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3.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0" yWindow="5820" windowWidth="19200" windowHeight="6195" tabRatio="820"/>
  </bookViews>
  <sheets>
    <sheet name="Data" sheetId="1" r:id="rId1"/>
    <sheet name="Klamath PSD" sheetId="13" r:id="rId2"/>
    <sheet name="Figures" sheetId="14" r:id="rId3"/>
    <sheet name="Sheet1" sheetId="15" r:id="rId4"/>
    <sheet name="Sheet2" sheetId="16" r:id="rId5"/>
    <sheet name="Quality Code" sheetId="17" r:id="rId6"/>
    <sheet name="Hobble Creek" sheetId="18" r:id="rId7"/>
  </sheets>
  <externalReferences>
    <externalReference r:id="rId8"/>
  </externalReferences>
  <definedNames>
    <definedName name="_ENREF_1" localSheetId="0">Data!$CB$5297</definedName>
    <definedName name="_ENREF_2" localSheetId="0">Data!$CB$5891</definedName>
    <definedName name="_ENREF_3" localSheetId="0">Data!$CB$6056</definedName>
    <definedName name="_ENREF_5" localSheetId="0">Data!$CB$5153</definedName>
    <definedName name="_ENREF_6" localSheetId="0">Data!$CB$5003</definedName>
    <definedName name="_ENREF_8" localSheetId="0">Data!$CB$5127</definedName>
    <definedName name="_xlnm.Print_Area" localSheetId="0">Data!$A$1:$CB$1426</definedName>
    <definedName name="_xlnm.Print_Titles" localSheetId="0">Data!$A:$A</definedName>
  </definedNames>
  <calcPr calcId="145621"/>
</workbook>
</file>

<file path=xl/calcChain.xml><?xml version="1.0" encoding="utf-8"?>
<calcChain xmlns="http://schemas.openxmlformats.org/spreadsheetml/2006/main">
  <c r="D8770" i="1" l="1"/>
  <c r="D8669" i="1"/>
  <c r="D8654" i="1"/>
  <c r="G8669" i="1"/>
  <c r="G8654" i="1"/>
  <c r="BI8654" i="1"/>
  <c r="BI8669" i="1"/>
  <c r="AA8671" i="1"/>
  <c r="AA8672" i="1"/>
  <c r="AA8673" i="1"/>
  <c r="AA8674" i="1"/>
  <c r="AA8675" i="1"/>
  <c r="AA8676" i="1"/>
  <c r="AA8677" i="1"/>
  <c r="AA8678" i="1"/>
  <c r="AA8679" i="1"/>
  <c r="AA8680" i="1"/>
  <c r="AA8681" i="1"/>
  <c r="AA8682" i="1"/>
  <c r="AA8683" i="1"/>
  <c r="AA8684" i="1"/>
  <c r="AA8685" i="1"/>
  <c r="AA8686" i="1"/>
  <c r="AA8687" i="1"/>
  <c r="AA8688" i="1"/>
  <c r="AA8689" i="1"/>
  <c r="AA8690" i="1"/>
  <c r="AA8691" i="1"/>
  <c r="AA8692" i="1"/>
  <c r="AA8693" i="1"/>
  <c r="AA8694" i="1"/>
  <c r="AA8695" i="1"/>
  <c r="AA8696" i="1"/>
  <c r="AA8670" i="1"/>
  <c r="AA8656" i="1"/>
  <c r="AA8657" i="1"/>
  <c r="AA8658" i="1"/>
  <c r="AA8659" i="1"/>
  <c r="AA8660" i="1"/>
  <c r="AA8661" i="1"/>
  <c r="AA8662" i="1"/>
  <c r="AA8663" i="1"/>
  <c r="AA8664" i="1"/>
  <c r="AA8665" i="1"/>
  <c r="AA8666" i="1"/>
  <c r="AA8667" i="1"/>
  <c r="AA8668" i="1"/>
  <c r="AA8655" i="1"/>
  <c r="D8697" i="1"/>
  <c r="D8708" i="1"/>
  <c r="D8717" i="1"/>
  <c r="D8726" i="1"/>
  <c r="D8732" i="1"/>
  <c r="D8738" i="1"/>
  <c r="D8740" i="1"/>
  <c r="AF8769" i="1" l="1"/>
  <c r="AF8768" i="1"/>
  <c r="AF8767" i="1"/>
  <c r="AF8766" i="1"/>
  <c r="AF8765" i="1"/>
  <c r="AF8763" i="1"/>
  <c r="AF8762" i="1"/>
  <c r="AF8761" i="1"/>
  <c r="AF8760" i="1"/>
  <c r="AF8759" i="1"/>
  <c r="AF8757" i="1"/>
  <c r="AF8756" i="1"/>
  <c r="AF8755" i="1"/>
  <c r="AF8754" i="1"/>
  <c r="AF8753" i="1"/>
  <c r="AF8752" i="1"/>
  <c r="AF8751" i="1"/>
  <c r="AF8749" i="1"/>
  <c r="AF8748" i="1"/>
  <c r="AF8747" i="1"/>
  <c r="AF8746" i="1"/>
  <c r="AF8745" i="1"/>
  <c r="AF8744" i="1"/>
  <c r="AF8743" i="1"/>
  <c r="AF8739" i="1"/>
  <c r="AF8737" i="1"/>
  <c r="AF8736" i="1"/>
  <c r="AF8735" i="1"/>
  <c r="AF8734" i="1"/>
  <c r="AF8733" i="1"/>
  <c r="AF8731" i="1"/>
  <c r="AF8730" i="1"/>
  <c r="AF8729" i="1"/>
  <c r="AF8728" i="1"/>
  <c r="AF8727" i="1"/>
  <c r="AF8725" i="1"/>
  <c r="AF8724" i="1"/>
  <c r="AF8723" i="1"/>
  <c r="AF8722" i="1"/>
  <c r="AF8721" i="1"/>
  <c r="AF8710" i="1"/>
  <c r="AF8711" i="1"/>
  <c r="AF8712" i="1"/>
  <c r="AF8713" i="1"/>
  <c r="AF8714" i="1"/>
  <c r="AF8709" i="1"/>
  <c r="AF8699" i="1"/>
  <c r="AF8700" i="1"/>
  <c r="AF8701" i="1"/>
  <c r="AF8702" i="1"/>
  <c r="AF8703" i="1"/>
  <c r="AF8704" i="1"/>
  <c r="AF8705" i="1"/>
  <c r="AF8706" i="1"/>
  <c r="AF8707" i="1"/>
  <c r="AF8698" i="1"/>
  <c r="F8750" i="1" l="1"/>
  <c r="D8750" i="1" s="1"/>
  <c r="E30" i="17" l="1"/>
  <c r="E31" i="17"/>
  <c r="E32" i="17"/>
  <c r="E33" i="17"/>
  <c r="E34" i="17"/>
  <c r="E35" i="17"/>
  <c r="E36" i="17"/>
  <c r="E37" i="17"/>
  <c r="E29" i="17"/>
  <c r="E6" i="17"/>
  <c r="E7" i="17"/>
  <c r="E8" i="17"/>
  <c r="E9" i="17"/>
  <c r="E10" i="17"/>
  <c r="E11" i="17"/>
  <c r="E12" i="17"/>
  <c r="E13" i="17"/>
  <c r="E14" i="17"/>
  <c r="E15" i="17"/>
  <c r="E16" i="17"/>
  <c r="E17" i="17"/>
  <c r="E18" i="17"/>
  <c r="E19" i="17"/>
  <c r="E20" i="17"/>
  <c r="E21" i="17"/>
  <c r="E22" i="17"/>
  <c r="E23" i="17"/>
  <c r="E5" i="17"/>
  <c r="B40" i="14" l="1"/>
  <c r="B39" i="14"/>
  <c r="B38" i="14"/>
  <c r="B37" i="14"/>
  <c r="B36" i="14"/>
  <c r="B35" i="14"/>
  <c r="B34" i="14"/>
  <c r="B33" i="14"/>
  <c r="B32" i="14"/>
  <c r="B31" i="14"/>
  <c r="B30" i="14"/>
  <c r="B29" i="14"/>
  <c r="B28" i="14"/>
  <c r="B27" i="14"/>
  <c r="B26" i="14"/>
  <c r="B25" i="14"/>
  <c r="B24" i="14"/>
  <c r="B23" i="14"/>
  <c r="B22" i="14"/>
  <c r="B21" i="14"/>
  <c r="B20" i="14"/>
  <c r="B19" i="14"/>
  <c r="B18" i="14"/>
  <c r="B17" i="14"/>
  <c r="B16" i="14"/>
  <c r="B15" i="14"/>
  <c r="B14" i="14"/>
  <c r="B13" i="14"/>
  <c r="B12" i="14"/>
  <c r="B11" i="14"/>
  <c r="B10" i="14"/>
  <c r="B9" i="14"/>
  <c r="B8" i="14"/>
  <c r="B7" i="14"/>
  <c r="B6" i="14"/>
  <c r="B5" i="14"/>
  <c r="B4" i="14"/>
  <c r="B3" i="14"/>
  <c r="E18" i="14" l="1"/>
  <c r="E16" i="14"/>
  <c r="E17" i="14"/>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4" i="1"/>
  <c r="L8625" i="1"/>
  <c r="L8626"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2" i="1"/>
  <c r="L8593" i="1"/>
  <c r="L8594" i="1"/>
  <c r="L8595" i="1"/>
  <c r="L8596" i="1"/>
  <c r="L8597" i="1"/>
  <c r="L8598" i="1"/>
  <c r="L8552"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27" i="1"/>
  <c r="F8984" i="1" l="1"/>
  <c r="F8770" i="1"/>
  <c r="N4815" i="1" l="1"/>
  <c r="N4816" i="1"/>
  <c r="N4817" i="1"/>
  <c r="N4818" i="1"/>
  <c r="N4819" i="1"/>
  <c r="N4820" i="1"/>
  <c r="N4821" i="1"/>
  <c r="N4822" i="1"/>
  <c r="N4823" i="1"/>
  <c r="N4824" i="1"/>
  <c r="N4825" i="1"/>
  <c r="N4826" i="1"/>
  <c r="N4828" i="1"/>
  <c r="N4829" i="1"/>
  <c r="N4830" i="1"/>
  <c r="N4831" i="1"/>
  <c r="N4832" i="1"/>
  <c r="N4833" i="1"/>
  <c r="N4834" i="1"/>
  <c r="N4835" i="1"/>
  <c r="N4836" i="1"/>
  <c r="N4837" i="1"/>
  <c r="N4838" i="1"/>
  <c r="N4840" i="1"/>
  <c r="N4841" i="1"/>
  <c r="N4842" i="1"/>
  <c r="N4843" i="1"/>
  <c r="N4844" i="1"/>
  <c r="N4845" i="1"/>
  <c r="N4846" i="1"/>
  <c r="N4847" i="1"/>
  <c r="N4848" i="1"/>
  <c r="N4849" i="1"/>
  <c r="N4850" i="1"/>
  <c r="N4852" i="1"/>
  <c r="N4853" i="1"/>
  <c r="N4854" i="1"/>
  <c r="N4855" i="1"/>
  <c r="N4856" i="1"/>
  <c r="N4857" i="1"/>
  <c r="N4858" i="1"/>
  <c r="N4859" i="1"/>
  <c r="N4860" i="1"/>
  <c r="N4861" i="1"/>
  <c r="N4862" i="1"/>
  <c r="N4863" i="1"/>
  <c r="N4864" i="1"/>
  <c r="N4866" i="1"/>
  <c r="N4867" i="1"/>
  <c r="N4868" i="1"/>
  <c r="N4869" i="1"/>
  <c r="N4870" i="1"/>
  <c r="N4871" i="1"/>
  <c r="N4872" i="1"/>
  <c r="N4873" i="1"/>
  <c r="N4874" i="1"/>
  <c r="N4875" i="1"/>
  <c r="N4876" i="1"/>
  <c r="N4877" i="1"/>
  <c r="N4878" i="1"/>
  <c r="N4879" i="1"/>
  <c r="N4880" i="1"/>
  <c r="N4881" i="1"/>
  <c r="N4882"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2" i="1"/>
  <c r="N4933" i="1"/>
  <c r="N4934" i="1"/>
  <c r="N4935" i="1"/>
  <c r="N4936" i="1"/>
  <c r="N4937" i="1"/>
  <c r="N4938" i="1"/>
  <c r="N4939" i="1"/>
  <c r="N4940" i="1"/>
  <c r="N4941" i="1"/>
  <c r="N4942" i="1"/>
  <c r="N4943" i="1"/>
  <c r="N4944" i="1"/>
  <c r="N4945" i="1"/>
  <c r="N4946" i="1"/>
  <c r="N4947" i="1"/>
  <c r="N4948" i="1"/>
  <c r="N4949" i="1"/>
  <c r="N4950" i="1"/>
  <c r="N4951" i="1"/>
  <c r="N4952" i="1"/>
  <c r="N495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N5154" i="1"/>
  <c r="O5154" i="1"/>
  <c r="N5155" i="1"/>
  <c r="O5155" i="1"/>
  <c r="N5156" i="1"/>
  <c r="O5156" i="1"/>
  <c r="N5157" i="1"/>
  <c r="O5157" i="1"/>
  <c r="N5158" i="1"/>
  <c r="O5158" i="1"/>
  <c r="N5159" i="1"/>
  <c r="O5159" i="1"/>
  <c r="N5160" i="1"/>
  <c r="O5160" i="1"/>
  <c r="N5161" i="1"/>
  <c r="O5161" i="1"/>
  <c r="N5162" i="1"/>
  <c r="O5162" i="1"/>
  <c r="N5163" i="1"/>
  <c r="O5163" i="1"/>
  <c r="N5164" i="1"/>
  <c r="O5164" i="1"/>
  <c r="N5165" i="1"/>
  <c r="O5165" i="1"/>
  <c r="N5166" i="1"/>
  <c r="O5166" i="1"/>
  <c r="N5167" i="1"/>
  <c r="O5167" i="1"/>
  <c r="N5168" i="1"/>
  <c r="O5168" i="1"/>
  <c r="N5169" i="1"/>
  <c r="O5169" i="1"/>
  <c r="N5170" i="1"/>
  <c r="O5170" i="1"/>
  <c r="N5171" i="1"/>
  <c r="O5171" i="1"/>
  <c r="N5172" i="1"/>
  <c r="O5172" i="1"/>
  <c r="N5173" i="1"/>
  <c r="O5173" i="1"/>
  <c r="N5174" i="1"/>
  <c r="O5174" i="1"/>
  <c r="N5175" i="1"/>
  <c r="O5175" i="1"/>
  <c r="N5176" i="1"/>
  <c r="O5176" i="1"/>
  <c r="N5177" i="1"/>
  <c r="O5177" i="1"/>
  <c r="N5178" i="1"/>
  <c r="O5178" i="1"/>
  <c r="N5179" i="1"/>
  <c r="O5179" i="1"/>
  <c r="N5180" i="1"/>
  <c r="O5180" i="1"/>
  <c r="N5181" i="1"/>
  <c r="O5181" i="1"/>
  <c r="N5182" i="1"/>
  <c r="O5182" i="1"/>
  <c r="N5183" i="1"/>
  <c r="O5183" i="1"/>
  <c r="N5184" i="1"/>
  <c r="O5184" i="1"/>
  <c r="N5185" i="1"/>
  <c r="O5185" i="1"/>
  <c r="N5186" i="1"/>
  <c r="O5186" i="1"/>
  <c r="N5187" i="1"/>
  <c r="O5187" i="1"/>
  <c r="N5188" i="1"/>
  <c r="O5188" i="1"/>
  <c r="N5189" i="1"/>
  <c r="O5189" i="1"/>
  <c r="N5190" i="1"/>
  <c r="O5190" i="1"/>
  <c r="N5191" i="1"/>
  <c r="O5191" i="1"/>
  <c r="N5192" i="1"/>
  <c r="O5192" i="1"/>
  <c r="O5193" i="1"/>
  <c r="O5194" i="1"/>
  <c r="O5195" i="1"/>
  <c r="O5196" i="1"/>
  <c r="O5197" i="1"/>
  <c r="O5198" i="1"/>
  <c r="O5199" i="1"/>
  <c r="O5200" i="1"/>
  <c r="O5201" i="1"/>
  <c r="O5202" i="1"/>
  <c r="O5203" i="1"/>
  <c r="O5204" i="1"/>
  <c r="O5205" i="1"/>
  <c r="O5206" i="1"/>
  <c r="O5207" i="1"/>
  <c r="O5208"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340"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N6312" i="1"/>
  <c r="O6312" i="1"/>
  <c r="N6313" i="1"/>
  <c r="O6313" i="1"/>
  <c r="N6314" i="1"/>
  <c r="O6314" i="1"/>
  <c r="N6315" i="1"/>
  <c r="O6315" i="1"/>
  <c r="N6316" i="1"/>
  <c r="O6316" i="1"/>
  <c r="N6317" i="1"/>
  <c r="O6317" i="1"/>
  <c r="N6318" i="1"/>
  <c r="O6318" i="1"/>
  <c r="N6319" i="1"/>
  <c r="O6319" i="1"/>
  <c r="N6320" i="1"/>
  <c r="O6320" i="1"/>
  <c r="N6321" i="1"/>
  <c r="O6321" i="1"/>
  <c r="N6322" i="1"/>
  <c r="O6322" i="1"/>
  <c r="N6323" i="1"/>
  <c r="O6323" i="1"/>
  <c r="N6324" i="1"/>
  <c r="O6324" i="1"/>
  <c r="N6325" i="1"/>
  <c r="O6325" i="1"/>
  <c r="N6326" i="1"/>
  <c r="O6326" i="1"/>
  <c r="N6327" i="1"/>
  <c r="O6327" i="1"/>
  <c r="N6328" i="1"/>
  <c r="O6328" i="1"/>
  <c r="N6329" i="1"/>
  <c r="O6329" i="1"/>
  <c r="N6330" i="1"/>
  <c r="O6330" i="1"/>
  <c r="N6331" i="1"/>
  <c r="O6331" i="1"/>
  <c r="N6332" i="1"/>
  <c r="O6332" i="1"/>
  <c r="N6333" i="1"/>
  <c r="O6333" i="1"/>
  <c r="N6334" i="1"/>
  <c r="O6334" i="1"/>
  <c r="N6335" i="1"/>
  <c r="O6335" i="1"/>
  <c r="N6336" i="1"/>
  <c r="O6336" i="1"/>
  <c r="N6337" i="1"/>
  <c r="O6337" i="1"/>
  <c r="N6338" i="1"/>
  <c r="O6338" i="1"/>
  <c r="N6339" i="1"/>
  <c r="O6339" i="1"/>
  <c r="N6340" i="1"/>
  <c r="O6340" i="1"/>
  <c r="N6341" i="1"/>
  <c r="O6341" i="1"/>
  <c r="N6342" i="1"/>
  <c r="O6342" i="1"/>
  <c r="N6343" i="1"/>
  <c r="O6343" i="1"/>
  <c r="N6344" i="1"/>
  <c r="O6344" i="1"/>
  <c r="N6345" i="1"/>
  <c r="O6345" i="1"/>
  <c r="N6346" i="1"/>
  <c r="O6346" i="1"/>
  <c r="N6347" i="1"/>
  <c r="O6347" i="1"/>
  <c r="N6348" i="1"/>
  <c r="O6348" i="1"/>
  <c r="N6349" i="1"/>
  <c r="O6349" i="1"/>
  <c r="N6350" i="1"/>
  <c r="O6350" i="1"/>
  <c r="N6351" i="1"/>
  <c r="O6351" i="1"/>
  <c r="N6352" i="1"/>
  <c r="O6352" i="1"/>
  <c r="N6353" i="1"/>
  <c r="O6353" i="1"/>
  <c r="N6354" i="1"/>
  <c r="O6354" i="1"/>
  <c r="N6355" i="1"/>
  <c r="O6355" i="1"/>
  <c r="N6356" i="1"/>
  <c r="O6356" i="1"/>
  <c r="N6357" i="1"/>
  <c r="O6357" i="1"/>
  <c r="N6358" i="1"/>
  <c r="O6358" i="1"/>
  <c r="N6359" i="1"/>
  <c r="O6359" i="1"/>
  <c r="N6360" i="1"/>
  <c r="O6360" i="1"/>
  <c r="N6361" i="1"/>
  <c r="O6361" i="1"/>
  <c r="N6362" i="1"/>
  <c r="O6362" i="1"/>
  <c r="N6363" i="1"/>
  <c r="O6363" i="1"/>
  <c r="N6364" i="1"/>
  <c r="O6364" i="1"/>
  <c r="N8115" i="1"/>
  <c r="N8116" i="1"/>
  <c r="N8117" i="1"/>
  <c r="N8118" i="1"/>
  <c r="N8119" i="1"/>
  <c r="N8120" i="1"/>
  <c r="N8121" i="1"/>
  <c r="N8122" i="1"/>
  <c r="N8123" i="1"/>
  <c r="N8124" i="1"/>
  <c r="N8125" i="1"/>
  <c r="N8126" i="1"/>
  <c r="N8127" i="1"/>
  <c r="N8128" i="1"/>
  <c r="N8129" i="1"/>
  <c r="N8130" i="1"/>
  <c r="N8131" i="1"/>
  <c r="O8131" i="1"/>
  <c r="N8132" i="1"/>
  <c r="O8132" i="1"/>
  <c r="N8133" i="1"/>
  <c r="O8133" i="1"/>
  <c r="N8134" i="1"/>
  <c r="O8134" i="1"/>
  <c r="N8135" i="1"/>
  <c r="O8135" i="1"/>
  <c r="N8136" i="1"/>
  <c r="O8136" i="1"/>
  <c r="N8137" i="1"/>
  <c r="O8137" i="1"/>
  <c r="N8138" i="1"/>
  <c r="O8138" i="1"/>
  <c r="N8139" i="1"/>
  <c r="O8139" i="1"/>
  <c r="N8140" i="1"/>
  <c r="O8140" i="1"/>
  <c r="N8141" i="1"/>
  <c r="O8141" i="1"/>
  <c r="N8142" i="1"/>
  <c r="O8142" i="1"/>
  <c r="N8175" i="1"/>
  <c r="N8176" i="1"/>
  <c r="N8177" i="1"/>
  <c r="N8178" i="1"/>
  <c r="N8179" i="1"/>
  <c r="N8180" i="1"/>
  <c r="N8181" i="1"/>
  <c r="F8742" i="1" l="1"/>
  <c r="D8742" i="1" s="1"/>
  <c r="F8758" i="1"/>
  <c r="D8758" i="1" s="1"/>
  <c r="F8764" i="1"/>
  <c r="D8764" i="1" s="1"/>
  <c r="D8420" i="1" l="1"/>
  <c r="F8591" i="1"/>
  <c r="D8591" i="1" s="1"/>
  <c r="F8551" i="1" l="1"/>
  <c r="D8551" i="1" s="1"/>
  <c r="H8551" i="1"/>
  <c r="F8526" i="1"/>
  <c r="F8981" i="1" s="1"/>
  <c r="D8143" i="1"/>
  <c r="D6522" i="1"/>
  <c r="H8591" i="1" l="1"/>
  <c r="D8526" i="1"/>
  <c r="D7783" i="1"/>
  <c r="D7794" i="1"/>
  <c r="D7513" i="1"/>
  <c r="D7174" i="1"/>
  <c r="D6720" i="1"/>
  <c r="D6729" i="1"/>
  <c r="D6746" i="1"/>
  <c r="D6771" i="1"/>
  <c r="D6792" i="1"/>
  <c r="D6806" i="1"/>
  <c r="D6820" i="1"/>
  <c r="D6835" i="1"/>
  <c r="D6839" i="1"/>
  <c r="D6853" i="1"/>
  <c r="D6867" i="1"/>
  <c r="D6883" i="1"/>
  <c r="D6900" i="1"/>
  <c r="D6919" i="1"/>
  <c r="D6936" i="1"/>
  <c r="D6952" i="1"/>
  <c r="D6972" i="1"/>
  <c r="D6993" i="1"/>
  <c r="D7011" i="1"/>
  <c r="D7064" i="1"/>
  <c r="D7077" i="1"/>
  <c r="D7106" i="1"/>
  <c r="D7135" i="1"/>
  <c r="D7155" i="1"/>
  <c r="D7187" i="1"/>
  <c r="D7205" i="1"/>
  <c r="D7220" i="1"/>
  <c r="D7231" i="1"/>
  <c r="D7243" i="1"/>
  <c r="D7255" i="1"/>
  <c r="D7261" i="1"/>
  <c r="D7273" i="1"/>
  <c r="D7286" i="1"/>
  <c r="D7296" i="1"/>
  <c r="D7313" i="1"/>
  <c r="D7330" i="1"/>
  <c r="D7338" i="1"/>
  <c r="D7345" i="1"/>
  <c r="D7370" i="1"/>
  <c r="D7390" i="1"/>
  <c r="D7411" i="1"/>
  <c r="D7428" i="1"/>
  <c r="D7446" i="1"/>
  <c r="D7463" i="1"/>
  <c r="D7491" i="1"/>
  <c r="D7515" i="1"/>
  <c r="D7527" i="1"/>
  <c r="D7541" i="1"/>
  <c r="D7555" i="1"/>
  <c r="D7561" i="1"/>
  <c r="D7567" i="1"/>
  <c r="D7606" i="1"/>
  <c r="D7635" i="1"/>
  <c r="D7663" i="1"/>
  <c r="D7692" i="1"/>
  <c r="D7699" i="1"/>
  <c r="D7710" i="1"/>
  <c r="D7721" i="1"/>
  <c r="D7732" i="1"/>
  <c r="D7743" i="1"/>
  <c r="D7751" i="1"/>
  <c r="D7763" i="1"/>
  <c r="D7773" i="1"/>
  <c r="D7806" i="1"/>
  <c r="D7813" i="1"/>
  <c r="D7823" i="1"/>
  <c r="D7833" i="1"/>
  <c r="D7846" i="1"/>
  <c r="D7861" i="1"/>
  <c r="D7876" i="1"/>
  <c r="D7892" i="1"/>
  <c r="D7904" i="1"/>
  <c r="D7916" i="1"/>
  <c r="D7926" i="1"/>
  <c r="D7941" i="1"/>
  <c r="D7958" i="1"/>
  <c r="D7966" i="1"/>
  <c r="D7983" i="1"/>
  <c r="D8002" i="1"/>
  <c r="D8023" i="1"/>
  <c r="D8039" i="1"/>
  <c r="D8064" i="1"/>
  <c r="D8078" i="1"/>
  <c r="D8092" i="1"/>
  <c r="D8102" i="1"/>
  <c r="D8114" i="1"/>
  <c r="D8174" i="1"/>
  <c r="D8267" i="1"/>
  <c r="D8370" i="1"/>
  <c r="D6697" i="1"/>
  <c r="D6678" i="1"/>
  <c r="D6654" i="1"/>
  <c r="D6608" i="1"/>
  <c r="D6565" i="1"/>
  <c r="D6469" i="1"/>
  <c r="D6419" i="1"/>
  <c r="D6402" i="1"/>
  <c r="D6383" i="1"/>
  <c r="D6365" i="1"/>
  <c r="D6219" i="1"/>
  <c r="D6196" i="1"/>
  <c r="D6152" i="1"/>
  <c r="D6104" i="1"/>
  <c r="D6056" i="1"/>
  <c r="D5977" i="1"/>
  <c r="D5913" i="1"/>
  <c r="D5888" i="1"/>
  <c r="D5787" i="1"/>
  <c r="D5712" i="1"/>
  <c r="D5353" i="1"/>
  <c r="D5297" i="1"/>
  <c r="D5257" i="1"/>
  <c r="D5209" i="1"/>
  <c r="D5153" i="1"/>
  <c r="D5127" i="1"/>
  <c r="D5089" i="1"/>
  <c r="D5003" i="1"/>
  <c r="D4954" i="1"/>
  <c r="D4931" i="1"/>
  <c r="D4904" i="1"/>
  <c r="D4883" i="1"/>
  <c r="D4865" i="1"/>
  <c r="D4851" i="1"/>
  <c r="D4839" i="1"/>
  <c r="D4827" i="1"/>
  <c r="D4814" i="1"/>
  <c r="D4728" i="1"/>
  <c r="D4368" i="1"/>
  <c r="D4535" i="1"/>
  <c r="D4283" i="1"/>
  <c r="D4190" i="1"/>
  <c r="D4096" i="1"/>
  <c r="D3965" i="1"/>
  <c r="D3760" i="1"/>
  <c r="D3687" i="1"/>
  <c r="D3614" i="1"/>
  <c r="D3552" i="1"/>
  <c r="D3501" i="1"/>
  <c r="D3440" i="1"/>
  <c r="D3249" i="1"/>
  <c r="D3176" i="1"/>
  <c r="D3111" i="1"/>
  <c r="D3012" i="1"/>
  <c r="D2126" i="1"/>
  <c r="D2199" i="1"/>
  <c r="D2315" i="1"/>
  <c r="D2388" i="1"/>
  <c r="D2467" i="1"/>
  <c r="D2625" i="1"/>
  <c r="D2698" i="1"/>
  <c r="D2811" i="1"/>
  <c r="D2040" i="1"/>
  <c r="D1960" i="1"/>
  <c r="D1822" i="1"/>
  <c r="D1736" i="1"/>
  <c r="D1700" i="1"/>
  <c r="D1617" i="1"/>
  <c r="D1528" i="1"/>
  <c r="D1427" i="1"/>
  <c r="D1303" i="1"/>
  <c r="D1226" i="1"/>
  <c r="D1090" i="1"/>
  <c r="D1029" i="1"/>
  <c r="D4" i="1"/>
  <c r="D935" i="1"/>
  <c r="D745" i="1"/>
  <c r="D535" i="1"/>
  <c r="D427" i="1"/>
  <c r="D309" i="1"/>
  <c r="D210" i="1"/>
  <c r="D114" i="1"/>
  <c r="K5" i="17"/>
  <c r="J5" i="17"/>
  <c r="I5" i="17"/>
  <c r="AC309" i="1"/>
  <c r="BP4" i="1"/>
  <c r="L5" i="17" l="1"/>
  <c r="M117" i="13"/>
  <c r="K117" i="13"/>
  <c r="J117" i="13"/>
  <c r="I117" i="13"/>
  <c r="H117" i="13"/>
  <c r="G117" i="13"/>
  <c r="U113" i="13"/>
  <c r="T113" i="13"/>
  <c r="S113" i="13"/>
  <c r="R113" i="13"/>
  <c r="Q113" i="13"/>
  <c r="P113" i="13"/>
  <c r="O113" i="13"/>
  <c r="N113" i="13"/>
  <c r="M113" i="13"/>
  <c r="L113" i="13"/>
  <c r="K113" i="13"/>
  <c r="J113" i="13"/>
  <c r="I113" i="13"/>
  <c r="H113" i="13"/>
  <c r="G113" i="13"/>
  <c r="C6" i="16" l="1"/>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C2222" i="16"/>
  <c r="C2223" i="16"/>
  <c r="C2224" i="16"/>
  <c r="C2225" i="16"/>
  <c r="C2226" i="16"/>
  <c r="C2227" i="16"/>
  <c r="C2228" i="16"/>
  <c r="C2229" i="16"/>
  <c r="C2230" i="16"/>
  <c r="C2231" i="16"/>
  <c r="C2232" i="16"/>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C2272" i="16"/>
  <c r="C2273" i="16"/>
  <c r="C2274" i="16"/>
  <c r="C2275" i="16"/>
  <c r="C2276" i="16"/>
  <c r="C2277" i="16"/>
  <c r="C2278" i="16"/>
  <c r="C2279" i="16"/>
  <c r="C2280" i="16"/>
  <c r="C2281" i="16"/>
  <c r="C2282" i="16"/>
  <c r="C2283" i="16"/>
  <c r="C2284" i="16"/>
  <c r="C2285" i="16"/>
  <c r="C2286" i="16"/>
  <c r="C2287" i="16"/>
  <c r="C2288" i="16"/>
  <c r="C2289" i="16"/>
  <c r="C2290" i="16"/>
  <c r="C2291" i="16"/>
  <c r="C2292" i="16"/>
  <c r="C2293" i="16"/>
  <c r="C2294" i="16"/>
  <c r="C2295" i="16"/>
  <c r="C2296" i="16"/>
  <c r="C2297" i="16"/>
  <c r="C2298" i="16"/>
  <c r="C2299" i="16"/>
  <c r="C2300" i="16"/>
  <c r="C2301" i="16"/>
  <c r="C2302" i="16"/>
  <c r="C2303" i="16"/>
  <c r="C2304" i="16"/>
  <c r="C2305" i="16"/>
  <c r="C2306" i="16"/>
  <c r="C2307" i="16"/>
  <c r="C2308" i="16"/>
  <c r="C2309" i="16"/>
  <c r="C2310" i="16"/>
  <c r="C2311" i="16"/>
  <c r="C2312" i="16"/>
  <c r="C2313" i="16"/>
  <c r="C2314" i="16"/>
  <c r="C2315" i="16"/>
  <c r="C2316" i="16"/>
  <c r="C2317" i="16"/>
  <c r="C2318" i="16"/>
  <c r="C2319" i="16"/>
  <c r="C2320" i="16"/>
  <c r="C2321" i="16"/>
  <c r="C2322" i="16"/>
  <c r="C2323" i="16"/>
  <c r="C2324" i="16"/>
  <c r="C2325" i="16"/>
  <c r="C2326" i="16"/>
  <c r="C2327" i="16"/>
  <c r="C2328" i="16"/>
  <c r="C2329" i="16"/>
  <c r="C2330" i="16"/>
  <c r="C2331" i="16"/>
  <c r="C2332" i="16"/>
  <c r="C2333" i="16"/>
  <c r="C2334" i="16"/>
  <c r="C2335" i="16"/>
  <c r="C2336" i="16"/>
  <c r="C2337" i="16"/>
  <c r="C2338" i="16"/>
  <c r="C2339" i="16"/>
  <c r="C2340" i="16"/>
  <c r="C2341" i="16"/>
  <c r="C2342" i="16"/>
  <c r="C2343" i="16"/>
  <c r="C2344" i="16"/>
  <c r="C2345" i="16"/>
  <c r="C2346" i="16"/>
  <c r="C2347" i="16"/>
  <c r="C2348" i="16"/>
  <c r="C2349" i="16"/>
  <c r="C2350" i="16"/>
  <c r="C2351" i="16"/>
  <c r="C2352" i="16"/>
  <c r="C2353" i="16"/>
  <c r="C2354" i="16"/>
  <c r="C2355" i="16"/>
  <c r="C2356" i="16"/>
  <c r="C2357" i="16"/>
  <c r="C2358" i="16"/>
  <c r="C2359" i="16"/>
  <c r="C2360" i="16"/>
  <c r="C2361" i="16"/>
  <c r="C2362" i="16"/>
  <c r="C2363" i="16"/>
  <c r="C2364" i="16"/>
  <c r="C2365" i="16"/>
  <c r="C2366" i="16"/>
  <c r="C2367" i="16"/>
  <c r="C2368" i="16"/>
  <c r="C2369" i="16"/>
  <c r="C2370" i="16"/>
  <c r="C2371" i="16"/>
  <c r="C2372" i="16"/>
  <c r="C2373" i="16"/>
  <c r="C2374" i="16"/>
  <c r="C2375" i="16"/>
  <c r="C2376" i="16"/>
  <c r="C2377" i="16"/>
  <c r="C2378" i="16"/>
  <c r="C2379" i="16"/>
  <c r="C2380" i="16"/>
  <c r="C2381" i="16"/>
  <c r="C2382" i="16"/>
  <c r="C2383" i="16"/>
  <c r="C2384" i="16"/>
  <c r="C2385" i="16"/>
  <c r="C2386" i="16"/>
  <c r="C2387" i="16"/>
  <c r="C2388" i="16"/>
  <c r="C2389" i="16"/>
  <c r="C2390" i="16"/>
  <c r="C2391" i="16"/>
  <c r="C2392" i="16"/>
  <c r="C2393" i="16"/>
  <c r="C2394" i="16"/>
  <c r="C2395" i="16"/>
  <c r="C2396" i="16"/>
  <c r="C2397" i="16"/>
  <c r="C2398" i="16"/>
  <c r="C2399" i="16"/>
  <c r="C2400" i="16"/>
  <c r="C2401" i="16"/>
  <c r="C2402" i="16"/>
  <c r="C2403" i="16"/>
  <c r="C2404" i="16"/>
  <c r="C2405" i="16"/>
  <c r="C2406" i="16"/>
  <c r="C2407" i="16"/>
  <c r="C2408" i="16"/>
  <c r="C2409" i="16"/>
  <c r="C2410" i="16"/>
  <c r="C2411" i="16"/>
  <c r="C2412" i="16"/>
  <c r="C2413" i="16"/>
  <c r="C2414" i="16"/>
  <c r="C2415" i="16"/>
  <c r="C2416" i="16"/>
  <c r="C2417" i="16"/>
  <c r="C2418" i="16"/>
  <c r="C2419" i="16"/>
  <c r="C2420" i="16"/>
  <c r="C2421" i="16"/>
  <c r="C2422" i="16"/>
  <c r="C2423" i="16"/>
  <c r="C2424" i="16"/>
  <c r="C2425" i="16"/>
  <c r="C2426" i="16"/>
  <c r="C2427" i="16"/>
  <c r="C2428" i="16"/>
  <c r="C2429" i="16"/>
  <c r="C2430" i="16"/>
  <c r="C2431" i="16"/>
  <c r="C2432" i="16"/>
  <c r="C2433" i="16"/>
  <c r="C2434" i="16"/>
  <c r="C2435" i="16"/>
  <c r="C2436" i="16"/>
  <c r="C2437" i="16"/>
  <c r="C2438" i="16"/>
  <c r="C2439" i="16"/>
  <c r="C2440" i="16"/>
  <c r="C2441" i="16"/>
  <c r="C2442" i="16"/>
  <c r="C2443" i="16"/>
  <c r="C2444" i="16"/>
  <c r="C2445" i="16"/>
  <c r="C2446" i="16"/>
  <c r="C2447" i="16"/>
  <c r="C2448" i="16"/>
  <c r="C2449" i="16"/>
  <c r="C2450" i="16"/>
  <c r="C2451" i="16"/>
  <c r="C2452" i="16"/>
  <c r="C2453" i="16"/>
  <c r="C2454" i="16"/>
  <c r="C2455" i="16"/>
  <c r="C2456" i="16"/>
  <c r="C2457" i="16"/>
  <c r="C2458" i="16"/>
  <c r="C2459" i="16"/>
  <c r="C2460" i="16"/>
  <c r="C2461" i="16"/>
  <c r="C2462" i="16"/>
  <c r="C2463" i="16"/>
  <c r="C2464" i="16"/>
  <c r="C2465" i="16"/>
  <c r="C2466" i="16"/>
  <c r="C2467" i="16"/>
  <c r="C2468" i="16"/>
  <c r="C2469" i="16"/>
  <c r="C2470" i="16"/>
  <c r="C2471" i="16"/>
  <c r="C2472" i="16"/>
  <c r="C2473" i="16"/>
  <c r="C2474" i="16"/>
  <c r="C2475" i="16"/>
  <c r="C2476" i="16"/>
  <c r="C2477" i="16"/>
  <c r="C2478" i="16"/>
  <c r="C2479" i="16"/>
  <c r="C2480" i="16"/>
  <c r="C2481" i="16"/>
  <c r="C2482" i="16"/>
  <c r="C2483" i="16"/>
  <c r="C2484" i="16"/>
  <c r="C2485" i="16"/>
  <c r="C2486" i="16"/>
  <c r="C2487" i="16"/>
  <c r="C2488" i="16"/>
  <c r="C2489" i="16"/>
  <c r="C2490" i="16"/>
  <c r="C2491" i="16"/>
  <c r="C2492" i="16"/>
  <c r="C2493" i="16"/>
  <c r="C2494" i="16"/>
  <c r="C2495" i="16"/>
  <c r="C2496" i="16"/>
  <c r="C2497" i="16"/>
  <c r="C2498" i="16"/>
  <c r="C2499" i="16"/>
  <c r="C2500" i="16"/>
  <c r="C2501" i="16"/>
  <c r="C2502" i="16"/>
  <c r="C2503" i="16"/>
  <c r="C2504" i="16"/>
  <c r="C2505" i="16"/>
  <c r="C2506" i="16"/>
  <c r="C2507" i="16"/>
  <c r="C2508" i="16"/>
  <c r="C2509" i="16"/>
  <c r="C2510" i="16"/>
  <c r="C2511" i="16"/>
  <c r="C2512" i="16"/>
  <c r="C2513" i="16"/>
  <c r="C2514" i="16"/>
  <c r="C2515" i="16"/>
  <c r="C2516" i="16"/>
  <c r="C2517" i="16"/>
  <c r="C2518" i="16"/>
  <c r="C2519" i="16"/>
  <c r="C2520" i="16"/>
  <c r="C2521" i="16"/>
  <c r="C2522" i="16"/>
  <c r="C2523" i="16"/>
  <c r="C2524" i="16"/>
  <c r="C2525" i="16"/>
  <c r="C2526" i="16"/>
  <c r="C2527" i="16"/>
  <c r="C2528" i="16"/>
  <c r="C2529" i="16"/>
  <c r="C2530" i="16"/>
  <c r="C2531" i="16"/>
  <c r="C2532" i="16"/>
  <c r="C2533" i="16"/>
  <c r="C2534" i="16"/>
  <c r="C2535" i="16"/>
  <c r="C2536" i="16"/>
  <c r="C2537" i="16"/>
  <c r="C2538" i="16"/>
  <c r="C2539" i="16"/>
  <c r="C2540" i="16"/>
  <c r="C2541" i="16"/>
  <c r="C2542" i="16"/>
  <c r="C2543" i="16"/>
  <c r="C2544" i="16"/>
  <c r="C2545" i="16"/>
  <c r="C2546" i="16"/>
  <c r="C2547" i="16"/>
  <c r="C2548" i="16"/>
  <c r="C2549" i="16"/>
  <c r="C2550" i="16"/>
  <c r="C2551" i="16"/>
  <c r="C2552" i="16"/>
  <c r="C2553" i="16"/>
  <c r="C2554" i="16"/>
  <c r="C2555" i="16"/>
  <c r="C2556" i="16"/>
  <c r="C2557" i="16"/>
  <c r="C2558" i="16"/>
  <c r="C2559" i="16"/>
  <c r="C2560" i="16"/>
  <c r="C2561" i="16"/>
  <c r="C2562" i="16"/>
  <c r="C2563" i="16"/>
  <c r="C2564" i="16"/>
  <c r="C2565" i="16"/>
  <c r="C2566" i="16"/>
  <c r="C2567" i="16"/>
  <c r="C2568" i="16"/>
  <c r="C2569" i="16"/>
  <c r="C2570" i="16"/>
  <c r="C2571" i="16"/>
  <c r="C2572" i="16"/>
  <c r="C2573" i="16"/>
  <c r="C2574" i="16"/>
  <c r="C2575" i="16"/>
  <c r="C2576" i="16"/>
  <c r="C2577" i="16"/>
  <c r="C2578" i="16"/>
  <c r="C2579" i="16"/>
  <c r="C2580" i="16"/>
  <c r="C2581" i="16"/>
  <c r="C2582" i="16"/>
  <c r="C2583" i="16"/>
  <c r="C2584" i="16"/>
  <c r="C2585" i="16"/>
  <c r="C2586" i="16"/>
  <c r="C2587" i="16"/>
  <c r="C2588" i="16"/>
  <c r="C2589" i="16"/>
  <c r="C2590" i="16"/>
  <c r="C2591" i="16"/>
  <c r="C2592" i="16"/>
  <c r="C2593" i="16"/>
  <c r="C2594" i="16"/>
  <c r="C2595" i="16"/>
  <c r="C2596" i="16"/>
  <c r="C2597" i="16"/>
  <c r="C2598" i="16"/>
  <c r="C2599" i="16"/>
  <c r="C2600" i="16"/>
  <c r="C2601" i="16"/>
  <c r="C2602" i="16"/>
  <c r="C2603" i="16"/>
  <c r="C2604" i="16"/>
  <c r="C2605" i="16"/>
  <c r="C2606" i="16"/>
  <c r="C2607" i="16"/>
  <c r="C2608" i="16"/>
  <c r="C2609" i="16"/>
  <c r="C2610" i="16"/>
  <c r="C2611" i="16"/>
  <c r="C2612" i="16"/>
  <c r="C2613" i="16"/>
  <c r="C2614" i="16"/>
  <c r="C2615" i="16"/>
  <c r="C2616" i="16"/>
  <c r="C2617" i="16"/>
  <c r="C2618" i="16"/>
  <c r="C2619" i="16"/>
  <c r="C2620" i="16"/>
  <c r="C2621" i="16"/>
  <c r="C2622" i="16"/>
  <c r="C2623" i="16"/>
  <c r="C2624" i="16"/>
  <c r="C2625" i="16"/>
  <c r="C2626" i="16"/>
  <c r="C2627" i="16"/>
  <c r="C2628" i="16"/>
  <c r="C2629" i="16"/>
  <c r="C2630" i="16"/>
  <c r="C2631" i="16"/>
  <c r="C2632" i="16"/>
  <c r="C2633" i="16"/>
  <c r="C2634" i="16"/>
  <c r="C2635" i="16"/>
  <c r="C2636" i="16"/>
  <c r="C2637" i="16"/>
  <c r="C2638" i="16"/>
  <c r="C2639" i="16"/>
  <c r="C2640" i="16"/>
  <c r="C2641" i="16"/>
  <c r="C2642" i="16"/>
  <c r="C2643" i="16"/>
  <c r="C2644" i="16"/>
  <c r="C2645" i="16"/>
  <c r="C2646" i="16"/>
  <c r="C2647" i="16"/>
  <c r="C2648" i="16"/>
  <c r="C2649" i="16"/>
  <c r="C2650" i="16"/>
  <c r="C2651" i="16"/>
  <c r="C2652" i="16"/>
  <c r="C2653" i="16"/>
  <c r="C2654" i="16"/>
  <c r="C2655" i="16"/>
  <c r="C2656" i="16"/>
  <c r="C2657" i="16"/>
  <c r="C2658" i="16"/>
  <c r="C2659" i="16"/>
  <c r="C2660" i="16"/>
  <c r="C2661" i="16"/>
  <c r="C2662" i="16"/>
  <c r="C2663" i="16"/>
  <c r="C2664" i="16"/>
  <c r="C2665" i="16"/>
  <c r="C2666" i="16"/>
  <c r="C2667" i="16"/>
  <c r="C2668" i="16"/>
  <c r="C2669" i="16"/>
  <c r="C2670" i="16"/>
  <c r="C2671" i="16"/>
  <c r="C2672" i="16"/>
  <c r="C2673" i="16"/>
  <c r="C2674" i="16"/>
  <c r="C2675" i="16"/>
  <c r="C2676" i="16"/>
  <c r="C2677" i="16"/>
  <c r="C2678" i="16"/>
  <c r="C2679" i="16"/>
  <c r="C2680" i="16"/>
  <c r="C2681" i="16"/>
  <c r="C2682" i="16"/>
  <c r="C2683" i="16"/>
  <c r="C2684" i="16"/>
  <c r="C2685" i="16"/>
  <c r="C2686" i="16"/>
  <c r="C2687" i="16"/>
  <c r="C2688" i="16"/>
  <c r="C2689" i="16"/>
  <c r="C2690" i="16"/>
  <c r="C2691" i="16"/>
  <c r="C2692" i="16"/>
  <c r="C2693" i="16"/>
  <c r="C2694" i="16"/>
  <c r="C2695" i="16"/>
  <c r="C2696" i="16"/>
  <c r="C2697" i="16"/>
  <c r="C2698" i="16"/>
  <c r="C2699" i="16"/>
  <c r="C2700" i="16"/>
  <c r="C2701" i="16"/>
  <c r="C2702" i="16"/>
  <c r="C2703" i="16"/>
  <c r="C2704" i="16"/>
  <c r="C2705" i="16"/>
  <c r="C2706" i="16"/>
  <c r="C2707" i="16"/>
  <c r="C2708" i="16"/>
  <c r="C2709" i="16"/>
  <c r="C2710" i="16"/>
  <c r="C2711" i="16"/>
  <c r="C2712" i="16"/>
  <c r="C2713" i="16"/>
  <c r="C2714" i="16"/>
  <c r="C2715" i="16"/>
  <c r="C2716" i="16"/>
  <c r="C2717" i="16"/>
  <c r="C2718" i="16"/>
  <c r="C2719" i="16"/>
  <c r="C2720" i="16"/>
  <c r="C2721" i="16"/>
  <c r="C2722" i="16"/>
  <c r="C2723" i="16"/>
  <c r="C2724" i="16"/>
  <c r="C2725" i="16"/>
  <c r="C2726" i="16"/>
  <c r="C2727" i="16"/>
  <c r="C2728" i="16"/>
  <c r="C2729" i="16"/>
  <c r="C2730" i="16"/>
  <c r="C2731" i="16"/>
  <c r="C2732" i="16"/>
  <c r="C2733" i="16"/>
  <c r="C2734" i="16"/>
  <c r="C2735" i="16"/>
  <c r="C2736" i="16"/>
  <c r="C2737" i="16"/>
  <c r="C2738" i="16"/>
  <c r="C2739" i="16"/>
  <c r="C2740" i="16"/>
  <c r="C2741" i="16"/>
  <c r="C2742" i="16"/>
  <c r="C2743" i="16"/>
  <c r="C2744" i="16"/>
  <c r="C2745" i="16"/>
  <c r="C2746" i="16"/>
  <c r="C2747" i="16"/>
  <c r="C2748" i="16"/>
  <c r="C2749" i="16"/>
  <c r="C2750" i="16"/>
  <c r="C2751" i="16"/>
  <c r="C2752" i="16"/>
  <c r="C2753" i="16"/>
  <c r="C2754" i="16"/>
  <c r="C2755" i="16"/>
  <c r="C2756" i="16"/>
  <c r="C2757" i="16"/>
  <c r="C2758" i="16"/>
  <c r="C2759" i="16"/>
  <c r="C2760" i="16"/>
  <c r="C2761" i="16"/>
  <c r="C2762" i="16"/>
  <c r="C2763" i="16"/>
  <c r="C2764" i="16"/>
  <c r="C2765" i="16"/>
  <c r="C2766" i="16"/>
  <c r="C2767" i="16"/>
  <c r="C2768" i="16"/>
  <c r="C2769" i="16"/>
  <c r="C2770" i="16"/>
  <c r="C2771" i="16"/>
  <c r="C2772" i="16"/>
  <c r="C2773" i="16"/>
  <c r="C2774" i="16"/>
  <c r="C2775" i="16"/>
  <c r="C2776" i="16"/>
  <c r="C2777" i="16"/>
  <c r="C2778" i="16"/>
  <c r="C2779" i="16"/>
  <c r="C2780" i="16"/>
  <c r="C2781" i="16"/>
  <c r="C2782" i="16"/>
  <c r="C2783" i="16"/>
  <c r="C2784" i="16"/>
  <c r="C2785" i="16"/>
  <c r="C2786" i="16"/>
  <c r="C2787" i="16"/>
  <c r="C2788" i="16"/>
  <c r="C2789" i="16"/>
  <c r="C2790" i="16"/>
  <c r="C2791" i="16"/>
  <c r="C2792" i="16"/>
  <c r="C2793" i="16"/>
  <c r="C2794" i="16"/>
  <c r="C2795" i="16"/>
  <c r="C2796" i="16"/>
  <c r="C2797" i="16"/>
  <c r="C2798" i="16"/>
  <c r="C2799" i="16"/>
  <c r="C2800" i="16"/>
  <c r="C2801" i="16"/>
  <c r="C2802" i="16"/>
  <c r="C2803" i="16"/>
  <c r="C2804" i="16"/>
  <c r="C2805" i="16"/>
  <c r="C2806" i="16"/>
  <c r="C2807" i="16"/>
  <c r="C2808" i="16"/>
  <c r="C2809" i="16"/>
  <c r="C2810" i="16"/>
  <c r="C2811" i="16"/>
  <c r="C2812" i="16"/>
  <c r="C2813" i="16"/>
  <c r="C2814" i="16"/>
  <c r="C2815" i="16"/>
  <c r="C2816" i="16"/>
  <c r="C2817" i="16"/>
  <c r="C2818" i="16"/>
  <c r="C2819" i="16"/>
  <c r="C2820" i="16"/>
  <c r="C2821" i="16"/>
  <c r="C2822" i="16"/>
  <c r="C2823" i="16"/>
  <c r="C2824" i="16"/>
  <c r="C2825" i="16"/>
  <c r="C2826" i="16"/>
  <c r="C2827" i="16"/>
  <c r="C2828" i="16"/>
  <c r="C2829" i="16"/>
  <c r="C2830" i="16"/>
  <c r="C2831" i="16"/>
  <c r="C2832" i="16"/>
  <c r="C2833" i="16"/>
  <c r="C2834" i="16"/>
  <c r="C2835" i="16"/>
  <c r="C2836" i="16"/>
  <c r="C2837" i="16"/>
  <c r="C2838" i="16"/>
  <c r="C2839" i="16"/>
  <c r="C2840" i="16"/>
  <c r="C2841" i="16"/>
  <c r="C2842" i="16"/>
  <c r="C2843" i="16"/>
  <c r="C2844" i="16"/>
  <c r="C2845" i="16"/>
  <c r="C2846" i="16"/>
  <c r="C2847" i="16"/>
  <c r="C2848" i="16"/>
  <c r="C2849" i="16"/>
  <c r="C2850" i="16"/>
  <c r="C2851" i="16"/>
  <c r="C2852" i="16"/>
  <c r="C2853" i="16"/>
  <c r="C2854" i="16"/>
  <c r="C2855" i="16"/>
  <c r="C2856" i="16"/>
  <c r="C2857" i="16"/>
  <c r="C2858" i="16"/>
  <c r="C2859" i="16"/>
  <c r="C2860" i="16"/>
  <c r="C2861" i="16"/>
  <c r="C2862" i="16"/>
  <c r="C2863" i="16"/>
  <c r="C2864" i="16"/>
  <c r="C2865" i="16"/>
  <c r="C2866" i="16"/>
  <c r="C2867" i="16"/>
  <c r="C2868" i="16"/>
  <c r="C2869" i="16"/>
  <c r="C2870" i="16"/>
  <c r="C2871" i="16"/>
  <c r="C2872" i="16"/>
  <c r="C2873" i="16"/>
  <c r="C2874" i="16"/>
  <c r="C2875" i="16"/>
  <c r="C2876" i="16"/>
  <c r="C2877" i="16"/>
  <c r="C2878" i="16"/>
  <c r="C2879" i="16"/>
  <c r="C2880" i="16"/>
  <c r="C2881" i="16"/>
  <c r="C2882" i="16"/>
  <c r="C2883" i="16"/>
  <c r="C2884" i="16"/>
  <c r="C2885" i="16"/>
  <c r="C2886" i="16"/>
  <c r="C2887" i="16"/>
  <c r="C2888" i="16"/>
  <c r="C2889" i="16"/>
  <c r="C2890" i="16"/>
  <c r="C2891" i="16"/>
  <c r="C2892" i="16"/>
  <c r="C2893" i="16"/>
  <c r="C2894" i="16"/>
  <c r="C2895" i="16"/>
  <c r="C2896" i="16"/>
  <c r="C2897" i="16"/>
  <c r="C2898" i="16"/>
  <c r="C2899" i="16"/>
  <c r="C2900" i="16"/>
  <c r="C2901" i="16"/>
  <c r="C2902" i="16"/>
  <c r="C2903" i="16"/>
  <c r="C2904" i="16"/>
  <c r="C2905" i="16"/>
  <c r="C2906" i="16"/>
  <c r="C2907" i="16"/>
  <c r="C2908" i="16"/>
  <c r="C2909" i="16"/>
  <c r="C2910" i="16"/>
  <c r="C2911" i="16"/>
  <c r="C2912" i="16"/>
  <c r="C2913" i="16"/>
  <c r="C2914" i="16"/>
  <c r="C2915" i="16"/>
  <c r="C2916" i="16"/>
  <c r="C2917" i="16"/>
  <c r="C2918" i="16"/>
  <c r="C2919" i="16"/>
  <c r="C2920" i="16"/>
  <c r="C2921" i="16"/>
  <c r="C2922" i="16"/>
  <c r="C2923" i="16"/>
  <c r="C2924" i="16"/>
  <c r="C2925" i="16"/>
  <c r="C2926" i="16"/>
  <c r="C2927" i="16"/>
  <c r="C2928" i="16"/>
  <c r="C2929" i="16"/>
  <c r="C2930" i="16"/>
  <c r="C2931" i="16"/>
  <c r="C2932" i="16"/>
  <c r="C2933" i="16"/>
  <c r="C2934" i="16"/>
  <c r="C2935" i="16"/>
  <c r="C2936" i="16"/>
  <c r="C2937" i="16"/>
  <c r="C2938" i="16"/>
  <c r="C2939" i="16"/>
  <c r="C2940" i="16"/>
  <c r="C2941" i="16"/>
  <c r="C2942" i="16"/>
  <c r="C2943" i="16"/>
  <c r="C2944" i="16"/>
  <c r="C2945" i="16"/>
  <c r="C2946" i="16"/>
  <c r="C2947" i="16"/>
  <c r="C2948" i="16"/>
  <c r="C2949" i="16"/>
  <c r="C2950" i="16"/>
  <c r="C2951" i="16"/>
  <c r="C2952" i="16"/>
  <c r="C2953" i="16"/>
  <c r="C2954" i="16"/>
  <c r="C2955" i="16"/>
  <c r="C2956" i="16"/>
  <c r="C2957" i="16"/>
  <c r="C2958" i="16"/>
  <c r="C2959" i="16"/>
  <c r="C2960" i="16"/>
  <c r="C2961" i="16"/>
  <c r="C2962" i="16"/>
  <c r="C2963" i="16"/>
  <c r="C2964" i="16"/>
  <c r="C2965" i="16"/>
  <c r="C2966" i="16"/>
  <c r="C2967" i="16"/>
  <c r="C2968" i="16"/>
  <c r="C2969" i="16"/>
  <c r="C2970" i="16"/>
  <c r="C2971" i="16"/>
  <c r="C2972" i="16"/>
  <c r="C2973" i="16"/>
  <c r="C2974" i="16"/>
  <c r="C2975" i="16"/>
  <c r="C2976" i="16"/>
  <c r="C2977" i="16"/>
  <c r="C2978" i="16"/>
  <c r="C2979" i="16"/>
  <c r="C2980" i="16"/>
  <c r="C2981" i="16"/>
  <c r="C2982" i="16"/>
  <c r="C2983" i="16"/>
  <c r="C2984" i="16"/>
  <c r="C2985" i="16"/>
  <c r="C2986" i="16"/>
  <c r="C2987" i="16"/>
  <c r="C2988" i="16"/>
  <c r="C2989" i="16"/>
  <c r="C2990" i="16"/>
  <c r="C2991" i="16"/>
  <c r="C2992" i="16"/>
  <c r="C2993" i="16"/>
  <c r="C2994" i="16"/>
  <c r="C2995" i="16"/>
  <c r="C2996" i="16"/>
  <c r="C2997" i="16"/>
  <c r="C2998" i="16"/>
  <c r="C2999" i="16"/>
  <c r="C3000" i="16"/>
  <c r="C3001" i="16"/>
  <c r="C3002" i="16"/>
  <c r="C3003" i="16"/>
  <c r="C3004" i="16"/>
  <c r="C3005" i="16"/>
  <c r="C3006" i="16"/>
  <c r="C3007" i="16"/>
  <c r="C3008" i="16"/>
  <c r="C3009" i="16"/>
  <c r="C3010" i="16"/>
  <c r="C3011" i="16"/>
  <c r="C3012" i="16"/>
  <c r="C3013" i="16"/>
  <c r="C3014" i="16"/>
  <c r="C3015" i="16"/>
  <c r="C3016" i="16"/>
  <c r="C3017" i="16"/>
  <c r="C3018" i="16"/>
  <c r="C3019" i="16"/>
  <c r="C3020" i="16"/>
  <c r="C3021" i="16"/>
  <c r="C3022" i="16"/>
  <c r="C3023" i="16"/>
  <c r="C3024" i="16"/>
  <c r="C3025" i="16"/>
  <c r="C3026" i="16"/>
  <c r="C3027" i="16"/>
  <c r="C3028" i="16"/>
  <c r="C3029" i="16"/>
  <c r="C3030" i="16"/>
  <c r="C3031" i="16"/>
  <c r="C3032" i="16"/>
  <c r="C3033" i="16"/>
  <c r="C3034" i="16"/>
  <c r="C3035" i="16"/>
  <c r="C3036" i="16"/>
  <c r="C3037" i="16"/>
  <c r="C3038" i="16"/>
  <c r="C3039" i="16"/>
  <c r="C3040" i="16"/>
  <c r="C3041" i="16"/>
  <c r="C3042" i="16"/>
  <c r="C3043" i="16"/>
  <c r="C3044" i="16"/>
  <c r="C3045" i="16"/>
  <c r="C3046" i="16"/>
  <c r="C3047" i="16"/>
  <c r="C3048" i="16"/>
  <c r="C3049" i="16"/>
  <c r="C3050" i="16"/>
  <c r="C3051" i="16"/>
  <c r="C3052" i="16"/>
  <c r="C3053" i="16"/>
  <c r="C3054" i="16"/>
  <c r="C3055" i="16"/>
  <c r="C3056" i="16"/>
  <c r="C3057" i="16"/>
  <c r="C3058" i="16"/>
  <c r="C3059" i="16"/>
  <c r="C3060" i="16"/>
  <c r="C3061" i="16"/>
  <c r="C3062" i="16"/>
  <c r="C3063" i="16"/>
  <c r="C3064" i="16"/>
  <c r="C3065" i="16"/>
  <c r="C3066" i="16"/>
  <c r="C3067" i="16"/>
  <c r="C3068" i="16"/>
  <c r="C3069" i="16"/>
  <c r="C3070" i="16"/>
  <c r="C3071" i="16"/>
  <c r="C3072" i="16"/>
  <c r="C3073" i="16"/>
  <c r="C3074" i="16"/>
  <c r="C3075" i="16"/>
  <c r="C3076" i="16"/>
  <c r="C3077" i="16"/>
  <c r="C3078" i="16"/>
  <c r="C3079" i="16"/>
  <c r="C3080" i="16"/>
  <c r="C3081" i="16"/>
  <c r="C3082" i="16"/>
  <c r="C3083" i="16"/>
  <c r="C3084" i="16"/>
  <c r="C3085" i="16"/>
  <c r="C3086" i="16"/>
  <c r="C3087" i="16"/>
  <c r="C3088" i="16"/>
  <c r="C3089" i="16"/>
  <c r="C3090" i="16"/>
  <c r="C3091" i="16"/>
  <c r="C3092" i="16"/>
  <c r="C3093" i="16"/>
  <c r="C3094" i="16"/>
  <c r="C3095" i="16"/>
  <c r="C3096" i="16"/>
  <c r="C3097" i="16"/>
  <c r="C3098" i="16"/>
  <c r="C3099" i="16"/>
  <c r="C3100" i="16"/>
  <c r="C3101" i="16"/>
  <c r="C3102" i="16"/>
  <c r="C3103" i="16"/>
  <c r="C3104" i="16"/>
  <c r="C3105" i="16"/>
  <c r="C3106" i="16"/>
  <c r="C3107" i="16"/>
  <c r="C3108" i="16"/>
  <c r="C3109" i="16"/>
  <c r="C3110" i="16"/>
  <c r="C3111" i="16"/>
  <c r="C3112" i="16"/>
  <c r="C3113" i="16"/>
  <c r="C3114" i="16"/>
  <c r="C3115" i="16"/>
  <c r="C3116" i="16"/>
  <c r="C3117" i="16"/>
  <c r="C3118" i="16"/>
  <c r="C3119" i="16"/>
  <c r="C3120" i="16"/>
  <c r="C3121" i="16"/>
  <c r="C3122" i="16"/>
  <c r="C3123" i="16"/>
  <c r="C3124" i="16"/>
  <c r="C3125" i="16"/>
  <c r="C3126" i="16"/>
  <c r="C3127" i="16"/>
  <c r="C3128" i="16"/>
  <c r="C3129" i="16"/>
  <c r="C3130" i="16"/>
  <c r="C3131" i="16"/>
  <c r="C3132" i="16"/>
  <c r="C3133" i="16"/>
  <c r="C3134" i="16"/>
  <c r="C3135" i="16"/>
  <c r="C3136" i="16"/>
  <c r="C3137" i="16"/>
  <c r="C3138" i="16"/>
  <c r="C3139" i="16"/>
  <c r="C3140" i="16"/>
  <c r="C3141" i="16"/>
  <c r="C3142" i="16"/>
  <c r="C3143" i="16"/>
  <c r="C3144" i="16"/>
  <c r="C3145" i="16"/>
  <c r="C3146" i="16"/>
  <c r="C3147" i="16"/>
  <c r="C3148" i="16"/>
  <c r="C3149" i="16"/>
  <c r="C3150" i="16"/>
  <c r="C3151" i="16"/>
  <c r="C3152" i="16"/>
  <c r="C3153" i="16"/>
  <c r="C3154" i="16"/>
  <c r="C3155" i="16"/>
  <c r="C3156" i="16"/>
  <c r="C3157" i="16"/>
  <c r="C3158" i="16"/>
  <c r="C3159" i="16"/>
  <c r="C3160" i="16"/>
  <c r="C3161" i="16"/>
  <c r="C3162" i="16"/>
  <c r="C3163" i="16"/>
  <c r="C3164" i="16"/>
  <c r="C3165" i="16"/>
  <c r="C3166" i="16"/>
  <c r="C3167" i="16"/>
  <c r="C3168" i="16"/>
  <c r="C3169" i="16"/>
  <c r="C3170" i="16"/>
  <c r="C3171" i="16"/>
  <c r="C3172" i="16"/>
  <c r="C3173" i="16"/>
  <c r="C3174" i="16"/>
  <c r="C3175" i="16"/>
  <c r="C3176" i="16"/>
  <c r="C3177" i="16"/>
  <c r="C3178" i="16"/>
  <c r="C3179" i="16"/>
  <c r="C3180" i="16"/>
  <c r="C3181" i="16"/>
  <c r="C3182" i="16"/>
  <c r="C3183" i="16"/>
  <c r="C3184" i="16"/>
  <c r="C3185" i="16"/>
  <c r="C3186" i="16"/>
  <c r="C3187" i="16"/>
  <c r="C3188" i="16"/>
  <c r="C3189" i="16"/>
  <c r="C3190" i="16"/>
  <c r="C3191" i="16"/>
  <c r="C3192" i="16"/>
  <c r="C3193" i="16"/>
  <c r="C3194" i="16"/>
  <c r="C3195" i="16"/>
  <c r="C3196" i="16"/>
  <c r="C3197" i="16"/>
  <c r="C3198" i="16"/>
  <c r="C3199" i="16"/>
  <c r="C3200" i="16"/>
  <c r="C3201" i="16"/>
  <c r="C3202" i="16"/>
  <c r="C3203" i="16"/>
  <c r="C3204" i="16"/>
  <c r="C3205" i="16"/>
  <c r="C3206" i="16"/>
  <c r="C3207" i="16"/>
  <c r="C3208" i="16"/>
  <c r="C3209" i="16"/>
  <c r="C3210" i="16"/>
  <c r="C3211" i="16"/>
  <c r="C3212" i="16"/>
  <c r="C3213" i="16"/>
  <c r="C3214" i="16"/>
  <c r="C3215" i="16"/>
  <c r="C3216" i="16"/>
  <c r="C3217" i="16"/>
  <c r="C3218" i="16"/>
  <c r="C3219" i="16"/>
  <c r="C3220" i="16"/>
  <c r="C3221" i="16"/>
  <c r="C3222" i="16"/>
  <c r="C3223" i="16"/>
  <c r="C3224" i="16"/>
  <c r="C3225" i="16"/>
  <c r="C3226" i="16"/>
  <c r="C3227" i="16"/>
  <c r="C3228" i="16"/>
  <c r="C3229" i="16"/>
  <c r="C3230" i="16"/>
  <c r="C3231" i="16"/>
  <c r="C3232" i="16"/>
  <c r="C3233" i="16"/>
  <c r="C3234" i="16"/>
  <c r="C3235" i="16"/>
  <c r="C3236" i="16"/>
  <c r="C3237" i="16"/>
  <c r="C3238" i="16"/>
  <c r="C3239" i="16"/>
  <c r="C3240" i="16"/>
  <c r="C3241" i="16"/>
  <c r="C3242" i="16"/>
  <c r="C3243" i="16"/>
  <c r="C3244" i="16"/>
  <c r="C3245" i="16"/>
  <c r="C3246" i="16"/>
  <c r="C3247" i="16"/>
  <c r="C3248" i="16"/>
  <c r="C3249" i="16"/>
  <c r="C3250" i="16"/>
  <c r="C3251" i="16"/>
  <c r="C3252" i="16"/>
  <c r="C3253" i="16"/>
  <c r="C3254" i="16"/>
  <c r="C3255" i="16"/>
  <c r="C3256" i="16"/>
  <c r="C3257" i="16"/>
  <c r="C3258" i="16"/>
  <c r="C3259" i="16"/>
  <c r="C3260" i="16"/>
  <c r="C3261" i="16"/>
  <c r="C3262" i="16"/>
  <c r="C3263" i="16"/>
  <c r="C3264" i="16"/>
  <c r="C3265" i="16"/>
  <c r="C3266" i="16"/>
  <c r="C3267" i="16"/>
  <c r="C3268" i="16"/>
  <c r="C3269" i="16"/>
  <c r="C3270" i="16"/>
  <c r="C3271" i="16"/>
  <c r="C3272" i="16"/>
  <c r="C3273" i="16"/>
  <c r="C3274" i="16"/>
  <c r="C3275" i="16"/>
  <c r="C3276" i="16"/>
  <c r="C3277" i="16"/>
  <c r="C3278" i="16"/>
  <c r="C3279" i="16"/>
  <c r="C3280" i="16"/>
  <c r="C3281" i="16"/>
  <c r="C3282" i="16"/>
  <c r="C3283" i="16"/>
  <c r="C3284" i="16"/>
  <c r="C3285" i="16"/>
  <c r="C3286" i="16"/>
  <c r="C3287" i="16"/>
  <c r="C3288" i="16"/>
  <c r="C3289" i="16"/>
  <c r="C3290" i="16"/>
  <c r="C3291" i="16"/>
  <c r="C3292" i="16"/>
  <c r="C3293" i="16"/>
  <c r="C3294" i="16"/>
  <c r="C3295" i="16"/>
  <c r="C3296" i="16"/>
  <c r="C3297" i="16"/>
  <c r="C3298" i="16"/>
  <c r="C3299" i="16"/>
  <c r="C3300" i="16"/>
  <c r="C3301" i="16"/>
  <c r="C3302" i="16"/>
  <c r="C3303" i="16"/>
  <c r="C3304" i="16"/>
  <c r="C3305" i="16"/>
  <c r="C3306" i="16"/>
  <c r="C3307" i="16"/>
  <c r="C3308" i="16"/>
  <c r="C3309" i="16"/>
  <c r="C3310" i="16"/>
  <c r="C3311" i="16"/>
  <c r="C3312" i="16"/>
  <c r="C3313" i="16"/>
  <c r="C3314" i="16"/>
  <c r="C3315" i="16"/>
  <c r="C3316" i="16"/>
  <c r="C3317" i="16"/>
  <c r="C3318" i="16"/>
  <c r="C3319" i="16"/>
  <c r="C3320" i="16"/>
  <c r="C3321" i="16"/>
  <c r="C3322" i="16"/>
  <c r="C3323" i="16"/>
  <c r="C3324" i="16"/>
  <c r="C3325" i="16"/>
  <c r="C3326" i="16"/>
  <c r="C3327" i="16"/>
  <c r="C3328" i="16"/>
  <c r="C3329" i="16"/>
  <c r="C3330" i="16"/>
  <c r="C3331" i="16"/>
  <c r="C3332" i="16"/>
  <c r="C3333" i="16"/>
  <c r="C3334" i="16"/>
  <c r="C3335" i="16"/>
  <c r="C3336" i="16"/>
  <c r="C3337" i="16"/>
  <c r="C3338" i="16"/>
  <c r="C3339" i="16"/>
  <c r="C3340" i="16"/>
  <c r="C3341" i="16"/>
  <c r="C3342" i="16"/>
  <c r="C3343" i="16"/>
  <c r="C3344" i="16"/>
  <c r="C3345" i="16"/>
  <c r="C3346" i="16"/>
  <c r="C3347" i="16"/>
  <c r="C3348" i="16"/>
  <c r="C3349" i="16"/>
  <c r="C3350" i="16"/>
  <c r="C3351" i="16"/>
  <c r="C3352" i="16"/>
  <c r="C3353" i="16"/>
  <c r="C3354" i="16"/>
  <c r="C3355" i="16"/>
  <c r="C3356" i="16"/>
  <c r="C3357" i="16"/>
  <c r="C3358" i="16"/>
  <c r="C3359" i="16"/>
  <c r="C3360" i="16"/>
  <c r="C3361" i="16"/>
  <c r="C3362" i="16"/>
  <c r="C3363" i="16"/>
  <c r="C3364" i="16"/>
  <c r="C3365" i="16"/>
  <c r="C3366" i="16"/>
  <c r="C3367" i="16"/>
  <c r="C3368" i="16"/>
  <c r="C3369" i="16"/>
  <c r="C3370" i="16"/>
  <c r="C3371" i="16"/>
  <c r="C3372" i="16"/>
  <c r="C3373" i="16"/>
  <c r="C3374" i="16"/>
  <c r="C3375" i="16"/>
  <c r="C3376" i="16"/>
  <c r="C3377" i="16"/>
  <c r="C3378" i="16"/>
  <c r="C3379" i="16"/>
  <c r="C3380" i="16"/>
  <c r="C3381" i="16"/>
  <c r="C3382" i="16"/>
  <c r="C3383" i="16"/>
  <c r="C3384" i="16"/>
  <c r="C3385" i="16"/>
  <c r="C3386" i="16"/>
  <c r="C3387" i="16"/>
  <c r="C3388" i="16"/>
  <c r="C3389" i="16"/>
  <c r="C3390" i="16"/>
  <c r="C3391" i="16"/>
  <c r="C3392" i="16"/>
  <c r="C3393" i="16"/>
  <c r="C3394" i="16"/>
  <c r="C3395" i="16"/>
  <c r="C3396" i="16"/>
  <c r="C3397" i="16"/>
  <c r="C3398" i="16"/>
  <c r="C3399" i="16"/>
  <c r="C3400" i="16"/>
  <c r="C3401" i="16"/>
  <c r="C3402" i="16"/>
  <c r="C3403" i="16"/>
  <c r="C3404" i="16"/>
  <c r="C3405" i="16"/>
  <c r="C3406" i="16"/>
  <c r="C3407" i="16"/>
  <c r="C3408" i="16"/>
  <c r="C3409" i="16"/>
  <c r="C3410" i="16"/>
  <c r="C3411" i="16"/>
  <c r="C3412" i="16"/>
  <c r="C3413" i="16"/>
  <c r="C3414" i="16"/>
  <c r="C3415" i="16"/>
  <c r="C3416" i="16"/>
  <c r="C3417" i="16"/>
  <c r="C3418" i="16"/>
  <c r="C3419" i="16"/>
  <c r="C3420" i="16"/>
  <c r="C3421" i="16"/>
  <c r="C3422" i="16"/>
  <c r="C3423" i="16"/>
  <c r="C3424" i="16"/>
  <c r="C3425" i="16"/>
  <c r="C3426" i="16"/>
  <c r="C3427" i="16"/>
  <c r="C3428" i="16"/>
  <c r="C3429" i="16"/>
  <c r="C3430" i="16"/>
  <c r="C3431" i="16"/>
  <c r="C3432" i="16"/>
  <c r="C3433" i="16"/>
  <c r="C3434" i="16"/>
  <c r="C3435" i="16"/>
  <c r="C3436" i="16"/>
  <c r="C3437" i="16"/>
  <c r="C3438" i="16"/>
  <c r="C3439" i="16"/>
  <c r="C3440" i="16"/>
  <c r="C3441" i="16"/>
  <c r="C3442" i="16"/>
  <c r="C3443" i="16"/>
  <c r="C3444" i="16"/>
  <c r="C3445" i="16"/>
  <c r="C3446" i="16"/>
  <c r="C3447" i="16"/>
  <c r="C3448" i="16"/>
  <c r="C3449" i="16"/>
  <c r="C3450" i="16"/>
  <c r="C3451" i="16"/>
  <c r="C3452" i="16"/>
  <c r="C3453" i="16"/>
  <c r="C3454" i="16"/>
  <c r="C3455" i="16"/>
  <c r="C3456" i="16"/>
  <c r="C3457" i="16"/>
  <c r="C3458" i="16"/>
  <c r="C3459" i="16"/>
  <c r="C3460" i="16"/>
  <c r="C3461" i="16"/>
  <c r="C3462" i="16"/>
  <c r="C3463" i="16"/>
  <c r="C3464" i="16"/>
  <c r="C3465" i="16"/>
  <c r="C3466" i="16"/>
  <c r="C3467" i="16"/>
  <c r="C3468" i="16"/>
  <c r="C3469" i="16"/>
  <c r="C3470" i="16"/>
  <c r="C3471" i="16"/>
  <c r="C3472" i="16"/>
  <c r="C3473" i="16"/>
  <c r="C3474" i="16"/>
  <c r="C3475" i="16"/>
  <c r="C3476" i="16"/>
  <c r="C3477" i="16"/>
  <c r="C3478" i="16"/>
  <c r="C3479" i="16"/>
  <c r="C3480" i="16"/>
  <c r="C3481" i="16"/>
  <c r="C3482" i="16"/>
  <c r="C3483" i="16"/>
  <c r="C3484" i="16"/>
  <c r="C3485" i="16"/>
  <c r="C3486" i="16"/>
  <c r="C3487" i="16"/>
  <c r="C3488" i="16"/>
  <c r="C3489" i="16"/>
  <c r="C3490" i="16"/>
  <c r="C3491" i="16"/>
  <c r="C3492" i="16"/>
  <c r="C3493" i="16"/>
  <c r="C3494" i="16"/>
  <c r="C3495" i="16"/>
  <c r="C3496" i="16"/>
  <c r="C3497" i="16"/>
  <c r="C3498" i="16"/>
  <c r="C3499" i="16"/>
  <c r="C3500" i="16"/>
  <c r="C3501" i="16"/>
  <c r="C3502" i="16"/>
  <c r="C3503" i="16"/>
  <c r="C3504" i="16"/>
  <c r="C3505" i="16"/>
  <c r="C3506" i="16"/>
  <c r="C3507" i="16"/>
  <c r="C3508" i="16"/>
  <c r="C3509" i="16"/>
  <c r="C3510" i="16"/>
  <c r="C3511" i="16"/>
  <c r="C3512" i="16"/>
  <c r="C3513" i="16"/>
  <c r="C3514" i="16"/>
  <c r="C3515" i="16"/>
  <c r="C3516" i="16"/>
  <c r="C3517" i="16"/>
  <c r="C3518" i="16"/>
  <c r="C3519" i="16"/>
  <c r="C3520" i="16"/>
  <c r="C3521" i="16"/>
  <c r="C3522" i="16"/>
  <c r="C3523" i="16"/>
  <c r="C3524" i="16"/>
  <c r="C3525" i="16"/>
  <c r="C3526" i="16"/>
  <c r="C3527" i="16"/>
  <c r="C3528" i="16"/>
  <c r="C3529" i="16"/>
  <c r="C3530" i="16"/>
  <c r="C3531" i="16"/>
  <c r="C3532" i="16"/>
  <c r="C3533" i="16"/>
  <c r="C3534" i="16"/>
  <c r="C3535" i="16"/>
  <c r="C3536" i="16"/>
  <c r="C3537" i="16"/>
  <c r="C3538" i="16"/>
  <c r="C3539" i="16"/>
  <c r="C3540" i="16"/>
  <c r="C3541" i="16"/>
  <c r="C3542" i="16"/>
  <c r="C3543" i="16"/>
  <c r="C3544" i="16"/>
  <c r="C3545" i="16"/>
  <c r="C3546" i="16"/>
  <c r="C3547" i="16"/>
  <c r="C3548" i="16"/>
  <c r="C3549" i="16"/>
  <c r="C3550" i="16"/>
  <c r="C3551" i="16"/>
  <c r="C3552" i="16"/>
  <c r="C3553" i="16"/>
  <c r="C3554" i="16"/>
  <c r="C3555" i="16"/>
  <c r="C3556" i="16"/>
  <c r="C3557" i="16"/>
  <c r="C3558" i="16"/>
  <c r="C3559" i="16"/>
  <c r="C3560" i="16"/>
  <c r="C3561" i="16"/>
  <c r="C3562" i="16"/>
  <c r="C3563" i="16"/>
  <c r="C3564" i="16"/>
  <c r="C3565" i="16"/>
  <c r="C3566" i="16"/>
  <c r="C3567" i="16"/>
  <c r="C3568" i="16"/>
  <c r="C3569" i="16"/>
  <c r="C3570" i="16"/>
  <c r="C3571" i="16"/>
  <c r="C3572" i="16"/>
  <c r="C3573" i="16"/>
  <c r="C3574" i="16"/>
  <c r="C3575" i="16"/>
  <c r="C3576" i="16"/>
  <c r="C3577" i="16"/>
  <c r="C3578" i="16"/>
  <c r="C3579" i="16"/>
  <c r="C3580" i="16"/>
  <c r="C3581" i="16"/>
  <c r="C3582" i="16"/>
  <c r="C3583" i="16"/>
  <c r="C3584" i="16"/>
  <c r="C3585" i="16"/>
  <c r="C3586" i="16"/>
  <c r="C3587" i="16"/>
  <c r="C3588" i="16"/>
  <c r="C3589" i="16"/>
  <c r="C3590" i="16"/>
  <c r="C3591" i="16"/>
  <c r="C3592" i="16"/>
  <c r="C3593" i="16"/>
  <c r="C3594" i="16"/>
  <c r="C3595" i="16"/>
  <c r="C3596" i="16"/>
  <c r="C3597" i="16"/>
  <c r="C3598" i="16"/>
  <c r="C3599" i="16"/>
  <c r="C3600" i="16"/>
  <c r="C3601" i="16"/>
  <c r="C3602" i="16"/>
  <c r="C3603" i="16"/>
  <c r="C3604" i="16"/>
  <c r="C3605" i="16"/>
  <c r="C3606" i="16"/>
  <c r="C3607" i="16"/>
  <c r="C3608" i="16"/>
  <c r="C3609" i="16"/>
  <c r="C3610" i="16"/>
  <c r="C3611" i="16"/>
  <c r="C3612" i="16"/>
  <c r="C3613" i="16"/>
  <c r="C3614" i="16"/>
  <c r="C3615" i="16"/>
  <c r="C3616" i="16"/>
  <c r="C3617" i="16"/>
  <c r="C3618" i="16"/>
  <c r="C3619" i="16"/>
  <c r="C3620" i="16"/>
  <c r="C3621" i="16"/>
  <c r="C3622" i="16"/>
  <c r="C3623" i="16"/>
  <c r="C3624" i="16"/>
  <c r="C3625" i="16"/>
  <c r="C3626" i="16"/>
  <c r="C3627" i="16"/>
  <c r="C3628" i="16"/>
  <c r="C3629" i="16"/>
  <c r="C3630" i="16"/>
  <c r="C3631" i="16"/>
  <c r="C3632" i="16"/>
  <c r="C3633" i="16"/>
  <c r="C3634" i="16"/>
  <c r="C3635" i="16"/>
  <c r="C3636" i="16"/>
  <c r="C3637" i="16"/>
  <c r="C3638" i="16"/>
  <c r="C3639" i="16"/>
  <c r="C3640" i="16"/>
  <c r="C3641" i="16"/>
  <c r="C3642" i="16"/>
  <c r="C3643" i="16"/>
  <c r="C3644" i="16"/>
  <c r="C3645" i="16"/>
  <c r="C3646" i="16"/>
  <c r="C3647" i="16"/>
  <c r="C3648" i="16"/>
  <c r="C3649" i="16"/>
  <c r="C3650" i="16"/>
  <c r="C3651" i="16"/>
  <c r="C3652" i="16"/>
  <c r="C3653" i="16"/>
  <c r="C3654" i="16"/>
  <c r="C3655" i="16"/>
  <c r="C3656" i="16"/>
  <c r="C3657" i="16"/>
  <c r="C3658" i="16"/>
  <c r="C3659" i="16"/>
  <c r="C3660" i="16"/>
  <c r="C3661" i="16"/>
  <c r="C3662" i="16"/>
  <c r="C3663" i="16"/>
  <c r="C3664" i="16"/>
  <c r="C3665" i="16"/>
  <c r="C3666" i="16"/>
  <c r="C3667" i="16"/>
  <c r="C3668" i="16"/>
  <c r="C3669" i="16"/>
  <c r="C3670" i="16"/>
  <c r="C3671" i="16"/>
  <c r="C3672" i="16"/>
  <c r="C3673" i="16"/>
  <c r="C3674" i="16"/>
  <c r="C3675" i="16"/>
  <c r="C3676" i="16"/>
  <c r="C3677" i="16"/>
  <c r="C3678" i="16"/>
  <c r="C3679" i="16"/>
  <c r="C3680" i="16"/>
  <c r="C3681" i="16"/>
  <c r="C3682" i="16"/>
  <c r="C3683" i="16"/>
  <c r="C3684" i="16"/>
  <c r="C3685" i="16"/>
  <c r="C3686" i="16"/>
  <c r="C3687" i="16"/>
  <c r="C3688" i="16"/>
  <c r="C3689" i="16"/>
  <c r="C3690" i="16"/>
  <c r="C3691" i="16"/>
  <c r="C3692" i="16"/>
  <c r="C3693" i="16"/>
  <c r="C3694" i="16"/>
  <c r="C3695" i="16"/>
  <c r="C3696" i="16"/>
  <c r="C3697" i="16"/>
  <c r="C3698" i="16"/>
  <c r="C3699" i="16"/>
  <c r="C3700" i="16"/>
  <c r="C3701" i="16"/>
  <c r="C3702" i="16"/>
  <c r="C3703" i="16"/>
  <c r="C3704" i="16"/>
  <c r="C3705" i="16"/>
  <c r="C3706" i="16"/>
  <c r="C3707" i="16"/>
  <c r="C3708" i="16"/>
  <c r="C3709" i="16"/>
  <c r="C3710" i="16"/>
  <c r="C3711" i="16"/>
  <c r="C3712" i="16"/>
  <c r="C3713" i="16"/>
  <c r="C3714" i="16"/>
  <c r="C3715" i="16"/>
  <c r="C3716" i="16"/>
  <c r="C3717" i="16"/>
  <c r="C3718" i="16"/>
  <c r="C3719" i="16"/>
  <c r="C3720" i="16"/>
  <c r="C3721" i="16"/>
  <c r="C3722" i="16"/>
  <c r="C3723" i="16"/>
  <c r="C3724" i="16"/>
  <c r="C3725" i="16"/>
  <c r="C3726" i="16"/>
  <c r="C3727" i="16"/>
  <c r="C3728" i="16"/>
  <c r="C3729" i="16"/>
  <c r="C3730" i="16"/>
  <c r="C3731" i="16"/>
  <c r="C3732" i="16"/>
  <c r="C3733" i="16"/>
  <c r="C3734" i="16"/>
  <c r="C3735" i="16"/>
  <c r="C3736" i="16"/>
  <c r="C3737" i="16"/>
  <c r="C3738" i="16"/>
  <c r="C3739" i="16"/>
  <c r="C3740" i="16"/>
  <c r="C3741" i="16"/>
  <c r="C3742" i="16"/>
  <c r="C3743" i="16"/>
  <c r="C3744" i="16"/>
  <c r="C3745" i="16"/>
  <c r="C3746" i="16"/>
  <c r="C3747" i="16"/>
  <c r="C3748" i="16"/>
  <c r="C3749" i="16"/>
  <c r="C3750" i="16"/>
  <c r="C3751" i="16"/>
  <c r="C3752" i="16"/>
  <c r="C3753" i="16"/>
  <c r="C3754" i="16"/>
  <c r="C3755" i="16"/>
  <c r="C3756" i="16"/>
  <c r="C3757" i="16"/>
  <c r="C3758" i="16"/>
  <c r="C3759" i="16"/>
  <c r="C3760" i="16"/>
  <c r="C3761" i="16"/>
  <c r="C3762" i="16"/>
  <c r="C3763" i="16"/>
  <c r="C3764" i="16"/>
  <c r="C3765" i="16"/>
  <c r="C3766" i="16"/>
  <c r="C3767" i="16"/>
  <c r="C3768" i="16"/>
  <c r="C3769" i="16"/>
  <c r="C3770" i="16"/>
  <c r="C3771" i="16"/>
  <c r="C3772" i="16"/>
  <c r="C3773" i="16"/>
  <c r="C3774" i="16"/>
  <c r="C3775" i="16"/>
  <c r="C3776" i="16"/>
  <c r="C3777" i="16"/>
  <c r="C3778" i="16"/>
  <c r="C3779" i="16"/>
  <c r="C3780" i="16"/>
  <c r="C3781" i="16"/>
  <c r="C3782" i="16"/>
  <c r="C3783" i="16"/>
  <c r="C3784" i="16"/>
  <c r="C3785" i="16"/>
  <c r="C3786" i="16"/>
  <c r="C3787" i="16"/>
  <c r="C3788" i="16"/>
  <c r="C3789" i="16"/>
  <c r="C3790" i="16"/>
  <c r="C3791" i="16"/>
  <c r="C3792" i="16"/>
  <c r="C3793" i="16"/>
  <c r="C3794" i="16"/>
  <c r="C3795" i="16"/>
  <c r="C3796" i="16"/>
  <c r="C3797" i="16"/>
  <c r="C3798" i="16"/>
  <c r="C3799" i="16"/>
  <c r="C3800" i="16"/>
  <c r="C3801" i="16"/>
  <c r="C3802" i="16"/>
  <c r="C3803" i="16"/>
  <c r="C3804" i="16"/>
  <c r="C3805" i="16"/>
  <c r="C3806" i="16"/>
  <c r="C3807" i="16"/>
  <c r="C3808" i="16"/>
  <c r="C3809" i="16"/>
  <c r="C3810" i="16"/>
  <c r="C3811" i="16"/>
  <c r="C3812" i="16"/>
  <c r="C3813" i="16"/>
  <c r="C3814" i="16"/>
  <c r="C3815" i="16"/>
  <c r="C3816" i="16"/>
  <c r="C3817" i="16"/>
  <c r="C3818" i="16"/>
  <c r="C3819" i="16"/>
  <c r="C3820" i="16"/>
  <c r="C3821" i="16"/>
  <c r="C3822" i="16"/>
  <c r="C3823" i="16"/>
  <c r="C3824" i="16"/>
  <c r="C3825" i="16"/>
  <c r="C3826" i="16"/>
  <c r="C3827" i="16"/>
  <c r="C3828" i="16"/>
  <c r="C3829" i="16"/>
  <c r="C3830" i="16"/>
  <c r="C3831" i="16"/>
  <c r="C3832" i="16"/>
  <c r="C3833" i="16"/>
  <c r="C3834" i="16"/>
  <c r="C3835" i="16"/>
  <c r="C3836" i="16"/>
  <c r="C3837" i="16"/>
  <c r="C3838" i="16"/>
  <c r="C3839" i="16"/>
  <c r="C3840" i="16"/>
  <c r="C3841" i="16"/>
  <c r="C3842" i="16"/>
  <c r="C3843" i="16"/>
  <c r="C3844" i="16"/>
  <c r="C3845" i="16"/>
  <c r="C3846" i="16"/>
  <c r="C3847" i="16"/>
  <c r="C3848" i="16"/>
  <c r="C3849" i="16"/>
  <c r="C3850" i="16"/>
  <c r="C3851" i="16"/>
  <c r="C3852" i="16"/>
  <c r="C3853" i="16"/>
  <c r="C3854" i="16"/>
  <c r="C3855" i="16"/>
  <c r="C3856" i="16"/>
  <c r="C3857" i="16"/>
  <c r="C3858" i="16"/>
  <c r="C3859" i="16"/>
  <c r="C3860" i="16"/>
  <c r="C3861" i="16"/>
  <c r="C3862" i="16"/>
  <c r="C3863" i="16"/>
  <c r="C3864" i="16"/>
  <c r="C3865" i="16"/>
  <c r="C3866" i="16"/>
  <c r="C3867" i="16"/>
  <c r="C3868" i="16"/>
  <c r="C3869" i="16"/>
  <c r="C3870" i="16"/>
  <c r="C3871" i="16"/>
  <c r="C3872" i="16"/>
  <c r="C3873" i="16"/>
  <c r="C3874" i="16"/>
  <c r="C3875" i="16"/>
  <c r="C3876" i="16"/>
  <c r="C3877" i="16"/>
  <c r="C3878" i="16"/>
  <c r="C3879" i="16"/>
  <c r="C3880" i="16"/>
  <c r="C3881" i="16"/>
  <c r="C3882" i="16"/>
  <c r="C3883" i="16"/>
  <c r="C3884" i="16"/>
  <c r="C3885" i="16"/>
  <c r="C3886" i="16"/>
  <c r="C3887" i="16"/>
  <c r="C3888" i="16"/>
  <c r="C3889" i="16"/>
  <c r="C3890" i="16"/>
  <c r="C3891" i="16"/>
  <c r="C3892" i="16"/>
  <c r="C3893" i="16"/>
  <c r="C3894" i="16"/>
  <c r="C3895" i="16"/>
  <c r="C3896" i="16"/>
  <c r="C3897" i="16"/>
  <c r="C3898" i="16"/>
  <c r="C3899" i="16"/>
  <c r="C3900" i="16"/>
  <c r="C3901" i="16"/>
  <c r="C3902" i="16"/>
  <c r="C3903" i="16"/>
  <c r="C3904" i="16"/>
  <c r="C3905" i="16"/>
  <c r="C3906" i="16"/>
  <c r="C3907" i="16"/>
  <c r="C3908" i="16"/>
  <c r="C3909" i="16"/>
  <c r="C3910" i="16"/>
  <c r="C3911" i="16"/>
  <c r="C3912" i="16"/>
  <c r="C3913" i="16"/>
  <c r="C3914" i="16"/>
  <c r="C3915" i="16"/>
  <c r="C3916" i="16"/>
  <c r="C3917" i="16"/>
  <c r="C3918" i="16"/>
  <c r="C3919" i="16"/>
  <c r="C3920" i="16"/>
  <c r="C3921" i="16"/>
  <c r="C3922" i="16"/>
  <c r="C3923" i="16"/>
  <c r="C3924" i="16"/>
  <c r="C3925" i="16"/>
  <c r="C3926" i="16"/>
  <c r="C3927" i="16"/>
  <c r="C3928" i="16"/>
  <c r="C3929" i="16"/>
  <c r="C3930" i="16"/>
  <c r="C3931" i="16"/>
  <c r="C3932" i="16"/>
  <c r="C3933" i="16"/>
  <c r="C3934" i="16"/>
  <c r="C3935" i="16"/>
  <c r="C3936" i="16"/>
  <c r="C3937" i="16"/>
  <c r="C3938" i="16"/>
  <c r="C3939" i="16"/>
  <c r="C3940" i="16"/>
  <c r="C3941" i="16"/>
  <c r="C3942" i="16"/>
  <c r="C3943" i="16"/>
  <c r="C3944" i="16"/>
  <c r="C3945" i="16"/>
  <c r="C3946" i="16"/>
  <c r="C3947" i="16"/>
  <c r="C3948" i="16"/>
  <c r="C3949" i="16"/>
  <c r="C3950" i="16"/>
  <c r="C3951" i="16"/>
  <c r="C3952" i="16"/>
  <c r="C3953" i="16"/>
  <c r="C3954" i="16"/>
  <c r="C3955" i="16"/>
  <c r="C3956" i="16"/>
  <c r="C3957" i="16"/>
  <c r="C3958" i="16"/>
  <c r="C3959" i="16"/>
  <c r="C3960" i="16"/>
  <c r="C3961" i="16"/>
  <c r="C3962" i="16"/>
  <c r="C3963" i="16"/>
  <c r="C3964" i="16"/>
  <c r="C3965" i="16"/>
  <c r="C3966" i="16"/>
  <c r="C3967" i="16"/>
  <c r="C3968" i="16"/>
  <c r="C3969" i="16"/>
  <c r="C3970" i="16"/>
  <c r="C3971" i="16"/>
  <c r="C3972" i="16"/>
  <c r="C3973" i="16"/>
  <c r="C3974" i="16"/>
  <c r="C3975" i="16"/>
  <c r="C3976" i="16"/>
  <c r="C3977" i="16"/>
  <c r="C3978" i="16"/>
  <c r="C3979" i="16"/>
  <c r="C3980" i="16"/>
  <c r="C3981" i="16"/>
  <c r="C3982" i="16"/>
  <c r="C3983" i="16"/>
  <c r="C3984" i="16"/>
  <c r="C3985" i="16"/>
  <c r="C3986" i="16"/>
  <c r="C3987" i="16"/>
  <c r="C3988" i="16"/>
  <c r="C3989" i="16"/>
  <c r="C3990" i="16"/>
  <c r="C3991" i="16"/>
  <c r="C3992" i="16"/>
  <c r="C3993" i="16"/>
  <c r="C3994" i="16"/>
  <c r="C3995" i="16"/>
  <c r="C3996" i="16"/>
  <c r="C3997" i="16"/>
  <c r="C3998" i="16"/>
  <c r="C3999" i="16"/>
  <c r="C4000" i="16"/>
  <c r="C4001" i="16"/>
  <c r="C4002" i="16"/>
  <c r="C4003" i="16"/>
  <c r="C4004" i="16"/>
  <c r="C4005" i="16"/>
  <c r="C4006" i="16"/>
  <c r="C4007" i="16"/>
  <c r="C4008" i="16"/>
  <c r="C4009" i="16"/>
  <c r="C4010" i="16"/>
  <c r="C4011" i="16"/>
  <c r="C4012" i="16"/>
  <c r="C4013" i="16"/>
  <c r="C4014" i="16"/>
  <c r="C4015" i="16"/>
  <c r="C4016" i="16"/>
  <c r="C4017" i="16"/>
  <c r="C4018" i="16"/>
  <c r="C4019" i="16"/>
  <c r="C4020" i="16"/>
  <c r="C4021" i="16"/>
  <c r="C4022" i="16"/>
  <c r="C4023" i="16"/>
  <c r="C4024" i="16"/>
  <c r="C4025" i="16"/>
  <c r="C4026" i="16"/>
  <c r="C4027" i="16"/>
  <c r="C4028" i="16"/>
  <c r="C4029" i="16"/>
  <c r="C4030" i="16"/>
  <c r="C4031" i="16"/>
  <c r="C4032" i="16"/>
  <c r="C4033" i="16"/>
  <c r="C4034" i="16"/>
  <c r="C4035" i="16"/>
  <c r="C4036" i="16"/>
  <c r="C4037" i="16"/>
  <c r="C4038" i="16"/>
  <c r="C4039" i="16"/>
  <c r="C4040" i="16"/>
  <c r="C4041" i="16"/>
  <c r="C4042" i="16"/>
  <c r="C4043" i="16"/>
  <c r="C4044" i="16"/>
  <c r="C4045" i="16"/>
  <c r="C4046" i="16"/>
  <c r="C4047" i="16"/>
  <c r="C4048" i="16"/>
  <c r="C4049" i="16"/>
  <c r="C4050" i="16"/>
  <c r="C4051" i="16"/>
  <c r="C4052" i="16"/>
  <c r="C4053" i="16"/>
  <c r="C4054" i="16"/>
  <c r="C4055" i="16"/>
  <c r="C4056" i="16"/>
  <c r="C4057" i="16"/>
  <c r="C4058" i="16"/>
  <c r="C4059" i="16"/>
  <c r="C4060" i="16"/>
  <c r="C4061" i="16"/>
  <c r="C4062" i="16"/>
  <c r="C4063" i="16"/>
  <c r="C4064" i="16"/>
  <c r="C4065" i="16"/>
  <c r="C4066" i="16"/>
  <c r="C4067" i="16"/>
  <c r="C4068" i="16"/>
  <c r="C4069" i="16"/>
  <c r="C4070" i="16"/>
  <c r="C4071" i="16"/>
  <c r="C4072" i="16"/>
  <c r="C4073" i="16"/>
  <c r="C4074" i="16"/>
  <c r="C4075" i="16"/>
  <c r="C4076" i="16"/>
  <c r="C4077" i="16"/>
  <c r="C4078" i="16"/>
  <c r="C4079" i="16"/>
  <c r="C4080" i="16"/>
  <c r="C4081" i="16"/>
  <c r="C4082" i="16"/>
  <c r="C4083" i="16"/>
  <c r="C4084" i="16"/>
  <c r="C4085" i="16"/>
  <c r="C4086" i="16"/>
  <c r="C4087" i="16"/>
  <c r="C4088" i="16"/>
  <c r="C4089" i="16"/>
  <c r="C4090" i="16"/>
  <c r="C4091" i="16"/>
  <c r="C4092" i="16"/>
  <c r="C4093" i="16"/>
  <c r="C4094" i="16"/>
  <c r="C4095" i="16"/>
  <c r="C4096" i="16"/>
  <c r="C4097" i="16"/>
  <c r="C4098" i="16"/>
  <c r="C4099" i="16"/>
  <c r="C4100" i="16"/>
  <c r="C4101" i="16"/>
  <c r="C4102" i="16"/>
  <c r="C4103" i="16"/>
  <c r="C4104" i="16"/>
  <c r="C4105" i="16"/>
  <c r="C4106" i="16"/>
  <c r="C4107" i="16"/>
  <c r="C4108" i="16"/>
  <c r="C4109" i="16"/>
  <c r="C4110" i="16"/>
  <c r="C4111" i="16"/>
  <c r="C4112" i="16"/>
  <c r="C4113" i="16"/>
  <c r="C4114" i="16"/>
  <c r="C4115" i="16"/>
  <c r="C4116" i="16"/>
  <c r="C4117" i="16"/>
  <c r="C4118" i="16"/>
  <c r="C4119" i="16"/>
  <c r="C4120" i="16"/>
  <c r="C4121" i="16"/>
  <c r="C4122" i="16"/>
  <c r="C4123" i="16"/>
  <c r="C4124" i="16"/>
  <c r="C4125" i="16"/>
  <c r="C4126" i="16"/>
  <c r="C4127" i="16"/>
  <c r="C4128" i="16"/>
  <c r="C4129" i="16"/>
  <c r="C4130" i="16"/>
  <c r="C4131" i="16"/>
  <c r="C4132" i="16"/>
  <c r="C4133" i="16"/>
  <c r="C4134" i="16"/>
  <c r="C4135" i="16"/>
  <c r="C4136" i="16"/>
  <c r="C4137" i="16"/>
  <c r="C4138" i="16"/>
  <c r="C4139" i="16"/>
  <c r="C4140" i="16"/>
  <c r="C4141" i="16"/>
  <c r="C4142" i="16"/>
  <c r="C4143" i="16"/>
  <c r="C4144" i="16"/>
  <c r="C4145" i="16"/>
  <c r="C4146" i="16"/>
  <c r="C4147" i="16"/>
  <c r="C4148" i="16"/>
  <c r="C4149" i="16"/>
  <c r="C4150" i="16"/>
  <c r="C4151" i="16"/>
  <c r="C4152" i="16"/>
  <c r="C4153" i="16"/>
  <c r="C4154" i="16"/>
  <c r="C4155" i="16"/>
  <c r="C4156" i="16"/>
  <c r="C4157" i="16"/>
  <c r="C4158" i="16"/>
  <c r="C4159" i="16"/>
  <c r="C4160" i="16"/>
  <c r="C4161" i="16"/>
  <c r="C4162" i="16"/>
  <c r="C4163" i="16"/>
  <c r="C4164" i="16"/>
  <c r="C4165" i="16"/>
  <c r="C4166" i="16"/>
  <c r="C4167" i="16"/>
  <c r="C4168" i="16"/>
  <c r="C4169" i="16"/>
  <c r="C4170" i="16"/>
  <c r="C4171" i="16"/>
  <c r="C4172" i="16"/>
  <c r="C4173" i="16"/>
  <c r="C4174" i="16"/>
  <c r="C4175" i="16"/>
  <c r="C4176" i="16"/>
  <c r="C4177" i="16"/>
  <c r="C4178" i="16"/>
  <c r="C4179" i="16"/>
  <c r="C4180" i="16"/>
  <c r="C4181" i="16"/>
  <c r="C4182" i="16"/>
  <c r="C4183" i="16"/>
  <c r="C4184" i="16"/>
  <c r="C4185" i="16"/>
  <c r="C4186" i="16"/>
  <c r="C4187" i="16"/>
  <c r="C4188" i="16"/>
  <c r="C4189" i="16"/>
  <c r="C4190" i="16"/>
  <c r="C4191" i="16"/>
  <c r="C4192" i="16"/>
  <c r="C4193" i="16"/>
  <c r="C4194" i="16"/>
  <c r="C4195" i="16"/>
  <c r="C4196" i="16"/>
  <c r="C4197" i="16"/>
  <c r="C4198" i="16"/>
  <c r="C4199" i="16"/>
  <c r="C4200" i="16"/>
  <c r="C4201" i="16"/>
  <c r="C4202" i="16"/>
  <c r="C4203" i="16"/>
  <c r="C4204" i="16"/>
  <c r="C4205" i="16"/>
  <c r="C4206" i="16"/>
  <c r="C4207" i="16"/>
  <c r="C4208" i="16"/>
  <c r="C4209" i="16"/>
  <c r="C4210" i="16"/>
  <c r="C4211" i="16"/>
  <c r="C4212" i="16"/>
  <c r="C4213" i="16"/>
  <c r="C4214" i="16"/>
  <c r="C4215" i="16"/>
  <c r="C4216" i="16"/>
  <c r="C4217" i="16"/>
  <c r="C4218" i="16"/>
  <c r="C4219" i="16"/>
  <c r="C4220" i="16"/>
  <c r="C4221" i="16"/>
  <c r="C4222" i="16"/>
  <c r="C4223" i="16"/>
  <c r="C4224" i="16"/>
  <c r="C4225" i="16"/>
  <c r="C4226" i="16"/>
  <c r="C4227" i="16"/>
  <c r="C4228" i="16"/>
  <c r="C4229" i="16"/>
  <c r="C4230" i="16"/>
  <c r="C4231" i="16"/>
  <c r="C4232" i="16"/>
  <c r="C4233" i="16"/>
  <c r="C4234" i="16"/>
  <c r="C4235" i="16"/>
  <c r="C4236" i="16"/>
  <c r="C4237" i="16"/>
  <c r="C4238" i="16"/>
  <c r="C4239" i="16"/>
  <c r="C4240" i="16"/>
  <c r="C4241" i="16"/>
  <c r="C4242" i="16"/>
  <c r="C4243" i="16"/>
  <c r="C4244" i="16"/>
  <c r="C4245" i="16"/>
  <c r="C4246" i="16"/>
  <c r="C4247" i="16"/>
  <c r="C4248" i="16"/>
  <c r="C4249" i="16"/>
  <c r="C4250" i="16"/>
  <c r="C4251" i="16"/>
  <c r="C4252" i="16"/>
  <c r="C4253" i="16"/>
  <c r="C4254" i="16"/>
  <c r="C4255" i="16"/>
  <c r="C4256" i="16"/>
  <c r="C4257" i="16"/>
  <c r="C4258" i="16"/>
  <c r="C4259" i="16"/>
  <c r="C4260" i="16"/>
  <c r="C4261" i="16"/>
  <c r="C4262" i="16"/>
  <c r="C4263" i="16"/>
  <c r="C4264" i="16"/>
  <c r="C4265" i="16"/>
  <c r="C4266" i="16"/>
  <c r="C4267" i="16"/>
  <c r="C4268" i="16"/>
  <c r="C4269" i="16"/>
  <c r="C4270" i="16"/>
  <c r="C4271" i="16"/>
  <c r="C4272" i="16"/>
  <c r="C4273" i="16"/>
  <c r="C4274" i="16"/>
  <c r="C4275" i="16"/>
  <c r="C4276" i="16"/>
  <c r="C4277" i="16"/>
  <c r="C4278" i="16"/>
  <c r="C4279" i="16"/>
  <c r="C4280" i="16"/>
  <c r="C4281" i="16"/>
  <c r="C4282" i="16"/>
  <c r="C4283" i="16"/>
  <c r="C4284" i="16"/>
  <c r="C4285" i="16"/>
  <c r="C4286" i="16"/>
  <c r="C4287" i="16"/>
  <c r="C4288" i="16"/>
  <c r="C4289" i="16"/>
  <c r="C4290" i="16"/>
  <c r="C4291" i="16"/>
  <c r="C4292" i="16"/>
  <c r="C4293" i="16"/>
  <c r="C4294" i="16"/>
  <c r="C4295" i="16"/>
  <c r="C4296" i="16"/>
  <c r="C4297" i="16"/>
  <c r="C4298" i="16"/>
  <c r="C4299" i="16"/>
  <c r="C4300" i="16"/>
  <c r="C4301" i="16"/>
  <c r="C4302" i="16"/>
  <c r="C4303" i="16"/>
  <c r="C4304" i="16"/>
  <c r="C4305" i="16"/>
  <c r="C4306" i="16"/>
  <c r="C4307" i="16"/>
  <c r="C4308" i="16"/>
  <c r="C4309" i="16"/>
  <c r="C4310" i="16"/>
  <c r="C4311" i="16"/>
  <c r="C4312" i="16"/>
  <c r="C4313" i="16"/>
  <c r="C4314" i="16"/>
  <c r="C4315" i="16"/>
  <c r="C4316" i="16"/>
  <c r="C4317" i="16"/>
  <c r="C4318" i="16"/>
  <c r="C4319" i="16"/>
  <c r="C4320" i="16"/>
  <c r="C4321" i="16"/>
  <c r="C4322" i="16"/>
  <c r="C4323" i="16"/>
  <c r="C4324" i="16"/>
  <c r="C4325" i="16"/>
  <c r="C4326" i="16"/>
  <c r="C4327" i="16"/>
  <c r="C4328" i="16"/>
  <c r="C4329" i="16"/>
  <c r="C4330" i="16"/>
  <c r="C4331" i="16"/>
  <c r="C4332" i="16"/>
  <c r="C4333" i="16"/>
  <c r="C4334" i="16"/>
  <c r="C4335" i="16"/>
  <c r="C4336" i="16"/>
  <c r="C4337" i="16"/>
  <c r="C4338" i="16"/>
  <c r="C4339" i="16"/>
  <c r="C4340" i="16"/>
  <c r="C4341" i="16"/>
  <c r="C4342" i="16"/>
  <c r="C4343" i="16"/>
  <c r="C4344" i="16"/>
  <c r="C4345" i="16"/>
  <c r="C4346" i="16"/>
  <c r="C4347" i="16"/>
  <c r="C4348" i="16"/>
  <c r="C4349" i="16"/>
  <c r="C4350" i="16"/>
  <c r="C4351" i="16"/>
  <c r="C4352" i="16"/>
  <c r="C4353" i="16"/>
  <c r="C4354" i="16"/>
  <c r="C4355" i="16"/>
  <c r="C4356" i="16"/>
  <c r="C4357" i="16"/>
  <c r="C4358" i="16"/>
  <c r="C4359" i="16"/>
  <c r="C4360" i="16"/>
  <c r="C4361" i="16"/>
  <c r="C4362" i="16"/>
  <c r="C4363" i="16"/>
  <c r="C4364" i="16"/>
  <c r="C4365" i="16"/>
  <c r="C4366" i="16"/>
  <c r="C4367" i="16"/>
  <c r="C4368" i="16"/>
  <c r="C4369" i="16"/>
  <c r="C4370" i="16"/>
  <c r="C4371" i="16"/>
  <c r="C4372" i="16"/>
  <c r="C4373" i="16"/>
  <c r="C4374" i="16"/>
  <c r="C4375" i="16"/>
  <c r="C4376" i="16"/>
  <c r="C4377" i="16"/>
  <c r="C4378" i="16"/>
  <c r="C4379" i="16"/>
  <c r="C4380" i="16"/>
  <c r="C4381" i="16"/>
  <c r="C4382" i="16"/>
  <c r="C4383" i="16"/>
  <c r="C4384" i="16"/>
  <c r="C4385" i="16"/>
  <c r="C4386" i="16"/>
  <c r="C4387" i="16"/>
  <c r="C4388" i="16"/>
  <c r="C4389" i="16"/>
  <c r="C4390" i="16"/>
  <c r="C4391" i="16"/>
  <c r="C4392" i="16"/>
  <c r="C4393" i="16"/>
  <c r="C4394" i="16"/>
  <c r="C4395" i="16"/>
  <c r="C4396" i="16"/>
  <c r="C4397" i="16"/>
  <c r="C4398" i="16"/>
  <c r="C4399" i="16"/>
  <c r="C4400" i="16"/>
  <c r="C4401" i="16"/>
  <c r="C4402" i="16"/>
  <c r="C4403" i="16"/>
  <c r="C4404" i="16"/>
  <c r="C4405" i="16"/>
  <c r="C4406" i="16"/>
  <c r="C4407" i="16"/>
  <c r="C4408" i="16"/>
  <c r="C4409" i="16"/>
  <c r="C4410" i="16"/>
  <c r="C4411" i="16"/>
  <c r="C4412" i="16"/>
  <c r="C4413" i="16"/>
  <c r="C4414" i="16"/>
  <c r="C4415" i="16"/>
  <c r="C4416" i="16"/>
  <c r="C4417" i="16"/>
  <c r="C4418" i="16"/>
  <c r="C4419" i="16"/>
  <c r="C4420" i="16"/>
  <c r="C4421" i="16"/>
  <c r="C4422" i="16"/>
  <c r="C4423" i="16"/>
  <c r="C4424" i="16"/>
  <c r="C4425" i="16"/>
  <c r="C4426" i="16"/>
  <c r="C4427" i="16"/>
  <c r="C4428" i="16"/>
  <c r="C4429" i="16"/>
  <c r="C4430" i="16"/>
  <c r="C4431" i="16"/>
  <c r="C4432" i="16"/>
  <c r="C4433" i="16"/>
  <c r="C4434" i="16"/>
  <c r="C4435" i="16"/>
  <c r="C4436" i="16"/>
  <c r="C4437" i="16"/>
  <c r="C4438" i="16"/>
  <c r="C4439" i="16"/>
  <c r="C4440" i="16"/>
  <c r="C4441" i="16"/>
  <c r="C4442" i="16"/>
  <c r="C4443" i="16"/>
  <c r="C4444" i="16"/>
  <c r="C4445" i="16"/>
  <c r="C4446" i="16"/>
  <c r="C4447" i="16"/>
  <c r="C4448" i="16"/>
  <c r="C4449" i="16"/>
  <c r="C4450" i="16"/>
  <c r="C4451" i="16"/>
  <c r="C4452" i="16"/>
  <c r="C4453" i="16"/>
  <c r="C4454" i="16"/>
  <c r="C4455" i="16"/>
  <c r="C4456" i="16"/>
  <c r="C4457" i="16"/>
  <c r="C4458" i="16"/>
  <c r="C4459" i="16"/>
  <c r="C4460" i="16"/>
  <c r="C4461" i="16"/>
  <c r="C4462" i="16"/>
  <c r="C4463" i="16"/>
  <c r="C4464" i="16"/>
  <c r="C4465" i="16"/>
  <c r="C4466" i="16"/>
  <c r="C4467" i="16"/>
  <c r="C4468" i="16"/>
  <c r="C4469" i="16"/>
  <c r="C4470" i="16"/>
  <c r="C4471" i="16"/>
  <c r="C4472" i="16"/>
  <c r="C4473" i="16"/>
  <c r="C4474" i="16"/>
  <c r="C4475" i="16"/>
  <c r="C4476" i="16"/>
  <c r="C4477" i="16"/>
  <c r="C4478" i="16"/>
  <c r="C4479" i="16"/>
  <c r="C4480" i="16"/>
  <c r="C4481" i="16"/>
  <c r="C4482" i="16"/>
  <c r="C4483" i="16"/>
  <c r="C4484" i="16"/>
  <c r="C4485" i="16"/>
  <c r="C4486" i="16"/>
  <c r="C4487" i="16"/>
  <c r="C4488" i="16"/>
  <c r="C4489" i="16"/>
  <c r="C4490" i="16"/>
  <c r="C4491" i="16"/>
  <c r="C4492" i="16"/>
  <c r="C4493" i="16"/>
  <c r="C4494" i="16"/>
  <c r="C4495" i="16"/>
  <c r="C4496" i="16"/>
  <c r="C4497" i="16"/>
  <c r="C4498" i="16"/>
  <c r="C4499" i="16"/>
  <c r="C4500" i="16"/>
  <c r="C4501" i="16"/>
  <c r="C4502" i="16"/>
  <c r="C4503" i="16"/>
  <c r="C4504" i="16"/>
  <c r="C4505" i="16"/>
  <c r="C4506" i="16"/>
  <c r="C4507" i="16"/>
  <c r="C4508" i="16"/>
  <c r="C4509" i="16"/>
  <c r="C4510" i="16"/>
  <c r="C4511" i="16"/>
  <c r="C4512" i="16"/>
  <c r="C4513" i="16"/>
  <c r="C4514" i="16"/>
  <c r="C4515" i="16"/>
  <c r="C4516" i="16"/>
  <c r="C4517" i="16"/>
  <c r="C4518" i="16"/>
  <c r="C4519" i="16"/>
  <c r="C4520" i="16"/>
  <c r="C4521" i="16"/>
  <c r="C4522" i="16"/>
  <c r="C4523" i="16"/>
  <c r="C4524" i="16"/>
  <c r="C4525" i="16"/>
  <c r="C4526" i="16"/>
  <c r="C4527" i="16"/>
  <c r="C4528" i="16"/>
  <c r="C4529" i="16"/>
  <c r="C4530" i="16"/>
  <c r="C4531" i="16"/>
  <c r="C4532" i="16"/>
  <c r="C4533" i="16"/>
  <c r="C4534" i="16"/>
  <c r="C4535" i="16"/>
  <c r="C4536" i="16"/>
  <c r="C4537" i="16"/>
  <c r="C4538" i="16"/>
  <c r="C4539" i="16"/>
  <c r="C4540" i="16"/>
  <c r="C4541" i="16"/>
  <c r="C4542" i="16"/>
  <c r="C4543" i="16"/>
  <c r="C4544" i="16"/>
  <c r="C4545" i="16"/>
  <c r="C4546" i="16"/>
  <c r="C4547" i="16"/>
  <c r="C4548" i="16"/>
  <c r="C4549" i="16"/>
  <c r="C4550" i="16"/>
  <c r="C4551" i="16"/>
  <c r="C4552" i="16"/>
  <c r="C4553" i="16"/>
  <c r="C4554" i="16"/>
  <c r="C4555" i="16"/>
  <c r="C4556" i="16"/>
  <c r="C4557" i="16"/>
  <c r="C4558" i="16"/>
  <c r="C4559" i="16"/>
  <c r="C4560" i="16"/>
  <c r="C4561" i="16"/>
  <c r="C4562" i="16"/>
  <c r="C4563" i="16"/>
  <c r="C4564" i="16"/>
  <c r="C4565" i="16"/>
  <c r="C4566" i="16"/>
  <c r="C4567" i="16"/>
  <c r="C4568" i="16"/>
  <c r="C4569" i="16"/>
  <c r="C4570" i="16"/>
  <c r="C4571" i="16"/>
  <c r="C4572" i="16"/>
  <c r="C4573" i="16"/>
  <c r="C4574" i="16"/>
  <c r="C4575" i="16"/>
  <c r="C4576" i="16"/>
  <c r="C4577" i="16"/>
  <c r="C4578" i="16"/>
  <c r="C4579" i="16"/>
  <c r="C4580" i="16"/>
  <c r="C4581" i="16"/>
  <c r="C4582" i="16"/>
  <c r="C4583" i="16"/>
  <c r="C4584" i="16"/>
  <c r="C4585" i="16"/>
  <c r="C4586" i="16"/>
  <c r="C4587" i="16"/>
  <c r="C4588" i="16"/>
  <c r="C4589" i="16"/>
  <c r="C4590" i="16"/>
  <c r="C4591" i="16"/>
  <c r="C4592" i="16"/>
  <c r="C4593" i="16"/>
  <c r="C4594" i="16"/>
  <c r="C4595" i="16"/>
  <c r="C4596" i="16"/>
  <c r="C4597" i="16"/>
  <c r="C4598" i="16"/>
  <c r="C4599" i="16"/>
  <c r="C4600" i="16"/>
  <c r="C4601" i="16"/>
  <c r="C4602" i="16"/>
  <c r="C4603" i="16"/>
  <c r="C4604" i="16"/>
  <c r="C4605" i="16"/>
  <c r="C4606" i="16"/>
  <c r="C4607" i="16"/>
  <c r="C4608" i="16"/>
  <c r="C4609" i="16"/>
  <c r="C4610" i="16"/>
  <c r="C4611" i="16"/>
  <c r="C4612" i="16"/>
  <c r="C4613" i="16"/>
  <c r="C4614" i="16"/>
  <c r="C4615" i="16"/>
  <c r="C4616" i="16"/>
  <c r="C4617" i="16"/>
  <c r="C4618" i="16"/>
  <c r="C4619" i="16"/>
  <c r="C4620" i="16"/>
  <c r="C4621" i="16"/>
  <c r="C4622" i="16"/>
  <c r="C4623" i="16"/>
  <c r="C4624" i="16"/>
  <c r="C4625" i="16"/>
  <c r="C4626" i="16"/>
  <c r="C4627" i="16"/>
  <c r="C4628" i="16"/>
  <c r="C4629" i="16"/>
  <c r="C4630" i="16"/>
  <c r="C4631" i="16"/>
  <c r="C4632" i="16"/>
  <c r="C4633" i="16"/>
  <c r="C4634" i="16"/>
  <c r="C4635" i="16"/>
  <c r="C4636" i="16"/>
  <c r="C4637" i="16"/>
  <c r="C4638" i="16"/>
  <c r="C4639" i="16"/>
  <c r="C4640" i="16"/>
  <c r="C4641" i="16"/>
  <c r="C4642" i="16"/>
  <c r="C4643" i="16"/>
  <c r="C4644" i="16"/>
  <c r="C4645" i="16"/>
  <c r="C4646" i="16"/>
  <c r="C4647" i="16"/>
  <c r="C4648" i="16"/>
  <c r="C4649" i="16"/>
  <c r="C4650" i="16"/>
  <c r="C4651" i="16"/>
  <c r="C4652" i="16"/>
  <c r="C4653" i="16"/>
  <c r="C4654" i="16"/>
  <c r="C4655" i="16"/>
  <c r="C4656" i="16"/>
  <c r="C4657" i="16"/>
  <c r="C4658" i="16"/>
  <c r="C4659" i="16"/>
  <c r="C4660" i="16"/>
  <c r="C4661" i="16"/>
  <c r="C4662" i="16"/>
  <c r="C4663" i="16"/>
  <c r="C4664" i="16"/>
  <c r="C4665" i="16"/>
  <c r="C4666" i="16"/>
  <c r="C4667" i="16"/>
  <c r="C4668" i="16"/>
  <c r="C4669" i="16"/>
  <c r="C4670" i="16"/>
  <c r="C4671" i="16"/>
  <c r="C4672" i="16"/>
  <c r="C4673" i="16"/>
  <c r="C4674" i="16"/>
  <c r="C4675" i="16"/>
  <c r="C4676" i="16"/>
  <c r="C4677" i="16"/>
  <c r="C4678" i="16"/>
  <c r="C4679" i="16"/>
  <c r="C4680" i="16"/>
  <c r="C4681" i="16"/>
  <c r="C4682" i="16"/>
  <c r="C4683" i="16"/>
  <c r="C4684" i="16"/>
  <c r="C4685" i="16"/>
  <c r="C4686" i="16"/>
  <c r="C4687" i="16"/>
  <c r="C4688" i="16"/>
  <c r="C4689" i="16"/>
  <c r="C4690" i="16"/>
  <c r="C4691" i="16"/>
  <c r="C4692" i="16"/>
  <c r="C4693" i="16"/>
  <c r="C4694" i="16"/>
  <c r="C4695" i="16"/>
  <c r="C4696" i="16"/>
  <c r="C4697" i="16"/>
  <c r="C4698" i="16"/>
  <c r="C4699" i="16"/>
  <c r="C4700" i="16"/>
  <c r="C4701" i="16"/>
  <c r="C4702" i="16"/>
  <c r="C4703" i="16"/>
  <c r="C4704" i="16"/>
  <c r="C4705" i="16"/>
  <c r="C4706" i="16"/>
  <c r="C4707" i="16"/>
  <c r="C4708" i="16"/>
  <c r="C4709" i="16"/>
  <c r="C4710" i="16"/>
  <c r="C4711" i="16"/>
  <c r="C4712" i="16"/>
  <c r="C4713" i="16"/>
  <c r="C4714" i="16"/>
  <c r="C4715" i="16"/>
  <c r="C4716" i="16"/>
  <c r="C4717" i="16"/>
  <c r="C4718" i="16"/>
  <c r="C4719" i="16"/>
  <c r="C4720" i="16"/>
  <c r="C4721" i="16"/>
  <c r="C4722" i="16"/>
  <c r="C4723" i="16"/>
  <c r="C4724" i="16"/>
  <c r="C4725" i="16"/>
  <c r="C4726" i="16"/>
  <c r="C4727" i="16"/>
  <c r="C4728" i="16"/>
  <c r="C4729" i="16"/>
  <c r="C4730" i="16"/>
  <c r="C4731" i="16"/>
  <c r="C4732" i="16"/>
  <c r="C4733" i="16"/>
  <c r="C4734" i="16"/>
  <c r="C4735" i="16"/>
  <c r="C4736" i="16"/>
  <c r="C4737" i="16"/>
  <c r="C4738" i="16"/>
  <c r="C4739" i="16"/>
  <c r="C4740" i="16"/>
  <c r="C4741" i="16"/>
  <c r="C4742" i="16"/>
  <c r="C4743" i="16"/>
  <c r="C4744" i="16"/>
  <c r="C4745" i="16"/>
  <c r="C4746" i="16"/>
  <c r="C4747" i="16"/>
  <c r="C4748" i="16"/>
  <c r="C4749" i="16"/>
  <c r="C4750" i="16"/>
  <c r="C4751" i="16"/>
  <c r="C4752" i="16"/>
  <c r="C4753" i="16"/>
  <c r="C4754" i="16"/>
  <c r="C4755" i="16"/>
  <c r="C4756" i="16"/>
  <c r="C4757" i="16"/>
  <c r="C4758" i="16"/>
  <c r="C4759" i="16"/>
  <c r="C4760" i="16"/>
  <c r="C4761" i="16"/>
  <c r="C4762" i="16"/>
  <c r="C4763" i="16"/>
  <c r="C4764" i="16"/>
  <c r="C4765" i="16"/>
  <c r="C4766" i="16"/>
  <c r="C4767" i="16"/>
  <c r="C4768" i="16"/>
  <c r="C4769" i="16"/>
  <c r="C4770" i="16"/>
  <c r="C4771" i="16"/>
  <c r="C4772" i="16"/>
  <c r="C4773" i="16"/>
  <c r="C4774" i="16"/>
  <c r="C4775" i="16"/>
  <c r="C4776" i="16"/>
  <c r="C4777" i="16"/>
  <c r="C4778" i="16"/>
  <c r="C4779" i="16"/>
  <c r="C4780" i="16"/>
  <c r="C4781" i="16"/>
  <c r="C4782" i="16"/>
  <c r="C4783" i="16"/>
  <c r="C4784" i="16"/>
  <c r="C4785" i="16"/>
  <c r="C4786" i="16"/>
  <c r="C4787" i="16"/>
  <c r="C4788" i="16"/>
  <c r="C4789" i="16"/>
  <c r="C4790" i="16"/>
  <c r="C4791" i="16"/>
  <c r="C4792" i="16"/>
  <c r="C4793" i="16"/>
  <c r="C4794" i="16"/>
  <c r="C4795" i="16"/>
  <c r="C4796" i="16"/>
  <c r="C4797" i="16"/>
  <c r="C4798" i="16"/>
  <c r="C4799" i="16"/>
  <c r="C4800" i="16"/>
  <c r="C4801" i="16"/>
  <c r="C4802" i="16"/>
  <c r="C4803" i="16"/>
  <c r="C4804" i="16"/>
  <c r="C4805" i="16"/>
  <c r="C4806" i="16"/>
  <c r="C4807" i="16"/>
  <c r="C4808" i="16"/>
  <c r="C4809" i="16"/>
  <c r="C4810" i="16"/>
  <c r="C4811" i="16"/>
  <c r="C4812" i="16"/>
  <c r="C4813" i="16"/>
  <c r="C4814" i="16"/>
  <c r="C4815" i="16"/>
  <c r="C4816" i="16"/>
  <c r="C4817" i="16"/>
  <c r="C4818" i="16"/>
  <c r="C4819" i="16"/>
  <c r="C4820" i="16"/>
  <c r="C4821" i="16"/>
  <c r="C4822" i="16"/>
  <c r="C4823" i="16"/>
  <c r="C4824" i="16"/>
  <c r="C4825" i="16"/>
  <c r="C4826" i="16"/>
  <c r="C4827" i="16"/>
  <c r="C4828" i="16"/>
  <c r="C4829" i="16"/>
  <c r="C4830" i="16"/>
  <c r="C4831" i="16"/>
  <c r="C4832" i="16"/>
  <c r="C4833" i="16"/>
  <c r="C4834" i="16"/>
  <c r="C4835" i="16"/>
  <c r="C4836" i="16"/>
  <c r="C4837" i="16"/>
  <c r="C4838" i="16"/>
  <c r="C4839" i="16"/>
  <c r="C4840" i="16"/>
  <c r="C4841" i="16"/>
  <c r="C4842" i="16"/>
  <c r="C4843" i="16"/>
  <c r="C4844" i="16"/>
  <c r="C4845" i="16"/>
  <c r="C4846" i="16"/>
  <c r="C4847" i="16"/>
  <c r="C4848" i="16"/>
  <c r="C4849" i="16"/>
  <c r="C4850" i="16"/>
  <c r="C4851" i="16"/>
  <c r="C4852" i="16"/>
  <c r="C4975" i="16"/>
  <c r="C4976" i="16"/>
  <c r="C4977" i="16"/>
  <c r="C4978" i="16"/>
  <c r="C4979" i="16"/>
  <c r="C4980" i="16"/>
  <c r="C4981" i="16"/>
  <c r="C4982" i="16"/>
  <c r="C4983" i="16"/>
  <c r="C4984" i="16"/>
  <c r="C4985" i="16"/>
  <c r="C4986" i="16"/>
  <c r="C4987" i="16"/>
  <c r="C4988" i="16"/>
  <c r="C4989" i="16"/>
  <c r="C4990" i="16"/>
  <c r="C4991" i="16"/>
  <c r="C4992" i="16"/>
  <c r="C4993" i="16"/>
  <c r="C4994" i="16"/>
  <c r="C4995" i="16"/>
  <c r="C4996" i="16"/>
  <c r="C4997" i="16"/>
  <c r="C4998" i="16"/>
  <c r="C4999" i="16"/>
  <c r="C5000" i="16"/>
  <c r="C5001" i="16"/>
  <c r="C5002" i="16"/>
  <c r="C5003" i="16"/>
  <c r="C5004" i="16"/>
  <c r="C5005" i="16"/>
  <c r="C5006" i="16"/>
  <c r="C5007" i="16"/>
  <c r="C5008" i="16"/>
  <c r="C5009" i="16"/>
  <c r="C5010" i="16"/>
  <c r="C5011" i="16"/>
  <c r="C5012" i="16"/>
  <c r="C5013" i="16"/>
  <c r="C5014" i="16"/>
  <c r="C5015" i="16"/>
  <c r="C5016" i="16"/>
  <c r="C5017" i="16"/>
  <c r="C5018" i="16"/>
  <c r="C5019" i="16"/>
  <c r="C5020" i="16"/>
  <c r="C5021" i="16"/>
  <c r="C5022" i="16"/>
  <c r="C5023" i="16"/>
  <c r="C5024" i="16"/>
  <c r="C5025" i="16"/>
  <c r="C5026" i="16"/>
  <c r="C5027" i="16"/>
  <c r="C5028" i="16"/>
  <c r="C5029" i="16"/>
  <c r="C5030" i="16"/>
  <c r="C5031" i="16"/>
  <c r="C5032" i="16"/>
  <c r="C5033" i="16"/>
  <c r="C5034" i="16"/>
  <c r="C5035" i="16"/>
  <c r="C5036" i="16"/>
  <c r="C5037" i="16"/>
  <c r="C5038" i="16"/>
  <c r="C5039" i="16"/>
  <c r="C5040" i="16"/>
  <c r="C5041" i="16"/>
  <c r="C5042" i="16"/>
  <c r="C5043" i="16"/>
  <c r="C5044" i="16"/>
  <c r="C5045" i="16"/>
  <c r="C5046" i="16"/>
  <c r="C5047" i="16"/>
  <c r="C5048" i="16"/>
  <c r="C5049" i="16"/>
  <c r="C5050" i="16"/>
  <c r="C5051" i="16"/>
  <c r="C5052" i="16"/>
  <c r="C5053" i="16"/>
  <c r="C5054" i="16"/>
  <c r="C5055" i="16"/>
  <c r="C5056" i="16"/>
  <c r="C5057" i="16"/>
  <c r="C5058" i="16"/>
  <c r="C5059" i="16"/>
  <c r="C5060" i="16"/>
  <c r="C5061" i="16"/>
  <c r="C5062" i="16"/>
  <c r="C5063" i="16"/>
  <c r="C5064" i="16"/>
  <c r="C5065" i="16"/>
  <c r="C5066" i="16"/>
  <c r="C5067" i="16"/>
  <c r="C5068" i="16"/>
  <c r="C5069" i="16"/>
  <c r="C5070" i="16"/>
  <c r="C5071" i="16"/>
  <c r="C5072" i="16"/>
  <c r="C5073" i="16"/>
  <c r="C5074" i="16"/>
  <c r="C5075" i="16"/>
  <c r="C5076" i="16"/>
  <c r="C5077" i="16"/>
  <c r="C5078" i="16"/>
  <c r="C5079" i="16"/>
  <c r="C5080" i="16"/>
  <c r="C5081" i="16"/>
  <c r="C5082" i="16"/>
  <c r="C5083" i="16"/>
  <c r="C5084" i="16"/>
  <c r="C5085" i="16"/>
  <c r="C5086" i="16"/>
  <c r="C5087" i="16"/>
  <c r="C5088" i="16"/>
  <c r="C5089" i="16"/>
  <c r="C5090" i="16"/>
  <c r="C5091" i="16"/>
  <c r="C5092" i="16"/>
  <c r="C5093" i="16"/>
  <c r="C5094" i="16"/>
  <c r="C5095" i="16"/>
  <c r="C5096" i="16"/>
  <c r="C5097" i="16"/>
  <c r="C5098" i="16"/>
  <c r="C5099" i="16"/>
  <c r="C5100" i="16"/>
  <c r="C5101" i="16"/>
  <c r="C5102" i="16"/>
  <c r="C5103" i="16"/>
  <c r="C5104" i="16"/>
  <c r="C5105" i="16"/>
  <c r="C5106" i="16"/>
  <c r="C5107" i="16"/>
  <c r="C5108" i="16"/>
  <c r="C5109" i="16"/>
  <c r="C5110" i="16"/>
  <c r="C5111" i="16"/>
  <c r="C5112" i="16"/>
  <c r="C5113" i="16"/>
  <c r="C5114" i="16"/>
  <c r="C5115" i="16"/>
  <c r="C5116" i="16"/>
  <c r="C5117" i="16"/>
  <c r="C5118" i="16"/>
  <c r="C5119" i="16"/>
  <c r="C5120" i="16"/>
  <c r="C5121" i="16"/>
  <c r="C5122" i="16"/>
  <c r="C5123" i="16"/>
  <c r="C5124" i="16"/>
  <c r="C5125" i="16"/>
  <c r="C5126" i="16"/>
  <c r="C5127" i="16"/>
  <c r="C5128" i="16"/>
  <c r="C5129" i="16"/>
  <c r="C5130" i="16"/>
  <c r="C5131" i="16"/>
  <c r="C5132" i="16"/>
  <c r="C5133" i="16"/>
  <c r="C5134" i="16"/>
  <c r="C5135" i="16"/>
  <c r="C5136" i="16"/>
  <c r="C5137" i="16"/>
  <c r="C5138" i="16"/>
  <c r="C5139" i="16"/>
  <c r="C5140" i="16"/>
  <c r="C5141" i="16"/>
  <c r="C5142" i="16"/>
  <c r="C5143" i="16"/>
  <c r="C5144" i="16"/>
  <c r="C5145" i="16"/>
  <c r="C5146" i="16"/>
  <c r="C5147" i="16"/>
  <c r="C5148" i="16"/>
  <c r="C5149" i="16"/>
  <c r="C5150" i="16"/>
  <c r="C5151" i="16"/>
  <c r="C5152" i="16"/>
  <c r="C5153" i="16"/>
  <c r="C5154" i="16"/>
  <c r="C5155" i="16"/>
  <c r="C5156" i="16"/>
  <c r="C5157" i="16"/>
  <c r="C5158" i="16"/>
  <c r="C5159" i="16"/>
  <c r="C5160" i="16"/>
  <c r="C5161" i="16"/>
  <c r="C5162" i="16"/>
  <c r="C5163" i="16"/>
  <c r="C5164" i="16"/>
  <c r="C5165" i="16"/>
  <c r="C5166" i="16"/>
  <c r="C5167" i="16"/>
  <c r="C5168" i="16"/>
  <c r="C5169" i="16"/>
  <c r="C5170" i="16"/>
  <c r="C5171" i="16"/>
  <c r="C5172" i="16"/>
  <c r="C5173" i="16"/>
  <c r="C5174" i="16"/>
  <c r="C5175" i="16"/>
  <c r="C5176" i="16"/>
  <c r="C5177" i="16"/>
  <c r="C5178" i="16"/>
  <c r="C5179" i="16"/>
  <c r="C5180" i="16"/>
  <c r="C5181" i="16"/>
  <c r="C5182" i="16"/>
  <c r="C5183" i="16"/>
  <c r="C5184" i="16"/>
  <c r="C5185" i="16"/>
  <c r="C5186" i="16"/>
  <c r="C5187" i="16"/>
  <c r="C5188" i="16"/>
  <c r="C5189" i="16"/>
  <c r="C5190" i="16"/>
  <c r="C5191" i="16"/>
  <c r="C5192" i="16"/>
  <c r="C5193" i="16"/>
  <c r="C5194" i="16"/>
  <c r="C5195" i="16"/>
  <c r="C5196" i="16"/>
  <c r="C5197" i="16"/>
  <c r="C5198" i="16"/>
  <c r="C5199" i="16"/>
  <c r="C5200" i="16"/>
  <c r="C5201" i="16"/>
  <c r="C5202" i="16"/>
  <c r="C5203" i="16"/>
  <c r="C5204" i="16"/>
  <c r="C5205" i="16"/>
  <c r="C5206" i="16"/>
  <c r="C5207" i="16"/>
  <c r="C5208" i="16"/>
  <c r="C5209" i="16"/>
  <c r="C5210" i="16"/>
  <c r="C5211" i="16"/>
  <c r="C5212" i="16"/>
  <c r="C5213" i="16"/>
  <c r="C5214" i="16"/>
  <c r="C5215" i="16"/>
  <c r="C5216" i="16"/>
  <c r="C5217" i="16"/>
  <c r="C5218" i="16"/>
  <c r="C5219" i="16"/>
  <c r="C5220" i="16"/>
  <c r="C5221" i="16"/>
  <c r="C5222" i="16"/>
  <c r="C5223" i="16"/>
  <c r="C5224" i="16"/>
  <c r="C5225" i="16"/>
  <c r="C5226" i="16"/>
  <c r="C5227" i="16"/>
  <c r="C5228" i="16"/>
  <c r="C5229" i="16"/>
  <c r="C5230" i="16"/>
  <c r="C5231" i="16"/>
  <c r="C5232" i="16"/>
  <c r="C5233" i="16"/>
  <c r="C5234" i="16"/>
  <c r="C5235" i="16"/>
  <c r="C5236" i="16"/>
  <c r="C5237" i="16"/>
  <c r="C5238" i="16"/>
  <c r="C5239" i="16"/>
  <c r="C5240" i="16"/>
  <c r="C5241" i="16"/>
  <c r="C5242" i="16"/>
  <c r="C5243" i="16"/>
  <c r="C5244" i="16"/>
  <c r="C5245" i="16"/>
  <c r="C5246" i="16"/>
  <c r="C5247" i="16"/>
  <c r="C5248" i="16"/>
  <c r="C5249" i="16"/>
  <c r="C5250" i="16"/>
  <c r="C5251" i="16"/>
  <c r="C5252" i="16"/>
  <c r="C5253" i="16"/>
  <c r="C5254" i="16"/>
  <c r="C5255" i="16"/>
  <c r="C5256" i="16"/>
  <c r="C5257" i="16"/>
  <c r="C5258" i="16"/>
  <c r="C5259" i="16"/>
  <c r="C5260" i="16"/>
  <c r="C5261" i="16"/>
  <c r="C5262" i="16"/>
  <c r="C5263" i="16"/>
  <c r="C5264" i="16"/>
  <c r="C5265" i="16"/>
  <c r="C5266" i="16"/>
  <c r="C5267" i="16"/>
  <c r="C5268" i="16"/>
  <c r="C5269" i="16"/>
  <c r="C5270" i="16"/>
  <c r="C5271" i="16"/>
  <c r="C5272" i="16"/>
  <c r="C5273" i="16"/>
  <c r="C5274" i="16"/>
  <c r="C5275" i="16"/>
  <c r="C5276" i="16"/>
  <c r="C5277" i="16"/>
  <c r="C5278" i="16"/>
  <c r="C5279" i="16"/>
  <c r="C5280" i="16"/>
  <c r="C5281" i="16"/>
  <c r="C5282" i="16"/>
  <c r="C5283" i="16"/>
  <c r="C5284" i="16"/>
  <c r="C5285" i="16"/>
  <c r="C5286" i="16"/>
  <c r="C5287" i="16"/>
  <c r="C5288" i="16"/>
  <c r="C5289" i="16"/>
  <c r="C5290" i="16"/>
  <c r="C5291" i="16"/>
  <c r="C5292" i="16"/>
  <c r="C5293" i="16"/>
  <c r="C5294" i="16"/>
  <c r="C5295" i="16"/>
  <c r="C5296" i="16"/>
  <c r="C5297" i="16"/>
  <c r="C5298" i="16"/>
  <c r="C5299" i="16"/>
  <c r="C5300" i="16"/>
  <c r="C5301" i="16"/>
  <c r="C5302" i="16"/>
  <c r="C5303" i="16"/>
  <c r="C5304" i="16"/>
  <c r="C5305" i="16"/>
  <c r="C5306" i="16"/>
  <c r="C5307" i="16"/>
  <c r="C5308" i="16"/>
  <c r="C5309" i="16"/>
  <c r="C5310" i="16"/>
  <c r="C5311" i="16"/>
  <c r="C5312" i="16"/>
  <c r="C5313" i="16"/>
  <c r="C5314" i="16"/>
  <c r="C5315" i="16"/>
  <c r="C5316" i="16"/>
  <c r="C5317" i="16"/>
  <c r="C5318" i="16"/>
  <c r="C5319" i="16"/>
  <c r="C5320" i="16"/>
  <c r="C5321" i="16"/>
  <c r="C5322" i="16"/>
  <c r="C5323" i="16"/>
  <c r="C5324" i="16"/>
  <c r="C5325" i="16"/>
  <c r="C5326" i="16"/>
  <c r="C5327" i="16"/>
  <c r="C5328" i="16"/>
  <c r="C5329" i="16"/>
  <c r="C5330" i="16"/>
  <c r="C5331" i="16"/>
  <c r="C5332" i="16"/>
  <c r="C5333" i="16"/>
  <c r="C5334" i="16"/>
  <c r="C5335" i="16"/>
  <c r="C5336" i="16"/>
  <c r="C5337" i="16"/>
  <c r="C5338" i="16"/>
  <c r="C5339" i="16"/>
  <c r="C5340" i="16"/>
  <c r="C5341" i="16"/>
  <c r="C5342" i="16"/>
  <c r="C5343" i="16"/>
  <c r="C5344" i="16"/>
  <c r="C5345" i="16"/>
  <c r="C5346" i="16"/>
  <c r="C5347" i="16"/>
  <c r="C5348" i="16"/>
  <c r="C5349" i="16"/>
  <c r="C5350" i="16"/>
  <c r="C5351" i="16"/>
  <c r="C5352" i="16"/>
  <c r="C5353" i="16"/>
  <c r="C5354" i="16"/>
  <c r="C5355" i="16"/>
  <c r="C5356" i="16"/>
  <c r="C5357" i="16"/>
  <c r="C5358" i="16"/>
  <c r="C5359" i="16"/>
  <c r="C5360" i="16"/>
  <c r="C5361" i="16"/>
  <c r="C5362" i="16"/>
  <c r="C5363" i="16"/>
  <c r="C5364" i="16"/>
  <c r="C5365" i="16"/>
  <c r="C5366" i="16"/>
  <c r="C5367" i="16"/>
  <c r="C5368" i="16"/>
  <c r="C5369" i="16"/>
  <c r="C5370" i="16"/>
  <c r="C5371" i="16"/>
  <c r="C5372" i="16"/>
  <c r="C5373" i="16"/>
  <c r="C5374" i="16"/>
  <c r="C5375" i="16"/>
  <c r="C5376" i="16"/>
  <c r="C5377" i="16"/>
  <c r="C5378" i="16"/>
  <c r="C5379" i="16"/>
  <c r="C5380" i="16"/>
  <c r="C5381" i="16"/>
  <c r="C5382" i="16"/>
  <c r="C5383" i="16"/>
  <c r="C5384" i="16"/>
  <c r="C5385" i="16"/>
  <c r="C5386" i="16"/>
  <c r="C5387" i="16"/>
  <c r="C5388" i="16"/>
  <c r="C5389" i="16"/>
  <c r="C5390" i="16"/>
  <c r="C5391" i="16"/>
  <c r="C5392" i="16"/>
  <c r="C5393" i="16"/>
  <c r="C5394" i="16"/>
  <c r="C5395" i="16"/>
  <c r="C5396" i="16"/>
  <c r="C5397" i="16"/>
  <c r="C5398" i="16"/>
  <c r="C5399" i="16"/>
  <c r="C5400" i="16"/>
  <c r="C5401" i="16"/>
  <c r="C5402" i="16"/>
  <c r="C5403" i="16"/>
  <c r="C5404" i="16"/>
  <c r="C5405" i="16"/>
  <c r="C5406" i="16"/>
  <c r="C5407" i="16"/>
  <c r="C5408" i="16"/>
  <c r="C5409" i="16"/>
  <c r="C5410" i="16"/>
  <c r="C5411" i="16"/>
  <c r="C5412" i="16"/>
  <c r="C5413" i="16"/>
  <c r="C5414" i="16"/>
  <c r="C5415" i="16"/>
  <c r="C5416" i="16"/>
  <c r="C5417" i="16"/>
  <c r="C5418" i="16"/>
  <c r="C5419" i="16"/>
  <c r="C5420" i="16"/>
  <c r="C5421" i="16"/>
  <c r="C5422" i="16"/>
  <c r="C5423" i="16"/>
  <c r="C5424" i="16"/>
  <c r="C5425" i="16"/>
  <c r="C5426" i="16"/>
  <c r="C5427" i="16"/>
  <c r="C5428" i="16"/>
  <c r="C5429" i="16"/>
  <c r="C5430" i="16"/>
  <c r="C5431" i="16"/>
  <c r="C5432" i="16"/>
  <c r="C5433" i="16"/>
  <c r="C5434" i="16"/>
  <c r="C5435" i="16"/>
  <c r="C5436" i="16"/>
  <c r="C5437" i="16"/>
  <c r="C5438" i="16"/>
  <c r="C5439" i="16"/>
  <c r="C5440" i="16"/>
  <c r="C5441" i="16"/>
  <c r="C5442" i="16"/>
  <c r="C5443" i="16"/>
  <c r="C5444" i="16"/>
  <c r="C5445" i="16"/>
  <c r="C5446" i="16"/>
  <c r="C5447" i="16"/>
  <c r="C5448" i="16"/>
  <c r="C5449" i="16"/>
  <c r="C5450" i="16"/>
  <c r="C5451" i="16"/>
  <c r="C5452" i="16"/>
  <c r="C5453" i="16"/>
  <c r="C5454" i="16"/>
  <c r="C5455" i="16"/>
  <c r="C5456" i="16"/>
  <c r="C5457" i="16"/>
  <c r="C5458" i="16"/>
  <c r="C5459" i="16"/>
  <c r="C5460" i="16"/>
  <c r="C5461" i="16"/>
  <c r="C5462" i="16"/>
  <c r="C5463" i="16"/>
  <c r="C5464" i="16"/>
  <c r="C5465" i="16"/>
  <c r="C5466" i="16"/>
  <c r="C5467" i="16"/>
  <c r="C5468" i="16"/>
  <c r="C5469" i="16"/>
  <c r="C5470" i="16"/>
  <c r="C5471" i="16"/>
  <c r="C5472" i="16"/>
  <c r="C5473" i="16"/>
  <c r="C5474" i="16"/>
  <c r="C5475" i="16"/>
  <c r="C5476" i="16"/>
  <c r="C5477" i="16"/>
  <c r="C5478" i="16"/>
  <c r="C5479" i="16"/>
  <c r="C5480" i="16"/>
  <c r="C5481" i="16"/>
  <c r="C5482" i="16"/>
  <c r="C5483" i="16"/>
  <c r="C5484" i="16"/>
  <c r="C5485" i="16"/>
  <c r="C5486" i="16"/>
  <c r="C5487" i="16"/>
  <c r="C5488" i="16"/>
  <c r="C5489" i="16"/>
  <c r="C5490" i="16"/>
  <c r="C5491" i="16"/>
  <c r="C5492" i="16"/>
  <c r="C5493" i="16"/>
  <c r="C5494" i="16"/>
  <c r="C5495" i="16"/>
  <c r="C5496" i="16"/>
  <c r="C5497" i="16"/>
  <c r="C5498" i="16"/>
  <c r="C5499" i="16"/>
  <c r="C5500" i="16"/>
  <c r="C5501" i="16"/>
  <c r="C5502" i="16"/>
  <c r="C5503" i="16"/>
  <c r="C5504" i="16"/>
  <c r="C5505" i="16"/>
  <c r="C5506" i="16"/>
  <c r="C5507" i="16"/>
  <c r="C5508" i="16"/>
  <c r="C5509" i="16"/>
  <c r="C5510" i="16"/>
  <c r="C5511" i="16"/>
  <c r="C5512" i="16"/>
  <c r="C5513" i="16"/>
  <c r="C5514" i="16"/>
  <c r="C5515" i="16"/>
  <c r="C5516" i="16"/>
  <c r="C5517" i="16"/>
  <c r="C5518" i="16"/>
  <c r="C5519" i="16"/>
  <c r="C5520" i="16"/>
  <c r="C5521" i="16"/>
  <c r="C5522" i="16"/>
  <c r="C5523" i="16"/>
  <c r="C5524" i="16"/>
  <c r="C5525" i="16"/>
  <c r="C5526" i="16"/>
  <c r="C5527" i="16"/>
  <c r="C5528" i="16"/>
  <c r="C5529" i="16"/>
  <c r="C5530" i="16"/>
  <c r="C5531" i="16"/>
  <c r="C5532" i="16"/>
  <c r="C5533" i="16"/>
  <c r="C5534" i="16"/>
  <c r="C5535" i="16"/>
  <c r="C5536" i="16"/>
  <c r="C5537" i="16"/>
  <c r="C5538" i="16"/>
  <c r="C5539" i="16"/>
  <c r="C5540" i="16"/>
  <c r="C5541" i="16"/>
  <c r="C5542" i="16"/>
  <c r="C5543" i="16"/>
  <c r="C5544" i="16"/>
  <c r="C5545" i="16"/>
  <c r="C5546" i="16"/>
  <c r="C5547" i="16"/>
  <c r="C5548" i="16"/>
  <c r="C5549" i="16"/>
  <c r="C5550" i="16"/>
  <c r="C5551" i="16"/>
  <c r="C5552" i="16"/>
  <c r="C5553" i="16"/>
  <c r="C5554" i="16"/>
  <c r="C5555" i="16"/>
  <c r="C5556" i="16"/>
  <c r="C5557" i="16"/>
  <c r="C5558" i="16"/>
  <c r="C5559" i="16"/>
  <c r="C5560" i="16"/>
  <c r="C5561" i="16"/>
  <c r="C5562" i="16"/>
  <c r="C5563" i="16"/>
  <c r="C5564" i="16"/>
  <c r="C5565" i="16"/>
  <c r="C5566" i="16"/>
  <c r="C5567" i="16"/>
  <c r="C5568" i="16"/>
  <c r="C5569" i="16"/>
  <c r="C5570" i="16"/>
  <c r="C5571" i="16"/>
  <c r="C5572" i="16"/>
  <c r="C5573" i="16"/>
  <c r="C5574" i="16"/>
  <c r="C5575" i="16"/>
  <c r="C5576" i="16"/>
  <c r="C5577" i="16"/>
  <c r="C5578" i="16"/>
  <c r="C5579" i="16"/>
  <c r="C5580" i="16"/>
  <c r="C5581" i="16"/>
  <c r="C5582" i="16"/>
  <c r="C5583" i="16"/>
  <c r="C5584" i="16"/>
  <c r="C5585" i="16"/>
  <c r="C5586" i="16"/>
  <c r="C5587" i="16"/>
  <c r="C5588" i="16"/>
  <c r="C5589" i="16"/>
  <c r="C5590" i="16"/>
  <c r="C5591" i="16"/>
  <c r="C5592" i="16"/>
  <c r="C5593" i="16"/>
  <c r="C5594" i="16"/>
  <c r="C5595" i="16"/>
  <c r="C5596" i="16"/>
  <c r="C5597" i="16"/>
  <c r="C5598" i="16"/>
  <c r="C5599" i="16"/>
  <c r="C5600" i="16"/>
  <c r="C5601" i="16"/>
  <c r="C5602" i="16"/>
  <c r="C5603" i="16"/>
  <c r="C5604" i="16"/>
  <c r="C5605" i="16"/>
  <c r="C5606" i="16"/>
  <c r="C5607" i="16"/>
  <c r="C5608" i="16"/>
  <c r="C5609" i="16"/>
  <c r="C5610" i="16"/>
  <c r="C5611" i="16"/>
  <c r="C5612" i="16"/>
  <c r="C5613" i="16"/>
  <c r="C5614" i="16"/>
  <c r="C5615" i="16"/>
  <c r="C5616" i="16"/>
  <c r="C5617" i="16"/>
  <c r="C5618" i="16"/>
  <c r="C5619" i="16"/>
  <c r="C5620" i="16"/>
  <c r="C5621" i="16"/>
  <c r="C5622" i="16"/>
  <c r="C5623" i="16"/>
  <c r="C5624" i="16"/>
  <c r="C5625" i="16"/>
  <c r="C5626" i="16"/>
  <c r="C5627" i="16"/>
  <c r="C5628" i="16"/>
  <c r="C5629" i="16"/>
  <c r="C5630" i="16"/>
  <c r="C5631" i="16"/>
  <c r="C5632" i="16"/>
  <c r="C5633" i="16"/>
  <c r="C5634" i="16"/>
  <c r="C5635" i="16"/>
  <c r="C5636" i="16"/>
  <c r="C5637" i="16"/>
  <c r="C5638" i="16"/>
  <c r="C5639" i="16"/>
  <c r="C5640" i="16"/>
  <c r="C5641" i="16"/>
  <c r="C5642" i="16"/>
  <c r="C5643" i="16"/>
  <c r="C5644" i="16"/>
  <c r="C5645" i="16"/>
  <c r="C5646" i="16"/>
  <c r="C5647" i="16"/>
  <c r="C5648" i="16"/>
  <c r="C5649" i="16"/>
  <c r="C5650" i="16"/>
  <c r="C5651" i="16"/>
  <c r="C5652" i="16"/>
  <c r="C5653" i="16"/>
  <c r="C5654" i="16"/>
  <c r="C5655" i="16"/>
  <c r="C5656" i="16"/>
  <c r="C5657" i="16"/>
  <c r="C5658" i="16"/>
  <c r="C5659" i="16"/>
  <c r="C5660" i="16"/>
  <c r="C5661" i="16"/>
  <c r="C5662" i="16"/>
  <c r="C5663" i="16"/>
  <c r="C5664" i="16"/>
  <c r="C5665" i="16"/>
  <c r="C5666" i="16"/>
  <c r="C5667" i="16"/>
  <c r="C5668" i="16"/>
  <c r="C5669" i="16"/>
  <c r="C5670" i="16"/>
  <c r="C5671" i="16"/>
  <c r="C5672" i="16"/>
  <c r="C5673" i="16"/>
  <c r="C5674" i="16"/>
  <c r="C5675" i="16"/>
  <c r="C5676" i="16"/>
  <c r="C5677" i="16"/>
  <c r="C5678" i="16"/>
  <c r="C5679" i="16"/>
  <c r="C5680" i="16"/>
  <c r="C5681" i="16"/>
  <c r="C5682" i="16"/>
  <c r="C5683" i="16"/>
  <c r="C5684" i="16"/>
  <c r="C5685" i="16"/>
  <c r="C5686" i="16"/>
  <c r="C5687" i="16"/>
  <c r="C5688" i="16"/>
  <c r="C5689" i="16"/>
  <c r="C5690" i="16"/>
  <c r="C5691" i="16"/>
  <c r="C5692" i="16"/>
  <c r="C5693" i="16"/>
  <c r="C5694" i="16"/>
  <c r="C5695" i="16"/>
  <c r="C5696" i="16"/>
  <c r="C5697" i="16"/>
  <c r="C5698" i="16"/>
  <c r="C5699" i="16"/>
  <c r="C5700" i="16"/>
  <c r="C5701" i="16"/>
  <c r="C5702" i="16"/>
  <c r="C5703" i="16"/>
  <c r="C5704" i="16"/>
  <c r="C5705" i="16"/>
  <c r="C5706" i="16"/>
  <c r="C5707" i="16"/>
  <c r="C5708" i="16"/>
  <c r="C5709" i="16"/>
  <c r="C5710" i="16"/>
  <c r="C5711" i="16"/>
  <c r="C5712" i="16"/>
  <c r="C5713" i="16"/>
  <c r="C5714" i="16"/>
  <c r="C5715" i="16"/>
  <c r="C5716" i="16"/>
  <c r="C5717" i="16"/>
  <c r="C5718" i="16"/>
  <c r="C5719" i="16"/>
  <c r="C5720" i="16"/>
  <c r="C5721" i="16"/>
  <c r="C5722" i="16"/>
  <c r="C5723" i="16"/>
  <c r="C5724" i="16"/>
  <c r="C5725" i="16"/>
  <c r="C5726" i="16"/>
  <c r="C5727" i="16"/>
  <c r="C5728" i="16"/>
  <c r="C5729" i="16"/>
  <c r="C5730" i="16"/>
  <c r="C5731" i="16"/>
  <c r="C5732" i="16"/>
  <c r="C5733" i="16"/>
  <c r="C5734" i="16"/>
  <c r="C5735" i="16"/>
  <c r="C5736" i="16"/>
  <c r="C5737" i="16"/>
  <c r="C5738" i="16"/>
  <c r="C5739" i="16"/>
  <c r="C5740" i="16"/>
  <c r="C5741" i="16"/>
  <c r="C5742" i="16"/>
  <c r="C5743" i="16"/>
  <c r="C5744" i="16"/>
  <c r="C5745" i="16"/>
  <c r="C5746" i="16"/>
  <c r="C5747" i="16"/>
  <c r="C5748" i="16"/>
  <c r="C5749" i="16"/>
  <c r="C5750" i="16"/>
  <c r="C5751" i="16"/>
  <c r="C5752" i="16"/>
  <c r="C5753" i="16"/>
  <c r="C5754" i="16"/>
  <c r="C5755" i="16"/>
  <c r="C5756" i="16"/>
  <c r="C5757" i="16"/>
  <c r="C5758" i="16"/>
  <c r="C5759" i="16"/>
  <c r="C5760" i="16"/>
  <c r="C5761" i="16"/>
  <c r="C5762" i="16"/>
  <c r="C5763" i="16"/>
  <c r="C5764" i="16"/>
  <c r="C5765" i="16"/>
  <c r="C5766" i="16"/>
  <c r="C5767" i="16"/>
  <c r="C5768" i="16"/>
  <c r="C5769" i="16"/>
  <c r="C5770" i="16"/>
  <c r="C5771" i="16"/>
  <c r="C5772" i="16"/>
  <c r="C5773" i="16"/>
  <c r="C5774" i="16"/>
  <c r="C5775" i="16"/>
  <c r="C5776" i="16"/>
  <c r="C5777" i="16"/>
  <c r="C5778" i="16"/>
  <c r="C5779" i="16"/>
  <c r="C5780" i="16"/>
  <c r="C5781" i="16"/>
  <c r="C5782" i="16"/>
  <c r="C5783" i="16"/>
  <c r="C5784" i="16"/>
  <c r="C5785" i="16"/>
  <c r="C5786" i="16"/>
  <c r="C5787" i="16"/>
  <c r="C5788" i="16"/>
  <c r="C5789" i="16"/>
  <c r="C5790" i="16"/>
  <c r="C5791" i="16"/>
  <c r="C5792" i="16"/>
  <c r="C5793" i="16"/>
  <c r="C5794" i="16"/>
  <c r="C5795" i="16"/>
  <c r="C5796" i="16"/>
  <c r="C5797" i="16"/>
  <c r="C5798" i="16"/>
  <c r="C5799" i="16"/>
  <c r="C5800" i="16"/>
  <c r="C5801" i="16"/>
  <c r="C5802" i="16"/>
  <c r="C5803" i="16"/>
  <c r="C5804" i="16"/>
  <c r="C5805" i="16"/>
  <c r="C5806" i="16"/>
  <c r="C5807" i="16"/>
  <c r="C5808" i="16"/>
  <c r="C5809" i="16"/>
  <c r="C5810" i="16"/>
  <c r="C5811" i="16"/>
  <c r="C5812" i="16"/>
  <c r="C5813" i="16"/>
  <c r="C5814" i="16"/>
  <c r="C5815" i="16"/>
  <c r="C5816" i="16"/>
  <c r="C5817" i="16"/>
  <c r="C5818" i="16"/>
  <c r="C5819" i="16"/>
  <c r="C5820" i="16"/>
  <c r="C5821" i="16"/>
  <c r="C5822" i="16"/>
  <c r="C5823" i="16"/>
  <c r="C5824" i="16"/>
  <c r="C5825" i="16"/>
  <c r="C5826" i="16"/>
  <c r="C5827" i="16"/>
  <c r="C5828" i="16"/>
  <c r="C5829" i="16"/>
  <c r="C5830" i="16"/>
  <c r="C5831" i="16"/>
  <c r="C5832" i="16"/>
  <c r="C5833" i="16"/>
  <c r="C5834" i="16"/>
  <c r="C5835" i="16"/>
  <c r="C5836" i="16"/>
  <c r="C5837" i="16"/>
  <c r="C5838" i="16"/>
  <c r="C5839" i="16"/>
  <c r="C5840" i="16"/>
  <c r="C5841" i="16"/>
  <c r="C5842" i="16"/>
  <c r="C5843" i="16"/>
  <c r="C5844" i="16"/>
  <c r="C5845" i="16"/>
  <c r="C5846" i="16"/>
  <c r="C5847" i="16"/>
  <c r="C5848" i="16"/>
  <c r="C5849" i="16"/>
  <c r="C5850" i="16"/>
  <c r="C5851" i="16"/>
  <c r="C5852" i="16"/>
  <c r="C5853" i="16"/>
  <c r="C5854" i="16"/>
  <c r="C5855" i="16"/>
  <c r="C5856" i="16"/>
  <c r="C5857" i="16"/>
  <c r="C5858" i="16"/>
  <c r="C5859" i="16"/>
  <c r="C5860" i="16"/>
  <c r="C5861" i="16"/>
  <c r="C5862" i="16"/>
  <c r="C5863" i="16"/>
  <c r="C5864" i="16"/>
  <c r="C5865" i="16"/>
  <c r="C5866" i="16"/>
  <c r="C5867" i="16"/>
  <c r="C5868" i="16"/>
  <c r="C5869" i="16"/>
  <c r="C5870" i="16"/>
  <c r="C5871" i="16"/>
  <c r="C5872" i="16"/>
  <c r="C5873" i="16"/>
  <c r="C5874" i="16"/>
  <c r="C5875" i="16"/>
  <c r="C5876" i="16"/>
  <c r="C5877" i="16"/>
  <c r="C5878" i="16"/>
  <c r="C5879" i="16"/>
  <c r="C5880" i="16"/>
  <c r="C5881" i="16"/>
  <c r="C5882" i="16"/>
  <c r="C5883" i="16"/>
  <c r="C5884" i="16"/>
  <c r="C5885" i="16"/>
  <c r="C5886" i="16"/>
  <c r="C5887" i="16"/>
  <c r="C5888" i="16"/>
  <c r="C5889" i="16"/>
  <c r="C5890" i="16"/>
  <c r="C5891" i="16"/>
  <c r="C5892" i="16"/>
  <c r="C5893" i="16"/>
  <c r="C5894" i="16"/>
  <c r="C5895" i="16"/>
  <c r="C5896" i="16"/>
  <c r="C5897" i="16"/>
  <c r="C5898" i="16"/>
  <c r="C5899" i="16"/>
  <c r="C5900" i="16"/>
  <c r="C5901" i="16"/>
  <c r="C5902" i="16"/>
  <c r="C5903" i="16"/>
  <c r="C5904" i="16"/>
  <c r="C5905" i="16"/>
  <c r="C5906" i="16"/>
  <c r="C5907" i="16"/>
  <c r="C5908" i="16"/>
  <c r="C5909" i="16"/>
  <c r="C5910" i="16"/>
  <c r="C5911" i="16"/>
  <c r="C5912" i="16"/>
  <c r="C5913" i="16"/>
  <c r="C5914" i="16"/>
  <c r="C5915" i="16"/>
  <c r="C5916" i="16"/>
  <c r="C5917" i="16"/>
  <c r="C5918" i="16"/>
  <c r="C5919" i="16"/>
  <c r="C5920" i="16"/>
  <c r="C5921" i="16"/>
  <c r="C5922" i="16"/>
  <c r="C5923" i="16"/>
  <c r="C5924" i="16"/>
  <c r="C5925" i="16"/>
  <c r="C5926" i="16"/>
  <c r="C5927" i="16"/>
  <c r="C5928" i="16"/>
  <c r="C5929" i="16"/>
  <c r="C5930" i="16"/>
  <c r="C5931" i="16"/>
  <c r="C5932" i="16"/>
  <c r="C5933" i="16"/>
  <c r="C5934" i="16"/>
  <c r="C5935" i="16"/>
  <c r="C5936" i="16"/>
  <c r="C5937" i="16"/>
  <c r="C5938" i="16"/>
  <c r="C5939" i="16"/>
  <c r="C5940" i="16"/>
  <c r="C5941" i="16"/>
  <c r="C5942" i="16"/>
  <c r="C5943" i="16"/>
  <c r="C5944" i="16"/>
  <c r="C5945" i="16"/>
  <c r="C5946" i="16"/>
  <c r="C5947" i="16"/>
  <c r="C5948" i="16"/>
  <c r="C5949" i="16"/>
  <c r="C5950" i="16"/>
  <c r="C5951" i="16"/>
  <c r="C5952" i="16"/>
  <c r="C5953" i="16"/>
  <c r="C5954" i="16"/>
  <c r="C5955" i="16"/>
  <c r="C5956" i="16"/>
  <c r="C5957" i="16"/>
  <c r="C5958" i="16"/>
  <c r="C5959" i="16"/>
  <c r="C5960" i="16"/>
  <c r="C5961" i="16"/>
  <c r="C5962" i="16"/>
  <c r="C5963" i="16"/>
  <c r="C5964" i="16"/>
  <c r="C5965" i="16"/>
  <c r="C5966" i="16"/>
  <c r="C5967" i="16"/>
  <c r="C5968" i="16"/>
  <c r="C5969" i="16"/>
  <c r="C5970" i="16"/>
  <c r="C5971" i="16"/>
  <c r="C5972" i="16"/>
  <c r="C5973" i="16"/>
  <c r="C5974" i="16"/>
  <c r="C5975" i="16"/>
  <c r="C5976" i="16"/>
  <c r="C5977" i="16"/>
  <c r="C5978" i="16"/>
  <c r="C5979" i="16"/>
  <c r="C5980" i="16"/>
  <c r="C5981" i="16"/>
  <c r="C5982" i="16"/>
  <c r="C5983" i="16"/>
  <c r="C5984" i="16"/>
  <c r="C5985" i="16"/>
  <c r="C5986" i="16"/>
  <c r="C5987" i="16"/>
  <c r="C5988" i="16"/>
  <c r="C5989" i="16"/>
  <c r="C5990" i="16"/>
  <c r="C5991" i="16"/>
  <c r="C5992" i="16"/>
  <c r="C5993" i="16"/>
  <c r="C5994" i="16"/>
  <c r="C5995" i="16"/>
  <c r="C5996" i="16"/>
  <c r="C5997" i="16"/>
  <c r="C5998" i="16"/>
  <c r="C5999" i="16"/>
  <c r="C6000" i="16"/>
  <c r="C6001" i="16"/>
  <c r="C6002" i="16"/>
  <c r="C6003" i="16"/>
  <c r="C6004" i="16"/>
  <c r="C6005" i="16"/>
  <c r="C6006" i="16"/>
  <c r="C6007" i="16"/>
  <c r="C6008" i="16"/>
  <c r="C6009" i="16"/>
  <c r="C6010" i="16"/>
  <c r="C6011" i="16"/>
  <c r="C6012" i="16"/>
  <c r="C6013" i="16"/>
  <c r="C6014" i="16"/>
  <c r="C6015" i="16"/>
  <c r="C6016" i="16"/>
  <c r="C6017" i="16"/>
  <c r="C6018" i="16"/>
  <c r="C6019" i="16"/>
  <c r="C6020" i="16"/>
  <c r="C6021" i="16"/>
  <c r="C6022" i="16"/>
  <c r="C6023" i="16"/>
  <c r="C6024" i="16"/>
  <c r="C6025" i="16"/>
  <c r="C6026" i="16"/>
  <c r="C6027" i="16"/>
  <c r="C6028" i="16"/>
  <c r="C6029" i="16"/>
  <c r="C6030" i="16"/>
  <c r="C6031" i="16"/>
  <c r="C6032" i="16"/>
  <c r="C6033" i="16"/>
  <c r="C6034" i="16"/>
  <c r="C6035" i="16"/>
  <c r="C6036" i="16"/>
  <c r="C6037" i="16"/>
  <c r="C6038" i="16"/>
  <c r="C6039" i="16"/>
  <c r="C6040" i="16"/>
  <c r="C6041" i="16"/>
  <c r="C6042" i="16"/>
  <c r="C6043" i="16"/>
  <c r="C6044" i="16"/>
  <c r="C6045" i="16"/>
  <c r="C6046" i="16"/>
  <c r="C6047" i="16"/>
  <c r="C6048" i="16"/>
  <c r="C6049" i="16"/>
  <c r="C6050" i="16"/>
  <c r="C6051" i="16"/>
  <c r="C6052" i="16"/>
  <c r="C6053" i="16"/>
  <c r="C6054" i="16"/>
  <c r="C6055" i="16"/>
  <c r="C6056" i="16"/>
  <c r="C6057" i="16"/>
  <c r="C6058" i="16"/>
  <c r="C6059" i="16"/>
  <c r="C6060" i="16"/>
  <c r="C6061" i="16"/>
  <c r="C6062" i="16"/>
  <c r="C6063" i="16"/>
  <c r="C6064" i="16"/>
  <c r="C6065" i="16"/>
  <c r="C6066" i="16"/>
  <c r="C6067" i="16"/>
  <c r="C6068" i="16"/>
  <c r="C6069" i="16"/>
  <c r="C6070" i="16"/>
  <c r="C6071" i="16"/>
  <c r="C6072" i="16"/>
  <c r="C6073" i="16"/>
  <c r="C6074" i="16"/>
  <c r="C6075" i="16"/>
  <c r="C6076" i="16"/>
  <c r="C6077" i="16"/>
  <c r="C6078" i="16"/>
  <c r="C6079" i="16"/>
  <c r="C6080" i="16"/>
  <c r="C6081" i="16"/>
  <c r="C6082" i="16"/>
  <c r="C6083" i="16"/>
  <c r="C6084" i="16"/>
  <c r="C6085" i="16"/>
  <c r="C6086" i="16"/>
  <c r="C6087" i="16"/>
  <c r="C6088" i="16"/>
  <c r="C6089" i="16"/>
  <c r="C6090" i="16"/>
  <c r="C6091" i="16"/>
  <c r="C6092" i="16"/>
  <c r="C6093" i="16"/>
  <c r="C6094" i="16"/>
  <c r="C6095" i="16"/>
  <c r="C6096" i="16"/>
  <c r="C6097" i="16"/>
  <c r="C6098" i="16"/>
  <c r="C6099" i="16"/>
  <c r="C6100" i="16"/>
  <c r="C6101" i="16"/>
  <c r="C6102" i="16"/>
  <c r="C6103" i="16"/>
  <c r="C6104" i="16"/>
  <c r="C6105" i="16"/>
  <c r="C6106" i="16"/>
  <c r="C6107" i="16"/>
  <c r="C6108" i="16"/>
  <c r="C6109" i="16"/>
  <c r="C6110" i="16"/>
  <c r="C6111" i="16"/>
  <c r="C6112" i="16"/>
  <c r="C6113" i="16"/>
  <c r="C6114" i="16"/>
  <c r="C6115" i="16"/>
  <c r="C6116" i="16"/>
  <c r="C6117" i="16"/>
  <c r="C6118" i="16"/>
  <c r="C6119" i="16"/>
  <c r="C6120" i="16"/>
  <c r="C6121" i="16"/>
  <c r="C6122" i="16"/>
  <c r="C6123" i="16"/>
  <c r="C6124" i="16"/>
  <c r="C6125" i="16"/>
  <c r="C6126" i="16"/>
  <c r="C6127" i="16"/>
  <c r="C6128" i="16"/>
  <c r="C6129" i="16"/>
  <c r="C6130" i="16"/>
  <c r="C6131" i="16"/>
  <c r="C6132" i="16"/>
  <c r="C6133" i="16"/>
  <c r="C6134" i="16"/>
  <c r="C6135" i="16"/>
  <c r="C6136" i="16"/>
  <c r="C6137" i="16"/>
  <c r="C6138" i="16"/>
  <c r="C6139" i="16"/>
  <c r="C6140" i="16"/>
  <c r="C6141" i="16"/>
  <c r="C6142" i="16"/>
  <c r="C6143" i="16"/>
  <c r="C6144" i="16"/>
  <c r="C6145" i="16"/>
  <c r="C6146" i="16"/>
  <c r="C6147" i="16"/>
  <c r="C6148" i="16"/>
  <c r="C6149" i="16"/>
  <c r="C6150" i="16"/>
  <c r="C6151" i="16"/>
  <c r="C6152" i="16"/>
  <c r="C6153" i="16"/>
  <c r="C6154" i="16"/>
  <c r="C6155" i="16"/>
  <c r="C6156" i="16"/>
  <c r="C6157" i="16"/>
  <c r="C6158" i="16"/>
  <c r="C6159" i="16"/>
  <c r="C6160" i="16"/>
  <c r="C6161" i="16"/>
  <c r="C6162" i="16"/>
  <c r="C6163" i="16"/>
  <c r="C6164" i="16"/>
  <c r="C6165" i="16"/>
  <c r="C6166" i="16"/>
  <c r="C6167" i="16"/>
  <c r="C6168" i="16"/>
  <c r="C6169" i="16"/>
  <c r="C6170" i="16"/>
  <c r="C6171" i="16"/>
  <c r="C6172" i="16"/>
  <c r="C6173" i="16"/>
  <c r="C6174" i="16"/>
  <c r="C6175" i="16"/>
  <c r="C6176" i="16"/>
  <c r="C6177" i="16"/>
  <c r="C6178" i="16"/>
  <c r="C6179" i="16"/>
  <c r="C6180" i="16"/>
  <c r="C6181" i="16"/>
  <c r="C6182" i="16"/>
  <c r="C6183" i="16"/>
  <c r="C6184" i="16"/>
  <c r="C6185" i="16"/>
  <c r="C6186" i="16"/>
  <c r="C6187" i="16"/>
  <c r="C6188" i="16"/>
  <c r="C6189" i="16"/>
  <c r="C6190" i="16"/>
  <c r="C6191" i="16"/>
  <c r="C6192" i="16"/>
  <c r="C6193" i="16"/>
  <c r="C6194" i="16"/>
  <c r="C6195" i="16"/>
  <c r="C6196" i="16"/>
  <c r="C6197" i="16"/>
  <c r="C6198" i="16"/>
  <c r="C6199" i="16"/>
  <c r="C6200" i="16"/>
  <c r="C6201" i="16"/>
  <c r="C6202" i="16"/>
  <c r="C6203" i="16"/>
  <c r="C6204" i="16"/>
  <c r="C6205" i="16"/>
  <c r="C6206" i="16"/>
  <c r="C6207" i="16"/>
  <c r="C6208" i="16"/>
  <c r="C6209" i="16"/>
  <c r="C6210" i="16"/>
  <c r="C6211" i="16"/>
  <c r="C6212" i="16"/>
  <c r="C6213" i="16"/>
  <c r="C6214" i="16"/>
  <c r="C6215" i="16"/>
  <c r="C6216" i="16"/>
  <c r="C6217" i="16"/>
  <c r="C6218" i="16"/>
  <c r="C6219" i="16"/>
  <c r="C6220" i="16"/>
  <c r="C6221" i="16"/>
  <c r="C6222" i="16"/>
  <c r="C6223" i="16"/>
  <c r="C6224" i="16"/>
  <c r="C6225" i="16"/>
  <c r="C6226" i="16"/>
  <c r="C6227" i="16"/>
  <c r="C6228" i="16"/>
  <c r="C6229" i="16"/>
  <c r="C6230" i="16"/>
  <c r="C6231" i="16"/>
  <c r="C6232" i="16"/>
  <c r="C6233" i="16"/>
  <c r="C6234" i="16"/>
  <c r="C6235" i="16"/>
  <c r="C6236" i="16"/>
  <c r="C6237" i="16"/>
  <c r="C6238" i="16"/>
  <c r="C6239" i="16"/>
  <c r="C6240" i="16"/>
  <c r="C6241" i="16"/>
  <c r="C6242" i="16"/>
  <c r="C6243" i="16"/>
  <c r="C6244" i="16"/>
  <c r="C6245" i="16"/>
  <c r="C6246" i="16"/>
  <c r="C6247" i="16"/>
  <c r="C6248" i="16"/>
  <c r="C6249" i="16"/>
  <c r="C6250" i="16"/>
  <c r="C6251" i="16"/>
  <c r="C6252" i="16"/>
  <c r="C6253" i="16"/>
  <c r="C6254" i="16"/>
  <c r="C6255" i="16"/>
  <c r="C6256" i="16"/>
  <c r="C6257" i="16"/>
  <c r="C6258" i="16"/>
  <c r="C6259" i="16"/>
  <c r="C6260" i="16"/>
  <c r="C6261" i="16"/>
  <c r="C6262" i="16"/>
  <c r="C6263" i="16"/>
  <c r="C6264" i="16"/>
  <c r="C6265" i="16"/>
  <c r="C6266" i="16"/>
  <c r="C6267" i="16"/>
  <c r="C6268" i="16"/>
  <c r="C6269" i="16"/>
  <c r="C6270" i="16"/>
  <c r="C6271" i="16"/>
  <c r="C6272" i="16"/>
  <c r="C6273" i="16"/>
  <c r="C6274" i="16"/>
  <c r="C6275" i="16"/>
  <c r="C6276" i="16"/>
  <c r="C6277" i="16"/>
  <c r="C6278" i="16"/>
  <c r="C6279" i="16"/>
  <c r="C6280" i="16"/>
  <c r="C6281" i="16"/>
  <c r="C6282" i="16"/>
  <c r="C6283" i="16"/>
  <c r="C6284" i="16"/>
  <c r="C6285" i="16"/>
  <c r="C6286" i="16"/>
  <c r="C6287" i="16"/>
  <c r="C6288" i="16"/>
  <c r="C6289" i="16"/>
  <c r="C6290" i="16"/>
  <c r="C6291" i="16"/>
  <c r="C6292" i="16"/>
  <c r="C6293" i="16"/>
  <c r="C6294" i="16"/>
  <c r="C6295" i="16"/>
  <c r="C6296" i="16"/>
  <c r="C6297" i="16"/>
  <c r="C6298" i="16"/>
  <c r="C6299" i="16"/>
  <c r="C6300" i="16"/>
  <c r="C6301" i="16"/>
  <c r="C6302" i="16"/>
  <c r="C6303" i="16"/>
  <c r="C6304" i="16"/>
  <c r="C6305" i="16"/>
  <c r="C6306" i="16"/>
  <c r="C6307" i="16"/>
  <c r="C6308" i="16"/>
  <c r="C6309" i="16"/>
  <c r="C6310" i="16"/>
  <c r="C6311" i="16"/>
  <c r="C6312" i="16"/>
  <c r="C6313" i="16"/>
  <c r="C6314" i="16"/>
  <c r="C6315" i="16"/>
  <c r="C6316" i="16"/>
  <c r="C6317" i="16"/>
  <c r="C6318" i="16"/>
  <c r="C6319" i="16"/>
  <c r="C6320" i="16"/>
  <c r="C6321" i="16"/>
  <c r="C6322" i="16"/>
  <c r="C6323" i="16"/>
  <c r="C6324" i="16"/>
  <c r="C6325" i="16"/>
  <c r="C6326" i="16"/>
  <c r="C6327" i="16"/>
  <c r="C6328" i="16"/>
  <c r="C6329" i="16"/>
  <c r="C6330" i="16"/>
  <c r="C6331" i="16"/>
  <c r="C6332" i="16"/>
  <c r="C6333" i="16"/>
  <c r="C6334" i="16"/>
  <c r="C6335" i="16"/>
  <c r="C6336" i="16"/>
  <c r="C6337" i="16"/>
  <c r="C6338" i="16"/>
  <c r="C6339" i="16"/>
  <c r="C6340" i="16"/>
  <c r="C6341" i="16"/>
  <c r="C6342" i="16"/>
  <c r="C6343" i="16"/>
  <c r="C6344" i="16"/>
  <c r="C6345" i="16"/>
  <c r="C6346" i="16"/>
  <c r="C6347" i="16"/>
  <c r="C6348" i="16"/>
  <c r="C6349" i="16"/>
  <c r="C6350" i="16"/>
  <c r="C6351" i="16"/>
  <c r="C6352" i="16"/>
  <c r="C6353" i="16"/>
  <c r="C6354" i="16"/>
  <c r="C6355" i="16"/>
  <c r="C6356" i="16"/>
  <c r="C6357" i="16"/>
  <c r="C6358" i="16"/>
  <c r="C6359" i="16"/>
  <c r="C6360" i="16"/>
  <c r="C6361" i="16"/>
  <c r="C6362" i="16"/>
  <c r="C6363" i="16"/>
  <c r="C6364" i="16"/>
  <c r="C6365" i="16"/>
  <c r="C6366" i="16"/>
  <c r="C6367" i="16"/>
  <c r="C6368" i="16"/>
  <c r="C6369" i="16"/>
  <c r="C6370" i="16"/>
  <c r="C6371" i="16"/>
  <c r="C6372" i="16"/>
  <c r="C6373" i="16"/>
  <c r="C6374" i="16"/>
  <c r="C6375" i="16"/>
  <c r="C6376" i="16"/>
  <c r="C6377" i="16"/>
  <c r="C6378" i="16"/>
  <c r="C6379" i="16"/>
  <c r="C6380" i="16"/>
  <c r="C6381" i="16"/>
  <c r="C6382" i="16"/>
  <c r="C6383" i="16"/>
  <c r="C6384" i="16"/>
  <c r="C6385" i="16"/>
  <c r="C6386" i="16"/>
  <c r="C6387" i="16"/>
  <c r="C6388" i="16"/>
  <c r="C6389" i="16"/>
  <c r="C6390" i="16"/>
  <c r="C6391" i="16"/>
  <c r="C6392" i="16"/>
  <c r="C6393" i="16"/>
  <c r="C6394" i="16"/>
  <c r="C6395" i="16"/>
  <c r="C6396" i="16"/>
  <c r="C6397" i="16"/>
  <c r="C6398" i="16"/>
  <c r="C6399" i="16"/>
  <c r="C6400" i="16"/>
  <c r="C6401" i="16"/>
  <c r="C6402" i="16"/>
  <c r="C6403" i="16"/>
  <c r="C6404" i="16"/>
  <c r="C6405" i="16"/>
  <c r="C6406" i="16"/>
  <c r="C6407" i="16"/>
  <c r="C6408" i="16"/>
  <c r="C6409" i="16"/>
  <c r="C6410" i="16"/>
  <c r="C6411" i="16"/>
  <c r="C6412" i="16"/>
  <c r="C6413" i="16"/>
  <c r="C6414" i="16"/>
  <c r="C6415" i="16"/>
  <c r="C6416" i="16"/>
  <c r="C6417" i="16"/>
  <c r="C6418" i="16"/>
  <c r="C6419" i="16"/>
  <c r="C6420" i="16"/>
  <c r="C6421" i="16"/>
  <c r="C6422" i="16"/>
  <c r="C6423" i="16"/>
  <c r="C6424" i="16"/>
  <c r="C6425" i="16"/>
  <c r="C6426" i="16"/>
  <c r="C6427" i="16"/>
  <c r="C6428" i="16"/>
  <c r="C6429" i="16"/>
  <c r="C6430" i="16"/>
  <c r="C6431" i="16"/>
  <c r="C6432" i="16"/>
  <c r="C6433" i="16"/>
  <c r="C6434" i="16"/>
  <c r="C6435" i="16"/>
  <c r="C6436" i="16"/>
  <c r="C6437" i="16"/>
  <c r="C6438" i="16"/>
  <c r="C6439" i="16"/>
  <c r="C6440" i="16"/>
  <c r="C6441" i="16"/>
  <c r="C6442" i="16"/>
  <c r="C6443" i="16"/>
  <c r="C6444" i="16"/>
  <c r="C6445" i="16"/>
  <c r="C6446" i="16"/>
  <c r="C6447" i="16"/>
  <c r="C6448" i="16"/>
  <c r="C6449" i="16"/>
  <c r="C6450" i="16"/>
  <c r="C6451" i="16"/>
  <c r="C6452" i="16"/>
  <c r="C6453" i="16"/>
  <c r="C6454" i="16"/>
  <c r="C6455" i="16"/>
  <c r="C6456" i="16"/>
  <c r="C6457" i="16"/>
  <c r="C6458" i="16"/>
  <c r="C6459" i="16"/>
  <c r="C6460" i="16"/>
  <c r="C6461" i="16"/>
  <c r="C6462" i="16"/>
  <c r="C6463" i="16"/>
  <c r="C6464" i="16"/>
  <c r="C6465" i="16"/>
  <c r="C6466" i="16"/>
  <c r="C6467" i="16"/>
  <c r="C6468" i="16"/>
  <c r="C6469" i="16"/>
  <c r="C6470" i="16"/>
  <c r="C6471" i="16"/>
  <c r="C6472" i="16"/>
  <c r="C6473" i="16"/>
  <c r="C6474" i="16"/>
  <c r="C6475" i="16"/>
  <c r="C6476" i="16"/>
  <c r="C6477" i="16"/>
  <c r="C6478" i="16"/>
  <c r="C6479" i="16"/>
  <c r="C6480" i="16"/>
  <c r="C6481" i="16"/>
  <c r="C6482" i="16"/>
  <c r="C6483" i="16"/>
  <c r="C6484" i="16"/>
  <c r="C6485" i="16"/>
  <c r="C6486" i="16"/>
  <c r="C6487" i="16"/>
  <c r="C6488" i="16"/>
  <c r="C6489" i="16"/>
  <c r="C6490" i="16"/>
  <c r="C6491" i="16"/>
  <c r="C6492" i="16"/>
  <c r="C6493" i="16"/>
  <c r="C6494" i="16"/>
  <c r="C6495" i="16"/>
  <c r="C6496" i="16"/>
  <c r="C6497" i="16"/>
  <c r="C6498" i="16"/>
  <c r="C6499" i="16"/>
  <c r="C6500" i="16"/>
  <c r="C6501" i="16"/>
  <c r="C6502" i="16"/>
  <c r="C6503" i="16"/>
  <c r="C6504" i="16"/>
  <c r="C6505" i="16"/>
  <c r="C6506" i="16"/>
  <c r="C6507" i="16"/>
  <c r="C6508" i="16"/>
  <c r="C6509" i="16"/>
  <c r="C6510" i="16"/>
  <c r="C6511" i="16"/>
  <c r="C6512" i="16"/>
  <c r="C6513" i="16"/>
  <c r="C6514" i="16"/>
  <c r="C6515" i="16"/>
  <c r="C6516" i="16"/>
  <c r="C6517" i="16"/>
  <c r="C6518" i="16"/>
  <c r="C6519" i="16"/>
  <c r="C6520" i="16"/>
  <c r="C6521" i="16"/>
  <c r="C6522" i="16"/>
  <c r="C6523" i="16"/>
  <c r="C6524" i="16"/>
  <c r="C6525" i="16"/>
  <c r="C6526" i="16"/>
  <c r="C6527" i="16"/>
  <c r="C6528" i="16"/>
  <c r="C6529" i="16"/>
  <c r="C6530" i="16"/>
  <c r="C6531" i="16"/>
  <c r="C6532" i="16"/>
  <c r="C6533" i="16"/>
  <c r="C6534" i="16"/>
  <c r="C6535" i="16"/>
  <c r="C6536" i="16"/>
  <c r="C6537" i="16"/>
  <c r="C6538" i="16"/>
  <c r="C6539" i="16"/>
  <c r="C6540" i="16"/>
  <c r="C6541" i="16"/>
  <c r="C6542" i="16"/>
  <c r="C6543" i="16"/>
  <c r="C6544" i="16"/>
  <c r="C6545" i="16"/>
  <c r="C6546" i="16"/>
  <c r="C6547" i="16"/>
  <c r="C6548" i="16"/>
  <c r="C6549" i="16"/>
  <c r="C6550" i="16"/>
  <c r="C6551" i="16"/>
  <c r="C6552" i="16"/>
  <c r="C6553" i="16"/>
  <c r="C6554" i="16"/>
  <c r="C6555" i="16"/>
  <c r="C6556" i="16"/>
  <c r="C6557" i="16"/>
  <c r="C6558" i="16"/>
  <c r="C6559" i="16"/>
  <c r="C6560" i="16"/>
  <c r="C6561" i="16"/>
  <c r="C6562" i="16"/>
  <c r="C6563" i="16"/>
  <c r="C6564" i="16"/>
  <c r="C6565" i="16"/>
  <c r="C6566" i="16"/>
  <c r="C6567" i="16"/>
  <c r="C6568" i="16"/>
  <c r="C6569" i="16"/>
  <c r="C6570" i="16"/>
  <c r="C6571" i="16"/>
  <c r="C6572" i="16"/>
  <c r="C6573" i="16"/>
  <c r="C6574" i="16"/>
  <c r="C6575" i="16"/>
  <c r="C6576" i="16"/>
  <c r="C6577" i="16"/>
  <c r="C6578" i="16"/>
  <c r="C6579" i="16"/>
  <c r="C6580" i="16"/>
  <c r="C6581" i="16"/>
  <c r="C6582" i="16"/>
  <c r="C6583" i="16"/>
  <c r="C6584" i="16"/>
  <c r="C6585" i="16"/>
  <c r="C6586" i="16"/>
  <c r="C6587" i="16"/>
  <c r="C6588" i="16"/>
  <c r="C6589" i="16"/>
  <c r="C6590" i="16"/>
  <c r="C6591" i="16"/>
  <c r="C6592" i="16"/>
  <c r="C6593" i="16"/>
  <c r="C6594" i="16"/>
  <c r="C6595" i="16"/>
  <c r="C6596" i="16"/>
  <c r="C6597" i="16"/>
  <c r="C6598" i="16"/>
  <c r="C6599" i="16"/>
  <c r="C6600" i="16"/>
  <c r="C6601" i="16"/>
  <c r="C6602" i="16"/>
  <c r="C6603" i="16"/>
  <c r="C6604" i="16"/>
  <c r="C6605" i="16"/>
  <c r="C6606" i="16"/>
  <c r="C6607" i="16"/>
  <c r="C6608" i="16"/>
  <c r="C6609" i="16"/>
  <c r="C6610" i="16"/>
  <c r="C6611" i="16"/>
  <c r="C6612" i="16"/>
  <c r="C6613" i="16"/>
  <c r="C6614" i="16"/>
  <c r="C6615" i="16"/>
  <c r="C6616" i="16"/>
  <c r="C6617" i="16"/>
  <c r="C6618" i="16"/>
  <c r="C6619" i="16"/>
  <c r="C6620" i="16"/>
  <c r="C6621" i="16"/>
  <c r="C6622" i="16"/>
  <c r="C6623" i="16"/>
  <c r="C6624" i="16"/>
  <c r="C6625" i="16"/>
  <c r="C6626" i="16"/>
  <c r="C6627" i="16"/>
  <c r="C6628" i="16"/>
  <c r="C6629" i="16"/>
  <c r="C6630" i="16"/>
  <c r="C6631" i="16"/>
  <c r="C6632" i="16"/>
  <c r="C6633" i="16"/>
  <c r="C6634" i="16"/>
  <c r="C6635" i="16"/>
  <c r="C6636" i="16"/>
  <c r="C6637" i="16"/>
  <c r="C6638" i="16"/>
  <c r="C6639" i="16"/>
  <c r="C6640" i="16"/>
  <c r="C6641" i="16"/>
  <c r="C6642" i="16"/>
  <c r="C6643" i="16"/>
  <c r="C6644" i="16"/>
  <c r="C6645" i="16"/>
  <c r="C6646" i="16"/>
  <c r="C6647" i="16"/>
  <c r="C6648" i="16"/>
  <c r="C6649" i="16"/>
  <c r="C6650" i="16"/>
  <c r="C6651" i="16"/>
  <c r="C6652" i="16"/>
  <c r="C6653" i="16"/>
  <c r="C6654" i="16"/>
  <c r="C6655" i="16"/>
  <c r="C6656" i="16"/>
  <c r="C6657" i="16"/>
  <c r="C6658" i="16"/>
  <c r="C6659" i="16"/>
  <c r="C6660" i="16"/>
  <c r="C6661" i="16"/>
  <c r="C6662" i="16"/>
  <c r="C6663" i="16"/>
  <c r="C6664" i="16"/>
  <c r="C6665" i="16"/>
  <c r="C6666" i="16"/>
  <c r="C6667" i="16"/>
  <c r="C6668" i="16"/>
  <c r="C6669" i="16"/>
  <c r="C6670" i="16"/>
  <c r="C6671" i="16"/>
  <c r="C6672" i="16"/>
  <c r="C6673" i="16"/>
  <c r="C6674" i="16"/>
  <c r="C6675" i="16"/>
  <c r="C6676" i="16"/>
  <c r="C6677" i="16"/>
  <c r="C6678" i="16"/>
  <c r="C6679" i="16"/>
  <c r="C6680" i="16"/>
  <c r="C6681" i="16"/>
  <c r="C6682" i="16"/>
  <c r="C6683" i="16"/>
  <c r="C6684" i="16"/>
  <c r="C6685" i="16"/>
  <c r="C6686" i="16"/>
  <c r="C6687" i="16"/>
  <c r="C6688" i="16"/>
  <c r="C6689" i="16"/>
  <c r="C6690" i="16"/>
  <c r="C6691" i="16"/>
  <c r="C6692" i="16"/>
  <c r="C6693" i="16"/>
  <c r="C6694" i="16"/>
  <c r="C6695" i="16"/>
  <c r="C6696" i="16"/>
  <c r="C6697" i="16"/>
  <c r="C6698" i="16"/>
  <c r="C6699" i="16"/>
  <c r="C6700" i="16"/>
  <c r="C6701" i="16"/>
  <c r="C6702" i="16"/>
  <c r="C6703" i="16"/>
  <c r="C6704" i="16"/>
  <c r="C6705" i="16"/>
  <c r="C6706" i="16"/>
  <c r="C6707" i="16"/>
  <c r="C6708" i="16"/>
  <c r="C6709" i="16"/>
  <c r="C6710" i="16"/>
  <c r="C6711" i="16"/>
  <c r="C6712" i="16"/>
  <c r="C6713" i="16"/>
  <c r="C6714" i="16"/>
  <c r="C6715" i="16"/>
  <c r="C6716" i="16"/>
  <c r="C6717" i="16"/>
  <c r="C6718" i="16"/>
  <c r="C6719" i="16"/>
  <c r="C6720" i="16"/>
  <c r="C6721" i="16"/>
  <c r="C6722" i="16"/>
  <c r="C6723" i="16"/>
  <c r="C6724" i="16"/>
  <c r="C6725" i="16"/>
  <c r="C6726" i="16"/>
  <c r="C6727" i="16"/>
  <c r="C6728" i="16"/>
  <c r="C6729" i="16"/>
  <c r="C6730" i="16"/>
  <c r="C6731" i="16"/>
  <c r="C6732" i="16"/>
  <c r="C6733" i="16"/>
  <c r="C6734" i="16"/>
  <c r="C6735" i="16"/>
  <c r="C6736" i="16"/>
  <c r="C6737" i="16"/>
  <c r="C6738" i="16"/>
  <c r="C6739" i="16"/>
  <c r="C6740" i="16"/>
  <c r="C6741" i="16"/>
  <c r="C6742" i="16"/>
  <c r="C6743" i="16"/>
  <c r="C6744" i="16"/>
  <c r="C6745" i="16"/>
  <c r="C6746" i="16"/>
  <c r="C6747" i="16"/>
  <c r="C6748" i="16"/>
  <c r="C6749" i="16"/>
  <c r="C6750" i="16"/>
  <c r="C6751" i="16"/>
  <c r="C6752" i="16"/>
  <c r="C6753" i="16"/>
  <c r="C6754" i="16"/>
  <c r="C6755" i="16"/>
  <c r="C6756" i="16"/>
  <c r="C6757" i="16"/>
  <c r="C6758" i="16"/>
  <c r="C6759" i="16"/>
  <c r="C6760" i="16"/>
  <c r="C6761" i="16"/>
  <c r="C6762" i="16"/>
  <c r="C6763" i="16"/>
  <c r="C6764" i="16"/>
  <c r="C6765" i="16"/>
  <c r="C6766" i="16"/>
  <c r="C6767" i="16"/>
  <c r="C6768" i="16"/>
  <c r="C6769" i="16"/>
  <c r="C6770" i="16"/>
  <c r="C6771" i="16"/>
  <c r="C6772" i="16"/>
  <c r="C6773" i="16"/>
  <c r="C6774" i="16"/>
  <c r="C6775" i="16"/>
  <c r="C6776" i="16"/>
  <c r="C6777" i="16"/>
  <c r="C6778" i="16"/>
  <c r="C6779" i="16"/>
  <c r="C6780" i="16"/>
  <c r="C6781" i="16"/>
  <c r="C6782" i="16"/>
  <c r="C6783" i="16"/>
  <c r="C6784" i="16"/>
  <c r="C6785" i="16"/>
  <c r="C6786" i="16"/>
  <c r="C6787" i="16"/>
  <c r="C6788" i="16"/>
  <c r="C6789" i="16"/>
  <c r="C6790" i="16"/>
  <c r="C6791" i="16"/>
  <c r="C6792" i="16"/>
  <c r="C6793" i="16"/>
  <c r="C6794" i="16"/>
  <c r="C6795" i="16"/>
  <c r="C6796" i="16"/>
  <c r="C6797" i="16"/>
  <c r="C6798" i="16"/>
  <c r="C6799" i="16"/>
  <c r="C6800" i="16"/>
  <c r="C6801" i="16"/>
  <c r="C6802" i="16"/>
  <c r="C6803" i="16"/>
  <c r="C6804" i="16"/>
  <c r="C6805" i="16"/>
  <c r="C6806" i="16"/>
  <c r="C6807" i="16"/>
  <c r="C6808" i="16"/>
  <c r="C6809" i="16"/>
  <c r="C6810" i="16"/>
  <c r="C6811" i="16"/>
  <c r="C6812" i="16"/>
  <c r="C6813" i="16"/>
  <c r="C6814" i="16"/>
  <c r="C6815" i="16"/>
  <c r="C6816" i="16"/>
  <c r="C6817" i="16"/>
  <c r="C6818" i="16"/>
  <c r="C6819" i="16"/>
  <c r="C6820" i="16"/>
  <c r="C6821" i="16"/>
  <c r="C6822" i="16"/>
  <c r="C6823" i="16"/>
  <c r="C6824" i="16"/>
  <c r="C6825" i="16"/>
  <c r="C6826" i="16"/>
  <c r="C6827" i="16"/>
  <c r="C6828" i="16"/>
  <c r="C6829" i="16"/>
  <c r="C6830" i="16"/>
  <c r="C6831" i="16"/>
  <c r="C6832" i="16"/>
  <c r="C6833" i="16"/>
  <c r="C6834" i="16"/>
  <c r="C6835" i="16"/>
  <c r="C6836" i="16"/>
  <c r="C6837" i="16"/>
  <c r="C6838" i="16"/>
  <c r="C6839" i="16"/>
  <c r="C6840" i="16"/>
  <c r="C6841" i="16"/>
  <c r="C6842" i="16"/>
  <c r="C6843" i="16"/>
  <c r="C6844" i="16"/>
  <c r="C6845" i="16"/>
  <c r="C6846" i="16"/>
  <c r="C6847" i="16"/>
  <c r="C6848" i="16"/>
  <c r="C6849" i="16"/>
  <c r="C6850" i="16"/>
  <c r="C6851" i="16"/>
  <c r="C6852" i="16"/>
  <c r="C6853" i="16"/>
  <c r="C6854" i="16"/>
  <c r="C6855" i="16"/>
  <c r="C6856" i="16"/>
  <c r="C6857" i="16"/>
  <c r="C6858" i="16"/>
  <c r="C6859" i="16"/>
  <c r="C6860" i="16"/>
  <c r="C6861" i="16"/>
  <c r="C6862" i="16"/>
  <c r="C6863" i="16"/>
  <c r="C6864" i="16"/>
  <c r="C6865" i="16"/>
  <c r="C6866" i="16"/>
  <c r="C6867" i="16"/>
  <c r="C6868" i="16"/>
  <c r="C6869" i="16"/>
  <c r="C6870" i="16"/>
  <c r="C6871" i="16"/>
  <c r="C6872" i="16"/>
  <c r="C6873" i="16"/>
  <c r="C6874" i="16"/>
  <c r="C6875" i="16"/>
  <c r="C6876" i="16"/>
  <c r="C6877" i="16"/>
  <c r="C6878" i="16"/>
  <c r="C6879" i="16"/>
  <c r="C6880" i="16"/>
  <c r="C6881" i="16"/>
  <c r="C6882" i="16"/>
  <c r="C6883" i="16"/>
  <c r="C6884" i="16"/>
  <c r="C6885" i="16"/>
  <c r="C6886" i="16"/>
  <c r="C6887" i="16"/>
  <c r="C6888" i="16"/>
  <c r="C6889" i="16"/>
  <c r="C6890" i="16"/>
  <c r="C6891" i="16"/>
  <c r="C6892" i="16"/>
  <c r="C6893" i="16"/>
  <c r="C6894" i="16"/>
  <c r="C6895" i="16"/>
  <c r="C6896" i="16"/>
  <c r="C6897" i="16"/>
  <c r="C6898" i="16"/>
  <c r="C6899" i="16"/>
  <c r="C6900" i="16"/>
  <c r="C6901" i="16"/>
  <c r="C6902" i="16"/>
  <c r="C6903" i="16"/>
  <c r="C6904" i="16"/>
  <c r="C6905" i="16"/>
  <c r="C6906" i="16"/>
  <c r="C6907" i="16"/>
  <c r="C6908" i="16"/>
  <c r="C6909" i="16"/>
  <c r="C6910" i="16"/>
  <c r="C6911" i="16"/>
  <c r="C6912" i="16"/>
  <c r="C6913" i="16"/>
  <c r="C6914" i="16"/>
  <c r="C6915" i="16"/>
  <c r="C6916" i="16"/>
  <c r="C6917" i="16"/>
  <c r="C6918" i="16"/>
  <c r="C6919" i="16"/>
  <c r="C6920" i="16"/>
  <c r="C6921" i="16"/>
  <c r="C6922" i="16"/>
  <c r="C6923" i="16"/>
  <c r="C6924" i="16"/>
  <c r="C6925" i="16"/>
  <c r="C6926" i="16"/>
  <c r="C6927" i="16"/>
  <c r="C6928" i="16"/>
  <c r="C6929" i="16"/>
  <c r="C6930" i="16"/>
  <c r="C6931" i="16"/>
  <c r="C6932" i="16"/>
  <c r="C6933" i="16"/>
  <c r="C6934" i="16"/>
  <c r="C6935" i="16"/>
  <c r="C6936" i="16"/>
  <c r="C6937" i="16"/>
  <c r="C6938" i="16"/>
  <c r="C6939" i="16"/>
  <c r="C6940" i="16"/>
  <c r="C6941" i="16"/>
  <c r="C6942" i="16"/>
  <c r="C6943" i="16"/>
  <c r="C6944" i="16"/>
  <c r="C6945" i="16"/>
  <c r="C6946" i="16"/>
  <c r="C6947" i="16"/>
  <c r="C6948" i="16"/>
  <c r="C6949" i="16"/>
  <c r="C6950" i="16"/>
  <c r="C6951" i="16"/>
  <c r="C6952" i="16"/>
  <c r="C6953" i="16"/>
  <c r="C6954" i="16"/>
  <c r="C6955" i="16"/>
  <c r="C6956" i="16"/>
  <c r="C6957" i="16"/>
  <c r="C6958" i="16"/>
  <c r="C6959" i="16"/>
  <c r="C6960" i="16"/>
  <c r="C6961" i="16"/>
  <c r="C6962" i="16"/>
  <c r="C6963" i="16"/>
  <c r="C6964" i="16"/>
  <c r="C6965" i="16"/>
  <c r="C6966" i="16"/>
  <c r="C6967" i="16"/>
  <c r="C6968" i="16"/>
  <c r="C6969" i="16"/>
  <c r="C6970" i="16"/>
  <c r="C6971" i="16"/>
  <c r="C6972" i="16"/>
  <c r="C6973" i="16"/>
  <c r="C6974" i="16"/>
  <c r="C6975" i="16"/>
  <c r="C6976" i="16"/>
  <c r="C6977" i="16"/>
  <c r="C6978" i="16"/>
  <c r="C6979" i="16"/>
  <c r="C6980" i="16"/>
  <c r="C6981" i="16"/>
  <c r="C6982" i="16"/>
  <c r="C6983" i="16"/>
  <c r="C6984" i="16"/>
  <c r="C6985" i="16"/>
  <c r="C6986" i="16"/>
  <c r="C6987" i="16"/>
  <c r="C6988" i="16"/>
  <c r="C6989" i="16"/>
  <c r="C6990" i="16"/>
  <c r="C6991" i="16"/>
  <c r="C6992" i="16"/>
  <c r="C6993" i="16"/>
  <c r="C6994" i="16"/>
  <c r="C6995" i="16"/>
  <c r="C6996" i="16"/>
  <c r="C6997" i="16"/>
  <c r="C6998" i="16"/>
  <c r="C6999" i="16"/>
  <c r="C7000" i="16"/>
  <c r="C7001" i="16"/>
  <c r="C7002" i="16"/>
  <c r="C7003" i="16"/>
  <c r="C7004" i="16"/>
  <c r="C7005" i="16"/>
  <c r="C7006" i="16"/>
  <c r="C7007" i="16"/>
  <c r="C7008" i="16"/>
  <c r="C7009" i="16"/>
  <c r="C7010" i="16"/>
  <c r="C7011" i="16"/>
  <c r="C7012" i="16"/>
  <c r="C7013" i="16"/>
  <c r="C7014" i="16"/>
  <c r="C7015" i="16"/>
  <c r="C7016" i="16"/>
  <c r="C7017" i="16"/>
  <c r="C7018" i="16"/>
  <c r="C7019" i="16"/>
  <c r="C7020" i="16"/>
  <c r="C7021" i="16"/>
  <c r="C7022" i="16"/>
  <c r="C7023" i="16"/>
  <c r="C7024" i="16"/>
  <c r="C7025" i="16"/>
  <c r="C7026" i="16"/>
  <c r="C7027" i="16"/>
  <c r="C7028" i="16"/>
  <c r="C7029" i="16"/>
  <c r="C7030" i="16"/>
  <c r="C7031" i="16"/>
  <c r="C7032" i="16"/>
  <c r="C7033" i="16"/>
  <c r="C7034" i="16"/>
  <c r="C7035" i="16"/>
  <c r="C7036" i="16"/>
  <c r="C7037" i="16"/>
  <c r="C7038" i="16"/>
  <c r="C7039" i="16"/>
  <c r="C7040" i="16"/>
  <c r="C7041" i="16"/>
  <c r="C7042" i="16"/>
  <c r="C7043" i="16"/>
  <c r="C7044" i="16"/>
  <c r="C7045" i="16"/>
  <c r="C7046" i="16"/>
  <c r="C7047" i="16"/>
  <c r="C7048" i="16"/>
  <c r="C7049" i="16"/>
  <c r="C7050" i="16"/>
  <c r="C7051" i="16"/>
  <c r="C7052" i="16"/>
  <c r="C7053" i="16"/>
  <c r="C7054" i="16"/>
  <c r="C7055" i="16"/>
  <c r="C7056" i="16"/>
  <c r="C7057" i="16"/>
  <c r="C7058" i="16"/>
  <c r="C7059" i="16"/>
  <c r="C7060" i="16"/>
  <c r="C7061" i="16"/>
  <c r="C7062" i="16"/>
  <c r="C7063" i="16"/>
  <c r="C7064" i="16"/>
  <c r="C7065" i="16"/>
  <c r="C7066" i="16"/>
  <c r="C7067" i="16"/>
  <c r="C7068" i="16"/>
  <c r="C7069" i="16"/>
  <c r="C7070" i="16"/>
  <c r="C7071" i="16"/>
  <c r="C7072" i="16"/>
  <c r="C7073" i="16"/>
  <c r="C7074" i="16"/>
  <c r="C7075" i="16"/>
  <c r="C7076" i="16"/>
  <c r="C7077" i="16"/>
  <c r="C7078" i="16"/>
  <c r="C7079" i="16"/>
  <c r="C7080" i="16"/>
  <c r="C7081" i="16"/>
  <c r="C7082" i="16"/>
  <c r="C7083" i="16"/>
  <c r="C7084" i="16"/>
  <c r="C7085" i="16"/>
  <c r="C7086" i="16"/>
  <c r="C7087" i="16"/>
  <c r="C7088" i="16"/>
  <c r="C7089" i="16"/>
  <c r="C7090" i="16"/>
  <c r="C7091" i="16"/>
  <c r="C7092" i="16"/>
  <c r="C7093" i="16"/>
  <c r="C7094" i="16"/>
  <c r="C7095" i="16"/>
  <c r="C7096" i="16"/>
  <c r="C7097" i="16"/>
  <c r="C7098" i="16"/>
  <c r="C7099" i="16"/>
  <c r="C7100" i="16"/>
  <c r="C7101" i="16"/>
  <c r="C7102" i="16"/>
  <c r="C7103" i="16"/>
  <c r="C7104" i="16"/>
  <c r="C7105" i="16"/>
  <c r="C7106" i="16"/>
  <c r="C7107" i="16"/>
  <c r="C7108" i="16"/>
  <c r="C7109" i="16"/>
  <c r="C7110" i="16"/>
  <c r="C7111" i="16"/>
  <c r="C7112" i="16"/>
  <c r="C7113" i="16"/>
  <c r="C7114" i="16"/>
  <c r="C7115" i="16"/>
  <c r="C7116" i="16"/>
  <c r="C7117" i="16"/>
  <c r="C7118" i="16"/>
  <c r="C7119" i="16"/>
  <c r="C7120" i="16"/>
  <c r="C7121" i="16"/>
  <c r="C7122" i="16"/>
  <c r="C7123" i="16"/>
  <c r="C7124" i="16"/>
  <c r="C7125" i="16"/>
  <c r="C7126" i="16"/>
  <c r="C7127" i="16"/>
  <c r="C7128" i="16"/>
  <c r="C7129" i="16"/>
  <c r="C7130" i="16"/>
  <c r="C7131" i="16"/>
  <c r="C7132" i="16"/>
  <c r="C7133" i="16"/>
  <c r="C7134" i="16"/>
  <c r="C7135" i="16"/>
  <c r="C7136" i="16"/>
  <c r="C7137" i="16"/>
  <c r="C7138" i="16"/>
  <c r="C7139" i="16"/>
  <c r="C7140" i="16"/>
  <c r="C7141" i="16"/>
  <c r="C7142" i="16"/>
  <c r="C7143" i="16"/>
  <c r="C7144" i="16"/>
  <c r="C7145" i="16"/>
  <c r="C7146" i="16"/>
  <c r="C7147" i="16"/>
  <c r="C7148" i="16"/>
  <c r="C7149" i="16"/>
  <c r="C7150" i="16"/>
  <c r="C7151" i="16"/>
  <c r="C7152" i="16"/>
  <c r="C7153" i="16"/>
  <c r="C7154" i="16"/>
  <c r="C7155" i="16"/>
  <c r="C7156" i="16"/>
  <c r="C7157" i="16"/>
  <c r="C7158" i="16"/>
  <c r="C7159" i="16"/>
  <c r="C7160" i="16"/>
  <c r="C7161" i="16"/>
  <c r="C7162" i="16"/>
  <c r="C7163" i="16"/>
  <c r="C7164" i="16"/>
  <c r="C7165" i="16"/>
  <c r="C7166" i="16"/>
  <c r="C7167" i="16"/>
  <c r="C7168" i="16"/>
  <c r="C7169" i="16"/>
  <c r="C7170" i="16"/>
  <c r="C7171" i="16"/>
  <c r="C7172" i="16"/>
  <c r="C7173" i="16"/>
  <c r="C7174" i="16"/>
  <c r="C7175" i="16"/>
  <c r="C7176" i="16"/>
  <c r="C7177" i="16"/>
  <c r="C7178" i="16"/>
  <c r="C7179" i="16"/>
  <c r="C7180" i="16"/>
  <c r="C7181" i="16"/>
  <c r="C7182" i="16"/>
  <c r="C7183" i="16"/>
  <c r="C7184" i="16"/>
  <c r="C7185" i="16"/>
  <c r="C7186" i="16"/>
  <c r="C7187" i="16"/>
  <c r="C7188" i="16"/>
  <c r="C7189" i="16"/>
  <c r="C7190" i="16"/>
  <c r="C7191" i="16"/>
  <c r="C7192" i="16"/>
  <c r="C7193" i="16"/>
  <c r="C7194" i="16"/>
  <c r="C7195" i="16"/>
  <c r="C7196" i="16"/>
  <c r="C7197" i="16"/>
  <c r="C7198" i="16"/>
  <c r="C7199" i="16"/>
  <c r="C7200" i="16"/>
  <c r="C7201" i="16"/>
  <c r="C7202" i="16"/>
  <c r="C7203" i="16"/>
  <c r="C7204" i="16"/>
  <c r="C7205" i="16"/>
  <c r="C7206" i="16"/>
  <c r="C7207" i="16"/>
  <c r="C7208" i="16"/>
  <c r="C7209" i="16"/>
  <c r="C7210" i="16"/>
  <c r="C7211" i="16"/>
  <c r="C7212" i="16"/>
  <c r="C7213" i="16"/>
  <c r="C7214" i="16"/>
  <c r="C7215" i="16"/>
  <c r="C7216" i="16"/>
  <c r="C7217" i="16"/>
  <c r="C7218" i="16"/>
  <c r="C7219" i="16"/>
  <c r="C7220" i="16"/>
  <c r="C7221" i="16"/>
  <c r="C7222" i="16"/>
  <c r="C7223" i="16"/>
  <c r="C7224" i="16"/>
  <c r="C7225" i="16"/>
  <c r="C7226" i="16"/>
  <c r="C7227" i="16"/>
  <c r="C7228" i="16"/>
  <c r="C7229" i="16"/>
  <c r="C7230" i="16"/>
  <c r="C7231" i="16"/>
  <c r="C7232" i="16"/>
  <c r="C7233" i="16"/>
  <c r="C7234" i="16"/>
  <c r="C7235" i="16"/>
  <c r="C7236" i="16"/>
  <c r="C7237" i="16"/>
  <c r="C7238" i="16"/>
  <c r="C7239" i="16"/>
  <c r="C7240" i="16"/>
  <c r="C7241" i="16"/>
  <c r="C7242" i="16"/>
  <c r="C7243" i="16"/>
  <c r="C7244" i="16"/>
  <c r="C7245" i="16"/>
  <c r="C7246" i="16"/>
  <c r="C7247" i="16"/>
  <c r="C7248" i="16"/>
  <c r="C7249" i="16"/>
  <c r="C7250" i="16"/>
  <c r="C7251" i="16"/>
  <c r="C7252" i="16"/>
  <c r="C7253" i="16"/>
  <c r="C7254" i="16"/>
  <c r="C7255" i="16"/>
  <c r="C7256" i="16"/>
  <c r="C7257" i="16"/>
  <c r="C7258" i="16"/>
  <c r="C7259" i="16"/>
  <c r="C7260" i="16"/>
  <c r="C7261" i="16"/>
  <c r="C7262" i="16"/>
  <c r="C7263" i="16"/>
  <c r="C7264" i="16"/>
  <c r="C7265" i="16"/>
  <c r="C7266" i="16"/>
  <c r="C7267" i="16"/>
  <c r="C7268" i="16"/>
  <c r="C7269" i="16"/>
  <c r="C7270" i="16"/>
  <c r="C7271" i="16"/>
  <c r="C7272" i="16"/>
  <c r="C7273" i="16"/>
  <c r="C7274" i="16"/>
  <c r="C7275" i="16"/>
  <c r="C7276" i="16"/>
  <c r="C7277" i="16"/>
  <c r="C7278" i="16"/>
  <c r="C7279" i="16"/>
  <c r="C7280" i="16"/>
  <c r="C7281" i="16"/>
  <c r="C7282" i="16"/>
  <c r="C7283" i="16"/>
  <c r="C7284" i="16"/>
  <c r="C7285" i="16"/>
  <c r="C7286" i="16"/>
  <c r="C7287" i="16"/>
  <c r="C7288" i="16"/>
  <c r="C7289" i="16"/>
  <c r="C7290" i="16"/>
  <c r="C7291" i="16"/>
  <c r="C7292" i="16"/>
  <c r="C7293" i="16"/>
  <c r="C7294" i="16"/>
  <c r="C7295" i="16"/>
  <c r="C7296" i="16"/>
  <c r="C7297" i="16"/>
  <c r="C7298" i="16"/>
  <c r="C7299" i="16"/>
  <c r="C7300" i="16"/>
  <c r="C7301" i="16"/>
  <c r="C7302" i="16"/>
  <c r="C7303" i="16"/>
  <c r="C7304" i="16"/>
  <c r="C7305" i="16"/>
  <c r="C7306" i="16"/>
  <c r="C7307" i="16"/>
  <c r="C7308" i="16"/>
  <c r="C7309" i="16"/>
  <c r="C7310" i="16"/>
  <c r="C7311" i="16"/>
  <c r="C7312" i="16"/>
  <c r="C7313" i="16"/>
  <c r="C7314" i="16"/>
  <c r="C7315" i="16"/>
  <c r="C7316" i="16"/>
  <c r="C7317" i="16"/>
  <c r="C7318" i="16"/>
  <c r="C7319" i="16"/>
  <c r="C7320" i="16"/>
  <c r="C7321" i="16"/>
  <c r="C7322" i="16"/>
  <c r="C7323" i="16"/>
  <c r="C7324" i="16"/>
  <c r="C7325" i="16"/>
  <c r="C7326" i="16"/>
  <c r="C7327" i="16"/>
  <c r="C7328" i="16"/>
  <c r="C7329" i="16"/>
  <c r="C7330" i="16"/>
  <c r="C7331" i="16"/>
  <c r="C7332" i="16"/>
  <c r="C7333" i="16"/>
  <c r="C7334" i="16"/>
  <c r="C7335" i="16"/>
  <c r="C7336" i="16"/>
  <c r="C7337" i="16"/>
  <c r="C7338" i="16"/>
  <c r="C7339" i="16"/>
  <c r="C7340" i="16"/>
  <c r="C7341" i="16"/>
  <c r="C7342" i="16"/>
  <c r="C7343" i="16"/>
  <c r="C7344" i="16"/>
  <c r="C7345" i="16"/>
  <c r="C7346" i="16"/>
  <c r="C7347" i="16"/>
  <c r="C7348" i="16"/>
  <c r="C7349" i="16"/>
  <c r="C7350" i="16"/>
  <c r="C7351" i="16"/>
  <c r="C7352" i="16"/>
  <c r="C7353" i="16"/>
  <c r="C7354" i="16"/>
  <c r="C7355" i="16"/>
  <c r="C7356" i="16"/>
  <c r="C7357" i="16"/>
  <c r="C7358" i="16"/>
  <c r="C7359" i="16"/>
  <c r="C7360" i="16"/>
  <c r="C7361" i="16"/>
  <c r="C7362" i="16"/>
  <c r="C7363" i="16"/>
  <c r="C7364" i="16"/>
  <c r="C7365" i="16"/>
  <c r="C7366" i="16"/>
  <c r="C7367" i="16"/>
  <c r="C7368" i="16"/>
  <c r="C7369" i="16"/>
  <c r="C7370" i="16"/>
  <c r="C7371" i="16"/>
  <c r="C7372" i="16"/>
  <c r="C7373" i="16"/>
  <c r="C7374" i="16"/>
  <c r="C7375" i="16"/>
  <c r="C7376" i="16"/>
  <c r="C7377" i="16"/>
  <c r="C7378" i="16"/>
  <c r="C7379" i="16"/>
  <c r="C7380" i="16"/>
  <c r="C7381" i="16"/>
  <c r="C7382" i="16"/>
  <c r="C7383" i="16"/>
  <c r="C7384" i="16"/>
  <c r="C7385" i="16"/>
  <c r="C7386" i="16"/>
  <c r="C7387" i="16"/>
  <c r="C7388" i="16"/>
  <c r="C7389" i="16"/>
  <c r="C7390" i="16"/>
  <c r="C7391" i="16"/>
  <c r="C7392" i="16"/>
  <c r="C7393" i="16"/>
  <c r="C7394" i="16"/>
  <c r="C7395" i="16"/>
  <c r="C7396" i="16"/>
  <c r="C7397" i="16"/>
  <c r="C7398" i="16"/>
  <c r="C7399" i="16"/>
  <c r="C7400" i="16"/>
  <c r="C7401" i="16"/>
  <c r="C7402" i="16"/>
  <c r="C7403" i="16"/>
  <c r="C7404" i="16"/>
  <c r="C7405" i="16"/>
  <c r="C7406" i="16"/>
  <c r="C7407" i="16"/>
  <c r="C7408" i="16"/>
  <c r="C7409" i="16"/>
  <c r="C7410" i="16"/>
  <c r="C7411" i="16"/>
  <c r="C7412" i="16"/>
  <c r="C7413" i="16"/>
  <c r="C7414" i="16"/>
  <c r="C7415" i="16"/>
  <c r="C7416" i="16"/>
  <c r="C7417" i="16"/>
  <c r="C7418" i="16"/>
  <c r="C7419" i="16"/>
  <c r="C7420" i="16"/>
  <c r="C7421" i="16"/>
  <c r="C7422" i="16"/>
  <c r="C7423" i="16"/>
  <c r="C7424" i="16"/>
  <c r="C7425" i="16"/>
  <c r="C7426" i="16"/>
  <c r="C7427" i="16"/>
  <c r="C7428" i="16"/>
  <c r="C7429" i="16"/>
  <c r="C7430" i="16"/>
  <c r="C7431" i="16"/>
  <c r="C7432" i="16"/>
  <c r="C7433" i="16"/>
  <c r="C7434" i="16"/>
  <c r="C7435" i="16"/>
  <c r="C7436" i="16"/>
  <c r="C7437" i="16"/>
  <c r="C7438" i="16"/>
  <c r="C7439" i="16"/>
  <c r="C7440" i="16"/>
  <c r="C7441" i="16"/>
  <c r="C7442" i="16"/>
  <c r="C7443" i="16"/>
  <c r="C7444" i="16"/>
  <c r="C7445" i="16"/>
  <c r="C7446" i="16"/>
  <c r="C7447" i="16"/>
  <c r="C7448" i="16"/>
  <c r="C7449" i="16"/>
  <c r="C7450" i="16"/>
  <c r="C7451" i="16"/>
  <c r="C7452" i="16"/>
  <c r="C7453" i="16"/>
  <c r="C7454" i="16"/>
  <c r="C7455" i="16"/>
  <c r="C7456" i="16"/>
  <c r="C7457" i="16"/>
  <c r="C7458" i="16"/>
  <c r="C7459" i="16"/>
  <c r="C7460" i="16"/>
  <c r="C7461" i="16"/>
  <c r="C7462" i="16"/>
  <c r="C7463" i="16"/>
  <c r="C7464" i="16"/>
  <c r="C7465" i="16"/>
  <c r="C7466" i="16"/>
  <c r="C7467" i="16"/>
  <c r="C7468" i="16"/>
  <c r="C7469" i="16"/>
  <c r="C7470" i="16"/>
  <c r="C7471" i="16"/>
  <c r="C7472" i="16"/>
  <c r="C7473" i="16"/>
  <c r="C7474" i="16"/>
  <c r="C7475" i="16"/>
  <c r="C7476" i="16"/>
  <c r="C7477" i="16"/>
  <c r="C7478" i="16"/>
  <c r="C7479" i="16"/>
  <c r="C7480" i="16"/>
  <c r="C7481" i="16"/>
  <c r="C7482" i="16"/>
  <c r="C7483" i="16"/>
  <c r="C7484" i="16"/>
  <c r="C7485" i="16"/>
  <c r="C7486" i="16"/>
  <c r="C7487" i="16"/>
  <c r="C7488" i="16"/>
  <c r="C7489" i="16"/>
  <c r="C7490" i="16"/>
  <c r="C7491" i="16"/>
  <c r="C7492" i="16"/>
  <c r="C7493" i="16"/>
  <c r="C7494" i="16"/>
  <c r="C7495" i="16"/>
  <c r="C7496" i="16"/>
  <c r="C7497" i="16"/>
  <c r="C7498" i="16"/>
  <c r="C7499" i="16"/>
  <c r="C7500" i="16"/>
  <c r="C7501" i="16"/>
  <c r="C7502" i="16"/>
  <c r="C7503" i="16"/>
  <c r="C7504" i="16"/>
  <c r="C7505" i="16"/>
  <c r="C7506" i="16"/>
  <c r="C7507" i="16"/>
  <c r="C7508" i="16"/>
  <c r="C7509" i="16"/>
  <c r="C7510" i="16"/>
  <c r="C7511" i="16"/>
  <c r="C7512" i="16"/>
  <c r="C7513" i="16"/>
  <c r="C7514" i="16"/>
  <c r="C7515" i="16"/>
  <c r="C7516" i="16"/>
  <c r="C7517" i="16"/>
  <c r="C7518" i="16"/>
  <c r="C7519" i="16"/>
  <c r="C7520" i="16"/>
  <c r="C7521" i="16"/>
  <c r="C7522" i="16"/>
  <c r="C7523" i="16"/>
  <c r="C7524" i="16"/>
  <c r="C7525" i="16"/>
  <c r="C7526" i="16"/>
  <c r="C7527" i="16"/>
  <c r="C7528" i="16"/>
  <c r="C7529" i="16"/>
  <c r="C7530" i="16"/>
  <c r="C7531" i="16"/>
  <c r="C7532" i="16"/>
  <c r="C7533" i="16"/>
  <c r="C7534" i="16"/>
  <c r="C7535" i="16"/>
  <c r="C7536" i="16"/>
  <c r="C7537" i="16"/>
  <c r="C7538" i="16"/>
  <c r="C7539" i="16"/>
  <c r="C7540" i="16"/>
  <c r="C7541" i="16"/>
  <c r="C7542" i="16"/>
  <c r="C7543" i="16"/>
  <c r="C7544" i="16"/>
  <c r="C7545" i="16"/>
  <c r="C7546" i="16"/>
  <c r="C7547" i="16"/>
  <c r="C7548" i="16"/>
  <c r="C7549" i="16"/>
  <c r="C7550" i="16"/>
  <c r="C7551" i="16"/>
  <c r="C7552" i="16"/>
  <c r="C7553" i="16"/>
  <c r="C7554" i="16"/>
  <c r="C7555" i="16"/>
  <c r="C7556" i="16"/>
  <c r="C7557" i="16"/>
  <c r="C7558" i="16"/>
  <c r="C7559" i="16"/>
  <c r="C7560" i="16"/>
  <c r="C7561" i="16"/>
  <c r="C7562" i="16"/>
  <c r="C7563" i="16"/>
  <c r="C7564" i="16"/>
  <c r="C7565" i="16"/>
  <c r="C7566" i="16"/>
  <c r="C7567" i="16"/>
  <c r="C7568" i="16"/>
  <c r="C7569" i="16"/>
  <c r="C7570" i="16"/>
  <c r="C7571" i="16"/>
  <c r="C7572" i="16"/>
  <c r="C7573" i="16"/>
  <c r="C7574" i="16"/>
  <c r="C7575" i="16"/>
  <c r="C7576" i="16"/>
  <c r="C7577" i="16"/>
  <c r="C7578" i="16"/>
  <c r="C7579" i="16"/>
  <c r="C7580" i="16"/>
  <c r="C7581" i="16"/>
  <c r="C7582" i="16"/>
  <c r="C7583" i="16"/>
  <c r="C7584" i="16"/>
  <c r="C7585" i="16"/>
  <c r="C7586" i="16"/>
  <c r="C7587" i="16"/>
  <c r="C7588" i="16"/>
  <c r="C7589" i="16"/>
  <c r="C7590" i="16"/>
  <c r="C7591" i="16"/>
  <c r="C7592" i="16"/>
  <c r="C7593" i="16"/>
  <c r="C7594" i="16"/>
  <c r="C7595" i="16"/>
  <c r="C7596" i="16"/>
  <c r="C7597" i="16"/>
  <c r="C7598" i="16"/>
  <c r="C7599" i="16"/>
  <c r="C7600" i="16"/>
  <c r="C7601" i="16"/>
  <c r="C7602" i="16"/>
  <c r="C7603" i="16"/>
  <c r="C7604" i="16"/>
  <c r="C7605" i="16"/>
  <c r="C7606" i="16"/>
  <c r="C7607" i="16"/>
  <c r="C7608" i="16"/>
  <c r="C7609" i="16"/>
  <c r="C7610" i="16"/>
  <c r="C7611" i="16"/>
  <c r="C7612" i="16"/>
  <c r="C7613" i="16"/>
  <c r="C7614" i="16"/>
  <c r="C7615" i="16"/>
  <c r="C7616" i="16"/>
  <c r="C7617" i="16"/>
  <c r="C7618" i="16"/>
  <c r="C7619" i="16"/>
  <c r="C7620" i="16"/>
  <c r="C7621" i="16"/>
  <c r="C7622" i="16"/>
  <c r="C7623" i="16"/>
  <c r="C7624" i="16"/>
  <c r="C7625" i="16"/>
  <c r="C7626" i="16"/>
  <c r="C7627" i="16"/>
  <c r="C7628" i="16"/>
  <c r="C7629" i="16"/>
  <c r="C7630" i="16"/>
  <c r="C7631" i="16"/>
  <c r="C7632" i="16"/>
  <c r="C7633" i="16"/>
  <c r="C7634" i="16"/>
  <c r="C7635" i="16"/>
  <c r="C7636" i="16"/>
  <c r="C7637" i="16"/>
  <c r="C7638" i="16"/>
  <c r="C7639" i="16"/>
  <c r="C7640" i="16"/>
  <c r="C7641" i="16"/>
  <c r="C7642" i="16"/>
  <c r="C7643" i="16"/>
  <c r="C7644" i="16"/>
  <c r="C7645" i="16"/>
  <c r="C7646" i="16"/>
  <c r="C7647" i="16"/>
  <c r="C7648" i="16"/>
  <c r="C7649" i="16"/>
  <c r="C7650" i="16"/>
  <c r="C7651" i="16"/>
  <c r="C7652" i="16"/>
  <c r="C7653" i="16"/>
  <c r="C7654" i="16"/>
  <c r="C7655" i="16"/>
  <c r="C7656" i="16"/>
  <c r="C7657" i="16"/>
  <c r="C7658" i="16"/>
  <c r="C7659" i="16"/>
  <c r="C7660" i="16"/>
  <c r="C7661" i="16"/>
  <c r="C7662" i="16"/>
  <c r="C7663" i="16"/>
  <c r="C7664" i="16"/>
  <c r="C7665" i="16"/>
  <c r="C7666" i="16"/>
  <c r="C7667" i="16"/>
  <c r="C7668" i="16"/>
  <c r="C7669" i="16"/>
  <c r="C7670" i="16"/>
  <c r="C7671" i="16"/>
  <c r="C7672" i="16"/>
  <c r="C7673" i="16"/>
  <c r="C7674" i="16"/>
  <c r="C7675" i="16"/>
  <c r="C7676" i="16"/>
  <c r="C7677" i="16"/>
  <c r="C7678" i="16"/>
  <c r="C7679" i="16"/>
  <c r="C7680" i="16"/>
  <c r="C7681" i="16"/>
  <c r="C7682" i="16"/>
  <c r="C7683" i="16"/>
  <c r="C7684" i="16"/>
  <c r="C7685" i="16"/>
  <c r="C7686" i="16"/>
  <c r="C7687" i="16"/>
  <c r="C7688" i="16"/>
  <c r="C7689" i="16"/>
  <c r="C7690" i="16"/>
  <c r="C7691" i="16"/>
  <c r="C7692" i="16"/>
  <c r="C7693" i="16"/>
  <c r="C7694" i="16"/>
  <c r="C7695" i="16"/>
  <c r="C7696" i="16"/>
  <c r="C7697" i="16"/>
  <c r="C7698" i="16"/>
  <c r="C7699" i="16"/>
  <c r="C7700" i="16"/>
  <c r="C7701" i="16"/>
  <c r="C7702" i="16"/>
  <c r="C7703" i="16"/>
  <c r="C7704" i="16"/>
  <c r="C7705" i="16"/>
  <c r="C7706" i="16"/>
  <c r="C7707" i="16"/>
  <c r="C7708" i="16"/>
  <c r="C7709" i="16"/>
  <c r="C7710" i="16"/>
  <c r="C7711" i="16"/>
  <c r="C7712" i="16"/>
  <c r="C7713" i="16"/>
  <c r="C7714" i="16"/>
  <c r="C7715" i="16"/>
  <c r="C7716" i="16"/>
  <c r="C7717" i="16"/>
  <c r="C7718" i="16"/>
  <c r="C7719" i="16"/>
  <c r="C7720" i="16"/>
  <c r="C7721" i="16"/>
  <c r="C7722" i="16"/>
  <c r="C7723" i="16"/>
  <c r="C7724" i="16"/>
  <c r="C7725" i="16"/>
  <c r="C7726" i="16"/>
  <c r="C7727" i="16"/>
  <c r="C7728" i="16"/>
  <c r="C7729" i="16"/>
  <c r="C7730" i="16"/>
  <c r="C7731" i="16"/>
  <c r="C7732" i="16"/>
  <c r="C7733" i="16"/>
  <c r="C7734" i="16"/>
  <c r="C7735" i="16"/>
  <c r="C7736" i="16"/>
  <c r="C7737" i="16"/>
  <c r="C7738" i="16"/>
  <c r="C7739" i="16"/>
  <c r="C7740" i="16"/>
  <c r="C7741" i="16"/>
  <c r="C7742" i="16"/>
  <c r="C7743" i="16"/>
  <c r="C7744" i="16"/>
  <c r="C7745" i="16"/>
  <c r="C7746" i="16"/>
  <c r="C7747" i="16"/>
  <c r="C7748" i="16"/>
  <c r="C7749" i="16"/>
  <c r="C7750" i="16"/>
  <c r="C7751" i="16"/>
  <c r="C7752" i="16"/>
  <c r="C7753" i="16"/>
  <c r="C7754" i="16"/>
  <c r="C7755" i="16"/>
  <c r="C7756" i="16"/>
  <c r="C7757" i="16"/>
  <c r="C7758" i="16"/>
  <c r="C7759" i="16"/>
  <c r="C7760" i="16"/>
  <c r="C7761" i="16"/>
  <c r="C7762" i="16"/>
  <c r="C7763" i="16"/>
  <c r="C7764" i="16"/>
  <c r="C7765" i="16"/>
  <c r="C7766" i="16"/>
  <c r="C7767" i="16"/>
  <c r="C7768" i="16"/>
  <c r="C7769" i="16"/>
  <c r="C7770" i="16"/>
  <c r="C7771" i="16"/>
  <c r="C7772" i="16"/>
  <c r="C7773" i="16"/>
  <c r="C7774" i="16"/>
  <c r="C7775" i="16"/>
  <c r="C7776" i="16"/>
  <c r="C7777" i="16"/>
  <c r="C7778" i="16"/>
  <c r="C7779" i="16"/>
  <c r="C7780" i="16"/>
  <c r="C7781" i="16"/>
  <c r="C7782" i="16"/>
  <c r="C7783" i="16"/>
  <c r="C7784" i="16"/>
  <c r="C7785" i="16"/>
  <c r="C7786" i="16"/>
  <c r="C7787" i="16"/>
  <c r="C7788" i="16"/>
  <c r="C7789" i="16"/>
  <c r="C7790" i="16"/>
  <c r="C7791" i="16"/>
  <c r="C7792" i="16"/>
  <c r="C7793" i="16"/>
  <c r="C7794" i="16"/>
  <c r="C7795" i="16"/>
  <c r="C7796" i="16"/>
  <c r="C7797" i="16"/>
  <c r="C7798" i="16"/>
  <c r="C7799" i="16"/>
  <c r="C7800" i="16"/>
  <c r="C7801" i="16"/>
  <c r="C7802" i="16"/>
  <c r="C7803" i="16"/>
  <c r="C7804" i="16"/>
  <c r="C7805" i="16"/>
  <c r="C7806" i="16"/>
  <c r="C7807" i="16"/>
  <c r="C7808" i="16"/>
  <c r="C7809" i="16"/>
  <c r="C7810" i="16"/>
  <c r="C7811" i="16"/>
  <c r="C7812" i="16"/>
  <c r="C7813" i="16"/>
  <c r="C7814" i="16"/>
  <c r="C7815" i="16"/>
  <c r="C7816" i="16"/>
  <c r="C7817" i="16"/>
  <c r="C7818" i="16"/>
  <c r="C7819" i="16"/>
  <c r="C7820" i="16"/>
  <c r="C7821" i="16"/>
  <c r="C7822" i="16"/>
  <c r="C7823" i="16"/>
  <c r="C7824" i="16"/>
  <c r="C7825" i="16"/>
  <c r="C7826" i="16"/>
  <c r="C7827" i="16"/>
  <c r="C7828" i="16"/>
  <c r="C7829" i="16"/>
  <c r="C7830" i="16"/>
  <c r="C7831" i="16"/>
  <c r="C7832" i="16"/>
  <c r="C7833" i="16"/>
  <c r="C7834" i="16"/>
  <c r="C7835" i="16"/>
  <c r="C7836" i="16"/>
  <c r="C7837" i="16"/>
  <c r="C7838" i="16"/>
  <c r="C7839" i="16"/>
  <c r="C7840" i="16"/>
  <c r="C7841" i="16"/>
  <c r="C7842" i="16"/>
  <c r="C7843" i="16"/>
  <c r="C7844" i="16"/>
  <c r="C7845" i="16"/>
  <c r="C7846" i="16"/>
  <c r="C7847" i="16"/>
  <c r="C7848" i="16"/>
  <c r="C7849" i="16"/>
  <c r="C7850" i="16"/>
  <c r="C7851" i="16"/>
  <c r="C7852" i="16"/>
  <c r="C7853" i="16"/>
  <c r="C7854" i="16"/>
  <c r="C7855" i="16"/>
  <c r="C7856" i="16"/>
  <c r="C7857" i="16"/>
  <c r="C7858" i="16"/>
  <c r="C7859" i="16"/>
  <c r="C7860" i="16"/>
  <c r="C7861" i="16"/>
  <c r="C7862" i="16"/>
  <c r="C7863" i="16"/>
  <c r="C7864" i="16"/>
  <c r="C7865" i="16"/>
  <c r="C7866" i="16"/>
  <c r="C7867" i="16"/>
  <c r="C7868" i="16"/>
  <c r="C7869" i="16"/>
  <c r="C7870" i="16"/>
  <c r="C7871" i="16"/>
  <c r="C7872" i="16"/>
  <c r="C7873" i="16"/>
  <c r="C7874" i="16"/>
  <c r="C7875" i="16"/>
  <c r="C7876" i="16"/>
  <c r="C7877" i="16"/>
  <c r="C7878" i="16"/>
  <c r="C7879" i="16"/>
  <c r="C7880" i="16"/>
  <c r="C7881" i="16"/>
  <c r="C7882" i="16"/>
  <c r="C7883" i="16"/>
  <c r="C7884" i="16"/>
  <c r="C7885" i="16"/>
  <c r="C7886" i="16"/>
  <c r="C7887" i="16"/>
  <c r="C7888" i="16"/>
  <c r="C7889" i="16"/>
  <c r="C7890" i="16"/>
  <c r="C7891" i="16"/>
  <c r="C5" i="16"/>
  <c r="A7891" i="16" l="1"/>
  <c r="A7890" i="16"/>
  <c r="A7889" i="16"/>
  <c r="A7888" i="16"/>
  <c r="A7887" i="16"/>
  <c r="A7886" i="16"/>
  <c r="A7885" i="16"/>
  <c r="A7884" i="16"/>
  <c r="A7883" i="16"/>
  <c r="A7882" i="16"/>
  <c r="A7881" i="16"/>
  <c r="A7880" i="16"/>
  <c r="A7879" i="16"/>
  <c r="A7878" i="16"/>
  <c r="A7877" i="16"/>
  <c r="A7876" i="16"/>
  <c r="A7875" i="16"/>
  <c r="A7874" i="16"/>
  <c r="A7873" i="16"/>
  <c r="A7872" i="16"/>
  <c r="A7871" i="16"/>
  <c r="A7870" i="16"/>
  <c r="A7869" i="16"/>
  <c r="A7868" i="16"/>
  <c r="A7867" i="16"/>
  <c r="A7866" i="16"/>
  <c r="A7865" i="16"/>
  <c r="A7864" i="16"/>
  <c r="A7863" i="16"/>
  <c r="A7862" i="16"/>
  <c r="A7861" i="16"/>
  <c r="A7860" i="16"/>
  <c r="A7859" i="16"/>
  <c r="A7858" i="16"/>
  <c r="A7857" i="16"/>
  <c r="A7856" i="16"/>
  <c r="A7855" i="16"/>
  <c r="A7854" i="16"/>
  <c r="A7853" i="16"/>
  <c r="A7852" i="16"/>
  <c r="A7851" i="16"/>
  <c r="A7850" i="16"/>
  <c r="A7849" i="16"/>
  <c r="A7848" i="16"/>
  <c r="A7847" i="16"/>
  <c r="A7846" i="16"/>
  <c r="A7845" i="16"/>
  <c r="A7844" i="16"/>
  <c r="A7843" i="16"/>
  <c r="A7842" i="16"/>
  <c r="A7841" i="16"/>
  <c r="A7840" i="16"/>
  <c r="A7839" i="16"/>
  <c r="A7838" i="16"/>
  <c r="A7837" i="16"/>
  <c r="A7836" i="16"/>
  <c r="A7835" i="16"/>
  <c r="A7834" i="16"/>
  <c r="A7833" i="16"/>
  <c r="A7832" i="16"/>
  <c r="A7831" i="16"/>
  <c r="A7830" i="16"/>
  <c r="A7829" i="16"/>
  <c r="A7828" i="16"/>
  <c r="A7827" i="16"/>
  <c r="A7826" i="16"/>
  <c r="A7825" i="16"/>
  <c r="A7824" i="16"/>
  <c r="A7823" i="16"/>
  <c r="A7822" i="16"/>
  <c r="A7821" i="16"/>
  <c r="A7820" i="16"/>
  <c r="A7819" i="16"/>
  <c r="A7818" i="16"/>
  <c r="A7817" i="16"/>
  <c r="A7816" i="16"/>
  <c r="A7815" i="16"/>
  <c r="A7814" i="16"/>
  <c r="A7813" i="16"/>
  <c r="A7812" i="16"/>
  <c r="A7811" i="16"/>
  <c r="A7810" i="16"/>
  <c r="A7809" i="16"/>
  <c r="A7808" i="16"/>
  <c r="A7807" i="16"/>
  <c r="A7806" i="16"/>
  <c r="A7805" i="16"/>
  <c r="A7804" i="16"/>
  <c r="A7803" i="16"/>
  <c r="A7802" i="16"/>
  <c r="A7801" i="16"/>
  <c r="A7800" i="16"/>
  <c r="A7799" i="16"/>
  <c r="A7798" i="16"/>
  <c r="A7797" i="16"/>
  <c r="A7796" i="16"/>
  <c r="A7795" i="16"/>
  <c r="A7794" i="16"/>
  <c r="A7793" i="16"/>
  <c r="A7792" i="16"/>
  <c r="A7791" i="16"/>
  <c r="A7790" i="16"/>
  <c r="A7789" i="16"/>
  <c r="A7788" i="16"/>
  <c r="A7787" i="16"/>
  <c r="A7786" i="16"/>
  <c r="A7785" i="16"/>
  <c r="A7784" i="16"/>
  <c r="A7783" i="16"/>
  <c r="A7782" i="16"/>
  <c r="A7781" i="16"/>
  <c r="A7780" i="16"/>
  <c r="A7779" i="16"/>
  <c r="A7778" i="16"/>
  <c r="A7777" i="16"/>
  <c r="A7776" i="16"/>
  <c r="A7775" i="16"/>
  <c r="A7774" i="16"/>
  <c r="A7773" i="16"/>
  <c r="A7772" i="16"/>
  <c r="A7771" i="16"/>
  <c r="A7770" i="16"/>
  <c r="A7769" i="16"/>
  <c r="A7768" i="16"/>
  <c r="A7767" i="16"/>
  <c r="A7766" i="16"/>
  <c r="A7765" i="16"/>
  <c r="A7764" i="16"/>
  <c r="A7763" i="16"/>
  <c r="A7762" i="16"/>
  <c r="A7761" i="16"/>
  <c r="A7760" i="16"/>
  <c r="A7759" i="16"/>
  <c r="A7758" i="16"/>
  <c r="A7757" i="16"/>
  <c r="A7756" i="16"/>
  <c r="A7755" i="16"/>
  <c r="A7754" i="16"/>
  <c r="A7753" i="16"/>
  <c r="A7752" i="16"/>
  <c r="A7751" i="16"/>
  <c r="A7750" i="16"/>
  <c r="A7749" i="16"/>
  <c r="A7748" i="16"/>
  <c r="A7747" i="16"/>
  <c r="A7746" i="16"/>
  <c r="A7745" i="16"/>
  <c r="A7744" i="16"/>
  <c r="A7743" i="16"/>
  <c r="A7742" i="16"/>
  <c r="A7741" i="16"/>
  <c r="A7740" i="16"/>
  <c r="A7739" i="16"/>
  <c r="A7738" i="16"/>
  <c r="A7737" i="16"/>
  <c r="A7736" i="16"/>
  <c r="A7735" i="16"/>
  <c r="A7734" i="16"/>
  <c r="A7733" i="16"/>
  <c r="A7732" i="16"/>
  <c r="A7731" i="16"/>
  <c r="A7730" i="16"/>
  <c r="A7729" i="16"/>
  <c r="A7728" i="16"/>
  <c r="A7727" i="16"/>
  <c r="A7726" i="16"/>
  <c r="A7725" i="16"/>
  <c r="A7724" i="16"/>
  <c r="A7723" i="16"/>
  <c r="A7722" i="16"/>
  <c r="A7721" i="16"/>
  <c r="A7720" i="16"/>
  <c r="A7719" i="16"/>
  <c r="A7718" i="16"/>
  <c r="A7717" i="16"/>
  <c r="A7716" i="16"/>
  <c r="A7715" i="16"/>
  <c r="A7714" i="16"/>
  <c r="A7713" i="16"/>
  <c r="A7712" i="16"/>
  <c r="A7711" i="16"/>
  <c r="A7710" i="16"/>
  <c r="A7709" i="16"/>
  <c r="A7708" i="16"/>
  <c r="A7707" i="16"/>
  <c r="A7706" i="16"/>
  <c r="A7705" i="16"/>
  <c r="A7704" i="16"/>
  <c r="A7703" i="16"/>
  <c r="A7702" i="16"/>
  <c r="A7701" i="16"/>
  <c r="A7700" i="16"/>
  <c r="A7699" i="16"/>
  <c r="A7698" i="16"/>
  <c r="A7697" i="16"/>
  <c r="A7696" i="16"/>
  <c r="A7695" i="16"/>
  <c r="A7694" i="16"/>
  <c r="A7693" i="16"/>
  <c r="A7692" i="16"/>
  <c r="A7691" i="16"/>
  <c r="A7690" i="16"/>
  <c r="A7689" i="16"/>
  <c r="A7688" i="16"/>
  <c r="A7687" i="16"/>
  <c r="A7686" i="16"/>
  <c r="A7685" i="16"/>
  <c r="A7684" i="16"/>
  <c r="A7683" i="16"/>
  <c r="A7682" i="16"/>
  <c r="A7681" i="16"/>
  <c r="A7680" i="16"/>
  <c r="A7679" i="16"/>
  <c r="A7678" i="16"/>
  <c r="A7677" i="16"/>
  <c r="A7676" i="16"/>
  <c r="A7675" i="16"/>
  <c r="A7674" i="16"/>
  <c r="A7673" i="16"/>
  <c r="A7672" i="16"/>
  <c r="A7671" i="16"/>
  <c r="A7670" i="16"/>
  <c r="A7669" i="16"/>
  <c r="A7668" i="16"/>
  <c r="A7667" i="16"/>
  <c r="A7666" i="16"/>
  <c r="A7665" i="16"/>
  <c r="A7664" i="16"/>
  <c r="A7663" i="16"/>
  <c r="A7662" i="16"/>
  <c r="A7661" i="16"/>
  <c r="A7660" i="16"/>
  <c r="A7659" i="16"/>
  <c r="A7658" i="16"/>
  <c r="A7657" i="16"/>
  <c r="A7656" i="16"/>
  <c r="A7655" i="16"/>
  <c r="A7654" i="16"/>
  <c r="A7653" i="16"/>
  <c r="A7652" i="16"/>
  <c r="A7651" i="16"/>
  <c r="A7650" i="16"/>
  <c r="A7649" i="16"/>
  <c r="A7648" i="16"/>
  <c r="A7647" i="16"/>
  <c r="A7646" i="16"/>
  <c r="A7645" i="16"/>
  <c r="A7644" i="16"/>
  <c r="A7643" i="16"/>
  <c r="A7642" i="16"/>
  <c r="A7641" i="16"/>
  <c r="A7640" i="16"/>
  <c r="A7639" i="16"/>
  <c r="A7638" i="16"/>
  <c r="A7637" i="16"/>
  <c r="A7636" i="16"/>
  <c r="A7635" i="16"/>
  <c r="A7634" i="16"/>
  <c r="A7633" i="16"/>
  <c r="A7632" i="16"/>
  <c r="A7631" i="16"/>
  <c r="A7630" i="16"/>
  <c r="A7629" i="16"/>
  <c r="A7628" i="16"/>
  <c r="A7627" i="16"/>
  <c r="A7626" i="16"/>
  <c r="A7625" i="16"/>
  <c r="A7624" i="16"/>
  <c r="A7623" i="16"/>
  <c r="A7622" i="16"/>
  <c r="A7621" i="16"/>
  <c r="A7620" i="16"/>
  <c r="A7619" i="16"/>
  <c r="A7618" i="16"/>
  <c r="A7617" i="16"/>
  <c r="A7616" i="16"/>
  <c r="A7615" i="16"/>
  <c r="A7614" i="16"/>
  <c r="A7613" i="16"/>
  <c r="A7612" i="16"/>
  <c r="A7611" i="16"/>
  <c r="A7610" i="16"/>
  <c r="A7609" i="16"/>
  <c r="A7608" i="16"/>
  <c r="A7607" i="16"/>
  <c r="A7606" i="16"/>
  <c r="A7605" i="16"/>
  <c r="A7604" i="16"/>
  <c r="A7603" i="16"/>
  <c r="A7602" i="16"/>
  <c r="A7601" i="16"/>
  <c r="A7600" i="16"/>
  <c r="A7599" i="16"/>
  <c r="A7598" i="16"/>
  <c r="A7597" i="16"/>
  <c r="A7596" i="16"/>
  <c r="A7595" i="16"/>
  <c r="A7594" i="16"/>
  <c r="A7593" i="16"/>
  <c r="A7592" i="16"/>
  <c r="A7591" i="16"/>
  <c r="A7590" i="16"/>
  <c r="A7589" i="16"/>
  <c r="A7588" i="16"/>
  <c r="A7587" i="16"/>
  <c r="A7586" i="16"/>
  <c r="A7585" i="16"/>
  <c r="A7584" i="16"/>
  <c r="A7583" i="16"/>
  <c r="A7582" i="16"/>
  <c r="A7581" i="16"/>
  <c r="A7580" i="16"/>
  <c r="A7579" i="16"/>
  <c r="A7578" i="16"/>
  <c r="A7577" i="16"/>
  <c r="A7576" i="16"/>
  <c r="A7575" i="16"/>
  <c r="A7574" i="16"/>
  <c r="A7573" i="16"/>
  <c r="A7572" i="16"/>
  <c r="A7571" i="16"/>
  <c r="A7570" i="16"/>
  <c r="A7569" i="16"/>
  <c r="A7568" i="16"/>
  <c r="A7567" i="16"/>
  <c r="A7566" i="16"/>
  <c r="A7565" i="16"/>
  <c r="A7564" i="16"/>
  <c r="A7563" i="16"/>
  <c r="A7562" i="16"/>
  <c r="A7561" i="16"/>
  <c r="A7560" i="16"/>
  <c r="A7559" i="16"/>
  <c r="A7558" i="16"/>
  <c r="A7557" i="16"/>
  <c r="A7556" i="16"/>
  <c r="A7555" i="16"/>
  <c r="A7554" i="16"/>
  <c r="A7553" i="16"/>
  <c r="A7552" i="16"/>
  <c r="A7551" i="16"/>
  <c r="A7520" i="16"/>
  <c r="A7519" i="16"/>
  <c r="A7518" i="16"/>
  <c r="A7517" i="16"/>
  <c r="A7516" i="16"/>
  <c r="A7515" i="16"/>
  <c r="A7514" i="16"/>
  <c r="A7513" i="16"/>
  <c r="A7512" i="16"/>
  <c r="A7511" i="16"/>
  <c r="A7510" i="16"/>
  <c r="A7509" i="16"/>
  <c r="A7508" i="16"/>
  <c r="A7507" i="16"/>
  <c r="A7506" i="16"/>
  <c r="A7505" i="16"/>
  <c r="A7504" i="16"/>
  <c r="A7503" i="16"/>
  <c r="A7502" i="16"/>
  <c r="A7501" i="16"/>
  <c r="A7500" i="16"/>
  <c r="A7499" i="16"/>
  <c r="A7498" i="16"/>
  <c r="A7497" i="16"/>
  <c r="A7496" i="16"/>
  <c r="A6196" i="16"/>
  <c r="A6195" i="16"/>
  <c r="A6194" i="16"/>
  <c r="A6193" i="16"/>
  <c r="A6192" i="16"/>
  <c r="A6191" i="16"/>
  <c r="A6190" i="16"/>
  <c r="A6189" i="16"/>
  <c r="A6188" i="16"/>
  <c r="A6187" i="16"/>
  <c r="A6186" i="16"/>
  <c r="A6185" i="16"/>
  <c r="A6184" i="16"/>
  <c r="A6183" i="16"/>
  <c r="A6182" i="16"/>
  <c r="A6181" i="16"/>
  <c r="A6180" i="16"/>
  <c r="A6179" i="16"/>
  <c r="A6178" i="16"/>
  <c r="A6177" i="16"/>
  <c r="A6176" i="16"/>
  <c r="A6175" i="16"/>
  <c r="A6174" i="16"/>
  <c r="A6173" i="16"/>
  <c r="A6172" i="16"/>
  <c r="A6171" i="16"/>
  <c r="A6170" i="16"/>
  <c r="A6169" i="16"/>
  <c r="A6168" i="16"/>
  <c r="A6167" i="16"/>
  <c r="A6166" i="16"/>
  <c r="A6165" i="16"/>
  <c r="A6164" i="16"/>
  <c r="A6163" i="16"/>
  <c r="A6162" i="16"/>
  <c r="A6161" i="16"/>
  <c r="A6160" i="16"/>
  <c r="A6159" i="16"/>
  <c r="A6158" i="16"/>
  <c r="A6157" i="16"/>
  <c r="A6156" i="16"/>
  <c r="A6155" i="16"/>
  <c r="A6154" i="16"/>
  <c r="A6153" i="16"/>
  <c r="A6152" i="16"/>
  <c r="A6151" i="16"/>
  <c r="A6150" i="16"/>
  <c r="A6149" i="16"/>
  <c r="A6148" i="16"/>
  <c r="A6147" i="16"/>
  <c r="A6146" i="16"/>
  <c r="A6145" i="16"/>
  <c r="A6144" i="16"/>
  <c r="A5038" i="16"/>
  <c r="A5037" i="16"/>
  <c r="A5036" i="16"/>
  <c r="A5035" i="16"/>
  <c r="A5034" i="16"/>
  <c r="A5033" i="16"/>
  <c r="A5032" i="16"/>
  <c r="A5031" i="16"/>
  <c r="A5030" i="16"/>
  <c r="A5029" i="16"/>
  <c r="A5028" i="16"/>
  <c r="A5027" i="16"/>
  <c r="A5026" i="16"/>
  <c r="A5025" i="16"/>
  <c r="A5024" i="16"/>
  <c r="A5023" i="16"/>
  <c r="A5022" i="16"/>
  <c r="A5021" i="16"/>
  <c r="A5020" i="16"/>
  <c r="A5019" i="16"/>
  <c r="A5018" i="16"/>
  <c r="A5017" i="16"/>
  <c r="A5016" i="16"/>
  <c r="A5015" i="16"/>
  <c r="A5014" i="16"/>
  <c r="A5013" i="16"/>
  <c r="A5012" i="16"/>
  <c r="A5011" i="16"/>
  <c r="A5010" i="16"/>
  <c r="A5009" i="16"/>
  <c r="A5008" i="16"/>
  <c r="A5007" i="16"/>
  <c r="A5006" i="16"/>
  <c r="A5005" i="16"/>
  <c r="A5004" i="16"/>
  <c r="A5003" i="16"/>
  <c r="A5002" i="16"/>
  <c r="A5001" i="16"/>
  <c r="A5000" i="16"/>
  <c r="B4974" i="16"/>
  <c r="C4974" i="16" s="1"/>
  <c r="B4973" i="16"/>
  <c r="C4973" i="16" s="1"/>
  <c r="B4972" i="16"/>
  <c r="C4972" i="16" s="1"/>
  <c r="B4971" i="16"/>
  <c r="C4971" i="16" s="1"/>
  <c r="B4970" i="16"/>
  <c r="C4970" i="16" s="1"/>
  <c r="B4969" i="16"/>
  <c r="C4969" i="16" s="1"/>
  <c r="B4968" i="16"/>
  <c r="C4968" i="16" s="1"/>
  <c r="B4967" i="16"/>
  <c r="C4967" i="16" s="1"/>
  <c r="B4966" i="16"/>
  <c r="C4966" i="16" s="1"/>
  <c r="B4965" i="16"/>
  <c r="C4965" i="16" s="1"/>
  <c r="B4964" i="16"/>
  <c r="C4964" i="16" s="1"/>
  <c r="B4963" i="16"/>
  <c r="C4963" i="16" s="1"/>
  <c r="B4962" i="16"/>
  <c r="C4962" i="16" s="1"/>
  <c r="B4961" i="16"/>
  <c r="C4961" i="16" s="1"/>
  <c r="B4960" i="16"/>
  <c r="C4960" i="16" s="1"/>
  <c r="B4959" i="16"/>
  <c r="C4959" i="16" s="1"/>
  <c r="B4958" i="16"/>
  <c r="C4958" i="16" s="1"/>
  <c r="B4957" i="16"/>
  <c r="C4957" i="16" s="1"/>
  <c r="B4956" i="16"/>
  <c r="C4956" i="16" s="1"/>
  <c r="B4955" i="16"/>
  <c r="C4955" i="16" s="1"/>
  <c r="B4954" i="16"/>
  <c r="C4954" i="16" s="1"/>
  <c r="B4953" i="16"/>
  <c r="C4953" i="16" s="1"/>
  <c r="B4952" i="16"/>
  <c r="C4952" i="16" s="1"/>
  <c r="B4951" i="16"/>
  <c r="C4951" i="16" s="1"/>
  <c r="B4950" i="16"/>
  <c r="C4950" i="16" s="1"/>
  <c r="B4949" i="16"/>
  <c r="C4949" i="16" s="1"/>
  <c r="B4948" i="16"/>
  <c r="C4948" i="16" s="1"/>
  <c r="B4947" i="16"/>
  <c r="C4947" i="16" s="1"/>
  <c r="B4946" i="16"/>
  <c r="C4946" i="16" s="1"/>
  <c r="B4945" i="16"/>
  <c r="C4945" i="16" s="1"/>
  <c r="B4944" i="16"/>
  <c r="C4944" i="16" s="1"/>
  <c r="B4943" i="16"/>
  <c r="C4943" i="16" s="1"/>
  <c r="B4942" i="16"/>
  <c r="C4942" i="16" s="1"/>
  <c r="B4941" i="16"/>
  <c r="C4941" i="16" s="1"/>
  <c r="B4940" i="16"/>
  <c r="C4940" i="16" s="1"/>
  <c r="B4939" i="16"/>
  <c r="C4939" i="16" s="1"/>
  <c r="B4938" i="16"/>
  <c r="C4938" i="16" s="1"/>
  <c r="B4937" i="16"/>
  <c r="C4937" i="16" s="1"/>
  <c r="B4936" i="16"/>
  <c r="C4936" i="16" s="1"/>
  <c r="B4935" i="16"/>
  <c r="C4935" i="16" s="1"/>
  <c r="B4934" i="16"/>
  <c r="C4934" i="16" s="1"/>
  <c r="B4933" i="16"/>
  <c r="C4933" i="16" s="1"/>
  <c r="B4932" i="16"/>
  <c r="C4932" i="16" s="1"/>
  <c r="B4931" i="16"/>
  <c r="C4931" i="16" s="1"/>
  <c r="B4930" i="16"/>
  <c r="C4930" i="16" s="1"/>
  <c r="B4929" i="16"/>
  <c r="C4929" i="16" s="1"/>
  <c r="B4928" i="16"/>
  <c r="C4928" i="16" s="1"/>
  <c r="B4927" i="16"/>
  <c r="C4927" i="16" s="1"/>
  <c r="B4926" i="16"/>
  <c r="C4926" i="16" s="1"/>
  <c r="B4925" i="16"/>
  <c r="C4925" i="16" s="1"/>
  <c r="B4924" i="16"/>
  <c r="C4924" i="16" s="1"/>
  <c r="B4923" i="16"/>
  <c r="C4923" i="16" s="1"/>
  <c r="B4922" i="16"/>
  <c r="C4922" i="16" s="1"/>
  <c r="B4921" i="16"/>
  <c r="C4921" i="16" s="1"/>
  <c r="B4920" i="16"/>
  <c r="C4920" i="16" s="1"/>
  <c r="B4919" i="16"/>
  <c r="C4919" i="16" s="1"/>
  <c r="B4918" i="16"/>
  <c r="C4918" i="16" s="1"/>
  <c r="B4917" i="16"/>
  <c r="C4917" i="16" s="1"/>
  <c r="B4916" i="16"/>
  <c r="C4916" i="16" s="1"/>
  <c r="B4915" i="16"/>
  <c r="C4915" i="16" s="1"/>
  <c r="B4914" i="16"/>
  <c r="C4914" i="16" s="1"/>
  <c r="B4913" i="16"/>
  <c r="C4913" i="16" s="1"/>
  <c r="B4912" i="16"/>
  <c r="C4912" i="16" s="1"/>
  <c r="B4911" i="16"/>
  <c r="C4911" i="16" s="1"/>
  <c r="B4910" i="16"/>
  <c r="C4910" i="16" s="1"/>
  <c r="B4909" i="16"/>
  <c r="C4909" i="16" s="1"/>
  <c r="B4908" i="16"/>
  <c r="C4908" i="16" s="1"/>
  <c r="B4907" i="16"/>
  <c r="C4907" i="16" s="1"/>
  <c r="B4906" i="16"/>
  <c r="C4906" i="16" s="1"/>
  <c r="B4905" i="16"/>
  <c r="C4905" i="16" s="1"/>
  <c r="B4904" i="16"/>
  <c r="C4904" i="16" s="1"/>
  <c r="B4903" i="16"/>
  <c r="C4903" i="16" s="1"/>
  <c r="B4902" i="16"/>
  <c r="C4902" i="16" s="1"/>
  <c r="B4901" i="16"/>
  <c r="C4901" i="16" s="1"/>
  <c r="B4900" i="16"/>
  <c r="C4900" i="16" s="1"/>
  <c r="B4899" i="16"/>
  <c r="C4899" i="16" s="1"/>
  <c r="B4898" i="16"/>
  <c r="C4898" i="16" s="1"/>
  <c r="B4897" i="16"/>
  <c r="C4897" i="16" s="1"/>
  <c r="B4896" i="16"/>
  <c r="C4896" i="16" s="1"/>
  <c r="B4895" i="16"/>
  <c r="C4895" i="16" s="1"/>
  <c r="B4894" i="16"/>
  <c r="C4894" i="16" s="1"/>
  <c r="B4893" i="16"/>
  <c r="C4893" i="16" s="1"/>
  <c r="B4892" i="16"/>
  <c r="C4892" i="16" s="1"/>
  <c r="B4891" i="16"/>
  <c r="C4891" i="16" s="1"/>
  <c r="B4890" i="16"/>
  <c r="C4890" i="16" s="1"/>
  <c r="B4889" i="16"/>
  <c r="C4889" i="16" s="1"/>
  <c r="B4888" i="16"/>
  <c r="C4888" i="16" s="1"/>
  <c r="B4887" i="16"/>
  <c r="C4887" i="16" s="1"/>
  <c r="B4886" i="16"/>
  <c r="C4886" i="16" s="1"/>
  <c r="B4885" i="16"/>
  <c r="C4885" i="16" s="1"/>
  <c r="B4884" i="16"/>
  <c r="C4884" i="16" s="1"/>
  <c r="B4883" i="16"/>
  <c r="C4883" i="16" s="1"/>
  <c r="B4882" i="16"/>
  <c r="C4882" i="16" s="1"/>
  <c r="B4881" i="16"/>
  <c r="C4881" i="16" s="1"/>
  <c r="B4880" i="16"/>
  <c r="C4880" i="16" s="1"/>
  <c r="B4879" i="16"/>
  <c r="C4879" i="16" s="1"/>
  <c r="B4878" i="16"/>
  <c r="C4878" i="16" s="1"/>
  <c r="B4877" i="16"/>
  <c r="C4877" i="16" s="1"/>
  <c r="B4876" i="16"/>
  <c r="C4876" i="16" s="1"/>
  <c r="B4875" i="16"/>
  <c r="C4875" i="16" s="1"/>
  <c r="B4874" i="16"/>
  <c r="C4874" i="16" s="1"/>
  <c r="B4873" i="16"/>
  <c r="C4873" i="16" s="1"/>
  <c r="B4872" i="16"/>
  <c r="C4872" i="16" s="1"/>
  <c r="B4871" i="16"/>
  <c r="C4871" i="16" s="1"/>
  <c r="B4870" i="16"/>
  <c r="C4870" i="16" s="1"/>
  <c r="B4869" i="16"/>
  <c r="C4869" i="16" s="1"/>
  <c r="B4868" i="16"/>
  <c r="C4868" i="16" s="1"/>
  <c r="B4867" i="16"/>
  <c r="C4867" i="16" s="1"/>
  <c r="B4866" i="16"/>
  <c r="C4866" i="16" s="1"/>
  <c r="B4865" i="16"/>
  <c r="C4865" i="16" s="1"/>
  <c r="B4864" i="16"/>
  <c r="C4864" i="16" s="1"/>
  <c r="B4863" i="16"/>
  <c r="C4863" i="16" s="1"/>
  <c r="B4862" i="16"/>
  <c r="C4862" i="16" s="1"/>
  <c r="B4861" i="16"/>
  <c r="C4861" i="16" s="1"/>
  <c r="B4860" i="16"/>
  <c r="C4860" i="16" s="1"/>
  <c r="B4859" i="16"/>
  <c r="C4859" i="16" s="1"/>
  <c r="B4858" i="16"/>
  <c r="C4858" i="16" s="1"/>
  <c r="B4857" i="16"/>
  <c r="C4857" i="16" s="1"/>
  <c r="B4856" i="16"/>
  <c r="C4856" i="16" s="1"/>
  <c r="B4855" i="16"/>
  <c r="C4855" i="16" s="1"/>
  <c r="B4854" i="16"/>
  <c r="C4854" i="16" s="1"/>
  <c r="B4853" i="16"/>
  <c r="A4804" i="16"/>
  <c r="A4803" i="16"/>
  <c r="A4802" i="16"/>
  <c r="A4801" i="16"/>
  <c r="A4800" i="16"/>
  <c r="A4799" i="16"/>
  <c r="A4798" i="16"/>
  <c r="A4797" i="16"/>
  <c r="A4796" i="16"/>
  <c r="A4795" i="16"/>
  <c r="A4794" i="16"/>
  <c r="A4793" i="16"/>
  <c r="A4792" i="16"/>
  <c r="A4791" i="16"/>
  <c r="A4790" i="16"/>
  <c r="A4789" i="16"/>
  <c r="A4788" i="16"/>
  <c r="A4787" i="16"/>
  <c r="A4786" i="16"/>
  <c r="A4785" i="16"/>
  <c r="A4784" i="16"/>
  <c r="A4783" i="16"/>
  <c r="A4782" i="16"/>
  <c r="A4781" i="16"/>
  <c r="A4780" i="16"/>
  <c r="A4779" i="16"/>
  <c r="A4778" i="16"/>
  <c r="A4777" i="16"/>
  <c r="A4776" i="16"/>
  <c r="A4775" i="16"/>
  <c r="A4774" i="16"/>
  <c r="A4773" i="16"/>
  <c r="A4772" i="16"/>
  <c r="A4771" i="16"/>
  <c r="A4770" i="16"/>
  <c r="A4769" i="16"/>
  <c r="A4768" i="16"/>
  <c r="A4767" i="16"/>
  <c r="A4766" i="16"/>
  <c r="A4765" i="16"/>
  <c r="A4764" i="16"/>
  <c r="A4763" i="16"/>
  <c r="A4762" i="16"/>
  <c r="A4761" i="16"/>
  <c r="A4760" i="16"/>
  <c r="A4759" i="16"/>
  <c r="A4758" i="16"/>
  <c r="A4757" i="16"/>
  <c r="A4736" i="16"/>
  <c r="A4735" i="16"/>
  <c r="A4734" i="16"/>
  <c r="A4733" i="16"/>
  <c r="A4732" i="16"/>
  <c r="A4731" i="16"/>
  <c r="A4730" i="16"/>
  <c r="A4729" i="16"/>
  <c r="A4728" i="16"/>
  <c r="A4727" i="16"/>
  <c r="A4726" i="16"/>
  <c r="A4725" i="16"/>
  <c r="A4724" i="16"/>
  <c r="A4723" i="16"/>
  <c r="A4722" i="16"/>
  <c r="A4721" i="16"/>
  <c r="A4720" i="16"/>
  <c r="A4719" i="16"/>
  <c r="A4718" i="16"/>
  <c r="A4717" i="16"/>
  <c r="A4716" i="16"/>
  <c r="A4715" i="16"/>
  <c r="A4714" i="16"/>
  <c r="A4713" i="16"/>
  <c r="A4712" i="16"/>
  <c r="A4711" i="16"/>
  <c r="A4710" i="16"/>
  <c r="A4709" i="16"/>
  <c r="A4708" i="16"/>
  <c r="A4707" i="16"/>
  <c r="A4706" i="16"/>
  <c r="A4705" i="16"/>
  <c r="A4704" i="16"/>
  <c r="A4703" i="16"/>
  <c r="A4702" i="16"/>
  <c r="A4701" i="16"/>
  <c r="A4700" i="16"/>
  <c r="A4699" i="16"/>
  <c r="A4698" i="16"/>
  <c r="A4697" i="16"/>
  <c r="A4696" i="16"/>
  <c r="A4695" i="16"/>
  <c r="A4694" i="16"/>
  <c r="A4693" i="16"/>
  <c r="A4692" i="16"/>
  <c r="A4691" i="16"/>
  <c r="A4690" i="16"/>
  <c r="A4689" i="16"/>
  <c r="A4688" i="16"/>
  <c r="A4687" i="16"/>
  <c r="A4686" i="16"/>
  <c r="A4685" i="16"/>
  <c r="A4684" i="16"/>
  <c r="A4683" i="16"/>
  <c r="A4682" i="16"/>
  <c r="A4681" i="16"/>
  <c r="A4680" i="16"/>
  <c r="A4679" i="16"/>
  <c r="A4678" i="16"/>
  <c r="A4677" i="16"/>
  <c r="A4676" i="16"/>
  <c r="A4675" i="16"/>
  <c r="A4674" i="16"/>
  <c r="A4673" i="16"/>
  <c r="A4672" i="16"/>
  <c r="A4671" i="16"/>
  <c r="AA15" i="15"/>
  <c r="AC14" i="15"/>
  <c r="AB14" i="15"/>
  <c r="AA14" i="15"/>
  <c r="AC13" i="15"/>
  <c r="AB13" i="15"/>
  <c r="AA13" i="15"/>
  <c r="AC12" i="15"/>
  <c r="AB12" i="15"/>
  <c r="AA12" i="15"/>
  <c r="AC11" i="15"/>
  <c r="AB11" i="15"/>
  <c r="AA11" i="15"/>
  <c r="AC10" i="15"/>
  <c r="AB10" i="15"/>
  <c r="AA10" i="15"/>
  <c r="AC9" i="15"/>
  <c r="AB9" i="15"/>
  <c r="AA9" i="15"/>
  <c r="AC8" i="15"/>
  <c r="AB8" i="15"/>
  <c r="AA8" i="15"/>
  <c r="AC7" i="15"/>
  <c r="AB7" i="15"/>
  <c r="AA7" i="15"/>
  <c r="AC6" i="15"/>
  <c r="AB6" i="15"/>
  <c r="AA6" i="15"/>
  <c r="AC5" i="15"/>
  <c r="AB5" i="15"/>
  <c r="AA5" i="15"/>
  <c r="AC4" i="15"/>
  <c r="AB4" i="15"/>
  <c r="AA4" i="15"/>
  <c r="E14" i="14"/>
  <c r="Q6" i="14"/>
  <c r="Q5" i="14"/>
  <c r="E5" i="14"/>
  <c r="Q4" i="14"/>
  <c r="Q3" i="14"/>
  <c r="Q2" i="14"/>
  <c r="U161" i="13"/>
  <c r="T160" i="13"/>
  <c r="S160" i="13"/>
  <c r="R160" i="13"/>
  <c r="Q160" i="13"/>
  <c r="P160" i="13"/>
  <c r="O160" i="13"/>
  <c r="N160" i="13"/>
  <c r="M160" i="13"/>
  <c r="L160" i="13"/>
  <c r="K160" i="13"/>
  <c r="J160" i="13"/>
  <c r="I160" i="13"/>
  <c r="H160" i="13"/>
  <c r="G160" i="13"/>
  <c r="U159" i="13"/>
  <c r="T158" i="13"/>
  <c r="S158" i="13"/>
  <c r="R158" i="13"/>
  <c r="Q158" i="13"/>
  <c r="P158" i="13"/>
  <c r="O158" i="13"/>
  <c r="N158" i="13"/>
  <c r="M158" i="13"/>
  <c r="L158" i="13"/>
  <c r="K158" i="13"/>
  <c r="J158" i="13"/>
  <c r="I158" i="13"/>
  <c r="H158" i="13"/>
  <c r="G158" i="13"/>
  <c r="S157" i="13"/>
  <c r="L157" i="13"/>
  <c r="U156" i="13"/>
  <c r="T156" i="13"/>
  <c r="S156" i="13"/>
  <c r="R156" i="13"/>
  <c r="Q156" i="13"/>
  <c r="P156" i="13"/>
  <c r="O156" i="13"/>
  <c r="N156" i="13"/>
  <c r="M156" i="13"/>
  <c r="L156" i="13"/>
  <c r="K156" i="13"/>
  <c r="J156" i="13"/>
  <c r="I156" i="13"/>
  <c r="H156" i="13"/>
  <c r="G156" i="13"/>
  <c r="S155" i="13"/>
  <c r="L155" i="13"/>
  <c r="U153" i="13"/>
  <c r="T153" i="13"/>
  <c r="S153" i="13"/>
  <c r="R153" i="13"/>
  <c r="Q153" i="13"/>
  <c r="P153" i="13"/>
  <c r="O153" i="13"/>
  <c r="N153" i="13"/>
  <c r="M153" i="13"/>
  <c r="L153" i="13"/>
  <c r="K153" i="13"/>
  <c r="J153" i="13"/>
  <c r="I153" i="13"/>
  <c r="H153" i="13"/>
  <c r="G153" i="13"/>
  <c r="T151" i="13"/>
  <c r="S151" i="13"/>
  <c r="R151" i="13"/>
  <c r="Q151" i="13"/>
  <c r="P151" i="13"/>
  <c r="O151" i="13"/>
  <c r="N151" i="13"/>
  <c r="M151" i="13"/>
  <c r="L151" i="13"/>
  <c r="K151" i="13"/>
  <c r="J151" i="13"/>
  <c r="G151" i="13"/>
  <c r="F151" i="13"/>
  <c r="E151" i="13"/>
  <c r="D151" i="13"/>
  <c r="C151" i="13"/>
  <c r="B151" i="13"/>
  <c r="T150" i="13"/>
  <c r="S150" i="13"/>
  <c r="R150" i="13"/>
  <c r="Q150" i="13"/>
  <c r="P150" i="13"/>
  <c r="O150" i="13"/>
  <c r="N150" i="13"/>
  <c r="M150" i="13"/>
  <c r="L150" i="13"/>
  <c r="K150" i="13"/>
  <c r="J150" i="13"/>
  <c r="G150" i="13"/>
  <c r="F150" i="13"/>
  <c r="E150" i="13"/>
  <c r="D150" i="13"/>
  <c r="C150" i="13"/>
  <c r="B150" i="13"/>
  <c r="T149" i="13"/>
  <c r="S149" i="13"/>
  <c r="R149" i="13"/>
  <c r="Q149" i="13"/>
  <c r="P149" i="13"/>
  <c r="O149" i="13"/>
  <c r="N149" i="13"/>
  <c r="M149" i="13"/>
  <c r="L149" i="13"/>
  <c r="K149" i="13"/>
  <c r="J149" i="13"/>
  <c r="G149" i="13"/>
  <c r="F149" i="13"/>
  <c r="E149" i="13"/>
  <c r="D149" i="13"/>
  <c r="C149" i="13"/>
  <c r="B149" i="13"/>
  <c r="T148" i="13"/>
  <c r="S148" i="13"/>
  <c r="R148" i="13"/>
  <c r="Q148" i="13"/>
  <c r="P148" i="13"/>
  <c r="O148" i="13"/>
  <c r="N148" i="13"/>
  <c r="M148" i="13"/>
  <c r="L148" i="13"/>
  <c r="K148" i="13"/>
  <c r="J148" i="13"/>
  <c r="G148" i="13"/>
  <c r="F148" i="13"/>
  <c r="E148" i="13"/>
  <c r="D148" i="13"/>
  <c r="C148" i="13"/>
  <c r="B148" i="13"/>
  <c r="T147" i="13"/>
  <c r="S147" i="13"/>
  <c r="R147" i="13"/>
  <c r="Q147" i="13"/>
  <c r="P147" i="13"/>
  <c r="O147" i="13"/>
  <c r="N147" i="13"/>
  <c r="M147" i="13"/>
  <c r="L147" i="13"/>
  <c r="K147" i="13"/>
  <c r="J147" i="13"/>
  <c r="G147" i="13"/>
  <c r="F147" i="13"/>
  <c r="E147" i="13"/>
  <c r="D147" i="13"/>
  <c r="C147" i="13"/>
  <c r="B147" i="13"/>
  <c r="T146" i="13"/>
  <c r="S146" i="13"/>
  <c r="R146" i="13"/>
  <c r="Q146" i="13"/>
  <c r="P146" i="13"/>
  <c r="O146" i="13"/>
  <c r="N146" i="13"/>
  <c r="M146" i="13"/>
  <c r="L146" i="13"/>
  <c r="K146" i="13"/>
  <c r="J146" i="13"/>
  <c r="G146" i="13"/>
  <c r="F146" i="13"/>
  <c r="E146" i="13"/>
  <c r="D146" i="13"/>
  <c r="C146" i="13"/>
  <c r="B146" i="13"/>
  <c r="T145" i="13"/>
  <c r="S145" i="13"/>
  <c r="R145" i="13"/>
  <c r="Q145" i="13"/>
  <c r="P145" i="13"/>
  <c r="O145" i="13"/>
  <c r="N145" i="13"/>
  <c r="M145" i="13"/>
  <c r="L145" i="13"/>
  <c r="K145" i="13"/>
  <c r="J145" i="13"/>
  <c r="G145" i="13"/>
  <c r="F145" i="13"/>
  <c r="E145" i="13"/>
  <c r="D145" i="13"/>
  <c r="C145" i="13"/>
  <c r="B145" i="13"/>
  <c r="T144" i="13"/>
  <c r="S144" i="13"/>
  <c r="R144" i="13"/>
  <c r="Q144" i="13"/>
  <c r="P144" i="13"/>
  <c r="O144" i="13"/>
  <c r="N144" i="13"/>
  <c r="M144" i="13"/>
  <c r="L144" i="13"/>
  <c r="K144" i="13"/>
  <c r="J144" i="13"/>
  <c r="G144" i="13"/>
  <c r="F144" i="13"/>
  <c r="E144" i="13"/>
  <c r="D144" i="13"/>
  <c r="C144" i="13"/>
  <c r="B144" i="13"/>
  <c r="T143" i="13"/>
  <c r="S143" i="13"/>
  <c r="R143" i="13"/>
  <c r="Q143" i="13"/>
  <c r="P143" i="13"/>
  <c r="O143" i="13"/>
  <c r="N143" i="13"/>
  <c r="M143" i="13"/>
  <c r="L143" i="13"/>
  <c r="K143" i="13"/>
  <c r="J143" i="13"/>
  <c r="G143" i="13"/>
  <c r="F143" i="13"/>
  <c r="E143" i="13"/>
  <c r="D143" i="13"/>
  <c r="C143" i="13"/>
  <c r="B143" i="13"/>
  <c r="T142" i="13"/>
  <c r="S142" i="13"/>
  <c r="R142" i="13"/>
  <c r="Q142" i="13"/>
  <c r="P142" i="13"/>
  <c r="O142" i="13"/>
  <c r="N142" i="13"/>
  <c r="M142" i="13"/>
  <c r="L142" i="13"/>
  <c r="K142" i="13"/>
  <c r="J142" i="13"/>
  <c r="G142" i="13"/>
  <c r="F142" i="13"/>
  <c r="E142" i="13"/>
  <c r="D142" i="13"/>
  <c r="C142" i="13"/>
  <c r="B142" i="13"/>
  <c r="T141" i="13"/>
  <c r="S141" i="13"/>
  <c r="R141" i="13"/>
  <c r="Q141" i="13"/>
  <c r="P141" i="13"/>
  <c r="O141" i="13"/>
  <c r="N141" i="13"/>
  <c r="M141" i="13"/>
  <c r="L141" i="13"/>
  <c r="K141" i="13"/>
  <c r="J141" i="13"/>
  <c r="G141" i="13"/>
  <c r="F141" i="13"/>
  <c r="E141" i="13"/>
  <c r="D141" i="13"/>
  <c r="C141" i="13"/>
  <c r="B141" i="13"/>
  <c r="T140" i="13"/>
  <c r="S140" i="13"/>
  <c r="R140" i="13"/>
  <c r="Q140" i="13"/>
  <c r="P140" i="13"/>
  <c r="O140" i="13"/>
  <c r="N140" i="13"/>
  <c r="M140" i="13"/>
  <c r="L140" i="13"/>
  <c r="K140" i="13"/>
  <c r="J140" i="13"/>
  <c r="G140" i="13"/>
  <c r="F140" i="13"/>
  <c r="E140" i="13"/>
  <c r="D140" i="13"/>
  <c r="C140" i="13"/>
  <c r="B140" i="13"/>
  <c r="R139" i="13"/>
  <c r="Q139" i="13"/>
  <c r="P139" i="13"/>
  <c r="O139" i="13"/>
  <c r="N139" i="13"/>
  <c r="M139" i="13"/>
  <c r="L139" i="13"/>
  <c r="K139" i="13"/>
  <c r="J139" i="13"/>
  <c r="I139" i="13"/>
  <c r="H139" i="13"/>
  <c r="G139" i="13"/>
  <c r="S138" i="13"/>
  <c r="R138" i="13"/>
  <c r="Q138" i="13"/>
  <c r="P138" i="13"/>
  <c r="O138" i="13"/>
  <c r="N138" i="13"/>
  <c r="M138" i="13"/>
  <c r="L138" i="13"/>
  <c r="K138" i="13"/>
  <c r="J138" i="13"/>
  <c r="I138" i="13"/>
  <c r="H138" i="13"/>
  <c r="G138" i="13"/>
  <c r="U133" i="13"/>
  <c r="T132" i="13"/>
  <c r="S132" i="13"/>
  <c r="R132" i="13"/>
  <c r="Q132" i="13"/>
  <c r="P132" i="13"/>
  <c r="O132" i="13"/>
  <c r="N132" i="13"/>
  <c r="M132" i="13"/>
  <c r="L132" i="13"/>
  <c r="K132" i="13"/>
  <c r="J132" i="13"/>
  <c r="I132" i="13"/>
  <c r="H132" i="13"/>
  <c r="G132" i="13"/>
  <c r="U131" i="13"/>
  <c r="T130" i="13"/>
  <c r="S130" i="13"/>
  <c r="R130" i="13"/>
  <c r="Q130" i="13"/>
  <c r="P130" i="13"/>
  <c r="O130" i="13"/>
  <c r="N130" i="13"/>
  <c r="M130" i="13"/>
  <c r="L130" i="13"/>
  <c r="K130" i="13"/>
  <c r="J130" i="13"/>
  <c r="I130" i="13"/>
  <c r="H130" i="13"/>
  <c r="G130" i="13"/>
  <c r="S129" i="13"/>
  <c r="L129" i="13"/>
  <c r="U128" i="13"/>
  <c r="T128" i="13"/>
  <c r="S128" i="13"/>
  <c r="R128" i="13"/>
  <c r="Q128" i="13"/>
  <c r="P128" i="13"/>
  <c r="O128" i="13"/>
  <c r="N128" i="13"/>
  <c r="M128" i="13"/>
  <c r="L128" i="13"/>
  <c r="K128" i="13"/>
  <c r="J128" i="13"/>
  <c r="I128" i="13"/>
  <c r="H128" i="13"/>
  <c r="G128" i="13"/>
  <c r="S127" i="13"/>
  <c r="L127" i="13"/>
  <c r="U126" i="13"/>
  <c r="T126" i="13"/>
  <c r="S126" i="13"/>
  <c r="R126" i="13"/>
  <c r="Q126" i="13"/>
  <c r="P126" i="13"/>
  <c r="O126" i="13"/>
  <c r="N126" i="13"/>
  <c r="M126" i="13"/>
  <c r="L126" i="13"/>
  <c r="K126" i="13"/>
  <c r="J126" i="13"/>
  <c r="I126" i="13"/>
  <c r="H126" i="13"/>
  <c r="G126" i="13"/>
  <c r="S124" i="13"/>
  <c r="R124" i="13"/>
  <c r="Q124" i="13"/>
  <c r="P124" i="13"/>
  <c r="O124" i="13"/>
  <c r="N124" i="13"/>
  <c r="M124" i="13"/>
  <c r="L124" i="13"/>
  <c r="K124" i="13"/>
  <c r="J124" i="13"/>
  <c r="I124" i="13"/>
  <c r="H124" i="13"/>
  <c r="G124" i="13"/>
  <c r="S123" i="13"/>
  <c r="R123" i="13"/>
  <c r="Q123" i="13"/>
  <c r="P123" i="13"/>
  <c r="O123" i="13"/>
  <c r="N123" i="13"/>
  <c r="M123" i="13"/>
  <c r="L123" i="13"/>
  <c r="K123" i="13"/>
  <c r="J123" i="13"/>
  <c r="I123" i="13"/>
  <c r="H123" i="13"/>
  <c r="G123" i="13"/>
  <c r="S122" i="13"/>
  <c r="R122" i="13"/>
  <c r="Q122" i="13"/>
  <c r="P122" i="13"/>
  <c r="O122" i="13"/>
  <c r="N122" i="13"/>
  <c r="M122" i="13"/>
  <c r="L122" i="13"/>
  <c r="K122" i="13"/>
  <c r="J122" i="13"/>
  <c r="I122" i="13"/>
  <c r="U118" i="13"/>
  <c r="T117" i="13"/>
  <c r="S117" i="13"/>
  <c r="R117" i="13"/>
  <c r="Q117" i="13"/>
  <c r="P117" i="13"/>
  <c r="O117" i="13"/>
  <c r="N117" i="13"/>
  <c r="L117" i="13"/>
  <c r="U116" i="13"/>
  <c r="T115" i="13"/>
  <c r="S115" i="13"/>
  <c r="R115" i="13"/>
  <c r="Q115" i="13"/>
  <c r="P115" i="13"/>
  <c r="O115" i="13"/>
  <c r="N115" i="13"/>
  <c r="M115" i="13"/>
  <c r="L115" i="13"/>
  <c r="K115" i="13"/>
  <c r="J115" i="13"/>
  <c r="I115" i="13"/>
  <c r="H115" i="13"/>
  <c r="G115" i="13"/>
  <c r="S114" i="13"/>
  <c r="L114" i="13"/>
  <c r="S112" i="13"/>
  <c r="L112" i="13"/>
  <c r="U111" i="13"/>
  <c r="T111" i="13"/>
  <c r="S111" i="13"/>
  <c r="R111" i="13"/>
  <c r="Q111" i="13"/>
  <c r="P111" i="13"/>
  <c r="O111" i="13"/>
  <c r="N111" i="13"/>
  <c r="M111" i="13"/>
  <c r="L111" i="13"/>
  <c r="K111" i="13"/>
  <c r="J111" i="13"/>
  <c r="I111" i="13"/>
  <c r="H111" i="13"/>
  <c r="G111" i="13"/>
  <c r="U91" i="13"/>
  <c r="T90" i="13"/>
  <c r="S90" i="13"/>
  <c r="R90" i="13"/>
  <c r="Q90" i="13"/>
  <c r="P90" i="13"/>
  <c r="O90" i="13"/>
  <c r="N90" i="13"/>
  <c r="M90" i="13"/>
  <c r="L90" i="13"/>
  <c r="K90" i="13"/>
  <c r="J90" i="13"/>
  <c r="I90" i="13"/>
  <c r="H90" i="13"/>
  <c r="G90" i="13"/>
  <c r="U89" i="13"/>
  <c r="T88" i="13"/>
  <c r="S88" i="13"/>
  <c r="R88" i="13"/>
  <c r="Q88" i="13"/>
  <c r="P88" i="13"/>
  <c r="O88" i="13"/>
  <c r="N88" i="13"/>
  <c r="M88" i="13"/>
  <c r="L88" i="13"/>
  <c r="K88" i="13"/>
  <c r="J88" i="13"/>
  <c r="I88" i="13"/>
  <c r="H88" i="13"/>
  <c r="G88" i="13"/>
  <c r="S87" i="13"/>
  <c r="L87" i="13"/>
  <c r="U86" i="13"/>
  <c r="T86" i="13"/>
  <c r="S86" i="13"/>
  <c r="R86" i="13"/>
  <c r="Q86" i="13"/>
  <c r="P86" i="13"/>
  <c r="O86" i="13"/>
  <c r="N86" i="13"/>
  <c r="M86" i="13"/>
  <c r="L86" i="13"/>
  <c r="K86" i="13"/>
  <c r="J86" i="13"/>
  <c r="I86" i="13"/>
  <c r="H86" i="13"/>
  <c r="G86" i="13"/>
  <c r="S85" i="13"/>
  <c r="L85" i="13"/>
  <c r="U84" i="13"/>
  <c r="T84" i="13"/>
  <c r="S84" i="13"/>
  <c r="R84" i="13"/>
  <c r="Q84" i="13"/>
  <c r="P84" i="13"/>
  <c r="O84" i="13"/>
  <c r="N84" i="13"/>
  <c r="M84" i="13"/>
  <c r="L84" i="13"/>
  <c r="K84" i="13"/>
  <c r="J84" i="13"/>
  <c r="I84" i="13"/>
  <c r="H84" i="13"/>
  <c r="G84" i="13"/>
  <c r="R82" i="13"/>
  <c r="Q82" i="13"/>
  <c r="P82" i="13"/>
  <c r="O82" i="13"/>
  <c r="N82" i="13"/>
  <c r="M82" i="13"/>
  <c r="L82" i="13"/>
  <c r="K82" i="13"/>
  <c r="J82" i="13"/>
  <c r="I82" i="13"/>
  <c r="H82" i="13"/>
  <c r="G82" i="13"/>
  <c r="S81" i="13"/>
  <c r="R81" i="13"/>
  <c r="Q81" i="13"/>
  <c r="P81" i="13"/>
  <c r="O81" i="13"/>
  <c r="N81" i="13"/>
  <c r="M81" i="13"/>
  <c r="L81" i="13"/>
  <c r="K81" i="13"/>
  <c r="J81" i="13"/>
  <c r="I81" i="13"/>
  <c r="H81" i="13"/>
  <c r="G81" i="13"/>
  <c r="S80" i="13"/>
  <c r="R80" i="13"/>
  <c r="Q80" i="13"/>
  <c r="S79" i="13"/>
  <c r="R79" i="13"/>
  <c r="Q79" i="13"/>
  <c r="P79" i="13"/>
  <c r="O79" i="13"/>
  <c r="N79" i="13"/>
  <c r="M79" i="13"/>
  <c r="L79" i="13"/>
  <c r="K79" i="13"/>
  <c r="J79" i="13"/>
  <c r="I79" i="13"/>
  <c r="H79" i="13"/>
  <c r="G79" i="13"/>
  <c r="U74" i="13"/>
  <c r="T73" i="13"/>
  <c r="S73" i="13"/>
  <c r="R73" i="13"/>
  <c r="Q73" i="13"/>
  <c r="P73" i="13"/>
  <c r="O73" i="13"/>
  <c r="N73" i="13"/>
  <c r="M73" i="13"/>
  <c r="L73" i="13"/>
  <c r="K73" i="13"/>
  <c r="J73" i="13"/>
  <c r="I73" i="13"/>
  <c r="H73" i="13"/>
  <c r="G73" i="13"/>
  <c r="U72" i="13"/>
  <c r="T71" i="13"/>
  <c r="S71" i="13"/>
  <c r="R71" i="13"/>
  <c r="Q71" i="13"/>
  <c r="P71" i="13"/>
  <c r="O71" i="13"/>
  <c r="N71" i="13"/>
  <c r="M71" i="13"/>
  <c r="L71" i="13"/>
  <c r="K71" i="13"/>
  <c r="J71" i="13"/>
  <c r="I71" i="13"/>
  <c r="H71" i="13"/>
  <c r="G71" i="13"/>
  <c r="S70" i="13"/>
  <c r="L70" i="13"/>
  <c r="U69" i="13"/>
  <c r="T69" i="13"/>
  <c r="S69" i="13"/>
  <c r="R69" i="13"/>
  <c r="Q69" i="13"/>
  <c r="P69" i="13"/>
  <c r="O69" i="13"/>
  <c r="N69" i="13"/>
  <c r="M69" i="13"/>
  <c r="L69" i="13"/>
  <c r="K69" i="13"/>
  <c r="J69" i="13"/>
  <c r="I69" i="13"/>
  <c r="H69" i="13"/>
  <c r="G69" i="13"/>
  <c r="S68" i="13"/>
  <c r="L68" i="13"/>
  <c r="U67" i="13"/>
  <c r="T67" i="13"/>
  <c r="S67" i="13"/>
  <c r="R67" i="13"/>
  <c r="Q67" i="13"/>
  <c r="P67" i="13"/>
  <c r="O67" i="13"/>
  <c r="N67" i="13"/>
  <c r="M67" i="13"/>
  <c r="L67" i="13"/>
  <c r="K67" i="13"/>
  <c r="J67" i="13"/>
  <c r="I67" i="13"/>
  <c r="H67" i="13"/>
  <c r="G67" i="13"/>
  <c r="R65" i="13"/>
  <c r="Q65" i="13"/>
  <c r="P65" i="13"/>
  <c r="O65" i="13"/>
  <c r="N65" i="13"/>
  <c r="M65" i="13"/>
  <c r="L65" i="13"/>
  <c r="K65" i="13"/>
  <c r="J65" i="13"/>
  <c r="I65" i="13"/>
  <c r="H65" i="13"/>
  <c r="G65" i="13"/>
  <c r="Q64" i="13"/>
  <c r="P64" i="13"/>
  <c r="O64" i="13"/>
  <c r="N64" i="13"/>
  <c r="M64" i="13"/>
  <c r="L64" i="13"/>
  <c r="K64" i="13"/>
  <c r="J64" i="13"/>
  <c r="I64" i="13"/>
  <c r="H64" i="13"/>
  <c r="G64" i="13"/>
  <c r="Q60" i="13"/>
  <c r="Q58" i="13"/>
  <c r="U55" i="13"/>
  <c r="T54" i="13"/>
  <c r="S54" i="13"/>
  <c r="R54" i="13"/>
  <c r="Q54" i="13"/>
  <c r="P54" i="13"/>
  <c r="O54" i="13"/>
  <c r="N54" i="13"/>
  <c r="M54" i="13"/>
  <c r="L54" i="13"/>
  <c r="K54" i="13"/>
  <c r="J54" i="13"/>
  <c r="I54" i="13"/>
  <c r="H54" i="13"/>
  <c r="G54" i="13"/>
  <c r="U53" i="13"/>
  <c r="T52" i="13"/>
  <c r="S52" i="13"/>
  <c r="R52" i="13"/>
  <c r="Q52" i="13"/>
  <c r="P52" i="13"/>
  <c r="O52" i="13"/>
  <c r="N52" i="13"/>
  <c r="M52" i="13"/>
  <c r="L52" i="13"/>
  <c r="K52" i="13"/>
  <c r="J52" i="13"/>
  <c r="I52" i="13"/>
  <c r="H52" i="13"/>
  <c r="G52" i="13"/>
  <c r="S51" i="13"/>
  <c r="L51" i="13"/>
  <c r="U50" i="13"/>
  <c r="T50" i="13"/>
  <c r="S50" i="13"/>
  <c r="R50" i="13"/>
  <c r="Q50" i="13"/>
  <c r="P50" i="13"/>
  <c r="O50" i="13"/>
  <c r="N50" i="13"/>
  <c r="M50" i="13"/>
  <c r="L50" i="13"/>
  <c r="K50" i="13"/>
  <c r="J50" i="13"/>
  <c r="I50" i="13"/>
  <c r="H50" i="13"/>
  <c r="G50" i="13"/>
  <c r="S49" i="13"/>
  <c r="L49" i="13"/>
  <c r="U48" i="13"/>
  <c r="T48" i="13"/>
  <c r="S48" i="13"/>
  <c r="R48" i="13"/>
  <c r="Q48" i="13"/>
  <c r="P48" i="13"/>
  <c r="O48" i="13"/>
  <c r="N48" i="13"/>
  <c r="M48" i="13"/>
  <c r="L48" i="13"/>
  <c r="K48" i="13"/>
  <c r="J48" i="13"/>
  <c r="I48" i="13"/>
  <c r="H48" i="13"/>
  <c r="G48" i="13"/>
  <c r="U38" i="13"/>
  <c r="T37" i="13"/>
  <c r="S37" i="13"/>
  <c r="R37" i="13"/>
  <c r="Q37" i="13"/>
  <c r="P37" i="13"/>
  <c r="O37" i="13"/>
  <c r="N37" i="13"/>
  <c r="M37" i="13"/>
  <c r="L37" i="13"/>
  <c r="K37" i="13"/>
  <c r="J37" i="13"/>
  <c r="I37" i="13"/>
  <c r="H37" i="13"/>
  <c r="G37" i="13"/>
  <c r="U36" i="13"/>
  <c r="T35" i="13"/>
  <c r="S35" i="13"/>
  <c r="R35" i="13"/>
  <c r="Q35" i="13"/>
  <c r="P35" i="13"/>
  <c r="O35" i="13"/>
  <c r="N35" i="13"/>
  <c r="M35" i="13"/>
  <c r="L35" i="13"/>
  <c r="K35" i="13"/>
  <c r="J35" i="13"/>
  <c r="I35" i="13"/>
  <c r="H35" i="13"/>
  <c r="G35" i="13"/>
  <c r="S34" i="13"/>
  <c r="L34" i="13"/>
  <c r="U33" i="13"/>
  <c r="S33" i="13"/>
  <c r="R33" i="13"/>
  <c r="Q33" i="13"/>
  <c r="P33" i="13"/>
  <c r="O33" i="13"/>
  <c r="N33" i="13"/>
  <c r="M33" i="13"/>
  <c r="L33" i="13"/>
  <c r="K33" i="13"/>
  <c r="J33" i="13"/>
  <c r="I33" i="13"/>
  <c r="H33" i="13"/>
  <c r="G33" i="13"/>
  <c r="S32" i="13"/>
  <c r="L32" i="13"/>
  <c r="U31" i="13"/>
  <c r="T31" i="13"/>
  <c r="S31" i="13"/>
  <c r="R31" i="13"/>
  <c r="Q31" i="13"/>
  <c r="P31" i="13"/>
  <c r="O31" i="13"/>
  <c r="N31" i="13"/>
  <c r="M31" i="13"/>
  <c r="L31" i="13"/>
  <c r="K31" i="13"/>
  <c r="J31" i="13"/>
  <c r="I31" i="13"/>
  <c r="H31" i="13"/>
  <c r="G31" i="13"/>
  <c r="S29" i="13"/>
  <c r="R29" i="13"/>
  <c r="Q29" i="13"/>
  <c r="P29" i="13"/>
  <c r="O29" i="13"/>
  <c r="N29" i="13"/>
  <c r="M29" i="13"/>
  <c r="L29" i="13"/>
  <c r="K29" i="13"/>
  <c r="J29" i="13"/>
  <c r="I29" i="13"/>
  <c r="H29" i="13"/>
  <c r="G29" i="13"/>
  <c r="S28" i="13"/>
  <c r="R28" i="13"/>
  <c r="Q28" i="13"/>
  <c r="P28" i="13"/>
  <c r="O28" i="13"/>
  <c r="N28" i="13"/>
  <c r="M28" i="13"/>
  <c r="L28" i="13"/>
  <c r="K28" i="13"/>
  <c r="J28" i="13"/>
  <c r="I28" i="13"/>
  <c r="H28" i="13"/>
  <c r="G28" i="13"/>
  <c r="S27" i="13"/>
  <c r="R27" i="13"/>
  <c r="Q27" i="13"/>
  <c r="P27" i="13"/>
  <c r="O27" i="13"/>
  <c r="N27" i="13"/>
  <c r="M27" i="13"/>
  <c r="L27" i="13"/>
  <c r="K27" i="13"/>
  <c r="J27" i="13"/>
  <c r="I27" i="13"/>
  <c r="H27" i="13"/>
  <c r="G27" i="13"/>
  <c r="R26" i="13"/>
  <c r="Q26" i="13"/>
  <c r="P26" i="13"/>
  <c r="O26" i="13"/>
  <c r="N26" i="13"/>
  <c r="M26" i="13"/>
  <c r="L26" i="13"/>
  <c r="K26" i="13"/>
  <c r="J26" i="13"/>
  <c r="I26" i="13"/>
  <c r="H26" i="13"/>
  <c r="G26" i="13"/>
  <c r="S25" i="13"/>
  <c r="R25" i="13"/>
  <c r="Q25" i="13"/>
  <c r="P25" i="13"/>
  <c r="O25" i="13"/>
  <c r="N25" i="13"/>
  <c r="M25" i="13"/>
  <c r="L25" i="13"/>
  <c r="K25" i="13"/>
  <c r="J25" i="13"/>
  <c r="I25" i="13"/>
  <c r="H25" i="13"/>
  <c r="G25" i="13"/>
  <c r="R24" i="13"/>
  <c r="Q24" i="13"/>
  <c r="P24" i="13"/>
  <c r="O24" i="13"/>
  <c r="N24" i="13"/>
  <c r="M24" i="13"/>
  <c r="L24" i="13"/>
  <c r="K24" i="13"/>
  <c r="J24" i="13"/>
  <c r="I24" i="13"/>
  <c r="H24" i="13"/>
  <c r="G24" i="13"/>
  <c r="S23" i="13"/>
  <c r="R23" i="13"/>
  <c r="Q23" i="13"/>
  <c r="P23" i="13"/>
  <c r="O23" i="13"/>
  <c r="N23" i="13"/>
  <c r="M23" i="13"/>
  <c r="L23" i="13"/>
  <c r="K23" i="13"/>
  <c r="J23" i="13"/>
  <c r="I23" i="13"/>
  <c r="H23" i="13"/>
  <c r="G23" i="13"/>
  <c r="S22" i="13"/>
  <c r="R22" i="13"/>
  <c r="Q22" i="13"/>
  <c r="P22" i="13"/>
  <c r="O22" i="13"/>
  <c r="N22" i="13"/>
  <c r="M22" i="13"/>
  <c r="L22" i="13"/>
  <c r="K22" i="13"/>
  <c r="J22" i="13"/>
  <c r="I22" i="13"/>
  <c r="H22" i="13"/>
  <c r="G22" i="13"/>
  <c r="U19" i="13"/>
  <c r="T18" i="13"/>
  <c r="S18" i="13"/>
  <c r="R18" i="13"/>
  <c r="Q18" i="13"/>
  <c r="P18" i="13"/>
  <c r="O18" i="13"/>
  <c r="N18" i="13"/>
  <c r="M18" i="13"/>
  <c r="L18" i="13"/>
  <c r="K18" i="13"/>
  <c r="J18" i="13"/>
  <c r="I18" i="13"/>
  <c r="H18" i="13"/>
  <c r="G18" i="13"/>
  <c r="U17" i="13"/>
  <c r="T16" i="13"/>
  <c r="S16" i="13"/>
  <c r="R16" i="13"/>
  <c r="Q16" i="13"/>
  <c r="P16" i="13"/>
  <c r="O16" i="13"/>
  <c r="N16" i="13"/>
  <c r="M16" i="13"/>
  <c r="L16" i="13"/>
  <c r="K16" i="13"/>
  <c r="J16" i="13"/>
  <c r="I16" i="13"/>
  <c r="H16" i="13"/>
  <c r="G16" i="13"/>
  <c r="L15" i="13"/>
  <c r="U14" i="13"/>
  <c r="T14" i="13"/>
  <c r="S14" i="13"/>
  <c r="R14" i="13"/>
  <c r="Q14" i="13"/>
  <c r="P14" i="13"/>
  <c r="O14" i="13"/>
  <c r="N14" i="13"/>
  <c r="M14" i="13"/>
  <c r="L14" i="13"/>
  <c r="K14" i="13"/>
  <c r="J14" i="13"/>
  <c r="I14" i="13"/>
  <c r="H14" i="13"/>
  <c r="G14" i="13"/>
  <c r="L13" i="13"/>
  <c r="U12" i="13"/>
  <c r="T12" i="13"/>
  <c r="S12" i="13"/>
  <c r="R12" i="13"/>
  <c r="Q12" i="13"/>
  <c r="P12" i="13"/>
  <c r="O12" i="13"/>
  <c r="N12" i="13"/>
  <c r="M12" i="13"/>
  <c r="L12" i="13"/>
  <c r="K12" i="13"/>
  <c r="J12" i="13"/>
  <c r="I12" i="13"/>
  <c r="H12" i="13"/>
  <c r="G12" i="13"/>
  <c r="N8525" i="1"/>
  <c r="N8524" i="1"/>
  <c r="N8523" i="1"/>
  <c r="N8522" i="1"/>
  <c r="N8521" i="1"/>
  <c r="N8520" i="1"/>
  <c r="N8519" i="1"/>
  <c r="N8518" i="1"/>
  <c r="N8517" i="1"/>
  <c r="N8516" i="1"/>
  <c r="N8515" i="1"/>
  <c r="N8514" i="1"/>
  <c r="N8513" i="1"/>
  <c r="N8512" i="1"/>
  <c r="N8511" i="1"/>
  <c r="N8510" i="1"/>
  <c r="N8509" i="1"/>
  <c r="N8508" i="1"/>
  <c r="N8507" i="1"/>
  <c r="N8506" i="1"/>
  <c r="N8505" i="1"/>
  <c r="N8504" i="1"/>
  <c r="N8503" i="1"/>
  <c r="N8502" i="1"/>
  <c r="N8501" i="1"/>
  <c r="N8500" i="1"/>
  <c r="N8499" i="1"/>
  <c r="N8498" i="1"/>
  <c r="N8497" i="1"/>
  <c r="N8496" i="1"/>
  <c r="N8495" i="1"/>
  <c r="N8494" i="1"/>
  <c r="N8493" i="1"/>
  <c r="N8492" i="1"/>
  <c r="N8491" i="1"/>
  <c r="N8490" i="1"/>
  <c r="N8489" i="1"/>
  <c r="N8488" i="1"/>
  <c r="N8487" i="1"/>
  <c r="N8486" i="1"/>
  <c r="N8485" i="1"/>
  <c r="N8484" i="1"/>
  <c r="N8483" i="1"/>
  <c r="N8482" i="1"/>
  <c r="N8481" i="1"/>
  <c r="N8480" i="1"/>
  <c r="N8479" i="1"/>
  <c r="N8478" i="1"/>
  <c r="N8477" i="1"/>
  <c r="N8476" i="1"/>
  <c r="N8475" i="1"/>
  <c r="N8474" i="1"/>
  <c r="N8473" i="1"/>
  <c r="N8472" i="1"/>
  <c r="N8471" i="1"/>
  <c r="N8470" i="1"/>
  <c r="N8469" i="1"/>
  <c r="N8468" i="1"/>
  <c r="N8467" i="1"/>
  <c r="N8466" i="1"/>
  <c r="N8465" i="1"/>
  <c r="N8464" i="1"/>
  <c r="N8463" i="1"/>
  <c r="N8462" i="1"/>
  <c r="N8461" i="1"/>
  <c r="N8460" i="1"/>
  <c r="N8459" i="1"/>
  <c r="N8457" i="1"/>
  <c r="N8456" i="1"/>
  <c r="N8455" i="1"/>
  <c r="N8454" i="1"/>
  <c r="N8453" i="1"/>
  <c r="N8452" i="1"/>
  <c r="N8451" i="1"/>
  <c r="N8450" i="1"/>
  <c r="N8449" i="1"/>
  <c r="N8448" i="1"/>
  <c r="N8447" i="1"/>
  <c r="N8446" i="1"/>
  <c r="N8445" i="1"/>
  <c r="N8444" i="1"/>
  <c r="N8443" i="1"/>
  <c r="N8442" i="1"/>
  <c r="N8441" i="1"/>
  <c r="N8440" i="1"/>
  <c r="N8439" i="1"/>
  <c r="N8438" i="1"/>
  <c r="N8437" i="1"/>
  <c r="N8436" i="1"/>
  <c r="N8435" i="1"/>
  <c r="N8434" i="1"/>
  <c r="N8433" i="1"/>
  <c r="N8432" i="1"/>
  <c r="N8431" i="1"/>
  <c r="N8430" i="1"/>
  <c r="N8429" i="1"/>
  <c r="N8428" i="1"/>
  <c r="N8427" i="1"/>
  <c r="N8426" i="1"/>
  <c r="N8425" i="1"/>
  <c r="N8424" i="1"/>
  <c r="N8423" i="1"/>
  <c r="N8422" i="1"/>
  <c r="N8421" i="1"/>
  <c r="BP8420" i="1"/>
  <c r="BO8420" i="1"/>
  <c r="BN8420" i="1"/>
  <c r="BM8420" i="1"/>
  <c r="AU8420" i="1"/>
  <c r="AI8420" i="1"/>
  <c r="G8420" i="1"/>
  <c r="AG8419" i="1"/>
  <c r="AE8419" i="1"/>
  <c r="AD8419" i="1"/>
  <c r="N8419" i="1"/>
  <c r="AD8418" i="1"/>
  <c r="N8418" i="1"/>
  <c r="AD8417" i="1"/>
  <c r="N8417" i="1"/>
  <c r="AG8416" i="1"/>
  <c r="AE8416" i="1"/>
  <c r="AD8416" i="1"/>
  <c r="N8416" i="1"/>
  <c r="AG8415" i="1"/>
  <c r="AE8415" i="1"/>
  <c r="AD8415" i="1"/>
  <c r="N8415" i="1"/>
  <c r="AG8414" i="1"/>
  <c r="AE8414" i="1"/>
  <c r="AD8414" i="1"/>
  <c r="N8414" i="1"/>
  <c r="AG8413" i="1"/>
  <c r="AE8413" i="1"/>
  <c r="AD8413" i="1"/>
  <c r="N8413" i="1"/>
  <c r="AG8412" i="1"/>
  <c r="AE8412" i="1"/>
  <c r="AD8412" i="1"/>
  <c r="N8412" i="1"/>
  <c r="AG8411" i="1"/>
  <c r="AE8411" i="1"/>
  <c r="AD8411" i="1"/>
  <c r="N8411" i="1"/>
  <c r="AG8410" i="1"/>
  <c r="AE8410" i="1"/>
  <c r="AD8410" i="1"/>
  <c r="N8410" i="1"/>
  <c r="AG8409" i="1"/>
  <c r="AE8409" i="1"/>
  <c r="AD8409" i="1"/>
  <c r="N8409" i="1"/>
  <c r="AG8408" i="1"/>
  <c r="AE8408" i="1"/>
  <c r="AD8408" i="1"/>
  <c r="N8408" i="1"/>
  <c r="AG8407" i="1"/>
  <c r="AE8407" i="1"/>
  <c r="AD8407" i="1"/>
  <c r="N8407" i="1"/>
  <c r="AG8406" i="1"/>
  <c r="AE8406" i="1"/>
  <c r="AD8406" i="1"/>
  <c r="N8406" i="1"/>
  <c r="AG8405" i="1"/>
  <c r="AE8405" i="1"/>
  <c r="AD8405" i="1"/>
  <c r="N8405" i="1"/>
  <c r="AG8404" i="1"/>
  <c r="AE8404" i="1"/>
  <c r="AD8404" i="1"/>
  <c r="N8404" i="1"/>
  <c r="AG8403" i="1"/>
  <c r="AE8403" i="1"/>
  <c r="AD8403" i="1"/>
  <c r="N8403" i="1"/>
  <c r="AG8402" i="1"/>
  <c r="AE8402" i="1"/>
  <c r="AD8402" i="1"/>
  <c r="N8402" i="1"/>
  <c r="AG8401" i="1"/>
  <c r="AE8401" i="1"/>
  <c r="AD8401" i="1"/>
  <c r="N8401" i="1"/>
  <c r="AG8400" i="1"/>
  <c r="AE8400" i="1"/>
  <c r="AD8400" i="1"/>
  <c r="N8400" i="1"/>
  <c r="AG8399" i="1"/>
  <c r="AE8399" i="1"/>
  <c r="AD8399" i="1"/>
  <c r="N8399" i="1"/>
  <c r="AG8398" i="1"/>
  <c r="AE8398" i="1"/>
  <c r="AD8398" i="1"/>
  <c r="N8398" i="1"/>
  <c r="AG8397" i="1"/>
  <c r="AE8397" i="1"/>
  <c r="AD8397" i="1"/>
  <c r="N8397" i="1"/>
  <c r="AG8396" i="1"/>
  <c r="AE8396" i="1"/>
  <c r="AD8396" i="1"/>
  <c r="N8396" i="1"/>
  <c r="AG8395" i="1"/>
  <c r="AE8395" i="1"/>
  <c r="AD8395" i="1"/>
  <c r="N8395" i="1"/>
  <c r="AG8394" i="1"/>
  <c r="AE8394" i="1"/>
  <c r="AD8394" i="1"/>
  <c r="N8394" i="1"/>
  <c r="AG8393" i="1"/>
  <c r="AE8393" i="1"/>
  <c r="AD8393" i="1"/>
  <c r="N8393" i="1"/>
  <c r="AG8392" i="1"/>
  <c r="AE8392" i="1"/>
  <c r="AD8392" i="1"/>
  <c r="N8392" i="1"/>
  <c r="AG8391" i="1"/>
  <c r="AE8391" i="1"/>
  <c r="AD8391" i="1"/>
  <c r="N8391" i="1"/>
  <c r="AG8390" i="1"/>
  <c r="AE8390" i="1"/>
  <c r="AD8390" i="1"/>
  <c r="N8390" i="1"/>
  <c r="AG8389" i="1"/>
  <c r="AE8389" i="1"/>
  <c r="AD8389" i="1"/>
  <c r="N8389" i="1"/>
  <c r="AG8388" i="1"/>
  <c r="AE8388" i="1"/>
  <c r="AD8388" i="1"/>
  <c r="N8388" i="1"/>
  <c r="AG8387" i="1"/>
  <c r="AE8387" i="1"/>
  <c r="AD8387" i="1"/>
  <c r="N8387" i="1"/>
  <c r="AG8386" i="1"/>
  <c r="AE8386" i="1"/>
  <c r="AD8386" i="1"/>
  <c r="N8386" i="1"/>
  <c r="AG8385" i="1"/>
  <c r="AE8385" i="1"/>
  <c r="AD8385" i="1"/>
  <c r="N8385" i="1"/>
  <c r="AD8384" i="1"/>
  <c r="N8384" i="1"/>
  <c r="AG8383" i="1"/>
  <c r="AE8383" i="1"/>
  <c r="AD8383" i="1"/>
  <c r="N8383" i="1"/>
  <c r="AD8382" i="1"/>
  <c r="N8382" i="1"/>
  <c r="AG8381" i="1"/>
  <c r="AE8381" i="1"/>
  <c r="AD8381" i="1"/>
  <c r="N8381" i="1"/>
  <c r="AG8380" i="1"/>
  <c r="AE8380" i="1"/>
  <c r="AD8380" i="1"/>
  <c r="N8380" i="1"/>
  <c r="AG8379" i="1"/>
  <c r="AE8379" i="1"/>
  <c r="AD8379" i="1"/>
  <c r="N8379" i="1"/>
  <c r="AG8378" i="1"/>
  <c r="AE8378" i="1"/>
  <c r="AD8378" i="1"/>
  <c r="N8378" i="1"/>
  <c r="AG8377" i="1"/>
  <c r="AE8377" i="1"/>
  <c r="AD8377" i="1"/>
  <c r="N8377" i="1"/>
  <c r="AG8376" i="1"/>
  <c r="AE8376" i="1"/>
  <c r="AD8376" i="1"/>
  <c r="N8376" i="1"/>
  <c r="AD8375" i="1"/>
  <c r="N8375" i="1"/>
  <c r="AG8374" i="1"/>
  <c r="AE8374" i="1"/>
  <c r="AD8374" i="1"/>
  <c r="N8374" i="1"/>
  <c r="AG8373" i="1"/>
  <c r="AE8373" i="1"/>
  <c r="AD8373" i="1"/>
  <c r="N8373" i="1"/>
  <c r="AG8372" i="1"/>
  <c r="AE8372" i="1"/>
  <c r="AD8372" i="1"/>
  <c r="N8372" i="1"/>
  <c r="AG8371" i="1"/>
  <c r="AE8371" i="1"/>
  <c r="AD8371" i="1"/>
  <c r="N8371" i="1"/>
  <c r="BP8370" i="1"/>
  <c r="BO8370" i="1"/>
  <c r="BN8370" i="1"/>
  <c r="BM8370" i="1"/>
  <c r="AU8370" i="1"/>
  <c r="AI8370" i="1"/>
  <c r="G8370" i="1"/>
  <c r="AD8369" i="1"/>
  <c r="N8369" i="1"/>
  <c r="AD8368" i="1"/>
  <c r="N8368" i="1"/>
  <c r="AD8367" i="1"/>
  <c r="N8367" i="1"/>
  <c r="AD8366" i="1"/>
  <c r="N8366" i="1"/>
  <c r="AD8365" i="1"/>
  <c r="N8365" i="1"/>
  <c r="AD8364" i="1"/>
  <c r="N8364" i="1"/>
  <c r="AG8363" i="1"/>
  <c r="AE8363" i="1"/>
  <c r="AD8363" i="1"/>
  <c r="N8363" i="1"/>
  <c r="AG8362" i="1"/>
  <c r="AE8362" i="1"/>
  <c r="AD8362" i="1"/>
  <c r="N8362" i="1"/>
  <c r="AG8361" i="1"/>
  <c r="AE8361" i="1"/>
  <c r="AD8361" i="1"/>
  <c r="N8361" i="1"/>
  <c r="AG8360" i="1"/>
  <c r="AE8360" i="1"/>
  <c r="AD8360" i="1"/>
  <c r="N8360" i="1"/>
  <c r="AG8359" i="1"/>
  <c r="AE8359" i="1"/>
  <c r="AD8359" i="1"/>
  <c r="N8359" i="1"/>
  <c r="AG8358" i="1"/>
  <c r="AE8358" i="1"/>
  <c r="AD8358" i="1"/>
  <c r="N8358" i="1"/>
  <c r="AG8357" i="1"/>
  <c r="AE8357" i="1"/>
  <c r="AD8357" i="1"/>
  <c r="N8357" i="1"/>
  <c r="AG8356" i="1"/>
  <c r="AE8356" i="1"/>
  <c r="AD8356" i="1"/>
  <c r="N8356" i="1"/>
  <c r="AG8355" i="1"/>
  <c r="AE8355" i="1"/>
  <c r="AD8355" i="1"/>
  <c r="N8355" i="1"/>
  <c r="AG8354" i="1"/>
  <c r="AE8354" i="1"/>
  <c r="AD8354" i="1"/>
  <c r="N8354" i="1"/>
  <c r="AG8353" i="1"/>
  <c r="AE8353" i="1"/>
  <c r="AD8353" i="1"/>
  <c r="N8353" i="1"/>
  <c r="AG8352" i="1"/>
  <c r="AE8352" i="1"/>
  <c r="AD8352" i="1"/>
  <c r="N8352" i="1"/>
  <c r="AD8351" i="1"/>
  <c r="N8351" i="1"/>
  <c r="AG8350" i="1"/>
  <c r="AE8350" i="1"/>
  <c r="AD8350" i="1"/>
  <c r="N8350" i="1"/>
  <c r="AD8349" i="1"/>
  <c r="N8349" i="1"/>
  <c r="AG8348" i="1"/>
  <c r="AE8348" i="1"/>
  <c r="AD8348" i="1"/>
  <c r="N8348" i="1"/>
  <c r="AD8347" i="1"/>
  <c r="N8347" i="1"/>
  <c r="AD8346" i="1"/>
  <c r="N8346" i="1"/>
  <c r="AG8345" i="1"/>
  <c r="AE8345" i="1"/>
  <c r="AD8345" i="1"/>
  <c r="N8345" i="1"/>
  <c r="AD8344" i="1"/>
  <c r="N8344" i="1"/>
  <c r="AG8343" i="1"/>
  <c r="AE8343" i="1"/>
  <c r="AD8343" i="1"/>
  <c r="N8343" i="1"/>
  <c r="AG8342" i="1"/>
  <c r="AE8342" i="1"/>
  <c r="AD8342" i="1"/>
  <c r="N8342" i="1"/>
  <c r="AG8341" i="1"/>
  <c r="AE8341" i="1"/>
  <c r="AD8341" i="1"/>
  <c r="N8341" i="1"/>
  <c r="AG8340" i="1"/>
  <c r="AE8340" i="1"/>
  <c r="AD8340" i="1"/>
  <c r="N8340" i="1"/>
  <c r="AG8339" i="1"/>
  <c r="AE8339" i="1"/>
  <c r="AD8339" i="1"/>
  <c r="N8339" i="1"/>
  <c r="AD8338" i="1"/>
  <c r="N8338" i="1"/>
  <c r="AG8337" i="1"/>
  <c r="AE8337" i="1"/>
  <c r="AD8337" i="1"/>
  <c r="N8337" i="1"/>
  <c r="AG8336" i="1"/>
  <c r="AE8336" i="1"/>
  <c r="AD8336" i="1"/>
  <c r="N8336" i="1"/>
  <c r="AD8335" i="1"/>
  <c r="N8335" i="1"/>
  <c r="AG8334" i="1"/>
  <c r="AE8334" i="1"/>
  <c r="AD8334" i="1"/>
  <c r="N8334" i="1"/>
  <c r="AG8333" i="1"/>
  <c r="AE8333" i="1"/>
  <c r="AD8333" i="1"/>
  <c r="N8333" i="1"/>
  <c r="AG8332" i="1"/>
  <c r="AE8332" i="1"/>
  <c r="AD8332" i="1"/>
  <c r="N8332" i="1"/>
  <c r="AG8331" i="1"/>
  <c r="AE8331" i="1"/>
  <c r="AD8331" i="1"/>
  <c r="N8331" i="1"/>
  <c r="AG8330" i="1"/>
  <c r="AE8330" i="1"/>
  <c r="AD8330" i="1"/>
  <c r="N8330" i="1"/>
  <c r="AG8329" i="1"/>
  <c r="AE8329" i="1"/>
  <c r="AD8329" i="1"/>
  <c r="N8329" i="1"/>
  <c r="AG8328" i="1"/>
  <c r="AE8328" i="1"/>
  <c r="AD8328" i="1"/>
  <c r="N8328" i="1"/>
  <c r="AG8327" i="1"/>
  <c r="AE8327" i="1"/>
  <c r="AD8327" i="1"/>
  <c r="N8327" i="1"/>
  <c r="AG8326" i="1"/>
  <c r="AE8326" i="1"/>
  <c r="AD8326" i="1"/>
  <c r="N8326" i="1"/>
  <c r="AG8325" i="1"/>
  <c r="AE8325" i="1"/>
  <c r="AD8325" i="1"/>
  <c r="N8325" i="1"/>
  <c r="AG8324" i="1"/>
  <c r="AE8324" i="1"/>
  <c r="AD8324" i="1"/>
  <c r="N8324" i="1"/>
  <c r="AG8323" i="1"/>
  <c r="AE8323" i="1"/>
  <c r="AD8323" i="1"/>
  <c r="N8323" i="1"/>
  <c r="AG8322" i="1"/>
  <c r="AE8322" i="1"/>
  <c r="AD8322" i="1"/>
  <c r="N8322" i="1"/>
  <c r="AG8321" i="1"/>
  <c r="AE8321" i="1"/>
  <c r="AD8321" i="1"/>
  <c r="N8321" i="1"/>
  <c r="AG8320" i="1"/>
  <c r="AE8320" i="1"/>
  <c r="AD8320" i="1"/>
  <c r="N8320" i="1"/>
  <c r="AD8319" i="1"/>
  <c r="N8319" i="1"/>
  <c r="AG8318" i="1"/>
  <c r="AE8318" i="1"/>
  <c r="AD8318" i="1"/>
  <c r="N8318" i="1"/>
  <c r="AG8317" i="1"/>
  <c r="AE8317" i="1"/>
  <c r="AD8317" i="1"/>
  <c r="N8317" i="1"/>
  <c r="AG8316" i="1"/>
  <c r="AE8316" i="1"/>
  <c r="AD8316" i="1"/>
  <c r="N8316" i="1"/>
  <c r="AG8315" i="1"/>
  <c r="AE8315" i="1"/>
  <c r="AD8315" i="1"/>
  <c r="N8315" i="1"/>
  <c r="AG8314" i="1"/>
  <c r="AE8314" i="1"/>
  <c r="AD8314" i="1"/>
  <c r="N8314" i="1"/>
  <c r="AG8313" i="1"/>
  <c r="AE8313" i="1"/>
  <c r="AD8313" i="1"/>
  <c r="N8313" i="1"/>
  <c r="AG8312" i="1"/>
  <c r="AE8312" i="1"/>
  <c r="AD8312" i="1"/>
  <c r="N8312" i="1"/>
  <c r="AG8311" i="1"/>
  <c r="AE8311" i="1"/>
  <c r="AD8311" i="1"/>
  <c r="N8311" i="1"/>
  <c r="AG8310" i="1"/>
  <c r="AE8310" i="1"/>
  <c r="AD8310" i="1"/>
  <c r="N8310" i="1"/>
  <c r="AD8309" i="1"/>
  <c r="N8309" i="1"/>
  <c r="AD8308" i="1"/>
  <c r="N8308" i="1"/>
  <c r="AD8307" i="1"/>
  <c r="N8307" i="1"/>
  <c r="AD8306" i="1"/>
  <c r="N8306" i="1"/>
  <c r="AD8305" i="1"/>
  <c r="N8305" i="1"/>
  <c r="AD8304" i="1"/>
  <c r="N8304" i="1"/>
  <c r="AD8303" i="1"/>
  <c r="N8303" i="1"/>
  <c r="AD8302" i="1"/>
  <c r="N8302" i="1"/>
  <c r="AD8301" i="1"/>
  <c r="N8301" i="1"/>
  <c r="AD8300" i="1"/>
  <c r="N8300" i="1"/>
  <c r="AD8299" i="1"/>
  <c r="N8299" i="1"/>
  <c r="AD8298" i="1"/>
  <c r="N8298" i="1"/>
  <c r="AD8297" i="1"/>
  <c r="N8297" i="1"/>
  <c r="AD8296" i="1"/>
  <c r="N8296" i="1"/>
  <c r="AD8295" i="1"/>
  <c r="N8295" i="1"/>
  <c r="AD8294" i="1"/>
  <c r="N8294" i="1"/>
  <c r="AD8293" i="1"/>
  <c r="N8293" i="1"/>
  <c r="AD8292" i="1"/>
  <c r="N8292" i="1"/>
  <c r="AD8291" i="1"/>
  <c r="N8291" i="1"/>
  <c r="AD8290" i="1"/>
  <c r="N8290" i="1"/>
  <c r="AG8289" i="1"/>
  <c r="AE8289" i="1"/>
  <c r="AD8289" i="1"/>
  <c r="N8289" i="1"/>
  <c r="AD8288" i="1"/>
  <c r="N8288" i="1"/>
  <c r="AD8287" i="1"/>
  <c r="N8287" i="1"/>
  <c r="AG8286" i="1"/>
  <c r="AE8286" i="1"/>
  <c r="AD8286" i="1"/>
  <c r="N8286" i="1"/>
  <c r="AG8285" i="1"/>
  <c r="AE8285" i="1"/>
  <c r="AD8285" i="1"/>
  <c r="N8285" i="1"/>
  <c r="AG8284" i="1"/>
  <c r="AE8284" i="1"/>
  <c r="AD8284" i="1"/>
  <c r="N8284" i="1"/>
  <c r="AG8283" i="1"/>
  <c r="AE8283" i="1"/>
  <c r="AD8283" i="1"/>
  <c r="N8283" i="1"/>
  <c r="AG8282" i="1"/>
  <c r="AE8282" i="1"/>
  <c r="AD8282" i="1"/>
  <c r="N8282" i="1"/>
  <c r="AG8281" i="1"/>
  <c r="AE8281" i="1"/>
  <c r="AD8281" i="1"/>
  <c r="N8281" i="1"/>
  <c r="AG8280" i="1"/>
  <c r="AE8280" i="1"/>
  <c r="AD8280" i="1"/>
  <c r="N8280" i="1"/>
  <c r="AD8279" i="1"/>
  <c r="N8279" i="1"/>
  <c r="AG8278" i="1"/>
  <c r="AE8278" i="1"/>
  <c r="AD8278" i="1"/>
  <c r="N8278" i="1"/>
  <c r="AG8277" i="1"/>
  <c r="AE8277" i="1"/>
  <c r="AD8277" i="1"/>
  <c r="N8277" i="1"/>
  <c r="AG8276" i="1"/>
  <c r="AE8276" i="1"/>
  <c r="AD8276" i="1"/>
  <c r="N8276" i="1"/>
  <c r="AD8275" i="1"/>
  <c r="N8275" i="1"/>
  <c r="AG8274" i="1"/>
  <c r="AE8274" i="1"/>
  <c r="AD8274" i="1"/>
  <c r="N8274" i="1"/>
  <c r="AG8273" i="1"/>
  <c r="AE8273" i="1"/>
  <c r="AD8273" i="1"/>
  <c r="N8273" i="1"/>
  <c r="AG8272" i="1"/>
  <c r="AE8272" i="1"/>
  <c r="AD8272" i="1"/>
  <c r="N8272" i="1"/>
  <c r="AG8271" i="1"/>
  <c r="AE8271" i="1"/>
  <c r="AD8271" i="1"/>
  <c r="N8271" i="1"/>
  <c r="AG8270" i="1"/>
  <c r="AE8270" i="1"/>
  <c r="AD8270" i="1"/>
  <c r="N8270" i="1"/>
  <c r="AD8269" i="1"/>
  <c r="N8269" i="1"/>
  <c r="AD8268" i="1"/>
  <c r="N8268" i="1"/>
  <c r="BP8267" i="1"/>
  <c r="BO8267" i="1"/>
  <c r="BN8267" i="1"/>
  <c r="BM8267" i="1"/>
  <c r="AU8267" i="1"/>
  <c r="AI8267" i="1"/>
  <c r="G8267" i="1"/>
  <c r="AD8266" i="1"/>
  <c r="N8266" i="1"/>
  <c r="AG8265" i="1"/>
  <c r="AE8265" i="1"/>
  <c r="AD8265" i="1"/>
  <c r="N8265" i="1"/>
  <c r="AG8264" i="1"/>
  <c r="AE8264" i="1"/>
  <c r="AD8264" i="1"/>
  <c r="N8264" i="1"/>
  <c r="AG8263" i="1"/>
  <c r="AE8263" i="1"/>
  <c r="AD8263" i="1"/>
  <c r="N8263" i="1"/>
  <c r="AG8262" i="1"/>
  <c r="AE8262" i="1"/>
  <c r="AD8262" i="1"/>
  <c r="N8262" i="1"/>
  <c r="AG8261" i="1"/>
  <c r="AE8261" i="1"/>
  <c r="AD8261" i="1"/>
  <c r="N8261" i="1"/>
  <c r="AG8260" i="1"/>
  <c r="AE8260" i="1"/>
  <c r="AD8260" i="1"/>
  <c r="N8260" i="1"/>
  <c r="AG8259" i="1"/>
  <c r="AE8259" i="1"/>
  <c r="AD8259" i="1"/>
  <c r="N8259" i="1"/>
  <c r="AG8258" i="1"/>
  <c r="AE8258" i="1"/>
  <c r="AD8258" i="1"/>
  <c r="N8258" i="1"/>
  <c r="AD8257" i="1"/>
  <c r="N8257" i="1"/>
  <c r="AG8256" i="1"/>
  <c r="AE8256" i="1"/>
  <c r="AD8256" i="1"/>
  <c r="N8256" i="1"/>
  <c r="AG8255" i="1"/>
  <c r="AE8255" i="1"/>
  <c r="AD8255" i="1"/>
  <c r="N8255" i="1"/>
  <c r="AG8254" i="1"/>
  <c r="AE8254" i="1"/>
  <c r="AD8254" i="1"/>
  <c r="N8254" i="1"/>
  <c r="AG8253" i="1"/>
  <c r="AE8253" i="1"/>
  <c r="AD8253" i="1"/>
  <c r="N8253" i="1"/>
  <c r="AG8252" i="1"/>
  <c r="AE8252" i="1"/>
  <c r="AD8252" i="1"/>
  <c r="N8252" i="1"/>
  <c r="AG8251" i="1"/>
  <c r="AE8251" i="1"/>
  <c r="AD8251" i="1"/>
  <c r="N8251" i="1"/>
  <c r="AG8250" i="1"/>
  <c r="AE8250" i="1"/>
  <c r="AD8250" i="1"/>
  <c r="N8250" i="1"/>
  <c r="AG8249" i="1"/>
  <c r="AE8249" i="1"/>
  <c r="AD8249" i="1"/>
  <c r="N8249" i="1"/>
  <c r="AG8248" i="1"/>
  <c r="AE8248" i="1"/>
  <c r="AD8248" i="1"/>
  <c r="N8248" i="1"/>
  <c r="AG8247" i="1"/>
  <c r="AE8247" i="1"/>
  <c r="AD8247" i="1"/>
  <c r="N8247" i="1"/>
  <c r="AG8246" i="1"/>
  <c r="AE8246" i="1"/>
  <c r="AD8246" i="1"/>
  <c r="N8246" i="1"/>
  <c r="AG8245" i="1"/>
  <c r="AE8245" i="1"/>
  <c r="AD8245" i="1"/>
  <c r="N8245" i="1"/>
  <c r="AD8244" i="1"/>
  <c r="N8244" i="1"/>
  <c r="AG8243" i="1"/>
  <c r="AE8243" i="1"/>
  <c r="AD8243" i="1"/>
  <c r="N8243" i="1"/>
  <c r="AG8242" i="1"/>
  <c r="AE8242" i="1"/>
  <c r="AD8242" i="1"/>
  <c r="N8242" i="1"/>
  <c r="AG8241" i="1"/>
  <c r="AE8241" i="1"/>
  <c r="AD8241" i="1"/>
  <c r="N8241" i="1"/>
  <c r="AG8240" i="1"/>
  <c r="AE8240" i="1"/>
  <c r="AD8240" i="1"/>
  <c r="N8240" i="1"/>
  <c r="AG8239" i="1"/>
  <c r="AE8239" i="1"/>
  <c r="AD8239" i="1"/>
  <c r="N8239" i="1"/>
  <c r="AG8238" i="1"/>
  <c r="AE8238" i="1"/>
  <c r="AD8238" i="1"/>
  <c r="N8238" i="1"/>
  <c r="AG8237" i="1"/>
  <c r="AE8237" i="1"/>
  <c r="AD8237" i="1"/>
  <c r="N8237" i="1"/>
  <c r="AG8236" i="1"/>
  <c r="AE8236" i="1"/>
  <c r="AD8236" i="1"/>
  <c r="N8236" i="1"/>
  <c r="AG8235" i="1"/>
  <c r="AE8235" i="1"/>
  <c r="AD8235" i="1"/>
  <c r="N8235" i="1"/>
  <c r="AG8234" i="1"/>
  <c r="AE8234" i="1"/>
  <c r="AD8234" i="1"/>
  <c r="N8234" i="1"/>
  <c r="AG8233" i="1"/>
  <c r="AE8233" i="1"/>
  <c r="AD8233" i="1"/>
  <c r="N8233" i="1"/>
  <c r="AG8232" i="1"/>
  <c r="AE8232" i="1"/>
  <c r="AD8232" i="1"/>
  <c r="N8232" i="1"/>
  <c r="AG8231" i="1"/>
  <c r="AE8231" i="1"/>
  <c r="AD8231" i="1"/>
  <c r="N8231" i="1"/>
  <c r="AG8230" i="1"/>
  <c r="AE8230" i="1"/>
  <c r="AD8230" i="1"/>
  <c r="N8230" i="1"/>
  <c r="AG8229" i="1"/>
  <c r="AE8229" i="1"/>
  <c r="AD8229" i="1"/>
  <c r="N8229" i="1"/>
  <c r="AG8228" i="1"/>
  <c r="AE8228" i="1"/>
  <c r="AD8228" i="1"/>
  <c r="N8228" i="1"/>
  <c r="AG8227" i="1"/>
  <c r="AE8227" i="1"/>
  <c r="AD8227" i="1"/>
  <c r="N8227" i="1"/>
  <c r="AG8226" i="1"/>
  <c r="AE8226" i="1"/>
  <c r="AD8226" i="1"/>
  <c r="N8226" i="1"/>
  <c r="AG8225" i="1"/>
  <c r="AE8225" i="1"/>
  <c r="AD8225" i="1"/>
  <c r="N8225" i="1"/>
  <c r="AG8224" i="1"/>
  <c r="AE8224" i="1"/>
  <c r="AD8224" i="1"/>
  <c r="N8224" i="1"/>
  <c r="AG8223" i="1"/>
  <c r="AE8223" i="1"/>
  <c r="AD8223" i="1"/>
  <c r="N8223" i="1"/>
  <c r="AG8222" i="1"/>
  <c r="AE8222" i="1"/>
  <c r="AD8222" i="1"/>
  <c r="N8222" i="1"/>
  <c r="AG8221" i="1"/>
  <c r="AE8221" i="1"/>
  <c r="AD8221" i="1"/>
  <c r="N8221" i="1"/>
  <c r="AG8220" i="1"/>
  <c r="AE8220" i="1"/>
  <c r="AD8220" i="1"/>
  <c r="N8220" i="1"/>
  <c r="AG8219" i="1"/>
  <c r="AE8219" i="1"/>
  <c r="AD8219" i="1"/>
  <c r="N8219" i="1"/>
  <c r="AG8218" i="1"/>
  <c r="AE8218" i="1"/>
  <c r="AD8218" i="1"/>
  <c r="N8218" i="1"/>
  <c r="AG8217" i="1"/>
  <c r="AE8217" i="1"/>
  <c r="AD8217" i="1"/>
  <c r="N8217" i="1"/>
  <c r="AG8216" i="1"/>
  <c r="AE8216" i="1"/>
  <c r="AD8216" i="1"/>
  <c r="N8216" i="1"/>
  <c r="AG8215" i="1"/>
  <c r="AE8215" i="1"/>
  <c r="AD8215" i="1"/>
  <c r="N8215" i="1"/>
  <c r="AG8214" i="1"/>
  <c r="AE8214" i="1"/>
  <c r="AD8214" i="1"/>
  <c r="N8214" i="1"/>
  <c r="AD8213" i="1"/>
  <c r="N8213" i="1"/>
  <c r="AG8212" i="1"/>
  <c r="AE8212" i="1"/>
  <c r="AD8212" i="1"/>
  <c r="N8212" i="1"/>
  <c r="AG8211" i="1"/>
  <c r="AE8211" i="1"/>
  <c r="AD8211" i="1"/>
  <c r="N8211" i="1"/>
  <c r="AG8210" i="1"/>
  <c r="AE8210" i="1"/>
  <c r="AD8210" i="1"/>
  <c r="N8210" i="1"/>
  <c r="AD8209" i="1"/>
  <c r="N8209" i="1"/>
  <c r="AG8208" i="1"/>
  <c r="AE8208" i="1"/>
  <c r="AD8208" i="1"/>
  <c r="N8208" i="1"/>
  <c r="AD8207" i="1"/>
  <c r="N8207" i="1"/>
  <c r="AG8206" i="1"/>
  <c r="AE8206" i="1"/>
  <c r="AD8206" i="1"/>
  <c r="N8206" i="1"/>
  <c r="AG8205" i="1"/>
  <c r="AE8205" i="1"/>
  <c r="AD8205" i="1"/>
  <c r="N8205" i="1"/>
  <c r="AG8204" i="1"/>
  <c r="AE8204" i="1"/>
  <c r="AD8204" i="1"/>
  <c r="N8204" i="1"/>
  <c r="AG8203" i="1"/>
  <c r="AE8203" i="1"/>
  <c r="AD8203" i="1"/>
  <c r="N8203" i="1"/>
  <c r="AG8202" i="1"/>
  <c r="AE8202" i="1"/>
  <c r="AD8202" i="1"/>
  <c r="N8202" i="1"/>
  <c r="AG8201" i="1"/>
  <c r="AE8201" i="1"/>
  <c r="AD8201" i="1"/>
  <c r="N8201" i="1"/>
  <c r="AG8200" i="1"/>
  <c r="AE8200" i="1"/>
  <c r="AD8200" i="1"/>
  <c r="N8200" i="1"/>
  <c r="AG8199" i="1"/>
  <c r="AE8199" i="1"/>
  <c r="AD8199" i="1"/>
  <c r="N8199" i="1"/>
  <c r="AD8198" i="1"/>
  <c r="N8198" i="1"/>
  <c r="AD8197" i="1"/>
  <c r="N8197" i="1"/>
  <c r="AG8196" i="1"/>
  <c r="AE8196" i="1"/>
  <c r="AD8196" i="1"/>
  <c r="N8196" i="1"/>
  <c r="AG8195" i="1"/>
  <c r="AE8195" i="1"/>
  <c r="AD8195" i="1"/>
  <c r="N8195" i="1"/>
  <c r="AD8194" i="1"/>
  <c r="N8194" i="1"/>
  <c r="AG8193" i="1"/>
  <c r="AE8193" i="1"/>
  <c r="AD8193" i="1"/>
  <c r="N8193" i="1"/>
  <c r="AG8192" i="1"/>
  <c r="AE8192" i="1"/>
  <c r="AD8192" i="1"/>
  <c r="N8192" i="1"/>
  <c r="AG8191" i="1"/>
  <c r="AE8191" i="1"/>
  <c r="AD8191" i="1"/>
  <c r="N8191" i="1"/>
  <c r="AG8190" i="1"/>
  <c r="AE8190" i="1"/>
  <c r="AD8190" i="1"/>
  <c r="N8190" i="1"/>
  <c r="AG8189" i="1"/>
  <c r="AE8189" i="1"/>
  <c r="AD8189" i="1"/>
  <c r="N8189" i="1"/>
  <c r="AD8188" i="1"/>
  <c r="N8188" i="1"/>
  <c r="AG8187" i="1"/>
  <c r="AE8187" i="1"/>
  <c r="AD8187" i="1"/>
  <c r="N8187" i="1"/>
  <c r="AG8186" i="1"/>
  <c r="AE8186" i="1"/>
  <c r="AD8186" i="1"/>
  <c r="N8186" i="1"/>
  <c r="AG8185" i="1"/>
  <c r="AE8185" i="1"/>
  <c r="AD8185" i="1"/>
  <c r="N8185" i="1"/>
  <c r="AD8184" i="1"/>
  <c r="N8184" i="1"/>
  <c r="AG8183" i="1"/>
  <c r="AE8183" i="1"/>
  <c r="AD8183" i="1"/>
  <c r="N8183" i="1"/>
  <c r="AG8182" i="1"/>
  <c r="AE8182" i="1"/>
  <c r="AD8182" i="1"/>
  <c r="N8182" i="1"/>
  <c r="AG8181" i="1"/>
  <c r="AE8181" i="1"/>
  <c r="AD8181" i="1"/>
  <c r="AG8180" i="1"/>
  <c r="AE8180" i="1"/>
  <c r="AD8180" i="1"/>
  <c r="AG8179" i="1"/>
  <c r="AE8179" i="1"/>
  <c r="AD8179" i="1"/>
  <c r="AG8178" i="1"/>
  <c r="AE8178" i="1"/>
  <c r="AD8178" i="1"/>
  <c r="AG8177" i="1"/>
  <c r="AE8177" i="1"/>
  <c r="AD8177" i="1"/>
  <c r="AG8176" i="1"/>
  <c r="AE8176" i="1"/>
  <c r="AD8176" i="1"/>
  <c r="AG8175" i="1"/>
  <c r="AE8175" i="1"/>
  <c r="AD8175" i="1"/>
  <c r="BP8174" i="1"/>
  <c r="BO8174" i="1"/>
  <c r="BN8174" i="1"/>
  <c r="BM8174" i="1"/>
  <c r="AU8174" i="1"/>
  <c r="AI8174" i="1"/>
  <c r="G8174" i="1"/>
  <c r="BE8144" i="1"/>
  <c r="BD8144" i="1" s="1"/>
  <c r="BC8144" i="1" s="1"/>
  <c r="BB8144" i="1" s="1"/>
  <c r="AQ8144" i="1"/>
  <c r="AP8144" i="1" s="1"/>
  <c r="AD8141" i="1"/>
  <c r="AD8140" i="1"/>
  <c r="AD8139" i="1"/>
  <c r="AD8138" i="1"/>
  <c r="AD8137" i="1"/>
  <c r="AG8136" i="1"/>
  <c r="AE8136" i="1"/>
  <c r="AD8136" i="1"/>
  <c r="AG8135" i="1"/>
  <c r="AE8135" i="1"/>
  <c r="AD8135" i="1"/>
  <c r="AG8134" i="1"/>
  <c r="AE8134" i="1"/>
  <c r="AD8134" i="1"/>
  <c r="AG8133" i="1"/>
  <c r="AE8133" i="1"/>
  <c r="AD8133" i="1"/>
  <c r="AD8132" i="1"/>
  <c r="AD8131" i="1"/>
  <c r="AG8130" i="1"/>
  <c r="AE8130" i="1"/>
  <c r="AD8130" i="1"/>
  <c r="AG8129" i="1"/>
  <c r="AE8129" i="1"/>
  <c r="AD8129" i="1"/>
  <c r="AG8128" i="1"/>
  <c r="AE8128" i="1"/>
  <c r="AD8128" i="1"/>
  <c r="AG8127" i="1"/>
  <c r="AE8127" i="1"/>
  <c r="AD8127" i="1"/>
  <c r="AG8126" i="1"/>
  <c r="AE8126" i="1"/>
  <c r="AD8126" i="1"/>
  <c r="AG8125" i="1"/>
  <c r="AE8125" i="1"/>
  <c r="AD8125" i="1"/>
  <c r="AG8124" i="1"/>
  <c r="AE8124" i="1"/>
  <c r="AD8124" i="1"/>
  <c r="AG8123" i="1"/>
  <c r="AE8123" i="1"/>
  <c r="AD8123" i="1"/>
  <c r="AG8122" i="1"/>
  <c r="AE8122" i="1"/>
  <c r="AD8122" i="1"/>
  <c r="AG8121" i="1"/>
  <c r="AE8121" i="1"/>
  <c r="AD8121" i="1"/>
  <c r="AG8120" i="1"/>
  <c r="AE8120" i="1"/>
  <c r="AD8120" i="1"/>
  <c r="AG8119" i="1"/>
  <c r="AE8119" i="1"/>
  <c r="AD8119" i="1"/>
  <c r="AG8118" i="1"/>
  <c r="AE8118" i="1"/>
  <c r="AD8118" i="1"/>
  <c r="AG8117" i="1"/>
  <c r="AE8117" i="1"/>
  <c r="AD8117" i="1"/>
  <c r="AG8116" i="1"/>
  <c r="AE8116" i="1"/>
  <c r="AD8116" i="1"/>
  <c r="AG8115" i="1"/>
  <c r="AE8115" i="1"/>
  <c r="AD8115" i="1"/>
  <c r="H8115"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8" i="1"/>
  <c r="AA6337" i="1"/>
  <c r="AA6336" i="1"/>
  <c r="AA6335" i="1"/>
  <c r="AA6334" i="1"/>
  <c r="AA6333" i="1"/>
  <c r="AA6332" i="1"/>
  <c r="AA6331" i="1"/>
  <c r="AA6330" i="1"/>
  <c r="AA6329" i="1"/>
  <c r="AA6328" i="1"/>
  <c r="AA6327" i="1"/>
  <c r="AA6326" i="1"/>
  <c r="AA6325" i="1"/>
  <c r="AA6324" i="1"/>
  <c r="AA6323" i="1"/>
  <c r="AA6322" i="1"/>
  <c r="AA6321" i="1"/>
  <c r="AA6320" i="1"/>
  <c r="AA6319" i="1"/>
  <c r="AA6318" i="1"/>
  <c r="AA6317" i="1"/>
  <c r="AA6316" i="1"/>
  <c r="AA6315" i="1"/>
  <c r="AA6314" i="1"/>
  <c r="AA6313" i="1"/>
  <c r="AA6312" i="1"/>
  <c r="AF6309" i="1"/>
  <c r="AG6309" i="1" s="1"/>
  <c r="AF6307" i="1"/>
  <c r="AG6307" i="1" s="1"/>
  <c r="AF6306" i="1"/>
  <c r="AG6306" i="1" s="1"/>
  <c r="AF6305" i="1"/>
  <c r="AG6305" i="1" s="1"/>
  <c r="AF6304" i="1"/>
  <c r="AG6304" i="1" s="1"/>
  <c r="AF6302" i="1"/>
  <c r="AG6302" i="1" s="1"/>
  <c r="AF6301" i="1"/>
  <c r="AG6301" i="1" s="1"/>
  <c r="AF6299" i="1"/>
  <c r="AG6299" i="1" s="1"/>
  <c r="AF6298" i="1"/>
  <c r="AG6298" i="1" s="1"/>
  <c r="AF6297" i="1"/>
  <c r="AG6297" i="1" s="1"/>
  <c r="AF6296" i="1"/>
  <c r="AG6296" i="1" s="1"/>
  <c r="AF6294" i="1"/>
  <c r="AG6294" i="1" s="1"/>
  <c r="AF6293" i="1"/>
  <c r="AG6293" i="1" s="1"/>
  <c r="AF6292" i="1"/>
  <c r="AG6292" i="1" s="1"/>
  <c r="AF6291" i="1"/>
  <c r="AG6291" i="1" s="1"/>
  <c r="AF6290" i="1"/>
  <c r="AG6290" i="1" s="1"/>
  <c r="AF6288" i="1"/>
  <c r="AG6288" i="1" s="1"/>
  <c r="AF6287" i="1"/>
  <c r="AG6287" i="1" s="1"/>
  <c r="AF6286" i="1"/>
  <c r="AG6286" i="1" s="1"/>
  <c r="AF6284" i="1"/>
  <c r="AG6284" i="1" s="1"/>
  <c r="AF6281" i="1"/>
  <c r="AG6281" i="1" s="1"/>
  <c r="AF6280" i="1"/>
  <c r="AG6280" i="1" s="1"/>
  <c r="AF6274" i="1"/>
  <c r="AG6274" i="1" s="1"/>
  <c r="AF6273" i="1"/>
  <c r="AG6273" i="1" s="1"/>
  <c r="AF6272" i="1"/>
  <c r="AG6272" i="1" s="1"/>
  <c r="AF6271" i="1"/>
  <c r="AG6271" i="1" s="1"/>
  <c r="AF6270" i="1"/>
  <c r="AG6270" i="1" s="1"/>
  <c r="AF6269" i="1"/>
  <c r="AG6269" i="1" s="1"/>
  <c r="AG6266" i="1"/>
  <c r="AF6264" i="1"/>
  <c r="AG6264" i="1" s="1"/>
  <c r="AF6262" i="1"/>
  <c r="AG6262" i="1" s="1"/>
  <c r="AF6260" i="1"/>
  <c r="AG6260" i="1" s="1"/>
  <c r="AF6258" i="1"/>
  <c r="AG6258" i="1" s="1"/>
  <c r="AF6255" i="1"/>
  <c r="AG6255" i="1" s="1"/>
  <c r="AF6254" i="1"/>
  <c r="AG6254" i="1" s="1"/>
  <c r="AF6253" i="1"/>
  <c r="AG6253" i="1" s="1"/>
  <c r="AF6252" i="1"/>
  <c r="AG6252" i="1" s="1"/>
  <c r="AF6251" i="1"/>
  <c r="AG6251" i="1" s="1"/>
  <c r="AF6250" i="1"/>
  <c r="AG6250" i="1" s="1"/>
  <c r="AF6249" i="1"/>
  <c r="AG6249" i="1" s="1"/>
  <c r="AF6248" i="1"/>
  <c r="AG6248" i="1" s="1"/>
  <c r="AF6246" i="1"/>
  <c r="AG6246" i="1" s="1"/>
  <c r="AA6245" i="1"/>
  <c r="AA6244" i="1"/>
  <c r="AA6243" i="1"/>
  <c r="AA6242" i="1"/>
  <c r="AA6241" i="1"/>
  <c r="AA6240" i="1"/>
  <c r="AA6239" i="1"/>
  <c r="AA6238" i="1"/>
  <c r="AA6237" i="1"/>
  <c r="AA6236" i="1"/>
  <c r="AA6235" i="1"/>
  <c r="AA6234" i="1"/>
  <c r="AA6233" i="1"/>
  <c r="AA6232" i="1"/>
  <c r="AA6231" i="1"/>
  <c r="AA6230" i="1"/>
  <c r="AA6229" i="1"/>
  <c r="AA6228" i="1"/>
  <c r="AA6227" i="1"/>
  <c r="AA6226" i="1"/>
  <c r="AA6225" i="1"/>
  <c r="AA6224" i="1"/>
  <c r="AA6223" i="1"/>
  <c r="AA6222" i="1"/>
  <c r="AA6221" i="1"/>
  <c r="AC6220" i="1"/>
  <c r="AC6219" i="1" s="1"/>
  <c r="AA6220" i="1"/>
  <c r="BQ6219" i="1"/>
  <c r="BP6219" i="1"/>
  <c r="BI6219" i="1"/>
  <c r="BI6196" i="1"/>
  <c r="BI6152" i="1"/>
  <c r="BI6104" i="1"/>
  <c r="BI6056" i="1"/>
  <c r="AF6055" i="1"/>
  <c r="AF6054" i="1"/>
  <c r="AF6053" i="1"/>
  <c r="AF6052" i="1"/>
  <c r="AF6051" i="1"/>
  <c r="AF6050" i="1"/>
  <c r="AF6049" i="1"/>
  <c r="AF6048" i="1"/>
  <c r="AF6047" i="1"/>
  <c r="AF6046" i="1"/>
  <c r="AF6045" i="1"/>
  <c r="AF6044" i="1"/>
  <c r="AF6043" i="1"/>
  <c r="AF6042" i="1"/>
  <c r="AF6041" i="1"/>
  <c r="AF6040" i="1"/>
  <c r="AF6039" i="1"/>
  <c r="AF6038" i="1"/>
  <c r="AF6037" i="1"/>
  <c r="AF6036" i="1"/>
  <c r="AF6035" i="1"/>
  <c r="AF6034" i="1"/>
  <c r="AF6033" i="1"/>
  <c r="AF6032" i="1"/>
  <c r="AF6031" i="1"/>
  <c r="AF6030" i="1"/>
  <c r="AF6029" i="1"/>
  <c r="AF6028" i="1"/>
  <c r="AF6027" i="1"/>
  <c r="AF6026" i="1"/>
  <c r="AF6025" i="1"/>
  <c r="AF6024" i="1"/>
  <c r="AF6023" i="1"/>
  <c r="AF6022" i="1"/>
  <c r="AF6021" i="1"/>
  <c r="AF6020" i="1"/>
  <c r="AF6019" i="1"/>
  <c r="AF6018" i="1"/>
  <c r="AF6017" i="1"/>
  <c r="AF6016" i="1"/>
  <c r="AF6015" i="1"/>
  <c r="AF6014" i="1"/>
  <c r="AF6013" i="1"/>
  <c r="AF6012" i="1"/>
  <c r="AF6011" i="1"/>
  <c r="AF6010" i="1"/>
  <c r="AF6009" i="1"/>
  <c r="AF6008" i="1"/>
  <c r="AF6007" i="1"/>
  <c r="AF6006" i="1"/>
  <c r="AF6005" i="1"/>
  <c r="AF6004" i="1"/>
  <c r="AF6003" i="1"/>
  <c r="AF6002" i="1"/>
  <c r="AF6001" i="1"/>
  <c r="AF6000" i="1"/>
  <c r="AF5999" i="1"/>
  <c r="AF5998" i="1"/>
  <c r="AF5997" i="1"/>
  <c r="AF5996" i="1"/>
  <c r="AF5995" i="1"/>
  <c r="AF5994" i="1"/>
  <c r="AF5993" i="1"/>
  <c r="AF5992" i="1"/>
  <c r="AF5991" i="1"/>
  <c r="AF5990" i="1"/>
  <c r="AF5989" i="1"/>
  <c r="AF5988" i="1"/>
  <c r="AF5987" i="1"/>
  <c r="AF5986" i="1"/>
  <c r="AF5985" i="1"/>
  <c r="AF5984" i="1"/>
  <c r="AF5983" i="1"/>
  <c r="AF5982" i="1"/>
  <c r="AF5981" i="1"/>
  <c r="AF5980" i="1"/>
  <c r="AF5979" i="1"/>
  <c r="AF5978" i="1"/>
  <c r="BQ5977" i="1"/>
  <c r="BP5977" i="1"/>
  <c r="BI5977" i="1"/>
  <c r="AF5976" i="1"/>
  <c r="AF5975" i="1"/>
  <c r="AF5974" i="1"/>
  <c r="AF5973" i="1"/>
  <c r="AF5972" i="1"/>
  <c r="AF5971" i="1"/>
  <c r="AF5970" i="1"/>
  <c r="AF5969" i="1"/>
  <c r="AF5968" i="1"/>
  <c r="AF5967" i="1"/>
  <c r="AF5966" i="1"/>
  <c r="AF5965" i="1"/>
  <c r="AF5964" i="1"/>
  <c r="AF5963" i="1"/>
  <c r="AF5962" i="1"/>
  <c r="AF5961" i="1"/>
  <c r="AF5960" i="1"/>
  <c r="AF5959" i="1"/>
  <c r="AF5958" i="1"/>
  <c r="AF5957" i="1"/>
  <c r="AF5956" i="1"/>
  <c r="AF5955" i="1"/>
  <c r="AF5954" i="1"/>
  <c r="AF5953" i="1"/>
  <c r="AF5952" i="1"/>
  <c r="AF5951" i="1"/>
  <c r="AF5950" i="1"/>
  <c r="AF5949" i="1"/>
  <c r="AF5948" i="1"/>
  <c r="AF5947" i="1"/>
  <c r="AF5946" i="1"/>
  <c r="AF5945" i="1"/>
  <c r="AF5944" i="1"/>
  <c r="AF5943" i="1"/>
  <c r="AF5942" i="1"/>
  <c r="AF5941" i="1"/>
  <c r="AF5940" i="1"/>
  <c r="AF5939" i="1"/>
  <c r="AF5938" i="1"/>
  <c r="AF5937" i="1"/>
  <c r="AF5936" i="1"/>
  <c r="AF5935" i="1"/>
  <c r="AF5934" i="1"/>
  <c r="AF5933" i="1"/>
  <c r="AF5932" i="1"/>
  <c r="AF5931" i="1"/>
  <c r="AF5930" i="1"/>
  <c r="AF5929" i="1"/>
  <c r="AF5928" i="1"/>
  <c r="AF5927" i="1"/>
  <c r="AF5926" i="1"/>
  <c r="AF5925" i="1"/>
  <c r="AF5924" i="1"/>
  <c r="AF5923" i="1"/>
  <c r="AF5922" i="1"/>
  <c r="AF5921" i="1"/>
  <c r="AF5920" i="1"/>
  <c r="AF5919" i="1"/>
  <c r="AF5918" i="1"/>
  <c r="AF5917" i="1"/>
  <c r="AF5916" i="1"/>
  <c r="AF5915" i="1"/>
  <c r="AF5914" i="1"/>
  <c r="BQ5913" i="1"/>
  <c r="BP5913" i="1"/>
  <c r="BI5913" i="1"/>
  <c r="AG5912" i="1"/>
  <c r="AE5912" i="1"/>
  <c r="AD5912" i="1"/>
  <c r="AG5911" i="1"/>
  <c r="AE5911" i="1"/>
  <c r="AD5911" i="1"/>
  <c r="AG5910" i="1"/>
  <c r="AE5910" i="1"/>
  <c r="AD5910" i="1"/>
  <c r="AG5909" i="1"/>
  <c r="AE5909" i="1"/>
  <c r="AD5909" i="1"/>
  <c r="AG5908" i="1"/>
  <c r="AE5908" i="1"/>
  <c r="AD5908" i="1"/>
  <c r="AG5907" i="1"/>
  <c r="AE5907" i="1"/>
  <c r="AD5907" i="1"/>
  <c r="AG5906" i="1"/>
  <c r="AE5906" i="1"/>
  <c r="AD5906" i="1"/>
  <c r="AG5905" i="1"/>
  <c r="AE5905" i="1"/>
  <c r="AD5905" i="1"/>
  <c r="AG5904" i="1"/>
  <c r="AE5904" i="1"/>
  <c r="AD5904" i="1"/>
  <c r="AG5903" i="1"/>
  <c r="AE5903" i="1"/>
  <c r="AD5903" i="1"/>
  <c r="AG5902" i="1"/>
  <c r="AE5902" i="1"/>
  <c r="AD5902" i="1"/>
  <c r="AG5901" i="1"/>
  <c r="AE5901" i="1"/>
  <c r="AD5901" i="1"/>
  <c r="AG5900" i="1"/>
  <c r="AE5900" i="1"/>
  <c r="AD5900" i="1"/>
  <c r="AG5899" i="1"/>
  <c r="AE5899" i="1"/>
  <c r="AD5899" i="1"/>
  <c r="AG5898" i="1"/>
  <c r="AE5898" i="1"/>
  <c r="AD5898" i="1"/>
  <c r="AG5897" i="1"/>
  <c r="AE5897" i="1"/>
  <c r="AD5897" i="1"/>
  <c r="AG5896" i="1"/>
  <c r="AE5896" i="1"/>
  <c r="AD5896" i="1"/>
  <c r="AG5895" i="1"/>
  <c r="AE5895" i="1"/>
  <c r="AD5895" i="1"/>
  <c r="AG5894" i="1"/>
  <c r="AE5894" i="1"/>
  <c r="AD5894" i="1"/>
  <c r="AG5893" i="1"/>
  <c r="AE5893" i="1"/>
  <c r="AD5893" i="1"/>
  <c r="AG5892" i="1"/>
  <c r="AE5892" i="1"/>
  <c r="AD5892" i="1"/>
  <c r="AG5891" i="1"/>
  <c r="AE5891" i="1"/>
  <c r="AD5891" i="1"/>
  <c r="AG5890" i="1"/>
  <c r="AE5890" i="1"/>
  <c r="AD5890" i="1"/>
  <c r="AG5889" i="1"/>
  <c r="AE5889" i="1"/>
  <c r="AD5889" i="1"/>
  <c r="BQ5888" i="1"/>
  <c r="BP5888" i="1"/>
  <c r="BI5888" i="1"/>
  <c r="G5888" i="1"/>
  <c r="BQ5787" i="1"/>
  <c r="BP5787" i="1"/>
  <c r="BI5787" i="1"/>
  <c r="AF5786" i="1"/>
  <c r="AG5786" i="1" s="1"/>
  <c r="AF5785" i="1"/>
  <c r="AG5785" i="1" s="1"/>
  <c r="AF5784" i="1"/>
  <c r="AG5784" i="1" s="1"/>
  <c r="AF5783" i="1"/>
  <c r="AG5783" i="1" s="1"/>
  <c r="AF5782" i="1"/>
  <c r="AG5782" i="1" s="1"/>
  <c r="AF5781" i="1"/>
  <c r="AG5781" i="1" s="1"/>
  <c r="AF5780" i="1"/>
  <c r="AG5780" i="1" s="1"/>
  <c r="AF5779" i="1"/>
  <c r="AG5779" i="1" s="1"/>
  <c r="AF5778" i="1"/>
  <c r="AG5778" i="1" s="1"/>
  <c r="AF5777" i="1"/>
  <c r="AG5777" i="1" s="1"/>
  <c r="AF5776" i="1"/>
  <c r="AG5776" i="1" s="1"/>
  <c r="AF5775" i="1"/>
  <c r="AG5775" i="1" s="1"/>
  <c r="AF5774" i="1"/>
  <c r="AG5774" i="1" s="1"/>
  <c r="AF5773" i="1"/>
  <c r="AG5773" i="1" s="1"/>
  <c r="AF5772" i="1"/>
  <c r="AG5772" i="1" s="1"/>
  <c r="AF5771" i="1"/>
  <c r="AG5771" i="1" s="1"/>
  <c r="AF5770" i="1"/>
  <c r="AG5770" i="1" s="1"/>
  <c r="AF5769" i="1"/>
  <c r="AG5769" i="1" s="1"/>
  <c r="AF5768" i="1"/>
  <c r="AG5768" i="1" s="1"/>
  <c r="AF5767" i="1"/>
  <c r="AG5767" i="1" s="1"/>
  <c r="AF5766" i="1"/>
  <c r="AG5766" i="1" s="1"/>
  <c r="AF5765" i="1"/>
  <c r="AG5765" i="1" s="1"/>
  <c r="AF5764" i="1"/>
  <c r="AG5764" i="1" s="1"/>
  <c r="AF5763" i="1"/>
  <c r="AG5763" i="1" s="1"/>
  <c r="AF5762" i="1"/>
  <c r="AG5762" i="1" s="1"/>
  <c r="AF5761" i="1"/>
  <c r="AG5761" i="1" s="1"/>
  <c r="AF5760" i="1"/>
  <c r="AG5760" i="1" s="1"/>
  <c r="AF5759" i="1"/>
  <c r="AG5759" i="1" s="1"/>
  <c r="AF5758" i="1"/>
  <c r="AG5758" i="1" s="1"/>
  <c r="AF5757" i="1"/>
  <c r="AG5757" i="1" s="1"/>
  <c r="AF5756" i="1"/>
  <c r="AG5756" i="1" s="1"/>
  <c r="AF5755" i="1"/>
  <c r="AG5755" i="1" s="1"/>
  <c r="AF5754" i="1"/>
  <c r="AG5754" i="1" s="1"/>
  <c r="AF5753" i="1"/>
  <c r="AG5753" i="1" s="1"/>
  <c r="AF5752" i="1"/>
  <c r="AG5752" i="1" s="1"/>
  <c r="AF5751" i="1"/>
  <c r="AG5751" i="1" s="1"/>
  <c r="AF5750" i="1"/>
  <c r="AG5750" i="1" s="1"/>
  <c r="AF5749" i="1"/>
  <c r="AG5749" i="1" s="1"/>
  <c r="AF5748" i="1"/>
  <c r="AG5748" i="1" s="1"/>
  <c r="AF5747" i="1"/>
  <c r="AG5747" i="1" s="1"/>
  <c r="AF5746" i="1"/>
  <c r="AG5746" i="1" s="1"/>
  <c r="AF5745" i="1"/>
  <c r="AG5745" i="1" s="1"/>
  <c r="AF5744" i="1"/>
  <c r="AG5744" i="1" s="1"/>
  <c r="AF5743" i="1"/>
  <c r="AG5743" i="1" s="1"/>
  <c r="AF5742" i="1"/>
  <c r="AG5742" i="1" s="1"/>
  <c r="AF5741" i="1"/>
  <c r="AG5741" i="1" s="1"/>
  <c r="AF5740" i="1"/>
  <c r="AG5740" i="1" s="1"/>
  <c r="AF5739" i="1"/>
  <c r="AG5739" i="1" s="1"/>
  <c r="AF5738" i="1"/>
  <c r="AG5738" i="1" s="1"/>
  <c r="AF5737" i="1"/>
  <c r="AG5737" i="1" s="1"/>
  <c r="AF5736" i="1"/>
  <c r="AG5736" i="1" s="1"/>
  <c r="AF5735" i="1"/>
  <c r="AG5735" i="1" s="1"/>
  <c r="AF5734" i="1"/>
  <c r="AG5734" i="1" s="1"/>
  <c r="AF5733" i="1"/>
  <c r="AG5733" i="1" s="1"/>
  <c r="AF5732" i="1"/>
  <c r="AG5732" i="1" s="1"/>
  <c r="AF5731" i="1"/>
  <c r="AG5731" i="1" s="1"/>
  <c r="AF5730" i="1"/>
  <c r="AG5730" i="1" s="1"/>
  <c r="AF5729" i="1"/>
  <c r="AG5729" i="1" s="1"/>
  <c r="AF5728" i="1"/>
  <c r="AG5728" i="1" s="1"/>
  <c r="AF5727" i="1"/>
  <c r="AG5727" i="1" s="1"/>
  <c r="AF5726" i="1"/>
  <c r="AG5726" i="1" s="1"/>
  <c r="AF5725" i="1"/>
  <c r="AG5725" i="1" s="1"/>
  <c r="AF5724" i="1"/>
  <c r="AG5724" i="1" s="1"/>
  <c r="AF5723" i="1"/>
  <c r="AG5723" i="1" s="1"/>
  <c r="AF5722" i="1"/>
  <c r="AG5722" i="1" s="1"/>
  <c r="AF5721" i="1"/>
  <c r="AG5721" i="1" s="1"/>
  <c r="AF5720" i="1"/>
  <c r="AG5720" i="1" s="1"/>
  <c r="AF5719" i="1"/>
  <c r="AG5719" i="1" s="1"/>
  <c r="AF5718" i="1"/>
  <c r="AG5718" i="1" s="1"/>
  <c r="AF5717" i="1"/>
  <c r="AG5717" i="1" s="1"/>
  <c r="AF5716" i="1"/>
  <c r="AG5716" i="1" s="1"/>
  <c r="AF5715" i="1"/>
  <c r="AG5715" i="1" s="1"/>
  <c r="AF5714" i="1"/>
  <c r="AG5714" i="1" s="1"/>
  <c r="AF5713" i="1"/>
  <c r="AG5713" i="1" s="1"/>
  <c r="BQ5712" i="1"/>
  <c r="BP5712" i="1"/>
  <c r="BI5712" i="1"/>
  <c r="AF5711" i="1"/>
  <c r="AG5711" i="1" s="1"/>
  <c r="AF5710" i="1"/>
  <c r="AG5710" i="1" s="1"/>
  <c r="AF5709" i="1"/>
  <c r="AG5709" i="1" s="1"/>
  <c r="AF5708" i="1"/>
  <c r="AG5708" i="1" s="1"/>
  <c r="AF5707" i="1"/>
  <c r="AG5707" i="1" s="1"/>
  <c r="AF5706" i="1"/>
  <c r="AG5706" i="1" s="1"/>
  <c r="AF5705" i="1"/>
  <c r="AG5705" i="1" s="1"/>
  <c r="AF5704" i="1"/>
  <c r="AG5704" i="1" s="1"/>
  <c r="AF5703" i="1"/>
  <c r="AG5703" i="1" s="1"/>
  <c r="AF5702" i="1"/>
  <c r="AG5702" i="1" s="1"/>
  <c r="AF5701" i="1"/>
  <c r="AG5701" i="1" s="1"/>
  <c r="AF5700" i="1"/>
  <c r="AG5700" i="1" s="1"/>
  <c r="AF5699" i="1"/>
  <c r="AG5699" i="1" s="1"/>
  <c r="AF5698" i="1"/>
  <c r="AG5698" i="1" s="1"/>
  <c r="AF5697" i="1"/>
  <c r="AG5697" i="1" s="1"/>
  <c r="AF5696" i="1"/>
  <c r="AG5696" i="1" s="1"/>
  <c r="AF5695" i="1"/>
  <c r="AG5695" i="1" s="1"/>
  <c r="AF5694" i="1"/>
  <c r="AG5694" i="1" s="1"/>
  <c r="AF5693" i="1"/>
  <c r="AG5693" i="1" s="1"/>
  <c r="AF5692" i="1"/>
  <c r="AG5692" i="1" s="1"/>
  <c r="AF5691" i="1"/>
  <c r="AG5691" i="1" s="1"/>
  <c r="AF5690" i="1"/>
  <c r="AG5690" i="1" s="1"/>
  <c r="AF5689" i="1"/>
  <c r="AG5689" i="1" s="1"/>
  <c r="AF5688" i="1"/>
  <c r="AG5688" i="1" s="1"/>
  <c r="AF5687" i="1"/>
  <c r="AG5687" i="1" s="1"/>
  <c r="AF5686" i="1"/>
  <c r="AG5686" i="1" s="1"/>
  <c r="AF5685" i="1"/>
  <c r="AG5685" i="1" s="1"/>
  <c r="AF5684" i="1"/>
  <c r="AG5684" i="1" s="1"/>
  <c r="AF5683" i="1"/>
  <c r="AG5683" i="1" s="1"/>
  <c r="AF5682" i="1"/>
  <c r="AG5682" i="1" s="1"/>
  <c r="AF5681" i="1"/>
  <c r="AG5681" i="1" s="1"/>
  <c r="AF5680" i="1"/>
  <c r="AG5680" i="1" s="1"/>
  <c r="AF5679" i="1"/>
  <c r="AG5679" i="1" s="1"/>
  <c r="AF5678" i="1"/>
  <c r="AG5678" i="1" s="1"/>
  <c r="AF5677" i="1"/>
  <c r="AG5677" i="1" s="1"/>
  <c r="AF5676" i="1"/>
  <c r="AG5676" i="1" s="1"/>
  <c r="AF5675" i="1"/>
  <c r="AG5675" i="1" s="1"/>
  <c r="AF5674" i="1"/>
  <c r="AG5674" i="1" s="1"/>
  <c r="AF5673" i="1"/>
  <c r="AG5673" i="1" s="1"/>
  <c r="AF5672" i="1"/>
  <c r="AG5672" i="1" s="1"/>
  <c r="AF5671" i="1"/>
  <c r="AG5671" i="1" s="1"/>
  <c r="AF5670" i="1"/>
  <c r="AG5670" i="1" s="1"/>
  <c r="AF5669" i="1"/>
  <c r="AG5669" i="1" s="1"/>
  <c r="AF5668" i="1"/>
  <c r="AG5668" i="1" s="1"/>
  <c r="AF5667" i="1"/>
  <c r="AG5667" i="1" s="1"/>
  <c r="AF5666" i="1"/>
  <c r="AG5666" i="1" s="1"/>
  <c r="AF5665" i="1"/>
  <c r="AG5665" i="1" s="1"/>
  <c r="AF5664" i="1"/>
  <c r="AG5664" i="1" s="1"/>
  <c r="AF5663" i="1"/>
  <c r="AG5663" i="1" s="1"/>
  <c r="AF5662" i="1"/>
  <c r="AG5662" i="1" s="1"/>
  <c r="AF5661" i="1"/>
  <c r="AG5661" i="1" s="1"/>
  <c r="AF5660" i="1"/>
  <c r="AG5660" i="1" s="1"/>
  <c r="AF5659" i="1"/>
  <c r="AG5659" i="1" s="1"/>
  <c r="AF5658" i="1"/>
  <c r="AG5658" i="1" s="1"/>
  <c r="AF5657" i="1"/>
  <c r="AG5657" i="1" s="1"/>
  <c r="AF5656" i="1"/>
  <c r="AG5656" i="1" s="1"/>
  <c r="AF5655" i="1"/>
  <c r="AG5655" i="1" s="1"/>
  <c r="AF5654" i="1"/>
  <c r="AG5654" i="1" s="1"/>
  <c r="AF5653" i="1"/>
  <c r="AG5653" i="1" s="1"/>
  <c r="AF5652" i="1"/>
  <c r="AG5652" i="1" s="1"/>
  <c r="AF5651" i="1"/>
  <c r="AG5651" i="1" s="1"/>
  <c r="AF5650" i="1"/>
  <c r="AG5650" i="1" s="1"/>
  <c r="AF5649" i="1"/>
  <c r="AG5649" i="1" s="1"/>
  <c r="AF5648" i="1"/>
  <c r="AG5648" i="1" s="1"/>
  <c r="AF5647" i="1"/>
  <c r="AG5647" i="1" s="1"/>
  <c r="AF5646" i="1"/>
  <c r="AG5646" i="1" s="1"/>
  <c r="AF5645" i="1"/>
  <c r="AG5645" i="1" s="1"/>
  <c r="AF5644" i="1"/>
  <c r="AG5644" i="1" s="1"/>
  <c r="AF5643" i="1"/>
  <c r="AG5643" i="1" s="1"/>
  <c r="AF5642" i="1"/>
  <c r="AG5642" i="1" s="1"/>
  <c r="AF5641" i="1"/>
  <c r="AG5641" i="1" s="1"/>
  <c r="AF5640" i="1"/>
  <c r="AG5640" i="1" s="1"/>
  <c r="AF5639" i="1"/>
  <c r="AG5639" i="1" s="1"/>
  <c r="AF5638" i="1"/>
  <c r="AG5638" i="1" s="1"/>
  <c r="AF5637" i="1"/>
  <c r="AG5637" i="1" s="1"/>
  <c r="AF5636" i="1"/>
  <c r="AG5636" i="1" s="1"/>
  <c r="AF5635" i="1"/>
  <c r="AG5635" i="1" s="1"/>
  <c r="AF5634" i="1"/>
  <c r="AG5634" i="1" s="1"/>
  <c r="AF5633" i="1"/>
  <c r="AG5633" i="1" s="1"/>
  <c r="AF5632" i="1"/>
  <c r="AG5632" i="1" s="1"/>
  <c r="AF5631" i="1"/>
  <c r="AG5631" i="1" s="1"/>
  <c r="AF5630" i="1"/>
  <c r="AG5630" i="1" s="1"/>
  <c r="AF5629" i="1"/>
  <c r="AG5629" i="1" s="1"/>
  <c r="AF5628" i="1"/>
  <c r="AG5628" i="1" s="1"/>
  <c r="AF5627" i="1"/>
  <c r="AG5627" i="1" s="1"/>
  <c r="AF5626" i="1"/>
  <c r="AG5626" i="1" s="1"/>
  <c r="AF5625" i="1"/>
  <c r="AG5625" i="1" s="1"/>
  <c r="AF5624" i="1"/>
  <c r="AG5624" i="1" s="1"/>
  <c r="AF5623" i="1"/>
  <c r="AG5623" i="1" s="1"/>
  <c r="AF5622" i="1"/>
  <c r="AG5622" i="1" s="1"/>
  <c r="AF5621" i="1"/>
  <c r="AG5621" i="1" s="1"/>
  <c r="AF5620" i="1"/>
  <c r="AG5620" i="1" s="1"/>
  <c r="AF5619" i="1"/>
  <c r="AG5619" i="1" s="1"/>
  <c r="AF5618" i="1"/>
  <c r="AG5618" i="1" s="1"/>
  <c r="AF5617" i="1"/>
  <c r="AG5617" i="1" s="1"/>
  <c r="AF5616" i="1"/>
  <c r="AG5616" i="1" s="1"/>
  <c r="AF5615" i="1"/>
  <c r="AG5615" i="1" s="1"/>
  <c r="AF5614" i="1"/>
  <c r="AG5614" i="1" s="1"/>
  <c r="AF5613" i="1"/>
  <c r="AG5613" i="1" s="1"/>
  <c r="AF5612" i="1"/>
  <c r="AG5612" i="1" s="1"/>
  <c r="AF5611" i="1"/>
  <c r="AG5611" i="1" s="1"/>
  <c r="AF5610" i="1"/>
  <c r="AG5610" i="1" s="1"/>
  <c r="AF5609" i="1"/>
  <c r="AG5609" i="1" s="1"/>
  <c r="AF5608" i="1"/>
  <c r="AG5608" i="1" s="1"/>
  <c r="AF5607" i="1"/>
  <c r="AG5607" i="1" s="1"/>
  <c r="AF5606" i="1"/>
  <c r="AG5606" i="1" s="1"/>
  <c r="AF5605" i="1"/>
  <c r="AG5605" i="1" s="1"/>
  <c r="AF5604" i="1"/>
  <c r="AG5604" i="1" s="1"/>
  <c r="AF5603" i="1"/>
  <c r="AG5603" i="1" s="1"/>
  <c r="AF5602" i="1"/>
  <c r="AG5602" i="1" s="1"/>
  <c r="AF5601" i="1"/>
  <c r="AG5601" i="1" s="1"/>
  <c r="AF5600" i="1"/>
  <c r="AG5600" i="1" s="1"/>
  <c r="AF5599" i="1"/>
  <c r="AG5599" i="1" s="1"/>
  <c r="AF5598" i="1"/>
  <c r="AG5598" i="1" s="1"/>
  <c r="AF5597" i="1"/>
  <c r="AG5597" i="1" s="1"/>
  <c r="AF5596" i="1"/>
  <c r="AG5596" i="1" s="1"/>
  <c r="AF5595" i="1"/>
  <c r="AG5595" i="1" s="1"/>
  <c r="AF5594" i="1"/>
  <c r="AG5594" i="1" s="1"/>
  <c r="AF5593" i="1"/>
  <c r="AG5593" i="1" s="1"/>
  <c r="AF5592" i="1"/>
  <c r="AG5592" i="1" s="1"/>
  <c r="AF5591" i="1"/>
  <c r="AG5591" i="1" s="1"/>
  <c r="AF5590" i="1"/>
  <c r="AG5590" i="1" s="1"/>
  <c r="AF5589" i="1"/>
  <c r="AG5589" i="1" s="1"/>
  <c r="AF5588" i="1"/>
  <c r="AG5588" i="1" s="1"/>
  <c r="AF5587" i="1"/>
  <c r="AG5587" i="1" s="1"/>
  <c r="AF5586" i="1"/>
  <c r="AG5586" i="1" s="1"/>
  <c r="AF5585" i="1"/>
  <c r="AG5585" i="1" s="1"/>
  <c r="AF5584" i="1"/>
  <c r="AG5584" i="1" s="1"/>
  <c r="AF5583" i="1"/>
  <c r="AG5583" i="1" s="1"/>
  <c r="AF5582" i="1"/>
  <c r="AG5582" i="1" s="1"/>
  <c r="AF5581" i="1"/>
  <c r="AG5581" i="1" s="1"/>
  <c r="AF5580" i="1"/>
  <c r="AG5580" i="1" s="1"/>
  <c r="AF5579" i="1"/>
  <c r="AG5579" i="1" s="1"/>
  <c r="AF5578" i="1"/>
  <c r="AG5578" i="1" s="1"/>
  <c r="AF5577" i="1"/>
  <c r="AG5577" i="1" s="1"/>
  <c r="AF5576" i="1"/>
  <c r="AG5576" i="1" s="1"/>
  <c r="AF5575" i="1"/>
  <c r="AG5575" i="1" s="1"/>
  <c r="AF5574" i="1"/>
  <c r="AG5574" i="1" s="1"/>
  <c r="AF5573" i="1"/>
  <c r="AG5573" i="1" s="1"/>
  <c r="AF5572" i="1"/>
  <c r="AG5572" i="1" s="1"/>
  <c r="AF5571" i="1"/>
  <c r="AG5571" i="1" s="1"/>
  <c r="AF5570" i="1"/>
  <c r="AG5570" i="1" s="1"/>
  <c r="AF5569" i="1"/>
  <c r="AG5569" i="1" s="1"/>
  <c r="AF5568" i="1"/>
  <c r="AG5568" i="1" s="1"/>
  <c r="AF5567" i="1"/>
  <c r="AG5567" i="1" s="1"/>
  <c r="AF5566" i="1"/>
  <c r="AG5566" i="1" s="1"/>
  <c r="AF5565" i="1"/>
  <c r="AG5565" i="1" s="1"/>
  <c r="AF5564" i="1"/>
  <c r="AG5564" i="1" s="1"/>
  <c r="AF5563" i="1"/>
  <c r="AG5563" i="1" s="1"/>
  <c r="AF5562" i="1"/>
  <c r="AG5562" i="1" s="1"/>
  <c r="AF5561" i="1"/>
  <c r="AG5561" i="1" s="1"/>
  <c r="AF5560" i="1"/>
  <c r="AG5560" i="1" s="1"/>
  <c r="AF5559" i="1"/>
  <c r="AG5559" i="1" s="1"/>
  <c r="AF5558" i="1"/>
  <c r="AG5558" i="1" s="1"/>
  <c r="AF5557" i="1"/>
  <c r="AG5557" i="1" s="1"/>
  <c r="AF5556" i="1"/>
  <c r="AG5556" i="1" s="1"/>
  <c r="AF5555" i="1"/>
  <c r="AG5555" i="1" s="1"/>
  <c r="AF5554" i="1"/>
  <c r="AG5554" i="1" s="1"/>
  <c r="AF5553" i="1"/>
  <c r="AG5553" i="1" s="1"/>
  <c r="AF5552" i="1"/>
  <c r="AG5552" i="1" s="1"/>
  <c r="AF5551" i="1"/>
  <c r="AG5551" i="1" s="1"/>
  <c r="AF5550" i="1"/>
  <c r="AG5550" i="1" s="1"/>
  <c r="AF5549" i="1"/>
  <c r="AG5549" i="1" s="1"/>
  <c r="AF5548" i="1"/>
  <c r="AG5548" i="1" s="1"/>
  <c r="AF5547" i="1"/>
  <c r="AG5547" i="1" s="1"/>
  <c r="AF5546" i="1"/>
  <c r="AG5546" i="1" s="1"/>
  <c r="AF5545" i="1"/>
  <c r="AG5545" i="1" s="1"/>
  <c r="AF5544" i="1"/>
  <c r="AG5544" i="1" s="1"/>
  <c r="AF5543" i="1"/>
  <c r="AG5543" i="1" s="1"/>
  <c r="AF5542" i="1"/>
  <c r="AG5542" i="1" s="1"/>
  <c r="AF5541" i="1"/>
  <c r="AG5541" i="1" s="1"/>
  <c r="AF5540" i="1"/>
  <c r="AG5540" i="1" s="1"/>
  <c r="AF5539" i="1"/>
  <c r="AG5539" i="1" s="1"/>
  <c r="AF5538" i="1"/>
  <c r="AG5538" i="1" s="1"/>
  <c r="AF5537" i="1"/>
  <c r="AG5537" i="1" s="1"/>
  <c r="AF5536" i="1"/>
  <c r="AG5536" i="1" s="1"/>
  <c r="AF5535" i="1"/>
  <c r="AG5535" i="1" s="1"/>
  <c r="AF5534" i="1"/>
  <c r="AG5534" i="1" s="1"/>
  <c r="AF5533" i="1"/>
  <c r="AG5533" i="1" s="1"/>
  <c r="AF5532" i="1"/>
  <c r="AG5532" i="1" s="1"/>
  <c r="AF5531" i="1"/>
  <c r="AG5531" i="1" s="1"/>
  <c r="AF5530" i="1"/>
  <c r="AG5530" i="1" s="1"/>
  <c r="AF5529" i="1"/>
  <c r="AG5529" i="1" s="1"/>
  <c r="AF5528" i="1"/>
  <c r="AG5528" i="1" s="1"/>
  <c r="AF5527" i="1"/>
  <c r="AG5527" i="1" s="1"/>
  <c r="AF5526" i="1"/>
  <c r="AG5526" i="1" s="1"/>
  <c r="AF5525" i="1"/>
  <c r="AG5525" i="1" s="1"/>
  <c r="AF5524" i="1"/>
  <c r="AG5524" i="1" s="1"/>
  <c r="AF5523" i="1"/>
  <c r="AG5523" i="1" s="1"/>
  <c r="AF5522" i="1"/>
  <c r="AG5522" i="1" s="1"/>
  <c r="AF5521" i="1"/>
  <c r="AG5521" i="1" s="1"/>
  <c r="AF5520" i="1"/>
  <c r="AG5520" i="1" s="1"/>
  <c r="AF5519" i="1"/>
  <c r="AG5519" i="1" s="1"/>
  <c r="AF5518" i="1"/>
  <c r="AG5518" i="1" s="1"/>
  <c r="AF5517" i="1"/>
  <c r="AG5517" i="1" s="1"/>
  <c r="AF5516" i="1"/>
  <c r="AG5516" i="1" s="1"/>
  <c r="AF5515" i="1"/>
  <c r="AG5515" i="1" s="1"/>
  <c r="AF5514" i="1"/>
  <c r="AG5514" i="1" s="1"/>
  <c r="AF5513" i="1"/>
  <c r="AG5513" i="1" s="1"/>
  <c r="AF5512" i="1"/>
  <c r="AG5512" i="1" s="1"/>
  <c r="AF5511" i="1"/>
  <c r="AG5511" i="1" s="1"/>
  <c r="AF5510" i="1"/>
  <c r="AG5510" i="1" s="1"/>
  <c r="AF5509" i="1"/>
  <c r="AG5509" i="1" s="1"/>
  <c r="AF5508" i="1"/>
  <c r="AG5508" i="1" s="1"/>
  <c r="AF5507" i="1"/>
  <c r="AG5507" i="1" s="1"/>
  <c r="AF5506" i="1"/>
  <c r="AG5506" i="1" s="1"/>
  <c r="AF5505" i="1"/>
  <c r="AG5505" i="1" s="1"/>
  <c r="AF5504" i="1"/>
  <c r="AG5504" i="1" s="1"/>
  <c r="AF5503" i="1"/>
  <c r="AG5503" i="1" s="1"/>
  <c r="AF5502" i="1"/>
  <c r="AG5502" i="1" s="1"/>
  <c r="AF5501" i="1"/>
  <c r="AG5501" i="1" s="1"/>
  <c r="AF5500" i="1"/>
  <c r="AG5500" i="1" s="1"/>
  <c r="AF5499" i="1"/>
  <c r="AG5499" i="1" s="1"/>
  <c r="AF5498" i="1"/>
  <c r="AG5498" i="1" s="1"/>
  <c r="AF5497" i="1"/>
  <c r="AG5497" i="1" s="1"/>
  <c r="AF5496" i="1"/>
  <c r="AG5496" i="1" s="1"/>
  <c r="AF5495" i="1"/>
  <c r="AG5495" i="1" s="1"/>
  <c r="AF5494" i="1"/>
  <c r="AG5494" i="1" s="1"/>
  <c r="AF5493" i="1"/>
  <c r="AG5493" i="1" s="1"/>
  <c r="AF5492" i="1"/>
  <c r="AG5492" i="1" s="1"/>
  <c r="AF5491" i="1"/>
  <c r="AG5491" i="1" s="1"/>
  <c r="AF5490" i="1"/>
  <c r="AG5490" i="1" s="1"/>
  <c r="AF5489" i="1"/>
  <c r="AG5489" i="1" s="1"/>
  <c r="AF5488" i="1"/>
  <c r="AG5488" i="1" s="1"/>
  <c r="AF5487" i="1"/>
  <c r="AG5487" i="1" s="1"/>
  <c r="AF5486" i="1"/>
  <c r="AG5486" i="1" s="1"/>
  <c r="AF5485" i="1"/>
  <c r="AG5485" i="1" s="1"/>
  <c r="AF5484" i="1"/>
  <c r="AG5484" i="1" s="1"/>
  <c r="AF5483" i="1"/>
  <c r="AG5483" i="1" s="1"/>
  <c r="AF5482" i="1"/>
  <c r="AG5482" i="1" s="1"/>
  <c r="AF5481" i="1"/>
  <c r="AG5481" i="1" s="1"/>
  <c r="AF5480" i="1"/>
  <c r="AG5480" i="1" s="1"/>
  <c r="AF5479" i="1"/>
  <c r="AG5479" i="1" s="1"/>
  <c r="AF5478" i="1"/>
  <c r="AG5478" i="1" s="1"/>
  <c r="AF5477" i="1"/>
  <c r="AG5477" i="1" s="1"/>
  <c r="AF5476" i="1"/>
  <c r="AG5476" i="1" s="1"/>
  <c r="AF5475" i="1"/>
  <c r="AG5475" i="1" s="1"/>
  <c r="AF5474" i="1"/>
  <c r="AG5474" i="1" s="1"/>
  <c r="AF5473" i="1"/>
  <c r="AG5473" i="1" s="1"/>
  <c r="AF5472" i="1"/>
  <c r="AG5472" i="1" s="1"/>
  <c r="AF5471" i="1"/>
  <c r="AG5471" i="1" s="1"/>
  <c r="AF5470" i="1"/>
  <c r="AG5470" i="1" s="1"/>
  <c r="AF5469" i="1"/>
  <c r="AG5469" i="1" s="1"/>
  <c r="AF5468" i="1"/>
  <c r="AG5468" i="1" s="1"/>
  <c r="AF5467" i="1"/>
  <c r="AG5467" i="1" s="1"/>
  <c r="AF5466" i="1"/>
  <c r="AG5466" i="1" s="1"/>
  <c r="AF5465" i="1"/>
  <c r="AG5465" i="1" s="1"/>
  <c r="AF5464" i="1"/>
  <c r="AG5464" i="1" s="1"/>
  <c r="AF5463" i="1"/>
  <c r="AG5463" i="1" s="1"/>
  <c r="AF5462" i="1"/>
  <c r="AG5462" i="1" s="1"/>
  <c r="AF5461" i="1"/>
  <c r="AG5461" i="1" s="1"/>
  <c r="AF5460" i="1"/>
  <c r="AG5460" i="1" s="1"/>
  <c r="AF5459" i="1"/>
  <c r="AG5459" i="1" s="1"/>
  <c r="AF5458" i="1"/>
  <c r="AG5458" i="1" s="1"/>
  <c r="AF5457" i="1"/>
  <c r="AG5457" i="1" s="1"/>
  <c r="AF5456" i="1"/>
  <c r="AG5456" i="1" s="1"/>
  <c r="AF5455" i="1"/>
  <c r="AG5455" i="1" s="1"/>
  <c r="AF5454" i="1"/>
  <c r="AG5454" i="1" s="1"/>
  <c r="AF5453" i="1"/>
  <c r="AG5453" i="1" s="1"/>
  <c r="AF5452" i="1"/>
  <c r="AG5452" i="1" s="1"/>
  <c r="AF5451" i="1"/>
  <c r="AG5451" i="1" s="1"/>
  <c r="AF5450" i="1"/>
  <c r="AG5450" i="1" s="1"/>
  <c r="AF5449" i="1"/>
  <c r="AG5449" i="1" s="1"/>
  <c r="AF5448" i="1"/>
  <c r="AG5448" i="1" s="1"/>
  <c r="AF5447" i="1"/>
  <c r="AG5447" i="1" s="1"/>
  <c r="AF5446" i="1"/>
  <c r="AG5446" i="1" s="1"/>
  <c r="AF5445" i="1"/>
  <c r="AG5445" i="1" s="1"/>
  <c r="AF5444" i="1"/>
  <c r="AG5444" i="1" s="1"/>
  <c r="AF5443" i="1"/>
  <c r="AG5443" i="1" s="1"/>
  <c r="AF5442" i="1"/>
  <c r="AG5442" i="1" s="1"/>
  <c r="AF5441" i="1"/>
  <c r="AG5441" i="1" s="1"/>
  <c r="AF5440" i="1"/>
  <c r="AG5440" i="1" s="1"/>
  <c r="AF5439" i="1"/>
  <c r="AG5439" i="1" s="1"/>
  <c r="AF5438" i="1"/>
  <c r="AG5438" i="1" s="1"/>
  <c r="AF5437" i="1"/>
  <c r="AG5437" i="1" s="1"/>
  <c r="AF5436" i="1"/>
  <c r="AG5436" i="1" s="1"/>
  <c r="AF5435" i="1"/>
  <c r="AG5435" i="1" s="1"/>
  <c r="AF5434" i="1"/>
  <c r="AG5434" i="1" s="1"/>
  <c r="AF5433" i="1"/>
  <c r="AG5433" i="1" s="1"/>
  <c r="AF5432" i="1"/>
  <c r="AG5432" i="1" s="1"/>
  <c r="AF5431" i="1"/>
  <c r="AG5431" i="1" s="1"/>
  <c r="AF5430" i="1"/>
  <c r="AG5430" i="1" s="1"/>
  <c r="AF5429" i="1"/>
  <c r="AG5429" i="1" s="1"/>
  <c r="AF5428" i="1"/>
  <c r="AG5428" i="1" s="1"/>
  <c r="AF5427" i="1"/>
  <c r="AG5427" i="1" s="1"/>
  <c r="AF5426" i="1"/>
  <c r="AG5426" i="1" s="1"/>
  <c r="AF5425" i="1"/>
  <c r="AG5425" i="1" s="1"/>
  <c r="AF5424" i="1"/>
  <c r="AG5424" i="1" s="1"/>
  <c r="AF5423" i="1"/>
  <c r="AG5423" i="1" s="1"/>
  <c r="AF5422" i="1"/>
  <c r="AG5422" i="1" s="1"/>
  <c r="AF5421" i="1"/>
  <c r="AG5421" i="1" s="1"/>
  <c r="AF5420" i="1"/>
  <c r="AG5420" i="1" s="1"/>
  <c r="AF5419" i="1"/>
  <c r="AG5419" i="1" s="1"/>
  <c r="AF5418" i="1"/>
  <c r="AG5418" i="1" s="1"/>
  <c r="AF5417" i="1"/>
  <c r="AG5417" i="1" s="1"/>
  <c r="AF5416" i="1"/>
  <c r="AG5416" i="1" s="1"/>
  <c r="AF5415" i="1"/>
  <c r="AG5415" i="1" s="1"/>
  <c r="AF5414" i="1"/>
  <c r="AG5414" i="1" s="1"/>
  <c r="AF5413" i="1"/>
  <c r="AG5413" i="1" s="1"/>
  <c r="AF5412" i="1"/>
  <c r="AG5412" i="1" s="1"/>
  <c r="AF5411" i="1"/>
  <c r="AG5411" i="1" s="1"/>
  <c r="AF5410" i="1"/>
  <c r="AG5410" i="1" s="1"/>
  <c r="AF5409" i="1"/>
  <c r="AG5409" i="1" s="1"/>
  <c r="AF5408" i="1"/>
  <c r="AG5408" i="1" s="1"/>
  <c r="AF5407" i="1"/>
  <c r="AG5407" i="1" s="1"/>
  <c r="AF5406" i="1"/>
  <c r="AG5406" i="1" s="1"/>
  <c r="AF5405" i="1"/>
  <c r="AG5405" i="1" s="1"/>
  <c r="AF5404" i="1"/>
  <c r="AG5404" i="1" s="1"/>
  <c r="AF5403" i="1"/>
  <c r="AG5403" i="1" s="1"/>
  <c r="AF5402" i="1"/>
  <c r="AG5402" i="1" s="1"/>
  <c r="AF5401" i="1"/>
  <c r="AG5401" i="1" s="1"/>
  <c r="AF5400" i="1"/>
  <c r="AG5400" i="1" s="1"/>
  <c r="AF5399" i="1"/>
  <c r="AG5399" i="1" s="1"/>
  <c r="AF5398" i="1"/>
  <c r="AG5398" i="1" s="1"/>
  <c r="AF5397" i="1"/>
  <c r="AG5397" i="1" s="1"/>
  <c r="AF5396" i="1"/>
  <c r="AG5396" i="1" s="1"/>
  <c r="AF5395" i="1"/>
  <c r="AG5395" i="1" s="1"/>
  <c r="AF5394" i="1"/>
  <c r="AG5394" i="1" s="1"/>
  <c r="AF5393" i="1"/>
  <c r="AG5393" i="1" s="1"/>
  <c r="AF5392" i="1"/>
  <c r="AG5392" i="1" s="1"/>
  <c r="AF5391" i="1"/>
  <c r="AG5391" i="1" s="1"/>
  <c r="AF5390" i="1"/>
  <c r="AG5390" i="1" s="1"/>
  <c r="AF5389" i="1"/>
  <c r="AG5389" i="1" s="1"/>
  <c r="AF5388" i="1"/>
  <c r="AG5388" i="1" s="1"/>
  <c r="AF5387" i="1"/>
  <c r="AG5387" i="1" s="1"/>
  <c r="AF5386" i="1"/>
  <c r="AG5386" i="1" s="1"/>
  <c r="AF5385" i="1"/>
  <c r="AG5385" i="1" s="1"/>
  <c r="AF5384" i="1"/>
  <c r="AG5384" i="1" s="1"/>
  <c r="AF5383" i="1"/>
  <c r="AG5383" i="1" s="1"/>
  <c r="AF5382" i="1"/>
  <c r="AG5382" i="1" s="1"/>
  <c r="AF5381" i="1"/>
  <c r="AG5381" i="1" s="1"/>
  <c r="AF5380" i="1"/>
  <c r="AG5380" i="1" s="1"/>
  <c r="AF5379" i="1"/>
  <c r="AG5379" i="1" s="1"/>
  <c r="AF5378" i="1"/>
  <c r="AG5378" i="1" s="1"/>
  <c r="AF5377" i="1"/>
  <c r="AG5377" i="1" s="1"/>
  <c r="AF5376" i="1"/>
  <c r="AG5376" i="1" s="1"/>
  <c r="AF5375" i="1"/>
  <c r="AG5375" i="1" s="1"/>
  <c r="AF5374" i="1"/>
  <c r="AG5374" i="1" s="1"/>
  <c r="AF5373" i="1"/>
  <c r="AG5373" i="1" s="1"/>
  <c r="AF5372" i="1"/>
  <c r="AG5372" i="1" s="1"/>
  <c r="AF5371" i="1"/>
  <c r="AG5371" i="1" s="1"/>
  <c r="AF5370" i="1"/>
  <c r="AG5370" i="1" s="1"/>
  <c r="AF5369" i="1"/>
  <c r="AG5369" i="1" s="1"/>
  <c r="AF5368" i="1"/>
  <c r="AG5368" i="1" s="1"/>
  <c r="AF5367" i="1"/>
  <c r="AG5367" i="1" s="1"/>
  <c r="AF5366" i="1"/>
  <c r="AG5366" i="1" s="1"/>
  <c r="AF5365" i="1"/>
  <c r="AG5365" i="1" s="1"/>
  <c r="AF5364" i="1"/>
  <c r="AG5364" i="1" s="1"/>
  <c r="AF5363" i="1"/>
  <c r="AG5363" i="1" s="1"/>
  <c r="AF5362" i="1"/>
  <c r="AG5362" i="1" s="1"/>
  <c r="AF5361" i="1"/>
  <c r="AG5361" i="1" s="1"/>
  <c r="AF5360" i="1"/>
  <c r="AG5360" i="1" s="1"/>
  <c r="AF5359" i="1"/>
  <c r="AG5359" i="1" s="1"/>
  <c r="AF5358" i="1"/>
  <c r="AG5358" i="1" s="1"/>
  <c r="AF5357" i="1"/>
  <c r="AG5357" i="1" s="1"/>
  <c r="AF5356" i="1"/>
  <c r="AG5356" i="1" s="1"/>
  <c r="AF5355" i="1"/>
  <c r="AG5355" i="1" s="1"/>
  <c r="AF5354" i="1"/>
  <c r="AG5354" i="1" s="1"/>
  <c r="BI5353" i="1"/>
  <c r="AF5352" i="1"/>
  <c r="AD5352" i="1" s="1"/>
  <c r="O5352" i="1" s="1"/>
  <c r="AF5351" i="1"/>
  <c r="AD5351" i="1" s="1"/>
  <c r="O5351" i="1" s="1"/>
  <c r="AF5350" i="1"/>
  <c r="AD5350" i="1" s="1"/>
  <c r="O5350" i="1" s="1"/>
  <c r="AF5349" i="1"/>
  <c r="AD5349" i="1" s="1"/>
  <c r="O5349" i="1" s="1"/>
  <c r="AF5348" i="1"/>
  <c r="AD5348" i="1" s="1"/>
  <c r="O5348" i="1" s="1"/>
  <c r="AF5347" i="1"/>
  <c r="AD5347" i="1" s="1"/>
  <c r="O5347" i="1" s="1"/>
  <c r="AF5346" i="1"/>
  <c r="AD5346" i="1" s="1"/>
  <c r="O5346" i="1" s="1"/>
  <c r="AF5345" i="1"/>
  <c r="AD5345" i="1" s="1"/>
  <c r="O5345" i="1" s="1"/>
  <c r="AF5344" i="1"/>
  <c r="AD5344" i="1" s="1"/>
  <c r="O5344" i="1" s="1"/>
  <c r="AF5343" i="1"/>
  <c r="AD5343" i="1" s="1"/>
  <c r="O5343" i="1" s="1"/>
  <c r="AF5342" i="1"/>
  <c r="AD5342" i="1" s="1"/>
  <c r="O5342" i="1" s="1"/>
  <c r="AF5341" i="1"/>
  <c r="AD5341" i="1" s="1"/>
  <c r="O5341" i="1" s="1"/>
  <c r="AF5340" i="1"/>
  <c r="AD5340" i="1" s="1"/>
  <c r="AF5339" i="1"/>
  <c r="AD5339" i="1" s="1"/>
  <c r="O5339" i="1" s="1"/>
  <c r="AF5338" i="1"/>
  <c r="AD5338" i="1" s="1"/>
  <c r="O5338" i="1" s="1"/>
  <c r="AF5337" i="1"/>
  <c r="AD5337" i="1" s="1"/>
  <c r="O5337" i="1" s="1"/>
  <c r="AF5336" i="1"/>
  <c r="AD5336" i="1" s="1"/>
  <c r="O5336" i="1" s="1"/>
  <c r="AF5335" i="1"/>
  <c r="AD5335" i="1" s="1"/>
  <c r="O5335" i="1" s="1"/>
  <c r="AF5334" i="1"/>
  <c r="AD5334" i="1" s="1"/>
  <c r="O5334" i="1" s="1"/>
  <c r="AF5333" i="1"/>
  <c r="AD5333" i="1" s="1"/>
  <c r="O5333" i="1" s="1"/>
  <c r="AF5332" i="1"/>
  <c r="AD5332" i="1" s="1"/>
  <c r="O5332" i="1" s="1"/>
  <c r="AF5331" i="1"/>
  <c r="AD5331" i="1" s="1"/>
  <c r="O5331" i="1" s="1"/>
  <c r="AF5330" i="1"/>
  <c r="AD5330" i="1" s="1"/>
  <c r="O5330" i="1" s="1"/>
  <c r="AF5329" i="1"/>
  <c r="AD5329" i="1" s="1"/>
  <c r="O5329" i="1" s="1"/>
  <c r="AF5328" i="1"/>
  <c r="AD5328" i="1" s="1"/>
  <c r="O5328" i="1" s="1"/>
  <c r="AF5327" i="1"/>
  <c r="AD5327" i="1" s="1"/>
  <c r="O5327" i="1" s="1"/>
  <c r="AF5326" i="1"/>
  <c r="AD5326" i="1" s="1"/>
  <c r="O5326" i="1" s="1"/>
  <c r="AF5325" i="1"/>
  <c r="AD5325" i="1" s="1"/>
  <c r="O5325" i="1" s="1"/>
  <c r="AF5324" i="1"/>
  <c r="AD5324" i="1" s="1"/>
  <c r="O5324" i="1" s="1"/>
  <c r="AF5323" i="1"/>
  <c r="AD5323" i="1" s="1"/>
  <c r="O5323" i="1" s="1"/>
  <c r="AF5322" i="1"/>
  <c r="AD5322" i="1" s="1"/>
  <c r="O5322" i="1" s="1"/>
  <c r="AF5321" i="1"/>
  <c r="AD5321" i="1" s="1"/>
  <c r="O5321" i="1" s="1"/>
  <c r="AF5320" i="1"/>
  <c r="AD5320" i="1" s="1"/>
  <c r="O5320" i="1" s="1"/>
  <c r="AF5319" i="1"/>
  <c r="AD5319" i="1" s="1"/>
  <c r="O5319" i="1" s="1"/>
  <c r="AF5318" i="1"/>
  <c r="AD5318" i="1" s="1"/>
  <c r="O5318" i="1" s="1"/>
  <c r="AF5317" i="1"/>
  <c r="AD5317" i="1" s="1"/>
  <c r="O5317" i="1" s="1"/>
  <c r="AF5316" i="1"/>
  <c r="AD5316" i="1" s="1"/>
  <c r="O5316" i="1" s="1"/>
  <c r="AF5315" i="1"/>
  <c r="AD5315" i="1" s="1"/>
  <c r="O5315" i="1" s="1"/>
  <c r="AF5314" i="1"/>
  <c r="AD5314" i="1" s="1"/>
  <c r="O5314" i="1" s="1"/>
  <c r="AF5313" i="1"/>
  <c r="AD5313" i="1" s="1"/>
  <c r="O5313" i="1" s="1"/>
  <c r="AF5312" i="1"/>
  <c r="AD5312" i="1" s="1"/>
  <c r="O5312" i="1" s="1"/>
  <c r="AF5311" i="1"/>
  <c r="AD5311" i="1" s="1"/>
  <c r="O5311" i="1" s="1"/>
  <c r="AF5310" i="1"/>
  <c r="AD5310" i="1" s="1"/>
  <c r="O5310" i="1" s="1"/>
  <c r="AF5309" i="1"/>
  <c r="AD5309" i="1" s="1"/>
  <c r="O5309" i="1" s="1"/>
  <c r="AF5308" i="1"/>
  <c r="AD5308" i="1" s="1"/>
  <c r="O5308" i="1" s="1"/>
  <c r="AF5307" i="1"/>
  <c r="AD5307" i="1" s="1"/>
  <c r="O5307" i="1" s="1"/>
  <c r="AF5306" i="1"/>
  <c r="AD5306" i="1" s="1"/>
  <c r="O5306" i="1" s="1"/>
  <c r="AF5305" i="1"/>
  <c r="AD5305" i="1" s="1"/>
  <c r="O5305" i="1" s="1"/>
  <c r="AF5304" i="1"/>
  <c r="AD5304" i="1" s="1"/>
  <c r="O5304" i="1" s="1"/>
  <c r="AF5303" i="1"/>
  <c r="AD5303" i="1" s="1"/>
  <c r="O5303" i="1" s="1"/>
  <c r="AF5302" i="1"/>
  <c r="AD5302" i="1" s="1"/>
  <c r="O5302" i="1" s="1"/>
  <c r="AF5301" i="1"/>
  <c r="AD5301" i="1" s="1"/>
  <c r="O5301" i="1" s="1"/>
  <c r="AF5300" i="1"/>
  <c r="AD5300" i="1" s="1"/>
  <c r="O5300" i="1" s="1"/>
  <c r="AF5299" i="1"/>
  <c r="AD5299" i="1" s="1"/>
  <c r="O5299" i="1" s="1"/>
  <c r="AF5298" i="1"/>
  <c r="AD5298" i="1" s="1"/>
  <c r="O5298" i="1" s="1"/>
  <c r="BO5297" i="1"/>
  <c r="BN5297" i="1"/>
  <c r="BI5297" i="1"/>
  <c r="BQ5257" i="1"/>
  <c r="BP5257" i="1"/>
  <c r="BM5257" i="1"/>
  <c r="BI5257" i="1"/>
  <c r="BQ5209" i="1"/>
  <c r="BP5209" i="1"/>
  <c r="BI5209" i="1"/>
  <c r="BQ5153" i="1"/>
  <c r="BP5153" i="1"/>
  <c r="BI5153" i="1"/>
  <c r="R5148" i="1"/>
  <c r="Q5145" i="1"/>
  <c r="R5144" i="1"/>
  <c r="Q5144" i="1"/>
  <c r="S5143" i="1"/>
  <c r="R5143" i="1"/>
  <c r="Q5143" i="1"/>
  <c r="S5142" i="1"/>
  <c r="R5142" i="1"/>
  <c r="Q5142" i="1"/>
  <c r="U5140" i="1"/>
  <c r="T5140" i="1"/>
  <c r="S5140" i="1"/>
  <c r="R5139" i="1"/>
  <c r="Q5139" i="1"/>
  <c r="Q5138" i="1"/>
  <c r="R5137" i="1"/>
  <c r="S5136" i="1"/>
  <c r="R5136" i="1"/>
  <c r="Q5136" i="1"/>
  <c r="R5135" i="1"/>
  <c r="Q5135" i="1"/>
  <c r="R5134" i="1"/>
  <c r="Q5134" i="1"/>
  <c r="R5133" i="1"/>
  <c r="Q5133" i="1"/>
  <c r="R5132" i="1"/>
  <c r="Q5132" i="1"/>
  <c r="S5131" i="1"/>
  <c r="R5131" i="1"/>
  <c r="Q5131" i="1"/>
  <c r="S5130" i="1"/>
  <c r="R5130" i="1"/>
  <c r="S5129" i="1"/>
  <c r="R5129" i="1"/>
  <c r="Q5129" i="1"/>
  <c r="S5128" i="1"/>
  <c r="Q5128" i="1"/>
  <c r="BO5127" i="1"/>
  <c r="BN5127" i="1"/>
  <c r="G5127" i="1"/>
  <c r="Q5126" i="1"/>
  <c r="Q5125" i="1"/>
  <c r="Q5112" i="1"/>
  <c r="Q5109" i="1"/>
  <c r="Q5108" i="1"/>
  <c r="Q5104" i="1"/>
  <c r="Q5098" i="1"/>
  <c r="Q5097" i="1"/>
  <c r="Q5093" i="1"/>
  <c r="Q5091" i="1"/>
  <c r="BO5089" i="1"/>
  <c r="BN5089" i="1"/>
  <c r="BI5089" i="1"/>
  <c r="U5088" i="1"/>
  <c r="U5087" i="1"/>
  <c r="U5086" i="1"/>
  <c r="U5085" i="1"/>
  <c r="U5084" i="1"/>
  <c r="U5083" i="1"/>
  <c r="U5082" i="1"/>
  <c r="U5081" i="1"/>
  <c r="U5080" i="1"/>
  <c r="U5079" i="1"/>
  <c r="U5078" i="1"/>
  <c r="U5077" i="1"/>
  <c r="U5076" i="1"/>
  <c r="U5075" i="1"/>
  <c r="U5074" i="1"/>
  <c r="U5073" i="1"/>
  <c r="U5072" i="1"/>
  <c r="U5071" i="1"/>
  <c r="U5070" i="1"/>
  <c r="U5069" i="1"/>
  <c r="U5068" i="1"/>
  <c r="U5067" i="1"/>
  <c r="U5066" i="1"/>
  <c r="U5065" i="1"/>
  <c r="U5064" i="1"/>
  <c r="U5063" i="1"/>
  <c r="U5062" i="1"/>
  <c r="U5061" i="1"/>
  <c r="U5060" i="1"/>
  <c r="U5059" i="1"/>
  <c r="U5058" i="1"/>
  <c r="U5057" i="1"/>
  <c r="U5056" i="1"/>
  <c r="U5055" i="1"/>
  <c r="U5054" i="1"/>
  <c r="U5053" i="1"/>
  <c r="U5052" i="1"/>
  <c r="U5051" i="1"/>
  <c r="U5050" i="1"/>
  <c r="U5049" i="1"/>
  <c r="U5048" i="1"/>
  <c r="U5047" i="1"/>
  <c r="U5046" i="1"/>
  <c r="U5045" i="1"/>
  <c r="U5044" i="1"/>
  <c r="U5043" i="1"/>
  <c r="U5042" i="1"/>
  <c r="U5041" i="1"/>
  <c r="U5040" i="1"/>
  <c r="U5039" i="1"/>
  <c r="U5038" i="1"/>
  <c r="U5037" i="1"/>
  <c r="U5036" i="1"/>
  <c r="U5035" i="1"/>
  <c r="U5034" i="1"/>
  <c r="U5033" i="1"/>
  <c r="U5032" i="1"/>
  <c r="U5031" i="1"/>
  <c r="U5030" i="1"/>
  <c r="U5029" i="1"/>
  <c r="U5028" i="1"/>
  <c r="U5027" i="1"/>
  <c r="U5026" i="1"/>
  <c r="U5025" i="1"/>
  <c r="U5024" i="1"/>
  <c r="U5023" i="1"/>
  <c r="U5022" i="1"/>
  <c r="U5021" i="1"/>
  <c r="U5020" i="1"/>
  <c r="U5019" i="1"/>
  <c r="U5018" i="1"/>
  <c r="U5017" i="1"/>
  <c r="U5016" i="1"/>
  <c r="U5015" i="1"/>
  <c r="U5014" i="1"/>
  <c r="U5013" i="1"/>
  <c r="U5012" i="1"/>
  <c r="U5011" i="1"/>
  <c r="U5010" i="1"/>
  <c r="U5009" i="1"/>
  <c r="U5008" i="1"/>
  <c r="U5007" i="1"/>
  <c r="BQ5006" i="1"/>
  <c r="U5006" i="1"/>
  <c r="BQ5005" i="1"/>
  <c r="U5005" i="1"/>
  <c r="BQ5004" i="1"/>
  <c r="U5004" i="1"/>
  <c r="BI5003" i="1"/>
  <c r="R5002" i="1"/>
  <c r="R5001" i="1"/>
  <c r="R4999" i="1"/>
  <c r="R4992" i="1"/>
  <c r="R4991" i="1"/>
  <c r="R4990" i="1"/>
  <c r="R4989" i="1"/>
  <c r="R4985" i="1"/>
  <c r="R4984" i="1"/>
  <c r="R4983" i="1"/>
  <c r="R4982" i="1"/>
  <c r="R4972" i="1"/>
  <c r="R4970" i="1"/>
  <c r="R4969" i="1"/>
  <c r="R4968" i="1"/>
  <c r="R4967" i="1"/>
  <c r="R4966" i="1"/>
  <c r="R4955" i="1"/>
  <c r="BQ4954" i="1"/>
  <c r="BP4954" i="1"/>
  <c r="BI4954" i="1"/>
  <c r="AD4953" i="1"/>
  <c r="AD4952" i="1"/>
  <c r="AD4951" i="1"/>
  <c r="AD4950" i="1"/>
  <c r="AD4949" i="1"/>
  <c r="AD4948" i="1"/>
  <c r="AD4947" i="1"/>
  <c r="AD4946" i="1"/>
  <c r="AD4945" i="1"/>
  <c r="AD4944" i="1"/>
  <c r="AD4943" i="1"/>
  <c r="AD4942" i="1"/>
  <c r="AD4941" i="1"/>
  <c r="AD4940" i="1"/>
  <c r="AD4939" i="1"/>
  <c r="AD4938" i="1"/>
  <c r="AD4937" i="1"/>
  <c r="AD4936" i="1"/>
  <c r="AD4935" i="1"/>
  <c r="AD4934" i="1"/>
  <c r="AD4933" i="1"/>
  <c r="BI4932" i="1"/>
  <c r="AD4932" i="1"/>
  <c r="BQ4931" i="1"/>
  <c r="BI4931" i="1"/>
  <c r="G4931" i="1"/>
  <c r="AD4930" i="1"/>
  <c r="AD4929" i="1"/>
  <c r="AD4928" i="1"/>
  <c r="AD4927" i="1"/>
  <c r="AD4926" i="1"/>
  <c r="AD4925" i="1"/>
  <c r="AD4924" i="1"/>
  <c r="AD4923" i="1"/>
  <c r="AD4922" i="1"/>
  <c r="AD4921" i="1"/>
  <c r="AD4920" i="1"/>
  <c r="AD4919" i="1"/>
  <c r="AD4918" i="1"/>
  <c r="AD4917" i="1"/>
  <c r="AD4916" i="1"/>
  <c r="AD4915" i="1"/>
  <c r="AD4914" i="1"/>
  <c r="AD4913" i="1"/>
  <c r="AD4912" i="1"/>
  <c r="AD4911" i="1"/>
  <c r="AD4910" i="1"/>
  <c r="AD4909" i="1"/>
  <c r="AD4908" i="1"/>
  <c r="AD4907" i="1"/>
  <c r="AD4906" i="1"/>
  <c r="BI4905" i="1"/>
  <c r="AD4905" i="1"/>
  <c r="BP4904" i="1"/>
  <c r="BO4904" i="1"/>
  <c r="BN4904" i="1"/>
  <c r="BM4904" i="1"/>
  <c r="BI4904" i="1"/>
  <c r="G4904" i="1"/>
  <c r="BI4884" i="1"/>
  <c r="BP4883" i="1"/>
  <c r="BO4883" i="1"/>
  <c r="BN4883" i="1"/>
  <c r="BM4883" i="1"/>
  <c r="BI4883" i="1"/>
  <c r="G4883" i="1"/>
  <c r="AD4882" i="1"/>
  <c r="AD4881" i="1"/>
  <c r="AD4880" i="1"/>
  <c r="AD4879" i="1"/>
  <c r="AD4878" i="1"/>
  <c r="AD4877" i="1"/>
  <c r="AD4876" i="1"/>
  <c r="AD4875" i="1"/>
  <c r="AD4874" i="1"/>
  <c r="AD4873" i="1"/>
  <c r="AD4872" i="1"/>
  <c r="AD4871" i="1"/>
  <c r="AD4870" i="1"/>
  <c r="AD4869" i="1"/>
  <c r="AD4868" i="1"/>
  <c r="AD4867" i="1"/>
  <c r="BI4866" i="1"/>
  <c r="AD4866" i="1"/>
  <c r="BP4865" i="1"/>
  <c r="BM4865" i="1"/>
  <c r="BI4865" i="1"/>
  <c r="G4865" i="1"/>
  <c r="AD4864" i="1"/>
  <c r="AD4863" i="1"/>
  <c r="AD4862" i="1"/>
  <c r="AD4861" i="1"/>
  <c r="AD4860" i="1"/>
  <c r="AD4859" i="1"/>
  <c r="AD4858" i="1"/>
  <c r="AD4857" i="1"/>
  <c r="AD4856" i="1"/>
  <c r="AD4855" i="1"/>
  <c r="AD4854" i="1"/>
  <c r="AD4853" i="1"/>
  <c r="BI4852" i="1"/>
  <c r="AD4852" i="1"/>
  <c r="BP4851" i="1"/>
  <c r="BO4851" i="1"/>
  <c r="BN4851" i="1"/>
  <c r="BM4851" i="1"/>
  <c r="BI4851" i="1"/>
  <c r="G4851" i="1"/>
  <c r="AD4850" i="1"/>
  <c r="AD4849" i="1"/>
  <c r="AD4848" i="1"/>
  <c r="AD4847" i="1"/>
  <c r="AD4846" i="1"/>
  <c r="AD4845" i="1"/>
  <c r="AD4844" i="1"/>
  <c r="AD4843" i="1"/>
  <c r="AD4842" i="1"/>
  <c r="AD4841" i="1"/>
  <c r="BI4840" i="1"/>
  <c r="AD4840" i="1"/>
  <c r="BM4839" i="1"/>
  <c r="BI4839" i="1"/>
  <c r="G4839" i="1"/>
  <c r="AD4838" i="1"/>
  <c r="AD4837" i="1"/>
  <c r="AD4836" i="1"/>
  <c r="AD4835" i="1"/>
  <c r="AD4834" i="1"/>
  <c r="AD4833" i="1"/>
  <c r="AD4832" i="1"/>
  <c r="AD4831" i="1"/>
  <c r="AD4830" i="1"/>
  <c r="AD4829" i="1"/>
  <c r="BI4828" i="1"/>
  <c r="AD4828" i="1"/>
  <c r="BM4827" i="1"/>
  <c r="BI4827" i="1"/>
  <c r="G4827" i="1"/>
  <c r="AD4826" i="1"/>
  <c r="AD4825" i="1"/>
  <c r="AD4824" i="1"/>
  <c r="AD4823" i="1"/>
  <c r="AD4822" i="1"/>
  <c r="AD4821" i="1"/>
  <c r="AD4820" i="1"/>
  <c r="AD4819" i="1"/>
  <c r="AD4818" i="1"/>
  <c r="AD4817" i="1"/>
  <c r="AD4816" i="1"/>
  <c r="BI4815" i="1"/>
  <c r="AD4815" i="1"/>
  <c r="BP4814" i="1"/>
  <c r="BM4814" i="1"/>
  <c r="BI4814" i="1"/>
  <c r="BQ4535" i="1"/>
  <c r="BI4535" i="1"/>
  <c r="BQ4368" i="1"/>
  <c r="BI4368" i="1"/>
  <c r="BI4284" i="1"/>
  <c r="BQ4283" i="1"/>
  <c r="BI4283" i="1"/>
  <c r="BI4191" i="1"/>
  <c r="BO4190" i="1"/>
  <c r="BN4190" i="1"/>
  <c r="BI4190" i="1"/>
  <c r="BQ4096" i="1"/>
  <c r="BQ3965" i="1"/>
  <c r="BI3965" i="1"/>
  <c r="BQ3760" i="1"/>
  <c r="BI3760" i="1"/>
  <c r="BQ3687" i="1"/>
  <c r="BI3687" i="1"/>
  <c r="BQ3614" i="1"/>
  <c r="BI3614" i="1"/>
  <c r="BI3553" i="1"/>
  <c r="BQ3552" i="1"/>
  <c r="BI3552" i="1"/>
  <c r="BI3502" i="1"/>
  <c r="BI3501" i="1"/>
  <c r="BI3441" i="1"/>
  <c r="BI3440" i="1"/>
  <c r="BQ3249" i="1"/>
  <c r="BI3249" i="1"/>
  <c r="BQ3176" i="1"/>
  <c r="BI3176" i="1"/>
  <c r="BI3112" i="1"/>
  <c r="BQ3111" i="1"/>
  <c r="BP3111" i="1"/>
  <c r="BI3111" i="1"/>
  <c r="BQ2811" i="1"/>
  <c r="BI2811" i="1"/>
  <c r="BQ2698" i="1"/>
  <c r="BI2698" i="1"/>
  <c r="BQ2625" i="1"/>
  <c r="BI2625" i="1"/>
  <c r="BQ2467" i="1"/>
  <c r="BI2467" i="1"/>
  <c r="BI2389" i="1"/>
  <c r="BO2388" i="1"/>
  <c r="BN2388" i="1"/>
  <c r="BI2388" i="1"/>
  <c r="BQ2315" i="1"/>
  <c r="BO2199" i="1"/>
  <c r="BN2199" i="1"/>
  <c r="BI2199" i="1"/>
  <c r="BQ2126" i="1"/>
  <c r="AG2037" i="1"/>
  <c r="AF2037" i="1"/>
  <c r="AE2037" i="1"/>
  <c r="AD2037" i="1"/>
  <c r="AG2036" i="1"/>
  <c r="AF2036" i="1"/>
  <c r="AE2036" i="1"/>
  <c r="AD2036" i="1"/>
  <c r="AG2035" i="1"/>
  <c r="AF2035" i="1"/>
  <c r="AE2035" i="1"/>
  <c r="AD2035" i="1"/>
  <c r="AG2034" i="1"/>
  <c r="AF2034" i="1"/>
  <c r="AE2034" i="1"/>
  <c r="AD2034" i="1"/>
  <c r="AG2033" i="1"/>
  <c r="AF2033" i="1"/>
  <c r="AE2033" i="1"/>
  <c r="AD2033" i="1"/>
  <c r="AG2032" i="1"/>
  <c r="AF2032" i="1"/>
  <c r="AE2032" i="1"/>
  <c r="AD2032" i="1"/>
  <c r="AG2031" i="1"/>
  <c r="AF2031" i="1"/>
  <c r="AE2031" i="1"/>
  <c r="AD2031" i="1"/>
  <c r="AG2030" i="1"/>
  <c r="AF2030" i="1"/>
  <c r="AE2030" i="1"/>
  <c r="AD2030" i="1"/>
  <c r="AG2029" i="1"/>
  <c r="AF2029" i="1"/>
  <c r="AE2029" i="1"/>
  <c r="AD2029" i="1"/>
  <c r="AG2028" i="1"/>
  <c r="AF2028" i="1"/>
  <c r="AE2028" i="1"/>
  <c r="AD2028" i="1"/>
  <c r="AG2027" i="1"/>
  <c r="AF2027" i="1"/>
  <c r="AE2027" i="1"/>
  <c r="AD2027" i="1"/>
  <c r="AG2026" i="1"/>
  <c r="AF2026" i="1"/>
  <c r="AE2026" i="1"/>
  <c r="AD2026" i="1"/>
  <c r="AG2025" i="1"/>
  <c r="AF2025" i="1"/>
  <c r="AE2025" i="1"/>
  <c r="AD2025" i="1"/>
  <c r="AG2024" i="1"/>
  <c r="AF2024" i="1"/>
  <c r="AE2024" i="1"/>
  <c r="AD2024" i="1"/>
  <c r="AG2023" i="1"/>
  <c r="AF2023" i="1"/>
  <c r="AE2023" i="1"/>
  <c r="AD2023" i="1"/>
  <c r="AG2022" i="1"/>
  <c r="AF2022" i="1"/>
  <c r="AE2022" i="1"/>
  <c r="AD2022" i="1"/>
  <c r="AG2021" i="1"/>
  <c r="AF2021" i="1"/>
  <c r="AE2021" i="1"/>
  <c r="AD2021" i="1"/>
  <c r="AG2020" i="1"/>
  <c r="AF2020" i="1"/>
  <c r="AE2020" i="1"/>
  <c r="AD2020" i="1"/>
  <c r="AG2019" i="1"/>
  <c r="AF2019" i="1"/>
  <c r="AE2019" i="1"/>
  <c r="AD2019" i="1"/>
  <c r="AG2018" i="1"/>
  <c r="AF2018" i="1"/>
  <c r="AE2018" i="1"/>
  <c r="AD2018" i="1"/>
  <c r="AG2017" i="1"/>
  <c r="AF2017" i="1"/>
  <c r="AE2017" i="1"/>
  <c r="AD2017" i="1"/>
  <c r="AG2016" i="1"/>
  <c r="AF2016" i="1"/>
  <c r="AE2016" i="1"/>
  <c r="AD2016" i="1"/>
  <c r="AG2015" i="1"/>
  <c r="AF2015" i="1"/>
  <c r="AE2015" i="1"/>
  <c r="AD2015" i="1"/>
  <c r="AG2014" i="1"/>
  <c r="AF2014" i="1"/>
  <c r="AE2014" i="1"/>
  <c r="AD2014" i="1"/>
  <c r="AG2013" i="1"/>
  <c r="AF2013" i="1"/>
  <c r="AE2013" i="1"/>
  <c r="AD2013" i="1"/>
  <c r="AG2012" i="1"/>
  <c r="AF2012" i="1"/>
  <c r="AE2012" i="1"/>
  <c r="AD2012" i="1"/>
  <c r="AG2011" i="1"/>
  <c r="AF2011" i="1"/>
  <c r="AE2011" i="1"/>
  <c r="AD2011" i="1"/>
  <c r="AG2010" i="1"/>
  <c r="AF2010" i="1"/>
  <c r="AE2010" i="1"/>
  <c r="AD2010" i="1"/>
  <c r="AG2009" i="1"/>
  <c r="AF2009" i="1"/>
  <c r="AE2009" i="1"/>
  <c r="AD2009" i="1"/>
  <c r="AG2008" i="1"/>
  <c r="AF2008" i="1"/>
  <c r="AE2008" i="1"/>
  <c r="AD2008" i="1"/>
  <c r="AG2007" i="1"/>
  <c r="AF2007" i="1"/>
  <c r="AE2007" i="1"/>
  <c r="AD2007" i="1"/>
  <c r="AG2006" i="1"/>
  <c r="AF2006" i="1"/>
  <c r="AE2006" i="1"/>
  <c r="AD2006" i="1"/>
  <c r="AG2005" i="1"/>
  <c r="AF2005" i="1"/>
  <c r="AE2005" i="1"/>
  <c r="AD2005" i="1"/>
  <c r="AG2004" i="1"/>
  <c r="AF2004" i="1"/>
  <c r="AE2004" i="1"/>
  <c r="AD2004" i="1"/>
  <c r="S2004" i="1"/>
  <c r="AG2003" i="1"/>
  <c r="AF2003" i="1"/>
  <c r="AE2003" i="1"/>
  <c r="AD2003" i="1"/>
  <c r="AG2002" i="1"/>
  <c r="AF2002" i="1"/>
  <c r="AE2002" i="1"/>
  <c r="AD2002" i="1"/>
  <c r="AG2001" i="1"/>
  <c r="AF2001" i="1"/>
  <c r="AE2001" i="1"/>
  <c r="AD2001" i="1"/>
  <c r="AG2000" i="1"/>
  <c r="AF2000" i="1"/>
  <c r="AE2000" i="1"/>
  <c r="AD2000" i="1"/>
  <c r="AG1999" i="1"/>
  <c r="AF1999" i="1"/>
  <c r="AE1999" i="1"/>
  <c r="AD1999" i="1"/>
  <c r="AG1998" i="1"/>
  <c r="AF1998" i="1"/>
  <c r="AE1998" i="1"/>
  <c r="AD1998" i="1"/>
  <c r="AG1997" i="1"/>
  <c r="AF1997" i="1"/>
  <c r="AE1997" i="1"/>
  <c r="AD1997" i="1"/>
  <c r="AG1996" i="1"/>
  <c r="AF1996" i="1"/>
  <c r="AE1996" i="1"/>
  <c r="AD1996" i="1"/>
  <c r="AG1959" i="1"/>
  <c r="J1959" i="1"/>
  <c r="AG1958" i="1"/>
  <c r="J1958" i="1"/>
  <c r="AG1957" i="1"/>
  <c r="J1957" i="1"/>
  <c r="AG1956" i="1"/>
  <c r="J1956" i="1"/>
  <c r="AG1955" i="1"/>
  <c r="J1955" i="1"/>
  <c r="AG1954" i="1"/>
  <c r="J1954" i="1"/>
  <c r="AG1953" i="1"/>
  <c r="J1953" i="1"/>
  <c r="AG1952" i="1"/>
  <c r="J1952" i="1"/>
  <c r="AG1951" i="1"/>
  <c r="J1951" i="1"/>
  <c r="J1950" i="1"/>
  <c r="AG1949" i="1"/>
  <c r="J1949" i="1"/>
  <c r="AG1948" i="1"/>
  <c r="J1948" i="1"/>
  <c r="AG1947" i="1"/>
  <c r="J1947" i="1"/>
  <c r="AG1946" i="1"/>
  <c r="J1946" i="1"/>
  <c r="AG1945" i="1"/>
  <c r="J1945" i="1"/>
  <c r="AG1944" i="1"/>
  <c r="J1944" i="1"/>
  <c r="AG1943" i="1"/>
  <c r="J1943" i="1"/>
  <c r="AG1942" i="1"/>
  <c r="J1942" i="1"/>
  <c r="AG1941" i="1"/>
  <c r="J1941" i="1"/>
  <c r="AG1940" i="1"/>
  <c r="J1940" i="1"/>
  <c r="AG1939" i="1"/>
  <c r="J1939" i="1"/>
  <c r="AG1938" i="1"/>
  <c r="J1938" i="1"/>
  <c r="J1937" i="1"/>
  <c r="J1936" i="1"/>
  <c r="AG1935" i="1"/>
  <c r="J1935" i="1"/>
  <c r="J1934" i="1"/>
  <c r="J1933" i="1"/>
  <c r="J1932" i="1"/>
  <c r="J1931" i="1"/>
  <c r="AG1930" i="1"/>
  <c r="J1930" i="1"/>
  <c r="AG1929" i="1"/>
  <c r="J1929" i="1"/>
  <c r="AG1928" i="1"/>
  <c r="J1928" i="1"/>
  <c r="AG1927" i="1"/>
  <c r="J1927" i="1"/>
  <c r="AG1926" i="1"/>
  <c r="J1926" i="1"/>
  <c r="AG1925" i="1"/>
  <c r="J1925" i="1"/>
  <c r="AG1924" i="1"/>
  <c r="J1924" i="1"/>
  <c r="AG1923" i="1"/>
  <c r="J1923" i="1"/>
  <c r="AG1922" i="1"/>
  <c r="J1922" i="1"/>
  <c r="AG1921" i="1"/>
  <c r="J1921" i="1"/>
  <c r="AG1920" i="1"/>
  <c r="J1920" i="1"/>
  <c r="AG1919" i="1"/>
  <c r="J1919" i="1"/>
  <c r="AG1918" i="1"/>
  <c r="J1918" i="1"/>
  <c r="AG1917" i="1"/>
  <c r="J1917" i="1"/>
  <c r="AG1916" i="1"/>
  <c r="J1916" i="1"/>
  <c r="AG1915" i="1"/>
  <c r="J1915" i="1"/>
  <c r="J1914" i="1"/>
  <c r="AG1913" i="1"/>
  <c r="J1913" i="1"/>
  <c r="AG1912" i="1"/>
  <c r="J1912" i="1"/>
  <c r="AG1911" i="1"/>
  <c r="J1911" i="1"/>
  <c r="AG1910" i="1"/>
  <c r="J1910" i="1"/>
  <c r="AG1909" i="1"/>
  <c r="J1909" i="1"/>
  <c r="AG1908" i="1"/>
  <c r="J1908" i="1"/>
  <c r="AG1907" i="1"/>
  <c r="J1907" i="1"/>
  <c r="AG1906" i="1"/>
  <c r="J1906" i="1"/>
  <c r="AG1905" i="1"/>
  <c r="J1905" i="1"/>
  <c r="AG1904" i="1"/>
  <c r="J1904" i="1"/>
  <c r="AG1903" i="1"/>
  <c r="J1903" i="1"/>
  <c r="AG1902" i="1"/>
  <c r="J1902" i="1"/>
  <c r="AG1901" i="1"/>
  <c r="J1901" i="1"/>
  <c r="AG1900" i="1"/>
  <c r="J1900" i="1"/>
  <c r="AG1899" i="1"/>
  <c r="J1899" i="1"/>
  <c r="AG1898" i="1"/>
  <c r="J1898" i="1"/>
  <c r="AG1897" i="1"/>
  <c r="J1897" i="1"/>
  <c r="AG1896" i="1"/>
  <c r="J1896" i="1"/>
  <c r="AG1895" i="1"/>
  <c r="J1895" i="1"/>
  <c r="J1894" i="1"/>
  <c r="J1893" i="1"/>
  <c r="J1892" i="1"/>
  <c r="J1891" i="1"/>
  <c r="J1890" i="1"/>
  <c r="J1889" i="1"/>
  <c r="J1888" i="1"/>
  <c r="J1887" i="1"/>
  <c r="J1886" i="1"/>
  <c r="J1885" i="1"/>
  <c r="J1884" i="1"/>
  <c r="J1883" i="1"/>
  <c r="J1882" i="1"/>
  <c r="AG1881" i="1"/>
  <c r="J1881" i="1"/>
  <c r="AG1880" i="1"/>
  <c r="J1880" i="1"/>
  <c r="AG1879" i="1"/>
  <c r="J1879" i="1"/>
  <c r="AG1878" i="1"/>
  <c r="J1878" i="1"/>
  <c r="AG1877" i="1"/>
  <c r="J1877" i="1"/>
  <c r="AG1876" i="1"/>
  <c r="J1876" i="1"/>
  <c r="AG1875" i="1"/>
  <c r="J1875" i="1"/>
  <c r="AG1874" i="1"/>
  <c r="J1874" i="1"/>
  <c r="AG1873" i="1"/>
  <c r="J1873" i="1"/>
  <c r="AG1872" i="1"/>
  <c r="J1872" i="1"/>
  <c r="AG1871" i="1"/>
  <c r="J1871" i="1"/>
  <c r="AG1870" i="1"/>
  <c r="J1870" i="1"/>
  <c r="AG1869" i="1"/>
  <c r="J1869" i="1"/>
  <c r="AG1868" i="1"/>
  <c r="J1868" i="1"/>
  <c r="AG1867" i="1"/>
  <c r="J1867" i="1"/>
  <c r="AG1866" i="1"/>
  <c r="J1866" i="1"/>
  <c r="AG1865" i="1"/>
  <c r="J1865" i="1"/>
  <c r="J1864" i="1"/>
  <c r="J1863" i="1"/>
  <c r="AG1862" i="1"/>
  <c r="J1862" i="1"/>
  <c r="AG1861" i="1"/>
  <c r="J1861" i="1"/>
  <c r="AG1860" i="1"/>
  <c r="J1860" i="1"/>
  <c r="AG1859" i="1"/>
  <c r="J1859" i="1"/>
  <c r="AG1858" i="1"/>
  <c r="J1858" i="1"/>
  <c r="AG1857" i="1"/>
  <c r="J1857" i="1"/>
  <c r="AG1856" i="1"/>
  <c r="J1856" i="1"/>
  <c r="AG1855" i="1"/>
  <c r="J1855" i="1"/>
  <c r="AG1854" i="1"/>
  <c r="J1854" i="1"/>
  <c r="AG1853" i="1"/>
  <c r="J1853" i="1"/>
  <c r="AG1852" i="1"/>
  <c r="J1852" i="1"/>
  <c r="AG1851" i="1"/>
  <c r="J1851" i="1"/>
  <c r="AG1850" i="1"/>
  <c r="J1850" i="1"/>
  <c r="AG1849" i="1"/>
  <c r="J1849" i="1"/>
  <c r="J1848" i="1"/>
  <c r="J1847" i="1"/>
  <c r="J1846" i="1"/>
  <c r="J1845" i="1"/>
  <c r="AG1844" i="1"/>
  <c r="J1844" i="1"/>
  <c r="AG1843" i="1"/>
  <c r="J1843" i="1"/>
  <c r="AG1842" i="1"/>
  <c r="J1842" i="1"/>
  <c r="AG1841" i="1"/>
  <c r="J1841" i="1"/>
  <c r="AG1840" i="1"/>
  <c r="J1840" i="1"/>
  <c r="AG1839" i="1"/>
  <c r="J1839" i="1"/>
  <c r="AG1838" i="1"/>
  <c r="J1838" i="1"/>
  <c r="AG1837" i="1"/>
  <c r="J1837" i="1"/>
  <c r="AG1836" i="1"/>
  <c r="J1836" i="1"/>
  <c r="AG1835" i="1"/>
  <c r="J1835" i="1"/>
  <c r="AG1834" i="1"/>
  <c r="J1834" i="1"/>
  <c r="AG1833" i="1"/>
  <c r="J1833" i="1"/>
  <c r="AG1832" i="1"/>
  <c r="J1832" i="1"/>
  <c r="AG1831" i="1"/>
  <c r="J1831" i="1"/>
  <c r="AG1830" i="1"/>
  <c r="J1830" i="1"/>
  <c r="AG1829" i="1"/>
  <c r="J1829" i="1"/>
  <c r="AG1828" i="1"/>
  <c r="J1828" i="1"/>
  <c r="AG1827" i="1"/>
  <c r="J1827" i="1"/>
  <c r="AG1826" i="1"/>
  <c r="J1826" i="1"/>
  <c r="J1825" i="1"/>
  <c r="J1824" i="1"/>
  <c r="J1823" i="1"/>
  <c r="BI1737" i="1"/>
  <c r="BQ1736" i="1"/>
  <c r="BI1736" i="1"/>
  <c r="BQ1700" i="1"/>
  <c r="AG1620" i="1"/>
  <c r="BQ1617" i="1"/>
  <c r="BI1617" i="1"/>
  <c r="G1617" i="1"/>
  <c r="AG1614" i="1"/>
  <c r="AG1613" i="1"/>
  <c r="AG1602" i="1"/>
  <c r="AG1595" i="1"/>
  <c r="AG1594" i="1"/>
  <c r="AG1593" i="1"/>
  <c r="AG1592" i="1"/>
  <c r="AG1585" i="1"/>
  <c r="AG1584" i="1"/>
  <c r="AG1583" i="1"/>
  <c r="AG1578" i="1"/>
  <c r="AG1577" i="1"/>
  <c r="AG1567" i="1"/>
  <c r="AG1566" i="1"/>
  <c r="AG1560" i="1"/>
  <c r="AG1556" i="1"/>
  <c r="AG1553" i="1"/>
  <c r="AG1551" i="1"/>
  <c r="AG1549" i="1"/>
  <c r="AG1548" i="1"/>
  <c r="AG1547" i="1"/>
  <c r="AG1546" i="1"/>
  <c r="AG1543" i="1"/>
  <c r="AG1542" i="1"/>
  <c r="AG1537" i="1"/>
  <c r="AG1532" i="1"/>
  <c r="BI1529" i="1"/>
  <c r="BM1528" i="1"/>
  <c r="BO1528" i="1" s="1"/>
  <c r="BI1528" i="1"/>
  <c r="G1528" i="1"/>
  <c r="BI1428" i="1"/>
  <c r="BO1427" i="1"/>
  <c r="BP1427" i="1" s="1"/>
  <c r="BL1427" i="1"/>
  <c r="BI1427" i="1"/>
  <c r="G1427" i="1"/>
  <c r="AG1426" i="1"/>
  <c r="AF1426" i="1"/>
  <c r="AE1426" i="1"/>
  <c r="AD1426" i="1"/>
  <c r="AA1426" i="1"/>
  <c r="AA1425" i="1"/>
  <c r="AA1424" i="1"/>
  <c r="AG1423" i="1"/>
  <c r="AF1423" i="1"/>
  <c r="AE1423" i="1"/>
  <c r="AD1423" i="1"/>
  <c r="AA1423" i="1"/>
  <c r="AA1422" i="1"/>
  <c r="AA1421" i="1"/>
  <c r="AA1420" i="1"/>
  <c r="AA1419" i="1"/>
  <c r="AA1418" i="1"/>
  <c r="AA1417" i="1"/>
  <c r="AA1416" i="1"/>
  <c r="AA1415" i="1"/>
  <c r="AA1414" i="1"/>
  <c r="AA1413" i="1"/>
  <c r="AA1412" i="1"/>
  <c r="AG1411" i="1"/>
  <c r="AF1411" i="1"/>
  <c r="AE1411" i="1"/>
  <c r="AD1411" i="1"/>
  <c r="AA1411" i="1"/>
  <c r="AA1410" i="1"/>
  <c r="AA1409" i="1"/>
  <c r="AG1408" i="1"/>
  <c r="AF1408" i="1"/>
  <c r="AE1408" i="1"/>
  <c r="AD1408" i="1"/>
  <c r="AA1408" i="1"/>
  <c r="AA1407" i="1"/>
  <c r="AA1406" i="1"/>
  <c r="AG1405" i="1"/>
  <c r="AF1405" i="1"/>
  <c r="AE1405" i="1"/>
  <c r="AD1405" i="1"/>
  <c r="AA1405" i="1"/>
  <c r="AG1404" i="1"/>
  <c r="AF1404" i="1"/>
  <c r="AE1404" i="1"/>
  <c r="AD1404" i="1"/>
  <c r="AA1404" i="1"/>
  <c r="AG1403" i="1"/>
  <c r="AF1403" i="1"/>
  <c r="AE1403" i="1"/>
  <c r="AD1403" i="1"/>
  <c r="AA1403" i="1"/>
  <c r="AG1402" i="1"/>
  <c r="AF1402" i="1"/>
  <c r="AE1402" i="1"/>
  <c r="AD1402" i="1"/>
  <c r="AA1402" i="1"/>
  <c r="AG1401" i="1"/>
  <c r="AF1401" i="1"/>
  <c r="AE1401" i="1"/>
  <c r="AD1401" i="1"/>
  <c r="AA1401" i="1"/>
  <c r="AG1400" i="1"/>
  <c r="AF1400" i="1"/>
  <c r="AE1400" i="1"/>
  <c r="AD1400" i="1"/>
  <c r="AA1400" i="1"/>
  <c r="AG1399" i="1"/>
  <c r="AF1399" i="1"/>
  <c r="AE1399" i="1"/>
  <c r="AD1399" i="1"/>
  <c r="AA1399" i="1"/>
  <c r="AA1398" i="1"/>
  <c r="AG1397" i="1"/>
  <c r="AF1397" i="1"/>
  <c r="AE1397" i="1"/>
  <c r="AD1397" i="1"/>
  <c r="AA1397" i="1"/>
  <c r="AA1396" i="1"/>
  <c r="AG1395" i="1"/>
  <c r="AF1395" i="1"/>
  <c r="AE1395" i="1"/>
  <c r="AD1395" i="1"/>
  <c r="AA1395" i="1"/>
  <c r="AA1394" i="1"/>
  <c r="AA1393" i="1"/>
  <c r="AA1392" i="1"/>
  <c r="AA1390" i="1"/>
  <c r="AA1389" i="1"/>
  <c r="AA1388" i="1"/>
  <c r="AA1387" i="1"/>
  <c r="AA1386" i="1"/>
  <c r="AA1385" i="1"/>
  <c r="AA1384" i="1"/>
  <c r="AA1383" i="1"/>
  <c r="AA1382" i="1"/>
  <c r="AG1381" i="1"/>
  <c r="AF1381" i="1"/>
  <c r="AE1381" i="1"/>
  <c r="AD1381" i="1"/>
  <c r="AA1381" i="1"/>
  <c r="AG1380" i="1"/>
  <c r="AF1380" i="1"/>
  <c r="AE1380" i="1"/>
  <c r="AD1380" i="1"/>
  <c r="AA1380" i="1"/>
  <c r="AG1379" i="1"/>
  <c r="AF1379" i="1"/>
  <c r="AE1379" i="1"/>
  <c r="AD1379" i="1"/>
  <c r="AA1379" i="1"/>
  <c r="AG1378" i="1"/>
  <c r="AF1378" i="1"/>
  <c r="AE1378" i="1"/>
  <c r="AD1378" i="1"/>
  <c r="AA1378" i="1"/>
  <c r="AG1377" i="1"/>
  <c r="AF1377" i="1"/>
  <c r="AE1377" i="1"/>
  <c r="AD1377" i="1"/>
  <c r="AA1377" i="1"/>
  <c r="AG1376" i="1"/>
  <c r="AF1376" i="1"/>
  <c r="AE1376" i="1"/>
  <c r="AD1376" i="1"/>
  <c r="AA1376" i="1"/>
  <c r="AG1375" i="1"/>
  <c r="AF1375" i="1"/>
  <c r="AE1375" i="1"/>
  <c r="AD1375" i="1"/>
  <c r="AA1375" i="1"/>
  <c r="AG1374" i="1"/>
  <c r="AF1374" i="1"/>
  <c r="AE1374" i="1"/>
  <c r="AD1374" i="1"/>
  <c r="AA1374" i="1"/>
  <c r="AG1373" i="1"/>
  <c r="AF1373" i="1"/>
  <c r="AE1373" i="1"/>
  <c r="AD1373" i="1"/>
  <c r="AA1373" i="1"/>
  <c r="AG1372" i="1"/>
  <c r="AF1372" i="1"/>
  <c r="AE1372" i="1"/>
  <c r="AD1372" i="1"/>
  <c r="AA1372" i="1"/>
  <c r="AG1371" i="1"/>
  <c r="AF1371" i="1"/>
  <c r="AE1371" i="1"/>
  <c r="AD1371" i="1"/>
  <c r="AA1371" i="1"/>
  <c r="AG1370" i="1"/>
  <c r="AF1370" i="1"/>
  <c r="AE1370" i="1"/>
  <c r="AD1370" i="1"/>
  <c r="AA1370" i="1"/>
  <c r="AG1369" i="1"/>
  <c r="AF1369" i="1"/>
  <c r="AE1369" i="1"/>
  <c r="AD1369" i="1"/>
  <c r="AA1369" i="1"/>
  <c r="AG1368" i="1"/>
  <c r="AF1368" i="1"/>
  <c r="AE1368" i="1"/>
  <c r="AD1368" i="1"/>
  <c r="AA1368" i="1"/>
  <c r="AG1367" i="1"/>
  <c r="AF1367" i="1"/>
  <c r="AE1367" i="1"/>
  <c r="AD1367" i="1"/>
  <c r="AA1367" i="1"/>
  <c r="AG1366" i="1"/>
  <c r="AF1366" i="1"/>
  <c r="AE1366" i="1"/>
  <c r="AA1366" i="1"/>
  <c r="AG1365" i="1"/>
  <c r="AF1365" i="1"/>
  <c r="AE1365" i="1"/>
  <c r="AD1365" i="1"/>
  <c r="AA1365" i="1"/>
  <c r="AG1364" i="1"/>
  <c r="AF1364" i="1"/>
  <c r="AE1364" i="1"/>
  <c r="AD1364" i="1"/>
  <c r="AA1364" i="1"/>
  <c r="AG1363" i="1"/>
  <c r="AF1363" i="1"/>
  <c r="AE1363" i="1"/>
  <c r="AD1363" i="1"/>
  <c r="AA1363" i="1"/>
  <c r="AG1362" i="1"/>
  <c r="AF1362" i="1"/>
  <c r="AE1362" i="1"/>
  <c r="AD1362" i="1"/>
  <c r="AA1362" i="1"/>
  <c r="AG1361" i="1"/>
  <c r="AF1361" i="1"/>
  <c r="AE1361" i="1"/>
  <c r="AD1361" i="1"/>
  <c r="AA1361" i="1"/>
  <c r="AG1360" i="1"/>
  <c r="AF1360" i="1"/>
  <c r="AE1360" i="1"/>
  <c r="AD1360" i="1"/>
  <c r="AA1360" i="1"/>
  <c r="AG1359" i="1"/>
  <c r="AF1359" i="1"/>
  <c r="AE1359" i="1"/>
  <c r="AD1359" i="1"/>
  <c r="AA1359" i="1"/>
  <c r="AG1358" i="1"/>
  <c r="AF1358" i="1"/>
  <c r="AE1358" i="1"/>
  <c r="AD1358" i="1"/>
  <c r="AA1358" i="1"/>
  <c r="AG1357" i="1"/>
  <c r="AF1357" i="1"/>
  <c r="AE1357" i="1"/>
  <c r="AD1357" i="1"/>
  <c r="AA1357" i="1"/>
  <c r="AG1356" i="1"/>
  <c r="AF1356" i="1"/>
  <c r="AE1356" i="1"/>
  <c r="AD1356" i="1"/>
  <c r="AA1356" i="1"/>
  <c r="AG1353" i="1"/>
  <c r="AF1353" i="1"/>
  <c r="AE1353" i="1"/>
  <c r="AD1353" i="1"/>
  <c r="AG1351" i="1"/>
  <c r="AF1351" i="1"/>
  <c r="AE1351" i="1"/>
  <c r="AD1351" i="1"/>
  <c r="AG1350" i="1"/>
  <c r="AF1350" i="1"/>
  <c r="AE1350" i="1"/>
  <c r="AD1350" i="1"/>
  <c r="AG1349" i="1"/>
  <c r="AF1349" i="1"/>
  <c r="AE1349" i="1"/>
  <c r="AD1349" i="1"/>
  <c r="AG1348" i="1"/>
  <c r="AF1348" i="1"/>
  <c r="AE1348" i="1"/>
  <c r="AD1348" i="1"/>
  <c r="AG1347" i="1"/>
  <c r="AF1347" i="1"/>
  <c r="AE1347" i="1"/>
  <c r="AD1347" i="1"/>
  <c r="AG1346" i="1"/>
  <c r="AF1346" i="1"/>
  <c r="AE1346" i="1"/>
  <c r="AD1346" i="1"/>
  <c r="AG1345" i="1"/>
  <c r="AF1345" i="1"/>
  <c r="AE1345" i="1"/>
  <c r="AD1345" i="1"/>
  <c r="AG1344" i="1"/>
  <c r="AF1344" i="1"/>
  <c r="AE1344" i="1"/>
  <c r="AD1344" i="1"/>
  <c r="AG1343" i="1"/>
  <c r="AF1343" i="1"/>
  <c r="AE1343" i="1"/>
  <c r="AD1343" i="1"/>
  <c r="AG1342" i="1"/>
  <c r="AF1342" i="1"/>
  <c r="AE1342" i="1"/>
  <c r="AD1342" i="1"/>
  <c r="AG1341" i="1"/>
  <c r="AF1341" i="1"/>
  <c r="AE1341" i="1"/>
  <c r="AD1341" i="1"/>
  <c r="AG1340" i="1"/>
  <c r="AF1340" i="1"/>
  <c r="AE1340" i="1"/>
  <c r="AD1340" i="1"/>
  <c r="AA1340" i="1"/>
  <c r="AG1339" i="1"/>
  <c r="AF1339" i="1"/>
  <c r="AE1339" i="1"/>
  <c r="AD1339" i="1"/>
  <c r="AA1339" i="1"/>
  <c r="AG1338" i="1"/>
  <c r="AF1338" i="1"/>
  <c r="AE1338" i="1"/>
  <c r="AD1338" i="1"/>
  <c r="AG1337" i="1"/>
  <c r="AF1337" i="1"/>
  <c r="AE1337" i="1"/>
  <c r="AD1337" i="1"/>
  <c r="AG1336" i="1"/>
  <c r="AF1336" i="1"/>
  <c r="AE1336" i="1"/>
  <c r="AD1336" i="1"/>
  <c r="AA1336" i="1"/>
  <c r="AG1335" i="1"/>
  <c r="AF1335" i="1"/>
  <c r="AE1335" i="1"/>
  <c r="AD1335" i="1"/>
  <c r="AA1335" i="1"/>
  <c r="AG1334" i="1"/>
  <c r="AF1334" i="1"/>
  <c r="AE1334" i="1"/>
  <c r="AD1334" i="1"/>
  <c r="AG1333" i="1"/>
  <c r="AF1333" i="1"/>
  <c r="AE1333" i="1"/>
  <c r="AD1333" i="1"/>
  <c r="AA1333" i="1"/>
  <c r="AG1332" i="1"/>
  <c r="AF1332" i="1"/>
  <c r="AE1332" i="1"/>
  <c r="AD1332" i="1"/>
  <c r="AA1332" i="1"/>
  <c r="AG1331" i="1"/>
  <c r="AF1331" i="1"/>
  <c r="AE1331" i="1"/>
  <c r="AD1331" i="1"/>
  <c r="AA1331" i="1"/>
  <c r="AG1330" i="1"/>
  <c r="AF1330" i="1"/>
  <c r="AE1330" i="1"/>
  <c r="AD1330" i="1"/>
  <c r="AA1330" i="1"/>
  <c r="AG1329" i="1"/>
  <c r="AF1329" i="1"/>
  <c r="AE1329" i="1"/>
  <c r="AD1329" i="1"/>
  <c r="AA1329" i="1"/>
  <c r="AG1328" i="1"/>
  <c r="AF1328" i="1"/>
  <c r="AE1328" i="1"/>
  <c r="AD1328" i="1"/>
  <c r="AA1328" i="1"/>
  <c r="AG1327" i="1"/>
  <c r="AF1327" i="1"/>
  <c r="AE1327" i="1"/>
  <c r="AD1327" i="1"/>
  <c r="AG1326" i="1"/>
  <c r="AF1326" i="1"/>
  <c r="AE1326" i="1"/>
  <c r="AD1326" i="1"/>
  <c r="AA1326" i="1"/>
  <c r="AG1325" i="1"/>
  <c r="AF1325" i="1"/>
  <c r="AE1325" i="1"/>
  <c r="AD1325" i="1"/>
  <c r="AA1325" i="1"/>
  <c r="AG1324" i="1"/>
  <c r="AF1324" i="1"/>
  <c r="AE1324" i="1"/>
  <c r="AD1324" i="1"/>
  <c r="AA1324" i="1"/>
  <c r="AG1323" i="1"/>
  <c r="AF1323" i="1"/>
  <c r="AE1323" i="1"/>
  <c r="AD1323" i="1"/>
  <c r="AA1323" i="1"/>
  <c r="AG1322" i="1"/>
  <c r="AE1322" i="1"/>
  <c r="AD1322" i="1"/>
  <c r="AA1322" i="1"/>
  <c r="AG1321" i="1"/>
  <c r="AE1321" i="1"/>
  <c r="AD1321" i="1"/>
  <c r="AA1321" i="1"/>
  <c r="AG1320" i="1"/>
  <c r="AE1320" i="1"/>
  <c r="AD1320" i="1"/>
  <c r="AA1320" i="1"/>
  <c r="AG1319" i="1"/>
  <c r="AE1319" i="1"/>
  <c r="AD1319" i="1"/>
  <c r="AA1319" i="1"/>
  <c r="AG1318" i="1"/>
  <c r="AE1318" i="1"/>
  <c r="AD1318" i="1"/>
  <c r="AA1318" i="1"/>
  <c r="AG1317" i="1"/>
  <c r="AE1317" i="1"/>
  <c r="AD1317" i="1"/>
  <c r="AA1317" i="1"/>
  <c r="AG1316" i="1"/>
  <c r="AE1316" i="1"/>
  <c r="AD1316" i="1"/>
  <c r="AA1316" i="1"/>
  <c r="AG1315" i="1"/>
  <c r="AE1315" i="1"/>
  <c r="AD1315" i="1"/>
  <c r="AA1315" i="1"/>
  <c r="AG1314" i="1"/>
  <c r="AE1314" i="1"/>
  <c r="AD1314" i="1"/>
  <c r="AA1314" i="1"/>
  <c r="AG1313" i="1"/>
  <c r="AF1313" i="1"/>
  <c r="AE1313" i="1"/>
  <c r="AD1313" i="1"/>
  <c r="AA1313" i="1"/>
  <c r="AG1312" i="1"/>
  <c r="AF1312" i="1"/>
  <c r="AE1312" i="1"/>
  <c r="AD1312" i="1"/>
  <c r="AA1312" i="1"/>
  <c r="AG1311" i="1"/>
  <c r="AF1311" i="1"/>
  <c r="AE1311" i="1"/>
  <c r="AD1311" i="1"/>
  <c r="AA1311" i="1"/>
  <c r="AG1310" i="1"/>
  <c r="AF1310" i="1"/>
  <c r="AE1310" i="1"/>
  <c r="AD1310" i="1"/>
  <c r="AA1310" i="1"/>
  <c r="AG1309" i="1"/>
  <c r="AF1309" i="1"/>
  <c r="AE1309" i="1"/>
  <c r="AD1309" i="1"/>
  <c r="AA1309" i="1"/>
  <c r="AG1308" i="1"/>
  <c r="AF1308" i="1"/>
  <c r="AE1308" i="1"/>
  <c r="AD1308" i="1"/>
  <c r="AA1308" i="1"/>
  <c r="AG1307" i="1"/>
  <c r="AF1307" i="1"/>
  <c r="AE1307" i="1"/>
  <c r="AD1307" i="1"/>
  <c r="AA1307" i="1"/>
  <c r="AA1306" i="1"/>
  <c r="AG1305" i="1"/>
  <c r="AF1305" i="1"/>
  <c r="AE1305" i="1"/>
  <c r="AD1305" i="1"/>
  <c r="AA1305" i="1"/>
  <c r="BE1304" i="1"/>
  <c r="BD1304" i="1"/>
  <c r="BC1304" i="1"/>
  <c r="BB1304" i="1"/>
  <c r="BA1304" i="1"/>
  <c r="AZ1304" i="1"/>
  <c r="AY1304" i="1"/>
  <c r="AQ1304" i="1"/>
  <c r="AP1304" i="1"/>
  <c r="AO1304" i="1"/>
  <c r="AN1304" i="1"/>
  <c r="AM1304" i="1"/>
  <c r="AL1304" i="1"/>
  <c r="AK1304" i="1"/>
  <c r="AG1304" i="1"/>
  <c r="AF1304" i="1"/>
  <c r="AE1304" i="1"/>
  <c r="AD1304" i="1"/>
  <c r="AA1304" i="1"/>
  <c r="BO1303" i="1"/>
  <c r="BN1303" i="1"/>
  <c r="BM1303" i="1"/>
  <c r="BL1303" i="1"/>
  <c r="BI1303" i="1"/>
  <c r="G1303" i="1"/>
  <c r="BQ1226" i="1"/>
  <c r="BP1226" i="1"/>
  <c r="BI1226" i="1"/>
  <c r="BI1090" i="1"/>
  <c r="AF1089" i="1"/>
  <c r="AF1088" i="1"/>
  <c r="AF1087" i="1"/>
  <c r="AF1086" i="1"/>
  <c r="AF1085" i="1"/>
  <c r="AF1084" i="1"/>
  <c r="AF1083" i="1"/>
  <c r="AF1082" i="1"/>
  <c r="AF1081" i="1"/>
  <c r="AF1080" i="1"/>
  <c r="AF1079" i="1"/>
  <c r="AF1078" i="1"/>
  <c r="AF1077" i="1"/>
  <c r="AF1076" i="1"/>
  <c r="AF1075" i="1"/>
  <c r="AF1074" i="1"/>
  <c r="AF1073" i="1"/>
  <c r="AF1072" i="1"/>
  <c r="AF1071" i="1"/>
  <c r="AF1070" i="1"/>
  <c r="AF1069" i="1"/>
  <c r="AF1068" i="1"/>
  <c r="AF1067" i="1"/>
  <c r="AF1066" i="1"/>
  <c r="AF1065" i="1"/>
  <c r="AF1064" i="1"/>
  <c r="AF1063" i="1"/>
  <c r="AF1062" i="1"/>
  <c r="AF1061" i="1"/>
  <c r="AF1060" i="1"/>
  <c r="AF1059" i="1"/>
  <c r="AF1058" i="1"/>
  <c r="AF1057" i="1"/>
  <c r="AF1056" i="1"/>
  <c r="AF1055" i="1"/>
  <c r="AF1054" i="1"/>
  <c r="AF1053" i="1"/>
  <c r="AF1052" i="1"/>
  <c r="AF1051" i="1"/>
  <c r="AF1050" i="1"/>
  <c r="AF1049" i="1"/>
  <c r="AF1048" i="1"/>
  <c r="AF1047" i="1"/>
  <c r="AF1046" i="1"/>
  <c r="AF1045" i="1"/>
  <c r="AF1044" i="1"/>
  <c r="AF1043" i="1"/>
  <c r="AF1042" i="1"/>
  <c r="AF1041" i="1"/>
  <c r="AF1040" i="1"/>
  <c r="AF1039" i="1"/>
  <c r="AF1038" i="1"/>
  <c r="AF1037" i="1"/>
  <c r="AF1036" i="1"/>
  <c r="AF1035" i="1"/>
  <c r="AF1034" i="1"/>
  <c r="AF1033" i="1"/>
  <c r="AF1032" i="1"/>
  <c r="AF1031" i="1"/>
  <c r="AF1030" i="1"/>
  <c r="BQ1029" i="1"/>
  <c r="BP1029" i="1"/>
  <c r="BI1029" i="1"/>
  <c r="AF1028" i="1"/>
  <c r="AF1027" i="1"/>
  <c r="AF1026" i="1"/>
  <c r="AF1025" i="1"/>
  <c r="AF1024" i="1"/>
  <c r="AF1023" i="1"/>
  <c r="AF1022" i="1"/>
  <c r="AF1021" i="1"/>
  <c r="AF1020" i="1"/>
  <c r="AF1019" i="1"/>
  <c r="AF1018" i="1"/>
  <c r="AF1017" i="1"/>
  <c r="AF1016" i="1"/>
  <c r="AF1015" i="1"/>
  <c r="AF1014" i="1"/>
  <c r="AF1013" i="1"/>
  <c r="AF1012" i="1"/>
  <c r="AF1011" i="1"/>
  <c r="AF1010" i="1"/>
  <c r="AF1009" i="1"/>
  <c r="AF1008" i="1"/>
  <c r="AF1007" i="1"/>
  <c r="AF1006" i="1"/>
  <c r="AF1005" i="1"/>
  <c r="AF1004" i="1"/>
  <c r="AF1003" i="1"/>
  <c r="AF1002" i="1"/>
  <c r="AF1001" i="1"/>
  <c r="AF1000" i="1"/>
  <c r="AF999" i="1"/>
  <c r="AF998" i="1"/>
  <c r="AF997" i="1"/>
  <c r="AF996" i="1"/>
  <c r="AF995" i="1"/>
  <c r="AF994" i="1"/>
  <c r="AF993" i="1"/>
  <c r="AF992" i="1"/>
  <c r="AF991" i="1"/>
  <c r="AF990" i="1"/>
  <c r="AF989" i="1"/>
  <c r="AF988" i="1"/>
  <c r="AF987" i="1"/>
  <c r="AF986" i="1"/>
  <c r="AF985" i="1"/>
  <c r="AF984" i="1"/>
  <c r="AF983" i="1"/>
  <c r="AF982" i="1"/>
  <c r="AF981" i="1"/>
  <c r="AF980" i="1"/>
  <c r="AF979" i="1"/>
  <c r="AF978" i="1"/>
  <c r="AF977" i="1"/>
  <c r="AF976" i="1"/>
  <c r="AF975" i="1"/>
  <c r="AF974" i="1"/>
  <c r="AF973" i="1"/>
  <c r="AF972" i="1"/>
  <c r="AF971" i="1"/>
  <c r="AF970" i="1"/>
  <c r="AF969" i="1"/>
  <c r="AF968" i="1"/>
  <c r="AF967" i="1"/>
  <c r="AF966" i="1"/>
  <c r="AF965" i="1"/>
  <c r="AF964" i="1"/>
  <c r="AF963" i="1"/>
  <c r="AF962" i="1"/>
  <c r="AF961" i="1"/>
  <c r="AF960" i="1"/>
  <c r="AF959" i="1"/>
  <c r="AF958" i="1"/>
  <c r="AF957" i="1"/>
  <c r="AF956" i="1"/>
  <c r="AF955" i="1"/>
  <c r="AF954" i="1"/>
  <c r="AF953" i="1"/>
  <c r="AF952" i="1"/>
  <c r="AF951" i="1"/>
  <c r="AF950" i="1"/>
  <c r="AF949" i="1"/>
  <c r="AF948" i="1"/>
  <c r="AF947" i="1"/>
  <c r="AF946" i="1"/>
  <c r="AF945" i="1"/>
  <c r="AF944" i="1"/>
  <c r="AF943" i="1"/>
  <c r="AF942" i="1"/>
  <c r="AF941" i="1"/>
  <c r="AF940" i="1"/>
  <c r="AF939" i="1"/>
  <c r="AF938" i="1"/>
  <c r="AF937" i="1"/>
  <c r="AF936" i="1"/>
  <c r="BQ935" i="1"/>
  <c r="BP935" i="1"/>
  <c r="BI935" i="1"/>
  <c r="AF934" i="1"/>
  <c r="AF933" i="1"/>
  <c r="AF932" i="1"/>
  <c r="AF931" i="1"/>
  <c r="AF930" i="1"/>
  <c r="AF929" i="1"/>
  <c r="AF928" i="1"/>
  <c r="AF927" i="1"/>
  <c r="AF926" i="1"/>
  <c r="AF925" i="1"/>
  <c r="AF924" i="1"/>
  <c r="AF923" i="1"/>
  <c r="AF922" i="1"/>
  <c r="AF921" i="1"/>
  <c r="AF920" i="1"/>
  <c r="AF919" i="1"/>
  <c r="AF918" i="1"/>
  <c r="AF917" i="1"/>
  <c r="AF916" i="1"/>
  <c r="AF915" i="1"/>
  <c r="AF913" i="1"/>
  <c r="AF912" i="1"/>
  <c r="AF911" i="1"/>
  <c r="AF910" i="1"/>
  <c r="AF909" i="1"/>
  <c r="AF908" i="1"/>
  <c r="AF907" i="1"/>
  <c r="AF906" i="1"/>
  <c r="AF905" i="1"/>
  <c r="AF904" i="1"/>
  <c r="AF903" i="1"/>
  <c r="AF902" i="1"/>
  <c r="AF901" i="1"/>
  <c r="AF900" i="1"/>
  <c r="AF899" i="1"/>
  <c r="AF898" i="1"/>
  <c r="AF897" i="1"/>
  <c r="AF896" i="1"/>
  <c r="AF895" i="1"/>
  <c r="AF894" i="1"/>
  <c r="AF893" i="1"/>
  <c r="AF892" i="1"/>
  <c r="AF891" i="1"/>
  <c r="AF890" i="1"/>
  <c r="AF889" i="1"/>
  <c r="AF888" i="1"/>
  <c r="AF887" i="1"/>
  <c r="AF884" i="1"/>
  <c r="AF883" i="1"/>
  <c r="AF882" i="1"/>
  <c r="AF881" i="1"/>
  <c r="AF880" i="1"/>
  <c r="AF879" i="1"/>
  <c r="AF877" i="1"/>
  <c r="AF876" i="1"/>
  <c r="AF875" i="1"/>
  <c r="AF874" i="1"/>
  <c r="AF873" i="1"/>
  <c r="AF872" i="1"/>
  <c r="AF871" i="1"/>
  <c r="AF870" i="1"/>
  <c r="AF869" i="1"/>
  <c r="AF868" i="1"/>
  <c r="AF867" i="1"/>
  <c r="AF866" i="1"/>
  <c r="AF865" i="1"/>
  <c r="AF864" i="1"/>
  <c r="AF863" i="1"/>
  <c r="AF862" i="1"/>
  <c r="AF861" i="1"/>
  <c r="AF860" i="1"/>
  <c r="AF859" i="1"/>
  <c r="AF858" i="1"/>
  <c r="AF857" i="1"/>
  <c r="AF856" i="1"/>
  <c r="AF855" i="1"/>
  <c r="AF854" i="1"/>
  <c r="AF853" i="1"/>
  <c r="AF852" i="1"/>
  <c r="AF851" i="1"/>
  <c r="AF850" i="1"/>
  <c r="AF849" i="1"/>
  <c r="AF848" i="1"/>
  <c r="AF847" i="1"/>
  <c r="AF846" i="1"/>
  <c r="AF845" i="1"/>
  <c r="AF844" i="1"/>
  <c r="AF843" i="1"/>
  <c r="AF842" i="1"/>
  <c r="AF841" i="1"/>
  <c r="AF840" i="1"/>
  <c r="AF839" i="1"/>
  <c r="AF838" i="1"/>
  <c r="AF837" i="1"/>
  <c r="AF836" i="1"/>
  <c r="AF835" i="1"/>
  <c r="AF834" i="1"/>
  <c r="AF833" i="1"/>
  <c r="AF832" i="1"/>
  <c r="AF831" i="1"/>
  <c r="AF830" i="1"/>
  <c r="AF829" i="1"/>
  <c r="AF828" i="1"/>
  <c r="AF826" i="1"/>
  <c r="AF825" i="1"/>
  <c r="AF824" i="1"/>
  <c r="AF823" i="1"/>
  <c r="AF822" i="1"/>
  <c r="AF821" i="1"/>
  <c r="AF820" i="1"/>
  <c r="AF819" i="1"/>
  <c r="AF818" i="1"/>
  <c r="AF817" i="1"/>
  <c r="AF816" i="1"/>
  <c r="AF815" i="1"/>
  <c r="AF814" i="1"/>
  <c r="AF813" i="1"/>
  <c r="AF812" i="1"/>
  <c r="AF811" i="1"/>
  <c r="AF810" i="1"/>
  <c r="AF809" i="1"/>
  <c r="AF808" i="1"/>
  <c r="AF807" i="1"/>
  <c r="AF806" i="1"/>
  <c r="AF805" i="1"/>
  <c r="AF804" i="1"/>
  <c r="AF803" i="1"/>
  <c r="AF802" i="1"/>
  <c r="AF801" i="1"/>
  <c r="AF800" i="1"/>
  <c r="AF799" i="1"/>
  <c r="AF798" i="1"/>
  <c r="AF797" i="1"/>
  <c r="AF796" i="1"/>
  <c r="AF795" i="1"/>
  <c r="AF794" i="1"/>
  <c r="AF793" i="1"/>
  <c r="AF792" i="1"/>
  <c r="AF791" i="1"/>
  <c r="AF790" i="1"/>
  <c r="AF789" i="1"/>
  <c r="AF788" i="1"/>
  <c r="AF787" i="1"/>
  <c r="AF786" i="1"/>
  <c r="AF785" i="1"/>
  <c r="AF784" i="1"/>
  <c r="AF783" i="1"/>
  <c r="AF782" i="1"/>
  <c r="AF781" i="1"/>
  <c r="AF780" i="1"/>
  <c r="AF779" i="1"/>
  <c r="AF778" i="1"/>
  <c r="AF777" i="1"/>
  <c r="AF776" i="1"/>
  <c r="AF775" i="1"/>
  <c r="AF774" i="1"/>
  <c r="AF773" i="1"/>
  <c r="AF772" i="1"/>
  <c r="AF771" i="1"/>
  <c r="AF770" i="1"/>
  <c r="AF769" i="1"/>
  <c r="AF768" i="1"/>
  <c r="AF767" i="1"/>
  <c r="AF766" i="1"/>
  <c r="AF765" i="1"/>
  <c r="AF764" i="1"/>
  <c r="AF763" i="1"/>
  <c r="AF762" i="1"/>
  <c r="AF761" i="1"/>
  <c r="AF760" i="1"/>
  <c r="AF759" i="1"/>
  <c r="AF758" i="1"/>
  <c r="AF757" i="1"/>
  <c r="AF756" i="1"/>
  <c r="AF755" i="1"/>
  <c r="AF754" i="1"/>
  <c r="AF753" i="1"/>
  <c r="AF752" i="1"/>
  <c r="AF751" i="1"/>
  <c r="AF750" i="1"/>
  <c r="AF749" i="1"/>
  <c r="AF748" i="1"/>
  <c r="AF747" i="1"/>
  <c r="AF746" i="1"/>
  <c r="BQ745" i="1"/>
  <c r="BP745" i="1"/>
  <c r="AI745" i="1"/>
  <c r="AF744" i="1"/>
  <c r="AF743" i="1"/>
  <c r="AF742" i="1"/>
  <c r="AF741" i="1"/>
  <c r="AF740" i="1"/>
  <c r="AF739" i="1"/>
  <c r="AF738" i="1"/>
  <c r="AF737" i="1"/>
  <c r="AF736" i="1"/>
  <c r="AF735" i="1"/>
  <c r="AF734" i="1"/>
  <c r="AF733" i="1"/>
  <c r="AF732" i="1"/>
  <c r="AF731" i="1"/>
  <c r="AF730" i="1"/>
  <c r="AF729" i="1"/>
  <c r="AF728" i="1"/>
  <c r="AF727" i="1"/>
  <c r="AF726" i="1"/>
  <c r="AF725" i="1"/>
  <c r="AF724" i="1"/>
  <c r="AF723" i="1"/>
  <c r="AF722" i="1"/>
  <c r="AF721" i="1"/>
  <c r="AF720" i="1"/>
  <c r="AF719" i="1"/>
  <c r="AF718" i="1"/>
  <c r="AF717" i="1"/>
  <c r="AF716" i="1"/>
  <c r="AF715" i="1"/>
  <c r="AF714" i="1"/>
  <c r="AF713" i="1"/>
  <c r="AF712" i="1"/>
  <c r="AF711" i="1"/>
  <c r="AF710" i="1"/>
  <c r="AF709" i="1"/>
  <c r="AF708" i="1"/>
  <c r="AF707" i="1"/>
  <c r="AF706" i="1"/>
  <c r="AF705" i="1"/>
  <c r="AF704" i="1"/>
  <c r="AF703" i="1"/>
  <c r="AF702" i="1"/>
  <c r="AF701" i="1"/>
  <c r="AF700" i="1"/>
  <c r="AF699" i="1"/>
  <c r="AF698" i="1"/>
  <c r="AF697" i="1"/>
  <c r="AF696" i="1"/>
  <c r="AF695" i="1"/>
  <c r="AF694" i="1"/>
  <c r="AF693" i="1"/>
  <c r="AF692" i="1"/>
  <c r="AF691" i="1"/>
  <c r="AF690" i="1"/>
  <c r="AF689" i="1"/>
  <c r="AF688" i="1"/>
  <c r="AF687" i="1"/>
  <c r="AF686" i="1"/>
  <c r="AF685" i="1"/>
  <c r="AF684" i="1"/>
  <c r="AF683" i="1"/>
  <c r="AF682" i="1"/>
  <c r="AF681" i="1"/>
  <c r="AF680" i="1"/>
  <c r="AF679" i="1"/>
  <c r="AF678" i="1"/>
  <c r="AF677" i="1"/>
  <c r="AF676" i="1"/>
  <c r="AF675" i="1"/>
  <c r="AF674" i="1"/>
  <c r="AF673" i="1"/>
  <c r="AF672" i="1"/>
  <c r="AF671" i="1"/>
  <c r="AF670" i="1"/>
  <c r="AF669" i="1"/>
  <c r="AF668" i="1"/>
  <c r="AF667" i="1"/>
  <c r="AF666" i="1"/>
  <c r="AF665" i="1"/>
  <c r="AF664" i="1"/>
  <c r="AF663" i="1"/>
  <c r="AF662" i="1"/>
  <c r="AF661" i="1"/>
  <c r="AF660" i="1"/>
  <c r="AF659" i="1"/>
  <c r="AF658" i="1"/>
  <c r="AF657" i="1"/>
  <c r="AF656" i="1"/>
  <c r="AF655" i="1"/>
  <c r="AF654" i="1"/>
  <c r="AF653" i="1"/>
  <c r="AF652" i="1"/>
  <c r="AF651" i="1"/>
  <c r="AF650" i="1"/>
  <c r="AF649" i="1"/>
  <c r="AF648" i="1"/>
  <c r="AF647" i="1"/>
  <c r="AF646" i="1"/>
  <c r="AF645" i="1"/>
  <c r="AF644" i="1"/>
  <c r="AF643" i="1"/>
  <c r="AF642" i="1"/>
  <c r="AF641" i="1"/>
  <c r="AF640" i="1"/>
  <c r="AF639" i="1"/>
  <c r="AF638" i="1"/>
  <c r="AF637" i="1"/>
  <c r="AF636" i="1"/>
  <c r="AF635" i="1"/>
  <c r="AF634" i="1"/>
  <c r="AF633" i="1"/>
  <c r="AF632" i="1"/>
  <c r="AF631" i="1"/>
  <c r="AF630" i="1"/>
  <c r="AF629" i="1"/>
  <c r="AF628" i="1"/>
  <c r="AF627" i="1"/>
  <c r="AF626" i="1"/>
  <c r="AF625" i="1"/>
  <c r="AF624" i="1"/>
  <c r="AF623" i="1"/>
  <c r="AF622" i="1"/>
  <c r="AF621" i="1"/>
  <c r="AF620" i="1"/>
  <c r="AF619" i="1"/>
  <c r="AF618" i="1"/>
  <c r="AF617" i="1"/>
  <c r="AF616" i="1"/>
  <c r="AF615" i="1"/>
  <c r="AF614" i="1"/>
  <c r="AF613" i="1"/>
  <c r="AF612" i="1"/>
  <c r="AF611" i="1"/>
  <c r="AF610" i="1"/>
  <c r="AF609" i="1"/>
  <c r="AF608" i="1"/>
  <c r="AF607" i="1"/>
  <c r="AF606" i="1"/>
  <c r="AF605" i="1"/>
  <c r="AF604" i="1"/>
  <c r="AF603" i="1"/>
  <c r="AF602" i="1"/>
  <c r="AF601" i="1"/>
  <c r="AF600" i="1"/>
  <c r="AF599" i="1"/>
  <c r="AF598" i="1"/>
  <c r="AF597" i="1"/>
  <c r="AF596" i="1"/>
  <c r="AF595" i="1"/>
  <c r="AF594" i="1"/>
  <c r="AF593" i="1"/>
  <c r="AF592" i="1"/>
  <c r="AF591" i="1"/>
  <c r="AF590" i="1"/>
  <c r="AF589" i="1"/>
  <c r="AF588" i="1"/>
  <c r="AF587" i="1"/>
  <c r="AF586" i="1"/>
  <c r="AF585" i="1"/>
  <c r="AF584" i="1"/>
  <c r="AF583" i="1"/>
  <c r="AF582" i="1"/>
  <c r="AF581" i="1"/>
  <c r="AF580" i="1"/>
  <c r="AF579" i="1"/>
  <c r="AF578" i="1"/>
  <c r="AF577" i="1"/>
  <c r="AF576" i="1"/>
  <c r="AF575" i="1"/>
  <c r="AF574" i="1"/>
  <c r="AF573" i="1"/>
  <c r="AF572" i="1"/>
  <c r="AF571" i="1"/>
  <c r="AF570" i="1"/>
  <c r="AF569" i="1"/>
  <c r="AF568" i="1"/>
  <c r="AF567" i="1"/>
  <c r="AF566" i="1"/>
  <c r="AF565" i="1"/>
  <c r="AF564" i="1"/>
  <c r="AF563" i="1"/>
  <c r="AF562" i="1"/>
  <c r="AF561" i="1"/>
  <c r="AF560" i="1"/>
  <c r="AF559" i="1"/>
  <c r="AF558" i="1"/>
  <c r="AF557" i="1"/>
  <c r="AF556" i="1"/>
  <c r="AF555" i="1"/>
  <c r="AF554" i="1"/>
  <c r="AF553" i="1"/>
  <c r="AF552" i="1"/>
  <c r="AF551" i="1"/>
  <c r="AF550" i="1"/>
  <c r="AF549" i="1"/>
  <c r="AF548" i="1"/>
  <c r="AF547" i="1"/>
  <c r="AF546" i="1"/>
  <c r="AF545" i="1"/>
  <c r="AF544" i="1"/>
  <c r="AF543" i="1"/>
  <c r="AF542" i="1"/>
  <c r="AF541" i="1"/>
  <c r="AF540" i="1"/>
  <c r="AF539" i="1"/>
  <c r="AF538" i="1"/>
  <c r="AF537" i="1"/>
  <c r="AF536" i="1"/>
  <c r="BQ535" i="1"/>
  <c r="BP535" i="1"/>
  <c r="AI535" i="1"/>
  <c r="AF534" i="1"/>
  <c r="AF533" i="1"/>
  <c r="AF532" i="1"/>
  <c r="AF531" i="1"/>
  <c r="AF530" i="1"/>
  <c r="AF529" i="1"/>
  <c r="AF528" i="1"/>
  <c r="AF527" i="1"/>
  <c r="AF526" i="1"/>
  <c r="AF525" i="1"/>
  <c r="AF524" i="1"/>
  <c r="AF523" i="1"/>
  <c r="AF522" i="1"/>
  <c r="AF521" i="1"/>
  <c r="AF520" i="1"/>
  <c r="AF519" i="1"/>
  <c r="AF518" i="1"/>
  <c r="AF517" i="1"/>
  <c r="AF516" i="1"/>
  <c r="AF515" i="1"/>
  <c r="AF514" i="1"/>
  <c r="AF513" i="1"/>
  <c r="AF512" i="1"/>
  <c r="AF511" i="1"/>
  <c r="AF510" i="1"/>
  <c r="AF509" i="1"/>
  <c r="AF508" i="1"/>
  <c r="AF507" i="1"/>
  <c r="AF506" i="1"/>
  <c r="AF505" i="1"/>
  <c r="AF504" i="1"/>
  <c r="AF503" i="1"/>
  <c r="AF502" i="1"/>
  <c r="AF501" i="1"/>
  <c r="AF500" i="1"/>
  <c r="AF499" i="1"/>
  <c r="AF498" i="1"/>
  <c r="AF497" i="1"/>
  <c r="AF496" i="1"/>
  <c r="AF495" i="1"/>
  <c r="AF494" i="1"/>
  <c r="AF493" i="1"/>
  <c r="AF492" i="1"/>
  <c r="AF491" i="1"/>
  <c r="AF490" i="1"/>
  <c r="AF489" i="1"/>
  <c r="AF488" i="1"/>
  <c r="AF487" i="1"/>
  <c r="AF486" i="1"/>
  <c r="AF485" i="1"/>
  <c r="AF484" i="1"/>
  <c r="AF483" i="1"/>
  <c r="AF482" i="1"/>
  <c r="AF481" i="1"/>
  <c r="AF480" i="1"/>
  <c r="AF479" i="1"/>
  <c r="AF478" i="1"/>
  <c r="AF477" i="1"/>
  <c r="AF476" i="1"/>
  <c r="AF475" i="1"/>
  <c r="AF474" i="1"/>
  <c r="AF473" i="1"/>
  <c r="AF472" i="1"/>
  <c r="AF471" i="1"/>
  <c r="AF470" i="1"/>
  <c r="AF469" i="1"/>
  <c r="AF468" i="1"/>
  <c r="AF467" i="1"/>
  <c r="AF466" i="1"/>
  <c r="AF465" i="1"/>
  <c r="AF464" i="1"/>
  <c r="AF463" i="1"/>
  <c r="AF462" i="1"/>
  <c r="AF461" i="1"/>
  <c r="AF460" i="1"/>
  <c r="AF459" i="1"/>
  <c r="AF458" i="1"/>
  <c r="AF457" i="1"/>
  <c r="AF456" i="1"/>
  <c r="AF455" i="1"/>
  <c r="AF454" i="1"/>
  <c r="AF453" i="1"/>
  <c r="AF452" i="1"/>
  <c r="AF451" i="1"/>
  <c r="AF450" i="1"/>
  <c r="AF449" i="1"/>
  <c r="AF448" i="1"/>
  <c r="AF447" i="1"/>
  <c r="AF446" i="1"/>
  <c r="AF445" i="1"/>
  <c r="AF444" i="1"/>
  <c r="AF443" i="1"/>
  <c r="AF442" i="1"/>
  <c r="AF441" i="1"/>
  <c r="AF440" i="1"/>
  <c r="AF439" i="1"/>
  <c r="AF438" i="1"/>
  <c r="AF437" i="1"/>
  <c r="AF436" i="1"/>
  <c r="AF435" i="1"/>
  <c r="AF434" i="1"/>
  <c r="AF433" i="1"/>
  <c r="AF432" i="1"/>
  <c r="AF431" i="1"/>
  <c r="AF430" i="1"/>
  <c r="AF429" i="1"/>
  <c r="AF428" i="1"/>
  <c r="BQ427" i="1"/>
  <c r="BP427" i="1"/>
  <c r="AI427" i="1"/>
  <c r="AF426" i="1"/>
  <c r="AF425" i="1"/>
  <c r="AF424" i="1"/>
  <c r="AF423" i="1"/>
  <c r="AF422" i="1"/>
  <c r="AF421" i="1"/>
  <c r="AF420" i="1"/>
  <c r="AF419" i="1"/>
  <c r="AF418" i="1"/>
  <c r="AF417" i="1"/>
  <c r="AF416" i="1"/>
  <c r="AF415" i="1"/>
  <c r="AF414" i="1"/>
  <c r="AF413" i="1"/>
  <c r="AF412" i="1"/>
  <c r="AF411" i="1"/>
  <c r="AF410" i="1"/>
  <c r="AF409" i="1"/>
  <c r="AF408" i="1"/>
  <c r="AF407" i="1"/>
  <c r="AF406" i="1"/>
  <c r="AF405" i="1"/>
  <c r="AF404" i="1"/>
  <c r="AF403" i="1"/>
  <c r="AF402" i="1"/>
  <c r="AF401" i="1"/>
  <c r="AF400" i="1"/>
  <c r="AF399" i="1"/>
  <c r="AF398" i="1"/>
  <c r="AF397" i="1"/>
  <c r="AF396" i="1"/>
  <c r="AF395" i="1"/>
  <c r="AF394" i="1"/>
  <c r="AF393" i="1"/>
  <c r="AF392" i="1"/>
  <c r="AF391" i="1"/>
  <c r="AF390" i="1"/>
  <c r="AF389" i="1"/>
  <c r="AF388" i="1"/>
  <c r="AF387" i="1"/>
  <c r="AF386" i="1"/>
  <c r="AF385" i="1"/>
  <c r="AF384" i="1"/>
  <c r="AF383" i="1"/>
  <c r="AF382" i="1"/>
  <c r="AF381" i="1"/>
  <c r="AF380" i="1"/>
  <c r="AF379" i="1"/>
  <c r="AF378" i="1"/>
  <c r="AF377" i="1"/>
  <c r="AF376" i="1"/>
  <c r="AF375" i="1"/>
  <c r="AF374" i="1"/>
  <c r="AF373" i="1"/>
  <c r="AF372" i="1"/>
  <c r="AF371" i="1"/>
  <c r="AF370" i="1"/>
  <c r="AF369" i="1"/>
  <c r="AF368" i="1"/>
  <c r="AF367" i="1"/>
  <c r="AF366" i="1"/>
  <c r="AF365" i="1"/>
  <c r="AF364" i="1"/>
  <c r="AF363" i="1"/>
  <c r="AF362" i="1"/>
  <c r="AF361" i="1"/>
  <c r="AF360" i="1"/>
  <c r="AF359" i="1"/>
  <c r="AF358" i="1"/>
  <c r="AF357" i="1"/>
  <c r="AF356" i="1"/>
  <c r="AF355" i="1"/>
  <c r="AF354" i="1"/>
  <c r="AF353" i="1"/>
  <c r="AF352" i="1"/>
  <c r="AF351" i="1"/>
  <c r="AF350" i="1"/>
  <c r="AF349" i="1"/>
  <c r="AF348" i="1"/>
  <c r="AF347" i="1"/>
  <c r="AF346" i="1"/>
  <c r="AF345" i="1"/>
  <c r="AF344" i="1"/>
  <c r="AF343" i="1"/>
  <c r="AF342" i="1"/>
  <c r="AF341" i="1"/>
  <c r="AF340" i="1"/>
  <c r="AF339" i="1"/>
  <c r="AF338" i="1"/>
  <c r="AF337" i="1"/>
  <c r="AF336" i="1"/>
  <c r="AF335" i="1"/>
  <c r="AF334" i="1"/>
  <c r="AF333" i="1"/>
  <c r="AF332" i="1"/>
  <c r="AF331" i="1"/>
  <c r="AF330" i="1"/>
  <c r="AF329" i="1"/>
  <c r="AF328" i="1"/>
  <c r="AF327" i="1"/>
  <c r="AF326" i="1"/>
  <c r="AF325" i="1"/>
  <c r="AF324" i="1"/>
  <c r="AF323" i="1"/>
  <c r="AF322" i="1"/>
  <c r="AF321" i="1"/>
  <c r="AF320" i="1"/>
  <c r="AF319" i="1"/>
  <c r="AF318" i="1"/>
  <c r="AF317" i="1"/>
  <c r="AF316" i="1"/>
  <c r="AF315" i="1"/>
  <c r="AF314" i="1"/>
  <c r="AF313" i="1"/>
  <c r="AF312" i="1"/>
  <c r="AF311" i="1"/>
  <c r="AF310" i="1"/>
  <c r="BQ309" i="1"/>
  <c r="BP309" i="1"/>
  <c r="AI309" i="1"/>
  <c r="AF308" i="1"/>
  <c r="AF307" i="1"/>
  <c r="AF306" i="1"/>
  <c r="AF305" i="1"/>
  <c r="AF304" i="1"/>
  <c r="AF303" i="1"/>
  <c r="AF302" i="1"/>
  <c r="AF301" i="1"/>
  <c r="AF300" i="1"/>
  <c r="AF299" i="1"/>
  <c r="AF298" i="1"/>
  <c r="AF297" i="1"/>
  <c r="AF296" i="1"/>
  <c r="AF295" i="1"/>
  <c r="AF294" i="1"/>
  <c r="AF293" i="1"/>
  <c r="AF292" i="1"/>
  <c r="AF291" i="1"/>
  <c r="AF290" i="1"/>
  <c r="AF289" i="1"/>
  <c r="AF288" i="1"/>
  <c r="AF287" i="1"/>
  <c r="AF286" i="1"/>
  <c r="AF285" i="1"/>
  <c r="AF284" i="1"/>
  <c r="AF283" i="1"/>
  <c r="AF282" i="1"/>
  <c r="AF281" i="1"/>
  <c r="AF280" i="1"/>
  <c r="AF279" i="1"/>
  <c r="AF278" i="1"/>
  <c r="AF277" i="1"/>
  <c r="AF276" i="1"/>
  <c r="AF275" i="1"/>
  <c r="AF274" i="1"/>
  <c r="AF273" i="1"/>
  <c r="AF272" i="1"/>
  <c r="AF271" i="1"/>
  <c r="AF270" i="1"/>
  <c r="AF269" i="1"/>
  <c r="AF268" i="1"/>
  <c r="AF267" i="1"/>
  <c r="AF266" i="1"/>
  <c r="AF265" i="1"/>
  <c r="AF264" i="1"/>
  <c r="AF263" i="1"/>
  <c r="AF262" i="1"/>
  <c r="AF261" i="1"/>
  <c r="AF260" i="1"/>
  <c r="AF259" i="1"/>
  <c r="AF258" i="1"/>
  <c r="AF257" i="1"/>
  <c r="AF256" i="1"/>
  <c r="AF255" i="1"/>
  <c r="AF254" i="1"/>
  <c r="AF253" i="1"/>
  <c r="AF252" i="1"/>
  <c r="AF251" i="1"/>
  <c r="AF250" i="1"/>
  <c r="AF249" i="1"/>
  <c r="AF248" i="1"/>
  <c r="AF247" i="1"/>
  <c r="AF246" i="1"/>
  <c r="AF245" i="1"/>
  <c r="AF244" i="1"/>
  <c r="AF243" i="1"/>
  <c r="AF242" i="1"/>
  <c r="AF241" i="1"/>
  <c r="AF240" i="1"/>
  <c r="AF239" i="1"/>
  <c r="AF238" i="1"/>
  <c r="AF237" i="1"/>
  <c r="AF236" i="1"/>
  <c r="AF235" i="1"/>
  <c r="AF234" i="1"/>
  <c r="AF233" i="1"/>
  <c r="AF232" i="1"/>
  <c r="AF231" i="1"/>
  <c r="AF230" i="1"/>
  <c r="AF229" i="1"/>
  <c r="AF228" i="1"/>
  <c r="AF227" i="1"/>
  <c r="AF226" i="1"/>
  <c r="AF225" i="1"/>
  <c r="AF224" i="1"/>
  <c r="AF223" i="1"/>
  <c r="AF222" i="1"/>
  <c r="AF221" i="1"/>
  <c r="AF220" i="1"/>
  <c r="AF219" i="1"/>
  <c r="AF218" i="1"/>
  <c r="AF217" i="1"/>
  <c r="AF216" i="1"/>
  <c r="AF215" i="1"/>
  <c r="AF214" i="1"/>
  <c r="AF213" i="1"/>
  <c r="AF212" i="1"/>
  <c r="AF211" i="1"/>
  <c r="BQ210" i="1"/>
  <c r="BP210" i="1"/>
  <c r="AI210" i="1"/>
  <c r="AF209" i="1"/>
  <c r="AF208" i="1"/>
  <c r="AF207" i="1"/>
  <c r="AF206" i="1"/>
  <c r="AF205" i="1"/>
  <c r="AF204" i="1"/>
  <c r="AF203" i="1"/>
  <c r="AF202" i="1"/>
  <c r="AF201" i="1"/>
  <c r="AF200" i="1"/>
  <c r="AF199" i="1"/>
  <c r="AF198" i="1"/>
  <c r="AF197" i="1"/>
  <c r="AF196" i="1"/>
  <c r="AF195" i="1"/>
  <c r="AF194" i="1"/>
  <c r="AF193" i="1"/>
  <c r="AF192" i="1"/>
  <c r="AF191" i="1"/>
  <c r="AF190" i="1"/>
  <c r="AF189" i="1"/>
  <c r="AF188" i="1"/>
  <c r="AF187" i="1"/>
  <c r="AF186" i="1"/>
  <c r="AF185" i="1"/>
  <c r="AF184" i="1"/>
  <c r="AF183" i="1"/>
  <c r="AF182" i="1"/>
  <c r="AF181" i="1"/>
  <c r="AF180" i="1"/>
  <c r="AF179" i="1"/>
  <c r="AF178" i="1"/>
  <c r="AF177" i="1"/>
  <c r="AF176" i="1"/>
  <c r="AF175" i="1"/>
  <c r="AF174" i="1"/>
  <c r="AF173" i="1"/>
  <c r="AF172" i="1"/>
  <c r="AF171" i="1"/>
  <c r="AF170" i="1"/>
  <c r="AF169" i="1"/>
  <c r="AF168" i="1"/>
  <c r="AF167" i="1"/>
  <c r="AF166" i="1"/>
  <c r="AF165" i="1"/>
  <c r="AF164" i="1"/>
  <c r="AF163" i="1"/>
  <c r="AF162" i="1"/>
  <c r="AF161" i="1"/>
  <c r="AF160" i="1"/>
  <c r="AF159" i="1"/>
  <c r="AF158" i="1"/>
  <c r="AF157" i="1"/>
  <c r="AF156" i="1"/>
  <c r="AF155" i="1"/>
  <c r="AF154" i="1"/>
  <c r="AF153" i="1"/>
  <c r="AF152" i="1"/>
  <c r="AF151" i="1"/>
  <c r="AF150" i="1"/>
  <c r="AF149" i="1"/>
  <c r="AF148" i="1"/>
  <c r="AF147" i="1"/>
  <c r="AF146" i="1"/>
  <c r="AF145" i="1"/>
  <c r="AF144" i="1"/>
  <c r="AF143" i="1"/>
  <c r="AF142" i="1"/>
  <c r="AF141" i="1"/>
  <c r="AF140" i="1"/>
  <c r="AF139" i="1"/>
  <c r="AF138" i="1"/>
  <c r="AF137" i="1"/>
  <c r="AF136" i="1"/>
  <c r="AF135" i="1"/>
  <c r="AF134" i="1"/>
  <c r="AF133" i="1"/>
  <c r="AF132" i="1"/>
  <c r="AF131" i="1"/>
  <c r="AF130" i="1"/>
  <c r="AF129" i="1"/>
  <c r="AF128" i="1"/>
  <c r="AF127" i="1"/>
  <c r="AF126" i="1"/>
  <c r="AF125" i="1"/>
  <c r="AF124" i="1"/>
  <c r="AF123" i="1"/>
  <c r="AF122" i="1"/>
  <c r="AF121" i="1"/>
  <c r="AF120" i="1"/>
  <c r="AF119" i="1"/>
  <c r="AF118" i="1"/>
  <c r="AF117" i="1"/>
  <c r="AF116" i="1"/>
  <c r="AF115" i="1"/>
  <c r="BQ114" i="1"/>
  <c r="BP114" i="1"/>
  <c r="BI114" i="1"/>
  <c r="AF113" i="1"/>
  <c r="AF112" i="1"/>
  <c r="AF111" i="1"/>
  <c r="AF110" i="1"/>
  <c r="AF109" i="1"/>
  <c r="AF108" i="1"/>
  <c r="AF107" i="1"/>
  <c r="AF106" i="1"/>
  <c r="AF105" i="1"/>
  <c r="AF104" i="1"/>
  <c r="AF103" i="1"/>
  <c r="AF102" i="1"/>
  <c r="AF101" i="1"/>
  <c r="AF100" i="1"/>
  <c r="AF99" i="1"/>
  <c r="AF98" i="1"/>
  <c r="AF97" i="1"/>
  <c r="AF96" i="1"/>
  <c r="AF95" i="1"/>
  <c r="AF94" i="1"/>
  <c r="AF93" i="1"/>
  <c r="AF92" i="1"/>
  <c r="AF91" i="1"/>
  <c r="AF90" i="1"/>
  <c r="AF89" i="1"/>
  <c r="AF88" i="1"/>
  <c r="AF87" i="1"/>
  <c r="AF86" i="1"/>
  <c r="AF85" i="1"/>
  <c r="AF84" i="1"/>
  <c r="AF83" i="1"/>
  <c r="AF82" i="1"/>
  <c r="AF81" i="1"/>
  <c r="AF80" i="1"/>
  <c r="AF79" i="1"/>
  <c r="AF78" i="1"/>
  <c r="AF77" i="1"/>
  <c r="AF76" i="1"/>
  <c r="AF75" i="1"/>
  <c r="AF74" i="1"/>
  <c r="AF73" i="1"/>
  <c r="AF72" i="1"/>
  <c r="AF71" i="1"/>
  <c r="AF70" i="1"/>
  <c r="AF69" i="1"/>
  <c r="AF68" i="1"/>
  <c r="AF67" i="1"/>
  <c r="AF66" i="1"/>
  <c r="AF65" i="1"/>
  <c r="AF64" i="1"/>
  <c r="AF63" i="1"/>
  <c r="AF62" i="1"/>
  <c r="AF61" i="1"/>
  <c r="AF60" i="1"/>
  <c r="AF59" i="1"/>
  <c r="AF58" i="1"/>
  <c r="AF57" i="1"/>
  <c r="AF56" i="1"/>
  <c r="AF55" i="1"/>
  <c r="AF54" i="1"/>
  <c r="AF53" i="1"/>
  <c r="AF52" i="1"/>
  <c r="AF51" i="1"/>
  <c r="AF50" i="1"/>
  <c r="AF49" i="1"/>
  <c r="AF48" i="1"/>
  <c r="AF47" i="1"/>
  <c r="AF46" i="1"/>
  <c r="AF45" i="1"/>
  <c r="AF44" i="1"/>
  <c r="AF43" i="1"/>
  <c r="AF42" i="1"/>
  <c r="AF41" i="1"/>
  <c r="AF40" i="1"/>
  <c r="AF39" i="1"/>
  <c r="AF38" i="1"/>
  <c r="AF37" i="1"/>
  <c r="AF36" i="1"/>
  <c r="AF35" i="1"/>
  <c r="AF34" i="1"/>
  <c r="AF33" i="1"/>
  <c r="AF32" i="1"/>
  <c r="AF31" i="1"/>
  <c r="AF30" i="1"/>
  <c r="AF29" i="1"/>
  <c r="AF28" i="1"/>
  <c r="AF27" i="1"/>
  <c r="AF26" i="1"/>
  <c r="AF25" i="1"/>
  <c r="AF24" i="1"/>
  <c r="AF23" i="1"/>
  <c r="AF22" i="1"/>
  <c r="AF21" i="1"/>
  <c r="AF20" i="1"/>
  <c r="AF19" i="1"/>
  <c r="AF18" i="1"/>
  <c r="AF17" i="1"/>
  <c r="AF16" i="1"/>
  <c r="AF15" i="1"/>
  <c r="AF14" i="1"/>
  <c r="AF13" i="1"/>
  <c r="AF12" i="1"/>
  <c r="AF11" i="1"/>
  <c r="AF10" i="1"/>
  <c r="AF9" i="1"/>
  <c r="AF8" i="1"/>
  <c r="AF7" i="1"/>
  <c r="AF6" i="1"/>
  <c r="AF5" i="1"/>
  <c r="AG5" i="1" s="1"/>
  <c r="BQ4" i="1"/>
  <c r="AF8129" i="1" l="1"/>
  <c r="AF8186" i="1"/>
  <c r="AF8192" i="1"/>
  <c r="AF8214" i="1"/>
  <c r="AF8218" i="1"/>
  <c r="AF8222" i="1"/>
  <c r="AF8226" i="1"/>
  <c r="AF8230" i="1"/>
  <c r="AF8234" i="1"/>
  <c r="AF8238" i="1"/>
  <c r="AF8242" i="1"/>
  <c r="AF8252" i="1"/>
  <c r="AF8128" i="1"/>
  <c r="AF8133" i="1"/>
  <c r="AF8136" i="1"/>
  <c r="BI8174" i="1"/>
  <c r="AF8176" i="1"/>
  <c r="AF8180" i="1"/>
  <c r="AF8124" i="1"/>
  <c r="AF8118" i="1"/>
  <c r="AF8122" i="1"/>
  <c r="BQ8267" i="1"/>
  <c r="AF8175" i="1"/>
  <c r="AF8179" i="1"/>
  <c r="AF8183" i="1"/>
  <c r="AF8199" i="1"/>
  <c r="AF8205" i="1"/>
  <c r="AF8215" i="1"/>
  <c r="AF8219" i="1"/>
  <c r="AF8223" i="1"/>
  <c r="AF8227" i="1"/>
  <c r="AF8231" i="1"/>
  <c r="AF8235" i="1"/>
  <c r="AF8239" i="1"/>
  <c r="AF8243" i="1"/>
  <c r="AF8261" i="1"/>
  <c r="AF8265" i="1"/>
  <c r="BP1303" i="1"/>
  <c r="AF1316" i="1"/>
  <c r="AF1317" i="1"/>
  <c r="AF1320" i="1"/>
  <c r="AF5889" i="1"/>
  <c r="AF5891" i="1"/>
  <c r="AF5893" i="1"/>
  <c r="AF5895" i="1"/>
  <c r="AF5897" i="1"/>
  <c r="AF5899" i="1"/>
  <c r="AF5901" i="1"/>
  <c r="AF5903" i="1"/>
  <c r="AF5905" i="1"/>
  <c r="AF5907" i="1"/>
  <c r="AF5909" i="1"/>
  <c r="AF5911" i="1"/>
  <c r="AF1321" i="1"/>
  <c r="BP2199" i="1"/>
  <c r="BQ1303" i="1"/>
  <c r="AF1315" i="1"/>
  <c r="AF1319" i="1"/>
  <c r="BP5089" i="1"/>
  <c r="BP5127" i="1"/>
  <c r="AF8115" i="1"/>
  <c r="AF8117" i="1"/>
  <c r="AF8119" i="1"/>
  <c r="AF8120" i="1"/>
  <c r="AF8125" i="1"/>
  <c r="AF8130" i="1"/>
  <c r="AF8135" i="1"/>
  <c r="BQ8174" i="1"/>
  <c r="AF8178" i="1"/>
  <c r="AF8182" i="1"/>
  <c r="AF8189" i="1"/>
  <c r="AF8190" i="1"/>
  <c r="AF8193" i="1"/>
  <c r="AF8196" i="1"/>
  <c r="AF8200" i="1"/>
  <c r="AF8202" i="1"/>
  <c r="AF8203" i="1"/>
  <c r="AF8206" i="1"/>
  <c r="AF8210" i="1"/>
  <c r="AF8211" i="1"/>
  <c r="AF8217" i="1"/>
  <c r="AF8221" i="1"/>
  <c r="AF8225" i="1"/>
  <c r="AF8229" i="1"/>
  <c r="AF8233" i="1"/>
  <c r="AF8237" i="1"/>
  <c r="AF8241" i="1"/>
  <c r="AF8246" i="1"/>
  <c r="AF8248" i="1"/>
  <c r="AF8250" i="1"/>
  <c r="AF8254" i="1"/>
  <c r="AF8256" i="1"/>
  <c r="AF8259" i="1"/>
  <c r="AF8262" i="1"/>
  <c r="AF8263" i="1"/>
  <c r="BI8267" i="1"/>
  <c r="BQ2388" i="1"/>
  <c r="AF1314" i="1"/>
  <c r="AF1318" i="1"/>
  <c r="AF1322" i="1"/>
  <c r="BQ1427" i="1"/>
  <c r="BQ2199" i="1"/>
  <c r="BQ4190" i="1"/>
  <c r="BQ5089" i="1"/>
  <c r="BQ5127" i="1"/>
  <c r="BQ5297" i="1"/>
  <c r="BP5297" i="1"/>
  <c r="BP2388" i="1"/>
  <c r="AF5890" i="1"/>
  <c r="AF5892" i="1"/>
  <c r="AF5894" i="1"/>
  <c r="AF5896" i="1"/>
  <c r="AF5898" i="1"/>
  <c r="AF5900" i="1"/>
  <c r="AF5902" i="1"/>
  <c r="AF5904" i="1"/>
  <c r="AF5906" i="1"/>
  <c r="AF5908" i="1"/>
  <c r="AF5910" i="1"/>
  <c r="AF5912" i="1"/>
  <c r="AF8116" i="1"/>
  <c r="AF8121" i="1"/>
  <c r="AF8123" i="1"/>
  <c r="AF8126" i="1"/>
  <c r="AF8134" i="1"/>
  <c r="AF8177" i="1"/>
  <c r="AF8181" i="1"/>
  <c r="AF8187" i="1"/>
  <c r="AF8191" i="1"/>
  <c r="AF8195" i="1"/>
  <c r="AF8201" i="1"/>
  <c r="AF8208" i="1"/>
  <c r="AF8216" i="1"/>
  <c r="AF8220" i="1"/>
  <c r="AF8224" i="1"/>
  <c r="AF8228" i="1"/>
  <c r="AF8232" i="1"/>
  <c r="AF8236" i="1"/>
  <c r="AF8240" i="1"/>
  <c r="AF8245" i="1"/>
  <c r="AF8247" i="1"/>
  <c r="AF8253" i="1"/>
  <c r="AF8255" i="1"/>
  <c r="AF8258" i="1"/>
  <c r="AF8260" i="1"/>
  <c r="AF8264" i="1"/>
  <c r="BI8370" i="1"/>
  <c r="BQ8370" i="1"/>
  <c r="BQ8420" i="1"/>
  <c r="E12" i="14"/>
  <c r="AU8143" i="1"/>
  <c r="BA8144" i="1"/>
  <c r="AZ8144" i="1" s="1"/>
  <c r="AY8144" i="1" s="1"/>
  <c r="AF8249" i="1"/>
  <c r="BN1528" i="1"/>
  <c r="BQ1528" i="1" s="1"/>
  <c r="BP4190" i="1"/>
  <c r="AF8127" i="1"/>
  <c r="AF8185" i="1"/>
  <c r="AF8204" i="1"/>
  <c r="AF8212" i="1"/>
  <c r="AF8251" i="1"/>
  <c r="BI8420" i="1"/>
  <c r="E11" i="14"/>
  <c r="E15" i="14"/>
  <c r="E10" i="14"/>
  <c r="E13" i="14"/>
  <c r="E7" i="14"/>
  <c r="E9" i="14"/>
  <c r="E6" i="14"/>
  <c r="E8" i="14"/>
  <c r="B42" i="14"/>
  <c r="F42" i="14" s="1"/>
  <c r="F47" i="14" s="1"/>
  <c r="C4853" i="16"/>
  <c r="BP1528" i="1" l="1"/>
  <c r="Q17" i="14"/>
  <c r="Q12" i="14"/>
  <c r="Q19" i="14"/>
  <c r="Q23" i="14"/>
  <c r="Q11" i="14"/>
  <c r="Q14" i="14"/>
  <c r="Q21" i="14"/>
  <c r="Q15" i="14"/>
  <c r="Q13" i="14"/>
  <c r="Q18" i="14"/>
  <c r="Q24" i="14"/>
  <c r="Q22" i="14"/>
  <c r="Q20" i="14"/>
  <c r="Q16" i="14"/>
  <c r="Q10" i="14"/>
  <c r="AI4" i="1"/>
  <c r="Q25" i="14" l="1"/>
</calcChain>
</file>

<file path=xl/comments1.xml><?xml version="1.0" encoding="utf-8"?>
<comments xmlns="http://schemas.openxmlformats.org/spreadsheetml/2006/main">
  <authors>
    <author>Darren</author>
    <author>Civil Engineering</author>
    <author>Darren Hinton</author>
    <author>D Hinton</author>
    <author>Daniel McCormick</author>
    <author>National Forest Service</author>
    <author>Rachel</author>
    <author>Lindsay D Esplin</author>
  </authors>
  <commentList>
    <comment ref="A2" authorId="0">
      <text>
        <r>
          <rPr>
            <b/>
            <sz val="9"/>
            <color indexed="81"/>
            <rFont val="Tahoma"/>
            <family val="2"/>
          </rPr>
          <t>Darren:</t>
        </r>
        <r>
          <rPr>
            <sz val="9"/>
            <color indexed="81"/>
            <rFont val="Tahoma"/>
            <family val="2"/>
          </rPr>
          <t xml:space="preserve">
River or Creek Name</t>
        </r>
      </text>
    </comment>
    <comment ref="E2" authorId="0">
      <text>
        <r>
          <rPr>
            <b/>
            <sz val="9"/>
            <color indexed="81"/>
            <rFont val="Tahoma"/>
            <family val="2"/>
          </rPr>
          <t>Darren:</t>
        </r>
        <r>
          <rPr>
            <sz val="9"/>
            <color indexed="81"/>
            <rFont val="Tahoma"/>
            <family val="2"/>
          </rPr>
          <t xml:space="preserve">
Rating (5% each):
1.  Drainage Area
2.  Sampling Method
3.  Flow Sampling Method
4.  Date
5.  Flow
6.  Bulk Transport Rate
7.  Transport PSD
8.  Largest grain size moved
9.  Slope
10.  Subsurface d50
11.  Subsurface PSD
12.  Surface d50
13.  Surface PSD
14.  Grain Size Measurement Method
15.  Bankfull Q
16.  Bankfull Geometry
17.  Rosgen Data
18.  Channel Width
19.  Channel Depth (avg)
20.  Region/State</t>
        </r>
      </text>
    </comment>
    <comment ref="H2" authorId="0">
      <text>
        <r>
          <rPr>
            <b/>
            <sz val="9"/>
            <color indexed="81"/>
            <rFont val="Tahoma"/>
            <family val="2"/>
          </rPr>
          <t>Darren:</t>
        </r>
        <r>
          <rPr>
            <sz val="9"/>
            <color indexed="81"/>
            <rFont val="Tahoma"/>
            <family val="2"/>
          </rPr>
          <t xml:space="preserve">
Helley-Smith, Net Trap, Pit Trap, Belt Sampler, Vortex Sampler, etc.</t>
        </r>
      </text>
    </comment>
    <comment ref="I2" authorId="0">
      <text>
        <r>
          <rPr>
            <b/>
            <sz val="9"/>
            <color indexed="81"/>
            <rFont val="Tahoma"/>
            <family val="2"/>
          </rPr>
          <t>Number of intervals used along the channel cross section.</t>
        </r>
      </text>
    </comment>
    <comment ref="J2" authorId="0">
      <text>
        <r>
          <rPr>
            <b/>
            <sz val="9"/>
            <color indexed="81"/>
            <rFont val="Tahoma"/>
            <family val="2"/>
          </rPr>
          <t>Duration of each sampling interval in minutes.</t>
        </r>
      </text>
    </comment>
    <comment ref="K2" authorId="0">
      <text>
        <r>
          <rPr>
            <b/>
            <sz val="9"/>
            <color indexed="81"/>
            <rFont val="Tahoma"/>
            <family val="2"/>
          </rPr>
          <t>The number of passes across the various intervals composing the cross-section. Typically one or two.</t>
        </r>
      </text>
    </comment>
    <comment ref="AC2" authorId="1">
      <text>
        <r>
          <rPr>
            <b/>
            <sz val="8"/>
            <color indexed="81"/>
            <rFont val="Tahoma"/>
            <family val="2"/>
          </rPr>
          <t>Civil Engineering:</t>
        </r>
        <r>
          <rPr>
            <sz val="8"/>
            <color indexed="81"/>
            <rFont val="Tahoma"/>
            <family val="2"/>
          </rPr>
          <t xml:space="preserve">
Water Surface Slope - unless otherwise specified</t>
        </r>
      </text>
    </comment>
    <comment ref="AD2" authorId="0">
      <text>
        <r>
          <rPr>
            <b/>
            <sz val="9"/>
            <color indexed="81"/>
            <rFont val="Tahoma"/>
            <family val="2"/>
          </rPr>
          <t>Width of the channel cross-section at water surface.</t>
        </r>
      </text>
    </comment>
    <comment ref="AH2" authorId="2">
      <text>
        <r>
          <rPr>
            <sz val="12"/>
            <color indexed="81"/>
            <rFont val="Tahoma"/>
            <family val="2"/>
          </rPr>
          <t>Channel cross sectional geometry is included as an array of x-y data. Format is: [x1,y1],[x2,y2],…[xi,yi]</t>
        </r>
      </text>
    </comment>
    <comment ref="BI2" authorId="0">
      <text>
        <r>
          <rPr>
            <b/>
            <sz val="9"/>
            <color indexed="81"/>
            <rFont val="Tahoma"/>
            <family val="2"/>
          </rPr>
          <t>Darren:</t>
        </r>
        <r>
          <rPr>
            <sz val="9"/>
            <color indexed="81"/>
            <rFont val="Tahoma"/>
            <family val="2"/>
          </rPr>
          <t xml:space="preserve">
Surface d50 / Subsurface d50</t>
        </r>
      </text>
    </comment>
    <comment ref="BL2" authorId="0">
      <text>
        <r>
          <rPr>
            <b/>
            <sz val="9"/>
            <color indexed="81"/>
            <rFont val="Tahoma"/>
            <family val="2"/>
          </rPr>
          <t>Darren:</t>
        </r>
        <r>
          <rPr>
            <sz val="9"/>
            <color indexed="81"/>
            <rFont val="Tahoma"/>
            <family val="2"/>
          </rPr>
          <t xml:space="preserve">
Based on stream gauge data regression.</t>
        </r>
      </text>
    </comment>
    <comment ref="BM2" authorId="0">
      <text>
        <r>
          <rPr>
            <b/>
            <sz val="9"/>
            <color indexed="81"/>
            <rFont val="Tahoma"/>
            <family val="2"/>
          </rPr>
          <t>Darren:</t>
        </r>
        <r>
          <rPr>
            <sz val="9"/>
            <color indexed="81"/>
            <rFont val="Tahoma"/>
            <family val="2"/>
          </rPr>
          <t xml:space="preserve">
Based on a field visit and determination using physical paraters</t>
        </r>
      </text>
    </comment>
    <comment ref="BR2" authorId="0">
      <text>
        <r>
          <rPr>
            <b/>
            <sz val="9"/>
            <color indexed="81"/>
            <rFont val="Tahoma"/>
            <family val="2"/>
          </rPr>
          <t>Montgomery &amp; Buffington Classification:
Colluvial, Bedrock, Cascade, Step Pool, Plane Bed, Pool Riffle, and Dune Ripple</t>
        </r>
      </text>
    </comment>
    <comment ref="BY2" authorId="0">
      <text>
        <r>
          <rPr>
            <b/>
            <sz val="9"/>
            <color indexed="81"/>
            <rFont val="Tahoma"/>
            <family val="2"/>
          </rPr>
          <t>Darren:</t>
        </r>
        <r>
          <rPr>
            <sz val="9"/>
            <color indexed="81"/>
            <rFont val="Tahoma"/>
            <family val="2"/>
          </rPr>
          <t xml:space="preserve">
B3, C4, etc.</t>
        </r>
      </text>
    </comment>
    <comment ref="BZ2" authorId="0">
      <text>
        <r>
          <rPr>
            <sz val="9"/>
            <color indexed="81"/>
            <rFont val="Tahoma"/>
            <family val="2"/>
          </rPr>
          <t>Good, fair, or poor</t>
        </r>
      </text>
    </comment>
    <comment ref="BJ3" authorId="0">
      <text>
        <r>
          <rPr>
            <b/>
            <sz val="9"/>
            <color indexed="81"/>
            <rFont val="Tahoma"/>
            <family val="2"/>
          </rPr>
          <t>Darren:</t>
        </r>
        <r>
          <rPr>
            <sz val="9"/>
            <color indexed="81"/>
            <rFont val="Tahoma"/>
            <family val="2"/>
          </rPr>
          <t xml:space="preserve">
Bulk core sample, frozen core sample, etc.</t>
        </r>
      </text>
    </comment>
    <comment ref="BK3" authorId="0">
      <text>
        <r>
          <rPr>
            <b/>
            <sz val="9"/>
            <color indexed="81"/>
            <rFont val="Tahoma"/>
            <family val="2"/>
          </rPr>
          <t>Darren:</t>
        </r>
        <r>
          <rPr>
            <sz val="9"/>
            <color indexed="81"/>
            <rFont val="Tahoma"/>
            <family val="2"/>
          </rPr>
          <t xml:space="preserve">
Pebble count, bulk core sample, etc.</t>
        </r>
      </text>
    </comment>
    <comment ref="V4" authorId="3">
      <text>
        <r>
          <rPr>
            <b/>
            <sz val="9"/>
            <color indexed="81"/>
            <rFont val="Tahoma"/>
            <charset val="1"/>
          </rPr>
          <t>Less than 2 mm</t>
        </r>
      </text>
    </comment>
    <comment ref="AC4" authorId="1">
      <text>
        <r>
          <rPr>
            <b/>
            <sz val="8"/>
            <color indexed="81"/>
            <rFont val="Tahoma"/>
            <family val="2"/>
          </rPr>
          <t>Civil Engineering:</t>
        </r>
        <r>
          <rPr>
            <sz val="8"/>
            <color indexed="81"/>
            <rFont val="Tahoma"/>
            <family val="2"/>
          </rPr>
          <t xml:space="preserve">
Water Surface Slope</t>
        </r>
      </text>
    </comment>
    <comment ref="BL4" authorId="0">
      <text>
        <r>
          <rPr>
            <b/>
            <sz val="9"/>
            <color indexed="81"/>
            <rFont val="Tahoma"/>
            <family val="2"/>
          </rPr>
          <t>Darren:</t>
        </r>
        <r>
          <rPr>
            <sz val="9"/>
            <color indexed="81"/>
            <rFont val="Tahoma"/>
            <family val="2"/>
          </rPr>
          <t xml:space="preserve">
1.5-yr return period</t>
        </r>
      </text>
    </comment>
    <comment ref="V114" authorId="3">
      <text>
        <r>
          <rPr>
            <b/>
            <sz val="9"/>
            <color indexed="81"/>
            <rFont val="Tahoma"/>
            <charset val="1"/>
          </rPr>
          <t>Less than 2 mm</t>
        </r>
      </text>
    </comment>
    <comment ref="AC114" authorId="1">
      <text>
        <r>
          <rPr>
            <b/>
            <sz val="8"/>
            <color indexed="81"/>
            <rFont val="Tahoma"/>
            <family val="2"/>
          </rPr>
          <t>Civil Engineering:</t>
        </r>
        <r>
          <rPr>
            <sz val="8"/>
            <color indexed="81"/>
            <rFont val="Tahoma"/>
            <family val="2"/>
          </rPr>
          <t xml:space="preserve">
Water Surface Slope</t>
        </r>
      </text>
    </comment>
    <comment ref="BL114" authorId="0">
      <text>
        <r>
          <rPr>
            <b/>
            <sz val="9"/>
            <color indexed="81"/>
            <rFont val="Tahoma"/>
            <family val="2"/>
          </rPr>
          <t>Darren:</t>
        </r>
        <r>
          <rPr>
            <sz val="9"/>
            <color indexed="81"/>
            <rFont val="Tahoma"/>
            <family val="2"/>
          </rPr>
          <t xml:space="preserve">
1.5-yr Return Period</t>
        </r>
      </text>
    </comment>
    <comment ref="V210" authorId="3">
      <text>
        <r>
          <rPr>
            <b/>
            <sz val="9"/>
            <color indexed="81"/>
            <rFont val="Tahoma"/>
            <charset val="1"/>
          </rPr>
          <t>Less than 2 mm</t>
        </r>
      </text>
    </comment>
    <comment ref="AV210" authorId="0">
      <text>
        <r>
          <rPr>
            <b/>
            <sz val="12"/>
            <color indexed="81"/>
            <rFont val="Tahoma"/>
            <family val="2"/>
          </rPr>
          <t>100 percent passing the 2,048 mm sieve</t>
        </r>
      </text>
    </comment>
    <comment ref="V309" authorId="3">
      <text>
        <r>
          <rPr>
            <b/>
            <sz val="9"/>
            <color indexed="81"/>
            <rFont val="Tahoma"/>
            <charset val="1"/>
          </rPr>
          <t>Less than 2 mm</t>
        </r>
      </text>
    </comment>
    <comment ref="AC309" authorId="1">
      <text>
        <r>
          <rPr>
            <b/>
            <sz val="8"/>
            <color indexed="81"/>
            <rFont val="Tahoma"/>
            <family val="2"/>
          </rPr>
          <t>Civil Engineering:</t>
        </r>
        <r>
          <rPr>
            <sz val="8"/>
            <color indexed="81"/>
            <rFont val="Tahoma"/>
            <family val="2"/>
          </rPr>
          <t xml:space="preserve">
Water Surface Slope</t>
        </r>
      </text>
    </comment>
    <comment ref="AC427" authorId="1">
      <text>
        <r>
          <rPr>
            <b/>
            <sz val="8"/>
            <color indexed="81"/>
            <rFont val="Tahoma"/>
            <family val="2"/>
          </rPr>
          <t>Civil Engineering:</t>
        </r>
        <r>
          <rPr>
            <sz val="8"/>
            <color indexed="81"/>
            <rFont val="Tahoma"/>
            <family val="2"/>
          </rPr>
          <t xml:space="preserve">
Water Surface Slope</t>
        </r>
      </text>
    </comment>
    <comment ref="AC745" authorId="1">
      <text>
        <r>
          <rPr>
            <b/>
            <sz val="8"/>
            <color indexed="81"/>
            <rFont val="Tahoma"/>
            <family val="2"/>
          </rPr>
          <t>Civil Engineering:</t>
        </r>
        <r>
          <rPr>
            <sz val="8"/>
            <color indexed="81"/>
            <rFont val="Tahoma"/>
            <family val="2"/>
          </rPr>
          <t xml:space="preserve">
Water Surface Slope</t>
        </r>
      </text>
    </comment>
    <comment ref="AC935" authorId="1">
      <text>
        <r>
          <rPr>
            <b/>
            <sz val="8"/>
            <color indexed="81"/>
            <rFont val="Tahoma"/>
            <family val="2"/>
          </rPr>
          <t>Civil Engineering:</t>
        </r>
        <r>
          <rPr>
            <sz val="8"/>
            <color indexed="81"/>
            <rFont val="Tahoma"/>
            <family val="2"/>
          </rPr>
          <t xml:space="preserve">
Water Surface Slope</t>
        </r>
      </text>
    </comment>
    <comment ref="AV935" authorId="0">
      <text>
        <r>
          <rPr>
            <b/>
            <sz val="12"/>
            <color indexed="81"/>
            <rFont val="Tahoma"/>
            <family val="2"/>
          </rPr>
          <t>100 percent passing the 1,448 mm sieve</t>
        </r>
      </text>
    </comment>
    <comment ref="BL1029" authorId="0">
      <text>
        <r>
          <rPr>
            <b/>
            <sz val="9"/>
            <color indexed="81"/>
            <rFont val="Tahoma"/>
            <family val="2"/>
          </rPr>
          <t>Sandra Ryan-Burkett:  based on Log Pearson III analysis on gage data.  Gage data may have had some stability issues that would affect the quality of the data.  2.14 cms is the estimate from the field.</t>
        </r>
      </text>
    </comment>
    <comment ref="N1090" authorId="0">
      <text>
        <r>
          <rPr>
            <sz val="12"/>
            <color indexed="81"/>
            <rFont val="Tahoma"/>
            <family val="2"/>
          </rPr>
          <t>Installed and calibrated a water level recorder in addition to upstream gage.</t>
        </r>
      </text>
    </comment>
    <comment ref="O1090" authorId="0">
      <text>
        <r>
          <rPr>
            <b/>
            <sz val="9"/>
            <color indexed="81"/>
            <rFont val="Tahoma"/>
            <family val="2"/>
          </rPr>
          <t>Darren:</t>
        </r>
        <r>
          <rPr>
            <sz val="9"/>
            <color indexed="81"/>
            <rFont val="Tahoma"/>
            <family val="2"/>
          </rPr>
          <t xml:space="preserve">
Data originally in g/hr.  Converted to kg/s by dividing by 3,600,600</t>
        </r>
      </text>
    </comment>
    <comment ref="P1303" authorId="0">
      <text>
        <r>
          <rPr>
            <b/>
            <sz val="9"/>
            <color indexed="81"/>
            <rFont val="Tahoma"/>
            <family val="2"/>
          </rPr>
          <t>Darren:</t>
        </r>
        <r>
          <rPr>
            <sz val="9"/>
            <color indexed="81"/>
            <rFont val="Tahoma"/>
            <family val="2"/>
          </rPr>
          <t xml:space="preserve">
For samples with 2 traverses, percentages used are based on traverse 1.  </t>
        </r>
      </text>
    </comment>
    <comment ref="Q1303" authorId="0">
      <text>
        <r>
          <rPr>
            <b/>
            <sz val="9"/>
            <color indexed="81"/>
            <rFont val="Tahoma"/>
            <family val="2"/>
          </rPr>
          <t>Darren:</t>
        </r>
        <r>
          <rPr>
            <sz val="9"/>
            <color indexed="81"/>
            <rFont val="Tahoma"/>
            <family val="2"/>
          </rPr>
          <t xml:space="preserve">
For samples with 2 traverses, percentages used are based on traverse 1.  </t>
        </r>
      </text>
    </comment>
    <comment ref="R1303" authorId="0">
      <text>
        <r>
          <rPr>
            <b/>
            <sz val="9"/>
            <color indexed="81"/>
            <rFont val="Tahoma"/>
            <family val="2"/>
          </rPr>
          <t>Darren:</t>
        </r>
        <r>
          <rPr>
            <sz val="9"/>
            <color indexed="81"/>
            <rFont val="Tahoma"/>
            <family val="2"/>
          </rPr>
          <t xml:space="preserve">
For samples with 2 traverses, percentages used are based on traverse 1.  </t>
        </r>
      </text>
    </comment>
    <comment ref="S1303" authorId="0">
      <text>
        <r>
          <rPr>
            <b/>
            <sz val="9"/>
            <color indexed="81"/>
            <rFont val="Tahoma"/>
            <family val="2"/>
          </rPr>
          <t>Darren:</t>
        </r>
        <r>
          <rPr>
            <sz val="9"/>
            <color indexed="81"/>
            <rFont val="Tahoma"/>
            <family val="2"/>
          </rPr>
          <t xml:space="preserve">
For samples with 2 traverses, percentages used are based on traverse 1.  </t>
        </r>
      </text>
    </comment>
    <comment ref="T1303" authorId="0">
      <text>
        <r>
          <rPr>
            <b/>
            <sz val="9"/>
            <color indexed="81"/>
            <rFont val="Tahoma"/>
            <family val="2"/>
          </rPr>
          <t>Darren:</t>
        </r>
        <r>
          <rPr>
            <sz val="9"/>
            <color indexed="81"/>
            <rFont val="Tahoma"/>
            <family val="2"/>
          </rPr>
          <t xml:space="preserve">
For samples with 2 traverses, percentages used are based on traverse 1.  </t>
        </r>
      </text>
    </comment>
    <comment ref="U1303" authorId="0">
      <text>
        <r>
          <rPr>
            <b/>
            <sz val="9"/>
            <color indexed="81"/>
            <rFont val="Tahoma"/>
            <family val="2"/>
          </rPr>
          <t>Darren:</t>
        </r>
        <r>
          <rPr>
            <sz val="9"/>
            <color indexed="81"/>
            <rFont val="Tahoma"/>
            <family val="2"/>
          </rPr>
          <t xml:space="preserve">
For samples with 2 traverses, percentages used are based on traverse 1.  </t>
        </r>
      </text>
    </comment>
    <comment ref="AA1303" authorId="0">
      <text>
        <r>
          <rPr>
            <b/>
            <sz val="9"/>
            <color indexed="81"/>
            <rFont val="Tahoma"/>
            <family val="2"/>
          </rPr>
          <t>When available, bedload D50 is the average of 2 traverses.</t>
        </r>
      </text>
    </comment>
    <comment ref="AK1303" authorId="0">
      <text>
        <r>
          <rPr>
            <b/>
            <sz val="9"/>
            <color indexed="81"/>
            <rFont val="Tahoma"/>
            <family val="2"/>
          </rPr>
          <t>Average of 6 Barrel Samples from 2000</t>
        </r>
      </text>
    </comment>
    <comment ref="AL1303" authorId="0">
      <text>
        <r>
          <rPr>
            <b/>
            <sz val="9"/>
            <color indexed="81"/>
            <rFont val="Tahoma"/>
            <family val="2"/>
          </rPr>
          <t>Average of 6 Barrel Samples from 2000</t>
        </r>
      </text>
    </comment>
    <comment ref="AM1303" authorId="0">
      <text>
        <r>
          <rPr>
            <b/>
            <sz val="9"/>
            <color indexed="81"/>
            <rFont val="Tahoma"/>
            <family val="2"/>
          </rPr>
          <t>Average of 6 Barrel Samples from 2000</t>
        </r>
      </text>
    </comment>
    <comment ref="AN1303" authorId="0">
      <text>
        <r>
          <rPr>
            <b/>
            <sz val="9"/>
            <color indexed="81"/>
            <rFont val="Tahoma"/>
            <family val="2"/>
          </rPr>
          <t>Average of 6 Barrel Samples from 2000</t>
        </r>
      </text>
    </comment>
    <comment ref="AO1303" authorId="0">
      <text>
        <r>
          <rPr>
            <b/>
            <sz val="9"/>
            <color indexed="81"/>
            <rFont val="Tahoma"/>
            <family val="2"/>
          </rPr>
          <t>Average of 6 Barrel Samples from 2000</t>
        </r>
      </text>
    </comment>
    <comment ref="AP1303" authorId="0">
      <text>
        <r>
          <rPr>
            <b/>
            <sz val="9"/>
            <color indexed="81"/>
            <rFont val="Tahoma"/>
            <family val="2"/>
          </rPr>
          <t>Average of 6 Barrel Samples from 2000</t>
        </r>
      </text>
    </comment>
    <comment ref="AQ1303" authorId="0">
      <text>
        <r>
          <rPr>
            <b/>
            <sz val="9"/>
            <color indexed="81"/>
            <rFont val="Tahoma"/>
            <family val="2"/>
          </rPr>
          <t>Average of 6 Barrel Samples from 2000</t>
        </r>
      </text>
    </comment>
    <comment ref="AY1303" authorId="0">
      <text>
        <r>
          <rPr>
            <b/>
            <sz val="9"/>
            <color indexed="81"/>
            <rFont val="Tahoma"/>
            <family val="2"/>
          </rPr>
          <t>Average of 6 Barrel Samples and 3 Pebble Counts between 1994 and 2000</t>
        </r>
      </text>
    </comment>
    <comment ref="AZ1303" authorId="0">
      <text>
        <r>
          <rPr>
            <b/>
            <sz val="9"/>
            <color indexed="81"/>
            <rFont val="Tahoma"/>
            <family val="2"/>
          </rPr>
          <t>Average of 6 Barrel Samples and 3 Pebble Counts between 1994 and 2000</t>
        </r>
      </text>
    </comment>
    <comment ref="BA1303" authorId="0">
      <text>
        <r>
          <rPr>
            <b/>
            <sz val="9"/>
            <color indexed="81"/>
            <rFont val="Tahoma"/>
            <family val="2"/>
          </rPr>
          <t>Average of 6 Barrel Samples and 3 Pebble Counts between 1994 and 2000</t>
        </r>
      </text>
    </comment>
    <comment ref="BB1303" authorId="0">
      <text>
        <r>
          <rPr>
            <b/>
            <sz val="9"/>
            <color indexed="81"/>
            <rFont val="Tahoma"/>
            <family val="2"/>
          </rPr>
          <t>Average of 6 Barrel Samples and 3 Pebble Counts between 1994 and 2000</t>
        </r>
      </text>
    </comment>
    <comment ref="BC1303" authorId="0">
      <text>
        <r>
          <rPr>
            <b/>
            <sz val="9"/>
            <color indexed="81"/>
            <rFont val="Tahoma"/>
            <family val="2"/>
          </rPr>
          <t>Average of 6 Barrel Samples and 3 Pebble Counts between 1994 and 2000</t>
        </r>
      </text>
    </comment>
    <comment ref="BD1303" authorId="0">
      <text>
        <r>
          <rPr>
            <b/>
            <sz val="9"/>
            <color indexed="81"/>
            <rFont val="Tahoma"/>
            <family val="2"/>
          </rPr>
          <t>Average of 6 Barrel Samples and 3 Pebble Counts between 1994 and 2000</t>
        </r>
      </text>
    </comment>
    <comment ref="BE1303" authorId="0">
      <text>
        <r>
          <rPr>
            <b/>
            <sz val="9"/>
            <color indexed="81"/>
            <rFont val="Tahoma"/>
            <family val="2"/>
          </rPr>
          <t>Average of 6 Barrel Samples and 3 Pebble Counts between 1994 and 2000</t>
        </r>
      </text>
    </comment>
    <comment ref="O1365" authorId="0">
      <text>
        <r>
          <rPr>
            <b/>
            <sz val="9"/>
            <color indexed="81"/>
            <rFont val="Tahoma"/>
            <family val="2"/>
          </rPr>
          <t>Darren:</t>
        </r>
        <r>
          <rPr>
            <sz val="9"/>
            <color indexed="81"/>
            <rFont val="Tahoma"/>
            <family val="2"/>
          </rPr>
          <t xml:space="preserve">
Average of 2 traverses</t>
        </r>
      </text>
    </comment>
    <comment ref="O1366" authorId="0">
      <text>
        <r>
          <rPr>
            <b/>
            <sz val="9"/>
            <color indexed="81"/>
            <rFont val="Tahoma"/>
            <family val="2"/>
          </rPr>
          <t>Darren:</t>
        </r>
        <r>
          <rPr>
            <sz val="9"/>
            <color indexed="81"/>
            <rFont val="Tahoma"/>
            <family val="2"/>
          </rPr>
          <t xml:space="preserve">
Average of 2 traverses</t>
        </r>
      </text>
    </comment>
    <comment ref="AC1427" authorId="1">
      <text>
        <r>
          <rPr>
            <b/>
            <sz val="8"/>
            <color indexed="81"/>
            <rFont val="Tahoma"/>
            <family val="2"/>
          </rPr>
          <t>Civil Engineering:</t>
        </r>
        <r>
          <rPr>
            <sz val="8"/>
            <color indexed="81"/>
            <rFont val="Tahoma"/>
            <family val="2"/>
          </rPr>
          <t xml:space="preserve">
Average Channel Gradient</t>
        </r>
      </text>
    </comment>
    <comment ref="AI1427" authorId="0">
      <text>
        <r>
          <rPr>
            <sz val="12"/>
            <color indexed="81"/>
            <rFont val="Tahoma"/>
            <family val="2"/>
          </rPr>
          <t>Average of 3 cores from 2000.</t>
        </r>
      </text>
    </comment>
    <comment ref="AK1427" authorId="0">
      <text>
        <r>
          <rPr>
            <sz val="12"/>
            <color indexed="81"/>
            <rFont val="Tahoma"/>
            <family val="2"/>
          </rPr>
          <t>100% passing the 256 mm sieve</t>
        </r>
      </text>
    </comment>
    <comment ref="AY1427" authorId="0">
      <text>
        <r>
          <rPr>
            <sz val="12"/>
            <color indexed="81"/>
            <rFont val="Tahoma"/>
            <family val="2"/>
          </rPr>
          <t>Percent Finer - 2000 Core Samples</t>
        </r>
      </text>
    </comment>
    <comment ref="AY1428" authorId="0">
      <text>
        <r>
          <rPr>
            <sz val="12"/>
            <color indexed="81"/>
            <rFont val="Tahoma"/>
            <family val="2"/>
          </rPr>
          <t>Percent Finer - 2000 Pebble Count</t>
        </r>
      </text>
    </comment>
    <comment ref="AC1528" authorId="1">
      <text>
        <r>
          <rPr>
            <b/>
            <sz val="8"/>
            <color indexed="81"/>
            <rFont val="Tahoma"/>
            <family val="2"/>
          </rPr>
          <t>Civil Engineering:</t>
        </r>
        <r>
          <rPr>
            <sz val="8"/>
            <color indexed="81"/>
            <rFont val="Tahoma"/>
            <family val="2"/>
          </rPr>
          <t xml:space="preserve">
Average Channel Gradient</t>
        </r>
      </text>
    </comment>
    <comment ref="AD1528" authorId="0">
      <text>
        <r>
          <rPr>
            <b/>
            <sz val="9"/>
            <color indexed="81"/>
            <rFont val="Tahoma"/>
            <family val="2"/>
          </rPr>
          <t>Because flow values were not measured concurrently with bedload, these values were interpolated from the "Channel Geometry Data" tab of the Boise River Adjudication database and then converted into SI units.</t>
        </r>
      </text>
    </comment>
    <comment ref="AH1528" authorId="2">
      <text>
        <r>
          <rPr>
            <sz val="12"/>
            <color indexed="81"/>
            <rFont val="Tahoma"/>
            <family val="2"/>
          </rPr>
          <t>July 26 &amp; 27:  Cross Section 1 at 330.53 ft in reach.</t>
        </r>
      </text>
    </comment>
    <comment ref="AK1528" authorId="0">
      <text>
        <r>
          <rPr>
            <sz val="12"/>
            <color indexed="81"/>
            <rFont val="Tahoma"/>
            <family val="2"/>
          </rPr>
          <t>100% passing the 256 mm sieve</t>
        </r>
      </text>
    </comment>
    <comment ref="AY1528" authorId="0">
      <text>
        <r>
          <rPr>
            <sz val="12"/>
            <color indexed="81"/>
            <rFont val="Tahoma"/>
            <family val="2"/>
          </rPr>
          <t>Percent Finer - Surface Bulk Core Sample</t>
        </r>
      </text>
    </comment>
    <comment ref="BN1528" authorId="2">
      <text>
        <r>
          <rPr>
            <sz val="12"/>
            <color indexed="81"/>
            <rFont val="Tahoma"/>
            <family val="2"/>
          </rPr>
          <t>Hydraulic geometry estimated using regression equations from report.</t>
        </r>
      </text>
    </comment>
    <comment ref="BO1528" authorId="2">
      <text>
        <r>
          <rPr>
            <sz val="12"/>
            <color indexed="81"/>
            <rFont val="Tahoma"/>
            <family val="2"/>
          </rPr>
          <t>Hydraulic geometry estimated using regression equations from report.</t>
        </r>
      </text>
    </comment>
    <comment ref="BQ1528" authorId="2">
      <text>
        <r>
          <rPr>
            <sz val="12"/>
            <color indexed="81"/>
            <rFont val="Tahoma"/>
            <family val="2"/>
          </rPr>
          <t>Hydraulic geometry estimated using regression equations from report.</t>
        </r>
      </text>
    </comment>
    <comment ref="AH1529" authorId="2">
      <text>
        <r>
          <rPr>
            <sz val="12"/>
            <color indexed="81"/>
            <rFont val="Tahoma"/>
            <family val="2"/>
          </rPr>
          <t>July 26 &amp; 27, 2994: Cross Section 2 at 403.87 ft in reach.</t>
        </r>
      </text>
    </comment>
    <comment ref="AU1529" authorId="2">
      <text>
        <r>
          <rPr>
            <sz val="12"/>
            <color indexed="81"/>
            <rFont val="Tahoma"/>
            <family val="2"/>
          </rPr>
          <t>Combined pebble counts for 1994 and 2000</t>
        </r>
      </text>
    </comment>
    <comment ref="AY1529" authorId="0">
      <text>
        <r>
          <rPr>
            <sz val="12"/>
            <color indexed="81"/>
            <rFont val="Tahoma"/>
            <family val="2"/>
          </rPr>
          <t>Pebble Count - Average of Pebble Counts in 1994 (1) and 2000 (3)</t>
        </r>
      </text>
    </comment>
    <comment ref="AH1530" authorId="2">
      <text>
        <r>
          <rPr>
            <sz val="12"/>
            <color indexed="81"/>
            <rFont val="Tahoma"/>
            <family val="2"/>
          </rPr>
          <t>July 26 &amp; 27, 1994:  Cross Section #3 at 143.73 ft in reach.</t>
        </r>
      </text>
    </comment>
    <comment ref="AH1531" authorId="2">
      <text>
        <r>
          <rPr>
            <sz val="12"/>
            <color indexed="81"/>
            <rFont val="Tahoma"/>
            <family val="2"/>
          </rPr>
          <t>April 11th, 1994 Survey. Site of 1993 and 1994 bedload transport measurements.</t>
        </r>
      </text>
    </comment>
    <comment ref="AC1617" authorId="1">
      <text>
        <r>
          <rPr>
            <b/>
            <sz val="8"/>
            <color indexed="81"/>
            <rFont val="Tahoma"/>
            <family val="2"/>
          </rPr>
          <t>Civil Engineering:</t>
        </r>
        <r>
          <rPr>
            <sz val="8"/>
            <color indexed="81"/>
            <rFont val="Tahoma"/>
            <family val="2"/>
          </rPr>
          <t xml:space="preserve">
Average Channel Gradient</t>
        </r>
      </text>
    </comment>
    <comment ref="AH1617" authorId="2">
      <text>
        <r>
          <rPr>
            <sz val="12"/>
            <color indexed="81"/>
            <rFont val="Tahoma"/>
            <family val="2"/>
          </rPr>
          <t>1994 Survey</t>
        </r>
      </text>
    </comment>
    <comment ref="AK1617" authorId="0">
      <text>
        <r>
          <rPr>
            <sz val="12"/>
            <color indexed="81"/>
            <rFont val="Tahoma"/>
            <family val="2"/>
          </rPr>
          <t xml:space="preserve">100 % passing 256 mm sieve
</t>
        </r>
      </text>
    </comment>
    <comment ref="AU1617" authorId="2">
      <text>
        <r>
          <rPr>
            <sz val="12"/>
            <color indexed="81"/>
            <rFont val="Tahoma"/>
            <family val="2"/>
          </rPr>
          <t>Combined pebble counts (5) for 1994 and 1995</t>
        </r>
      </text>
    </comment>
    <comment ref="AY1617" authorId="0">
      <text>
        <r>
          <rPr>
            <sz val="12"/>
            <color indexed="81"/>
            <rFont val="Tahoma"/>
            <family val="2"/>
          </rPr>
          <t>Percent Finer</t>
        </r>
      </text>
    </comment>
    <comment ref="AH1618" authorId="2">
      <text>
        <r>
          <rPr>
            <sz val="12"/>
            <color indexed="81"/>
            <rFont val="Tahoma"/>
            <family val="2"/>
          </rPr>
          <t>1998 Survey</t>
        </r>
      </text>
    </comment>
    <comment ref="V1700" authorId="3">
      <text>
        <r>
          <rPr>
            <b/>
            <sz val="9"/>
            <color indexed="81"/>
            <rFont val="Tahoma"/>
            <charset val="1"/>
          </rPr>
          <t>Less than 2 mm</t>
        </r>
      </text>
    </comment>
    <comment ref="AC1700" authorId="1">
      <text>
        <r>
          <rPr>
            <b/>
            <sz val="8"/>
            <color indexed="81"/>
            <rFont val="Tahoma"/>
            <family val="2"/>
          </rPr>
          <t>Civil Engineering:</t>
        </r>
        <r>
          <rPr>
            <sz val="8"/>
            <color indexed="81"/>
            <rFont val="Tahoma"/>
            <family val="2"/>
          </rPr>
          <t xml:space="preserve">
Average Channel Gradient</t>
        </r>
      </text>
    </comment>
    <comment ref="AH1700" authorId="2">
      <text>
        <r>
          <rPr>
            <sz val="12"/>
            <color indexed="81"/>
            <rFont val="Tahoma"/>
            <family val="2"/>
          </rPr>
          <t>Cross Section #1 at 414.9 ft in reach.</t>
        </r>
      </text>
    </comment>
    <comment ref="AU1700" authorId="4">
      <text>
        <r>
          <rPr>
            <sz val="12"/>
            <color indexed="81"/>
            <rFont val="Tahoma"/>
            <family val="2"/>
          </rPr>
          <t>Averaged from D50's reported for various years in the PDF report.</t>
        </r>
      </text>
    </comment>
    <comment ref="AY1700" authorId="0">
      <text>
        <r>
          <rPr>
            <sz val="12"/>
            <color indexed="81"/>
            <rFont val="Tahoma"/>
            <family val="2"/>
          </rPr>
          <t>Percent Finer</t>
        </r>
      </text>
    </comment>
    <comment ref="AH1701" authorId="2">
      <text>
        <r>
          <rPr>
            <sz val="12"/>
            <color indexed="81"/>
            <rFont val="Tahoma"/>
            <family val="2"/>
          </rPr>
          <t xml:space="preserve">Cross Section 2 at 284.0 ft in reach                     </t>
        </r>
      </text>
    </comment>
    <comment ref="AH1702" authorId="2">
      <text>
        <r>
          <rPr>
            <sz val="12"/>
            <color indexed="81"/>
            <rFont val="Tahoma"/>
            <family val="2"/>
          </rPr>
          <t>Cross Section #3 at 213.2 ft in reach.</t>
        </r>
      </text>
    </comment>
    <comment ref="AH1703" authorId="2">
      <text>
        <r>
          <rPr>
            <sz val="12"/>
            <color indexed="81"/>
            <rFont val="Tahoma"/>
            <family val="2"/>
          </rPr>
          <t>Cross Section #4 at 27.2 ft in reach.</t>
        </r>
      </text>
    </comment>
    <comment ref="C1736" authorId="2">
      <text>
        <r>
          <rPr>
            <sz val="12"/>
            <color indexed="81"/>
            <rFont val="Tahoma"/>
            <family val="2"/>
          </rPr>
          <t>Approximate</t>
        </r>
      </text>
    </comment>
    <comment ref="AC1736" authorId="1">
      <text>
        <r>
          <rPr>
            <b/>
            <sz val="8"/>
            <color indexed="81"/>
            <rFont val="Tahoma"/>
            <family val="2"/>
          </rPr>
          <t>Civil Engineering:</t>
        </r>
        <r>
          <rPr>
            <sz val="8"/>
            <color indexed="81"/>
            <rFont val="Tahoma"/>
            <family val="2"/>
          </rPr>
          <t xml:space="preserve">
Average Channel Gradient</t>
        </r>
      </text>
    </comment>
    <comment ref="AH1736" authorId="2">
      <text>
        <r>
          <rPr>
            <sz val="12"/>
            <color indexed="81"/>
            <rFont val="Tahoma"/>
            <family val="2"/>
          </rPr>
          <t>Cross Section #1 at 429.0 ft in reach.</t>
        </r>
      </text>
    </comment>
    <comment ref="AK1736" authorId="0">
      <text>
        <r>
          <rPr>
            <sz val="12"/>
            <color indexed="81"/>
            <rFont val="Tahoma"/>
            <family val="2"/>
          </rPr>
          <t>Percent Finer</t>
        </r>
      </text>
    </comment>
    <comment ref="AY1736" authorId="0">
      <text>
        <r>
          <rPr>
            <sz val="12"/>
            <color indexed="81"/>
            <rFont val="Tahoma"/>
            <family val="2"/>
          </rPr>
          <t>Percent Finer</t>
        </r>
      </text>
    </comment>
    <comment ref="AH1737" authorId="2">
      <text>
        <r>
          <rPr>
            <sz val="12"/>
            <color indexed="81"/>
            <rFont val="Tahoma"/>
            <family val="2"/>
          </rPr>
          <t>Cross Section #2 at 314 ft in reach.</t>
        </r>
      </text>
    </comment>
    <comment ref="AU1737" authorId="2">
      <text>
        <r>
          <rPr>
            <sz val="12"/>
            <color indexed="81"/>
            <rFont val="Tahoma"/>
            <family val="2"/>
          </rPr>
          <t>Combined pebble counts for 1994 and 2000.</t>
        </r>
      </text>
    </comment>
    <comment ref="AV1737" authorId="0">
      <text>
        <r>
          <rPr>
            <b/>
            <sz val="12"/>
            <color indexed="81"/>
            <rFont val="Tahoma"/>
            <family val="2"/>
          </rPr>
          <t>100% finer than 1090 mm</t>
        </r>
      </text>
    </comment>
    <comment ref="AH1738" authorId="2">
      <text>
        <r>
          <rPr>
            <sz val="12"/>
            <color indexed="81"/>
            <rFont val="Tahoma"/>
            <family val="2"/>
          </rPr>
          <t>Cross Section #3 at 189 ft in reach.</t>
        </r>
      </text>
    </comment>
    <comment ref="AH1739" authorId="2">
      <text>
        <r>
          <rPr>
            <sz val="12"/>
            <color indexed="81"/>
            <rFont val="Tahoma"/>
            <family val="2"/>
          </rPr>
          <t>Cross Section #4 at 14' in reach.</t>
        </r>
      </text>
    </comment>
    <comment ref="AH1822" authorId="2">
      <text>
        <r>
          <rPr>
            <sz val="12"/>
            <color indexed="81"/>
            <rFont val="Tahoma"/>
            <family val="2"/>
          </rPr>
          <t>Cross Section #1 by CWRU in 1994 at 84.3 ft in reach.</t>
        </r>
      </text>
    </comment>
    <comment ref="AY1822" authorId="0">
      <text>
        <r>
          <rPr>
            <sz val="12"/>
            <color indexed="81"/>
            <rFont val="Tahoma"/>
            <family val="2"/>
          </rPr>
          <t>Percent Finer</t>
        </r>
      </text>
    </comment>
    <comment ref="AH1823" authorId="2">
      <text>
        <r>
          <rPr>
            <sz val="12"/>
            <color indexed="81"/>
            <rFont val="Tahoma"/>
            <family val="2"/>
          </rPr>
          <t>Cross Section by CWRU in 1994 at 61.7 ft in reach.</t>
        </r>
      </text>
    </comment>
    <comment ref="V1960" authorId="3">
      <text>
        <r>
          <rPr>
            <b/>
            <sz val="9"/>
            <color indexed="81"/>
            <rFont val="Tahoma"/>
            <charset val="1"/>
          </rPr>
          <t>Less than 2 mm</t>
        </r>
      </text>
    </comment>
    <comment ref="AC1960" authorId="1">
      <text>
        <r>
          <rPr>
            <b/>
            <sz val="8"/>
            <color indexed="81"/>
            <rFont val="Tahoma"/>
            <family val="2"/>
          </rPr>
          <t>Civil Engineering:</t>
        </r>
        <r>
          <rPr>
            <sz val="8"/>
            <color indexed="81"/>
            <rFont val="Tahoma"/>
            <family val="2"/>
          </rPr>
          <t xml:space="preserve">
Average Channel Gradient</t>
        </r>
      </text>
    </comment>
    <comment ref="AH1960" authorId="2">
      <text>
        <r>
          <rPr>
            <sz val="12"/>
            <color indexed="81"/>
            <rFont val="Tahoma"/>
            <family val="2"/>
          </rPr>
          <t>Cross Section #1 at 543.2 ft in reach.</t>
        </r>
      </text>
    </comment>
    <comment ref="AY1960" authorId="0">
      <text>
        <r>
          <rPr>
            <sz val="12"/>
            <color indexed="81"/>
            <rFont val="Tahoma"/>
            <family val="2"/>
          </rPr>
          <t>Percent Finer</t>
        </r>
      </text>
    </comment>
    <comment ref="AH1961" authorId="2">
      <text>
        <r>
          <rPr>
            <sz val="12"/>
            <color indexed="81"/>
            <rFont val="Tahoma"/>
            <family val="2"/>
          </rPr>
          <t>Cross Section #2 at 343.7 ft in reach.</t>
        </r>
      </text>
    </comment>
    <comment ref="AH1962" authorId="2">
      <text>
        <r>
          <rPr>
            <sz val="12"/>
            <color indexed="81"/>
            <rFont val="Tahoma"/>
            <family val="2"/>
          </rPr>
          <t>Cross Section #3 at 285.0 ft in reach.</t>
        </r>
      </text>
    </comment>
    <comment ref="AH1963" authorId="2">
      <text>
        <r>
          <rPr>
            <sz val="12"/>
            <color indexed="81"/>
            <rFont val="Tahoma"/>
            <family val="2"/>
          </rPr>
          <t>Cross Section #4 at 142.0 ft in reach.</t>
        </r>
      </text>
    </comment>
    <comment ref="AH1964" authorId="2">
      <text>
        <r>
          <rPr>
            <sz val="12"/>
            <color indexed="81"/>
            <rFont val="Tahoma"/>
            <family val="2"/>
          </rPr>
          <t>Cross Section #5 at 390 ft in reach.</t>
        </r>
      </text>
    </comment>
    <comment ref="R2003" authorId="0">
      <text>
        <r>
          <rPr>
            <b/>
            <sz val="12"/>
            <color indexed="81"/>
            <rFont val="Tahoma"/>
            <family val="2"/>
          </rPr>
          <t>Bedload was reported as greater than 16 mm, but not assigned a phi level.</t>
        </r>
      </text>
    </comment>
    <comment ref="R2016" authorId="0">
      <text>
        <r>
          <rPr>
            <b/>
            <sz val="12"/>
            <color indexed="81"/>
            <rFont val="Tahoma"/>
            <family val="2"/>
          </rPr>
          <t>Bedload was reported as greater than 16 mm, but not assigned a phi level.</t>
        </r>
      </text>
    </comment>
    <comment ref="R2024" authorId="0">
      <text>
        <r>
          <rPr>
            <b/>
            <sz val="12"/>
            <color indexed="81"/>
            <rFont val="Tahoma"/>
            <family val="2"/>
          </rPr>
          <t>Bedload was reported as greater than 16 mm, but not assigned a phi level.</t>
        </r>
      </text>
    </comment>
    <comment ref="R2028" authorId="0">
      <text>
        <r>
          <rPr>
            <b/>
            <sz val="12"/>
            <color indexed="81"/>
            <rFont val="Tahoma"/>
            <family val="2"/>
          </rPr>
          <t>Bedload was reported as greater than 16 mm, but not assigned a phi level.</t>
        </r>
      </text>
    </comment>
    <comment ref="R2029" authorId="0">
      <text>
        <r>
          <rPr>
            <b/>
            <sz val="12"/>
            <color indexed="81"/>
            <rFont val="Tahoma"/>
            <family val="2"/>
          </rPr>
          <t>Bedload was reported as greater than 16 mm, but not assigned a phi level.</t>
        </r>
      </text>
    </comment>
    <comment ref="R2030" authorId="0">
      <text>
        <r>
          <rPr>
            <b/>
            <sz val="12"/>
            <color indexed="81"/>
            <rFont val="Tahoma"/>
            <family val="2"/>
          </rPr>
          <t>Bedload was reported as greater than 16 mm, but not assigned a phi level.</t>
        </r>
      </text>
    </comment>
    <comment ref="R2036" authorId="0">
      <text>
        <r>
          <rPr>
            <b/>
            <sz val="12"/>
            <color indexed="81"/>
            <rFont val="Tahoma"/>
            <family val="2"/>
          </rPr>
          <t>Bedload was reported as greater than 16 mm, but not assigned a phi level.</t>
        </r>
      </text>
    </comment>
    <comment ref="R2037" authorId="0">
      <text>
        <r>
          <rPr>
            <b/>
            <sz val="12"/>
            <color indexed="81"/>
            <rFont val="Tahoma"/>
            <family val="2"/>
          </rPr>
          <t>Bedload was reported as greater than 16 mm, but not assigned a phi level.</t>
        </r>
      </text>
    </comment>
    <comment ref="AC2040" authorId="1">
      <text>
        <r>
          <rPr>
            <b/>
            <sz val="8"/>
            <color indexed="81"/>
            <rFont val="Tahoma"/>
            <family val="2"/>
          </rPr>
          <t>Civil Engineering:</t>
        </r>
        <r>
          <rPr>
            <sz val="8"/>
            <color indexed="81"/>
            <rFont val="Tahoma"/>
            <family val="2"/>
          </rPr>
          <t xml:space="preserve">
Average Channel Gradient</t>
        </r>
      </text>
    </comment>
    <comment ref="AH2040" authorId="2">
      <text>
        <r>
          <rPr>
            <sz val="12"/>
            <color indexed="81"/>
            <rFont val="Tahoma"/>
            <family val="2"/>
          </rPr>
          <t>Cross Section #1 at 68.2 ft in reach.</t>
        </r>
      </text>
    </comment>
    <comment ref="AY2040" authorId="0">
      <text>
        <r>
          <rPr>
            <sz val="12"/>
            <color indexed="81"/>
            <rFont val="Tahoma"/>
            <family val="2"/>
          </rPr>
          <t>Percent Finer</t>
        </r>
      </text>
    </comment>
    <comment ref="AH2041" authorId="2">
      <text>
        <r>
          <rPr>
            <sz val="12"/>
            <color indexed="81"/>
            <rFont val="Tahoma"/>
            <family val="2"/>
          </rPr>
          <t>Cross Section #2 at 180.4 ft in reach.</t>
        </r>
      </text>
    </comment>
    <comment ref="AH2042" authorId="2">
      <text>
        <r>
          <rPr>
            <sz val="12"/>
            <color indexed="81"/>
            <rFont val="Tahoma"/>
            <family val="2"/>
          </rPr>
          <t>Cross Section #3 at 299.1 ft in reach.</t>
        </r>
      </text>
    </comment>
    <comment ref="AC2126" authorId="1">
      <text>
        <r>
          <rPr>
            <b/>
            <sz val="8"/>
            <color indexed="81"/>
            <rFont val="Tahoma"/>
            <family val="2"/>
          </rPr>
          <t>Civil Engineering:</t>
        </r>
        <r>
          <rPr>
            <sz val="8"/>
            <color indexed="81"/>
            <rFont val="Tahoma"/>
            <family val="2"/>
          </rPr>
          <t xml:space="preserve">
Average Channel Gradient</t>
        </r>
      </text>
    </comment>
    <comment ref="AH2126" authorId="2">
      <text>
        <r>
          <rPr>
            <sz val="12"/>
            <color indexed="81"/>
            <rFont val="Tahoma"/>
            <family val="2"/>
          </rPr>
          <t>Cross Section #1 at 468.7 ft in reach.</t>
        </r>
      </text>
    </comment>
    <comment ref="AY2126" authorId="0">
      <text>
        <r>
          <rPr>
            <sz val="12"/>
            <color indexed="81"/>
            <rFont val="Tahoma"/>
            <family val="2"/>
          </rPr>
          <t>Percent Finer</t>
        </r>
      </text>
    </comment>
    <comment ref="AH2127" authorId="2">
      <text>
        <r>
          <rPr>
            <sz val="12"/>
            <color indexed="81"/>
            <rFont val="Tahoma"/>
            <family val="2"/>
          </rPr>
          <t>Cross Section #2 at 378.5 ft in reach.</t>
        </r>
      </text>
    </comment>
    <comment ref="AH2128" authorId="2">
      <text>
        <r>
          <rPr>
            <sz val="12"/>
            <color indexed="81"/>
            <rFont val="Tahoma"/>
            <family val="2"/>
          </rPr>
          <t>Cross Section #3 at 59.4 ft in reach.</t>
        </r>
      </text>
    </comment>
    <comment ref="AH2129" authorId="2">
      <text>
        <r>
          <rPr>
            <sz val="12"/>
            <color indexed="81"/>
            <rFont val="Tahoma"/>
            <family val="2"/>
          </rPr>
          <t>Cross Section #4 at 161.7 ft in reach.</t>
        </r>
      </text>
    </comment>
    <comment ref="C2199" authorId="2">
      <text>
        <r>
          <rPr>
            <sz val="12"/>
            <color indexed="81"/>
            <rFont val="Tahoma"/>
            <family val="2"/>
          </rPr>
          <t>Approximate</t>
        </r>
      </text>
    </comment>
    <comment ref="AC2199" authorId="1">
      <text>
        <r>
          <rPr>
            <b/>
            <sz val="8"/>
            <color indexed="81"/>
            <rFont val="Tahoma"/>
            <family val="2"/>
          </rPr>
          <t>Civil Engineering:</t>
        </r>
        <r>
          <rPr>
            <sz val="8"/>
            <color indexed="81"/>
            <rFont val="Tahoma"/>
            <family val="2"/>
          </rPr>
          <t xml:space="preserve">
Average Channel Gradient</t>
        </r>
      </text>
    </comment>
    <comment ref="AH2199" authorId="2">
      <text>
        <r>
          <rPr>
            <sz val="12"/>
            <color indexed="81"/>
            <rFont val="Tahoma"/>
            <family val="2"/>
          </rPr>
          <t>Cross Section #1 at 713.6 ft from start of reach.</t>
        </r>
      </text>
    </comment>
    <comment ref="AI2199" authorId="0">
      <text>
        <r>
          <rPr>
            <b/>
            <sz val="12"/>
            <color indexed="81"/>
            <rFont val="Tahoma"/>
            <family val="2"/>
          </rPr>
          <t>Varies from the value of 36 mm listed in original report.</t>
        </r>
      </text>
    </comment>
    <comment ref="AJ2199" authorId="0">
      <text>
        <r>
          <rPr>
            <b/>
            <sz val="12"/>
            <color indexed="81"/>
            <rFont val="Tahoma"/>
            <family val="2"/>
          </rPr>
          <t>100% finer than 400 mm</t>
        </r>
      </text>
    </comment>
    <comment ref="AV2199" authorId="0">
      <text>
        <r>
          <rPr>
            <b/>
            <sz val="12"/>
            <color indexed="81"/>
            <rFont val="Tahoma"/>
            <family val="2"/>
          </rPr>
          <t>100% finer than 1,900 mm.</t>
        </r>
      </text>
    </comment>
    <comment ref="AY2199" authorId="0">
      <text>
        <r>
          <rPr>
            <sz val="12"/>
            <color indexed="81"/>
            <rFont val="Tahoma"/>
            <family val="2"/>
          </rPr>
          <t>Percent Finer</t>
        </r>
      </text>
    </comment>
    <comment ref="BN2199" authorId="2">
      <text>
        <r>
          <rPr>
            <sz val="12"/>
            <color indexed="81"/>
            <rFont val="Tahoma"/>
            <family val="2"/>
          </rPr>
          <t>Geometry determined by regression equations of flow versus hydraulic geometry.</t>
        </r>
      </text>
    </comment>
    <comment ref="BO2199" authorId="2">
      <text>
        <r>
          <rPr>
            <sz val="12"/>
            <color indexed="81"/>
            <rFont val="Tahoma"/>
            <family val="2"/>
          </rPr>
          <t>Geometry determined by regression equations of flow versus hydraulic geometry.</t>
        </r>
      </text>
    </comment>
    <comment ref="P2200" authorId="4">
      <text>
        <r>
          <rPr>
            <sz val="12"/>
            <color indexed="81"/>
            <rFont val="Tahoma"/>
            <family val="2"/>
          </rPr>
          <t xml:space="preserve">The Data in the Adjudication Spreadsheet did not match these ranges so they were left blank
</t>
        </r>
      </text>
    </comment>
    <comment ref="AH2200" authorId="2">
      <text>
        <r>
          <rPr>
            <sz val="12"/>
            <color indexed="81"/>
            <rFont val="Tahoma"/>
            <family val="2"/>
          </rPr>
          <t>Cross Section #2 at 1,036.5 ft from start of reach.</t>
        </r>
      </text>
    </comment>
    <comment ref="AH2201" authorId="2">
      <text>
        <r>
          <rPr>
            <sz val="12"/>
            <color indexed="81"/>
            <rFont val="Tahoma"/>
            <family val="2"/>
          </rPr>
          <t>Cross Section #3 at 183.4 ft from start of reach.</t>
        </r>
      </text>
    </comment>
    <comment ref="AC2315" authorId="1">
      <text>
        <r>
          <rPr>
            <b/>
            <sz val="8"/>
            <color indexed="81"/>
            <rFont val="Tahoma"/>
            <family val="2"/>
          </rPr>
          <t>Civil Engineering:</t>
        </r>
        <r>
          <rPr>
            <sz val="8"/>
            <color indexed="81"/>
            <rFont val="Tahoma"/>
            <family val="2"/>
          </rPr>
          <t xml:space="preserve">
Average Channel Gradient</t>
        </r>
      </text>
    </comment>
    <comment ref="AY2315" authorId="0">
      <text>
        <r>
          <rPr>
            <sz val="12"/>
            <color indexed="81"/>
            <rFont val="Tahoma"/>
            <family val="2"/>
          </rPr>
          <t>Percent Finer</t>
        </r>
      </text>
    </comment>
    <comment ref="AC2388" authorId="1">
      <text>
        <r>
          <rPr>
            <b/>
            <sz val="8"/>
            <color indexed="81"/>
            <rFont val="Tahoma"/>
            <family val="2"/>
          </rPr>
          <t>Civil Engineering:</t>
        </r>
        <r>
          <rPr>
            <sz val="8"/>
            <color indexed="81"/>
            <rFont val="Tahoma"/>
            <family val="2"/>
          </rPr>
          <t xml:space="preserve">
Average Channel Gradient</t>
        </r>
      </text>
    </comment>
    <comment ref="AH2388" authorId="0">
      <text>
        <r>
          <rPr>
            <b/>
            <sz val="12"/>
            <color indexed="81"/>
            <rFont val="Tahoma"/>
            <family val="2"/>
          </rPr>
          <t>April 11, 1994 Survey - about 16 feet downstream of 1993 &amp; 1994 sampling site.</t>
        </r>
      </text>
    </comment>
    <comment ref="AK2388" authorId="0">
      <text>
        <r>
          <rPr>
            <sz val="12"/>
            <color indexed="81"/>
            <rFont val="Tahoma"/>
            <family val="2"/>
          </rPr>
          <t>Percent Finer</t>
        </r>
      </text>
    </comment>
    <comment ref="AY2388" authorId="0">
      <text>
        <r>
          <rPr>
            <sz val="12"/>
            <color indexed="81"/>
            <rFont val="Tahoma"/>
            <family val="2"/>
          </rPr>
          <t>Percent Finer</t>
        </r>
      </text>
    </comment>
    <comment ref="BL2388" authorId="2">
      <text>
        <r>
          <rPr>
            <sz val="12"/>
            <color indexed="81"/>
            <rFont val="Tahoma"/>
            <family val="2"/>
          </rPr>
          <t>2-yr flood</t>
        </r>
      </text>
    </comment>
    <comment ref="AH2389" authorId="0">
      <text>
        <r>
          <rPr>
            <b/>
            <sz val="12"/>
            <color indexed="81"/>
            <rFont val="Tahoma"/>
            <family val="2"/>
          </rPr>
          <t>July 29th, 1994 Survey - Cross Section #1 at 60 ft in reach</t>
        </r>
      </text>
    </comment>
    <comment ref="AH2390" authorId="0">
      <text>
        <r>
          <rPr>
            <b/>
            <sz val="12"/>
            <color indexed="81"/>
            <rFont val="Tahoma"/>
            <family val="2"/>
          </rPr>
          <t>July 29, 1994 Survey - Cross Section #2 at 141 ft in reach</t>
        </r>
      </text>
    </comment>
    <comment ref="AH2391" authorId="0">
      <text>
        <r>
          <rPr>
            <b/>
            <sz val="12"/>
            <color indexed="81"/>
            <rFont val="Tahoma"/>
            <family val="2"/>
          </rPr>
          <t>July 29, 1994 Survey - Cross Section #3 at 169 ft in reach.</t>
        </r>
      </text>
    </comment>
    <comment ref="AC2467" authorId="1">
      <text>
        <r>
          <rPr>
            <b/>
            <sz val="8"/>
            <color indexed="81"/>
            <rFont val="Tahoma"/>
            <family val="2"/>
          </rPr>
          <t>Civil Engineering:</t>
        </r>
        <r>
          <rPr>
            <sz val="8"/>
            <color indexed="81"/>
            <rFont val="Tahoma"/>
            <family val="2"/>
          </rPr>
          <t xml:space="preserve">
Average Channel Gradient</t>
        </r>
      </text>
    </comment>
    <comment ref="AH2467" authorId="0">
      <text>
        <r>
          <rPr>
            <b/>
            <sz val="12"/>
            <color indexed="81"/>
            <rFont val="Tahoma"/>
            <family val="2"/>
          </rPr>
          <t>Cross Section #1 in 1998 by USFS at gauge.</t>
        </r>
      </text>
    </comment>
    <comment ref="AK2467" authorId="0">
      <text>
        <r>
          <rPr>
            <b/>
            <sz val="12"/>
            <color indexed="81"/>
            <rFont val="Tahoma"/>
            <family val="2"/>
          </rPr>
          <t>Percent Finer</t>
        </r>
      </text>
    </comment>
    <comment ref="AU2467" authorId="2">
      <text>
        <r>
          <rPr>
            <sz val="12"/>
            <color indexed="81"/>
            <rFont val="Tahoma"/>
            <family val="2"/>
          </rPr>
          <t>Combined pebble counts from 1994 and 1995.</t>
        </r>
      </text>
    </comment>
    <comment ref="AY2467" authorId="0">
      <text>
        <r>
          <rPr>
            <sz val="12"/>
            <color indexed="81"/>
            <rFont val="Tahoma"/>
            <family val="2"/>
          </rPr>
          <t>Percent Finer</t>
        </r>
      </text>
    </comment>
    <comment ref="P2468" authorId="4">
      <text>
        <r>
          <rPr>
            <b/>
            <sz val="8"/>
            <color indexed="81"/>
            <rFont val="Tahoma"/>
            <family val="2"/>
          </rPr>
          <t>Daniel McCormick:</t>
        </r>
        <r>
          <rPr>
            <sz val="8"/>
            <color indexed="81"/>
            <rFont val="Tahoma"/>
            <family val="2"/>
          </rPr>
          <t xml:space="preserve">
The Data in the Adjudication Spreadsheet did not match these ranges so they were left blank
</t>
        </r>
      </text>
    </comment>
    <comment ref="AH2468" authorId="0">
      <text>
        <r>
          <rPr>
            <sz val="12"/>
            <color indexed="81"/>
            <rFont val="Tahoma"/>
            <family val="2"/>
          </rPr>
          <t xml:space="preserve">Cross Section #3 in 1998 by USFS 480 ft upstream of gauge.
</t>
        </r>
      </text>
    </comment>
    <comment ref="AC2625" authorId="1">
      <text>
        <r>
          <rPr>
            <b/>
            <sz val="8"/>
            <color indexed="81"/>
            <rFont val="Tahoma"/>
            <family val="2"/>
          </rPr>
          <t>Civil Engineering:</t>
        </r>
        <r>
          <rPr>
            <sz val="8"/>
            <color indexed="81"/>
            <rFont val="Tahoma"/>
            <family val="2"/>
          </rPr>
          <t xml:space="preserve">
Average Channel Gradient</t>
        </r>
      </text>
    </comment>
    <comment ref="AH2625" authorId="0">
      <text>
        <r>
          <rPr>
            <b/>
            <sz val="12"/>
            <color indexed="81"/>
            <rFont val="Tahoma"/>
            <family val="2"/>
          </rPr>
          <t>Combination of 1994 and 1998 surveys 480 ft downstream of USGS gauge. Datums are shifted to avoid negative numbers.</t>
        </r>
      </text>
    </comment>
    <comment ref="AJ2625" authorId="2">
      <text>
        <r>
          <rPr>
            <sz val="12"/>
            <color indexed="81"/>
            <rFont val="Tahoma"/>
            <family val="2"/>
          </rPr>
          <t>100% passing 512 mm sieve</t>
        </r>
      </text>
    </comment>
    <comment ref="AU2625" authorId="2">
      <text>
        <r>
          <rPr>
            <sz val="12"/>
            <color indexed="81"/>
            <rFont val="Tahoma"/>
            <family val="2"/>
          </rPr>
          <t>Combined pebble counts for 1994 and 1995</t>
        </r>
      </text>
    </comment>
    <comment ref="AV2625" authorId="2">
      <text>
        <r>
          <rPr>
            <sz val="12"/>
            <color indexed="81"/>
            <rFont val="Tahoma"/>
            <family val="2"/>
          </rPr>
          <t>100% finer than 1950 mm</t>
        </r>
      </text>
    </comment>
    <comment ref="AY2625" authorId="0">
      <text>
        <r>
          <rPr>
            <sz val="12"/>
            <color indexed="81"/>
            <rFont val="Tahoma"/>
            <family val="2"/>
          </rPr>
          <t>Percent Finer</t>
        </r>
      </text>
    </comment>
    <comment ref="C2698" authorId="2">
      <text>
        <r>
          <rPr>
            <sz val="12"/>
            <color indexed="81"/>
            <rFont val="Tahoma"/>
            <family val="2"/>
          </rPr>
          <t>Approximate</t>
        </r>
      </text>
    </comment>
    <comment ref="AC2698" authorId="1">
      <text>
        <r>
          <rPr>
            <b/>
            <sz val="8"/>
            <color indexed="81"/>
            <rFont val="Tahoma"/>
            <family val="2"/>
          </rPr>
          <t>Civil Engineering:</t>
        </r>
        <r>
          <rPr>
            <sz val="8"/>
            <color indexed="81"/>
            <rFont val="Tahoma"/>
            <family val="2"/>
          </rPr>
          <t xml:space="preserve">
Average Channel Gradient</t>
        </r>
      </text>
    </comment>
    <comment ref="AH2698" authorId="0">
      <text>
        <r>
          <rPr>
            <b/>
            <sz val="12"/>
            <color indexed="81"/>
            <rFont val="Tahoma"/>
            <family val="2"/>
          </rPr>
          <t>1994 Survey - Cross Section at USGS gauge by CWRU.</t>
        </r>
      </text>
    </comment>
    <comment ref="AU2698" authorId="2">
      <text>
        <r>
          <rPr>
            <sz val="12"/>
            <color indexed="81"/>
            <rFont val="Tahoma"/>
            <family val="2"/>
          </rPr>
          <t>Composite of 3 pebble counts in 1995 performed by USFS personnel.</t>
        </r>
      </text>
    </comment>
    <comment ref="P2699" authorId="4">
      <text>
        <r>
          <rPr>
            <b/>
            <sz val="8"/>
            <color indexed="81"/>
            <rFont val="Tahoma"/>
            <family val="2"/>
          </rPr>
          <t>Daniel McCormick:</t>
        </r>
        <r>
          <rPr>
            <sz val="8"/>
            <color indexed="81"/>
            <rFont val="Tahoma"/>
            <family val="2"/>
          </rPr>
          <t xml:space="preserve">
The Data in the Adjudication Spreadsheet did not match these ranges so they were left blank</t>
        </r>
      </text>
    </comment>
    <comment ref="AH2699" authorId="0">
      <text>
        <r>
          <rPr>
            <sz val="12"/>
            <color indexed="81"/>
            <rFont val="Tahoma"/>
            <family val="2"/>
          </rPr>
          <t>Cross Section #5 by USFS at 641 ft downstream from gauge.</t>
        </r>
      </text>
    </comment>
    <comment ref="AH2700" authorId="0">
      <text>
        <r>
          <rPr>
            <b/>
            <sz val="12"/>
            <color indexed="81"/>
            <rFont val="Tahoma"/>
            <family val="2"/>
          </rPr>
          <t>1998 Survey - Cross Section #7 by USFS at 230 ft upstream of gauge.</t>
        </r>
      </text>
    </comment>
    <comment ref="C2811" authorId="2">
      <text>
        <r>
          <rPr>
            <sz val="12"/>
            <color indexed="81"/>
            <rFont val="Tahoma"/>
            <family val="2"/>
          </rPr>
          <t>Approximate</t>
        </r>
      </text>
    </comment>
    <comment ref="AC2811" authorId="1">
      <text>
        <r>
          <rPr>
            <b/>
            <sz val="8"/>
            <color indexed="81"/>
            <rFont val="Tahoma"/>
            <family val="2"/>
          </rPr>
          <t>Civil Engineering:</t>
        </r>
        <r>
          <rPr>
            <sz val="8"/>
            <color indexed="81"/>
            <rFont val="Tahoma"/>
            <family val="2"/>
          </rPr>
          <t xml:space="preserve">
Average Channel Gradient</t>
        </r>
      </text>
    </comment>
    <comment ref="AH2811" authorId="0">
      <text>
        <r>
          <rPr>
            <b/>
            <sz val="12"/>
            <color indexed="81"/>
            <rFont val="Tahoma"/>
            <family val="2"/>
          </rPr>
          <t>1998 Survey by USFS - Cross Section #1 at gauge.</t>
        </r>
      </text>
    </comment>
    <comment ref="AU2811" authorId="2">
      <text>
        <r>
          <rPr>
            <sz val="12"/>
            <color indexed="81"/>
            <rFont val="Tahoma"/>
            <family val="2"/>
          </rPr>
          <t>Combined pebble counts for 1994 and 1995</t>
        </r>
      </text>
    </comment>
    <comment ref="P2812" authorId="4">
      <text>
        <r>
          <rPr>
            <b/>
            <sz val="8"/>
            <color indexed="81"/>
            <rFont val="Tahoma"/>
            <family val="2"/>
          </rPr>
          <t>Daniel McCormick:</t>
        </r>
        <r>
          <rPr>
            <sz val="8"/>
            <color indexed="81"/>
            <rFont val="Tahoma"/>
            <family val="2"/>
          </rPr>
          <t xml:space="preserve">
The Data in the Adjudication Spreadsheet did not match these ranges so they were left blank</t>
        </r>
      </text>
    </comment>
    <comment ref="AH2812" authorId="0">
      <text>
        <r>
          <rPr>
            <b/>
            <sz val="12"/>
            <color indexed="81"/>
            <rFont val="Tahoma"/>
            <family val="2"/>
          </rPr>
          <t>1998 Survey by USFS - Cross Section #2 at 326 ft upstream of gauge.</t>
        </r>
      </text>
    </comment>
    <comment ref="AC3012" authorId="1">
      <text>
        <r>
          <rPr>
            <b/>
            <sz val="8"/>
            <color indexed="81"/>
            <rFont val="Tahoma"/>
            <family val="2"/>
          </rPr>
          <t>Civil Engineering:</t>
        </r>
        <r>
          <rPr>
            <sz val="8"/>
            <color indexed="81"/>
            <rFont val="Tahoma"/>
            <family val="2"/>
          </rPr>
          <t xml:space="preserve">
Average Channel Gradient</t>
        </r>
      </text>
    </comment>
    <comment ref="AH3012" authorId="2">
      <text>
        <r>
          <rPr>
            <sz val="12"/>
            <color indexed="81"/>
            <rFont val="Tahoma"/>
            <family val="2"/>
          </rPr>
          <t>1994 Survey - Cross Section #1 at 87025 [sic "87.25?"]</t>
        </r>
      </text>
    </comment>
    <comment ref="AU3012" authorId="2">
      <text>
        <r>
          <rPr>
            <sz val="12"/>
            <color indexed="81"/>
            <rFont val="Tahoma"/>
            <family val="2"/>
          </rPr>
          <t>As reported in pdf report in database.</t>
        </r>
      </text>
    </comment>
    <comment ref="AH3013" authorId="2">
      <text>
        <r>
          <rPr>
            <sz val="12"/>
            <color indexed="81"/>
            <rFont val="Tahoma"/>
            <family val="2"/>
          </rPr>
          <t>Cross Section #2 from 1994 survey at 182.04 ft in reach.</t>
        </r>
      </text>
    </comment>
    <comment ref="AH3014" authorId="2">
      <text>
        <r>
          <rPr>
            <sz val="12"/>
            <color indexed="81"/>
            <rFont val="Tahoma"/>
            <family val="2"/>
          </rPr>
          <t>Cross Section #3 from 1994 Survey at 690.11 ft in reach.</t>
        </r>
      </text>
    </comment>
    <comment ref="AH3015" authorId="2">
      <text>
        <r>
          <rPr>
            <sz val="12"/>
            <color indexed="81"/>
            <rFont val="Tahoma"/>
            <family val="2"/>
          </rPr>
          <t>Cross Section #4 from 1994 Survey at 957.76 ft in reach.</t>
        </r>
      </text>
    </comment>
    <comment ref="AH3016" authorId="2">
      <text>
        <r>
          <rPr>
            <sz val="12"/>
            <color indexed="81"/>
            <rFont val="Tahoma"/>
            <family val="2"/>
          </rPr>
          <t>Cross Section #5 from 1994 Survey at 449.03 ft in reach.</t>
        </r>
      </text>
    </comment>
    <comment ref="AC3111" authorId="1">
      <text>
        <r>
          <rPr>
            <b/>
            <sz val="8"/>
            <color indexed="81"/>
            <rFont val="Tahoma"/>
            <family val="2"/>
          </rPr>
          <t>Civil Engineering:</t>
        </r>
        <r>
          <rPr>
            <sz val="8"/>
            <color indexed="81"/>
            <rFont val="Tahoma"/>
            <family val="2"/>
          </rPr>
          <t xml:space="preserve">
Average Channel Gradient</t>
        </r>
      </text>
    </comment>
    <comment ref="AH3111" authorId="2">
      <text>
        <r>
          <rPr>
            <sz val="12"/>
            <color indexed="81"/>
            <rFont val="Tahoma"/>
            <family val="2"/>
          </rPr>
          <t>1997 Survey. Elevations were increased by 10 ft to eliminate negative values.</t>
        </r>
      </text>
    </comment>
    <comment ref="AU3111" authorId="2">
      <text>
        <r>
          <rPr>
            <sz val="12"/>
            <color indexed="81"/>
            <rFont val="Tahoma"/>
            <family val="2"/>
          </rPr>
          <t>Average of 3 cores from 2000.</t>
        </r>
      </text>
    </comment>
    <comment ref="AY3111" authorId="2">
      <text>
        <r>
          <rPr>
            <sz val="12"/>
            <color indexed="81"/>
            <rFont val="Tahoma"/>
            <family val="2"/>
          </rPr>
          <t>Percent Finer</t>
        </r>
      </text>
    </comment>
    <comment ref="AV3112" authorId="2">
      <text>
        <r>
          <rPr>
            <sz val="12"/>
            <color indexed="81"/>
            <rFont val="Tahoma"/>
            <family val="2"/>
          </rPr>
          <t>100% finer than 1170 mm</t>
        </r>
      </text>
    </comment>
    <comment ref="AC3176" authorId="1">
      <text>
        <r>
          <rPr>
            <b/>
            <sz val="8"/>
            <color indexed="81"/>
            <rFont val="Tahoma"/>
            <family val="2"/>
          </rPr>
          <t>Civil Engineering:</t>
        </r>
        <r>
          <rPr>
            <sz val="8"/>
            <color indexed="81"/>
            <rFont val="Tahoma"/>
            <family val="2"/>
          </rPr>
          <t xml:space="preserve">
Average Channel Gradient</t>
        </r>
      </text>
    </comment>
    <comment ref="AH3176" authorId="2">
      <text>
        <r>
          <rPr>
            <sz val="12"/>
            <color indexed="81"/>
            <rFont val="Tahoma"/>
            <family val="2"/>
          </rPr>
          <t>Combination of 1990 and 1998 survey fro cableway location near Canyon Ranger Station.</t>
        </r>
      </text>
    </comment>
    <comment ref="AC3249" authorId="1">
      <text>
        <r>
          <rPr>
            <b/>
            <sz val="8"/>
            <color indexed="81"/>
            <rFont val="Tahoma"/>
            <family val="2"/>
          </rPr>
          <t>Civil Engineering:</t>
        </r>
        <r>
          <rPr>
            <sz val="8"/>
            <color indexed="81"/>
            <rFont val="Tahoma"/>
            <family val="2"/>
          </rPr>
          <t xml:space="preserve">
Average Channel Gradient</t>
        </r>
      </text>
    </comment>
    <comment ref="AH3249" authorId="2">
      <text>
        <r>
          <rPr>
            <sz val="12"/>
            <color indexed="81"/>
            <rFont val="Tahoma"/>
            <family val="2"/>
          </rPr>
          <t>Cross Section #3 by USFS in 1998. Distances were shifted by 12.49 ft to eliminate negative values.</t>
        </r>
      </text>
    </comment>
    <comment ref="AJ3249" authorId="2">
      <text>
        <r>
          <rPr>
            <sz val="12"/>
            <color indexed="81"/>
            <rFont val="Tahoma"/>
            <family val="2"/>
          </rPr>
          <t>100% passing 512 mm sieve</t>
        </r>
      </text>
    </comment>
    <comment ref="AU3249" authorId="2">
      <text>
        <r>
          <rPr>
            <sz val="12"/>
            <color indexed="81"/>
            <rFont val="Tahoma"/>
            <family val="2"/>
          </rPr>
          <t>Combined pebble counts for 1994 and 1995</t>
        </r>
      </text>
    </comment>
    <comment ref="P3250" authorId="4">
      <text>
        <r>
          <rPr>
            <b/>
            <sz val="8"/>
            <color indexed="81"/>
            <rFont val="Tahoma"/>
            <family val="2"/>
          </rPr>
          <t>Daniel McCormick:</t>
        </r>
        <r>
          <rPr>
            <sz val="8"/>
            <color indexed="81"/>
            <rFont val="Tahoma"/>
            <family val="2"/>
          </rPr>
          <t xml:space="preserve">
The Data in the Adjudication Spreadsheet did not match these ranges so they were left blank</t>
        </r>
      </text>
    </comment>
    <comment ref="AH3250" authorId="2">
      <text>
        <r>
          <rPr>
            <sz val="12"/>
            <color indexed="81"/>
            <rFont val="Tahoma"/>
            <family val="2"/>
          </rPr>
          <t>Cross Section #4 by USFS in 1998. Distances were shifted by 8.02 ft to avoid negative values.</t>
        </r>
      </text>
    </comment>
    <comment ref="AH3251" authorId="2">
      <text>
        <r>
          <rPr>
            <sz val="12"/>
            <color indexed="81"/>
            <rFont val="Tahoma"/>
            <family val="2"/>
          </rPr>
          <t>Cross Section #7 by USFS in 1998. Elevations were shifted up by 10 ft to avoid negative numbers.</t>
        </r>
      </text>
    </comment>
    <comment ref="AC3440" authorId="1">
      <text>
        <r>
          <rPr>
            <b/>
            <sz val="8"/>
            <color indexed="81"/>
            <rFont val="Tahoma"/>
            <family val="2"/>
          </rPr>
          <t>Civil Engineering:</t>
        </r>
        <r>
          <rPr>
            <sz val="8"/>
            <color indexed="81"/>
            <rFont val="Tahoma"/>
            <family val="2"/>
          </rPr>
          <t xml:space="preserve">
Average Channel Gradient</t>
        </r>
      </text>
    </comment>
    <comment ref="AH3440" authorId="2">
      <text>
        <r>
          <rPr>
            <sz val="12"/>
            <color indexed="81"/>
            <rFont val="Tahoma"/>
            <family val="2"/>
          </rPr>
          <t xml:space="preserve">1982 Survey at cableway location.
</t>
        </r>
      </text>
    </comment>
    <comment ref="AV3441" authorId="2">
      <text>
        <r>
          <rPr>
            <sz val="12"/>
            <color indexed="81"/>
            <rFont val="Tahoma"/>
            <family val="2"/>
          </rPr>
          <t>100% finer than 2100 mm</t>
        </r>
      </text>
    </comment>
    <comment ref="AC3501" authorId="1">
      <text>
        <r>
          <rPr>
            <b/>
            <sz val="8"/>
            <color indexed="81"/>
            <rFont val="Tahoma"/>
            <family val="2"/>
          </rPr>
          <t>Civil Engineering:</t>
        </r>
        <r>
          <rPr>
            <sz val="8"/>
            <color indexed="81"/>
            <rFont val="Tahoma"/>
            <family val="2"/>
          </rPr>
          <t xml:space="preserve">
Average Channel Gradient</t>
        </r>
      </text>
    </comment>
    <comment ref="AH3501" authorId="2">
      <text>
        <r>
          <rPr>
            <sz val="12"/>
            <color indexed="81"/>
            <rFont val="Tahoma"/>
            <family val="2"/>
          </rPr>
          <t>Survey of cableway location.</t>
        </r>
      </text>
    </comment>
    <comment ref="C3552" authorId="2">
      <text>
        <r>
          <rPr>
            <sz val="12"/>
            <color indexed="81"/>
            <rFont val="Tahoma"/>
            <family val="2"/>
          </rPr>
          <t>Approximate</t>
        </r>
      </text>
    </comment>
    <comment ref="AC3552" authorId="1">
      <text>
        <r>
          <rPr>
            <b/>
            <sz val="8"/>
            <color indexed="81"/>
            <rFont val="Tahoma"/>
            <family val="2"/>
          </rPr>
          <t>Civil Engineering:</t>
        </r>
        <r>
          <rPr>
            <sz val="8"/>
            <color indexed="81"/>
            <rFont val="Tahoma"/>
            <family val="2"/>
          </rPr>
          <t xml:space="preserve">
Average Channel Gradient</t>
        </r>
      </text>
    </comment>
    <comment ref="AH3552" authorId="2">
      <text>
        <r>
          <rPr>
            <sz val="12"/>
            <color indexed="81"/>
            <rFont val="Tahoma"/>
            <family val="2"/>
          </rPr>
          <t>1997 survey of sediment transport sampling location.</t>
        </r>
      </text>
    </comment>
    <comment ref="C3614" authorId="2">
      <text>
        <r>
          <rPr>
            <sz val="12"/>
            <color indexed="81"/>
            <rFont val="Tahoma"/>
            <family val="2"/>
          </rPr>
          <t>Approximate</t>
        </r>
      </text>
    </comment>
    <comment ref="AC3614" authorId="1">
      <text>
        <r>
          <rPr>
            <b/>
            <sz val="8"/>
            <color indexed="81"/>
            <rFont val="Tahoma"/>
            <family val="2"/>
          </rPr>
          <t>Civil Engineering:</t>
        </r>
        <r>
          <rPr>
            <sz val="8"/>
            <color indexed="81"/>
            <rFont val="Tahoma"/>
            <family val="2"/>
          </rPr>
          <t xml:space="preserve">
Average Channel Gradient</t>
        </r>
      </text>
    </comment>
    <comment ref="AH3614" authorId="2">
      <text>
        <r>
          <rPr>
            <sz val="12"/>
            <color indexed="81"/>
            <rFont val="Tahoma"/>
            <family val="2"/>
          </rPr>
          <t>1998 Survey - elevations and distances are shifted to avoid negative numbers.</t>
        </r>
      </text>
    </comment>
    <comment ref="AU3614" authorId="2">
      <text>
        <r>
          <rPr>
            <sz val="12"/>
            <color indexed="81"/>
            <rFont val="Tahoma"/>
            <family val="2"/>
          </rPr>
          <t>Combined pebble counts for 1994 and 1995</t>
        </r>
      </text>
    </comment>
    <comment ref="AC3687" authorId="1">
      <text>
        <r>
          <rPr>
            <b/>
            <sz val="8"/>
            <color indexed="81"/>
            <rFont val="Tahoma"/>
            <family val="2"/>
          </rPr>
          <t>Civil Engineering:</t>
        </r>
        <r>
          <rPr>
            <sz val="8"/>
            <color indexed="81"/>
            <rFont val="Tahoma"/>
            <family val="2"/>
          </rPr>
          <t xml:space="preserve">
Average Channel Gradient</t>
        </r>
      </text>
    </comment>
    <comment ref="AH3687" authorId="2">
      <text>
        <r>
          <rPr>
            <sz val="12"/>
            <color indexed="81"/>
            <rFont val="Tahoma"/>
            <family val="2"/>
          </rPr>
          <t>Combination of 1994 and 1998 surveys at USGS gage location. Distances were shifted to eliminate negative numbers and inverted to read in increasing order.</t>
        </r>
      </text>
    </comment>
    <comment ref="AU3687" authorId="2">
      <text>
        <r>
          <rPr>
            <sz val="12"/>
            <color indexed="81"/>
            <rFont val="Tahoma"/>
            <family val="2"/>
          </rPr>
          <t>Combined pebble counts of 1994 and 1995</t>
        </r>
      </text>
    </comment>
    <comment ref="AC3760" authorId="1">
      <text>
        <r>
          <rPr>
            <b/>
            <sz val="8"/>
            <color indexed="81"/>
            <rFont val="Tahoma"/>
            <family val="2"/>
          </rPr>
          <t>Civil Engineering:</t>
        </r>
        <r>
          <rPr>
            <sz val="8"/>
            <color indexed="81"/>
            <rFont val="Tahoma"/>
            <family val="2"/>
          </rPr>
          <t xml:space="preserve">
Average Channel Gradient</t>
        </r>
      </text>
    </comment>
    <comment ref="AH3760" authorId="2">
      <text>
        <r>
          <rPr>
            <sz val="12"/>
            <color indexed="81"/>
            <rFont val="Tahoma"/>
            <family val="2"/>
          </rPr>
          <t>1998 survey by USFS at 12.6 ft downstream of gauge.</t>
        </r>
      </text>
    </comment>
    <comment ref="AU3760" authorId="2">
      <text>
        <r>
          <rPr>
            <sz val="12"/>
            <color indexed="81"/>
            <rFont val="Tahoma"/>
            <family val="2"/>
          </rPr>
          <t>Combined pebble counts for 1994 and 1995</t>
        </r>
      </text>
    </comment>
    <comment ref="P3761" authorId="4">
      <text>
        <r>
          <rPr>
            <b/>
            <sz val="8"/>
            <color indexed="81"/>
            <rFont val="Tahoma"/>
            <family val="2"/>
          </rPr>
          <t>Daniel McCormick:</t>
        </r>
        <r>
          <rPr>
            <sz val="8"/>
            <color indexed="81"/>
            <rFont val="Tahoma"/>
            <family val="2"/>
          </rPr>
          <t xml:space="preserve">
The Data in the Adjudication Spreadsheet did not match these ranges so they were left blank</t>
        </r>
      </text>
    </comment>
    <comment ref="AH3761" authorId="2">
      <text>
        <r>
          <rPr>
            <sz val="12"/>
            <color indexed="81"/>
            <rFont val="Tahoma"/>
            <family val="2"/>
          </rPr>
          <t>Cross Section 3 by USFS in 1998 at 217 ft downstream of gauge.</t>
        </r>
      </text>
    </comment>
    <comment ref="C3965" authorId="2">
      <text>
        <r>
          <rPr>
            <sz val="12"/>
            <color indexed="81"/>
            <rFont val="Tahoma"/>
            <family val="2"/>
          </rPr>
          <t>Approximate</t>
        </r>
      </text>
    </comment>
    <comment ref="AC3965" authorId="1">
      <text>
        <r>
          <rPr>
            <b/>
            <sz val="8"/>
            <color indexed="81"/>
            <rFont val="Tahoma"/>
            <family val="2"/>
          </rPr>
          <t>Civil Engineering:</t>
        </r>
        <r>
          <rPr>
            <sz val="8"/>
            <color indexed="81"/>
            <rFont val="Tahoma"/>
            <family val="2"/>
          </rPr>
          <t xml:space="preserve">
Average Channel Gradient</t>
        </r>
      </text>
    </comment>
    <comment ref="AH3965" authorId="2">
      <text>
        <r>
          <rPr>
            <sz val="12"/>
            <color indexed="81"/>
            <rFont val="Tahoma"/>
            <family val="2"/>
          </rPr>
          <t xml:space="preserve">Combination of 1994 and 1998 surveys of cableway location. Distances and elevations were shifted to avoid negative numbers.
</t>
        </r>
      </text>
    </comment>
    <comment ref="AI3965" authorId="2">
      <text>
        <r>
          <rPr>
            <sz val="12"/>
            <color indexed="81"/>
            <rFont val="Tahoma"/>
            <family val="2"/>
          </rPr>
          <t>As reported in Barry 2004</t>
        </r>
      </text>
    </comment>
    <comment ref="AU3965" authorId="2">
      <text>
        <r>
          <rPr>
            <sz val="12"/>
            <color indexed="81"/>
            <rFont val="Tahoma"/>
            <family val="2"/>
          </rPr>
          <t>Based on 1994 pebble count.</t>
        </r>
      </text>
    </comment>
    <comment ref="AC4096" authorId="1">
      <text>
        <r>
          <rPr>
            <b/>
            <sz val="8"/>
            <color indexed="81"/>
            <rFont val="Tahoma"/>
            <family val="2"/>
          </rPr>
          <t>Civil Engineering:</t>
        </r>
        <r>
          <rPr>
            <sz val="8"/>
            <color indexed="81"/>
            <rFont val="Tahoma"/>
            <family val="2"/>
          </rPr>
          <t xml:space="preserve">
Average Channel Gradient</t>
        </r>
      </text>
    </comment>
    <comment ref="AH4096" authorId="2">
      <text>
        <r>
          <rPr>
            <sz val="12"/>
            <color indexed="81"/>
            <rFont val="Tahoma"/>
            <family val="2"/>
          </rPr>
          <t>1994 survey of Cross Section #1 at 84.3 ft in reach.</t>
        </r>
      </text>
    </comment>
    <comment ref="AU4096" authorId="2">
      <text>
        <r>
          <rPr>
            <sz val="12"/>
            <color indexed="81"/>
            <rFont val="Tahoma"/>
            <family val="2"/>
          </rPr>
          <t>Based on 1 pebble count in 1994.</t>
        </r>
      </text>
    </comment>
    <comment ref="AH4097" authorId="2">
      <text>
        <r>
          <rPr>
            <sz val="12"/>
            <color indexed="81"/>
            <rFont val="Tahoma"/>
            <family val="2"/>
          </rPr>
          <t>1994 survey of Cross Section #2 at 127.9 ft in reach.</t>
        </r>
      </text>
    </comment>
    <comment ref="AC4190" authorId="1">
      <text>
        <r>
          <rPr>
            <b/>
            <sz val="8"/>
            <color indexed="81"/>
            <rFont val="Tahoma"/>
            <family val="2"/>
          </rPr>
          <t>Civil Engineering:</t>
        </r>
        <r>
          <rPr>
            <sz val="8"/>
            <color indexed="81"/>
            <rFont val="Tahoma"/>
            <family val="2"/>
          </rPr>
          <t xml:space="preserve">
Average Channel Gradient</t>
        </r>
      </text>
    </comment>
    <comment ref="AH4190" authorId="2">
      <text>
        <r>
          <rPr>
            <sz val="12"/>
            <color indexed="81"/>
            <rFont val="Tahoma"/>
            <family val="2"/>
          </rPr>
          <t>Cross Section #1 at 40.6 ft. 1995 Survey.</t>
        </r>
      </text>
    </comment>
    <comment ref="BN4190" authorId="2">
      <text>
        <r>
          <rPr>
            <sz val="12"/>
            <color indexed="81"/>
            <rFont val="Tahoma"/>
            <family val="2"/>
          </rPr>
          <t>Used Site 1 (Cross-section 4) regression equation in Figure 5 of report.</t>
        </r>
      </text>
    </comment>
    <comment ref="BO4190" authorId="2">
      <text>
        <r>
          <rPr>
            <sz val="12"/>
            <color indexed="81"/>
            <rFont val="Tahoma"/>
            <family val="2"/>
          </rPr>
          <t>Used Site 1 (Cross-section 4) regression equation in Figure 5 of report.</t>
        </r>
      </text>
    </comment>
    <comment ref="AH4191" authorId="2">
      <text>
        <r>
          <rPr>
            <sz val="12"/>
            <color indexed="81"/>
            <rFont val="Tahoma"/>
            <family val="2"/>
          </rPr>
          <t>1995 survey of Cross Section #2 at 169.6 ft.</t>
        </r>
      </text>
    </comment>
    <comment ref="AU4191" authorId="2">
      <text>
        <r>
          <rPr>
            <sz val="12"/>
            <color indexed="81"/>
            <rFont val="Tahoma"/>
            <family val="2"/>
          </rPr>
          <t>Combined 2000 pebble counts</t>
        </r>
      </text>
    </comment>
    <comment ref="AH4192" authorId="2">
      <text>
        <r>
          <rPr>
            <sz val="12"/>
            <color indexed="81"/>
            <rFont val="Tahoma"/>
            <family val="2"/>
          </rPr>
          <t>1995 survey of Cross Section #3 at 520.5 ft.</t>
        </r>
      </text>
    </comment>
    <comment ref="AH4193" authorId="2">
      <text>
        <r>
          <rPr>
            <sz val="12"/>
            <color indexed="81"/>
            <rFont val="Tahoma"/>
            <family val="2"/>
          </rPr>
          <t>1995 survey of Cross Section #4 at 787.2 ft.</t>
        </r>
      </text>
    </comment>
    <comment ref="C4283" authorId="2">
      <text>
        <r>
          <rPr>
            <sz val="12"/>
            <color indexed="81"/>
            <rFont val="Tahoma"/>
            <family val="2"/>
          </rPr>
          <t>Approximate</t>
        </r>
      </text>
    </comment>
    <comment ref="AC4283" authorId="1">
      <text>
        <r>
          <rPr>
            <b/>
            <sz val="8"/>
            <color indexed="81"/>
            <rFont val="Tahoma"/>
            <family val="2"/>
          </rPr>
          <t>Civil Engineering:</t>
        </r>
        <r>
          <rPr>
            <sz val="8"/>
            <color indexed="81"/>
            <rFont val="Tahoma"/>
            <family val="2"/>
          </rPr>
          <t xml:space="preserve">
Average Channel Gradient</t>
        </r>
      </text>
    </comment>
    <comment ref="AH4283" authorId="2">
      <text>
        <r>
          <rPr>
            <sz val="12"/>
            <color indexed="81"/>
            <rFont val="Tahoma"/>
            <family val="2"/>
          </rPr>
          <t>1995 survey of Cross Section 1 at 268.3 ft.</t>
        </r>
      </text>
    </comment>
    <comment ref="AH4284" authorId="2">
      <text>
        <r>
          <rPr>
            <sz val="12"/>
            <color indexed="81"/>
            <rFont val="Tahoma"/>
            <family val="2"/>
          </rPr>
          <t>1995 survey of Cross Section #5 at 336.5 ft.</t>
        </r>
      </text>
    </comment>
    <comment ref="AU4284" authorId="2">
      <text>
        <r>
          <rPr>
            <sz val="12"/>
            <color indexed="81"/>
            <rFont val="Tahoma"/>
            <family val="2"/>
          </rPr>
          <t>Combined pebble counts for 1994 and 2000</t>
        </r>
      </text>
    </comment>
    <comment ref="AC4368" authorId="1">
      <text>
        <r>
          <rPr>
            <b/>
            <sz val="8"/>
            <color indexed="81"/>
            <rFont val="Tahoma"/>
            <family val="2"/>
          </rPr>
          <t>Civil Engineering:</t>
        </r>
        <r>
          <rPr>
            <sz val="8"/>
            <color indexed="81"/>
            <rFont val="Tahoma"/>
            <family val="2"/>
          </rPr>
          <t xml:space="preserve">
Average Channel Gradient</t>
        </r>
      </text>
    </comment>
    <comment ref="AH4368" authorId="2">
      <text>
        <r>
          <rPr>
            <sz val="12"/>
            <color indexed="81"/>
            <rFont val="Tahoma"/>
            <family val="2"/>
          </rPr>
          <t xml:space="preserve">1995 survey of Cross Section #1 at 389 ft in reach.
</t>
        </r>
      </text>
    </comment>
    <comment ref="AU4368" authorId="2">
      <text>
        <r>
          <rPr>
            <sz val="12"/>
            <color indexed="81"/>
            <rFont val="Tahoma"/>
            <family val="2"/>
          </rPr>
          <t>Combined pebble counts for 1994 and 1995</t>
        </r>
      </text>
    </comment>
    <comment ref="P4369" authorId="4">
      <text>
        <r>
          <rPr>
            <b/>
            <sz val="8"/>
            <color indexed="81"/>
            <rFont val="Tahoma"/>
            <family val="2"/>
          </rPr>
          <t>Daniel McCormick:</t>
        </r>
        <r>
          <rPr>
            <sz val="8"/>
            <color indexed="81"/>
            <rFont val="Tahoma"/>
            <family val="2"/>
          </rPr>
          <t xml:space="preserve">
The Data in the Adjudication Spreadsheet did not match these ranges so they were left blank</t>
        </r>
      </text>
    </comment>
    <comment ref="AH4369" authorId="2">
      <text>
        <r>
          <rPr>
            <sz val="12"/>
            <color indexed="81"/>
            <rFont val="Tahoma"/>
            <family val="2"/>
          </rPr>
          <t>1995 survey of Cross Section #2 at 283.7 ft in reach.</t>
        </r>
      </text>
    </comment>
    <comment ref="AH4370" authorId="2">
      <text>
        <r>
          <rPr>
            <sz val="12"/>
            <color indexed="81"/>
            <rFont val="Tahoma"/>
            <family val="2"/>
          </rPr>
          <t>1995 survey of Cross Section #3 at 218.1 ft in reach.</t>
        </r>
      </text>
    </comment>
    <comment ref="AH4371" authorId="2">
      <text>
        <r>
          <rPr>
            <sz val="12"/>
            <color indexed="81"/>
            <rFont val="Tahoma"/>
            <family val="2"/>
          </rPr>
          <t>1995 survey of Cross Section #4 at 77.7 ft in reach.</t>
        </r>
      </text>
    </comment>
    <comment ref="AE4530" authorId="0">
      <text>
        <r>
          <rPr>
            <b/>
            <sz val="12"/>
            <color indexed="81"/>
            <rFont val="Tahoma"/>
            <family val="2"/>
          </rPr>
          <t>Data not provided.</t>
        </r>
      </text>
    </comment>
    <comment ref="AC4535" authorId="1">
      <text>
        <r>
          <rPr>
            <b/>
            <sz val="8"/>
            <color indexed="81"/>
            <rFont val="Tahoma"/>
            <family val="2"/>
          </rPr>
          <t>Civil Engineering:</t>
        </r>
        <r>
          <rPr>
            <sz val="8"/>
            <color indexed="81"/>
            <rFont val="Tahoma"/>
            <family val="2"/>
          </rPr>
          <t xml:space="preserve">
Average Channel Gradient</t>
        </r>
      </text>
    </comment>
    <comment ref="AH4535" authorId="2">
      <text>
        <r>
          <rPr>
            <sz val="12"/>
            <color indexed="81"/>
            <rFont val="Tahoma"/>
            <family val="2"/>
          </rPr>
          <t>Combination of 1994 and 1998 surveys by USFS for Cross Section #4 at 173 ft upstream of gauge. Distances were adjusted to avoid negative numbers.</t>
        </r>
      </text>
    </comment>
    <comment ref="AU4535" authorId="2">
      <text>
        <r>
          <rPr>
            <sz val="12"/>
            <color indexed="81"/>
            <rFont val="Tahoma"/>
            <family val="2"/>
          </rPr>
          <t>Combined pebble counts for 1994 and 1995</t>
        </r>
      </text>
    </comment>
    <comment ref="AH4536" authorId="2">
      <text>
        <r>
          <rPr>
            <sz val="12"/>
            <color indexed="81"/>
            <rFont val="Tahoma"/>
            <family val="2"/>
          </rPr>
          <t xml:space="preserve">Combination of 1994 and 1998 surveys by USFS for Cross Section #5 at gauge. Distances and elevations were shifted to avoid negative numbers.
</t>
        </r>
      </text>
    </comment>
    <comment ref="AH4537" authorId="2">
      <text>
        <r>
          <rPr>
            <sz val="12"/>
            <color indexed="81"/>
            <rFont val="Tahoma"/>
            <family val="2"/>
          </rPr>
          <t>Combination of 1994 and 1998 surveys by USFS for Cross Section #6 at 325 ft downstream of gauge. Distances and elevations were shifted to avoid negative numbers.</t>
        </r>
      </text>
    </comment>
    <comment ref="AC4728" authorId="1">
      <text>
        <r>
          <rPr>
            <b/>
            <sz val="8"/>
            <color indexed="81"/>
            <rFont val="Tahoma"/>
            <family val="2"/>
          </rPr>
          <t>Civil Engineering:</t>
        </r>
        <r>
          <rPr>
            <sz val="8"/>
            <color indexed="81"/>
            <rFont val="Tahoma"/>
            <family val="2"/>
          </rPr>
          <t xml:space="preserve">
Average Channel Gradient</t>
        </r>
      </text>
    </comment>
    <comment ref="AH4728" authorId="2">
      <text>
        <r>
          <rPr>
            <sz val="12"/>
            <color indexed="81"/>
            <rFont val="Tahoma"/>
            <family val="2"/>
          </rPr>
          <t>1994 survey of Cross Section #1 at 201.3 ft in reach.</t>
        </r>
      </text>
    </comment>
    <comment ref="AU4728" authorId="2">
      <text>
        <r>
          <rPr>
            <sz val="12"/>
            <color indexed="81"/>
            <rFont val="Tahoma"/>
            <family val="2"/>
          </rPr>
          <t>Based on 1 pebble count in 1994.</t>
        </r>
      </text>
    </comment>
    <comment ref="AV4728" authorId="2">
      <text>
        <r>
          <rPr>
            <sz val="12"/>
            <color indexed="81"/>
            <rFont val="Tahoma"/>
            <family val="2"/>
          </rPr>
          <t>100% finer than 1050 mm</t>
        </r>
      </text>
    </comment>
    <comment ref="AH4729" authorId="2">
      <text>
        <r>
          <rPr>
            <sz val="12"/>
            <color indexed="81"/>
            <rFont val="Tahoma"/>
            <family val="2"/>
          </rPr>
          <t>1994 survey of Cross Section #2 at 366 ft in reach.</t>
        </r>
      </text>
    </comment>
    <comment ref="AH4730" authorId="2">
      <text>
        <r>
          <rPr>
            <sz val="12"/>
            <color indexed="81"/>
            <rFont val="Tahoma"/>
            <family val="2"/>
          </rPr>
          <t>1994 survey of Cross Section #3 at 74.8 ft in reach.</t>
        </r>
      </text>
    </comment>
    <comment ref="BN4814" authorId="2">
      <text>
        <r>
          <rPr>
            <sz val="12"/>
            <color indexed="81"/>
            <rFont val="Tahoma"/>
            <family val="2"/>
          </rPr>
          <t>Klamath River report listed a bankfull width (22.6') not consistent with the discharge-stage rating curve in the appendix. Both were generated using XSPRO. However, the cross sectional area at bankfull did match the curve, and so this value was used to lookup corresponding values of width and depth.</t>
        </r>
      </text>
    </comment>
    <comment ref="BN4827" authorId="2">
      <text>
        <r>
          <rPr>
            <sz val="12"/>
            <color indexed="81"/>
            <rFont val="Tahoma"/>
            <family val="2"/>
          </rPr>
          <t>Based on hydraulic geometry regression equations of flow measurements.</t>
        </r>
      </text>
    </comment>
    <comment ref="BO4827" authorId="2">
      <text>
        <r>
          <rPr>
            <sz val="12"/>
            <color indexed="81"/>
            <rFont val="Tahoma"/>
            <family val="2"/>
          </rPr>
          <t>Based on hydraulic geometry regression equations of flow measurements.</t>
        </r>
      </text>
    </comment>
    <comment ref="AB4828" authorId="0">
      <text>
        <r>
          <rPr>
            <b/>
            <sz val="12"/>
            <color indexed="81"/>
            <rFont val="Times New Roman"/>
            <family val="1"/>
          </rPr>
          <t>Darren:</t>
        </r>
        <r>
          <rPr>
            <sz val="12"/>
            <color indexed="81"/>
            <rFont val="Times New Roman"/>
            <family val="1"/>
          </rPr>
          <t xml:space="preserve">
Sample Time</t>
        </r>
      </text>
    </comment>
    <comment ref="AB4829" authorId="0">
      <text>
        <r>
          <rPr>
            <b/>
            <sz val="9"/>
            <color indexed="81"/>
            <rFont val="Tahoma"/>
            <family val="2"/>
          </rPr>
          <t>Darren:</t>
        </r>
        <r>
          <rPr>
            <sz val="9"/>
            <color indexed="81"/>
            <rFont val="Tahoma"/>
            <family val="2"/>
          </rPr>
          <t xml:space="preserve">
Sample Time</t>
        </r>
      </text>
    </comment>
    <comment ref="AB4830" authorId="0">
      <text>
        <r>
          <rPr>
            <b/>
            <sz val="12"/>
            <color indexed="81"/>
            <rFont val="Tahoma"/>
            <family val="2"/>
          </rPr>
          <t>Darren:</t>
        </r>
        <r>
          <rPr>
            <sz val="12"/>
            <color indexed="81"/>
            <rFont val="Tahoma"/>
            <family val="2"/>
          </rPr>
          <t xml:space="preserve">
Sample Time</t>
        </r>
      </text>
    </comment>
    <comment ref="AB4831" authorId="0">
      <text>
        <r>
          <rPr>
            <b/>
            <sz val="9"/>
            <color indexed="81"/>
            <rFont val="Tahoma"/>
            <family val="2"/>
          </rPr>
          <t>Darren:</t>
        </r>
        <r>
          <rPr>
            <sz val="9"/>
            <color indexed="81"/>
            <rFont val="Tahoma"/>
            <family val="2"/>
          </rPr>
          <t xml:space="preserve">
Sample Time</t>
        </r>
      </text>
    </comment>
    <comment ref="AB4832" authorId="0">
      <text>
        <r>
          <rPr>
            <b/>
            <sz val="9"/>
            <color indexed="81"/>
            <rFont val="Tahoma"/>
            <family val="2"/>
          </rPr>
          <t>Darren:</t>
        </r>
        <r>
          <rPr>
            <sz val="9"/>
            <color indexed="81"/>
            <rFont val="Tahoma"/>
            <family val="2"/>
          </rPr>
          <t xml:space="preserve">
Sample Time</t>
        </r>
      </text>
    </comment>
    <comment ref="AB4833" authorId="0">
      <text>
        <r>
          <rPr>
            <b/>
            <sz val="9"/>
            <color indexed="81"/>
            <rFont val="Tahoma"/>
            <family val="2"/>
          </rPr>
          <t>Darren:</t>
        </r>
        <r>
          <rPr>
            <sz val="9"/>
            <color indexed="81"/>
            <rFont val="Tahoma"/>
            <family val="2"/>
          </rPr>
          <t xml:space="preserve">
Sample Time</t>
        </r>
      </text>
    </comment>
    <comment ref="AB4834" authorId="0">
      <text>
        <r>
          <rPr>
            <b/>
            <sz val="9"/>
            <color indexed="81"/>
            <rFont val="Tahoma"/>
            <family val="2"/>
          </rPr>
          <t>Darren:</t>
        </r>
        <r>
          <rPr>
            <sz val="9"/>
            <color indexed="81"/>
            <rFont val="Tahoma"/>
            <family val="2"/>
          </rPr>
          <t xml:space="preserve">
Sample Time</t>
        </r>
      </text>
    </comment>
    <comment ref="AB4835" authorId="0">
      <text>
        <r>
          <rPr>
            <b/>
            <sz val="9"/>
            <color indexed="81"/>
            <rFont val="Tahoma"/>
            <family val="2"/>
          </rPr>
          <t>Darren:</t>
        </r>
        <r>
          <rPr>
            <sz val="9"/>
            <color indexed="81"/>
            <rFont val="Tahoma"/>
            <family val="2"/>
          </rPr>
          <t xml:space="preserve">
Sample Time</t>
        </r>
      </text>
    </comment>
    <comment ref="AB4836" authorId="0">
      <text>
        <r>
          <rPr>
            <b/>
            <sz val="9"/>
            <color indexed="81"/>
            <rFont val="Tahoma"/>
            <family val="2"/>
          </rPr>
          <t>Darren:</t>
        </r>
        <r>
          <rPr>
            <sz val="9"/>
            <color indexed="81"/>
            <rFont val="Tahoma"/>
            <family val="2"/>
          </rPr>
          <t xml:space="preserve">
Sample Time</t>
        </r>
      </text>
    </comment>
    <comment ref="AB4837" authorId="0">
      <text>
        <r>
          <rPr>
            <b/>
            <sz val="9"/>
            <color indexed="81"/>
            <rFont val="Tahoma"/>
            <family val="2"/>
          </rPr>
          <t>Darren:</t>
        </r>
        <r>
          <rPr>
            <sz val="9"/>
            <color indexed="81"/>
            <rFont val="Tahoma"/>
            <family val="2"/>
          </rPr>
          <t xml:space="preserve">
Sample Time</t>
        </r>
      </text>
    </comment>
    <comment ref="AB4838" authorId="0">
      <text>
        <r>
          <rPr>
            <b/>
            <sz val="9"/>
            <color indexed="81"/>
            <rFont val="Tahoma"/>
            <family val="2"/>
          </rPr>
          <t>Darren:</t>
        </r>
        <r>
          <rPr>
            <sz val="9"/>
            <color indexed="81"/>
            <rFont val="Tahoma"/>
            <family val="2"/>
          </rPr>
          <t xml:space="preserve">
Sample Time</t>
        </r>
      </text>
    </comment>
    <comment ref="BN4839" authorId="2">
      <text>
        <r>
          <rPr>
            <sz val="12"/>
            <color indexed="81"/>
            <rFont val="Tahoma"/>
            <family val="2"/>
          </rPr>
          <t>Based on hydraulic geometry regression equations of flow measurements.</t>
        </r>
      </text>
    </comment>
    <comment ref="BO4839" authorId="2">
      <text>
        <r>
          <rPr>
            <sz val="12"/>
            <color indexed="81"/>
            <rFont val="Tahoma"/>
            <family val="2"/>
          </rPr>
          <t>Based on hydraulic geometry regression equations of flow measurements.</t>
        </r>
      </text>
    </comment>
    <comment ref="AB4840" authorId="0">
      <text>
        <r>
          <rPr>
            <b/>
            <sz val="9"/>
            <color indexed="81"/>
            <rFont val="Tahoma"/>
            <family val="2"/>
          </rPr>
          <t>Darren:</t>
        </r>
        <r>
          <rPr>
            <sz val="9"/>
            <color indexed="81"/>
            <rFont val="Tahoma"/>
            <family val="2"/>
          </rPr>
          <t xml:space="preserve">
Sample Time</t>
        </r>
      </text>
    </comment>
    <comment ref="AB4841" authorId="0">
      <text>
        <r>
          <rPr>
            <b/>
            <sz val="9"/>
            <color indexed="81"/>
            <rFont val="Tahoma"/>
            <family val="2"/>
          </rPr>
          <t>Darren:</t>
        </r>
        <r>
          <rPr>
            <sz val="9"/>
            <color indexed="81"/>
            <rFont val="Tahoma"/>
            <family val="2"/>
          </rPr>
          <t xml:space="preserve">
Sample Time</t>
        </r>
      </text>
    </comment>
    <comment ref="AB4842" authorId="0">
      <text>
        <r>
          <rPr>
            <b/>
            <sz val="9"/>
            <color indexed="81"/>
            <rFont val="Tahoma"/>
            <family val="2"/>
          </rPr>
          <t>Darren:</t>
        </r>
        <r>
          <rPr>
            <sz val="9"/>
            <color indexed="81"/>
            <rFont val="Tahoma"/>
            <family val="2"/>
          </rPr>
          <t xml:space="preserve">
Sample Time</t>
        </r>
      </text>
    </comment>
    <comment ref="AB4843" authorId="0">
      <text>
        <r>
          <rPr>
            <b/>
            <sz val="9"/>
            <color indexed="81"/>
            <rFont val="Tahoma"/>
            <family val="2"/>
          </rPr>
          <t>Darren:</t>
        </r>
        <r>
          <rPr>
            <sz val="9"/>
            <color indexed="81"/>
            <rFont val="Tahoma"/>
            <family val="2"/>
          </rPr>
          <t xml:space="preserve">
Sample Time</t>
        </r>
      </text>
    </comment>
    <comment ref="AB4844" authorId="0">
      <text>
        <r>
          <rPr>
            <b/>
            <sz val="9"/>
            <color indexed="81"/>
            <rFont val="Tahoma"/>
            <family val="2"/>
          </rPr>
          <t>Darren:</t>
        </r>
        <r>
          <rPr>
            <sz val="9"/>
            <color indexed="81"/>
            <rFont val="Tahoma"/>
            <family val="2"/>
          </rPr>
          <t xml:space="preserve">
Sample Time</t>
        </r>
      </text>
    </comment>
    <comment ref="AB4845" authorId="0">
      <text>
        <r>
          <rPr>
            <b/>
            <sz val="9"/>
            <color indexed="81"/>
            <rFont val="Tahoma"/>
            <family val="2"/>
          </rPr>
          <t>Darren:</t>
        </r>
        <r>
          <rPr>
            <sz val="9"/>
            <color indexed="81"/>
            <rFont val="Tahoma"/>
            <family val="2"/>
          </rPr>
          <t xml:space="preserve">
Sample Time</t>
        </r>
      </text>
    </comment>
    <comment ref="AB4846" authorId="0">
      <text>
        <r>
          <rPr>
            <b/>
            <sz val="9"/>
            <color indexed="81"/>
            <rFont val="Tahoma"/>
            <family val="2"/>
          </rPr>
          <t>Darren:</t>
        </r>
        <r>
          <rPr>
            <sz val="9"/>
            <color indexed="81"/>
            <rFont val="Tahoma"/>
            <family val="2"/>
          </rPr>
          <t xml:space="preserve">
Sample Time</t>
        </r>
      </text>
    </comment>
    <comment ref="AB4847" authorId="0">
      <text>
        <r>
          <rPr>
            <b/>
            <sz val="9"/>
            <color indexed="81"/>
            <rFont val="Tahoma"/>
            <family val="2"/>
          </rPr>
          <t>Darren:</t>
        </r>
        <r>
          <rPr>
            <sz val="9"/>
            <color indexed="81"/>
            <rFont val="Tahoma"/>
            <family val="2"/>
          </rPr>
          <t xml:space="preserve">
Sample Time</t>
        </r>
      </text>
    </comment>
    <comment ref="AB4848" authorId="0">
      <text>
        <r>
          <rPr>
            <b/>
            <sz val="9"/>
            <color indexed="81"/>
            <rFont val="Tahoma"/>
            <family val="2"/>
          </rPr>
          <t>Darren:</t>
        </r>
        <r>
          <rPr>
            <sz val="9"/>
            <color indexed="81"/>
            <rFont val="Tahoma"/>
            <family val="2"/>
          </rPr>
          <t xml:space="preserve">
Sample Time</t>
        </r>
      </text>
    </comment>
    <comment ref="AB4849" authorId="0">
      <text>
        <r>
          <rPr>
            <b/>
            <sz val="9"/>
            <color indexed="81"/>
            <rFont val="Tahoma"/>
            <family val="2"/>
          </rPr>
          <t>Darren:</t>
        </r>
        <r>
          <rPr>
            <sz val="9"/>
            <color indexed="81"/>
            <rFont val="Tahoma"/>
            <family val="2"/>
          </rPr>
          <t xml:space="preserve">
Sample Time</t>
        </r>
      </text>
    </comment>
    <comment ref="AB4850" authorId="0">
      <text>
        <r>
          <rPr>
            <b/>
            <sz val="9"/>
            <color indexed="81"/>
            <rFont val="Tahoma"/>
            <family val="2"/>
          </rPr>
          <t>Darren:</t>
        </r>
        <r>
          <rPr>
            <sz val="9"/>
            <color indexed="81"/>
            <rFont val="Tahoma"/>
            <family val="2"/>
          </rPr>
          <t xml:space="preserve">
Sample Time</t>
        </r>
      </text>
    </comment>
    <comment ref="BN4851" authorId="2">
      <text>
        <r>
          <rPr>
            <sz val="12"/>
            <color indexed="81"/>
            <rFont val="Tahoma"/>
            <family val="2"/>
          </rPr>
          <t>Based on hydraulic geometry regression equations of flow measurements.</t>
        </r>
      </text>
    </comment>
    <comment ref="BO4851" authorId="2">
      <text>
        <r>
          <rPr>
            <sz val="12"/>
            <color indexed="81"/>
            <rFont val="Tahoma"/>
            <family val="2"/>
          </rPr>
          <t>Based on hydraulic geometry regression equations of flow measurements.</t>
        </r>
      </text>
    </comment>
    <comment ref="AB4852" authorId="0">
      <text>
        <r>
          <rPr>
            <b/>
            <sz val="9"/>
            <color indexed="81"/>
            <rFont val="Tahoma"/>
            <family val="2"/>
          </rPr>
          <t>Darren:</t>
        </r>
        <r>
          <rPr>
            <sz val="9"/>
            <color indexed="81"/>
            <rFont val="Tahoma"/>
            <family val="2"/>
          </rPr>
          <t xml:space="preserve">
Sample Time</t>
        </r>
      </text>
    </comment>
    <comment ref="AB4853" authorId="0">
      <text>
        <r>
          <rPr>
            <b/>
            <sz val="9"/>
            <color indexed="81"/>
            <rFont val="Tahoma"/>
            <family val="2"/>
          </rPr>
          <t>Darren:</t>
        </r>
        <r>
          <rPr>
            <sz val="9"/>
            <color indexed="81"/>
            <rFont val="Tahoma"/>
            <family val="2"/>
          </rPr>
          <t xml:space="preserve">
Sample Time</t>
        </r>
      </text>
    </comment>
    <comment ref="AB4854" authorId="0">
      <text>
        <r>
          <rPr>
            <b/>
            <sz val="9"/>
            <color indexed="81"/>
            <rFont val="Tahoma"/>
            <family val="2"/>
          </rPr>
          <t>Darren:</t>
        </r>
        <r>
          <rPr>
            <sz val="9"/>
            <color indexed="81"/>
            <rFont val="Tahoma"/>
            <family val="2"/>
          </rPr>
          <t xml:space="preserve">
Sample Time</t>
        </r>
      </text>
    </comment>
    <comment ref="AB4855" authorId="0">
      <text>
        <r>
          <rPr>
            <b/>
            <sz val="9"/>
            <color indexed="81"/>
            <rFont val="Tahoma"/>
            <family val="2"/>
          </rPr>
          <t>Darren:</t>
        </r>
        <r>
          <rPr>
            <sz val="9"/>
            <color indexed="81"/>
            <rFont val="Tahoma"/>
            <family val="2"/>
          </rPr>
          <t xml:space="preserve">
Sample Time</t>
        </r>
      </text>
    </comment>
    <comment ref="AB4856" authorId="0">
      <text>
        <r>
          <rPr>
            <b/>
            <sz val="9"/>
            <color indexed="81"/>
            <rFont val="Tahoma"/>
            <family val="2"/>
          </rPr>
          <t>Darren:</t>
        </r>
        <r>
          <rPr>
            <sz val="9"/>
            <color indexed="81"/>
            <rFont val="Tahoma"/>
            <family val="2"/>
          </rPr>
          <t xml:space="preserve">
Sample Time</t>
        </r>
      </text>
    </comment>
    <comment ref="AB4857" authorId="0">
      <text>
        <r>
          <rPr>
            <b/>
            <sz val="9"/>
            <color indexed="81"/>
            <rFont val="Tahoma"/>
            <family val="2"/>
          </rPr>
          <t>Darren:</t>
        </r>
        <r>
          <rPr>
            <sz val="9"/>
            <color indexed="81"/>
            <rFont val="Tahoma"/>
            <family val="2"/>
          </rPr>
          <t xml:space="preserve">
Sample Time</t>
        </r>
      </text>
    </comment>
    <comment ref="AB4858" authorId="0">
      <text>
        <r>
          <rPr>
            <b/>
            <sz val="9"/>
            <color indexed="81"/>
            <rFont val="Tahoma"/>
            <family val="2"/>
          </rPr>
          <t>Darren:</t>
        </r>
        <r>
          <rPr>
            <sz val="9"/>
            <color indexed="81"/>
            <rFont val="Tahoma"/>
            <family val="2"/>
          </rPr>
          <t xml:space="preserve">
Sample Time</t>
        </r>
      </text>
    </comment>
    <comment ref="AB4859" authorId="0">
      <text>
        <r>
          <rPr>
            <b/>
            <sz val="9"/>
            <color indexed="81"/>
            <rFont val="Tahoma"/>
            <family val="2"/>
          </rPr>
          <t>Darren:</t>
        </r>
        <r>
          <rPr>
            <sz val="9"/>
            <color indexed="81"/>
            <rFont val="Tahoma"/>
            <family val="2"/>
          </rPr>
          <t xml:space="preserve">
Sample Time</t>
        </r>
      </text>
    </comment>
    <comment ref="AB4860" authorId="0">
      <text>
        <r>
          <rPr>
            <b/>
            <sz val="9"/>
            <color indexed="81"/>
            <rFont val="Tahoma"/>
            <family val="2"/>
          </rPr>
          <t>Darren:</t>
        </r>
        <r>
          <rPr>
            <sz val="9"/>
            <color indexed="81"/>
            <rFont val="Tahoma"/>
            <family val="2"/>
          </rPr>
          <t xml:space="preserve">
Sample Time</t>
        </r>
      </text>
    </comment>
    <comment ref="AB4861" authorId="0">
      <text>
        <r>
          <rPr>
            <b/>
            <sz val="9"/>
            <color indexed="81"/>
            <rFont val="Tahoma"/>
            <family val="2"/>
          </rPr>
          <t>Darren:</t>
        </r>
        <r>
          <rPr>
            <sz val="9"/>
            <color indexed="81"/>
            <rFont val="Tahoma"/>
            <family val="2"/>
          </rPr>
          <t xml:space="preserve">
Sample Time</t>
        </r>
      </text>
    </comment>
    <comment ref="AB4862" authorId="0">
      <text>
        <r>
          <rPr>
            <b/>
            <sz val="9"/>
            <color indexed="81"/>
            <rFont val="Tahoma"/>
            <family val="2"/>
          </rPr>
          <t>Darren:</t>
        </r>
        <r>
          <rPr>
            <sz val="9"/>
            <color indexed="81"/>
            <rFont val="Tahoma"/>
            <family val="2"/>
          </rPr>
          <t xml:space="preserve">
Sample Time</t>
        </r>
      </text>
    </comment>
    <comment ref="AB4863" authorId="0">
      <text>
        <r>
          <rPr>
            <b/>
            <sz val="9"/>
            <color indexed="81"/>
            <rFont val="Tahoma"/>
            <family val="2"/>
          </rPr>
          <t>Darren:</t>
        </r>
        <r>
          <rPr>
            <sz val="9"/>
            <color indexed="81"/>
            <rFont val="Tahoma"/>
            <family val="2"/>
          </rPr>
          <t xml:space="preserve">
Sample Time</t>
        </r>
      </text>
    </comment>
    <comment ref="AB4864" authorId="0">
      <text>
        <r>
          <rPr>
            <b/>
            <sz val="9"/>
            <color indexed="81"/>
            <rFont val="Tahoma"/>
            <family val="2"/>
          </rPr>
          <t>Darren:</t>
        </r>
        <r>
          <rPr>
            <sz val="9"/>
            <color indexed="81"/>
            <rFont val="Tahoma"/>
            <family val="2"/>
          </rPr>
          <t xml:space="preserve">
Sample Time</t>
        </r>
      </text>
    </comment>
    <comment ref="BN4865" authorId="2">
      <text>
        <r>
          <rPr>
            <sz val="12"/>
            <color indexed="81"/>
            <rFont val="Tahoma"/>
            <family val="2"/>
          </rPr>
          <t>Based on hydraulic geometry regression equations of flow measurements.</t>
        </r>
      </text>
    </comment>
    <comment ref="BO4865" authorId="2">
      <text>
        <r>
          <rPr>
            <sz val="12"/>
            <color indexed="81"/>
            <rFont val="Tahoma"/>
            <family val="2"/>
          </rPr>
          <t>Based on hydraulic geometry regression equations of flow measurements.</t>
        </r>
      </text>
    </comment>
    <comment ref="AB4866" authorId="0">
      <text>
        <r>
          <rPr>
            <b/>
            <sz val="9"/>
            <color indexed="81"/>
            <rFont val="Tahoma"/>
            <family val="2"/>
          </rPr>
          <t>Darren:</t>
        </r>
        <r>
          <rPr>
            <sz val="9"/>
            <color indexed="81"/>
            <rFont val="Tahoma"/>
            <family val="2"/>
          </rPr>
          <t xml:space="preserve">
Sample Time</t>
        </r>
      </text>
    </comment>
    <comment ref="AB4867" authorId="0">
      <text>
        <r>
          <rPr>
            <b/>
            <sz val="9"/>
            <color indexed="81"/>
            <rFont val="Tahoma"/>
            <family val="2"/>
          </rPr>
          <t>Darren:</t>
        </r>
        <r>
          <rPr>
            <sz val="9"/>
            <color indexed="81"/>
            <rFont val="Tahoma"/>
            <family val="2"/>
          </rPr>
          <t xml:space="preserve">
Sample Time</t>
        </r>
      </text>
    </comment>
    <comment ref="AB4868" authorId="0">
      <text>
        <r>
          <rPr>
            <b/>
            <sz val="9"/>
            <color indexed="81"/>
            <rFont val="Tahoma"/>
            <family val="2"/>
          </rPr>
          <t>Darren:</t>
        </r>
        <r>
          <rPr>
            <sz val="9"/>
            <color indexed="81"/>
            <rFont val="Tahoma"/>
            <family val="2"/>
          </rPr>
          <t xml:space="preserve">
Sample Time</t>
        </r>
      </text>
    </comment>
    <comment ref="AB4869" authorId="0">
      <text>
        <r>
          <rPr>
            <b/>
            <sz val="9"/>
            <color indexed="81"/>
            <rFont val="Tahoma"/>
            <family val="2"/>
          </rPr>
          <t>Darren:</t>
        </r>
        <r>
          <rPr>
            <sz val="9"/>
            <color indexed="81"/>
            <rFont val="Tahoma"/>
            <family val="2"/>
          </rPr>
          <t xml:space="preserve">
Sample Time</t>
        </r>
      </text>
    </comment>
    <comment ref="AB4870" authorId="0">
      <text>
        <r>
          <rPr>
            <b/>
            <sz val="9"/>
            <color indexed="81"/>
            <rFont val="Tahoma"/>
            <family val="2"/>
          </rPr>
          <t>Darren:</t>
        </r>
        <r>
          <rPr>
            <sz val="9"/>
            <color indexed="81"/>
            <rFont val="Tahoma"/>
            <family val="2"/>
          </rPr>
          <t xml:space="preserve">
Sample Time</t>
        </r>
      </text>
    </comment>
    <comment ref="AB4871" authorId="0">
      <text>
        <r>
          <rPr>
            <b/>
            <sz val="9"/>
            <color indexed="81"/>
            <rFont val="Tahoma"/>
            <family val="2"/>
          </rPr>
          <t>Darren:</t>
        </r>
        <r>
          <rPr>
            <sz val="9"/>
            <color indexed="81"/>
            <rFont val="Tahoma"/>
            <family val="2"/>
          </rPr>
          <t xml:space="preserve">
Sample Time</t>
        </r>
      </text>
    </comment>
    <comment ref="AB4872" authorId="0">
      <text>
        <r>
          <rPr>
            <b/>
            <sz val="9"/>
            <color indexed="81"/>
            <rFont val="Tahoma"/>
            <family val="2"/>
          </rPr>
          <t>Darren:</t>
        </r>
        <r>
          <rPr>
            <sz val="9"/>
            <color indexed="81"/>
            <rFont val="Tahoma"/>
            <family val="2"/>
          </rPr>
          <t xml:space="preserve">
Sample Time</t>
        </r>
      </text>
    </comment>
    <comment ref="AB4873" authorId="0">
      <text>
        <r>
          <rPr>
            <b/>
            <sz val="9"/>
            <color indexed="81"/>
            <rFont val="Tahoma"/>
            <family val="2"/>
          </rPr>
          <t>Darren:</t>
        </r>
        <r>
          <rPr>
            <sz val="9"/>
            <color indexed="81"/>
            <rFont val="Tahoma"/>
            <family val="2"/>
          </rPr>
          <t xml:space="preserve">
Sample Time</t>
        </r>
      </text>
    </comment>
    <comment ref="AB4874" authorId="0">
      <text>
        <r>
          <rPr>
            <b/>
            <sz val="9"/>
            <color indexed="81"/>
            <rFont val="Tahoma"/>
            <family val="2"/>
          </rPr>
          <t>Darren:</t>
        </r>
        <r>
          <rPr>
            <sz val="9"/>
            <color indexed="81"/>
            <rFont val="Tahoma"/>
            <family val="2"/>
          </rPr>
          <t xml:space="preserve">
Sample Time</t>
        </r>
      </text>
    </comment>
    <comment ref="AB4875" authorId="0">
      <text>
        <r>
          <rPr>
            <b/>
            <sz val="9"/>
            <color indexed="81"/>
            <rFont val="Tahoma"/>
            <family val="2"/>
          </rPr>
          <t>Darren:</t>
        </r>
        <r>
          <rPr>
            <sz val="9"/>
            <color indexed="81"/>
            <rFont val="Tahoma"/>
            <family val="2"/>
          </rPr>
          <t xml:space="preserve">
Sample Time</t>
        </r>
      </text>
    </comment>
    <comment ref="AB4876" authorId="0">
      <text>
        <r>
          <rPr>
            <b/>
            <sz val="9"/>
            <color indexed="81"/>
            <rFont val="Tahoma"/>
            <family val="2"/>
          </rPr>
          <t>Darren:</t>
        </r>
        <r>
          <rPr>
            <sz val="9"/>
            <color indexed="81"/>
            <rFont val="Tahoma"/>
            <family val="2"/>
          </rPr>
          <t xml:space="preserve">
Sample Time</t>
        </r>
      </text>
    </comment>
    <comment ref="N4877" authorId="5">
      <text>
        <r>
          <rPr>
            <b/>
            <sz val="8"/>
            <color indexed="81"/>
            <rFont val="Tahoma"/>
            <family val="2"/>
          </rPr>
          <t>National Forest Service:</t>
        </r>
        <r>
          <rPr>
            <sz val="8"/>
            <color indexed="81"/>
            <rFont val="Tahoma"/>
            <family val="2"/>
          </rPr>
          <t xml:space="preserve">
"missing data - filled with deep creek (deep Q*99/150*corr. Factor"</t>
        </r>
      </text>
    </comment>
    <comment ref="AB4877" authorId="0">
      <text>
        <r>
          <rPr>
            <b/>
            <sz val="9"/>
            <color indexed="81"/>
            <rFont val="Tahoma"/>
            <family val="2"/>
          </rPr>
          <t>Darren:</t>
        </r>
        <r>
          <rPr>
            <sz val="9"/>
            <color indexed="81"/>
            <rFont val="Tahoma"/>
            <family val="2"/>
          </rPr>
          <t xml:space="preserve">
Sample Time</t>
        </r>
      </text>
    </comment>
    <comment ref="N4878" authorId="5">
      <text>
        <r>
          <rPr>
            <b/>
            <sz val="8"/>
            <color indexed="81"/>
            <rFont val="Tahoma"/>
            <family val="2"/>
          </rPr>
          <t>National Forest Service:</t>
        </r>
        <r>
          <rPr>
            <sz val="8"/>
            <color indexed="81"/>
            <rFont val="Tahoma"/>
            <family val="2"/>
          </rPr>
          <t xml:space="preserve">
"missing data - filled with deep creek (ddep Q*99/150*corr. Factor"</t>
        </r>
      </text>
    </comment>
    <comment ref="AB4878" authorId="0">
      <text>
        <r>
          <rPr>
            <b/>
            <sz val="9"/>
            <color indexed="81"/>
            <rFont val="Tahoma"/>
            <family val="2"/>
          </rPr>
          <t>Darren:</t>
        </r>
        <r>
          <rPr>
            <sz val="9"/>
            <color indexed="81"/>
            <rFont val="Tahoma"/>
            <family val="2"/>
          </rPr>
          <t xml:space="preserve">
Sample Time</t>
        </r>
      </text>
    </comment>
    <comment ref="AB4879" authorId="0">
      <text>
        <r>
          <rPr>
            <b/>
            <sz val="9"/>
            <color indexed="81"/>
            <rFont val="Tahoma"/>
            <family val="2"/>
          </rPr>
          <t>Darren:</t>
        </r>
        <r>
          <rPr>
            <sz val="9"/>
            <color indexed="81"/>
            <rFont val="Tahoma"/>
            <family val="2"/>
          </rPr>
          <t xml:space="preserve">
Sample Time</t>
        </r>
      </text>
    </comment>
    <comment ref="AB4880" authorId="0">
      <text>
        <r>
          <rPr>
            <b/>
            <sz val="9"/>
            <color indexed="81"/>
            <rFont val="Tahoma"/>
            <family val="2"/>
          </rPr>
          <t>Darren:</t>
        </r>
        <r>
          <rPr>
            <sz val="9"/>
            <color indexed="81"/>
            <rFont val="Tahoma"/>
            <family val="2"/>
          </rPr>
          <t xml:space="preserve">
Sample Time</t>
        </r>
      </text>
    </comment>
    <comment ref="AB4881" authorId="0">
      <text>
        <r>
          <rPr>
            <b/>
            <sz val="9"/>
            <color indexed="81"/>
            <rFont val="Tahoma"/>
            <family val="2"/>
          </rPr>
          <t>Darren:</t>
        </r>
        <r>
          <rPr>
            <sz val="9"/>
            <color indexed="81"/>
            <rFont val="Tahoma"/>
            <family val="2"/>
          </rPr>
          <t xml:space="preserve">
Sample Time</t>
        </r>
      </text>
    </comment>
    <comment ref="AB4882" authorId="0">
      <text>
        <r>
          <rPr>
            <b/>
            <sz val="9"/>
            <color indexed="81"/>
            <rFont val="Tahoma"/>
            <family val="2"/>
          </rPr>
          <t>Darren:</t>
        </r>
        <r>
          <rPr>
            <sz val="9"/>
            <color indexed="81"/>
            <rFont val="Tahoma"/>
            <family val="2"/>
          </rPr>
          <t xml:space="preserve">
Sample Time</t>
        </r>
      </text>
    </comment>
    <comment ref="BN4883" authorId="2">
      <text>
        <r>
          <rPr>
            <sz val="12"/>
            <color indexed="81"/>
            <rFont val="Tahoma"/>
            <family val="2"/>
          </rPr>
          <t>Based on hydraulic geometry regression equations of flow measurements.</t>
        </r>
      </text>
    </comment>
    <comment ref="BO4883" authorId="2">
      <text>
        <r>
          <rPr>
            <sz val="12"/>
            <color indexed="81"/>
            <rFont val="Tahoma"/>
            <family val="2"/>
          </rPr>
          <t>Based on hydraulic geometry regression equations of flow measurements.</t>
        </r>
      </text>
    </comment>
    <comment ref="BN4904" authorId="2">
      <text>
        <r>
          <rPr>
            <sz val="12"/>
            <color indexed="81"/>
            <rFont val="Tahoma"/>
            <family val="2"/>
          </rPr>
          <t>Based on hydraulic geometry regression equations of flow measurements.</t>
        </r>
      </text>
    </comment>
    <comment ref="BO4904" authorId="2">
      <text>
        <r>
          <rPr>
            <sz val="12"/>
            <color indexed="81"/>
            <rFont val="Tahoma"/>
            <family val="2"/>
          </rPr>
          <t>Based on hydraulic geometry regression equations of flow measurements.</t>
        </r>
      </text>
    </comment>
    <comment ref="N4954" authorId="0">
      <text>
        <r>
          <rPr>
            <b/>
            <sz val="9"/>
            <color indexed="81"/>
            <rFont val="Tahoma"/>
            <family val="2"/>
          </rPr>
          <t>Darren:</t>
        </r>
        <r>
          <rPr>
            <sz val="9"/>
            <color indexed="81"/>
            <rFont val="Tahoma"/>
            <family val="2"/>
          </rPr>
          <t xml:space="preserve">
Effective flow (flow over belt sampler)</t>
        </r>
      </text>
    </comment>
    <comment ref="AI4954" authorId="0">
      <text>
        <r>
          <rPr>
            <b/>
            <sz val="12"/>
            <color indexed="81"/>
            <rFont val="Tahoma"/>
            <family val="2"/>
          </rPr>
          <t>As reported by Barry 2004.</t>
        </r>
      </text>
    </comment>
    <comment ref="AU4954" authorId="0">
      <text>
        <r>
          <rPr>
            <sz val="12"/>
            <color indexed="81"/>
            <rFont val="Tahoma"/>
            <family val="2"/>
          </rPr>
          <t>As reported by Barry 2004.</t>
        </r>
      </text>
    </comment>
    <comment ref="BN4954" authorId="0">
      <text>
        <r>
          <rPr>
            <sz val="12"/>
            <color indexed="81"/>
            <rFont val="Tahoma"/>
            <family val="2"/>
          </rPr>
          <t>Effective width reported by Leopold &amp; Emmett (1976)</t>
        </r>
      </text>
    </comment>
    <comment ref="BO4954" authorId="0">
      <text>
        <r>
          <rPr>
            <sz val="12"/>
            <color indexed="81"/>
            <rFont val="Tahoma"/>
            <family val="2"/>
          </rPr>
          <t>Mean depth reported by Leopold &amp; Emmett (1976)</t>
        </r>
      </text>
    </comment>
    <comment ref="BP4954" authorId="0">
      <text>
        <r>
          <rPr>
            <sz val="12"/>
            <color indexed="81"/>
            <rFont val="Tahoma"/>
            <family val="2"/>
          </rPr>
          <t>Effective area reported by Leopold &amp; Emmett (1976)</t>
        </r>
      </text>
    </comment>
    <comment ref="O4955" authorId="6">
      <text>
        <r>
          <rPr>
            <b/>
            <sz val="9"/>
            <color indexed="81"/>
            <rFont val="Tahoma"/>
            <family val="2"/>
          </rPr>
          <t>Rachel:</t>
        </r>
        <r>
          <rPr>
            <sz val="9"/>
            <color indexed="81"/>
            <rFont val="Tahoma"/>
            <family val="2"/>
          </rPr>
          <t xml:space="preserve">
Weights represent a wet sample, dry/wet weight ratio is 0.85, column values = 0.53 measured
wet weight.</t>
        </r>
      </text>
    </comment>
    <comment ref="AD4955" authorId="6">
      <text>
        <r>
          <rPr>
            <b/>
            <sz val="12"/>
            <color indexed="81"/>
            <rFont val="Tahoma"/>
            <family val="2"/>
          </rPr>
          <t>Effective width of the river</t>
        </r>
        <r>
          <rPr>
            <sz val="9"/>
            <color indexed="81"/>
            <rFont val="Tahoma"/>
            <family val="2"/>
          </rPr>
          <t xml:space="preserve">
</t>
        </r>
      </text>
    </comment>
    <comment ref="V5003" authorId="3">
      <text>
        <r>
          <rPr>
            <b/>
            <sz val="9"/>
            <color indexed="81"/>
            <rFont val="Tahoma"/>
            <family val="2"/>
          </rPr>
          <t>Less than 2 mm</t>
        </r>
      </text>
    </comment>
    <comment ref="AI5003" authorId="0">
      <text>
        <r>
          <rPr>
            <b/>
            <sz val="9"/>
            <color indexed="81"/>
            <rFont val="Tahoma"/>
            <family val="2"/>
          </rPr>
          <t>Darren:</t>
        </r>
        <r>
          <rPr>
            <sz val="9"/>
            <color indexed="81"/>
            <rFont val="Tahoma"/>
            <family val="2"/>
          </rPr>
          <t xml:space="preserve">
Defines subsurface as extending from 10 - 40 cm below channel bed.</t>
        </r>
      </text>
    </comment>
    <comment ref="AU5003" authorId="0">
      <text>
        <r>
          <rPr>
            <sz val="12"/>
            <color indexed="81"/>
            <rFont val="Tahoma"/>
            <family val="2"/>
          </rPr>
          <t>Defines the surface as extending from 0 to 10 cm below channel bed.</t>
        </r>
      </text>
    </comment>
    <comment ref="N5042" authorId="6">
      <text>
        <r>
          <rPr>
            <b/>
            <sz val="9"/>
            <color indexed="81"/>
            <rFont val="Tahoma"/>
            <family val="2"/>
          </rPr>
          <t>Rachel:</t>
        </r>
        <r>
          <rPr>
            <sz val="9"/>
            <color indexed="81"/>
            <rFont val="Tahoma"/>
            <family val="2"/>
          </rPr>
          <t xml:space="preserve">
Discharge extrapolated from rating curve.</t>
        </r>
      </text>
    </comment>
    <comment ref="N5043" authorId="6">
      <text>
        <r>
          <rPr>
            <b/>
            <sz val="9"/>
            <color indexed="81"/>
            <rFont val="Tahoma"/>
            <family val="2"/>
          </rPr>
          <t>Rachel:</t>
        </r>
        <r>
          <rPr>
            <sz val="9"/>
            <color indexed="81"/>
            <rFont val="Tahoma"/>
            <family val="2"/>
          </rPr>
          <t xml:space="preserve">
Discharge extrapolated from rating curve.</t>
        </r>
      </text>
    </comment>
    <comment ref="BK5089" authorId="6">
      <text>
        <r>
          <rPr>
            <sz val="12"/>
            <color indexed="81"/>
            <rFont val="Tahoma"/>
            <family val="2"/>
          </rPr>
          <t xml:space="preserve">Random sample of 1000 particles
</t>
        </r>
      </text>
    </comment>
    <comment ref="BM5089" authorId="6">
      <text>
        <r>
          <rPr>
            <sz val="12"/>
            <color indexed="81"/>
            <rFont val="Tahoma"/>
            <family val="2"/>
          </rPr>
          <t>Average through study reach</t>
        </r>
      </text>
    </comment>
    <comment ref="O5090" authorId="6">
      <text>
        <r>
          <rPr>
            <b/>
            <sz val="9"/>
            <color indexed="81"/>
            <rFont val="Tahoma"/>
            <family val="2"/>
          </rPr>
          <t>Rachel:</t>
        </r>
        <r>
          <rPr>
            <sz val="9"/>
            <color indexed="81"/>
            <rFont val="Tahoma"/>
            <family val="2"/>
          </rPr>
          <t xml:space="preserve">
Given in grams and seconds. Used (g/1000)/s</t>
        </r>
      </text>
    </comment>
    <comment ref="AC5127" authorId="1">
      <text>
        <r>
          <rPr>
            <b/>
            <sz val="8"/>
            <color indexed="81"/>
            <rFont val="Tahoma"/>
            <family val="2"/>
          </rPr>
          <t>Civil Engineering:</t>
        </r>
        <r>
          <rPr>
            <sz val="8"/>
            <color indexed="81"/>
            <rFont val="Tahoma"/>
            <family val="2"/>
          </rPr>
          <t xml:space="preserve">
Channel Slope</t>
        </r>
      </text>
    </comment>
    <comment ref="AA5128" authorId="6">
      <text>
        <r>
          <rPr>
            <b/>
            <sz val="9"/>
            <color indexed="81"/>
            <rFont val="Tahoma"/>
            <family val="2"/>
          </rPr>
          <t>Rachel:</t>
        </r>
        <r>
          <rPr>
            <sz val="9"/>
            <color indexed="81"/>
            <rFont val="Tahoma"/>
            <family val="2"/>
          </rPr>
          <t xml:space="preserve">
Median, not mean</t>
        </r>
      </text>
    </comment>
    <comment ref="AC5298" authorId="6">
      <text>
        <r>
          <rPr>
            <b/>
            <sz val="9"/>
            <color indexed="81"/>
            <rFont val="Tahoma"/>
            <family val="2"/>
          </rPr>
          <t>Rachel:</t>
        </r>
        <r>
          <rPr>
            <sz val="9"/>
            <color indexed="81"/>
            <rFont val="Tahoma"/>
            <family val="2"/>
          </rPr>
          <t xml:space="preserve">
"Total energy slope" For all Sagehen Creek
</t>
        </r>
      </text>
    </comment>
    <comment ref="BL5353" authorId="0">
      <text>
        <r>
          <rPr>
            <b/>
            <sz val="9"/>
            <color indexed="81"/>
            <rFont val="Tahoma"/>
            <family val="2"/>
          </rPr>
          <t>Darren:</t>
        </r>
        <r>
          <rPr>
            <sz val="9"/>
            <color indexed="81"/>
            <rFont val="Tahoma"/>
            <family val="2"/>
          </rPr>
          <t xml:space="preserve">
1.5-yr return period</t>
        </r>
      </text>
    </comment>
    <comment ref="AD5888" authorId="2">
      <text>
        <r>
          <rPr>
            <sz val="12"/>
            <color indexed="81"/>
            <rFont val="Tahoma"/>
            <family val="2"/>
          </rPr>
          <t>Based on a best fit line on log paper of hydraulic geometry.</t>
        </r>
      </text>
    </comment>
    <comment ref="AE5888" authorId="2">
      <text>
        <r>
          <rPr>
            <sz val="12"/>
            <color indexed="81"/>
            <rFont val="Tahoma"/>
            <family val="2"/>
          </rPr>
          <t>Based on a best fit line on log paper of hydraulic geometry</t>
        </r>
      </text>
    </comment>
    <comment ref="AG5888" authorId="2">
      <text>
        <r>
          <rPr>
            <sz val="12"/>
            <color indexed="81"/>
            <rFont val="Tahoma"/>
            <family val="2"/>
          </rPr>
          <t>Based on a best fit line on log paper of hydraulic geometry</t>
        </r>
      </text>
    </comment>
    <comment ref="A6056" authorId="4">
      <text>
        <r>
          <rPr>
            <b/>
            <sz val="8"/>
            <color indexed="81"/>
            <rFont val="Tahoma"/>
            <family val="2"/>
          </rPr>
          <t>Daniel McCormick:</t>
        </r>
        <r>
          <rPr>
            <sz val="8"/>
            <color indexed="81"/>
            <rFont val="Tahoma"/>
            <family val="2"/>
          </rPr>
          <t xml:space="preserve">
This was from the Data Set Published By Bunte.
WATER RESOURCES RESEARCH, VOL. 41, W11405, doi:10.1029/2004WR003880, 2005, 
Also :
Measurement of Coarse Gravel and Cobble Transport
Using Portable Bedload Traps
Kristin Bunte1; Steven R. Abt, F.ASCE2; John P. Potyondy3; and Sandra E. Ryan4</t>
        </r>
      </text>
    </comment>
    <comment ref="AI6056" authorId="4">
      <text>
        <r>
          <rPr>
            <b/>
            <sz val="8"/>
            <color indexed="81"/>
            <rFont val="Tahoma"/>
            <family val="2"/>
          </rPr>
          <t>Daniel McCormick:</t>
        </r>
        <r>
          <rPr>
            <sz val="8"/>
            <color indexed="81"/>
            <rFont val="Tahoma"/>
            <family val="2"/>
          </rPr>
          <t xml:space="preserve">
These are Taken from Table 2 of JHE Bunte et al bedload traps
Measurement of Coarse Gravel and Cobble Transport
Using Portable Bedload Traps
Kristin Bunte1; Steven R. Abt, F.ASCE2; John P. Potyondy3; and Sandra E. Ryan4</t>
        </r>
      </text>
    </comment>
    <comment ref="AL6056" authorId="4">
      <text>
        <r>
          <rPr>
            <b/>
            <sz val="8"/>
            <color indexed="81"/>
            <rFont val="Tahoma"/>
            <family val="2"/>
          </rPr>
          <t>Daniel McCormick:</t>
        </r>
        <r>
          <rPr>
            <sz val="8"/>
            <color indexed="81"/>
            <rFont val="Tahoma"/>
            <family val="2"/>
          </rPr>
          <t xml:space="preserve">
These are estimates from Figure 6 of JHE Bunte et al bedload traps
Measurement of Coarse Gravel and Cobble Transport
Using Portable Bedload Traps
Kristin Bunte1; Steven R. Abt, F.ASCE2; John P. Potyondy3; and Sandra E. Ryan4</t>
        </r>
      </text>
    </comment>
    <comment ref="AU6056" authorId="4">
      <text>
        <r>
          <rPr>
            <b/>
            <sz val="8"/>
            <color indexed="81"/>
            <rFont val="Tahoma"/>
            <family val="2"/>
          </rPr>
          <t>Daniel McCormick:</t>
        </r>
        <r>
          <rPr>
            <sz val="8"/>
            <color indexed="81"/>
            <rFont val="Tahoma"/>
            <family val="2"/>
          </rPr>
          <t xml:space="preserve">
These are Taken from Table 2 of JHE Bunte et al bedload traps
Measurement of Coarse Gravel and Cobble Transport
Using Portable Bedload Traps
Kristin Bunte1; Steven R. Abt, F.ASCE2; John P. Potyondy3; and Sandra E. Ryan4</t>
        </r>
      </text>
    </comment>
    <comment ref="AZ6056" authorId="4">
      <text>
        <r>
          <rPr>
            <b/>
            <sz val="8"/>
            <color indexed="81"/>
            <rFont val="Tahoma"/>
            <family val="2"/>
          </rPr>
          <t>Daniel McCormick:</t>
        </r>
        <r>
          <rPr>
            <sz val="8"/>
            <color indexed="81"/>
            <rFont val="Tahoma"/>
            <family val="2"/>
          </rPr>
          <t xml:space="preserve">
These are estimates from Figure 6 of JHE Bunte et al bedload traps
Measurement of Coarse Gravel and Cobble Transport
Using Portable Bedload Traps
Kristin Bunte1; Steven R. Abt, F.ASCE2; John P. Potyondy3; and Sandra E. Ryan4</t>
        </r>
      </text>
    </comment>
    <comment ref="BJ6056" authorId="2">
      <text>
        <r>
          <rPr>
            <sz val="12"/>
            <color indexed="81"/>
            <rFont val="Tahoma"/>
            <family val="2"/>
          </rPr>
          <t>Based on report by Bunte and Abt "sampling time"
WATER RESOURCES RESEARCH, VOL. 41, W11405, doi:10.1029/2004WR003880, 2005</t>
        </r>
      </text>
    </comment>
    <comment ref="BK6056" authorId="2">
      <text>
        <r>
          <rPr>
            <sz val="12"/>
            <color indexed="81"/>
            <rFont val="Tahoma"/>
            <family val="2"/>
          </rPr>
          <t>Based on report by Bunte and Abt "sampling time"
WATER RESOURCES RESEARCH, VOL. 41, W11405, doi:10.1029/2004WR003880, 2005</t>
        </r>
      </text>
    </comment>
    <comment ref="BM6056"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BN6056"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BO6056"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O6068"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070"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A6104" authorId="4">
      <text>
        <r>
          <rPr>
            <b/>
            <sz val="8"/>
            <color indexed="81"/>
            <rFont val="Tahoma"/>
            <family val="2"/>
          </rPr>
          <t>Daniel McCormick:</t>
        </r>
        <r>
          <rPr>
            <sz val="8"/>
            <color indexed="81"/>
            <rFont val="Tahoma"/>
            <family val="2"/>
          </rPr>
          <t xml:space="preserve">
This was from the Data Set Published By Bunte.
WATER RESOURCES RESEARCH, VOL. 41, W11405, doi:10.1029/2004WR003880, 2005, 
Also :
Measurement of Coarse Gravel and Cobble Transport
Using Portable Bedload Traps
Kristin Bunte1; Steven R. Abt, F.ASCE2; John P. Potyondy3; and Sandra E. Ryan4</t>
        </r>
      </text>
    </comment>
    <comment ref="AI6104" authorId="4">
      <text>
        <r>
          <rPr>
            <b/>
            <sz val="8"/>
            <color indexed="81"/>
            <rFont val="Tahoma"/>
            <family val="2"/>
          </rPr>
          <t>Daniel McCormick:</t>
        </r>
        <r>
          <rPr>
            <sz val="8"/>
            <color indexed="81"/>
            <rFont val="Tahoma"/>
            <family val="2"/>
          </rPr>
          <t xml:space="preserve">
These are Taken from Table 2 of JHE Bunte et al bedload traps
Measurement of Coarse Gravel and Cobble Transport
Using Portable Bedload Traps
Kristin Bunte1; Steven R. Abt, F.ASCE2; John P. Potyondy3; and Sandra E. Ryan4</t>
        </r>
      </text>
    </comment>
    <comment ref="AL6104" authorId="4">
      <text>
        <r>
          <rPr>
            <b/>
            <sz val="8"/>
            <color indexed="81"/>
            <rFont val="Tahoma"/>
            <family val="2"/>
          </rPr>
          <t>Daniel McCormick:</t>
        </r>
        <r>
          <rPr>
            <sz val="8"/>
            <color indexed="81"/>
            <rFont val="Tahoma"/>
            <family val="2"/>
          </rPr>
          <t xml:space="preserve">
These are estimates from Figure 6 of JHE Bunte et al bedload traps
Measurement of Coarse Gravel and Cobble Transport
Using Portable Bedload Traps
Kristin Bunte1; Steven R. Abt, F.ASCE2; John P. Potyondy3; and Sandra E. Ryan4</t>
        </r>
      </text>
    </comment>
    <comment ref="AU6104" authorId="4">
      <text>
        <r>
          <rPr>
            <b/>
            <sz val="8"/>
            <color indexed="81"/>
            <rFont val="Tahoma"/>
            <family val="2"/>
          </rPr>
          <t>Daniel McCormick:</t>
        </r>
        <r>
          <rPr>
            <sz val="8"/>
            <color indexed="81"/>
            <rFont val="Tahoma"/>
            <family val="2"/>
          </rPr>
          <t xml:space="preserve">
These are Taken from Table 2 of JHE Bunte et al bedload traps
Measurement of Coarse Gravel and Cobble Transport
Using Portable Bedload Traps
Kristin Bunte1; Steven R. Abt, F.ASCE2; John P. Potyondy3; and Sandra E. Ryan4</t>
        </r>
      </text>
    </comment>
    <comment ref="AZ6104" authorId="4">
      <text>
        <r>
          <rPr>
            <b/>
            <sz val="8"/>
            <color indexed="81"/>
            <rFont val="Tahoma"/>
            <family val="2"/>
          </rPr>
          <t>Daniel McCormick:</t>
        </r>
        <r>
          <rPr>
            <sz val="8"/>
            <color indexed="81"/>
            <rFont val="Tahoma"/>
            <family val="2"/>
          </rPr>
          <t xml:space="preserve">
These are estimates from Figure 6 of JHE Bunte et al bedload traps
Measurement of Coarse Gravel and Cobble Transport
Using Portable Bedload Traps
Kristin Bunte1; Steven R. Abt, F.ASCE2; John P. Potyondy3; and Sandra E. Ryan4</t>
        </r>
      </text>
    </comment>
    <comment ref="BJ6104" authorId="2">
      <text>
        <r>
          <rPr>
            <sz val="12"/>
            <color indexed="81"/>
            <rFont val="Tahoma"/>
            <family val="2"/>
          </rPr>
          <t>Based on report by Bunte and Abt "sampling time"
WATER RESOURCES RESEARCH, VOL. 41, W11405, doi:10.1029/2004WR003880, 2005</t>
        </r>
      </text>
    </comment>
    <comment ref="BK6104" authorId="2">
      <text>
        <r>
          <rPr>
            <sz val="12"/>
            <color indexed="81"/>
            <rFont val="Tahoma"/>
            <family val="2"/>
          </rPr>
          <t>Based on report by Bunte and Abt "sampling time"
WATER RESOURCES RESEARCH, VOL. 41, W11405, doi:10.1029/2004WR003880, 2005</t>
        </r>
      </text>
    </comment>
    <comment ref="BM6104"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BN6104"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BO6104"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O6112"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13"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15"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16"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A6152" authorId="4">
      <text>
        <r>
          <rPr>
            <b/>
            <sz val="8"/>
            <color indexed="81"/>
            <rFont val="Tahoma"/>
            <family val="2"/>
          </rPr>
          <t>Daniel McCormick:</t>
        </r>
        <r>
          <rPr>
            <sz val="8"/>
            <color indexed="81"/>
            <rFont val="Tahoma"/>
            <family val="2"/>
          </rPr>
          <t xml:space="preserve">
This was from the Data Set Published By Bunte.
WATER RESOURCES RESEARCH, VOL. 41, W11405, doi:10.1029/2004WR003880, 2005, 
Also :
Measurement of Coarse Gravel and Cobble Transport
Using Portable Bedload Traps
Kristin Bunte1; Steven R. Abt, F.ASCE2; John P. Potyondy3; and Sandra E. Ryan4</t>
        </r>
      </text>
    </comment>
    <comment ref="AI6152" authorId="4">
      <text>
        <r>
          <rPr>
            <b/>
            <sz val="8"/>
            <color indexed="81"/>
            <rFont val="Tahoma"/>
            <family val="2"/>
          </rPr>
          <t>Daniel McCormick:</t>
        </r>
        <r>
          <rPr>
            <sz val="8"/>
            <color indexed="81"/>
            <rFont val="Tahoma"/>
            <family val="2"/>
          </rPr>
          <t xml:space="preserve">
These are Taken from Table 2 of JHE Bunte et al bedload traps
Measurement of Coarse Gravel and Cobble Transport
Using Portable Bedload Traps
Kristin Bunte1; Steven R. Abt, F.ASCE2; John P. Potyondy3; and Sandra E. Ryan4</t>
        </r>
      </text>
    </comment>
    <comment ref="AL6152" authorId="4">
      <text>
        <r>
          <rPr>
            <b/>
            <sz val="8"/>
            <color indexed="81"/>
            <rFont val="Tahoma"/>
            <family val="2"/>
          </rPr>
          <t>Daniel McCormick:</t>
        </r>
        <r>
          <rPr>
            <sz val="8"/>
            <color indexed="81"/>
            <rFont val="Tahoma"/>
            <family val="2"/>
          </rPr>
          <t xml:space="preserve">
These are estimates from Figure 6 of JHE Bunte et al bedload traps
Measurement of Coarse Gravel and Cobble Transport
Using Portable Bedload Traps
Kristin Bunte1; Steven R. Abt, F.ASCE2; John P. Potyondy3; and Sandra E. Ryan4</t>
        </r>
      </text>
    </comment>
    <comment ref="AU6152" authorId="4">
      <text>
        <r>
          <rPr>
            <b/>
            <sz val="8"/>
            <color indexed="81"/>
            <rFont val="Tahoma"/>
            <family val="2"/>
          </rPr>
          <t>Daniel McCormick:</t>
        </r>
        <r>
          <rPr>
            <sz val="8"/>
            <color indexed="81"/>
            <rFont val="Tahoma"/>
            <family val="2"/>
          </rPr>
          <t xml:space="preserve">
These are Taken from Table 2 of JHE Bunte et al bedload traps
Measurement of Coarse Gravel and Cobble Transport
Using Portable Bedload Traps
Kristin Bunte1; Steven R. Abt, F.ASCE2; John P. Potyondy3; and Sandra E. Ryan4</t>
        </r>
      </text>
    </comment>
    <comment ref="AZ6152" authorId="4">
      <text>
        <r>
          <rPr>
            <b/>
            <sz val="8"/>
            <color indexed="81"/>
            <rFont val="Tahoma"/>
            <family val="2"/>
          </rPr>
          <t>Daniel McCormick:</t>
        </r>
        <r>
          <rPr>
            <sz val="8"/>
            <color indexed="81"/>
            <rFont val="Tahoma"/>
            <family val="2"/>
          </rPr>
          <t xml:space="preserve">
These are estimates from Figure 6 of JHE Bunte et al bedload traps
Measurement of Coarse Gravel and Cobble Transport
Using Portable Bedload Traps
Kristin Bunte1; Steven R. Abt, F.ASCE2; John P. Potyondy3; and Sandra E. Ryan4</t>
        </r>
      </text>
    </comment>
    <comment ref="BJ6152" authorId="2">
      <text>
        <r>
          <rPr>
            <sz val="12"/>
            <color indexed="81"/>
            <rFont val="Tahoma"/>
            <family val="2"/>
          </rPr>
          <t>Based on report by Bunte and Abt "sampling time"
WATER RESOURCES RESEARCH, VOL. 41, W11405, doi:10.1029/2004WR003880, 2005</t>
        </r>
      </text>
    </comment>
    <comment ref="BK6152" authorId="2">
      <text>
        <r>
          <rPr>
            <sz val="12"/>
            <color indexed="81"/>
            <rFont val="Tahoma"/>
            <family val="2"/>
          </rPr>
          <t>Based on report by Bunte and Abt "sampling time"
WATER RESOURCES RESEARCH, VOL. 41, W11405, doi:10.1029/2004WR003880, 2005</t>
        </r>
      </text>
    </comment>
    <comment ref="BM6152"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BN6152"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BO6152"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O6156"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58"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59"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61"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62"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63"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64"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66"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87"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O6195"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A6196" authorId="4">
      <text>
        <r>
          <rPr>
            <b/>
            <sz val="8"/>
            <color indexed="81"/>
            <rFont val="Tahoma"/>
            <family val="2"/>
          </rPr>
          <t>Daniel McCormick:</t>
        </r>
        <r>
          <rPr>
            <sz val="8"/>
            <color indexed="81"/>
            <rFont val="Tahoma"/>
            <family val="2"/>
          </rPr>
          <t xml:space="preserve">
This was from the Data Set Published By Bunte.
WATER RESOURCES RESEARCH, VOL. 41, W11405, doi:10.1029/2004WR003880, 2005, 
Also :
Measurement of Coarse Gravel and Cobble Transport
Using Portable Bedload Traps
Kristin Bunte1; Steven R. Abt, F.ASCE2; John P. Potyondy3; and Sandra E. Ryan4</t>
        </r>
      </text>
    </comment>
    <comment ref="AI6196" authorId="4">
      <text>
        <r>
          <rPr>
            <b/>
            <sz val="8"/>
            <color indexed="81"/>
            <rFont val="Tahoma"/>
            <family val="2"/>
          </rPr>
          <t>Daniel McCormick:</t>
        </r>
        <r>
          <rPr>
            <sz val="8"/>
            <color indexed="81"/>
            <rFont val="Tahoma"/>
            <family val="2"/>
          </rPr>
          <t xml:space="preserve">
These are Taken from Table 2 of JHE Bunte et al bedload traps
Measurement of Coarse Gravel and Cobble Transport
Using Portable Bedload Traps
Kristin Bunte1; Steven R. Abt, F.ASCE2; John P. Potyondy3; and Sandra E. Ryan4</t>
        </r>
      </text>
    </comment>
    <comment ref="AL6196" authorId="4">
      <text>
        <r>
          <rPr>
            <b/>
            <sz val="8"/>
            <color indexed="81"/>
            <rFont val="Tahoma"/>
            <family val="2"/>
          </rPr>
          <t>Daniel McCormick:</t>
        </r>
        <r>
          <rPr>
            <sz val="8"/>
            <color indexed="81"/>
            <rFont val="Tahoma"/>
            <family val="2"/>
          </rPr>
          <t xml:space="preserve">
These are estimates from Figure 6 of JHE Bunte et al bedload traps
Measurement of Coarse Gravel and Cobble Transport
Using Portable Bedload Traps
Kristin Bunte1; Steven R. Abt, F.ASCE2; John P. Potyondy3; and Sandra E. Ryan4</t>
        </r>
      </text>
    </comment>
    <comment ref="AU6196" authorId="4">
      <text>
        <r>
          <rPr>
            <b/>
            <sz val="8"/>
            <color indexed="81"/>
            <rFont val="Tahoma"/>
            <family val="2"/>
          </rPr>
          <t>Daniel McCormick:</t>
        </r>
        <r>
          <rPr>
            <sz val="8"/>
            <color indexed="81"/>
            <rFont val="Tahoma"/>
            <family val="2"/>
          </rPr>
          <t xml:space="preserve">
These are Taken from Table 2 of JHE Bunte et al bedload traps
Measurement of Coarse Gravel and Cobble Transport
Using Portable Bedload Traps
Kristin Bunte1; Steven R. Abt, F.ASCE2; John P. Potyondy3; and Sandra E. Ryan4</t>
        </r>
      </text>
    </comment>
    <comment ref="AZ6196" authorId="4">
      <text>
        <r>
          <rPr>
            <b/>
            <sz val="8"/>
            <color indexed="81"/>
            <rFont val="Tahoma"/>
            <family val="2"/>
          </rPr>
          <t>Daniel McCormick:</t>
        </r>
        <r>
          <rPr>
            <sz val="8"/>
            <color indexed="81"/>
            <rFont val="Tahoma"/>
            <family val="2"/>
          </rPr>
          <t xml:space="preserve">
These are estimates from Figure 6 of JHE Bunte et al bedload traps
Measurement of Coarse Gravel and Cobble Transport
Using Portable Bedload Traps
Kristin Bunte1; Steven R. Abt, F.ASCE2; John P. Potyondy3; and Sandra E. Ryan4</t>
        </r>
      </text>
    </comment>
    <comment ref="BJ6196" authorId="2">
      <text>
        <r>
          <rPr>
            <sz val="12"/>
            <color indexed="81"/>
            <rFont val="Tahoma"/>
            <family val="2"/>
          </rPr>
          <t>Based on report by Bunte and Abt "sampling time"
WATER RESOURCES RESEARCH, VOL. 41, W11405, doi:10.1029/2004WR003880, 2005</t>
        </r>
      </text>
    </comment>
    <comment ref="BK6196" authorId="4">
      <text>
        <r>
          <rPr>
            <sz val="12"/>
            <color indexed="81"/>
            <rFont val="Tahoma"/>
            <family val="2"/>
          </rPr>
          <t>Based on report by Bunte and Abt "sampling time"
WATER RESOURCES RESEARCH, VOL. 41, W11405, doi:10.1029/2004WR003880, 2005</t>
        </r>
      </text>
    </comment>
    <comment ref="BM6196"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BN6196" authorId="2">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BO6196" authorId="4">
      <text>
        <r>
          <rPr>
            <sz val="12"/>
            <color indexed="81"/>
            <rFont val="Tahoma"/>
            <family val="2"/>
          </rPr>
          <t>These are Taken from Table 2 of JHE Bunte et al bedload traps
Measurement of Coarse Gravel and Cobble Transport
Using Portable Bedload Traps
Kristin Bunte1; Steven R. Abt, F.ASCE2; John P. Potyondy3; and Sandra E. Ryan4</t>
        </r>
      </text>
    </comment>
    <comment ref="O6200" authorId="4">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AC6219" authorId="1">
      <text>
        <r>
          <rPr>
            <b/>
            <sz val="8"/>
            <color indexed="81"/>
            <rFont val="Tahoma"/>
            <family val="2"/>
          </rPr>
          <t>Civil Engineering:</t>
        </r>
        <r>
          <rPr>
            <sz val="8"/>
            <color indexed="81"/>
            <rFont val="Tahoma"/>
            <family val="2"/>
          </rPr>
          <t xml:space="preserve">
Channel Gradient</t>
        </r>
      </text>
    </comment>
    <comment ref="AI6219" authorId="6">
      <text>
        <r>
          <rPr>
            <sz val="12"/>
            <color indexed="81"/>
            <rFont val="Tahoma"/>
            <family val="2"/>
          </rPr>
          <t>Table 2 of Milhous Dissertation. Represents samples from 1971 only.</t>
        </r>
      </text>
    </comment>
    <comment ref="AU6219" authorId="6">
      <text>
        <r>
          <rPr>
            <sz val="12"/>
            <color indexed="81"/>
            <rFont val="Tahoma"/>
            <family val="2"/>
          </rPr>
          <t>Table 2 of Milhous Dissertation. Represents samples from 1971 only.</t>
        </r>
      </text>
    </comment>
    <comment ref="BL6219" authorId="2">
      <text>
        <r>
          <rPr>
            <sz val="12"/>
            <color indexed="81"/>
            <rFont val="Tahoma"/>
            <family val="2"/>
          </rPr>
          <t>2-yr flood (Barry, 2004)</t>
        </r>
      </text>
    </comment>
    <comment ref="AB6246" authorId="4">
      <text>
        <r>
          <rPr>
            <b/>
            <sz val="8"/>
            <color indexed="81"/>
            <rFont val="Tahoma"/>
            <family val="2"/>
          </rPr>
          <t>Daniel McCormick:</t>
        </r>
        <r>
          <rPr>
            <sz val="8"/>
            <color indexed="81"/>
            <rFont val="Tahoma"/>
            <family val="2"/>
          </rPr>
          <t xml:space="preserve">
I read about startup samples in the report but don't know how she matched up the startup samples with the particular dates. 
</t>
        </r>
      </text>
    </comment>
    <comment ref="AF6246" authorId="6">
      <text>
        <r>
          <rPr>
            <b/>
            <sz val="9"/>
            <color indexed="81"/>
            <rFont val="Tahoma"/>
            <family val="2"/>
          </rPr>
          <t>Rachel:</t>
        </r>
        <r>
          <rPr>
            <sz val="9"/>
            <color indexed="81"/>
            <rFont val="Tahoma"/>
            <family val="2"/>
          </rPr>
          <t xml:space="preserve">
calculated (topwidth*ave depth)</t>
        </r>
      </text>
    </comment>
    <comment ref="AG6246" authorId="6">
      <text>
        <r>
          <rPr>
            <b/>
            <sz val="9"/>
            <color indexed="81"/>
            <rFont val="Tahoma"/>
            <family val="2"/>
          </rPr>
          <t>Rachel:</t>
        </r>
        <r>
          <rPr>
            <sz val="9"/>
            <color indexed="81"/>
            <rFont val="Tahoma"/>
            <family val="2"/>
          </rPr>
          <t xml:space="preserve">
Calculated (channel flow/cross sectional Area).</t>
        </r>
      </text>
    </comment>
    <comment ref="AB6255" authorId="4">
      <text>
        <r>
          <rPr>
            <b/>
            <sz val="8"/>
            <color indexed="81"/>
            <rFont val="Tahoma"/>
            <family val="2"/>
          </rPr>
          <t>Daniel McCormick:</t>
        </r>
        <r>
          <rPr>
            <sz val="8"/>
            <color indexed="81"/>
            <rFont val="Tahoma"/>
            <family val="2"/>
          </rPr>
          <t xml:space="preserve">
I read about startup samples in the report but don't know how she matched up the startup samples with the particular dates. 
</t>
        </r>
      </text>
    </comment>
    <comment ref="AB6260" authorId="4">
      <text>
        <r>
          <rPr>
            <b/>
            <sz val="8"/>
            <color indexed="81"/>
            <rFont val="Tahoma"/>
            <family val="2"/>
          </rPr>
          <t>Daniel McCormick:</t>
        </r>
        <r>
          <rPr>
            <sz val="8"/>
            <color indexed="81"/>
            <rFont val="Tahoma"/>
            <family val="2"/>
          </rPr>
          <t xml:space="preserve">
I read about startup samples in the report but don't know how she matched up the startup samples with the particular dates. 
</t>
        </r>
      </text>
    </comment>
    <comment ref="AB6262" authorId="4">
      <text>
        <r>
          <rPr>
            <b/>
            <sz val="8"/>
            <color indexed="81"/>
            <rFont val="Tahoma"/>
            <family val="2"/>
          </rPr>
          <t>Daniel McCormick:</t>
        </r>
        <r>
          <rPr>
            <sz val="8"/>
            <color indexed="81"/>
            <rFont val="Tahoma"/>
            <family val="2"/>
          </rPr>
          <t xml:space="preserve">
I read about startup samples in the report but don't know how she matched up the startup samples with the particular dates. 
</t>
        </r>
      </text>
    </comment>
    <comment ref="AB6268" authorId="4">
      <text>
        <r>
          <rPr>
            <b/>
            <sz val="8"/>
            <color indexed="81"/>
            <rFont val="Tahoma"/>
            <family val="2"/>
          </rPr>
          <t>Daniel McCormick:</t>
        </r>
        <r>
          <rPr>
            <sz val="8"/>
            <color indexed="81"/>
            <rFont val="Tahoma"/>
            <family val="2"/>
          </rPr>
          <t xml:space="preserve">
I read about startup samples in the report but don't know how she matched up the startup samples with the particular dates. 
</t>
        </r>
      </text>
    </comment>
    <comment ref="P6293" authorId="6">
      <text>
        <r>
          <rPr>
            <b/>
            <sz val="9"/>
            <color indexed="81"/>
            <rFont val="Tahoma"/>
            <family val="2"/>
          </rPr>
          <t>Rachel:</t>
        </r>
        <r>
          <rPr>
            <sz val="9"/>
            <color indexed="81"/>
            <rFont val="Tahoma"/>
            <family val="2"/>
          </rPr>
          <t xml:space="preserve">
Not given</t>
        </r>
      </text>
    </comment>
    <comment ref="Q6293" authorId="6">
      <text>
        <r>
          <rPr>
            <b/>
            <sz val="9"/>
            <color indexed="81"/>
            <rFont val="Tahoma"/>
            <family val="2"/>
          </rPr>
          <t>Rachel:</t>
        </r>
        <r>
          <rPr>
            <sz val="9"/>
            <color indexed="81"/>
            <rFont val="Tahoma"/>
            <family val="2"/>
          </rPr>
          <t xml:space="preserve">
Not Given</t>
        </r>
      </text>
    </comment>
    <comment ref="R6293" authorId="6">
      <text>
        <r>
          <rPr>
            <b/>
            <sz val="9"/>
            <color indexed="81"/>
            <rFont val="Tahoma"/>
            <family val="2"/>
          </rPr>
          <t>Rachel:</t>
        </r>
        <r>
          <rPr>
            <sz val="9"/>
            <color indexed="81"/>
            <rFont val="Tahoma"/>
            <family val="2"/>
          </rPr>
          <t xml:space="preserve">
Not Given</t>
        </r>
      </text>
    </comment>
    <comment ref="AB6304" authorId="4">
      <text>
        <r>
          <rPr>
            <b/>
            <sz val="8"/>
            <color indexed="81"/>
            <rFont val="Tahoma"/>
            <family val="2"/>
          </rPr>
          <t>Daniel McCormick:</t>
        </r>
        <r>
          <rPr>
            <sz val="8"/>
            <color indexed="81"/>
            <rFont val="Tahoma"/>
            <family val="2"/>
          </rPr>
          <t xml:space="preserve">
I read about startup samples in the report but don't know how she matched up the startup samples with the particular dates. 
</t>
        </r>
      </text>
    </comment>
    <comment ref="AB6305" authorId="4">
      <text>
        <r>
          <rPr>
            <b/>
            <sz val="8"/>
            <color indexed="81"/>
            <rFont val="Tahoma"/>
            <family val="2"/>
          </rPr>
          <t>Daniel McCormick:</t>
        </r>
        <r>
          <rPr>
            <sz val="8"/>
            <color indexed="81"/>
            <rFont val="Tahoma"/>
            <family val="2"/>
          </rPr>
          <t xml:space="preserve">
I read about startup samples in the report but don't know how she matched up the startup samples with the particular dates. 
</t>
        </r>
      </text>
    </comment>
    <comment ref="AO6365" authorId="7">
      <text>
        <r>
          <rPr>
            <b/>
            <sz val="9"/>
            <color indexed="81"/>
            <rFont val="Tahoma"/>
            <family val="2"/>
          </rPr>
          <t>Lindsay D Esplin:</t>
        </r>
        <r>
          <rPr>
            <sz val="9"/>
            <color indexed="81"/>
            <rFont val="Tahoma"/>
            <family val="2"/>
          </rPr>
          <t xml:space="preserve">
Bar samples by weight.</t>
        </r>
      </text>
    </comment>
    <comment ref="BC6365" authorId="7">
      <text>
        <r>
          <rPr>
            <b/>
            <sz val="9"/>
            <color indexed="81"/>
            <rFont val="Tahoma"/>
            <family val="2"/>
          </rPr>
          <t>Lindsay D Esplin:</t>
        </r>
        <r>
          <rPr>
            <sz val="9"/>
            <color indexed="81"/>
            <rFont val="Tahoma"/>
            <family val="2"/>
          </rPr>
          <t xml:space="preserve">
Bed samples by frequency.</t>
        </r>
      </text>
    </comment>
    <comment ref="AO6383" authorId="7">
      <text>
        <r>
          <rPr>
            <b/>
            <sz val="9"/>
            <color indexed="81"/>
            <rFont val="Tahoma"/>
            <family val="2"/>
          </rPr>
          <t>Lindsay D Esplin:</t>
        </r>
        <r>
          <rPr>
            <sz val="9"/>
            <color indexed="81"/>
            <rFont val="Tahoma"/>
            <family val="2"/>
          </rPr>
          <t xml:space="preserve">
Bar samples by weight.</t>
        </r>
      </text>
    </comment>
    <comment ref="BC6383" authorId="7">
      <text>
        <r>
          <rPr>
            <b/>
            <sz val="9"/>
            <color indexed="81"/>
            <rFont val="Tahoma"/>
            <family val="2"/>
          </rPr>
          <t>Lindsay D Esplin:</t>
        </r>
        <r>
          <rPr>
            <sz val="9"/>
            <color indexed="81"/>
            <rFont val="Tahoma"/>
            <family val="2"/>
          </rPr>
          <t xml:space="preserve">
Bed samples by frequency.</t>
        </r>
      </text>
    </comment>
    <comment ref="AO6402" authorId="7">
      <text>
        <r>
          <rPr>
            <b/>
            <sz val="9"/>
            <color indexed="81"/>
            <rFont val="Tahoma"/>
            <family val="2"/>
          </rPr>
          <t>Lindsay D Esplin:</t>
        </r>
        <r>
          <rPr>
            <sz val="9"/>
            <color indexed="81"/>
            <rFont val="Tahoma"/>
            <family val="2"/>
          </rPr>
          <t xml:space="preserve">
Bar samples by weight.</t>
        </r>
      </text>
    </comment>
    <comment ref="BC6402" authorId="7">
      <text>
        <r>
          <rPr>
            <b/>
            <sz val="9"/>
            <color indexed="81"/>
            <rFont val="Tahoma"/>
            <family val="2"/>
          </rPr>
          <t>Lindsay D Esplin:</t>
        </r>
        <r>
          <rPr>
            <sz val="9"/>
            <color indexed="81"/>
            <rFont val="Tahoma"/>
            <family val="2"/>
          </rPr>
          <t xml:space="preserve">
Bed samples by frequency.</t>
        </r>
      </text>
    </comment>
    <comment ref="AO6419" authorId="7">
      <text>
        <r>
          <rPr>
            <b/>
            <sz val="9"/>
            <color indexed="81"/>
            <rFont val="Tahoma"/>
            <family val="2"/>
          </rPr>
          <t>Lindsay D Esplin:</t>
        </r>
        <r>
          <rPr>
            <sz val="9"/>
            <color indexed="81"/>
            <rFont val="Tahoma"/>
            <family val="2"/>
          </rPr>
          <t xml:space="preserve">
Bar samples by weight.</t>
        </r>
      </text>
    </comment>
    <comment ref="BC6419" authorId="7">
      <text>
        <r>
          <rPr>
            <b/>
            <sz val="9"/>
            <color indexed="81"/>
            <rFont val="Tahoma"/>
            <family val="2"/>
          </rPr>
          <t>Lindsay D Esplin:</t>
        </r>
        <r>
          <rPr>
            <sz val="9"/>
            <color indexed="81"/>
            <rFont val="Tahoma"/>
            <family val="2"/>
          </rPr>
          <t xml:space="preserve">
Bed samples by frequency.</t>
        </r>
      </text>
    </comment>
    <comment ref="AO6469" authorId="7">
      <text>
        <r>
          <rPr>
            <b/>
            <sz val="9"/>
            <color indexed="81"/>
            <rFont val="Tahoma"/>
            <family val="2"/>
          </rPr>
          <t>Lindsay D Esplin:</t>
        </r>
        <r>
          <rPr>
            <sz val="9"/>
            <color indexed="81"/>
            <rFont val="Tahoma"/>
            <family val="2"/>
          </rPr>
          <t xml:space="preserve">
Bar samples by weight.</t>
        </r>
      </text>
    </comment>
    <comment ref="BC6469" authorId="7">
      <text>
        <r>
          <rPr>
            <b/>
            <sz val="9"/>
            <color indexed="81"/>
            <rFont val="Tahoma"/>
            <family val="2"/>
          </rPr>
          <t>Lindsay D Esplin:</t>
        </r>
        <r>
          <rPr>
            <sz val="9"/>
            <color indexed="81"/>
            <rFont val="Tahoma"/>
            <family val="2"/>
          </rPr>
          <t xml:space="preserve">
Bed samples by frequency.</t>
        </r>
      </text>
    </comment>
    <comment ref="AO6522" authorId="7">
      <text>
        <r>
          <rPr>
            <b/>
            <sz val="9"/>
            <color indexed="81"/>
            <rFont val="Tahoma"/>
            <family val="2"/>
          </rPr>
          <t>Lindsay D Esplin:</t>
        </r>
        <r>
          <rPr>
            <sz val="9"/>
            <color indexed="81"/>
            <rFont val="Tahoma"/>
            <family val="2"/>
          </rPr>
          <t xml:space="preserve">
Bar samples by weight.</t>
        </r>
      </text>
    </comment>
    <comment ref="BC6522" authorId="7">
      <text>
        <r>
          <rPr>
            <b/>
            <sz val="9"/>
            <color indexed="81"/>
            <rFont val="Tahoma"/>
            <family val="2"/>
          </rPr>
          <t>Lindsay D Esplin:</t>
        </r>
        <r>
          <rPr>
            <sz val="9"/>
            <color indexed="81"/>
            <rFont val="Tahoma"/>
            <family val="2"/>
          </rPr>
          <t xml:space="preserve">
Bed samples by frequency.</t>
        </r>
      </text>
    </comment>
    <comment ref="AO6565" authorId="7">
      <text>
        <r>
          <rPr>
            <b/>
            <sz val="9"/>
            <color indexed="81"/>
            <rFont val="Tahoma"/>
            <family val="2"/>
          </rPr>
          <t>Lindsay D Esplin:</t>
        </r>
        <r>
          <rPr>
            <sz val="9"/>
            <color indexed="81"/>
            <rFont val="Tahoma"/>
            <family val="2"/>
          </rPr>
          <t xml:space="preserve">
Bar samples by weight.</t>
        </r>
      </text>
    </comment>
    <comment ref="BC6565" authorId="7">
      <text>
        <r>
          <rPr>
            <b/>
            <sz val="9"/>
            <color indexed="81"/>
            <rFont val="Tahoma"/>
            <family val="2"/>
          </rPr>
          <t>Lindsay D Esplin:</t>
        </r>
        <r>
          <rPr>
            <sz val="9"/>
            <color indexed="81"/>
            <rFont val="Tahoma"/>
            <family val="2"/>
          </rPr>
          <t xml:space="preserve">
Bed samples by frequency.</t>
        </r>
      </text>
    </comment>
    <comment ref="AO6608" authorId="7">
      <text>
        <r>
          <rPr>
            <b/>
            <sz val="9"/>
            <color indexed="81"/>
            <rFont val="Tahoma"/>
            <family val="2"/>
          </rPr>
          <t>Lindsay D Esplin:</t>
        </r>
        <r>
          <rPr>
            <sz val="9"/>
            <color indexed="81"/>
            <rFont val="Tahoma"/>
            <family val="2"/>
          </rPr>
          <t xml:space="preserve">
Bar samples by weight.</t>
        </r>
      </text>
    </comment>
    <comment ref="BC6608" authorId="7">
      <text>
        <r>
          <rPr>
            <b/>
            <sz val="9"/>
            <color indexed="81"/>
            <rFont val="Tahoma"/>
            <family val="2"/>
          </rPr>
          <t>Lindsay D Esplin:</t>
        </r>
        <r>
          <rPr>
            <sz val="9"/>
            <color indexed="81"/>
            <rFont val="Tahoma"/>
            <family val="2"/>
          </rPr>
          <t xml:space="preserve">
Bed samples by frequency.</t>
        </r>
      </text>
    </comment>
    <comment ref="AO6654" authorId="7">
      <text>
        <r>
          <rPr>
            <b/>
            <sz val="9"/>
            <color indexed="81"/>
            <rFont val="Tahoma"/>
            <family val="2"/>
          </rPr>
          <t>Lindsay D Esplin:</t>
        </r>
        <r>
          <rPr>
            <sz val="9"/>
            <color indexed="81"/>
            <rFont val="Tahoma"/>
            <family val="2"/>
          </rPr>
          <t xml:space="preserve">
Bar samples by weight.</t>
        </r>
      </text>
    </comment>
    <comment ref="BC6654" authorId="7">
      <text>
        <r>
          <rPr>
            <b/>
            <sz val="9"/>
            <color indexed="81"/>
            <rFont val="Tahoma"/>
            <family val="2"/>
          </rPr>
          <t>Lindsay D Esplin:</t>
        </r>
        <r>
          <rPr>
            <sz val="9"/>
            <color indexed="81"/>
            <rFont val="Tahoma"/>
            <family val="2"/>
          </rPr>
          <t xml:space="preserve">
Bed samples by frequency.</t>
        </r>
      </text>
    </comment>
    <comment ref="AO6678" authorId="7">
      <text>
        <r>
          <rPr>
            <b/>
            <sz val="9"/>
            <color indexed="81"/>
            <rFont val="Tahoma"/>
            <family val="2"/>
          </rPr>
          <t>Lindsay D Esplin:</t>
        </r>
        <r>
          <rPr>
            <sz val="9"/>
            <color indexed="81"/>
            <rFont val="Tahoma"/>
            <family val="2"/>
          </rPr>
          <t xml:space="preserve">
Bar samples by weight.</t>
        </r>
      </text>
    </comment>
    <comment ref="BC6678" authorId="7">
      <text>
        <r>
          <rPr>
            <b/>
            <sz val="9"/>
            <color indexed="81"/>
            <rFont val="Tahoma"/>
            <family val="2"/>
          </rPr>
          <t>Lindsay D Esplin:</t>
        </r>
        <r>
          <rPr>
            <sz val="9"/>
            <color indexed="81"/>
            <rFont val="Tahoma"/>
            <family val="2"/>
          </rPr>
          <t xml:space="preserve">
Bed samples by frequency.</t>
        </r>
      </text>
    </comment>
    <comment ref="AO6697" authorId="7">
      <text>
        <r>
          <rPr>
            <b/>
            <sz val="9"/>
            <color indexed="81"/>
            <rFont val="Tahoma"/>
            <family val="2"/>
          </rPr>
          <t>Lindsay D Esplin:</t>
        </r>
        <r>
          <rPr>
            <sz val="9"/>
            <color indexed="81"/>
            <rFont val="Tahoma"/>
            <family val="2"/>
          </rPr>
          <t xml:space="preserve">
Bar samples by weight.</t>
        </r>
      </text>
    </comment>
    <comment ref="BC6697" authorId="7">
      <text>
        <r>
          <rPr>
            <b/>
            <sz val="9"/>
            <color indexed="81"/>
            <rFont val="Tahoma"/>
            <family val="2"/>
          </rPr>
          <t>Lindsay D Esplin:</t>
        </r>
        <r>
          <rPr>
            <sz val="9"/>
            <color indexed="81"/>
            <rFont val="Tahoma"/>
            <family val="2"/>
          </rPr>
          <t xml:space="preserve">
Bed samples by frequency.</t>
        </r>
      </text>
    </comment>
    <comment ref="AI8174" authorId="2">
      <text>
        <r>
          <rPr>
            <sz val="12"/>
            <color indexed="81"/>
            <rFont val="Tahoma"/>
            <family val="2"/>
          </rPr>
          <t>Cross Section A</t>
        </r>
      </text>
    </comment>
    <comment ref="AU8174" authorId="2">
      <text>
        <r>
          <rPr>
            <sz val="12"/>
            <color indexed="81"/>
            <rFont val="Tahoma"/>
            <family val="2"/>
          </rPr>
          <t>Cross Section A</t>
        </r>
      </text>
    </comment>
    <comment ref="AC8526" authorId="1">
      <text>
        <r>
          <rPr>
            <b/>
            <sz val="8"/>
            <color indexed="81"/>
            <rFont val="Tahoma"/>
            <family val="2"/>
          </rPr>
          <t>Civil Engineering:</t>
        </r>
        <r>
          <rPr>
            <sz val="8"/>
            <color indexed="81"/>
            <rFont val="Tahoma"/>
            <family val="2"/>
          </rPr>
          <t xml:space="preserve">
Water Surface Slope</t>
        </r>
      </text>
    </comment>
    <comment ref="AD8526" authorId="1">
      <text>
        <r>
          <rPr>
            <b/>
            <sz val="8"/>
            <color indexed="81"/>
            <rFont val="Tahoma"/>
            <family val="2"/>
          </rPr>
          <t>Civil Engineering:
moving bed width (m)</t>
        </r>
      </text>
    </comment>
    <comment ref="AC8551" authorId="1">
      <text>
        <r>
          <rPr>
            <b/>
            <sz val="8"/>
            <color indexed="81"/>
            <rFont val="Tahoma"/>
            <family val="2"/>
          </rPr>
          <t>Civil Engineering:</t>
        </r>
        <r>
          <rPr>
            <sz val="8"/>
            <color indexed="81"/>
            <rFont val="Tahoma"/>
            <family val="2"/>
          </rPr>
          <t xml:space="preserve">
Water Surface Slope</t>
        </r>
      </text>
    </comment>
    <comment ref="AD8551" authorId="1">
      <text>
        <r>
          <rPr>
            <b/>
            <sz val="8"/>
            <color indexed="81"/>
            <rFont val="Tahoma"/>
            <family val="2"/>
          </rPr>
          <t>Civil Engineering:</t>
        </r>
        <r>
          <rPr>
            <sz val="8"/>
            <color indexed="81"/>
            <rFont val="Tahoma"/>
            <family val="2"/>
          </rPr>
          <t xml:space="preserve">
Moving Bed Width</t>
        </r>
      </text>
    </comment>
    <comment ref="AC8697" authorId="1">
      <text>
        <r>
          <rPr>
            <b/>
            <sz val="8"/>
            <color indexed="81"/>
            <rFont val="Tahoma"/>
            <family val="2"/>
          </rPr>
          <t>Civil Engineering:</t>
        </r>
        <r>
          <rPr>
            <sz val="8"/>
            <color indexed="81"/>
            <rFont val="Tahoma"/>
            <family val="2"/>
          </rPr>
          <t xml:space="preserve">
Water Level Slope</t>
        </r>
      </text>
    </comment>
    <comment ref="AC8708" authorId="1">
      <text>
        <r>
          <rPr>
            <b/>
            <sz val="8"/>
            <color indexed="81"/>
            <rFont val="Tahoma"/>
            <family val="2"/>
          </rPr>
          <t>Civil Engineering:</t>
        </r>
        <r>
          <rPr>
            <sz val="8"/>
            <color indexed="81"/>
            <rFont val="Tahoma"/>
            <family val="2"/>
          </rPr>
          <t xml:space="preserve">
Water Level Slope</t>
        </r>
      </text>
    </comment>
    <comment ref="AC8717" authorId="1">
      <text>
        <r>
          <rPr>
            <b/>
            <sz val="8"/>
            <color indexed="81"/>
            <rFont val="Tahoma"/>
            <family val="2"/>
          </rPr>
          <t>Civil Engineering:</t>
        </r>
        <r>
          <rPr>
            <sz val="8"/>
            <color indexed="81"/>
            <rFont val="Tahoma"/>
            <family val="2"/>
          </rPr>
          <t xml:space="preserve">
Water Level Slope</t>
        </r>
      </text>
    </comment>
    <comment ref="AC8726" authorId="1">
      <text>
        <r>
          <rPr>
            <b/>
            <sz val="8"/>
            <color indexed="81"/>
            <rFont val="Tahoma"/>
            <family val="2"/>
          </rPr>
          <t>Civil Engineering:</t>
        </r>
        <r>
          <rPr>
            <sz val="8"/>
            <color indexed="81"/>
            <rFont val="Tahoma"/>
            <family val="2"/>
          </rPr>
          <t xml:space="preserve">
Water Level Slope</t>
        </r>
      </text>
    </comment>
    <comment ref="AC8732" authorId="1">
      <text>
        <r>
          <rPr>
            <b/>
            <sz val="8"/>
            <color indexed="81"/>
            <rFont val="Tahoma"/>
            <family val="2"/>
          </rPr>
          <t>Civil Engineering:</t>
        </r>
        <r>
          <rPr>
            <sz val="8"/>
            <color indexed="81"/>
            <rFont val="Tahoma"/>
            <family val="2"/>
          </rPr>
          <t xml:space="preserve">
Water Level Slope</t>
        </r>
      </text>
    </comment>
    <comment ref="AC8738" authorId="1">
      <text>
        <r>
          <rPr>
            <b/>
            <sz val="8"/>
            <color indexed="81"/>
            <rFont val="Tahoma"/>
            <family val="2"/>
          </rPr>
          <t>Civil Engineering:</t>
        </r>
        <r>
          <rPr>
            <sz val="8"/>
            <color indexed="81"/>
            <rFont val="Tahoma"/>
            <family val="2"/>
          </rPr>
          <t xml:space="preserve">
Water Level Slope</t>
        </r>
      </text>
    </comment>
    <comment ref="AC8740" authorId="1">
      <text>
        <r>
          <rPr>
            <b/>
            <sz val="8"/>
            <color indexed="81"/>
            <rFont val="Tahoma"/>
            <family val="2"/>
          </rPr>
          <t>Civil Engineering:</t>
        </r>
        <r>
          <rPr>
            <sz val="8"/>
            <color indexed="81"/>
            <rFont val="Tahoma"/>
            <family val="2"/>
          </rPr>
          <t xml:space="preserve">
Water Level Slope</t>
        </r>
      </text>
    </comment>
    <comment ref="AC8742" authorId="1">
      <text>
        <r>
          <rPr>
            <b/>
            <sz val="8"/>
            <color indexed="81"/>
            <rFont val="Tahoma"/>
            <family val="2"/>
          </rPr>
          <t>Civil Engineering:</t>
        </r>
        <r>
          <rPr>
            <sz val="8"/>
            <color indexed="81"/>
            <rFont val="Tahoma"/>
            <family val="2"/>
          </rPr>
          <t xml:space="preserve">
Water Level Slope</t>
        </r>
      </text>
    </comment>
    <comment ref="AC8750" authorId="1">
      <text>
        <r>
          <rPr>
            <b/>
            <sz val="8"/>
            <color indexed="81"/>
            <rFont val="Tahoma"/>
            <family val="2"/>
          </rPr>
          <t>Civil Engineering:</t>
        </r>
        <r>
          <rPr>
            <sz val="8"/>
            <color indexed="81"/>
            <rFont val="Tahoma"/>
            <family val="2"/>
          </rPr>
          <t xml:space="preserve">
Water Level Slope</t>
        </r>
      </text>
    </comment>
    <comment ref="AC8758" authorId="1">
      <text>
        <r>
          <rPr>
            <b/>
            <sz val="8"/>
            <color indexed="81"/>
            <rFont val="Tahoma"/>
            <family val="2"/>
          </rPr>
          <t>Civil Engineering:</t>
        </r>
        <r>
          <rPr>
            <sz val="8"/>
            <color indexed="81"/>
            <rFont val="Tahoma"/>
            <family val="2"/>
          </rPr>
          <t xml:space="preserve">
Water Level Slope</t>
        </r>
      </text>
    </comment>
    <comment ref="AC8764" authorId="1">
      <text>
        <r>
          <rPr>
            <b/>
            <sz val="8"/>
            <color indexed="81"/>
            <rFont val="Tahoma"/>
            <family val="2"/>
          </rPr>
          <t>Civil Engineering:</t>
        </r>
        <r>
          <rPr>
            <sz val="8"/>
            <color indexed="81"/>
            <rFont val="Tahoma"/>
            <family val="2"/>
          </rPr>
          <t xml:space="preserve">
Water Level Slope</t>
        </r>
      </text>
    </comment>
  </commentList>
</comments>
</file>

<file path=xl/comments2.xml><?xml version="1.0" encoding="utf-8"?>
<comments xmlns="http://schemas.openxmlformats.org/spreadsheetml/2006/main">
  <authors>
    <author>A satisfied Microsoft Office user</author>
  </authors>
  <commentList>
    <comment ref="B1" authorId="0">
      <text>
        <r>
          <rPr>
            <sz val="8"/>
            <color indexed="81"/>
            <rFont val="Tahoma"/>
            <family val="2"/>
          </rPr>
          <t>SMPL_ID is the database identifier, sequential by site.</t>
        </r>
      </text>
    </comment>
    <comment ref="D1" authorId="0">
      <text>
        <r>
          <rPr>
            <sz val="8"/>
            <color indexed="81"/>
            <rFont val="Tahoma"/>
            <family val="2"/>
          </rPr>
          <t>P = PAVEMENT
S = SUBPAVEMENT
N = NO DISTINCTION</t>
        </r>
      </text>
    </comment>
    <comment ref="E1" authorId="0">
      <text>
        <r>
          <rPr>
            <sz val="8"/>
            <color indexed="81"/>
            <rFont val="Tahoma"/>
            <family val="2"/>
          </rPr>
          <t>SMPL_NO is sample number  designation on field notes, if any. NUMERIC.</t>
        </r>
      </text>
    </comment>
    <comment ref="F1" authorId="0">
      <text>
        <r>
          <rPr>
            <sz val="8"/>
            <color indexed="81"/>
            <rFont val="Tahoma"/>
            <family val="2"/>
          </rPr>
          <t>F = FINAL VALUES, USED IN COMPUTATIONS
N = NOT USED IN COMPUTATIONS
P = RAW DATA, BEFORE AJDUSTMENTS</t>
        </r>
      </text>
    </comment>
    <comment ref="G1" authorId="0">
      <text>
        <r>
          <rPr>
            <sz val="8"/>
            <color indexed="81"/>
            <rFont val="Tahoma"/>
            <family val="2"/>
          </rPr>
          <t>All weights are in grams.</t>
        </r>
      </text>
    </comment>
    <comment ref="U1" authorId="0">
      <text>
        <r>
          <rPr>
            <sz val="8"/>
            <color indexed="81"/>
            <rFont val="Tahoma"/>
            <family val="2"/>
          </rPr>
          <t>Location refers to geomorphic surface (riffle, pool head, pool tail, etc.).
TBD = To be determined</t>
        </r>
      </text>
    </comment>
    <comment ref="V1" authorId="0">
      <text>
        <r>
          <rPr>
            <sz val="8"/>
            <color indexed="81"/>
            <rFont val="Tahoma"/>
            <family val="2"/>
          </rPr>
          <t>BOOK_NO is the field book number.</t>
        </r>
      </text>
    </comment>
    <comment ref="W1" authorId="0">
      <text>
        <r>
          <rPr>
            <sz val="8"/>
            <color indexed="81"/>
            <rFont val="Tahoma"/>
            <family val="2"/>
          </rPr>
          <t>COMPOSIT1 is a sample compositing code.  For claims, the samples labelled A were composited.  Samples added for sensitivity analysis are those labelled B.  If blank, sample was not used in composites.</t>
        </r>
      </text>
    </comment>
    <comment ref="X1" authorId="0">
      <text>
        <r>
          <rPr>
            <sz val="8"/>
            <color indexed="81"/>
            <rFont val="Tahoma"/>
            <family val="2"/>
          </rPr>
          <t>MAXBDLD is the bottom of the maximum size class found in measured bedload, except for the AN02 entries, which are a place holder.</t>
        </r>
      </text>
    </comment>
    <comment ref="G11" authorId="0">
      <text>
        <r>
          <rPr>
            <sz val="8"/>
            <color indexed="81"/>
            <rFont val="Tahoma"/>
            <family val="2"/>
          </rPr>
          <t>All weights are in grams.</t>
        </r>
      </text>
    </comment>
    <comment ref="B21" authorId="0">
      <text>
        <r>
          <rPr>
            <sz val="8"/>
            <color indexed="81"/>
            <rFont val="Tahoma"/>
            <family val="2"/>
          </rPr>
          <t>SMPL_ID is the database identifier, sequential by site.</t>
        </r>
      </text>
    </comment>
    <comment ref="D21" authorId="0">
      <text>
        <r>
          <rPr>
            <sz val="8"/>
            <color indexed="81"/>
            <rFont val="Tahoma"/>
            <family val="2"/>
          </rPr>
          <t>P = PAVEMENT
S = SUBPAVEMENT
N = NO DISTINCTION</t>
        </r>
      </text>
    </comment>
    <comment ref="E21" authorId="0">
      <text>
        <r>
          <rPr>
            <sz val="8"/>
            <color indexed="81"/>
            <rFont val="Tahoma"/>
            <family val="2"/>
          </rPr>
          <t>SMPL_NO is sample number  designation on field notes, if any. NUMERIC.</t>
        </r>
      </text>
    </comment>
    <comment ref="F21" authorId="0">
      <text>
        <r>
          <rPr>
            <sz val="8"/>
            <color indexed="81"/>
            <rFont val="Tahoma"/>
            <family val="2"/>
          </rPr>
          <t>F = FINAL VALUES, USED IN COMPUTATIONS
N = NOT USED IN COMPUTATIONS
P = RAW DATA, BEFORE AJDUSTMENTS</t>
        </r>
      </text>
    </comment>
    <comment ref="G21" authorId="0">
      <text>
        <r>
          <rPr>
            <sz val="8"/>
            <color indexed="81"/>
            <rFont val="Tahoma"/>
            <family val="2"/>
          </rPr>
          <t>All weights are in grams.</t>
        </r>
      </text>
    </comment>
    <comment ref="U21" authorId="0">
      <text>
        <r>
          <rPr>
            <sz val="8"/>
            <color indexed="81"/>
            <rFont val="Tahoma"/>
            <family val="2"/>
          </rPr>
          <t>Location refers to geomorphic surface (riffle, pool head, pool tail, etc.).
TBD = To be determined</t>
        </r>
      </text>
    </comment>
    <comment ref="V21" authorId="0">
      <text>
        <r>
          <rPr>
            <sz val="8"/>
            <color indexed="81"/>
            <rFont val="Tahoma"/>
            <family val="2"/>
          </rPr>
          <t>BOOK_NO is the field book number.</t>
        </r>
      </text>
    </comment>
    <comment ref="W21" authorId="0">
      <text>
        <r>
          <rPr>
            <sz val="8"/>
            <color indexed="81"/>
            <rFont val="Tahoma"/>
            <family val="2"/>
          </rPr>
          <t>COMPOSIT1 is a sample compositing code.  For claims, the samples labelled A were composited.  Samples added for sensitivity analysis are those labelled B.  If blank, sample was not used in composites.</t>
        </r>
      </text>
    </comment>
    <comment ref="X21" authorId="0">
      <text>
        <r>
          <rPr>
            <sz val="8"/>
            <color indexed="81"/>
            <rFont val="Tahoma"/>
            <family val="2"/>
          </rPr>
          <t>MAXBDLD is the bottom of the maximum size class found in measured bedload, except for the AN02 entries, which are a place holder.</t>
        </r>
      </text>
    </comment>
    <comment ref="G30" authorId="0">
      <text>
        <r>
          <rPr>
            <sz val="8"/>
            <color indexed="81"/>
            <rFont val="Tahoma"/>
            <family val="2"/>
          </rPr>
          <t>All weights are in grams.</t>
        </r>
      </text>
    </comment>
    <comment ref="B40" authorId="0">
      <text>
        <r>
          <rPr>
            <sz val="8"/>
            <color indexed="81"/>
            <rFont val="Tahoma"/>
            <family val="2"/>
          </rPr>
          <t>SMPL_ID is the database identifier, sequential by site.</t>
        </r>
      </text>
    </comment>
    <comment ref="D40" authorId="0">
      <text>
        <r>
          <rPr>
            <sz val="8"/>
            <color indexed="81"/>
            <rFont val="Tahoma"/>
            <family val="2"/>
          </rPr>
          <t>P = PAVEMENT
S = SUBPAVEMENT
N = NO DISTINCTION</t>
        </r>
      </text>
    </comment>
    <comment ref="E40" authorId="0">
      <text>
        <r>
          <rPr>
            <sz val="8"/>
            <color indexed="81"/>
            <rFont val="Tahoma"/>
            <family val="2"/>
          </rPr>
          <t>SMPL_NO is sample number  designation on field notes, if any. NUMERIC.</t>
        </r>
      </text>
    </comment>
    <comment ref="F40" authorId="0">
      <text>
        <r>
          <rPr>
            <sz val="8"/>
            <color indexed="81"/>
            <rFont val="Tahoma"/>
            <family val="2"/>
          </rPr>
          <t>F = FINAL VALUES, USED IN COMPUTATIONS
N = NOT USED IN COMPUTATIONS
P = RAW DATA, BEFORE AJDUSTMENTS</t>
        </r>
      </text>
    </comment>
    <comment ref="G40" authorId="0">
      <text>
        <r>
          <rPr>
            <sz val="8"/>
            <color indexed="81"/>
            <rFont val="Tahoma"/>
            <family val="2"/>
          </rPr>
          <t>All weights are in grams.</t>
        </r>
      </text>
    </comment>
    <comment ref="U40" authorId="0">
      <text>
        <r>
          <rPr>
            <sz val="8"/>
            <color indexed="81"/>
            <rFont val="Tahoma"/>
            <family val="2"/>
          </rPr>
          <t>Location refers to geomorphic surface (riffle, pool head, pool tail, etc.).
TBD = To be determined</t>
        </r>
      </text>
    </comment>
    <comment ref="V40" authorId="0">
      <text>
        <r>
          <rPr>
            <sz val="8"/>
            <color indexed="81"/>
            <rFont val="Tahoma"/>
            <family val="2"/>
          </rPr>
          <t>BOOK_NO is the field book number.</t>
        </r>
      </text>
    </comment>
    <comment ref="W40" authorId="0">
      <text>
        <r>
          <rPr>
            <sz val="8"/>
            <color indexed="81"/>
            <rFont val="Tahoma"/>
            <family val="2"/>
          </rPr>
          <t>COMPOSIT1 is a sample compositing code.  For claims, the samples labelled A were composited.  Samples added for sensitivity analysis are those labelled B.  If blank, sample was not used in composites.</t>
        </r>
      </text>
    </comment>
    <comment ref="X40" authorId="0">
      <text>
        <r>
          <rPr>
            <sz val="8"/>
            <color indexed="81"/>
            <rFont val="Tahoma"/>
            <family val="2"/>
          </rPr>
          <t>MAXBDLD is the bottom of the maximum size class found in measured bedload, except for the AN02 entries, which are a place holder.</t>
        </r>
      </text>
    </comment>
    <comment ref="B57" authorId="0">
      <text>
        <r>
          <rPr>
            <sz val="8"/>
            <color indexed="81"/>
            <rFont val="Tahoma"/>
            <family val="2"/>
          </rPr>
          <t>SMPL_ID is the database identifier, sequential by site.</t>
        </r>
      </text>
    </comment>
    <comment ref="D57" authorId="0">
      <text>
        <r>
          <rPr>
            <sz val="8"/>
            <color indexed="81"/>
            <rFont val="Tahoma"/>
            <family val="2"/>
          </rPr>
          <t>P = PAVEMENT
S = SUBPAVEMENT
N = NO DISTINCTION</t>
        </r>
      </text>
    </comment>
    <comment ref="E57" authorId="0">
      <text>
        <r>
          <rPr>
            <sz val="8"/>
            <color indexed="81"/>
            <rFont val="Tahoma"/>
            <family val="2"/>
          </rPr>
          <t>SMPL_NO is sample number  designation on field notes, if any. NUMERIC.</t>
        </r>
      </text>
    </comment>
    <comment ref="F57" authorId="0">
      <text>
        <r>
          <rPr>
            <sz val="8"/>
            <color indexed="81"/>
            <rFont val="Tahoma"/>
            <family val="2"/>
          </rPr>
          <t>F = FINAL VALUES, USED IN COMPUTATIONS
N = NOT USED IN COMPUTATIONS
P = RAW DATA, BEFORE AJDUSTMENTS</t>
        </r>
      </text>
    </comment>
    <comment ref="G57" authorId="0">
      <text>
        <r>
          <rPr>
            <sz val="8"/>
            <color indexed="81"/>
            <rFont val="Tahoma"/>
            <family val="2"/>
          </rPr>
          <t>All weights are in grams.</t>
        </r>
      </text>
    </comment>
    <comment ref="U57" authorId="0">
      <text>
        <r>
          <rPr>
            <sz val="8"/>
            <color indexed="81"/>
            <rFont val="Tahoma"/>
            <family val="2"/>
          </rPr>
          <t>Location refers to geomorphic surface (riffle, pool head, pool tail, etc.).
TBD = To be determined</t>
        </r>
      </text>
    </comment>
    <comment ref="V57" authorId="0">
      <text>
        <r>
          <rPr>
            <sz val="8"/>
            <color indexed="81"/>
            <rFont val="Tahoma"/>
            <family val="2"/>
          </rPr>
          <t>BOOK_NO is the field book number.</t>
        </r>
      </text>
    </comment>
    <comment ref="W57" authorId="0">
      <text>
        <r>
          <rPr>
            <sz val="8"/>
            <color indexed="81"/>
            <rFont val="Tahoma"/>
            <family val="2"/>
          </rPr>
          <t>COMPOSIT1 is a sample compositing code.  For claims, the samples labelled A were composited.  Samples added for sensitivity analysis are those labelled B.  If blank, sample was not used in composites.</t>
        </r>
      </text>
    </comment>
    <comment ref="X57" authorId="0">
      <text>
        <r>
          <rPr>
            <sz val="8"/>
            <color indexed="81"/>
            <rFont val="Tahoma"/>
            <family val="2"/>
          </rPr>
          <t>MAXBDLD is the bottom of the maximum size class found in measured bedload, except for the AN02 entries, which are a place holder.</t>
        </r>
      </text>
    </comment>
    <comment ref="B76" authorId="0">
      <text>
        <r>
          <rPr>
            <sz val="8"/>
            <color indexed="81"/>
            <rFont val="Tahoma"/>
            <family val="2"/>
          </rPr>
          <t>SMPL_ID is the database identifier, sequential by site.</t>
        </r>
      </text>
    </comment>
    <comment ref="D76" authorId="0">
      <text>
        <r>
          <rPr>
            <sz val="8"/>
            <color indexed="81"/>
            <rFont val="Tahoma"/>
            <family val="2"/>
          </rPr>
          <t>P = PAVEMENT
S = SUBPAVEMENT
N = NO DISTINCTION</t>
        </r>
      </text>
    </comment>
    <comment ref="E76" authorId="0">
      <text>
        <r>
          <rPr>
            <sz val="8"/>
            <color indexed="81"/>
            <rFont val="Tahoma"/>
            <family val="2"/>
          </rPr>
          <t>SMPL_NO is sample number  designation on field notes, if any. NUMERIC.</t>
        </r>
      </text>
    </comment>
    <comment ref="F76" authorId="0">
      <text>
        <r>
          <rPr>
            <sz val="8"/>
            <color indexed="81"/>
            <rFont val="Tahoma"/>
            <family val="2"/>
          </rPr>
          <t>F = FINAL VALUES, USED IN COMPUTATIONS
N = NOT USED IN COMPUTATIONS
P = RAW DATA, BEFORE AJDUSTMENTS</t>
        </r>
      </text>
    </comment>
    <comment ref="G76" authorId="0">
      <text>
        <r>
          <rPr>
            <sz val="8"/>
            <color indexed="81"/>
            <rFont val="Tahoma"/>
            <family val="2"/>
          </rPr>
          <t>All weights are in grams.</t>
        </r>
      </text>
    </comment>
    <comment ref="U76" authorId="0">
      <text>
        <r>
          <rPr>
            <sz val="8"/>
            <color indexed="81"/>
            <rFont val="Tahoma"/>
            <family val="2"/>
          </rPr>
          <t>Location refers to geomorphic surface (riffle, pool head, pool tail, etc.).
TBD = To be determined</t>
        </r>
      </text>
    </comment>
    <comment ref="V76" authorId="0">
      <text>
        <r>
          <rPr>
            <sz val="8"/>
            <color indexed="81"/>
            <rFont val="Tahoma"/>
            <family val="2"/>
          </rPr>
          <t>BOOK_NO is the field book number.</t>
        </r>
      </text>
    </comment>
    <comment ref="W76" authorId="0">
      <text>
        <r>
          <rPr>
            <sz val="8"/>
            <color indexed="81"/>
            <rFont val="Tahoma"/>
            <family val="2"/>
          </rPr>
          <t>COMPOSIT1 is a sample compositing code.  For claims, the samples labelled A were composited.  Samples added for sensitivity analysis are those labelled B.  If blank, sample was not used in composites.</t>
        </r>
      </text>
    </comment>
    <comment ref="X76" authorId="0">
      <text>
        <r>
          <rPr>
            <sz val="8"/>
            <color indexed="81"/>
            <rFont val="Tahoma"/>
            <family val="2"/>
          </rPr>
          <t>MAXBDLD is the bottom of the maximum size class found in measured bedload, except for the AN02 entries, which are a place holder.</t>
        </r>
      </text>
    </comment>
    <comment ref="B93" authorId="0">
      <text>
        <r>
          <rPr>
            <sz val="8"/>
            <color indexed="81"/>
            <rFont val="Tahoma"/>
            <family val="2"/>
          </rPr>
          <t>SMPL_ID is the database identifier, sequential by site.</t>
        </r>
      </text>
    </comment>
    <comment ref="D93" authorId="0">
      <text>
        <r>
          <rPr>
            <sz val="8"/>
            <color indexed="81"/>
            <rFont val="Tahoma"/>
            <family val="2"/>
          </rPr>
          <t>P = PAVEMENT
S = SUBPAVEMENT
N = NO DISTINCTION</t>
        </r>
      </text>
    </comment>
    <comment ref="E93" authorId="0">
      <text>
        <r>
          <rPr>
            <sz val="8"/>
            <color indexed="81"/>
            <rFont val="Tahoma"/>
            <family val="2"/>
          </rPr>
          <t>SMPL_NO is sample number  designation on field notes, if any. NUMERIC.</t>
        </r>
      </text>
    </comment>
    <comment ref="F93" authorId="0">
      <text>
        <r>
          <rPr>
            <sz val="8"/>
            <color indexed="81"/>
            <rFont val="Tahoma"/>
            <family val="2"/>
          </rPr>
          <t>F = FINAL VALUES, USED IN COMPUTATIONS
N = NOT USED IN COMPUTATIONS
P = RAW DATA, BEFORE AJDUSTMENTS</t>
        </r>
      </text>
    </comment>
    <comment ref="G93" authorId="0">
      <text>
        <r>
          <rPr>
            <sz val="8"/>
            <color indexed="81"/>
            <rFont val="Tahoma"/>
            <family val="2"/>
          </rPr>
          <t>All weights are in grams.</t>
        </r>
      </text>
    </comment>
    <comment ref="U93" authorId="0">
      <text>
        <r>
          <rPr>
            <sz val="8"/>
            <color indexed="81"/>
            <rFont val="Tahoma"/>
            <family val="2"/>
          </rPr>
          <t>Location refers to geomorphic surface (riffle, pool head, pool tail, etc.).
TBD = To be determined</t>
        </r>
      </text>
    </comment>
    <comment ref="V93" authorId="0">
      <text>
        <r>
          <rPr>
            <sz val="8"/>
            <color indexed="81"/>
            <rFont val="Tahoma"/>
            <family val="2"/>
          </rPr>
          <t>BOOK_NO is the field book number.</t>
        </r>
      </text>
    </comment>
    <comment ref="W93" authorId="0">
      <text>
        <r>
          <rPr>
            <sz val="8"/>
            <color indexed="81"/>
            <rFont val="Tahoma"/>
            <family val="2"/>
          </rPr>
          <t>COMPOSIT1 is a sample compositing code.  For claims, the samples labelled A were composited.  Samples added for sensitivity analysis are those labelled B.  If blank, sample was not used in composites.</t>
        </r>
      </text>
    </comment>
    <comment ref="X93" authorId="0">
      <text>
        <r>
          <rPr>
            <sz val="8"/>
            <color indexed="81"/>
            <rFont val="Tahoma"/>
            <family val="2"/>
          </rPr>
          <t>MAXBDLD is the bottom of the maximum size class found in measured bedload, except for the AN02 entries, which are a place holder.</t>
        </r>
      </text>
    </comment>
    <comment ref="B121" authorId="0">
      <text>
        <r>
          <rPr>
            <sz val="8"/>
            <color indexed="81"/>
            <rFont val="Tahoma"/>
            <family val="2"/>
          </rPr>
          <t>SMPL_ID is the database identifier, sequential by site.</t>
        </r>
      </text>
    </comment>
    <comment ref="D121" authorId="0">
      <text>
        <r>
          <rPr>
            <sz val="8"/>
            <color indexed="81"/>
            <rFont val="Tahoma"/>
            <family val="2"/>
          </rPr>
          <t>P = PAVEMENT
S = SUBPAVEMENT
N = NO DISTINCTION</t>
        </r>
      </text>
    </comment>
    <comment ref="E121" authorId="0">
      <text>
        <r>
          <rPr>
            <sz val="8"/>
            <color indexed="81"/>
            <rFont val="Tahoma"/>
            <family val="2"/>
          </rPr>
          <t>SMPL_NO is sample number  designation on field notes, if any. NUMERIC.</t>
        </r>
      </text>
    </comment>
    <comment ref="F121" authorId="0">
      <text>
        <r>
          <rPr>
            <sz val="8"/>
            <color indexed="81"/>
            <rFont val="Tahoma"/>
            <family val="2"/>
          </rPr>
          <t>F = FINAL VALUES, USED IN COMPUTATIONS
N = NOT USED IN COMPUTATIONS
P = RAW DATA, BEFORE AJDUSTMENTS</t>
        </r>
      </text>
    </comment>
    <comment ref="G121" authorId="0">
      <text>
        <r>
          <rPr>
            <sz val="8"/>
            <color indexed="81"/>
            <rFont val="Tahoma"/>
            <family val="2"/>
          </rPr>
          <t>All weights are in grams.</t>
        </r>
      </text>
    </comment>
    <comment ref="U121" authorId="0">
      <text>
        <r>
          <rPr>
            <sz val="8"/>
            <color indexed="81"/>
            <rFont val="Tahoma"/>
            <family val="2"/>
          </rPr>
          <t>Location refers to geomorphic surface (riffle, pool head, pool tail, etc.).
TBD = To be determined</t>
        </r>
      </text>
    </comment>
    <comment ref="V121" authorId="0">
      <text>
        <r>
          <rPr>
            <sz val="8"/>
            <color indexed="81"/>
            <rFont val="Tahoma"/>
            <family val="2"/>
          </rPr>
          <t>BOOK_NO is the field book number.</t>
        </r>
      </text>
    </comment>
    <comment ref="W121" authorId="0">
      <text>
        <r>
          <rPr>
            <sz val="8"/>
            <color indexed="81"/>
            <rFont val="Tahoma"/>
            <family val="2"/>
          </rPr>
          <t>COMPOSIT1 is a sample compositing code.  For claims, the samples labelled A were composited.  Samples added for sensitivity analysis are those labelled B.  If blank, sample was not used in composites.</t>
        </r>
      </text>
    </comment>
    <comment ref="X121" authorId="0">
      <text>
        <r>
          <rPr>
            <sz val="8"/>
            <color indexed="81"/>
            <rFont val="Tahoma"/>
            <family val="2"/>
          </rPr>
          <t>MAXBDLD is the bottom of the maximum size class found in measured bedload, except for the AN02 entries, which are a place holder.</t>
        </r>
      </text>
    </comment>
    <comment ref="B135" authorId="0">
      <text>
        <r>
          <rPr>
            <sz val="8"/>
            <color indexed="81"/>
            <rFont val="Tahoma"/>
            <family val="2"/>
          </rPr>
          <t>SMPL_ID is the database identifier, sequential by site.</t>
        </r>
      </text>
    </comment>
    <comment ref="D135" authorId="0">
      <text>
        <r>
          <rPr>
            <sz val="8"/>
            <color indexed="81"/>
            <rFont val="Tahoma"/>
            <family val="2"/>
          </rPr>
          <t>P = PAVEMENT
S = SUBPAVEMENT
N = NO DISTINCTION</t>
        </r>
      </text>
    </comment>
    <comment ref="E135" authorId="0">
      <text>
        <r>
          <rPr>
            <sz val="8"/>
            <color indexed="81"/>
            <rFont val="Tahoma"/>
            <family val="2"/>
          </rPr>
          <t>SMPL_NO is sample number  designation on field notes, if any. NUMERIC.</t>
        </r>
      </text>
    </comment>
    <comment ref="F135" authorId="0">
      <text>
        <r>
          <rPr>
            <sz val="8"/>
            <color indexed="81"/>
            <rFont val="Tahoma"/>
            <family val="2"/>
          </rPr>
          <t>F = FINAL VALUES, USED IN COMPUTATIONS
N = NOT USED IN COMPUTATIONS
P = RAW DATA, BEFORE AJDUSTMENTS</t>
        </r>
      </text>
    </comment>
    <comment ref="G135" authorId="0">
      <text>
        <r>
          <rPr>
            <sz val="8"/>
            <color indexed="81"/>
            <rFont val="Tahoma"/>
            <family val="2"/>
          </rPr>
          <t>All weights are in grams.</t>
        </r>
      </text>
    </comment>
    <comment ref="U135" authorId="0">
      <text>
        <r>
          <rPr>
            <sz val="8"/>
            <color indexed="81"/>
            <rFont val="Tahoma"/>
            <family val="2"/>
          </rPr>
          <t>Location refers to geomorphic surface (riffle, pool head, pool tail, etc.).
TBD = To be determined</t>
        </r>
      </text>
    </comment>
    <comment ref="V135" authorId="0">
      <text>
        <r>
          <rPr>
            <sz val="8"/>
            <color indexed="81"/>
            <rFont val="Tahoma"/>
            <family val="2"/>
          </rPr>
          <t>BOOK_NO is the field book number.</t>
        </r>
      </text>
    </comment>
    <comment ref="W135" authorId="0">
      <text>
        <r>
          <rPr>
            <sz val="8"/>
            <color indexed="81"/>
            <rFont val="Tahoma"/>
            <family val="2"/>
          </rPr>
          <t>COMPOSIT1 is a sample compositing code.  For claims, the samples labelled A were composited.  Samples added for sensitivity analysis are those labelled B.  If blank, sample was not used in composites.</t>
        </r>
      </text>
    </comment>
    <comment ref="X135" authorId="0">
      <text>
        <r>
          <rPr>
            <sz val="8"/>
            <color indexed="81"/>
            <rFont val="Tahoma"/>
            <family val="2"/>
          </rPr>
          <t>MAXBDLD is the bottom of the maximum size class found in measured bedload, except for the AN02 entries, which are a place holder.</t>
        </r>
      </text>
    </comment>
  </commentList>
</comments>
</file>

<file path=xl/comments3.xml><?xml version="1.0" encoding="utf-8"?>
<comments xmlns="http://schemas.openxmlformats.org/spreadsheetml/2006/main">
  <authors>
    <author>Darren</author>
    <author>National Forest Service</author>
    <author>Rachel</author>
    <author>Daniel McCormick</author>
  </authors>
  <commentList>
    <comment ref="B1319" authorId="0">
      <text>
        <r>
          <rPr>
            <b/>
            <sz val="9"/>
            <color indexed="81"/>
            <rFont val="Tahoma"/>
            <family val="2"/>
          </rPr>
          <t>Darren:</t>
        </r>
        <r>
          <rPr>
            <sz val="9"/>
            <color indexed="81"/>
            <rFont val="Tahoma"/>
            <family val="2"/>
          </rPr>
          <t xml:space="preserve">
Average of 2 traverses</t>
        </r>
      </text>
    </comment>
    <comment ref="B1320" authorId="0">
      <text>
        <r>
          <rPr>
            <b/>
            <sz val="9"/>
            <color indexed="81"/>
            <rFont val="Tahoma"/>
            <family val="2"/>
          </rPr>
          <t>Darren:</t>
        </r>
        <r>
          <rPr>
            <sz val="9"/>
            <color indexed="81"/>
            <rFont val="Tahoma"/>
            <family val="2"/>
          </rPr>
          <t xml:space="preserve">
Average of 2 traverses</t>
        </r>
      </text>
    </comment>
    <comment ref="A4731" authorId="1">
      <text>
        <r>
          <rPr>
            <b/>
            <sz val="8"/>
            <color indexed="81"/>
            <rFont val="Tahoma"/>
            <family val="2"/>
          </rPr>
          <t>National Forest Service:</t>
        </r>
        <r>
          <rPr>
            <sz val="8"/>
            <color indexed="81"/>
            <rFont val="Tahoma"/>
            <family val="2"/>
          </rPr>
          <t xml:space="preserve">
"missing data - filled with deep creek (deep Q*99/150*corr. Factor"</t>
        </r>
      </text>
    </comment>
    <comment ref="A4732" authorId="1">
      <text>
        <r>
          <rPr>
            <b/>
            <sz val="8"/>
            <color indexed="81"/>
            <rFont val="Tahoma"/>
            <family val="2"/>
          </rPr>
          <t>National Forest Service:</t>
        </r>
        <r>
          <rPr>
            <sz val="8"/>
            <color indexed="81"/>
            <rFont val="Tahoma"/>
            <family val="2"/>
          </rPr>
          <t xml:space="preserve">
"missing data - filled with deep creek (ddep Q*99/150*corr. Factor"</t>
        </r>
      </text>
    </comment>
    <comment ref="B4805" authorId="2">
      <text>
        <r>
          <rPr>
            <b/>
            <sz val="9"/>
            <color indexed="81"/>
            <rFont val="Tahoma"/>
            <family val="2"/>
          </rPr>
          <t>Rachel:</t>
        </r>
        <r>
          <rPr>
            <sz val="9"/>
            <color indexed="81"/>
            <rFont val="Tahoma"/>
            <family val="2"/>
          </rPr>
          <t xml:space="preserve">
Weights represent a wet sample, dry/wet weight ratio is 0.85, column values = 0.53 measured
wet weight.</t>
        </r>
      </text>
    </comment>
    <comment ref="A4891" authorId="2">
      <text>
        <r>
          <rPr>
            <b/>
            <sz val="9"/>
            <color indexed="81"/>
            <rFont val="Tahoma"/>
            <family val="2"/>
          </rPr>
          <t>Rachel:</t>
        </r>
        <r>
          <rPr>
            <sz val="9"/>
            <color indexed="81"/>
            <rFont val="Tahoma"/>
            <family val="2"/>
          </rPr>
          <t xml:space="preserve">
Discharge extrapolated from rating curve.</t>
        </r>
      </text>
    </comment>
    <comment ref="A4892" authorId="2">
      <text>
        <r>
          <rPr>
            <b/>
            <sz val="9"/>
            <color indexed="81"/>
            <rFont val="Tahoma"/>
            <family val="2"/>
          </rPr>
          <t>Rachel:</t>
        </r>
        <r>
          <rPr>
            <sz val="9"/>
            <color indexed="81"/>
            <rFont val="Tahoma"/>
            <family val="2"/>
          </rPr>
          <t xml:space="preserve">
Discharge extrapolated from rating curve.</t>
        </r>
      </text>
    </comment>
    <comment ref="B4938" authorId="2">
      <text>
        <r>
          <rPr>
            <b/>
            <sz val="9"/>
            <color indexed="81"/>
            <rFont val="Tahoma"/>
            <family val="2"/>
          </rPr>
          <t>Rachel:</t>
        </r>
        <r>
          <rPr>
            <sz val="9"/>
            <color indexed="81"/>
            <rFont val="Tahoma"/>
            <family val="2"/>
          </rPr>
          <t xml:space="preserve">
Given in grams and seconds. Used (g/1000)/s</t>
        </r>
      </text>
    </comment>
    <comment ref="B5904"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06"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47"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48"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50"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51"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90"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92"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93"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95"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96"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97"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5998"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6000"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6021"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6029"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 ref="B6033" authorId="3">
      <text>
        <r>
          <rPr>
            <b/>
            <sz val="8"/>
            <color indexed="81"/>
            <rFont val="Tahoma"/>
            <family val="2"/>
          </rPr>
          <t>Daniel McCormick:</t>
        </r>
        <r>
          <rPr>
            <sz val="8"/>
            <color indexed="81"/>
            <rFont val="Tahoma"/>
            <family val="2"/>
          </rPr>
          <t xml:space="preserve">
* Zero-sample; assigned transport rate is one order of magnitude smaller than the smallest measured transport rate for a specified sampling time. </t>
        </r>
      </text>
    </comment>
  </commentList>
</comments>
</file>

<file path=xl/comments4.xml><?xml version="1.0" encoding="utf-8"?>
<comments xmlns="http://schemas.openxmlformats.org/spreadsheetml/2006/main">
  <authors>
    <author>Civil Engineering</author>
  </authors>
  <commentList>
    <comment ref="J3" authorId="0">
      <text>
        <r>
          <rPr>
            <b/>
            <sz val="8"/>
            <color indexed="81"/>
            <rFont val="Tahoma"/>
            <family val="2"/>
          </rPr>
          <t>Civil Engineering:</t>
        </r>
        <r>
          <rPr>
            <sz val="8"/>
            <color indexed="81"/>
            <rFont val="Tahoma"/>
            <family val="2"/>
          </rPr>
          <t xml:space="preserve">
Rounded to the nearest 10th</t>
        </r>
      </text>
    </comment>
  </commentList>
</comments>
</file>

<file path=xl/sharedStrings.xml><?xml version="1.0" encoding="utf-8"?>
<sst xmlns="http://schemas.openxmlformats.org/spreadsheetml/2006/main" count="6891" uniqueCount="988">
  <si>
    <t>Rosgen Stream Classification</t>
  </si>
  <si>
    <t>Data Set Name</t>
  </si>
  <si>
    <t>Drainage Area</t>
  </si>
  <si>
    <t>Sampling Method</t>
  </si>
  <si>
    <t>Average Slope</t>
  </si>
  <si>
    <t>Subsurface d50</t>
  </si>
  <si>
    <t>Surface d50</t>
  </si>
  <si>
    <t>Armor Ratio</t>
  </si>
  <si>
    <t xml:space="preserve"> Grain Measurement Technique</t>
  </si>
  <si>
    <t>Bankfull</t>
  </si>
  <si>
    <t>Bankfull Width</t>
  </si>
  <si>
    <t>Bankfull Depth</t>
  </si>
  <si>
    <t>Bankfull Area</t>
  </si>
  <si>
    <t>Width/Depth Ratio</t>
  </si>
  <si>
    <t>Max Depth</t>
  </si>
  <si>
    <t>Width Flood-Prone Area</t>
  </si>
  <si>
    <t>Entrenchment Ratio</t>
  </si>
  <si>
    <t>Valley Slope</t>
  </si>
  <si>
    <t>Sinuosity k</t>
  </si>
  <si>
    <t>km^2</t>
  </si>
  <si>
    <t>mm</t>
  </si>
  <si>
    <t>Subsurface</t>
  </si>
  <si>
    <t>Surface</t>
  </si>
  <si>
    <t>VS / S</t>
  </si>
  <si>
    <t>Top Width</t>
  </si>
  <si>
    <t>Average Depth</t>
  </si>
  <si>
    <t>Total Bed Load Transport Rate</t>
  </si>
  <si>
    <t>kg/s</t>
  </si>
  <si>
    <t>m</t>
  </si>
  <si>
    <t>-</t>
  </si>
  <si>
    <t>Average Velocity</t>
  </si>
  <si>
    <t>m/s</t>
  </si>
  <si>
    <t>Misc / Notes</t>
  </si>
  <si>
    <t>East St. Louis Creek</t>
  </si>
  <si>
    <t>CO</t>
  </si>
  <si>
    <t>m/m</t>
  </si>
  <si>
    <t>Mean Cross Sectional Area</t>
  </si>
  <si>
    <t>Largest Grain Size Moved (b-axis)</t>
  </si>
  <si>
    <t>Bed Load Sample Comments</t>
  </si>
  <si>
    <t>Sample too small to sieve</t>
  </si>
  <si>
    <t>Fool Creek</t>
  </si>
  <si>
    <t>St. Louis Creek Site 1</t>
  </si>
  <si>
    <t>1.5-yr Flood</t>
  </si>
  <si>
    <t>St. Louis Creek Site 2</t>
  </si>
  <si>
    <t>Transport Rate is essentially unmeasurable</t>
  </si>
  <si>
    <t>St. Louis Creek Site 3</t>
  </si>
  <si>
    <t xml:space="preserve">Note the transport rates for these two samples were switched in an earlier version of the dataset </t>
  </si>
  <si>
    <t xml:space="preserve">These are the corrected values.  </t>
  </si>
  <si>
    <r>
      <t>m</t>
    </r>
    <r>
      <rPr>
        <b/>
        <vertAlign val="superscript"/>
        <sz val="11"/>
        <color theme="1"/>
        <rFont val="Arial"/>
        <family val="2"/>
      </rPr>
      <t>2</t>
    </r>
  </si>
  <si>
    <t>St. Louis Creek Site 4</t>
  </si>
  <si>
    <t>St. Louis Creek Site 4A</t>
  </si>
  <si>
    <t>St. Louis Creek Site 5</t>
  </si>
  <si>
    <t>Cache Creek near Jackson</t>
  </si>
  <si>
    <t>WY</t>
  </si>
  <si>
    <t>Flow Gage</t>
  </si>
  <si>
    <t>Pebble</t>
  </si>
  <si>
    <t>Site</t>
  </si>
  <si>
    <t>Harris Creek, British Columbia</t>
  </si>
  <si>
    <t>Canada</t>
  </si>
  <si>
    <t>Pit Trap</t>
  </si>
  <si>
    <t>Hayden Creek</t>
  </si>
  <si>
    <t>Little Granite Creek</t>
  </si>
  <si>
    <t>Date</t>
  </si>
  <si>
    <t>Complete</t>
  </si>
  <si>
    <t>%</t>
  </si>
  <si>
    <t>Big Wood River near Ketchum</t>
  </si>
  <si>
    <t>ID</t>
  </si>
  <si>
    <t>Collected from bridge with cable (20 verticals - 30 sec duration)</t>
  </si>
  <si>
    <t>Bulk Core</t>
  </si>
  <si>
    <t>Avg. Channel Flow Rate</t>
  </si>
  <si>
    <t>Blackmare Creek</t>
  </si>
  <si>
    <t xml:space="preserve"> </t>
  </si>
  <si>
    <t>76 mm H.S.</t>
  </si>
  <si>
    <t>OR</t>
  </si>
  <si>
    <t>North Fork Sprague River</t>
  </si>
  <si>
    <t>Paradise Creek</t>
  </si>
  <si>
    <t>South Fork Sprague River</t>
  </si>
  <si>
    <t>Sycan River above Marsh</t>
  </si>
  <si>
    <t>Annie Creek</t>
  </si>
  <si>
    <t>Cherry Creek</t>
  </si>
  <si>
    <t>Spencer Creek</t>
  </si>
  <si>
    <t>Fivemile Creek</t>
  </si>
  <si>
    <t>Pumice observed floating down creek.</t>
  </si>
  <si>
    <t>C4</t>
  </si>
  <si>
    <t>B4</t>
  </si>
  <si>
    <t>C4b</t>
  </si>
  <si>
    <t>B3</t>
  </si>
  <si>
    <t>C4 or F4</t>
  </si>
  <si>
    <t>F3</t>
  </si>
  <si>
    <t>F4</t>
  </si>
  <si>
    <t>kg or %</t>
  </si>
  <si>
    <t>Specific gravity average of 2.36 g/cc</t>
  </si>
  <si>
    <t>Sampling time of 2400 seconds</t>
  </si>
  <si>
    <t>East Fork River</t>
  </si>
  <si>
    <t>Belt Sampler</t>
  </si>
  <si>
    <t>Belt Sampler concurrent with Helley-Smith</t>
  </si>
  <si>
    <t>Current Meter</t>
  </si>
  <si>
    <t>Bed Load d50</t>
  </si>
  <si>
    <t>Above Brownsworth Creek</t>
  </si>
  <si>
    <t>Sample Time (below)</t>
  </si>
  <si>
    <t>Tom McDonald Creek</t>
  </si>
  <si>
    <t>CA</t>
  </si>
  <si>
    <t>Bridge 1</t>
  </si>
  <si>
    <t>Bridge 2</t>
  </si>
  <si>
    <t>Bridge 3</t>
  </si>
  <si>
    <t>H.S.</t>
  </si>
  <si>
    <t>Freeze Core</t>
  </si>
  <si>
    <t xml:space="preserve"> Freeze Core - Pebble</t>
  </si>
  <si>
    <t>East Fork Virgin River</t>
  </si>
  <si>
    <t>UT</t>
  </si>
  <si>
    <t>Stream Gauge</t>
  </si>
  <si>
    <t>Wind River</t>
  </si>
  <si>
    <t>Battle Creek near Encampment</t>
  </si>
  <si>
    <t>Big Sandstone Creek near Savery</t>
  </si>
  <si>
    <t>Pebble Count/Bulk Sample</t>
  </si>
  <si>
    <t>Pebble/Bulk Core</t>
  </si>
  <si>
    <t>S</t>
  </si>
  <si>
    <t>F</t>
  </si>
  <si>
    <t>P</t>
  </si>
  <si>
    <t>Pavement Average</t>
  </si>
  <si>
    <t>Sampe ID</t>
  </si>
  <si>
    <t>Type</t>
  </si>
  <si>
    <t xml:space="preserve">Sample Number </t>
  </si>
  <si>
    <t>Status</t>
  </si>
  <si>
    <t>Weight pan        (g)</t>
  </si>
  <si>
    <t>Weight    0.0625    mm            (g)</t>
  </si>
  <si>
    <t>Weight    0.125         mm         (g)</t>
  </si>
  <si>
    <t>Weight    0.25            mm         (g)</t>
  </si>
  <si>
    <t>Weight    0.5          mm                (g)</t>
  </si>
  <si>
    <t>Weight     1            mm           (g)</t>
  </si>
  <si>
    <t>Weight     2            mm                (g)</t>
  </si>
  <si>
    <t>Weight     4            mm         (g)</t>
  </si>
  <si>
    <t>Weight     8            mm         (g)</t>
  </si>
  <si>
    <t>Weight    16           mm          (g)</t>
  </si>
  <si>
    <t>Weight    31.5            mm          (g)</t>
  </si>
  <si>
    <t>Weight    63            mm         (g)</t>
  </si>
  <si>
    <t>Weight    126            mm          (g)</t>
  </si>
  <si>
    <t>Weight    253            mm         (g)</t>
  </si>
  <si>
    <t>Location</t>
  </si>
  <si>
    <t>Book    Number</t>
  </si>
  <si>
    <t>Compositing code</t>
  </si>
  <si>
    <t>Maximum Size class</t>
  </si>
  <si>
    <t>Comments</t>
  </si>
  <si>
    <t>Weight pan        (kg)</t>
  </si>
  <si>
    <t>Weight    0.0625    mm            (kg)</t>
  </si>
  <si>
    <t>Weight    0.125         mm         (kg)</t>
  </si>
  <si>
    <t>Weight    0.25            mm         (kg)</t>
  </si>
  <si>
    <t>Weight    0.5          mm                (kg)</t>
  </si>
  <si>
    <t>Weight     1            mm           (kg)</t>
  </si>
  <si>
    <t>Weight     2            mm                (kg)</t>
  </si>
  <si>
    <t>Weight     4            mm         (kg)</t>
  </si>
  <si>
    <t>Weight     8            mm         (kg)</t>
  </si>
  <si>
    <t>Weight    16           mm          (kg)</t>
  </si>
  <si>
    <t>Weight    31.5            mm          (kg)</t>
  </si>
  <si>
    <t>Weight    63            mm         (kg)</t>
  </si>
  <si>
    <t>Weight    126            mm          (kg)</t>
  </si>
  <si>
    <t>Weight    253            mm         (kg)</t>
  </si>
  <si>
    <t>Subpavement Average</t>
  </si>
  <si>
    <t xml:space="preserve">&gt;2 mm = </t>
  </si>
  <si>
    <t>Fivemile Creek  original site</t>
  </si>
  <si>
    <t>N</t>
  </si>
  <si>
    <t xml:space="preserve">&gt;64 mm = </t>
  </si>
  <si>
    <t xml:space="preserve">&lt;2 mm = </t>
  </si>
  <si>
    <t>Below Sandhill Crossing</t>
  </si>
  <si>
    <t>NF Sprague R blw Sandhill Crossing</t>
  </si>
  <si>
    <t>combined</t>
  </si>
  <si>
    <t>SF Sprague R abv Brownsworth Ck</t>
  </si>
  <si>
    <t>1</t>
  </si>
  <si>
    <t>Sycan R  abv the Marsh</t>
  </si>
  <si>
    <r>
      <t xml:space="preserve">Cherry Creek </t>
    </r>
    <r>
      <rPr>
        <b/>
        <sz val="10"/>
        <rFont val="Arial"/>
        <family val="2"/>
      </rPr>
      <t>abv</t>
    </r>
    <r>
      <rPr>
        <sz val="11"/>
        <color theme="1"/>
        <rFont val="Calibri"/>
        <family val="2"/>
        <scheme val="minor"/>
      </rPr>
      <t xml:space="preserve"> the Diversion</t>
    </r>
  </si>
  <si>
    <t xml:space="preserve">d50 = </t>
  </si>
  <si>
    <t>13.46 according to pebble count</t>
  </si>
  <si>
    <t>Total</t>
  </si>
  <si>
    <t>Total Wt</t>
  </si>
  <si>
    <t>Boise River</t>
  </si>
  <si>
    <t>Pebble Count</t>
  </si>
  <si>
    <t>Cat Spur Creek</t>
  </si>
  <si>
    <t>(20 verticals, 30 sec duration)</t>
  </si>
  <si>
    <t>(14 verticals, 30 sec duration)</t>
  </si>
  <si>
    <t>(10 verticals, 60 sec duration)</t>
  </si>
  <si>
    <t>(10 verticals)</t>
  </si>
  <si>
    <t>(20 verticals)</t>
  </si>
  <si>
    <t>Dollar Creek Data</t>
  </si>
  <si>
    <t>Eggers Creek</t>
  </si>
  <si>
    <t>Site 1  8 verticals</t>
  </si>
  <si>
    <t>Site 2 8 verticals</t>
  </si>
  <si>
    <t>Fourth of July Creek</t>
  </si>
  <si>
    <t>Hawley Creek Data</t>
  </si>
  <si>
    <t>Herd Creek Data</t>
  </si>
  <si>
    <t>Johns Creek Data</t>
  </si>
  <si>
    <t xml:space="preserve">Johnson Creek Data </t>
  </si>
  <si>
    <t>Little Buckhorn Creek</t>
  </si>
  <si>
    <t>Little Slate Creek</t>
  </si>
  <si>
    <t>Lochsa River Data</t>
  </si>
  <si>
    <t>Lolo Creek Data</t>
  </si>
  <si>
    <t>Main Fork Red River</t>
  </si>
  <si>
    <t>Marsh Creek Data</t>
  </si>
  <si>
    <t>Middle Fork Salmon River</t>
  </si>
  <si>
    <t>North Fork Clearwater River</t>
  </si>
  <si>
    <t>Rapid River</t>
  </si>
  <si>
    <t>Salmon River Below Yankee Fork</t>
  </si>
  <si>
    <t>Salmon River Near Obsidian</t>
  </si>
  <si>
    <t>Salmon River Near Shoup</t>
  </si>
  <si>
    <t>Selway River Data</t>
  </si>
  <si>
    <t>South Fork Payette River</t>
  </si>
  <si>
    <t>South Fork Red River</t>
  </si>
  <si>
    <t>South Fork Salmon River</t>
  </si>
  <si>
    <t>Squaw Creek USFS Data</t>
  </si>
  <si>
    <t>Squaw Creek USGS Data</t>
  </si>
  <si>
    <t>Thompson Creek</t>
  </si>
  <si>
    <t>Trapper Creek Data</t>
  </si>
  <si>
    <t>Valley Creek Data</t>
  </si>
  <si>
    <t>West Fork Buckhorn Creek</t>
  </si>
  <si>
    <t>Sagehen Creek</t>
  </si>
  <si>
    <t>Marsh-McBirney Electromagnetic Current Meter</t>
  </si>
  <si>
    <t>Volumetric Samples</t>
  </si>
  <si>
    <t>Net Trap</t>
  </si>
  <si>
    <t>10 min</t>
  </si>
  <si>
    <t>Oak Creek</t>
  </si>
  <si>
    <t>Vortex Sampler</t>
  </si>
  <si>
    <t>"Start up sample" - "In other words, the vortex trough had been previously filled and sampling was only started after first removing this material from the trough."</t>
  </si>
  <si>
    <t>"Start up sample"</t>
  </si>
  <si>
    <t>Considered unusable because of a wide range of dischagre during sampling period</t>
  </si>
  <si>
    <t>Source</t>
  </si>
  <si>
    <t>[http://www.fs.fed.us/rm/boise/research/watershed/BAT/index.shtml].  Accessed: 21 Oct 2010.</t>
  </si>
  <si>
    <t xml:space="preserve">Lucas, W.  08 Jun 2011.  Personal Communication.  </t>
  </si>
  <si>
    <t>Milhous, R. T., Sediment transport in a gravel-bottomed stream, Ph.D. thesis. Oregon State University. 1973.</t>
  </si>
  <si>
    <t>Leopold, L. B., and W. W. Emmett (1976), Bedload measurements, East Fork River, Wyoming, Proceedings of the National Academy of Sciences, 73(4), 1000.</t>
  </si>
  <si>
    <t>Andrews, E. (2000), Bed material transport in the Virgin River, Utah, Water resources research, 36(2), 585-596.</t>
  </si>
  <si>
    <t>Smalley, M. L., W. W. Emmett, and A. M. Wacker (1994), Annual replenishment of bed material by sediment transport in the Wind River near Riverton, Wyoming.</t>
  </si>
  <si>
    <t>Bunte, K., S. R. Abt, K. W. Swingle, and J. P. Potyondy (2010), FUNCTIONS TO ADJUST TRANSPORT RATES FROM A HELLEY-SMITH SAMPLER TO BEDLOAD TRAPS IN COARSE GRAVEL-BED STREAMS (RATING CURVE APPROACH), paper presented at 2nd Joint Federal Interagency Conference, Las Vegas, NV.</t>
  </si>
  <si>
    <t>76-mm H.S.</t>
  </si>
  <si>
    <t>2nd Order Stream</t>
  </si>
  <si>
    <t>4th Order Stream</t>
  </si>
  <si>
    <t>Good</t>
  </si>
  <si>
    <t>Fair</t>
  </si>
  <si>
    <t>D4</t>
  </si>
  <si>
    <t>D16 (mm)</t>
  </si>
  <si>
    <t>D25 (mm)</t>
  </si>
  <si>
    <t>D35 (mm)</t>
  </si>
  <si>
    <t>D50 (mm)</t>
  </si>
  <si>
    <t>D65 (mm)</t>
  </si>
  <si>
    <t>D84 (mm)</t>
  </si>
  <si>
    <t>D90 (mm)</t>
  </si>
  <si>
    <t>Barrel Sample</t>
  </si>
  <si>
    <t>Pebble/Barrel</t>
  </si>
  <si>
    <t>Barrel</t>
  </si>
  <si>
    <t>Stream Order</t>
  </si>
  <si>
    <t>Channel Geometry</t>
  </si>
  <si>
    <t>Sampling: # of Intervals</t>
  </si>
  <si>
    <t>Sampling Duration per Interval</t>
  </si>
  <si>
    <t>Region or State</t>
  </si>
  <si>
    <t>Sampling: # of Passes</t>
  </si>
  <si>
    <t xml:space="preserve"> 0 means missing data</t>
  </si>
  <si>
    <t>Price/Pygmy Current Meter</t>
  </si>
  <si>
    <t>Barrel Method</t>
  </si>
  <si>
    <t>Surface      (128 mm)</t>
  </si>
  <si>
    <t>Surface    (64 mm)</t>
  </si>
  <si>
    <t>Surface    (32 mm)</t>
  </si>
  <si>
    <t>Surface      (16 mm)</t>
  </si>
  <si>
    <t>Surface (8 mm)</t>
  </si>
  <si>
    <t>Surface (4 mm)</t>
  </si>
  <si>
    <t>Surface (2 mm)</t>
  </si>
  <si>
    <t>Subsurface (128 mm)</t>
  </si>
  <si>
    <t>Subsurface (64 mm)</t>
  </si>
  <si>
    <t>Subsurface (32 mm)</t>
  </si>
  <si>
    <t>Subsurface (16 mm)</t>
  </si>
  <si>
    <t>Subsurface (8 mm)</t>
  </si>
  <si>
    <t>Subsurface (4 mm)</t>
  </si>
  <si>
    <t>Subsurface (2 mm)</t>
  </si>
  <si>
    <t>Pool Head</t>
  </si>
  <si>
    <t>Pool Center</t>
  </si>
  <si>
    <t>Pool Tail</t>
  </si>
  <si>
    <t>Thalweg Depth</t>
  </si>
  <si>
    <t>Total data:</t>
  </si>
  <si>
    <t>Step-pool</t>
  </si>
  <si>
    <t>Plane bed</t>
  </si>
  <si>
    <t>Pool-riffle</t>
  </si>
  <si>
    <t>9 - 14 Intervals</t>
  </si>
  <si>
    <t>1 - 24 hours</t>
  </si>
  <si>
    <t>30 - 60 sec</t>
  </si>
  <si>
    <t>1 - 2 min</t>
  </si>
  <si>
    <t>Pygmy Current Meter</t>
  </si>
  <si>
    <t>Seconds</t>
  </si>
  <si>
    <t>Minutes</t>
  </si>
  <si>
    <t>USGS Gauge</t>
  </si>
  <si>
    <t>USGS Gauge (13019438)</t>
  </si>
  <si>
    <t>Rankl, J. G., and M. Smalley (1992), Transport of sediment by streams in the Sierra Madre, southern Wyoming, US Geological Survey.</t>
  </si>
  <si>
    <r>
      <t xml:space="preserve">Rankl, J. G., and M. Smalley (1992), </t>
    </r>
    <r>
      <rPr>
        <i/>
        <sz val="11"/>
        <color theme="1"/>
        <rFont val="Arial"/>
        <family val="2"/>
      </rPr>
      <t>Transport of sediment by streams in the Sierra Madre, southern Wyoming</t>
    </r>
    <r>
      <rPr>
        <sz val="11"/>
        <color theme="1"/>
        <rFont val="Arial"/>
        <family val="2"/>
      </rPr>
      <t>, US Geological Survey.</t>
    </r>
  </si>
  <si>
    <r>
      <t xml:space="preserve">Andrews, E. (1994), Marginal bed load transport in a gravel bed stream, Sagehen Creek, California, </t>
    </r>
    <r>
      <rPr>
        <i/>
        <sz val="11"/>
        <color theme="1"/>
        <rFont val="Arial"/>
        <family val="2"/>
      </rPr>
      <t>Water resources research</t>
    </r>
    <r>
      <rPr>
        <sz val="11"/>
        <color theme="1"/>
        <rFont val="Arial"/>
        <family val="2"/>
      </rPr>
      <t xml:space="preserve">, </t>
    </r>
    <r>
      <rPr>
        <i/>
        <sz val="11"/>
        <color theme="1"/>
        <rFont val="Arial"/>
        <family val="2"/>
      </rPr>
      <t>30</t>
    </r>
    <r>
      <rPr>
        <sz val="11"/>
        <color theme="1"/>
        <rFont val="Arial"/>
        <family val="2"/>
      </rPr>
      <t>(7), 2241-2250.</t>
    </r>
  </si>
  <si>
    <t>60 sec</t>
  </si>
  <si>
    <t>Continuous</t>
  </si>
  <si>
    <t>150-mm H.S.</t>
  </si>
  <si>
    <t>12 - 18 Intervals</t>
  </si>
  <si>
    <t>4 - 6 Intervals</t>
  </si>
  <si>
    <t>60 min</t>
  </si>
  <si>
    <t>USFS Gauge</t>
  </si>
  <si>
    <t>1 - 2</t>
  </si>
  <si>
    <t>[0,162.37], [1.31,160.84], [1.64,159.52], [2.62,159.09], [3.61,158.63], [4.43,158.17], [5.58,157.8], [6.56,157.44], [7.54,157.39], [8.53,157.45], [9.51,157.57], [10.5,157.51], [11.48,157.18], [12.46,157.08], [13.45,156.96], [14.43,156.93], [15.42,157.33], [16.4,156.92], [17.38,156.67], [18.37,156.62], [19.35,156.65], [20.34,156.85], [21.32,157.01], [22.3,156.98], [23.12,157.13], [23.29,159.66], [24.44,160.73], [27.88,158.89], [29.52,159.04], [32.8,159.16], [36.7,159.47], [39.92,159.71]</t>
  </si>
  <si>
    <t>[0,157.75], [3.28,157.96], [6.56,157.86], [8.2,157.78], [9.84,157.67], [11.48,157.43], [13.45,157.08], [14.76,156.93], [16.4,156.72], [18.04,156.31], [19.68,156.18], [21.32,155.99], [22.96,156.16], [24.6,156.71], [26.24,156.52], [27.88,156.6], [29.52,156.82], [31.16,156.36], [32.8,156.88], [34.44,156.74], [36.08,156.54], [37.72,156.68], [39.36,156.34], [41,156.12], [42.64,156.14], [44.28,155.76], [45.92,155.73], [47.56,156.12], [49.46,156.7], [49.86,158.31], [51.17,159.09], [54.05,159.06]</t>
  </si>
  <si>
    <t>[0,166.74], [1.64,165.53], [3.48,165.21], [4.26,165.11], [4.92,164.81], [5.71,164.5], [6.56,164.39], [8.2,164.19], [9.28,163.97], [9.84,164], [11.15,163.94], [12.46,164.12], [13.45,163.92], [14.43,164.1], [15.42,164.09], [16.4,163.95], [17.38,163.9], [18.37,163.66], [19.35,163.39], [20.34,163.25], [21.32,163.33], [22.3,163.16], [23.29,163.32], [24.27,163.53], [25.26,163.45], [26.24,163.36], [27.22,163.3], [28.21,163.47], [29.19,163.24], [30.18,163.17], [31.16,163.21], [32.14,163.13], [32.87,163.42], [33.78,163.8], [34.44,166.25], [35.19,166.51]</t>
  </si>
  <si>
    <t>[0,8.82], [5,8.59], [8,8.05], [9,7.83], [10,7.58], [15,6.48], [17.5,5.68], [18,4.67], [20,4.27], [25,4.04], [30,4.45], [35,4.78], [40,4.56], [43,4.74], [45,4.65], [50,4.51], [55,4.24], [60,4.09], [63,3.98], [65,3.97], [70,3.19], [75,3.37], [80,3.26], [85,3.38], [90,3.46], [95,3.33], [100,3.55], [105,3.62], [110,3.51], [115,3.4], [120,3.27], [125,3.04], [130,3.2], [135,3.12], [140,2.84], [145,2.6], [150,2.25], [155,2.09], [160,1.98], [165,2], [170,2.14], [175,2.23], [180,2.46], [185,2.16], [186.2,3.56], [186.2,3.7], [189,4.96], [190,5.2], [195,6.8], [200,8.6], [205,11.26], [209,13.53], [210,13.85], [215,14.09], [220,14.12], [221.5,14.11]</t>
  </si>
  <si>
    <t>[0,27.59], [0.75,23.55], [5.55,22.48], [9.98,21.05], [14.31,19.48], [15.86,15.24], [19.43,9.49], [23.24,9.46], [29,8.68], [32.46,8.25], [32.46,8.78], [81.95,4.23], [214.45,4.08], [246.8,14.11], [246.82,14.34], [250.18,13.98], [254.04,13.95], [259.81,13.74], [264.55,13.98], [271.35,14.02], [289.83,13.27], [296.5,13.24], [302.57,13.29], [309.67,13.07], [316.7,13.08], [323.78,13.06], [331.88,13.19], [337.9,15.76], [347.73,13.12], [354.14,13.19], [358.93,13.72], [366.41,14.39], [371.84,15.06], [375.66,16.05], [406.97,15.37], [417.09,17.93], [432.93,23.9], [446.6,28.53]</t>
  </si>
  <si>
    <t>[0,162.43], [3.28,162.19], [4.59,161.66], [6.56,161.57], [9.84,161.1], [13.12,160.81], [14.1,160.68], [16.4,160.18], [19.68,160.1], [22.3,160.29], [24.6,160.33], [26.24,160.23], [27.22,159.85], [27.72,159.49], [28.21,159.23], [28.86,159.13], [29.52,159.08], [30.18,158.96], [30.83,158.66], [31.49,158.52], [32.14,158.37], [32.8,158.18], [33.46,158.1], [34.11,158.05], [34.77,158], [35.42,157.9], [36.08,157.85], [36.74,157.88], [37.23,159.69], [37.88,159.76], [38.11,158.46], [38.24,158.41], [38.77,161.92], [41,162.8], [42.64,162.74], [44.28,162.59], [45.69,162.61]</t>
  </si>
  <si>
    <t>[0,162.94], [3.28,162.81], [6.56,162.57], [8.53,162.18], [9.84,161.94], [11.48,161.79], [13.12,161.76], [14.76,161.14], [16.47,160.71], [17.06,160.56], [17.71,160.39], [18.37,160.3], [19.02,160.22], [19.68,160.28], [20.34,160.34], [20.99,160.3], [21.65,160.28], [22.3,160.28], [22.96,160.3], [23.62,160.2], [24.27,160.2], [24.93,160.22], [25.58,160.21], [26.24,160.15], [26.9,160.13], [27.55,160.08], [28.21,160.12], [28.86,160.22], [29.29,160.27], [29.52,161.62], [30.24,161.74], [31.16,161.88], [32.8,162.08], [35.65,162.55], [38.38,164.06], [41,164.08], [44.28,164.12], [47.56,164.07], [48.51,164.17]</t>
  </si>
  <si>
    <t>[0,164.98], [3.28,164.78], [5.25,164.36], [7.54,164.75], [8.53,165.01], [9.84,165.16], [11.48,165.06], [13.12,164.7], [14.76,164.21], [15.91,163.6], [16.79,161.25], [17.38,161.1], [18.04,161.21], [18.96,161.46], [19.68,161.2], [20.34,161.37], [20.99,161.49], [21.65,161.45], [22.3,161.49], [22.96,161.38], [23.62,161.38], [24.27,161.46], [24.93,161.47], [25.58,161.6], [25.81,161.66], [26.24,161.74], [26.9,161.87], [27.55,161.96], [28.21,161.99], [28.86,162.09], [29.52,162.19], [30.18,162.36], [30.83,162.59], [31.49,162.67], [32.31,162.83], [33.13,162.85], [34.44,162.97], [36.08,163.07], [39.36,163.2], [42.64,163.43], [43.33,163.29]</t>
  </si>
  <si>
    <t>[0,165.65], [3.28,165.49], [6.56,165.21], [9.84,164.88], [13.12,164.99], [16.4,164.6], [19.68,164.43], [21.32,164.26], [22.27,164.41], [22.7,163.4], [23.29,163.45], [23.91,163.39], [24.6,163.22], [25.26,163.12], [25.91,163.07], [26.57,163.13], [27.22,163.13], [27.88,163.13], [28.54,163.21], [29.19,163.18], [29.85,163.17], [30.5,163.09], [31.19,163.15], [31.39,164.09], [32.47,164.43], [33.29,164.83], [34.44,164.96], [36.08,165.05], [39.36,165.06], [42.64,165.5], [45.92,165.59], [48.35,165.51]</t>
  </si>
  <si>
    <t>[0,5.54], [0.8,5.33], [1.1,4.41], [1.8,4.3], [3.5,4.08], [4.6,3.91], [5.3,3.81], [5.7,3.96], [6,3.64], [7.6,3.58], [8.7,3.42], [9.3,3.82], [9.8,3.86], [10.3,3.35], [11.5,3.57], [12.1,3.18], [12.6,3.56], [12.9,3.52], [13.3,3.86], [13.8,3.71], [14.2,3.09], [15.5,3.32], [16.2,3.53], [16.9,3.12], [18.2,3.12], [19.2,3.7], [20.4,3.72], [20.4,4.29], [21.8,4.51], [23.6,5.76], [24.4,5.25], [25.6,5.48]</t>
  </si>
  <si>
    <t>[0,154.42], [1.64,154.84], [3.28,154.73], [4.92,154.39], [6.89,153.35], [7.48,152.31], [8.53,152.44], [9.51,152.21], [10.5,152.28], [11.48,152.41], [12.46,151.9], [13.45,151.98], [14.43,151.96], [15.42,152.16], [16.4,152.06], [17.38,152.3], [18.37,152.49], [19.35,152.37], [20.34,152.37], [21.32,152.38], [22.3,152.35], [23.29,152.41], [24.27,152.46], [26.17,152.69], [27.88,153.4], [29.62,153.7], [31.16,153.88], [32.8,153.94], [36.08,154.22], [39.2,154.42]</t>
  </si>
  <si>
    <t>[0,157.29], [1.64,156.96], [3.28,156.4], [4.92,155.67], [6.56,155.37], [8.2,154.96], [9.84,154.79], [11.48,154.51], [13.12,154.42], [14.69,154.26], [15.74,154.04], [16.73,153.99], [17.71,153.79], [18.7,153.54], [19.68,153.58], [20.66,153.24], [21.65,153.17], [22.63,153.15], [23.62,153.08], [24.6,153.1], [25.58,153.19], [26.57,153.51], [27.55,153.4], [28.54,153.61], [29.52,153.68], [30.5,153.76], [31.49,153.9], [32.47,153.91], [33.46,154.01], [34.44,154.06], [35.42,154.11], [36.41,154.07], [38.02,154.23], [39.36,154.59], [41,154.91], [42.64,155.34], [43.69,156.7], [46.58,157.68]</t>
  </si>
  <si>
    <t>[0,159.98], [1.64,160.01], [3.28,160.62], [4.92,159.53], [6.56,159.15], [8.2,158.53], [9.84,157.6], [10.73,156.28], [11.48,156.25], [12.46,156.09], [13.45,156.07], [14.43,155.65], [15.42,155.52], [16.4,155.58], [17.38,155.44], [18.37,155.36], [19.35,155.31], [20.34,155.46], [21.32,155.54], [22.3,155.5], [23.29,155.4], [24.27,155.4], [25.26,155.27], [26.24,155.59], [27.22,155.86], [28.21,155.75], [29.52,155.73], [30.57,156.1], [31.49,156.38], [32.8,156.93], [34.44,157.14], [36.08,157.52], [37.39,157.82], [38.54,158.26], [39.69,159.76], [41,160.7], [42.64,161.44], [44.28,161.61], [46.67,161.45]</t>
  </si>
  <si>
    <t>[0,160.19], [1.64,160.22], [3.28,160.17], [4.92,159.9], [6.4,159.55], [8.33,158.38], [9.18,158.27], [10.17,158.36], [11.15,158.22], [12.14,158.08], [13.12,158.03], [14.1,158.08], [15.09,158.06], [16.07,157.69], [17.06,157.6], [18.04,157.27], [19.02,157.69], [20.66,158.3], [22.3,158.32], [23.29,158.3], [24.6,158.34], [26.17,158.44], [27.55,158.72], [30.18,159.53], [32.8,161.39], [35.36,163.21]</t>
  </si>
  <si>
    <t>[0,161.89], [1.64,161.04], [2.79,160.66], [3.28,160.55], [4.26,160.26], [4.92,160.06], [5.9,159.86], [6.49,159.4], [6.79,158.41], [7.22,158.44], [7.54,158.44], [7.87,158.38], [8.2,158.34], [8.53,158.35], [8.86,158.35], [9.12,158.35], [9.32,158.6], [9.84,158.7], [10.5,158.83], [11.15,158.89], [12.14,158.99], [12.79,159.08], [13.45,159.27], [14.76,159.4], [15.74,159.27], [16.4,159.55], [18.04,160.15], [19.68,160.91], [21.32,161.73], [22.24,162.31]</t>
  </si>
  <si>
    <t>[0,163.82], [1.64,162.61], [3.28,161.43], [4.1,160.65], [4.43,160.59], [5.02,160.59], [5.35,160.45], [5.58,160.32], [5.9,160.28], [6.23,160.27], [6.56,160.25], [6.89,160.25], [7.22,160.23], [7.54,160.22], [7.87,160.25], [8.2,160.28], [8.53,160.3], [8.66,160.42], [9.22,160.67], [10.17,160.83], [11.48,161.05], [13.12,161.44], [14.76,161.8], [15.42,162.17], [16.96,161.88], [18.7,162.53], [20.66,163.15], [22.96,163.99], [25.35,164.92]</t>
  </si>
  <si>
    <t>[0,160.24], [6.56,160], [13.12,160.24], [16.4,159.52], [19.68,159.08], [22.96,158.47], [26.24,158.11], [29.52,157.04], [32.8,156.88], [36.08,155.76], [39.36,155.1], [45.92,154.86], [52.48,154.88], [59.04,155.59], [65.6,154.72], [72.16,154.69], [78.72,154.55], [85.28,155], [91.84,155.07], [95.12,155.32], [98.4,155], [102.01,154.69], [102.73,152.58], [103.65,152.27], [104.63,152.04], [105.62,151.93], [106.6,152.05], [107.58,152.11], [108.57,152.01], [109.55,152.5], [110.54,152.27], [111.52,152.19], [112.5,151.74], [113.49,151.79], [114.47,152.19], [115.46,151.45], [116.44,152.4], [117.42,151.97], [118.41,151.64], [119.39,151.97], [120.38,152.12], [121.36,152.27], [122.34,152.5], [122.9,152.5], [123.1,152.83], [124.64,152.68], [126.28,153.15], [127.92,153.51], [131.2,153.97], [134.48,154.23], [137.76,154.5], [141.04,155.15], [144.32,154.73], [147.6,157.34], [149.99,158.07]</t>
  </si>
  <si>
    <t>[0,161.53], [6.56,161.53], [13.12,161.22], [14.43,161.16], [17.71,160.5], [21.32,160.42], [22.96,159.58], [29.52,159.41], [36.08,159.47], [42.64,159.52], [49.2,159.64], [55.76,159.54], [62.32,159.21], [63.96,159.17], [65.6,158.68], [67.01,157.9], [67.9,157.43], [68.88,157.13], [69.86,157.01], [70.85,156.85], [71.83,156.78], [72.82,156.82], [73.8,156.87], [74.78,157.26], [75.77,157.17], [76.75,157.22], [77.74,157.23], [78.72,157.22], [79.7,157.17], [80.69,157.3], [81.67,157.34], [82.66,157.44], [83.64,157.37], [84.62,157.43], [85.61,157.54], [86.59,157.76], [87.28,157.87], [88.23,158.54], [90.2,158.62], [93.48,159.23], [96.76,160.05], [100.04,160.52], [103.32,161.12], [106.6,161.75], [109.88,162.06], [114.8,162.57], [121.36,163.16], [127.92,163.64], [134.48,163.93], [141.04,164.7], [147.8,165.35]</t>
  </si>
  <si>
    <t>[0,164.92], [6.56,163.92], [9.84,163.21], [13.12,163.08], [16.4,162.76], [22.96,162.77], [29.52,162.34], [36.08,161.94], [42.64,161.53], [49.2,161.05], [55.76,160.85], [62.32,160.21], [64.19,159.79], [65.8,158.72], [67.31,158.1], [67.9,157.96], [68.22,157.82], [68.88,157.45], [69.54,157.54], [70.19,157.14], [70.85,156.7], [71.5,156.74], [72.16,156.62], [72.82,157.1], [73.47,156.9], [74.13,156.98], [74.78,157.16], [75.44,156.64], [76.1,156.81], [76.75,157.41], [77.41,156.9], [78.06,157.52], [78.72,156.76], [78.88,156.85], [78.9,157.92], [79.11,157.93], [79.21,158.36], [80.29,158.49], [81.34,159.3], [82,159.47], [85.28,159.83], [88.56,160.16], [91.84,160.17], [94.2,160.42], [96.1,162.36], [98.79,161.44], [100.04,161.45], [101.68,162.11], [103.32,162.33], [104.96,162.47], [106.6,162.77], [108.24,163.15], [111.52,163.44], [114.8,163.73], [118.08,163.93], [124.64,164.28], [131.2,164.37], [135.99,164.42]</t>
  </si>
  <si>
    <t>[0,168.36], [1.64,167.78], [3.28,166.76], [4.92,165.52], [6.56,164.5], [8.2,163.82], [9.84,163.02], [11.48,162.14], [11.84,161.96], [12.46,161.52], [13.12,161.33], [13.78,161.4], [14.43,161.23], [15.09,161.62], [15.74,160.97], [16.4,161.48], [17.06,161.16], [17.71,161.43], [18.37,161.37], [19.02,161.41], [19.68,161.41], [20.34,161.13], [20.99,161.19], [21.65,161.15], [22.3,161.2], [22.96,161.12], [23.62,161.75], [24.27,161.2], [24.93,161.1], [25.58,161.88], [26.24,161.86], [26.9,162.01], [27.55,162], [28.21,161.94], [28.86,161.9], [29.22,162.07], [30.57,163.05], [32.14,163.6], [34.44,164], [37.72,164.47], [41,164.74], [44.28,164.95], [47.56,165.05], [50.84,165.23], [54.12,165.49], [57.4,165.45], [60.68,165.57], [63.96,165.78], [67.24,166.05], [70.52,166.18], [73.8,166.5], [77.08,166.72], [80.36,166.68], [82.85,166.72]</t>
  </si>
  <si>
    <t>[0,158.08], [3.28,158.16], [6.56,158.18], [9.84,158.47], [13.12,158.58], [16.4,158.74], [19.68,158.95], [21.32,158.68], [23.29,158.58], [25.91,158.78], [27.88,158.7], [29.52,158.57], [31.16,158.41], [32.8,158.72], [34.44,158.92], [36.08,158.76], [37.72,158.66], [39.36,158.49], [40.44,158.24], [41.98,157.97], [43.3,157.49], [44.61,157.28], [45.92,156.97], [47.23,157.14], [48.54,156.95], [49.86,156.98], [51.17,156.86], [52.48,156.76], [53.79,156.68], [55.1,156.72], [56.42,156.56], [57.73,156.31], [59.04,156.39], [60.35,156.69], [60.98,156.9], [62.12,158.13], [62.91,158.42], [63.4,158.65], [64.62,159.14], [65.6,159.23], [67.24,159.7], [68.88,160.21], [72.16,160.8], [75.44,161.15], [78.72,161.54], [80.88,161.68]</t>
  </si>
  <si>
    <t>[0,164.31], [3.28,164.36], [6.56,164.17], [8.2,164], [8.79,163.9], [9.84,163.68], [10.82,163.55], [11.81,163.48], [12.79,163.49], [13.78,163.51], [14.76,163.58], [15.74,163.65], [16.73,163.63], [17.71,163.38], [18.7,163.53], [19.68,163.16], [20.66,163.01], [21.65,163.07], [22.63,163.01], [23.62,163.4], [24.6,163.38], [25.58,163.65], [26.01,163.82], [26.24,164.04], [26.73,164.16], [27.32,163.92], [29.19,164.31], [31.16,164.51], [32.8,165.07], [34.44,165.32], [36.08,165.85], [37.72,166.74], [39.36,167.16], [40.48,167.35]</t>
  </si>
  <si>
    <t>[0,161.37], [1.64,160.79], [3.28,160.47], [4,160.46], [4.92,160.23], [5.9,159.76], [6.89,159.77], [7.87,159.92], [8.86,159.99], [9.84,159.73], [10.82,159.63], [11.81,159.63], [12.79,159.66], [13.78,159.54], [14.76,159.46], [15.74,159.52], [16.73,159.59], [17.71,159.7], [18.7,159.81], [19.68,160.26], [20.99,160.43], [22.96,160.76], [25.65,160.91]</t>
  </si>
  <si>
    <t>[0,158.74], [1.64,158.83], [2.95,158.6], [3.28,157.69], [4.26,157.54], [5.25,157.68], [6.23,157.75], [7.22,157.82], [8.2,157.8], [9.18,157.78], [10.17,157.61], [11.15,157.65], [12.14,157.67], [13.12,157.71], [14.1,157.77], [15.09,157.73], [15.94,158.36], [16.4,158.54], [18.04,158.77], [19.68,159.06], [21.32,159.18], [23.26,159.14]</t>
  </si>
  <si>
    <t>[0,163.1], [3.28,162.91], [6.56,162.8], [9.35,162.99], [13.12,163.05], [16.4,162.8], [19.68,162.72], [22.96,162.42], [24.93,162.05], [26.73,161.23], [27.22,160.42], [28.86,160.26], [30.5,160.09], [32.14,159.9], [33.78,159.88], [35.42,159.91], [37.06,160.05], [38.7,159.89], [40.34,160.03], [41.98,159.94], [43.62,159.95], [45.26,160.06], [46.9,159.99], [48.54,160.06], [50.18,160.34], [51.82,160.22], [53.46,161.03], [53.96,161.34], [55.76,162.07], [57.4,162.47], [59.04,162.68], [62.32,162.9], [65.6,163.27], [67.24,163.34], [70.52,163.37], [73.8,163.36], [76.26,163.29]</t>
  </si>
  <si>
    <t>[0,163.85], [3.28,163.83], [6.56,163.8], [9.84,163.67], [12.43,163.57], [14.76,163.67], [16.4,163.39], [17.55,163.04], [18.04,162.65], [18.37,162.15], [18.73,160.82], [19.68,160.79], [21.32,160.8], [22.96,160.82], [24.6,160.69], [26.24,160.44], [27.88,160.3], [29.52,160.29], [31.16,160.41], [32.8,160.33], [34.11,160.25], [36.08,160.09], [37.72,160.3], [39.36,160.26], [41,160.25], [42.64,160.51], [43.36,160.82], [43.72,161.99], [44.28,162.34], [45.26,162.7], [45.92,163.08], [46.74,163.29]</t>
  </si>
  <si>
    <t>[0,166.82], [3.28,166.84], [4.76,166.78], [6.56,166.91], [9.84,166.8], [13.12,166.19], [16.4,165.4], [19.68,165.57], [23.42,165.73], [26.24,165.54], [28.86,165.15], [31.16,164.49], [32.8,164.12], [34.44,163.67], [36.08,163.62], [37.72,163.68], [39.36,163.69], [41,163.75], [42.64,163.69], [44.28,163.78], [45.92,163.72], [47.56,163.88], [49.2,164.27], [50.84,164.32], [52.48,164.3], [54.12,164.35], [55.76,164.18], [56.48,164.43], [57.4,165.98], [58.88,166.57], [60.68,166.95], [62.32,167.05], [65.93,167.1], [68.88,167.18], [72.16,167.27], [75.44,167.48], [78.06,167.57]</t>
  </si>
  <si>
    <t>[0,165.74], [3.28,165.81], [6.56,166.12], [9.84,166.02], [11.64,166.04], [13.12,165.93], [14.76,165.59], [15.74,165.03], [16.2,162.39], [18.04,162.4], [19.68,162.22], [21.32,162.31], [22.96,162.36], [24.6,162.36], [26.24,162.57], [27.88,162.82], [29.52,162.78], [31.16,162.97], [32.8,162.74], [34.44,163.11], [36.08,163.57], [37.72,163.99], [38.21,164.08], [39.36,164.4], [42.64,165.16], [42.97,165.32], [45.92,165.6], [49.2,165.9], [52.48,166.01], [55.76,166.2], [59.04,166.26], [62.32,166.28], [65.6,166.37], [66.06,166.36]</t>
  </si>
  <si>
    <t>[3.28,168.62], [4.92,168.46], [6.56,167.79], [8.2,168], [9.84,168], [10.17,165.82], [11.48,165.86], [13.12,165.36], [14.76,165.25], [16.4,164.66], [18.04,164.24], [19.68,163.95], [21.32,163.78], [22.96,163.81], [24.6,163.61], [26.24,163.28], [27.88,163.71], [29.52,163.89], [31.16,163.68], [32.14,162.93], [32.8,162.86], [34.44,162.7], [36.08,162.25], [39.36,161.8], [42.64,161.27], [45.92,161.11], [49.2,161.16], [52.48,161.14], [55.76,161.19], [59.04,161.79], [62.32,162.27], [64.78,162.62], [66.26,162.94], [67.24,164.21], [68.88,164.56], [70.52,165.27], [72.16,165.48], [73.8,165.84], [75.44,166.77], [76.75,168.13]</t>
  </si>
  <si>
    <t>[1.64,163.24], [3.28,160.86], [4.92,160.62], [6.56,159.62], [8.2,158.53], [9.84,158.01], [11.15,156.76], [13.12,156.34], [16.4,156.3], [19.68,156.09], [22.96,155.24], [26.24,155.1], [29.52,155.13], [32.8,155.16], [36.08,155.84], [39.36,155.84], [42.64,156.3], [45.92,156.02], [49.2,156.38], [50.84,156.66], [52.48,156.82], [53.46,157.1], [55.1,157.1], [56.74,157.22], [58.38,157.65], [60.02,158.04], [61.66,158.34], [62.98,159.17], [64.29,159.28], [66.09,159.41], [66.58,160.05], [67.57,159.98], [69.37,160.26], [70.52,160.37], [72.16,160.53], [72.82,160.79], [74.13,160.76], [75.77,160.89], [77.08,161.18], [77.74,161.38], [78.72,161.41], [80.36,161.72], [82,162.05], [83.64,162.37], [85.28,162.96], [86.92,163.73], [88.56,164.32], [91.84,165.49]</t>
  </si>
  <si>
    <t>[9.84,179.44], [13.12,178.97], [16.4,178.96], [19.68,178.63], [22.96,178.31], [25.91,178.68], [26.24,178.01], [27.88,177.73], [29.52,177.45], [31.16,176.3], [32.8,176.35], [34.44,175.81], [36.08,175.13], [37.72,174.59], [39.36,174.29], [42.64,174.41], [45.92,173.94], [48.22,173.91], [50.18,173.27], [52.48,172.36], [55.76,172.12], [59.04,172.37], [62.32,171.66], [65.6,171.1], [68.88,171.11], [72.16,170.97], [75.44,172.57], [77.08,173.2], [78.72,173.61], [80.36,174.91], [82,174.89], [83.64,174.97], [85.28,175.01], [86.92,175.25], [88.56,175.48], [90.86,176.68], [91.84,178.45], [92.82,179.51]</t>
  </si>
  <si>
    <t>[0,8.49], [5,6.7], [9.4,6.03], [10,6.61], [12.2,5.95], [12.8,4.71], [14,4.07], [15,4.3], [17.3,4.23], [17.7,3.72], [20,3.85], [23.5,4.22], [25,3.79], [26,2.93], [30,2.07], [35,2.18], [40,1.44], [45,1.84], [50,1.6], [55,1.58], [60,1.67], [65,1.82], [70,2.17], [75,2.57], [80,2.56], [82.4,2.94], [82.9,3.6], [85,3.25], [85.6,5.03], [90,5.68], [92.25,6.33], [97.25,8.59]</t>
  </si>
  <si>
    <t>[0,5.95], [0.7,5.99], [0.9,4.55], [1.5,4.41], [1.7,3.43], [2.2,3.32], [3.1,3.01], [4.1,2.61], [5.1,2.72], [6,2.72], [7.3,2.63], [8.3,2.5], [9.4,2.52], [10.4,2.59], [10.5,3.17], [10.5,3.32], [10.6,3.97], [11.2,4.56], [12.1,5.61]</t>
  </si>
  <si>
    <t>[0,166.96], [1.64,166.79], [2.3,166.62], [3.94,166.21], [5.25,165.94], [6.23,165.57], [6.89,165.01], [7.38,164.75], [7.87,164.68], [8.53,164.55], [9.18,164.48], [9.84,164.31], [10.5,164.2], [11.15,164.43], [11.81,164.47], [12.46,164.38], [13.12,164.21], [13.78,164.31], [14.43,164.5], [15.09,164.71], [15.68,164.8], [15.91,165.71], [16.4,165.92], [17.38,166.44], [18.47,166.77]</t>
  </si>
  <si>
    <t>[0,164.55], [1.64,164.22], [3.28,163.15], [4.92,163.16], [6.46,162.2], [6.56,160.79], [7.22,160.9], [7.87,160.87], [8.53,160.7], [9.18,160.74], [9.84,160.79], [10.5,160.69], [11.15,160.9], [11.81,160.82], [12.46,160.87], [13.12,161.08], [13.78,161.14], [14.43,161.2], [15.09,161.34], [16.47,161.42], [16.73,162.72], [18.04,163.27], [20.66,164.47], [21.81,164.4]</t>
  </si>
  <si>
    <t>[0,163.01], [1.64,162.75], [2.3,162.29], [2.72,160.19], [3.28,160.2], [3.61,160.2], [3.94,160.33], [4.26,160.26], [4.59,160.22], [4.92,160.23], [5.25,160.24], [5.58,160.45], [5.9,160.39], [6.23,160.37], [6.56,160.33], [6.79,160.37], [7.54,161.67], [8.53,161.44], [9.51,161.43], [10.5,161.39], [11.48,161.42], [12.46,161.42], [13.45,161.13], [14.43,161.24], [15.42,161.34], [16.4,161.47], [17.71,162.32], [18.93,162.67]</t>
  </si>
  <si>
    <t>[100.31,159.9], [97.84,157.32], [96.42,155.9], [95.67,154.97], [94.17,154.33], [92.87,154.16], [92.34,153.48], [90.31,152.91], [88.2,152.63], [86.81,151.53], [85.34,150.71], [83.65,149.95], [82.18,149.63], [80.22,148.84], [76.67,148.6], [74.11,148.28], [70.85,148.27], [68.23,148.42], [65.61,148.09], [62.68,148.05], [58.99,148.08], [56.59,148.17], [53.94,148.75], [51.33,148.99], [48.86,149.22], [47.4,149.35], [47.14,149.73], [44.75,149.88], [42.49,150.17], [39.96,150.23], [39.44,151.15], [37.37,152.01], [34.3,152.56], [31.42,152.84], [29.05,152.89], [26.24,153.6], [24.04,153.69], [20.89,153.87], [10.12,153.95], [0,154.3]</t>
  </si>
  <si>
    <t>[0,169.71], [7.18,169.06], [11.18,168.31], [15.87,167.87], [19.89,167.49], [23.54,167.25], [27.2,167.18], [31.08,166.86], [35.12,166.56], [36.94,165.66], [39.11,166.4], [43.19,166.34], [46.9,166.35], [49.84,165.92], [53.31,165.76], [56.48,165.76], [58.36,165.7], [60.53,165.3], [63.2,164.57], [65.71,164.2], [68.19,164.13], [70.97,164.17], [72.35,163.99], [72.85,163.05], [74.07,162.79], [78.59,162.93], [80.92,163.01], [83.33,162.78], [86.07,162.46], [88.81,162.84], [91.65,162.58], [93.58,162.44], [96.04,162.15], [98.39,162.09], [101.43,162.15], [104.8,162.29], [108.01,162.37], [110.39,162.74], [112.75,162.9], [114.82,163.14], [116.2,163.26], [118.17,163.47], [120.29,164.29], [122.02,164.38], [125.84,164.52], [132.12,164.15], [135.94,163.99], [140.55,163.36], [143.68,163.26], [147.64,162.63], [151.17,161.81], [154.29,161.2], [156.62,160.78], [159.3,160.74], [163.35,160.8], [167.42,160.02], [170.99,159.2], [174.82,160], [177.67,159.5], [180.88,159.9], [186.67,160.25], [189.47,160.55], [193.14,161.88], [197.54,162.48], [202.53,164.76], [210.35,166.4], [216.61,168.31], [223.91,171.18], [230.57,173.33]</t>
  </si>
  <si>
    <t>[0,30.42], [3.29,28.34], [6.15,25.74], [8.85,24.17], [11.15,22.86], [15.18,22.29], [17.87,21.46], [21.55,20.85], [25.03,19.92], [28.91,19.58], [31.44,18.94], [33.76,18.49], [42.76,17.28], [43.76,16.52], [49.76,14.93], [53.76,14.88], [54.26,14.64], [55.76,13.17], [63.76,11.68], [67.56,10.91], [73.76,10.31], [83.76,9.83], [93.76,9.67], [103.76,9.67], [113.76,9.38], [123.76,9.47], [133.76,9.52], [143.76,9.13], [153.76,9.04], [163.76,9.15], [173.76,9.08], [183.76,9.86], [193.76,10.01], [203.76,10.24], [213.76,10.77], [223.76,10.6], [233.76,10.63], [243.76,10.9], [253.76,10.44], [263.76,10.57], [273.76,10.34], [283.76,10.69], [293.76,10.46], [303.76,10.87], [313.76,10.66], [323.76,10.62], [327.76,10.75], [333.76,11.63], [338.76,12.99], [343.76,13.5], [354.06,16.01], [356.19,17.1], [358.8,18.03], [361.66,19.12], [364.83,20.37], [367.79,21.39], [369.45,22.55], [372.1,27.59], [375.21,30.02], [378,32.13]</t>
  </si>
  <si>
    <t>[0,165], [0,157], [1.64,156.91], [3.28,156.79], [4.92,156.73], [6.56,156.75], [8.2,156.67], [9.84,156.44], [11.75,156.33], [13.12,156.38], [14.76,156.16], [16.4,156.01], [18.04,155.95], [19.68,156.04], [21.33,155.96], [22.97,155.76], [24.61,155.63], [26.25,155.55], [27.89,155.44], [29.53,155.38], [31.17,155.5], [32.81,155.32], [34.45,155.31], [36.09,155.53], [37.73,155.69], [38.25,155.84], [38.58,155.81], [38.58,165]</t>
  </si>
  <si>
    <t>[0,172.92], [3.01,170.9], [5.65,168.54], [5.79,168.09], [8.03,166.21], [10.71,164.13], [12.55,162.71], [13.43,162.3], [15.87,162.37], [19.2,162.84], [21.37,162.69], [23.93,162.68], [26.77,162.46], [29.05,162.19], [31.88,162.3], [35.38,162.2], [38.46,162.24], [41.64,162.23], [44.96,162.21], [48.34,162.16], [51.16,162.12], [53,162.07], [55.1,162.39], [56.89,162.85], [57.84,164.41], [59.16,164.87], [61.93,164.95], [65.11,165.03], [68.81,164.83], [73.73,164.64], [76.71,164.74], [81.17,164.47], [83.23,163.31], [87.03,163.81], [92.06,164.67], [94.5,165.66], [101.33,165.45], [106.52,165.05], [112.56,164.96], [118.21,165.57], [122.73,166.18], [125.23,165.73], [128.91,165.33], [134.85,164.19], [140.17,164.62], [144.57,164.77], [157.34,164.92], [166.3,165.42], [174.36,165.77], [174.36,165.77], [211.81,165.95], [228.13,165.97], [239.15,166.12]</t>
  </si>
  <si>
    <t>[0,171.57], [4.83,167.32], [9.71,164.2], [13.99,161.69], [18.53,160.36], [21.7,160.18], [25.09,160.49], [28.85,160.57], [31.9,160.38], [35.21,160.81], [38.69,160.74], [41.03,160.77], [43.37,160.62], [45.34,159.93], [48.14,159.41], [50.12,159.16], [51.65,158.85], [53.84,158.66], [56.33,158.27], [58.73,158.43], [60.72,158.32], [63.52,158.15], [66.21,158.3], [68.43,158.5], [69.47,158.85], [71.94,158.83], [74.19,158.85], [76.9,158.57], [78.93,158.81], [80.78,158.93], [82.65,159.39], [84.81,160.1], [87.41,160.81], [87.97,162.15], [90.34,162.22], [92.3,0], [97.04,162.44], [102.3,162.33], [107.57,162.18], [112.37,162.03], [117.54,161.95], [123.11,162.09], [128.27,162.03], [134.06,162], [140.05,161.62], [145.66,161.76], [151.18,161.1], [155.64,160.28], [165.35,160.98], [176.51,160.27], [180.63,159.73], [185.58,159.34], [193.03,159.89], [197.39,161.03], [203.42,161.55], [212.95,161.59], [222.42,162.29], [234.53,163.54], [238.77,164.27], [248.38,163.83], [264.19,166.35]</t>
  </si>
  <si>
    <t>[219.51,167.23], [216.42,166.4], [213.74,165.99], [208.89,165.74], [202.71,165.85], [196.75,166.06], [191.84,166.92], [188.03,166.34], [184.71,164.99], [177.84,164.92], [160.02,165.42], [154.07,165.7], [147.16,165.54], [141.67,165.5], [138.89,165.51], [134.85,165.16], [131.55,164.67], [128.56,163.82], [124.12,163.62], [116.83,163.59], [111.33,163.47], [104.85,163.02], [100,163.07], [95.27,162.87], [92.21,162.24], [88.67,161.66], [87.21,161.29], [87.04,161.29], [84.45,160.66], [81.93,160.25], [79.29,160.14], [76.89,159.91], [73.84,159.79], [71.31,160.22], [68.32,160.5], [65.33,160.65], [63.98,160.81], [63.92,161.39], [63.56,162.62], [61.42,163.19], [58.62,163.65], [54.4,163.8], [46.21,163.6], [43.76,163.47], [41.31,163.59], [37.53,163.58], [34.77,163.15], [34.02,163.02], [26.71,163.38], [21.21,163.76], [16.61,164.27], [13.62,164.63], [8.61,166.6], [3.51,167.58], [0,169.2]</t>
  </si>
  <si>
    <t>[0,169.1], [24.58,164.99], [29.16,165.3], [39.63,165.41], [53.91,165.43], [62.15,165.52], [68.98,166], [74.04,165.8], [78.18,166.13], [80.63,165.17], [84.59,164.68], [89.62,165.7], [90.83,164.97], [93.87,164.86], [97.05,164.78], [99.88,164.74], [101.71,164.75], [103.69,164.53], [106.55,164.24], [108.9,163.7], [109.85,162.91], [111.51,162.54], [113.92,162.57], [116.16,162.34], [118.72,161.9], [121.35,161.63], [123.82,161.26], [126.07,161.56], [126.7,161.52], [128.67,161.62], [130.7,161.37], [132.49,161.53], [134.3,161.68], [136.42,162.95], [136.44,161.94], [137.16,164.29], [139.12,164.99], [140.65,165.44], [143.46,165.53], [146.17,165.61], [149.23,165.89], [151.38,165.97], [153.36,166.76], [153.54,165.9], [154.86,165.88], [156.85,166.08], [158.65,167.25], [160.67,168.23], [163.7,169.14]</t>
  </si>
  <si>
    <t>[0,164.3], [3.28,164.31], [6.56,164.31], [9.84,164.17], [10.5,164.27], [11.48,164.25], [12.46,164.07], [12.79,163.88], [13.12,163.77], [14.76,163.56], [16.4,163.28], [18.04,163.05], [19.68,162.87], [21.32,162.97], [22.96,162.92], [24.6,162.9], [26.24,162.86], [27.22,162.7], [27.88,162.63], [29.52,162.65], [31.16,162.75], [32.8,162.89], [34.44,162.95], [36.08,162.96], [37.72,163.03], [39.36,163.08], [41,163.17], [42.64,163.24], [44.28,163.22], [45.92,163.19], [47.56,163.21], [49.2,163.16], [50.84,163.05], [52.48,162.98], [54.12,162.86], [55.76,162.78], [57.4,162.61], [59.04,162.45], [60.68,162.24], [62.32,162.19], [63.96,161.85], [65.6,161.61], [67.24,161.31], [68.88,161.11], [70.52,160.97], [71.5,160.77], [72.16,160.68], [73.8,160.7], [75.44,160.61], [77.08,160.21], [78.72,159.98], [80.36,159.94], [82,159.66], [83.64,159.83], [85.28,159.85], [86.92,160.22], [88.56,159.83], [90.2,159.91], [91.84,159.86], [93.48,159.99], [95.12,159.86], [96.76,159.76], [98.4,159.89], [100.04,159.91], [101.68,159.92], [103.32,159.98], [104.96,160.26], [106.6,160.35], [108.24,160.45], [109.88,160.51], [111.52,160.62], [113.16,160.73], [114.8,160.81], [116.44,160.88], [118.08,160.78], [119.52,160.98], [119.56,161.38], [120.21,161.64], [120.7,162.14], [121.36,162.32], [123,162.51], [124.64,162.66], [126.28,162.82], [127.92,163.03], [129.56,163.15], [131.2,163.27], [132.84,163.45], [134.48,163.56], [136.12,163.59], [137.76,163.51], [139.4,163.53], [141.04,163.56], [142.68,163.55], [144.32,163.51], [145.96,163.51], [147.6,163.62], [149.24,163.66], [150.88,163.67], [152.39,163.58]</t>
  </si>
  <si>
    <t>[0,160.77], [1.64,160.37], [3.28,159.8], [4.92,159.71], [6.56,159.65], [8.2,159.54], [9.84,159.53], [11.48,159.43], [13.12,158.94], [14.76,158.75], [16.4,158.29], [18.04,158.18], [19.68,158.3], [21.32,158.17], [22.96,158.08], [24.6,158.12], [26.24,158.17], [27.88,158.22], [29.52,158.35], [31.16,158.82], [32.8,159.61], [34.44,159.85], [36.08,160.18], [37.72,160.35], [37.85,160.38], [37.88,160.62], [39.2,161], [39.36,160.99], [41,161.13], [42.64,161.15], [44.28,161.29], [45.92,161.46], [47.56,161.98], [48.05,162]</t>
  </si>
  <si>
    <t>[0,159.63], [3.28,159.09], [6.56,159.03], [9.84,159.03], [13.12,158.49], [13.78,157.91], [14.43,157.8], [15.42,157.52], [16.04,157.39], [16.07,156.98], [16.4,156.9], [18.04,156.62], [19.68,156.55], [22.96,156.65], [26.24,156.4], [29.52,156.49], [32.8,156.15], [36.08,155.66], [39.36,155.49], [42.64,155.33], [45.92,155.3], [49.2,155.1], [52.48,155.54], [55.76,155.68], [59.04,156.06], [60.68,156.3], [62.32,156.52], [63.96,156.51], [65.6,156.63], [66.42,156.67], [67.08,156.8], [67.57,156.97], [68.55,157.24], [68.88,157.37], [70.52,157.61], [72.16,157.83], [78.72,158.16], [85.28,158.09], [91.84,158.24], [98.4,158.27], [104.96,158.57], [111.52,158.83], [118.08,159.06], [124.64,158.68], [131.2,158.8], [137.76,158.88], [141.3,159.33]</t>
  </si>
  <si>
    <t>[0,159.5], [3.28,159.28], [4.26,159.13], [6.56,157.58], [9.84,156.81], [13.45,156.77], [14.76,157.37], [16.4,157.44], [19.68,157.19], [21.98,156.91], [22.96,156.35], [23.29,155.94], [23.29,155.12], [26.24,154.99], [27.88,154.76], [29.52,154.89], [31.16,154.51], [32.8,155.01], [34.44,154.92], [36.08,154.35], [37.72,154.41], [39.36,154.48], [41,154.39], [42.64,154.45], [44.28,154.45], [45.92,155.14], [47.56,154.86], [49.2,154.77], [50.84,154.88], [52.48,155.19], [54.12,155.24], [55.76,155.44], [57.4,155.08], [59.04,154.93], [60.68,154.89], [62.32,155], [63.96,154.99], [65.6,154.9], [67.24,154.99], [68.88,155.04], [70.52,155.04], [72.16,155.12], [73.8,155.16], [74.36,155.49], [74.62,155.68], [74.65,156.02], [75.28,156.4], [76.42,156.71], [78.72,157], [82,157.23], [85.28,157.28], [86.26,157.04], [88.56,157.3], [90.53,157.75], [92.82,157.92], [94.46,158.47], [96.76,158.42], [98.4,157.99], [101.68,157.94], [104.96,158.02], [111.52,158.12], [118.08,158.76], [124.64,158.78], [131.2,159.32], [134.48,159.4], [136.28,159.93]</t>
  </si>
  <si>
    <t>[0,161.37], [6.56,161.21], [9.84,161.13], [13.12,161.02], [16.4,161.04], [19.68,161.09], [22.96,161.1], [24.6,160.86], [26.24,160.55], [26.9,160.43], [27.88,160.03], [29.13,159.53], [31.16,158.9], [32.8,158.75], [36.08,158.43], [39.36,158.17], [42.64,157.88], [45.92,157.92], [49.2,157.46], [52.48,157.8], [55.76,157.67], [59.04,157.44], [62.32,157.93], [65.6,157.75], [68.88,158.47], [72.16,158.83], [74.26,158.87], [75.93,159.11], [76.49,159.51], [76.92,159.66], [78.72,160.19], [80.03,160.61], [81.02,160.79], [82,160.98], [83.64,161.13], [85.28,161.39], [86.59,161.71], [88.56,162.01], [89.87,162.22], [91.02,162.41], [92.82,162.52], [95.12,162.58], [98.4,162.54], [101.68,162.69], [104.96,162.77], [108.24,162.94], [111.52,163.06], [114.67,163.51]</t>
  </si>
  <si>
    <t>[15,19.39], [25,14.89], [30,11.89], [35,11.89], [40,9.89], [45,9.89], [50,9.39], [55,9.89], [60,9.39], [65,8.89], [70,8.89], [75,8.89], [80,9.39], [85,8.89], [90,8.89], [95,8.89], [100,8.89], [105,8.89], [110,10.39], [115,11.89], [120,11.89], [125,11.39], [130,12.39], [135,12.39], [140,12.89], [145,13.89], [150,14.19], [165,13.89], [180,15.39], [195,15.99], [212,16.89], [225,17.19], [236.5,19.39]</t>
  </si>
  <si>
    <t>[21,25.35], [30,20.65], [52,15.05], [57,13.35], [63,12.15], [70,11.05], [90,7.75], [91,6.95], [105,4.75], [120,2.15], [130,1.25], [140,0.85], [150,0.75], [156,0.95], [162,1.95], [169,2.15], [176,2.25], [183,2.95], [190,3.05], [197,3.25], [204,2.75], [211,2.95], [218,3.25], [225,2.95], [232,3.45], [240,3.45], [248,3.75], [256,2.65], [264,2.75], [272,2.45], [280,2.75], [290,2.15], [300,2.25], [310,4.25], [319,6.95], [324,7.95], [333,8.05], [343,11.25], [345,11.85], [354,16.05], [359,22.15], [369,34.35]</t>
  </si>
  <si>
    <t>[0,168.74], [2.02,165.53], [8.21,163.78], [12.49,162.6], [14.99,161.82], [16.55,159.9], [19.85,159.04], [19.42,159.84], [25.74,158.63], [31.04,158.12], [35.28,158.69], [39.65,159.21], [45.59,158.51], [49.71,158.17], [53.78,157.79], [59.1,157.76], [64.8,158], [70.73,158.84], [77.77,159.37], [84.79,159.45], [86.57,160.76], [93.78,160.78], [103.5,160.75], [113.52,160.66], [120.53,160.6], [127.88,164.02], [132.45,167.15]</t>
  </si>
  <si>
    <t>[0,169.38], [1.07,165.73], [1.79,174.32], [3.26,165.65], [8.02,166.01], [11.11,164.52], [15.08,163.82], [16.25,162.22], [21.03,161.45], [24.57,161.52], [29.4,161.92], [35.23,161.91], [39.29,162], [43.02,161.63], [46.29,161.56], [50.12,161.24], [53.97,161.29], [58.86,161.51], [64.74,161.63], [68.19,161.28], [71.46,160.94], [73.16,161.83], [75.35,162.03], [78.35,161.75], [79.3,162.47], [81.02,164.06], [84.94,164.6], [101.95,164.73], [108,164.89], [111,164.82], [111.01,165.71], [123.46,165.14], [135.3,165.41], [144.93,165.48], [156.34,167.06], [194.98,163.61]</t>
  </si>
  <si>
    <t>[0,50.04], [21.75,32.62], [44.32,31.61], [85.9,30.98], [125.13,31.5], [161.21,30.85], [188.38,31.19], [206.55,30.15], [220.53,29.29], [229.69,27.22], [238.96,17.73], [251.16,13.95], [254.87,10.43], [267.73,8.66], [284.35,8.32], [305.82,9.04], [328.84,9.48], [344.27,9], [361.91,9.19], [377.07,8.54], [391.25,9.15], [405.05,11.57], [417.44,13.93], [434.24,15.49], [443.33,17.14], [453.51,24.01], [468.19,40.95], [474.1,46.98]</t>
  </si>
  <si>
    <t>[0,20.04], [9.5,15.84], [14.5,14.94], [19.5,13.94], [24.5,13.64], [29.5,11.34], [32.5,10.84], [35.5,9.94], [38.5,9.94], [41.5,8.64], [44.5,8.54], [47.5,7.94], [50.5,7.84], [53.5,8.24], [56.5,7.74], [59.5,7.54], [62.5,8.04], [65.5,7.94], [68.5,8.24], [71.5,7.94], [74.5,8.14], [77.5,8.74], [80.5,8.84], [83.5,9.14], [86.5,9.04], [89.5,9.24], [92.5,9.44], [97.5,9.74], [102.5,10.84], [107.5,12.64], [112.5,14.74], [117.5,16.34], [122.5,16.14], [135,20.04]</t>
  </si>
  <si>
    <t>[0,6.56], [4,5.16], [8,1.25], [9,1.46], [10,1.16], [11,1.06], [12,1.46], [13,1.46], [14,1.2], [15,2.15], [16,2.2], [17,2.26], [18,2.4], [19,2.4], [20,2.7], [21,3.06], [22,2.9], [23,3.16], [24,3.06], [25,3.46], [27,3.96], [29,3.8], [31,4.06], [33,4.11], [35,4.06], [37,3.86], [39,4.26], [41,4.3], [44,4.86], [47,6.56]</t>
  </si>
  <si>
    <t>[0,88.25], [2.63,86.88], [8.11,86.42], [19.2,85.91], [29.17,83.84], [33.54,82.34], [35.2,79.86], [40.5,78.38], [43.5,77.93], [48.5,77.88], [53.5,77.78], [58.5,77.88], [63.5,77.43], [68.5,77.58], [73.5,77.38], [78.5,77.33], [83.5,77.28], [88.5,77.23], [93.5,76.68], [98.5,76.53], [103.5,76.38], [108.5,76.28], [113.5,76.23], [118.5,75.78], [123.5,76.03], [128.5,75.48], [133.5,75.78], [138.5,75.68], [143.5,76.03], [148.5,75.88], [153.5,75.98], [158.5,76.43], [163.5,76.68], [168.5,77.18], [173.5,77.18], [178.5,77.38], [183.5,77.58], [193.5,77.83], [203.5,78.28], [213.5,78.43], [223.5,78.68], [233.5,78.33], [243.5,78.38], [253.5,78.48], [263.5,77.98], [273.5,77.78], [283.5,77.98], [293.5,78.53], [303.4,79.7], [306.3,80.27], [307.91,80.86], [309.86,82.18], [311.99,82.44], [313,83.43], [314.15,84.68]</t>
  </si>
  <si>
    <t>[0,28.7], [11.1,28], [25.9,26.8], [36.8,26.3], [48.3,26.3], [62.1,26.4], [75.1,27.1], [90.1,27.6], [103.6,28], [117,27.9], [122.3,27.8], [130.6,28], [144.6,28.2], [156.5,28.5], [168,27.8], [175.7,28], [184.4,28.3], [191.6,28.2], [201.5,28], [207.1,28.3], [212.4,28], [218.1,27.5], [222.7,25.7], [226.1,25.2], [228.9,25.2], [230.4,23.7], [233.7,22.91], [236,22.25], [240,20.22], [243.7,19.54], [253.7,16.02], [261.2,14.91], [262.2,14.18], [263.7,13.63], [267.7,12.81], [273.7,12.64], [283.7,11.94], [293.7,11.77], [303.7,11.52], [313.7,11.01], [323.7,11.04], [333.7,10.8], [343.7,11.22], [353.7,10.83], [363.7,10.96], [373.7,10.82], [383.7,10.68], [393.7,10.5], [403.7,10.15], [413.7,10.08], [423.7,10.14], [433.7,10.16], [443.7,9.82], [453.7,9.95], [463.7,10.17], [473.7,10.24], [483.7,10.53], [493.7,10.77], [503.7,11], [513.7,12.31], [515.7,12.79], [523.7,15.06], [533.7,18.11], [543.7,19.43], [547.7,20.8], [547.7,21.5], [550.4,22], [553.2,23.2], [555,24.5], [557.2,27.4], [558.6,28.4], [578,28.1], [581.9,29.3], [588.1,34.1]</t>
  </si>
  <si>
    <t>[0,38.35], [11.17,36.45], [19.48,30.2], [27.04,25.54], [35.23,21.46], [43.73,18.81], [51.2,17.75], [61.66,16.96], [72.84,16.42], [81.65,16.11], [90.79,15.46], [99.06,15], [107.24,14.16], [115.89,13.52], [124.46,13.24], [130.92,12.92], [139.26,12.62], [149.32,11.83], [156.26,11.78], [160.84,11.28], [165.34,10.96], [172.62,10.88], [179.87,10.34], [186.51,10.23], [191.86,10.3], [198.2,10.16], [205.51,9.83], [210.76,9.68], [218.09,9.4], [225.95,9.2], [232.63,9.05], [238.2,8.83], [241.26,8.67], [246.56,7.74], [248.16,8.53], [249.86,7.73], [249.86,5.22], [251.26,5.21], [255.26,3.79], [256.26,3.48], [261.26,3.02], [262.06,2.96], [266.26,2.25], [271.26,1.41], [276.26,0.42], [281.26,0.56], [286.26,0.82], [291.26,0.94], [296.26,0.95], [301.26,1.05], [306.26,1.57], [311.26,1.48], [316.26,1.64], [321.26,1.61], [326.26,1.51], [331.26,1.66], [336.26,2.15], [341.26,2.19], [346.26,2.1], [351.26,2.49], [356.26,2.45], [361.26,2.39], [366.26,2.46], [371.26,2.31], [376.26,2.67], [381.26,3.04], [382.76,2.99], [386.26,3.2], [391.26,3.4], [396.26,3.84], [401.26,5.61], [402.72,5.5], [406.26,7.21], [408.53,7.45], [411.64,8.04], [415.25,7.59], [427.49,7.54], [441.01,7.53], [454.76,7.29], [465.16,7.24], [488.96,6.88], [498.12,6], [501.46,5.47], [507.42,6.61], [518.07,6.77]</t>
  </si>
  <si>
    <t>[0,174.22], [12.48,168.82], [18.22,168.37], [28.25,167.79], [38.09,167.73], [47.72,168.28], [56.15,168.67], [63.52,168.49], [73.13,168.12], [79.91,167.57], [82.84,166.75], [85.49,165.72], [88.63,165.83], [91.72,166.94], [95.91,166.75], [102.13,167.18], [107.41,167.48], [111.3,167.27], [115,168.07], [121.62,167.4], [126.53,167.31], [131.46,167.25], [133.27,166.71], [135.59,166.06], [138.14,165.46], [139.99,165.14], [141.09,164.85], [143.19,164.17], [146.42,164.15], [149.18,163.92], [152.45,163.8], [155.58,164.21], [158.45,163.97], [161.17,163.92], [164.09,164.11], [165.7,164.22], [166.58,164.63], [167.07,165.59], [169.24,166.13], [171.93,166.5], [173.69,166.35], [180.37,166.34], [184.86,166.58], [188,166.38], [190.78,165.4], [194.06,165.21], [197.18,166.34], [203.23,167.83], [217.65,168.53], [242.17,168.26], [261.84,168.45], [287.42,168.88]</t>
  </si>
  <si>
    <t>[0,173.91], [5.34,171.6], [16.78,170.93], [21.51,171.35], [27.81,171.08], [32.46,171.41], [37.61,171.53], [42.44,171.15], [47.09,170.26], [51.67,169.67], [54.82,170.06], [58.62,171.02], [65.5,170.97], [69.46,170.1], [74.92,170.3], [79.56,170.81], [84.82,170.69], [86.11,167.85], [87.9,170.24], [98.77,169.58], [101.42,169.34], [104.21,169.35], [105.7,169.22], [107.02,168.6], [108.38,168.24], [112.01,168.24], [115.17,168.09], [117.52,167.98], [120.48,167.85], [123.54,168], [126.22,167.99], [129.48,167.82], [133.13,167.78], [135.74,167.84], [139.73,167.6], [142.34,167.44], [144.98,167.89], [145.03,168.38], [145.46,169.42], [147.61,170.55], [151.13,171.24], [154.12,171.47], [157.76,171.1], [162.11,171.52], [165.08,171.68], [169.89,171.64], [176.73,171.96], [183.51,172.16], [193.23,172.12], [211.17,172.33], [226.13,172.01], [232.01,171.85], [247.62,170.9], [259.67,172.26], [287.84,173.22], [307,173.1], [334.34,173.4], [348.72,173.28]</t>
  </si>
  <si>
    <t>[0,26.7], [3.21,24.84], [5.71,22.56], [8.44,20.11], [10.01,19.45], [12.16,18.04], [14.51,17.56], [16.8,16.76], [18.8,15.62], [20.7,14.54], [21.8,14.02], [24.1,13.03], [26.8,11.85], [27.9,11.48], [31.8,10.66], [36.8,10.06], [41.8,9.65], [46.8,9.85], [51.8,9.73], [56.8,10.26], [61.8,9.34], [66.8,8.89], [71.8,9.38], [76.8,9.38], [81.8,9.33], [86.8,9.44], [91.8,9.48], [96.8,9.51], [101.8,9.58], [106.8,9.61], [111.8,9.8], [116.8,10.44], [121.8,10.76], [124.4,11.46], [126.3,13.57], [126.8,14.06], [131.8,16.12], [136.8,17.54], [138.65,18.47], [139.98,19.16], [141.79,20.35], [144.53,21.52], [146.78,21.88], [152.21,23.8], [155.68,25.43], [158.82,27.66], [163.49,29.03], [169.08,29.87], [193.38,30.27]</t>
  </si>
  <si>
    <t>[0,164.34], [1.64,163.84], [3.28,163.54], [4.92,163.19], [5.25,162.98], [5.58,162.86], [5.9,162.82], [6.23,162.77], [6.56,162.76], [6.89,162.76], [7.22,162.76], [7.54,162.65], [7.87,162.63], [8.2,162.58], [8.53,162.59], [8.86,162.56], [9.18,162.53], [9.51,162.52], [9.84,162.57], [10.17,162.58], [10.5,162.62], [10.82,162.92], [11.18,163.02], [11.58,163.69], [12.46,164.07], [13.12,164.21], [14.46,164.59]</t>
  </si>
  <si>
    <t>[0,164.5], [1.64,163.55], [3.28,162.9], [3.94,162.88], [4.43,162.81], [5.05,162.3], [5.9,162.03], [6.56,162.03], [7.22,162.04], [7.87,162.04], [8.53,162], [9.18,161.99], [9.84,162.03], [10.5,161.99], [11.15,161.91], [11.81,161.95], [12.46,162.05], [13.12,162.11], [13.91,162.2], [14.43,162.41], [15.42,162.72], [16.07,162.92], [16.73,163.14], [17.55,163.19]</t>
  </si>
  <si>
    <t>[0,167.12], [3.28,166.94], [6.56,166.67], [9.84,166.74], [12.63,166.71], [14.76,166.67], [16.4,166.13], [18.04,164.92], [19.48,164.31], [21.32,163.61], [22.96,163.05], [24.6,162.36], [26.24,161.84], [27.88,161.82], [29.52,162], [31.16,161.9], [32.8,161.9], [34.44,162.25], [36.08,163.5], [37.72,164.02], [38.21,164.29], [39.36,165.88], [41,166.72], [42.64,167.64], [44.28,169.01], [45.92,169.31], [47.56,169.79], [48.81,169.93]</t>
  </si>
  <si>
    <t>[0,165.93], [3.28,166.08], [6.56,165.96], [9.84,166.06], [13.12,165.09], [16.4,164.71], [19.68,164.58], [22.96,164.34], [26.24,163.99], [28.86,163.84], [30.18,163.57], [30.77,163.32], [32.8,162.62], [34.44,162.09], [36.08,161.86], [37.72,161.72], [39.36,161.78], [41,161.64], [42.64,161.74], [44.28,161.89], [45.92,161.72], [47.56,161.8], [49.2,161.86], [50.84,162], [52.48,162.1], [54.12,162], [55.76,162.32], [57.4,162.44], [59.04,162.7], [59.86,162.99], [60.78,163.27], [61.83,163.82], [63.63,164.12], [65.6,163.96], [68.88,163.76], [72.16,163.36], [72.91,163.15], [74.59,163.12], [75.44,163.4], [77.57,164.2], [80.69,165.64], [82,165.73], [85.08,165.69], [88.56,165.61], [91.84,165.63], [94.96,165.54]</t>
  </si>
  <si>
    <t>[0,161.4], [1.8,160.28], [3.28,160.1], [6.56,159.93], [9.84,160.02], [13.12,160.12], [14.69,160.04], [16.4,159.94], [18.5,159.49], [19.68,158.79], [21.32,158.78], [22.96,159.01], [24.6,159.07], [26.24,158.98], [27.88,159.12], [29.52,158.96], [31.16,158.71], [32.8,158.55], [34.44,158.52], [36.08,158.5], [37.72,158.37], [39.36,158.08], [41,157.91], [42.64,157.84], [44.28,157.7], [45.92,157.92], [47.56,158.18], [49.2,158.57], [49.79,158.6], [50.05,159.49], [50.68,159.68], [51.66,159.79], [52.48,159.81], [55.76,160.2], [57.99,160.36], [59.86,160.46], [61.63,160.38]</t>
  </si>
  <si>
    <t>[0,157.69], [1.64,157.23], [3.28,156.9], [5.08,156.41], [6.07,156.63], [8.2,157.44], [9.84,157.46], [13.12,157.76], [16.4,157.83], [19.68,157.63], [21.32,157.31], [22.96,157.11], [24.6,156.87], [26.24,156.68], [27.88,156.41], [29.52,156.35], [31.16,156.19], [32.8,156.01], [34.44,155.82], [36.08,155.85], [37.72,155.7], [39.36,155.71], [41,155.72], [42.64,155.56], [44.28,155.86], [45.92,156], [47.56,156.71], [48.54,157.34], [49.2,157.65], [50.84,158.11], [51.5,158.38], [52.48,158.41], [55.76,158.32], [59.04,158.26], [62.32,158.04], [65.6,158.01], [67.31,157.92]</t>
  </si>
  <si>
    <t>[0,164.09], [3.28,163.63], [6.56,163.47], [9.84,163.52], [13.12,163.48], [16.4,163.41], [19.68,163.32], [22.96,163.05], [26.24,162.91], [29.52,163.02], [32.8,162.96], [36.08,162.81], [37.72,162.65], [38.7,162.27], [39.98,161.95], [40.34,160.24], [41.33,160.39], [42.64,160.05], [43.95,159.72], [45.26,160.01], [46.58,159.98], [47.89,159.96], [49.2,160.15], [50.51,160.23], [51.82,160.2], [53.14,160.44], [54.45,160.43], [55.76,160.58], [57.07,160.77], [58.38,161.03], [59.7,161.13], [61.34,161.34], [62.09,161.52], [63.3,161.92], [63.96,161.76], [65.6,161.79], [68.88,162.21], [72.16,162.51], [75.44,162.49], [77.74,162.57], [78.72,162.55], [82,162.33], [85.28,162.46], [86.89,162.21]</t>
  </si>
  <si>
    <t>[0,160.97], [1.64,160.91], [3.28,160.85], [4.92,160.86], [6.56,160.95], [8.2,161.05], [9.84,161.12], [11.48,161.2], [13.12,160.95], [14.76,160.4], [16.4,160.14], [17.38,160.05], [18.37,160.02], [18.79,160.14], [18.99,159.97], [19.68,159.9], [20.5,159.68], [21.65,159.33], [22.63,159.32], [23.62,159.49], [24.6,159.64], [25.58,159.71], [26.57,159.78], [27.55,159.83], [28.54,159.36], [29.52,159.55], [30.5,159.13], [31.49,159], [32.47,158.98], [33.46,158.75], [34.44,158.7], [35.42,158.75], [36.41,158.69], [37.39,158.84], [38.38,158.98], [39.36,158.99], [40.34,159.23], [41.33,159.54], [41.98,159.99], [42.9,160.27], [43.36,160.86], [44.28,161.17], [45.92,161.49], [47.56,161.41], [49.2,161.53], [52.48,161.38], [55.76,161.12], [59.04,161.33], [62.32,161.49], [65.6,161.6], [67.24,161.53], [68.88,161.36], [70.19,161.69]</t>
  </si>
  <si>
    <t>[0,153.83], [1.64,153.78], [3.28,153.46], [4.92,153.85], [6.23,153.64], [6.63,153.58], [7.35,154.05], [7.58,153.19], [8.2,152.91], [9.18,152.86], [10.17,152.66], [11.15,152.83], [12.14,152.79], [13.12,152.75], [14.1,152.83], [15.09,153.02], [16.07,152.89], [17.06,152.77], [18.04,152.79], [19.02,152.62], [20.01,152.58], [20.89,153.24], [21.32,154.51], [21.48,154.49], [21.98,154.62], [22.96,154.76], [24.6,155.27], [26.73,155.3]</t>
  </si>
  <si>
    <t>[0,159.82], [1.64,159.31], [2.3,159.03], [2.62,158.59], [2.95,158.27], [3.21,157.33], [3.94,157.2], [4.92,156.93], [5.9,156.63], [6.89,156.84], [7.87,156.78], [8.86,156.98], [9.84,156.81], [10.82,157.04], [11.81,156.85], [12.79,156.77], [13.78,157.25], [14.76,157.3], [15.81,157.33], [17.12,157.95], [17.71,158.1], [19.22,158.41], [21.88,158.46]</t>
  </si>
  <si>
    <t>[0,160.99], [0.49,160.66], [0.98,160.12], [1.12,160], [1.97,159.74], [2.95,159.6], [3.94,159.65], [4.92,159.36], [5.9,159.32], [6.89,159.34], [7.87,159.41], [8.86,159.47], [9.84,159.49], [10.82,159.39], [11.81,159.49], [12.79,159.69], [13.78,159.68], [14.76,159.71], [15.74,160], [16.7,160.09], [17.38,160.14], [18.04,160.26], [18.7,160.9], [19.35,160.97], [20.01,160.88], [20.66,161.27], [21.32,161.62], [22.3,161.75], [23.78,162]</t>
  </si>
  <si>
    <t>[0,168.52], [1.64,167.85], [3.28,167.86], [4.92,167.45], [6.23,166.18], [7.22,166.34], [8.2,166.34], [9.18,166.58], [10.17,166.59], [11.15,166.77], [12.14,166.92], [13.12,167], [14.1,167], [15.09,166.92], [16.07,166.97], [17.06,166.85], [18.04,166.9], [19.02,166.74], [20.01,166.73], [20.99,166.74], [21.98,167.04], [22.96,167.16], [23.94,167.32], [24.93,166.93], [25.85,167.1], [26.44,167.36], [27.22,167.69], [28.54,167.77], [29.85,167.88], [31.16,167.86], [32.47,166.67], [33.46,167.48], [34.44,167.59], [35.36,167.64]</t>
  </si>
  <si>
    <t>[0,19.75], [41.48,19.57], [78.7,18.37], [105.6,17.46], [147.22,16.92], [154.99,14.51], [167.45,14.55], [183.87,13.3], [183.87,13.23], [188.87,13.47], [193.87,13.48], [197.57,13.12], [198.87,13.16], [199.67,13.02], [200.37,12.8], [200.47,11.15], [201.87,10.76], [203.87,10.36], [208.87,9.58], [213.87,9.64], [218.87,9.69], [223.87,9.18], [228.87,9.81], [233.87,9.91], [238.87,9.81], [243.87,10.12], [248.87,10.9], [252.17,10.73], [253.87,10.96], [258.87,11.52], [263.37,11.95], [263.67,12.84], [263.87,12.92], [267.17,13.22], [268.87,13.25], [273.87,13.66], [278.87,14.13], [283.27,14.02], [283.27,13.96], [316.12,14.2], [321.83,15.48], [324.47,17], [339.57,18.06], [343.53,20.69], [352.35,22.93]</t>
  </si>
  <si>
    <t>[0,19.45], [12.74,19.24], [23.1,16.26], [47.4,15.08], [52.21,13.79], [58.36,13.04], [58.36,13.07], [63.36,12.73], [68.36,12.74], [71.96,12.58], [73.36,12.26], [73.86,12.02], [74.56,11.31], [74.76,10.57], [74.76,9.99], [78.36,10.21], [83.36,9.56], [88.36,9.38], [93.36,9.31], [98.36,9.39], [103.36,9.71], [108.36,9.9], [113.36,9.94], [118.36,9.86], [123.36,10.02], [128.36,9.9], [133.36,10.16], [138.36,10.33], [143.36,10.62], [144.66,10.58], [148.36,10.94], [153.36,11.26], [155.86,11.25], [158.36,11.62], [163.36,12.41], [168.36,12.33], [173.36,12.47], [177.16,12.51], [178.36,12.83], [179.86,13.13], [181.76,13.83], [183.36,13.94], [186.22,14.39], [186.36,14.44], [218.82,17.4], [239.53,20.57], [261.05,22.61]</t>
  </si>
  <si>
    <t>[0,19.43], [15.97,19.46], [26.99,16.37], [53.66,15.69], [64.57,13.23], [80.62,13.47], [90.69,11.86], [106.04,11.57], [110.52,10.42], [118.59,11.08], [138.04,11.61], [138.04,11.59], [141.34,11], [141.74,10.48], [143.04,10.17], [146.44,9.17], [148.04,8.74], [153.04,8.56], [158.04,8.08], [163.04,8.06], [168.04,8.08], [173.04,9.06], [178.04,8.11], [183.04,8.3], [188.04,8.4], [193.04,8.72], [198.04,8.28], [203.04,8.81], [208.04,8.81], [213.04,9.16], [218.04,9.15], [220.04,9.21], [223.04,9.77], [224.24,9.96], [226.04,10.46], [226.34,11.09], [228.04,11.45], [229.44,11.65], [229.54,11.63], [238.27,11.75], [249.72,16.24], [262.23,19.5], [273.27,21.4]</t>
  </si>
  <si>
    <t>[0,164.12], [1.64,163.74], [3.28,163.83], [4.92,163.67], [6.56,163.57], [8.2,163.11], [9.84,163.01], [11.48,162.83], [13.12,163.11], [14.76,162.99], [16.4,162.61], [17.38,162.52], [18.37,162.54], [19.35,162.41], [20.2,161.95], [21.32,161.83], [22.3,161.56], [23.29,161.57], [24.27,161.21], [25.26,161.22], [26.24,161.19], [27.22,160.88], [28.21,161.03], [29.19,161.01], [30.18,160.79], [31.16,161], [32.14,161.13], [33.13,161.02], [34.11,160.72], [35.1,161.26], [36.08,161.37], [37.06,161.49], [37.98,161.12], [39.03,163.95], [40.34,164.46], [41.33,164.47], [42.31,164.45]</t>
  </si>
  <si>
    <t>[0,160.37], [1.64,158.54], [1.97,157.91], [3.28,157.78], [3.87,155.97], [4.92,155.65], [5.9,155.51], [6.89,155.32], [7.87,154.88], [8.86,154.81], [9.84,155.07], [10.82,154.9], [11.81,154.98], [12.79,154.96], [13.78,154.9], [14.76,155.4], [15.74,154.66], [16.73,154.47], [17.71,155.12], [18.7,154.74], [19.68,155.26], [20.66,155.46], [21.65,155.8], [22.63,155.92], [23.22,155.86], [23.94,156.96], [24.6,157.62], [26.24,157.52], [27.88,157.49], [29.52,157.7], [31.16,158.01], [32.8,158.05]</t>
  </si>
  <si>
    <t>[0,168.79], [1.64,168.37], [3.28,167.79], [4.92,167.46], [6.56,166.57], [8.2,166.89], [9.84,166.98], [10.82,167.02], [11.22,166.56], [11.81,166.44], [12.79,166.14], [13.78,166.15], [14.76,165.98], [15.74,166.28], [16.73,165.95], [17.71,165.77], [18.7,165.72], [19.68,165.53], [20.66,165.47], [21.65,165.47], [22.63,165.54], [23.62,165.65], [24.6,166.19], [25.58,165.83], [26.01,165.91], [26.24,167.12], [27.22,167.03], [28.21,166.93], [29.19,167.3], [30.18,166.99], [31.16,167.02], [32.14,166.96], [33.13,167.01], [34.44,167.63], [35.1,168.82], [36.44,169.05]</t>
  </si>
  <si>
    <t>Riffle pool</t>
  </si>
  <si>
    <t>Step pool</t>
  </si>
  <si>
    <t>1973-75</t>
  </si>
  <si>
    <t>1982-84</t>
  </si>
  <si>
    <t>Little Granite (Bunte)</t>
  </si>
  <si>
    <t>Harris Creek in 1991</t>
  </si>
  <si>
    <t>Harris Creek in 1989</t>
  </si>
  <si>
    <t>1970-72</t>
  </si>
  <si>
    <t>1976-78</t>
  </si>
  <si>
    <t>1979-81</t>
  </si>
  <si>
    <t>1985-87</t>
  </si>
  <si>
    <t>1988-90</t>
  </si>
  <si>
    <t>1991-93</t>
  </si>
  <si>
    <t>1994-96</t>
  </si>
  <si>
    <t>1997-99</t>
  </si>
  <si>
    <t>2000-02</t>
  </si>
  <si>
    <t>Year Groups</t>
  </si>
  <si>
    <t>Count</t>
  </si>
  <si>
    <t>Surface and Subsurface Grain Size Distributions</t>
  </si>
  <si>
    <t>Bankfull Characteristics</t>
  </si>
  <si>
    <t>Rosgen Stream Stability</t>
  </si>
  <si>
    <t>Stream Classification</t>
  </si>
  <si>
    <t>M&amp;B Morphology</t>
  </si>
  <si>
    <t>Number of Samples</t>
  </si>
  <si>
    <t>D15</t>
  </si>
  <si>
    <t>D35</t>
  </si>
  <si>
    <t>D50</t>
  </si>
  <si>
    <t>D84</t>
  </si>
  <si>
    <t>D95</t>
  </si>
  <si>
    <t>Bar</t>
  </si>
  <si>
    <t>Water Division I</t>
  </si>
  <si>
    <t>3"</t>
  </si>
  <si>
    <t>6"</t>
  </si>
  <si>
    <t>Largest</t>
  </si>
  <si>
    <t>Digital Data #1</t>
  </si>
  <si>
    <t>Digital data #2</t>
  </si>
  <si>
    <t>G5</t>
  </si>
  <si>
    <t>G3</t>
  </si>
  <si>
    <t>A3</t>
  </si>
  <si>
    <t>A2</t>
  </si>
  <si>
    <t>E5</t>
  </si>
  <si>
    <t>G4</t>
  </si>
  <si>
    <t>C5</t>
  </si>
  <si>
    <t>Goose Creek #1</t>
  </si>
  <si>
    <t>Goose Creek #2</t>
  </si>
  <si>
    <t>Goose Creek #4</t>
  </si>
  <si>
    <t>Left Hand Creek</t>
  </si>
  <si>
    <t>Left Hand Creek - Gage</t>
  </si>
  <si>
    <t>Middle Boulder Creek</t>
  </si>
  <si>
    <t>South Fork Poudre River</t>
  </si>
  <si>
    <t>#NA</t>
  </si>
  <si>
    <t>Little Beaver Creek</t>
  </si>
  <si>
    <t>Upper Trap Creek</t>
  </si>
  <si>
    <t>Poudre Pass Creek</t>
  </si>
  <si>
    <t>Lower Trap Creek</t>
  </si>
  <si>
    <t>Bear Creek</t>
  </si>
  <si>
    <t>Middle Fork Boulder Creek</t>
  </si>
  <si>
    <t>B2</t>
  </si>
  <si>
    <t>Craig Creek</t>
  </si>
  <si>
    <t>B1</t>
  </si>
  <si>
    <t>Four Mile Creek</t>
  </si>
  <si>
    <t>Geneva Creek</t>
  </si>
  <si>
    <t>C1</t>
  </si>
  <si>
    <t>Jefferson Creek</t>
  </si>
  <si>
    <t>Mad Creek #1</t>
  </si>
  <si>
    <t>Mad Creek #2</t>
  </si>
  <si>
    <t>Mad Creek #3</t>
  </si>
  <si>
    <t>Mad Creek #4</t>
  </si>
  <si>
    <t>Pony Creek</t>
  </si>
  <si>
    <t>C3</t>
  </si>
  <si>
    <t>Rich Creek</t>
  </si>
  <si>
    <t>South Fork Beaver Creek</t>
  </si>
  <si>
    <t>Trail Creek</t>
  </si>
  <si>
    <t>Main St. Louis Creek</t>
  </si>
  <si>
    <t>Deadhorse Creek</t>
  </si>
  <si>
    <t>Upper St. Louis Creek</t>
  </si>
  <si>
    <t>Upper Vasquez Creek</t>
  </si>
  <si>
    <t>Lower Vasquez Creek</t>
  </si>
  <si>
    <t>Fraser River at Berthoud Pass</t>
  </si>
  <si>
    <t>Fraser River at USGS Station</t>
  </si>
  <si>
    <t>Upper Beaver Creek</t>
  </si>
  <si>
    <t>Lower Beaver Creek</t>
  </si>
  <si>
    <t>Crooked Creek</t>
  </si>
  <si>
    <t>Lexen Creek</t>
  </si>
  <si>
    <t>Johnson Creek</t>
  </si>
  <si>
    <t>Stuck Creek</t>
  </si>
  <si>
    <t>West Branch Laramie River</t>
  </si>
  <si>
    <t>McIntyre Creek</t>
  </si>
  <si>
    <t>Jimmy Creek</t>
  </si>
  <si>
    <t>Stub Creek</t>
  </si>
  <si>
    <t>Beaver Creek below Sky Ranch</t>
  </si>
  <si>
    <t>Beaver Creek above Commanche Reservoir</t>
  </si>
  <si>
    <t>Cabin Creek at Mouth</t>
  </si>
  <si>
    <t>Upper Cabin Creek</t>
  </si>
  <si>
    <t>Lower North Fork Cabin Creek</t>
  </si>
  <si>
    <t>Upper North Fork Cabin Creek</t>
  </si>
  <si>
    <t>Lower Left Fork of North Fork Cabin Creek</t>
  </si>
  <si>
    <t>Upper Left Fork of North Fork Cabin Creek</t>
  </si>
  <si>
    <t>Lower Elk Creek</t>
  </si>
  <si>
    <t>Upper Elk Creek</t>
  </si>
  <si>
    <t>Lower Hoop Creek</t>
  </si>
  <si>
    <t>Chicago Creek above Treatment Plant</t>
  </si>
  <si>
    <t>Chicago Creek above Reservoir</t>
  </si>
  <si>
    <t>South Chicago Creek</t>
  </si>
  <si>
    <t>Lower Lions Gulch</t>
  </si>
  <si>
    <t>Upper Lions Gulch</t>
  </si>
  <si>
    <t>Mad Creek 1</t>
  </si>
  <si>
    <t>Mad Creek 2</t>
  </si>
  <si>
    <t>Mad Creek 3</t>
  </si>
  <si>
    <t>Mad Creek 4</t>
  </si>
  <si>
    <t>North Fork Poudre at Livermore</t>
  </si>
  <si>
    <t>Upper Sheep Creek</t>
  </si>
  <si>
    <t>Lower Lone Pine Creek</t>
  </si>
  <si>
    <t>North Fork Poudre River at Trail Creek</t>
  </si>
  <si>
    <t>Lower Sheep Creek</t>
  </si>
  <si>
    <t>North Fork Poudre River at Campground</t>
  </si>
  <si>
    <t>Upper Elkhorn Creek</t>
  </si>
  <si>
    <t>Lower Elkhorn Creek</t>
  </si>
  <si>
    <t>Upper Lone Pine Creek</t>
  </si>
  <si>
    <t>Arapahoe Creek</t>
  </si>
  <si>
    <t>Lower Stillwater Creek</t>
  </si>
  <si>
    <t>Upper Stillwater Creek</t>
  </si>
  <si>
    <t>Colorado River below Lake Granby</t>
  </si>
  <si>
    <t>North Fork of Colorado River below Shadow Mtn. Reservoir</t>
  </si>
  <si>
    <t>Colorado River below gravel pit</t>
  </si>
  <si>
    <t>Colorado River above gravel pits</t>
  </si>
  <si>
    <t>Roaring Fork Creek</t>
  </si>
  <si>
    <t>Twin Creek</t>
  </si>
  <si>
    <t>Columbine Creek</t>
  </si>
  <si>
    <t>Grand Lake East Inlet</t>
  </si>
  <si>
    <t>Grand Lake North Inlet</t>
  </si>
  <si>
    <t>Little Columbine Creek</t>
  </si>
  <si>
    <t>North Fork Colorado River</t>
  </si>
  <si>
    <t>Fourmile Creek</t>
  </si>
  <si>
    <t>Bear Creek near Parry Park</t>
  </si>
  <si>
    <t>Trout Creek</t>
  </si>
  <si>
    <t>Sheep Creek @ Guard Station</t>
  </si>
  <si>
    <t>13+</t>
  </si>
  <si>
    <t>Goodwin Creek</t>
  </si>
  <si>
    <t>D16</t>
  </si>
  <si>
    <t>D90</t>
  </si>
  <si>
    <t>Nahal Yatir</t>
  </si>
  <si>
    <t>Jacoby Creek</t>
  </si>
  <si>
    <t>Elbow River</t>
  </si>
  <si>
    <t>Snake River</t>
  </si>
  <si>
    <t>Clearwater River</t>
  </si>
  <si>
    <t>MIddle Boulder Creek at Nederland</t>
  </si>
  <si>
    <t>0 - 0.5</t>
  </si>
  <si>
    <t>0.5 - 1.0</t>
  </si>
  <si>
    <t>1.0 - 1.5</t>
  </si>
  <si>
    <t>1.5 - 2.0</t>
  </si>
  <si>
    <t>&gt; 2.0</t>
  </si>
  <si>
    <t>% of Bankfull</t>
  </si>
  <si>
    <t>&lt; 1</t>
  </si>
  <si>
    <t>2.0 - 2.5</t>
  </si>
  <si>
    <t>2.5 - 3.0</t>
  </si>
  <si>
    <t>3.0 - 3.5</t>
  </si>
  <si>
    <t>3.5 - 4.0</t>
  </si>
  <si>
    <t>4.0 - 4.5</t>
  </si>
  <si>
    <t>4.5 - 5.0</t>
  </si>
  <si>
    <t>5.0 - 6.0</t>
  </si>
  <si>
    <t>6.0 - 7.0</t>
  </si>
  <si>
    <t>7.0 - 8.0</t>
  </si>
  <si>
    <t>8.0 - 9.0</t>
  </si>
  <si>
    <t>9.0 - 10.0</t>
  </si>
  <si>
    <t>&gt; 10</t>
  </si>
  <si>
    <t xml:space="preserve">Rosgen, D.  04 Feb 2011.  Personal Communication.  </t>
  </si>
  <si>
    <t>MS</t>
  </si>
  <si>
    <t>Alluvial, straightened meanders</t>
  </si>
  <si>
    <t>Alluvial, sinuous</t>
  </si>
  <si>
    <t>Helley-Smith</t>
  </si>
  <si>
    <t>Alberta, Canada</t>
  </si>
  <si>
    <t xml:space="preserve">Accessed on 22 Nov 2011:  ftp://earth.agu.org/apend/wr/2009wr008007/2009wr008007-ds03.txt.  </t>
  </si>
  <si>
    <t>Negev Desert, Israel</t>
  </si>
  <si>
    <t>Fall Creek</t>
  </si>
  <si>
    <t>Bed Load   (64 mm)</t>
  </si>
  <si>
    <t>D15 (mm)</t>
  </si>
  <si>
    <t>D95 (mm)</t>
  </si>
  <si>
    <t>D100 (mm)</t>
  </si>
  <si>
    <t>Poor</t>
  </si>
  <si>
    <t>West Fork San Juan at Bridge</t>
  </si>
  <si>
    <t>6" H.S.</t>
  </si>
  <si>
    <t>Bar Sample</t>
  </si>
  <si>
    <t>West Fork San Juan Lower</t>
  </si>
  <si>
    <t>Bed Load (2 mm)</t>
  </si>
  <si>
    <t>Bed Load (4 mm)</t>
  </si>
  <si>
    <t>Bed Load (8 mm)</t>
  </si>
  <si>
    <t>Bed Load (16 mm)</t>
  </si>
  <si>
    <t>Bed Load (32 mm)</t>
  </si>
  <si>
    <t>Personal Communication, David Rosgen, Jan 13, 2012</t>
  </si>
  <si>
    <t>Wolf Creek at Bridge</t>
  </si>
  <si>
    <t>Laronne, J.B., I. Reid, Y. Yitshak, L.E. Frostick. 1992. Recording bedload discharge in a semiarid channel, Nahal Yatir, Israel. Erosion and Sediment Transport Monitoring Programmes in River Basins (Proceedings of the Oslo Symposium, Aug. 1992). IAHS Publ. no. 210.</t>
  </si>
  <si>
    <t>Reid, I., J.B. Laronne. 1995. Bed load sediment transport in an ephemeral stream and a comparison with seasonal and perennial counterparts. Water Resources Research, Vol. 31, No. 3, 773-781.</t>
  </si>
  <si>
    <t>Almedeij. 2001. Bedload transport in gravel-bed streams under a wide range of shields stress. Dissertation.</t>
  </si>
  <si>
    <t>Basket Samplers &amp; VUV Sampler</t>
  </si>
  <si>
    <t>Tanana River at Fairbanks</t>
  </si>
  <si>
    <t>Product</t>
  </si>
  <si>
    <t>Mueller et al. 2005. Variation in the reference Shields stress for bed load transport in gravel-bed streams and rivers. Water Resources Research, Vol 41, W04006, doi: 10.1029/2004WR003692.</t>
  </si>
  <si>
    <t>* Weighted average of 3 subsurface cores.</t>
  </si>
  <si>
    <t>Surface (256 mm)</t>
  </si>
  <si>
    <t>East Fork Savory Creek near Encampment</t>
  </si>
  <si>
    <t>Site 2</t>
  </si>
  <si>
    <t>Cross Section 4</t>
  </si>
  <si>
    <t>Cross Section 1</t>
  </si>
  <si>
    <t>Lat./Long</t>
  </si>
  <si>
    <r>
      <t>N42</t>
    </r>
    <r>
      <rPr>
        <b/>
        <sz val="11"/>
        <color theme="1"/>
        <rFont val="Calibri"/>
        <family val="2"/>
      </rPr>
      <t>°46'11" / W122°</t>
    </r>
    <r>
      <rPr>
        <b/>
        <sz val="7.7"/>
        <color theme="1"/>
        <rFont val="Calibri"/>
        <family val="2"/>
      </rPr>
      <t>03'32"</t>
    </r>
  </si>
  <si>
    <r>
      <t>N42</t>
    </r>
    <r>
      <rPr>
        <b/>
        <sz val="11"/>
        <color theme="1"/>
        <rFont val="Calibri"/>
        <family val="2"/>
      </rPr>
      <t>°</t>
    </r>
    <r>
      <rPr>
        <b/>
        <sz val="11"/>
        <color theme="1"/>
        <rFont val="Arial"/>
        <family val="2"/>
      </rPr>
      <t>35'55" / W122</t>
    </r>
    <r>
      <rPr>
        <b/>
        <sz val="11"/>
        <color theme="1"/>
        <rFont val="Calibri"/>
        <family val="2"/>
      </rPr>
      <t>°</t>
    </r>
    <r>
      <rPr>
        <b/>
        <sz val="11"/>
        <color theme="1"/>
        <rFont val="Arial"/>
        <family val="2"/>
      </rPr>
      <t>05'40"</t>
    </r>
  </si>
  <si>
    <r>
      <t>N42</t>
    </r>
    <r>
      <rPr>
        <b/>
        <sz val="11"/>
        <color theme="1"/>
        <rFont val="Calibri"/>
        <family val="2"/>
      </rPr>
      <t>°</t>
    </r>
    <r>
      <rPr>
        <b/>
        <sz val="11"/>
        <color theme="1"/>
        <rFont val="Arial"/>
        <family val="2"/>
      </rPr>
      <t>30'54" / W121</t>
    </r>
    <r>
      <rPr>
        <b/>
        <sz val="11"/>
        <color theme="1"/>
        <rFont val="Calibri"/>
        <family val="2"/>
      </rPr>
      <t>°</t>
    </r>
    <r>
      <rPr>
        <b/>
        <sz val="11"/>
        <color theme="1"/>
        <rFont val="Arial"/>
        <family val="2"/>
      </rPr>
      <t>07'11"</t>
    </r>
  </si>
  <si>
    <r>
      <t>N42</t>
    </r>
    <r>
      <rPr>
        <b/>
        <sz val="11"/>
        <color theme="1"/>
        <rFont val="Calibri"/>
        <family val="2"/>
      </rPr>
      <t>°</t>
    </r>
    <r>
      <rPr>
        <b/>
        <sz val="11"/>
        <color theme="1"/>
        <rFont val="Arial"/>
        <family val="2"/>
      </rPr>
      <t>35'06" / W120</t>
    </r>
    <r>
      <rPr>
        <b/>
        <sz val="11"/>
        <color theme="1"/>
        <rFont val="Calibri"/>
        <family val="2"/>
      </rPr>
      <t>°</t>
    </r>
    <r>
      <rPr>
        <b/>
        <sz val="11"/>
        <color theme="1"/>
        <rFont val="Arial"/>
        <family val="2"/>
      </rPr>
      <t>52'52"</t>
    </r>
  </si>
  <si>
    <r>
      <t>N42</t>
    </r>
    <r>
      <rPr>
        <b/>
        <sz val="11"/>
        <color theme="1"/>
        <rFont val="Calibri"/>
        <family val="2"/>
      </rPr>
      <t>°</t>
    </r>
    <r>
      <rPr>
        <b/>
        <sz val="11"/>
        <color theme="1"/>
        <rFont val="Arial"/>
        <family val="2"/>
      </rPr>
      <t>41'09" / W120</t>
    </r>
    <r>
      <rPr>
        <b/>
        <sz val="11"/>
        <color theme="1"/>
        <rFont val="Calibri"/>
        <family val="2"/>
      </rPr>
      <t>°</t>
    </r>
    <r>
      <rPr>
        <b/>
        <sz val="11"/>
        <color theme="1"/>
        <rFont val="Arial"/>
        <family val="2"/>
      </rPr>
      <t>55'33"</t>
    </r>
  </si>
  <si>
    <r>
      <t>N42</t>
    </r>
    <r>
      <rPr>
        <b/>
        <sz val="11"/>
        <color theme="1"/>
        <rFont val="Calibri"/>
        <family val="2"/>
      </rPr>
      <t>°</t>
    </r>
    <r>
      <rPr>
        <b/>
        <sz val="11"/>
        <color theme="1"/>
        <rFont val="Arial"/>
        <family val="2"/>
      </rPr>
      <t>23'25" / W120</t>
    </r>
    <r>
      <rPr>
        <b/>
        <sz val="11"/>
        <color theme="1"/>
        <rFont val="Calibri"/>
        <family val="2"/>
      </rPr>
      <t>°</t>
    </r>
    <r>
      <rPr>
        <b/>
        <sz val="11"/>
        <color theme="1"/>
        <rFont val="Arial"/>
        <family val="2"/>
      </rPr>
      <t>54'43"</t>
    </r>
  </si>
  <si>
    <r>
      <t>N42</t>
    </r>
    <r>
      <rPr>
        <b/>
        <sz val="11"/>
        <color theme="1"/>
        <rFont val="Calibri"/>
        <family val="2"/>
      </rPr>
      <t>°</t>
    </r>
    <r>
      <rPr>
        <b/>
        <sz val="11"/>
        <color theme="1"/>
        <rFont val="Arial"/>
        <family val="2"/>
      </rPr>
      <t>46'43" / W121</t>
    </r>
    <r>
      <rPr>
        <b/>
        <sz val="11"/>
        <color theme="1"/>
        <rFont val="Calibri"/>
        <family val="2"/>
      </rPr>
      <t>°</t>
    </r>
    <r>
      <rPr>
        <b/>
        <sz val="11"/>
        <color theme="1"/>
        <rFont val="Arial"/>
        <family val="2"/>
      </rPr>
      <t>03'04"</t>
    </r>
  </si>
  <si>
    <r>
      <t>N42</t>
    </r>
    <r>
      <rPr>
        <b/>
        <sz val="11"/>
        <color theme="1"/>
        <rFont val="Calibri"/>
        <family val="2"/>
      </rPr>
      <t>°</t>
    </r>
    <r>
      <rPr>
        <b/>
        <sz val="11"/>
        <color theme="1"/>
        <rFont val="Arial"/>
        <family val="2"/>
      </rPr>
      <t>15'40" / W122</t>
    </r>
    <r>
      <rPr>
        <b/>
        <sz val="11"/>
        <color theme="1"/>
        <rFont val="Calibri"/>
        <family val="2"/>
      </rPr>
      <t>°</t>
    </r>
    <r>
      <rPr>
        <b/>
        <sz val="11"/>
        <color theme="1"/>
        <rFont val="Arial"/>
        <family val="2"/>
      </rPr>
      <t>09'16"</t>
    </r>
  </si>
  <si>
    <t xml:space="preserve">Recking A. 2010. A comparison between flume and field bed load transport data and consequences for surface-based bed load tranposrt prediction. Water Res. Research. Vol.46, W03518, doi:10.1029/2009WR008007.  Accompanying database accessed on 22 Nov 2011:  ftp://earth.agu.org/apend/wr/2009wr008007/2009wr008007-ds03.txt.  </t>
  </si>
  <si>
    <t>B3c</t>
  </si>
  <si>
    <t>B4a</t>
  </si>
  <si>
    <t>B4c</t>
  </si>
  <si>
    <t>A4</t>
  </si>
  <si>
    <t>B3a</t>
  </si>
  <si>
    <t>Whiting, P.J., J.F. Stamm, D.B. Moog, R.L. Orndorff. 1999. Sediment-transporting flows in headwater streams. GSA Bulletin. 111-3. 450-466.</t>
  </si>
  <si>
    <t>4th</t>
  </si>
  <si>
    <r>
      <t>115</t>
    </r>
    <r>
      <rPr>
        <b/>
        <sz val="11"/>
        <color theme="1"/>
        <rFont val="Calibri"/>
        <family val="2"/>
      </rPr>
      <t>°</t>
    </r>
    <r>
      <rPr>
        <b/>
        <sz val="11"/>
        <color theme="1"/>
        <rFont val="Arial"/>
        <family val="2"/>
      </rPr>
      <t>37'8.907"W 46</t>
    </r>
    <r>
      <rPr>
        <b/>
        <sz val="11"/>
        <color theme="1"/>
        <rFont val="Calibri"/>
        <family val="2"/>
      </rPr>
      <t>°</t>
    </r>
    <r>
      <rPr>
        <b/>
        <sz val="11"/>
        <color theme="1"/>
        <rFont val="Arial"/>
        <family val="2"/>
      </rPr>
      <t>50'25.964"N</t>
    </r>
  </si>
  <si>
    <r>
      <t>114</t>
    </r>
    <r>
      <rPr>
        <b/>
        <sz val="11"/>
        <color theme="1"/>
        <rFont val="Calibri"/>
        <family val="2"/>
      </rPr>
      <t>°</t>
    </r>
    <r>
      <rPr>
        <b/>
        <sz val="11"/>
        <color theme="1"/>
        <rFont val="Arial"/>
        <family val="2"/>
      </rPr>
      <t>59'57.351"W 44</t>
    </r>
    <r>
      <rPr>
        <b/>
        <sz val="11"/>
        <color theme="1"/>
        <rFont val="Calibri"/>
        <family val="2"/>
      </rPr>
      <t>°</t>
    </r>
    <r>
      <rPr>
        <b/>
        <sz val="11"/>
        <color theme="1"/>
        <rFont val="Arial"/>
        <family val="2"/>
      </rPr>
      <t>43'26.762"N</t>
    </r>
  </si>
  <si>
    <r>
      <t>115°19'37.992"W 45</t>
    </r>
    <r>
      <rPr>
        <b/>
        <sz val="11"/>
        <color theme="1"/>
        <rFont val="Calibri"/>
        <family val="2"/>
      </rPr>
      <t>°</t>
    </r>
    <r>
      <rPr>
        <b/>
        <sz val="11"/>
        <color theme="1"/>
        <rFont val="Arial"/>
        <family val="2"/>
      </rPr>
      <t>40'18.132"N</t>
    </r>
  </si>
  <si>
    <t>115°42'20.551"W 44°49'17.785"N</t>
  </si>
  <si>
    <t>115°37'18.782"W 44°5'4.767"N</t>
  </si>
  <si>
    <t>115°44'54.172"W 44°54'13.954"N</t>
  </si>
  <si>
    <t>116°4'0.595"W 45°37'6.365"N</t>
  </si>
  <si>
    <t>115°53'19.104"W 45°49'19.113"N</t>
  </si>
  <si>
    <r>
      <t>115</t>
    </r>
    <r>
      <rPr>
        <b/>
        <sz val="11"/>
        <color theme="1"/>
        <rFont val="Calibri"/>
        <family val="2"/>
      </rPr>
      <t>°30'49.176"W 46°5'9.877"N</t>
    </r>
  </si>
  <si>
    <t>114°33'5.67"W 44°17'27.288"N</t>
  </si>
  <si>
    <t>115°43'30.754"W 44°59'13.226"N</t>
  </si>
  <si>
    <t>115°20'26.747"W 45°42'33.597"N</t>
  </si>
  <si>
    <t>115°44'53.077"W 46°18'50.423"N</t>
  </si>
  <si>
    <t>114°26'18.189"W 45°18'13.437"N</t>
  </si>
  <si>
    <t>115°41'44.196"W 44°43'15.484"N</t>
  </si>
  <si>
    <r>
      <t>m</t>
    </r>
    <r>
      <rPr>
        <b/>
        <vertAlign val="superscript"/>
        <sz val="11"/>
        <color theme="1"/>
        <rFont val="Arial"/>
        <family val="2"/>
      </rPr>
      <t>3</t>
    </r>
    <r>
      <rPr>
        <b/>
        <sz val="11"/>
        <color theme="1"/>
        <rFont val="Arial"/>
        <family val="2"/>
      </rPr>
      <t>/s</t>
    </r>
  </si>
  <si>
    <t>Stanley</t>
  </si>
  <si>
    <t>Hobble Creek</t>
  </si>
  <si>
    <t>Discharge</t>
  </si>
  <si>
    <t>Method</t>
  </si>
  <si>
    <r>
      <t>114</t>
    </r>
    <r>
      <rPr>
        <b/>
        <sz val="11"/>
        <color theme="1"/>
        <rFont val="Calibri"/>
        <family val="2"/>
      </rPr>
      <t>°</t>
    </r>
    <r>
      <rPr>
        <b/>
        <sz val="11"/>
        <color theme="1"/>
        <rFont val="Arial"/>
        <family val="2"/>
      </rPr>
      <t>55'51.061"W \ 44</t>
    </r>
    <r>
      <rPr>
        <b/>
        <sz val="11"/>
        <color theme="1"/>
        <rFont val="Calibri"/>
        <family val="2"/>
      </rPr>
      <t>°</t>
    </r>
    <r>
      <rPr>
        <b/>
        <sz val="11"/>
        <color theme="1"/>
        <rFont val="Arial"/>
        <family val="2"/>
      </rPr>
      <t>13'20.414"N</t>
    </r>
  </si>
  <si>
    <t>Dave Rosgen says it is a C3</t>
  </si>
  <si>
    <t>Surface (512 mm)</t>
  </si>
  <si>
    <t>Surface (1024 mm)</t>
  </si>
  <si>
    <t>Subsurface (256 mm)</t>
  </si>
  <si>
    <t>Channel and Hydraulic Characteristics</t>
  </si>
  <si>
    <t xml:space="preserve">Ryan-Burkett, S.  22 Nov 2011.  Personal Communication.  </t>
  </si>
  <si>
    <t>Ryan, S. E., L. S. Porth, and C. Troendle (2002), Defining phases of bedload transport using piecewise regression, Earth Surface Processes and Landforms, 27(9), 971-990.</t>
  </si>
  <si>
    <t xml:space="preserve">Ryan, S. E., L. S. Porth, and C. Troendle (2005), Coarse sediment transport in mountain streams in Colorado and Wyoming, USA, Earth Surface Processes and Landforms, 30(3), 269-288.
</t>
  </si>
  <si>
    <t>Ryan, S. E. (1998), Sampling bedload transport in coarse-grained mountain channels using portable samplers.</t>
  </si>
  <si>
    <t xml:space="preserve">Ryan-Burkett, S. 22 Nov 2011, Personal Communication.  </t>
  </si>
  <si>
    <t>Habersack, H. (2008), Gravel bed rivers VI: from process understanding to river restoration, Elsevier Science Ltd.</t>
  </si>
  <si>
    <t>Hassan, M.  19 Feb 2011.  Personal Communication.</t>
  </si>
  <si>
    <t>Ryan-Burkett, S. 22 Nov 2011, Personal Communication.</t>
  </si>
  <si>
    <t>Ryan, S. E., L.S. Porth, C.A. Troendle. 2005. Coarse sediment transport in mountain streams in Colorado and Wyoming, USA.</t>
  </si>
  <si>
    <t xml:space="preserve">Ryan-Burkett, S.  22 Nov 2011, Personal Communication.  </t>
  </si>
  <si>
    <t>Ryan, S. E., and W. W. Emmett (2002), The nature of flow and sediment movement in Little Granite Creek near Bondurant, WyomingRep.</t>
  </si>
  <si>
    <t>Church, M., and M. Hassan. 2002. Mobility of bed material in Harris Creek, Water Resour. Res., 1237.</t>
  </si>
  <si>
    <r>
      <t xml:space="preserve">Hassan, M. A., and M. Church (2001), Sensitivity of bed load transport in Harris Creek: Seasonal and spatial variation over a cobble-gravel bar, </t>
    </r>
    <r>
      <rPr>
        <i/>
        <sz val="12"/>
        <color theme="1"/>
        <rFont val="Arial"/>
        <family val="2"/>
      </rPr>
      <t>Water Resources Research</t>
    </r>
    <r>
      <rPr>
        <sz val="12"/>
        <color theme="1"/>
        <rFont val="Arial"/>
        <family val="2"/>
      </rPr>
      <t xml:space="preserve">, </t>
    </r>
    <r>
      <rPr>
        <i/>
        <sz val="12"/>
        <color theme="1"/>
        <rFont val="Arial"/>
        <family val="2"/>
      </rPr>
      <t>37</t>
    </r>
    <r>
      <rPr>
        <sz val="12"/>
        <color theme="1"/>
        <rFont val="Arial"/>
        <family val="2"/>
      </rPr>
      <t>(3), 813-825.</t>
    </r>
  </si>
  <si>
    <r>
      <t xml:space="preserve">Barry, J. J., J. M. Buffington, and J. G. King (2004), A general power equation for predicting bed load transport rates in gravel bed rivers, </t>
    </r>
    <r>
      <rPr>
        <i/>
        <sz val="12"/>
        <color theme="1"/>
        <rFont val="Arial"/>
        <family val="2"/>
      </rPr>
      <t>Water Resources Research</t>
    </r>
    <r>
      <rPr>
        <sz val="12"/>
        <color theme="1"/>
        <rFont val="Arial"/>
        <family val="2"/>
      </rPr>
      <t xml:space="preserve">, </t>
    </r>
    <r>
      <rPr>
        <i/>
        <sz val="12"/>
        <color theme="1"/>
        <rFont val="Arial"/>
        <family val="2"/>
      </rPr>
      <t>40</t>
    </r>
    <r>
      <rPr>
        <sz val="12"/>
        <color theme="1"/>
        <rFont val="Arial"/>
        <family val="2"/>
      </rPr>
      <t>(10), W10401.</t>
    </r>
  </si>
  <si>
    <r>
      <t xml:space="preserve">King, J. G., and R. M. R. Station (2004), </t>
    </r>
    <r>
      <rPr>
        <i/>
        <sz val="12"/>
        <color theme="1"/>
        <rFont val="Arial"/>
        <family val="2"/>
      </rPr>
      <t>Sediment transport data and related information for selected coarse-bed streams and rivers in Idaho</t>
    </r>
    <r>
      <rPr>
        <sz val="12"/>
        <color theme="1"/>
        <rFont val="Arial"/>
        <family val="2"/>
      </rPr>
      <t>, US Department of Agriculture, Forest Service, Rocky Mountain Research Station.</t>
    </r>
  </si>
  <si>
    <r>
      <t xml:space="preserve">Mueller, E. R., J. Pitlick, and J. M. Nelson (2005), Variation in the reference Shields stress for bed load transport in gravel-bed streams and rivers, </t>
    </r>
    <r>
      <rPr>
        <i/>
        <sz val="12"/>
        <color theme="1"/>
        <rFont val="Arial"/>
        <family val="2"/>
      </rPr>
      <t>Water Resources Research</t>
    </r>
    <r>
      <rPr>
        <sz val="12"/>
        <color theme="1"/>
        <rFont val="Arial"/>
        <family val="2"/>
      </rPr>
      <t xml:space="preserve">, </t>
    </r>
    <r>
      <rPr>
        <i/>
        <sz val="12"/>
        <color theme="1"/>
        <rFont val="Arial"/>
        <family val="2"/>
      </rPr>
      <t>41</t>
    </r>
    <r>
      <rPr>
        <sz val="12"/>
        <color theme="1"/>
        <rFont val="Arial"/>
        <family val="2"/>
      </rPr>
      <t>(4), 1-10.</t>
    </r>
  </si>
  <si>
    <t>Lisle, T. E. (1995), Particle Size Variations Between Bed Load and Bed Material in Natural Gravel Bed Channels, Water Resour. Res., 31(4), 1107-1118.</t>
  </si>
  <si>
    <t>McNamara, M. L., and T. Sullivan (2009), Forest Service Channel Maintenance Flows in the Klamath Basin, edited.</t>
  </si>
  <si>
    <t xml:space="preserve">Smith, R. D. (1990), Streamflow and bedload transport in an obstruction-affected, gravel-bed stream, Ph.D. thesis, Oregon State University, Corvalis, OR.
Smith, R. D. (1990), Streamflow and bedload transport in an obstruction-affected, gravel-bed stream, Ph.D. thesis, Oregon State University, Corvalis, OR.
</t>
  </si>
  <si>
    <t xml:space="preserve">Accessed on 22 Nov 2011:  ftp://earth.agu.org/apend/wr/2009wr008007/2009wr008007-ds03.txt. </t>
  </si>
  <si>
    <t>Kuhnle, R. A. (1992), Fractional transport rates of bedload on Goodwin Creek, in Dynamics of Gravel-bed Rivers, edited by P. Billi, et al., pp. 141-155, Wiley and Sons, Chichester.</t>
  </si>
  <si>
    <t>Almedeij, J. H. (2002), Bedload transport in gravel-bed streams under a wide range of Shields stresses, Ph.D. thesis, Virginia Polytechnic Institute and State University.</t>
  </si>
  <si>
    <r>
      <t xml:space="preserve">Hollingshead, A. B. (1971), Sediment transport measurements in gravel river, </t>
    </r>
    <r>
      <rPr>
        <i/>
        <sz val="12"/>
        <color theme="1"/>
        <rFont val="Arial"/>
        <family val="2"/>
      </rPr>
      <t>Journal of the Hydraulics Division</t>
    </r>
    <r>
      <rPr>
        <sz val="12"/>
        <color theme="1"/>
        <rFont val="Arial"/>
        <family val="2"/>
      </rPr>
      <t xml:space="preserve">, </t>
    </r>
    <r>
      <rPr>
        <i/>
        <sz val="12"/>
        <color theme="1"/>
        <rFont val="Arial"/>
        <family val="2"/>
      </rPr>
      <t>97</t>
    </r>
    <r>
      <rPr>
        <sz val="12"/>
        <color theme="1"/>
        <rFont val="Arial"/>
        <family val="2"/>
      </rPr>
      <t>(11), 1817-1834.</t>
    </r>
  </si>
  <si>
    <r>
      <t xml:space="preserve">Leopold, L. B., and W. W. Emmett (1977), 1976 bedload measurements, East Fork River, Wyoming, </t>
    </r>
    <r>
      <rPr>
        <i/>
        <sz val="12"/>
        <color theme="1"/>
        <rFont val="Arial"/>
        <family val="2"/>
      </rPr>
      <t>Proceedings of the National Academy of Sciences</t>
    </r>
    <r>
      <rPr>
        <sz val="12"/>
        <color theme="1"/>
        <rFont val="Arial"/>
        <family val="2"/>
      </rPr>
      <t xml:space="preserve">, </t>
    </r>
    <r>
      <rPr>
        <i/>
        <sz val="12"/>
        <color theme="1"/>
        <rFont val="Arial"/>
        <family val="2"/>
      </rPr>
      <t>74</t>
    </r>
    <r>
      <rPr>
        <sz val="12"/>
        <color theme="1"/>
        <rFont val="Arial"/>
        <family val="2"/>
      </rPr>
      <t>(7), 2644.</t>
    </r>
  </si>
  <si>
    <r>
      <t xml:space="preserve">Barry, J. J., J. M. Buffington, and J. G. King (2004), A general power equation for predicting bed load transport rates in gravel bed rivers, </t>
    </r>
    <r>
      <rPr>
        <b/>
        <i/>
        <sz val="12"/>
        <color theme="1"/>
        <rFont val="Arial"/>
        <family val="2"/>
      </rPr>
      <t>Water Resources Research</t>
    </r>
    <r>
      <rPr>
        <b/>
        <sz val="12"/>
        <color theme="1"/>
        <rFont val="Arial"/>
        <family val="2"/>
      </rPr>
      <t xml:space="preserve">, </t>
    </r>
    <r>
      <rPr>
        <b/>
        <i/>
        <sz val="12"/>
        <color theme="1"/>
        <rFont val="Arial"/>
        <family val="2"/>
      </rPr>
      <t>40</t>
    </r>
    <r>
      <rPr>
        <b/>
        <sz val="12"/>
        <color theme="1"/>
        <rFont val="Arial"/>
        <family val="2"/>
      </rPr>
      <t>(10), W10401.</t>
    </r>
  </si>
  <si>
    <t xml:space="preserve">Completeness </t>
  </si>
  <si>
    <t># of Observations</t>
  </si>
  <si>
    <t># of References</t>
  </si>
  <si>
    <t>Variable</t>
  </si>
  <si>
    <t>A</t>
  </si>
  <si>
    <t>B</t>
  </si>
  <si>
    <t>C</t>
  </si>
  <si>
    <t>Completeness</t>
  </si>
  <si>
    <t>Score</t>
  </si>
  <si>
    <t>Value</t>
  </si>
  <si>
    <t>&gt;.5mm</t>
  </si>
  <si>
    <t>Bed Load (1 mm)</t>
  </si>
  <si>
    <t>Bed Load (0.5 mm)</t>
  </si>
  <si>
    <t>Bed Load (0.25 mm)</t>
  </si>
  <si>
    <t>0.5 mm</t>
  </si>
  <si>
    <t>1 mm</t>
  </si>
  <si>
    <t>&gt;0.5 mm</t>
  </si>
  <si>
    <t>5.5.%</t>
  </si>
  <si>
    <t>Bed Load (&lt;0.25 mm)</t>
  </si>
  <si>
    <t>&lt;1mm</t>
  </si>
  <si>
    <t>Pacific Creek</t>
  </si>
  <si>
    <t>Toutle River Sampler</t>
  </si>
  <si>
    <t>Buffalo Fork</t>
  </si>
  <si>
    <t>surface</t>
  </si>
  <si>
    <t>subsurface</t>
  </si>
  <si>
    <t>Sieve Size [mm]</t>
  </si>
  <si>
    <t>Wt.</t>
  </si>
  <si>
    <t>Cum. Wt.</t>
  </si>
  <si>
    <t>Percent Passing</t>
  </si>
  <si>
    <t>Surface (128 mm)</t>
  </si>
  <si>
    <t>Surface (64 mm)</t>
  </si>
  <si>
    <t>Surface (32 mm)</t>
  </si>
  <si>
    <t>Surface (16 mm)</t>
  </si>
  <si>
    <t>Subsurface (0.5 mm)</t>
  </si>
  <si>
    <t>Subsurface (0.25 mm)</t>
  </si>
  <si>
    <t>Subsurface (1 mm)</t>
  </si>
  <si>
    <t>Surface (1 mm)</t>
  </si>
  <si>
    <t>Surface (0.5 mm)</t>
  </si>
  <si>
    <t>Surface (0.25 mm)</t>
  </si>
  <si>
    <t>Snake River (Above Jackson Lake Reservoir)</t>
  </si>
  <si>
    <t>Multibeam</t>
  </si>
  <si>
    <t>Delft Nile Sampler</t>
  </si>
  <si>
    <t>Dune Tracking</t>
  </si>
  <si>
    <t>Turkey Brook</t>
  </si>
  <si>
    <t>London, England</t>
  </si>
  <si>
    <t>Pit Sampler</t>
  </si>
  <si>
    <t>Discharge and Transport Data</t>
  </si>
  <si>
    <t>Sampling: Total Time/Sample</t>
  </si>
  <si>
    <t>Date Collected</t>
  </si>
  <si>
    <t>20 - 30 min</t>
  </si>
  <si>
    <t>1993-97</t>
  </si>
  <si>
    <t>1989-93</t>
  </si>
  <si>
    <t>1992-97</t>
  </si>
  <si>
    <t>1988-93</t>
  </si>
  <si>
    <t>1989-91</t>
  </si>
  <si>
    <t>89-4KF</t>
  </si>
  <si>
    <t>89-10KF</t>
  </si>
  <si>
    <t>89-16KF</t>
  </si>
  <si>
    <t>89-22KF</t>
  </si>
  <si>
    <t>89-28KF</t>
  </si>
  <si>
    <t>89-34KF</t>
  </si>
  <si>
    <t>89-40KF</t>
  </si>
  <si>
    <t>89-46KF</t>
  </si>
  <si>
    <t>89-52KF</t>
  </si>
  <si>
    <t>89-58KF</t>
  </si>
  <si>
    <t>89-64KF</t>
  </si>
  <si>
    <t>89-70KF</t>
  </si>
  <si>
    <t>89-76KF</t>
  </si>
  <si>
    <t>89-82KF</t>
  </si>
  <si>
    <t>89-88KF</t>
  </si>
  <si>
    <t>89-94KF</t>
  </si>
  <si>
    <t>89-100KF</t>
  </si>
  <si>
    <t>89-112KF</t>
  </si>
  <si>
    <t>89-118KF</t>
  </si>
  <si>
    <t>89-124KF</t>
  </si>
  <si>
    <t>89-130KF</t>
  </si>
  <si>
    <t>89JW5</t>
  </si>
  <si>
    <t>89JW7</t>
  </si>
  <si>
    <t>89JW10</t>
  </si>
  <si>
    <t>89JW29</t>
  </si>
  <si>
    <t>89JW31</t>
  </si>
  <si>
    <t>89JW35</t>
  </si>
  <si>
    <t>89JW36</t>
  </si>
  <si>
    <t>89JW39</t>
  </si>
  <si>
    <t>89JW13</t>
  </si>
  <si>
    <t>89JW17</t>
  </si>
  <si>
    <t>89JW21</t>
  </si>
  <si>
    <t>89JW23</t>
  </si>
  <si>
    <t>89JW27</t>
  </si>
  <si>
    <t>89JW28</t>
  </si>
  <si>
    <t>89JW41</t>
  </si>
  <si>
    <t>89JW43</t>
  </si>
  <si>
    <t>89JW45</t>
  </si>
  <si>
    <t>89JW46</t>
  </si>
  <si>
    <t>89JW50</t>
  </si>
  <si>
    <t>89JW58</t>
  </si>
  <si>
    <t>89JW59</t>
  </si>
  <si>
    <t>89JW62</t>
  </si>
  <si>
    <t>89JW67</t>
  </si>
  <si>
    <t>89JW69</t>
  </si>
  <si>
    <t>89JW71</t>
  </si>
  <si>
    <t>89JW73</t>
  </si>
  <si>
    <t>89JW74</t>
  </si>
  <si>
    <t>89JW75</t>
  </si>
  <si>
    <t>89JW76</t>
  </si>
  <si>
    <t>89JW77</t>
  </si>
  <si>
    <t>89JW78</t>
  </si>
  <si>
    <t>89JW79</t>
  </si>
  <si>
    <t>89JW80</t>
  </si>
  <si>
    <t>91-sample1</t>
  </si>
  <si>
    <t>91-sample5</t>
  </si>
  <si>
    <t>91-sample9</t>
  </si>
  <si>
    <t>91-sample18</t>
  </si>
  <si>
    <t>91-sample21</t>
  </si>
  <si>
    <t>91-sample22</t>
  </si>
  <si>
    <t>91-sample26</t>
  </si>
  <si>
    <t>91-sample27</t>
  </si>
  <si>
    <t>91-sample28</t>
  </si>
  <si>
    <t>91-sample53</t>
  </si>
  <si>
    <t>91-sample62</t>
  </si>
  <si>
    <t>91-sample65</t>
  </si>
  <si>
    <t>91-sample76</t>
  </si>
  <si>
    <t>91-sample77</t>
  </si>
  <si>
    <t>91-sample85</t>
  </si>
  <si>
    <t>91-sample10</t>
  </si>
  <si>
    <t>91-sample12</t>
  </si>
  <si>
    <t>91-sample14</t>
  </si>
  <si>
    <t>91-sample15</t>
  </si>
  <si>
    <t>91-sample16</t>
  </si>
  <si>
    <t>91-sample17</t>
  </si>
  <si>
    <t>91-sample19</t>
  </si>
  <si>
    <t>91-sample20</t>
  </si>
  <si>
    <t>91-sample23</t>
  </si>
  <si>
    <t>91-sample24</t>
  </si>
  <si>
    <t>3b91samp2</t>
  </si>
  <si>
    <t>3b91samp6</t>
  </si>
  <si>
    <t>3b91samp10</t>
  </si>
  <si>
    <t>3b91samp13</t>
  </si>
  <si>
    <t>3b91samp19</t>
  </si>
  <si>
    <t>3b91samp20</t>
  </si>
  <si>
    <t>3b91samp50</t>
  </si>
  <si>
    <t>3b91samp54</t>
  </si>
  <si>
    <t>3b91samp56</t>
  </si>
  <si>
    <t>3b91samp57</t>
  </si>
  <si>
    <t>3b91samp60</t>
  </si>
  <si>
    <t>3b91samp69</t>
  </si>
  <si>
    <t>3b91samp70</t>
  </si>
  <si>
    <t>3b91sample71</t>
  </si>
  <si>
    <t>3b91samp72</t>
  </si>
  <si>
    <t>3b91samp73</t>
  </si>
  <si>
    <t>3b91samp78</t>
  </si>
  <si>
    <t>3b91samp96</t>
  </si>
  <si>
    <t>3b91samp97</t>
  </si>
  <si>
    <t>3b91samp105</t>
  </si>
  <si>
    <t>3b91samp113</t>
  </si>
  <si>
    <t>3b91samp114</t>
  </si>
  <si>
    <t>3b91samp129</t>
  </si>
  <si>
    <t>3b91samp132</t>
  </si>
  <si>
    <t>3b91samp134</t>
  </si>
  <si>
    <t>3b91samp148</t>
  </si>
  <si>
    <t>3b91samp151</t>
  </si>
  <si>
    <t>3b91samp157</t>
  </si>
  <si>
    <t>3b91samp161</t>
  </si>
  <si>
    <t>3b91samp167</t>
  </si>
  <si>
    <t>3b91samp171</t>
  </si>
  <si>
    <t>3b91samp177</t>
  </si>
  <si>
    <t>3b91samp180</t>
  </si>
  <si>
    <t>3b91samp186</t>
  </si>
  <si>
    <t>3b91samp189</t>
  </si>
  <si>
    <t>3b91samp196</t>
  </si>
  <si>
    <t>3b91samp198</t>
  </si>
  <si>
    <t>3b91samp204</t>
  </si>
  <si>
    <t>3b91samp207</t>
  </si>
  <si>
    <t>3b91samp214</t>
  </si>
  <si>
    <t>3b91samp217</t>
  </si>
  <si>
    <t>3b91samp220</t>
  </si>
  <si>
    <t>3b91samp223</t>
  </si>
  <si>
    <t>3b91samp225</t>
  </si>
  <si>
    <t>3b91samp228</t>
  </si>
  <si>
    <t>3b91samp232</t>
  </si>
  <si>
    <t>3b91samp236</t>
  </si>
  <si>
    <t>3b91samp239</t>
  </si>
  <si>
    <t>3b91samp242</t>
  </si>
  <si>
    <t>1998-1999</t>
  </si>
  <si>
    <t>30 - 60 min</t>
  </si>
  <si>
    <t>1985-97</t>
  </si>
  <si>
    <t>1999-2000</t>
  </si>
  <si>
    <t>1990-94</t>
  </si>
  <si>
    <t>1994-97</t>
  </si>
  <si>
    <t>1988-1995</t>
  </si>
  <si>
    <t>1975-84</t>
  </si>
  <si>
    <t>1994-95</t>
  </si>
  <si>
    <t>5/6/1994</t>
  </si>
  <si>
    <t>5/8/1994</t>
  </si>
  <si>
    <t>5/10/1994</t>
  </si>
  <si>
    <t>5/11/1994</t>
  </si>
  <si>
    <t>5/13/1994</t>
  </si>
  <si>
    <t>5/17/1994</t>
  </si>
  <si>
    <t>5/20/1994</t>
  </si>
  <si>
    <t>5/23/1994</t>
  </si>
  <si>
    <t>5/26/1994</t>
  </si>
  <si>
    <t>5/28/1994</t>
  </si>
  <si>
    <t>6/1/1994</t>
  </si>
  <si>
    <t>6/2/1994</t>
  </si>
  <si>
    <t>6/5/1994</t>
  </si>
  <si>
    <t>6/10/1994</t>
  </si>
  <si>
    <t>6/12/1994</t>
  </si>
  <si>
    <t>10/21/1994</t>
  </si>
  <si>
    <t>5/15/1995</t>
  </si>
  <si>
    <t>5/23/1995</t>
  </si>
  <si>
    <t>5/26/1995</t>
  </si>
  <si>
    <t>5/29/1995</t>
  </si>
  <si>
    <t>6/2/1995</t>
  </si>
  <si>
    <t>6/4/1995</t>
  </si>
  <si>
    <t>6/5/1995</t>
  </si>
  <si>
    <t>6/6/1995</t>
  </si>
  <si>
    <t>6/7/1995</t>
  </si>
  <si>
    <t>6/8/1995</t>
  </si>
  <si>
    <t>6/9/1995</t>
  </si>
  <si>
    <t>6/12/1995</t>
  </si>
  <si>
    <t>6/14/1995</t>
  </si>
  <si>
    <t>6/15/1995</t>
  </si>
  <si>
    <t>6/16/1995</t>
  </si>
  <si>
    <t>6/20/1995</t>
  </si>
  <si>
    <t>6/21/1995</t>
  </si>
  <si>
    <t>6/23/1995</t>
  </si>
  <si>
    <t>6/26/1995</t>
  </si>
  <si>
    <t>6/27/1995</t>
  </si>
  <si>
    <t>6/29/1995</t>
  </si>
  <si>
    <t>7/3/1995</t>
  </si>
  <si>
    <t>7/5/1995</t>
  </si>
  <si>
    <t>7/31/1995</t>
  </si>
  <si>
    <t>1990-96</t>
  </si>
  <si>
    <t>1986-95</t>
  </si>
  <si>
    <t>1986-99</t>
  </si>
  <si>
    <t>1982-97</t>
  </si>
  <si>
    <t>1986-2000</t>
  </si>
  <si>
    <t>1986-97</t>
  </si>
  <si>
    <t>1995-96</t>
  </si>
  <si>
    <t>1993-96</t>
  </si>
  <si>
    <t>1992-94</t>
  </si>
  <si>
    <t>1986-88</t>
  </si>
  <si>
    <t>May 11 1982</t>
  </si>
  <si>
    <t>23/03/1991</t>
  </si>
  <si>
    <t>0-20-78</t>
  </si>
  <si>
    <t>24 - 36 min</t>
  </si>
  <si>
    <t>1969-1970</t>
  </si>
  <si>
    <t>Winter 1969-70</t>
  </si>
  <si>
    <t>Winter 1971</t>
  </si>
  <si>
    <t>Fall 1971</t>
  </si>
  <si>
    <t>06/01/89</t>
  </si>
  <si>
    <t>06/07/89</t>
  </si>
  <si>
    <t>06/08/89</t>
  </si>
  <si>
    <t>06/09/89</t>
  </si>
  <si>
    <t>06/11/89</t>
  </si>
  <si>
    <t>06/12/89</t>
  </si>
  <si>
    <t>06/13/89</t>
  </si>
  <si>
    <t>06/15/89</t>
  </si>
  <si>
    <t>06/16/89</t>
  </si>
  <si>
    <t>06/17/89</t>
  </si>
  <si>
    <t>06/20/89</t>
  </si>
  <si>
    <t>06/27/89</t>
  </si>
  <si>
    <t>07/09/89</t>
  </si>
  <si>
    <t>1977-79</t>
  </si>
  <si>
    <t>1977-78</t>
  </si>
  <si>
    <t>1976-79</t>
  </si>
  <si>
    <t>1978-79</t>
  </si>
  <si>
    <t>1983-86</t>
  </si>
  <si>
    <t>1984-85</t>
  </si>
  <si>
    <t>1978/1979</t>
  </si>
  <si>
    <t>24/12/78</t>
  </si>
  <si>
    <t>25/12/78</t>
  </si>
  <si>
    <t>28/12/78</t>
  </si>
  <si>
    <t>29/12/78</t>
  </si>
  <si>
    <t>25/01/79</t>
  </si>
  <si>
    <t>31/01/79</t>
  </si>
  <si>
    <t>13/02/79</t>
  </si>
  <si>
    <t>14/02/79</t>
  </si>
  <si>
    <t>13/03/79</t>
  </si>
  <si>
    <t>14/03/79</t>
  </si>
  <si>
    <t>26/05/79</t>
  </si>
  <si>
    <t>27/12/79</t>
  </si>
  <si>
    <t>28/12/79</t>
  </si>
  <si>
    <t>13/3/80</t>
  </si>
  <si>
    <t>kg/m/s</t>
  </si>
  <si>
    <t>2003-05</t>
  </si>
  <si>
    <t>2006-09</t>
  </si>
  <si>
    <t>2010-12</t>
  </si>
  <si>
    <t>Example</t>
  </si>
  <si>
    <t>&lt; 8 mm</t>
  </si>
  <si>
    <t>&lt; 2 mm</t>
  </si>
  <si>
    <t>Delt Nile Sampler</t>
  </si>
  <si>
    <t>Helley-Smith Zand</t>
  </si>
  <si>
    <t>Rhine River @ P1</t>
  </si>
  <si>
    <t>Delft-Nile</t>
  </si>
  <si>
    <t>Rhine River @ I1</t>
  </si>
  <si>
    <t>Rhine River @ I0</t>
  </si>
  <si>
    <t>Rhine River @ I2</t>
  </si>
  <si>
    <t>Rhine River @ M0</t>
  </si>
  <si>
    <t>Dune Tracker</t>
  </si>
  <si>
    <t>Rhine River @ M1</t>
  </si>
  <si>
    <t>Rhine River @ M2</t>
  </si>
  <si>
    <t>51.87779, 6.025439</t>
  </si>
  <si>
    <t>51.947098, 5.957727</t>
  </si>
  <si>
    <t>51.952951, 5.946222</t>
  </si>
  <si>
    <t>51.954488, 5.950053</t>
  </si>
  <si>
    <t>51.820486, 4.893559</t>
  </si>
  <si>
    <t>51.811801, 4.876223</t>
  </si>
  <si>
    <t>51.818197, 4.871234</t>
  </si>
  <si>
    <t>grab sample</t>
  </si>
  <si>
    <t>Grab Sample</t>
  </si>
  <si>
    <t>Vibracore</t>
  </si>
  <si>
    <t>R.M. FRINGS and M.G. KLEINHANS (2008). Complex variations in sediment transport at three large river bifurcations during discharge waves in the river Rhine. Sedimentology 55, 1145-1171. doi: 10.1111/j.1365-3091.2007.00940.x</t>
  </si>
  <si>
    <t>Reid and Frostick. 1986. 'Dynamics of bedload transport in Turkey Brook, a goarse-grained alluvial channel' Earth Surface Processes and Landforms 11, 143-155</t>
  </si>
  <si>
    <t>Frings, R. 2007. Fram gravel to sand, downstream fining of bed sediments in the lower River Rhine. Dissertation, Universiteit Utrecht, Netherlands</t>
  </si>
  <si>
    <t>Germany/Netherlands</t>
  </si>
  <si>
    <t>Frings, Roy. Personal Communication. 13 June 2012.</t>
  </si>
  <si>
    <t>min</t>
  </si>
  <si>
    <r>
      <t>D</t>
    </r>
    <r>
      <rPr>
        <b/>
        <vertAlign val="subscript"/>
        <sz val="12"/>
        <color theme="1"/>
        <rFont val="Calibri"/>
        <family val="2"/>
        <scheme val="minor"/>
      </rPr>
      <t xml:space="preserve">5 </t>
    </r>
    <r>
      <rPr>
        <b/>
        <sz val="12"/>
        <color theme="1"/>
        <rFont val="Calibri"/>
        <family val="2"/>
        <scheme val="minor"/>
      </rPr>
      <t>[mm]</t>
    </r>
  </si>
  <si>
    <r>
      <t>D</t>
    </r>
    <r>
      <rPr>
        <b/>
        <vertAlign val="subscript"/>
        <sz val="12"/>
        <color theme="1"/>
        <rFont val="Calibri"/>
        <family val="2"/>
        <scheme val="minor"/>
      </rPr>
      <t xml:space="preserve">16 </t>
    </r>
    <r>
      <rPr>
        <b/>
        <sz val="12"/>
        <color theme="1"/>
        <rFont val="Calibri"/>
        <family val="2"/>
        <scheme val="minor"/>
      </rPr>
      <t>[mm]</t>
    </r>
  </si>
  <si>
    <r>
      <t>D</t>
    </r>
    <r>
      <rPr>
        <b/>
        <vertAlign val="subscript"/>
        <sz val="12"/>
        <color theme="1"/>
        <rFont val="Calibri"/>
        <family val="2"/>
        <scheme val="minor"/>
      </rPr>
      <t xml:space="preserve">25 </t>
    </r>
    <r>
      <rPr>
        <b/>
        <sz val="12"/>
        <color theme="1"/>
        <rFont val="Calibri"/>
        <family val="2"/>
        <scheme val="minor"/>
      </rPr>
      <t>[mm]</t>
    </r>
  </si>
  <si>
    <r>
      <t>D</t>
    </r>
    <r>
      <rPr>
        <b/>
        <vertAlign val="subscript"/>
        <sz val="12"/>
        <color theme="1"/>
        <rFont val="Calibri"/>
        <family val="2"/>
        <scheme val="minor"/>
      </rPr>
      <t xml:space="preserve">50 </t>
    </r>
    <r>
      <rPr>
        <b/>
        <sz val="12"/>
        <color theme="1"/>
        <rFont val="Calibri"/>
        <family val="2"/>
        <scheme val="minor"/>
      </rPr>
      <t>[mm]</t>
    </r>
  </si>
  <si>
    <r>
      <t>D</t>
    </r>
    <r>
      <rPr>
        <b/>
        <vertAlign val="subscript"/>
        <sz val="12"/>
        <color theme="1"/>
        <rFont val="Calibri"/>
        <family val="2"/>
        <scheme val="minor"/>
      </rPr>
      <t xml:space="preserve">75 </t>
    </r>
    <r>
      <rPr>
        <b/>
        <sz val="12"/>
        <color theme="1"/>
        <rFont val="Calibri"/>
        <family val="2"/>
        <scheme val="minor"/>
      </rPr>
      <t>[mm]</t>
    </r>
  </si>
  <si>
    <r>
      <t>D</t>
    </r>
    <r>
      <rPr>
        <b/>
        <vertAlign val="subscript"/>
        <sz val="12"/>
        <color theme="1"/>
        <rFont val="Calibri"/>
        <family val="2"/>
        <scheme val="minor"/>
      </rPr>
      <t xml:space="preserve">84 </t>
    </r>
    <r>
      <rPr>
        <b/>
        <sz val="12"/>
        <color theme="1"/>
        <rFont val="Calibri"/>
        <family val="2"/>
        <scheme val="minor"/>
      </rPr>
      <t>[mm]</t>
    </r>
  </si>
  <si>
    <r>
      <t>D</t>
    </r>
    <r>
      <rPr>
        <b/>
        <vertAlign val="subscript"/>
        <sz val="12"/>
        <color theme="1"/>
        <rFont val="Calibri"/>
        <family val="2"/>
        <scheme val="minor"/>
      </rPr>
      <t xml:space="preserve">95 </t>
    </r>
    <r>
      <rPr>
        <b/>
        <sz val="12"/>
        <color theme="1"/>
        <rFont val="Calibri"/>
        <family val="2"/>
        <scheme val="minor"/>
      </rPr>
      <t>[mm]</t>
    </r>
  </si>
  <si>
    <t>D5</t>
  </si>
  <si>
    <t>D25</t>
  </si>
  <si>
    <t>D75</t>
  </si>
  <si>
    <t>Hobble Creek @ 200 W. Culvert</t>
  </si>
  <si>
    <t>Hobble Creek @ 950 W. Culvert</t>
  </si>
  <si>
    <t>USGS Gage</t>
  </si>
  <si>
    <t>Value Code</t>
  </si>
  <si>
    <t xml:space="preserve">Bulk Core </t>
  </si>
  <si>
    <t>Hinton, DD. 2012. Complexity of Bedload Transport in Gravel Bed Streams: Data Collection, Prediction, and Analysis. Dissertation, Brigham Young University.</t>
  </si>
  <si>
    <t xml:space="preserve">Dutson, A. 2011. A multifaceted sedimentological analysis on Hobble Creek. Thesis, Brigham Young University. </t>
  </si>
  <si>
    <t xml:space="preserve">40.1755, -111.6281 </t>
  </si>
  <si>
    <t xml:space="preserve">40.1686,  -111.6144 </t>
  </si>
  <si>
    <t>D/M/S or Decimal</t>
  </si>
</sst>
</file>

<file path=xl/styles.xml><?xml version="1.0" encoding="utf-8"?>
<styleSheet xmlns="http://schemas.openxmlformats.org/spreadsheetml/2006/main" xmlns:mc="http://schemas.openxmlformats.org/markup-compatibility/2006" xmlns:x14ac="http://schemas.microsoft.com/office/spreadsheetml/2009/9/ac" mc:Ignorable="x14ac">
  <numFmts count="15">
    <numFmt numFmtId="43" formatCode="_(* #,##0.00_);_(* \(#,##0.00\);_(* &quot;-&quot;??_);_(@_)"/>
    <numFmt numFmtId="164" formatCode="0.0000"/>
    <numFmt numFmtId="165" formatCode="0.0"/>
    <numFmt numFmtId="166" formatCode="0.000"/>
    <numFmt numFmtId="167" formatCode="0.00000"/>
    <numFmt numFmtId="168" formatCode="mm/dd/yy"/>
    <numFmt numFmtId="169" formatCode="0.000%"/>
    <numFmt numFmtId="170" formatCode="0.0%"/>
    <numFmt numFmtId="171" formatCode="0.000000"/>
    <numFmt numFmtId="172" formatCode="General_)"/>
    <numFmt numFmtId="173" formatCode="#&quot; '' &quot;"/>
    <numFmt numFmtId="174" formatCode="0.0000E+00"/>
    <numFmt numFmtId="175" formatCode="m/d/yy\ h:mm;@"/>
    <numFmt numFmtId="176" formatCode="[$-409]d\-mmm\-yy;@"/>
    <numFmt numFmtId="177" formatCode="m/d/yyyy;@"/>
  </numFmts>
  <fonts count="51" x14ac:knownFonts="1">
    <font>
      <sz val="11"/>
      <color theme="1"/>
      <name val="Calibri"/>
      <family val="2"/>
      <scheme val="minor"/>
    </font>
    <font>
      <sz val="11"/>
      <color theme="1"/>
      <name val="Arial"/>
      <family val="2"/>
    </font>
    <font>
      <sz val="11"/>
      <color theme="1"/>
      <name val="Arial"/>
      <family val="2"/>
    </font>
    <font>
      <sz val="11"/>
      <color theme="1"/>
      <name val="Arial"/>
      <family val="2"/>
    </font>
    <font>
      <sz val="11"/>
      <color theme="1"/>
      <name val="Arial"/>
      <family val="2"/>
    </font>
    <font>
      <sz val="11"/>
      <color theme="1"/>
      <name val="Calibri"/>
      <family val="2"/>
      <scheme val="minor"/>
    </font>
    <font>
      <b/>
      <sz val="9"/>
      <color indexed="81"/>
      <name val="Tahoma"/>
      <family val="2"/>
    </font>
    <font>
      <sz val="9"/>
      <color indexed="81"/>
      <name val="Tahoma"/>
      <family val="2"/>
    </font>
    <font>
      <sz val="11"/>
      <color rgb="FFFF0000"/>
      <name val="Arial"/>
      <family val="2"/>
    </font>
    <font>
      <b/>
      <sz val="11"/>
      <color theme="1"/>
      <name val="Arial"/>
      <family val="2"/>
    </font>
    <font>
      <b/>
      <vertAlign val="superscript"/>
      <sz val="11"/>
      <color theme="1"/>
      <name val="Arial"/>
      <family val="2"/>
    </font>
    <font>
      <sz val="10"/>
      <name val="Arial"/>
      <family val="2"/>
    </font>
    <font>
      <b/>
      <sz val="8"/>
      <color indexed="81"/>
      <name val="Tahoma"/>
      <family val="2"/>
    </font>
    <font>
      <sz val="8"/>
      <color indexed="81"/>
      <name val="Tahoma"/>
      <family val="2"/>
    </font>
    <font>
      <sz val="11"/>
      <name val="Arial"/>
      <family val="2"/>
    </font>
    <font>
      <b/>
      <sz val="11"/>
      <name val="Arial"/>
      <family val="2"/>
    </font>
    <font>
      <b/>
      <sz val="10"/>
      <name val="Arial"/>
      <family val="2"/>
    </font>
    <font>
      <sz val="10"/>
      <name val="Helv"/>
    </font>
    <font>
      <b/>
      <sz val="11"/>
      <color theme="1"/>
      <name val="Calibri"/>
      <family val="2"/>
      <scheme val="minor"/>
    </font>
    <font>
      <sz val="10"/>
      <name val="Arial"/>
      <family val="2"/>
    </font>
    <font>
      <sz val="12"/>
      <name val="Courier"/>
      <family val="3"/>
    </font>
    <font>
      <sz val="11"/>
      <color indexed="8"/>
      <name val="Arial"/>
      <family val="2"/>
    </font>
    <font>
      <b/>
      <sz val="11"/>
      <color theme="3" tint="-0.249977111117893"/>
      <name val="Calibri"/>
      <family val="2"/>
      <scheme val="minor"/>
    </font>
    <font>
      <sz val="11"/>
      <color theme="3" tint="-0.249977111117893"/>
      <name val="Calibri"/>
      <family val="2"/>
      <scheme val="minor"/>
    </font>
    <font>
      <b/>
      <sz val="11"/>
      <color rgb="FFFF0000"/>
      <name val="Calibri"/>
      <family val="2"/>
      <scheme val="minor"/>
    </font>
    <font>
      <sz val="12"/>
      <color indexed="81"/>
      <name val="Tahoma"/>
      <family val="2"/>
    </font>
    <font>
      <b/>
      <sz val="12"/>
      <color indexed="81"/>
      <name val="Tahoma"/>
      <family val="2"/>
    </font>
    <font>
      <b/>
      <sz val="12"/>
      <color indexed="81"/>
      <name val="Times New Roman"/>
      <family val="1"/>
    </font>
    <font>
      <sz val="12"/>
      <color indexed="81"/>
      <name val="Times New Roman"/>
      <family val="1"/>
    </font>
    <font>
      <i/>
      <sz val="11"/>
      <color theme="1"/>
      <name val="Arial"/>
      <family val="2"/>
    </font>
    <font>
      <sz val="12"/>
      <color rgb="FF9C0006"/>
      <name val="Calibri"/>
      <family val="2"/>
      <scheme val="minor"/>
    </font>
    <font>
      <sz val="10"/>
      <name val="Arial Narrow"/>
      <family val="2"/>
    </font>
    <font>
      <sz val="11"/>
      <color rgb="FF9C0006"/>
      <name val="Arial"/>
      <family val="2"/>
    </font>
    <font>
      <sz val="11"/>
      <name val="Arial Narrow"/>
      <family val="2"/>
    </font>
    <font>
      <sz val="11"/>
      <color indexed="8"/>
      <name val="Arial Narrow"/>
      <family val="2"/>
    </font>
    <font>
      <sz val="10"/>
      <name val="Courier"/>
      <family val="3"/>
    </font>
    <font>
      <sz val="10"/>
      <color indexed="8"/>
      <name val="Arial"/>
      <family val="2"/>
    </font>
    <font>
      <b/>
      <i/>
      <u/>
      <sz val="11"/>
      <color theme="1"/>
      <name val="Calibri"/>
      <family val="2"/>
      <scheme val="minor"/>
    </font>
    <font>
      <b/>
      <sz val="11"/>
      <color theme="1"/>
      <name val="Calibri"/>
      <family val="2"/>
    </font>
    <font>
      <b/>
      <sz val="7.7"/>
      <color theme="1"/>
      <name val="Calibri"/>
      <family val="2"/>
    </font>
    <font>
      <sz val="12"/>
      <color theme="1"/>
      <name val="Arial"/>
      <family val="2"/>
    </font>
    <font>
      <i/>
      <sz val="12"/>
      <color theme="1"/>
      <name val="Arial"/>
      <family val="2"/>
    </font>
    <font>
      <b/>
      <sz val="12"/>
      <color theme="1"/>
      <name val="Arial"/>
      <family val="2"/>
    </font>
    <font>
      <b/>
      <i/>
      <sz val="12"/>
      <color theme="1"/>
      <name val="Arial"/>
      <family val="2"/>
    </font>
    <font>
      <sz val="10"/>
      <name val="Arial"/>
      <family val="2"/>
    </font>
    <font>
      <sz val="10"/>
      <name val="System"/>
      <family val="2"/>
    </font>
    <font>
      <b/>
      <sz val="9"/>
      <color indexed="81"/>
      <name val="Tahoma"/>
      <charset val="1"/>
    </font>
    <font>
      <b/>
      <sz val="12"/>
      <color theme="1"/>
      <name val="Calibri"/>
      <family val="2"/>
      <scheme val="minor"/>
    </font>
    <font>
      <b/>
      <vertAlign val="subscript"/>
      <sz val="12"/>
      <color theme="1"/>
      <name val="Calibri"/>
      <family val="2"/>
      <scheme val="minor"/>
    </font>
    <font>
      <sz val="11"/>
      <color rgb="FF000000"/>
      <name val="Arial"/>
      <family val="2"/>
    </font>
    <font>
      <b/>
      <sz val="10"/>
      <color theme="1"/>
      <name val="Arial"/>
      <family val="2"/>
    </font>
  </fonts>
  <fills count="18">
    <fill>
      <patternFill patternType="none"/>
    </fill>
    <fill>
      <patternFill patternType="gray125"/>
    </fill>
    <fill>
      <patternFill patternType="solid">
        <fgColor theme="4" tint="0.59999389629810485"/>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rgb="FFFFFF00"/>
        <bgColor indexed="64"/>
      </patternFill>
    </fill>
    <fill>
      <patternFill patternType="solid">
        <fgColor rgb="FFFFFFCC"/>
      </patternFill>
    </fill>
    <fill>
      <patternFill patternType="solid">
        <fgColor theme="0"/>
        <bgColor indexed="64"/>
      </patternFill>
    </fill>
    <fill>
      <patternFill patternType="solid">
        <fgColor indexed="15"/>
        <bgColor indexed="64"/>
      </patternFill>
    </fill>
    <fill>
      <patternFill patternType="solid">
        <fgColor rgb="FFFFC7CE"/>
      </patternFill>
    </fill>
    <fill>
      <patternFill patternType="solid">
        <fgColor theme="4" tint="0.79998168889431442"/>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6" tint="0.59999389629810485"/>
        <bgColor indexed="64"/>
      </patternFill>
    </fill>
  </fills>
  <borders count="29">
    <border>
      <left/>
      <right/>
      <top/>
      <bottom/>
      <diagonal/>
    </border>
    <border>
      <left/>
      <right/>
      <top/>
      <bottom style="double">
        <color indexed="64"/>
      </bottom>
      <diagonal/>
    </border>
    <border>
      <left style="thin">
        <color indexed="64"/>
      </left>
      <right style="thin">
        <color indexed="64"/>
      </right>
      <top/>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style="thin">
        <color indexed="64"/>
      </left>
      <right/>
      <top/>
      <bottom style="thin">
        <color indexed="64"/>
      </bottom>
      <diagonal/>
    </border>
    <border>
      <left style="thin">
        <color rgb="FFB2B2B2"/>
      </left>
      <right style="thin">
        <color rgb="FFB2B2B2"/>
      </right>
      <top style="thin">
        <color rgb="FFB2B2B2"/>
      </top>
      <bottom style="thin">
        <color rgb="FFB2B2B2"/>
      </bottom>
      <diagonal/>
    </border>
    <border>
      <left/>
      <right/>
      <top style="thin">
        <color indexed="64"/>
      </top>
      <bottom style="thin">
        <color indexed="64"/>
      </bottom>
      <diagonal/>
    </border>
    <border>
      <left/>
      <right/>
      <top style="thick">
        <color indexed="64"/>
      </top>
      <bottom style="thick">
        <color indexed="64"/>
      </bottom>
      <diagonal/>
    </border>
    <border>
      <left/>
      <right/>
      <top style="thick">
        <color indexed="64"/>
      </top>
      <bottom/>
      <diagonal/>
    </border>
    <border>
      <left/>
      <right/>
      <top style="thin">
        <color indexed="64"/>
      </top>
      <bottom/>
      <diagonal/>
    </border>
    <border>
      <left style="thin">
        <color indexed="64"/>
      </left>
      <right style="thin">
        <color indexed="64"/>
      </right>
      <top style="double">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bottom style="double">
        <color indexed="64"/>
      </bottom>
      <diagonal/>
    </border>
    <border>
      <left style="thin">
        <color indexed="64"/>
      </left>
      <right/>
      <top/>
      <bottom style="double">
        <color indexed="64"/>
      </bottom>
      <diagonal/>
    </border>
    <border>
      <left/>
      <right/>
      <top style="medium">
        <color indexed="64"/>
      </top>
      <bottom/>
      <diagonal/>
    </border>
    <border>
      <left/>
      <right/>
      <top/>
      <bottom style="thin">
        <color indexed="64"/>
      </bottom>
      <diagonal/>
    </border>
  </borders>
  <cellStyleXfs count="36">
    <xf numFmtId="0" fontId="0" fillId="0" borderId="0"/>
    <xf numFmtId="43" fontId="5" fillId="0" borderId="0" applyFont="0" applyFill="0" applyBorder="0" applyAlignment="0" applyProtection="0"/>
    <xf numFmtId="0" fontId="5" fillId="0" borderId="0"/>
    <xf numFmtId="0" fontId="11" fillId="0" borderId="0"/>
    <xf numFmtId="0" fontId="4" fillId="0" borderId="0"/>
    <xf numFmtId="9" fontId="5" fillId="0" borderId="0" applyFont="0" applyFill="0" applyBorder="0" applyAlignment="0" applyProtection="0"/>
    <xf numFmtId="0" fontId="5" fillId="6" borderId="15" applyNumberFormat="0" applyFont="0" applyAlignment="0" applyProtection="0"/>
    <xf numFmtId="0" fontId="19" fillId="0" borderId="0"/>
    <xf numFmtId="172" fontId="20" fillId="0" borderId="0"/>
    <xf numFmtId="0" fontId="19" fillId="0" borderId="0"/>
    <xf numFmtId="0" fontId="5" fillId="0" borderId="0"/>
    <xf numFmtId="0" fontId="30" fillId="9" borderId="0" applyNumberFormat="0" applyBorder="0" applyAlignment="0" applyProtection="0"/>
    <xf numFmtId="172" fontId="20" fillId="0" borderId="0"/>
    <xf numFmtId="1" fontId="35" fillId="0" borderId="0"/>
    <xf numFmtId="172" fontId="20" fillId="0" borderId="0"/>
    <xf numFmtId="0" fontId="44" fillId="0" borderId="0"/>
    <xf numFmtId="9" fontId="44" fillId="0" borderId="0" applyFont="0" applyFill="0" applyBorder="0" applyAlignment="0" applyProtection="0"/>
    <xf numFmtId="9" fontId="11" fillId="0" borderId="0" applyFont="0" applyFill="0" applyBorder="0" applyAlignment="0" applyProtection="0"/>
    <xf numFmtId="0" fontId="17" fillId="0" borderId="0"/>
    <xf numFmtId="2" fontId="3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45" fillId="0" borderId="0"/>
    <xf numFmtId="0" fontId="11" fillId="0" borderId="0"/>
    <xf numFmtId="0" fontId="11" fillId="0" borderId="0"/>
    <xf numFmtId="0" fontId="1" fillId="0" borderId="0"/>
    <xf numFmtId="0" fontId="11" fillId="0" borderId="0"/>
    <xf numFmtId="9" fontId="11" fillId="0" borderId="0" applyFont="0" applyFill="0" applyBorder="0" applyAlignment="0" applyProtection="0"/>
    <xf numFmtId="0" fontId="1" fillId="0" borderId="0"/>
    <xf numFmtId="0" fontId="11" fillId="0" borderId="0"/>
  </cellStyleXfs>
  <cellXfs count="932">
    <xf numFmtId="0" fontId="0" fillId="0" borderId="0" xfId="0"/>
    <xf numFmtId="0" fontId="9" fillId="2" borderId="5" xfId="0" applyFont="1" applyFill="1" applyBorder="1" applyAlignment="1">
      <alignment horizontal="center"/>
    </xf>
    <xf numFmtId="0" fontId="9" fillId="4" borderId="7" xfId="0" applyFont="1" applyFill="1" applyBorder="1" applyAlignment="1">
      <alignment horizontal="center"/>
    </xf>
    <xf numFmtId="164" fontId="9" fillId="4" borderId="7" xfId="0" applyNumberFormat="1" applyFont="1" applyFill="1" applyBorder="1" applyAlignment="1">
      <alignment horizontal="center"/>
    </xf>
    <xf numFmtId="165" fontId="9" fillId="4" borderId="7" xfId="0" applyNumberFormat="1" applyFont="1" applyFill="1" applyBorder="1" applyAlignment="1">
      <alignment horizontal="center"/>
    </xf>
    <xf numFmtId="0" fontId="9" fillId="4" borderId="0" xfId="0" applyFont="1" applyFill="1"/>
    <xf numFmtId="0" fontId="8" fillId="0" borderId="7" xfId="0" applyFont="1" applyFill="1" applyBorder="1" applyAlignment="1">
      <alignment horizontal="center"/>
    </xf>
    <xf numFmtId="165" fontId="8" fillId="0" borderId="7" xfId="0" applyNumberFormat="1" applyFont="1" applyFill="1" applyBorder="1" applyAlignment="1">
      <alignment horizontal="center"/>
    </xf>
    <xf numFmtId="2" fontId="8" fillId="0" borderId="7" xfId="0" applyNumberFormat="1" applyFont="1" applyFill="1" applyBorder="1" applyAlignment="1">
      <alignment horizontal="center"/>
    </xf>
    <xf numFmtId="0" fontId="9" fillId="4" borderId="7" xfId="0" applyFont="1" applyFill="1" applyBorder="1"/>
    <xf numFmtId="0" fontId="9" fillId="3" borderId="7" xfId="0" applyFont="1" applyFill="1" applyBorder="1" applyAlignment="1">
      <alignment horizontal="center"/>
    </xf>
    <xf numFmtId="0" fontId="9" fillId="3" borderId="7" xfId="0" applyFont="1" applyFill="1" applyBorder="1"/>
    <xf numFmtId="2" fontId="9" fillId="4" borderId="7" xfId="0" applyNumberFormat="1" applyFont="1" applyFill="1" applyBorder="1" applyAlignment="1">
      <alignment horizontal="center"/>
    </xf>
    <xf numFmtId="0" fontId="9" fillId="2" borderId="2" xfId="0" applyFont="1" applyFill="1" applyBorder="1" applyAlignment="1">
      <alignment horizontal="center" vertical="center" wrapText="1"/>
    </xf>
    <xf numFmtId="9" fontId="9" fillId="4" borderId="7" xfId="0" applyNumberFormat="1" applyFont="1" applyFill="1" applyBorder="1" applyAlignment="1">
      <alignment horizontal="center"/>
    </xf>
    <xf numFmtId="0" fontId="9" fillId="0" borderId="7" xfId="0" applyFont="1" applyBorder="1"/>
    <xf numFmtId="0" fontId="14" fillId="0" borderId="7" xfId="2" applyFont="1" applyBorder="1" applyAlignment="1">
      <alignment horizontal="center"/>
    </xf>
    <xf numFmtId="10" fontId="9" fillId="3" borderId="7" xfId="0" applyNumberFormat="1" applyFont="1" applyFill="1" applyBorder="1" applyAlignment="1">
      <alignment horizontal="center"/>
    </xf>
    <xf numFmtId="1" fontId="9" fillId="4" borderId="7" xfId="0" applyNumberFormat="1" applyFont="1" applyFill="1" applyBorder="1" applyAlignment="1">
      <alignment horizontal="center"/>
    </xf>
    <xf numFmtId="2" fontId="14" fillId="0" borderId="7" xfId="0" applyNumberFormat="1" applyFont="1" applyBorder="1" applyAlignment="1">
      <alignment horizontal="center"/>
    </xf>
    <xf numFmtId="3" fontId="14" fillId="0" borderId="7" xfId="0" applyNumberFormat="1" applyFont="1" applyBorder="1" applyAlignment="1">
      <alignment horizontal="center"/>
    </xf>
    <xf numFmtId="165" fontId="14" fillId="0" borderId="0" xfId="0" applyNumberFormat="1" applyFont="1" applyBorder="1" applyAlignment="1">
      <alignment horizontal="left"/>
    </xf>
    <xf numFmtId="3" fontId="14" fillId="0" borderId="7" xfId="0" applyNumberFormat="1" applyFont="1" applyBorder="1" applyAlignment="1" applyProtection="1">
      <alignment horizontal="center"/>
      <protection locked="0"/>
    </xf>
    <xf numFmtId="0" fontId="0" fillId="0" borderId="0" xfId="0" applyBorder="1" applyAlignment="1">
      <alignment horizontal="center"/>
    </xf>
    <xf numFmtId="0" fontId="9" fillId="4" borderId="7" xfId="0" applyFont="1" applyFill="1" applyBorder="1" applyAlignment="1">
      <alignment horizontal="left"/>
    </xf>
    <xf numFmtId="4" fontId="9" fillId="4" borderId="7" xfId="0" applyNumberFormat="1" applyFont="1" applyFill="1" applyBorder="1" applyAlignment="1">
      <alignment horizontal="center"/>
    </xf>
    <xf numFmtId="2" fontId="9" fillId="3" borderId="7" xfId="0" applyNumberFormat="1" applyFont="1" applyFill="1" applyBorder="1" applyAlignment="1">
      <alignment horizontal="center"/>
    </xf>
    <xf numFmtId="0" fontId="0" fillId="0" borderId="0" xfId="0" applyBorder="1" applyAlignment="1">
      <alignment horizontal="right"/>
    </xf>
    <xf numFmtId="14" fontId="0" fillId="0" borderId="0" xfId="0" applyNumberFormat="1" applyBorder="1" applyAlignment="1">
      <alignment horizontal="right"/>
    </xf>
    <xf numFmtId="165" fontId="0" fillId="0" borderId="0" xfId="0" applyNumberFormat="1" applyBorder="1" applyAlignment="1">
      <alignment horizontal="right"/>
    </xf>
    <xf numFmtId="0" fontId="0" fillId="5" borderId="0" xfId="0" applyFill="1" applyBorder="1" applyAlignment="1">
      <alignment horizontal="right"/>
    </xf>
    <xf numFmtId="0" fontId="0" fillId="5" borderId="0" xfId="0" applyFill="1" applyBorder="1" applyAlignment="1">
      <alignment horizontal="center"/>
    </xf>
    <xf numFmtId="14" fontId="0" fillId="5" borderId="0" xfId="0" applyNumberFormat="1" applyFill="1" applyBorder="1" applyAlignment="1">
      <alignment horizontal="right"/>
    </xf>
    <xf numFmtId="165" fontId="0" fillId="5" borderId="0" xfId="0" applyNumberFormat="1" applyFill="1" applyBorder="1" applyAlignment="1">
      <alignment horizontal="right"/>
    </xf>
    <xf numFmtId="0" fontId="0" fillId="5" borderId="0" xfId="0" applyFill="1"/>
    <xf numFmtId="0" fontId="16" fillId="8" borderId="17" xfId="0" applyFont="1" applyFill="1" applyBorder="1" applyAlignment="1">
      <alignment horizontal="center" wrapText="1"/>
    </xf>
    <xf numFmtId="168" fontId="16" fillId="8" borderId="17" xfId="0" applyNumberFormat="1" applyFont="1" applyFill="1" applyBorder="1" applyAlignment="1">
      <alignment horizontal="center" wrapText="1"/>
    </xf>
    <xf numFmtId="14" fontId="16" fillId="8" borderId="17" xfId="0" applyNumberFormat="1" applyFont="1" applyFill="1" applyBorder="1" applyAlignment="1">
      <alignment horizontal="center" wrapText="1"/>
    </xf>
    <xf numFmtId="0" fontId="0" fillId="0" borderId="0" xfId="0" applyBorder="1"/>
    <xf numFmtId="0" fontId="0" fillId="8" borderId="17" xfId="0" applyFill="1" applyBorder="1"/>
    <xf numFmtId="166" fontId="0" fillId="0" borderId="0" xfId="0" applyNumberFormat="1"/>
    <xf numFmtId="166" fontId="0" fillId="0" borderId="0" xfId="0" applyNumberFormat="1" applyAlignment="1">
      <alignment horizontal="right"/>
    </xf>
    <xf numFmtId="0" fontId="16" fillId="8" borderId="18" xfId="0" applyFont="1" applyFill="1" applyBorder="1" applyAlignment="1">
      <alignment horizontal="center" wrapText="1"/>
    </xf>
    <xf numFmtId="166" fontId="0" fillId="0" borderId="7" xfId="0" applyNumberFormat="1" applyBorder="1"/>
    <xf numFmtId="166" fontId="0" fillId="0" borderId="8" xfId="0" applyNumberFormat="1" applyBorder="1"/>
    <xf numFmtId="166" fontId="0" fillId="0" borderId="9" xfId="0" applyNumberFormat="1" applyBorder="1"/>
    <xf numFmtId="166" fontId="0" fillId="0" borderId="7" xfId="0" applyNumberFormat="1" applyBorder="1" applyAlignment="1">
      <alignment horizontal="right"/>
    </xf>
    <xf numFmtId="165" fontId="0" fillId="0" borderId="0" xfId="0" applyNumberFormat="1" applyBorder="1"/>
    <xf numFmtId="165" fontId="17" fillId="0" borderId="0" xfId="5" applyNumberFormat="1" applyFont="1" applyBorder="1" applyAlignment="1">
      <alignment horizontal="right"/>
    </xf>
    <xf numFmtId="166" fontId="0" fillId="0" borderId="0" xfId="0" applyNumberFormat="1" applyBorder="1" applyAlignment="1">
      <alignment horizontal="right"/>
    </xf>
    <xf numFmtId="166" fontId="0" fillId="0" borderId="0" xfId="0" applyNumberFormat="1" applyBorder="1"/>
    <xf numFmtId="0" fontId="0" fillId="5" borderId="0" xfId="0" applyFill="1" applyBorder="1"/>
    <xf numFmtId="165" fontId="0" fillId="5" borderId="0" xfId="0" applyNumberFormat="1" applyFill="1" applyBorder="1"/>
    <xf numFmtId="165" fontId="17" fillId="5" borderId="0" xfId="5" applyNumberFormat="1" applyFont="1" applyFill="1" applyBorder="1" applyAlignment="1">
      <alignment horizontal="right"/>
    </xf>
    <xf numFmtId="166" fontId="18" fillId="0" borderId="7" xfId="0" applyNumberFormat="1" applyFont="1" applyBorder="1"/>
    <xf numFmtId="1" fontId="0" fillId="0" borderId="0" xfId="0" applyNumberFormat="1" applyBorder="1" applyAlignment="1">
      <alignment horizontal="right"/>
    </xf>
    <xf numFmtId="1" fontId="17" fillId="0" borderId="0" xfId="5" applyNumberFormat="1" applyFont="1" applyBorder="1" applyAlignment="1">
      <alignment horizontal="right"/>
    </xf>
    <xf numFmtId="1" fontId="0" fillId="5" borderId="0" xfId="0" applyNumberFormat="1" applyFill="1" applyBorder="1" applyAlignment="1">
      <alignment horizontal="right"/>
    </xf>
    <xf numFmtId="1" fontId="17" fillId="5" borderId="0" xfId="5" applyNumberFormat="1" applyFont="1" applyFill="1" applyBorder="1" applyAlignment="1">
      <alignment horizontal="right"/>
    </xf>
    <xf numFmtId="14" fontId="0" fillId="0" borderId="0" xfId="0" applyNumberFormat="1" applyBorder="1" applyAlignment="1">
      <alignment horizontal="center"/>
    </xf>
    <xf numFmtId="168" fontId="0" fillId="0" borderId="0" xfId="0" applyNumberFormat="1" applyBorder="1"/>
    <xf numFmtId="14" fontId="0" fillId="5" borderId="0" xfId="0" applyNumberFormat="1" applyFill="1" applyBorder="1" applyAlignment="1">
      <alignment horizontal="center"/>
    </xf>
    <xf numFmtId="168" fontId="0" fillId="5" borderId="0" xfId="0" applyNumberFormat="1" applyFill="1" applyBorder="1"/>
    <xf numFmtId="14" fontId="11" fillId="0" borderId="0" xfId="0" applyNumberFormat="1" applyFont="1" applyBorder="1" applyAlignment="1">
      <alignment horizontal="center"/>
    </xf>
    <xf numFmtId="1" fontId="16" fillId="0" borderId="0" xfId="0" applyNumberFormat="1" applyFont="1" applyBorder="1" applyAlignment="1">
      <alignment horizontal="center"/>
    </xf>
    <xf numFmtId="14" fontId="11" fillId="5" borderId="0" xfId="0" applyNumberFormat="1" applyFont="1" applyFill="1" applyBorder="1" applyAlignment="1">
      <alignment horizontal="center"/>
    </xf>
    <xf numFmtId="1" fontId="16" fillId="5" borderId="0" xfId="0" applyNumberFormat="1" applyFont="1" applyFill="1" applyBorder="1" applyAlignment="1">
      <alignment horizontal="center"/>
    </xf>
    <xf numFmtId="165" fontId="0" fillId="0" borderId="0" xfId="0" applyNumberFormat="1"/>
    <xf numFmtId="166" fontId="0" fillId="0" borderId="10" xfId="0" applyNumberFormat="1" applyBorder="1" applyAlignment="1">
      <alignment horizontal="right"/>
    </xf>
    <xf numFmtId="166" fontId="18" fillId="0" borderId="10" xfId="0" applyNumberFormat="1" applyFont="1" applyBorder="1"/>
    <xf numFmtId="0" fontId="18" fillId="0" borderId="6" xfId="0" applyFont="1" applyBorder="1" applyAlignment="1">
      <alignment horizontal="right"/>
    </xf>
    <xf numFmtId="0" fontId="0" fillId="0" borderId="7" xfId="0" applyBorder="1" applyAlignment="1">
      <alignment horizontal="right"/>
    </xf>
    <xf numFmtId="10" fontId="0" fillId="0" borderId="7" xfId="0" applyNumberFormat="1" applyBorder="1"/>
    <xf numFmtId="0" fontId="18" fillId="0" borderId="2" xfId="0" applyFont="1" applyBorder="1" applyAlignment="1">
      <alignment horizontal="right"/>
    </xf>
    <xf numFmtId="0" fontId="0" fillId="0" borderId="0" xfId="0" applyAlignment="1">
      <alignment horizontal="center"/>
    </xf>
    <xf numFmtId="166" fontId="18" fillId="0" borderId="0" xfId="0" applyNumberFormat="1" applyFont="1" applyBorder="1"/>
    <xf numFmtId="0" fontId="16" fillId="8" borderId="0" xfId="0" applyFont="1" applyFill="1" applyBorder="1" applyAlignment="1">
      <alignment horizontal="center" wrapText="1"/>
    </xf>
    <xf numFmtId="0" fontId="18" fillId="0" borderId="0" xfId="0" applyFont="1"/>
    <xf numFmtId="0" fontId="3" fillId="0" borderId="0" xfId="0" applyFont="1" applyAlignment="1">
      <alignment horizontal="center"/>
    </xf>
    <xf numFmtId="0" fontId="3" fillId="0" borderId="0" xfId="0" applyFont="1"/>
    <xf numFmtId="9" fontId="3" fillId="0" borderId="0" xfId="0" applyNumberFormat="1" applyFont="1" applyAlignment="1">
      <alignment horizontal="center"/>
    </xf>
    <xf numFmtId="0" fontId="9" fillId="3" borderId="9" xfId="0" applyFont="1" applyFill="1" applyBorder="1"/>
    <xf numFmtId="0" fontId="3" fillId="0" borderId="0" xfId="0" applyFont="1" applyAlignment="1">
      <alignment vertical="center"/>
    </xf>
    <xf numFmtId="0" fontId="3" fillId="0" borderId="0" xfId="0" applyFont="1" applyFill="1"/>
    <xf numFmtId="0" fontId="9" fillId="3" borderId="8" xfId="0" applyFont="1" applyFill="1" applyBorder="1" applyAlignment="1">
      <alignment horizontal="center"/>
    </xf>
    <xf numFmtId="0" fontId="9" fillId="4" borderId="9" xfId="0" applyFont="1" applyFill="1" applyBorder="1" applyAlignment="1">
      <alignment horizontal="center"/>
    </xf>
    <xf numFmtId="0" fontId="3" fillId="7" borderId="7" xfId="0" applyFont="1" applyFill="1" applyBorder="1" applyAlignment="1">
      <alignment horizontal="center"/>
    </xf>
    <xf numFmtId="0" fontId="3" fillId="7" borderId="0" xfId="0" applyFont="1" applyFill="1"/>
    <xf numFmtId="0" fontId="14" fillId="7" borderId="7" xfId="0" applyFont="1" applyFill="1" applyBorder="1"/>
    <xf numFmtId="2" fontId="14" fillId="7" borderId="7" xfId="0" applyNumberFormat="1" applyFont="1" applyFill="1" applyBorder="1" applyAlignment="1">
      <alignment horizontal="center"/>
    </xf>
    <xf numFmtId="0" fontId="14" fillId="7" borderId="0" xfId="9" applyFont="1" applyFill="1"/>
    <xf numFmtId="2" fontId="14" fillId="7" borderId="7" xfId="9" applyNumberFormat="1" applyFont="1" applyFill="1" applyBorder="1" applyAlignment="1">
      <alignment horizontal="center"/>
    </xf>
    <xf numFmtId="2" fontId="14" fillId="7" borderId="7" xfId="0" applyNumberFormat="1" applyFont="1" applyFill="1" applyBorder="1" applyAlignment="1" applyProtection="1">
      <alignment horizontal="center"/>
    </xf>
    <xf numFmtId="165" fontId="14" fillId="7" borderId="7" xfId="0" applyNumberFormat="1" applyFont="1" applyFill="1" applyBorder="1" applyAlignment="1" applyProtection="1">
      <alignment horizontal="center"/>
    </xf>
    <xf numFmtId="165" fontId="14" fillId="7" borderId="0" xfId="0" applyNumberFormat="1" applyFont="1" applyFill="1" applyBorder="1" applyAlignment="1" applyProtection="1">
      <alignment horizontal="center"/>
    </xf>
    <xf numFmtId="164" fontId="14" fillId="7" borderId="0" xfId="0" applyNumberFormat="1" applyFont="1" applyFill="1" applyBorder="1" applyAlignment="1" applyProtection="1">
      <alignment horizontal="center"/>
    </xf>
    <xf numFmtId="0" fontId="14" fillId="7" borderId="0" xfId="0" applyFont="1" applyFill="1" applyBorder="1" applyAlignment="1">
      <alignment horizontal="center"/>
    </xf>
    <xf numFmtId="2" fontId="14" fillId="7" borderId="0" xfId="7" applyNumberFormat="1" applyFont="1" applyFill="1"/>
    <xf numFmtId="0" fontId="14" fillId="7" borderId="0" xfId="7" applyFont="1" applyFill="1"/>
    <xf numFmtId="1" fontId="14" fillId="7" borderId="7" xfId="8" applyNumberFormat="1" applyFont="1" applyFill="1" applyBorder="1" applyAlignment="1" applyProtection="1">
      <alignment horizontal="center"/>
    </xf>
    <xf numFmtId="49" fontId="14" fillId="7" borderId="0" xfId="9" applyNumberFormat="1" applyFont="1" applyFill="1"/>
    <xf numFmtId="0" fontId="14" fillId="7" borderId="7" xfId="9" applyFont="1" applyFill="1" applyBorder="1" applyAlignment="1">
      <alignment horizontal="center"/>
    </xf>
    <xf numFmtId="0" fontId="15" fillId="7" borderId="0" xfId="9" applyFont="1" applyFill="1" applyBorder="1" applyAlignment="1">
      <alignment horizontal="center"/>
    </xf>
    <xf numFmtId="165" fontId="14" fillId="7" borderId="0" xfId="0" applyNumberFormat="1" applyFont="1" applyFill="1" applyBorder="1" applyAlignment="1">
      <alignment horizontal="center"/>
    </xf>
    <xf numFmtId="165" fontId="14" fillId="7" borderId="13" xfId="0" applyNumberFormat="1" applyFont="1" applyFill="1" applyBorder="1" applyAlignment="1">
      <alignment horizontal="center"/>
    </xf>
    <xf numFmtId="3" fontId="14" fillId="7" borderId="7" xfId="0" applyNumberFormat="1" applyFont="1" applyFill="1" applyBorder="1" applyAlignment="1">
      <alignment horizontal="center"/>
    </xf>
    <xf numFmtId="3" fontId="14" fillId="7" borderId="7" xfId="0" applyNumberFormat="1" applyFont="1" applyFill="1" applyBorder="1" applyAlignment="1" applyProtection="1">
      <alignment horizontal="center"/>
      <protection locked="0"/>
    </xf>
    <xf numFmtId="165" fontId="14" fillId="7" borderId="8" xfId="0" applyNumberFormat="1" applyFont="1" applyFill="1" applyBorder="1" applyAlignment="1" applyProtection="1">
      <alignment horizontal="center"/>
    </xf>
    <xf numFmtId="1" fontId="14" fillId="7" borderId="9" xfId="8" applyNumberFormat="1" applyFont="1" applyFill="1" applyBorder="1" applyAlignment="1" applyProtection="1">
      <alignment horizontal="center"/>
    </xf>
    <xf numFmtId="0" fontId="14" fillId="7" borderId="9" xfId="9" applyFont="1" applyFill="1" applyBorder="1" applyAlignment="1">
      <alignment horizontal="center"/>
    </xf>
    <xf numFmtId="0" fontId="14" fillId="7" borderId="7" xfId="9" applyFont="1" applyFill="1" applyBorder="1"/>
    <xf numFmtId="1" fontId="14" fillId="7" borderId="7" xfId="9" applyNumberFormat="1" applyFont="1" applyFill="1" applyBorder="1" applyAlignment="1">
      <alignment horizontal="center"/>
    </xf>
    <xf numFmtId="166" fontId="14" fillId="7" borderId="7" xfId="9" applyNumberFormat="1" applyFont="1" applyFill="1" applyBorder="1" applyAlignment="1">
      <alignment horizontal="center"/>
    </xf>
    <xf numFmtId="0" fontId="21" fillId="7" borderId="7" xfId="9" applyFont="1" applyFill="1" applyBorder="1" applyAlignment="1">
      <alignment horizontal="center"/>
    </xf>
    <xf numFmtId="170" fontId="14" fillId="0" borderId="7" xfId="0" applyNumberFormat="1" applyFont="1" applyBorder="1" applyAlignment="1">
      <alignment horizontal="center"/>
    </xf>
    <xf numFmtId="0" fontId="0" fillId="7" borderId="7" xfId="0" applyFill="1" applyBorder="1" applyAlignment="1">
      <alignment horizontal="center"/>
    </xf>
    <xf numFmtId="164" fontId="9" fillId="4" borderId="9" xfId="0" applyNumberFormat="1" applyFont="1" applyFill="1" applyBorder="1" applyAlignment="1">
      <alignment horizontal="center"/>
    </xf>
    <xf numFmtId="167" fontId="14" fillId="7" borderId="7" xfId="9" applyNumberFormat="1" applyFont="1" applyFill="1" applyBorder="1" applyAlignment="1">
      <alignment horizontal="center"/>
    </xf>
    <xf numFmtId="165" fontId="9" fillId="4" borderId="9" xfId="0" applyNumberFormat="1" applyFont="1" applyFill="1" applyBorder="1" applyAlignment="1">
      <alignment horizontal="center"/>
    </xf>
    <xf numFmtId="170" fontId="14" fillId="7" borderId="7" xfId="9" applyNumberFormat="1" applyFont="1" applyFill="1" applyBorder="1" applyAlignment="1">
      <alignment horizontal="center"/>
    </xf>
    <xf numFmtId="0" fontId="2" fillId="0" borderId="0" xfId="0" applyFont="1"/>
    <xf numFmtId="2" fontId="9" fillId="4" borderId="8" xfId="0" applyNumberFormat="1" applyFont="1" applyFill="1" applyBorder="1" applyAlignment="1">
      <alignment horizontal="center"/>
    </xf>
    <xf numFmtId="0" fontId="9" fillId="4" borderId="20" xfId="0" applyFont="1" applyFill="1" applyBorder="1"/>
    <xf numFmtId="1" fontId="9" fillId="4" borderId="9" xfId="0" applyNumberFormat="1" applyFont="1" applyFill="1" applyBorder="1" applyAlignment="1">
      <alignment horizontal="center"/>
    </xf>
    <xf numFmtId="1" fontId="8" fillId="0" borderId="7" xfId="0" applyNumberFormat="1" applyFont="1" applyFill="1" applyBorder="1" applyAlignment="1">
      <alignment horizontal="center"/>
    </xf>
    <xf numFmtId="9" fontId="9" fillId="3" borderId="7" xfId="0" applyNumberFormat="1" applyFont="1" applyFill="1" applyBorder="1" applyAlignment="1">
      <alignment horizontal="center"/>
    </xf>
    <xf numFmtId="166" fontId="9" fillId="4" borderId="9" xfId="0" applyNumberFormat="1" applyFont="1" applyFill="1" applyBorder="1" applyAlignment="1">
      <alignment horizontal="center"/>
    </xf>
    <xf numFmtId="0" fontId="3" fillId="0" borderId="0" xfId="0" applyFont="1" applyBorder="1"/>
    <xf numFmtId="0" fontId="0" fillId="0" borderId="0" xfId="0" applyFill="1"/>
    <xf numFmtId="0" fontId="18" fillId="0" borderId="7" xfId="0" applyFont="1" applyBorder="1" applyAlignment="1">
      <alignment horizontal="right"/>
    </xf>
    <xf numFmtId="10" fontId="18" fillId="0" borderId="7" xfId="0" applyNumberFormat="1" applyFont="1" applyBorder="1"/>
    <xf numFmtId="0" fontId="22" fillId="0" borderId="2" xfId="0" applyFont="1" applyBorder="1" applyAlignment="1">
      <alignment horizontal="right"/>
    </xf>
    <xf numFmtId="0" fontId="23" fillId="0" borderId="0" xfId="0" applyFont="1"/>
    <xf numFmtId="165" fontId="22" fillId="0" borderId="7" xfId="0" applyNumberFormat="1" applyFont="1" applyBorder="1"/>
    <xf numFmtId="0" fontId="22" fillId="0" borderId="7" xfId="0" applyFont="1" applyBorder="1" applyAlignment="1">
      <alignment horizontal="right"/>
    </xf>
    <xf numFmtId="170" fontId="9" fillId="3" borderId="7" xfId="5" applyNumberFormat="1" applyFont="1" applyFill="1" applyBorder="1" applyAlignment="1">
      <alignment horizontal="center"/>
    </xf>
    <xf numFmtId="165" fontId="24" fillId="0" borderId="7" xfId="0" applyNumberFormat="1" applyFont="1" applyBorder="1" applyAlignment="1">
      <alignment horizontal="center"/>
    </xf>
    <xf numFmtId="9" fontId="9" fillId="3" borderId="7" xfId="5" applyFont="1" applyFill="1" applyBorder="1" applyAlignment="1">
      <alignment horizontal="center"/>
    </xf>
    <xf numFmtId="2" fontId="29" fillId="7" borderId="0" xfId="0" applyNumberFormat="1" applyFont="1" applyFill="1" applyBorder="1" applyAlignment="1">
      <alignment horizontal="center"/>
    </xf>
    <xf numFmtId="9" fontId="14" fillId="7" borderId="7" xfId="5" applyFont="1" applyFill="1" applyBorder="1" applyAlignment="1">
      <alignment horizontal="center"/>
    </xf>
    <xf numFmtId="170" fontId="14" fillId="7" borderId="7" xfId="5" applyNumberFormat="1" applyFont="1" applyFill="1" applyBorder="1" applyAlignment="1">
      <alignment horizontal="center"/>
    </xf>
    <xf numFmtId="0" fontId="9" fillId="3" borderId="10" xfId="0" applyFont="1" applyFill="1" applyBorder="1" applyAlignment="1">
      <alignment horizontal="center"/>
    </xf>
    <xf numFmtId="0" fontId="9" fillId="3" borderId="6" xfId="0" applyFont="1" applyFill="1" applyBorder="1" applyAlignment="1">
      <alignment horizontal="center"/>
    </xf>
    <xf numFmtId="0" fontId="9" fillId="3" borderId="9" xfId="0" applyFont="1" applyFill="1" applyBorder="1" applyAlignment="1">
      <alignment horizontal="center"/>
    </xf>
    <xf numFmtId="1" fontId="9" fillId="3" borderId="7" xfId="0" applyNumberFormat="1" applyFont="1" applyFill="1" applyBorder="1" applyAlignment="1">
      <alignment horizontal="center"/>
    </xf>
    <xf numFmtId="1" fontId="15" fillId="3" borderId="7" xfId="0" applyNumberFormat="1" applyFont="1" applyFill="1" applyBorder="1" applyAlignment="1">
      <alignment horizontal="center"/>
    </xf>
    <xf numFmtId="1" fontId="15" fillId="3" borderId="9" xfId="0" applyNumberFormat="1" applyFont="1" applyFill="1" applyBorder="1" applyAlignment="1">
      <alignment horizontal="center"/>
    </xf>
    <xf numFmtId="10" fontId="9" fillId="3" borderId="7" xfId="5" applyNumberFormat="1" applyFont="1" applyFill="1" applyBorder="1" applyAlignment="1">
      <alignment horizontal="center"/>
    </xf>
    <xf numFmtId="10" fontId="15" fillId="7" borderId="0" xfId="9" applyNumberFormat="1" applyFont="1" applyFill="1" applyBorder="1" applyAlignment="1">
      <alignment horizontal="center"/>
    </xf>
    <xf numFmtId="10" fontId="14" fillId="7" borderId="0" xfId="9" applyNumberFormat="1" applyFont="1" applyFill="1"/>
    <xf numFmtId="0" fontId="1" fillId="7" borderId="7" xfId="0" applyFont="1" applyFill="1" applyBorder="1" applyAlignment="1">
      <alignment horizontal="center"/>
    </xf>
    <xf numFmtId="10" fontId="9" fillId="3" borderId="9" xfId="0" applyNumberFormat="1" applyFont="1" applyFill="1" applyBorder="1" applyAlignment="1">
      <alignment horizontal="center"/>
    </xf>
    <xf numFmtId="0" fontId="1" fillId="7" borderId="0" xfId="0" applyFont="1" applyFill="1"/>
    <xf numFmtId="0" fontId="1" fillId="7" borderId="0" xfId="0" applyFont="1" applyFill="1" applyAlignment="1">
      <alignment horizontal="center"/>
    </xf>
    <xf numFmtId="0" fontId="1" fillId="7" borderId="7" xfId="0" applyFont="1" applyFill="1" applyBorder="1"/>
    <xf numFmtId="0" fontId="9" fillId="7" borderId="7" xfId="0" applyFont="1" applyFill="1" applyBorder="1" applyAlignment="1">
      <alignment horizontal="center"/>
    </xf>
    <xf numFmtId="165" fontId="9" fillId="7" borderId="7" xfId="0" applyNumberFormat="1" applyFont="1" applyFill="1" applyBorder="1" applyAlignment="1">
      <alignment horizontal="center"/>
    </xf>
    <xf numFmtId="1" fontId="9" fillId="7" borderId="7" xfId="0" applyNumberFormat="1" applyFont="1" applyFill="1" applyBorder="1" applyAlignment="1">
      <alignment horizontal="center"/>
    </xf>
    <xf numFmtId="10" fontId="9" fillId="7" borderId="7" xfId="5" applyNumberFormat="1" applyFont="1" applyFill="1" applyBorder="1" applyAlignment="1">
      <alignment horizontal="center"/>
    </xf>
    <xf numFmtId="9" fontId="1" fillId="0" borderId="0" xfId="0" applyNumberFormat="1" applyFont="1" applyAlignment="1">
      <alignment horizontal="center"/>
    </xf>
    <xf numFmtId="9" fontId="1" fillId="0" borderId="7" xfId="0" applyNumberFormat="1" applyFont="1" applyBorder="1" applyAlignment="1">
      <alignment horizontal="center"/>
    </xf>
    <xf numFmtId="1" fontId="9" fillId="3" borderId="9" xfId="0" applyNumberFormat="1" applyFont="1" applyFill="1" applyBorder="1" applyAlignment="1">
      <alignment horizontal="center"/>
    </xf>
    <xf numFmtId="170" fontId="9" fillId="3" borderId="7" xfId="0" applyNumberFormat="1" applyFont="1" applyFill="1" applyBorder="1" applyAlignment="1">
      <alignment horizontal="center"/>
    </xf>
    <xf numFmtId="0" fontId="14" fillId="7" borderId="7" xfId="0" applyFont="1" applyFill="1" applyBorder="1" applyAlignment="1">
      <alignment horizontal="center"/>
    </xf>
    <xf numFmtId="1" fontId="14" fillId="7" borderId="7" xfId="0" applyNumberFormat="1" applyFont="1" applyFill="1" applyBorder="1" applyAlignment="1">
      <alignment horizontal="center"/>
    </xf>
    <xf numFmtId="1" fontId="0" fillId="7" borderId="7" xfId="0" applyNumberFormat="1" applyFill="1" applyBorder="1" applyAlignment="1">
      <alignment horizontal="center"/>
    </xf>
    <xf numFmtId="0" fontId="1" fillId="0" borderId="7" xfId="2" applyFont="1" applyFill="1" applyBorder="1" applyAlignment="1">
      <alignment horizontal="center"/>
    </xf>
    <xf numFmtId="0" fontId="1" fillId="0" borderId="7" xfId="0" applyFont="1" applyFill="1" applyBorder="1"/>
    <xf numFmtId="0" fontId="1" fillId="0" borderId="7" xfId="0" applyFont="1" applyFill="1" applyBorder="1" applyAlignment="1">
      <alignment horizontal="center"/>
    </xf>
    <xf numFmtId="9" fontId="1" fillId="0" borderId="7" xfId="0" applyNumberFormat="1" applyFont="1" applyFill="1" applyBorder="1" applyAlignment="1">
      <alignment horizontal="center"/>
    </xf>
    <xf numFmtId="2" fontId="1" fillId="0" borderId="7" xfId="0" applyNumberFormat="1" applyFont="1" applyFill="1" applyBorder="1" applyAlignment="1">
      <alignment horizontal="center"/>
    </xf>
    <xf numFmtId="2" fontId="1" fillId="0" borderId="6" xfId="0" applyNumberFormat="1" applyFont="1" applyFill="1" applyBorder="1" applyAlignment="1">
      <alignment horizontal="center"/>
    </xf>
    <xf numFmtId="1" fontId="1" fillId="0" borderId="7" xfId="0" applyNumberFormat="1" applyFont="1" applyFill="1" applyBorder="1" applyAlignment="1">
      <alignment horizontal="center"/>
    </xf>
    <xf numFmtId="166" fontId="1" fillId="0" borderId="7" xfId="0" applyNumberFormat="1" applyFont="1" applyFill="1" applyBorder="1" applyAlignment="1">
      <alignment horizontal="center"/>
    </xf>
    <xf numFmtId="164" fontId="1" fillId="0" borderId="7" xfId="0" applyNumberFormat="1" applyFont="1" applyFill="1" applyBorder="1" applyAlignment="1">
      <alignment horizontal="center"/>
    </xf>
    <xf numFmtId="0" fontId="1" fillId="0" borderId="7" xfId="2" applyFont="1" applyBorder="1" applyAlignment="1">
      <alignment horizontal="center"/>
    </xf>
    <xf numFmtId="0" fontId="1" fillId="0" borderId="8" xfId="0" applyFont="1" applyFill="1" applyBorder="1"/>
    <xf numFmtId="0" fontId="1" fillId="0" borderId="8" xfId="0" applyFont="1" applyFill="1" applyBorder="1" applyAlignment="1">
      <alignment horizontal="center"/>
    </xf>
    <xf numFmtId="0" fontId="1" fillId="0" borderId="6" xfId="0" applyFont="1" applyFill="1" applyBorder="1" applyAlignment="1">
      <alignment horizontal="center"/>
    </xf>
    <xf numFmtId="165" fontId="1" fillId="0" borderId="7" xfId="0" applyNumberFormat="1" applyFont="1" applyFill="1" applyBorder="1" applyAlignment="1">
      <alignment horizontal="center"/>
    </xf>
    <xf numFmtId="0" fontId="1" fillId="0" borderId="7" xfId="0" applyFont="1" applyFill="1" applyBorder="1" applyAlignment="1">
      <alignment horizontal="left"/>
    </xf>
    <xf numFmtId="2" fontId="1" fillId="0" borderId="7" xfId="1" applyNumberFormat="1" applyFont="1" applyFill="1" applyBorder="1" applyAlignment="1">
      <alignment horizontal="center" vertical="center"/>
    </xf>
    <xf numFmtId="1" fontId="1" fillId="0" borderId="0" xfId="0" applyNumberFormat="1" applyFont="1" applyFill="1" applyAlignment="1">
      <alignment horizontal="center"/>
    </xf>
    <xf numFmtId="0" fontId="1" fillId="0" borderId="0" xfId="0" applyFont="1" applyFill="1"/>
    <xf numFmtId="0" fontId="1" fillId="0" borderId="0" xfId="0" applyFont="1" applyFill="1" applyAlignment="1">
      <alignment horizontal="center"/>
    </xf>
    <xf numFmtId="2" fontId="1" fillId="0" borderId="0" xfId="0" applyNumberFormat="1" applyFont="1" applyFill="1" applyAlignment="1">
      <alignment horizontal="center"/>
    </xf>
    <xf numFmtId="2" fontId="1" fillId="0" borderId="7" xfId="0" applyNumberFormat="1" applyFont="1" applyBorder="1" applyAlignment="1">
      <alignment horizontal="center"/>
    </xf>
    <xf numFmtId="0" fontId="1" fillId="0" borderId="7" xfId="0" applyFont="1" applyBorder="1" applyAlignment="1">
      <alignment horizontal="center"/>
    </xf>
    <xf numFmtId="1" fontId="1" fillId="0" borderId="0" xfId="0" applyNumberFormat="1" applyFont="1" applyAlignment="1">
      <alignment horizontal="center"/>
    </xf>
    <xf numFmtId="0" fontId="1" fillId="0" borderId="0" xfId="0" applyFont="1"/>
    <xf numFmtId="0" fontId="1" fillId="0" borderId="0" xfId="0" applyFont="1" applyAlignment="1">
      <alignment horizontal="center"/>
    </xf>
    <xf numFmtId="2" fontId="1" fillId="0" borderId="0" xfId="0" applyNumberFormat="1" applyFont="1" applyAlignment="1">
      <alignment horizontal="center"/>
    </xf>
    <xf numFmtId="0" fontId="1" fillId="0" borderId="7" xfId="0" applyFont="1" applyBorder="1"/>
    <xf numFmtId="0" fontId="1" fillId="0" borderId="10" xfId="2" applyFont="1" applyBorder="1" applyAlignment="1">
      <alignment horizontal="center"/>
    </xf>
    <xf numFmtId="0" fontId="1" fillId="0" borderId="11" xfId="0" applyFont="1" applyFill="1" applyBorder="1"/>
    <xf numFmtId="0" fontId="1" fillId="0" borderId="10" xfId="0" applyFont="1" applyFill="1" applyBorder="1" applyAlignment="1">
      <alignment horizontal="center"/>
    </xf>
    <xf numFmtId="9" fontId="1" fillId="0" borderId="10" xfId="0" applyNumberFormat="1" applyFont="1" applyFill="1" applyBorder="1" applyAlignment="1">
      <alignment horizontal="center"/>
    </xf>
    <xf numFmtId="2" fontId="1" fillId="0" borderId="10" xfId="0" applyNumberFormat="1" applyFont="1" applyBorder="1" applyAlignment="1">
      <alignment horizontal="center"/>
    </xf>
    <xf numFmtId="0" fontId="1" fillId="0" borderId="10" xfId="0" applyFont="1" applyBorder="1" applyAlignment="1">
      <alignment horizontal="center"/>
    </xf>
    <xf numFmtId="0" fontId="1" fillId="0" borderId="2" xfId="0" applyFont="1" applyFill="1" applyBorder="1" applyAlignment="1">
      <alignment horizontal="center"/>
    </xf>
    <xf numFmtId="0" fontId="1" fillId="0" borderId="7" xfId="2" applyFont="1" applyBorder="1"/>
    <xf numFmtId="0" fontId="1" fillId="0" borderId="9" xfId="0" applyFont="1" applyFill="1" applyBorder="1" applyAlignment="1">
      <alignment horizontal="center"/>
    </xf>
    <xf numFmtId="0" fontId="1" fillId="0" borderId="10" xfId="0" applyFont="1" applyFill="1" applyBorder="1"/>
    <xf numFmtId="0" fontId="1" fillId="0" borderId="10" xfId="2" applyFont="1" applyBorder="1"/>
    <xf numFmtId="0" fontId="1" fillId="0" borderId="12" xfId="0" applyFont="1" applyFill="1" applyBorder="1" applyAlignment="1">
      <alignment horizontal="center"/>
    </xf>
    <xf numFmtId="164" fontId="1" fillId="0" borderId="7" xfId="2" applyNumberFormat="1" applyFont="1" applyBorder="1" applyAlignment="1">
      <alignment horizontal="center"/>
    </xf>
    <xf numFmtId="0" fontId="1" fillId="0" borderId="10" xfId="0" applyFont="1" applyBorder="1"/>
    <xf numFmtId="164" fontId="1" fillId="0" borderId="10" xfId="2" applyNumberFormat="1" applyFont="1" applyBorder="1" applyAlignment="1">
      <alignment horizontal="center"/>
    </xf>
    <xf numFmtId="2" fontId="1" fillId="0" borderId="10" xfId="0" applyNumberFormat="1" applyFont="1" applyFill="1" applyBorder="1" applyAlignment="1">
      <alignment horizontal="center"/>
    </xf>
    <xf numFmtId="9" fontId="1" fillId="0" borderId="10" xfId="0" applyNumberFormat="1" applyFont="1" applyBorder="1" applyAlignment="1">
      <alignment horizontal="center"/>
    </xf>
    <xf numFmtId="2" fontId="1" fillId="0" borderId="7" xfId="2" applyNumberFormat="1" applyFont="1" applyBorder="1" applyAlignment="1">
      <alignment horizontal="center"/>
    </xf>
    <xf numFmtId="11" fontId="1" fillId="0" borderId="7" xfId="0" applyNumberFormat="1" applyFont="1" applyBorder="1" applyAlignment="1">
      <alignment horizontal="center"/>
    </xf>
    <xf numFmtId="0" fontId="1" fillId="0" borderId="7" xfId="0" applyFont="1" applyBorder="1" applyAlignment="1">
      <alignment horizontal="center" vertical="center"/>
    </xf>
    <xf numFmtId="166" fontId="1" fillId="0" borderId="7" xfId="0" applyNumberFormat="1" applyFont="1" applyBorder="1" applyAlignment="1">
      <alignment horizontal="center"/>
    </xf>
    <xf numFmtId="1" fontId="1" fillId="0" borderId="7" xfId="0" applyNumberFormat="1" applyFont="1" applyBorder="1" applyAlignment="1">
      <alignment horizontal="center"/>
    </xf>
    <xf numFmtId="9" fontId="1" fillId="7" borderId="0" xfId="0" applyNumberFormat="1" applyFont="1" applyFill="1" applyAlignment="1">
      <alignment horizontal="center"/>
    </xf>
    <xf numFmtId="170" fontId="1" fillId="0" borderId="7" xfId="0" applyNumberFormat="1" applyFont="1" applyBorder="1" applyAlignment="1">
      <alignment horizontal="center"/>
    </xf>
    <xf numFmtId="165" fontId="1" fillId="0" borderId="7" xfId="0" applyNumberFormat="1" applyFont="1" applyBorder="1" applyAlignment="1">
      <alignment horizontal="center"/>
    </xf>
    <xf numFmtId="1" fontId="1" fillId="7" borderId="0" xfId="0" applyNumberFormat="1" applyFont="1" applyFill="1" applyAlignment="1">
      <alignment horizontal="center"/>
    </xf>
    <xf numFmtId="10" fontId="1" fillId="7" borderId="7" xfId="5" applyNumberFormat="1" applyFont="1" applyFill="1" applyBorder="1" applyAlignment="1">
      <alignment horizontal="center"/>
    </xf>
    <xf numFmtId="165" fontId="1" fillId="7" borderId="7" xfId="0" applyNumberFormat="1" applyFont="1" applyFill="1" applyBorder="1" applyAlignment="1">
      <alignment horizontal="center"/>
    </xf>
    <xf numFmtId="2" fontId="1" fillId="5" borderId="7" xfId="0" applyNumberFormat="1" applyFont="1" applyFill="1" applyBorder="1" applyAlignment="1">
      <alignment horizontal="center"/>
    </xf>
    <xf numFmtId="1" fontId="1" fillId="7" borderId="7" xfId="0" applyNumberFormat="1" applyFont="1" applyFill="1" applyBorder="1" applyAlignment="1">
      <alignment horizontal="center"/>
    </xf>
    <xf numFmtId="2" fontId="1" fillId="7" borderId="7" xfId="0" applyNumberFormat="1" applyFont="1" applyFill="1" applyBorder="1" applyAlignment="1">
      <alignment horizontal="center"/>
    </xf>
    <xf numFmtId="2" fontId="1" fillId="7" borderId="0" xfId="0" applyNumberFormat="1" applyFont="1" applyFill="1" applyBorder="1" applyAlignment="1">
      <alignment horizontal="center"/>
    </xf>
    <xf numFmtId="1" fontId="1" fillId="7" borderId="0" xfId="0" applyNumberFormat="1" applyFont="1" applyFill="1"/>
    <xf numFmtId="1" fontId="1" fillId="7" borderId="0" xfId="0" applyNumberFormat="1" applyFont="1" applyFill="1" applyBorder="1" applyAlignment="1">
      <alignment horizontal="center"/>
    </xf>
    <xf numFmtId="0" fontId="1" fillId="7" borderId="0" xfId="0" applyFont="1" applyFill="1" applyBorder="1" applyAlignment="1">
      <alignment horizontal="center"/>
    </xf>
    <xf numFmtId="10" fontId="1" fillId="7" borderId="0" xfId="0" applyNumberFormat="1" applyFont="1" applyFill="1"/>
    <xf numFmtId="166" fontId="1" fillId="7" borderId="7" xfId="0" applyNumberFormat="1" applyFont="1" applyFill="1" applyBorder="1" applyAlignment="1">
      <alignment horizontal="center"/>
    </xf>
    <xf numFmtId="164" fontId="1" fillId="7" borderId="7" xfId="0" applyNumberFormat="1" applyFont="1" applyFill="1" applyBorder="1" applyAlignment="1">
      <alignment horizontal="center"/>
    </xf>
    <xf numFmtId="167" fontId="1" fillId="7" borderId="7" xfId="0" applyNumberFormat="1" applyFont="1" applyFill="1" applyBorder="1" applyAlignment="1">
      <alignment horizontal="center"/>
    </xf>
    <xf numFmtId="10" fontId="1" fillId="7" borderId="0" xfId="0" applyNumberFormat="1" applyFont="1" applyFill="1" applyAlignment="1">
      <alignment horizontal="center"/>
    </xf>
    <xf numFmtId="49" fontId="1" fillId="7" borderId="0" xfId="0" applyNumberFormat="1" applyFont="1" applyFill="1"/>
    <xf numFmtId="49" fontId="1" fillId="7" borderId="0" xfId="0" applyNumberFormat="1" applyFont="1" applyFill="1" applyAlignment="1">
      <alignment horizontal="center"/>
    </xf>
    <xf numFmtId="0" fontId="32" fillId="7" borderId="11" xfId="11" applyFont="1" applyFill="1" applyBorder="1" applyAlignment="1">
      <alignment horizontal="center"/>
    </xf>
    <xf numFmtId="0" fontId="1" fillId="7" borderId="12" xfId="0" applyFont="1" applyFill="1" applyBorder="1" applyAlignment="1">
      <alignment horizontal="center"/>
    </xf>
    <xf numFmtId="0" fontId="1" fillId="0" borderId="9" xfId="0" applyFont="1" applyBorder="1" applyAlignment="1">
      <alignment horizontal="center"/>
    </xf>
    <xf numFmtId="170" fontId="1" fillId="0" borderId="7" xfId="5" applyNumberFormat="1" applyFont="1" applyBorder="1" applyAlignment="1">
      <alignment horizontal="center"/>
    </xf>
    <xf numFmtId="0" fontId="1" fillId="7" borderId="21" xfId="0" applyFont="1" applyFill="1" applyBorder="1" applyAlignment="1">
      <alignment horizontal="center"/>
    </xf>
    <xf numFmtId="0" fontId="1" fillId="7" borderId="22" xfId="0" applyFont="1" applyFill="1" applyBorder="1" applyAlignment="1">
      <alignment horizontal="center"/>
    </xf>
    <xf numFmtId="10" fontId="1" fillId="0" borderId="9" xfId="0" applyNumberFormat="1" applyFont="1" applyBorder="1" applyAlignment="1">
      <alignment horizontal="center"/>
    </xf>
    <xf numFmtId="170" fontId="1" fillId="7" borderId="7" xfId="5" applyNumberFormat="1" applyFont="1" applyFill="1" applyBorder="1" applyAlignment="1">
      <alignment horizontal="center"/>
    </xf>
    <xf numFmtId="170" fontId="1" fillId="0" borderId="9" xfId="0" applyNumberFormat="1" applyFont="1" applyBorder="1" applyAlignment="1">
      <alignment horizontal="center"/>
    </xf>
    <xf numFmtId="2" fontId="14" fillId="7" borderId="7" xfId="11" applyNumberFormat="1" applyFont="1" applyFill="1" applyBorder="1" applyAlignment="1">
      <alignment horizontal="center"/>
    </xf>
    <xf numFmtId="0" fontId="1" fillId="7" borderId="9" xfId="0" applyFont="1" applyFill="1" applyBorder="1" applyAlignment="1">
      <alignment horizontal="center"/>
    </xf>
    <xf numFmtId="170" fontId="1" fillId="7" borderId="22" xfId="0" applyNumberFormat="1" applyFont="1" applyFill="1" applyBorder="1" applyAlignment="1">
      <alignment horizontal="center"/>
    </xf>
    <xf numFmtId="10" fontId="1" fillId="7" borderId="9" xfId="0" applyNumberFormat="1" applyFont="1" applyFill="1" applyBorder="1" applyAlignment="1">
      <alignment horizontal="center"/>
    </xf>
    <xf numFmtId="0" fontId="1" fillId="7" borderId="14" xfId="0" applyFont="1" applyFill="1" applyBorder="1" applyAlignment="1">
      <alignment horizontal="center"/>
    </xf>
    <xf numFmtId="170" fontId="1" fillId="7" borderId="23" xfId="0" applyNumberFormat="1" applyFont="1" applyFill="1" applyBorder="1" applyAlignment="1">
      <alignment horizontal="center"/>
    </xf>
    <xf numFmtId="170" fontId="1" fillId="7" borderId="7" xfId="0" applyNumberFormat="1" applyFont="1" applyFill="1" applyBorder="1" applyAlignment="1">
      <alignment horizontal="center"/>
    </xf>
    <xf numFmtId="14" fontId="1" fillId="7" borderId="0" xfId="0" applyNumberFormat="1" applyFont="1" applyFill="1" applyAlignment="1">
      <alignment horizontal="center"/>
    </xf>
    <xf numFmtId="0" fontId="1" fillId="7" borderId="7" xfId="0" applyFont="1" applyFill="1" applyBorder="1" applyAlignment="1">
      <alignment horizontal="right"/>
    </xf>
    <xf numFmtId="0" fontId="1" fillId="7" borderId="0" xfId="0" applyFont="1" applyFill="1" applyAlignment="1">
      <alignment horizontal="right"/>
    </xf>
    <xf numFmtId="167" fontId="1" fillId="7" borderId="0" xfId="0" applyNumberFormat="1" applyFont="1" applyFill="1" applyBorder="1" applyAlignment="1">
      <alignment horizontal="center"/>
    </xf>
    <xf numFmtId="169" fontId="1" fillId="7" borderId="0" xfId="0" applyNumberFormat="1" applyFont="1" applyFill="1"/>
    <xf numFmtId="0" fontId="1" fillId="7" borderId="6" xfId="0" applyFont="1" applyFill="1" applyBorder="1"/>
    <xf numFmtId="0" fontId="1" fillId="7" borderId="0" xfId="0" applyFont="1" applyFill="1" applyBorder="1"/>
    <xf numFmtId="170" fontId="1" fillId="7" borderId="6" xfId="5" applyNumberFormat="1" applyFont="1" applyFill="1" applyBorder="1" applyAlignment="1">
      <alignment horizontal="center"/>
    </xf>
    <xf numFmtId="0" fontId="1" fillId="7" borderId="6" xfId="0" applyFont="1" applyFill="1" applyBorder="1" applyAlignment="1">
      <alignment horizontal="center"/>
    </xf>
    <xf numFmtId="166" fontId="1" fillId="7" borderId="7" xfId="0" applyNumberFormat="1" applyFont="1" applyFill="1" applyBorder="1"/>
    <xf numFmtId="166" fontId="1" fillId="7" borderId="0" xfId="0" applyNumberFormat="1" applyFont="1" applyFill="1" applyAlignment="1">
      <alignment horizontal="center"/>
    </xf>
    <xf numFmtId="166" fontId="1" fillId="7" borderId="0" xfId="0" applyNumberFormat="1" applyFont="1" applyFill="1" applyBorder="1" applyAlignment="1">
      <alignment horizontal="center"/>
    </xf>
    <xf numFmtId="170" fontId="1" fillId="7" borderId="2" xfId="5" applyNumberFormat="1" applyFont="1" applyFill="1" applyBorder="1" applyAlignment="1">
      <alignment horizontal="center"/>
    </xf>
    <xf numFmtId="2" fontId="1" fillId="7" borderId="0" xfId="0" applyNumberFormat="1" applyFont="1" applyFill="1" applyAlignment="1">
      <alignment horizontal="center"/>
    </xf>
    <xf numFmtId="9" fontId="1" fillId="7" borderId="7" xfId="5" applyFont="1" applyFill="1" applyBorder="1" applyAlignment="1">
      <alignment horizontal="center"/>
    </xf>
    <xf numFmtId="165" fontId="1" fillId="7" borderId="7" xfId="6" applyNumberFormat="1" applyFont="1" applyFill="1" applyBorder="1" applyAlignment="1">
      <alignment horizontal="center"/>
    </xf>
    <xf numFmtId="170" fontId="1" fillId="7" borderId="0" xfId="5" applyNumberFormat="1" applyFont="1" applyFill="1" applyAlignment="1">
      <alignment horizontal="center"/>
    </xf>
    <xf numFmtId="9" fontId="1" fillId="7" borderId="7" xfId="5" applyNumberFormat="1" applyFont="1" applyFill="1" applyBorder="1" applyAlignment="1">
      <alignment horizontal="center"/>
    </xf>
    <xf numFmtId="1" fontId="1" fillId="7" borderId="7" xfId="5" applyNumberFormat="1" applyFont="1" applyFill="1" applyBorder="1" applyAlignment="1">
      <alignment horizontal="center"/>
    </xf>
    <xf numFmtId="165" fontId="1" fillId="7" borderId="7" xfId="5" applyNumberFormat="1" applyFont="1" applyFill="1" applyBorder="1" applyAlignment="1">
      <alignment horizontal="center"/>
    </xf>
    <xf numFmtId="164" fontId="1" fillId="7" borderId="0" xfId="0" applyNumberFormat="1" applyFont="1" applyFill="1" applyBorder="1"/>
    <xf numFmtId="166" fontId="1" fillId="7" borderId="0" xfId="0" applyNumberFormat="1" applyFont="1" applyFill="1" applyBorder="1"/>
    <xf numFmtId="164" fontId="1" fillId="7" borderId="10" xfId="0" applyNumberFormat="1" applyFont="1" applyFill="1" applyBorder="1" applyAlignment="1">
      <alignment horizontal="center"/>
    </xf>
    <xf numFmtId="167" fontId="1" fillId="7" borderId="10" xfId="0" applyNumberFormat="1" applyFont="1" applyFill="1" applyBorder="1" applyAlignment="1">
      <alignment horizontal="center"/>
    </xf>
    <xf numFmtId="0" fontId="1" fillId="7" borderId="10" xfId="0" applyFont="1" applyFill="1" applyBorder="1" applyAlignment="1">
      <alignment horizontal="center"/>
    </xf>
    <xf numFmtId="2" fontId="1" fillId="7" borderId="10" xfId="0" applyNumberFormat="1" applyFont="1" applyFill="1" applyBorder="1" applyAlignment="1">
      <alignment horizontal="center"/>
    </xf>
    <xf numFmtId="2" fontId="1" fillId="7" borderId="6" xfId="0" applyNumberFormat="1" applyFont="1" applyFill="1" applyBorder="1" applyAlignment="1">
      <alignment horizontal="center"/>
    </xf>
    <xf numFmtId="167" fontId="1" fillId="7" borderId="6" xfId="0" applyNumberFormat="1" applyFont="1" applyFill="1" applyBorder="1" applyAlignment="1">
      <alignment horizontal="center"/>
    </xf>
    <xf numFmtId="9" fontId="1" fillId="7" borderId="0" xfId="0" applyNumberFormat="1" applyFont="1" applyFill="1" applyBorder="1" applyAlignment="1">
      <alignment horizontal="center"/>
    </xf>
    <xf numFmtId="170" fontId="1" fillId="0" borderId="7" xfId="5" applyNumberFormat="1" applyFont="1" applyFill="1" applyBorder="1"/>
    <xf numFmtId="165" fontId="1" fillId="0" borderId="7" xfId="0" applyNumberFormat="1" applyFont="1" applyFill="1" applyBorder="1"/>
    <xf numFmtId="166" fontId="1" fillId="0" borderId="7" xfId="0" applyNumberFormat="1" applyFont="1" applyFill="1" applyBorder="1"/>
    <xf numFmtId="0" fontId="1" fillId="7" borderId="2" xfId="0" applyFont="1" applyFill="1" applyBorder="1" applyAlignment="1">
      <alignment horizontal="center"/>
    </xf>
    <xf numFmtId="0" fontId="1" fillId="0" borderId="9" xfId="0" applyFont="1" applyFill="1" applyBorder="1"/>
    <xf numFmtId="9" fontId="1" fillId="7" borderId="7" xfId="0" applyNumberFormat="1" applyFont="1" applyFill="1" applyBorder="1"/>
    <xf numFmtId="164" fontId="1" fillId="7" borderId="0" xfId="0" applyNumberFormat="1" applyFont="1" applyFill="1" applyBorder="1" applyAlignment="1">
      <alignment horizontal="center"/>
    </xf>
    <xf numFmtId="166" fontId="1" fillId="0" borderId="8" xfId="0" applyNumberFormat="1" applyFont="1" applyFill="1" applyBorder="1" applyAlignment="1">
      <alignment horizontal="center"/>
    </xf>
    <xf numFmtId="164" fontId="14" fillId="0" borderId="7" xfId="0" applyNumberFormat="1" applyFont="1" applyFill="1" applyBorder="1" applyAlignment="1">
      <alignment horizontal="center"/>
    </xf>
    <xf numFmtId="2" fontId="8" fillId="7" borderId="0" xfId="0" applyNumberFormat="1" applyFont="1" applyFill="1" applyBorder="1" applyAlignment="1">
      <alignment horizontal="center"/>
    </xf>
    <xf numFmtId="0" fontId="1" fillId="7" borderId="0" xfId="0" applyFont="1" applyFill="1" applyBorder="1" applyAlignment="1">
      <alignment horizontal="left"/>
    </xf>
    <xf numFmtId="170" fontId="1" fillId="0" borderId="7" xfId="0" applyNumberFormat="1" applyFont="1" applyFill="1" applyBorder="1"/>
    <xf numFmtId="165" fontId="1" fillId="7" borderId="0" xfId="0" applyNumberFormat="1" applyFont="1" applyFill="1" applyBorder="1" applyAlignment="1">
      <alignment horizontal="center"/>
    </xf>
    <xf numFmtId="170" fontId="1" fillId="0" borderId="2" xfId="5" applyNumberFormat="1" applyFont="1" applyFill="1" applyBorder="1"/>
    <xf numFmtId="164" fontId="1" fillId="0" borderId="7" xfId="0" applyNumberFormat="1" applyFont="1" applyFill="1" applyBorder="1"/>
    <xf numFmtId="0" fontId="1" fillId="7" borderId="7" xfId="0" applyFont="1" applyFill="1" applyBorder="1" applyAlignment="1">
      <alignment horizontal="left"/>
    </xf>
    <xf numFmtId="0" fontId="1" fillId="5" borderId="7" xfId="0" applyFont="1" applyFill="1" applyBorder="1"/>
    <xf numFmtId="0" fontId="1" fillId="5" borderId="7" xfId="0" applyFont="1" applyFill="1" applyBorder="1" applyAlignment="1">
      <alignment horizontal="left"/>
    </xf>
    <xf numFmtId="1" fontId="1" fillId="0" borderId="7" xfId="8" applyNumberFormat="1" applyFont="1" applyBorder="1" applyAlignment="1" applyProtection="1">
      <alignment horizontal="center"/>
    </xf>
    <xf numFmtId="1" fontId="14" fillId="0" borderId="7" xfId="8" applyNumberFormat="1" applyFont="1" applyBorder="1" applyAlignment="1" applyProtection="1">
      <alignment horizontal="center"/>
    </xf>
    <xf numFmtId="1" fontId="14" fillId="0" borderId="7" xfId="8" applyNumberFormat="1" applyFont="1" applyBorder="1" applyAlignment="1">
      <alignment horizontal="center"/>
    </xf>
    <xf numFmtId="172" fontId="11" fillId="0" borderId="7" xfId="8" applyFont="1" applyBorder="1" applyAlignment="1">
      <alignment horizontal="center"/>
    </xf>
    <xf numFmtId="1" fontId="11" fillId="0" borderId="7" xfId="0" applyNumberFormat="1" applyFont="1" applyBorder="1" applyAlignment="1">
      <alignment horizontal="center"/>
    </xf>
    <xf numFmtId="1" fontId="11" fillId="0" borderId="7" xfId="8" applyNumberFormat="1" applyFont="1" applyBorder="1" applyAlignment="1">
      <alignment horizontal="center"/>
    </xf>
    <xf numFmtId="0" fontId="14" fillId="7" borderId="7" xfId="0" applyFont="1" applyFill="1" applyBorder="1" applyAlignment="1" applyProtection="1">
      <alignment horizontal="center"/>
    </xf>
    <xf numFmtId="1" fontId="14" fillId="7" borderId="7" xfId="0" applyNumberFormat="1" applyFont="1" applyFill="1" applyBorder="1" applyAlignment="1" applyProtection="1">
      <alignment horizontal="center"/>
    </xf>
    <xf numFmtId="0" fontId="14" fillId="0" borderId="7" xfId="0" applyFont="1" applyBorder="1" applyAlignment="1">
      <alignment horizontal="center"/>
    </xf>
    <xf numFmtId="0" fontId="14" fillId="0" borderId="7" xfId="0" applyFont="1" applyBorder="1" applyAlignment="1" applyProtection="1">
      <alignment horizontal="center"/>
    </xf>
    <xf numFmtId="0" fontId="31" fillId="0" borderId="7" xfId="0" applyFont="1" applyBorder="1" applyAlignment="1">
      <alignment horizontal="center"/>
    </xf>
    <xf numFmtId="0" fontId="33" fillId="7" borderId="7" xfId="0" applyFont="1" applyFill="1" applyBorder="1" applyAlignment="1">
      <alignment horizontal="center"/>
    </xf>
    <xf numFmtId="1" fontId="33" fillId="7" borderId="7" xfId="0" applyNumberFormat="1" applyFont="1" applyFill="1" applyBorder="1" applyAlignment="1">
      <alignment horizontal="center"/>
    </xf>
    <xf numFmtId="1" fontId="34" fillId="0" borderId="7" xfId="12" applyNumberFormat="1" applyFont="1" applyFill="1" applyBorder="1" applyAlignment="1" applyProtection="1">
      <alignment horizontal="center"/>
    </xf>
    <xf numFmtId="0" fontId="11" fillId="7" borderId="7" xfId="0" applyFont="1" applyFill="1" applyBorder="1" applyAlignment="1">
      <alignment horizontal="center"/>
    </xf>
    <xf numFmtId="0" fontId="0" fillId="0" borderId="7" xfId="0" applyNumberFormat="1" applyBorder="1" applyAlignment="1">
      <alignment horizontal="center"/>
    </xf>
    <xf numFmtId="1" fontId="11" fillId="7" borderId="7" xfId="13" applyNumberFormat="1" applyFont="1" applyFill="1" applyBorder="1" applyAlignment="1" applyProtection="1">
      <alignment horizontal="center"/>
    </xf>
    <xf numFmtId="0" fontId="11" fillId="7" borderId="7" xfId="14" applyNumberFormat="1" applyFont="1" applyFill="1" applyBorder="1" applyAlignment="1" applyProtection="1">
      <alignment horizontal="center"/>
    </xf>
    <xf numFmtId="1" fontId="0" fillId="0" borderId="7" xfId="0" applyNumberFormat="1" applyFont="1" applyBorder="1" applyAlignment="1">
      <alignment horizontal="center"/>
    </xf>
    <xf numFmtId="0" fontId="33" fillId="0" borderId="7" xfId="0" applyFont="1" applyFill="1" applyBorder="1" applyAlignment="1">
      <alignment horizontal="center"/>
    </xf>
    <xf numFmtId="1" fontId="0" fillId="0" borderId="7" xfId="0" applyNumberFormat="1" applyBorder="1" applyAlignment="1">
      <alignment horizontal="center"/>
    </xf>
    <xf numFmtId="2" fontId="0" fillId="0" borderId="7" xfId="0" applyNumberFormat="1" applyBorder="1" applyAlignment="1">
      <alignment horizontal="center"/>
    </xf>
    <xf numFmtId="0" fontId="0" fillId="7" borderId="7" xfId="0" applyNumberFormat="1" applyFill="1" applyBorder="1" applyAlignment="1">
      <alignment horizontal="center"/>
    </xf>
    <xf numFmtId="172" fontId="14" fillId="7" borderId="7" xfId="14" applyNumberFormat="1" applyFont="1" applyFill="1" applyBorder="1" applyAlignment="1" applyProtection="1">
      <alignment horizontal="center" vertical="center"/>
    </xf>
    <xf numFmtId="0" fontId="0" fillId="7" borderId="7" xfId="0" applyFont="1" applyFill="1" applyBorder="1" applyAlignment="1">
      <alignment horizontal="center"/>
    </xf>
    <xf numFmtId="1" fontId="11" fillId="7" borderId="7" xfId="0" applyNumberFormat="1" applyFont="1" applyFill="1" applyBorder="1" applyAlignment="1">
      <alignment horizontal="center"/>
    </xf>
    <xf numFmtId="0" fontId="36" fillId="7" borderId="7" xfId="0" applyFont="1" applyFill="1" applyBorder="1" applyAlignment="1">
      <alignment horizontal="center"/>
    </xf>
    <xf numFmtId="172" fontId="33" fillId="7" borderId="7" xfId="14" applyNumberFormat="1" applyFont="1" applyFill="1" applyBorder="1" applyAlignment="1" applyProtection="1">
      <alignment horizontal="center"/>
    </xf>
    <xf numFmtId="0" fontId="5" fillId="7" borderId="7" xfId="0" applyFont="1" applyFill="1" applyBorder="1" applyAlignment="1">
      <alignment horizontal="center"/>
    </xf>
    <xf numFmtId="16" fontId="9" fillId="4" borderId="9" xfId="0" applyNumberFormat="1" applyFont="1" applyFill="1" applyBorder="1" applyAlignment="1">
      <alignment horizontal="center"/>
    </xf>
    <xf numFmtId="0" fontId="3" fillId="7" borderId="0" xfId="0" applyFont="1" applyFill="1" applyAlignment="1">
      <alignment horizontal="center"/>
    </xf>
    <xf numFmtId="49" fontId="9" fillId="4" borderId="7" xfId="0" applyNumberFormat="1" applyFont="1" applyFill="1" applyBorder="1" applyAlignment="1">
      <alignment horizontal="center"/>
    </xf>
    <xf numFmtId="2" fontId="9" fillId="4" borderId="9" xfId="0" applyNumberFormat="1" applyFont="1" applyFill="1" applyBorder="1" applyAlignment="1">
      <alignment horizontal="left" vertical="center"/>
    </xf>
    <xf numFmtId="0" fontId="1" fillId="0" borderId="7" xfId="0" applyFont="1" applyFill="1" applyBorder="1" applyAlignment="1">
      <alignment horizontal="left" vertical="center"/>
    </xf>
    <xf numFmtId="0" fontId="1" fillId="0" borderId="6" xfId="0" applyFont="1" applyFill="1" applyBorder="1" applyAlignment="1">
      <alignment horizontal="left" vertical="center"/>
    </xf>
    <xf numFmtId="0" fontId="1" fillId="0" borderId="0" xfId="0" applyFont="1" applyFill="1" applyBorder="1" applyAlignment="1">
      <alignment horizontal="left" vertical="center"/>
    </xf>
    <xf numFmtId="0" fontId="1" fillId="0" borderId="0" xfId="2" applyFont="1" applyBorder="1" applyAlignment="1">
      <alignment horizontal="left" vertical="center"/>
    </xf>
    <xf numFmtId="0" fontId="1" fillId="0" borderId="0" xfId="0" applyFont="1" applyBorder="1" applyAlignment="1">
      <alignment horizontal="left" vertical="center"/>
    </xf>
    <xf numFmtId="2" fontId="1" fillId="0" borderId="0" xfId="0" applyNumberFormat="1" applyFont="1" applyBorder="1" applyAlignment="1">
      <alignment horizontal="left" vertical="center"/>
    </xf>
    <xf numFmtId="0" fontId="1" fillId="0" borderId="0" xfId="0" applyFont="1" applyAlignment="1">
      <alignment horizontal="left" vertical="center"/>
    </xf>
    <xf numFmtId="0" fontId="18" fillId="4" borderId="24" xfId="0" applyFont="1" applyFill="1" applyBorder="1" applyAlignment="1">
      <alignment horizontal="left" vertical="center"/>
    </xf>
    <xf numFmtId="2" fontId="1" fillId="5" borderId="0" xfId="0" applyNumberFormat="1" applyFont="1" applyFill="1" applyBorder="1" applyAlignment="1">
      <alignment horizontal="left" vertical="center"/>
    </xf>
    <xf numFmtId="2" fontId="9" fillId="7" borderId="0" xfId="0" applyNumberFormat="1" applyFont="1" applyFill="1" applyBorder="1" applyAlignment="1">
      <alignment horizontal="left" vertical="center"/>
    </xf>
    <xf numFmtId="2" fontId="1" fillId="7" borderId="0" xfId="0" applyNumberFormat="1" applyFont="1" applyFill="1" applyBorder="1" applyAlignment="1">
      <alignment horizontal="left" vertical="center"/>
    </xf>
    <xf numFmtId="0" fontId="18" fillId="10" borderId="24" xfId="0" applyFont="1" applyFill="1" applyBorder="1" applyAlignment="1">
      <alignment horizontal="left" vertical="center"/>
    </xf>
    <xf numFmtId="2" fontId="14" fillId="7" borderId="0" xfId="9" applyNumberFormat="1" applyFont="1" applyFill="1" applyBorder="1" applyAlignment="1">
      <alignment horizontal="left" vertical="center"/>
    </xf>
    <xf numFmtId="2" fontId="15" fillId="7" borderId="0" xfId="9" applyNumberFormat="1" applyFont="1" applyFill="1" applyBorder="1" applyAlignment="1">
      <alignment horizontal="left" vertical="center"/>
    </xf>
    <xf numFmtId="0" fontId="9" fillId="4" borderId="7" xfId="0" applyFont="1" applyFill="1" applyBorder="1" applyAlignment="1">
      <alignment horizontal="left" vertical="center"/>
    </xf>
    <xf numFmtId="0" fontId="1" fillId="7" borderId="0" xfId="0" applyFont="1" applyFill="1" applyAlignment="1">
      <alignment horizontal="left" vertical="center"/>
    </xf>
    <xf numFmtId="0" fontId="1" fillId="7" borderId="0" xfId="0" applyFont="1" applyFill="1" applyBorder="1" applyAlignment="1">
      <alignment horizontal="left" vertical="center"/>
    </xf>
    <xf numFmtId="166" fontId="1" fillId="7" borderId="0" xfId="0" applyNumberFormat="1" applyFont="1" applyFill="1" applyBorder="1" applyAlignment="1">
      <alignment horizontal="left" vertical="center"/>
    </xf>
    <xf numFmtId="0" fontId="1" fillId="0" borderId="21" xfId="0" applyFont="1" applyFill="1" applyBorder="1" applyAlignment="1">
      <alignment horizontal="left" vertical="center"/>
    </xf>
    <xf numFmtId="166" fontId="1" fillId="0" borderId="21" xfId="0" applyNumberFormat="1" applyFont="1" applyFill="1" applyBorder="1" applyAlignment="1">
      <alignment horizontal="left" vertical="center"/>
    </xf>
    <xf numFmtId="0" fontId="3" fillId="0" borderId="0" xfId="0" applyFont="1" applyAlignment="1">
      <alignment horizontal="left" vertical="center"/>
    </xf>
    <xf numFmtId="0" fontId="0" fillId="0" borderId="0" xfId="0" applyAlignment="1">
      <alignment horizontal="right"/>
    </xf>
    <xf numFmtId="0" fontId="18" fillId="0" borderId="0" xfId="0" applyFont="1" applyAlignment="1">
      <alignment horizontal="center"/>
    </xf>
    <xf numFmtId="0" fontId="9" fillId="11" borderId="2" xfId="0" applyFont="1" applyFill="1" applyBorder="1" applyAlignment="1">
      <alignment horizontal="center" vertical="center" wrapText="1"/>
    </xf>
    <xf numFmtId="0" fontId="9" fillId="12" borderId="2" xfId="0" applyFont="1" applyFill="1" applyBorder="1" applyAlignment="1">
      <alignment horizontal="center" vertical="center" wrapText="1"/>
    </xf>
    <xf numFmtId="0" fontId="9" fillId="12" borderId="5" xfId="0" applyFont="1" applyFill="1" applyBorder="1" applyAlignment="1">
      <alignment horizontal="center"/>
    </xf>
    <xf numFmtId="0" fontId="9" fillId="13" borderId="2" xfId="0" applyFont="1" applyFill="1" applyBorder="1" applyAlignment="1">
      <alignment horizontal="center" vertical="center" wrapText="1"/>
    </xf>
    <xf numFmtId="0" fontId="9" fillId="13" borderId="5" xfId="0" applyFont="1" applyFill="1" applyBorder="1" applyAlignment="1">
      <alignment horizontal="center"/>
    </xf>
    <xf numFmtId="0" fontId="9" fillId="11" borderId="5" xfId="0" applyFont="1" applyFill="1" applyBorder="1" applyAlignment="1">
      <alignment horizontal="center"/>
    </xf>
    <xf numFmtId="0" fontId="9" fillId="14" borderId="2" xfId="0" applyFont="1" applyFill="1" applyBorder="1" applyAlignment="1">
      <alignment horizontal="center" vertical="center" wrapText="1"/>
    </xf>
    <xf numFmtId="0" fontId="9" fillId="14" borderId="5" xfId="0" applyFont="1" applyFill="1" applyBorder="1" applyAlignment="1">
      <alignment horizontal="center"/>
    </xf>
    <xf numFmtId="0" fontId="9" fillId="3" borderId="2" xfId="0" applyFont="1" applyFill="1" applyBorder="1" applyAlignment="1">
      <alignment vertical="center"/>
    </xf>
    <xf numFmtId="0" fontId="9" fillId="3" borderId="2" xfId="0" applyFont="1" applyFill="1" applyBorder="1" applyAlignment="1">
      <alignment horizontal="center" vertical="center" wrapText="1"/>
    </xf>
    <xf numFmtId="9" fontId="9" fillId="3" borderId="2" xfId="0" applyNumberFormat="1" applyFont="1" applyFill="1" applyBorder="1" applyAlignment="1">
      <alignment horizontal="center" vertical="center" wrapText="1"/>
    </xf>
    <xf numFmtId="0" fontId="9" fillId="3" borderId="5" xfId="0" applyFont="1" applyFill="1" applyBorder="1"/>
    <xf numFmtId="0" fontId="9" fillId="3" borderId="5" xfId="0" applyFont="1" applyFill="1" applyBorder="1" applyAlignment="1">
      <alignment horizontal="center"/>
    </xf>
    <xf numFmtId="9" fontId="9" fillId="3" borderId="5" xfId="0" applyNumberFormat="1" applyFont="1" applyFill="1" applyBorder="1" applyAlignment="1">
      <alignment horizontal="center"/>
    </xf>
    <xf numFmtId="0" fontId="9" fillId="13" borderId="2" xfId="0" applyFont="1" applyFill="1" applyBorder="1" applyAlignment="1">
      <alignment horizontal="left" vertical="center" wrapText="1"/>
    </xf>
    <xf numFmtId="0" fontId="9" fillId="13" borderId="5" xfId="0" applyFont="1" applyFill="1" applyBorder="1" applyAlignment="1">
      <alignment horizontal="left" vertical="center"/>
    </xf>
    <xf numFmtId="0" fontId="9" fillId="11" borderId="2" xfId="0" applyFont="1" applyFill="1" applyBorder="1" applyAlignment="1">
      <alignment horizontal="center" vertical="center"/>
    </xf>
    <xf numFmtId="0" fontId="9" fillId="15" borderId="2" xfId="0" applyFont="1" applyFill="1" applyBorder="1" applyAlignment="1">
      <alignment vertical="center"/>
    </xf>
    <xf numFmtId="0" fontId="9" fillId="15" borderId="5" xfId="0" applyFont="1" applyFill="1" applyBorder="1"/>
    <xf numFmtId="0" fontId="9" fillId="14" borderId="1" xfId="0" applyFont="1" applyFill="1" applyBorder="1" applyAlignment="1"/>
    <xf numFmtId="0" fontId="9" fillId="14" borderId="25" xfId="0" applyFont="1" applyFill="1" applyBorder="1" applyAlignment="1"/>
    <xf numFmtId="9" fontId="1" fillId="0" borderId="7" xfId="0" applyNumberFormat="1" applyFont="1" applyFill="1" applyBorder="1"/>
    <xf numFmtId="2" fontId="9" fillId="3" borderId="10" xfId="0" applyNumberFormat="1" applyFont="1" applyFill="1" applyBorder="1" applyAlignment="1">
      <alignment horizontal="center"/>
    </xf>
    <xf numFmtId="164" fontId="9" fillId="3" borderId="7" xfId="0" applyNumberFormat="1" applyFont="1" applyFill="1" applyBorder="1" applyAlignment="1">
      <alignment horizontal="center"/>
    </xf>
    <xf numFmtId="165" fontId="9" fillId="4" borderId="10" xfId="0" applyNumberFormat="1" applyFont="1" applyFill="1" applyBorder="1" applyAlignment="1">
      <alignment horizontal="center"/>
    </xf>
    <xf numFmtId="0" fontId="9" fillId="4" borderId="10" xfId="0" applyFont="1" applyFill="1" applyBorder="1" applyAlignment="1">
      <alignment horizontal="center"/>
    </xf>
    <xf numFmtId="2" fontId="9" fillId="4" borderId="10" xfId="0" applyNumberFormat="1" applyFont="1" applyFill="1" applyBorder="1" applyAlignment="1">
      <alignment horizontal="center"/>
    </xf>
    <xf numFmtId="0" fontId="9" fillId="4" borderId="8" xfId="0" applyFont="1" applyFill="1" applyBorder="1"/>
    <xf numFmtId="164" fontId="18" fillId="4" borderId="7" xfId="0" applyNumberFormat="1" applyFont="1" applyFill="1" applyBorder="1" applyAlignment="1">
      <alignment horizontal="center"/>
    </xf>
    <xf numFmtId="0" fontId="18" fillId="4" borderId="7" xfId="0" applyFont="1" applyFill="1" applyBorder="1" applyAlignment="1">
      <alignment horizontal="center"/>
    </xf>
    <xf numFmtId="0" fontId="18" fillId="4" borderId="7" xfId="0" applyFont="1" applyFill="1" applyBorder="1"/>
    <xf numFmtId="0" fontId="0" fillId="7" borderId="0" xfId="0" applyFill="1" applyBorder="1"/>
    <xf numFmtId="0" fontId="0" fillId="7" borderId="0" xfId="0" applyFill="1" applyBorder="1" applyAlignment="1">
      <alignment horizontal="center"/>
    </xf>
    <xf numFmtId="2" fontId="0" fillId="7" borderId="7" xfId="0" applyNumberFormat="1" applyFill="1" applyBorder="1"/>
    <xf numFmtId="2" fontId="0" fillId="7" borderId="7" xfId="0" applyNumberFormat="1" applyFill="1" applyBorder="1" applyAlignment="1">
      <alignment horizontal="center"/>
    </xf>
    <xf numFmtId="167" fontId="0" fillId="7" borderId="7" xfId="0" applyNumberFormat="1" applyFill="1" applyBorder="1" applyAlignment="1">
      <alignment horizontal="center"/>
    </xf>
    <xf numFmtId="2" fontId="0" fillId="16" borderId="7" xfId="0" applyNumberFormat="1" applyFill="1" applyBorder="1" applyAlignment="1">
      <alignment horizontal="center"/>
    </xf>
    <xf numFmtId="2" fontId="0" fillId="7" borderId="0" xfId="0" applyNumberFormat="1" applyFill="1" applyBorder="1" applyAlignment="1">
      <alignment horizontal="center"/>
    </xf>
    <xf numFmtId="0" fontId="0" fillId="7" borderId="0" xfId="0" applyFill="1"/>
    <xf numFmtId="0" fontId="0" fillId="7" borderId="27" xfId="0" applyFill="1" applyBorder="1"/>
    <xf numFmtId="2" fontId="18" fillId="16" borderId="7" xfId="0" applyNumberFormat="1" applyFont="1" applyFill="1" applyBorder="1" applyAlignment="1">
      <alignment horizontal="center"/>
    </xf>
    <xf numFmtId="2" fontId="18" fillId="16" borderId="7" xfId="0" applyNumberFormat="1" applyFont="1" applyFill="1" applyBorder="1" applyAlignment="1">
      <alignment horizontal="left"/>
    </xf>
    <xf numFmtId="1" fontId="0" fillId="16" borderId="7" xfId="0" applyNumberFormat="1" applyFill="1" applyBorder="1" applyAlignment="1">
      <alignment horizontal="center"/>
    </xf>
    <xf numFmtId="0" fontId="0" fillId="7" borderId="0" xfId="0" applyFill="1" applyAlignment="1">
      <alignment horizontal="center"/>
    </xf>
    <xf numFmtId="2" fontId="0" fillId="7" borderId="0" xfId="0" applyNumberFormat="1" applyFill="1" applyAlignment="1">
      <alignment horizontal="center"/>
    </xf>
    <xf numFmtId="2" fontId="0" fillId="7" borderId="10" xfId="0" applyNumberFormat="1" applyFill="1" applyBorder="1" applyAlignment="1">
      <alignment horizontal="center"/>
    </xf>
    <xf numFmtId="2" fontId="0" fillId="7" borderId="0" xfId="0" applyNumberFormat="1" applyFill="1" applyBorder="1"/>
    <xf numFmtId="173" fontId="0" fillId="7" borderId="7" xfId="0" applyNumberFormat="1" applyFill="1" applyBorder="1" applyAlignment="1">
      <alignment horizontal="center"/>
    </xf>
    <xf numFmtId="0" fontId="0" fillId="7" borderId="7" xfId="0" applyFill="1" applyBorder="1"/>
    <xf numFmtId="2" fontId="0" fillId="7" borderId="0" xfId="0" applyNumberFormat="1" applyFill="1"/>
    <xf numFmtId="166" fontId="0" fillId="7" borderId="0" xfId="0" applyNumberFormat="1" applyFill="1"/>
    <xf numFmtId="167" fontId="0" fillId="7" borderId="7" xfId="0" applyNumberFormat="1" applyFill="1" applyBorder="1"/>
    <xf numFmtId="2" fontId="9" fillId="3" borderId="7" xfId="0" applyNumberFormat="1" applyFont="1" applyFill="1" applyBorder="1" applyAlignment="1">
      <alignment horizontal="left"/>
    </xf>
    <xf numFmtId="2" fontId="0" fillId="7" borderId="7" xfId="0" applyNumberFormat="1" applyFill="1" applyBorder="1" applyAlignment="1">
      <alignment horizontal="left"/>
    </xf>
    <xf numFmtId="0" fontId="0" fillId="7" borderId="6" xfId="0" applyFill="1" applyBorder="1"/>
    <xf numFmtId="164" fontId="0" fillId="7" borderId="7" xfId="0" applyNumberFormat="1" applyFill="1" applyBorder="1" applyAlignment="1">
      <alignment horizontal="center"/>
    </xf>
    <xf numFmtId="164" fontId="0" fillId="7" borderId="0" xfId="0" applyNumberFormat="1" applyFill="1"/>
    <xf numFmtId="0" fontId="18" fillId="4" borderId="0" xfId="0" applyFont="1" applyFill="1" applyBorder="1"/>
    <xf numFmtId="0" fontId="15" fillId="4" borderId="7" xfId="0" applyFont="1" applyFill="1" applyBorder="1"/>
    <xf numFmtId="170" fontId="0" fillId="7" borderId="7" xfId="0" applyNumberFormat="1" applyFill="1" applyBorder="1" applyAlignment="1">
      <alignment horizontal="center"/>
    </xf>
    <xf numFmtId="170" fontId="9" fillId="3" borderId="8" xfId="5" applyNumberFormat="1" applyFont="1" applyFill="1" applyBorder="1" applyAlignment="1">
      <alignment horizontal="center"/>
    </xf>
    <xf numFmtId="0" fontId="0" fillId="7" borderId="10" xfId="0" applyFill="1" applyBorder="1" applyAlignment="1">
      <alignment horizontal="center"/>
    </xf>
    <xf numFmtId="170" fontId="9" fillId="3" borderId="9" xfId="5" applyNumberFormat="1" applyFont="1" applyFill="1" applyBorder="1" applyAlignment="1">
      <alignment horizontal="center"/>
    </xf>
    <xf numFmtId="165" fontId="0" fillId="7" borderId="11" xfId="0" applyNumberFormat="1" applyFill="1" applyBorder="1" applyAlignment="1">
      <alignment horizontal="center"/>
    </xf>
    <xf numFmtId="0" fontId="1" fillId="15" borderId="26" xfId="0" applyFont="1" applyFill="1" applyBorder="1" applyAlignment="1">
      <alignment horizontal="center"/>
    </xf>
    <xf numFmtId="0" fontId="1" fillId="15" borderId="1" xfId="0" applyFont="1" applyFill="1" applyBorder="1" applyAlignment="1">
      <alignment horizontal="center"/>
    </xf>
    <xf numFmtId="0" fontId="9" fillId="3" borderId="1" xfId="0" applyFont="1" applyFill="1" applyBorder="1" applyAlignment="1">
      <alignment horizontal="center"/>
    </xf>
    <xf numFmtId="0" fontId="1" fillId="12" borderId="1" xfId="0" applyFont="1" applyFill="1" applyBorder="1" applyAlignment="1">
      <alignment horizontal="center"/>
    </xf>
    <xf numFmtId="0" fontId="1" fillId="13" borderId="1" xfId="0" applyFont="1" applyFill="1" applyBorder="1" applyAlignment="1">
      <alignment horizontal="center"/>
    </xf>
    <xf numFmtId="0" fontId="1" fillId="2" borderId="1" xfId="0" applyFont="1" applyFill="1" applyBorder="1" applyAlignment="1">
      <alignment horizontal="center"/>
    </xf>
    <xf numFmtId="0" fontId="9" fillId="2" borderId="3" xfId="0" applyFont="1" applyFill="1" applyBorder="1" applyAlignment="1">
      <alignment horizontal="center" vertical="center" wrapText="1"/>
    </xf>
    <xf numFmtId="0" fontId="9" fillId="2" borderId="4" xfId="0" applyFont="1" applyFill="1" applyBorder="1" applyAlignment="1">
      <alignment horizontal="center" vertical="center" wrapText="1"/>
    </xf>
    <xf numFmtId="0" fontId="1" fillId="11" borderId="1" xfId="0" applyFont="1" applyFill="1" applyBorder="1" applyAlignment="1">
      <alignment horizontal="center"/>
    </xf>
    <xf numFmtId="0" fontId="1" fillId="7" borderId="0" xfId="0" applyFont="1" applyFill="1" applyAlignment="1">
      <alignment horizontal="center"/>
    </xf>
    <xf numFmtId="1" fontId="9" fillId="7" borderId="0" xfId="0" applyNumberFormat="1" applyFont="1" applyFill="1" applyBorder="1" applyAlignment="1">
      <alignment horizontal="center"/>
    </xf>
    <xf numFmtId="0" fontId="9" fillId="7" borderId="0" xfId="0" applyFont="1" applyFill="1" applyBorder="1" applyAlignment="1">
      <alignment horizontal="center"/>
    </xf>
    <xf numFmtId="0" fontId="0" fillId="7" borderId="0" xfId="0" applyFill="1" applyBorder="1" applyAlignment="1">
      <alignment horizontal="left"/>
    </xf>
    <xf numFmtId="16" fontId="0" fillId="0" borderId="0" xfId="0" applyNumberFormat="1"/>
    <xf numFmtId="1" fontId="0" fillId="7" borderId="0" xfId="0" applyNumberFormat="1" applyFill="1" applyBorder="1"/>
    <xf numFmtId="165" fontId="0" fillId="7" borderId="7" xfId="0" applyNumberFormat="1" applyFill="1" applyBorder="1" applyAlignment="1">
      <alignment horizontal="center"/>
    </xf>
    <xf numFmtId="165" fontId="0" fillId="7" borderId="0" xfId="0" applyNumberFormat="1" applyFill="1" applyBorder="1" applyAlignment="1">
      <alignment horizontal="center"/>
    </xf>
    <xf numFmtId="2" fontId="0" fillId="7" borderId="2" xfId="0" applyNumberFormat="1" applyFill="1" applyBorder="1" applyAlignment="1">
      <alignment horizontal="center"/>
    </xf>
    <xf numFmtId="2" fontId="0" fillId="7" borderId="6" xfId="0" applyNumberFormat="1" applyFill="1" applyBorder="1" applyAlignment="1">
      <alignment horizontal="center"/>
    </xf>
    <xf numFmtId="165" fontId="0" fillId="0" borderId="7" xfId="0" applyNumberFormat="1" applyBorder="1" applyAlignment="1">
      <alignment horizontal="center"/>
    </xf>
    <xf numFmtId="0" fontId="0" fillId="0" borderId="7" xfId="0" applyBorder="1" applyAlignment="1">
      <alignment horizontal="center"/>
    </xf>
    <xf numFmtId="0" fontId="37" fillId="0" borderId="0" xfId="0" applyFont="1"/>
    <xf numFmtId="9" fontId="0" fillId="0" borderId="0" xfId="5" applyFont="1"/>
    <xf numFmtId="170" fontId="0" fillId="0" borderId="0" xfId="5" applyNumberFormat="1" applyFont="1" applyAlignment="1">
      <alignment horizontal="center"/>
    </xf>
    <xf numFmtId="0" fontId="1" fillId="7" borderId="0" xfId="0" applyFont="1" applyFill="1" applyAlignment="1">
      <alignment horizontal="center"/>
    </xf>
    <xf numFmtId="0" fontId="1" fillId="7" borderId="0" xfId="0" applyFont="1" applyFill="1" applyAlignment="1">
      <alignment horizontal="left"/>
    </xf>
    <xf numFmtId="167" fontId="9" fillId="4" borderId="9" xfId="0" applyNumberFormat="1" applyFont="1" applyFill="1" applyBorder="1" applyAlignment="1">
      <alignment horizontal="center"/>
    </xf>
    <xf numFmtId="164" fontId="9" fillId="3" borderId="7" xfId="0" applyNumberFormat="1" applyFont="1" applyFill="1" applyBorder="1"/>
    <xf numFmtId="0" fontId="1" fillId="7" borderId="0" xfId="0" applyFont="1" applyFill="1" applyAlignment="1">
      <alignment horizontal="center"/>
    </xf>
    <xf numFmtId="174" fontId="1" fillId="12" borderId="1" xfId="0" applyNumberFormat="1" applyFont="1" applyFill="1" applyBorder="1" applyAlignment="1">
      <alignment horizontal="center"/>
    </xf>
    <xf numFmtId="174" fontId="9" fillId="12" borderId="2" xfId="0" applyNumberFormat="1" applyFont="1" applyFill="1" applyBorder="1" applyAlignment="1">
      <alignment horizontal="center" vertical="center" wrapText="1"/>
    </xf>
    <xf numFmtId="174" fontId="9" fillId="12" borderId="5" xfId="0" applyNumberFormat="1" applyFont="1" applyFill="1" applyBorder="1" applyAlignment="1">
      <alignment horizontal="center"/>
    </xf>
    <xf numFmtId="174" fontId="9" fillId="3" borderId="7" xfId="0" applyNumberFormat="1" applyFont="1" applyFill="1" applyBorder="1"/>
    <xf numFmtId="174" fontId="1" fillId="0" borderId="7" xfId="2" applyNumberFormat="1" applyFont="1" applyBorder="1" applyAlignment="1">
      <alignment horizontal="center"/>
    </xf>
    <xf numFmtId="174" fontId="1" fillId="0" borderId="10" xfId="2" applyNumberFormat="1" applyFont="1" applyBorder="1" applyAlignment="1">
      <alignment horizontal="center"/>
    </xf>
    <xf numFmtId="174" fontId="1" fillId="0" borderId="7" xfId="0" applyNumberFormat="1" applyFont="1" applyBorder="1" applyAlignment="1">
      <alignment horizontal="center"/>
    </xf>
    <xf numFmtId="174" fontId="1" fillId="0" borderId="7" xfId="0" applyNumberFormat="1" applyFont="1" applyFill="1" applyBorder="1" applyAlignment="1">
      <alignment horizontal="center"/>
    </xf>
    <xf numFmtId="174" fontId="14" fillId="0" borderId="7" xfId="0" applyNumberFormat="1" applyFont="1" applyBorder="1" applyAlignment="1">
      <alignment horizontal="center"/>
    </xf>
    <xf numFmtId="174" fontId="14" fillId="7" borderId="7" xfId="0" applyNumberFormat="1" applyFont="1" applyFill="1" applyBorder="1" applyAlignment="1" applyProtection="1">
      <alignment horizontal="center"/>
    </xf>
    <xf numFmtId="174" fontId="14" fillId="7" borderId="7" xfId="0" applyNumberFormat="1" applyFont="1" applyFill="1" applyBorder="1" applyAlignment="1">
      <alignment horizontal="center"/>
    </xf>
    <xf numFmtId="174" fontId="1" fillId="7" borderId="7" xfId="0" applyNumberFormat="1" applyFont="1" applyFill="1" applyBorder="1" applyAlignment="1">
      <alignment horizontal="center"/>
    </xf>
    <xf numFmtId="174" fontId="14" fillId="7" borderId="7" xfId="9" applyNumberFormat="1" applyFont="1" applyFill="1" applyBorder="1" applyAlignment="1">
      <alignment horizontal="center"/>
    </xf>
    <xf numFmtId="174" fontId="1" fillId="7" borderId="8" xfId="0" applyNumberFormat="1" applyFont="1" applyFill="1" applyBorder="1" applyAlignment="1">
      <alignment horizontal="center"/>
    </xf>
    <xf numFmtId="174" fontId="1" fillId="7" borderId="14" xfId="0" applyNumberFormat="1" applyFont="1" applyFill="1" applyBorder="1" applyAlignment="1">
      <alignment horizontal="center"/>
    </xf>
    <xf numFmtId="174" fontId="1" fillId="7" borderId="11" xfId="0" applyNumberFormat="1" applyFont="1" applyFill="1" applyBorder="1" applyAlignment="1">
      <alignment horizontal="center"/>
    </xf>
    <xf numFmtId="174" fontId="1" fillId="0" borderId="6" xfId="0" applyNumberFormat="1" applyFont="1" applyFill="1" applyBorder="1" applyAlignment="1">
      <alignment horizontal="center"/>
    </xf>
    <xf numFmtId="174" fontId="0" fillId="16" borderId="7" xfId="0" applyNumberFormat="1" applyFill="1" applyBorder="1" applyAlignment="1">
      <alignment horizontal="center"/>
    </xf>
    <xf numFmtId="174" fontId="0" fillId="7" borderId="7" xfId="0" applyNumberFormat="1" applyFill="1" applyBorder="1" applyAlignment="1">
      <alignment horizontal="center"/>
    </xf>
    <xf numFmtId="174" fontId="1" fillId="0" borderId="0" xfId="0" applyNumberFormat="1" applyFont="1" applyAlignment="1">
      <alignment horizontal="center"/>
    </xf>
    <xf numFmtId="174" fontId="3" fillId="0" borderId="0" xfId="0" applyNumberFormat="1" applyFont="1" applyAlignment="1">
      <alignment horizontal="center"/>
    </xf>
    <xf numFmtId="174" fontId="0" fillId="0" borderId="0" xfId="0" applyNumberFormat="1"/>
    <xf numFmtId="2" fontId="0" fillId="0" borderId="6" xfId="0" applyNumberFormat="1" applyBorder="1" applyAlignment="1">
      <alignment horizontal="center"/>
    </xf>
    <xf numFmtId="2" fontId="0" fillId="17" borderId="6" xfId="0" applyNumberFormat="1" applyFill="1" applyBorder="1" applyAlignment="1">
      <alignment horizontal="center"/>
    </xf>
    <xf numFmtId="0" fontId="0" fillId="17" borderId="7" xfId="0" applyFill="1" applyBorder="1" applyAlignment="1">
      <alignment horizontal="center"/>
    </xf>
    <xf numFmtId="2" fontId="0" fillId="0" borderId="6" xfId="0" applyNumberFormat="1" applyFill="1" applyBorder="1" applyAlignment="1">
      <alignment horizontal="center"/>
    </xf>
    <xf numFmtId="0" fontId="0" fillId="0" borderId="7" xfId="0" applyFill="1" applyBorder="1" applyAlignment="1">
      <alignment horizontal="center"/>
    </xf>
    <xf numFmtId="164" fontId="0" fillId="0" borderId="7" xfId="0" applyNumberFormat="1" applyFill="1" applyBorder="1" applyAlignment="1">
      <alignment horizontal="center"/>
    </xf>
    <xf numFmtId="164" fontId="0" fillId="0" borderId="7" xfId="0" applyNumberFormat="1" applyBorder="1" applyAlignment="1">
      <alignment horizontal="center"/>
    </xf>
    <xf numFmtId="164" fontId="0" fillId="17" borderId="7" xfId="0" applyNumberFormat="1" applyFill="1" applyBorder="1" applyAlignment="1">
      <alignment horizontal="center"/>
    </xf>
    <xf numFmtId="170" fontId="0" fillId="7" borderId="7" xfId="5" applyNumberFormat="1" applyFont="1" applyFill="1" applyBorder="1" applyAlignment="1">
      <alignment horizontal="center"/>
    </xf>
    <xf numFmtId="170" fontId="1" fillId="0" borderId="7" xfId="5" applyNumberFormat="1" applyFont="1" applyFill="1" applyBorder="1" applyAlignment="1">
      <alignment horizontal="center"/>
    </xf>
    <xf numFmtId="0" fontId="1" fillId="7" borderId="0" xfId="0" applyFont="1" applyFill="1" applyAlignment="1">
      <alignment horizontal="center"/>
    </xf>
    <xf numFmtId="0" fontId="1" fillId="7" borderId="0" xfId="0" applyFont="1" applyFill="1" applyAlignment="1">
      <alignment horizontal="center"/>
    </xf>
    <xf numFmtId="10" fontId="9" fillId="3" borderId="9" xfId="0" applyNumberFormat="1" applyFont="1" applyFill="1" applyBorder="1" applyAlignment="1">
      <alignment horizontal="center"/>
    </xf>
    <xf numFmtId="0" fontId="1" fillId="13" borderId="1" xfId="0" applyFont="1" applyFill="1" applyBorder="1" applyAlignment="1">
      <alignment horizontal="left"/>
    </xf>
    <xf numFmtId="0" fontId="1" fillId="2" borderId="1" xfId="0" applyFont="1" applyFill="1" applyBorder="1" applyAlignment="1">
      <alignment horizontal="left"/>
    </xf>
    <xf numFmtId="0" fontId="1" fillId="11" borderId="1" xfId="0" applyFont="1" applyFill="1" applyBorder="1" applyAlignment="1">
      <alignment horizontal="left"/>
    </xf>
    <xf numFmtId="0" fontId="40" fillId="0" borderId="0" xfId="0" applyFont="1" applyAlignment="1">
      <alignment vertical="center"/>
    </xf>
    <xf numFmtId="0" fontId="40" fillId="0" borderId="7" xfId="0" applyFont="1" applyBorder="1" applyAlignment="1">
      <alignment vertical="center"/>
    </xf>
    <xf numFmtId="0" fontId="9" fillId="4" borderId="7" xfId="0" applyFont="1" applyFill="1" applyBorder="1" applyAlignment="1"/>
    <xf numFmtId="0" fontId="1" fillId="7" borderId="0" xfId="0" applyFont="1" applyFill="1" applyAlignment="1">
      <alignment horizontal="center"/>
    </xf>
    <xf numFmtId="0" fontId="1" fillId="7" borderId="0" xfId="0" applyFont="1" applyFill="1" applyAlignment="1">
      <alignment horizontal="center"/>
    </xf>
    <xf numFmtId="0" fontId="0" fillId="0" borderId="19" xfId="0" applyBorder="1"/>
    <xf numFmtId="9" fontId="0" fillId="0" borderId="0" xfId="5" applyFont="1" applyBorder="1"/>
    <xf numFmtId="0" fontId="0" fillId="0" borderId="13" xfId="0" applyBorder="1"/>
    <xf numFmtId="0" fontId="0" fillId="0" borderId="0" xfId="0" applyAlignment="1"/>
    <xf numFmtId="0" fontId="0" fillId="0" borderId="0" xfId="0" applyFill="1" applyBorder="1"/>
    <xf numFmtId="9" fontId="0" fillId="0" borderId="13" xfId="5" applyFont="1" applyBorder="1"/>
    <xf numFmtId="170" fontId="14" fillId="0" borderId="7" xfId="5" applyNumberFormat="1" applyFont="1" applyBorder="1" applyAlignment="1">
      <alignment horizontal="center"/>
    </xf>
    <xf numFmtId="0" fontId="14" fillId="7" borderId="8" xfId="5" applyNumberFormat="1" applyFont="1" applyFill="1" applyBorder="1" applyAlignment="1" applyProtection="1">
      <alignment horizontal="center"/>
    </xf>
    <xf numFmtId="0" fontId="31" fillId="0" borderId="7" xfId="3" applyFont="1" applyBorder="1" applyAlignment="1">
      <alignment horizontal="center"/>
    </xf>
    <xf numFmtId="165" fontId="31" fillId="0" borderId="7" xfId="3" applyNumberFormat="1" applyFont="1" applyBorder="1" applyAlignment="1">
      <alignment horizontal="center"/>
    </xf>
    <xf numFmtId="165" fontId="11" fillId="0" borderId="7" xfId="3" applyNumberFormat="1" applyFont="1" applyBorder="1" applyAlignment="1">
      <alignment horizontal="center"/>
    </xf>
    <xf numFmtId="0" fontId="11" fillId="0" borderId="7" xfId="3" applyFont="1" applyBorder="1" applyAlignment="1">
      <alignment horizontal="center"/>
    </xf>
    <xf numFmtId="170" fontId="0" fillId="0" borderId="7" xfId="0" applyNumberFormat="1" applyBorder="1" applyAlignment="1">
      <alignment horizontal="center"/>
    </xf>
    <xf numFmtId="9" fontId="14" fillId="0" borderId="7" xfId="5" applyFont="1" applyBorder="1" applyAlignment="1">
      <alignment horizontal="center"/>
    </xf>
    <xf numFmtId="170" fontId="0" fillId="0" borderId="7" xfId="5" applyNumberFormat="1" applyFont="1" applyBorder="1"/>
    <xf numFmtId="10" fontId="9" fillId="3" borderId="9" xfId="0" applyNumberFormat="1" applyFont="1" applyFill="1" applyBorder="1" applyAlignment="1">
      <alignment horizontal="center"/>
    </xf>
    <xf numFmtId="0" fontId="1" fillId="3" borderId="7" xfId="2" applyFont="1" applyFill="1" applyBorder="1" applyAlignment="1">
      <alignment horizontal="center"/>
    </xf>
    <xf numFmtId="0" fontId="3" fillId="0" borderId="7" xfId="0" applyFont="1" applyBorder="1" applyAlignment="1">
      <alignment horizontal="center"/>
    </xf>
    <xf numFmtId="9" fontId="3" fillId="0" borderId="7" xfId="5" applyFont="1" applyBorder="1" applyAlignment="1">
      <alignment horizontal="center"/>
    </xf>
    <xf numFmtId="170" fontId="1" fillId="0" borderId="7" xfId="0" applyNumberFormat="1" applyFont="1" applyFill="1" applyBorder="1" applyAlignment="1">
      <alignment horizontal="center"/>
    </xf>
    <xf numFmtId="0" fontId="0" fillId="0" borderId="7" xfId="0" applyBorder="1"/>
    <xf numFmtId="167" fontId="0" fillId="0" borderId="7" xfId="0" applyNumberFormat="1" applyBorder="1" applyAlignment="1">
      <alignment horizontal="center"/>
    </xf>
    <xf numFmtId="0" fontId="0" fillId="0" borderId="0" xfId="0" applyFill="1" applyAlignment="1">
      <alignment horizontal="center"/>
    </xf>
    <xf numFmtId="173" fontId="0" fillId="0" borderId="7" xfId="0" applyNumberFormat="1" applyFill="1" applyBorder="1" applyAlignment="1">
      <alignment horizontal="center"/>
    </xf>
    <xf numFmtId="1" fontId="0" fillId="0" borderId="7" xfId="0" applyNumberFormat="1" applyFill="1" applyBorder="1" applyAlignment="1">
      <alignment horizontal="center"/>
    </xf>
    <xf numFmtId="2" fontId="0" fillId="0" borderId="7" xfId="0" applyNumberFormat="1" applyFill="1" applyBorder="1" applyAlignment="1">
      <alignment horizontal="center"/>
    </xf>
    <xf numFmtId="167" fontId="0" fillId="0" borderId="7" xfId="0" applyNumberFormat="1" applyFill="1" applyBorder="1" applyAlignment="1">
      <alignment horizontal="center"/>
    </xf>
    <xf numFmtId="170" fontId="0" fillId="0" borderId="7" xfId="0" applyNumberFormat="1" applyFill="1" applyBorder="1" applyAlignment="1">
      <alignment horizontal="center"/>
    </xf>
    <xf numFmtId="2" fontId="0" fillId="0" borderId="0" xfId="0" applyNumberFormat="1" applyFill="1" applyBorder="1" applyAlignment="1">
      <alignment horizontal="center"/>
    </xf>
    <xf numFmtId="173" fontId="0" fillId="7" borderId="10" xfId="0" applyNumberFormat="1" applyFill="1" applyBorder="1" applyAlignment="1">
      <alignment horizontal="center"/>
    </xf>
    <xf numFmtId="173" fontId="0" fillId="0" borderId="6" xfId="0" applyNumberFormat="1" applyFill="1" applyBorder="1" applyAlignment="1">
      <alignment horizontal="center"/>
    </xf>
    <xf numFmtId="173" fontId="0" fillId="0" borderId="10" xfId="0" applyNumberFormat="1" applyFill="1" applyBorder="1" applyAlignment="1">
      <alignment horizontal="center"/>
    </xf>
    <xf numFmtId="1" fontId="0" fillId="0" borderId="10" xfId="0" applyNumberFormat="1" applyFill="1" applyBorder="1" applyAlignment="1">
      <alignment horizontal="center"/>
    </xf>
    <xf numFmtId="0" fontId="0" fillId="0" borderId="10" xfId="0" applyFill="1" applyBorder="1" applyAlignment="1">
      <alignment horizontal="center"/>
    </xf>
    <xf numFmtId="2" fontId="0" fillId="0" borderId="10" xfId="0" applyNumberFormat="1" applyFill="1" applyBorder="1" applyAlignment="1">
      <alignment horizontal="center"/>
    </xf>
    <xf numFmtId="167" fontId="0" fillId="0" borderId="10" xfId="0" applyNumberFormat="1" applyFill="1" applyBorder="1" applyAlignment="1">
      <alignment horizontal="center"/>
    </xf>
    <xf numFmtId="170" fontId="0" fillId="0" borderId="10" xfId="0" applyNumberFormat="1" applyFill="1" applyBorder="1" applyAlignment="1">
      <alignment horizontal="center"/>
    </xf>
    <xf numFmtId="0" fontId="3" fillId="0" borderId="7" xfId="0" applyFont="1" applyBorder="1"/>
    <xf numFmtId="9" fontId="1" fillId="0" borderId="7" xfId="5" applyFont="1" applyBorder="1" applyAlignment="1">
      <alignment horizontal="center"/>
    </xf>
    <xf numFmtId="0" fontId="0" fillId="0" borderId="0" xfId="5" applyNumberFormat="1" applyFont="1" applyFill="1" applyAlignment="1">
      <alignment horizontal="right"/>
    </xf>
    <xf numFmtId="0" fontId="0" fillId="7" borderId="0" xfId="5" applyNumberFormat="1" applyFont="1" applyFill="1" applyAlignment="1">
      <alignment horizontal="right"/>
    </xf>
    <xf numFmtId="0" fontId="3" fillId="0" borderId="0" xfId="5" applyNumberFormat="1" applyFont="1" applyAlignment="1">
      <alignment horizontal="right"/>
    </xf>
    <xf numFmtId="0" fontId="3" fillId="0" borderId="7" xfId="0" applyFont="1" applyFill="1" applyBorder="1" applyAlignment="1">
      <alignment horizontal="center"/>
    </xf>
    <xf numFmtId="1" fontId="0" fillId="4" borderId="7" xfId="0" applyNumberFormat="1" applyFill="1" applyBorder="1" applyAlignment="1">
      <alignment horizontal="center"/>
    </xf>
    <xf numFmtId="0" fontId="0" fillId="4" borderId="0" xfId="0" applyFill="1"/>
    <xf numFmtId="0" fontId="3" fillId="0" borderId="10" xfId="0" applyFont="1" applyBorder="1" applyAlignment="1">
      <alignment horizontal="center"/>
    </xf>
    <xf numFmtId="0" fontId="3" fillId="0" borderId="10" xfId="0" applyFont="1" applyFill="1" applyBorder="1" applyAlignment="1">
      <alignment horizontal="center"/>
    </xf>
    <xf numFmtId="9" fontId="3" fillId="0" borderId="10" xfId="5" applyFont="1" applyBorder="1" applyAlignment="1">
      <alignment horizontal="center"/>
    </xf>
    <xf numFmtId="0" fontId="3" fillId="0" borderId="10" xfId="0" applyFont="1" applyBorder="1"/>
    <xf numFmtId="0" fontId="3" fillId="0" borderId="6" xfId="0" applyFont="1" applyBorder="1" applyAlignment="1">
      <alignment horizontal="center"/>
    </xf>
    <xf numFmtId="0" fontId="3" fillId="0" borderId="6" xfId="0" applyFont="1" applyBorder="1"/>
    <xf numFmtId="9" fontId="3" fillId="0" borderId="6" xfId="5" applyFont="1" applyBorder="1" applyAlignment="1">
      <alignment horizontal="center"/>
    </xf>
    <xf numFmtId="167" fontId="3" fillId="0" borderId="6" xfId="0" applyNumberFormat="1" applyFont="1" applyBorder="1" applyAlignment="1">
      <alignment horizontal="center"/>
    </xf>
    <xf numFmtId="167" fontId="3" fillId="0" borderId="7" xfId="0" applyNumberFormat="1" applyFont="1" applyBorder="1" applyAlignment="1">
      <alignment horizontal="center"/>
    </xf>
    <xf numFmtId="167" fontId="3" fillId="0" borderId="10" xfId="0" applyNumberFormat="1" applyFont="1" applyBorder="1" applyAlignment="1">
      <alignment horizontal="center"/>
    </xf>
    <xf numFmtId="9" fontId="0" fillId="0" borderId="7" xfId="5" applyFont="1" applyBorder="1"/>
    <xf numFmtId="0" fontId="9" fillId="2" borderId="7" xfId="0" applyFont="1" applyFill="1" applyBorder="1" applyAlignment="1">
      <alignment horizontal="center" vertical="center" wrapText="1"/>
    </xf>
    <xf numFmtId="0" fontId="9" fillId="2" borderId="7" xfId="0" applyFont="1" applyFill="1" applyBorder="1" applyAlignment="1">
      <alignment horizontal="center"/>
    </xf>
    <xf numFmtId="9" fontId="9" fillId="4" borderId="7" xfId="5" applyNumberFormat="1" applyFont="1" applyFill="1" applyBorder="1" applyAlignment="1">
      <alignment horizontal="center"/>
    </xf>
    <xf numFmtId="9" fontId="9" fillId="3" borderId="7" xfId="5" applyNumberFormat="1" applyFont="1" applyFill="1" applyBorder="1" applyAlignment="1">
      <alignment horizontal="center"/>
    </xf>
    <xf numFmtId="165" fontId="1" fillId="0" borderId="0" xfId="0" applyNumberFormat="1" applyFont="1" applyBorder="1" applyAlignment="1">
      <alignment horizontal="center"/>
    </xf>
    <xf numFmtId="0" fontId="1" fillId="0" borderId="2" xfId="0" applyFont="1" applyFill="1" applyBorder="1"/>
    <xf numFmtId="10" fontId="9" fillId="3" borderId="10" xfId="0" applyNumberFormat="1" applyFont="1" applyFill="1" applyBorder="1" applyAlignment="1">
      <alignment horizontal="center"/>
    </xf>
    <xf numFmtId="170" fontId="9" fillId="3" borderId="11" xfId="5" applyNumberFormat="1" applyFont="1" applyFill="1" applyBorder="1" applyAlignment="1">
      <alignment horizontal="center"/>
    </xf>
    <xf numFmtId="2" fontId="18" fillId="16" borderId="0" xfId="0" applyNumberFormat="1" applyFont="1" applyFill="1" applyBorder="1" applyAlignment="1">
      <alignment horizontal="left"/>
    </xf>
    <xf numFmtId="9" fontId="9" fillId="4" borderId="9" xfId="5" applyFont="1" applyFill="1" applyBorder="1" applyAlignment="1">
      <alignment horizontal="center"/>
    </xf>
    <xf numFmtId="0" fontId="3" fillId="0" borderId="2" xfId="0" applyFont="1" applyBorder="1" applyAlignment="1">
      <alignment horizontal="center"/>
    </xf>
    <xf numFmtId="167" fontId="3" fillId="0" borderId="2" xfId="0" applyNumberFormat="1" applyFont="1" applyBorder="1" applyAlignment="1">
      <alignment horizontal="center"/>
    </xf>
    <xf numFmtId="9" fontId="3" fillId="0" borderId="2" xfId="5" applyFont="1" applyBorder="1" applyAlignment="1">
      <alignment horizontal="center"/>
    </xf>
    <xf numFmtId="0" fontId="3" fillId="0" borderId="2" xfId="0" applyFont="1" applyBorder="1"/>
    <xf numFmtId="167" fontId="1" fillId="0" borderId="10" xfId="0" applyNumberFormat="1" applyFont="1" applyBorder="1" applyAlignment="1">
      <alignment horizontal="center"/>
    </xf>
    <xf numFmtId="9" fontId="3" fillId="0" borderId="7" xfId="0" applyNumberFormat="1" applyFont="1" applyBorder="1" applyAlignment="1">
      <alignment horizontal="center"/>
    </xf>
    <xf numFmtId="1" fontId="3" fillId="0" borderId="7" xfId="0" applyNumberFormat="1" applyFont="1" applyBorder="1" applyAlignment="1">
      <alignment horizontal="center"/>
    </xf>
    <xf numFmtId="0" fontId="3" fillId="0" borderId="0" xfId="0" applyFont="1" applyFill="1" applyAlignment="1">
      <alignment horizontal="center"/>
    </xf>
    <xf numFmtId="9" fontId="3" fillId="0" borderId="0" xfId="0" applyNumberFormat="1" applyFont="1" applyFill="1" applyAlignment="1">
      <alignment horizontal="center"/>
    </xf>
    <xf numFmtId="0" fontId="3" fillId="0" borderId="0" xfId="0" applyFont="1" applyFill="1" applyAlignment="1">
      <alignment horizontal="left" vertical="center"/>
    </xf>
    <xf numFmtId="170" fontId="3" fillId="0" borderId="0" xfId="5" applyNumberFormat="1" applyFont="1" applyFill="1" applyAlignment="1">
      <alignment horizontal="center"/>
    </xf>
    <xf numFmtId="170" fontId="3" fillId="0" borderId="0" xfId="5" applyNumberFormat="1" applyFont="1" applyAlignment="1">
      <alignment horizontal="center"/>
    </xf>
    <xf numFmtId="170" fontId="1" fillId="0" borderId="0" xfId="5" applyNumberFormat="1" applyFont="1" applyAlignment="1">
      <alignment horizontal="center"/>
    </xf>
    <xf numFmtId="37" fontId="1" fillId="0" borderId="7" xfId="1" applyNumberFormat="1" applyFont="1" applyFill="1" applyBorder="1" applyAlignment="1">
      <alignment horizontal="center"/>
    </xf>
    <xf numFmtId="170" fontId="3" fillId="0" borderId="0" xfId="5" applyNumberFormat="1" applyFont="1"/>
    <xf numFmtId="0" fontId="3" fillId="0" borderId="0" xfId="0" applyNumberFormat="1" applyFont="1" applyAlignment="1">
      <alignment horizontal="center"/>
    </xf>
    <xf numFmtId="0" fontId="3" fillId="0" borderId="0" xfId="0" applyNumberFormat="1" applyFont="1" applyFill="1" applyAlignment="1">
      <alignment horizontal="center"/>
    </xf>
    <xf numFmtId="0" fontId="3" fillId="0" borderId="0" xfId="0" applyNumberFormat="1" applyFont="1"/>
    <xf numFmtId="0" fontId="9" fillId="0" borderId="7" xfId="0" applyFont="1" applyFill="1" applyBorder="1" applyAlignment="1">
      <alignment horizontal="center"/>
    </xf>
    <xf numFmtId="0" fontId="1" fillId="12" borderId="1" xfId="0" applyFont="1" applyFill="1" applyBorder="1" applyAlignment="1">
      <alignment horizontal="center"/>
    </xf>
    <xf numFmtId="0" fontId="9" fillId="12" borderId="2" xfId="0" applyFont="1" applyFill="1" applyBorder="1" applyAlignment="1">
      <alignment horizontal="center" vertical="center" wrapText="1"/>
    </xf>
    <xf numFmtId="0" fontId="9" fillId="12" borderId="5" xfId="0" applyFont="1" applyFill="1" applyBorder="1" applyAlignment="1">
      <alignment horizontal="center"/>
    </xf>
    <xf numFmtId="0" fontId="9" fillId="3" borderId="7" xfId="0" applyFont="1" applyFill="1" applyBorder="1" applyAlignment="1">
      <alignment horizontal="center"/>
    </xf>
    <xf numFmtId="0" fontId="9" fillId="3" borderId="7" xfId="0" applyFont="1" applyFill="1" applyBorder="1"/>
    <xf numFmtId="2" fontId="9" fillId="3" borderId="7" xfId="0" applyNumberFormat="1" applyFont="1" applyFill="1" applyBorder="1" applyAlignment="1">
      <alignment horizontal="center"/>
    </xf>
    <xf numFmtId="0" fontId="1" fillId="0" borderId="7" xfId="0" applyFont="1" applyFill="1" applyBorder="1" applyAlignment="1">
      <alignment horizontal="center"/>
    </xf>
    <xf numFmtId="2" fontId="1" fillId="0" borderId="7" xfId="0" applyNumberFormat="1" applyFont="1" applyFill="1" applyBorder="1" applyAlignment="1">
      <alignment horizontal="center"/>
    </xf>
    <xf numFmtId="0" fontId="1" fillId="0" borderId="7" xfId="2" applyFont="1" applyFill="1" applyBorder="1" applyAlignment="1">
      <alignment horizontal="center"/>
    </xf>
    <xf numFmtId="164" fontId="1" fillId="0" borderId="7" xfId="0" applyNumberFormat="1" applyFont="1" applyFill="1" applyBorder="1" applyAlignment="1">
      <alignment horizontal="center"/>
    </xf>
    <xf numFmtId="0" fontId="1" fillId="0" borderId="7" xfId="2" applyFont="1" applyBorder="1" applyAlignment="1">
      <alignment horizontal="center"/>
    </xf>
    <xf numFmtId="0" fontId="1" fillId="0" borderId="0" xfId="0" applyFont="1" applyFill="1" applyAlignment="1">
      <alignment horizontal="center"/>
    </xf>
    <xf numFmtId="2" fontId="1" fillId="0" borderId="7" xfId="0" applyNumberFormat="1" applyFont="1" applyBorder="1" applyAlignment="1">
      <alignment horizontal="center"/>
    </xf>
    <xf numFmtId="0" fontId="1" fillId="0" borderId="7" xfId="0" applyFont="1" applyBorder="1" applyAlignment="1">
      <alignment horizontal="center"/>
    </xf>
    <xf numFmtId="0" fontId="1" fillId="0" borderId="10" xfId="2" applyFont="1" applyBorder="1" applyAlignment="1">
      <alignment horizontal="center"/>
    </xf>
    <xf numFmtId="0" fontId="14" fillId="0" borderId="7" xfId="2" applyFont="1" applyBorder="1" applyAlignment="1">
      <alignment horizontal="center"/>
    </xf>
    <xf numFmtId="2" fontId="1" fillId="0" borderId="7" xfId="2" applyNumberFormat="1" applyFont="1" applyBorder="1" applyAlignment="1">
      <alignment horizontal="center"/>
    </xf>
    <xf numFmtId="164" fontId="1" fillId="0" borderId="7" xfId="0" applyNumberFormat="1" applyFont="1" applyBorder="1" applyAlignment="1">
      <alignment horizontal="center"/>
    </xf>
    <xf numFmtId="11" fontId="1" fillId="0" borderId="7" xfId="0" applyNumberFormat="1" applyFont="1" applyBorder="1" applyAlignment="1">
      <alignment horizontal="center"/>
    </xf>
    <xf numFmtId="164" fontId="14" fillId="0" borderId="7" xfId="0" applyNumberFormat="1" applyFont="1" applyBorder="1" applyAlignment="1">
      <alignment horizontal="center"/>
    </xf>
    <xf numFmtId="0" fontId="1" fillId="7" borderId="7" xfId="0" applyFont="1" applyFill="1" applyBorder="1" applyAlignment="1">
      <alignment horizontal="center"/>
    </xf>
    <xf numFmtId="2" fontId="14" fillId="0" borderId="7" xfId="0" applyNumberFormat="1" applyFont="1" applyBorder="1" applyAlignment="1">
      <alignment horizontal="center"/>
    </xf>
    <xf numFmtId="165" fontId="1" fillId="7" borderId="7" xfId="0" applyNumberFormat="1" applyFont="1" applyFill="1" applyBorder="1" applyAlignment="1">
      <alignment horizontal="center"/>
    </xf>
    <xf numFmtId="2" fontId="14" fillId="7" borderId="7" xfId="0" applyNumberFormat="1" applyFont="1" applyFill="1" applyBorder="1" applyAlignment="1" applyProtection="1">
      <alignment horizontal="center"/>
    </xf>
    <xf numFmtId="167" fontId="14" fillId="7" borderId="7" xfId="0" applyNumberFormat="1" applyFont="1" applyFill="1" applyBorder="1" applyAlignment="1" applyProtection="1">
      <alignment horizontal="center"/>
    </xf>
    <xf numFmtId="2" fontId="1" fillId="7" borderId="7" xfId="0" applyNumberFormat="1" applyFont="1" applyFill="1" applyBorder="1" applyAlignment="1">
      <alignment horizontal="center"/>
    </xf>
    <xf numFmtId="167" fontId="14" fillId="7" borderId="7" xfId="0" applyNumberFormat="1" applyFont="1" applyFill="1" applyBorder="1" applyAlignment="1">
      <alignment horizontal="center"/>
    </xf>
    <xf numFmtId="166" fontId="1" fillId="7" borderId="7" xfId="0" applyNumberFormat="1" applyFont="1" applyFill="1" applyBorder="1" applyAlignment="1">
      <alignment horizontal="center"/>
    </xf>
    <xf numFmtId="164" fontId="1" fillId="7" borderId="7" xfId="0" applyNumberFormat="1" applyFont="1" applyFill="1" applyBorder="1" applyAlignment="1">
      <alignment horizontal="center"/>
    </xf>
    <xf numFmtId="167" fontId="1" fillId="7" borderId="7" xfId="0" applyNumberFormat="1" applyFont="1" applyFill="1" applyBorder="1" applyAlignment="1">
      <alignment horizontal="center"/>
    </xf>
    <xf numFmtId="167" fontId="1" fillId="7" borderId="8" xfId="0" applyNumberFormat="1" applyFont="1" applyFill="1" applyBorder="1" applyAlignment="1">
      <alignment horizontal="center"/>
    </xf>
    <xf numFmtId="0" fontId="1" fillId="7" borderId="14" xfId="0" applyFont="1" applyFill="1" applyBorder="1" applyAlignment="1">
      <alignment horizontal="center"/>
    </xf>
    <xf numFmtId="166" fontId="1" fillId="7" borderId="0" xfId="0" applyNumberFormat="1" applyFont="1" applyFill="1" applyAlignment="1">
      <alignment horizontal="center"/>
    </xf>
    <xf numFmtId="0" fontId="1" fillId="7" borderId="8" xfId="0" applyFont="1" applyFill="1" applyBorder="1" applyAlignment="1">
      <alignment horizontal="center"/>
    </xf>
    <xf numFmtId="0" fontId="1" fillId="7" borderId="11" xfId="0" applyFont="1" applyFill="1" applyBorder="1" applyAlignment="1">
      <alignment horizontal="center"/>
    </xf>
    <xf numFmtId="0" fontId="9" fillId="4" borderId="7" xfId="0" applyFont="1" applyFill="1" applyBorder="1" applyAlignment="1">
      <alignment horizontal="left"/>
    </xf>
    <xf numFmtId="2" fontId="1" fillId="7" borderId="0" xfId="0" applyNumberFormat="1" applyFont="1" applyFill="1" applyAlignment="1">
      <alignment horizontal="center"/>
    </xf>
    <xf numFmtId="171" fontId="1" fillId="7" borderId="8" xfId="0" applyNumberFormat="1" applyFont="1" applyFill="1" applyBorder="1" applyAlignment="1">
      <alignment horizontal="center"/>
    </xf>
    <xf numFmtId="171" fontId="1" fillId="7" borderId="11" xfId="0" applyNumberFormat="1" applyFont="1" applyFill="1" applyBorder="1" applyAlignment="1">
      <alignment horizontal="center"/>
    </xf>
    <xf numFmtId="171" fontId="1" fillId="7" borderId="7" xfId="0" applyNumberFormat="1" applyFont="1" applyFill="1" applyBorder="1" applyAlignment="1">
      <alignment horizontal="center"/>
    </xf>
    <xf numFmtId="164" fontId="1" fillId="7" borderId="10" xfId="0" applyNumberFormat="1" applyFont="1" applyFill="1" applyBorder="1" applyAlignment="1">
      <alignment horizontal="center"/>
    </xf>
    <xf numFmtId="2" fontId="1" fillId="7" borderId="10" xfId="0" applyNumberFormat="1" applyFont="1" applyFill="1" applyBorder="1" applyAlignment="1">
      <alignment horizontal="center"/>
    </xf>
    <xf numFmtId="11" fontId="1" fillId="7" borderId="7" xfId="0" applyNumberFormat="1" applyFont="1" applyFill="1" applyBorder="1" applyAlignment="1">
      <alignment horizontal="center"/>
    </xf>
    <xf numFmtId="2" fontId="1" fillId="7" borderId="6" xfId="0" applyNumberFormat="1" applyFont="1" applyFill="1" applyBorder="1" applyAlignment="1">
      <alignment horizontal="center"/>
    </xf>
    <xf numFmtId="167" fontId="1" fillId="0" borderId="7" xfId="0" applyNumberFormat="1" applyFont="1" applyFill="1" applyBorder="1" applyAlignment="1">
      <alignment horizontal="center"/>
    </xf>
    <xf numFmtId="164" fontId="1" fillId="7" borderId="8" xfId="0" applyNumberFormat="1" applyFont="1" applyFill="1" applyBorder="1" applyAlignment="1">
      <alignment horizontal="center"/>
    </xf>
    <xf numFmtId="171" fontId="1" fillId="0" borderId="6" xfId="0" applyNumberFormat="1" applyFont="1" applyFill="1" applyBorder="1" applyAlignment="1">
      <alignment horizontal="center"/>
    </xf>
    <xf numFmtId="2" fontId="9" fillId="3" borderId="10" xfId="0" applyNumberFormat="1" applyFont="1" applyFill="1" applyBorder="1" applyAlignment="1">
      <alignment horizontal="center"/>
    </xf>
    <xf numFmtId="2" fontId="0" fillId="7" borderId="7" xfId="0" applyNumberFormat="1" applyFill="1" applyBorder="1" applyAlignment="1">
      <alignment horizontal="center"/>
    </xf>
    <xf numFmtId="167" fontId="0" fillId="7" borderId="7" xfId="0" applyNumberFormat="1" applyFill="1" applyBorder="1" applyAlignment="1">
      <alignment horizontal="center"/>
    </xf>
    <xf numFmtId="2" fontId="0" fillId="16" borderId="7" xfId="0" applyNumberFormat="1" applyFill="1" applyBorder="1" applyAlignment="1">
      <alignment horizontal="center"/>
    </xf>
    <xf numFmtId="0" fontId="0" fillId="7" borderId="7" xfId="0" applyFill="1" applyBorder="1"/>
    <xf numFmtId="167" fontId="0" fillId="7" borderId="7" xfId="0" applyNumberFormat="1" applyFill="1" applyBorder="1"/>
    <xf numFmtId="1" fontId="0" fillId="7" borderId="7" xfId="0" applyNumberFormat="1" applyFill="1" applyBorder="1" applyAlignment="1">
      <alignment horizontal="center"/>
    </xf>
    <xf numFmtId="0" fontId="1" fillId="0" borderId="0" xfId="0" applyFont="1" applyAlignment="1">
      <alignment horizontal="center"/>
    </xf>
    <xf numFmtId="1" fontId="0" fillId="7" borderId="7" xfId="0" applyNumberFormat="1" applyFill="1" applyBorder="1" applyAlignment="1">
      <alignment horizontal="center"/>
    </xf>
    <xf numFmtId="0" fontId="0" fillId="0" borderId="0" xfId="0"/>
    <xf numFmtId="0" fontId="9" fillId="3" borderId="1" xfId="0" applyFont="1" applyFill="1" applyBorder="1" applyAlignment="1">
      <alignment horizontal="center"/>
    </xf>
    <xf numFmtId="0" fontId="1" fillId="12" borderId="1" xfId="0" applyFont="1" applyFill="1" applyBorder="1" applyAlignment="1">
      <alignment horizontal="center"/>
    </xf>
    <xf numFmtId="0" fontId="1" fillId="0" borderId="0" xfId="0" applyFont="1"/>
    <xf numFmtId="0" fontId="9" fillId="3" borderId="2" xfId="0" applyFont="1" applyFill="1" applyBorder="1" applyAlignment="1">
      <alignment horizontal="center" vertical="center" wrapText="1"/>
    </xf>
    <xf numFmtId="0" fontId="9" fillId="12" borderId="2" xfId="0" applyFont="1" applyFill="1" applyBorder="1" applyAlignment="1">
      <alignment horizontal="center" vertical="center" wrapText="1"/>
    </xf>
    <xf numFmtId="0" fontId="9" fillId="3" borderId="5" xfId="0" applyFont="1" applyFill="1" applyBorder="1" applyAlignment="1">
      <alignment horizontal="center"/>
    </xf>
    <xf numFmtId="0" fontId="9" fillId="12" borderId="5" xfId="0" applyFont="1" applyFill="1" applyBorder="1" applyAlignment="1">
      <alignment horizontal="center"/>
    </xf>
    <xf numFmtId="0" fontId="9" fillId="4" borderId="7" xfId="0" applyFont="1" applyFill="1" applyBorder="1" applyAlignment="1">
      <alignment horizontal="center"/>
    </xf>
    <xf numFmtId="0" fontId="9" fillId="3" borderId="7" xfId="0" applyFont="1" applyFill="1" applyBorder="1" applyAlignment="1">
      <alignment horizontal="center"/>
    </xf>
    <xf numFmtId="0" fontId="9" fillId="4" borderId="9" xfId="0" applyFont="1" applyFill="1" applyBorder="1" applyAlignment="1">
      <alignment horizontal="center"/>
    </xf>
    <xf numFmtId="0" fontId="1" fillId="0" borderId="7" xfId="0" applyFont="1" applyFill="1" applyBorder="1" applyAlignment="1">
      <alignment horizontal="center"/>
    </xf>
    <xf numFmtId="14" fontId="1" fillId="0" borderId="7" xfId="2" applyNumberFormat="1" applyFont="1" applyFill="1" applyBorder="1" applyAlignment="1">
      <alignment horizontal="center"/>
    </xf>
    <xf numFmtId="0" fontId="1" fillId="0" borderId="8" xfId="0" applyFont="1" applyFill="1" applyBorder="1" applyAlignment="1">
      <alignment horizontal="center"/>
    </xf>
    <xf numFmtId="14" fontId="1" fillId="0" borderId="6" xfId="2" applyNumberFormat="1" applyFont="1" applyBorder="1" applyAlignment="1">
      <alignment horizontal="center"/>
    </xf>
    <xf numFmtId="14" fontId="1" fillId="0" borderId="7" xfId="2" applyNumberFormat="1" applyFont="1" applyBorder="1" applyAlignment="1">
      <alignment horizontal="center"/>
    </xf>
    <xf numFmtId="0" fontId="1" fillId="0" borderId="7" xfId="0" applyFont="1" applyBorder="1" applyAlignment="1">
      <alignment horizontal="center"/>
    </xf>
    <xf numFmtId="0" fontId="1" fillId="0" borderId="0" xfId="0" applyFont="1" applyAlignment="1">
      <alignment horizontal="center"/>
    </xf>
    <xf numFmtId="0" fontId="1" fillId="0" borderId="10" xfId="0" applyFont="1" applyBorder="1" applyAlignment="1">
      <alignment horizontal="center"/>
    </xf>
    <xf numFmtId="14" fontId="1" fillId="0" borderId="2" xfId="2" applyNumberFormat="1" applyFont="1" applyBorder="1" applyAlignment="1">
      <alignment horizontal="center"/>
    </xf>
    <xf numFmtId="14" fontId="1" fillId="0" borderId="10" xfId="2" applyNumberFormat="1" applyFont="1" applyBorder="1" applyAlignment="1">
      <alignment horizontal="center"/>
    </xf>
    <xf numFmtId="175" fontId="1" fillId="0" borderId="7" xfId="2" applyNumberFormat="1" applyFont="1" applyBorder="1" applyAlignment="1">
      <alignment horizontal="center"/>
    </xf>
    <xf numFmtId="0" fontId="1" fillId="7" borderId="0" xfId="0" applyFont="1" applyFill="1" applyAlignment="1">
      <alignment horizontal="center"/>
    </xf>
    <xf numFmtId="14" fontId="1" fillId="0" borderId="7" xfId="0" applyNumberFormat="1" applyFont="1" applyBorder="1" applyAlignment="1">
      <alignment horizontal="center"/>
    </xf>
    <xf numFmtId="14" fontId="1" fillId="0" borderId="7" xfId="0" applyNumberFormat="1" applyFont="1" applyFill="1" applyBorder="1" applyAlignment="1">
      <alignment horizontal="center"/>
    </xf>
    <xf numFmtId="0" fontId="1" fillId="7" borderId="7" xfId="0" applyFont="1" applyFill="1" applyBorder="1" applyAlignment="1">
      <alignment horizontal="center"/>
    </xf>
    <xf numFmtId="14" fontId="1" fillId="5" borderId="7" xfId="0" applyNumberFormat="1" applyFont="1" applyFill="1" applyBorder="1" applyAlignment="1">
      <alignment horizontal="center"/>
    </xf>
    <xf numFmtId="1" fontId="1" fillId="7" borderId="7" xfId="0" applyNumberFormat="1" applyFont="1" applyFill="1" applyBorder="1" applyAlignment="1">
      <alignment horizontal="center"/>
    </xf>
    <xf numFmtId="14" fontId="14" fillId="7" borderId="7" xfId="0" applyNumberFormat="1" applyFont="1" applyFill="1" applyBorder="1" applyAlignment="1">
      <alignment horizontal="center"/>
    </xf>
    <xf numFmtId="0" fontId="1" fillId="7" borderId="0" xfId="0" applyFont="1" applyFill="1" applyBorder="1" applyAlignment="1">
      <alignment horizontal="center"/>
    </xf>
    <xf numFmtId="14" fontId="14" fillId="7" borderId="7" xfId="30" applyNumberFormat="1" applyFont="1" applyFill="1" applyBorder="1" applyAlignment="1">
      <alignment horizontal="center"/>
    </xf>
    <xf numFmtId="0" fontId="14" fillId="7" borderId="7" xfId="30" applyFont="1" applyFill="1" applyBorder="1" applyAlignment="1">
      <alignment horizontal="center"/>
    </xf>
    <xf numFmtId="14" fontId="1" fillId="7" borderId="7" xfId="0" applyNumberFormat="1" applyFont="1" applyFill="1" applyBorder="1" applyAlignment="1">
      <alignment horizontal="center"/>
    </xf>
    <xf numFmtId="172" fontId="1" fillId="7" borderId="7" xfId="0" applyNumberFormat="1" applyFont="1" applyFill="1" applyBorder="1" applyAlignment="1">
      <alignment horizontal="center"/>
    </xf>
    <xf numFmtId="168" fontId="1" fillId="7" borderId="7" xfId="0" applyNumberFormat="1" applyFont="1" applyFill="1" applyBorder="1"/>
    <xf numFmtId="168" fontId="1" fillId="7" borderId="7" xfId="0" applyNumberFormat="1" applyFont="1" applyFill="1" applyBorder="1" applyAlignment="1">
      <alignment horizontal="center"/>
    </xf>
    <xf numFmtId="0" fontId="1" fillId="7" borderId="0" xfId="0" applyFont="1" applyFill="1" applyBorder="1"/>
    <xf numFmtId="15" fontId="1" fillId="7" borderId="7" xfId="0" applyNumberFormat="1" applyFont="1" applyFill="1" applyBorder="1" applyAlignment="1">
      <alignment horizontal="center"/>
    </xf>
    <xf numFmtId="176" fontId="1" fillId="7" borderId="7" xfId="0" applyNumberFormat="1" applyFont="1" applyFill="1" applyBorder="1" applyAlignment="1">
      <alignment horizontal="center"/>
    </xf>
    <xf numFmtId="176" fontId="1" fillId="7" borderId="7" xfId="0" applyNumberFormat="1" applyFont="1" applyFill="1" applyBorder="1" applyAlignment="1">
      <alignment horizontal="center" vertical="center"/>
    </xf>
    <xf numFmtId="15" fontId="1" fillId="0" borderId="7" xfId="0" applyNumberFormat="1" applyFont="1" applyFill="1" applyBorder="1" applyAlignment="1">
      <alignment horizontal="center"/>
    </xf>
    <xf numFmtId="14" fontId="0" fillId="7" borderId="7" xfId="0" applyNumberFormat="1" applyFill="1" applyBorder="1" applyAlignment="1">
      <alignment horizontal="center"/>
    </xf>
    <xf numFmtId="2" fontId="0" fillId="7" borderId="7" xfId="0" applyNumberFormat="1" applyFill="1" applyBorder="1" applyAlignment="1">
      <alignment horizontal="center"/>
    </xf>
    <xf numFmtId="0" fontId="0" fillId="7" borderId="7" xfId="0" applyFill="1" applyBorder="1"/>
    <xf numFmtId="173" fontId="0" fillId="7" borderId="7" xfId="0" applyNumberFormat="1" applyFill="1" applyBorder="1" applyAlignment="1">
      <alignment horizontal="center"/>
    </xf>
    <xf numFmtId="177" fontId="0" fillId="7" borderId="7" xfId="0" applyNumberFormat="1" applyFill="1" applyBorder="1" applyAlignment="1">
      <alignment horizontal="center"/>
    </xf>
    <xf numFmtId="0" fontId="0" fillId="7" borderId="6" xfId="0" applyFill="1" applyBorder="1"/>
    <xf numFmtId="14" fontId="0" fillId="7" borderId="6" xfId="0" applyNumberFormat="1" applyFill="1" applyBorder="1" applyAlignment="1">
      <alignment horizontal="center"/>
    </xf>
    <xf numFmtId="176" fontId="0" fillId="0" borderId="7" xfId="0" applyNumberFormat="1" applyFill="1" applyBorder="1" applyAlignment="1">
      <alignment horizontal="center"/>
    </xf>
    <xf numFmtId="176" fontId="0" fillId="0" borderId="7" xfId="0" applyNumberFormat="1" applyFill="1" applyBorder="1" applyAlignment="1">
      <alignment horizontal="center"/>
    </xf>
    <xf numFmtId="176" fontId="0" fillId="0" borderId="7" xfId="0" applyNumberFormat="1" applyFill="1" applyBorder="1" applyAlignment="1">
      <alignment horizontal="center"/>
    </xf>
    <xf numFmtId="176" fontId="0" fillId="0" borderId="7" xfId="0" applyNumberFormat="1" applyBorder="1" applyAlignment="1">
      <alignment horizontal="center"/>
    </xf>
    <xf numFmtId="0" fontId="1" fillId="7" borderId="0" xfId="0" applyFont="1" applyFill="1" applyAlignment="1">
      <alignment horizontal="center"/>
    </xf>
    <xf numFmtId="0" fontId="9" fillId="4" borderId="7" xfId="0" applyNumberFormat="1" applyFont="1" applyFill="1" applyBorder="1" applyAlignment="1">
      <alignment horizontal="center"/>
    </xf>
    <xf numFmtId="9" fontId="9" fillId="4" borderId="7" xfId="5" applyFont="1" applyFill="1" applyBorder="1" applyAlignment="1">
      <alignment horizontal="center"/>
    </xf>
    <xf numFmtId="9" fontId="9" fillId="4" borderId="7" xfId="5" applyFont="1" applyFill="1" applyBorder="1"/>
    <xf numFmtId="0" fontId="9" fillId="4" borderId="7" xfId="5" applyNumberFormat="1" applyFont="1" applyFill="1" applyBorder="1" applyAlignment="1">
      <alignment horizontal="center"/>
    </xf>
    <xf numFmtId="1" fontId="3" fillId="0" borderId="0" xfId="0" applyNumberFormat="1" applyFont="1" applyAlignment="1">
      <alignment horizontal="center"/>
    </xf>
    <xf numFmtId="9" fontId="0" fillId="0" borderId="0" xfId="0" applyNumberFormat="1" applyBorder="1"/>
    <xf numFmtId="9" fontId="0" fillId="0" borderId="7" xfId="5" applyFont="1" applyBorder="1" applyAlignment="1">
      <alignment horizontal="center"/>
    </xf>
    <xf numFmtId="0" fontId="18" fillId="0" borderId="7" xfId="0" applyFont="1" applyBorder="1" applyAlignment="1">
      <alignment horizontal="center"/>
    </xf>
    <xf numFmtId="0" fontId="18" fillId="0" borderId="0" xfId="0" applyFont="1" applyAlignment="1"/>
    <xf numFmtId="165" fontId="1" fillId="0" borderId="8" xfId="0" applyNumberFormat="1" applyFont="1" applyFill="1" applyBorder="1" applyAlignment="1">
      <alignment horizontal="center"/>
    </xf>
    <xf numFmtId="165" fontId="1" fillId="0" borderId="11" xfId="0" applyNumberFormat="1" applyFont="1" applyFill="1" applyBorder="1" applyAlignment="1">
      <alignment horizontal="center"/>
    </xf>
    <xf numFmtId="165" fontId="1" fillId="0" borderId="10" xfId="0" applyNumberFormat="1" applyFont="1" applyFill="1" applyBorder="1" applyAlignment="1">
      <alignment horizontal="center"/>
    </xf>
    <xf numFmtId="165" fontId="1" fillId="0" borderId="10" xfId="0" applyNumberFormat="1" applyFont="1" applyBorder="1" applyAlignment="1">
      <alignment horizontal="center"/>
    </xf>
    <xf numFmtId="165" fontId="1" fillId="0" borderId="0" xfId="0" applyNumberFormat="1" applyFont="1" applyAlignment="1">
      <alignment horizontal="center"/>
    </xf>
    <xf numFmtId="165" fontId="1" fillId="7" borderId="0" xfId="0" applyNumberFormat="1" applyFont="1" applyFill="1" applyAlignment="1">
      <alignment horizontal="center"/>
    </xf>
    <xf numFmtId="165" fontId="1" fillId="0" borderId="0" xfId="0" applyNumberFormat="1" applyFont="1" applyFill="1" applyBorder="1" applyAlignment="1">
      <alignment horizontal="center"/>
    </xf>
    <xf numFmtId="165" fontId="9" fillId="0" borderId="0" xfId="0" applyNumberFormat="1" applyFont="1" applyFill="1" applyBorder="1" applyAlignment="1">
      <alignment horizontal="center"/>
    </xf>
    <xf numFmtId="165" fontId="0" fillId="0" borderId="0" xfId="0" applyNumberFormat="1" applyFill="1" applyBorder="1" applyAlignment="1">
      <alignment horizontal="center"/>
    </xf>
    <xf numFmtId="165" fontId="3" fillId="0" borderId="0" xfId="0" applyNumberFormat="1" applyFont="1" applyAlignment="1">
      <alignment horizontal="center"/>
    </xf>
    <xf numFmtId="165" fontId="3" fillId="0" borderId="0" xfId="0" applyNumberFormat="1" applyFont="1" applyFill="1" applyAlignment="1">
      <alignment horizontal="center"/>
    </xf>
    <xf numFmtId="0" fontId="1" fillId="7" borderId="19" xfId="0" applyFont="1" applyFill="1" applyBorder="1" applyAlignment="1">
      <alignment horizontal="center"/>
    </xf>
    <xf numFmtId="0" fontId="1" fillId="0" borderId="8" xfId="2" applyFont="1" applyFill="1" applyBorder="1" applyAlignment="1">
      <alignment horizontal="center"/>
    </xf>
    <xf numFmtId="0" fontId="1" fillId="0" borderId="8" xfId="2" applyFont="1" applyBorder="1" applyAlignment="1">
      <alignment horizontal="center"/>
    </xf>
    <xf numFmtId="0" fontId="1" fillId="0" borderId="11" xfId="2" applyFont="1" applyBorder="1" applyAlignment="1">
      <alignment horizontal="center"/>
    </xf>
    <xf numFmtId="0" fontId="1" fillId="0" borderId="9" xfId="2" applyFont="1" applyFill="1" applyBorder="1" applyAlignment="1">
      <alignment horizontal="center"/>
    </xf>
    <xf numFmtId="0" fontId="1" fillId="0" borderId="9" xfId="2" applyFont="1" applyBorder="1" applyAlignment="1">
      <alignment horizontal="center"/>
    </xf>
    <xf numFmtId="0" fontId="1" fillId="0" borderId="12" xfId="2" applyFont="1" applyBorder="1" applyAlignment="1">
      <alignment horizontal="center"/>
    </xf>
    <xf numFmtId="0" fontId="9" fillId="3" borderId="10" xfId="0" applyFont="1" applyFill="1" applyBorder="1"/>
    <xf numFmtId="0" fontId="9" fillId="3" borderId="6" xfId="0" applyFont="1" applyFill="1" applyBorder="1"/>
    <xf numFmtId="0" fontId="1" fillId="0" borderId="0" xfId="2" applyFont="1" applyFill="1" applyBorder="1" applyAlignment="1">
      <alignment horizontal="center"/>
    </xf>
    <xf numFmtId="0" fontId="1" fillId="0" borderId="11" xfId="2" applyFont="1" applyFill="1" applyBorder="1" applyAlignment="1">
      <alignment horizontal="center"/>
    </xf>
    <xf numFmtId="0" fontId="1" fillId="0" borderId="19" xfId="2" applyFont="1" applyFill="1" applyBorder="1" applyAlignment="1">
      <alignment horizontal="center"/>
    </xf>
    <xf numFmtId="0" fontId="1" fillId="0" borderId="12" xfId="2" applyFont="1" applyFill="1" applyBorder="1" applyAlignment="1">
      <alignment horizontal="center"/>
    </xf>
    <xf numFmtId="0" fontId="1" fillId="0" borderId="21" xfId="2" applyFont="1" applyFill="1" applyBorder="1" applyAlignment="1">
      <alignment horizontal="center"/>
    </xf>
    <xf numFmtId="0" fontId="1" fillId="0" borderId="22" xfId="2" applyFont="1" applyFill="1" applyBorder="1" applyAlignment="1">
      <alignment horizontal="center"/>
    </xf>
    <xf numFmtId="0" fontId="1" fillId="0" borderId="14" xfId="2" applyFont="1" applyFill="1" applyBorder="1" applyAlignment="1">
      <alignment horizontal="center"/>
    </xf>
    <xf numFmtId="0" fontId="1" fillId="0" borderId="28" xfId="2" applyFont="1" applyFill="1" applyBorder="1" applyAlignment="1">
      <alignment horizontal="center"/>
    </xf>
    <xf numFmtId="0" fontId="1" fillId="0" borderId="23" xfId="2" applyFont="1" applyFill="1" applyBorder="1" applyAlignment="1">
      <alignment horizontal="center"/>
    </xf>
    <xf numFmtId="0" fontId="9" fillId="3" borderId="2" xfId="0" applyFont="1" applyFill="1" applyBorder="1"/>
    <xf numFmtId="0" fontId="1" fillId="3" borderId="2" xfId="2" applyFont="1" applyFill="1" applyBorder="1" applyAlignment="1">
      <alignment horizontal="center"/>
    </xf>
    <xf numFmtId="11" fontId="1" fillId="0" borderId="8" xfId="0" applyNumberFormat="1" applyFont="1" applyBorder="1" applyAlignment="1">
      <alignment horizontal="center"/>
    </xf>
    <xf numFmtId="1" fontId="1" fillId="0" borderId="9" xfId="0" applyNumberFormat="1" applyFont="1" applyBorder="1" applyAlignment="1">
      <alignment horizontal="center"/>
    </xf>
    <xf numFmtId="0" fontId="1" fillId="7" borderId="9" xfId="0" applyFont="1" applyFill="1" applyBorder="1"/>
    <xf numFmtId="165" fontId="14" fillId="7" borderId="9" xfId="0" applyNumberFormat="1" applyFont="1" applyFill="1" applyBorder="1" applyAlignment="1" applyProtection="1">
      <alignment horizontal="center"/>
    </xf>
    <xf numFmtId="0" fontId="1" fillId="7" borderId="28" xfId="0" applyFont="1" applyFill="1" applyBorder="1" applyAlignment="1">
      <alignment horizontal="center"/>
    </xf>
    <xf numFmtId="0" fontId="1" fillId="7" borderId="23" xfId="0" applyFont="1" applyFill="1" applyBorder="1" applyAlignment="1">
      <alignment horizontal="center"/>
    </xf>
    <xf numFmtId="170" fontId="1" fillId="0" borderId="8" xfId="5" applyNumberFormat="1" applyFont="1" applyBorder="1" applyAlignment="1">
      <alignment horizontal="center"/>
    </xf>
    <xf numFmtId="170" fontId="14" fillId="7" borderId="8" xfId="9" applyNumberFormat="1" applyFont="1" applyFill="1" applyBorder="1" applyAlignment="1">
      <alignment horizontal="center"/>
    </xf>
    <xf numFmtId="0" fontId="9" fillId="3" borderId="11" xfId="0" applyFont="1" applyFill="1" applyBorder="1" applyAlignment="1">
      <alignment horizontal="center"/>
    </xf>
    <xf numFmtId="170" fontId="1" fillId="0" borderId="0" xfId="5" applyNumberFormat="1" applyFont="1" applyBorder="1" applyAlignment="1">
      <alignment horizontal="center"/>
    </xf>
    <xf numFmtId="170" fontId="1" fillId="0" borderId="11" xfId="5" applyNumberFormat="1" applyFont="1" applyBorder="1" applyAlignment="1">
      <alignment horizontal="center"/>
    </xf>
    <xf numFmtId="170" fontId="1" fillId="0" borderId="19" xfId="5" applyNumberFormat="1" applyFont="1" applyBorder="1" applyAlignment="1">
      <alignment horizontal="center"/>
    </xf>
    <xf numFmtId="170" fontId="1" fillId="0" borderId="12" xfId="5" applyNumberFormat="1" applyFont="1" applyBorder="1" applyAlignment="1">
      <alignment horizontal="center"/>
    </xf>
    <xf numFmtId="170" fontId="1" fillId="0" borderId="21" xfId="5" applyNumberFormat="1" applyFont="1" applyBorder="1" applyAlignment="1">
      <alignment horizontal="center"/>
    </xf>
    <xf numFmtId="170" fontId="1" fillId="0" borderId="22" xfId="5" applyNumberFormat="1" applyFont="1" applyBorder="1" applyAlignment="1">
      <alignment horizontal="center"/>
    </xf>
    <xf numFmtId="170" fontId="1" fillId="0" borderId="14" xfId="5" applyNumberFormat="1" applyFont="1" applyBorder="1" applyAlignment="1">
      <alignment horizontal="center"/>
    </xf>
    <xf numFmtId="170" fontId="1" fillId="0" borderId="28" xfId="5" applyNumberFormat="1" applyFont="1" applyBorder="1" applyAlignment="1">
      <alignment horizontal="center"/>
    </xf>
    <xf numFmtId="170" fontId="1" fillId="0" borderId="23" xfId="5" applyNumberFormat="1" applyFont="1" applyBorder="1" applyAlignment="1">
      <alignment horizontal="center"/>
    </xf>
    <xf numFmtId="170" fontId="1" fillId="7" borderId="8" xfId="0" applyNumberFormat="1" applyFont="1" applyFill="1" applyBorder="1" applyAlignment="1">
      <alignment horizontal="center"/>
    </xf>
    <xf numFmtId="170" fontId="1" fillId="7" borderId="0" xfId="0" applyNumberFormat="1" applyFont="1" applyFill="1" applyBorder="1" applyAlignment="1">
      <alignment horizontal="center"/>
    </xf>
    <xf numFmtId="170" fontId="1" fillId="7" borderId="11" xfId="0" applyNumberFormat="1" applyFont="1" applyFill="1" applyBorder="1" applyAlignment="1">
      <alignment horizontal="center"/>
    </xf>
    <xf numFmtId="170" fontId="1" fillId="7" borderId="19" xfId="0" applyNumberFormat="1" applyFont="1" applyFill="1" applyBorder="1" applyAlignment="1">
      <alignment horizontal="center"/>
    </xf>
    <xf numFmtId="170" fontId="1" fillId="7" borderId="12" xfId="0" applyNumberFormat="1" applyFont="1" applyFill="1" applyBorder="1" applyAlignment="1">
      <alignment horizontal="center"/>
    </xf>
    <xf numFmtId="170" fontId="1" fillId="7" borderId="21" xfId="0" applyNumberFormat="1" applyFont="1" applyFill="1" applyBorder="1" applyAlignment="1">
      <alignment horizontal="center"/>
    </xf>
    <xf numFmtId="170" fontId="1" fillId="7" borderId="14" xfId="0" applyNumberFormat="1" applyFont="1" applyFill="1" applyBorder="1" applyAlignment="1">
      <alignment horizontal="center"/>
    </xf>
    <xf numFmtId="170" fontId="1" fillId="7" borderId="28" xfId="0" applyNumberFormat="1" applyFont="1" applyFill="1" applyBorder="1" applyAlignment="1">
      <alignment horizontal="center"/>
    </xf>
    <xf numFmtId="9" fontId="1" fillId="7" borderId="8" xfId="5" applyFont="1" applyFill="1" applyBorder="1" applyAlignment="1">
      <alignment horizontal="center"/>
    </xf>
    <xf numFmtId="165" fontId="1" fillId="7" borderId="9" xfId="0" applyNumberFormat="1" applyFont="1" applyFill="1" applyBorder="1" applyAlignment="1">
      <alignment horizontal="center"/>
    </xf>
    <xf numFmtId="9" fontId="1" fillId="7" borderId="0" xfId="5" applyFont="1" applyFill="1" applyBorder="1" applyAlignment="1">
      <alignment horizontal="center"/>
    </xf>
    <xf numFmtId="9" fontId="1" fillId="7" borderId="11" xfId="5" applyFont="1" applyFill="1" applyBorder="1" applyAlignment="1">
      <alignment horizontal="center"/>
    </xf>
    <xf numFmtId="9" fontId="1" fillId="7" borderId="19" xfId="5" applyFont="1" applyFill="1" applyBorder="1" applyAlignment="1">
      <alignment horizontal="center"/>
    </xf>
    <xf numFmtId="9" fontId="1" fillId="7" borderId="12" xfId="5" applyFont="1" applyFill="1" applyBorder="1" applyAlignment="1">
      <alignment horizontal="center"/>
    </xf>
    <xf numFmtId="9" fontId="1" fillId="7" borderId="21" xfId="5" applyFont="1" applyFill="1" applyBorder="1" applyAlignment="1">
      <alignment horizontal="center"/>
    </xf>
    <xf numFmtId="9" fontId="1" fillId="7" borderId="22" xfId="5" applyFont="1" applyFill="1" applyBorder="1" applyAlignment="1">
      <alignment horizontal="center"/>
    </xf>
    <xf numFmtId="9" fontId="1" fillId="7" borderId="14" xfId="5" applyFont="1" applyFill="1" applyBorder="1" applyAlignment="1">
      <alignment horizontal="center"/>
    </xf>
    <xf numFmtId="9" fontId="1" fillId="7" borderId="28" xfId="5" applyFont="1" applyFill="1" applyBorder="1" applyAlignment="1">
      <alignment horizontal="center"/>
    </xf>
    <xf numFmtId="9" fontId="1" fillId="7" borderId="23" xfId="5" applyFont="1" applyFill="1" applyBorder="1" applyAlignment="1">
      <alignment horizontal="center"/>
    </xf>
    <xf numFmtId="170" fontId="1" fillId="7" borderId="8" xfId="5" applyNumberFormat="1" applyFont="1" applyFill="1" applyBorder="1" applyAlignment="1">
      <alignment horizontal="center"/>
    </xf>
    <xf numFmtId="165" fontId="1" fillId="7" borderId="9" xfId="6" applyNumberFormat="1" applyFont="1" applyFill="1" applyBorder="1" applyAlignment="1">
      <alignment horizontal="center"/>
    </xf>
    <xf numFmtId="0" fontId="9" fillId="3" borderId="2" xfId="0" applyFont="1" applyFill="1" applyBorder="1" applyAlignment="1">
      <alignment horizontal="center"/>
    </xf>
    <xf numFmtId="170" fontId="1" fillId="7" borderId="0" xfId="5" applyNumberFormat="1" applyFont="1" applyFill="1" applyBorder="1" applyAlignment="1">
      <alignment horizontal="center"/>
    </xf>
    <xf numFmtId="170" fontId="1" fillId="7" borderId="11" xfId="5" applyNumberFormat="1" applyFont="1" applyFill="1" applyBorder="1" applyAlignment="1">
      <alignment horizontal="center"/>
    </xf>
    <xf numFmtId="170" fontId="1" fillId="7" borderId="12" xfId="5" applyNumberFormat="1" applyFont="1" applyFill="1" applyBorder="1" applyAlignment="1">
      <alignment horizontal="center"/>
    </xf>
    <xf numFmtId="170" fontId="1" fillId="7" borderId="21" xfId="5" applyNumberFormat="1" applyFont="1" applyFill="1" applyBorder="1" applyAlignment="1">
      <alignment horizontal="center"/>
    </xf>
    <xf numFmtId="170" fontId="1" fillId="7" borderId="22" xfId="5" applyNumberFormat="1" applyFont="1" applyFill="1" applyBorder="1" applyAlignment="1">
      <alignment horizontal="center"/>
    </xf>
    <xf numFmtId="170" fontId="1" fillId="7" borderId="14" xfId="5" applyNumberFormat="1" applyFont="1" applyFill="1" applyBorder="1" applyAlignment="1">
      <alignment horizontal="center"/>
    </xf>
    <xf numFmtId="170" fontId="1" fillId="7" borderId="23" xfId="5" applyNumberFormat="1" applyFont="1" applyFill="1" applyBorder="1" applyAlignment="1">
      <alignment horizontal="center"/>
    </xf>
    <xf numFmtId="170" fontId="1" fillId="0" borderId="8" xfId="5" applyNumberFormat="1" applyFont="1" applyFill="1" applyBorder="1"/>
    <xf numFmtId="165" fontId="1" fillId="0" borderId="9" xfId="0" applyNumberFormat="1" applyFont="1" applyFill="1" applyBorder="1"/>
    <xf numFmtId="165" fontId="1" fillId="0" borderId="19" xfId="0" applyNumberFormat="1" applyFont="1" applyFill="1" applyBorder="1" applyAlignment="1">
      <alignment horizontal="center"/>
    </xf>
    <xf numFmtId="165" fontId="1" fillId="0" borderId="12" xfId="0" applyNumberFormat="1" applyFont="1" applyFill="1" applyBorder="1" applyAlignment="1">
      <alignment horizontal="center"/>
    </xf>
    <xf numFmtId="165" fontId="1" fillId="0" borderId="21" xfId="0" applyNumberFormat="1" applyFont="1" applyFill="1" applyBorder="1" applyAlignment="1">
      <alignment horizontal="center"/>
    </xf>
    <xf numFmtId="165" fontId="1" fillId="0" borderId="22" xfId="0" applyNumberFormat="1" applyFont="1" applyFill="1" applyBorder="1" applyAlignment="1">
      <alignment horizontal="center"/>
    </xf>
    <xf numFmtId="165" fontId="1" fillId="0" borderId="14" xfId="0" applyNumberFormat="1" applyFont="1" applyFill="1" applyBorder="1" applyAlignment="1">
      <alignment horizontal="center"/>
    </xf>
    <xf numFmtId="165" fontId="1" fillId="0" borderId="28" xfId="0" applyNumberFormat="1" applyFont="1" applyFill="1" applyBorder="1" applyAlignment="1">
      <alignment horizontal="center"/>
    </xf>
    <xf numFmtId="165" fontId="1" fillId="0" borderId="23" xfId="0" applyNumberFormat="1" applyFont="1" applyFill="1" applyBorder="1" applyAlignment="1">
      <alignment horizontal="center"/>
    </xf>
    <xf numFmtId="165" fontId="1" fillId="7" borderId="11" xfId="6" applyNumberFormat="1" applyFont="1" applyFill="1" applyBorder="1" applyAlignment="1">
      <alignment horizontal="center"/>
    </xf>
    <xf numFmtId="170" fontId="1" fillId="7" borderId="19" xfId="5" applyNumberFormat="1" applyFont="1" applyFill="1" applyBorder="1" applyAlignment="1">
      <alignment horizontal="center"/>
    </xf>
    <xf numFmtId="165" fontId="1" fillId="7" borderId="21" xfId="6" applyNumberFormat="1" applyFont="1" applyFill="1" applyBorder="1" applyAlignment="1">
      <alignment horizontal="center"/>
    </xf>
    <xf numFmtId="165" fontId="1" fillId="7" borderId="14" xfId="6" applyNumberFormat="1" applyFont="1" applyFill="1" applyBorder="1" applyAlignment="1">
      <alignment horizontal="center"/>
    </xf>
    <xf numFmtId="170" fontId="1" fillId="7" borderId="28" xfId="5" applyNumberFormat="1" applyFont="1" applyFill="1" applyBorder="1" applyAlignment="1">
      <alignment horizontal="center"/>
    </xf>
    <xf numFmtId="170" fontId="1" fillId="7" borderId="6" xfId="0" applyNumberFormat="1" applyFont="1" applyFill="1" applyBorder="1" applyAlignment="1">
      <alignment horizontal="center"/>
    </xf>
    <xf numFmtId="0" fontId="9" fillId="4" borderId="6" xfId="0" applyFont="1" applyFill="1" applyBorder="1" applyAlignment="1">
      <alignment horizontal="center"/>
    </xf>
    <xf numFmtId="2" fontId="0" fillId="16" borderId="8" xfId="0" applyNumberFormat="1" applyFill="1" applyBorder="1" applyAlignment="1">
      <alignment horizontal="center"/>
    </xf>
    <xf numFmtId="2" fontId="0" fillId="7" borderId="9" xfId="0" applyNumberFormat="1" applyFill="1" applyBorder="1" applyAlignment="1">
      <alignment horizontal="center"/>
    </xf>
    <xf numFmtId="0" fontId="9" fillId="4" borderId="2" xfId="0" applyFont="1" applyFill="1" applyBorder="1" applyAlignment="1">
      <alignment horizontal="center"/>
    </xf>
    <xf numFmtId="2" fontId="0" fillId="7" borderId="19" xfId="0" applyNumberFormat="1" applyFill="1" applyBorder="1" applyAlignment="1">
      <alignment horizontal="center"/>
    </xf>
    <xf numFmtId="2" fontId="0" fillId="7" borderId="12" xfId="0" applyNumberFormat="1" applyFill="1" applyBorder="1" applyAlignment="1">
      <alignment horizontal="center"/>
    </xf>
    <xf numFmtId="2" fontId="0" fillId="7" borderId="22" xfId="0" applyNumberFormat="1" applyFill="1" applyBorder="1" applyAlignment="1">
      <alignment horizontal="center"/>
    </xf>
    <xf numFmtId="2" fontId="0" fillId="7" borderId="28" xfId="0" applyNumberFormat="1" applyFill="1" applyBorder="1" applyAlignment="1">
      <alignment horizontal="center"/>
    </xf>
    <xf numFmtId="2" fontId="0" fillId="7" borderId="23" xfId="0" applyNumberFormat="1" applyFill="1" applyBorder="1" applyAlignment="1">
      <alignment horizontal="center"/>
    </xf>
    <xf numFmtId="170" fontId="0" fillId="7" borderId="8" xfId="0" applyNumberFormat="1" applyFill="1" applyBorder="1" applyAlignment="1">
      <alignment horizontal="center"/>
    </xf>
    <xf numFmtId="170" fontId="0" fillId="7" borderId="0" xfId="0" applyNumberFormat="1" applyFill="1" applyBorder="1" applyAlignment="1">
      <alignment horizontal="center"/>
    </xf>
    <xf numFmtId="170" fontId="0" fillId="7" borderId="11" xfId="0" applyNumberFormat="1" applyFill="1" applyBorder="1" applyAlignment="1">
      <alignment horizontal="center"/>
    </xf>
    <xf numFmtId="170" fontId="0" fillId="7" borderId="19" xfId="0" applyNumberFormat="1" applyFill="1" applyBorder="1" applyAlignment="1">
      <alignment horizontal="center"/>
    </xf>
    <xf numFmtId="170" fontId="0" fillId="7" borderId="12" xfId="0" applyNumberFormat="1" applyFill="1" applyBorder="1" applyAlignment="1">
      <alignment horizontal="center"/>
    </xf>
    <xf numFmtId="170" fontId="0" fillId="7" borderId="21" xfId="0" applyNumberFormat="1" applyFill="1" applyBorder="1" applyAlignment="1">
      <alignment horizontal="center"/>
    </xf>
    <xf numFmtId="170" fontId="0" fillId="7" borderId="22" xfId="0" applyNumberFormat="1" applyFill="1" applyBorder="1" applyAlignment="1">
      <alignment horizontal="center"/>
    </xf>
    <xf numFmtId="170" fontId="0" fillId="7" borderId="14" xfId="0" applyNumberFormat="1" applyFill="1" applyBorder="1" applyAlignment="1">
      <alignment horizontal="center"/>
    </xf>
    <xf numFmtId="170" fontId="0" fillId="7" borderId="28" xfId="0" applyNumberFormat="1" applyFill="1" applyBorder="1" applyAlignment="1">
      <alignment horizontal="center"/>
    </xf>
    <xf numFmtId="170" fontId="0" fillId="7" borderId="23" xfId="0" applyNumberFormat="1" applyFill="1" applyBorder="1" applyAlignment="1">
      <alignment horizontal="center"/>
    </xf>
    <xf numFmtId="167" fontId="0" fillId="7" borderId="8" xfId="0" applyNumberFormat="1" applyFill="1" applyBorder="1" applyAlignment="1">
      <alignment horizontal="center"/>
    </xf>
    <xf numFmtId="170" fontId="0" fillId="0" borderId="8" xfId="0" applyNumberFormat="1" applyFill="1" applyBorder="1" applyAlignment="1">
      <alignment horizontal="center"/>
    </xf>
    <xf numFmtId="170" fontId="0" fillId="0" borderId="11" xfId="0" applyNumberFormat="1" applyFill="1" applyBorder="1" applyAlignment="1">
      <alignment horizontal="center"/>
    </xf>
    <xf numFmtId="9" fontId="1" fillId="0" borderId="8" xfId="5" applyFont="1" applyBorder="1" applyAlignment="1">
      <alignment horizontal="center"/>
    </xf>
    <xf numFmtId="9" fontId="3" fillId="0" borderId="8" xfId="5" applyFont="1" applyBorder="1" applyAlignment="1">
      <alignment horizontal="center"/>
    </xf>
    <xf numFmtId="9" fontId="3" fillId="0" borderId="11" xfId="5" applyFont="1" applyBorder="1" applyAlignment="1">
      <alignment horizontal="center"/>
    </xf>
    <xf numFmtId="2" fontId="0" fillId="0" borderId="9" xfId="0" applyNumberFormat="1" applyFill="1" applyBorder="1" applyAlignment="1">
      <alignment horizontal="center"/>
    </xf>
    <xf numFmtId="2" fontId="0" fillId="0" borderId="12" xfId="0" applyNumberFormat="1" applyFill="1" applyBorder="1" applyAlignment="1">
      <alignment horizontal="center"/>
    </xf>
    <xf numFmtId="0" fontId="3" fillId="0" borderId="9" xfId="0" applyFont="1" applyBorder="1" applyAlignment="1">
      <alignment horizontal="center"/>
    </xf>
    <xf numFmtId="0" fontId="3" fillId="0" borderId="12" xfId="0" applyFont="1" applyBorder="1" applyAlignment="1">
      <alignment horizontal="center"/>
    </xf>
    <xf numFmtId="170" fontId="0" fillId="0" borderId="0" xfId="0" applyNumberFormat="1" applyFill="1" applyBorder="1" applyAlignment="1">
      <alignment horizontal="center"/>
    </xf>
    <xf numFmtId="170" fontId="0" fillId="0" borderId="19" xfId="0" applyNumberFormat="1" applyFill="1" applyBorder="1" applyAlignment="1">
      <alignment horizontal="center"/>
    </xf>
    <xf numFmtId="170" fontId="0" fillId="0" borderId="12" xfId="0" applyNumberFormat="1" applyFill="1" applyBorder="1" applyAlignment="1">
      <alignment horizontal="center"/>
    </xf>
    <xf numFmtId="170" fontId="0" fillId="0" borderId="21" xfId="0" applyNumberFormat="1" applyFill="1" applyBorder="1" applyAlignment="1">
      <alignment horizontal="center"/>
    </xf>
    <xf numFmtId="170" fontId="0" fillId="0" borderId="22" xfId="0" applyNumberFormat="1" applyFill="1" applyBorder="1" applyAlignment="1">
      <alignment horizontal="center"/>
    </xf>
    <xf numFmtId="170" fontId="0" fillId="0" borderId="14" xfId="0" applyNumberFormat="1" applyFill="1" applyBorder="1" applyAlignment="1">
      <alignment horizontal="center"/>
    </xf>
    <xf numFmtId="170" fontId="0" fillId="0" borderId="28" xfId="0" applyNumberFormat="1" applyFill="1" applyBorder="1" applyAlignment="1">
      <alignment horizontal="center"/>
    </xf>
    <xf numFmtId="170" fontId="0" fillId="0" borderId="23" xfId="0" applyNumberFormat="1" applyFill="1" applyBorder="1" applyAlignment="1">
      <alignment horizontal="center"/>
    </xf>
    <xf numFmtId="170" fontId="1" fillId="0" borderId="0" xfId="0" applyNumberFormat="1" applyFont="1" applyFill="1" applyAlignment="1">
      <alignment horizontal="center"/>
    </xf>
    <xf numFmtId="170" fontId="3" fillId="0" borderId="0" xfId="0" applyNumberFormat="1" applyFont="1" applyFill="1"/>
    <xf numFmtId="170" fontId="3" fillId="0" borderId="0" xfId="0" applyNumberFormat="1" applyFont="1"/>
    <xf numFmtId="170" fontId="3" fillId="0" borderId="7" xfId="5" applyNumberFormat="1" applyFont="1" applyFill="1" applyBorder="1" applyAlignment="1">
      <alignment horizontal="center"/>
    </xf>
    <xf numFmtId="170" fontId="0" fillId="0" borderId="7" xfId="5" applyNumberFormat="1" applyFont="1" applyBorder="1" applyAlignment="1">
      <alignment horizontal="center"/>
    </xf>
    <xf numFmtId="14" fontId="1" fillId="7" borderId="6" xfId="0" applyNumberFormat="1" applyFont="1" applyFill="1" applyBorder="1" applyAlignment="1">
      <alignment horizontal="center"/>
    </xf>
    <xf numFmtId="0" fontId="3" fillId="0" borderId="6" xfId="0" applyFont="1" applyFill="1" applyBorder="1" applyAlignment="1">
      <alignment horizontal="center"/>
    </xf>
    <xf numFmtId="170" fontId="3" fillId="0" borderId="6" xfId="5" applyNumberFormat="1" applyFont="1" applyFill="1" applyBorder="1" applyAlignment="1">
      <alignment horizontal="center"/>
    </xf>
    <xf numFmtId="2" fontId="3" fillId="0" borderId="7" xfId="0" applyNumberFormat="1" applyFont="1" applyFill="1" applyBorder="1" applyAlignment="1">
      <alignment horizontal="center"/>
    </xf>
    <xf numFmtId="2" fontId="3" fillId="0" borderId="7" xfId="0" applyNumberFormat="1" applyFont="1" applyBorder="1" applyAlignment="1">
      <alignment horizontal="center"/>
    </xf>
    <xf numFmtId="170" fontId="3" fillId="0" borderId="7" xfId="5" applyNumberFormat="1" applyFont="1" applyBorder="1" applyAlignment="1">
      <alignment horizontal="center"/>
    </xf>
    <xf numFmtId="170" fontId="1" fillId="0" borderId="0" xfId="0" applyNumberFormat="1" applyFont="1" applyAlignment="1">
      <alignment horizontal="center"/>
    </xf>
    <xf numFmtId="170" fontId="1" fillId="7" borderId="0" xfId="0" applyNumberFormat="1" applyFont="1" applyFill="1"/>
    <xf numFmtId="14" fontId="3" fillId="0" borderId="7" xfId="0" applyNumberFormat="1" applyFont="1" applyBorder="1" applyAlignment="1">
      <alignment horizontal="center"/>
    </xf>
    <xf numFmtId="165" fontId="3" fillId="0" borderId="7" xfId="0" applyNumberFormat="1" applyFont="1" applyFill="1" applyBorder="1" applyAlignment="1">
      <alignment horizontal="center"/>
    </xf>
    <xf numFmtId="0" fontId="1" fillId="0" borderId="7" xfId="0" applyFont="1" applyBorder="1" applyAlignment="1">
      <alignment horizontal="right"/>
    </xf>
    <xf numFmtId="167" fontId="1" fillId="0" borderId="7" xfId="0" applyNumberFormat="1" applyFont="1" applyFill="1" applyBorder="1"/>
    <xf numFmtId="171" fontId="1" fillId="0" borderId="7" xfId="0" applyNumberFormat="1" applyFont="1" applyFill="1" applyBorder="1"/>
    <xf numFmtId="14" fontId="3" fillId="0" borderId="0" xfId="0" applyNumberFormat="1" applyFont="1"/>
    <xf numFmtId="170" fontId="3" fillId="0" borderId="0" xfId="0" applyNumberFormat="1" applyFont="1" applyAlignment="1">
      <alignment horizontal="center"/>
    </xf>
    <xf numFmtId="10" fontId="3" fillId="0" borderId="0" xfId="0" applyNumberFormat="1" applyFont="1" applyAlignment="1">
      <alignment horizontal="center"/>
    </xf>
    <xf numFmtId="10" fontId="3" fillId="0" borderId="0" xfId="0" applyNumberFormat="1" applyFont="1" applyFill="1" applyAlignment="1">
      <alignment horizontal="center"/>
    </xf>
    <xf numFmtId="10" fontId="9" fillId="3" borderId="8" xfId="0" applyNumberFormat="1" applyFont="1" applyFill="1" applyBorder="1" applyAlignment="1">
      <alignment horizontal="center"/>
    </xf>
    <xf numFmtId="10" fontId="9" fillId="3" borderId="16" xfId="0" applyNumberFormat="1" applyFont="1" applyFill="1" applyBorder="1" applyAlignment="1">
      <alignment horizontal="center"/>
    </xf>
    <xf numFmtId="10" fontId="9" fillId="3" borderId="9" xfId="0" applyNumberFormat="1" applyFont="1" applyFill="1" applyBorder="1" applyAlignment="1">
      <alignment horizontal="center"/>
    </xf>
    <xf numFmtId="0" fontId="1" fillId="7" borderId="19" xfId="0" applyFont="1" applyFill="1" applyBorder="1" applyAlignment="1">
      <alignment horizontal="center"/>
    </xf>
    <xf numFmtId="0" fontId="1" fillId="7" borderId="0" xfId="0" applyFont="1" applyFill="1" applyAlignment="1">
      <alignment horizontal="center"/>
    </xf>
    <xf numFmtId="0" fontId="0" fillId="0" borderId="19" xfId="0" applyBorder="1" applyAlignment="1">
      <alignment horizontal="center"/>
    </xf>
    <xf numFmtId="0" fontId="0" fillId="0" borderId="13" xfId="0" applyBorder="1" applyAlignment="1">
      <alignment horizontal="center"/>
    </xf>
    <xf numFmtId="164" fontId="1" fillId="0" borderId="10" xfId="34" applyNumberFormat="1" applyFill="1" applyBorder="1" applyAlignment="1">
      <alignment horizontal="center"/>
    </xf>
    <xf numFmtId="0" fontId="1" fillId="0" borderId="10" xfId="34" applyFill="1" applyBorder="1" applyAlignment="1">
      <alignment horizontal="center"/>
    </xf>
    <xf numFmtId="14" fontId="1" fillId="0" borderId="6" xfId="34" applyNumberFormat="1" applyFill="1" applyBorder="1" applyAlignment="1">
      <alignment horizontal="center"/>
    </xf>
    <xf numFmtId="2" fontId="1" fillId="0" borderId="10" xfId="34" applyNumberFormat="1" applyFill="1" applyBorder="1" applyAlignment="1">
      <alignment horizontal="center"/>
    </xf>
    <xf numFmtId="0" fontId="50" fillId="3" borderId="5" xfId="0" applyFont="1" applyFill="1" applyBorder="1" applyAlignment="1">
      <alignment horizontal="center"/>
    </xf>
    <xf numFmtId="0" fontId="1" fillId="0" borderId="6" xfId="34" applyFill="1" applyBorder="1" applyAlignment="1">
      <alignment horizontal="center"/>
    </xf>
    <xf numFmtId="2" fontId="1" fillId="0" borderId="6" xfId="34" applyNumberFormat="1" applyFill="1" applyBorder="1" applyAlignment="1">
      <alignment horizontal="center"/>
    </xf>
    <xf numFmtId="164" fontId="1" fillId="0" borderId="6" xfId="34" applyNumberFormat="1" applyFill="1" applyBorder="1" applyAlignment="1">
      <alignment horizontal="center"/>
    </xf>
    <xf numFmtId="14" fontId="1" fillId="0" borderId="10" xfId="34" applyNumberFormat="1" applyFill="1" applyBorder="1" applyAlignment="1">
      <alignment horizontal="center"/>
    </xf>
    <xf numFmtId="2" fontId="0" fillId="0" borderId="7" xfId="0" applyNumberFormat="1" applyFill="1" applyBorder="1" applyAlignment="1" applyProtection="1">
      <alignment horizontal="center"/>
      <protection locked="0"/>
    </xf>
    <xf numFmtId="0" fontId="49" fillId="0" borderId="0" xfId="0" applyFont="1"/>
    <xf numFmtId="165" fontId="1" fillId="0" borderId="6" xfId="34" applyNumberFormat="1" applyFill="1" applyBorder="1" applyAlignment="1">
      <alignment horizontal="center"/>
    </xf>
    <xf numFmtId="0" fontId="49" fillId="0" borderId="0" xfId="0" applyFont="1"/>
    <xf numFmtId="0" fontId="49" fillId="0" borderId="0" xfId="0" applyFont="1"/>
    <xf numFmtId="0" fontId="49" fillId="0" borderId="0" xfId="0" applyFont="1"/>
    <xf numFmtId="0" fontId="49" fillId="0" borderId="0" xfId="0" applyFont="1"/>
    <xf numFmtId="0" fontId="49" fillId="0" borderId="0" xfId="0" applyFont="1"/>
    <xf numFmtId="0" fontId="49" fillId="0" borderId="0" xfId="0" applyFont="1"/>
    <xf numFmtId="0" fontId="49" fillId="0" borderId="0" xfId="0" applyFont="1"/>
    <xf numFmtId="0" fontId="49" fillId="0" borderId="0" xfId="0" applyFont="1"/>
    <xf numFmtId="0" fontId="9" fillId="4" borderId="7" xfId="0" applyFont="1" applyFill="1" applyBorder="1" applyAlignment="1">
      <alignment horizontal="center"/>
    </xf>
    <xf numFmtId="165" fontId="9" fillId="4" borderId="7" xfId="0" applyNumberFormat="1" applyFont="1" applyFill="1" applyBorder="1" applyAlignment="1">
      <alignment horizontal="center"/>
    </xf>
    <xf numFmtId="0" fontId="9" fillId="4" borderId="7" xfId="0" applyFont="1" applyFill="1" applyBorder="1"/>
    <xf numFmtId="0" fontId="9" fillId="3" borderId="7" xfId="0" applyFont="1" applyFill="1" applyBorder="1" applyAlignment="1">
      <alignment horizontal="center"/>
    </xf>
    <xf numFmtId="0" fontId="9" fillId="3" borderId="7" xfId="0" applyFont="1" applyFill="1" applyBorder="1"/>
    <xf numFmtId="2" fontId="9" fillId="4" borderId="7" xfId="0" applyNumberFormat="1" applyFont="1" applyFill="1" applyBorder="1" applyAlignment="1">
      <alignment horizontal="center"/>
    </xf>
    <xf numFmtId="9" fontId="9" fillId="4" borderId="7" xfId="0" applyNumberFormat="1" applyFont="1" applyFill="1" applyBorder="1" applyAlignment="1">
      <alignment horizontal="center"/>
    </xf>
    <xf numFmtId="10" fontId="9" fillId="3" borderId="7" xfId="0" applyNumberFormat="1" applyFont="1" applyFill="1" applyBorder="1" applyAlignment="1">
      <alignment horizontal="center"/>
    </xf>
    <xf numFmtId="1" fontId="9" fillId="4" borderId="7" xfId="0" applyNumberFormat="1" applyFont="1" applyFill="1" applyBorder="1" applyAlignment="1">
      <alignment horizontal="center"/>
    </xf>
    <xf numFmtId="0" fontId="9" fillId="4" borderId="7" xfId="0" applyFont="1" applyFill="1" applyBorder="1" applyAlignment="1">
      <alignment horizontal="left"/>
    </xf>
    <xf numFmtId="2" fontId="9" fillId="3" borderId="7" xfId="0" applyNumberFormat="1" applyFont="1" applyFill="1" applyBorder="1" applyAlignment="1">
      <alignment horizontal="center"/>
    </xf>
    <xf numFmtId="0" fontId="1" fillId="0" borderId="0" xfId="0" applyFont="1" applyFill="1"/>
    <xf numFmtId="0" fontId="9" fillId="4" borderId="9" xfId="0" applyFont="1" applyFill="1" applyBorder="1" applyAlignment="1">
      <alignment horizontal="center"/>
    </xf>
    <xf numFmtId="0" fontId="1" fillId="7" borderId="0" xfId="0" applyFont="1" applyFill="1"/>
    <xf numFmtId="1" fontId="9" fillId="4" borderId="9" xfId="0" applyNumberFormat="1" applyFont="1" applyFill="1" applyBorder="1" applyAlignment="1">
      <alignment horizontal="center"/>
    </xf>
    <xf numFmtId="9" fontId="9" fillId="3" borderId="7" xfId="0" applyNumberFormat="1" applyFont="1" applyFill="1" applyBorder="1" applyAlignment="1">
      <alignment horizontal="center"/>
    </xf>
    <xf numFmtId="1" fontId="9" fillId="3" borderId="9" xfId="0" applyNumberFormat="1" applyFont="1" applyFill="1" applyBorder="1" applyAlignment="1">
      <alignment horizontal="center"/>
    </xf>
    <xf numFmtId="0" fontId="1" fillId="0" borderId="7" xfId="0" applyFont="1" applyFill="1" applyBorder="1"/>
    <xf numFmtId="0" fontId="1" fillId="0" borderId="7" xfId="0" applyFont="1" applyFill="1" applyBorder="1" applyAlignment="1">
      <alignment horizontal="center"/>
    </xf>
    <xf numFmtId="9" fontId="1" fillId="0" borderId="7" xfId="0" applyNumberFormat="1" applyFont="1" applyFill="1" applyBorder="1" applyAlignment="1">
      <alignment horizontal="center"/>
    </xf>
    <xf numFmtId="2" fontId="1" fillId="0" borderId="7" xfId="0" applyNumberFormat="1" applyFont="1" applyFill="1" applyBorder="1" applyAlignment="1">
      <alignment horizontal="center"/>
    </xf>
    <xf numFmtId="2" fontId="1" fillId="0" borderId="6" xfId="0" applyNumberFormat="1" applyFont="1" applyFill="1" applyBorder="1" applyAlignment="1">
      <alignment horizontal="center"/>
    </xf>
    <xf numFmtId="0" fontId="1" fillId="0" borderId="6" xfId="0" applyFont="1" applyFill="1" applyBorder="1" applyAlignment="1">
      <alignment horizontal="center"/>
    </xf>
    <xf numFmtId="0" fontId="1" fillId="0" borderId="0" xfId="0" applyFont="1" applyFill="1" applyAlignment="1">
      <alignment horizontal="center"/>
    </xf>
    <xf numFmtId="0" fontId="1" fillId="0" borderId="7" xfId="0" applyFont="1" applyBorder="1" applyAlignment="1">
      <alignment horizontal="center"/>
    </xf>
    <xf numFmtId="0" fontId="1" fillId="0" borderId="10" xfId="0" applyFont="1" applyFill="1" applyBorder="1" applyAlignment="1">
      <alignment horizontal="center"/>
    </xf>
    <xf numFmtId="9" fontId="1" fillId="0" borderId="10" xfId="0" applyNumberFormat="1" applyFont="1" applyFill="1" applyBorder="1" applyAlignment="1">
      <alignment horizontal="center"/>
    </xf>
    <xf numFmtId="0" fontId="1" fillId="0" borderId="10" xfId="0" applyFont="1" applyFill="1" applyBorder="1"/>
    <xf numFmtId="2" fontId="9" fillId="4" borderId="9" xfId="0" applyNumberFormat="1" applyFont="1" applyFill="1" applyBorder="1" applyAlignment="1">
      <alignment horizontal="left" vertical="center"/>
    </xf>
    <xf numFmtId="0" fontId="1" fillId="0" borderId="0" xfId="0" applyFont="1" applyFill="1" applyBorder="1" applyAlignment="1">
      <alignment horizontal="left" vertical="center"/>
    </xf>
    <xf numFmtId="0" fontId="1" fillId="0" borderId="0" xfId="0" applyFont="1" applyFill="1" applyBorder="1" applyAlignment="1">
      <alignment horizontal="center"/>
    </xf>
    <xf numFmtId="0" fontId="1" fillId="0" borderId="0" xfId="0" applyFont="1" applyFill="1" applyBorder="1"/>
    <xf numFmtId="165" fontId="1" fillId="0" borderId="0" xfId="0" applyNumberFormat="1" applyFont="1" applyFill="1" applyBorder="1"/>
    <xf numFmtId="166" fontId="1" fillId="0" borderId="0" xfId="0" applyNumberFormat="1" applyFont="1" applyFill="1" applyBorder="1"/>
    <xf numFmtId="0" fontId="1" fillId="0" borderId="7" xfId="34" applyBorder="1" applyAlignment="1">
      <alignment horizontal="center"/>
    </xf>
    <xf numFmtId="14" fontId="1" fillId="0" borderId="7" xfId="34" applyNumberFormat="1" applyBorder="1" applyAlignment="1">
      <alignment horizontal="center"/>
    </xf>
    <xf numFmtId="164" fontId="1" fillId="0" borderId="7" xfId="34" applyNumberFormat="1" applyBorder="1" applyAlignment="1">
      <alignment horizontal="center"/>
    </xf>
    <xf numFmtId="165" fontId="1" fillId="0" borderId="7" xfId="34" applyNumberFormat="1" applyBorder="1" applyAlignment="1">
      <alignment horizontal="center"/>
    </xf>
    <xf numFmtId="0" fontId="1" fillId="0" borderId="7" xfId="34" applyFill="1" applyBorder="1" applyAlignment="1">
      <alignment horizontal="center"/>
    </xf>
    <xf numFmtId="2" fontId="1" fillId="0" borderId="7" xfId="34" applyNumberFormat="1" applyBorder="1" applyAlignment="1">
      <alignment horizontal="center"/>
    </xf>
    <xf numFmtId="164" fontId="1" fillId="0" borderId="7" xfId="34" applyNumberFormat="1" applyFill="1" applyBorder="1" applyAlignment="1">
      <alignment horizontal="center"/>
    </xf>
    <xf numFmtId="2" fontId="1" fillId="0" borderId="7" xfId="34" applyNumberFormat="1" applyFill="1" applyBorder="1" applyAlignment="1">
      <alignment horizontal="center"/>
    </xf>
    <xf numFmtId="14" fontId="1" fillId="0" borderId="7" xfId="34" applyNumberFormat="1" applyFill="1" applyBorder="1" applyAlignment="1">
      <alignment horizontal="center"/>
    </xf>
    <xf numFmtId="2" fontId="0" fillId="0" borderId="7" xfId="0" applyNumberFormat="1" applyBorder="1" applyAlignment="1" applyProtection="1">
      <alignment horizontal="center"/>
      <protection locked="0"/>
    </xf>
    <xf numFmtId="0" fontId="1" fillId="0" borderId="7" xfId="0" applyNumberFormat="1" applyFont="1" applyFill="1" applyBorder="1" applyAlignment="1">
      <alignment horizontal="center"/>
    </xf>
    <xf numFmtId="0" fontId="11" fillId="0" borderId="7" xfId="32" applyFill="1" applyBorder="1" applyAlignment="1">
      <alignment horizontal="center"/>
    </xf>
    <xf numFmtId="0" fontId="1" fillId="0" borderId="6" xfId="0" applyFont="1" applyFill="1" applyBorder="1"/>
    <xf numFmtId="9" fontId="1" fillId="0" borderId="6" xfId="0" applyNumberFormat="1" applyFont="1" applyFill="1" applyBorder="1" applyAlignment="1">
      <alignment horizontal="center"/>
    </xf>
    <xf numFmtId="0" fontId="1" fillId="0" borderId="6" xfId="0" applyNumberFormat="1" applyFont="1" applyFill="1" applyBorder="1" applyAlignment="1">
      <alignment horizontal="center"/>
    </xf>
    <xf numFmtId="0" fontId="11" fillId="0" borderId="6" xfId="32" applyFill="1" applyBorder="1" applyAlignment="1">
      <alignment horizontal="center"/>
    </xf>
    <xf numFmtId="2" fontId="0" fillId="0" borderId="6" xfId="0" applyNumberFormat="1" applyBorder="1" applyAlignment="1" applyProtection="1">
      <alignment horizontal="center"/>
      <protection locked="0"/>
    </xf>
    <xf numFmtId="0" fontId="1" fillId="0" borderId="10" xfId="0" applyNumberFormat="1" applyFont="1" applyFill="1" applyBorder="1" applyAlignment="1">
      <alignment horizontal="center"/>
    </xf>
    <xf numFmtId="0" fontId="11" fillId="0" borderId="10" xfId="32" applyFill="1" applyBorder="1" applyAlignment="1">
      <alignment horizontal="center"/>
    </xf>
    <xf numFmtId="2" fontId="0" fillId="0" borderId="10" xfId="0" applyNumberFormat="1" applyBorder="1" applyAlignment="1" applyProtection="1">
      <alignment horizontal="center"/>
      <protection locked="0"/>
    </xf>
    <xf numFmtId="0" fontId="1" fillId="0" borderId="6" xfId="34" applyBorder="1" applyAlignment="1">
      <alignment horizontal="center"/>
    </xf>
    <xf numFmtId="14" fontId="1" fillId="0" borderId="6" xfId="34" applyNumberFormat="1" applyBorder="1" applyAlignment="1">
      <alignment horizontal="center"/>
    </xf>
    <xf numFmtId="2" fontId="1" fillId="0" borderId="6" xfId="34" applyNumberFormat="1" applyBorder="1" applyAlignment="1">
      <alignment horizontal="center"/>
    </xf>
    <xf numFmtId="164" fontId="1" fillId="0" borderId="6" xfId="34" applyNumberFormat="1" applyBorder="1" applyAlignment="1">
      <alignment horizontal="center"/>
    </xf>
    <xf numFmtId="2" fontId="1" fillId="0" borderId="7" xfId="0" applyNumberFormat="1" applyFont="1" applyFill="1" applyBorder="1"/>
    <xf numFmtId="0" fontId="49" fillId="0" borderId="0" xfId="0" applyFont="1"/>
  </cellXfs>
  <cellStyles count="36">
    <cellStyle name="Bad" xfId="11" builtinId="27"/>
    <cellStyle name="Comma" xfId="1" builtinId="3"/>
    <cellStyle name="Normal" xfId="0" builtinId="0"/>
    <cellStyle name="Normal 10" xfId="25"/>
    <cellStyle name="Normal 11" xfId="26"/>
    <cellStyle name="Normal 12" xfId="27"/>
    <cellStyle name="Normal 13" xfId="34"/>
    <cellStyle name="Normal 2" xfId="2"/>
    <cellStyle name="Normal 2 2" xfId="9"/>
    <cellStyle name="Normal 2 2 2" xfId="30"/>
    <cellStyle name="Normal 2 3" xfId="18"/>
    <cellStyle name="Normal 2 4" xfId="35"/>
    <cellStyle name="Normal 3" xfId="3"/>
    <cellStyle name="Normal 3 2" xfId="10"/>
    <cellStyle name="Normal 3 3" xfId="19"/>
    <cellStyle name="Normal 4" xfId="4"/>
    <cellStyle name="Normal 4 2" xfId="20"/>
    <cellStyle name="Normal 4 3" xfId="31"/>
    <cellStyle name="Normal 5" xfId="7"/>
    <cellStyle name="Normal 5 2" xfId="21"/>
    <cellStyle name="Normal 6" xfId="15"/>
    <cellStyle name="Normal 6 2" xfId="28"/>
    <cellStyle name="Normal 6 3" xfId="32"/>
    <cellStyle name="Normal 7" xfId="22"/>
    <cellStyle name="Normal 8" xfId="23"/>
    <cellStyle name="Normal 9" xfId="24"/>
    <cellStyle name="Normal_CATS_BD" xfId="8"/>
    <cellStyle name="Normal_Johns_bd" xfId="12"/>
    <cellStyle name="Normal_LOLOB94" xfId="13"/>
    <cellStyle name="Normal_Master" xfId="14"/>
    <cellStyle name="Note" xfId="6" builtinId="10"/>
    <cellStyle name="Percent" xfId="5" builtinId="5"/>
    <cellStyle name="Percent 2" xfId="16"/>
    <cellStyle name="Percent 2 2" xfId="33"/>
    <cellStyle name="Percent 3" xfId="17"/>
    <cellStyle name="Standard 2" xfId="2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v>Width</c:v>
          </c:tx>
          <c:spPr>
            <a:ln w="28575">
              <a:noFill/>
            </a:ln>
          </c:spPr>
          <c:trendline>
            <c:trendlineType val="power"/>
            <c:dispRSqr val="1"/>
            <c:dispEq val="1"/>
            <c:trendlineLbl>
              <c:layout>
                <c:manualLayout>
                  <c:x val="-0.4140251477914268"/>
                  <c:y val="-0.17106204031035921"/>
                </c:manualLayout>
              </c:layout>
              <c:numFmt formatCode="#,##0.00" sourceLinked="0"/>
              <c:txPr>
                <a:bodyPr/>
                <a:lstStyle/>
                <a:p>
                  <a:pPr>
                    <a:defRPr sz="2000"/>
                  </a:pPr>
                  <a:endParaRPr lang="en-US"/>
                </a:p>
              </c:txPr>
            </c:trendlineLbl>
          </c:trendline>
          <c:xVal>
            <c:numRef>
              <c:f>(Data!$N$2200:$N$2202,Data!$N$2204:$N$2227,Data!$N$2229:$N$2305)</c:f>
              <c:numCache>
                <c:formatCode>0.00</c:formatCode>
                <c:ptCount val="104"/>
                <c:pt idx="0">
                  <c:v>9.4848549999999996</c:v>
                </c:pt>
                <c:pt idx="1">
                  <c:v>16.364914000000002</c:v>
                </c:pt>
                <c:pt idx="2">
                  <c:v>22.848591000000003</c:v>
                </c:pt>
                <c:pt idx="3">
                  <c:v>5.181279</c:v>
                </c:pt>
                <c:pt idx="4">
                  <c:v>9.0318470000000008</c:v>
                </c:pt>
                <c:pt idx="5">
                  <c:v>8.5505259999999996</c:v>
                </c:pt>
                <c:pt idx="6">
                  <c:v>6.370425</c:v>
                </c:pt>
                <c:pt idx="7">
                  <c:v>4.1336979999999999</c:v>
                </c:pt>
                <c:pt idx="8">
                  <c:v>4.8698360000000003</c:v>
                </c:pt>
                <c:pt idx="9">
                  <c:v>15.968532000000002</c:v>
                </c:pt>
                <c:pt idx="10">
                  <c:v>13.986622000000001</c:v>
                </c:pt>
                <c:pt idx="11">
                  <c:v>22.622087000000001</c:v>
                </c:pt>
                <c:pt idx="12">
                  <c:v>11.155322</c:v>
                </c:pt>
                <c:pt idx="13">
                  <c:v>11.325200000000001</c:v>
                </c:pt>
                <c:pt idx="14">
                  <c:v>13.561927000000001</c:v>
                </c:pt>
                <c:pt idx="15">
                  <c:v>3.2843080000000002</c:v>
                </c:pt>
                <c:pt idx="16">
                  <c:v>3.7373160000000003</c:v>
                </c:pt>
                <c:pt idx="17">
                  <c:v>4.7565840000000001</c:v>
                </c:pt>
                <c:pt idx="18">
                  <c:v>14.411317</c:v>
                </c:pt>
                <c:pt idx="19">
                  <c:v>9.8246110000000009</c:v>
                </c:pt>
                <c:pt idx="20">
                  <c:v>4.7565840000000001</c:v>
                </c:pt>
                <c:pt idx="21">
                  <c:v>11.523391</c:v>
                </c:pt>
                <c:pt idx="22">
                  <c:v>12.939041000000001</c:v>
                </c:pt>
                <c:pt idx="23">
                  <c:v>5.2379050000000005</c:v>
                </c:pt>
                <c:pt idx="24">
                  <c:v>5.3794700000000004</c:v>
                </c:pt>
                <c:pt idx="25">
                  <c:v>24.887127</c:v>
                </c:pt>
                <c:pt idx="26">
                  <c:v>25.991334000000002</c:v>
                </c:pt>
                <c:pt idx="27">
                  <c:v>13.193858000000001</c:v>
                </c:pt>
                <c:pt idx="28">
                  <c:v>7.5878840000000007</c:v>
                </c:pt>
                <c:pt idx="29">
                  <c:v>2.7010602000000001</c:v>
                </c:pt>
                <c:pt idx="30">
                  <c:v>9.9095500000000012</c:v>
                </c:pt>
                <c:pt idx="31">
                  <c:v>9.9095500000000012</c:v>
                </c:pt>
                <c:pt idx="32">
                  <c:v>9.5131680000000003</c:v>
                </c:pt>
                <c:pt idx="33">
                  <c:v>9.5131680000000003</c:v>
                </c:pt>
                <c:pt idx="34">
                  <c:v>5.9174170000000004</c:v>
                </c:pt>
                <c:pt idx="35">
                  <c:v>5.9174170000000004</c:v>
                </c:pt>
                <c:pt idx="36">
                  <c:v>7.5878840000000007</c:v>
                </c:pt>
                <c:pt idx="37">
                  <c:v>7.6728230000000002</c:v>
                </c:pt>
                <c:pt idx="38">
                  <c:v>6.6535549999999999</c:v>
                </c:pt>
                <c:pt idx="39">
                  <c:v>6.6535549999999999</c:v>
                </c:pt>
                <c:pt idx="40">
                  <c:v>14.807699000000001</c:v>
                </c:pt>
                <c:pt idx="41">
                  <c:v>14.467943</c:v>
                </c:pt>
                <c:pt idx="42">
                  <c:v>2.2027513999999999</c:v>
                </c:pt>
                <c:pt idx="43">
                  <c:v>2.2027513999999999</c:v>
                </c:pt>
                <c:pt idx="44">
                  <c:v>3.057804</c:v>
                </c:pt>
                <c:pt idx="45">
                  <c:v>3.057804</c:v>
                </c:pt>
                <c:pt idx="46">
                  <c:v>0.59740430000000011</c:v>
                </c:pt>
                <c:pt idx="47">
                  <c:v>9.7679850000000012</c:v>
                </c:pt>
                <c:pt idx="48">
                  <c:v>9.7679850000000012</c:v>
                </c:pt>
                <c:pt idx="49">
                  <c:v>9.5131680000000003</c:v>
                </c:pt>
                <c:pt idx="50">
                  <c:v>9.5131680000000003</c:v>
                </c:pt>
                <c:pt idx="51">
                  <c:v>10.051115000000001</c:v>
                </c:pt>
                <c:pt idx="52">
                  <c:v>9.9095500000000012</c:v>
                </c:pt>
                <c:pt idx="53">
                  <c:v>11.183635000000001</c:v>
                </c:pt>
                <c:pt idx="54">
                  <c:v>11.013757</c:v>
                </c:pt>
                <c:pt idx="55">
                  <c:v>10.730627</c:v>
                </c:pt>
                <c:pt idx="56">
                  <c:v>10.730627</c:v>
                </c:pt>
                <c:pt idx="57">
                  <c:v>7.8427010000000008</c:v>
                </c:pt>
                <c:pt idx="58">
                  <c:v>7.8427010000000008</c:v>
                </c:pt>
                <c:pt idx="59">
                  <c:v>14.637821000000001</c:v>
                </c:pt>
                <c:pt idx="60">
                  <c:v>14.298065000000001</c:v>
                </c:pt>
                <c:pt idx="61">
                  <c:v>9.1167860000000012</c:v>
                </c:pt>
                <c:pt idx="62">
                  <c:v>9.1167860000000012</c:v>
                </c:pt>
                <c:pt idx="63">
                  <c:v>7.1915020000000007</c:v>
                </c:pt>
                <c:pt idx="64">
                  <c:v>7.1915020000000007</c:v>
                </c:pt>
                <c:pt idx="65">
                  <c:v>5.4077830000000002</c:v>
                </c:pt>
                <c:pt idx="66">
                  <c:v>5.4077830000000002</c:v>
                </c:pt>
                <c:pt idx="67">
                  <c:v>0.97113589999999994</c:v>
                </c:pt>
                <c:pt idx="68">
                  <c:v>2.2707026000000003</c:v>
                </c:pt>
                <c:pt idx="69">
                  <c:v>2.2707026000000003</c:v>
                </c:pt>
                <c:pt idx="70">
                  <c:v>1.925284</c:v>
                </c:pt>
                <c:pt idx="71">
                  <c:v>2.0923307000000002</c:v>
                </c:pt>
                <c:pt idx="72">
                  <c:v>3.11443</c:v>
                </c:pt>
                <c:pt idx="73">
                  <c:v>3.057804</c:v>
                </c:pt>
                <c:pt idx="74">
                  <c:v>3.8788810000000002</c:v>
                </c:pt>
                <c:pt idx="75">
                  <c:v>3.8788810000000002</c:v>
                </c:pt>
                <c:pt idx="76">
                  <c:v>4.9547750000000006</c:v>
                </c:pt>
                <c:pt idx="77">
                  <c:v>5.0114010000000002</c:v>
                </c:pt>
                <c:pt idx="78">
                  <c:v>9.0035340000000001</c:v>
                </c:pt>
                <c:pt idx="79">
                  <c:v>9.1167860000000012</c:v>
                </c:pt>
                <c:pt idx="80">
                  <c:v>30.578040000000001</c:v>
                </c:pt>
                <c:pt idx="81">
                  <c:v>34.25873</c:v>
                </c:pt>
                <c:pt idx="82">
                  <c:v>21.234750000000002</c:v>
                </c:pt>
                <c:pt idx="83">
                  <c:v>21.064872000000001</c:v>
                </c:pt>
                <c:pt idx="84">
                  <c:v>19.762474000000001</c:v>
                </c:pt>
                <c:pt idx="85">
                  <c:v>19.592596</c:v>
                </c:pt>
                <c:pt idx="86">
                  <c:v>16.110097</c:v>
                </c:pt>
                <c:pt idx="87">
                  <c:v>15.968532000000002</c:v>
                </c:pt>
                <c:pt idx="88">
                  <c:v>16.534791999999999</c:v>
                </c:pt>
                <c:pt idx="89">
                  <c:v>16.393227</c:v>
                </c:pt>
                <c:pt idx="90">
                  <c:v>17.723938</c:v>
                </c:pt>
                <c:pt idx="91">
                  <c:v>17.582373</c:v>
                </c:pt>
                <c:pt idx="92">
                  <c:v>18.035381000000001</c:v>
                </c:pt>
                <c:pt idx="93">
                  <c:v>17.865503</c:v>
                </c:pt>
                <c:pt idx="94">
                  <c:v>19.592596</c:v>
                </c:pt>
                <c:pt idx="95">
                  <c:v>19.762474000000001</c:v>
                </c:pt>
                <c:pt idx="96">
                  <c:v>15.119142</c:v>
                </c:pt>
                <c:pt idx="97">
                  <c:v>14.977577</c:v>
                </c:pt>
                <c:pt idx="98">
                  <c:v>16.110097</c:v>
                </c:pt>
                <c:pt idx="99">
                  <c:v>15.968532000000002</c:v>
                </c:pt>
                <c:pt idx="100">
                  <c:v>14.298065000000001</c:v>
                </c:pt>
                <c:pt idx="101">
                  <c:v>14.156500000000001</c:v>
                </c:pt>
                <c:pt idx="102">
                  <c:v>12.995667000000001</c:v>
                </c:pt>
                <c:pt idx="103">
                  <c:v>12.995667000000001</c:v>
                </c:pt>
              </c:numCache>
            </c:numRef>
          </c:xVal>
          <c:yVal>
            <c:numRef>
              <c:f>(Data!$AD$2200:$AD$2202,Data!$AD$2204:$AD$2227,Data!$AD$2229:$AD$2305)</c:f>
              <c:numCache>
                <c:formatCode>0.00</c:formatCode>
                <c:ptCount val="104"/>
                <c:pt idx="0">
                  <c:v>14.020339999999999</c:v>
                </c:pt>
                <c:pt idx="1">
                  <c:v>15.2395</c:v>
                </c:pt>
                <c:pt idx="2">
                  <c:v>15.849080000000001</c:v>
                </c:pt>
                <c:pt idx="3">
                  <c:v>11.58202</c:v>
                </c:pt>
                <c:pt idx="4">
                  <c:v>12.80118</c:v>
                </c:pt>
                <c:pt idx="5">
                  <c:v>14.020339999999999</c:v>
                </c:pt>
                <c:pt idx="6">
                  <c:v>13.41076</c:v>
                </c:pt>
                <c:pt idx="7">
                  <c:v>17.068239999999999</c:v>
                </c:pt>
                <c:pt idx="8">
                  <c:v>11.58202</c:v>
                </c:pt>
                <c:pt idx="9">
                  <c:v>14.62992</c:v>
                </c:pt>
                <c:pt idx="10">
                  <c:v>14.934710000000001</c:v>
                </c:pt>
                <c:pt idx="11">
                  <c:v>15.2395</c:v>
                </c:pt>
                <c:pt idx="12">
                  <c:v>14.62992</c:v>
                </c:pt>
                <c:pt idx="13">
                  <c:v>14.934710000000001</c:v>
                </c:pt>
                <c:pt idx="14">
                  <c:v>15.2395</c:v>
                </c:pt>
                <c:pt idx="15">
                  <c:v>11.277229999999999</c:v>
                </c:pt>
                <c:pt idx="16">
                  <c:v>10.972440000000001</c:v>
                </c:pt>
                <c:pt idx="17">
                  <c:v>11.58202</c:v>
                </c:pt>
                <c:pt idx="18">
                  <c:v>14.934710000000001</c:v>
                </c:pt>
                <c:pt idx="19">
                  <c:v>14.934710000000001</c:v>
                </c:pt>
                <c:pt idx="20">
                  <c:v>12.191599999999999</c:v>
                </c:pt>
                <c:pt idx="21">
                  <c:v>15.2395</c:v>
                </c:pt>
                <c:pt idx="22">
                  <c:v>14.934710000000001</c:v>
                </c:pt>
                <c:pt idx="23">
                  <c:v>11.58202</c:v>
                </c:pt>
                <c:pt idx="24">
                  <c:v>11.58202</c:v>
                </c:pt>
                <c:pt idx="25">
                  <c:v>15.2395</c:v>
                </c:pt>
                <c:pt idx="26">
                  <c:v>15.54429</c:v>
                </c:pt>
                <c:pt idx="27">
                  <c:v>14.934710000000001</c:v>
                </c:pt>
                <c:pt idx="28">
                  <c:v>14.62992</c:v>
                </c:pt>
                <c:pt idx="29">
                  <c:v>11.429625</c:v>
                </c:pt>
                <c:pt idx="30">
                  <c:v>14.934710000000001</c:v>
                </c:pt>
                <c:pt idx="31">
                  <c:v>14.934710000000001</c:v>
                </c:pt>
                <c:pt idx="32">
                  <c:v>14.020339999999999</c:v>
                </c:pt>
                <c:pt idx="33">
                  <c:v>14.020339999999999</c:v>
                </c:pt>
                <c:pt idx="34">
                  <c:v>12.191599999999999</c:v>
                </c:pt>
                <c:pt idx="35">
                  <c:v>12.191599999999999</c:v>
                </c:pt>
                <c:pt idx="36">
                  <c:v>13.41076</c:v>
                </c:pt>
                <c:pt idx="37">
                  <c:v>13.41076</c:v>
                </c:pt>
                <c:pt idx="38">
                  <c:v>12.191599999999999</c:v>
                </c:pt>
                <c:pt idx="39">
                  <c:v>12.191599999999999</c:v>
                </c:pt>
                <c:pt idx="40">
                  <c:v>15.2395</c:v>
                </c:pt>
                <c:pt idx="41">
                  <c:v>15.2395</c:v>
                </c:pt>
                <c:pt idx="42">
                  <c:v>11.277229999999999</c:v>
                </c:pt>
                <c:pt idx="43">
                  <c:v>11.277229999999999</c:v>
                </c:pt>
                <c:pt idx="44">
                  <c:v>11.886810000000001</c:v>
                </c:pt>
                <c:pt idx="45">
                  <c:v>11.886810000000001</c:v>
                </c:pt>
                <c:pt idx="46">
                  <c:v>9.4484899999999996</c:v>
                </c:pt>
                <c:pt idx="47">
                  <c:v>14.020339999999999</c:v>
                </c:pt>
                <c:pt idx="48">
                  <c:v>14.020339999999999</c:v>
                </c:pt>
                <c:pt idx="49">
                  <c:v>12.191599999999999</c:v>
                </c:pt>
                <c:pt idx="50">
                  <c:v>12.191599999999999</c:v>
                </c:pt>
                <c:pt idx="51">
                  <c:v>14.62992</c:v>
                </c:pt>
                <c:pt idx="52">
                  <c:v>14.62992</c:v>
                </c:pt>
                <c:pt idx="53">
                  <c:v>14.62992</c:v>
                </c:pt>
                <c:pt idx="54">
                  <c:v>14.62992</c:v>
                </c:pt>
                <c:pt idx="55">
                  <c:v>14.62992</c:v>
                </c:pt>
                <c:pt idx="56">
                  <c:v>14.62992</c:v>
                </c:pt>
                <c:pt idx="57">
                  <c:v>14.020339999999999</c:v>
                </c:pt>
                <c:pt idx="58">
                  <c:v>14.020339999999999</c:v>
                </c:pt>
                <c:pt idx="59">
                  <c:v>14.934710000000001</c:v>
                </c:pt>
                <c:pt idx="60">
                  <c:v>14.934710000000001</c:v>
                </c:pt>
                <c:pt idx="61">
                  <c:v>14.020339999999999</c:v>
                </c:pt>
                <c:pt idx="62">
                  <c:v>14.020339999999999</c:v>
                </c:pt>
                <c:pt idx="63">
                  <c:v>14.020339999999999</c:v>
                </c:pt>
                <c:pt idx="64">
                  <c:v>14.020339999999999</c:v>
                </c:pt>
                <c:pt idx="65">
                  <c:v>11.886810000000001</c:v>
                </c:pt>
                <c:pt idx="66">
                  <c:v>11.886810000000001</c:v>
                </c:pt>
                <c:pt idx="67">
                  <c:v>10.058070000000001</c:v>
                </c:pt>
                <c:pt idx="68">
                  <c:v>10.972440000000001</c:v>
                </c:pt>
                <c:pt idx="69">
                  <c:v>10.972440000000001</c:v>
                </c:pt>
                <c:pt idx="70">
                  <c:v>10.820045</c:v>
                </c:pt>
                <c:pt idx="71">
                  <c:v>10.820045</c:v>
                </c:pt>
                <c:pt idx="72">
                  <c:v>11.734415</c:v>
                </c:pt>
                <c:pt idx="73">
                  <c:v>11.734415</c:v>
                </c:pt>
                <c:pt idx="74">
                  <c:v>11.856331000000001</c:v>
                </c:pt>
                <c:pt idx="75">
                  <c:v>11.856331000000001</c:v>
                </c:pt>
                <c:pt idx="76">
                  <c:v>12.633546000000001</c:v>
                </c:pt>
                <c:pt idx="77">
                  <c:v>12.633546000000001</c:v>
                </c:pt>
                <c:pt idx="78">
                  <c:v>15.117584000000001</c:v>
                </c:pt>
                <c:pt idx="79">
                  <c:v>15.117584000000001</c:v>
                </c:pt>
                <c:pt idx="80">
                  <c:v>15.54429</c:v>
                </c:pt>
                <c:pt idx="81">
                  <c:v>15.54429</c:v>
                </c:pt>
                <c:pt idx="82">
                  <c:v>15.590009</c:v>
                </c:pt>
                <c:pt idx="83">
                  <c:v>15.590009</c:v>
                </c:pt>
                <c:pt idx="84">
                  <c:v>14.934710000000001</c:v>
                </c:pt>
                <c:pt idx="85">
                  <c:v>14.934710000000001</c:v>
                </c:pt>
                <c:pt idx="86">
                  <c:v>14.934710000000001</c:v>
                </c:pt>
                <c:pt idx="87">
                  <c:v>14.934710000000001</c:v>
                </c:pt>
                <c:pt idx="88">
                  <c:v>14.934710000000001</c:v>
                </c:pt>
                <c:pt idx="89">
                  <c:v>14.934710000000001</c:v>
                </c:pt>
                <c:pt idx="90">
                  <c:v>14.934710000000001</c:v>
                </c:pt>
                <c:pt idx="91">
                  <c:v>14.934710000000001</c:v>
                </c:pt>
                <c:pt idx="92">
                  <c:v>15.087104999999999</c:v>
                </c:pt>
                <c:pt idx="93">
                  <c:v>15.087104999999999</c:v>
                </c:pt>
                <c:pt idx="94">
                  <c:v>14.934710000000001</c:v>
                </c:pt>
                <c:pt idx="95">
                  <c:v>14.934710000000001</c:v>
                </c:pt>
                <c:pt idx="96">
                  <c:v>14.934710000000001</c:v>
                </c:pt>
                <c:pt idx="97">
                  <c:v>14.934710000000001</c:v>
                </c:pt>
                <c:pt idx="98">
                  <c:v>14.934710000000001</c:v>
                </c:pt>
                <c:pt idx="99">
                  <c:v>14.934710000000001</c:v>
                </c:pt>
                <c:pt idx="100">
                  <c:v>14.934710000000001</c:v>
                </c:pt>
                <c:pt idx="101">
                  <c:v>14.934710000000001</c:v>
                </c:pt>
                <c:pt idx="102">
                  <c:v>14.904230999999999</c:v>
                </c:pt>
                <c:pt idx="103">
                  <c:v>14.904230999999999</c:v>
                </c:pt>
              </c:numCache>
            </c:numRef>
          </c:yVal>
          <c:smooth val="0"/>
        </c:ser>
        <c:dLbls>
          <c:showLegendKey val="0"/>
          <c:showVal val="0"/>
          <c:showCatName val="0"/>
          <c:showSerName val="0"/>
          <c:showPercent val="0"/>
          <c:showBubbleSize val="0"/>
        </c:dLbls>
        <c:axId val="89864448"/>
        <c:axId val="90243456"/>
      </c:scatterChart>
      <c:valAx>
        <c:axId val="89864448"/>
        <c:scaling>
          <c:logBase val="10"/>
          <c:orientation val="minMax"/>
        </c:scaling>
        <c:delete val="0"/>
        <c:axPos val="b"/>
        <c:majorGridlines/>
        <c:title>
          <c:tx>
            <c:rich>
              <a:bodyPr/>
              <a:lstStyle/>
              <a:p>
                <a:pPr>
                  <a:defRPr/>
                </a:pPr>
                <a:r>
                  <a:rPr lang="en-US"/>
                  <a:t>Discharge (cms)</a:t>
                </a:r>
              </a:p>
            </c:rich>
          </c:tx>
          <c:overlay val="0"/>
        </c:title>
        <c:numFmt formatCode="0.00" sourceLinked="1"/>
        <c:majorTickMark val="out"/>
        <c:minorTickMark val="none"/>
        <c:tickLblPos val="nextTo"/>
        <c:crossAx val="90243456"/>
        <c:crosses val="autoZero"/>
        <c:crossBetween val="midCat"/>
      </c:valAx>
      <c:valAx>
        <c:axId val="90243456"/>
        <c:scaling>
          <c:logBase val="10"/>
          <c:orientation val="minMax"/>
        </c:scaling>
        <c:delete val="0"/>
        <c:axPos val="l"/>
        <c:majorGridlines/>
        <c:title>
          <c:tx>
            <c:rich>
              <a:bodyPr rot="-5400000" vert="horz"/>
              <a:lstStyle/>
              <a:p>
                <a:pPr>
                  <a:defRPr/>
                </a:pPr>
                <a:r>
                  <a:rPr lang="en-US"/>
                  <a:t>Width (m)</a:t>
                </a:r>
              </a:p>
            </c:rich>
          </c:tx>
          <c:overlay val="0"/>
        </c:title>
        <c:numFmt formatCode="0.00" sourceLinked="1"/>
        <c:majorTickMark val="out"/>
        <c:minorTickMark val="none"/>
        <c:tickLblPos val="nextTo"/>
        <c:crossAx val="89864448"/>
        <c:crossesAt val="0.1"/>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v>Depth</c:v>
          </c:tx>
          <c:spPr>
            <a:ln w="28575">
              <a:noFill/>
            </a:ln>
          </c:spPr>
          <c:trendline>
            <c:trendlineType val="power"/>
            <c:dispRSqr val="1"/>
            <c:dispEq val="1"/>
            <c:trendlineLbl>
              <c:layout>
                <c:manualLayout>
                  <c:x val="-0.42334472382951943"/>
                  <c:y val="2.5830927922340079E-3"/>
                </c:manualLayout>
              </c:layout>
              <c:numFmt formatCode="#,##0.00" sourceLinked="0"/>
              <c:txPr>
                <a:bodyPr/>
                <a:lstStyle/>
                <a:p>
                  <a:pPr>
                    <a:defRPr sz="2000"/>
                  </a:pPr>
                  <a:endParaRPr lang="en-US"/>
                </a:p>
              </c:txPr>
            </c:trendlineLbl>
          </c:trendline>
          <c:xVal>
            <c:numRef>
              <c:f>(Data!$N$2200:$N$2202,Data!$N$2204:$N$2227,Data!$N$2229:$N$2305)</c:f>
              <c:numCache>
                <c:formatCode>0.00</c:formatCode>
                <c:ptCount val="104"/>
                <c:pt idx="0">
                  <c:v>9.4848549999999996</c:v>
                </c:pt>
                <c:pt idx="1">
                  <c:v>16.364914000000002</c:v>
                </c:pt>
                <c:pt idx="2">
                  <c:v>22.848591000000003</c:v>
                </c:pt>
                <c:pt idx="3">
                  <c:v>5.181279</c:v>
                </c:pt>
                <c:pt idx="4">
                  <c:v>9.0318470000000008</c:v>
                </c:pt>
                <c:pt idx="5">
                  <c:v>8.5505259999999996</c:v>
                </c:pt>
                <c:pt idx="6">
                  <c:v>6.370425</c:v>
                </c:pt>
                <c:pt idx="7">
                  <c:v>4.1336979999999999</c:v>
                </c:pt>
                <c:pt idx="8">
                  <c:v>4.8698360000000003</c:v>
                </c:pt>
                <c:pt idx="9">
                  <c:v>15.968532000000002</c:v>
                </c:pt>
                <c:pt idx="10">
                  <c:v>13.986622000000001</c:v>
                </c:pt>
                <c:pt idx="11">
                  <c:v>22.622087000000001</c:v>
                </c:pt>
                <c:pt idx="12">
                  <c:v>11.155322</c:v>
                </c:pt>
                <c:pt idx="13">
                  <c:v>11.325200000000001</c:v>
                </c:pt>
                <c:pt idx="14">
                  <c:v>13.561927000000001</c:v>
                </c:pt>
                <c:pt idx="15">
                  <c:v>3.2843080000000002</c:v>
                </c:pt>
                <c:pt idx="16">
                  <c:v>3.7373160000000003</c:v>
                </c:pt>
                <c:pt idx="17">
                  <c:v>4.7565840000000001</c:v>
                </c:pt>
                <c:pt idx="18">
                  <c:v>14.411317</c:v>
                </c:pt>
                <c:pt idx="19">
                  <c:v>9.8246110000000009</c:v>
                </c:pt>
                <c:pt idx="20">
                  <c:v>4.7565840000000001</c:v>
                </c:pt>
                <c:pt idx="21">
                  <c:v>11.523391</c:v>
                </c:pt>
                <c:pt idx="22">
                  <c:v>12.939041000000001</c:v>
                </c:pt>
                <c:pt idx="23">
                  <c:v>5.2379050000000005</c:v>
                </c:pt>
                <c:pt idx="24">
                  <c:v>5.3794700000000004</c:v>
                </c:pt>
                <c:pt idx="25">
                  <c:v>24.887127</c:v>
                </c:pt>
                <c:pt idx="26">
                  <c:v>25.991334000000002</c:v>
                </c:pt>
                <c:pt idx="27">
                  <c:v>13.193858000000001</c:v>
                </c:pt>
                <c:pt idx="28">
                  <c:v>7.5878840000000007</c:v>
                </c:pt>
                <c:pt idx="29">
                  <c:v>2.7010602000000001</c:v>
                </c:pt>
                <c:pt idx="30">
                  <c:v>9.9095500000000012</c:v>
                </c:pt>
                <c:pt idx="31">
                  <c:v>9.9095500000000012</c:v>
                </c:pt>
                <c:pt idx="32">
                  <c:v>9.5131680000000003</c:v>
                </c:pt>
                <c:pt idx="33">
                  <c:v>9.5131680000000003</c:v>
                </c:pt>
                <c:pt idx="34">
                  <c:v>5.9174170000000004</c:v>
                </c:pt>
                <c:pt idx="35">
                  <c:v>5.9174170000000004</c:v>
                </c:pt>
                <c:pt idx="36">
                  <c:v>7.5878840000000007</c:v>
                </c:pt>
                <c:pt idx="37">
                  <c:v>7.6728230000000002</c:v>
                </c:pt>
                <c:pt idx="38">
                  <c:v>6.6535549999999999</c:v>
                </c:pt>
                <c:pt idx="39">
                  <c:v>6.6535549999999999</c:v>
                </c:pt>
                <c:pt idx="40">
                  <c:v>14.807699000000001</c:v>
                </c:pt>
                <c:pt idx="41">
                  <c:v>14.467943</c:v>
                </c:pt>
                <c:pt idx="42">
                  <c:v>2.2027513999999999</c:v>
                </c:pt>
                <c:pt idx="43">
                  <c:v>2.2027513999999999</c:v>
                </c:pt>
                <c:pt idx="44">
                  <c:v>3.057804</c:v>
                </c:pt>
                <c:pt idx="45">
                  <c:v>3.057804</c:v>
                </c:pt>
                <c:pt idx="46">
                  <c:v>0.59740430000000011</c:v>
                </c:pt>
                <c:pt idx="47">
                  <c:v>9.7679850000000012</c:v>
                </c:pt>
                <c:pt idx="48">
                  <c:v>9.7679850000000012</c:v>
                </c:pt>
                <c:pt idx="49">
                  <c:v>9.5131680000000003</c:v>
                </c:pt>
                <c:pt idx="50">
                  <c:v>9.5131680000000003</c:v>
                </c:pt>
                <c:pt idx="51">
                  <c:v>10.051115000000001</c:v>
                </c:pt>
                <c:pt idx="52">
                  <c:v>9.9095500000000012</c:v>
                </c:pt>
                <c:pt idx="53">
                  <c:v>11.183635000000001</c:v>
                </c:pt>
                <c:pt idx="54">
                  <c:v>11.013757</c:v>
                </c:pt>
                <c:pt idx="55">
                  <c:v>10.730627</c:v>
                </c:pt>
                <c:pt idx="56">
                  <c:v>10.730627</c:v>
                </c:pt>
                <c:pt idx="57">
                  <c:v>7.8427010000000008</c:v>
                </c:pt>
                <c:pt idx="58">
                  <c:v>7.8427010000000008</c:v>
                </c:pt>
                <c:pt idx="59">
                  <c:v>14.637821000000001</c:v>
                </c:pt>
                <c:pt idx="60">
                  <c:v>14.298065000000001</c:v>
                </c:pt>
                <c:pt idx="61">
                  <c:v>9.1167860000000012</c:v>
                </c:pt>
                <c:pt idx="62">
                  <c:v>9.1167860000000012</c:v>
                </c:pt>
                <c:pt idx="63">
                  <c:v>7.1915020000000007</c:v>
                </c:pt>
                <c:pt idx="64">
                  <c:v>7.1915020000000007</c:v>
                </c:pt>
                <c:pt idx="65">
                  <c:v>5.4077830000000002</c:v>
                </c:pt>
                <c:pt idx="66">
                  <c:v>5.4077830000000002</c:v>
                </c:pt>
                <c:pt idx="67">
                  <c:v>0.97113589999999994</c:v>
                </c:pt>
                <c:pt idx="68">
                  <c:v>2.2707026000000003</c:v>
                </c:pt>
                <c:pt idx="69">
                  <c:v>2.2707026000000003</c:v>
                </c:pt>
                <c:pt idx="70">
                  <c:v>1.925284</c:v>
                </c:pt>
                <c:pt idx="71">
                  <c:v>2.0923307000000002</c:v>
                </c:pt>
                <c:pt idx="72">
                  <c:v>3.11443</c:v>
                </c:pt>
                <c:pt idx="73">
                  <c:v>3.057804</c:v>
                </c:pt>
                <c:pt idx="74">
                  <c:v>3.8788810000000002</c:v>
                </c:pt>
                <c:pt idx="75">
                  <c:v>3.8788810000000002</c:v>
                </c:pt>
                <c:pt idx="76">
                  <c:v>4.9547750000000006</c:v>
                </c:pt>
                <c:pt idx="77">
                  <c:v>5.0114010000000002</c:v>
                </c:pt>
                <c:pt idx="78">
                  <c:v>9.0035340000000001</c:v>
                </c:pt>
                <c:pt idx="79">
                  <c:v>9.1167860000000012</c:v>
                </c:pt>
                <c:pt idx="80">
                  <c:v>30.578040000000001</c:v>
                </c:pt>
                <c:pt idx="81">
                  <c:v>34.25873</c:v>
                </c:pt>
                <c:pt idx="82">
                  <c:v>21.234750000000002</c:v>
                </c:pt>
                <c:pt idx="83">
                  <c:v>21.064872000000001</c:v>
                </c:pt>
                <c:pt idx="84">
                  <c:v>19.762474000000001</c:v>
                </c:pt>
                <c:pt idx="85">
                  <c:v>19.592596</c:v>
                </c:pt>
                <c:pt idx="86">
                  <c:v>16.110097</c:v>
                </c:pt>
                <c:pt idx="87">
                  <c:v>15.968532000000002</c:v>
                </c:pt>
                <c:pt idx="88">
                  <c:v>16.534791999999999</c:v>
                </c:pt>
                <c:pt idx="89">
                  <c:v>16.393227</c:v>
                </c:pt>
                <c:pt idx="90">
                  <c:v>17.723938</c:v>
                </c:pt>
                <c:pt idx="91">
                  <c:v>17.582373</c:v>
                </c:pt>
                <c:pt idx="92">
                  <c:v>18.035381000000001</c:v>
                </c:pt>
                <c:pt idx="93">
                  <c:v>17.865503</c:v>
                </c:pt>
                <c:pt idx="94">
                  <c:v>19.592596</c:v>
                </c:pt>
                <c:pt idx="95">
                  <c:v>19.762474000000001</c:v>
                </c:pt>
                <c:pt idx="96">
                  <c:v>15.119142</c:v>
                </c:pt>
                <c:pt idx="97">
                  <c:v>14.977577</c:v>
                </c:pt>
                <c:pt idx="98">
                  <c:v>16.110097</c:v>
                </c:pt>
                <c:pt idx="99">
                  <c:v>15.968532000000002</c:v>
                </c:pt>
                <c:pt idx="100">
                  <c:v>14.298065000000001</c:v>
                </c:pt>
                <c:pt idx="101">
                  <c:v>14.156500000000001</c:v>
                </c:pt>
                <c:pt idx="102">
                  <c:v>12.995667000000001</c:v>
                </c:pt>
                <c:pt idx="103">
                  <c:v>12.995667000000001</c:v>
                </c:pt>
              </c:numCache>
            </c:numRef>
          </c:xVal>
          <c:yVal>
            <c:numRef>
              <c:f>(Data!$AE$2200:$AE$2202,Data!$AE$2204:$AE$2227,Data!$AE$2229:$AE$2305)</c:f>
              <c:numCache>
                <c:formatCode>0.00</c:formatCode>
                <c:ptCount val="104"/>
                <c:pt idx="0">
                  <c:v>0.55166990000000005</c:v>
                </c:pt>
                <c:pt idx="1">
                  <c:v>0.81074139999999995</c:v>
                </c:pt>
                <c:pt idx="2">
                  <c:v>0.96008850000000001</c:v>
                </c:pt>
                <c:pt idx="3">
                  <c:v>0.56386150000000002</c:v>
                </c:pt>
                <c:pt idx="4">
                  <c:v>0.62481949999999997</c:v>
                </c:pt>
                <c:pt idx="5">
                  <c:v>0.59738840000000004</c:v>
                </c:pt>
                <c:pt idx="6">
                  <c:v>0.5272867</c:v>
                </c:pt>
                <c:pt idx="7">
                  <c:v>0.31698159999999997</c:v>
                </c:pt>
                <c:pt idx="8">
                  <c:v>0.53643039999999997</c:v>
                </c:pt>
                <c:pt idx="9">
                  <c:v>0.85645990000000005</c:v>
                </c:pt>
                <c:pt idx="10">
                  <c:v>0.75892709999999997</c:v>
                </c:pt>
                <c:pt idx="11">
                  <c:v>0.86255570000000004</c:v>
                </c:pt>
                <c:pt idx="12">
                  <c:v>0.66139429999999999</c:v>
                </c:pt>
                <c:pt idx="13">
                  <c:v>0.6583464</c:v>
                </c:pt>
                <c:pt idx="14">
                  <c:v>0.71320859999999997</c:v>
                </c:pt>
                <c:pt idx="15">
                  <c:v>0.49985560000000001</c:v>
                </c:pt>
                <c:pt idx="16">
                  <c:v>0.51204720000000004</c:v>
                </c:pt>
                <c:pt idx="17">
                  <c:v>0.5272867</c:v>
                </c:pt>
                <c:pt idx="18">
                  <c:v>0.71625649999999996</c:v>
                </c:pt>
                <c:pt idx="19">
                  <c:v>0.59738840000000004</c:v>
                </c:pt>
                <c:pt idx="20">
                  <c:v>0.52119090000000001</c:v>
                </c:pt>
                <c:pt idx="21">
                  <c:v>0.64615480000000003</c:v>
                </c:pt>
                <c:pt idx="22">
                  <c:v>0.70711279999999999</c:v>
                </c:pt>
                <c:pt idx="23">
                  <c:v>0.55471780000000004</c:v>
                </c:pt>
                <c:pt idx="24">
                  <c:v>0.49985560000000001</c:v>
                </c:pt>
                <c:pt idx="25">
                  <c:v>0.84426829999999997</c:v>
                </c:pt>
                <c:pt idx="26">
                  <c:v>0.89913050000000005</c:v>
                </c:pt>
                <c:pt idx="27">
                  <c:v>0.65529850000000001</c:v>
                </c:pt>
                <c:pt idx="28">
                  <c:v>0.54862200000000005</c:v>
                </c:pt>
                <c:pt idx="29">
                  <c:v>0.39013120000000001</c:v>
                </c:pt>
                <c:pt idx="30">
                  <c:v>0.69796910000000001</c:v>
                </c:pt>
                <c:pt idx="31">
                  <c:v>0.69796910000000001</c:v>
                </c:pt>
                <c:pt idx="32">
                  <c:v>0.69492120000000002</c:v>
                </c:pt>
                <c:pt idx="33">
                  <c:v>0.69492120000000002</c:v>
                </c:pt>
                <c:pt idx="34">
                  <c:v>0.62177159999999998</c:v>
                </c:pt>
                <c:pt idx="35">
                  <c:v>0.62177159999999998</c:v>
                </c:pt>
                <c:pt idx="36">
                  <c:v>0.6126279</c:v>
                </c:pt>
                <c:pt idx="37">
                  <c:v>0.6126279</c:v>
                </c:pt>
                <c:pt idx="38">
                  <c:v>0.6583464</c:v>
                </c:pt>
                <c:pt idx="39">
                  <c:v>0.6583464</c:v>
                </c:pt>
                <c:pt idx="40">
                  <c:v>0.75587919999999997</c:v>
                </c:pt>
                <c:pt idx="41">
                  <c:v>0.75587919999999997</c:v>
                </c:pt>
                <c:pt idx="42">
                  <c:v>0.41451440000000001</c:v>
                </c:pt>
                <c:pt idx="43">
                  <c:v>0.41451440000000001</c:v>
                </c:pt>
                <c:pt idx="44">
                  <c:v>0.44194549999999999</c:v>
                </c:pt>
                <c:pt idx="45">
                  <c:v>0.44194549999999999</c:v>
                </c:pt>
                <c:pt idx="46">
                  <c:v>0.27735890000000002</c:v>
                </c:pt>
                <c:pt idx="47">
                  <c:v>0.68272960000000005</c:v>
                </c:pt>
                <c:pt idx="48">
                  <c:v>0.68272960000000005</c:v>
                </c:pt>
                <c:pt idx="49">
                  <c:v>0.78635820000000001</c:v>
                </c:pt>
                <c:pt idx="50">
                  <c:v>0.78635820000000001</c:v>
                </c:pt>
                <c:pt idx="51">
                  <c:v>0.68577750000000004</c:v>
                </c:pt>
                <c:pt idx="52">
                  <c:v>0.68577750000000004</c:v>
                </c:pt>
                <c:pt idx="53">
                  <c:v>0.69796910000000001</c:v>
                </c:pt>
                <c:pt idx="54">
                  <c:v>0.69796910000000001</c:v>
                </c:pt>
                <c:pt idx="55">
                  <c:v>0.69187330000000002</c:v>
                </c:pt>
                <c:pt idx="56">
                  <c:v>0.69187330000000002</c:v>
                </c:pt>
                <c:pt idx="57">
                  <c:v>0.58824469999999995</c:v>
                </c:pt>
                <c:pt idx="58">
                  <c:v>0.58824469999999995</c:v>
                </c:pt>
                <c:pt idx="59">
                  <c:v>0.74063970000000001</c:v>
                </c:pt>
                <c:pt idx="60">
                  <c:v>0.74063970000000001</c:v>
                </c:pt>
                <c:pt idx="61">
                  <c:v>0.62481949999999997</c:v>
                </c:pt>
                <c:pt idx="62">
                  <c:v>0.62481949999999997</c:v>
                </c:pt>
                <c:pt idx="63">
                  <c:v>0.58214889999999997</c:v>
                </c:pt>
                <c:pt idx="64">
                  <c:v>0.58214889999999997</c:v>
                </c:pt>
                <c:pt idx="65">
                  <c:v>0.57910099999999998</c:v>
                </c:pt>
                <c:pt idx="66">
                  <c:v>0.57910099999999998</c:v>
                </c:pt>
                <c:pt idx="67">
                  <c:v>0.34746060000000001</c:v>
                </c:pt>
                <c:pt idx="68">
                  <c:v>0.43584970000000001</c:v>
                </c:pt>
                <c:pt idx="69">
                  <c:v>0.43584970000000001</c:v>
                </c:pt>
                <c:pt idx="70">
                  <c:v>0.36574800000000002</c:v>
                </c:pt>
                <c:pt idx="71">
                  <c:v>0.36574800000000002</c:v>
                </c:pt>
                <c:pt idx="72">
                  <c:v>0.4815682</c:v>
                </c:pt>
                <c:pt idx="73">
                  <c:v>0.4815682</c:v>
                </c:pt>
                <c:pt idx="74">
                  <c:v>0.49985560000000001</c:v>
                </c:pt>
                <c:pt idx="75">
                  <c:v>0.49985560000000001</c:v>
                </c:pt>
                <c:pt idx="76">
                  <c:v>0.57605309999999998</c:v>
                </c:pt>
                <c:pt idx="77">
                  <c:v>0.57605309999999998</c:v>
                </c:pt>
                <c:pt idx="78">
                  <c:v>0.59129259999999995</c:v>
                </c:pt>
                <c:pt idx="79">
                  <c:v>0.59129259999999995</c:v>
                </c:pt>
                <c:pt idx="80">
                  <c:v>0.90827420000000003</c:v>
                </c:pt>
                <c:pt idx="81">
                  <c:v>0.90827420000000003</c:v>
                </c:pt>
                <c:pt idx="82">
                  <c:v>0.85645990000000005</c:v>
                </c:pt>
                <c:pt idx="83">
                  <c:v>0.85645990000000005</c:v>
                </c:pt>
                <c:pt idx="84">
                  <c:v>0.81378930000000005</c:v>
                </c:pt>
                <c:pt idx="85">
                  <c:v>0.81378930000000005</c:v>
                </c:pt>
                <c:pt idx="86">
                  <c:v>0.81378930000000005</c:v>
                </c:pt>
                <c:pt idx="87">
                  <c:v>0.81378930000000005</c:v>
                </c:pt>
                <c:pt idx="88">
                  <c:v>0.80159769999999997</c:v>
                </c:pt>
                <c:pt idx="89">
                  <c:v>0.80159769999999997</c:v>
                </c:pt>
                <c:pt idx="90">
                  <c:v>0.90217840000000005</c:v>
                </c:pt>
                <c:pt idx="91">
                  <c:v>0.90217840000000005</c:v>
                </c:pt>
                <c:pt idx="92">
                  <c:v>0.81378930000000005</c:v>
                </c:pt>
                <c:pt idx="93">
                  <c:v>0.81378930000000005</c:v>
                </c:pt>
                <c:pt idx="94">
                  <c:v>0.85950780000000004</c:v>
                </c:pt>
                <c:pt idx="95">
                  <c:v>0.85950780000000004</c:v>
                </c:pt>
                <c:pt idx="96">
                  <c:v>0.77721450000000003</c:v>
                </c:pt>
                <c:pt idx="97">
                  <c:v>0.77721450000000003</c:v>
                </c:pt>
                <c:pt idx="98">
                  <c:v>0.80159769999999997</c:v>
                </c:pt>
                <c:pt idx="99">
                  <c:v>0.80159769999999997</c:v>
                </c:pt>
                <c:pt idx="100">
                  <c:v>0.76197499999999996</c:v>
                </c:pt>
                <c:pt idx="101">
                  <c:v>0.76197499999999996</c:v>
                </c:pt>
                <c:pt idx="102">
                  <c:v>0.68882540000000003</c:v>
                </c:pt>
                <c:pt idx="103">
                  <c:v>0.68882540000000003</c:v>
                </c:pt>
              </c:numCache>
            </c:numRef>
          </c:yVal>
          <c:smooth val="0"/>
        </c:ser>
        <c:dLbls>
          <c:showLegendKey val="0"/>
          <c:showVal val="0"/>
          <c:showCatName val="0"/>
          <c:showSerName val="0"/>
          <c:showPercent val="0"/>
          <c:showBubbleSize val="0"/>
        </c:dLbls>
        <c:axId val="90269568"/>
        <c:axId val="90284032"/>
      </c:scatterChart>
      <c:valAx>
        <c:axId val="90269568"/>
        <c:scaling>
          <c:logBase val="10"/>
          <c:orientation val="minMax"/>
        </c:scaling>
        <c:delete val="0"/>
        <c:axPos val="b"/>
        <c:majorGridlines/>
        <c:title>
          <c:tx>
            <c:rich>
              <a:bodyPr/>
              <a:lstStyle/>
              <a:p>
                <a:pPr>
                  <a:defRPr/>
                </a:pPr>
                <a:r>
                  <a:rPr lang="en-US"/>
                  <a:t>Discharge (cms)</a:t>
                </a:r>
              </a:p>
            </c:rich>
          </c:tx>
          <c:overlay val="0"/>
        </c:title>
        <c:numFmt formatCode="0.00" sourceLinked="1"/>
        <c:majorTickMark val="out"/>
        <c:minorTickMark val="none"/>
        <c:tickLblPos val="nextTo"/>
        <c:crossAx val="90284032"/>
        <c:crossesAt val="0.1"/>
        <c:crossBetween val="midCat"/>
      </c:valAx>
      <c:valAx>
        <c:axId val="90284032"/>
        <c:scaling>
          <c:logBase val="10"/>
          <c:orientation val="minMax"/>
        </c:scaling>
        <c:delete val="0"/>
        <c:axPos val="l"/>
        <c:majorGridlines/>
        <c:minorGridlines/>
        <c:title>
          <c:tx>
            <c:rich>
              <a:bodyPr rot="-5400000" vert="horz"/>
              <a:lstStyle/>
              <a:p>
                <a:pPr>
                  <a:defRPr/>
                </a:pPr>
                <a:r>
                  <a:rPr lang="en-US"/>
                  <a:t>Depth (m)</a:t>
                </a:r>
              </a:p>
            </c:rich>
          </c:tx>
          <c:overlay val="0"/>
        </c:title>
        <c:numFmt formatCode="0.00" sourceLinked="1"/>
        <c:majorTickMark val="out"/>
        <c:minorTickMark val="none"/>
        <c:tickLblPos val="nextTo"/>
        <c:crossAx val="90269568"/>
        <c:crossesAt val="0.1"/>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scatterChart>
        <c:scatterStyle val="lineMarker"/>
        <c:varyColors val="0"/>
        <c:ser>
          <c:idx val="0"/>
          <c:order val="0"/>
          <c:tx>
            <c:v>Surface</c:v>
          </c:tx>
          <c:spPr>
            <a:ln w="28575">
              <a:noFill/>
            </a:ln>
          </c:spPr>
          <c:trendline>
            <c:trendlineType val="linear"/>
            <c:dispRSqr val="0"/>
            <c:dispEq val="0"/>
          </c:trendline>
          <c:xVal>
            <c:numRef>
              <c:f>(Data!$AU$1427,Data!$AU$1528,Data!$AU$1736,Data!$AU$2388,Data!$AU$3111,Data!$AU$3440,Data!$AU$3501,Data!$AU$3552,Data!$AU$4190,Data!$AU$4283,Data!$AU$4814,Data!$AU$4827,Data!$AU$4839,Data!$AU$4851,Data!$AU$4865,Data!$AU$4883,Data!$AU$4904,Data!$AU$4931)</c:f>
              <c:numCache>
                <c:formatCode>0</c:formatCode>
                <c:ptCount val="18"/>
                <c:pt idx="0">
                  <c:v>155</c:v>
                </c:pt>
                <c:pt idx="1">
                  <c:v>149</c:v>
                </c:pt>
                <c:pt idx="2">
                  <c:v>100</c:v>
                </c:pt>
                <c:pt idx="3">
                  <c:v>119</c:v>
                </c:pt>
                <c:pt idx="4">
                  <c:v>127.6</c:v>
                </c:pt>
                <c:pt idx="5">
                  <c:v>138.1</c:v>
                </c:pt>
                <c:pt idx="6">
                  <c:v>64</c:v>
                </c:pt>
                <c:pt idx="7">
                  <c:v>149.82213803788002</c:v>
                </c:pt>
                <c:pt idx="8">
                  <c:v>83.4</c:v>
                </c:pt>
                <c:pt idx="9">
                  <c:v>134.5</c:v>
                </c:pt>
                <c:pt idx="10">
                  <c:v>83.9</c:v>
                </c:pt>
                <c:pt idx="11">
                  <c:v>75.099999999999994</c:v>
                </c:pt>
                <c:pt idx="12">
                  <c:v>18.2</c:v>
                </c:pt>
                <c:pt idx="13">
                  <c:v>38.9</c:v>
                </c:pt>
                <c:pt idx="14">
                  <c:v>16.100000000000001</c:v>
                </c:pt>
                <c:pt idx="15">
                  <c:v>8.8000000000000007</c:v>
                </c:pt>
                <c:pt idx="16">
                  <c:v>48.4</c:v>
                </c:pt>
                <c:pt idx="17" formatCode="0.0">
                  <c:v>43</c:v>
                </c:pt>
              </c:numCache>
            </c:numRef>
          </c:xVal>
          <c:yVal>
            <c:numRef>
              <c:f>(Data!$AU$1428,Data!$AU$1529,Data!$AU$1737,Data!$AU$2389,Data!$AU$3112,Data!$AU$3441,Data!$AU$3502,Data!$AU$3553,Data!$AU$4191,Data!$AU$4284,Data!$AU$4815,Data!$AU$4828,Data!$AU$4840,Data!$AU$4852,Data!$AU$4866,Data!$AU$4884,Data!$AU$4905,Data!$AU$4932)</c:f>
              <c:numCache>
                <c:formatCode>General</c:formatCode>
                <c:ptCount val="18"/>
                <c:pt idx="0">
                  <c:v>119</c:v>
                </c:pt>
                <c:pt idx="1">
                  <c:v>101</c:v>
                </c:pt>
                <c:pt idx="2" formatCode="0">
                  <c:v>83</c:v>
                </c:pt>
                <c:pt idx="3">
                  <c:v>74</c:v>
                </c:pt>
                <c:pt idx="4" formatCode="0">
                  <c:v>146</c:v>
                </c:pt>
                <c:pt idx="5" formatCode="0">
                  <c:v>104.33</c:v>
                </c:pt>
                <c:pt idx="6" formatCode="0">
                  <c:v>61</c:v>
                </c:pt>
                <c:pt idx="7" formatCode="0">
                  <c:v>96</c:v>
                </c:pt>
                <c:pt idx="8" formatCode="0">
                  <c:v>45.5</c:v>
                </c:pt>
                <c:pt idx="9" formatCode="0">
                  <c:v>62</c:v>
                </c:pt>
                <c:pt idx="10">
                  <c:v>42</c:v>
                </c:pt>
                <c:pt idx="11">
                  <c:v>76</c:v>
                </c:pt>
                <c:pt idx="12">
                  <c:v>21</c:v>
                </c:pt>
                <c:pt idx="13">
                  <c:v>67</c:v>
                </c:pt>
                <c:pt idx="14">
                  <c:v>11</c:v>
                </c:pt>
                <c:pt idx="15">
                  <c:v>24.6</c:v>
                </c:pt>
                <c:pt idx="16">
                  <c:v>58</c:v>
                </c:pt>
                <c:pt idx="17">
                  <c:v>13.5</c:v>
                </c:pt>
              </c:numCache>
            </c:numRef>
          </c:yVal>
          <c:smooth val="0"/>
        </c:ser>
        <c:dLbls>
          <c:showLegendKey val="0"/>
          <c:showVal val="0"/>
          <c:showCatName val="0"/>
          <c:showSerName val="0"/>
          <c:showPercent val="0"/>
          <c:showBubbleSize val="0"/>
        </c:dLbls>
        <c:axId val="90305664"/>
        <c:axId val="90307584"/>
      </c:scatterChart>
      <c:valAx>
        <c:axId val="90305664"/>
        <c:scaling>
          <c:orientation val="minMax"/>
        </c:scaling>
        <c:delete val="0"/>
        <c:axPos val="b"/>
        <c:majorGridlines/>
        <c:minorGridlines/>
        <c:title>
          <c:tx>
            <c:rich>
              <a:bodyPr/>
              <a:lstStyle/>
              <a:p>
                <a:pPr>
                  <a:defRPr/>
                </a:pPr>
                <a:r>
                  <a:rPr lang="en-US"/>
                  <a:t>Bulk Core Samples D50 (mm)</a:t>
                </a:r>
              </a:p>
            </c:rich>
          </c:tx>
          <c:overlay val="0"/>
        </c:title>
        <c:numFmt formatCode="0" sourceLinked="1"/>
        <c:majorTickMark val="out"/>
        <c:minorTickMark val="none"/>
        <c:tickLblPos val="nextTo"/>
        <c:crossAx val="90307584"/>
        <c:crosses val="autoZero"/>
        <c:crossBetween val="midCat"/>
      </c:valAx>
      <c:valAx>
        <c:axId val="90307584"/>
        <c:scaling>
          <c:orientation val="minMax"/>
        </c:scaling>
        <c:delete val="0"/>
        <c:axPos val="l"/>
        <c:majorGridlines/>
        <c:title>
          <c:tx>
            <c:rich>
              <a:bodyPr rot="-5400000" vert="horz"/>
              <a:lstStyle/>
              <a:p>
                <a:pPr>
                  <a:defRPr/>
                </a:pPr>
                <a:r>
                  <a:rPr lang="en-US"/>
                  <a:t>Pebble Count D50 (mm)</a:t>
                </a:r>
              </a:p>
            </c:rich>
          </c:tx>
          <c:overlay val="0"/>
        </c:title>
        <c:numFmt formatCode="General" sourceLinked="1"/>
        <c:majorTickMark val="out"/>
        <c:minorTickMark val="none"/>
        <c:tickLblPos val="nextTo"/>
        <c:crossAx val="90305664"/>
        <c:crosses val="autoZero"/>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PSD - Spencer Creek</a:t>
            </a:r>
          </a:p>
        </c:rich>
      </c:tx>
      <c:overlay val="0"/>
    </c:title>
    <c:autoTitleDeleted val="0"/>
    <c:plotArea>
      <c:layout/>
      <c:scatterChart>
        <c:scatterStyle val="smoothMarker"/>
        <c:varyColors val="0"/>
        <c:ser>
          <c:idx val="0"/>
          <c:order val="0"/>
          <c:tx>
            <c:v>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PSD'!$G$158:$T$158</c:f>
              <c:numCache>
                <c:formatCode>0.00%</c:formatCode>
                <c:ptCount val="14"/>
                <c:pt idx="0">
                  <c:v>1.8053704443971666E-3</c:v>
                </c:pt>
                <c:pt idx="1">
                  <c:v>2.0680507310048926E-3</c:v>
                </c:pt>
                <c:pt idx="2">
                  <c:v>3.0481725752240342E-3</c:v>
                </c:pt>
                <c:pt idx="3">
                  <c:v>1.0316402539412378E-2</c:v>
                </c:pt>
                <c:pt idx="4">
                  <c:v>1.7155630437458085E-2</c:v>
                </c:pt>
                <c:pt idx="5">
                  <c:v>2.927613136176831E-2</c:v>
                </c:pt>
                <c:pt idx="6">
                  <c:v>5.3571831768859136E-2</c:v>
                </c:pt>
                <c:pt idx="7">
                  <c:v>8.5423883616732282E-2</c:v>
                </c:pt>
                <c:pt idx="8">
                  <c:v>0.13690826574722206</c:v>
                </c:pt>
                <c:pt idx="9">
                  <c:v>0.21600174526563304</c:v>
                </c:pt>
                <c:pt idx="10">
                  <c:v>0.35304739343878072</c:v>
                </c:pt>
                <c:pt idx="11">
                  <c:v>0.68011201755950945</c:v>
                </c:pt>
                <c:pt idx="12">
                  <c:v>0.92781062341409959</c:v>
                </c:pt>
                <c:pt idx="13">
                  <c:v>1</c:v>
                </c:pt>
              </c:numCache>
            </c:numRef>
          </c:yVal>
          <c:smooth val="1"/>
        </c:ser>
        <c:ser>
          <c:idx val="1"/>
          <c:order val="1"/>
          <c:tx>
            <c:v>Subsurface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PSD'!$G$160:$T$160</c:f>
              <c:numCache>
                <c:formatCode>0.00%</c:formatCode>
                <c:ptCount val="14"/>
                <c:pt idx="0">
                  <c:v>5.1191638750509912E-3</c:v>
                </c:pt>
                <c:pt idx="1">
                  <c:v>5.6375699964151954E-3</c:v>
                </c:pt>
                <c:pt idx="2">
                  <c:v>7.6961290282705173E-3</c:v>
                </c:pt>
                <c:pt idx="3">
                  <c:v>2.776949392437297E-2</c:v>
                </c:pt>
                <c:pt idx="4">
                  <c:v>5.2259740781487568E-2</c:v>
                </c:pt>
                <c:pt idx="5">
                  <c:v>9.3563806445232822E-2</c:v>
                </c:pt>
                <c:pt idx="6">
                  <c:v>0.18070895706886536</c:v>
                </c:pt>
                <c:pt idx="7">
                  <c:v>0.29123607797569745</c:v>
                </c:pt>
                <c:pt idx="8">
                  <c:v>0.43032189079941158</c:v>
                </c:pt>
                <c:pt idx="9">
                  <c:v>0.59446811995500448</c:v>
                </c:pt>
                <c:pt idx="10">
                  <c:v>0.77153239613335467</c:v>
                </c:pt>
                <c:pt idx="11">
                  <c:v>0.93064096938081753</c:v>
                </c:pt>
                <c:pt idx="12">
                  <c:v>1</c:v>
                </c:pt>
                <c:pt idx="13">
                  <c:v>1</c:v>
                </c:pt>
              </c:numCache>
            </c:numRef>
          </c:yVal>
          <c:smooth val="1"/>
        </c:ser>
        <c:dLbls>
          <c:showLegendKey val="0"/>
          <c:showVal val="0"/>
          <c:showCatName val="0"/>
          <c:showSerName val="0"/>
          <c:showPercent val="0"/>
          <c:showBubbleSize val="0"/>
        </c:dLbls>
        <c:axId val="93508736"/>
        <c:axId val="93510656"/>
      </c:scatterChart>
      <c:valAx>
        <c:axId val="93508736"/>
        <c:scaling>
          <c:logBase val="10"/>
          <c:orientation val="minMax"/>
        </c:scaling>
        <c:delete val="0"/>
        <c:axPos val="b"/>
        <c:minorGridlines/>
        <c:title>
          <c:tx>
            <c:rich>
              <a:bodyPr/>
              <a:lstStyle/>
              <a:p>
                <a:pPr>
                  <a:defRPr/>
                </a:pPr>
                <a:r>
                  <a:rPr lang="en-US"/>
                  <a:t>Phi Size (mm)</a:t>
                </a:r>
              </a:p>
            </c:rich>
          </c:tx>
          <c:overlay val="0"/>
        </c:title>
        <c:numFmt formatCode="General" sourceLinked="1"/>
        <c:majorTickMark val="out"/>
        <c:minorTickMark val="none"/>
        <c:tickLblPos val="nextTo"/>
        <c:crossAx val="93510656"/>
        <c:crosses val="autoZero"/>
        <c:crossBetween val="midCat"/>
      </c:valAx>
      <c:valAx>
        <c:axId val="93510656"/>
        <c:scaling>
          <c:orientation val="minMax"/>
          <c:max val="1"/>
        </c:scaling>
        <c:delete val="0"/>
        <c:axPos val="l"/>
        <c:majorGridlines/>
        <c:title>
          <c:tx>
            <c:rich>
              <a:bodyPr rot="-5400000" vert="horz"/>
              <a:lstStyle/>
              <a:p>
                <a:pPr>
                  <a:defRPr/>
                </a:pPr>
                <a:r>
                  <a:rPr lang="en-US"/>
                  <a:t>Percent Passing Sieve (%)</a:t>
                </a:r>
              </a:p>
            </c:rich>
          </c:tx>
          <c:overlay val="0"/>
        </c:title>
        <c:numFmt formatCode="0%" sourceLinked="0"/>
        <c:majorTickMark val="out"/>
        <c:minorTickMark val="none"/>
        <c:tickLblPos val="nextTo"/>
        <c:crossAx val="93508736"/>
        <c:crossesAt val="1.0000000000000024E-3"/>
        <c:crossBetween val="midCat"/>
        <c:majorUnit val="0.1"/>
        <c:minorUnit val="4.0000000000000022E-2"/>
      </c:valAx>
    </c:plotArea>
    <c:legend>
      <c:legendPos val="b"/>
      <c:overlay val="0"/>
    </c:legend>
    <c:plotVisOnly val="1"/>
    <c:dispBlanksAs val="gap"/>
    <c:showDLblsOverMax val="0"/>
  </c:chart>
  <c:printSettings>
    <c:headerFooter/>
    <c:pageMargins b="0.75000000000000111" l="0.70000000000000062" r="0.70000000000000062" t="0.75000000000000111"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PSD - Annie Creek</a:t>
            </a:r>
          </a:p>
        </c:rich>
      </c:tx>
      <c:overlay val="0"/>
    </c:title>
    <c:autoTitleDeleted val="0"/>
    <c:plotArea>
      <c:layout/>
      <c:scatterChart>
        <c:scatterStyle val="smoothMarker"/>
        <c:varyColors val="0"/>
        <c:ser>
          <c:idx val="0"/>
          <c:order val="0"/>
          <c:tx>
            <c:v>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PSD'!$G$16:$T$16</c:f>
              <c:numCache>
                <c:formatCode>0.00%</c:formatCode>
                <c:ptCount val="14"/>
                <c:pt idx="0">
                  <c:v>1.3593681219052135E-3</c:v>
                </c:pt>
                <c:pt idx="1">
                  <c:v>3.6447487563834417E-3</c:v>
                </c:pt>
                <c:pt idx="2">
                  <c:v>3.2656766391675925E-2</c:v>
                </c:pt>
                <c:pt idx="3">
                  <c:v>0.11243753406973374</c:v>
                </c:pt>
                <c:pt idx="4">
                  <c:v>0.1573879148524652</c:v>
                </c:pt>
                <c:pt idx="5">
                  <c:v>0.18180408220983987</c:v>
                </c:pt>
                <c:pt idx="6">
                  <c:v>0.22987690419875964</c:v>
                </c:pt>
                <c:pt idx="7">
                  <c:v>0.30900763846281915</c:v>
                </c:pt>
                <c:pt idx="8">
                  <c:v>0.45859971398529781</c:v>
                </c:pt>
                <c:pt idx="9">
                  <c:v>0.76841932401086588</c:v>
                </c:pt>
                <c:pt idx="10">
                  <c:v>0.97060024313530502</c:v>
                </c:pt>
                <c:pt idx="11">
                  <c:v>1</c:v>
                </c:pt>
                <c:pt idx="12">
                  <c:v>1</c:v>
                </c:pt>
                <c:pt idx="13">
                  <c:v>1</c:v>
                </c:pt>
              </c:numCache>
            </c:numRef>
          </c:yVal>
          <c:smooth val="1"/>
        </c:ser>
        <c:ser>
          <c:idx val="1"/>
          <c:order val="1"/>
          <c:tx>
            <c:v>Subsurface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PSD'!$G$18:$T$18</c:f>
              <c:numCache>
                <c:formatCode>0.00%</c:formatCode>
                <c:ptCount val="14"/>
                <c:pt idx="0">
                  <c:v>1.5751371341340833E-3</c:v>
                </c:pt>
                <c:pt idx="1">
                  <c:v>5.7968581205719971E-3</c:v>
                </c:pt>
                <c:pt idx="2">
                  <c:v>5.9216761403175451E-2</c:v>
                </c:pt>
                <c:pt idx="3">
                  <c:v>0.18002955867441053</c:v>
                </c:pt>
                <c:pt idx="4">
                  <c:v>0.24064693290092545</c:v>
                </c:pt>
                <c:pt idx="5">
                  <c:v>0.27501275794803592</c:v>
                </c:pt>
                <c:pt idx="6">
                  <c:v>0.34498154239725709</c:v>
                </c:pt>
                <c:pt idx="7">
                  <c:v>0.46212711997331318</c:v>
                </c:pt>
                <c:pt idx="8">
                  <c:v>0.63024263297537431</c:v>
                </c:pt>
                <c:pt idx="9">
                  <c:v>0.88674255896822995</c:v>
                </c:pt>
                <c:pt idx="10">
                  <c:v>0.98915298270883811</c:v>
                </c:pt>
                <c:pt idx="11">
                  <c:v>0.99999999999999989</c:v>
                </c:pt>
                <c:pt idx="12">
                  <c:v>0.99999999999999989</c:v>
                </c:pt>
                <c:pt idx="13">
                  <c:v>0.99999999999999989</c:v>
                </c:pt>
              </c:numCache>
            </c:numRef>
          </c:yVal>
          <c:smooth val="1"/>
        </c:ser>
        <c:dLbls>
          <c:showLegendKey val="0"/>
          <c:showVal val="0"/>
          <c:showCatName val="0"/>
          <c:showSerName val="0"/>
          <c:showPercent val="0"/>
          <c:showBubbleSize val="0"/>
        </c:dLbls>
        <c:axId val="90612096"/>
        <c:axId val="90614016"/>
      </c:scatterChart>
      <c:valAx>
        <c:axId val="90612096"/>
        <c:scaling>
          <c:logBase val="10"/>
          <c:orientation val="minMax"/>
        </c:scaling>
        <c:delete val="0"/>
        <c:axPos val="b"/>
        <c:minorGridlines/>
        <c:title>
          <c:tx>
            <c:rich>
              <a:bodyPr/>
              <a:lstStyle/>
              <a:p>
                <a:pPr>
                  <a:defRPr/>
                </a:pPr>
                <a:r>
                  <a:rPr lang="en-US"/>
                  <a:t>Phi Size (mm)</a:t>
                </a:r>
              </a:p>
            </c:rich>
          </c:tx>
          <c:overlay val="0"/>
        </c:title>
        <c:numFmt formatCode="General" sourceLinked="1"/>
        <c:majorTickMark val="out"/>
        <c:minorTickMark val="none"/>
        <c:tickLblPos val="nextTo"/>
        <c:crossAx val="90614016"/>
        <c:crosses val="autoZero"/>
        <c:crossBetween val="midCat"/>
      </c:valAx>
      <c:valAx>
        <c:axId val="90614016"/>
        <c:scaling>
          <c:orientation val="minMax"/>
          <c:max val="1"/>
        </c:scaling>
        <c:delete val="0"/>
        <c:axPos val="l"/>
        <c:majorGridlines/>
        <c:title>
          <c:tx>
            <c:rich>
              <a:bodyPr rot="-5400000" vert="horz"/>
              <a:lstStyle/>
              <a:p>
                <a:pPr>
                  <a:defRPr/>
                </a:pPr>
                <a:r>
                  <a:rPr lang="en-US"/>
                  <a:t>Percent Passing Sieve (%)</a:t>
                </a:r>
              </a:p>
            </c:rich>
          </c:tx>
          <c:overlay val="0"/>
        </c:title>
        <c:numFmt formatCode="0%" sourceLinked="0"/>
        <c:majorTickMark val="out"/>
        <c:minorTickMark val="none"/>
        <c:tickLblPos val="nextTo"/>
        <c:crossAx val="90612096"/>
        <c:crossesAt val="1.0000000000000028E-3"/>
        <c:crossBetween val="midCat"/>
        <c:majorUnit val="0.1"/>
        <c:minorUnit val="4.0000000000000022E-2"/>
      </c:valAx>
    </c:plotArea>
    <c:legend>
      <c:legendPos val="b"/>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PSD - Fivemile Creek</a:t>
            </a:r>
          </a:p>
        </c:rich>
      </c:tx>
      <c:overlay val="0"/>
    </c:title>
    <c:autoTitleDeleted val="0"/>
    <c:plotArea>
      <c:layout/>
      <c:scatterChart>
        <c:scatterStyle val="smoothMarker"/>
        <c:varyColors val="0"/>
        <c:ser>
          <c:idx val="0"/>
          <c:order val="0"/>
          <c:tx>
            <c:v>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PSD'!$G$35:$T$35</c:f>
              <c:numCache>
                <c:formatCode>0.00%</c:formatCode>
                <c:ptCount val="14"/>
                <c:pt idx="0">
                  <c:v>7.742483412590056E-4</c:v>
                </c:pt>
                <c:pt idx="1">
                  <c:v>1.4566815998601588E-3</c:v>
                </c:pt>
                <c:pt idx="2">
                  <c:v>4.4459688102398542E-3</c:v>
                </c:pt>
                <c:pt idx="3">
                  <c:v>2.2043565373883821E-2</c:v>
                </c:pt>
                <c:pt idx="4">
                  <c:v>3.9134854726909724E-2</c:v>
                </c:pt>
                <c:pt idx="5">
                  <c:v>5.2813094949596615E-2</c:v>
                </c:pt>
                <c:pt idx="6">
                  <c:v>6.5339232452394105E-2</c:v>
                </c:pt>
                <c:pt idx="7">
                  <c:v>8.1408196173518146E-2</c:v>
                </c:pt>
                <c:pt idx="8">
                  <c:v>0.1052606952432283</c:v>
                </c:pt>
                <c:pt idx="9">
                  <c:v>0.14722857497253278</c:v>
                </c:pt>
                <c:pt idx="10">
                  <c:v>0.2280020111034452</c:v>
                </c:pt>
                <c:pt idx="11">
                  <c:v>0.35438194103264598</c:v>
                </c:pt>
                <c:pt idx="12">
                  <c:v>0.72745045847949819</c:v>
                </c:pt>
                <c:pt idx="13">
                  <c:v>1.0000000000000002</c:v>
                </c:pt>
              </c:numCache>
            </c:numRef>
          </c:yVal>
          <c:smooth val="1"/>
        </c:ser>
        <c:ser>
          <c:idx val="1"/>
          <c:order val="1"/>
          <c:tx>
            <c:v>Subsurface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PSD'!$G$37:$T$37</c:f>
              <c:numCache>
                <c:formatCode>0.00%</c:formatCode>
                <c:ptCount val="14"/>
                <c:pt idx="0">
                  <c:v>2.2203633997862353E-3</c:v>
                </c:pt>
                <c:pt idx="1">
                  <c:v>4.1981504716761932E-3</c:v>
                </c:pt>
                <c:pt idx="2">
                  <c:v>1.3986709419582695E-2</c:v>
                </c:pt>
                <c:pt idx="3">
                  <c:v>7.3698591942004732E-2</c:v>
                </c:pt>
                <c:pt idx="4">
                  <c:v>0.13508434406803288</c:v>
                </c:pt>
                <c:pt idx="5">
                  <c:v>0.19926762396022121</c:v>
                </c:pt>
                <c:pt idx="6">
                  <c:v>0.25589479065012322</c:v>
                </c:pt>
                <c:pt idx="7">
                  <c:v>0.3157191319299224</c:v>
                </c:pt>
                <c:pt idx="8">
                  <c:v>0.385499326176867</c:v>
                </c:pt>
                <c:pt idx="9">
                  <c:v>0.47408429759747195</c:v>
                </c:pt>
                <c:pt idx="10">
                  <c:v>0.5661164552256146</c:v>
                </c:pt>
                <c:pt idx="11">
                  <c:v>0.77644964914726522</c:v>
                </c:pt>
                <c:pt idx="12">
                  <c:v>1</c:v>
                </c:pt>
                <c:pt idx="13">
                  <c:v>1</c:v>
                </c:pt>
              </c:numCache>
            </c:numRef>
          </c:yVal>
          <c:smooth val="1"/>
        </c:ser>
        <c:dLbls>
          <c:showLegendKey val="0"/>
          <c:showVal val="0"/>
          <c:showCatName val="0"/>
          <c:showSerName val="0"/>
          <c:showPercent val="0"/>
          <c:showBubbleSize val="0"/>
        </c:dLbls>
        <c:axId val="90770816"/>
        <c:axId val="90777088"/>
      </c:scatterChart>
      <c:valAx>
        <c:axId val="90770816"/>
        <c:scaling>
          <c:logBase val="10"/>
          <c:orientation val="minMax"/>
        </c:scaling>
        <c:delete val="0"/>
        <c:axPos val="b"/>
        <c:minorGridlines/>
        <c:title>
          <c:tx>
            <c:rich>
              <a:bodyPr/>
              <a:lstStyle/>
              <a:p>
                <a:pPr>
                  <a:defRPr/>
                </a:pPr>
                <a:r>
                  <a:rPr lang="en-US"/>
                  <a:t>Phi Size (mm)</a:t>
                </a:r>
              </a:p>
            </c:rich>
          </c:tx>
          <c:overlay val="0"/>
        </c:title>
        <c:numFmt formatCode="General" sourceLinked="1"/>
        <c:majorTickMark val="out"/>
        <c:minorTickMark val="none"/>
        <c:tickLblPos val="nextTo"/>
        <c:crossAx val="90777088"/>
        <c:crosses val="autoZero"/>
        <c:crossBetween val="midCat"/>
      </c:valAx>
      <c:valAx>
        <c:axId val="90777088"/>
        <c:scaling>
          <c:orientation val="minMax"/>
          <c:max val="1"/>
        </c:scaling>
        <c:delete val="0"/>
        <c:axPos val="l"/>
        <c:majorGridlines/>
        <c:title>
          <c:tx>
            <c:rich>
              <a:bodyPr rot="-5400000" vert="horz"/>
              <a:lstStyle/>
              <a:p>
                <a:pPr>
                  <a:defRPr/>
                </a:pPr>
                <a:r>
                  <a:rPr lang="en-US"/>
                  <a:t>Percent Passing Sieve (%)</a:t>
                </a:r>
              </a:p>
            </c:rich>
          </c:tx>
          <c:overlay val="0"/>
        </c:title>
        <c:numFmt formatCode="0%" sourceLinked="0"/>
        <c:majorTickMark val="out"/>
        <c:minorTickMark val="none"/>
        <c:tickLblPos val="nextTo"/>
        <c:crossAx val="90770816"/>
        <c:crossesAt val="1.0000000000000028E-3"/>
        <c:crossBetween val="midCat"/>
        <c:majorUnit val="0.1"/>
        <c:minorUnit val="4.0000000000000022E-2"/>
      </c:valAx>
    </c:plotArea>
    <c:legend>
      <c:legendPos val="b"/>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PSD - North Fork Sprague River</a:t>
            </a:r>
          </a:p>
        </c:rich>
      </c:tx>
      <c:overlay val="0"/>
    </c:title>
    <c:autoTitleDeleted val="0"/>
    <c:plotArea>
      <c:layout/>
      <c:scatterChart>
        <c:scatterStyle val="smoothMarker"/>
        <c:varyColors val="0"/>
        <c:ser>
          <c:idx val="0"/>
          <c:order val="0"/>
          <c:tx>
            <c:v>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PSD'!$G$52:$T$52</c:f>
              <c:numCache>
                <c:formatCode>0.00%</c:formatCode>
                <c:ptCount val="14"/>
                <c:pt idx="0">
                  <c:v>3.579757066464156E-4</c:v>
                </c:pt>
                <c:pt idx="1">
                  <c:v>6.574741455404366E-4</c:v>
                </c:pt>
                <c:pt idx="2">
                  <c:v>2.0854258053860722E-3</c:v>
                </c:pt>
                <c:pt idx="3">
                  <c:v>9.1872529039099971E-3</c:v>
                </c:pt>
                <c:pt idx="4">
                  <c:v>2.1504620099269112E-2</c:v>
                </c:pt>
                <c:pt idx="5">
                  <c:v>3.7732061900558618E-2</c:v>
                </c:pt>
                <c:pt idx="6">
                  <c:v>5.8868433259657238E-2</c:v>
                </c:pt>
                <c:pt idx="7">
                  <c:v>8.5700016357830297E-2</c:v>
                </c:pt>
                <c:pt idx="8">
                  <c:v>0.12506628082206395</c:v>
                </c:pt>
                <c:pt idx="9">
                  <c:v>0.17125858094636773</c:v>
                </c:pt>
                <c:pt idx="10">
                  <c:v>0.25364040747592353</c:v>
                </c:pt>
                <c:pt idx="11">
                  <c:v>0.35072057427837866</c:v>
                </c:pt>
                <c:pt idx="12">
                  <c:v>0.99999999999999989</c:v>
                </c:pt>
                <c:pt idx="13">
                  <c:v>0.99999999999999989</c:v>
                </c:pt>
              </c:numCache>
            </c:numRef>
          </c:yVal>
          <c:smooth val="1"/>
        </c:ser>
        <c:ser>
          <c:idx val="1"/>
          <c:order val="1"/>
          <c:tx>
            <c:v>Subsurface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PSD'!$G$54:$T$54</c:f>
              <c:numCache>
                <c:formatCode>0.00%</c:formatCode>
                <c:ptCount val="14"/>
                <c:pt idx="0">
                  <c:v>1.2525060204999535E-3</c:v>
                </c:pt>
                <c:pt idx="1">
                  <c:v>2.2317196645462133E-3</c:v>
                </c:pt>
                <c:pt idx="2">
                  <c:v>6.3008515427405067E-3</c:v>
                </c:pt>
                <c:pt idx="3">
                  <c:v>2.7831450204313785E-2</c:v>
                </c:pt>
                <c:pt idx="4">
                  <c:v>6.1197323146553288E-2</c:v>
                </c:pt>
                <c:pt idx="5">
                  <c:v>0.10886717788812558</c:v>
                </c:pt>
                <c:pt idx="6">
                  <c:v>0.17737582844903044</c:v>
                </c:pt>
                <c:pt idx="7">
                  <c:v>0.26816335421515669</c:v>
                </c:pt>
                <c:pt idx="8">
                  <c:v>0.37603518311597678</c:v>
                </c:pt>
                <c:pt idx="9">
                  <c:v>0.49857504749841669</c:v>
                </c:pt>
                <c:pt idx="10">
                  <c:v>0.611339919242607</c:v>
                </c:pt>
                <c:pt idx="11">
                  <c:v>0.76477694904861981</c:v>
                </c:pt>
                <c:pt idx="12">
                  <c:v>0.87177444403657889</c:v>
                </c:pt>
                <c:pt idx="13">
                  <c:v>1</c:v>
                </c:pt>
              </c:numCache>
            </c:numRef>
          </c:yVal>
          <c:smooth val="1"/>
        </c:ser>
        <c:dLbls>
          <c:showLegendKey val="0"/>
          <c:showVal val="0"/>
          <c:showCatName val="0"/>
          <c:showSerName val="0"/>
          <c:showPercent val="0"/>
          <c:showBubbleSize val="0"/>
        </c:dLbls>
        <c:axId val="90819200"/>
        <c:axId val="90825472"/>
      </c:scatterChart>
      <c:valAx>
        <c:axId val="90819200"/>
        <c:scaling>
          <c:logBase val="10"/>
          <c:orientation val="minMax"/>
        </c:scaling>
        <c:delete val="0"/>
        <c:axPos val="b"/>
        <c:minorGridlines/>
        <c:title>
          <c:tx>
            <c:rich>
              <a:bodyPr/>
              <a:lstStyle/>
              <a:p>
                <a:pPr>
                  <a:defRPr/>
                </a:pPr>
                <a:r>
                  <a:rPr lang="en-US"/>
                  <a:t>Phi Size (mm)</a:t>
                </a:r>
              </a:p>
            </c:rich>
          </c:tx>
          <c:overlay val="0"/>
        </c:title>
        <c:numFmt formatCode="General" sourceLinked="1"/>
        <c:majorTickMark val="out"/>
        <c:minorTickMark val="none"/>
        <c:tickLblPos val="nextTo"/>
        <c:crossAx val="90825472"/>
        <c:crosses val="autoZero"/>
        <c:crossBetween val="midCat"/>
      </c:valAx>
      <c:valAx>
        <c:axId val="90825472"/>
        <c:scaling>
          <c:orientation val="minMax"/>
          <c:max val="1"/>
        </c:scaling>
        <c:delete val="0"/>
        <c:axPos val="l"/>
        <c:majorGridlines/>
        <c:title>
          <c:tx>
            <c:rich>
              <a:bodyPr rot="-5400000" vert="horz"/>
              <a:lstStyle/>
              <a:p>
                <a:pPr>
                  <a:defRPr/>
                </a:pPr>
                <a:r>
                  <a:rPr lang="en-US"/>
                  <a:t>Percent Passing Sieve (%)</a:t>
                </a:r>
              </a:p>
            </c:rich>
          </c:tx>
          <c:overlay val="0"/>
        </c:title>
        <c:numFmt formatCode="0%" sourceLinked="0"/>
        <c:majorTickMark val="out"/>
        <c:minorTickMark val="none"/>
        <c:tickLblPos val="nextTo"/>
        <c:crossAx val="90819200"/>
        <c:crossesAt val="1.0000000000000028E-3"/>
        <c:crossBetween val="midCat"/>
        <c:majorUnit val="0.1"/>
        <c:minorUnit val="4.0000000000000022E-2"/>
      </c:valAx>
    </c:plotArea>
    <c:legend>
      <c:legendPos val="b"/>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PSD - Paradise Creek</a:t>
            </a:r>
          </a:p>
        </c:rich>
      </c:tx>
      <c:overlay val="0"/>
    </c:title>
    <c:autoTitleDeleted val="0"/>
    <c:plotArea>
      <c:layout/>
      <c:scatterChart>
        <c:scatterStyle val="smoothMarker"/>
        <c:varyColors val="0"/>
        <c:ser>
          <c:idx val="0"/>
          <c:order val="0"/>
          <c:tx>
            <c:v>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PSD'!$G$71:$T$71</c:f>
              <c:numCache>
                <c:formatCode>0.00%</c:formatCode>
                <c:ptCount val="14"/>
                <c:pt idx="0">
                  <c:v>1.5510437266889315E-3</c:v>
                </c:pt>
                <c:pt idx="1">
                  <c:v>2.3643943641381933E-3</c:v>
                </c:pt>
                <c:pt idx="2">
                  <c:v>4.2069226691514531E-3</c:v>
                </c:pt>
                <c:pt idx="3">
                  <c:v>1.4926075877947503E-2</c:v>
                </c:pt>
                <c:pt idx="4">
                  <c:v>2.4972412471131349E-2</c:v>
                </c:pt>
                <c:pt idx="5">
                  <c:v>3.5411827819196322E-2</c:v>
                </c:pt>
                <c:pt idx="6">
                  <c:v>5.9614952447627351E-2</c:v>
                </c:pt>
                <c:pt idx="7">
                  <c:v>0.11052256613091758</c:v>
                </c:pt>
                <c:pt idx="8">
                  <c:v>0.21895768353767295</c:v>
                </c:pt>
                <c:pt idx="9">
                  <c:v>0.41467684613143319</c:v>
                </c:pt>
                <c:pt idx="10">
                  <c:v>0.86741992923054434</c:v>
                </c:pt>
                <c:pt idx="11">
                  <c:v>0.99999999999999978</c:v>
                </c:pt>
                <c:pt idx="12">
                  <c:v>0.99999999999999978</c:v>
                </c:pt>
                <c:pt idx="13">
                  <c:v>0.99999999999999978</c:v>
                </c:pt>
              </c:numCache>
            </c:numRef>
          </c:yVal>
          <c:smooth val="1"/>
        </c:ser>
        <c:ser>
          <c:idx val="1"/>
          <c:order val="1"/>
          <c:tx>
            <c:v>Subsurface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PSD'!$G$73:$T$73</c:f>
              <c:numCache>
                <c:formatCode>0.00%</c:formatCode>
                <c:ptCount val="14"/>
                <c:pt idx="0">
                  <c:v>2.8525405679708138E-3</c:v>
                </c:pt>
                <c:pt idx="1">
                  <c:v>4.6747834644912528E-3</c:v>
                </c:pt>
                <c:pt idx="2">
                  <c:v>1.1302519231582469E-2</c:v>
                </c:pt>
                <c:pt idx="3">
                  <c:v>5.3241016611627771E-2</c:v>
                </c:pt>
                <c:pt idx="4">
                  <c:v>9.0381709909695185E-2</c:v>
                </c:pt>
                <c:pt idx="5">
                  <c:v>0.12971370795674289</c:v>
                </c:pt>
                <c:pt idx="6">
                  <c:v>0.20660543828017175</c:v>
                </c:pt>
                <c:pt idx="7">
                  <c:v>0.32709259992541873</c:v>
                </c:pt>
                <c:pt idx="8">
                  <c:v>0.50241235742102641</c:v>
                </c:pt>
                <c:pt idx="9">
                  <c:v>0.65308570308205094</c:v>
                </c:pt>
                <c:pt idx="10">
                  <c:v>0.97489610524413839</c:v>
                </c:pt>
                <c:pt idx="11">
                  <c:v>1.0000000000000002</c:v>
                </c:pt>
                <c:pt idx="12">
                  <c:v>1.0000000000000002</c:v>
                </c:pt>
                <c:pt idx="13">
                  <c:v>1.0000000000000002</c:v>
                </c:pt>
              </c:numCache>
            </c:numRef>
          </c:yVal>
          <c:smooth val="1"/>
        </c:ser>
        <c:dLbls>
          <c:showLegendKey val="0"/>
          <c:showVal val="0"/>
          <c:showCatName val="0"/>
          <c:showSerName val="0"/>
          <c:showPercent val="0"/>
          <c:showBubbleSize val="0"/>
        </c:dLbls>
        <c:axId val="93406720"/>
        <c:axId val="93408640"/>
      </c:scatterChart>
      <c:valAx>
        <c:axId val="93406720"/>
        <c:scaling>
          <c:logBase val="10"/>
          <c:orientation val="minMax"/>
        </c:scaling>
        <c:delete val="0"/>
        <c:axPos val="b"/>
        <c:minorGridlines/>
        <c:title>
          <c:tx>
            <c:rich>
              <a:bodyPr/>
              <a:lstStyle/>
              <a:p>
                <a:pPr>
                  <a:defRPr/>
                </a:pPr>
                <a:r>
                  <a:rPr lang="en-US"/>
                  <a:t>Phi Size (mm)</a:t>
                </a:r>
              </a:p>
            </c:rich>
          </c:tx>
          <c:overlay val="0"/>
        </c:title>
        <c:numFmt formatCode="General" sourceLinked="1"/>
        <c:majorTickMark val="out"/>
        <c:minorTickMark val="none"/>
        <c:tickLblPos val="nextTo"/>
        <c:crossAx val="93408640"/>
        <c:crosses val="autoZero"/>
        <c:crossBetween val="midCat"/>
      </c:valAx>
      <c:valAx>
        <c:axId val="93408640"/>
        <c:scaling>
          <c:orientation val="minMax"/>
          <c:max val="1"/>
        </c:scaling>
        <c:delete val="0"/>
        <c:axPos val="l"/>
        <c:majorGridlines/>
        <c:title>
          <c:tx>
            <c:rich>
              <a:bodyPr rot="-5400000" vert="horz"/>
              <a:lstStyle/>
              <a:p>
                <a:pPr>
                  <a:defRPr/>
                </a:pPr>
                <a:r>
                  <a:rPr lang="en-US"/>
                  <a:t>Percent Passing Sieve (%)</a:t>
                </a:r>
              </a:p>
            </c:rich>
          </c:tx>
          <c:overlay val="0"/>
        </c:title>
        <c:numFmt formatCode="0%" sourceLinked="0"/>
        <c:majorTickMark val="out"/>
        <c:minorTickMark val="none"/>
        <c:tickLblPos val="nextTo"/>
        <c:crossAx val="93406720"/>
        <c:crossesAt val="1.0000000000000028E-3"/>
        <c:crossBetween val="midCat"/>
        <c:majorUnit val="0.1"/>
        <c:minorUnit val="4.0000000000000022E-2"/>
      </c:valAx>
    </c:plotArea>
    <c:legend>
      <c:legendPos val="b"/>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PSD - South</a:t>
            </a:r>
            <a:r>
              <a:rPr lang="en-US" baseline="0"/>
              <a:t> Fork Sprague River</a:t>
            </a:r>
            <a:endParaRPr lang="en-US"/>
          </a:p>
        </c:rich>
      </c:tx>
      <c:overlay val="0"/>
    </c:title>
    <c:autoTitleDeleted val="0"/>
    <c:plotArea>
      <c:layout/>
      <c:scatterChart>
        <c:scatterStyle val="smoothMarker"/>
        <c:varyColors val="0"/>
        <c:ser>
          <c:idx val="0"/>
          <c:order val="0"/>
          <c:tx>
            <c:v>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PSD'!$G$88:$T$88</c:f>
              <c:numCache>
                <c:formatCode>0.00%</c:formatCode>
                <c:ptCount val="14"/>
                <c:pt idx="0">
                  <c:v>7.9814669333848711E-4</c:v>
                </c:pt>
                <c:pt idx="1">
                  <c:v>1.8949709228633894E-3</c:v>
                </c:pt>
                <c:pt idx="2">
                  <c:v>6.3299558509423409E-3</c:v>
                </c:pt>
                <c:pt idx="3">
                  <c:v>1.7029639353149797E-2</c:v>
                </c:pt>
                <c:pt idx="4">
                  <c:v>2.7631436940136499E-2</c:v>
                </c:pt>
                <c:pt idx="5">
                  <c:v>4.679072242315329E-2</c:v>
                </c:pt>
                <c:pt idx="6">
                  <c:v>7.2494559802019465E-2</c:v>
                </c:pt>
                <c:pt idx="7">
                  <c:v>0.10089276974471854</c:v>
                </c:pt>
                <c:pt idx="8">
                  <c:v>0.14901875644729345</c:v>
                </c:pt>
                <c:pt idx="9">
                  <c:v>0.22514011490300509</c:v>
                </c:pt>
                <c:pt idx="10">
                  <c:v>0.42963006653732361</c:v>
                </c:pt>
                <c:pt idx="11">
                  <c:v>0.67838202111825885</c:v>
                </c:pt>
                <c:pt idx="12">
                  <c:v>1.0000000000000002</c:v>
                </c:pt>
                <c:pt idx="13">
                  <c:v>1.0000000000000002</c:v>
                </c:pt>
              </c:numCache>
            </c:numRef>
          </c:yVal>
          <c:smooth val="1"/>
        </c:ser>
        <c:ser>
          <c:idx val="1"/>
          <c:order val="1"/>
          <c:tx>
            <c:v>Subsurface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PSD'!$G$90:$T$90</c:f>
              <c:numCache>
                <c:formatCode>0.00%</c:formatCode>
                <c:ptCount val="14"/>
                <c:pt idx="0">
                  <c:v>1.9479057715896719E-3</c:v>
                </c:pt>
                <c:pt idx="1">
                  <c:v>4.2005546631057149E-3</c:v>
                </c:pt>
                <c:pt idx="2">
                  <c:v>1.5155993255835677E-2</c:v>
                </c:pt>
                <c:pt idx="3">
                  <c:v>4.6388334617133917E-2</c:v>
                </c:pt>
                <c:pt idx="4">
                  <c:v>7.5531883940343852E-2</c:v>
                </c:pt>
                <c:pt idx="5">
                  <c:v>0.13059697492683869</c:v>
                </c:pt>
                <c:pt idx="6">
                  <c:v>0.20633559414954469</c:v>
                </c:pt>
                <c:pt idx="7">
                  <c:v>0.29386271858427671</c:v>
                </c:pt>
                <c:pt idx="8">
                  <c:v>0.41762977233085602</c:v>
                </c:pt>
                <c:pt idx="9">
                  <c:v>0.54907053348422463</c:v>
                </c:pt>
                <c:pt idx="10">
                  <c:v>0.71547252794371907</c:v>
                </c:pt>
                <c:pt idx="11">
                  <c:v>0.80116659954150715</c:v>
                </c:pt>
                <c:pt idx="12">
                  <c:v>1</c:v>
                </c:pt>
                <c:pt idx="13">
                  <c:v>1</c:v>
                </c:pt>
              </c:numCache>
            </c:numRef>
          </c:yVal>
          <c:smooth val="1"/>
        </c:ser>
        <c:dLbls>
          <c:showLegendKey val="0"/>
          <c:showVal val="0"/>
          <c:showCatName val="0"/>
          <c:showSerName val="0"/>
          <c:showPercent val="0"/>
          <c:showBubbleSize val="0"/>
        </c:dLbls>
        <c:axId val="93451008"/>
        <c:axId val="93452928"/>
      </c:scatterChart>
      <c:valAx>
        <c:axId val="93451008"/>
        <c:scaling>
          <c:logBase val="10"/>
          <c:orientation val="minMax"/>
        </c:scaling>
        <c:delete val="0"/>
        <c:axPos val="b"/>
        <c:minorGridlines/>
        <c:title>
          <c:tx>
            <c:rich>
              <a:bodyPr/>
              <a:lstStyle/>
              <a:p>
                <a:pPr>
                  <a:defRPr/>
                </a:pPr>
                <a:r>
                  <a:rPr lang="en-US"/>
                  <a:t>Phi Size (mm)</a:t>
                </a:r>
              </a:p>
            </c:rich>
          </c:tx>
          <c:overlay val="0"/>
        </c:title>
        <c:numFmt formatCode="General" sourceLinked="1"/>
        <c:majorTickMark val="out"/>
        <c:minorTickMark val="none"/>
        <c:tickLblPos val="nextTo"/>
        <c:crossAx val="93452928"/>
        <c:crosses val="autoZero"/>
        <c:crossBetween val="midCat"/>
      </c:valAx>
      <c:valAx>
        <c:axId val="93452928"/>
        <c:scaling>
          <c:orientation val="minMax"/>
          <c:max val="1"/>
        </c:scaling>
        <c:delete val="0"/>
        <c:axPos val="l"/>
        <c:majorGridlines/>
        <c:title>
          <c:tx>
            <c:rich>
              <a:bodyPr rot="-5400000" vert="horz"/>
              <a:lstStyle/>
              <a:p>
                <a:pPr>
                  <a:defRPr/>
                </a:pPr>
                <a:r>
                  <a:rPr lang="en-US"/>
                  <a:t>Percent Passing Sieve (%)</a:t>
                </a:r>
              </a:p>
            </c:rich>
          </c:tx>
          <c:overlay val="0"/>
        </c:title>
        <c:numFmt formatCode="0%" sourceLinked="0"/>
        <c:majorTickMark val="out"/>
        <c:minorTickMark val="none"/>
        <c:tickLblPos val="nextTo"/>
        <c:crossAx val="93451008"/>
        <c:crossesAt val="1.0000000000000028E-3"/>
        <c:crossBetween val="midCat"/>
        <c:majorUnit val="0.1"/>
        <c:minorUnit val="4.0000000000000022E-2"/>
      </c:valAx>
    </c:plotArea>
    <c:legend>
      <c:legendPos val="b"/>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PSD - Sycan</a:t>
            </a:r>
            <a:r>
              <a:rPr lang="en-US" baseline="0"/>
              <a:t> River above Marsh</a:t>
            </a:r>
          </a:p>
        </c:rich>
      </c:tx>
      <c:overlay val="0"/>
    </c:title>
    <c:autoTitleDeleted val="0"/>
    <c:plotArea>
      <c:layout/>
      <c:scatterChart>
        <c:scatterStyle val="smoothMarker"/>
        <c:varyColors val="0"/>
        <c:ser>
          <c:idx val="0"/>
          <c:order val="0"/>
          <c:tx>
            <c:v>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PSD'!$G$115:$T$115</c:f>
              <c:numCache>
                <c:formatCode>0.00%</c:formatCode>
                <c:ptCount val="14"/>
                <c:pt idx="0">
                  <c:v>3.769091241058902E-3</c:v>
                </c:pt>
                <c:pt idx="1">
                  <c:v>4.7150023953773188E-3</c:v>
                </c:pt>
                <c:pt idx="2">
                  <c:v>8.7489016367281302E-3</c:v>
                </c:pt>
                <c:pt idx="3">
                  <c:v>3.9757351598813329E-2</c:v>
                </c:pt>
                <c:pt idx="4">
                  <c:v>6.582860767777271E-2</c:v>
                </c:pt>
                <c:pt idx="5">
                  <c:v>9.939134349919794E-2</c:v>
                </c:pt>
                <c:pt idx="6">
                  <c:v>0.14778897452384301</c:v>
                </c:pt>
                <c:pt idx="7">
                  <c:v>0.21023681909358757</c:v>
                </c:pt>
                <c:pt idx="8">
                  <c:v>0.29780550638504577</c:v>
                </c:pt>
                <c:pt idx="9">
                  <c:v>0.49689773086435651</c:v>
                </c:pt>
                <c:pt idx="10">
                  <c:v>0.73217249846810739</c:v>
                </c:pt>
                <c:pt idx="11">
                  <c:v>0.82289514382985507</c:v>
                </c:pt>
                <c:pt idx="12">
                  <c:v>0.99999999999999967</c:v>
                </c:pt>
                <c:pt idx="13">
                  <c:v>0.99999999999999967</c:v>
                </c:pt>
              </c:numCache>
            </c:numRef>
          </c:yVal>
          <c:smooth val="1"/>
        </c:ser>
        <c:ser>
          <c:idx val="1"/>
          <c:order val="1"/>
          <c:tx>
            <c:v>Subsurface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PSD'!$G$117:$T$117</c:f>
              <c:numCache>
                <c:formatCode>0.00%</c:formatCode>
                <c:ptCount val="14"/>
                <c:pt idx="0">
                  <c:v>5.1212554453312917E-3</c:v>
                </c:pt>
                <c:pt idx="1">
                  <c:v>7.1631593054026039E-3</c:v>
                </c:pt>
                <c:pt idx="2">
                  <c:v>1.839480323585551E-2</c:v>
                </c:pt>
                <c:pt idx="3">
                  <c:v>9.0212236287623052E-2</c:v>
                </c:pt>
                <c:pt idx="4">
                  <c:v>0.14706311963369306</c:v>
                </c:pt>
                <c:pt idx="5">
                  <c:v>0.21941954903164568</c:v>
                </c:pt>
                <c:pt idx="6">
                  <c:v>0.31729914994055236</c:v>
                </c:pt>
                <c:pt idx="7">
                  <c:v>0.4274405695363156</c:v>
                </c:pt>
                <c:pt idx="8">
                  <c:v>0.55777369290867485</c:v>
                </c:pt>
                <c:pt idx="9">
                  <c:v>0.75520512972989762</c:v>
                </c:pt>
                <c:pt idx="10">
                  <c:v>0.94701586994193654</c:v>
                </c:pt>
                <c:pt idx="11">
                  <c:v>1</c:v>
                </c:pt>
                <c:pt idx="12">
                  <c:v>1</c:v>
                </c:pt>
                <c:pt idx="13">
                  <c:v>1</c:v>
                </c:pt>
              </c:numCache>
            </c:numRef>
          </c:yVal>
          <c:smooth val="1"/>
        </c:ser>
        <c:dLbls>
          <c:showLegendKey val="0"/>
          <c:showVal val="0"/>
          <c:showCatName val="0"/>
          <c:showSerName val="0"/>
          <c:showPercent val="0"/>
          <c:showBubbleSize val="0"/>
        </c:dLbls>
        <c:axId val="93552640"/>
        <c:axId val="93554560"/>
      </c:scatterChart>
      <c:valAx>
        <c:axId val="93552640"/>
        <c:scaling>
          <c:logBase val="10"/>
          <c:orientation val="minMax"/>
        </c:scaling>
        <c:delete val="0"/>
        <c:axPos val="b"/>
        <c:minorGridlines/>
        <c:title>
          <c:tx>
            <c:rich>
              <a:bodyPr/>
              <a:lstStyle/>
              <a:p>
                <a:pPr>
                  <a:defRPr/>
                </a:pPr>
                <a:r>
                  <a:rPr lang="en-US"/>
                  <a:t>Phi Size (mm)</a:t>
                </a:r>
              </a:p>
            </c:rich>
          </c:tx>
          <c:overlay val="0"/>
        </c:title>
        <c:numFmt formatCode="General" sourceLinked="1"/>
        <c:majorTickMark val="out"/>
        <c:minorTickMark val="none"/>
        <c:tickLblPos val="nextTo"/>
        <c:crossAx val="93554560"/>
        <c:crosses val="autoZero"/>
        <c:crossBetween val="midCat"/>
      </c:valAx>
      <c:valAx>
        <c:axId val="93554560"/>
        <c:scaling>
          <c:orientation val="minMax"/>
          <c:max val="1"/>
        </c:scaling>
        <c:delete val="0"/>
        <c:axPos val="l"/>
        <c:majorGridlines/>
        <c:title>
          <c:tx>
            <c:rich>
              <a:bodyPr rot="-5400000" vert="horz"/>
              <a:lstStyle/>
              <a:p>
                <a:pPr>
                  <a:defRPr/>
                </a:pPr>
                <a:r>
                  <a:rPr lang="en-US"/>
                  <a:t>Percent Passing Sieve (%)</a:t>
                </a:r>
              </a:p>
            </c:rich>
          </c:tx>
          <c:overlay val="0"/>
        </c:title>
        <c:numFmt formatCode="0%" sourceLinked="0"/>
        <c:majorTickMark val="out"/>
        <c:minorTickMark val="none"/>
        <c:tickLblPos val="nextTo"/>
        <c:crossAx val="93552640"/>
        <c:crossesAt val="1.0000000000000028E-3"/>
        <c:crossBetween val="midCat"/>
        <c:majorUnit val="0.1"/>
        <c:minorUnit val="4.0000000000000022E-2"/>
      </c:valAx>
    </c:plotArea>
    <c:legend>
      <c:legendPos val="b"/>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PSD - Cherry</a:t>
            </a:r>
            <a:r>
              <a:rPr lang="en-US" baseline="0"/>
              <a:t> Creek</a:t>
            </a:r>
          </a:p>
        </c:rich>
      </c:tx>
      <c:overlay val="0"/>
    </c:title>
    <c:autoTitleDeleted val="0"/>
    <c:plotArea>
      <c:layout/>
      <c:scatterChart>
        <c:scatterStyle val="smoothMarker"/>
        <c:varyColors val="0"/>
        <c:ser>
          <c:idx val="0"/>
          <c:order val="0"/>
          <c:tx>
            <c:v>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PSD'!$G$130:$T$130</c:f>
              <c:numCache>
                <c:formatCode>0.00%</c:formatCode>
                <c:ptCount val="14"/>
                <c:pt idx="0">
                  <c:v>1.8405446559119929E-4</c:v>
                </c:pt>
                <c:pt idx="1">
                  <c:v>2.9545585265955675E-4</c:v>
                </c:pt>
                <c:pt idx="2">
                  <c:v>1.4252112236897471E-3</c:v>
                </c:pt>
                <c:pt idx="3">
                  <c:v>4.0685723972791422E-3</c:v>
                </c:pt>
                <c:pt idx="4">
                  <c:v>1.4699534112133974E-2</c:v>
                </c:pt>
                <c:pt idx="5">
                  <c:v>4.2175112082509687E-2</c:v>
                </c:pt>
                <c:pt idx="6">
                  <c:v>7.9637461138171023E-2</c:v>
                </c:pt>
                <c:pt idx="7">
                  <c:v>0.11695753124839178</c:v>
                </c:pt>
                <c:pt idx="8">
                  <c:v>0.16287669864411192</c:v>
                </c:pt>
                <c:pt idx="9">
                  <c:v>0.22451980855913803</c:v>
                </c:pt>
                <c:pt idx="10">
                  <c:v>0.35603943851279152</c:v>
                </c:pt>
                <c:pt idx="11">
                  <c:v>0.59778044845112732</c:v>
                </c:pt>
                <c:pt idx="12">
                  <c:v>0.99999999999999978</c:v>
                </c:pt>
                <c:pt idx="13">
                  <c:v>0.99999999999999978</c:v>
                </c:pt>
              </c:numCache>
            </c:numRef>
          </c:yVal>
          <c:smooth val="1"/>
        </c:ser>
        <c:ser>
          <c:idx val="1"/>
          <c:order val="1"/>
          <c:tx>
            <c:v>Subsurface</c:v>
          </c:tx>
          <c:xVal>
            <c:numRef>
              <c:f>'Klamath PSD'!$G$134:$T$134</c:f>
              <c:numCache>
                <c:formatCode>General</c:formatCode>
                <c:ptCount val="14"/>
                <c:pt idx="0">
                  <c:v>1E-3</c:v>
                </c:pt>
                <c:pt idx="1">
                  <c:v>6.25E-2</c:v>
                </c:pt>
                <c:pt idx="2">
                  <c:v>0.125</c:v>
                </c:pt>
                <c:pt idx="3">
                  <c:v>0.25</c:v>
                </c:pt>
                <c:pt idx="4">
                  <c:v>0.5</c:v>
                </c:pt>
                <c:pt idx="5">
                  <c:v>1</c:v>
                </c:pt>
                <c:pt idx="6">
                  <c:v>2</c:v>
                </c:pt>
                <c:pt idx="7">
                  <c:v>4</c:v>
                </c:pt>
                <c:pt idx="8">
                  <c:v>8</c:v>
                </c:pt>
                <c:pt idx="9">
                  <c:v>16</c:v>
                </c:pt>
                <c:pt idx="10">
                  <c:v>31.5</c:v>
                </c:pt>
                <c:pt idx="11">
                  <c:v>63</c:v>
                </c:pt>
                <c:pt idx="12">
                  <c:v>126</c:v>
                </c:pt>
                <c:pt idx="13">
                  <c:v>253</c:v>
                </c:pt>
              </c:numCache>
            </c:numRef>
          </c:xVal>
          <c:yVal>
            <c:numRef>
              <c:f>'Klamath PSD'!$G$132:$T$132</c:f>
              <c:numCache>
                <c:formatCode>0.00%</c:formatCode>
                <c:ptCount val="14"/>
                <c:pt idx="0">
                  <c:v>6.9587528670839323E-4</c:v>
                </c:pt>
                <c:pt idx="1">
                  <c:v>9.4467985849239981E-4</c:v>
                </c:pt>
                <c:pt idx="2">
                  <c:v>1.7882828596975471E-3</c:v>
                </c:pt>
                <c:pt idx="3">
                  <c:v>6.0062978657232828E-3</c:v>
                </c:pt>
                <c:pt idx="4">
                  <c:v>2.5968977179955683E-2</c:v>
                </c:pt>
                <c:pt idx="5">
                  <c:v>7.1951172102787397E-2</c:v>
                </c:pt>
                <c:pt idx="6">
                  <c:v>0.13609610076585157</c:v>
                </c:pt>
                <c:pt idx="7">
                  <c:v>0.21233526416047896</c:v>
                </c:pt>
                <c:pt idx="8">
                  <c:v>0.30936515958480743</c:v>
                </c:pt>
                <c:pt idx="9">
                  <c:v>0.47833456439762073</c:v>
                </c:pt>
                <c:pt idx="10">
                  <c:v>0.70046262100066092</c:v>
                </c:pt>
                <c:pt idx="11">
                  <c:v>0.78105197683007421</c:v>
                </c:pt>
                <c:pt idx="12">
                  <c:v>1</c:v>
                </c:pt>
                <c:pt idx="13">
                  <c:v>1</c:v>
                </c:pt>
              </c:numCache>
            </c:numRef>
          </c:yVal>
          <c:smooth val="1"/>
        </c:ser>
        <c:dLbls>
          <c:showLegendKey val="0"/>
          <c:showVal val="0"/>
          <c:showCatName val="0"/>
          <c:showSerName val="0"/>
          <c:showPercent val="0"/>
          <c:showBubbleSize val="0"/>
        </c:dLbls>
        <c:axId val="93572480"/>
        <c:axId val="95622656"/>
      </c:scatterChart>
      <c:valAx>
        <c:axId val="93572480"/>
        <c:scaling>
          <c:logBase val="10"/>
          <c:orientation val="minMax"/>
        </c:scaling>
        <c:delete val="0"/>
        <c:axPos val="b"/>
        <c:minorGridlines/>
        <c:title>
          <c:tx>
            <c:rich>
              <a:bodyPr/>
              <a:lstStyle/>
              <a:p>
                <a:pPr>
                  <a:defRPr/>
                </a:pPr>
                <a:r>
                  <a:rPr lang="en-US"/>
                  <a:t>Phi Size (mm)</a:t>
                </a:r>
              </a:p>
            </c:rich>
          </c:tx>
          <c:overlay val="0"/>
        </c:title>
        <c:numFmt formatCode="General" sourceLinked="1"/>
        <c:majorTickMark val="out"/>
        <c:minorTickMark val="none"/>
        <c:tickLblPos val="nextTo"/>
        <c:crossAx val="95622656"/>
        <c:crosses val="autoZero"/>
        <c:crossBetween val="midCat"/>
      </c:valAx>
      <c:valAx>
        <c:axId val="95622656"/>
        <c:scaling>
          <c:orientation val="minMax"/>
          <c:max val="1"/>
        </c:scaling>
        <c:delete val="0"/>
        <c:axPos val="l"/>
        <c:majorGridlines/>
        <c:title>
          <c:tx>
            <c:rich>
              <a:bodyPr rot="-5400000" vert="horz"/>
              <a:lstStyle/>
              <a:p>
                <a:pPr>
                  <a:defRPr/>
                </a:pPr>
                <a:r>
                  <a:rPr lang="en-US"/>
                  <a:t>Percent Passing Sieve (%)</a:t>
                </a:r>
              </a:p>
            </c:rich>
          </c:tx>
          <c:overlay val="0"/>
        </c:title>
        <c:numFmt formatCode="0%" sourceLinked="0"/>
        <c:majorTickMark val="out"/>
        <c:minorTickMark val="none"/>
        <c:tickLblPos val="nextTo"/>
        <c:crossAx val="93572480"/>
        <c:crossesAt val="1.0000000000000028E-3"/>
        <c:crossBetween val="midCat"/>
        <c:majorUnit val="0.1"/>
        <c:minorUnit val="4.0000000000000022E-2"/>
      </c:valAx>
    </c:plotArea>
    <c:legend>
      <c:legendPos val="b"/>
      <c:overlay val="0"/>
    </c:legend>
    <c:plotVisOnly val="1"/>
    <c:dispBlanksAs val="gap"/>
    <c:showDLblsOverMax val="0"/>
  </c:chart>
  <c:printSettings>
    <c:headerFooter/>
    <c:pageMargins b="0.75000000000000133" l="0.70000000000000062" r="0.70000000000000062" t="0.75000000000000133"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Bedload Samples per Year</a:t>
            </a:r>
          </a:p>
        </c:rich>
      </c:tx>
      <c:overlay val="0"/>
    </c:title>
    <c:autoTitleDeleted val="0"/>
    <c:plotArea>
      <c:layout/>
      <c:barChart>
        <c:barDir val="col"/>
        <c:grouping val="clustered"/>
        <c:varyColors val="0"/>
        <c:ser>
          <c:idx val="0"/>
          <c:order val="0"/>
          <c:tx>
            <c:v>Sampling Years</c:v>
          </c:tx>
          <c:invertIfNegative val="0"/>
          <c:cat>
            <c:strRef>
              <c:f>Figures!$D$5:$D$18</c:f>
              <c:strCache>
                <c:ptCount val="14"/>
                <c:pt idx="0">
                  <c:v>1970-72</c:v>
                </c:pt>
                <c:pt idx="1">
                  <c:v>1973-75</c:v>
                </c:pt>
                <c:pt idx="2">
                  <c:v>1976-78</c:v>
                </c:pt>
                <c:pt idx="3">
                  <c:v>1979-81</c:v>
                </c:pt>
                <c:pt idx="4">
                  <c:v>1982-84</c:v>
                </c:pt>
                <c:pt idx="5">
                  <c:v>1985-87</c:v>
                </c:pt>
                <c:pt idx="6">
                  <c:v>1988-90</c:v>
                </c:pt>
                <c:pt idx="7">
                  <c:v>1991-93</c:v>
                </c:pt>
                <c:pt idx="8">
                  <c:v>1994-96</c:v>
                </c:pt>
                <c:pt idx="9">
                  <c:v>1997-99</c:v>
                </c:pt>
                <c:pt idx="10">
                  <c:v>2000-02</c:v>
                </c:pt>
                <c:pt idx="11">
                  <c:v>2003-05</c:v>
                </c:pt>
                <c:pt idx="12">
                  <c:v>2006-09</c:v>
                </c:pt>
                <c:pt idx="13">
                  <c:v>2010-12</c:v>
                </c:pt>
              </c:strCache>
            </c:strRef>
          </c:cat>
          <c:val>
            <c:numRef>
              <c:f>Figures!$E$5:$E$18</c:f>
              <c:numCache>
                <c:formatCode>General</c:formatCode>
                <c:ptCount val="14"/>
                <c:pt idx="0">
                  <c:v>145</c:v>
                </c:pt>
                <c:pt idx="1">
                  <c:v>130</c:v>
                </c:pt>
                <c:pt idx="2">
                  <c:v>634</c:v>
                </c:pt>
                <c:pt idx="3">
                  <c:v>366</c:v>
                </c:pt>
                <c:pt idx="4">
                  <c:v>576</c:v>
                </c:pt>
                <c:pt idx="5">
                  <c:v>426</c:v>
                </c:pt>
                <c:pt idx="6">
                  <c:v>824</c:v>
                </c:pt>
                <c:pt idx="7">
                  <c:v>1205</c:v>
                </c:pt>
                <c:pt idx="8">
                  <c:v>2094</c:v>
                </c:pt>
                <c:pt idx="9">
                  <c:v>655</c:v>
                </c:pt>
                <c:pt idx="10">
                  <c:v>92</c:v>
                </c:pt>
                <c:pt idx="11">
                  <c:v>41</c:v>
                </c:pt>
                <c:pt idx="12">
                  <c:v>125</c:v>
                </c:pt>
                <c:pt idx="13">
                  <c:v>45</c:v>
                </c:pt>
              </c:numCache>
            </c:numRef>
          </c:val>
        </c:ser>
        <c:dLbls>
          <c:showLegendKey val="0"/>
          <c:showVal val="0"/>
          <c:showCatName val="0"/>
          <c:showSerName val="0"/>
          <c:showPercent val="0"/>
          <c:showBubbleSize val="0"/>
        </c:dLbls>
        <c:gapWidth val="150"/>
        <c:axId val="98704000"/>
        <c:axId val="98718464"/>
      </c:barChart>
      <c:catAx>
        <c:axId val="98704000"/>
        <c:scaling>
          <c:orientation val="minMax"/>
        </c:scaling>
        <c:delete val="0"/>
        <c:axPos val="b"/>
        <c:title>
          <c:tx>
            <c:rich>
              <a:bodyPr/>
              <a:lstStyle/>
              <a:p>
                <a:pPr>
                  <a:defRPr/>
                </a:pPr>
                <a:r>
                  <a:rPr lang="en-US"/>
                  <a:t>Years</a:t>
                </a:r>
              </a:p>
            </c:rich>
          </c:tx>
          <c:overlay val="0"/>
        </c:title>
        <c:numFmt formatCode="General" sourceLinked="1"/>
        <c:majorTickMark val="out"/>
        <c:minorTickMark val="none"/>
        <c:tickLblPos val="nextTo"/>
        <c:crossAx val="98718464"/>
        <c:crosses val="autoZero"/>
        <c:auto val="1"/>
        <c:lblAlgn val="ctr"/>
        <c:lblOffset val="100"/>
        <c:tickLblSkip val="1"/>
        <c:noMultiLvlLbl val="0"/>
      </c:catAx>
      <c:valAx>
        <c:axId val="98718464"/>
        <c:scaling>
          <c:orientation val="minMax"/>
        </c:scaling>
        <c:delete val="0"/>
        <c:axPos val="l"/>
        <c:majorGridlines/>
        <c:title>
          <c:tx>
            <c:rich>
              <a:bodyPr rot="-5400000" vert="horz"/>
              <a:lstStyle/>
              <a:p>
                <a:pPr>
                  <a:defRPr/>
                </a:pPr>
                <a:r>
                  <a:rPr lang="en-US"/>
                  <a:t>Number of Samples</a:t>
                </a:r>
              </a:p>
            </c:rich>
          </c:tx>
          <c:overlay val="0"/>
        </c:title>
        <c:numFmt formatCode="General" sourceLinked="1"/>
        <c:majorTickMark val="out"/>
        <c:minorTickMark val="none"/>
        <c:tickLblPos val="nextTo"/>
        <c:crossAx val="98704000"/>
        <c:crosses val="autoZero"/>
        <c:crossBetween val="between"/>
      </c:valAx>
    </c:plotArea>
    <c:legend>
      <c:legendPos val="b"/>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15"/>
      <c:rotY val="20"/>
      <c:rAngAx val="1"/>
    </c:view3D>
    <c:floor>
      <c:thickness val="0"/>
    </c:floor>
    <c:sideWall>
      <c:thickness val="0"/>
    </c:sideWall>
    <c:backWall>
      <c:thickness val="0"/>
    </c:backWall>
    <c:plotArea>
      <c:layout/>
      <c:bar3DChart>
        <c:barDir val="bar"/>
        <c:grouping val="stacked"/>
        <c:varyColors val="0"/>
        <c:ser>
          <c:idx val="0"/>
          <c:order val="0"/>
          <c:tx>
            <c:v>Count</c:v>
          </c:tx>
          <c:invertIfNegative val="0"/>
          <c:cat>
            <c:strRef>
              <c:f>Figures!$P$2:$P$6</c:f>
              <c:strCache>
                <c:ptCount val="5"/>
                <c:pt idx="0">
                  <c:v>0 - 0.5</c:v>
                </c:pt>
                <c:pt idx="1">
                  <c:v>0.5 - 1.0</c:v>
                </c:pt>
                <c:pt idx="2">
                  <c:v>1.0 - 1.5</c:v>
                </c:pt>
                <c:pt idx="3">
                  <c:v>1.5 - 2.0</c:v>
                </c:pt>
                <c:pt idx="4">
                  <c:v>&gt; 2.0</c:v>
                </c:pt>
              </c:strCache>
            </c:strRef>
          </c:cat>
          <c:val>
            <c:numRef>
              <c:f>Figures!$Q$2:$Q$6</c:f>
              <c:numCache>
                <c:formatCode>General</c:formatCode>
                <c:ptCount val="5"/>
                <c:pt idx="0">
                  <c:v>0</c:v>
                </c:pt>
                <c:pt idx="1">
                  <c:v>0</c:v>
                </c:pt>
                <c:pt idx="2">
                  <c:v>0</c:v>
                </c:pt>
                <c:pt idx="3">
                  <c:v>0</c:v>
                </c:pt>
                <c:pt idx="4">
                  <c:v>0</c:v>
                </c:pt>
              </c:numCache>
            </c:numRef>
          </c:val>
        </c:ser>
        <c:dLbls>
          <c:showLegendKey val="0"/>
          <c:showVal val="0"/>
          <c:showCatName val="0"/>
          <c:showSerName val="0"/>
          <c:showPercent val="0"/>
          <c:showBubbleSize val="0"/>
        </c:dLbls>
        <c:gapWidth val="150"/>
        <c:shape val="cylinder"/>
        <c:axId val="98752000"/>
        <c:axId val="98753536"/>
        <c:axId val="0"/>
      </c:bar3DChart>
      <c:catAx>
        <c:axId val="98752000"/>
        <c:scaling>
          <c:orientation val="minMax"/>
        </c:scaling>
        <c:delete val="0"/>
        <c:axPos val="l"/>
        <c:majorTickMark val="out"/>
        <c:minorTickMark val="none"/>
        <c:tickLblPos val="nextTo"/>
        <c:crossAx val="98753536"/>
        <c:crosses val="autoZero"/>
        <c:auto val="1"/>
        <c:lblAlgn val="ctr"/>
        <c:lblOffset val="100"/>
        <c:noMultiLvlLbl val="0"/>
      </c:catAx>
      <c:valAx>
        <c:axId val="98753536"/>
        <c:scaling>
          <c:orientation val="minMax"/>
        </c:scaling>
        <c:delete val="0"/>
        <c:axPos val="b"/>
        <c:majorGridlines/>
        <c:numFmt formatCode="General" sourceLinked="1"/>
        <c:majorTickMark val="out"/>
        <c:minorTickMark val="none"/>
        <c:tickLblPos val="nextTo"/>
        <c:crossAx val="987520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0"/>
      <c:rotY val="0"/>
      <c:rAngAx val="0"/>
      <c:perspective val="20"/>
    </c:view3D>
    <c:floor>
      <c:thickness val="0"/>
    </c:floor>
    <c:sideWall>
      <c:thickness val="0"/>
    </c:sideWall>
    <c:backWall>
      <c:thickness val="0"/>
    </c:backWall>
    <c:plotArea>
      <c:layout/>
      <c:bar3DChart>
        <c:barDir val="col"/>
        <c:grouping val="clustered"/>
        <c:varyColors val="0"/>
        <c:ser>
          <c:idx val="0"/>
          <c:order val="0"/>
          <c:spPr>
            <a:ln w="28575">
              <a:noFill/>
            </a:ln>
          </c:spPr>
          <c:invertIfNegative val="0"/>
          <c:cat>
            <c:strRef>
              <c:f>Figures!$P$10:$P$24</c:f>
              <c:strCache>
                <c:ptCount val="15"/>
                <c:pt idx="0">
                  <c:v>&lt; 1</c:v>
                </c:pt>
                <c:pt idx="1">
                  <c:v>1.0 - 1.5</c:v>
                </c:pt>
                <c:pt idx="2">
                  <c:v>1.5 - 2.0</c:v>
                </c:pt>
                <c:pt idx="3">
                  <c:v>2.0 - 2.5</c:v>
                </c:pt>
                <c:pt idx="4">
                  <c:v>2.5 - 3.0</c:v>
                </c:pt>
                <c:pt idx="5">
                  <c:v>3.0 - 3.5</c:v>
                </c:pt>
                <c:pt idx="6">
                  <c:v>3.5 - 4.0</c:v>
                </c:pt>
                <c:pt idx="7">
                  <c:v>4.0 - 4.5</c:v>
                </c:pt>
                <c:pt idx="8">
                  <c:v>4.5 - 5.0</c:v>
                </c:pt>
                <c:pt idx="9">
                  <c:v>5.0 - 6.0</c:v>
                </c:pt>
                <c:pt idx="10">
                  <c:v>6.0 - 7.0</c:v>
                </c:pt>
                <c:pt idx="11">
                  <c:v>7.0 - 8.0</c:v>
                </c:pt>
                <c:pt idx="12">
                  <c:v>8.0 - 9.0</c:v>
                </c:pt>
                <c:pt idx="13">
                  <c:v>9.0 - 10.0</c:v>
                </c:pt>
                <c:pt idx="14">
                  <c:v>&gt; 10</c:v>
                </c:pt>
              </c:strCache>
            </c:strRef>
          </c:cat>
          <c:val>
            <c:numRef>
              <c:f>Figures!$Q$10:$Q$24</c:f>
              <c:numCache>
                <c:formatCode>General</c:formatCode>
                <c:ptCount val="15"/>
                <c:pt idx="0">
                  <c:v>2</c:v>
                </c:pt>
                <c:pt idx="1">
                  <c:v>7</c:v>
                </c:pt>
                <c:pt idx="2">
                  <c:v>10</c:v>
                </c:pt>
                <c:pt idx="3">
                  <c:v>5</c:v>
                </c:pt>
                <c:pt idx="4">
                  <c:v>11</c:v>
                </c:pt>
                <c:pt idx="5">
                  <c:v>10</c:v>
                </c:pt>
                <c:pt idx="6">
                  <c:v>7</c:v>
                </c:pt>
                <c:pt idx="7">
                  <c:v>7</c:v>
                </c:pt>
                <c:pt idx="8">
                  <c:v>8</c:v>
                </c:pt>
                <c:pt idx="9">
                  <c:v>10</c:v>
                </c:pt>
                <c:pt idx="10">
                  <c:v>4</c:v>
                </c:pt>
                <c:pt idx="11">
                  <c:v>3</c:v>
                </c:pt>
                <c:pt idx="12">
                  <c:v>1</c:v>
                </c:pt>
                <c:pt idx="13">
                  <c:v>0</c:v>
                </c:pt>
                <c:pt idx="14">
                  <c:v>4</c:v>
                </c:pt>
              </c:numCache>
            </c:numRef>
          </c:val>
        </c:ser>
        <c:dLbls>
          <c:showLegendKey val="0"/>
          <c:showVal val="0"/>
          <c:showCatName val="0"/>
          <c:showSerName val="0"/>
          <c:showPercent val="0"/>
          <c:showBubbleSize val="0"/>
        </c:dLbls>
        <c:gapWidth val="150"/>
        <c:shape val="cylinder"/>
        <c:axId val="98766208"/>
        <c:axId val="98788480"/>
        <c:axId val="0"/>
      </c:bar3DChart>
      <c:catAx>
        <c:axId val="98766208"/>
        <c:scaling>
          <c:orientation val="minMax"/>
        </c:scaling>
        <c:delete val="0"/>
        <c:axPos val="b"/>
        <c:numFmt formatCode="0" sourceLinked="1"/>
        <c:majorTickMark val="out"/>
        <c:minorTickMark val="none"/>
        <c:tickLblPos val="nextTo"/>
        <c:txPr>
          <a:bodyPr rot="-5400000" vert="horz"/>
          <a:lstStyle/>
          <a:p>
            <a:pPr>
              <a:defRPr/>
            </a:pPr>
            <a:endParaRPr lang="en-US"/>
          </a:p>
        </c:txPr>
        <c:crossAx val="98788480"/>
        <c:crosses val="autoZero"/>
        <c:auto val="0"/>
        <c:lblAlgn val="ctr"/>
        <c:lblOffset val="100"/>
        <c:noMultiLvlLbl val="0"/>
      </c:catAx>
      <c:valAx>
        <c:axId val="98788480"/>
        <c:scaling>
          <c:orientation val="minMax"/>
          <c:max val="10"/>
          <c:min val="0"/>
        </c:scaling>
        <c:delete val="0"/>
        <c:axPos val="l"/>
        <c:majorGridlines/>
        <c:numFmt formatCode="General" sourceLinked="1"/>
        <c:majorTickMark val="out"/>
        <c:minorTickMark val="none"/>
        <c:tickLblPos val="nextTo"/>
        <c:crossAx val="98766208"/>
        <c:crosses val="autoZero"/>
        <c:crossBetween val="between"/>
      </c:valAx>
    </c:plotArea>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Bedload Database: All Values</c:v>
          </c:tx>
          <c:spPr>
            <a:ln w="28575">
              <a:noFill/>
            </a:ln>
          </c:spPr>
          <c:marker>
            <c:symbol val="diamond"/>
            <c:size val="3"/>
          </c:marker>
          <c:xVal>
            <c:numRef>
              <c:f>Sheet2!$A$5:$A$7891</c:f>
              <c:numCache>
                <c:formatCode>General</c:formatCode>
                <c:ptCount val="7887"/>
                <c:pt idx="0">
                  <c:v>0.45</c:v>
                </c:pt>
                <c:pt idx="1">
                  <c:v>0.72</c:v>
                </c:pt>
                <c:pt idx="2">
                  <c:v>0.56000000000000005</c:v>
                </c:pt>
                <c:pt idx="3">
                  <c:v>0.35</c:v>
                </c:pt>
                <c:pt idx="4">
                  <c:v>0.38</c:v>
                </c:pt>
                <c:pt idx="5">
                  <c:v>0.56000000000000005</c:v>
                </c:pt>
                <c:pt idx="6">
                  <c:v>0.74</c:v>
                </c:pt>
                <c:pt idx="7">
                  <c:v>0.67</c:v>
                </c:pt>
                <c:pt idx="8">
                  <c:v>0.88</c:v>
                </c:pt>
                <c:pt idx="9">
                  <c:v>0.81</c:v>
                </c:pt>
                <c:pt idx="10">
                  <c:v>0.76</c:v>
                </c:pt>
                <c:pt idx="11">
                  <c:v>0.69</c:v>
                </c:pt>
                <c:pt idx="12">
                  <c:v>0.86</c:v>
                </c:pt>
                <c:pt idx="13">
                  <c:v>0.8</c:v>
                </c:pt>
                <c:pt idx="14">
                  <c:v>0.86</c:v>
                </c:pt>
                <c:pt idx="15">
                  <c:v>0.76</c:v>
                </c:pt>
                <c:pt idx="16">
                  <c:v>0.75</c:v>
                </c:pt>
                <c:pt idx="17">
                  <c:v>0.79</c:v>
                </c:pt>
                <c:pt idx="18">
                  <c:v>0.91</c:v>
                </c:pt>
                <c:pt idx="19">
                  <c:v>0.77</c:v>
                </c:pt>
                <c:pt idx="20">
                  <c:v>0.81</c:v>
                </c:pt>
                <c:pt idx="21">
                  <c:v>0.72</c:v>
                </c:pt>
                <c:pt idx="22">
                  <c:v>0.55000000000000004</c:v>
                </c:pt>
                <c:pt idx="23">
                  <c:v>0.49</c:v>
                </c:pt>
                <c:pt idx="24">
                  <c:v>0.47</c:v>
                </c:pt>
                <c:pt idx="25">
                  <c:v>0.47</c:v>
                </c:pt>
                <c:pt idx="26">
                  <c:v>0.46</c:v>
                </c:pt>
                <c:pt idx="27">
                  <c:v>0.44</c:v>
                </c:pt>
                <c:pt idx="28">
                  <c:v>0.43</c:v>
                </c:pt>
                <c:pt idx="29">
                  <c:v>0.41</c:v>
                </c:pt>
                <c:pt idx="30">
                  <c:v>0.39</c:v>
                </c:pt>
                <c:pt idx="31">
                  <c:v>0.32</c:v>
                </c:pt>
                <c:pt idx="32">
                  <c:v>0.31</c:v>
                </c:pt>
                <c:pt idx="33">
                  <c:v>0.3</c:v>
                </c:pt>
                <c:pt idx="34">
                  <c:v>0.23</c:v>
                </c:pt>
                <c:pt idx="35">
                  <c:v>0.23</c:v>
                </c:pt>
                <c:pt idx="36">
                  <c:v>0.24</c:v>
                </c:pt>
                <c:pt idx="37">
                  <c:v>0.21</c:v>
                </c:pt>
                <c:pt idx="38">
                  <c:v>0.38</c:v>
                </c:pt>
                <c:pt idx="39">
                  <c:v>0.39</c:v>
                </c:pt>
                <c:pt idx="40">
                  <c:v>0.81</c:v>
                </c:pt>
                <c:pt idx="41">
                  <c:v>1.04</c:v>
                </c:pt>
                <c:pt idx="42">
                  <c:v>1.06</c:v>
                </c:pt>
                <c:pt idx="43">
                  <c:v>0.94</c:v>
                </c:pt>
                <c:pt idx="44">
                  <c:v>1.08</c:v>
                </c:pt>
                <c:pt idx="45">
                  <c:v>1.04</c:v>
                </c:pt>
                <c:pt idx="46">
                  <c:v>0.95</c:v>
                </c:pt>
                <c:pt idx="47">
                  <c:v>0.7</c:v>
                </c:pt>
                <c:pt idx="48">
                  <c:v>0.87</c:v>
                </c:pt>
                <c:pt idx="49">
                  <c:v>0.88</c:v>
                </c:pt>
                <c:pt idx="50">
                  <c:v>0.83</c:v>
                </c:pt>
                <c:pt idx="51">
                  <c:v>0.59</c:v>
                </c:pt>
                <c:pt idx="52">
                  <c:v>0.66</c:v>
                </c:pt>
                <c:pt idx="53">
                  <c:v>1.03</c:v>
                </c:pt>
                <c:pt idx="54">
                  <c:v>1.05</c:v>
                </c:pt>
                <c:pt idx="55">
                  <c:v>0.85</c:v>
                </c:pt>
                <c:pt idx="56">
                  <c:v>0.82</c:v>
                </c:pt>
                <c:pt idx="57">
                  <c:v>0.67</c:v>
                </c:pt>
                <c:pt idx="58">
                  <c:v>0.66</c:v>
                </c:pt>
                <c:pt idx="59">
                  <c:v>0.6</c:v>
                </c:pt>
                <c:pt idx="60">
                  <c:v>0.55000000000000004</c:v>
                </c:pt>
                <c:pt idx="61">
                  <c:v>0.44</c:v>
                </c:pt>
                <c:pt idx="62">
                  <c:v>0.4</c:v>
                </c:pt>
                <c:pt idx="63">
                  <c:v>0.3</c:v>
                </c:pt>
                <c:pt idx="64">
                  <c:v>0.57999999999999996</c:v>
                </c:pt>
                <c:pt idx="65">
                  <c:v>0.9</c:v>
                </c:pt>
                <c:pt idx="66">
                  <c:v>0.98</c:v>
                </c:pt>
                <c:pt idx="67">
                  <c:v>0.88</c:v>
                </c:pt>
                <c:pt idx="68">
                  <c:v>0.95</c:v>
                </c:pt>
                <c:pt idx="69">
                  <c:v>0.93</c:v>
                </c:pt>
                <c:pt idx="70">
                  <c:v>0.89</c:v>
                </c:pt>
                <c:pt idx="71">
                  <c:v>0.89</c:v>
                </c:pt>
                <c:pt idx="72">
                  <c:v>0.92</c:v>
                </c:pt>
                <c:pt idx="73">
                  <c:v>0.92</c:v>
                </c:pt>
                <c:pt idx="74">
                  <c:v>0.85</c:v>
                </c:pt>
                <c:pt idx="75">
                  <c:v>0.66</c:v>
                </c:pt>
                <c:pt idx="76">
                  <c:v>0.34</c:v>
                </c:pt>
                <c:pt idx="77">
                  <c:v>0.77</c:v>
                </c:pt>
                <c:pt idx="78">
                  <c:v>0.96</c:v>
                </c:pt>
                <c:pt idx="79">
                  <c:v>0.89</c:v>
                </c:pt>
                <c:pt idx="80">
                  <c:v>0.9</c:v>
                </c:pt>
                <c:pt idx="81">
                  <c:v>0.9</c:v>
                </c:pt>
                <c:pt idx="82">
                  <c:v>0.88</c:v>
                </c:pt>
                <c:pt idx="83">
                  <c:v>0.94</c:v>
                </c:pt>
                <c:pt idx="84">
                  <c:v>0.92</c:v>
                </c:pt>
                <c:pt idx="85">
                  <c:v>0.88</c:v>
                </c:pt>
                <c:pt idx="86">
                  <c:v>0.81</c:v>
                </c:pt>
                <c:pt idx="87">
                  <c:v>0.96</c:v>
                </c:pt>
                <c:pt idx="88">
                  <c:v>1.24</c:v>
                </c:pt>
                <c:pt idx="89">
                  <c:v>1.1000000000000001</c:v>
                </c:pt>
                <c:pt idx="90">
                  <c:v>1.2</c:v>
                </c:pt>
                <c:pt idx="91">
                  <c:v>1.1200000000000001</c:v>
                </c:pt>
                <c:pt idx="92">
                  <c:v>1.0900000000000001</c:v>
                </c:pt>
                <c:pt idx="93">
                  <c:v>0.96</c:v>
                </c:pt>
                <c:pt idx="94">
                  <c:v>0.83</c:v>
                </c:pt>
                <c:pt idx="95">
                  <c:v>0.77</c:v>
                </c:pt>
                <c:pt idx="96">
                  <c:v>0.7</c:v>
                </c:pt>
                <c:pt idx="97">
                  <c:v>0.62</c:v>
                </c:pt>
                <c:pt idx="98">
                  <c:v>0.56999999999999995</c:v>
                </c:pt>
                <c:pt idx="99">
                  <c:v>0.11</c:v>
                </c:pt>
                <c:pt idx="100">
                  <c:v>0.12</c:v>
                </c:pt>
                <c:pt idx="101">
                  <c:v>0.2</c:v>
                </c:pt>
                <c:pt idx="102">
                  <c:v>0.2</c:v>
                </c:pt>
                <c:pt idx="103">
                  <c:v>0.27</c:v>
                </c:pt>
                <c:pt idx="104">
                  <c:v>0.27</c:v>
                </c:pt>
                <c:pt idx="105">
                  <c:v>0.24</c:v>
                </c:pt>
                <c:pt idx="106">
                  <c:v>0.23</c:v>
                </c:pt>
                <c:pt idx="107">
                  <c:v>0.2</c:v>
                </c:pt>
                <c:pt idx="108">
                  <c:v>0.19</c:v>
                </c:pt>
                <c:pt idx="109">
                  <c:v>0.18</c:v>
                </c:pt>
                <c:pt idx="110">
                  <c:v>0.19</c:v>
                </c:pt>
                <c:pt idx="111">
                  <c:v>0.25</c:v>
                </c:pt>
                <c:pt idx="112">
                  <c:v>0.28999999999999998</c:v>
                </c:pt>
                <c:pt idx="113">
                  <c:v>0.28999999999999998</c:v>
                </c:pt>
                <c:pt idx="114">
                  <c:v>0.33</c:v>
                </c:pt>
                <c:pt idx="115">
                  <c:v>0.34</c:v>
                </c:pt>
                <c:pt idx="116">
                  <c:v>0.32</c:v>
                </c:pt>
                <c:pt idx="117">
                  <c:v>0.28000000000000003</c:v>
                </c:pt>
                <c:pt idx="118">
                  <c:v>0.28000000000000003</c:v>
                </c:pt>
                <c:pt idx="119">
                  <c:v>0.24</c:v>
                </c:pt>
                <c:pt idx="120">
                  <c:v>0.24</c:v>
                </c:pt>
                <c:pt idx="121">
                  <c:v>0.2</c:v>
                </c:pt>
                <c:pt idx="122">
                  <c:v>0.19</c:v>
                </c:pt>
                <c:pt idx="123">
                  <c:v>0.17</c:v>
                </c:pt>
                <c:pt idx="124">
                  <c:v>0.16</c:v>
                </c:pt>
                <c:pt idx="125">
                  <c:v>0.15</c:v>
                </c:pt>
                <c:pt idx="126">
                  <c:v>0.12</c:v>
                </c:pt>
                <c:pt idx="127">
                  <c:v>0.11</c:v>
                </c:pt>
                <c:pt idx="128">
                  <c:v>0.09</c:v>
                </c:pt>
                <c:pt idx="129">
                  <c:v>7.0000000000000007E-2</c:v>
                </c:pt>
                <c:pt idx="130">
                  <c:v>0.06</c:v>
                </c:pt>
                <c:pt idx="131">
                  <c:v>0.06</c:v>
                </c:pt>
                <c:pt idx="132">
                  <c:v>0.05</c:v>
                </c:pt>
                <c:pt idx="133">
                  <c:v>0.18</c:v>
                </c:pt>
                <c:pt idx="134">
                  <c:v>0.14000000000000001</c:v>
                </c:pt>
                <c:pt idx="135">
                  <c:v>0.12</c:v>
                </c:pt>
                <c:pt idx="136">
                  <c:v>0.2</c:v>
                </c:pt>
                <c:pt idx="137">
                  <c:v>0.19</c:v>
                </c:pt>
                <c:pt idx="138">
                  <c:v>0.31</c:v>
                </c:pt>
                <c:pt idx="139">
                  <c:v>0.4</c:v>
                </c:pt>
                <c:pt idx="140">
                  <c:v>0.42</c:v>
                </c:pt>
                <c:pt idx="141">
                  <c:v>0.37</c:v>
                </c:pt>
                <c:pt idx="142">
                  <c:v>0.36</c:v>
                </c:pt>
                <c:pt idx="143">
                  <c:v>0.37</c:v>
                </c:pt>
                <c:pt idx="144">
                  <c:v>0.34</c:v>
                </c:pt>
                <c:pt idx="145">
                  <c:v>0.27</c:v>
                </c:pt>
                <c:pt idx="146">
                  <c:v>0.28999999999999998</c:v>
                </c:pt>
                <c:pt idx="147">
                  <c:v>0.27</c:v>
                </c:pt>
                <c:pt idx="148">
                  <c:v>0.19</c:v>
                </c:pt>
                <c:pt idx="149">
                  <c:v>0.18</c:v>
                </c:pt>
                <c:pt idx="150">
                  <c:v>0.09</c:v>
                </c:pt>
                <c:pt idx="151">
                  <c:v>0.34</c:v>
                </c:pt>
                <c:pt idx="152">
                  <c:v>0.36</c:v>
                </c:pt>
                <c:pt idx="153">
                  <c:v>0.33</c:v>
                </c:pt>
                <c:pt idx="154">
                  <c:v>0.3</c:v>
                </c:pt>
                <c:pt idx="155">
                  <c:v>0.4</c:v>
                </c:pt>
                <c:pt idx="156">
                  <c:v>0.28999999999999998</c:v>
                </c:pt>
                <c:pt idx="157">
                  <c:v>0.27</c:v>
                </c:pt>
                <c:pt idx="158">
                  <c:v>0.25</c:v>
                </c:pt>
                <c:pt idx="159">
                  <c:v>0.24</c:v>
                </c:pt>
                <c:pt idx="160">
                  <c:v>0.23</c:v>
                </c:pt>
                <c:pt idx="161">
                  <c:v>0.24</c:v>
                </c:pt>
                <c:pt idx="162">
                  <c:v>0.2</c:v>
                </c:pt>
                <c:pt idx="163">
                  <c:v>0.15</c:v>
                </c:pt>
                <c:pt idx="164">
                  <c:v>0.2</c:v>
                </c:pt>
                <c:pt idx="165">
                  <c:v>0.28999999999999998</c:v>
                </c:pt>
                <c:pt idx="166">
                  <c:v>0.43</c:v>
                </c:pt>
                <c:pt idx="167">
                  <c:v>0.5</c:v>
                </c:pt>
                <c:pt idx="168">
                  <c:v>0.49</c:v>
                </c:pt>
                <c:pt idx="169">
                  <c:v>0.48</c:v>
                </c:pt>
                <c:pt idx="170">
                  <c:v>0.4</c:v>
                </c:pt>
                <c:pt idx="171">
                  <c:v>0.37</c:v>
                </c:pt>
                <c:pt idx="172">
                  <c:v>0.35</c:v>
                </c:pt>
                <c:pt idx="173">
                  <c:v>0.37</c:v>
                </c:pt>
                <c:pt idx="174">
                  <c:v>0.33</c:v>
                </c:pt>
                <c:pt idx="175">
                  <c:v>0.3</c:v>
                </c:pt>
                <c:pt idx="176">
                  <c:v>0.28999999999999998</c:v>
                </c:pt>
                <c:pt idx="177">
                  <c:v>0.28000000000000003</c:v>
                </c:pt>
                <c:pt idx="178">
                  <c:v>0.32</c:v>
                </c:pt>
                <c:pt idx="179">
                  <c:v>0.28999999999999998</c:v>
                </c:pt>
                <c:pt idx="180">
                  <c:v>0.23</c:v>
                </c:pt>
                <c:pt idx="181">
                  <c:v>0.55000000000000004</c:v>
                </c:pt>
                <c:pt idx="182">
                  <c:v>0.53</c:v>
                </c:pt>
                <c:pt idx="183">
                  <c:v>0.66</c:v>
                </c:pt>
                <c:pt idx="184">
                  <c:v>0.62</c:v>
                </c:pt>
                <c:pt idx="185">
                  <c:v>0.63</c:v>
                </c:pt>
                <c:pt idx="186">
                  <c:v>0.62</c:v>
                </c:pt>
                <c:pt idx="187">
                  <c:v>0.64</c:v>
                </c:pt>
                <c:pt idx="188">
                  <c:v>0.65</c:v>
                </c:pt>
                <c:pt idx="189">
                  <c:v>0.72</c:v>
                </c:pt>
                <c:pt idx="190">
                  <c:v>0.64</c:v>
                </c:pt>
                <c:pt idx="191">
                  <c:v>1.1499999999999999</c:v>
                </c:pt>
                <c:pt idx="192">
                  <c:v>1.72</c:v>
                </c:pt>
                <c:pt idx="193">
                  <c:v>2.04</c:v>
                </c:pt>
                <c:pt idx="194">
                  <c:v>2.25</c:v>
                </c:pt>
                <c:pt idx="195">
                  <c:v>2.4</c:v>
                </c:pt>
                <c:pt idx="196">
                  <c:v>1.98</c:v>
                </c:pt>
                <c:pt idx="197">
                  <c:v>1.86</c:v>
                </c:pt>
                <c:pt idx="198">
                  <c:v>1.27</c:v>
                </c:pt>
                <c:pt idx="199">
                  <c:v>1.22</c:v>
                </c:pt>
                <c:pt idx="200">
                  <c:v>1.76</c:v>
                </c:pt>
                <c:pt idx="201">
                  <c:v>0.76</c:v>
                </c:pt>
                <c:pt idx="202">
                  <c:v>1.1200000000000001</c:v>
                </c:pt>
                <c:pt idx="203">
                  <c:v>0.39</c:v>
                </c:pt>
                <c:pt idx="204">
                  <c:v>2.5</c:v>
                </c:pt>
                <c:pt idx="205">
                  <c:v>3.03</c:v>
                </c:pt>
                <c:pt idx="206">
                  <c:v>3.13</c:v>
                </c:pt>
                <c:pt idx="207">
                  <c:v>2.5299999999999998</c:v>
                </c:pt>
                <c:pt idx="208">
                  <c:v>2.54</c:v>
                </c:pt>
                <c:pt idx="209">
                  <c:v>1.91</c:v>
                </c:pt>
                <c:pt idx="210">
                  <c:v>1.63</c:v>
                </c:pt>
                <c:pt idx="211">
                  <c:v>0.97</c:v>
                </c:pt>
                <c:pt idx="212">
                  <c:v>1.07</c:v>
                </c:pt>
                <c:pt idx="213">
                  <c:v>2.56</c:v>
                </c:pt>
                <c:pt idx="214">
                  <c:v>2.4900000000000002</c:v>
                </c:pt>
                <c:pt idx="215">
                  <c:v>3.85</c:v>
                </c:pt>
                <c:pt idx="216">
                  <c:v>5.15</c:v>
                </c:pt>
                <c:pt idx="217">
                  <c:v>4.42</c:v>
                </c:pt>
                <c:pt idx="218">
                  <c:v>4.71</c:v>
                </c:pt>
                <c:pt idx="219">
                  <c:v>4.22</c:v>
                </c:pt>
                <c:pt idx="220">
                  <c:v>6.09</c:v>
                </c:pt>
                <c:pt idx="221">
                  <c:v>5.13</c:v>
                </c:pt>
                <c:pt idx="222">
                  <c:v>4.4800000000000004</c:v>
                </c:pt>
                <c:pt idx="223">
                  <c:v>3.32</c:v>
                </c:pt>
                <c:pt idx="224">
                  <c:v>3.43</c:v>
                </c:pt>
                <c:pt idx="225">
                  <c:v>0.87</c:v>
                </c:pt>
                <c:pt idx="226">
                  <c:v>0.86</c:v>
                </c:pt>
                <c:pt idx="227">
                  <c:v>0.65</c:v>
                </c:pt>
                <c:pt idx="228">
                  <c:v>0.64</c:v>
                </c:pt>
                <c:pt idx="229">
                  <c:v>1.62</c:v>
                </c:pt>
                <c:pt idx="230">
                  <c:v>1.7</c:v>
                </c:pt>
                <c:pt idx="231">
                  <c:v>1.17</c:v>
                </c:pt>
                <c:pt idx="232">
                  <c:v>0.49</c:v>
                </c:pt>
                <c:pt idx="233">
                  <c:v>1.02</c:v>
                </c:pt>
                <c:pt idx="234">
                  <c:v>1.53</c:v>
                </c:pt>
                <c:pt idx="235">
                  <c:v>1.9</c:v>
                </c:pt>
                <c:pt idx="236">
                  <c:v>1.48</c:v>
                </c:pt>
                <c:pt idx="237">
                  <c:v>2.16</c:v>
                </c:pt>
                <c:pt idx="238">
                  <c:v>3.77</c:v>
                </c:pt>
                <c:pt idx="239">
                  <c:v>5.25</c:v>
                </c:pt>
                <c:pt idx="240">
                  <c:v>5.31</c:v>
                </c:pt>
                <c:pt idx="241">
                  <c:v>4.63</c:v>
                </c:pt>
                <c:pt idx="242">
                  <c:v>4.0599999999999996</c:v>
                </c:pt>
                <c:pt idx="243">
                  <c:v>3.89</c:v>
                </c:pt>
                <c:pt idx="244">
                  <c:v>3.55</c:v>
                </c:pt>
                <c:pt idx="245">
                  <c:v>4.01</c:v>
                </c:pt>
                <c:pt idx="246">
                  <c:v>4.71</c:v>
                </c:pt>
                <c:pt idx="247">
                  <c:v>6.69</c:v>
                </c:pt>
                <c:pt idx="248">
                  <c:v>5.22</c:v>
                </c:pt>
                <c:pt idx="249">
                  <c:v>4.22</c:v>
                </c:pt>
                <c:pt idx="250">
                  <c:v>3.79</c:v>
                </c:pt>
                <c:pt idx="251">
                  <c:v>3.45</c:v>
                </c:pt>
                <c:pt idx="252">
                  <c:v>3.01</c:v>
                </c:pt>
                <c:pt idx="253">
                  <c:v>2.64</c:v>
                </c:pt>
                <c:pt idx="254">
                  <c:v>2.13</c:v>
                </c:pt>
                <c:pt idx="255">
                  <c:v>2.21</c:v>
                </c:pt>
                <c:pt idx="256">
                  <c:v>3.69</c:v>
                </c:pt>
                <c:pt idx="257">
                  <c:v>6.52</c:v>
                </c:pt>
                <c:pt idx="258">
                  <c:v>5.92</c:v>
                </c:pt>
                <c:pt idx="259">
                  <c:v>6.95</c:v>
                </c:pt>
                <c:pt idx="260">
                  <c:v>5.3</c:v>
                </c:pt>
                <c:pt idx="261">
                  <c:v>2.56</c:v>
                </c:pt>
                <c:pt idx="262">
                  <c:v>0.69</c:v>
                </c:pt>
                <c:pt idx="263">
                  <c:v>2.59</c:v>
                </c:pt>
                <c:pt idx="264">
                  <c:v>5.65</c:v>
                </c:pt>
                <c:pt idx="265">
                  <c:v>5.04</c:v>
                </c:pt>
                <c:pt idx="266">
                  <c:v>5.39</c:v>
                </c:pt>
                <c:pt idx="267">
                  <c:v>4.87</c:v>
                </c:pt>
                <c:pt idx="268">
                  <c:v>4.95</c:v>
                </c:pt>
                <c:pt idx="269">
                  <c:v>4.7</c:v>
                </c:pt>
                <c:pt idx="270">
                  <c:v>6.01</c:v>
                </c:pt>
                <c:pt idx="271">
                  <c:v>6.76</c:v>
                </c:pt>
                <c:pt idx="272">
                  <c:v>6.19</c:v>
                </c:pt>
                <c:pt idx="273">
                  <c:v>5.39</c:v>
                </c:pt>
                <c:pt idx="274">
                  <c:v>5.21</c:v>
                </c:pt>
                <c:pt idx="275">
                  <c:v>4.37</c:v>
                </c:pt>
                <c:pt idx="276">
                  <c:v>4.78</c:v>
                </c:pt>
                <c:pt idx="277">
                  <c:v>4.29</c:v>
                </c:pt>
                <c:pt idx="278">
                  <c:v>2.63</c:v>
                </c:pt>
                <c:pt idx="279">
                  <c:v>0.71</c:v>
                </c:pt>
                <c:pt idx="280">
                  <c:v>0.78</c:v>
                </c:pt>
                <c:pt idx="281">
                  <c:v>0.68</c:v>
                </c:pt>
                <c:pt idx="282">
                  <c:v>0.72</c:v>
                </c:pt>
                <c:pt idx="283">
                  <c:v>0.64</c:v>
                </c:pt>
                <c:pt idx="284">
                  <c:v>0.73</c:v>
                </c:pt>
                <c:pt idx="285">
                  <c:v>0.7</c:v>
                </c:pt>
                <c:pt idx="286">
                  <c:v>0.68</c:v>
                </c:pt>
                <c:pt idx="287">
                  <c:v>0.71</c:v>
                </c:pt>
                <c:pt idx="288">
                  <c:v>0.66</c:v>
                </c:pt>
                <c:pt idx="289">
                  <c:v>0.75</c:v>
                </c:pt>
                <c:pt idx="290">
                  <c:v>1.05</c:v>
                </c:pt>
                <c:pt idx="291">
                  <c:v>1.53</c:v>
                </c:pt>
                <c:pt idx="292">
                  <c:v>1.63</c:v>
                </c:pt>
                <c:pt idx="293">
                  <c:v>1.82</c:v>
                </c:pt>
                <c:pt idx="294">
                  <c:v>2.59</c:v>
                </c:pt>
                <c:pt idx="295">
                  <c:v>2.5099999999999998</c:v>
                </c:pt>
                <c:pt idx="296">
                  <c:v>2.2000000000000002</c:v>
                </c:pt>
                <c:pt idx="297">
                  <c:v>1.93</c:v>
                </c:pt>
                <c:pt idx="298">
                  <c:v>1.45</c:v>
                </c:pt>
                <c:pt idx="299">
                  <c:v>1.1000000000000001</c:v>
                </c:pt>
                <c:pt idx="300">
                  <c:v>1.56</c:v>
                </c:pt>
                <c:pt idx="301">
                  <c:v>1.58</c:v>
                </c:pt>
                <c:pt idx="302">
                  <c:v>1.23</c:v>
                </c:pt>
                <c:pt idx="303">
                  <c:v>0.54</c:v>
                </c:pt>
                <c:pt idx="304">
                  <c:v>1.68</c:v>
                </c:pt>
                <c:pt idx="305">
                  <c:v>2.1800000000000002</c:v>
                </c:pt>
                <c:pt idx="306">
                  <c:v>3.23</c:v>
                </c:pt>
                <c:pt idx="307">
                  <c:v>2.52</c:v>
                </c:pt>
                <c:pt idx="308">
                  <c:v>2.62</c:v>
                </c:pt>
                <c:pt idx="309">
                  <c:v>2.33</c:v>
                </c:pt>
                <c:pt idx="310">
                  <c:v>2.0499999999999998</c:v>
                </c:pt>
                <c:pt idx="311">
                  <c:v>1.73</c:v>
                </c:pt>
                <c:pt idx="312">
                  <c:v>1.1299999999999999</c:v>
                </c:pt>
                <c:pt idx="313">
                  <c:v>1.55</c:v>
                </c:pt>
                <c:pt idx="314">
                  <c:v>1.74</c:v>
                </c:pt>
                <c:pt idx="315">
                  <c:v>2.95</c:v>
                </c:pt>
                <c:pt idx="316">
                  <c:v>2.64</c:v>
                </c:pt>
                <c:pt idx="317">
                  <c:v>4.7300000000000004</c:v>
                </c:pt>
                <c:pt idx="318">
                  <c:v>4.75</c:v>
                </c:pt>
                <c:pt idx="319">
                  <c:v>4.87</c:v>
                </c:pt>
                <c:pt idx="320">
                  <c:v>4.8</c:v>
                </c:pt>
                <c:pt idx="321">
                  <c:v>6.04</c:v>
                </c:pt>
                <c:pt idx="322">
                  <c:v>5.73</c:v>
                </c:pt>
                <c:pt idx="323">
                  <c:v>5.2</c:v>
                </c:pt>
                <c:pt idx="324">
                  <c:v>3.65</c:v>
                </c:pt>
                <c:pt idx="325">
                  <c:v>3.69</c:v>
                </c:pt>
                <c:pt idx="326">
                  <c:v>0.86</c:v>
                </c:pt>
                <c:pt idx="327">
                  <c:v>0.89</c:v>
                </c:pt>
                <c:pt idx="328">
                  <c:v>0.68</c:v>
                </c:pt>
                <c:pt idx="329">
                  <c:v>0.65</c:v>
                </c:pt>
                <c:pt idx="330">
                  <c:v>1.98</c:v>
                </c:pt>
                <c:pt idx="331">
                  <c:v>1.98</c:v>
                </c:pt>
                <c:pt idx="332">
                  <c:v>1.43</c:v>
                </c:pt>
                <c:pt idx="333">
                  <c:v>0.6</c:v>
                </c:pt>
                <c:pt idx="334">
                  <c:v>0.77</c:v>
                </c:pt>
                <c:pt idx="335">
                  <c:v>1.43</c:v>
                </c:pt>
                <c:pt idx="336">
                  <c:v>2.2200000000000002</c:v>
                </c:pt>
                <c:pt idx="337">
                  <c:v>1.53</c:v>
                </c:pt>
                <c:pt idx="338">
                  <c:v>1.58</c:v>
                </c:pt>
                <c:pt idx="339">
                  <c:v>2.98</c:v>
                </c:pt>
                <c:pt idx="340">
                  <c:v>3.79</c:v>
                </c:pt>
                <c:pt idx="341">
                  <c:v>6.37</c:v>
                </c:pt>
                <c:pt idx="342">
                  <c:v>4.1399999999999997</c:v>
                </c:pt>
                <c:pt idx="343">
                  <c:v>4.9800000000000004</c:v>
                </c:pt>
                <c:pt idx="344">
                  <c:v>4.5199999999999996</c:v>
                </c:pt>
                <c:pt idx="345">
                  <c:v>4.33</c:v>
                </c:pt>
                <c:pt idx="346">
                  <c:v>4.62</c:v>
                </c:pt>
                <c:pt idx="347">
                  <c:v>3.23</c:v>
                </c:pt>
                <c:pt idx="348">
                  <c:v>4.09</c:v>
                </c:pt>
                <c:pt idx="349">
                  <c:v>5.21</c:v>
                </c:pt>
                <c:pt idx="350">
                  <c:v>6.6</c:v>
                </c:pt>
                <c:pt idx="351">
                  <c:v>5.78</c:v>
                </c:pt>
                <c:pt idx="352">
                  <c:v>5.68</c:v>
                </c:pt>
                <c:pt idx="353">
                  <c:v>5.63</c:v>
                </c:pt>
                <c:pt idx="354">
                  <c:v>4.72</c:v>
                </c:pt>
                <c:pt idx="355">
                  <c:v>4.28</c:v>
                </c:pt>
                <c:pt idx="356">
                  <c:v>4.13</c:v>
                </c:pt>
                <c:pt idx="357">
                  <c:v>3.34</c:v>
                </c:pt>
                <c:pt idx="358">
                  <c:v>3.09</c:v>
                </c:pt>
                <c:pt idx="359">
                  <c:v>1.89</c:v>
                </c:pt>
                <c:pt idx="360">
                  <c:v>2.37</c:v>
                </c:pt>
                <c:pt idx="361">
                  <c:v>3.72</c:v>
                </c:pt>
                <c:pt idx="362">
                  <c:v>3.79</c:v>
                </c:pt>
                <c:pt idx="363">
                  <c:v>4.1399999999999997</c:v>
                </c:pt>
                <c:pt idx="364">
                  <c:v>5.92</c:v>
                </c:pt>
                <c:pt idx="365">
                  <c:v>5.96</c:v>
                </c:pt>
                <c:pt idx="366">
                  <c:v>6.33</c:v>
                </c:pt>
                <c:pt idx="367">
                  <c:v>6.39</c:v>
                </c:pt>
                <c:pt idx="368">
                  <c:v>6.33</c:v>
                </c:pt>
                <c:pt idx="369">
                  <c:v>4.88</c:v>
                </c:pt>
                <c:pt idx="370">
                  <c:v>1.92</c:v>
                </c:pt>
                <c:pt idx="371">
                  <c:v>1.54</c:v>
                </c:pt>
                <c:pt idx="372">
                  <c:v>5.16</c:v>
                </c:pt>
                <c:pt idx="373">
                  <c:v>4.95</c:v>
                </c:pt>
                <c:pt idx="374">
                  <c:v>4.4000000000000004</c:v>
                </c:pt>
                <c:pt idx="375">
                  <c:v>5.12</c:v>
                </c:pt>
                <c:pt idx="376">
                  <c:v>5.16</c:v>
                </c:pt>
                <c:pt idx="377">
                  <c:v>4.5999999999999996</c:v>
                </c:pt>
                <c:pt idx="378">
                  <c:v>4.54</c:v>
                </c:pt>
                <c:pt idx="379">
                  <c:v>4.5999999999999996</c:v>
                </c:pt>
                <c:pt idx="380">
                  <c:v>5.34</c:v>
                </c:pt>
                <c:pt idx="381">
                  <c:v>5.73</c:v>
                </c:pt>
                <c:pt idx="382">
                  <c:v>6.99</c:v>
                </c:pt>
                <c:pt idx="383">
                  <c:v>6.68</c:v>
                </c:pt>
                <c:pt idx="384">
                  <c:v>6.33</c:v>
                </c:pt>
                <c:pt idx="385">
                  <c:v>7.15</c:v>
                </c:pt>
                <c:pt idx="386">
                  <c:v>6.41</c:v>
                </c:pt>
                <c:pt idx="387">
                  <c:v>5.77</c:v>
                </c:pt>
                <c:pt idx="388">
                  <c:v>5.44</c:v>
                </c:pt>
                <c:pt idx="389">
                  <c:v>4.88</c:v>
                </c:pt>
                <c:pt idx="390">
                  <c:v>4.37</c:v>
                </c:pt>
                <c:pt idx="391">
                  <c:v>2.71</c:v>
                </c:pt>
                <c:pt idx="392">
                  <c:v>0.6</c:v>
                </c:pt>
                <c:pt idx="393">
                  <c:v>0.57999999999999996</c:v>
                </c:pt>
                <c:pt idx="394">
                  <c:v>0.62</c:v>
                </c:pt>
                <c:pt idx="395">
                  <c:v>0.67</c:v>
                </c:pt>
                <c:pt idx="396">
                  <c:v>0.72</c:v>
                </c:pt>
                <c:pt idx="397">
                  <c:v>0.66</c:v>
                </c:pt>
                <c:pt idx="398">
                  <c:v>0.71</c:v>
                </c:pt>
                <c:pt idx="399">
                  <c:v>0.75</c:v>
                </c:pt>
                <c:pt idx="400">
                  <c:v>0.65</c:v>
                </c:pt>
                <c:pt idx="401">
                  <c:v>0.77</c:v>
                </c:pt>
                <c:pt idx="402">
                  <c:v>1.68</c:v>
                </c:pt>
                <c:pt idx="403">
                  <c:v>1.67</c:v>
                </c:pt>
                <c:pt idx="404">
                  <c:v>1.69</c:v>
                </c:pt>
                <c:pt idx="405">
                  <c:v>2.09</c:v>
                </c:pt>
                <c:pt idx="406">
                  <c:v>2.08</c:v>
                </c:pt>
                <c:pt idx="407">
                  <c:v>1.58</c:v>
                </c:pt>
                <c:pt idx="408">
                  <c:v>1.29</c:v>
                </c:pt>
                <c:pt idx="409">
                  <c:v>1.07</c:v>
                </c:pt>
                <c:pt idx="410">
                  <c:v>1.08</c:v>
                </c:pt>
                <c:pt idx="411">
                  <c:v>1.3</c:v>
                </c:pt>
                <c:pt idx="412">
                  <c:v>1</c:v>
                </c:pt>
                <c:pt idx="413">
                  <c:v>0.54</c:v>
                </c:pt>
                <c:pt idx="414">
                  <c:v>1.94</c:v>
                </c:pt>
                <c:pt idx="415">
                  <c:v>1.7</c:v>
                </c:pt>
                <c:pt idx="416">
                  <c:v>2.5</c:v>
                </c:pt>
                <c:pt idx="417">
                  <c:v>3.69</c:v>
                </c:pt>
                <c:pt idx="418">
                  <c:v>2.74</c:v>
                </c:pt>
                <c:pt idx="419">
                  <c:v>2.29</c:v>
                </c:pt>
                <c:pt idx="420">
                  <c:v>2.2999999999999998</c:v>
                </c:pt>
                <c:pt idx="421">
                  <c:v>1.9</c:v>
                </c:pt>
                <c:pt idx="422">
                  <c:v>1.77</c:v>
                </c:pt>
                <c:pt idx="423">
                  <c:v>1.34</c:v>
                </c:pt>
                <c:pt idx="424">
                  <c:v>1.57</c:v>
                </c:pt>
                <c:pt idx="425">
                  <c:v>2.5</c:v>
                </c:pt>
                <c:pt idx="426">
                  <c:v>2.63</c:v>
                </c:pt>
                <c:pt idx="427">
                  <c:v>3.69</c:v>
                </c:pt>
                <c:pt idx="428">
                  <c:v>3.71</c:v>
                </c:pt>
                <c:pt idx="429">
                  <c:v>4.42</c:v>
                </c:pt>
                <c:pt idx="430">
                  <c:v>5.07</c:v>
                </c:pt>
                <c:pt idx="431">
                  <c:v>4.8899999999999997</c:v>
                </c:pt>
                <c:pt idx="432">
                  <c:v>5.26</c:v>
                </c:pt>
                <c:pt idx="433">
                  <c:v>5.15</c:v>
                </c:pt>
                <c:pt idx="434">
                  <c:v>5.93</c:v>
                </c:pt>
                <c:pt idx="435">
                  <c:v>5.3</c:v>
                </c:pt>
                <c:pt idx="436">
                  <c:v>4.6500000000000004</c:v>
                </c:pt>
                <c:pt idx="437">
                  <c:v>3.61</c:v>
                </c:pt>
                <c:pt idx="438">
                  <c:v>3.85</c:v>
                </c:pt>
                <c:pt idx="439">
                  <c:v>0.8</c:v>
                </c:pt>
                <c:pt idx="440">
                  <c:v>0.77</c:v>
                </c:pt>
                <c:pt idx="441">
                  <c:v>0.79</c:v>
                </c:pt>
                <c:pt idx="442">
                  <c:v>1.99</c:v>
                </c:pt>
                <c:pt idx="443">
                  <c:v>1.75</c:v>
                </c:pt>
                <c:pt idx="444">
                  <c:v>1.53</c:v>
                </c:pt>
                <c:pt idx="445">
                  <c:v>0.53</c:v>
                </c:pt>
                <c:pt idx="446">
                  <c:v>0.82</c:v>
                </c:pt>
                <c:pt idx="447">
                  <c:v>1.33</c:v>
                </c:pt>
                <c:pt idx="448">
                  <c:v>1.54</c:v>
                </c:pt>
                <c:pt idx="449">
                  <c:v>1.63</c:v>
                </c:pt>
                <c:pt idx="450">
                  <c:v>1.43</c:v>
                </c:pt>
                <c:pt idx="451">
                  <c:v>2.19</c:v>
                </c:pt>
                <c:pt idx="452">
                  <c:v>3.75</c:v>
                </c:pt>
                <c:pt idx="453">
                  <c:v>4.7</c:v>
                </c:pt>
                <c:pt idx="454">
                  <c:v>4.59</c:v>
                </c:pt>
                <c:pt idx="455">
                  <c:v>4.83</c:v>
                </c:pt>
                <c:pt idx="456">
                  <c:v>4.0199999999999996</c:v>
                </c:pt>
                <c:pt idx="457">
                  <c:v>4.63</c:v>
                </c:pt>
                <c:pt idx="458">
                  <c:v>3.46</c:v>
                </c:pt>
                <c:pt idx="459">
                  <c:v>4.74</c:v>
                </c:pt>
                <c:pt idx="460">
                  <c:v>4.96</c:v>
                </c:pt>
                <c:pt idx="461">
                  <c:v>5.4</c:v>
                </c:pt>
                <c:pt idx="462">
                  <c:v>4.6399999999999997</c:v>
                </c:pt>
                <c:pt idx="463">
                  <c:v>4.46</c:v>
                </c:pt>
                <c:pt idx="464">
                  <c:v>3.42</c:v>
                </c:pt>
                <c:pt idx="465">
                  <c:v>3.12</c:v>
                </c:pt>
                <c:pt idx="466">
                  <c:v>1.95</c:v>
                </c:pt>
                <c:pt idx="467">
                  <c:v>2.4700000000000002</c:v>
                </c:pt>
                <c:pt idx="468">
                  <c:v>1.49</c:v>
                </c:pt>
                <c:pt idx="469">
                  <c:v>4.54</c:v>
                </c:pt>
                <c:pt idx="470">
                  <c:v>4.99</c:v>
                </c:pt>
                <c:pt idx="471">
                  <c:v>6.03</c:v>
                </c:pt>
                <c:pt idx="472">
                  <c:v>5.48</c:v>
                </c:pt>
                <c:pt idx="473">
                  <c:v>5.26</c:v>
                </c:pt>
                <c:pt idx="474">
                  <c:v>3.91</c:v>
                </c:pt>
                <c:pt idx="475">
                  <c:v>2.5099999999999998</c:v>
                </c:pt>
                <c:pt idx="476">
                  <c:v>0.88</c:v>
                </c:pt>
                <c:pt idx="477">
                  <c:v>1.93</c:v>
                </c:pt>
                <c:pt idx="478">
                  <c:v>4.3499999999999996</c:v>
                </c:pt>
                <c:pt idx="479">
                  <c:v>4.5599999999999996</c:v>
                </c:pt>
                <c:pt idx="480">
                  <c:v>4.2699999999999996</c:v>
                </c:pt>
                <c:pt idx="481">
                  <c:v>5.21</c:v>
                </c:pt>
                <c:pt idx="482">
                  <c:v>4.6500000000000004</c:v>
                </c:pt>
                <c:pt idx="483">
                  <c:v>4.3099999999999996</c:v>
                </c:pt>
                <c:pt idx="484">
                  <c:v>4.3499999999999996</c:v>
                </c:pt>
                <c:pt idx="485">
                  <c:v>4.3499999999999996</c:v>
                </c:pt>
                <c:pt idx="486">
                  <c:v>5.99</c:v>
                </c:pt>
                <c:pt idx="487">
                  <c:v>5.35</c:v>
                </c:pt>
                <c:pt idx="488">
                  <c:v>6.55</c:v>
                </c:pt>
                <c:pt idx="489">
                  <c:v>7.09</c:v>
                </c:pt>
                <c:pt idx="490">
                  <c:v>6.22</c:v>
                </c:pt>
                <c:pt idx="491">
                  <c:v>6.51</c:v>
                </c:pt>
                <c:pt idx="492">
                  <c:v>6.03</c:v>
                </c:pt>
                <c:pt idx="493">
                  <c:v>5.53</c:v>
                </c:pt>
                <c:pt idx="494">
                  <c:v>4.7300000000000004</c:v>
                </c:pt>
                <c:pt idx="495">
                  <c:v>4.4000000000000004</c:v>
                </c:pt>
                <c:pt idx="496">
                  <c:v>4.3099999999999996</c:v>
                </c:pt>
                <c:pt idx="497">
                  <c:v>2.64</c:v>
                </c:pt>
                <c:pt idx="498">
                  <c:v>1.91</c:v>
                </c:pt>
                <c:pt idx="499">
                  <c:v>2</c:v>
                </c:pt>
                <c:pt idx="500">
                  <c:v>1.56</c:v>
                </c:pt>
                <c:pt idx="501">
                  <c:v>1.58</c:v>
                </c:pt>
                <c:pt idx="502">
                  <c:v>1.29</c:v>
                </c:pt>
                <c:pt idx="503">
                  <c:v>1.25</c:v>
                </c:pt>
                <c:pt idx="504">
                  <c:v>1.23</c:v>
                </c:pt>
                <c:pt idx="505">
                  <c:v>0.99</c:v>
                </c:pt>
                <c:pt idx="506">
                  <c:v>1.1399999999999999</c:v>
                </c:pt>
                <c:pt idx="507">
                  <c:v>1.3</c:v>
                </c:pt>
                <c:pt idx="508">
                  <c:v>1.46</c:v>
                </c:pt>
                <c:pt idx="509">
                  <c:v>1.24</c:v>
                </c:pt>
                <c:pt idx="510">
                  <c:v>0.99</c:v>
                </c:pt>
                <c:pt idx="511">
                  <c:v>1.68</c:v>
                </c:pt>
                <c:pt idx="512">
                  <c:v>1.95</c:v>
                </c:pt>
                <c:pt idx="513">
                  <c:v>1.9</c:v>
                </c:pt>
                <c:pt idx="514">
                  <c:v>2.09</c:v>
                </c:pt>
                <c:pt idx="515">
                  <c:v>1.97</c:v>
                </c:pt>
                <c:pt idx="516">
                  <c:v>2.21</c:v>
                </c:pt>
                <c:pt idx="517">
                  <c:v>2.02</c:v>
                </c:pt>
                <c:pt idx="518">
                  <c:v>1.72</c:v>
                </c:pt>
                <c:pt idx="519">
                  <c:v>2.19</c:v>
                </c:pt>
                <c:pt idx="520">
                  <c:v>2.19</c:v>
                </c:pt>
                <c:pt idx="521">
                  <c:v>1.1399999999999999</c:v>
                </c:pt>
                <c:pt idx="522">
                  <c:v>0.87</c:v>
                </c:pt>
                <c:pt idx="523">
                  <c:v>1.17</c:v>
                </c:pt>
                <c:pt idx="524">
                  <c:v>1.37</c:v>
                </c:pt>
                <c:pt idx="525">
                  <c:v>1.81</c:v>
                </c:pt>
                <c:pt idx="526">
                  <c:v>2.0099999999999998</c:v>
                </c:pt>
                <c:pt idx="527">
                  <c:v>1.64</c:v>
                </c:pt>
                <c:pt idx="528">
                  <c:v>1.1399999999999999</c:v>
                </c:pt>
                <c:pt idx="529">
                  <c:v>1.28</c:v>
                </c:pt>
                <c:pt idx="530">
                  <c:v>1.73</c:v>
                </c:pt>
                <c:pt idx="531">
                  <c:v>2.92</c:v>
                </c:pt>
                <c:pt idx="532">
                  <c:v>3.05</c:v>
                </c:pt>
                <c:pt idx="533">
                  <c:v>2.96</c:v>
                </c:pt>
                <c:pt idx="534">
                  <c:v>3.79</c:v>
                </c:pt>
                <c:pt idx="535">
                  <c:v>3.51</c:v>
                </c:pt>
                <c:pt idx="536">
                  <c:v>3.02</c:v>
                </c:pt>
                <c:pt idx="537">
                  <c:v>3.27</c:v>
                </c:pt>
                <c:pt idx="538">
                  <c:v>3.83</c:v>
                </c:pt>
                <c:pt idx="539">
                  <c:v>4</c:v>
                </c:pt>
                <c:pt idx="540">
                  <c:v>3.76</c:v>
                </c:pt>
                <c:pt idx="541">
                  <c:v>3.96</c:v>
                </c:pt>
                <c:pt idx="542">
                  <c:v>4</c:v>
                </c:pt>
                <c:pt idx="543">
                  <c:v>3</c:v>
                </c:pt>
                <c:pt idx="544">
                  <c:v>3.11</c:v>
                </c:pt>
                <c:pt idx="545">
                  <c:v>2.17</c:v>
                </c:pt>
                <c:pt idx="546">
                  <c:v>2.41</c:v>
                </c:pt>
                <c:pt idx="547">
                  <c:v>2.2200000000000002</c:v>
                </c:pt>
                <c:pt idx="548">
                  <c:v>2.0099999999999998</c:v>
                </c:pt>
                <c:pt idx="549">
                  <c:v>1.94</c:v>
                </c:pt>
                <c:pt idx="550">
                  <c:v>1.23</c:v>
                </c:pt>
                <c:pt idx="551">
                  <c:v>1.07</c:v>
                </c:pt>
                <c:pt idx="552">
                  <c:v>0.96</c:v>
                </c:pt>
                <c:pt idx="553">
                  <c:v>1.05</c:v>
                </c:pt>
                <c:pt idx="554">
                  <c:v>1.02</c:v>
                </c:pt>
                <c:pt idx="555">
                  <c:v>0.91</c:v>
                </c:pt>
                <c:pt idx="556">
                  <c:v>1.1499999999999999</c:v>
                </c:pt>
                <c:pt idx="557">
                  <c:v>2.27</c:v>
                </c:pt>
                <c:pt idx="558">
                  <c:v>3.19</c:v>
                </c:pt>
                <c:pt idx="559">
                  <c:v>3.75</c:v>
                </c:pt>
                <c:pt idx="560">
                  <c:v>3.79</c:v>
                </c:pt>
                <c:pt idx="561">
                  <c:v>3.35</c:v>
                </c:pt>
                <c:pt idx="562">
                  <c:v>3.57</c:v>
                </c:pt>
                <c:pt idx="563">
                  <c:v>3.23</c:v>
                </c:pt>
                <c:pt idx="564">
                  <c:v>3.3</c:v>
                </c:pt>
                <c:pt idx="565">
                  <c:v>2.59</c:v>
                </c:pt>
                <c:pt idx="566">
                  <c:v>3.41</c:v>
                </c:pt>
                <c:pt idx="567">
                  <c:v>4.2</c:v>
                </c:pt>
                <c:pt idx="568">
                  <c:v>3.56</c:v>
                </c:pt>
                <c:pt idx="569">
                  <c:v>4.46</c:v>
                </c:pt>
                <c:pt idx="570">
                  <c:v>4.01</c:v>
                </c:pt>
                <c:pt idx="571">
                  <c:v>3.32</c:v>
                </c:pt>
                <c:pt idx="572">
                  <c:v>2.66</c:v>
                </c:pt>
                <c:pt idx="573">
                  <c:v>2.37</c:v>
                </c:pt>
                <c:pt idx="574">
                  <c:v>2.2799999999999998</c:v>
                </c:pt>
                <c:pt idx="575">
                  <c:v>1.52</c:v>
                </c:pt>
                <c:pt idx="576">
                  <c:v>1.31</c:v>
                </c:pt>
                <c:pt idx="577">
                  <c:v>1.1000000000000001</c:v>
                </c:pt>
                <c:pt idx="578">
                  <c:v>1.73</c:v>
                </c:pt>
                <c:pt idx="579">
                  <c:v>1.85</c:v>
                </c:pt>
                <c:pt idx="580">
                  <c:v>3.21</c:v>
                </c:pt>
                <c:pt idx="581">
                  <c:v>2.61</c:v>
                </c:pt>
                <c:pt idx="582">
                  <c:v>2.61</c:v>
                </c:pt>
                <c:pt idx="583">
                  <c:v>3.21</c:v>
                </c:pt>
                <c:pt idx="584">
                  <c:v>3.27</c:v>
                </c:pt>
                <c:pt idx="585">
                  <c:v>2.9</c:v>
                </c:pt>
                <c:pt idx="586">
                  <c:v>2.67</c:v>
                </c:pt>
                <c:pt idx="587">
                  <c:v>2.9</c:v>
                </c:pt>
                <c:pt idx="588">
                  <c:v>3.53</c:v>
                </c:pt>
                <c:pt idx="589">
                  <c:v>3.4</c:v>
                </c:pt>
                <c:pt idx="590">
                  <c:v>3.08</c:v>
                </c:pt>
                <c:pt idx="591">
                  <c:v>3.88</c:v>
                </c:pt>
                <c:pt idx="592">
                  <c:v>3.67</c:v>
                </c:pt>
                <c:pt idx="593">
                  <c:v>3.67</c:v>
                </c:pt>
                <c:pt idx="594">
                  <c:v>3.67</c:v>
                </c:pt>
                <c:pt idx="595">
                  <c:v>4.33</c:v>
                </c:pt>
                <c:pt idx="596">
                  <c:v>4.1100000000000003</c:v>
                </c:pt>
                <c:pt idx="597">
                  <c:v>3.96</c:v>
                </c:pt>
                <c:pt idx="598">
                  <c:v>3.74</c:v>
                </c:pt>
                <c:pt idx="599">
                  <c:v>4.33</c:v>
                </c:pt>
                <c:pt idx="600">
                  <c:v>4.33</c:v>
                </c:pt>
                <c:pt idx="601">
                  <c:v>3.88</c:v>
                </c:pt>
                <c:pt idx="602">
                  <c:v>3.67</c:v>
                </c:pt>
                <c:pt idx="603">
                  <c:v>3.67</c:v>
                </c:pt>
                <c:pt idx="604">
                  <c:v>4.33</c:v>
                </c:pt>
                <c:pt idx="605">
                  <c:v>4.1100000000000003</c:v>
                </c:pt>
                <c:pt idx="606">
                  <c:v>3.88</c:v>
                </c:pt>
                <c:pt idx="607">
                  <c:v>3.74</c:v>
                </c:pt>
                <c:pt idx="608">
                  <c:v>4.1100000000000003</c:v>
                </c:pt>
                <c:pt idx="609">
                  <c:v>4.6500000000000004</c:v>
                </c:pt>
                <c:pt idx="610">
                  <c:v>4.18</c:v>
                </c:pt>
                <c:pt idx="611">
                  <c:v>4.18</c:v>
                </c:pt>
                <c:pt idx="612">
                  <c:v>3.74</c:v>
                </c:pt>
                <c:pt idx="613">
                  <c:v>3.88</c:v>
                </c:pt>
                <c:pt idx="614">
                  <c:v>4.03</c:v>
                </c:pt>
                <c:pt idx="615">
                  <c:v>3.96</c:v>
                </c:pt>
                <c:pt idx="616">
                  <c:v>3.81</c:v>
                </c:pt>
                <c:pt idx="617">
                  <c:v>3.81</c:v>
                </c:pt>
                <c:pt idx="618">
                  <c:v>3.74</c:v>
                </c:pt>
                <c:pt idx="619">
                  <c:v>4.7300000000000004</c:v>
                </c:pt>
                <c:pt idx="620">
                  <c:v>4.6500000000000004</c:v>
                </c:pt>
                <c:pt idx="621">
                  <c:v>4.1100000000000003</c:v>
                </c:pt>
                <c:pt idx="622">
                  <c:v>3.74</c:v>
                </c:pt>
                <c:pt idx="623">
                  <c:v>3.96</c:v>
                </c:pt>
                <c:pt idx="624">
                  <c:v>4.57</c:v>
                </c:pt>
                <c:pt idx="625">
                  <c:v>3.96</c:v>
                </c:pt>
                <c:pt idx="626">
                  <c:v>3.88</c:v>
                </c:pt>
                <c:pt idx="627">
                  <c:v>3.53</c:v>
                </c:pt>
                <c:pt idx="628">
                  <c:v>4.49</c:v>
                </c:pt>
                <c:pt idx="629">
                  <c:v>3.96</c:v>
                </c:pt>
                <c:pt idx="630">
                  <c:v>3.88</c:v>
                </c:pt>
                <c:pt idx="631">
                  <c:v>3.67</c:v>
                </c:pt>
                <c:pt idx="632">
                  <c:v>4.26</c:v>
                </c:pt>
                <c:pt idx="633">
                  <c:v>4.49</c:v>
                </c:pt>
                <c:pt idx="634">
                  <c:v>3.96</c:v>
                </c:pt>
                <c:pt idx="635">
                  <c:v>3.88</c:v>
                </c:pt>
                <c:pt idx="636">
                  <c:v>3.53</c:v>
                </c:pt>
                <c:pt idx="637">
                  <c:v>4.26</c:v>
                </c:pt>
                <c:pt idx="638">
                  <c:v>4.57</c:v>
                </c:pt>
                <c:pt idx="639">
                  <c:v>3.96</c:v>
                </c:pt>
                <c:pt idx="640">
                  <c:v>3.81</c:v>
                </c:pt>
                <c:pt idx="641">
                  <c:v>3.74</c:v>
                </c:pt>
                <c:pt idx="642">
                  <c:v>3.6</c:v>
                </c:pt>
                <c:pt idx="643">
                  <c:v>4.26</c:v>
                </c:pt>
                <c:pt idx="644">
                  <c:v>4.49</c:v>
                </c:pt>
                <c:pt idx="645">
                  <c:v>4.57</c:v>
                </c:pt>
                <c:pt idx="646">
                  <c:v>4.41</c:v>
                </c:pt>
                <c:pt idx="647">
                  <c:v>3.88</c:v>
                </c:pt>
                <c:pt idx="648">
                  <c:v>3.81</c:v>
                </c:pt>
                <c:pt idx="649">
                  <c:v>4.33</c:v>
                </c:pt>
                <c:pt idx="650">
                  <c:v>4.7300000000000004</c:v>
                </c:pt>
                <c:pt idx="651">
                  <c:v>5.07</c:v>
                </c:pt>
                <c:pt idx="652">
                  <c:v>4.57</c:v>
                </c:pt>
                <c:pt idx="653">
                  <c:v>5.15</c:v>
                </c:pt>
                <c:pt idx="654">
                  <c:v>5.07</c:v>
                </c:pt>
                <c:pt idx="655">
                  <c:v>4.6500000000000004</c:v>
                </c:pt>
                <c:pt idx="656">
                  <c:v>4.26</c:v>
                </c:pt>
                <c:pt idx="657">
                  <c:v>3.96</c:v>
                </c:pt>
                <c:pt idx="658">
                  <c:v>4.03</c:v>
                </c:pt>
                <c:pt idx="659">
                  <c:v>4.33</c:v>
                </c:pt>
                <c:pt idx="660">
                  <c:v>3.96</c:v>
                </c:pt>
                <c:pt idx="661">
                  <c:v>3.96</c:v>
                </c:pt>
                <c:pt idx="662">
                  <c:v>3.6</c:v>
                </c:pt>
                <c:pt idx="663">
                  <c:v>3.6</c:v>
                </c:pt>
                <c:pt idx="664">
                  <c:v>3.74</c:v>
                </c:pt>
                <c:pt idx="665">
                  <c:v>3.67</c:v>
                </c:pt>
                <c:pt idx="666">
                  <c:v>3.53</c:v>
                </c:pt>
                <c:pt idx="667">
                  <c:v>3.21</c:v>
                </c:pt>
                <c:pt idx="668">
                  <c:v>3.14</c:v>
                </c:pt>
                <c:pt idx="669">
                  <c:v>3.6</c:v>
                </c:pt>
                <c:pt idx="670">
                  <c:v>3.81</c:v>
                </c:pt>
                <c:pt idx="671">
                  <c:v>3.47</c:v>
                </c:pt>
                <c:pt idx="672">
                  <c:v>3.34</c:v>
                </c:pt>
                <c:pt idx="673">
                  <c:v>3.34</c:v>
                </c:pt>
                <c:pt idx="674">
                  <c:v>3.21</c:v>
                </c:pt>
                <c:pt idx="675">
                  <c:v>3.53</c:v>
                </c:pt>
                <c:pt idx="676">
                  <c:v>3.67</c:v>
                </c:pt>
                <c:pt idx="677">
                  <c:v>3.53</c:v>
                </c:pt>
                <c:pt idx="678">
                  <c:v>3.34</c:v>
                </c:pt>
                <c:pt idx="679">
                  <c:v>3.21</c:v>
                </c:pt>
                <c:pt idx="680">
                  <c:v>3.4</c:v>
                </c:pt>
                <c:pt idx="681">
                  <c:v>3.53</c:v>
                </c:pt>
                <c:pt idx="682">
                  <c:v>3.08</c:v>
                </c:pt>
                <c:pt idx="683">
                  <c:v>3.08</c:v>
                </c:pt>
                <c:pt idx="684">
                  <c:v>3.14</c:v>
                </c:pt>
                <c:pt idx="685">
                  <c:v>1.42</c:v>
                </c:pt>
                <c:pt idx="686">
                  <c:v>2.75</c:v>
                </c:pt>
                <c:pt idx="687">
                  <c:v>3.85</c:v>
                </c:pt>
                <c:pt idx="688">
                  <c:v>2.99</c:v>
                </c:pt>
                <c:pt idx="689">
                  <c:v>4.07</c:v>
                </c:pt>
                <c:pt idx="690">
                  <c:v>3.24</c:v>
                </c:pt>
                <c:pt idx="691">
                  <c:v>2.99</c:v>
                </c:pt>
                <c:pt idx="692">
                  <c:v>3.57</c:v>
                </c:pt>
                <c:pt idx="693">
                  <c:v>3.24</c:v>
                </c:pt>
                <c:pt idx="694">
                  <c:v>2.93</c:v>
                </c:pt>
                <c:pt idx="695">
                  <c:v>3.6</c:v>
                </c:pt>
                <c:pt idx="696">
                  <c:v>2.75</c:v>
                </c:pt>
                <c:pt idx="697">
                  <c:v>3.21</c:v>
                </c:pt>
                <c:pt idx="698">
                  <c:v>3.37</c:v>
                </c:pt>
                <c:pt idx="699">
                  <c:v>3.81</c:v>
                </c:pt>
                <c:pt idx="700">
                  <c:v>4.53</c:v>
                </c:pt>
                <c:pt idx="701">
                  <c:v>4.7300000000000004</c:v>
                </c:pt>
                <c:pt idx="702">
                  <c:v>3.96</c:v>
                </c:pt>
                <c:pt idx="703">
                  <c:v>3.43</c:v>
                </c:pt>
                <c:pt idx="704">
                  <c:v>3.67</c:v>
                </c:pt>
                <c:pt idx="705">
                  <c:v>2.73</c:v>
                </c:pt>
                <c:pt idx="706">
                  <c:v>2.67</c:v>
                </c:pt>
                <c:pt idx="707">
                  <c:v>1.49</c:v>
                </c:pt>
                <c:pt idx="708">
                  <c:v>2.33</c:v>
                </c:pt>
                <c:pt idx="709">
                  <c:v>2</c:v>
                </c:pt>
                <c:pt idx="710">
                  <c:v>1.45</c:v>
                </c:pt>
                <c:pt idx="711">
                  <c:v>1.36</c:v>
                </c:pt>
                <c:pt idx="712">
                  <c:v>1.43</c:v>
                </c:pt>
                <c:pt idx="713">
                  <c:v>1.78</c:v>
                </c:pt>
                <c:pt idx="714">
                  <c:v>2.87</c:v>
                </c:pt>
                <c:pt idx="715">
                  <c:v>3.12</c:v>
                </c:pt>
                <c:pt idx="716">
                  <c:v>2.96</c:v>
                </c:pt>
                <c:pt idx="717">
                  <c:v>3.49</c:v>
                </c:pt>
                <c:pt idx="718">
                  <c:v>3.24</c:v>
                </c:pt>
                <c:pt idx="719">
                  <c:v>3.37</c:v>
                </c:pt>
                <c:pt idx="720">
                  <c:v>3.04</c:v>
                </c:pt>
                <c:pt idx="721">
                  <c:v>2.86</c:v>
                </c:pt>
                <c:pt idx="722">
                  <c:v>4.0999999999999996</c:v>
                </c:pt>
                <c:pt idx="723">
                  <c:v>3.46</c:v>
                </c:pt>
                <c:pt idx="724">
                  <c:v>2.59</c:v>
                </c:pt>
                <c:pt idx="725">
                  <c:v>2.06</c:v>
                </c:pt>
                <c:pt idx="726">
                  <c:v>2.4700000000000002</c:v>
                </c:pt>
                <c:pt idx="727">
                  <c:v>2.66</c:v>
                </c:pt>
                <c:pt idx="728">
                  <c:v>2.02</c:v>
                </c:pt>
                <c:pt idx="729">
                  <c:v>1.82</c:v>
                </c:pt>
                <c:pt idx="730">
                  <c:v>1.49</c:v>
                </c:pt>
                <c:pt idx="731">
                  <c:v>1.4</c:v>
                </c:pt>
                <c:pt idx="732">
                  <c:v>1.08</c:v>
                </c:pt>
                <c:pt idx="733">
                  <c:v>0.87</c:v>
                </c:pt>
                <c:pt idx="734">
                  <c:v>1.1200000000000001</c:v>
                </c:pt>
                <c:pt idx="735">
                  <c:v>1.25</c:v>
                </c:pt>
                <c:pt idx="736">
                  <c:v>1.01</c:v>
                </c:pt>
                <c:pt idx="737">
                  <c:v>0.9</c:v>
                </c:pt>
                <c:pt idx="738">
                  <c:v>1.02</c:v>
                </c:pt>
                <c:pt idx="739">
                  <c:v>2.21</c:v>
                </c:pt>
                <c:pt idx="740">
                  <c:v>3.59</c:v>
                </c:pt>
                <c:pt idx="741">
                  <c:v>4.18</c:v>
                </c:pt>
                <c:pt idx="742">
                  <c:v>3.42</c:v>
                </c:pt>
                <c:pt idx="743">
                  <c:v>4.16</c:v>
                </c:pt>
                <c:pt idx="744">
                  <c:v>3.74</c:v>
                </c:pt>
                <c:pt idx="745">
                  <c:v>2.76</c:v>
                </c:pt>
                <c:pt idx="746">
                  <c:v>3.28</c:v>
                </c:pt>
                <c:pt idx="747">
                  <c:v>3.25</c:v>
                </c:pt>
                <c:pt idx="748">
                  <c:v>2.95</c:v>
                </c:pt>
                <c:pt idx="749">
                  <c:v>2.66</c:v>
                </c:pt>
                <c:pt idx="750">
                  <c:v>3.61</c:v>
                </c:pt>
                <c:pt idx="751">
                  <c:v>3.96</c:v>
                </c:pt>
                <c:pt idx="752">
                  <c:v>4.8</c:v>
                </c:pt>
                <c:pt idx="753">
                  <c:v>4.4800000000000004</c:v>
                </c:pt>
                <c:pt idx="754">
                  <c:v>5.13</c:v>
                </c:pt>
                <c:pt idx="755">
                  <c:v>4.18</c:v>
                </c:pt>
                <c:pt idx="756">
                  <c:v>4</c:v>
                </c:pt>
                <c:pt idx="757">
                  <c:v>3.01</c:v>
                </c:pt>
                <c:pt idx="758">
                  <c:v>2.7</c:v>
                </c:pt>
                <c:pt idx="759">
                  <c:v>2.33</c:v>
                </c:pt>
                <c:pt idx="760">
                  <c:v>2.1800000000000002</c:v>
                </c:pt>
                <c:pt idx="761">
                  <c:v>1.96</c:v>
                </c:pt>
                <c:pt idx="762">
                  <c:v>1.64</c:v>
                </c:pt>
                <c:pt idx="763">
                  <c:v>1.58</c:v>
                </c:pt>
                <c:pt idx="764">
                  <c:v>1.68</c:v>
                </c:pt>
                <c:pt idx="765">
                  <c:v>1.74</c:v>
                </c:pt>
                <c:pt idx="766">
                  <c:v>1.87</c:v>
                </c:pt>
                <c:pt idx="767">
                  <c:v>2.99</c:v>
                </c:pt>
                <c:pt idx="768">
                  <c:v>2.4</c:v>
                </c:pt>
                <c:pt idx="769">
                  <c:v>2.67</c:v>
                </c:pt>
                <c:pt idx="770">
                  <c:v>3.14</c:v>
                </c:pt>
                <c:pt idx="771">
                  <c:v>2.85</c:v>
                </c:pt>
                <c:pt idx="772">
                  <c:v>2.58</c:v>
                </c:pt>
                <c:pt idx="773">
                  <c:v>2.85</c:v>
                </c:pt>
                <c:pt idx="774">
                  <c:v>3.28</c:v>
                </c:pt>
                <c:pt idx="775">
                  <c:v>3.09</c:v>
                </c:pt>
                <c:pt idx="776">
                  <c:v>3.96</c:v>
                </c:pt>
                <c:pt idx="777">
                  <c:v>3.56</c:v>
                </c:pt>
                <c:pt idx="778">
                  <c:v>3.37</c:v>
                </c:pt>
                <c:pt idx="779">
                  <c:v>4.01</c:v>
                </c:pt>
                <c:pt idx="780">
                  <c:v>4.0599999999999996</c:v>
                </c:pt>
                <c:pt idx="781">
                  <c:v>3.81</c:v>
                </c:pt>
                <c:pt idx="782">
                  <c:v>3.47</c:v>
                </c:pt>
                <c:pt idx="783">
                  <c:v>3.66</c:v>
                </c:pt>
                <c:pt idx="784">
                  <c:v>4.16</c:v>
                </c:pt>
                <c:pt idx="785">
                  <c:v>3.86</c:v>
                </c:pt>
                <c:pt idx="786">
                  <c:v>3.56</c:v>
                </c:pt>
                <c:pt idx="787">
                  <c:v>3.42</c:v>
                </c:pt>
                <c:pt idx="788">
                  <c:v>3.76</c:v>
                </c:pt>
                <c:pt idx="789">
                  <c:v>4.1100000000000003</c:v>
                </c:pt>
                <c:pt idx="790">
                  <c:v>3.66</c:v>
                </c:pt>
                <c:pt idx="791">
                  <c:v>3.52</c:v>
                </c:pt>
                <c:pt idx="792">
                  <c:v>3.42</c:v>
                </c:pt>
                <c:pt idx="793">
                  <c:v>4.16</c:v>
                </c:pt>
                <c:pt idx="794">
                  <c:v>4.3099999999999996</c:v>
                </c:pt>
                <c:pt idx="795">
                  <c:v>3.91</c:v>
                </c:pt>
                <c:pt idx="796">
                  <c:v>3.71</c:v>
                </c:pt>
                <c:pt idx="797">
                  <c:v>3.47</c:v>
                </c:pt>
                <c:pt idx="798">
                  <c:v>3.76</c:v>
                </c:pt>
                <c:pt idx="799">
                  <c:v>3.96</c:v>
                </c:pt>
                <c:pt idx="800">
                  <c:v>3.81</c:v>
                </c:pt>
                <c:pt idx="801">
                  <c:v>3.66</c:v>
                </c:pt>
                <c:pt idx="802">
                  <c:v>3.42</c:v>
                </c:pt>
                <c:pt idx="803">
                  <c:v>4.0599999999999996</c:v>
                </c:pt>
                <c:pt idx="804">
                  <c:v>4.72</c:v>
                </c:pt>
                <c:pt idx="805">
                  <c:v>4.1100000000000003</c:v>
                </c:pt>
                <c:pt idx="806">
                  <c:v>3.71</c:v>
                </c:pt>
                <c:pt idx="807">
                  <c:v>3.47</c:v>
                </c:pt>
                <c:pt idx="808">
                  <c:v>4.21</c:v>
                </c:pt>
                <c:pt idx="809">
                  <c:v>4.1100000000000003</c:v>
                </c:pt>
                <c:pt idx="810">
                  <c:v>3.81</c:v>
                </c:pt>
                <c:pt idx="811">
                  <c:v>3.52</c:v>
                </c:pt>
                <c:pt idx="812">
                  <c:v>3.47</c:v>
                </c:pt>
                <c:pt idx="813">
                  <c:v>3.81</c:v>
                </c:pt>
                <c:pt idx="814">
                  <c:v>4.16</c:v>
                </c:pt>
                <c:pt idx="815">
                  <c:v>3.76</c:v>
                </c:pt>
                <c:pt idx="816">
                  <c:v>3.52</c:v>
                </c:pt>
                <c:pt idx="817">
                  <c:v>3.42</c:v>
                </c:pt>
                <c:pt idx="818">
                  <c:v>3.56</c:v>
                </c:pt>
                <c:pt idx="819">
                  <c:v>4.3600000000000003</c:v>
                </c:pt>
                <c:pt idx="820">
                  <c:v>4.1100000000000003</c:v>
                </c:pt>
                <c:pt idx="821">
                  <c:v>3.71</c:v>
                </c:pt>
                <c:pt idx="822">
                  <c:v>3.52</c:v>
                </c:pt>
                <c:pt idx="823">
                  <c:v>3.42</c:v>
                </c:pt>
                <c:pt idx="824">
                  <c:v>4.26</c:v>
                </c:pt>
                <c:pt idx="825">
                  <c:v>4.21</c:v>
                </c:pt>
                <c:pt idx="826">
                  <c:v>3.91</c:v>
                </c:pt>
                <c:pt idx="827">
                  <c:v>3.71</c:v>
                </c:pt>
                <c:pt idx="828">
                  <c:v>3.52</c:v>
                </c:pt>
                <c:pt idx="829">
                  <c:v>3.71</c:v>
                </c:pt>
                <c:pt idx="830">
                  <c:v>4.46</c:v>
                </c:pt>
                <c:pt idx="831">
                  <c:v>4.3600000000000003</c:v>
                </c:pt>
                <c:pt idx="832">
                  <c:v>4.46</c:v>
                </c:pt>
                <c:pt idx="833">
                  <c:v>4.01</c:v>
                </c:pt>
                <c:pt idx="834">
                  <c:v>3.81</c:v>
                </c:pt>
                <c:pt idx="835">
                  <c:v>4.01</c:v>
                </c:pt>
                <c:pt idx="836">
                  <c:v>4.21</c:v>
                </c:pt>
                <c:pt idx="837">
                  <c:v>4.87</c:v>
                </c:pt>
                <c:pt idx="838">
                  <c:v>4.6100000000000003</c:v>
                </c:pt>
                <c:pt idx="839">
                  <c:v>4.5599999999999996</c:v>
                </c:pt>
                <c:pt idx="840">
                  <c:v>4.5599999999999996</c:v>
                </c:pt>
                <c:pt idx="841">
                  <c:v>5.08</c:v>
                </c:pt>
                <c:pt idx="842">
                  <c:v>4.7699999999999996</c:v>
                </c:pt>
                <c:pt idx="843">
                  <c:v>4.41</c:v>
                </c:pt>
                <c:pt idx="844">
                  <c:v>4.1100000000000003</c:v>
                </c:pt>
                <c:pt idx="845">
                  <c:v>3.86</c:v>
                </c:pt>
                <c:pt idx="846">
                  <c:v>4.21</c:v>
                </c:pt>
                <c:pt idx="847">
                  <c:v>4.26</c:v>
                </c:pt>
                <c:pt idx="848">
                  <c:v>4.1100000000000003</c:v>
                </c:pt>
                <c:pt idx="849">
                  <c:v>3.42</c:v>
                </c:pt>
                <c:pt idx="850">
                  <c:v>3.37</c:v>
                </c:pt>
                <c:pt idx="851">
                  <c:v>3.47</c:v>
                </c:pt>
                <c:pt idx="852">
                  <c:v>3.66</c:v>
                </c:pt>
                <c:pt idx="853">
                  <c:v>3.52</c:v>
                </c:pt>
                <c:pt idx="854">
                  <c:v>3.28</c:v>
                </c:pt>
                <c:pt idx="855">
                  <c:v>3.18</c:v>
                </c:pt>
                <c:pt idx="856">
                  <c:v>3.28</c:v>
                </c:pt>
                <c:pt idx="857">
                  <c:v>3.56</c:v>
                </c:pt>
                <c:pt idx="858">
                  <c:v>3.56</c:v>
                </c:pt>
                <c:pt idx="859">
                  <c:v>3.47</c:v>
                </c:pt>
                <c:pt idx="860">
                  <c:v>3.32</c:v>
                </c:pt>
                <c:pt idx="861">
                  <c:v>3.23</c:v>
                </c:pt>
                <c:pt idx="862">
                  <c:v>3.28</c:v>
                </c:pt>
                <c:pt idx="863">
                  <c:v>3.47</c:v>
                </c:pt>
                <c:pt idx="864">
                  <c:v>3.52</c:v>
                </c:pt>
                <c:pt idx="865">
                  <c:v>3.32</c:v>
                </c:pt>
                <c:pt idx="866">
                  <c:v>3.18</c:v>
                </c:pt>
                <c:pt idx="867">
                  <c:v>3.09</c:v>
                </c:pt>
                <c:pt idx="868">
                  <c:v>3.14</c:v>
                </c:pt>
                <c:pt idx="869">
                  <c:v>3.14</c:v>
                </c:pt>
                <c:pt idx="870">
                  <c:v>3.04</c:v>
                </c:pt>
                <c:pt idx="871">
                  <c:v>2.95</c:v>
                </c:pt>
                <c:pt idx="872">
                  <c:v>2.76</c:v>
                </c:pt>
                <c:pt idx="873">
                  <c:v>2.85</c:v>
                </c:pt>
                <c:pt idx="874">
                  <c:v>1.85</c:v>
                </c:pt>
                <c:pt idx="875">
                  <c:v>3.34</c:v>
                </c:pt>
                <c:pt idx="876">
                  <c:v>3.6</c:v>
                </c:pt>
                <c:pt idx="877">
                  <c:v>3.85</c:v>
                </c:pt>
                <c:pt idx="878">
                  <c:v>4.38</c:v>
                </c:pt>
                <c:pt idx="879">
                  <c:v>3.63</c:v>
                </c:pt>
                <c:pt idx="880">
                  <c:v>3.2</c:v>
                </c:pt>
                <c:pt idx="881">
                  <c:v>3.4</c:v>
                </c:pt>
                <c:pt idx="882">
                  <c:v>3.08</c:v>
                </c:pt>
                <c:pt idx="883">
                  <c:v>3.03</c:v>
                </c:pt>
                <c:pt idx="884">
                  <c:v>3.49</c:v>
                </c:pt>
                <c:pt idx="885">
                  <c:v>2.94</c:v>
                </c:pt>
                <c:pt idx="886">
                  <c:v>3.4</c:v>
                </c:pt>
                <c:pt idx="887">
                  <c:v>3.11</c:v>
                </c:pt>
                <c:pt idx="888">
                  <c:v>4.3499999999999996</c:v>
                </c:pt>
                <c:pt idx="889">
                  <c:v>3.75</c:v>
                </c:pt>
                <c:pt idx="890">
                  <c:v>4.6399999999999997</c:v>
                </c:pt>
                <c:pt idx="891">
                  <c:v>3.88</c:v>
                </c:pt>
                <c:pt idx="892">
                  <c:v>3.22</c:v>
                </c:pt>
                <c:pt idx="893">
                  <c:v>3.22</c:v>
                </c:pt>
                <c:pt idx="894">
                  <c:v>2.4900000000000002</c:v>
                </c:pt>
                <c:pt idx="895">
                  <c:v>2.41</c:v>
                </c:pt>
                <c:pt idx="896">
                  <c:v>0.67</c:v>
                </c:pt>
                <c:pt idx="897">
                  <c:v>0.59</c:v>
                </c:pt>
                <c:pt idx="898">
                  <c:v>0.69</c:v>
                </c:pt>
                <c:pt idx="899">
                  <c:v>0.83</c:v>
                </c:pt>
                <c:pt idx="900">
                  <c:v>0.8</c:v>
                </c:pt>
                <c:pt idx="901">
                  <c:v>0.68</c:v>
                </c:pt>
                <c:pt idx="902">
                  <c:v>1.01</c:v>
                </c:pt>
                <c:pt idx="903">
                  <c:v>1.25</c:v>
                </c:pt>
                <c:pt idx="904">
                  <c:v>1.38</c:v>
                </c:pt>
                <c:pt idx="905">
                  <c:v>1.21</c:v>
                </c:pt>
                <c:pt idx="906">
                  <c:v>1.1399999999999999</c:v>
                </c:pt>
                <c:pt idx="907">
                  <c:v>0.9</c:v>
                </c:pt>
                <c:pt idx="908">
                  <c:v>1.49</c:v>
                </c:pt>
                <c:pt idx="909">
                  <c:v>1.26</c:v>
                </c:pt>
                <c:pt idx="910">
                  <c:v>0.76</c:v>
                </c:pt>
                <c:pt idx="911">
                  <c:v>0.56000000000000005</c:v>
                </c:pt>
                <c:pt idx="912">
                  <c:v>1.21</c:v>
                </c:pt>
                <c:pt idx="913">
                  <c:v>1.28</c:v>
                </c:pt>
                <c:pt idx="914">
                  <c:v>1.26</c:v>
                </c:pt>
                <c:pt idx="915">
                  <c:v>1.2</c:v>
                </c:pt>
                <c:pt idx="916">
                  <c:v>1.06</c:v>
                </c:pt>
                <c:pt idx="917">
                  <c:v>1.27</c:v>
                </c:pt>
                <c:pt idx="918">
                  <c:v>1.41</c:v>
                </c:pt>
                <c:pt idx="919">
                  <c:v>1.61</c:v>
                </c:pt>
                <c:pt idx="920">
                  <c:v>2.58</c:v>
                </c:pt>
                <c:pt idx="921">
                  <c:v>2.0499999999999998</c:v>
                </c:pt>
                <c:pt idx="922">
                  <c:v>2.2799999999999998</c:v>
                </c:pt>
                <c:pt idx="923">
                  <c:v>2.27</c:v>
                </c:pt>
                <c:pt idx="924">
                  <c:v>1.99</c:v>
                </c:pt>
                <c:pt idx="925">
                  <c:v>2.89</c:v>
                </c:pt>
                <c:pt idx="926">
                  <c:v>2.48</c:v>
                </c:pt>
                <c:pt idx="927">
                  <c:v>2.91</c:v>
                </c:pt>
                <c:pt idx="928">
                  <c:v>3.06</c:v>
                </c:pt>
                <c:pt idx="929">
                  <c:v>2.91</c:v>
                </c:pt>
                <c:pt idx="930">
                  <c:v>1.92</c:v>
                </c:pt>
                <c:pt idx="931">
                  <c:v>1.92</c:v>
                </c:pt>
                <c:pt idx="932">
                  <c:v>2.1</c:v>
                </c:pt>
                <c:pt idx="933">
                  <c:v>1.96</c:v>
                </c:pt>
                <c:pt idx="934">
                  <c:v>1.62</c:v>
                </c:pt>
                <c:pt idx="935">
                  <c:v>1.62</c:v>
                </c:pt>
                <c:pt idx="936">
                  <c:v>1.4</c:v>
                </c:pt>
                <c:pt idx="937">
                  <c:v>1.1000000000000001</c:v>
                </c:pt>
                <c:pt idx="938">
                  <c:v>0.83</c:v>
                </c:pt>
                <c:pt idx="939">
                  <c:v>0.8</c:v>
                </c:pt>
                <c:pt idx="940">
                  <c:v>0.71</c:v>
                </c:pt>
                <c:pt idx="941">
                  <c:v>1.98</c:v>
                </c:pt>
                <c:pt idx="942">
                  <c:v>2.88</c:v>
                </c:pt>
                <c:pt idx="943">
                  <c:v>2.46</c:v>
                </c:pt>
                <c:pt idx="944">
                  <c:v>3.09</c:v>
                </c:pt>
                <c:pt idx="945">
                  <c:v>2.06</c:v>
                </c:pt>
                <c:pt idx="946">
                  <c:v>2.2599999999999998</c:v>
                </c:pt>
                <c:pt idx="947">
                  <c:v>2.0299999999999998</c:v>
                </c:pt>
                <c:pt idx="948">
                  <c:v>2.27</c:v>
                </c:pt>
                <c:pt idx="949">
                  <c:v>3.1</c:v>
                </c:pt>
                <c:pt idx="950">
                  <c:v>3.25</c:v>
                </c:pt>
                <c:pt idx="951">
                  <c:v>2.85</c:v>
                </c:pt>
                <c:pt idx="952">
                  <c:v>2.94</c:v>
                </c:pt>
                <c:pt idx="953">
                  <c:v>2.39</c:v>
                </c:pt>
                <c:pt idx="954">
                  <c:v>1.93</c:v>
                </c:pt>
                <c:pt idx="955">
                  <c:v>1.37</c:v>
                </c:pt>
                <c:pt idx="956">
                  <c:v>1.38</c:v>
                </c:pt>
                <c:pt idx="957">
                  <c:v>1.1299999999999999</c:v>
                </c:pt>
                <c:pt idx="958">
                  <c:v>0.95</c:v>
                </c:pt>
                <c:pt idx="959">
                  <c:v>1.3</c:v>
                </c:pt>
                <c:pt idx="960">
                  <c:v>2.17</c:v>
                </c:pt>
                <c:pt idx="961">
                  <c:v>3.3</c:v>
                </c:pt>
                <c:pt idx="962">
                  <c:v>3.17</c:v>
                </c:pt>
                <c:pt idx="963">
                  <c:v>3.35</c:v>
                </c:pt>
                <c:pt idx="964">
                  <c:v>3.3</c:v>
                </c:pt>
                <c:pt idx="965">
                  <c:v>2.72</c:v>
                </c:pt>
                <c:pt idx="966">
                  <c:v>2.31</c:v>
                </c:pt>
                <c:pt idx="967">
                  <c:v>1.95</c:v>
                </c:pt>
                <c:pt idx="968">
                  <c:v>1.99</c:v>
                </c:pt>
                <c:pt idx="969">
                  <c:v>2.76</c:v>
                </c:pt>
                <c:pt idx="970">
                  <c:v>2.08</c:v>
                </c:pt>
                <c:pt idx="971">
                  <c:v>2.79</c:v>
                </c:pt>
                <c:pt idx="972">
                  <c:v>2.12</c:v>
                </c:pt>
                <c:pt idx="973">
                  <c:v>2.04</c:v>
                </c:pt>
                <c:pt idx="974">
                  <c:v>2.59</c:v>
                </c:pt>
                <c:pt idx="975">
                  <c:v>2.31</c:v>
                </c:pt>
                <c:pt idx="976">
                  <c:v>2.17</c:v>
                </c:pt>
                <c:pt idx="977">
                  <c:v>2.31</c:v>
                </c:pt>
                <c:pt idx="978">
                  <c:v>2.88</c:v>
                </c:pt>
                <c:pt idx="979">
                  <c:v>3.4</c:v>
                </c:pt>
                <c:pt idx="980">
                  <c:v>3.35</c:v>
                </c:pt>
                <c:pt idx="981">
                  <c:v>2.94</c:v>
                </c:pt>
                <c:pt idx="982">
                  <c:v>2.64</c:v>
                </c:pt>
                <c:pt idx="983">
                  <c:v>2.4500000000000002</c:v>
                </c:pt>
                <c:pt idx="984">
                  <c:v>2.69</c:v>
                </c:pt>
                <c:pt idx="985">
                  <c:v>2.4500000000000002</c:v>
                </c:pt>
                <c:pt idx="986">
                  <c:v>2.21</c:v>
                </c:pt>
                <c:pt idx="987">
                  <c:v>2.08</c:v>
                </c:pt>
                <c:pt idx="988">
                  <c:v>1.95</c:v>
                </c:pt>
                <c:pt idx="989" formatCode="0.00">
                  <c:v>2.1585916890923817</c:v>
                </c:pt>
                <c:pt idx="990" formatCode="0.00">
                  <c:v>2.3162789051904653</c:v>
                </c:pt>
                <c:pt idx="991" formatCode="0.00">
                  <c:v>2.2026689851982209</c:v>
                </c:pt>
                <c:pt idx="992" formatCode="0.00">
                  <c:v>1.929524699821799</c:v>
                </c:pt>
                <c:pt idx="993" formatCode="0.00">
                  <c:v>1.6685749603933837</c:v>
                </c:pt>
                <c:pt idx="994" formatCode="0.00">
                  <c:v>1.5998670727640885</c:v>
                </c:pt>
                <c:pt idx="995" formatCode="0.00">
                  <c:v>1.7398166685053424</c:v>
                </c:pt>
                <c:pt idx="996" formatCode="0.00">
                  <c:v>1.8902164784571094</c:v>
                </c:pt>
                <c:pt idx="997" formatCode="0.00">
                  <c:v>2.020558502166649</c:v>
                </c:pt>
                <c:pt idx="998" formatCode="0.00">
                  <c:v>2.0939045687398927</c:v>
                </c:pt>
                <c:pt idx="999" formatCode="0.00">
                  <c:v>2.4107767483328448</c:v>
                </c:pt>
                <c:pt idx="1000" formatCode="0.00">
                  <c:v>2.4107767483328448</c:v>
                </c:pt>
                <c:pt idx="1001" formatCode="0.00">
                  <c:v>2.6486599459985904</c:v>
                </c:pt>
                <c:pt idx="1002" formatCode="0.00">
                  <c:v>2.6748405143024607</c:v>
                </c:pt>
                <c:pt idx="1003" formatCode="0.00">
                  <c:v>2.7145303901494162</c:v>
                </c:pt>
                <c:pt idx="1004" formatCode="0.00">
                  <c:v>2.508586092966596</c:v>
                </c:pt>
                <c:pt idx="1005" formatCode="0.00">
                  <c:v>2.4107767483328448</c:v>
                </c:pt>
                <c:pt idx="1006" formatCode="0.00">
                  <c:v>2.4349148733914885</c:v>
                </c:pt>
                <c:pt idx="1007" formatCode="0.00">
                  <c:v>2.3162789051904653</c:v>
                </c:pt>
                <c:pt idx="1008" formatCode="0.00">
                  <c:v>2.2702420421926677</c:v>
                </c:pt>
                <c:pt idx="1009" formatCode="0.00">
                  <c:v>2.0939045687398927</c:v>
                </c:pt>
                <c:pt idx="1010" formatCode="0.00">
                  <c:v>2.0621937821255747</c:v>
                </c:pt>
                <c:pt idx="1011" formatCode="0.00">
                  <c:v>1.9594673172652741</c:v>
                </c:pt>
                <c:pt idx="1012" formatCode="0.00">
                  <c:v>1.9594673172652741</c:v>
                </c:pt>
                <c:pt idx="1013" formatCode="0.00">
                  <c:v>1.8902164784571094</c:v>
                </c:pt>
                <c:pt idx="1014" formatCode="0.00">
                  <c:v>1.929524699821799</c:v>
                </c:pt>
                <c:pt idx="1015" formatCode="0.00">
                  <c:v>1.5664393848392899</c:v>
                </c:pt>
                <c:pt idx="1016" formatCode="0.00">
                  <c:v>1.5093910947366738</c:v>
                </c:pt>
                <c:pt idx="1017" formatCode="0.00">
                  <c:v>1.4697493202725795</c:v>
                </c:pt>
                <c:pt idx="1018" formatCode="0.00">
                  <c:v>1.4081923983407449</c:v>
                </c:pt>
                <c:pt idx="1019" formatCode="0.00">
                  <c:v>1.4081923983407449</c:v>
                </c:pt>
                <c:pt idx="1020" formatCode="0.00">
                  <c:v>1.3782581558277254</c:v>
                </c:pt>
                <c:pt idx="1021" formatCode="0.00">
                  <c:v>1.3488751116244124</c:v>
                </c:pt>
                <c:pt idx="1022" formatCode="0.00">
                  <c:v>1.3200346926897266</c:v>
                </c:pt>
                <c:pt idx="1023" formatCode="0.00">
                  <c:v>1.3200346926897266</c:v>
                </c:pt>
                <c:pt idx="1024" formatCode="0.00">
                  <c:v>1.2639479807808942</c:v>
                </c:pt>
                <c:pt idx="1025" formatCode="0.00">
                  <c:v>1.2366850808614298</c:v>
                </c:pt>
                <c:pt idx="1026" formatCode="0.00">
                  <c:v>1.2099315902155392</c:v>
                </c:pt>
                <c:pt idx="1027" formatCode="0.00">
                  <c:v>1.2099315902155392</c:v>
                </c:pt>
                <c:pt idx="1028" formatCode="0.00">
                  <c:v>1.1836794686256866</c:v>
                </c:pt>
                <c:pt idx="1029" formatCode="0.00">
                  <c:v>1.1579207793077941</c:v>
                </c:pt>
                <c:pt idx="1030" formatCode="0.00">
                  <c:v>1.1579207793077941</c:v>
                </c:pt>
                <c:pt idx="1031" formatCode="0.00">
                  <c:v>1.1579207793077941</c:v>
                </c:pt>
                <c:pt idx="1032" formatCode="0.00">
                  <c:v>1.0537710214427103</c:v>
                </c:pt>
                <c:pt idx="1033" formatCode="0.00">
                  <c:v>1.0362581409062128</c:v>
                </c:pt>
                <c:pt idx="1034" formatCode="0.00">
                  <c:v>1.0132990365369481</c:v>
                </c:pt>
                <c:pt idx="1035" formatCode="0.00">
                  <c:v>1.0132990365369481</c:v>
                </c:pt>
                <c:pt idx="1036" formatCode="0.00">
                  <c:v>0.96869573878650839</c:v>
                </c:pt>
                <c:pt idx="1037" formatCode="0.00">
                  <c:v>0.96869573878650839</c:v>
                </c:pt>
                <c:pt idx="1038" formatCode="0.00">
                  <c:v>0.89982943002204352</c:v>
                </c:pt>
                <c:pt idx="1039" formatCode="0.00">
                  <c:v>0.84490242342695765</c:v>
                </c:pt>
                <c:pt idx="1040" formatCode="0.00">
                  <c:v>0.82566005733674797</c:v>
                </c:pt>
                <c:pt idx="1041" formatCode="0.00">
                  <c:v>0.80679738563566117</c:v>
                </c:pt>
                <c:pt idx="1042" formatCode="0.00">
                  <c:v>0.80679738563566117</c:v>
                </c:pt>
                <c:pt idx="1043" formatCode="0.00">
                  <c:v>0.77018589231966461</c:v>
                </c:pt>
                <c:pt idx="1044" formatCode="0.00">
                  <c:v>0.77018589231966461</c:v>
                </c:pt>
                <c:pt idx="1045" formatCode="0.00">
                  <c:v>0.75683146773355336</c:v>
                </c:pt>
                <c:pt idx="1046" formatCode="0.00">
                  <c:v>0.75683146773355336</c:v>
                </c:pt>
                <c:pt idx="1047" formatCode="0.00">
                  <c:v>0.75242466831576016</c:v>
                </c:pt>
                <c:pt idx="1048" formatCode="0.00">
                  <c:v>0.73501833212493606</c:v>
                </c:pt>
                <c:pt idx="1049">
                  <c:v>1.69</c:v>
                </c:pt>
                <c:pt idx="1050">
                  <c:v>6.85</c:v>
                </c:pt>
                <c:pt idx="1051">
                  <c:v>8.41</c:v>
                </c:pt>
                <c:pt idx="1052">
                  <c:v>8.99</c:v>
                </c:pt>
                <c:pt idx="1053">
                  <c:v>10.48</c:v>
                </c:pt>
                <c:pt idx="1054">
                  <c:v>12.12</c:v>
                </c:pt>
                <c:pt idx="1055">
                  <c:v>9.9700000000000006</c:v>
                </c:pt>
                <c:pt idx="1056">
                  <c:v>9.67</c:v>
                </c:pt>
                <c:pt idx="1057">
                  <c:v>10.19</c:v>
                </c:pt>
                <c:pt idx="1058">
                  <c:v>10.82</c:v>
                </c:pt>
                <c:pt idx="1059">
                  <c:v>9.64</c:v>
                </c:pt>
                <c:pt idx="1060">
                  <c:v>9.3699999999999992</c:v>
                </c:pt>
                <c:pt idx="1061">
                  <c:v>10.68</c:v>
                </c:pt>
                <c:pt idx="1062">
                  <c:v>12.49</c:v>
                </c:pt>
                <c:pt idx="1063">
                  <c:v>12.26</c:v>
                </c:pt>
                <c:pt idx="1064">
                  <c:v>13.67</c:v>
                </c:pt>
                <c:pt idx="1065">
                  <c:v>14.51</c:v>
                </c:pt>
                <c:pt idx="1066">
                  <c:v>10.99</c:v>
                </c:pt>
                <c:pt idx="1067">
                  <c:v>10.08</c:v>
                </c:pt>
                <c:pt idx="1068">
                  <c:v>8.61</c:v>
                </c:pt>
                <c:pt idx="1069">
                  <c:v>5.13</c:v>
                </c:pt>
                <c:pt idx="1070" formatCode="0.00">
                  <c:v>4.2</c:v>
                </c:pt>
                <c:pt idx="1071" formatCode="0.00">
                  <c:v>5.42</c:v>
                </c:pt>
                <c:pt idx="1072" formatCode="0.00">
                  <c:v>6.36</c:v>
                </c:pt>
                <c:pt idx="1073" formatCode="0.00">
                  <c:v>9.56</c:v>
                </c:pt>
                <c:pt idx="1074" formatCode="0.00">
                  <c:v>10.59</c:v>
                </c:pt>
                <c:pt idx="1075" formatCode="0.00">
                  <c:v>11.21</c:v>
                </c:pt>
                <c:pt idx="1076" formatCode="0.00">
                  <c:v>9.75</c:v>
                </c:pt>
                <c:pt idx="1077" formatCode="0.00">
                  <c:v>11.74</c:v>
                </c:pt>
                <c:pt idx="1078" formatCode="0.00">
                  <c:v>7.77</c:v>
                </c:pt>
                <c:pt idx="1079" formatCode="0.00">
                  <c:v>9.56</c:v>
                </c:pt>
                <c:pt idx="1080" formatCode="0.00">
                  <c:v>9.65</c:v>
                </c:pt>
                <c:pt idx="1081" formatCode="0.00">
                  <c:v>12.89</c:v>
                </c:pt>
                <c:pt idx="1082" formatCode="0.00">
                  <c:v>9.65</c:v>
                </c:pt>
                <c:pt idx="1083" formatCode="0.00">
                  <c:v>9.56</c:v>
                </c:pt>
                <c:pt idx="1084" formatCode="0.00">
                  <c:v>13.02</c:v>
                </c:pt>
                <c:pt idx="1085" formatCode="0.00">
                  <c:v>13.22</c:v>
                </c:pt>
                <c:pt idx="1086" formatCode="0.00">
                  <c:v>14.14</c:v>
                </c:pt>
                <c:pt idx="1087" formatCode="0.00">
                  <c:v>15.04</c:v>
                </c:pt>
                <c:pt idx="1088" formatCode="0.00">
                  <c:v>10.98</c:v>
                </c:pt>
                <c:pt idx="1089" formatCode="0.00">
                  <c:v>7.38</c:v>
                </c:pt>
                <c:pt idx="1090" formatCode="0.00">
                  <c:v>7.01</c:v>
                </c:pt>
                <c:pt idx="1091" formatCode="0.00">
                  <c:v>6.66</c:v>
                </c:pt>
                <c:pt idx="1092" formatCode="0.00">
                  <c:v>5.2</c:v>
                </c:pt>
                <c:pt idx="1093" formatCode="0.00">
                  <c:v>6.33</c:v>
                </c:pt>
                <c:pt idx="1094" formatCode="0.00">
                  <c:v>5.71</c:v>
                </c:pt>
                <c:pt idx="1095" formatCode="0.00">
                  <c:v>4.1900000000000004</c:v>
                </c:pt>
                <c:pt idx="1096" formatCode="0.00">
                  <c:v>4.08</c:v>
                </c:pt>
                <c:pt idx="1097" formatCode="0.00">
                  <c:v>3.98</c:v>
                </c:pt>
                <c:pt idx="1098" formatCode="0.00">
                  <c:v>4.34</c:v>
                </c:pt>
                <c:pt idx="1099" formatCode="0.00">
                  <c:v>4.34</c:v>
                </c:pt>
                <c:pt idx="1100" formatCode="0.00">
                  <c:v>3.86</c:v>
                </c:pt>
                <c:pt idx="1101" formatCode="0.00">
                  <c:v>3.96</c:v>
                </c:pt>
                <c:pt idx="1102" formatCode="0.00">
                  <c:v>3.84</c:v>
                </c:pt>
                <c:pt idx="1103" formatCode="0.00">
                  <c:v>8.6039999999999992</c:v>
                </c:pt>
                <c:pt idx="1104" formatCode="0.00">
                  <c:v>9.9440000000000008</c:v>
                </c:pt>
                <c:pt idx="1105" formatCode="0.00">
                  <c:v>11.278</c:v>
                </c:pt>
                <c:pt idx="1106" formatCode="0.00">
                  <c:v>12.611000000000001</c:v>
                </c:pt>
                <c:pt idx="1107" formatCode="0.00">
                  <c:v>12.611000000000001</c:v>
                </c:pt>
                <c:pt idx="1108" formatCode="0.00">
                  <c:v>14.384</c:v>
                </c:pt>
                <c:pt idx="1109" formatCode="0.00">
                  <c:v>14.394</c:v>
                </c:pt>
                <c:pt idx="1110" formatCode="0.00">
                  <c:v>14.839</c:v>
                </c:pt>
                <c:pt idx="1111" formatCode="0.00">
                  <c:v>16.614000000000001</c:v>
                </c:pt>
                <c:pt idx="1112" formatCode="0.00">
                  <c:v>13.500999999999999</c:v>
                </c:pt>
                <c:pt idx="1113" formatCode="0.00">
                  <c:v>12.167</c:v>
                </c:pt>
                <c:pt idx="1114" formatCode="0.00">
                  <c:v>10.387</c:v>
                </c:pt>
                <c:pt idx="1115" formatCode="0.00">
                  <c:v>10.387</c:v>
                </c:pt>
                <c:pt idx="1116" formatCode="0.00">
                  <c:v>11.278</c:v>
                </c:pt>
                <c:pt idx="1117" formatCode="0.00">
                  <c:v>12.167</c:v>
                </c:pt>
                <c:pt idx="1118" formatCode="0.00">
                  <c:v>11.717000000000001</c:v>
                </c:pt>
                <c:pt idx="1119" formatCode="0.00">
                  <c:v>12.167</c:v>
                </c:pt>
                <c:pt idx="1120" formatCode="0.00">
                  <c:v>12.167</c:v>
                </c:pt>
                <c:pt idx="1121" formatCode="0.00">
                  <c:v>13.500999999999999</c:v>
                </c:pt>
                <c:pt idx="1122" formatCode="0.00">
                  <c:v>13.500999999999999</c:v>
                </c:pt>
                <c:pt idx="1123" formatCode="0.00">
                  <c:v>12.167</c:v>
                </c:pt>
                <c:pt idx="1124" formatCode="0.00">
                  <c:v>10.829000000000001</c:v>
                </c:pt>
                <c:pt idx="1125" formatCode="0.00">
                  <c:v>9.9440000000000008</c:v>
                </c:pt>
                <c:pt idx="1126" formatCode="0.00">
                  <c:v>8.6039999999999992</c:v>
                </c:pt>
                <c:pt idx="1127" formatCode="0.00">
                  <c:v>9.0570000000000004</c:v>
                </c:pt>
                <c:pt idx="1128" formatCode="0.00">
                  <c:v>9.0570000000000004</c:v>
                </c:pt>
                <c:pt idx="1129" formatCode="0.00">
                  <c:v>9.0570000000000004</c:v>
                </c:pt>
                <c:pt idx="1130" formatCode="0.00">
                  <c:v>9.4949999999999992</c:v>
                </c:pt>
                <c:pt idx="1131" formatCode="0.00">
                  <c:v>10.387</c:v>
                </c:pt>
                <c:pt idx="1132" formatCode="0.00">
                  <c:v>11.278</c:v>
                </c:pt>
                <c:pt idx="1133" formatCode="0.00">
                  <c:v>13.057</c:v>
                </c:pt>
                <c:pt idx="1134" formatCode="0.00">
                  <c:v>11.724</c:v>
                </c:pt>
                <c:pt idx="1135" formatCode="0.00">
                  <c:v>8.6896042928630184</c:v>
                </c:pt>
                <c:pt idx="1136" formatCode="0.00">
                  <c:v>10.18591388054117</c:v>
                </c:pt>
                <c:pt idx="1137" formatCode="0.00">
                  <c:v>11.939881044642732</c:v>
                </c:pt>
                <c:pt idx="1138" formatCode="0.00">
                  <c:v>13.99587322572618</c:v>
                </c:pt>
                <c:pt idx="1139" formatCode="0.00">
                  <c:v>13.99587322572618</c:v>
                </c:pt>
                <c:pt idx="1140" formatCode="0.00">
                  <c:v>17.298163592151017</c:v>
                </c:pt>
                <c:pt idx="1141" formatCode="0.00">
                  <c:v>14.757065332758954</c:v>
                </c:pt>
                <c:pt idx="1142" formatCode="0.00">
                  <c:v>13.99587322572618</c:v>
                </c:pt>
                <c:pt idx="1143" formatCode="0.00">
                  <c:v>13.273944577297399</c:v>
                </c:pt>
                <c:pt idx="1144" formatCode="0.00">
                  <c:v>11.939881044642732</c:v>
                </c:pt>
                <c:pt idx="1145" formatCode="0.00">
                  <c:v>11.324003632355574</c:v>
                </c:pt>
                <c:pt idx="1146" formatCode="0.00">
                  <c:v>10.73989412341245</c:v>
                </c:pt>
                <c:pt idx="1147" formatCode="0.00">
                  <c:v>13.273944577297399</c:v>
                </c:pt>
                <c:pt idx="1148" formatCode="0.00">
                  <c:v>10.73989412341245</c:v>
                </c:pt>
                <c:pt idx="1149" formatCode="0.00">
                  <c:v>10.73989412341245</c:v>
                </c:pt>
                <c:pt idx="1150" formatCode="0.00">
                  <c:v>11.939881044642732</c:v>
                </c:pt>
                <c:pt idx="1151" formatCode="0.00">
                  <c:v>11.939881044642732</c:v>
                </c:pt>
                <c:pt idx="1152" formatCode="0.00">
                  <c:v>13.273944577297399</c:v>
                </c:pt>
                <c:pt idx="1153" formatCode="0.00">
                  <c:v>13.273944577297399</c:v>
                </c:pt>
                <c:pt idx="1154" formatCode="0.00">
                  <c:v>13.273944577297399</c:v>
                </c:pt>
                <c:pt idx="1155" formatCode="0.00">
                  <c:v>13.273944577297399</c:v>
                </c:pt>
                <c:pt idx="1156" formatCode="0.00">
                  <c:v>15.559656316050749</c:v>
                </c:pt>
                <c:pt idx="1157" formatCode="0.00">
                  <c:v>14.757065332758954</c:v>
                </c:pt>
                <c:pt idx="1158" formatCode="0.00">
                  <c:v>12.58925411794168</c:v>
                </c:pt>
                <c:pt idx="1159" formatCode="0.00">
                  <c:v>15.559656316050749</c:v>
                </c:pt>
                <c:pt idx="1160" formatCode="0.00">
                  <c:v>15.559656316050749</c:v>
                </c:pt>
                <c:pt idx="1161" formatCode="0.00">
                  <c:v>13.273944577297399</c:v>
                </c:pt>
                <c:pt idx="1162" formatCode="0.00">
                  <c:v>12.58925411794168</c:v>
                </c:pt>
                <c:pt idx="1163" formatCode="0.00">
                  <c:v>10.18591388054117</c:v>
                </c:pt>
                <c:pt idx="1164" formatCode="0.00">
                  <c:v>9.1622049012199991</c:v>
                </c:pt>
                <c:pt idx="1165" formatCode="0.00">
                  <c:v>9.1622049012199991</c:v>
                </c:pt>
                <c:pt idx="1166" formatCode="0.00">
                  <c:v>9.1622049012199991</c:v>
                </c:pt>
                <c:pt idx="1167" formatCode="0.00">
                  <c:v>9.6605087898981381</c:v>
                </c:pt>
                <c:pt idx="1168" formatCode="0.00">
                  <c:v>9.6605087898981381</c:v>
                </c:pt>
                <c:pt idx="1169" formatCode="0.00">
                  <c:v>10.73989412341245</c:v>
                </c:pt>
                <c:pt idx="1170" formatCode="0.00">
                  <c:v>10.73989412341245</c:v>
                </c:pt>
                <c:pt idx="1171" formatCode="0.00">
                  <c:v>11.939881044642732</c:v>
                </c:pt>
                <c:pt idx="1172" formatCode="0.00">
                  <c:v>11.939881044642732</c:v>
                </c:pt>
                <c:pt idx="1173" formatCode="0.00">
                  <c:v>11.939881044642732</c:v>
                </c:pt>
                <c:pt idx="1174" formatCode="0.00">
                  <c:v>12.58925411794168</c:v>
                </c:pt>
                <c:pt idx="1175" formatCode="0.00">
                  <c:v>12.58925411794168</c:v>
                </c:pt>
                <c:pt idx="1176" formatCode="0.00">
                  <c:v>8.6896042928630184</c:v>
                </c:pt>
                <c:pt idx="1177" formatCode="0.00">
                  <c:v>1.0363500000000001</c:v>
                </c:pt>
                <c:pt idx="1178" formatCode="0.00">
                  <c:v>1.3187800000000001</c:v>
                </c:pt>
                <c:pt idx="1179" formatCode="0.00">
                  <c:v>1.1200000000000001</c:v>
                </c:pt>
                <c:pt idx="1180" formatCode="0.00">
                  <c:v>1.2859499999999999</c:v>
                </c:pt>
                <c:pt idx="1181" formatCode="0.00">
                  <c:v>1.57864</c:v>
                </c:pt>
                <c:pt idx="1182" formatCode="0.00">
                  <c:v>1.4377200000000001</c:v>
                </c:pt>
                <c:pt idx="1183" formatCode="0.00">
                  <c:v>1.29477</c:v>
                </c:pt>
                <c:pt idx="1184" formatCode="0.00">
                  <c:v>1.1640699999999999</c:v>
                </c:pt>
                <c:pt idx="1185" formatCode="0.00">
                  <c:v>1.19062</c:v>
                </c:pt>
                <c:pt idx="1186" formatCode="0.00">
                  <c:v>1.3335699999999999</c:v>
                </c:pt>
                <c:pt idx="1187" formatCode="0.00">
                  <c:v>1.35399</c:v>
                </c:pt>
                <c:pt idx="1188" formatCode="0.00">
                  <c:v>1.2825200000000001</c:v>
                </c:pt>
                <c:pt idx="1189" formatCode="0.00">
                  <c:v>1.5684199999999999</c:v>
                </c:pt>
                <c:pt idx="1190" formatCode="0.00">
                  <c:v>1.38463</c:v>
                </c:pt>
                <c:pt idx="1191" formatCode="0.00">
                  <c:v>1.3233600000000001</c:v>
                </c:pt>
                <c:pt idx="1192" formatCode="0.00">
                  <c:v>1.60927</c:v>
                </c:pt>
                <c:pt idx="1193" formatCode="0.00">
                  <c:v>1.3233600000000001</c:v>
                </c:pt>
                <c:pt idx="1194" formatCode="0.00">
                  <c:v>1.69096</c:v>
                </c:pt>
                <c:pt idx="1195" formatCode="0.00">
                  <c:v>1.3948400000000001</c:v>
                </c:pt>
                <c:pt idx="1196" formatCode="0.00">
                  <c:v>1.69096</c:v>
                </c:pt>
                <c:pt idx="1197" formatCode="0.00">
                  <c:v>1.2825200000000001</c:v>
                </c:pt>
                <c:pt idx="1198" formatCode="0.00">
                  <c:v>1.2008300000000001</c:v>
                </c:pt>
                <c:pt idx="1199" formatCode="0.00">
                  <c:v>0.95576000000000005</c:v>
                </c:pt>
                <c:pt idx="1200" formatCode="0.00">
                  <c:v>0.95576000000000005</c:v>
                </c:pt>
                <c:pt idx="1201" formatCode="0.00">
                  <c:v>0.79239000000000004</c:v>
                </c:pt>
                <c:pt idx="1202" formatCode="0.00">
                  <c:v>0.75153999999999999</c:v>
                </c:pt>
                <c:pt idx="1203" formatCode="0.00">
                  <c:v>0.75153999999999999</c:v>
                </c:pt>
                <c:pt idx="1204" formatCode="0.00">
                  <c:v>0.79239000000000004</c:v>
                </c:pt>
                <c:pt idx="1205" formatCode="0.00">
                  <c:v>0.7107</c:v>
                </c:pt>
                <c:pt idx="1206" formatCode="0.00">
                  <c:v>0.81281000000000003</c:v>
                </c:pt>
                <c:pt idx="1207" formatCode="0.00">
                  <c:v>0.7107</c:v>
                </c:pt>
                <c:pt idx="1208" formatCode="0.00">
                  <c:v>0.87407999999999997</c:v>
                </c:pt>
                <c:pt idx="1209" formatCode="0.00">
                  <c:v>0.69028</c:v>
                </c:pt>
                <c:pt idx="1210" formatCode="0.00">
                  <c:v>0.76175999999999999</c:v>
                </c:pt>
                <c:pt idx="1211" formatCode="0.00">
                  <c:v>0.66986000000000001</c:v>
                </c:pt>
                <c:pt idx="1212" formatCode="0.00">
                  <c:v>0.69028</c:v>
                </c:pt>
                <c:pt idx="1213" formatCode="0.00">
                  <c:v>0.64942999999999995</c:v>
                </c:pt>
                <c:pt idx="1214" formatCode="0.00">
                  <c:v>0.64942999999999995</c:v>
                </c:pt>
                <c:pt idx="1215" formatCode="0.00">
                  <c:v>0.58816999999999997</c:v>
                </c:pt>
                <c:pt idx="1216" formatCode="0.00">
                  <c:v>0.64942999999999995</c:v>
                </c:pt>
                <c:pt idx="1217" formatCode="0.00">
                  <c:v>0.66986000000000001</c:v>
                </c:pt>
                <c:pt idx="1218" formatCode="0.00">
                  <c:v>0.85365000000000002</c:v>
                </c:pt>
                <c:pt idx="1219" formatCode="0.00">
                  <c:v>0.7107</c:v>
                </c:pt>
                <c:pt idx="1220" formatCode="0.00">
                  <c:v>0.56774999999999998</c:v>
                </c:pt>
                <c:pt idx="1221" formatCode="0.00">
                  <c:v>0.60858999999999996</c:v>
                </c:pt>
                <c:pt idx="1222" formatCode="0.00">
                  <c:v>0.69389999999999996</c:v>
                </c:pt>
                <c:pt idx="1223" formatCode="0.00">
                  <c:v>0.56120000000000003</c:v>
                </c:pt>
                <c:pt idx="1224" formatCode="0.00">
                  <c:v>0.64780000000000004</c:v>
                </c:pt>
                <c:pt idx="1225" formatCode="0.00">
                  <c:v>0.91583999999999999</c:v>
                </c:pt>
                <c:pt idx="1226" formatCode="0.00">
                  <c:v>0.99158000000000002</c:v>
                </c:pt>
                <c:pt idx="1227" formatCode="0.00">
                  <c:v>1.7314400000000001</c:v>
                </c:pt>
                <c:pt idx="1228" formatCode="0.00">
                  <c:v>1.7585500000000001</c:v>
                </c:pt>
                <c:pt idx="1229" formatCode="0.00">
                  <c:v>1.62547</c:v>
                </c:pt>
                <c:pt idx="1230" formatCode="0.00">
                  <c:v>1.8135399999999999</c:v>
                </c:pt>
                <c:pt idx="1231" formatCode="0.00">
                  <c:v>1.9845600000000001</c:v>
                </c:pt>
                <c:pt idx="1232" formatCode="0.00">
                  <c:v>2.1036999999999999</c:v>
                </c:pt>
                <c:pt idx="1233" formatCode="0.00">
                  <c:v>1.62547</c:v>
                </c:pt>
                <c:pt idx="1234" formatCode="0.00">
                  <c:v>1.52345</c:v>
                </c:pt>
                <c:pt idx="1235" formatCode="0.00">
                  <c:v>1.4739</c:v>
                </c:pt>
                <c:pt idx="1236" formatCode="0.00">
                  <c:v>1.24061</c:v>
                </c:pt>
                <c:pt idx="1237" formatCode="0.00">
                  <c:v>1.33107</c:v>
                </c:pt>
                <c:pt idx="1238" formatCode="0.00">
                  <c:v>1.2185900000000001</c:v>
                </c:pt>
                <c:pt idx="1239" formatCode="0.00">
                  <c:v>1.2185900000000001</c:v>
                </c:pt>
                <c:pt idx="1240" formatCode="0.00">
                  <c:v>1.33107</c:v>
                </c:pt>
                <c:pt idx="1241" formatCode="0.00">
                  <c:v>1.4495</c:v>
                </c:pt>
                <c:pt idx="1242" formatCode="0.00">
                  <c:v>1.62547</c:v>
                </c:pt>
                <c:pt idx="1243" formatCode="0.00">
                  <c:v>1.52345</c:v>
                </c:pt>
                <c:pt idx="1244" formatCode="0.00">
                  <c:v>1.7314400000000001</c:v>
                </c:pt>
                <c:pt idx="1245" formatCode="0.00">
                  <c:v>1.1752400000000001</c:v>
                </c:pt>
                <c:pt idx="1246" formatCode="0.00">
                  <c:v>1.15391</c:v>
                </c:pt>
                <c:pt idx="1247" formatCode="0.00">
                  <c:v>1.5485800000000001</c:v>
                </c:pt>
                <c:pt idx="1248" formatCode="0.00">
                  <c:v>0.39823999999999998</c:v>
                </c:pt>
                <c:pt idx="1249" formatCode="0.00">
                  <c:v>0.38707000000000003</c:v>
                </c:pt>
                <c:pt idx="1250" formatCode="0.00">
                  <c:v>0.38707000000000003</c:v>
                </c:pt>
                <c:pt idx="1251" formatCode="0.00">
                  <c:v>0.38707000000000003</c:v>
                </c:pt>
                <c:pt idx="1252" formatCode="0.00">
                  <c:v>1.0110699999999999</c:v>
                </c:pt>
                <c:pt idx="1253" formatCode="0.00">
                  <c:v>3.9364503979999999</c:v>
                </c:pt>
                <c:pt idx="1254" formatCode="0.00">
                  <c:v>2.9452578520000001</c:v>
                </c:pt>
                <c:pt idx="1255" formatCode="0.00">
                  <c:v>3.6532525279999999</c:v>
                </c:pt>
                <c:pt idx="1256" formatCode="0.00">
                  <c:v>2.831978704</c:v>
                </c:pt>
                <c:pt idx="1257" formatCode="0.00">
                  <c:v>1.925745518</c:v>
                </c:pt>
                <c:pt idx="1258" formatCode="0.00">
                  <c:v>1.585908074</c:v>
                </c:pt>
                <c:pt idx="1259" formatCode="0.00">
                  <c:v>1.24607063</c:v>
                </c:pt>
                <c:pt idx="1260" formatCode="0.00">
                  <c:v>0.82127382400000004</c:v>
                </c:pt>
                <c:pt idx="1261" formatCode="0.00">
                  <c:v>0.70799467599999999</c:v>
                </c:pt>
                <c:pt idx="1262" formatCode="0.00">
                  <c:v>0.67967488899999995</c:v>
                </c:pt>
                <c:pt idx="1263" formatCode="0.00">
                  <c:v>2.0107048789999999</c:v>
                </c:pt>
                <c:pt idx="1264" formatCode="0.00">
                  <c:v>8.4392965360000005</c:v>
                </c:pt>
                <c:pt idx="1265" formatCode="0.00">
                  <c:v>11.412874179999999</c:v>
                </c:pt>
                <c:pt idx="1266" formatCode="0.00">
                  <c:v>7.0799467590000003</c:v>
                </c:pt>
                <c:pt idx="1267" formatCode="0.00">
                  <c:v>5.0975616659999998</c:v>
                </c:pt>
                <c:pt idx="1268" formatCode="0.00">
                  <c:v>2.9452578520000001</c:v>
                </c:pt>
                <c:pt idx="1269" formatCode="0.00">
                  <c:v>2.3505423240000001</c:v>
                </c:pt>
                <c:pt idx="1270" formatCode="0.00">
                  <c:v>1.614227861</c:v>
                </c:pt>
                <c:pt idx="1271" formatCode="0.00">
                  <c:v>1.302710204</c:v>
                </c:pt>
                <c:pt idx="1272" formatCode="0.00">
                  <c:v>1.755826796</c:v>
                </c:pt>
                <c:pt idx="1273" formatCode="0.00">
                  <c:v>1.869105944</c:v>
                </c:pt>
                <c:pt idx="1274" formatCode="0.00">
                  <c:v>3.0018974260000002</c:v>
                </c:pt>
                <c:pt idx="1275" formatCode="0.00">
                  <c:v>2.0956642410000001</c:v>
                </c:pt>
                <c:pt idx="1276" formatCode="0.00">
                  <c:v>1.925745518</c:v>
                </c:pt>
                <c:pt idx="1277" formatCode="0.00">
                  <c:v>4.4178867769999997</c:v>
                </c:pt>
                <c:pt idx="1278" formatCode="0.00">
                  <c:v>4.2196482680000003</c:v>
                </c:pt>
                <c:pt idx="1279" formatCode="0.00">
                  <c:v>2.1239840280000002</c:v>
                </c:pt>
                <c:pt idx="1280" formatCode="0.00">
                  <c:v>1.6708674349999999</c:v>
                </c:pt>
                <c:pt idx="1281" formatCode="0.00">
                  <c:v>1.3593497779999999</c:v>
                </c:pt>
                <c:pt idx="1282" formatCode="0.00">
                  <c:v>1.161111268</c:v>
                </c:pt>
                <c:pt idx="1283" formatCode="0.00">
                  <c:v>2.3788621110000001</c:v>
                </c:pt>
                <c:pt idx="1284" formatCode="0.00">
                  <c:v>4.8993231570000004</c:v>
                </c:pt>
                <c:pt idx="1285" formatCode="0.00">
                  <c:v>4.3612472029999996</c:v>
                </c:pt>
                <c:pt idx="1286" formatCode="0.00">
                  <c:v>3.8798108240000002</c:v>
                </c:pt>
                <c:pt idx="1287" formatCode="0.00">
                  <c:v>3.3700546569999998</c:v>
                </c:pt>
                <c:pt idx="1288" formatCode="0.00">
                  <c:v>4.7010846480000001</c:v>
                </c:pt>
                <c:pt idx="1289" formatCode="0.00">
                  <c:v>3.455014018</c:v>
                </c:pt>
                <c:pt idx="1290" formatCode="0.00">
                  <c:v>2.2089433889999999</c:v>
                </c:pt>
                <c:pt idx="1291" formatCode="0.00">
                  <c:v>1.4726289260000001</c:v>
                </c:pt>
                <c:pt idx="1292" formatCode="0.00">
                  <c:v>1.274390417</c:v>
                </c:pt>
                <c:pt idx="1293" formatCode="0.00">
                  <c:v>1.5292684999999999</c:v>
                </c:pt>
                <c:pt idx="1294" formatCode="0.00">
                  <c:v>1.9540653050000001</c:v>
                </c:pt>
                <c:pt idx="1295" formatCode="0.00">
                  <c:v>1.557588287</c:v>
                </c:pt>
                <c:pt idx="1296" formatCode="0.00">
                  <c:v>2.0390246670000001</c:v>
                </c:pt>
                <c:pt idx="1297" formatCode="0.00">
                  <c:v>2.2655829629999999</c:v>
                </c:pt>
                <c:pt idx="1298" formatCode="0.00">
                  <c:v>2.0390246670000001</c:v>
                </c:pt>
                <c:pt idx="1299" formatCode="0.00">
                  <c:v>1.7841465830000001</c:v>
                </c:pt>
                <c:pt idx="1300" formatCode="0.00">
                  <c:v>1.727507009</c:v>
                </c:pt>
                <c:pt idx="1301" formatCode="0.00">
                  <c:v>1.4726289260000001</c:v>
                </c:pt>
                <c:pt idx="1302" formatCode="0.00">
                  <c:v>0.96287275900000002</c:v>
                </c:pt>
                <c:pt idx="1303" formatCode="0.00">
                  <c:v>2.6620599810000001</c:v>
                </c:pt>
                <c:pt idx="1304" formatCode="0.00">
                  <c:v>2.6620599810000001</c:v>
                </c:pt>
                <c:pt idx="1305" formatCode="0.00">
                  <c:v>2.831978704</c:v>
                </c:pt>
                <c:pt idx="1306" formatCode="0.00">
                  <c:v>2.4355016850000002</c:v>
                </c:pt>
                <c:pt idx="1307" formatCode="0.00">
                  <c:v>2.4355016850000002</c:v>
                </c:pt>
                <c:pt idx="1308" formatCode="0.00">
                  <c:v>2.3788621110000001</c:v>
                </c:pt>
                <c:pt idx="1309" formatCode="0.00">
                  <c:v>3.143496361</c:v>
                </c:pt>
                <c:pt idx="1310" formatCode="0.00">
                  <c:v>4.2196482680000003</c:v>
                </c:pt>
                <c:pt idx="1311" formatCode="0.00">
                  <c:v>3.9647701849999999</c:v>
                </c:pt>
                <c:pt idx="1312" formatCode="0.00">
                  <c:v>5.1825210269999999</c:v>
                </c:pt>
                <c:pt idx="1313" formatCode="0.00">
                  <c:v>5.3807595370000003</c:v>
                </c:pt>
                <c:pt idx="1314" formatCode="0.00">
                  <c:v>4.049729546</c:v>
                </c:pt>
                <c:pt idx="1315" formatCode="0.00">
                  <c:v>4.049729546</c:v>
                </c:pt>
                <c:pt idx="1316" formatCode="0.00">
                  <c:v>4.0780493330000001</c:v>
                </c:pt>
                <c:pt idx="1317" formatCode="0.00">
                  <c:v>4.4745263519999998</c:v>
                </c:pt>
                <c:pt idx="1318" formatCode="0.00">
                  <c:v>4.2479680550000003</c:v>
                </c:pt>
                <c:pt idx="1319" formatCode="0.00">
                  <c:v>3.9364503979999999</c:v>
                </c:pt>
                <c:pt idx="1320" formatCode="0.00">
                  <c:v>4.1913284810000002</c:v>
                </c:pt>
                <c:pt idx="1321" formatCode="0.00">
                  <c:v>4.3612472029999996</c:v>
                </c:pt>
                <c:pt idx="1322" formatCode="0.00">
                  <c:v>4.5028461389999999</c:v>
                </c:pt>
                <c:pt idx="1323" formatCode="0.00">
                  <c:v>4.7010846480000001</c:v>
                </c:pt>
                <c:pt idx="1324" formatCode="0.00">
                  <c:v>4.4178867769999997</c:v>
                </c:pt>
                <c:pt idx="1325" formatCode="0.00">
                  <c:v>4.3046076290000004</c:v>
                </c:pt>
                <c:pt idx="1326" formatCode="0.00">
                  <c:v>4.1346889070000001</c:v>
                </c:pt>
                <c:pt idx="1327" formatCode="0.00">
                  <c:v>0.73631446300000003</c:v>
                </c:pt>
                <c:pt idx="1328" formatCode="0.00">
                  <c:v>0.73631446300000003</c:v>
                </c:pt>
                <c:pt idx="1329" formatCode="0.00">
                  <c:v>0.70799467599999999</c:v>
                </c:pt>
                <c:pt idx="1330" formatCode="0.00">
                  <c:v>0.70799467599999999</c:v>
                </c:pt>
                <c:pt idx="1331" formatCode="0.00">
                  <c:v>5.5506782589999997</c:v>
                </c:pt>
                <c:pt idx="1332" formatCode="0.00">
                  <c:v>5.1542012399999999</c:v>
                </c:pt>
                <c:pt idx="1333" formatCode="0.00">
                  <c:v>6.1453937869999997</c:v>
                </c:pt>
                <c:pt idx="1334" formatCode="0.00">
                  <c:v>6.2586729349999999</c:v>
                </c:pt>
                <c:pt idx="1335" formatCode="0.00">
                  <c:v>6.1170739999999997</c:v>
                </c:pt>
                <c:pt idx="1336" formatCode="0.00">
                  <c:v>6.7401093139999997</c:v>
                </c:pt>
                <c:pt idx="1337" formatCode="0.00">
                  <c:v>4.3895669899999996</c:v>
                </c:pt>
                <c:pt idx="1338" formatCode="0.00">
                  <c:v>4.3329274160000004</c:v>
                </c:pt>
                <c:pt idx="1339" formatCode="0.00">
                  <c:v>3.8798108240000002</c:v>
                </c:pt>
                <c:pt idx="1340" formatCode="0.00">
                  <c:v>3.7948514630000001</c:v>
                </c:pt>
                <c:pt idx="1341" formatCode="0.00">
                  <c:v>3.7665316760000001</c:v>
                </c:pt>
                <c:pt idx="1342" formatCode="0.00">
                  <c:v>3.5399733790000001</c:v>
                </c:pt>
                <c:pt idx="1343" formatCode="0.00">
                  <c:v>7.8781488350000002</c:v>
                </c:pt>
                <c:pt idx="1344" formatCode="0.00">
                  <c:v>8.1744976620000003</c:v>
                </c:pt>
                <c:pt idx="1345" formatCode="0.00">
                  <c:v>9.7985613550000004</c:v>
                </c:pt>
                <c:pt idx="1346" formatCode="0.00">
                  <c:v>8.5458700820000004</c:v>
                </c:pt>
                <c:pt idx="1347" formatCode="0.00">
                  <c:v>9.231999235</c:v>
                </c:pt>
                <c:pt idx="1348" formatCode="0.00">
                  <c:v>6.1861520570000001</c:v>
                </c:pt>
                <c:pt idx="1349" formatCode="0.00">
                  <c:v>6.8675483560000004</c:v>
                </c:pt>
                <c:pt idx="1350" formatCode="0.00">
                  <c:v>7.0777705229999999</c:v>
                </c:pt>
                <c:pt idx="1351" formatCode="0.00">
                  <c:v>7.4942170810000004</c:v>
                </c:pt>
                <c:pt idx="1352" formatCode="0.00">
                  <c:v>7.4468510219999997</c:v>
                </c:pt>
                <c:pt idx="1353" formatCode="0.00">
                  <c:v>8.8640933420000003</c:v>
                </c:pt>
                <c:pt idx="1354" formatCode="0.00">
                  <c:v>7.7804940570000003</c:v>
                </c:pt>
                <c:pt idx="1355" formatCode="0.00">
                  <c:v>8.1246115969999995</c:v>
                </c:pt>
                <c:pt idx="1356" formatCode="0.00">
                  <c:v>9.4208532750000007</c:v>
                </c:pt>
                <c:pt idx="1357" formatCode="0.00">
                  <c:v>10.302172130000001</c:v>
                </c:pt>
                <c:pt idx="1358" formatCode="0.00">
                  <c:v>10.050366739999999</c:v>
                </c:pt>
                <c:pt idx="1359" formatCode="0.00">
                  <c:v>9.8615127010000005</c:v>
                </c:pt>
                <c:pt idx="1360" formatCode="0.00">
                  <c:v>11.243112630000001</c:v>
                </c:pt>
                <c:pt idx="1361" formatCode="0.00">
                  <c:v>9.9496445869999999</c:v>
                </c:pt>
                <c:pt idx="1362" formatCode="0.00">
                  <c:v>10.0251862</c:v>
                </c:pt>
                <c:pt idx="1363" formatCode="0.00">
                  <c:v>11.158310439999999</c:v>
                </c:pt>
                <c:pt idx="1364" formatCode="0.00">
                  <c:v>11.56119906</c:v>
                </c:pt>
                <c:pt idx="1365" formatCode="0.00">
                  <c:v>9.7230197389999997</c:v>
                </c:pt>
                <c:pt idx="1366" formatCode="0.00">
                  <c:v>9.2949505820000002</c:v>
                </c:pt>
                <c:pt idx="1367" formatCode="0.00">
                  <c:v>7.2333414359999999</c:v>
                </c:pt>
                <c:pt idx="1368" formatCode="0.00">
                  <c:v>6.1367502119999999</c:v>
                </c:pt>
                <c:pt idx="1369" formatCode="0.00">
                  <c:v>6.1367502119999999</c:v>
                </c:pt>
                <c:pt idx="1370" formatCode="0.00">
                  <c:v>6.0388617719999997</c:v>
                </c:pt>
                <c:pt idx="1371" formatCode="0.00">
                  <c:v>5.6424969579999997</c:v>
                </c:pt>
                <c:pt idx="1372" formatCode="0.00">
                  <c:v>5.5041950929999999</c:v>
                </c:pt>
                <c:pt idx="1373" formatCode="0.00">
                  <c:v>5.6889511500000003</c:v>
                </c:pt>
                <c:pt idx="1374" formatCode="0.00">
                  <c:v>5.0893967240000002</c:v>
                </c:pt>
                <c:pt idx="1375" formatCode="0.00">
                  <c:v>4.9184800439999998</c:v>
                </c:pt>
                <c:pt idx="1376" formatCode="0.00">
                  <c:v>9.5994630000000001</c:v>
                </c:pt>
                <c:pt idx="1377" formatCode="0.00">
                  <c:v>9.5994630000000001</c:v>
                </c:pt>
                <c:pt idx="1378" formatCode="0.00">
                  <c:v>10.76046</c:v>
                </c:pt>
                <c:pt idx="1379" formatCode="0.00">
                  <c:v>10.873728</c:v>
                </c:pt>
                <c:pt idx="1380" formatCode="0.00">
                  <c:v>12.969185999999999</c:v>
                </c:pt>
                <c:pt idx="1381" formatCode="0.00">
                  <c:v>13.110771</c:v>
                </c:pt>
                <c:pt idx="1382" formatCode="0.00">
                  <c:v>28.883339999999997</c:v>
                </c:pt>
                <c:pt idx="1383" formatCode="0.00">
                  <c:v>28.883339999999997</c:v>
                </c:pt>
                <c:pt idx="1384" formatCode="0.00">
                  <c:v>27.071051999999998</c:v>
                </c:pt>
                <c:pt idx="1385" formatCode="0.00">
                  <c:v>27.495806999999999</c:v>
                </c:pt>
                <c:pt idx="1386" formatCode="0.00">
                  <c:v>26.419760999999998</c:v>
                </c:pt>
                <c:pt idx="1387" formatCode="0.00">
                  <c:v>26.646296999999997</c:v>
                </c:pt>
                <c:pt idx="1388" formatCode="0.00">
                  <c:v>28.317</c:v>
                </c:pt>
                <c:pt idx="1389" formatCode="0.00">
                  <c:v>28.317</c:v>
                </c:pt>
                <c:pt idx="1390" formatCode="0.00">
                  <c:v>28.118780999999998</c:v>
                </c:pt>
                <c:pt idx="1391" formatCode="0.00">
                  <c:v>27.920561999999997</c:v>
                </c:pt>
                <c:pt idx="1392" formatCode="0.00">
                  <c:v>23.389841999999998</c:v>
                </c:pt>
                <c:pt idx="1393" formatCode="0.00">
                  <c:v>23.389841999999998</c:v>
                </c:pt>
                <c:pt idx="1394" formatCode="0.00">
                  <c:v>21.662504999999999</c:v>
                </c:pt>
                <c:pt idx="1395" formatCode="0.00">
                  <c:v>21.662504999999999</c:v>
                </c:pt>
                <c:pt idx="1396" formatCode="0.00">
                  <c:v>22.427063999999998</c:v>
                </c:pt>
                <c:pt idx="1397" formatCode="0.00">
                  <c:v>22.625283</c:v>
                </c:pt>
                <c:pt idx="1398" formatCode="0.00">
                  <c:v>24.380936999999999</c:v>
                </c:pt>
                <c:pt idx="1399" formatCode="0.00">
                  <c:v>24.380936999999999</c:v>
                </c:pt>
                <c:pt idx="1400" formatCode="0.00">
                  <c:v>19.991802</c:v>
                </c:pt>
                <c:pt idx="1401" formatCode="0.00">
                  <c:v>19.991802</c:v>
                </c:pt>
                <c:pt idx="1402" formatCode="0.00">
                  <c:v>18.915755999999998</c:v>
                </c:pt>
                <c:pt idx="1403" formatCode="0.00">
                  <c:v>18.915755999999998</c:v>
                </c:pt>
                <c:pt idx="1404" formatCode="0.00">
                  <c:v>17.386637999999998</c:v>
                </c:pt>
                <c:pt idx="1405" formatCode="0.00">
                  <c:v>17.386637999999998</c:v>
                </c:pt>
                <c:pt idx="1406" formatCode="0.00">
                  <c:v>15.574349999999999</c:v>
                </c:pt>
                <c:pt idx="1407" formatCode="0.00">
                  <c:v>15.574349999999999</c:v>
                </c:pt>
                <c:pt idx="1408" formatCode="0.00">
                  <c:v>18.745853999999998</c:v>
                </c:pt>
                <c:pt idx="1409" formatCode="0.00">
                  <c:v>18.915755999999998</c:v>
                </c:pt>
                <c:pt idx="1410" formatCode="0.00">
                  <c:v>22.625283</c:v>
                </c:pt>
                <c:pt idx="1411" formatCode="0.00">
                  <c:v>22.625283</c:v>
                </c:pt>
                <c:pt idx="1412" formatCode="0.00">
                  <c:v>28.317</c:v>
                </c:pt>
                <c:pt idx="1413" formatCode="0.00">
                  <c:v>28.317</c:v>
                </c:pt>
                <c:pt idx="1414" formatCode="0.00">
                  <c:v>30.86553</c:v>
                </c:pt>
                <c:pt idx="1415" formatCode="0.00">
                  <c:v>30.86553</c:v>
                </c:pt>
                <c:pt idx="1416" formatCode="0.00">
                  <c:v>29.166509999999999</c:v>
                </c:pt>
                <c:pt idx="1417" formatCode="0.00">
                  <c:v>28.883339999999997</c:v>
                </c:pt>
                <c:pt idx="1418" formatCode="0.00">
                  <c:v>28.883339999999997</c:v>
                </c:pt>
                <c:pt idx="1419" formatCode="0.00">
                  <c:v>28.883339999999997</c:v>
                </c:pt>
                <c:pt idx="1420" formatCode="0.00">
                  <c:v>26.023322999999998</c:v>
                </c:pt>
                <c:pt idx="1421" formatCode="0.00">
                  <c:v>26.023322999999998</c:v>
                </c:pt>
                <c:pt idx="1422" formatCode="0.00">
                  <c:v>26.023322999999998</c:v>
                </c:pt>
                <c:pt idx="1423" formatCode="0.00">
                  <c:v>26.023322999999998</c:v>
                </c:pt>
                <c:pt idx="1424" formatCode="0.00">
                  <c:v>22.030625999999998</c:v>
                </c:pt>
                <c:pt idx="1425" formatCode="0.00">
                  <c:v>22.030625999999998</c:v>
                </c:pt>
                <c:pt idx="1426" formatCode="0.00">
                  <c:v>21.096164999999999</c:v>
                </c:pt>
                <c:pt idx="1427" formatCode="0.00">
                  <c:v>17.896343999999999</c:v>
                </c:pt>
                <c:pt idx="1428" formatCode="0.00">
                  <c:v>17.556539999999998</c:v>
                </c:pt>
                <c:pt idx="1429" formatCode="0.00">
                  <c:v>13.563842999999999</c:v>
                </c:pt>
                <c:pt idx="1430" formatCode="0.00">
                  <c:v>13.563842999999999</c:v>
                </c:pt>
                <c:pt idx="1431" formatCode="0.00">
                  <c:v>12.544430999999999</c:v>
                </c:pt>
                <c:pt idx="1432" formatCode="0.00">
                  <c:v>12.544430999999999</c:v>
                </c:pt>
                <c:pt idx="1433" formatCode="0.00">
                  <c:v>12.261260999999999</c:v>
                </c:pt>
                <c:pt idx="1434" formatCode="0.00">
                  <c:v>12.261260999999999</c:v>
                </c:pt>
                <c:pt idx="1435" formatCode="0.00">
                  <c:v>11.694920999999999</c:v>
                </c:pt>
                <c:pt idx="1436" formatCode="0.00">
                  <c:v>11.553336</c:v>
                </c:pt>
                <c:pt idx="1437" formatCode="0.00">
                  <c:v>11.553336</c:v>
                </c:pt>
                <c:pt idx="1438" formatCode="0.00">
                  <c:v>11.694920999999999</c:v>
                </c:pt>
                <c:pt idx="1439" formatCode="0.00">
                  <c:v>10.364022</c:v>
                </c:pt>
                <c:pt idx="1440" formatCode="0.00">
                  <c:v>10.364022</c:v>
                </c:pt>
                <c:pt idx="1441" formatCode="0.00">
                  <c:v>10.222436999999999</c:v>
                </c:pt>
                <c:pt idx="1442" formatCode="0.00">
                  <c:v>10.364022</c:v>
                </c:pt>
                <c:pt idx="1443" formatCode="0.00">
                  <c:v>11.411750999999999</c:v>
                </c:pt>
                <c:pt idx="1444" formatCode="0.00">
                  <c:v>11.298482999999999</c:v>
                </c:pt>
                <c:pt idx="1445" formatCode="0.00">
                  <c:v>11.156898</c:v>
                </c:pt>
                <c:pt idx="1446" formatCode="0.00">
                  <c:v>11.156898</c:v>
                </c:pt>
                <c:pt idx="1447" formatCode="0.00">
                  <c:v>12.544430999999999</c:v>
                </c:pt>
                <c:pt idx="1448" formatCode="0.00">
                  <c:v>12.544430999999999</c:v>
                </c:pt>
                <c:pt idx="1449" formatCode="0.00">
                  <c:v>12.119676</c:v>
                </c:pt>
                <c:pt idx="1450" formatCode="0.00">
                  <c:v>12.119676</c:v>
                </c:pt>
                <c:pt idx="1451" formatCode="0.00">
                  <c:v>11.978090999999999</c:v>
                </c:pt>
                <c:pt idx="1452" formatCode="0.00">
                  <c:v>11.978090999999999</c:v>
                </c:pt>
                <c:pt idx="1453" formatCode="0.00">
                  <c:v>10.364022</c:v>
                </c:pt>
                <c:pt idx="1454" formatCode="0.00">
                  <c:v>10.364022</c:v>
                </c:pt>
                <c:pt idx="1455" formatCode="0.00">
                  <c:v>9.4861949999999986</c:v>
                </c:pt>
                <c:pt idx="1456" formatCode="0.00">
                  <c:v>9.3446099999999994</c:v>
                </c:pt>
                <c:pt idx="1457" formatCode="0.00">
                  <c:v>8.495099999999999</c:v>
                </c:pt>
                <c:pt idx="1458" formatCode="0.00">
                  <c:v>8.495099999999999</c:v>
                </c:pt>
                <c:pt idx="1459" formatCode="0.00">
                  <c:v>8.495099999999999</c:v>
                </c:pt>
                <c:pt idx="1460" formatCode="0.00">
                  <c:v>8.495099999999999</c:v>
                </c:pt>
                <c:pt idx="1461" formatCode="0.00">
                  <c:v>8.3818319999999993</c:v>
                </c:pt>
                <c:pt idx="1462" formatCode="0.00">
                  <c:v>8.3818319999999993</c:v>
                </c:pt>
                <c:pt idx="1463" formatCode="0.00">
                  <c:v>8.1552959999999999</c:v>
                </c:pt>
                <c:pt idx="1464" formatCode="0.00">
                  <c:v>6.937665</c:v>
                </c:pt>
                <c:pt idx="1465" formatCode="0.00">
                  <c:v>6.937665</c:v>
                </c:pt>
                <c:pt idx="1466" formatCode="0.00">
                  <c:v>6.5129099999999998</c:v>
                </c:pt>
                <c:pt idx="1467" formatCode="0.00">
                  <c:v>6.4279589999999995</c:v>
                </c:pt>
                <c:pt idx="1468" formatCode="0.00">
                  <c:v>6.4279589999999995</c:v>
                </c:pt>
                <c:pt idx="1469" formatCode="0.00">
                  <c:v>6.4279589999999995</c:v>
                </c:pt>
                <c:pt idx="1470" formatCode="0.00">
                  <c:v>6.2297399999999996</c:v>
                </c:pt>
                <c:pt idx="1471" formatCode="0.00">
                  <c:v>6.2297399999999996</c:v>
                </c:pt>
                <c:pt idx="1472" formatCode="0.00">
                  <c:v>6.1164719999999999</c:v>
                </c:pt>
                <c:pt idx="1473" formatCode="0.00">
                  <c:v>6.1164719999999999</c:v>
                </c:pt>
                <c:pt idx="1474" formatCode="0.00">
                  <c:v>6.0315209999999997</c:v>
                </c:pt>
                <c:pt idx="1475" formatCode="0.00">
                  <c:v>6.0315209999999997</c:v>
                </c:pt>
                <c:pt idx="1476" formatCode="0.00">
                  <c:v>1.0477289999999999</c:v>
                </c:pt>
                <c:pt idx="1477" formatCode="0.00">
                  <c:v>1.1326799999999999</c:v>
                </c:pt>
                <c:pt idx="1478" formatCode="0.00">
                  <c:v>1.2176309999999999</c:v>
                </c:pt>
                <c:pt idx="1479" formatCode="0.00">
                  <c:v>1.8972389999999999</c:v>
                </c:pt>
                <c:pt idx="1480" formatCode="0.00">
                  <c:v>2.6051639999999998</c:v>
                </c:pt>
                <c:pt idx="1481" formatCode="0.00">
                  <c:v>2.520213</c:v>
                </c:pt>
                <c:pt idx="1482" formatCode="0.00">
                  <c:v>3.1431869999999997</c:v>
                </c:pt>
                <c:pt idx="1483" formatCode="0.00">
                  <c:v>2.860017</c:v>
                </c:pt>
                <c:pt idx="1484" formatCode="0.00">
                  <c:v>2.2370429999999999</c:v>
                </c:pt>
                <c:pt idx="1485" formatCode="0.00">
                  <c:v>1.6423859999999999</c:v>
                </c:pt>
                <c:pt idx="1486" formatCode="0.00">
                  <c:v>1.6707029999999998</c:v>
                </c:pt>
                <c:pt idx="1487" formatCode="0.00">
                  <c:v>2.3219939999999997</c:v>
                </c:pt>
                <c:pt idx="1488" formatCode="0.00">
                  <c:v>1.69902</c:v>
                </c:pt>
                <c:pt idx="1489" formatCode="0.00">
                  <c:v>1.9255559999999998</c:v>
                </c:pt>
                <c:pt idx="1490" formatCode="0.00">
                  <c:v>3.539625</c:v>
                </c:pt>
                <c:pt idx="1491" formatCode="0.00">
                  <c:v>2.6617979999999997</c:v>
                </c:pt>
                <c:pt idx="1492" formatCode="0.00">
                  <c:v>2.378628</c:v>
                </c:pt>
                <c:pt idx="1493" formatCode="0.00">
                  <c:v>0.33980399999999999</c:v>
                </c:pt>
                <c:pt idx="1494" formatCode="0.00">
                  <c:v>0.45307199999999997</c:v>
                </c:pt>
                <c:pt idx="1495" formatCode="0.00">
                  <c:v>0.39643799999999996</c:v>
                </c:pt>
                <c:pt idx="1496" formatCode="0.00">
                  <c:v>0.53802299999999992</c:v>
                </c:pt>
                <c:pt idx="1497" formatCode="0.00">
                  <c:v>0.56633999999999995</c:v>
                </c:pt>
                <c:pt idx="1498" formatCode="0.00">
                  <c:v>0.50970599999999999</c:v>
                </c:pt>
                <c:pt idx="1499" formatCode="0.00">
                  <c:v>0.67960799999999999</c:v>
                </c:pt>
                <c:pt idx="1500" formatCode="0.00">
                  <c:v>0.79287599999999991</c:v>
                </c:pt>
                <c:pt idx="1501" formatCode="0.00">
                  <c:v>3.4829909999999997</c:v>
                </c:pt>
                <c:pt idx="1502" formatCode="0.00">
                  <c:v>1.3875329999999999</c:v>
                </c:pt>
                <c:pt idx="1503" formatCode="0.00">
                  <c:v>1.868922</c:v>
                </c:pt>
                <c:pt idx="1504" formatCode="0.00">
                  <c:v>2.4352619999999998</c:v>
                </c:pt>
                <c:pt idx="1505" formatCode="0.00">
                  <c:v>2.4069449999999999</c:v>
                </c:pt>
                <c:pt idx="1506" formatCode="0.00">
                  <c:v>2.8316999999999997</c:v>
                </c:pt>
                <c:pt idx="1507" formatCode="0.00">
                  <c:v>3.3130889999999997</c:v>
                </c:pt>
                <c:pt idx="1508" formatCode="0.00">
                  <c:v>2.9449679999999998</c:v>
                </c:pt>
                <c:pt idx="1509" formatCode="0.00">
                  <c:v>2.7750659999999998</c:v>
                </c:pt>
                <c:pt idx="1510" formatCode="0.00">
                  <c:v>2.9449679999999998</c:v>
                </c:pt>
                <c:pt idx="1511" formatCode="0.00">
                  <c:v>3.7944779999999998</c:v>
                </c:pt>
                <c:pt idx="1512" formatCode="0.00">
                  <c:v>3.9643799999999998</c:v>
                </c:pt>
                <c:pt idx="1513" formatCode="0.00">
                  <c:v>0.48138899999999996</c:v>
                </c:pt>
                <c:pt idx="1514" formatCode="0.00">
                  <c:v>0.79287599999999991</c:v>
                </c:pt>
                <c:pt idx="1515" formatCode="0.00">
                  <c:v>1.5574349999999999</c:v>
                </c:pt>
                <c:pt idx="1516" formatCode="0.00">
                  <c:v>1.7273369999999999</c:v>
                </c:pt>
                <c:pt idx="1517" formatCode="0.00">
                  <c:v>1.6707029999999998</c:v>
                </c:pt>
                <c:pt idx="1518" formatCode="0.00">
                  <c:v>1.783971</c:v>
                </c:pt>
                <c:pt idx="1519" formatCode="0.00">
                  <c:v>2.010507</c:v>
                </c:pt>
                <c:pt idx="1520" formatCode="0.00">
                  <c:v>2.4352619999999998</c:v>
                </c:pt>
                <c:pt idx="1521" formatCode="0.00">
                  <c:v>3.3130889999999997</c:v>
                </c:pt>
                <c:pt idx="1522" formatCode="0.00">
                  <c:v>2.4352619999999998</c:v>
                </c:pt>
                <c:pt idx="1523" formatCode="0.00">
                  <c:v>2.350311</c:v>
                </c:pt>
                <c:pt idx="1524" formatCode="0.00">
                  <c:v>2.0671409999999999</c:v>
                </c:pt>
                <c:pt idx="1525" formatCode="0.00">
                  <c:v>2.0671409999999999</c:v>
                </c:pt>
                <c:pt idx="1526" formatCode="0.00">
                  <c:v>2.4352619999999998</c:v>
                </c:pt>
                <c:pt idx="1527" formatCode="0.00">
                  <c:v>2.7750659999999998</c:v>
                </c:pt>
                <c:pt idx="1528" formatCode="0.00">
                  <c:v>2.54853</c:v>
                </c:pt>
                <c:pt idx="1529" formatCode="0.00">
                  <c:v>2.378628</c:v>
                </c:pt>
                <c:pt idx="1530" formatCode="0.00">
                  <c:v>1.953873</c:v>
                </c:pt>
                <c:pt idx="1531" formatCode="0.00">
                  <c:v>0.62297399999999992</c:v>
                </c:pt>
                <c:pt idx="1532" formatCode="0.00">
                  <c:v>0.59465699999999999</c:v>
                </c:pt>
                <c:pt idx="1533" formatCode="0.00">
                  <c:v>0.73624199999999995</c:v>
                </c:pt>
                <c:pt idx="1534" formatCode="0.00">
                  <c:v>1.3875329999999999</c:v>
                </c:pt>
                <c:pt idx="1535" formatCode="0.00">
                  <c:v>3.1715039999999997</c:v>
                </c:pt>
                <c:pt idx="1536" formatCode="0.00">
                  <c:v>4.7006220000000001</c:v>
                </c:pt>
                <c:pt idx="1537" formatCode="0.00">
                  <c:v>3.7661609999999999</c:v>
                </c:pt>
                <c:pt idx="1538" formatCode="0.00">
                  <c:v>3.6245759999999998</c:v>
                </c:pt>
                <c:pt idx="1539" formatCode="0.00">
                  <c:v>3.369723</c:v>
                </c:pt>
                <c:pt idx="1540" formatCode="0.00">
                  <c:v>3.5679419999999999</c:v>
                </c:pt>
                <c:pt idx="1541" formatCode="0.00">
                  <c:v>3.539625</c:v>
                </c:pt>
                <c:pt idx="1542" formatCode="0.00">
                  <c:v>0.36812099999999998</c:v>
                </c:pt>
                <c:pt idx="1543" formatCode="0.00">
                  <c:v>0.70792499999999992</c:v>
                </c:pt>
                <c:pt idx="1544" formatCode="0.00">
                  <c:v>0.96277799999999991</c:v>
                </c:pt>
                <c:pt idx="1545" formatCode="0.00">
                  <c:v>1.5857519999999998</c:v>
                </c:pt>
                <c:pt idx="1546" formatCode="0.00">
                  <c:v>1.019412</c:v>
                </c:pt>
                <c:pt idx="1547" formatCode="0.00">
                  <c:v>1.104363</c:v>
                </c:pt>
                <c:pt idx="1548" formatCode="0.00">
                  <c:v>1.189314</c:v>
                </c:pt>
                <c:pt idx="1549" formatCode="0.00">
                  <c:v>3.3414059999999997</c:v>
                </c:pt>
                <c:pt idx="1550" formatCode="0.00">
                  <c:v>3.2564549999999999</c:v>
                </c:pt>
                <c:pt idx="1551" formatCode="0.00">
                  <c:v>1.8122879999999999</c:v>
                </c:pt>
                <c:pt idx="1552" formatCode="0.00">
                  <c:v>1.8122879999999999</c:v>
                </c:pt>
                <c:pt idx="1553" formatCode="0.00">
                  <c:v>1.614069</c:v>
                </c:pt>
                <c:pt idx="1554" formatCode="0.00">
                  <c:v>1.614069</c:v>
                </c:pt>
                <c:pt idx="1555" formatCode="0.00">
                  <c:v>1.529118</c:v>
                </c:pt>
                <c:pt idx="1556" formatCode="0.00">
                  <c:v>1.529118</c:v>
                </c:pt>
                <c:pt idx="1557" formatCode="0.00">
                  <c:v>1.5857519999999998</c:v>
                </c:pt>
                <c:pt idx="1558" formatCode="0.00">
                  <c:v>1.5857519999999998</c:v>
                </c:pt>
                <c:pt idx="1559" formatCode="0.00">
                  <c:v>1.7273369999999999</c:v>
                </c:pt>
                <c:pt idx="1560" formatCode="0.00">
                  <c:v>1.9821899999999999</c:v>
                </c:pt>
                <c:pt idx="1561" formatCode="0.00">
                  <c:v>1.9821899999999999</c:v>
                </c:pt>
                <c:pt idx="1562" formatCode="0.00">
                  <c:v>1.104363</c:v>
                </c:pt>
                <c:pt idx="1563" formatCode="0.00">
                  <c:v>0.96277799999999991</c:v>
                </c:pt>
                <c:pt idx="1564" formatCode="0.00">
                  <c:v>48.697846425604624</c:v>
                </c:pt>
                <c:pt idx="1565" formatCode="0.00">
                  <c:v>48.697846425604624</c:v>
                </c:pt>
                <c:pt idx="1566" formatCode="0.00">
                  <c:v>66.534848314052837</c:v>
                </c:pt>
                <c:pt idx="1567" formatCode="0.00">
                  <c:v>66.534848314052837</c:v>
                </c:pt>
                <c:pt idx="1568" formatCode="0.00">
                  <c:v>54.926640735856381</c:v>
                </c:pt>
                <c:pt idx="1569" formatCode="0.00">
                  <c:v>54.926640735856381</c:v>
                </c:pt>
                <c:pt idx="1570" formatCode="0.00">
                  <c:v>49.830354482014037</c:v>
                </c:pt>
                <c:pt idx="1571" formatCode="0.00">
                  <c:v>49.830354482014037</c:v>
                </c:pt>
                <c:pt idx="1572" formatCode="0.00">
                  <c:v>36.806511833305819</c:v>
                </c:pt>
                <c:pt idx="1573" formatCode="0.00">
                  <c:v>36.806511833305819</c:v>
                </c:pt>
                <c:pt idx="1574" formatCode="0.00">
                  <c:v>38.788400932022292</c:v>
                </c:pt>
                <c:pt idx="1575" formatCode="0.00">
                  <c:v>38.788400932022292</c:v>
                </c:pt>
                <c:pt idx="1576" formatCode="0.00">
                  <c:v>64.26983220123401</c:v>
                </c:pt>
                <c:pt idx="1577" formatCode="0.00">
                  <c:v>64.26983220123401</c:v>
                </c:pt>
                <c:pt idx="1578" formatCode="0.00">
                  <c:v>82.389961103784572</c:v>
                </c:pt>
                <c:pt idx="1579" formatCode="0.00">
                  <c:v>82.389961103784572</c:v>
                </c:pt>
                <c:pt idx="1580" formatCode="0.00">
                  <c:v>69.932372483281057</c:v>
                </c:pt>
                <c:pt idx="1581" formatCode="0.00">
                  <c:v>69.932372483281057</c:v>
                </c:pt>
                <c:pt idx="1582" formatCode="0.00">
                  <c:v>53.794132679446967</c:v>
                </c:pt>
                <c:pt idx="1583" formatCode="0.00">
                  <c:v>53.794132679446967</c:v>
                </c:pt>
                <c:pt idx="1584" formatCode="0.00">
                  <c:v>43.884687185864635</c:v>
                </c:pt>
                <c:pt idx="1585" formatCode="0.00">
                  <c:v>43.884687185864635</c:v>
                </c:pt>
                <c:pt idx="1586" formatCode="0.00">
                  <c:v>38.505273917919936</c:v>
                </c:pt>
                <c:pt idx="1587" formatCode="0.00">
                  <c:v>38.505273917919936</c:v>
                </c:pt>
                <c:pt idx="1588" formatCode="0.00">
                  <c:v>50.113481496116385</c:v>
                </c:pt>
                <c:pt idx="1589" formatCode="0.00">
                  <c:v>50.113481496116385</c:v>
                </c:pt>
                <c:pt idx="1590" formatCode="0.00">
                  <c:v>50.679735524321096</c:v>
                </c:pt>
                <c:pt idx="1591" formatCode="0.00">
                  <c:v>50.679735524321096</c:v>
                </c:pt>
                <c:pt idx="1592" formatCode="0.00">
                  <c:v>46.432830312785804</c:v>
                </c:pt>
                <c:pt idx="1593" formatCode="0.00">
                  <c:v>46.432830312785804</c:v>
                </c:pt>
                <c:pt idx="1594" formatCode="0.00">
                  <c:v>37.089638847408175</c:v>
                </c:pt>
                <c:pt idx="1595" formatCode="0.00">
                  <c:v>37.089638847408175</c:v>
                </c:pt>
                <c:pt idx="1596" formatCode="0.00">
                  <c:v>33.692114678179948</c:v>
                </c:pt>
                <c:pt idx="1597" formatCode="0.00">
                  <c:v>33.692114678179948</c:v>
                </c:pt>
                <c:pt idx="1598" formatCode="0.00">
                  <c:v>70.781753525588115</c:v>
                </c:pt>
                <c:pt idx="1599" formatCode="0.00">
                  <c:v>70.781753525588115</c:v>
                </c:pt>
                <c:pt idx="1600" formatCode="0.00">
                  <c:v>77.293674849942221</c:v>
                </c:pt>
                <c:pt idx="1601" formatCode="0.00">
                  <c:v>77.293674849942221</c:v>
                </c:pt>
                <c:pt idx="1602" formatCode="0.00">
                  <c:v>110.98578952812217</c:v>
                </c:pt>
                <c:pt idx="1603" formatCode="0.00">
                  <c:v>110.98578952812217</c:v>
                </c:pt>
                <c:pt idx="1604" formatCode="0.00">
                  <c:v>125.7083942614445</c:v>
                </c:pt>
                <c:pt idx="1605" formatCode="0.00">
                  <c:v>125.7083942614445</c:v>
                </c:pt>
                <c:pt idx="1606" formatCode="0.00">
                  <c:v>91.166898540957504</c:v>
                </c:pt>
                <c:pt idx="1607" formatCode="0.00">
                  <c:v>91.166898540957504</c:v>
                </c:pt>
                <c:pt idx="1608" formatCode="0.00">
                  <c:v>126.27464828964921</c:v>
                </c:pt>
                <c:pt idx="1609" formatCode="0.00">
                  <c:v>126.27464828964921</c:v>
                </c:pt>
                <c:pt idx="1610" formatCode="0.00">
                  <c:v>143.82852316399507</c:v>
                </c:pt>
                <c:pt idx="1611" formatCode="0.00">
                  <c:v>143.82852316399507</c:v>
                </c:pt>
                <c:pt idx="1612" formatCode="0.00">
                  <c:v>123.72650516272803</c:v>
                </c:pt>
                <c:pt idx="1613" formatCode="0.00">
                  <c:v>123.72650516272803</c:v>
                </c:pt>
                <c:pt idx="1614" formatCode="0.00">
                  <c:v>137.5997288537433</c:v>
                </c:pt>
                <c:pt idx="1615" formatCode="0.00">
                  <c:v>137.5997288537433</c:v>
                </c:pt>
                <c:pt idx="1616" formatCode="0.00">
                  <c:v>161.66552505244326</c:v>
                </c:pt>
                <c:pt idx="1617" formatCode="0.00">
                  <c:v>161.66552505244326</c:v>
                </c:pt>
                <c:pt idx="1618" formatCode="0.00">
                  <c:v>176.10500277166324</c:v>
                </c:pt>
                <c:pt idx="1619" formatCode="0.00">
                  <c:v>176.10500277166324</c:v>
                </c:pt>
                <c:pt idx="1620" formatCode="0.00">
                  <c:v>180.06878096909617</c:v>
                </c:pt>
                <c:pt idx="1621" formatCode="0.00">
                  <c:v>180.06878096909617</c:v>
                </c:pt>
                <c:pt idx="1622" formatCode="0.00">
                  <c:v>102.4919791050516</c:v>
                </c:pt>
                <c:pt idx="1623" formatCode="0.00">
                  <c:v>102.4919791050516</c:v>
                </c:pt>
                <c:pt idx="1624" formatCode="0.00">
                  <c:v>124.29275919093274</c:v>
                </c:pt>
                <c:pt idx="1625" formatCode="0.00">
                  <c:v>124.29275919093274</c:v>
                </c:pt>
                <c:pt idx="1626" formatCode="0.00">
                  <c:v>128.53966440246802</c:v>
                </c:pt>
                <c:pt idx="1627" formatCode="0.00">
                  <c:v>128.53966440246802</c:v>
                </c:pt>
                <c:pt idx="1628" formatCode="0.00">
                  <c:v>82.67308811788692</c:v>
                </c:pt>
                <c:pt idx="1629" formatCode="0.00">
                  <c:v>82.67308811788692</c:v>
                </c:pt>
                <c:pt idx="1630" formatCode="0.00">
                  <c:v>131.65406155759391</c:v>
                </c:pt>
                <c:pt idx="1631" formatCode="0.00">
                  <c:v>131.65406155759391</c:v>
                </c:pt>
                <c:pt idx="1632" formatCode="0.00">
                  <c:v>114.3833136973504</c:v>
                </c:pt>
                <c:pt idx="1633" formatCode="0.00">
                  <c:v>114.3833136973504</c:v>
                </c:pt>
                <c:pt idx="1634" formatCode="0.00">
                  <c:v>269.8200444395419</c:v>
                </c:pt>
                <c:pt idx="1635" formatCode="0.00">
                  <c:v>269.8200444395419</c:v>
                </c:pt>
                <c:pt idx="1636" formatCode="0.00">
                  <c:v>160.81614401013621</c:v>
                </c:pt>
                <c:pt idx="1637" formatCode="0.00">
                  <c:v>160.81614401013621</c:v>
                </c:pt>
                <c:pt idx="1638" formatCode="0.00">
                  <c:v>166.76181130628561</c:v>
                </c:pt>
                <c:pt idx="1639" formatCode="0.00">
                  <c:v>166.76181130628561</c:v>
                </c:pt>
                <c:pt idx="1640" formatCode="0.00">
                  <c:v>212.91151460496906</c:v>
                </c:pt>
                <c:pt idx="1641" formatCode="0.00">
                  <c:v>212.91151460496906</c:v>
                </c:pt>
                <c:pt idx="1642" formatCode="0.00">
                  <c:v>230.74851649341727</c:v>
                </c:pt>
                <c:pt idx="1643" formatCode="0.00">
                  <c:v>230.74851649341727</c:v>
                </c:pt>
                <c:pt idx="1644" formatCode="0.00">
                  <c:v>291.62082452542307</c:v>
                </c:pt>
                <c:pt idx="1645" formatCode="0.00">
                  <c:v>291.62082452542307</c:v>
                </c:pt>
                <c:pt idx="1646" formatCode="0.00">
                  <c:v>0.20470083119600085</c:v>
                </c:pt>
                <c:pt idx="1647" formatCode="0.00">
                  <c:v>0.65119213243541074</c:v>
                </c:pt>
                <c:pt idx="1648" formatCode="0.00">
                  <c:v>0.8776937437172927</c:v>
                </c:pt>
                <c:pt idx="1649" formatCode="0.00">
                  <c:v>0.36523384819203469</c:v>
                </c:pt>
                <c:pt idx="1650" formatCode="0.00">
                  <c:v>0.28086199798953365</c:v>
                </c:pt>
                <c:pt idx="1651" formatCode="0.00">
                  <c:v>0.18969509944857615</c:v>
                </c:pt>
                <c:pt idx="1652" formatCode="0.00">
                  <c:v>1.3505158572682214</c:v>
                </c:pt>
                <c:pt idx="1653" formatCode="0.00">
                  <c:v>1.8969509944857617</c:v>
                </c:pt>
                <c:pt idx="1654" formatCode="0.00">
                  <c:v>1.2146148904990921</c:v>
                </c:pt>
                <c:pt idx="1655" formatCode="0.00">
                  <c:v>0.89185009442241026</c:v>
                </c:pt>
                <c:pt idx="1656" formatCode="0.00">
                  <c:v>0.68516737412769302</c:v>
                </c:pt>
                <c:pt idx="1657" formatCode="0.00">
                  <c:v>0.38222146903817583</c:v>
                </c:pt>
                <c:pt idx="1658" formatCode="0.00">
                  <c:v>0.34541495720486998</c:v>
                </c:pt>
                <c:pt idx="1659" formatCode="0.00">
                  <c:v>0.76161166793532808</c:v>
                </c:pt>
                <c:pt idx="1660" formatCode="0.00">
                  <c:v>0.41902798087148169</c:v>
                </c:pt>
                <c:pt idx="1661" formatCode="0.00">
                  <c:v>1.3306969662810566</c:v>
                </c:pt>
                <c:pt idx="1662" formatCode="0.00">
                  <c:v>1.0702201133068923</c:v>
                </c:pt>
                <c:pt idx="1663" formatCode="0.00">
                  <c:v>1.3420220468451507</c:v>
                </c:pt>
                <c:pt idx="1664" formatCode="0.00">
                  <c:v>0.80974326033272814</c:v>
                </c:pt>
                <c:pt idx="1665" formatCode="0.00">
                  <c:v>0.44450941214069339</c:v>
                </c:pt>
                <c:pt idx="1666" formatCode="0.00">
                  <c:v>0.37655892875612884</c:v>
                </c:pt>
                <c:pt idx="1667" formatCode="0.00">
                  <c:v>1.8516506722293853</c:v>
                </c:pt>
                <c:pt idx="1668" formatCode="0.00">
                  <c:v>0.69649245469178711</c:v>
                </c:pt>
                <c:pt idx="1669" formatCode="0.00">
                  <c:v>0.73329896652509285</c:v>
                </c:pt>
                <c:pt idx="1670" formatCode="0.00">
                  <c:v>1.0758826535889394</c:v>
                </c:pt>
                <c:pt idx="1671" formatCode="0.00">
                  <c:v>1.0758826535889394</c:v>
                </c:pt>
                <c:pt idx="1672" formatCode="0.00">
                  <c:v>0.53794132679446971</c:v>
                </c:pt>
                <c:pt idx="1673" formatCode="0.00">
                  <c:v>0.59456672961494017</c:v>
                </c:pt>
                <c:pt idx="1674" formatCode="0.00">
                  <c:v>0.63703578173029307</c:v>
                </c:pt>
                <c:pt idx="1675" formatCode="0.00">
                  <c:v>0.64269832201234012</c:v>
                </c:pt>
                <c:pt idx="1676" formatCode="0.00">
                  <c:v>0.39920908988431697</c:v>
                </c:pt>
                <c:pt idx="1677" formatCode="0.00">
                  <c:v>0.67667356370462239</c:v>
                </c:pt>
                <c:pt idx="1678" formatCode="0.00">
                  <c:v>1.1041953549991748</c:v>
                </c:pt>
                <c:pt idx="1679" formatCode="0.00">
                  <c:v>1.8771321034985968</c:v>
                </c:pt>
                <c:pt idx="1680" formatCode="0.00">
                  <c:v>1.6817744637679737</c:v>
                </c:pt>
                <c:pt idx="1681" formatCode="0.00">
                  <c:v>1.3306969662810566</c:v>
                </c:pt>
                <c:pt idx="1682" formatCode="0.00">
                  <c:v>1.4439477719219975</c:v>
                </c:pt>
                <c:pt idx="1683" formatCode="0.00">
                  <c:v>2.3216415156392904</c:v>
                </c:pt>
                <c:pt idx="1684" formatCode="0.00">
                  <c:v>1.9535763973062321</c:v>
                </c:pt>
                <c:pt idx="1685" formatCode="0.00">
                  <c:v>2.8029574396132895</c:v>
                </c:pt>
                <c:pt idx="1686" formatCode="0.00">
                  <c:v>3.8505273917919935</c:v>
                </c:pt>
                <c:pt idx="1687" formatCode="0.00">
                  <c:v>3.2842733635872889</c:v>
                </c:pt>
                <c:pt idx="1688" formatCode="0.00">
                  <c:v>4.5017195242274042</c:v>
                </c:pt>
                <c:pt idx="1689" formatCode="0.00">
                  <c:v>2.7463320367928192</c:v>
                </c:pt>
                <c:pt idx="1690" formatCode="0.00">
                  <c:v>1.7270747860243501</c:v>
                </c:pt>
                <c:pt idx="1691" formatCode="0.00">
                  <c:v>1.7553874874345854</c:v>
                </c:pt>
                <c:pt idx="1692" formatCode="0.00">
                  <c:v>1.7553874874345854</c:v>
                </c:pt>
                <c:pt idx="1693" formatCode="0.00">
                  <c:v>2.0102018001267026</c:v>
                </c:pt>
                <c:pt idx="1694" formatCode="0.00">
                  <c:v>1.8969509944857617</c:v>
                </c:pt>
                <c:pt idx="1695" formatCode="0.00">
                  <c:v>3.0011463494849364</c:v>
                </c:pt>
                <c:pt idx="1696" formatCode="0.00">
                  <c:v>1.7270747860243501</c:v>
                </c:pt>
                <c:pt idx="1697" formatCode="0.00">
                  <c:v>0.45300322256376396</c:v>
                </c:pt>
                <c:pt idx="1698" formatCode="0.00">
                  <c:v>0.42469052115352873</c:v>
                </c:pt>
                <c:pt idx="1699" formatCode="0.00">
                  <c:v>0.39637781974329345</c:v>
                </c:pt>
                <c:pt idx="1700" formatCode="0.00">
                  <c:v>0.99094454935823362</c:v>
                </c:pt>
                <c:pt idx="1701" formatCode="0.00">
                  <c:v>0.65119213243541074</c:v>
                </c:pt>
                <c:pt idx="1702" formatCode="0.00">
                  <c:v>0.67950483384564597</c:v>
                </c:pt>
                <c:pt idx="1703" formatCode="0.00">
                  <c:v>1.0475699521787041</c:v>
                </c:pt>
                <c:pt idx="1704" formatCode="0.00">
                  <c:v>3.086084453715642</c:v>
                </c:pt>
                <c:pt idx="1705" formatCode="0.00">
                  <c:v>2.2650161128188198</c:v>
                </c:pt>
                <c:pt idx="1706" formatCode="0.00">
                  <c:v>1.5005731747424682</c:v>
                </c:pt>
                <c:pt idx="1707" formatCode="0.00">
                  <c:v>1.5855112789731738</c:v>
                </c:pt>
                <c:pt idx="1708" formatCode="0.00">
                  <c:v>2.2650161128188198</c:v>
                </c:pt>
                <c:pt idx="1709" formatCode="0.00">
                  <c:v>2.7180193353825839</c:v>
                </c:pt>
                <c:pt idx="1710" formatCode="0.00">
                  <c:v>4.246905211535287</c:v>
                </c:pt>
                <c:pt idx="1711" formatCode="0.00">
                  <c:v>5.5492894764061083</c:v>
                </c:pt>
                <c:pt idx="1712" formatCode="0.00">
                  <c:v>3.7089638847408173</c:v>
                </c:pt>
                <c:pt idx="1713" formatCode="0.00">
                  <c:v>3.7089638847408173</c:v>
                </c:pt>
                <c:pt idx="1714" formatCode="0.00">
                  <c:v>3.7089638847408173</c:v>
                </c:pt>
                <c:pt idx="1715" formatCode="0.00">
                  <c:v>3.2842733635872889</c:v>
                </c:pt>
                <c:pt idx="1716" formatCode="0.00">
                  <c:v>1.8969509944857617</c:v>
                </c:pt>
                <c:pt idx="1717" formatCode="0.00">
                  <c:v>0.79275563948658689</c:v>
                </c:pt>
                <c:pt idx="1718" formatCode="0.00">
                  <c:v>1.0758826535889394</c:v>
                </c:pt>
                <c:pt idx="1719" formatCode="0.00">
                  <c:v>1.5855112789731738</c:v>
                </c:pt>
                <c:pt idx="1720" formatCode="0.00">
                  <c:v>1.6704493832038796</c:v>
                </c:pt>
                <c:pt idx="1721" formatCode="0.00">
                  <c:v>1.5288858761527033</c:v>
                </c:pt>
                <c:pt idx="1722" formatCode="0.00">
                  <c:v>2.1517653071778788</c:v>
                </c:pt>
                <c:pt idx="1723" formatCode="0.00">
                  <c:v>2.4915177241007016</c:v>
                </c:pt>
                <c:pt idx="1724" formatCode="0.00">
                  <c:v>3.2276479607668183</c:v>
                </c:pt>
                <c:pt idx="1725" formatCode="0.00">
                  <c:v>3.9354654960226996</c:v>
                </c:pt>
                <c:pt idx="1726" formatCode="0.00">
                  <c:v>2.4915177241007016</c:v>
                </c:pt>
                <c:pt idx="1727" formatCode="0.00">
                  <c:v>2.0951399043574082</c:v>
                </c:pt>
                <c:pt idx="1728" formatCode="0.00">
                  <c:v>2.1517653071778788</c:v>
                </c:pt>
                <c:pt idx="1729" formatCode="0.00">
                  <c:v>1.7553874874345854</c:v>
                </c:pt>
                <c:pt idx="1730" formatCode="0.00">
                  <c:v>1.5288858761527033</c:v>
                </c:pt>
                <c:pt idx="1731" formatCode="0.00">
                  <c:v>1.1041953549991748</c:v>
                </c:pt>
                <c:pt idx="1732" formatCode="0.00">
                  <c:v>0.99094454935823362</c:v>
                </c:pt>
                <c:pt idx="1733" formatCode="0.00">
                  <c:v>0.48131592397399919</c:v>
                </c:pt>
                <c:pt idx="1734" formatCode="0.00">
                  <c:v>0.73613023666611643</c:v>
                </c:pt>
                <c:pt idx="1735" formatCode="0.00">
                  <c:v>1.4156350705117624</c:v>
                </c:pt>
                <c:pt idx="1736" formatCode="0.00">
                  <c:v>3.765589287561288</c:v>
                </c:pt>
                <c:pt idx="1737" formatCode="0.00">
                  <c:v>6.25710701166199</c:v>
                </c:pt>
                <c:pt idx="1738" formatCode="0.00">
                  <c:v>6.3703578173029305</c:v>
                </c:pt>
                <c:pt idx="1739" formatCode="0.00">
                  <c:v>3.9354654960226996</c:v>
                </c:pt>
                <c:pt idx="1740" formatCode="0.00">
                  <c:v>3.0011463494849364</c:v>
                </c:pt>
                <c:pt idx="1741" formatCode="0.00">
                  <c:v>2.9445209466644657</c:v>
                </c:pt>
                <c:pt idx="1742" formatCode="0.00">
                  <c:v>2.9445209466644657</c:v>
                </c:pt>
                <c:pt idx="1743" formatCode="0.00">
                  <c:v>0.42469052115352873</c:v>
                </c:pt>
                <c:pt idx="1744" formatCode="0.00">
                  <c:v>0.45300322256376396</c:v>
                </c:pt>
                <c:pt idx="1745" formatCode="0.00">
                  <c:v>0.42469052115352873</c:v>
                </c:pt>
                <c:pt idx="1746" formatCode="0.00">
                  <c:v>1.6138239803834091</c:v>
                </c:pt>
                <c:pt idx="1747" formatCode="0.00">
                  <c:v>2.406579619869996</c:v>
                </c:pt>
                <c:pt idx="1748" formatCode="0.00">
                  <c:v>1.3590096676912919</c:v>
                </c:pt>
                <c:pt idx="1749" formatCode="0.00">
                  <c:v>1.5571985775629387</c:v>
                </c:pt>
                <c:pt idx="1750" formatCode="0.00">
                  <c:v>1.7553874874345854</c:v>
                </c:pt>
                <c:pt idx="1751" formatCode="0.00">
                  <c:v>3.8505273917919935</c:v>
                </c:pt>
                <c:pt idx="1752" formatCode="0.00">
                  <c:v>4.5300322256376395</c:v>
                </c:pt>
                <c:pt idx="1753" formatCode="0.00">
                  <c:v>3.4541495720487001</c:v>
                </c:pt>
                <c:pt idx="1754" formatCode="0.00">
                  <c:v>1.8403255916652912</c:v>
                </c:pt>
                <c:pt idx="1755" formatCode="0.00">
                  <c:v>1.8403255916652912</c:v>
                </c:pt>
                <c:pt idx="1756" formatCode="0.00">
                  <c:v>1.4722604733322329</c:v>
                </c:pt>
                <c:pt idx="1757" formatCode="0.00">
                  <c:v>1.4722604733322329</c:v>
                </c:pt>
                <c:pt idx="1758" formatCode="0.00">
                  <c:v>1.4722604733322329</c:v>
                </c:pt>
                <c:pt idx="1759" formatCode="0.00">
                  <c:v>1.4722604733322329</c:v>
                </c:pt>
                <c:pt idx="1760" formatCode="0.00">
                  <c:v>1.4722604733322329</c:v>
                </c:pt>
                <c:pt idx="1761" formatCode="0.00">
                  <c:v>1.4156350705117624</c:v>
                </c:pt>
                <c:pt idx="1762" formatCode="0.00">
                  <c:v>1.2740715634605861</c:v>
                </c:pt>
                <c:pt idx="1763" formatCode="0.00">
                  <c:v>1.1041953549991748</c:v>
                </c:pt>
                <c:pt idx="1764" formatCode="0.00">
                  <c:v>0.79275563948658689</c:v>
                </c:pt>
                <c:pt idx="1765" formatCode="0.00">
                  <c:v>0.6228794310251754</c:v>
                </c:pt>
                <c:pt idx="1766" formatCode="0.000">
                  <c:v>4.93490361E-2</c:v>
                </c:pt>
                <c:pt idx="1767" formatCode="0.000">
                  <c:v>0.1151477509</c:v>
                </c:pt>
                <c:pt idx="1768" formatCode="0.000">
                  <c:v>0.1691966952</c:v>
                </c:pt>
                <c:pt idx="1769" formatCode="0.000">
                  <c:v>0.19966116039999998</c:v>
                </c:pt>
                <c:pt idx="1770" formatCode="0.000">
                  <c:v>0.10370942009999999</c:v>
                </c:pt>
                <c:pt idx="1771" formatCode="0.000">
                  <c:v>0.1013877787</c:v>
                </c:pt>
                <c:pt idx="1772" formatCode="0.000">
                  <c:v>6.7157724399999993E-2</c:v>
                </c:pt>
                <c:pt idx="1773" formatCode="0.000">
                  <c:v>7.4179274000000003E-2</c:v>
                </c:pt>
                <c:pt idx="1774" formatCode="0.000">
                  <c:v>4.48756295E-2</c:v>
                </c:pt>
                <c:pt idx="1775" formatCode="0.000">
                  <c:v>4.3063616699999994E-2</c:v>
                </c:pt>
                <c:pt idx="1776" formatCode="0.000">
                  <c:v>2.9700022299999997E-2</c:v>
                </c:pt>
                <c:pt idx="1777" formatCode="0.000">
                  <c:v>1.7893626400000001E-2</c:v>
                </c:pt>
                <c:pt idx="1778" formatCode="0.000">
                  <c:v>2.2678472700000001E-2</c:v>
                </c:pt>
                <c:pt idx="1779" formatCode="0.000">
                  <c:v>4.9745413899999993E-2</c:v>
                </c:pt>
                <c:pt idx="1780" formatCode="0.000">
                  <c:v>4.5356945400000001E-2</c:v>
                </c:pt>
                <c:pt idx="1781" formatCode="0.000">
                  <c:v>4.7197270899999998E-2</c:v>
                </c:pt>
                <c:pt idx="1782" formatCode="0.000">
                  <c:v>0.1176392685</c:v>
                </c:pt>
                <c:pt idx="1783" formatCode="0.000">
                  <c:v>0.1208669163</c:v>
                </c:pt>
                <c:pt idx="1784" formatCode="0.000">
                  <c:v>0.1021805343</c:v>
                </c:pt>
                <c:pt idx="1785" formatCode="0.000">
                  <c:v>9.5611987899999987E-2</c:v>
                </c:pt>
                <c:pt idx="1786" formatCode="0.000">
                  <c:v>9.4451167199999991E-2</c:v>
                </c:pt>
                <c:pt idx="1787" formatCode="0.000">
                  <c:v>9.9122762699999992E-2</c:v>
                </c:pt>
                <c:pt idx="1788" formatCode="0.000">
                  <c:v>8.0691195000000007E-2</c:v>
                </c:pt>
                <c:pt idx="1789" formatCode="0.000">
                  <c:v>7.3613020000000001E-2</c:v>
                </c:pt>
                <c:pt idx="1790" formatCode="0.000">
                  <c:v>7.3754583499999998E-2</c:v>
                </c:pt>
                <c:pt idx="1791" formatCode="0.000">
                  <c:v>4.4705753299999998E-2</c:v>
                </c:pt>
                <c:pt idx="1792" formatCode="0.000">
                  <c:v>4.4337688200000003E-2</c:v>
                </c:pt>
                <c:pt idx="1793" formatCode="0.000">
                  <c:v>4.4167812000000001E-2</c:v>
                </c:pt>
                <c:pt idx="1794" formatCode="0.000">
                  <c:v>4.3346743699999996E-2</c:v>
                </c:pt>
                <c:pt idx="1795" formatCode="0.000">
                  <c:v>4.0034157799999998E-2</c:v>
                </c:pt>
                <c:pt idx="1796" formatCode="0.000">
                  <c:v>4.0713662599999999E-2</c:v>
                </c:pt>
                <c:pt idx="1797" formatCode="0.000">
                  <c:v>4.3006991299999998E-2</c:v>
                </c:pt>
                <c:pt idx="1798" formatCode="0.000">
                  <c:v>4.0628724499999998E-2</c:v>
                </c:pt>
                <c:pt idx="1799" formatCode="0.000">
                  <c:v>4.3459994499999995E-2</c:v>
                </c:pt>
                <c:pt idx="1800" formatCode="0.000">
                  <c:v>4.1619668999999998E-2</c:v>
                </c:pt>
                <c:pt idx="1801" formatCode="0.000">
                  <c:v>5.3511002999999994E-2</c:v>
                </c:pt>
                <c:pt idx="1802" formatCode="0.000">
                  <c:v>5.9201855700000007E-2</c:v>
                </c:pt>
                <c:pt idx="1803" formatCode="0.000">
                  <c:v>5.2859810899999998E-2</c:v>
                </c:pt>
                <c:pt idx="1804" formatCode="0.000">
                  <c:v>5.1698990200000003E-2</c:v>
                </c:pt>
                <c:pt idx="1805" formatCode="0.000">
                  <c:v>4.5725010499999996E-2</c:v>
                </c:pt>
                <c:pt idx="1806" formatCode="0.000">
                  <c:v>5.53230158E-2</c:v>
                </c:pt>
                <c:pt idx="1807" formatCode="0.000">
                  <c:v>5.2378495000000004E-2</c:v>
                </c:pt>
                <c:pt idx="1808" formatCode="0.000">
                  <c:v>1.2825653100000001E-2</c:v>
                </c:pt>
                <c:pt idx="1809" formatCode="0.000">
                  <c:v>1.24859007E-2</c:v>
                </c:pt>
                <c:pt idx="1810" formatCode="0.000">
                  <c:v>1.20612102E-2</c:v>
                </c:pt>
                <c:pt idx="1811" formatCode="0.000">
                  <c:v>2.10929615E-2</c:v>
                </c:pt>
                <c:pt idx="1812" formatCode="0.000">
                  <c:v>2.0186955099999997E-2</c:v>
                </c:pt>
                <c:pt idx="1813" formatCode="0.000">
                  <c:v>1.7242434299999998E-2</c:v>
                </c:pt>
                <c:pt idx="1814" formatCode="0.000">
                  <c:v>1.35617833E-2</c:v>
                </c:pt>
                <c:pt idx="1815" formatCode="0.000">
                  <c:v>3.4654744799999998E-2</c:v>
                </c:pt>
                <c:pt idx="1816" formatCode="0.000">
                  <c:v>2.3414602899999998E-2</c:v>
                </c:pt>
                <c:pt idx="1817" formatCode="0.000">
                  <c:v>2.27350981E-2</c:v>
                </c:pt>
                <c:pt idx="1818" formatCode="0.000">
                  <c:v>2.6245872900000002E-2</c:v>
                </c:pt>
                <c:pt idx="1819" formatCode="0.000">
                  <c:v>2.6953690399999997E-2</c:v>
                </c:pt>
                <c:pt idx="1820" formatCode="0.000">
                  <c:v>3.3408985999999995E-2</c:v>
                </c:pt>
                <c:pt idx="1821" formatCode="0.000">
                  <c:v>3.3012608199999995E-2</c:v>
                </c:pt>
                <c:pt idx="1822" formatCode="0.000">
                  <c:v>3.3861989199999998E-2</c:v>
                </c:pt>
                <c:pt idx="1823" formatCode="0.000">
                  <c:v>2.6812126899999997E-2</c:v>
                </c:pt>
                <c:pt idx="1824" formatCode="0.000">
                  <c:v>2.5481429999999999E-2</c:v>
                </c:pt>
                <c:pt idx="1825" formatCode="0.000">
                  <c:v>6.1608435200000006E-2</c:v>
                </c:pt>
                <c:pt idx="1826" formatCode="0.000">
                  <c:v>7.5340094699999999E-2</c:v>
                </c:pt>
                <c:pt idx="1827" formatCode="0.000">
                  <c:v>0.1175543304</c:v>
                </c:pt>
                <c:pt idx="1828" formatCode="0.000">
                  <c:v>0.1286812215</c:v>
                </c:pt>
                <c:pt idx="1829" formatCode="0.000">
                  <c:v>0.128539658</c:v>
                </c:pt>
                <c:pt idx="1830" formatCode="0.000">
                  <c:v>0.1175543304</c:v>
                </c:pt>
                <c:pt idx="1831" formatCode="0.000">
                  <c:v>0.10246366130000001</c:v>
                </c:pt>
                <c:pt idx="1832" formatCode="0.000">
                  <c:v>8.134238710000001E-2</c:v>
                </c:pt>
                <c:pt idx="1833" formatCode="0.000">
                  <c:v>8.82506859E-2</c:v>
                </c:pt>
                <c:pt idx="1834" formatCode="0.000">
                  <c:v>5.9060292199999996E-2</c:v>
                </c:pt>
                <c:pt idx="1835" formatCode="0.000">
                  <c:v>4.3714808799999998E-2</c:v>
                </c:pt>
                <c:pt idx="1836" formatCode="0.000">
                  <c:v>4.8584593199999998E-2</c:v>
                </c:pt>
                <c:pt idx="1837" formatCode="0.000">
                  <c:v>4.2950365899999995E-2</c:v>
                </c:pt>
                <c:pt idx="1838" formatCode="0.000">
                  <c:v>3.0266276299999999E-2</c:v>
                </c:pt>
                <c:pt idx="1839" formatCode="0.000">
                  <c:v>2.82560746E-2</c:v>
                </c:pt>
                <c:pt idx="1840" formatCode="0.000">
                  <c:v>2.81145111E-2</c:v>
                </c:pt>
                <c:pt idx="1841" formatCode="0.000">
                  <c:v>2.54248046E-2</c:v>
                </c:pt>
                <c:pt idx="1842" formatCode="0.000">
                  <c:v>2.6189247500000002E-2</c:v>
                </c:pt>
                <c:pt idx="1843" formatCode="0.000">
                  <c:v>2.4065794999999997E-2</c:v>
                </c:pt>
                <c:pt idx="1844" formatCode="0.000">
                  <c:v>2.1036336100000001E-2</c:v>
                </c:pt>
                <c:pt idx="1845" formatCode="0.000">
                  <c:v>2.3612791799999998E-2</c:v>
                </c:pt>
                <c:pt idx="1846" formatCode="0.000">
                  <c:v>4.2893740499999999E-2</c:v>
                </c:pt>
                <c:pt idx="1847" formatCode="0.000">
                  <c:v>7.1659443700000006E-2</c:v>
                </c:pt>
                <c:pt idx="1848" formatCode="0.000">
                  <c:v>5.8239223899999998E-2</c:v>
                </c:pt>
                <c:pt idx="1849" formatCode="0.000">
                  <c:v>5.6285647600000002E-2</c:v>
                </c:pt>
                <c:pt idx="1850" formatCode="0.000">
                  <c:v>5.9116917599999999E-2</c:v>
                </c:pt>
                <c:pt idx="1851" formatCode="0.000">
                  <c:v>4.2072672200000001E-2</c:v>
                </c:pt>
                <c:pt idx="1852" formatCode="0.000">
                  <c:v>4.2497362699999999E-2</c:v>
                </c:pt>
                <c:pt idx="1853" formatCode="0.000">
                  <c:v>4.06004118E-2</c:v>
                </c:pt>
                <c:pt idx="1854" formatCode="0.000">
                  <c:v>9.5442111699999999E-2</c:v>
                </c:pt>
                <c:pt idx="1855" formatCode="0.000">
                  <c:v>9.3828287800000007E-2</c:v>
                </c:pt>
                <c:pt idx="1856" formatCode="0.000">
                  <c:v>0.11591219380000001</c:v>
                </c:pt>
                <c:pt idx="1857" formatCode="0.000">
                  <c:v>0.1459519685</c:v>
                </c:pt>
                <c:pt idx="1858" formatCode="0.000">
                  <c:v>0.15883424700000001</c:v>
                </c:pt>
                <c:pt idx="1859" formatCode="0.000">
                  <c:v>0.16316609009999999</c:v>
                </c:pt>
                <c:pt idx="1860" formatCode="0.000">
                  <c:v>0.17947420530000002</c:v>
                </c:pt>
                <c:pt idx="1861" formatCode="0.000">
                  <c:v>0.1307763613</c:v>
                </c:pt>
                <c:pt idx="1862" formatCode="0.000">
                  <c:v>0.12004584800000001</c:v>
                </c:pt>
                <c:pt idx="1863" formatCode="0.000">
                  <c:v>0.1283697818</c:v>
                </c:pt>
                <c:pt idx="1864" formatCode="0.000">
                  <c:v>0.12658608169999999</c:v>
                </c:pt>
                <c:pt idx="1865" formatCode="0.000">
                  <c:v>0.15271870379999999</c:v>
                </c:pt>
                <c:pt idx="1866" formatCode="0.000">
                  <c:v>0.135334706</c:v>
                </c:pt>
                <c:pt idx="1867" formatCode="0.000">
                  <c:v>0.10631418849999999</c:v>
                </c:pt>
                <c:pt idx="1868" formatCode="0.000">
                  <c:v>0.1044455503</c:v>
                </c:pt>
                <c:pt idx="1869" formatCode="0.000">
                  <c:v>9.4536105299999992E-2</c:v>
                </c:pt>
                <c:pt idx="1870" formatCode="0.000">
                  <c:v>8.233333159999999E-2</c:v>
                </c:pt>
                <c:pt idx="1871" formatCode="0.000">
                  <c:v>7.78032996E-2</c:v>
                </c:pt>
                <c:pt idx="1872" formatCode="0.000">
                  <c:v>0.10229378509999999</c:v>
                </c:pt>
                <c:pt idx="1873" formatCode="0.000">
                  <c:v>0.16310946470000001</c:v>
                </c:pt>
                <c:pt idx="1874" formatCode="0.000">
                  <c:v>0.24779275040000001</c:v>
                </c:pt>
                <c:pt idx="1875" formatCode="0.000">
                  <c:v>0.13887379350000001</c:v>
                </c:pt>
                <c:pt idx="1876" formatCode="0.000">
                  <c:v>0.1147513731</c:v>
                </c:pt>
                <c:pt idx="1877" formatCode="0.000">
                  <c:v>0.12817159289999999</c:v>
                </c:pt>
                <c:pt idx="1878" formatCode="0.000">
                  <c:v>0.17471767169999999</c:v>
                </c:pt>
                <c:pt idx="1879" formatCode="0.000">
                  <c:v>0.15521022140000001</c:v>
                </c:pt>
                <c:pt idx="1880" formatCode="0.000">
                  <c:v>0.12299036880000001</c:v>
                </c:pt>
                <c:pt idx="1881" formatCode="0.000">
                  <c:v>8.8109122400000003E-2</c:v>
                </c:pt>
                <c:pt idx="1882" formatCode="0.000">
                  <c:v>7.0158870600000006E-2</c:v>
                </c:pt>
                <c:pt idx="1883" formatCode="0.000">
                  <c:v>6.4921021100000004E-2</c:v>
                </c:pt>
                <c:pt idx="1884" formatCode="0.000">
                  <c:v>6.2316252699999998E-2</c:v>
                </c:pt>
                <c:pt idx="1885" formatCode="0.000">
                  <c:v>7.3075078700000004E-2</c:v>
                </c:pt>
                <c:pt idx="1886" formatCode="0.000">
                  <c:v>7.0073932500000005E-2</c:v>
                </c:pt>
                <c:pt idx="1887" formatCode="0.000">
                  <c:v>0.12321687040000001</c:v>
                </c:pt>
                <c:pt idx="1888" formatCode="0.000">
                  <c:v>0.10696538059999999</c:v>
                </c:pt>
                <c:pt idx="1889" formatCode="0.000">
                  <c:v>7.4717215299999987E-2</c:v>
                </c:pt>
                <c:pt idx="1890" formatCode="0.000">
                  <c:v>9.7225811800000006E-2</c:v>
                </c:pt>
                <c:pt idx="1891" formatCode="0.000">
                  <c:v>8.0804445799999999E-2</c:v>
                </c:pt>
                <c:pt idx="1892" formatCode="0.000">
                  <c:v>6.7270975199999999E-2</c:v>
                </c:pt>
                <c:pt idx="1893" formatCode="0.000">
                  <c:v>4.5583446999999999E-2</c:v>
                </c:pt>
                <c:pt idx="1894" formatCode="0.000">
                  <c:v>5.5889269800000002E-2</c:v>
                </c:pt>
                <c:pt idx="1895" formatCode="0.000">
                  <c:v>5.30296871E-2</c:v>
                </c:pt>
                <c:pt idx="1896" formatCode="0.000">
                  <c:v>9.5640300600000006E-2</c:v>
                </c:pt>
                <c:pt idx="1897" formatCode="0.000">
                  <c:v>0.1362690251</c:v>
                </c:pt>
                <c:pt idx="1898" formatCode="0.000">
                  <c:v>0.12737883729999999</c:v>
                </c:pt>
                <c:pt idx="1899" formatCode="0.000">
                  <c:v>0.1048702408</c:v>
                </c:pt>
                <c:pt idx="1900" formatCode="0.000">
                  <c:v>8.3295963400000006E-2</c:v>
                </c:pt>
                <c:pt idx="1901" formatCode="0.000">
                  <c:v>7.9417123500000006E-2</c:v>
                </c:pt>
                <c:pt idx="1902" formatCode="0.000">
                  <c:v>8.2305018899999999E-2</c:v>
                </c:pt>
                <c:pt idx="1903" formatCode="0.00">
                  <c:v>0.339756</c:v>
                </c:pt>
                <c:pt idx="1904" formatCode="0.00">
                  <c:v>0.339756</c:v>
                </c:pt>
                <c:pt idx="1905" formatCode="0.00">
                  <c:v>0.44168279999999999</c:v>
                </c:pt>
                <c:pt idx="1906" formatCode="0.00">
                  <c:v>0.44168279999999999</c:v>
                </c:pt>
                <c:pt idx="1907" formatCode="0.00">
                  <c:v>0.679512</c:v>
                </c:pt>
                <c:pt idx="1908" formatCode="0.00">
                  <c:v>0.679512</c:v>
                </c:pt>
                <c:pt idx="1909" formatCode="0.00">
                  <c:v>0.79559530000000012</c:v>
                </c:pt>
                <c:pt idx="1910" formatCode="0.00">
                  <c:v>0.79559530000000012</c:v>
                </c:pt>
                <c:pt idx="1911" formatCode="0.00">
                  <c:v>0.79559530000000012</c:v>
                </c:pt>
                <c:pt idx="1912" formatCode="0.00">
                  <c:v>0.90318469999999995</c:v>
                </c:pt>
                <c:pt idx="1913" formatCode="0.00">
                  <c:v>0.90318469999999995</c:v>
                </c:pt>
                <c:pt idx="1914" formatCode="0.00">
                  <c:v>0.69933109999999998</c:v>
                </c:pt>
                <c:pt idx="1915" formatCode="0.00">
                  <c:v>0.69933109999999998</c:v>
                </c:pt>
                <c:pt idx="1916" formatCode="0.00">
                  <c:v>0.52662180000000003</c:v>
                </c:pt>
                <c:pt idx="1917" formatCode="0.00">
                  <c:v>0.53794700000000006</c:v>
                </c:pt>
                <c:pt idx="1918" formatCode="0.00">
                  <c:v>0.53794700000000006</c:v>
                </c:pt>
                <c:pt idx="1919" formatCode="0.00">
                  <c:v>0.66252420000000001</c:v>
                </c:pt>
                <c:pt idx="1920" formatCode="0.00">
                  <c:v>0.66252420000000001</c:v>
                </c:pt>
                <c:pt idx="1921" formatCode="0.00">
                  <c:v>0.75595710000000005</c:v>
                </c:pt>
                <c:pt idx="1922" formatCode="0.00">
                  <c:v>0.75595710000000005</c:v>
                </c:pt>
                <c:pt idx="1923" formatCode="0.00">
                  <c:v>0.93149769999999998</c:v>
                </c:pt>
                <c:pt idx="1924" formatCode="0.00">
                  <c:v>0.93149769999999998</c:v>
                </c:pt>
                <c:pt idx="1925" formatCode="0.00">
                  <c:v>0.84089610000000004</c:v>
                </c:pt>
                <c:pt idx="1926" formatCode="0.00">
                  <c:v>0.84089610000000004</c:v>
                </c:pt>
                <c:pt idx="1927" formatCode="0.00">
                  <c:v>0.69366850000000002</c:v>
                </c:pt>
                <c:pt idx="1928" formatCode="0.00">
                  <c:v>0.69366850000000002</c:v>
                </c:pt>
                <c:pt idx="1929" formatCode="0.00">
                  <c:v>0.57192260000000006</c:v>
                </c:pt>
                <c:pt idx="1930" formatCode="0.00">
                  <c:v>0.57192260000000006</c:v>
                </c:pt>
                <c:pt idx="1931" formatCode="0.00">
                  <c:v>0.34824990000000006</c:v>
                </c:pt>
                <c:pt idx="1932" formatCode="0.00">
                  <c:v>0.34824990000000006</c:v>
                </c:pt>
                <c:pt idx="1933" formatCode="0.00">
                  <c:v>0.15458898000000001</c:v>
                </c:pt>
                <c:pt idx="1934" formatCode="0.00">
                  <c:v>0.15458898000000001</c:v>
                </c:pt>
                <c:pt idx="1935" formatCode="0.00">
                  <c:v>0.22735338999999999</c:v>
                </c:pt>
                <c:pt idx="1936" formatCode="0.00">
                  <c:v>0.4728271</c:v>
                </c:pt>
                <c:pt idx="1937" formatCode="0.00">
                  <c:v>0.4728271</c:v>
                </c:pt>
                <c:pt idx="1938" formatCode="0.00">
                  <c:v>0.51529659999999999</c:v>
                </c:pt>
                <c:pt idx="1939" formatCode="0.00">
                  <c:v>0.51529659999999999</c:v>
                </c:pt>
                <c:pt idx="1940" formatCode="0.00">
                  <c:v>0.72481280000000003</c:v>
                </c:pt>
                <c:pt idx="1941" formatCode="0.00">
                  <c:v>0.72481280000000003</c:v>
                </c:pt>
                <c:pt idx="1942" formatCode="0.00">
                  <c:v>1.2712536999999999</c:v>
                </c:pt>
                <c:pt idx="1943" formatCode="0.00">
                  <c:v>1.9337778999999999</c:v>
                </c:pt>
                <c:pt idx="1944" formatCode="0.00">
                  <c:v>1.9337778999999999</c:v>
                </c:pt>
                <c:pt idx="1945" formatCode="0.00">
                  <c:v>2.3782920000000001</c:v>
                </c:pt>
                <c:pt idx="1946" formatCode="0.00">
                  <c:v>2.3782920000000001</c:v>
                </c:pt>
                <c:pt idx="1947" formatCode="0.00">
                  <c:v>2.1461253999999998</c:v>
                </c:pt>
                <c:pt idx="1948" formatCode="0.00">
                  <c:v>2.1461253999999998</c:v>
                </c:pt>
                <c:pt idx="1949" formatCode="0.00">
                  <c:v>1.7440808000000001</c:v>
                </c:pt>
                <c:pt idx="1950" formatCode="0.00">
                  <c:v>1.7440808000000001</c:v>
                </c:pt>
                <c:pt idx="1951" formatCode="0.00">
                  <c:v>1.4637821000000002</c:v>
                </c:pt>
                <c:pt idx="1952" formatCode="0.00">
                  <c:v>1.4637821000000002</c:v>
                </c:pt>
                <c:pt idx="1953" formatCode="0.00">
                  <c:v>1.3080606000000001</c:v>
                </c:pt>
                <c:pt idx="1954" formatCode="0.00">
                  <c:v>1.3080606000000001</c:v>
                </c:pt>
                <c:pt idx="1955" formatCode="0.00">
                  <c:v>1.5968532</c:v>
                </c:pt>
                <c:pt idx="1956" formatCode="0.00">
                  <c:v>1.5968532</c:v>
                </c:pt>
                <c:pt idx="1957" formatCode="0.00">
                  <c:v>2.4547371</c:v>
                </c:pt>
                <c:pt idx="1958" formatCode="0.00">
                  <c:v>2.4547371</c:v>
                </c:pt>
                <c:pt idx="1959" formatCode="0.00">
                  <c:v>2.6274464000000002</c:v>
                </c:pt>
                <c:pt idx="1960" formatCode="0.00">
                  <c:v>2.6274464000000002</c:v>
                </c:pt>
                <c:pt idx="1961" formatCode="0.00">
                  <c:v>2.6132898999999998</c:v>
                </c:pt>
                <c:pt idx="1962" formatCode="0.00">
                  <c:v>2.2310644000000002</c:v>
                </c:pt>
                <c:pt idx="1963" formatCode="0.00">
                  <c:v>2.2310644000000002</c:v>
                </c:pt>
                <c:pt idx="1964" formatCode="0.00">
                  <c:v>2.0102230000000003</c:v>
                </c:pt>
                <c:pt idx="1965" formatCode="0.00">
                  <c:v>2.0102230000000003</c:v>
                </c:pt>
                <c:pt idx="1966" formatCode="0.00">
                  <c:v>1.7016113000000002</c:v>
                </c:pt>
                <c:pt idx="1967" formatCode="0.00">
                  <c:v>1.7016113000000002</c:v>
                </c:pt>
                <c:pt idx="1968" formatCode="0.00">
                  <c:v>3.4824990000000002</c:v>
                </c:pt>
                <c:pt idx="1969" formatCode="0.00">
                  <c:v>3.4824990000000002</c:v>
                </c:pt>
                <c:pt idx="1970" formatCode="0.00">
                  <c:v>3.4824990000000002</c:v>
                </c:pt>
                <c:pt idx="1971" formatCode="0.00">
                  <c:v>3.8788810000000002</c:v>
                </c:pt>
                <c:pt idx="1972" formatCode="0.00">
                  <c:v>3.8788810000000002</c:v>
                </c:pt>
                <c:pt idx="1973" formatCode="0.00">
                  <c:v>3.11443</c:v>
                </c:pt>
                <c:pt idx="1974" formatCode="0.00">
                  <c:v>3.11443</c:v>
                </c:pt>
                <c:pt idx="1975" formatCode="0.00">
                  <c:v>3.0294910000000002</c:v>
                </c:pt>
                <c:pt idx="1976" formatCode="0.00">
                  <c:v>3.0294910000000002</c:v>
                </c:pt>
                <c:pt idx="1977" formatCode="0.00">
                  <c:v>2.6784097999999998</c:v>
                </c:pt>
                <c:pt idx="1978" formatCode="0.00">
                  <c:v>2.6784097999999998</c:v>
                </c:pt>
                <c:pt idx="1979" formatCode="0.00">
                  <c:v>0.64270510000000003</c:v>
                </c:pt>
                <c:pt idx="1980" formatCode="0.00">
                  <c:v>0.64270510000000003</c:v>
                </c:pt>
                <c:pt idx="1981" formatCode="0.00">
                  <c:v>0.27831679000000004</c:v>
                </c:pt>
                <c:pt idx="1982" formatCode="0.00">
                  <c:v>0.49264619999999998</c:v>
                </c:pt>
                <c:pt idx="1983" formatCode="0.00">
                  <c:v>0.45300800000000002</c:v>
                </c:pt>
                <c:pt idx="1984" formatCode="0.00">
                  <c:v>0.53794700000000006</c:v>
                </c:pt>
                <c:pt idx="1985" formatCode="0.00">
                  <c:v>0.48698360000000002</c:v>
                </c:pt>
                <c:pt idx="1986" formatCode="0.00">
                  <c:v>0.50397140000000007</c:v>
                </c:pt>
                <c:pt idx="1987" formatCode="0.00">
                  <c:v>0.58891040000000006</c:v>
                </c:pt>
                <c:pt idx="1988" formatCode="0.00">
                  <c:v>0.59457300000000002</c:v>
                </c:pt>
                <c:pt idx="1989" formatCode="0.00">
                  <c:v>0.43602020000000002</c:v>
                </c:pt>
                <c:pt idx="1990" formatCode="0.00">
                  <c:v>0.50680269999999994</c:v>
                </c:pt>
                <c:pt idx="1991" formatCode="0.00">
                  <c:v>0.67101810000000006</c:v>
                </c:pt>
                <c:pt idx="1992" formatCode="0.00">
                  <c:v>0.95131680000000007</c:v>
                </c:pt>
                <c:pt idx="1993" formatCode="0.00">
                  <c:v>1.0362558000000002</c:v>
                </c:pt>
                <c:pt idx="1994" formatCode="0.00">
                  <c:v>1.0532436000000001</c:v>
                </c:pt>
                <c:pt idx="1995" formatCode="0.00">
                  <c:v>1.3108918999999999</c:v>
                </c:pt>
                <c:pt idx="1996" formatCode="0.00">
                  <c:v>1.0051115000000002</c:v>
                </c:pt>
                <c:pt idx="1997" formatCode="0.00">
                  <c:v>0.59174170000000004</c:v>
                </c:pt>
                <c:pt idx="1998" formatCode="0.00">
                  <c:v>0.60872950000000003</c:v>
                </c:pt>
                <c:pt idx="1999" formatCode="0.00">
                  <c:v>0.52379050000000005</c:v>
                </c:pt>
                <c:pt idx="2000" formatCode="0.00">
                  <c:v>0.49264619999999998</c:v>
                </c:pt>
                <c:pt idx="2001" formatCode="0.00">
                  <c:v>0.39071940000000005</c:v>
                </c:pt>
                <c:pt idx="2002" formatCode="0.00">
                  <c:v>0.55776610000000004</c:v>
                </c:pt>
                <c:pt idx="2003" formatCode="0.00">
                  <c:v>0.71915019999999996</c:v>
                </c:pt>
                <c:pt idx="2004" formatCode="0.00">
                  <c:v>1.2712536999999999</c:v>
                </c:pt>
                <c:pt idx="2005" formatCode="0.00">
                  <c:v>1.2712536999999999</c:v>
                </c:pt>
                <c:pt idx="2006" formatCode="0.00">
                  <c:v>1.0617375</c:v>
                </c:pt>
                <c:pt idx="2007" formatCode="0.00">
                  <c:v>0.88619690000000007</c:v>
                </c:pt>
                <c:pt idx="2008" formatCode="0.00">
                  <c:v>0.88619690000000007</c:v>
                </c:pt>
                <c:pt idx="2009" formatCode="0.00">
                  <c:v>0.71915019999999996</c:v>
                </c:pt>
                <c:pt idx="2010" formatCode="0.00">
                  <c:v>0.48415230000000009</c:v>
                </c:pt>
                <c:pt idx="2011" formatCode="0.00">
                  <c:v>0.62288600000000005</c:v>
                </c:pt>
                <c:pt idx="2012" formatCode="0.00">
                  <c:v>0.65969290000000003</c:v>
                </c:pt>
                <c:pt idx="2013" formatCode="0.00">
                  <c:v>0.66535549999999999</c:v>
                </c:pt>
                <c:pt idx="2014" formatCode="0.00">
                  <c:v>0.60306690000000007</c:v>
                </c:pt>
                <c:pt idx="2015" formatCode="0.00">
                  <c:v>0.57475390000000004</c:v>
                </c:pt>
                <c:pt idx="2016" formatCode="0.00">
                  <c:v>0.56625999999999999</c:v>
                </c:pt>
                <c:pt idx="2017" formatCode="0.00">
                  <c:v>0.5804165</c:v>
                </c:pt>
                <c:pt idx="2018" formatCode="0.00">
                  <c:v>0.57475390000000004</c:v>
                </c:pt>
                <c:pt idx="2019" formatCode="0.00">
                  <c:v>0.59457300000000002</c:v>
                </c:pt>
                <c:pt idx="2020" formatCode="0.00">
                  <c:v>0.64836769999999999</c:v>
                </c:pt>
                <c:pt idx="2021" formatCode="0.00">
                  <c:v>0.57475390000000004</c:v>
                </c:pt>
                <c:pt idx="2022" formatCode="0.00">
                  <c:v>0.5634287</c:v>
                </c:pt>
                <c:pt idx="2023" formatCode="0.00">
                  <c:v>0.5634287</c:v>
                </c:pt>
                <c:pt idx="2024" formatCode="0.00">
                  <c:v>0.57758520000000002</c:v>
                </c:pt>
                <c:pt idx="2025" formatCode="0.00">
                  <c:v>0.57758520000000002</c:v>
                </c:pt>
                <c:pt idx="2026" formatCode="0.00">
                  <c:v>0.51812790000000009</c:v>
                </c:pt>
                <c:pt idx="2027" formatCode="0.00">
                  <c:v>0.51812790000000009</c:v>
                </c:pt>
                <c:pt idx="2028" formatCode="0.00">
                  <c:v>0.52379050000000005</c:v>
                </c:pt>
                <c:pt idx="2029" formatCode="0.00">
                  <c:v>0.52379050000000005</c:v>
                </c:pt>
                <c:pt idx="2030" formatCode="0.00">
                  <c:v>0.53228439999999999</c:v>
                </c:pt>
                <c:pt idx="2031" formatCode="0.00">
                  <c:v>0.53228439999999999</c:v>
                </c:pt>
                <c:pt idx="2032" formatCode="0.00">
                  <c:v>0.46716450000000004</c:v>
                </c:pt>
                <c:pt idx="2033" formatCode="0.00">
                  <c:v>0.46716450000000004</c:v>
                </c:pt>
                <c:pt idx="2034" formatCode="0.00">
                  <c:v>0.42752630000000003</c:v>
                </c:pt>
                <c:pt idx="2035" formatCode="0.00">
                  <c:v>0.42752630000000003</c:v>
                </c:pt>
                <c:pt idx="2036" formatCode="0.00">
                  <c:v>0.43885150000000001</c:v>
                </c:pt>
                <c:pt idx="2037" formatCode="0.00">
                  <c:v>0.43885150000000001</c:v>
                </c:pt>
                <c:pt idx="2038" formatCode="0.00">
                  <c:v>0.3737316</c:v>
                </c:pt>
                <c:pt idx="2039" formatCode="0.00">
                  <c:v>0.3737316</c:v>
                </c:pt>
                <c:pt idx="2040" formatCode="0.00">
                  <c:v>0.41903240000000003</c:v>
                </c:pt>
                <c:pt idx="2041" formatCode="0.00">
                  <c:v>0.41903240000000003</c:v>
                </c:pt>
                <c:pt idx="2042" formatCode="0.00">
                  <c:v>0.39355070000000003</c:v>
                </c:pt>
                <c:pt idx="2043" formatCode="0.00">
                  <c:v>0.39355070000000003</c:v>
                </c:pt>
                <c:pt idx="2044" formatCode="0.00">
                  <c:v>0.50397140000000007</c:v>
                </c:pt>
                <c:pt idx="2045" formatCode="0.00">
                  <c:v>0.50680269999999994</c:v>
                </c:pt>
                <c:pt idx="2046" formatCode="0.00">
                  <c:v>0.67101810000000006</c:v>
                </c:pt>
                <c:pt idx="2047" formatCode="0.00">
                  <c:v>1.0164367000000001</c:v>
                </c:pt>
                <c:pt idx="2048" formatCode="0.00">
                  <c:v>1.3108918999999999</c:v>
                </c:pt>
                <c:pt idx="2049" formatCode="0.00">
                  <c:v>1.7242617</c:v>
                </c:pt>
                <c:pt idx="2050" formatCode="0.00">
                  <c:v>2.519857</c:v>
                </c:pt>
                <c:pt idx="2051" formatCode="0.00">
                  <c:v>2.6784097999999998</c:v>
                </c:pt>
                <c:pt idx="2052" formatCode="0.00">
                  <c:v>2.3103408000000001</c:v>
                </c:pt>
                <c:pt idx="2053" formatCode="0.00">
                  <c:v>1.8403450000000001</c:v>
                </c:pt>
                <c:pt idx="2054" formatCode="0.00">
                  <c:v>1.6081783999999999</c:v>
                </c:pt>
                <c:pt idx="2055" formatCode="0.00">
                  <c:v>1.1495078000000001</c:v>
                </c:pt>
                <c:pt idx="2056" formatCode="0.00">
                  <c:v>0.75312580000000007</c:v>
                </c:pt>
                <c:pt idx="2057" formatCode="0.00">
                  <c:v>0.57192260000000006</c:v>
                </c:pt>
                <c:pt idx="2058" formatCode="0.00">
                  <c:v>0.89185950000000003</c:v>
                </c:pt>
                <c:pt idx="2059" formatCode="0.00">
                  <c:v>1.0107741000000001</c:v>
                </c:pt>
                <c:pt idx="2060" formatCode="0.00">
                  <c:v>1.1381826000000002</c:v>
                </c:pt>
                <c:pt idx="2061" formatCode="0.00">
                  <c:v>1.1580017</c:v>
                </c:pt>
                <c:pt idx="2062" formatCode="0.00">
                  <c:v>0.91167860000000012</c:v>
                </c:pt>
                <c:pt idx="2063" formatCode="0.00">
                  <c:v>0.83240219999999998</c:v>
                </c:pt>
                <c:pt idx="2064" formatCode="0.00">
                  <c:v>0.72764410000000002</c:v>
                </c:pt>
                <c:pt idx="2065" formatCode="0.00">
                  <c:v>0.65119900000000008</c:v>
                </c:pt>
                <c:pt idx="2066" formatCode="0.00">
                  <c:v>0.52662180000000003</c:v>
                </c:pt>
                <c:pt idx="2067" formatCode="0.00">
                  <c:v>0.52662180000000003</c:v>
                </c:pt>
                <c:pt idx="2068" formatCode="0.00">
                  <c:v>0.64836769999999999</c:v>
                </c:pt>
                <c:pt idx="2069" formatCode="0.00">
                  <c:v>0.64836769999999999</c:v>
                </c:pt>
                <c:pt idx="2070" formatCode="0.00">
                  <c:v>0.7134876</c:v>
                </c:pt>
                <c:pt idx="2071" formatCode="0.00">
                  <c:v>0.7134876</c:v>
                </c:pt>
                <c:pt idx="2072" formatCode="0.00">
                  <c:v>0.7134876</c:v>
                </c:pt>
                <c:pt idx="2073" formatCode="0.00">
                  <c:v>0.85222130000000007</c:v>
                </c:pt>
                <c:pt idx="2074" formatCode="0.00">
                  <c:v>0.85222130000000007</c:v>
                </c:pt>
                <c:pt idx="2075" formatCode="0.00">
                  <c:v>0.91450989999999999</c:v>
                </c:pt>
                <c:pt idx="2076" formatCode="0.00">
                  <c:v>0.91450989999999999</c:v>
                </c:pt>
                <c:pt idx="2077" formatCode="0.00">
                  <c:v>1.2854102000000001</c:v>
                </c:pt>
                <c:pt idx="2078" formatCode="0.00">
                  <c:v>1.2854102000000001</c:v>
                </c:pt>
                <c:pt idx="2079" formatCode="0.00">
                  <c:v>1.0617375</c:v>
                </c:pt>
                <c:pt idx="2080" formatCode="0.00">
                  <c:v>1.0617375</c:v>
                </c:pt>
                <c:pt idx="2081" formatCode="0.00">
                  <c:v>0.85222130000000007</c:v>
                </c:pt>
                <c:pt idx="2082" formatCode="0.00">
                  <c:v>0.85222130000000007</c:v>
                </c:pt>
                <c:pt idx="2083" formatCode="0.00">
                  <c:v>1.1466765000000001</c:v>
                </c:pt>
                <c:pt idx="2084" formatCode="0.00">
                  <c:v>1.1466765000000001</c:v>
                </c:pt>
                <c:pt idx="2085" formatCode="0.00">
                  <c:v>1.0787253000000001</c:v>
                </c:pt>
                <c:pt idx="2086" formatCode="0.00">
                  <c:v>1.0787253000000001</c:v>
                </c:pt>
                <c:pt idx="2087" formatCode="0.00">
                  <c:v>0.89185950000000003</c:v>
                </c:pt>
                <c:pt idx="2088" formatCode="0.00">
                  <c:v>0.89185950000000003</c:v>
                </c:pt>
                <c:pt idx="2089" formatCode="0.00">
                  <c:v>0.77294490000000005</c:v>
                </c:pt>
                <c:pt idx="2090" formatCode="0.00">
                  <c:v>0.77294490000000005</c:v>
                </c:pt>
                <c:pt idx="2091" formatCode="0.00">
                  <c:v>0.28879260000000001</c:v>
                </c:pt>
                <c:pt idx="2092" formatCode="0.00">
                  <c:v>0.28879260000000001</c:v>
                </c:pt>
                <c:pt idx="2093" formatCode="0.00">
                  <c:v>0.481321</c:v>
                </c:pt>
                <c:pt idx="2094" formatCode="0.00">
                  <c:v>0.481321</c:v>
                </c:pt>
                <c:pt idx="2095" formatCode="0.00">
                  <c:v>0.481321</c:v>
                </c:pt>
                <c:pt idx="2096" formatCode="0.00">
                  <c:v>0.55493480000000006</c:v>
                </c:pt>
                <c:pt idx="2097" formatCode="0.00">
                  <c:v>0.55493480000000006</c:v>
                </c:pt>
                <c:pt idx="2098" formatCode="0.00">
                  <c:v>0.64836769999999999</c:v>
                </c:pt>
                <c:pt idx="2099" formatCode="0.00">
                  <c:v>0.64836769999999999</c:v>
                </c:pt>
                <c:pt idx="2100" formatCode="0.00">
                  <c:v>0.66252420000000001</c:v>
                </c:pt>
                <c:pt idx="2101" formatCode="0.00">
                  <c:v>0.66252420000000001</c:v>
                </c:pt>
                <c:pt idx="2102" formatCode="0.00">
                  <c:v>0.85222130000000007</c:v>
                </c:pt>
                <c:pt idx="2103" formatCode="0.00">
                  <c:v>0.85222130000000007</c:v>
                </c:pt>
                <c:pt idx="2104" formatCode="0.00">
                  <c:v>1.1721581999999999</c:v>
                </c:pt>
                <c:pt idx="2105" formatCode="0.00">
                  <c:v>1.1721581999999999</c:v>
                </c:pt>
                <c:pt idx="2106" formatCode="0.00">
                  <c:v>1.1127008999999999</c:v>
                </c:pt>
                <c:pt idx="2107" formatCode="0.00">
                  <c:v>1.1127008999999999</c:v>
                </c:pt>
                <c:pt idx="2108" formatCode="0.00">
                  <c:v>1.5940219</c:v>
                </c:pt>
                <c:pt idx="2109" formatCode="0.00">
                  <c:v>1.5940219</c:v>
                </c:pt>
                <c:pt idx="2110" formatCode="0.00">
                  <c:v>2.1121498000000001</c:v>
                </c:pt>
                <c:pt idx="2111" formatCode="0.00">
                  <c:v>2.1121498000000001</c:v>
                </c:pt>
                <c:pt idx="2112" formatCode="0.00">
                  <c:v>2.8199747999999998</c:v>
                </c:pt>
                <c:pt idx="2113" formatCode="0.00">
                  <c:v>2.8199747999999998</c:v>
                </c:pt>
                <c:pt idx="2114" formatCode="0.00">
                  <c:v>2.5934708</c:v>
                </c:pt>
                <c:pt idx="2115" formatCode="0.00">
                  <c:v>2.5934708</c:v>
                </c:pt>
                <c:pt idx="2116" formatCode="0.00">
                  <c:v>2.6217837999999998</c:v>
                </c:pt>
                <c:pt idx="2117" formatCode="0.00">
                  <c:v>2.6217837999999998</c:v>
                </c:pt>
                <c:pt idx="2118" formatCode="0.00">
                  <c:v>2.4179302000000003</c:v>
                </c:pt>
                <c:pt idx="2119" formatCode="0.00">
                  <c:v>2.4179302000000003</c:v>
                </c:pt>
                <c:pt idx="2120" formatCode="0.00">
                  <c:v>5.2095920000000007</c:v>
                </c:pt>
                <c:pt idx="2121" formatCode="0.00">
                  <c:v>5.2095920000000007</c:v>
                </c:pt>
                <c:pt idx="2122" formatCode="0.00">
                  <c:v>8.1258309999999998</c:v>
                </c:pt>
                <c:pt idx="2123" formatCode="0.00">
                  <c:v>8.1258309999999998</c:v>
                </c:pt>
                <c:pt idx="2124" formatCode="0.00">
                  <c:v>8.1258309999999998</c:v>
                </c:pt>
                <c:pt idx="2125" formatCode="0.00">
                  <c:v>5.1529660000000002</c:v>
                </c:pt>
                <c:pt idx="2126" formatCode="0.00">
                  <c:v>5.1529660000000002</c:v>
                </c:pt>
                <c:pt idx="2127" formatCode="0.00">
                  <c:v>6.8234330000000005</c:v>
                </c:pt>
                <c:pt idx="2128" formatCode="0.00">
                  <c:v>6.8234330000000005</c:v>
                </c:pt>
                <c:pt idx="2129" formatCode="0.00">
                  <c:v>7.3613800000000005</c:v>
                </c:pt>
                <c:pt idx="2130" formatCode="0.00">
                  <c:v>7.3613800000000005</c:v>
                </c:pt>
                <c:pt idx="2131" formatCode="0.00">
                  <c:v>5.9174170000000004</c:v>
                </c:pt>
                <c:pt idx="2132" formatCode="0.00">
                  <c:v>5.9174170000000004</c:v>
                </c:pt>
                <c:pt idx="2133" formatCode="0.00">
                  <c:v>5.9174170000000004</c:v>
                </c:pt>
                <c:pt idx="2134" formatCode="0.00">
                  <c:v>6.3137990000000004</c:v>
                </c:pt>
                <c:pt idx="2135" formatCode="0.00">
                  <c:v>6.3137990000000004</c:v>
                </c:pt>
                <c:pt idx="2136" formatCode="0.00">
                  <c:v>7.304754</c:v>
                </c:pt>
                <c:pt idx="2137" formatCode="0.00">
                  <c:v>7.304754</c:v>
                </c:pt>
                <c:pt idx="2138" formatCode="0.00">
                  <c:v>9.4848549999999996</c:v>
                </c:pt>
                <c:pt idx="2139" formatCode="0.00">
                  <c:v>16.364914000000002</c:v>
                </c:pt>
                <c:pt idx="2140" formatCode="0.00">
                  <c:v>22.848591000000003</c:v>
                </c:pt>
                <c:pt idx="2141" formatCode="0.00">
                  <c:v>17.412495</c:v>
                </c:pt>
                <c:pt idx="2142" formatCode="0.00">
                  <c:v>5.181279</c:v>
                </c:pt>
                <c:pt idx="2143" formatCode="0.00">
                  <c:v>9.0318470000000008</c:v>
                </c:pt>
                <c:pt idx="2144" formatCode="0.00">
                  <c:v>8.5505259999999996</c:v>
                </c:pt>
                <c:pt idx="2145" formatCode="0.00">
                  <c:v>6.370425</c:v>
                </c:pt>
                <c:pt idx="2146" formatCode="0.00">
                  <c:v>4.1336979999999999</c:v>
                </c:pt>
                <c:pt idx="2147" formatCode="0.00">
                  <c:v>4.8698360000000003</c:v>
                </c:pt>
                <c:pt idx="2148" formatCode="0.00">
                  <c:v>15.968532000000002</c:v>
                </c:pt>
                <c:pt idx="2149" formatCode="0.00">
                  <c:v>13.986622000000001</c:v>
                </c:pt>
                <c:pt idx="2150" formatCode="0.00">
                  <c:v>22.622087000000001</c:v>
                </c:pt>
                <c:pt idx="2151" formatCode="0.00">
                  <c:v>11.155322</c:v>
                </c:pt>
                <c:pt idx="2152" formatCode="0.00">
                  <c:v>11.325200000000001</c:v>
                </c:pt>
                <c:pt idx="2153" formatCode="0.00">
                  <c:v>13.561927000000001</c:v>
                </c:pt>
                <c:pt idx="2154" formatCode="0.00">
                  <c:v>3.2843080000000002</c:v>
                </c:pt>
                <c:pt idx="2155" formatCode="0.00">
                  <c:v>3.7373160000000003</c:v>
                </c:pt>
                <c:pt idx="2156" formatCode="0.00">
                  <c:v>4.7565840000000001</c:v>
                </c:pt>
                <c:pt idx="2157" formatCode="0.00">
                  <c:v>14.411317</c:v>
                </c:pt>
                <c:pt idx="2158" formatCode="0.00">
                  <c:v>9.8246110000000009</c:v>
                </c:pt>
                <c:pt idx="2159" formatCode="0.00">
                  <c:v>4.7565840000000001</c:v>
                </c:pt>
                <c:pt idx="2160" formatCode="0.00">
                  <c:v>11.523391</c:v>
                </c:pt>
                <c:pt idx="2161" formatCode="0.00">
                  <c:v>12.939041000000001</c:v>
                </c:pt>
                <c:pt idx="2162" formatCode="0.00">
                  <c:v>5.2379050000000005</c:v>
                </c:pt>
                <c:pt idx="2163" formatCode="0.00">
                  <c:v>5.3794700000000004</c:v>
                </c:pt>
                <c:pt idx="2164" formatCode="0.00">
                  <c:v>24.887127</c:v>
                </c:pt>
                <c:pt idx="2165" formatCode="0.00">
                  <c:v>25.991334000000002</c:v>
                </c:pt>
                <c:pt idx="2166" formatCode="0.00">
                  <c:v>32.559950000000001</c:v>
                </c:pt>
                <c:pt idx="2167" formatCode="0.00">
                  <c:v>13.193858000000001</c:v>
                </c:pt>
                <c:pt idx="2168" formatCode="0.00">
                  <c:v>7.5878840000000007</c:v>
                </c:pt>
                <c:pt idx="2169" formatCode="0.00">
                  <c:v>2.7010602000000001</c:v>
                </c:pt>
                <c:pt idx="2170" formatCode="0.00">
                  <c:v>9.9095500000000012</c:v>
                </c:pt>
                <c:pt idx="2171" formatCode="0.00">
                  <c:v>9.9095500000000012</c:v>
                </c:pt>
                <c:pt idx="2172" formatCode="0.00">
                  <c:v>9.5131680000000003</c:v>
                </c:pt>
                <c:pt idx="2173" formatCode="0.00">
                  <c:v>9.5131680000000003</c:v>
                </c:pt>
                <c:pt idx="2174" formatCode="0.00">
                  <c:v>5.9174170000000004</c:v>
                </c:pt>
                <c:pt idx="2175" formatCode="0.00">
                  <c:v>5.9174170000000004</c:v>
                </c:pt>
                <c:pt idx="2176" formatCode="0.00">
                  <c:v>7.5878840000000007</c:v>
                </c:pt>
                <c:pt idx="2177" formatCode="0.00">
                  <c:v>7.6728230000000002</c:v>
                </c:pt>
                <c:pt idx="2178" formatCode="0.00">
                  <c:v>6.6535549999999999</c:v>
                </c:pt>
                <c:pt idx="2179" formatCode="0.00">
                  <c:v>6.6535549999999999</c:v>
                </c:pt>
                <c:pt idx="2180" formatCode="0.00">
                  <c:v>14.807699000000001</c:v>
                </c:pt>
                <c:pt idx="2181" formatCode="0.00">
                  <c:v>14.467943</c:v>
                </c:pt>
                <c:pt idx="2182" formatCode="0.00">
                  <c:v>2.2027513999999999</c:v>
                </c:pt>
                <c:pt idx="2183" formatCode="0.00">
                  <c:v>2.2027513999999999</c:v>
                </c:pt>
                <c:pt idx="2184" formatCode="0.00">
                  <c:v>3.057804</c:v>
                </c:pt>
                <c:pt idx="2185" formatCode="0.00">
                  <c:v>3.057804</c:v>
                </c:pt>
                <c:pt idx="2186" formatCode="0.00">
                  <c:v>0.59740430000000011</c:v>
                </c:pt>
                <c:pt idx="2187" formatCode="0.00">
                  <c:v>9.7679850000000012</c:v>
                </c:pt>
                <c:pt idx="2188" formatCode="0.00">
                  <c:v>9.7679850000000012</c:v>
                </c:pt>
                <c:pt idx="2189" formatCode="0.00">
                  <c:v>9.5131680000000003</c:v>
                </c:pt>
                <c:pt idx="2190" formatCode="0.00">
                  <c:v>9.5131680000000003</c:v>
                </c:pt>
                <c:pt idx="2191" formatCode="0.00">
                  <c:v>10.051115000000001</c:v>
                </c:pt>
                <c:pt idx="2192" formatCode="0.00">
                  <c:v>9.9095500000000012</c:v>
                </c:pt>
                <c:pt idx="2193" formatCode="0.00">
                  <c:v>11.183635000000001</c:v>
                </c:pt>
                <c:pt idx="2194" formatCode="0.00">
                  <c:v>11.013757</c:v>
                </c:pt>
                <c:pt idx="2195" formatCode="0.00">
                  <c:v>10.730627</c:v>
                </c:pt>
                <c:pt idx="2196" formatCode="0.00">
                  <c:v>10.730627</c:v>
                </c:pt>
                <c:pt idx="2197" formatCode="0.00">
                  <c:v>7.8427010000000008</c:v>
                </c:pt>
                <c:pt idx="2198" formatCode="0.00">
                  <c:v>7.8427010000000008</c:v>
                </c:pt>
                <c:pt idx="2199" formatCode="0.00">
                  <c:v>14.637821000000001</c:v>
                </c:pt>
                <c:pt idx="2200" formatCode="0.00">
                  <c:v>14.298065000000001</c:v>
                </c:pt>
                <c:pt idx="2201" formatCode="0.00">
                  <c:v>9.1167860000000012</c:v>
                </c:pt>
                <c:pt idx="2202" formatCode="0.00">
                  <c:v>9.1167860000000012</c:v>
                </c:pt>
                <c:pt idx="2203" formatCode="0.00">
                  <c:v>7.1915020000000007</c:v>
                </c:pt>
                <c:pt idx="2204" formatCode="0.00">
                  <c:v>7.1915020000000007</c:v>
                </c:pt>
                <c:pt idx="2205" formatCode="0.00">
                  <c:v>5.4077830000000002</c:v>
                </c:pt>
                <c:pt idx="2206" formatCode="0.00">
                  <c:v>5.4077830000000002</c:v>
                </c:pt>
                <c:pt idx="2207" formatCode="0.00">
                  <c:v>0.97113589999999994</c:v>
                </c:pt>
                <c:pt idx="2208" formatCode="0.00">
                  <c:v>2.2707026000000003</c:v>
                </c:pt>
                <c:pt idx="2209" formatCode="0.00">
                  <c:v>2.2707026000000003</c:v>
                </c:pt>
                <c:pt idx="2210" formatCode="0.00">
                  <c:v>1.925284</c:v>
                </c:pt>
                <c:pt idx="2211" formatCode="0.00">
                  <c:v>2.0923307000000002</c:v>
                </c:pt>
                <c:pt idx="2212" formatCode="0.00">
                  <c:v>3.11443</c:v>
                </c:pt>
                <c:pt idx="2213" formatCode="0.00">
                  <c:v>3.057804</c:v>
                </c:pt>
                <c:pt idx="2214" formatCode="0.00">
                  <c:v>3.8788810000000002</c:v>
                </c:pt>
                <c:pt idx="2215" formatCode="0.00">
                  <c:v>3.8788810000000002</c:v>
                </c:pt>
                <c:pt idx="2216" formatCode="0.00">
                  <c:v>4.9547750000000006</c:v>
                </c:pt>
                <c:pt idx="2217" formatCode="0.00">
                  <c:v>5.0114010000000002</c:v>
                </c:pt>
                <c:pt idx="2218" formatCode="0.00">
                  <c:v>9.0035340000000001</c:v>
                </c:pt>
                <c:pt idx="2219" formatCode="0.00">
                  <c:v>9.1167860000000012</c:v>
                </c:pt>
                <c:pt idx="2220" formatCode="0.00">
                  <c:v>30.578040000000001</c:v>
                </c:pt>
                <c:pt idx="2221" formatCode="0.00">
                  <c:v>34.25873</c:v>
                </c:pt>
                <c:pt idx="2222" formatCode="0.00">
                  <c:v>21.234750000000002</c:v>
                </c:pt>
                <c:pt idx="2223" formatCode="0.00">
                  <c:v>21.064872000000001</c:v>
                </c:pt>
                <c:pt idx="2224" formatCode="0.00">
                  <c:v>19.762474000000001</c:v>
                </c:pt>
                <c:pt idx="2225" formatCode="0.00">
                  <c:v>19.592596</c:v>
                </c:pt>
                <c:pt idx="2226" formatCode="0.00">
                  <c:v>16.110097</c:v>
                </c:pt>
                <c:pt idx="2227" formatCode="0.00">
                  <c:v>15.968532000000002</c:v>
                </c:pt>
                <c:pt idx="2228" formatCode="0.00">
                  <c:v>16.534791999999999</c:v>
                </c:pt>
                <c:pt idx="2229" formatCode="0.00">
                  <c:v>16.393227</c:v>
                </c:pt>
                <c:pt idx="2230" formatCode="0.00">
                  <c:v>17.723938</c:v>
                </c:pt>
                <c:pt idx="2231" formatCode="0.00">
                  <c:v>17.582373</c:v>
                </c:pt>
                <c:pt idx="2232" formatCode="0.00">
                  <c:v>18.035381000000001</c:v>
                </c:pt>
                <c:pt idx="2233" formatCode="0.00">
                  <c:v>17.865503</c:v>
                </c:pt>
                <c:pt idx="2234" formatCode="0.00">
                  <c:v>19.592596</c:v>
                </c:pt>
                <c:pt idx="2235" formatCode="0.00">
                  <c:v>19.762474000000001</c:v>
                </c:pt>
                <c:pt idx="2236" formatCode="0.00">
                  <c:v>15.119142</c:v>
                </c:pt>
                <c:pt idx="2237" formatCode="0.00">
                  <c:v>14.977577</c:v>
                </c:pt>
                <c:pt idx="2238" formatCode="0.00">
                  <c:v>16.110097</c:v>
                </c:pt>
                <c:pt idx="2239" formatCode="0.00">
                  <c:v>15.968532000000002</c:v>
                </c:pt>
                <c:pt idx="2240" formatCode="0.00">
                  <c:v>14.298065000000001</c:v>
                </c:pt>
                <c:pt idx="2241" formatCode="0.00">
                  <c:v>14.156500000000001</c:v>
                </c:pt>
                <c:pt idx="2242" formatCode="0.00">
                  <c:v>12.995667000000001</c:v>
                </c:pt>
                <c:pt idx="2243" formatCode="0.00">
                  <c:v>12.995667000000001</c:v>
                </c:pt>
                <c:pt idx="2244" formatCode="0.00">
                  <c:v>12.259529000000001</c:v>
                </c:pt>
                <c:pt idx="2245" formatCode="0.00">
                  <c:v>12.117964000000001</c:v>
                </c:pt>
                <c:pt idx="2246" formatCode="0.00">
                  <c:v>9.9378630000000001</c:v>
                </c:pt>
                <c:pt idx="2247" formatCode="0.00">
                  <c:v>9.9378630000000001</c:v>
                </c:pt>
                <c:pt idx="2248" formatCode="0.00">
                  <c:v>5.8324780000000001</c:v>
                </c:pt>
                <c:pt idx="2249" formatCode="0.00">
                  <c:v>5.8324780000000001</c:v>
                </c:pt>
                <c:pt idx="2250" formatCode="0.00">
                  <c:v>2.9445520000000003</c:v>
                </c:pt>
                <c:pt idx="2251" formatCode="0.00">
                  <c:v>2.9445520000000003</c:v>
                </c:pt>
                <c:pt idx="2252" formatCode="0.00">
                  <c:v>1.8828145000000001</c:v>
                </c:pt>
                <c:pt idx="2253" formatCode="0.00">
                  <c:v>10.2492</c:v>
                </c:pt>
                <c:pt idx="2254" formatCode="0.00">
                  <c:v>10.2492</c:v>
                </c:pt>
                <c:pt idx="2255" formatCode="0.00">
                  <c:v>14.609400000000001</c:v>
                </c:pt>
                <c:pt idx="2256" formatCode="0.00">
                  <c:v>14.609400000000001</c:v>
                </c:pt>
                <c:pt idx="2257" formatCode="0.00">
                  <c:v>11.042</c:v>
                </c:pt>
                <c:pt idx="2258" formatCode="0.00">
                  <c:v>11.042</c:v>
                </c:pt>
                <c:pt idx="2259" formatCode="0.00">
                  <c:v>10.928699999999999</c:v>
                </c:pt>
                <c:pt idx="2260" formatCode="0.00">
                  <c:v>10.928699999999999</c:v>
                </c:pt>
                <c:pt idx="2261" formatCode="0.00">
                  <c:v>12.910600000000001</c:v>
                </c:pt>
                <c:pt idx="2262" formatCode="0.00">
                  <c:v>12.910600000000001</c:v>
                </c:pt>
                <c:pt idx="2263" formatCode="0.00">
                  <c:v>15.0624</c:v>
                </c:pt>
                <c:pt idx="2264" formatCode="0.00">
                  <c:v>15.0624</c:v>
                </c:pt>
                <c:pt idx="2265" formatCode="0.00">
                  <c:v>32.559600000000003</c:v>
                </c:pt>
                <c:pt idx="2266" formatCode="0.00">
                  <c:v>32.559600000000003</c:v>
                </c:pt>
                <c:pt idx="2267" formatCode="0.00">
                  <c:v>35.957099999999997</c:v>
                </c:pt>
                <c:pt idx="2268" formatCode="0.00">
                  <c:v>35.957099999999997</c:v>
                </c:pt>
                <c:pt idx="2269" formatCode="0.00">
                  <c:v>25.3965</c:v>
                </c:pt>
                <c:pt idx="2270" formatCode="0.00">
                  <c:v>25.3965</c:v>
                </c:pt>
                <c:pt idx="2271" formatCode="0.00">
                  <c:v>22.310400000000001</c:v>
                </c:pt>
                <c:pt idx="2272" formatCode="0.00">
                  <c:v>22.310400000000001</c:v>
                </c:pt>
                <c:pt idx="2273" formatCode="0.00">
                  <c:v>19.592400000000001</c:v>
                </c:pt>
                <c:pt idx="2274" formatCode="0.00">
                  <c:v>19.592400000000001</c:v>
                </c:pt>
                <c:pt idx="2275" formatCode="0.00">
                  <c:v>6.3420500000000004</c:v>
                </c:pt>
                <c:pt idx="2276" formatCode="0.00">
                  <c:v>6.3420500000000004</c:v>
                </c:pt>
                <c:pt idx="2277" formatCode="0.00">
                  <c:v>23.273</c:v>
                </c:pt>
                <c:pt idx="2278" formatCode="0.00">
                  <c:v>23.273</c:v>
                </c:pt>
                <c:pt idx="2279" formatCode="0.00">
                  <c:v>24.037500000000001</c:v>
                </c:pt>
                <c:pt idx="2280" formatCode="0.00">
                  <c:v>24.037500000000001</c:v>
                </c:pt>
                <c:pt idx="2281" formatCode="0.00">
                  <c:v>20.187000000000001</c:v>
                </c:pt>
                <c:pt idx="2282" formatCode="0.00">
                  <c:v>20.187000000000001</c:v>
                </c:pt>
                <c:pt idx="2283" formatCode="0.00">
                  <c:v>13.675000000000001</c:v>
                </c:pt>
                <c:pt idx="2284" formatCode="0.00">
                  <c:v>13.675000000000001</c:v>
                </c:pt>
                <c:pt idx="2285" formatCode="0.00">
                  <c:v>11.891299999999999</c:v>
                </c:pt>
                <c:pt idx="2286" formatCode="0.00">
                  <c:v>11.891299999999999</c:v>
                </c:pt>
                <c:pt idx="2287" formatCode="0.00">
                  <c:v>11.948</c:v>
                </c:pt>
                <c:pt idx="2288" formatCode="0.00">
                  <c:v>11.948</c:v>
                </c:pt>
                <c:pt idx="2289" formatCode="0.00">
                  <c:v>12.9672</c:v>
                </c:pt>
                <c:pt idx="2290" formatCode="0.00">
                  <c:v>12.9672</c:v>
                </c:pt>
                <c:pt idx="2291" formatCode="0.00">
                  <c:v>24.094100000000001</c:v>
                </c:pt>
                <c:pt idx="2292" formatCode="0.00">
                  <c:v>24.094100000000001</c:v>
                </c:pt>
                <c:pt idx="2293" formatCode="0.00">
                  <c:v>26.444099999999999</c:v>
                </c:pt>
                <c:pt idx="2294" formatCode="0.00">
                  <c:v>26.444099999999999</c:v>
                </c:pt>
                <c:pt idx="2295" formatCode="0.00">
                  <c:v>34.541499999999999</c:v>
                </c:pt>
                <c:pt idx="2296" formatCode="0.00">
                  <c:v>34.541499999999999</c:v>
                </c:pt>
                <c:pt idx="2297" formatCode="0.00">
                  <c:v>41.053400000000003</c:v>
                </c:pt>
                <c:pt idx="2298" formatCode="0.00">
                  <c:v>41.053400000000003</c:v>
                </c:pt>
                <c:pt idx="2299" formatCode="0.00">
                  <c:v>52.944800000000001</c:v>
                </c:pt>
                <c:pt idx="2300" formatCode="0.00">
                  <c:v>52.944800000000001</c:v>
                </c:pt>
                <c:pt idx="2301" formatCode="0.00">
                  <c:v>54.360399999999998</c:v>
                </c:pt>
                <c:pt idx="2302" formatCode="0.00">
                  <c:v>54.360399999999998</c:v>
                </c:pt>
                <c:pt idx="2303" formatCode="0.00">
                  <c:v>60.589199999999998</c:v>
                </c:pt>
                <c:pt idx="2304" formatCode="0.00">
                  <c:v>60.589199999999998</c:v>
                </c:pt>
                <c:pt idx="2305" formatCode="0.00">
                  <c:v>62.004800000000003</c:v>
                </c:pt>
                <c:pt idx="2306" formatCode="0.00">
                  <c:v>62.004800000000003</c:v>
                </c:pt>
                <c:pt idx="2307" formatCode="0.00">
                  <c:v>81.257499999999993</c:v>
                </c:pt>
                <c:pt idx="2308" formatCode="0.00">
                  <c:v>81.257499999999993</c:v>
                </c:pt>
                <c:pt idx="2309" formatCode="0.00">
                  <c:v>61.438600000000001</c:v>
                </c:pt>
                <c:pt idx="2310" formatCode="0.00">
                  <c:v>61.438600000000001</c:v>
                </c:pt>
                <c:pt idx="2311" formatCode="0.00">
                  <c:v>48.981000000000002</c:v>
                </c:pt>
                <c:pt idx="2312" formatCode="0.00">
                  <c:v>48.981000000000002</c:v>
                </c:pt>
                <c:pt idx="2313" formatCode="0.00">
                  <c:v>53.227899999999998</c:v>
                </c:pt>
                <c:pt idx="2314" formatCode="0.00">
                  <c:v>53.227899999999998</c:v>
                </c:pt>
                <c:pt idx="2315" formatCode="0.00">
                  <c:v>40.770299999999999</c:v>
                </c:pt>
                <c:pt idx="2316" formatCode="0.00">
                  <c:v>40.770299999999999</c:v>
                </c:pt>
                <c:pt idx="2317" formatCode="0.00">
                  <c:v>37.939</c:v>
                </c:pt>
                <c:pt idx="2318" formatCode="0.00">
                  <c:v>37.939</c:v>
                </c:pt>
                <c:pt idx="2319" formatCode="0.00">
                  <c:v>46.999099999999999</c:v>
                </c:pt>
                <c:pt idx="2320" formatCode="0.00">
                  <c:v>46.999099999999999</c:v>
                </c:pt>
                <c:pt idx="2321" formatCode="0.00">
                  <c:v>45.3003</c:v>
                </c:pt>
                <c:pt idx="2322" formatCode="0.00">
                  <c:v>45.3003</c:v>
                </c:pt>
                <c:pt idx="2323" formatCode="0.00">
                  <c:v>97.678799999999995</c:v>
                </c:pt>
                <c:pt idx="2324" formatCode="0.00">
                  <c:v>97.678799999999995</c:v>
                </c:pt>
                <c:pt idx="2325" formatCode="0.00">
                  <c:v>0.15289</c:v>
                </c:pt>
                <c:pt idx="2326" formatCode="0.00">
                  <c:v>0.15855</c:v>
                </c:pt>
                <c:pt idx="2327" formatCode="0.00">
                  <c:v>0.17837</c:v>
                </c:pt>
                <c:pt idx="2328" formatCode="0.00">
                  <c:v>0.28029999999999999</c:v>
                </c:pt>
                <c:pt idx="2329" formatCode="0.00">
                  <c:v>0.33975</c:v>
                </c:pt>
                <c:pt idx="2330" formatCode="0.00">
                  <c:v>0.31143999999999999</c:v>
                </c:pt>
                <c:pt idx="2331" formatCode="0.00">
                  <c:v>0.53793999999999997</c:v>
                </c:pt>
                <c:pt idx="2332" formatCode="0.00">
                  <c:v>0.53793999999999997</c:v>
                </c:pt>
                <c:pt idx="2333" formatCode="0.00">
                  <c:v>0.39638000000000001</c:v>
                </c:pt>
                <c:pt idx="2334" formatCode="0.00">
                  <c:v>0.28312999999999999</c:v>
                </c:pt>
                <c:pt idx="2335" formatCode="0.00">
                  <c:v>0.24349000000000001</c:v>
                </c:pt>
                <c:pt idx="2336" formatCode="0.00">
                  <c:v>0.22933000000000001</c:v>
                </c:pt>
                <c:pt idx="2337" formatCode="0.00">
                  <c:v>0.23499999999999999</c:v>
                </c:pt>
                <c:pt idx="2338" formatCode="0.00">
                  <c:v>0.33975</c:v>
                </c:pt>
                <c:pt idx="2339" formatCode="0.00">
                  <c:v>0.26613999999999999</c:v>
                </c:pt>
                <c:pt idx="2340" formatCode="0.00">
                  <c:v>0.26613999999999999</c:v>
                </c:pt>
                <c:pt idx="2341" formatCode="0.00">
                  <c:v>0.67949999999999999</c:v>
                </c:pt>
                <c:pt idx="2342" formatCode="0.00">
                  <c:v>0.59457000000000004</c:v>
                </c:pt>
                <c:pt idx="2343" formatCode="0.00">
                  <c:v>0.45300000000000001</c:v>
                </c:pt>
                <c:pt idx="2344" formatCode="0.00">
                  <c:v>6.7949999999999997E-2</c:v>
                </c:pt>
                <c:pt idx="2345" formatCode="0.00">
                  <c:v>0.10476000000000001</c:v>
                </c:pt>
                <c:pt idx="2346" formatCode="0.00">
                  <c:v>9.06E-2</c:v>
                </c:pt>
                <c:pt idx="2347" formatCode="0.00">
                  <c:v>7.6439999999999994E-2</c:v>
                </c:pt>
                <c:pt idx="2348" formatCode="0.00">
                  <c:v>9.6259999999999998E-2</c:v>
                </c:pt>
                <c:pt idx="2349" formatCode="0.00">
                  <c:v>0.31143999999999999</c:v>
                </c:pt>
                <c:pt idx="2350" formatCode="0.00">
                  <c:v>0.31143999999999999</c:v>
                </c:pt>
                <c:pt idx="2351" formatCode="0.00">
                  <c:v>0.20668</c:v>
                </c:pt>
                <c:pt idx="2352" formatCode="0.00">
                  <c:v>0.20668</c:v>
                </c:pt>
                <c:pt idx="2353" formatCode="0.00">
                  <c:v>0.31143999999999999</c:v>
                </c:pt>
                <c:pt idx="2354" formatCode="0.00">
                  <c:v>0.33975</c:v>
                </c:pt>
                <c:pt idx="2355" formatCode="0.00">
                  <c:v>0.36807000000000001</c:v>
                </c:pt>
                <c:pt idx="2356" formatCode="0.00">
                  <c:v>0.42469000000000001</c:v>
                </c:pt>
                <c:pt idx="2357" formatCode="0.00">
                  <c:v>0.39638000000000001</c:v>
                </c:pt>
                <c:pt idx="2358" formatCode="0.00">
                  <c:v>0.39638000000000001</c:v>
                </c:pt>
                <c:pt idx="2359" formatCode="0.00">
                  <c:v>0.39638000000000001</c:v>
                </c:pt>
                <c:pt idx="2360" formatCode="0.00">
                  <c:v>0.50963000000000003</c:v>
                </c:pt>
                <c:pt idx="2361" formatCode="0.00">
                  <c:v>0.50963000000000003</c:v>
                </c:pt>
                <c:pt idx="2362" formatCode="0.00">
                  <c:v>0.11608</c:v>
                </c:pt>
                <c:pt idx="2363" formatCode="0.00">
                  <c:v>0.27179999999999999</c:v>
                </c:pt>
                <c:pt idx="2364" formatCode="0.00">
                  <c:v>0.33975</c:v>
                </c:pt>
                <c:pt idx="2365" formatCode="0.00">
                  <c:v>0.33975</c:v>
                </c:pt>
                <c:pt idx="2366" formatCode="0.00">
                  <c:v>0.27745999999999998</c:v>
                </c:pt>
                <c:pt idx="2367" formatCode="0.00">
                  <c:v>0.36807000000000001</c:v>
                </c:pt>
                <c:pt idx="2368" formatCode="0.00">
                  <c:v>0.42469000000000001</c:v>
                </c:pt>
                <c:pt idx="2369" formatCode="0.00">
                  <c:v>0.36807000000000001</c:v>
                </c:pt>
                <c:pt idx="2370" formatCode="0.00">
                  <c:v>0.33975</c:v>
                </c:pt>
                <c:pt idx="2371" formatCode="0.00">
                  <c:v>0.26896999999999999</c:v>
                </c:pt>
                <c:pt idx="2372" formatCode="0.00">
                  <c:v>0.36807000000000001</c:v>
                </c:pt>
                <c:pt idx="2373" formatCode="0.00">
                  <c:v>0.39638000000000001</c:v>
                </c:pt>
                <c:pt idx="2374" formatCode="0.00">
                  <c:v>0.36807000000000001</c:v>
                </c:pt>
                <c:pt idx="2375" formatCode="0.00">
                  <c:v>0.33975</c:v>
                </c:pt>
                <c:pt idx="2376" formatCode="0.00">
                  <c:v>0.33975</c:v>
                </c:pt>
                <c:pt idx="2377" formatCode="0.00">
                  <c:v>0.22084000000000001</c:v>
                </c:pt>
                <c:pt idx="2378" formatCode="0.00">
                  <c:v>0.23499999999999999</c:v>
                </c:pt>
                <c:pt idx="2379" formatCode="0.00">
                  <c:v>0.28312999999999999</c:v>
                </c:pt>
                <c:pt idx="2380" formatCode="0.00">
                  <c:v>0.36807000000000001</c:v>
                </c:pt>
                <c:pt idx="2381" formatCode="0.00">
                  <c:v>0.67949999999999999</c:v>
                </c:pt>
                <c:pt idx="2382" formatCode="0.00">
                  <c:v>0.73612999999999995</c:v>
                </c:pt>
                <c:pt idx="2383" formatCode="0.00">
                  <c:v>0.59457000000000004</c:v>
                </c:pt>
                <c:pt idx="2384" formatCode="0.00">
                  <c:v>0.53793999999999997</c:v>
                </c:pt>
                <c:pt idx="2385" formatCode="0.00">
                  <c:v>7.0779999999999996E-2</c:v>
                </c:pt>
                <c:pt idx="2386" formatCode="0.00">
                  <c:v>0.17554</c:v>
                </c:pt>
                <c:pt idx="2387" formatCode="0.00">
                  <c:v>0.22084000000000001</c:v>
                </c:pt>
                <c:pt idx="2388" formatCode="0.00">
                  <c:v>0.13023999999999999</c:v>
                </c:pt>
                <c:pt idx="2389" formatCode="0.00">
                  <c:v>0.13023999999999999</c:v>
                </c:pt>
                <c:pt idx="2390" formatCode="0.00">
                  <c:v>0.33975</c:v>
                </c:pt>
                <c:pt idx="2391" formatCode="0.00">
                  <c:v>0.36807000000000001</c:v>
                </c:pt>
                <c:pt idx="2392" formatCode="0.00">
                  <c:v>0.36807000000000001</c:v>
                </c:pt>
                <c:pt idx="2393" formatCode="0.00">
                  <c:v>0.26896999999999999</c:v>
                </c:pt>
                <c:pt idx="2394" formatCode="0.00">
                  <c:v>0.25197999999999998</c:v>
                </c:pt>
                <c:pt idx="2395" formatCode="0.00">
                  <c:v>0.22084000000000001</c:v>
                </c:pt>
                <c:pt idx="2396" formatCode="0.00">
                  <c:v>0.22084000000000001</c:v>
                </c:pt>
                <c:pt idx="2397" formatCode="0.00">
                  <c:v>0.26613999999999999</c:v>
                </c:pt>
                <c:pt idx="2398" formatCode="0.00">
                  <c:v>0.28312999999999999</c:v>
                </c:pt>
                <c:pt idx="2399" formatCode="0.00">
                  <c:v>0.28312999999999999</c:v>
                </c:pt>
                <c:pt idx="2400" formatCode="0.00">
                  <c:v>0.24349000000000001</c:v>
                </c:pt>
                <c:pt idx="2401" formatCode="0.00">
                  <c:v>0.19536000000000001</c:v>
                </c:pt>
                <c:pt idx="2402" formatCode="0.00">
                  <c:v>3.8222100000000001</c:v>
                </c:pt>
                <c:pt idx="2403" formatCode="0.00">
                  <c:v>8.7486200000000007</c:v>
                </c:pt>
                <c:pt idx="2404" formatCode="0.00">
                  <c:v>13.7317</c:v>
                </c:pt>
                <c:pt idx="2405" formatCode="0.00">
                  <c:v>7.6161199999999996</c:v>
                </c:pt>
                <c:pt idx="2406" formatCode="0.00">
                  <c:v>3.1993399999999999</c:v>
                </c:pt>
                <c:pt idx="2407" formatCode="0.00">
                  <c:v>4.7565299999999997</c:v>
                </c:pt>
                <c:pt idx="2408" formatCode="0.00">
                  <c:v>6.7384199999999996</c:v>
                </c:pt>
                <c:pt idx="2409" formatCode="0.00">
                  <c:v>5.7474800000000004</c:v>
                </c:pt>
                <c:pt idx="2410" formatCode="0.00">
                  <c:v>3.8788399999999998</c:v>
                </c:pt>
                <c:pt idx="2411" formatCode="0.00">
                  <c:v>3.9637799999999999</c:v>
                </c:pt>
                <c:pt idx="2412" formatCode="0.00">
                  <c:v>3.9071500000000001</c:v>
                </c:pt>
                <c:pt idx="2413" formatCode="0.00">
                  <c:v>7.3896199999999999</c:v>
                </c:pt>
                <c:pt idx="2414" formatCode="0.00">
                  <c:v>7.4745499999999998</c:v>
                </c:pt>
                <c:pt idx="2415" formatCode="0.00">
                  <c:v>5.5776000000000003</c:v>
                </c:pt>
                <c:pt idx="2416" formatCode="0.00">
                  <c:v>10.0227</c:v>
                </c:pt>
                <c:pt idx="2417" formatCode="0.00">
                  <c:v>1.8431599999999999</c:v>
                </c:pt>
                <c:pt idx="2418" formatCode="0.00">
                  <c:v>4.6149699999999996</c:v>
                </c:pt>
                <c:pt idx="2419" formatCode="0.00">
                  <c:v>4.1619700000000002</c:v>
                </c:pt>
                <c:pt idx="2420" formatCode="0.00">
                  <c:v>4.7848499999999996</c:v>
                </c:pt>
                <c:pt idx="2421" formatCode="0.00">
                  <c:v>3.00115</c:v>
                </c:pt>
                <c:pt idx="2422" formatCode="0.00">
                  <c:v>7.4462400000000004</c:v>
                </c:pt>
                <c:pt idx="2423" formatCode="0.00">
                  <c:v>5.0396599999999996</c:v>
                </c:pt>
                <c:pt idx="2424" formatCode="0.00">
                  <c:v>3.3125900000000001</c:v>
                </c:pt>
                <c:pt idx="2425" formatCode="0.00">
                  <c:v>0.97962000000000005</c:v>
                </c:pt>
                <c:pt idx="2426" formatCode="0.00">
                  <c:v>2.9728300000000001</c:v>
                </c:pt>
                <c:pt idx="2427" formatCode="0.00">
                  <c:v>4.7282200000000003</c:v>
                </c:pt>
                <c:pt idx="2428" formatCode="0.00">
                  <c:v>1.7582199999999999</c:v>
                </c:pt>
                <c:pt idx="2429" formatCode="0.00">
                  <c:v>2.18574</c:v>
                </c:pt>
                <c:pt idx="2430" formatCode="0.00">
                  <c:v>5.6059099999999997</c:v>
                </c:pt>
                <c:pt idx="2431" formatCode="0.00">
                  <c:v>11.4666</c:v>
                </c:pt>
                <c:pt idx="2432" formatCode="0.00">
                  <c:v>12.2028</c:v>
                </c:pt>
                <c:pt idx="2433" formatCode="0.00">
                  <c:v>8.7203099999999996</c:v>
                </c:pt>
                <c:pt idx="2434" formatCode="0.00">
                  <c:v>4.9264099999999997</c:v>
                </c:pt>
                <c:pt idx="2435" formatCode="0.00">
                  <c:v>2.3980899999999998</c:v>
                </c:pt>
                <c:pt idx="2436" formatCode="0.00">
                  <c:v>1.0617300000000001</c:v>
                </c:pt>
                <c:pt idx="2437" formatCode="0.00">
                  <c:v>0.87485999999999997</c:v>
                </c:pt>
                <c:pt idx="2438" formatCode="0.00">
                  <c:v>1.71858</c:v>
                </c:pt>
                <c:pt idx="2439" formatCode="0.00">
                  <c:v>1.71858</c:v>
                </c:pt>
                <c:pt idx="2440" formatCode="0.00">
                  <c:v>6.6251699999999998</c:v>
                </c:pt>
                <c:pt idx="2441" formatCode="0.00">
                  <c:v>6.6251699999999998</c:v>
                </c:pt>
                <c:pt idx="2442" formatCode="0.00">
                  <c:v>4.27522</c:v>
                </c:pt>
                <c:pt idx="2443" formatCode="0.00">
                  <c:v>4.27522</c:v>
                </c:pt>
                <c:pt idx="2444" formatCode="0.00">
                  <c:v>4.0487200000000003</c:v>
                </c:pt>
                <c:pt idx="2445" formatCode="0.00">
                  <c:v>4.0487200000000003</c:v>
                </c:pt>
                <c:pt idx="2446" formatCode="0.00">
                  <c:v>6.7101100000000002</c:v>
                </c:pt>
                <c:pt idx="2447" formatCode="0.00">
                  <c:v>6.7101100000000002</c:v>
                </c:pt>
                <c:pt idx="2448" formatCode="0.00">
                  <c:v>8.4938099999999999</c:v>
                </c:pt>
                <c:pt idx="2449" formatCode="0.00">
                  <c:v>8.4938099999999999</c:v>
                </c:pt>
                <c:pt idx="2450" formatCode="0.00">
                  <c:v>5.5776000000000003</c:v>
                </c:pt>
                <c:pt idx="2451" formatCode="0.00">
                  <c:v>5.5776000000000003</c:v>
                </c:pt>
                <c:pt idx="2452" formatCode="0.00">
                  <c:v>5.5209799999999998</c:v>
                </c:pt>
                <c:pt idx="2453" formatCode="0.00">
                  <c:v>5.5209799999999998</c:v>
                </c:pt>
                <c:pt idx="2454" formatCode="0.00">
                  <c:v>5.2661600000000002</c:v>
                </c:pt>
                <c:pt idx="2455" formatCode="0.00">
                  <c:v>5.2661600000000002</c:v>
                </c:pt>
                <c:pt idx="2456" formatCode="0.00">
                  <c:v>5.5209799999999998</c:v>
                </c:pt>
                <c:pt idx="2457" formatCode="0.00">
                  <c:v>5.5209799999999998</c:v>
                </c:pt>
                <c:pt idx="2458" formatCode="0.00">
                  <c:v>5.1246</c:v>
                </c:pt>
                <c:pt idx="2459" formatCode="0.00">
                  <c:v>5.1246</c:v>
                </c:pt>
                <c:pt idx="2460" formatCode="0.00">
                  <c:v>5.1529100000000003</c:v>
                </c:pt>
                <c:pt idx="2461" formatCode="0.00">
                  <c:v>5.1529100000000003</c:v>
                </c:pt>
                <c:pt idx="2462" formatCode="0.00">
                  <c:v>4.27522</c:v>
                </c:pt>
                <c:pt idx="2463" formatCode="0.00">
                  <c:v>4.27522</c:v>
                </c:pt>
                <c:pt idx="2464" formatCode="0.00">
                  <c:v>3.6240299999999999</c:v>
                </c:pt>
                <c:pt idx="2465" formatCode="0.00">
                  <c:v>3.6240299999999999</c:v>
                </c:pt>
                <c:pt idx="2466" formatCode="0.00">
                  <c:v>3.42584</c:v>
                </c:pt>
                <c:pt idx="2467" formatCode="0.00">
                  <c:v>3.42584</c:v>
                </c:pt>
                <c:pt idx="2468" formatCode="0.00">
                  <c:v>2.8879000000000001</c:v>
                </c:pt>
                <c:pt idx="2469" formatCode="0.00">
                  <c:v>2.8879000000000001</c:v>
                </c:pt>
                <c:pt idx="2470" formatCode="0.00">
                  <c:v>2.0951399999999998</c:v>
                </c:pt>
                <c:pt idx="2471" formatCode="0.00">
                  <c:v>2.0951399999999998</c:v>
                </c:pt>
                <c:pt idx="2472" formatCode="0.00">
                  <c:v>1.0220899999999999</c:v>
                </c:pt>
                <c:pt idx="2473" formatCode="0.00">
                  <c:v>1.0220899999999999</c:v>
                </c:pt>
                <c:pt idx="2474" formatCode="0.00">
                  <c:v>0.52944999999999998</c:v>
                </c:pt>
                <c:pt idx="2475" formatCode="0.00">
                  <c:v>0.52944999999999998</c:v>
                </c:pt>
                <c:pt idx="2476" formatCode="0.00">
                  <c:v>0.64270000000000005</c:v>
                </c:pt>
                <c:pt idx="2477" formatCode="0.00">
                  <c:v>1.6591199999999999</c:v>
                </c:pt>
                <c:pt idx="2478" formatCode="0.00">
                  <c:v>1.6591199999999999</c:v>
                </c:pt>
                <c:pt idx="2479" formatCode="0.00">
                  <c:v>2.3103199999999999</c:v>
                </c:pt>
                <c:pt idx="2480" formatCode="0.00">
                  <c:v>2.3103199999999999</c:v>
                </c:pt>
                <c:pt idx="2481" formatCode="0.00">
                  <c:v>1.8912899999999999</c:v>
                </c:pt>
                <c:pt idx="2482" formatCode="0.00">
                  <c:v>1.8912899999999999</c:v>
                </c:pt>
                <c:pt idx="2483" formatCode="0.00">
                  <c:v>1.9960500000000001</c:v>
                </c:pt>
                <c:pt idx="2484" formatCode="0.00">
                  <c:v>1.9960500000000001</c:v>
                </c:pt>
                <c:pt idx="2485" formatCode="0.00">
                  <c:v>2.51417</c:v>
                </c:pt>
                <c:pt idx="2486" formatCode="0.00">
                  <c:v>2.51417</c:v>
                </c:pt>
                <c:pt idx="2487" formatCode="0.00">
                  <c:v>3.5107699999999999</c:v>
                </c:pt>
                <c:pt idx="2488" formatCode="0.00">
                  <c:v>3.5107699999999999</c:v>
                </c:pt>
                <c:pt idx="2489" formatCode="0.00">
                  <c:v>4.7282200000000003</c:v>
                </c:pt>
                <c:pt idx="2490" formatCode="0.00">
                  <c:v>4.7282200000000003</c:v>
                </c:pt>
                <c:pt idx="2491" formatCode="0.00">
                  <c:v>8.9468099999999993</c:v>
                </c:pt>
                <c:pt idx="2492" formatCode="0.00">
                  <c:v>8.9468099999999993</c:v>
                </c:pt>
                <c:pt idx="2493" formatCode="0.00">
                  <c:v>8.5787499999999994</c:v>
                </c:pt>
                <c:pt idx="2494" formatCode="0.00">
                  <c:v>8.5787499999999994</c:v>
                </c:pt>
                <c:pt idx="2495" formatCode="0.00">
                  <c:v>9.2582500000000003</c:v>
                </c:pt>
                <c:pt idx="2496" formatCode="0.00">
                  <c:v>9.2582500000000003</c:v>
                </c:pt>
                <c:pt idx="2497" formatCode="0.00">
                  <c:v>9.8528199999999995</c:v>
                </c:pt>
                <c:pt idx="2498" formatCode="0.00">
                  <c:v>9.8528199999999995</c:v>
                </c:pt>
                <c:pt idx="2499" formatCode="0.00">
                  <c:v>8.6920000000000002</c:v>
                </c:pt>
                <c:pt idx="2500" formatCode="0.00">
                  <c:v>8.6920000000000002</c:v>
                </c:pt>
                <c:pt idx="2501" formatCode="0.00">
                  <c:v>7.9841800000000003</c:v>
                </c:pt>
                <c:pt idx="2502" formatCode="0.00">
                  <c:v>7.9841800000000003</c:v>
                </c:pt>
                <c:pt idx="2503" formatCode="0.00">
                  <c:v>9.2016299999999998</c:v>
                </c:pt>
                <c:pt idx="2504" formatCode="0.00">
                  <c:v>9.2016299999999998</c:v>
                </c:pt>
                <c:pt idx="2505" formatCode="0.00">
                  <c:v>6.9932400000000001</c:v>
                </c:pt>
                <c:pt idx="2506" formatCode="0.00">
                  <c:v>6.9932400000000001</c:v>
                </c:pt>
                <c:pt idx="2507" formatCode="0.00">
                  <c:v>5.3510999999999997</c:v>
                </c:pt>
                <c:pt idx="2508" formatCode="0.00">
                  <c:v>5.3510999999999997</c:v>
                </c:pt>
                <c:pt idx="2509" formatCode="0.00">
                  <c:v>5.2661600000000002</c:v>
                </c:pt>
                <c:pt idx="2510" formatCode="0.00">
                  <c:v>5.2661600000000002</c:v>
                </c:pt>
                <c:pt idx="2511" formatCode="0.00">
                  <c:v>2.76898</c:v>
                </c:pt>
                <c:pt idx="2512" formatCode="0.00">
                  <c:v>2.76898</c:v>
                </c:pt>
                <c:pt idx="2513" formatCode="0.00">
                  <c:v>1.61666</c:v>
                </c:pt>
                <c:pt idx="2514" formatCode="0.00">
                  <c:v>1.61666</c:v>
                </c:pt>
                <c:pt idx="2515" formatCode="0.00">
                  <c:v>1.1211800000000001</c:v>
                </c:pt>
                <c:pt idx="2516" formatCode="0.00">
                  <c:v>0.77293999999999996</c:v>
                </c:pt>
                <c:pt idx="2517" formatCode="0.00">
                  <c:v>0.95696999999999999</c:v>
                </c:pt>
                <c:pt idx="2518" formatCode="0.00">
                  <c:v>2.8114499999999998</c:v>
                </c:pt>
                <c:pt idx="2519" formatCode="0.00">
                  <c:v>6.6534800000000001</c:v>
                </c:pt>
                <c:pt idx="2520" formatCode="0.00">
                  <c:v>5.0679699999999999</c:v>
                </c:pt>
                <c:pt idx="2521" formatCode="0.00">
                  <c:v>15.770200000000001</c:v>
                </c:pt>
                <c:pt idx="2522" formatCode="0.00">
                  <c:v>14.835900000000001</c:v>
                </c:pt>
                <c:pt idx="2523" formatCode="0.00">
                  <c:v>11.523300000000001</c:v>
                </c:pt>
                <c:pt idx="2524" formatCode="0.00">
                  <c:v>13.052199999999999</c:v>
                </c:pt>
                <c:pt idx="2525" formatCode="0.00">
                  <c:v>7.7293700000000003</c:v>
                </c:pt>
                <c:pt idx="2526" formatCode="0.00">
                  <c:v>6.3420500000000004</c:v>
                </c:pt>
                <c:pt idx="2527" formatCode="0.00">
                  <c:v>3.85053</c:v>
                </c:pt>
                <c:pt idx="2528" formatCode="0.00">
                  <c:v>2.2452000000000001</c:v>
                </c:pt>
                <c:pt idx="2529" formatCode="0.00">
                  <c:v>1.71858</c:v>
                </c:pt>
                <c:pt idx="2530" formatCode="0.00">
                  <c:v>1.17781</c:v>
                </c:pt>
                <c:pt idx="2531" formatCode="0.00">
                  <c:v>3.9071500000000001</c:v>
                </c:pt>
                <c:pt idx="2532" formatCode="0.00">
                  <c:v>6.2571099999999999</c:v>
                </c:pt>
                <c:pt idx="2533" formatCode="0.00">
                  <c:v>7.3896199999999999</c:v>
                </c:pt>
                <c:pt idx="2534" formatCode="0.00">
                  <c:v>18.318300000000001</c:v>
                </c:pt>
                <c:pt idx="2535" formatCode="0.00">
                  <c:v>15.119</c:v>
                </c:pt>
                <c:pt idx="2536" formatCode="0.00">
                  <c:v>14.241300000000001</c:v>
                </c:pt>
                <c:pt idx="2537" formatCode="0.00">
                  <c:v>11.2401</c:v>
                </c:pt>
                <c:pt idx="2538" formatCode="0.00">
                  <c:v>14.779199999999999</c:v>
                </c:pt>
                <c:pt idx="2539" formatCode="0.00">
                  <c:v>6.5402300000000002</c:v>
                </c:pt>
                <c:pt idx="2540" formatCode="0.00">
                  <c:v>3.0577700000000001</c:v>
                </c:pt>
                <c:pt idx="2541" formatCode="0.00">
                  <c:v>1.1268499999999999</c:v>
                </c:pt>
                <c:pt idx="2542" formatCode="0.00">
                  <c:v>2.01586</c:v>
                </c:pt>
                <c:pt idx="2543" formatCode="0.00">
                  <c:v>9.0883800000000008</c:v>
                </c:pt>
                <c:pt idx="2544" formatCode="0.00">
                  <c:v>8.8335600000000003</c:v>
                </c:pt>
                <c:pt idx="2545" formatCode="0.00">
                  <c:v>8.5787499999999994</c:v>
                </c:pt>
                <c:pt idx="2546" formatCode="0.00">
                  <c:v>9.7395700000000005</c:v>
                </c:pt>
                <c:pt idx="2547" formatCode="0.00">
                  <c:v>7.53118</c:v>
                </c:pt>
                <c:pt idx="2548" formatCode="0.00">
                  <c:v>2.3244699999999998</c:v>
                </c:pt>
                <c:pt idx="2549" formatCode="0.00">
                  <c:v>1.34768</c:v>
                </c:pt>
                <c:pt idx="2550" formatCode="0.00">
                  <c:v>1.8374900000000001</c:v>
                </c:pt>
                <c:pt idx="2551" formatCode="0.00">
                  <c:v>4.2469099999999997</c:v>
                </c:pt>
                <c:pt idx="2552" formatCode="0.00">
                  <c:v>3.8222100000000001</c:v>
                </c:pt>
                <c:pt idx="2553" formatCode="0.00">
                  <c:v>17.0442</c:v>
                </c:pt>
                <c:pt idx="2554" formatCode="0.00">
                  <c:v>15.2889</c:v>
                </c:pt>
                <c:pt idx="2555" formatCode="0.00">
                  <c:v>9.5980100000000004</c:v>
                </c:pt>
                <c:pt idx="2556" formatCode="0.00">
                  <c:v>1.7270700000000001</c:v>
                </c:pt>
                <c:pt idx="2557" formatCode="0.00">
                  <c:v>0.67666999999999999</c:v>
                </c:pt>
                <c:pt idx="2558" formatCode="0.00">
                  <c:v>281.428</c:v>
                </c:pt>
                <c:pt idx="2559" formatCode="0.00">
                  <c:v>281.428</c:v>
                </c:pt>
                <c:pt idx="2560" formatCode="0.00">
                  <c:v>328.42700000000002</c:v>
                </c:pt>
                <c:pt idx="2561" formatCode="0.00">
                  <c:v>328.42700000000002</c:v>
                </c:pt>
                <c:pt idx="2562" formatCode="0.00">
                  <c:v>225.65199999999999</c:v>
                </c:pt>
                <c:pt idx="2563" formatCode="0.00">
                  <c:v>225.65199999999999</c:v>
                </c:pt>
                <c:pt idx="2564" formatCode="0.00">
                  <c:v>193.376</c:v>
                </c:pt>
                <c:pt idx="2565" formatCode="0.00">
                  <c:v>193.376</c:v>
                </c:pt>
                <c:pt idx="2566" formatCode="0.00">
                  <c:v>138.732</c:v>
                </c:pt>
                <c:pt idx="2567" formatCode="0.00">
                  <c:v>138.732</c:v>
                </c:pt>
                <c:pt idx="2568" formatCode="0.00">
                  <c:v>144.678</c:v>
                </c:pt>
                <c:pt idx="2569" formatCode="0.00">
                  <c:v>144.678</c:v>
                </c:pt>
                <c:pt idx="2570" formatCode="0.00">
                  <c:v>278.88</c:v>
                </c:pt>
                <c:pt idx="2571" formatCode="0.00">
                  <c:v>278.88</c:v>
                </c:pt>
                <c:pt idx="2572" formatCode="0.00">
                  <c:v>277.18099999999998</c:v>
                </c:pt>
                <c:pt idx="2573" formatCode="0.00">
                  <c:v>277.18099999999998</c:v>
                </c:pt>
                <c:pt idx="2574" formatCode="0.00">
                  <c:v>192.52600000000001</c:v>
                </c:pt>
                <c:pt idx="2575" formatCode="0.00">
                  <c:v>192.52600000000001</c:v>
                </c:pt>
                <c:pt idx="2576" formatCode="0.00">
                  <c:v>189.69499999999999</c:v>
                </c:pt>
                <c:pt idx="2577" formatCode="0.00">
                  <c:v>189.69499999999999</c:v>
                </c:pt>
                <c:pt idx="2578" formatCode="0.00">
                  <c:v>181.768</c:v>
                </c:pt>
                <c:pt idx="2579" formatCode="0.00">
                  <c:v>181.768</c:v>
                </c:pt>
                <c:pt idx="2580" formatCode="0.00">
                  <c:v>136.46700000000001</c:v>
                </c:pt>
                <c:pt idx="2581" formatCode="0.00">
                  <c:v>136.46700000000001</c:v>
                </c:pt>
                <c:pt idx="2582" formatCode="0.00">
                  <c:v>137.6</c:v>
                </c:pt>
                <c:pt idx="2583" formatCode="0.00">
                  <c:v>137.6</c:v>
                </c:pt>
                <c:pt idx="2584" formatCode="0.00">
                  <c:v>127.973</c:v>
                </c:pt>
                <c:pt idx="2585" formatCode="0.00">
                  <c:v>127.973</c:v>
                </c:pt>
                <c:pt idx="2586" formatCode="0.00">
                  <c:v>142.41300000000001</c:v>
                </c:pt>
                <c:pt idx="2587" formatCode="0.00">
                  <c:v>142.41300000000001</c:v>
                </c:pt>
                <c:pt idx="2588" formatCode="0.00">
                  <c:v>114.95</c:v>
                </c:pt>
                <c:pt idx="2589" formatCode="0.00">
                  <c:v>114.95</c:v>
                </c:pt>
                <c:pt idx="2590" formatCode="0.00">
                  <c:v>214.327</c:v>
                </c:pt>
                <c:pt idx="2591" formatCode="0.00">
                  <c:v>214.327</c:v>
                </c:pt>
                <c:pt idx="2592" formatCode="0.00">
                  <c:v>110.703</c:v>
                </c:pt>
                <c:pt idx="2593" formatCode="0.00">
                  <c:v>110.703</c:v>
                </c:pt>
                <c:pt idx="2594" formatCode="0.00">
                  <c:v>137.6</c:v>
                </c:pt>
                <c:pt idx="2595" formatCode="0.00">
                  <c:v>137.6</c:v>
                </c:pt>
                <c:pt idx="2596" formatCode="0.00">
                  <c:v>241.50700000000001</c:v>
                </c:pt>
                <c:pt idx="2597" formatCode="0.00">
                  <c:v>241.50700000000001</c:v>
                </c:pt>
                <c:pt idx="2598" formatCode="0.00">
                  <c:v>254.81399999999999</c:v>
                </c:pt>
                <c:pt idx="2599" formatCode="0.00">
                  <c:v>254.81399999999999</c:v>
                </c:pt>
                <c:pt idx="2600" formatCode="0.00">
                  <c:v>199.03800000000001</c:v>
                </c:pt>
                <c:pt idx="2601" formatCode="0.00">
                  <c:v>199.03800000000001</c:v>
                </c:pt>
                <c:pt idx="2602" formatCode="0.00">
                  <c:v>246.03700000000001</c:v>
                </c:pt>
                <c:pt idx="2603" formatCode="0.00">
                  <c:v>246.03700000000001</c:v>
                </c:pt>
                <c:pt idx="2604" formatCode="0.00">
                  <c:v>247.453</c:v>
                </c:pt>
                <c:pt idx="2605" formatCode="0.00">
                  <c:v>247.453</c:v>
                </c:pt>
                <c:pt idx="2606" formatCode="0.00">
                  <c:v>243.77199999999999</c:v>
                </c:pt>
                <c:pt idx="2607" formatCode="0.00">
                  <c:v>243.77199999999999</c:v>
                </c:pt>
                <c:pt idx="2608" formatCode="0.00">
                  <c:v>311.44</c:v>
                </c:pt>
                <c:pt idx="2609" formatCode="0.00">
                  <c:v>311.44</c:v>
                </c:pt>
                <c:pt idx="2610" formatCode="0.00">
                  <c:v>305.77699999999999</c:v>
                </c:pt>
                <c:pt idx="2611" formatCode="0.00">
                  <c:v>305.77699999999999</c:v>
                </c:pt>
                <c:pt idx="2612" formatCode="0.00">
                  <c:v>317.10199999999998</c:v>
                </c:pt>
                <c:pt idx="2613" formatCode="0.00">
                  <c:v>317.10199999999998</c:v>
                </c:pt>
                <c:pt idx="2614" formatCode="0.00">
                  <c:v>274.63299999999998</c:v>
                </c:pt>
                <c:pt idx="2615" formatCode="0.00">
                  <c:v>274.63299999999998</c:v>
                </c:pt>
                <c:pt idx="2616" formatCode="0.00">
                  <c:v>216.02600000000001</c:v>
                </c:pt>
                <c:pt idx="2617" formatCode="0.00">
                  <c:v>216.02600000000001</c:v>
                </c:pt>
                <c:pt idx="2618" formatCode="0.00">
                  <c:v>174.40600000000001</c:v>
                </c:pt>
                <c:pt idx="2619" formatCode="0.00">
                  <c:v>174.40600000000001</c:v>
                </c:pt>
                <c:pt idx="2620" formatCode="0.00">
                  <c:v>151.756</c:v>
                </c:pt>
                <c:pt idx="2621" formatCode="0.00">
                  <c:v>151.756</c:v>
                </c:pt>
                <c:pt idx="2622" formatCode="0.00">
                  <c:v>131.93700000000001</c:v>
                </c:pt>
                <c:pt idx="2623" formatCode="0.00">
                  <c:v>131.93700000000001</c:v>
                </c:pt>
                <c:pt idx="2624" formatCode="0.00">
                  <c:v>495.47199999999998</c:v>
                </c:pt>
                <c:pt idx="2625" formatCode="0.00">
                  <c:v>495.47199999999998</c:v>
                </c:pt>
                <c:pt idx="2626" formatCode="0.00">
                  <c:v>373.72800000000001</c:v>
                </c:pt>
                <c:pt idx="2627" formatCode="0.00">
                  <c:v>373.72800000000001</c:v>
                </c:pt>
                <c:pt idx="2628" formatCode="0.00">
                  <c:v>758.78</c:v>
                </c:pt>
                <c:pt idx="2629" formatCode="0.00">
                  <c:v>753.11800000000005</c:v>
                </c:pt>
                <c:pt idx="2630" formatCode="0.00">
                  <c:v>10.787100000000001</c:v>
                </c:pt>
                <c:pt idx="2631" formatCode="0.00">
                  <c:v>3.9920900000000001</c:v>
                </c:pt>
                <c:pt idx="2632" formatCode="0.00">
                  <c:v>6.3986700000000001</c:v>
                </c:pt>
                <c:pt idx="2633" formatCode="0.00">
                  <c:v>7.4745499999999998</c:v>
                </c:pt>
                <c:pt idx="2634" formatCode="0.00">
                  <c:v>2.3811</c:v>
                </c:pt>
                <c:pt idx="2635" formatCode="0.00">
                  <c:v>4.6432799999999999</c:v>
                </c:pt>
                <c:pt idx="2636" formatCode="0.00">
                  <c:v>4.5583400000000003</c:v>
                </c:pt>
                <c:pt idx="2637" formatCode="0.00">
                  <c:v>4.0204000000000004</c:v>
                </c:pt>
                <c:pt idx="2638" formatCode="0.00">
                  <c:v>12.882300000000001</c:v>
                </c:pt>
                <c:pt idx="2639" formatCode="0.00">
                  <c:v>6.3420500000000004</c:v>
                </c:pt>
                <c:pt idx="2640" formatCode="0.00">
                  <c:v>3.8788399999999998</c:v>
                </c:pt>
                <c:pt idx="2641" formatCode="0.00">
                  <c:v>6.0022900000000003</c:v>
                </c:pt>
                <c:pt idx="2642" formatCode="0.00">
                  <c:v>2.7718099999999999</c:v>
                </c:pt>
                <c:pt idx="2643" formatCode="0.00">
                  <c:v>3.85053</c:v>
                </c:pt>
                <c:pt idx="2644" formatCode="0.00">
                  <c:v>6.5119199999999999</c:v>
                </c:pt>
                <c:pt idx="2645" formatCode="0.00">
                  <c:v>5.0396599999999996</c:v>
                </c:pt>
                <c:pt idx="2646" formatCode="0.00">
                  <c:v>5.4360400000000002</c:v>
                </c:pt>
                <c:pt idx="2647" formatCode="0.00">
                  <c:v>5.9456699999999998</c:v>
                </c:pt>
                <c:pt idx="2648" formatCode="0.00">
                  <c:v>2.8595799999999998</c:v>
                </c:pt>
                <c:pt idx="2649" formatCode="0.00">
                  <c:v>2.6444100000000001</c:v>
                </c:pt>
                <c:pt idx="2650" formatCode="0.00">
                  <c:v>2.4037500000000001</c:v>
                </c:pt>
                <c:pt idx="2651" formatCode="0.00">
                  <c:v>1.8006899999999999</c:v>
                </c:pt>
                <c:pt idx="2652" formatCode="0.00">
                  <c:v>0.75878000000000001</c:v>
                </c:pt>
                <c:pt idx="2653" formatCode="0.00">
                  <c:v>2.17442</c:v>
                </c:pt>
                <c:pt idx="2654" formatCode="0.00">
                  <c:v>2.17442</c:v>
                </c:pt>
                <c:pt idx="2655" formatCode="0.00">
                  <c:v>2.2027299999999999</c:v>
                </c:pt>
                <c:pt idx="2656" formatCode="0.00">
                  <c:v>2.2027299999999999</c:v>
                </c:pt>
                <c:pt idx="2657" formatCode="0.00">
                  <c:v>2.9728300000000001</c:v>
                </c:pt>
                <c:pt idx="2658" formatCode="0.00">
                  <c:v>2.9728300000000001</c:v>
                </c:pt>
                <c:pt idx="2659" formatCode="0.00">
                  <c:v>4.3035300000000003</c:v>
                </c:pt>
                <c:pt idx="2660" formatCode="0.00">
                  <c:v>4.3035300000000003</c:v>
                </c:pt>
                <c:pt idx="2661" formatCode="0.00">
                  <c:v>3.9920900000000001</c:v>
                </c:pt>
                <c:pt idx="2662" formatCode="0.00">
                  <c:v>3.9920900000000001</c:v>
                </c:pt>
                <c:pt idx="2663" formatCode="0.00">
                  <c:v>4.9264099999999997</c:v>
                </c:pt>
                <c:pt idx="2664" formatCode="0.00">
                  <c:v>4.9264099999999997</c:v>
                </c:pt>
                <c:pt idx="2665" formatCode="0.00">
                  <c:v>7.3896199999999999</c:v>
                </c:pt>
                <c:pt idx="2666" formatCode="0.00">
                  <c:v>7.3896199999999999</c:v>
                </c:pt>
                <c:pt idx="2667" formatCode="0.00">
                  <c:v>9.06006</c:v>
                </c:pt>
                <c:pt idx="2668" formatCode="0.00">
                  <c:v>9.06006</c:v>
                </c:pt>
                <c:pt idx="2669" formatCode="0.00">
                  <c:v>9.6263199999999998</c:v>
                </c:pt>
                <c:pt idx="2670" formatCode="0.00">
                  <c:v>9.6263199999999998</c:v>
                </c:pt>
                <c:pt idx="2671" formatCode="0.00">
                  <c:v>6.7101100000000002</c:v>
                </c:pt>
                <c:pt idx="2672" formatCode="0.00">
                  <c:v>6.7101100000000002</c:v>
                </c:pt>
                <c:pt idx="2673" formatCode="0.00">
                  <c:v>5.0962899999999998</c:v>
                </c:pt>
                <c:pt idx="2674" formatCode="0.00">
                  <c:v>5.0962899999999998</c:v>
                </c:pt>
                <c:pt idx="2675" formatCode="0.00">
                  <c:v>4.27522</c:v>
                </c:pt>
                <c:pt idx="2676" formatCode="0.00">
                  <c:v>4.27522</c:v>
                </c:pt>
                <c:pt idx="2677" formatCode="0.00">
                  <c:v>4.3601599999999996</c:v>
                </c:pt>
                <c:pt idx="2678" formatCode="0.00">
                  <c:v>4.3601599999999996</c:v>
                </c:pt>
                <c:pt idx="2679" formatCode="0.00">
                  <c:v>5.1812199999999997</c:v>
                </c:pt>
                <c:pt idx="2680" formatCode="0.00">
                  <c:v>5.1812199999999997</c:v>
                </c:pt>
                <c:pt idx="2681" formatCode="0.00">
                  <c:v>4.6432799999999999</c:v>
                </c:pt>
                <c:pt idx="2682" formatCode="0.00">
                  <c:v>4.6432799999999999</c:v>
                </c:pt>
                <c:pt idx="2683" formatCode="0.00">
                  <c:v>3.5107699999999999</c:v>
                </c:pt>
                <c:pt idx="2684" formatCode="0.00">
                  <c:v>3.3975200000000001</c:v>
                </c:pt>
                <c:pt idx="2685" formatCode="0.00">
                  <c:v>3.5674000000000001</c:v>
                </c:pt>
                <c:pt idx="2686" formatCode="0.00">
                  <c:v>3.5674000000000001</c:v>
                </c:pt>
                <c:pt idx="2687" formatCode="0.00">
                  <c:v>2.4632100000000001</c:v>
                </c:pt>
                <c:pt idx="2688" formatCode="0.00">
                  <c:v>2.4632100000000001</c:v>
                </c:pt>
                <c:pt idx="2689" formatCode="0.00">
                  <c:v>2.25935</c:v>
                </c:pt>
                <c:pt idx="2690" formatCode="0.00">
                  <c:v>2.25935</c:v>
                </c:pt>
                <c:pt idx="2691" formatCode="0.00">
                  <c:v>1.8006899999999999</c:v>
                </c:pt>
                <c:pt idx="2692" formatCode="0.00">
                  <c:v>1.8006899999999999</c:v>
                </c:pt>
                <c:pt idx="2693" formatCode="0.00">
                  <c:v>1.95641</c:v>
                </c:pt>
                <c:pt idx="2694" formatCode="0.00">
                  <c:v>1.95641</c:v>
                </c:pt>
                <c:pt idx="2695" formatCode="0.00">
                  <c:v>3.3125900000000001</c:v>
                </c:pt>
                <c:pt idx="2696" formatCode="0.00">
                  <c:v>5.9456699999999998</c:v>
                </c:pt>
                <c:pt idx="2697" formatCode="0.00">
                  <c:v>5.9456699999999998</c:v>
                </c:pt>
                <c:pt idx="2698" formatCode="0.00">
                  <c:v>5.3510999999999997</c:v>
                </c:pt>
                <c:pt idx="2699" formatCode="0.00">
                  <c:v>5.3510999999999997</c:v>
                </c:pt>
                <c:pt idx="2700" formatCode="0.00">
                  <c:v>6.1721700000000004</c:v>
                </c:pt>
                <c:pt idx="2701" formatCode="0.00">
                  <c:v>6.1721700000000004</c:v>
                </c:pt>
                <c:pt idx="2702" formatCode="0.00">
                  <c:v>4.7848499999999996</c:v>
                </c:pt>
                <c:pt idx="2703" formatCode="0.00">
                  <c:v>4.7848499999999996</c:v>
                </c:pt>
                <c:pt idx="2704" formatCode="0.00">
                  <c:v>3.3409</c:v>
                </c:pt>
                <c:pt idx="2705" formatCode="0.00">
                  <c:v>3.3409</c:v>
                </c:pt>
                <c:pt idx="2706" formatCode="0.00">
                  <c:v>7.5028699999999997</c:v>
                </c:pt>
                <c:pt idx="2707" formatCode="0.00">
                  <c:v>7.5028699999999997</c:v>
                </c:pt>
                <c:pt idx="2708" formatCode="0.00">
                  <c:v>6.3986700000000001</c:v>
                </c:pt>
                <c:pt idx="2709" formatCode="0.00">
                  <c:v>6.3986700000000001</c:v>
                </c:pt>
                <c:pt idx="2710" formatCode="0.00">
                  <c:v>7.78599</c:v>
                </c:pt>
                <c:pt idx="2711" formatCode="0.00">
                  <c:v>7.78599</c:v>
                </c:pt>
                <c:pt idx="2712" formatCode="0.00">
                  <c:v>7.53118</c:v>
                </c:pt>
                <c:pt idx="2713" formatCode="0.00">
                  <c:v>7.53118</c:v>
                </c:pt>
                <c:pt idx="2714" formatCode="0.00">
                  <c:v>8.9468099999999993</c:v>
                </c:pt>
                <c:pt idx="2715" formatCode="0.00">
                  <c:v>8.9468099999999993</c:v>
                </c:pt>
                <c:pt idx="2716" formatCode="0.00">
                  <c:v>7.6727400000000001</c:v>
                </c:pt>
                <c:pt idx="2717" formatCode="0.00">
                  <c:v>7.6727400000000001</c:v>
                </c:pt>
                <c:pt idx="2718" formatCode="0.00">
                  <c:v>6.2571099999999999</c:v>
                </c:pt>
                <c:pt idx="2719" formatCode="0.00">
                  <c:v>6.2571099999999999</c:v>
                </c:pt>
                <c:pt idx="2720" formatCode="0.00">
                  <c:v>4.2185899999999998</c:v>
                </c:pt>
                <c:pt idx="2721" formatCode="0.00">
                  <c:v>4.2185899999999998</c:v>
                </c:pt>
                <c:pt idx="2722" formatCode="0.00">
                  <c:v>4.1336500000000003</c:v>
                </c:pt>
                <c:pt idx="2723" formatCode="0.00">
                  <c:v>4.1336500000000003</c:v>
                </c:pt>
                <c:pt idx="2724" formatCode="0.00">
                  <c:v>5.0679699999999999</c:v>
                </c:pt>
                <c:pt idx="2725" formatCode="0.00">
                  <c:v>5.0679699999999999</c:v>
                </c:pt>
                <c:pt idx="2726" formatCode="0.00">
                  <c:v>4.1336500000000003</c:v>
                </c:pt>
                <c:pt idx="2727" formatCode="0.00">
                  <c:v>4.1336500000000003</c:v>
                </c:pt>
                <c:pt idx="2728" formatCode="0.00">
                  <c:v>2.7718099999999999</c:v>
                </c:pt>
                <c:pt idx="2729" formatCode="0.00">
                  <c:v>2.7718099999999999</c:v>
                </c:pt>
                <c:pt idx="2730" formatCode="0.00">
                  <c:v>2.6755499999999999</c:v>
                </c:pt>
                <c:pt idx="2731" formatCode="0.00">
                  <c:v>2.6755499999999999</c:v>
                </c:pt>
                <c:pt idx="2732" formatCode="0.00">
                  <c:v>1.8261700000000001</c:v>
                </c:pt>
                <c:pt idx="2733" formatCode="0.00">
                  <c:v>1.8261700000000001</c:v>
                </c:pt>
                <c:pt idx="2734" formatCode="0.00">
                  <c:v>14.7509</c:v>
                </c:pt>
                <c:pt idx="2735" formatCode="0.00">
                  <c:v>14.7509</c:v>
                </c:pt>
                <c:pt idx="2736" formatCode="0.00">
                  <c:v>22.338699999999999</c:v>
                </c:pt>
                <c:pt idx="2737" formatCode="0.00">
                  <c:v>22.338699999999999</c:v>
                </c:pt>
                <c:pt idx="2738" formatCode="0.00">
                  <c:v>22.905000000000001</c:v>
                </c:pt>
                <c:pt idx="2739" formatCode="0.00">
                  <c:v>22.905000000000001</c:v>
                </c:pt>
                <c:pt idx="2740" formatCode="0.00">
                  <c:v>16.223199999999999</c:v>
                </c:pt>
                <c:pt idx="2741" formatCode="0.00">
                  <c:v>16.223199999999999</c:v>
                </c:pt>
                <c:pt idx="2742" formatCode="0.00">
                  <c:v>3.5674000000000001</c:v>
                </c:pt>
                <c:pt idx="2743" formatCode="0.00">
                  <c:v>3.68065</c:v>
                </c:pt>
                <c:pt idx="2744" formatCode="0.00">
                  <c:v>7.8143099999999999</c:v>
                </c:pt>
                <c:pt idx="2745" formatCode="0.00">
                  <c:v>4.1336500000000003</c:v>
                </c:pt>
                <c:pt idx="2746" formatCode="0.00">
                  <c:v>8.6070600000000006</c:v>
                </c:pt>
                <c:pt idx="2747" formatCode="0.00">
                  <c:v>6.0872299999999999</c:v>
                </c:pt>
                <c:pt idx="2748" formatCode="0.00">
                  <c:v>2.0356800000000002</c:v>
                </c:pt>
                <c:pt idx="2749" formatCode="0.00">
                  <c:v>1.4552700000000001</c:v>
                </c:pt>
                <c:pt idx="2750" formatCode="0.00">
                  <c:v>1.4920800000000001</c:v>
                </c:pt>
                <c:pt idx="2751" formatCode="0.00">
                  <c:v>0.37656000000000001</c:v>
                </c:pt>
                <c:pt idx="2752" formatCode="0.00">
                  <c:v>0.50112999999999996</c:v>
                </c:pt>
                <c:pt idx="2753" formatCode="0.00">
                  <c:v>4.8414700000000002</c:v>
                </c:pt>
                <c:pt idx="2754" formatCode="0.00">
                  <c:v>2.67272</c:v>
                </c:pt>
                <c:pt idx="2755" formatCode="0.00">
                  <c:v>1.86581</c:v>
                </c:pt>
                <c:pt idx="2756" formatCode="0.00">
                  <c:v>2.4320599999999999</c:v>
                </c:pt>
                <c:pt idx="2757" formatCode="0.00">
                  <c:v>1.6364700000000001</c:v>
                </c:pt>
                <c:pt idx="2758" formatCode="0.00">
                  <c:v>1.2712399999999999</c:v>
                </c:pt>
                <c:pt idx="2759" formatCode="0.00">
                  <c:v>0.34825</c:v>
                </c:pt>
                <c:pt idx="2760" formatCode="0.00">
                  <c:v>4.6149699999999996</c:v>
                </c:pt>
                <c:pt idx="2761" formatCode="0.00">
                  <c:v>4.7848499999999996</c:v>
                </c:pt>
                <c:pt idx="2762" formatCode="0.00">
                  <c:v>6.0306100000000002</c:v>
                </c:pt>
                <c:pt idx="2763" formatCode="0.00">
                  <c:v>7.7576799999999997</c:v>
                </c:pt>
                <c:pt idx="2764" formatCode="0.00">
                  <c:v>9.7395700000000005</c:v>
                </c:pt>
                <c:pt idx="2765" formatCode="0.00">
                  <c:v>8.5221199999999993</c:v>
                </c:pt>
                <c:pt idx="2766" formatCode="0.00">
                  <c:v>4.6715999999999998</c:v>
                </c:pt>
                <c:pt idx="2767" formatCode="0.00">
                  <c:v>9.5413800000000002</c:v>
                </c:pt>
                <c:pt idx="2768" formatCode="0.00">
                  <c:v>7.3329899999999997</c:v>
                </c:pt>
                <c:pt idx="2769" formatCode="0.00">
                  <c:v>4.7848499999999996</c:v>
                </c:pt>
                <c:pt idx="2770" formatCode="0.00">
                  <c:v>5.1529100000000003</c:v>
                </c:pt>
                <c:pt idx="2771" formatCode="0.00">
                  <c:v>3.5390899999999998</c:v>
                </c:pt>
                <c:pt idx="2772" formatCode="0.00">
                  <c:v>3.2276500000000001</c:v>
                </c:pt>
                <c:pt idx="2773" formatCode="0.00">
                  <c:v>1.31654</c:v>
                </c:pt>
                <c:pt idx="2774" formatCode="0.00">
                  <c:v>0.92583000000000004</c:v>
                </c:pt>
                <c:pt idx="2775" formatCode="0.00">
                  <c:v>0.72197</c:v>
                </c:pt>
                <c:pt idx="2776" formatCode="0.00">
                  <c:v>1.0249200000000001</c:v>
                </c:pt>
                <c:pt idx="2777" formatCode="0.00">
                  <c:v>3.5107699999999999</c:v>
                </c:pt>
                <c:pt idx="2778" formatCode="0.00">
                  <c:v>4.4734100000000003</c:v>
                </c:pt>
                <c:pt idx="2779" formatCode="0.00">
                  <c:v>2.4094099999999998</c:v>
                </c:pt>
                <c:pt idx="2780" formatCode="0.00">
                  <c:v>2.17442</c:v>
                </c:pt>
                <c:pt idx="2781" formatCode="0.00">
                  <c:v>2.8595799999999998</c:v>
                </c:pt>
                <c:pt idx="2782" formatCode="0.00">
                  <c:v>2.3357999999999999</c:v>
                </c:pt>
                <c:pt idx="2783" formatCode="0.00">
                  <c:v>4.2185899999999998</c:v>
                </c:pt>
                <c:pt idx="2784" formatCode="0.00">
                  <c:v>4.6149699999999996</c:v>
                </c:pt>
                <c:pt idx="2785" formatCode="0.00">
                  <c:v>3.3409</c:v>
                </c:pt>
                <c:pt idx="2786" formatCode="0.00">
                  <c:v>5.1812199999999997</c:v>
                </c:pt>
                <c:pt idx="2787" formatCode="0.00">
                  <c:v>10.560600000000001</c:v>
                </c:pt>
                <c:pt idx="2788" formatCode="0.00">
                  <c:v>7.5877999999999997</c:v>
                </c:pt>
                <c:pt idx="2789" formatCode="0.00">
                  <c:v>14.043100000000001</c:v>
                </c:pt>
                <c:pt idx="2790" formatCode="0.00">
                  <c:v>5.8607300000000002</c:v>
                </c:pt>
                <c:pt idx="2791" formatCode="0.00">
                  <c:v>5.1812199999999997</c:v>
                </c:pt>
                <c:pt idx="2792" formatCode="0.00">
                  <c:v>1.9394199999999999</c:v>
                </c:pt>
                <c:pt idx="2793" formatCode="0.00">
                  <c:v>1.1919599999999999</c:v>
                </c:pt>
                <c:pt idx="2794" formatCode="0.00">
                  <c:v>1.5090699999999999</c:v>
                </c:pt>
                <c:pt idx="2795" formatCode="0.00">
                  <c:v>1.5090699999999999</c:v>
                </c:pt>
                <c:pt idx="2796" formatCode="0.00">
                  <c:v>2.00454</c:v>
                </c:pt>
                <c:pt idx="2797" formatCode="0.00">
                  <c:v>3.1143999999999998</c:v>
                </c:pt>
                <c:pt idx="2798" formatCode="0.00">
                  <c:v>3.00115</c:v>
                </c:pt>
                <c:pt idx="2799" formatCode="0.00">
                  <c:v>4.7565299999999997</c:v>
                </c:pt>
                <c:pt idx="2800" formatCode="0.00">
                  <c:v>3.4824600000000001</c:v>
                </c:pt>
                <c:pt idx="2801" formatCode="0.00">
                  <c:v>3.00115</c:v>
                </c:pt>
                <c:pt idx="2802" formatCode="0.00">
                  <c:v>2.2395299999999998</c:v>
                </c:pt>
                <c:pt idx="2803" formatCode="0.00">
                  <c:v>2.2395299999999998</c:v>
                </c:pt>
                <c:pt idx="2804" formatCode="0.00">
                  <c:v>1.5402100000000001</c:v>
                </c:pt>
                <c:pt idx="2805" formatCode="0.00">
                  <c:v>0.93998000000000004</c:v>
                </c:pt>
                <c:pt idx="2806" formatCode="0.00">
                  <c:v>0.58323999999999998</c:v>
                </c:pt>
                <c:pt idx="2807" formatCode="0.00">
                  <c:v>2.25935</c:v>
                </c:pt>
                <c:pt idx="2808" formatCode="0.00">
                  <c:v>6.4836099999999997</c:v>
                </c:pt>
                <c:pt idx="2809" formatCode="0.00">
                  <c:v>11.0136</c:v>
                </c:pt>
                <c:pt idx="2810" formatCode="0.00">
                  <c:v>11.098599999999999</c:v>
                </c:pt>
                <c:pt idx="2811" formatCode="0.00">
                  <c:v>8.4088700000000003</c:v>
                </c:pt>
                <c:pt idx="2812" formatCode="0.00">
                  <c:v>13.9298</c:v>
                </c:pt>
                <c:pt idx="2813" formatCode="0.00">
                  <c:v>3.0577700000000001</c:v>
                </c:pt>
                <c:pt idx="2814" formatCode="0.00">
                  <c:v>1.9592400000000001</c:v>
                </c:pt>
                <c:pt idx="2815" formatCode="0.00">
                  <c:v>0.59740000000000004</c:v>
                </c:pt>
                <c:pt idx="2816" formatCode="0.00">
                  <c:v>2.2282099999999998</c:v>
                </c:pt>
                <c:pt idx="2817" formatCode="0.00">
                  <c:v>2.2282099999999998</c:v>
                </c:pt>
                <c:pt idx="2818" formatCode="0.00">
                  <c:v>2.5934400000000002</c:v>
                </c:pt>
                <c:pt idx="2819" formatCode="0.00">
                  <c:v>2.5934400000000002</c:v>
                </c:pt>
                <c:pt idx="2820" formatCode="0.00">
                  <c:v>8.0691199999999998</c:v>
                </c:pt>
                <c:pt idx="2821" formatCode="0.00">
                  <c:v>8.0691199999999998</c:v>
                </c:pt>
                <c:pt idx="2822" formatCode="0.00">
                  <c:v>8.5787499999999994</c:v>
                </c:pt>
                <c:pt idx="2823" formatCode="0.00">
                  <c:v>8.5787499999999994</c:v>
                </c:pt>
                <c:pt idx="2824" formatCode="0.00">
                  <c:v>4.1902799999999996</c:v>
                </c:pt>
                <c:pt idx="2825" formatCode="0.00">
                  <c:v>4.1902799999999996</c:v>
                </c:pt>
                <c:pt idx="2826" formatCode="0.00">
                  <c:v>4.5583400000000003</c:v>
                </c:pt>
                <c:pt idx="2827" formatCode="0.00">
                  <c:v>4.5583400000000003</c:v>
                </c:pt>
                <c:pt idx="2828" formatCode="0.00">
                  <c:v>4.8131599999999999</c:v>
                </c:pt>
                <c:pt idx="2829" formatCode="0.00">
                  <c:v>4.8131599999999999</c:v>
                </c:pt>
                <c:pt idx="2830" formatCode="0.00">
                  <c:v>4.69991</c:v>
                </c:pt>
                <c:pt idx="2831" formatCode="0.00">
                  <c:v>4.69991</c:v>
                </c:pt>
                <c:pt idx="2832" formatCode="0.00">
                  <c:v>4.27522</c:v>
                </c:pt>
                <c:pt idx="2833" formatCode="0.00">
                  <c:v>4.27522</c:v>
                </c:pt>
                <c:pt idx="2834" formatCode="0.00">
                  <c:v>2.83127</c:v>
                </c:pt>
                <c:pt idx="2835" formatCode="0.00">
                  <c:v>2.83127</c:v>
                </c:pt>
                <c:pt idx="2836" formatCode="0.00">
                  <c:v>4.6432799999999999</c:v>
                </c:pt>
                <c:pt idx="2837" formatCode="0.00">
                  <c:v>4.6432799999999999</c:v>
                </c:pt>
                <c:pt idx="2838" formatCode="0.00">
                  <c:v>3.93547</c:v>
                </c:pt>
                <c:pt idx="2839" formatCode="0.00">
                  <c:v>3.93547</c:v>
                </c:pt>
                <c:pt idx="2840" formatCode="0.00">
                  <c:v>3.1143999999999998</c:v>
                </c:pt>
                <c:pt idx="2841" formatCode="0.00">
                  <c:v>3.1143999999999998</c:v>
                </c:pt>
                <c:pt idx="2842" formatCode="0.00">
                  <c:v>3.0294599999999998</c:v>
                </c:pt>
                <c:pt idx="2843" formatCode="0.00">
                  <c:v>3.0294599999999998</c:v>
                </c:pt>
                <c:pt idx="2844" formatCode="0.00">
                  <c:v>2.9445199999999998</c:v>
                </c:pt>
                <c:pt idx="2845" formatCode="0.00">
                  <c:v>2.9445199999999998</c:v>
                </c:pt>
                <c:pt idx="2846" formatCode="0.00">
                  <c:v>2.6783800000000002</c:v>
                </c:pt>
                <c:pt idx="2847" formatCode="0.00">
                  <c:v>2.6783800000000002</c:v>
                </c:pt>
                <c:pt idx="2848" formatCode="0.00">
                  <c:v>2.2282099999999998</c:v>
                </c:pt>
                <c:pt idx="2849" formatCode="0.00">
                  <c:v>2.2282099999999998</c:v>
                </c:pt>
                <c:pt idx="2850" formatCode="0.00">
                  <c:v>2.55097</c:v>
                </c:pt>
                <c:pt idx="2851" formatCode="0.00">
                  <c:v>2.55097</c:v>
                </c:pt>
                <c:pt idx="2852" formatCode="0.00">
                  <c:v>2.1885699999999999</c:v>
                </c:pt>
                <c:pt idx="2853" formatCode="0.00">
                  <c:v>2.1885699999999999</c:v>
                </c:pt>
                <c:pt idx="2854" formatCode="0.00">
                  <c:v>2.0724900000000002</c:v>
                </c:pt>
                <c:pt idx="2855" formatCode="0.00">
                  <c:v>2.0724900000000002</c:v>
                </c:pt>
                <c:pt idx="2856" formatCode="0.00">
                  <c:v>2.14893</c:v>
                </c:pt>
                <c:pt idx="2857" formatCode="0.00">
                  <c:v>2.14893</c:v>
                </c:pt>
                <c:pt idx="2858" formatCode="0.00">
                  <c:v>1.7780400000000001</c:v>
                </c:pt>
                <c:pt idx="2859" formatCode="0.00">
                  <c:v>1.7780400000000001</c:v>
                </c:pt>
                <c:pt idx="2860" formatCode="0.00">
                  <c:v>0.91732999999999998</c:v>
                </c:pt>
                <c:pt idx="2861" formatCode="0.00">
                  <c:v>0.91732999999999998</c:v>
                </c:pt>
                <c:pt idx="2862" formatCode="0.00">
                  <c:v>0.48698000000000002</c:v>
                </c:pt>
                <c:pt idx="2863" formatCode="0.00">
                  <c:v>0.29444999999999999</c:v>
                </c:pt>
                <c:pt idx="2864" formatCode="0.00">
                  <c:v>0.29444999999999999</c:v>
                </c:pt>
                <c:pt idx="2865" formatCode="0.00">
                  <c:v>0.27972999999999998</c:v>
                </c:pt>
                <c:pt idx="2866" formatCode="0.00">
                  <c:v>0.27972999999999998</c:v>
                </c:pt>
                <c:pt idx="2867" formatCode="0.00">
                  <c:v>1.2655799999999999</c:v>
                </c:pt>
                <c:pt idx="2868" formatCode="0.00">
                  <c:v>1.2655799999999999</c:v>
                </c:pt>
                <c:pt idx="2869" formatCode="0.00">
                  <c:v>2.2536900000000002</c:v>
                </c:pt>
                <c:pt idx="2870" formatCode="0.00">
                  <c:v>2.2536900000000002</c:v>
                </c:pt>
                <c:pt idx="2871" formatCode="0.00">
                  <c:v>2.2140499999999999</c:v>
                </c:pt>
                <c:pt idx="2872" formatCode="0.00">
                  <c:v>2.2140499999999999</c:v>
                </c:pt>
                <c:pt idx="2873" formatCode="0.00">
                  <c:v>2.5566399999999998</c:v>
                </c:pt>
                <c:pt idx="2874" formatCode="0.00">
                  <c:v>2.5566399999999998</c:v>
                </c:pt>
                <c:pt idx="2875" formatCode="0.00">
                  <c:v>6.1155400000000002</c:v>
                </c:pt>
                <c:pt idx="2876" formatCode="0.00">
                  <c:v>6.1155400000000002</c:v>
                </c:pt>
                <c:pt idx="2877" formatCode="0.00">
                  <c:v>9.9943799999999996</c:v>
                </c:pt>
                <c:pt idx="2878" formatCode="0.00">
                  <c:v>9.9943799999999996</c:v>
                </c:pt>
                <c:pt idx="2879" formatCode="0.00">
                  <c:v>9.2582500000000003</c:v>
                </c:pt>
                <c:pt idx="2880" formatCode="0.00">
                  <c:v>9.2582500000000003</c:v>
                </c:pt>
                <c:pt idx="2881" formatCode="0.00">
                  <c:v>9.0883800000000008</c:v>
                </c:pt>
                <c:pt idx="2882" formatCode="0.00">
                  <c:v>9.0883800000000008</c:v>
                </c:pt>
                <c:pt idx="2883" formatCode="0.00">
                  <c:v>5.4360400000000002</c:v>
                </c:pt>
                <c:pt idx="2884" formatCode="0.00">
                  <c:v>5.4360400000000002</c:v>
                </c:pt>
                <c:pt idx="2885" formatCode="0.00">
                  <c:v>5.6342299999999996</c:v>
                </c:pt>
                <c:pt idx="2886" formatCode="0.00">
                  <c:v>5.6342299999999996</c:v>
                </c:pt>
                <c:pt idx="2887" formatCode="0.00">
                  <c:v>3.9071500000000001</c:v>
                </c:pt>
                <c:pt idx="2888" formatCode="0.00">
                  <c:v>3.9071500000000001</c:v>
                </c:pt>
                <c:pt idx="2889" formatCode="0.00">
                  <c:v>3.68065</c:v>
                </c:pt>
                <c:pt idx="2890" formatCode="0.00">
                  <c:v>3.68065</c:v>
                </c:pt>
                <c:pt idx="2891" formatCode="0.00">
                  <c:v>2.83127</c:v>
                </c:pt>
                <c:pt idx="2892" formatCode="0.00">
                  <c:v>2.83127</c:v>
                </c:pt>
                <c:pt idx="2893" formatCode="0.00">
                  <c:v>3.7089599999999998</c:v>
                </c:pt>
                <c:pt idx="2894" formatCode="0.00">
                  <c:v>3.7089599999999998</c:v>
                </c:pt>
                <c:pt idx="2895" formatCode="0.00">
                  <c:v>2.5792899999999999</c:v>
                </c:pt>
                <c:pt idx="2896" formatCode="0.00">
                  <c:v>2.5792899999999999</c:v>
                </c:pt>
                <c:pt idx="2897" formatCode="0.00">
                  <c:v>2.59911</c:v>
                </c:pt>
                <c:pt idx="2898" formatCode="0.00">
                  <c:v>2.59911</c:v>
                </c:pt>
                <c:pt idx="2899" formatCode="0.00">
                  <c:v>1.34202</c:v>
                </c:pt>
                <c:pt idx="2900" formatCode="0.00">
                  <c:v>1.34202</c:v>
                </c:pt>
                <c:pt idx="2901" formatCode="0.00">
                  <c:v>4.6715999999999998</c:v>
                </c:pt>
                <c:pt idx="2902" formatCode="0.00">
                  <c:v>4.6715999999999998</c:v>
                </c:pt>
                <c:pt idx="2903" formatCode="0.00">
                  <c:v>1.0192600000000001</c:v>
                </c:pt>
                <c:pt idx="2904" formatCode="0.00">
                  <c:v>1.0192600000000001</c:v>
                </c:pt>
                <c:pt idx="2905" formatCode="0.00">
                  <c:v>0.71631</c:v>
                </c:pt>
                <c:pt idx="2906" formatCode="0.00">
                  <c:v>0.71631</c:v>
                </c:pt>
                <c:pt idx="2907" formatCode="0.00">
                  <c:v>0.59740000000000004</c:v>
                </c:pt>
                <c:pt idx="2908" formatCode="0.00">
                  <c:v>12.825699999999999</c:v>
                </c:pt>
                <c:pt idx="2909" formatCode="0.00">
                  <c:v>7.8709300000000004</c:v>
                </c:pt>
                <c:pt idx="2910" formatCode="0.00">
                  <c:v>7.6727400000000001</c:v>
                </c:pt>
                <c:pt idx="2911" formatCode="0.00">
                  <c:v>13.7883</c:v>
                </c:pt>
                <c:pt idx="2912" formatCode="0.00">
                  <c:v>18.29</c:v>
                </c:pt>
                <c:pt idx="2913" formatCode="0.00">
                  <c:v>4.10534</c:v>
                </c:pt>
                <c:pt idx="2914" formatCode="0.00">
                  <c:v>2.2989899999999999</c:v>
                </c:pt>
                <c:pt idx="2915" formatCode="0.00">
                  <c:v>3.2276500000000001</c:v>
                </c:pt>
                <c:pt idx="2916" formatCode="0.00">
                  <c:v>9.7678799999999999</c:v>
                </c:pt>
                <c:pt idx="2917" formatCode="0.00">
                  <c:v>10.192600000000001</c:v>
                </c:pt>
                <c:pt idx="2918" formatCode="0.00">
                  <c:v>11.126899999999999</c:v>
                </c:pt>
                <c:pt idx="2919" formatCode="0.00">
                  <c:v>13.420199999999999</c:v>
                </c:pt>
                <c:pt idx="2920" formatCode="0.00">
                  <c:v>14.7509</c:v>
                </c:pt>
                <c:pt idx="2921" formatCode="0.00">
                  <c:v>8.5787499999999994</c:v>
                </c:pt>
                <c:pt idx="2922" formatCode="0.00">
                  <c:v>4.1619700000000002</c:v>
                </c:pt>
                <c:pt idx="2923" formatCode="0.00">
                  <c:v>2.8879000000000001</c:v>
                </c:pt>
                <c:pt idx="2924" formatCode="0.00">
                  <c:v>1.6902699999999999</c:v>
                </c:pt>
                <c:pt idx="2925" formatCode="0.00">
                  <c:v>2.5000100000000001</c:v>
                </c:pt>
                <c:pt idx="2926" formatCode="0.00">
                  <c:v>8.9184999999999999</c:v>
                </c:pt>
                <c:pt idx="2927" formatCode="0.00">
                  <c:v>11.6648</c:v>
                </c:pt>
                <c:pt idx="2928" formatCode="0.00">
                  <c:v>7.4745499999999998</c:v>
                </c:pt>
                <c:pt idx="2929" formatCode="0.00">
                  <c:v>4.7848499999999996</c:v>
                </c:pt>
                <c:pt idx="2930" formatCode="0.00">
                  <c:v>2.8595799999999998</c:v>
                </c:pt>
                <c:pt idx="2931" formatCode="0.00">
                  <c:v>1.99038</c:v>
                </c:pt>
                <c:pt idx="2932" formatCode="0.00">
                  <c:v>2.0923099999999999</c:v>
                </c:pt>
                <c:pt idx="2933" formatCode="0.00">
                  <c:v>2.0923099999999999</c:v>
                </c:pt>
                <c:pt idx="2934" formatCode="0.00">
                  <c:v>4.6715999999999998</c:v>
                </c:pt>
                <c:pt idx="2935" formatCode="0.00">
                  <c:v>7.2763600000000004</c:v>
                </c:pt>
                <c:pt idx="2936" formatCode="0.00">
                  <c:v>7.4179300000000001</c:v>
                </c:pt>
                <c:pt idx="2937" formatCode="0.00">
                  <c:v>3.85053</c:v>
                </c:pt>
                <c:pt idx="2938" formatCode="0.00">
                  <c:v>3.1427100000000001</c:v>
                </c:pt>
                <c:pt idx="2939" formatCode="0.00">
                  <c:v>3.59571</c:v>
                </c:pt>
                <c:pt idx="2940" formatCode="0.00">
                  <c:v>3.59571</c:v>
                </c:pt>
                <c:pt idx="2941" formatCode="0.00">
                  <c:v>4.3601599999999996</c:v>
                </c:pt>
                <c:pt idx="2942" formatCode="0.00">
                  <c:v>4.3601599999999996</c:v>
                </c:pt>
                <c:pt idx="2943" formatCode="0.00">
                  <c:v>6.0589199999999996</c:v>
                </c:pt>
                <c:pt idx="2944" formatCode="0.00">
                  <c:v>6.0589199999999996</c:v>
                </c:pt>
                <c:pt idx="2945" formatCode="0.00">
                  <c:v>7.4462400000000004</c:v>
                </c:pt>
                <c:pt idx="2946" formatCode="0.00">
                  <c:v>7.4462400000000004</c:v>
                </c:pt>
                <c:pt idx="2947" formatCode="0.00">
                  <c:v>8.5787499999999994</c:v>
                </c:pt>
                <c:pt idx="2948" formatCode="0.00">
                  <c:v>8.5787499999999994</c:v>
                </c:pt>
                <c:pt idx="2949" formatCode="0.00">
                  <c:v>7.53118</c:v>
                </c:pt>
                <c:pt idx="2950" formatCode="0.00">
                  <c:v>7.53118</c:v>
                </c:pt>
                <c:pt idx="2951" formatCode="0.00">
                  <c:v>7.10649</c:v>
                </c:pt>
                <c:pt idx="2952" formatCode="0.00">
                  <c:v>7.10649</c:v>
                </c:pt>
                <c:pt idx="2953" formatCode="0.00">
                  <c:v>7.10649</c:v>
                </c:pt>
                <c:pt idx="2954" formatCode="0.00">
                  <c:v>6.8799900000000003</c:v>
                </c:pt>
                <c:pt idx="2955" formatCode="0.00">
                  <c:v>6.8799900000000003</c:v>
                </c:pt>
                <c:pt idx="2956" formatCode="0.00">
                  <c:v>6.8799900000000003</c:v>
                </c:pt>
                <c:pt idx="2957" formatCode="0.00">
                  <c:v>5.3227900000000004</c:v>
                </c:pt>
                <c:pt idx="2958" formatCode="0.00">
                  <c:v>5.3227900000000004</c:v>
                </c:pt>
                <c:pt idx="2959" formatCode="0.00">
                  <c:v>5.3227900000000004</c:v>
                </c:pt>
                <c:pt idx="2960" formatCode="0.00">
                  <c:v>4.5017199999999997</c:v>
                </c:pt>
                <c:pt idx="2961" formatCode="0.00">
                  <c:v>4.5866600000000002</c:v>
                </c:pt>
                <c:pt idx="2962" formatCode="0.00">
                  <c:v>4.5866600000000002</c:v>
                </c:pt>
                <c:pt idx="2963" formatCode="0.00">
                  <c:v>4.8697800000000004</c:v>
                </c:pt>
                <c:pt idx="2964" formatCode="0.00">
                  <c:v>4.8697800000000004</c:v>
                </c:pt>
                <c:pt idx="2965" formatCode="0.00">
                  <c:v>6.7667400000000004</c:v>
                </c:pt>
                <c:pt idx="2966" formatCode="0.00">
                  <c:v>6.7667400000000004</c:v>
                </c:pt>
                <c:pt idx="2967" formatCode="0.00">
                  <c:v>4.9264099999999997</c:v>
                </c:pt>
                <c:pt idx="2968" formatCode="0.00">
                  <c:v>4.9264099999999997</c:v>
                </c:pt>
                <c:pt idx="2969" formatCode="0.00">
                  <c:v>5.1529100000000003</c:v>
                </c:pt>
                <c:pt idx="2970" formatCode="0.00">
                  <c:v>5.1529100000000003</c:v>
                </c:pt>
                <c:pt idx="2971" formatCode="0.00">
                  <c:v>4.6715999999999998</c:v>
                </c:pt>
                <c:pt idx="2972" formatCode="0.00">
                  <c:v>4.6715999999999998</c:v>
                </c:pt>
                <c:pt idx="2973" formatCode="0.00">
                  <c:v>4.3318399999999997</c:v>
                </c:pt>
                <c:pt idx="2974" formatCode="0.00">
                  <c:v>4.3318399999999997</c:v>
                </c:pt>
                <c:pt idx="2975" formatCode="0.00">
                  <c:v>3.3692099999999998</c:v>
                </c:pt>
                <c:pt idx="2976" formatCode="0.00">
                  <c:v>3.3692099999999998</c:v>
                </c:pt>
                <c:pt idx="2977" formatCode="0.00">
                  <c:v>2.7265100000000002</c:v>
                </c:pt>
                <c:pt idx="2978" formatCode="0.00">
                  <c:v>2.7265100000000002</c:v>
                </c:pt>
                <c:pt idx="2979" formatCode="0.00">
                  <c:v>2.7944599999999999</c:v>
                </c:pt>
                <c:pt idx="2980" formatCode="0.00">
                  <c:v>2.7944599999999999</c:v>
                </c:pt>
                <c:pt idx="2981" formatCode="0.00">
                  <c:v>2.7944599999999999</c:v>
                </c:pt>
                <c:pt idx="2982" formatCode="0.00">
                  <c:v>2.0130300000000001</c:v>
                </c:pt>
                <c:pt idx="2983" formatCode="0.00">
                  <c:v>2.0130300000000001</c:v>
                </c:pt>
                <c:pt idx="2984" formatCode="0.00">
                  <c:v>0.89185000000000003</c:v>
                </c:pt>
                <c:pt idx="2985" formatCode="0.00">
                  <c:v>0.89185000000000003</c:v>
                </c:pt>
                <c:pt idx="2986" formatCode="0.00">
                  <c:v>5.3227900000000004</c:v>
                </c:pt>
                <c:pt idx="2987" formatCode="0.00">
                  <c:v>5.3227900000000004</c:v>
                </c:pt>
                <c:pt idx="2988" formatCode="0.00">
                  <c:v>6.2571099999999999</c:v>
                </c:pt>
                <c:pt idx="2989" formatCode="0.00">
                  <c:v>6.2571099999999999</c:v>
                </c:pt>
                <c:pt idx="2990" formatCode="0.00">
                  <c:v>7.9275599999999997</c:v>
                </c:pt>
                <c:pt idx="2991" formatCode="0.00">
                  <c:v>7.9275599999999997</c:v>
                </c:pt>
                <c:pt idx="2992" formatCode="0.00">
                  <c:v>7.5877999999999997</c:v>
                </c:pt>
                <c:pt idx="2993" formatCode="0.00">
                  <c:v>7.5877999999999997</c:v>
                </c:pt>
                <c:pt idx="2994" formatCode="0.00">
                  <c:v>7.4745499999999998</c:v>
                </c:pt>
                <c:pt idx="2995" formatCode="0.00">
                  <c:v>7.4745499999999998</c:v>
                </c:pt>
                <c:pt idx="2996" formatCode="0.00">
                  <c:v>9.7961899999999993</c:v>
                </c:pt>
                <c:pt idx="2997" formatCode="0.00">
                  <c:v>9.7961899999999993</c:v>
                </c:pt>
                <c:pt idx="2998" formatCode="0.00">
                  <c:v>14.411199999999999</c:v>
                </c:pt>
                <c:pt idx="2999" formatCode="0.00">
                  <c:v>14.411199999999999</c:v>
                </c:pt>
                <c:pt idx="3000" formatCode="0.00">
                  <c:v>14.7509</c:v>
                </c:pt>
                <c:pt idx="3001" formatCode="0.00">
                  <c:v>14.7509</c:v>
                </c:pt>
                <c:pt idx="3002" formatCode="0.00">
                  <c:v>14.439500000000001</c:v>
                </c:pt>
                <c:pt idx="3003" formatCode="0.00">
                  <c:v>14.439500000000001</c:v>
                </c:pt>
                <c:pt idx="3004" formatCode="0.00">
                  <c:v>13.844900000000001</c:v>
                </c:pt>
                <c:pt idx="3005" formatCode="0.00">
                  <c:v>13.844900000000001</c:v>
                </c:pt>
                <c:pt idx="3006" formatCode="0.00">
                  <c:v>11.919600000000001</c:v>
                </c:pt>
                <c:pt idx="3007" formatCode="0.00">
                  <c:v>11.919600000000001</c:v>
                </c:pt>
                <c:pt idx="3008" formatCode="0.00">
                  <c:v>13.420199999999999</c:v>
                </c:pt>
                <c:pt idx="3009" formatCode="0.00">
                  <c:v>13.420199999999999</c:v>
                </c:pt>
                <c:pt idx="3010" formatCode="0.00">
                  <c:v>16.478000000000002</c:v>
                </c:pt>
                <c:pt idx="3011" formatCode="0.00">
                  <c:v>16.478000000000002</c:v>
                </c:pt>
                <c:pt idx="3012" formatCode="0.00">
                  <c:v>23.244700000000002</c:v>
                </c:pt>
                <c:pt idx="3013" formatCode="0.00">
                  <c:v>23.244700000000002</c:v>
                </c:pt>
                <c:pt idx="3014" formatCode="0.00">
                  <c:v>23.244700000000002</c:v>
                </c:pt>
                <c:pt idx="3015" formatCode="0.00">
                  <c:v>23.244700000000002</c:v>
                </c:pt>
                <c:pt idx="3016" formatCode="0.00">
                  <c:v>16.1099</c:v>
                </c:pt>
                <c:pt idx="3017" formatCode="0.00">
                  <c:v>16.1099</c:v>
                </c:pt>
                <c:pt idx="3018" formatCode="0.00">
                  <c:v>16.1099</c:v>
                </c:pt>
                <c:pt idx="3019" formatCode="0.00">
                  <c:v>13.448499999999999</c:v>
                </c:pt>
                <c:pt idx="3020" formatCode="0.00">
                  <c:v>13.448499999999999</c:v>
                </c:pt>
                <c:pt idx="3021" formatCode="0.00">
                  <c:v>18.714700000000001</c:v>
                </c:pt>
                <c:pt idx="3022" formatCode="0.00">
                  <c:v>18.714700000000001</c:v>
                </c:pt>
                <c:pt idx="3023" formatCode="0.00">
                  <c:v>19.139399999999998</c:v>
                </c:pt>
                <c:pt idx="3024" formatCode="0.00">
                  <c:v>19.139399999999998</c:v>
                </c:pt>
                <c:pt idx="3025" formatCode="0.00">
                  <c:v>16.0533</c:v>
                </c:pt>
                <c:pt idx="3026" formatCode="0.00">
                  <c:v>16.0533</c:v>
                </c:pt>
                <c:pt idx="3027" formatCode="0.00">
                  <c:v>14.014799999999999</c:v>
                </c:pt>
                <c:pt idx="3028" formatCode="0.00">
                  <c:v>14.014799999999999</c:v>
                </c:pt>
                <c:pt idx="3029" formatCode="0.00">
                  <c:v>14.014799999999999</c:v>
                </c:pt>
                <c:pt idx="3030" formatCode="0.00">
                  <c:v>16.0533</c:v>
                </c:pt>
                <c:pt idx="3031" formatCode="0.00">
                  <c:v>16.0533</c:v>
                </c:pt>
                <c:pt idx="3032" formatCode="0.00">
                  <c:v>14.212999999999999</c:v>
                </c:pt>
                <c:pt idx="3033" formatCode="0.00">
                  <c:v>14.212999999999999</c:v>
                </c:pt>
                <c:pt idx="3034" formatCode="0.00">
                  <c:v>11.353400000000001</c:v>
                </c:pt>
                <c:pt idx="3035" formatCode="0.00">
                  <c:v>11.353400000000001</c:v>
                </c:pt>
                <c:pt idx="3036" formatCode="0.00">
                  <c:v>83.522499999999994</c:v>
                </c:pt>
                <c:pt idx="3037" formatCode="0.00">
                  <c:v>84.088700000000003</c:v>
                </c:pt>
                <c:pt idx="3038" formatCode="0.00">
                  <c:v>294.452</c:v>
                </c:pt>
                <c:pt idx="3039" formatCode="0.00">
                  <c:v>297.28300000000002</c:v>
                </c:pt>
                <c:pt idx="3040" formatCode="0.00">
                  <c:v>331.25900000000001</c:v>
                </c:pt>
                <c:pt idx="3041" formatCode="0.00">
                  <c:v>331.25900000000001</c:v>
                </c:pt>
                <c:pt idx="3042" formatCode="0.00">
                  <c:v>382.221</c:v>
                </c:pt>
                <c:pt idx="3043" formatCode="0.00">
                  <c:v>382.221</c:v>
                </c:pt>
                <c:pt idx="3044" formatCode="0.00">
                  <c:v>413.36500000000001</c:v>
                </c:pt>
                <c:pt idx="3045" formatCode="0.00">
                  <c:v>407.70299999999997</c:v>
                </c:pt>
                <c:pt idx="3046" formatCode="0.00">
                  <c:v>433.18400000000003</c:v>
                </c:pt>
                <c:pt idx="3047" formatCode="0.00">
                  <c:v>433.18400000000003</c:v>
                </c:pt>
                <c:pt idx="3048" formatCode="0.00">
                  <c:v>424.69099999999997</c:v>
                </c:pt>
                <c:pt idx="3049" formatCode="0.00">
                  <c:v>419.02800000000002</c:v>
                </c:pt>
                <c:pt idx="3050" formatCode="0.00">
                  <c:v>348.24599999999998</c:v>
                </c:pt>
                <c:pt idx="3051" formatCode="0.00">
                  <c:v>348.24599999999998</c:v>
                </c:pt>
                <c:pt idx="3052" formatCode="0.00">
                  <c:v>336.92099999999999</c:v>
                </c:pt>
                <c:pt idx="3053" formatCode="0.00">
                  <c:v>331.25900000000001</c:v>
                </c:pt>
                <c:pt idx="3054" formatCode="0.00">
                  <c:v>319.93400000000003</c:v>
                </c:pt>
                <c:pt idx="3055" formatCode="0.00">
                  <c:v>319.93400000000003</c:v>
                </c:pt>
                <c:pt idx="3056" formatCode="0.00">
                  <c:v>277.74799999999999</c:v>
                </c:pt>
                <c:pt idx="3057" formatCode="0.00">
                  <c:v>280.57900000000001</c:v>
                </c:pt>
                <c:pt idx="3058" formatCode="0.00">
                  <c:v>250.56700000000001</c:v>
                </c:pt>
                <c:pt idx="3059" formatCode="0.00">
                  <c:v>252.83199999999999</c:v>
                </c:pt>
                <c:pt idx="3060" formatCode="0.00">
                  <c:v>235.845</c:v>
                </c:pt>
                <c:pt idx="3061" formatCode="0.00">
                  <c:v>235.845</c:v>
                </c:pt>
                <c:pt idx="3062" formatCode="0.00">
                  <c:v>250.001</c:v>
                </c:pt>
                <c:pt idx="3063" formatCode="0.00">
                  <c:v>251.983</c:v>
                </c:pt>
                <c:pt idx="3064" formatCode="0.00">
                  <c:v>280.01299999999998</c:v>
                </c:pt>
                <c:pt idx="3065" formatCode="0.00">
                  <c:v>283.12700000000001</c:v>
                </c:pt>
                <c:pt idx="3066" formatCode="0.00">
                  <c:v>308.608</c:v>
                </c:pt>
                <c:pt idx="3067" formatCode="0.00">
                  <c:v>314.27100000000002</c:v>
                </c:pt>
                <c:pt idx="3068" formatCode="0.00">
                  <c:v>342.584</c:v>
                </c:pt>
                <c:pt idx="3069" formatCode="0.00">
                  <c:v>336.92099999999999</c:v>
                </c:pt>
                <c:pt idx="3070" formatCode="0.00">
                  <c:v>317.10199999999998</c:v>
                </c:pt>
                <c:pt idx="3071" formatCode="0.00">
                  <c:v>317.10199999999998</c:v>
                </c:pt>
                <c:pt idx="3072" formatCode="0.00">
                  <c:v>328.42700000000002</c:v>
                </c:pt>
                <c:pt idx="3073" formatCode="0.00">
                  <c:v>328.42700000000002</c:v>
                </c:pt>
                <c:pt idx="3074" formatCode="0.00">
                  <c:v>339.75200000000001</c:v>
                </c:pt>
                <c:pt idx="3075" formatCode="0.00">
                  <c:v>339.75200000000001</c:v>
                </c:pt>
                <c:pt idx="3076" formatCode="0.00">
                  <c:v>317.10199999999998</c:v>
                </c:pt>
                <c:pt idx="3077" formatCode="0.00">
                  <c:v>317.10199999999998</c:v>
                </c:pt>
                <c:pt idx="3078" formatCode="0.00">
                  <c:v>308.608</c:v>
                </c:pt>
                <c:pt idx="3079" formatCode="0.00">
                  <c:v>305.77699999999999</c:v>
                </c:pt>
                <c:pt idx="3080" formatCode="0.00">
                  <c:v>345.41500000000002</c:v>
                </c:pt>
                <c:pt idx="3081" formatCode="0.00">
                  <c:v>342.584</c:v>
                </c:pt>
                <c:pt idx="3082" formatCode="0.00">
                  <c:v>328.42700000000002</c:v>
                </c:pt>
                <c:pt idx="3083" formatCode="0.00">
                  <c:v>325.596</c:v>
                </c:pt>
                <c:pt idx="3084" formatCode="0.00">
                  <c:v>249.15199999999999</c:v>
                </c:pt>
                <c:pt idx="3085" formatCode="0.00">
                  <c:v>246.321</c:v>
                </c:pt>
                <c:pt idx="3086" formatCode="0.00">
                  <c:v>221.68799999999999</c:v>
                </c:pt>
                <c:pt idx="3087" formatCode="0.00">
                  <c:v>221.68799999999999</c:v>
                </c:pt>
                <c:pt idx="3088" formatCode="0.00">
                  <c:v>203.56800000000001</c:v>
                </c:pt>
                <c:pt idx="3089" formatCode="0.00">
                  <c:v>205.55</c:v>
                </c:pt>
                <c:pt idx="3090" formatCode="0.00">
                  <c:v>184.316</c:v>
                </c:pt>
                <c:pt idx="3091" formatCode="0.00">
                  <c:v>183.749</c:v>
                </c:pt>
                <c:pt idx="3092" formatCode="0.00">
                  <c:v>169.876</c:v>
                </c:pt>
                <c:pt idx="3093" formatCode="0.00">
                  <c:v>170.44200000000001</c:v>
                </c:pt>
                <c:pt idx="3094" formatCode="0.00">
                  <c:v>152.322</c:v>
                </c:pt>
                <c:pt idx="3095" formatCode="0.00">
                  <c:v>149.774</c:v>
                </c:pt>
                <c:pt idx="3096" formatCode="0.00">
                  <c:v>141.56399999999999</c:v>
                </c:pt>
                <c:pt idx="3097" formatCode="0.00">
                  <c:v>140.99700000000001</c:v>
                </c:pt>
                <c:pt idx="3098" formatCode="0.00">
                  <c:v>135.61799999999999</c:v>
                </c:pt>
                <c:pt idx="3099" formatCode="0.00">
                  <c:v>139.298</c:v>
                </c:pt>
                <c:pt idx="3100" formatCode="0.00">
                  <c:v>297.28300000000002</c:v>
                </c:pt>
                <c:pt idx="3101" formatCode="0.00">
                  <c:v>300.11500000000001</c:v>
                </c:pt>
                <c:pt idx="3102" formatCode="0.00">
                  <c:v>328.42700000000002</c:v>
                </c:pt>
                <c:pt idx="3103" formatCode="0.00">
                  <c:v>325.596</c:v>
                </c:pt>
                <c:pt idx="3104" formatCode="0.00">
                  <c:v>314.27100000000002</c:v>
                </c:pt>
                <c:pt idx="3105" formatCode="0.00">
                  <c:v>282.56099999999998</c:v>
                </c:pt>
                <c:pt idx="3106" formatCode="0.00">
                  <c:v>196.20699999999999</c:v>
                </c:pt>
                <c:pt idx="3107" formatCode="0.00">
                  <c:v>195.64099999999999</c:v>
                </c:pt>
                <c:pt idx="3108" formatCode="0.00">
                  <c:v>156.286</c:v>
                </c:pt>
                <c:pt idx="3109" formatCode="0.00">
                  <c:v>155.43700000000001</c:v>
                </c:pt>
                <c:pt idx="3110" formatCode="0.00">
                  <c:v>159.684</c:v>
                </c:pt>
                <c:pt idx="3111" formatCode="0.00">
                  <c:v>159.40100000000001</c:v>
                </c:pt>
                <c:pt idx="3112" formatCode="0.00">
                  <c:v>244.339</c:v>
                </c:pt>
                <c:pt idx="3113" formatCode="0.00">
                  <c:v>244.62200000000001</c:v>
                </c:pt>
                <c:pt idx="3114" formatCode="0.00">
                  <c:v>247.73599999999999</c:v>
                </c:pt>
                <c:pt idx="3115" formatCode="0.00">
                  <c:v>246.60400000000001</c:v>
                </c:pt>
                <c:pt idx="3116" formatCode="0.00">
                  <c:v>205.267</c:v>
                </c:pt>
                <c:pt idx="3117" formatCode="0.00">
                  <c:v>204.13499999999999</c:v>
                </c:pt>
                <c:pt idx="3118" formatCode="0.00">
                  <c:v>165.06299999999999</c:v>
                </c:pt>
                <c:pt idx="3119" formatCode="0.00">
                  <c:v>164.214</c:v>
                </c:pt>
                <c:pt idx="3120" formatCode="0.00">
                  <c:v>174.68899999999999</c:v>
                </c:pt>
                <c:pt idx="3121" formatCode="0.00">
                  <c:v>174.12299999999999</c:v>
                </c:pt>
                <c:pt idx="3122" formatCode="0.00">
                  <c:v>142.696</c:v>
                </c:pt>
                <c:pt idx="3123" formatCode="0.00">
                  <c:v>142.13</c:v>
                </c:pt>
                <c:pt idx="3124" formatCode="0.00">
                  <c:v>137.6</c:v>
                </c:pt>
                <c:pt idx="3125" formatCode="0.00">
                  <c:v>137.03299999999999</c:v>
                </c:pt>
                <c:pt idx="3126" formatCode="0.00">
                  <c:v>108.438</c:v>
                </c:pt>
                <c:pt idx="3127" formatCode="0.00">
                  <c:v>108.721</c:v>
                </c:pt>
                <c:pt idx="3128" formatCode="0.00">
                  <c:v>109.28700000000001</c:v>
                </c:pt>
                <c:pt idx="3129" formatCode="0.00">
                  <c:v>108.721</c:v>
                </c:pt>
                <c:pt idx="3130" formatCode="0.00">
                  <c:v>111.83499999999999</c:v>
                </c:pt>
                <c:pt idx="3131" formatCode="0.00">
                  <c:v>112.968</c:v>
                </c:pt>
                <c:pt idx="3132" formatCode="0.00">
                  <c:v>100.79300000000001</c:v>
                </c:pt>
                <c:pt idx="3133" formatCode="0.00">
                  <c:v>101.926</c:v>
                </c:pt>
                <c:pt idx="3134" formatCode="0.00">
                  <c:v>134.768</c:v>
                </c:pt>
                <c:pt idx="3135" formatCode="0.00">
                  <c:v>134.768</c:v>
                </c:pt>
                <c:pt idx="3136" formatCode="0.00">
                  <c:v>181.20099999999999</c:v>
                </c:pt>
                <c:pt idx="3137" formatCode="0.00">
                  <c:v>180.63499999999999</c:v>
                </c:pt>
                <c:pt idx="3138" formatCode="0.00">
                  <c:v>230.749</c:v>
                </c:pt>
                <c:pt idx="3139" formatCode="0.00">
                  <c:v>230.465</c:v>
                </c:pt>
                <c:pt idx="3140" formatCode="0.00">
                  <c:v>274.916</c:v>
                </c:pt>
                <c:pt idx="3141" formatCode="0.00">
                  <c:v>275.19900000000001</c:v>
                </c:pt>
                <c:pt idx="3142" formatCode="0.00">
                  <c:v>218.291</c:v>
                </c:pt>
                <c:pt idx="3143" formatCode="0.00">
                  <c:v>218.00800000000001</c:v>
                </c:pt>
                <c:pt idx="3144" formatCode="0.00">
                  <c:v>251.983</c:v>
                </c:pt>
                <c:pt idx="3145" formatCode="0.00">
                  <c:v>251.13399999999999</c:v>
                </c:pt>
                <c:pt idx="3146" formatCode="0.00">
                  <c:v>242.64</c:v>
                </c:pt>
                <c:pt idx="3147" formatCode="0.00">
                  <c:v>242.923</c:v>
                </c:pt>
                <c:pt idx="3148" formatCode="0.00">
                  <c:v>232.73</c:v>
                </c:pt>
                <c:pt idx="3149" formatCode="0.00">
                  <c:v>232.73</c:v>
                </c:pt>
                <c:pt idx="3150" formatCode="0.00">
                  <c:v>240.941</c:v>
                </c:pt>
                <c:pt idx="3151" formatCode="0.00">
                  <c:v>240.375</c:v>
                </c:pt>
                <c:pt idx="3152" formatCode="0.00">
                  <c:v>252.83199999999999</c:v>
                </c:pt>
                <c:pt idx="3153" formatCode="0.00">
                  <c:v>250.56700000000001</c:v>
                </c:pt>
                <c:pt idx="3154" formatCode="0.00">
                  <c:v>255.66399999999999</c:v>
                </c:pt>
                <c:pt idx="3155" formatCode="0.00">
                  <c:v>256.23</c:v>
                </c:pt>
                <c:pt idx="3156" formatCode="0.00">
                  <c:v>261.32600000000002</c:v>
                </c:pt>
                <c:pt idx="3157" formatCode="0.00">
                  <c:v>263.59100000000001</c:v>
                </c:pt>
                <c:pt idx="3158" formatCode="0.00">
                  <c:v>198.755</c:v>
                </c:pt>
                <c:pt idx="3159" formatCode="0.00">
                  <c:v>198.47200000000001</c:v>
                </c:pt>
                <c:pt idx="3160" formatCode="0.00">
                  <c:v>144.678</c:v>
                </c:pt>
                <c:pt idx="3161" formatCode="0.00">
                  <c:v>144.678</c:v>
                </c:pt>
                <c:pt idx="3162" formatCode="0.00">
                  <c:v>131.93700000000001</c:v>
                </c:pt>
                <c:pt idx="3163" formatCode="0.00">
                  <c:v>132.50299999999999</c:v>
                </c:pt>
                <c:pt idx="3164" formatCode="0.00">
                  <c:v>127.407</c:v>
                </c:pt>
                <c:pt idx="3165" formatCode="0.00">
                  <c:v>126.55800000000001</c:v>
                </c:pt>
                <c:pt idx="3166" formatCode="0.00">
                  <c:v>954.13800000000003</c:v>
                </c:pt>
                <c:pt idx="3167" formatCode="0.00">
                  <c:v>973.95699999999999</c:v>
                </c:pt>
                <c:pt idx="3168" formatCode="0.00">
                  <c:v>416.197</c:v>
                </c:pt>
                <c:pt idx="3169" formatCode="0.00">
                  <c:v>419.02800000000002</c:v>
                </c:pt>
                <c:pt idx="3170" formatCode="0.00">
                  <c:v>928.65700000000004</c:v>
                </c:pt>
                <c:pt idx="3171" formatCode="0.00">
                  <c:v>917.33199999999999</c:v>
                </c:pt>
                <c:pt idx="3172" formatCode="0.00">
                  <c:v>6.7384199999999996</c:v>
                </c:pt>
                <c:pt idx="3173" formatCode="0.00">
                  <c:v>30.860800000000001</c:v>
                </c:pt>
                <c:pt idx="3174" formatCode="0.00">
                  <c:v>28.0579</c:v>
                </c:pt>
                <c:pt idx="3175" formatCode="0.00">
                  <c:v>7.6727400000000001</c:v>
                </c:pt>
                <c:pt idx="3176" formatCode="0.00">
                  <c:v>3.7938999999999998</c:v>
                </c:pt>
                <c:pt idx="3177" formatCode="0.00">
                  <c:v>11.523300000000001</c:v>
                </c:pt>
                <c:pt idx="3178" formatCode="0.00">
                  <c:v>7.1914300000000004</c:v>
                </c:pt>
                <c:pt idx="3179" formatCode="0.00">
                  <c:v>8.8901900000000005</c:v>
                </c:pt>
                <c:pt idx="3180" formatCode="0.00">
                  <c:v>4.0487200000000003</c:v>
                </c:pt>
                <c:pt idx="3181" formatCode="0.00">
                  <c:v>3.0577700000000001</c:v>
                </c:pt>
                <c:pt idx="3182" formatCode="0.00">
                  <c:v>7.6727400000000001</c:v>
                </c:pt>
                <c:pt idx="3183" formatCode="0.00">
                  <c:v>8.9468099999999993</c:v>
                </c:pt>
                <c:pt idx="3184" formatCode="0.00">
                  <c:v>3.7372800000000002</c:v>
                </c:pt>
                <c:pt idx="3185" formatCode="0.00">
                  <c:v>4.95472</c:v>
                </c:pt>
                <c:pt idx="3186" formatCode="0.00">
                  <c:v>14.7226</c:v>
                </c:pt>
                <c:pt idx="3187" formatCode="0.00">
                  <c:v>4.5866600000000002</c:v>
                </c:pt>
                <c:pt idx="3188" formatCode="0.00">
                  <c:v>7.8143099999999999</c:v>
                </c:pt>
                <c:pt idx="3189" formatCode="0.00">
                  <c:v>8.3239300000000007</c:v>
                </c:pt>
                <c:pt idx="3190" formatCode="0.00">
                  <c:v>9.9377600000000008</c:v>
                </c:pt>
                <c:pt idx="3191" formatCode="0.00">
                  <c:v>9.3431899999999999</c:v>
                </c:pt>
                <c:pt idx="3192" formatCode="0.00">
                  <c:v>1.8544799999999999</c:v>
                </c:pt>
                <c:pt idx="3193" formatCode="0.00">
                  <c:v>4.5017199999999997</c:v>
                </c:pt>
                <c:pt idx="3194" formatCode="0.00">
                  <c:v>13.9298</c:v>
                </c:pt>
                <c:pt idx="3195" formatCode="0.00">
                  <c:v>7.3896199999999999</c:v>
                </c:pt>
                <c:pt idx="3196" formatCode="0.00">
                  <c:v>2.4122400000000002</c:v>
                </c:pt>
                <c:pt idx="3197" formatCode="0.00">
                  <c:v>2.0215299999999998</c:v>
                </c:pt>
                <c:pt idx="3198" formatCode="0.00">
                  <c:v>3.3409</c:v>
                </c:pt>
                <c:pt idx="3199" formatCode="0.00">
                  <c:v>17.072600000000001</c:v>
                </c:pt>
                <c:pt idx="3200" formatCode="0.00">
                  <c:v>18.091799999999999</c:v>
                </c:pt>
                <c:pt idx="3201" formatCode="0.00">
                  <c:v>17.072600000000001</c:v>
                </c:pt>
                <c:pt idx="3202" formatCode="0.00">
                  <c:v>11.693099999999999</c:v>
                </c:pt>
                <c:pt idx="3203" formatCode="0.00">
                  <c:v>6.3986700000000001</c:v>
                </c:pt>
                <c:pt idx="3204" formatCode="0.00">
                  <c:v>3.25596</c:v>
                </c:pt>
                <c:pt idx="3205" formatCode="0.00">
                  <c:v>2.5707900000000001</c:v>
                </c:pt>
                <c:pt idx="3206" formatCode="0.00">
                  <c:v>1.48925</c:v>
                </c:pt>
                <c:pt idx="3207" formatCode="0.00">
                  <c:v>1.56569</c:v>
                </c:pt>
                <c:pt idx="3208" formatCode="0.00">
                  <c:v>1.56569</c:v>
                </c:pt>
                <c:pt idx="3209" formatCode="0.00">
                  <c:v>4.3601599999999996</c:v>
                </c:pt>
                <c:pt idx="3210" formatCode="0.00">
                  <c:v>4.3601599999999996</c:v>
                </c:pt>
                <c:pt idx="3211" formatCode="0.00">
                  <c:v>3.76559</c:v>
                </c:pt>
                <c:pt idx="3212" formatCode="0.00">
                  <c:v>3.76559</c:v>
                </c:pt>
                <c:pt idx="3213" formatCode="0.00">
                  <c:v>3.6240299999999999</c:v>
                </c:pt>
                <c:pt idx="3214" formatCode="0.00">
                  <c:v>3.6240299999999999</c:v>
                </c:pt>
                <c:pt idx="3215" formatCode="0.00">
                  <c:v>9.6829400000000003</c:v>
                </c:pt>
                <c:pt idx="3216" formatCode="0.00">
                  <c:v>9.6829400000000003</c:v>
                </c:pt>
                <c:pt idx="3217" formatCode="0.00">
                  <c:v>9.6829400000000003</c:v>
                </c:pt>
                <c:pt idx="3218" formatCode="0.00">
                  <c:v>9.6829400000000003</c:v>
                </c:pt>
                <c:pt idx="3219" formatCode="0.00">
                  <c:v>7.78599</c:v>
                </c:pt>
                <c:pt idx="3220" formatCode="0.00">
                  <c:v>7.78599</c:v>
                </c:pt>
                <c:pt idx="3221" formatCode="0.00">
                  <c:v>6.6534800000000001</c:v>
                </c:pt>
                <c:pt idx="3222" formatCode="0.00">
                  <c:v>6.6534800000000001</c:v>
                </c:pt>
                <c:pt idx="3223" formatCode="0.00">
                  <c:v>7.1348000000000003</c:v>
                </c:pt>
                <c:pt idx="3224" formatCode="0.00">
                  <c:v>7.1348000000000003</c:v>
                </c:pt>
                <c:pt idx="3225" formatCode="0.00">
                  <c:v>8.1823700000000006</c:v>
                </c:pt>
                <c:pt idx="3226" formatCode="0.00">
                  <c:v>8.1823700000000006</c:v>
                </c:pt>
                <c:pt idx="3227" formatCode="0.00">
                  <c:v>7.0215500000000004</c:v>
                </c:pt>
                <c:pt idx="3228" formatCode="0.00">
                  <c:v>7.0215500000000004</c:v>
                </c:pt>
                <c:pt idx="3229" formatCode="0.00">
                  <c:v>6.3986700000000001</c:v>
                </c:pt>
                <c:pt idx="3230" formatCode="0.00">
                  <c:v>6.3986700000000001</c:v>
                </c:pt>
                <c:pt idx="3231" formatCode="0.00">
                  <c:v>2.2989899999999999</c:v>
                </c:pt>
                <c:pt idx="3232" formatCode="0.00">
                  <c:v>2.2989899999999999</c:v>
                </c:pt>
                <c:pt idx="3233" formatCode="0.00">
                  <c:v>1.8063499999999999</c:v>
                </c:pt>
                <c:pt idx="3234" formatCode="0.00">
                  <c:v>1.6053299999999999</c:v>
                </c:pt>
                <c:pt idx="3235" formatCode="0.00">
                  <c:v>6.3137299999999996</c:v>
                </c:pt>
                <c:pt idx="3236" formatCode="0.00">
                  <c:v>6.3137299999999996</c:v>
                </c:pt>
                <c:pt idx="3237" formatCode="0.00">
                  <c:v>5.2378499999999999</c:v>
                </c:pt>
                <c:pt idx="3238" formatCode="0.00">
                  <c:v>5.2378499999999999</c:v>
                </c:pt>
                <c:pt idx="3239" formatCode="0.00">
                  <c:v>5.4077299999999999</c:v>
                </c:pt>
                <c:pt idx="3240" formatCode="0.00">
                  <c:v>5.4077299999999999</c:v>
                </c:pt>
                <c:pt idx="3241" formatCode="0.00">
                  <c:v>4.2185899999999998</c:v>
                </c:pt>
                <c:pt idx="3242" formatCode="0.00">
                  <c:v>4.2185899999999998</c:v>
                </c:pt>
                <c:pt idx="3243" formatCode="0.00">
                  <c:v>3.8222100000000001</c:v>
                </c:pt>
                <c:pt idx="3244" formatCode="0.00">
                  <c:v>3.8222100000000001</c:v>
                </c:pt>
                <c:pt idx="3245" formatCode="0.00">
                  <c:v>2.1574300000000002</c:v>
                </c:pt>
                <c:pt idx="3246" formatCode="0.00">
                  <c:v>1.5203899999999999</c:v>
                </c:pt>
                <c:pt idx="3247" formatCode="0.00">
                  <c:v>0.91449999999999998</c:v>
                </c:pt>
                <c:pt idx="3248" formatCode="0.00">
                  <c:v>2.1291199999999999</c:v>
                </c:pt>
                <c:pt idx="3249" formatCode="0.00">
                  <c:v>1.76671</c:v>
                </c:pt>
                <c:pt idx="3250" formatCode="0.00">
                  <c:v>1.76671</c:v>
                </c:pt>
                <c:pt idx="3251" formatCode="0.00">
                  <c:v>2.58778</c:v>
                </c:pt>
                <c:pt idx="3252" formatCode="0.00">
                  <c:v>2.58778</c:v>
                </c:pt>
                <c:pt idx="3253" formatCode="0.00">
                  <c:v>3.1143999999999998</c:v>
                </c:pt>
                <c:pt idx="3254" formatCode="0.00">
                  <c:v>3.1143999999999998</c:v>
                </c:pt>
                <c:pt idx="3255" formatCode="0.00">
                  <c:v>4.53003</c:v>
                </c:pt>
                <c:pt idx="3256" formatCode="0.00">
                  <c:v>4.53003</c:v>
                </c:pt>
                <c:pt idx="3257" formatCode="0.00">
                  <c:v>3.42584</c:v>
                </c:pt>
                <c:pt idx="3258" formatCode="0.00">
                  <c:v>3.42584</c:v>
                </c:pt>
                <c:pt idx="3259" formatCode="0.00">
                  <c:v>3.3409</c:v>
                </c:pt>
                <c:pt idx="3260" formatCode="0.00">
                  <c:v>3.3409</c:v>
                </c:pt>
                <c:pt idx="3261" formatCode="0.00">
                  <c:v>10.560600000000001</c:v>
                </c:pt>
                <c:pt idx="3262" formatCode="0.00">
                  <c:v>10.560600000000001</c:v>
                </c:pt>
                <c:pt idx="3263" formatCode="0.00">
                  <c:v>9.7961899999999993</c:v>
                </c:pt>
                <c:pt idx="3264" formatCode="0.00">
                  <c:v>9.7961899999999993</c:v>
                </c:pt>
                <c:pt idx="3265" formatCode="0.00">
                  <c:v>14.9208</c:v>
                </c:pt>
                <c:pt idx="3266" formatCode="0.00">
                  <c:v>14.9208</c:v>
                </c:pt>
                <c:pt idx="3267" formatCode="0.00">
                  <c:v>18.063500000000001</c:v>
                </c:pt>
                <c:pt idx="3268" formatCode="0.00">
                  <c:v>18.063500000000001</c:v>
                </c:pt>
                <c:pt idx="3269" formatCode="0.00">
                  <c:v>4.8414700000000002</c:v>
                </c:pt>
                <c:pt idx="3270" formatCode="0.00">
                  <c:v>4.8414700000000002</c:v>
                </c:pt>
                <c:pt idx="3271" formatCode="0.00">
                  <c:v>9.7961899999999993</c:v>
                </c:pt>
                <c:pt idx="3272" formatCode="0.00">
                  <c:v>9.7961899999999993</c:v>
                </c:pt>
                <c:pt idx="3273" formatCode="0.00">
                  <c:v>14.609400000000001</c:v>
                </c:pt>
                <c:pt idx="3274" formatCode="0.00">
                  <c:v>14.609400000000001</c:v>
                </c:pt>
                <c:pt idx="3275" formatCode="0.00">
                  <c:v>15.770200000000001</c:v>
                </c:pt>
                <c:pt idx="3276" formatCode="0.00">
                  <c:v>15.770200000000001</c:v>
                </c:pt>
                <c:pt idx="3277" formatCode="0.00">
                  <c:v>16.534600000000001</c:v>
                </c:pt>
                <c:pt idx="3278" formatCode="0.00">
                  <c:v>16.534600000000001</c:v>
                </c:pt>
                <c:pt idx="3279" formatCode="0.00">
                  <c:v>24.858599999999999</c:v>
                </c:pt>
                <c:pt idx="3280" formatCode="0.00">
                  <c:v>24.858599999999999</c:v>
                </c:pt>
                <c:pt idx="3281" formatCode="0.00">
                  <c:v>16.902699999999999</c:v>
                </c:pt>
                <c:pt idx="3282" formatCode="0.00">
                  <c:v>16.902699999999999</c:v>
                </c:pt>
                <c:pt idx="3283" formatCode="0.00">
                  <c:v>14.1564</c:v>
                </c:pt>
                <c:pt idx="3284" formatCode="0.00">
                  <c:v>14.1564</c:v>
                </c:pt>
                <c:pt idx="3285" formatCode="0.00">
                  <c:v>18.120100000000001</c:v>
                </c:pt>
                <c:pt idx="3286" formatCode="0.00">
                  <c:v>18.120100000000001</c:v>
                </c:pt>
                <c:pt idx="3287" formatCode="0.00">
                  <c:v>15.7135</c:v>
                </c:pt>
                <c:pt idx="3288" formatCode="0.00">
                  <c:v>15.7135</c:v>
                </c:pt>
                <c:pt idx="3289" formatCode="0.00">
                  <c:v>12.825699999999999</c:v>
                </c:pt>
                <c:pt idx="3290" formatCode="0.00">
                  <c:v>12.825699999999999</c:v>
                </c:pt>
                <c:pt idx="3291" formatCode="0.00">
                  <c:v>12.514200000000001</c:v>
                </c:pt>
                <c:pt idx="3292" formatCode="0.00">
                  <c:v>12.514200000000001</c:v>
                </c:pt>
                <c:pt idx="3293" formatCode="0.00">
                  <c:v>5.3510999999999997</c:v>
                </c:pt>
                <c:pt idx="3294" formatCode="0.00">
                  <c:v>5.3510999999999997</c:v>
                </c:pt>
                <c:pt idx="3295" formatCode="0.00">
                  <c:v>7.6727400000000001</c:v>
                </c:pt>
                <c:pt idx="3296" formatCode="0.00">
                  <c:v>7.6727400000000001</c:v>
                </c:pt>
                <c:pt idx="3297" formatCode="0.00">
                  <c:v>3.7938999999999998</c:v>
                </c:pt>
                <c:pt idx="3298" formatCode="0.00">
                  <c:v>3.7938999999999998</c:v>
                </c:pt>
                <c:pt idx="3299" formatCode="0.00">
                  <c:v>2.8086199999999999</c:v>
                </c:pt>
                <c:pt idx="3300" formatCode="0.00">
                  <c:v>2.3782700000000001</c:v>
                </c:pt>
                <c:pt idx="3301" formatCode="0.00">
                  <c:v>3.00115</c:v>
                </c:pt>
                <c:pt idx="3302" formatCode="0.00">
                  <c:v>2.5368200000000001</c:v>
                </c:pt>
                <c:pt idx="3303" formatCode="0.00">
                  <c:v>6.7101100000000002</c:v>
                </c:pt>
                <c:pt idx="3304" formatCode="0.00">
                  <c:v>6.5968600000000004</c:v>
                </c:pt>
                <c:pt idx="3305" formatCode="0.00">
                  <c:v>27.9163</c:v>
                </c:pt>
                <c:pt idx="3306" formatCode="0.00">
                  <c:v>16.194900000000001</c:v>
                </c:pt>
                <c:pt idx="3307" formatCode="0.00">
                  <c:v>16.676200000000001</c:v>
                </c:pt>
                <c:pt idx="3308" formatCode="0.00">
                  <c:v>20.073699999999999</c:v>
                </c:pt>
                <c:pt idx="3309" formatCode="0.00">
                  <c:v>26.783799999999999</c:v>
                </c:pt>
                <c:pt idx="3310" formatCode="0.00">
                  <c:v>13.3636</c:v>
                </c:pt>
                <c:pt idx="3311" formatCode="0.00">
                  <c:v>8.4655000000000005</c:v>
                </c:pt>
                <c:pt idx="3312" formatCode="0.00">
                  <c:v>3.8788399999999998</c:v>
                </c:pt>
                <c:pt idx="3313" formatCode="0.00">
                  <c:v>2.7350099999999999</c:v>
                </c:pt>
                <c:pt idx="3314" formatCode="0.00">
                  <c:v>2.4632100000000001</c:v>
                </c:pt>
                <c:pt idx="3315" formatCode="0.00">
                  <c:v>7.78599</c:v>
                </c:pt>
                <c:pt idx="3316" formatCode="0.00">
                  <c:v>36.8065</c:v>
                </c:pt>
                <c:pt idx="3317" formatCode="0.00">
                  <c:v>23.697700000000001</c:v>
                </c:pt>
                <c:pt idx="3318" formatCode="0.00">
                  <c:v>26.6706</c:v>
                </c:pt>
                <c:pt idx="3319" formatCode="0.00">
                  <c:v>26.4724</c:v>
                </c:pt>
                <c:pt idx="3320" formatCode="0.00">
                  <c:v>19.5641</c:v>
                </c:pt>
                <c:pt idx="3321" formatCode="0.00">
                  <c:v>10.758800000000001</c:v>
                </c:pt>
                <c:pt idx="3322" formatCode="0.00">
                  <c:v>3.3409</c:v>
                </c:pt>
                <c:pt idx="3323" formatCode="0.00">
                  <c:v>3.6523400000000001</c:v>
                </c:pt>
                <c:pt idx="3324" formatCode="0.00">
                  <c:v>2.2027299999999999</c:v>
                </c:pt>
                <c:pt idx="3325" formatCode="0.00">
                  <c:v>1.95641</c:v>
                </c:pt>
                <c:pt idx="3326" formatCode="0.00">
                  <c:v>2.8595799999999998</c:v>
                </c:pt>
                <c:pt idx="3327" formatCode="0.00">
                  <c:v>4.5017199999999997</c:v>
                </c:pt>
                <c:pt idx="3328" formatCode="0.00">
                  <c:v>16.817699999999999</c:v>
                </c:pt>
                <c:pt idx="3329" formatCode="0.00">
                  <c:v>9.4281299999999995</c:v>
                </c:pt>
                <c:pt idx="3330" formatCode="0.00">
                  <c:v>19.337599999999998</c:v>
                </c:pt>
                <c:pt idx="3331" formatCode="0.00">
                  <c:v>15.9117</c:v>
                </c:pt>
                <c:pt idx="3332" formatCode="0.00">
                  <c:v>10.702199999999999</c:v>
                </c:pt>
                <c:pt idx="3333" formatCode="0.00">
                  <c:v>6.22879</c:v>
                </c:pt>
                <c:pt idx="3334" formatCode="0.00">
                  <c:v>4.2185899999999998</c:v>
                </c:pt>
                <c:pt idx="3335" formatCode="0.00">
                  <c:v>2.9728300000000001</c:v>
                </c:pt>
                <c:pt idx="3336" formatCode="0.00">
                  <c:v>2.6444100000000001</c:v>
                </c:pt>
                <c:pt idx="3337" formatCode="0.00">
                  <c:v>1.9734</c:v>
                </c:pt>
                <c:pt idx="3338" formatCode="0.00">
                  <c:v>2.1177899999999998</c:v>
                </c:pt>
                <c:pt idx="3339" formatCode="0.00">
                  <c:v>2.4801899999999999</c:v>
                </c:pt>
                <c:pt idx="3340" formatCode="0.00">
                  <c:v>2.7010299999999998</c:v>
                </c:pt>
                <c:pt idx="3341" formatCode="0.00">
                  <c:v>4.5017199999999997</c:v>
                </c:pt>
                <c:pt idx="3342" formatCode="0.00">
                  <c:v>4.6715999999999998</c:v>
                </c:pt>
                <c:pt idx="3343" formatCode="0.00">
                  <c:v>8.0408100000000005</c:v>
                </c:pt>
                <c:pt idx="3344" formatCode="0.00">
                  <c:v>17.723800000000001</c:v>
                </c:pt>
                <c:pt idx="3345" formatCode="0.00">
                  <c:v>13.675000000000001</c:v>
                </c:pt>
                <c:pt idx="3346" formatCode="0.00">
                  <c:v>24.037500000000001</c:v>
                </c:pt>
                <c:pt idx="3347" formatCode="0.00">
                  <c:v>14.7226</c:v>
                </c:pt>
                <c:pt idx="3348" formatCode="0.00">
                  <c:v>2.5566399999999998</c:v>
                </c:pt>
                <c:pt idx="3349" formatCode="0.00">
                  <c:v>2.0866500000000001</c:v>
                </c:pt>
                <c:pt idx="3350" formatCode="0.00">
                  <c:v>1.8488199999999999</c:v>
                </c:pt>
                <c:pt idx="3351" formatCode="0.00">
                  <c:v>1.49491</c:v>
                </c:pt>
                <c:pt idx="3352" formatCode="0.00">
                  <c:v>4.6149699999999996</c:v>
                </c:pt>
                <c:pt idx="3353" formatCode="0.00">
                  <c:v>5.1529100000000003</c:v>
                </c:pt>
                <c:pt idx="3354" formatCode="0.00">
                  <c:v>11.2401</c:v>
                </c:pt>
                <c:pt idx="3355" formatCode="0.00">
                  <c:v>8.0974299999999992</c:v>
                </c:pt>
                <c:pt idx="3356" formatCode="0.00">
                  <c:v>16.874400000000001</c:v>
                </c:pt>
                <c:pt idx="3357" formatCode="0.00">
                  <c:v>13.080500000000001</c:v>
                </c:pt>
                <c:pt idx="3358" formatCode="0.00">
                  <c:v>10.787100000000001</c:v>
                </c:pt>
                <c:pt idx="3359" formatCode="0.00">
                  <c:v>7.3329899999999997</c:v>
                </c:pt>
                <c:pt idx="3360" formatCode="0.00">
                  <c:v>4.9264099999999997</c:v>
                </c:pt>
                <c:pt idx="3361" formatCode="0.00">
                  <c:v>2.3414600000000001</c:v>
                </c:pt>
                <c:pt idx="3362" formatCode="0.00">
                  <c:v>38.505299999999998</c:v>
                </c:pt>
                <c:pt idx="3363" formatCode="0.00">
                  <c:v>38.505299999999998</c:v>
                </c:pt>
                <c:pt idx="3364" formatCode="0.00">
                  <c:v>46.716000000000001</c:v>
                </c:pt>
                <c:pt idx="3365" formatCode="0.00">
                  <c:v>46.716000000000001</c:v>
                </c:pt>
                <c:pt idx="3366" formatCode="0.00">
                  <c:v>42.185899999999997</c:v>
                </c:pt>
                <c:pt idx="3367" formatCode="0.00">
                  <c:v>42.752200000000002</c:v>
                </c:pt>
                <c:pt idx="3368" formatCode="0.00">
                  <c:v>41.336500000000001</c:v>
                </c:pt>
                <c:pt idx="3369" formatCode="0.00">
                  <c:v>41.053400000000003</c:v>
                </c:pt>
                <c:pt idx="3370" formatCode="0.00">
                  <c:v>108.438</c:v>
                </c:pt>
                <c:pt idx="3371" formatCode="0.00">
                  <c:v>110.221</c:v>
                </c:pt>
                <c:pt idx="3372" formatCode="0.00">
                  <c:v>124.01</c:v>
                </c:pt>
                <c:pt idx="3373" formatCode="0.00">
                  <c:v>124.01</c:v>
                </c:pt>
                <c:pt idx="3374" formatCode="0.00">
                  <c:v>143.54499999999999</c:v>
                </c:pt>
                <c:pt idx="3375" formatCode="0.00">
                  <c:v>143.262</c:v>
                </c:pt>
                <c:pt idx="3376" formatCode="0.00">
                  <c:v>140.99700000000001</c:v>
                </c:pt>
                <c:pt idx="3377" formatCode="0.00">
                  <c:v>141.28</c:v>
                </c:pt>
                <c:pt idx="3378" formatCode="0.00">
                  <c:v>139.86500000000001</c:v>
                </c:pt>
                <c:pt idx="3379" formatCode="0.00">
                  <c:v>138.44900000000001</c:v>
                </c:pt>
                <c:pt idx="3380" formatCode="0.00">
                  <c:v>108.155</c:v>
                </c:pt>
                <c:pt idx="3381" formatCode="0.00">
                  <c:v>108.155</c:v>
                </c:pt>
                <c:pt idx="3382" formatCode="0.00">
                  <c:v>98.245099999999994</c:v>
                </c:pt>
                <c:pt idx="3383" formatCode="0.00">
                  <c:v>98.245099999999994</c:v>
                </c:pt>
                <c:pt idx="3384" formatCode="0.00">
                  <c:v>94.564400000000006</c:v>
                </c:pt>
                <c:pt idx="3385" formatCode="0.00">
                  <c:v>93.715000000000003</c:v>
                </c:pt>
                <c:pt idx="3386" formatCode="0.00">
                  <c:v>88.901899999999998</c:v>
                </c:pt>
                <c:pt idx="3387" formatCode="0.00">
                  <c:v>88.901899999999998</c:v>
                </c:pt>
                <c:pt idx="3388" formatCode="0.00">
                  <c:v>62.854199999999999</c:v>
                </c:pt>
                <c:pt idx="3389" formatCode="0.00">
                  <c:v>62.854199999999999</c:v>
                </c:pt>
                <c:pt idx="3390" formatCode="0.00">
                  <c:v>63.986699999999999</c:v>
                </c:pt>
                <c:pt idx="3391" formatCode="0.00">
                  <c:v>63.986699999999999</c:v>
                </c:pt>
                <c:pt idx="3392" formatCode="0.00">
                  <c:v>51.246000000000002</c:v>
                </c:pt>
                <c:pt idx="3393" formatCode="0.00">
                  <c:v>51.5291</c:v>
                </c:pt>
                <c:pt idx="3394" formatCode="0.00">
                  <c:v>58.607300000000002</c:v>
                </c:pt>
                <c:pt idx="3395" formatCode="0.00">
                  <c:v>58.607300000000002</c:v>
                </c:pt>
                <c:pt idx="3396" formatCode="0.00">
                  <c:v>55.776000000000003</c:v>
                </c:pt>
                <c:pt idx="3397" formatCode="0.00">
                  <c:v>55.492899999999999</c:v>
                </c:pt>
                <c:pt idx="3398" formatCode="0.00">
                  <c:v>53.511000000000003</c:v>
                </c:pt>
                <c:pt idx="3399" formatCode="0.00">
                  <c:v>53.511000000000003</c:v>
                </c:pt>
                <c:pt idx="3400" formatCode="0.00">
                  <c:v>40.487200000000001</c:v>
                </c:pt>
                <c:pt idx="3401" formatCode="0.00">
                  <c:v>40.204000000000001</c:v>
                </c:pt>
                <c:pt idx="3402" formatCode="0.00">
                  <c:v>41.053400000000003</c:v>
                </c:pt>
                <c:pt idx="3403" formatCode="0.00">
                  <c:v>41.053400000000003</c:v>
                </c:pt>
                <c:pt idx="3404" formatCode="0.00">
                  <c:v>81.823700000000002</c:v>
                </c:pt>
                <c:pt idx="3405" formatCode="0.00">
                  <c:v>82.106800000000007</c:v>
                </c:pt>
                <c:pt idx="3406" formatCode="0.00">
                  <c:v>93.148799999999994</c:v>
                </c:pt>
                <c:pt idx="3407" formatCode="0.00">
                  <c:v>93.148799999999994</c:v>
                </c:pt>
                <c:pt idx="3408" formatCode="0.00">
                  <c:v>93.148799999999994</c:v>
                </c:pt>
                <c:pt idx="3409" formatCode="0.00">
                  <c:v>93.148799999999994</c:v>
                </c:pt>
                <c:pt idx="3410" formatCode="0.00">
                  <c:v>86.92</c:v>
                </c:pt>
                <c:pt idx="3411" formatCode="0.00">
                  <c:v>86.92</c:v>
                </c:pt>
                <c:pt idx="3412" formatCode="0.00">
                  <c:v>75.878</c:v>
                </c:pt>
                <c:pt idx="3413" formatCode="0.00">
                  <c:v>75.594899999999996</c:v>
                </c:pt>
                <c:pt idx="3414" formatCode="0.00">
                  <c:v>79.841800000000006</c:v>
                </c:pt>
                <c:pt idx="3415" formatCode="0.00">
                  <c:v>79.841800000000006</c:v>
                </c:pt>
                <c:pt idx="3416" formatCode="0.00">
                  <c:v>71.631100000000004</c:v>
                </c:pt>
                <c:pt idx="3417" formatCode="0.00">
                  <c:v>72.480500000000006</c:v>
                </c:pt>
                <c:pt idx="3418" formatCode="0.00">
                  <c:v>70.498599999999996</c:v>
                </c:pt>
                <c:pt idx="3419" formatCode="0.00">
                  <c:v>70.498599999999996</c:v>
                </c:pt>
                <c:pt idx="3420" formatCode="0.00">
                  <c:v>51.5291</c:v>
                </c:pt>
                <c:pt idx="3421" formatCode="0.00">
                  <c:v>51.246000000000002</c:v>
                </c:pt>
                <c:pt idx="3422" formatCode="0.00">
                  <c:v>12.825699999999999</c:v>
                </c:pt>
                <c:pt idx="3423" formatCode="0.00">
                  <c:v>13.052199999999999</c:v>
                </c:pt>
                <c:pt idx="3424" formatCode="0.00">
                  <c:v>14.241300000000001</c:v>
                </c:pt>
                <c:pt idx="3425" formatCode="0.00">
                  <c:v>14.241300000000001</c:v>
                </c:pt>
                <c:pt idx="3426" formatCode="0.00">
                  <c:v>14.609400000000001</c:v>
                </c:pt>
                <c:pt idx="3427" formatCode="0.00">
                  <c:v>14.3545</c:v>
                </c:pt>
                <c:pt idx="3428" formatCode="0.00">
                  <c:v>14.609400000000001</c:v>
                </c:pt>
                <c:pt idx="3429" formatCode="0.00">
                  <c:v>14.4961</c:v>
                </c:pt>
                <c:pt idx="3430" formatCode="0.00">
                  <c:v>16.874400000000001</c:v>
                </c:pt>
                <c:pt idx="3431" formatCode="0.00">
                  <c:v>16.874400000000001</c:v>
                </c:pt>
                <c:pt idx="3432" formatCode="0.00">
                  <c:v>15.741899999999999</c:v>
                </c:pt>
                <c:pt idx="3433" formatCode="0.00">
                  <c:v>15.600300000000001</c:v>
                </c:pt>
                <c:pt idx="3434" formatCode="0.00">
                  <c:v>13.646699999999999</c:v>
                </c:pt>
                <c:pt idx="3435" formatCode="0.00">
                  <c:v>13.646699999999999</c:v>
                </c:pt>
                <c:pt idx="3436" formatCode="0.00">
                  <c:v>11.4383</c:v>
                </c:pt>
                <c:pt idx="3437" formatCode="0.00">
                  <c:v>11.4383</c:v>
                </c:pt>
                <c:pt idx="3438" formatCode="0.00">
                  <c:v>12.2311</c:v>
                </c:pt>
                <c:pt idx="3439" formatCode="0.00">
                  <c:v>12.2311</c:v>
                </c:pt>
                <c:pt idx="3440" formatCode="0.00">
                  <c:v>12.2311</c:v>
                </c:pt>
                <c:pt idx="3441" formatCode="0.00">
                  <c:v>12.2311</c:v>
                </c:pt>
                <c:pt idx="3442" formatCode="0.00">
                  <c:v>11.325100000000001</c:v>
                </c:pt>
                <c:pt idx="3443" formatCode="0.00">
                  <c:v>11.325100000000001</c:v>
                </c:pt>
                <c:pt idx="3444" formatCode="0.00">
                  <c:v>11.098599999999999</c:v>
                </c:pt>
                <c:pt idx="3445" formatCode="0.00">
                  <c:v>11.098599999999999</c:v>
                </c:pt>
                <c:pt idx="3446" formatCode="0.00">
                  <c:v>10.0227</c:v>
                </c:pt>
                <c:pt idx="3447" formatCode="0.00">
                  <c:v>10.0227</c:v>
                </c:pt>
                <c:pt idx="3448" formatCode="0.00">
                  <c:v>7.4745499999999998</c:v>
                </c:pt>
                <c:pt idx="3449" formatCode="0.00">
                  <c:v>7.5877999999999997</c:v>
                </c:pt>
                <c:pt idx="3450" formatCode="0.00">
                  <c:v>11.098599999999999</c:v>
                </c:pt>
                <c:pt idx="3451" formatCode="0.00">
                  <c:v>11.098599999999999</c:v>
                </c:pt>
                <c:pt idx="3452" formatCode="0.00">
                  <c:v>13.646699999999999</c:v>
                </c:pt>
                <c:pt idx="3453" formatCode="0.00">
                  <c:v>13.646699999999999</c:v>
                </c:pt>
                <c:pt idx="3454" formatCode="0.00">
                  <c:v>18.997800000000002</c:v>
                </c:pt>
                <c:pt idx="3455" formatCode="0.00">
                  <c:v>18.997800000000002</c:v>
                </c:pt>
                <c:pt idx="3456" formatCode="0.00">
                  <c:v>19.818899999999999</c:v>
                </c:pt>
                <c:pt idx="3457" formatCode="0.00">
                  <c:v>19.818899999999999</c:v>
                </c:pt>
                <c:pt idx="3458" formatCode="0.00">
                  <c:v>19.818899999999999</c:v>
                </c:pt>
                <c:pt idx="3459" formatCode="0.00">
                  <c:v>19.677299999999999</c:v>
                </c:pt>
                <c:pt idx="3460" formatCode="0.00">
                  <c:v>20.923100000000002</c:v>
                </c:pt>
                <c:pt idx="3461" formatCode="0.00">
                  <c:v>20.64</c:v>
                </c:pt>
                <c:pt idx="3462" formatCode="0.00">
                  <c:v>20.923100000000002</c:v>
                </c:pt>
                <c:pt idx="3463" formatCode="0.00">
                  <c:v>20.923100000000002</c:v>
                </c:pt>
                <c:pt idx="3464" formatCode="0.00">
                  <c:v>18.997800000000002</c:v>
                </c:pt>
                <c:pt idx="3465" formatCode="0.00">
                  <c:v>18.997800000000002</c:v>
                </c:pt>
                <c:pt idx="3466" formatCode="0.00">
                  <c:v>18.714700000000001</c:v>
                </c:pt>
                <c:pt idx="3467" formatCode="0.00">
                  <c:v>15.8551</c:v>
                </c:pt>
                <c:pt idx="3468" formatCode="0.00">
                  <c:v>15.8551</c:v>
                </c:pt>
                <c:pt idx="3469" formatCode="0.00">
                  <c:v>13.5335</c:v>
                </c:pt>
                <c:pt idx="3470" formatCode="0.00">
                  <c:v>10.560600000000001</c:v>
                </c:pt>
                <c:pt idx="3471" formatCode="0.00">
                  <c:v>10.560600000000001</c:v>
                </c:pt>
                <c:pt idx="3472" formatCode="0.00">
                  <c:v>108.438</c:v>
                </c:pt>
                <c:pt idx="3473" formatCode="0.00">
                  <c:v>108.438</c:v>
                </c:pt>
                <c:pt idx="3474" formatCode="0.00">
                  <c:v>302.94600000000003</c:v>
                </c:pt>
                <c:pt idx="3475" formatCode="0.00">
                  <c:v>302.94600000000003</c:v>
                </c:pt>
                <c:pt idx="3476" formatCode="0.00">
                  <c:v>351.077</c:v>
                </c:pt>
                <c:pt idx="3477" formatCode="0.00">
                  <c:v>351.077</c:v>
                </c:pt>
                <c:pt idx="3478" formatCode="0.00">
                  <c:v>453.00299999999999</c:v>
                </c:pt>
                <c:pt idx="3479" formatCode="0.00">
                  <c:v>498.30399999999997</c:v>
                </c:pt>
                <c:pt idx="3480" formatCode="0.00">
                  <c:v>498.30399999999997</c:v>
                </c:pt>
                <c:pt idx="3481" formatCode="0.00">
                  <c:v>472.822</c:v>
                </c:pt>
                <c:pt idx="3482" formatCode="0.00">
                  <c:v>469.99099999999999</c:v>
                </c:pt>
                <c:pt idx="3483" formatCode="0.00">
                  <c:v>455.834</c:v>
                </c:pt>
                <c:pt idx="3484" formatCode="0.00">
                  <c:v>455.834</c:v>
                </c:pt>
                <c:pt idx="3485" formatCode="0.00">
                  <c:v>450.17200000000003</c:v>
                </c:pt>
                <c:pt idx="3486" formatCode="0.00">
                  <c:v>450.17200000000003</c:v>
                </c:pt>
                <c:pt idx="3487" formatCode="0.00">
                  <c:v>447.34100000000001</c:v>
                </c:pt>
                <c:pt idx="3488" formatCode="0.00">
                  <c:v>447.34100000000001</c:v>
                </c:pt>
                <c:pt idx="3489" formatCode="0.00">
                  <c:v>342.584</c:v>
                </c:pt>
                <c:pt idx="3490" formatCode="0.00">
                  <c:v>342.584</c:v>
                </c:pt>
                <c:pt idx="3491" formatCode="0.00">
                  <c:v>339.75200000000001</c:v>
                </c:pt>
                <c:pt idx="3492" formatCode="0.00">
                  <c:v>339.75200000000001</c:v>
                </c:pt>
                <c:pt idx="3493" formatCode="0.00">
                  <c:v>362.40300000000002</c:v>
                </c:pt>
                <c:pt idx="3494" formatCode="0.00">
                  <c:v>362.40300000000002</c:v>
                </c:pt>
                <c:pt idx="3495" formatCode="0.00">
                  <c:v>404.87200000000001</c:v>
                </c:pt>
                <c:pt idx="3496" formatCode="0.00">
                  <c:v>407.70299999999997</c:v>
                </c:pt>
                <c:pt idx="3497" formatCode="0.00">
                  <c:v>526.61599999999999</c:v>
                </c:pt>
                <c:pt idx="3498" formatCode="0.00">
                  <c:v>526.61599999999999</c:v>
                </c:pt>
                <c:pt idx="3499" formatCode="0.00">
                  <c:v>523.78499999999997</c:v>
                </c:pt>
                <c:pt idx="3500" formatCode="0.00">
                  <c:v>523.78499999999997</c:v>
                </c:pt>
                <c:pt idx="3501" formatCode="0.00">
                  <c:v>506.79700000000003</c:v>
                </c:pt>
                <c:pt idx="3502" formatCode="0.00">
                  <c:v>506.79700000000003</c:v>
                </c:pt>
                <c:pt idx="3503" formatCode="0.00">
                  <c:v>526.61599999999999</c:v>
                </c:pt>
                <c:pt idx="3504" formatCode="0.00">
                  <c:v>526.61599999999999</c:v>
                </c:pt>
                <c:pt idx="3505" formatCode="0.00">
                  <c:v>540.77300000000002</c:v>
                </c:pt>
                <c:pt idx="3506" formatCode="0.00">
                  <c:v>540.77300000000002</c:v>
                </c:pt>
                <c:pt idx="3507" formatCode="0.00">
                  <c:v>540.77300000000002</c:v>
                </c:pt>
                <c:pt idx="3508" formatCode="0.00">
                  <c:v>540.77300000000002</c:v>
                </c:pt>
                <c:pt idx="3509" formatCode="0.00">
                  <c:v>540.77300000000002</c:v>
                </c:pt>
                <c:pt idx="3510" formatCode="0.00">
                  <c:v>540.77300000000002</c:v>
                </c:pt>
                <c:pt idx="3511" formatCode="0.00">
                  <c:v>540.77300000000002</c:v>
                </c:pt>
                <c:pt idx="3512" formatCode="0.00">
                  <c:v>537.94100000000003</c:v>
                </c:pt>
                <c:pt idx="3513" formatCode="0.00">
                  <c:v>535.11</c:v>
                </c:pt>
                <c:pt idx="3514" formatCode="0.00">
                  <c:v>535.11</c:v>
                </c:pt>
                <c:pt idx="3515" formatCode="0.00">
                  <c:v>537.94100000000003</c:v>
                </c:pt>
                <c:pt idx="3516" formatCode="0.00">
                  <c:v>537.94100000000003</c:v>
                </c:pt>
                <c:pt idx="3517" formatCode="0.00">
                  <c:v>540.77300000000002</c:v>
                </c:pt>
                <c:pt idx="3518" formatCode="0.00">
                  <c:v>540.77300000000002</c:v>
                </c:pt>
                <c:pt idx="3519" formatCode="0.00">
                  <c:v>481.31599999999997</c:v>
                </c:pt>
                <c:pt idx="3520" formatCode="0.00">
                  <c:v>481.31599999999997</c:v>
                </c:pt>
                <c:pt idx="3521" formatCode="0.00">
                  <c:v>464.32799999999997</c:v>
                </c:pt>
                <c:pt idx="3522" formatCode="0.00">
                  <c:v>464.32799999999997</c:v>
                </c:pt>
                <c:pt idx="3523" formatCode="0.00">
                  <c:v>427.52199999999999</c:v>
                </c:pt>
                <c:pt idx="3524" formatCode="0.00">
                  <c:v>424.69099999999997</c:v>
                </c:pt>
                <c:pt idx="3525" formatCode="0.00">
                  <c:v>353.90899999999999</c:v>
                </c:pt>
                <c:pt idx="3526" formatCode="0.00">
                  <c:v>351.077</c:v>
                </c:pt>
                <c:pt idx="3527" formatCode="0.00">
                  <c:v>325.596</c:v>
                </c:pt>
                <c:pt idx="3528" formatCode="0.00">
                  <c:v>325.596</c:v>
                </c:pt>
                <c:pt idx="3529" formatCode="0.00">
                  <c:v>300.11500000000001</c:v>
                </c:pt>
                <c:pt idx="3530" formatCode="0.00">
                  <c:v>300.11500000000001</c:v>
                </c:pt>
                <c:pt idx="3531" formatCode="0.00">
                  <c:v>268.12099999999998</c:v>
                </c:pt>
                <c:pt idx="3532" formatCode="0.00">
                  <c:v>266.423</c:v>
                </c:pt>
                <c:pt idx="3533" formatCode="0.00">
                  <c:v>385.053</c:v>
                </c:pt>
                <c:pt idx="3534" formatCode="0.00">
                  <c:v>385.053</c:v>
                </c:pt>
                <c:pt idx="3535" formatCode="0.00">
                  <c:v>503.96600000000001</c:v>
                </c:pt>
                <c:pt idx="3536" formatCode="0.00">
                  <c:v>509.62900000000002</c:v>
                </c:pt>
                <c:pt idx="3537" formatCode="0.00">
                  <c:v>302.94600000000003</c:v>
                </c:pt>
                <c:pt idx="3538" formatCode="0.00">
                  <c:v>300.11500000000001</c:v>
                </c:pt>
                <c:pt idx="3539" formatCode="0.00">
                  <c:v>268.68799999999999</c:v>
                </c:pt>
                <c:pt idx="3540" formatCode="0.00">
                  <c:v>266.423</c:v>
                </c:pt>
                <c:pt idx="3541" formatCode="0.00">
                  <c:v>184.59899999999999</c:v>
                </c:pt>
                <c:pt idx="3542" formatCode="0.00">
                  <c:v>183.46600000000001</c:v>
                </c:pt>
                <c:pt idx="3543" formatCode="0.00">
                  <c:v>198.755</c:v>
                </c:pt>
                <c:pt idx="3544" formatCode="0.00">
                  <c:v>198.18899999999999</c:v>
                </c:pt>
                <c:pt idx="3545" formatCode="0.00">
                  <c:v>444.50900000000001</c:v>
                </c:pt>
                <c:pt idx="3546" formatCode="0.00">
                  <c:v>441.678</c:v>
                </c:pt>
                <c:pt idx="3547" formatCode="0.00">
                  <c:v>413.36500000000001</c:v>
                </c:pt>
                <c:pt idx="3548" formatCode="0.00">
                  <c:v>410.53399999999999</c:v>
                </c:pt>
                <c:pt idx="3549" formatCode="0.00">
                  <c:v>294.452</c:v>
                </c:pt>
                <c:pt idx="3550" formatCode="0.00">
                  <c:v>291.62099999999998</c:v>
                </c:pt>
                <c:pt idx="3551" formatCode="0.00">
                  <c:v>282.56099999999998</c:v>
                </c:pt>
                <c:pt idx="3552" formatCode="0.00">
                  <c:v>280.57900000000001</c:v>
                </c:pt>
                <c:pt idx="3553" formatCode="0.00">
                  <c:v>257.92899999999997</c:v>
                </c:pt>
                <c:pt idx="3554" formatCode="0.00">
                  <c:v>257.92899999999997</c:v>
                </c:pt>
                <c:pt idx="3555" formatCode="0.00">
                  <c:v>206.96600000000001</c:v>
                </c:pt>
                <c:pt idx="3556" formatCode="0.00">
                  <c:v>203.00200000000001</c:v>
                </c:pt>
                <c:pt idx="3557" formatCode="0.00">
                  <c:v>238.11</c:v>
                </c:pt>
                <c:pt idx="3558" formatCode="0.00">
                  <c:v>238.393</c:v>
                </c:pt>
                <c:pt idx="3559" formatCode="0.00">
                  <c:v>212.345</c:v>
                </c:pt>
                <c:pt idx="3560" formatCode="0.00">
                  <c:v>213.761</c:v>
                </c:pt>
                <c:pt idx="3561" formatCode="0.00">
                  <c:v>206.11600000000001</c:v>
                </c:pt>
                <c:pt idx="3562" formatCode="0.00">
                  <c:v>204.70099999999999</c:v>
                </c:pt>
                <c:pt idx="3563" formatCode="0.00">
                  <c:v>149.774</c:v>
                </c:pt>
                <c:pt idx="3564" formatCode="0.00">
                  <c:v>148.92500000000001</c:v>
                </c:pt>
                <c:pt idx="3565" formatCode="0.00">
                  <c:v>265.57299999999998</c:v>
                </c:pt>
                <c:pt idx="3566" formatCode="0.00">
                  <c:v>261.60899999999998</c:v>
                </c:pt>
                <c:pt idx="3567" formatCode="0.00">
                  <c:v>134.768</c:v>
                </c:pt>
                <c:pt idx="3568" formatCode="0.00">
                  <c:v>135.90100000000001</c:v>
                </c:pt>
                <c:pt idx="3569" formatCode="0.00">
                  <c:v>160.816</c:v>
                </c:pt>
                <c:pt idx="3570" formatCode="0.00">
                  <c:v>160.25</c:v>
                </c:pt>
                <c:pt idx="3571" formatCode="0.00">
                  <c:v>328.42700000000002</c:v>
                </c:pt>
                <c:pt idx="3572" formatCode="0.00">
                  <c:v>325.596</c:v>
                </c:pt>
                <c:pt idx="3573" formatCode="0.00">
                  <c:v>342.584</c:v>
                </c:pt>
                <c:pt idx="3574" formatCode="0.00">
                  <c:v>342.584</c:v>
                </c:pt>
                <c:pt idx="3575" formatCode="0.00">
                  <c:v>265.57299999999998</c:v>
                </c:pt>
                <c:pt idx="3576" formatCode="0.00">
                  <c:v>264.72399999999999</c:v>
                </c:pt>
                <c:pt idx="3577" formatCode="0.00">
                  <c:v>322.76499999999999</c:v>
                </c:pt>
                <c:pt idx="3578" formatCode="0.00">
                  <c:v>319.93400000000003</c:v>
                </c:pt>
                <c:pt idx="3579" formatCode="0.00">
                  <c:v>376.55900000000003</c:v>
                </c:pt>
                <c:pt idx="3580" formatCode="0.00">
                  <c:v>376.55900000000003</c:v>
                </c:pt>
                <c:pt idx="3581" formatCode="0.00">
                  <c:v>362.40300000000002</c:v>
                </c:pt>
                <c:pt idx="3582" formatCode="0.00">
                  <c:v>362.40300000000002</c:v>
                </c:pt>
                <c:pt idx="3583" formatCode="0.00">
                  <c:v>421.85899999999998</c:v>
                </c:pt>
                <c:pt idx="3584" formatCode="0.00">
                  <c:v>421.85899999999998</c:v>
                </c:pt>
                <c:pt idx="3585" formatCode="0.00">
                  <c:v>441.678</c:v>
                </c:pt>
                <c:pt idx="3586" formatCode="0.00">
                  <c:v>438.84699999999998</c:v>
                </c:pt>
                <c:pt idx="3587" formatCode="0.00">
                  <c:v>478.48500000000001</c:v>
                </c:pt>
                <c:pt idx="3588" formatCode="0.00">
                  <c:v>481.31599999999997</c:v>
                </c:pt>
                <c:pt idx="3589" formatCode="0.00">
                  <c:v>410.53399999999999</c:v>
                </c:pt>
                <c:pt idx="3590" formatCode="0.00">
                  <c:v>407.70299999999997</c:v>
                </c:pt>
                <c:pt idx="3591" formatCode="0.00">
                  <c:v>322.76499999999999</c:v>
                </c:pt>
                <c:pt idx="3592" formatCode="0.00">
                  <c:v>322.76499999999999</c:v>
                </c:pt>
                <c:pt idx="3593" formatCode="0.00">
                  <c:v>282.27800000000002</c:v>
                </c:pt>
                <c:pt idx="3594" formatCode="0.00">
                  <c:v>280.86200000000002</c:v>
                </c:pt>
                <c:pt idx="3595" formatCode="0.00">
                  <c:v>242.07400000000001</c:v>
                </c:pt>
                <c:pt idx="3596" formatCode="0.00">
                  <c:v>240.65799999999999</c:v>
                </c:pt>
                <c:pt idx="3597" formatCode="0.00">
                  <c:v>208.09800000000001</c:v>
                </c:pt>
                <c:pt idx="3598" formatCode="0.00">
                  <c:v>207.249</c:v>
                </c:pt>
                <c:pt idx="3599" formatCode="0.00">
                  <c:v>620.048</c:v>
                </c:pt>
                <c:pt idx="3600" formatCode="0.00">
                  <c:v>614.38599999999997</c:v>
                </c:pt>
                <c:pt idx="3601" formatCode="0.00">
                  <c:v>458.666</c:v>
                </c:pt>
                <c:pt idx="3602" formatCode="0.00">
                  <c:v>458.666</c:v>
                </c:pt>
                <c:pt idx="3603" formatCode="0.00">
                  <c:v>1067.3900000000001</c:v>
                </c:pt>
                <c:pt idx="3604" formatCode="0.00">
                  <c:v>1047.57</c:v>
                </c:pt>
                <c:pt idx="3605" formatCode="0.00">
                  <c:v>23.952500000000001</c:v>
                </c:pt>
                <c:pt idx="3606" formatCode="0.00">
                  <c:v>23.952500000000001</c:v>
                </c:pt>
                <c:pt idx="3607" formatCode="0.00">
                  <c:v>35.957099999999997</c:v>
                </c:pt>
                <c:pt idx="3608" formatCode="0.00">
                  <c:v>35.957099999999997</c:v>
                </c:pt>
                <c:pt idx="3609" formatCode="0.00">
                  <c:v>33.408999999999999</c:v>
                </c:pt>
                <c:pt idx="3610" formatCode="0.00">
                  <c:v>33.408999999999999</c:v>
                </c:pt>
                <c:pt idx="3611" formatCode="0.00">
                  <c:v>26.1892</c:v>
                </c:pt>
                <c:pt idx="3612" formatCode="0.00">
                  <c:v>26.1892</c:v>
                </c:pt>
                <c:pt idx="3613" formatCode="0.00">
                  <c:v>20.413499999999999</c:v>
                </c:pt>
                <c:pt idx="3614" formatCode="0.00">
                  <c:v>20.413499999999999</c:v>
                </c:pt>
                <c:pt idx="3615" formatCode="0.00">
                  <c:v>20.413499999999999</c:v>
                </c:pt>
                <c:pt idx="3616" formatCode="0.00">
                  <c:v>20.413499999999999</c:v>
                </c:pt>
                <c:pt idx="3617" formatCode="0.00">
                  <c:v>48.414700000000003</c:v>
                </c:pt>
                <c:pt idx="3618" formatCode="0.00">
                  <c:v>48.414700000000003</c:v>
                </c:pt>
                <c:pt idx="3619" formatCode="0.00">
                  <c:v>59.739800000000002</c:v>
                </c:pt>
                <c:pt idx="3620" formatCode="0.00">
                  <c:v>59.739800000000002</c:v>
                </c:pt>
                <c:pt idx="3621" formatCode="0.00">
                  <c:v>60.872300000000003</c:v>
                </c:pt>
                <c:pt idx="3622" formatCode="0.00">
                  <c:v>60.872300000000003</c:v>
                </c:pt>
                <c:pt idx="3623" formatCode="0.00">
                  <c:v>46.149700000000003</c:v>
                </c:pt>
                <c:pt idx="3624" formatCode="0.00">
                  <c:v>46.149700000000003</c:v>
                </c:pt>
                <c:pt idx="3625" formatCode="0.00">
                  <c:v>42.469099999999997</c:v>
                </c:pt>
                <c:pt idx="3626" formatCode="0.00">
                  <c:v>42.469099999999997</c:v>
                </c:pt>
                <c:pt idx="3627" formatCode="0.00">
                  <c:v>29.4452</c:v>
                </c:pt>
                <c:pt idx="3628" formatCode="0.00">
                  <c:v>29.4452</c:v>
                </c:pt>
                <c:pt idx="3629" formatCode="0.00">
                  <c:v>35.390900000000002</c:v>
                </c:pt>
                <c:pt idx="3630" formatCode="0.00">
                  <c:v>35.390900000000002</c:v>
                </c:pt>
                <c:pt idx="3631" formatCode="0.00">
                  <c:v>43.035299999999999</c:v>
                </c:pt>
                <c:pt idx="3632" formatCode="0.00">
                  <c:v>43.035299999999999</c:v>
                </c:pt>
                <c:pt idx="3633" formatCode="0.00">
                  <c:v>43.884700000000002</c:v>
                </c:pt>
                <c:pt idx="3634" formatCode="0.00">
                  <c:v>43.884700000000002</c:v>
                </c:pt>
                <c:pt idx="3635" formatCode="0.00">
                  <c:v>37.089599999999997</c:v>
                </c:pt>
                <c:pt idx="3636" formatCode="0.00">
                  <c:v>37.089599999999997</c:v>
                </c:pt>
                <c:pt idx="3637" formatCode="0.00">
                  <c:v>29.728300000000001</c:v>
                </c:pt>
                <c:pt idx="3638" formatCode="0.00">
                  <c:v>29.728300000000001</c:v>
                </c:pt>
                <c:pt idx="3639" formatCode="0.00">
                  <c:v>34.824599999999997</c:v>
                </c:pt>
                <c:pt idx="3640" formatCode="0.00">
                  <c:v>34.824599999999997</c:v>
                </c:pt>
                <c:pt idx="3641" formatCode="0.00">
                  <c:v>37.655900000000003</c:v>
                </c:pt>
                <c:pt idx="3642" formatCode="0.00">
                  <c:v>37.655900000000003</c:v>
                </c:pt>
                <c:pt idx="3643" formatCode="0.00">
                  <c:v>47.565300000000001</c:v>
                </c:pt>
                <c:pt idx="3644" formatCode="0.00">
                  <c:v>47.565300000000001</c:v>
                </c:pt>
                <c:pt idx="3645" formatCode="0.00">
                  <c:v>50.396599999999999</c:v>
                </c:pt>
                <c:pt idx="3646" formatCode="0.00">
                  <c:v>50.396599999999999</c:v>
                </c:pt>
                <c:pt idx="3647" formatCode="0.00">
                  <c:v>60.589199999999998</c:v>
                </c:pt>
                <c:pt idx="3648" formatCode="0.00">
                  <c:v>60.589199999999998</c:v>
                </c:pt>
                <c:pt idx="3649" formatCode="0.00">
                  <c:v>70.498599999999996</c:v>
                </c:pt>
                <c:pt idx="3650" formatCode="0.00">
                  <c:v>70.498599999999996</c:v>
                </c:pt>
                <c:pt idx="3651" formatCode="0.00">
                  <c:v>86.353700000000003</c:v>
                </c:pt>
                <c:pt idx="3652" formatCode="0.00">
                  <c:v>86.353700000000003</c:v>
                </c:pt>
                <c:pt idx="3653" formatCode="0.00">
                  <c:v>86.353700000000003</c:v>
                </c:pt>
                <c:pt idx="3654" formatCode="0.00">
                  <c:v>86.353700000000003</c:v>
                </c:pt>
                <c:pt idx="3655" formatCode="0.00">
                  <c:v>78.992400000000004</c:v>
                </c:pt>
                <c:pt idx="3656" formatCode="0.00">
                  <c:v>78.992400000000004</c:v>
                </c:pt>
                <c:pt idx="3657" formatCode="0.00">
                  <c:v>93.148799999999994</c:v>
                </c:pt>
                <c:pt idx="3658" formatCode="0.00">
                  <c:v>93.148799999999994</c:v>
                </c:pt>
                <c:pt idx="3659" formatCode="0.00">
                  <c:v>102.77500000000001</c:v>
                </c:pt>
                <c:pt idx="3660" formatCode="0.00">
                  <c:v>117.78100000000001</c:v>
                </c:pt>
                <c:pt idx="3661" formatCode="0.00">
                  <c:v>119.196</c:v>
                </c:pt>
                <c:pt idx="3662" formatCode="0.00">
                  <c:v>119.196</c:v>
                </c:pt>
                <c:pt idx="3663" formatCode="0.00">
                  <c:v>133.35300000000001</c:v>
                </c:pt>
                <c:pt idx="3664" formatCode="0.00">
                  <c:v>133.35300000000001</c:v>
                </c:pt>
                <c:pt idx="3665" formatCode="0.00">
                  <c:v>111.26900000000001</c:v>
                </c:pt>
                <c:pt idx="3666" formatCode="0.00">
                  <c:v>111.26900000000001</c:v>
                </c:pt>
                <c:pt idx="3667" formatCode="0.00">
                  <c:v>105.04</c:v>
                </c:pt>
                <c:pt idx="3668" formatCode="0.00">
                  <c:v>105.04</c:v>
                </c:pt>
                <c:pt idx="3669" formatCode="0.00">
                  <c:v>90.6006</c:v>
                </c:pt>
                <c:pt idx="3670" formatCode="0.00">
                  <c:v>90.6006</c:v>
                </c:pt>
                <c:pt idx="3671" formatCode="0.00">
                  <c:v>103.05800000000001</c:v>
                </c:pt>
                <c:pt idx="3672" formatCode="0.00">
                  <c:v>103.05800000000001</c:v>
                </c:pt>
                <c:pt idx="3673" formatCode="0.00">
                  <c:v>122.02800000000001</c:v>
                </c:pt>
                <c:pt idx="3674" formatCode="0.00">
                  <c:v>122.02800000000001</c:v>
                </c:pt>
                <c:pt idx="3675" formatCode="0.00">
                  <c:v>180.91800000000001</c:v>
                </c:pt>
                <c:pt idx="3676" formatCode="0.00">
                  <c:v>180.91800000000001</c:v>
                </c:pt>
                <c:pt idx="3677" formatCode="0.00">
                  <c:v>2.01586</c:v>
                </c:pt>
                <c:pt idx="3678" formatCode="0.00">
                  <c:v>1.29955</c:v>
                </c:pt>
                <c:pt idx="3679" formatCode="0.00">
                  <c:v>2.1036299999999999</c:v>
                </c:pt>
                <c:pt idx="3680" formatCode="0.00">
                  <c:v>3.1427100000000001</c:v>
                </c:pt>
                <c:pt idx="3681" formatCode="0.00">
                  <c:v>2.5707900000000001</c:v>
                </c:pt>
                <c:pt idx="3682" formatCode="0.00">
                  <c:v>4.53003</c:v>
                </c:pt>
                <c:pt idx="3683" formatCode="0.00">
                  <c:v>6.1438600000000001</c:v>
                </c:pt>
                <c:pt idx="3684" formatCode="0.00">
                  <c:v>2.01586</c:v>
                </c:pt>
                <c:pt idx="3685" formatCode="0.00">
                  <c:v>1.2344299999999999</c:v>
                </c:pt>
                <c:pt idx="3686" formatCode="0.00">
                  <c:v>0.99661</c:v>
                </c:pt>
                <c:pt idx="3687" formatCode="0.00">
                  <c:v>0.24660000000000001</c:v>
                </c:pt>
                <c:pt idx="3688" formatCode="0.00">
                  <c:v>0.36807000000000001</c:v>
                </c:pt>
                <c:pt idx="3689" formatCode="0.00">
                  <c:v>2.282</c:v>
                </c:pt>
                <c:pt idx="3690" formatCode="0.00">
                  <c:v>0.92298999999999998</c:v>
                </c:pt>
                <c:pt idx="3691" formatCode="0.00">
                  <c:v>1.17215</c:v>
                </c:pt>
                <c:pt idx="3692" formatCode="0.00">
                  <c:v>0.98245000000000005</c:v>
                </c:pt>
                <c:pt idx="3693" formatCode="0.00">
                  <c:v>0.62004999999999999</c:v>
                </c:pt>
                <c:pt idx="3694" formatCode="0.00">
                  <c:v>3.7938999999999998</c:v>
                </c:pt>
                <c:pt idx="3695" formatCode="0.00">
                  <c:v>4.3035300000000003</c:v>
                </c:pt>
                <c:pt idx="3696" formatCode="0.00">
                  <c:v>6.6534800000000001</c:v>
                </c:pt>
                <c:pt idx="3697" formatCode="0.00">
                  <c:v>2.7604899999999999</c:v>
                </c:pt>
                <c:pt idx="3698" formatCode="0.00">
                  <c:v>3.93547</c:v>
                </c:pt>
                <c:pt idx="3699" formatCode="0.00">
                  <c:v>2.6812100000000001</c:v>
                </c:pt>
                <c:pt idx="3700" formatCode="0.00">
                  <c:v>3.1427100000000001</c:v>
                </c:pt>
                <c:pt idx="3701" formatCode="0.00">
                  <c:v>5.8324199999999999</c:v>
                </c:pt>
                <c:pt idx="3702" formatCode="0.00">
                  <c:v>4.5017199999999997</c:v>
                </c:pt>
                <c:pt idx="3703" formatCode="0.00">
                  <c:v>2.46604</c:v>
                </c:pt>
                <c:pt idx="3704" formatCode="0.00">
                  <c:v>2.8595799999999998</c:v>
                </c:pt>
                <c:pt idx="3705" formatCode="0.00">
                  <c:v>2.3612799999999998</c:v>
                </c:pt>
                <c:pt idx="3706" formatCode="0.00">
                  <c:v>1.79786</c:v>
                </c:pt>
                <c:pt idx="3707" formatCode="0.00">
                  <c:v>0.85221000000000002</c:v>
                </c:pt>
                <c:pt idx="3708" formatCode="0.00">
                  <c:v>0.55776000000000003</c:v>
                </c:pt>
                <c:pt idx="3709" formatCode="0.00">
                  <c:v>1.3674999999999999</c:v>
                </c:pt>
                <c:pt idx="3710" formatCode="0.00">
                  <c:v>2.6047699999999998</c:v>
                </c:pt>
                <c:pt idx="3711" formatCode="0.00">
                  <c:v>2.7151900000000002</c:v>
                </c:pt>
                <c:pt idx="3712" formatCode="0.00">
                  <c:v>2.6047699999999998</c:v>
                </c:pt>
                <c:pt idx="3713" formatCode="0.00">
                  <c:v>2.5538099999999999</c:v>
                </c:pt>
                <c:pt idx="3714" formatCode="0.00">
                  <c:v>1.7100900000000001</c:v>
                </c:pt>
                <c:pt idx="3715" formatCode="0.00">
                  <c:v>1.87713</c:v>
                </c:pt>
                <c:pt idx="3716" formatCode="0.00">
                  <c:v>3.68065</c:v>
                </c:pt>
                <c:pt idx="3717" formatCode="0.00">
                  <c:v>1.62798</c:v>
                </c:pt>
                <c:pt idx="3718" formatCode="0.00">
                  <c:v>0.74178999999999995</c:v>
                </c:pt>
                <c:pt idx="3719" formatCode="0.00">
                  <c:v>1.34768</c:v>
                </c:pt>
                <c:pt idx="3720" formatCode="0.00">
                  <c:v>1.00227</c:v>
                </c:pt>
                <c:pt idx="3721" formatCode="0.00">
                  <c:v>1.4552700000000001</c:v>
                </c:pt>
                <c:pt idx="3722" formatCode="0.00">
                  <c:v>2.1093000000000002</c:v>
                </c:pt>
                <c:pt idx="3723" formatCode="0.00">
                  <c:v>1.68177</c:v>
                </c:pt>
                <c:pt idx="3724" formatCode="0.00">
                  <c:v>1.88846</c:v>
                </c:pt>
                <c:pt idx="3725" formatCode="0.00">
                  <c:v>4.0770299999999997</c:v>
                </c:pt>
                <c:pt idx="3726" formatCode="0.00">
                  <c:v>3.59571</c:v>
                </c:pt>
                <c:pt idx="3727" formatCode="0.00">
                  <c:v>3.93547</c:v>
                </c:pt>
                <c:pt idx="3728" formatCode="0.00">
                  <c:v>3.3409</c:v>
                </c:pt>
                <c:pt idx="3729" formatCode="0.00">
                  <c:v>1.56569</c:v>
                </c:pt>
                <c:pt idx="3730" formatCode="0.00">
                  <c:v>0.86636999999999997</c:v>
                </c:pt>
                <c:pt idx="3731" formatCode="0.00">
                  <c:v>0.40487000000000001</c:v>
                </c:pt>
                <c:pt idx="3732" formatCode="0.00">
                  <c:v>0.51246000000000003</c:v>
                </c:pt>
                <c:pt idx="3733" formatCode="0.00">
                  <c:v>0.73612999999999995</c:v>
                </c:pt>
                <c:pt idx="3734" formatCode="0.00">
                  <c:v>0.52944999999999998</c:v>
                </c:pt>
                <c:pt idx="3735" formatCode="0.00">
                  <c:v>0.54644000000000004</c:v>
                </c:pt>
                <c:pt idx="3736" formatCode="0.00">
                  <c:v>0.69366000000000005</c:v>
                </c:pt>
                <c:pt idx="3737" formatCode="0.00">
                  <c:v>1.05606</c:v>
                </c:pt>
                <c:pt idx="3738" formatCode="0.00">
                  <c:v>1.10703</c:v>
                </c:pt>
                <c:pt idx="3739" formatCode="0.00">
                  <c:v>1.69876</c:v>
                </c:pt>
                <c:pt idx="3740" formatCode="0.00">
                  <c:v>1.53738</c:v>
                </c:pt>
                <c:pt idx="3741" formatCode="0.00">
                  <c:v>1.50624</c:v>
                </c:pt>
                <c:pt idx="3742" formatCode="0.00">
                  <c:v>1.26841</c:v>
                </c:pt>
                <c:pt idx="3743" formatCode="0.00">
                  <c:v>1.08155</c:v>
                </c:pt>
                <c:pt idx="3744" formatCode="0.00">
                  <c:v>1.05606</c:v>
                </c:pt>
                <c:pt idx="3745" formatCode="0.00">
                  <c:v>0.46433000000000002</c:v>
                </c:pt>
                <c:pt idx="3746" formatCode="0.00">
                  <c:v>1.12401</c:v>
                </c:pt>
                <c:pt idx="3747" formatCode="0.00">
                  <c:v>2.1913999999999998</c:v>
                </c:pt>
                <c:pt idx="3748" formatCode="0.00">
                  <c:v>3.00115</c:v>
                </c:pt>
                <c:pt idx="3749" formatCode="0.00">
                  <c:v>3.59571</c:v>
                </c:pt>
                <c:pt idx="3750" formatCode="0.00">
                  <c:v>4.0204000000000004</c:v>
                </c:pt>
                <c:pt idx="3751" formatCode="0.00">
                  <c:v>5.3227900000000004</c:v>
                </c:pt>
                <c:pt idx="3752" formatCode="0.00">
                  <c:v>8.5221199999999993</c:v>
                </c:pt>
                <c:pt idx="3753" formatCode="0.00">
                  <c:v>6.1721700000000004</c:v>
                </c:pt>
                <c:pt idx="3754" formatCode="0.00">
                  <c:v>8.7203099999999996</c:v>
                </c:pt>
                <c:pt idx="3755" formatCode="0.00">
                  <c:v>6.0872299999999999</c:v>
                </c:pt>
                <c:pt idx="3756" formatCode="0.00">
                  <c:v>9.6263199999999998</c:v>
                </c:pt>
                <c:pt idx="3757" formatCode="0.00">
                  <c:v>2.7435</c:v>
                </c:pt>
                <c:pt idx="3758" formatCode="0.00">
                  <c:v>1.3023800000000001</c:v>
                </c:pt>
                <c:pt idx="3759" formatCode="0.00">
                  <c:v>0.62004999999999999</c:v>
                </c:pt>
                <c:pt idx="3760" formatCode="0.00">
                  <c:v>1.0730500000000001</c:v>
                </c:pt>
                <c:pt idx="3761" formatCode="0.00">
                  <c:v>1.0730500000000001</c:v>
                </c:pt>
                <c:pt idx="3762" formatCode="0.00">
                  <c:v>1.22028</c:v>
                </c:pt>
                <c:pt idx="3763" formatCode="0.00">
                  <c:v>1.22028</c:v>
                </c:pt>
                <c:pt idx="3764" formatCode="0.00">
                  <c:v>4.2469099999999997</c:v>
                </c:pt>
                <c:pt idx="3765" formatCode="0.00">
                  <c:v>4.2469099999999997</c:v>
                </c:pt>
                <c:pt idx="3766" formatCode="0.00">
                  <c:v>3.7938999999999998</c:v>
                </c:pt>
                <c:pt idx="3767" formatCode="0.00">
                  <c:v>3.7938999999999998</c:v>
                </c:pt>
                <c:pt idx="3768" formatCode="0.00">
                  <c:v>2.7548300000000001</c:v>
                </c:pt>
                <c:pt idx="3769" formatCode="0.00">
                  <c:v>2.7548300000000001</c:v>
                </c:pt>
                <c:pt idx="3770" formatCode="0.00">
                  <c:v>2.5085099999999998</c:v>
                </c:pt>
                <c:pt idx="3771" formatCode="0.00">
                  <c:v>2.5085099999999998</c:v>
                </c:pt>
                <c:pt idx="3772" formatCode="0.00">
                  <c:v>2.8595799999999998</c:v>
                </c:pt>
                <c:pt idx="3773" formatCode="0.00">
                  <c:v>2.8595799999999998</c:v>
                </c:pt>
                <c:pt idx="3774" formatCode="0.00">
                  <c:v>2.91621</c:v>
                </c:pt>
                <c:pt idx="3775" formatCode="0.00">
                  <c:v>2.91621</c:v>
                </c:pt>
                <c:pt idx="3776" formatCode="0.00">
                  <c:v>2.8879000000000001</c:v>
                </c:pt>
                <c:pt idx="3777" formatCode="0.00">
                  <c:v>2.8879000000000001</c:v>
                </c:pt>
                <c:pt idx="3778" formatCode="0.00">
                  <c:v>2.0130300000000001</c:v>
                </c:pt>
                <c:pt idx="3779" formatCode="0.00">
                  <c:v>2.0130300000000001</c:v>
                </c:pt>
                <c:pt idx="3780" formatCode="0.00">
                  <c:v>2.6047699999999998</c:v>
                </c:pt>
                <c:pt idx="3781" formatCode="0.00">
                  <c:v>2.6047699999999998</c:v>
                </c:pt>
                <c:pt idx="3782" formatCode="0.00">
                  <c:v>2.5566399999999998</c:v>
                </c:pt>
                <c:pt idx="3783" formatCode="0.00">
                  <c:v>2.5566399999999998</c:v>
                </c:pt>
                <c:pt idx="3784" formatCode="0.00">
                  <c:v>1.9734</c:v>
                </c:pt>
                <c:pt idx="3785" formatCode="0.00">
                  <c:v>1.9734</c:v>
                </c:pt>
                <c:pt idx="3786" formatCode="0.00">
                  <c:v>1.93093</c:v>
                </c:pt>
                <c:pt idx="3787" formatCode="0.00">
                  <c:v>1.85165</c:v>
                </c:pt>
                <c:pt idx="3788" formatCode="0.00">
                  <c:v>1.85165</c:v>
                </c:pt>
                <c:pt idx="3789" formatCode="0.00">
                  <c:v>1.58551</c:v>
                </c:pt>
                <c:pt idx="3790" formatCode="0.00">
                  <c:v>1.58551</c:v>
                </c:pt>
                <c:pt idx="3791" formatCode="0.00">
                  <c:v>2.1432699999999998</c:v>
                </c:pt>
                <c:pt idx="3792" formatCode="0.00">
                  <c:v>2.1432699999999998</c:v>
                </c:pt>
                <c:pt idx="3793" formatCode="0.00">
                  <c:v>1.44678</c:v>
                </c:pt>
                <c:pt idx="3794" formatCode="0.00">
                  <c:v>1.44678</c:v>
                </c:pt>
                <c:pt idx="3795" formatCode="0.00">
                  <c:v>1.5147299999999999</c:v>
                </c:pt>
                <c:pt idx="3796" formatCode="0.00">
                  <c:v>1.5147299999999999</c:v>
                </c:pt>
                <c:pt idx="3797" formatCode="0.00">
                  <c:v>1.34768</c:v>
                </c:pt>
                <c:pt idx="3798" formatCode="0.00">
                  <c:v>1.34768</c:v>
                </c:pt>
                <c:pt idx="3799" formatCode="0.00">
                  <c:v>1.25142</c:v>
                </c:pt>
                <c:pt idx="3800" formatCode="0.00">
                  <c:v>1.25142</c:v>
                </c:pt>
                <c:pt idx="3801" formatCode="0.00">
                  <c:v>0.63704000000000005</c:v>
                </c:pt>
                <c:pt idx="3802" formatCode="0.00">
                  <c:v>0.63704000000000005</c:v>
                </c:pt>
                <c:pt idx="3803" formatCode="0.00">
                  <c:v>0.3624</c:v>
                </c:pt>
                <c:pt idx="3804" formatCode="0.00">
                  <c:v>0.3624</c:v>
                </c:pt>
                <c:pt idx="3805" formatCode="0.00">
                  <c:v>0.20527000000000001</c:v>
                </c:pt>
                <c:pt idx="3806" formatCode="0.00">
                  <c:v>0.20527000000000001</c:v>
                </c:pt>
                <c:pt idx="3807" formatCode="0.00">
                  <c:v>0.16789000000000001</c:v>
                </c:pt>
                <c:pt idx="3808" formatCode="0.00">
                  <c:v>0.16789000000000001</c:v>
                </c:pt>
                <c:pt idx="3809" formatCode="0.00">
                  <c:v>1.1098600000000001</c:v>
                </c:pt>
                <c:pt idx="3810" formatCode="0.00">
                  <c:v>1.1098600000000001</c:v>
                </c:pt>
                <c:pt idx="3811" formatCode="0.00">
                  <c:v>1.7723800000000001</c:v>
                </c:pt>
                <c:pt idx="3812" formatCode="0.00">
                  <c:v>1.7723800000000001</c:v>
                </c:pt>
                <c:pt idx="3813" formatCode="0.00">
                  <c:v>1.46943</c:v>
                </c:pt>
                <c:pt idx="3814" formatCode="0.00">
                  <c:v>1.46943</c:v>
                </c:pt>
                <c:pt idx="3815" formatCode="0.00">
                  <c:v>1.5402100000000001</c:v>
                </c:pt>
                <c:pt idx="3816" formatCode="0.00">
                  <c:v>1.5402100000000001</c:v>
                </c:pt>
                <c:pt idx="3817" formatCode="0.00">
                  <c:v>3.5674000000000001</c:v>
                </c:pt>
                <c:pt idx="3818" formatCode="0.00">
                  <c:v>3.5674000000000001</c:v>
                </c:pt>
                <c:pt idx="3819" formatCode="0.00">
                  <c:v>6.5119199999999999</c:v>
                </c:pt>
                <c:pt idx="3820" formatCode="0.00">
                  <c:v>6.5119199999999999</c:v>
                </c:pt>
                <c:pt idx="3821" formatCode="0.00">
                  <c:v>6.4269800000000004</c:v>
                </c:pt>
                <c:pt idx="3822" formatCode="0.00">
                  <c:v>6.4269800000000004</c:v>
                </c:pt>
                <c:pt idx="3823" formatCode="0.00">
                  <c:v>4.8131599999999999</c:v>
                </c:pt>
                <c:pt idx="3824" formatCode="0.00">
                  <c:v>4.8131599999999999</c:v>
                </c:pt>
                <c:pt idx="3825" formatCode="0.00">
                  <c:v>5.2661600000000002</c:v>
                </c:pt>
                <c:pt idx="3826" formatCode="0.00">
                  <c:v>5.2661600000000002</c:v>
                </c:pt>
                <c:pt idx="3827" formatCode="0.00">
                  <c:v>4.5866600000000002</c:v>
                </c:pt>
                <c:pt idx="3828" formatCode="0.00">
                  <c:v>4.5866600000000002</c:v>
                </c:pt>
                <c:pt idx="3829" formatCode="0.00">
                  <c:v>3.9637799999999999</c:v>
                </c:pt>
                <c:pt idx="3830" formatCode="0.00">
                  <c:v>3.9637799999999999</c:v>
                </c:pt>
                <c:pt idx="3831" formatCode="0.00">
                  <c:v>3.25596</c:v>
                </c:pt>
                <c:pt idx="3832" formatCode="0.00">
                  <c:v>3.25596</c:v>
                </c:pt>
                <c:pt idx="3833" formatCode="0.00">
                  <c:v>3.5390899999999998</c:v>
                </c:pt>
                <c:pt idx="3834" formatCode="0.00">
                  <c:v>3.5390899999999998</c:v>
                </c:pt>
                <c:pt idx="3835" formatCode="0.00">
                  <c:v>2.4943499999999998</c:v>
                </c:pt>
                <c:pt idx="3836" formatCode="0.00">
                  <c:v>2.4943499999999998</c:v>
                </c:pt>
                <c:pt idx="3837" formatCode="0.00">
                  <c:v>2.1602600000000001</c:v>
                </c:pt>
                <c:pt idx="3838" formatCode="0.00">
                  <c:v>2.1602600000000001</c:v>
                </c:pt>
                <c:pt idx="3839" formatCode="0.00">
                  <c:v>1.2401</c:v>
                </c:pt>
                <c:pt idx="3840" formatCode="0.00">
                  <c:v>1.2401</c:v>
                </c:pt>
                <c:pt idx="3841" formatCode="0.00">
                  <c:v>0.86070999999999998</c:v>
                </c:pt>
                <c:pt idx="3842" formatCode="0.00">
                  <c:v>0.86070999999999998</c:v>
                </c:pt>
                <c:pt idx="3843" formatCode="0.00">
                  <c:v>0.61155000000000004</c:v>
                </c:pt>
                <c:pt idx="3844" formatCode="0.00">
                  <c:v>0.61155000000000004</c:v>
                </c:pt>
                <c:pt idx="3845" formatCode="0.00">
                  <c:v>0.53227999999999998</c:v>
                </c:pt>
                <c:pt idx="3846" formatCode="0.00">
                  <c:v>0.53227999999999998</c:v>
                </c:pt>
                <c:pt idx="3847" formatCode="0.00">
                  <c:v>0.53793999999999997</c:v>
                </c:pt>
                <c:pt idx="3848" formatCode="0.00">
                  <c:v>0.37373000000000001</c:v>
                </c:pt>
                <c:pt idx="3849" formatCode="0.00">
                  <c:v>1.5515399999999999</c:v>
                </c:pt>
                <c:pt idx="3850" formatCode="0.00">
                  <c:v>8.55044</c:v>
                </c:pt>
                <c:pt idx="3851" formatCode="0.00">
                  <c:v>7.1631099999999996</c:v>
                </c:pt>
                <c:pt idx="3852" formatCode="0.00">
                  <c:v>11.0136</c:v>
                </c:pt>
                <c:pt idx="3853" formatCode="0.00">
                  <c:v>7.5877999999999997</c:v>
                </c:pt>
                <c:pt idx="3854" formatCode="0.00">
                  <c:v>2.9728300000000001</c:v>
                </c:pt>
                <c:pt idx="3855" formatCode="0.00">
                  <c:v>0.98811000000000004</c:v>
                </c:pt>
                <c:pt idx="3856" formatCode="0.00">
                  <c:v>2.8086199999999999</c:v>
                </c:pt>
                <c:pt idx="3857" formatCode="0.00">
                  <c:v>10.1076</c:v>
                </c:pt>
                <c:pt idx="3858" formatCode="0.00">
                  <c:v>9.2865699999999993</c:v>
                </c:pt>
                <c:pt idx="3859" formatCode="0.00">
                  <c:v>12.9672</c:v>
                </c:pt>
                <c:pt idx="3860" formatCode="0.00">
                  <c:v>11.6648</c:v>
                </c:pt>
                <c:pt idx="3861" formatCode="0.00">
                  <c:v>4.8131599999999999</c:v>
                </c:pt>
                <c:pt idx="3862" formatCode="0.00">
                  <c:v>4.0204000000000004</c:v>
                </c:pt>
                <c:pt idx="3863" formatCode="0.00">
                  <c:v>1.0589</c:v>
                </c:pt>
                <c:pt idx="3864" formatCode="0.00">
                  <c:v>1.3505199999999999</c:v>
                </c:pt>
                <c:pt idx="3865" formatCode="0.00">
                  <c:v>5.37941</c:v>
                </c:pt>
                <c:pt idx="3866" formatCode="0.00">
                  <c:v>6.9649200000000002</c:v>
                </c:pt>
                <c:pt idx="3867" formatCode="0.00">
                  <c:v>3.85053</c:v>
                </c:pt>
                <c:pt idx="3868" formatCode="0.00">
                  <c:v>2.2310400000000001</c:v>
                </c:pt>
                <c:pt idx="3869" formatCode="0.00">
                  <c:v>1.8799600000000001</c:v>
                </c:pt>
                <c:pt idx="3870" formatCode="0.00">
                  <c:v>0.72480999999999995</c:v>
                </c:pt>
                <c:pt idx="3871" formatCode="0.00">
                  <c:v>1.3335300000000001</c:v>
                </c:pt>
                <c:pt idx="3872" formatCode="0.00">
                  <c:v>4.1619700000000002</c:v>
                </c:pt>
                <c:pt idx="3873" formatCode="0.00">
                  <c:v>2.6528999999999998</c:v>
                </c:pt>
                <c:pt idx="3874" formatCode="0.00">
                  <c:v>8.3239300000000007</c:v>
                </c:pt>
                <c:pt idx="3875" formatCode="0.00">
                  <c:v>6.2854200000000002</c:v>
                </c:pt>
                <c:pt idx="3876" formatCode="0.00">
                  <c:v>4.5017199999999997</c:v>
                </c:pt>
                <c:pt idx="3877" formatCode="0.00">
                  <c:v>1.141</c:v>
                </c:pt>
                <c:pt idx="3878" formatCode="0.00">
                  <c:v>35.957099999999997</c:v>
                </c:pt>
                <c:pt idx="3879" formatCode="0.00">
                  <c:v>21.970700000000001</c:v>
                </c:pt>
                <c:pt idx="3880" formatCode="0.00">
                  <c:v>21.970700000000001</c:v>
                </c:pt>
                <c:pt idx="3881" formatCode="0.00">
                  <c:v>26.981999999999999</c:v>
                </c:pt>
                <c:pt idx="3882" formatCode="0.00">
                  <c:v>37.372799999999998</c:v>
                </c:pt>
                <c:pt idx="3883" formatCode="0.00">
                  <c:v>37.372799999999998</c:v>
                </c:pt>
                <c:pt idx="3884" formatCode="0.00">
                  <c:v>43.318399999999997</c:v>
                </c:pt>
                <c:pt idx="3885" formatCode="0.00">
                  <c:v>41.053400000000003</c:v>
                </c:pt>
                <c:pt idx="3886" formatCode="0.00">
                  <c:v>30.294599999999999</c:v>
                </c:pt>
                <c:pt idx="3887" formatCode="0.00">
                  <c:v>29.728300000000001</c:v>
                </c:pt>
                <c:pt idx="3888" formatCode="0.00">
                  <c:v>34.258400000000002</c:v>
                </c:pt>
                <c:pt idx="3889" formatCode="0.00">
                  <c:v>52.944800000000001</c:v>
                </c:pt>
                <c:pt idx="3890" formatCode="0.00">
                  <c:v>57.757899999999999</c:v>
                </c:pt>
                <c:pt idx="3891" formatCode="0.00">
                  <c:v>57.757899999999999</c:v>
                </c:pt>
                <c:pt idx="3892" formatCode="0.00">
                  <c:v>63.420499999999997</c:v>
                </c:pt>
                <c:pt idx="3893" formatCode="0.00">
                  <c:v>63.420499999999997</c:v>
                </c:pt>
                <c:pt idx="3894" formatCode="0.00">
                  <c:v>51.5291</c:v>
                </c:pt>
                <c:pt idx="3895" formatCode="0.00">
                  <c:v>51.5291</c:v>
                </c:pt>
                <c:pt idx="3896" formatCode="0.00">
                  <c:v>45.3003</c:v>
                </c:pt>
                <c:pt idx="3897" formatCode="0.00">
                  <c:v>40.204000000000001</c:v>
                </c:pt>
                <c:pt idx="3898" formatCode="0.00">
                  <c:v>38.505299999999998</c:v>
                </c:pt>
                <c:pt idx="3899" formatCode="0.00">
                  <c:v>45.583399999999997</c:v>
                </c:pt>
                <c:pt idx="3900" formatCode="0.00">
                  <c:v>45.583399999999997</c:v>
                </c:pt>
                <c:pt idx="3901" formatCode="0.00">
                  <c:v>32.842700000000001</c:v>
                </c:pt>
                <c:pt idx="3902" formatCode="0.00">
                  <c:v>33.125900000000001</c:v>
                </c:pt>
                <c:pt idx="3903" formatCode="0.00">
                  <c:v>23.811</c:v>
                </c:pt>
                <c:pt idx="3904" formatCode="0.00">
                  <c:v>24.830200000000001</c:v>
                </c:pt>
                <c:pt idx="3905" formatCode="0.00">
                  <c:v>22.763400000000001</c:v>
                </c:pt>
                <c:pt idx="3906" formatCode="0.00">
                  <c:v>14.5527</c:v>
                </c:pt>
                <c:pt idx="3907" formatCode="0.00">
                  <c:v>13.873200000000001</c:v>
                </c:pt>
                <c:pt idx="3908" formatCode="0.00">
                  <c:v>7.53118</c:v>
                </c:pt>
                <c:pt idx="3909" formatCode="0.00">
                  <c:v>7.3046800000000003</c:v>
                </c:pt>
                <c:pt idx="3910" formatCode="0.00">
                  <c:v>6.0589199999999996</c:v>
                </c:pt>
                <c:pt idx="3911" formatCode="0.00">
                  <c:v>5.9739800000000001</c:v>
                </c:pt>
                <c:pt idx="3912" formatCode="0.00">
                  <c:v>5.2661600000000002</c:v>
                </c:pt>
                <c:pt idx="3913" formatCode="0.00">
                  <c:v>5.2378499999999999</c:v>
                </c:pt>
                <c:pt idx="3914" formatCode="0.00">
                  <c:v>3.8788399999999998</c:v>
                </c:pt>
                <c:pt idx="3915" formatCode="0.00">
                  <c:v>42.185899999999997</c:v>
                </c:pt>
                <c:pt idx="3916" formatCode="0.00">
                  <c:v>54.643500000000003</c:v>
                </c:pt>
                <c:pt idx="3917" formatCode="0.00">
                  <c:v>48.414700000000003</c:v>
                </c:pt>
                <c:pt idx="3918" formatCode="0.00">
                  <c:v>45.583399999999997</c:v>
                </c:pt>
                <c:pt idx="3919" formatCode="0.00">
                  <c:v>31.7102</c:v>
                </c:pt>
                <c:pt idx="3920" formatCode="0.00">
                  <c:v>50.679699999999997</c:v>
                </c:pt>
                <c:pt idx="3921" formatCode="0.00">
                  <c:v>63.420499999999997</c:v>
                </c:pt>
                <c:pt idx="3922" formatCode="0.00">
                  <c:v>54.360399999999998</c:v>
                </c:pt>
                <c:pt idx="3923" formatCode="0.00">
                  <c:v>49.547199999999997</c:v>
                </c:pt>
                <c:pt idx="3924" formatCode="0.00">
                  <c:v>48.697800000000001</c:v>
                </c:pt>
                <c:pt idx="3925" formatCode="0.00">
                  <c:v>65.402299999999997</c:v>
                </c:pt>
                <c:pt idx="3926" formatCode="0.00">
                  <c:v>91.45</c:v>
                </c:pt>
                <c:pt idx="3927" formatCode="0.00">
                  <c:v>121.745</c:v>
                </c:pt>
                <c:pt idx="3928" formatCode="0.00">
                  <c:v>148.92500000000001</c:v>
                </c:pt>
                <c:pt idx="3929" formatCode="0.00">
                  <c:v>123.443</c:v>
                </c:pt>
                <c:pt idx="3930" formatCode="0.00">
                  <c:v>124.29300000000001</c:v>
                </c:pt>
                <c:pt idx="3931" formatCode="0.00">
                  <c:v>82.106800000000007</c:v>
                </c:pt>
                <c:pt idx="3932" formatCode="0.00">
                  <c:v>77.576800000000006</c:v>
                </c:pt>
                <c:pt idx="3933" formatCode="0.00">
                  <c:v>91.166899999999998</c:v>
                </c:pt>
                <c:pt idx="3934" formatCode="0.00">
                  <c:v>63.137300000000003</c:v>
                </c:pt>
                <c:pt idx="3935" formatCode="0.00">
                  <c:v>25.226600000000001</c:v>
                </c:pt>
                <c:pt idx="3936" formatCode="0.00">
                  <c:v>18.261700000000001</c:v>
                </c:pt>
                <c:pt idx="3937" formatCode="0.00">
                  <c:v>18.261700000000001</c:v>
                </c:pt>
                <c:pt idx="3938" formatCode="0.00">
                  <c:v>23.301400000000001</c:v>
                </c:pt>
                <c:pt idx="3939" formatCode="0.00">
                  <c:v>23.301400000000001</c:v>
                </c:pt>
                <c:pt idx="3940" formatCode="0.00">
                  <c:v>17.299099999999999</c:v>
                </c:pt>
                <c:pt idx="3941" formatCode="0.00">
                  <c:v>17.299099999999999</c:v>
                </c:pt>
                <c:pt idx="3942" formatCode="0.00">
                  <c:v>16.3931</c:v>
                </c:pt>
                <c:pt idx="3943" formatCode="0.00">
                  <c:v>16.3931</c:v>
                </c:pt>
                <c:pt idx="3944" formatCode="0.00">
                  <c:v>15.175599999999999</c:v>
                </c:pt>
                <c:pt idx="3945" formatCode="0.00">
                  <c:v>15.175599999999999</c:v>
                </c:pt>
                <c:pt idx="3946" formatCode="0.00">
                  <c:v>16.279800000000002</c:v>
                </c:pt>
                <c:pt idx="3947" formatCode="0.00">
                  <c:v>16.279800000000002</c:v>
                </c:pt>
                <c:pt idx="3948" formatCode="0.00">
                  <c:v>38.788400000000003</c:v>
                </c:pt>
                <c:pt idx="3949" formatCode="0.00">
                  <c:v>38.788400000000003</c:v>
                </c:pt>
                <c:pt idx="3950" formatCode="0.00">
                  <c:v>42.185899999999997</c:v>
                </c:pt>
                <c:pt idx="3951" formatCode="0.00">
                  <c:v>42.185899999999997</c:v>
                </c:pt>
                <c:pt idx="3952" formatCode="0.00">
                  <c:v>30.860800000000001</c:v>
                </c:pt>
                <c:pt idx="3953" formatCode="0.00">
                  <c:v>30.860800000000001</c:v>
                </c:pt>
                <c:pt idx="3954" formatCode="0.00">
                  <c:v>26.359100000000002</c:v>
                </c:pt>
                <c:pt idx="3955" formatCode="0.00">
                  <c:v>26.359100000000002</c:v>
                </c:pt>
                <c:pt idx="3956" formatCode="0.00">
                  <c:v>23.329699999999999</c:v>
                </c:pt>
                <c:pt idx="3957" formatCode="0.00">
                  <c:v>23.329699999999999</c:v>
                </c:pt>
                <c:pt idx="3958" formatCode="0.00">
                  <c:v>22.706800000000001</c:v>
                </c:pt>
                <c:pt idx="3959" formatCode="0.00">
                  <c:v>22.706800000000001</c:v>
                </c:pt>
                <c:pt idx="3960" formatCode="0.00">
                  <c:v>25.3965</c:v>
                </c:pt>
                <c:pt idx="3961" formatCode="0.00">
                  <c:v>25.3965</c:v>
                </c:pt>
                <c:pt idx="3962" formatCode="0.00">
                  <c:v>27.406700000000001</c:v>
                </c:pt>
                <c:pt idx="3963" formatCode="0.00">
                  <c:v>27.406700000000001</c:v>
                </c:pt>
                <c:pt idx="3964" formatCode="0.00">
                  <c:v>24.575399999999998</c:v>
                </c:pt>
                <c:pt idx="3965" formatCode="0.00">
                  <c:v>24.575399999999998</c:v>
                </c:pt>
                <c:pt idx="3966" formatCode="0.00">
                  <c:v>16.6479</c:v>
                </c:pt>
                <c:pt idx="3967" formatCode="0.00">
                  <c:v>16.6479</c:v>
                </c:pt>
                <c:pt idx="3968" formatCode="0.00">
                  <c:v>13.7033</c:v>
                </c:pt>
                <c:pt idx="3969" formatCode="0.00">
                  <c:v>13.7033</c:v>
                </c:pt>
                <c:pt idx="3970" formatCode="0.00">
                  <c:v>27.972899999999999</c:v>
                </c:pt>
                <c:pt idx="3971" formatCode="0.00">
                  <c:v>27.972899999999999</c:v>
                </c:pt>
                <c:pt idx="3972" formatCode="0.00">
                  <c:v>29.162099999999999</c:v>
                </c:pt>
                <c:pt idx="3973" formatCode="0.00">
                  <c:v>29.162099999999999</c:v>
                </c:pt>
                <c:pt idx="3974" formatCode="0.00">
                  <c:v>47.848500000000001</c:v>
                </c:pt>
                <c:pt idx="3975" formatCode="0.00">
                  <c:v>47.848500000000001</c:v>
                </c:pt>
                <c:pt idx="3976" formatCode="0.00">
                  <c:v>48.414700000000003</c:v>
                </c:pt>
                <c:pt idx="3977" formatCode="0.00">
                  <c:v>48.414700000000003</c:v>
                </c:pt>
                <c:pt idx="3978" formatCode="0.00">
                  <c:v>48.131599999999999</c:v>
                </c:pt>
                <c:pt idx="3979" formatCode="0.00">
                  <c:v>48.131599999999999</c:v>
                </c:pt>
                <c:pt idx="3980" formatCode="0.00">
                  <c:v>53.227899999999998</c:v>
                </c:pt>
                <c:pt idx="3981" formatCode="0.00">
                  <c:v>53.227899999999998</c:v>
                </c:pt>
                <c:pt idx="3982" formatCode="0.00">
                  <c:v>71.631100000000004</c:v>
                </c:pt>
                <c:pt idx="3983" formatCode="0.00">
                  <c:v>71.631100000000004</c:v>
                </c:pt>
                <c:pt idx="3984" formatCode="0.00">
                  <c:v>70.781800000000004</c:v>
                </c:pt>
                <c:pt idx="3985" formatCode="0.00">
                  <c:v>70.781800000000004</c:v>
                </c:pt>
                <c:pt idx="3986" formatCode="0.00">
                  <c:v>82.956199999999995</c:v>
                </c:pt>
                <c:pt idx="3987" formatCode="0.00">
                  <c:v>82.956199999999995</c:v>
                </c:pt>
                <c:pt idx="3988" formatCode="0.00">
                  <c:v>88.052499999999995</c:v>
                </c:pt>
                <c:pt idx="3989" formatCode="0.00">
                  <c:v>88.052499999999995</c:v>
                </c:pt>
                <c:pt idx="3990" formatCode="0.00">
                  <c:v>95.130700000000004</c:v>
                </c:pt>
                <c:pt idx="3991" formatCode="0.00">
                  <c:v>95.130700000000004</c:v>
                </c:pt>
                <c:pt idx="3992" formatCode="0.00">
                  <c:v>83.2393</c:v>
                </c:pt>
                <c:pt idx="3993" formatCode="0.00">
                  <c:v>83.2393</c:v>
                </c:pt>
                <c:pt idx="3994" formatCode="0.00">
                  <c:v>66.534800000000004</c:v>
                </c:pt>
                <c:pt idx="3995" formatCode="0.00">
                  <c:v>66.534800000000004</c:v>
                </c:pt>
                <c:pt idx="3996" formatCode="0.00">
                  <c:v>68.233599999999996</c:v>
                </c:pt>
                <c:pt idx="3997" formatCode="0.00">
                  <c:v>68.233599999999996</c:v>
                </c:pt>
                <c:pt idx="3998" formatCode="0.00">
                  <c:v>51.812199999999997</c:v>
                </c:pt>
                <c:pt idx="3999" formatCode="0.00">
                  <c:v>51.812199999999997</c:v>
                </c:pt>
                <c:pt idx="4000" formatCode="0.00">
                  <c:v>48.414700000000003</c:v>
                </c:pt>
                <c:pt idx="4001" formatCode="0.00">
                  <c:v>48.414700000000003</c:v>
                </c:pt>
                <c:pt idx="4002" formatCode="0.00">
                  <c:v>57.191699999999997</c:v>
                </c:pt>
                <c:pt idx="4003" formatCode="0.00">
                  <c:v>57.191699999999997</c:v>
                </c:pt>
                <c:pt idx="4004" formatCode="0.00">
                  <c:v>55.492899999999999</c:v>
                </c:pt>
                <c:pt idx="4005" formatCode="0.00">
                  <c:v>55.492899999999999</c:v>
                </c:pt>
                <c:pt idx="4006" formatCode="0.00">
                  <c:v>142.97900000000001</c:v>
                </c:pt>
                <c:pt idx="4007" formatCode="0.00">
                  <c:v>142.97900000000001</c:v>
                </c:pt>
                <c:pt idx="4008" formatCode="0.00">
                  <c:v>0.23130999999999999</c:v>
                </c:pt>
                <c:pt idx="4009" formatCode="0.00">
                  <c:v>0.29161999999999999</c:v>
                </c:pt>
                <c:pt idx="4010" formatCode="0.00">
                  <c:v>0.3624</c:v>
                </c:pt>
                <c:pt idx="4011" formatCode="0.00">
                  <c:v>0.1996</c:v>
                </c:pt>
                <c:pt idx="4012" formatCode="0.00">
                  <c:v>0.24151</c:v>
                </c:pt>
                <c:pt idx="4013" formatCode="0.00">
                  <c:v>0.39524999999999999</c:v>
                </c:pt>
                <c:pt idx="4014" formatCode="0.00">
                  <c:v>0.49264000000000002</c:v>
                </c:pt>
                <c:pt idx="4015" formatCode="0.00">
                  <c:v>0.42326999999999998</c:v>
                </c:pt>
                <c:pt idx="4016" formatCode="0.00">
                  <c:v>0.37373000000000001</c:v>
                </c:pt>
                <c:pt idx="4017" formatCode="0.00">
                  <c:v>0.36523</c:v>
                </c:pt>
                <c:pt idx="4018" formatCode="0.00">
                  <c:v>0.18743000000000001</c:v>
                </c:pt>
                <c:pt idx="4019" formatCode="0.00">
                  <c:v>0.27039000000000002</c:v>
                </c:pt>
                <c:pt idx="4020" formatCode="0.00">
                  <c:v>0.22197</c:v>
                </c:pt>
                <c:pt idx="4021" formatCode="0.00">
                  <c:v>0.37656000000000001</c:v>
                </c:pt>
                <c:pt idx="4022" formatCode="0.00">
                  <c:v>0.30578</c:v>
                </c:pt>
                <c:pt idx="4023" formatCode="0.00">
                  <c:v>0.28878999999999999</c:v>
                </c:pt>
                <c:pt idx="4024" formatCode="0.00">
                  <c:v>0.29444999999999999</c:v>
                </c:pt>
                <c:pt idx="4025" formatCode="0.00">
                  <c:v>0.29161999999999999</c:v>
                </c:pt>
                <c:pt idx="4026" formatCode="0.00">
                  <c:v>0.31143999999999999</c:v>
                </c:pt>
                <c:pt idx="4027" formatCode="0.00">
                  <c:v>0.31143999999999999</c:v>
                </c:pt>
                <c:pt idx="4028" formatCode="0.00">
                  <c:v>0.31143999999999999</c:v>
                </c:pt>
                <c:pt idx="4029" formatCode="0.00">
                  <c:v>0.31143999999999999</c:v>
                </c:pt>
                <c:pt idx="4030" formatCode="0.00">
                  <c:v>0.31143999999999999</c:v>
                </c:pt>
                <c:pt idx="4031" formatCode="0.00">
                  <c:v>0.35674</c:v>
                </c:pt>
                <c:pt idx="4032" formatCode="0.00">
                  <c:v>0.33126</c:v>
                </c:pt>
                <c:pt idx="4033" formatCode="0.00">
                  <c:v>0.42752000000000001</c:v>
                </c:pt>
                <c:pt idx="4034" formatCode="0.00">
                  <c:v>0.46999000000000002</c:v>
                </c:pt>
                <c:pt idx="4035" formatCode="0.00">
                  <c:v>0.58040999999999998</c:v>
                </c:pt>
                <c:pt idx="4036" formatCode="0.00">
                  <c:v>0.60023000000000004</c:v>
                </c:pt>
                <c:pt idx="4037" formatCode="0.00">
                  <c:v>0.63704000000000005</c:v>
                </c:pt>
                <c:pt idx="4038" formatCode="0.00">
                  <c:v>0.49264000000000002</c:v>
                </c:pt>
                <c:pt idx="4039" formatCode="0.00">
                  <c:v>0.31992999999999999</c:v>
                </c:pt>
                <c:pt idx="4040" formatCode="0.00">
                  <c:v>0.52944999999999998</c:v>
                </c:pt>
                <c:pt idx="4041" formatCode="0.00">
                  <c:v>0.39072000000000001</c:v>
                </c:pt>
                <c:pt idx="4042" formatCode="0.00">
                  <c:v>0.34258</c:v>
                </c:pt>
                <c:pt idx="4043" formatCode="0.00">
                  <c:v>0.85787000000000002</c:v>
                </c:pt>
                <c:pt idx="4044" formatCode="0.00">
                  <c:v>0.91449999999999998</c:v>
                </c:pt>
                <c:pt idx="4045" formatCode="0.00">
                  <c:v>1.13534</c:v>
                </c:pt>
                <c:pt idx="4046" formatCode="0.00">
                  <c:v>1.51756</c:v>
                </c:pt>
                <c:pt idx="4047" formatCode="0.00">
                  <c:v>1.28257</c:v>
                </c:pt>
                <c:pt idx="4048" formatCode="0.00">
                  <c:v>0.69649000000000005</c:v>
                </c:pt>
                <c:pt idx="4049" formatCode="0.00">
                  <c:v>0.56625000000000003</c:v>
                </c:pt>
                <c:pt idx="4050" formatCode="0.00">
                  <c:v>0.58889999999999998</c:v>
                </c:pt>
                <c:pt idx="4051" formatCode="0.00">
                  <c:v>0.58889999999999998</c:v>
                </c:pt>
                <c:pt idx="4052" formatCode="0.00">
                  <c:v>1.08155</c:v>
                </c:pt>
                <c:pt idx="4053" formatCode="0.00">
                  <c:v>1.08155</c:v>
                </c:pt>
                <c:pt idx="4054" formatCode="0.00">
                  <c:v>1.19763</c:v>
                </c:pt>
                <c:pt idx="4055" formatCode="0.00">
                  <c:v>1.19763</c:v>
                </c:pt>
                <c:pt idx="4056" formatCode="0.00">
                  <c:v>1.37033</c:v>
                </c:pt>
                <c:pt idx="4057" formatCode="0.00">
                  <c:v>1.37033</c:v>
                </c:pt>
                <c:pt idx="4058" formatCode="0.00">
                  <c:v>1.27407</c:v>
                </c:pt>
                <c:pt idx="4059" formatCode="0.00">
                  <c:v>1.27407</c:v>
                </c:pt>
                <c:pt idx="4060" formatCode="0.00">
                  <c:v>1.0419099999999999</c:v>
                </c:pt>
                <c:pt idx="4061" formatCode="0.00">
                  <c:v>1.0419099999999999</c:v>
                </c:pt>
                <c:pt idx="4062" formatCode="0.00">
                  <c:v>0.83806000000000003</c:v>
                </c:pt>
                <c:pt idx="4063" formatCode="0.00">
                  <c:v>0.83806000000000003</c:v>
                </c:pt>
                <c:pt idx="4064" formatCode="0.00">
                  <c:v>0.80974000000000002</c:v>
                </c:pt>
                <c:pt idx="4065" formatCode="0.00">
                  <c:v>0.80974000000000002</c:v>
                </c:pt>
                <c:pt idx="4066" formatCode="0.00">
                  <c:v>0.70499000000000001</c:v>
                </c:pt>
                <c:pt idx="4067" formatCode="0.00">
                  <c:v>0.70499000000000001</c:v>
                </c:pt>
                <c:pt idx="4068" formatCode="0.00">
                  <c:v>0.78991999999999996</c:v>
                </c:pt>
                <c:pt idx="4069" formatCode="0.00">
                  <c:v>0.78991999999999996</c:v>
                </c:pt>
                <c:pt idx="4070" formatCode="0.00">
                  <c:v>0.68233999999999995</c:v>
                </c:pt>
                <c:pt idx="4071" formatCode="0.00">
                  <c:v>0.68233999999999995</c:v>
                </c:pt>
                <c:pt idx="4072" formatCode="0.00">
                  <c:v>0.64270000000000005</c:v>
                </c:pt>
                <c:pt idx="4073" formatCode="0.00">
                  <c:v>0.64270000000000005</c:v>
                </c:pt>
                <c:pt idx="4074" formatCode="0.00">
                  <c:v>0.48132000000000003</c:v>
                </c:pt>
                <c:pt idx="4075" formatCode="0.00">
                  <c:v>0.48132000000000003</c:v>
                </c:pt>
                <c:pt idx="4076" formatCode="0.00">
                  <c:v>0.39921000000000001</c:v>
                </c:pt>
                <c:pt idx="4077" formatCode="0.00">
                  <c:v>0.39921000000000001</c:v>
                </c:pt>
                <c:pt idx="4078" formatCode="0.00">
                  <c:v>0.13958000000000001</c:v>
                </c:pt>
                <c:pt idx="4079" formatCode="0.00">
                  <c:v>0.13958000000000001</c:v>
                </c:pt>
                <c:pt idx="4080" formatCode="0.00">
                  <c:v>0.80125000000000002</c:v>
                </c:pt>
                <c:pt idx="4081" formatCode="0.00">
                  <c:v>0.80125000000000002</c:v>
                </c:pt>
                <c:pt idx="4082" formatCode="0.00">
                  <c:v>0.92298999999999998</c:v>
                </c:pt>
                <c:pt idx="4083" formatCode="0.00">
                  <c:v>0.92298999999999998</c:v>
                </c:pt>
                <c:pt idx="4084" formatCode="0.00">
                  <c:v>0.97113000000000005</c:v>
                </c:pt>
                <c:pt idx="4085" formatCode="0.00">
                  <c:v>0.97113000000000005</c:v>
                </c:pt>
                <c:pt idx="4086" formatCode="0.00">
                  <c:v>1.0107600000000001</c:v>
                </c:pt>
                <c:pt idx="4087" formatCode="0.00">
                  <c:v>1.0107600000000001</c:v>
                </c:pt>
                <c:pt idx="4088" formatCode="0.00">
                  <c:v>1.3816600000000001</c:v>
                </c:pt>
                <c:pt idx="4089" formatCode="0.00">
                  <c:v>1.3816600000000001</c:v>
                </c:pt>
                <c:pt idx="4090" formatCode="0.00">
                  <c:v>1.4439500000000001</c:v>
                </c:pt>
                <c:pt idx="4091" formatCode="0.00">
                  <c:v>1.56003</c:v>
                </c:pt>
                <c:pt idx="4092" formatCode="0.00">
                  <c:v>1.56003</c:v>
                </c:pt>
                <c:pt idx="4093" formatCode="0.00">
                  <c:v>2.1687500000000002</c:v>
                </c:pt>
                <c:pt idx="4094" formatCode="0.00">
                  <c:v>2.1687500000000002</c:v>
                </c:pt>
                <c:pt idx="4095" formatCode="0.00">
                  <c:v>1.7525599999999999</c:v>
                </c:pt>
                <c:pt idx="4096" formatCode="0.00">
                  <c:v>1.7525599999999999</c:v>
                </c:pt>
                <c:pt idx="4097" formatCode="0.00">
                  <c:v>2.3782700000000001</c:v>
                </c:pt>
                <c:pt idx="4098" formatCode="0.00">
                  <c:v>2.3782700000000001</c:v>
                </c:pt>
                <c:pt idx="4099" formatCode="0.00">
                  <c:v>3.25596</c:v>
                </c:pt>
                <c:pt idx="4100" formatCode="0.00">
                  <c:v>3.25596</c:v>
                </c:pt>
                <c:pt idx="4101" formatCode="0.00">
                  <c:v>3.9071500000000001</c:v>
                </c:pt>
                <c:pt idx="4102" formatCode="0.00">
                  <c:v>3.9071500000000001</c:v>
                </c:pt>
                <c:pt idx="4103" formatCode="0.00">
                  <c:v>3.9071500000000001</c:v>
                </c:pt>
                <c:pt idx="4104" formatCode="0.00">
                  <c:v>4.4167800000000002</c:v>
                </c:pt>
                <c:pt idx="4105" formatCode="0.00">
                  <c:v>4.4167800000000002</c:v>
                </c:pt>
                <c:pt idx="4106" formatCode="0.00">
                  <c:v>4.3601599999999996</c:v>
                </c:pt>
                <c:pt idx="4107" formatCode="0.00">
                  <c:v>4.3601599999999996</c:v>
                </c:pt>
                <c:pt idx="4108" formatCode="0.00">
                  <c:v>4.5583400000000003</c:v>
                </c:pt>
                <c:pt idx="4109" formatCode="0.00">
                  <c:v>4.5583400000000003</c:v>
                </c:pt>
                <c:pt idx="4110" formatCode="0.00">
                  <c:v>3.9071500000000001</c:v>
                </c:pt>
                <c:pt idx="4111" formatCode="0.00">
                  <c:v>3.9071500000000001</c:v>
                </c:pt>
                <c:pt idx="4112" formatCode="0.00">
                  <c:v>3.9071500000000001</c:v>
                </c:pt>
                <c:pt idx="4113" formatCode="0.00">
                  <c:v>3.9071500000000001</c:v>
                </c:pt>
                <c:pt idx="4114" formatCode="0.00">
                  <c:v>3.6240299999999999</c:v>
                </c:pt>
                <c:pt idx="4115" formatCode="0.00">
                  <c:v>3.6240299999999999</c:v>
                </c:pt>
                <c:pt idx="4116" formatCode="0.00">
                  <c:v>3.6240299999999999</c:v>
                </c:pt>
                <c:pt idx="4117" formatCode="0.00">
                  <c:v>7.5594900000000003</c:v>
                </c:pt>
                <c:pt idx="4118" formatCode="0.00">
                  <c:v>7.5594900000000003</c:v>
                </c:pt>
                <c:pt idx="4119" formatCode="0.00">
                  <c:v>5.6625399999999999</c:v>
                </c:pt>
                <c:pt idx="4120" formatCode="0.00">
                  <c:v>5.6625399999999999</c:v>
                </c:pt>
                <c:pt idx="4121" formatCode="0.00">
                  <c:v>4.2469099999999997</c:v>
                </c:pt>
                <c:pt idx="4122" formatCode="0.00">
                  <c:v>4.2469099999999997</c:v>
                </c:pt>
                <c:pt idx="4123" formatCode="0.00">
                  <c:v>4.2469099999999997</c:v>
                </c:pt>
                <c:pt idx="4124" formatCode="0.00">
                  <c:v>6.3420500000000004</c:v>
                </c:pt>
                <c:pt idx="4125" formatCode="0.00">
                  <c:v>6.3420500000000004</c:v>
                </c:pt>
                <c:pt idx="4126" formatCode="0.00">
                  <c:v>7.1348000000000003</c:v>
                </c:pt>
                <c:pt idx="4127" formatCode="0.00">
                  <c:v>7.1348000000000003</c:v>
                </c:pt>
                <c:pt idx="4128" formatCode="0.00">
                  <c:v>6.6534800000000001</c:v>
                </c:pt>
                <c:pt idx="4129" formatCode="0.00">
                  <c:v>6.6534800000000001</c:v>
                </c:pt>
                <c:pt idx="4130" formatCode="0.00">
                  <c:v>4.5866600000000002</c:v>
                </c:pt>
                <c:pt idx="4131" formatCode="0.00">
                  <c:v>4.5866600000000002</c:v>
                </c:pt>
                <c:pt idx="4132" formatCode="0.00">
                  <c:v>4.3601599999999996</c:v>
                </c:pt>
                <c:pt idx="4133" formatCode="0.00">
                  <c:v>4.3601599999999996</c:v>
                </c:pt>
                <c:pt idx="4134" formatCode="0.00">
                  <c:v>4.1619700000000002</c:v>
                </c:pt>
                <c:pt idx="4135" formatCode="0.00">
                  <c:v>4.1619700000000002</c:v>
                </c:pt>
                <c:pt idx="4136" formatCode="0.00">
                  <c:v>5.8607300000000002</c:v>
                </c:pt>
                <c:pt idx="4137" formatCode="0.00">
                  <c:v>5.8607300000000002</c:v>
                </c:pt>
                <c:pt idx="4138" formatCode="0.00">
                  <c:v>4.4167800000000002</c:v>
                </c:pt>
                <c:pt idx="4139" formatCode="0.00">
                  <c:v>4.4167800000000002</c:v>
                </c:pt>
                <c:pt idx="4140" formatCode="0.00">
                  <c:v>3.7372800000000002</c:v>
                </c:pt>
                <c:pt idx="4141" formatCode="0.00">
                  <c:v>3.7372800000000002</c:v>
                </c:pt>
                <c:pt idx="4142" formatCode="0.00">
                  <c:v>0.41337000000000002</c:v>
                </c:pt>
                <c:pt idx="4143" formatCode="0.00">
                  <c:v>0.41337000000000002</c:v>
                </c:pt>
                <c:pt idx="4144" formatCode="0.00">
                  <c:v>0.62570999999999999</c:v>
                </c:pt>
                <c:pt idx="4145" formatCode="0.00">
                  <c:v>0.62570999999999999</c:v>
                </c:pt>
                <c:pt idx="4146" formatCode="0.00">
                  <c:v>0.69932000000000005</c:v>
                </c:pt>
                <c:pt idx="4147" formatCode="0.00">
                  <c:v>0.69932000000000005</c:v>
                </c:pt>
                <c:pt idx="4148" formatCode="0.00">
                  <c:v>0.75595000000000001</c:v>
                </c:pt>
                <c:pt idx="4149" formatCode="0.00">
                  <c:v>0.75595000000000001</c:v>
                </c:pt>
                <c:pt idx="4150" formatCode="0.00">
                  <c:v>0.77010999999999996</c:v>
                </c:pt>
                <c:pt idx="4151" formatCode="0.00">
                  <c:v>0.77010999999999996</c:v>
                </c:pt>
                <c:pt idx="4152" formatCode="0.00">
                  <c:v>0.89468000000000003</c:v>
                </c:pt>
                <c:pt idx="4153" formatCode="0.00">
                  <c:v>0.89468000000000003</c:v>
                </c:pt>
                <c:pt idx="4154" formatCode="0.00">
                  <c:v>0.85221000000000002</c:v>
                </c:pt>
                <c:pt idx="4155" formatCode="0.00">
                  <c:v>0.85221000000000002</c:v>
                </c:pt>
                <c:pt idx="4156" formatCode="0.00">
                  <c:v>0.45867000000000002</c:v>
                </c:pt>
                <c:pt idx="4157" formatCode="0.00">
                  <c:v>0.45867000000000002</c:v>
                </c:pt>
                <c:pt idx="4158" formatCode="0.00">
                  <c:v>0.35391</c:v>
                </c:pt>
                <c:pt idx="4159" formatCode="0.00">
                  <c:v>0.35391</c:v>
                </c:pt>
                <c:pt idx="4160" formatCode="0.00">
                  <c:v>0.36523</c:v>
                </c:pt>
                <c:pt idx="4161" formatCode="0.00">
                  <c:v>0.36523</c:v>
                </c:pt>
                <c:pt idx="4162" formatCode="0.00">
                  <c:v>0.23075000000000001</c:v>
                </c:pt>
                <c:pt idx="4163" formatCode="0.00">
                  <c:v>0.23075000000000001</c:v>
                </c:pt>
                <c:pt idx="4164" formatCode="0.00">
                  <c:v>0.24546999999999999</c:v>
                </c:pt>
                <c:pt idx="4165" formatCode="0.00">
                  <c:v>0.24546999999999999</c:v>
                </c:pt>
                <c:pt idx="4166" formatCode="0.00">
                  <c:v>0.39638000000000001</c:v>
                </c:pt>
                <c:pt idx="4167" formatCode="0.00">
                  <c:v>0.39638000000000001</c:v>
                </c:pt>
                <c:pt idx="4168" formatCode="0.00">
                  <c:v>0.44451000000000002</c:v>
                </c:pt>
                <c:pt idx="4169" formatCode="0.00">
                  <c:v>0.44451000000000002</c:v>
                </c:pt>
                <c:pt idx="4170" formatCode="0.00">
                  <c:v>0.50397000000000003</c:v>
                </c:pt>
                <c:pt idx="4171" formatCode="0.00">
                  <c:v>0.50397000000000003</c:v>
                </c:pt>
                <c:pt idx="4172" formatCode="0.00">
                  <c:v>0.77859999999999996</c:v>
                </c:pt>
                <c:pt idx="4173" formatCode="0.00">
                  <c:v>0.77859999999999996</c:v>
                </c:pt>
                <c:pt idx="4174" formatCode="0.00">
                  <c:v>0.77859999999999996</c:v>
                </c:pt>
                <c:pt idx="4175" formatCode="0.00">
                  <c:v>0.86919999999999997</c:v>
                </c:pt>
                <c:pt idx="4176" formatCode="0.00">
                  <c:v>0.86919999999999997</c:v>
                </c:pt>
                <c:pt idx="4177" formatCode="0.00">
                  <c:v>1.18347</c:v>
                </c:pt>
                <c:pt idx="4178" formatCode="0.00">
                  <c:v>1.2429300000000001</c:v>
                </c:pt>
                <c:pt idx="4179" formatCode="0.00">
                  <c:v>1.2429300000000001</c:v>
                </c:pt>
                <c:pt idx="4180" formatCode="0.00">
                  <c:v>0.90317999999999998</c:v>
                </c:pt>
                <c:pt idx="4181" formatCode="0.00">
                  <c:v>0.90317999999999998</c:v>
                </c:pt>
                <c:pt idx="4182" formatCode="0.00">
                  <c:v>0.90317999999999998</c:v>
                </c:pt>
                <c:pt idx="4183" formatCode="0.00">
                  <c:v>1.56003</c:v>
                </c:pt>
                <c:pt idx="4184" formatCode="0.00">
                  <c:v>2.1064600000000002</c:v>
                </c:pt>
                <c:pt idx="4185" formatCode="0.00">
                  <c:v>2.1064600000000002</c:v>
                </c:pt>
                <c:pt idx="4186" formatCode="0.00">
                  <c:v>2.3612799999999998</c:v>
                </c:pt>
                <c:pt idx="4187" formatCode="0.00">
                  <c:v>2.3612799999999998</c:v>
                </c:pt>
                <c:pt idx="4188" formatCode="0.00">
                  <c:v>2.2650199999999998</c:v>
                </c:pt>
                <c:pt idx="4189" formatCode="0.00">
                  <c:v>2.2650199999999998</c:v>
                </c:pt>
                <c:pt idx="4190" formatCode="0.00">
                  <c:v>2.0951399999999998</c:v>
                </c:pt>
                <c:pt idx="4191" formatCode="0.00">
                  <c:v>2.0951399999999998</c:v>
                </c:pt>
                <c:pt idx="4192" formatCode="0.00">
                  <c:v>1.85731</c:v>
                </c:pt>
                <c:pt idx="4193" formatCode="0.00">
                  <c:v>1.85731</c:v>
                </c:pt>
                <c:pt idx="4194" formatCode="0.00">
                  <c:v>2.1659199999999998</c:v>
                </c:pt>
                <c:pt idx="4195" formatCode="0.00">
                  <c:v>2.1659199999999998</c:v>
                </c:pt>
                <c:pt idx="4196" formatCode="0.00">
                  <c:v>3.3409</c:v>
                </c:pt>
                <c:pt idx="4197" formatCode="0.00">
                  <c:v>3.3409</c:v>
                </c:pt>
                <c:pt idx="4198" formatCode="0.00">
                  <c:v>3.5107699999999999</c:v>
                </c:pt>
                <c:pt idx="4199" formatCode="0.00">
                  <c:v>3.5107699999999999</c:v>
                </c:pt>
                <c:pt idx="4200" formatCode="0.00">
                  <c:v>2.44339</c:v>
                </c:pt>
                <c:pt idx="4201" formatCode="0.00">
                  <c:v>2.44339</c:v>
                </c:pt>
                <c:pt idx="4202" formatCode="0.00">
                  <c:v>1.87147</c:v>
                </c:pt>
                <c:pt idx="4203" formatCode="0.00">
                  <c:v>1.87147</c:v>
                </c:pt>
                <c:pt idx="4204" formatCode="0.00">
                  <c:v>2.4178999999999999</c:v>
                </c:pt>
                <c:pt idx="4205" formatCode="0.00">
                  <c:v>2.4178999999999999</c:v>
                </c:pt>
                <c:pt idx="4206" formatCode="0.00">
                  <c:v>2.6387399999999999</c:v>
                </c:pt>
                <c:pt idx="4207" formatCode="0.00">
                  <c:v>2.6387399999999999</c:v>
                </c:pt>
                <c:pt idx="4208" formatCode="0.00">
                  <c:v>2.7463299999999999</c:v>
                </c:pt>
                <c:pt idx="4209" formatCode="0.00">
                  <c:v>2.7463299999999999</c:v>
                </c:pt>
                <c:pt idx="4210" formatCode="0.00">
                  <c:v>2.5198299999999998</c:v>
                </c:pt>
                <c:pt idx="4211" formatCode="0.00">
                  <c:v>2.5198299999999998</c:v>
                </c:pt>
                <c:pt idx="4212" formatCode="0.00">
                  <c:v>2.5198299999999998</c:v>
                </c:pt>
                <c:pt idx="4213" formatCode="0.00">
                  <c:v>1.61382</c:v>
                </c:pt>
                <c:pt idx="4214" formatCode="0.00">
                  <c:v>1.61382</c:v>
                </c:pt>
                <c:pt idx="4215" formatCode="0.00">
                  <c:v>1.56003</c:v>
                </c:pt>
                <c:pt idx="4216" formatCode="0.00">
                  <c:v>1.56003</c:v>
                </c:pt>
                <c:pt idx="4217" formatCode="0.00">
                  <c:v>1.9875499999999999</c:v>
                </c:pt>
                <c:pt idx="4218" formatCode="0.00">
                  <c:v>1.9875499999999999</c:v>
                </c:pt>
                <c:pt idx="4219" formatCode="0.00">
                  <c:v>1.6902699999999999</c:v>
                </c:pt>
                <c:pt idx="4220" formatCode="0.00">
                  <c:v>1.6902699999999999</c:v>
                </c:pt>
                <c:pt idx="4221" formatCode="0.00">
                  <c:v>1.6902699999999999</c:v>
                </c:pt>
                <c:pt idx="4222" formatCode="0.00">
                  <c:v>1.3816600000000001</c:v>
                </c:pt>
                <c:pt idx="4223" formatCode="0.00">
                  <c:v>1.31654</c:v>
                </c:pt>
                <c:pt idx="4224" formatCode="0.00">
                  <c:v>1.1268499999999999</c:v>
                </c:pt>
                <c:pt idx="4225" formatCode="0.00">
                  <c:v>0.37656000000000001</c:v>
                </c:pt>
                <c:pt idx="4226" formatCode="0.00">
                  <c:v>0.27492</c:v>
                </c:pt>
                <c:pt idx="4227" formatCode="0.00">
                  <c:v>0.24263999999999999</c:v>
                </c:pt>
                <c:pt idx="4228" formatCode="0.00">
                  <c:v>5.2659999999999998E-2</c:v>
                </c:pt>
                <c:pt idx="4229" formatCode="0.00">
                  <c:v>8.1540000000000001E-2</c:v>
                </c:pt>
                <c:pt idx="4230" formatCode="0.00">
                  <c:v>2.91621</c:v>
                </c:pt>
                <c:pt idx="4231" formatCode="0.00">
                  <c:v>0.25255</c:v>
                </c:pt>
                <c:pt idx="4232" formatCode="0.00">
                  <c:v>0.24235999999999999</c:v>
                </c:pt>
                <c:pt idx="4233" formatCode="0.00">
                  <c:v>0.23244999999999999</c:v>
                </c:pt>
                <c:pt idx="4234" formatCode="0.00">
                  <c:v>2.7180200000000001</c:v>
                </c:pt>
                <c:pt idx="4235" formatCode="0.00">
                  <c:v>2.34429</c:v>
                </c:pt>
                <c:pt idx="4236" formatCode="0.00">
                  <c:v>1.90544</c:v>
                </c:pt>
                <c:pt idx="4237" formatCode="0.00">
                  <c:v>0.87768999999999997</c:v>
                </c:pt>
                <c:pt idx="4238" formatCode="0.00">
                  <c:v>0.44451000000000002</c:v>
                </c:pt>
                <c:pt idx="4239" formatCode="0.00">
                  <c:v>0.26103999999999999</c:v>
                </c:pt>
                <c:pt idx="4240" formatCode="0.00">
                  <c:v>0.15146999999999999</c:v>
                </c:pt>
                <c:pt idx="4241" formatCode="0.00">
                  <c:v>0.94847999999999999</c:v>
                </c:pt>
                <c:pt idx="4242" formatCode="0.00">
                  <c:v>0.94847999999999999</c:v>
                </c:pt>
                <c:pt idx="4243" formatCode="0.00">
                  <c:v>0.71065</c:v>
                </c:pt>
                <c:pt idx="4244" formatCode="0.00">
                  <c:v>0.90883999999999998</c:v>
                </c:pt>
                <c:pt idx="4245" formatCode="0.00">
                  <c:v>0.83521999999999996</c:v>
                </c:pt>
                <c:pt idx="4246" formatCode="0.00">
                  <c:v>0.30861</c:v>
                </c:pt>
                <c:pt idx="4247" formatCode="0.00">
                  <c:v>0.98528000000000004</c:v>
                </c:pt>
                <c:pt idx="4248" formatCode="0.00">
                  <c:v>0.33692</c:v>
                </c:pt>
                <c:pt idx="4249" formatCode="0.00">
                  <c:v>0.1996</c:v>
                </c:pt>
                <c:pt idx="4250" formatCode="0.00">
                  <c:v>0.18770999999999999</c:v>
                </c:pt>
                <c:pt idx="4251" formatCode="0.00">
                  <c:v>0.33692</c:v>
                </c:pt>
                <c:pt idx="4252" formatCode="0.00">
                  <c:v>0.54359999999999997</c:v>
                </c:pt>
                <c:pt idx="4253" formatCode="0.00">
                  <c:v>0.56059000000000003</c:v>
                </c:pt>
                <c:pt idx="4254" formatCode="0.00">
                  <c:v>0.43318000000000001</c:v>
                </c:pt>
                <c:pt idx="4255" formatCode="0.00">
                  <c:v>0.40204000000000001</c:v>
                </c:pt>
                <c:pt idx="4256" formatCode="0.00">
                  <c:v>0.32275999999999999</c:v>
                </c:pt>
                <c:pt idx="4257" formatCode="0.00">
                  <c:v>0.20555000000000001</c:v>
                </c:pt>
                <c:pt idx="4258" formatCode="0.00">
                  <c:v>7.1059999999999998E-2</c:v>
                </c:pt>
                <c:pt idx="4259" formatCode="0.00">
                  <c:v>0.33126</c:v>
                </c:pt>
                <c:pt idx="4260" formatCode="0.00">
                  <c:v>0.63419999999999999</c:v>
                </c:pt>
                <c:pt idx="4261" formatCode="0.00">
                  <c:v>0.93149000000000004</c:v>
                </c:pt>
                <c:pt idx="4262" formatCode="0.00">
                  <c:v>1.27407</c:v>
                </c:pt>
                <c:pt idx="4263" formatCode="0.00">
                  <c:v>1.59684</c:v>
                </c:pt>
                <c:pt idx="4264" formatCode="0.00">
                  <c:v>1.6902699999999999</c:v>
                </c:pt>
                <c:pt idx="4265" formatCode="0.00">
                  <c:v>1.6591199999999999</c:v>
                </c:pt>
                <c:pt idx="4266" formatCode="0.00">
                  <c:v>2.5424799999999999</c:v>
                </c:pt>
                <c:pt idx="4267" formatCode="0.00">
                  <c:v>0.61721999999999999</c:v>
                </c:pt>
                <c:pt idx="4268" formatCode="0.00">
                  <c:v>1.47509</c:v>
                </c:pt>
                <c:pt idx="4269" formatCode="0.00">
                  <c:v>1.56569</c:v>
                </c:pt>
                <c:pt idx="4270" formatCode="0.00">
                  <c:v>2.5424799999999999</c:v>
                </c:pt>
                <c:pt idx="4271" formatCode="0.00">
                  <c:v>0.63419999999999999</c:v>
                </c:pt>
                <c:pt idx="4272" formatCode="0.00">
                  <c:v>0.41903000000000001</c:v>
                </c:pt>
                <c:pt idx="4273" formatCode="0.00">
                  <c:v>0.11466999999999999</c:v>
                </c:pt>
                <c:pt idx="4274" formatCode="0.00">
                  <c:v>0.19253000000000001</c:v>
                </c:pt>
                <c:pt idx="4275" formatCode="0.00">
                  <c:v>0.19253000000000001</c:v>
                </c:pt>
                <c:pt idx="4276" formatCode="0.00">
                  <c:v>0.19253000000000001</c:v>
                </c:pt>
                <c:pt idx="4277" formatCode="0.00">
                  <c:v>0.22877</c:v>
                </c:pt>
                <c:pt idx="4278" formatCode="0.00">
                  <c:v>0.22877</c:v>
                </c:pt>
                <c:pt idx="4279" formatCode="0.00">
                  <c:v>0.22877</c:v>
                </c:pt>
                <c:pt idx="4280" formatCode="0.00">
                  <c:v>1.79786</c:v>
                </c:pt>
                <c:pt idx="4281" formatCode="0.00">
                  <c:v>1.79786</c:v>
                </c:pt>
                <c:pt idx="4282" formatCode="0.00">
                  <c:v>1.3278700000000001</c:v>
                </c:pt>
                <c:pt idx="4283" formatCode="0.00">
                  <c:v>1.3278700000000001</c:v>
                </c:pt>
                <c:pt idx="4284" formatCode="0.00">
                  <c:v>0.73046999999999995</c:v>
                </c:pt>
                <c:pt idx="4285" formatCode="0.00">
                  <c:v>0.73046999999999995</c:v>
                </c:pt>
                <c:pt idx="4286" formatCode="0.00">
                  <c:v>0.73046999999999995</c:v>
                </c:pt>
                <c:pt idx="4287" formatCode="0.00">
                  <c:v>0.86070999999999998</c:v>
                </c:pt>
                <c:pt idx="4288" formatCode="0.00">
                  <c:v>0.86070999999999998</c:v>
                </c:pt>
                <c:pt idx="4289" formatCode="0.00">
                  <c:v>0.98245000000000005</c:v>
                </c:pt>
                <c:pt idx="4290" formatCode="0.00">
                  <c:v>0.98245000000000005</c:v>
                </c:pt>
                <c:pt idx="4291" formatCode="0.00">
                  <c:v>0.92015999999999998</c:v>
                </c:pt>
                <c:pt idx="4292" formatCode="0.00">
                  <c:v>0.92015999999999998</c:v>
                </c:pt>
                <c:pt idx="4293" formatCode="0.00">
                  <c:v>0.84089000000000003</c:v>
                </c:pt>
                <c:pt idx="4294" formatCode="0.00">
                  <c:v>0.84089000000000003</c:v>
                </c:pt>
                <c:pt idx="4295" formatCode="0.00">
                  <c:v>0.58323999999999998</c:v>
                </c:pt>
                <c:pt idx="4296" formatCode="0.00">
                  <c:v>0.58323999999999998</c:v>
                </c:pt>
                <c:pt idx="4297" formatCode="0.00">
                  <c:v>0.84089000000000003</c:v>
                </c:pt>
                <c:pt idx="4298" formatCode="0.00">
                  <c:v>0.84089000000000003</c:v>
                </c:pt>
                <c:pt idx="4299" formatCode="0.00">
                  <c:v>0.72197</c:v>
                </c:pt>
                <c:pt idx="4300" formatCode="0.00">
                  <c:v>0.72197</c:v>
                </c:pt>
                <c:pt idx="4301" formatCode="0.00">
                  <c:v>0.75029000000000001</c:v>
                </c:pt>
                <c:pt idx="4302" formatCode="0.00">
                  <c:v>0.75029000000000001</c:v>
                </c:pt>
                <c:pt idx="4303" formatCode="0.00">
                  <c:v>0.69649000000000005</c:v>
                </c:pt>
                <c:pt idx="4304" formatCode="0.00">
                  <c:v>0.69649000000000005</c:v>
                </c:pt>
                <c:pt idx="4305" formatCode="0.00">
                  <c:v>0.64553000000000005</c:v>
                </c:pt>
                <c:pt idx="4306" formatCode="0.00">
                  <c:v>0.64553000000000005</c:v>
                </c:pt>
                <c:pt idx="4307" formatCode="0.00">
                  <c:v>0.60023000000000004</c:v>
                </c:pt>
                <c:pt idx="4308" formatCode="0.00">
                  <c:v>0.60023000000000004</c:v>
                </c:pt>
                <c:pt idx="4309" formatCode="0.00">
                  <c:v>0.49547000000000002</c:v>
                </c:pt>
                <c:pt idx="4310" formatCode="0.00">
                  <c:v>0.49547000000000002</c:v>
                </c:pt>
                <c:pt idx="4311" formatCode="0.00">
                  <c:v>0.42752000000000001</c:v>
                </c:pt>
                <c:pt idx="4312" formatCode="0.00">
                  <c:v>0.42752000000000001</c:v>
                </c:pt>
                <c:pt idx="4313" formatCode="0.00">
                  <c:v>0.35391</c:v>
                </c:pt>
                <c:pt idx="4314" formatCode="0.00">
                  <c:v>0.35391</c:v>
                </c:pt>
                <c:pt idx="4315" formatCode="0.00">
                  <c:v>0.35391</c:v>
                </c:pt>
                <c:pt idx="4316" formatCode="0.00">
                  <c:v>0.31143999999999999</c:v>
                </c:pt>
                <c:pt idx="4317" formatCode="0.00">
                  <c:v>0.31143999999999999</c:v>
                </c:pt>
                <c:pt idx="4318" formatCode="0.00">
                  <c:v>0.31143999999999999</c:v>
                </c:pt>
                <c:pt idx="4319" formatCode="0.00">
                  <c:v>0.53793999999999997</c:v>
                </c:pt>
                <c:pt idx="4320" formatCode="0.00">
                  <c:v>0.53793999999999997</c:v>
                </c:pt>
                <c:pt idx="4321" formatCode="0.00">
                  <c:v>0.53793999999999997</c:v>
                </c:pt>
                <c:pt idx="4322" formatCode="0.00">
                  <c:v>0.34540999999999999</c:v>
                </c:pt>
                <c:pt idx="4323" formatCode="0.00">
                  <c:v>0.34540999999999999</c:v>
                </c:pt>
                <c:pt idx="4324" formatCode="0.00">
                  <c:v>0.34540999999999999</c:v>
                </c:pt>
                <c:pt idx="4325" formatCode="0.00">
                  <c:v>0.18487999999999999</c:v>
                </c:pt>
                <c:pt idx="4326" formatCode="0.00">
                  <c:v>0.18487999999999999</c:v>
                </c:pt>
                <c:pt idx="4327" formatCode="0.00">
                  <c:v>0.18487999999999999</c:v>
                </c:pt>
                <c:pt idx="4328" formatCode="0.00">
                  <c:v>0.12316000000000001</c:v>
                </c:pt>
                <c:pt idx="4329" formatCode="0.00">
                  <c:v>0.12316000000000001</c:v>
                </c:pt>
                <c:pt idx="4330" formatCode="0.00">
                  <c:v>0.12316000000000001</c:v>
                </c:pt>
                <c:pt idx="4331" formatCode="0.00">
                  <c:v>5.8889999999999998E-2</c:v>
                </c:pt>
                <c:pt idx="4332" formatCode="0.00">
                  <c:v>5.8889999999999998E-2</c:v>
                </c:pt>
                <c:pt idx="4333" formatCode="0.00">
                  <c:v>5.8889999999999998E-2</c:v>
                </c:pt>
                <c:pt idx="4334" formatCode="0.00">
                  <c:v>4.7849999999999997E-2</c:v>
                </c:pt>
                <c:pt idx="4335" formatCode="0.00">
                  <c:v>4.7849999999999997E-2</c:v>
                </c:pt>
                <c:pt idx="4336" formatCode="0.00">
                  <c:v>4.7849999999999997E-2</c:v>
                </c:pt>
                <c:pt idx="4337" formatCode="0.00">
                  <c:v>0.33975</c:v>
                </c:pt>
                <c:pt idx="4338" formatCode="0.00">
                  <c:v>0.33975</c:v>
                </c:pt>
                <c:pt idx="4339" formatCode="0.00">
                  <c:v>0.33975</c:v>
                </c:pt>
                <c:pt idx="4340" formatCode="0.00">
                  <c:v>0.33975</c:v>
                </c:pt>
                <c:pt idx="4341" formatCode="0.00">
                  <c:v>0.26756000000000002</c:v>
                </c:pt>
                <c:pt idx="4342" formatCode="0.00">
                  <c:v>0.26756000000000002</c:v>
                </c:pt>
                <c:pt idx="4343" formatCode="0.00">
                  <c:v>0.32275999999999999</c:v>
                </c:pt>
                <c:pt idx="4344" formatCode="0.00">
                  <c:v>0.32275999999999999</c:v>
                </c:pt>
                <c:pt idx="4345" formatCode="0.00">
                  <c:v>0.64553000000000005</c:v>
                </c:pt>
                <c:pt idx="4346" formatCode="0.00">
                  <c:v>0.64553000000000005</c:v>
                </c:pt>
                <c:pt idx="4347" formatCode="0.00">
                  <c:v>2.2933300000000001</c:v>
                </c:pt>
                <c:pt idx="4348" formatCode="0.00">
                  <c:v>2.2933300000000001</c:v>
                </c:pt>
                <c:pt idx="4349" formatCode="0.00">
                  <c:v>2.30749</c:v>
                </c:pt>
                <c:pt idx="4350" formatCode="0.00">
                  <c:v>2.30749</c:v>
                </c:pt>
                <c:pt idx="4351" formatCode="0.00">
                  <c:v>1.2316</c:v>
                </c:pt>
                <c:pt idx="4352" formatCode="0.00">
                  <c:v>1.2316</c:v>
                </c:pt>
                <c:pt idx="4353" formatCode="0.00">
                  <c:v>1.50057</c:v>
                </c:pt>
                <c:pt idx="4354" formatCode="0.00">
                  <c:v>1.50057</c:v>
                </c:pt>
                <c:pt idx="4355" formatCode="0.00">
                  <c:v>1.50057</c:v>
                </c:pt>
                <c:pt idx="4356" formatCode="0.00">
                  <c:v>1.50057</c:v>
                </c:pt>
                <c:pt idx="4357" formatCode="0.00">
                  <c:v>1.3250299999999999</c:v>
                </c:pt>
                <c:pt idx="4358" formatCode="0.00">
                  <c:v>1.3250299999999999</c:v>
                </c:pt>
                <c:pt idx="4359" formatCode="0.00">
                  <c:v>0.94847999999999999</c:v>
                </c:pt>
                <c:pt idx="4360" formatCode="0.00">
                  <c:v>0.94847999999999999</c:v>
                </c:pt>
                <c:pt idx="4361" formatCode="0.00">
                  <c:v>1.15516</c:v>
                </c:pt>
                <c:pt idx="4362" formatCode="0.00">
                  <c:v>1.15516</c:v>
                </c:pt>
                <c:pt idx="4363" formatCode="0.00">
                  <c:v>0.71065</c:v>
                </c:pt>
                <c:pt idx="4364" formatCode="0.00">
                  <c:v>0.71065</c:v>
                </c:pt>
                <c:pt idx="4365" formatCode="0.00">
                  <c:v>0.51246000000000003</c:v>
                </c:pt>
                <c:pt idx="4366" formatCode="0.00">
                  <c:v>0.51246000000000003</c:v>
                </c:pt>
                <c:pt idx="4367" formatCode="0.00">
                  <c:v>0.29727999999999999</c:v>
                </c:pt>
                <c:pt idx="4368" formatCode="0.00">
                  <c:v>0.29727999999999999</c:v>
                </c:pt>
                <c:pt idx="4369" formatCode="0.00">
                  <c:v>0.20612</c:v>
                </c:pt>
                <c:pt idx="4370" formatCode="0.00">
                  <c:v>0.12203</c:v>
                </c:pt>
                <c:pt idx="4371" formatCode="0.00">
                  <c:v>0.12203</c:v>
                </c:pt>
                <c:pt idx="4372" formatCode="0.00">
                  <c:v>0.12797</c:v>
                </c:pt>
                <c:pt idx="4373" formatCode="0.00">
                  <c:v>0.12797</c:v>
                </c:pt>
                <c:pt idx="4374" formatCode="0.00">
                  <c:v>9.9659999999999999E-2</c:v>
                </c:pt>
                <c:pt idx="4375" formatCode="0.00">
                  <c:v>9.9659999999999999E-2</c:v>
                </c:pt>
                <c:pt idx="4376" formatCode="0.00">
                  <c:v>1.8261700000000001</c:v>
                </c:pt>
                <c:pt idx="4377" formatCode="0.00">
                  <c:v>2.7916300000000001</c:v>
                </c:pt>
                <c:pt idx="4378" formatCode="0.00">
                  <c:v>2.3782700000000001</c:v>
                </c:pt>
                <c:pt idx="4379" formatCode="0.00">
                  <c:v>0.75595000000000001</c:v>
                </c:pt>
                <c:pt idx="4380" formatCode="0.00">
                  <c:v>0.35391</c:v>
                </c:pt>
                <c:pt idx="4381" formatCode="0.00">
                  <c:v>0.18176999999999999</c:v>
                </c:pt>
                <c:pt idx="4382" formatCode="0.00">
                  <c:v>1.09853</c:v>
                </c:pt>
                <c:pt idx="4383" formatCode="0.00">
                  <c:v>1.29389</c:v>
                </c:pt>
                <c:pt idx="4384" formatCode="0.00">
                  <c:v>3.8222100000000001</c:v>
                </c:pt>
                <c:pt idx="4385" formatCode="0.00">
                  <c:v>1.9875499999999999</c:v>
                </c:pt>
                <c:pt idx="4386" formatCode="0.00">
                  <c:v>1.3873200000000001</c:v>
                </c:pt>
                <c:pt idx="4387" formatCode="0.00">
                  <c:v>0.63704000000000005</c:v>
                </c:pt>
                <c:pt idx="4388" formatCode="0.00">
                  <c:v>0.11212</c:v>
                </c:pt>
                <c:pt idx="4389" formatCode="0.00">
                  <c:v>6.9649200000000002</c:v>
                </c:pt>
                <c:pt idx="4390" formatCode="0.00">
                  <c:v>6.9649200000000002</c:v>
                </c:pt>
                <c:pt idx="4391" formatCode="0.00">
                  <c:v>8.0691199999999998</c:v>
                </c:pt>
                <c:pt idx="4392" formatCode="0.00">
                  <c:v>8.0691199999999998</c:v>
                </c:pt>
                <c:pt idx="4393" formatCode="0.00">
                  <c:v>6.2571099999999999</c:v>
                </c:pt>
                <c:pt idx="4394" formatCode="0.00">
                  <c:v>6.2571099999999999</c:v>
                </c:pt>
                <c:pt idx="4395" formatCode="0.00">
                  <c:v>4.7848499999999996</c:v>
                </c:pt>
                <c:pt idx="4396" formatCode="0.00">
                  <c:v>4.7848499999999996</c:v>
                </c:pt>
                <c:pt idx="4397" formatCode="0.00">
                  <c:v>4.69991</c:v>
                </c:pt>
                <c:pt idx="4398" formatCode="0.00">
                  <c:v>4.69991</c:v>
                </c:pt>
                <c:pt idx="4399" formatCode="0.00">
                  <c:v>5.2378499999999999</c:v>
                </c:pt>
                <c:pt idx="4400" formatCode="0.00">
                  <c:v>5.2378499999999999</c:v>
                </c:pt>
                <c:pt idx="4401" formatCode="0.00">
                  <c:v>9.5130700000000008</c:v>
                </c:pt>
                <c:pt idx="4402" formatCode="0.00">
                  <c:v>9.5130700000000008</c:v>
                </c:pt>
                <c:pt idx="4403" formatCode="0.00">
                  <c:v>11.551600000000001</c:v>
                </c:pt>
                <c:pt idx="4404" formatCode="0.00">
                  <c:v>11.551600000000001</c:v>
                </c:pt>
                <c:pt idx="4405" formatCode="0.00">
                  <c:v>9.9943799999999996</c:v>
                </c:pt>
                <c:pt idx="4406" formatCode="0.00">
                  <c:v>9.9943799999999996</c:v>
                </c:pt>
                <c:pt idx="4407" formatCode="0.00">
                  <c:v>9.0317500000000006</c:v>
                </c:pt>
                <c:pt idx="4408" formatCode="0.00">
                  <c:v>9.0317500000000006</c:v>
                </c:pt>
                <c:pt idx="4409" formatCode="0.00">
                  <c:v>8.3239300000000007</c:v>
                </c:pt>
                <c:pt idx="4410" formatCode="0.00">
                  <c:v>8.3239300000000007</c:v>
                </c:pt>
                <c:pt idx="4411" formatCode="0.00">
                  <c:v>6.2571099999999999</c:v>
                </c:pt>
                <c:pt idx="4412" formatCode="0.00">
                  <c:v>6.2571099999999999</c:v>
                </c:pt>
                <c:pt idx="4413" formatCode="0.00">
                  <c:v>7.1631099999999996</c:v>
                </c:pt>
                <c:pt idx="4414" formatCode="0.00">
                  <c:v>7.1631099999999996</c:v>
                </c:pt>
                <c:pt idx="4415" formatCode="0.00">
                  <c:v>9.5130700000000008</c:v>
                </c:pt>
                <c:pt idx="4416" formatCode="0.00">
                  <c:v>9.5130700000000008</c:v>
                </c:pt>
                <c:pt idx="4417" formatCode="0.00">
                  <c:v>8.3522499999999997</c:v>
                </c:pt>
                <c:pt idx="4418" formatCode="0.00">
                  <c:v>8.3522499999999997</c:v>
                </c:pt>
                <c:pt idx="4419" formatCode="0.00">
                  <c:v>7.4745499999999998</c:v>
                </c:pt>
                <c:pt idx="4420" formatCode="0.00">
                  <c:v>7.4745499999999998</c:v>
                </c:pt>
                <c:pt idx="4421" formatCode="0.00">
                  <c:v>7.1631099999999996</c:v>
                </c:pt>
                <c:pt idx="4422" formatCode="0.00">
                  <c:v>7.1631099999999996</c:v>
                </c:pt>
                <c:pt idx="4423" formatCode="0.00">
                  <c:v>7.5877999999999997</c:v>
                </c:pt>
                <c:pt idx="4424" formatCode="0.00">
                  <c:v>7.5877999999999997</c:v>
                </c:pt>
                <c:pt idx="4425" formatCode="0.00">
                  <c:v>7.8426200000000001</c:v>
                </c:pt>
                <c:pt idx="4426" formatCode="0.00">
                  <c:v>7.8426200000000001</c:v>
                </c:pt>
                <c:pt idx="4427" formatCode="0.00">
                  <c:v>10.532299999999999</c:v>
                </c:pt>
                <c:pt idx="4428" formatCode="0.00">
                  <c:v>10.532299999999999</c:v>
                </c:pt>
                <c:pt idx="4429" formatCode="0.00">
                  <c:v>11.2118</c:v>
                </c:pt>
                <c:pt idx="4430" formatCode="0.00">
                  <c:v>11.2118</c:v>
                </c:pt>
                <c:pt idx="4431" formatCode="0.00">
                  <c:v>15.3172</c:v>
                </c:pt>
                <c:pt idx="4432" formatCode="0.00">
                  <c:v>15.3172</c:v>
                </c:pt>
                <c:pt idx="4433" formatCode="0.00">
                  <c:v>15.798500000000001</c:v>
                </c:pt>
                <c:pt idx="4434" formatCode="0.00">
                  <c:v>15.798500000000001</c:v>
                </c:pt>
                <c:pt idx="4435" formatCode="0.00">
                  <c:v>19.252600000000001</c:v>
                </c:pt>
                <c:pt idx="4436" formatCode="0.00">
                  <c:v>19.252600000000001</c:v>
                </c:pt>
                <c:pt idx="4437" formatCode="0.00">
                  <c:v>19.422499999999999</c:v>
                </c:pt>
                <c:pt idx="4438" formatCode="0.00">
                  <c:v>19.422499999999999</c:v>
                </c:pt>
                <c:pt idx="4439" formatCode="0.00">
                  <c:v>17.384</c:v>
                </c:pt>
                <c:pt idx="4440" formatCode="0.00">
                  <c:v>17.384</c:v>
                </c:pt>
                <c:pt idx="4441" formatCode="0.00">
                  <c:v>21.404399999999999</c:v>
                </c:pt>
                <c:pt idx="4442" formatCode="0.00">
                  <c:v>21.404399999999999</c:v>
                </c:pt>
                <c:pt idx="4443" formatCode="0.00">
                  <c:v>21.6875</c:v>
                </c:pt>
                <c:pt idx="4444" formatCode="0.00">
                  <c:v>21.6875</c:v>
                </c:pt>
                <c:pt idx="4445" formatCode="0.00">
                  <c:v>25.283200000000001</c:v>
                </c:pt>
                <c:pt idx="4446" formatCode="0.00">
                  <c:v>25.283200000000001</c:v>
                </c:pt>
                <c:pt idx="4447" formatCode="0.00">
                  <c:v>29.162099999999999</c:v>
                </c:pt>
                <c:pt idx="4448" formatCode="0.00">
                  <c:v>29.162099999999999</c:v>
                </c:pt>
                <c:pt idx="4449" formatCode="0.00">
                  <c:v>29.162099999999999</c:v>
                </c:pt>
                <c:pt idx="4450" formatCode="0.00">
                  <c:v>29.162099999999999</c:v>
                </c:pt>
                <c:pt idx="4451" formatCode="0.00">
                  <c:v>21.404399999999999</c:v>
                </c:pt>
                <c:pt idx="4452" formatCode="0.00">
                  <c:v>21.404399999999999</c:v>
                </c:pt>
                <c:pt idx="4453" formatCode="0.00">
                  <c:v>23.7544</c:v>
                </c:pt>
                <c:pt idx="4454" formatCode="0.00">
                  <c:v>23.7544</c:v>
                </c:pt>
                <c:pt idx="4455" formatCode="0.00">
                  <c:v>18.8279</c:v>
                </c:pt>
                <c:pt idx="4456" formatCode="0.00">
                  <c:v>18.8279</c:v>
                </c:pt>
                <c:pt idx="4457" formatCode="0.00">
                  <c:v>23.980899999999998</c:v>
                </c:pt>
                <c:pt idx="4458" formatCode="0.00">
                  <c:v>23.980899999999998</c:v>
                </c:pt>
                <c:pt idx="4459" formatCode="0.00">
                  <c:v>25.679600000000001</c:v>
                </c:pt>
                <c:pt idx="4460" formatCode="0.00">
                  <c:v>25.679600000000001</c:v>
                </c:pt>
                <c:pt idx="4461" formatCode="0.00">
                  <c:v>40.204000000000001</c:v>
                </c:pt>
                <c:pt idx="4462" formatCode="0.00">
                  <c:v>39.354700000000001</c:v>
                </c:pt>
                <c:pt idx="4463" formatCode="0.00">
                  <c:v>34.824599999999997</c:v>
                </c:pt>
                <c:pt idx="4464" formatCode="0.00">
                  <c:v>34.824599999999997</c:v>
                </c:pt>
                <c:pt idx="4465" formatCode="0.00">
                  <c:v>4.8131599999999999</c:v>
                </c:pt>
                <c:pt idx="4466" formatCode="0.00">
                  <c:v>5.4077299999999999</c:v>
                </c:pt>
                <c:pt idx="4467" formatCode="0.00">
                  <c:v>6.22879</c:v>
                </c:pt>
                <c:pt idx="4468" formatCode="0.00">
                  <c:v>6.22879</c:v>
                </c:pt>
                <c:pt idx="4469" formatCode="0.00">
                  <c:v>6.22879</c:v>
                </c:pt>
                <c:pt idx="4470" formatCode="0.00">
                  <c:v>8.0124899999999997</c:v>
                </c:pt>
                <c:pt idx="4471" formatCode="0.00">
                  <c:v>8.0124899999999997</c:v>
                </c:pt>
                <c:pt idx="4472" formatCode="0.00">
                  <c:v>9.06006</c:v>
                </c:pt>
                <c:pt idx="4473" formatCode="0.00">
                  <c:v>9.06006</c:v>
                </c:pt>
                <c:pt idx="4474" formatCode="0.00">
                  <c:v>9.06006</c:v>
                </c:pt>
                <c:pt idx="4475" formatCode="0.00">
                  <c:v>12.4293</c:v>
                </c:pt>
                <c:pt idx="4476" formatCode="0.00">
                  <c:v>12.4293</c:v>
                </c:pt>
                <c:pt idx="4477" formatCode="0.00">
                  <c:v>11.6365</c:v>
                </c:pt>
                <c:pt idx="4478" formatCode="0.00">
                  <c:v>11.6365</c:v>
                </c:pt>
                <c:pt idx="4479" formatCode="0.00">
                  <c:v>10.135899999999999</c:v>
                </c:pt>
                <c:pt idx="4480" formatCode="0.00">
                  <c:v>10.135899999999999</c:v>
                </c:pt>
                <c:pt idx="4481" formatCode="0.00">
                  <c:v>8.6070600000000006</c:v>
                </c:pt>
                <c:pt idx="4482" formatCode="0.00">
                  <c:v>8.6070600000000006</c:v>
                </c:pt>
                <c:pt idx="4483" formatCode="0.00">
                  <c:v>8.6070600000000006</c:v>
                </c:pt>
                <c:pt idx="4484" formatCode="0.00">
                  <c:v>9.1733200000000004</c:v>
                </c:pt>
                <c:pt idx="4485" formatCode="0.00">
                  <c:v>9.1733200000000004</c:v>
                </c:pt>
                <c:pt idx="4486" formatCode="0.00">
                  <c:v>7.4179300000000001</c:v>
                </c:pt>
                <c:pt idx="4487" formatCode="0.00">
                  <c:v>7.4179300000000001</c:v>
                </c:pt>
                <c:pt idx="4488" formatCode="0.00">
                  <c:v>7.0215500000000004</c:v>
                </c:pt>
                <c:pt idx="4489" formatCode="0.00">
                  <c:v>7.0215500000000004</c:v>
                </c:pt>
                <c:pt idx="4490" formatCode="0.00">
                  <c:v>6.22879</c:v>
                </c:pt>
                <c:pt idx="4491" formatCode="0.00">
                  <c:v>6.22879</c:v>
                </c:pt>
                <c:pt idx="4492" formatCode="0.00">
                  <c:v>7.0215500000000004</c:v>
                </c:pt>
                <c:pt idx="4493" formatCode="0.00">
                  <c:v>7.0215500000000004</c:v>
                </c:pt>
                <c:pt idx="4494" formatCode="0.00">
                  <c:v>9.7678799999999999</c:v>
                </c:pt>
                <c:pt idx="4495" formatCode="0.00">
                  <c:v>9.7678799999999999</c:v>
                </c:pt>
                <c:pt idx="4496" formatCode="0.00">
                  <c:v>8.4938099999999999</c:v>
                </c:pt>
                <c:pt idx="4497" formatCode="0.00">
                  <c:v>8.4938099999999999</c:v>
                </c:pt>
                <c:pt idx="4498" formatCode="0.00">
                  <c:v>6.7384199999999996</c:v>
                </c:pt>
                <c:pt idx="4499" formatCode="0.00">
                  <c:v>6.7384199999999996</c:v>
                </c:pt>
                <c:pt idx="4500" formatCode="0.00">
                  <c:v>8.0691199999999998</c:v>
                </c:pt>
                <c:pt idx="4501" formatCode="0.00">
                  <c:v>8.0691199999999998</c:v>
                </c:pt>
                <c:pt idx="4502" formatCode="0.00">
                  <c:v>8.0691199999999998</c:v>
                </c:pt>
                <c:pt idx="4503" formatCode="0.00">
                  <c:v>6.22879</c:v>
                </c:pt>
                <c:pt idx="4504" formatCode="0.00">
                  <c:v>6.22879</c:v>
                </c:pt>
                <c:pt idx="4505" formatCode="0.00">
                  <c:v>5.4643499999999996</c:v>
                </c:pt>
                <c:pt idx="4506" formatCode="0.00">
                  <c:v>5.4643499999999996</c:v>
                </c:pt>
                <c:pt idx="4507" formatCode="0.00">
                  <c:v>5.9456699999999998</c:v>
                </c:pt>
                <c:pt idx="4508" formatCode="0.00">
                  <c:v>5.9456699999999998</c:v>
                </c:pt>
                <c:pt idx="4509" formatCode="0.00">
                  <c:v>7.8426200000000001</c:v>
                </c:pt>
                <c:pt idx="4510" formatCode="0.00">
                  <c:v>7.8426200000000001</c:v>
                </c:pt>
                <c:pt idx="4511" formatCode="0.00">
                  <c:v>3.93547</c:v>
                </c:pt>
                <c:pt idx="4512" formatCode="0.00">
                  <c:v>3.93547</c:v>
                </c:pt>
                <c:pt idx="4513" formatCode="0.00">
                  <c:v>6.2004799999999998</c:v>
                </c:pt>
                <c:pt idx="4514" formatCode="0.00">
                  <c:v>6.2004799999999998</c:v>
                </c:pt>
                <c:pt idx="4515" formatCode="0.00">
                  <c:v>6.7667400000000004</c:v>
                </c:pt>
                <c:pt idx="4516" formatCode="0.00">
                  <c:v>6.7667400000000004</c:v>
                </c:pt>
                <c:pt idx="4517" formatCode="0.00">
                  <c:v>7.5594900000000003</c:v>
                </c:pt>
                <c:pt idx="4518" formatCode="0.00">
                  <c:v>7.5594900000000003</c:v>
                </c:pt>
                <c:pt idx="4519" formatCode="0.00">
                  <c:v>7.8709300000000004</c:v>
                </c:pt>
                <c:pt idx="4520" formatCode="0.00">
                  <c:v>7.8709300000000004</c:v>
                </c:pt>
                <c:pt idx="4521" formatCode="0.00">
                  <c:v>10.8721</c:v>
                </c:pt>
                <c:pt idx="4522" formatCode="0.00">
                  <c:v>10.8721</c:v>
                </c:pt>
                <c:pt idx="4523" formatCode="0.00">
                  <c:v>9.7112599999999993</c:v>
                </c:pt>
                <c:pt idx="4524" formatCode="0.00">
                  <c:v>9.7112599999999993</c:v>
                </c:pt>
                <c:pt idx="4525" formatCode="0.00">
                  <c:v>10.6173</c:v>
                </c:pt>
                <c:pt idx="4526" formatCode="0.00">
                  <c:v>10.6173</c:v>
                </c:pt>
                <c:pt idx="4527" formatCode="0.00">
                  <c:v>10.758800000000001</c:v>
                </c:pt>
                <c:pt idx="4528" formatCode="0.00">
                  <c:v>10.758800000000001</c:v>
                </c:pt>
                <c:pt idx="4529" formatCode="0.00">
                  <c:v>12.7407</c:v>
                </c:pt>
                <c:pt idx="4530" formatCode="0.00">
                  <c:v>12.7407</c:v>
                </c:pt>
                <c:pt idx="4531" formatCode="0.00">
                  <c:v>12.514200000000001</c:v>
                </c:pt>
                <c:pt idx="4532" formatCode="0.00">
                  <c:v>12.514200000000001</c:v>
                </c:pt>
                <c:pt idx="4533" formatCode="0.00">
                  <c:v>10.985300000000001</c:v>
                </c:pt>
                <c:pt idx="4534" formatCode="0.00">
                  <c:v>10.985300000000001</c:v>
                </c:pt>
                <c:pt idx="4535" formatCode="0.00">
                  <c:v>10.985300000000001</c:v>
                </c:pt>
                <c:pt idx="4536" formatCode="0.00">
                  <c:v>14.637700000000001</c:v>
                </c:pt>
                <c:pt idx="4537" formatCode="0.00">
                  <c:v>14.637700000000001</c:v>
                </c:pt>
                <c:pt idx="4538" formatCode="0.00">
                  <c:v>15.6286</c:v>
                </c:pt>
                <c:pt idx="4539" formatCode="0.00">
                  <c:v>15.6286</c:v>
                </c:pt>
                <c:pt idx="4540" formatCode="0.00">
                  <c:v>17.100899999999999</c:v>
                </c:pt>
                <c:pt idx="4541" formatCode="0.00">
                  <c:v>17.100899999999999</c:v>
                </c:pt>
                <c:pt idx="4542" formatCode="0.00">
                  <c:v>18.006900000000002</c:v>
                </c:pt>
                <c:pt idx="4543" formatCode="0.00">
                  <c:v>18.006900000000002</c:v>
                </c:pt>
                <c:pt idx="4544" formatCode="0.00">
                  <c:v>17.695399999999999</c:v>
                </c:pt>
                <c:pt idx="4545" formatCode="0.00">
                  <c:v>17.695399999999999</c:v>
                </c:pt>
                <c:pt idx="4546" formatCode="0.00">
                  <c:v>17.695399999999999</c:v>
                </c:pt>
                <c:pt idx="4547" formatCode="0.00">
                  <c:v>17.695399999999999</c:v>
                </c:pt>
                <c:pt idx="4548" formatCode="0.00">
                  <c:v>15.0624</c:v>
                </c:pt>
                <c:pt idx="4549" formatCode="0.00">
                  <c:v>15.0624</c:v>
                </c:pt>
                <c:pt idx="4550" formatCode="0.00">
                  <c:v>16.336400000000001</c:v>
                </c:pt>
                <c:pt idx="4551" formatCode="0.00">
                  <c:v>16.336400000000001</c:v>
                </c:pt>
                <c:pt idx="4552" formatCode="0.00">
                  <c:v>18.148399999999999</c:v>
                </c:pt>
                <c:pt idx="4553" formatCode="0.00">
                  <c:v>18.148399999999999</c:v>
                </c:pt>
                <c:pt idx="4554" formatCode="0.00">
                  <c:v>22.055599999999998</c:v>
                </c:pt>
                <c:pt idx="4555" formatCode="0.00">
                  <c:v>22.055599999999998</c:v>
                </c:pt>
                <c:pt idx="4556" formatCode="0.00">
                  <c:v>25.1983</c:v>
                </c:pt>
                <c:pt idx="4557" formatCode="0.00">
                  <c:v>25.1983</c:v>
                </c:pt>
                <c:pt idx="4558" formatCode="0.00">
                  <c:v>21.8857</c:v>
                </c:pt>
                <c:pt idx="4559" formatCode="0.00">
                  <c:v>21.8857</c:v>
                </c:pt>
                <c:pt idx="4560" formatCode="0.00">
                  <c:v>20.385100000000001</c:v>
                </c:pt>
                <c:pt idx="4561" formatCode="0.00">
                  <c:v>20.385100000000001</c:v>
                </c:pt>
                <c:pt idx="4562" formatCode="0.00">
                  <c:v>17.553899999999999</c:v>
                </c:pt>
                <c:pt idx="4563" formatCode="0.00">
                  <c:v>17.553899999999999</c:v>
                </c:pt>
                <c:pt idx="4564" formatCode="0.00">
                  <c:v>21.545999999999999</c:v>
                </c:pt>
                <c:pt idx="4565" formatCode="0.00">
                  <c:v>21.545999999999999</c:v>
                </c:pt>
                <c:pt idx="4566" formatCode="0.00">
                  <c:v>21.376100000000001</c:v>
                </c:pt>
                <c:pt idx="4567" formatCode="0.00">
                  <c:v>21.376100000000001</c:v>
                </c:pt>
                <c:pt idx="4568" formatCode="0.00">
                  <c:v>17.695399999999999</c:v>
                </c:pt>
                <c:pt idx="4569" formatCode="0.00">
                  <c:v>17.695399999999999</c:v>
                </c:pt>
                <c:pt idx="4570" formatCode="0.00">
                  <c:v>17.695399999999999</c:v>
                </c:pt>
                <c:pt idx="4571" formatCode="0.00">
                  <c:v>16.336400000000001</c:v>
                </c:pt>
                <c:pt idx="4572" formatCode="0.00">
                  <c:v>16.336400000000001</c:v>
                </c:pt>
                <c:pt idx="4573" formatCode="0.00">
                  <c:v>16.336400000000001</c:v>
                </c:pt>
                <c:pt idx="4574" formatCode="0.00">
                  <c:v>23.0749</c:v>
                </c:pt>
                <c:pt idx="4575" formatCode="0.00">
                  <c:v>23.0749</c:v>
                </c:pt>
                <c:pt idx="4576" formatCode="0.00">
                  <c:v>19.5641</c:v>
                </c:pt>
                <c:pt idx="4577" formatCode="0.00">
                  <c:v>19.5641</c:v>
                </c:pt>
                <c:pt idx="4578" formatCode="0.00">
                  <c:v>19.5641</c:v>
                </c:pt>
                <c:pt idx="4579" formatCode="0.00">
                  <c:v>16.931000000000001</c:v>
                </c:pt>
                <c:pt idx="4580" formatCode="0.00">
                  <c:v>16.931000000000001</c:v>
                </c:pt>
                <c:pt idx="4581" formatCode="0.00">
                  <c:v>1.1042000000000001</c:v>
                </c:pt>
                <c:pt idx="4582" formatCode="0.00">
                  <c:v>1.18913</c:v>
                </c:pt>
                <c:pt idx="4583" formatCode="0.00">
                  <c:v>1.84033</c:v>
                </c:pt>
                <c:pt idx="4584" formatCode="0.00">
                  <c:v>2.7746400000000002</c:v>
                </c:pt>
                <c:pt idx="4585" formatCode="0.00">
                  <c:v>2.57646</c:v>
                </c:pt>
                <c:pt idx="4586" formatCode="0.00">
                  <c:v>3.3692099999999998</c:v>
                </c:pt>
                <c:pt idx="4587" formatCode="0.00">
                  <c:v>3.1993399999999999</c:v>
                </c:pt>
                <c:pt idx="4588" formatCode="0.00">
                  <c:v>2.2366999999999999</c:v>
                </c:pt>
                <c:pt idx="4589" formatCode="0.00">
                  <c:v>2.0102000000000002</c:v>
                </c:pt>
                <c:pt idx="4590" formatCode="0.00">
                  <c:v>1.4439500000000001</c:v>
                </c:pt>
                <c:pt idx="4591" formatCode="0.00">
                  <c:v>1.3873200000000001</c:v>
                </c:pt>
                <c:pt idx="4592" formatCode="0.00">
                  <c:v>1.3873200000000001</c:v>
                </c:pt>
                <c:pt idx="4593" formatCode="0.00">
                  <c:v>1.9818899999999999</c:v>
                </c:pt>
                <c:pt idx="4594" formatCode="0.00">
                  <c:v>1.41564</c:v>
                </c:pt>
                <c:pt idx="4595" formatCode="0.00">
                  <c:v>1.41564</c:v>
                </c:pt>
                <c:pt idx="4596" formatCode="0.00">
                  <c:v>4.3318399999999997</c:v>
                </c:pt>
                <c:pt idx="4597" formatCode="0.00">
                  <c:v>3.1143999999999998</c:v>
                </c:pt>
                <c:pt idx="4598" formatCode="0.00">
                  <c:v>2.6613899999999999</c:v>
                </c:pt>
                <c:pt idx="4599" formatCode="0.00">
                  <c:v>0.59457000000000004</c:v>
                </c:pt>
                <c:pt idx="4600" formatCode="0.00">
                  <c:v>0.33975</c:v>
                </c:pt>
                <c:pt idx="4601" formatCode="0.00">
                  <c:v>0.65119000000000005</c:v>
                </c:pt>
                <c:pt idx="4602" formatCode="0.00">
                  <c:v>0.59457000000000004</c:v>
                </c:pt>
                <c:pt idx="4603" formatCode="0.00">
                  <c:v>1.58551</c:v>
                </c:pt>
                <c:pt idx="4604" formatCode="0.00">
                  <c:v>2.3216399999999999</c:v>
                </c:pt>
                <c:pt idx="4605" formatCode="0.00">
                  <c:v>1.3873200000000001</c:v>
                </c:pt>
                <c:pt idx="4606" formatCode="0.00">
                  <c:v>1.3873200000000001</c:v>
                </c:pt>
                <c:pt idx="4607" formatCode="0.00">
                  <c:v>2.03851</c:v>
                </c:pt>
                <c:pt idx="4608" formatCode="0.00">
                  <c:v>2.2366999999999999</c:v>
                </c:pt>
                <c:pt idx="4609" formatCode="0.00">
                  <c:v>2.0668299999999999</c:v>
                </c:pt>
                <c:pt idx="4610" formatCode="0.00">
                  <c:v>3.0294599999999998</c:v>
                </c:pt>
                <c:pt idx="4611" formatCode="0.00">
                  <c:v>2.6897099999999998</c:v>
                </c:pt>
                <c:pt idx="4612" formatCode="0.00">
                  <c:v>2.57646</c:v>
                </c:pt>
                <c:pt idx="4613" formatCode="0.00">
                  <c:v>2.6613899999999999</c:v>
                </c:pt>
                <c:pt idx="4614" formatCode="0.00">
                  <c:v>3.76559</c:v>
                </c:pt>
                <c:pt idx="4615" formatCode="0.00">
                  <c:v>3.5674000000000001</c:v>
                </c:pt>
                <c:pt idx="4616" formatCode="0.00">
                  <c:v>0.59457000000000004</c:v>
                </c:pt>
                <c:pt idx="4617" formatCode="0.00">
                  <c:v>0.96262999999999999</c:v>
                </c:pt>
                <c:pt idx="4618" formatCode="0.00">
                  <c:v>1.67045</c:v>
                </c:pt>
                <c:pt idx="4619" formatCode="0.00">
                  <c:v>1.69876</c:v>
                </c:pt>
                <c:pt idx="4620" formatCode="0.00">
                  <c:v>1.6421399999999999</c:v>
                </c:pt>
                <c:pt idx="4621" formatCode="0.00">
                  <c:v>1.7270700000000001</c:v>
                </c:pt>
                <c:pt idx="4622" formatCode="0.00">
                  <c:v>2.3216399999999999</c:v>
                </c:pt>
                <c:pt idx="4623" formatCode="0.00">
                  <c:v>3.1993399999999999</c:v>
                </c:pt>
                <c:pt idx="4624" formatCode="0.00">
                  <c:v>2.2933300000000001</c:v>
                </c:pt>
                <c:pt idx="4625" formatCode="0.00">
                  <c:v>1.7837000000000001</c:v>
                </c:pt>
                <c:pt idx="4626" formatCode="0.00">
                  <c:v>1.7270700000000001</c:v>
                </c:pt>
                <c:pt idx="4627" formatCode="0.00">
                  <c:v>2.1800799999999998</c:v>
                </c:pt>
                <c:pt idx="4628" formatCode="0.00">
                  <c:v>2.6330800000000001</c:v>
                </c:pt>
                <c:pt idx="4629" formatCode="0.00">
                  <c:v>2.1800799999999998</c:v>
                </c:pt>
                <c:pt idx="4630" formatCode="0.00">
                  <c:v>1.7837000000000001</c:v>
                </c:pt>
                <c:pt idx="4631" formatCode="0.00">
                  <c:v>1.3873200000000001</c:v>
                </c:pt>
                <c:pt idx="4632" formatCode="0.00">
                  <c:v>0.84938000000000002</c:v>
                </c:pt>
                <c:pt idx="4633" formatCode="0.00">
                  <c:v>0.93432000000000004</c:v>
                </c:pt>
                <c:pt idx="4634" formatCode="0.00">
                  <c:v>0.93432000000000004</c:v>
                </c:pt>
                <c:pt idx="4635" formatCode="0.00">
                  <c:v>1.1325099999999999</c:v>
                </c:pt>
                <c:pt idx="4636" formatCode="0.00">
                  <c:v>1.8969499999999999</c:v>
                </c:pt>
                <c:pt idx="4637" formatCode="0.00">
                  <c:v>3.2276500000000001</c:v>
                </c:pt>
                <c:pt idx="4638" formatCode="0.00">
                  <c:v>6.8516700000000004</c:v>
                </c:pt>
                <c:pt idx="4639" formatCode="0.00">
                  <c:v>3.7089599999999998</c:v>
                </c:pt>
                <c:pt idx="4640" formatCode="0.00">
                  <c:v>3.1710199999999999</c:v>
                </c:pt>
                <c:pt idx="4641" formatCode="0.00">
                  <c:v>3.59571</c:v>
                </c:pt>
                <c:pt idx="4642" formatCode="0.00">
                  <c:v>0.42469000000000001</c:v>
                </c:pt>
                <c:pt idx="4643" formatCode="0.00">
                  <c:v>0.39638000000000001</c:v>
                </c:pt>
                <c:pt idx="4644" formatCode="0.00">
                  <c:v>0.45300000000000001</c:v>
                </c:pt>
                <c:pt idx="4645" formatCode="0.00">
                  <c:v>0.93432000000000004</c:v>
                </c:pt>
                <c:pt idx="4646" formatCode="0.00">
                  <c:v>1.18913</c:v>
                </c:pt>
                <c:pt idx="4647" formatCode="0.00">
                  <c:v>2.2366999999999999</c:v>
                </c:pt>
                <c:pt idx="4648" formatCode="0.00">
                  <c:v>0.82106999999999997</c:v>
                </c:pt>
                <c:pt idx="4649" formatCode="0.00">
                  <c:v>1.0475699999999999</c:v>
                </c:pt>
                <c:pt idx="4650" formatCode="0.00">
                  <c:v>1.16082</c:v>
                </c:pt>
                <c:pt idx="4651" formatCode="0.00">
                  <c:v>3.59571</c:v>
                </c:pt>
                <c:pt idx="4652" formatCode="0.00">
                  <c:v>4.27522</c:v>
                </c:pt>
                <c:pt idx="4653" formatCode="0.00">
                  <c:v>3.7938999999999998</c:v>
                </c:pt>
                <c:pt idx="4654" formatCode="0.00">
                  <c:v>2.2366999999999999</c:v>
                </c:pt>
                <c:pt idx="4655" formatCode="0.00">
                  <c:v>2.2366999999999999</c:v>
                </c:pt>
                <c:pt idx="4656" formatCode="0.00">
                  <c:v>1.8969499999999999</c:v>
                </c:pt>
                <c:pt idx="4657" formatCode="0.00">
                  <c:v>1.8969499999999999</c:v>
                </c:pt>
                <c:pt idx="4658" formatCode="0.00">
                  <c:v>1.75539</c:v>
                </c:pt>
                <c:pt idx="4659" formatCode="0.00">
                  <c:v>1.4722599999999999</c:v>
                </c:pt>
                <c:pt idx="4660" formatCode="0.00">
                  <c:v>1.58551</c:v>
                </c:pt>
                <c:pt idx="4661" formatCode="0.00">
                  <c:v>1.8120099999999999</c:v>
                </c:pt>
                <c:pt idx="4662" formatCode="0.00">
                  <c:v>1.8120099999999999</c:v>
                </c:pt>
                <c:pt idx="4663" formatCode="0.00">
                  <c:v>2.0668299999999999</c:v>
                </c:pt>
                <c:pt idx="4664" formatCode="0.00">
                  <c:v>1.16082</c:v>
                </c:pt>
                <c:pt idx="4665" formatCode="0.00">
                  <c:v>1.1325099999999999</c:v>
                </c:pt>
                <c:pt idx="4666" formatCode="0.0">
                  <c:v>2.8670962499999999</c:v>
                </c:pt>
                <c:pt idx="4667" formatCode="0.0">
                  <c:v>2.9191995299999998</c:v>
                </c:pt>
                <c:pt idx="4668" formatCode="0.0">
                  <c:v>1.7666976299999999</c:v>
                </c:pt>
                <c:pt idx="4669" formatCode="0.0">
                  <c:v>1.3116434399999999</c:v>
                </c:pt>
                <c:pt idx="4670" formatCode="0.0">
                  <c:v>1.9096984799999999</c:v>
                </c:pt>
                <c:pt idx="4671" formatCode="0.0">
                  <c:v>1.61916606</c:v>
                </c:pt>
                <c:pt idx="4672" formatCode="0.0">
                  <c:v>1.5260031299999999</c:v>
                </c:pt>
                <c:pt idx="4673" formatCode="0.0">
                  <c:v>1.4472818699999999</c:v>
                </c:pt>
                <c:pt idx="4674" formatCode="0.0">
                  <c:v>1.4940049199999998</c:v>
                </c:pt>
                <c:pt idx="4675" formatCode="0.0">
                  <c:v>1.4336897099999999</c:v>
                </c:pt>
                <c:pt idx="4676" formatCode="0.0">
                  <c:v>1.3668615900000001</c:v>
                </c:pt>
                <c:pt idx="4677" formatCode="0.0">
                  <c:v>0.70565964000000003</c:v>
                </c:pt>
                <c:pt idx="4678" formatCode="0.0">
                  <c:v>2.2781026500000001</c:v>
                </c:pt>
                <c:pt idx="4679" formatCode="0.0">
                  <c:v>5.4229886699999996</c:v>
                </c:pt>
                <c:pt idx="4680" formatCode="0.0">
                  <c:v>5.41874112</c:v>
                </c:pt>
                <c:pt idx="4681" formatCode="0.0">
                  <c:v>4.70430321</c:v>
                </c:pt>
                <c:pt idx="4682" formatCode="0.0">
                  <c:v>4.5383655899999997</c:v>
                </c:pt>
                <c:pt idx="4683" formatCode="0.0">
                  <c:v>2.1775772999999998</c:v>
                </c:pt>
                <c:pt idx="4684" formatCode="0.0">
                  <c:v>2.23222911</c:v>
                </c:pt>
                <c:pt idx="4685" formatCode="0.0">
                  <c:v>1.6517306099999998</c:v>
                </c:pt>
                <c:pt idx="4686" formatCode="0.0">
                  <c:v>1.6256789699999998</c:v>
                </c:pt>
                <c:pt idx="4687" formatCode="0.0">
                  <c:v>8.4993475499999995</c:v>
                </c:pt>
                <c:pt idx="4688" formatCode="0.0">
                  <c:v>1.6959051299999999</c:v>
                </c:pt>
                <c:pt idx="4689" formatCode="0.0">
                  <c:v>3.1686722999999999</c:v>
                </c:pt>
                <c:pt idx="4690" formatCode="0.0">
                  <c:v>2.91750051</c:v>
                </c:pt>
                <c:pt idx="4691" formatCode="0.0">
                  <c:v>4.1096462099999993</c:v>
                </c:pt>
                <c:pt idx="4692" formatCode="0.0">
                  <c:v>4.2433024499999998</c:v>
                </c:pt>
                <c:pt idx="4693" formatCode="0.0">
                  <c:v>3.7655946599999996</c:v>
                </c:pt>
                <c:pt idx="4694" formatCode="0.0">
                  <c:v>2.5649538599999997</c:v>
                </c:pt>
                <c:pt idx="4695" formatCode="0.0">
                  <c:v>2.42591739</c:v>
                </c:pt>
                <c:pt idx="4696" formatCode="0.0">
                  <c:v>3.9895821299999992</c:v>
                </c:pt>
                <c:pt idx="4697" formatCode="0.0">
                  <c:v>3.4940346299999998</c:v>
                </c:pt>
                <c:pt idx="4698" formatCode="0.0">
                  <c:v>1.8810983100000001</c:v>
                </c:pt>
                <c:pt idx="4699" formatCode="0.0">
                  <c:v>1.5681954599999999</c:v>
                </c:pt>
                <c:pt idx="4700" formatCode="0.0">
                  <c:v>3.0095307600000001</c:v>
                </c:pt>
                <c:pt idx="4701" formatCode="0.0">
                  <c:v>3.6806436599999994</c:v>
                </c:pt>
                <c:pt idx="4702" formatCode="0.0">
                  <c:v>5.6724614399999993</c:v>
                </c:pt>
                <c:pt idx="4703" formatCode="0.0">
                  <c:v>5.1862585499999998</c:v>
                </c:pt>
                <c:pt idx="4704" formatCode="0.0">
                  <c:v>5.5153020899999996</c:v>
                </c:pt>
                <c:pt idx="4705" formatCode="0.0">
                  <c:v>9.1016501400000003</c:v>
                </c:pt>
                <c:pt idx="4706" formatCode="0.0">
                  <c:v>7.3035206400000003</c:v>
                </c:pt>
                <c:pt idx="4707" formatCode="0.0">
                  <c:v>2.3027384399999997</c:v>
                </c:pt>
                <c:pt idx="4708" formatCode="0.0">
                  <c:v>1.3817672402752355</c:v>
                </c:pt>
                <c:pt idx="4709" formatCode="0.0">
                  <c:v>1.31136027</c:v>
                </c:pt>
                <c:pt idx="4710" formatCode="0.0">
                  <c:v>1.1558999399999998</c:v>
                </c:pt>
                <c:pt idx="4711" formatCode="0.0">
                  <c:v>4.216118129999999</c:v>
                </c:pt>
                <c:pt idx="4712" formatCode="0.0">
                  <c:v>3.2963819699999997</c:v>
                </c:pt>
                <c:pt idx="4713" formatCode="0.0">
                  <c:v>4.9894553999999998</c:v>
                </c:pt>
                <c:pt idx="4714" formatCode="0.0">
                  <c:v>4.9441481999999999</c:v>
                </c:pt>
                <c:pt idx="4715" formatCode="0.0">
                  <c:v>3.3368752800000001</c:v>
                </c:pt>
                <c:pt idx="4716" formatCode="0.0">
                  <c:v>2.1393493499999998</c:v>
                </c:pt>
                <c:pt idx="4717" formatCode="0.0">
                  <c:v>3.6271245299999997</c:v>
                </c:pt>
                <c:pt idx="4718" formatCode="0.0">
                  <c:v>3.6291067199999998</c:v>
                </c:pt>
                <c:pt idx="4719" formatCode="0.0">
                  <c:v>7.7766977099999997</c:v>
                </c:pt>
                <c:pt idx="4720" formatCode="0.0">
                  <c:v>7.6235027400000002</c:v>
                </c:pt>
                <c:pt idx="4721" formatCode="0.0">
                  <c:v>7.76565408</c:v>
                </c:pt>
                <c:pt idx="4722" formatCode="0.0">
                  <c:v>9.5470765499999981</c:v>
                </c:pt>
                <c:pt idx="4723" formatCode="0.0">
                  <c:v>8.9900811600000008</c:v>
                </c:pt>
                <c:pt idx="4724" formatCode="0.0">
                  <c:v>7.9936059300000002</c:v>
                </c:pt>
                <c:pt idx="4725" formatCode="0.0">
                  <c:v>6.5154585300000001</c:v>
                </c:pt>
                <c:pt idx="4726" formatCode="0.0">
                  <c:v>11.34803775</c:v>
                </c:pt>
                <c:pt idx="4727" formatCode="0.0">
                  <c:v>11.34803775</c:v>
                </c:pt>
                <c:pt idx="4728" formatCode="0.0">
                  <c:v>9.7118814899999997</c:v>
                </c:pt>
                <c:pt idx="4729" formatCode="0.0">
                  <c:v>6.6641227799999996</c:v>
                </c:pt>
                <c:pt idx="4730" formatCode="0.0">
                  <c:v>10.03469529</c:v>
                </c:pt>
                <c:pt idx="4731" formatCode="0.0">
                  <c:v>8.5188862799999985</c:v>
                </c:pt>
                <c:pt idx="4732" formatCode="0.00">
                  <c:v>1.6488989099999998</c:v>
                </c:pt>
                <c:pt idx="4733" formatCode="0.00">
                  <c:v>2.2956591899999998</c:v>
                </c:pt>
                <c:pt idx="4734" formatCode="0.00">
                  <c:v>3.6160809</c:v>
                </c:pt>
                <c:pt idx="4735" formatCode="0.00">
                  <c:v>3.2136963299999999</c:v>
                </c:pt>
                <c:pt idx="4736" formatCode="0.00">
                  <c:v>3.6897051000000003</c:v>
                </c:pt>
                <c:pt idx="4737" formatCode="0.00">
                  <c:v>3.7188716100000003</c:v>
                </c:pt>
                <c:pt idx="4738" formatCode="0.00">
                  <c:v>3.7975928700000003</c:v>
                </c:pt>
                <c:pt idx="4739" formatCode="0.00">
                  <c:v>2.9376055799999996</c:v>
                </c:pt>
                <c:pt idx="4740" formatCode="0.00">
                  <c:v>3.2994968399999998</c:v>
                </c:pt>
                <c:pt idx="4741" formatCode="0.00">
                  <c:v>2.52814176</c:v>
                </c:pt>
                <c:pt idx="4742" formatCode="0.00">
                  <c:v>2.0552478599999997</c:v>
                </c:pt>
                <c:pt idx="4743" formatCode="0.00">
                  <c:v>1.9954989899999998</c:v>
                </c:pt>
                <c:pt idx="4744" formatCode="0.00">
                  <c:v>1.9363164599999998</c:v>
                </c:pt>
                <c:pt idx="4745" formatCode="0.00">
                  <c:v>1.7641490999999998</c:v>
                </c:pt>
                <c:pt idx="4746" formatCode="0.00">
                  <c:v>1.6808971199999998</c:v>
                </c:pt>
                <c:pt idx="4747" formatCode="0.00">
                  <c:v>1.7083646099999998</c:v>
                </c:pt>
                <c:pt idx="4748" formatCode="0.00">
                  <c:v>1.9668988199999997</c:v>
                </c:pt>
                <c:pt idx="4749" formatCode="0.00">
                  <c:v>3.9168074399999995</c:v>
                </c:pt>
                <c:pt idx="4750" formatCode="0.00">
                  <c:v>3.9173737799999997</c:v>
                </c:pt>
                <c:pt idx="4751" formatCode="0.00">
                  <c:v>3.9173737799999997</c:v>
                </c:pt>
                <c:pt idx="4752" formatCode="0.0">
                  <c:v>1.14882069</c:v>
                </c:pt>
                <c:pt idx="4753" formatCode="0.0">
                  <c:v>2.78129574</c:v>
                </c:pt>
                <c:pt idx="4754" formatCode="0.0">
                  <c:v>3.3043107299999996</c:v>
                </c:pt>
                <c:pt idx="4755" formatCode="0.0">
                  <c:v>3.5481200999999998</c:v>
                </c:pt>
                <c:pt idx="4756" formatCode="0.0">
                  <c:v>2.6799208800000001</c:v>
                </c:pt>
                <c:pt idx="4757" formatCode="0.0">
                  <c:v>3.0766420499999998</c:v>
                </c:pt>
                <c:pt idx="4758" formatCode="0.0">
                  <c:v>1.8737358899999998</c:v>
                </c:pt>
                <c:pt idx="4759" formatCode="0.0">
                  <c:v>1.65626133</c:v>
                </c:pt>
                <c:pt idx="4760" formatCode="0.0">
                  <c:v>1.1777040300000001</c:v>
                </c:pt>
                <c:pt idx="4761" formatCode="0.0">
                  <c:v>0.71630683199999989</c:v>
                </c:pt>
                <c:pt idx="4762" formatCode="0.0">
                  <c:v>0.5872945799999999</c:v>
                </c:pt>
                <c:pt idx="4763" formatCode="0.0">
                  <c:v>0.46864634999999999</c:v>
                </c:pt>
                <c:pt idx="4764" formatCode="0.0">
                  <c:v>0.40521626999999999</c:v>
                </c:pt>
                <c:pt idx="4765" formatCode="0.0">
                  <c:v>0.42900254999999998</c:v>
                </c:pt>
                <c:pt idx="4766" formatCode="0.0">
                  <c:v>0.39530532000000002</c:v>
                </c:pt>
                <c:pt idx="4767" formatCode="0.0">
                  <c:v>0.33583961999999995</c:v>
                </c:pt>
                <c:pt idx="4768" formatCode="0.0">
                  <c:v>0.36387344999999999</c:v>
                </c:pt>
                <c:pt idx="4769" formatCode="0.0">
                  <c:v>0.34263569999999999</c:v>
                </c:pt>
                <c:pt idx="4770" formatCode="0.0">
                  <c:v>0.32847719999999997</c:v>
                </c:pt>
                <c:pt idx="4771" formatCode="0.0">
                  <c:v>0.30016019999999999</c:v>
                </c:pt>
                <c:pt idx="4772" formatCode="0.0">
                  <c:v>0.26589663000000002</c:v>
                </c:pt>
                <c:pt idx="4773" formatCode="0.0">
                  <c:v>2.4400758899999997</c:v>
                </c:pt>
                <c:pt idx="4774" formatCode="0.0">
                  <c:v>1.5857519999999998</c:v>
                </c:pt>
                <c:pt idx="4775" formatCode="0.0">
                  <c:v>1.1584484699999997</c:v>
                </c:pt>
                <c:pt idx="4776" formatCode="0.0">
                  <c:v>1.0253585699999999</c:v>
                </c:pt>
                <c:pt idx="4777" formatCode="0.0">
                  <c:v>1.9527403199999998</c:v>
                </c:pt>
                <c:pt idx="4778" formatCode="0.0">
                  <c:v>3.0134951399999999</c:v>
                </c:pt>
                <c:pt idx="4779" formatCode="0.0">
                  <c:v>3.8213791499999994</c:v>
                </c:pt>
                <c:pt idx="4780" formatCode="0.0">
                  <c:v>3.5042287499999998</c:v>
                </c:pt>
                <c:pt idx="4781" formatCode="0.0">
                  <c:v>2.44035906</c:v>
                </c:pt>
                <c:pt idx="4782" formatCode="0.0">
                  <c:v>2.1039531</c:v>
                </c:pt>
                <c:pt idx="4783" formatCode="0.0">
                  <c:v>2.7456163199999999</c:v>
                </c:pt>
                <c:pt idx="4784" formatCode="0.0">
                  <c:v>2.1622861199999996</c:v>
                </c:pt>
                <c:pt idx="4785" formatCode="0.0">
                  <c:v>1.7327172299999998</c:v>
                </c:pt>
                <c:pt idx="4786" formatCode="0.0">
                  <c:v>1.5231714299999999</c:v>
                </c:pt>
                <c:pt idx="4787" formatCode="0.0">
                  <c:v>1.10323032</c:v>
                </c:pt>
                <c:pt idx="4788" formatCode="0.0">
                  <c:v>1.11342444</c:v>
                </c:pt>
                <c:pt idx="4789" formatCode="0.0">
                  <c:v>0.8863221</c:v>
                </c:pt>
                <c:pt idx="4790" formatCode="0.0">
                  <c:v>1.0947352199999998</c:v>
                </c:pt>
                <c:pt idx="4791" formatCode="0.0">
                  <c:v>0.95145119999999994</c:v>
                </c:pt>
                <c:pt idx="4792" formatCode="0.0">
                  <c:v>0.92794809</c:v>
                </c:pt>
                <c:pt idx="4793" formatCode="0.0">
                  <c:v>0.65723756999999994</c:v>
                </c:pt>
                <c:pt idx="4794" formatCode="0.0">
                  <c:v>0.82374152999999994</c:v>
                </c:pt>
                <c:pt idx="4795" formatCode="0.0">
                  <c:v>0.85630607999999986</c:v>
                </c:pt>
                <c:pt idx="4796" formatCode="0.0">
                  <c:v>0.62523935999999991</c:v>
                </c:pt>
                <c:pt idx="4797" formatCode="0.0">
                  <c:v>0.67904165999999999</c:v>
                </c:pt>
                <c:pt idx="4798" formatCode="0.0">
                  <c:v>2.0300457299999999</c:v>
                </c:pt>
                <c:pt idx="4799" formatCode="0.0">
                  <c:v>1.4754739281124938</c:v>
                </c:pt>
                <c:pt idx="4800" formatCode="0.000">
                  <c:v>16.100000000000001</c:v>
                </c:pt>
                <c:pt idx="4801" formatCode="0.000">
                  <c:v>6.5</c:v>
                </c:pt>
                <c:pt idx="4802" formatCode="0.000">
                  <c:v>7.3</c:v>
                </c:pt>
                <c:pt idx="4803" formatCode="0.000">
                  <c:v>16.100000000000001</c:v>
                </c:pt>
                <c:pt idx="4804" formatCode="0.000">
                  <c:v>17.8</c:v>
                </c:pt>
                <c:pt idx="4805" formatCode="0.000">
                  <c:v>16.600000000000001</c:v>
                </c:pt>
                <c:pt idx="4806" formatCode="0.000">
                  <c:v>11.3</c:v>
                </c:pt>
                <c:pt idx="4807" formatCode="0.000">
                  <c:v>15.9</c:v>
                </c:pt>
                <c:pt idx="4808" formatCode="0.000">
                  <c:v>19.2</c:v>
                </c:pt>
                <c:pt idx="4809" formatCode="0.000">
                  <c:v>5.34</c:v>
                </c:pt>
                <c:pt idx="4810" formatCode="0.000">
                  <c:v>9.92</c:v>
                </c:pt>
                <c:pt idx="4811" formatCode="0.000">
                  <c:v>21.5</c:v>
                </c:pt>
                <c:pt idx="4812" formatCode="0.000">
                  <c:v>29.8</c:v>
                </c:pt>
                <c:pt idx="4813" formatCode="0.000">
                  <c:v>41.5</c:v>
                </c:pt>
                <c:pt idx="4814" formatCode="0.000">
                  <c:v>32.200000000000003</c:v>
                </c:pt>
                <c:pt idx="4815" formatCode="0.000">
                  <c:v>22.9</c:v>
                </c:pt>
                <c:pt idx="4816" formatCode="0.000">
                  <c:v>24.3</c:v>
                </c:pt>
                <c:pt idx="4817" formatCode="0.000">
                  <c:v>25.5</c:v>
                </c:pt>
                <c:pt idx="4818" formatCode="0.000">
                  <c:v>29.7</c:v>
                </c:pt>
                <c:pt idx="4819" formatCode="0.000">
                  <c:v>27.9</c:v>
                </c:pt>
                <c:pt idx="4820" formatCode="0.000">
                  <c:v>26.5</c:v>
                </c:pt>
                <c:pt idx="4821" formatCode="0.000">
                  <c:v>2.44</c:v>
                </c:pt>
                <c:pt idx="4822" formatCode="0.000">
                  <c:v>2.04</c:v>
                </c:pt>
                <c:pt idx="4823" formatCode="0.000">
                  <c:v>5.82</c:v>
                </c:pt>
                <c:pt idx="4824" formatCode="0.000">
                  <c:v>9.1300000000000008</c:v>
                </c:pt>
                <c:pt idx="4825" formatCode="0.000">
                  <c:v>10</c:v>
                </c:pt>
                <c:pt idx="4826" formatCode="0.000">
                  <c:v>10.7</c:v>
                </c:pt>
                <c:pt idx="4827" formatCode="0.000">
                  <c:v>20</c:v>
                </c:pt>
                <c:pt idx="4828" formatCode="0.000">
                  <c:v>24.8</c:v>
                </c:pt>
                <c:pt idx="4829" formatCode="0.000">
                  <c:v>25.6</c:v>
                </c:pt>
                <c:pt idx="4830" formatCode="0.000">
                  <c:v>24.3</c:v>
                </c:pt>
                <c:pt idx="4831" formatCode="0.000">
                  <c:v>14.4</c:v>
                </c:pt>
                <c:pt idx="4832" formatCode="0.000">
                  <c:v>10.1</c:v>
                </c:pt>
                <c:pt idx="4833" formatCode="0.000">
                  <c:v>15.8</c:v>
                </c:pt>
                <c:pt idx="4834" formatCode="0.000">
                  <c:v>25.7</c:v>
                </c:pt>
                <c:pt idx="4835" formatCode="0.000">
                  <c:v>29</c:v>
                </c:pt>
                <c:pt idx="4836" formatCode="0.000">
                  <c:v>30.3</c:v>
                </c:pt>
                <c:pt idx="4837">
                  <c:v>22.2</c:v>
                </c:pt>
                <c:pt idx="4838">
                  <c:v>12.8</c:v>
                </c:pt>
                <c:pt idx="4839">
                  <c:v>10.1</c:v>
                </c:pt>
                <c:pt idx="4840">
                  <c:v>7.23</c:v>
                </c:pt>
                <c:pt idx="4841" formatCode="0.00">
                  <c:v>7.01</c:v>
                </c:pt>
                <c:pt idx="4842">
                  <c:v>8.24</c:v>
                </c:pt>
                <c:pt idx="4843">
                  <c:v>10.8</c:v>
                </c:pt>
                <c:pt idx="4844">
                  <c:v>21.7</c:v>
                </c:pt>
                <c:pt idx="4845">
                  <c:v>13.1</c:v>
                </c:pt>
                <c:pt idx="4846">
                  <c:v>23.1</c:v>
                </c:pt>
                <c:pt idx="4847" formatCode="0.00">
                  <c:v>21.5</c:v>
                </c:pt>
                <c:pt idx="4848" formatCode="0.00">
                  <c:v>1.85</c:v>
                </c:pt>
                <c:pt idx="4849" formatCode="0.00">
                  <c:v>1.75</c:v>
                </c:pt>
                <c:pt idx="4850" formatCode="0.00">
                  <c:v>1.78</c:v>
                </c:pt>
                <c:pt idx="4851" formatCode="0.00">
                  <c:v>1.8</c:v>
                </c:pt>
                <c:pt idx="4852" formatCode="0.00">
                  <c:v>1.76</c:v>
                </c:pt>
                <c:pt idx="4853" formatCode="0.00">
                  <c:v>1.32</c:v>
                </c:pt>
                <c:pt idx="4854" formatCode="0.00">
                  <c:v>1.32</c:v>
                </c:pt>
                <c:pt idx="4855" formatCode="0.00">
                  <c:v>1.32</c:v>
                </c:pt>
                <c:pt idx="4856" formatCode="0.00">
                  <c:v>1.38</c:v>
                </c:pt>
                <c:pt idx="4857" formatCode="0.00">
                  <c:v>1.63</c:v>
                </c:pt>
                <c:pt idx="4858" formatCode="0.00">
                  <c:v>1.82</c:v>
                </c:pt>
                <c:pt idx="4859" formatCode="0.00">
                  <c:v>2.4</c:v>
                </c:pt>
                <c:pt idx="4860" formatCode="0.00">
                  <c:v>2.4300000000000002</c:v>
                </c:pt>
                <c:pt idx="4861" formatCode="0.00">
                  <c:v>2.56</c:v>
                </c:pt>
                <c:pt idx="4862" formatCode="0.00">
                  <c:v>3.23</c:v>
                </c:pt>
                <c:pt idx="4863" formatCode="0.00">
                  <c:v>3.23</c:v>
                </c:pt>
                <c:pt idx="4864" formatCode="0.00">
                  <c:v>3.22</c:v>
                </c:pt>
                <c:pt idx="4865" formatCode="0.00">
                  <c:v>2.87</c:v>
                </c:pt>
                <c:pt idx="4866" formatCode="0.00">
                  <c:v>2.86</c:v>
                </c:pt>
                <c:pt idx="4867" formatCode="0.00">
                  <c:v>2.85</c:v>
                </c:pt>
                <c:pt idx="4868" formatCode="0.00">
                  <c:v>2.59</c:v>
                </c:pt>
                <c:pt idx="4869" formatCode="0.00">
                  <c:v>2.59</c:v>
                </c:pt>
                <c:pt idx="4870" formatCode="0.00">
                  <c:v>2.59</c:v>
                </c:pt>
                <c:pt idx="4871" formatCode="0.00">
                  <c:v>2.23</c:v>
                </c:pt>
                <c:pt idx="4872" formatCode="0.00">
                  <c:v>2.1800000000000002</c:v>
                </c:pt>
                <c:pt idx="4873" formatCode="0.00">
                  <c:v>2.1800000000000002</c:v>
                </c:pt>
                <c:pt idx="4874" formatCode="0.00">
                  <c:v>2.14</c:v>
                </c:pt>
                <c:pt idx="4875" formatCode="0.00">
                  <c:v>2.12</c:v>
                </c:pt>
                <c:pt idx="4876" formatCode="0.00">
                  <c:v>2.06</c:v>
                </c:pt>
                <c:pt idx="4877" formatCode="0.00">
                  <c:v>5.29</c:v>
                </c:pt>
                <c:pt idx="4878" formatCode="0.00">
                  <c:v>5.38</c:v>
                </c:pt>
                <c:pt idx="4879" formatCode="0.00">
                  <c:v>5.55</c:v>
                </c:pt>
                <c:pt idx="4880" formatCode="0.00">
                  <c:v>7.42</c:v>
                </c:pt>
                <c:pt idx="4881" formatCode="0.00">
                  <c:v>7.41</c:v>
                </c:pt>
                <c:pt idx="4882" formatCode="0.00">
                  <c:v>7.41</c:v>
                </c:pt>
                <c:pt idx="4883" formatCode="0.00">
                  <c:v>10.4</c:v>
                </c:pt>
                <c:pt idx="4884" formatCode="0.00">
                  <c:v>10.6</c:v>
                </c:pt>
                <c:pt idx="4885" formatCode="0.00">
                  <c:v>10.6</c:v>
                </c:pt>
                <c:pt idx="4886" formatCode="0.00">
                  <c:v>17.399999999999999</c:v>
                </c:pt>
                <c:pt idx="4887" formatCode="0.00">
                  <c:v>18.899999999999999</c:v>
                </c:pt>
                <c:pt idx="4888" formatCode="0.00">
                  <c:v>11.7</c:v>
                </c:pt>
                <c:pt idx="4889" formatCode="0.00">
                  <c:v>12.1</c:v>
                </c:pt>
                <c:pt idx="4890" formatCode="0.00">
                  <c:v>12.8</c:v>
                </c:pt>
                <c:pt idx="4891" formatCode="0.00">
                  <c:v>12.9</c:v>
                </c:pt>
                <c:pt idx="4892" formatCode="0.00">
                  <c:v>7.87</c:v>
                </c:pt>
                <c:pt idx="4893" formatCode="0.00">
                  <c:v>7.78</c:v>
                </c:pt>
                <c:pt idx="4894" formatCode="0.00">
                  <c:v>6.03</c:v>
                </c:pt>
                <c:pt idx="4895" formatCode="0.00">
                  <c:v>5.92</c:v>
                </c:pt>
                <c:pt idx="4896" formatCode="0.00">
                  <c:v>5.86</c:v>
                </c:pt>
                <c:pt idx="4897" formatCode="0.00">
                  <c:v>3.31</c:v>
                </c:pt>
                <c:pt idx="4898" formatCode="0.00">
                  <c:v>3.29</c:v>
                </c:pt>
                <c:pt idx="4899" formatCode="0.00">
                  <c:v>3.29</c:v>
                </c:pt>
                <c:pt idx="4900" formatCode="0.00">
                  <c:v>1.26</c:v>
                </c:pt>
                <c:pt idx="4901" formatCode="0.00">
                  <c:v>1.26</c:v>
                </c:pt>
                <c:pt idx="4902" formatCode="0.00">
                  <c:v>1.26</c:v>
                </c:pt>
                <c:pt idx="4903" formatCode="0.00">
                  <c:v>2.61</c:v>
                </c:pt>
                <c:pt idx="4904" formatCode="0.00">
                  <c:v>2.57</c:v>
                </c:pt>
                <c:pt idx="4905" formatCode="0.00">
                  <c:v>2.4900000000000002</c:v>
                </c:pt>
                <c:pt idx="4906" formatCode="0.00">
                  <c:v>2</c:v>
                </c:pt>
                <c:pt idx="4907" formatCode="0.00">
                  <c:v>2.0499999999999998</c:v>
                </c:pt>
                <c:pt idx="4908" formatCode="0.00">
                  <c:v>2.06</c:v>
                </c:pt>
                <c:pt idx="4909" formatCode="0.00">
                  <c:v>1.98</c:v>
                </c:pt>
                <c:pt idx="4910" formatCode="0.00">
                  <c:v>1.98</c:v>
                </c:pt>
                <c:pt idx="4911" formatCode="0.00">
                  <c:v>1.98</c:v>
                </c:pt>
                <c:pt idx="4912" formatCode="0.00">
                  <c:v>2.2000000000000002</c:v>
                </c:pt>
                <c:pt idx="4913" formatCode="0.00">
                  <c:v>2.2000000000000002</c:v>
                </c:pt>
                <c:pt idx="4914" formatCode="0.00">
                  <c:v>2.2000000000000002</c:v>
                </c:pt>
                <c:pt idx="4915" formatCode="0.00">
                  <c:v>2.48</c:v>
                </c:pt>
                <c:pt idx="4916" formatCode="0.00">
                  <c:v>2.48</c:v>
                </c:pt>
                <c:pt idx="4917" formatCode="0.00">
                  <c:v>2.48</c:v>
                </c:pt>
                <c:pt idx="4918" formatCode="0.00">
                  <c:v>3.94</c:v>
                </c:pt>
                <c:pt idx="4919" formatCode="0.00">
                  <c:v>3.96</c:v>
                </c:pt>
                <c:pt idx="4920" formatCode="0.00">
                  <c:v>3.99</c:v>
                </c:pt>
                <c:pt idx="4921" formatCode="0.00">
                  <c:v>2.85</c:v>
                </c:pt>
                <c:pt idx="4922" formatCode="0.00">
                  <c:v>2.85</c:v>
                </c:pt>
                <c:pt idx="4923" formatCode="0.00">
                  <c:v>2.88</c:v>
                </c:pt>
                <c:pt idx="4924" formatCode="0.00">
                  <c:v>2.39</c:v>
                </c:pt>
                <c:pt idx="4925" formatCode="0.00">
                  <c:v>2.39</c:v>
                </c:pt>
                <c:pt idx="4926" formatCode="0.00">
                  <c:v>2.39</c:v>
                </c:pt>
                <c:pt idx="4927" formatCode="0.00">
                  <c:v>1.84</c:v>
                </c:pt>
                <c:pt idx="4928" formatCode="0.00">
                  <c:v>1.84</c:v>
                </c:pt>
                <c:pt idx="4929" formatCode="0.00">
                  <c:v>1.83</c:v>
                </c:pt>
                <c:pt idx="4930" formatCode="0.00">
                  <c:v>1.45</c:v>
                </c:pt>
                <c:pt idx="4931" formatCode="0.00">
                  <c:v>1.45</c:v>
                </c:pt>
                <c:pt idx="4932" formatCode="0.00">
                  <c:v>1.45</c:v>
                </c:pt>
                <c:pt idx="4933" formatCode="0.00">
                  <c:v>1.96</c:v>
                </c:pt>
                <c:pt idx="4934" formatCode="0.00">
                  <c:v>1.85</c:v>
                </c:pt>
                <c:pt idx="4935" formatCode="0.00">
                  <c:v>1.68</c:v>
                </c:pt>
                <c:pt idx="4936" formatCode="0.00">
                  <c:v>1.44</c:v>
                </c:pt>
                <c:pt idx="4937" formatCode="0.00">
                  <c:v>1.32</c:v>
                </c:pt>
                <c:pt idx="4938" formatCode="0.00">
                  <c:v>1.2</c:v>
                </c:pt>
                <c:pt idx="4939" formatCode="0.00">
                  <c:v>1.17</c:v>
                </c:pt>
                <c:pt idx="4940" formatCode="0.00">
                  <c:v>1.38</c:v>
                </c:pt>
                <c:pt idx="4941" formatCode="0.00">
                  <c:v>1.2</c:v>
                </c:pt>
                <c:pt idx="4942" formatCode="0.00">
                  <c:v>1.17</c:v>
                </c:pt>
                <c:pt idx="4943" formatCode="0.00">
                  <c:v>1.2</c:v>
                </c:pt>
                <c:pt idx="4944" formatCode="0.00">
                  <c:v>1.26</c:v>
                </c:pt>
                <c:pt idx="4945" formatCode="0.00">
                  <c:v>1.35</c:v>
                </c:pt>
                <c:pt idx="4946" formatCode="0.00">
                  <c:v>1.2</c:v>
                </c:pt>
                <c:pt idx="4947" formatCode="0.00">
                  <c:v>5.01</c:v>
                </c:pt>
                <c:pt idx="4948" formatCode="0.00">
                  <c:v>5.01</c:v>
                </c:pt>
                <c:pt idx="4949" formatCode="0.00">
                  <c:v>5.51</c:v>
                </c:pt>
                <c:pt idx="4950" formatCode="0.00">
                  <c:v>5.91</c:v>
                </c:pt>
                <c:pt idx="4951" formatCode="0.00">
                  <c:v>5.91</c:v>
                </c:pt>
                <c:pt idx="4952" formatCode="0.00">
                  <c:v>5.79</c:v>
                </c:pt>
                <c:pt idx="4953" formatCode="0.00">
                  <c:v>5.79</c:v>
                </c:pt>
                <c:pt idx="4954" formatCode="0.00">
                  <c:v>5.56</c:v>
                </c:pt>
                <c:pt idx="4955" formatCode="0.00">
                  <c:v>5.23</c:v>
                </c:pt>
                <c:pt idx="4956" formatCode="0.00">
                  <c:v>4.96</c:v>
                </c:pt>
                <c:pt idx="4957" formatCode="0.00">
                  <c:v>5.68</c:v>
                </c:pt>
                <c:pt idx="4958" formatCode="0.00">
                  <c:v>2.79</c:v>
                </c:pt>
                <c:pt idx="4959" formatCode="0.00">
                  <c:v>4.6900000000000004</c:v>
                </c:pt>
                <c:pt idx="4960" formatCode="0.00">
                  <c:v>2.3420000000000001</c:v>
                </c:pt>
                <c:pt idx="4961" formatCode="0.00">
                  <c:v>1.671</c:v>
                </c:pt>
                <c:pt idx="4962" formatCode="0.00">
                  <c:v>1.875</c:v>
                </c:pt>
                <c:pt idx="4963" formatCode="0.00">
                  <c:v>1.5940000000000001</c:v>
                </c:pt>
                <c:pt idx="4964" formatCode="0.00">
                  <c:v>2.1469999999999998</c:v>
                </c:pt>
                <c:pt idx="4965" formatCode="0.00">
                  <c:v>2.0960000000000001</c:v>
                </c:pt>
                <c:pt idx="4966" formatCode="0.00">
                  <c:v>2.0649999999999999</c:v>
                </c:pt>
                <c:pt idx="4967" formatCode="0.00">
                  <c:v>2.1520000000000001</c:v>
                </c:pt>
                <c:pt idx="4968" formatCode="0.00">
                  <c:v>2.379</c:v>
                </c:pt>
                <c:pt idx="4969" formatCode="0.00">
                  <c:v>2.6339999999999999</c:v>
                </c:pt>
                <c:pt idx="4970" formatCode="0.000">
                  <c:v>85.243200000000002</c:v>
                </c:pt>
                <c:pt idx="4971" formatCode="0.000">
                  <c:v>89.491200000000006</c:v>
                </c:pt>
                <c:pt idx="4972" formatCode="0.000">
                  <c:v>62.870400000000004</c:v>
                </c:pt>
                <c:pt idx="4973" formatCode="0.000">
                  <c:v>68.817599999999999</c:v>
                </c:pt>
                <c:pt idx="4974" formatCode="0.000">
                  <c:v>117.8112</c:v>
                </c:pt>
                <c:pt idx="4975" formatCode="0.000">
                  <c:v>118.66080000000001</c:v>
                </c:pt>
                <c:pt idx="4976" formatCode="0.000">
                  <c:v>120.9264</c:v>
                </c:pt>
                <c:pt idx="4977" formatCode="0.000">
                  <c:v>120.9264</c:v>
                </c:pt>
                <c:pt idx="4978" formatCode="0.000">
                  <c:v>90.907200000000003</c:v>
                </c:pt>
                <c:pt idx="4979" formatCode="0.000">
                  <c:v>90.907200000000003</c:v>
                </c:pt>
                <c:pt idx="4980" formatCode="0.000">
                  <c:v>139.9008</c:v>
                </c:pt>
                <c:pt idx="4981" formatCode="0.000">
                  <c:v>157.45920000000001</c:v>
                </c:pt>
                <c:pt idx="4982" formatCode="0.000">
                  <c:v>157.7424</c:v>
                </c:pt>
                <c:pt idx="4983" formatCode="0.000">
                  <c:v>189.17760000000001</c:v>
                </c:pt>
                <c:pt idx="4984" formatCode="0.000">
                  <c:v>204.75360000000001</c:v>
                </c:pt>
                <c:pt idx="4985" formatCode="0.000">
                  <c:v>195.69120000000001</c:v>
                </c:pt>
                <c:pt idx="4986" formatCode="0.000">
                  <c:v>123.4752</c:v>
                </c:pt>
                <c:pt idx="4987" formatCode="0.000">
                  <c:v>129.42240000000001</c:v>
                </c:pt>
                <c:pt idx="4988" formatCode="0.000">
                  <c:v>101.952</c:v>
                </c:pt>
                <c:pt idx="4989" formatCode="0.000">
                  <c:v>87.508800000000008</c:v>
                </c:pt>
                <c:pt idx="4990" formatCode="0.000">
                  <c:v>90.340800000000002</c:v>
                </c:pt>
                <c:pt idx="4991" formatCode="0.000">
                  <c:v>72.216000000000008</c:v>
                </c:pt>
                <c:pt idx="4992" formatCode="0.000">
                  <c:v>80.145600000000002</c:v>
                </c:pt>
                <c:pt idx="4993" formatCode="0.000">
                  <c:v>81.844800000000006</c:v>
                </c:pt>
                <c:pt idx="4994" formatCode="0.000">
                  <c:v>67.401600000000002</c:v>
                </c:pt>
                <c:pt idx="4995" formatCode="0.000">
                  <c:v>0.48138639220000001</c:v>
                </c:pt>
                <c:pt idx="4996" formatCode="0.000">
                  <c:v>1.0760401708</c:v>
                </c:pt>
                <c:pt idx="4997" formatCode="0.000">
                  <c:v>3.6528732114000002</c:v>
                </c:pt>
                <c:pt idx="4998" formatCode="0.000">
                  <c:v>8.4950539799999998</c:v>
                </c:pt>
                <c:pt idx="4999" formatCode="0.000">
                  <c:v>8.4950539799999998</c:v>
                </c:pt>
                <c:pt idx="5000" formatCode="0.000">
                  <c:v>9.6843615372000009</c:v>
                </c:pt>
                <c:pt idx="5001" formatCode="0.000">
                  <c:v>9.6843615372000009</c:v>
                </c:pt>
                <c:pt idx="5002" formatCode="0.000">
                  <c:v>10.1091142362</c:v>
                </c:pt>
                <c:pt idx="5003" formatCode="0.000">
                  <c:v>9.9675300032000003</c:v>
                </c:pt>
                <c:pt idx="5004" formatCode="0.000">
                  <c:v>8.4950539799999998</c:v>
                </c:pt>
                <c:pt idx="5005" formatCode="0.000">
                  <c:v>8.6083213664000002</c:v>
                </c:pt>
                <c:pt idx="5006" formatCode="0.000">
                  <c:v>7.5322811956000004</c:v>
                </c:pt>
                <c:pt idx="5007" formatCode="0.000">
                  <c:v>7.5322811956000004</c:v>
                </c:pt>
                <c:pt idx="5008" formatCode="0.000">
                  <c:v>7.5322811956000004</c:v>
                </c:pt>
                <c:pt idx="5009" formatCode="0.000">
                  <c:v>6.2580230985999998</c:v>
                </c:pt>
                <c:pt idx="5010" formatCode="0.000">
                  <c:v>6.0598051723999999</c:v>
                </c:pt>
                <c:pt idx="5011" formatCode="0.000">
                  <c:v>5.6916861666000003</c:v>
                </c:pt>
                <c:pt idx="5012" formatCode="0.000">
                  <c:v>5.6916861666000003</c:v>
                </c:pt>
                <c:pt idx="5013" formatCode="0.000">
                  <c:v>5.6916861666000003</c:v>
                </c:pt>
                <c:pt idx="5014" formatCode="0.000">
                  <c:v>5.6916861666000003</c:v>
                </c:pt>
                <c:pt idx="5015" formatCode="0.000">
                  <c:v>5.7766367063999997</c:v>
                </c:pt>
                <c:pt idx="5016" formatCode="0.000">
                  <c:v>2.9732688930000002</c:v>
                </c:pt>
                <c:pt idx="5017" formatCode="0.000">
                  <c:v>1.5007928698000002</c:v>
                </c:pt>
                <c:pt idx="5018" formatCode="0.000">
                  <c:v>3.5679226715999999</c:v>
                </c:pt>
                <c:pt idx="5019" formatCode="0.000">
                  <c:v>3.7095069046</c:v>
                </c:pt>
                <c:pt idx="5020" formatCode="0.000">
                  <c:v>2.8600015066000002</c:v>
                </c:pt>
                <c:pt idx="5021" formatCode="0.000">
                  <c:v>2.690100427</c:v>
                </c:pt>
                <c:pt idx="5022" formatCode="0.000">
                  <c:v>3.5679226715999999</c:v>
                </c:pt>
                <c:pt idx="5023" formatCode="0.000">
                  <c:v>3.5112889784000001</c:v>
                </c:pt>
                <c:pt idx="5024" formatCode="0.000">
                  <c:v>3.1431699726</c:v>
                </c:pt>
                <c:pt idx="5025" formatCode="0.000">
                  <c:v>2.9732688930000002</c:v>
                </c:pt>
                <c:pt idx="5026" formatCode="0.000">
                  <c:v>4.2758438366</c:v>
                </c:pt>
                <c:pt idx="5027" formatCode="0.000">
                  <c:v>1.8405950290000002</c:v>
                </c:pt>
                <c:pt idx="5028" formatCode="0.000">
                  <c:v>1.6140602562000002</c:v>
                </c:pt>
                <c:pt idx="5029" formatCode="0.000">
                  <c:v>0.90613909120000002</c:v>
                </c:pt>
                <c:pt idx="5030" formatCode="0.000">
                  <c:v>2.5201993474000002</c:v>
                </c:pt>
                <c:pt idx="5031" formatCode="0.000">
                  <c:v>2.8033678134</c:v>
                </c:pt>
                <c:pt idx="5032" formatCode="0.000">
                  <c:v>2.8033678134</c:v>
                </c:pt>
                <c:pt idx="5033" formatCode="0.000">
                  <c:v>6.5978252578000003</c:v>
                </c:pt>
                <c:pt idx="5034" formatCode="0.0000">
                  <c:v>7.9287170480000002</c:v>
                </c:pt>
                <c:pt idx="5035" formatCode="0.0000">
                  <c:v>8.0419844343999998</c:v>
                </c:pt>
                <c:pt idx="5036" formatCode="0.0000">
                  <c:v>8.0419844343999998</c:v>
                </c:pt>
                <c:pt idx="5037" formatCode="0.0000">
                  <c:v>7.5605980422000005</c:v>
                </c:pt>
                <c:pt idx="5038" formatCode="0.0000">
                  <c:v>6.7960431840000002</c:v>
                </c:pt>
                <c:pt idx="5039" formatCode="0.0000">
                  <c:v>5.7200030132000004</c:v>
                </c:pt>
                <c:pt idx="5040" formatCode="0.0000">
                  <c:v>6.0881220190000001</c:v>
                </c:pt>
                <c:pt idx="5041" formatCode="0.0000">
                  <c:v>6.0881220190000001</c:v>
                </c:pt>
                <c:pt idx="5042" formatCode="0.0000">
                  <c:v>7.7021822752000002</c:v>
                </c:pt>
                <c:pt idx="5043" formatCode="0.0000">
                  <c:v>8.5516876732</c:v>
                </c:pt>
                <c:pt idx="5044" formatCode="0.0000">
                  <c:v>9.4578267644</c:v>
                </c:pt>
                <c:pt idx="5045" formatCode="0.0000">
                  <c:v>9.4578267644</c:v>
                </c:pt>
                <c:pt idx="5046" formatCode="0.0000">
                  <c:v>9.4578267644</c:v>
                </c:pt>
                <c:pt idx="5047" formatCode="0.0000">
                  <c:v>7.9287170480000002</c:v>
                </c:pt>
                <c:pt idx="5048" formatCode="0.0000">
                  <c:v>6.9093105704000006</c:v>
                </c:pt>
                <c:pt idx="5049" formatCode="0.0000">
                  <c:v>2.9166351998</c:v>
                </c:pt>
                <c:pt idx="5050" formatCode="0.00">
                  <c:v>0.24355199999999999</c:v>
                </c:pt>
                <c:pt idx="5051" formatCode="0.00">
                  <c:v>0.39648</c:v>
                </c:pt>
                <c:pt idx="5052" formatCode="0.00">
                  <c:v>1.1044800000000001</c:v>
                </c:pt>
                <c:pt idx="5053" formatCode="0.00">
                  <c:v>1.07616</c:v>
                </c:pt>
                <c:pt idx="5054" formatCode="0.00">
                  <c:v>1.52928</c:v>
                </c:pt>
                <c:pt idx="5055" formatCode="0.00">
                  <c:v>1.6142400000000001</c:v>
                </c:pt>
                <c:pt idx="5056" formatCode="0.00">
                  <c:v>1.8124800000000001</c:v>
                </c:pt>
                <c:pt idx="5057" formatCode="0.00">
                  <c:v>1.8124800000000001</c:v>
                </c:pt>
                <c:pt idx="5058" formatCode="0.00">
                  <c:v>1.6992</c:v>
                </c:pt>
                <c:pt idx="5059" formatCode="0.00">
                  <c:v>1.6992</c:v>
                </c:pt>
                <c:pt idx="5060" formatCode="0.00">
                  <c:v>1.6992</c:v>
                </c:pt>
                <c:pt idx="5061" formatCode="0.00">
                  <c:v>1.6708800000000001</c:v>
                </c:pt>
                <c:pt idx="5062" formatCode="0.00">
                  <c:v>1.64256</c:v>
                </c:pt>
                <c:pt idx="5063" formatCode="0.00">
                  <c:v>1.58592</c:v>
                </c:pt>
                <c:pt idx="5064" formatCode="0.00">
                  <c:v>1.3593600000000001</c:v>
                </c:pt>
                <c:pt idx="5065" formatCode="0.00">
                  <c:v>1.3593600000000001</c:v>
                </c:pt>
                <c:pt idx="5066" formatCode="0.00">
                  <c:v>1.1044800000000001</c:v>
                </c:pt>
                <c:pt idx="5067" formatCode="0.00">
                  <c:v>1.1044800000000001</c:v>
                </c:pt>
                <c:pt idx="5068" formatCode="0.00">
                  <c:v>0.39648</c:v>
                </c:pt>
                <c:pt idx="5069" formatCode="0.00">
                  <c:v>0.42480000000000001</c:v>
                </c:pt>
                <c:pt idx="5070" formatCode="0.00">
                  <c:v>0.45312000000000002</c:v>
                </c:pt>
                <c:pt idx="5071" formatCode="0.00">
                  <c:v>0.48144000000000003</c:v>
                </c:pt>
                <c:pt idx="5072" formatCode="0.00">
                  <c:v>0.50975999999999999</c:v>
                </c:pt>
                <c:pt idx="5073" formatCode="0.00">
                  <c:v>0.56640000000000001</c:v>
                </c:pt>
                <c:pt idx="5074" formatCode="0.00">
                  <c:v>0.53808</c:v>
                </c:pt>
                <c:pt idx="5075" formatCode="0.00">
                  <c:v>0.50975999999999999</c:v>
                </c:pt>
                <c:pt idx="5076" formatCode="0.00">
                  <c:v>0.50975999999999999</c:v>
                </c:pt>
                <c:pt idx="5077" formatCode="0.00">
                  <c:v>0.56640000000000001</c:v>
                </c:pt>
                <c:pt idx="5078" formatCode="0.00">
                  <c:v>0.59472000000000003</c:v>
                </c:pt>
                <c:pt idx="5079" formatCode="0.00">
                  <c:v>0.59472000000000003</c:v>
                </c:pt>
                <c:pt idx="5080" formatCode="0.00">
                  <c:v>0.56640000000000001</c:v>
                </c:pt>
                <c:pt idx="5081" formatCode="0.00">
                  <c:v>0.53808</c:v>
                </c:pt>
                <c:pt idx="5082" formatCode="0.00">
                  <c:v>0.39648</c:v>
                </c:pt>
                <c:pt idx="5083" formatCode="0.00">
                  <c:v>0.21523200000000001</c:v>
                </c:pt>
                <c:pt idx="5084" formatCode="0.00">
                  <c:v>0.48144000000000003</c:v>
                </c:pt>
                <c:pt idx="5085" formatCode="0.00">
                  <c:v>0.50975999999999999</c:v>
                </c:pt>
                <c:pt idx="5086" formatCode="0.00">
                  <c:v>1.0478400000000001</c:v>
                </c:pt>
                <c:pt idx="5087" formatCode="0.00">
                  <c:v>1.07616</c:v>
                </c:pt>
                <c:pt idx="5088" formatCode="0.00">
                  <c:v>1.0478400000000001</c:v>
                </c:pt>
                <c:pt idx="5089" formatCode="0.00">
                  <c:v>1.07616</c:v>
                </c:pt>
                <c:pt idx="5090" formatCode="0.00">
                  <c:v>1.1894400000000001</c:v>
                </c:pt>
                <c:pt idx="5091" formatCode="0.00">
                  <c:v>1.1894400000000001</c:v>
                </c:pt>
                <c:pt idx="5092" formatCode="0.00">
                  <c:v>1.1044800000000001</c:v>
                </c:pt>
                <c:pt idx="5093" formatCode="0.00">
                  <c:v>1.07616</c:v>
                </c:pt>
                <c:pt idx="5094" formatCode="0.00">
                  <c:v>1.01952</c:v>
                </c:pt>
                <c:pt idx="5095" formatCode="0.00">
                  <c:v>1.01952</c:v>
                </c:pt>
                <c:pt idx="5096" formatCode="0.00">
                  <c:v>0.33984000000000003</c:v>
                </c:pt>
                <c:pt idx="5097">
                  <c:v>2.8036799999999999</c:v>
                </c:pt>
                <c:pt idx="5098">
                  <c:v>3.0585599999999999</c:v>
                </c:pt>
                <c:pt idx="5099">
                  <c:v>6.0038400000000003</c:v>
                </c:pt>
                <c:pt idx="5100">
                  <c:v>6.1171199999999999</c:v>
                </c:pt>
                <c:pt idx="5101">
                  <c:v>7.1366400000000008</c:v>
                </c:pt>
                <c:pt idx="5102">
                  <c:v>7.3348800000000001</c:v>
                </c:pt>
                <c:pt idx="5103">
                  <c:v>7.3348800000000001</c:v>
                </c:pt>
                <c:pt idx="5104">
                  <c:v>7.08</c:v>
                </c:pt>
                <c:pt idx="5105">
                  <c:v>6.4286400000000006</c:v>
                </c:pt>
                <c:pt idx="5106">
                  <c:v>6.3719999999999999</c:v>
                </c:pt>
                <c:pt idx="5107">
                  <c:v>6.1737600000000006</c:v>
                </c:pt>
                <c:pt idx="5108">
                  <c:v>6.1737600000000006</c:v>
                </c:pt>
                <c:pt idx="5109">
                  <c:v>6.0038400000000003</c:v>
                </c:pt>
                <c:pt idx="5110">
                  <c:v>5.8622399999999999</c:v>
                </c:pt>
                <c:pt idx="5111">
                  <c:v>4.3896000000000006</c:v>
                </c:pt>
                <c:pt idx="5112">
                  <c:v>4.4462400000000004</c:v>
                </c:pt>
                <c:pt idx="5113">
                  <c:v>4.0780799999999999</c:v>
                </c:pt>
                <c:pt idx="5114">
                  <c:v>4.1913600000000004</c:v>
                </c:pt>
                <c:pt idx="5115">
                  <c:v>1.01952</c:v>
                </c:pt>
                <c:pt idx="5116">
                  <c:v>0.36816000000000004</c:v>
                </c:pt>
                <c:pt idx="5117">
                  <c:v>0.93456000000000006</c:v>
                </c:pt>
                <c:pt idx="5118">
                  <c:v>1.0478400000000001</c:v>
                </c:pt>
                <c:pt idx="5119">
                  <c:v>1.6708800000000001</c:v>
                </c:pt>
                <c:pt idx="5120">
                  <c:v>1.4726400000000002</c:v>
                </c:pt>
                <c:pt idx="5121">
                  <c:v>1.8408</c:v>
                </c:pt>
                <c:pt idx="5122">
                  <c:v>1.6708800000000001</c:v>
                </c:pt>
                <c:pt idx="5123">
                  <c:v>1.6992</c:v>
                </c:pt>
                <c:pt idx="5124">
                  <c:v>1.95408</c:v>
                </c:pt>
                <c:pt idx="5125">
                  <c:v>1.8408</c:v>
                </c:pt>
                <c:pt idx="5126">
                  <c:v>1.6708800000000001</c:v>
                </c:pt>
                <c:pt idx="5127">
                  <c:v>2.4072</c:v>
                </c:pt>
                <c:pt idx="5128">
                  <c:v>1.07616</c:v>
                </c:pt>
                <c:pt idx="5129">
                  <c:v>0.79296</c:v>
                </c:pt>
                <c:pt idx="5130">
                  <c:v>0.70800000000000007</c:v>
                </c:pt>
                <c:pt idx="5131">
                  <c:v>0.73632000000000009</c:v>
                </c:pt>
                <c:pt idx="5132">
                  <c:v>1.8691200000000001</c:v>
                </c:pt>
                <c:pt idx="5133">
                  <c:v>3.0585599999999999</c:v>
                </c:pt>
                <c:pt idx="5134">
                  <c:v>4.7294400000000003</c:v>
                </c:pt>
                <c:pt idx="5135">
                  <c:v>0.90624000000000005</c:v>
                </c:pt>
                <c:pt idx="5136">
                  <c:v>2.1800000000000002</c:v>
                </c:pt>
                <c:pt idx="5137">
                  <c:v>2.04</c:v>
                </c:pt>
                <c:pt idx="5138">
                  <c:v>2.04</c:v>
                </c:pt>
                <c:pt idx="5139" formatCode="0.00">
                  <c:v>2.2000000000000002</c:v>
                </c:pt>
                <c:pt idx="5140">
                  <c:v>2.33</c:v>
                </c:pt>
                <c:pt idx="5141">
                  <c:v>1.34</c:v>
                </c:pt>
                <c:pt idx="5142">
                  <c:v>2.02</c:v>
                </c:pt>
                <c:pt idx="5143">
                  <c:v>2.35</c:v>
                </c:pt>
                <c:pt idx="5144">
                  <c:v>2.5099999999999998</c:v>
                </c:pt>
                <c:pt idx="5145">
                  <c:v>3.09</c:v>
                </c:pt>
                <c:pt idx="5146">
                  <c:v>3.09</c:v>
                </c:pt>
                <c:pt idx="5147" formatCode="0.00">
                  <c:v>3.1</c:v>
                </c:pt>
                <c:pt idx="5148">
                  <c:v>3.11</c:v>
                </c:pt>
                <c:pt idx="5149">
                  <c:v>3.12</c:v>
                </c:pt>
                <c:pt idx="5150">
                  <c:v>3.12</c:v>
                </c:pt>
                <c:pt idx="5151">
                  <c:v>3.12</c:v>
                </c:pt>
                <c:pt idx="5152">
                  <c:v>3.08</c:v>
                </c:pt>
                <c:pt idx="5153">
                  <c:v>3.06</c:v>
                </c:pt>
                <c:pt idx="5154">
                  <c:v>2.97</c:v>
                </c:pt>
                <c:pt idx="5155">
                  <c:v>2.91</c:v>
                </c:pt>
                <c:pt idx="5156">
                  <c:v>2.87</c:v>
                </c:pt>
                <c:pt idx="5157">
                  <c:v>2.85</c:v>
                </c:pt>
                <c:pt idx="5158">
                  <c:v>2.83</c:v>
                </c:pt>
                <c:pt idx="5159" formatCode="0.00">
                  <c:v>2.8</c:v>
                </c:pt>
                <c:pt idx="5160">
                  <c:v>2.83</c:v>
                </c:pt>
                <c:pt idx="5161">
                  <c:v>2.86</c:v>
                </c:pt>
                <c:pt idx="5162" formatCode="0.00">
                  <c:v>2.8</c:v>
                </c:pt>
                <c:pt idx="5163">
                  <c:v>2.86</c:v>
                </c:pt>
                <c:pt idx="5164">
                  <c:v>2.92</c:v>
                </c:pt>
                <c:pt idx="5165">
                  <c:v>2.86</c:v>
                </c:pt>
                <c:pt idx="5166" formatCode="0.00">
                  <c:v>2.8</c:v>
                </c:pt>
                <c:pt idx="5167">
                  <c:v>2.77</c:v>
                </c:pt>
                <c:pt idx="5168" formatCode="0.00">
                  <c:v>1.6</c:v>
                </c:pt>
                <c:pt idx="5169">
                  <c:v>1.48</c:v>
                </c:pt>
                <c:pt idx="5170" formatCode="0.00">
                  <c:v>1.1000000000000001</c:v>
                </c:pt>
                <c:pt idx="5171">
                  <c:v>1.05</c:v>
                </c:pt>
                <c:pt idx="5172">
                  <c:v>1.21</c:v>
                </c:pt>
                <c:pt idx="5173">
                  <c:v>1.46</c:v>
                </c:pt>
                <c:pt idx="5174">
                  <c:v>1.62</c:v>
                </c:pt>
                <c:pt idx="5175">
                  <c:v>1.51</c:v>
                </c:pt>
                <c:pt idx="5176">
                  <c:v>1.21</c:v>
                </c:pt>
                <c:pt idx="5177" formatCode="0.00">
                  <c:v>1.1000000000000001</c:v>
                </c:pt>
                <c:pt idx="5178">
                  <c:v>1.03</c:v>
                </c:pt>
                <c:pt idx="5179">
                  <c:v>1.05</c:v>
                </c:pt>
                <c:pt idx="5180">
                  <c:v>0.99</c:v>
                </c:pt>
                <c:pt idx="5181">
                  <c:v>1.05</c:v>
                </c:pt>
                <c:pt idx="5182">
                  <c:v>1.23</c:v>
                </c:pt>
                <c:pt idx="5183" formatCode="0.00">
                  <c:v>1.3</c:v>
                </c:pt>
                <c:pt idx="5184">
                  <c:v>1.64</c:v>
                </c:pt>
                <c:pt idx="5185" formatCode="0.00">
                  <c:v>1.3</c:v>
                </c:pt>
                <c:pt idx="5186">
                  <c:v>1.34</c:v>
                </c:pt>
                <c:pt idx="5187">
                  <c:v>1.37</c:v>
                </c:pt>
                <c:pt idx="5188">
                  <c:v>1.39</c:v>
                </c:pt>
                <c:pt idx="5189" formatCode="0.00">
                  <c:v>1.6</c:v>
                </c:pt>
                <c:pt idx="5190">
                  <c:v>1.68</c:v>
                </c:pt>
                <c:pt idx="5191" formatCode="0.00">
                  <c:v>1.37</c:v>
                </c:pt>
                <c:pt idx="5192" formatCode="0.00">
                  <c:v>1.99</c:v>
                </c:pt>
                <c:pt idx="5193" formatCode="0.00">
                  <c:v>2.29</c:v>
                </c:pt>
                <c:pt idx="5194" formatCode="0.00">
                  <c:v>2.66</c:v>
                </c:pt>
                <c:pt idx="5195" formatCode="0.00">
                  <c:v>3.02</c:v>
                </c:pt>
                <c:pt idx="5196" formatCode="0.00">
                  <c:v>3.14</c:v>
                </c:pt>
                <c:pt idx="5197" formatCode="0.00">
                  <c:v>3.14</c:v>
                </c:pt>
                <c:pt idx="5198" formatCode="0.00">
                  <c:v>3.18</c:v>
                </c:pt>
                <c:pt idx="5199" formatCode="0.00">
                  <c:v>3.06</c:v>
                </c:pt>
                <c:pt idx="5200" formatCode="0.00">
                  <c:v>2.94</c:v>
                </c:pt>
                <c:pt idx="5201" formatCode="0.00">
                  <c:v>2.7</c:v>
                </c:pt>
                <c:pt idx="5202" formatCode="0.00">
                  <c:v>2.5099999999999998</c:v>
                </c:pt>
                <c:pt idx="5203" formatCode="0.00">
                  <c:v>2.36</c:v>
                </c:pt>
                <c:pt idx="5204" formatCode="0.00">
                  <c:v>2.16</c:v>
                </c:pt>
                <c:pt idx="5205" formatCode="0.00">
                  <c:v>1.96</c:v>
                </c:pt>
                <c:pt idx="5206" formatCode="0.00">
                  <c:v>1.83</c:v>
                </c:pt>
                <c:pt idx="5207" formatCode="0.00">
                  <c:v>1.8</c:v>
                </c:pt>
                <c:pt idx="5208" formatCode="0.00">
                  <c:v>1.86</c:v>
                </c:pt>
                <c:pt idx="5209" formatCode="0.00">
                  <c:v>2.09</c:v>
                </c:pt>
                <c:pt idx="5210" formatCode="0.00">
                  <c:v>2.62</c:v>
                </c:pt>
                <c:pt idx="5211" formatCode="0.00">
                  <c:v>2.9</c:v>
                </c:pt>
                <c:pt idx="5212" formatCode="0.00">
                  <c:v>3.14</c:v>
                </c:pt>
                <c:pt idx="5213" formatCode="0.00">
                  <c:v>3.4</c:v>
                </c:pt>
                <c:pt idx="5214" formatCode="0.00">
                  <c:v>3.66</c:v>
                </c:pt>
                <c:pt idx="5215" formatCode="0.00">
                  <c:v>3.76</c:v>
                </c:pt>
                <c:pt idx="5216" formatCode="0.00">
                  <c:v>3.9</c:v>
                </c:pt>
                <c:pt idx="5217" formatCode="0.00">
                  <c:v>3.95</c:v>
                </c:pt>
                <c:pt idx="5218" formatCode="0.00">
                  <c:v>4.09</c:v>
                </c:pt>
                <c:pt idx="5219" formatCode="0.00">
                  <c:v>4.0599999999999996</c:v>
                </c:pt>
                <c:pt idx="5220" formatCode="0.00">
                  <c:v>4</c:v>
                </c:pt>
                <c:pt idx="5221" formatCode="0.00">
                  <c:v>3.76</c:v>
                </c:pt>
                <c:pt idx="5222" formatCode="0.00">
                  <c:v>3.39</c:v>
                </c:pt>
                <c:pt idx="5223" formatCode="0.00">
                  <c:v>3.18</c:v>
                </c:pt>
                <c:pt idx="5224" formatCode="0.00">
                  <c:v>2.9</c:v>
                </c:pt>
                <c:pt idx="5225" formatCode="0.00">
                  <c:v>2.62</c:v>
                </c:pt>
                <c:pt idx="5226" formatCode="0.00">
                  <c:v>2.33</c:v>
                </c:pt>
                <c:pt idx="5227" formatCode="0.00">
                  <c:v>2.16</c:v>
                </c:pt>
                <c:pt idx="5228" formatCode="0.00">
                  <c:v>11.62</c:v>
                </c:pt>
                <c:pt idx="5229" formatCode="0.00">
                  <c:v>12.27</c:v>
                </c:pt>
                <c:pt idx="5230" formatCode="0.00">
                  <c:v>12.52</c:v>
                </c:pt>
                <c:pt idx="5231" formatCode="0.00">
                  <c:v>12.13</c:v>
                </c:pt>
                <c:pt idx="5232" formatCode="0.00">
                  <c:v>11.12</c:v>
                </c:pt>
                <c:pt idx="5233" formatCode="0.00">
                  <c:v>9.76</c:v>
                </c:pt>
                <c:pt idx="5234" formatCode="0.00">
                  <c:v>8.5299999999999994</c:v>
                </c:pt>
                <c:pt idx="5235" formatCode="0.00">
                  <c:v>7.35</c:v>
                </c:pt>
                <c:pt idx="5236" formatCode="0.00">
                  <c:v>6.37</c:v>
                </c:pt>
                <c:pt idx="5237" formatCode="0.00">
                  <c:v>6.88</c:v>
                </c:pt>
                <c:pt idx="5238" formatCode="0.00">
                  <c:v>6</c:v>
                </c:pt>
                <c:pt idx="5239" formatCode="0.00">
                  <c:v>5.53</c:v>
                </c:pt>
                <c:pt idx="5240" formatCode="0.00">
                  <c:v>4.91</c:v>
                </c:pt>
                <c:pt idx="5241" formatCode="0.00">
                  <c:v>4.9800000000000004</c:v>
                </c:pt>
                <c:pt idx="5242" formatCode="0.00">
                  <c:v>5.24</c:v>
                </c:pt>
                <c:pt idx="5243" formatCode="0.00">
                  <c:v>5.3</c:v>
                </c:pt>
                <c:pt idx="5244" formatCode="0.00">
                  <c:v>5.13</c:v>
                </c:pt>
                <c:pt idx="5245" formatCode="0.00">
                  <c:v>4.54</c:v>
                </c:pt>
                <c:pt idx="5246" formatCode="0.00">
                  <c:v>9.6199999999999992</c:v>
                </c:pt>
                <c:pt idx="5247" formatCode="0.00">
                  <c:v>11.86</c:v>
                </c:pt>
                <c:pt idx="5248" formatCode="0.00">
                  <c:v>14.85</c:v>
                </c:pt>
                <c:pt idx="5249" formatCode="0.00">
                  <c:v>16.7</c:v>
                </c:pt>
                <c:pt idx="5250" formatCode="0.00">
                  <c:v>17.14</c:v>
                </c:pt>
                <c:pt idx="5251" formatCode="0.00">
                  <c:v>17</c:v>
                </c:pt>
                <c:pt idx="5252" formatCode="0.00">
                  <c:v>16.09</c:v>
                </c:pt>
                <c:pt idx="5253" formatCode="0.00">
                  <c:v>14.33</c:v>
                </c:pt>
                <c:pt idx="5254" formatCode="0.00">
                  <c:v>11.95</c:v>
                </c:pt>
                <c:pt idx="5255" formatCode="0.00">
                  <c:v>9.15</c:v>
                </c:pt>
                <c:pt idx="5256" formatCode="0.00">
                  <c:v>7.69</c:v>
                </c:pt>
                <c:pt idx="5257" formatCode="0.00">
                  <c:v>7.47</c:v>
                </c:pt>
                <c:pt idx="5258" formatCode="0.00">
                  <c:v>7.47</c:v>
                </c:pt>
                <c:pt idx="5259" formatCode="0.00">
                  <c:v>7.15</c:v>
                </c:pt>
                <c:pt idx="5260" formatCode="0.00">
                  <c:v>6.88</c:v>
                </c:pt>
                <c:pt idx="5261" formatCode="0.00">
                  <c:v>6.88</c:v>
                </c:pt>
                <c:pt idx="5262" formatCode="0.00">
                  <c:v>7.01</c:v>
                </c:pt>
                <c:pt idx="5263" formatCode="0.00">
                  <c:v>11.42</c:v>
                </c:pt>
                <c:pt idx="5264" formatCode="0.00">
                  <c:v>14.73</c:v>
                </c:pt>
                <c:pt idx="5265" formatCode="0.00">
                  <c:v>17.11</c:v>
                </c:pt>
                <c:pt idx="5266" formatCode="0.00">
                  <c:v>18.82</c:v>
                </c:pt>
                <c:pt idx="5267" formatCode="0.00">
                  <c:v>19.399999999999999</c:v>
                </c:pt>
                <c:pt idx="5268" formatCode="0.00">
                  <c:v>18.82</c:v>
                </c:pt>
                <c:pt idx="5269" formatCode="0.00">
                  <c:v>17.14</c:v>
                </c:pt>
                <c:pt idx="5270" formatCode="0.00">
                  <c:v>14.06</c:v>
                </c:pt>
                <c:pt idx="5271" formatCode="0.00">
                  <c:v>11.17</c:v>
                </c:pt>
                <c:pt idx="5272" formatCode="0.00">
                  <c:v>9.6999999999999993</c:v>
                </c:pt>
                <c:pt idx="5273" formatCode="0.00">
                  <c:v>8.94</c:v>
                </c:pt>
                <c:pt idx="5274" formatCode="0.00">
                  <c:v>9.84</c:v>
                </c:pt>
                <c:pt idx="5275" formatCode="0.00">
                  <c:v>10.41</c:v>
                </c:pt>
                <c:pt idx="5276" formatCode="0.00">
                  <c:v>10.199999999999999</c:v>
                </c:pt>
                <c:pt idx="5277" formatCode="0.00">
                  <c:v>9.41</c:v>
                </c:pt>
                <c:pt idx="5278" formatCode="0.00">
                  <c:v>9.2100000000000009</c:v>
                </c:pt>
                <c:pt idx="5279" formatCode="0.00">
                  <c:v>9.08</c:v>
                </c:pt>
                <c:pt idx="5280" formatCode="0.00">
                  <c:v>7.99</c:v>
                </c:pt>
                <c:pt idx="5281" formatCode="0.00">
                  <c:v>6.69</c:v>
                </c:pt>
                <c:pt idx="5282" formatCode="0.00">
                  <c:v>5.59</c:v>
                </c:pt>
                <c:pt idx="5283" formatCode="0.00">
                  <c:v>5.13</c:v>
                </c:pt>
                <c:pt idx="5284" formatCode="0.00">
                  <c:v>4.5999999999999996</c:v>
                </c:pt>
                <c:pt idx="5285" formatCode="0.00">
                  <c:v>4.09</c:v>
                </c:pt>
                <c:pt idx="5286" formatCode="0.00">
                  <c:v>14.98</c:v>
                </c:pt>
                <c:pt idx="5287" formatCode="0.00">
                  <c:v>14.25</c:v>
                </c:pt>
                <c:pt idx="5288" formatCode="0.00">
                  <c:v>13.48</c:v>
                </c:pt>
                <c:pt idx="5289" formatCode="0.00">
                  <c:v>12.54</c:v>
                </c:pt>
                <c:pt idx="5290" formatCode="0.00">
                  <c:v>11.47</c:v>
                </c:pt>
                <c:pt idx="5291" formatCode="0.00">
                  <c:v>10.66</c:v>
                </c:pt>
                <c:pt idx="5292" formatCode="0.00">
                  <c:v>9.86</c:v>
                </c:pt>
                <c:pt idx="5293" formatCode="0.00">
                  <c:v>9.15</c:v>
                </c:pt>
                <c:pt idx="5294" formatCode="0.00">
                  <c:v>8.57</c:v>
                </c:pt>
                <c:pt idx="5295" formatCode="0.00">
                  <c:v>7.9</c:v>
                </c:pt>
                <c:pt idx="5296" formatCode="0.00">
                  <c:v>7.5</c:v>
                </c:pt>
                <c:pt idx="5297" formatCode="0.00">
                  <c:v>7.03</c:v>
                </c:pt>
                <c:pt idx="5298" formatCode="0.00">
                  <c:v>6.51</c:v>
                </c:pt>
                <c:pt idx="5299" formatCode="0.00">
                  <c:v>6.12</c:v>
                </c:pt>
                <c:pt idx="5300" formatCode="0.00">
                  <c:v>12.43</c:v>
                </c:pt>
                <c:pt idx="5301" formatCode="0.00">
                  <c:v>12.89</c:v>
                </c:pt>
                <c:pt idx="5302" formatCode="0.00">
                  <c:v>13.45</c:v>
                </c:pt>
                <c:pt idx="5303" formatCode="0.00">
                  <c:v>13.55</c:v>
                </c:pt>
                <c:pt idx="5304" formatCode="0.00">
                  <c:v>13.74</c:v>
                </c:pt>
                <c:pt idx="5305" formatCode="0.00">
                  <c:v>13.93</c:v>
                </c:pt>
                <c:pt idx="5306" formatCode="0.00">
                  <c:v>14.33</c:v>
                </c:pt>
                <c:pt idx="5307" formatCode="0.00">
                  <c:v>14.62</c:v>
                </c:pt>
                <c:pt idx="5308" formatCode="0.00">
                  <c:v>14.53</c:v>
                </c:pt>
                <c:pt idx="5309" formatCode="0.00">
                  <c:v>14.23</c:v>
                </c:pt>
                <c:pt idx="5310" formatCode="0.00">
                  <c:v>13.55</c:v>
                </c:pt>
                <c:pt idx="5311" formatCode="0.00">
                  <c:v>12.7</c:v>
                </c:pt>
                <c:pt idx="5312" formatCode="0.00">
                  <c:v>11.89</c:v>
                </c:pt>
                <c:pt idx="5313" formatCode="0.00">
                  <c:v>11.02</c:v>
                </c:pt>
                <c:pt idx="5314" formatCode="0.00">
                  <c:v>10.1</c:v>
                </c:pt>
                <c:pt idx="5315" formatCode="0.00">
                  <c:v>9</c:v>
                </c:pt>
                <c:pt idx="5316" formatCode="0.00">
                  <c:v>5.3</c:v>
                </c:pt>
                <c:pt idx="5317" formatCode="0.00">
                  <c:v>4.09</c:v>
                </c:pt>
                <c:pt idx="5318" formatCode="0.00">
                  <c:v>19.82</c:v>
                </c:pt>
                <c:pt idx="5319" formatCode="0.00">
                  <c:v>18.02</c:v>
                </c:pt>
                <c:pt idx="5320" formatCode="0.00">
                  <c:v>15.1</c:v>
                </c:pt>
                <c:pt idx="5321" formatCode="0.00">
                  <c:v>12.34</c:v>
                </c:pt>
                <c:pt idx="5322" formatCode="0.00">
                  <c:v>10.24</c:v>
                </c:pt>
                <c:pt idx="5323" formatCode="0.00">
                  <c:v>8.42</c:v>
                </c:pt>
                <c:pt idx="5324" formatCode="0.00">
                  <c:v>6.88</c:v>
                </c:pt>
                <c:pt idx="5325" formatCode="0.00">
                  <c:v>6</c:v>
                </c:pt>
                <c:pt idx="5326" formatCode="0.00">
                  <c:v>7.9</c:v>
                </c:pt>
                <c:pt idx="5327" formatCode="0.00">
                  <c:v>9.08</c:v>
                </c:pt>
                <c:pt idx="5328" formatCode="0.00">
                  <c:v>11.19</c:v>
                </c:pt>
                <c:pt idx="5329" formatCode="0.00">
                  <c:v>12.43</c:v>
                </c:pt>
                <c:pt idx="5330" formatCode="0.00">
                  <c:v>16.27</c:v>
                </c:pt>
                <c:pt idx="5331" formatCode="0.00">
                  <c:v>17.14</c:v>
                </c:pt>
                <c:pt idx="5332" formatCode="0.00">
                  <c:v>19.87</c:v>
                </c:pt>
                <c:pt idx="5333" formatCode="0.00">
                  <c:v>20.72</c:v>
                </c:pt>
                <c:pt idx="5334" formatCode="0.00">
                  <c:v>20.47</c:v>
                </c:pt>
                <c:pt idx="5335" formatCode="0.00">
                  <c:v>20.96</c:v>
                </c:pt>
                <c:pt idx="5336" formatCode="0.00">
                  <c:v>20.96</c:v>
                </c:pt>
                <c:pt idx="5337" formatCode="0.00">
                  <c:v>18.36</c:v>
                </c:pt>
                <c:pt idx="5338" formatCode="0.00">
                  <c:v>20.23</c:v>
                </c:pt>
                <c:pt idx="5339" formatCode="0.00">
                  <c:v>19.760000000000002</c:v>
                </c:pt>
                <c:pt idx="5340" formatCode="0.00">
                  <c:v>19.399999999999999</c:v>
                </c:pt>
                <c:pt idx="5341" formatCode="0.00">
                  <c:v>18.940000000000001</c:v>
                </c:pt>
                <c:pt idx="5342" formatCode="0.00">
                  <c:v>17.690000000000001</c:v>
                </c:pt>
                <c:pt idx="5343" formatCode="0.00">
                  <c:v>16.809999999999999</c:v>
                </c:pt>
                <c:pt idx="5344" formatCode="0.00">
                  <c:v>13.84</c:v>
                </c:pt>
                <c:pt idx="5345" formatCode="0.00">
                  <c:v>12.61</c:v>
                </c:pt>
                <c:pt idx="5346" formatCode="0.00">
                  <c:v>10.68</c:v>
                </c:pt>
                <c:pt idx="5347" formatCode="0.00">
                  <c:v>7.42</c:v>
                </c:pt>
                <c:pt idx="5348" formatCode="0.00">
                  <c:v>10.85</c:v>
                </c:pt>
                <c:pt idx="5349" formatCode="0.00">
                  <c:v>11.19</c:v>
                </c:pt>
                <c:pt idx="5350" formatCode="0.00">
                  <c:v>11.19</c:v>
                </c:pt>
                <c:pt idx="5351" formatCode="0.00">
                  <c:v>11.02</c:v>
                </c:pt>
                <c:pt idx="5352" formatCode="0.00">
                  <c:v>10.93</c:v>
                </c:pt>
                <c:pt idx="5353" formatCode="0.00">
                  <c:v>10.59</c:v>
                </c:pt>
                <c:pt idx="5354" formatCode="0.00">
                  <c:v>10.35</c:v>
                </c:pt>
                <c:pt idx="5355" formatCode="0.00">
                  <c:v>9.94</c:v>
                </c:pt>
                <c:pt idx="5356" formatCode="0.00">
                  <c:v>11.25</c:v>
                </c:pt>
                <c:pt idx="5357" formatCode="0.00">
                  <c:v>10.45</c:v>
                </c:pt>
                <c:pt idx="5358" formatCode="0.00">
                  <c:v>9.23</c:v>
                </c:pt>
                <c:pt idx="5359" formatCode="0.00">
                  <c:v>7.62</c:v>
                </c:pt>
                <c:pt idx="5360" formatCode="0.00">
                  <c:v>19.64</c:v>
                </c:pt>
                <c:pt idx="5361" formatCode="0.00">
                  <c:v>19.989999999999998</c:v>
                </c:pt>
                <c:pt idx="5362" formatCode="0.00">
                  <c:v>21.58</c:v>
                </c:pt>
                <c:pt idx="5363" formatCode="0.00">
                  <c:v>19.87</c:v>
                </c:pt>
                <c:pt idx="5364" formatCode="0.00">
                  <c:v>19.399999999999999</c:v>
                </c:pt>
                <c:pt idx="5365" formatCode="0.00">
                  <c:v>19.29</c:v>
                </c:pt>
                <c:pt idx="5366" formatCode="0.00">
                  <c:v>19.170000000000002</c:v>
                </c:pt>
                <c:pt idx="5367" formatCode="0.00">
                  <c:v>18.940000000000001</c:v>
                </c:pt>
                <c:pt idx="5368" formatCode="0.00">
                  <c:v>18.940000000000001</c:v>
                </c:pt>
                <c:pt idx="5369" formatCode="0.00">
                  <c:v>18.71</c:v>
                </c:pt>
                <c:pt idx="5370" formatCode="0.00">
                  <c:v>18.48</c:v>
                </c:pt>
                <c:pt idx="5371" formatCode="0.00">
                  <c:v>18.14</c:v>
                </c:pt>
                <c:pt idx="5372" formatCode="0.00">
                  <c:v>18.02</c:v>
                </c:pt>
                <c:pt idx="5373" formatCode="0.00">
                  <c:v>17.8</c:v>
                </c:pt>
                <c:pt idx="5374" formatCode="0.00">
                  <c:v>17.690000000000001</c:v>
                </c:pt>
                <c:pt idx="5375" formatCode="0.00">
                  <c:v>17.579999999999998</c:v>
                </c:pt>
                <c:pt idx="5376" formatCode="0.00">
                  <c:v>17.36</c:v>
                </c:pt>
                <c:pt idx="5377" formatCode="0.00">
                  <c:v>17.36</c:v>
                </c:pt>
                <c:pt idx="5378" formatCode="0.00">
                  <c:v>17.36</c:v>
                </c:pt>
                <c:pt idx="5379" formatCode="0.00">
                  <c:v>17.36</c:v>
                </c:pt>
                <c:pt idx="5380" formatCode="0.00">
                  <c:v>17.36</c:v>
                </c:pt>
                <c:pt idx="5381" formatCode="0.00">
                  <c:v>17.36</c:v>
                </c:pt>
                <c:pt idx="5382" formatCode="0.00">
                  <c:v>17.47</c:v>
                </c:pt>
                <c:pt idx="5383" formatCode="0.00">
                  <c:v>17.47</c:v>
                </c:pt>
                <c:pt idx="5384" formatCode="0.00">
                  <c:v>17.690000000000001</c:v>
                </c:pt>
                <c:pt idx="5385" formatCode="0.00">
                  <c:v>17.47</c:v>
                </c:pt>
                <c:pt idx="5386" formatCode="0.00">
                  <c:v>17.579999999999998</c:v>
                </c:pt>
                <c:pt idx="5387" formatCode="0.00">
                  <c:v>17.579999999999998</c:v>
                </c:pt>
                <c:pt idx="5388" formatCode="0.00">
                  <c:v>17.579999999999998</c:v>
                </c:pt>
                <c:pt idx="5389" formatCode="0.00">
                  <c:v>17.579999999999998</c:v>
                </c:pt>
                <c:pt idx="5390" formatCode="0.00">
                  <c:v>17.579999999999998</c:v>
                </c:pt>
                <c:pt idx="5391" formatCode="0.00">
                  <c:v>17.690000000000001</c:v>
                </c:pt>
                <c:pt idx="5392" formatCode="0.00">
                  <c:v>17.47</c:v>
                </c:pt>
                <c:pt idx="5393" formatCode="0.00">
                  <c:v>17.47</c:v>
                </c:pt>
                <c:pt idx="5394" formatCode="0.00">
                  <c:v>17.47</c:v>
                </c:pt>
                <c:pt idx="5395" formatCode="0.00">
                  <c:v>17.579999999999998</c:v>
                </c:pt>
                <c:pt idx="5396" formatCode="0.00">
                  <c:v>17.25</c:v>
                </c:pt>
                <c:pt idx="5397" formatCode="0.00">
                  <c:v>17.25</c:v>
                </c:pt>
                <c:pt idx="5398" formatCode="0.00">
                  <c:v>17.03</c:v>
                </c:pt>
                <c:pt idx="5399" formatCode="0.00">
                  <c:v>16.920000000000002</c:v>
                </c:pt>
                <c:pt idx="5400" formatCode="0.00">
                  <c:v>16.7</c:v>
                </c:pt>
                <c:pt idx="5401" formatCode="0.00">
                  <c:v>16.38</c:v>
                </c:pt>
                <c:pt idx="5402" formatCode="0.00">
                  <c:v>15.96</c:v>
                </c:pt>
                <c:pt idx="5403" formatCode="0.00">
                  <c:v>15.75</c:v>
                </c:pt>
                <c:pt idx="5404" formatCode="0.00">
                  <c:v>15.44</c:v>
                </c:pt>
                <c:pt idx="5405" formatCode="0.00">
                  <c:v>15.23</c:v>
                </c:pt>
                <c:pt idx="5406" formatCode="0.00">
                  <c:v>14.93</c:v>
                </c:pt>
                <c:pt idx="5407" formatCode="0.00">
                  <c:v>14.62</c:v>
                </c:pt>
                <c:pt idx="5408" formatCode="0.00">
                  <c:v>14.23</c:v>
                </c:pt>
                <c:pt idx="5409" formatCode="0.00">
                  <c:v>13.84</c:v>
                </c:pt>
                <c:pt idx="5410" formatCode="0.00">
                  <c:v>13.45</c:v>
                </c:pt>
                <c:pt idx="5411" formatCode="0.00">
                  <c:v>13.26</c:v>
                </c:pt>
                <c:pt idx="5412" formatCode="0.00">
                  <c:v>12.98</c:v>
                </c:pt>
                <c:pt idx="5413" formatCode="0.00">
                  <c:v>12.52</c:v>
                </c:pt>
                <c:pt idx="5414" formatCode="0.00">
                  <c:v>12.34</c:v>
                </c:pt>
                <c:pt idx="5415" formatCode="0.00">
                  <c:v>11.98</c:v>
                </c:pt>
                <c:pt idx="5416" formatCode="0.00">
                  <c:v>11.71</c:v>
                </c:pt>
                <c:pt idx="5417" formatCode="0.00">
                  <c:v>11.27</c:v>
                </c:pt>
                <c:pt idx="5418" formatCode="0.00">
                  <c:v>11.02</c:v>
                </c:pt>
                <c:pt idx="5419" formatCode="0.00">
                  <c:v>10.76</c:v>
                </c:pt>
                <c:pt idx="5420" formatCode="0.00">
                  <c:v>10.26</c:v>
                </c:pt>
                <c:pt idx="5421" formatCode="0.00">
                  <c:v>10.18</c:v>
                </c:pt>
                <c:pt idx="5422" formatCode="0.00">
                  <c:v>10.02</c:v>
                </c:pt>
                <c:pt idx="5423" formatCode="0.00">
                  <c:v>9.86</c:v>
                </c:pt>
                <c:pt idx="5424" formatCode="0.00">
                  <c:v>9.6199999999999992</c:v>
                </c:pt>
                <c:pt idx="5425" formatCode="0.00">
                  <c:v>9.4600000000000009</c:v>
                </c:pt>
                <c:pt idx="5426" formatCode="0.00">
                  <c:v>9.23</c:v>
                </c:pt>
                <c:pt idx="5427" formatCode="0.00">
                  <c:v>9.08</c:v>
                </c:pt>
                <c:pt idx="5428" formatCode="0.00">
                  <c:v>8.85</c:v>
                </c:pt>
                <c:pt idx="5429" formatCode="0.00">
                  <c:v>8.6300000000000008</c:v>
                </c:pt>
                <c:pt idx="5430" formatCode="0.00">
                  <c:v>8.4</c:v>
                </c:pt>
                <c:pt idx="5431" formatCode="0.00">
                  <c:v>8.1199999999999992</c:v>
                </c:pt>
                <c:pt idx="5432" formatCode="0.00">
                  <c:v>7.97</c:v>
                </c:pt>
                <c:pt idx="5433" formatCode="0.00">
                  <c:v>7.69</c:v>
                </c:pt>
                <c:pt idx="5434" formatCode="0.00">
                  <c:v>7.55</c:v>
                </c:pt>
                <c:pt idx="5435" formatCode="0.00">
                  <c:v>7.28</c:v>
                </c:pt>
                <c:pt idx="5436" formatCode="0.00">
                  <c:v>7.15</c:v>
                </c:pt>
                <c:pt idx="5437" formatCode="0.00">
                  <c:v>6.88</c:v>
                </c:pt>
                <c:pt idx="5438" formatCode="0.00">
                  <c:v>6.62</c:v>
                </c:pt>
                <c:pt idx="5439" formatCode="0.00">
                  <c:v>6.43</c:v>
                </c:pt>
                <c:pt idx="5440" formatCode="0.00">
                  <c:v>5.94</c:v>
                </c:pt>
                <c:pt idx="5441" formatCode="0.00">
                  <c:v>5.53</c:v>
                </c:pt>
                <c:pt idx="5442" formatCode="0.00">
                  <c:v>5.08</c:v>
                </c:pt>
                <c:pt idx="5443" formatCode="0.00">
                  <c:v>4.8099999999999996</c:v>
                </c:pt>
                <c:pt idx="5444" formatCode="0.00">
                  <c:v>4.4400000000000004</c:v>
                </c:pt>
                <c:pt idx="5445" formatCode="0.00">
                  <c:v>3.85</c:v>
                </c:pt>
                <c:pt idx="5446" formatCode="0.00">
                  <c:v>3.44</c:v>
                </c:pt>
                <c:pt idx="5447" formatCode="0.00">
                  <c:v>3.1</c:v>
                </c:pt>
                <c:pt idx="5448" formatCode="0.00">
                  <c:v>2.82</c:v>
                </c:pt>
                <c:pt idx="5449" formatCode="0.00">
                  <c:v>2.5099999999999998</c:v>
                </c:pt>
                <c:pt idx="5450" formatCode="0.00">
                  <c:v>8.33</c:v>
                </c:pt>
                <c:pt idx="5451" formatCode="0.00">
                  <c:v>10.68</c:v>
                </c:pt>
                <c:pt idx="5452" formatCode="0.00">
                  <c:v>11.89</c:v>
                </c:pt>
                <c:pt idx="5453" formatCode="0.00">
                  <c:v>12.89</c:v>
                </c:pt>
                <c:pt idx="5454" formatCode="0.00">
                  <c:v>12.98</c:v>
                </c:pt>
                <c:pt idx="5455" formatCode="0.00">
                  <c:v>12.89</c:v>
                </c:pt>
                <c:pt idx="5456" formatCode="0.00">
                  <c:v>12.52</c:v>
                </c:pt>
                <c:pt idx="5457" formatCode="0.00">
                  <c:v>12.15</c:v>
                </c:pt>
                <c:pt idx="5458" formatCode="0.00">
                  <c:v>11.62</c:v>
                </c:pt>
                <c:pt idx="5459" formatCode="0.00">
                  <c:v>11.02</c:v>
                </c:pt>
                <c:pt idx="5460" formatCode="0.00">
                  <c:v>10.35</c:v>
                </c:pt>
                <c:pt idx="5461" formatCode="0.00">
                  <c:v>9.7799999999999994</c:v>
                </c:pt>
                <c:pt idx="5462" formatCode="0.00">
                  <c:v>8.4</c:v>
                </c:pt>
                <c:pt idx="5463" formatCode="0.00">
                  <c:v>7.01</c:v>
                </c:pt>
                <c:pt idx="5464" formatCode="0.00">
                  <c:v>5.47</c:v>
                </c:pt>
                <c:pt idx="5465" formatCode="0.00">
                  <c:v>4.29</c:v>
                </c:pt>
                <c:pt idx="5466" formatCode="0.00">
                  <c:v>3.4</c:v>
                </c:pt>
                <c:pt idx="5467" formatCode="0.00">
                  <c:v>2.7</c:v>
                </c:pt>
                <c:pt idx="5468" formatCode="0.00">
                  <c:v>1.57</c:v>
                </c:pt>
                <c:pt idx="5469" formatCode="0.00">
                  <c:v>11.27</c:v>
                </c:pt>
                <c:pt idx="5470" formatCode="0.00">
                  <c:v>17.36</c:v>
                </c:pt>
                <c:pt idx="5471" formatCode="0.00">
                  <c:v>18.59</c:v>
                </c:pt>
                <c:pt idx="5472" formatCode="0.00">
                  <c:v>18.79</c:v>
                </c:pt>
                <c:pt idx="5473" formatCode="0.00">
                  <c:v>15.54</c:v>
                </c:pt>
                <c:pt idx="5474" formatCode="0.00">
                  <c:v>15.13</c:v>
                </c:pt>
                <c:pt idx="5475" formatCode="0.00">
                  <c:v>13.07</c:v>
                </c:pt>
                <c:pt idx="5476" formatCode="0.00">
                  <c:v>11.1</c:v>
                </c:pt>
                <c:pt idx="5477" formatCode="0.00">
                  <c:v>11.98</c:v>
                </c:pt>
                <c:pt idx="5478" formatCode="0.00">
                  <c:v>10.02</c:v>
                </c:pt>
                <c:pt idx="5479" formatCode="0.00">
                  <c:v>8.6999999999999993</c:v>
                </c:pt>
                <c:pt idx="5480" formatCode="0.00">
                  <c:v>7.01</c:v>
                </c:pt>
                <c:pt idx="5481" formatCode="0.00">
                  <c:v>5.88</c:v>
                </c:pt>
                <c:pt idx="5482" formatCode="0.00">
                  <c:v>4.91</c:v>
                </c:pt>
                <c:pt idx="5483" formatCode="0.00">
                  <c:v>4.34</c:v>
                </c:pt>
                <c:pt idx="5484" formatCode="0.00">
                  <c:v>3.81</c:v>
                </c:pt>
                <c:pt idx="5485" formatCode="0.00">
                  <c:v>16.059999999999999</c:v>
                </c:pt>
                <c:pt idx="5486" formatCode="0.00">
                  <c:v>14.33</c:v>
                </c:pt>
                <c:pt idx="5487" formatCode="0.00">
                  <c:v>12.15</c:v>
                </c:pt>
                <c:pt idx="5488" formatCode="0.00">
                  <c:v>9.5399999999999991</c:v>
                </c:pt>
                <c:pt idx="5489" formatCode="0.00">
                  <c:v>10.35</c:v>
                </c:pt>
                <c:pt idx="5490" formatCode="0.00">
                  <c:v>8.4</c:v>
                </c:pt>
                <c:pt idx="5491" formatCode="0.00">
                  <c:v>6.12</c:v>
                </c:pt>
                <c:pt idx="5492" formatCode="0.00">
                  <c:v>6.75</c:v>
                </c:pt>
                <c:pt idx="5493" formatCode="0.00">
                  <c:v>5.94</c:v>
                </c:pt>
                <c:pt idx="5494" formatCode="0.00">
                  <c:v>5.3</c:v>
                </c:pt>
                <c:pt idx="5495" formatCode="0.00">
                  <c:v>4.75</c:v>
                </c:pt>
                <c:pt idx="5496" formatCode="0.00">
                  <c:v>4.29</c:v>
                </c:pt>
                <c:pt idx="5497" formatCode="0.00">
                  <c:v>3.76</c:v>
                </c:pt>
                <c:pt idx="5498" formatCode="0.00">
                  <c:v>20.350000000000001</c:v>
                </c:pt>
                <c:pt idx="5499" formatCode="0.00">
                  <c:v>18.82</c:v>
                </c:pt>
                <c:pt idx="5500" formatCode="0.00">
                  <c:v>18.14</c:v>
                </c:pt>
                <c:pt idx="5501" formatCode="0.00">
                  <c:v>17.579999999999998</c:v>
                </c:pt>
                <c:pt idx="5502" formatCode="0.00">
                  <c:v>17.14</c:v>
                </c:pt>
                <c:pt idx="5503" formatCode="0.00">
                  <c:v>16.59</c:v>
                </c:pt>
                <c:pt idx="5504" formatCode="0.00">
                  <c:v>16.38</c:v>
                </c:pt>
                <c:pt idx="5505" formatCode="0.00">
                  <c:v>16.059999999999999</c:v>
                </c:pt>
                <c:pt idx="5506" formatCode="0.00">
                  <c:v>15.54</c:v>
                </c:pt>
                <c:pt idx="5507" formatCode="0.00">
                  <c:v>15.03</c:v>
                </c:pt>
                <c:pt idx="5508" formatCode="0.00">
                  <c:v>14.83</c:v>
                </c:pt>
                <c:pt idx="5509" formatCode="0.00">
                  <c:v>14.43</c:v>
                </c:pt>
                <c:pt idx="5510" formatCode="0.00">
                  <c:v>13.74</c:v>
                </c:pt>
                <c:pt idx="5511" formatCode="0.00">
                  <c:v>12.79</c:v>
                </c:pt>
                <c:pt idx="5512" formatCode="0.00">
                  <c:v>11.02</c:v>
                </c:pt>
                <c:pt idx="5513" formatCode="0.00">
                  <c:v>9.6999999999999993</c:v>
                </c:pt>
                <c:pt idx="5514" formatCode="0.00">
                  <c:v>9.08</c:v>
                </c:pt>
                <c:pt idx="5515" formatCode="0.00">
                  <c:v>8.48</c:v>
                </c:pt>
                <c:pt idx="5516" formatCode="0.00">
                  <c:v>7.97</c:v>
                </c:pt>
                <c:pt idx="5517" formatCode="0.00">
                  <c:v>7.48</c:v>
                </c:pt>
                <c:pt idx="5518" formatCode="0.00">
                  <c:v>6.88</c:v>
                </c:pt>
                <c:pt idx="5519" formatCode="0.00">
                  <c:v>6.31</c:v>
                </c:pt>
                <c:pt idx="5520" formatCode="0.00">
                  <c:v>5.82</c:v>
                </c:pt>
                <c:pt idx="5521" formatCode="0.00">
                  <c:v>5.41</c:v>
                </c:pt>
                <c:pt idx="5522" formatCode="0.00">
                  <c:v>4.8099999999999996</c:v>
                </c:pt>
                <c:pt idx="5523" formatCode="0.00">
                  <c:v>4.1900000000000004</c:v>
                </c:pt>
                <c:pt idx="5524" formatCode="0.00">
                  <c:v>3.71</c:v>
                </c:pt>
                <c:pt idx="5525" formatCode="0.00">
                  <c:v>3.49</c:v>
                </c:pt>
                <c:pt idx="5526" formatCode="0.00">
                  <c:v>3.18</c:v>
                </c:pt>
                <c:pt idx="5527" formatCode="0.00">
                  <c:v>2.98</c:v>
                </c:pt>
                <c:pt idx="5528" formatCode="0.00">
                  <c:v>2.74</c:v>
                </c:pt>
                <c:pt idx="5529" formatCode="0.00">
                  <c:v>9.23</c:v>
                </c:pt>
                <c:pt idx="5530" formatCode="0.00">
                  <c:v>12.34</c:v>
                </c:pt>
                <c:pt idx="5531" formatCode="0.00">
                  <c:v>14.23</c:v>
                </c:pt>
                <c:pt idx="5532" formatCode="0.00">
                  <c:v>15.54</c:v>
                </c:pt>
                <c:pt idx="5533" formatCode="0.00">
                  <c:v>16.489999999999998</c:v>
                </c:pt>
                <c:pt idx="5534" formatCode="0.00">
                  <c:v>16.59</c:v>
                </c:pt>
                <c:pt idx="5535" formatCode="0.00">
                  <c:v>16.27</c:v>
                </c:pt>
                <c:pt idx="5536" formatCode="0.00">
                  <c:v>15.33</c:v>
                </c:pt>
                <c:pt idx="5537" formatCode="0.00">
                  <c:v>13.84</c:v>
                </c:pt>
                <c:pt idx="5538" formatCode="0.00">
                  <c:v>12.34</c:v>
                </c:pt>
                <c:pt idx="5539" formatCode="0.00">
                  <c:v>8.0399999999999991</c:v>
                </c:pt>
                <c:pt idx="5540" formatCode="0.00">
                  <c:v>6.75</c:v>
                </c:pt>
                <c:pt idx="5541" formatCode="0.00">
                  <c:v>5.24</c:v>
                </c:pt>
                <c:pt idx="5542" formatCode="0.00">
                  <c:v>21.15</c:v>
                </c:pt>
                <c:pt idx="5543" formatCode="0.00">
                  <c:v>17.25</c:v>
                </c:pt>
                <c:pt idx="5544" formatCode="0.00">
                  <c:v>13.84</c:v>
                </c:pt>
                <c:pt idx="5545" formatCode="0.00">
                  <c:v>11.56</c:v>
                </c:pt>
                <c:pt idx="5546" formatCode="0.00">
                  <c:v>9.31</c:v>
                </c:pt>
                <c:pt idx="5547" formatCode="0.00">
                  <c:v>7.55</c:v>
                </c:pt>
                <c:pt idx="5548" formatCode="0.00">
                  <c:v>6.37</c:v>
                </c:pt>
                <c:pt idx="5549" formatCode="0.00">
                  <c:v>3.7</c:v>
                </c:pt>
                <c:pt idx="5550" formatCode="0.00">
                  <c:v>4.0999999999999996</c:v>
                </c:pt>
                <c:pt idx="5551" formatCode="0.00">
                  <c:v>4.8</c:v>
                </c:pt>
                <c:pt idx="5552" formatCode="0.00">
                  <c:v>5</c:v>
                </c:pt>
                <c:pt idx="5553" formatCode="0.00">
                  <c:v>5</c:v>
                </c:pt>
                <c:pt idx="5554" formatCode="0.00">
                  <c:v>4.9000000000000004</c:v>
                </c:pt>
                <c:pt idx="5555" formatCode="0.00">
                  <c:v>5</c:v>
                </c:pt>
                <c:pt idx="5556" formatCode="0.00">
                  <c:v>4.9000000000000004</c:v>
                </c:pt>
                <c:pt idx="5557" formatCode="0.00">
                  <c:v>4.9000000000000004</c:v>
                </c:pt>
                <c:pt idx="5558" formatCode="0.00">
                  <c:v>1.2</c:v>
                </c:pt>
                <c:pt idx="5559" formatCode="0.00">
                  <c:v>1.2</c:v>
                </c:pt>
                <c:pt idx="5560" formatCode="0.00">
                  <c:v>0.7</c:v>
                </c:pt>
                <c:pt idx="5561" formatCode="0.00">
                  <c:v>0.7</c:v>
                </c:pt>
                <c:pt idx="5562" formatCode="0.00">
                  <c:v>0.8</c:v>
                </c:pt>
                <c:pt idx="5563" formatCode="0.00">
                  <c:v>0.9</c:v>
                </c:pt>
                <c:pt idx="5564" formatCode="0.00">
                  <c:v>1</c:v>
                </c:pt>
                <c:pt idx="5565" formatCode="0.00">
                  <c:v>1.3</c:v>
                </c:pt>
                <c:pt idx="5566" formatCode="0.00">
                  <c:v>1.6</c:v>
                </c:pt>
                <c:pt idx="5567" formatCode="0.00">
                  <c:v>1.8</c:v>
                </c:pt>
                <c:pt idx="5568" formatCode="0.00">
                  <c:v>2</c:v>
                </c:pt>
                <c:pt idx="5569" formatCode="0.00">
                  <c:v>2.2000000000000002</c:v>
                </c:pt>
                <c:pt idx="5570" formatCode="0.00">
                  <c:v>2.2999999999999998</c:v>
                </c:pt>
                <c:pt idx="5571" formatCode="0.00">
                  <c:v>2.4</c:v>
                </c:pt>
                <c:pt idx="5572" formatCode="0.00">
                  <c:v>2.5</c:v>
                </c:pt>
                <c:pt idx="5573" formatCode="0.00">
                  <c:v>2.6</c:v>
                </c:pt>
                <c:pt idx="5574" formatCode="0.00">
                  <c:v>2.7</c:v>
                </c:pt>
                <c:pt idx="5575" formatCode="0.00">
                  <c:v>2.8</c:v>
                </c:pt>
                <c:pt idx="5576" formatCode="0.00">
                  <c:v>2.8</c:v>
                </c:pt>
                <c:pt idx="5577" formatCode="0.00">
                  <c:v>0.6</c:v>
                </c:pt>
                <c:pt idx="5578" formatCode="0.00">
                  <c:v>0.6</c:v>
                </c:pt>
                <c:pt idx="5579" formatCode="0.00">
                  <c:v>0.7</c:v>
                </c:pt>
                <c:pt idx="5580" formatCode="0.00">
                  <c:v>0.7</c:v>
                </c:pt>
                <c:pt idx="5581" formatCode="0.00">
                  <c:v>0.7</c:v>
                </c:pt>
                <c:pt idx="5582" formatCode="0.00">
                  <c:v>0.7</c:v>
                </c:pt>
                <c:pt idx="5583" formatCode="0.00">
                  <c:v>0.7</c:v>
                </c:pt>
                <c:pt idx="5584" formatCode="0.00">
                  <c:v>0.6</c:v>
                </c:pt>
                <c:pt idx="5585" formatCode="0.00">
                  <c:v>0.6</c:v>
                </c:pt>
                <c:pt idx="5586" formatCode="0.00">
                  <c:v>0.6</c:v>
                </c:pt>
                <c:pt idx="5587" formatCode="0.00">
                  <c:v>0.5</c:v>
                </c:pt>
                <c:pt idx="5588" formatCode="0.00">
                  <c:v>0.5</c:v>
                </c:pt>
                <c:pt idx="5589" formatCode="0.00">
                  <c:v>0.4</c:v>
                </c:pt>
                <c:pt idx="5590" formatCode="0.00">
                  <c:v>0.4</c:v>
                </c:pt>
                <c:pt idx="5591" formatCode="0.00">
                  <c:v>0.4</c:v>
                </c:pt>
                <c:pt idx="5592" formatCode="0.00">
                  <c:v>0.3</c:v>
                </c:pt>
                <c:pt idx="5593" formatCode="0.00">
                  <c:v>1.7</c:v>
                </c:pt>
                <c:pt idx="5594" formatCode="0.00">
                  <c:v>2.1</c:v>
                </c:pt>
                <c:pt idx="5595" formatCode="0.00">
                  <c:v>2.1</c:v>
                </c:pt>
                <c:pt idx="5596" formatCode="0.00">
                  <c:v>2</c:v>
                </c:pt>
                <c:pt idx="5597" formatCode="0.00">
                  <c:v>2.1</c:v>
                </c:pt>
                <c:pt idx="5598" formatCode="0.00">
                  <c:v>2.2000000000000002</c:v>
                </c:pt>
                <c:pt idx="5599" formatCode="0.00">
                  <c:v>2.2999999999999998</c:v>
                </c:pt>
                <c:pt idx="5600" formatCode="0.00">
                  <c:v>2.5</c:v>
                </c:pt>
                <c:pt idx="5601" formatCode="0.00">
                  <c:v>2.6</c:v>
                </c:pt>
                <c:pt idx="5602" formatCode="0.00">
                  <c:v>2.7</c:v>
                </c:pt>
                <c:pt idx="5603" formatCode="0.00">
                  <c:v>0.3</c:v>
                </c:pt>
                <c:pt idx="5604" formatCode="0.00">
                  <c:v>0.4</c:v>
                </c:pt>
                <c:pt idx="5605" formatCode="0.00">
                  <c:v>0.4</c:v>
                </c:pt>
                <c:pt idx="5606" formatCode="0.00">
                  <c:v>0.5</c:v>
                </c:pt>
                <c:pt idx="5607" formatCode="0.00">
                  <c:v>0.6</c:v>
                </c:pt>
                <c:pt idx="5608" formatCode="0.00">
                  <c:v>0.6</c:v>
                </c:pt>
                <c:pt idx="5609" formatCode="0.00">
                  <c:v>0.6</c:v>
                </c:pt>
                <c:pt idx="5610" formatCode="0.00">
                  <c:v>0.7</c:v>
                </c:pt>
                <c:pt idx="5611" formatCode="0.00">
                  <c:v>0.7</c:v>
                </c:pt>
                <c:pt idx="5612" formatCode="0.00">
                  <c:v>0.8</c:v>
                </c:pt>
                <c:pt idx="5613" formatCode="0.00">
                  <c:v>0.9</c:v>
                </c:pt>
                <c:pt idx="5614" formatCode="0.00">
                  <c:v>1.1000000000000001</c:v>
                </c:pt>
                <c:pt idx="5615" formatCode="0.00">
                  <c:v>1.2</c:v>
                </c:pt>
                <c:pt idx="5616" formatCode="0.00">
                  <c:v>1.2</c:v>
                </c:pt>
                <c:pt idx="5617" formatCode="0.00">
                  <c:v>1.4</c:v>
                </c:pt>
                <c:pt idx="5618" formatCode="0.00">
                  <c:v>1.5</c:v>
                </c:pt>
                <c:pt idx="5619" formatCode="0.00">
                  <c:v>1.6</c:v>
                </c:pt>
                <c:pt idx="5620" formatCode="0.00">
                  <c:v>1.7</c:v>
                </c:pt>
                <c:pt idx="5621" formatCode="0.00">
                  <c:v>1.8</c:v>
                </c:pt>
                <c:pt idx="5622" formatCode="0.00">
                  <c:v>1.9</c:v>
                </c:pt>
                <c:pt idx="5623" formatCode="0.00">
                  <c:v>0.60299999999999998</c:v>
                </c:pt>
                <c:pt idx="5624" formatCode="0.00">
                  <c:v>0.749</c:v>
                </c:pt>
                <c:pt idx="5625" formatCode="0.00">
                  <c:v>0.749</c:v>
                </c:pt>
                <c:pt idx="5626" formatCode="0.00">
                  <c:v>0.84799999999999998</c:v>
                </c:pt>
                <c:pt idx="5627" formatCode="0.00">
                  <c:v>1</c:v>
                </c:pt>
                <c:pt idx="5628" formatCode="0.00">
                  <c:v>1.101</c:v>
                </c:pt>
                <c:pt idx="5629" formatCode="0.00">
                  <c:v>1.2090000000000001</c:v>
                </c:pt>
                <c:pt idx="5630" formatCode="0.00">
                  <c:v>1.262</c:v>
                </c:pt>
                <c:pt idx="5631" formatCode="0.00">
                  <c:v>1.3149999999999999</c:v>
                </c:pt>
                <c:pt idx="5632" formatCode="0.00">
                  <c:v>1.37</c:v>
                </c:pt>
                <c:pt idx="5633" formatCode="0.00">
                  <c:v>1.4810000000000001</c:v>
                </c:pt>
                <c:pt idx="5634" formatCode="0.00">
                  <c:v>1.708</c:v>
                </c:pt>
                <c:pt idx="5635" formatCode="0.00">
                  <c:v>1.708</c:v>
                </c:pt>
                <c:pt idx="5636" formatCode="0.00">
                  <c:v>2.0019999999999998</c:v>
                </c:pt>
                <c:pt idx="5637" formatCode="0.00">
                  <c:v>2.3079999999999998</c:v>
                </c:pt>
                <c:pt idx="5638" formatCode="0.00">
                  <c:v>2.3079999999999998</c:v>
                </c:pt>
                <c:pt idx="5639" formatCode="0.00">
                  <c:v>2.37</c:v>
                </c:pt>
                <c:pt idx="5640" formatCode="0.00">
                  <c:v>2.4980000000000002</c:v>
                </c:pt>
                <c:pt idx="5641" formatCode="0.00">
                  <c:v>2.8889999999999998</c:v>
                </c:pt>
                <c:pt idx="5642" formatCode="0.00">
                  <c:v>2.956</c:v>
                </c:pt>
                <c:pt idx="5643" formatCode="0.00">
                  <c:v>3.089</c:v>
                </c:pt>
                <c:pt idx="5644" formatCode="0.00">
                  <c:v>3.2269999999999999</c:v>
                </c:pt>
                <c:pt idx="5645" formatCode="0.00">
                  <c:v>3.2959999999999998</c:v>
                </c:pt>
                <c:pt idx="5646" formatCode="0.00">
                  <c:v>3.3650000000000002</c:v>
                </c:pt>
                <c:pt idx="5647" formatCode="0.00">
                  <c:v>3.577</c:v>
                </c:pt>
                <c:pt idx="5648" formatCode="0.00">
                  <c:v>3.577</c:v>
                </c:pt>
                <c:pt idx="5649" formatCode="0.00">
                  <c:v>3.7210000000000001</c:v>
                </c:pt>
                <c:pt idx="5650" formatCode="0.00">
                  <c:v>3.867</c:v>
                </c:pt>
                <c:pt idx="5651" formatCode="0.00">
                  <c:v>3.867</c:v>
                </c:pt>
                <c:pt idx="5652" formatCode="0.00">
                  <c:v>4.3150000000000004</c:v>
                </c:pt>
                <c:pt idx="5653" formatCode="0.00">
                  <c:v>4.391</c:v>
                </c:pt>
                <c:pt idx="5654" formatCode="0.00">
                  <c:v>4.391</c:v>
                </c:pt>
                <c:pt idx="5655" formatCode="0.00">
                  <c:v>4.391</c:v>
                </c:pt>
                <c:pt idx="5656" formatCode="0.00">
                  <c:v>4.5469999999999997</c:v>
                </c:pt>
                <c:pt idx="5657" formatCode="0.00">
                  <c:v>4.6230000000000002</c:v>
                </c:pt>
                <c:pt idx="5658" formatCode="0.00">
                  <c:v>4.7030000000000003</c:v>
                </c:pt>
                <c:pt idx="5659" formatCode="0.00">
                  <c:v>4.7030000000000003</c:v>
                </c:pt>
                <c:pt idx="5660" formatCode="0.00">
                  <c:v>4.7030000000000003</c:v>
                </c:pt>
                <c:pt idx="5661" formatCode="0.00">
                  <c:v>4.8600000000000003</c:v>
                </c:pt>
                <c:pt idx="5662" formatCode="0.00">
                  <c:v>4.9400000000000004</c:v>
                </c:pt>
                <c:pt idx="5663" formatCode="0.00">
                  <c:v>4.9400000000000004</c:v>
                </c:pt>
                <c:pt idx="5664" formatCode="0.00">
                  <c:v>5.0199999999999996</c:v>
                </c:pt>
                <c:pt idx="5665" formatCode="0.00">
                  <c:v>5.0199999999999996</c:v>
                </c:pt>
                <c:pt idx="5666" formatCode="0.00">
                  <c:v>5.101</c:v>
                </c:pt>
                <c:pt idx="5667" formatCode="0.00">
                  <c:v>5.1829999999999998</c:v>
                </c:pt>
                <c:pt idx="5668" formatCode="0.00">
                  <c:v>5.2640000000000002</c:v>
                </c:pt>
                <c:pt idx="5669" formatCode="0.00">
                  <c:v>5.5119999999999996</c:v>
                </c:pt>
                <c:pt idx="5670" formatCode="0.00">
                  <c:v>5.593</c:v>
                </c:pt>
                <c:pt idx="5671" formatCode="0.00">
                  <c:v>5.6779999999999999</c:v>
                </c:pt>
                <c:pt idx="5672" formatCode="0.00">
                  <c:v>5.7610000000000001</c:v>
                </c:pt>
                <c:pt idx="5673" formatCode="0.00">
                  <c:v>5.8460000000000001</c:v>
                </c:pt>
                <c:pt idx="5674" formatCode="0.00">
                  <c:v>5.8460000000000001</c:v>
                </c:pt>
                <c:pt idx="5675" formatCode="0.00">
                  <c:v>6.0179999999999998</c:v>
                </c:pt>
                <c:pt idx="5676" formatCode="0.00">
                  <c:v>6.1050000000000004</c:v>
                </c:pt>
                <c:pt idx="5677" formatCode="0.00">
                  <c:v>6.1050000000000004</c:v>
                </c:pt>
                <c:pt idx="5678" formatCode="0.00">
                  <c:v>6.1909999999999998</c:v>
                </c:pt>
                <c:pt idx="5679" formatCode="0.00">
                  <c:v>6.28</c:v>
                </c:pt>
                <c:pt idx="5680" formatCode="0.00">
                  <c:v>6.28</c:v>
                </c:pt>
                <c:pt idx="5681" formatCode="0.00">
                  <c:v>6.367</c:v>
                </c:pt>
                <c:pt idx="5682" formatCode="0.00">
                  <c:v>6.367</c:v>
                </c:pt>
                <c:pt idx="5683" formatCode="0.00">
                  <c:v>6.367</c:v>
                </c:pt>
                <c:pt idx="5684" formatCode="0.00">
                  <c:v>6.4550000000000001</c:v>
                </c:pt>
                <c:pt idx="5685" formatCode="0.00">
                  <c:v>6.4550000000000001</c:v>
                </c:pt>
                <c:pt idx="5686" formatCode="0.00">
                  <c:v>6.5439999999999996</c:v>
                </c:pt>
                <c:pt idx="5687" formatCode="0.00">
                  <c:v>6.6340000000000003</c:v>
                </c:pt>
                <c:pt idx="5688" formatCode="0.00">
                  <c:v>6.6340000000000003</c:v>
                </c:pt>
                <c:pt idx="5689" formatCode="0.00">
                  <c:v>6.8129999999999997</c:v>
                </c:pt>
                <c:pt idx="5690" formatCode="0.00">
                  <c:v>6.9029999999999996</c:v>
                </c:pt>
                <c:pt idx="5691" formatCode="0.00">
                  <c:v>6.9950000000000001</c:v>
                </c:pt>
                <c:pt idx="5692" formatCode="0.00">
                  <c:v>7.0869999999999997</c:v>
                </c:pt>
                <c:pt idx="5693" formatCode="0.00">
                  <c:v>7.1790000000000003</c:v>
                </c:pt>
                <c:pt idx="5694" formatCode="0.00">
                  <c:v>7.1790000000000003</c:v>
                </c:pt>
                <c:pt idx="5695" formatCode="0.00">
                  <c:v>7.3650000000000002</c:v>
                </c:pt>
                <c:pt idx="5696" formatCode="0.00">
                  <c:v>7.3650000000000002</c:v>
                </c:pt>
                <c:pt idx="5697" formatCode="0.00">
                  <c:v>7.3650000000000002</c:v>
                </c:pt>
                <c:pt idx="5698" formatCode="0.00">
                  <c:v>7.8380000000000001</c:v>
                </c:pt>
                <c:pt idx="5699" formatCode="0.00">
                  <c:v>7.8380000000000001</c:v>
                </c:pt>
                <c:pt idx="5700" formatCode="0.00">
                  <c:v>7.9329999999999998</c:v>
                </c:pt>
                <c:pt idx="5701" formatCode="0.00">
                  <c:v>8.1259999999999994</c:v>
                </c:pt>
                <c:pt idx="5702" formatCode="0.00">
                  <c:v>8.1259999999999994</c:v>
                </c:pt>
                <c:pt idx="5703" formatCode="0.00">
                  <c:v>8.5169999999999995</c:v>
                </c:pt>
                <c:pt idx="5704" formatCode="0.00">
                  <c:v>8.7149999999999999</c:v>
                </c:pt>
                <c:pt idx="5705" formatCode="0.00">
                  <c:v>8.8160000000000007</c:v>
                </c:pt>
                <c:pt idx="5706" formatCode="0.00">
                  <c:v>8.8160000000000007</c:v>
                </c:pt>
                <c:pt idx="5707" formatCode="0.00">
                  <c:v>8.9149999999999991</c:v>
                </c:pt>
                <c:pt idx="5708" formatCode="0.00">
                  <c:v>9.1189999999999998</c:v>
                </c:pt>
                <c:pt idx="5709" formatCode="0.00">
                  <c:v>9.6340000000000003</c:v>
                </c:pt>
                <c:pt idx="5710" formatCode="0.00">
                  <c:v>9.8450000000000006</c:v>
                </c:pt>
                <c:pt idx="5711" formatCode="0.00">
                  <c:v>10.7</c:v>
                </c:pt>
                <c:pt idx="5712" formatCode="0.00">
                  <c:v>11.029</c:v>
                </c:pt>
                <c:pt idx="5713" formatCode="0.00">
                  <c:v>11.029</c:v>
                </c:pt>
                <c:pt idx="5714" formatCode="0.00">
                  <c:v>11.25</c:v>
                </c:pt>
                <c:pt idx="5715" formatCode="0.00">
                  <c:v>11.926</c:v>
                </c:pt>
                <c:pt idx="5716" formatCode="0.00">
                  <c:v>12.271000000000001</c:v>
                </c:pt>
                <c:pt idx="5717" formatCode="0.00">
                  <c:v>14.804</c:v>
                </c:pt>
                <c:pt idx="5718" formatCode="0.00">
                  <c:v>15.695</c:v>
                </c:pt>
                <c:pt idx="5719" formatCode="0.00">
                  <c:v>15.952999999999999</c:v>
                </c:pt>
                <c:pt idx="5720" formatCode="0.00">
                  <c:v>16.082000000000001</c:v>
                </c:pt>
                <c:pt idx="5721" formatCode="0.00">
                  <c:v>18.228999999999999</c:v>
                </c:pt>
                <c:pt idx="5722" formatCode="0.00">
                  <c:v>18.504999999999999</c:v>
                </c:pt>
                <c:pt idx="5723" formatCode="0.00">
                  <c:v>109.01990000000001</c:v>
                </c:pt>
                <c:pt idx="5724" formatCode="0.00">
                  <c:v>82.118899999999996</c:v>
                </c:pt>
                <c:pt idx="5725" formatCode="0.00">
                  <c:v>53.802</c:v>
                </c:pt>
                <c:pt idx="5726" formatCode="0.00">
                  <c:v>46.156500000000001</c:v>
                </c:pt>
                <c:pt idx="5727" formatCode="0.00">
                  <c:v>44.174300000000002</c:v>
                </c:pt>
                <c:pt idx="5728" formatCode="0.00">
                  <c:v>41.625799999999998</c:v>
                </c:pt>
                <c:pt idx="5729" formatCode="0.00">
                  <c:v>35.396099999999997</c:v>
                </c:pt>
                <c:pt idx="5730" formatCode="0.00">
                  <c:v>42.192100000000003</c:v>
                </c:pt>
                <c:pt idx="5731" formatCode="0.00">
                  <c:v>39.643599999999999</c:v>
                </c:pt>
                <c:pt idx="5732" formatCode="0.00">
                  <c:v>38.7941</c:v>
                </c:pt>
                <c:pt idx="5733" formatCode="0.00">
                  <c:v>82.118899999999996</c:v>
                </c:pt>
                <c:pt idx="5734" formatCode="0.00">
                  <c:v>90.613900000000001</c:v>
                </c:pt>
                <c:pt idx="5735" formatCode="0.00">
                  <c:v>67.960400000000007</c:v>
                </c:pt>
                <c:pt idx="5736" formatCode="0.00">
                  <c:v>62.2971</c:v>
                </c:pt>
                <c:pt idx="5737" formatCode="0.00">
                  <c:v>63.712899999999998</c:v>
                </c:pt>
                <c:pt idx="5738" formatCode="0.00">
                  <c:v>95.144599999999997</c:v>
                </c:pt>
                <c:pt idx="5739" formatCode="0.00">
                  <c:v>90.047600000000003</c:v>
                </c:pt>
                <c:pt idx="5740" formatCode="0.00">
                  <c:v>84.950500000000005</c:v>
                </c:pt>
                <c:pt idx="5741" formatCode="0.00">
                  <c:v>82.118899999999996</c:v>
                </c:pt>
                <c:pt idx="5742" formatCode="0.00">
                  <c:v>69.376300000000001</c:v>
                </c:pt>
                <c:pt idx="5743" formatCode="0.00">
                  <c:v>62.2971</c:v>
                </c:pt>
                <c:pt idx="5744" formatCode="0.00">
                  <c:v>59.465400000000002</c:v>
                </c:pt>
                <c:pt idx="5745" formatCode="0.00">
                  <c:v>59.465400000000002</c:v>
                </c:pt>
                <c:pt idx="5746" formatCode="0.00">
                  <c:v>62.2971</c:v>
                </c:pt>
                <c:pt idx="5747" formatCode="0.00">
                  <c:v>2194.5556000000001</c:v>
                </c:pt>
                <c:pt idx="5748" formatCode="0.00">
                  <c:v>2916.6352000000002</c:v>
                </c:pt>
                <c:pt idx="5749" formatCode="0.00">
                  <c:v>3766.1406000000002</c:v>
                </c:pt>
                <c:pt idx="5750" formatCode="0.00">
                  <c:v>2599.4865</c:v>
                </c:pt>
                <c:pt idx="5751" formatCode="0.00">
                  <c:v>778.7133</c:v>
                </c:pt>
                <c:pt idx="5752" formatCode="0.00">
                  <c:v>877.82219999999995</c:v>
                </c:pt>
                <c:pt idx="5753" formatCode="0.00">
                  <c:v>1132.6739</c:v>
                </c:pt>
                <c:pt idx="5754" formatCode="0.00">
                  <c:v>1514.9512999999999</c:v>
                </c:pt>
                <c:pt idx="5755" formatCode="0.00">
                  <c:v>1614.0603000000001</c:v>
                </c:pt>
                <c:pt idx="5756" formatCode="0.00">
                  <c:v>1444.1592000000001</c:v>
                </c:pt>
                <c:pt idx="5757" formatCode="0.00">
                  <c:v>1019.4065000000001</c:v>
                </c:pt>
                <c:pt idx="5758" formatCode="0.00">
                  <c:v>1138.3371999999999</c:v>
                </c:pt>
                <c:pt idx="5759" formatCode="0.00">
                  <c:v>1053.3867</c:v>
                </c:pt>
                <c:pt idx="5760" formatCode="0.00">
                  <c:v>1076.0401999999999</c:v>
                </c:pt>
                <c:pt idx="5761" formatCode="0.00">
                  <c:v>1019.4065000000001</c:v>
                </c:pt>
                <c:pt idx="5762" formatCode="0.00">
                  <c:v>925.96090000000004</c:v>
                </c:pt>
                <c:pt idx="5763" formatCode="0.00">
                  <c:v>1124.1787999999999</c:v>
                </c:pt>
                <c:pt idx="5764" formatCode="0.00">
                  <c:v>1466.8126999999999</c:v>
                </c:pt>
                <c:pt idx="5765" formatCode="0.00">
                  <c:v>1908.5554999999999</c:v>
                </c:pt>
                <c:pt idx="5766" formatCode="0.00">
                  <c:v>2452.2388999999998</c:v>
                </c:pt>
                <c:pt idx="5767" formatCode="0.00">
                  <c:v>2508.8726000000001</c:v>
                </c:pt>
                <c:pt idx="5768" formatCode="0.00">
                  <c:v>3058.2194</c:v>
                </c:pt>
                <c:pt idx="5769" formatCode="0.00">
                  <c:v>2749.5657999999999</c:v>
                </c:pt>
                <c:pt idx="5770" formatCode="0.00">
                  <c:v>2452.2388999999998</c:v>
                </c:pt>
                <c:pt idx="5771" formatCode="0.00">
                  <c:v>2035.9812999999999</c:v>
                </c:pt>
                <c:pt idx="5772" formatCode="0.00">
                  <c:v>4332.4775</c:v>
                </c:pt>
                <c:pt idx="5773" formatCode="0.00">
                  <c:v>3143.17</c:v>
                </c:pt>
                <c:pt idx="5774" formatCode="0.00">
                  <c:v>4559.0123000000003</c:v>
                </c:pt>
                <c:pt idx="5775" formatCode="0.00">
                  <c:v>1599.9018000000001</c:v>
                </c:pt>
                <c:pt idx="5776" formatCode="0.00">
                  <c:v>2154.9119999999998</c:v>
                </c:pt>
                <c:pt idx="5777" formatCode="0.00">
                  <c:v>2137.9218999999998</c:v>
                </c:pt>
                <c:pt idx="5778" formatCode="0.00">
                  <c:v>2658.9519</c:v>
                </c:pt>
                <c:pt idx="5779" formatCode="0.00">
                  <c:v>3001.5857000000001</c:v>
                </c:pt>
                <c:pt idx="5780" formatCode="0.00">
                  <c:v>2749.5657999999999</c:v>
                </c:pt>
                <c:pt idx="5781" formatCode="0.00">
                  <c:v>2599.4865</c:v>
                </c:pt>
                <c:pt idx="5782" formatCode="0.00">
                  <c:v>2944.9520000000002</c:v>
                </c:pt>
                <c:pt idx="5783" formatCode="0.00">
                  <c:v>1749.9811</c:v>
                </c:pt>
                <c:pt idx="5784" formatCode="0.00">
                  <c:v>2811.8629000000001</c:v>
                </c:pt>
                <c:pt idx="5785" formatCode="0.00">
                  <c:v>2684.4371000000001</c:v>
                </c:pt>
                <c:pt idx="5786" formatCode="0.00">
                  <c:v>2321.9814000000001</c:v>
                </c:pt>
                <c:pt idx="5787" formatCode="0.00">
                  <c:v>2378.6151</c:v>
                </c:pt>
                <c:pt idx="5788" formatCode="0.00">
                  <c:v>2627.8033999999998</c:v>
                </c:pt>
                <c:pt idx="5789" formatCode="0.00">
                  <c:v>3256.4373999999998</c:v>
                </c:pt>
                <c:pt idx="5790" formatCode="0.00">
                  <c:v>2888.3184000000001</c:v>
                </c:pt>
                <c:pt idx="5791" formatCode="0.00">
                  <c:v>2888.3184000000001</c:v>
                </c:pt>
                <c:pt idx="5792" formatCode="0.00">
                  <c:v>2743.9023999999999</c:v>
                </c:pt>
                <c:pt idx="5793" formatCode="0.00">
                  <c:v>2701.4272000000001</c:v>
                </c:pt>
                <c:pt idx="5794" formatCode="0.00">
                  <c:v>1846.2583999999999</c:v>
                </c:pt>
                <c:pt idx="5795" formatCode="0.00">
                  <c:v>1625.3869999999999</c:v>
                </c:pt>
                <c:pt idx="5796" formatCode="0.00">
                  <c:v>2273.8427999999999</c:v>
                </c:pt>
                <c:pt idx="5797" formatCode="0.00">
                  <c:v>2171.9020999999998</c:v>
                </c:pt>
                <c:pt idx="5798" formatCode="0.00">
                  <c:v>2285.1695</c:v>
                </c:pt>
                <c:pt idx="5799" formatCode="0.00">
                  <c:v>2174.7338</c:v>
                </c:pt>
                <c:pt idx="5800" formatCode="0.00">
                  <c:v>2132.2584999999999</c:v>
                </c:pt>
                <c:pt idx="5801" formatCode="0.00">
                  <c:v>2319.1496999999999</c:v>
                </c:pt>
                <c:pt idx="5802" formatCode="0.00">
                  <c:v>2067.1298000000002</c:v>
                </c:pt>
                <c:pt idx="5803" formatCode="0.00">
                  <c:v>1806.6148000000001</c:v>
                </c:pt>
                <c:pt idx="5804" formatCode="0.00">
                  <c:v>1506.4562000000001</c:v>
                </c:pt>
                <c:pt idx="5805" formatCode="0.00">
                  <c:v>1223.2878000000001</c:v>
                </c:pt>
                <c:pt idx="5806" formatCode="0.00">
                  <c:v>1713.1692</c:v>
                </c:pt>
                <c:pt idx="5807" formatCode="0.00">
                  <c:v>1993.5060000000001</c:v>
                </c:pt>
                <c:pt idx="5808" formatCode="0.00">
                  <c:v>1648.0405000000001</c:v>
                </c:pt>
                <c:pt idx="5809" formatCode="0.00">
                  <c:v>1353.5453</c:v>
                </c:pt>
                <c:pt idx="5810" formatCode="0.00">
                  <c:v>1594.2384999999999</c:v>
                </c:pt>
                <c:pt idx="5811" formatCode="0.00">
                  <c:v>2347.4666000000002</c:v>
                </c:pt>
                <c:pt idx="5812" formatCode="0.00">
                  <c:v>2738.2390999999998</c:v>
                </c:pt>
                <c:pt idx="5813" formatCode="0.00">
                  <c:v>1506.4562000000001</c:v>
                </c:pt>
                <c:pt idx="5814" formatCode="0.00">
                  <c:v>288.83179999999999</c:v>
                </c:pt>
                <c:pt idx="5815" formatCode="0.00">
                  <c:v>311.4853</c:v>
                </c:pt>
                <c:pt idx="5816" formatCode="0.00">
                  <c:v>419.08929999999998</c:v>
                </c:pt>
                <c:pt idx="5817" formatCode="0.00">
                  <c:v>736.23800000000006</c:v>
                </c:pt>
                <c:pt idx="5818" formatCode="0.00">
                  <c:v>679.60429999999997</c:v>
                </c:pt>
                <c:pt idx="5819" formatCode="0.00">
                  <c:v>679.60429999999997</c:v>
                </c:pt>
                <c:pt idx="5820" formatCode="0.00">
                  <c:v>387.94080000000002</c:v>
                </c:pt>
                <c:pt idx="5821" formatCode="0.00">
                  <c:v>467.22800000000001</c:v>
                </c:pt>
                <c:pt idx="5822" formatCode="0.00">
                  <c:v>382.2774</c:v>
                </c:pt>
                <c:pt idx="5823" formatCode="0.00">
                  <c:v>362.4556</c:v>
                </c:pt>
                <c:pt idx="5824" formatCode="0.00">
                  <c:v>495.54480000000001</c:v>
                </c:pt>
                <c:pt idx="5825" formatCode="0.00">
                  <c:v>365.28730000000002</c:v>
                </c:pt>
                <c:pt idx="5826" formatCode="0.00">
                  <c:v>722.07960000000003</c:v>
                </c:pt>
                <c:pt idx="5827" formatCode="0.00">
                  <c:v>891.98069999999996</c:v>
                </c:pt>
                <c:pt idx="5828" formatCode="0.00">
                  <c:v>849.50540000000001</c:v>
                </c:pt>
                <c:pt idx="5829" formatCode="0.00">
                  <c:v>1203.4659999999999</c:v>
                </c:pt>
                <c:pt idx="5830" formatCode="0.00">
                  <c:v>1132.6739</c:v>
                </c:pt>
                <c:pt idx="5831" formatCode="0.00">
                  <c:v>1812.2782</c:v>
                </c:pt>
                <c:pt idx="5832" formatCode="0.00">
                  <c:v>792.87170000000003</c:v>
                </c:pt>
                <c:pt idx="5833" formatCode="0.00">
                  <c:v>622.97059999999999</c:v>
                </c:pt>
                <c:pt idx="5834" formatCode="0.00">
                  <c:v>1727.3276000000001</c:v>
                </c:pt>
                <c:pt idx="5835" formatCode="0.00">
                  <c:v>2265.3476999999998</c:v>
                </c:pt>
                <c:pt idx="5836" formatCode="0.00">
                  <c:v>1699.0108</c:v>
                </c:pt>
                <c:pt idx="5837" formatCode="0.00">
                  <c:v>3511.2890000000002</c:v>
                </c:pt>
                <c:pt idx="5838" formatCode="0.00">
                  <c:v>3114.8530999999998</c:v>
                </c:pt>
                <c:pt idx="5839" formatCode="0.00">
                  <c:v>481.38639999999998</c:v>
                </c:pt>
                <c:pt idx="5840" formatCode="0.00">
                  <c:v>1291.2482</c:v>
                </c:pt>
                <c:pt idx="5841" formatCode="0.00">
                  <c:v>1701.8425</c:v>
                </c:pt>
                <c:pt idx="5842" formatCode="0.00">
                  <c:v>1166.6541</c:v>
                </c:pt>
                <c:pt idx="5843" formatCode="0.00">
                  <c:v>2152.0803000000001</c:v>
                </c:pt>
                <c:pt idx="5844" formatCode="0.00">
                  <c:v>2016.1595</c:v>
                </c:pt>
                <c:pt idx="5845" formatCode="0.00">
                  <c:v>1673.5255999999999</c:v>
                </c:pt>
                <c:pt idx="5846" formatCode="0.00">
                  <c:v>1727.3276000000001</c:v>
                </c:pt>
                <c:pt idx="5847" formatCode="0.00">
                  <c:v>1546.0998</c:v>
                </c:pt>
                <c:pt idx="5848" formatCode="0.00">
                  <c:v>1546.0998</c:v>
                </c:pt>
                <c:pt idx="5849" formatCode="0.00">
                  <c:v>1175.1491000000001</c:v>
                </c:pt>
                <c:pt idx="5850" formatCode="0.00">
                  <c:v>1095.8620000000001</c:v>
                </c:pt>
                <c:pt idx="5851" formatCode="0.00">
                  <c:v>971.26779999999997</c:v>
                </c:pt>
                <c:pt idx="5852" formatCode="0.00">
                  <c:v>1149.664</c:v>
                </c:pt>
                <c:pt idx="5853" formatCode="0.00">
                  <c:v>1529.1097</c:v>
                </c:pt>
                <c:pt idx="5854" formatCode="0.00">
                  <c:v>1531.9413999999999</c:v>
                </c:pt>
                <c:pt idx="5855" formatCode="0.00">
                  <c:v>1353.5453</c:v>
                </c:pt>
                <c:pt idx="5856" formatCode="0.00">
                  <c:v>1353.5453</c:v>
                </c:pt>
                <c:pt idx="5857" formatCode="0.00">
                  <c:v>1475.3077000000001</c:v>
                </c:pt>
                <c:pt idx="5858" formatCode="0.00">
                  <c:v>1543.2681</c:v>
                </c:pt>
                <c:pt idx="5859" formatCode="0.00">
                  <c:v>2293.6646000000001</c:v>
                </c:pt>
                <c:pt idx="5860" formatCode="0.00">
                  <c:v>1812.2782</c:v>
                </c:pt>
                <c:pt idx="5861" formatCode="0.00">
                  <c:v>1574.4167</c:v>
                </c:pt>
                <c:pt idx="5862" formatCode="0.00">
                  <c:v>1619.7236</c:v>
                </c:pt>
                <c:pt idx="5863" formatCode="0.00">
                  <c:v>1747.1494</c:v>
                </c:pt>
                <c:pt idx="5864" formatCode="0.00">
                  <c:v>1551.7632000000001</c:v>
                </c:pt>
                <c:pt idx="5865" formatCode="0.00">
                  <c:v>676.77260000000001</c:v>
                </c:pt>
                <c:pt idx="5866" formatCode="0.00">
                  <c:v>679.60429999999997</c:v>
                </c:pt>
                <c:pt idx="5867" formatCode="0.00">
                  <c:v>863.66380000000004</c:v>
                </c:pt>
                <c:pt idx="5868" formatCode="0.00">
                  <c:v>846.67370000000005</c:v>
                </c:pt>
                <c:pt idx="5869" formatCode="0.00">
                  <c:v>1056.2184</c:v>
                </c:pt>
                <c:pt idx="5870" formatCode="0.00">
                  <c:v>1076.0401999999999</c:v>
                </c:pt>
                <c:pt idx="5871" formatCode="0.00">
                  <c:v>1415.8423</c:v>
                </c:pt>
                <c:pt idx="5872" formatCode="0.00">
                  <c:v>1580.08</c:v>
                </c:pt>
                <c:pt idx="5873" formatCode="0.00">
                  <c:v>1492.2978000000001</c:v>
                </c:pt>
                <c:pt idx="5874" formatCode="0.00">
                  <c:v>1056.2184</c:v>
                </c:pt>
                <c:pt idx="5875" formatCode="0.00">
                  <c:v>1124.1787999999999</c:v>
                </c:pt>
                <c:pt idx="5876" formatCode="0.00">
                  <c:v>925.96090000000004</c:v>
                </c:pt>
                <c:pt idx="5877" formatCode="0.00">
                  <c:v>872.15890000000002</c:v>
                </c:pt>
                <c:pt idx="5878" formatCode="0.00">
                  <c:v>877.82219999999995</c:v>
                </c:pt>
                <c:pt idx="5879" formatCode="0.00">
                  <c:v>1387.5255</c:v>
                </c:pt>
                <c:pt idx="5880" formatCode="0.00">
                  <c:v>880.65390000000002</c:v>
                </c:pt>
                <c:pt idx="5881" formatCode="0.00">
                  <c:v>1013.7431</c:v>
                </c:pt>
                <c:pt idx="5882" formatCode="0.00">
                  <c:v>1268.5947000000001</c:v>
                </c:pt>
                <c:pt idx="5883" formatCode="0.00">
                  <c:v>1339.3868</c:v>
                </c:pt>
                <c:pt idx="5884" formatCode="0.00">
                  <c:v>1557.4266</c:v>
                </c:pt>
                <c:pt idx="5885" formatCode="0.00">
                  <c:v>1104.357</c:v>
                </c:pt>
                <c:pt idx="5886" formatCode="0.00">
                  <c:v>1095.8620000000001</c:v>
                </c:pt>
                <c:pt idx="5887" formatCode="0.00">
                  <c:v>753.22810000000004</c:v>
                </c:pt>
                <c:pt idx="5888" formatCode="0.00">
                  <c:v>2.1800000000000002</c:v>
                </c:pt>
                <c:pt idx="5889" formatCode="0.00">
                  <c:v>2.35</c:v>
                </c:pt>
                <c:pt idx="5890" formatCode="0.00">
                  <c:v>1.97</c:v>
                </c:pt>
                <c:pt idx="5891" formatCode="0.00">
                  <c:v>1.84</c:v>
                </c:pt>
                <c:pt idx="5892" formatCode="0.00">
                  <c:v>1.81</c:v>
                </c:pt>
                <c:pt idx="5893" formatCode="0.00">
                  <c:v>1.1000000000000001</c:v>
                </c:pt>
                <c:pt idx="5894" formatCode="0.00">
                  <c:v>1.0900000000000001</c:v>
                </c:pt>
                <c:pt idx="5895" formatCode="0.00">
                  <c:v>1.0900000000000001</c:v>
                </c:pt>
                <c:pt idx="5896" formatCode="0.00">
                  <c:v>1.1200000000000001</c:v>
                </c:pt>
                <c:pt idx="5897" formatCode="0.00">
                  <c:v>0.92</c:v>
                </c:pt>
                <c:pt idx="5898" formatCode="0.00">
                  <c:v>0.91</c:v>
                </c:pt>
                <c:pt idx="5899" formatCode="0.00">
                  <c:v>0.81</c:v>
                </c:pt>
                <c:pt idx="5900" formatCode="0.00">
                  <c:v>0.82</c:v>
                </c:pt>
                <c:pt idx="5901" formatCode="0.00">
                  <c:v>0.81</c:v>
                </c:pt>
                <c:pt idx="5902" formatCode="0.00">
                  <c:v>0.83</c:v>
                </c:pt>
                <c:pt idx="5903" formatCode="0.00">
                  <c:v>0.98</c:v>
                </c:pt>
                <c:pt idx="5904" formatCode="0.00">
                  <c:v>1.1399999999999999</c:v>
                </c:pt>
                <c:pt idx="5905" formatCode="0.00">
                  <c:v>1.27</c:v>
                </c:pt>
                <c:pt idx="5906" formatCode="0.00">
                  <c:v>1.55</c:v>
                </c:pt>
                <c:pt idx="5907" formatCode="0.00">
                  <c:v>1.87</c:v>
                </c:pt>
                <c:pt idx="5908" formatCode="0.00">
                  <c:v>2</c:v>
                </c:pt>
                <c:pt idx="5909" formatCode="0.00">
                  <c:v>1.92</c:v>
                </c:pt>
                <c:pt idx="5910" formatCode="0.00">
                  <c:v>1.94</c:v>
                </c:pt>
                <c:pt idx="5911" formatCode="0.00">
                  <c:v>2.12</c:v>
                </c:pt>
                <c:pt idx="5912" formatCode="0.00">
                  <c:v>2.4</c:v>
                </c:pt>
                <c:pt idx="5913" formatCode="0.00">
                  <c:v>2.63</c:v>
                </c:pt>
                <c:pt idx="5914" formatCode="0.00">
                  <c:v>2.39</c:v>
                </c:pt>
                <c:pt idx="5915" formatCode="0.00">
                  <c:v>2.74</c:v>
                </c:pt>
                <c:pt idx="5916" formatCode="0.00">
                  <c:v>2.96</c:v>
                </c:pt>
                <c:pt idx="5917" formatCode="0.00">
                  <c:v>2.29</c:v>
                </c:pt>
                <c:pt idx="5918" formatCode="0.00">
                  <c:v>2.29</c:v>
                </c:pt>
                <c:pt idx="5919" formatCode="0.00">
                  <c:v>2.29</c:v>
                </c:pt>
                <c:pt idx="5920" formatCode="0.00">
                  <c:v>1.63</c:v>
                </c:pt>
                <c:pt idx="5921" formatCode="0.00">
                  <c:v>1.65</c:v>
                </c:pt>
                <c:pt idx="5922" formatCode="0.00">
                  <c:v>1.74</c:v>
                </c:pt>
                <c:pt idx="5923" formatCode="0.00">
                  <c:v>1.72</c:v>
                </c:pt>
                <c:pt idx="5924" formatCode="0.00">
                  <c:v>1.49</c:v>
                </c:pt>
                <c:pt idx="5925" formatCode="0.00">
                  <c:v>1.52</c:v>
                </c:pt>
                <c:pt idx="5926" formatCode="0.00">
                  <c:v>1.55</c:v>
                </c:pt>
                <c:pt idx="5927" formatCode="0.00">
                  <c:v>1.38</c:v>
                </c:pt>
                <c:pt idx="5928" formatCode="0.00">
                  <c:v>1.51</c:v>
                </c:pt>
                <c:pt idx="5929" formatCode="0.00">
                  <c:v>1.63</c:v>
                </c:pt>
                <c:pt idx="5930" formatCode="0.00">
                  <c:v>1.62</c:v>
                </c:pt>
                <c:pt idx="5931" formatCode="0.00">
                  <c:v>1.89</c:v>
                </c:pt>
                <c:pt idx="5932" formatCode="0.00">
                  <c:v>1.98</c:v>
                </c:pt>
                <c:pt idx="5933" formatCode="0.00">
                  <c:v>1.74</c:v>
                </c:pt>
                <c:pt idx="5934" formatCode="0.00">
                  <c:v>1.1599999999999999</c:v>
                </c:pt>
                <c:pt idx="5935" formatCode="0.00">
                  <c:v>2.4700000000000002</c:v>
                </c:pt>
                <c:pt idx="5936" formatCode="0.00">
                  <c:v>2.4300000000000002</c:v>
                </c:pt>
                <c:pt idx="5937" formatCode="0.00">
                  <c:v>1.94</c:v>
                </c:pt>
                <c:pt idx="5938" formatCode="0.00">
                  <c:v>1.9</c:v>
                </c:pt>
                <c:pt idx="5939" formatCode="0.00">
                  <c:v>1.79</c:v>
                </c:pt>
                <c:pt idx="5940" formatCode="0.00">
                  <c:v>0.9</c:v>
                </c:pt>
                <c:pt idx="5941" formatCode="0.00">
                  <c:v>0.81</c:v>
                </c:pt>
                <c:pt idx="5942" formatCode="0.00">
                  <c:v>0.85</c:v>
                </c:pt>
                <c:pt idx="5943" formatCode="0.00">
                  <c:v>0.85</c:v>
                </c:pt>
                <c:pt idx="5944" formatCode="0.00">
                  <c:v>0.85</c:v>
                </c:pt>
                <c:pt idx="5945" formatCode="0.00">
                  <c:v>0.86</c:v>
                </c:pt>
                <c:pt idx="5946" formatCode="0.00">
                  <c:v>0.98</c:v>
                </c:pt>
                <c:pt idx="5947" formatCode="0.00">
                  <c:v>1.2</c:v>
                </c:pt>
                <c:pt idx="5948" formatCode="0.00">
                  <c:v>1.31</c:v>
                </c:pt>
                <c:pt idx="5949" formatCode="0.00">
                  <c:v>1.32</c:v>
                </c:pt>
                <c:pt idx="5950" formatCode="0.00">
                  <c:v>1.39</c:v>
                </c:pt>
                <c:pt idx="5951" formatCode="0.00">
                  <c:v>1.68</c:v>
                </c:pt>
                <c:pt idx="5952" formatCode="0.00">
                  <c:v>2</c:v>
                </c:pt>
                <c:pt idx="5953" formatCode="0.00">
                  <c:v>2</c:v>
                </c:pt>
                <c:pt idx="5954" formatCode="0.00">
                  <c:v>1.82</c:v>
                </c:pt>
                <c:pt idx="5955" formatCode="0.00">
                  <c:v>1.99</c:v>
                </c:pt>
                <c:pt idx="5956" formatCode="0.00">
                  <c:v>2.21</c:v>
                </c:pt>
                <c:pt idx="5957" formatCode="0.00">
                  <c:v>2.5099999999999998</c:v>
                </c:pt>
                <c:pt idx="5958" formatCode="0.00">
                  <c:v>2.63</c:v>
                </c:pt>
                <c:pt idx="5959" formatCode="0.00">
                  <c:v>2.4500000000000002</c:v>
                </c:pt>
                <c:pt idx="5960" formatCode="0.00">
                  <c:v>2.77</c:v>
                </c:pt>
                <c:pt idx="5961" formatCode="0.00">
                  <c:v>3.04</c:v>
                </c:pt>
                <c:pt idx="5962" formatCode="0.00">
                  <c:v>3.01</c:v>
                </c:pt>
                <c:pt idx="5963" formatCode="0.00">
                  <c:v>2.31</c:v>
                </c:pt>
                <c:pt idx="5964" formatCode="0.00">
                  <c:v>2.27</c:v>
                </c:pt>
                <c:pt idx="5965" formatCode="0.00">
                  <c:v>2.2999999999999998</c:v>
                </c:pt>
                <c:pt idx="5966" formatCode="0.00">
                  <c:v>1.67</c:v>
                </c:pt>
                <c:pt idx="5967" formatCode="0.00">
                  <c:v>1.67</c:v>
                </c:pt>
                <c:pt idx="5968" formatCode="0.00">
                  <c:v>1.73</c:v>
                </c:pt>
                <c:pt idx="5969" formatCode="0.00">
                  <c:v>1.77</c:v>
                </c:pt>
                <c:pt idx="5970" formatCode="0.00">
                  <c:v>1.49</c:v>
                </c:pt>
                <c:pt idx="5971" formatCode="0.00">
                  <c:v>1.56</c:v>
                </c:pt>
                <c:pt idx="5972" formatCode="0.00">
                  <c:v>1.57</c:v>
                </c:pt>
                <c:pt idx="5973" formatCode="0.00">
                  <c:v>1.41</c:v>
                </c:pt>
                <c:pt idx="5974" formatCode="0.00">
                  <c:v>1.45</c:v>
                </c:pt>
                <c:pt idx="5975" formatCode="0.00">
                  <c:v>1.55</c:v>
                </c:pt>
                <c:pt idx="5976" formatCode="0.00">
                  <c:v>1.7</c:v>
                </c:pt>
                <c:pt idx="5977" formatCode="0.00">
                  <c:v>1.82</c:v>
                </c:pt>
                <c:pt idx="5978" formatCode="0.00">
                  <c:v>1.97</c:v>
                </c:pt>
                <c:pt idx="5979" formatCode="0.00">
                  <c:v>1.74</c:v>
                </c:pt>
                <c:pt idx="5980" formatCode="0.00">
                  <c:v>1.19</c:v>
                </c:pt>
                <c:pt idx="5981" formatCode="0.00">
                  <c:v>1.1499999999999999</c:v>
                </c:pt>
                <c:pt idx="5982" formatCode="0.00">
                  <c:v>2.36</c:v>
                </c:pt>
                <c:pt idx="5983" formatCode="0.00">
                  <c:v>2.4500000000000002</c:v>
                </c:pt>
                <c:pt idx="5984" formatCode="0.00">
                  <c:v>1.94</c:v>
                </c:pt>
                <c:pt idx="5985" formatCode="0.00">
                  <c:v>1.88</c:v>
                </c:pt>
                <c:pt idx="5986" formatCode="0.00">
                  <c:v>1.8</c:v>
                </c:pt>
                <c:pt idx="5987" formatCode="0.00">
                  <c:v>0.9</c:v>
                </c:pt>
                <c:pt idx="5988" formatCode="0.00">
                  <c:v>0.85</c:v>
                </c:pt>
                <c:pt idx="5989" formatCode="0.00">
                  <c:v>0.82</c:v>
                </c:pt>
                <c:pt idx="5990" formatCode="0.00">
                  <c:v>0.85</c:v>
                </c:pt>
                <c:pt idx="5991" formatCode="0.00">
                  <c:v>0.85</c:v>
                </c:pt>
                <c:pt idx="5992" formatCode="0.00">
                  <c:v>0.99</c:v>
                </c:pt>
                <c:pt idx="5993" formatCode="0.00">
                  <c:v>1.22</c:v>
                </c:pt>
                <c:pt idx="5994" formatCode="0.00">
                  <c:v>1.32</c:v>
                </c:pt>
                <c:pt idx="5995" formatCode="0.00">
                  <c:v>1.43</c:v>
                </c:pt>
                <c:pt idx="5996" formatCode="0.00">
                  <c:v>1.73</c:v>
                </c:pt>
                <c:pt idx="5997" formatCode="0.00">
                  <c:v>2.0299999999999998</c:v>
                </c:pt>
                <c:pt idx="5998" formatCode="0.00">
                  <c:v>1.98</c:v>
                </c:pt>
                <c:pt idx="5999" formatCode="0.00">
                  <c:v>1.85</c:v>
                </c:pt>
                <c:pt idx="6000" formatCode="0.00">
                  <c:v>2.04</c:v>
                </c:pt>
                <c:pt idx="6001" formatCode="0.00">
                  <c:v>2.36</c:v>
                </c:pt>
                <c:pt idx="6002" formatCode="0.00">
                  <c:v>2.5499999999999998</c:v>
                </c:pt>
                <c:pt idx="6003" formatCode="0.00">
                  <c:v>2.83</c:v>
                </c:pt>
                <c:pt idx="6004" formatCode="0.00">
                  <c:v>3.05</c:v>
                </c:pt>
                <c:pt idx="6005" formatCode="0.00">
                  <c:v>2.31</c:v>
                </c:pt>
                <c:pt idx="6006" formatCode="0.00">
                  <c:v>2.27</c:v>
                </c:pt>
                <c:pt idx="6007" formatCode="0.00">
                  <c:v>2.33</c:v>
                </c:pt>
                <c:pt idx="6008" formatCode="0.00">
                  <c:v>2.36</c:v>
                </c:pt>
                <c:pt idx="6009" formatCode="0.00">
                  <c:v>1.69</c:v>
                </c:pt>
                <c:pt idx="6010" formatCode="0.00">
                  <c:v>1.69</c:v>
                </c:pt>
                <c:pt idx="6011" formatCode="0.00">
                  <c:v>1.72</c:v>
                </c:pt>
                <c:pt idx="6012" formatCode="0.00">
                  <c:v>1.76</c:v>
                </c:pt>
                <c:pt idx="6013" formatCode="0.00">
                  <c:v>1.49</c:v>
                </c:pt>
                <c:pt idx="6014" formatCode="0.00">
                  <c:v>1.56</c:v>
                </c:pt>
                <c:pt idx="6015" formatCode="0.00">
                  <c:v>1.55</c:v>
                </c:pt>
                <c:pt idx="6016" formatCode="0.00">
                  <c:v>1.41</c:v>
                </c:pt>
                <c:pt idx="6017" formatCode="0.00">
                  <c:v>1.43</c:v>
                </c:pt>
                <c:pt idx="6018" formatCode="0.00">
                  <c:v>1.57</c:v>
                </c:pt>
                <c:pt idx="6019" formatCode="0.00">
                  <c:v>1.73</c:v>
                </c:pt>
                <c:pt idx="6020" formatCode="0.00">
                  <c:v>1.83</c:v>
                </c:pt>
                <c:pt idx="6021" formatCode="0.00">
                  <c:v>1.96</c:v>
                </c:pt>
                <c:pt idx="6022" formatCode="0.00">
                  <c:v>1.98</c:v>
                </c:pt>
                <c:pt idx="6023" formatCode="0.00">
                  <c:v>1.1599999999999999</c:v>
                </c:pt>
                <c:pt idx="6024" formatCode="0.00">
                  <c:v>1.1499999999999999</c:v>
                </c:pt>
                <c:pt idx="6025" formatCode="0.00">
                  <c:v>0.64</c:v>
                </c:pt>
                <c:pt idx="6026" formatCode="0.00">
                  <c:v>0.6</c:v>
                </c:pt>
                <c:pt idx="6027" formatCode="0.00">
                  <c:v>0.7</c:v>
                </c:pt>
                <c:pt idx="6028" formatCode="0.00">
                  <c:v>0.84</c:v>
                </c:pt>
                <c:pt idx="6029" formatCode="0.00">
                  <c:v>1.22</c:v>
                </c:pt>
                <c:pt idx="6030" formatCode="0.00">
                  <c:v>1.08</c:v>
                </c:pt>
                <c:pt idx="6031" formatCode="0.00">
                  <c:v>1.61</c:v>
                </c:pt>
                <c:pt idx="6032" formatCode="0.00">
                  <c:v>2.34</c:v>
                </c:pt>
                <c:pt idx="6033" formatCode="0.00">
                  <c:v>2.4300000000000002</c:v>
                </c:pt>
                <c:pt idx="6034" formatCode="0.00">
                  <c:v>1.91</c:v>
                </c:pt>
                <c:pt idx="6035" formatCode="0.00">
                  <c:v>0.84</c:v>
                </c:pt>
                <c:pt idx="6036" formatCode="0.00">
                  <c:v>1.33</c:v>
                </c:pt>
                <c:pt idx="6037" formatCode="0.00">
                  <c:v>1.93</c:v>
                </c:pt>
                <c:pt idx="6038" formatCode="0.00">
                  <c:v>2.4900000000000002</c:v>
                </c:pt>
                <c:pt idx="6039" formatCode="0.00">
                  <c:v>2.92</c:v>
                </c:pt>
                <c:pt idx="6040" formatCode="0.00">
                  <c:v>2.23</c:v>
                </c:pt>
                <c:pt idx="6041" formatCode="0.00">
                  <c:v>1.71</c:v>
                </c:pt>
                <c:pt idx="6042" formatCode="0.00">
                  <c:v>1.51</c:v>
                </c:pt>
                <c:pt idx="6043" formatCode="0.00">
                  <c:v>1.41</c:v>
                </c:pt>
                <c:pt idx="6044" formatCode="0.00">
                  <c:v>1.61</c:v>
                </c:pt>
                <c:pt idx="6045" formatCode="0.00">
                  <c:v>1.78</c:v>
                </c:pt>
                <c:pt idx="6046" formatCode="0.00">
                  <c:v>1.95</c:v>
                </c:pt>
                <c:pt idx="6047" formatCode="0.00">
                  <c:v>0.76455485820000002</c:v>
                </c:pt>
                <c:pt idx="6048" formatCode="0.00">
                  <c:v>0.33980215920000001</c:v>
                </c:pt>
                <c:pt idx="6049" formatCode="0.00">
                  <c:v>0.24635656541999998</c:v>
                </c:pt>
                <c:pt idx="6050" formatCode="0.00">
                  <c:v>0.24352488076000001</c:v>
                </c:pt>
                <c:pt idx="6051" formatCode="0.00">
                  <c:v>0.24069319610000001</c:v>
                </c:pt>
                <c:pt idx="6052" formatCode="0.00">
                  <c:v>0.22936645746000001</c:v>
                </c:pt>
                <c:pt idx="6053" formatCode="0.00">
                  <c:v>0.84950539800000002</c:v>
                </c:pt>
                <c:pt idx="6054" formatCode="0.00">
                  <c:v>0.59465377860000002</c:v>
                </c:pt>
                <c:pt idx="6055" formatCode="0.00">
                  <c:v>0.53802008540000001</c:v>
                </c:pt>
                <c:pt idx="6056" formatCode="0.00">
                  <c:v>1.3875254834000001</c:v>
                </c:pt>
                <c:pt idx="6057" formatCode="0.00">
                  <c:v>2.0104961085999999</c:v>
                </c:pt>
                <c:pt idx="6058" formatCode="0.00">
                  <c:v>0.42475269900000001</c:v>
                </c:pt>
                <c:pt idx="6059" formatCode="0.00">
                  <c:v>0.65128747180000002</c:v>
                </c:pt>
                <c:pt idx="6060" formatCode="0.00">
                  <c:v>0.96277278440000003</c:v>
                </c:pt>
                <c:pt idx="6061" formatCode="0.00">
                  <c:v>0.93445593780000002</c:v>
                </c:pt>
                <c:pt idx="6062" formatCode="0.00">
                  <c:v>0.56633693200000002</c:v>
                </c:pt>
                <c:pt idx="6063" formatCode="0.00">
                  <c:v>0.62297062520000002</c:v>
                </c:pt>
                <c:pt idx="6064" formatCode="0.00">
                  <c:v>1.5291097164</c:v>
                </c:pt>
                <c:pt idx="6065" formatCode="0.00">
                  <c:v>1.41584233</c:v>
                </c:pt>
                <c:pt idx="6066" formatCode="0.00">
                  <c:v>1.1043570173999999</c:v>
                </c:pt>
                <c:pt idx="6067" formatCode="0.00">
                  <c:v>0.79287170480000002</c:v>
                </c:pt>
                <c:pt idx="6068" formatCode="0.00">
                  <c:v>0.76455485820000002</c:v>
                </c:pt>
                <c:pt idx="6069" formatCode="0.00">
                  <c:v>1.2459412504</c:v>
                </c:pt>
                <c:pt idx="6070" formatCode="0.00">
                  <c:v>1.3025749436</c:v>
                </c:pt>
                <c:pt idx="6071" formatCode="0.00">
                  <c:v>1.2742580970000001</c:v>
                </c:pt>
                <c:pt idx="6072" formatCode="0.00">
                  <c:v>1.2742580970000001</c:v>
                </c:pt>
                <c:pt idx="6073" formatCode="0.00">
                  <c:v>0.15291097164</c:v>
                </c:pt>
                <c:pt idx="6074" formatCode="0.00">
                  <c:v>0.23786151144000001</c:v>
                </c:pt>
                <c:pt idx="6075" formatCode="0.00">
                  <c:v>0.33697047454000001</c:v>
                </c:pt>
                <c:pt idx="6076" formatCode="0.00">
                  <c:v>0.39077248308000001</c:v>
                </c:pt>
                <c:pt idx="6077" formatCode="0.00">
                  <c:v>0.44740617628000001</c:v>
                </c:pt>
                <c:pt idx="6078" formatCode="0.00">
                  <c:v>0.38227742910000001</c:v>
                </c:pt>
                <c:pt idx="6079" formatCode="0.00">
                  <c:v>0.32281205124000001</c:v>
                </c:pt>
                <c:pt idx="6080" formatCode="0.00">
                  <c:v>0.27467341202000001</c:v>
                </c:pt>
                <c:pt idx="6081" formatCode="0.00">
                  <c:v>0.22653477280000001</c:v>
                </c:pt>
                <c:pt idx="6082" formatCode="0.00">
                  <c:v>2.6051498872000001</c:v>
                </c:pt>
                <c:pt idx="6083" formatCode="0.00">
                  <c:v>2.6051498872000001</c:v>
                </c:pt>
                <c:pt idx="6084" formatCode="0.00">
                  <c:v>2.6334667338000002</c:v>
                </c:pt>
                <c:pt idx="6085" formatCode="0.00">
                  <c:v>2.8316846600000001</c:v>
                </c:pt>
                <c:pt idx="6086" formatCode="0.00">
                  <c:v>3.3980215920000001</c:v>
                </c:pt>
                <c:pt idx="6087" formatCode="0.00">
                  <c:v>1.8972287221999999</c:v>
                </c:pt>
                <c:pt idx="6088" formatCode="0.00">
                  <c:v>1.8122781824</c:v>
                </c:pt>
                <c:pt idx="6089" formatCode="0.00">
                  <c:v>0.90613909120000002</c:v>
                </c:pt>
                <c:pt idx="6090" formatCode="0.00">
                  <c:v>0.73623801160000002</c:v>
                </c:pt>
                <c:pt idx="6091" formatCode="0.00">
                  <c:v>0.76455485820000002</c:v>
                </c:pt>
                <c:pt idx="6092" formatCode="0.00">
                  <c:v>0.67960431840000002</c:v>
                </c:pt>
                <c:pt idx="6093" formatCode="0.00">
                  <c:v>0.70792116500000002</c:v>
                </c:pt>
                <c:pt idx="6094" formatCode="0.00">
                  <c:v>0.67960431840000002</c:v>
                </c:pt>
                <c:pt idx="6095" formatCode="0.00">
                  <c:v>1.7556444892</c:v>
                </c:pt>
                <c:pt idx="6096" formatCode="0.00">
                  <c:v>1.699010796</c:v>
                </c:pt>
                <c:pt idx="6097" formatCode="0.00">
                  <c:v>1.5291097164</c:v>
                </c:pt>
                <c:pt idx="6098" formatCode="0.00">
                  <c:v>1.1609907106000001</c:v>
                </c:pt>
                <c:pt idx="6099" formatCode="0.00">
                  <c:v>0.82118855140000002</c:v>
                </c:pt>
                <c:pt idx="6100" formatCode="0.00">
                  <c:v>0.62297062520000002</c:v>
                </c:pt>
                <c:pt idx="6101" formatCode="0.00">
                  <c:v>0.45306954560000001</c:v>
                </c:pt>
                <c:pt idx="6102" formatCode="0.00">
                  <c:v>0.36811900580000001</c:v>
                </c:pt>
                <c:pt idx="6103" formatCode="0.00">
                  <c:v>0.33130710522000001</c:v>
                </c:pt>
                <c:pt idx="6104" formatCode="0.00">
                  <c:v>0.28316846600000001</c:v>
                </c:pt>
                <c:pt idx="6105" formatCode="0.00">
                  <c:v>0.23219814211999998</c:v>
                </c:pt>
                <c:pt idx="6106" formatCode="0.00">
                  <c:v>0.24069319610000001</c:v>
                </c:pt>
                <c:pt idx="6107" formatCode="0.00">
                  <c:v>0.65128747180000002</c:v>
                </c:pt>
                <c:pt idx="6108" formatCode="0.00">
                  <c:v>0.45306954560000001</c:v>
                </c:pt>
                <c:pt idx="6109" formatCode="0.00">
                  <c:v>0.31148531260000001</c:v>
                </c:pt>
                <c:pt idx="6110" formatCode="0.00">
                  <c:v>0.25201993474000001</c:v>
                </c:pt>
                <c:pt idx="6111" formatCode="0.00">
                  <c:v>0.22087140348000001</c:v>
                </c:pt>
                <c:pt idx="6112" formatCode="0.00">
                  <c:v>0.25201993474000001</c:v>
                </c:pt>
                <c:pt idx="6113" formatCode="0.00">
                  <c:v>0.19255455688000001</c:v>
                </c:pt>
                <c:pt idx="6114" formatCode="0.00">
                  <c:v>0.19821792620000001</c:v>
                </c:pt>
                <c:pt idx="6115" formatCode="0.00">
                  <c:v>0.21803971882000001</c:v>
                </c:pt>
                <c:pt idx="6116" formatCode="0.00">
                  <c:v>0.23502982678000003</c:v>
                </c:pt>
                <c:pt idx="6117" formatCode="0.00">
                  <c:v>0.20388129552000001</c:v>
                </c:pt>
                <c:pt idx="6118" formatCode="0.00">
                  <c:v>0.23786151144000001</c:v>
                </c:pt>
                <c:pt idx="6119" formatCode="0.00">
                  <c:v>0.30015857396000001</c:v>
                </c:pt>
                <c:pt idx="6120" formatCode="0.00">
                  <c:v>0.26901004270000001</c:v>
                </c:pt>
                <c:pt idx="6121" formatCode="0.00">
                  <c:v>0.23219814211999998</c:v>
                </c:pt>
                <c:pt idx="6122" formatCode="0.00">
                  <c:v>0.26334667338000001</c:v>
                </c:pt>
                <c:pt idx="6123" formatCode="0.00">
                  <c:v>0.56633693200000002</c:v>
                </c:pt>
                <c:pt idx="6124" formatCode="0.00">
                  <c:v>0.60031714792000002</c:v>
                </c:pt>
                <c:pt idx="6125" formatCode="0.00">
                  <c:v>0.41908932968000001</c:v>
                </c:pt>
                <c:pt idx="6126" formatCode="0.00">
                  <c:v>0.36245563648000001</c:v>
                </c:pt>
                <c:pt idx="6127" formatCode="0.00">
                  <c:v>0.53802008540000001</c:v>
                </c:pt>
                <c:pt idx="6128" formatCode="0.00">
                  <c:v>1.7556444892</c:v>
                </c:pt>
                <c:pt idx="6129" formatCode="0.00">
                  <c:v>2.0388129552000001</c:v>
                </c:pt>
                <c:pt idx="6130" formatCode="0.00">
                  <c:v>2.6051498872000001</c:v>
                </c:pt>
                <c:pt idx="6131" formatCode="0.00">
                  <c:v>2.2087140347999998</c:v>
                </c:pt>
                <c:pt idx="6132" formatCode="0.00">
                  <c:v>1.5291097164</c:v>
                </c:pt>
                <c:pt idx="6133" formatCode="0.00">
                  <c:v>1.3308917901999999</c:v>
                </c:pt>
                <c:pt idx="6134" formatCode="0.00">
                  <c:v>1.0194064776</c:v>
                </c:pt>
                <c:pt idx="6135" formatCode="0.00">
                  <c:v>1.0760401708</c:v>
                </c:pt>
                <c:pt idx="6136" formatCode="0.00">
                  <c:v>1.4441591765999999</c:v>
                </c:pt>
                <c:pt idx="6137" formatCode="0.00">
                  <c:v>1.7556444892</c:v>
                </c:pt>
                <c:pt idx="6138" formatCode="0.00">
                  <c:v>2.0954466484000003</c:v>
                </c:pt>
                <c:pt idx="6139" formatCode="0.00">
                  <c:v>1.9255560000000001E-2</c:v>
                </c:pt>
                <c:pt idx="6140" formatCode="0.00">
                  <c:v>1.8972389999999999E-2</c:v>
                </c:pt>
                <c:pt idx="6141" formatCode="0.00">
                  <c:v>1.9255560000000001E-2</c:v>
                </c:pt>
                <c:pt idx="6142" formatCode="0.00">
                  <c:v>1.9255560000000001E-2</c:v>
                </c:pt>
                <c:pt idx="6143" formatCode="0.00">
                  <c:v>1.8972389999999999E-2</c:v>
                </c:pt>
                <c:pt idx="6144" formatCode="0.00">
                  <c:v>1.8972389999999999E-2</c:v>
                </c:pt>
                <c:pt idx="6145" formatCode="0.00">
                  <c:v>1.9255560000000001E-2</c:v>
                </c:pt>
                <c:pt idx="6146" formatCode="0.00">
                  <c:v>1.9255560000000001E-2</c:v>
                </c:pt>
                <c:pt idx="6147" formatCode="0.00">
                  <c:v>1.9538729999999997E-2</c:v>
                </c:pt>
                <c:pt idx="6148" formatCode="0.00">
                  <c:v>2.0388239999999998E-2</c:v>
                </c:pt>
                <c:pt idx="6149" formatCode="0.00">
                  <c:v>2.1520919999999999E-2</c:v>
                </c:pt>
                <c:pt idx="6150" formatCode="0.00">
                  <c:v>2.2087260000000001E-2</c:v>
                </c:pt>
                <c:pt idx="6151" formatCode="0.00">
                  <c:v>2.237043E-2</c:v>
                </c:pt>
                <c:pt idx="6152" formatCode="0.00">
                  <c:v>2.237043E-2</c:v>
                </c:pt>
                <c:pt idx="6153" formatCode="0.00">
                  <c:v>2.9732849999999998E-2</c:v>
                </c:pt>
                <c:pt idx="6154" formatCode="0.00">
                  <c:v>3.9926969999999992E-2</c:v>
                </c:pt>
                <c:pt idx="6155" formatCode="0.00">
                  <c:v>2.7750659999999996E-2</c:v>
                </c:pt>
                <c:pt idx="6156" formatCode="0.00">
                  <c:v>2.520213E-2</c:v>
                </c:pt>
                <c:pt idx="6157" formatCode="0.00">
                  <c:v>4.9554749999999995E-2</c:v>
                </c:pt>
                <c:pt idx="6158" formatCode="0.00">
                  <c:v>3.7944779999999997E-2</c:v>
                </c:pt>
                <c:pt idx="6159" formatCode="0.00">
                  <c:v>2.916651E-2</c:v>
                </c:pt>
                <c:pt idx="6160" formatCode="0.00">
                  <c:v>2.8600169999999998E-2</c:v>
                </c:pt>
                <c:pt idx="6161" formatCode="0.00">
                  <c:v>4.1342819999999995E-2</c:v>
                </c:pt>
                <c:pt idx="6162" formatCode="0.00">
                  <c:v>4.3041839999999998E-2</c:v>
                </c:pt>
                <c:pt idx="6163" formatCode="0.00">
                  <c:v>3.68121E-2</c:v>
                </c:pt>
                <c:pt idx="6164" formatCode="0.00">
                  <c:v>3.9077459999999994E-2</c:v>
                </c:pt>
                <c:pt idx="6165" formatCode="0.00">
                  <c:v>4.2475499999999999E-2</c:v>
                </c:pt>
                <c:pt idx="6166" formatCode="0.00">
                  <c:v>6.5129099999999995E-2</c:v>
                </c:pt>
                <c:pt idx="6167" formatCode="0.00">
                  <c:v>7.0792499999999994E-2</c:v>
                </c:pt>
                <c:pt idx="6168" formatCode="0.00">
                  <c:v>4.5873539999999997E-2</c:v>
                </c:pt>
                <c:pt idx="6169" formatCode="0.00">
                  <c:v>3.8511120000000003E-2</c:v>
                </c:pt>
                <c:pt idx="6170" formatCode="0.00">
                  <c:v>4.7006219999999994E-2</c:v>
                </c:pt>
                <c:pt idx="6171" formatCode="0.00">
                  <c:v>3.68121E-2</c:v>
                </c:pt>
                <c:pt idx="6172" formatCode="0.00">
                  <c:v>8.7782699999999991E-2</c:v>
                </c:pt>
                <c:pt idx="6173" formatCode="0.00">
                  <c:v>7.3624200000000001E-2</c:v>
                </c:pt>
                <c:pt idx="6174" formatCode="0.00">
                  <c:v>5.9465699999999996E-2</c:v>
                </c:pt>
                <c:pt idx="6175" formatCode="0.00">
                  <c:v>7.0792499999999994E-2</c:v>
                </c:pt>
                <c:pt idx="6176" formatCode="0.00">
                  <c:v>0.14441669999999998</c:v>
                </c:pt>
                <c:pt idx="6177" formatCode="0.00">
                  <c:v>0.18406049999999999</c:v>
                </c:pt>
                <c:pt idx="6178" formatCode="0.00">
                  <c:v>0.14158499999999999</c:v>
                </c:pt>
                <c:pt idx="6179" formatCode="0.00">
                  <c:v>0.12459480000000001</c:v>
                </c:pt>
                <c:pt idx="6180" formatCode="0.00">
                  <c:v>0.10760459999999999</c:v>
                </c:pt>
                <c:pt idx="6181" formatCode="0.00">
                  <c:v>0.24069449999999998</c:v>
                </c:pt>
                <c:pt idx="6182" formatCode="0.00">
                  <c:v>0.62297399999999992</c:v>
                </c:pt>
                <c:pt idx="6183" formatCode="0.00">
                  <c:v>0.50970599999999999</c:v>
                </c:pt>
                <c:pt idx="6184" formatCode="0.00">
                  <c:v>0.22370429999999999</c:v>
                </c:pt>
                <c:pt idx="6185" formatCode="0.00">
                  <c:v>0.1472484</c:v>
                </c:pt>
                <c:pt idx="6186" formatCode="0.00">
                  <c:v>9.344609999999999E-2</c:v>
                </c:pt>
                <c:pt idx="6187" formatCode="0.00">
                  <c:v>6.7960799999999988E-2</c:v>
                </c:pt>
                <c:pt idx="6188" formatCode="0.00">
                  <c:v>5.6633999999999997E-2</c:v>
                </c:pt>
                <c:pt idx="6189" formatCode="0.00">
                  <c:v>5.0970599999999998E-2</c:v>
                </c:pt>
                <c:pt idx="6190" formatCode="0.00">
                  <c:v>4.4457690000000001E-2</c:v>
                </c:pt>
                <c:pt idx="6191" formatCode="0.00">
                  <c:v>5.9465699999999996E-2</c:v>
                </c:pt>
                <c:pt idx="6192" formatCode="0.00">
                  <c:v>1.6661943893454236</c:v>
                </c:pt>
                <c:pt idx="6193" formatCode="0.00">
                  <c:v>1.8617172003400397</c:v>
                </c:pt>
                <c:pt idx="6194" formatCode="0.00">
                  <c:v>1.5077925758005102</c:v>
                </c:pt>
                <c:pt idx="6195" formatCode="0.00">
                  <c:v>1.198923207707566</c:v>
                </c:pt>
                <c:pt idx="6196" formatCode="0.00">
                  <c:v>0.75857183338056111</c:v>
                </c:pt>
                <c:pt idx="6197" formatCode="0.00">
                  <c:v>1.1623689430433553</c:v>
                </c:pt>
                <c:pt idx="6198" formatCode="0.00">
                  <c:v>1.5466137716066874</c:v>
                </c:pt>
                <c:pt idx="6199" formatCode="0.00">
                  <c:v>2.8543496741286485</c:v>
                </c:pt>
                <c:pt idx="6200" formatCode="0.00">
                  <c:v>1.3312553131198639</c:v>
                </c:pt>
                <c:pt idx="6201" formatCode="0.00">
                  <c:v>1.2315103428733354</c:v>
                </c:pt>
                <c:pt idx="6202" formatCode="0.00">
                  <c:v>1.1428166619438935</c:v>
                </c:pt>
                <c:pt idx="6203" formatCode="0.00">
                  <c:v>1.5171436667611222</c:v>
                </c:pt>
                <c:pt idx="6204" formatCode="0.00">
                  <c:v>1.1833380561065456</c:v>
                </c:pt>
                <c:pt idx="6205" formatCode="0.00">
                  <c:v>1.0484556531595353</c:v>
                </c:pt>
                <c:pt idx="6206" formatCode="0.00">
                  <c:v>4.1105128931708705</c:v>
                </c:pt>
                <c:pt idx="6207" formatCode="0.00">
                  <c:v>2.1402663644091811</c:v>
                </c:pt>
                <c:pt idx="6208" formatCode="0.00">
                  <c:v>0.90875602153584589</c:v>
                </c:pt>
                <c:pt idx="6209" formatCode="0.00">
                  <c:v>1.82672967</c:v>
                </c:pt>
                <c:pt idx="6210" formatCode="0.00">
                  <c:v>2.3355861600000001</c:v>
                </c:pt>
                <c:pt idx="6211" formatCode="0.00">
                  <c:v>1.60670658</c:v>
                </c:pt>
                <c:pt idx="6212" formatCode="0.00">
                  <c:v>0.79542452999999991</c:v>
                </c:pt>
                <c:pt idx="6213" formatCode="0.00">
                  <c:v>1.2620886899999999</c:v>
                </c:pt>
                <c:pt idx="6214" formatCode="0.00">
                  <c:v>1.0808598899999999</c:v>
                </c:pt>
                <c:pt idx="6215" formatCode="0.00">
                  <c:v>1.2918215399999999</c:v>
                </c:pt>
                <c:pt idx="6216" formatCode="0.00">
                  <c:v>1.48126227</c:v>
                </c:pt>
                <c:pt idx="6217" formatCode="0.00">
                  <c:v>2.2950928499999996</c:v>
                </c:pt>
                <c:pt idx="6218" formatCode="0.00">
                  <c:v>1.9221579599999998</c:v>
                </c:pt>
                <c:pt idx="6219" formatCode="0.00">
                  <c:v>1.2439658099999999</c:v>
                </c:pt>
                <c:pt idx="6220" formatCode="0.00">
                  <c:v>1.2867667894587702</c:v>
                </c:pt>
                <c:pt idx="6221" formatCode="0.00">
                  <c:v>1.7769906489090395</c:v>
                </c:pt>
                <c:pt idx="6222" formatCode="0.00">
                  <c:v>1.2196089543780109</c:v>
                </c:pt>
                <c:pt idx="6223" formatCode="0.00">
                  <c:v>1.1980731085293286</c:v>
                </c:pt>
                <c:pt idx="6224" formatCode="0.00">
                  <c:v>3.446585434967413</c:v>
                </c:pt>
                <c:pt idx="6225" formatCode="0.00">
                  <c:v>3.8747520544063478</c:v>
                </c:pt>
                <c:pt idx="6226" formatCode="0.00">
                  <c:v>0.93454236327571538</c:v>
                </c:pt>
                <c:pt idx="6227" formatCode="0.00">
                  <c:v>1.8347973930291868</c:v>
                </c:pt>
                <c:pt idx="6228" formatCode="0.00">
                  <c:v>1.8209124397846417</c:v>
                </c:pt>
                <c:pt idx="6229" formatCode="0.00">
                  <c:v>1.5539812978180789</c:v>
                </c:pt>
                <c:pt idx="6230" formatCode="0.00">
                  <c:v>0.6931141966562766</c:v>
                </c:pt>
                <c:pt idx="6231" formatCode="0.00">
                  <c:v>1.3717767072825162</c:v>
                </c:pt>
                <c:pt idx="6232" formatCode="0.00">
                  <c:v>0.86511759705298952</c:v>
                </c:pt>
                <c:pt idx="6233" formatCode="0.00">
                  <c:v>1.6868801360158685</c:v>
                </c:pt>
                <c:pt idx="6234" formatCode="0.00">
                  <c:v>1.3553414565032587</c:v>
                </c:pt>
                <c:pt idx="6235" formatCode="0.00">
                  <c:v>1.257013318220459</c:v>
                </c:pt>
                <c:pt idx="6236" formatCode="0.00">
                  <c:v>1.1635024086143384</c:v>
                </c:pt>
                <c:pt idx="6237" formatCode="0.00">
                  <c:v>1.3525077925758004</c:v>
                </c:pt>
                <c:pt idx="6238" formatCode="0.00">
                  <c:v>1.1493340889770474</c:v>
                </c:pt>
                <c:pt idx="6239" formatCode="0.00">
                  <c:v>1.1275148767356191</c:v>
                </c:pt>
                <c:pt idx="6240" formatCode="0.00">
                  <c:v>2.455936525928025</c:v>
                </c:pt>
                <c:pt idx="6241" formatCode="0.00">
                  <c:v>0.9081892887503541</c:v>
                </c:pt>
                <c:pt idx="6242" formatCode="0.00000">
                  <c:v>1.1185214999999999</c:v>
                </c:pt>
                <c:pt idx="6243" formatCode="0.00000">
                  <c:v>1.0902045</c:v>
                </c:pt>
                <c:pt idx="6244" formatCode="0.00000">
                  <c:v>0.85800509999999997</c:v>
                </c:pt>
                <c:pt idx="6245" formatCode="0.00000">
                  <c:v>1.0109169</c:v>
                </c:pt>
                <c:pt idx="6246" formatCode="0.00000">
                  <c:v>0.8410148999999999</c:v>
                </c:pt>
                <c:pt idx="6247" formatCode="0.00000">
                  <c:v>0.42758669999999999</c:v>
                </c:pt>
                <c:pt idx="6248" formatCode="0.00000">
                  <c:v>0.69376649999999995</c:v>
                </c:pt>
                <c:pt idx="6249" formatCode="0.00000">
                  <c:v>0.72208349999999999</c:v>
                </c:pt>
                <c:pt idx="6250" formatCode="0.00000">
                  <c:v>0.63713249999999999</c:v>
                </c:pt>
                <c:pt idx="6251" formatCode="0.00000">
                  <c:v>0.71075670000000002</c:v>
                </c:pt>
                <c:pt idx="6252" formatCode="0.00000">
                  <c:v>0.84667829999999988</c:v>
                </c:pt>
                <c:pt idx="6253" formatCode="0.00000">
                  <c:v>0.92313420000000002</c:v>
                </c:pt>
                <c:pt idx="6254" formatCode="0.00000">
                  <c:v>1.1808189</c:v>
                </c:pt>
                <c:pt idx="6255" formatCode="0.00000">
                  <c:v>1.1553335999999998</c:v>
                </c:pt>
                <c:pt idx="6256" formatCode="0.00000">
                  <c:v>1.4951375999999998</c:v>
                </c:pt>
                <c:pt idx="6257" formatCode="0.00000">
                  <c:v>1.2261260999999999</c:v>
                </c:pt>
                <c:pt idx="6258" formatCode="0.00000">
                  <c:v>1.2289577999999999</c:v>
                </c:pt>
                <c:pt idx="6259" formatCode="0.00000">
                  <c:v>1.2827601</c:v>
                </c:pt>
                <c:pt idx="6260" formatCode="0.00000">
                  <c:v>1.1581652999999998</c:v>
                </c:pt>
                <c:pt idx="6261" formatCode="0.00000">
                  <c:v>1.3931964000000001</c:v>
                </c:pt>
                <c:pt idx="6262" formatCode="0.00000">
                  <c:v>1.8349415999999998</c:v>
                </c:pt>
                <c:pt idx="6263" formatCode="0.00000">
                  <c:v>1.8802488000000002</c:v>
                </c:pt>
                <c:pt idx="6264" formatCode="0.00000">
                  <c:v>1.7896344</c:v>
                </c:pt>
                <c:pt idx="6265" formatCode="0.00000">
                  <c:v>1.9255559999999998</c:v>
                </c:pt>
                <c:pt idx="6266" formatCode="0.00000">
                  <c:v>2.5372031999999995</c:v>
                </c:pt>
                <c:pt idx="6267" formatCode="0.00000">
                  <c:v>1.8547634999999998</c:v>
                </c:pt>
                <c:pt idx="6268" formatCode="0.00000">
                  <c:v>1.6367225999999999</c:v>
                </c:pt>
                <c:pt idx="6269" formatCode="0.00000">
                  <c:v>1.8491000999999998</c:v>
                </c:pt>
                <c:pt idx="6270" formatCode="0.00000">
                  <c:v>2.4890642999999999</c:v>
                </c:pt>
                <c:pt idx="6271" formatCode="0.00000">
                  <c:v>3.2139794999999998</c:v>
                </c:pt>
                <c:pt idx="6272" formatCode="0.00000">
                  <c:v>3.0355824</c:v>
                </c:pt>
                <c:pt idx="6273" formatCode="0.00000">
                  <c:v>2.6872832999999998</c:v>
                </c:pt>
                <c:pt idx="6274" formatCode="0.00000">
                  <c:v>2.8373634000000001</c:v>
                </c:pt>
                <c:pt idx="6275" formatCode="0.00000">
                  <c:v>2.9194826999999997</c:v>
                </c:pt>
                <c:pt idx="6276" formatCode="0.00000">
                  <c:v>2.3418158999999998</c:v>
                </c:pt>
                <c:pt idx="6277" formatCode="0.00000">
                  <c:v>2.6023323</c:v>
                </c:pt>
                <c:pt idx="6278" formatCode="0.00000">
                  <c:v>2.2710233999999998</c:v>
                </c:pt>
                <c:pt idx="6279" formatCode="0.00000">
                  <c:v>2.9931068999999999</c:v>
                </c:pt>
                <c:pt idx="6280" formatCode="0.00000">
                  <c:v>2.8175414999999999</c:v>
                </c:pt>
                <c:pt idx="6281" formatCode="0.00000">
                  <c:v>3.5736053999999999</c:v>
                </c:pt>
                <c:pt idx="6282" formatCode="0.00000">
                  <c:v>4.1852526000000001</c:v>
                </c:pt>
                <c:pt idx="6283" formatCode="0.00000">
                  <c:v>3.4858226999999995</c:v>
                </c:pt>
                <c:pt idx="6284" formatCode="0.00000">
                  <c:v>4.2164013000000002</c:v>
                </c:pt>
                <c:pt idx="6285" formatCode="0.00000">
                  <c:v>2.8260365999999997</c:v>
                </c:pt>
                <c:pt idx="6286" formatCode="0.00000">
                  <c:v>2.2512015000000001</c:v>
                </c:pt>
                <c:pt idx="6287" formatCode="0.00000">
                  <c:v>2.0784677999999999</c:v>
                </c:pt>
                <c:pt idx="6288" formatCode="0.00000">
                  <c:v>1.9198925999999998</c:v>
                </c:pt>
                <c:pt idx="6289" formatCode="0.00000">
                  <c:v>2.1067848000000002</c:v>
                </c:pt>
                <c:pt idx="6290" formatCode="0.00000">
                  <c:v>1.32098805</c:v>
                </c:pt>
                <c:pt idx="6291" formatCode="0.00000">
                  <c:v>1.1176719899999998</c:v>
                </c:pt>
                <c:pt idx="6292" formatCode="0.00000">
                  <c:v>1.0109169</c:v>
                </c:pt>
                <c:pt idx="6293" formatCode="0.00000">
                  <c:v>0.83988222000000001</c:v>
                </c:pt>
                <c:pt idx="6294" formatCode="0.00000">
                  <c:v>0.43551546000000002</c:v>
                </c:pt>
                <c:pt idx="6295" formatCode="0.00000">
                  <c:v>0.69433283999999995</c:v>
                </c:pt>
                <c:pt idx="6296" formatCode="0.00000">
                  <c:v>0.72095081999999999</c:v>
                </c:pt>
                <c:pt idx="6297" formatCode="0.00000">
                  <c:v>0.63854834999999999</c:v>
                </c:pt>
                <c:pt idx="6298" formatCode="0.00000">
                  <c:v>0.70905767999999991</c:v>
                </c:pt>
                <c:pt idx="6299" formatCode="0.00000">
                  <c:v>0.84837731999999999</c:v>
                </c:pt>
                <c:pt idx="6300" formatCode="0.00000">
                  <c:v>0.92936394</c:v>
                </c:pt>
                <c:pt idx="6301" formatCode="0.00000">
                  <c:v>1.17628818</c:v>
                </c:pt>
                <c:pt idx="6302" formatCode="0.00000">
                  <c:v>1.15618311</c:v>
                </c:pt>
                <c:pt idx="6303" formatCode="0.00000">
                  <c:v>1.4957039399999998</c:v>
                </c:pt>
                <c:pt idx="6304" formatCode="0.00000">
                  <c:v>1.2269756099999998</c:v>
                </c:pt>
                <c:pt idx="6305" formatCode="0.00000">
                  <c:v>1.2283914600000001</c:v>
                </c:pt>
                <c:pt idx="6306" formatCode="0.00000">
                  <c:v>1.2836096099999998</c:v>
                </c:pt>
                <c:pt idx="6307" formatCode="0.00000">
                  <c:v>1.1570326199999998</c:v>
                </c:pt>
                <c:pt idx="6308" formatCode="0.00000">
                  <c:v>1.4594581799999999</c:v>
                </c:pt>
                <c:pt idx="6309" formatCode="0.00000">
                  <c:v>1.6126531500000001</c:v>
                </c:pt>
                <c:pt idx="6310" formatCode="0.00000">
                  <c:v>1.90601727</c:v>
                </c:pt>
                <c:pt idx="6311" formatCode="0.00000">
                  <c:v>1.78906806</c:v>
                </c:pt>
                <c:pt idx="6312" formatCode="0.00000">
                  <c:v>1.8915755999999999</c:v>
                </c:pt>
                <c:pt idx="6313" formatCode="0.00000">
                  <c:v>2.5377695399999998</c:v>
                </c:pt>
                <c:pt idx="6314" formatCode="0.00000">
                  <c:v>1.8556130099999999</c:v>
                </c:pt>
                <c:pt idx="6315" formatCode="0.00000">
                  <c:v>1.6364394299999998</c:v>
                </c:pt>
                <c:pt idx="6316" formatCode="0.00000">
                  <c:v>1.8493832699999999</c:v>
                </c:pt>
                <c:pt idx="6317" formatCode="0.00000">
                  <c:v>2.3774953199999995</c:v>
                </c:pt>
                <c:pt idx="6318" formatCode="0.00000">
                  <c:v>3.00981393</c:v>
                </c:pt>
                <c:pt idx="6319" formatCode="0.00000">
                  <c:v>2.6782218599999998</c:v>
                </c:pt>
                <c:pt idx="6320" formatCode="0.00000">
                  <c:v>2.83651389</c:v>
                </c:pt>
                <c:pt idx="6321" formatCode="0.00000">
                  <c:v>2.9191995299999998</c:v>
                </c:pt>
                <c:pt idx="6322" formatCode="0.00000">
                  <c:v>2.3426654099999999</c:v>
                </c:pt>
                <c:pt idx="6323" formatCode="0.00000">
                  <c:v>2.6017659599999998</c:v>
                </c:pt>
                <c:pt idx="6324" formatCode="0.00000">
                  <c:v>2.2721560799999998</c:v>
                </c:pt>
                <c:pt idx="6325" formatCode="0.00000">
                  <c:v>2.9752671899999998</c:v>
                </c:pt>
                <c:pt idx="6326" formatCode="0.00000">
                  <c:v>2.8198068599999999</c:v>
                </c:pt>
                <c:pt idx="6327" formatCode="0.00000">
                  <c:v>3.5770034399999995</c:v>
                </c:pt>
                <c:pt idx="6328" formatCode="0.00000">
                  <c:v>3.5736053999999999</c:v>
                </c:pt>
                <c:pt idx="6329" formatCode="0.00000">
                  <c:v>4.1861021100000002</c:v>
                </c:pt>
                <c:pt idx="6330" formatCode="0.00000">
                  <c:v>3.4764780899999996</c:v>
                </c:pt>
                <c:pt idx="6331" formatCode="0.00000">
                  <c:v>4.2178171499999992</c:v>
                </c:pt>
                <c:pt idx="6332" formatCode="0.00000">
                  <c:v>2.63518002</c:v>
                </c:pt>
                <c:pt idx="6333" formatCode="0.00000">
                  <c:v>2.3058533100000003</c:v>
                </c:pt>
                <c:pt idx="6334" formatCode="0.00000">
                  <c:v>2.0790341400000001</c:v>
                </c:pt>
                <c:pt idx="6335" formatCode="0.00000">
                  <c:v>1.9193262599999998</c:v>
                </c:pt>
                <c:pt idx="6336" formatCode="0.00000">
                  <c:v>2.1070679699999997</c:v>
                </c:pt>
                <c:pt idx="6337" formatCode="0.00000">
                  <c:v>1.32098805</c:v>
                </c:pt>
                <c:pt idx="6338" formatCode="0.00000">
                  <c:v>1.7188418999999999</c:v>
                </c:pt>
                <c:pt idx="6339" formatCode="0.00000">
                  <c:v>1.7188418999999999</c:v>
                </c:pt>
                <c:pt idx="6340" formatCode="0.00000">
                  <c:v>1.8745854</c:v>
                </c:pt>
                <c:pt idx="6341" formatCode="0.00000">
                  <c:v>1.5942470999999998</c:v>
                </c:pt>
                <c:pt idx="6342" formatCode="0.00000">
                  <c:v>1.0986995999999998</c:v>
                </c:pt>
                <c:pt idx="6343" formatCode="0.00000">
                  <c:v>1.0250754</c:v>
                </c:pt>
                <c:pt idx="6344" formatCode="0.00000">
                  <c:v>0.91463909999999982</c:v>
                </c:pt>
                <c:pt idx="6345" formatCode="0.00000">
                  <c:v>0.76172729999999989</c:v>
                </c:pt>
                <c:pt idx="6346" formatCode="0.00000">
                  <c:v>0.95145119999999994</c:v>
                </c:pt>
                <c:pt idx="6347" formatCode="0.00000">
                  <c:v>2.4579155999999998</c:v>
                </c:pt>
                <c:pt idx="6348" formatCode="0.00000">
                  <c:v>2.6476394999999999</c:v>
                </c:pt>
                <c:pt idx="6349" formatCode="0.00000">
                  <c:v>2.8770071999999995</c:v>
                </c:pt>
                <c:pt idx="6350" formatCode="0.00000">
                  <c:v>2.0963075099999999</c:v>
                </c:pt>
                <c:pt idx="6351" formatCode="0.00000">
                  <c:v>1.4866424999999999</c:v>
                </c:pt>
                <c:pt idx="6352" formatCode="0.00000">
                  <c:v>1.6112372999999998</c:v>
                </c:pt>
                <c:pt idx="6353" formatCode="0.00000">
                  <c:v>1.5517715999999999</c:v>
                </c:pt>
                <c:pt idx="6354" formatCode="0.00000">
                  <c:v>1.6423859999999999</c:v>
                </c:pt>
                <c:pt idx="6355" formatCode="0.00000">
                  <c:v>2.8486901999999996</c:v>
                </c:pt>
                <c:pt idx="6356" formatCode="0.00000">
                  <c:v>2.8939973999999999</c:v>
                </c:pt>
                <c:pt idx="6357" formatCode="0.00000">
                  <c:v>3.4150301999999995</c:v>
                </c:pt>
                <c:pt idx="6358" formatCode="0.00000">
                  <c:v>3.2847719999999998</c:v>
                </c:pt>
                <c:pt idx="6359" formatCode="0.00000">
                  <c:v>4.3296692999999999</c:v>
                </c:pt>
                <c:pt idx="6360" formatCode="0.00000">
                  <c:v>4.9951188000000002</c:v>
                </c:pt>
                <c:pt idx="6361" formatCode="0.00000">
                  <c:v>4.9951188000000002</c:v>
                </c:pt>
                <c:pt idx="6362" formatCode="0.00000">
                  <c:v>3.1261967999999998</c:v>
                </c:pt>
                <c:pt idx="6363" formatCode="0.00000">
                  <c:v>2.9817800999999999</c:v>
                </c:pt>
                <c:pt idx="6364" formatCode="0.00000">
                  <c:v>5.7370241999999996</c:v>
                </c:pt>
                <c:pt idx="6365" formatCode="0.00000">
                  <c:v>5.0064456000000002</c:v>
                </c:pt>
                <c:pt idx="6366" formatCode="0.00000">
                  <c:v>6.7592678999999993</c:v>
                </c:pt>
                <c:pt idx="6367" formatCode="0.00000">
                  <c:v>5.6614178099999997</c:v>
                </c:pt>
                <c:pt idx="6368" formatCode="0.00000">
                  <c:v>5.0800697999999995</c:v>
                </c:pt>
                <c:pt idx="6369" formatCode="0.00000">
                  <c:v>3.8652704999999998</c:v>
                </c:pt>
                <c:pt idx="6370" formatCode="0.00000">
                  <c:v>3.6472296000000002</c:v>
                </c:pt>
                <c:pt idx="6371" formatCode="0.00000">
                  <c:v>4.0125188999999999</c:v>
                </c:pt>
                <c:pt idx="6372" formatCode="0.00000">
                  <c:v>4.6655089199999997</c:v>
                </c:pt>
                <c:pt idx="6373" formatCode="0.00000">
                  <c:v>3.5883302399999999</c:v>
                </c:pt>
                <c:pt idx="6374" formatCode="0.00000">
                  <c:v>3.7095269999999996</c:v>
                </c:pt>
                <c:pt idx="6375" formatCode="0.00000">
                  <c:v>6.3146909999999998</c:v>
                </c:pt>
                <c:pt idx="6376" formatCode="0.00000">
                  <c:v>5.4878346000000002</c:v>
                </c:pt>
                <c:pt idx="6377" formatCode="0.00000">
                  <c:v>5.612429399999999</c:v>
                </c:pt>
                <c:pt idx="6378" formatCode="0.00000">
                  <c:v>4.4854127999999998</c:v>
                </c:pt>
                <c:pt idx="6379" formatCode="0.00000">
                  <c:v>2.9336411999999998</c:v>
                </c:pt>
                <c:pt idx="6380" formatCode="0.00000">
                  <c:v>0.73624199999999995</c:v>
                </c:pt>
                <c:pt idx="6381" formatCode="0.00000">
                  <c:v>0.53802299999999992</c:v>
                </c:pt>
                <c:pt idx="6382" formatCode="0.00000">
                  <c:v>0.57200339999999994</c:v>
                </c:pt>
                <c:pt idx="6383" formatCode="0.00000">
                  <c:v>0.54170420999999991</c:v>
                </c:pt>
                <c:pt idx="6384" formatCode="0.00000">
                  <c:v>0.54255372000000002</c:v>
                </c:pt>
                <c:pt idx="6385" formatCode="0.00000">
                  <c:v>0.49243262999999998</c:v>
                </c:pt>
                <c:pt idx="6386" formatCode="0.00000">
                  <c:v>0.55246466999999999</c:v>
                </c:pt>
                <c:pt idx="6387" formatCode="0.00000">
                  <c:v>0.99930692999999993</c:v>
                </c:pt>
                <c:pt idx="6388" formatCode="0.00000">
                  <c:v>1.3144751399999999</c:v>
                </c:pt>
                <c:pt idx="6389" formatCode="0.00000">
                  <c:v>1.53081702</c:v>
                </c:pt>
                <c:pt idx="6390" formatCode="0.00000">
                  <c:v>1.78793538</c:v>
                </c:pt>
                <c:pt idx="6391" formatCode="0.00000">
                  <c:v>1.9261223399999998</c:v>
                </c:pt>
                <c:pt idx="6392" formatCode="0.00000">
                  <c:v>1.9615185899999998</c:v>
                </c:pt>
                <c:pt idx="6393" formatCode="0.00000">
                  <c:v>1.8428703599999998</c:v>
                </c:pt>
                <c:pt idx="6394" formatCode="0.00000">
                  <c:v>1.7658481199999998</c:v>
                </c:pt>
                <c:pt idx="6395" formatCode="0.00000">
                  <c:v>1.9286708699999999</c:v>
                </c:pt>
                <c:pt idx="6396" formatCode="0.00000">
                  <c:v>2.2993404000000002</c:v>
                </c:pt>
                <c:pt idx="6397" formatCode="0.00000">
                  <c:v>2.6074293599999998</c:v>
                </c:pt>
                <c:pt idx="6398" formatCode="0.00000">
                  <c:v>4.095770879999999</c:v>
                </c:pt>
                <c:pt idx="6399" formatCode="0.00000">
                  <c:v>2.9797979099999998</c:v>
                </c:pt>
                <c:pt idx="6400" formatCode="0.00000">
                  <c:v>4.4115054299999992</c:v>
                </c:pt>
                <c:pt idx="6401" formatCode="0.00000">
                  <c:v>4.7447965199999995</c:v>
                </c:pt>
                <c:pt idx="6402" formatCode="0.00000">
                  <c:v>3.6812099999999996</c:v>
                </c:pt>
                <c:pt idx="6403" formatCode="0.00000">
                  <c:v>3.8227949999999997</c:v>
                </c:pt>
                <c:pt idx="6404" formatCode="0.00000">
                  <c:v>4.2475499999999995</c:v>
                </c:pt>
                <c:pt idx="6405" formatCode="0.00000">
                  <c:v>6.3387604499999997</c:v>
                </c:pt>
                <c:pt idx="6406" formatCode="0.00000">
                  <c:v>6.3387604499999997</c:v>
                </c:pt>
                <c:pt idx="6407" formatCode="0.00000">
                  <c:v>5.5138862399999997</c:v>
                </c:pt>
                <c:pt idx="6408" formatCode="0.00000">
                  <c:v>5.4971792099999996</c:v>
                </c:pt>
                <c:pt idx="6409" formatCode="0.00000">
                  <c:v>5.0585488799999991</c:v>
                </c:pt>
                <c:pt idx="6410" formatCode="0.00000">
                  <c:v>4.4115054299999992</c:v>
                </c:pt>
                <c:pt idx="6411" formatCode="0.00000">
                  <c:v>4.7447965199999995</c:v>
                </c:pt>
                <c:pt idx="6412" formatCode="0.00000">
                  <c:v>4.7447965199999995</c:v>
                </c:pt>
                <c:pt idx="6413" formatCode="0.00000">
                  <c:v>3.5495359499999997</c:v>
                </c:pt>
                <c:pt idx="6414" formatCode="0.00000">
                  <c:v>4.0436676</c:v>
                </c:pt>
                <c:pt idx="6415" formatCode="0.00000">
                  <c:v>4.8178543799999991</c:v>
                </c:pt>
                <c:pt idx="6416" formatCode="0.00000">
                  <c:v>4.6723049999999997</c:v>
                </c:pt>
                <c:pt idx="6417" formatCode="0.00000">
                  <c:v>4.8178543799999991</c:v>
                </c:pt>
                <c:pt idx="6418" formatCode="0.00000">
                  <c:v>2.9797979099999998</c:v>
                </c:pt>
                <c:pt idx="6419" formatCode="0.00000">
                  <c:v>2.6074293599999998</c:v>
                </c:pt>
                <c:pt idx="6420" formatCode="0.00000">
                  <c:v>2.3219939999999997</c:v>
                </c:pt>
                <c:pt idx="6421" formatCode="0.00000">
                  <c:v>2.1520919999999997</c:v>
                </c:pt>
                <c:pt idx="6422" formatCode="0.00000">
                  <c:v>0.10845410999999999</c:v>
                </c:pt>
                <c:pt idx="6423" formatCode="0.00000">
                  <c:v>0.13450574999999998</c:v>
                </c:pt>
                <c:pt idx="6424" formatCode="0.00000">
                  <c:v>0.10052534999999999</c:v>
                </c:pt>
                <c:pt idx="6425" formatCode="0.00000">
                  <c:v>9.1747079999999995E-2</c:v>
                </c:pt>
                <c:pt idx="6426" formatCode="0.00000">
                  <c:v>8.5517339999999997E-2</c:v>
                </c:pt>
                <c:pt idx="6427" formatCode="0.00000">
                  <c:v>9.0897569999999997E-2</c:v>
                </c:pt>
                <c:pt idx="6428" formatCode="0.00000">
                  <c:v>0.16452176999999998</c:v>
                </c:pt>
                <c:pt idx="6429" formatCode="0.00000">
                  <c:v>0.19085658</c:v>
                </c:pt>
                <c:pt idx="6430" formatCode="0.00000">
                  <c:v>0.21067848</c:v>
                </c:pt>
                <c:pt idx="6431" formatCode="0.00000">
                  <c:v>0.21577553999999999</c:v>
                </c:pt>
                <c:pt idx="6432" formatCode="0.00000">
                  <c:v>0.20133387</c:v>
                </c:pt>
                <c:pt idx="6433" formatCode="0.00000">
                  <c:v>0.20586458999999999</c:v>
                </c:pt>
                <c:pt idx="6434" formatCode="0.00000">
                  <c:v>0.22880135999999998</c:v>
                </c:pt>
                <c:pt idx="6435" formatCode="0.00000">
                  <c:v>0.26986100999999996</c:v>
                </c:pt>
                <c:pt idx="6436" formatCode="0.00000">
                  <c:v>0.38171316</c:v>
                </c:pt>
                <c:pt idx="6437" formatCode="0.00000">
                  <c:v>0.33329108999999996</c:v>
                </c:pt>
                <c:pt idx="6438" formatCode="0.00000">
                  <c:v>0.31148699999999996</c:v>
                </c:pt>
                <c:pt idx="6439" formatCode="0.00000">
                  <c:v>0.43721447999999996</c:v>
                </c:pt>
                <c:pt idx="6440" formatCode="0.00000">
                  <c:v>0.78211553999999994</c:v>
                </c:pt>
                <c:pt idx="6441" formatCode="0.00000">
                  <c:v>0.65129099999999995</c:v>
                </c:pt>
                <c:pt idx="6442" formatCode="0.00000">
                  <c:v>0.58955994</c:v>
                </c:pt>
                <c:pt idx="6443" formatCode="0.00000">
                  <c:v>0.57851630999999992</c:v>
                </c:pt>
                <c:pt idx="6444" formatCode="0.00000">
                  <c:v>0.69801404999999994</c:v>
                </c:pt>
                <c:pt idx="6445" formatCode="0.00000">
                  <c:v>0.70112892000000004</c:v>
                </c:pt>
                <c:pt idx="6446" formatCode="0.00000">
                  <c:v>0.57851630999999992</c:v>
                </c:pt>
                <c:pt idx="6447" formatCode="0.00000">
                  <c:v>0.70056257999999993</c:v>
                </c:pt>
                <c:pt idx="6448" formatCode="0.00000">
                  <c:v>0.70084574999999993</c:v>
                </c:pt>
                <c:pt idx="6449" formatCode="0.00000">
                  <c:v>0.90784302000000006</c:v>
                </c:pt>
                <c:pt idx="6450" formatCode="0.00000">
                  <c:v>0.90784302000000006</c:v>
                </c:pt>
                <c:pt idx="6451" formatCode="0.00000">
                  <c:v>0.79287599999999991</c:v>
                </c:pt>
                <c:pt idx="6452" formatCode="0.00000">
                  <c:v>0.72095081999999999</c:v>
                </c:pt>
                <c:pt idx="6453" formatCode="0.00000">
                  <c:v>0.70792499999999992</c:v>
                </c:pt>
                <c:pt idx="6454" formatCode="0.00000">
                  <c:v>0.87188042999999993</c:v>
                </c:pt>
                <c:pt idx="6455" formatCode="0.00000">
                  <c:v>0.82119299999999995</c:v>
                </c:pt>
                <c:pt idx="6456" formatCode="0.00000">
                  <c:v>0.70792499999999992</c:v>
                </c:pt>
                <c:pt idx="6457" formatCode="0.00000">
                  <c:v>0.59465699999999999</c:v>
                </c:pt>
                <c:pt idx="6458" formatCode="0.00000">
                  <c:v>0.56633999999999995</c:v>
                </c:pt>
                <c:pt idx="6459" formatCode="0.00000">
                  <c:v>0.50970599999999999</c:v>
                </c:pt>
                <c:pt idx="6460" formatCode="0.00000">
                  <c:v>0.48138899999999996</c:v>
                </c:pt>
                <c:pt idx="6461" formatCode="0.00000">
                  <c:v>0.45307199999999997</c:v>
                </c:pt>
                <c:pt idx="6462" formatCode="0.00000">
                  <c:v>0.42475499999999999</c:v>
                </c:pt>
                <c:pt idx="6463" formatCode="0.00000">
                  <c:v>0.33980399999999999</c:v>
                </c:pt>
                <c:pt idx="6464" formatCode="0.00000">
                  <c:v>0.31148699999999996</c:v>
                </c:pt>
                <c:pt idx="6465" formatCode="0.00000">
                  <c:v>0.22653599999999999</c:v>
                </c:pt>
                <c:pt idx="6466" formatCode="0.00000">
                  <c:v>0.169902</c:v>
                </c:pt>
                <c:pt idx="6467" formatCode="0.00000">
                  <c:v>1.0157307899999999</c:v>
                </c:pt>
                <c:pt idx="6468" formatCode="0.00000">
                  <c:v>0.73256078999999996</c:v>
                </c:pt>
                <c:pt idx="6469" formatCode="0.00000">
                  <c:v>0.63316812</c:v>
                </c:pt>
                <c:pt idx="6470" formatCode="0.00000">
                  <c:v>0.75181635000000002</c:v>
                </c:pt>
                <c:pt idx="6471" formatCode="0.00000">
                  <c:v>0.73256078999999996</c:v>
                </c:pt>
                <c:pt idx="6472" formatCode="0.00000">
                  <c:v>1.06670139</c:v>
                </c:pt>
                <c:pt idx="6473" formatCode="0.00000">
                  <c:v>0.80618498999999988</c:v>
                </c:pt>
                <c:pt idx="6474" formatCode="0.00000">
                  <c:v>0.81609593999999996</c:v>
                </c:pt>
                <c:pt idx="6475" formatCode="0.00000">
                  <c:v>0.80618498999999988</c:v>
                </c:pt>
                <c:pt idx="6476" formatCode="0.00000">
                  <c:v>0.80165426999999989</c:v>
                </c:pt>
                <c:pt idx="6477" formatCode="0.00000">
                  <c:v>0.95909678999999992</c:v>
                </c:pt>
                <c:pt idx="6478" formatCode="0.00000">
                  <c:v>1.0157307899999999</c:v>
                </c:pt>
                <c:pt idx="6479" formatCode="0.00000">
                  <c:v>0.95909678999999992</c:v>
                </c:pt>
                <c:pt idx="6480" formatCode="0.00000">
                  <c:v>0.90727667999999995</c:v>
                </c:pt>
                <c:pt idx="6481" formatCode="0.00000">
                  <c:v>0.90727667999999995</c:v>
                </c:pt>
                <c:pt idx="6482" formatCode="0.00000">
                  <c:v>0.75181635000000002</c:v>
                </c:pt>
                <c:pt idx="6483" formatCode="0.00000">
                  <c:v>0.53434179000000004</c:v>
                </c:pt>
                <c:pt idx="6484" formatCode="0.00000">
                  <c:v>0.53434179000000004</c:v>
                </c:pt>
                <c:pt idx="6485" formatCode="0.00000">
                  <c:v>0.45307199999999997</c:v>
                </c:pt>
                <c:pt idx="6486" formatCode="0.00000">
                  <c:v>0.41059649999999998</c:v>
                </c:pt>
                <c:pt idx="6487" formatCode="0.00000">
                  <c:v>0.36812099999999998</c:v>
                </c:pt>
                <c:pt idx="6488" formatCode="0.00000">
                  <c:v>0.36217442999999994</c:v>
                </c:pt>
                <c:pt idx="6489" formatCode="0.00000">
                  <c:v>5.6195413910258507</c:v>
                </c:pt>
                <c:pt idx="6490" formatCode="0.00000">
                  <c:v>8.1199150234773363</c:v>
                </c:pt>
                <c:pt idx="6491" formatCode="0.00000">
                  <c:v>10.342034731917137</c:v>
                </c:pt>
                <c:pt idx="6492" formatCode="0.00000">
                  <c:v>13.294088192495101</c:v>
                </c:pt>
                <c:pt idx="6493" formatCode="0.00000">
                  <c:v>8.8340716907352075</c:v>
                </c:pt>
                <c:pt idx="6494" formatCode="0.00000">
                  <c:v>6.4979718023730531</c:v>
                </c:pt>
                <c:pt idx="6495" formatCode="0.00000">
                  <c:v>6.4979718023730531</c:v>
                </c:pt>
                <c:pt idx="6496" formatCode="0.00000">
                  <c:v>6.9583293517599039</c:v>
                </c:pt>
                <c:pt idx="6497" formatCode="0.00000">
                  <c:v>7.8220612315544233</c:v>
                </c:pt>
                <c:pt idx="6498" formatCode="0.00000">
                  <c:v>8.2202977098582561</c:v>
                </c:pt>
                <c:pt idx="6499" formatCode="0.00000">
                  <c:v>7.4326380503070126</c:v>
                </c:pt>
                <c:pt idx="6500" formatCode="0.00000">
                  <c:v>5.4506826220864886</c:v>
                </c:pt>
                <c:pt idx="6501" formatCode="0.00000">
                  <c:v>6.0516719427885333</c:v>
                </c:pt>
                <c:pt idx="6502" formatCode="0.00000">
                  <c:v>4.6409527164668614</c:v>
                </c:pt>
                <c:pt idx="6503" formatCode="0.00000">
                  <c:v>4.5631726553741148</c:v>
                </c:pt>
                <c:pt idx="6504" formatCode="0.00000">
                  <c:v>4.1830669612010825</c:v>
                </c:pt>
                <c:pt idx="6505" formatCode="0.00000">
                  <c:v>3.8177243094761057</c:v>
                </c:pt>
                <c:pt idx="6506" formatCode="0.00000">
                  <c:v>3.5016627253071011</c:v>
                </c:pt>
                <c:pt idx="6507" formatCode="0.00000">
                  <c:v>1.1026888944975217</c:v>
                </c:pt>
                <c:pt idx="6508" formatCode="0.00000">
                  <c:v>1.1026888944975217</c:v>
                </c:pt>
                <c:pt idx="6509" formatCode="0.00000">
                  <c:v>1.6003285229196071</c:v>
                </c:pt>
                <c:pt idx="6510" formatCode="0.00000">
                  <c:v>2.834585417192502</c:v>
                </c:pt>
                <c:pt idx="6511" formatCode="0.00000">
                  <c:v>2.834585417192502</c:v>
                </c:pt>
                <c:pt idx="6512" formatCode="0.00000">
                  <c:v>2.834585417192502</c:v>
                </c:pt>
                <c:pt idx="6513" formatCode="0.00000">
                  <c:v>2.3994239143999212</c:v>
                </c:pt>
                <c:pt idx="6514" formatCode="0.00000">
                  <c:v>2.0265906806003686</c:v>
                </c:pt>
                <c:pt idx="6515" formatCode="0.00000">
                  <c:v>1.9377728934571896</c:v>
                </c:pt>
                <c:pt idx="6516" formatCode="0.00000">
                  <c:v>1.4942571769799622</c:v>
                </c:pt>
                <c:pt idx="6517" formatCode="0.00000">
                  <c:v>1.6003285229196071</c:v>
                </c:pt>
                <c:pt idx="6518" formatCode="0.00000">
                  <c:v>1.7374438845850382</c:v>
                </c:pt>
                <c:pt idx="6519" formatCode="0.00000">
                  <c:v>1.3412429977620735</c:v>
                </c:pt>
                <c:pt idx="6520" formatCode="0.00000">
                  <c:v>1.468245421201376</c:v>
                </c:pt>
                <c:pt idx="6521" formatCode="0.00000">
                  <c:v>1.291876015917282</c:v>
                </c:pt>
                <c:pt idx="6522" formatCode="0.00000">
                  <c:v>1.6003285229196071</c:v>
                </c:pt>
                <c:pt idx="6523" formatCode="0.00000">
                  <c:v>1.3412429977620735</c:v>
                </c:pt>
                <c:pt idx="6524" formatCode="0.00000">
                  <c:v>0.92693036713491062</c:v>
                </c:pt>
                <c:pt idx="6525" formatCode="0.00000">
                  <c:v>0.84416748454230228</c:v>
                </c:pt>
                <c:pt idx="6526" formatCode="0.00000">
                  <c:v>0.72651855301942503</c:v>
                </c:pt>
                <c:pt idx="6527" formatCode="0.00000">
                  <c:v>0.72651855301942503</c:v>
                </c:pt>
                <c:pt idx="6528" formatCode="0.00000">
                  <c:v>0.65247276427871215</c:v>
                </c:pt>
                <c:pt idx="6529" formatCode="0.00">
                  <c:v>0.65372626806460754</c:v>
                </c:pt>
                <c:pt idx="6530" formatCode="0.00">
                  <c:v>0.85349957495041096</c:v>
                </c:pt>
                <c:pt idx="6531" formatCode="0.00">
                  <c:v>0.87928591669028056</c:v>
                </c:pt>
                <c:pt idx="6532" formatCode="0.00">
                  <c:v>1.126381411164636</c:v>
                </c:pt>
                <c:pt idx="6533" formatCode="0.00">
                  <c:v>2.2555964862567297</c:v>
                </c:pt>
                <c:pt idx="6534" formatCode="0.00">
                  <c:v>0.35647492207424203</c:v>
                </c:pt>
                <c:pt idx="6535" formatCode="0.00">
                  <c:v>0.33607254179654295</c:v>
                </c:pt>
                <c:pt idx="6536" formatCode="0.00">
                  <c:v>3.6837631056956646</c:v>
                </c:pt>
                <c:pt idx="6537" formatCode="0.00">
                  <c:v>5.0155851516010204</c:v>
                </c:pt>
                <c:pt idx="6538" formatCode="0.00">
                  <c:v>7.7642391612354773</c:v>
                </c:pt>
                <c:pt idx="6539" formatCode="0.00">
                  <c:v>6.7724567866251064</c:v>
                </c:pt>
                <c:pt idx="6540" formatCode="0.00">
                  <c:v>4.533862283933126</c:v>
                </c:pt>
                <c:pt idx="6541" formatCode="0.00">
                  <c:v>7.8492490790592235</c:v>
                </c:pt>
                <c:pt idx="6542" formatCode="0.00">
                  <c:v>8.2176253896287896</c:v>
                </c:pt>
                <c:pt idx="6543" formatCode="0.00">
                  <c:v>8.2176253896287896</c:v>
                </c:pt>
                <c:pt idx="6544" formatCode="0.00">
                  <c:v>9.5211107962595634</c:v>
                </c:pt>
                <c:pt idx="6545" formatCode="0.00">
                  <c:v>6.2623972796826299</c:v>
                </c:pt>
                <c:pt idx="6546" formatCode="0.00">
                  <c:v>3.7971096627939929</c:v>
                </c:pt>
                <c:pt idx="6547" formatCode="0.00">
                  <c:v>4.4488523661093797</c:v>
                </c:pt>
                <c:pt idx="6548" formatCode="0.00">
                  <c:v>3.315386795126098</c:v>
                </c:pt>
                <c:pt idx="6549" formatCode="0.00">
                  <c:v>2.6636440918107112</c:v>
                </c:pt>
                <c:pt idx="6550" formatCode="0.00">
                  <c:v>2.5786341739869654</c:v>
                </c:pt>
                <c:pt idx="6551" formatCode="0.00">
                  <c:v>5.1005950694247668E-2</c:v>
                </c:pt>
                <c:pt idx="6552" formatCode="0.00">
                  <c:v>0.37971096627939926</c:v>
                </c:pt>
                <c:pt idx="6553" formatCode="0.00">
                  <c:v>0.35137432700481724</c:v>
                </c:pt>
                <c:pt idx="6554" formatCode="0.00">
                  <c:v>0.31170303202040239</c:v>
                </c:pt>
                <c:pt idx="6555" formatCode="0.00">
                  <c:v>0.69424766222725987</c:v>
                </c:pt>
                <c:pt idx="6556" formatCode="0.00">
                  <c:v>1.3884953244545197</c:v>
                </c:pt>
                <c:pt idx="6557" formatCode="0.00">
                  <c:v>1.6520260697081326</c:v>
                </c:pt>
                <c:pt idx="6558" formatCode="0.00">
                  <c:v>2.0515726834797396</c:v>
                </c:pt>
                <c:pt idx="6559" formatCode="0.00">
                  <c:v>2.2527628223292719</c:v>
                </c:pt>
                <c:pt idx="6560" formatCode="0.00">
                  <c:v>1.8135449135732502</c:v>
                </c:pt>
                <c:pt idx="6561" formatCode="0.00">
                  <c:v>1.7710399546613773</c:v>
                </c:pt>
                <c:pt idx="6562" formatCode="0.00">
                  <c:v>1.3856616605270615</c:v>
                </c:pt>
                <c:pt idx="6563" formatCode="0.00">
                  <c:v>1.2779824312836499</c:v>
                </c:pt>
                <c:pt idx="6564" formatCode="0.00">
                  <c:v>1.3289883819778974</c:v>
                </c:pt>
                <c:pt idx="6565" formatCode="0.00">
                  <c:v>1.255313119863984</c:v>
                </c:pt>
                <c:pt idx="6566" formatCode="0.00">
                  <c:v>0.87560215358458482</c:v>
                </c:pt>
                <c:pt idx="6567" formatCode="0.00">
                  <c:v>0.65741003117030317</c:v>
                </c:pt>
                <c:pt idx="6568" formatCode="0.00">
                  <c:v>0.46188722017568717</c:v>
                </c:pt>
                <c:pt idx="6569" formatCode="0.00">
                  <c:v>0.47888920374043636</c:v>
                </c:pt>
                <c:pt idx="6570" formatCode="0.00">
                  <c:v>0.57523377727401537</c:v>
                </c:pt>
                <c:pt idx="6571" formatCode="0.00">
                  <c:v>0.48739019552281099</c:v>
                </c:pt>
                <c:pt idx="6572" formatCode="0.00">
                  <c:v>1.4508359308586003</c:v>
                </c:pt>
                <c:pt idx="6573" formatCode="0.00">
                  <c:v>0.74241994899404928</c:v>
                </c:pt>
                <c:pt idx="6574" formatCode="0.00">
                  <c:v>0.43638424482856336</c:v>
                </c:pt>
                <c:pt idx="6575" formatCode="0.00">
                  <c:v>1.2298101445168603</c:v>
                </c:pt>
                <c:pt idx="6576" formatCode="0.00">
                  <c:v>1.2411448002266932</c:v>
                </c:pt>
                <c:pt idx="6577" formatCode="0.00">
                  <c:v>1.2128081609521111</c:v>
                </c:pt>
                <c:pt idx="6578" formatCode="0.00">
                  <c:v>0.96344573533578914</c:v>
                </c:pt>
                <c:pt idx="6579" formatCode="0.00">
                  <c:v>0.7905922357608387</c:v>
                </c:pt>
                <c:pt idx="6580" formatCode="0.00">
                  <c:v>1.4536695947860583</c:v>
                </c:pt>
                <c:pt idx="6581" formatCode="0.00">
                  <c:v>1.3941626523094361</c:v>
                </c:pt>
                <c:pt idx="6582" formatCode="0.00">
                  <c:v>1.4820062340606404</c:v>
                </c:pt>
                <c:pt idx="6583" formatCode="0.00">
                  <c:v>1.4026636440918108</c:v>
                </c:pt>
                <c:pt idx="6584" formatCode="0.00">
                  <c:v>1.5358458486823463</c:v>
                </c:pt>
                <c:pt idx="6585" formatCode="0.00">
                  <c:v>1.657693397563049</c:v>
                </c:pt>
                <c:pt idx="6586" formatCode="0.00">
                  <c:v>1.405497308019269</c:v>
                </c:pt>
                <c:pt idx="6587" formatCode="0.00">
                  <c:v>2.184754888070275</c:v>
                </c:pt>
                <c:pt idx="6588" formatCode="0.00">
                  <c:v>1.0824596202890338</c:v>
                </c:pt>
                <c:pt idx="6589" formatCode="0.00">
                  <c:v>1.0824596202890338</c:v>
                </c:pt>
                <c:pt idx="6590" formatCode="0.00">
                  <c:v>0.88126948143950135</c:v>
                </c:pt>
                <c:pt idx="6591" formatCode="0.00">
                  <c:v>0.95494474355341463</c:v>
                </c:pt>
                <c:pt idx="6592" formatCode="0.00">
                  <c:v>1.3261547180504392</c:v>
                </c:pt>
                <c:pt idx="6593" formatCode="0.00">
                  <c:v>0.40153017852082745</c:v>
                </c:pt>
                <c:pt idx="6594" formatCode="0.00">
                  <c:v>0.92717483706432413</c:v>
                </c:pt>
                <c:pt idx="6595" formatCode="0.00">
                  <c:v>2.1569849815811848</c:v>
                </c:pt>
                <c:pt idx="6596" formatCode="0.00">
                  <c:v>1.8175120430716918</c:v>
                </c:pt>
                <c:pt idx="6597" formatCode="0.00">
                  <c:v>1.4190988948710683</c:v>
                </c:pt>
                <c:pt idx="6598" formatCode="0.00">
                  <c:v>2.5233777274015301</c:v>
                </c:pt>
                <c:pt idx="6599" formatCode="0.00">
                  <c:v>2.6871635024086142</c:v>
                </c:pt>
                <c:pt idx="6600" formatCode="0.00">
                  <c:v>2.3955794842731652</c:v>
                </c:pt>
                <c:pt idx="6601" formatCode="0.00">
                  <c:v>1.0937942759988666</c:v>
                </c:pt>
                <c:pt idx="6602" formatCode="0.00">
                  <c:v>1.2983848115613488</c:v>
                </c:pt>
                <c:pt idx="6603" formatCode="0.00">
                  <c:v>1.3431567016151884</c:v>
                </c:pt>
                <c:pt idx="6604" formatCode="0.00">
                  <c:v>1.3802776990648911</c:v>
                </c:pt>
                <c:pt idx="6605" formatCode="0.00">
                  <c:v>9.2660810427883253E-2</c:v>
                </c:pt>
                <c:pt idx="6606" formatCode="0.00">
                  <c:v>0.41569849815811843</c:v>
                </c:pt>
                <c:pt idx="6607" formatCode="0.00">
                  <c:v>1.1569849815811843</c:v>
                </c:pt>
                <c:pt idx="6608" formatCode="0.00">
                  <c:v>0.77018985548313967</c:v>
                </c:pt>
                <c:pt idx="6609" formatCode="0.00">
                  <c:v>0.60810427883253049</c:v>
                </c:pt>
                <c:pt idx="6610" formatCode="0.00">
                  <c:v>1.0784924907905924</c:v>
                </c:pt>
                <c:pt idx="6611" formatCode="0.00">
                  <c:v>1.0518560498724852</c:v>
                </c:pt>
                <c:pt idx="6612" formatCode="0.00">
                  <c:v>1.2431283649759137</c:v>
                </c:pt>
                <c:pt idx="6613" formatCode="0.00">
                  <c:v>0.55681496174553691</c:v>
                </c:pt>
                <c:pt idx="6614" formatCode="0.00">
                  <c:v>1.3754604703882121</c:v>
                </c:pt>
                <c:pt idx="6615" formatCode="0.00">
                  <c:v>1.0527061490507226</c:v>
                </c:pt>
                <c:pt idx="6616" formatCode="0.00">
                  <c:v>0.69368092944176829</c:v>
                </c:pt>
                <c:pt idx="6617" formatCode="0.00">
                  <c:v>0.36469254746387075</c:v>
                </c:pt>
                <c:pt idx="6618" formatCode="0.00">
                  <c:v>2.9470104845565316E-2</c:v>
                </c:pt>
                <c:pt idx="6619" formatCode="0.00">
                  <c:v>0.11362992349107395</c:v>
                </c:pt>
                <c:pt idx="6620" formatCode="0.00">
                  <c:v>0.14508359308586002</c:v>
                </c:pt>
                <c:pt idx="6621" formatCode="0.00">
                  <c:v>0.18645508642674979</c:v>
                </c:pt>
                <c:pt idx="6622" formatCode="0.00">
                  <c:v>0.20969113063190706</c:v>
                </c:pt>
                <c:pt idx="6623" formatCode="0.00">
                  <c:v>0.23746103712099748</c:v>
                </c:pt>
                <c:pt idx="6624" formatCode="0.00">
                  <c:v>0.14423349390762255</c:v>
                </c:pt>
                <c:pt idx="6625" formatCode="0.00">
                  <c:v>0.10314536695947861</c:v>
                </c:pt>
                <c:pt idx="6626" formatCode="0.00">
                  <c:v>0.30915273448569003</c:v>
                </c:pt>
                <c:pt idx="6627" formatCode="0.00">
                  <c:v>0.24709549447435536</c:v>
                </c:pt>
                <c:pt idx="6628" formatCode="0.00">
                  <c:v>0.17937092660810428</c:v>
                </c:pt>
                <c:pt idx="6629" formatCode="0.00">
                  <c:v>0.20600736752621138</c:v>
                </c:pt>
                <c:pt idx="6630" formatCode="0.00">
                  <c:v>0.12723151034287333</c:v>
                </c:pt>
                <c:pt idx="6631" formatCode="0.00">
                  <c:v>0.20232360442051572</c:v>
                </c:pt>
                <c:pt idx="6632" formatCode="0.00">
                  <c:v>0.19948994049305752</c:v>
                </c:pt>
                <c:pt idx="6633" formatCode="0.00">
                  <c:v>0.29980164352507793</c:v>
                </c:pt>
                <c:pt idx="6634" formatCode="0.00">
                  <c:v>0.1878719183904789</c:v>
                </c:pt>
                <c:pt idx="6635" formatCode="0.00">
                  <c:v>0.10796259563615755</c:v>
                </c:pt>
                <c:pt idx="6636" formatCode="0.00">
                  <c:v>8.5009917823746103E-2</c:v>
                </c:pt>
                <c:pt idx="6637" formatCode="0.00">
                  <c:v>7.7925758005100598E-2</c:v>
                </c:pt>
                <c:pt idx="6638" formatCode="0.00">
                  <c:v>0.19353924624539531</c:v>
                </c:pt>
                <c:pt idx="6639" formatCode="0.00">
                  <c:v>0.23859450269198074</c:v>
                </c:pt>
                <c:pt idx="6640" formatCode="0.00">
                  <c:v>0.12156418248795693</c:v>
                </c:pt>
                <c:pt idx="6641" formatCode="0.00">
                  <c:v>0.35052422782657977</c:v>
                </c:pt>
                <c:pt idx="6642" formatCode="0.00">
                  <c:v>0.46018702181921223</c:v>
                </c:pt>
                <c:pt idx="6643" formatCode="0.00">
                  <c:v>0.55454803060357039</c:v>
                </c:pt>
                <c:pt idx="6644" formatCode="0.00">
                  <c:v>0.35987531878719181</c:v>
                </c:pt>
                <c:pt idx="6645" formatCode="0.00">
                  <c:v>0.21677529045055258</c:v>
                </c:pt>
                <c:pt idx="6646" formatCode="0.00">
                  <c:v>0.1952394446018702</c:v>
                </c:pt>
                <c:pt idx="6647" formatCode="0.00">
                  <c:v>0.14565032587135165</c:v>
                </c:pt>
                <c:pt idx="6648" formatCode="0.00">
                  <c:v>8.3026353074525369E-2</c:v>
                </c:pt>
                <c:pt idx="6649" formatCode="0.00">
                  <c:v>0.11674695381127799</c:v>
                </c:pt>
                <c:pt idx="6650" formatCode="0.00">
                  <c:v>5.6673278549164069E-2</c:v>
                </c:pt>
                <c:pt idx="6651" formatCode="0.00">
                  <c:v>0.22470954944743554</c:v>
                </c:pt>
                <c:pt idx="6652" formatCode="0.00">
                  <c:v>0.41059790308869371</c:v>
                </c:pt>
                <c:pt idx="6653" formatCode="0.00">
                  <c:v>0.47293850949277422</c:v>
                </c:pt>
                <c:pt idx="6654" formatCode="0.00">
                  <c:v>0.36242561632190423</c:v>
                </c:pt>
                <c:pt idx="6655" formatCode="0.00">
                  <c:v>0.77557381694531036</c:v>
                </c:pt>
                <c:pt idx="6656" formatCode="0.00">
                  <c:v>0.57608387645225267</c:v>
                </c:pt>
                <c:pt idx="6657" formatCode="0.00">
                  <c:v>1.2408614338339472</c:v>
                </c:pt>
                <c:pt idx="6658" formatCode="0.00">
                  <c:v>0.73590252196089545</c:v>
                </c:pt>
                <c:pt idx="6659" formatCode="0.00">
                  <c:v>0.41484839897988102</c:v>
                </c:pt>
                <c:pt idx="6660" formatCode="0.00">
                  <c:v>0.33777274015301784</c:v>
                </c:pt>
                <c:pt idx="6661" formatCode="0.00">
                  <c:v>0.26211391328988382</c:v>
                </c:pt>
                <c:pt idx="6662" formatCode="0.00">
                  <c:v>0.1572683479739303</c:v>
                </c:pt>
                <c:pt idx="6663" formatCode="0.00">
                  <c:v>0.1459336922640975</c:v>
                </c:pt>
                <c:pt idx="6664" formatCode="0.00">
                  <c:v>5.6673278549164069E-2</c:v>
                </c:pt>
                <c:pt idx="6665" formatCode="0.00">
                  <c:v>6.8007934258996885E-2</c:v>
                </c:pt>
                <c:pt idx="6666" formatCode="0.00">
                  <c:v>5.3839614621705861E-2</c:v>
                </c:pt>
                <c:pt idx="6667" formatCode="0.00">
                  <c:v>4.817228676678946E-2</c:v>
                </c:pt>
                <c:pt idx="6668" formatCode="0.00">
                  <c:v>4.2504958911873052E-2</c:v>
                </c:pt>
                <c:pt idx="6669" formatCode="0.00">
                  <c:v>3.9671294984414844E-2</c:v>
                </c:pt>
                <c:pt idx="6670" formatCode="0.00">
                  <c:v>3.683763105695665E-2</c:v>
                </c:pt>
                <c:pt idx="6671" formatCode="0.00">
                  <c:v>3.683763105695665E-2</c:v>
                </c:pt>
                <c:pt idx="6672" formatCode="0.00">
                  <c:v>3.1170303202040242E-2</c:v>
                </c:pt>
                <c:pt idx="6673" formatCode="0.00">
                  <c:v>2.8336639274582034E-2</c:v>
                </c:pt>
                <c:pt idx="6674" formatCode="0.00">
                  <c:v>2.266931141966563E-2</c:v>
                </c:pt>
                <c:pt idx="6675" formatCode="0.00">
                  <c:v>2.5502975347123834E-2</c:v>
                </c:pt>
                <c:pt idx="6676" formatCode="0.00">
                  <c:v>2.9470104845565316E-2</c:v>
                </c:pt>
                <c:pt idx="6677" formatCode="0.00">
                  <c:v>2.7203173703598753E-2</c:v>
                </c:pt>
                <c:pt idx="6678" formatCode="0.00">
                  <c:v>2.8053272881836216E-2</c:v>
                </c:pt>
                <c:pt idx="6679" formatCode="0.00">
                  <c:v>3.683763105695665E-2</c:v>
                </c:pt>
                <c:pt idx="6680" formatCode="0.00">
                  <c:v>0.291867384528195</c:v>
                </c:pt>
                <c:pt idx="6681" formatCode="0.00">
                  <c:v>1.5103428733352224</c:v>
                </c:pt>
                <c:pt idx="6682" formatCode="0.00">
                  <c:v>1.252479455936526</c:v>
                </c:pt>
                <c:pt idx="6683" formatCode="0.00">
                  <c:v>1.4621705865684331</c:v>
                </c:pt>
                <c:pt idx="6684" formatCode="0.00">
                  <c:v>1.1306319070558231</c:v>
                </c:pt>
                <c:pt idx="6685" formatCode="0.00">
                  <c:v>0.73391895721167466</c:v>
                </c:pt>
                <c:pt idx="6686" formatCode="0.00">
                  <c:v>0.93510909606120718</c:v>
                </c:pt>
                <c:pt idx="6687" formatCode="0.00">
                  <c:v>1.1334655709832815</c:v>
                </c:pt>
                <c:pt idx="6688" formatCode="0.00">
                  <c:v>1.0399546613771609</c:v>
                </c:pt>
                <c:pt idx="6689" formatCode="0.00">
                  <c:v>1.1306319070558231</c:v>
                </c:pt>
                <c:pt idx="6690" formatCode="0.00">
                  <c:v>0.73108529328421656</c:v>
                </c:pt>
                <c:pt idx="6691" formatCode="0.00">
                  <c:v>0.62057240011334658</c:v>
                </c:pt>
                <c:pt idx="6692" formatCode="0.00">
                  <c:v>0.68858033437234345</c:v>
                </c:pt>
                <c:pt idx="6693" formatCode="0.00">
                  <c:v>0.60073675262113913</c:v>
                </c:pt>
                <c:pt idx="6694" formatCode="0.00">
                  <c:v>0.37687730235194111</c:v>
                </c:pt>
                <c:pt idx="6695" formatCode="0.00">
                  <c:v>0.18418815528478322</c:v>
                </c:pt>
                <c:pt idx="6696" formatCode="0.00">
                  <c:v>0.25219608954378014</c:v>
                </c:pt>
                <c:pt idx="6697" formatCode="0.00">
                  <c:v>0.17568716350240862</c:v>
                </c:pt>
                <c:pt idx="6698" formatCode="0.00">
                  <c:v>0.11958061773873618</c:v>
                </c:pt>
                <c:pt idx="6699" formatCode="0.00">
                  <c:v>7.679229243411731E-2</c:v>
                </c:pt>
                <c:pt idx="6700" formatCode="0.00">
                  <c:v>2.3236044205157267E-2</c:v>
                </c:pt>
                <c:pt idx="6701" formatCode="0.00">
                  <c:v>1.5301785208274301E-2</c:v>
                </c:pt>
                <c:pt idx="6702" formatCode="0.00">
                  <c:v>9.917823746103711E-3</c:v>
                </c:pt>
                <c:pt idx="6703" formatCode="0.00">
                  <c:v>9.9744970246528758E-2</c:v>
                </c:pt>
                <c:pt idx="6704" formatCode="0.00">
                  <c:v>9.8044771890053839E-2</c:v>
                </c:pt>
                <c:pt idx="6705" formatCode="0.00">
                  <c:v>9.1810711249645793E-2</c:v>
                </c:pt>
                <c:pt idx="6706" formatCode="0.00">
                  <c:v>8.6143383394729392E-2</c:v>
                </c:pt>
                <c:pt idx="6707" formatCode="0.00">
                  <c:v>9.549447435534146E-2</c:v>
                </c:pt>
                <c:pt idx="6708" formatCode="0.00">
                  <c:v>9.7761405497308024E-2</c:v>
                </c:pt>
                <c:pt idx="6709" formatCode="0.00">
                  <c:v>0.10002833663927457</c:v>
                </c:pt>
                <c:pt idx="6710" formatCode="0.00">
                  <c:v>0.10229526778124115</c:v>
                </c:pt>
                <c:pt idx="6711" formatCode="0.00">
                  <c:v>0.10314536695947861</c:v>
                </c:pt>
                <c:pt idx="6712" formatCode="0.00">
                  <c:v>0.10257863417398697</c:v>
                </c:pt>
                <c:pt idx="6713" formatCode="0.00">
                  <c:v>0.10314536695947861</c:v>
                </c:pt>
                <c:pt idx="6714" formatCode="0.00">
                  <c:v>0.10682913006517428</c:v>
                </c:pt>
                <c:pt idx="6715" formatCode="0.00">
                  <c:v>9.8894871068291312E-2</c:v>
                </c:pt>
                <c:pt idx="6716" formatCode="0.00">
                  <c:v>9.6911306319070564E-2</c:v>
                </c:pt>
                <c:pt idx="6717" formatCode="0.00">
                  <c:v>6.2340606404080484E-2</c:v>
                </c:pt>
                <c:pt idx="6718" formatCode="0.00">
                  <c:v>3.683763105695665E-2</c:v>
                </c:pt>
                <c:pt idx="6719" formatCode="0.00">
                  <c:v>3.9671294984414844E-2</c:v>
                </c:pt>
                <c:pt idx="6720" formatCode="0.00">
                  <c:v>6.8007934258996885E-2</c:v>
                </c:pt>
                <c:pt idx="6721" formatCode="0.00">
                  <c:v>0.10767922924341172</c:v>
                </c:pt>
                <c:pt idx="6722" formatCode="0.00">
                  <c:v>8.5009917823746103E-2</c:v>
                </c:pt>
                <c:pt idx="6723" formatCode="0.00">
                  <c:v>4.817228676678946E-2</c:v>
                </c:pt>
                <c:pt idx="6724" formatCode="0.00">
                  <c:v>3.683763105695665E-2</c:v>
                </c:pt>
                <c:pt idx="6725" formatCode="0.00">
                  <c:v>1.7568716350240862E-2</c:v>
                </c:pt>
                <c:pt idx="6726" formatCode="0.00">
                  <c:v>7.1408330971946724E-2</c:v>
                </c:pt>
                <c:pt idx="6727" formatCode="0.00">
                  <c:v>0.13856616605270614</c:v>
                </c:pt>
                <c:pt idx="6728" formatCode="0.00">
                  <c:v>0.46472088410314533</c:v>
                </c:pt>
                <c:pt idx="6729" formatCode="0.00">
                  <c:v>0.87843581751204314</c:v>
                </c:pt>
                <c:pt idx="6730" formatCode="0.00">
                  <c:v>0.87843581751204314</c:v>
                </c:pt>
                <c:pt idx="6731" formatCode="0.00">
                  <c:v>0.82176253896287899</c:v>
                </c:pt>
                <c:pt idx="6732" formatCode="0.00">
                  <c:v>0.77359025219608957</c:v>
                </c:pt>
                <c:pt idx="6733" formatCode="0.00">
                  <c:v>0.70274865400963449</c:v>
                </c:pt>
                <c:pt idx="6734" formatCode="0.00">
                  <c:v>0.70274865400963449</c:v>
                </c:pt>
                <c:pt idx="6735" formatCode="0.00">
                  <c:v>0.72825162935675825</c:v>
                </c:pt>
                <c:pt idx="6736" formatCode="0.00">
                  <c:v>0.51572683479739301</c:v>
                </c:pt>
                <c:pt idx="6737" formatCode="0.00">
                  <c:v>0.7084159818645509</c:v>
                </c:pt>
                <c:pt idx="6738" formatCode="0.00">
                  <c:v>1.0484556531595353</c:v>
                </c:pt>
                <c:pt idx="6739" formatCode="0.00">
                  <c:v>0.39671294984414851</c:v>
                </c:pt>
                <c:pt idx="6740" formatCode="0.00">
                  <c:v>0.28336639274582037</c:v>
                </c:pt>
                <c:pt idx="6741" formatCode="0.00">
                  <c:v>0.43071691697364689</c:v>
                </c:pt>
                <c:pt idx="6742" formatCode="0.00">
                  <c:v>0.34570699914990083</c:v>
                </c:pt>
                <c:pt idx="6743" formatCode="0.00">
                  <c:v>0.23802776990648911</c:v>
                </c:pt>
                <c:pt idx="6744" formatCode="0.00">
                  <c:v>0.20685746670444885</c:v>
                </c:pt>
                <c:pt idx="6745" formatCode="0.00">
                  <c:v>0.13318220459053556</c:v>
                </c:pt>
                <c:pt idx="6746" formatCode="0.00">
                  <c:v>0.12609804477189007</c:v>
                </c:pt>
                <c:pt idx="6747" formatCode="0.00">
                  <c:v>0.10342873335222443</c:v>
                </c:pt>
                <c:pt idx="6748" formatCode="0.00">
                  <c:v>0.10909606120714084</c:v>
                </c:pt>
                <c:pt idx="6749" formatCode="0.00">
                  <c:v>2.266931141966563E-2</c:v>
                </c:pt>
                <c:pt idx="6750" formatCode="0.00">
                  <c:v>2.7769906489090394E-2</c:v>
                </c:pt>
                <c:pt idx="6751" formatCode="0.00">
                  <c:v>3.683763105695665E-2</c:v>
                </c:pt>
                <c:pt idx="6752" formatCode="0.00">
                  <c:v>5.6673278549164069E-2</c:v>
                </c:pt>
                <c:pt idx="6753" formatCode="0.00">
                  <c:v>5.6673278549164069E-2</c:v>
                </c:pt>
                <c:pt idx="6754" formatCode="0.00">
                  <c:v>4.2504958911873052E-2</c:v>
                </c:pt>
                <c:pt idx="6755" formatCode="0.00">
                  <c:v>3.9671294984414844E-2</c:v>
                </c:pt>
                <c:pt idx="6756" formatCode="0.00">
                  <c:v>2.8336639274582034E-2</c:v>
                </c:pt>
                <c:pt idx="6757" formatCode="0.00">
                  <c:v>1.9835647492207422E-2</c:v>
                </c:pt>
                <c:pt idx="6758" formatCode="0.00">
                  <c:v>1.6435250779257581E-2</c:v>
                </c:pt>
                <c:pt idx="6759" formatCode="0.00">
                  <c:v>0.23236044205157266</c:v>
                </c:pt>
                <c:pt idx="6760" formatCode="0.00">
                  <c:v>0.19268914706715784</c:v>
                </c:pt>
                <c:pt idx="6761" formatCode="0.00">
                  <c:v>0.15301785208274299</c:v>
                </c:pt>
                <c:pt idx="6762" formatCode="0.00">
                  <c:v>0.11334655709832814</c:v>
                </c:pt>
                <c:pt idx="6763" formatCode="0.00">
                  <c:v>8.5009917823746103E-2</c:v>
                </c:pt>
                <c:pt idx="6764" formatCode="0.00">
                  <c:v>7.6508926041371494E-2</c:v>
                </c:pt>
                <c:pt idx="6765" formatCode="0.00">
                  <c:v>6.2340606404080484E-2</c:v>
                </c:pt>
                <c:pt idx="6766" formatCode="0.00">
                  <c:v>4.817228676678946E-2</c:v>
                </c:pt>
                <c:pt idx="6767" formatCode="0.00">
                  <c:v>4.5338622839331259E-2</c:v>
                </c:pt>
                <c:pt idx="6768" formatCode="0.00">
                  <c:v>3.9671294984414844E-2</c:v>
                </c:pt>
                <c:pt idx="6769" formatCode="0.00">
                  <c:v>3.683763105695665E-2</c:v>
                </c:pt>
                <c:pt idx="6770" formatCode="0.00">
                  <c:v>3.1170303202040242E-2</c:v>
                </c:pt>
                <c:pt idx="6771" formatCode="0.00">
                  <c:v>2.8336639274582034E-2</c:v>
                </c:pt>
                <c:pt idx="6772" formatCode="0.00">
                  <c:v>5.1005950694247668E-2</c:v>
                </c:pt>
                <c:pt idx="6773" formatCode="0.00">
                  <c:v>0.12751487673561915</c:v>
                </c:pt>
                <c:pt idx="6774" formatCode="0.00">
                  <c:v>0.10201190138849534</c:v>
                </c:pt>
                <c:pt idx="6775" formatCode="0.00">
                  <c:v>0.12184754888070275</c:v>
                </c:pt>
                <c:pt idx="6776" formatCode="0.00">
                  <c:v>0.14168319637291019</c:v>
                </c:pt>
                <c:pt idx="6777" formatCode="0.00">
                  <c:v>0.11334655709832814</c:v>
                </c:pt>
                <c:pt idx="6778" formatCode="0.00">
                  <c:v>9.9178237461037128E-2</c:v>
                </c:pt>
                <c:pt idx="6779" formatCode="0.00">
                  <c:v>6.5174270331538678E-2</c:v>
                </c:pt>
                <c:pt idx="6780" formatCode="0.00">
                  <c:v>0.67526211391328983</c:v>
                </c:pt>
                <c:pt idx="6781" formatCode="0.00">
                  <c:v>1.0529895154434683</c:v>
                </c:pt>
                <c:pt idx="6782" formatCode="0.00">
                  <c:v>2.0954944743553416</c:v>
                </c:pt>
                <c:pt idx="6783" formatCode="0.00">
                  <c:v>0.80136015868517996</c:v>
                </c:pt>
                <c:pt idx="6784" formatCode="0.00">
                  <c:v>0.65599319920657406</c:v>
                </c:pt>
                <c:pt idx="6785" formatCode="0.00">
                  <c:v>0.64890903938792854</c:v>
                </c:pt>
                <c:pt idx="6786" formatCode="0.00">
                  <c:v>0.61660527061490511</c:v>
                </c:pt>
                <c:pt idx="6787" formatCode="0.00">
                  <c:v>0.29583451402663641</c:v>
                </c:pt>
                <c:pt idx="6788" formatCode="0.00">
                  <c:v>0.26778124114480023</c:v>
                </c:pt>
                <c:pt idx="6789" formatCode="0.00">
                  <c:v>0.48058940209691137</c:v>
                </c:pt>
                <c:pt idx="6790" formatCode="0.00">
                  <c:v>0.71436667611221316</c:v>
                </c:pt>
                <c:pt idx="6791" formatCode="0.00">
                  <c:v>0.49079059223576088</c:v>
                </c:pt>
                <c:pt idx="6792" formatCode="0.00">
                  <c:v>0.37064324171153301</c:v>
                </c:pt>
                <c:pt idx="6793" formatCode="0.00">
                  <c:v>0.30348540663077361</c:v>
                </c:pt>
                <c:pt idx="6794" formatCode="0.00">
                  <c:v>0.28478322470954948</c:v>
                </c:pt>
                <c:pt idx="6795" formatCode="0.00">
                  <c:v>0.20884103145366961</c:v>
                </c:pt>
                <c:pt idx="6796" formatCode="0.00">
                  <c:v>1.2782657976763956</c:v>
                </c:pt>
                <c:pt idx="6797" formatCode="0.00">
                  <c:v>1.3896287900255029</c:v>
                </c:pt>
                <c:pt idx="6798" formatCode="0.00">
                  <c:v>1.6732785491640692</c:v>
                </c:pt>
                <c:pt idx="6799" formatCode="0.00">
                  <c:v>1.1314820062340607</c:v>
                </c:pt>
                <c:pt idx="6800" formatCode="0.00">
                  <c:v>0.96571266647775567</c:v>
                </c:pt>
                <c:pt idx="6801" formatCode="0.00">
                  <c:v>0.68489657126664782</c:v>
                </c:pt>
                <c:pt idx="6802" formatCode="0.00">
                  <c:v>0.53641258146783788</c:v>
                </c:pt>
                <c:pt idx="6803" formatCode="0.00">
                  <c:v>0.50325871351657703</c:v>
                </c:pt>
                <c:pt idx="6804" formatCode="0.00">
                  <c:v>0.34400680079342594</c:v>
                </c:pt>
                <c:pt idx="6805" formatCode="0.00">
                  <c:v>0.23377727401530179</c:v>
                </c:pt>
                <c:pt idx="6806" formatCode="0.00">
                  <c:v>0.20912439784641543</c:v>
                </c:pt>
                <c:pt idx="6807" formatCode="0.00">
                  <c:v>0.28194956078209121</c:v>
                </c:pt>
                <c:pt idx="6808" formatCode="0.00">
                  <c:v>0.23774440351374329</c:v>
                </c:pt>
                <c:pt idx="6809" formatCode="0.00">
                  <c:v>0.26438084443185039</c:v>
                </c:pt>
                <c:pt idx="6810" formatCode="0.00">
                  <c:v>1.320487390195523</c:v>
                </c:pt>
                <c:pt idx="6811" formatCode="0.00">
                  <c:v>0.19608954378010768</c:v>
                </c:pt>
                <c:pt idx="6812" formatCode="0.00">
                  <c:v>0.15755171436667612</c:v>
                </c:pt>
                <c:pt idx="6813" formatCode="0.00">
                  <c:v>0.18107112496457919</c:v>
                </c:pt>
                <c:pt idx="6814" formatCode="0.00">
                  <c:v>0.2045905355624823</c:v>
                </c:pt>
                <c:pt idx="6815" formatCode="0.00">
                  <c:v>0.14168319637291019</c:v>
                </c:pt>
                <c:pt idx="6816" formatCode="0.00">
                  <c:v>0.18588835364125814</c:v>
                </c:pt>
                <c:pt idx="6817" formatCode="0.00">
                  <c:v>7.4808727684896575E-2</c:v>
                </c:pt>
                <c:pt idx="6818" formatCode="0.00">
                  <c:v>0.53952961178804193</c:v>
                </c:pt>
                <c:pt idx="6819" formatCode="0.00">
                  <c:v>0.37489373760272032</c:v>
                </c:pt>
                <c:pt idx="6820" formatCode="0.00">
                  <c:v>0.23462737319353924</c:v>
                </c:pt>
                <c:pt idx="6821" formatCode="0.00">
                  <c:v>0.19353924624539531</c:v>
                </c:pt>
                <c:pt idx="6822" formatCode="0.00">
                  <c:v>0.48342306602436946</c:v>
                </c:pt>
                <c:pt idx="6823" formatCode="0.00">
                  <c:v>2.5383961462170586</c:v>
                </c:pt>
                <c:pt idx="6824" formatCode="0.00">
                  <c:v>0.57013318220459053</c:v>
                </c:pt>
                <c:pt idx="6825" formatCode="0.00">
                  <c:v>0.40578067441201476</c:v>
                </c:pt>
                <c:pt idx="6826" formatCode="0.00">
                  <c:v>0.24284499858316805</c:v>
                </c:pt>
                <c:pt idx="6827" formatCode="0.00">
                  <c:v>0.17908756021535846</c:v>
                </c:pt>
                <c:pt idx="6828" formatCode="0.00">
                  <c:v>0.16350240861433832</c:v>
                </c:pt>
                <c:pt idx="6829" formatCode="0.00">
                  <c:v>0.14650042504958913</c:v>
                </c:pt>
                <c:pt idx="6830" formatCode="0.00">
                  <c:v>0.11731368659676962</c:v>
                </c:pt>
                <c:pt idx="6831" formatCode="0.00">
                  <c:v>0.2578634173986965</c:v>
                </c:pt>
                <c:pt idx="6832" formatCode="0.00">
                  <c:v>0.15018418815528478</c:v>
                </c:pt>
                <c:pt idx="6833" formatCode="0.00">
                  <c:v>0.17993765939359591</c:v>
                </c:pt>
                <c:pt idx="6834" formatCode="0.00">
                  <c:v>0.15953527911589685</c:v>
                </c:pt>
                <c:pt idx="6835" formatCode="0.00">
                  <c:v>0.11929725134599037</c:v>
                </c:pt>
                <c:pt idx="6836" formatCode="0.00">
                  <c:v>0.21790875602153587</c:v>
                </c:pt>
                <c:pt idx="6837" formatCode="0.00">
                  <c:v>0.20034003967129499</c:v>
                </c:pt>
                <c:pt idx="6838" formatCode="0.00">
                  <c:v>0.36270898271465007</c:v>
                </c:pt>
                <c:pt idx="6839" formatCode="0.00">
                  <c:v>0.76792292434117315</c:v>
                </c:pt>
                <c:pt idx="6840" formatCode="0.00">
                  <c:v>0.20912439784641543</c:v>
                </c:pt>
                <c:pt idx="6841" formatCode="0.00">
                  <c:v>0.39671294984414851</c:v>
                </c:pt>
                <c:pt idx="6842" formatCode="0.00">
                  <c:v>0.27543213374893738</c:v>
                </c:pt>
                <c:pt idx="6843" formatCode="0.00">
                  <c:v>0.23887786908472655</c:v>
                </c:pt>
                <c:pt idx="6844" formatCode="0.00">
                  <c:v>0.25106262397279683</c:v>
                </c:pt>
                <c:pt idx="6845" formatCode="0.00">
                  <c:v>0.2550297534712383</c:v>
                </c:pt>
                <c:pt idx="6846" formatCode="0.00">
                  <c:v>0.22102578634173986</c:v>
                </c:pt>
                <c:pt idx="6847" formatCode="0.00">
                  <c:v>0.22669311419665628</c:v>
                </c:pt>
                <c:pt idx="6848" formatCode="0.00">
                  <c:v>0.21819212241428168</c:v>
                </c:pt>
                <c:pt idx="6849" formatCode="0.00">
                  <c:v>0.23519410597903093</c:v>
                </c:pt>
                <c:pt idx="6850" formatCode="0.00">
                  <c:v>0.29810144516860299</c:v>
                </c:pt>
                <c:pt idx="6851" formatCode="0.00">
                  <c:v>0.37602720317370358</c:v>
                </c:pt>
                <c:pt idx="6852" formatCode="0.00">
                  <c:v>0.88778690847265507</c:v>
                </c:pt>
                <c:pt idx="6853" formatCode="0.00">
                  <c:v>0.96486256729951825</c:v>
                </c:pt>
                <c:pt idx="6854" formatCode="0.00">
                  <c:v>0.50014168319637287</c:v>
                </c:pt>
                <c:pt idx="6855" formatCode="0.00">
                  <c:v>0.46472088410314533</c:v>
                </c:pt>
                <c:pt idx="6856" formatCode="0.00">
                  <c:v>0.34627373193539251</c:v>
                </c:pt>
                <c:pt idx="6857" formatCode="0.00">
                  <c:v>0.27458203457069991</c:v>
                </c:pt>
                <c:pt idx="6858" formatCode="0.00">
                  <c:v>0.1765372626806461</c:v>
                </c:pt>
                <c:pt idx="6859" formatCode="0.00">
                  <c:v>0.14536695947860584</c:v>
                </c:pt>
                <c:pt idx="6860" formatCode="0.00">
                  <c:v>8.2176253896287896E-2</c:v>
                </c:pt>
                <c:pt idx="6861" formatCode="0.00">
                  <c:v>7.1408330971946724E-2</c:v>
                </c:pt>
                <c:pt idx="6862" formatCode="0.00">
                  <c:v>0.43015018418815526</c:v>
                </c:pt>
                <c:pt idx="6863" formatCode="0.00">
                  <c:v>0.8517993765939359</c:v>
                </c:pt>
                <c:pt idx="6864" formatCode="0.00">
                  <c:v>0.68461320487390198</c:v>
                </c:pt>
                <c:pt idx="6865" formatCode="0.00">
                  <c:v>0.50920940776423917</c:v>
                </c:pt>
                <c:pt idx="6866" formatCode="0.00">
                  <c:v>0.39472938509492772</c:v>
                </c:pt>
                <c:pt idx="6867" formatCode="0.00">
                  <c:v>0.33267214508359311</c:v>
                </c:pt>
                <c:pt idx="6868" formatCode="0.00">
                  <c:v>0.26381411164635876</c:v>
                </c:pt>
                <c:pt idx="6869" formatCode="0.00">
                  <c:v>0.11986398413148203</c:v>
                </c:pt>
                <c:pt idx="6870" formatCode="0.00">
                  <c:v>0.10796259563615755</c:v>
                </c:pt>
                <c:pt idx="6871" formatCode="0.00">
                  <c:v>0.33267214508359311</c:v>
                </c:pt>
                <c:pt idx="6872" formatCode="0.00">
                  <c:v>0.21875885519977331</c:v>
                </c:pt>
                <c:pt idx="6873" formatCode="0.00">
                  <c:v>0.17993765939359591</c:v>
                </c:pt>
                <c:pt idx="6874" formatCode="0.00">
                  <c:v>0.22074241994899405</c:v>
                </c:pt>
                <c:pt idx="6875" formatCode="0.00">
                  <c:v>0.12553131198639841</c:v>
                </c:pt>
                <c:pt idx="6876" formatCode="0.00">
                  <c:v>0.11476338906205724</c:v>
                </c:pt>
                <c:pt idx="6877" formatCode="0.00">
                  <c:v>0.17001983564749221</c:v>
                </c:pt>
                <c:pt idx="6878" formatCode="0.00">
                  <c:v>0.13318220459053556</c:v>
                </c:pt>
                <c:pt idx="6879" formatCode="0.00">
                  <c:v>0.10767922924341172</c:v>
                </c:pt>
                <c:pt idx="6880" formatCode="0.00">
                  <c:v>7.0841598186455093E-2</c:v>
                </c:pt>
                <c:pt idx="6881" formatCode="0.00">
                  <c:v>5.3839614621705861E-2</c:v>
                </c:pt>
                <c:pt idx="6882" formatCode="0.00">
                  <c:v>4.817228676678946E-2</c:v>
                </c:pt>
                <c:pt idx="6883" formatCode="0.00">
                  <c:v>4.2504958911873052E-2</c:v>
                </c:pt>
                <c:pt idx="6884" formatCode="0.00">
                  <c:v>3.5420799093227547E-2</c:v>
                </c:pt>
                <c:pt idx="6885" formatCode="0.00">
                  <c:v>3.4003967129498443E-2</c:v>
                </c:pt>
                <c:pt idx="6886" formatCode="0.00">
                  <c:v>2.7486540096344575E-2</c:v>
                </c:pt>
                <c:pt idx="6887" formatCode="0.00">
                  <c:v>0.4077642391612355</c:v>
                </c:pt>
                <c:pt idx="6888" formatCode="0.00">
                  <c:v>0.49985831680362713</c:v>
                </c:pt>
                <c:pt idx="6889" formatCode="0.00">
                  <c:v>0.40946443751771039</c:v>
                </c:pt>
                <c:pt idx="6890" formatCode="0.00">
                  <c:v>0.29130065174270331</c:v>
                </c:pt>
                <c:pt idx="6891" formatCode="0.00">
                  <c:v>0.11022952677812412</c:v>
                </c:pt>
                <c:pt idx="6892" formatCode="0.00">
                  <c:v>0.35477472371776708</c:v>
                </c:pt>
                <c:pt idx="6893" formatCode="0.00">
                  <c:v>0.38566166052706147</c:v>
                </c:pt>
                <c:pt idx="6894" formatCode="0.00">
                  <c:v>0.46018702181921223</c:v>
                </c:pt>
                <c:pt idx="6895" formatCode="0.00">
                  <c:v>0.42731652026069711</c:v>
                </c:pt>
                <c:pt idx="6896" formatCode="0.00">
                  <c:v>0.25871351657693398</c:v>
                </c:pt>
                <c:pt idx="6897" formatCode="0.00">
                  <c:v>2.3652592802493624</c:v>
                </c:pt>
                <c:pt idx="6898" formatCode="0.00">
                  <c:v>1.9433267214508358</c:v>
                </c:pt>
                <c:pt idx="6899" formatCode="0.00">
                  <c:v>1.3904788892037405</c:v>
                </c:pt>
                <c:pt idx="6900" formatCode="0.00">
                  <c:v>1.5111929725134599</c:v>
                </c:pt>
                <c:pt idx="6901" formatCode="0.00">
                  <c:v>2.2272598469821476</c:v>
                </c:pt>
                <c:pt idx="6902" formatCode="0.00">
                  <c:v>5.8588835364125815</c:v>
                </c:pt>
                <c:pt idx="6903" formatCode="0.00">
                  <c:v>2.0300368376310569</c:v>
                </c:pt>
                <c:pt idx="6904" formatCode="0.00">
                  <c:v>1.0960612071408331</c:v>
                </c:pt>
                <c:pt idx="6905" formatCode="0.00">
                  <c:v>0.74752054406347401</c:v>
                </c:pt>
                <c:pt idx="6906" formatCode="0.00">
                  <c:v>0.76650609237744405</c:v>
                </c:pt>
                <c:pt idx="6907" formatCode="0.00">
                  <c:v>0.44148483989798809</c:v>
                </c:pt>
                <c:pt idx="6908" formatCode="0.00">
                  <c:v>0.33493907622555968</c:v>
                </c:pt>
                <c:pt idx="6909" formatCode="0.00">
                  <c:v>1.9722300935109096E-2</c:v>
                </c:pt>
                <c:pt idx="6910" formatCode="0.00">
                  <c:v>4.3638424482856333E-2</c:v>
                </c:pt>
                <c:pt idx="6911" formatCode="0.00">
                  <c:v>4.0804760555398133E-2</c:v>
                </c:pt>
                <c:pt idx="6912" formatCode="0.00">
                  <c:v>3.1170303202040242E-2</c:v>
                </c:pt>
                <c:pt idx="6913" formatCode="0.00">
                  <c:v>0.6902805327288184</c:v>
                </c:pt>
                <c:pt idx="6914" formatCode="0.00">
                  <c:v>0.19750637574383678</c:v>
                </c:pt>
                <c:pt idx="6915" formatCode="0.00">
                  <c:v>0.10172853499574951</c:v>
                </c:pt>
                <c:pt idx="6916" formatCode="0.00">
                  <c:v>9.8044771890053839E-2</c:v>
                </c:pt>
                <c:pt idx="6917" formatCode="0.00">
                  <c:v>3.6837631056956646</c:v>
                </c:pt>
                <c:pt idx="6918" formatCode="0.00">
                  <c:v>5.0155851516010204</c:v>
                </c:pt>
                <c:pt idx="6919" formatCode="0.00">
                  <c:v>7.7642391612354773</c:v>
                </c:pt>
                <c:pt idx="6920" formatCode="0.00">
                  <c:v>6.7724567866251064</c:v>
                </c:pt>
                <c:pt idx="6921" formatCode="0.00">
                  <c:v>4.533862283933126</c:v>
                </c:pt>
                <c:pt idx="6922" formatCode="0.00">
                  <c:v>7.8492490790592235</c:v>
                </c:pt>
                <c:pt idx="6923" formatCode="0.00">
                  <c:v>8.2176253896287896</c:v>
                </c:pt>
                <c:pt idx="6924" formatCode="0.00">
                  <c:v>8.2176253896287896</c:v>
                </c:pt>
                <c:pt idx="6925" formatCode="0.00">
                  <c:v>9.5211107962595634</c:v>
                </c:pt>
                <c:pt idx="6926" formatCode="0.00">
                  <c:v>6.2623972796826299</c:v>
                </c:pt>
                <c:pt idx="6927" formatCode="0.00">
                  <c:v>3.7971096627939929</c:v>
                </c:pt>
                <c:pt idx="6928" formatCode="0.00">
                  <c:v>4.4488523661093797</c:v>
                </c:pt>
                <c:pt idx="6929" formatCode="0.00">
                  <c:v>3.315386795126098</c:v>
                </c:pt>
                <c:pt idx="6930" formatCode="0.00">
                  <c:v>2.6636440918107112</c:v>
                </c:pt>
                <c:pt idx="6931" formatCode="0.00">
                  <c:v>2.5786341739869654</c:v>
                </c:pt>
                <c:pt idx="6932" formatCode="0.00">
                  <c:v>0.17568716350240862</c:v>
                </c:pt>
                <c:pt idx="6933" formatCode="0.00">
                  <c:v>0.11958061773873618</c:v>
                </c:pt>
                <c:pt idx="6934" formatCode="0.00">
                  <c:v>7.679229243411731E-2</c:v>
                </c:pt>
                <c:pt idx="6935" formatCode="0.00">
                  <c:v>2.3236044205157267E-2</c:v>
                </c:pt>
                <c:pt idx="6936" formatCode="0.00">
                  <c:v>1.5301785208274301E-2</c:v>
                </c:pt>
                <c:pt idx="6937" formatCode="0.00">
                  <c:v>9.917823746103711E-3</c:v>
                </c:pt>
                <c:pt idx="6938" formatCode="0.00">
                  <c:v>3.0631783948837521</c:v>
                </c:pt>
                <c:pt idx="6939" formatCode="0.00">
                  <c:v>1.7990932275432134</c:v>
                </c:pt>
                <c:pt idx="6940" formatCode="0.00">
                  <c:v>4.4905072258430154</c:v>
                </c:pt>
                <c:pt idx="6941" formatCode="0.00">
                  <c:v>1.6418248795692831</c:v>
                </c:pt>
                <c:pt idx="6942" formatCode="0.00">
                  <c:v>1.5607820912439785</c:v>
                </c:pt>
                <c:pt idx="6943" formatCode="0.00">
                  <c:v>1.3238877869084726</c:v>
                </c:pt>
                <c:pt idx="6944" formatCode="0.00">
                  <c:v>0.86936809294417683</c:v>
                </c:pt>
                <c:pt idx="6945" formatCode="0.00">
                  <c:v>4.8690847265514314</c:v>
                </c:pt>
                <c:pt idx="6946" formatCode="0.00">
                  <c:v>0.81637857750070841</c:v>
                </c:pt>
                <c:pt idx="6947" formatCode="0.00">
                  <c:v>0.66421082459620295</c:v>
                </c:pt>
                <c:pt idx="6948" formatCode="0.00">
                  <c:v>0.55341456503258724</c:v>
                </c:pt>
                <c:pt idx="6949" formatCode="0.00">
                  <c:v>0.27854916406914143</c:v>
                </c:pt>
                <c:pt idx="6950" formatCode="0.00">
                  <c:v>1.9113063190705584</c:v>
                </c:pt>
                <c:pt idx="6951" formatCode="0.00">
                  <c:v>1.0243695097761405</c:v>
                </c:pt>
                <c:pt idx="6952" formatCode="0.00">
                  <c:v>0.46188722017568717</c:v>
                </c:pt>
                <c:pt idx="6953" formatCode="0.00">
                  <c:v>0.31198639841314818</c:v>
                </c:pt>
                <c:pt idx="6954" formatCode="0.00">
                  <c:v>0.17937092660810428</c:v>
                </c:pt>
                <c:pt idx="6955" formatCode="0.00">
                  <c:v>0.14451686030036837</c:v>
                </c:pt>
                <c:pt idx="6956" formatCode="0.00">
                  <c:v>9.3794275998866541E-2</c:v>
                </c:pt>
                <c:pt idx="6957" formatCode="0.00">
                  <c:v>6.6024369509776137E-2</c:v>
                </c:pt>
                <c:pt idx="6958" formatCode="0.00">
                  <c:v>5.1005950694247668E-2</c:v>
                </c:pt>
                <c:pt idx="6959" formatCode="0.00">
                  <c:v>5.7523377727401528E-2</c:v>
                </c:pt>
                <c:pt idx="6960" formatCode="0.00">
                  <c:v>2.8903372060073678</c:v>
                </c:pt>
                <c:pt idx="6961" formatCode="0.00">
                  <c:v>1.8362142249929159</c:v>
                </c:pt>
                <c:pt idx="6962" formatCode="0.00">
                  <c:v>1.2128081609521111</c:v>
                </c:pt>
                <c:pt idx="6963" formatCode="0.00">
                  <c:v>0.63190705582317941</c:v>
                </c:pt>
                <c:pt idx="6964" formatCode="0.00">
                  <c:v>0.22669311419665628</c:v>
                </c:pt>
                <c:pt idx="6965" formatCode="0.00">
                  <c:v>0.13601586851799377</c:v>
                </c:pt>
                <c:pt idx="6966" formatCode="0.00">
                  <c:v>9.634457353357892E-2</c:v>
                </c:pt>
                <c:pt idx="6967" formatCode="0.00">
                  <c:v>6.5174270331538678E-2</c:v>
                </c:pt>
                <c:pt idx="6968" formatCode="0.00">
                  <c:v>0.44970246528761687</c:v>
                </c:pt>
                <c:pt idx="6969" formatCode="0.00">
                  <c:v>0.25361292150750919</c:v>
                </c:pt>
                <c:pt idx="6970" formatCode="0.00">
                  <c:v>8.4443185038254459E-2</c:v>
                </c:pt>
                <c:pt idx="6971" formatCode="0.00">
                  <c:v>5.9790308869368092E-2</c:v>
                </c:pt>
                <c:pt idx="6972" formatCode="0.00">
                  <c:v>1.5585151601020121E-2</c:v>
                </c:pt>
                <c:pt idx="6973" formatCode="0.00">
                  <c:v>2.408614338339473E-2</c:v>
                </c:pt>
                <c:pt idx="6974" formatCode="0.00">
                  <c:v>0.36837631056956643</c:v>
                </c:pt>
                <c:pt idx="6975" formatCode="0.00">
                  <c:v>0.44318503825446304</c:v>
                </c:pt>
                <c:pt idx="6976" formatCode="0.00">
                  <c:v>7.0841598186455093E-2</c:v>
                </c:pt>
                <c:pt idx="6977" formatCode="0.00">
                  <c:v>1.1334655709832815E-2</c:v>
                </c:pt>
                <c:pt idx="6978" formatCode="0.00">
                  <c:v>7.9342589968829699E-3</c:v>
                </c:pt>
                <c:pt idx="6979" formatCode="0.00">
                  <c:v>1.1192972513459905</c:v>
                </c:pt>
                <c:pt idx="6980" formatCode="0.00">
                  <c:v>0.73958628506659119</c:v>
                </c:pt>
                <c:pt idx="6981" formatCode="0.00">
                  <c:v>0.2686313403230377</c:v>
                </c:pt>
                <c:pt idx="6982" formatCode="0.00">
                  <c:v>0.13459903655426467</c:v>
                </c:pt>
                <c:pt idx="6983" formatCode="0.00">
                  <c:v>8.9827146500425045E-2</c:v>
                </c:pt>
                <c:pt idx="6984" formatCode="0.00">
                  <c:v>6.6307735902521953E-2</c:v>
                </c:pt>
                <c:pt idx="6985" formatCode="0.00">
                  <c:v>1.2751487673561916</c:v>
                </c:pt>
                <c:pt idx="6986" formatCode="0.00">
                  <c:v>1.1635024086143384</c:v>
                </c:pt>
                <c:pt idx="6987" formatCode="0.00">
                  <c:v>0.64890903938792854</c:v>
                </c:pt>
                <c:pt idx="6988" formatCode="0.00">
                  <c:v>0.15868517993765938</c:v>
                </c:pt>
                <c:pt idx="6989" formatCode="0.00">
                  <c:v>5.1005950694247668E-2</c:v>
                </c:pt>
                <c:pt idx="6990" formatCode="0.00">
                  <c:v>2.4369509776140549E-2</c:v>
                </c:pt>
                <c:pt idx="6991" formatCode="0.00">
                  <c:v>0.47407197506375748</c:v>
                </c:pt>
                <c:pt idx="6992" formatCode="0.00">
                  <c:v>0.22414281666194391</c:v>
                </c:pt>
                <c:pt idx="6993" formatCode="0.00">
                  <c:v>8.5009917823746103E-2</c:v>
                </c:pt>
                <c:pt idx="6994" formatCode="0.00">
                  <c:v>6.6024369509776137E-2</c:v>
                </c:pt>
                <c:pt idx="6995" formatCode="0.00">
                  <c:v>3.3437234344006798E-2</c:v>
                </c:pt>
                <c:pt idx="6996" formatCode="0.00">
                  <c:v>1.728534995749504E-2</c:v>
                </c:pt>
                <c:pt idx="6997" formatCode="0.00">
                  <c:v>1.501841881552848E-2</c:v>
                </c:pt>
                <c:pt idx="6998" formatCode="0.00">
                  <c:v>9.917823746103711E-3</c:v>
                </c:pt>
                <c:pt idx="6999" formatCode="0.00">
                  <c:v>0.44856899971663361</c:v>
                </c:pt>
                <c:pt idx="7000" formatCode="0.00">
                  <c:v>0.27004817228676675</c:v>
                </c:pt>
                <c:pt idx="7001" formatCode="0.00">
                  <c:v>0.62425616321904231</c:v>
                </c:pt>
                <c:pt idx="7002" formatCode="0.00">
                  <c:v>0.38169453102862005</c:v>
                </c:pt>
                <c:pt idx="7003" formatCode="0.00">
                  <c:v>0.16038537829413432</c:v>
                </c:pt>
                <c:pt idx="7004" formatCode="0.00">
                  <c:v>9.6627939926324749E-2</c:v>
                </c:pt>
                <c:pt idx="7005" formatCode="0.00">
                  <c:v>5.0722584301501845E-2</c:v>
                </c:pt>
                <c:pt idx="7006" formatCode="0.00">
                  <c:v>2.7769906489090394E-2</c:v>
                </c:pt>
                <c:pt idx="7007" formatCode="0.00">
                  <c:v>1.8985548313969966E-2</c:v>
                </c:pt>
                <c:pt idx="7008" formatCode="0.00">
                  <c:v>1.3318220459053556E-2</c:v>
                </c:pt>
                <c:pt idx="7009" formatCode="0.00">
                  <c:v>0.6715783508075942</c:v>
                </c:pt>
                <c:pt idx="7010" formatCode="0.00">
                  <c:v>0.40266364409181077</c:v>
                </c:pt>
                <c:pt idx="7011" formatCode="0.00">
                  <c:v>3.683763105695665E-2</c:v>
                </c:pt>
                <c:pt idx="7012" formatCode="0.00">
                  <c:v>1.9835647492207422E-2</c:v>
                </c:pt>
                <c:pt idx="7013" formatCode="0.00">
                  <c:v>0.34684046472088415</c:v>
                </c:pt>
                <c:pt idx="7014" formatCode="0.00">
                  <c:v>0.20940776423916124</c:v>
                </c:pt>
                <c:pt idx="7015" formatCode="0.00">
                  <c:v>8.4159818645508644E-2</c:v>
                </c:pt>
                <c:pt idx="7016" formatCode="0.00">
                  <c:v>5.9506942476622277E-2</c:v>
                </c:pt>
                <c:pt idx="7017" formatCode="0.00">
                  <c:v>2.1819212241428167E-2</c:v>
                </c:pt>
                <c:pt idx="7018" formatCode="0.00">
                  <c:v>1.3601586851799376E-2</c:v>
                </c:pt>
                <c:pt idx="7019" formatCode="0.00">
                  <c:v>1.4168319637291017E-2</c:v>
                </c:pt>
                <c:pt idx="7020" formatCode="0.00">
                  <c:v>7.6508926041371503E-3</c:v>
                </c:pt>
                <c:pt idx="7021" formatCode="0.00">
                  <c:v>6.8007934258996882E-3</c:v>
                </c:pt>
                <c:pt idx="7022" formatCode="0.00">
                  <c:v>7.367526211391329E-3</c:v>
                </c:pt>
                <c:pt idx="7023" formatCode="0.00">
                  <c:v>0.33890620572400115</c:v>
                </c:pt>
                <c:pt idx="7024" formatCode="0.00">
                  <c:v>0.24766222725984699</c:v>
                </c:pt>
                <c:pt idx="7025" formatCode="0.00">
                  <c:v>0.51204307169169738</c:v>
                </c:pt>
                <c:pt idx="7026" formatCode="0.00">
                  <c:v>0.386511759705299</c:v>
                </c:pt>
                <c:pt idx="7027" formatCode="0.00">
                  <c:v>0.2405780674412015</c:v>
                </c:pt>
                <c:pt idx="7028" formatCode="0.00">
                  <c:v>0.18078775857183338</c:v>
                </c:pt>
                <c:pt idx="7029" formatCode="0.00">
                  <c:v>0.14820062340606405</c:v>
                </c:pt>
                <c:pt idx="7030" formatCode="0.00">
                  <c:v>0.14565032587135165</c:v>
                </c:pt>
                <c:pt idx="7031" formatCode="0.00">
                  <c:v>7.0274865400963449E-2</c:v>
                </c:pt>
                <c:pt idx="7032" formatCode="0.00">
                  <c:v>7.3391895721167472E-2</c:v>
                </c:pt>
                <c:pt idx="7033" formatCode="0.00">
                  <c:v>6.772456786625107E-2</c:v>
                </c:pt>
                <c:pt idx="7034" formatCode="0.00">
                  <c:v>5.4689713799943328E-2</c:v>
                </c:pt>
                <c:pt idx="7035" formatCode="0.00">
                  <c:v>4.222159251912723E-2</c:v>
                </c:pt>
                <c:pt idx="7036" formatCode="0.00">
                  <c:v>3.8821195806177392E-2</c:v>
                </c:pt>
                <c:pt idx="7037" formatCode="0.00">
                  <c:v>4.2504958911873052E-2</c:v>
                </c:pt>
                <c:pt idx="7038" formatCode="0.00">
                  <c:v>3.003683763105696E-2</c:v>
                </c:pt>
                <c:pt idx="7039" formatCode="0.00">
                  <c:v>0.51005950694247659</c:v>
                </c:pt>
                <c:pt idx="7040" formatCode="0.00">
                  <c:v>0.73675262113913287</c:v>
                </c:pt>
                <c:pt idx="7041" formatCode="0.00">
                  <c:v>0.78379144233493914</c:v>
                </c:pt>
                <c:pt idx="7042" formatCode="0.00">
                  <c:v>0.57098328138282795</c:v>
                </c:pt>
                <c:pt idx="7043" formatCode="0.00">
                  <c:v>0.45565315953527907</c:v>
                </c:pt>
                <c:pt idx="7044" formatCode="0.00">
                  <c:v>0.32473788608671017</c:v>
                </c:pt>
                <c:pt idx="7045" formatCode="0.00">
                  <c:v>0.28053272881836216</c:v>
                </c:pt>
                <c:pt idx="7046" formatCode="0.00">
                  <c:v>0.20685746670444885</c:v>
                </c:pt>
                <c:pt idx="7047" formatCode="0.00">
                  <c:v>0.15868517993765938</c:v>
                </c:pt>
                <c:pt idx="7048" formatCode="0.00">
                  <c:v>9.634457353357892E-2</c:v>
                </c:pt>
                <c:pt idx="7049" formatCode="0.00">
                  <c:v>8.5009917823746103E-2</c:v>
                </c:pt>
                <c:pt idx="7050" formatCode="0.00">
                  <c:v>0.23944460187021818</c:v>
                </c:pt>
                <c:pt idx="7051" formatCode="0.00">
                  <c:v>0.23604420515726834</c:v>
                </c:pt>
                <c:pt idx="7052" formatCode="0.00">
                  <c:v>0.15925191272315103</c:v>
                </c:pt>
                <c:pt idx="7053" formatCode="0.00">
                  <c:v>0.12354774723717768</c:v>
                </c:pt>
                <c:pt idx="7054" formatCode="0.00">
                  <c:v>9.4644375177103987E-2</c:v>
                </c:pt>
                <c:pt idx="7055" formatCode="0.00">
                  <c:v>9.634457353357892E-2</c:v>
                </c:pt>
                <c:pt idx="7056" formatCode="0.00">
                  <c:v>5.0439217908756023E-2</c:v>
                </c:pt>
                <c:pt idx="7057" formatCode="0.00">
                  <c:v>5.0439217908756023E-2</c:v>
                </c:pt>
                <c:pt idx="7058" formatCode="0.00">
                  <c:v>3.0320204023802779E-2</c:v>
                </c:pt>
                <c:pt idx="7059" formatCode="0.00">
                  <c:v>2.8336639274582034E-2</c:v>
                </c:pt>
                <c:pt idx="7060" formatCode="0.00">
                  <c:v>2.4936242561632189E-2</c:v>
                </c:pt>
                <c:pt idx="7061" formatCode="0.00">
                  <c:v>2.5219608954378012E-2</c:v>
                </c:pt>
                <c:pt idx="7062" formatCode="0.00">
                  <c:v>1.2184754888070274E-2</c:v>
                </c:pt>
                <c:pt idx="7063" formatCode="0.00">
                  <c:v>0.16095211107962595</c:v>
                </c:pt>
                <c:pt idx="7064" formatCode="0.00">
                  <c:v>0.1657693397563049</c:v>
                </c:pt>
                <c:pt idx="7065" formatCode="0.00">
                  <c:v>0.14139982998016437</c:v>
                </c:pt>
                <c:pt idx="7066" formatCode="0.00">
                  <c:v>0.10456219892320771</c:v>
                </c:pt>
                <c:pt idx="7067" formatCode="0.00">
                  <c:v>7.3675262113913301E-2</c:v>
                </c:pt>
                <c:pt idx="7068" formatCode="0.00">
                  <c:v>6.8291300651742715E-2</c:v>
                </c:pt>
                <c:pt idx="7069" formatCode="0.00">
                  <c:v>2.0255029753471239</c:v>
                </c:pt>
                <c:pt idx="7070" formatCode="0.00">
                  <c:v>3.0850099178237462</c:v>
                </c:pt>
                <c:pt idx="7071" formatCode="0.00">
                  <c:v>2.4890903938792861</c:v>
                </c:pt>
                <c:pt idx="7072" formatCode="0.00">
                  <c:v>1.6681779540946444</c:v>
                </c:pt>
                <c:pt idx="7073" formatCode="0.00">
                  <c:v>1.2145083593085859</c:v>
                </c:pt>
                <c:pt idx="7074" formatCode="0.00">
                  <c:v>0.79427599886653444</c:v>
                </c:pt>
                <c:pt idx="7075" formatCode="0.00">
                  <c:v>0.77727401530178519</c:v>
                </c:pt>
                <c:pt idx="7076" formatCode="0.00">
                  <c:v>0.89855483139699632</c:v>
                </c:pt>
                <c:pt idx="7077" formatCode="0.00">
                  <c:v>0.50694247662227265</c:v>
                </c:pt>
                <c:pt idx="7078" formatCode="0.00">
                  <c:v>0.49249079059223577</c:v>
                </c:pt>
                <c:pt idx="7079" formatCode="0.00">
                  <c:v>0.2978180787758572</c:v>
                </c:pt>
                <c:pt idx="7080" formatCode="0.00">
                  <c:v>0.27968262964012469</c:v>
                </c:pt>
                <c:pt idx="7081" formatCode="0.00">
                  <c:v>0.38906205724001136</c:v>
                </c:pt>
                <c:pt idx="7082" formatCode="0.00">
                  <c:v>0.32048739019552286</c:v>
                </c:pt>
                <c:pt idx="7083" formatCode="0.00">
                  <c:v>0.1612354774723718</c:v>
                </c:pt>
                <c:pt idx="7084" formatCode="0.00">
                  <c:v>0.14111646358741856</c:v>
                </c:pt>
                <c:pt idx="7085" formatCode="0.00">
                  <c:v>0.2405780674412015</c:v>
                </c:pt>
                <c:pt idx="7086" formatCode="0.00">
                  <c:v>0.23916123547747237</c:v>
                </c:pt>
                <c:pt idx="7087" formatCode="0.00">
                  <c:v>0.16888637007650892</c:v>
                </c:pt>
                <c:pt idx="7088" formatCode="0.00">
                  <c:v>0.24454519693964299</c:v>
                </c:pt>
                <c:pt idx="7089" formatCode="0.00">
                  <c:v>0.23094361008784359</c:v>
                </c:pt>
                <c:pt idx="7090" formatCode="0.00">
                  <c:v>3.2303768773023517E-2</c:v>
                </c:pt>
                <c:pt idx="7091" formatCode="0.00">
                  <c:v>1.6661943893454236E-2</c:v>
                </c:pt>
                <c:pt idx="7092" formatCode="0.00">
                  <c:v>9.2094077642391626E-3</c:v>
                </c:pt>
                <c:pt idx="7093" formatCode="0.00">
                  <c:v>5.0722584301501845E-2</c:v>
                </c:pt>
                <c:pt idx="7094" formatCode="0.00">
                  <c:v>2.7203173703598753E-2</c:v>
                </c:pt>
                <c:pt idx="7095" formatCode="0.00">
                  <c:v>1.2468121280816095E-2</c:v>
                </c:pt>
                <c:pt idx="7096" formatCode="0.00">
                  <c:v>0.10314536695947861</c:v>
                </c:pt>
                <c:pt idx="7097" formatCode="0.00">
                  <c:v>0.30915273448569003</c:v>
                </c:pt>
                <c:pt idx="7098" formatCode="0.00">
                  <c:v>0.24709549447435536</c:v>
                </c:pt>
                <c:pt idx="7099" formatCode="0.00">
                  <c:v>2.9470104845565316E-2</c:v>
                </c:pt>
                <c:pt idx="7100" formatCode="0.00">
                  <c:v>0.11362992349107395</c:v>
                </c:pt>
                <c:pt idx="7101" formatCode="0.00">
                  <c:v>0.14508359308586002</c:v>
                </c:pt>
                <c:pt idx="7102" formatCode="0.00">
                  <c:v>0.18645508642674979</c:v>
                </c:pt>
                <c:pt idx="7103" formatCode="0.00">
                  <c:v>0.20969113063190706</c:v>
                </c:pt>
                <c:pt idx="7104" formatCode="0.00">
                  <c:v>0.23746103712099748</c:v>
                </c:pt>
                <c:pt idx="7105" formatCode="0.00">
                  <c:v>0.14423349390762255</c:v>
                </c:pt>
                <c:pt idx="7106" formatCode="0.00">
                  <c:v>8.5009917823746107E-3</c:v>
                </c:pt>
                <c:pt idx="7107" formatCode="0.00">
                  <c:v>0.10739586285066592</c:v>
                </c:pt>
                <c:pt idx="7108" formatCode="0.00">
                  <c:v>0.16769623122697649</c:v>
                </c:pt>
                <c:pt idx="7109" formatCode="0.00">
                  <c:v>0.15075092094077644</c:v>
                </c:pt>
                <c:pt idx="7110" formatCode="0.00">
                  <c:v>0.15463304052139415</c:v>
                </c:pt>
                <c:pt idx="7111" formatCode="0.00">
                  <c:v>0.1616888637007651</c:v>
                </c:pt>
                <c:pt idx="7112" formatCode="0.00">
                  <c:v>0.14565032587135165</c:v>
                </c:pt>
                <c:pt idx="7113" formatCode="0.00">
                  <c:v>0.1156134882402947</c:v>
                </c:pt>
                <c:pt idx="7114" formatCode="0.00">
                  <c:v>0.15840181354491356</c:v>
                </c:pt>
                <c:pt idx="7115" formatCode="0.00">
                  <c:v>7.6508926041371494E-2</c:v>
                </c:pt>
                <c:pt idx="7116" formatCode="0.00">
                  <c:v>5.1856049872485127E-2</c:v>
                </c:pt>
                <c:pt idx="7117" formatCode="0.00">
                  <c:v>5.1742703315386801E-2</c:v>
                </c:pt>
                <c:pt idx="7118" formatCode="0.00">
                  <c:v>4.5281949560782096E-2</c:v>
                </c:pt>
                <c:pt idx="7119" formatCode="0.00">
                  <c:v>3.7092660810427884E-2</c:v>
                </c:pt>
                <c:pt idx="7120" formatCode="0.00">
                  <c:v>2.1620855766506093E-2</c:v>
                </c:pt>
                <c:pt idx="7121" formatCode="0.00">
                  <c:v>1.5216775290450554E-2</c:v>
                </c:pt>
                <c:pt idx="7122" formatCode="0.00">
                  <c:v>6.9708132615471808E-3</c:v>
                </c:pt>
                <c:pt idx="7123" formatCode="0.00">
                  <c:v>0.17937092660810428</c:v>
                </c:pt>
                <c:pt idx="7124" formatCode="0.00">
                  <c:v>0.20600736752621138</c:v>
                </c:pt>
                <c:pt idx="7125" formatCode="0.00">
                  <c:v>0.12723151034287333</c:v>
                </c:pt>
                <c:pt idx="7126" formatCode="0.00">
                  <c:v>0.20232360442051572</c:v>
                </c:pt>
                <c:pt idx="7127" formatCode="0.00">
                  <c:v>0.19948994049305752</c:v>
                </c:pt>
                <c:pt idx="7128" formatCode="0.00">
                  <c:v>0.29980164352507793</c:v>
                </c:pt>
                <c:pt idx="7129" formatCode="0.00">
                  <c:v>0.1878719183904789</c:v>
                </c:pt>
                <c:pt idx="7130" formatCode="0.00">
                  <c:v>0.10796259563615755</c:v>
                </c:pt>
                <c:pt idx="7131" formatCode="0.00">
                  <c:v>8.5009917823746103E-2</c:v>
                </c:pt>
                <c:pt idx="7132" formatCode="0.00">
                  <c:v>7.7925758005100598E-2</c:v>
                </c:pt>
                <c:pt idx="7133" formatCode="0.00">
                  <c:v>6.8007934258996882E-3</c:v>
                </c:pt>
                <c:pt idx="7134" formatCode="0.00">
                  <c:v>0.11022952677812412</c:v>
                </c:pt>
                <c:pt idx="7135" formatCode="0.00">
                  <c:v>0.17625389628790025</c:v>
                </c:pt>
                <c:pt idx="7136" formatCode="0.00">
                  <c:v>0.17291017285349958</c:v>
                </c:pt>
                <c:pt idx="7137" formatCode="0.00">
                  <c:v>0.10881269481439501</c:v>
                </c:pt>
                <c:pt idx="7138" formatCode="0.00">
                  <c:v>6.5457636724284507E-2</c:v>
                </c:pt>
                <c:pt idx="7139" formatCode="0.00">
                  <c:v>6.3360725417965433E-2</c:v>
                </c:pt>
                <c:pt idx="7140" formatCode="0.00">
                  <c:v>5.9960328705015588E-2</c:v>
                </c:pt>
                <c:pt idx="7141" formatCode="0.00">
                  <c:v>5.8685179937659399E-2</c:v>
                </c:pt>
                <c:pt idx="7142" formatCode="0.00">
                  <c:v>4.9249079059223579E-2</c:v>
                </c:pt>
                <c:pt idx="7143" formatCode="0.00">
                  <c:v>3.8537829413431569E-2</c:v>
                </c:pt>
                <c:pt idx="7144" formatCode="0.00">
                  <c:v>3.457069991499008E-2</c:v>
                </c:pt>
                <c:pt idx="7145" formatCode="0.00">
                  <c:v>2.4397846415415134E-2</c:v>
                </c:pt>
                <c:pt idx="7146" formatCode="0.00">
                  <c:v>2.0515726834797392E-2</c:v>
                </c:pt>
                <c:pt idx="7147" formatCode="0.00">
                  <c:v>1.586851799376594E-2</c:v>
                </c:pt>
                <c:pt idx="7148" formatCode="0.00">
                  <c:v>0.19353924624539531</c:v>
                </c:pt>
                <c:pt idx="7149" formatCode="0.00">
                  <c:v>0.23859450269198074</c:v>
                </c:pt>
                <c:pt idx="7150" formatCode="0.00">
                  <c:v>0.12156418248795693</c:v>
                </c:pt>
                <c:pt idx="7151" formatCode="0.00">
                  <c:v>0.35052422782657977</c:v>
                </c:pt>
                <c:pt idx="7152" formatCode="0.00">
                  <c:v>0.46018702181921223</c:v>
                </c:pt>
                <c:pt idx="7153" formatCode="0.00">
                  <c:v>0.55454803060357039</c:v>
                </c:pt>
                <c:pt idx="7154" formatCode="0.00">
                  <c:v>0.35987531878719181</c:v>
                </c:pt>
                <c:pt idx="7155" formatCode="0.00">
                  <c:v>0.21677529045055258</c:v>
                </c:pt>
                <c:pt idx="7156" formatCode="0.00">
                  <c:v>0.1952394446018702</c:v>
                </c:pt>
                <c:pt idx="7157" formatCode="0.00">
                  <c:v>0.14565032587135165</c:v>
                </c:pt>
                <c:pt idx="7158" formatCode="0.00">
                  <c:v>8.3026353074525369E-2</c:v>
                </c:pt>
                <c:pt idx="7159" formatCode="0.00">
                  <c:v>0.11674695381127799</c:v>
                </c:pt>
                <c:pt idx="7160" formatCode="0.00">
                  <c:v>3.9387928591669029E-2</c:v>
                </c:pt>
                <c:pt idx="7161" formatCode="0.00">
                  <c:v>0.20204023802776991</c:v>
                </c:pt>
                <c:pt idx="7162" formatCode="0.00">
                  <c:v>0.37801076792292437</c:v>
                </c:pt>
                <c:pt idx="7163" formatCode="0.00">
                  <c:v>0.29362425616321908</c:v>
                </c:pt>
                <c:pt idx="7164" formatCode="0.00">
                  <c:v>0.17738736185888354</c:v>
                </c:pt>
                <c:pt idx="7165" formatCode="0.00">
                  <c:v>0.12731652026069709</c:v>
                </c:pt>
                <c:pt idx="7166" formatCode="0.00">
                  <c:v>0.13743270048172287</c:v>
                </c:pt>
                <c:pt idx="7167" formatCode="0.00">
                  <c:v>0.1306319070558232</c:v>
                </c:pt>
                <c:pt idx="7168" formatCode="0.00">
                  <c:v>0.11226976480589403</c:v>
                </c:pt>
                <c:pt idx="7169" formatCode="0.00">
                  <c:v>7.8832530461887221E-2</c:v>
                </c:pt>
                <c:pt idx="7170" formatCode="0.00">
                  <c:v>6.2793992632473802E-2</c:v>
                </c:pt>
                <c:pt idx="7171" formatCode="0.00">
                  <c:v>4.9815811844715216E-2</c:v>
                </c:pt>
                <c:pt idx="7172" formatCode="0.00">
                  <c:v>2.0799093227543215E-2</c:v>
                </c:pt>
                <c:pt idx="7173" formatCode="0.00">
                  <c:v>1.3601586851799376E-2</c:v>
                </c:pt>
                <c:pt idx="7174" formatCode="0.00">
                  <c:v>5.6673278549164069E-2</c:v>
                </c:pt>
                <c:pt idx="7175" formatCode="0.00">
                  <c:v>0.22470954944743554</c:v>
                </c:pt>
                <c:pt idx="7176" formatCode="0.00">
                  <c:v>0.41059790308869371</c:v>
                </c:pt>
                <c:pt idx="7177" formatCode="0.00">
                  <c:v>0.47293850949277422</c:v>
                </c:pt>
                <c:pt idx="7178" formatCode="0.00">
                  <c:v>0.36242561632190423</c:v>
                </c:pt>
                <c:pt idx="7179" formatCode="0.00">
                  <c:v>0.77557381694531036</c:v>
                </c:pt>
                <c:pt idx="7180" formatCode="0.00">
                  <c:v>0.57608387645225267</c:v>
                </c:pt>
                <c:pt idx="7181" formatCode="0.00">
                  <c:v>1.2408614338339472</c:v>
                </c:pt>
                <c:pt idx="7182" formatCode="0.00">
                  <c:v>0.73590252196089545</c:v>
                </c:pt>
                <c:pt idx="7183" formatCode="0.00">
                  <c:v>0.41484839897988102</c:v>
                </c:pt>
                <c:pt idx="7184" formatCode="0.00">
                  <c:v>0.33777274015301784</c:v>
                </c:pt>
                <c:pt idx="7185" formatCode="0.00">
                  <c:v>0.26211391328988382</c:v>
                </c:pt>
                <c:pt idx="7186" formatCode="0.00">
                  <c:v>0.1572683479739303</c:v>
                </c:pt>
                <c:pt idx="7187" formatCode="0.00">
                  <c:v>0.1459336922640975</c:v>
                </c:pt>
                <c:pt idx="7188" formatCode="0.00">
                  <c:v>5.7240011334655713E-2</c:v>
                </c:pt>
                <c:pt idx="7189" formatCode="0.00">
                  <c:v>0.34599036554264667</c:v>
                </c:pt>
                <c:pt idx="7190" formatCode="0.00">
                  <c:v>0.58685179937659393</c:v>
                </c:pt>
                <c:pt idx="7191" formatCode="0.00">
                  <c:v>0.49008217625389633</c:v>
                </c:pt>
                <c:pt idx="7192" formatCode="0.00">
                  <c:v>0.28988381977897421</c:v>
                </c:pt>
                <c:pt idx="7193" formatCode="0.00">
                  <c:v>0.19155568149617455</c:v>
                </c:pt>
                <c:pt idx="7194" formatCode="0.00">
                  <c:v>0.19016718617172004</c:v>
                </c:pt>
                <c:pt idx="7195" formatCode="0.00">
                  <c:v>0.17001983564749221</c:v>
                </c:pt>
                <c:pt idx="7196" formatCode="0.00">
                  <c:v>0.16772456786625106</c:v>
                </c:pt>
                <c:pt idx="7197" formatCode="0.00">
                  <c:v>0.12181921224142818</c:v>
                </c:pt>
                <c:pt idx="7198" formatCode="0.00">
                  <c:v>8.954378010767923E-2</c:v>
                </c:pt>
                <c:pt idx="7199" formatCode="0.00">
                  <c:v>8.2771323321054122E-2</c:v>
                </c:pt>
                <c:pt idx="7200" formatCode="0.00">
                  <c:v>6.7667894587701893E-2</c:v>
                </c:pt>
                <c:pt idx="7201" formatCode="0.00">
                  <c:v>6.1054122981014451</c:v>
                </c:pt>
                <c:pt idx="7202" formatCode="0.00">
                  <c:v>5.6336072541796547</c:v>
                </c:pt>
                <c:pt idx="7203" formatCode="0.00">
                  <c:v>6.4216491924057806</c:v>
                </c:pt>
                <c:pt idx="7204" formatCode="0.00">
                  <c:v>0.65032587135165765</c:v>
                </c:pt>
                <c:pt idx="7205" formatCode="0.00">
                  <c:v>0.2947010484556532</c:v>
                </c:pt>
                <c:pt idx="7206" formatCode="0.00">
                  <c:v>0.12949844148483991</c:v>
                </c:pt>
                <c:pt idx="7207" formatCode="0.00">
                  <c:v>0.36384244828563334</c:v>
                </c:pt>
                <c:pt idx="7208" formatCode="0.00">
                  <c:v>0.24284499858316805</c:v>
                </c:pt>
                <c:pt idx="7209" formatCode="0.00">
                  <c:v>0.18730518560498727</c:v>
                </c:pt>
                <c:pt idx="7210" formatCode="0.00">
                  <c:v>0.32445451969396427</c:v>
                </c:pt>
                <c:pt idx="7211" formatCode="0.00">
                  <c:v>1.1224142816661944</c:v>
                </c:pt>
                <c:pt idx="7212" formatCode="0.00">
                  <c:v>1.7118163785775007</c:v>
                </c:pt>
                <c:pt idx="7213" formatCode="0.00">
                  <c:v>1.6800793425899689</c:v>
                </c:pt>
                <c:pt idx="7214" formatCode="0.00">
                  <c:v>1.4729385094927741</c:v>
                </c:pt>
                <c:pt idx="7215" formatCode="0.00">
                  <c:v>5.1499008217625395</c:v>
                </c:pt>
                <c:pt idx="7216" formatCode="0.00">
                  <c:v>1.3542079909322755</c:v>
                </c:pt>
                <c:pt idx="7217" formatCode="0.00">
                  <c:v>1.2235760838764522</c:v>
                </c:pt>
                <c:pt idx="7218" formatCode="0.00">
                  <c:v>0.11164635874185322</c:v>
                </c:pt>
                <c:pt idx="7219" formatCode="0.00">
                  <c:v>0.1878719183904789</c:v>
                </c:pt>
                <c:pt idx="7220" formatCode="0.00">
                  <c:v>4.0113346557098328</c:v>
                </c:pt>
                <c:pt idx="7221" formatCode="0.00">
                  <c:v>9.5324454519693962</c:v>
                </c:pt>
                <c:pt idx="7222" formatCode="0.00">
                  <c:v>6.3799943326721458</c:v>
                </c:pt>
                <c:pt idx="7223" formatCode="0.00">
                  <c:v>3.5942193255879853</c:v>
                </c:pt>
                <c:pt idx="7224" formatCode="0.00">
                  <c:v>1.8288466987815248</c:v>
                </c:pt>
                <c:pt idx="7225" formatCode="0.00">
                  <c:v>1.3270048172286766</c:v>
                </c:pt>
                <c:pt idx="7226" formatCode="0.00">
                  <c:v>2.3601586851799379</c:v>
                </c:pt>
                <c:pt idx="7227" formatCode="0.00">
                  <c:v>1.8432983848115614</c:v>
                </c:pt>
                <c:pt idx="7228" formatCode="0.00">
                  <c:v>1.1946727118163785</c:v>
                </c:pt>
                <c:pt idx="7229" formatCode="0.00">
                  <c:v>0.53017852082742989</c:v>
                </c:pt>
                <c:pt idx="7230" formatCode="0.00">
                  <c:v>0.45650325871351655</c:v>
                </c:pt>
                <c:pt idx="7231" formatCode="0.00">
                  <c:v>0.31850382544630207</c:v>
                </c:pt>
                <c:pt idx="7232" formatCode="0.00">
                  <c:v>0.35619155568149619</c:v>
                </c:pt>
                <c:pt idx="7233" formatCode="0.00">
                  <c:v>0.16633607254179655</c:v>
                </c:pt>
                <c:pt idx="7234" formatCode="0.00">
                  <c:v>0.58656843298384809</c:v>
                </c:pt>
                <c:pt idx="7235" formatCode="0.00">
                  <c:v>1.339472938509493</c:v>
                </c:pt>
                <c:pt idx="7236" formatCode="0.00">
                  <c:v>1.2417115330121848</c:v>
                </c:pt>
                <c:pt idx="7237" formatCode="0.00">
                  <c:v>1.0906772456786626</c:v>
                </c:pt>
                <c:pt idx="7238" formatCode="0.00">
                  <c:v>0.6429583451402664</c:v>
                </c:pt>
                <c:pt idx="7239" formatCode="0.00">
                  <c:v>1.7344856899971663</c:v>
                </c:pt>
                <c:pt idx="7240" formatCode="0.00">
                  <c:v>2.7738736185888353</c:v>
                </c:pt>
                <c:pt idx="7241" formatCode="0.00">
                  <c:v>0.8685179937659393</c:v>
                </c:pt>
                <c:pt idx="7242" formatCode="0.00">
                  <c:v>0.53187871918390484</c:v>
                </c:pt>
                <c:pt idx="7243" formatCode="0.00">
                  <c:v>0.52167752904505527</c:v>
                </c:pt>
                <c:pt idx="7244" formatCode="0.00">
                  <c:v>0.28705015585151605</c:v>
                </c:pt>
                <c:pt idx="7245" formatCode="0.00">
                  <c:v>0.386511759705299</c:v>
                </c:pt>
                <c:pt idx="7246" formatCode="0.00">
                  <c:v>0.18305468971379996</c:v>
                </c:pt>
                <c:pt idx="7247" formatCode="0.00">
                  <c:v>0.34145650325871352</c:v>
                </c:pt>
                <c:pt idx="7248" formatCode="0.00">
                  <c:v>3.2303768773023517E-2</c:v>
                </c:pt>
                <c:pt idx="7249" formatCode="0.00">
                  <c:v>3.9104562198923207E-2</c:v>
                </c:pt>
                <c:pt idx="7250" formatCode="0.00">
                  <c:v>4.0804760555398133E-2</c:v>
                </c:pt>
                <c:pt idx="7251" formatCode="0.00">
                  <c:v>2.2385945026919808E-2</c:v>
                </c:pt>
                <c:pt idx="7252" formatCode="0.00">
                  <c:v>1.501841881552848E-2</c:v>
                </c:pt>
                <c:pt idx="7253" formatCode="0.00">
                  <c:v>1.4352507792575802</c:v>
                </c:pt>
                <c:pt idx="7254" formatCode="0.00">
                  <c:v>0.65089260413714933</c:v>
                </c:pt>
                <c:pt idx="7255" formatCode="0.00">
                  <c:v>0.49277415698498162</c:v>
                </c:pt>
                <c:pt idx="7256" formatCode="0.00">
                  <c:v>0.13233210541229809</c:v>
                </c:pt>
                <c:pt idx="7257" formatCode="0.00">
                  <c:v>8.4443185038254459E-2</c:v>
                </c:pt>
                <c:pt idx="7258" formatCode="0.00">
                  <c:v>4.6472088410314534E-2</c:v>
                </c:pt>
                <c:pt idx="7259" formatCode="0.00">
                  <c:v>4.137149334088977E-2</c:v>
                </c:pt>
                <c:pt idx="7260" formatCode="0.00">
                  <c:v>1.8418815528478325E-2</c:v>
                </c:pt>
                <c:pt idx="7261" formatCode="0.00">
                  <c:v>0.43950127514876736</c:v>
                </c:pt>
                <c:pt idx="7262" formatCode="0.00">
                  <c:v>0.37999433267214511</c:v>
                </c:pt>
                <c:pt idx="7263" formatCode="0.00">
                  <c:v>0.39529611788041935</c:v>
                </c:pt>
                <c:pt idx="7264" formatCode="0.00">
                  <c:v>6.6591102295267782E-2</c:v>
                </c:pt>
                <c:pt idx="7265" formatCode="0.00">
                  <c:v>3.4854066307735902E-2</c:v>
                </c:pt>
                <c:pt idx="7266" formatCode="0.00">
                  <c:v>4.8455653159535282E-2</c:v>
                </c:pt>
                <c:pt idx="7267" formatCode="0.00">
                  <c:v>3.9954661377160666E-2</c:v>
                </c:pt>
                <c:pt idx="7268" formatCode="0.00">
                  <c:v>1.586851799376594E-2</c:v>
                </c:pt>
                <c:pt idx="7269" formatCode="0.00">
                  <c:v>0.84528194956078206</c:v>
                </c:pt>
                <c:pt idx="7270" formatCode="0.00">
                  <c:v>0.61263814111646364</c:v>
                </c:pt>
                <c:pt idx="7271" formatCode="0.00">
                  <c:v>0.19778974213658262</c:v>
                </c:pt>
                <c:pt idx="7272" formatCode="0.00">
                  <c:v>0.18815528478322471</c:v>
                </c:pt>
                <c:pt idx="7273" formatCode="0.00">
                  <c:v>6.4890903938792863E-2</c:v>
                </c:pt>
                <c:pt idx="7274" formatCode="0.00">
                  <c:v>6.1490507225843018E-2</c:v>
                </c:pt>
                <c:pt idx="7275" formatCode="0.00">
                  <c:v>6.4607537546047034E-2</c:v>
                </c:pt>
                <c:pt idx="7276" formatCode="0.00">
                  <c:v>2.7203173703598753E-2</c:v>
                </c:pt>
                <c:pt idx="7277" formatCode="0.00">
                  <c:v>7.0405213941626528</c:v>
                </c:pt>
                <c:pt idx="7278" formatCode="0.00">
                  <c:v>16.352224426183056</c:v>
                </c:pt>
                <c:pt idx="7279" formatCode="0.00">
                  <c:v>7.7444035137432703</c:v>
                </c:pt>
                <c:pt idx="7280" formatCode="0.00">
                  <c:v>5.7126664777557385</c:v>
                </c:pt>
                <c:pt idx="7281" formatCode="0.00">
                  <c:v>1.0988948710682913</c:v>
                </c:pt>
                <c:pt idx="7282" formatCode="0.00">
                  <c:v>0.6457920090677246</c:v>
                </c:pt>
                <c:pt idx="7283" formatCode="0.00">
                  <c:v>1.5749504108812695</c:v>
                </c:pt>
                <c:pt idx="7284" formatCode="0.00">
                  <c:v>1.3525077925758004</c:v>
                </c:pt>
                <c:pt idx="7285" formatCode="0.00">
                  <c:v>1.9818645508642674</c:v>
                </c:pt>
                <c:pt idx="7286" formatCode="0.00">
                  <c:v>1.5196939642958347</c:v>
                </c:pt>
                <c:pt idx="7287" formatCode="0.00">
                  <c:v>0.74638707849249075</c:v>
                </c:pt>
                <c:pt idx="7288" formatCode="0.00">
                  <c:v>0.10909606120714084</c:v>
                </c:pt>
                <c:pt idx="7289" formatCode="0.00">
                  <c:v>2.8350807594219325</c:v>
                </c:pt>
                <c:pt idx="7290" formatCode="0.00">
                  <c:v>2.3244545196939645</c:v>
                </c:pt>
                <c:pt idx="7291" formatCode="0.00">
                  <c:v>1.990365542646642</c:v>
                </c:pt>
                <c:pt idx="7292" formatCode="0.00">
                  <c:v>2.348824029470105</c:v>
                </c:pt>
                <c:pt idx="7293" formatCode="0.00">
                  <c:v>2.2677812411448004</c:v>
                </c:pt>
                <c:pt idx="7294" formatCode="0.00">
                  <c:v>2.7268347973930296</c:v>
                </c:pt>
                <c:pt idx="7295" formatCode="0.00">
                  <c:v>21.005383961462169</c:v>
                </c:pt>
                <c:pt idx="7296" formatCode="0.00">
                  <c:v>46.319920657410037</c:v>
                </c:pt>
                <c:pt idx="7297" formatCode="0.00">
                  <c:v>24.943610087843581</c:v>
                </c:pt>
                <c:pt idx="7298" formatCode="0.00">
                  <c:v>2.5519977330688581</c:v>
                </c:pt>
                <c:pt idx="7299" formatCode="0.00">
                  <c:v>9.543780107679229</c:v>
                </c:pt>
                <c:pt idx="7300" formatCode="0.00">
                  <c:v>10.246245395296118</c:v>
                </c:pt>
                <c:pt idx="7301" formatCode="0.00">
                  <c:v>15.534995749504109</c:v>
                </c:pt>
                <c:pt idx="7302" formatCode="0.00">
                  <c:v>16.810144516860301</c:v>
                </c:pt>
                <c:pt idx="7303" formatCode="0.00">
                  <c:v>10.549164069141399</c:v>
                </c:pt>
                <c:pt idx="7304" formatCode="0.00">
                  <c:v>6.7883253046188727</c:v>
                </c:pt>
                <c:pt idx="7305" formatCode="0.00">
                  <c:v>2.6251062623972796</c:v>
                </c:pt>
                <c:pt idx="7306" formatCode="0.00">
                  <c:v>2.9985831680362707</c:v>
                </c:pt>
                <c:pt idx="7307" formatCode="0.00">
                  <c:v>10.934825729668461</c:v>
                </c:pt>
                <c:pt idx="7308" formatCode="0.00">
                  <c:v>10.797676395579485</c:v>
                </c:pt>
                <c:pt idx="7309" formatCode="0.00">
                  <c:v>16.578917540379713</c:v>
                </c:pt>
                <c:pt idx="7310" formatCode="0.00">
                  <c:v>18.136865967696231</c:v>
                </c:pt>
                <c:pt idx="7311" formatCode="0.00">
                  <c:v>10.703032020402381</c:v>
                </c:pt>
                <c:pt idx="7312" formatCode="0.00">
                  <c:v>4.0668744686880141</c:v>
                </c:pt>
                <c:pt idx="7313" formatCode="0.00">
                  <c:v>2.6959478605837348</c:v>
                </c:pt>
                <c:pt idx="7314" formatCode="0.00">
                  <c:v>1.2266931141966564</c:v>
                </c:pt>
                <c:pt idx="7315" formatCode="0.00">
                  <c:v>0.40578067441201476</c:v>
                </c:pt>
                <c:pt idx="7316" formatCode="0.00">
                  <c:v>0.91300651742703309</c:v>
                </c:pt>
                <c:pt idx="7317" formatCode="0.00">
                  <c:v>1.4134315670161519</c:v>
                </c:pt>
                <c:pt idx="7318" formatCode="0.00">
                  <c:v>1.5086426749787476</c:v>
                </c:pt>
                <c:pt idx="7319" formatCode="0.00">
                  <c:v>1.3051856049872486</c:v>
                </c:pt>
                <c:pt idx="7320" formatCode="0.00">
                  <c:v>0.45678662510626244</c:v>
                </c:pt>
                <c:pt idx="7321" formatCode="0.00">
                  <c:v>0.38396146217058658</c:v>
                </c:pt>
                <c:pt idx="7322" formatCode="0.00">
                  <c:v>0.56673278549164074</c:v>
                </c:pt>
                <c:pt idx="7323" formatCode="0.00">
                  <c:v>0.38509492774156984</c:v>
                </c:pt>
                <c:pt idx="7324" formatCode="0.00">
                  <c:v>0.17625389628790025</c:v>
                </c:pt>
                <c:pt idx="7325" formatCode="0.00">
                  <c:v>6.1490507225843018E-2</c:v>
                </c:pt>
                <c:pt idx="7326" formatCode="0.00">
                  <c:v>0.86710116180221031</c:v>
                </c:pt>
                <c:pt idx="7327" formatCode="0.00">
                  <c:v>1.0195522810994615</c:v>
                </c:pt>
                <c:pt idx="7328" formatCode="0.00">
                  <c:v>1.973363559081893</c:v>
                </c:pt>
                <c:pt idx="7329" formatCode="0.00">
                  <c:v>1.2904505525644658</c:v>
                </c:pt>
                <c:pt idx="7330" formatCode="0.00">
                  <c:v>0.50977614054973075</c:v>
                </c:pt>
                <c:pt idx="7331" formatCode="0.00">
                  <c:v>9.8044771890053839E-2</c:v>
                </c:pt>
                <c:pt idx="7332" formatCode="0.00">
                  <c:v>4.9546613771606687</c:v>
                </c:pt>
                <c:pt idx="7333" formatCode="0.00">
                  <c:v>14.180787758571833</c:v>
                </c:pt>
                <c:pt idx="7334" formatCode="0.00">
                  <c:v>9.5789175403797113</c:v>
                </c:pt>
                <c:pt idx="7335" formatCode="0.00">
                  <c:v>8.309152734485691</c:v>
                </c:pt>
                <c:pt idx="7336" formatCode="0.00">
                  <c:v>8.0490223859450278</c:v>
                </c:pt>
                <c:pt idx="7337" formatCode="0.00">
                  <c:v>10.069424766222728</c:v>
                </c:pt>
                <c:pt idx="7338" formatCode="0.00">
                  <c:v>9.1192972513459907</c:v>
                </c:pt>
                <c:pt idx="7339" formatCode="0.00">
                  <c:v>14.282232927174837</c:v>
                </c:pt>
                <c:pt idx="7340" formatCode="0.00">
                  <c:v>12.006517427033154</c:v>
                </c:pt>
                <c:pt idx="7341" formatCode="0.00">
                  <c:v>11.234910739586287</c:v>
                </c:pt>
                <c:pt idx="7342" formatCode="0.00">
                  <c:v>9.4692547463870795</c:v>
                </c:pt>
                <c:pt idx="7343" formatCode="0.00">
                  <c:v>4.0529895154434685</c:v>
                </c:pt>
                <c:pt idx="7344" formatCode="0.00">
                  <c:v>0.16435250779257579</c:v>
                </c:pt>
                <c:pt idx="7345" formatCode="0.00">
                  <c:v>9.0960612071408334E-2</c:v>
                </c:pt>
                <c:pt idx="7346" formatCode="0.00">
                  <c:v>2.0969113063190707E-2</c:v>
                </c:pt>
                <c:pt idx="7347" formatCode="0.00">
                  <c:v>1.8135449135732503E-2</c:v>
                </c:pt>
                <c:pt idx="7348" formatCode="0.00">
                  <c:v>5.5539812978180787E-2</c:v>
                </c:pt>
                <c:pt idx="7349" formatCode="0.00">
                  <c:v>2.7769906489090394E-2</c:v>
                </c:pt>
                <c:pt idx="7350" formatCode="0.00">
                  <c:v>4.0238027769906488E-2</c:v>
                </c:pt>
                <c:pt idx="7351" formatCode="0.00">
                  <c:v>4.2788325304618874E-2</c:v>
                </c:pt>
                <c:pt idx="7352" formatCode="0.00">
                  <c:v>8.9101741060069877</c:v>
                </c:pt>
                <c:pt idx="7353" formatCode="0.00">
                  <c:v>12.751487673561916</c:v>
                </c:pt>
                <c:pt idx="7354" formatCode="0.00">
                  <c:v>12.184754888070275</c:v>
                </c:pt>
                <c:pt idx="7355" formatCode="0.00">
                  <c:v>18.843865117597055</c:v>
                </c:pt>
                <c:pt idx="7356" formatCode="0.00">
                  <c:v>14.735052422782658</c:v>
                </c:pt>
                <c:pt idx="7357" formatCode="0.00">
                  <c:v>7.5092094077642395</c:v>
                </c:pt>
                <c:pt idx="7358" formatCode="0.00">
                  <c:v>1.586851799376594</c:v>
                </c:pt>
                <c:pt idx="7359" formatCode="0.00">
                  <c:v>5.6673278549164069E-2</c:v>
                </c:pt>
                <c:pt idx="7360" formatCode="0.00">
                  <c:v>6.8007934258996885E-2</c:v>
                </c:pt>
                <c:pt idx="7361" formatCode="0.00">
                  <c:v>5.3839614621705861E-2</c:v>
                </c:pt>
                <c:pt idx="7362" formatCode="0.00">
                  <c:v>4.817228676678946E-2</c:v>
                </c:pt>
                <c:pt idx="7363" formatCode="0.00">
                  <c:v>4.2504958911873052E-2</c:v>
                </c:pt>
                <c:pt idx="7364" formatCode="0.00">
                  <c:v>3.9671294984414844E-2</c:v>
                </c:pt>
                <c:pt idx="7365" formatCode="0.00">
                  <c:v>3.683763105695665E-2</c:v>
                </c:pt>
                <c:pt idx="7366" formatCode="0.00">
                  <c:v>3.683763105695665E-2</c:v>
                </c:pt>
                <c:pt idx="7367" formatCode="0.00">
                  <c:v>3.1170303202040242E-2</c:v>
                </c:pt>
                <c:pt idx="7368" formatCode="0.00">
                  <c:v>2.8336639274582034E-2</c:v>
                </c:pt>
                <c:pt idx="7369" formatCode="0.00">
                  <c:v>2.266931141966563E-2</c:v>
                </c:pt>
                <c:pt idx="7370" formatCode="0.00">
                  <c:v>2.5502975347123834E-2</c:v>
                </c:pt>
                <c:pt idx="7371" formatCode="0.00">
                  <c:v>2.9470104845565316E-2</c:v>
                </c:pt>
                <c:pt idx="7372" formatCode="0.00">
                  <c:v>2.7203173703598753E-2</c:v>
                </c:pt>
                <c:pt idx="7373" formatCode="0.00">
                  <c:v>2.8053272881836216E-2</c:v>
                </c:pt>
                <c:pt idx="7374" formatCode="0.00">
                  <c:v>3.683763105695665E-2</c:v>
                </c:pt>
                <c:pt idx="7375" formatCode="0.00">
                  <c:v>0.291867384528195</c:v>
                </c:pt>
                <c:pt idx="7376" formatCode="0.00">
                  <c:v>1.5103428733352224</c:v>
                </c:pt>
                <c:pt idx="7377" formatCode="0.00">
                  <c:v>1.252479455936526</c:v>
                </c:pt>
                <c:pt idx="7378" formatCode="0.00">
                  <c:v>1.4621705865684331</c:v>
                </c:pt>
                <c:pt idx="7379" formatCode="0.00">
                  <c:v>1.1306319070558231</c:v>
                </c:pt>
                <c:pt idx="7380" formatCode="0.00">
                  <c:v>0.73391895721167466</c:v>
                </c:pt>
                <c:pt idx="7381" formatCode="0.00">
                  <c:v>0.93510909606120718</c:v>
                </c:pt>
                <c:pt idx="7382" formatCode="0.00">
                  <c:v>1.1334655709832815</c:v>
                </c:pt>
                <c:pt idx="7383" formatCode="0.00">
                  <c:v>1.0399546613771609</c:v>
                </c:pt>
                <c:pt idx="7384" formatCode="0.00">
                  <c:v>1.1306319070558231</c:v>
                </c:pt>
                <c:pt idx="7385" formatCode="0.00">
                  <c:v>0.73108529328421656</c:v>
                </c:pt>
                <c:pt idx="7386" formatCode="0.00">
                  <c:v>0.62057240011334658</c:v>
                </c:pt>
                <c:pt idx="7387" formatCode="0.00">
                  <c:v>0.68858033437234345</c:v>
                </c:pt>
                <c:pt idx="7388" formatCode="0.00">
                  <c:v>0.60073675262113913</c:v>
                </c:pt>
                <c:pt idx="7389" formatCode="0.00">
                  <c:v>0.37687730235194111</c:v>
                </c:pt>
                <c:pt idx="7390" formatCode="0.00">
                  <c:v>0.18418815528478322</c:v>
                </c:pt>
                <c:pt idx="7391" formatCode="0.00">
                  <c:v>0.25219608954378014</c:v>
                </c:pt>
                <c:pt idx="7392" formatCode="0.00">
                  <c:v>0.43638424482856336</c:v>
                </c:pt>
                <c:pt idx="7393" formatCode="0.00">
                  <c:v>1.2298101445168603</c:v>
                </c:pt>
                <c:pt idx="7394" formatCode="0.00">
                  <c:v>1.2411448002266932</c:v>
                </c:pt>
                <c:pt idx="7395" formatCode="0.00">
                  <c:v>1.2128081609521111</c:v>
                </c:pt>
                <c:pt idx="7396" formatCode="0.00">
                  <c:v>0.96344573533578914</c:v>
                </c:pt>
                <c:pt idx="7397" formatCode="0.00">
                  <c:v>0.7905922357608387</c:v>
                </c:pt>
                <c:pt idx="7398" formatCode="0.00">
                  <c:v>1.4536695947860583</c:v>
                </c:pt>
                <c:pt idx="7399" formatCode="0.00">
                  <c:v>1.3941626523094361</c:v>
                </c:pt>
                <c:pt idx="7400" formatCode="0.00">
                  <c:v>1.4820062340606404</c:v>
                </c:pt>
                <c:pt idx="7401" formatCode="0.00">
                  <c:v>1.4026636440918108</c:v>
                </c:pt>
                <c:pt idx="7402" formatCode="0.00">
                  <c:v>1.5358458486823463</c:v>
                </c:pt>
                <c:pt idx="7403" formatCode="0.00">
                  <c:v>1.657693397563049</c:v>
                </c:pt>
                <c:pt idx="7404" formatCode="0.00">
                  <c:v>1.405497308019269</c:v>
                </c:pt>
                <c:pt idx="7405" formatCode="0.00">
                  <c:v>2.184754888070275</c:v>
                </c:pt>
                <c:pt idx="7406" formatCode="0.00">
                  <c:v>1.0824596202890338</c:v>
                </c:pt>
                <c:pt idx="7407" formatCode="0.00">
                  <c:v>1.0824596202890338</c:v>
                </c:pt>
                <c:pt idx="7408" formatCode="0.00">
                  <c:v>0.88126948143950135</c:v>
                </c:pt>
                <c:pt idx="7409" formatCode="0.00">
                  <c:v>0.95494474355341463</c:v>
                </c:pt>
                <c:pt idx="7410" formatCode="0.00">
                  <c:v>1.3261547180504392</c:v>
                </c:pt>
                <c:pt idx="7411" formatCode="0.00">
                  <c:v>0.13233210541229809</c:v>
                </c:pt>
                <c:pt idx="7412" formatCode="0.00">
                  <c:v>0.32728818362142253</c:v>
                </c:pt>
                <c:pt idx="7413" formatCode="0.00">
                  <c:v>0.49192405780674414</c:v>
                </c:pt>
                <c:pt idx="7414" formatCode="0.00">
                  <c:v>0.61207140833097196</c:v>
                </c:pt>
                <c:pt idx="7415" formatCode="0.00">
                  <c:v>0.33295551147633889</c:v>
                </c:pt>
                <c:pt idx="7416" formatCode="0.00">
                  <c:v>0.29045055256446584</c:v>
                </c:pt>
                <c:pt idx="7417" formatCode="0.00">
                  <c:v>0.22640974780391046</c:v>
                </c:pt>
                <c:pt idx="7418" formatCode="0.00">
                  <c:v>0.20969113063190706</c:v>
                </c:pt>
                <c:pt idx="7419" formatCode="0.00">
                  <c:v>0.16293567582884672</c:v>
                </c:pt>
                <c:pt idx="7420" formatCode="0.00">
                  <c:v>0.1711533012184755</c:v>
                </c:pt>
                <c:pt idx="7421" formatCode="0.00">
                  <c:v>0.12893170869934825</c:v>
                </c:pt>
                <c:pt idx="7422" formatCode="0.00">
                  <c:v>6.9991499008217634E-2</c:v>
                </c:pt>
                <c:pt idx="7423" formatCode="0.00">
                  <c:v>0.19750637574383678</c:v>
                </c:pt>
                <c:pt idx="7424" formatCode="0.00">
                  <c:v>0.3145366959478606</c:v>
                </c:pt>
                <c:pt idx="7425" formatCode="0.00">
                  <c:v>5.1005950694247668E-2</c:v>
                </c:pt>
                <c:pt idx="7426" formatCode="0.00">
                  <c:v>0.37971096627939926</c:v>
                </c:pt>
                <c:pt idx="7427" formatCode="0.00">
                  <c:v>0.35137432700481724</c:v>
                </c:pt>
                <c:pt idx="7428" formatCode="0.00">
                  <c:v>0.31170303202040239</c:v>
                </c:pt>
                <c:pt idx="7429" formatCode="0.00">
                  <c:v>0.69424766222725987</c:v>
                </c:pt>
                <c:pt idx="7430" formatCode="0.00">
                  <c:v>1.3884953244545197</c:v>
                </c:pt>
                <c:pt idx="7431" formatCode="0.00">
                  <c:v>1.6520260697081326</c:v>
                </c:pt>
                <c:pt idx="7432" formatCode="0.00">
                  <c:v>2.0515726834797396</c:v>
                </c:pt>
                <c:pt idx="7433" formatCode="0.00">
                  <c:v>2.2527628223292719</c:v>
                </c:pt>
                <c:pt idx="7434" formatCode="0.00">
                  <c:v>1.8135449135732502</c:v>
                </c:pt>
                <c:pt idx="7435" formatCode="0.00">
                  <c:v>1.7710399546613773</c:v>
                </c:pt>
                <c:pt idx="7436" formatCode="0.00">
                  <c:v>1.3856616605270615</c:v>
                </c:pt>
                <c:pt idx="7437" formatCode="0.00">
                  <c:v>1.2779824312836499</c:v>
                </c:pt>
                <c:pt idx="7438" formatCode="0.00">
                  <c:v>1.3289883819778974</c:v>
                </c:pt>
                <c:pt idx="7439" formatCode="0.00">
                  <c:v>1.255313119863984</c:v>
                </c:pt>
                <c:pt idx="7440" formatCode="0.00">
                  <c:v>0.87560215358458482</c:v>
                </c:pt>
                <c:pt idx="7441" formatCode="0.00">
                  <c:v>0.65741003117030317</c:v>
                </c:pt>
                <c:pt idx="7442" formatCode="0.00">
                  <c:v>0.46188722017568717</c:v>
                </c:pt>
                <c:pt idx="7443" formatCode="0.00">
                  <c:v>0.47888920374043636</c:v>
                </c:pt>
                <c:pt idx="7444" formatCode="0.00">
                  <c:v>0.57523377727401537</c:v>
                </c:pt>
                <c:pt idx="7445" formatCode="0.00">
                  <c:v>0.48739019552281099</c:v>
                </c:pt>
                <c:pt idx="7446" formatCode="0.00">
                  <c:v>1.4508359308586003</c:v>
                </c:pt>
                <c:pt idx="7447" formatCode="0.00">
                  <c:v>0.74241994899404928</c:v>
                </c:pt>
                <c:pt idx="7448" formatCode="0.00">
                  <c:v>0.40153017852082745</c:v>
                </c:pt>
                <c:pt idx="7449" formatCode="0.00">
                  <c:v>0.92717483706432413</c:v>
                </c:pt>
                <c:pt idx="7450" formatCode="0.00">
                  <c:v>2.1569849815811848</c:v>
                </c:pt>
                <c:pt idx="7451" formatCode="0.00">
                  <c:v>1.8175120430716918</c:v>
                </c:pt>
                <c:pt idx="7452" formatCode="0.00">
                  <c:v>1.4190988948710683</c:v>
                </c:pt>
                <c:pt idx="7453" formatCode="0.00">
                  <c:v>2.5233777274015301</c:v>
                </c:pt>
                <c:pt idx="7454" formatCode="0.00">
                  <c:v>2.6871635024086142</c:v>
                </c:pt>
                <c:pt idx="7455" formatCode="0.00">
                  <c:v>2.3955794842731652</c:v>
                </c:pt>
                <c:pt idx="7456" formatCode="0.00">
                  <c:v>1.0937942759988666</c:v>
                </c:pt>
                <c:pt idx="7457" formatCode="0.00">
                  <c:v>1.2983848115613488</c:v>
                </c:pt>
                <c:pt idx="7458" formatCode="0.00">
                  <c:v>1.3431567016151884</c:v>
                </c:pt>
                <c:pt idx="7459" formatCode="0.00">
                  <c:v>1.3802776990648911</c:v>
                </c:pt>
                <c:pt idx="7460" formatCode="0.00">
                  <c:v>9.2660810427883253E-2</c:v>
                </c:pt>
                <c:pt idx="7461" formatCode="0.00">
                  <c:v>0.41569849815811843</c:v>
                </c:pt>
                <c:pt idx="7462" formatCode="0.00">
                  <c:v>1.1569849815811843</c:v>
                </c:pt>
                <c:pt idx="7463" formatCode="0.00">
                  <c:v>0.77018985548313967</c:v>
                </c:pt>
                <c:pt idx="7464" formatCode="0.00">
                  <c:v>0.60810427883253049</c:v>
                </c:pt>
                <c:pt idx="7465" formatCode="0.00">
                  <c:v>1.0784924907905924</c:v>
                </c:pt>
                <c:pt idx="7466" formatCode="0.00">
                  <c:v>1.0518560498724852</c:v>
                </c:pt>
                <c:pt idx="7467" formatCode="0.00">
                  <c:v>1.2431283649759137</c:v>
                </c:pt>
                <c:pt idx="7468" formatCode="0.00">
                  <c:v>0.55681496174553691</c:v>
                </c:pt>
                <c:pt idx="7469" formatCode="0.00">
                  <c:v>1.3754604703882121</c:v>
                </c:pt>
                <c:pt idx="7470" formatCode="0.00">
                  <c:v>1.0527061490507226</c:v>
                </c:pt>
                <c:pt idx="7471" formatCode="0.00">
                  <c:v>0.69368092944176829</c:v>
                </c:pt>
                <c:pt idx="7472" formatCode="0.00">
                  <c:v>0.36469254746387075</c:v>
                </c:pt>
                <c:pt idx="7473" formatCode="0.00">
                  <c:v>0.65372626806460754</c:v>
                </c:pt>
                <c:pt idx="7474" formatCode="0.00">
                  <c:v>0.85349957495041096</c:v>
                </c:pt>
                <c:pt idx="7475" formatCode="0.00">
                  <c:v>0.87928591669028056</c:v>
                </c:pt>
                <c:pt idx="7476" formatCode="0.00">
                  <c:v>1.126381411164636</c:v>
                </c:pt>
                <c:pt idx="7477" formatCode="0.00">
                  <c:v>2.2555964862567297</c:v>
                </c:pt>
                <c:pt idx="7478" formatCode="0.00">
                  <c:v>0.35647492207424203</c:v>
                </c:pt>
                <c:pt idx="7479" formatCode="0.00">
                  <c:v>0.33607254179654295</c:v>
                </c:pt>
                <c:pt idx="7480" formatCode="0.00">
                  <c:v>0.37120997449702464</c:v>
                </c:pt>
                <c:pt idx="7481" formatCode="0.00">
                  <c:v>0.31170303202040239</c:v>
                </c:pt>
                <c:pt idx="7482" formatCode="0.00">
                  <c:v>0.19835647492207426</c:v>
                </c:pt>
                <c:pt idx="7483" formatCode="0.00">
                  <c:v>0.17001983564749221</c:v>
                </c:pt>
                <c:pt idx="7484" formatCode="0.00">
                  <c:v>0.19835647492207426</c:v>
                </c:pt>
                <c:pt idx="7485" formatCode="0.00">
                  <c:v>3.995466137716067</c:v>
                </c:pt>
                <c:pt idx="7486" formatCode="0.00">
                  <c:v>4.562198923207708</c:v>
                </c:pt>
                <c:pt idx="7487" formatCode="0.00">
                  <c:v>2.4086143383394729</c:v>
                </c:pt>
                <c:pt idx="7488" formatCode="0.00">
                  <c:v>1.7852082742986681</c:v>
                </c:pt>
                <c:pt idx="7489" formatCode="0.00">
                  <c:v>0.65174270331538686</c:v>
                </c:pt>
                <c:pt idx="7490" formatCode="0.00">
                  <c:v>0.29753471238311135</c:v>
                </c:pt>
                <c:pt idx="7491" formatCode="0.00">
                  <c:v>0.51168541791744004</c:v>
                </c:pt>
                <c:pt idx="7492" formatCode="0.00">
                  <c:v>0.38624178751488009</c:v>
                </c:pt>
                <c:pt idx="7493" formatCode="0.00">
                  <c:v>0.24041002756608004</c:v>
                </c:pt>
                <c:pt idx="7494" formatCode="0.00">
                  <c:v>0.18066148125696002</c:v>
                </c:pt>
                <c:pt idx="7495" formatCode="0.00">
                  <c:v>0.14809710767616002</c:v>
                </c:pt>
                <c:pt idx="7496" formatCode="0.00">
                  <c:v>0.14554859148288002</c:v>
                </c:pt>
                <c:pt idx="7497" formatCode="0.00">
                  <c:v>7.0225779548160006E-2</c:v>
                </c:pt>
                <c:pt idx="7498" formatCode="0.00">
                  <c:v>7.3340632673280004E-2</c:v>
                </c:pt>
                <c:pt idx="7499" formatCode="0.00">
                  <c:v>6.7677263354880016E-2</c:v>
                </c:pt>
                <c:pt idx="7500" formatCode="0.00">
                  <c:v>5.4651513922560006E-2</c:v>
                </c:pt>
                <c:pt idx="7501" formatCode="0.00">
                  <c:v>4.2192101422080006E-2</c:v>
                </c:pt>
                <c:pt idx="7502" formatCode="0.00">
                  <c:v>3.879407983104001E-2</c:v>
                </c:pt>
                <c:pt idx="7503" formatCode="0.00">
                  <c:v>4.2475269888000003E-2</c:v>
                </c:pt>
                <c:pt idx="7504" formatCode="0.00">
                  <c:v>3.0015857387520006E-2</c:v>
                </c:pt>
                <c:pt idx="7505" formatCode="0.00">
                  <c:v>0.50970323865600009</c:v>
                </c:pt>
                <c:pt idx="7506" formatCode="0.00">
                  <c:v>0.73623801139200007</c:v>
                </c:pt>
                <c:pt idx="7507" formatCode="0.00">
                  <c:v>0.78324397673472013</c:v>
                </c:pt>
                <c:pt idx="7508" formatCode="0.00">
                  <c:v>0.57058445882880005</c:v>
                </c:pt>
                <c:pt idx="7509" formatCode="0.00">
                  <c:v>0.45533489319936005</c:v>
                </c:pt>
                <c:pt idx="7510" formatCode="0.00">
                  <c:v>0.32451106194432006</c:v>
                </c:pt>
                <c:pt idx="7511" formatCode="0.00">
                  <c:v>0.28033678126080003</c:v>
                </c:pt>
                <c:pt idx="7512" formatCode="0.00">
                  <c:v>0.20671298012160003</c:v>
                </c:pt>
                <c:pt idx="7513" formatCode="0.00">
                  <c:v>0.15857434091520001</c:v>
                </c:pt>
                <c:pt idx="7514" formatCode="0.00">
                  <c:v>9.627727841280001E-2</c:v>
                </c:pt>
                <c:pt idx="7515" formatCode="0.00">
                  <c:v>8.4950539776000006E-2</c:v>
                </c:pt>
                <c:pt idx="7516" formatCode="0.00">
                  <c:v>0.32</c:v>
                </c:pt>
                <c:pt idx="7517" formatCode="0.00">
                  <c:v>0.55000000000000004</c:v>
                </c:pt>
                <c:pt idx="7518" formatCode="0.00">
                  <c:v>0.28999999999999998</c:v>
                </c:pt>
                <c:pt idx="7519" formatCode="0.00">
                  <c:v>0.28000000000000003</c:v>
                </c:pt>
                <c:pt idx="7520" formatCode="0.00">
                  <c:v>0.39</c:v>
                </c:pt>
                <c:pt idx="7521" formatCode="0.00">
                  <c:v>0.34003967129498441</c:v>
                </c:pt>
                <c:pt idx="7522" formatCode="0.00">
                  <c:v>0.39</c:v>
                </c:pt>
                <c:pt idx="7523" formatCode="0.00">
                  <c:v>0.38</c:v>
                </c:pt>
                <c:pt idx="7524" formatCode="0.00">
                  <c:v>0.28000000000000003</c:v>
                </c:pt>
                <c:pt idx="7525" formatCode="0.00">
                  <c:v>0.22669311419665628</c:v>
                </c:pt>
                <c:pt idx="7526" formatCode="0.00">
                  <c:v>0.38</c:v>
                </c:pt>
                <c:pt idx="7527" formatCode="0.00">
                  <c:v>0.47</c:v>
                </c:pt>
                <c:pt idx="7528" formatCode="0.00">
                  <c:v>0.66</c:v>
                </c:pt>
                <c:pt idx="7529" formatCode="0.00">
                  <c:v>0.56000000000000005</c:v>
                </c:pt>
                <c:pt idx="7530" formatCode="0.00">
                  <c:v>0.59</c:v>
                </c:pt>
                <c:pt idx="7531" formatCode="0.00">
                  <c:v>0.86</c:v>
                </c:pt>
                <c:pt idx="7532" formatCode="0.00">
                  <c:v>0.82176253896287899</c:v>
                </c:pt>
                <c:pt idx="7533" formatCode="0.00">
                  <c:v>0.65174270331538686</c:v>
                </c:pt>
                <c:pt idx="7534" formatCode="0.00">
                  <c:v>0.76508926041371494</c:v>
                </c:pt>
                <c:pt idx="7535" formatCode="0.00">
                  <c:v>0.42504958911873053</c:v>
                </c:pt>
                <c:pt idx="7536" formatCode="0.00">
                  <c:v>0.39671294984414851</c:v>
                </c:pt>
                <c:pt idx="7537" formatCode="0.00">
                  <c:v>0.39671294984414851</c:v>
                </c:pt>
                <c:pt idx="7538" formatCode="0.00">
                  <c:v>0.31170303202040239</c:v>
                </c:pt>
                <c:pt idx="7539" formatCode="0.00">
                  <c:v>0.31170303202040239</c:v>
                </c:pt>
                <c:pt idx="7540" formatCode="0.00">
                  <c:v>0.31170303202040239</c:v>
                </c:pt>
                <c:pt idx="7541" formatCode="0.00">
                  <c:v>0.31170303202040239</c:v>
                </c:pt>
                <c:pt idx="7542" formatCode="0.00">
                  <c:v>0.36837631056956643</c:v>
                </c:pt>
                <c:pt idx="7543" formatCode="0.00">
                  <c:v>0.14168319637291019</c:v>
                </c:pt>
                <c:pt idx="7544" formatCode="0.00">
                  <c:v>0.31170303202040239</c:v>
                </c:pt>
                <c:pt idx="7545" formatCode="0.00">
                  <c:v>0.14168319637291019</c:v>
                </c:pt>
                <c:pt idx="7546" formatCode="0.00">
                  <c:v>0.70537646999999992</c:v>
                </c:pt>
                <c:pt idx="7547" formatCode="0.00">
                  <c:v>0.66148511999999993</c:v>
                </c:pt>
                <c:pt idx="7548" formatCode="0.00">
                  <c:v>0.92058566999999991</c:v>
                </c:pt>
                <c:pt idx="7549" formatCode="0.00">
                  <c:v>0.98741378999999985</c:v>
                </c:pt>
                <c:pt idx="7550" formatCode="0.00">
                  <c:v>1.18818132</c:v>
                </c:pt>
                <c:pt idx="7551" formatCode="0.00">
                  <c:v>1.24056777</c:v>
                </c:pt>
                <c:pt idx="7552" formatCode="0.00">
                  <c:v>1.2397182600000001</c:v>
                </c:pt>
                <c:pt idx="7553" formatCode="0.00">
                  <c:v>1.1720406299999999</c:v>
                </c:pt>
                <c:pt idx="7554" formatCode="0.00">
                  <c:v>0.84093278069999988</c:v>
                </c:pt>
                <c:pt idx="7555" formatCode="0.00">
                  <c:v>0.86904872999999994</c:v>
                </c:pt>
                <c:pt idx="7556" formatCode="0.00">
                  <c:v>1.1131412700000001</c:v>
                </c:pt>
                <c:pt idx="7557" formatCode="0.00">
                  <c:v>1.06896675</c:v>
                </c:pt>
                <c:pt idx="7558" formatCode="0.00">
                  <c:v>0.94082099819999998</c:v>
                </c:pt>
                <c:pt idx="7559" formatCode="0.00">
                  <c:v>0.5861618999999999</c:v>
                </c:pt>
                <c:pt idx="7560" formatCode="0.00">
                  <c:v>0.60598379999999996</c:v>
                </c:pt>
                <c:pt idx="7561" formatCode="0.00">
                  <c:v>1.4849434799999999</c:v>
                </c:pt>
                <c:pt idx="7562" formatCode="0.00">
                  <c:v>1.6387047899999998</c:v>
                </c:pt>
                <c:pt idx="7563" formatCode="0.00">
                  <c:v>1.70638242</c:v>
                </c:pt>
                <c:pt idx="7564" formatCode="0.00">
                  <c:v>1.868922</c:v>
                </c:pt>
                <c:pt idx="7565" formatCode="0.00">
                  <c:v>1.24226679</c:v>
                </c:pt>
                <c:pt idx="7566" formatCode="0.00">
                  <c:v>1.2404941458000001</c:v>
                </c:pt>
                <c:pt idx="7567" formatCode="0.00">
                  <c:v>0.75096683999999991</c:v>
                </c:pt>
                <c:pt idx="7568" formatCode="0.00">
                  <c:v>0.56435780999999996</c:v>
                </c:pt>
                <c:pt idx="7569" formatCode="0.00">
                  <c:v>0.64732661999999996</c:v>
                </c:pt>
                <c:pt idx="7570" formatCode="0.00">
                  <c:v>0.64732661999999996</c:v>
                </c:pt>
                <c:pt idx="7571" formatCode="0.00">
                  <c:v>0.69348332999999995</c:v>
                </c:pt>
                <c:pt idx="7572" formatCode="0.00">
                  <c:v>0.74983415999999992</c:v>
                </c:pt>
                <c:pt idx="7573" formatCode="0.00">
                  <c:v>0.55133198999999988</c:v>
                </c:pt>
                <c:pt idx="7574" formatCode="0.00">
                  <c:v>0.62184132000000003</c:v>
                </c:pt>
                <c:pt idx="7575" formatCode="0.00">
                  <c:v>0.57568460999999993</c:v>
                </c:pt>
                <c:pt idx="7576" formatCode="0.00">
                  <c:v>0.50659113</c:v>
                </c:pt>
                <c:pt idx="7577" formatCode="0.00">
                  <c:v>0.42673718999999999</c:v>
                </c:pt>
                <c:pt idx="7578" formatCode="0.00">
                  <c:v>0.31630089</c:v>
                </c:pt>
                <c:pt idx="7579" formatCode="0.00">
                  <c:v>0.22653599999999999</c:v>
                </c:pt>
                <c:pt idx="7580" formatCode="0.00">
                  <c:v>0.16423859999999998</c:v>
                </c:pt>
                <c:pt idx="7581" formatCode="0.00">
                  <c:v>0.33329108999999996</c:v>
                </c:pt>
                <c:pt idx="7582" formatCode="0.00">
                  <c:v>0.52443083999999995</c:v>
                </c:pt>
                <c:pt idx="7583" formatCode="0.00">
                  <c:v>0.80108792999999989</c:v>
                </c:pt>
                <c:pt idx="7584" formatCode="0.00">
                  <c:v>0.47940680999999996</c:v>
                </c:pt>
                <c:pt idx="7585" formatCode="0.00">
                  <c:v>0.40833113999999998</c:v>
                </c:pt>
                <c:pt idx="7586" formatCode="0.00">
                  <c:v>0.52896155999999994</c:v>
                </c:pt>
                <c:pt idx="7587" formatCode="0.00">
                  <c:v>0.61957595999999993</c:v>
                </c:pt>
                <c:pt idx="7588" formatCode="0.00">
                  <c:v>0.66544949999999992</c:v>
                </c:pt>
                <c:pt idx="7589" formatCode="0.00">
                  <c:v>0.53434179000000004</c:v>
                </c:pt>
                <c:pt idx="7590" formatCode="0.00">
                  <c:v>0.60485111999999996</c:v>
                </c:pt>
                <c:pt idx="7591" formatCode="0.00">
                  <c:v>0.85545656999999997</c:v>
                </c:pt>
                <c:pt idx="7592" formatCode="0.00">
                  <c:v>0.97750283999999998</c:v>
                </c:pt>
                <c:pt idx="7593" formatCode="0.00">
                  <c:v>1.06896675</c:v>
                </c:pt>
                <c:pt idx="7594" formatCode="0.00">
                  <c:v>0.91633811999999992</c:v>
                </c:pt>
                <c:pt idx="7595" formatCode="0.00">
                  <c:v>1.0117664099999999</c:v>
                </c:pt>
                <c:pt idx="7596" formatCode="0.00">
                  <c:v>0.76201047</c:v>
                </c:pt>
                <c:pt idx="7597" formatCode="0.00">
                  <c:v>0.81892763999999996</c:v>
                </c:pt>
                <c:pt idx="7598" formatCode="0.00">
                  <c:v>1.0191288300000001</c:v>
                </c:pt>
                <c:pt idx="7599" formatCode="0.00">
                  <c:v>1.0624538400000001</c:v>
                </c:pt>
                <c:pt idx="7600" formatCode="0.00">
                  <c:v>1.24000143</c:v>
                </c:pt>
                <c:pt idx="7601" formatCode="0.00">
                  <c:v>1.11399078</c:v>
                </c:pt>
                <c:pt idx="7602" formatCode="0.00">
                  <c:v>0.83421882000000003</c:v>
                </c:pt>
                <c:pt idx="7603" formatCode="0.00">
                  <c:v>0.66941388000000002</c:v>
                </c:pt>
                <c:pt idx="7604" formatCode="0.00">
                  <c:v>0.81864446999999996</c:v>
                </c:pt>
                <c:pt idx="7605" formatCode="0.00">
                  <c:v>0.86168630999999996</c:v>
                </c:pt>
                <c:pt idx="7606" formatCode="0.00">
                  <c:v>0.67536045</c:v>
                </c:pt>
                <c:pt idx="7607" formatCode="0.00">
                  <c:v>0.56209244999999997</c:v>
                </c:pt>
                <c:pt idx="7608" formatCode="0.00">
                  <c:v>0.50857332</c:v>
                </c:pt>
                <c:pt idx="7609" formatCode="0.00">
                  <c:v>0.48903458999999994</c:v>
                </c:pt>
                <c:pt idx="7610" formatCode="0.00">
                  <c:v>0.47289389999999998</c:v>
                </c:pt>
                <c:pt idx="7611" formatCode="0.00">
                  <c:v>0.39672116999999996</c:v>
                </c:pt>
                <c:pt idx="7612" formatCode="0.00">
                  <c:v>0.40833113999999998</c:v>
                </c:pt>
                <c:pt idx="7613" formatCode="0.00">
                  <c:v>0.37803194999999995</c:v>
                </c:pt>
                <c:pt idx="7614" formatCode="0.00">
                  <c:v>0.31884941999999999</c:v>
                </c:pt>
                <c:pt idx="7615" formatCode="0.00">
                  <c:v>0.35028128999999997</c:v>
                </c:pt>
                <c:pt idx="7616" formatCode="0.00">
                  <c:v>0.37689927000000001</c:v>
                </c:pt>
                <c:pt idx="7617" formatCode="0.00">
                  <c:v>0.34886543999999997</c:v>
                </c:pt>
                <c:pt idx="7618" formatCode="0.00">
                  <c:v>0.39983603999999995</c:v>
                </c:pt>
                <c:pt idx="7619" formatCode="0.00">
                  <c:v>0.25032228000000001</c:v>
                </c:pt>
                <c:pt idx="7620" formatCode="0.00">
                  <c:v>0.28798388999999996</c:v>
                </c:pt>
                <c:pt idx="7621" formatCode="0.00">
                  <c:v>0.29166510000000001</c:v>
                </c:pt>
                <c:pt idx="7622" formatCode="0.00">
                  <c:v>0.28543535999999997</c:v>
                </c:pt>
                <c:pt idx="7623" formatCode="0.00">
                  <c:v>0.18660902999999998</c:v>
                </c:pt>
                <c:pt idx="7624" formatCode="0.00">
                  <c:v>0.16622079000000001</c:v>
                </c:pt>
                <c:pt idx="7625" formatCode="0.00">
                  <c:v>0.14639888999999998</c:v>
                </c:pt>
                <c:pt idx="7626" formatCode="0.00">
                  <c:v>0.13224038999999999</c:v>
                </c:pt>
                <c:pt idx="7627" formatCode="0.00">
                  <c:v>7.9570769999999999E-2</c:v>
                </c:pt>
                <c:pt idx="7628" formatCode="0.00">
                  <c:v>0.10533924</c:v>
                </c:pt>
                <c:pt idx="7629" formatCode="0.00">
                  <c:v>6.1447889999999991E-2</c:v>
                </c:pt>
                <c:pt idx="7630" formatCode="0.00">
                  <c:v>5.918252999999999E-2</c:v>
                </c:pt>
                <c:pt idx="7631" formatCode="0.00">
                  <c:v>0.41654307000000002</c:v>
                </c:pt>
                <c:pt idx="7632" formatCode="0.00">
                  <c:v>2.8305179836660606</c:v>
                </c:pt>
                <c:pt idx="7633" formatCode="0.00">
                  <c:v>2.487904553539027</c:v>
                </c:pt>
                <c:pt idx="7634" formatCode="0.00">
                  <c:v>8.3736200699999994</c:v>
                </c:pt>
                <c:pt idx="7635" formatCode="0.00">
                  <c:v>12.68828136</c:v>
                </c:pt>
                <c:pt idx="7636" formatCode="0.00">
                  <c:v>12.594552089999999</c:v>
                </c:pt>
                <c:pt idx="7637" formatCode="0.00">
                  <c:v>14.92617387</c:v>
                </c:pt>
                <c:pt idx="7638" formatCode="0.00">
                  <c:v>12.884234999999999</c:v>
                </c:pt>
                <c:pt idx="7639" formatCode="0.00">
                  <c:v>11.824120524500906</c:v>
                </c:pt>
                <c:pt idx="7640" formatCode="0.00">
                  <c:v>10.547232989999999</c:v>
                </c:pt>
                <c:pt idx="7641" formatCode="0.00">
                  <c:v>12.031610129999999</c:v>
                </c:pt>
                <c:pt idx="7642" formatCode="0.00">
                  <c:v>11.3494536</c:v>
                </c:pt>
                <c:pt idx="7643" formatCode="0.00">
                  <c:v>10.111053373865694</c:v>
                </c:pt>
                <c:pt idx="7644" formatCode="0.00">
                  <c:v>7.2080923500000003</c:v>
                </c:pt>
                <c:pt idx="7645" formatCode="0.00">
                  <c:v>10.24197573</c:v>
                </c:pt>
                <c:pt idx="7646" formatCode="0.00">
                  <c:v>14.109228419999999</c:v>
                </c:pt>
                <c:pt idx="7647" formatCode="0.00">
                  <c:v>18.548484509999998</c:v>
                </c:pt>
                <c:pt idx="7648" formatCode="0.00">
                  <c:v>27.064539089999997</c:v>
                </c:pt>
                <c:pt idx="7649" formatCode="0.00">
                  <c:v>27.107014589999999</c:v>
                </c:pt>
                <c:pt idx="7650" formatCode="0.00">
                  <c:v>25.724012309999996</c:v>
                </c:pt>
                <c:pt idx="7651" formatCode="0.00">
                  <c:v>24.415164081669694</c:v>
                </c:pt>
                <c:pt idx="7652" formatCode="0.00">
                  <c:v>19.875536132486396</c:v>
                </c:pt>
                <c:pt idx="7653" formatCode="0.00">
                  <c:v>13.618777979999999</c:v>
                </c:pt>
                <c:pt idx="7654" formatCode="0.00">
                  <c:v>15.421561540834862</c:v>
                </c:pt>
                <c:pt idx="7655" formatCode="0.00">
                  <c:v>16.278095116152439</c:v>
                </c:pt>
                <c:pt idx="7656" formatCode="0.00">
                  <c:v>13.622841032667884</c:v>
                </c:pt>
                <c:pt idx="7657" formatCode="0.00">
                  <c:v>16.706361903811271</c:v>
                </c:pt>
                <c:pt idx="7658" formatCode="0.00">
                  <c:v>15.592868255898367</c:v>
                </c:pt>
                <c:pt idx="7659" formatCode="0.00">
                  <c:v>16.620708546279502</c:v>
                </c:pt>
                <c:pt idx="7660" formatCode="0.00">
                  <c:v>18.590735769509987</c:v>
                </c:pt>
                <c:pt idx="7661" formatCode="0.00">
                  <c:v>18.076815624319416</c:v>
                </c:pt>
                <c:pt idx="7662" formatCode="0.00">
                  <c:v>17.391588764065343</c:v>
                </c:pt>
                <c:pt idx="7663" formatCode="0.00">
                  <c:v>13.365880960072586</c:v>
                </c:pt>
                <c:pt idx="7664" formatCode="0.00">
                  <c:v>12.081080597096175</c:v>
                </c:pt>
                <c:pt idx="7665" formatCode="0.00">
                  <c:v>10.196706731397461</c:v>
                </c:pt>
                <c:pt idx="7666" formatCode="0.00">
                  <c:v>9.0832130834845834</c:v>
                </c:pt>
                <c:pt idx="7667" formatCode="0.00">
                  <c:v>9.4258265136116197</c:v>
                </c:pt>
                <c:pt idx="7668" formatCode="0.00">
                  <c:v>6.3423056424682338</c:v>
                </c:pt>
                <c:pt idx="7669" formatCode="0.00">
                  <c:v>5.1431586370235909</c:v>
                </c:pt>
                <c:pt idx="7670" formatCode="0.00">
                  <c:v>3.5157448439201451</c:v>
                </c:pt>
                <c:pt idx="7671" formatCode="0.00">
                  <c:v>2.0596377658802179</c:v>
                </c:pt>
                <c:pt idx="7672" formatCode="0.00">
                  <c:v>2.9161713411978099</c:v>
                </c:pt>
                <c:pt idx="7673" formatCode="0.00">
                  <c:v>6.170998927404729</c:v>
                </c:pt>
                <c:pt idx="7674" formatCode="0.00">
                  <c:v>6.00830106</c:v>
                </c:pt>
                <c:pt idx="7675" formatCode="0.00">
                  <c:v>4.8492862499999996</c:v>
                </c:pt>
                <c:pt idx="7676" formatCode="0.00">
                  <c:v>4.6221839099999995</c:v>
                </c:pt>
                <c:pt idx="7677" formatCode="0.00">
                  <c:v>4.2877601399999996</c:v>
                </c:pt>
                <c:pt idx="7678" formatCode="0.00">
                  <c:v>7.5413834399999997</c:v>
                </c:pt>
                <c:pt idx="7679" formatCode="0.00">
                  <c:v>6.5766232499999999</c:v>
                </c:pt>
                <c:pt idx="7680" formatCode="0.00">
                  <c:v>4.5406309499999997</c:v>
                </c:pt>
                <c:pt idx="7681" formatCode="0.00">
                  <c:v>4.9067697599999995</c:v>
                </c:pt>
                <c:pt idx="7682" formatCode="0.00">
                  <c:v>7.6133086199999997</c:v>
                </c:pt>
                <c:pt idx="7683" formatCode="0.00">
                  <c:v>9.4745850299999983</c:v>
                </c:pt>
                <c:pt idx="7684" formatCode="0.00">
                  <c:v>10.547232989999999</c:v>
                </c:pt>
                <c:pt idx="7685" formatCode="0.00">
                  <c:v>12.594268919999999</c:v>
                </c:pt>
                <c:pt idx="7686" formatCode="0.00">
                  <c:v>10.60953039</c:v>
                </c:pt>
                <c:pt idx="7687" formatCode="0.00">
                  <c:v>10.07717079</c:v>
                </c:pt>
                <c:pt idx="7688" formatCode="0.00">
                  <c:v>9.4406046299999993</c:v>
                </c:pt>
                <c:pt idx="7689" formatCode="0.00">
                  <c:v>11.44658091</c:v>
                </c:pt>
                <c:pt idx="7690" formatCode="0.00">
                  <c:v>15.620506709999999</c:v>
                </c:pt>
                <c:pt idx="7691" formatCode="0.00">
                  <c:v>16.778388839999998</c:v>
                </c:pt>
                <c:pt idx="7692" formatCode="0.00">
                  <c:v>18.127977059999999</c:v>
                </c:pt>
                <c:pt idx="7693" formatCode="0.00">
                  <c:v>13.615946279999999</c:v>
                </c:pt>
                <c:pt idx="7694" formatCode="0.00">
                  <c:v>14.518409070000001</c:v>
                </c:pt>
                <c:pt idx="7695" formatCode="0.00">
                  <c:v>15.174513959999999</c:v>
                </c:pt>
                <c:pt idx="7696" formatCode="0.00">
                  <c:v>15.198866579999999</c:v>
                </c:pt>
                <c:pt idx="7697" formatCode="0.00">
                  <c:v>12.151107870000001</c:v>
                </c:pt>
                <c:pt idx="7698" formatCode="0.00">
                  <c:v>16.058004360000002</c:v>
                </c:pt>
                <c:pt idx="7699" formatCode="0.00">
                  <c:v>11.07534504</c:v>
                </c:pt>
                <c:pt idx="7700" formatCode="0.00">
                  <c:v>8.5811836800000005</c:v>
                </c:pt>
                <c:pt idx="7701" formatCode="0.00">
                  <c:v>7.34939418</c:v>
                </c:pt>
                <c:pt idx="7702" formatCode="0.00">
                  <c:v>7.6809862499999992</c:v>
                </c:pt>
                <c:pt idx="7703" formatCode="0.00">
                  <c:v>7.8273851399999996</c:v>
                </c:pt>
                <c:pt idx="7704" formatCode="0.00">
                  <c:v>7.6741901699999993</c:v>
                </c:pt>
                <c:pt idx="7705" formatCode="0.00">
                  <c:v>6.9753266099999998</c:v>
                </c:pt>
                <c:pt idx="7706" formatCode="0.00">
                  <c:v>7.4864484599999992</c:v>
                </c:pt>
                <c:pt idx="7707" formatCode="0.00">
                  <c:v>8.2065497699999987</c:v>
                </c:pt>
                <c:pt idx="7708" formatCode="0.00">
                  <c:v>8.199187349999999</c:v>
                </c:pt>
                <c:pt idx="7709" formatCode="0.00">
                  <c:v>7.1902526399999989</c:v>
                </c:pt>
                <c:pt idx="7710" formatCode="0.00">
                  <c:v>8.4925514700000004</c:v>
                </c:pt>
                <c:pt idx="7711" formatCode="0.00">
                  <c:v>7.9604750399999995</c:v>
                </c:pt>
                <c:pt idx="7712" formatCode="0.00">
                  <c:v>7.54393197</c:v>
                </c:pt>
                <c:pt idx="7713" formatCode="0.00">
                  <c:v>7.3202276699999995</c:v>
                </c:pt>
                <c:pt idx="7714" formatCode="0.00">
                  <c:v>9.7008378599999983</c:v>
                </c:pt>
                <c:pt idx="7715" formatCode="0.00">
                  <c:v>7.9134688199999994</c:v>
                </c:pt>
                <c:pt idx="7716" formatCode="0.00">
                  <c:v>8.4917019599999986</c:v>
                </c:pt>
                <c:pt idx="7717" formatCode="0.00">
                  <c:v>6.7739927399999997</c:v>
                </c:pt>
                <c:pt idx="7718" formatCode="0.00">
                  <c:v>5.9635601999999999</c:v>
                </c:pt>
                <c:pt idx="7719" formatCode="0.00">
                  <c:v>6.0182120100000001</c:v>
                </c:pt>
                <c:pt idx="7720" formatCode="0.00">
                  <c:v>5.53682301</c:v>
                </c:pt>
                <c:pt idx="7721" formatCode="0.00">
                  <c:v>4.8014305199999994</c:v>
                </c:pt>
                <c:pt idx="7722" formatCode="0.00">
                  <c:v>4.6173700200000001</c:v>
                </c:pt>
                <c:pt idx="7723" formatCode="0.00">
                  <c:v>4.9619879099999995</c:v>
                </c:pt>
                <c:pt idx="7724" formatCode="0.00">
                  <c:v>4.0068554999999995</c:v>
                </c:pt>
                <c:pt idx="7725" formatCode="0.00">
                  <c:v>4.3166434799999998</c:v>
                </c:pt>
                <c:pt idx="7726" formatCode="0.00">
                  <c:v>6.5013000299999995</c:v>
                </c:pt>
                <c:pt idx="7727" formatCode="0.00">
                  <c:v>8.0397626399999993</c:v>
                </c:pt>
                <c:pt idx="7728" formatCode="0.00">
                  <c:v>6.4741157099999995</c:v>
                </c:pt>
                <c:pt idx="7729" formatCode="0.00">
                  <c:v>4.0530122099999994</c:v>
                </c:pt>
                <c:pt idx="7730" formatCode="0.00">
                  <c:v>3.0344497199999996</c:v>
                </c:pt>
                <c:pt idx="7731" formatCode="0.00">
                  <c:v>3.4153133699999998</c:v>
                </c:pt>
                <c:pt idx="7732" formatCode="0.00">
                  <c:v>8.6924694900000006</c:v>
                </c:pt>
                <c:pt idx="7733" formatCode="0.00">
                  <c:v>6.1184541899999996</c:v>
                </c:pt>
                <c:pt idx="7734" formatCode="0.00">
                  <c:v>8.9283500999999994</c:v>
                </c:pt>
                <c:pt idx="7735" formatCode="0.00">
                  <c:v>13.30700781</c:v>
                </c:pt>
                <c:pt idx="7736" formatCode="0.00">
                  <c:v>13.592726339999999</c:v>
                </c:pt>
                <c:pt idx="7737" formatCode="0.00">
                  <c:v>12.00046143</c:v>
                </c:pt>
                <c:pt idx="7738" formatCode="0.00">
                  <c:v>16.97490882</c:v>
                </c:pt>
                <c:pt idx="7739" formatCode="0.00">
                  <c:v>18.627205769999996</c:v>
                </c:pt>
                <c:pt idx="7740" formatCode="0.00">
                  <c:v>25.07017278</c:v>
                </c:pt>
                <c:pt idx="7741" formatCode="0.00">
                  <c:v>21.937746239999999</c:v>
                </c:pt>
                <c:pt idx="7742" formatCode="0.00">
                  <c:v>16.597443209999998</c:v>
                </c:pt>
                <c:pt idx="7743" formatCode="0.00">
                  <c:v>17.934571949999999</c:v>
                </c:pt>
                <c:pt idx="7744" formatCode="0.00">
                  <c:v>17.701806209999997</c:v>
                </c:pt>
                <c:pt idx="7745" formatCode="0.00">
                  <c:v>22.220066729999999</c:v>
                </c:pt>
                <c:pt idx="7746" formatCode="0.00">
                  <c:v>25.56628662</c:v>
                </c:pt>
                <c:pt idx="7747" formatCode="0.00">
                  <c:v>27.925092719999999</c:v>
                </c:pt>
                <c:pt idx="7748" formatCode="0.00">
                  <c:v>22.323990119999998</c:v>
                </c:pt>
                <c:pt idx="7749" formatCode="0.00">
                  <c:v>24.057840030000001</c:v>
                </c:pt>
                <c:pt idx="7750" formatCode="0.00">
                  <c:v>27.135048419999997</c:v>
                </c:pt>
                <c:pt idx="7751" formatCode="0.00">
                  <c:v>20.799402839999999</c:v>
                </c:pt>
                <c:pt idx="7752" formatCode="0.00">
                  <c:v>16.9873683</c:v>
                </c:pt>
                <c:pt idx="7753" formatCode="0.00">
                  <c:v>16.40262225</c:v>
                </c:pt>
                <c:pt idx="7754" formatCode="0.00">
                  <c:v>14.995267349999997</c:v>
                </c:pt>
                <c:pt idx="7755" formatCode="0.00">
                  <c:v>13.803404819999999</c:v>
                </c:pt>
                <c:pt idx="7756" formatCode="0.00">
                  <c:v>13.169953529999999</c:v>
                </c:pt>
                <c:pt idx="7757" formatCode="0.00">
                  <c:v>12.39406773</c:v>
                </c:pt>
                <c:pt idx="7758" formatCode="0.00">
                  <c:v>10.371667589999999</c:v>
                </c:pt>
                <c:pt idx="7759" formatCode="0.00">
                  <c:v>9.7982483399999989</c:v>
                </c:pt>
                <c:pt idx="7760" formatCode="0.00">
                  <c:v>11.80564047</c:v>
                </c:pt>
                <c:pt idx="7761" formatCode="0.00">
                  <c:v>13.27189473</c:v>
                </c:pt>
                <c:pt idx="7762" formatCode="0.00">
                  <c:v>11.880680519999999</c:v>
                </c:pt>
                <c:pt idx="7763" formatCode="0.00">
                  <c:v>12.260128319999998</c:v>
                </c:pt>
                <c:pt idx="7764" formatCode="0.00">
                  <c:v>14.172941669999998</c:v>
                </c:pt>
                <c:pt idx="7765" formatCode="0.00">
                  <c:v>11.494153470000001</c:v>
                </c:pt>
                <c:pt idx="7766" formatCode="0.00">
                  <c:v>11.26280358</c:v>
                </c:pt>
                <c:pt idx="7767" formatCode="0.00">
                  <c:v>13.629538439999999</c:v>
                </c:pt>
                <c:pt idx="7768" formatCode="0.00">
                  <c:v>8.7066279899999994</c:v>
                </c:pt>
                <c:pt idx="7769" formatCode="0.00">
                  <c:v>10.392905339999999</c:v>
                </c:pt>
                <c:pt idx="7770" formatCode="0.00">
                  <c:v>8.4180777599999992</c:v>
                </c:pt>
                <c:pt idx="7771" formatCode="0.00">
                  <c:v>8.4291213900000006</c:v>
                </c:pt>
                <c:pt idx="7772" formatCode="0.00">
                  <c:v>7.2205518299999998</c:v>
                </c:pt>
                <c:pt idx="7773" formatCode="0.00">
                  <c:v>7.2463202999999998</c:v>
                </c:pt>
                <c:pt idx="7774" formatCode="0.00">
                  <c:v>6.1065610499999998</c:v>
                </c:pt>
                <c:pt idx="7775" formatCode="0.00">
                  <c:v>6.0785272199999998</c:v>
                </c:pt>
                <c:pt idx="7776" formatCode="0.00">
                  <c:v>5.7956403899999991</c:v>
                </c:pt>
                <c:pt idx="7777" formatCode="0.00">
                  <c:v>5.7160696199999999</c:v>
                </c:pt>
                <c:pt idx="7778" formatCode="0.00">
                  <c:v>8.0148436800000002</c:v>
                </c:pt>
                <c:pt idx="7779" formatCode="0.00">
                  <c:v>9.1863179700000011</c:v>
                </c:pt>
                <c:pt idx="7780" formatCode="0.00">
                  <c:v>5.4340323000000001</c:v>
                </c:pt>
                <c:pt idx="7781" formatCode="0.00">
                  <c:v>3.87829632</c:v>
                </c:pt>
                <c:pt idx="7782" formatCode="0.00">
                  <c:v>7.6254849299999998</c:v>
                </c:pt>
                <c:pt idx="7783" formatCode="0.00">
                  <c:v>3.92332035</c:v>
                </c:pt>
                <c:pt idx="7784" formatCode="0.00">
                  <c:v>2.8023859225352092</c:v>
                </c:pt>
                <c:pt idx="7785" formatCode="0.00">
                  <c:v>5.2581837299999998</c:v>
                </c:pt>
                <c:pt idx="7786" formatCode="0.00">
                  <c:v>5.9828157599999994</c:v>
                </c:pt>
                <c:pt idx="7787" formatCode="0.00">
                  <c:v>4.0927214652029891</c:v>
                </c:pt>
                <c:pt idx="7788" formatCode="0.00">
                  <c:v>6.5754905699999995</c:v>
                </c:pt>
                <c:pt idx="7789" formatCode="0.00">
                  <c:v>6.3214828570836659</c:v>
                </c:pt>
                <c:pt idx="7790" formatCode="0.00">
                  <c:v>5.6458434599999991</c:v>
                </c:pt>
                <c:pt idx="7791" formatCode="0.00">
                  <c:v>6.3087444299999991</c:v>
                </c:pt>
                <c:pt idx="7792" formatCode="0.00">
                  <c:v>5.96440971</c:v>
                </c:pt>
                <c:pt idx="7793" formatCode="0.00">
                  <c:v>5.7574124399999995</c:v>
                </c:pt>
                <c:pt idx="7794" formatCode="0.00">
                  <c:v>3.5070604499999996</c:v>
                </c:pt>
                <c:pt idx="7795" formatCode="0.00">
                  <c:v>4.1322998100000001</c:v>
                </c:pt>
                <c:pt idx="7796" formatCode="0.00">
                  <c:v>8.584581720000001</c:v>
                </c:pt>
                <c:pt idx="7797" formatCode="0.00">
                  <c:v>9.0135842699999991</c:v>
                </c:pt>
                <c:pt idx="7798" formatCode="0.00">
                  <c:v>10.08821442</c:v>
                </c:pt>
                <c:pt idx="7799" formatCode="0.00">
                  <c:v>10.056499379999998</c:v>
                </c:pt>
                <c:pt idx="7800" formatCode="0.00">
                  <c:v>9.5292368399999994</c:v>
                </c:pt>
                <c:pt idx="7801" formatCode="0.00">
                  <c:v>12.074368799999998</c:v>
                </c:pt>
                <c:pt idx="7802" formatCode="0.00">
                  <c:v>9.6646249449047232</c:v>
                </c:pt>
                <c:pt idx="7803" formatCode="0.00">
                  <c:v>8.7848507112676</c:v>
                </c:pt>
                <c:pt idx="7804" formatCode="0.00">
                  <c:v>7.2786016800000004</c:v>
                </c:pt>
                <c:pt idx="7805" formatCode="0.00">
                  <c:v>6.6760159199999993</c:v>
                </c:pt>
                <c:pt idx="7806" formatCode="0.00">
                  <c:v>9.019457173570828</c:v>
                </c:pt>
                <c:pt idx="7807" formatCode="0.00">
                  <c:v>7.3772119374482248</c:v>
                </c:pt>
                <c:pt idx="7808" formatCode="0.00">
                  <c:v>7.4945151685998388</c:v>
                </c:pt>
                <c:pt idx="7809" formatCode="0.00">
                  <c:v>8.4329410178127553</c:v>
                </c:pt>
                <c:pt idx="7810" formatCode="0.00">
                  <c:v>6.907999012841767</c:v>
                </c:pt>
                <c:pt idx="7811" formatCode="0.00">
                  <c:v>8.3156377866611422</c:v>
                </c:pt>
                <c:pt idx="7812" formatCode="0.00">
                  <c:v>7.6118183997514546</c:v>
                </c:pt>
                <c:pt idx="7813" formatCode="0.00">
                  <c:v>7.1426054751449959</c:v>
                </c:pt>
                <c:pt idx="7814" formatCode="0.00">
                  <c:v>7.0253022439933819</c:v>
                </c:pt>
                <c:pt idx="7815" formatCode="0.00">
                  <c:v>5.5003602390223634</c:v>
                </c:pt>
                <c:pt idx="7816" formatCode="0.00">
                  <c:v>5.6176634701739792</c:v>
                </c:pt>
                <c:pt idx="7817" formatCode="0.00">
                  <c:v>3.8581150028997602</c:v>
                </c:pt>
                <c:pt idx="7818" formatCode="0.00">
                  <c:v>4.5619343898094478</c:v>
                </c:pt>
                <c:pt idx="7819" formatCode="0.00">
                  <c:v>3.9167666184755534</c:v>
                </c:pt>
                <c:pt idx="7820" formatCode="0.00">
                  <c:v>2.6674614000000001</c:v>
                </c:pt>
                <c:pt idx="7821" formatCode="0.00">
                  <c:v>1.160140686412594</c:v>
                </c:pt>
                <c:pt idx="7822" formatCode="0.00">
                  <c:v>0.57362453065451835</c:v>
                </c:pt>
                <c:pt idx="7823" formatCode="0.00">
                  <c:v>0.45632129950290107</c:v>
                </c:pt>
                <c:pt idx="7824" formatCode="0.00">
                  <c:v>1.2688847699999999</c:v>
                </c:pt>
                <c:pt idx="7825" formatCode="0.00">
                  <c:v>1.5429933300000001</c:v>
                </c:pt>
                <c:pt idx="7826" formatCode="0.00">
                  <c:v>2.0997055499999999</c:v>
                </c:pt>
                <c:pt idx="7827" formatCode="0.00">
                  <c:v>3.1904763899999997</c:v>
                </c:pt>
                <c:pt idx="7828" formatCode="0.00">
                  <c:v>2.62272054</c:v>
                </c:pt>
                <c:pt idx="7829" formatCode="0.00">
                  <c:v>2.2613956200000001</c:v>
                </c:pt>
                <c:pt idx="7830" formatCode="0.00">
                  <c:v>2.3987330699999996</c:v>
                </c:pt>
                <c:pt idx="7831" formatCode="0.00">
                  <c:v>4.0997352600000001</c:v>
                </c:pt>
                <c:pt idx="7832" formatCode="0.00">
                  <c:v>3.56001324</c:v>
                </c:pt>
                <c:pt idx="7833" formatCode="0.00">
                  <c:v>2.8747418399999995</c:v>
                </c:pt>
                <c:pt idx="7834" formatCode="0.00">
                  <c:v>2.7575094599999996</c:v>
                </c:pt>
                <c:pt idx="7835" formatCode="0.00">
                  <c:v>5.1129175199999999</c:v>
                </c:pt>
                <c:pt idx="7836" formatCode="0.00">
                  <c:v>5.49972774</c:v>
                </c:pt>
                <c:pt idx="7837" formatCode="0.00">
                  <c:v>6.5953124699999996</c:v>
                </c:pt>
                <c:pt idx="7838" formatCode="0.00">
                  <c:v>5.9794177199999998</c:v>
                </c:pt>
                <c:pt idx="7839" formatCode="0.00">
                  <c:v>7.1554227299999997</c:v>
                </c:pt>
                <c:pt idx="7840" formatCode="0.00">
                  <c:v>5.9717721299999988</c:v>
                </c:pt>
                <c:pt idx="7841" formatCode="0.00">
                  <c:v>5.4229886699999996</c:v>
                </c:pt>
                <c:pt idx="7842" formatCode="0.00">
                  <c:v>6.3090276000000003</c:v>
                </c:pt>
                <c:pt idx="7843" formatCode="0.00">
                  <c:v>7.3544912400000007</c:v>
                </c:pt>
                <c:pt idx="7844" formatCode="0.00">
                  <c:v>7.9579265099999992</c:v>
                </c:pt>
                <c:pt idx="7845" formatCode="0.00">
                  <c:v>9.1172244899999999</c:v>
                </c:pt>
                <c:pt idx="7846" formatCode="0.00">
                  <c:v>7.403762819999999</c:v>
                </c:pt>
                <c:pt idx="7847" formatCode="0.00">
                  <c:v>7.7718838199999993</c:v>
                </c:pt>
                <c:pt idx="7848" formatCode="0.00">
                  <c:v>9.6229661099999984</c:v>
                </c:pt>
                <c:pt idx="7849" formatCode="0.00">
                  <c:v>9.6068254199999998</c:v>
                </c:pt>
                <c:pt idx="7850" formatCode="0.00">
                  <c:v>7.0257308700000003</c:v>
                </c:pt>
                <c:pt idx="7851" formatCode="0.00">
                  <c:v>7.8922310699999993</c:v>
                </c:pt>
                <c:pt idx="7852" formatCode="0.00">
                  <c:v>5.7811987199999999</c:v>
                </c:pt>
                <c:pt idx="7853" formatCode="0.00">
                  <c:v>4.6519167599999998</c:v>
                </c:pt>
                <c:pt idx="7854" formatCode="0.00">
                  <c:v>3.8038226100000001</c:v>
                </c:pt>
                <c:pt idx="7855" formatCode="0.00">
                  <c:v>4.22149836</c:v>
                </c:pt>
                <c:pt idx="7856" formatCode="0.00">
                  <c:v>3.8797121699999995</c:v>
                </c:pt>
                <c:pt idx="7857" formatCode="0.00">
                  <c:v>3.9556017299999997</c:v>
                </c:pt>
                <c:pt idx="7858" formatCode="0.00">
                  <c:v>3.7449232499999998</c:v>
                </c:pt>
                <c:pt idx="7859" formatCode="0.00">
                  <c:v>3.7565332199999997</c:v>
                </c:pt>
                <c:pt idx="7860" formatCode="0.00">
                  <c:v>3.5860648799999999</c:v>
                </c:pt>
                <c:pt idx="7861" formatCode="0.00">
                  <c:v>3.8751814499999995</c:v>
                </c:pt>
                <c:pt idx="7862" formatCode="0.00">
                  <c:v>3.9513541799999996</c:v>
                </c:pt>
                <c:pt idx="7863" formatCode="0.00">
                  <c:v>4.1957298899999991</c:v>
                </c:pt>
                <c:pt idx="7864" formatCode="0.00">
                  <c:v>4.1957298899999991</c:v>
                </c:pt>
                <c:pt idx="7865" formatCode="0.00">
                  <c:v>3.9507878400000003</c:v>
                </c:pt>
                <c:pt idx="7866" formatCode="0.00">
                  <c:v>3.2411638199999997</c:v>
                </c:pt>
                <c:pt idx="7867" formatCode="0.00">
                  <c:v>3.8284583999999993</c:v>
                </c:pt>
                <c:pt idx="7868" formatCode="0.00">
                  <c:v>4.0722677699999998</c:v>
                </c:pt>
                <c:pt idx="7869" formatCode="0.00">
                  <c:v>2.6765228399999996</c:v>
                </c:pt>
                <c:pt idx="7870" formatCode="0.00">
                  <c:v>2.8132939499999998</c:v>
                </c:pt>
                <c:pt idx="7871" formatCode="0.00">
                  <c:v>2.7405192599999997</c:v>
                </c:pt>
                <c:pt idx="7872" formatCode="0.00">
                  <c:v>2.4777374999999999</c:v>
                </c:pt>
                <c:pt idx="7873" formatCode="0.00">
                  <c:v>1.9609522499999998</c:v>
                </c:pt>
                <c:pt idx="7874" formatCode="0.00">
                  <c:v>1.9026192299999998</c:v>
                </c:pt>
                <c:pt idx="7875" formatCode="0.00">
                  <c:v>1.7488579199999998</c:v>
                </c:pt>
                <c:pt idx="7876" formatCode="0.00">
                  <c:v>1.6758000599999998</c:v>
                </c:pt>
                <c:pt idx="7877" formatCode="0.00">
                  <c:v>1.3354297199999998</c:v>
                </c:pt>
                <c:pt idx="7878" formatCode="0.00">
                  <c:v>1.2295241399999999</c:v>
                </c:pt>
                <c:pt idx="7879" formatCode="0.00">
                  <c:v>1.4662542599999999</c:v>
                </c:pt>
                <c:pt idx="7880" formatCode="0.00">
                  <c:v>1.6568276699999998</c:v>
                </c:pt>
                <c:pt idx="7881" formatCode="0.00">
                  <c:v>2.7422182799999999</c:v>
                </c:pt>
                <c:pt idx="7882" formatCode="0.00">
                  <c:v>1.0848242699999999</c:v>
                </c:pt>
                <c:pt idx="7883" formatCode="0.00">
                  <c:v>0.84073173000000001</c:v>
                </c:pt>
                <c:pt idx="7884" formatCode="0.00">
                  <c:v>0.53773982999999992</c:v>
                </c:pt>
                <c:pt idx="7885" formatCode="0.00">
                  <c:v>0.62382351000000003</c:v>
                </c:pt>
                <c:pt idx="7886" formatCode="0.00">
                  <c:v>0.9248332199999999</c:v>
                </c:pt>
              </c:numCache>
            </c:numRef>
          </c:xVal>
          <c:yVal>
            <c:numRef>
              <c:f>Sheet2!$B$5:$B$7891</c:f>
              <c:numCache>
                <c:formatCode>0.0000E+00</c:formatCode>
                <c:ptCount val="7887"/>
                <c:pt idx="0">
                  <c:v>5.7600000000000004E-3</c:v>
                </c:pt>
                <c:pt idx="1">
                  <c:v>3.5999999999999999E-3</c:v>
                </c:pt>
                <c:pt idx="2">
                  <c:v>1.312E-2</c:v>
                </c:pt>
                <c:pt idx="3">
                  <c:v>6.8999999999999997E-4</c:v>
                </c:pt>
                <c:pt idx="4">
                  <c:v>1.17E-3</c:v>
                </c:pt>
                <c:pt idx="5">
                  <c:v>8.0000000000000007E-5</c:v>
                </c:pt>
                <c:pt idx="6">
                  <c:v>3.8999999999999999E-4</c:v>
                </c:pt>
                <c:pt idx="7">
                  <c:v>1.0290000000000001E-2</c:v>
                </c:pt>
                <c:pt idx="8">
                  <c:v>2.877E-2</c:v>
                </c:pt>
                <c:pt idx="9">
                  <c:v>1.482E-2</c:v>
                </c:pt>
                <c:pt idx="10">
                  <c:v>6.5399999999999998E-3</c:v>
                </c:pt>
                <c:pt idx="11">
                  <c:v>4.8700000000000002E-3</c:v>
                </c:pt>
                <c:pt idx="12">
                  <c:v>2.3500000000000001E-3</c:v>
                </c:pt>
                <c:pt idx="13">
                  <c:v>1.1429999999999999E-2</c:v>
                </c:pt>
                <c:pt idx="14">
                  <c:v>1.025E-2</c:v>
                </c:pt>
                <c:pt idx="15">
                  <c:v>9.3000000000000005E-4</c:v>
                </c:pt>
                <c:pt idx="16">
                  <c:v>1.043E-2</c:v>
                </c:pt>
                <c:pt idx="17">
                  <c:v>4.6000000000000001E-4</c:v>
                </c:pt>
                <c:pt idx="18">
                  <c:v>1.8190000000000001E-2</c:v>
                </c:pt>
                <c:pt idx="19">
                  <c:v>3.14E-3</c:v>
                </c:pt>
                <c:pt idx="20">
                  <c:v>2.6589999999999999E-2</c:v>
                </c:pt>
                <c:pt idx="21">
                  <c:v>2.0999999999999999E-3</c:v>
                </c:pt>
                <c:pt idx="22">
                  <c:v>5.9800000000000001E-3</c:v>
                </c:pt>
                <c:pt idx="23">
                  <c:v>5.0899999999999999E-3</c:v>
                </c:pt>
                <c:pt idx="24">
                  <c:v>2.96E-3</c:v>
                </c:pt>
                <c:pt idx="25">
                  <c:v>5.7200000000000003E-3</c:v>
                </c:pt>
                <c:pt idx="26">
                  <c:v>2.2499999999999998E-3</c:v>
                </c:pt>
                <c:pt idx="27">
                  <c:v>3.0000000000000001E-3</c:v>
                </c:pt>
                <c:pt idx="28">
                  <c:v>1.9599999999999999E-3</c:v>
                </c:pt>
                <c:pt idx="29">
                  <c:v>1.92E-3</c:v>
                </c:pt>
                <c:pt idx="30">
                  <c:v>4.8999999999999998E-4</c:v>
                </c:pt>
                <c:pt idx="31">
                  <c:v>1.3699999999999999E-3</c:v>
                </c:pt>
                <c:pt idx="32">
                  <c:v>1.2E-4</c:v>
                </c:pt>
                <c:pt idx="33">
                  <c:v>7.7999999999999999E-4</c:v>
                </c:pt>
                <c:pt idx="34">
                  <c:v>5.1000000000000004E-4</c:v>
                </c:pt>
                <c:pt idx="35">
                  <c:v>1.01E-3</c:v>
                </c:pt>
                <c:pt idx="36">
                  <c:v>6.0000000000000002E-5</c:v>
                </c:pt>
                <c:pt idx="37">
                  <c:v>5.9000000000000003E-4</c:v>
                </c:pt>
                <c:pt idx="38">
                  <c:v>4.5900000000000003E-3</c:v>
                </c:pt>
                <c:pt idx="39">
                  <c:v>1.57E-3</c:v>
                </c:pt>
                <c:pt idx="40">
                  <c:v>2.777E-2</c:v>
                </c:pt>
                <c:pt idx="41">
                  <c:v>3.124E-2</c:v>
                </c:pt>
                <c:pt idx="42">
                  <c:v>1.285E-2</c:v>
                </c:pt>
                <c:pt idx="43">
                  <c:v>2.2530000000000001E-2</c:v>
                </c:pt>
                <c:pt idx="44">
                  <c:v>1.257E-2</c:v>
                </c:pt>
                <c:pt idx="45">
                  <c:v>4.8829999999999998E-2</c:v>
                </c:pt>
                <c:pt idx="46">
                  <c:v>2.205E-2</c:v>
                </c:pt>
                <c:pt idx="47">
                  <c:v>5.5500000000000002E-3</c:v>
                </c:pt>
                <c:pt idx="48">
                  <c:v>7.2899999999999996E-3</c:v>
                </c:pt>
                <c:pt idx="49">
                  <c:v>8.2699999999999996E-3</c:v>
                </c:pt>
                <c:pt idx="50">
                  <c:v>3.47E-3</c:v>
                </c:pt>
                <c:pt idx="51">
                  <c:v>5.9000000000000003E-4</c:v>
                </c:pt>
                <c:pt idx="52">
                  <c:v>4.7299999999999998E-3</c:v>
                </c:pt>
                <c:pt idx="53">
                  <c:v>7.2500000000000004E-3</c:v>
                </c:pt>
                <c:pt idx="54">
                  <c:v>7.8300000000000002E-3</c:v>
                </c:pt>
                <c:pt idx="55">
                  <c:v>3.0100000000000001E-3</c:v>
                </c:pt>
                <c:pt idx="56">
                  <c:v>3.6600000000000001E-3</c:v>
                </c:pt>
                <c:pt idx="57">
                  <c:v>8.9599999999999992E-3</c:v>
                </c:pt>
                <c:pt idx="58">
                  <c:v>4.5999999999999999E-3</c:v>
                </c:pt>
                <c:pt idx="59">
                  <c:v>5.7999999999999996E-3</c:v>
                </c:pt>
                <c:pt idx="60">
                  <c:v>4.7999999999999996E-3</c:v>
                </c:pt>
                <c:pt idx="61">
                  <c:v>1.5499999999999999E-3</c:v>
                </c:pt>
                <c:pt idx="62">
                  <c:v>1.8000000000000001E-4</c:v>
                </c:pt>
                <c:pt idx="63">
                  <c:v>8.4999999999999995E-4</c:v>
                </c:pt>
                <c:pt idx="64">
                  <c:v>4.96E-3</c:v>
                </c:pt>
                <c:pt idx="65">
                  <c:v>1.354E-2</c:v>
                </c:pt>
                <c:pt idx="66">
                  <c:v>2.989E-2</c:v>
                </c:pt>
                <c:pt idx="67">
                  <c:v>1.89E-3</c:v>
                </c:pt>
                <c:pt idx="68">
                  <c:v>6.7000000000000002E-3</c:v>
                </c:pt>
                <c:pt idx="69">
                  <c:v>3.9300000000000003E-3</c:v>
                </c:pt>
                <c:pt idx="70">
                  <c:v>3.6800000000000001E-3</c:v>
                </c:pt>
                <c:pt idx="71">
                  <c:v>7.9000000000000008E-3</c:v>
                </c:pt>
                <c:pt idx="72">
                  <c:v>4.7099999999999998E-3</c:v>
                </c:pt>
                <c:pt idx="73">
                  <c:v>2.8E-3</c:v>
                </c:pt>
                <c:pt idx="74">
                  <c:v>7.0200000000000002E-3</c:v>
                </c:pt>
                <c:pt idx="75">
                  <c:v>5.0000000000000002E-5</c:v>
                </c:pt>
                <c:pt idx="76">
                  <c:v>1E-4</c:v>
                </c:pt>
                <c:pt idx="77">
                  <c:v>1.2409999999999999E-2</c:v>
                </c:pt>
                <c:pt idx="78">
                  <c:v>4.5940000000000002E-2</c:v>
                </c:pt>
                <c:pt idx="79">
                  <c:v>2.836E-2</c:v>
                </c:pt>
                <c:pt idx="80">
                  <c:v>8.6300000000000005E-3</c:v>
                </c:pt>
                <c:pt idx="81">
                  <c:v>2.1489999999999999E-2</c:v>
                </c:pt>
                <c:pt idx="82">
                  <c:v>2.2579999999999999E-2</c:v>
                </c:pt>
                <c:pt idx="83">
                  <c:v>2.5499999999999998E-2</c:v>
                </c:pt>
                <c:pt idx="84">
                  <c:v>2.401E-2</c:v>
                </c:pt>
                <c:pt idx="85">
                  <c:v>4.6249999999999999E-2</c:v>
                </c:pt>
                <c:pt idx="86">
                  <c:v>2.4160000000000001E-2</c:v>
                </c:pt>
                <c:pt idx="87">
                  <c:v>5.525E-2</c:v>
                </c:pt>
                <c:pt idx="88">
                  <c:v>6.0769999999999998E-2</c:v>
                </c:pt>
                <c:pt idx="89">
                  <c:v>6.2440000000000002E-2</c:v>
                </c:pt>
                <c:pt idx="90">
                  <c:v>2.9659999999999999E-2</c:v>
                </c:pt>
                <c:pt idx="91">
                  <c:v>2.5020000000000001E-2</c:v>
                </c:pt>
                <c:pt idx="92">
                  <c:v>1.7479999999999999E-2</c:v>
                </c:pt>
                <c:pt idx="93">
                  <c:v>1.1169999999999999E-2</c:v>
                </c:pt>
                <c:pt idx="94">
                  <c:v>5.0800000000000003E-3</c:v>
                </c:pt>
                <c:pt idx="95">
                  <c:v>1.6299999999999999E-3</c:v>
                </c:pt>
                <c:pt idx="96">
                  <c:v>4.8300000000000001E-3</c:v>
                </c:pt>
                <c:pt idx="97">
                  <c:v>1.0829999999999999E-2</c:v>
                </c:pt>
                <c:pt idx="98">
                  <c:v>3.9399999999999999E-3</c:v>
                </c:pt>
                <c:pt idx="99">
                  <c:v>1.5100000000000001E-3</c:v>
                </c:pt>
                <c:pt idx="100">
                  <c:v>8.7000000000000001E-4</c:v>
                </c:pt>
                <c:pt idx="101">
                  <c:v>9.8999999999999999E-4</c:v>
                </c:pt>
                <c:pt idx="102">
                  <c:v>4.0999999999999999E-4</c:v>
                </c:pt>
                <c:pt idx="103">
                  <c:v>1.438E-2</c:v>
                </c:pt>
                <c:pt idx="104">
                  <c:v>3.7299999999999998E-3</c:v>
                </c:pt>
                <c:pt idx="105">
                  <c:v>1.57E-3</c:v>
                </c:pt>
                <c:pt idx="106">
                  <c:v>2.5999999999999999E-3</c:v>
                </c:pt>
                <c:pt idx="107">
                  <c:v>9.6000000000000002E-4</c:v>
                </c:pt>
                <c:pt idx="108">
                  <c:v>3.2000000000000003E-4</c:v>
                </c:pt>
                <c:pt idx="109">
                  <c:v>6.9999999999999999E-4</c:v>
                </c:pt>
                <c:pt idx="110">
                  <c:v>2.1099999999999999E-3</c:v>
                </c:pt>
                <c:pt idx="111">
                  <c:v>4.4600000000000004E-3</c:v>
                </c:pt>
                <c:pt idx="112">
                  <c:v>4.8700000000000002E-3</c:v>
                </c:pt>
                <c:pt idx="113">
                  <c:v>6.7600000000000004E-3</c:v>
                </c:pt>
                <c:pt idx="114">
                  <c:v>1.243E-2</c:v>
                </c:pt>
                <c:pt idx="115">
                  <c:v>1.9349999999999999E-2</c:v>
                </c:pt>
                <c:pt idx="116">
                  <c:v>1.6580000000000001E-2</c:v>
                </c:pt>
                <c:pt idx="117">
                  <c:v>6.2700000000000004E-3</c:v>
                </c:pt>
                <c:pt idx="118">
                  <c:v>4.8799999999999998E-3</c:v>
                </c:pt>
                <c:pt idx="119">
                  <c:v>3.3999999999999998E-3</c:v>
                </c:pt>
                <c:pt idx="120">
                  <c:v>6.9300000000000004E-3</c:v>
                </c:pt>
                <c:pt idx="121">
                  <c:v>2.7100000000000002E-3</c:v>
                </c:pt>
                <c:pt idx="122">
                  <c:v>8.2799999999999992E-3</c:v>
                </c:pt>
                <c:pt idx="123">
                  <c:v>1.65E-3</c:v>
                </c:pt>
                <c:pt idx="124">
                  <c:v>1.3799999999999999E-3</c:v>
                </c:pt>
                <c:pt idx="125">
                  <c:v>2.15E-3</c:v>
                </c:pt>
                <c:pt idx="126">
                  <c:v>2.8E-3</c:v>
                </c:pt>
                <c:pt idx="127">
                  <c:v>5.9000000000000003E-4</c:v>
                </c:pt>
                <c:pt idx="128">
                  <c:v>1.8000000000000001E-4</c:v>
                </c:pt>
                <c:pt idx="129">
                  <c:v>1.6000000000000001E-4</c:v>
                </c:pt>
                <c:pt idx="130">
                  <c:v>1.4E-3</c:v>
                </c:pt>
                <c:pt idx="131">
                  <c:v>1.3999999999999999E-4</c:v>
                </c:pt>
                <c:pt idx="132">
                  <c:v>2.9E-4</c:v>
                </c:pt>
                <c:pt idx="133">
                  <c:v>2.9099999999999998E-3</c:v>
                </c:pt>
                <c:pt idx="134">
                  <c:v>1.7600000000000001E-3</c:v>
                </c:pt>
                <c:pt idx="135">
                  <c:v>2.7E-4</c:v>
                </c:pt>
                <c:pt idx="136">
                  <c:v>7.1399999999999996E-3</c:v>
                </c:pt>
                <c:pt idx="137">
                  <c:v>3.14E-3</c:v>
                </c:pt>
                <c:pt idx="138">
                  <c:v>5.8700000000000002E-3</c:v>
                </c:pt>
                <c:pt idx="139">
                  <c:v>2.07E-2</c:v>
                </c:pt>
                <c:pt idx="140">
                  <c:v>1.538E-2</c:v>
                </c:pt>
                <c:pt idx="141">
                  <c:v>2.087E-2</c:v>
                </c:pt>
                <c:pt idx="142">
                  <c:v>8.5800000000000008E-3</c:v>
                </c:pt>
                <c:pt idx="143">
                  <c:v>4.0099999999999997E-3</c:v>
                </c:pt>
                <c:pt idx="144">
                  <c:v>3.8899999999999998E-3</c:v>
                </c:pt>
                <c:pt idx="145">
                  <c:v>7.6000000000000004E-4</c:v>
                </c:pt>
                <c:pt idx="146">
                  <c:v>1.57E-3</c:v>
                </c:pt>
                <c:pt idx="147">
                  <c:v>1.9E-3</c:v>
                </c:pt>
                <c:pt idx="148">
                  <c:v>3.65E-3</c:v>
                </c:pt>
                <c:pt idx="149">
                  <c:v>1.9000000000000001E-4</c:v>
                </c:pt>
                <c:pt idx="150">
                  <c:v>1.49E-3</c:v>
                </c:pt>
                <c:pt idx="151">
                  <c:v>1.11E-2</c:v>
                </c:pt>
                <c:pt idx="152">
                  <c:v>2.7060000000000001E-2</c:v>
                </c:pt>
                <c:pt idx="153">
                  <c:v>3.8800000000000002E-3</c:v>
                </c:pt>
                <c:pt idx="154">
                  <c:v>3.6600000000000001E-3</c:v>
                </c:pt>
                <c:pt idx="155">
                  <c:v>2.4330000000000001E-2</c:v>
                </c:pt>
                <c:pt idx="156">
                  <c:v>1.2959999999999999E-2</c:v>
                </c:pt>
                <c:pt idx="157">
                  <c:v>1.218E-2</c:v>
                </c:pt>
                <c:pt idx="158">
                  <c:v>5.3299999999999997E-3</c:v>
                </c:pt>
                <c:pt idx="159">
                  <c:v>1.6900000000000001E-3</c:v>
                </c:pt>
                <c:pt idx="160">
                  <c:v>7.5000000000000002E-4</c:v>
                </c:pt>
                <c:pt idx="161">
                  <c:v>4.3299999999999996E-3</c:v>
                </c:pt>
                <c:pt idx="162">
                  <c:v>4.7699999999999999E-3</c:v>
                </c:pt>
                <c:pt idx="163">
                  <c:v>2E-3</c:v>
                </c:pt>
                <c:pt idx="164">
                  <c:v>6.7600000000000004E-3</c:v>
                </c:pt>
                <c:pt idx="165">
                  <c:v>3.0849999999999999E-2</c:v>
                </c:pt>
                <c:pt idx="166">
                  <c:v>1.8020000000000001E-2</c:v>
                </c:pt>
                <c:pt idx="167">
                  <c:v>2.9829999999999999E-2</c:v>
                </c:pt>
                <c:pt idx="168">
                  <c:v>2.1360000000000001E-2</c:v>
                </c:pt>
                <c:pt idx="169">
                  <c:v>2.7109999999999999E-2</c:v>
                </c:pt>
                <c:pt idx="170">
                  <c:v>9.9000000000000008E-3</c:v>
                </c:pt>
                <c:pt idx="171">
                  <c:v>1.1089999999999999E-2</c:v>
                </c:pt>
                <c:pt idx="172">
                  <c:v>2.325E-2</c:v>
                </c:pt>
                <c:pt idx="173">
                  <c:v>1.1939999999999999E-2</c:v>
                </c:pt>
                <c:pt idx="174">
                  <c:v>2.8250000000000001E-2</c:v>
                </c:pt>
                <c:pt idx="175">
                  <c:v>7.7200000000000003E-3</c:v>
                </c:pt>
                <c:pt idx="176">
                  <c:v>1.401E-2</c:v>
                </c:pt>
                <c:pt idx="177">
                  <c:v>1.167E-2</c:v>
                </c:pt>
                <c:pt idx="178">
                  <c:v>2.0469999999999999E-2</c:v>
                </c:pt>
                <c:pt idx="179">
                  <c:v>1.1129999999999999E-2</c:v>
                </c:pt>
                <c:pt idx="180">
                  <c:v>5.1500000000000001E-3</c:v>
                </c:pt>
                <c:pt idx="181">
                  <c:v>2.2000000000000001E-4</c:v>
                </c:pt>
                <c:pt idx="182">
                  <c:v>7.7299999999999999E-3</c:v>
                </c:pt>
                <c:pt idx="183">
                  <c:v>8.8999999999999995E-4</c:v>
                </c:pt>
                <c:pt idx="184">
                  <c:v>1.4300000000000001E-3</c:v>
                </c:pt>
                <c:pt idx="185">
                  <c:v>4.8599999999999997E-3</c:v>
                </c:pt>
                <c:pt idx="186">
                  <c:v>5.1999999999999995E-4</c:v>
                </c:pt>
                <c:pt idx="187">
                  <c:v>2.2000000000000001E-4</c:v>
                </c:pt>
                <c:pt idx="188">
                  <c:v>2.5799999999999998E-3</c:v>
                </c:pt>
                <c:pt idx="189">
                  <c:v>1.3089999999999999E-2</c:v>
                </c:pt>
                <c:pt idx="190">
                  <c:v>2.8400000000000001E-3</c:v>
                </c:pt>
                <c:pt idx="191">
                  <c:v>6.43E-3</c:v>
                </c:pt>
                <c:pt idx="192">
                  <c:v>6.7099999999999998E-3</c:v>
                </c:pt>
                <c:pt idx="193">
                  <c:v>1.34E-2</c:v>
                </c:pt>
                <c:pt idx="194">
                  <c:v>8.26E-3</c:v>
                </c:pt>
                <c:pt idx="195">
                  <c:v>1.704E-2</c:v>
                </c:pt>
                <c:pt idx="196">
                  <c:v>5.5969999999999999E-2</c:v>
                </c:pt>
                <c:pt idx="197">
                  <c:v>0.10245</c:v>
                </c:pt>
                <c:pt idx="198">
                  <c:v>4.4229999999999998E-2</c:v>
                </c:pt>
                <c:pt idx="199">
                  <c:v>2.9870000000000001E-2</c:v>
                </c:pt>
                <c:pt idx="200">
                  <c:v>3.7499999999999999E-3</c:v>
                </c:pt>
                <c:pt idx="201">
                  <c:v>6.1000000000000004E-3</c:v>
                </c:pt>
                <c:pt idx="202">
                  <c:v>2.32E-3</c:v>
                </c:pt>
                <c:pt idx="203">
                  <c:v>3.6999999999999999E-4</c:v>
                </c:pt>
                <c:pt idx="204">
                  <c:v>4.0600000000000002E-3</c:v>
                </c:pt>
                <c:pt idx="205">
                  <c:v>1.1730000000000001E-2</c:v>
                </c:pt>
                <c:pt idx="206">
                  <c:v>6.046E-2</c:v>
                </c:pt>
                <c:pt idx="207">
                  <c:v>9.6100000000000005E-3</c:v>
                </c:pt>
                <c:pt idx="208">
                  <c:v>9.6100000000000005E-3</c:v>
                </c:pt>
                <c:pt idx="209">
                  <c:v>1.7299999999999999E-2</c:v>
                </c:pt>
                <c:pt idx="210">
                  <c:v>2.6099999999999999E-3</c:v>
                </c:pt>
                <c:pt idx="211">
                  <c:v>2.7000000000000001E-3</c:v>
                </c:pt>
                <c:pt idx="212">
                  <c:v>3.8000000000000002E-4</c:v>
                </c:pt>
                <c:pt idx="213">
                  <c:v>6.2120000000000002E-2</c:v>
                </c:pt>
                <c:pt idx="214">
                  <c:v>4.9430000000000002E-2</c:v>
                </c:pt>
                <c:pt idx="215">
                  <c:v>4.1680000000000002E-2</c:v>
                </c:pt>
                <c:pt idx="216">
                  <c:v>0.25351000000000001</c:v>
                </c:pt>
                <c:pt idx="217">
                  <c:v>0.12136</c:v>
                </c:pt>
                <c:pt idx="218">
                  <c:v>0.11515</c:v>
                </c:pt>
                <c:pt idx="219">
                  <c:v>6.9040000000000004E-2</c:v>
                </c:pt>
                <c:pt idx="220">
                  <c:v>0.36613000000000001</c:v>
                </c:pt>
                <c:pt idx="221">
                  <c:v>0.38127</c:v>
                </c:pt>
                <c:pt idx="222">
                  <c:v>0.22517000000000001</c:v>
                </c:pt>
                <c:pt idx="223">
                  <c:v>2.3949999999999999E-2</c:v>
                </c:pt>
                <c:pt idx="224">
                  <c:v>1.457E-2</c:v>
                </c:pt>
                <c:pt idx="225">
                  <c:v>8.8000000000000003E-4</c:v>
                </c:pt>
                <c:pt idx="226">
                  <c:v>2.0000000000000001E-4</c:v>
                </c:pt>
                <c:pt idx="227">
                  <c:v>2.8900000000000002E-3</c:v>
                </c:pt>
                <c:pt idx="228">
                  <c:v>4.15E-3</c:v>
                </c:pt>
                <c:pt idx="229">
                  <c:v>1.9279999999999999E-2</c:v>
                </c:pt>
                <c:pt idx="230">
                  <c:v>2.8639999999999999E-2</c:v>
                </c:pt>
                <c:pt idx="231">
                  <c:v>9.7199999999999995E-3</c:v>
                </c:pt>
                <c:pt idx="232">
                  <c:v>4.4999999999999999E-4</c:v>
                </c:pt>
                <c:pt idx="233">
                  <c:v>2.8800000000000002E-3</c:v>
                </c:pt>
                <c:pt idx="234">
                  <c:v>1.191E-2</c:v>
                </c:pt>
                <c:pt idx="235">
                  <c:v>1.3180000000000001E-2</c:v>
                </c:pt>
                <c:pt idx="236">
                  <c:v>2.2399999999999998E-3</c:v>
                </c:pt>
                <c:pt idx="237">
                  <c:v>4.9100000000000003E-3</c:v>
                </c:pt>
                <c:pt idx="238">
                  <c:v>4.8410000000000002E-2</c:v>
                </c:pt>
                <c:pt idx="239">
                  <c:v>0.191</c:v>
                </c:pt>
                <c:pt idx="240">
                  <c:v>0.11833</c:v>
                </c:pt>
                <c:pt idx="241">
                  <c:v>0.24856</c:v>
                </c:pt>
                <c:pt idx="242">
                  <c:v>0.16925999999999999</c:v>
                </c:pt>
                <c:pt idx="243">
                  <c:v>0.11903</c:v>
                </c:pt>
                <c:pt idx="244">
                  <c:v>3.1140000000000001E-2</c:v>
                </c:pt>
                <c:pt idx="245">
                  <c:v>8.2369999999999999E-2</c:v>
                </c:pt>
                <c:pt idx="246">
                  <c:v>7.7539999999999998E-2</c:v>
                </c:pt>
                <c:pt idx="247">
                  <c:v>0.44706000000000001</c:v>
                </c:pt>
                <c:pt idx="248">
                  <c:v>0.24618000000000001</c:v>
                </c:pt>
                <c:pt idx="249">
                  <c:v>0.19633</c:v>
                </c:pt>
                <c:pt idx="250">
                  <c:v>5.7770000000000002E-2</c:v>
                </c:pt>
                <c:pt idx="251">
                  <c:v>9.6250000000000002E-2</c:v>
                </c:pt>
                <c:pt idx="252">
                  <c:v>3.6510000000000001E-2</c:v>
                </c:pt>
                <c:pt idx="253">
                  <c:v>0.10128</c:v>
                </c:pt>
                <c:pt idx="254">
                  <c:v>6.4599999999999996E-3</c:v>
                </c:pt>
                <c:pt idx="255">
                  <c:v>2.1489999999999999E-2</c:v>
                </c:pt>
                <c:pt idx="256">
                  <c:v>0.18015</c:v>
                </c:pt>
                <c:pt idx="257">
                  <c:v>0.19395000000000001</c:v>
                </c:pt>
                <c:pt idx="258">
                  <c:v>7.4870000000000006E-2</c:v>
                </c:pt>
                <c:pt idx="259">
                  <c:v>8.6690000000000003E-2</c:v>
                </c:pt>
                <c:pt idx="260">
                  <c:v>2.019E-2</c:v>
                </c:pt>
                <c:pt idx="261">
                  <c:v>1.473E-2</c:v>
                </c:pt>
                <c:pt idx="262">
                  <c:v>9.1E-4</c:v>
                </c:pt>
                <c:pt idx="263">
                  <c:v>1.418E-2</c:v>
                </c:pt>
                <c:pt idx="264">
                  <c:v>7.2239999999999999E-2</c:v>
                </c:pt>
                <c:pt idx="265">
                  <c:v>0.17288999999999999</c:v>
                </c:pt>
                <c:pt idx="266">
                  <c:v>0.10965</c:v>
                </c:pt>
                <c:pt idx="267">
                  <c:v>7.2730000000000003E-2</c:v>
                </c:pt>
                <c:pt idx="268">
                  <c:v>0.11407</c:v>
                </c:pt>
                <c:pt idx="269">
                  <c:v>4.1709999999999997E-2</c:v>
                </c:pt>
                <c:pt idx="270">
                  <c:v>0.14348</c:v>
                </c:pt>
                <c:pt idx="271">
                  <c:v>0.20141000000000001</c:v>
                </c:pt>
                <c:pt idx="272">
                  <c:v>0.18856999999999999</c:v>
                </c:pt>
                <c:pt idx="273">
                  <c:v>0.16433</c:v>
                </c:pt>
                <c:pt idx="274">
                  <c:v>0.15472</c:v>
                </c:pt>
                <c:pt idx="275">
                  <c:v>6.9889999999999994E-2</c:v>
                </c:pt>
                <c:pt idx="276">
                  <c:v>6.5129999999999993E-2</c:v>
                </c:pt>
                <c:pt idx="277">
                  <c:v>1.427E-2</c:v>
                </c:pt>
                <c:pt idx="278">
                  <c:v>2.3449999999999999E-2</c:v>
                </c:pt>
                <c:pt idx="279">
                  <c:v>1.1999999999999999E-3</c:v>
                </c:pt>
                <c:pt idx="280">
                  <c:v>2.1800000000000001E-3</c:v>
                </c:pt>
                <c:pt idx="281">
                  <c:v>2.3800000000000002E-3</c:v>
                </c:pt>
                <c:pt idx="282">
                  <c:v>1.5299999999999999E-3</c:v>
                </c:pt>
                <c:pt idx="283">
                  <c:v>9.1E-4</c:v>
                </c:pt>
                <c:pt idx="284">
                  <c:v>5.9999999999999995E-4</c:v>
                </c:pt>
                <c:pt idx="285">
                  <c:v>3.6999999999999999E-4</c:v>
                </c:pt>
                <c:pt idx="286">
                  <c:v>2.2200000000000002E-3</c:v>
                </c:pt>
                <c:pt idx="287">
                  <c:v>5.6999999999999998E-4</c:v>
                </c:pt>
                <c:pt idx="288">
                  <c:v>2.9299999999999999E-3</c:v>
                </c:pt>
                <c:pt idx="289">
                  <c:v>2.8E-3</c:v>
                </c:pt>
                <c:pt idx="290">
                  <c:v>1.192E-2</c:v>
                </c:pt>
                <c:pt idx="291">
                  <c:v>4.5500000000000002E-3</c:v>
                </c:pt>
                <c:pt idx="292">
                  <c:v>5.3200000000000001E-3</c:v>
                </c:pt>
                <c:pt idx="293">
                  <c:v>8.3199999999999993E-3</c:v>
                </c:pt>
                <c:pt idx="294">
                  <c:v>3.0089999999999999E-2</c:v>
                </c:pt>
                <c:pt idx="295">
                  <c:v>6.7089999999999997E-2</c:v>
                </c:pt>
                <c:pt idx="296">
                  <c:v>4.7640000000000002E-2</c:v>
                </c:pt>
                <c:pt idx="297">
                  <c:v>1.456E-2</c:v>
                </c:pt>
                <c:pt idx="298">
                  <c:v>1.8489999999999999E-2</c:v>
                </c:pt>
                <c:pt idx="299">
                  <c:v>9.8700000000000003E-3</c:v>
                </c:pt>
                <c:pt idx="300">
                  <c:v>1.2899999999999999E-3</c:v>
                </c:pt>
                <c:pt idx="301">
                  <c:v>3.3700000000000002E-3</c:v>
                </c:pt>
                <c:pt idx="302">
                  <c:v>1.374E-2</c:v>
                </c:pt>
                <c:pt idx="303">
                  <c:v>8.0000000000000007E-5</c:v>
                </c:pt>
                <c:pt idx="304">
                  <c:v>3.0300000000000001E-3</c:v>
                </c:pt>
                <c:pt idx="305">
                  <c:v>1.451E-2</c:v>
                </c:pt>
                <c:pt idx="306">
                  <c:v>8.7209999999999996E-2</c:v>
                </c:pt>
                <c:pt idx="307">
                  <c:v>5.9830000000000001E-2</c:v>
                </c:pt>
                <c:pt idx="308">
                  <c:v>3.8059999999999997E-2</c:v>
                </c:pt>
                <c:pt idx="309">
                  <c:v>7.6499999999999997E-3</c:v>
                </c:pt>
                <c:pt idx="310">
                  <c:v>3.5200000000000001E-3</c:v>
                </c:pt>
                <c:pt idx="311">
                  <c:v>7.7200000000000003E-3</c:v>
                </c:pt>
                <c:pt idx="312">
                  <c:v>9.1800000000000007E-3</c:v>
                </c:pt>
                <c:pt idx="313">
                  <c:v>7.6600000000000001E-3</c:v>
                </c:pt>
                <c:pt idx="314">
                  <c:v>7.5300000000000002E-3</c:v>
                </c:pt>
                <c:pt idx="315">
                  <c:v>7.1819999999999995E-2</c:v>
                </c:pt>
                <c:pt idx="316">
                  <c:v>6.6019999999999995E-2</c:v>
                </c:pt>
                <c:pt idx="317">
                  <c:v>0.19585</c:v>
                </c:pt>
                <c:pt idx="318">
                  <c:v>0.13532</c:v>
                </c:pt>
                <c:pt idx="319">
                  <c:v>0.13247999999999999</c:v>
                </c:pt>
                <c:pt idx="320">
                  <c:v>0.14993000000000001</c:v>
                </c:pt>
                <c:pt idx="321">
                  <c:v>0.27681</c:v>
                </c:pt>
                <c:pt idx="322">
                  <c:v>0.29854000000000003</c:v>
                </c:pt>
                <c:pt idx="323">
                  <c:v>0.14071</c:v>
                </c:pt>
                <c:pt idx="324">
                  <c:v>2.3910000000000001E-2</c:v>
                </c:pt>
                <c:pt idx="325">
                  <c:v>6.9690000000000002E-2</c:v>
                </c:pt>
                <c:pt idx="326">
                  <c:v>1.9000000000000001E-4</c:v>
                </c:pt>
                <c:pt idx="327">
                  <c:v>3.5799999999999998E-3</c:v>
                </c:pt>
                <c:pt idx="328">
                  <c:v>1.0399999999999999E-3</c:v>
                </c:pt>
                <c:pt idx="329">
                  <c:v>8.3000000000000001E-4</c:v>
                </c:pt>
                <c:pt idx="330">
                  <c:v>9.4800000000000006E-3</c:v>
                </c:pt>
                <c:pt idx="331">
                  <c:v>3.6800000000000001E-3</c:v>
                </c:pt>
                <c:pt idx="332">
                  <c:v>2.31E-3</c:v>
                </c:pt>
                <c:pt idx="333">
                  <c:v>4.2999999999999999E-4</c:v>
                </c:pt>
                <c:pt idx="334">
                  <c:v>1.34E-3</c:v>
                </c:pt>
                <c:pt idx="335">
                  <c:v>3.4399999999999999E-3</c:v>
                </c:pt>
                <c:pt idx="336">
                  <c:v>3.1060000000000001E-2</c:v>
                </c:pt>
                <c:pt idx="337">
                  <c:v>3.8500000000000001E-3</c:v>
                </c:pt>
                <c:pt idx="338">
                  <c:v>2.7899999999999999E-3</c:v>
                </c:pt>
                <c:pt idx="339">
                  <c:v>4.0329999999999998E-2</c:v>
                </c:pt>
                <c:pt idx="340">
                  <c:v>4.9270000000000001E-2</c:v>
                </c:pt>
                <c:pt idx="341">
                  <c:v>0.45312999999999998</c:v>
                </c:pt>
                <c:pt idx="342">
                  <c:v>3.1189999999999999E-2</c:v>
                </c:pt>
                <c:pt idx="343">
                  <c:v>8.2530000000000006E-2</c:v>
                </c:pt>
                <c:pt idx="344">
                  <c:v>2.2280000000000001E-2</c:v>
                </c:pt>
                <c:pt idx="345">
                  <c:v>9.0299999999999998E-3</c:v>
                </c:pt>
                <c:pt idx="346">
                  <c:v>1.5259999999999999E-2</c:v>
                </c:pt>
                <c:pt idx="347">
                  <c:v>4.1200000000000004E-3</c:v>
                </c:pt>
                <c:pt idx="348">
                  <c:v>3.3989999999999999E-2</c:v>
                </c:pt>
                <c:pt idx="349">
                  <c:v>0.13563</c:v>
                </c:pt>
                <c:pt idx="350">
                  <c:v>0.27609</c:v>
                </c:pt>
                <c:pt idx="351">
                  <c:v>8.7520000000000001E-2</c:v>
                </c:pt>
                <c:pt idx="352">
                  <c:v>6.0060000000000002E-2</c:v>
                </c:pt>
                <c:pt idx="353">
                  <c:v>7.886E-2</c:v>
                </c:pt>
                <c:pt idx="354">
                  <c:v>2.6700000000000002E-2</c:v>
                </c:pt>
                <c:pt idx="355">
                  <c:v>1.9470000000000001E-2</c:v>
                </c:pt>
                <c:pt idx="356">
                  <c:v>2.4039999999999999E-2</c:v>
                </c:pt>
                <c:pt idx="357">
                  <c:v>1.1950000000000001E-2</c:v>
                </c:pt>
                <c:pt idx="358">
                  <c:v>9.0699999999999999E-3</c:v>
                </c:pt>
                <c:pt idx="359">
                  <c:v>3.9300000000000003E-3</c:v>
                </c:pt>
                <c:pt idx="360">
                  <c:v>8.4200000000000004E-3</c:v>
                </c:pt>
                <c:pt idx="361">
                  <c:v>7.3029999999999998E-2</c:v>
                </c:pt>
                <c:pt idx="362">
                  <c:v>5.935E-2</c:v>
                </c:pt>
                <c:pt idx="363">
                  <c:v>5.2080000000000001E-2</c:v>
                </c:pt>
                <c:pt idx="364">
                  <c:v>0.50688999999999995</c:v>
                </c:pt>
                <c:pt idx="365">
                  <c:v>0.33694000000000002</c:v>
                </c:pt>
                <c:pt idx="366">
                  <c:v>0.22883000000000001</c:v>
                </c:pt>
                <c:pt idx="367">
                  <c:v>0.16109999999999999</c:v>
                </c:pt>
                <c:pt idx="368">
                  <c:v>0.27267000000000002</c:v>
                </c:pt>
                <c:pt idx="369">
                  <c:v>8.9069999999999996E-2</c:v>
                </c:pt>
                <c:pt idx="370">
                  <c:v>8.94E-3</c:v>
                </c:pt>
                <c:pt idx="371">
                  <c:v>1.25E-3</c:v>
                </c:pt>
                <c:pt idx="372">
                  <c:v>0.2364</c:v>
                </c:pt>
                <c:pt idx="373">
                  <c:v>0.15304000000000001</c:v>
                </c:pt>
                <c:pt idx="374">
                  <c:v>3.1890000000000002E-2</c:v>
                </c:pt>
                <c:pt idx="375">
                  <c:v>8.4570000000000006E-2</c:v>
                </c:pt>
                <c:pt idx="376">
                  <c:v>8.3699999999999997E-2</c:v>
                </c:pt>
                <c:pt idx="377">
                  <c:v>9.6140000000000003E-2</c:v>
                </c:pt>
                <c:pt idx="378">
                  <c:v>6.9669999999999996E-2</c:v>
                </c:pt>
                <c:pt idx="379">
                  <c:v>6.0909999999999999E-2</c:v>
                </c:pt>
                <c:pt idx="380">
                  <c:v>6.0220000000000003E-2</c:v>
                </c:pt>
                <c:pt idx="381">
                  <c:v>0.12071999999999999</c:v>
                </c:pt>
                <c:pt idx="382">
                  <c:v>0.39756999999999998</c:v>
                </c:pt>
                <c:pt idx="383">
                  <c:v>0.39227000000000001</c:v>
                </c:pt>
                <c:pt idx="384">
                  <c:v>0.15382000000000001</c:v>
                </c:pt>
                <c:pt idx="385">
                  <c:v>0.41372999999999999</c:v>
                </c:pt>
                <c:pt idx="386">
                  <c:v>0.15659000000000001</c:v>
                </c:pt>
                <c:pt idx="387">
                  <c:v>0.11414000000000001</c:v>
                </c:pt>
                <c:pt idx="388">
                  <c:v>7.4370000000000006E-2</c:v>
                </c:pt>
                <c:pt idx="389">
                  <c:v>2.4070000000000001E-2</c:v>
                </c:pt>
                <c:pt idx="390">
                  <c:v>8.8599999999999998E-3</c:v>
                </c:pt>
                <c:pt idx="391">
                  <c:v>2.2450000000000001E-2</c:v>
                </c:pt>
                <c:pt idx="392">
                  <c:v>4.2000000000000002E-4</c:v>
                </c:pt>
                <c:pt idx="393">
                  <c:v>2.0000000000000001E-4</c:v>
                </c:pt>
                <c:pt idx="394">
                  <c:v>4.2999999999999999E-4</c:v>
                </c:pt>
                <c:pt idx="395">
                  <c:v>4.0000000000000003E-5</c:v>
                </c:pt>
                <c:pt idx="396">
                  <c:v>3.0000000000000001E-5</c:v>
                </c:pt>
                <c:pt idx="397">
                  <c:v>8.0000000000000007E-5</c:v>
                </c:pt>
                <c:pt idx="398">
                  <c:v>1.8000000000000001E-4</c:v>
                </c:pt>
                <c:pt idx="399">
                  <c:v>4.0999999999999999E-4</c:v>
                </c:pt>
                <c:pt idx="400">
                  <c:v>1.6299999999999999E-3</c:v>
                </c:pt>
                <c:pt idx="401">
                  <c:v>1.2600000000000001E-3</c:v>
                </c:pt>
                <c:pt idx="402">
                  <c:v>2.206E-2</c:v>
                </c:pt>
                <c:pt idx="403">
                  <c:v>3.8809999999999997E-2</c:v>
                </c:pt>
                <c:pt idx="404">
                  <c:v>2.0930000000000001E-2</c:v>
                </c:pt>
                <c:pt idx="405">
                  <c:v>4.4889999999999999E-2</c:v>
                </c:pt>
                <c:pt idx="406">
                  <c:v>1.9480000000000001E-2</c:v>
                </c:pt>
                <c:pt idx="407">
                  <c:v>4.1200000000000004E-3</c:v>
                </c:pt>
                <c:pt idx="408">
                  <c:v>6.5900000000000004E-3</c:v>
                </c:pt>
                <c:pt idx="409">
                  <c:v>1.2800000000000001E-3</c:v>
                </c:pt>
                <c:pt idx="410">
                  <c:v>3.49E-3</c:v>
                </c:pt>
                <c:pt idx="411">
                  <c:v>2.3700000000000001E-3</c:v>
                </c:pt>
                <c:pt idx="412">
                  <c:v>5.2900000000000004E-3</c:v>
                </c:pt>
                <c:pt idx="413">
                  <c:v>1.8400000000000001E-3</c:v>
                </c:pt>
                <c:pt idx="414">
                  <c:v>2.5669999999999998E-2</c:v>
                </c:pt>
                <c:pt idx="415">
                  <c:v>2.0969999999999999E-2</c:v>
                </c:pt>
                <c:pt idx="416">
                  <c:v>7.2529999999999997E-2</c:v>
                </c:pt>
                <c:pt idx="417">
                  <c:v>7.2480000000000003E-2</c:v>
                </c:pt>
                <c:pt idx="418">
                  <c:v>1.6299999999999999E-2</c:v>
                </c:pt>
                <c:pt idx="419">
                  <c:v>1.1180000000000001E-2</c:v>
                </c:pt>
                <c:pt idx="420">
                  <c:v>1.7260000000000001E-2</c:v>
                </c:pt>
                <c:pt idx="421">
                  <c:v>4.8199999999999996E-3</c:v>
                </c:pt>
                <c:pt idx="422">
                  <c:v>5.4099999999999999E-3</c:v>
                </c:pt>
                <c:pt idx="423">
                  <c:v>7.6000000000000004E-4</c:v>
                </c:pt>
                <c:pt idx="424">
                  <c:v>1.17E-3</c:v>
                </c:pt>
                <c:pt idx="425">
                  <c:v>4.2470000000000001E-2</c:v>
                </c:pt>
                <c:pt idx="426">
                  <c:v>1.814E-2</c:v>
                </c:pt>
                <c:pt idx="427">
                  <c:v>9.9010000000000001E-2</c:v>
                </c:pt>
                <c:pt idx="428">
                  <c:v>6.2230000000000001E-2</c:v>
                </c:pt>
                <c:pt idx="429">
                  <c:v>8.6440000000000003E-2</c:v>
                </c:pt>
                <c:pt idx="430">
                  <c:v>9.8470000000000002E-2</c:v>
                </c:pt>
                <c:pt idx="431">
                  <c:v>0.18382999999999999</c:v>
                </c:pt>
                <c:pt idx="432">
                  <c:v>0.36170000000000002</c:v>
                </c:pt>
                <c:pt idx="433">
                  <c:v>0.15064</c:v>
                </c:pt>
                <c:pt idx="434">
                  <c:v>0.64337</c:v>
                </c:pt>
                <c:pt idx="435">
                  <c:v>0.35010000000000002</c:v>
                </c:pt>
                <c:pt idx="436">
                  <c:v>0.30019000000000001</c:v>
                </c:pt>
                <c:pt idx="437">
                  <c:v>0.12669</c:v>
                </c:pt>
                <c:pt idx="438">
                  <c:v>0.11536</c:v>
                </c:pt>
                <c:pt idx="439">
                  <c:v>2.0000000000000001E-4</c:v>
                </c:pt>
                <c:pt idx="440">
                  <c:v>2.4000000000000001E-4</c:v>
                </c:pt>
                <c:pt idx="441">
                  <c:v>4.8000000000000001E-4</c:v>
                </c:pt>
                <c:pt idx="442">
                  <c:v>8.0000000000000002E-3</c:v>
                </c:pt>
                <c:pt idx="443">
                  <c:v>3.7499999999999999E-3</c:v>
                </c:pt>
                <c:pt idx="444">
                  <c:v>7.7999999999999999E-4</c:v>
                </c:pt>
                <c:pt idx="445">
                  <c:v>9.0000000000000006E-5</c:v>
                </c:pt>
                <c:pt idx="446">
                  <c:v>5.6999999999999998E-4</c:v>
                </c:pt>
                <c:pt idx="447">
                  <c:v>9.7000000000000005E-4</c:v>
                </c:pt>
                <c:pt idx="448">
                  <c:v>5.6100000000000004E-3</c:v>
                </c:pt>
                <c:pt idx="449">
                  <c:v>6.0099999999999997E-3</c:v>
                </c:pt>
                <c:pt idx="450">
                  <c:v>1.1199999999999999E-3</c:v>
                </c:pt>
                <c:pt idx="451">
                  <c:v>1.754E-2</c:v>
                </c:pt>
                <c:pt idx="452">
                  <c:v>0.10388</c:v>
                </c:pt>
                <c:pt idx="453">
                  <c:v>0.17413000000000001</c:v>
                </c:pt>
                <c:pt idx="454">
                  <c:v>9.2999999999999999E-2</c:v>
                </c:pt>
                <c:pt idx="455">
                  <c:v>2.3390000000000001E-2</c:v>
                </c:pt>
                <c:pt idx="456">
                  <c:v>4.6100000000000004E-3</c:v>
                </c:pt>
                <c:pt idx="457">
                  <c:v>5.5840000000000001E-2</c:v>
                </c:pt>
                <c:pt idx="458">
                  <c:v>4.1599999999999996E-3</c:v>
                </c:pt>
                <c:pt idx="459">
                  <c:v>5.518E-2</c:v>
                </c:pt>
                <c:pt idx="460">
                  <c:v>9.8080000000000001E-2</c:v>
                </c:pt>
                <c:pt idx="461">
                  <c:v>3.7519999999999998E-2</c:v>
                </c:pt>
                <c:pt idx="462">
                  <c:v>7.7350000000000002E-2</c:v>
                </c:pt>
                <c:pt idx="463">
                  <c:v>5.3089999999999998E-2</c:v>
                </c:pt>
                <c:pt idx="464">
                  <c:v>7.0200000000000002E-3</c:v>
                </c:pt>
                <c:pt idx="465">
                  <c:v>1.227E-2</c:v>
                </c:pt>
                <c:pt idx="466">
                  <c:v>4.6499999999999996E-3</c:v>
                </c:pt>
                <c:pt idx="467">
                  <c:v>1.1900000000000001E-3</c:v>
                </c:pt>
                <c:pt idx="468">
                  <c:v>2.8700000000000002E-3</c:v>
                </c:pt>
                <c:pt idx="469">
                  <c:v>0.22911999999999999</c:v>
                </c:pt>
                <c:pt idx="470">
                  <c:v>5.9450000000000003E-2</c:v>
                </c:pt>
                <c:pt idx="471">
                  <c:v>0.17385999999999999</c:v>
                </c:pt>
                <c:pt idx="472">
                  <c:v>6.8680000000000005E-2</c:v>
                </c:pt>
                <c:pt idx="473">
                  <c:v>6.0810000000000003E-2</c:v>
                </c:pt>
                <c:pt idx="474">
                  <c:v>4.836E-2</c:v>
                </c:pt>
                <c:pt idx="475">
                  <c:v>1.8100000000000002E-2</c:v>
                </c:pt>
                <c:pt idx="476">
                  <c:v>2.1700000000000001E-3</c:v>
                </c:pt>
                <c:pt idx="477">
                  <c:v>1.0630000000000001E-2</c:v>
                </c:pt>
                <c:pt idx="478">
                  <c:v>0.11309</c:v>
                </c:pt>
                <c:pt idx="479">
                  <c:v>6.0389999999999999E-2</c:v>
                </c:pt>
                <c:pt idx="480">
                  <c:v>0.14907000000000001</c:v>
                </c:pt>
                <c:pt idx="481">
                  <c:v>0.12733</c:v>
                </c:pt>
                <c:pt idx="482">
                  <c:v>5.6500000000000002E-2</c:v>
                </c:pt>
                <c:pt idx="483">
                  <c:v>5.459E-2</c:v>
                </c:pt>
                <c:pt idx="484">
                  <c:v>4.2869999999999998E-2</c:v>
                </c:pt>
                <c:pt idx="485">
                  <c:v>5.7979999999999997E-2</c:v>
                </c:pt>
                <c:pt idx="486">
                  <c:v>0.13464000000000001</c:v>
                </c:pt>
                <c:pt idx="487">
                  <c:v>0.13869000000000001</c:v>
                </c:pt>
                <c:pt idx="488">
                  <c:v>0.34018999999999999</c:v>
                </c:pt>
                <c:pt idx="489">
                  <c:v>0.30112</c:v>
                </c:pt>
                <c:pt idx="490">
                  <c:v>0.22417999999999999</c:v>
                </c:pt>
                <c:pt idx="491">
                  <c:v>0.21221000000000001</c:v>
                </c:pt>
                <c:pt idx="492">
                  <c:v>0.12676000000000001</c:v>
                </c:pt>
                <c:pt idx="493">
                  <c:v>0.11845</c:v>
                </c:pt>
                <c:pt idx="494">
                  <c:v>7.8829999999999997E-2</c:v>
                </c:pt>
                <c:pt idx="495">
                  <c:v>4.5870000000000001E-2</c:v>
                </c:pt>
                <c:pt idx="496">
                  <c:v>3.5610000000000003E-2</c:v>
                </c:pt>
                <c:pt idx="497">
                  <c:v>1.342E-2</c:v>
                </c:pt>
                <c:pt idx="498">
                  <c:v>2.97E-3</c:v>
                </c:pt>
                <c:pt idx="499">
                  <c:v>2.8300000000000001E-3</c:v>
                </c:pt>
                <c:pt idx="500">
                  <c:v>3.5000000000000001E-3</c:v>
                </c:pt>
                <c:pt idx="501">
                  <c:v>8.4499999999999992E-3</c:v>
                </c:pt>
                <c:pt idx="502">
                  <c:v>3.0400000000000002E-3</c:v>
                </c:pt>
                <c:pt idx="503">
                  <c:v>3.7499999999999999E-3</c:v>
                </c:pt>
                <c:pt idx="504">
                  <c:v>1.34E-3</c:v>
                </c:pt>
                <c:pt idx="505">
                  <c:v>7.5000000000000002E-4</c:v>
                </c:pt>
                <c:pt idx="506">
                  <c:v>2.7299999999999998E-3</c:v>
                </c:pt>
                <c:pt idx="507">
                  <c:v>4.1399999999999996E-3</c:v>
                </c:pt>
                <c:pt idx="508">
                  <c:v>2.5699999999999998E-3</c:v>
                </c:pt>
                <c:pt idx="509">
                  <c:v>1.7000000000000001E-4</c:v>
                </c:pt>
                <c:pt idx="510">
                  <c:v>3.6000000000000002E-4</c:v>
                </c:pt>
                <c:pt idx="511">
                  <c:v>1.1299999999999999E-3</c:v>
                </c:pt>
                <c:pt idx="512">
                  <c:v>1.99E-3</c:v>
                </c:pt>
                <c:pt idx="513">
                  <c:v>8.9599999999999992E-3</c:v>
                </c:pt>
                <c:pt idx="514">
                  <c:v>7.11E-3</c:v>
                </c:pt>
                <c:pt idx="515">
                  <c:v>2.4299999999999999E-2</c:v>
                </c:pt>
                <c:pt idx="516">
                  <c:v>9.8899999999999995E-3</c:v>
                </c:pt>
                <c:pt idx="517">
                  <c:v>4.2900000000000004E-3</c:v>
                </c:pt>
                <c:pt idx="518">
                  <c:v>2.2799999999999999E-3</c:v>
                </c:pt>
                <c:pt idx="519">
                  <c:v>3.0100000000000001E-3</c:v>
                </c:pt>
                <c:pt idx="520">
                  <c:v>2.0300000000000001E-3</c:v>
                </c:pt>
                <c:pt idx="521">
                  <c:v>1.9480000000000001E-2</c:v>
                </c:pt>
                <c:pt idx="522">
                  <c:v>3.0000000000000001E-5</c:v>
                </c:pt>
                <c:pt idx="523">
                  <c:v>8.8000000000000003E-4</c:v>
                </c:pt>
                <c:pt idx="524">
                  <c:v>5.6999999999999998E-4</c:v>
                </c:pt>
                <c:pt idx="525">
                  <c:v>1.6100000000000001E-3</c:v>
                </c:pt>
                <c:pt idx="526">
                  <c:v>1.1900000000000001E-3</c:v>
                </c:pt>
                <c:pt idx="527">
                  <c:v>1.91E-3</c:v>
                </c:pt>
                <c:pt idx="528">
                  <c:v>1.14E-3</c:v>
                </c:pt>
                <c:pt idx="529">
                  <c:v>1.048E-2</c:v>
                </c:pt>
                <c:pt idx="530">
                  <c:v>5.1000000000000004E-4</c:v>
                </c:pt>
                <c:pt idx="531">
                  <c:v>1.9099999999999999E-2</c:v>
                </c:pt>
                <c:pt idx="532">
                  <c:v>0.10777</c:v>
                </c:pt>
                <c:pt idx="533">
                  <c:v>5.0200000000000002E-2</c:v>
                </c:pt>
                <c:pt idx="534">
                  <c:v>1.538E-2</c:v>
                </c:pt>
                <c:pt idx="535">
                  <c:v>0.13514999999999999</c:v>
                </c:pt>
                <c:pt idx="536">
                  <c:v>4.9500000000000002E-2</c:v>
                </c:pt>
                <c:pt idx="537">
                  <c:v>2.1950000000000001E-2</c:v>
                </c:pt>
                <c:pt idx="538">
                  <c:v>8.763E-2</c:v>
                </c:pt>
                <c:pt idx="539">
                  <c:v>5.006E-2</c:v>
                </c:pt>
                <c:pt idx="540">
                  <c:v>7.1239999999999998E-2</c:v>
                </c:pt>
                <c:pt idx="541">
                  <c:v>9.8330000000000001E-2</c:v>
                </c:pt>
                <c:pt idx="542">
                  <c:v>9.239E-2</c:v>
                </c:pt>
                <c:pt idx="543">
                  <c:v>0.1041</c:v>
                </c:pt>
                <c:pt idx="544">
                  <c:v>6.0159999999999998E-2</c:v>
                </c:pt>
                <c:pt idx="545">
                  <c:v>8.9099999999999995E-3</c:v>
                </c:pt>
                <c:pt idx="546">
                  <c:v>7.77E-3</c:v>
                </c:pt>
                <c:pt idx="547">
                  <c:v>1.401E-2</c:v>
                </c:pt>
                <c:pt idx="548">
                  <c:v>2.845E-2</c:v>
                </c:pt>
                <c:pt idx="549">
                  <c:v>1.174E-2</c:v>
                </c:pt>
                <c:pt idx="550">
                  <c:v>1.32E-3</c:v>
                </c:pt>
                <c:pt idx="551">
                  <c:v>3.6999999999999999E-4</c:v>
                </c:pt>
                <c:pt idx="552">
                  <c:v>7.2999999999999996E-4</c:v>
                </c:pt>
                <c:pt idx="553">
                  <c:v>1.1900000000000001E-3</c:v>
                </c:pt>
                <c:pt idx="554">
                  <c:v>4.8000000000000001E-4</c:v>
                </c:pt>
                <c:pt idx="555">
                  <c:v>1.2E-4</c:v>
                </c:pt>
                <c:pt idx="556">
                  <c:v>1.1999999999999999E-3</c:v>
                </c:pt>
                <c:pt idx="557">
                  <c:v>3.5869999999999999E-2</c:v>
                </c:pt>
                <c:pt idx="558">
                  <c:v>3.524E-2</c:v>
                </c:pt>
                <c:pt idx="559">
                  <c:v>5.3850000000000002E-2</c:v>
                </c:pt>
                <c:pt idx="560">
                  <c:v>5.5989999999999998E-2</c:v>
                </c:pt>
                <c:pt idx="561">
                  <c:v>4.2599999999999999E-2</c:v>
                </c:pt>
                <c:pt idx="562">
                  <c:v>2.4729999999999999E-2</c:v>
                </c:pt>
                <c:pt idx="563">
                  <c:v>1.593E-2</c:v>
                </c:pt>
                <c:pt idx="564">
                  <c:v>1.391E-2</c:v>
                </c:pt>
                <c:pt idx="565">
                  <c:v>8.7200000000000003E-3</c:v>
                </c:pt>
                <c:pt idx="566">
                  <c:v>3.993E-2</c:v>
                </c:pt>
                <c:pt idx="567">
                  <c:v>6.6500000000000004E-2</c:v>
                </c:pt>
                <c:pt idx="568">
                  <c:v>2.2179999999999998E-2</c:v>
                </c:pt>
                <c:pt idx="569">
                  <c:v>4.7010000000000003E-2</c:v>
                </c:pt>
                <c:pt idx="570">
                  <c:v>6.2890000000000001E-2</c:v>
                </c:pt>
                <c:pt idx="571">
                  <c:v>6.6650000000000001E-2</c:v>
                </c:pt>
                <c:pt idx="572">
                  <c:v>1.6840000000000001E-2</c:v>
                </c:pt>
                <c:pt idx="573">
                  <c:v>1.5219999999999999E-2</c:v>
                </c:pt>
                <c:pt idx="574">
                  <c:v>1.077E-2</c:v>
                </c:pt>
                <c:pt idx="575">
                  <c:v>3.1119999999999998E-2</c:v>
                </c:pt>
                <c:pt idx="576">
                  <c:v>4.6899999999999997E-3</c:v>
                </c:pt>
                <c:pt idx="577">
                  <c:v>1.9560000000000001E-2</c:v>
                </c:pt>
                <c:pt idx="578">
                  <c:v>7.5000000000000002E-4</c:v>
                </c:pt>
                <c:pt idx="579">
                  <c:v>1.2749999999999999E-2</c:v>
                </c:pt>
                <c:pt idx="580">
                  <c:v>8.4229999999999999E-2</c:v>
                </c:pt>
                <c:pt idx="581">
                  <c:v>1.9970000000000002E-2</c:v>
                </c:pt>
                <c:pt idx="582">
                  <c:v>9.6200000000000001E-3</c:v>
                </c:pt>
                <c:pt idx="583">
                  <c:v>4.2770000000000002E-2</c:v>
                </c:pt>
                <c:pt idx="584">
                  <c:v>0.13056000000000001</c:v>
                </c:pt>
                <c:pt idx="585">
                  <c:v>5.8819999999999997E-2</c:v>
                </c:pt>
                <c:pt idx="586">
                  <c:v>2.7869999999999999E-2</c:v>
                </c:pt>
                <c:pt idx="587">
                  <c:v>1.686E-2</c:v>
                </c:pt>
                <c:pt idx="588">
                  <c:v>2.3949999999999999E-2</c:v>
                </c:pt>
                <c:pt idx="589">
                  <c:v>4.6929999999999999E-2</c:v>
                </c:pt>
                <c:pt idx="590">
                  <c:v>4.5539999999999997E-2</c:v>
                </c:pt>
                <c:pt idx="591">
                  <c:v>9.3609999999999999E-2</c:v>
                </c:pt>
                <c:pt idx="592">
                  <c:v>0.13644000000000001</c:v>
                </c:pt>
                <c:pt idx="593">
                  <c:v>0.10172</c:v>
                </c:pt>
                <c:pt idx="594">
                  <c:v>2.8639999999999999E-2</c:v>
                </c:pt>
                <c:pt idx="595">
                  <c:v>4.5749999999999999E-2</c:v>
                </c:pt>
                <c:pt idx="596">
                  <c:v>9.6439999999999998E-2</c:v>
                </c:pt>
                <c:pt idx="597">
                  <c:v>0.10927000000000001</c:v>
                </c:pt>
                <c:pt idx="598">
                  <c:v>3.2939999999999997E-2</c:v>
                </c:pt>
                <c:pt idx="599">
                  <c:v>4.5150000000000003E-2</c:v>
                </c:pt>
                <c:pt idx="600">
                  <c:v>6.3700000000000007E-2</c:v>
                </c:pt>
                <c:pt idx="601">
                  <c:v>6.0979999999999999E-2</c:v>
                </c:pt>
                <c:pt idx="602">
                  <c:v>5.2810000000000003E-2</c:v>
                </c:pt>
                <c:pt idx="603">
                  <c:v>7.79E-3</c:v>
                </c:pt>
                <c:pt idx="604">
                  <c:v>5.0049999999999997E-2</c:v>
                </c:pt>
                <c:pt idx="605">
                  <c:v>3.9039999999999998E-2</c:v>
                </c:pt>
                <c:pt idx="606">
                  <c:v>9.0480000000000005E-2</c:v>
                </c:pt>
                <c:pt idx="607">
                  <c:v>4.052E-2</c:v>
                </c:pt>
                <c:pt idx="608">
                  <c:v>5.8810000000000001E-2</c:v>
                </c:pt>
                <c:pt idx="609">
                  <c:v>3.4000000000000002E-2</c:v>
                </c:pt>
                <c:pt idx="610">
                  <c:v>8.1890000000000004E-2</c:v>
                </c:pt>
                <c:pt idx="611">
                  <c:v>4.9529999999999998E-2</c:v>
                </c:pt>
                <c:pt idx="612">
                  <c:v>8.1710000000000005E-2</c:v>
                </c:pt>
                <c:pt idx="613">
                  <c:v>4.7499999999999999E-3</c:v>
                </c:pt>
                <c:pt idx="614">
                  <c:v>7.6590000000000005E-2</c:v>
                </c:pt>
                <c:pt idx="615">
                  <c:v>4.6260000000000003E-2</c:v>
                </c:pt>
                <c:pt idx="616">
                  <c:v>4.3159999999999997E-2</c:v>
                </c:pt>
                <c:pt idx="617">
                  <c:v>2.6069999999999999E-2</c:v>
                </c:pt>
                <c:pt idx="618">
                  <c:v>6.0879999999999997E-2</c:v>
                </c:pt>
                <c:pt idx="619">
                  <c:v>8.8099999999999998E-2</c:v>
                </c:pt>
                <c:pt idx="620">
                  <c:v>3.8949999999999999E-2</c:v>
                </c:pt>
                <c:pt idx="621">
                  <c:v>3.2320000000000002E-2</c:v>
                </c:pt>
                <c:pt idx="622">
                  <c:v>3.746E-2</c:v>
                </c:pt>
                <c:pt idx="623">
                  <c:v>3.9960000000000002E-2</c:v>
                </c:pt>
                <c:pt idx="624">
                  <c:v>3.8879999999999998E-2</c:v>
                </c:pt>
                <c:pt idx="625">
                  <c:v>6.062E-2</c:v>
                </c:pt>
                <c:pt idx="626">
                  <c:v>5.3620000000000001E-2</c:v>
                </c:pt>
                <c:pt idx="627">
                  <c:v>3.2890000000000003E-2</c:v>
                </c:pt>
                <c:pt idx="628">
                  <c:v>1.9259999999999999E-2</c:v>
                </c:pt>
                <c:pt idx="629">
                  <c:v>2.06E-2</c:v>
                </c:pt>
                <c:pt idx="630">
                  <c:v>6.8500000000000005E-2</c:v>
                </c:pt>
                <c:pt idx="631">
                  <c:v>7.5859999999999997E-2</c:v>
                </c:pt>
                <c:pt idx="632">
                  <c:v>2.8170000000000001E-2</c:v>
                </c:pt>
                <c:pt idx="633">
                  <c:v>3.2009999999999997E-2</c:v>
                </c:pt>
                <c:pt idx="634">
                  <c:v>5.604E-2</c:v>
                </c:pt>
                <c:pt idx="635">
                  <c:v>0.10303</c:v>
                </c:pt>
                <c:pt idx="636">
                  <c:v>4.3499999999999997E-2</c:v>
                </c:pt>
                <c:pt idx="637">
                  <c:v>2.47E-2</c:v>
                </c:pt>
                <c:pt idx="638">
                  <c:v>5.3030000000000001E-2</c:v>
                </c:pt>
                <c:pt idx="639">
                  <c:v>5.8270000000000002E-2</c:v>
                </c:pt>
                <c:pt idx="640">
                  <c:v>6.7430000000000004E-2</c:v>
                </c:pt>
                <c:pt idx="641">
                  <c:v>7.3130000000000001E-2</c:v>
                </c:pt>
                <c:pt idx="642">
                  <c:v>2.8760000000000001E-2</c:v>
                </c:pt>
                <c:pt idx="643">
                  <c:v>1.6709999999999999E-2</c:v>
                </c:pt>
                <c:pt idx="644">
                  <c:v>2.069E-2</c:v>
                </c:pt>
                <c:pt idx="645">
                  <c:v>4.4569999999999999E-2</c:v>
                </c:pt>
                <c:pt idx="646">
                  <c:v>5.7579999999999999E-2</c:v>
                </c:pt>
                <c:pt idx="647">
                  <c:v>6.8690000000000001E-2</c:v>
                </c:pt>
                <c:pt idx="648">
                  <c:v>6.114E-2</c:v>
                </c:pt>
                <c:pt idx="649">
                  <c:v>4.9209999999999997E-2</c:v>
                </c:pt>
                <c:pt idx="650">
                  <c:v>4.199E-2</c:v>
                </c:pt>
                <c:pt idx="651">
                  <c:v>0.16186</c:v>
                </c:pt>
                <c:pt idx="652">
                  <c:v>0.1376</c:v>
                </c:pt>
                <c:pt idx="653">
                  <c:v>8.4839999999999999E-2</c:v>
                </c:pt>
                <c:pt idx="654">
                  <c:v>9.307E-2</c:v>
                </c:pt>
                <c:pt idx="655">
                  <c:v>0.11946</c:v>
                </c:pt>
                <c:pt idx="656">
                  <c:v>9.3170000000000003E-2</c:v>
                </c:pt>
                <c:pt idx="657">
                  <c:v>7.6200000000000004E-2</c:v>
                </c:pt>
                <c:pt idx="658">
                  <c:v>4.6769999999999999E-2</c:v>
                </c:pt>
                <c:pt idx="659">
                  <c:v>9.6970000000000001E-2</c:v>
                </c:pt>
                <c:pt idx="660">
                  <c:v>9.1359999999999997E-2</c:v>
                </c:pt>
                <c:pt idx="661">
                  <c:v>5.636E-2</c:v>
                </c:pt>
                <c:pt idx="662">
                  <c:v>2.2259999999999999E-2</c:v>
                </c:pt>
                <c:pt idx="663">
                  <c:v>4.2380000000000001E-2</c:v>
                </c:pt>
                <c:pt idx="664">
                  <c:v>4.7149999999999997E-2</c:v>
                </c:pt>
                <c:pt idx="665">
                  <c:v>2.8500000000000001E-2</c:v>
                </c:pt>
                <c:pt idx="666">
                  <c:v>2.63E-2</c:v>
                </c:pt>
                <c:pt idx="667">
                  <c:v>1.6889999999999999E-2</c:v>
                </c:pt>
                <c:pt idx="668">
                  <c:v>3.4799999999999998E-2</c:v>
                </c:pt>
                <c:pt idx="669">
                  <c:v>1.248E-2</c:v>
                </c:pt>
                <c:pt idx="670">
                  <c:v>6.1700000000000001E-3</c:v>
                </c:pt>
                <c:pt idx="671">
                  <c:v>5.7250000000000002E-2</c:v>
                </c:pt>
                <c:pt idx="672">
                  <c:v>2.8309999999999998E-2</c:v>
                </c:pt>
                <c:pt idx="673">
                  <c:v>5.7290000000000001E-2</c:v>
                </c:pt>
                <c:pt idx="674">
                  <c:v>5.8590000000000003E-2</c:v>
                </c:pt>
                <c:pt idx="675">
                  <c:v>1.353E-2</c:v>
                </c:pt>
                <c:pt idx="676">
                  <c:v>9.6530000000000005E-2</c:v>
                </c:pt>
                <c:pt idx="677">
                  <c:v>4.0059999999999998E-2</c:v>
                </c:pt>
                <c:pt idx="678">
                  <c:v>2.0729999999999998E-2</c:v>
                </c:pt>
                <c:pt idx="679">
                  <c:v>1.8859999999999998E-2</c:v>
                </c:pt>
                <c:pt idx="680">
                  <c:v>2.2009999999999998E-2</c:v>
                </c:pt>
                <c:pt idx="681">
                  <c:v>4.9699999999999996E-3</c:v>
                </c:pt>
                <c:pt idx="682">
                  <c:v>5.3600000000000002E-3</c:v>
                </c:pt>
                <c:pt idx="683">
                  <c:v>2.8060000000000002E-2</c:v>
                </c:pt>
                <c:pt idx="684">
                  <c:v>9.4800000000000006E-3</c:v>
                </c:pt>
                <c:pt idx="685">
                  <c:v>2.9520000000000001E-2</c:v>
                </c:pt>
                <c:pt idx="686">
                  <c:v>2.0639999999999999E-2</c:v>
                </c:pt>
                <c:pt idx="687">
                  <c:v>5.3359999999999998E-2</c:v>
                </c:pt>
                <c:pt idx="688">
                  <c:v>2.9940000000000001E-2</c:v>
                </c:pt>
                <c:pt idx="689">
                  <c:v>0.12876000000000001</c:v>
                </c:pt>
                <c:pt idx="690">
                  <c:v>1.383E-2</c:v>
                </c:pt>
                <c:pt idx="691">
                  <c:v>2.5239999999999999E-2</c:v>
                </c:pt>
                <c:pt idx="692">
                  <c:v>5.5480000000000002E-2</c:v>
                </c:pt>
                <c:pt idx="693">
                  <c:v>3.1060000000000001E-2</c:v>
                </c:pt>
                <c:pt idx="694">
                  <c:v>1.259E-2</c:v>
                </c:pt>
                <c:pt idx="695">
                  <c:v>2.0369999999999999E-2</c:v>
                </c:pt>
                <c:pt idx="696">
                  <c:v>2.5579999999999999E-2</c:v>
                </c:pt>
                <c:pt idx="697">
                  <c:v>1.0999999999999999E-2</c:v>
                </c:pt>
                <c:pt idx="698">
                  <c:v>4.3630000000000002E-2</c:v>
                </c:pt>
                <c:pt idx="699">
                  <c:v>5.6169999999999998E-2</c:v>
                </c:pt>
                <c:pt idx="700">
                  <c:v>0.10224</c:v>
                </c:pt>
                <c:pt idx="701">
                  <c:v>9.0329999999999994E-2</c:v>
                </c:pt>
                <c:pt idx="702">
                  <c:v>7.1910000000000002E-2</c:v>
                </c:pt>
                <c:pt idx="703">
                  <c:v>4.0280000000000003E-2</c:v>
                </c:pt>
                <c:pt idx="704">
                  <c:v>3.3680000000000002E-2</c:v>
                </c:pt>
                <c:pt idx="705">
                  <c:v>2.2519999999999998E-2</c:v>
                </c:pt>
                <c:pt idx="706">
                  <c:v>7.8300000000000002E-3</c:v>
                </c:pt>
                <c:pt idx="707">
                  <c:v>1.444E-2</c:v>
                </c:pt>
                <c:pt idx="708">
                  <c:v>1.542E-2</c:v>
                </c:pt>
                <c:pt idx="709">
                  <c:v>2.7699999999999999E-3</c:v>
                </c:pt>
                <c:pt idx="710">
                  <c:v>1.2999999999999999E-3</c:v>
                </c:pt>
                <c:pt idx="711">
                  <c:v>1.6199999999999999E-3</c:v>
                </c:pt>
                <c:pt idx="712">
                  <c:v>5.2399999999999999E-3</c:v>
                </c:pt>
                <c:pt idx="713">
                  <c:v>7.1900000000000002E-3</c:v>
                </c:pt>
                <c:pt idx="714">
                  <c:v>2.375E-2</c:v>
                </c:pt>
                <c:pt idx="715">
                  <c:v>3.2030000000000003E-2</c:v>
                </c:pt>
                <c:pt idx="716">
                  <c:v>3.363E-2</c:v>
                </c:pt>
                <c:pt idx="717">
                  <c:v>9.8470000000000002E-2</c:v>
                </c:pt>
                <c:pt idx="718">
                  <c:v>3.9410000000000001E-2</c:v>
                </c:pt>
                <c:pt idx="719">
                  <c:v>9.5880000000000007E-2</c:v>
                </c:pt>
                <c:pt idx="720">
                  <c:v>2.2519999999999998E-2</c:v>
                </c:pt>
                <c:pt idx="721">
                  <c:v>5.0799999999999998E-2</c:v>
                </c:pt>
                <c:pt idx="722">
                  <c:v>6.6540000000000002E-2</c:v>
                </c:pt>
                <c:pt idx="723">
                  <c:v>2.2880000000000001E-2</c:v>
                </c:pt>
                <c:pt idx="724">
                  <c:v>3.6150000000000002E-2</c:v>
                </c:pt>
                <c:pt idx="725">
                  <c:v>2.479E-2</c:v>
                </c:pt>
                <c:pt idx="726">
                  <c:v>1.83E-2</c:v>
                </c:pt>
                <c:pt idx="727">
                  <c:v>2.6579999999999999E-2</c:v>
                </c:pt>
                <c:pt idx="728">
                  <c:v>3.2230000000000002E-2</c:v>
                </c:pt>
                <c:pt idx="729">
                  <c:v>2.0240000000000001E-2</c:v>
                </c:pt>
                <c:pt idx="730">
                  <c:v>3.3700000000000002E-3</c:v>
                </c:pt>
                <c:pt idx="731">
                  <c:v>1.035E-2</c:v>
                </c:pt>
                <c:pt idx="732">
                  <c:v>5.7000000000000002E-3</c:v>
                </c:pt>
                <c:pt idx="733">
                  <c:v>2.7599999999999999E-3</c:v>
                </c:pt>
                <c:pt idx="734">
                  <c:v>1.98E-3</c:v>
                </c:pt>
                <c:pt idx="735">
                  <c:v>1.533E-2</c:v>
                </c:pt>
                <c:pt idx="736">
                  <c:v>3.3400000000000001E-3</c:v>
                </c:pt>
                <c:pt idx="737">
                  <c:v>1.6000000000000001E-4</c:v>
                </c:pt>
                <c:pt idx="738">
                  <c:v>1.8749999999999999E-2</c:v>
                </c:pt>
                <c:pt idx="739">
                  <c:v>1.8929999999999999E-2</c:v>
                </c:pt>
                <c:pt idx="740">
                  <c:v>0.14094999999999999</c:v>
                </c:pt>
                <c:pt idx="741">
                  <c:v>0.14038</c:v>
                </c:pt>
                <c:pt idx="742">
                  <c:v>6.615E-2</c:v>
                </c:pt>
                <c:pt idx="743">
                  <c:v>0.10213999999999999</c:v>
                </c:pt>
                <c:pt idx="744">
                  <c:v>0.12447</c:v>
                </c:pt>
                <c:pt idx="745">
                  <c:v>4.0910000000000002E-2</c:v>
                </c:pt>
                <c:pt idx="746">
                  <c:v>9.1000000000000004E-3</c:v>
                </c:pt>
                <c:pt idx="747">
                  <c:v>5.4010000000000002E-2</c:v>
                </c:pt>
                <c:pt idx="748">
                  <c:v>1.593E-2</c:v>
                </c:pt>
                <c:pt idx="749">
                  <c:v>1.0240000000000001E-2</c:v>
                </c:pt>
                <c:pt idx="750">
                  <c:v>4.0939999999999997E-2</c:v>
                </c:pt>
                <c:pt idx="751">
                  <c:v>2.3060000000000001E-2</c:v>
                </c:pt>
                <c:pt idx="752">
                  <c:v>3.6549999999999999E-2</c:v>
                </c:pt>
                <c:pt idx="753">
                  <c:v>8.4519999999999998E-2</c:v>
                </c:pt>
                <c:pt idx="754">
                  <c:v>0.11505</c:v>
                </c:pt>
                <c:pt idx="755">
                  <c:v>5.1069999999999997E-2</c:v>
                </c:pt>
                <c:pt idx="756">
                  <c:v>6.7540000000000003E-2</c:v>
                </c:pt>
                <c:pt idx="757">
                  <c:v>1.0999999999999999E-2</c:v>
                </c:pt>
                <c:pt idx="758">
                  <c:v>8.9700000000000005E-3</c:v>
                </c:pt>
                <c:pt idx="759">
                  <c:v>2.5799999999999998E-3</c:v>
                </c:pt>
                <c:pt idx="760">
                  <c:v>3.49E-3</c:v>
                </c:pt>
                <c:pt idx="761">
                  <c:v>9.2800000000000001E-3</c:v>
                </c:pt>
                <c:pt idx="762">
                  <c:v>6.7000000000000002E-4</c:v>
                </c:pt>
                <c:pt idx="763">
                  <c:v>1.076E-2</c:v>
                </c:pt>
                <c:pt idx="764">
                  <c:v>5.7299999999999999E-3</c:v>
                </c:pt>
                <c:pt idx="765">
                  <c:v>6.8999999999999997E-4</c:v>
                </c:pt>
                <c:pt idx="766">
                  <c:v>6.2500000000000003E-3</c:v>
                </c:pt>
                <c:pt idx="767">
                  <c:v>6.5509999999999999E-2</c:v>
                </c:pt>
                <c:pt idx="768">
                  <c:v>2.0879999999999999E-2</c:v>
                </c:pt>
                <c:pt idx="769">
                  <c:v>6.1769999999999999E-2</c:v>
                </c:pt>
                <c:pt idx="770">
                  <c:v>9.9699999999999997E-2</c:v>
                </c:pt>
                <c:pt idx="771">
                  <c:v>1.0670000000000001E-2</c:v>
                </c:pt>
                <c:pt idx="772">
                  <c:v>1.6219999999999998E-2</c:v>
                </c:pt>
                <c:pt idx="773">
                  <c:v>1.626E-2</c:v>
                </c:pt>
                <c:pt idx="774">
                  <c:v>7.4999999999999997E-2</c:v>
                </c:pt>
                <c:pt idx="775">
                  <c:v>2.2069999999999999E-2</c:v>
                </c:pt>
                <c:pt idx="776">
                  <c:v>0.16424</c:v>
                </c:pt>
                <c:pt idx="777">
                  <c:v>0.12426</c:v>
                </c:pt>
                <c:pt idx="778">
                  <c:v>5.9400000000000001E-2</c:v>
                </c:pt>
                <c:pt idx="779">
                  <c:v>7.2749999999999995E-2</c:v>
                </c:pt>
                <c:pt idx="780">
                  <c:v>0.12920000000000001</c:v>
                </c:pt>
                <c:pt idx="781">
                  <c:v>7.9759999999999998E-2</c:v>
                </c:pt>
                <c:pt idx="782">
                  <c:v>4.4299999999999999E-2</c:v>
                </c:pt>
                <c:pt idx="783">
                  <c:v>5.6849999999999998E-2</c:v>
                </c:pt>
                <c:pt idx="784">
                  <c:v>4.879E-2</c:v>
                </c:pt>
                <c:pt idx="785">
                  <c:v>9.0560000000000002E-2</c:v>
                </c:pt>
                <c:pt idx="786">
                  <c:v>3.3320000000000002E-2</c:v>
                </c:pt>
                <c:pt idx="787">
                  <c:v>9.1980000000000006E-2</c:v>
                </c:pt>
                <c:pt idx="788">
                  <c:v>8.1040000000000001E-2</c:v>
                </c:pt>
                <c:pt idx="789">
                  <c:v>0.11931</c:v>
                </c:pt>
                <c:pt idx="790">
                  <c:v>8.6050000000000001E-2</c:v>
                </c:pt>
                <c:pt idx="791">
                  <c:v>9.7960000000000005E-2</c:v>
                </c:pt>
                <c:pt idx="792">
                  <c:v>3.0720000000000001E-2</c:v>
                </c:pt>
                <c:pt idx="793">
                  <c:v>6.4640000000000003E-2</c:v>
                </c:pt>
                <c:pt idx="794">
                  <c:v>0.109</c:v>
                </c:pt>
                <c:pt idx="795">
                  <c:v>0.18511</c:v>
                </c:pt>
                <c:pt idx="796">
                  <c:v>0.17452999999999999</c:v>
                </c:pt>
                <c:pt idx="797">
                  <c:v>0.10150000000000001</c:v>
                </c:pt>
                <c:pt idx="798">
                  <c:v>2.4629999999999999E-2</c:v>
                </c:pt>
                <c:pt idx="799">
                  <c:v>0.19334999999999999</c:v>
                </c:pt>
                <c:pt idx="800">
                  <c:v>4.199E-2</c:v>
                </c:pt>
                <c:pt idx="801">
                  <c:v>3.7699999999999997E-2</c:v>
                </c:pt>
                <c:pt idx="802">
                  <c:v>7.0279999999999995E-2</c:v>
                </c:pt>
                <c:pt idx="803">
                  <c:v>2.7640000000000001E-2</c:v>
                </c:pt>
                <c:pt idx="804">
                  <c:v>0.14707999999999999</c:v>
                </c:pt>
                <c:pt idx="805">
                  <c:v>6.812E-2</c:v>
                </c:pt>
                <c:pt idx="806">
                  <c:v>0.15584000000000001</c:v>
                </c:pt>
                <c:pt idx="807">
                  <c:v>0.13708000000000001</c:v>
                </c:pt>
                <c:pt idx="808">
                  <c:v>6.9129999999999997E-2</c:v>
                </c:pt>
                <c:pt idx="809">
                  <c:v>9.1550000000000006E-2</c:v>
                </c:pt>
                <c:pt idx="810">
                  <c:v>5.851E-2</c:v>
                </c:pt>
                <c:pt idx="811">
                  <c:v>1.9879999999999998E-2</c:v>
                </c:pt>
                <c:pt idx="812">
                  <c:v>2.8629999999999999E-2</c:v>
                </c:pt>
                <c:pt idx="813">
                  <c:v>3.2640000000000002E-2</c:v>
                </c:pt>
                <c:pt idx="814">
                  <c:v>0.10555</c:v>
                </c:pt>
                <c:pt idx="815">
                  <c:v>3.6249999999999998E-2</c:v>
                </c:pt>
                <c:pt idx="816">
                  <c:v>0.10839</c:v>
                </c:pt>
                <c:pt idx="817">
                  <c:v>6.0780000000000001E-2</c:v>
                </c:pt>
                <c:pt idx="818">
                  <c:v>4.718E-2</c:v>
                </c:pt>
                <c:pt idx="819">
                  <c:v>7.5420000000000001E-2</c:v>
                </c:pt>
                <c:pt idx="820">
                  <c:v>0.13203999999999999</c:v>
                </c:pt>
                <c:pt idx="821">
                  <c:v>3.5060000000000001E-2</c:v>
                </c:pt>
                <c:pt idx="822">
                  <c:v>5.4449999999999998E-2</c:v>
                </c:pt>
                <c:pt idx="823">
                  <c:v>5.1450000000000003E-2</c:v>
                </c:pt>
                <c:pt idx="824">
                  <c:v>9.5890000000000003E-2</c:v>
                </c:pt>
                <c:pt idx="825">
                  <c:v>7.5990000000000002E-2</c:v>
                </c:pt>
                <c:pt idx="826">
                  <c:v>6.053E-2</c:v>
                </c:pt>
                <c:pt idx="827">
                  <c:v>5.604E-2</c:v>
                </c:pt>
                <c:pt idx="828">
                  <c:v>6.8809999999999996E-2</c:v>
                </c:pt>
                <c:pt idx="829">
                  <c:v>8.269E-2</c:v>
                </c:pt>
                <c:pt idx="830">
                  <c:v>0.11995</c:v>
                </c:pt>
                <c:pt idx="831">
                  <c:v>0.11079</c:v>
                </c:pt>
                <c:pt idx="832">
                  <c:v>7.7649999999999997E-2</c:v>
                </c:pt>
                <c:pt idx="833">
                  <c:v>7.1319999999999995E-2</c:v>
                </c:pt>
                <c:pt idx="834">
                  <c:v>8.8400000000000006E-2</c:v>
                </c:pt>
                <c:pt idx="835">
                  <c:v>8.5169999999999996E-2</c:v>
                </c:pt>
                <c:pt idx="836">
                  <c:v>0.14052000000000001</c:v>
                </c:pt>
                <c:pt idx="837">
                  <c:v>0.16569</c:v>
                </c:pt>
                <c:pt idx="838">
                  <c:v>0.14333000000000001</c:v>
                </c:pt>
                <c:pt idx="839">
                  <c:v>0.17011000000000001</c:v>
                </c:pt>
                <c:pt idx="840">
                  <c:v>8.2290000000000002E-2</c:v>
                </c:pt>
                <c:pt idx="841">
                  <c:v>0.17238000000000001</c:v>
                </c:pt>
                <c:pt idx="842">
                  <c:v>0.18820000000000001</c:v>
                </c:pt>
                <c:pt idx="843">
                  <c:v>0.12135</c:v>
                </c:pt>
                <c:pt idx="844">
                  <c:v>0.13235</c:v>
                </c:pt>
                <c:pt idx="845">
                  <c:v>0.12235</c:v>
                </c:pt>
                <c:pt idx="846">
                  <c:v>7.5469999999999995E-2</c:v>
                </c:pt>
                <c:pt idx="847">
                  <c:v>4.8579999999999998E-2</c:v>
                </c:pt>
                <c:pt idx="848">
                  <c:v>7.9399999999999998E-2</c:v>
                </c:pt>
                <c:pt idx="849">
                  <c:v>5.3449999999999998E-2</c:v>
                </c:pt>
                <c:pt idx="850">
                  <c:v>2.3279999999999999E-2</c:v>
                </c:pt>
                <c:pt idx="851">
                  <c:v>4.6890000000000001E-2</c:v>
                </c:pt>
                <c:pt idx="852">
                  <c:v>8.5239999999999996E-2</c:v>
                </c:pt>
                <c:pt idx="853">
                  <c:v>5.219E-2</c:v>
                </c:pt>
                <c:pt idx="854">
                  <c:v>2.7990000000000001E-2</c:v>
                </c:pt>
                <c:pt idx="855">
                  <c:v>4.2229999999999997E-2</c:v>
                </c:pt>
                <c:pt idx="856">
                  <c:v>2.1680000000000001E-2</c:v>
                </c:pt>
                <c:pt idx="857">
                  <c:v>1.355E-2</c:v>
                </c:pt>
                <c:pt idx="858">
                  <c:v>6.3420000000000004E-2</c:v>
                </c:pt>
                <c:pt idx="859">
                  <c:v>6.3310000000000005E-2</c:v>
                </c:pt>
                <c:pt idx="860">
                  <c:v>6.225E-2</c:v>
                </c:pt>
                <c:pt idx="861">
                  <c:v>3.8269999999999998E-2</c:v>
                </c:pt>
                <c:pt idx="862">
                  <c:v>4.7099999999999998E-3</c:v>
                </c:pt>
                <c:pt idx="863">
                  <c:v>3.8980000000000001E-2</c:v>
                </c:pt>
                <c:pt idx="864">
                  <c:v>6.2740000000000004E-2</c:v>
                </c:pt>
                <c:pt idx="865">
                  <c:v>4.7329999999999997E-2</c:v>
                </c:pt>
                <c:pt idx="866">
                  <c:v>2.92E-2</c:v>
                </c:pt>
                <c:pt idx="867">
                  <c:v>2.0369999999999999E-2</c:v>
                </c:pt>
                <c:pt idx="868">
                  <c:v>4.3720000000000002E-2</c:v>
                </c:pt>
                <c:pt idx="869">
                  <c:v>2.155E-2</c:v>
                </c:pt>
                <c:pt idx="870">
                  <c:v>1.899E-2</c:v>
                </c:pt>
                <c:pt idx="871">
                  <c:v>3.4540000000000001E-2</c:v>
                </c:pt>
                <c:pt idx="872">
                  <c:v>1.7389999999999999E-2</c:v>
                </c:pt>
                <c:pt idx="873">
                  <c:v>1.753E-2</c:v>
                </c:pt>
                <c:pt idx="874">
                  <c:v>9.1999999999999998E-3</c:v>
                </c:pt>
                <c:pt idx="875">
                  <c:v>8.5300000000000001E-2</c:v>
                </c:pt>
                <c:pt idx="876">
                  <c:v>0.111</c:v>
                </c:pt>
                <c:pt idx="877">
                  <c:v>7.7700000000000005E-2</c:v>
                </c:pt>
                <c:pt idx="878">
                  <c:v>7.8899999999999998E-2</c:v>
                </c:pt>
                <c:pt idx="879">
                  <c:v>6.0100000000000001E-2</c:v>
                </c:pt>
                <c:pt idx="880">
                  <c:v>5.2600000000000001E-2</c:v>
                </c:pt>
                <c:pt idx="881">
                  <c:v>1.8700000000000001E-2</c:v>
                </c:pt>
                <c:pt idx="882">
                  <c:v>1.6199999999999999E-2</c:v>
                </c:pt>
                <c:pt idx="883">
                  <c:v>3.1E-2</c:v>
                </c:pt>
                <c:pt idx="884">
                  <c:v>3.8699999999999998E-2</c:v>
                </c:pt>
                <c:pt idx="885">
                  <c:v>1.35E-2</c:v>
                </c:pt>
                <c:pt idx="886">
                  <c:v>4.7199999999999999E-2</c:v>
                </c:pt>
                <c:pt idx="887">
                  <c:v>2.1700000000000001E-2</c:v>
                </c:pt>
                <c:pt idx="888">
                  <c:v>0.13619999999999999</c:v>
                </c:pt>
                <c:pt idx="889">
                  <c:v>8.1100000000000005E-2</c:v>
                </c:pt>
                <c:pt idx="890">
                  <c:v>0.11269999999999999</c:v>
                </c:pt>
                <c:pt idx="891">
                  <c:v>6.1800000000000001E-2</c:v>
                </c:pt>
                <c:pt idx="892">
                  <c:v>5.21E-2</c:v>
                </c:pt>
                <c:pt idx="893">
                  <c:v>5.57E-2</c:v>
                </c:pt>
                <c:pt idx="894">
                  <c:v>1.5699999999999999E-2</c:v>
                </c:pt>
                <c:pt idx="895">
                  <c:v>1.3899999999999999E-2</c:v>
                </c:pt>
                <c:pt idx="896">
                  <c:v>2.2200000000000002E-3</c:v>
                </c:pt>
                <c:pt idx="897">
                  <c:v>3.5799999999999998E-3</c:v>
                </c:pt>
                <c:pt idx="898">
                  <c:v>1.1100000000000001E-3</c:v>
                </c:pt>
                <c:pt idx="899">
                  <c:v>2.7499999999999998E-3</c:v>
                </c:pt>
                <c:pt idx="900">
                  <c:v>3.46E-3</c:v>
                </c:pt>
                <c:pt idx="901">
                  <c:v>4.8999999999999998E-4</c:v>
                </c:pt>
                <c:pt idx="902">
                  <c:v>3.98E-3</c:v>
                </c:pt>
                <c:pt idx="903">
                  <c:v>3.7299999999999998E-3</c:v>
                </c:pt>
                <c:pt idx="904">
                  <c:v>3.96E-3</c:v>
                </c:pt>
                <c:pt idx="905">
                  <c:v>4.7699999999999999E-3</c:v>
                </c:pt>
                <c:pt idx="906">
                  <c:v>1.537E-2</c:v>
                </c:pt>
                <c:pt idx="907">
                  <c:v>1.09E-3</c:v>
                </c:pt>
                <c:pt idx="908">
                  <c:v>7.9799999999999992E-3</c:v>
                </c:pt>
                <c:pt idx="909">
                  <c:v>1.32E-3</c:v>
                </c:pt>
                <c:pt idx="910">
                  <c:v>2.4000000000000001E-4</c:v>
                </c:pt>
                <c:pt idx="911">
                  <c:v>6.4999999999999997E-4</c:v>
                </c:pt>
                <c:pt idx="912">
                  <c:v>4.3499999999999997E-3</c:v>
                </c:pt>
                <c:pt idx="913">
                  <c:v>6.5199999999999998E-3</c:v>
                </c:pt>
                <c:pt idx="914">
                  <c:v>1.291E-2</c:v>
                </c:pt>
                <c:pt idx="915">
                  <c:v>7.2000000000000005E-4</c:v>
                </c:pt>
                <c:pt idx="916">
                  <c:v>6.6299999999999996E-3</c:v>
                </c:pt>
                <c:pt idx="917">
                  <c:v>4.6000000000000001E-4</c:v>
                </c:pt>
                <c:pt idx="918">
                  <c:v>1.452E-2</c:v>
                </c:pt>
                <c:pt idx="919">
                  <c:v>1.359E-2</c:v>
                </c:pt>
                <c:pt idx="920">
                  <c:v>5.4309999999999997E-2</c:v>
                </c:pt>
                <c:pt idx="921">
                  <c:v>1.6789999999999999E-2</c:v>
                </c:pt>
                <c:pt idx="922">
                  <c:v>1.8079999999999999E-2</c:v>
                </c:pt>
                <c:pt idx="923">
                  <c:v>1.4710000000000001E-2</c:v>
                </c:pt>
                <c:pt idx="924">
                  <c:v>8.8800000000000007E-3</c:v>
                </c:pt>
                <c:pt idx="925">
                  <c:v>3.95E-2</c:v>
                </c:pt>
                <c:pt idx="926">
                  <c:v>6.7400000000000003E-3</c:v>
                </c:pt>
                <c:pt idx="927">
                  <c:v>8.77E-3</c:v>
                </c:pt>
                <c:pt idx="928">
                  <c:v>0.10723000000000001</c:v>
                </c:pt>
                <c:pt idx="929">
                  <c:v>1.3169999999999999E-2</c:v>
                </c:pt>
                <c:pt idx="930">
                  <c:v>8.4000000000000003E-4</c:v>
                </c:pt>
                <c:pt idx="931">
                  <c:v>7.2999999999999996E-4</c:v>
                </c:pt>
                <c:pt idx="932">
                  <c:v>9.1900000000000003E-3</c:v>
                </c:pt>
                <c:pt idx="933">
                  <c:v>1.47E-3</c:v>
                </c:pt>
                <c:pt idx="934">
                  <c:v>1.5049999999999999E-2</c:v>
                </c:pt>
                <c:pt idx="935">
                  <c:v>3.63E-3</c:v>
                </c:pt>
                <c:pt idx="936">
                  <c:v>1.7999999999999999E-2</c:v>
                </c:pt>
                <c:pt idx="937">
                  <c:v>6.4000000000000005E-4</c:v>
                </c:pt>
                <c:pt idx="938">
                  <c:v>3.8999999999999999E-4</c:v>
                </c:pt>
                <c:pt idx="939">
                  <c:v>1.58E-3</c:v>
                </c:pt>
                <c:pt idx="940">
                  <c:v>7.2999999999999996E-4</c:v>
                </c:pt>
                <c:pt idx="941">
                  <c:v>6.5500000000000003E-3</c:v>
                </c:pt>
                <c:pt idx="942">
                  <c:v>1.383E-2</c:v>
                </c:pt>
                <c:pt idx="943">
                  <c:v>6.1900000000000002E-3</c:v>
                </c:pt>
                <c:pt idx="944">
                  <c:v>8.9990000000000001E-2</c:v>
                </c:pt>
                <c:pt idx="945">
                  <c:v>1.2800000000000001E-3</c:v>
                </c:pt>
                <c:pt idx="946">
                  <c:v>2.0999999999999999E-3</c:v>
                </c:pt>
                <c:pt idx="947">
                  <c:v>9.6000000000000002E-4</c:v>
                </c:pt>
                <c:pt idx="948">
                  <c:v>5.3699999999999998E-3</c:v>
                </c:pt>
                <c:pt idx="949">
                  <c:v>3.3779999999999998E-2</c:v>
                </c:pt>
                <c:pt idx="950">
                  <c:v>5.3800000000000001E-2</c:v>
                </c:pt>
                <c:pt idx="951">
                  <c:v>7.5459999999999999E-2</c:v>
                </c:pt>
                <c:pt idx="952">
                  <c:v>1.133E-2</c:v>
                </c:pt>
                <c:pt idx="953">
                  <c:v>2.6800000000000001E-3</c:v>
                </c:pt>
                <c:pt idx="954">
                  <c:v>1.0499999999999999E-3</c:v>
                </c:pt>
                <c:pt idx="955">
                  <c:v>5.9000000000000003E-4</c:v>
                </c:pt>
                <c:pt idx="956">
                  <c:v>3.4000000000000002E-4</c:v>
                </c:pt>
                <c:pt idx="957">
                  <c:v>1.7000000000000001E-4</c:v>
                </c:pt>
                <c:pt idx="958">
                  <c:v>3.4399999999999999E-3</c:v>
                </c:pt>
                <c:pt idx="959">
                  <c:v>1.5200000000000001E-3</c:v>
                </c:pt>
                <c:pt idx="960">
                  <c:v>6.2199999999999998E-3</c:v>
                </c:pt>
                <c:pt idx="961">
                  <c:v>6.0350000000000001E-2</c:v>
                </c:pt>
                <c:pt idx="962">
                  <c:v>3.2899999999999999E-2</c:v>
                </c:pt>
                <c:pt idx="963">
                  <c:v>2.6720000000000001E-2</c:v>
                </c:pt>
                <c:pt idx="964">
                  <c:v>3.005E-2</c:v>
                </c:pt>
                <c:pt idx="965">
                  <c:v>1.15E-2</c:v>
                </c:pt>
                <c:pt idx="966">
                  <c:v>4.8900000000000002E-3</c:v>
                </c:pt>
                <c:pt idx="967">
                  <c:v>2.2499999999999998E-3</c:v>
                </c:pt>
                <c:pt idx="968">
                  <c:v>2.5850000000000001E-2</c:v>
                </c:pt>
                <c:pt idx="969">
                  <c:v>3.8719999999999997E-2</c:v>
                </c:pt>
                <c:pt idx="970">
                  <c:v>1.2789999999999999E-2</c:v>
                </c:pt>
                <c:pt idx="971">
                  <c:v>5.5359999999999999E-2</c:v>
                </c:pt>
                <c:pt idx="972">
                  <c:v>2.49E-3</c:v>
                </c:pt>
                <c:pt idx="973">
                  <c:v>8.8500000000000002E-3</c:v>
                </c:pt>
                <c:pt idx="974">
                  <c:v>3.3400000000000001E-3</c:v>
                </c:pt>
                <c:pt idx="975">
                  <c:v>3.8E-3</c:v>
                </c:pt>
                <c:pt idx="976">
                  <c:v>1.6449999999999999E-2</c:v>
                </c:pt>
                <c:pt idx="977">
                  <c:v>2.2599999999999999E-3</c:v>
                </c:pt>
                <c:pt idx="978">
                  <c:v>2.3779999999999999E-2</c:v>
                </c:pt>
                <c:pt idx="979">
                  <c:v>5.5079999999999997E-2</c:v>
                </c:pt>
                <c:pt idx="980">
                  <c:v>3.6380000000000003E-2</c:v>
                </c:pt>
                <c:pt idx="981">
                  <c:v>2.2069999999999999E-2</c:v>
                </c:pt>
                <c:pt idx="982">
                  <c:v>5.1000000000000004E-3</c:v>
                </c:pt>
                <c:pt idx="983">
                  <c:v>9.8700000000000003E-3</c:v>
                </c:pt>
                <c:pt idx="984">
                  <c:v>7.3299999999999997E-3</c:v>
                </c:pt>
                <c:pt idx="985">
                  <c:v>1.694E-2</c:v>
                </c:pt>
                <c:pt idx="986">
                  <c:v>1.65E-3</c:v>
                </c:pt>
                <c:pt idx="987">
                  <c:v>1.1809999999999999E-2</c:v>
                </c:pt>
                <c:pt idx="988">
                  <c:v>6.8999999999999997E-4</c:v>
                </c:pt>
                <c:pt idx="989">
                  <c:v>6.9600174753289478E-3</c:v>
                </c:pt>
                <c:pt idx="990">
                  <c:v>1.3352165570175439E-2</c:v>
                </c:pt>
                <c:pt idx="991">
                  <c:v>1.5637054550438602E-2</c:v>
                </c:pt>
                <c:pt idx="992">
                  <c:v>2.9575794956140356E-3</c:v>
                </c:pt>
                <c:pt idx="993">
                  <c:v>1.6255139802631578E-3</c:v>
                </c:pt>
                <c:pt idx="994">
                  <c:v>1.3693804824561405E-3</c:v>
                </c:pt>
                <c:pt idx="995">
                  <c:v>2.1394805372807022E-3</c:v>
                </c:pt>
                <c:pt idx="996">
                  <c:v>3.0803728070175444E-3</c:v>
                </c:pt>
                <c:pt idx="997">
                  <c:v>6.1725054824561419E-3</c:v>
                </c:pt>
                <c:pt idx="998">
                  <c:v>3.7579666940789486E-3</c:v>
                </c:pt>
                <c:pt idx="999">
                  <c:v>9.109786184210527E-3</c:v>
                </c:pt>
                <c:pt idx="1000">
                  <c:v>1.0274414062500001E-2</c:v>
                </c:pt>
                <c:pt idx="1001">
                  <c:v>1.3073550575657898E-2</c:v>
                </c:pt>
                <c:pt idx="1002">
                  <c:v>1.0168996710526316E-2</c:v>
                </c:pt>
                <c:pt idx="1003">
                  <c:v>3.1621247944078952E-2</c:v>
                </c:pt>
                <c:pt idx="1004">
                  <c:v>6.8424136513157907E-3</c:v>
                </c:pt>
                <c:pt idx="1005">
                  <c:v>1.0143092105263159E-2</c:v>
                </c:pt>
                <c:pt idx="1006">
                  <c:v>8.3006270559210539E-3</c:v>
                </c:pt>
                <c:pt idx="1007">
                  <c:v>6.1778885690789483E-3</c:v>
                </c:pt>
                <c:pt idx="1008">
                  <c:v>3.1211451480263157E-3</c:v>
                </c:pt>
                <c:pt idx="1009">
                  <c:v>2.0151624177631583E-3</c:v>
                </c:pt>
                <c:pt idx="1010">
                  <c:v>2.6778885690789478E-3</c:v>
                </c:pt>
                <c:pt idx="1011">
                  <c:v>2.160608552631579E-3</c:v>
                </c:pt>
                <c:pt idx="1012">
                  <c:v>1.4019188596491228E-3</c:v>
                </c:pt>
                <c:pt idx="1013">
                  <c:v>1.5881167763157897E-3</c:v>
                </c:pt>
                <c:pt idx="1014">
                  <c:v>1.5033031798245616E-3</c:v>
                </c:pt>
                <c:pt idx="1015">
                  <c:v>1.5587290981359646E-3</c:v>
                </c:pt>
                <c:pt idx="1016">
                  <c:v>2.9035807291666669E-3</c:v>
                </c:pt>
                <c:pt idx="1017">
                  <c:v>1.8987801535087722E-3</c:v>
                </c:pt>
                <c:pt idx="1018">
                  <c:v>2.3350054824561404E-3</c:v>
                </c:pt>
                <c:pt idx="1019">
                  <c:v>3.4453330592105272E-3</c:v>
                </c:pt>
                <c:pt idx="1020">
                  <c:v>7.0041118421052624E-4</c:v>
                </c:pt>
                <c:pt idx="1021">
                  <c:v>2.663414884868421E-3</c:v>
                </c:pt>
                <c:pt idx="1022">
                  <c:v>6.8380962171052644E-4</c:v>
                </c:pt>
                <c:pt idx="1023">
                  <c:v>2.8830797697368417E-3</c:v>
                </c:pt>
                <c:pt idx="1024">
                  <c:v>5.3789062500000007E-4</c:v>
                </c:pt>
                <c:pt idx="1025">
                  <c:v>7.9565172697368424E-4</c:v>
                </c:pt>
                <c:pt idx="1026">
                  <c:v>7.3763363486842098E-4</c:v>
                </c:pt>
                <c:pt idx="1027">
                  <c:v>4.786492598684211E-4</c:v>
                </c:pt>
                <c:pt idx="1028">
                  <c:v>3.8882606907894736E-4</c:v>
                </c:pt>
                <c:pt idx="1029">
                  <c:v>7.0792557565789482E-4</c:v>
                </c:pt>
                <c:pt idx="1030">
                  <c:v>4.6274671052631573E-4</c:v>
                </c:pt>
                <c:pt idx="1031">
                  <c:v>9.4157072368421051E-4</c:v>
                </c:pt>
                <c:pt idx="1032">
                  <c:v>2.5915912828947368E-4</c:v>
                </c:pt>
                <c:pt idx="1033">
                  <c:v>2.0393708881578948E-4</c:v>
                </c:pt>
                <c:pt idx="1034">
                  <c:v>3.4041940789473688E-4</c:v>
                </c:pt>
                <c:pt idx="1035">
                  <c:v>4.6851356907894742E-4</c:v>
                </c:pt>
                <c:pt idx="1036">
                  <c:v>1.3854440789473684E-3</c:v>
                </c:pt>
                <c:pt idx="1037">
                  <c:v>1.3728618421052633E-3</c:v>
                </c:pt>
                <c:pt idx="1038">
                  <c:v>1.6044099506578946E-3</c:v>
                </c:pt>
                <c:pt idx="1039">
                  <c:v>6.7821751644736854E-4</c:v>
                </c:pt>
                <c:pt idx="1040">
                  <c:v>9.0120271381578928E-4</c:v>
                </c:pt>
                <c:pt idx="1041">
                  <c:v>3.7187500000000003E-4</c:v>
                </c:pt>
                <c:pt idx="1042">
                  <c:v>6.1303453947368419E-4</c:v>
                </c:pt>
                <c:pt idx="1043">
                  <c:v>4.7358141447368431E-4</c:v>
                </c:pt>
                <c:pt idx="1044">
                  <c:v>3.1857524671052628E-4</c:v>
                </c:pt>
                <c:pt idx="1045">
                  <c:v>2.9952713815789475E-4</c:v>
                </c:pt>
                <c:pt idx="1046">
                  <c:v>1.7772409539473688E-4</c:v>
                </c:pt>
                <c:pt idx="1047">
                  <c:v>4.4527138157894738E-4</c:v>
                </c:pt>
                <c:pt idx="1048">
                  <c:v>3.9406866776315789E-4</c:v>
                </c:pt>
                <c:pt idx="1049">
                  <c:v>2.0472222222222153E-6</c:v>
                </c:pt>
                <c:pt idx="1050">
                  <c:v>1.0051111111112001E-4</c:v>
                </c:pt>
                <c:pt idx="1051">
                  <c:v>3.1827499999999829E-4</c:v>
                </c:pt>
                <c:pt idx="1052">
                  <c:v>8.5819444444444937E-5</c:v>
                </c:pt>
                <c:pt idx="1053">
                  <c:v>1.8672777777776353E-4</c:v>
                </c:pt>
                <c:pt idx="1054">
                  <c:v>4.510527777778022E-4</c:v>
                </c:pt>
                <c:pt idx="1055">
                  <c:v>1.0691388888888123E-4</c:v>
                </c:pt>
                <c:pt idx="1056">
                  <c:v>5.1658333333329044E-5</c:v>
                </c:pt>
                <c:pt idx="1057">
                  <c:v>7.173055555556205E-5</c:v>
                </c:pt>
                <c:pt idx="1058">
                  <c:v>2.2766944444443918E-4</c:v>
                </c:pt>
                <c:pt idx="1059">
                  <c:v>1.4608611111110642E-4</c:v>
                </c:pt>
                <c:pt idx="1060">
                  <c:v>8.2222222222214981E-5</c:v>
                </c:pt>
                <c:pt idx="1061">
                  <c:v>1.138611111111107E-4</c:v>
                </c:pt>
                <c:pt idx="1062">
                  <c:v>4.6193333333331785E-4</c:v>
                </c:pt>
                <c:pt idx="1063">
                  <c:v>3.6056388888888654E-4</c:v>
                </c:pt>
                <c:pt idx="1064">
                  <c:v>7.3317777777777784E-4</c:v>
                </c:pt>
                <c:pt idx="1065">
                  <c:v>1.5948138888887647E-3</c:v>
                </c:pt>
                <c:pt idx="1066">
                  <c:v>2.035083333333246E-4</c:v>
                </c:pt>
                <c:pt idx="1067">
                  <c:v>4.0444444444442825E-5</c:v>
                </c:pt>
                <c:pt idx="1068">
                  <c:v>1.6113888888888998E-5</c:v>
                </c:pt>
                <c:pt idx="1069">
                  <c:v>6.8916666666665273E-6</c:v>
                </c:pt>
                <c:pt idx="1070">
                  <c:v>4.428333333333333E-5</c:v>
                </c:pt>
                <c:pt idx="1071">
                  <c:v>6.3183333333333342E-5</c:v>
                </c:pt>
                <c:pt idx="1072">
                  <c:v>1.3154444444444445E-4</c:v>
                </c:pt>
                <c:pt idx="1073">
                  <c:v>3.7930194444444447E-3</c:v>
                </c:pt>
                <c:pt idx="1074">
                  <c:v>1.8817555555555555E-3</c:v>
                </c:pt>
                <c:pt idx="1075">
                  <c:v>8.9030555555555553E-4</c:v>
                </c:pt>
                <c:pt idx="1076">
                  <c:v>8.7734222222222221E-4</c:v>
                </c:pt>
                <c:pt idx="1077">
                  <c:v>2.4162569444444444E-3</c:v>
                </c:pt>
                <c:pt idx="1078">
                  <c:v>2.8396222222222225E-4</c:v>
                </c:pt>
                <c:pt idx="1079">
                  <c:v>3.5064833333333333E-4</c:v>
                </c:pt>
                <c:pt idx="1080">
                  <c:v>6.0413583333333333E-4</c:v>
                </c:pt>
                <c:pt idx="1081">
                  <c:v>1.0135555555555556E-4</c:v>
                </c:pt>
                <c:pt idx="1082">
                  <c:v>2.1545277777777778E-3</c:v>
                </c:pt>
                <c:pt idx="1083">
                  <c:v>2.1690427777777779E-3</c:v>
                </c:pt>
                <c:pt idx="1084">
                  <c:v>9.8825555555555556E-5</c:v>
                </c:pt>
                <c:pt idx="1085">
                  <c:v>1.0525505555555555E-3</c:v>
                </c:pt>
                <c:pt idx="1086">
                  <c:v>6.4214666666666666E-4</c:v>
                </c:pt>
                <c:pt idx="1087">
                  <c:v>2.4043127777777775E-3</c:v>
                </c:pt>
                <c:pt idx="1088">
                  <c:v>1.8394408333333335E-3</c:v>
                </c:pt>
                <c:pt idx="1089">
                  <c:v>1.9331172222222222E-3</c:v>
                </c:pt>
                <c:pt idx="1090">
                  <c:v>1.9654194444444443E-3</c:v>
                </c:pt>
                <c:pt idx="1091">
                  <c:v>2.844652777777778E-4</c:v>
                </c:pt>
                <c:pt idx="1092">
                  <c:v>4.6344444444444449E-6</c:v>
                </c:pt>
                <c:pt idx="1093">
                  <c:v>5.2288888888888895E-6</c:v>
                </c:pt>
                <c:pt idx="1094">
                  <c:v>1.2855555555555556E-6</c:v>
                </c:pt>
                <c:pt idx="1095">
                  <c:v>2.8944444444444444E-7</c:v>
                </c:pt>
                <c:pt idx="1096">
                  <c:v>5.9250000000000004E-7</c:v>
                </c:pt>
                <c:pt idx="1097">
                  <c:v>2.6916666666666665E-7</c:v>
                </c:pt>
                <c:pt idx="1098">
                  <c:v>3.7833333333333335E-7</c:v>
                </c:pt>
                <c:pt idx="1099">
                  <c:v>5.5166666666666664E-7</c:v>
                </c:pt>
                <c:pt idx="1100">
                  <c:v>1.9472222222222222E-7</c:v>
                </c:pt>
                <c:pt idx="1101">
                  <c:v>3.9750000000000001E-7</c:v>
                </c:pt>
                <c:pt idx="1102">
                  <c:v>3.0361111111111109E-7</c:v>
                </c:pt>
                <c:pt idx="1103">
                  <c:v>1.8794253361731399E-5</c:v>
                </c:pt>
                <c:pt idx="1104">
                  <c:v>4.824075662903038E-6</c:v>
                </c:pt>
                <c:pt idx="1105">
                  <c:v>1.2505253197142429E-5</c:v>
                </c:pt>
                <c:pt idx="1106">
                  <c:v>8.5402050315723464E-5</c:v>
                </c:pt>
                <c:pt idx="1107">
                  <c:v>1.874997678110195E-4</c:v>
                </c:pt>
                <c:pt idx="1108">
                  <c:v>8.1539129290644676E-4</c:v>
                </c:pt>
                <c:pt idx="1109">
                  <c:v>4.1339829996864128E-4</c:v>
                </c:pt>
                <c:pt idx="1110">
                  <c:v>1.6973009898849271E-4</c:v>
                </c:pt>
                <c:pt idx="1111">
                  <c:v>9.9189822196976522E-4</c:v>
                </c:pt>
                <c:pt idx="1112">
                  <c:v>4.1689810129381744E-5</c:v>
                </c:pt>
                <c:pt idx="1113">
                  <c:v>7.5856525262485398E-6</c:v>
                </c:pt>
                <c:pt idx="1114">
                  <c:v>1.7376154992905443E-5</c:v>
                </c:pt>
                <c:pt idx="1115">
                  <c:v>1.0754212726670891E-5</c:v>
                </c:pt>
                <c:pt idx="1116">
                  <c:v>6.6183571953565672E-5</c:v>
                </c:pt>
                <c:pt idx="1117">
                  <c:v>7.1510412125871757E-5</c:v>
                </c:pt>
                <c:pt idx="1118">
                  <c:v>4.1125684561809864E-5</c:v>
                </c:pt>
                <c:pt idx="1119">
                  <c:v>5.7407373376327212E-5</c:v>
                </c:pt>
                <c:pt idx="1120">
                  <c:v>1.960278584216284E-5</c:v>
                </c:pt>
                <c:pt idx="1121">
                  <c:v>6.4436310757747529E-5</c:v>
                </c:pt>
                <c:pt idx="1122">
                  <c:v>4.5329628999609131E-5</c:v>
                </c:pt>
                <c:pt idx="1123">
                  <c:v>1.280833383610729E-5</c:v>
                </c:pt>
                <c:pt idx="1124">
                  <c:v>1.3191102226501428E-5</c:v>
                </c:pt>
                <c:pt idx="1125">
                  <c:v>2.4133095806345232E-6</c:v>
                </c:pt>
                <c:pt idx="1126">
                  <c:v>6.5856481472222188E-7</c:v>
                </c:pt>
                <c:pt idx="1127">
                  <c:v>7.5451420943055174E-7</c:v>
                </c:pt>
                <c:pt idx="1128">
                  <c:v>8.8819450488814263E-7</c:v>
                </c:pt>
                <c:pt idx="1129">
                  <c:v>2.7025458692998241E-6</c:v>
                </c:pt>
                <c:pt idx="1130">
                  <c:v>3.3119217452885202E-6</c:v>
                </c:pt>
                <c:pt idx="1131">
                  <c:v>2.5034716803773734E-5</c:v>
                </c:pt>
                <c:pt idx="1132">
                  <c:v>1.1974090474007553E-4</c:v>
                </c:pt>
                <c:pt idx="1133">
                  <c:v>9.2638857559849903E-5</c:v>
                </c:pt>
                <c:pt idx="1134">
                  <c:v>2.3455554241873172E-6</c:v>
                </c:pt>
                <c:pt idx="1135">
                  <c:v>3.6759166666666665E-5</c:v>
                </c:pt>
                <c:pt idx="1136">
                  <c:v>2.8088333333333333E-5</c:v>
                </c:pt>
                <c:pt idx="1137">
                  <c:v>4.6959444444444445E-5</c:v>
                </c:pt>
                <c:pt idx="1138">
                  <c:v>5.3637499999999996E-4</c:v>
                </c:pt>
                <c:pt idx="1139">
                  <c:v>1.1374950000000001E-3</c:v>
                </c:pt>
                <c:pt idx="1140">
                  <c:v>7.9398138888888889E-4</c:v>
                </c:pt>
                <c:pt idx="1141">
                  <c:v>3.5811111111111113E-3</c:v>
                </c:pt>
                <c:pt idx="1142">
                  <c:v>1.3273147222222221E-3</c:v>
                </c:pt>
                <c:pt idx="1143">
                  <c:v>4.1157277777777781E-4</c:v>
                </c:pt>
                <c:pt idx="1144">
                  <c:v>9.5679055555555556E-4</c:v>
                </c:pt>
                <c:pt idx="1145">
                  <c:v>4.0301166666666669E-4</c:v>
                </c:pt>
                <c:pt idx="1146">
                  <c:v>1.2136972222222222E-4</c:v>
                </c:pt>
                <c:pt idx="1147">
                  <c:v>6.2136833333333334E-4</c:v>
                </c:pt>
                <c:pt idx="1148">
                  <c:v>2.8407083333333331E-4</c:v>
                </c:pt>
                <c:pt idx="1149">
                  <c:v>1.5366916666666666E-4</c:v>
                </c:pt>
                <c:pt idx="1150">
                  <c:v>1.7618749999999999E-4</c:v>
                </c:pt>
                <c:pt idx="1151">
                  <c:v>1.0918111111111111E-4</c:v>
                </c:pt>
                <c:pt idx="1152">
                  <c:v>1.1501749999999999E-4</c:v>
                </c:pt>
                <c:pt idx="1153">
                  <c:v>1.5805944444444444E-4</c:v>
                </c:pt>
                <c:pt idx="1154">
                  <c:v>5.0291722222222226E-4</c:v>
                </c:pt>
                <c:pt idx="1155">
                  <c:v>6.1700333333333335E-4</c:v>
                </c:pt>
                <c:pt idx="1156">
                  <c:v>1.1203702777777779E-3</c:v>
                </c:pt>
                <c:pt idx="1157">
                  <c:v>1.8292333333333334E-3</c:v>
                </c:pt>
                <c:pt idx="1158">
                  <c:v>7.4138638888888888E-4</c:v>
                </c:pt>
                <c:pt idx="1159">
                  <c:v>2.3960972222222224E-4</c:v>
                </c:pt>
                <c:pt idx="1160">
                  <c:v>4.1328972222222225E-4</c:v>
                </c:pt>
                <c:pt idx="1161">
                  <c:v>1.222688888888889E-4</c:v>
                </c:pt>
                <c:pt idx="1162">
                  <c:v>8.9298888888888884E-5</c:v>
                </c:pt>
                <c:pt idx="1163">
                  <c:v>8.3030555555555545E-6</c:v>
                </c:pt>
                <c:pt idx="1164">
                  <c:v>6.8613888888888887E-6</c:v>
                </c:pt>
                <c:pt idx="1165">
                  <c:v>1.0587222222222222E-5</c:v>
                </c:pt>
                <c:pt idx="1166">
                  <c:v>1.6687222222222223E-5</c:v>
                </c:pt>
                <c:pt idx="1167">
                  <c:v>3.5961111111111112E-6</c:v>
                </c:pt>
                <c:pt idx="1168">
                  <c:v>5.9312222222222222E-5</c:v>
                </c:pt>
                <c:pt idx="1169">
                  <c:v>2.2322500000000002E-5</c:v>
                </c:pt>
                <c:pt idx="1170">
                  <c:v>4.1276138888888891E-4</c:v>
                </c:pt>
                <c:pt idx="1171">
                  <c:v>5.0305E-4</c:v>
                </c:pt>
                <c:pt idx="1172">
                  <c:v>1.5206725E-3</c:v>
                </c:pt>
                <c:pt idx="1173">
                  <c:v>4.8778805555555556E-4</c:v>
                </c:pt>
                <c:pt idx="1174">
                  <c:v>1.5830277777777779E-4</c:v>
                </c:pt>
                <c:pt idx="1175">
                  <c:v>4.9548333333333335E-5</c:v>
                </c:pt>
                <c:pt idx="1176">
                  <c:v>6.373055555555556E-6</c:v>
                </c:pt>
                <c:pt idx="1177">
                  <c:v>3.7299999999999998E-3</c:v>
                </c:pt>
                <c:pt idx="1178">
                  <c:v>1.18E-2</c:v>
                </c:pt>
                <c:pt idx="1179">
                  <c:v>1.507E-2</c:v>
                </c:pt>
                <c:pt idx="1180">
                  <c:v>1.49E-2</c:v>
                </c:pt>
                <c:pt idx="1181">
                  <c:v>2.0549999999999999E-2</c:v>
                </c:pt>
                <c:pt idx="1182">
                  <c:v>2.0410000000000001E-2</c:v>
                </c:pt>
                <c:pt idx="1183">
                  <c:v>7.77E-3</c:v>
                </c:pt>
                <c:pt idx="1184">
                  <c:v>3.8600000000000001E-3</c:v>
                </c:pt>
                <c:pt idx="1185">
                  <c:v>5.8300000000000001E-3</c:v>
                </c:pt>
                <c:pt idx="1186">
                  <c:v>1.009E-2</c:v>
                </c:pt>
                <c:pt idx="1187">
                  <c:v>1.6629999999999999E-2</c:v>
                </c:pt>
                <c:pt idx="1188">
                  <c:v>1.5959999999999998E-2</c:v>
                </c:pt>
                <c:pt idx="1189">
                  <c:v>3.2669999999999998E-2</c:v>
                </c:pt>
                <c:pt idx="1190">
                  <c:v>1.4919999999999999E-2</c:v>
                </c:pt>
                <c:pt idx="1191">
                  <c:v>1.984E-2</c:v>
                </c:pt>
                <c:pt idx="1192">
                  <c:v>2.8809999999999999E-2</c:v>
                </c:pt>
                <c:pt idx="1193">
                  <c:v>1.0460000000000001E-2</c:v>
                </c:pt>
                <c:pt idx="1194">
                  <c:v>2.2159999999999999E-2</c:v>
                </c:pt>
                <c:pt idx="1195">
                  <c:v>2.087E-2</c:v>
                </c:pt>
                <c:pt idx="1196">
                  <c:v>3.8080000000000003E-2</c:v>
                </c:pt>
                <c:pt idx="1197">
                  <c:v>7.7400000000000004E-3</c:v>
                </c:pt>
                <c:pt idx="1198">
                  <c:v>1.146E-2</c:v>
                </c:pt>
                <c:pt idx="1199">
                  <c:v>5.5799999999999999E-3</c:v>
                </c:pt>
                <c:pt idx="1200">
                  <c:v>4.8300000000000001E-3</c:v>
                </c:pt>
                <c:pt idx="1201">
                  <c:v>5.4999999999999997E-3</c:v>
                </c:pt>
                <c:pt idx="1202">
                  <c:v>3.5999999999999999E-3</c:v>
                </c:pt>
                <c:pt idx="1203">
                  <c:v>1.81E-3</c:v>
                </c:pt>
                <c:pt idx="1204">
                  <c:v>4.7099999999999998E-3</c:v>
                </c:pt>
                <c:pt idx="1205">
                  <c:v>3.1700000000000001E-3</c:v>
                </c:pt>
                <c:pt idx="1206">
                  <c:v>4.9899999999999996E-3</c:v>
                </c:pt>
                <c:pt idx="1207">
                  <c:v>5.3E-3</c:v>
                </c:pt>
                <c:pt idx="1208">
                  <c:v>3.0799999999999998E-3</c:v>
                </c:pt>
                <c:pt idx="1209">
                  <c:v>5.5599999999999998E-3</c:v>
                </c:pt>
                <c:pt idx="1210">
                  <c:v>1.65E-3</c:v>
                </c:pt>
                <c:pt idx="1211">
                  <c:v>1.89E-3</c:v>
                </c:pt>
                <c:pt idx="1212">
                  <c:v>1.1999999999999999E-3</c:v>
                </c:pt>
                <c:pt idx="1213">
                  <c:v>2.8400000000000001E-3</c:v>
                </c:pt>
                <c:pt idx="1214">
                  <c:v>1.49E-3</c:v>
                </c:pt>
                <c:pt idx="1215">
                  <c:v>2.0899999999999998E-3</c:v>
                </c:pt>
                <c:pt idx="1216">
                  <c:v>1.1199999999999999E-3</c:v>
                </c:pt>
                <c:pt idx="1217">
                  <c:v>2.6800000000000001E-3</c:v>
                </c:pt>
                <c:pt idx="1218">
                  <c:v>4.2599999999999999E-3</c:v>
                </c:pt>
                <c:pt idx="1219">
                  <c:v>5.64E-3</c:v>
                </c:pt>
                <c:pt idx="1220">
                  <c:v>8.0000000000000004E-4</c:v>
                </c:pt>
                <c:pt idx="1221">
                  <c:v>9.3999999999999997E-4</c:v>
                </c:pt>
                <c:pt idx="1222">
                  <c:v>9.2000000000000003E-4</c:v>
                </c:pt>
                <c:pt idx="1223">
                  <c:v>7.3999999999999999E-4</c:v>
                </c:pt>
                <c:pt idx="1224">
                  <c:v>1.8500000000000001E-3</c:v>
                </c:pt>
                <c:pt idx="1225">
                  <c:v>5.7499999999999999E-3</c:v>
                </c:pt>
                <c:pt idx="1226">
                  <c:v>8.8199999999999997E-3</c:v>
                </c:pt>
                <c:pt idx="1227">
                  <c:v>2.9929999999999998E-2</c:v>
                </c:pt>
                <c:pt idx="1228">
                  <c:v>2.547E-2</c:v>
                </c:pt>
                <c:pt idx="1229">
                  <c:v>1.9369999999999998E-2</c:v>
                </c:pt>
                <c:pt idx="1230">
                  <c:v>1.7680000000000001E-2</c:v>
                </c:pt>
                <c:pt idx="1231">
                  <c:v>5.355E-2</c:v>
                </c:pt>
                <c:pt idx="1232">
                  <c:v>6.7339999999999997E-2</c:v>
                </c:pt>
                <c:pt idx="1233">
                  <c:v>2.2970000000000001E-2</c:v>
                </c:pt>
                <c:pt idx="1234">
                  <c:v>7.4000000000000003E-3</c:v>
                </c:pt>
                <c:pt idx="1235">
                  <c:v>5.3899999999999998E-3</c:v>
                </c:pt>
                <c:pt idx="1236">
                  <c:v>6.3400000000000001E-3</c:v>
                </c:pt>
                <c:pt idx="1237">
                  <c:v>9.1900000000000003E-3</c:v>
                </c:pt>
                <c:pt idx="1238">
                  <c:v>1.6310000000000002E-2</c:v>
                </c:pt>
                <c:pt idx="1239">
                  <c:v>1.3559999999999999E-2</c:v>
                </c:pt>
                <c:pt idx="1240">
                  <c:v>1.554E-2</c:v>
                </c:pt>
                <c:pt idx="1241">
                  <c:v>1.1379999999999999E-2</c:v>
                </c:pt>
                <c:pt idx="1242">
                  <c:v>1.332E-2</c:v>
                </c:pt>
                <c:pt idx="1243">
                  <c:v>3.9699999999999996E-3</c:v>
                </c:pt>
                <c:pt idx="1244">
                  <c:v>5.9500000000000004E-3</c:v>
                </c:pt>
                <c:pt idx="1245">
                  <c:v>6.3600000000000002E-3</c:v>
                </c:pt>
                <c:pt idx="1246">
                  <c:v>9.8200000000000006E-3</c:v>
                </c:pt>
                <c:pt idx="1247">
                  <c:v>1.107E-2</c:v>
                </c:pt>
                <c:pt idx="1248">
                  <c:v>2.31E-3</c:v>
                </c:pt>
                <c:pt idx="1249">
                  <c:v>1.1999999999999999E-3</c:v>
                </c:pt>
                <c:pt idx="1250">
                  <c:v>1.1100000000000001E-3</c:v>
                </c:pt>
                <c:pt idx="1251">
                  <c:v>6.9999999999999994E-5</c:v>
                </c:pt>
                <c:pt idx="1252">
                  <c:v>1.085E-2</c:v>
                </c:pt>
                <c:pt idx="1253">
                  <c:v>4.9769674E-2</c:v>
                </c:pt>
                <c:pt idx="1254">
                  <c:v>9.3239389999999998E-3</c:v>
                </c:pt>
                <c:pt idx="1255">
                  <c:v>1.6484892000000001E-2</c:v>
                </c:pt>
                <c:pt idx="1256">
                  <c:v>1.3103913999999999E-2</c:v>
                </c:pt>
                <c:pt idx="1257">
                  <c:v>3.6014760000000002E-3</c:v>
                </c:pt>
                <c:pt idx="1258">
                  <c:v>9.6546870000000003E-3</c:v>
                </c:pt>
                <c:pt idx="1259">
                  <c:v>9.6074400000000003E-4</c:v>
                </c:pt>
                <c:pt idx="1260">
                  <c:v>1.2074900000000001E-4</c:v>
                </c:pt>
                <c:pt idx="1261">
                  <c:v>1.88999E-4</c:v>
                </c:pt>
                <c:pt idx="1262">
                  <c:v>4.1579729999999997E-3</c:v>
                </c:pt>
                <c:pt idx="1263">
                  <c:v>6.6254570000000004E-3</c:v>
                </c:pt>
                <c:pt idx="1264">
                  <c:v>0.34019776400000001</c:v>
                </c:pt>
                <c:pt idx="1265">
                  <c:v>0.29924803700000002</c:v>
                </c:pt>
                <c:pt idx="1266">
                  <c:v>1.0998678E-2</c:v>
                </c:pt>
                <c:pt idx="1267">
                  <c:v>5.9954609999999997E-3</c:v>
                </c:pt>
                <c:pt idx="1268">
                  <c:v>4.6724690000000003E-3</c:v>
                </c:pt>
                <c:pt idx="1269">
                  <c:v>7.6964490000000002E-3</c:v>
                </c:pt>
                <c:pt idx="1270">
                  <c:v>7.6124500000000002E-4</c:v>
                </c:pt>
                <c:pt idx="1271">
                  <c:v>1.055243E-3</c:v>
                </c:pt>
                <c:pt idx="1272">
                  <c:v>7.3552019999999999E-3</c:v>
                </c:pt>
                <c:pt idx="1273">
                  <c:v>1.0872679E-2</c:v>
                </c:pt>
                <c:pt idx="1274">
                  <c:v>5.1502162999999997E-2</c:v>
                </c:pt>
                <c:pt idx="1275">
                  <c:v>9.0614409999999999E-3</c:v>
                </c:pt>
                <c:pt idx="1276">
                  <c:v>5.6542129999999999E-3</c:v>
                </c:pt>
                <c:pt idx="1277">
                  <c:v>1.6211893000000002E-2</c:v>
                </c:pt>
                <c:pt idx="1278">
                  <c:v>1.0762429E-2</c:v>
                </c:pt>
                <c:pt idx="1279">
                  <c:v>1.1182427E-2</c:v>
                </c:pt>
                <c:pt idx="1280">
                  <c:v>9.7124400000000001E-4</c:v>
                </c:pt>
                <c:pt idx="1281">
                  <c:v>1.0919930000000001E-3</c:v>
                </c:pt>
                <c:pt idx="1282">
                  <c:v>4.5149699999999998E-4</c:v>
                </c:pt>
                <c:pt idx="1283">
                  <c:v>9.7701860000000001E-3</c:v>
                </c:pt>
                <c:pt idx="1284">
                  <c:v>6.0269604999999997E-2</c:v>
                </c:pt>
                <c:pt idx="1285">
                  <c:v>6.2264592000000001E-2</c:v>
                </c:pt>
                <c:pt idx="1286">
                  <c:v>4.0897231999999999E-2</c:v>
                </c:pt>
                <c:pt idx="1287">
                  <c:v>4.3102219999999998E-3</c:v>
                </c:pt>
                <c:pt idx="1288">
                  <c:v>3.05548E-2</c:v>
                </c:pt>
                <c:pt idx="1289">
                  <c:v>3.8534749999999999E-3</c:v>
                </c:pt>
                <c:pt idx="1290">
                  <c:v>1.46999E-3</c:v>
                </c:pt>
                <c:pt idx="1291">
                  <c:v>1.2599900000000001E-4</c:v>
                </c:pt>
                <c:pt idx="1292">
                  <c:v>1.2074900000000001E-4</c:v>
                </c:pt>
                <c:pt idx="1293">
                  <c:v>2.6879819999999998E-3</c:v>
                </c:pt>
                <c:pt idx="1294">
                  <c:v>5.4337140000000001E-3</c:v>
                </c:pt>
                <c:pt idx="1295">
                  <c:v>5.6699599999999995E-4</c:v>
                </c:pt>
                <c:pt idx="1296">
                  <c:v>2.3624850000000001E-3</c:v>
                </c:pt>
                <c:pt idx="1297">
                  <c:v>5.6384629999999998E-3</c:v>
                </c:pt>
                <c:pt idx="1298">
                  <c:v>6.2317090000000002E-3</c:v>
                </c:pt>
                <c:pt idx="1299">
                  <c:v>2.488484E-3</c:v>
                </c:pt>
                <c:pt idx="1300">
                  <c:v>3.4387279999999998E-3</c:v>
                </c:pt>
                <c:pt idx="1301">
                  <c:v>3.4544770000000001E-3</c:v>
                </c:pt>
                <c:pt idx="1302">
                  <c:v>8.7674400000000005E-4</c:v>
                </c:pt>
                <c:pt idx="1303">
                  <c:v>5.3024699999999997E-4</c:v>
                </c:pt>
                <c:pt idx="1304">
                  <c:v>1.2809919999999999E-3</c:v>
                </c:pt>
                <c:pt idx="1305">
                  <c:v>5.5124600000000003E-4</c:v>
                </c:pt>
                <c:pt idx="1306">
                  <c:v>7.6124500000000002E-4</c:v>
                </c:pt>
                <c:pt idx="1307">
                  <c:v>7.2974499999999996E-4</c:v>
                </c:pt>
                <c:pt idx="1308">
                  <c:v>1.7534880000000001E-3</c:v>
                </c:pt>
                <c:pt idx="1309">
                  <c:v>6.6044570000000002E-3</c:v>
                </c:pt>
                <c:pt idx="1310">
                  <c:v>6.4942070000000001E-3</c:v>
                </c:pt>
                <c:pt idx="1311">
                  <c:v>1.2074921000000001E-2</c:v>
                </c:pt>
                <c:pt idx="1312">
                  <c:v>2.6459825999999999E-2</c:v>
                </c:pt>
                <c:pt idx="1313">
                  <c:v>2.1209860000000001E-2</c:v>
                </c:pt>
                <c:pt idx="1314">
                  <c:v>4.2997219999999997E-3</c:v>
                </c:pt>
                <c:pt idx="1315">
                  <c:v>5.8642119999999997E-3</c:v>
                </c:pt>
                <c:pt idx="1316">
                  <c:v>5.0872169999999998E-3</c:v>
                </c:pt>
                <c:pt idx="1317">
                  <c:v>4.6094700000000001E-3</c:v>
                </c:pt>
                <c:pt idx="1318">
                  <c:v>9.5391880000000005E-3</c:v>
                </c:pt>
                <c:pt idx="1319">
                  <c:v>8.5889439999999994E-3</c:v>
                </c:pt>
                <c:pt idx="1320">
                  <c:v>4.9979669999999999E-3</c:v>
                </c:pt>
                <c:pt idx="1321">
                  <c:v>7.1557030000000002E-3</c:v>
                </c:pt>
                <c:pt idx="1322">
                  <c:v>6.3157090000000001E-3</c:v>
                </c:pt>
                <c:pt idx="1323">
                  <c:v>7.502201E-3</c:v>
                </c:pt>
                <c:pt idx="1324">
                  <c:v>4.8982180000000002E-3</c:v>
                </c:pt>
                <c:pt idx="1325">
                  <c:v>3.1552289999999998E-3</c:v>
                </c:pt>
                <c:pt idx="1326">
                  <c:v>9.2661889999999993E-3</c:v>
                </c:pt>
                <c:pt idx="1327">
                  <c:v>3.6749799999999998E-5</c:v>
                </c:pt>
                <c:pt idx="1328">
                  <c:v>1.2074900000000001E-4</c:v>
                </c:pt>
                <c:pt idx="1329">
                  <c:v>2.4674799999999998E-4</c:v>
                </c:pt>
                <c:pt idx="1330">
                  <c:v>5.77496E-5</c:v>
                </c:pt>
                <c:pt idx="1331">
                  <c:v>4.2839718999999998E-2</c:v>
                </c:pt>
                <c:pt idx="1332">
                  <c:v>7.7436991999999996E-2</c:v>
                </c:pt>
                <c:pt idx="1333">
                  <c:v>2.1682357999999999E-2</c:v>
                </c:pt>
                <c:pt idx="1334">
                  <c:v>2.4779837999999998E-2</c:v>
                </c:pt>
                <c:pt idx="1335">
                  <c:v>7.7909489999999998E-2</c:v>
                </c:pt>
                <c:pt idx="1336">
                  <c:v>3.6539759999999998E-2</c:v>
                </c:pt>
                <c:pt idx="1337">
                  <c:v>1.7744880000000001E-3</c:v>
                </c:pt>
                <c:pt idx="1338">
                  <c:v>1.2867665E-2</c:v>
                </c:pt>
                <c:pt idx="1339">
                  <c:v>1.1812420000000001E-3</c:v>
                </c:pt>
                <c:pt idx="1340">
                  <c:v>1.060493E-3</c:v>
                </c:pt>
                <c:pt idx="1341">
                  <c:v>8.4524399999999999E-4</c:v>
                </c:pt>
                <c:pt idx="1342">
                  <c:v>7.9799500000000002E-4</c:v>
                </c:pt>
                <c:pt idx="1343">
                  <c:v>0.72261670499999997</c:v>
                </c:pt>
                <c:pt idx="1344">
                  <c:v>0.26577040400000002</c:v>
                </c:pt>
                <c:pt idx="1345">
                  <c:v>0.65202403099999995</c:v>
                </c:pt>
                <c:pt idx="1346">
                  <c:v>0.49454614800000002</c:v>
                </c:pt>
                <c:pt idx="1347">
                  <c:v>0.36537948100000001</c:v>
                </c:pt>
                <c:pt idx="1348">
                  <c:v>7.7934837000000007E-2</c:v>
                </c:pt>
                <c:pt idx="1349">
                  <c:v>0.43791671700000001</c:v>
                </c:pt>
                <c:pt idx="1350">
                  <c:v>0.45816567000000002</c:v>
                </c:pt>
                <c:pt idx="1351">
                  <c:v>5.5203661000000001E-2</c:v>
                </c:pt>
                <c:pt idx="1352">
                  <c:v>8.5345537999999999E-2</c:v>
                </c:pt>
                <c:pt idx="1353">
                  <c:v>0.243215294</c:v>
                </c:pt>
                <c:pt idx="1354">
                  <c:v>8.7982551000000006E-2</c:v>
                </c:pt>
                <c:pt idx="1355">
                  <c:v>0.14124713999999999</c:v>
                </c:pt>
                <c:pt idx="1356">
                  <c:v>0.24983791</c:v>
                </c:pt>
                <c:pt idx="1357">
                  <c:v>0.20013552600000001</c:v>
                </c:pt>
                <c:pt idx="1358">
                  <c:v>0.18308561400000001</c:v>
                </c:pt>
                <c:pt idx="1359">
                  <c:v>0.13966867699999999</c:v>
                </c:pt>
                <c:pt idx="1360">
                  <c:v>0.914400557</c:v>
                </c:pt>
                <c:pt idx="1361">
                  <c:v>0.83518543899999997</c:v>
                </c:pt>
                <c:pt idx="1362">
                  <c:v>1.006038947</c:v>
                </c:pt>
                <c:pt idx="1363">
                  <c:v>1.0781946689999999</c:v>
                </c:pt>
                <c:pt idx="1364">
                  <c:v>1.429622891</c:v>
                </c:pt>
                <c:pt idx="1365">
                  <c:v>0.56078810300000004</c:v>
                </c:pt>
                <c:pt idx="1366">
                  <c:v>0.63104500399999996</c:v>
                </c:pt>
                <c:pt idx="1367">
                  <c:v>0.43038357300000002</c:v>
                </c:pt>
                <c:pt idx="1368">
                  <c:v>0.490224728</c:v>
                </c:pt>
                <c:pt idx="1369">
                  <c:v>0.56757351700000003</c:v>
                </c:pt>
                <c:pt idx="1370">
                  <c:v>0.58711560200000001</c:v>
                </c:pt>
                <c:pt idx="1371">
                  <c:v>0.10946700099999999</c:v>
                </c:pt>
                <c:pt idx="1372">
                  <c:v>8.8562657000000003E-2</c:v>
                </c:pt>
                <c:pt idx="1373">
                  <c:v>0.11115789500000001</c:v>
                </c:pt>
                <c:pt idx="1374">
                  <c:v>5.8051796000000003E-2</c:v>
                </c:pt>
                <c:pt idx="1375">
                  <c:v>4.9870300999999999E-2</c:v>
                </c:pt>
                <c:pt idx="1376">
                  <c:v>8.8850339777874193E-3</c:v>
                </c:pt>
                <c:pt idx="1377">
                  <c:v>4.8788171878029564E-2</c:v>
                </c:pt>
                <c:pt idx="1378">
                  <c:v>2.6765027933087434E-2</c:v>
                </c:pt>
                <c:pt idx="1379">
                  <c:v>6.9106904827232751E-2</c:v>
                </c:pt>
                <c:pt idx="1380">
                  <c:v>0.11486297142017043</c:v>
                </c:pt>
                <c:pt idx="1381">
                  <c:v>3.9165047235420712E-2</c:v>
                </c:pt>
                <c:pt idx="1382">
                  <c:v>1.0180354689606141</c:v>
                </c:pt>
                <c:pt idx="1383">
                  <c:v>0.67800167041410986</c:v>
                </c:pt>
                <c:pt idx="1384">
                  <c:v>0.97330301166026911</c:v>
                </c:pt>
                <c:pt idx="1385">
                  <c:v>1.2114001344608631</c:v>
                </c:pt>
                <c:pt idx="1386">
                  <c:v>0.61691154586426844</c:v>
                </c:pt>
                <c:pt idx="1387">
                  <c:v>0.26243698504706603</c:v>
                </c:pt>
                <c:pt idx="1388">
                  <c:v>0.44487718873709597</c:v>
                </c:pt>
                <c:pt idx="1389">
                  <c:v>0.64818645019343901</c:v>
                </c:pt>
                <c:pt idx="1390">
                  <c:v>0.72780740107521846</c:v>
                </c:pt>
                <c:pt idx="1391">
                  <c:v>0.7673272623989924</c:v>
                </c:pt>
                <c:pt idx="1392">
                  <c:v>0.45323886943279851</c:v>
                </c:pt>
                <c:pt idx="1393">
                  <c:v>0.39211085744077551</c:v>
                </c:pt>
                <c:pt idx="1394">
                  <c:v>0.10878639632803401</c:v>
                </c:pt>
                <c:pt idx="1395">
                  <c:v>0.10794278403014305</c:v>
                </c:pt>
                <c:pt idx="1396">
                  <c:v>0.16551157556725127</c:v>
                </c:pt>
                <c:pt idx="1397">
                  <c:v>0.21846078929659932</c:v>
                </c:pt>
                <c:pt idx="1398">
                  <c:v>0.48322355280363416</c:v>
                </c:pt>
                <c:pt idx="1399">
                  <c:v>0.42523253867948158</c:v>
                </c:pt>
                <c:pt idx="1400">
                  <c:v>0.16647037853168395</c:v>
                </c:pt>
                <c:pt idx="1401">
                  <c:v>0.13079904987300237</c:v>
                </c:pt>
                <c:pt idx="1402">
                  <c:v>0.20411946611140389</c:v>
                </c:pt>
                <c:pt idx="1403">
                  <c:v>0.15930158643866388</c:v>
                </c:pt>
                <c:pt idx="1404">
                  <c:v>0.18353175666590782</c:v>
                </c:pt>
                <c:pt idx="1405">
                  <c:v>0.11704998570737504</c:v>
                </c:pt>
                <c:pt idx="1406">
                  <c:v>5.3926793865183016E-2</c:v>
                </c:pt>
                <c:pt idx="1407">
                  <c:v>6.6237947834405134E-2</c:v>
                </c:pt>
                <c:pt idx="1408">
                  <c:v>0.13749880471547754</c:v>
                </c:pt>
                <c:pt idx="1409">
                  <c:v>0.10904826572737934</c:v>
                </c:pt>
                <c:pt idx="1410">
                  <c:v>0.53939913052407817</c:v>
                </c:pt>
                <c:pt idx="1411">
                  <c:v>0.62327225995272029</c:v>
                </c:pt>
                <c:pt idx="1412">
                  <c:v>1.2394410147435375</c:v>
                </c:pt>
                <c:pt idx="1413">
                  <c:v>2.0267611380642321</c:v>
                </c:pt>
                <c:pt idx="1414">
                  <c:v>3.8926330174384307</c:v>
                </c:pt>
                <c:pt idx="1415">
                  <c:v>1.2745172811272318</c:v>
                </c:pt>
                <c:pt idx="1416">
                  <c:v>0.54952323413081761</c:v>
                </c:pt>
                <c:pt idx="1417">
                  <c:v>0.86892926418584993</c:v>
                </c:pt>
                <c:pt idx="1418">
                  <c:v>0.65951411348598654</c:v>
                </c:pt>
                <c:pt idx="1419">
                  <c:v>1.111716464211143</c:v>
                </c:pt>
                <c:pt idx="1420">
                  <c:v>0.28606072660873472</c:v>
                </c:pt>
                <c:pt idx="1421">
                  <c:v>0.34653095344433726</c:v>
                </c:pt>
                <c:pt idx="1422">
                  <c:v>0.31154910614078901</c:v>
                </c:pt>
                <c:pt idx="1423">
                  <c:v>0.28071591982035043</c:v>
                </c:pt>
                <c:pt idx="1424">
                  <c:v>0.31123519352310175</c:v>
                </c:pt>
                <c:pt idx="1425">
                  <c:v>0.33080811760198325</c:v>
                </c:pt>
                <c:pt idx="1426">
                  <c:v>0.24131303766877679</c:v>
                </c:pt>
                <c:pt idx="1427">
                  <c:v>8.9468324776329183E-2</c:v>
                </c:pt>
                <c:pt idx="1428">
                  <c:v>6.032844884917888E-2</c:v>
                </c:pt>
                <c:pt idx="1429">
                  <c:v>2.1362471946593822E-2</c:v>
                </c:pt>
                <c:pt idx="1430">
                  <c:v>3.2081093919797271E-2</c:v>
                </c:pt>
                <c:pt idx="1431">
                  <c:v>5.3668718865828205E-2</c:v>
                </c:pt>
                <c:pt idx="1432">
                  <c:v>4.1494832896262913E-2</c:v>
                </c:pt>
                <c:pt idx="1433">
                  <c:v>2.1670487945823786E-2</c:v>
                </c:pt>
                <c:pt idx="1434">
                  <c:v>0.11049711272375723</c:v>
                </c:pt>
                <c:pt idx="1435">
                  <c:v>1.7051363957371592E-2</c:v>
                </c:pt>
                <c:pt idx="1436">
                  <c:v>1.3782599965543501E-2</c:v>
                </c:pt>
                <c:pt idx="1437">
                  <c:v>2.3471711941320715E-2</c:v>
                </c:pt>
                <c:pt idx="1438">
                  <c:v>0.10454129973864675</c:v>
                </c:pt>
                <c:pt idx="1439">
                  <c:v>8.0112059799719842E-3</c:v>
                </c:pt>
                <c:pt idx="1440">
                  <c:v>1.4118794964703014E-2</c:v>
                </c:pt>
                <c:pt idx="1441">
                  <c:v>1.3166009967084976E-2</c:v>
                </c:pt>
                <c:pt idx="1442">
                  <c:v>1.9227284951931788E-2</c:v>
                </c:pt>
                <c:pt idx="1443">
                  <c:v>1.5021359962446601E-2</c:v>
                </c:pt>
                <c:pt idx="1444">
                  <c:v>5.7270329856824169E-2</c:v>
                </c:pt>
                <c:pt idx="1445">
                  <c:v>5.3615429865961428E-3</c:v>
                </c:pt>
                <c:pt idx="1446">
                  <c:v>6.1631099845922245E-3</c:v>
                </c:pt>
                <c:pt idx="1447">
                  <c:v>2.0726630948183423E-2</c:v>
                </c:pt>
                <c:pt idx="1448">
                  <c:v>2.373397194066507E-2</c:v>
                </c:pt>
                <c:pt idx="1449">
                  <c:v>5.4979739862550649E-2</c:v>
                </c:pt>
                <c:pt idx="1450">
                  <c:v>4.2258455894353855E-2</c:v>
                </c:pt>
                <c:pt idx="1451">
                  <c:v>1.967173195082067E-2</c:v>
                </c:pt>
                <c:pt idx="1452">
                  <c:v>3.6129104909677232E-2</c:v>
                </c:pt>
                <c:pt idx="1453">
                  <c:v>2.4572924938567688E-2</c:v>
                </c:pt>
                <c:pt idx="1454">
                  <c:v>1.5022475962443811E-2</c:v>
                </c:pt>
                <c:pt idx="1455">
                  <c:v>2.6881649932795879E-2</c:v>
                </c:pt>
                <c:pt idx="1456">
                  <c:v>3.2358419919103951E-3</c:v>
                </c:pt>
                <c:pt idx="1457">
                  <c:v>3.6401129908997182E-3</c:v>
                </c:pt>
                <c:pt idx="1458">
                  <c:v>1.9661687950845781E-2</c:v>
                </c:pt>
                <c:pt idx="1459">
                  <c:v>6.3305099841737249E-3</c:v>
                </c:pt>
                <c:pt idx="1460">
                  <c:v>9.444149976389626E-3</c:v>
                </c:pt>
                <c:pt idx="1461">
                  <c:v>7.7218829806952917E-3</c:v>
                </c:pt>
                <c:pt idx="1462">
                  <c:v>1.8243251954391873E-2</c:v>
                </c:pt>
                <c:pt idx="1463">
                  <c:v>1.6370045959074889E-2</c:v>
                </c:pt>
                <c:pt idx="1464">
                  <c:v>3.4623899913440253E-3</c:v>
                </c:pt>
                <c:pt idx="1465">
                  <c:v>1.7800199955499503E-3</c:v>
                </c:pt>
                <c:pt idx="1466">
                  <c:v>1.7511155956222109E-2</c:v>
                </c:pt>
                <c:pt idx="1467">
                  <c:v>2.9345219926636954E-3</c:v>
                </c:pt>
                <c:pt idx="1468">
                  <c:v>1.3489649966275878E-2</c:v>
                </c:pt>
                <c:pt idx="1469">
                  <c:v>1.9354229951614423E-2</c:v>
                </c:pt>
                <c:pt idx="1470">
                  <c:v>2.6449199933876997E-3</c:v>
                </c:pt>
                <c:pt idx="1471">
                  <c:v>4.8545999878635E-4</c:v>
                </c:pt>
                <c:pt idx="1472">
                  <c:v>2.4328799939177998E-3</c:v>
                </c:pt>
                <c:pt idx="1473">
                  <c:v>2.7174599932063498E-3</c:v>
                </c:pt>
                <c:pt idx="1474">
                  <c:v>1.7816939955457652E-3</c:v>
                </c:pt>
                <c:pt idx="1475">
                  <c:v>1.9823507950441233E-2</c:v>
                </c:pt>
                <c:pt idx="1476">
                  <c:v>5.6385000000000003E-3</c:v>
                </c:pt>
                <c:pt idx="1477">
                  <c:v>4.1475000000000001E-3</c:v>
                </c:pt>
                <c:pt idx="1478">
                  <c:v>5.3760000000000006E-3</c:v>
                </c:pt>
                <c:pt idx="1479">
                  <c:v>6.3420000000000004E-3</c:v>
                </c:pt>
                <c:pt idx="1480">
                  <c:v>2.6670000000000003E-2</c:v>
                </c:pt>
                <c:pt idx="1481">
                  <c:v>3.7590000000000005E-2</c:v>
                </c:pt>
                <c:pt idx="1482">
                  <c:v>4.9455000000000006E-2</c:v>
                </c:pt>
                <c:pt idx="1483">
                  <c:v>1.1864999999999999E-2</c:v>
                </c:pt>
                <c:pt idx="1484">
                  <c:v>6.5100000000000002E-3</c:v>
                </c:pt>
                <c:pt idx="1485">
                  <c:v>4.6935000000000006E-3</c:v>
                </c:pt>
                <c:pt idx="1486">
                  <c:v>2.1315000000000001E-3</c:v>
                </c:pt>
                <c:pt idx="1487">
                  <c:v>5.4810000000000006E-3</c:v>
                </c:pt>
                <c:pt idx="1488">
                  <c:v>1.0185000000000001E-3</c:v>
                </c:pt>
                <c:pt idx="1489">
                  <c:v>3.4020000000000005E-3</c:v>
                </c:pt>
                <c:pt idx="1490">
                  <c:v>4.0005000000000006E-2</c:v>
                </c:pt>
                <c:pt idx="1491">
                  <c:v>5.2815000000000008E-2</c:v>
                </c:pt>
                <c:pt idx="1492">
                  <c:v>1.3755000000000002E-2</c:v>
                </c:pt>
                <c:pt idx="1493">
                  <c:v>1.953E-4</c:v>
                </c:pt>
                <c:pt idx="1494">
                  <c:v>1.0920000000000001E-3</c:v>
                </c:pt>
                <c:pt idx="1495">
                  <c:v>8.305500000000001E-4</c:v>
                </c:pt>
                <c:pt idx="1496">
                  <c:v>4.2945E-4</c:v>
                </c:pt>
                <c:pt idx="1497">
                  <c:v>6.0899999999999996E-5</c:v>
                </c:pt>
                <c:pt idx="1498">
                  <c:v>5.6175000000000007E-4</c:v>
                </c:pt>
                <c:pt idx="1499">
                  <c:v>3.1815000000000001E-4</c:v>
                </c:pt>
                <c:pt idx="1500">
                  <c:v>1.5015E-3</c:v>
                </c:pt>
                <c:pt idx="1501">
                  <c:v>3.7484999999999997E-2</c:v>
                </c:pt>
                <c:pt idx="1502">
                  <c:v>1.1445000000000001E-3</c:v>
                </c:pt>
                <c:pt idx="1503">
                  <c:v>5.3235000000000001E-3</c:v>
                </c:pt>
                <c:pt idx="1504">
                  <c:v>3.2445000000000002E-2</c:v>
                </c:pt>
                <c:pt idx="1505">
                  <c:v>7.2030000000000011E-3</c:v>
                </c:pt>
                <c:pt idx="1506">
                  <c:v>1.7010000000000001E-2</c:v>
                </c:pt>
                <c:pt idx="1507">
                  <c:v>1.5015000000000001E-2</c:v>
                </c:pt>
                <c:pt idx="1508">
                  <c:v>1.6695000000000002E-3</c:v>
                </c:pt>
                <c:pt idx="1509">
                  <c:v>1.9425E-3</c:v>
                </c:pt>
                <c:pt idx="1510">
                  <c:v>2.9295000000000002E-3</c:v>
                </c:pt>
                <c:pt idx="1511">
                  <c:v>1.197E-2</c:v>
                </c:pt>
                <c:pt idx="1512">
                  <c:v>5.9430000000000004E-2</c:v>
                </c:pt>
                <c:pt idx="1513">
                  <c:v>2.5725000000000005E-4</c:v>
                </c:pt>
                <c:pt idx="1514">
                  <c:v>8.2425000000000016E-3</c:v>
                </c:pt>
                <c:pt idx="1515">
                  <c:v>6.0899999999999999E-3</c:v>
                </c:pt>
                <c:pt idx="1516">
                  <c:v>9.408000000000001E-4</c:v>
                </c:pt>
                <c:pt idx="1517">
                  <c:v>3.4755000000000003E-3</c:v>
                </c:pt>
                <c:pt idx="1518">
                  <c:v>2.7510000000000004E-3</c:v>
                </c:pt>
                <c:pt idx="1519">
                  <c:v>1.5645000000000001E-3</c:v>
                </c:pt>
                <c:pt idx="1520">
                  <c:v>7.3920000000000001E-3</c:v>
                </c:pt>
                <c:pt idx="1521">
                  <c:v>1.0605000000000002E-2</c:v>
                </c:pt>
                <c:pt idx="1522">
                  <c:v>1.9845000000000002E-2</c:v>
                </c:pt>
                <c:pt idx="1523">
                  <c:v>1.8585000000000001E-3</c:v>
                </c:pt>
                <c:pt idx="1524">
                  <c:v>5.817000000000001E-3</c:v>
                </c:pt>
                <c:pt idx="1525">
                  <c:v>2.8035000000000004E-3</c:v>
                </c:pt>
                <c:pt idx="1526">
                  <c:v>3.9900000000000005E-3</c:v>
                </c:pt>
                <c:pt idx="1527">
                  <c:v>2.604E-3</c:v>
                </c:pt>
                <c:pt idx="1528">
                  <c:v>4.4099999999999999E-3</c:v>
                </c:pt>
                <c:pt idx="1529">
                  <c:v>5.4810000000000006E-3</c:v>
                </c:pt>
                <c:pt idx="1530">
                  <c:v>7.980000000000001E-3</c:v>
                </c:pt>
                <c:pt idx="1531">
                  <c:v>1.3860000000000001E-3</c:v>
                </c:pt>
                <c:pt idx="1532">
                  <c:v>4.4310000000000004E-4</c:v>
                </c:pt>
                <c:pt idx="1533">
                  <c:v>1.0709999999999999E-3</c:v>
                </c:pt>
                <c:pt idx="1534">
                  <c:v>1.8270000000000001E-3</c:v>
                </c:pt>
                <c:pt idx="1535">
                  <c:v>4.3889999999999997E-3</c:v>
                </c:pt>
                <c:pt idx="1536">
                  <c:v>5.9430000000000004E-2</c:v>
                </c:pt>
                <c:pt idx="1537">
                  <c:v>1.533E-2</c:v>
                </c:pt>
                <c:pt idx="1538">
                  <c:v>2.6564999999999998E-2</c:v>
                </c:pt>
                <c:pt idx="1539">
                  <c:v>3.4335000000000004E-2</c:v>
                </c:pt>
                <c:pt idx="1540">
                  <c:v>6.2055000000000001E-3</c:v>
                </c:pt>
                <c:pt idx="1541">
                  <c:v>7.980000000000001E-3</c:v>
                </c:pt>
                <c:pt idx="1542">
                  <c:v>3.5070000000000001E-5</c:v>
                </c:pt>
                <c:pt idx="1543">
                  <c:v>4.0005000000000005E-4</c:v>
                </c:pt>
                <c:pt idx="1544">
                  <c:v>8.3895000000000009E-4</c:v>
                </c:pt>
                <c:pt idx="1545">
                  <c:v>5.4495000000000004E-3</c:v>
                </c:pt>
                <c:pt idx="1546">
                  <c:v>1.9110000000000001E-4</c:v>
                </c:pt>
                <c:pt idx="1547">
                  <c:v>2.4990000000000006E-4</c:v>
                </c:pt>
                <c:pt idx="1548">
                  <c:v>5.1660000000000009E-4</c:v>
                </c:pt>
                <c:pt idx="1549">
                  <c:v>1.0122000000000001E-2</c:v>
                </c:pt>
                <c:pt idx="1550">
                  <c:v>9.3135000000000006E-3</c:v>
                </c:pt>
                <c:pt idx="1551">
                  <c:v>2.0790000000000001E-3</c:v>
                </c:pt>
                <c:pt idx="1552">
                  <c:v>1.8165E-3</c:v>
                </c:pt>
                <c:pt idx="1553">
                  <c:v>2.1000000000000003E-3</c:v>
                </c:pt>
                <c:pt idx="1554">
                  <c:v>6.6780000000000008E-4</c:v>
                </c:pt>
                <c:pt idx="1555">
                  <c:v>5.2290000000000001E-3</c:v>
                </c:pt>
                <c:pt idx="1556">
                  <c:v>3.3600000000000001E-3</c:v>
                </c:pt>
                <c:pt idx="1557">
                  <c:v>3.9690000000000003E-3</c:v>
                </c:pt>
                <c:pt idx="1558">
                  <c:v>5.5230000000000003E-4</c:v>
                </c:pt>
                <c:pt idx="1559">
                  <c:v>1.3965000000000002E-3</c:v>
                </c:pt>
                <c:pt idx="1560">
                  <c:v>1.4595000000000003E-3</c:v>
                </c:pt>
                <c:pt idx="1561">
                  <c:v>1.2390000000000001E-3</c:v>
                </c:pt>
                <c:pt idx="1562">
                  <c:v>3.3075000000000004E-4</c:v>
                </c:pt>
                <c:pt idx="1563">
                  <c:v>2.5514999999999999E-4</c:v>
                </c:pt>
                <c:pt idx="1564">
                  <c:v>0.6244950353003359</c:v>
                </c:pt>
                <c:pt idx="1565">
                  <c:v>0.22775701287424019</c:v>
                </c:pt>
                <c:pt idx="1566">
                  <c:v>0.17003058103975535</c:v>
                </c:pt>
                <c:pt idx="1567">
                  <c:v>0.28338430173292561</c:v>
                </c:pt>
                <c:pt idx="1568">
                  <c:v>0.21621172650734322</c:v>
                </c:pt>
                <c:pt idx="1569">
                  <c:v>0.28233473024502587</c:v>
                </c:pt>
                <c:pt idx="1570">
                  <c:v>0.32956544720051345</c:v>
                </c:pt>
                <c:pt idx="1571">
                  <c:v>0.17317929550345448</c:v>
                </c:pt>
                <c:pt idx="1572">
                  <c:v>2.235587269226413E-2</c:v>
                </c:pt>
                <c:pt idx="1573">
                  <c:v>6.9481632498961748E-2</c:v>
                </c:pt>
                <c:pt idx="1574">
                  <c:v>6.2659417827613542E-2</c:v>
                </c:pt>
                <c:pt idx="1575">
                  <c:v>0.11965114962056857</c:v>
                </c:pt>
                <c:pt idx="1576">
                  <c:v>0.63499075017933315</c:v>
                </c:pt>
                <c:pt idx="1577">
                  <c:v>0.29912787405142144</c:v>
                </c:pt>
                <c:pt idx="1578">
                  <c:v>0.42612602408728811</c:v>
                </c:pt>
                <c:pt idx="1579">
                  <c:v>0.58671046173594577</c:v>
                </c:pt>
                <c:pt idx="1580">
                  <c:v>0.64548646505833052</c:v>
                </c:pt>
                <c:pt idx="1581">
                  <c:v>0.61714803488503789</c:v>
                </c:pt>
                <c:pt idx="1582">
                  <c:v>0.25399630007173329</c:v>
                </c:pt>
                <c:pt idx="1583">
                  <c:v>0.17842715294295311</c:v>
                </c:pt>
                <c:pt idx="1584">
                  <c:v>0.21516215501944355</c:v>
                </c:pt>
                <c:pt idx="1585">
                  <c:v>3.8939102201079767E-2</c:v>
                </c:pt>
                <c:pt idx="1586">
                  <c:v>5.2583531543776194E-2</c:v>
                </c:pt>
                <c:pt idx="1587">
                  <c:v>2.2985615585003963E-2</c:v>
                </c:pt>
                <c:pt idx="1588">
                  <c:v>6.5703175142522746E-2</c:v>
                </c:pt>
                <c:pt idx="1589">
                  <c:v>8.9423490769056521E-2</c:v>
                </c:pt>
                <c:pt idx="1590">
                  <c:v>0.14589043681806169</c:v>
                </c:pt>
                <c:pt idx="1591">
                  <c:v>0.25189715709593385</c:v>
                </c:pt>
                <c:pt idx="1592">
                  <c:v>3.3061501868841311E-2</c:v>
                </c:pt>
                <c:pt idx="1593">
                  <c:v>3.4006116207951069E-2</c:v>
                </c:pt>
                <c:pt idx="1594">
                  <c:v>0.12279986408426777</c:v>
                </c:pt>
                <c:pt idx="1595">
                  <c:v>3.0752444595461927E-2</c:v>
                </c:pt>
                <c:pt idx="1596">
                  <c:v>1.7527843847925398E-2</c:v>
                </c:pt>
                <c:pt idx="1597">
                  <c:v>3.2116887529731568E-2</c:v>
                </c:pt>
                <c:pt idx="1598">
                  <c:v>0.4061841658171933</c:v>
                </c:pt>
                <c:pt idx="1599">
                  <c:v>0.6706761807679239</c:v>
                </c:pt>
                <c:pt idx="1600">
                  <c:v>0.31382187488201757</c:v>
                </c:pt>
                <c:pt idx="1601">
                  <c:v>0.29283044512402312</c:v>
                </c:pt>
                <c:pt idx="1602">
                  <c:v>1.4064257937856306</c:v>
                </c:pt>
                <c:pt idx="1603">
                  <c:v>1.9626986823724848</c:v>
                </c:pt>
                <c:pt idx="1604">
                  <c:v>1.6898100955185562</c:v>
                </c:pt>
                <c:pt idx="1605">
                  <c:v>1.6373315211235699</c:v>
                </c:pt>
                <c:pt idx="1606">
                  <c:v>0.47650545550647483</c:v>
                </c:pt>
                <c:pt idx="1607">
                  <c:v>0.56886774644165072</c:v>
                </c:pt>
                <c:pt idx="1608">
                  <c:v>1.8262543889455207</c:v>
                </c:pt>
                <c:pt idx="1609">
                  <c:v>1.6898100955185562</c:v>
                </c:pt>
                <c:pt idx="1610">
                  <c:v>1.6688186657605617</c:v>
                </c:pt>
                <c:pt idx="1611">
                  <c:v>2.1936044097104239</c:v>
                </c:pt>
                <c:pt idx="1612">
                  <c:v>1.3749386491486388</c:v>
                </c:pt>
                <c:pt idx="1613">
                  <c:v>2.4350058519273605</c:v>
                </c:pt>
                <c:pt idx="1614">
                  <c:v>2.0151772567674708</c:v>
                </c:pt>
                <c:pt idx="1615">
                  <c:v>1.8052629591875262</c:v>
                </c:pt>
                <c:pt idx="1616">
                  <c:v>3.3691244761581158</c:v>
                </c:pt>
                <c:pt idx="1617">
                  <c:v>4.3872088194208478</c:v>
                </c:pt>
                <c:pt idx="1618">
                  <c:v>1.3014686449956581</c:v>
                </c:pt>
                <c:pt idx="1619">
                  <c:v>2.6029372899913161</c:v>
                </c:pt>
                <c:pt idx="1620">
                  <c:v>3.2851587571261374</c:v>
                </c:pt>
                <c:pt idx="1621">
                  <c:v>3.0857401744251902</c:v>
                </c:pt>
                <c:pt idx="1622">
                  <c:v>1.4169215086646278</c:v>
                </c:pt>
                <c:pt idx="1623">
                  <c:v>0.71370861177181244</c:v>
                </c:pt>
                <c:pt idx="1624">
                  <c:v>1.3224600747536526</c:v>
                </c:pt>
                <c:pt idx="1625">
                  <c:v>2.8233473024502582</c:v>
                </c:pt>
                <c:pt idx="1626">
                  <c:v>1.3014686449956581</c:v>
                </c:pt>
                <c:pt idx="1627">
                  <c:v>1.0705629176577189</c:v>
                </c:pt>
                <c:pt idx="1628">
                  <c:v>0.53213274436516023</c:v>
                </c:pt>
                <c:pt idx="1629">
                  <c:v>0.49644731377656959</c:v>
                </c:pt>
                <c:pt idx="1630">
                  <c:v>2.5609544304753271</c:v>
                </c:pt>
                <c:pt idx="1631">
                  <c:v>2.2775701287424019</c:v>
                </c:pt>
                <c:pt idx="1632">
                  <c:v>1.1860157813266885</c:v>
                </c:pt>
                <c:pt idx="1633">
                  <c:v>1.0600672027787217</c:v>
                </c:pt>
                <c:pt idx="1634">
                  <c:v>1.8262543889455207</c:v>
                </c:pt>
                <c:pt idx="1635">
                  <c:v>1.7947672443085285</c:v>
                </c:pt>
                <c:pt idx="1636">
                  <c:v>0.98554762713784105</c:v>
                </c:pt>
                <c:pt idx="1637">
                  <c:v>1.5848529467285839</c:v>
                </c:pt>
                <c:pt idx="1638">
                  <c:v>6.1609846339713821</c:v>
                </c:pt>
                <c:pt idx="1639">
                  <c:v>9.5406048250084936</c:v>
                </c:pt>
                <c:pt idx="1640">
                  <c:v>2.4874844263223466</c:v>
                </c:pt>
                <c:pt idx="1641">
                  <c:v>3.5370559142220714</c:v>
                </c:pt>
                <c:pt idx="1642">
                  <c:v>15.638615169705893</c:v>
                </c:pt>
                <c:pt idx="1643">
                  <c:v>4.8910031336127151</c:v>
                </c:pt>
                <c:pt idx="1644">
                  <c:v>19.941858270094762</c:v>
                </c:pt>
                <c:pt idx="1645">
                  <c:v>33.271416166421261</c:v>
                </c:pt>
                <c:pt idx="1646">
                  <c:v>4.7335674104277566E-5</c:v>
                </c:pt>
                <c:pt idx="1647">
                  <c:v>2.6239287197493107E-3</c:v>
                </c:pt>
                <c:pt idx="1648">
                  <c:v>5.8461131876014647E-3</c:v>
                </c:pt>
                <c:pt idx="1649">
                  <c:v>1.0705629176577189E-4</c:v>
                </c:pt>
                <c:pt idx="1650">
                  <c:v>1.6583229508815646E-5</c:v>
                </c:pt>
                <c:pt idx="1651">
                  <c:v>9.068297655453618E-6</c:v>
                </c:pt>
                <c:pt idx="1652">
                  <c:v>1.4379129384226226E-3</c:v>
                </c:pt>
                <c:pt idx="1653">
                  <c:v>8.4280590478347864E-3</c:v>
                </c:pt>
                <c:pt idx="1654">
                  <c:v>6.7067618076792398E-3</c:v>
                </c:pt>
                <c:pt idx="1655">
                  <c:v>6.0875146298184008E-4</c:v>
                </c:pt>
                <c:pt idx="1656">
                  <c:v>4.7965416997017393E-4</c:v>
                </c:pt>
                <c:pt idx="1657">
                  <c:v>2.0151772567674709E-3</c:v>
                </c:pt>
                <c:pt idx="1658">
                  <c:v>8.3335976139238112E-5</c:v>
                </c:pt>
                <c:pt idx="1659">
                  <c:v>4.397704534299845E-4</c:v>
                </c:pt>
                <c:pt idx="1660">
                  <c:v>2.0991429757994487E-5</c:v>
                </c:pt>
                <c:pt idx="1661">
                  <c:v>9.6298184014799691E-3</c:v>
                </c:pt>
                <c:pt idx="1662">
                  <c:v>1.396979650394533E-3</c:v>
                </c:pt>
                <c:pt idx="1663">
                  <c:v>5.0263978555517789E-3</c:v>
                </c:pt>
                <c:pt idx="1664">
                  <c:v>5.7264620379808961E-3</c:v>
                </c:pt>
                <c:pt idx="1665">
                  <c:v>1.2384943557216749E-4</c:v>
                </c:pt>
                <c:pt idx="1666">
                  <c:v>1.4484086533016194E-4</c:v>
                </c:pt>
                <c:pt idx="1667">
                  <c:v>1.8262543889455206E-3</c:v>
                </c:pt>
                <c:pt idx="1668">
                  <c:v>1.4610035111564162E-3</c:v>
                </c:pt>
                <c:pt idx="1669">
                  <c:v>3.5370559142220716E-4</c:v>
                </c:pt>
                <c:pt idx="1670">
                  <c:v>2.1726129799524294E-2</c:v>
                </c:pt>
                <c:pt idx="1671">
                  <c:v>6.5178389398572881E-3</c:v>
                </c:pt>
                <c:pt idx="1672">
                  <c:v>7.2934722694151842E-3</c:v>
                </c:pt>
                <c:pt idx="1673">
                  <c:v>8.7429304942047037E-4</c:v>
                </c:pt>
                <c:pt idx="1674">
                  <c:v>2.158968550609733E-3</c:v>
                </c:pt>
                <c:pt idx="1675">
                  <c:v>1.061746517159361E-2</c:v>
                </c:pt>
                <c:pt idx="1676">
                  <c:v>9.5930833994034787E-4</c:v>
                </c:pt>
                <c:pt idx="1677">
                  <c:v>1.9773926832030806E-3</c:v>
                </c:pt>
                <c:pt idx="1678">
                  <c:v>3.4545895830299499E-3</c:v>
                </c:pt>
                <c:pt idx="1679">
                  <c:v>1.8244551235376921E-2</c:v>
                </c:pt>
                <c:pt idx="1680">
                  <c:v>1.9510367769513762E-2</c:v>
                </c:pt>
                <c:pt idx="1681">
                  <c:v>7.2000604069921085E-4</c:v>
                </c:pt>
                <c:pt idx="1682">
                  <c:v>5.2583531543776195E-3</c:v>
                </c:pt>
                <c:pt idx="1683">
                  <c:v>1.3854343640276361E-2</c:v>
                </c:pt>
                <c:pt idx="1684">
                  <c:v>4.4816702533318235E-3</c:v>
                </c:pt>
                <c:pt idx="1685">
                  <c:v>2.8443387322082531E-2</c:v>
                </c:pt>
                <c:pt idx="1686">
                  <c:v>5.6361988900215196E-2</c:v>
                </c:pt>
                <c:pt idx="1687">
                  <c:v>5.4997545965945548E-2</c:v>
                </c:pt>
                <c:pt idx="1688">
                  <c:v>2.8863215917242419E-2</c:v>
                </c:pt>
                <c:pt idx="1689">
                  <c:v>1.5533658020915921E-2</c:v>
                </c:pt>
                <c:pt idx="1690">
                  <c:v>4.8910031336127152E-3</c:v>
                </c:pt>
                <c:pt idx="1691">
                  <c:v>4.3137388152678672E-3</c:v>
                </c:pt>
                <c:pt idx="1692">
                  <c:v>2.7708687280552724E-3</c:v>
                </c:pt>
                <c:pt idx="1693">
                  <c:v>4.2822516706308754E-3</c:v>
                </c:pt>
                <c:pt idx="1694">
                  <c:v>6.1294974893343892E-3</c:v>
                </c:pt>
                <c:pt idx="1695">
                  <c:v>1.9102201079774981E-2</c:v>
                </c:pt>
                <c:pt idx="1696">
                  <c:v>1.0600672027787215E-2</c:v>
                </c:pt>
                <c:pt idx="1697">
                  <c:v>6.0875146298184008E-4</c:v>
                </c:pt>
                <c:pt idx="1698">
                  <c:v>7.7458375806999658E-5</c:v>
                </c:pt>
                <c:pt idx="1699">
                  <c:v>1.4484086533016194E-4</c:v>
                </c:pt>
                <c:pt idx="1700">
                  <c:v>1.7212972401555479E-3</c:v>
                </c:pt>
                <c:pt idx="1701">
                  <c:v>8.3545890436818057E-4</c:v>
                </c:pt>
                <c:pt idx="1702">
                  <c:v>1.9312115377354924E-4</c:v>
                </c:pt>
                <c:pt idx="1703">
                  <c:v>3.568543058859063E-3</c:v>
                </c:pt>
                <c:pt idx="1704">
                  <c:v>8.9843319364216415E-3</c:v>
                </c:pt>
                <c:pt idx="1705">
                  <c:v>8.7639219239626989E-3</c:v>
                </c:pt>
                <c:pt idx="1706">
                  <c:v>7.6198890021519994E-3</c:v>
                </c:pt>
                <c:pt idx="1707">
                  <c:v>5.3318231585306004E-3</c:v>
                </c:pt>
                <c:pt idx="1708">
                  <c:v>2.193604409710424E-2</c:v>
                </c:pt>
                <c:pt idx="1709">
                  <c:v>1.2804772152376636E-2</c:v>
                </c:pt>
                <c:pt idx="1710">
                  <c:v>9.6875448333144557E-2</c:v>
                </c:pt>
                <c:pt idx="1711">
                  <c:v>2.907313021482236E-2</c:v>
                </c:pt>
                <c:pt idx="1712">
                  <c:v>1.0023407709442368E-2</c:v>
                </c:pt>
                <c:pt idx="1713">
                  <c:v>1.3749386491486387E-2</c:v>
                </c:pt>
                <c:pt idx="1714">
                  <c:v>8.1971533204968482E-3</c:v>
                </c:pt>
                <c:pt idx="1715">
                  <c:v>6.4128817910673154E-3</c:v>
                </c:pt>
                <c:pt idx="1716">
                  <c:v>3.3691244761581154E-3</c:v>
                </c:pt>
                <c:pt idx="1717">
                  <c:v>2.2355872692264133E-4</c:v>
                </c:pt>
                <c:pt idx="1718">
                  <c:v>9.0263147959376289E-3</c:v>
                </c:pt>
                <c:pt idx="1719">
                  <c:v>6.6437875184052544E-3</c:v>
                </c:pt>
                <c:pt idx="1720">
                  <c:v>7.8507947294899384E-3</c:v>
                </c:pt>
                <c:pt idx="1721">
                  <c:v>1.7003058103975536E-3</c:v>
                </c:pt>
                <c:pt idx="1722">
                  <c:v>6.2449503530033609E-3</c:v>
                </c:pt>
                <c:pt idx="1723">
                  <c:v>1.9207158228564954E-2</c:v>
                </c:pt>
                <c:pt idx="1724">
                  <c:v>6.717257522558237E-2</c:v>
                </c:pt>
                <c:pt idx="1725">
                  <c:v>7.7563332955789639E-3</c:v>
                </c:pt>
                <c:pt idx="1726">
                  <c:v>5.3738060180465886E-3</c:v>
                </c:pt>
                <c:pt idx="1727">
                  <c:v>3.3691244761581154E-3</c:v>
                </c:pt>
                <c:pt idx="1728">
                  <c:v>3.8204402159549965E-3</c:v>
                </c:pt>
                <c:pt idx="1729">
                  <c:v>3.1697058934571673E-3</c:v>
                </c:pt>
                <c:pt idx="1730">
                  <c:v>1.9731943972514819E-3</c:v>
                </c:pt>
                <c:pt idx="1731">
                  <c:v>2.0991429757994491E-3</c:v>
                </c:pt>
                <c:pt idx="1732">
                  <c:v>2.2460829841054104E-3</c:v>
                </c:pt>
                <c:pt idx="1733">
                  <c:v>2.382527277532375E-4</c:v>
                </c:pt>
                <c:pt idx="1734">
                  <c:v>1.1860157813266886E-3</c:v>
                </c:pt>
                <c:pt idx="1735">
                  <c:v>1.4798957979386112E-2</c:v>
                </c:pt>
                <c:pt idx="1736">
                  <c:v>2.2460829841054103E-2</c:v>
                </c:pt>
                <c:pt idx="1737">
                  <c:v>2.5504587155963303E-2</c:v>
                </c:pt>
                <c:pt idx="1738">
                  <c:v>6.1294974893343915E-2</c:v>
                </c:pt>
                <c:pt idx="1739">
                  <c:v>2.4664929965643526E-2</c:v>
                </c:pt>
                <c:pt idx="1740">
                  <c:v>5.8880960471174547E-3</c:v>
                </c:pt>
                <c:pt idx="1741">
                  <c:v>1.6793143806395593E-2</c:v>
                </c:pt>
                <c:pt idx="1742">
                  <c:v>8.3231018990448137E-3</c:v>
                </c:pt>
                <c:pt idx="1743">
                  <c:v>6.2974289273983467E-5</c:v>
                </c:pt>
                <c:pt idx="1744">
                  <c:v>3.2431758976101478E-5</c:v>
                </c:pt>
                <c:pt idx="1745">
                  <c:v>7.2105561218711059E-5</c:v>
                </c:pt>
                <c:pt idx="1746">
                  <c:v>2.1411258353154377E-3</c:v>
                </c:pt>
                <c:pt idx="1747">
                  <c:v>2.6659115792653002E-3</c:v>
                </c:pt>
                <c:pt idx="1748">
                  <c:v>3.2011930380941594E-4</c:v>
                </c:pt>
                <c:pt idx="1749">
                  <c:v>1.8682372484615094E-3</c:v>
                </c:pt>
                <c:pt idx="1750">
                  <c:v>1.6898100955185563E-3</c:v>
                </c:pt>
                <c:pt idx="1751">
                  <c:v>2.1726129799524294E-2</c:v>
                </c:pt>
                <c:pt idx="1752">
                  <c:v>8.4280590478347857E-4</c:v>
                </c:pt>
                <c:pt idx="1753">
                  <c:v>6.8537018159852007E-3</c:v>
                </c:pt>
                <c:pt idx="1754">
                  <c:v>9.3306905274285496E-3</c:v>
                </c:pt>
                <c:pt idx="1755">
                  <c:v>1.5428700872125948E-3</c:v>
                </c:pt>
                <c:pt idx="1756">
                  <c:v>1.5008872276966059E-3</c:v>
                </c:pt>
                <c:pt idx="1757">
                  <c:v>1.1125457771737077E-3</c:v>
                </c:pt>
                <c:pt idx="1758">
                  <c:v>3.8939102201079774E-3</c:v>
                </c:pt>
                <c:pt idx="1759">
                  <c:v>7.9137690187639203E-4</c:v>
                </c:pt>
                <c:pt idx="1760">
                  <c:v>2.5294672858383357E-3</c:v>
                </c:pt>
                <c:pt idx="1761">
                  <c:v>6.549326084494281E-4</c:v>
                </c:pt>
                <c:pt idx="1762">
                  <c:v>6.3604032166723304E-4</c:v>
                </c:pt>
                <c:pt idx="1763">
                  <c:v>2.0781515460414541E-4</c:v>
                </c:pt>
                <c:pt idx="1764">
                  <c:v>1.2384943557216749E-4</c:v>
                </c:pt>
                <c:pt idx="1765">
                  <c:v>4.009363083776947E-5</c:v>
                </c:pt>
                <c:pt idx="1766">
                  <c:v>6.2659329000000008E-4</c:v>
                </c:pt>
                <c:pt idx="1767">
                  <c:v>9.1417547000000009E-3</c:v>
                </c:pt>
                <c:pt idx="1768">
                  <c:v>1.8157560999999999E-2</c:v>
                </c:pt>
                <c:pt idx="1769">
                  <c:v>1.5323722E-2</c:v>
                </c:pt>
                <c:pt idx="1770">
                  <c:v>1.1125442000000001E-2</c:v>
                </c:pt>
                <c:pt idx="1771">
                  <c:v>1.5218765E-2</c:v>
                </c:pt>
                <c:pt idx="1772">
                  <c:v>1.9941830000000001E-3</c:v>
                </c:pt>
                <c:pt idx="1773">
                  <c:v>4.4711682000000003E-3</c:v>
                </c:pt>
                <c:pt idx="1774">
                  <c:v>6.9166663000000005E-4</c:v>
                </c:pt>
                <c:pt idx="1775">
                  <c:v>9.9184365000000007E-4</c:v>
                </c:pt>
                <c:pt idx="1776">
                  <c:v>4.2087756999999995E-4</c:v>
                </c:pt>
                <c:pt idx="1777">
                  <c:v>1.7632775999999999E-4</c:v>
                </c:pt>
                <c:pt idx="1778">
                  <c:v>5.0799188000000002E-4</c:v>
                </c:pt>
                <c:pt idx="1779">
                  <c:v>3.4006067999999999E-4</c:v>
                </c:pt>
                <c:pt idx="1780">
                  <c:v>1.1020485E-3</c:v>
                </c:pt>
                <c:pt idx="1781">
                  <c:v>1.1860141E-3</c:v>
                </c:pt>
                <c:pt idx="1782">
                  <c:v>7.4309555999999997E-3</c:v>
                </c:pt>
                <c:pt idx="1783">
                  <c:v>7.2210415999999994E-3</c:v>
                </c:pt>
                <c:pt idx="1784">
                  <c:v>5.9090790999999998E-3</c:v>
                </c:pt>
                <c:pt idx="1785">
                  <c:v>4.0303487999999998E-3</c:v>
                </c:pt>
                <c:pt idx="1786">
                  <c:v>4.2507585000000001E-3</c:v>
                </c:pt>
                <c:pt idx="1787">
                  <c:v>7.4939298000000001E-3</c:v>
                </c:pt>
                <c:pt idx="1788">
                  <c:v>1.9522001999999999E-3</c:v>
                </c:pt>
                <c:pt idx="1789">
                  <c:v>1.7317905000000001E-3</c:v>
                </c:pt>
                <c:pt idx="1790">
                  <c:v>2.2040969999999999E-3</c:v>
                </c:pt>
                <c:pt idx="1791">
                  <c:v>1.7422862000000001E-3</c:v>
                </c:pt>
                <c:pt idx="1792">
                  <c:v>1.4903894E-4</c:v>
                </c:pt>
                <c:pt idx="1793">
                  <c:v>3.7049821E-4</c:v>
                </c:pt>
                <c:pt idx="1794">
                  <c:v>3.4740766999999997E-4</c:v>
                </c:pt>
                <c:pt idx="1795">
                  <c:v>1.3224581999999999E-3</c:v>
                </c:pt>
                <c:pt idx="1796">
                  <c:v>1.2489883E-3</c:v>
                </c:pt>
                <c:pt idx="1797">
                  <c:v>9.6140612E-4</c:v>
                </c:pt>
                <c:pt idx="1798">
                  <c:v>4.9119875999999998E-4</c:v>
                </c:pt>
                <c:pt idx="1799">
                  <c:v>7.3784771000000001E-4</c:v>
                </c:pt>
                <c:pt idx="1800">
                  <c:v>3.0227615999999999E-4</c:v>
                </c:pt>
                <c:pt idx="1801">
                  <c:v>1.4798936999999999E-3</c:v>
                </c:pt>
                <c:pt idx="1802">
                  <c:v>6.4443598000000005E-4</c:v>
                </c:pt>
                <c:pt idx="1803">
                  <c:v>5.0274402999999994E-4</c:v>
                </c:pt>
                <c:pt idx="1804">
                  <c:v>1.8892259999999999E-4</c:v>
                </c:pt>
                <c:pt idx="1805">
                  <c:v>1.0810570999999999E-3</c:v>
                </c:pt>
                <c:pt idx="1806">
                  <c:v>1.2279969000000002E-3</c:v>
                </c:pt>
                <c:pt idx="1807">
                  <c:v>1.6163378000000001E-3</c:v>
                </c:pt>
                <c:pt idx="1808">
                  <c:v>5.5522253000000001E-4</c:v>
                </c:pt>
                <c:pt idx="1809">
                  <c:v>4.1248101000000005E-5</c:v>
                </c:pt>
                <c:pt idx="1810">
                  <c:v>4.7860391999999998E-5</c:v>
                </c:pt>
                <c:pt idx="1811">
                  <c:v>2.0361658000000001E-4</c:v>
                </c:pt>
                <c:pt idx="1812">
                  <c:v>3.5055638000000002E-4</c:v>
                </c:pt>
                <c:pt idx="1813">
                  <c:v>1.679312E-4</c:v>
                </c:pt>
                <c:pt idx="1814">
                  <c:v>1.1020485000000001E-4</c:v>
                </c:pt>
                <c:pt idx="1815">
                  <c:v>6.1504802000000001E-4</c:v>
                </c:pt>
                <c:pt idx="1816">
                  <c:v>8.3230900999999992E-5</c:v>
                </c:pt>
                <c:pt idx="1817">
                  <c:v>1.1230399E-4</c:v>
                </c:pt>
                <c:pt idx="1818">
                  <c:v>2.6973949000000001E-4</c:v>
                </c:pt>
                <c:pt idx="1819">
                  <c:v>7.5464083000000002E-5</c:v>
                </c:pt>
                <c:pt idx="1820">
                  <c:v>9.5825741000000011E-4</c:v>
                </c:pt>
                <c:pt idx="1821">
                  <c:v>1.6793120000000001E-3</c:v>
                </c:pt>
                <c:pt idx="1822">
                  <c:v>3.6525035999999999E-4</c:v>
                </c:pt>
                <c:pt idx="1823">
                  <c:v>6.4128727000000002E-5</c:v>
                </c:pt>
                <c:pt idx="1824">
                  <c:v>7.1580673999999993E-5</c:v>
                </c:pt>
                <c:pt idx="1825">
                  <c:v>1.3539453E-2</c:v>
                </c:pt>
                <c:pt idx="1826">
                  <c:v>1.9522001999999999E-3</c:v>
                </c:pt>
                <c:pt idx="1827">
                  <c:v>4.2717498999999999E-3</c:v>
                </c:pt>
                <c:pt idx="1828">
                  <c:v>7.2420329999999993E-3</c:v>
                </c:pt>
                <c:pt idx="1829">
                  <c:v>4.1982800000000004E-3</c:v>
                </c:pt>
                <c:pt idx="1830">
                  <c:v>3.9044003999999998E-3</c:v>
                </c:pt>
                <c:pt idx="1831">
                  <c:v>2.6344207E-3</c:v>
                </c:pt>
                <c:pt idx="1832">
                  <c:v>2.0466615000000001E-3</c:v>
                </c:pt>
                <c:pt idx="1833">
                  <c:v>1.3959281000000001E-3</c:v>
                </c:pt>
                <c:pt idx="1834">
                  <c:v>1.00233935E-3</c:v>
                </c:pt>
                <c:pt idx="1835">
                  <c:v>1.9731916000000002E-3</c:v>
                </c:pt>
                <c:pt idx="1836">
                  <c:v>1.3749367E-3</c:v>
                </c:pt>
                <c:pt idx="1837">
                  <c:v>9.6140612E-4</c:v>
                </c:pt>
                <c:pt idx="1838">
                  <c:v>7.3050071999999997E-4</c:v>
                </c:pt>
                <c:pt idx="1839">
                  <c:v>6.5283254000000001E-4</c:v>
                </c:pt>
                <c:pt idx="1840">
                  <c:v>2.1411228000000002E-4</c:v>
                </c:pt>
                <c:pt idx="1841">
                  <c:v>1.4169194999999999E-4</c:v>
                </c:pt>
                <c:pt idx="1842">
                  <c:v>2.9807788000000001E-4</c:v>
                </c:pt>
                <c:pt idx="1843">
                  <c:v>2.8758218000000002E-4</c:v>
                </c:pt>
                <c:pt idx="1844">
                  <c:v>1.5008851000000001E-4</c:v>
                </c:pt>
                <c:pt idx="1845">
                  <c:v>2.6134292999999999E-4</c:v>
                </c:pt>
                <c:pt idx="1846">
                  <c:v>7.8192965000000001E-4</c:v>
                </c:pt>
                <c:pt idx="1847">
                  <c:v>2.1411227999999999E-3</c:v>
                </c:pt>
                <c:pt idx="1848">
                  <c:v>1.6478249000000001E-3</c:v>
                </c:pt>
                <c:pt idx="1849">
                  <c:v>1.3854324000000002E-3</c:v>
                </c:pt>
                <c:pt idx="1850">
                  <c:v>1.0317273099999999E-3</c:v>
                </c:pt>
                <c:pt idx="1851">
                  <c:v>1.4693980000000001E-4</c:v>
                </c:pt>
                <c:pt idx="1852">
                  <c:v>2.8233433000000004E-3</c:v>
                </c:pt>
                <c:pt idx="1853">
                  <c:v>2.0886443000000003E-3</c:v>
                </c:pt>
                <c:pt idx="1854">
                  <c:v>2.3615325000000001E-3</c:v>
                </c:pt>
                <c:pt idx="1855">
                  <c:v>6.5808039000000004E-3</c:v>
                </c:pt>
                <c:pt idx="1856">
                  <c:v>1.8472432E-3</c:v>
                </c:pt>
                <c:pt idx="1857">
                  <c:v>1.5428678999999999E-3</c:v>
                </c:pt>
                <c:pt idx="1858">
                  <c:v>7.116084600000001E-3</c:v>
                </c:pt>
                <c:pt idx="1859">
                  <c:v>4.3452198000000003E-3</c:v>
                </c:pt>
                <c:pt idx="1860">
                  <c:v>2.8548304000000002E-3</c:v>
                </c:pt>
                <c:pt idx="1861">
                  <c:v>1.4798936999999999E-3</c:v>
                </c:pt>
                <c:pt idx="1862">
                  <c:v>1.5113807999999999E-3</c:v>
                </c:pt>
                <c:pt idx="1863">
                  <c:v>1.4903893999999999E-3</c:v>
                </c:pt>
                <c:pt idx="1864">
                  <c:v>2.2355841000000001E-3</c:v>
                </c:pt>
                <c:pt idx="1865">
                  <c:v>3.3271368999999999E-3</c:v>
                </c:pt>
                <c:pt idx="1866">
                  <c:v>5.5837124000000004E-3</c:v>
                </c:pt>
                <c:pt idx="1867">
                  <c:v>2.2565755E-3</c:v>
                </c:pt>
                <c:pt idx="1868">
                  <c:v>8.3230901E-4</c:v>
                </c:pt>
                <c:pt idx="1869">
                  <c:v>2.8548304000000002E-3</c:v>
                </c:pt>
                <c:pt idx="1870">
                  <c:v>9.2257203000000007E-4</c:v>
                </c:pt>
                <c:pt idx="1871">
                  <c:v>7.8612792999999993E-4</c:v>
                </c:pt>
                <c:pt idx="1872">
                  <c:v>8.7114310000000004E-4</c:v>
                </c:pt>
                <c:pt idx="1873">
                  <c:v>2.9912744999999997E-3</c:v>
                </c:pt>
                <c:pt idx="1874">
                  <c:v>5.9090790999999998E-3</c:v>
                </c:pt>
                <c:pt idx="1875">
                  <c:v>2.2040969999999999E-3</c:v>
                </c:pt>
                <c:pt idx="1876">
                  <c:v>7.0426147000000007E-3</c:v>
                </c:pt>
                <c:pt idx="1877">
                  <c:v>7.7878093999999998E-3</c:v>
                </c:pt>
                <c:pt idx="1878">
                  <c:v>9.8239752000000014E-3</c:v>
                </c:pt>
                <c:pt idx="1879">
                  <c:v>5.6151995000000001E-3</c:v>
                </c:pt>
                <c:pt idx="1880">
                  <c:v>4.7335607000000002E-3</c:v>
                </c:pt>
                <c:pt idx="1881">
                  <c:v>2.8233433000000004E-3</c:v>
                </c:pt>
                <c:pt idx="1882">
                  <c:v>1.3224581999999999E-3</c:v>
                </c:pt>
                <c:pt idx="1883">
                  <c:v>9.0158063000000011E-4</c:v>
                </c:pt>
                <c:pt idx="1884">
                  <c:v>7.1475716999999997E-4</c:v>
                </c:pt>
                <c:pt idx="1885">
                  <c:v>5.7726350000000001E-4</c:v>
                </c:pt>
                <c:pt idx="1886">
                  <c:v>6.3813856000000005E-4</c:v>
                </c:pt>
                <c:pt idx="1887">
                  <c:v>4.2717498999999999E-3</c:v>
                </c:pt>
                <c:pt idx="1888">
                  <c:v>3.6420078999999999E-3</c:v>
                </c:pt>
                <c:pt idx="1889">
                  <c:v>2.0361658000000002E-3</c:v>
                </c:pt>
                <c:pt idx="1890">
                  <c:v>3.7679562999999999E-3</c:v>
                </c:pt>
                <c:pt idx="1891">
                  <c:v>1.5638593E-3</c:v>
                </c:pt>
                <c:pt idx="1892">
                  <c:v>6.1189931000000001E-4</c:v>
                </c:pt>
                <c:pt idx="1893">
                  <c:v>6.3813856000000005E-4</c:v>
                </c:pt>
                <c:pt idx="1894">
                  <c:v>9.0997718999999996E-4</c:v>
                </c:pt>
                <c:pt idx="1895">
                  <c:v>6.8327007000000008E-4</c:v>
                </c:pt>
                <c:pt idx="1896">
                  <c:v>2.1936013E-3</c:v>
                </c:pt>
                <c:pt idx="1897">
                  <c:v>6.8746835000000001E-3</c:v>
                </c:pt>
                <c:pt idx="1898">
                  <c:v>8.2916029999999998E-3</c:v>
                </c:pt>
                <c:pt idx="1899">
                  <c:v>1.0138846200000002E-3</c:v>
                </c:pt>
                <c:pt idx="1900">
                  <c:v>5.2268585999999998E-4</c:v>
                </c:pt>
                <c:pt idx="1901">
                  <c:v>1.3119625E-3</c:v>
                </c:pt>
                <c:pt idx="1902">
                  <c:v>4.9329790000000005E-4</c:v>
                </c:pt>
                <c:pt idx="1903">
                  <c:v>9.2469760000000003E-4</c:v>
                </c:pt>
                <c:pt idx="1904">
                  <c:v>4.8071680000000006E-3</c:v>
                </c:pt>
                <c:pt idx="1905">
                  <c:v>4.2088959999999996E-4</c:v>
                </c:pt>
                <c:pt idx="1906">
                  <c:v>1.2805119999999999E-3</c:v>
                </c:pt>
                <c:pt idx="1907">
                  <c:v>3.0753280000000001E-4</c:v>
                </c:pt>
                <c:pt idx="1908">
                  <c:v>8.9950719999999998E-4</c:v>
                </c:pt>
                <c:pt idx="1909">
                  <c:v>5.7413120000000002E-3</c:v>
                </c:pt>
                <c:pt idx="1910">
                  <c:v>3.022848E-4</c:v>
                </c:pt>
                <c:pt idx="1911">
                  <c:v>1.395968E-3</c:v>
                </c:pt>
                <c:pt idx="1912">
                  <c:v>4.9331199999999998E-4</c:v>
                </c:pt>
                <c:pt idx="1913">
                  <c:v>3.25376E-4</c:v>
                </c:pt>
                <c:pt idx="1914">
                  <c:v>5.8462719999999996E-4</c:v>
                </c:pt>
                <c:pt idx="1915">
                  <c:v>1.5219200000000002E-4</c:v>
                </c:pt>
                <c:pt idx="1916">
                  <c:v>2.1516800000000001E-4</c:v>
                </c:pt>
                <c:pt idx="1917">
                  <c:v>1.721344E-5</c:v>
                </c:pt>
                <c:pt idx="1918">
                  <c:v>3.5686399999999998E-5</c:v>
                </c:pt>
                <c:pt idx="1919">
                  <c:v>7.1162880000000001E-4</c:v>
                </c:pt>
                <c:pt idx="1920">
                  <c:v>3.9779840000000002E-4</c:v>
                </c:pt>
                <c:pt idx="1921">
                  <c:v>6.5704960000000006E-5</c:v>
                </c:pt>
                <c:pt idx="1922">
                  <c:v>1.9627520000000003E-4</c:v>
                </c:pt>
                <c:pt idx="1923">
                  <c:v>6.1191679999999995E-4</c:v>
                </c:pt>
                <c:pt idx="1924">
                  <c:v>1.322496E-3</c:v>
                </c:pt>
                <c:pt idx="1925">
                  <c:v>3.7155839999999996E-3</c:v>
                </c:pt>
                <c:pt idx="1926">
                  <c:v>5.877760000000001E-3</c:v>
                </c:pt>
                <c:pt idx="1927">
                  <c:v>2.2881280000000001E-4</c:v>
                </c:pt>
                <c:pt idx="1928">
                  <c:v>2.6764800000000002E-3</c:v>
                </c:pt>
                <c:pt idx="1929">
                  <c:v>3.8625280000000003E-5</c:v>
                </c:pt>
                <c:pt idx="1930">
                  <c:v>4.4188160000000002E-5</c:v>
                </c:pt>
                <c:pt idx="1931">
                  <c:v>3.810048E-4</c:v>
                </c:pt>
                <c:pt idx="1932">
                  <c:v>3.631616E-5</c:v>
                </c:pt>
                <c:pt idx="1933">
                  <c:v>3.5686400000000003E-6</c:v>
                </c:pt>
                <c:pt idx="1934">
                  <c:v>1.9417600000000002E-5</c:v>
                </c:pt>
                <c:pt idx="1935">
                  <c:v>2.0362240000000002E-5</c:v>
                </c:pt>
                <c:pt idx="1936">
                  <c:v>8.1029120000000008E-5</c:v>
                </c:pt>
                <c:pt idx="1937">
                  <c:v>6.7174400000000005E-4</c:v>
                </c:pt>
                <c:pt idx="1938">
                  <c:v>7.6620799999999999E-4</c:v>
                </c:pt>
                <c:pt idx="1939">
                  <c:v>2.561024E-4</c:v>
                </c:pt>
                <c:pt idx="1940">
                  <c:v>1.637376E-4</c:v>
                </c:pt>
                <c:pt idx="1941">
                  <c:v>3.5896320000000003E-4</c:v>
                </c:pt>
                <c:pt idx="1942">
                  <c:v>3.5161600000000004E-3</c:v>
                </c:pt>
                <c:pt idx="1943">
                  <c:v>5.0485759999999999E-3</c:v>
                </c:pt>
                <c:pt idx="1944">
                  <c:v>1.973248E-2</c:v>
                </c:pt>
                <c:pt idx="1945">
                  <c:v>1.9837439999999998E-2</c:v>
                </c:pt>
                <c:pt idx="1946">
                  <c:v>1.52192E-2</c:v>
                </c:pt>
                <c:pt idx="1947">
                  <c:v>1.332992E-2</c:v>
                </c:pt>
                <c:pt idx="1948">
                  <c:v>1.3224960000000001E-2</c:v>
                </c:pt>
                <c:pt idx="1949">
                  <c:v>3.9674879999999999E-3</c:v>
                </c:pt>
                <c:pt idx="1950">
                  <c:v>1.4169600000000001E-2</c:v>
                </c:pt>
                <c:pt idx="1951">
                  <c:v>3.3587199999999999E-3</c:v>
                </c:pt>
                <c:pt idx="1952">
                  <c:v>1.186048E-2</c:v>
                </c:pt>
                <c:pt idx="1953">
                  <c:v>6.3500800000000001E-3</c:v>
                </c:pt>
                <c:pt idx="1954">
                  <c:v>5.5943680000000006E-3</c:v>
                </c:pt>
                <c:pt idx="1955">
                  <c:v>1.1230720000000001E-2</c:v>
                </c:pt>
                <c:pt idx="1956">
                  <c:v>8.44928E-3</c:v>
                </c:pt>
                <c:pt idx="1957">
                  <c:v>6.2976000000000004E-2</c:v>
                </c:pt>
                <c:pt idx="1958">
                  <c:v>2.3301120000000002E-2</c:v>
                </c:pt>
                <c:pt idx="1959">
                  <c:v>2.2671360000000002E-2</c:v>
                </c:pt>
                <c:pt idx="1960">
                  <c:v>3.505664E-2</c:v>
                </c:pt>
                <c:pt idx="1961">
                  <c:v>2.1411840000000001E-2</c:v>
                </c:pt>
                <c:pt idx="1962">
                  <c:v>3.0438400000000001E-2</c:v>
                </c:pt>
                <c:pt idx="1963">
                  <c:v>1.8263040000000001E-2</c:v>
                </c:pt>
                <c:pt idx="1964">
                  <c:v>1.1020800000000001E-2</c:v>
                </c:pt>
                <c:pt idx="1965">
                  <c:v>2.004736E-2</c:v>
                </c:pt>
                <c:pt idx="1966">
                  <c:v>3.6211199999999998E-3</c:v>
                </c:pt>
                <c:pt idx="1967">
                  <c:v>1.9627519999999999E-3</c:v>
                </c:pt>
                <c:pt idx="1968">
                  <c:v>2.7499520000000003E-2</c:v>
                </c:pt>
                <c:pt idx="1969">
                  <c:v>9.5408640000000003E-2</c:v>
                </c:pt>
                <c:pt idx="1970">
                  <c:v>6.3605759999999997E-2</c:v>
                </c:pt>
                <c:pt idx="1971">
                  <c:v>0.1091584</c:v>
                </c:pt>
                <c:pt idx="1972">
                  <c:v>6.0247040000000002E-2</c:v>
                </c:pt>
                <c:pt idx="1973">
                  <c:v>1.500928E-2</c:v>
                </c:pt>
                <c:pt idx="1974">
                  <c:v>1.721344E-2</c:v>
                </c:pt>
                <c:pt idx="1975">
                  <c:v>2.5715200000000001E-2</c:v>
                </c:pt>
                <c:pt idx="1976">
                  <c:v>1.9627520000000002E-2</c:v>
                </c:pt>
                <c:pt idx="1977">
                  <c:v>4.3243520000000001E-2</c:v>
                </c:pt>
                <c:pt idx="1978">
                  <c:v>8.9320960000000005E-3</c:v>
                </c:pt>
                <c:pt idx="1979">
                  <c:v>2.0362240000000001E-4</c:v>
                </c:pt>
                <c:pt idx="1980">
                  <c:v>8.2603520000000004E-5</c:v>
                </c:pt>
                <c:pt idx="1981">
                  <c:v>7.9349759999999998E-3</c:v>
                </c:pt>
                <c:pt idx="1982">
                  <c:v>8.8376319999999998E-3</c:v>
                </c:pt>
                <c:pt idx="1983">
                  <c:v>6.6439680000000001E-3</c:v>
                </c:pt>
                <c:pt idx="1984">
                  <c:v>8.6382079999999997E-3</c:v>
                </c:pt>
                <c:pt idx="1985">
                  <c:v>7.5886080000000002E-3</c:v>
                </c:pt>
                <c:pt idx="1986">
                  <c:v>4.2088960000000002E-3</c:v>
                </c:pt>
                <c:pt idx="1987">
                  <c:v>9.8662400000000001E-3</c:v>
                </c:pt>
                <c:pt idx="1988">
                  <c:v>4.1774080000000005E-3</c:v>
                </c:pt>
                <c:pt idx="1989">
                  <c:v>5.3529600000000004E-3</c:v>
                </c:pt>
                <c:pt idx="1990">
                  <c:v>5.5104000000000004E-3</c:v>
                </c:pt>
                <c:pt idx="1991">
                  <c:v>1.815808E-2</c:v>
                </c:pt>
                <c:pt idx="1992">
                  <c:v>3.0333440000000003E-2</c:v>
                </c:pt>
                <c:pt idx="1993">
                  <c:v>2.7709440000000002E-2</c:v>
                </c:pt>
                <c:pt idx="1994">
                  <c:v>8.1029120000000003E-3</c:v>
                </c:pt>
                <c:pt idx="1995">
                  <c:v>1.8577920000000001E-2</c:v>
                </c:pt>
                <c:pt idx="1996">
                  <c:v>1.249024E-2</c:v>
                </c:pt>
                <c:pt idx="1997">
                  <c:v>5.5733760000000005E-3</c:v>
                </c:pt>
                <c:pt idx="1998">
                  <c:v>1.0496E-2</c:v>
                </c:pt>
                <c:pt idx="1999">
                  <c:v>5.1430399999999998E-3</c:v>
                </c:pt>
                <c:pt idx="2000">
                  <c:v>3.379712E-3</c:v>
                </c:pt>
                <c:pt idx="2001">
                  <c:v>1.144064E-3</c:v>
                </c:pt>
                <c:pt idx="2002">
                  <c:v>3.4951680000000003E-3</c:v>
                </c:pt>
                <c:pt idx="2003">
                  <c:v>3.6106239999999998E-3</c:v>
                </c:pt>
                <c:pt idx="2004">
                  <c:v>1.3340415999999999E-2</c:v>
                </c:pt>
                <c:pt idx="2005">
                  <c:v>6.9483520000000005E-3</c:v>
                </c:pt>
                <c:pt idx="2006">
                  <c:v>6.7489280000000004E-3</c:v>
                </c:pt>
                <c:pt idx="2007">
                  <c:v>6.6964479999999998E-3</c:v>
                </c:pt>
                <c:pt idx="2008">
                  <c:v>5.8567680000000009E-3</c:v>
                </c:pt>
                <c:pt idx="2009">
                  <c:v>6.0561919999999993E-3</c:v>
                </c:pt>
                <c:pt idx="2010">
                  <c:v>1.553408E-3</c:v>
                </c:pt>
                <c:pt idx="2011">
                  <c:v>5.1955200000000003E-3</c:v>
                </c:pt>
                <c:pt idx="2012">
                  <c:v>6.2451199999999998E-3</c:v>
                </c:pt>
                <c:pt idx="2013">
                  <c:v>1.3224960000000001E-2</c:v>
                </c:pt>
                <c:pt idx="2014">
                  <c:v>9.0580480000000008E-3</c:v>
                </c:pt>
                <c:pt idx="2015">
                  <c:v>3.3272320000000003E-3</c:v>
                </c:pt>
                <c:pt idx="2016">
                  <c:v>3.7260799999999997E-3</c:v>
                </c:pt>
                <c:pt idx="2017">
                  <c:v>2.0572160000000002E-3</c:v>
                </c:pt>
                <c:pt idx="2018">
                  <c:v>2.1201920000000003E-3</c:v>
                </c:pt>
                <c:pt idx="2019">
                  <c:v>1.7633280000000002E-3</c:v>
                </c:pt>
                <c:pt idx="2020">
                  <c:v>3.4531840000000002E-3</c:v>
                </c:pt>
                <c:pt idx="2021">
                  <c:v>2.015232E-3</c:v>
                </c:pt>
                <c:pt idx="2022">
                  <c:v>8.08192E-4</c:v>
                </c:pt>
                <c:pt idx="2023">
                  <c:v>4.6602240000000005E-4</c:v>
                </c:pt>
                <c:pt idx="2024">
                  <c:v>1.2616192000000001E-3</c:v>
                </c:pt>
                <c:pt idx="2025">
                  <c:v>6.9798400000000002E-4</c:v>
                </c:pt>
                <c:pt idx="2026">
                  <c:v>2.4770560000000002E-4</c:v>
                </c:pt>
                <c:pt idx="2027">
                  <c:v>2.9703679999999998E-4</c:v>
                </c:pt>
                <c:pt idx="2028">
                  <c:v>5.6258559999999998E-4</c:v>
                </c:pt>
                <c:pt idx="2029">
                  <c:v>8.6592E-5</c:v>
                </c:pt>
                <c:pt idx="2030">
                  <c:v>1.1608576000000002E-3</c:v>
                </c:pt>
                <c:pt idx="2031">
                  <c:v>9.4254080000000001E-4</c:v>
                </c:pt>
                <c:pt idx="2032">
                  <c:v>2.2041600000000001E-3</c:v>
                </c:pt>
                <c:pt idx="2033">
                  <c:v>2.6869760000000002E-4</c:v>
                </c:pt>
                <c:pt idx="2034">
                  <c:v>9.0370559999999997E-4</c:v>
                </c:pt>
                <c:pt idx="2035">
                  <c:v>8.5332479999999998E-4</c:v>
                </c:pt>
                <c:pt idx="2036">
                  <c:v>2.2251519999999999E-4</c:v>
                </c:pt>
                <c:pt idx="2037">
                  <c:v>5.1115519999999997E-4</c:v>
                </c:pt>
                <c:pt idx="2038">
                  <c:v>3.3902080000000005E-4</c:v>
                </c:pt>
                <c:pt idx="2039">
                  <c:v>7.3891840000000006E-5</c:v>
                </c:pt>
                <c:pt idx="2040">
                  <c:v>3.3797120000000002E-4</c:v>
                </c:pt>
                <c:pt idx="2041">
                  <c:v>1.7570304000000001E-4</c:v>
                </c:pt>
                <c:pt idx="2042">
                  <c:v>1.5764992E-4</c:v>
                </c:pt>
                <c:pt idx="2043">
                  <c:v>8.5542400000000003E-4</c:v>
                </c:pt>
                <c:pt idx="2044">
                  <c:v>9.8872319999999993E-3</c:v>
                </c:pt>
                <c:pt idx="2045">
                  <c:v>2.8968960000000004E-3</c:v>
                </c:pt>
                <c:pt idx="2046">
                  <c:v>3.3482239999999999E-3</c:v>
                </c:pt>
                <c:pt idx="2047">
                  <c:v>4.7022080000000003E-3</c:v>
                </c:pt>
                <c:pt idx="2048">
                  <c:v>1.6058880000000001E-2</c:v>
                </c:pt>
                <c:pt idx="2049">
                  <c:v>1.9942399999999999E-2</c:v>
                </c:pt>
                <c:pt idx="2050">
                  <c:v>5.8567680000000009E-3</c:v>
                </c:pt>
                <c:pt idx="2051">
                  <c:v>3.6526079999999999E-3</c:v>
                </c:pt>
                <c:pt idx="2052">
                  <c:v>6.0037119999999996E-3</c:v>
                </c:pt>
                <c:pt idx="2053">
                  <c:v>4.7127039999999999E-3</c:v>
                </c:pt>
                <c:pt idx="2054">
                  <c:v>3.232768E-3</c:v>
                </c:pt>
                <c:pt idx="2055">
                  <c:v>3.5686400000000001E-3</c:v>
                </c:pt>
                <c:pt idx="2056">
                  <c:v>1.2805119999999999E-3</c:v>
                </c:pt>
                <c:pt idx="2057">
                  <c:v>1.973248E-4</c:v>
                </c:pt>
                <c:pt idx="2058">
                  <c:v>6.0247039999999996E-3</c:v>
                </c:pt>
                <c:pt idx="2059">
                  <c:v>5.1850239999999999E-3</c:v>
                </c:pt>
                <c:pt idx="2060">
                  <c:v>1.3749760000000001E-2</c:v>
                </c:pt>
                <c:pt idx="2061">
                  <c:v>1.4799359999999999E-2</c:v>
                </c:pt>
                <c:pt idx="2062">
                  <c:v>5.9722239999999999E-3</c:v>
                </c:pt>
                <c:pt idx="2063">
                  <c:v>1.1545600000000001E-2</c:v>
                </c:pt>
                <c:pt idx="2064">
                  <c:v>4.597248E-3</c:v>
                </c:pt>
                <c:pt idx="2065">
                  <c:v>3.4216960000000001E-3</c:v>
                </c:pt>
                <c:pt idx="2066">
                  <c:v>1.6373760000000001E-3</c:v>
                </c:pt>
                <c:pt idx="2067">
                  <c:v>2.0257280000000001E-3</c:v>
                </c:pt>
                <c:pt idx="2068">
                  <c:v>1.2070400000000002E-3</c:v>
                </c:pt>
                <c:pt idx="2069">
                  <c:v>1.4589440000000002E-3</c:v>
                </c:pt>
                <c:pt idx="2070">
                  <c:v>6.0037119999999996E-3</c:v>
                </c:pt>
                <c:pt idx="2071">
                  <c:v>6.0456959999999997E-3</c:v>
                </c:pt>
                <c:pt idx="2072">
                  <c:v>7.4521599999999993E-3</c:v>
                </c:pt>
                <c:pt idx="2073">
                  <c:v>3.6211199999999998E-3</c:v>
                </c:pt>
                <c:pt idx="2074">
                  <c:v>1.689856E-3</c:v>
                </c:pt>
                <c:pt idx="2075">
                  <c:v>9.2469760000000003E-4</c:v>
                </c:pt>
                <c:pt idx="2076">
                  <c:v>8.8061440000000008E-4</c:v>
                </c:pt>
                <c:pt idx="2077">
                  <c:v>3.9464959999999999E-3</c:v>
                </c:pt>
                <c:pt idx="2078">
                  <c:v>7.0428160000000004E-3</c:v>
                </c:pt>
                <c:pt idx="2079">
                  <c:v>8.1448960000000004E-3</c:v>
                </c:pt>
                <c:pt idx="2080">
                  <c:v>1.616384E-3</c:v>
                </c:pt>
                <c:pt idx="2081">
                  <c:v>1.1335679999999999E-3</c:v>
                </c:pt>
                <c:pt idx="2082">
                  <c:v>2.4035840000000001E-4</c:v>
                </c:pt>
                <c:pt idx="2083">
                  <c:v>1.4169600000000001E-2</c:v>
                </c:pt>
                <c:pt idx="2084">
                  <c:v>1.1965439999999999E-2</c:v>
                </c:pt>
                <c:pt idx="2085">
                  <c:v>9.6458240000000008E-3</c:v>
                </c:pt>
                <c:pt idx="2086">
                  <c:v>9.8032640000000008E-3</c:v>
                </c:pt>
                <c:pt idx="2087">
                  <c:v>1.028608E-4</c:v>
                </c:pt>
                <c:pt idx="2088">
                  <c:v>9.1839999999999999E-4</c:v>
                </c:pt>
                <c:pt idx="2089">
                  <c:v>1.270016E-4</c:v>
                </c:pt>
                <c:pt idx="2090">
                  <c:v>7.2632320000000003E-4</c:v>
                </c:pt>
                <c:pt idx="2091">
                  <c:v>1.0118144000000001E-5</c:v>
                </c:pt>
                <c:pt idx="2092">
                  <c:v>8.7641599999999998E-5</c:v>
                </c:pt>
                <c:pt idx="2093">
                  <c:v>3.2852480000000002E-3</c:v>
                </c:pt>
                <c:pt idx="2094">
                  <c:v>1.8577919999999998E-3</c:v>
                </c:pt>
                <c:pt idx="2095">
                  <c:v>9.7402879999999999E-4</c:v>
                </c:pt>
                <c:pt idx="2096">
                  <c:v>1.060096E-4</c:v>
                </c:pt>
                <c:pt idx="2097">
                  <c:v>8.6592E-5</c:v>
                </c:pt>
                <c:pt idx="2098">
                  <c:v>1.081088E-3</c:v>
                </c:pt>
                <c:pt idx="2099">
                  <c:v>8.6067200000000004E-4</c:v>
                </c:pt>
                <c:pt idx="2100">
                  <c:v>4.1354239999999995E-4</c:v>
                </c:pt>
                <c:pt idx="2101">
                  <c:v>1.7948160000000001E-3</c:v>
                </c:pt>
                <c:pt idx="2102">
                  <c:v>7.8615040000000001E-3</c:v>
                </c:pt>
                <c:pt idx="2103">
                  <c:v>2.0362240000000001E-3</c:v>
                </c:pt>
                <c:pt idx="2104">
                  <c:v>2.1201920000000003E-3</c:v>
                </c:pt>
                <c:pt idx="2105">
                  <c:v>1.4484480000000002E-3</c:v>
                </c:pt>
                <c:pt idx="2106">
                  <c:v>2.1096960000000003E-3</c:v>
                </c:pt>
                <c:pt idx="2107">
                  <c:v>1.52192E-3</c:v>
                </c:pt>
                <c:pt idx="2108">
                  <c:v>1.1545600000000001E-2</c:v>
                </c:pt>
                <c:pt idx="2109">
                  <c:v>5.4054400000000001E-3</c:v>
                </c:pt>
                <c:pt idx="2110">
                  <c:v>1.0370048E-2</c:v>
                </c:pt>
                <c:pt idx="2111">
                  <c:v>9.572352000000001E-3</c:v>
                </c:pt>
                <c:pt idx="2112">
                  <c:v>6.8224000000000007E-2</c:v>
                </c:pt>
                <c:pt idx="2113">
                  <c:v>5.4999040000000006E-2</c:v>
                </c:pt>
                <c:pt idx="2114">
                  <c:v>4.6392320000000001E-2</c:v>
                </c:pt>
                <c:pt idx="2115">
                  <c:v>4.2928639999999997E-2</c:v>
                </c:pt>
                <c:pt idx="2116">
                  <c:v>2.4875520000000002E-2</c:v>
                </c:pt>
                <c:pt idx="2117">
                  <c:v>1.8053119999999999E-2</c:v>
                </c:pt>
                <c:pt idx="2118">
                  <c:v>2.7919360000000001E-2</c:v>
                </c:pt>
                <c:pt idx="2119">
                  <c:v>5.5733759999999993E-2</c:v>
                </c:pt>
                <c:pt idx="2120">
                  <c:v>0.27394560000000001</c:v>
                </c:pt>
                <c:pt idx="2121">
                  <c:v>0.33692160000000004</c:v>
                </c:pt>
                <c:pt idx="2122">
                  <c:v>0.51850240000000003</c:v>
                </c:pt>
                <c:pt idx="2123">
                  <c:v>0.63185920000000007</c:v>
                </c:pt>
                <c:pt idx="2124">
                  <c:v>0.1112576</c:v>
                </c:pt>
                <c:pt idx="2125">
                  <c:v>8.732672000000001E-2</c:v>
                </c:pt>
                <c:pt idx="2126">
                  <c:v>5.5418880000000004E-2</c:v>
                </c:pt>
                <c:pt idx="2127">
                  <c:v>0.45342720000000003</c:v>
                </c:pt>
                <c:pt idx="2128">
                  <c:v>0.33902079999999996</c:v>
                </c:pt>
                <c:pt idx="2129">
                  <c:v>5.9302400000000005E-2</c:v>
                </c:pt>
                <c:pt idx="2130">
                  <c:v>0.1175552</c:v>
                </c:pt>
                <c:pt idx="2131">
                  <c:v>0.23196160000000002</c:v>
                </c:pt>
                <c:pt idx="2132">
                  <c:v>0.4807168</c:v>
                </c:pt>
                <c:pt idx="2133">
                  <c:v>0.62031360000000002</c:v>
                </c:pt>
                <c:pt idx="2134">
                  <c:v>0.23406080000000001</c:v>
                </c:pt>
                <c:pt idx="2135">
                  <c:v>0.42823679999999997</c:v>
                </c:pt>
                <c:pt idx="2136">
                  <c:v>0.44293120000000002</c:v>
                </c:pt>
                <c:pt idx="2137">
                  <c:v>0.29913600000000001</c:v>
                </c:pt>
                <c:pt idx="2138">
                  <c:v>1.7423360000000001E-3</c:v>
                </c:pt>
                <c:pt idx="2139">
                  <c:v>2.1306879999999997E-2</c:v>
                </c:pt>
                <c:pt idx="2140">
                  <c:v>3.505664E-2</c:v>
                </c:pt>
                <c:pt idx="2141">
                  <c:v>3.5476480000000005E-3</c:v>
                </c:pt>
                <c:pt idx="2142">
                  <c:v>3.7995520000000003E-4</c:v>
                </c:pt>
                <c:pt idx="2143">
                  <c:v>1.081088E-3</c:v>
                </c:pt>
                <c:pt idx="2144">
                  <c:v>1.5639040000000001E-4</c:v>
                </c:pt>
                <c:pt idx="2145">
                  <c:v>9.5618560000000001E-4</c:v>
                </c:pt>
                <c:pt idx="2146">
                  <c:v>2.4560640000000002E-4</c:v>
                </c:pt>
                <c:pt idx="2147">
                  <c:v>2.3511040000000001E-3</c:v>
                </c:pt>
                <c:pt idx="2148">
                  <c:v>3.1173119999999997E-3</c:v>
                </c:pt>
                <c:pt idx="2149">
                  <c:v>2.3825920000000002E-3</c:v>
                </c:pt>
                <c:pt idx="2150">
                  <c:v>3.6211199999999998E-3</c:v>
                </c:pt>
                <c:pt idx="2151">
                  <c:v>6.9063679999999995E-4</c:v>
                </c:pt>
                <c:pt idx="2152">
                  <c:v>4.2193920000000006E-3</c:v>
                </c:pt>
                <c:pt idx="2153">
                  <c:v>3.5896320000000003E-4</c:v>
                </c:pt>
                <c:pt idx="2154">
                  <c:v>5.4264320000000003E-5</c:v>
                </c:pt>
                <c:pt idx="2155">
                  <c:v>5.5313919999999998E-4</c:v>
                </c:pt>
                <c:pt idx="2156">
                  <c:v>2.2671360000000001E-4</c:v>
                </c:pt>
                <c:pt idx="2157">
                  <c:v>1.8158079999999999E-3</c:v>
                </c:pt>
                <c:pt idx="2158">
                  <c:v>3.4216959999999996E-4</c:v>
                </c:pt>
                <c:pt idx="2159">
                  <c:v>6.2975999999999993E-4</c:v>
                </c:pt>
                <c:pt idx="2160">
                  <c:v>7.9664639999999995E-4</c:v>
                </c:pt>
                <c:pt idx="2161">
                  <c:v>1.8158079999999999E-3</c:v>
                </c:pt>
                <c:pt idx="2162">
                  <c:v>1.395968E-4</c:v>
                </c:pt>
                <c:pt idx="2163">
                  <c:v>2.1306879999999999E-4</c:v>
                </c:pt>
                <c:pt idx="2164">
                  <c:v>2.0782080000000001E-2</c:v>
                </c:pt>
                <c:pt idx="2165">
                  <c:v>3.3587200000000005E-2</c:v>
                </c:pt>
                <c:pt idx="2166">
                  <c:v>0.13329920000000001</c:v>
                </c:pt>
                <c:pt idx="2167">
                  <c:v>1.8158079999999999E-3</c:v>
                </c:pt>
                <c:pt idx="2168">
                  <c:v>1.5848960000000001E-4</c:v>
                </c:pt>
                <c:pt idx="2169">
                  <c:v>2.1306880000000003E-5</c:v>
                </c:pt>
                <c:pt idx="2170">
                  <c:v>1.322496E-3</c:v>
                </c:pt>
                <c:pt idx="2171">
                  <c:v>4.2298880000000002E-3</c:v>
                </c:pt>
                <c:pt idx="2172">
                  <c:v>7.7460480000000002E-3</c:v>
                </c:pt>
                <c:pt idx="2173">
                  <c:v>1.36448E-2</c:v>
                </c:pt>
                <c:pt idx="2174">
                  <c:v>9.729792000000001E-5</c:v>
                </c:pt>
                <c:pt idx="2175">
                  <c:v>5.9827200000000002E-5</c:v>
                </c:pt>
                <c:pt idx="2176">
                  <c:v>1.868288E-4</c:v>
                </c:pt>
                <c:pt idx="2177">
                  <c:v>2.30912E-4</c:v>
                </c:pt>
                <c:pt idx="2178">
                  <c:v>9.2049920000000004E-4</c:v>
                </c:pt>
                <c:pt idx="2179">
                  <c:v>2.8968959999999997E-4</c:v>
                </c:pt>
                <c:pt idx="2180">
                  <c:v>4.4712959999999996E-3</c:v>
                </c:pt>
                <c:pt idx="2181">
                  <c:v>4.6917119999999998E-3</c:v>
                </c:pt>
                <c:pt idx="2182">
                  <c:v>9.5828479999999998E-5</c:v>
                </c:pt>
                <c:pt idx="2183">
                  <c:v>1.658368E-5</c:v>
                </c:pt>
                <c:pt idx="2184">
                  <c:v>2.3615999999999999E-5</c:v>
                </c:pt>
                <c:pt idx="2185">
                  <c:v>1.647872E-5</c:v>
                </c:pt>
                <c:pt idx="2186">
                  <c:v>7.5991040000000008E-6</c:v>
                </c:pt>
                <c:pt idx="2187">
                  <c:v>2.8444160000000002E-3</c:v>
                </c:pt>
                <c:pt idx="2188">
                  <c:v>1.0013184E-4</c:v>
                </c:pt>
                <c:pt idx="2189">
                  <c:v>3.8415360000000002E-4</c:v>
                </c:pt>
                <c:pt idx="2190">
                  <c:v>1.973248E-4</c:v>
                </c:pt>
                <c:pt idx="2191">
                  <c:v>1.7633280000000002E-3</c:v>
                </c:pt>
                <c:pt idx="2192">
                  <c:v>9.3099519999999993E-5</c:v>
                </c:pt>
                <c:pt idx="2193">
                  <c:v>3.0753280000000001E-4</c:v>
                </c:pt>
                <c:pt idx="2194">
                  <c:v>4.61824E-4</c:v>
                </c:pt>
                <c:pt idx="2195">
                  <c:v>4.2298880000000002E-3</c:v>
                </c:pt>
                <c:pt idx="2196">
                  <c:v>3.4636800000000002E-3</c:v>
                </c:pt>
                <c:pt idx="2197">
                  <c:v>1.144064E-4</c:v>
                </c:pt>
                <c:pt idx="2198">
                  <c:v>8.0084479999999994E-5</c:v>
                </c:pt>
                <c:pt idx="2199">
                  <c:v>5.1325440000000002E-3</c:v>
                </c:pt>
                <c:pt idx="2200">
                  <c:v>1.62688E-3</c:v>
                </c:pt>
                <c:pt idx="2201">
                  <c:v>6.255616E-5</c:v>
                </c:pt>
                <c:pt idx="2202">
                  <c:v>8.7326720000000001E-4</c:v>
                </c:pt>
                <c:pt idx="2203">
                  <c:v>8.8481280000000001E-5</c:v>
                </c:pt>
                <c:pt idx="2204">
                  <c:v>6.0561920000000002E-5</c:v>
                </c:pt>
                <c:pt idx="2205">
                  <c:v>5.3949439999999998E-4</c:v>
                </c:pt>
                <c:pt idx="2206">
                  <c:v>2.6659840000000001E-5</c:v>
                </c:pt>
                <c:pt idx="2207">
                  <c:v>2.1831679999999998E-5</c:v>
                </c:pt>
                <c:pt idx="2208">
                  <c:v>6.780416E-3</c:v>
                </c:pt>
                <c:pt idx="2209">
                  <c:v>8.1553920000000009E-3</c:v>
                </c:pt>
                <c:pt idx="2210">
                  <c:v>2.0047360000000001E-5</c:v>
                </c:pt>
                <c:pt idx="2211">
                  <c:v>3.04384E-5</c:v>
                </c:pt>
                <c:pt idx="2212">
                  <c:v>1.1020800000000001E-4</c:v>
                </c:pt>
                <c:pt idx="2213">
                  <c:v>3.9989759999999998E-5</c:v>
                </c:pt>
                <c:pt idx="2214">
                  <c:v>2.4035840000000001E-4</c:v>
                </c:pt>
                <c:pt idx="2215">
                  <c:v>1.3329919999999999E-4</c:v>
                </c:pt>
                <c:pt idx="2216">
                  <c:v>3.9989759999999998E-5</c:v>
                </c:pt>
                <c:pt idx="2217">
                  <c:v>3.9989759999999998E-5</c:v>
                </c:pt>
                <c:pt idx="2218">
                  <c:v>6.0142080000000003E-4</c:v>
                </c:pt>
                <c:pt idx="2219">
                  <c:v>6.601984E-4</c:v>
                </c:pt>
                <c:pt idx="2220">
                  <c:v>0.12280319999999999</c:v>
                </c:pt>
                <c:pt idx="2221">
                  <c:v>0.14169599999999999</c:v>
                </c:pt>
                <c:pt idx="2222">
                  <c:v>1.112576E-2</c:v>
                </c:pt>
                <c:pt idx="2223">
                  <c:v>1.427456E-2</c:v>
                </c:pt>
                <c:pt idx="2224">
                  <c:v>6.6649600000000002E-3</c:v>
                </c:pt>
                <c:pt idx="2225">
                  <c:v>1.0915840000000001E-2</c:v>
                </c:pt>
                <c:pt idx="2226">
                  <c:v>7.7355519999999997E-3</c:v>
                </c:pt>
                <c:pt idx="2227">
                  <c:v>9.1944960000000001E-4</c:v>
                </c:pt>
                <c:pt idx="2228">
                  <c:v>7.0533120000000008E-3</c:v>
                </c:pt>
                <c:pt idx="2229">
                  <c:v>7.2737279999999993E-3</c:v>
                </c:pt>
                <c:pt idx="2230">
                  <c:v>1.5848959999999999E-2</c:v>
                </c:pt>
                <c:pt idx="2231">
                  <c:v>1.595392E-2</c:v>
                </c:pt>
                <c:pt idx="2232">
                  <c:v>5.227008E-3</c:v>
                </c:pt>
                <c:pt idx="2233">
                  <c:v>3.705088E-3</c:v>
                </c:pt>
                <c:pt idx="2234">
                  <c:v>5.2375040000000005E-3</c:v>
                </c:pt>
                <c:pt idx="2235">
                  <c:v>1.3224960000000001E-2</c:v>
                </c:pt>
                <c:pt idx="2236">
                  <c:v>1.343488E-2</c:v>
                </c:pt>
                <c:pt idx="2237">
                  <c:v>4.0724480000000002E-3</c:v>
                </c:pt>
                <c:pt idx="2238">
                  <c:v>1.1230720000000001E-2</c:v>
                </c:pt>
                <c:pt idx="2239">
                  <c:v>4.0619519999999998E-3</c:v>
                </c:pt>
                <c:pt idx="2240">
                  <c:v>1.2700159999999999E-3</c:v>
                </c:pt>
                <c:pt idx="2241">
                  <c:v>2.1201920000000003E-3</c:v>
                </c:pt>
                <c:pt idx="2242">
                  <c:v>2.5295359999999998E-4</c:v>
                </c:pt>
                <c:pt idx="2243">
                  <c:v>8.9320959999999994E-4</c:v>
                </c:pt>
                <c:pt idx="2244">
                  <c:v>2.9283839999999999E-4</c:v>
                </c:pt>
                <c:pt idx="2245">
                  <c:v>3.3587199999999999E-3</c:v>
                </c:pt>
                <c:pt idx="2246">
                  <c:v>2.0047359999999999E-4</c:v>
                </c:pt>
                <c:pt idx="2247">
                  <c:v>7.5991040000000006E-4</c:v>
                </c:pt>
                <c:pt idx="2248">
                  <c:v>2.3616000000000002E-3</c:v>
                </c:pt>
                <c:pt idx="2249">
                  <c:v>2.8759040000000003E-3</c:v>
                </c:pt>
                <c:pt idx="2250">
                  <c:v>1.5639039999999999E-3</c:v>
                </c:pt>
                <c:pt idx="2251">
                  <c:v>2.0467200000000001E-3</c:v>
                </c:pt>
                <c:pt idx="2252">
                  <c:v>8.9950720000000001E-5</c:v>
                </c:pt>
                <c:pt idx="2253">
                  <c:v>8.5999999999999998E-4</c:v>
                </c:pt>
                <c:pt idx="2254">
                  <c:v>1.067E-3</c:v>
                </c:pt>
                <c:pt idx="2255">
                  <c:v>3.1380000000000002E-3</c:v>
                </c:pt>
                <c:pt idx="2256">
                  <c:v>2.8019999999999998E-3</c:v>
                </c:pt>
                <c:pt idx="2257">
                  <c:v>5.7899999999999998E-4</c:v>
                </c:pt>
                <c:pt idx="2258">
                  <c:v>1.9900000000000001E-4</c:v>
                </c:pt>
                <c:pt idx="2259">
                  <c:v>1.9900000000000001E-4</c:v>
                </c:pt>
                <c:pt idx="2260">
                  <c:v>6.6E-4</c:v>
                </c:pt>
                <c:pt idx="2261">
                  <c:v>2.026E-3</c:v>
                </c:pt>
                <c:pt idx="2262">
                  <c:v>1.322E-3</c:v>
                </c:pt>
                <c:pt idx="2263">
                  <c:v>6.4000000000000005E-4</c:v>
                </c:pt>
                <c:pt idx="2264">
                  <c:v>1.1969999999999999E-3</c:v>
                </c:pt>
                <c:pt idx="2265">
                  <c:v>1.4064E-2</c:v>
                </c:pt>
                <c:pt idx="2266">
                  <c:v>7.8300000000000002E-3</c:v>
                </c:pt>
                <c:pt idx="2267">
                  <c:v>1.4378999999999999E-2</c:v>
                </c:pt>
                <c:pt idx="2268">
                  <c:v>2.9283E-2</c:v>
                </c:pt>
                <c:pt idx="2269">
                  <c:v>1.0916E-2</c:v>
                </c:pt>
                <c:pt idx="2270">
                  <c:v>1.2589999999999999E-3</c:v>
                </c:pt>
                <c:pt idx="2271">
                  <c:v>2.6970000000000002E-3</c:v>
                </c:pt>
                <c:pt idx="2272">
                  <c:v>3.1380000000000002E-3</c:v>
                </c:pt>
                <c:pt idx="2273">
                  <c:v>1.5219999999999999E-3</c:v>
                </c:pt>
                <c:pt idx="2274">
                  <c:v>4.8180000000000002E-3</c:v>
                </c:pt>
                <c:pt idx="2275">
                  <c:v>5.9900000000000003E-4</c:v>
                </c:pt>
                <c:pt idx="2276">
                  <c:v>1.1230000000000001E-3</c:v>
                </c:pt>
                <c:pt idx="2277">
                  <c:v>2.2569999999999999E-3</c:v>
                </c:pt>
                <c:pt idx="2278">
                  <c:v>2.4350000000000001E-3</c:v>
                </c:pt>
                <c:pt idx="2279">
                  <c:v>3.82E-3</c:v>
                </c:pt>
                <c:pt idx="2280">
                  <c:v>3.0539999999999999E-3</c:v>
                </c:pt>
                <c:pt idx="2281">
                  <c:v>1.1019999999999999E-3</c:v>
                </c:pt>
                <c:pt idx="2282">
                  <c:v>3.5999999999999999E-3</c:v>
                </c:pt>
                <c:pt idx="2283">
                  <c:v>2.9999999999999997E-4</c:v>
                </c:pt>
                <c:pt idx="2284">
                  <c:v>1.6000000000000001E-4</c:v>
                </c:pt>
                <c:pt idx="2285">
                  <c:v>1.9900000000000001E-4</c:v>
                </c:pt>
                <c:pt idx="2286">
                  <c:v>1.9900000000000001E-4</c:v>
                </c:pt>
                <c:pt idx="2287">
                  <c:v>1.9900000000000001E-4</c:v>
                </c:pt>
                <c:pt idx="2288">
                  <c:v>9.7900000000000005E-4</c:v>
                </c:pt>
                <c:pt idx="2289">
                  <c:v>9.990000000000001E-4</c:v>
                </c:pt>
                <c:pt idx="2290">
                  <c:v>7.3999999999999999E-4</c:v>
                </c:pt>
                <c:pt idx="2291">
                  <c:v>6.025E-3</c:v>
                </c:pt>
                <c:pt idx="2292">
                  <c:v>4.8069999999999996E-3</c:v>
                </c:pt>
                <c:pt idx="2293">
                  <c:v>9.1210000000000006E-3</c:v>
                </c:pt>
                <c:pt idx="2294">
                  <c:v>8.0289999999999997E-3</c:v>
                </c:pt>
                <c:pt idx="2295">
                  <c:v>2.0572E-2</c:v>
                </c:pt>
                <c:pt idx="2296">
                  <c:v>1.7947999999999999E-2</c:v>
                </c:pt>
                <c:pt idx="2297">
                  <c:v>4.5026999999999998E-2</c:v>
                </c:pt>
                <c:pt idx="2298">
                  <c:v>4.2298000000000002E-2</c:v>
                </c:pt>
                <c:pt idx="2299">
                  <c:v>6.4967999999999998E-2</c:v>
                </c:pt>
                <c:pt idx="2300">
                  <c:v>7.5464000000000003E-2</c:v>
                </c:pt>
                <c:pt idx="2301">
                  <c:v>0.11965099999999999</c:v>
                </c:pt>
                <c:pt idx="2302">
                  <c:v>5.9825999999999997E-2</c:v>
                </c:pt>
                <c:pt idx="2303">
                  <c:v>5.3317999999999997E-2</c:v>
                </c:pt>
                <c:pt idx="2304">
                  <c:v>7.9242999999999994E-2</c:v>
                </c:pt>
                <c:pt idx="2305">
                  <c:v>3.9149000000000003E-2</c:v>
                </c:pt>
                <c:pt idx="2306">
                  <c:v>8.1551999999999999E-2</c:v>
                </c:pt>
                <c:pt idx="2307">
                  <c:v>0.241401</c:v>
                </c:pt>
                <c:pt idx="2308">
                  <c:v>0.25819500000000001</c:v>
                </c:pt>
                <c:pt idx="2309">
                  <c:v>5.6571999999999997E-2</c:v>
                </c:pt>
                <c:pt idx="2310">
                  <c:v>4.8910000000000002E-2</c:v>
                </c:pt>
                <c:pt idx="2311">
                  <c:v>1.2595E-2</c:v>
                </c:pt>
                <c:pt idx="2312">
                  <c:v>3.2851999999999999E-2</c:v>
                </c:pt>
                <c:pt idx="2313">
                  <c:v>0.109155</c:v>
                </c:pt>
                <c:pt idx="2314">
                  <c:v>6.0769999999999998E-2</c:v>
                </c:pt>
                <c:pt idx="2315">
                  <c:v>1.1335E-2</c:v>
                </c:pt>
                <c:pt idx="2316">
                  <c:v>8.5850000000000006E-3</c:v>
                </c:pt>
                <c:pt idx="2317">
                  <c:v>1.4168999999999999E-2</c:v>
                </c:pt>
                <c:pt idx="2318">
                  <c:v>1.1440000000000001E-2</c:v>
                </c:pt>
                <c:pt idx="2319">
                  <c:v>2.3404999999999999E-2</c:v>
                </c:pt>
                <c:pt idx="2320">
                  <c:v>3.2957E-2</c:v>
                </c:pt>
                <c:pt idx="2321">
                  <c:v>1.6163E-2</c:v>
                </c:pt>
                <c:pt idx="2322">
                  <c:v>1.6163E-2</c:v>
                </c:pt>
                <c:pt idx="2323">
                  <c:v>0.33271400000000001</c:v>
                </c:pt>
                <c:pt idx="2324">
                  <c:v>0.40408500000000003</c:v>
                </c:pt>
                <c:pt idx="2325">
                  <c:v>7.8899999999999999E-4</c:v>
                </c:pt>
                <c:pt idx="2326">
                  <c:v>1.03E-4</c:v>
                </c:pt>
                <c:pt idx="2327">
                  <c:v>3.8400000000000001E-4</c:v>
                </c:pt>
                <c:pt idx="2328">
                  <c:v>1.658E-3</c:v>
                </c:pt>
                <c:pt idx="2329">
                  <c:v>5.1999999999999995E-4</c:v>
                </c:pt>
                <c:pt idx="2330">
                  <c:v>1.438E-3</c:v>
                </c:pt>
                <c:pt idx="2331">
                  <c:v>6.8640000000000003E-3</c:v>
                </c:pt>
                <c:pt idx="2332">
                  <c:v>5.2690000000000002E-3</c:v>
                </c:pt>
                <c:pt idx="2333">
                  <c:v>7.5040000000000003E-3</c:v>
                </c:pt>
                <c:pt idx="2334">
                  <c:v>6.4859999999999996E-3</c:v>
                </c:pt>
                <c:pt idx="2335">
                  <c:v>1.4059999999999999E-3</c:v>
                </c:pt>
                <c:pt idx="2336">
                  <c:v>8.7299999999999997E-4</c:v>
                </c:pt>
                <c:pt idx="2337">
                  <c:v>9.3499999999999996E-4</c:v>
                </c:pt>
                <c:pt idx="2338">
                  <c:v>6.1200000000000002E-4</c:v>
                </c:pt>
                <c:pt idx="2339">
                  <c:v>3.2499999999999999E-4</c:v>
                </c:pt>
                <c:pt idx="2340">
                  <c:v>4.15E-4</c:v>
                </c:pt>
                <c:pt idx="2341">
                  <c:v>9.3200000000000002E-3</c:v>
                </c:pt>
                <c:pt idx="2342">
                  <c:v>1.312E-2</c:v>
                </c:pt>
                <c:pt idx="2343">
                  <c:v>9.6349999999999995E-3</c:v>
                </c:pt>
                <c:pt idx="2344">
                  <c:v>3.6999999999999998E-5</c:v>
                </c:pt>
                <c:pt idx="2345">
                  <c:v>8.4900000000000004E-4</c:v>
                </c:pt>
                <c:pt idx="2346">
                  <c:v>7.9600000000000005E-4</c:v>
                </c:pt>
                <c:pt idx="2347">
                  <c:v>2.4699999999999999E-4</c:v>
                </c:pt>
                <c:pt idx="2348">
                  <c:v>2.4979999999999998E-3</c:v>
                </c:pt>
                <c:pt idx="2349">
                  <c:v>9.6559999999999997E-3</c:v>
                </c:pt>
                <c:pt idx="2350">
                  <c:v>5.3839999999999999E-3</c:v>
                </c:pt>
                <c:pt idx="2351">
                  <c:v>6.7400000000000001E-4</c:v>
                </c:pt>
                <c:pt idx="2352">
                  <c:v>7.1500000000000003E-4</c:v>
                </c:pt>
                <c:pt idx="2353">
                  <c:v>1.186E-3</c:v>
                </c:pt>
                <c:pt idx="2354">
                  <c:v>3.4529999999999999E-3</c:v>
                </c:pt>
                <c:pt idx="2355">
                  <c:v>3.107E-3</c:v>
                </c:pt>
                <c:pt idx="2356">
                  <c:v>2.2039999999999998E-3</c:v>
                </c:pt>
                <c:pt idx="2357">
                  <c:v>4.4400000000000004E-3</c:v>
                </c:pt>
                <c:pt idx="2358">
                  <c:v>2.225E-3</c:v>
                </c:pt>
                <c:pt idx="2359">
                  <c:v>2.4139999999999999E-3</c:v>
                </c:pt>
                <c:pt idx="2360">
                  <c:v>9.6349999999999995E-3</c:v>
                </c:pt>
                <c:pt idx="2361">
                  <c:v>5.8570000000000002E-3</c:v>
                </c:pt>
                <c:pt idx="2362">
                  <c:v>9.3399999999999993E-5</c:v>
                </c:pt>
                <c:pt idx="2363">
                  <c:v>4.2820000000000002E-3</c:v>
                </c:pt>
                <c:pt idx="2364">
                  <c:v>4.0090000000000004E-3</c:v>
                </c:pt>
                <c:pt idx="2365">
                  <c:v>3.8939999999999999E-3</c:v>
                </c:pt>
                <c:pt idx="2366">
                  <c:v>7.515E-3</c:v>
                </c:pt>
                <c:pt idx="2367">
                  <c:v>6.6119999999999998E-3</c:v>
                </c:pt>
                <c:pt idx="2368">
                  <c:v>1.1440000000000001E-2</c:v>
                </c:pt>
                <c:pt idx="2369">
                  <c:v>7.9349999999999993E-3</c:v>
                </c:pt>
                <c:pt idx="2370">
                  <c:v>8.6200000000000003E-4</c:v>
                </c:pt>
                <c:pt idx="2371">
                  <c:v>1.0709999999999999E-3</c:v>
                </c:pt>
                <c:pt idx="2372">
                  <c:v>9.8239999999999994E-3</c:v>
                </c:pt>
                <c:pt idx="2373">
                  <c:v>5.4469999999999996E-3</c:v>
                </c:pt>
                <c:pt idx="2374">
                  <c:v>2.529E-3</c:v>
                </c:pt>
                <c:pt idx="2375">
                  <c:v>3.0019999999999999E-3</c:v>
                </c:pt>
                <c:pt idx="2376">
                  <c:v>3.6900000000000002E-4</c:v>
                </c:pt>
                <c:pt idx="2377">
                  <c:v>9.6699999999999998E-4</c:v>
                </c:pt>
                <c:pt idx="2378">
                  <c:v>1.9729999999999999E-3</c:v>
                </c:pt>
                <c:pt idx="2379">
                  <c:v>1.637E-3</c:v>
                </c:pt>
                <c:pt idx="2380">
                  <c:v>2.8549999999999999E-3</c:v>
                </c:pt>
                <c:pt idx="2381">
                  <c:v>1.0600999999999999E-2</c:v>
                </c:pt>
                <c:pt idx="2382">
                  <c:v>5.2687999999999999E-2</c:v>
                </c:pt>
                <c:pt idx="2383">
                  <c:v>1.5429E-2</c:v>
                </c:pt>
                <c:pt idx="2384">
                  <c:v>1.1124999999999999E-2</c:v>
                </c:pt>
                <c:pt idx="2385">
                  <c:v>3.4000000000000002E-4</c:v>
                </c:pt>
                <c:pt idx="2386">
                  <c:v>3.2899999999999997E-4</c:v>
                </c:pt>
                <c:pt idx="2387">
                  <c:v>7.9199999999999995E-4</c:v>
                </c:pt>
                <c:pt idx="2388">
                  <c:v>5.9200000000000002E-5</c:v>
                </c:pt>
                <c:pt idx="2389">
                  <c:v>4.21E-5</c:v>
                </c:pt>
                <c:pt idx="2390">
                  <c:v>8.5899999999999995E-4</c:v>
                </c:pt>
                <c:pt idx="2391">
                  <c:v>2.4659999999999999E-3</c:v>
                </c:pt>
                <c:pt idx="2392">
                  <c:v>1.134E-3</c:v>
                </c:pt>
                <c:pt idx="2393">
                  <c:v>2.12E-4</c:v>
                </c:pt>
                <c:pt idx="2394">
                  <c:v>2.5700000000000001E-4</c:v>
                </c:pt>
                <c:pt idx="2395">
                  <c:v>1.6100000000000001E-4</c:v>
                </c:pt>
                <c:pt idx="2396">
                  <c:v>2.3699999999999999E-4</c:v>
                </c:pt>
                <c:pt idx="2397">
                  <c:v>9.3399999999999993E-5</c:v>
                </c:pt>
                <c:pt idx="2398">
                  <c:v>1.879E-3</c:v>
                </c:pt>
                <c:pt idx="2399">
                  <c:v>7.9100000000000004E-4</c:v>
                </c:pt>
                <c:pt idx="2400">
                  <c:v>1.9899999999999999E-5</c:v>
                </c:pt>
                <c:pt idx="2401">
                  <c:v>2.3499999999999999E-5</c:v>
                </c:pt>
                <c:pt idx="2402">
                  <c:v>1.134E-3</c:v>
                </c:pt>
                <c:pt idx="2403">
                  <c:v>1.5324000000000001E-2</c:v>
                </c:pt>
                <c:pt idx="2404">
                  <c:v>6.0664999999999997E-2</c:v>
                </c:pt>
                <c:pt idx="2405">
                  <c:v>5.0169999999999998E-3</c:v>
                </c:pt>
                <c:pt idx="2406">
                  <c:v>2.5820000000000001E-3</c:v>
                </c:pt>
                <c:pt idx="2407">
                  <c:v>5.6470000000000001E-3</c:v>
                </c:pt>
                <c:pt idx="2408">
                  <c:v>7.6299999999999996E-3</c:v>
                </c:pt>
                <c:pt idx="2409">
                  <c:v>1.5640000000000001E-3</c:v>
                </c:pt>
                <c:pt idx="2410">
                  <c:v>2.2460999999999998E-2</c:v>
                </c:pt>
                <c:pt idx="2411">
                  <c:v>1.4059999999999999E-3</c:v>
                </c:pt>
                <c:pt idx="2412">
                  <c:v>4.9700000000000005E-4</c:v>
                </c:pt>
                <c:pt idx="2413">
                  <c:v>1.1130000000000001E-3</c:v>
                </c:pt>
                <c:pt idx="2414">
                  <c:v>7.1400000000000001E-4</c:v>
                </c:pt>
                <c:pt idx="2415">
                  <c:v>1.1969999999999999E-3</c:v>
                </c:pt>
                <c:pt idx="2416">
                  <c:v>5.6599999999999999E-4</c:v>
                </c:pt>
                <c:pt idx="2417">
                  <c:v>2.5300000000000002E-4</c:v>
                </c:pt>
                <c:pt idx="2418">
                  <c:v>4.2000000000000002E-4</c:v>
                </c:pt>
                <c:pt idx="2419">
                  <c:v>9.6699999999999998E-4</c:v>
                </c:pt>
                <c:pt idx="2420">
                  <c:v>2.34E-4</c:v>
                </c:pt>
                <c:pt idx="2421">
                  <c:v>5.1099999999999995E-4</c:v>
                </c:pt>
                <c:pt idx="2422">
                  <c:v>1.049E-3</c:v>
                </c:pt>
                <c:pt idx="2423">
                  <c:v>6.5099999999999999E-4</c:v>
                </c:pt>
                <c:pt idx="2424">
                  <c:v>1.12E-4</c:v>
                </c:pt>
                <c:pt idx="2425">
                  <c:v>1.364E-3</c:v>
                </c:pt>
                <c:pt idx="2426">
                  <c:v>1.438E-3</c:v>
                </c:pt>
                <c:pt idx="2427">
                  <c:v>2.3404999999999999E-2</c:v>
                </c:pt>
                <c:pt idx="2428">
                  <c:v>2.72E-4</c:v>
                </c:pt>
                <c:pt idx="2429">
                  <c:v>4.08E-4</c:v>
                </c:pt>
                <c:pt idx="2430">
                  <c:v>8.9949999999999995E-3</c:v>
                </c:pt>
                <c:pt idx="2431">
                  <c:v>1.2070000000000001E-2</c:v>
                </c:pt>
                <c:pt idx="2432">
                  <c:v>0.10810599999999999</c:v>
                </c:pt>
                <c:pt idx="2433">
                  <c:v>2.6343999999999999E-2</c:v>
                </c:pt>
                <c:pt idx="2434">
                  <c:v>1.6689999999999999E-3</c:v>
                </c:pt>
                <c:pt idx="2435">
                  <c:v>1.06E-4</c:v>
                </c:pt>
                <c:pt idx="2436">
                  <c:v>3.57E-4</c:v>
                </c:pt>
                <c:pt idx="2437">
                  <c:v>2.62E-5</c:v>
                </c:pt>
                <c:pt idx="2438">
                  <c:v>1.4904000000000001E-2</c:v>
                </c:pt>
                <c:pt idx="2439">
                  <c:v>1.2179999999999999E-3</c:v>
                </c:pt>
                <c:pt idx="2440">
                  <c:v>1.2699999999999999E-2</c:v>
                </c:pt>
                <c:pt idx="2441">
                  <c:v>4.3556999999999998E-2</c:v>
                </c:pt>
                <c:pt idx="2442">
                  <c:v>3.6419999999999998E-3</c:v>
                </c:pt>
                <c:pt idx="2443">
                  <c:v>3.9880000000000002E-3</c:v>
                </c:pt>
                <c:pt idx="2444">
                  <c:v>2.5820000000000001E-3</c:v>
                </c:pt>
                <c:pt idx="2445">
                  <c:v>1.7420000000000001E-3</c:v>
                </c:pt>
                <c:pt idx="2446">
                  <c:v>5.143E-3</c:v>
                </c:pt>
                <c:pt idx="2447">
                  <c:v>6.9899999999999997E-3</c:v>
                </c:pt>
                <c:pt idx="2448">
                  <c:v>2.3196000000000001E-2</c:v>
                </c:pt>
                <c:pt idx="2449">
                  <c:v>1.0496E-2</c:v>
                </c:pt>
                <c:pt idx="2450">
                  <c:v>2.4559999999999998E-3</c:v>
                </c:pt>
                <c:pt idx="2451">
                  <c:v>1.9419999999999999E-3</c:v>
                </c:pt>
                <c:pt idx="2452">
                  <c:v>1.1130000000000001E-3</c:v>
                </c:pt>
                <c:pt idx="2453">
                  <c:v>2.9489999999999998E-3</c:v>
                </c:pt>
                <c:pt idx="2454">
                  <c:v>9.19E-4</c:v>
                </c:pt>
                <c:pt idx="2455">
                  <c:v>9.41E-4</c:v>
                </c:pt>
                <c:pt idx="2456">
                  <c:v>1.3849999999999999E-3</c:v>
                </c:pt>
                <c:pt idx="2457">
                  <c:v>1.753E-3</c:v>
                </c:pt>
                <c:pt idx="2458">
                  <c:v>1.805E-3</c:v>
                </c:pt>
                <c:pt idx="2459">
                  <c:v>1.438E-3</c:v>
                </c:pt>
                <c:pt idx="2460">
                  <c:v>2.928E-3</c:v>
                </c:pt>
                <c:pt idx="2461">
                  <c:v>1.3960000000000001E-3</c:v>
                </c:pt>
                <c:pt idx="2462">
                  <c:v>8.8099999999999995E-4</c:v>
                </c:pt>
                <c:pt idx="2463">
                  <c:v>1.0499999999999999E-3</c:v>
                </c:pt>
                <c:pt idx="2464">
                  <c:v>3.3399999999999999E-4</c:v>
                </c:pt>
                <c:pt idx="2465">
                  <c:v>2.5399999999999999E-4</c:v>
                </c:pt>
                <c:pt idx="2466">
                  <c:v>7.6099999999999996E-4</c:v>
                </c:pt>
                <c:pt idx="2467">
                  <c:v>5.4299999999999997E-4</c:v>
                </c:pt>
                <c:pt idx="2468">
                  <c:v>6.7000000000000002E-4</c:v>
                </c:pt>
                <c:pt idx="2469">
                  <c:v>1.658E-3</c:v>
                </c:pt>
                <c:pt idx="2470">
                  <c:v>1.5430000000000001E-3</c:v>
                </c:pt>
                <c:pt idx="2471">
                  <c:v>3.2850000000000002E-3</c:v>
                </c:pt>
                <c:pt idx="2472">
                  <c:v>4.8500000000000003E-4</c:v>
                </c:pt>
                <c:pt idx="2473">
                  <c:v>3.6999999999999999E-4</c:v>
                </c:pt>
                <c:pt idx="2474">
                  <c:v>8.3999999999999992E-6</c:v>
                </c:pt>
                <c:pt idx="2475">
                  <c:v>1.1E-4</c:v>
                </c:pt>
                <c:pt idx="2476">
                  <c:v>1.9900000000000001E-4</c:v>
                </c:pt>
                <c:pt idx="2477">
                  <c:v>5.6470000000000001E-3</c:v>
                </c:pt>
                <c:pt idx="2478">
                  <c:v>8.5120000000000005E-3</c:v>
                </c:pt>
                <c:pt idx="2479">
                  <c:v>6.2100000000000002E-4</c:v>
                </c:pt>
                <c:pt idx="2480">
                  <c:v>1.732E-3</c:v>
                </c:pt>
                <c:pt idx="2481">
                  <c:v>1.931E-3</c:v>
                </c:pt>
                <c:pt idx="2482">
                  <c:v>5.437E-3</c:v>
                </c:pt>
                <c:pt idx="2483">
                  <c:v>8.2799999999999996E-4</c:v>
                </c:pt>
                <c:pt idx="2484">
                  <c:v>1.8370000000000001E-3</c:v>
                </c:pt>
                <c:pt idx="2485">
                  <c:v>1.91E-3</c:v>
                </c:pt>
                <c:pt idx="2486">
                  <c:v>3.4949999999999998E-3</c:v>
                </c:pt>
                <c:pt idx="2487">
                  <c:v>1.343E-3</c:v>
                </c:pt>
                <c:pt idx="2488">
                  <c:v>4.261E-3</c:v>
                </c:pt>
                <c:pt idx="2489">
                  <c:v>5.5840000000000004E-3</c:v>
                </c:pt>
                <c:pt idx="2490">
                  <c:v>5.0590000000000001E-3</c:v>
                </c:pt>
                <c:pt idx="2491">
                  <c:v>2.0152E-2</c:v>
                </c:pt>
                <c:pt idx="2492">
                  <c:v>1.5533999999999999E-2</c:v>
                </c:pt>
                <c:pt idx="2493">
                  <c:v>1.0600999999999999E-2</c:v>
                </c:pt>
                <c:pt idx="2494">
                  <c:v>1.0390999999999999E-2</c:v>
                </c:pt>
                <c:pt idx="2495">
                  <c:v>1.0916E-2</c:v>
                </c:pt>
                <c:pt idx="2496">
                  <c:v>1.2385E-2</c:v>
                </c:pt>
                <c:pt idx="2497">
                  <c:v>1.8158000000000001E-2</c:v>
                </c:pt>
                <c:pt idx="2498">
                  <c:v>1.2805E-2</c:v>
                </c:pt>
                <c:pt idx="2499">
                  <c:v>1.123E-2</c:v>
                </c:pt>
                <c:pt idx="2500">
                  <c:v>9.247E-3</c:v>
                </c:pt>
                <c:pt idx="2501">
                  <c:v>7.169E-3</c:v>
                </c:pt>
                <c:pt idx="2502">
                  <c:v>5.2900000000000004E-3</c:v>
                </c:pt>
                <c:pt idx="2503">
                  <c:v>1.5009E-2</c:v>
                </c:pt>
                <c:pt idx="2504">
                  <c:v>7.3680000000000004E-3</c:v>
                </c:pt>
                <c:pt idx="2505">
                  <c:v>4.5869999999999999E-3</c:v>
                </c:pt>
                <c:pt idx="2506">
                  <c:v>3.7989999999999999E-3</c:v>
                </c:pt>
                <c:pt idx="2507">
                  <c:v>2.4659999999999999E-3</c:v>
                </c:pt>
                <c:pt idx="2508">
                  <c:v>1.8469999999999999E-3</c:v>
                </c:pt>
                <c:pt idx="2509">
                  <c:v>1.0496E-2</c:v>
                </c:pt>
                <c:pt idx="2510">
                  <c:v>2.6549999999999998E-3</c:v>
                </c:pt>
                <c:pt idx="2511">
                  <c:v>2.2989999999999998E-3</c:v>
                </c:pt>
                <c:pt idx="2512">
                  <c:v>1.763E-3</c:v>
                </c:pt>
                <c:pt idx="2513">
                  <c:v>1.0189999999999999E-3</c:v>
                </c:pt>
                <c:pt idx="2514">
                  <c:v>1.753E-3</c:v>
                </c:pt>
                <c:pt idx="2515">
                  <c:v>5.3499999999999999E-5</c:v>
                </c:pt>
                <c:pt idx="2516">
                  <c:v>2.2699999999999999E-4</c:v>
                </c:pt>
                <c:pt idx="2517">
                  <c:v>5.0399999999999999E-5</c:v>
                </c:pt>
                <c:pt idx="2518">
                  <c:v>1.732E-3</c:v>
                </c:pt>
                <c:pt idx="2519">
                  <c:v>8.0190000000000001E-3</c:v>
                </c:pt>
                <c:pt idx="2520">
                  <c:v>7.7669999999999996E-3</c:v>
                </c:pt>
                <c:pt idx="2521">
                  <c:v>0.10810599999999999</c:v>
                </c:pt>
                <c:pt idx="2522">
                  <c:v>3.6104999999999998E-2</c:v>
                </c:pt>
                <c:pt idx="2523">
                  <c:v>2.8024E-2</c:v>
                </c:pt>
                <c:pt idx="2524">
                  <c:v>3.7679999999999998E-2</c:v>
                </c:pt>
                <c:pt idx="2525">
                  <c:v>6.0460000000000002E-3</c:v>
                </c:pt>
                <c:pt idx="2526">
                  <c:v>2.2145999999999999E-2</c:v>
                </c:pt>
                <c:pt idx="2527">
                  <c:v>7.3099999999999999E-4</c:v>
                </c:pt>
                <c:pt idx="2528">
                  <c:v>3.0860000000000002E-3</c:v>
                </c:pt>
                <c:pt idx="2529">
                  <c:v>7.5600000000000005E-4</c:v>
                </c:pt>
                <c:pt idx="2530">
                  <c:v>1.12E-4</c:v>
                </c:pt>
                <c:pt idx="2531">
                  <c:v>3.2429999999999998E-3</c:v>
                </c:pt>
                <c:pt idx="2532">
                  <c:v>1.2175E-2</c:v>
                </c:pt>
                <c:pt idx="2533">
                  <c:v>7.7559999999999999E-3</c:v>
                </c:pt>
                <c:pt idx="2534">
                  <c:v>9.3307000000000001E-2</c:v>
                </c:pt>
                <c:pt idx="2535">
                  <c:v>1.6792999999999999E-2</c:v>
                </c:pt>
                <c:pt idx="2536">
                  <c:v>2.4035000000000001E-2</c:v>
                </c:pt>
                <c:pt idx="2537">
                  <c:v>7.1580000000000003E-3</c:v>
                </c:pt>
                <c:pt idx="2538">
                  <c:v>2.477E-2</c:v>
                </c:pt>
                <c:pt idx="2539">
                  <c:v>1.155E-3</c:v>
                </c:pt>
                <c:pt idx="2540">
                  <c:v>1.9417E-2</c:v>
                </c:pt>
                <c:pt idx="2541">
                  <c:v>2.4979999999999998E-3</c:v>
                </c:pt>
                <c:pt idx="2542">
                  <c:v>5.0900000000000001E-4</c:v>
                </c:pt>
                <c:pt idx="2543">
                  <c:v>2.7390000000000001E-3</c:v>
                </c:pt>
                <c:pt idx="2544">
                  <c:v>5.6150000000000002E-3</c:v>
                </c:pt>
                <c:pt idx="2545">
                  <c:v>8.0079999999999995E-3</c:v>
                </c:pt>
                <c:pt idx="2546">
                  <c:v>4.0509999999999999E-3</c:v>
                </c:pt>
                <c:pt idx="2547">
                  <c:v>1.354E-3</c:v>
                </c:pt>
                <c:pt idx="2548">
                  <c:v>7.5249999999999996E-3</c:v>
                </c:pt>
                <c:pt idx="2549">
                  <c:v>6.0039999999999998E-3</c:v>
                </c:pt>
                <c:pt idx="2550">
                  <c:v>4.3000000000000002E-5</c:v>
                </c:pt>
                <c:pt idx="2551">
                  <c:v>1.0709999999999999E-3</c:v>
                </c:pt>
                <c:pt idx="2552">
                  <c:v>3.0330000000000001E-3</c:v>
                </c:pt>
                <c:pt idx="2553">
                  <c:v>4.3872000000000001E-2</c:v>
                </c:pt>
                <c:pt idx="2554">
                  <c:v>2.5714999999999998E-2</c:v>
                </c:pt>
                <c:pt idx="2555">
                  <c:v>3.4320000000000002E-3</c:v>
                </c:pt>
                <c:pt idx="2556">
                  <c:v>1.2899999999999999E-4</c:v>
                </c:pt>
                <c:pt idx="2557">
                  <c:v>8.3999999999999992E-6</c:v>
                </c:pt>
                <c:pt idx="2558">
                  <c:v>6.4654000000000003E-2</c:v>
                </c:pt>
                <c:pt idx="2559">
                  <c:v>8.6485000000000006E-2</c:v>
                </c:pt>
                <c:pt idx="2560">
                  <c:v>0.29702899999999999</c:v>
                </c:pt>
                <c:pt idx="2561">
                  <c:v>0.27288899999999999</c:v>
                </c:pt>
                <c:pt idx="2562">
                  <c:v>9.4461000000000003E-2</c:v>
                </c:pt>
                <c:pt idx="2563">
                  <c:v>3.6839999999999998E-2</c:v>
                </c:pt>
                <c:pt idx="2564">
                  <c:v>2.1410999999999999E-2</c:v>
                </c:pt>
                <c:pt idx="2565">
                  <c:v>1.9522000000000001E-2</c:v>
                </c:pt>
                <c:pt idx="2566">
                  <c:v>5.1429000000000002E-2</c:v>
                </c:pt>
                <c:pt idx="2567">
                  <c:v>5.0379999999999999E-3</c:v>
                </c:pt>
                <c:pt idx="2568">
                  <c:v>3.6740000000000002E-3</c:v>
                </c:pt>
                <c:pt idx="2569">
                  <c:v>3.9880000000000002E-3</c:v>
                </c:pt>
                <c:pt idx="2570">
                  <c:v>0.166882</c:v>
                </c:pt>
                <c:pt idx="2571">
                  <c:v>9.1941999999999996E-2</c:v>
                </c:pt>
                <c:pt idx="2572">
                  <c:v>0.10117900000000001</c:v>
                </c:pt>
                <c:pt idx="2573">
                  <c:v>3.0438E-2</c:v>
                </c:pt>
                <c:pt idx="2574">
                  <c:v>2.3091E-2</c:v>
                </c:pt>
                <c:pt idx="2575">
                  <c:v>0.100339</c:v>
                </c:pt>
                <c:pt idx="2576">
                  <c:v>3.0752000000000002E-2</c:v>
                </c:pt>
                <c:pt idx="2577">
                  <c:v>2.2985999999999999E-2</c:v>
                </c:pt>
                <c:pt idx="2578">
                  <c:v>4.2403000000000003E-2</c:v>
                </c:pt>
                <c:pt idx="2579">
                  <c:v>3.0752000000000002E-2</c:v>
                </c:pt>
                <c:pt idx="2580">
                  <c:v>3.6740000000000002E-3</c:v>
                </c:pt>
                <c:pt idx="2581">
                  <c:v>2.519E-3</c:v>
                </c:pt>
                <c:pt idx="2582">
                  <c:v>2.3089999999999999E-3</c:v>
                </c:pt>
                <c:pt idx="2583">
                  <c:v>8.9210000000000001E-3</c:v>
                </c:pt>
                <c:pt idx="2584">
                  <c:v>6.7169999999999999E-3</c:v>
                </c:pt>
                <c:pt idx="2585">
                  <c:v>2.4139999999999999E-3</c:v>
                </c:pt>
                <c:pt idx="2586">
                  <c:v>2.3089999999999999E-3</c:v>
                </c:pt>
                <c:pt idx="2587">
                  <c:v>2.624E-3</c:v>
                </c:pt>
                <c:pt idx="2588">
                  <c:v>1.0499999999999999E-3</c:v>
                </c:pt>
                <c:pt idx="2589">
                  <c:v>8.4000000000000003E-4</c:v>
                </c:pt>
                <c:pt idx="2590">
                  <c:v>2.2039999999999998E-3</c:v>
                </c:pt>
                <c:pt idx="2591">
                  <c:v>3.359E-3</c:v>
                </c:pt>
                <c:pt idx="2592">
                  <c:v>6.0879999999999997E-3</c:v>
                </c:pt>
                <c:pt idx="2593">
                  <c:v>1.0181000000000001E-2</c:v>
                </c:pt>
                <c:pt idx="2594">
                  <c:v>4.2088E-2</c:v>
                </c:pt>
                <c:pt idx="2595">
                  <c:v>1.2070000000000001E-2</c:v>
                </c:pt>
                <c:pt idx="2596">
                  <c:v>0.15953500000000001</c:v>
                </c:pt>
                <c:pt idx="2597">
                  <c:v>0.104537</c:v>
                </c:pt>
                <c:pt idx="2598">
                  <c:v>0.128048</c:v>
                </c:pt>
                <c:pt idx="2599">
                  <c:v>0.103488</c:v>
                </c:pt>
                <c:pt idx="2600">
                  <c:v>3.5160999999999998E-2</c:v>
                </c:pt>
                <c:pt idx="2601">
                  <c:v>2.0257000000000001E-2</c:v>
                </c:pt>
                <c:pt idx="2602">
                  <c:v>0.10810599999999999</c:v>
                </c:pt>
                <c:pt idx="2603">
                  <c:v>7.3679999999999995E-2</c:v>
                </c:pt>
                <c:pt idx="2604">
                  <c:v>7.5358999999999995E-2</c:v>
                </c:pt>
                <c:pt idx="2605">
                  <c:v>9.8239999999999994E-2</c:v>
                </c:pt>
                <c:pt idx="2606">
                  <c:v>0.13014700000000001</c:v>
                </c:pt>
                <c:pt idx="2607">
                  <c:v>9.4880999999999993E-2</c:v>
                </c:pt>
                <c:pt idx="2608">
                  <c:v>0.156386</c:v>
                </c:pt>
                <c:pt idx="2609">
                  <c:v>0.115453</c:v>
                </c:pt>
                <c:pt idx="2610">
                  <c:v>7.2944999999999996E-2</c:v>
                </c:pt>
                <c:pt idx="2611">
                  <c:v>0.167931</c:v>
                </c:pt>
                <c:pt idx="2612">
                  <c:v>0.30857400000000001</c:v>
                </c:pt>
                <c:pt idx="2613">
                  <c:v>0.132246</c:v>
                </c:pt>
                <c:pt idx="2614">
                  <c:v>8.1027000000000002E-2</c:v>
                </c:pt>
                <c:pt idx="2615">
                  <c:v>0.144841</c:v>
                </c:pt>
                <c:pt idx="2616">
                  <c:v>3.8099000000000001E-2</c:v>
                </c:pt>
                <c:pt idx="2617">
                  <c:v>2.5295000000000002E-2</c:v>
                </c:pt>
                <c:pt idx="2618">
                  <c:v>1.8997E-2</c:v>
                </c:pt>
                <c:pt idx="2619">
                  <c:v>2.1516E-2</c:v>
                </c:pt>
                <c:pt idx="2620">
                  <c:v>4.3030000000000004E-3</c:v>
                </c:pt>
                <c:pt idx="2621">
                  <c:v>2.3089999999999999E-3</c:v>
                </c:pt>
                <c:pt idx="2622">
                  <c:v>3.4640000000000001E-3</c:v>
                </c:pt>
                <c:pt idx="2623">
                  <c:v>3.8518999999999998E-2</c:v>
                </c:pt>
                <c:pt idx="2624">
                  <c:v>0.72315499999999999</c:v>
                </c:pt>
                <c:pt idx="2625">
                  <c:v>0.81551700000000005</c:v>
                </c:pt>
                <c:pt idx="2626">
                  <c:v>0.33166499999999999</c:v>
                </c:pt>
                <c:pt idx="2627">
                  <c:v>1.0915539999999999</c:v>
                </c:pt>
                <c:pt idx="2628">
                  <c:v>2.0361690000000001</c:v>
                </c:pt>
                <c:pt idx="2629">
                  <c:v>3.6315170000000001</c:v>
                </c:pt>
                <c:pt idx="2630">
                  <c:v>1.8461999999999999E-2</c:v>
                </c:pt>
                <c:pt idx="2631">
                  <c:v>5.6700000000000001E-4</c:v>
                </c:pt>
                <c:pt idx="2632">
                  <c:v>6.5389999999999997E-3</c:v>
                </c:pt>
                <c:pt idx="2633">
                  <c:v>5.2269999999999999E-3</c:v>
                </c:pt>
                <c:pt idx="2634">
                  <c:v>2.7772000000000002E-2</c:v>
                </c:pt>
                <c:pt idx="2635">
                  <c:v>9.0050000000000009E-3</c:v>
                </c:pt>
                <c:pt idx="2636">
                  <c:v>7.4791999999999997E-2</c:v>
                </c:pt>
                <c:pt idx="2637">
                  <c:v>1.15E-4</c:v>
                </c:pt>
                <c:pt idx="2638">
                  <c:v>1.5533999999999999E-2</c:v>
                </c:pt>
                <c:pt idx="2639">
                  <c:v>1.165E-3</c:v>
                </c:pt>
                <c:pt idx="2640">
                  <c:v>5.0379999999999999E-3</c:v>
                </c:pt>
                <c:pt idx="2641">
                  <c:v>4.9666000000000002E-2</c:v>
                </c:pt>
                <c:pt idx="2642">
                  <c:v>1.9629999999999999E-3</c:v>
                </c:pt>
                <c:pt idx="2643">
                  <c:v>3.1500000000000001E-4</c:v>
                </c:pt>
                <c:pt idx="2644">
                  <c:v>2.9910000000000002E-3</c:v>
                </c:pt>
                <c:pt idx="2645">
                  <c:v>4.4099999999999999E-4</c:v>
                </c:pt>
                <c:pt idx="2646">
                  <c:v>9.4249999999999994E-3</c:v>
                </c:pt>
                <c:pt idx="2647">
                  <c:v>1.469E-3</c:v>
                </c:pt>
                <c:pt idx="2648">
                  <c:v>4.4099999999999999E-4</c:v>
                </c:pt>
                <c:pt idx="2649">
                  <c:v>3.6699999999999998E-4</c:v>
                </c:pt>
                <c:pt idx="2650">
                  <c:v>5.04E-4</c:v>
                </c:pt>
                <c:pt idx="2651">
                  <c:v>4.2000000000000002E-4</c:v>
                </c:pt>
                <c:pt idx="2652">
                  <c:v>1.15E-4</c:v>
                </c:pt>
                <c:pt idx="2653">
                  <c:v>4.64E-4</c:v>
                </c:pt>
                <c:pt idx="2654">
                  <c:v>1.459E-3</c:v>
                </c:pt>
                <c:pt idx="2655">
                  <c:v>1.0169999999999999E-3</c:v>
                </c:pt>
                <c:pt idx="2656">
                  <c:v>3.705E-3</c:v>
                </c:pt>
                <c:pt idx="2657">
                  <c:v>8.7430000000000008E-3</c:v>
                </c:pt>
                <c:pt idx="2658">
                  <c:v>5.8776000000000002E-2</c:v>
                </c:pt>
                <c:pt idx="2659">
                  <c:v>8.0289999999999997E-3</c:v>
                </c:pt>
                <c:pt idx="2660">
                  <c:v>2.1725999999999999E-2</c:v>
                </c:pt>
                <c:pt idx="2661">
                  <c:v>3.9884000000000003E-2</c:v>
                </c:pt>
                <c:pt idx="2662">
                  <c:v>2.2880999999999999E-2</c:v>
                </c:pt>
                <c:pt idx="2663">
                  <c:v>3.5270000000000002E-3</c:v>
                </c:pt>
                <c:pt idx="2664">
                  <c:v>7.4200000000000004E-3</c:v>
                </c:pt>
                <c:pt idx="2665">
                  <c:v>1.312E-2</c:v>
                </c:pt>
                <c:pt idx="2666">
                  <c:v>1.2489999999999999E-2</c:v>
                </c:pt>
                <c:pt idx="2667">
                  <c:v>1.8682000000000001E-2</c:v>
                </c:pt>
                <c:pt idx="2668">
                  <c:v>2.4455000000000001E-2</c:v>
                </c:pt>
                <c:pt idx="2669">
                  <c:v>3.7574999999999997E-2</c:v>
                </c:pt>
                <c:pt idx="2670">
                  <c:v>1.9311999999999999E-2</c:v>
                </c:pt>
                <c:pt idx="2671">
                  <c:v>1.0496E-2</c:v>
                </c:pt>
                <c:pt idx="2672">
                  <c:v>4.1460000000000004E-3</c:v>
                </c:pt>
                <c:pt idx="2673">
                  <c:v>2.5400000000000002E-3</c:v>
                </c:pt>
                <c:pt idx="2674">
                  <c:v>1.1230000000000001E-3</c:v>
                </c:pt>
                <c:pt idx="2675">
                  <c:v>1.91E-3</c:v>
                </c:pt>
                <c:pt idx="2676">
                  <c:v>1.4799E-2</c:v>
                </c:pt>
                <c:pt idx="2677">
                  <c:v>4.2189999999999997E-3</c:v>
                </c:pt>
                <c:pt idx="2678">
                  <c:v>3.1280000000000001E-3</c:v>
                </c:pt>
                <c:pt idx="2679">
                  <c:v>8.7530000000000004E-3</c:v>
                </c:pt>
                <c:pt idx="2680">
                  <c:v>4.0829999999999998E-3</c:v>
                </c:pt>
                <c:pt idx="2681">
                  <c:v>1.8469999999999999E-3</c:v>
                </c:pt>
                <c:pt idx="2682">
                  <c:v>4.1460000000000004E-3</c:v>
                </c:pt>
                <c:pt idx="2683">
                  <c:v>4.9959999999999996E-3</c:v>
                </c:pt>
                <c:pt idx="2684">
                  <c:v>4.4710000000000001E-3</c:v>
                </c:pt>
                <c:pt idx="2685">
                  <c:v>4.1349999999999998E-3</c:v>
                </c:pt>
                <c:pt idx="2686">
                  <c:v>1.48E-3</c:v>
                </c:pt>
                <c:pt idx="2687">
                  <c:v>8.4000000000000003E-4</c:v>
                </c:pt>
                <c:pt idx="2688">
                  <c:v>1.658E-3</c:v>
                </c:pt>
                <c:pt idx="2689">
                  <c:v>1.207E-3</c:v>
                </c:pt>
                <c:pt idx="2690">
                  <c:v>1.5319999999999999E-3</c:v>
                </c:pt>
                <c:pt idx="2691">
                  <c:v>2.7290000000000001E-3</c:v>
                </c:pt>
                <c:pt idx="2692">
                  <c:v>4.9600000000000002E-4</c:v>
                </c:pt>
                <c:pt idx="2693">
                  <c:v>4.2900000000000002E-4</c:v>
                </c:pt>
                <c:pt idx="2694">
                  <c:v>3.1380000000000002E-3</c:v>
                </c:pt>
                <c:pt idx="2695">
                  <c:v>3.516E-3</c:v>
                </c:pt>
                <c:pt idx="2696">
                  <c:v>8.4600000000000005E-3</c:v>
                </c:pt>
                <c:pt idx="2697">
                  <c:v>3.8310000000000002E-3</c:v>
                </c:pt>
                <c:pt idx="2698">
                  <c:v>1.774E-3</c:v>
                </c:pt>
                <c:pt idx="2699">
                  <c:v>1.008E-3</c:v>
                </c:pt>
                <c:pt idx="2700">
                  <c:v>5.5840000000000004E-3</c:v>
                </c:pt>
                <c:pt idx="2701">
                  <c:v>9.1520000000000004E-3</c:v>
                </c:pt>
                <c:pt idx="2702">
                  <c:v>5.9620000000000003E-3</c:v>
                </c:pt>
                <c:pt idx="2703">
                  <c:v>2.7179999999999999E-3</c:v>
                </c:pt>
                <c:pt idx="2704">
                  <c:v>1.5430000000000001E-3</c:v>
                </c:pt>
                <c:pt idx="2705">
                  <c:v>8.2899999999999998E-4</c:v>
                </c:pt>
                <c:pt idx="2706">
                  <c:v>2.4035000000000001E-2</c:v>
                </c:pt>
                <c:pt idx="2707">
                  <c:v>2.1096E-2</c:v>
                </c:pt>
                <c:pt idx="2708">
                  <c:v>6.2129999999999998E-3</c:v>
                </c:pt>
                <c:pt idx="2709">
                  <c:v>5.1320000000000003E-3</c:v>
                </c:pt>
                <c:pt idx="2710">
                  <c:v>8.9529999999999992E-3</c:v>
                </c:pt>
                <c:pt idx="2711">
                  <c:v>1.3225000000000001E-2</c:v>
                </c:pt>
                <c:pt idx="2712">
                  <c:v>1.8891999999999999E-2</c:v>
                </c:pt>
                <c:pt idx="2713">
                  <c:v>5.9620000000000003E-3</c:v>
                </c:pt>
                <c:pt idx="2714">
                  <c:v>2.0990999999999999E-2</c:v>
                </c:pt>
                <c:pt idx="2715">
                  <c:v>3.7679999999999998E-2</c:v>
                </c:pt>
                <c:pt idx="2716">
                  <c:v>1.1755E-2</c:v>
                </c:pt>
                <c:pt idx="2717">
                  <c:v>7.6090000000000003E-3</c:v>
                </c:pt>
                <c:pt idx="2718">
                  <c:v>2.676E-3</c:v>
                </c:pt>
                <c:pt idx="2719">
                  <c:v>2.8440000000000002E-3</c:v>
                </c:pt>
                <c:pt idx="2720">
                  <c:v>1.4694E-2</c:v>
                </c:pt>
                <c:pt idx="2721">
                  <c:v>2.5085E-2</c:v>
                </c:pt>
                <c:pt idx="2722">
                  <c:v>2.529E-3</c:v>
                </c:pt>
                <c:pt idx="2723">
                  <c:v>8.4279999999999997E-3</c:v>
                </c:pt>
                <c:pt idx="2724">
                  <c:v>8.26E-3</c:v>
                </c:pt>
                <c:pt idx="2725">
                  <c:v>3.1589999999999999E-3</c:v>
                </c:pt>
                <c:pt idx="2726">
                  <c:v>1.291E-2</c:v>
                </c:pt>
                <c:pt idx="2727">
                  <c:v>1.5009E-2</c:v>
                </c:pt>
                <c:pt idx="2728">
                  <c:v>2.3300000000000001E-2</c:v>
                </c:pt>
                <c:pt idx="2729">
                  <c:v>1.4589E-2</c:v>
                </c:pt>
                <c:pt idx="2730">
                  <c:v>9.0159999999999997E-3</c:v>
                </c:pt>
                <c:pt idx="2731">
                  <c:v>2.0362000000000002E-2</c:v>
                </c:pt>
                <c:pt idx="2732">
                  <c:v>8.5330000000000007E-3</c:v>
                </c:pt>
                <c:pt idx="2733">
                  <c:v>1.8787000000000002E-2</c:v>
                </c:pt>
                <c:pt idx="2734">
                  <c:v>1.7108000000000002E-2</c:v>
                </c:pt>
                <c:pt idx="2735">
                  <c:v>2.9388000000000001E-2</c:v>
                </c:pt>
                <c:pt idx="2736">
                  <c:v>9.3937000000000007E-2</c:v>
                </c:pt>
                <c:pt idx="2737">
                  <c:v>0.138543</c:v>
                </c:pt>
                <c:pt idx="2738">
                  <c:v>0.14799000000000001</c:v>
                </c:pt>
                <c:pt idx="2739">
                  <c:v>0.128048</c:v>
                </c:pt>
                <c:pt idx="2740">
                  <c:v>2.9283E-2</c:v>
                </c:pt>
                <c:pt idx="2741">
                  <c:v>2.4140000000000002E-2</c:v>
                </c:pt>
                <c:pt idx="2742">
                  <c:v>7.326E-3</c:v>
                </c:pt>
                <c:pt idx="2743">
                  <c:v>2.4559999999999998E-2</c:v>
                </c:pt>
                <c:pt idx="2744">
                  <c:v>7.4099999999999999E-2</c:v>
                </c:pt>
                <c:pt idx="2745">
                  <c:v>3.7574999999999997E-2</c:v>
                </c:pt>
                <c:pt idx="2746">
                  <c:v>1.7423000000000001E-2</c:v>
                </c:pt>
                <c:pt idx="2747">
                  <c:v>1.4799E-2</c:v>
                </c:pt>
                <c:pt idx="2748">
                  <c:v>1.0442999999999999E-2</c:v>
                </c:pt>
                <c:pt idx="2749">
                  <c:v>3.5799999999999997E-4</c:v>
                </c:pt>
                <c:pt idx="2750">
                  <c:v>9.6100000000000005E-4</c:v>
                </c:pt>
                <c:pt idx="2751">
                  <c:v>6.2399999999999999E-4</c:v>
                </c:pt>
                <c:pt idx="2752">
                  <c:v>1.5799999999999999E-4</c:v>
                </c:pt>
                <c:pt idx="2753">
                  <c:v>1.9102000000000001E-2</c:v>
                </c:pt>
                <c:pt idx="2754">
                  <c:v>7.7039999999999999E-3</c:v>
                </c:pt>
                <c:pt idx="2755">
                  <c:v>9.6199999999999996E-4</c:v>
                </c:pt>
                <c:pt idx="2756">
                  <c:v>1.2700000000000001E-3</c:v>
                </c:pt>
                <c:pt idx="2757">
                  <c:v>6.0879999999999997E-3</c:v>
                </c:pt>
                <c:pt idx="2758">
                  <c:v>2.7399999999999999E-4</c:v>
                </c:pt>
                <c:pt idx="2759">
                  <c:v>9.0899999999999998E-4</c:v>
                </c:pt>
                <c:pt idx="2760">
                  <c:v>6.8957000000000004E-2</c:v>
                </c:pt>
                <c:pt idx="2761">
                  <c:v>7.1896000000000002E-2</c:v>
                </c:pt>
                <c:pt idx="2762">
                  <c:v>4.87E-2</c:v>
                </c:pt>
                <c:pt idx="2763">
                  <c:v>0.16373299999999999</c:v>
                </c:pt>
                <c:pt idx="2764">
                  <c:v>1.4378999999999999E-2</c:v>
                </c:pt>
                <c:pt idx="2765">
                  <c:v>4.2403000000000003E-2</c:v>
                </c:pt>
                <c:pt idx="2766">
                  <c:v>3.8309000000000003E-2</c:v>
                </c:pt>
                <c:pt idx="2767">
                  <c:v>4.7126000000000001E-2</c:v>
                </c:pt>
                <c:pt idx="2768">
                  <c:v>5.3527999999999999E-2</c:v>
                </c:pt>
                <c:pt idx="2769">
                  <c:v>2.5714999999999998E-2</c:v>
                </c:pt>
                <c:pt idx="2770">
                  <c:v>4.3872000000000001E-2</c:v>
                </c:pt>
                <c:pt idx="2771">
                  <c:v>4.7549999999999997E-3</c:v>
                </c:pt>
                <c:pt idx="2772">
                  <c:v>1.8158000000000001E-2</c:v>
                </c:pt>
                <c:pt idx="2773">
                  <c:v>2.3830000000000001E-3</c:v>
                </c:pt>
                <c:pt idx="2774">
                  <c:v>2.2900000000000001E-4</c:v>
                </c:pt>
                <c:pt idx="2775">
                  <c:v>1.63E-4</c:v>
                </c:pt>
                <c:pt idx="2776">
                  <c:v>1.0709999999999999E-3</c:v>
                </c:pt>
                <c:pt idx="2777">
                  <c:v>2.0885999999999998E-2</c:v>
                </c:pt>
                <c:pt idx="2778">
                  <c:v>4.3451999999999998E-2</c:v>
                </c:pt>
                <c:pt idx="2779">
                  <c:v>1.4378999999999999E-2</c:v>
                </c:pt>
                <c:pt idx="2780">
                  <c:v>3.4636E-2</c:v>
                </c:pt>
                <c:pt idx="2781">
                  <c:v>9.9919999999999991E-3</c:v>
                </c:pt>
                <c:pt idx="2782">
                  <c:v>2.0781999999999998E-2</c:v>
                </c:pt>
                <c:pt idx="2783">
                  <c:v>1.0296E-2</c:v>
                </c:pt>
                <c:pt idx="2784">
                  <c:v>6.0560000000000003E-2</c:v>
                </c:pt>
                <c:pt idx="2785">
                  <c:v>4.5656000000000002E-2</c:v>
                </c:pt>
                <c:pt idx="2786">
                  <c:v>0.100549</c:v>
                </c:pt>
                <c:pt idx="2787">
                  <c:v>5.8566E-2</c:v>
                </c:pt>
                <c:pt idx="2788">
                  <c:v>0.20361699999999999</c:v>
                </c:pt>
                <c:pt idx="2789">
                  <c:v>0.19941900000000001</c:v>
                </c:pt>
                <c:pt idx="2790">
                  <c:v>4.1982999999999999E-2</c:v>
                </c:pt>
                <c:pt idx="2791">
                  <c:v>2.4140000000000002E-2</c:v>
                </c:pt>
                <c:pt idx="2792">
                  <c:v>1.0706E-2</c:v>
                </c:pt>
                <c:pt idx="2793">
                  <c:v>9.4600000000000001E-4</c:v>
                </c:pt>
                <c:pt idx="2794">
                  <c:v>3.705E-2</c:v>
                </c:pt>
                <c:pt idx="2795">
                  <c:v>5.6499999999999996E-4</c:v>
                </c:pt>
                <c:pt idx="2796">
                  <c:v>2.9808000000000001E-2</c:v>
                </c:pt>
                <c:pt idx="2797">
                  <c:v>7.6934000000000002E-2</c:v>
                </c:pt>
                <c:pt idx="2798">
                  <c:v>7.7038999999999996E-2</c:v>
                </c:pt>
                <c:pt idx="2799">
                  <c:v>0.247699</c:v>
                </c:pt>
                <c:pt idx="2800">
                  <c:v>0.113354</c:v>
                </c:pt>
                <c:pt idx="2801">
                  <c:v>1.3644E-2</c:v>
                </c:pt>
                <c:pt idx="2802">
                  <c:v>5.8460999999999999E-2</c:v>
                </c:pt>
                <c:pt idx="2803">
                  <c:v>1.4484E-2</c:v>
                </c:pt>
                <c:pt idx="2804">
                  <c:v>4.2300000000000003E-3</c:v>
                </c:pt>
                <c:pt idx="2805">
                  <c:v>7.5669999999999999E-3</c:v>
                </c:pt>
                <c:pt idx="2806">
                  <c:v>6.9099999999999999E-4</c:v>
                </c:pt>
                <c:pt idx="2807">
                  <c:v>7.7878000000000003E-2</c:v>
                </c:pt>
                <c:pt idx="2808">
                  <c:v>2.1096E-2</c:v>
                </c:pt>
                <c:pt idx="2809">
                  <c:v>8.5224999999999995E-2</c:v>
                </c:pt>
                <c:pt idx="2810">
                  <c:v>0.21201300000000001</c:v>
                </c:pt>
                <c:pt idx="2811">
                  <c:v>3.705E-2</c:v>
                </c:pt>
                <c:pt idx="2812">
                  <c:v>0.160584</c:v>
                </c:pt>
                <c:pt idx="2813">
                  <c:v>9.01E-4</c:v>
                </c:pt>
                <c:pt idx="2814">
                  <c:v>3.6740000000000002E-3</c:v>
                </c:pt>
                <c:pt idx="2815">
                  <c:v>5.6700000000000003E-5</c:v>
                </c:pt>
                <c:pt idx="2816">
                  <c:v>2.1831E-2</c:v>
                </c:pt>
                <c:pt idx="2817">
                  <c:v>3.5999999999999997E-2</c:v>
                </c:pt>
                <c:pt idx="2818">
                  <c:v>8.1030000000000008E-3</c:v>
                </c:pt>
                <c:pt idx="2819">
                  <c:v>2.3830000000000001E-3</c:v>
                </c:pt>
                <c:pt idx="2820">
                  <c:v>7.1475999999999998E-2</c:v>
                </c:pt>
                <c:pt idx="2821">
                  <c:v>8.1237000000000004E-2</c:v>
                </c:pt>
                <c:pt idx="2822">
                  <c:v>0.112304</c:v>
                </c:pt>
                <c:pt idx="2823">
                  <c:v>2.6764E-2</c:v>
                </c:pt>
                <c:pt idx="2824">
                  <c:v>1.2175E-2</c:v>
                </c:pt>
                <c:pt idx="2825">
                  <c:v>9.7610000000000006E-3</c:v>
                </c:pt>
                <c:pt idx="2826">
                  <c:v>0.10212300000000001</c:v>
                </c:pt>
                <c:pt idx="2827">
                  <c:v>0.10401299999999999</c:v>
                </c:pt>
                <c:pt idx="2828">
                  <c:v>2.6134000000000001E-2</c:v>
                </c:pt>
                <c:pt idx="2829">
                  <c:v>1.4378999999999999E-2</c:v>
                </c:pt>
                <c:pt idx="2830">
                  <c:v>6.5598000000000004E-2</c:v>
                </c:pt>
                <c:pt idx="2831">
                  <c:v>5.0903999999999998E-2</c:v>
                </c:pt>
                <c:pt idx="2832">
                  <c:v>2.0257000000000001E-2</c:v>
                </c:pt>
                <c:pt idx="2833">
                  <c:v>9.247E-3</c:v>
                </c:pt>
                <c:pt idx="2834">
                  <c:v>3.999E-3</c:v>
                </c:pt>
                <c:pt idx="2835">
                  <c:v>4.5030000000000001E-3</c:v>
                </c:pt>
                <c:pt idx="2836">
                  <c:v>3.9253999999999997E-2</c:v>
                </c:pt>
                <c:pt idx="2837">
                  <c:v>4.5656000000000002E-2</c:v>
                </c:pt>
                <c:pt idx="2838">
                  <c:v>0.109155</c:v>
                </c:pt>
                <c:pt idx="2839">
                  <c:v>8.4805000000000005E-2</c:v>
                </c:pt>
                <c:pt idx="2840">
                  <c:v>4.2193000000000001E-2</c:v>
                </c:pt>
                <c:pt idx="2841">
                  <c:v>5.0484000000000001E-2</c:v>
                </c:pt>
                <c:pt idx="2842">
                  <c:v>8.1030000000000008E-3</c:v>
                </c:pt>
                <c:pt idx="2843">
                  <c:v>1.333E-2</c:v>
                </c:pt>
                <c:pt idx="2844">
                  <c:v>3.0230000000000001E-3</c:v>
                </c:pt>
                <c:pt idx="2845">
                  <c:v>6.4339999999999996E-3</c:v>
                </c:pt>
                <c:pt idx="2846">
                  <c:v>3.4529999999999999E-3</c:v>
                </c:pt>
                <c:pt idx="2847">
                  <c:v>3.862E-3</c:v>
                </c:pt>
                <c:pt idx="2848">
                  <c:v>1.1969999999999999E-3</c:v>
                </c:pt>
                <c:pt idx="2849">
                  <c:v>5.3530000000000001E-3</c:v>
                </c:pt>
                <c:pt idx="2850">
                  <c:v>1.1124999999999999E-2</c:v>
                </c:pt>
                <c:pt idx="2851">
                  <c:v>9.2359999999999994E-3</c:v>
                </c:pt>
                <c:pt idx="2852">
                  <c:v>3.212E-3</c:v>
                </c:pt>
                <c:pt idx="2853">
                  <c:v>5.4050000000000001E-3</c:v>
                </c:pt>
                <c:pt idx="2854">
                  <c:v>5.6680000000000003E-3</c:v>
                </c:pt>
                <c:pt idx="2855">
                  <c:v>1.2700000000000001E-3</c:v>
                </c:pt>
                <c:pt idx="2856">
                  <c:v>2.7810000000000001E-3</c:v>
                </c:pt>
                <c:pt idx="2857">
                  <c:v>1.0709999999999999E-3</c:v>
                </c:pt>
                <c:pt idx="2858">
                  <c:v>7.7099999999999998E-4</c:v>
                </c:pt>
                <c:pt idx="2859">
                  <c:v>3.0200000000000002E-4</c:v>
                </c:pt>
                <c:pt idx="2860">
                  <c:v>1.84E-4</c:v>
                </c:pt>
                <c:pt idx="2861">
                  <c:v>3.4400000000000001E-4</c:v>
                </c:pt>
                <c:pt idx="2862">
                  <c:v>9.4499999999999993E-6</c:v>
                </c:pt>
                <c:pt idx="2863">
                  <c:v>1.15E-5</c:v>
                </c:pt>
                <c:pt idx="2864">
                  <c:v>1.0499999999999999E-5</c:v>
                </c:pt>
                <c:pt idx="2865">
                  <c:v>8.3999999999999992E-6</c:v>
                </c:pt>
                <c:pt idx="2866">
                  <c:v>4.1999999999999996E-6</c:v>
                </c:pt>
                <c:pt idx="2867">
                  <c:v>2.5500000000000002E-3</c:v>
                </c:pt>
                <c:pt idx="2868">
                  <c:v>1.042E-3</c:v>
                </c:pt>
                <c:pt idx="2869">
                  <c:v>1.5740000000000001E-3</c:v>
                </c:pt>
                <c:pt idx="2870">
                  <c:v>3.7889999999999998E-3</c:v>
                </c:pt>
                <c:pt idx="2871">
                  <c:v>1.879E-3</c:v>
                </c:pt>
                <c:pt idx="2872">
                  <c:v>1.8890000000000001E-3</c:v>
                </c:pt>
                <c:pt idx="2873">
                  <c:v>1.0600999999999999E-2</c:v>
                </c:pt>
                <c:pt idx="2874">
                  <c:v>1.312E-3</c:v>
                </c:pt>
                <c:pt idx="2875">
                  <c:v>2.0466999999999999E-2</c:v>
                </c:pt>
                <c:pt idx="2876">
                  <c:v>1.8787000000000002E-2</c:v>
                </c:pt>
                <c:pt idx="2877">
                  <c:v>3.2537000000000003E-2</c:v>
                </c:pt>
                <c:pt idx="2878">
                  <c:v>4.6286000000000001E-2</c:v>
                </c:pt>
                <c:pt idx="2879">
                  <c:v>9.74E-2</c:v>
                </c:pt>
                <c:pt idx="2880">
                  <c:v>3.1801999999999997E-2</c:v>
                </c:pt>
                <c:pt idx="2881">
                  <c:v>1.3539000000000001E-2</c:v>
                </c:pt>
                <c:pt idx="2882">
                  <c:v>3.5790000000000002E-2</c:v>
                </c:pt>
                <c:pt idx="2883">
                  <c:v>9.4149999999999998E-3</c:v>
                </c:pt>
                <c:pt idx="2884">
                  <c:v>1.291E-2</c:v>
                </c:pt>
                <c:pt idx="2885">
                  <c:v>8.3129999999999992E-3</c:v>
                </c:pt>
                <c:pt idx="2886">
                  <c:v>2.5714999999999998E-2</c:v>
                </c:pt>
                <c:pt idx="2887">
                  <c:v>2.0572E-2</c:v>
                </c:pt>
                <c:pt idx="2888">
                  <c:v>4.8175000000000003E-2</c:v>
                </c:pt>
                <c:pt idx="2889">
                  <c:v>1.1650000000000001E-2</c:v>
                </c:pt>
                <c:pt idx="2890">
                  <c:v>6.3600000000000002E-3</c:v>
                </c:pt>
                <c:pt idx="2891">
                  <c:v>1.5114000000000001E-2</c:v>
                </c:pt>
                <c:pt idx="2892">
                  <c:v>1.0916E-2</c:v>
                </c:pt>
                <c:pt idx="2893">
                  <c:v>8.1869999999999998E-3</c:v>
                </c:pt>
                <c:pt idx="2894">
                  <c:v>1.4168999999999999E-2</c:v>
                </c:pt>
                <c:pt idx="2895">
                  <c:v>1.8680000000000001E-3</c:v>
                </c:pt>
                <c:pt idx="2896">
                  <c:v>3.9150000000000001E-3</c:v>
                </c:pt>
                <c:pt idx="2897">
                  <c:v>1.0920000000000001E-3</c:v>
                </c:pt>
                <c:pt idx="2898">
                  <c:v>3.663E-3</c:v>
                </c:pt>
                <c:pt idx="2899">
                  <c:v>4.4700000000000002E-4</c:v>
                </c:pt>
                <c:pt idx="2900">
                  <c:v>2.2900000000000001E-4</c:v>
                </c:pt>
                <c:pt idx="2901">
                  <c:v>4.2193000000000001E-2</c:v>
                </c:pt>
                <c:pt idx="2902">
                  <c:v>1.3225000000000001E-2</c:v>
                </c:pt>
                <c:pt idx="2903">
                  <c:v>6.11E-4</c:v>
                </c:pt>
                <c:pt idx="2904">
                  <c:v>5.6700000000000003E-5</c:v>
                </c:pt>
                <c:pt idx="2905">
                  <c:v>1.75E-4</c:v>
                </c:pt>
                <c:pt idx="2906">
                  <c:v>5.8799999999999999E-5</c:v>
                </c:pt>
                <c:pt idx="2907">
                  <c:v>7.3499999999999998E-5</c:v>
                </c:pt>
                <c:pt idx="2908">
                  <c:v>0.19731899999999999</c:v>
                </c:pt>
                <c:pt idx="2909">
                  <c:v>2.2041000000000002E-2</c:v>
                </c:pt>
                <c:pt idx="2910">
                  <c:v>3.3901000000000001E-2</c:v>
                </c:pt>
                <c:pt idx="2911">
                  <c:v>7.7353000000000005E-2</c:v>
                </c:pt>
                <c:pt idx="2912">
                  <c:v>0.23825299999999999</c:v>
                </c:pt>
                <c:pt idx="2913">
                  <c:v>8.2710000000000006E-3</c:v>
                </c:pt>
                <c:pt idx="2914">
                  <c:v>9.4249999999999994E-3</c:v>
                </c:pt>
                <c:pt idx="2915">
                  <c:v>6.9059999999999998E-3</c:v>
                </c:pt>
                <c:pt idx="2916">
                  <c:v>1.7108000000000002E-2</c:v>
                </c:pt>
                <c:pt idx="2917">
                  <c:v>4.4082000000000003E-2</c:v>
                </c:pt>
                <c:pt idx="2918">
                  <c:v>2.1305999999999999E-2</c:v>
                </c:pt>
                <c:pt idx="2919">
                  <c:v>6.4654000000000003E-2</c:v>
                </c:pt>
                <c:pt idx="2920">
                  <c:v>7.5883999999999993E-2</c:v>
                </c:pt>
                <c:pt idx="2921">
                  <c:v>1.0600999999999999E-2</c:v>
                </c:pt>
                <c:pt idx="2922">
                  <c:v>5.594E-3</c:v>
                </c:pt>
                <c:pt idx="2923">
                  <c:v>1.5430000000000001E-3</c:v>
                </c:pt>
                <c:pt idx="2924">
                  <c:v>5.4600000000000004E-4</c:v>
                </c:pt>
                <c:pt idx="2925">
                  <c:v>4.9600000000000002E-4</c:v>
                </c:pt>
                <c:pt idx="2926">
                  <c:v>6.4023999999999998E-2</c:v>
                </c:pt>
                <c:pt idx="2927">
                  <c:v>0.120701</c:v>
                </c:pt>
                <c:pt idx="2928">
                  <c:v>2.3824999999999999E-2</c:v>
                </c:pt>
                <c:pt idx="2929">
                  <c:v>1.7318E-2</c:v>
                </c:pt>
                <c:pt idx="2930">
                  <c:v>6.78E-4</c:v>
                </c:pt>
                <c:pt idx="2931">
                  <c:v>1.753E-3</c:v>
                </c:pt>
                <c:pt idx="2932">
                  <c:v>9.8969999999999995E-3</c:v>
                </c:pt>
                <c:pt idx="2933">
                  <c:v>1.4274E-2</c:v>
                </c:pt>
                <c:pt idx="2934">
                  <c:v>1.9626999999999999E-2</c:v>
                </c:pt>
                <c:pt idx="2935">
                  <c:v>6.5388000000000002E-2</c:v>
                </c:pt>
                <c:pt idx="2936">
                  <c:v>2.2460999999999998E-2</c:v>
                </c:pt>
                <c:pt idx="2937">
                  <c:v>1.123E-2</c:v>
                </c:pt>
                <c:pt idx="2938">
                  <c:v>3.2959999999999999E-3</c:v>
                </c:pt>
                <c:pt idx="2939">
                  <c:v>9.4780000000000003E-3</c:v>
                </c:pt>
                <c:pt idx="2940">
                  <c:v>4.7759999999999999E-3</c:v>
                </c:pt>
                <c:pt idx="2941">
                  <c:v>2.0152E-2</c:v>
                </c:pt>
                <c:pt idx="2942">
                  <c:v>1.732E-3</c:v>
                </c:pt>
                <c:pt idx="2943">
                  <c:v>2.6658999999999999E-2</c:v>
                </c:pt>
                <c:pt idx="2944">
                  <c:v>2.1410999999999999E-2</c:v>
                </c:pt>
                <c:pt idx="2945">
                  <c:v>3.4530999999999999E-2</c:v>
                </c:pt>
                <c:pt idx="2946">
                  <c:v>7.9242999999999994E-2</c:v>
                </c:pt>
                <c:pt idx="2947">
                  <c:v>0.25189699999999998</c:v>
                </c:pt>
                <c:pt idx="2948">
                  <c:v>0.18892300000000001</c:v>
                </c:pt>
                <c:pt idx="2949">
                  <c:v>0.15428700000000001</c:v>
                </c:pt>
                <c:pt idx="2950">
                  <c:v>8.0292000000000002E-2</c:v>
                </c:pt>
                <c:pt idx="2951">
                  <c:v>0.106007</c:v>
                </c:pt>
                <c:pt idx="2952">
                  <c:v>4.9329999999999999E-2</c:v>
                </c:pt>
                <c:pt idx="2953">
                  <c:v>0.120701</c:v>
                </c:pt>
                <c:pt idx="2954">
                  <c:v>2.7289000000000001E-2</c:v>
                </c:pt>
                <c:pt idx="2955">
                  <c:v>1.9626999999999999E-2</c:v>
                </c:pt>
                <c:pt idx="2956">
                  <c:v>2.6238999999999998E-2</c:v>
                </c:pt>
                <c:pt idx="2957">
                  <c:v>1.2385E-2</c:v>
                </c:pt>
                <c:pt idx="2958">
                  <c:v>9.2569999999999996E-3</c:v>
                </c:pt>
                <c:pt idx="2959">
                  <c:v>8.9840000000000007E-3</c:v>
                </c:pt>
                <c:pt idx="2960">
                  <c:v>2.2100000000000001E-4</c:v>
                </c:pt>
                <c:pt idx="2961">
                  <c:v>2.24E-4</c:v>
                </c:pt>
                <c:pt idx="2962">
                  <c:v>6.4700000000000001E-4</c:v>
                </c:pt>
                <c:pt idx="2963">
                  <c:v>1.2175E-2</c:v>
                </c:pt>
                <c:pt idx="2964">
                  <c:v>7.1999999999999998E-3</c:v>
                </c:pt>
                <c:pt idx="2965">
                  <c:v>2.5190000000000001E-2</c:v>
                </c:pt>
                <c:pt idx="2966">
                  <c:v>3.6420000000000001E-2</c:v>
                </c:pt>
                <c:pt idx="2967">
                  <c:v>1.6478E-2</c:v>
                </c:pt>
                <c:pt idx="2968">
                  <c:v>2.7498999999999999E-2</c:v>
                </c:pt>
                <c:pt idx="2969">
                  <c:v>2.9910000000000002E-3</c:v>
                </c:pt>
                <c:pt idx="2970">
                  <c:v>8.7010000000000004E-3</c:v>
                </c:pt>
                <c:pt idx="2971">
                  <c:v>3.81E-3</c:v>
                </c:pt>
                <c:pt idx="2972">
                  <c:v>8.1449999999999995E-3</c:v>
                </c:pt>
                <c:pt idx="2973">
                  <c:v>5.7520000000000002E-3</c:v>
                </c:pt>
                <c:pt idx="2974">
                  <c:v>1.2279999999999999E-3</c:v>
                </c:pt>
                <c:pt idx="2975">
                  <c:v>2.33E-3</c:v>
                </c:pt>
                <c:pt idx="2976">
                  <c:v>6.7699999999999998E-4</c:v>
                </c:pt>
                <c:pt idx="2977">
                  <c:v>6.8900000000000005E-4</c:v>
                </c:pt>
                <c:pt idx="2978">
                  <c:v>5.22E-4</c:v>
                </c:pt>
                <c:pt idx="2979">
                  <c:v>2.13E-4</c:v>
                </c:pt>
                <c:pt idx="2980">
                  <c:v>5.6779999999999999E-3</c:v>
                </c:pt>
                <c:pt idx="2981">
                  <c:v>3.3399999999999999E-4</c:v>
                </c:pt>
                <c:pt idx="2982">
                  <c:v>7.3700000000000002E-4</c:v>
                </c:pt>
                <c:pt idx="2983">
                  <c:v>7.8899999999999999E-4</c:v>
                </c:pt>
                <c:pt idx="2984">
                  <c:v>2.3799999999999999E-5</c:v>
                </c:pt>
                <c:pt idx="2985">
                  <c:v>6.6000000000000005E-5</c:v>
                </c:pt>
                <c:pt idx="2986">
                  <c:v>7.4624999999999997E-2</c:v>
                </c:pt>
                <c:pt idx="2987">
                  <c:v>0.126998</c:v>
                </c:pt>
                <c:pt idx="2988">
                  <c:v>2.7604E-2</c:v>
                </c:pt>
                <c:pt idx="2989">
                  <c:v>4.6496000000000003E-2</c:v>
                </c:pt>
                <c:pt idx="2990">
                  <c:v>7.2840000000000002E-2</c:v>
                </c:pt>
                <c:pt idx="2991">
                  <c:v>9.887E-2</c:v>
                </c:pt>
                <c:pt idx="2992">
                  <c:v>6.7696999999999993E-2</c:v>
                </c:pt>
                <c:pt idx="2993">
                  <c:v>9.4671000000000005E-2</c:v>
                </c:pt>
                <c:pt idx="2994">
                  <c:v>4.6286000000000001E-2</c:v>
                </c:pt>
                <c:pt idx="2995">
                  <c:v>4.6810999999999998E-2</c:v>
                </c:pt>
                <c:pt idx="2996">
                  <c:v>0.26239299999999999</c:v>
                </c:pt>
                <c:pt idx="2997">
                  <c:v>0.30962400000000001</c:v>
                </c:pt>
                <c:pt idx="2998">
                  <c:v>0.10810599999999999</c:v>
                </c:pt>
                <c:pt idx="2999">
                  <c:v>9.7295000000000006E-2</c:v>
                </c:pt>
                <c:pt idx="3000">
                  <c:v>9.3201999999999993E-2</c:v>
                </c:pt>
                <c:pt idx="3001">
                  <c:v>0.109155</c:v>
                </c:pt>
                <c:pt idx="3002">
                  <c:v>6.6123000000000001E-2</c:v>
                </c:pt>
                <c:pt idx="3003">
                  <c:v>4.9540000000000001E-2</c:v>
                </c:pt>
                <c:pt idx="3004">
                  <c:v>9.2676999999999995E-2</c:v>
                </c:pt>
                <c:pt idx="3005">
                  <c:v>0.10401299999999999</c:v>
                </c:pt>
                <c:pt idx="3006">
                  <c:v>3.0332999999999999E-2</c:v>
                </c:pt>
                <c:pt idx="3007">
                  <c:v>4.5761000000000003E-2</c:v>
                </c:pt>
                <c:pt idx="3008">
                  <c:v>2.9912999999999999E-2</c:v>
                </c:pt>
                <c:pt idx="3009">
                  <c:v>0.12280000000000001</c:v>
                </c:pt>
                <c:pt idx="3010">
                  <c:v>6.5178E-2</c:v>
                </c:pt>
                <c:pt idx="3011">
                  <c:v>7.3154999999999998E-2</c:v>
                </c:pt>
                <c:pt idx="3012">
                  <c:v>0.13644400000000001</c:v>
                </c:pt>
                <c:pt idx="3013">
                  <c:v>8.5014999999999993E-2</c:v>
                </c:pt>
                <c:pt idx="3014">
                  <c:v>0.35475499999999999</c:v>
                </c:pt>
                <c:pt idx="3015">
                  <c:v>0.40828300000000001</c:v>
                </c:pt>
                <c:pt idx="3016">
                  <c:v>5.4473000000000001E-2</c:v>
                </c:pt>
                <c:pt idx="3017">
                  <c:v>0.214113</c:v>
                </c:pt>
                <c:pt idx="3018">
                  <c:v>0.13539499999999999</c:v>
                </c:pt>
                <c:pt idx="3019">
                  <c:v>0.12594900000000001</c:v>
                </c:pt>
                <c:pt idx="3020">
                  <c:v>7.4414999999999995E-2</c:v>
                </c:pt>
                <c:pt idx="3021">
                  <c:v>0.15113799999999999</c:v>
                </c:pt>
                <c:pt idx="3022">
                  <c:v>0.18157599999999999</c:v>
                </c:pt>
                <c:pt idx="3023">
                  <c:v>0.28548299999999999</c:v>
                </c:pt>
                <c:pt idx="3024">
                  <c:v>0.22355900000000001</c:v>
                </c:pt>
                <c:pt idx="3025">
                  <c:v>5.6362000000000002E-2</c:v>
                </c:pt>
                <c:pt idx="3026">
                  <c:v>7.5254000000000001E-2</c:v>
                </c:pt>
                <c:pt idx="3027">
                  <c:v>8.8164000000000006E-2</c:v>
                </c:pt>
                <c:pt idx="3028">
                  <c:v>7.1161000000000002E-2</c:v>
                </c:pt>
                <c:pt idx="3029">
                  <c:v>0.18262500000000001</c:v>
                </c:pt>
                <c:pt idx="3030">
                  <c:v>5.2478999999999998E-2</c:v>
                </c:pt>
                <c:pt idx="3031">
                  <c:v>6.0664999999999997E-2</c:v>
                </c:pt>
                <c:pt idx="3032">
                  <c:v>8.1972000000000003E-2</c:v>
                </c:pt>
                <c:pt idx="3033">
                  <c:v>6.6123000000000001E-2</c:v>
                </c:pt>
                <c:pt idx="3034">
                  <c:v>2.6343999999999999E-2</c:v>
                </c:pt>
                <c:pt idx="3035">
                  <c:v>1.6372999999999999E-2</c:v>
                </c:pt>
                <c:pt idx="3036">
                  <c:v>5.2478999999999998E-2</c:v>
                </c:pt>
                <c:pt idx="3037">
                  <c:v>2.8549999999999999E-3</c:v>
                </c:pt>
                <c:pt idx="3038">
                  <c:v>5.4997550000000004</c:v>
                </c:pt>
                <c:pt idx="3039">
                  <c:v>4.450183</c:v>
                </c:pt>
                <c:pt idx="3040">
                  <c:v>5.3003359999999997</c:v>
                </c:pt>
                <c:pt idx="3041">
                  <c:v>9.4356480000000005</c:v>
                </c:pt>
                <c:pt idx="3042">
                  <c:v>16.37332</c:v>
                </c:pt>
                <c:pt idx="3043">
                  <c:v>19.1022</c:v>
                </c:pt>
                <c:pt idx="3044">
                  <c:v>23.30049</c:v>
                </c:pt>
                <c:pt idx="3045">
                  <c:v>15.84853</c:v>
                </c:pt>
                <c:pt idx="3046">
                  <c:v>7.3050179999999996</c:v>
                </c:pt>
                <c:pt idx="3047">
                  <c:v>17.6328</c:v>
                </c:pt>
                <c:pt idx="3048">
                  <c:v>43.347299999999997</c:v>
                </c:pt>
                <c:pt idx="3049">
                  <c:v>25.714500000000001</c:v>
                </c:pt>
                <c:pt idx="3050">
                  <c:v>8.7744180000000007</c:v>
                </c:pt>
                <c:pt idx="3051">
                  <c:v>18.3675</c:v>
                </c:pt>
                <c:pt idx="3052">
                  <c:v>3.6525089999999998</c:v>
                </c:pt>
                <c:pt idx="3053">
                  <c:v>8.8478879999999993</c:v>
                </c:pt>
                <c:pt idx="3054">
                  <c:v>2.6344240000000001</c:v>
                </c:pt>
                <c:pt idx="3055">
                  <c:v>4.2822519999999997</c:v>
                </c:pt>
                <c:pt idx="3056">
                  <c:v>5.7306600000000003</c:v>
                </c:pt>
                <c:pt idx="3057">
                  <c:v>1.899724</c:v>
                </c:pt>
                <c:pt idx="3058">
                  <c:v>3.0857399999999999</c:v>
                </c:pt>
                <c:pt idx="3059">
                  <c:v>2.2565789999999999</c:v>
                </c:pt>
                <c:pt idx="3060">
                  <c:v>4.2087820000000002</c:v>
                </c:pt>
                <c:pt idx="3061">
                  <c:v>17.10802</c:v>
                </c:pt>
                <c:pt idx="3062">
                  <c:v>1.035927</c:v>
                </c:pt>
                <c:pt idx="3063">
                  <c:v>6.3184199999999997</c:v>
                </c:pt>
                <c:pt idx="3064">
                  <c:v>2.3720319999999999</c:v>
                </c:pt>
                <c:pt idx="3065">
                  <c:v>7.8193080000000004</c:v>
                </c:pt>
                <c:pt idx="3066">
                  <c:v>11.86016</c:v>
                </c:pt>
                <c:pt idx="3067">
                  <c:v>15.21879</c:v>
                </c:pt>
                <c:pt idx="3068">
                  <c:v>3.8309359999999999</c:v>
                </c:pt>
                <c:pt idx="3069">
                  <c:v>10.810589999999999</c:v>
                </c:pt>
                <c:pt idx="3070">
                  <c:v>20.5716</c:v>
                </c:pt>
                <c:pt idx="3071">
                  <c:v>3.3061500000000001</c:v>
                </c:pt>
                <c:pt idx="3072">
                  <c:v>4.6496019999999998</c:v>
                </c:pt>
                <c:pt idx="3073">
                  <c:v>21.83109</c:v>
                </c:pt>
                <c:pt idx="3074">
                  <c:v>5.8356170000000001</c:v>
                </c:pt>
                <c:pt idx="3075">
                  <c:v>17.527840000000001</c:v>
                </c:pt>
                <c:pt idx="3076">
                  <c:v>2.686903</c:v>
                </c:pt>
                <c:pt idx="3077">
                  <c:v>12.27999</c:v>
                </c:pt>
                <c:pt idx="3078">
                  <c:v>4.1982860000000004</c:v>
                </c:pt>
                <c:pt idx="3079">
                  <c:v>4.3557220000000001</c:v>
                </c:pt>
                <c:pt idx="3080">
                  <c:v>3.1382189999999999</c:v>
                </c:pt>
                <c:pt idx="3081">
                  <c:v>2.8338429999999999</c:v>
                </c:pt>
                <c:pt idx="3082">
                  <c:v>2.015177</c:v>
                </c:pt>
                <c:pt idx="3083">
                  <c:v>4.7440629999999997</c:v>
                </c:pt>
                <c:pt idx="3084">
                  <c:v>0.65493299999999999</c:v>
                </c:pt>
                <c:pt idx="3085">
                  <c:v>0.39568799999999998</c:v>
                </c:pt>
                <c:pt idx="3086">
                  <c:v>0.43557200000000001</c:v>
                </c:pt>
                <c:pt idx="3087">
                  <c:v>0.29073100000000002</c:v>
                </c:pt>
                <c:pt idx="3088">
                  <c:v>0.39149</c:v>
                </c:pt>
                <c:pt idx="3089">
                  <c:v>0.120701</c:v>
                </c:pt>
                <c:pt idx="3090">
                  <c:v>6.8116999999999997E-2</c:v>
                </c:pt>
                <c:pt idx="3091">
                  <c:v>3.8099000000000001E-2</c:v>
                </c:pt>
                <c:pt idx="3092">
                  <c:v>3.705E-2</c:v>
                </c:pt>
                <c:pt idx="3093">
                  <c:v>5.8250999999999997E-2</c:v>
                </c:pt>
                <c:pt idx="3094">
                  <c:v>0.31592100000000001</c:v>
                </c:pt>
                <c:pt idx="3095">
                  <c:v>1.6792999999999999E-2</c:v>
                </c:pt>
                <c:pt idx="3096">
                  <c:v>2.2041000000000002E-2</c:v>
                </c:pt>
                <c:pt idx="3097">
                  <c:v>1.3225000000000001E-2</c:v>
                </c:pt>
                <c:pt idx="3098">
                  <c:v>3.3480999999999997E-2</c:v>
                </c:pt>
                <c:pt idx="3099">
                  <c:v>1.2279999999999999E-2</c:v>
                </c:pt>
                <c:pt idx="3100">
                  <c:v>0.264492</c:v>
                </c:pt>
                <c:pt idx="3101">
                  <c:v>0.32851599999999997</c:v>
                </c:pt>
                <c:pt idx="3102">
                  <c:v>0.161634</c:v>
                </c:pt>
                <c:pt idx="3103">
                  <c:v>9.0997999999999996E-2</c:v>
                </c:pt>
                <c:pt idx="3104">
                  <c:v>0.189972</c:v>
                </c:pt>
                <c:pt idx="3105">
                  <c:v>0.15323700000000001</c:v>
                </c:pt>
                <c:pt idx="3106">
                  <c:v>2.7498999999999999E-2</c:v>
                </c:pt>
                <c:pt idx="3107">
                  <c:v>3.6734999999999997E-2</c:v>
                </c:pt>
                <c:pt idx="3108">
                  <c:v>1.3435000000000001E-2</c:v>
                </c:pt>
                <c:pt idx="3109">
                  <c:v>7.8720000000000005E-3</c:v>
                </c:pt>
                <c:pt idx="3110">
                  <c:v>2.3615000000000001E-2</c:v>
                </c:pt>
                <c:pt idx="3111">
                  <c:v>1.7632999999999999E-2</c:v>
                </c:pt>
                <c:pt idx="3112">
                  <c:v>2.6554000000000001E-2</c:v>
                </c:pt>
                <c:pt idx="3113">
                  <c:v>9.6560999999999994E-2</c:v>
                </c:pt>
                <c:pt idx="3114">
                  <c:v>1.9102000000000001E-2</c:v>
                </c:pt>
                <c:pt idx="3115">
                  <c:v>5.9511000000000001E-2</c:v>
                </c:pt>
                <c:pt idx="3116">
                  <c:v>2.393E-2</c:v>
                </c:pt>
                <c:pt idx="3117">
                  <c:v>1.2070000000000001E-2</c:v>
                </c:pt>
                <c:pt idx="3118">
                  <c:v>4.1980000000000003E-3</c:v>
                </c:pt>
                <c:pt idx="3119">
                  <c:v>7.1370000000000001E-3</c:v>
                </c:pt>
                <c:pt idx="3120">
                  <c:v>1.7108000000000002E-2</c:v>
                </c:pt>
                <c:pt idx="3121">
                  <c:v>1.1545E-2</c:v>
                </c:pt>
                <c:pt idx="3122">
                  <c:v>8.397E-3</c:v>
                </c:pt>
                <c:pt idx="3123">
                  <c:v>1.8890000000000001E-3</c:v>
                </c:pt>
                <c:pt idx="3124">
                  <c:v>4.5129999999999997E-3</c:v>
                </c:pt>
                <c:pt idx="3125">
                  <c:v>1.3225000000000001E-2</c:v>
                </c:pt>
                <c:pt idx="3126">
                  <c:v>3.2539999999999999E-3</c:v>
                </c:pt>
                <c:pt idx="3127">
                  <c:v>3.5690000000000001E-3</c:v>
                </c:pt>
                <c:pt idx="3128">
                  <c:v>1.784E-3</c:v>
                </c:pt>
                <c:pt idx="3129">
                  <c:v>2.4139999999999999E-3</c:v>
                </c:pt>
                <c:pt idx="3130">
                  <c:v>8.0820000000000006E-3</c:v>
                </c:pt>
                <c:pt idx="3131">
                  <c:v>4.0930000000000003E-3</c:v>
                </c:pt>
                <c:pt idx="3132">
                  <c:v>1.469E-3</c:v>
                </c:pt>
                <c:pt idx="3133">
                  <c:v>2.7290000000000001E-3</c:v>
                </c:pt>
                <c:pt idx="3134">
                  <c:v>4.1980000000000003E-3</c:v>
                </c:pt>
                <c:pt idx="3135">
                  <c:v>4.6179999999999997E-3</c:v>
                </c:pt>
                <c:pt idx="3136">
                  <c:v>6.6123000000000001E-2</c:v>
                </c:pt>
                <c:pt idx="3137">
                  <c:v>2.3824999999999999E-2</c:v>
                </c:pt>
                <c:pt idx="3138">
                  <c:v>0.109155</c:v>
                </c:pt>
                <c:pt idx="3139">
                  <c:v>0.112304</c:v>
                </c:pt>
                <c:pt idx="3140">
                  <c:v>0.13434499999999999</c:v>
                </c:pt>
                <c:pt idx="3141">
                  <c:v>0.18052599999999999</c:v>
                </c:pt>
                <c:pt idx="3142">
                  <c:v>6.7278000000000004E-2</c:v>
                </c:pt>
                <c:pt idx="3143">
                  <c:v>0.162684</c:v>
                </c:pt>
                <c:pt idx="3144">
                  <c:v>9.8345000000000002E-2</c:v>
                </c:pt>
                <c:pt idx="3145">
                  <c:v>0.13959299999999999</c:v>
                </c:pt>
                <c:pt idx="3146">
                  <c:v>5.0064999999999998E-2</c:v>
                </c:pt>
                <c:pt idx="3147">
                  <c:v>8.3126000000000005E-2</c:v>
                </c:pt>
                <c:pt idx="3148">
                  <c:v>5.5522000000000002E-2</c:v>
                </c:pt>
                <c:pt idx="3149">
                  <c:v>0.27288899999999999</c:v>
                </c:pt>
                <c:pt idx="3150">
                  <c:v>9.4671000000000005E-2</c:v>
                </c:pt>
                <c:pt idx="3151">
                  <c:v>3.6630000000000003E-2</c:v>
                </c:pt>
                <c:pt idx="3152">
                  <c:v>5.8041000000000002E-2</c:v>
                </c:pt>
                <c:pt idx="3153">
                  <c:v>2.7078999999999999E-2</c:v>
                </c:pt>
                <c:pt idx="3154">
                  <c:v>7.5254000000000001E-2</c:v>
                </c:pt>
                <c:pt idx="3155">
                  <c:v>6.3184000000000004E-2</c:v>
                </c:pt>
                <c:pt idx="3156">
                  <c:v>0.14064299999999999</c:v>
                </c:pt>
                <c:pt idx="3157">
                  <c:v>8.4699999999999998E-2</c:v>
                </c:pt>
                <c:pt idx="3158">
                  <c:v>7.7878000000000003E-2</c:v>
                </c:pt>
                <c:pt idx="3159">
                  <c:v>3.9884000000000003E-2</c:v>
                </c:pt>
                <c:pt idx="3160">
                  <c:v>3.3271000000000002E-2</c:v>
                </c:pt>
                <c:pt idx="3161">
                  <c:v>1.6372999999999999E-2</c:v>
                </c:pt>
                <c:pt idx="3162">
                  <c:v>7.7669999999999996E-3</c:v>
                </c:pt>
                <c:pt idx="3163">
                  <c:v>1.1021E-2</c:v>
                </c:pt>
                <c:pt idx="3164">
                  <c:v>1.9626999999999999E-2</c:v>
                </c:pt>
                <c:pt idx="3165">
                  <c:v>1.2805E-2</c:v>
                </c:pt>
                <c:pt idx="3166">
                  <c:v>26.134329999999999</c:v>
                </c:pt>
                <c:pt idx="3167">
                  <c:v>62.134630000000001</c:v>
                </c:pt>
                <c:pt idx="3168">
                  <c:v>2.2355870000000002</c:v>
                </c:pt>
                <c:pt idx="3169">
                  <c:v>1.0600670000000001</c:v>
                </c:pt>
                <c:pt idx="3170">
                  <c:v>2.319553</c:v>
                </c:pt>
                <c:pt idx="3171">
                  <c:v>4.4396870000000002</c:v>
                </c:pt>
                <c:pt idx="3172">
                  <c:v>1.1E-4</c:v>
                </c:pt>
                <c:pt idx="3173">
                  <c:v>2.0991430000000002</c:v>
                </c:pt>
                <c:pt idx="3174">
                  <c:v>0.39673799999999998</c:v>
                </c:pt>
                <c:pt idx="3175">
                  <c:v>4.0299999999999997E-3</c:v>
                </c:pt>
                <c:pt idx="3176">
                  <c:v>7.7800000000000005E-4</c:v>
                </c:pt>
                <c:pt idx="3177">
                  <c:v>3.9779000000000002E-2</c:v>
                </c:pt>
                <c:pt idx="3178">
                  <c:v>1.6163E-2</c:v>
                </c:pt>
                <c:pt idx="3179">
                  <c:v>1.7318E-2</c:v>
                </c:pt>
                <c:pt idx="3180">
                  <c:v>2.8400000000000002E-4</c:v>
                </c:pt>
                <c:pt idx="3181">
                  <c:v>5.6899999999999995E-4</c:v>
                </c:pt>
                <c:pt idx="3182">
                  <c:v>4.26E-4</c:v>
                </c:pt>
                <c:pt idx="3183">
                  <c:v>1.732E-3</c:v>
                </c:pt>
                <c:pt idx="3184">
                  <c:v>5.44E-4</c:v>
                </c:pt>
                <c:pt idx="3185">
                  <c:v>2.0049999999999998E-3</c:v>
                </c:pt>
                <c:pt idx="3186">
                  <c:v>1.6057999999999999E-2</c:v>
                </c:pt>
                <c:pt idx="3187">
                  <c:v>5.1999999999999995E-4</c:v>
                </c:pt>
                <c:pt idx="3188">
                  <c:v>9.6600000000000003E-5</c:v>
                </c:pt>
                <c:pt idx="3189">
                  <c:v>4.8299999999999998E-4</c:v>
                </c:pt>
                <c:pt idx="3190">
                  <c:v>4.4499999999999997E-4</c:v>
                </c:pt>
                <c:pt idx="3191">
                  <c:v>1.1E-4</c:v>
                </c:pt>
                <c:pt idx="3192">
                  <c:v>9.5500000000000004E-5</c:v>
                </c:pt>
                <c:pt idx="3193">
                  <c:v>4.2900000000000002E-4</c:v>
                </c:pt>
                <c:pt idx="3194">
                  <c:v>6.8099999999999996E-4</c:v>
                </c:pt>
                <c:pt idx="3195">
                  <c:v>5.3499999999999999E-5</c:v>
                </c:pt>
                <c:pt idx="3196">
                  <c:v>2.2100000000000001E-4</c:v>
                </c:pt>
                <c:pt idx="3197">
                  <c:v>6.87E-4</c:v>
                </c:pt>
                <c:pt idx="3198">
                  <c:v>1.0319999999999999E-3</c:v>
                </c:pt>
                <c:pt idx="3199">
                  <c:v>0.45866299999999999</c:v>
                </c:pt>
                <c:pt idx="3200">
                  <c:v>0.208865</c:v>
                </c:pt>
                <c:pt idx="3201">
                  <c:v>0.19941900000000001</c:v>
                </c:pt>
                <c:pt idx="3202">
                  <c:v>2.3404999999999999E-2</c:v>
                </c:pt>
                <c:pt idx="3203">
                  <c:v>9.6349999999999995E-3</c:v>
                </c:pt>
                <c:pt idx="3204">
                  <c:v>6.0999999999999997E-4</c:v>
                </c:pt>
                <c:pt idx="3205">
                  <c:v>3.9249999999999997E-3</c:v>
                </c:pt>
                <c:pt idx="3206">
                  <c:v>3.7599999999999998E-4</c:v>
                </c:pt>
                <c:pt idx="3207">
                  <c:v>5.3200000000000003E-4</c:v>
                </c:pt>
                <c:pt idx="3208">
                  <c:v>7.3049999999999999E-3</c:v>
                </c:pt>
                <c:pt idx="3209">
                  <c:v>2.5295000000000002E-2</c:v>
                </c:pt>
                <c:pt idx="3210">
                  <c:v>3.9149000000000003E-2</c:v>
                </c:pt>
                <c:pt idx="3211">
                  <c:v>3.81E-3</c:v>
                </c:pt>
                <c:pt idx="3212">
                  <c:v>2.372E-3</c:v>
                </c:pt>
                <c:pt idx="3213">
                  <c:v>4.6709999999999998E-3</c:v>
                </c:pt>
                <c:pt idx="3214">
                  <c:v>2.0890000000000001E-3</c:v>
                </c:pt>
                <c:pt idx="3215">
                  <c:v>2.477E-2</c:v>
                </c:pt>
                <c:pt idx="3216">
                  <c:v>5.7516999999999999E-2</c:v>
                </c:pt>
                <c:pt idx="3217">
                  <c:v>4.0198999999999999E-2</c:v>
                </c:pt>
                <c:pt idx="3218">
                  <c:v>7.5568999999999997E-2</c:v>
                </c:pt>
                <c:pt idx="3219">
                  <c:v>2.0885999999999998E-2</c:v>
                </c:pt>
                <c:pt idx="3220">
                  <c:v>9.1520000000000004E-3</c:v>
                </c:pt>
                <c:pt idx="3221">
                  <c:v>4.0619999999999996E-3</c:v>
                </c:pt>
                <c:pt idx="3222">
                  <c:v>2.6029999999999998E-3</c:v>
                </c:pt>
                <c:pt idx="3223">
                  <c:v>7.378E-3</c:v>
                </c:pt>
                <c:pt idx="3224">
                  <c:v>8.8159999999999992E-3</c:v>
                </c:pt>
                <c:pt idx="3225">
                  <c:v>1.1860000000000001E-2</c:v>
                </c:pt>
                <c:pt idx="3226">
                  <c:v>5.7829999999999999E-3</c:v>
                </c:pt>
                <c:pt idx="3227">
                  <c:v>3.4849999999999998E-3</c:v>
                </c:pt>
                <c:pt idx="3228">
                  <c:v>9.6900000000000003E-4</c:v>
                </c:pt>
                <c:pt idx="3229">
                  <c:v>2.3410000000000002E-3</c:v>
                </c:pt>
                <c:pt idx="3230">
                  <c:v>1.6479999999999999E-3</c:v>
                </c:pt>
                <c:pt idx="3231">
                  <c:v>3.4429999999999999E-3</c:v>
                </c:pt>
                <c:pt idx="3232">
                  <c:v>4.2509999999999996E-3</c:v>
                </c:pt>
                <c:pt idx="3233">
                  <c:v>1.8699999999999999E-4</c:v>
                </c:pt>
                <c:pt idx="3234">
                  <c:v>7.3499999999999998E-5</c:v>
                </c:pt>
                <c:pt idx="3235">
                  <c:v>9.6139999999999993E-3</c:v>
                </c:pt>
                <c:pt idx="3236">
                  <c:v>2.2460000000000002E-3</c:v>
                </c:pt>
                <c:pt idx="3237">
                  <c:v>6.3709999999999999E-3</c:v>
                </c:pt>
                <c:pt idx="3238">
                  <c:v>1.333E-3</c:v>
                </c:pt>
                <c:pt idx="3239">
                  <c:v>1.2700000000000001E-3</c:v>
                </c:pt>
                <c:pt idx="3240">
                  <c:v>4.5129999999999997E-3</c:v>
                </c:pt>
                <c:pt idx="3241">
                  <c:v>2.5820000000000001E-3</c:v>
                </c:pt>
                <c:pt idx="3242">
                  <c:v>1.333E-3</c:v>
                </c:pt>
                <c:pt idx="3243">
                  <c:v>1.1019999999999999E-3</c:v>
                </c:pt>
                <c:pt idx="3244">
                  <c:v>1.207E-3</c:v>
                </c:pt>
                <c:pt idx="3245">
                  <c:v>1.12E-4</c:v>
                </c:pt>
                <c:pt idx="3246">
                  <c:v>2.5500000000000002E-3</c:v>
                </c:pt>
                <c:pt idx="3247">
                  <c:v>2.83E-5</c:v>
                </c:pt>
                <c:pt idx="3248">
                  <c:v>3.4600000000000001E-4</c:v>
                </c:pt>
                <c:pt idx="3249">
                  <c:v>8.0400000000000003E-3</c:v>
                </c:pt>
                <c:pt idx="3250">
                  <c:v>1.4589E-2</c:v>
                </c:pt>
                <c:pt idx="3251">
                  <c:v>2.7179999999999999E-3</c:v>
                </c:pt>
                <c:pt idx="3252">
                  <c:v>1.6789999999999999E-3</c:v>
                </c:pt>
                <c:pt idx="3253">
                  <c:v>4.7340000000000004E-3</c:v>
                </c:pt>
                <c:pt idx="3254">
                  <c:v>1.8471999999999999E-2</c:v>
                </c:pt>
                <c:pt idx="3255">
                  <c:v>2.2356000000000001E-2</c:v>
                </c:pt>
                <c:pt idx="3256">
                  <c:v>2.8129000000000001E-2</c:v>
                </c:pt>
                <c:pt idx="3257">
                  <c:v>3.3170000000000001E-3</c:v>
                </c:pt>
                <c:pt idx="3258">
                  <c:v>1.438E-3</c:v>
                </c:pt>
                <c:pt idx="3259">
                  <c:v>1.5740000000000001E-3</c:v>
                </c:pt>
                <c:pt idx="3260">
                  <c:v>6.339E-3</c:v>
                </c:pt>
                <c:pt idx="3261">
                  <c:v>1.6583000000000001E-2</c:v>
                </c:pt>
                <c:pt idx="3262">
                  <c:v>1.3225000000000001E-2</c:v>
                </c:pt>
                <c:pt idx="3263">
                  <c:v>1.3749000000000001E-2</c:v>
                </c:pt>
                <c:pt idx="3264">
                  <c:v>4.9220000000000002E-3</c:v>
                </c:pt>
                <c:pt idx="3265">
                  <c:v>0.123849</c:v>
                </c:pt>
                <c:pt idx="3266">
                  <c:v>5.4788000000000003E-2</c:v>
                </c:pt>
                <c:pt idx="3267">
                  <c:v>0.13434499999999999</c:v>
                </c:pt>
                <c:pt idx="3268">
                  <c:v>8.2600999999999994E-2</c:v>
                </c:pt>
                <c:pt idx="3269">
                  <c:v>6.4859999999999996E-3</c:v>
                </c:pt>
                <c:pt idx="3270">
                  <c:v>1.0181000000000001E-2</c:v>
                </c:pt>
                <c:pt idx="3271">
                  <c:v>1.2385E-2</c:v>
                </c:pt>
                <c:pt idx="3272">
                  <c:v>4.6705999999999998E-2</c:v>
                </c:pt>
                <c:pt idx="3273">
                  <c:v>6.8012000000000003E-2</c:v>
                </c:pt>
                <c:pt idx="3274">
                  <c:v>0.10495699999999999</c:v>
                </c:pt>
                <c:pt idx="3275">
                  <c:v>8.0082E-2</c:v>
                </c:pt>
                <c:pt idx="3276">
                  <c:v>5.8671000000000001E-2</c:v>
                </c:pt>
                <c:pt idx="3277">
                  <c:v>5.6257000000000001E-2</c:v>
                </c:pt>
                <c:pt idx="3278">
                  <c:v>0.340061</c:v>
                </c:pt>
                <c:pt idx="3279">
                  <c:v>0.28653299999999998</c:v>
                </c:pt>
                <c:pt idx="3280">
                  <c:v>0.47650500000000001</c:v>
                </c:pt>
                <c:pt idx="3281">
                  <c:v>7.1790999999999994E-2</c:v>
                </c:pt>
                <c:pt idx="3282">
                  <c:v>0.20046800000000001</c:v>
                </c:pt>
                <c:pt idx="3283">
                  <c:v>3.6525000000000002E-2</c:v>
                </c:pt>
                <c:pt idx="3284">
                  <c:v>4.3661999999999999E-2</c:v>
                </c:pt>
                <c:pt idx="3285">
                  <c:v>0.30227700000000002</c:v>
                </c:pt>
                <c:pt idx="3286">
                  <c:v>0.10306800000000001</c:v>
                </c:pt>
                <c:pt idx="3287">
                  <c:v>5.1848999999999999E-2</c:v>
                </c:pt>
                <c:pt idx="3288">
                  <c:v>4.1037999999999998E-2</c:v>
                </c:pt>
                <c:pt idx="3289">
                  <c:v>1.1124999999999999E-2</c:v>
                </c:pt>
                <c:pt idx="3290">
                  <c:v>1.8367999999999999E-2</c:v>
                </c:pt>
                <c:pt idx="3291">
                  <c:v>6.1400000000000003E-2</c:v>
                </c:pt>
                <c:pt idx="3292">
                  <c:v>1.123E-2</c:v>
                </c:pt>
                <c:pt idx="3293">
                  <c:v>3.705E-2</c:v>
                </c:pt>
                <c:pt idx="3294">
                  <c:v>3.7469999999999999E-3</c:v>
                </c:pt>
                <c:pt idx="3295">
                  <c:v>2.5400000000000002E-3</c:v>
                </c:pt>
                <c:pt idx="3296">
                  <c:v>7.6410000000000002E-3</c:v>
                </c:pt>
                <c:pt idx="3297">
                  <c:v>3.6939999999999998E-3</c:v>
                </c:pt>
                <c:pt idx="3298">
                  <c:v>1.5009E-2</c:v>
                </c:pt>
                <c:pt idx="3299">
                  <c:v>2.1199999999999999E-3</c:v>
                </c:pt>
                <c:pt idx="3300">
                  <c:v>9.9700000000000006E-4</c:v>
                </c:pt>
                <c:pt idx="3301">
                  <c:v>1.6268000000000001E-2</c:v>
                </c:pt>
                <c:pt idx="3302">
                  <c:v>4.3350000000000003E-3</c:v>
                </c:pt>
                <c:pt idx="3303">
                  <c:v>1.9626999999999999E-2</c:v>
                </c:pt>
                <c:pt idx="3304">
                  <c:v>4.0619999999999996E-3</c:v>
                </c:pt>
                <c:pt idx="3305">
                  <c:v>2.319553</c:v>
                </c:pt>
                <c:pt idx="3306">
                  <c:v>9.8449999999999996E-2</c:v>
                </c:pt>
                <c:pt idx="3307">
                  <c:v>7.5568999999999997E-2</c:v>
                </c:pt>
                <c:pt idx="3308">
                  <c:v>0.59615700000000005</c:v>
                </c:pt>
                <c:pt idx="3309">
                  <c:v>1.0915539999999999</c:v>
                </c:pt>
                <c:pt idx="3310">
                  <c:v>2.9912999999999999E-2</c:v>
                </c:pt>
                <c:pt idx="3311">
                  <c:v>5.1850000000000004E-3</c:v>
                </c:pt>
                <c:pt idx="3312">
                  <c:v>5.7499999999999999E-4</c:v>
                </c:pt>
                <c:pt idx="3313">
                  <c:v>5.6800000000000004E-4</c:v>
                </c:pt>
                <c:pt idx="3314">
                  <c:v>1.6100000000000001E-4</c:v>
                </c:pt>
                <c:pt idx="3315">
                  <c:v>1.1021E-2</c:v>
                </c:pt>
                <c:pt idx="3316">
                  <c:v>4.8805069999999997</c:v>
                </c:pt>
                <c:pt idx="3317">
                  <c:v>0.77983199999999997</c:v>
                </c:pt>
                <c:pt idx="3318">
                  <c:v>0.25609500000000002</c:v>
                </c:pt>
                <c:pt idx="3319">
                  <c:v>0.30017700000000003</c:v>
                </c:pt>
                <c:pt idx="3320">
                  <c:v>3.6420000000000001E-2</c:v>
                </c:pt>
                <c:pt idx="3321">
                  <c:v>2.7079999999999999E-3</c:v>
                </c:pt>
                <c:pt idx="3322">
                  <c:v>1.9729999999999999E-3</c:v>
                </c:pt>
                <c:pt idx="3323">
                  <c:v>3.0860000000000002E-3</c:v>
                </c:pt>
                <c:pt idx="3324">
                  <c:v>6.19E-5</c:v>
                </c:pt>
                <c:pt idx="3325">
                  <c:v>1.73E-4</c:v>
                </c:pt>
                <c:pt idx="3326">
                  <c:v>4.6499999999999996E-3</c:v>
                </c:pt>
                <c:pt idx="3327">
                  <c:v>8.9899999999999995E-4</c:v>
                </c:pt>
                <c:pt idx="3328">
                  <c:v>4.7021E-2</c:v>
                </c:pt>
                <c:pt idx="3329">
                  <c:v>2.1310000000000001E-3</c:v>
                </c:pt>
                <c:pt idx="3330">
                  <c:v>0.117552</c:v>
                </c:pt>
                <c:pt idx="3331">
                  <c:v>4.3346999999999997E-2</c:v>
                </c:pt>
                <c:pt idx="3332">
                  <c:v>4.7860000000000003E-3</c:v>
                </c:pt>
                <c:pt idx="3333">
                  <c:v>6.7070000000000003E-3</c:v>
                </c:pt>
                <c:pt idx="3334">
                  <c:v>5.8250000000000003E-3</c:v>
                </c:pt>
                <c:pt idx="3335">
                  <c:v>6.8430000000000001E-3</c:v>
                </c:pt>
                <c:pt idx="3336">
                  <c:v>1.291E-3</c:v>
                </c:pt>
                <c:pt idx="3337">
                  <c:v>1.343E-3</c:v>
                </c:pt>
                <c:pt idx="3338">
                  <c:v>2.8649999999999999E-3</c:v>
                </c:pt>
                <c:pt idx="3339">
                  <c:v>2.2989999999999998E-3</c:v>
                </c:pt>
                <c:pt idx="3340">
                  <c:v>2.9599999999999998E-4</c:v>
                </c:pt>
                <c:pt idx="3341">
                  <c:v>5.7520000000000002E-3</c:v>
                </c:pt>
                <c:pt idx="3342">
                  <c:v>2.8549999999999999E-3</c:v>
                </c:pt>
                <c:pt idx="3343">
                  <c:v>9.3519999999999992E-3</c:v>
                </c:pt>
                <c:pt idx="3344">
                  <c:v>5.4157999999999998E-2</c:v>
                </c:pt>
                <c:pt idx="3345">
                  <c:v>9.1520000000000004E-3</c:v>
                </c:pt>
                <c:pt idx="3346">
                  <c:v>0.138543</c:v>
                </c:pt>
                <c:pt idx="3347">
                  <c:v>4.4186999999999997E-2</c:v>
                </c:pt>
                <c:pt idx="3348">
                  <c:v>2.624E-3</c:v>
                </c:pt>
                <c:pt idx="3349">
                  <c:v>2.6600000000000001E-4</c:v>
                </c:pt>
                <c:pt idx="3350">
                  <c:v>3.4099999999999999E-4</c:v>
                </c:pt>
                <c:pt idx="3351">
                  <c:v>4.6199999999999998E-5</c:v>
                </c:pt>
                <c:pt idx="3352">
                  <c:v>3.9039999999999999E-3</c:v>
                </c:pt>
                <c:pt idx="3353">
                  <c:v>2.1940000000000002E-3</c:v>
                </c:pt>
                <c:pt idx="3354">
                  <c:v>2.0152E-2</c:v>
                </c:pt>
                <c:pt idx="3355">
                  <c:v>2.8019999999999998E-3</c:v>
                </c:pt>
                <c:pt idx="3356">
                  <c:v>3.0228000000000001E-2</c:v>
                </c:pt>
                <c:pt idx="3357">
                  <c:v>2.4870000000000001E-3</c:v>
                </c:pt>
                <c:pt idx="3358">
                  <c:v>5.143E-3</c:v>
                </c:pt>
                <c:pt idx="3359">
                  <c:v>7.5299999999999998E-4</c:v>
                </c:pt>
                <c:pt idx="3360">
                  <c:v>1.6799999999999999E-4</c:v>
                </c:pt>
                <c:pt idx="3361">
                  <c:v>1.47E-4</c:v>
                </c:pt>
                <c:pt idx="3362">
                  <c:v>1.165E-3</c:v>
                </c:pt>
                <c:pt idx="3363">
                  <c:v>2.7290000000000001E-3</c:v>
                </c:pt>
                <c:pt idx="3364">
                  <c:v>1.2070000000000001E-2</c:v>
                </c:pt>
                <c:pt idx="3365">
                  <c:v>4.4609999999999997E-3</c:v>
                </c:pt>
                <c:pt idx="3366">
                  <c:v>1.469E-3</c:v>
                </c:pt>
                <c:pt idx="3367">
                  <c:v>3.1700000000000001E-3</c:v>
                </c:pt>
                <c:pt idx="3368">
                  <c:v>3.9360000000000003E-3</c:v>
                </c:pt>
                <c:pt idx="3369">
                  <c:v>4.0930000000000003E-3</c:v>
                </c:pt>
                <c:pt idx="3370">
                  <c:v>1.7527839999999999</c:v>
                </c:pt>
                <c:pt idx="3371">
                  <c:v>0.72000600000000003</c:v>
                </c:pt>
                <c:pt idx="3372">
                  <c:v>0.173179</c:v>
                </c:pt>
                <c:pt idx="3373">
                  <c:v>0.18157599999999999</c:v>
                </c:pt>
                <c:pt idx="3374">
                  <c:v>3.4425940000000002</c:v>
                </c:pt>
                <c:pt idx="3375">
                  <c:v>1.3434520000000001</c:v>
                </c:pt>
                <c:pt idx="3376">
                  <c:v>2.6764070000000002</c:v>
                </c:pt>
                <c:pt idx="3377">
                  <c:v>1.32246</c:v>
                </c:pt>
                <c:pt idx="3378">
                  <c:v>1.5848530000000001</c:v>
                </c:pt>
                <c:pt idx="3379">
                  <c:v>0.59720600000000001</c:v>
                </c:pt>
                <c:pt idx="3380">
                  <c:v>8.2706000000000002E-2</c:v>
                </c:pt>
                <c:pt idx="3381">
                  <c:v>5.6676999999999998E-2</c:v>
                </c:pt>
                <c:pt idx="3382">
                  <c:v>2.5819000000000002E-2</c:v>
                </c:pt>
                <c:pt idx="3383">
                  <c:v>0.18157599999999999</c:v>
                </c:pt>
                <c:pt idx="3384">
                  <c:v>0.15323700000000001</c:v>
                </c:pt>
                <c:pt idx="3385">
                  <c:v>0.19522</c:v>
                </c:pt>
                <c:pt idx="3386">
                  <c:v>0.123849</c:v>
                </c:pt>
                <c:pt idx="3387">
                  <c:v>0.15218799999999999</c:v>
                </c:pt>
                <c:pt idx="3388">
                  <c:v>0.109155</c:v>
                </c:pt>
                <c:pt idx="3389">
                  <c:v>5.1219000000000001E-2</c:v>
                </c:pt>
                <c:pt idx="3390">
                  <c:v>6.1504999999999997E-2</c:v>
                </c:pt>
                <c:pt idx="3391">
                  <c:v>9.1522999999999993E-2</c:v>
                </c:pt>
                <c:pt idx="3392">
                  <c:v>4.1772999999999998E-2</c:v>
                </c:pt>
                <c:pt idx="3393">
                  <c:v>2.2671E-2</c:v>
                </c:pt>
                <c:pt idx="3394">
                  <c:v>3.8834E-2</c:v>
                </c:pt>
                <c:pt idx="3395">
                  <c:v>3.0543000000000001E-2</c:v>
                </c:pt>
                <c:pt idx="3396">
                  <c:v>5.4683000000000002E-2</c:v>
                </c:pt>
                <c:pt idx="3397">
                  <c:v>0.128048</c:v>
                </c:pt>
                <c:pt idx="3398">
                  <c:v>9.5616000000000007E-2</c:v>
                </c:pt>
                <c:pt idx="3399">
                  <c:v>6.0874999999999999E-2</c:v>
                </c:pt>
                <c:pt idx="3400">
                  <c:v>3.7469999999999999E-3</c:v>
                </c:pt>
                <c:pt idx="3401">
                  <c:v>2.1621000000000001E-2</c:v>
                </c:pt>
                <c:pt idx="3402">
                  <c:v>8.659E-3</c:v>
                </c:pt>
                <c:pt idx="3403">
                  <c:v>2.9703E-2</c:v>
                </c:pt>
                <c:pt idx="3404">
                  <c:v>0.13434499999999999</c:v>
                </c:pt>
                <c:pt idx="3405">
                  <c:v>8.6800000000000002E-2</c:v>
                </c:pt>
                <c:pt idx="3406">
                  <c:v>0.55522300000000002</c:v>
                </c:pt>
                <c:pt idx="3407">
                  <c:v>0.144841</c:v>
                </c:pt>
                <c:pt idx="3408">
                  <c:v>5.6992000000000001E-2</c:v>
                </c:pt>
                <c:pt idx="3409">
                  <c:v>0.106007</c:v>
                </c:pt>
                <c:pt idx="3410">
                  <c:v>6.5073000000000006E-2</c:v>
                </c:pt>
                <c:pt idx="3411">
                  <c:v>3.4636E-2</c:v>
                </c:pt>
                <c:pt idx="3412">
                  <c:v>5.7620999999999999E-2</c:v>
                </c:pt>
                <c:pt idx="3413">
                  <c:v>5.7411999999999998E-2</c:v>
                </c:pt>
                <c:pt idx="3414">
                  <c:v>2.9597999999999999E-2</c:v>
                </c:pt>
                <c:pt idx="3415">
                  <c:v>2.2880999999999999E-2</c:v>
                </c:pt>
                <c:pt idx="3416">
                  <c:v>2.3720000000000001E-2</c:v>
                </c:pt>
                <c:pt idx="3417">
                  <c:v>2.2251E-2</c:v>
                </c:pt>
                <c:pt idx="3418">
                  <c:v>1.9837E-2</c:v>
                </c:pt>
                <c:pt idx="3419">
                  <c:v>2.5085E-2</c:v>
                </c:pt>
                <c:pt idx="3420">
                  <c:v>1.3015000000000001E-2</c:v>
                </c:pt>
                <c:pt idx="3421">
                  <c:v>4.9540000000000001E-2</c:v>
                </c:pt>
                <c:pt idx="3422">
                  <c:v>3.7470000000000003E-2</c:v>
                </c:pt>
                <c:pt idx="3423">
                  <c:v>7.6513999999999999E-2</c:v>
                </c:pt>
                <c:pt idx="3424">
                  <c:v>0.184725</c:v>
                </c:pt>
                <c:pt idx="3425">
                  <c:v>0.113354</c:v>
                </c:pt>
                <c:pt idx="3426">
                  <c:v>0.24664900000000001</c:v>
                </c:pt>
                <c:pt idx="3427">
                  <c:v>0.42192800000000003</c:v>
                </c:pt>
                <c:pt idx="3428">
                  <c:v>0.468109</c:v>
                </c:pt>
                <c:pt idx="3429">
                  <c:v>0.40303499999999998</c:v>
                </c:pt>
                <c:pt idx="3430">
                  <c:v>0.84175599999999995</c:v>
                </c:pt>
                <c:pt idx="3431">
                  <c:v>0.468109</c:v>
                </c:pt>
                <c:pt idx="3432">
                  <c:v>0.44186999999999999</c:v>
                </c:pt>
                <c:pt idx="3433">
                  <c:v>0.43767099999999998</c:v>
                </c:pt>
                <c:pt idx="3434">
                  <c:v>0.15848499999999999</c:v>
                </c:pt>
                <c:pt idx="3435">
                  <c:v>0.29807800000000001</c:v>
                </c:pt>
                <c:pt idx="3436">
                  <c:v>0.20571600000000001</c:v>
                </c:pt>
                <c:pt idx="3437">
                  <c:v>0.189972</c:v>
                </c:pt>
                <c:pt idx="3438">
                  <c:v>6.0034999999999998E-2</c:v>
                </c:pt>
                <c:pt idx="3439">
                  <c:v>0.23510400000000001</c:v>
                </c:pt>
                <c:pt idx="3440">
                  <c:v>0.12594900000000001</c:v>
                </c:pt>
                <c:pt idx="3441">
                  <c:v>9.1313000000000005E-2</c:v>
                </c:pt>
                <c:pt idx="3442">
                  <c:v>9.3937000000000007E-2</c:v>
                </c:pt>
                <c:pt idx="3443">
                  <c:v>0.124899</c:v>
                </c:pt>
                <c:pt idx="3444">
                  <c:v>7.9767000000000005E-2</c:v>
                </c:pt>
                <c:pt idx="3445">
                  <c:v>9.0578000000000006E-2</c:v>
                </c:pt>
                <c:pt idx="3446">
                  <c:v>2.1305999999999999E-2</c:v>
                </c:pt>
                <c:pt idx="3447">
                  <c:v>2.3300000000000001E-2</c:v>
                </c:pt>
                <c:pt idx="3448">
                  <c:v>7.9769999999999997E-3</c:v>
                </c:pt>
                <c:pt idx="3449">
                  <c:v>9.0259999999999993E-3</c:v>
                </c:pt>
                <c:pt idx="3450">
                  <c:v>5.2898000000000001E-2</c:v>
                </c:pt>
                <c:pt idx="3451">
                  <c:v>8.8793999999999998E-2</c:v>
                </c:pt>
                <c:pt idx="3452">
                  <c:v>9.9080000000000001E-2</c:v>
                </c:pt>
                <c:pt idx="3453">
                  <c:v>0.43452299999999999</c:v>
                </c:pt>
                <c:pt idx="3454">
                  <c:v>0.132246</c:v>
                </c:pt>
                <c:pt idx="3455">
                  <c:v>0.207815</c:v>
                </c:pt>
                <c:pt idx="3456">
                  <c:v>0.92991999999999997</c:v>
                </c:pt>
                <c:pt idx="3457">
                  <c:v>0.29493000000000003</c:v>
                </c:pt>
                <c:pt idx="3458">
                  <c:v>1.217503</c:v>
                </c:pt>
                <c:pt idx="3459">
                  <c:v>0.41667999999999999</c:v>
                </c:pt>
                <c:pt idx="3460">
                  <c:v>0.202567</c:v>
                </c:pt>
                <c:pt idx="3461">
                  <c:v>0.29493000000000003</c:v>
                </c:pt>
                <c:pt idx="3462">
                  <c:v>0.19941900000000001</c:v>
                </c:pt>
                <c:pt idx="3463">
                  <c:v>0.41982900000000001</c:v>
                </c:pt>
                <c:pt idx="3464">
                  <c:v>0.71055999999999997</c:v>
                </c:pt>
                <c:pt idx="3465">
                  <c:v>0.43557200000000001</c:v>
                </c:pt>
                <c:pt idx="3466">
                  <c:v>1.3434520000000001</c:v>
                </c:pt>
                <c:pt idx="3467">
                  <c:v>6.1295000000000002E-2</c:v>
                </c:pt>
                <c:pt idx="3468">
                  <c:v>0.30437599999999998</c:v>
                </c:pt>
                <c:pt idx="3469">
                  <c:v>0.202567</c:v>
                </c:pt>
                <c:pt idx="3470">
                  <c:v>8.4176000000000001E-2</c:v>
                </c:pt>
                <c:pt idx="3471">
                  <c:v>8.5014999999999993E-2</c:v>
                </c:pt>
                <c:pt idx="3472">
                  <c:v>4.3872000000000001E-2</c:v>
                </c:pt>
                <c:pt idx="3473">
                  <c:v>5.2269000000000003E-2</c:v>
                </c:pt>
                <c:pt idx="3474">
                  <c:v>0.70741100000000001</c:v>
                </c:pt>
                <c:pt idx="3475">
                  <c:v>0.54052900000000004</c:v>
                </c:pt>
                <c:pt idx="3476">
                  <c:v>1.2070069999999999</c:v>
                </c:pt>
                <c:pt idx="3477">
                  <c:v>1.0705629999999999</c:v>
                </c:pt>
                <c:pt idx="3478">
                  <c:v>1.8682369999999999</c:v>
                </c:pt>
                <c:pt idx="3479">
                  <c:v>14.27417</c:v>
                </c:pt>
                <c:pt idx="3480">
                  <c:v>44.39687</c:v>
                </c:pt>
                <c:pt idx="3481">
                  <c:v>20.466640000000002</c:v>
                </c:pt>
                <c:pt idx="3482">
                  <c:v>8.9633409999999998</c:v>
                </c:pt>
                <c:pt idx="3483">
                  <c:v>11.0205</c:v>
                </c:pt>
                <c:pt idx="3484">
                  <c:v>8.1341789999999996</c:v>
                </c:pt>
                <c:pt idx="3485">
                  <c:v>12.17503</c:v>
                </c:pt>
                <c:pt idx="3486">
                  <c:v>3.6525089999999998</c:v>
                </c:pt>
                <c:pt idx="3487">
                  <c:v>20.361689999999999</c:v>
                </c:pt>
                <c:pt idx="3488">
                  <c:v>8.4805379999999992</c:v>
                </c:pt>
                <c:pt idx="3489">
                  <c:v>0.97400200000000003</c:v>
                </c:pt>
                <c:pt idx="3490">
                  <c:v>2.3825270000000001</c:v>
                </c:pt>
                <c:pt idx="3491">
                  <c:v>2.0256729999999998</c:v>
                </c:pt>
                <c:pt idx="3492">
                  <c:v>1.3959299999999999</c:v>
                </c:pt>
                <c:pt idx="3493">
                  <c:v>3.8099449999999999</c:v>
                </c:pt>
                <c:pt idx="3494">
                  <c:v>5.8356170000000001</c:v>
                </c:pt>
                <c:pt idx="3495">
                  <c:v>1.54287</c:v>
                </c:pt>
                <c:pt idx="3496">
                  <c:v>3.1382189999999999</c:v>
                </c:pt>
                <c:pt idx="3497">
                  <c:v>2.896817</c:v>
                </c:pt>
                <c:pt idx="3498">
                  <c:v>3.7364739999999999</c:v>
                </c:pt>
                <c:pt idx="3499">
                  <c:v>13.01469</c:v>
                </c:pt>
                <c:pt idx="3500">
                  <c:v>5.3003359999999997</c:v>
                </c:pt>
                <c:pt idx="3501">
                  <c:v>8.9318530000000003</c:v>
                </c:pt>
                <c:pt idx="3502">
                  <c:v>25.29467</c:v>
                </c:pt>
                <c:pt idx="3503">
                  <c:v>13.11964</c:v>
                </c:pt>
                <c:pt idx="3504">
                  <c:v>15.323740000000001</c:v>
                </c:pt>
                <c:pt idx="3505">
                  <c:v>37.994489999999999</c:v>
                </c:pt>
                <c:pt idx="3506">
                  <c:v>45.446449999999999</c:v>
                </c:pt>
                <c:pt idx="3507">
                  <c:v>18.682369999999999</c:v>
                </c:pt>
                <c:pt idx="3508">
                  <c:v>15.11383</c:v>
                </c:pt>
                <c:pt idx="3509">
                  <c:v>10.495710000000001</c:v>
                </c:pt>
                <c:pt idx="3510">
                  <c:v>33.166460000000001</c:v>
                </c:pt>
                <c:pt idx="3511">
                  <c:v>13.434519999999999</c:v>
                </c:pt>
                <c:pt idx="3512">
                  <c:v>12.27999</c:v>
                </c:pt>
                <c:pt idx="3513">
                  <c:v>3.7679619999999998</c:v>
                </c:pt>
                <c:pt idx="3514">
                  <c:v>2.6029369999999998</c:v>
                </c:pt>
                <c:pt idx="3515">
                  <c:v>2.8863219999999998</c:v>
                </c:pt>
                <c:pt idx="3516">
                  <c:v>7.3470000000000004</c:v>
                </c:pt>
                <c:pt idx="3517">
                  <c:v>4.1563030000000003</c:v>
                </c:pt>
                <c:pt idx="3518">
                  <c:v>4.1563030000000003</c:v>
                </c:pt>
                <c:pt idx="3519">
                  <c:v>9.3411860000000004</c:v>
                </c:pt>
                <c:pt idx="3520">
                  <c:v>10.600669999999999</c:v>
                </c:pt>
                <c:pt idx="3521">
                  <c:v>12.90973</c:v>
                </c:pt>
                <c:pt idx="3522">
                  <c:v>2.340544</c:v>
                </c:pt>
                <c:pt idx="3523">
                  <c:v>12.80477</c:v>
                </c:pt>
                <c:pt idx="3524">
                  <c:v>10.91554</c:v>
                </c:pt>
                <c:pt idx="3525">
                  <c:v>2.0781520000000002</c:v>
                </c:pt>
                <c:pt idx="3526">
                  <c:v>2.6449199999999999</c:v>
                </c:pt>
                <c:pt idx="3527">
                  <c:v>3.0017740000000002</c:v>
                </c:pt>
                <c:pt idx="3528">
                  <c:v>0.928871</c:v>
                </c:pt>
                <c:pt idx="3529">
                  <c:v>0.30017700000000003</c:v>
                </c:pt>
                <c:pt idx="3530">
                  <c:v>1.0600670000000001</c:v>
                </c:pt>
                <c:pt idx="3531">
                  <c:v>0.23510400000000001</c:v>
                </c:pt>
                <c:pt idx="3532">
                  <c:v>0.32011899999999999</c:v>
                </c:pt>
                <c:pt idx="3533">
                  <c:v>0.28023599999999999</c:v>
                </c:pt>
                <c:pt idx="3534">
                  <c:v>0.15218799999999999</c:v>
                </c:pt>
                <c:pt idx="3535">
                  <c:v>0.74729500000000004</c:v>
                </c:pt>
                <c:pt idx="3536">
                  <c:v>0.32641700000000001</c:v>
                </c:pt>
                <c:pt idx="3537">
                  <c:v>6.2344999999999998E-2</c:v>
                </c:pt>
                <c:pt idx="3538">
                  <c:v>6.3919000000000004E-2</c:v>
                </c:pt>
                <c:pt idx="3539">
                  <c:v>4.7021E-2</c:v>
                </c:pt>
                <c:pt idx="3540">
                  <c:v>3.1171999999999998E-2</c:v>
                </c:pt>
                <c:pt idx="3541">
                  <c:v>2.0677000000000001E-2</c:v>
                </c:pt>
                <c:pt idx="3542">
                  <c:v>1.5744000000000001E-2</c:v>
                </c:pt>
                <c:pt idx="3543">
                  <c:v>3.2539999999999999E-3</c:v>
                </c:pt>
                <c:pt idx="3544">
                  <c:v>5.2480000000000001E-3</c:v>
                </c:pt>
                <c:pt idx="3545">
                  <c:v>0.63918900000000001</c:v>
                </c:pt>
                <c:pt idx="3546">
                  <c:v>0.27498800000000001</c:v>
                </c:pt>
                <c:pt idx="3547">
                  <c:v>0.21621199999999999</c:v>
                </c:pt>
                <c:pt idx="3548">
                  <c:v>0.36315199999999997</c:v>
                </c:pt>
                <c:pt idx="3549">
                  <c:v>0.26868999999999998</c:v>
                </c:pt>
                <c:pt idx="3550">
                  <c:v>4.1982999999999999E-2</c:v>
                </c:pt>
                <c:pt idx="3551">
                  <c:v>4.6600999999999997E-2</c:v>
                </c:pt>
                <c:pt idx="3552">
                  <c:v>1.9732E-2</c:v>
                </c:pt>
                <c:pt idx="3553">
                  <c:v>3.9884000000000003E-2</c:v>
                </c:pt>
                <c:pt idx="3554">
                  <c:v>2.0362000000000002E-2</c:v>
                </c:pt>
                <c:pt idx="3555">
                  <c:v>3.4640000000000001E-3</c:v>
                </c:pt>
                <c:pt idx="3556">
                  <c:v>4.0930000000000003E-3</c:v>
                </c:pt>
                <c:pt idx="3557">
                  <c:v>2.6238999999999998E-2</c:v>
                </c:pt>
                <c:pt idx="3558">
                  <c:v>3.7780000000000001E-3</c:v>
                </c:pt>
                <c:pt idx="3559">
                  <c:v>5.0379999999999999E-3</c:v>
                </c:pt>
                <c:pt idx="3560">
                  <c:v>1.9206999999999998E-2</c:v>
                </c:pt>
                <c:pt idx="3561">
                  <c:v>4.4079999999999996E-3</c:v>
                </c:pt>
                <c:pt idx="3562">
                  <c:v>6.1919999999999996E-3</c:v>
                </c:pt>
                <c:pt idx="3563">
                  <c:v>1.0499999999999999E-3</c:v>
                </c:pt>
                <c:pt idx="3564">
                  <c:v>1.469E-3</c:v>
                </c:pt>
                <c:pt idx="3565">
                  <c:v>7.3470000000000002E-3</c:v>
                </c:pt>
                <c:pt idx="3566">
                  <c:v>4.1980000000000003E-3</c:v>
                </c:pt>
                <c:pt idx="3567">
                  <c:v>3.1489999999999999E-3</c:v>
                </c:pt>
                <c:pt idx="3568">
                  <c:v>3.0439999999999998E-3</c:v>
                </c:pt>
                <c:pt idx="3569">
                  <c:v>4.0930000000000003E-3</c:v>
                </c:pt>
                <c:pt idx="3570">
                  <c:v>6.0879999999999997E-3</c:v>
                </c:pt>
                <c:pt idx="3571">
                  <c:v>0.208865</c:v>
                </c:pt>
                <c:pt idx="3572">
                  <c:v>0.14799000000000001</c:v>
                </c:pt>
                <c:pt idx="3573">
                  <c:v>0.19207199999999999</c:v>
                </c:pt>
                <c:pt idx="3574">
                  <c:v>0.25504599999999999</c:v>
                </c:pt>
                <c:pt idx="3575">
                  <c:v>8.0082E-2</c:v>
                </c:pt>
                <c:pt idx="3576">
                  <c:v>5.2687999999999999E-2</c:v>
                </c:pt>
                <c:pt idx="3577">
                  <c:v>0.15953500000000001</c:v>
                </c:pt>
                <c:pt idx="3578">
                  <c:v>0.12175</c:v>
                </c:pt>
                <c:pt idx="3579">
                  <c:v>0.39988699999999999</c:v>
                </c:pt>
                <c:pt idx="3580">
                  <c:v>0.54472799999999999</c:v>
                </c:pt>
                <c:pt idx="3581">
                  <c:v>0.265542</c:v>
                </c:pt>
                <c:pt idx="3582">
                  <c:v>0.27288899999999999</c:v>
                </c:pt>
                <c:pt idx="3583">
                  <c:v>0.38414300000000001</c:v>
                </c:pt>
                <c:pt idx="3584">
                  <c:v>0.59195799999999998</c:v>
                </c:pt>
                <c:pt idx="3585">
                  <c:v>0.58461099999999999</c:v>
                </c:pt>
                <c:pt idx="3586">
                  <c:v>0.47020800000000001</c:v>
                </c:pt>
                <c:pt idx="3587">
                  <c:v>0.88898699999999997</c:v>
                </c:pt>
                <c:pt idx="3588">
                  <c:v>0.59405699999999995</c:v>
                </c:pt>
                <c:pt idx="3589">
                  <c:v>0.201518</c:v>
                </c:pt>
                <c:pt idx="3590">
                  <c:v>0.38729200000000003</c:v>
                </c:pt>
                <c:pt idx="3591">
                  <c:v>0.13119600000000001</c:v>
                </c:pt>
                <c:pt idx="3592">
                  <c:v>0.13644400000000001</c:v>
                </c:pt>
                <c:pt idx="3593">
                  <c:v>8.1341999999999998E-2</c:v>
                </c:pt>
                <c:pt idx="3594">
                  <c:v>3.4111000000000002E-2</c:v>
                </c:pt>
                <c:pt idx="3595">
                  <c:v>1.2805E-2</c:v>
                </c:pt>
                <c:pt idx="3596">
                  <c:v>8.3755999999999997E-2</c:v>
                </c:pt>
                <c:pt idx="3597">
                  <c:v>4.8070000000000002E-2</c:v>
                </c:pt>
                <c:pt idx="3598">
                  <c:v>1.7527999999999998E-2</c:v>
                </c:pt>
                <c:pt idx="3599">
                  <c:v>2.2145959999999998</c:v>
                </c:pt>
                <c:pt idx="3600">
                  <c:v>2.0256729999999998</c:v>
                </c:pt>
                <c:pt idx="3601">
                  <c:v>0.69481599999999999</c:v>
                </c:pt>
                <c:pt idx="3602">
                  <c:v>0.63604000000000005</c:v>
                </c:pt>
                <c:pt idx="3603">
                  <c:v>1.8367500000000001</c:v>
                </c:pt>
                <c:pt idx="3604">
                  <c:v>3.8624230000000002</c:v>
                </c:pt>
                <c:pt idx="3605">
                  <c:v>5.7097000000000002E-2</c:v>
                </c:pt>
                <c:pt idx="3606">
                  <c:v>0.132246</c:v>
                </c:pt>
                <c:pt idx="3607">
                  <c:v>0.35160599999999997</c:v>
                </c:pt>
                <c:pt idx="3608">
                  <c:v>0.53318200000000004</c:v>
                </c:pt>
                <c:pt idx="3609">
                  <c:v>0.16583200000000001</c:v>
                </c:pt>
                <c:pt idx="3610">
                  <c:v>4.9015000000000003E-2</c:v>
                </c:pt>
                <c:pt idx="3611">
                  <c:v>6.1714999999999999E-2</c:v>
                </c:pt>
                <c:pt idx="3612">
                  <c:v>0.208865</c:v>
                </c:pt>
                <c:pt idx="3613">
                  <c:v>0.30437599999999998</c:v>
                </c:pt>
                <c:pt idx="3614">
                  <c:v>0.67382500000000001</c:v>
                </c:pt>
                <c:pt idx="3615">
                  <c:v>0.29073100000000002</c:v>
                </c:pt>
                <c:pt idx="3616">
                  <c:v>0.132246</c:v>
                </c:pt>
                <c:pt idx="3617">
                  <c:v>0.43662200000000001</c:v>
                </c:pt>
                <c:pt idx="3618">
                  <c:v>0.28023599999999999</c:v>
                </c:pt>
                <c:pt idx="3619">
                  <c:v>0.70846100000000001</c:v>
                </c:pt>
                <c:pt idx="3620">
                  <c:v>0.90892899999999999</c:v>
                </c:pt>
                <c:pt idx="3621">
                  <c:v>0.75779099999999999</c:v>
                </c:pt>
                <c:pt idx="3622">
                  <c:v>0.74204700000000001</c:v>
                </c:pt>
                <c:pt idx="3623">
                  <c:v>0.17422899999999999</c:v>
                </c:pt>
                <c:pt idx="3624">
                  <c:v>0.189972</c:v>
                </c:pt>
                <c:pt idx="3625">
                  <c:v>0.178427</c:v>
                </c:pt>
                <c:pt idx="3626">
                  <c:v>0.22670699999999999</c:v>
                </c:pt>
                <c:pt idx="3627">
                  <c:v>5.5941999999999999E-2</c:v>
                </c:pt>
                <c:pt idx="3628">
                  <c:v>7.7247999999999997E-2</c:v>
                </c:pt>
                <c:pt idx="3629">
                  <c:v>0.15428700000000001</c:v>
                </c:pt>
                <c:pt idx="3630">
                  <c:v>0.17003099999999999</c:v>
                </c:pt>
                <c:pt idx="3631">
                  <c:v>0.25189699999999998</c:v>
                </c:pt>
                <c:pt idx="3632">
                  <c:v>0.162684</c:v>
                </c:pt>
                <c:pt idx="3633">
                  <c:v>0.54052900000000004</c:v>
                </c:pt>
                <c:pt idx="3634">
                  <c:v>0.24560000000000001</c:v>
                </c:pt>
                <c:pt idx="3635">
                  <c:v>0.13959299999999999</c:v>
                </c:pt>
                <c:pt idx="3636">
                  <c:v>0.11125500000000001</c:v>
                </c:pt>
                <c:pt idx="3637">
                  <c:v>0.28758299999999998</c:v>
                </c:pt>
                <c:pt idx="3638">
                  <c:v>0.32011899999999999</c:v>
                </c:pt>
                <c:pt idx="3639">
                  <c:v>0.102858</c:v>
                </c:pt>
                <c:pt idx="3640">
                  <c:v>0.380994</c:v>
                </c:pt>
                <c:pt idx="3641">
                  <c:v>9.6141000000000004E-2</c:v>
                </c:pt>
                <c:pt idx="3642">
                  <c:v>7.7772999999999995E-2</c:v>
                </c:pt>
                <c:pt idx="3643">
                  <c:v>0.69061799999999995</c:v>
                </c:pt>
                <c:pt idx="3644">
                  <c:v>0.31907000000000002</c:v>
                </c:pt>
                <c:pt idx="3645">
                  <c:v>0.38309399999999999</c:v>
                </c:pt>
                <c:pt idx="3646">
                  <c:v>0.41563</c:v>
                </c:pt>
                <c:pt idx="3647">
                  <c:v>0.64338700000000004</c:v>
                </c:pt>
                <c:pt idx="3648">
                  <c:v>1.081059</c:v>
                </c:pt>
                <c:pt idx="3649">
                  <c:v>1.8472459999999999</c:v>
                </c:pt>
                <c:pt idx="3650">
                  <c:v>3.0542530000000001</c:v>
                </c:pt>
                <c:pt idx="3651">
                  <c:v>1.899724</c:v>
                </c:pt>
                <c:pt idx="3652">
                  <c:v>5.7201649999999997</c:v>
                </c:pt>
                <c:pt idx="3653">
                  <c:v>2.739382</c:v>
                </c:pt>
                <c:pt idx="3654">
                  <c:v>6.4863520000000001</c:v>
                </c:pt>
                <c:pt idx="3655">
                  <c:v>3.5160640000000001</c:v>
                </c:pt>
                <c:pt idx="3656">
                  <c:v>2.3090570000000001</c:v>
                </c:pt>
                <c:pt idx="3657">
                  <c:v>4.1877899999999997</c:v>
                </c:pt>
                <c:pt idx="3658">
                  <c:v>5.4472759999999996</c:v>
                </c:pt>
                <c:pt idx="3659">
                  <c:v>2.9073129999999998</c:v>
                </c:pt>
                <c:pt idx="3660">
                  <c:v>2.3090570000000001</c:v>
                </c:pt>
                <c:pt idx="3661">
                  <c:v>1.7212970000000001</c:v>
                </c:pt>
                <c:pt idx="3662">
                  <c:v>1.637332</c:v>
                </c:pt>
                <c:pt idx="3663">
                  <c:v>3.0647489999999999</c:v>
                </c:pt>
                <c:pt idx="3664">
                  <c:v>2.3930229999999999</c:v>
                </c:pt>
                <c:pt idx="3665">
                  <c:v>0.25924399999999997</c:v>
                </c:pt>
                <c:pt idx="3666">
                  <c:v>1.238494</c:v>
                </c:pt>
                <c:pt idx="3667">
                  <c:v>1.742289</c:v>
                </c:pt>
                <c:pt idx="3668">
                  <c:v>3.8099449999999999</c:v>
                </c:pt>
                <c:pt idx="3669">
                  <c:v>1.5848530000000001</c:v>
                </c:pt>
                <c:pt idx="3670">
                  <c:v>2.435006</c:v>
                </c:pt>
                <c:pt idx="3671">
                  <c:v>1.9207160000000001</c:v>
                </c:pt>
                <c:pt idx="3672">
                  <c:v>1.637332</c:v>
                </c:pt>
                <c:pt idx="3673">
                  <c:v>1.521879</c:v>
                </c:pt>
                <c:pt idx="3674">
                  <c:v>1.9312119999999999</c:v>
                </c:pt>
                <c:pt idx="3675">
                  <c:v>8.5330159999999999</c:v>
                </c:pt>
                <c:pt idx="3676">
                  <c:v>10.2963</c:v>
                </c:pt>
                <c:pt idx="3677">
                  <c:v>2.0890000000000001E-3</c:v>
                </c:pt>
                <c:pt idx="3678">
                  <c:v>2.4039999999999999E-3</c:v>
                </c:pt>
                <c:pt idx="3679">
                  <c:v>1.5740000000000001E-3</c:v>
                </c:pt>
                <c:pt idx="3680">
                  <c:v>1.5187000000000001E-2</c:v>
                </c:pt>
                <c:pt idx="3681">
                  <c:v>7.0949999999999997E-3</c:v>
                </c:pt>
                <c:pt idx="3682">
                  <c:v>6.6020000000000002E-3</c:v>
                </c:pt>
                <c:pt idx="3683">
                  <c:v>3.7680000000000001E-3</c:v>
                </c:pt>
                <c:pt idx="3684">
                  <c:v>5.4999999999999997E-3</c:v>
                </c:pt>
                <c:pt idx="3685">
                  <c:v>3.3599999999999998E-4</c:v>
                </c:pt>
                <c:pt idx="3686">
                  <c:v>2.9399999999999999E-4</c:v>
                </c:pt>
                <c:pt idx="3687">
                  <c:v>1.47E-4</c:v>
                </c:pt>
                <c:pt idx="3688">
                  <c:v>1.26E-4</c:v>
                </c:pt>
                <c:pt idx="3689">
                  <c:v>4.4079999999999996E-3</c:v>
                </c:pt>
                <c:pt idx="3690">
                  <c:v>5.7700000000000004E-4</c:v>
                </c:pt>
                <c:pt idx="3691">
                  <c:v>2.519E-3</c:v>
                </c:pt>
                <c:pt idx="3692">
                  <c:v>2.4039999999999999E-3</c:v>
                </c:pt>
                <c:pt idx="3693">
                  <c:v>6.3E-5</c:v>
                </c:pt>
                <c:pt idx="3694">
                  <c:v>2.9555999999999999E-2</c:v>
                </c:pt>
                <c:pt idx="3695">
                  <c:v>8.5917999999999994E-2</c:v>
                </c:pt>
                <c:pt idx="3696">
                  <c:v>5.3548999999999999E-2</c:v>
                </c:pt>
                <c:pt idx="3697">
                  <c:v>7.1269999999999997E-3</c:v>
                </c:pt>
                <c:pt idx="3698">
                  <c:v>2.7918999999999999E-2</c:v>
                </c:pt>
                <c:pt idx="3699">
                  <c:v>1.3172E-2</c:v>
                </c:pt>
                <c:pt idx="3700">
                  <c:v>6.339E-3</c:v>
                </c:pt>
                <c:pt idx="3701">
                  <c:v>4.5435999999999997E-2</c:v>
                </c:pt>
                <c:pt idx="3702">
                  <c:v>2.8653000000000001E-2</c:v>
                </c:pt>
                <c:pt idx="3703">
                  <c:v>9.3400000000000004E-4</c:v>
                </c:pt>
                <c:pt idx="3704">
                  <c:v>1.2279999999999999E-3</c:v>
                </c:pt>
                <c:pt idx="3705">
                  <c:v>4.0090000000000004E-3</c:v>
                </c:pt>
                <c:pt idx="3706">
                  <c:v>2.7599999999999999E-3</c:v>
                </c:pt>
                <c:pt idx="3707">
                  <c:v>8.61E-4</c:v>
                </c:pt>
                <c:pt idx="3708">
                  <c:v>7.8700000000000005E-4</c:v>
                </c:pt>
                <c:pt idx="3709">
                  <c:v>4.7860000000000003E-3</c:v>
                </c:pt>
                <c:pt idx="3710">
                  <c:v>4.2719999999999998E-3</c:v>
                </c:pt>
                <c:pt idx="3711">
                  <c:v>5.594E-3</c:v>
                </c:pt>
                <c:pt idx="3712">
                  <c:v>6.1919999999999996E-3</c:v>
                </c:pt>
                <c:pt idx="3713">
                  <c:v>5.5209999999999999E-3</c:v>
                </c:pt>
                <c:pt idx="3714">
                  <c:v>3.3660000000000002E-2</c:v>
                </c:pt>
                <c:pt idx="3715">
                  <c:v>7.7140000000000004E-3</c:v>
                </c:pt>
                <c:pt idx="3716">
                  <c:v>1.3728000000000001E-2</c:v>
                </c:pt>
                <c:pt idx="3717">
                  <c:v>7.6599999999999997E-4</c:v>
                </c:pt>
                <c:pt idx="3718">
                  <c:v>3.0405999999999999E-2</c:v>
                </c:pt>
                <c:pt idx="3719">
                  <c:v>2.1410000000000001E-3</c:v>
                </c:pt>
                <c:pt idx="3720">
                  <c:v>1.5430000000000001E-3</c:v>
                </c:pt>
                <c:pt idx="3721">
                  <c:v>3.9653000000000001E-2</c:v>
                </c:pt>
                <c:pt idx="3722">
                  <c:v>1.47E-4</c:v>
                </c:pt>
                <c:pt idx="3723">
                  <c:v>0.104821</c:v>
                </c:pt>
                <c:pt idx="3724">
                  <c:v>6.1473E-2</c:v>
                </c:pt>
                <c:pt idx="3725">
                  <c:v>2.9283E-2</c:v>
                </c:pt>
                <c:pt idx="3726">
                  <c:v>2.2880999999999999E-2</c:v>
                </c:pt>
                <c:pt idx="3727">
                  <c:v>5.7695000000000003E-2</c:v>
                </c:pt>
                <c:pt idx="3728">
                  <c:v>0.113732</c:v>
                </c:pt>
                <c:pt idx="3729">
                  <c:v>2.1485000000000001E-2</c:v>
                </c:pt>
                <c:pt idx="3730">
                  <c:v>1.6789999999999999E-3</c:v>
                </c:pt>
                <c:pt idx="3731">
                  <c:v>5.1400000000000003E-4</c:v>
                </c:pt>
                <c:pt idx="3732">
                  <c:v>1.9963000000000002E-2</c:v>
                </c:pt>
                <c:pt idx="3733">
                  <c:v>1.4253E-2</c:v>
                </c:pt>
                <c:pt idx="3734">
                  <c:v>3.6740000000000002E-3</c:v>
                </c:pt>
                <c:pt idx="3735">
                  <c:v>1.343E-3</c:v>
                </c:pt>
                <c:pt idx="3736">
                  <c:v>1.784E-3</c:v>
                </c:pt>
                <c:pt idx="3737">
                  <c:v>7.4310000000000001E-3</c:v>
                </c:pt>
                <c:pt idx="3738">
                  <c:v>3.2673000000000001E-2</c:v>
                </c:pt>
                <c:pt idx="3739">
                  <c:v>2.9041999999999998E-2</c:v>
                </c:pt>
                <c:pt idx="3740">
                  <c:v>3.8351000000000003E-2</c:v>
                </c:pt>
                <c:pt idx="3741">
                  <c:v>5.6569999999999997E-3</c:v>
                </c:pt>
                <c:pt idx="3742">
                  <c:v>2.2870000000000001E-2</c:v>
                </c:pt>
                <c:pt idx="3743">
                  <c:v>2.7592999999999999E-2</c:v>
                </c:pt>
                <c:pt idx="3744">
                  <c:v>1.3769999999999999E-2</c:v>
                </c:pt>
                <c:pt idx="3745">
                  <c:v>8.3999999999999995E-5</c:v>
                </c:pt>
                <c:pt idx="3746">
                  <c:v>2.1619999999999999E-3</c:v>
                </c:pt>
                <c:pt idx="3747">
                  <c:v>3.1700000000000001E-3</c:v>
                </c:pt>
                <c:pt idx="3748">
                  <c:v>0.17349400000000001</c:v>
                </c:pt>
                <c:pt idx="3749">
                  <c:v>8.0617999999999995E-2</c:v>
                </c:pt>
                <c:pt idx="3750">
                  <c:v>3.8476999999999997E-2</c:v>
                </c:pt>
                <c:pt idx="3751">
                  <c:v>0.235513</c:v>
                </c:pt>
                <c:pt idx="3752">
                  <c:v>3.7858000000000003E-2</c:v>
                </c:pt>
                <c:pt idx="3753">
                  <c:v>4.8552999999999999E-2</c:v>
                </c:pt>
                <c:pt idx="3754">
                  <c:v>7.2788000000000005E-2</c:v>
                </c:pt>
                <c:pt idx="3755">
                  <c:v>5.3518000000000003E-2</c:v>
                </c:pt>
                <c:pt idx="3756">
                  <c:v>4.9036000000000003E-2</c:v>
                </c:pt>
                <c:pt idx="3757">
                  <c:v>3.9149000000000003E-2</c:v>
                </c:pt>
                <c:pt idx="3758">
                  <c:v>1.354E-3</c:v>
                </c:pt>
                <c:pt idx="3759">
                  <c:v>2.1000000000000001E-4</c:v>
                </c:pt>
                <c:pt idx="3760">
                  <c:v>1.606E-3</c:v>
                </c:pt>
                <c:pt idx="3761">
                  <c:v>3.7199999999999999E-4</c:v>
                </c:pt>
                <c:pt idx="3762">
                  <c:v>3.8900000000000002E-4</c:v>
                </c:pt>
                <c:pt idx="3763">
                  <c:v>3.7199999999999999E-4</c:v>
                </c:pt>
                <c:pt idx="3764">
                  <c:v>3.1801999999999997E-2</c:v>
                </c:pt>
                <c:pt idx="3765">
                  <c:v>4.0513E-2</c:v>
                </c:pt>
                <c:pt idx="3766">
                  <c:v>1.6372999999999999E-2</c:v>
                </c:pt>
                <c:pt idx="3767">
                  <c:v>1.2489999999999999E-2</c:v>
                </c:pt>
                <c:pt idx="3768">
                  <c:v>5.2690000000000002E-3</c:v>
                </c:pt>
                <c:pt idx="3769">
                  <c:v>8.4489999999999999E-3</c:v>
                </c:pt>
                <c:pt idx="3770">
                  <c:v>4.8000000000000001E-4</c:v>
                </c:pt>
                <c:pt idx="3771">
                  <c:v>5.4699999999999996E-4</c:v>
                </c:pt>
                <c:pt idx="3772">
                  <c:v>1.0600999999999999E-2</c:v>
                </c:pt>
                <c:pt idx="3773">
                  <c:v>4.1770000000000002E-3</c:v>
                </c:pt>
                <c:pt idx="3774">
                  <c:v>5.0689999999999997E-3</c:v>
                </c:pt>
                <c:pt idx="3775">
                  <c:v>5.2059999999999997E-3</c:v>
                </c:pt>
                <c:pt idx="3776">
                  <c:v>3.222E-3</c:v>
                </c:pt>
                <c:pt idx="3777">
                  <c:v>9.4249999999999994E-3</c:v>
                </c:pt>
                <c:pt idx="3778">
                  <c:v>3.6319999999999998E-3</c:v>
                </c:pt>
                <c:pt idx="3779">
                  <c:v>9.6699999999999998E-4</c:v>
                </c:pt>
                <c:pt idx="3780">
                  <c:v>2.3410000000000002E-3</c:v>
                </c:pt>
                <c:pt idx="3781">
                  <c:v>9.77E-4</c:v>
                </c:pt>
                <c:pt idx="3782">
                  <c:v>1.8997E-2</c:v>
                </c:pt>
                <c:pt idx="3783">
                  <c:v>8.1449999999999995E-3</c:v>
                </c:pt>
                <c:pt idx="3784">
                  <c:v>1.0499999999999999E-3</c:v>
                </c:pt>
                <c:pt idx="3785">
                  <c:v>2.9100000000000003E-4</c:v>
                </c:pt>
                <c:pt idx="3786">
                  <c:v>8.0799999999999999E-5</c:v>
                </c:pt>
                <c:pt idx="3787">
                  <c:v>8.1899999999999999E-5</c:v>
                </c:pt>
                <c:pt idx="3788">
                  <c:v>1.2300000000000001E-4</c:v>
                </c:pt>
                <c:pt idx="3789">
                  <c:v>1.4270000000000001E-3</c:v>
                </c:pt>
                <c:pt idx="3790">
                  <c:v>3.107E-3</c:v>
                </c:pt>
                <c:pt idx="3791">
                  <c:v>9.4399999999999996E-4</c:v>
                </c:pt>
                <c:pt idx="3792">
                  <c:v>3.5370000000000002E-3</c:v>
                </c:pt>
                <c:pt idx="3793">
                  <c:v>5.1599999999999997E-4</c:v>
                </c:pt>
                <c:pt idx="3794">
                  <c:v>1.76E-4</c:v>
                </c:pt>
                <c:pt idx="3795">
                  <c:v>1.3960000000000001E-3</c:v>
                </c:pt>
                <c:pt idx="3796">
                  <c:v>4.46E-4</c:v>
                </c:pt>
                <c:pt idx="3797">
                  <c:v>5.77E-5</c:v>
                </c:pt>
                <c:pt idx="3798">
                  <c:v>1.2E-4</c:v>
                </c:pt>
                <c:pt idx="3799">
                  <c:v>4.7130000000000002E-3</c:v>
                </c:pt>
                <c:pt idx="3800">
                  <c:v>3.8000000000000002E-4</c:v>
                </c:pt>
                <c:pt idx="3801">
                  <c:v>5.9900000000000003E-4</c:v>
                </c:pt>
                <c:pt idx="3802">
                  <c:v>6.6099999999999994E-5</c:v>
                </c:pt>
                <c:pt idx="3803">
                  <c:v>3.04E-5</c:v>
                </c:pt>
                <c:pt idx="3804">
                  <c:v>2.94E-5</c:v>
                </c:pt>
                <c:pt idx="3805">
                  <c:v>8.6100000000000006E-5</c:v>
                </c:pt>
                <c:pt idx="3806">
                  <c:v>1.8799999999999999E-4</c:v>
                </c:pt>
                <c:pt idx="3807">
                  <c:v>6.9300000000000004E-5</c:v>
                </c:pt>
                <c:pt idx="3808">
                  <c:v>1.47E-5</c:v>
                </c:pt>
                <c:pt idx="3809">
                  <c:v>2.0149999999999999E-3</c:v>
                </c:pt>
                <c:pt idx="3810">
                  <c:v>4.8000000000000001E-4</c:v>
                </c:pt>
                <c:pt idx="3811">
                  <c:v>5.4199999999999995E-4</c:v>
                </c:pt>
                <c:pt idx="3812">
                  <c:v>2.036E-3</c:v>
                </c:pt>
                <c:pt idx="3813">
                  <c:v>2.8549999999999999E-3</c:v>
                </c:pt>
                <c:pt idx="3814">
                  <c:v>9.6699999999999998E-4</c:v>
                </c:pt>
                <c:pt idx="3815">
                  <c:v>2.0149999999999999E-3</c:v>
                </c:pt>
                <c:pt idx="3816">
                  <c:v>1.003E-3</c:v>
                </c:pt>
                <c:pt idx="3817">
                  <c:v>1.5429E-2</c:v>
                </c:pt>
                <c:pt idx="3818">
                  <c:v>1.6372999999999999E-2</c:v>
                </c:pt>
                <c:pt idx="3819">
                  <c:v>5.6470000000000001E-3</c:v>
                </c:pt>
                <c:pt idx="3820">
                  <c:v>4.7229999999999998E-3</c:v>
                </c:pt>
                <c:pt idx="3821">
                  <c:v>1.0191E-2</c:v>
                </c:pt>
                <c:pt idx="3822">
                  <c:v>1.2489999999999999E-2</c:v>
                </c:pt>
                <c:pt idx="3823">
                  <c:v>4.2820000000000002E-3</c:v>
                </c:pt>
                <c:pt idx="3824">
                  <c:v>6.8329999999999997E-3</c:v>
                </c:pt>
                <c:pt idx="3825">
                  <c:v>8.1969999999999994E-3</c:v>
                </c:pt>
                <c:pt idx="3826">
                  <c:v>2.1516E-2</c:v>
                </c:pt>
                <c:pt idx="3827">
                  <c:v>7.064E-3</c:v>
                </c:pt>
                <c:pt idx="3828">
                  <c:v>1.2805E-2</c:v>
                </c:pt>
                <c:pt idx="3829">
                  <c:v>4.0619999999999996E-3</c:v>
                </c:pt>
                <c:pt idx="3830">
                  <c:v>1.6372999999999999E-2</c:v>
                </c:pt>
                <c:pt idx="3831">
                  <c:v>2.2360000000000001E-3</c:v>
                </c:pt>
                <c:pt idx="3832">
                  <c:v>2.7499999999999998E-3</c:v>
                </c:pt>
                <c:pt idx="3833">
                  <c:v>6.7279999999999996E-3</c:v>
                </c:pt>
                <c:pt idx="3834">
                  <c:v>6.77E-3</c:v>
                </c:pt>
                <c:pt idx="3835">
                  <c:v>7.4830000000000001E-3</c:v>
                </c:pt>
                <c:pt idx="3836">
                  <c:v>1.364E-3</c:v>
                </c:pt>
                <c:pt idx="3837">
                  <c:v>4.9299999999999995E-4</c:v>
                </c:pt>
                <c:pt idx="3838">
                  <c:v>6.9399999999999996E-4</c:v>
                </c:pt>
                <c:pt idx="3839">
                  <c:v>1.07E-4</c:v>
                </c:pt>
                <c:pt idx="3840">
                  <c:v>7.9799999999999999E-4</c:v>
                </c:pt>
                <c:pt idx="3841">
                  <c:v>8.7100000000000003E-5</c:v>
                </c:pt>
                <c:pt idx="3842">
                  <c:v>2.62E-5</c:v>
                </c:pt>
                <c:pt idx="3843">
                  <c:v>4.9299999999999999E-5</c:v>
                </c:pt>
                <c:pt idx="3844">
                  <c:v>1.36E-5</c:v>
                </c:pt>
                <c:pt idx="3845">
                  <c:v>1.2400000000000001E-4</c:v>
                </c:pt>
                <c:pt idx="3846">
                  <c:v>1.2400000000000001E-4</c:v>
                </c:pt>
                <c:pt idx="3847">
                  <c:v>1.47E-5</c:v>
                </c:pt>
                <c:pt idx="3848">
                  <c:v>2.73E-5</c:v>
                </c:pt>
                <c:pt idx="3849">
                  <c:v>6.2969999999999996E-3</c:v>
                </c:pt>
                <c:pt idx="3850">
                  <c:v>1.5219E-2</c:v>
                </c:pt>
                <c:pt idx="3851">
                  <c:v>1.1021E-2</c:v>
                </c:pt>
                <c:pt idx="3852">
                  <c:v>2.9597999999999999E-2</c:v>
                </c:pt>
                <c:pt idx="3853">
                  <c:v>1.5219999999999999E-3</c:v>
                </c:pt>
                <c:pt idx="3854">
                  <c:v>2.215E-3</c:v>
                </c:pt>
                <c:pt idx="3855">
                  <c:v>7.0219999999999996E-3</c:v>
                </c:pt>
                <c:pt idx="3856">
                  <c:v>2.2880000000000001E-3</c:v>
                </c:pt>
                <c:pt idx="3857">
                  <c:v>3.0543000000000001E-2</c:v>
                </c:pt>
                <c:pt idx="3858">
                  <c:v>3.9253999999999997E-2</c:v>
                </c:pt>
                <c:pt idx="3859">
                  <c:v>5.4262999999999999E-2</c:v>
                </c:pt>
                <c:pt idx="3860">
                  <c:v>6.8747000000000003E-2</c:v>
                </c:pt>
                <c:pt idx="3861">
                  <c:v>4.555E-3</c:v>
                </c:pt>
                <c:pt idx="3862">
                  <c:v>7.1159999999999999E-3</c:v>
                </c:pt>
                <c:pt idx="3863">
                  <c:v>2.225E-3</c:v>
                </c:pt>
                <c:pt idx="3864">
                  <c:v>3.075E-3</c:v>
                </c:pt>
                <c:pt idx="3865">
                  <c:v>1.7003000000000001E-2</c:v>
                </c:pt>
                <c:pt idx="3866">
                  <c:v>2.6449E-2</c:v>
                </c:pt>
                <c:pt idx="3867">
                  <c:v>7.8720000000000005E-3</c:v>
                </c:pt>
                <c:pt idx="3868">
                  <c:v>1.1755E-2</c:v>
                </c:pt>
                <c:pt idx="3869">
                  <c:v>6.581E-3</c:v>
                </c:pt>
                <c:pt idx="3870">
                  <c:v>1.4484E-2</c:v>
                </c:pt>
                <c:pt idx="3871">
                  <c:v>1.3854E-2</c:v>
                </c:pt>
                <c:pt idx="3872">
                  <c:v>3.5999999999999997E-2</c:v>
                </c:pt>
                <c:pt idx="3873">
                  <c:v>7.9349999999999993E-3</c:v>
                </c:pt>
                <c:pt idx="3874">
                  <c:v>6.0979999999999999E-2</c:v>
                </c:pt>
                <c:pt idx="3875">
                  <c:v>1.0064999999999999E-2</c:v>
                </c:pt>
                <c:pt idx="3876">
                  <c:v>3.4006000000000002E-2</c:v>
                </c:pt>
                <c:pt idx="3877">
                  <c:v>8.5649999999999997E-3</c:v>
                </c:pt>
                <c:pt idx="3878">
                  <c:v>8.8164000000000006E-2</c:v>
                </c:pt>
                <c:pt idx="3879">
                  <c:v>6.2969999999999996E-3</c:v>
                </c:pt>
                <c:pt idx="3880">
                  <c:v>1.312E-2</c:v>
                </c:pt>
                <c:pt idx="3881">
                  <c:v>8.8159999999999992E-3</c:v>
                </c:pt>
                <c:pt idx="3882">
                  <c:v>8.2916000000000004E-2</c:v>
                </c:pt>
                <c:pt idx="3883">
                  <c:v>0.12594900000000001</c:v>
                </c:pt>
                <c:pt idx="3884">
                  <c:v>5.3527999999999999E-2</c:v>
                </c:pt>
                <c:pt idx="3885">
                  <c:v>0.115453</c:v>
                </c:pt>
                <c:pt idx="3886">
                  <c:v>6.1925000000000001E-2</c:v>
                </c:pt>
                <c:pt idx="3887">
                  <c:v>9.5510000000000005E-3</c:v>
                </c:pt>
                <c:pt idx="3888">
                  <c:v>5.5627000000000003E-2</c:v>
                </c:pt>
                <c:pt idx="3889">
                  <c:v>0.53528100000000001</c:v>
                </c:pt>
                <c:pt idx="3890">
                  <c:v>0.80817000000000005</c:v>
                </c:pt>
                <c:pt idx="3891">
                  <c:v>1.5113829999999999</c:v>
                </c:pt>
                <c:pt idx="3892">
                  <c:v>0.241401</c:v>
                </c:pt>
                <c:pt idx="3893">
                  <c:v>0.84385500000000002</c:v>
                </c:pt>
                <c:pt idx="3894">
                  <c:v>2.2565789999999999</c:v>
                </c:pt>
                <c:pt idx="3895">
                  <c:v>1.9731939999999999</c:v>
                </c:pt>
                <c:pt idx="3896">
                  <c:v>1.4694</c:v>
                </c:pt>
                <c:pt idx="3897">
                  <c:v>1.406426</c:v>
                </c:pt>
                <c:pt idx="3898">
                  <c:v>0.48280299999999998</c:v>
                </c:pt>
                <c:pt idx="3899">
                  <c:v>0.98659699999999995</c:v>
                </c:pt>
                <c:pt idx="3900">
                  <c:v>0.25189699999999998</c:v>
                </c:pt>
                <c:pt idx="3901">
                  <c:v>0.10495699999999999</c:v>
                </c:pt>
                <c:pt idx="3902">
                  <c:v>0.26239299999999999</c:v>
                </c:pt>
                <c:pt idx="3903">
                  <c:v>8.2916000000000004E-2</c:v>
                </c:pt>
                <c:pt idx="3904">
                  <c:v>0.18892300000000001</c:v>
                </c:pt>
                <c:pt idx="3905">
                  <c:v>0.10495699999999999</c:v>
                </c:pt>
                <c:pt idx="3906">
                  <c:v>4.6181E-2</c:v>
                </c:pt>
                <c:pt idx="3907">
                  <c:v>9.4461000000000003E-2</c:v>
                </c:pt>
                <c:pt idx="3908">
                  <c:v>1.2595E-2</c:v>
                </c:pt>
                <c:pt idx="3909">
                  <c:v>6.0879999999999997E-3</c:v>
                </c:pt>
                <c:pt idx="3910">
                  <c:v>1.5740000000000001E-3</c:v>
                </c:pt>
                <c:pt idx="3911">
                  <c:v>2.1000000000000001E-4</c:v>
                </c:pt>
                <c:pt idx="3912">
                  <c:v>2.1000000000000001E-4</c:v>
                </c:pt>
                <c:pt idx="3913">
                  <c:v>1.6789999999999999E-3</c:v>
                </c:pt>
                <c:pt idx="3914">
                  <c:v>6.3000000000000003E-4</c:v>
                </c:pt>
                <c:pt idx="3915">
                  <c:v>0.25189699999999998</c:v>
                </c:pt>
                <c:pt idx="3916">
                  <c:v>0.41982900000000001</c:v>
                </c:pt>
                <c:pt idx="3917">
                  <c:v>0.29387999999999997</c:v>
                </c:pt>
                <c:pt idx="3918">
                  <c:v>0.37784600000000002</c:v>
                </c:pt>
                <c:pt idx="3919">
                  <c:v>0.230906</c:v>
                </c:pt>
                <c:pt idx="3920">
                  <c:v>0.43032399999999998</c:v>
                </c:pt>
                <c:pt idx="3921">
                  <c:v>1.123041</c:v>
                </c:pt>
                <c:pt idx="3922">
                  <c:v>0.78717899999999996</c:v>
                </c:pt>
                <c:pt idx="3923">
                  <c:v>0.51429000000000002</c:v>
                </c:pt>
                <c:pt idx="3924">
                  <c:v>0.93411900000000003</c:v>
                </c:pt>
                <c:pt idx="3925">
                  <c:v>1.773776</c:v>
                </c:pt>
                <c:pt idx="3926">
                  <c:v>3.0017740000000002</c:v>
                </c:pt>
                <c:pt idx="3927">
                  <c:v>4.7650550000000003</c:v>
                </c:pt>
                <c:pt idx="3928">
                  <c:v>6.1294969999999998</c:v>
                </c:pt>
                <c:pt idx="3929">
                  <c:v>6.5913089999999999</c:v>
                </c:pt>
                <c:pt idx="3930">
                  <c:v>5.8146259999999996</c:v>
                </c:pt>
                <c:pt idx="3931">
                  <c:v>6.5283350000000002</c:v>
                </c:pt>
                <c:pt idx="3932">
                  <c:v>5.2478569999999998</c:v>
                </c:pt>
                <c:pt idx="3933">
                  <c:v>10.600669999999999</c:v>
                </c:pt>
                <c:pt idx="3934">
                  <c:v>6.4233779999999996</c:v>
                </c:pt>
                <c:pt idx="3935">
                  <c:v>0.14693999999999999</c:v>
                </c:pt>
                <c:pt idx="3936">
                  <c:v>2.1201000000000001E-2</c:v>
                </c:pt>
                <c:pt idx="3937">
                  <c:v>1.6163E-2</c:v>
                </c:pt>
                <c:pt idx="3938">
                  <c:v>6.7487000000000005E-2</c:v>
                </c:pt>
                <c:pt idx="3939">
                  <c:v>5.6992000000000001E-2</c:v>
                </c:pt>
                <c:pt idx="3940">
                  <c:v>2.4035000000000001E-2</c:v>
                </c:pt>
                <c:pt idx="3941">
                  <c:v>2.1516E-2</c:v>
                </c:pt>
                <c:pt idx="3942">
                  <c:v>7.9769999999999997E-3</c:v>
                </c:pt>
                <c:pt idx="3943">
                  <c:v>1.1440000000000001E-2</c:v>
                </c:pt>
                <c:pt idx="3944">
                  <c:v>4.5129999999999997E-3</c:v>
                </c:pt>
                <c:pt idx="3945">
                  <c:v>1.3435000000000001E-2</c:v>
                </c:pt>
                <c:pt idx="3946">
                  <c:v>2.0990000000000002E-3</c:v>
                </c:pt>
                <c:pt idx="3947">
                  <c:v>2.435E-2</c:v>
                </c:pt>
                <c:pt idx="3948">
                  <c:v>1.4904000000000001E-2</c:v>
                </c:pt>
                <c:pt idx="3949">
                  <c:v>7.0740999999999998E-2</c:v>
                </c:pt>
                <c:pt idx="3950">
                  <c:v>5.5102999999999999E-2</c:v>
                </c:pt>
                <c:pt idx="3951">
                  <c:v>3.9253999999999997E-2</c:v>
                </c:pt>
                <c:pt idx="3952">
                  <c:v>9.0259999999999993E-3</c:v>
                </c:pt>
                <c:pt idx="3953">
                  <c:v>1.7212999999999999E-2</c:v>
                </c:pt>
                <c:pt idx="3954">
                  <c:v>3.4640000000000001E-3</c:v>
                </c:pt>
                <c:pt idx="3955">
                  <c:v>7.1161000000000002E-2</c:v>
                </c:pt>
                <c:pt idx="3956">
                  <c:v>1.4274E-2</c:v>
                </c:pt>
                <c:pt idx="3957">
                  <c:v>5.8780000000000004E-3</c:v>
                </c:pt>
                <c:pt idx="3958">
                  <c:v>3.0439999999999998E-3</c:v>
                </c:pt>
                <c:pt idx="3959">
                  <c:v>4.8279999999999998E-3</c:v>
                </c:pt>
                <c:pt idx="3960">
                  <c:v>5.6680000000000003E-3</c:v>
                </c:pt>
                <c:pt idx="3961">
                  <c:v>2.7290000000000001E-3</c:v>
                </c:pt>
                <c:pt idx="3962">
                  <c:v>1.5848999999999999E-2</c:v>
                </c:pt>
                <c:pt idx="3963">
                  <c:v>9.8659999999999998E-3</c:v>
                </c:pt>
                <c:pt idx="3964">
                  <c:v>2.8340000000000001E-3</c:v>
                </c:pt>
                <c:pt idx="3965">
                  <c:v>5.8780000000000004E-3</c:v>
                </c:pt>
                <c:pt idx="3966">
                  <c:v>5.2499999999999997E-4</c:v>
                </c:pt>
                <c:pt idx="3967">
                  <c:v>4.8279999999999998E-3</c:v>
                </c:pt>
                <c:pt idx="3968">
                  <c:v>8.9210000000000001E-3</c:v>
                </c:pt>
                <c:pt idx="3969">
                  <c:v>6.0879999999999997E-3</c:v>
                </c:pt>
                <c:pt idx="3970">
                  <c:v>3.8099000000000001E-2</c:v>
                </c:pt>
                <c:pt idx="3971">
                  <c:v>2.6554000000000001E-2</c:v>
                </c:pt>
                <c:pt idx="3972">
                  <c:v>1.1965E-2</c:v>
                </c:pt>
                <c:pt idx="3973">
                  <c:v>2.4035000000000001E-2</c:v>
                </c:pt>
                <c:pt idx="3974">
                  <c:v>6.1400000000000003E-2</c:v>
                </c:pt>
                <c:pt idx="3975">
                  <c:v>4.9224999999999998E-2</c:v>
                </c:pt>
                <c:pt idx="3976">
                  <c:v>0.14588999999999999</c:v>
                </c:pt>
                <c:pt idx="3977">
                  <c:v>0.120701</c:v>
                </c:pt>
                <c:pt idx="3978">
                  <c:v>1.3854340000000001</c:v>
                </c:pt>
                <c:pt idx="3979">
                  <c:v>2.5819459999999999</c:v>
                </c:pt>
                <c:pt idx="3980">
                  <c:v>3.6315170000000001</c:v>
                </c:pt>
                <c:pt idx="3981">
                  <c:v>1.521879</c:v>
                </c:pt>
                <c:pt idx="3982">
                  <c:v>1.658323</c:v>
                </c:pt>
                <c:pt idx="3983">
                  <c:v>1.10205</c:v>
                </c:pt>
                <c:pt idx="3984">
                  <c:v>1.91022</c:v>
                </c:pt>
                <c:pt idx="3985">
                  <c:v>3.127723</c:v>
                </c:pt>
                <c:pt idx="3986">
                  <c:v>0.27813599999999999</c:v>
                </c:pt>
                <c:pt idx="3987">
                  <c:v>0.27708700000000003</c:v>
                </c:pt>
                <c:pt idx="3988">
                  <c:v>0.49644700000000003</c:v>
                </c:pt>
                <c:pt idx="3989">
                  <c:v>0.23195499999999999</c:v>
                </c:pt>
                <c:pt idx="3990">
                  <c:v>1.025431</c:v>
                </c:pt>
                <c:pt idx="3991">
                  <c:v>2.0361690000000001</c:v>
                </c:pt>
                <c:pt idx="3992">
                  <c:v>2.298562</c:v>
                </c:pt>
                <c:pt idx="3993">
                  <c:v>3.5055689999999999</c:v>
                </c:pt>
                <c:pt idx="3994">
                  <c:v>2.4874839999999998</c:v>
                </c:pt>
                <c:pt idx="3995">
                  <c:v>1.9522029999999999</c:v>
                </c:pt>
                <c:pt idx="3996">
                  <c:v>0.29073100000000002</c:v>
                </c:pt>
                <c:pt idx="3997">
                  <c:v>0.103173</c:v>
                </c:pt>
                <c:pt idx="3998">
                  <c:v>0.11965099999999999</c:v>
                </c:pt>
                <c:pt idx="3999">
                  <c:v>0.115453</c:v>
                </c:pt>
                <c:pt idx="4000">
                  <c:v>0.15953500000000001</c:v>
                </c:pt>
                <c:pt idx="4001">
                  <c:v>0.270789</c:v>
                </c:pt>
                <c:pt idx="4002">
                  <c:v>0.13644400000000001</c:v>
                </c:pt>
                <c:pt idx="4003">
                  <c:v>0.15428700000000001</c:v>
                </c:pt>
                <c:pt idx="4004">
                  <c:v>0.15218799999999999</c:v>
                </c:pt>
                <c:pt idx="4005">
                  <c:v>0.36315199999999997</c:v>
                </c:pt>
                <c:pt idx="4006">
                  <c:v>10.91554</c:v>
                </c:pt>
                <c:pt idx="4007">
                  <c:v>10.02341</c:v>
                </c:pt>
                <c:pt idx="4008">
                  <c:v>1.7420000000000001E-3</c:v>
                </c:pt>
                <c:pt idx="4009">
                  <c:v>4.6389999999999999E-3</c:v>
                </c:pt>
                <c:pt idx="4010">
                  <c:v>5.1529999999999996E-3</c:v>
                </c:pt>
                <c:pt idx="4011">
                  <c:v>2.5709999999999999E-3</c:v>
                </c:pt>
                <c:pt idx="4012">
                  <c:v>1.3849999999999999E-3</c:v>
                </c:pt>
                <c:pt idx="4013">
                  <c:v>1.6163E-2</c:v>
                </c:pt>
                <c:pt idx="4014">
                  <c:v>1.291E-2</c:v>
                </c:pt>
                <c:pt idx="4015">
                  <c:v>2.6129999999999999E-3</c:v>
                </c:pt>
                <c:pt idx="4016">
                  <c:v>9.3199999999999999E-4</c:v>
                </c:pt>
                <c:pt idx="4017">
                  <c:v>9.0600000000000001E-4</c:v>
                </c:pt>
                <c:pt idx="4018">
                  <c:v>1.364E-3</c:v>
                </c:pt>
                <c:pt idx="4019">
                  <c:v>2.34E-4</c:v>
                </c:pt>
                <c:pt idx="4020">
                  <c:v>8.7399999999999997E-5</c:v>
                </c:pt>
                <c:pt idx="4021">
                  <c:v>1.343E-3</c:v>
                </c:pt>
                <c:pt idx="4022">
                  <c:v>3.7800000000000003E-4</c:v>
                </c:pt>
                <c:pt idx="4023">
                  <c:v>1.9599999999999999E-4</c:v>
                </c:pt>
                <c:pt idx="4024">
                  <c:v>4.73E-4</c:v>
                </c:pt>
                <c:pt idx="4025">
                  <c:v>5.8E-4</c:v>
                </c:pt>
                <c:pt idx="4026">
                  <c:v>1.7949999999999999E-3</c:v>
                </c:pt>
                <c:pt idx="4027">
                  <c:v>9.3700000000000001E-5</c:v>
                </c:pt>
                <c:pt idx="4028">
                  <c:v>3.2499999999999999E-4</c:v>
                </c:pt>
                <c:pt idx="4029">
                  <c:v>1.25E-4</c:v>
                </c:pt>
                <c:pt idx="4030">
                  <c:v>1.3960000000000001E-3</c:v>
                </c:pt>
                <c:pt idx="4031">
                  <c:v>6.2600000000000004E-4</c:v>
                </c:pt>
                <c:pt idx="4032">
                  <c:v>4.7399999999999997E-4</c:v>
                </c:pt>
                <c:pt idx="4033">
                  <c:v>1.333E-3</c:v>
                </c:pt>
                <c:pt idx="4034">
                  <c:v>1.763E-3</c:v>
                </c:pt>
                <c:pt idx="4035">
                  <c:v>1.2700000000000001E-3</c:v>
                </c:pt>
                <c:pt idx="4036">
                  <c:v>5.9620000000000003E-3</c:v>
                </c:pt>
                <c:pt idx="4037">
                  <c:v>1.5529999999999999E-3</c:v>
                </c:pt>
                <c:pt idx="4038">
                  <c:v>2.7290000000000001E-3</c:v>
                </c:pt>
                <c:pt idx="4039">
                  <c:v>1.3999999999999999E-4</c:v>
                </c:pt>
                <c:pt idx="4040">
                  <c:v>1.207E-3</c:v>
                </c:pt>
                <c:pt idx="4041">
                  <c:v>1.8259999999999999E-3</c:v>
                </c:pt>
                <c:pt idx="4042">
                  <c:v>1.155E-3</c:v>
                </c:pt>
                <c:pt idx="4043">
                  <c:v>3.9569999999999996E-3</c:v>
                </c:pt>
                <c:pt idx="4044">
                  <c:v>7.515E-3</c:v>
                </c:pt>
                <c:pt idx="4045">
                  <c:v>7.7879999999999998E-3</c:v>
                </c:pt>
                <c:pt idx="4046">
                  <c:v>0.126998</c:v>
                </c:pt>
                <c:pt idx="4047">
                  <c:v>6.2553999999999998E-2</c:v>
                </c:pt>
                <c:pt idx="4048">
                  <c:v>1.123E-2</c:v>
                </c:pt>
                <c:pt idx="4049">
                  <c:v>2.2669999999999999E-3</c:v>
                </c:pt>
                <c:pt idx="4050">
                  <c:v>6.0900000000000003E-5</c:v>
                </c:pt>
                <c:pt idx="4051">
                  <c:v>9.0799999999999995E-4</c:v>
                </c:pt>
                <c:pt idx="4052">
                  <c:v>7.8300000000000002E-3</c:v>
                </c:pt>
                <c:pt idx="4053">
                  <c:v>2.918E-3</c:v>
                </c:pt>
                <c:pt idx="4054">
                  <c:v>3.5270000000000002E-3</c:v>
                </c:pt>
                <c:pt idx="4055">
                  <c:v>8.5019999999999991E-3</c:v>
                </c:pt>
                <c:pt idx="4056">
                  <c:v>5.4500000000000002E-4</c:v>
                </c:pt>
                <c:pt idx="4057">
                  <c:v>1.0120000000000001E-3</c:v>
                </c:pt>
                <c:pt idx="4058">
                  <c:v>4.9849999999999998E-3</c:v>
                </c:pt>
                <c:pt idx="4059">
                  <c:v>5.2269999999999999E-3</c:v>
                </c:pt>
                <c:pt idx="4060">
                  <c:v>1.49E-3</c:v>
                </c:pt>
                <c:pt idx="4061">
                  <c:v>3.9899999999999999E-4</c:v>
                </c:pt>
                <c:pt idx="4062">
                  <c:v>2.0470000000000002E-3</c:v>
                </c:pt>
                <c:pt idx="4063">
                  <c:v>7.2499999999999995E-4</c:v>
                </c:pt>
                <c:pt idx="4064">
                  <c:v>4.4299999999999998E-4</c:v>
                </c:pt>
                <c:pt idx="4065">
                  <c:v>4.8099999999999998E-4</c:v>
                </c:pt>
                <c:pt idx="4066">
                  <c:v>1.0499999999999999E-5</c:v>
                </c:pt>
                <c:pt idx="4067">
                  <c:v>2.0000000000000001E-4</c:v>
                </c:pt>
                <c:pt idx="4068">
                  <c:v>4.7399999999999997E-4</c:v>
                </c:pt>
                <c:pt idx="4069">
                  <c:v>5.6700000000000001E-4</c:v>
                </c:pt>
                <c:pt idx="4070">
                  <c:v>8.4900000000000004E-4</c:v>
                </c:pt>
                <c:pt idx="4071">
                  <c:v>1.73E-4</c:v>
                </c:pt>
                <c:pt idx="4072">
                  <c:v>4.2700000000000002E-4</c:v>
                </c:pt>
                <c:pt idx="4073">
                  <c:v>2.8400000000000002E-4</c:v>
                </c:pt>
                <c:pt idx="4074">
                  <c:v>1.36E-5</c:v>
                </c:pt>
                <c:pt idx="4075">
                  <c:v>2.0999999999999998E-6</c:v>
                </c:pt>
                <c:pt idx="4076">
                  <c:v>3.57E-5</c:v>
                </c:pt>
                <c:pt idx="4077">
                  <c:v>2.94E-5</c:v>
                </c:pt>
                <c:pt idx="4078">
                  <c:v>1.26E-5</c:v>
                </c:pt>
                <c:pt idx="4079">
                  <c:v>5.2500000000000002E-5</c:v>
                </c:pt>
                <c:pt idx="4080">
                  <c:v>7.7879999999999998E-3</c:v>
                </c:pt>
                <c:pt idx="4081">
                  <c:v>9.2890000000000004E-3</c:v>
                </c:pt>
                <c:pt idx="4082">
                  <c:v>4.2820000000000002E-3</c:v>
                </c:pt>
                <c:pt idx="4083">
                  <c:v>4.2820000000000002E-3</c:v>
                </c:pt>
                <c:pt idx="4084">
                  <c:v>6.5909999999999996E-3</c:v>
                </c:pt>
                <c:pt idx="4085">
                  <c:v>4.2820000000000002E-3</c:v>
                </c:pt>
                <c:pt idx="4086">
                  <c:v>5.4100000000000003E-4</c:v>
                </c:pt>
                <c:pt idx="4087">
                  <c:v>2.5609999999999999E-3</c:v>
                </c:pt>
                <c:pt idx="4088">
                  <c:v>1.1124999999999999E-2</c:v>
                </c:pt>
                <c:pt idx="4089">
                  <c:v>2.2776000000000001E-2</c:v>
                </c:pt>
                <c:pt idx="4090">
                  <c:v>1.8159999999999999E-3</c:v>
                </c:pt>
                <c:pt idx="4091">
                  <c:v>4.4710000000000001E-3</c:v>
                </c:pt>
                <c:pt idx="4092">
                  <c:v>6.6649999999999999E-3</c:v>
                </c:pt>
                <c:pt idx="4093">
                  <c:v>9.0889999999999999E-3</c:v>
                </c:pt>
                <c:pt idx="4094">
                  <c:v>1.1335E-2</c:v>
                </c:pt>
                <c:pt idx="4095">
                  <c:v>2.2460000000000002E-3</c:v>
                </c:pt>
                <c:pt idx="4096">
                  <c:v>1.91E-3</c:v>
                </c:pt>
                <c:pt idx="4097">
                  <c:v>7.2110000000000004E-3</c:v>
                </c:pt>
                <c:pt idx="4098">
                  <c:v>5.8780000000000004E-3</c:v>
                </c:pt>
                <c:pt idx="4099">
                  <c:v>2.4244999999999999E-2</c:v>
                </c:pt>
                <c:pt idx="4100">
                  <c:v>1.5533999999999999E-2</c:v>
                </c:pt>
                <c:pt idx="4101">
                  <c:v>9.3307000000000001E-2</c:v>
                </c:pt>
                <c:pt idx="4102">
                  <c:v>2.5295000000000002E-2</c:v>
                </c:pt>
                <c:pt idx="4103">
                  <c:v>4.8910000000000002E-2</c:v>
                </c:pt>
                <c:pt idx="4104">
                  <c:v>4.0304E-2</c:v>
                </c:pt>
                <c:pt idx="4105">
                  <c:v>2.1831E-2</c:v>
                </c:pt>
                <c:pt idx="4106">
                  <c:v>1.8471999999999999E-2</c:v>
                </c:pt>
                <c:pt idx="4107">
                  <c:v>3.6209999999999999E-2</c:v>
                </c:pt>
                <c:pt idx="4108">
                  <c:v>1.291E-2</c:v>
                </c:pt>
                <c:pt idx="4109">
                  <c:v>1.1755E-2</c:v>
                </c:pt>
                <c:pt idx="4110">
                  <c:v>1.6583000000000001E-2</c:v>
                </c:pt>
                <c:pt idx="4111">
                  <c:v>2.7184E-2</c:v>
                </c:pt>
                <c:pt idx="4112">
                  <c:v>5.0379999999999999E-3</c:v>
                </c:pt>
                <c:pt idx="4113">
                  <c:v>6.7169999999999999E-3</c:v>
                </c:pt>
                <c:pt idx="4114">
                  <c:v>1.4589E-2</c:v>
                </c:pt>
                <c:pt idx="4115">
                  <c:v>4.5865999999999997E-2</c:v>
                </c:pt>
                <c:pt idx="4116">
                  <c:v>7.9869999999999993E-3</c:v>
                </c:pt>
                <c:pt idx="4117">
                  <c:v>0.247699</c:v>
                </c:pt>
                <c:pt idx="4118">
                  <c:v>0.28548299999999999</c:v>
                </c:pt>
                <c:pt idx="4119">
                  <c:v>8.4490999999999997E-2</c:v>
                </c:pt>
                <c:pt idx="4120">
                  <c:v>6.8851999999999997E-2</c:v>
                </c:pt>
                <c:pt idx="4121">
                  <c:v>6.3709000000000002E-2</c:v>
                </c:pt>
                <c:pt idx="4122">
                  <c:v>0.14693999999999999</c:v>
                </c:pt>
                <c:pt idx="4123">
                  <c:v>0.21516199999999999</c:v>
                </c:pt>
                <c:pt idx="4124">
                  <c:v>0.23930199999999999</c:v>
                </c:pt>
                <c:pt idx="4125">
                  <c:v>0.22880700000000001</c:v>
                </c:pt>
                <c:pt idx="4126">
                  <c:v>0.20361699999999999</c:v>
                </c:pt>
                <c:pt idx="4127">
                  <c:v>0.26344200000000001</c:v>
                </c:pt>
                <c:pt idx="4128">
                  <c:v>0.28548299999999999</c:v>
                </c:pt>
                <c:pt idx="4129">
                  <c:v>0.19312099999999999</c:v>
                </c:pt>
                <c:pt idx="4130">
                  <c:v>0.126998</c:v>
                </c:pt>
                <c:pt idx="4131">
                  <c:v>0.17632800000000001</c:v>
                </c:pt>
                <c:pt idx="4132">
                  <c:v>1.6898E-2</c:v>
                </c:pt>
                <c:pt idx="4133">
                  <c:v>3.5580000000000001E-2</c:v>
                </c:pt>
                <c:pt idx="4134">
                  <c:v>5.3633E-2</c:v>
                </c:pt>
                <c:pt idx="4135">
                  <c:v>6.8012000000000003E-2</c:v>
                </c:pt>
                <c:pt idx="4136">
                  <c:v>0.138543</c:v>
                </c:pt>
                <c:pt idx="4137">
                  <c:v>0.114403</c:v>
                </c:pt>
                <c:pt idx="4138">
                  <c:v>1.5009E-2</c:v>
                </c:pt>
                <c:pt idx="4139">
                  <c:v>1.5952999999999998E-2</c:v>
                </c:pt>
                <c:pt idx="4140">
                  <c:v>1.8787000000000002E-2</c:v>
                </c:pt>
                <c:pt idx="4141">
                  <c:v>1.6688000000000001E-2</c:v>
                </c:pt>
                <c:pt idx="4142">
                  <c:v>2.4000000000000001E-5</c:v>
                </c:pt>
                <c:pt idx="4143">
                  <c:v>1.6100000000000001E-4</c:v>
                </c:pt>
                <c:pt idx="4144">
                  <c:v>2.5700000000000001E-4</c:v>
                </c:pt>
                <c:pt idx="4145">
                  <c:v>2.1000000000000001E-4</c:v>
                </c:pt>
                <c:pt idx="4146">
                  <c:v>9.77E-4</c:v>
                </c:pt>
                <c:pt idx="4147">
                  <c:v>1.5319999999999999E-3</c:v>
                </c:pt>
                <c:pt idx="4148">
                  <c:v>9.6199999999999996E-4</c:v>
                </c:pt>
                <c:pt idx="4149">
                  <c:v>3.653E-3</c:v>
                </c:pt>
                <c:pt idx="4150">
                  <c:v>2.1410000000000001E-3</c:v>
                </c:pt>
                <c:pt idx="4151">
                  <c:v>1.784E-3</c:v>
                </c:pt>
                <c:pt idx="4152">
                  <c:v>8.52E-4</c:v>
                </c:pt>
                <c:pt idx="4153">
                  <c:v>9.7499999999999996E-4</c:v>
                </c:pt>
                <c:pt idx="4154">
                  <c:v>5.0500000000000002E-4</c:v>
                </c:pt>
                <c:pt idx="4155">
                  <c:v>1.322E-3</c:v>
                </c:pt>
                <c:pt idx="4156">
                  <c:v>4.8099999999999997E-5</c:v>
                </c:pt>
                <c:pt idx="4157">
                  <c:v>1.6399999999999999E-5</c:v>
                </c:pt>
                <c:pt idx="4158">
                  <c:v>5.5699999999999999E-5</c:v>
                </c:pt>
                <c:pt idx="4159">
                  <c:v>1.8300000000000001E-5</c:v>
                </c:pt>
                <c:pt idx="4160">
                  <c:v>1.7100000000000001E-4</c:v>
                </c:pt>
                <c:pt idx="4161">
                  <c:v>3.43E-5</c:v>
                </c:pt>
                <c:pt idx="4162">
                  <c:v>6.5799999999999997E-6</c:v>
                </c:pt>
                <c:pt idx="4163">
                  <c:v>1.5999999999999999E-5</c:v>
                </c:pt>
                <c:pt idx="4164">
                  <c:v>4.5099999999999998E-5</c:v>
                </c:pt>
                <c:pt idx="4165">
                  <c:v>7.6600000000000005E-5</c:v>
                </c:pt>
                <c:pt idx="4166">
                  <c:v>8.4599999999999996E-4</c:v>
                </c:pt>
                <c:pt idx="4167">
                  <c:v>2.0599999999999999E-4</c:v>
                </c:pt>
                <c:pt idx="4168">
                  <c:v>1.5430000000000001E-3</c:v>
                </c:pt>
                <c:pt idx="4169">
                  <c:v>2.3830000000000001E-3</c:v>
                </c:pt>
                <c:pt idx="4170">
                  <c:v>1.01E-4</c:v>
                </c:pt>
                <c:pt idx="4171">
                  <c:v>1.1019999999999999E-3</c:v>
                </c:pt>
                <c:pt idx="4172">
                  <c:v>8.1340000000000006E-3</c:v>
                </c:pt>
                <c:pt idx="4173">
                  <c:v>1.5740000000000001E-3</c:v>
                </c:pt>
                <c:pt idx="4174">
                  <c:v>1.805E-3</c:v>
                </c:pt>
                <c:pt idx="4175">
                  <c:v>1.1019999999999999E-3</c:v>
                </c:pt>
                <c:pt idx="4176">
                  <c:v>1.047E-3</c:v>
                </c:pt>
                <c:pt idx="4177">
                  <c:v>2.8969999999999998E-3</c:v>
                </c:pt>
                <c:pt idx="4178">
                  <c:v>1.3015000000000001E-2</c:v>
                </c:pt>
                <c:pt idx="4179">
                  <c:v>7.9030000000000003E-3</c:v>
                </c:pt>
                <c:pt idx="4180">
                  <c:v>1.658E-3</c:v>
                </c:pt>
                <c:pt idx="4181">
                  <c:v>5.5729999999999998E-3</c:v>
                </c:pt>
                <c:pt idx="4182">
                  <c:v>2.3830000000000001E-3</c:v>
                </c:pt>
                <c:pt idx="4183">
                  <c:v>7.9559999999999995E-3</c:v>
                </c:pt>
                <c:pt idx="4184">
                  <c:v>2.4035000000000001E-2</c:v>
                </c:pt>
                <c:pt idx="4185">
                  <c:v>2.9808000000000001E-2</c:v>
                </c:pt>
                <c:pt idx="4186">
                  <c:v>2.9492999999999998E-2</c:v>
                </c:pt>
                <c:pt idx="4187">
                  <c:v>7.3785000000000003E-2</c:v>
                </c:pt>
                <c:pt idx="4188">
                  <c:v>1.8158000000000001E-2</c:v>
                </c:pt>
                <c:pt idx="4189">
                  <c:v>1.5952999999999998E-2</c:v>
                </c:pt>
                <c:pt idx="4190">
                  <c:v>1.7947999999999999E-2</c:v>
                </c:pt>
                <c:pt idx="4191">
                  <c:v>1.7003000000000001E-2</c:v>
                </c:pt>
                <c:pt idx="4192">
                  <c:v>1.4799E-2</c:v>
                </c:pt>
                <c:pt idx="4193">
                  <c:v>1.3644E-2</c:v>
                </c:pt>
                <c:pt idx="4194">
                  <c:v>3.2537000000000003E-2</c:v>
                </c:pt>
                <c:pt idx="4195">
                  <c:v>3.2851999999999999E-2</c:v>
                </c:pt>
                <c:pt idx="4196">
                  <c:v>9.4461000000000003E-2</c:v>
                </c:pt>
                <c:pt idx="4197">
                  <c:v>0.124899</c:v>
                </c:pt>
                <c:pt idx="4198">
                  <c:v>0.230906</c:v>
                </c:pt>
                <c:pt idx="4199">
                  <c:v>0.15323700000000001</c:v>
                </c:pt>
                <c:pt idx="4200">
                  <c:v>3.0752000000000002E-2</c:v>
                </c:pt>
                <c:pt idx="4201">
                  <c:v>3.4425999999999998E-2</c:v>
                </c:pt>
                <c:pt idx="4202">
                  <c:v>3.2641999999999997E-2</c:v>
                </c:pt>
                <c:pt idx="4203">
                  <c:v>2.6554000000000001E-2</c:v>
                </c:pt>
                <c:pt idx="4204">
                  <c:v>9.7924999999999998E-2</c:v>
                </c:pt>
                <c:pt idx="4205">
                  <c:v>9.4146999999999995E-2</c:v>
                </c:pt>
                <c:pt idx="4206">
                  <c:v>8.2810999999999996E-2</c:v>
                </c:pt>
                <c:pt idx="4207">
                  <c:v>0.11650199999999999</c:v>
                </c:pt>
                <c:pt idx="4208">
                  <c:v>9.0472999999999998E-2</c:v>
                </c:pt>
                <c:pt idx="4209">
                  <c:v>7.0740999999999998E-2</c:v>
                </c:pt>
                <c:pt idx="4210">
                  <c:v>0.15428700000000001</c:v>
                </c:pt>
                <c:pt idx="4211">
                  <c:v>9.0683E-2</c:v>
                </c:pt>
                <c:pt idx="4212">
                  <c:v>0.126998</c:v>
                </c:pt>
                <c:pt idx="4213">
                  <c:v>6.0879999999999997E-3</c:v>
                </c:pt>
                <c:pt idx="4214">
                  <c:v>5.1009999999999996E-3</c:v>
                </c:pt>
                <c:pt idx="4215">
                  <c:v>1.1124999999999999E-2</c:v>
                </c:pt>
                <c:pt idx="4216">
                  <c:v>3.506E-3</c:v>
                </c:pt>
                <c:pt idx="4217">
                  <c:v>1.7843000000000001E-2</c:v>
                </c:pt>
                <c:pt idx="4218">
                  <c:v>1.6792999999999999E-2</c:v>
                </c:pt>
                <c:pt idx="4219">
                  <c:v>1.4694E-2</c:v>
                </c:pt>
                <c:pt idx="4220">
                  <c:v>1.3225000000000001E-2</c:v>
                </c:pt>
                <c:pt idx="4221">
                  <c:v>8.7530000000000004E-3</c:v>
                </c:pt>
                <c:pt idx="4222">
                  <c:v>5.5420000000000001E-3</c:v>
                </c:pt>
                <c:pt idx="4223">
                  <c:v>9.5200000000000005E-4</c:v>
                </c:pt>
                <c:pt idx="4224">
                  <c:v>7.0600000000000003E-4</c:v>
                </c:pt>
                <c:pt idx="4225">
                  <c:v>1.5319999999999999E-3</c:v>
                </c:pt>
                <c:pt idx="4226">
                  <c:v>6.0899999999999995E-4</c:v>
                </c:pt>
                <c:pt idx="4227">
                  <c:v>1.1860000000000001E-2</c:v>
                </c:pt>
                <c:pt idx="4228">
                  <c:v>5.3399999999999997E-4</c:v>
                </c:pt>
                <c:pt idx="4229">
                  <c:v>1.186E-3</c:v>
                </c:pt>
                <c:pt idx="4230">
                  <c:v>1.469E-3</c:v>
                </c:pt>
                <c:pt idx="4231">
                  <c:v>3.82E-3</c:v>
                </c:pt>
                <c:pt idx="4232">
                  <c:v>4.0509999999999999E-3</c:v>
                </c:pt>
                <c:pt idx="4233">
                  <c:v>1.6789999999999999E-3</c:v>
                </c:pt>
                <c:pt idx="4234">
                  <c:v>1.2279999999999999E-2</c:v>
                </c:pt>
                <c:pt idx="4235">
                  <c:v>2.6869000000000001E-2</c:v>
                </c:pt>
                <c:pt idx="4236">
                  <c:v>3.6944999999999999E-2</c:v>
                </c:pt>
                <c:pt idx="4237">
                  <c:v>1.0191E-2</c:v>
                </c:pt>
                <c:pt idx="4238">
                  <c:v>1.3200000000000001E-4</c:v>
                </c:pt>
                <c:pt idx="4239">
                  <c:v>2.6400000000000002E-4</c:v>
                </c:pt>
                <c:pt idx="4240">
                  <c:v>4.0899999999999998E-5</c:v>
                </c:pt>
                <c:pt idx="4241">
                  <c:v>2.8440000000000002E-3</c:v>
                </c:pt>
                <c:pt idx="4242">
                  <c:v>1.0012999999999999E-2</c:v>
                </c:pt>
                <c:pt idx="4243">
                  <c:v>1.2489999999999999E-2</c:v>
                </c:pt>
                <c:pt idx="4244">
                  <c:v>2.1305999999999999E-2</c:v>
                </c:pt>
                <c:pt idx="4245">
                  <c:v>9.6559999999999997E-3</c:v>
                </c:pt>
                <c:pt idx="4246">
                  <c:v>1.438E-3</c:v>
                </c:pt>
                <c:pt idx="4247">
                  <c:v>8.7639999999999992E-3</c:v>
                </c:pt>
                <c:pt idx="4248">
                  <c:v>1.637E-3</c:v>
                </c:pt>
                <c:pt idx="4249">
                  <c:v>5.8799999999999999E-5</c:v>
                </c:pt>
                <c:pt idx="4250">
                  <c:v>1.6479999999999999E-3</c:v>
                </c:pt>
                <c:pt idx="4251">
                  <c:v>5.2900000000000004E-3</c:v>
                </c:pt>
                <c:pt idx="4252">
                  <c:v>1.2805E-2</c:v>
                </c:pt>
                <c:pt idx="4253">
                  <c:v>1.9102000000000001E-2</c:v>
                </c:pt>
                <c:pt idx="4254">
                  <c:v>2.1519999999999998E-3</c:v>
                </c:pt>
                <c:pt idx="4255">
                  <c:v>1.0496E-2</c:v>
                </c:pt>
                <c:pt idx="4256">
                  <c:v>4.261E-3</c:v>
                </c:pt>
                <c:pt idx="4257">
                  <c:v>3.7360000000000002E-3</c:v>
                </c:pt>
                <c:pt idx="4258">
                  <c:v>1.0900000000000001E-5</c:v>
                </c:pt>
                <c:pt idx="4259">
                  <c:v>2.1410999999999999E-2</c:v>
                </c:pt>
                <c:pt idx="4260">
                  <c:v>1.7212999999999999E-2</c:v>
                </c:pt>
                <c:pt idx="4261">
                  <c:v>9.5090000000000001E-3</c:v>
                </c:pt>
                <c:pt idx="4262">
                  <c:v>3.5265999999999999E-2</c:v>
                </c:pt>
                <c:pt idx="4263">
                  <c:v>5.7726E-2</c:v>
                </c:pt>
                <c:pt idx="4264">
                  <c:v>0.15848499999999999</c:v>
                </c:pt>
                <c:pt idx="4265">
                  <c:v>0.11965099999999999</c:v>
                </c:pt>
                <c:pt idx="4266">
                  <c:v>9.0578000000000006E-2</c:v>
                </c:pt>
                <c:pt idx="4267">
                  <c:v>1.8263000000000001E-2</c:v>
                </c:pt>
                <c:pt idx="4268">
                  <c:v>4.6915999999999999E-2</c:v>
                </c:pt>
                <c:pt idx="4269">
                  <c:v>9.6349999999999995E-3</c:v>
                </c:pt>
                <c:pt idx="4270">
                  <c:v>6.3919000000000004E-2</c:v>
                </c:pt>
                <c:pt idx="4271">
                  <c:v>1.3958999999999999E-2</c:v>
                </c:pt>
                <c:pt idx="4272">
                  <c:v>1.3849999999999999E-3</c:v>
                </c:pt>
                <c:pt idx="4273">
                  <c:v>1.333E-3</c:v>
                </c:pt>
                <c:pt idx="4274">
                  <c:v>1.8370000000000001E-3</c:v>
                </c:pt>
                <c:pt idx="4275">
                  <c:v>8.4400000000000002E-4</c:v>
                </c:pt>
                <c:pt idx="4276">
                  <c:v>3.1700000000000001E-3</c:v>
                </c:pt>
                <c:pt idx="4277">
                  <c:v>8.3859999999999994E-3</c:v>
                </c:pt>
                <c:pt idx="4278">
                  <c:v>1.7420000000000001E-3</c:v>
                </c:pt>
                <c:pt idx="4279">
                  <c:v>4.0200000000000001E-4</c:v>
                </c:pt>
                <c:pt idx="4280">
                  <c:v>1.3435000000000001E-2</c:v>
                </c:pt>
                <c:pt idx="4281">
                  <c:v>3.4216000000000003E-2</c:v>
                </c:pt>
                <c:pt idx="4282">
                  <c:v>1.176E-3</c:v>
                </c:pt>
                <c:pt idx="4283">
                  <c:v>1.511E-3</c:v>
                </c:pt>
                <c:pt idx="4284">
                  <c:v>8.4700000000000001E-3</c:v>
                </c:pt>
                <c:pt idx="4285">
                  <c:v>6.9899999999999997E-3</c:v>
                </c:pt>
                <c:pt idx="4286">
                  <c:v>1.312E-2</c:v>
                </c:pt>
                <c:pt idx="4287">
                  <c:v>4.8799999999999999E-4</c:v>
                </c:pt>
                <c:pt idx="4288">
                  <c:v>1.1021E-2</c:v>
                </c:pt>
                <c:pt idx="4289">
                  <c:v>7.62E-3</c:v>
                </c:pt>
                <c:pt idx="4290">
                  <c:v>8.2810000000000002E-3</c:v>
                </c:pt>
                <c:pt idx="4291">
                  <c:v>4.2719999999999998E-3</c:v>
                </c:pt>
                <c:pt idx="4292">
                  <c:v>2.8233000000000001E-2</c:v>
                </c:pt>
                <c:pt idx="4293">
                  <c:v>1.1019999999999999E-3</c:v>
                </c:pt>
                <c:pt idx="4294">
                  <c:v>3.3899999999999998E-3</c:v>
                </c:pt>
                <c:pt idx="4295">
                  <c:v>1.6479999999999999E-3</c:v>
                </c:pt>
                <c:pt idx="4296">
                  <c:v>1.65E-4</c:v>
                </c:pt>
                <c:pt idx="4297">
                  <c:v>6.8120000000000003E-3</c:v>
                </c:pt>
                <c:pt idx="4298">
                  <c:v>5.7099999999999998E-3</c:v>
                </c:pt>
                <c:pt idx="4299">
                  <c:v>8.1969999999999994E-3</c:v>
                </c:pt>
                <c:pt idx="4300">
                  <c:v>1.2699999999999999E-2</c:v>
                </c:pt>
                <c:pt idx="4301">
                  <c:v>9.0050000000000009E-3</c:v>
                </c:pt>
                <c:pt idx="4302">
                  <c:v>1.1335E-2</c:v>
                </c:pt>
                <c:pt idx="4303">
                  <c:v>2.3089999999999999E-3</c:v>
                </c:pt>
                <c:pt idx="4304">
                  <c:v>1.5640000000000001E-3</c:v>
                </c:pt>
                <c:pt idx="4305">
                  <c:v>7.6410000000000002E-3</c:v>
                </c:pt>
                <c:pt idx="4306">
                  <c:v>6.6540000000000002E-3</c:v>
                </c:pt>
                <c:pt idx="4307">
                  <c:v>5.0799999999999999E-4</c:v>
                </c:pt>
                <c:pt idx="4308">
                  <c:v>1.7699999999999999E-4</c:v>
                </c:pt>
                <c:pt idx="4309">
                  <c:v>1.6789999999999999E-3</c:v>
                </c:pt>
                <c:pt idx="4310">
                  <c:v>2.2669999999999999E-3</c:v>
                </c:pt>
                <c:pt idx="4311">
                  <c:v>3.107E-3</c:v>
                </c:pt>
                <c:pt idx="4312">
                  <c:v>4.44E-4</c:v>
                </c:pt>
                <c:pt idx="4313">
                  <c:v>9.4499999999999998E-4</c:v>
                </c:pt>
                <c:pt idx="4314">
                  <c:v>3.88E-4</c:v>
                </c:pt>
                <c:pt idx="4315">
                  <c:v>8.6200000000000003E-4</c:v>
                </c:pt>
                <c:pt idx="4316">
                  <c:v>3.4600000000000001E-4</c:v>
                </c:pt>
                <c:pt idx="4317">
                  <c:v>5.4600000000000004E-4</c:v>
                </c:pt>
                <c:pt idx="4318">
                  <c:v>4.9700000000000002E-5</c:v>
                </c:pt>
                <c:pt idx="4319">
                  <c:v>1.1545E-2</c:v>
                </c:pt>
                <c:pt idx="4320">
                  <c:v>4.6179999999999997E-3</c:v>
                </c:pt>
                <c:pt idx="4321">
                  <c:v>1.0496E-2</c:v>
                </c:pt>
                <c:pt idx="4322">
                  <c:v>7.7899999999999996E-5</c:v>
                </c:pt>
                <c:pt idx="4323">
                  <c:v>9.9500000000000001E-4</c:v>
                </c:pt>
                <c:pt idx="4324">
                  <c:v>7.4499999999999995E-5</c:v>
                </c:pt>
                <c:pt idx="4325">
                  <c:v>1.44E-4</c:v>
                </c:pt>
                <c:pt idx="4326">
                  <c:v>3.3399999999999999E-4</c:v>
                </c:pt>
                <c:pt idx="4327">
                  <c:v>1.12E-4</c:v>
                </c:pt>
                <c:pt idx="4328">
                  <c:v>1.3899999999999999E-4</c:v>
                </c:pt>
                <c:pt idx="4329">
                  <c:v>4.18E-5</c:v>
                </c:pt>
                <c:pt idx="4330">
                  <c:v>8.5199999999999997E-5</c:v>
                </c:pt>
                <c:pt idx="4331">
                  <c:v>1.6200000000000001E-4</c:v>
                </c:pt>
                <c:pt idx="4332">
                  <c:v>1.64E-4</c:v>
                </c:pt>
                <c:pt idx="4333">
                  <c:v>1.74E-4</c:v>
                </c:pt>
                <c:pt idx="4334">
                  <c:v>5.0000000000000002E-5</c:v>
                </c:pt>
                <c:pt idx="4335">
                  <c:v>7.9799999999999998E-6</c:v>
                </c:pt>
                <c:pt idx="4336">
                  <c:v>5.3700000000000003E-6</c:v>
                </c:pt>
                <c:pt idx="4337">
                  <c:v>7.8799999999999996E-4</c:v>
                </c:pt>
                <c:pt idx="4338">
                  <c:v>1.774E-3</c:v>
                </c:pt>
                <c:pt idx="4339">
                  <c:v>8.9400000000000005E-4</c:v>
                </c:pt>
                <c:pt idx="4340">
                  <c:v>3.4499999999999998E-4</c:v>
                </c:pt>
                <c:pt idx="4341">
                  <c:v>9.9900000000000002E-5</c:v>
                </c:pt>
                <c:pt idx="4342">
                  <c:v>1.1E-4</c:v>
                </c:pt>
                <c:pt idx="4343">
                  <c:v>1.5009999999999999E-3</c:v>
                </c:pt>
                <c:pt idx="4344">
                  <c:v>5.2999999999999998E-4</c:v>
                </c:pt>
                <c:pt idx="4345">
                  <c:v>2.676E-3</c:v>
                </c:pt>
                <c:pt idx="4346">
                  <c:v>6.5300000000000004E-4</c:v>
                </c:pt>
                <c:pt idx="4347">
                  <c:v>3.3166000000000001E-2</c:v>
                </c:pt>
                <c:pt idx="4348">
                  <c:v>4.9119999999999997E-2</c:v>
                </c:pt>
                <c:pt idx="4349">
                  <c:v>2.3404999999999999E-2</c:v>
                </c:pt>
                <c:pt idx="4350">
                  <c:v>2.1621000000000001E-2</c:v>
                </c:pt>
                <c:pt idx="4351">
                  <c:v>5.7730000000000004E-3</c:v>
                </c:pt>
                <c:pt idx="4352">
                  <c:v>5.7619999999999998E-3</c:v>
                </c:pt>
                <c:pt idx="4353">
                  <c:v>9.9710000000000007E-3</c:v>
                </c:pt>
                <c:pt idx="4354">
                  <c:v>4.2399999999999998E-3</c:v>
                </c:pt>
                <c:pt idx="4355">
                  <c:v>2.0569999999999998E-3</c:v>
                </c:pt>
                <c:pt idx="4356">
                  <c:v>1.784E-3</c:v>
                </c:pt>
                <c:pt idx="4357">
                  <c:v>6.6020000000000002E-3</c:v>
                </c:pt>
                <c:pt idx="4358">
                  <c:v>2.4350000000000001E-3</c:v>
                </c:pt>
                <c:pt idx="4359">
                  <c:v>2.9599999999999998E-4</c:v>
                </c:pt>
                <c:pt idx="4360">
                  <c:v>6.7599999999999995E-4</c:v>
                </c:pt>
                <c:pt idx="4361">
                  <c:v>5.888E-3</c:v>
                </c:pt>
                <c:pt idx="4362">
                  <c:v>3.6319999999999998E-3</c:v>
                </c:pt>
                <c:pt idx="4363">
                  <c:v>2.823E-3</c:v>
                </c:pt>
                <c:pt idx="4364">
                  <c:v>6.2E-4</c:v>
                </c:pt>
                <c:pt idx="4365">
                  <c:v>2.5400000000000002E-3</c:v>
                </c:pt>
                <c:pt idx="4366">
                  <c:v>2.8549999999999999E-3</c:v>
                </c:pt>
                <c:pt idx="4367">
                  <c:v>4.1600000000000002E-5</c:v>
                </c:pt>
                <c:pt idx="4368">
                  <c:v>3.1199999999999999E-5</c:v>
                </c:pt>
                <c:pt idx="4369">
                  <c:v>2.7100000000000001E-5</c:v>
                </c:pt>
                <c:pt idx="4370">
                  <c:v>1.7900000000000001E-5</c:v>
                </c:pt>
                <c:pt idx="4371">
                  <c:v>2.6999999999999999E-5</c:v>
                </c:pt>
                <c:pt idx="4372">
                  <c:v>1.84E-5</c:v>
                </c:pt>
                <c:pt idx="4373">
                  <c:v>2.3E-5</c:v>
                </c:pt>
                <c:pt idx="4374">
                  <c:v>1.8600000000000001E-5</c:v>
                </c:pt>
                <c:pt idx="4375">
                  <c:v>5.5600000000000003E-5</c:v>
                </c:pt>
                <c:pt idx="4376">
                  <c:v>2.6343999999999999E-2</c:v>
                </c:pt>
                <c:pt idx="4377">
                  <c:v>9.4671000000000005E-2</c:v>
                </c:pt>
                <c:pt idx="4378">
                  <c:v>1.0916E-2</c:v>
                </c:pt>
                <c:pt idx="4379">
                  <c:v>1.879E-3</c:v>
                </c:pt>
                <c:pt idx="4380">
                  <c:v>2.72E-4</c:v>
                </c:pt>
                <c:pt idx="4381">
                  <c:v>9.2399999999999996E-5</c:v>
                </c:pt>
                <c:pt idx="4382">
                  <c:v>1.6789999999999999E-3</c:v>
                </c:pt>
                <c:pt idx="4383">
                  <c:v>2.5610000000000001E-2</c:v>
                </c:pt>
                <c:pt idx="4384">
                  <c:v>5.2793E-2</c:v>
                </c:pt>
                <c:pt idx="4385">
                  <c:v>5.594E-3</c:v>
                </c:pt>
                <c:pt idx="4386">
                  <c:v>1.805E-3</c:v>
                </c:pt>
                <c:pt idx="4387">
                  <c:v>1.627E-3</c:v>
                </c:pt>
                <c:pt idx="4388">
                  <c:v>4.0200000000000001E-5</c:v>
                </c:pt>
                <c:pt idx="4389">
                  <c:v>8.5019999999999991E-3</c:v>
                </c:pt>
                <c:pt idx="4390">
                  <c:v>9.5510000000000005E-3</c:v>
                </c:pt>
                <c:pt idx="4391">
                  <c:v>9.3727000000000005E-2</c:v>
                </c:pt>
                <c:pt idx="4392">
                  <c:v>4.8910000000000002E-2</c:v>
                </c:pt>
                <c:pt idx="4393">
                  <c:v>1.0706E-2</c:v>
                </c:pt>
                <c:pt idx="4394">
                  <c:v>3.1489999999999999E-3</c:v>
                </c:pt>
                <c:pt idx="4395">
                  <c:v>5.2480000000000001E-3</c:v>
                </c:pt>
                <c:pt idx="4396">
                  <c:v>1.0286E-2</c:v>
                </c:pt>
                <c:pt idx="4397">
                  <c:v>1.4694E-2</c:v>
                </c:pt>
                <c:pt idx="4398">
                  <c:v>1.2489999999999999E-2</c:v>
                </c:pt>
                <c:pt idx="4399">
                  <c:v>9.3410000000000003E-3</c:v>
                </c:pt>
                <c:pt idx="4400">
                  <c:v>4.6179999999999997E-3</c:v>
                </c:pt>
                <c:pt idx="4401">
                  <c:v>7.5358999999999995E-2</c:v>
                </c:pt>
                <c:pt idx="4402">
                  <c:v>0.18577399999999999</c:v>
                </c:pt>
                <c:pt idx="4403">
                  <c:v>0.33796199999999998</c:v>
                </c:pt>
                <c:pt idx="4404">
                  <c:v>0.21516199999999999</c:v>
                </c:pt>
                <c:pt idx="4405">
                  <c:v>3.6525000000000002E-2</c:v>
                </c:pt>
                <c:pt idx="4406">
                  <c:v>2.3720000000000001E-2</c:v>
                </c:pt>
                <c:pt idx="4407">
                  <c:v>1.9417E-2</c:v>
                </c:pt>
                <c:pt idx="4408">
                  <c:v>3.1171999999999998E-2</c:v>
                </c:pt>
                <c:pt idx="4409">
                  <c:v>6.0455000000000002E-2</c:v>
                </c:pt>
                <c:pt idx="4410">
                  <c:v>4.1353000000000001E-2</c:v>
                </c:pt>
                <c:pt idx="4411">
                  <c:v>7.2734999999999994E-2</c:v>
                </c:pt>
                <c:pt idx="4412">
                  <c:v>6.1295000000000002E-2</c:v>
                </c:pt>
                <c:pt idx="4413">
                  <c:v>0.115453</c:v>
                </c:pt>
                <c:pt idx="4414">
                  <c:v>0.14169200000000001</c:v>
                </c:pt>
                <c:pt idx="4415">
                  <c:v>0.12175</c:v>
                </c:pt>
                <c:pt idx="4416">
                  <c:v>5.8041000000000002E-2</c:v>
                </c:pt>
                <c:pt idx="4417">
                  <c:v>3.2011999999999999E-2</c:v>
                </c:pt>
                <c:pt idx="4418">
                  <c:v>1.3539000000000001E-2</c:v>
                </c:pt>
                <c:pt idx="4419">
                  <c:v>1.8053E-2</c:v>
                </c:pt>
                <c:pt idx="4420">
                  <c:v>8.397E-3</c:v>
                </c:pt>
                <c:pt idx="4421">
                  <c:v>1.2489999999999999E-2</c:v>
                </c:pt>
                <c:pt idx="4422">
                  <c:v>5.3530000000000001E-3</c:v>
                </c:pt>
                <c:pt idx="4423">
                  <c:v>2.351E-2</c:v>
                </c:pt>
                <c:pt idx="4424">
                  <c:v>3.1489999999999999E-3</c:v>
                </c:pt>
                <c:pt idx="4425">
                  <c:v>6.1190000000000001E-2</c:v>
                </c:pt>
                <c:pt idx="4426">
                  <c:v>1.5639E-2</c:v>
                </c:pt>
                <c:pt idx="4427">
                  <c:v>7.7144000000000004E-2</c:v>
                </c:pt>
                <c:pt idx="4428">
                  <c:v>0.112304</c:v>
                </c:pt>
                <c:pt idx="4429">
                  <c:v>0.123849</c:v>
                </c:pt>
                <c:pt idx="4430">
                  <c:v>0.17737800000000001</c:v>
                </c:pt>
                <c:pt idx="4431">
                  <c:v>7.5044E-2</c:v>
                </c:pt>
                <c:pt idx="4432">
                  <c:v>7.1686E-2</c:v>
                </c:pt>
                <c:pt idx="4433">
                  <c:v>0.12175</c:v>
                </c:pt>
                <c:pt idx="4434">
                  <c:v>0.14064299999999999</c:v>
                </c:pt>
                <c:pt idx="4435">
                  <c:v>0.30857400000000001</c:v>
                </c:pt>
                <c:pt idx="4436">
                  <c:v>0.38519300000000001</c:v>
                </c:pt>
                <c:pt idx="4437">
                  <c:v>0.34845799999999999</c:v>
                </c:pt>
                <c:pt idx="4438">
                  <c:v>0.33376400000000001</c:v>
                </c:pt>
                <c:pt idx="4439">
                  <c:v>3.9988999999999997E-2</c:v>
                </c:pt>
                <c:pt idx="4440">
                  <c:v>0.12594900000000001</c:v>
                </c:pt>
                <c:pt idx="4441">
                  <c:v>0.109155</c:v>
                </c:pt>
                <c:pt idx="4442">
                  <c:v>0.19627</c:v>
                </c:pt>
                <c:pt idx="4443">
                  <c:v>0.18157599999999999</c:v>
                </c:pt>
                <c:pt idx="4444">
                  <c:v>0.149039</c:v>
                </c:pt>
                <c:pt idx="4445">
                  <c:v>0.15848499999999999</c:v>
                </c:pt>
                <c:pt idx="4446">
                  <c:v>0.133296</c:v>
                </c:pt>
                <c:pt idx="4447">
                  <c:v>0.341111</c:v>
                </c:pt>
                <c:pt idx="4448">
                  <c:v>0.15218799999999999</c:v>
                </c:pt>
                <c:pt idx="4449">
                  <c:v>8.4595000000000004E-2</c:v>
                </c:pt>
                <c:pt idx="4450">
                  <c:v>0.14799000000000001</c:v>
                </c:pt>
                <c:pt idx="4451">
                  <c:v>0.21096400000000001</c:v>
                </c:pt>
                <c:pt idx="4452">
                  <c:v>0.13644400000000001</c:v>
                </c:pt>
                <c:pt idx="4453">
                  <c:v>5.1324000000000002E-2</c:v>
                </c:pt>
                <c:pt idx="4454">
                  <c:v>0.10044400000000001</c:v>
                </c:pt>
                <c:pt idx="4455">
                  <c:v>0.31802000000000002</c:v>
                </c:pt>
                <c:pt idx="4456">
                  <c:v>0.126998</c:v>
                </c:pt>
                <c:pt idx="4457">
                  <c:v>0.72315499999999999</c:v>
                </c:pt>
                <c:pt idx="4458">
                  <c:v>0.605603</c:v>
                </c:pt>
                <c:pt idx="4459">
                  <c:v>0.45866299999999999</c:v>
                </c:pt>
                <c:pt idx="4460">
                  <c:v>0.77143499999999998</c:v>
                </c:pt>
                <c:pt idx="4461">
                  <c:v>0.92572200000000004</c:v>
                </c:pt>
                <c:pt idx="4462">
                  <c:v>0.94251499999999999</c:v>
                </c:pt>
                <c:pt idx="4463">
                  <c:v>0.21936</c:v>
                </c:pt>
                <c:pt idx="4464">
                  <c:v>0.19522</c:v>
                </c:pt>
                <c:pt idx="4465">
                  <c:v>3.7989999999999999E-3</c:v>
                </c:pt>
                <c:pt idx="4466">
                  <c:v>2.96E-3</c:v>
                </c:pt>
                <c:pt idx="4467">
                  <c:v>6.2974000000000002E-2</c:v>
                </c:pt>
                <c:pt idx="4468">
                  <c:v>7.8609999999999999E-3</c:v>
                </c:pt>
                <c:pt idx="4469">
                  <c:v>5.7936000000000001E-2</c:v>
                </c:pt>
                <c:pt idx="4470">
                  <c:v>1.3435000000000001E-2</c:v>
                </c:pt>
                <c:pt idx="4471">
                  <c:v>1.5952999999999998E-2</c:v>
                </c:pt>
                <c:pt idx="4472">
                  <c:v>3.3271000000000002E-2</c:v>
                </c:pt>
                <c:pt idx="4473">
                  <c:v>9.7924999999999998E-2</c:v>
                </c:pt>
                <c:pt idx="4474">
                  <c:v>2.2985999999999999E-2</c:v>
                </c:pt>
                <c:pt idx="4475">
                  <c:v>0.341111</c:v>
                </c:pt>
                <c:pt idx="4476">
                  <c:v>0.24560000000000001</c:v>
                </c:pt>
                <c:pt idx="4477">
                  <c:v>4.6915999999999999E-2</c:v>
                </c:pt>
                <c:pt idx="4478">
                  <c:v>0.138543</c:v>
                </c:pt>
                <c:pt idx="4479">
                  <c:v>3.2957E-2</c:v>
                </c:pt>
                <c:pt idx="4480">
                  <c:v>8.5855000000000001E-2</c:v>
                </c:pt>
                <c:pt idx="4481">
                  <c:v>7.2840000000000002E-2</c:v>
                </c:pt>
                <c:pt idx="4482">
                  <c:v>2.372E-3</c:v>
                </c:pt>
                <c:pt idx="4483">
                  <c:v>2.1305999999999999E-2</c:v>
                </c:pt>
                <c:pt idx="4484">
                  <c:v>2.026E-3</c:v>
                </c:pt>
                <c:pt idx="4485">
                  <c:v>3.2330000000000002E-3</c:v>
                </c:pt>
                <c:pt idx="4486">
                  <c:v>5.731E-3</c:v>
                </c:pt>
                <c:pt idx="4487">
                  <c:v>1.3854E-2</c:v>
                </c:pt>
                <c:pt idx="4488">
                  <c:v>1.011E-3</c:v>
                </c:pt>
                <c:pt idx="4489">
                  <c:v>3.2330000000000002E-3</c:v>
                </c:pt>
                <c:pt idx="4490">
                  <c:v>3.3379999999999998E-3</c:v>
                </c:pt>
                <c:pt idx="4491">
                  <c:v>2.9390000000000002E-3</c:v>
                </c:pt>
                <c:pt idx="4492">
                  <c:v>6.0034999999999998E-2</c:v>
                </c:pt>
                <c:pt idx="4493">
                  <c:v>4.2090000000000001E-3</c:v>
                </c:pt>
                <c:pt idx="4494">
                  <c:v>7.7247999999999997E-2</c:v>
                </c:pt>
                <c:pt idx="4495">
                  <c:v>5.6781999999999999E-2</c:v>
                </c:pt>
                <c:pt idx="4496">
                  <c:v>2.6658999999999999E-2</c:v>
                </c:pt>
                <c:pt idx="4497">
                  <c:v>3.2537000000000003E-2</c:v>
                </c:pt>
                <c:pt idx="4498">
                  <c:v>5.5209999999999999E-3</c:v>
                </c:pt>
                <c:pt idx="4499">
                  <c:v>1.364E-3</c:v>
                </c:pt>
                <c:pt idx="4500">
                  <c:v>4.849E-3</c:v>
                </c:pt>
                <c:pt idx="4501">
                  <c:v>2.5709999999999999E-3</c:v>
                </c:pt>
                <c:pt idx="4502">
                  <c:v>1.2385E-2</c:v>
                </c:pt>
                <c:pt idx="4503">
                  <c:v>1.333E-3</c:v>
                </c:pt>
                <c:pt idx="4504">
                  <c:v>1.2589999999999999E-3</c:v>
                </c:pt>
                <c:pt idx="4505">
                  <c:v>1.627E-3</c:v>
                </c:pt>
                <c:pt idx="4506">
                  <c:v>7.1100000000000004E-4</c:v>
                </c:pt>
                <c:pt idx="4507">
                  <c:v>3.3500000000000001E-4</c:v>
                </c:pt>
                <c:pt idx="4508">
                  <c:v>2.5700000000000001E-4</c:v>
                </c:pt>
                <c:pt idx="4509">
                  <c:v>5.3200000000000003E-4</c:v>
                </c:pt>
                <c:pt idx="4510">
                  <c:v>1.4378999999999999E-2</c:v>
                </c:pt>
                <c:pt idx="4511">
                  <c:v>2.8899999999999998E-4</c:v>
                </c:pt>
                <c:pt idx="4512">
                  <c:v>8.0799999999999999E-5</c:v>
                </c:pt>
                <c:pt idx="4513">
                  <c:v>1.134E-3</c:v>
                </c:pt>
                <c:pt idx="4514">
                  <c:v>1.3015000000000001E-2</c:v>
                </c:pt>
                <c:pt idx="4515">
                  <c:v>0.110205</c:v>
                </c:pt>
                <c:pt idx="4516">
                  <c:v>0.106007</c:v>
                </c:pt>
                <c:pt idx="4517">
                  <c:v>0.178427</c:v>
                </c:pt>
                <c:pt idx="4518">
                  <c:v>0.143791</c:v>
                </c:pt>
                <c:pt idx="4519">
                  <c:v>0.15428700000000001</c:v>
                </c:pt>
                <c:pt idx="4520">
                  <c:v>8.2600999999999994E-2</c:v>
                </c:pt>
                <c:pt idx="4521">
                  <c:v>9.8345000000000002E-2</c:v>
                </c:pt>
                <c:pt idx="4522">
                  <c:v>9.4461000000000003E-2</c:v>
                </c:pt>
                <c:pt idx="4523">
                  <c:v>6.7696999999999993E-2</c:v>
                </c:pt>
                <c:pt idx="4524">
                  <c:v>2.7184E-2</c:v>
                </c:pt>
                <c:pt idx="4525">
                  <c:v>0.191022</c:v>
                </c:pt>
                <c:pt idx="4526">
                  <c:v>0.19731899999999999</c:v>
                </c:pt>
                <c:pt idx="4527">
                  <c:v>9.6245999999999998E-2</c:v>
                </c:pt>
                <c:pt idx="4528">
                  <c:v>0.102753</c:v>
                </c:pt>
                <c:pt idx="4529">
                  <c:v>1.8158000000000001E-2</c:v>
                </c:pt>
                <c:pt idx="4530">
                  <c:v>3.7784999999999999E-2</c:v>
                </c:pt>
                <c:pt idx="4531">
                  <c:v>7.2106000000000003E-2</c:v>
                </c:pt>
                <c:pt idx="4532">
                  <c:v>0.11965099999999999</c:v>
                </c:pt>
                <c:pt idx="4533">
                  <c:v>8.0712000000000006E-2</c:v>
                </c:pt>
                <c:pt idx="4534">
                  <c:v>2.7078999999999999E-2</c:v>
                </c:pt>
                <c:pt idx="4535">
                  <c:v>2.1305999999999999E-2</c:v>
                </c:pt>
                <c:pt idx="4536">
                  <c:v>0.34740799999999999</c:v>
                </c:pt>
                <c:pt idx="4537">
                  <c:v>0.225658</c:v>
                </c:pt>
                <c:pt idx="4538">
                  <c:v>0.484902</c:v>
                </c:pt>
                <c:pt idx="4539">
                  <c:v>0.54157900000000003</c:v>
                </c:pt>
                <c:pt idx="4540">
                  <c:v>0.74414599999999997</c:v>
                </c:pt>
                <c:pt idx="4541">
                  <c:v>0.32536700000000002</c:v>
                </c:pt>
                <c:pt idx="4542">
                  <c:v>0.248748</c:v>
                </c:pt>
                <c:pt idx="4543">
                  <c:v>0.55102499999999999</c:v>
                </c:pt>
                <c:pt idx="4544">
                  <c:v>0.38834099999999999</c:v>
                </c:pt>
                <c:pt idx="4545">
                  <c:v>0.242451</c:v>
                </c:pt>
                <c:pt idx="4546">
                  <c:v>0.23930199999999999</c:v>
                </c:pt>
                <c:pt idx="4547">
                  <c:v>0.34425899999999998</c:v>
                </c:pt>
                <c:pt idx="4548">
                  <c:v>0.44081999999999999</c:v>
                </c:pt>
                <c:pt idx="4549">
                  <c:v>0.40828300000000001</c:v>
                </c:pt>
                <c:pt idx="4550">
                  <c:v>0.25714500000000001</c:v>
                </c:pt>
                <c:pt idx="4551">
                  <c:v>0.37679600000000002</c:v>
                </c:pt>
                <c:pt idx="4552">
                  <c:v>0.19941900000000001</c:v>
                </c:pt>
                <c:pt idx="4553">
                  <c:v>0.33796199999999998</c:v>
                </c:pt>
                <c:pt idx="4554">
                  <c:v>0.82391400000000004</c:v>
                </c:pt>
                <c:pt idx="4555">
                  <c:v>0.791377</c:v>
                </c:pt>
                <c:pt idx="4556">
                  <c:v>0.28653299999999998</c:v>
                </c:pt>
                <c:pt idx="4557">
                  <c:v>0.17213000000000001</c:v>
                </c:pt>
                <c:pt idx="4558">
                  <c:v>7.7144000000000004E-2</c:v>
                </c:pt>
                <c:pt idx="4559">
                  <c:v>0.17632800000000001</c:v>
                </c:pt>
                <c:pt idx="4560">
                  <c:v>0.60140400000000005</c:v>
                </c:pt>
                <c:pt idx="4561">
                  <c:v>0.57201599999999997</c:v>
                </c:pt>
                <c:pt idx="4562">
                  <c:v>0.28338400000000002</c:v>
                </c:pt>
                <c:pt idx="4563">
                  <c:v>0.491199</c:v>
                </c:pt>
                <c:pt idx="4564">
                  <c:v>0.31067299999999998</c:v>
                </c:pt>
                <c:pt idx="4565">
                  <c:v>0.31907000000000002</c:v>
                </c:pt>
                <c:pt idx="4566">
                  <c:v>0.35160599999999997</c:v>
                </c:pt>
                <c:pt idx="4567">
                  <c:v>0.38309399999999999</c:v>
                </c:pt>
                <c:pt idx="4568">
                  <c:v>9.1628000000000001E-2</c:v>
                </c:pt>
                <c:pt idx="4569">
                  <c:v>0.31172299999999997</c:v>
                </c:pt>
                <c:pt idx="4570">
                  <c:v>4.7021E-2</c:v>
                </c:pt>
                <c:pt idx="4571">
                  <c:v>0.374697</c:v>
                </c:pt>
                <c:pt idx="4572">
                  <c:v>0.66332899999999995</c:v>
                </c:pt>
                <c:pt idx="4573">
                  <c:v>0.40198600000000001</c:v>
                </c:pt>
                <c:pt idx="4574">
                  <c:v>0.55522300000000002</c:v>
                </c:pt>
                <c:pt idx="4575">
                  <c:v>0.37049900000000002</c:v>
                </c:pt>
                <c:pt idx="4576">
                  <c:v>0.26764100000000002</c:v>
                </c:pt>
                <c:pt idx="4577">
                  <c:v>0.35580499999999998</c:v>
                </c:pt>
                <c:pt idx="4578">
                  <c:v>0.16373299999999999</c:v>
                </c:pt>
                <c:pt idx="4579">
                  <c:v>0.22040999999999999</c:v>
                </c:pt>
                <c:pt idx="4580">
                  <c:v>0.34321000000000002</c:v>
                </c:pt>
                <c:pt idx="4581">
                  <c:v>4.4609999999999997E-3</c:v>
                </c:pt>
                <c:pt idx="4582">
                  <c:v>2.0572E-2</c:v>
                </c:pt>
                <c:pt idx="4583">
                  <c:v>5.4788000000000003E-2</c:v>
                </c:pt>
                <c:pt idx="4584">
                  <c:v>3.3166000000000001E-2</c:v>
                </c:pt>
                <c:pt idx="4585">
                  <c:v>3.5999999999999997E-2</c:v>
                </c:pt>
                <c:pt idx="4586">
                  <c:v>3.3480999999999997E-2</c:v>
                </c:pt>
                <c:pt idx="4587">
                  <c:v>4.0513E-2</c:v>
                </c:pt>
                <c:pt idx="4588">
                  <c:v>4.5551000000000001E-2</c:v>
                </c:pt>
                <c:pt idx="4589">
                  <c:v>3.6420000000000001E-2</c:v>
                </c:pt>
                <c:pt idx="4590">
                  <c:v>2.0362000000000002E-2</c:v>
                </c:pt>
                <c:pt idx="4591">
                  <c:v>5.143E-3</c:v>
                </c:pt>
                <c:pt idx="4592">
                  <c:v>2.3410000000000002E-3</c:v>
                </c:pt>
                <c:pt idx="4593">
                  <c:v>6.2030000000000002E-3</c:v>
                </c:pt>
                <c:pt idx="4594">
                  <c:v>2.036E-3</c:v>
                </c:pt>
                <c:pt idx="4595">
                  <c:v>4.7019999999999996E-3</c:v>
                </c:pt>
                <c:pt idx="4596">
                  <c:v>8.2843E-2</c:v>
                </c:pt>
                <c:pt idx="4597">
                  <c:v>2.2251E-2</c:v>
                </c:pt>
                <c:pt idx="4598">
                  <c:v>3.9988999999999997E-2</c:v>
                </c:pt>
                <c:pt idx="4599">
                  <c:v>5.9000000000000003E-4</c:v>
                </c:pt>
                <c:pt idx="4600">
                  <c:v>4.7100000000000001E-4</c:v>
                </c:pt>
                <c:pt idx="4601">
                  <c:v>2.2780000000000001E-3</c:v>
                </c:pt>
                <c:pt idx="4602">
                  <c:v>5.7799999999999995E-4</c:v>
                </c:pt>
                <c:pt idx="4603">
                  <c:v>7.2740000000000001E-3</c:v>
                </c:pt>
                <c:pt idx="4604">
                  <c:v>7.7879999999999998E-3</c:v>
                </c:pt>
                <c:pt idx="4605">
                  <c:v>1.176E-3</c:v>
                </c:pt>
                <c:pt idx="4606">
                  <c:v>6.6649999999999999E-3</c:v>
                </c:pt>
                <c:pt idx="4607">
                  <c:v>5.1850000000000004E-3</c:v>
                </c:pt>
                <c:pt idx="4608">
                  <c:v>1.9419999999999999E-3</c:v>
                </c:pt>
                <c:pt idx="4609">
                  <c:v>9.4149999999999998E-3</c:v>
                </c:pt>
                <c:pt idx="4610">
                  <c:v>7.7039999999999999E-3</c:v>
                </c:pt>
                <c:pt idx="4611">
                  <c:v>5.9090000000000002E-3</c:v>
                </c:pt>
                <c:pt idx="4612">
                  <c:v>9.1839999999999995E-3</c:v>
                </c:pt>
                <c:pt idx="4613">
                  <c:v>2.7390000000000001E-3</c:v>
                </c:pt>
                <c:pt idx="4614">
                  <c:v>1.7843000000000001E-2</c:v>
                </c:pt>
                <c:pt idx="4615">
                  <c:v>1.1440000000000001E-2</c:v>
                </c:pt>
                <c:pt idx="4616">
                  <c:v>2.7390000000000001E-3</c:v>
                </c:pt>
                <c:pt idx="4617">
                  <c:v>7.6410000000000002E-3</c:v>
                </c:pt>
                <c:pt idx="4618">
                  <c:v>1.7947999999999999E-2</c:v>
                </c:pt>
                <c:pt idx="4619">
                  <c:v>1.6268000000000001E-2</c:v>
                </c:pt>
                <c:pt idx="4620">
                  <c:v>6.182E-2</c:v>
                </c:pt>
                <c:pt idx="4621">
                  <c:v>3.516E-3</c:v>
                </c:pt>
                <c:pt idx="4622">
                  <c:v>2.5295000000000002E-2</c:v>
                </c:pt>
                <c:pt idx="4623">
                  <c:v>3.9044000000000002E-2</c:v>
                </c:pt>
                <c:pt idx="4624">
                  <c:v>8.5649999999999997E-3</c:v>
                </c:pt>
                <c:pt idx="4625">
                  <c:v>2.823E-3</c:v>
                </c:pt>
                <c:pt idx="4626">
                  <c:v>2.6970000000000002E-3</c:v>
                </c:pt>
                <c:pt idx="4627">
                  <c:v>2.0569999999999998E-3</c:v>
                </c:pt>
                <c:pt idx="4628">
                  <c:v>4.849E-3</c:v>
                </c:pt>
                <c:pt idx="4629">
                  <c:v>1.024E-3</c:v>
                </c:pt>
                <c:pt idx="4630">
                  <c:v>1.6069999999999999E-3</c:v>
                </c:pt>
                <c:pt idx="4631">
                  <c:v>3.8000000000000002E-4</c:v>
                </c:pt>
                <c:pt idx="4632">
                  <c:v>1.732E-3</c:v>
                </c:pt>
                <c:pt idx="4633">
                  <c:v>3.705E-3</c:v>
                </c:pt>
                <c:pt idx="4634">
                  <c:v>1.0160000000000001E-2</c:v>
                </c:pt>
                <c:pt idx="4635">
                  <c:v>3.7889999999999998E-3</c:v>
                </c:pt>
                <c:pt idx="4636">
                  <c:v>2.036E-3</c:v>
                </c:pt>
                <c:pt idx="4637">
                  <c:v>1.9732E-2</c:v>
                </c:pt>
                <c:pt idx="4638">
                  <c:v>3.8623999999999999E-2</c:v>
                </c:pt>
                <c:pt idx="4639">
                  <c:v>4.0720000000000001E-3</c:v>
                </c:pt>
                <c:pt idx="4640">
                  <c:v>3.8834E-2</c:v>
                </c:pt>
                <c:pt idx="4641">
                  <c:v>1.2784E-2</c:v>
                </c:pt>
                <c:pt idx="4642">
                  <c:v>2.6699999999999998E-4</c:v>
                </c:pt>
                <c:pt idx="4643">
                  <c:v>4.6400000000000003E-5</c:v>
                </c:pt>
                <c:pt idx="4644">
                  <c:v>7.5699999999999997E-5</c:v>
                </c:pt>
                <c:pt idx="4645">
                  <c:v>1.83E-4</c:v>
                </c:pt>
                <c:pt idx="4646">
                  <c:v>8.03E-4</c:v>
                </c:pt>
                <c:pt idx="4647">
                  <c:v>2.1619999999999999E-3</c:v>
                </c:pt>
                <c:pt idx="4648">
                  <c:v>2.6899999999999998E-4</c:v>
                </c:pt>
                <c:pt idx="4649">
                  <c:v>2.7700000000000001E-4</c:v>
                </c:pt>
                <c:pt idx="4650">
                  <c:v>1.6000000000000001E-4</c:v>
                </c:pt>
                <c:pt idx="4651">
                  <c:v>5.7730000000000004E-3</c:v>
                </c:pt>
                <c:pt idx="4652">
                  <c:v>4.4489999999999998E-3</c:v>
                </c:pt>
                <c:pt idx="4653">
                  <c:v>4.7650000000000001E-3</c:v>
                </c:pt>
                <c:pt idx="4654">
                  <c:v>8.5540000000000008E-3</c:v>
                </c:pt>
                <c:pt idx="4655">
                  <c:v>7.8510000000000003E-3</c:v>
                </c:pt>
                <c:pt idx="4656">
                  <c:v>5.594E-3</c:v>
                </c:pt>
                <c:pt idx="4657">
                  <c:v>2.183E-3</c:v>
                </c:pt>
                <c:pt idx="4658">
                  <c:v>7.0399999999999998E-4</c:v>
                </c:pt>
                <c:pt idx="4659">
                  <c:v>3.5100000000000002E-4</c:v>
                </c:pt>
                <c:pt idx="4660">
                  <c:v>2.9300000000000002E-4</c:v>
                </c:pt>
                <c:pt idx="4661">
                  <c:v>4.1980000000000003E-3</c:v>
                </c:pt>
                <c:pt idx="4662">
                  <c:v>8.2299999999999995E-4</c:v>
                </c:pt>
                <c:pt idx="4663">
                  <c:v>8.4800000000000001E-4</c:v>
                </c:pt>
                <c:pt idx="4664">
                  <c:v>4.17E-4</c:v>
                </c:pt>
                <c:pt idx="4665">
                  <c:v>2.2360000000000001E-3</c:v>
                </c:pt>
                <c:pt idx="4666">
                  <c:v>5.0611414925246345E-2</c:v>
                </c:pt>
                <c:pt idx="4667">
                  <c:v>1.2311262982784007E-2</c:v>
                </c:pt>
                <c:pt idx="4668">
                  <c:v>1.0864282822516707E-2</c:v>
                </c:pt>
                <c:pt idx="4669">
                  <c:v>6.4559764223015058E-3</c:v>
                </c:pt>
                <c:pt idx="4670">
                  <c:v>1.0954603906822211E-2</c:v>
                </c:pt>
                <c:pt idx="4671">
                  <c:v>9.8553682521048021E-3</c:v>
                </c:pt>
                <c:pt idx="4672">
                  <c:v>8.4876892973911738E-3</c:v>
                </c:pt>
                <c:pt idx="4673">
                  <c:v>9.3086781954902394E-3</c:v>
                </c:pt>
                <c:pt idx="4674">
                  <c:v>2.6690040366972481E-3</c:v>
                </c:pt>
                <c:pt idx="4675">
                  <c:v>3.3624276328009964E-3</c:v>
                </c:pt>
                <c:pt idx="4676">
                  <c:v>8.7975581974176001E-3</c:v>
                </c:pt>
                <c:pt idx="4677">
                  <c:v>3.0042770746403899E-4</c:v>
                </c:pt>
                <c:pt idx="4678">
                  <c:v>1.5390544517016736E-2</c:v>
                </c:pt>
                <c:pt idx="4679">
                  <c:v>4.6986266704892969E-3</c:v>
                </c:pt>
                <c:pt idx="4680">
                  <c:v>8.5897438916543948E-3</c:v>
                </c:pt>
                <c:pt idx="4681">
                  <c:v>4.1986968362706231E-3</c:v>
                </c:pt>
                <c:pt idx="4682">
                  <c:v>1.2019707895590285E-2</c:v>
                </c:pt>
                <c:pt idx="4683">
                  <c:v>7.6330571783299345E-3</c:v>
                </c:pt>
                <c:pt idx="4684">
                  <c:v>3.9385084648318043E-4</c:v>
                </c:pt>
                <c:pt idx="4685">
                  <c:v>1.0611994280212934E-4</c:v>
                </c:pt>
                <c:pt idx="4686">
                  <c:v>7.8421538042247136E-5</c:v>
                </c:pt>
                <c:pt idx="4687">
                  <c:v>6.1690376942462335E-2</c:v>
                </c:pt>
                <c:pt idx="4688">
                  <c:v>5.1360652712651488E-3</c:v>
                </c:pt>
                <c:pt idx="4689">
                  <c:v>1.6540168529467283E-2</c:v>
                </c:pt>
                <c:pt idx="4690">
                  <c:v>1.9286472338600071E-2</c:v>
                </c:pt>
                <c:pt idx="4691">
                  <c:v>3.3450618847736618E-2</c:v>
                </c:pt>
                <c:pt idx="4692">
                  <c:v>2.9128907920394912E-2</c:v>
                </c:pt>
                <c:pt idx="4693">
                  <c:v>1.8514387688960621E-2</c:v>
                </c:pt>
                <c:pt idx="4694">
                  <c:v>5.858690596330274E-3</c:v>
                </c:pt>
                <c:pt idx="4695">
                  <c:v>1.0475379641333481E-2</c:v>
                </c:pt>
                <c:pt idx="4696">
                  <c:v>7.6816909200739976E-3</c:v>
                </c:pt>
                <c:pt idx="4697">
                  <c:v>4.9774340349888625E-2</c:v>
                </c:pt>
                <c:pt idx="4698">
                  <c:v>2.4614361611356517E-3</c:v>
                </c:pt>
                <c:pt idx="4699">
                  <c:v>4.6113558888888877E-4</c:v>
                </c:pt>
                <c:pt idx="4700">
                  <c:v>2.297621196118507E-3</c:v>
                </c:pt>
                <c:pt idx="4701">
                  <c:v>9.1526327783269315E-3</c:v>
                </c:pt>
                <c:pt idx="4702">
                  <c:v>2.2911643885679768E-2</c:v>
                </c:pt>
                <c:pt idx="4703">
                  <c:v>1.0398471424661156E-2</c:v>
                </c:pt>
                <c:pt idx="4704">
                  <c:v>1.9831259184276247E-2</c:v>
                </c:pt>
                <c:pt idx="4705">
                  <c:v>3.3417498228753728E-2</c:v>
                </c:pt>
                <c:pt idx="4706">
                  <c:v>1.8067924077743804E-2</c:v>
                </c:pt>
                <c:pt idx="4707">
                  <c:v>2.9600654387213535E-3</c:v>
                </c:pt>
                <c:pt idx="4708">
                  <c:v>3.3954674413391468E-4</c:v>
                </c:pt>
                <c:pt idx="4709">
                  <c:v>2.4125783328614038E-4</c:v>
                </c:pt>
                <c:pt idx="4710">
                  <c:v>2.1213991392003622E-4</c:v>
                </c:pt>
                <c:pt idx="4711">
                  <c:v>7.9414923977624875E-3</c:v>
                </c:pt>
                <c:pt idx="4712">
                  <c:v>1.0545288073943821E-2</c:v>
                </c:pt>
                <c:pt idx="4713">
                  <c:v>5.417975295307037E-2</c:v>
                </c:pt>
                <c:pt idx="4714">
                  <c:v>3.3801915030649943E-2</c:v>
                </c:pt>
                <c:pt idx="4715">
                  <c:v>2.3472086813625552E-2</c:v>
                </c:pt>
                <c:pt idx="4716">
                  <c:v>9.3184439961112985E-3</c:v>
                </c:pt>
                <c:pt idx="4717">
                  <c:v>3.5640465266734617E-2</c:v>
                </c:pt>
                <c:pt idx="4718">
                  <c:v>3.1897345460414547E-2</c:v>
                </c:pt>
                <c:pt idx="4719">
                  <c:v>0.18598577176633818</c:v>
                </c:pt>
                <c:pt idx="4720">
                  <c:v>0.20390833874806508</c:v>
                </c:pt>
                <c:pt idx="4721">
                  <c:v>0.23996890136061089</c:v>
                </c:pt>
                <c:pt idx="4722">
                  <c:v>0.49991120616151319</c:v>
                </c:pt>
                <c:pt idx="4723">
                  <c:v>0.16979040890814359</c:v>
                </c:pt>
                <c:pt idx="4724">
                  <c:v>0.14207305951410126</c:v>
                </c:pt>
                <c:pt idx="4725">
                  <c:v>5.27991052882546E-2</c:v>
                </c:pt>
                <c:pt idx="4726">
                  <c:v>0.32767337045758294</c:v>
                </c:pt>
                <c:pt idx="4727">
                  <c:v>0.44618443695624271</c:v>
                </c:pt>
                <c:pt idx="4728">
                  <c:v>0.17146519454524864</c:v>
                </c:pt>
                <c:pt idx="4729">
                  <c:v>5.7760265099388371E-2</c:v>
                </c:pt>
                <c:pt idx="4730">
                  <c:v>0.14478661759806699</c:v>
                </c:pt>
                <c:pt idx="4731">
                  <c:v>0.3223886872805527</c:v>
                </c:pt>
                <c:pt idx="4732">
                  <c:v>0.16949014341997501</c:v>
                </c:pt>
                <c:pt idx="4733">
                  <c:v>0.35892040157610006</c:v>
                </c:pt>
                <c:pt idx="4734">
                  <c:v>0.96052506329325016</c:v>
                </c:pt>
                <c:pt idx="4735">
                  <c:v>1.0057693219020563</c:v>
                </c:pt>
                <c:pt idx="4736">
                  <c:v>1.8299653837500003</c:v>
                </c:pt>
                <c:pt idx="4737">
                  <c:v>1.2735451732500001</c:v>
                </c:pt>
                <c:pt idx="4738">
                  <c:v>1.1148907439250002</c:v>
                </c:pt>
                <c:pt idx="4739">
                  <c:v>0.85981596636285007</c:v>
                </c:pt>
                <c:pt idx="4740">
                  <c:v>0.74622515181900007</c:v>
                </c:pt>
                <c:pt idx="4741">
                  <c:v>0.58111233536317497</c:v>
                </c:pt>
                <c:pt idx="4742">
                  <c:v>0.56019074109075007</c:v>
                </c:pt>
                <c:pt idx="4743">
                  <c:v>0.22788290000227501</c:v>
                </c:pt>
                <c:pt idx="4744">
                  <c:v>0.42819075048749994</c:v>
                </c:pt>
                <c:pt idx="4745">
                  <c:v>0.17884789819312499</c:v>
                </c:pt>
                <c:pt idx="4746">
                  <c:v>0.19446147798000002</c:v>
                </c:pt>
                <c:pt idx="4747">
                  <c:v>0.26878280191770004</c:v>
                </c:pt>
                <c:pt idx="4748">
                  <c:v>0.22000162476600002</c:v>
                </c:pt>
                <c:pt idx="4749">
                  <c:v>1.1680960737599999</c:v>
                </c:pt>
                <c:pt idx="4750">
                  <c:v>0.55759193027999998</c:v>
                </c:pt>
                <c:pt idx="4751">
                  <c:v>1.0130699779199999</c:v>
                </c:pt>
                <c:pt idx="4752">
                  <c:v>8.8246932390160561E-4</c:v>
                </c:pt>
                <c:pt idx="4753">
                  <c:v>2.1386750293455278E-3</c:v>
                </c:pt>
                <c:pt idx="4754">
                  <c:v>2.6526868416798809E-2</c:v>
                </c:pt>
                <c:pt idx="4755">
                  <c:v>1.1366065698550226E-3</c:v>
                </c:pt>
                <c:pt idx="4756">
                  <c:v>4.6176363766829015E-3</c:v>
                </c:pt>
                <c:pt idx="4757">
                  <c:v>3.155217156010495E-3</c:v>
                </c:pt>
                <c:pt idx="4758">
                  <c:v>5.1206006514327776E-4</c:v>
                </c:pt>
                <c:pt idx="4759">
                  <c:v>1.5976171674795182E-2</c:v>
                </c:pt>
                <c:pt idx="4760">
                  <c:v>7.4569349128440342E-4</c:v>
                </c:pt>
                <c:pt idx="4761">
                  <c:v>8.6907431181711798E-4</c:v>
                </c:pt>
                <c:pt idx="4762">
                  <c:v>2.5779341644769147E-4</c:v>
                </c:pt>
                <c:pt idx="4763">
                  <c:v>5.5427694105410197E-4</c:v>
                </c:pt>
                <c:pt idx="4764">
                  <c:v>1.0848412650885338E-3</c:v>
                </c:pt>
                <c:pt idx="4765">
                  <c:v>5.8032996184920909E-4</c:v>
                </c:pt>
                <c:pt idx="4766">
                  <c:v>2.0131291387095549E-4</c:v>
                </c:pt>
                <c:pt idx="4767">
                  <c:v>1.1265309236606638E-5</c:v>
                </c:pt>
                <c:pt idx="4768">
                  <c:v>5.8015567787971465E-5</c:v>
                </c:pt>
                <c:pt idx="4769">
                  <c:v>6.5825938927587048E-5</c:v>
                </c:pt>
                <c:pt idx="4770">
                  <c:v>1.1017999284177137E-4</c:v>
                </c:pt>
                <c:pt idx="4771">
                  <c:v>9.3718255430966146E-5</c:v>
                </c:pt>
                <c:pt idx="4772">
                  <c:v>3.30610988042352E-5</c:v>
                </c:pt>
                <c:pt idx="4773">
                  <c:v>1.9803948769622835E-3</c:v>
                </c:pt>
                <c:pt idx="4774">
                  <c:v>1.2582302880658435E-3</c:v>
                </c:pt>
                <c:pt idx="4775">
                  <c:v>8.6865196477517257E-3</c:v>
                </c:pt>
                <c:pt idx="4776">
                  <c:v>2.8396956903386562E-3</c:v>
                </c:pt>
                <c:pt idx="4777">
                  <c:v>1.5130074588288594E-4</c:v>
                </c:pt>
                <c:pt idx="4778">
                  <c:v>4.3408519688348159E-3</c:v>
                </c:pt>
                <c:pt idx="4779">
                  <c:v>1.402236833276702E-3</c:v>
                </c:pt>
                <c:pt idx="4780">
                  <c:v>3.6191782446105613E-4</c:v>
                </c:pt>
                <c:pt idx="4781">
                  <c:v>7.1675698720126803E-4</c:v>
                </c:pt>
                <c:pt idx="4782">
                  <c:v>7.5024350254842024E-4</c:v>
                </c:pt>
                <c:pt idx="4783">
                  <c:v>9.4561236666666705E-4</c:v>
                </c:pt>
                <c:pt idx="4784">
                  <c:v>1.6206441720240121E-3</c:v>
                </c:pt>
                <c:pt idx="4785">
                  <c:v>4.7345040086646317E-4</c:v>
                </c:pt>
                <c:pt idx="4786">
                  <c:v>2.1310057515762512E-4</c:v>
                </c:pt>
                <c:pt idx="4787">
                  <c:v>5.487625696001784E-5</c:v>
                </c:pt>
                <c:pt idx="4788">
                  <c:v>2.6919322092347178E-3</c:v>
                </c:pt>
                <c:pt idx="4789">
                  <c:v>2.5134297679050102E-3</c:v>
                </c:pt>
                <c:pt idx="4790">
                  <c:v>3.0535555337760029E-3</c:v>
                </c:pt>
                <c:pt idx="4791">
                  <c:v>4.0988644625901387E-3</c:v>
                </c:pt>
                <c:pt idx="4792">
                  <c:v>2.9292769841809188E-3</c:v>
                </c:pt>
                <c:pt idx="4793">
                  <c:v>1.3451623322762064E-4</c:v>
                </c:pt>
                <c:pt idx="4794">
                  <c:v>1.6515228926643254E-4</c:v>
                </c:pt>
                <c:pt idx="4795">
                  <c:v>3.8970212155963314E-4</c:v>
                </c:pt>
                <c:pt idx="4796">
                  <c:v>1.4860640902140642E-4</c:v>
                </c:pt>
                <c:pt idx="4797">
                  <c:v>9.0218946568127912E-5</c:v>
                </c:pt>
                <c:pt idx="4798">
                  <c:v>6.3670799344961665E-3</c:v>
                </c:pt>
                <c:pt idx="4799">
                  <c:v>5.1057345287499538E-4</c:v>
                </c:pt>
                <c:pt idx="4800">
                  <c:v>0.17899999999999999</c:v>
                </c:pt>
                <c:pt idx="4801">
                  <c:v>8.0000000000000002E-3</c:v>
                </c:pt>
                <c:pt idx="4802">
                  <c:v>0.01</c:v>
                </c:pt>
                <c:pt idx="4803">
                  <c:v>0.17299999999999999</c:v>
                </c:pt>
                <c:pt idx="4804">
                  <c:v>0.214</c:v>
                </c:pt>
                <c:pt idx="4805">
                  <c:v>0.219</c:v>
                </c:pt>
                <c:pt idx="4806">
                  <c:v>0.121</c:v>
                </c:pt>
                <c:pt idx="4807">
                  <c:v>0.23699999999999999</c:v>
                </c:pt>
                <c:pt idx="4808">
                  <c:v>0.19900000000000001</c:v>
                </c:pt>
                <c:pt idx="4809">
                  <c:v>5.0999999999999997E-2</c:v>
                </c:pt>
                <c:pt idx="4810">
                  <c:v>0.749</c:v>
                </c:pt>
                <c:pt idx="4811">
                  <c:v>1.6</c:v>
                </c:pt>
                <c:pt idx="4812">
                  <c:v>2.0499999999999998</c:v>
                </c:pt>
                <c:pt idx="4813">
                  <c:v>2.65</c:v>
                </c:pt>
                <c:pt idx="4814">
                  <c:v>0.71599999999999997</c:v>
                </c:pt>
                <c:pt idx="4815">
                  <c:v>0.58899999999999997</c:v>
                </c:pt>
                <c:pt idx="4816">
                  <c:v>0.188</c:v>
                </c:pt>
                <c:pt idx="4817">
                  <c:v>0.11799999999999999</c:v>
                </c:pt>
                <c:pt idx="4818">
                  <c:v>0.157</c:v>
                </c:pt>
                <c:pt idx="4819">
                  <c:v>0.26100000000000001</c:v>
                </c:pt>
                <c:pt idx="4820">
                  <c:v>0.27800000000000002</c:v>
                </c:pt>
                <c:pt idx="4821">
                  <c:v>1.9E-2</c:v>
                </c:pt>
                <c:pt idx="4822">
                  <c:v>1.4999999999999999E-2</c:v>
                </c:pt>
                <c:pt idx="4823">
                  <c:v>0.441</c:v>
                </c:pt>
                <c:pt idx="4824">
                  <c:v>0.72</c:v>
                </c:pt>
                <c:pt idx="4825">
                  <c:v>0.74</c:v>
                </c:pt>
                <c:pt idx="4826">
                  <c:v>0.88500000000000001</c:v>
                </c:pt>
                <c:pt idx="4827">
                  <c:v>2.84</c:v>
                </c:pt>
                <c:pt idx="4828">
                  <c:v>1.89</c:v>
                </c:pt>
                <c:pt idx="4829">
                  <c:v>1.58</c:v>
                </c:pt>
                <c:pt idx="4830">
                  <c:v>0.76300000000000001</c:v>
                </c:pt>
                <c:pt idx="4831">
                  <c:v>0.317</c:v>
                </c:pt>
                <c:pt idx="4832">
                  <c:v>0.1</c:v>
                </c:pt>
                <c:pt idx="4833">
                  <c:v>0.252</c:v>
                </c:pt>
                <c:pt idx="4834">
                  <c:v>0.84299999999999997</c:v>
                </c:pt>
                <c:pt idx="4835">
                  <c:v>1.08</c:v>
                </c:pt>
                <c:pt idx="4836">
                  <c:v>1.08</c:v>
                </c:pt>
                <c:pt idx="4837">
                  <c:v>0.72499999999999998</c:v>
                </c:pt>
                <c:pt idx="4838">
                  <c:v>9.7000000000000003E-2</c:v>
                </c:pt>
                <c:pt idx="4839">
                  <c:v>8.7999999999999995E-2</c:v>
                </c:pt>
                <c:pt idx="4840">
                  <c:v>2.9000000000000001E-2</c:v>
                </c:pt>
                <c:pt idx="4841">
                  <c:v>4.2999999999999997E-2</c:v>
                </c:pt>
                <c:pt idx="4842">
                  <c:v>5.6000000000000001E-2</c:v>
                </c:pt>
                <c:pt idx="4843">
                  <c:v>0.17699999999999999</c:v>
                </c:pt>
                <c:pt idx="4844">
                  <c:v>0.76300000000000001</c:v>
                </c:pt>
                <c:pt idx="4845">
                  <c:v>0.36099999999999999</c:v>
                </c:pt>
                <c:pt idx="4846">
                  <c:v>1.97</c:v>
                </c:pt>
                <c:pt idx="4847">
                  <c:v>0.28899999999999998</c:v>
                </c:pt>
                <c:pt idx="4848">
                  <c:v>1.9166666666666668E-3</c:v>
                </c:pt>
                <c:pt idx="4849">
                  <c:v>1.8888888888888887E-3</c:v>
                </c:pt>
                <c:pt idx="4850">
                  <c:v>1.6388888888888889E-3</c:v>
                </c:pt>
                <c:pt idx="4851">
                  <c:v>1.3611111111111111E-3</c:v>
                </c:pt>
                <c:pt idx="4852">
                  <c:v>1.4444444444444444E-2</c:v>
                </c:pt>
                <c:pt idx="4853">
                  <c:v>1.0277777777777778E-3</c:v>
                </c:pt>
                <c:pt idx="4854">
                  <c:v>1.3333333333333333E-3</c:v>
                </c:pt>
                <c:pt idx="4855">
                  <c:v>1.3888888888888889E-3</c:v>
                </c:pt>
                <c:pt idx="4856">
                  <c:v>1.7777777777777779E-3</c:v>
                </c:pt>
                <c:pt idx="4857">
                  <c:v>1.4444444444444446E-3</c:v>
                </c:pt>
                <c:pt idx="4858">
                  <c:v>1.972222222222222E-3</c:v>
                </c:pt>
                <c:pt idx="4859">
                  <c:v>9.4444444444444445E-3</c:v>
                </c:pt>
                <c:pt idx="4860">
                  <c:v>2.7777777777777776E-2</c:v>
                </c:pt>
                <c:pt idx="4861">
                  <c:v>4.7222222222222223E-3</c:v>
                </c:pt>
                <c:pt idx="4862">
                  <c:v>1.2777777777777779E-2</c:v>
                </c:pt>
                <c:pt idx="4863">
                  <c:v>4.7222222222222221E-2</c:v>
                </c:pt>
                <c:pt idx="4864">
                  <c:v>0.16111111111111112</c:v>
                </c:pt>
                <c:pt idx="4865">
                  <c:v>2.6666666666666666E-3</c:v>
                </c:pt>
                <c:pt idx="4866">
                  <c:v>4.4444444444444444E-3</c:v>
                </c:pt>
                <c:pt idx="4867">
                  <c:v>8.3333333333333332E-3</c:v>
                </c:pt>
                <c:pt idx="4868">
                  <c:v>1.7222222222222222E-3</c:v>
                </c:pt>
                <c:pt idx="4869">
                  <c:v>1.1944444444444445E-2</c:v>
                </c:pt>
                <c:pt idx="4870">
                  <c:v>8.8888888888888889E-3</c:v>
                </c:pt>
                <c:pt idx="4871">
                  <c:v>3.0555555555555557E-3</c:v>
                </c:pt>
                <c:pt idx="4872">
                  <c:v>6.9444444444444441E-3</c:v>
                </c:pt>
                <c:pt idx="4873">
                  <c:v>2.5555555555555553E-3</c:v>
                </c:pt>
                <c:pt idx="4874">
                  <c:v>4.7222222222222223E-3</c:v>
                </c:pt>
                <c:pt idx="4875">
                  <c:v>8.8888888888888889E-3</c:v>
                </c:pt>
                <c:pt idx="4876">
                  <c:v>2.5277777777777777E-3</c:v>
                </c:pt>
                <c:pt idx="4877">
                  <c:v>0.2</c:v>
                </c:pt>
                <c:pt idx="4878">
                  <c:v>0.47222222222222221</c:v>
                </c:pt>
                <c:pt idx="4879">
                  <c:v>0.88888888888888884</c:v>
                </c:pt>
                <c:pt idx="4880">
                  <c:v>0.69444444444444442</c:v>
                </c:pt>
                <c:pt idx="4881">
                  <c:v>0.69444444444444442</c:v>
                </c:pt>
                <c:pt idx="4882">
                  <c:v>0.25</c:v>
                </c:pt>
                <c:pt idx="4883">
                  <c:v>0.88888888888888884</c:v>
                </c:pt>
                <c:pt idx="4884">
                  <c:v>0.69444444444444442</c:v>
                </c:pt>
                <c:pt idx="4885">
                  <c:v>0.52777777777777779</c:v>
                </c:pt>
                <c:pt idx="4886">
                  <c:v>3.3333333333333335</c:v>
                </c:pt>
                <c:pt idx="4887">
                  <c:v>0.75</c:v>
                </c:pt>
                <c:pt idx="4888">
                  <c:v>5.2777777777777777</c:v>
                </c:pt>
                <c:pt idx="4889">
                  <c:v>2.4722222222222223</c:v>
                </c:pt>
                <c:pt idx="4890">
                  <c:v>6.9444444444444446</c:v>
                </c:pt>
                <c:pt idx="4891">
                  <c:v>15.555555555555555</c:v>
                </c:pt>
                <c:pt idx="4892">
                  <c:v>0.66666666666666663</c:v>
                </c:pt>
                <c:pt idx="4893">
                  <c:v>11.388888888888889</c:v>
                </c:pt>
                <c:pt idx="4894">
                  <c:v>3.0555555555555554</c:v>
                </c:pt>
                <c:pt idx="4895">
                  <c:v>1.1111111111111112</c:v>
                </c:pt>
                <c:pt idx="4896">
                  <c:v>1.1388888888888888</c:v>
                </c:pt>
                <c:pt idx="4897">
                  <c:v>0.69444444444444442</c:v>
                </c:pt>
                <c:pt idx="4898">
                  <c:v>0.14444444444444443</c:v>
                </c:pt>
                <c:pt idx="4899">
                  <c:v>0.3611111111111111</c:v>
                </c:pt>
                <c:pt idx="4900">
                  <c:v>2.7777777777777778E-4</c:v>
                </c:pt>
                <c:pt idx="4901">
                  <c:v>2.6944444444444444E-4</c:v>
                </c:pt>
                <c:pt idx="4902">
                  <c:v>2.138888888888889E-3</c:v>
                </c:pt>
                <c:pt idx="4903">
                  <c:v>7.2222222222222215E-2</c:v>
                </c:pt>
                <c:pt idx="4904">
                  <c:v>8.8888888888888892E-2</c:v>
                </c:pt>
                <c:pt idx="4905">
                  <c:v>0.3611111111111111</c:v>
                </c:pt>
                <c:pt idx="4906">
                  <c:v>9.7222222222222224E-2</c:v>
                </c:pt>
                <c:pt idx="4907">
                  <c:v>2.361111111111111E-2</c:v>
                </c:pt>
                <c:pt idx="4908">
                  <c:v>8.611111111111111E-2</c:v>
                </c:pt>
                <c:pt idx="4909">
                  <c:v>1.8888888888888889E-2</c:v>
                </c:pt>
                <c:pt idx="4910">
                  <c:v>2.6388888888888889E-2</c:v>
                </c:pt>
                <c:pt idx="4911">
                  <c:v>7.4999999999999997E-3</c:v>
                </c:pt>
                <c:pt idx="4912">
                  <c:v>1.0277777777777778E-2</c:v>
                </c:pt>
                <c:pt idx="4913">
                  <c:v>5.5555555555555558E-3</c:v>
                </c:pt>
                <c:pt idx="4914">
                  <c:v>1.6111111111111111E-2</c:v>
                </c:pt>
                <c:pt idx="4915">
                  <c:v>8.8888888888888889E-3</c:v>
                </c:pt>
                <c:pt idx="4916">
                  <c:v>4.1666666666666666E-3</c:v>
                </c:pt>
                <c:pt idx="4917">
                  <c:v>1.9166666666666665E-2</c:v>
                </c:pt>
                <c:pt idx="4918">
                  <c:v>0.52777777777777779</c:v>
                </c:pt>
                <c:pt idx="4919">
                  <c:v>0.33333333333333331</c:v>
                </c:pt>
                <c:pt idx="4920">
                  <c:v>0.30555555555555558</c:v>
                </c:pt>
                <c:pt idx="4921">
                  <c:v>1.8333333333333333E-2</c:v>
                </c:pt>
                <c:pt idx="4922">
                  <c:v>0.23055555555555557</c:v>
                </c:pt>
                <c:pt idx="4923">
                  <c:v>0.88888888888888884</c:v>
                </c:pt>
                <c:pt idx="4924">
                  <c:v>9.4444444444444445E-3</c:v>
                </c:pt>
                <c:pt idx="4925">
                  <c:v>1.0555555555555556E-2</c:v>
                </c:pt>
                <c:pt idx="4926">
                  <c:v>1.2777777777777779E-2</c:v>
                </c:pt>
                <c:pt idx="4927">
                  <c:v>3.8888888888888888E-3</c:v>
                </c:pt>
                <c:pt idx="4928">
                  <c:v>4.7222222222222223E-3</c:v>
                </c:pt>
                <c:pt idx="4929">
                  <c:v>5.8333333333333336E-3</c:v>
                </c:pt>
                <c:pt idx="4930">
                  <c:v>1.4722222222222222E-3</c:v>
                </c:pt>
                <c:pt idx="4931">
                  <c:v>2.2777777777777774E-3</c:v>
                </c:pt>
                <c:pt idx="4932">
                  <c:v>2.0833333333333333E-3</c:v>
                </c:pt>
                <c:pt idx="4933">
                  <c:v>9.2999999999999992E-3</c:v>
                </c:pt>
                <c:pt idx="4934">
                  <c:v>1.1020000000000002E-2</c:v>
                </c:pt>
                <c:pt idx="4935">
                  <c:v>1.375923076923077E-2</c:v>
                </c:pt>
                <c:pt idx="4936">
                  <c:v>4.8856944444444442E-3</c:v>
                </c:pt>
                <c:pt idx="4937">
                  <c:v>2.8605555555555559E-3</c:v>
                </c:pt>
                <c:pt idx="4938">
                  <c:v>2.5804999999999999E-3</c:v>
                </c:pt>
                <c:pt idx="4939">
                  <c:v>2.1659259259259257E-3</c:v>
                </c:pt>
                <c:pt idx="4940">
                  <c:v>3.4009999999999999E-3</c:v>
                </c:pt>
                <c:pt idx="4941">
                  <c:v>5.958703703703703E-3</c:v>
                </c:pt>
                <c:pt idx="4942">
                  <c:v>4.749074074074074E-3</c:v>
                </c:pt>
                <c:pt idx="4943">
                  <c:v>4.8007407407407408E-3</c:v>
                </c:pt>
                <c:pt idx="4944">
                  <c:v>2.8828333333333332E-3</c:v>
                </c:pt>
                <c:pt idx="4945">
                  <c:v>4.3620833333333341E-3</c:v>
                </c:pt>
                <c:pt idx="4946">
                  <c:v>6.9643333333333337E-3</c:v>
                </c:pt>
                <c:pt idx="4947">
                  <c:v>8.5303703703703705E-3</c:v>
                </c:pt>
                <c:pt idx="4948">
                  <c:v>1.3353703703703704E-2</c:v>
                </c:pt>
                <c:pt idx="4949">
                  <c:v>2.482111111111111E-2</c:v>
                </c:pt>
                <c:pt idx="4950">
                  <c:v>1.1815185185185184E-2</c:v>
                </c:pt>
                <c:pt idx="4951">
                  <c:v>1.365111111111111E-2</c:v>
                </c:pt>
                <c:pt idx="4952">
                  <c:v>1.456962962962963E-2</c:v>
                </c:pt>
                <c:pt idx="4953">
                  <c:v>1.5040370370370371E-2</c:v>
                </c:pt>
                <c:pt idx="4954">
                  <c:v>2.831074074074074E-2</c:v>
                </c:pt>
                <c:pt idx="4955">
                  <c:v>1.8543333333333332E-2</c:v>
                </c:pt>
                <c:pt idx="4956">
                  <c:v>1.0567166666666667E-2</c:v>
                </c:pt>
                <c:pt idx="4957">
                  <c:v>1.73835E-2</c:v>
                </c:pt>
                <c:pt idx="4958">
                  <c:v>1.8871666666666663E-3</c:v>
                </c:pt>
                <c:pt idx="4959">
                  <c:v>8.1181666666666659E-3</c:v>
                </c:pt>
                <c:pt idx="4960">
                  <c:v>2.7175000000000003E-3</c:v>
                </c:pt>
                <c:pt idx="4961">
                  <c:v>1.3428333333333335E-3</c:v>
                </c:pt>
                <c:pt idx="4962">
                  <c:v>1.2985E-3</c:v>
                </c:pt>
                <c:pt idx="4963">
                  <c:v>8.9216666666666665E-4</c:v>
                </c:pt>
                <c:pt idx="4964">
                  <c:v>2.656666666666667E-3</c:v>
                </c:pt>
                <c:pt idx="4965">
                  <c:v>3.7833333333333334E-3</c:v>
                </c:pt>
                <c:pt idx="4966">
                  <c:v>3.4933333333333335E-3</c:v>
                </c:pt>
                <c:pt idx="4967">
                  <c:v>2.6099999999999999E-3</c:v>
                </c:pt>
                <c:pt idx="4968">
                  <c:v>3.7550000000000001E-3</c:v>
                </c:pt>
                <c:pt idx="4969">
                  <c:v>3.9066666666666668E-3</c:v>
                </c:pt>
                <c:pt idx="4970">
                  <c:v>3.4859413688000003</c:v>
                </c:pt>
                <c:pt idx="4971">
                  <c:v>7.0138820312000005</c:v>
                </c:pt>
                <c:pt idx="4972">
                  <c:v>0.69298834440000001</c:v>
                </c:pt>
                <c:pt idx="4973">
                  <c:v>0.88198516560000007</c:v>
                </c:pt>
                <c:pt idx="4974">
                  <c:v>3.2969445475999999</c:v>
                </c:pt>
                <c:pt idx="4975">
                  <c:v>1.8269692716000001</c:v>
                </c:pt>
                <c:pt idx="4976">
                  <c:v>2.1629636204000002</c:v>
                </c:pt>
                <c:pt idx="4977">
                  <c:v>3.1079477263999999</c:v>
                </c:pt>
                <c:pt idx="4978">
                  <c:v>0.89248498900000006</c:v>
                </c:pt>
                <c:pt idx="4979">
                  <c:v>1.1444807506000001</c:v>
                </c:pt>
                <c:pt idx="4980">
                  <c:v>4.2524284770000005</c:v>
                </c:pt>
                <c:pt idx="4981">
                  <c:v>2.3309607948000002</c:v>
                </c:pt>
                <c:pt idx="4982">
                  <c:v>1.1654803974000001</c:v>
                </c:pt>
                <c:pt idx="4983">
                  <c:v>1.0289826932000001</c:v>
                </c:pt>
                <c:pt idx="4984">
                  <c:v>5.5754062254000001</c:v>
                </c:pt>
                <c:pt idx="4985">
                  <c:v>5.5754062254000001</c:v>
                </c:pt>
                <c:pt idx="4986">
                  <c:v>4.1369304196000005</c:v>
                </c:pt>
                <c:pt idx="4987">
                  <c:v>3.0239491392</c:v>
                </c:pt>
                <c:pt idx="4988">
                  <c:v>2.6669551436000001</c:v>
                </c:pt>
                <c:pt idx="4989">
                  <c:v>1.7954698014000001</c:v>
                </c:pt>
                <c:pt idx="4990">
                  <c:v>1.6589720971999999</c:v>
                </c:pt>
                <c:pt idx="4991">
                  <c:v>0.83998587199999997</c:v>
                </c:pt>
                <c:pt idx="4992">
                  <c:v>3.3074443709999999</c:v>
                </c:pt>
                <c:pt idx="4993">
                  <c:v>0.98698339960000003</c:v>
                </c:pt>
                <c:pt idx="4994">
                  <c:v>1.6064729802</c:v>
                </c:pt>
                <c:pt idx="4995">
                  <c:v>1.3555272009399999E-4</c:v>
                </c:pt>
                <c:pt idx="4996">
                  <c:v>1.4531755585600001E-4</c:v>
                </c:pt>
                <c:pt idx="4997">
                  <c:v>9.1819905650660002E-3</c:v>
                </c:pt>
                <c:pt idx="4998">
                  <c:v>0.16630040293855999</c:v>
                </c:pt>
                <c:pt idx="4999">
                  <c:v>0.22199094126099</c:v>
                </c:pt>
                <c:pt idx="5000">
                  <c:v>0.45885068243872001</c:v>
                </c:pt>
                <c:pt idx="5001">
                  <c:v>0.49395915193776796</c:v>
                </c:pt>
                <c:pt idx="5002">
                  <c:v>3.7224918901786003E-2</c:v>
                </c:pt>
                <c:pt idx="5003">
                  <c:v>3.6823510653204002E-2</c:v>
                </c:pt>
                <c:pt idx="5004">
                  <c:v>4.715575687174E-2</c:v>
                </c:pt>
                <c:pt idx="5005">
                  <c:v>4.0475769224660008E-2</c:v>
                </c:pt>
                <c:pt idx="5006">
                  <c:v>3.9623288562814003E-2</c:v>
                </c:pt>
                <c:pt idx="5007">
                  <c:v>6.4028553082603995E-2</c:v>
                </c:pt>
                <c:pt idx="5008">
                  <c:v>5.9235698695206007E-2</c:v>
                </c:pt>
                <c:pt idx="5009">
                  <c:v>4.0186394091756006E-2</c:v>
                </c:pt>
                <c:pt idx="5010">
                  <c:v>4.1379069031762E-2</c:v>
                </c:pt>
                <c:pt idx="5011">
                  <c:v>4.6209827781634003E-2</c:v>
                </c:pt>
                <c:pt idx="5012">
                  <c:v>2.2292280058773997E-2</c:v>
                </c:pt>
                <c:pt idx="5013">
                  <c:v>1.564736182185E-2</c:v>
                </c:pt>
                <c:pt idx="5014">
                  <c:v>1.3207727854860001E-2</c:v>
                </c:pt>
                <c:pt idx="5015">
                  <c:v>3.5786653092453997E-2</c:v>
                </c:pt>
                <c:pt idx="5016">
                  <c:v>7.1083804417999995E-5</c:v>
                </c:pt>
                <c:pt idx="5017">
                  <c:v>5.3003108523200001E-3</c:v>
                </c:pt>
                <c:pt idx="5018">
                  <c:v>6.7461365344999996E-4</c:v>
                </c:pt>
                <c:pt idx="5019">
                  <c:v>6.1728461768600007E-4</c:v>
                </c:pt>
                <c:pt idx="5020">
                  <c:v>4.2681782121000008E-4</c:v>
                </c:pt>
                <c:pt idx="5021">
                  <c:v>4.3038776116599998E-4</c:v>
                </c:pt>
                <c:pt idx="5022">
                  <c:v>7.6186718590400015E-4</c:v>
                </c:pt>
                <c:pt idx="5023">
                  <c:v>1.815209469392E-3</c:v>
                </c:pt>
                <c:pt idx="5024">
                  <c:v>2.6890047727400003E-4</c:v>
                </c:pt>
                <c:pt idx="5025">
                  <c:v>1.8650836305419999E-3</c:v>
                </c:pt>
                <c:pt idx="5026">
                  <c:v>3.206331071658E-3</c:v>
                </c:pt>
                <c:pt idx="5027">
                  <c:v>6.7408866228000003E-5</c:v>
                </c:pt>
                <c:pt idx="5028">
                  <c:v>1.7534705078000002E-5</c:v>
                </c:pt>
                <c:pt idx="5029">
                  <c:v>2.6249558500000001E-4</c:v>
                </c:pt>
                <c:pt idx="5030">
                  <c:v>1.8313791974280001E-3</c:v>
                </c:pt>
                <c:pt idx="5031">
                  <c:v>1.2038047528100001E-2</c:v>
                </c:pt>
                <c:pt idx="5032">
                  <c:v>6.1756811291780005E-3</c:v>
                </c:pt>
                <c:pt idx="5033">
                  <c:v>7.1211902263480006E-3</c:v>
                </c:pt>
                <c:pt idx="5034">
                  <c:v>0.14222640784704002</c:v>
                </c:pt>
                <c:pt idx="5035">
                  <c:v>0.14969703219614</c:v>
                </c:pt>
                <c:pt idx="5036">
                  <c:v>2.3587433275164001E-2</c:v>
                </c:pt>
                <c:pt idx="5037">
                  <c:v>3.9963692837442E-2</c:v>
                </c:pt>
                <c:pt idx="5038">
                  <c:v>5.9776544598539993E-3</c:v>
                </c:pt>
                <c:pt idx="5039">
                  <c:v>6.8147003813020003E-3</c:v>
                </c:pt>
                <c:pt idx="5040">
                  <c:v>2.1796583396060001E-3</c:v>
                </c:pt>
                <c:pt idx="5041">
                  <c:v>6.4381767141779997E-2</c:v>
                </c:pt>
                <c:pt idx="5042">
                  <c:v>0.12862703657936</c:v>
                </c:pt>
                <c:pt idx="5043">
                  <c:v>0.21901161637124</c:v>
                </c:pt>
                <c:pt idx="5044">
                  <c:v>0.29908956951368004</c:v>
                </c:pt>
                <c:pt idx="5045">
                  <c:v>0.39007263923935998</c:v>
                </c:pt>
                <c:pt idx="5046">
                  <c:v>0.16105259120324</c:v>
                </c:pt>
                <c:pt idx="5047">
                  <c:v>9.9866655309718E-2</c:v>
                </c:pt>
                <c:pt idx="5048">
                  <c:v>3.8418643824132001E-2</c:v>
                </c:pt>
                <c:pt idx="5049">
                  <c:v>1.8424880105852002E-2</c:v>
                </c:pt>
                <c:pt idx="5050">
                  <c:v>4.9034175278000005E-5</c:v>
                </c:pt>
                <c:pt idx="5051">
                  <c:v>1.9718668345200001E-4</c:v>
                </c:pt>
                <c:pt idx="5052">
                  <c:v>1.0001186786734E-2</c:v>
                </c:pt>
                <c:pt idx="5053">
                  <c:v>6.236685103132E-3</c:v>
                </c:pt>
                <c:pt idx="5054">
                  <c:v>6.7810799467752009E-2</c:v>
                </c:pt>
                <c:pt idx="5055">
                  <c:v>7.4031839834017996E-2</c:v>
                </c:pt>
                <c:pt idx="5056">
                  <c:v>6.6440467515818002E-2</c:v>
                </c:pt>
                <c:pt idx="5057">
                  <c:v>7.4692068729410005E-2</c:v>
                </c:pt>
                <c:pt idx="5058">
                  <c:v>1.6472542942856001E-2</c:v>
                </c:pt>
                <c:pt idx="5059">
                  <c:v>3.8553461556588002E-2</c:v>
                </c:pt>
                <c:pt idx="5060">
                  <c:v>3.3455482301186001E-2</c:v>
                </c:pt>
                <c:pt idx="5061">
                  <c:v>2.4180673297264005E-2</c:v>
                </c:pt>
                <c:pt idx="5062">
                  <c:v>2.3478235111804E-2</c:v>
                </c:pt>
                <c:pt idx="5063">
                  <c:v>3.3826966053078E-2</c:v>
                </c:pt>
                <c:pt idx="5064">
                  <c:v>4.5002243092400005E-3</c:v>
                </c:pt>
                <c:pt idx="5065">
                  <c:v>7.5762525725039994E-3</c:v>
                </c:pt>
                <c:pt idx="5066">
                  <c:v>7.7051904038560005E-3</c:v>
                </c:pt>
                <c:pt idx="5067">
                  <c:v>3.4363822023519997E-3</c:v>
                </c:pt>
                <c:pt idx="5068">
                  <c:v>6.6568880356000003E-5</c:v>
                </c:pt>
                <c:pt idx="5069">
                  <c:v>1.1540355898940003E-3</c:v>
                </c:pt>
                <c:pt idx="5070">
                  <c:v>3.4728165895500001E-3</c:v>
                </c:pt>
                <c:pt idx="5071">
                  <c:v>1.5222643965319999E-3</c:v>
                </c:pt>
                <c:pt idx="5072">
                  <c:v>4.8889277715080002E-3</c:v>
                </c:pt>
                <c:pt idx="5073">
                  <c:v>3.0126093299280001E-3</c:v>
                </c:pt>
                <c:pt idx="5074">
                  <c:v>3.2436054447280002E-3</c:v>
                </c:pt>
                <c:pt idx="5075">
                  <c:v>2.0875748883880003E-3</c:v>
                </c:pt>
                <c:pt idx="5076">
                  <c:v>7.0296317663000004E-4</c:v>
                </c:pt>
                <c:pt idx="5077">
                  <c:v>2.8606768853300002E-3</c:v>
                </c:pt>
                <c:pt idx="5078">
                  <c:v>5.02049055871E-3</c:v>
                </c:pt>
                <c:pt idx="5079">
                  <c:v>5.2168372562899998E-3</c:v>
                </c:pt>
                <c:pt idx="5080">
                  <c:v>3.2676500403139999E-3</c:v>
                </c:pt>
                <c:pt idx="5081">
                  <c:v>1.70569631133E-3</c:v>
                </c:pt>
                <c:pt idx="5082">
                  <c:v>5.8200521106200004E-4</c:v>
                </c:pt>
                <c:pt idx="5083">
                  <c:v>2.3729600884E-5</c:v>
                </c:pt>
                <c:pt idx="5084">
                  <c:v>2.12936418552E-2</c:v>
                </c:pt>
                <c:pt idx="5085">
                  <c:v>9.6638274608920015E-3</c:v>
                </c:pt>
                <c:pt idx="5086">
                  <c:v>9.3133433558000005E-3</c:v>
                </c:pt>
                <c:pt idx="5087">
                  <c:v>1.519639440682E-2</c:v>
                </c:pt>
                <c:pt idx="5088">
                  <c:v>1.026777730286E-2</c:v>
                </c:pt>
                <c:pt idx="5089">
                  <c:v>1.661807049518E-2</c:v>
                </c:pt>
                <c:pt idx="5090">
                  <c:v>1.7147156596306001E-2</c:v>
                </c:pt>
                <c:pt idx="5091">
                  <c:v>1.078751856116E-2</c:v>
                </c:pt>
                <c:pt idx="5092">
                  <c:v>9.9570875284540009E-3</c:v>
                </c:pt>
                <c:pt idx="5093">
                  <c:v>8.461387685124E-3</c:v>
                </c:pt>
                <c:pt idx="5094">
                  <c:v>1.0241212749658E-2</c:v>
                </c:pt>
                <c:pt idx="5095">
                  <c:v>8.163402697032E-3</c:v>
                </c:pt>
                <c:pt idx="5096">
                  <c:v>8.5573560709999998E-5</c:v>
                </c:pt>
                <c:pt idx="5097">
                  <c:v>2.2882265135620002E-3</c:v>
                </c:pt>
                <c:pt idx="5098">
                  <c:v>1.5522938914559999E-3</c:v>
                </c:pt>
                <c:pt idx="5099">
                  <c:v>2.3686341611591999E-2</c:v>
                </c:pt>
                <c:pt idx="5100">
                  <c:v>2.5356758516298001E-2</c:v>
                </c:pt>
                <c:pt idx="5101">
                  <c:v>6.1127136882482003E-2</c:v>
                </c:pt>
                <c:pt idx="5102">
                  <c:v>3.5816157596208001E-2</c:v>
                </c:pt>
                <c:pt idx="5103">
                  <c:v>4.8465504842655993E-2</c:v>
                </c:pt>
                <c:pt idx="5104">
                  <c:v>4.6818712540600001E-2</c:v>
                </c:pt>
                <c:pt idx="5105">
                  <c:v>2.8020668711112001E-2</c:v>
                </c:pt>
                <c:pt idx="5106">
                  <c:v>4.9803602336751997E-2</c:v>
                </c:pt>
                <c:pt idx="5107">
                  <c:v>1.0306626649440001E-2</c:v>
                </c:pt>
                <c:pt idx="5108">
                  <c:v>2.8627768500099999E-3</c:v>
                </c:pt>
                <c:pt idx="5109">
                  <c:v>9.6012485134279995E-3</c:v>
                </c:pt>
                <c:pt idx="5110">
                  <c:v>4.836428654508001E-3</c:v>
                </c:pt>
                <c:pt idx="5111">
                  <c:v>1.7923828533203998E-2</c:v>
                </c:pt>
                <c:pt idx="5112">
                  <c:v>2.0866194044585999E-2</c:v>
                </c:pt>
                <c:pt idx="5113">
                  <c:v>1.5451750111908002E-2</c:v>
                </c:pt>
                <c:pt idx="5114">
                  <c:v>4.8495534337580004E-3</c:v>
                </c:pt>
                <c:pt idx="5115">
                  <c:v>1.3009281192600001E-4</c:v>
                </c:pt>
                <c:pt idx="5116">
                  <c:v>2.7079044548600001E-4</c:v>
                </c:pt>
                <c:pt idx="5117">
                  <c:v>3.2885446888799994E-4</c:v>
                </c:pt>
                <c:pt idx="5118">
                  <c:v>3.67598817234E-4</c:v>
                </c:pt>
                <c:pt idx="5119">
                  <c:v>7.9599161195399997E-4</c:v>
                </c:pt>
                <c:pt idx="5120">
                  <c:v>6.7492864815199994E-4</c:v>
                </c:pt>
                <c:pt idx="5121">
                  <c:v>1.093241612408E-3</c:v>
                </c:pt>
                <c:pt idx="5122">
                  <c:v>1.0007381682540001E-3</c:v>
                </c:pt>
                <c:pt idx="5123">
                  <c:v>3.50799099794E-4</c:v>
                </c:pt>
                <c:pt idx="5124">
                  <c:v>1.8886032349579999E-3</c:v>
                </c:pt>
                <c:pt idx="5125">
                  <c:v>4.4414252982000006E-4</c:v>
                </c:pt>
                <c:pt idx="5126">
                  <c:v>2.2396123312199998E-4</c:v>
                </c:pt>
                <c:pt idx="5127">
                  <c:v>3.4827914217800001E-4</c:v>
                </c:pt>
                <c:pt idx="5128">
                  <c:v>2.414959382E-5</c:v>
                </c:pt>
                <c:pt idx="5129">
                  <c:v>8.39985872E-6</c:v>
                </c:pt>
                <c:pt idx="5130">
                  <c:v>8.6854539164800003E-4</c:v>
                </c:pt>
                <c:pt idx="5131">
                  <c:v>3.8093359295200002E-4</c:v>
                </c:pt>
                <c:pt idx="5132">
                  <c:v>1.4902399351620001E-3</c:v>
                </c:pt>
                <c:pt idx="5133">
                  <c:v>3.1148776098439998E-3</c:v>
                </c:pt>
                <c:pt idx="5134">
                  <c:v>2.1535137793399998E-2</c:v>
                </c:pt>
                <c:pt idx="5135">
                  <c:v>1.1549805740000001E-4</c:v>
                </c:pt>
                <c:pt idx="5136">
                  <c:v>6.3063063063063071E-2</c:v>
                </c:pt>
                <c:pt idx="5137">
                  <c:v>1.4248919881755476E-2</c:v>
                </c:pt>
                <c:pt idx="5138">
                  <c:v>1.9550064428105814E-2</c:v>
                </c:pt>
                <c:pt idx="5139">
                  <c:v>2.3814402519617337E-2</c:v>
                </c:pt>
                <c:pt idx="5140">
                  <c:v>1.4651240837233948E-2</c:v>
                </c:pt>
                <c:pt idx="5141">
                  <c:v>6.9979183463205292E-3</c:v>
                </c:pt>
                <c:pt idx="5142">
                  <c:v>5.7488989035020491E-2</c:v>
                </c:pt>
                <c:pt idx="5143">
                  <c:v>3.9821613882065503E-2</c:v>
                </c:pt>
                <c:pt idx="5144">
                  <c:v>2.1491506697969887E-2</c:v>
                </c:pt>
                <c:pt idx="5145">
                  <c:v>2.9709089910172237E-2</c:v>
                </c:pt>
                <c:pt idx="5146">
                  <c:v>1.4962578009304926E-2</c:v>
                </c:pt>
                <c:pt idx="5147">
                  <c:v>3.3286864160650576E-2</c:v>
                </c:pt>
                <c:pt idx="5148">
                  <c:v>1.092056709076877E-2</c:v>
                </c:pt>
                <c:pt idx="5149">
                  <c:v>1.1235706624865935E-2</c:v>
                </c:pt>
                <c:pt idx="5150">
                  <c:v>1.2826215240575602E-3</c:v>
                </c:pt>
                <c:pt idx="5151">
                  <c:v>9.498804951621146E-3</c:v>
                </c:pt>
                <c:pt idx="5152">
                  <c:v>6.5756951596292482E-2</c:v>
                </c:pt>
                <c:pt idx="5153">
                  <c:v>8.9747985599177099E-2</c:v>
                </c:pt>
                <c:pt idx="5154">
                  <c:v>6.7657507500357164E-2</c:v>
                </c:pt>
                <c:pt idx="5155">
                  <c:v>3.8527471008289425E-2</c:v>
                </c:pt>
                <c:pt idx="5156">
                  <c:v>8.6170401908950561E-3</c:v>
                </c:pt>
                <c:pt idx="5157">
                  <c:v>2.1776019123033053E-2</c:v>
                </c:pt>
                <c:pt idx="5158">
                  <c:v>4.2410172992090163E-2</c:v>
                </c:pt>
                <c:pt idx="5159">
                  <c:v>3.2332117630510311E-2</c:v>
                </c:pt>
                <c:pt idx="5160">
                  <c:v>3.0175480662250818E-2</c:v>
                </c:pt>
                <c:pt idx="5161">
                  <c:v>4.5704732510288074E-2</c:v>
                </c:pt>
                <c:pt idx="5162">
                  <c:v>1.7396532718709293E-2</c:v>
                </c:pt>
                <c:pt idx="5163">
                  <c:v>2.5697016460905352E-2</c:v>
                </c:pt>
                <c:pt idx="5164">
                  <c:v>3.8951928518269036E-2</c:v>
                </c:pt>
                <c:pt idx="5165">
                  <c:v>3.3204732510288069E-2</c:v>
                </c:pt>
                <c:pt idx="5166">
                  <c:v>3.2718249608581697E-2</c:v>
                </c:pt>
                <c:pt idx="5167">
                  <c:v>4.8589628286221834E-2</c:v>
                </c:pt>
                <c:pt idx="5168">
                  <c:v>5.221260943560134E-2</c:v>
                </c:pt>
                <c:pt idx="5169">
                  <c:v>5.764094955489614E-2</c:v>
                </c:pt>
                <c:pt idx="5170">
                  <c:v>5.5031938178407109E-3</c:v>
                </c:pt>
                <c:pt idx="5171">
                  <c:v>3.5411160058737155E-3</c:v>
                </c:pt>
                <c:pt idx="5172">
                  <c:v>4.4210824584128717E-3</c:v>
                </c:pt>
                <c:pt idx="5173">
                  <c:v>1.2378726344586399E-2</c:v>
                </c:pt>
                <c:pt idx="5174">
                  <c:v>2.2033638656746842E-2</c:v>
                </c:pt>
                <c:pt idx="5175">
                  <c:v>1.6571281258056202E-2</c:v>
                </c:pt>
                <c:pt idx="5176">
                  <c:v>6.6380684142350694E-3</c:v>
                </c:pt>
                <c:pt idx="5177">
                  <c:v>4.1998058083521214E-3</c:v>
                </c:pt>
                <c:pt idx="5178">
                  <c:v>1.6631999999999999E-5</c:v>
                </c:pt>
                <c:pt idx="5179">
                  <c:v>2.9603524229074888E-3</c:v>
                </c:pt>
                <c:pt idx="5180">
                  <c:v>4.1056598886154644E-3</c:v>
                </c:pt>
                <c:pt idx="5181">
                  <c:v>1.5079295154185022E-3</c:v>
                </c:pt>
                <c:pt idx="5182">
                  <c:v>3.6460313339976387E-3</c:v>
                </c:pt>
                <c:pt idx="5183">
                  <c:v>1.5541237113402065E-2</c:v>
                </c:pt>
                <c:pt idx="5184">
                  <c:v>2.2487610670933446E-2</c:v>
                </c:pt>
                <c:pt idx="5185">
                  <c:v>2.3113402061855672E-2</c:v>
                </c:pt>
                <c:pt idx="5186">
                  <c:v>1.3839300932052299E-2</c:v>
                </c:pt>
                <c:pt idx="5187">
                  <c:v>1.3107626192181553E-2</c:v>
                </c:pt>
                <c:pt idx="5188">
                  <c:v>1.8845669757713734E-2</c:v>
                </c:pt>
                <c:pt idx="5189">
                  <c:v>2.1037470491543874E-2</c:v>
                </c:pt>
                <c:pt idx="5190">
                  <c:v>3.4506106706663812E-2</c:v>
                </c:pt>
                <c:pt idx="5191">
                  <c:v>1.5582E-2</c:v>
                </c:pt>
                <c:pt idx="5192">
                  <c:v>5.6050000000000006E-3</c:v>
                </c:pt>
                <c:pt idx="5193">
                  <c:v>5.6699999999999997E-3</c:v>
                </c:pt>
                <c:pt idx="5194">
                  <c:v>4.5799999999999999E-3</c:v>
                </c:pt>
                <c:pt idx="5195">
                  <c:v>5.7800000000000004E-3</c:v>
                </c:pt>
                <c:pt idx="5196">
                  <c:v>1.3919999999999998E-2</c:v>
                </c:pt>
                <c:pt idx="5197">
                  <c:v>2.3219999999999998E-3</c:v>
                </c:pt>
                <c:pt idx="5198">
                  <c:v>5.7999999999999996E-3</c:v>
                </c:pt>
                <c:pt idx="5199">
                  <c:v>5.79E-3</c:v>
                </c:pt>
                <c:pt idx="5200">
                  <c:v>5.7750000000000006E-3</c:v>
                </c:pt>
                <c:pt idx="5201">
                  <c:v>5.7450000000000001E-3</c:v>
                </c:pt>
                <c:pt idx="5202">
                  <c:v>5.7250000000000001E-3</c:v>
                </c:pt>
                <c:pt idx="5203">
                  <c:v>2.284E-3</c:v>
                </c:pt>
                <c:pt idx="5204">
                  <c:v>6.8159999999999991E-3</c:v>
                </c:pt>
                <c:pt idx="5205">
                  <c:v>7.9240000000000005E-3</c:v>
                </c:pt>
                <c:pt idx="5206">
                  <c:v>9.0320000000000001E-3</c:v>
                </c:pt>
                <c:pt idx="5207">
                  <c:v>9.0240000000000008E-3</c:v>
                </c:pt>
                <c:pt idx="5208">
                  <c:v>1.129E-2</c:v>
                </c:pt>
                <c:pt idx="5209">
                  <c:v>1.0206E-2</c:v>
                </c:pt>
                <c:pt idx="5210">
                  <c:v>1.1480000000000001E-2</c:v>
                </c:pt>
                <c:pt idx="5211">
                  <c:v>1.0385999999999999E-2</c:v>
                </c:pt>
                <c:pt idx="5212">
                  <c:v>1.5066999999999999E-2</c:v>
                </c:pt>
                <c:pt idx="5213">
                  <c:v>1.3968E-2</c:v>
                </c:pt>
                <c:pt idx="5214">
                  <c:v>7.9696000000000003E-2</c:v>
                </c:pt>
                <c:pt idx="5215">
                  <c:v>2.5828000000000004E-2</c:v>
                </c:pt>
                <c:pt idx="5216">
                  <c:v>2.5894E-2</c:v>
                </c:pt>
                <c:pt idx="5217">
                  <c:v>2.3559999999999998E-2</c:v>
                </c:pt>
                <c:pt idx="5218">
                  <c:v>2.1240000000000002E-2</c:v>
                </c:pt>
                <c:pt idx="5219">
                  <c:v>1.5326999999999999E-2</c:v>
                </c:pt>
                <c:pt idx="5220">
                  <c:v>7.0679999999999988E-3</c:v>
                </c:pt>
                <c:pt idx="5221">
                  <c:v>1.1730000000000001E-2</c:v>
                </c:pt>
                <c:pt idx="5222">
                  <c:v>5.8300000000000001E-3</c:v>
                </c:pt>
                <c:pt idx="5223">
                  <c:v>1.0449E-2</c:v>
                </c:pt>
                <c:pt idx="5224">
                  <c:v>6.9239999999999987E-3</c:v>
                </c:pt>
                <c:pt idx="5225">
                  <c:v>1.1460000000000001E-2</c:v>
                </c:pt>
                <c:pt idx="5226">
                  <c:v>1.026E-2</c:v>
                </c:pt>
                <c:pt idx="5227">
                  <c:v>5.6800000000000002E-3</c:v>
                </c:pt>
                <c:pt idx="5228">
                  <c:v>6.3357000000000011E-2</c:v>
                </c:pt>
                <c:pt idx="5229">
                  <c:v>0.18133200000000002</c:v>
                </c:pt>
                <c:pt idx="5230">
                  <c:v>0.25475999999999999</c:v>
                </c:pt>
                <c:pt idx="5231">
                  <c:v>9.4823999999999992E-2</c:v>
                </c:pt>
                <c:pt idx="5232">
                  <c:v>0.11708999999999999</c:v>
                </c:pt>
                <c:pt idx="5233">
                  <c:v>0.19808999999999999</c:v>
                </c:pt>
                <c:pt idx="5234">
                  <c:v>3.2733999999999999E-2</c:v>
                </c:pt>
                <c:pt idx="5235">
                  <c:v>5.0552999999999994E-2</c:v>
                </c:pt>
                <c:pt idx="5236">
                  <c:v>0.20567299999999997</c:v>
                </c:pt>
                <c:pt idx="5237">
                  <c:v>1.1079E-2</c:v>
                </c:pt>
                <c:pt idx="5238">
                  <c:v>1.2160000000000001E-2</c:v>
                </c:pt>
                <c:pt idx="5239">
                  <c:v>1.8075000000000001E-2</c:v>
                </c:pt>
                <c:pt idx="5240">
                  <c:v>1.1949999999999999E-2</c:v>
                </c:pt>
                <c:pt idx="5241">
                  <c:v>1.3002000000000001E-2</c:v>
                </c:pt>
                <c:pt idx="5242">
                  <c:v>9.5919999999999998E-3</c:v>
                </c:pt>
                <c:pt idx="5243">
                  <c:v>1.191E-2</c:v>
                </c:pt>
                <c:pt idx="5244">
                  <c:v>1.5534999999999998E-2</c:v>
                </c:pt>
                <c:pt idx="5245">
                  <c:v>2.0025999999999999E-2</c:v>
                </c:pt>
                <c:pt idx="5246">
                  <c:v>0.224824</c:v>
                </c:pt>
                <c:pt idx="5247">
                  <c:v>0.18893499999999999</c:v>
                </c:pt>
                <c:pt idx="5248">
                  <c:v>0.29203200000000001</c:v>
                </c:pt>
                <c:pt idx="5249">
                  <c:v>0.61686000000000007</c:v>
                </c:pt>
                <c:pt idx="5250">
                  <c:v>0.94035299999999999</c:v>
                </c:pt>
                <c:pt idx="5251">
                  <c:v>0.80642800000000003</c:v>
                </c:pt>
                <c:pt idx="5252">
                  <c:v>0.205322</c:v>
                </c:pt>
                <c:pt idx="5253">
                  <c:v>0.22172799999999995</c:v>
                </c:pt>
                <c:pt idx="5254">
                  <c:v>0.33664000000000005</c:v>
                </c:pt>
                <c:pt idx="5255">
                  <c:v>6.7204E-2</c:v>
                </c:pt>
                <c:pt idx="5256">
                  <c:v>3.1300000000000001E-2</c:v>
                </c:pt>
                <c:pt idx="5257">
                  <c:v>9.5864999999999992E-2</c:v>
                </c:pt>
                <c:pt idx="5258">
                  <c:v>0.23760400000000001</c:v>
                </c:pt>
                <c:pt idx="5259">
                  <c:v>5.5484999999999993E-2</c:v>
                </c:pt>
                <c:pt idx="5260">
                  <c:v>9.4325000000000006E-2</c:v>
                </c:pt>
                <c:pt idx="5261">
                  <c:v>6.2423999999999993E-2</c:v>
                </c:pt>
                <c:pt idx="5262">
                  <c:v>2.8197999999999997E-2</c:v>
                </c:pt>
                <c:pt idx="5263">
                  <c:v>0.13572000000000001</c:v>
                </c:pt>
                <c:pt idx="5264">
                  <c:v>0.31842500000000001</c:v>
                </c:pt>
                <c:pt idx="5265">
                  <c:v>0.40281000000000006</c:v>
                </c:pt>
                <c:pt idx="5266">
                  <c:v>0.94505399999999984</c:v>
                </c:pt>
                <c:pt idx="5267">
                  <c:v>0.76148399999999994</c:v>
                </c:pt>
                <c:pt idx="5268">
                  <c:v>0.847638</c:v>
                </c:pt>
                <c:pt idx="5269">
                  <c:v>0.99608799999999997</c:v>
                </c:pt>
                <c:pt idx="5270">
                  <c:v>0.90853399999999984</c:v>
                </c:pt>
                <c:pt idx="5271">
                  <c:v>0.19605</c:v>
                </c:pt>
                <c:pt idx="5272">
                  <c:v>0.1605</c:v>
                </c:pt>
                <c:pt idx="5273">
                  <c:v>9.7251000000000004E-2</c:v>
                </c:pt>
                <c:pt idx="5274">
                  <c:v>0.40927999999999998</c:v>
                </c:pt>
                <c:pt idx="5275">
                  <c:v>0.176867</c:v>
                </c:pt>
                <c:pt idx="5276">
                  <c:v>0.36008000000000001</c:v>
                </c:pt>
                <c:pt idx="5277">
                  <c:v>0.149058</c:v>
                </c:pt>
                <c:pt idx="5278">
                  <c:v>0.13335</c:v>
                </c:pt>
                <c:pt idx="5279">
                  <c:v>0.12837100000000001</c:v>
                </c:pt>
                <c:pt idx="5280">
                  <c:v>8.8962999999999987E-2</c:v>
                </c:pt>
                <c:pt idx="5281">
                  <c:v>0.13048600000000002</c:v>
                </c:pt>
                <c:pt idx="5282">
                  <c:v>8.8622000000000006E-2</c:v>
                </c:pt>
                <c:pt idx="5283">
                  <c:v>0.104835</c:v>
                </c:pt>
                <c:pt idx="5284">
                  <c:v>6.2035999999999994E-2</c:v>
                </c:pt>
                <c:pt idx="5285">
                  <c:v>7.4592000000000006E-2</c:v>
                </c:pt>
                <c:pt idx="5286">
                  <c:v>0.40178999999999998</c:v>
                </c:pt>
                <c:pt idx="5287">
                  <c:v>0.69614100000000001</c:v>
                </c:pt>
                <c:pt idx="5288">
                  <c:v>0.45966799999999997</c:v>
                </c:pt>
                <c:pt idx="5289">
                  <c:v>0.46220400000000006</c:v>
                </c:pt>
                <c:pt idx="5290">
                  <c:v>0.47866000000000003</c:v>
                </c:pt>
                <c:pt idx="5291">
                  <c:v>0.26410300000000003</c:v>
                </c:pt>
                <c:pt idx="5292">
                  <c:v>0.55169400000000002</c:v>
                </c:pt>
                <c:pt idx="5293">
                  <c:v>0.26478400000000002</c:v>
                </c:pt>
                <c:pt idx="5294">
                  <c:v>0.64058799999999994</c:v>
                </c:pt>
                <c:pt idx="5295">
                  <c:v>0.31925999999999999</c:v>
                </c:pt>
                <c:pt idx="5296">
                  <c:v>0.44375100000000001</c:v>
                </c:pt>
                <c:pt idx="5297">
                  <c:v>0.39579300000000006</c:v>
                </c:pt>
                <c:pt idx="5298">
                  <c:v>0.45777599999999996</c:v>
                </c:pt>
                <c:pt idx="5299">
                  <c:v>6.3388E-2</c:v>
                </c:pt>
                <c:pt idx="5300">
                  <c:v>6.5949999999999995E-2</c:v>
                </c:pt>
                <c:pt idx="5301">
                  <c:v>6.3503999999999991E-2</c:v>
                </c:pt>
                <c:pt idx="5302">
                  <c:v>3.1919999999999997E-2</c:v>
                </c:pt>
                <c:pt idx="5303">
                  <c:v>2.1312000000000001E-2</c:v>
                </c:pt>
                <c:pt idx="5304">
                  <c:v>4.6725000000000003E-2</c:v>
                </c:pt>
                <c:pt idx="5305">
                  <c:v>1.8759999999999999E-2</c:v>
                </c:pt>
                <c:pt idx="5306">
                  <c:v>1.0744E-2</c:v>
                </c:pt>
                <c:pt idx="5307">
                  <c:v>1.4817000000000002E-2</c:v>
                </c:pt>
                <c:pt idx="5308">
                  <c:v>1.2104999999999999E-2</c:v>
                </c:pt>
                <c:pt idx="5309">
                  <c:v>1.0712000000000001E-2</c:v>
                </c:pt>
                <c:pt idx="5310">
                  <c:v>7.9679999999999994E-3</c:v>
                </c:pt>
                <c:pt idx="5311">
                  <c:v>1.1844E-2</c:v>
                </c:pt>
                <c:pt idx="5312">
                  <c:v>9.1139999999999988E-3</c:v>
                </c:pt>
                <c:pt idx="5313">
                  <c:v>1.0320000000000001E-2</c:v>
                </c:pt>
                <c:pt idx="5314">
                  <c:v>3.8279999999999998E-3</c:v>
                </c:pt>
                <c:pt idx="5315">
                  <c:v>3.7439999999999999E-3</c:v>
                </c:pt>
                <c:pt idx="5316">
                  <c:v>4.7280000000000004E-3</c:v>
                </c:pt>
                <c:pt idx="5317">
                  <c:v>9.2320000000000006E-3</c:v>
                </c:pt>
                <c:pt idx="5318">
                  <c:v>1.0403579999999999</c:v>
                </c:pt>
                <c:pt idx="5319">
                  <c:v>0.930508</c:v>
                </c:pt>
                <c:pt idx="5320">
                  <c:v>0.74141999999999997</c:v>
                </c:pt>
                <c:pt idx="5321">
                  <c:v>0.82388899999999998</c:v>
                </c:pt>
                <c:pt idx="5322">
                  <c:v>0.160828</c:v>
                </c:pt>
                <c:pt idx="5323">
                  <c:v>0.25953000000000004</c:v>
                </c:pt>
                <c:pt idx="5324">
                  <c:v>0.14696500000000001</c:v>
                </c:pt>
                <c:pt idx="5325">
                  <c:v>0.183</c:v>
                </c:pt>
                <c:pt idx="5326">
                  <c:v>2.9879999999999997E-2</c:v>
                </c:pt>
                <c:pt idx="5327">
                  <c:v>2.0224000000000002E-2</c:v>
                </c:pt>
                <c:pt idx="5328">
                  <c:v>1.6899999999999998E-2</c:v>
                </c:pt>
                <c:pt idx="5329">
                  <c:v>2.5041999999999998E-2</c:v>
                </c:pt>
                <c:pt idx="5330">
                  <c:v>6.032400000000001E-2</c:v>
                </c:pt>
                <c:pt idx="5331">
                  <c:v>0.10795199999999999</c:v>
                </c:pt>
                <c:pt idx="5332">
                  <c:v>0.12940200000000002</c:v>
                </c:pt>
                <c:pt idx="5333">
                  <c:v>0.52693199999999996</c:v>
                </c:pt>
                <c:pt idx="5334">
                  <c:v>0.27761399999999997</c:v>
                </c:pt>
                <c:pt idx="5335">
                  <c:v>0.38484800000000002</c:v>
                </c:pt>
                <c:pt idx="5336">
                  <c:v>0.32884399999999997</c:v>
                </c:pt>
                <c:pt idx="5337">
                  <c:v>0.45139499999999999</c:v>
                </c:pt>
                <c:pt idx="5338">
                  <c:v>0.26921600000000001</c:v>
                </c:pt>
                <c:pt idx="5339">
                  <c:v>0.49805000000000005</c:v>
                </c:pt>
                <c:pt idx="5340">
                  <c:v>0.27367400000000003</c:v>
                </c:pt>
                <c:pt idx="5341">
                  <c:v>0.23970000000000002</c:v>
                </c:pt>
                <c:pt idx="5342">
                  <c:v>0.33995700000000001</c:v>
                </c:pt>
                <c:pt idx="5343">
                  <c:v>0.238736</c:v>
                </c:pt>
                <c:pt idx="5344">
                  <c:v>9.9900000000000003E-2</c:v>
                </c:pt>
                <c:pt idx="5345">
                  <c:v>4.7447999999999997E-2</c:v>
                </c:pt>
                <c:pt idx="5346">
                  <c:v>7.8567999999999999E-2</c:v>
                </c:pt>
                <c:pt idx="5347">
                  <c:v>3.5756999999999997E-2</c:v>
                </c:pt>
                <c:pt idx="5348">
                  <c:v>9.7275E-2</c:v>
                </c:pt>
                <c:pt idx="5349">
                  <c:v>0.28188299999999999</c:v>
                </c:pt>
                <c:pt idx="5350">
                  <c:v>8.5997999999999991E-2</c:v>
                </c:pt>
                <c:pt idx="5351">
                  <c:v>0.24551100000000001</c:v>
                </c:pt>
                <c:pt idx="5352">
                  <c:v>0.26288500000000004</c:v>
                </c:pt>
                <c:pt idx="5353">
                  <c:v>0.25969199999999998</c:v>
                </c:pt>
                <c:pt idx="5354">
                  <c:v>0.42890399999999995</c:v>
                </c:pt>
                <c:pt idx="5355">
                  <c:v>0.32125000000000004</c:v>
                </c:pt>
                <c:pt idx="5356">
                  <c:v>8.7719999999999992E-2</c:v>
                </c:pt>
                <c:pt idx="5357">
                  <c:v>1.7905999999999998E-2</c:v>
                </c:pt>
                <c:pt idx="5358">
                  <c:v>1.0064E-2</c:v>
                </c:pt>
                <c:pt idx="5359">
                  <c:v>3.6839999999999993E-3</c:v>
                </c:pt>
                <c:pt idx="5360">
                  <c:v>4.5282799999999996</c:v>
                </c:pt>
                <c:pt idx="5361">
                  <c:v>7.8227200000000012</c:v>
                </c:pt>
                <c:pt idx="5362">
                  <c:v>21.373799999999999</c:v>
                </c:pt>
                <c:pt idx="5363">
                  <c:v>1.4769600000000001</c:v>
                </c:pt>
                <c:pt idx="5364">
                  <c:v>5.4796000000000005</c:v>
                </c:pt>
                <c:pt idx="5365">
                  <c:v>15.274600000000001</c:v>
                </c:pt>
                <c:pt idx="5366">
                  <c:v>18.106199999999998</c:v>
                </c:pt>
                <c:pt idx="5367">
                  <c:v>19.502400000000002</c:v>
                </c:pt>
                <c:pt idx="5368">
                  <c:v>22.6572</c:v>
                </c:pt>
                <c:pt idx="5369">
                  <c:v>9.6592500000000001</c:v>
                </c:pt>
                <c:pt idx="5370">
                  <c:v>2.1975799999999999</c:v>
                </c:pt>
                <c:pt idx="5371">
                  <c:v>4.7343200000000003</c:v>
                </c:pt>
                <c:pt idx="5372">
                  <c:v>5.2366400000000004</c:v>
                </c:pt>
                <c:pt idx="5373">
                  <c:v>7.5028800000000011</c:v>
                </c:pt>
                <c:pt idx="5374">
                  <c:v>10.188419999999999</c:v>
                </c:pt>
                <c:pt idx="5375">
                  <c:v>22.089600000000001</c:v>
                </c:pt>
                <c:pt idx="5376">
                  <c:v>23.064499999999999</c:v>
                </c:pt>
                <c:pt idx="5377">
                  <c:v>20.220199999999998</c:v>
                </c:pt>
                <c:pt idx="5378">
                  <c:v>28.7042</c:v>
                </c:pt>
                <c:pt idx="5379">
                  <c:v>23.189599999999999</c:v>
                </c:pt>
                <c:pt idx="5380">
                  <c:v>31.064</c:v>
                </c:pt>
                <c:pt idx="5381">
                  <c:v>42.077599999999997</c:v>
                </c:pt>
                <c:pt idx="5382">
                  <c:v>35.748899999999999</c:v>
                </c:pt>
                <c:pt idx="5383">
                  <c:v>32.1205</c:v>
                </c:pt>
                <c:pt idx="5384">
                  <c:v>24.745000000000001</c:v>
                </c:pt>
                <c:pt idx="5385">
                  <c:v>18.664800000000003</c:v>
                </c:pt>
                <c:pt idx="5386">
                  <c:v>18.961000000000002</c:v>
                </c:pt>
                <c:pt idx="5387">
                  <c:v>12.268050000000001</c:v>
                </c:pt>
                <c:pt idx="5388">
                  <c:v>2.6214499999999998</c:v>
                </c:pt>
                <c:pt idx="5389">
                  <c:v>3.28512</c:v>
                </c:pt>
                <c:pt idx="5390">
                  <c:v>3.09124</c:v>
                </c:pt>
                <c:pt idx="5391">
                  <c:v>1.169025</c:v>
                </c:pt>
                <c:pt idx="5392">
                  <c:v>2.1821799999999998</c:v>
                </c:pt>
                <c:pt idx="5393">
                  <c:v>8.720699999999999</c:v>
                </c:pt>
                <c:pt idx="5394">
                  <c:v>18.549600000000002</c:v>
                </c:pt>
                <c:pt idx="5395">
                  <c:v>33.016100000000002</c:v>
                </c:pt>
                <c:pt idx="5396">
                  <c:v>9.381450000000001</c:v>
                </c:pt>
                <c:pt idx="5397">
                  <c:v>9.4313800000000008</c:v>
                </c:pt>
                <c:pt idx="5398">
                  <c:v>27.392799999999998</c:v>
                </c:pt>
                <c:pt idx="5399">
                  <c:v>28.622999999999998</c:v>
                </c:pt>
                <c:pt idx="5400">
                  <c:v>24.341100000000001</c:v>
                </c:pt>
                <c:pt idx="5401">
                  <c:v>40.827300000000001</c:v>
                </c:pt>
                <c:pt idx="5402">
                  <c:v>25.4436</c:v>
                </c:pt>
                <c:pt idx="5403">
                  <c:v>15.902999999999999</c:v>
                </c:pt>
                <c:pt idx="5404">
                  <c:v>6.1716000000000006</c:v>
                </c:pt>
                <c:pt idx="5405">
                  <c:v>5.8531399999999998</c:v>
                </c:pt>
                <c:pt idx="5406">
                  <c:v>1.42449</c:v>
                </c:pt>
                <c:pt idx="5407">
                  <c:v>1.1431909999999998</c:v>
                </c:pt>
                <c:pt idx="5408">
                  <c:v>1.8384800000000001</c:v>
                </c:pt>
                <c:pt idx="5409">
                  <c:v>6.0284700000000004</c:v>
                </c:pt>
                <c:pt idx="5410">
                  <c:v>7.4365199999999998</c:v>
                </c:pt>
                <c:pt idx="5411">
                  <c:v>5.0344699999999998</c:v>
                </c:pt>
                <c:pt idx="5412">
                  <c:v>9.7812400000000004</c:v>
                </c:pt>
                <c:pt idx="5413">
                  <c:v>9.4963499999999996</c:v>
                </c:pt>
                <c:pt idx="5414">
                  <c:v>7.6225599999999991</c:v>
                </c:pt>
                <c:pt idx="5415">
                  <c:v>4.3719900000000003</c:v>
                </c:pt>
                <c:pt idx="5416">
                  <c:v>13.832000000000001</c:v>
                </c:pt>
                <c:pt idx="5417">
                  <c:v>10.9809</c:v>
                </c:pt>
                <c:pt idx="5418">
                  <c:v>5.9795999999999996</c:v>
                </c:pt>
                <c:pt idx="5419">
                  <c:v>4.1490800000000005</c:v>
                </c:pt>
                <c:pt idx="5420">
                  <c:v>3.8687199999999997</c:v>
                </c:pt>
                <c:pt idx="5421">
                  <c:v>4.6386799999999999</c:v>
                </c:pt>
                <c:pt idx="5422">
                  <c:v>2.327</c:v>
                </c:pt>
                <c:pt idx="5423">
                  <c:v>2.6479200000000001</c:v>
                </c:pt>
                <c:pt idx="5424">
                  <c:v>2.3514399999999998</c:v>
                </c:pt>
                <c:pt idx="5425">
                  <c:v>2.3220000000000001</c:v>
                </c:pt>
                <c:pt idx="5426">
                  <c:v>2.7391799999999997</c:v>
                </c:pt>
                <c:pt idx="5427">
                  <c:v>1.7691600000000003</c:v>
                </c:pt>
                <c:pt idx="5428">
                  <c:v>1.3824000000000001</c:v>
                </c:pt>
                <c:pt idx="5429">
                  <c:v>1.158066</c:v>
                </c:pt>
                <c:pt idx="5430">
                  <c:v>3.64777</c:v>
                </c:pt>
                <c:pt idx="5431">
                  <c:v>1.4685600000000001</c:v>
                </c:pt>
                <c:pt idx="5432">
                  <c:v>0.46731</c:v>
                </c:pt>
                <c:pt idx="5433">
                  <c:v>0.17054399999999997</c:v>
                </c:pt>
                <c:pt idx="5434">
                  <c:v>0.29171600000000003</c:v>
                </c:pt>
                <c:pt idx="5435">
                  <c:v>1.005082</c:v>
                </c:pt>
                <c:pt idx="5436">
                  <c:v>0.98897999999999997</c:v>
                </c:pt>
                <c:pt idx="5437">
                  <c:v>0.40606399999999998</c:v>
                </c:pt>
                <c:pt idx="5438">
                  <c:v>0.21630000000000002</c:v>
                </c:pt>
                <c:pt idx="5439">
                  <c:v>3.687E-2</c:v>
                </c:pt>
                <c:pt idx="5440">
                  <c:v>7.6733999999999997E-2</c:v>
                </c:pt>
                <c:pt idx="5441">
                  <c:v>5.3283999999999998E-2</c:v>
                </c:pt>
                <c:pt idx="5442">
                  <c:v>2.1635999999999999E-2</c:v>
                </c:pt>
                <c:pt idx="5443">
                  <c:v>1.0745999999999999E-2</c:v>
                </c:pt>
                <c:pt idx="5444">
                  <c:v>2.2477E-2</c:v>
                </c:pt>
                <c:pt idx="5445">
                  <c:v>1.0557E-2</c:v>
                </c:pt>
                <c:pt idx="5446">
                  <c:v>6.9899999999999997E-3</c:v>
                </c:pt>
                <c:pt idx="5447">
                  <c:v>6.9479999999999993E-3</c:v>
                </c:pt>
                <c:pt idx="5448">
                  <c:v>2.3E-3</c:v>
                </c:pt>
                <c:pt idx="5449">
                  <c:v>4.5760000000000002E-3</c:v>
                </c:pt>
                <c:pt idx="5450">
                  <c:v>1.4927999999999999E-2</c:v>
                </c:pt>
                <c:pt idx="5451">
                  <c:v>1.5479999999999999E-2</c:v>
                </c:pt>
                <c:pt idx="5452">
                  <c:v>2.3615999999999998E-2</c:v>
                </c:pt>
                <c:pt idx="5453">
                  <c:v>9.8271999999999998E-2</c:v>
                </c:pt>
                <c:pt idx="5454">
                  <c:v>9.4784999999999994E-2</c:v>
                </c:pt>
                <c:pt idx="5455">
                  <c:v>9.7162999999999999E-2</c:v>
                </c:pt>
                <c:pt idx="5456">
                  <c:v>8.2211999999999993E-2</c:v>
                </c:pt>
                <c:pt idx="5457">
                  <c:v>3.6932E-2</c:v>
                </c:pt>
                <c:pt idx="5458">
                  <c:v>3.6735999999999998E-2</c:v>
                </c:pt>
                <c:pt idx="5459">
                  <c:v>4.4301999999999994E-2</c:v>
                </c:pt>
                <c:pt idx="5460">
                  <c:v>2.0688000000000002E-2</c:v>
                </c:pt>
                <c:pt idx="5461">
                  <c:v>1.5383999999999998E-2</c:v>
                </c:pt>
                <c:pt idx="5462">
                  <c:v>1.0064E-2</c:v>
                </c:pt>
                <c:pt idx="5463">
                  <c:v>4.9480000000000001E-3</c:v>
                </c:pt>
                <c:pt idx="5464">
                  <c:v>4.8479999999999999E-3</c:v>
                </c:pt>
                <c:pt idx="5465">
                  <c:v>3.5729999999999998E-3</c:v>
                </c:pt>
                <c:pt idx="5466">
                  <c:v>5.8650000000000004E-3</c:v>
                </c:pt>
                <c:pt idx="5467">
                  <c:v>4.6240000000000005E-3</c:v>
                </c:pt>
                <c:pt idx="5468">
                  <c:v>5.7250000000000001E-3</c:v>
                </c:pt>
                <c:pt idx="5469">
                  <c:v>9.0863999999999986E-2</c:v>
                </c:pt>
                <c:pt idx="5470">
                  <c:v>0.65032800000000002</c:v>
                </c:pt>
                <c:pt idx="5471">
                  <c:v>1.72732</c:v>
                </c:pt>
                <c:pt idx="5472">
                  <c:v>1.2833639999999999</c:v>
                </c:pt>
                <c:pt idx="5473">
                  <c:v>4.0677000000000003</c:v>
                </c:pt>
                <c:pt idx="5474">
                  <c:v>4.5392500000000009</c:v>
                </c:pt>
                <c:pt idx="5475">
                  <c:v>0.56983799999999996</c:v>
                </c:pt>
                <c:pt idx="5476">
                  <c:v>1.5971200000000001</c:v>
                </c:pt>
                <c:pt idx="5477">
                  <c:v>0.53524799999999995</c:v>
                </c:pt>
                <c:pt idx="5478">
                  <c:v>0.35460900000000001</c:v>
                </c:pt>
                <c:pt idx="5479">
                  <c:v>0.604854</c:v>
                </c:pt>
                <c:pt idx="5480">
                  <c:v>0.22076600000000002</c:v>
                </c:pt>
                <c:pt idx="5481">
                  <c:v>0.10140500000000001</c:v>
                </c:pt>
                <c:pt idx="5482">
                  <c:v>0.43511999999999995</c:v>
                </c:pt>
                <c:pt idx="5483">
                  <c:v>0.29514799999999997</c:v>
                </c:pt>
                <c:pt idx="5484">
                  <c:v>2.0718E-2</c:v>
                </c:pt>
                <c:pt idx="5485">
                  <c:v>2.2533600000000003</c:v>
                </c:pt>
                <c:pt idx="5486">
                  <c:v>3.7928999999999995</c:v>
                </c:pt>
                <c:pt idx="5487">
                  <c:v>5.7290400000000004</c:v>
                </c:pt>
                <c:pt idx="5488">
                  <c:v>0.77116200000000013</c:v>
                </c:pt>
                <c:pt idx="5489">
                  <c:v>1.30728</c:v>
                </c:pt>
                <c:pt idx="5490">
                  <c:v>0.37041399999999997</c:v>
                </c:pt>
                <c:pt idx="5491">
                  <c:v>0.32585000000000003</c:v>
                </c:pt>
                <c:pt idx="5492">
                  <c:v>0.102935</c:v>
                </c:pt>
                <c:pt idx="5493">
                  <c:v>6.9309999999999997E-2</c:v>
                </c:pt>
                <c:pt idx="5494">
                  <c:v>5.9150000000000001E-2</c:v>
                </c:pt>
                <c:pt idx="5495">
                  <c:v>0.104308</c:v>
                </c:pt>
                <c:pt idx="5496">
                  <c:v>4.0634999999999998E-2</c:v>
                </c:pt>
                <c:pt idx="5497">
                  <c:v>1.035E-2</c:v>
                </c:pt>
                <c:pt idx="5498">
                  <c:v>3.7831200000000003</c:v>
                </c:pt>
                <c:pt idx="5499">
                  <c:v>6.2180999999999997</c:v>
                </c:pt>
                <c:pt idx="5500">
                  <c:v>13.757819999999999</c:v>
                </c:pt>
                <c:pt idx="5501">
                  <c:v>15.484500000000001</c:v>
                </c:pt>
                <c:pt idx="5502">
                  <c:v>9.8199599999999982</c:v>
                </c:pt>
                <c:pt idx="5503">
                  <c:v>14.9472</c:v>
                </c:pt>
                <c:pt idx="5504">
                  <c:v>8.4870000000000001</c:v>
                </c:pt>
                <c:pt idx="5505">
                  <c:v>7.4470800000000006</c:v>
                </c:pt>
                <c:pt idx="5506">
                  <c:v>4.6135299999999999</c:v>
                </c:pt>
                <c:pt idx="5507">
                  <c:v>1.8277600000000003</c:v>
                </c:pt>
                <c:pt idx="5508">
                  <c:v>0.84801599999999999</c:v>
                </c:pt>
                <c:pt idx="5509">
                  <c:v>0.173184</c:v>
                </c:pt>
                <c:pt idx="5510">
                  <c:v>5.3560000000000003E-2</c:v>
                </c:pt>
                <c:pt idx="5511">
                  <c:v>2.5194000000000001E-2</c:v>
                </c:pt>
                <c:pt idx="5512">
                  <c:v>1.8270000000000002E-2</c:v>
                </c:pt>
                <c:pt idx="5513">
                  <c:v>7.9607999999999998E-2</c:v>
                </c:pt>
                <c:pt idx="5514">
                  <c:v>5.4824999999999999E-2</c:v>
                </c:pt>
                <c:pt idx="5515">
                  <c:v>2.7874000000000003E-2</c:v>
                </c:pt>
                <c:pt idx="5516">
                  <c:v>1.1339999999999999E-2</c:v>
                </c:pt>
                <c:pt idx="5517">
                  <c:v>7.5119999999999987E-3</c:v>
                </c:pt>
                <c:pt idx="5518">
                  <c:v>6.2100000000000002E-3</c:v>
                </c:pt>
                <c:pt idx="5519">
                  <c:v>1.3530000000000002E-2</c:v>
                </c:pt>
                <c:pt idx="5520">
                  <c:v>4.8799999999999998E-3</c:v>
                </c:pt>
                <c:pt idx="5521">
                  <c:v>7.2539999999999992E-3</c:v>
                </c:pt>
                <c:pt idx="5522">
                  <c:v>1.0791E-2</c:v>
                </c:pt>
                <c:pt idx="5523">
                  <c:v>1.5469999999999999E-2</c:v>
                </c:pt>
                <c:pt idx="5524">
                  <c:v>1.0655999999999999E-2</c:v>
                </c:pt>
                <c:pt idx="5525">
                  <c:v>1.174E-2</c:v>
                </c:pt>
                <c:pt idx="5526">
                  <c:v>5.8399999999999997E-3</c:v>
                </c:pt>
                <c:pt idx="5527">
                  <c:v>9.3120000000000008E-3</c:v>
                </c:pt>
                <c:pt idx="5528">
                  <c:v>1.3907999999999998E-2</c:v>
                </c:pt>
                <c:pt idx="5529">
                  <c:v>8.4017999999999995E-2</c:v>
                </c:pt>
                <c:pt idx="5530">
                  <c:v>6.7371E-2</c:v>
                </c:pt>
                <c:pt idx="5531">
                  <c:v>0.13094999999999998</c:v>
                </c:pt>
                <c:pt idx="5532">
                  <c:v>0.16087499999999999</c:v>
                </c:pt>
                <c:pt idx="5533">
                  <c:v>0.25001999999999996</c:v>
                </c:pt>
                <c:pt idx="5534">
                  <c:v>7.9343999999999998E-2</c:v>
                </c:pt>
                <c:pt idx="5535">
                  <c:v>0.25001999999999996</c:v>
                </c:pt>
                <c:pt idx="5536">
                  <c:v>0.212058</c:v>
                </c:pt>
                <c:pt idx="5537">
                  <c:v>0.17802899999999999</c:v>
                </c:pt>
                <c:pt idx="5538">
                  <c:v>5.8740000000000001E-2</c:v>
                </c:pt>
                <c:pt idx="5539">
                  <c:v>1.5035999999999997E-2</c:v>
                </c:pt>
                <c:pt idx="5540">
                  <c:v>1.4783999999999999E-2</c:v>
                </c:pt>
                <c:pt idx="5541">
                  <c:v>4.8159999999999994E-2</c:v>
                </c:pt>
                <c:pt idx="5542">
                  <c:v>3.1864500000000002</c:v>
                </c:pt>
                <c:pt idx="5543">
                  <c:v>3.2501700000000002</c:v>
                </c:pt>
                <c:pt idx="5544">
                  <c:v>3.3777599999999999</c:v>
                </c:pt>
                <c:pt idx="5545">
                  <c:v>0.53754400000000002</c:v>
                </c:pt>
                <c:pt idx="5546">
                  <c:v>0.46976000000000007</c:v>
                </c:pt>
                <c:pt idx="5547">
                  <c:v>6.9944000000000006E-2</c:v>
                </c:pt>
                <c:pt idx="5548">
                  <c:v>4.6778E-2</c:v>
                </c:pt>
                <c:pt idx="5549">
                  <c:v>12.914999999999999</c:v>
                </c:pt>
                <c:pt idx="5550">
                  <c:v>16.310000000000002</c:v>
                </c:pt>
                <c:pt idx="5551">
                  <c:v>11.795</c:v>
                </c:pt>
                <c:pt idx="5552">
                  <c:v>15.89</c:v>
                </c:pt>
                <c:pt idx="5553">
                  <c:v>22.12</c:v>
                </c:pt>
                <c:pt idx="5554">
                  <c:v>18.655000000000001</c:v>
                </c:pt>
                <c:pt idx="5555">
                  <c:v>22.155000000000001</c:v>
                </c:pt>
                <c:pt idx="5556">
                  <c:v>24.675000000000001</c:v>
                </c:pt>
                <c:pt idx="5557">
                  <c:v>23.17</c:v>
                </c:pt>
                <c:pt idx="5558">
                  <c:v>3.22</c:v>
                </c:pt>
                <c:pt idx="5559">
                  <c:v>2.835</c:v>
                </c:pt>
                <c:pt idx="5560">
                  <c:v>1.2249999999999999</c:v>
                </c:pt>
                <c:pt idx="5561">
                  <c:v>0.70000000000000007</c:v>
                </c:pt>
                <c:pt idx="5562">
                  <c:v>1.1900000000000002</c:v>
                </c:pt>
                <c:pt idx="5563">
                  <c:v>1.68</c:v>
                </c:pt>
                <c:pt idx="5564">
                  <c:v>1.575</c:v>
                </c:pt>
                <c:pt idx="5565">
                  <c:v>3.8150000000000004</c:v>
                </c:pt>
                <c:pt idx="5566">
                  <c:v>4.83</c:v>
                </c:pt>
                <c:pt idx="5567">
                  <c:v>7.21</c:v>
                </c:pt>
                <c:pt idx="5568">
                  <c:v>11.375</c:v>
                </c:pt>
                <c:pt idx="5569">
                  <c:v>9.5549999999999997</c:v>
                </c:pt>
                <c:pt idx="5570">
                  <c:v>12.04</c:v>
                </c:pt>
                <c:pt idx="5571">
                  <c:v>12.145000000000001</c:v>
                </c:pt>
                <c:pt idx="5572">
                  <c:v>15.155000000000001</c:v>
                </c:pt>
                <c:pt idx="5573">
                  <c:v>10.604999999999999</c:v>
                </c:pt>
                <c:pt idx="5574">
                  <c:v>13.125</c:v>
                </c:pt>
                <c:pt idx="5575">
                  <c:v>14.665000000000001</c:v>
                </c:pt>
                <c:pt idx="5576">
                  <c:v>11.935</c:v>
                </c:pt>
                <c:pt idx="5577">
                  <c:v>1.155</c:v>
                </c:pt>
                <c:pt idx="5578">
                  <c:v>1.155</c:v>
                </c:pt>
                <c:pt idx="5579">
                  <c:v>2.1</c:v>
                </c:pt>
                <c:pt idx="5580">
                  <c:v>1.75</c:v>
                </c:pt>
                <c:pt idx="5581">
                  <c:v>2.0649999999999999</c:v>
                </c:pt>
                <c:pt idx="5582">
                  <c:v>1.9949999999999999</c:v>
                </c:pt>
                <c:pt idx="5583">
                  <c:v>1.61</c:v>
                </c:pt>
                <c:pt idx="5584">
                  <c:v>2.2749999999999999</c:v>
                </c:pt>
                <c:pt idx="5585">
                  <c:v>1.82</c:v>
                </c:pt>
                <c:pt idx="5586">
                  <c:v>1.26</c:v>
                </c:pt>
                <c:pt idx="5587">
                  <c:v>1.7149999999999999</c:v>
                </c:pt>
                <c:pt idx="5588">
                  <c:v>1.575</c:v>
                </c:pt>
                <c:pt idx="5589">
                  <c:v>1.2249999999999999</c:v>
                </c:pt>
                <c:pt idx="5590">
                  <c:v>1.7149999999999999</c:v>
                </c:pt>
                <c:pt idx="5591">
                  <c:v>1.085</c:v>
                </c:pt>
                <c:pt idx="5592">
                  <c:v>1.1200000000000001</c:v>
                </c:pt>
                <c:pt idx="5593">
                  <c:v>16.38</c:v>
                </c:pt>
                <c:pt idx="5594">
                  <c:v>12.32</c:v>
                </c:pt>
                <c:pt idx="5595">
                  <c:v>15.224999999999998</c:v>
                </c:pt>
                <c:pt idx="5596">
                  <c:v>14.280000000000001</c:v>
                </c:pt>
                <c:pt idx="5597">
                  <c:v>11.655000000000001</c:v>
                </c:pt>
                <c:pt idx="5598">
                  <c:v>8.82</c:v>
                </c:pt>
                <c:pt idx="5599">
                  <c:v>11.795</c:v>
                </c:pt>
                <c:pt idx="5600">
                  <c:v>14.56</c:v>
                </c:pt>
                <c:pt idx="5601">
                  <c:v>12.775</c:v>
                </c:pt>
                <c:pt idx="5602">
                  <c:v>10.43</c:v>
                </c:pt>
                <c:pt idx="5603">
                  <c:v>1.26</c:v>
                </c:pt>
                <c:pt idx="5604">
                  <c:v>1.1200000000000001</c:v>
                </c:pt>
                <c:pt idx="5605">
                  <c:v>2.66</c:v>
                </c:pt>
                <c:pt idx="5606">
                  <c:v>3.29</c:v>
                </c:pt>
                <c:pt idx="5607">
                  <c:v>2.415</c:v>
                </c:pt>
                <c:pt idx="5608">
                  <c:v>1.9250000000000003</c:v>
                </c:pt>
                <c:pt idx="5609">
                  <c:v>3.29</c:v>
                </c:pt>
                <c:pt idx="5610">
                  <c:v>1.2249999999999999</c:v>
                </c:pt>
                <c:pt idx="5611">
                  <c:v>5.6000000000000005</c:v>
                </c:pt>
                <c:pt idx="5612">
                  <c:v>3.0449999999999999</c:v>
                </c:pt>
                <c:pt idx="5613">
                  <c:v>4.0249999999999995</c:v>
                </c:pt>
                <c:pt idx="5614">
                  <c:v>7.07</c:v>
                </c:pt>
                <c:pt idx="5615">
                  <c:v>4.3049999999999997</c:v>
                </c:pt>
                <c:pt idx="5616">
                  <c:v>9.4149999999999991</c:v>
                </c:pt>
                <c:pt idx="5617">
                  <c:v>9.3800000000000008</c:v>
                </c:pt>
                <c:pt idx="5618">
                  <c:v>9.7650000000000006</c:v>
                </c:pt>
                <c:pt idx="5619">
                  <c:v>7.7349999999999994</c:v>
                </c:pt>
                <c:pt idx="5620">
                  <c:v>9.0300000000000011</c:v>
                </c:pt>
                <c:pt idx="5621">
                  <c:v>8.2249999999999996</c:v>
                </c:pt>
                <c:pt idx="5622">
                  <c:v>15.924999999999999</c:v>
                </c:pt>
                <c:pt idx="5623">
                  <c:v>5.4695999999999998E-4</c:v>
                </c:pt>
                <c:pt idx="5624">
                  <c:v>1.3398799999999999E-3</c:v>
                </c:pt>
                <c:pt idx="5625">
                  <c:v>5.7791999999999989E-4</c:v>
                </c:pt>
                <c:pt idx="5626">
                  <c:v>8.187200000000001E-4</c:v>
                </c:pt>
                <c:pt idx="5627">
                  <c:v>8.9784000000000001E-4</c:v>
                </c:pt>
                <c:pt idx="5628">
                  <c:v>1.63916E-3</c:v>
                </c:pt>
                <c:pt idx="5629">
                  <c:v>1.7887999999999999E-3</c:v>
                </c:pt>
                <c:pt idx="5630">
                  <c:v>5.5211999999999995E-3</c:v>
                </c:pt>
                <c:pt idx="5631">
                  <c:v>1.9092000000000001E-2</c:v>
                </c:pt>
                <c:pt idx="5632">
                  <c:v>5.3147999999999997E-3</c:v>
                </c:pt>
                <c:pt idx="5633">
                  <c:v>1.9264E-2</c:v>
                </c:pt>
                <c:pt idx="5634">
                  <c:v>1.1197199999999999E-2</c:v>
                </c:pt>
                <c:pt idx="5635">
                  <c:v>5.0911999999999997E-3</c:v>
                </c:pt>
                <c:pt idx="5636">
                  <c:v>4.2139999999999999E-3</c:v>
                </c:pt>
                <c:pt idx="5637">
                  <c:v>2.9412000000000002E-3</c:v>
                </c:pt>
                <c:pt idx="5638">
                  <c:v>7.9979999999999999E-3</c:v>
                </c:pt>
                <c:pt idx="5639">
                  <c:v>6.5703999999999997E-3</c:v>
                </c:pt>
                <c:pt idx="5640">
                  <c:v>4.9707999999999992E-3</c:v>
                </c:pt>
                <c:pt idx="5641">
                  <c:v>1.27108E-2</c:v>
                </c:pt>
                <c:pt idx="5642">
                  <c:v>3.1475999999999997E-2</c:v>
                </c:pt>
                <c:pt idx="5643">
                  <c:v>1.1661599999999999E-2</c:v>
                </c:pt>
                <c:pt idx="5644">
                  <c:v>7.6023999999999996E-3</c:v>
                </c:pt>
                <c:pt idx="5645">
                  <c:v>2.0467999999999997E-2</c:v>
                </c:pt>
                <c:pt idx="5646">
                  <c:v>1.3863200000000001E-2</c:v>
                </c:pt>
                <c:pt idx="5647">
                  <c:v>2.1672E-2</c:v>
                </c:pt>
                <c:pt idx="5648">
                  <c:v>5.1083999999999999E-3</c:v>
                </c:pt>
                <c:pt idx="5649">
                  <c:v>3.3883999999999997E-2</c:v>
                </c:pt>
                <c:pt idx="5650">
                  <c:v>3.3195999999999996E-2</c:v>
                </c:pt>
                <c:pt idx="5651">
                  <c:v>2.0811999999999997E-2</c:v>
                </c:pt>
                <c:pt idx="5652">
                  <c:v>7.8948000000000004E-3</c:v>
                </c:pt>
                <c:pt idx="5653">
                  <c:v>3.354E-2</c:v>
                </c:pt>
                <c:pt idx="5654">
                  <c:v>5.0051999999999999E-2</c:v>
                </c:pt>
                <c:pt idx="5655">
                  <c:v>2.0467999999999997E-2</c:v>
                </c:pt>
                <c:pt idx="5656">
                  <c:v>6.1747999999999994E-3</c:v>
                </c:pt>
                <c:pt idx="5657">
                  <c:v>1.43448E-2</c:v>
                </c:pt>
                <c:pt idx="5658">
                  <c:v>0.29927999999999999</c:v>
                </c:pt>
                <c:pt idx="5659">
                  <c:v>3.8871999999999997E-2</c:v>
                </c:pt>
                <c:pt idx="5660">
                  <c:v>3.4228000000000001E-2</c:v>
                </c:pt>
                <c:pt idx="5661">
                  <c:v>2.6831999999999998E-2</c:v>
                </c:pt>
                <c:pt idx="5662">
                  <c:v>7.5851999999999989E-2</c:v>
                </c:pt>
                <c:pt idx="5663">
                  <c:v>0.12693599999999999</c:v>
                </c:pt>
                <c:pt idx="5664">
                  <c:v>0.39043999999999995</c:v>
                </c:pt>
                <c:pt idx="5665">
                  <c:v>4.5407999999999997E-2</c:v>
                </c:pt>
                <c:pt idx="5666">
                  <c:v>6.3640000000000002E-2</c:v>
                </c:pt>
                <c:pt idx="5667">
                  <c:v>1.2469999999999998E-2</c:v>
                </c:pt>
                <c:pt idx="5668">
                  <c:v>0.23736000000000002</c:v>
                </c:pt>
                <c:pt idx="5669">
                  <c:v>5.2976000000000002E-2</c:v>
                </c:pt>
                <c:pt idx="5670">
                  <c:v>0.14155600000000002</c:v>
                </c:pt>
                <c:pt idx="5671">
                  <c:v>9.9416000000000004E-2</c:v>
                </c:pt>
                <c:pt idx="5672">
                  <c:v>6.3467999999999997E-2</c:v>
                </c:pt>
                <c:pt idx="5673">
                  <c:v>3.7151999999999998E-2</c:v>
                </c:pt>
                <c:pt idx="5674">
                  <c:v>8.5828000000000002E-2</c:v>
                </c:pt>
                <c:pt idx="5675">
                  <c:v>0.93567999999999996</c:v>
                </c:pt>
                <c:pt idx="5676">
                  <c:v>6.5703999999999999E-2</c:v>
                </c:pt>
                <c:pt idx="5677">
                  <c:v>0.41107999999999995</c:v>
                </c:pt>
                <c:pt idx="5678">
                  <c:v>7.2240000000000013E-2</c:v>
                </c:pt>
                <c:pt idx="5679">
                  <c:v>0.14740399999999998</c:v>
                </c:pt>
                <c:pt idx="5680">
                  <c:v>0.11042400000000001</c:v>
                </c:pt>
                <c:pt idx="5681">
                  <c:v>4.6955999999999998E-2</c:v>
                </c:pt>
                <c:pt idx="5682">
                  <c:v>6.0544000000000001E-2</c:v>
                </c:pt>
                <c:pt idx="5683">
                  <c:v>0.76884000000000008</c:v>
                </c:pt>
                <c:pt idx="5684">
                  <c:v>0.123668</c:v>
                </c:pt>
                <c:pt idx="5685">
                  <c:v>0.18576000000000001</c:v>
                </c:pt>
                <c:pt idx="5686">
                  <c:v>0.33712000000000003</c:v>
                </c:pt>
                <c:pt idx="5687">
                  <c:v>0.43687999999999999</c:v>
                </c:pt>
                <c:pt idx="5688">
                  <c:v>0.44203999999999999</c:v>
                </c:pt>
                <c:pt idx="5689">
                  <c:v>0.19608</c:v>
                </c:pt>
                <c:pt idx="5690">
                  <c:v>0.18576000000000001</c:v>
                </c:pt>
                <c:pt idx="5691">
                  <c:v>0.10474799999999999</c:v>
                </c:pt>
                <c:pt idx="5692">
                  <c:v>9.373999999999999E-2</c:v>
                </c:pt>
                <c:pt idx="5693">
                  <c:v>0.16133600000000001</c:v>
                </c:pt>
                <c:pt idx="5694">
                  <c:v>0.75851999999999997</c:v>
                </c:pt>
                <c:pt idx="5695">
                  <c:v>0.36463999999999996</c:v>
                </c:pt>
                <c:pt idx="5696">
                  <c:v>0.25112000000000001</c:v>
                </c:pt>
                <c:pt idx="5697">
                  <c:v>0.9718</c:v>
                </c:pt>
                <c:pt idx="5698">
                  <c:v>0.55899999999999994</c:v>
                </c:pt>
                <c:pt idx="5699">
                  <c:v>0.150672</c:v>
                </c:pt>
                <c:pt idx="5700">
                  <c:v>0.34056000000000003</c:v>
                </c:pt>
                <c:pt idx="5701">
                  <c:v>2.7176</c:v>
                </c:pt>
                <c:pt idx="5702">
                  <c:v>1.9263999999999999</c:v>
                </c:pt>
                <c:pt idx="5703">
                  <c:v>4.8675999999999997E-2</c:v>
                </c:pt>
                <c:pt idx="5704">
                  <c:v>1.3914799999999998</c:v>
                </c:pt>
                <c:pt idx="5705">
                  <c:v>0.49363999999999997</c:v>
                </c:pt>
                <c:pt idx="5706">
                  <c:v>0.81527999999999989</c:v>
                </c:pt>
                <c:pt idx="5707">
                  <c:v>2.5283999999999995</c:v>
                </c:pt>
                <c:pt idx="5708">
                  <c:v>0.63467999999999991</c:v>
                </c:pt>
                <c:pt idx="5709">
                  <c:v>1.3054800000000002</c:v>
                </c:pt>
                <c:pt idx="5710">
                  <c:v>1.5359599999999998</c:v>
                </c:pt>
                <c:pt idx="5711">
                  <c:v>1.0990799999999998</c:v>
                </c:pt>
                <c:pt idx="5712">
                  <c:v>5.0395999999999992</c:v>
                </c:pt>
                <c:pt idx="5713">
                  <c:v>0.6794</c:v>
                </c:pt>
                <c:pt idx="5714">
                  <c:v>1.5118800000000001</c:v>
                </c:pt>
                <c:pt idx="5715">
                  <c:v>0.93740000000000001</c:v>
                </c:pt>
                <c:pt idx="5716">
                  <c:v>1.14208</c:v>
                </c:pt>
                <c:pt idx="5717">
                  <c:v>2.9927999999999995</c:v>
                </c:pt>
                <c:pt idx="5718">
                  <c:v>0.46783999999999998</c:v>
                </c:pt>
                <c:pt idx="5719">
                  <c:v>6.9144000000000005</c:v>
                </c:pt>
                <c:pt idx="5720">
                  <c:v>3.6635999999999997</c:v>
                </c:pt>
                <c:pt idx="5721">
                  <c:v>1.9608000000000001</c:v>
                </c:pt>
                <c:pt idx="5722">
                  <c:v>7.1035999999999992</c:v>
                </c:pt>
                <c:pt idx="5723">
                  <c:v>4.8850000000000005E-3</c:v>
                </c:pt>
                <c:pt idx="5724">
                  <c:v>4.5770000000000003E-3</c:v>
                </c:pt>
                <c:pt idx="5725">
                  <c:v>4.1530000000000004E-3</c:v>
                </c:pt>
                <c:pt idx="5726">
                  <c:v>4.0090000000000004E-3</c:v>
                </c:pt>
                <c:pt idx="5727">
                  <c:v>3.9690000000000003E-3</c:v>
                </c:pt>
                <c:pt idx="5728">
                  <c:v>3.9150000000000001E-3</c:v>
                </c:pt>
                <c:pt idx="5729">
                  <c:v>3.7720000000000002E-3</c:v>
                </c:pt>
                <c:pt idx="5730">
                  <c:v>3.9270000000000008E-3</c:v>
                </c:pt>
                <c:pt idx="5731">
                  <c:v>3.8710000000000003E-3</c:v>
                </c:pt>
                <c:pt idx="5732">
                  <c:v>3.8520000000000004E-3</c:v>
                </c:pt>
                <c:pt idx="5733">
                  <c:v>4.5770000000000003E-3</c:v>
                </c:pt>
                <c:pt idx="5734">
                  <c:v>4.6820000000000004E-3</c:v>
                </c:pt>
                <c:pt idx="5735">
                  <c:v>4.3820000000000005E-3</c:v>
                </c:pt>
                <c:pt idx="5736">
                  <c:v>4.2950000000000002E-3</c:v>
                </c:pt>
                <c:pt idx="5737">
                  <c:v>4.3170000000000005E-3</c:v>
                </c:pt>
                <c:pt idx="5738">
                  <c:v>4.7350000000000005E-3</c:v>
                </c:pt>
                <c:pt idx="5739">
                  <c:v>4.6750000000000003E-3</c:v>
                </c:pt>
                <c:pt idx="5740">
                  <c:v>4.6130000000000008E-3</c:v>
                </c:pt>
                <c:pt idx="5741">
                  <c:v>4.5770000000000003E-3</c:v>
                </c:pt>
                <c:pt idx="5742">
                  <c:v>4.4030000000000007E-3</c:v>
                </c:pt>
                <c:pt idx="5743">
                  <c:v>4.2950000000000002E-3</c:v>
                </c:pt>
                <c:pt idx="5744">
                  <c:v>4.2490000000000002E-3</c:v>
                </c:pt>
                <c:pt idx="5745">
                  <c:v>4.2490000000000002E-3</c:v>
                </c:pt>
                <c:pt idx="5746">
                  <c:v>4.2950000000000002E-3</c:v>
                </c:pt>
                <c:pt idx="5747">
                  <c:v>1.1806536000000001</c:v>
                </c:pt>
                <c:pt idx="5748">
                  <c:v>3.0047820000000001</c:v>
                </c:pt>
                <c:pt idx="5749">
                  <c:v>5.1312600000000002</c:v>
                </c:pt>
                <c:pt idx="5750">
                  <c:v>1.6891039999999999</c:v>
                </c:pt>
                <c:pt idx="5751">
                  <c:v>7.523779999999999E-3</c:v>
                </c:pt>
                <c:pt idx="5752">
                  <c:v>6.7996500000000001E-2</c:v>
                </c:pt>
                <c:pt idx="5753">
                  <c:v>0.55137650000000005</c:v>
                </c:pt>
                <c:pt idx="5754">
                  <c:v>3.3967309999999995</c:v>
                </c:pt>
                <c:pt idx="5755">
                  <c:v>5.1318580000000003</c:v>
                </c:pt>
                <c:pt idx="5756">
                  <c:v>2.7651779999999997</c:v>
                </c:pt>
                <c:pt idx="5757">
                  <c:v>1.0047788</c:v>
                </c:pt>
                <c:pt idx="5758">
                  <c:v>3.2095050000000001</c:v>
                </c:pt>
                <c:pt idx="5759">
                  <c:v>1.2260886</c:v>
                </c:pt>
                <c:pt idx="5760">
                  <c:v>0.89199289999999998</c:v>
                </c:pt>
                <c:pt idx="5761">
                  <c:v>1.0467792</c:v>
                </c:pt>
                <c:pt idx="5762">
                  <c:v>0.87967499999999998</c:v>
                </c:pt>
                <c:pt idx="5763">
                  <c:v>2.9569360000000002</c:v>
                </c:pt>
                <c:pt idx="5764">
                  <c:v>10.918114000000001</c:v>
                </c:pt>
                <c:pt idx="5765">
                  <c:v>15.285550000000002</c:v>
                </c:pt>
                <c:pt idx="5766">
                  <c:v>31.422170000000005</c:v>
                </c:pt>
                <c:pt idx="5767">
                  <c:v>19.494799999999998</c:v>
                </c:pt>
                <c:pt idx="5768">
                  <c:v>19.586040000000001</c:v>
                </c:pt>
                <c:pt idx="5769">
                  <c:v>21.732700000000001</c:v>
                </c:pt>
                <c:pt idx="5770">
                  <c:v>12.159822</c:v>
                </c:pt>
                <c:pt idx="5771">
                  <c:v>1.9768240000000001</c:v>
                </c:pt>
                <c:pt idx="5772">
                  <c:v>2.4930870000000001</c:v>
                </c:pt>
                <c:pt idx="5773">
                  <c:v>7.509739999999999</c:v>
                </c:pt>
                <c:pt idx="5774">
                  <c:v>30.224559999999997</c:v>
                </c:pt>
                <c:pt idx="5775">
                  <c:v>4.2237659999999995</c:v>
                </c:pt>
                <c:pt idx="5776">
                  <c:v>1.133856</c:v>
                </c:pt>
                <c:pt idx="5777">
                  <c:v>10.351008</c:v>
                </c:pt>
                <c:pt idx="5778">
                  <c:v>10.469491999999999</c:v>
                </c:pt>
                <c:pt idx="5779">
                  <c:v>16.552123999999999</c:v>
                </c:pt>
                <c:pt idx="5780">
                  <c:v>3.6284159999999996</c:v>
                </c:pt>
                <c:pt idx="5781">
                  <c:v>9.3537549999999996</c:v>
                </c:pt>
                <c:pt idx="5782">
                  <c:v>5.7221960000000003</c:v>
                </c:pt>
                <c:pt idx="5783">
                  <c:v>4.4018220000000001</c:v>
                </c:pt>
                <c:pt idx="5784">
                  <c:v>20.192999999999998</c:v>
                </c:pt>
                <c:pt idx="5785">
                  <c:v>64.631160000000008</c:v>
                </c:pt>
                <c:pt idx="5786">
                  <c:v>57.164000000000001</c:v>
                </c:pt>
                <c:pt idx="5787">
                  <c:v>15.971387000000002</c:v>
                </c:pt>
                <c:pt idx="5788">
                  <c:v>10.847451999999999</c:v>
                </c:pt>
                <c:pt idx="5789">
                  <c:v>10.689835999999998</c:v>
                </c:pt>
                <c:pt idx="5790">
                  <c:v>8.5724999999999998</c:v>
                </c:pt>
                <c:pt idx="5791">
                  <c:v>10.077449999999999</c:v>
                </c:pt>
                <c:pt idx="5792">
                  <c:v>7.4269139999999982</c:v>
                </c:pt>
                <c:pt idx="5793">
                  <c:v>11.924638</c:v>
                </c:pt>
                <c:pt idx="5794">
                  <c:v>28.886220000000002</c:v>
                </c:pt>
                <c:pt idx="5795">
                  <c:v>18.20834</c:v>
                </c:pt>
                <c:pt idx="5796">
                  <c:v>30.610400000000002</c:v>
                </c:pt>
                <c:pt idx="5797">
                  <c:v>22.677119999999999</c:v>
                </c:pt>
                <c:pt idx="5798">
                  <c:v>21.9436</c:v>
                </c:pt>
                <c:pt idx="5799">
                  <c:v>9.8389439999999997</c:v>
                </c:pt>
                <c:pt idx="5800">
                  <c:v>17.702783999999998</c:v>
                </c:pt>
                <c:pt idx="5801">
                  <c:v>3.5884490000000002</c:v>
                </c:pt>
                <c:pt idx="5802">
                  <c:v>4.6268639999999994</c:v>
                </c:pt>
                <c:pt idx="5803">
                  <c:v>6.3640799999999995</c:v>
                </c:pt>
                <c:pt idx="5804">
                  <c:v>2.100962</c:v>
                </c:pt>
                <c:pt idx="5805">
                  <c:v>0.47533959999999997</c:v>
                </c:pt>
                <c:pt idx="5806">
                  <c:v>6.2226560000000006</c:v>
                </c:pt>
                <c:pt idx="5807">
                  <c:v>4.3163680000000006</c:v>
                </c:pt>
                <c:pt idx="5808">
                  <c:v>4.4371780000000003</c:v>
                </c:pt>
                <c:pt idx="5809">
                  <c:v>1.8946590000000001</c:v>
                </c:pt>
                <c:pt idx="5810">
                  <c:v>2.6639900000000001</c:v>
                </c:pt>
                <c:pt idx="5811">
                  <c:v>11.575407999999999</c:v>
                </c:pt>
                <c:pt idx="5812">
                  <c:v>9.5533900000000003</c:v>
                </c:pt>
                <c:pt idx="5813">
                  <c:v>5.6000000000000006E-4</c:v>
                </c:pt>
                <c:pt idx="5814">
                  <c:v>0.10922377999999999</c:v>
                </c:pt>
                <c:pt idx="5815">
                  <c:v>1.2147084000000001</c:v>
                </c:pt>
                <c:pt idx="5816">
                  <c:v>0.26884200000000008</c:v>
                </c:pt>
                <c:pt idx="5817">
                  <c:v>2.9169799999999997</c:v>
                </c:pt>
                <c:pt idx="5818">
                  <c:v>0.75708889999999995</c:v>
                </c:pt>
                <c:pt idx="5819">
                  <c:v>0.64173559999999996</c:v>
                </c:pt>
                <c:pt idx="5820">
                  <c:v>1.203388E-2</c:v>
                </c:pt>
                <c:pt idx="5821">
                  <c:v>7.9278479999999998E-2</c:v>
                </c:pt>
                <c:pt idx="5822">
                  <c:v>3.0596780000000001E-2</c:v>
                </c:pt>
                <c:pt idx="5823">
                  <c:v>1.5558270000000001E-2</c:v>
                </c:pt>
                <c:pt idx="5824">
                  <c:v>0.21115019999999998</c:v>
                </c:pt>
                <c:pt idx="5825">
                  <c:v>7.6399960000000005E-3</c:v>
                </c:pt>
                <c:pt idx="5826">
                  <c:v>0.44792739999999998</c:v>
                </c:pt>
                <c:pt idx="5827">
                  <c:v>1.2383932</c:v>
                </c:pt>
                <c:pt idx="5828">
                  <c:v>0.20481639999999998</c:v>
                </c:pt>
                <c:pt idx="5829">
                  <c:v>0.63654119999999992</c:v>
                </c:pt>
                <c:pt idx="5830">
                  <c:v>1.1521440000000001</c:v>
                </c:pt>
                <c:pt idx="5831">
                  <c:v>6.0742240000000001</c:v>
                </c:pt>
                <c:pt idx="5832">
                  <c:v>0.43049310000000007</c:v>
                </c:pt>
                <c:pt idx="5833">
                  <c:v>7.239414000000001E-2</c:v>
                </c:pt>
                <c:pt idx="5834">
                  <c:v>15.448569999999998</c:v>
                </c:pt>
                <c:pt idx="5835">
                  <c:v>2.2151340000000004</c:v>
                </c:pt>
                <c:pt idx="5836">
                  <c:v>4.1243429999999996</c:v>
                </c:pt>
                <c:pt idx="5837">
                  <c:v>13.142799999999999</c:v>
                </c:pt>
                <c:pt idx="5838">
                  <c:v>42.415399999999991</c:v>
                </c:pt>
                <c:pt idx="5839">
                  <c:v>0.25260299999999997</c:v>
                </c:pt>
                <c:pt idx="5840">
                  <c:v>1.78688</c:v>
                </c:pt>
                <c:pt idx="5841">
                  <c:v>3.557423</c:v>
                </c:pt>
                <c:pt idx="5842">
                  <c:v>1.2148368</c:v>
                </c:pt>
                <c:pt idx="5843">
                  <c:v>5.5016400000000001</c:v>
                </c:pt>
                <c:pt idx="5844">
                  <c:v>2.8401489999999994</c:v>
                </c:pt>
                <c:pt idx="5845">
                  <c:v>4.9815360000000002</c:v>
                </c:pt>
                <c:pt idx="5846">
                  <c:v>3.6141149999999995</c:v>
                </c:pt>
                <c:pt idx="5847">
                  <c:v>1.155465</c:v>
                </c:pt>
                <c:pt idx="5848">
                  <c:v>5.3534309999999996</c:v>
                </c:pt>
                <c:pt idx="5849">
                  <c:v>0.9665996</c:v>
                </c:pt>
                <c:pt idx="5850">
                  <c:v>0.74055120000000008</c:v>
                </c:pt>
                <c:pt idx="5851">
                  <c:v>1.1397995999999999</c:v>
                </c:pt>
                <c:pt idx="5852">
                  <c:v>2.135672</c:v>
                </c:pt>
                <c:pt idx="5853">
                  <c:v>2.7095039999999999</c:v>
                </c:pt>
                <c:pt idx="5854">
                  <c:v>2.7578849999999999</c:v>
                </c:pt>
                <c:pt idx="5855">
                  <c:v>1.626436</c:v>
                </c:pt>
                <c:pt idx="5856">
                  <c:v>1.780667</c:v>
                </c:pt>
                <c:pt idx="5857">
                  <c:v>2.3094479999999997</c:v>
                </c:pt>
                <c:pt idx="5858">
                  <c:v>2.2535069999999999</c:v>
                </c:pt>
                <c:pt idx="5859">
                  <c:v>4.9577989999999996</c:v>
                </c:pt>
                <c:pt idx="5860">
                  <c:v>2.9733599999999996</c:v>
                </c:pt>
                <c:pt idx="5861">
                  <c:v>4.1901799999999998</c:v>
                </c:pt>
                <c:pt idx="5862">
                  <c:v>7.2156319999999994</c:v>
                </c:pt>
                <c:pt idx="5863">
                  <c:v>4.9676660000000004</c:v>
                </c:pt>
                <c:pt idx="5864">
                  <c:v>4.4928409999999994</c:v>
                </c:pt>
                <c:pt idx="5865">
                  <c:v>1.2968437000000002</c:v>
                </c:pt>
                <c:pt idx="5866">
                  <c:v>0.43988080000000002</c:v>
                </c:pt>
                <c:pt idx="5867">
                  <c:v>0.59003399999999995</c:v>
                </c:pt>
                <c:pt idx="5868">
                  <c:v>0.68341649999999998</c:v>
                </c:pt>
                <c:pt idx="5869">
                  <c:v>1.5049629999999998</c:v>
                </c:pt>
                <c:pt idx="5870">
                  <c:v>1.5083419999999998</c:v>
                </c:pt>
                <c:pt idx="5871">
                  <c:v>2.5518220000000005</c:v>
                </c:pt>
                <c:pt idx="5872">
                  <c:v>2.6671680000000002</c:v>
                </c:pt>
                <c:pt idx="5873">
                  <c:v>2.543231</c:v>
                </c:pt>
                <c:pt idx="5874">
                  <c:v>2.6647509999999999</c:v>
                </c:pt>
                <c:pt idx="5875">
                  <c:v>4.6319119999999998</c:v>
                </c:pt>
                <c:pt idx="5876">
                  <c:v>1.621375</c:v>
                </c:pt>
                <c:pt idx="5877">
                  <c:v>1.261452</c:v>
                </c:pt>
                <c:pt idx="5878">
                  <c:v>1.1108915999999998</c:v>
                </c:pt>
                <c:pt idx="5879">
                  <c:v>1.1104632000000001</c:v>
                </c:pt>
                <c:pt idx="5880">
                  <c:v>1.3835279999999996</c:v>
                </c:pt>
                <c:pt idx="5881">
                  <c:v>3.072384</c:v>
                </c:pt>
                <c:pt idx="5882">
                  <c:v>3.3229769999999998</c:v>
                </c:pt>
                <c:pt idx="5883">
                  <c:v>3.8277330000000003</c:v>
                </c:pt>
                <c:pt idx="5884">
                  <c:v>5.5782470000000002</c:v>
                </c:pt>
                <c:pt idx="5885">
                  <c:v>4.0494560000000002</c:v>
                </c:pt>
                <c:pt idx="5886">
                  <c:v>2.5794480000000002</c:v>
                </c:pt>
                <c:pt idx="5887">
                  <c:v>1.0766482000000002</c:v>
                </c:pt>
                <c:pt idx="5888">
                  <c:v>1.4000000000000001E-4</c:v>
                </c:pt>
                <c:pt idx="5889">
                  <c:v>4.8010000000000001E-4</c:v>
                </c:pt>
                <c:pt idx="5890">
                  <c:v>6.900000000000001E-5</c:v>
                </c:pt>
                <c:pt idx="5891">
                  <c:v>6.8700000000000003E-5</c:v>
                </c:pt>
                <c:pt idx="5892">
                  <c:v>3.6600000000000002E-5</c:v>
                </c:pt>
                <c:pt idx="5893">
                  <c:v>2.8999999999999998E-6</c:v>
                </c:pt>
                <c:pt idx="5894">
                  <c:v>1.9E-6</c:v>
                </c:pt>
                <c:pt idx="5895">
                  <c:v>3.7000000000000002E-6</c:v>
                </c:pt>
                <c:pt idx="5896">
                  <c:v>5.0000000000000004E-6</c:v>
                </c:pt>
                <c:pt idx="5897">
                  <c:v>7.2000000000000009E-7</c:v>
                </c:pt>
                <c:pt idx="5898">
                  <c:v>4.4000000000000002E-7</c:v>
                </c:pt>
                <c:pt idx="5899">
                  <c:v>1.5000000000000002E-8</c:v>
                </c:pt>
                <c:pt idx="5900">
                  <c:v>3.1E-7</c:v>
                </c:pt>
                <c:pt idx="5901">
                  <c:v>1.5000000000000002E-8</c:v>
                </c:pt>
                <c:pt idx="5902">
                  <c:v>5.5000000000000003E-7</c:v>
                </c:pt>
                <c:pt idx="5903">
                  <c:v>4.4999999999999998E-7</c:v>
                </c:pt>
                <c:pt idx="5904">
                  <c:v>5.0999999999999999E-7</c:v>
                </c:pt>
                <c:pt idx="5905">
                  <c:v>1.9199999999999999E-5</c:v>
                </c:pt>
                <c:pt idx="5906">
                  <c:v>1.2800000000000001E-5</c:v>
                </c:pt>
                <c:pt idx="5907">
                  <c:v>3.5530000000000002E-4</c:v>
                </c:pt>
                <c:pt idx="5908">
                  <c:v>6.868E-4</c:v>
                </c:pt>
                <c:pt idx="5909">
                  <c:v>5.442E-4</c:v>
                </c:pt>
                <c:pt idx="5910">
                  <c:v>2.4899999999999999E-5</c:v>
                </c:pt>
                <c:pt idx="5911">
                  <c:v>2.1490000000000002E-4</c:v>
                </c:pt>
                <c:pt idx="5912">
                  <c:v>1.3343000000000001E-3</c:v>
                </c:pt>
                <c:pt idx="5913">
                  <c:v>4.1276000000000004E-3</c:v>
                </c:pt>
                <c:pt idx="5914">
                  <c:v>2.0460000000000001E-4</c:v>
                </c:pt>
                <c:pt idx="5915">
                  <c:v>2.9813000000000001E-3</c:v>
                </c:pt>
                <c:pt idx="5916">
                  <c:v>2.3213000000000001E-3</c:v>
                </c:pt>
                <c:pt idx="5917">
                  <c:v>4.0949999999999998E-4</c:v>
                </c:pt>
                <c:pt idx="5918">
                  <c:v>7.094E-4</c:v>
                </c:pt>
                <c:pt idx="5919">
                  <c:v>7.848000000000001E-4</c:v>
                </c:pt>
                <c:pt idx="5920">
                  <c:v>1.47E-5</c:v>
                </c:pt>
                <c:pt idx="5921">
                  <c:v>3.3799999999999995E-5</c:v>
                </c:pt>
                <c:pt idx="5922">
                  <c:v>2.722E-4</c:v>
                </c:pt>
                <c:pt idx="5923">
                  <c:v>8.6990000000000006E-4</c:v>
                </c:pt>
                <c:pt idx="5924">
                  <c:v>3.57E-5</c:v>
                </c:pt>
                <c:pt idx="5925">
                  <c:v>7.4800000000000002E-5</c:v>
                </c:pt>
                <c:pt idx="5926">
                  <c:v>1.7770000000000001E-4</c:v>
                </c:pt>
                <c:pt idx="5927">
                  <c:v>2.6599999999999999E-5</c:v>
                </c:pt>
                <c:pt idx="5928">
                  <c:v>4.1700000000000004E-5</c:v>
                </c:pt>
                <c:pt idx="5929">
                  <c:v>2.743E-4</c:v>
                </c:pt>
                <c:pt idx="5930">
                  <c:v>3.8600000000000003E-5</c:v>
                </c:pt>
                <c:pt idx="5931">
                  <c:v>1.505E-4</c:v>
                </c:pt>
                <c:pt idx="5932">
                  <c:v>6.2129999999999998E-4</c:v>
                </c:pt>
                <c:pt idx="5933">
                  <c:v>4.6399999999999996E-5</c:v>
                </c:pt>
                <c:pt idx="5934">
                  <c:v>2.7999999999999999E-6</c:v>
                </c:pt>
                <c:pt idx="5935">
                  <c:v>3.1960000000000002E-4</c:v>
                </c:pt>
                <c:pt idx="5936">
                  <c:v>2.0719999999999999E-4</c:v>
                </c:pt>
                <c:pt idx="5937">
                  <c:v>9.2899999999999995E-5</c:v>
                </c:pt>
                <c:pt idx="5938">
                  <c:v>1.54E-4</c:v>
                </c:pt>
                <c:pt idx="5939">
                  <c:v>8.2100000000000003E-5</c:v>
                </c:pt>
                <c:pt idx="5940">
                  <c:v>3.8E-6</c:v>
                </c:pt>
                <c:pt idx="5941">
                  <c:v>1.6999999999999998E-6</c:v>
                </c:pt>
                <c:pt idx="5942">
                  <c:v>4.9000000000000002E-8</c:v>
                </c:pt>
                <c:pt idx="5943">
                  <c:v>4.9000000000000002E-8</c:v>
                </c:pt>
                <c:pt idx="5944">
                  <c:v>4.8999999999999997E-7</c:v>
                </c:pt>
                <c:pt idx="5945">
                  <c:v>4.9000000000000002E-8</c:v>
                </c:pt>
                <c:pt idx="5946">
                  <c:v>4.9000000000000002E-8</c:v>
                </c:pt>
                <c:pt idx="5947">
                  <c:v>2.7E-6</c:v>
                </c:pt>
                <c:pt idx="5948">
                  <c:v>2.69E-5</c:v>
                </c:pt>
                <c:pt idx="5949">
                  <c:v>1.1400000000000001E-5</c:v>
                </c:pt>
                <c:pt idx="5950">
                  <c:v>5.9000000000000003E-6</c:v>
                </c:pt>
                <c:pt idx="5951">
                  <c:v>2.9300000000000001E-5</c:v>
                </c:pt>
                <c:pt idx="5952">
                  <c:v>1.039E-3</c:v>
                </c:pt>
                <c:pt idx="5953">
                  <c:v>4.7540000000000001E-4</c:v>
                </c:pt>
                <c:pt idx="5954">
                  <c:v>9.3999999999999998E-6</c:v>
                </c:pt>
                <c:pt idx="5955">
                  <c:v>1.593E-4</c:v>
                </c:pt>
                <c:pt idx="5956">
                  <c:v>8.4889999999999998E-4</c:v>
                </c:pt>
                <c:pt idx="5957">
                  <c:v>1.5494E-3</c:v>
                </c:pt>
                <c:pt idx="5958">
                  <c:v>3.9106999999999996E-3</c:v>
                </c:pt>
                <c:pt idx="5959">
                  <c:v>2.8151000000000001E-3</c:v>
                </c:pt>
                <c:pt idx="5960">
                  <c:v>4.5275999999999997E-3</c:v>
                </c:pt>
                <c:pt idx="5961">
                  <c:v>8.8634000000000004E-3</c:v>
                </c:pt>
                <c:pt idx="5962">
                  <c:v>3.6657999999999999E-3</c:v>
                </c:pt>
                <c:pt idx="5963">
                  <c:v>5.3369999999999991E-4</c:v>
                </c:pt>
                <c:pt idx="5964">
                  <c:v>6.8079999999999996E-4</c:v>
                </c:pt>
                <c:pt idx="5965">
                  <c:v>1.0242000000000001E-3</c:v>
                </c:pt>
                <c:pt idx="5966">
                  <c:v>3.8699999999999999E-5</c:v>
                </c:pt>
                <c:pt idx="5967">
                  <c:v>5.1E-5</c:v>
                </c:pt>
                <c:pt idx="5968">
                  <c:v>1.0230000000000001E-4</c:v>
                </c:pt>
                <c:pt idx="5969">
                  <c:v>3.3090000000000002E-4</c:v>
                </c:pt>
                <c:pt idx="5970">
                  <c:v>3.82E-5</c:v>
                </c:pt>
                <c:pt idx="5971">
                  <c:v>1.081E-4</c:v>
                </c:pt>
                <c:pt idx="5972">
                  <c:v>1.361E-4</c:v>
                </c:pt>
                <c:pt idx="5973">
                  <c:v>1.6400000000000002E-5</c:v>
                </c:pt>
                <c:pt idx="5974">
                  <c:v>4.2000000000000004E-5</c:v>
                </c:pt>
                <c:pt idx="5975">
                  <c:v>3.0800000000000003E-5</c:v>
                </c:pt>
                <c:pt idx="5976">
                  <c:v>3.7400000000000001E-5</c:v>
                </c:pt>
                <c:pt idx="5977">
                  <c:v>1.0240000000000001E-4</c:v>
                </c:pt>
                <c:pt idx="5978">
                  <c:v>5.8480000000000001E-4</c:v>
                </c:pt>
                <c:pt idx="5979">
                  <c:v>4.9500000000000004E-5</c:v>
                </c:pt>
                <c:pt idx="5980">
                  <c:v>4.9999999999999998E-7</c:v>
                </c:pt>
                <c:pt idx="5981">
                  <c:v>4.9999999999999998E-7</c:v>
                </c:pt>
                <c:pt idx="5982">
                  <c:v>2.0043000000000001E-3</c:v>
                </c:pt>
                <c:pt idx="5983">
                  <c:v>8.8400000000000007E-5</c:v>
                </c:pt>
                <c:pt idx="5984">
                  <c:v>1.2495E-3</c:v>
                </c:pt>
                <c:pt idx="5985">
                  <c:v>4.0999999999999999E-7</c:v>
                </c:pt>
                <c:pt idx="5986">
                  <c:v>2.04E-4</c:v>
                </c:pt>
                <c:pt idx="5987">
                  <c:v>4.0999999999999999E-7</c:v>
                </c:pt>
                <c:pt idx="5988">
                  <c:v>4.0999999999999999E-7</c:v>
                </c:pt>
                <c:pt idx="5989">
                  <c:v>4.1000000000000006E-6</c:v>
                </c:pt>
                <c:pt idx="5990">
                  <c:v>4.0999999999999999E-7</c:v>
                </c:pt>
                <c:pt idx="5991">
                  <c:v>4.0999999999999999E-7</c:v>
                </c:pt>
                <c:pt idx="5992">
                  <c:v>4.0999999999999999E-7</c:v>
                </c:pt>
                <c:pt idx="5993">
                  <c:v>4.0999999999999999E-7</c:v>
                </c:pt>
                <c:pt idx="5994">
                  <c:v>5.0000000000000002E-5</c:v>
                </c:pt>
                <c:pt idx="5995">
                  <c:v>4.0999999999999999E-7</c:v>
                </c:pt>
                <c:pt idx="5996">
                  <c:v>2.9499999999999999E-5</c:v>
                </c:pt>
                <c:pt idx="5997">
                  <c:v>7.0069999999999996E-4</c:v>
                </c:pt>
                <c:pt idx="5998">
                  <c:v>2.498E-4</c:v>
                </c:pt>
                <c:pt idx="5999">
                  <c:v>9.5000000000000005E-6</c:v>
                </c:pt>
                <c:pt idx="6000">
                  <c:v>4.0800000000000002E-5</c:v>
                </c:pt>
                <c:pt idx="6001">
                  <c:v>8.3370000000000004E-4</c:v>
                </c:pt>
                <c:pt idx="6002">
                  <c:v>3.4739999999999999E-4</c:v>
                </c:pt>
                <c:pt idx="6003">
                  <c:v>7.182E-4</c:v>
                </c:pt>
                <c:pt idx="6004">
                  <c:v>1.4366000000000001E-3</c:v>
                </c:pt>
                <c:pt idx="6005">
                  <c:v>3.0859999999999997E-4</c:v>
                </c:pt>
                <c:pt idx="6006">
                  <c:v>7.7030000000000002E-4</c:v>
                </c:pt>
                <c:pt idx="6007">
                  <c:v>7.3609999999999995E-4</c:v>
                </c:pt>
                <c:pt idx="6008">
                  <c:v>1.4811000000000002E-3</c:v>
                </c:pt>
                <c:pt idx="6009">
                  <c:v>8.2000000000000011E-6</c:v>
                </c:pt>
                <c:pt idx="6010">
                  <c:v>2.0799999999999997E-5</c:v>
                </c:pt>
                <c:pt idx="6011">
                  <c:v>5.4499999999999997E-5</c:v>
                </c:pt>
                <c:pt idx="6012">
                  <c:v>4.0339999999999999E-4</c:v>
                </c:pt>
                <c:pt idx="6013">
                  <c:v>3.3500000000000001E-5</c:v>
                </c:pt>
                <c:pt idx="6014">
                  <c:v>1.167E-4</c:v>
                </c:pt>
                <c:pt idx="6015">
                  <c:v>1.0620000000000001E-4</c:v>
                </c:pt>
                <c:pt idx="6016">
                  <c:v>4.0999999999999999E-7</c:v>
                </c:pt>
                <c:pt idx="6017">
                  <c:v>2.65E-5</c:v>
                </c:pt>
                <c:pt idx="6018">
                  <c:v>6.5000000000000008E-5</c:v>
                </c:pt>
                <c:pt idx="6019">
                  <c:v>4.2500000000000003E-5</c:v>
                </c:pt>
                <c:pt idx="6020">
                  <c:v>7.1799999999999997E-5</c:v>
                </c:pt>
                <c:pt idx="6021">
                  <c:v>1.549E-4</c:v>
                </c:pt>
                <c:pt idx="6022">
                  <c:v>1.63E-5</c:v>
                </c:pt>
                <c:pt idx="6023">
                  <c:v>5.3000000000000001E-6</c:v>
                </c:pt>
                <c:pt idx="6024">
                  <c:v>4.0999999999999999E-7</c:v>
                </c:pt>
                <c:pt idx="6025">
                  <c:v>2.12E-5</c:v>
                </c:pt>
                <c:pt idx="6026">
                  <c:v>3.18E-5</c:v>
                </c:pt>
                <c:pt idx="6027">
                  <c:v>3.8990000000000004E-4</c:v>
                </c:pt>
                <c:pt idx="6028">
                  <c:v>2.12E-6</c:v>
                </c:pt>
                <c:pt idx="6029">
                  <c:v>9.3130000000000003E-4</c:v>
                </c:pt>
                <c:pt idx="6030">
                  <c:v>3.4389999999999996E-4</c:v>
                </c:pt>
                <c:pt idx="6031">
                  <c:v>4.3696000000000004E-3</c:v>
                </c:pt>
                <c:pt idx="6032">
                  <c:v>4.037E-4</c:v>
                </c:pt>
                <c:pt idx="6033">
                  <c:v>7.9670000000000001E-4</c:v>
                </c:pt>
                <c:pt idx="6034">
                  <c:v>2.3150000000000002E-4</c:v>
                </c:pt>
                <c:pt idx="6035">
                  <c:v>2.1499999999999997E-5</c:v>
                </c:pt>
                <c:pt idx="6036">
                  <c:v>9.4199999999999991E-4</c:v>
                </c:pt>
                <c:pt idx="6037">
                  <c:v>2.4976E-3</c:v>
                </c:pt>
                <c:pt idx="6038">
                  <c:v>6.6692999999999995E-3</c:v>
                </c:pt>
                <c:pt idx="6039">
                  <c:v>7.5250999999999998E-3</c:v>
                </c:pt>
                <c:pt idx="6040">
                  <c:v>1.3295E-3</c:v>
                </c:pt>
                <c:pt idx="6041">
                  <c:v>6.3519999999999994E-4</c:v>
                </c:pt>
                <c:pt idx="6042">
                  <c:v>1.292E-4</c:v>
                </c:pt>
                <c:pt idx="6043">
                  <c:v>3.0680000000000003E-4</c:v>
                </c:pt>
                <c:pt idx="6044">
                  <c:v>9.6899999999999997E-5</c:v>
                </c:pt>
                <c:pt idx="6045">
                  <c:v>2.4220000000000001E-4</c:v>
                </c:pt>
                <c:pt idx="6046">
                  <c:v>6.6750000000000002E-4</c:v>
                </c:pt>
                <c:pt idx="6047">
                  <c:v>4.6388888888888885E-4</c:v>
                </c:pt>
                <c:pt idx="6048">
                  <c:v>4.444444444444445E-6</c:v>
                </c:pt>
                <c:pt idx="6049">
                  <c:v>1.8611111111111111E-6</c:v>
                </c:pt>
                <c:pt idx="6050">
                  <c:v>2.7777777777777781E-7</c:v>
                </c:pt>
                <c:pt idx="6051">
                  <c:v>2.7777777777777781E-7</c:v>
                </c:pt>
                <c:pt idx="6052">
                  <c:v>1.7222222222222222E-7</c:v>
                </c:pt>
                <c:pt idx="6053">
                  <c:v>4.3888888888888889E-4</c:v>
                </c:pt>
                <c:pt idx="6054">
                  <c:v>2.6666666666666667E-5</c:v>
                </c:pt>
                <c:pt idx="6055">
                  <c:v>6.1111111111111112E-6</c:v>
                </c:pt>
                <c:pt idx="6056">
                  <c:v>3.2777777777777779E-3</c:v>
                </c:pt>
                <c:pt idx="6057">
                  <c:v>5.5555555555555559E-2</c:v>
                </c:pt>
                <c:pt idx="6058">
                  <c:v>1.1944444444444444E-4</c:v>
                </c:pt>
                <c:pt idx="6059">
                  <c:v>1.5555555555555556E-4</c:v>
                </c:pt>
                <c:pt idx="6060">
                  <c:v>8.8333333333333341E-4</c:v>
                </c:pt>
                <c:pt idx="6061">
                  <c:v>4.9166666666666673E-4</c:v>
                </c:pt>
                <c:pt idx="6062">
                  <c:v>1.2777777777777779E-4</c:v>
                </c:pt>
                <c:pt idx="6063">
                  <c:v>5.1944444444444445E-4</c:v>
                </c:pt>
                <c:pt idx="6064">
                  <c:v>1.2638888888888889E-2</c:v>
                </c:pt>
                <c:pt idx="6065">
                  <c:v>1.0444444444444445E-2</c:v>
                </c:pt>
                <c:pt idx="6066">
                  <c:v>7.1666666666666678E-4</c:v>
                </c:pt>
                <c:pt idx="6067">
                  <c:v>2.1111111111111111E-4</c:v>
                </c:pt>
                <c:pt idx="6068">
                  <c:v>1.75E-4</c:v>
                </c:pt>
                <c:pt idx="6069">
                  <c:v>9.7222222222222224E-3</c:v>
                </c:pt>
                <c:pt idx="6070">
                  <c:v>5.8888888888888886E-2</c:v>
                </c:pt>
                <c:pt idx="6071">
                  <c:v>2.1805555555555557E-2</c:v>
                </c:pt>
                <c:pt idx="6072">
                  <c:v>1.7777777777777779E-3</c:v>
                </c:pt>
                <c:pt idx="6073">
                  <c:v>1.9722222237999999E-6</c:v>
                </c:pt>
                <c:pt idx="6074">
                  <c:v>6.94444445E-6</c:v>
                </c:pt>
                <c:pt idx="6075">
                  <c:v>5.0000000039999992E-6</c:v>
                </c:pt>
                <c:pt idx="6076">
                  <c:v>2.2777777795999999E-5</c:v>
                </c:pt>
                <c:pt idx="6077">
                  <c:v>3.8888888919999998E-5</c:v>
                </c:pt>
                <c:pt idx="6078">
                  <c:v>1.5555555568E-5</c:v>
                </c:pt>
                <c:pt idx="6079">
                  <c:v>5.0000000039999992E-6</c:v>
                </c:pt>
                <c:pt idx="6080">
                  <c:v>2.5555555575999998E-6</c:v>
                </c:pt>
                <c:pt idx="6081">
                  <c:v>1.1944444453999998E-6</c:v>
                </c:pt>
                <c:pt idx="6082">
                  <c:v>0.178055555698</c:v>
                </c:pt>
                <c:pt idx="6083">
                  <c:v>0.134444444552</c:v>
                </c:pt>
                <c:pt idx="6084">
                  <c:v>0.10888888897599999</c:v>
                </c:pt>
                <c:pt idx="6085">
                  <c:v>0.10694444452999999</c:v>
                </c:pt>
                <c:pt idx="6086">
                  <c:v>0.37833333363599997</c:v>
                </c:pt>
                <c:pt idx="6087">
                  <c:v>2.8055555577999998E-2</c:v>
                </c:pt>
                <c:pt idx="6088">
                  <c:v>2.5277777797999997E-2</c:v>
                </c:pt>
                <c:pt idx="6089">
                  <c:v>6.6944444497999995E-4</c:v>
                </c:pt>
                <c:pt idx="6090">
                  <c:v>1.0833333341999999E-4</c:v>
                </c:pt>
                <c:pt idx="6091">
                  <c:v>9.1666666740000002E-5</c:v>
                </c:pt>
                <c:pt idx="6092">
                  <c:v>3.6111111139999995E-5</c:v>
                </c:pt>
                <c:pt idx="6093">
                  <c:v>6.9444444499999994E-5</c:v>
                </c:pt>
                <c:pt idx="6094">
                  <c:v>4.4444444479999996E-5</c:v>
                </c:pt>
                <c:pt idx="6095">
                  <c:v>1.4722222233999998E-2</c:v>
                </c:pt>
                <c:pt idx="6096">
                  <c:v>5.8333333379999991E-3</c:v>
                </c:pt>
                <c:pt idx="6097">
                  <c:v>3.3333333359999995E-3</c:v>
                </c:pt>
                <c:pt idx="6098">
                  <c:v>1.0277777785999999E-3</c:v>
                </c:pt>
                <c:pt idx="6099">
                  <c:v>1.6388888901999998E-4</c:v>
                </c:pt>
                <c:pt idx="6100">
                  <c:v>3.6111111139999995E-5</c:v>
                </c:pt>
                <c:pt idx="6101">
                  <c:v>1.3333333343999999E-5</c:v>
                </c:pt>
                <c:pt idx="6102">
                  <c:v>6.1111111159999991E-6</c:v>
                </c:pt>
                <c:pt idx="6103">
                  <c:v>1.1666666676E-5</c:v>
                </c:pt>
                <c:pt idx="6104">
                  <c:v>9.7222222299999994E-6</c:v>
                </c:pt>
                <c:pt idx="6105">
                  <c:v>2.7777777799999998E-6</c:v>
                </c:pt>
                <c:pt idx="6106">
                  <c:v>1.944444446E-6</c:v>
                </c:pt>
                <c:pt idx="6107">
                  <c:v>9.4444444519999998E-5</c:v>
                </c:pt>
                <c:pt idx="6108">
                  <c:v>1.2222222231999998E-5</c:v>
                </c:pt>
                <c:pt idx="6109">
                  <c:v>3.8888888920000001E-6</c:v>
                </c:pt>
                <c:pt idx="6110">
                  <c:v>1.1944444453999998E-6</c:v>
                </c:pt>
                <c:pt idx="6111">
                  <c:v>1.2777777787999999E-6</c:v>
                </c:pt>
                <c:pt idx="6112">
                  <c:v>1.5555555567999999E-6</c:v>
                </c:pt>
                <c:pt idx="6113">
                  <c:v>2.5833333353999997E-6</c:v>
                </c:pt>
                <c:pt idx="6114">
                  <c:v>5.5555555599999995E-6</c:v>
                </c:pt>
                <c:pt idx="6115">
                  <c:v>4.4444444479999996E-7</c:v>
                </c:pt>
                <c:pt idx="6116">
                  <c:v>1.4722222233999998E-6</c:v>
                </c:pt>
                <c:pt idx="6117">
                  <c:v>7.2222222279999994E-7</c:v>
                </c:pt>
                <c:pt idx="6118">
                  <c:v>1.6111111123999997E-6</c:v>
                </c:pt>
                <c:pt idx="6119">
                  <c:v>5.0000000039999992E-6</c:v>
                </c:pt>
                <c:pt idx="6120">
                  <c:v>3.3333333359999997E-6</c:v>
                </c:pt>
                <c:pt idx="6121">
                  <c:v>3.3333333359999997E-6</c:v>
                </c:pt>
                <c:pt idx="6122">
                  <c:v>1.0000000007999999E-6</c:v>
                </c:pt>
                <c:pt idx="6123">
                  <c:v>1.1944444453999999E-4</c:v>
                </c:pt>
                <c:pt idx="6124">
                  <c:v>3.0555555579999996E-5</c:v>
                </c:pt>
                <c:pt idx="6125">
                  <c:v>3.3333333359999997E-6</c:v>
                </c:pt>
                <c:pt idx="6126">
                  <c:v>1.7222222235999999E-6</c:v>
                </c:pt>
                <c:pt idx="6127">
                  <c:v>2.3888888907999998E-4</c:v>
                </c:pt>
                <c:pt idx="6128">
                  <c:v>1.1944444453999999E-2</c:v>
                </c:pt>
                <c:pt idx="6129">
                  <c:v>2.5000000019999996E-2</c:v>
                </c:pt>
                <c:pt idx="6130">
                  <c:v>0.13333333343999998</c:v>
                </c:pt>
                <c:pt idx="6131">
                  <c:v>0.40555555587999997</c:v>
                </c:pt>
                <c:pt idx="6132">
                  <c:v>3.6111111139999999E-2</c:v>
                </c:pt>
                <c:pt idx="6133">
                  <c:v>1.7500000013999997E-2</c:v>
                </c:pt>
                <c:pt idx="6134">
                  <c:v>5.2777777819999995E-3</c:v>
                </c:pt>
                <c:pt idx="6135">
                  <c:v>5.0000000039999992E-3</c:v>
                </c:pt>
                <c:pt idx="6136">
                  <c:v>2.1666666683999997E-2</c:v>
                </c:pt>
                <c:pt idx="6137">
                  <c:v>7.2222222279999998E-2</c:v>
                </c:pt>
                <c:pt idx="6138">
                  <c:v>0.14527777789399998</c:v>
                </c:pt>
                <c:pt idx="6139">
                  <c:v>3.6111111111111107E-7</c:v>
                </c:pt>
                <c:pt idx="6140">
                  <c:v>3.333333333333333E-7</c:v>
                </c:pt>
                <c:pt idx="6141">
                  <c:v>7.2222222222222225E-7</c:v>
                </c:pt>
                <c:pt idx="6142">
                  <c:v>4.9999999999999998E-7</c:v>
                </c:pt>
                <c:pt idx="6143">
                  <c:v>6.3888888888888894E-7</c:v>
                </c:pt>
                <c:pt idx="6144">
                  <c:v>1.0277777777777777E-7</c:v>
                </c:pt>
                <c:pt idx="6145">
                  <c:v>1.7777777777777779E-7</c:v>
                </c:pt>
                <c:pt idx="6146">
                  <c:v>1.6111111111111111E-7</c:v>
                </c:pt>
                <c:pt idx="6147">
                  <c:v>1.2499999999999999E-7</c:v>
                </c:pt>
                <c:pt idx="6148">
                  <c:v>1.1388888888888888E-7</c:v>
                </c:pt>
                <c:pt idx="6149">
                  <c:v>3.8888888888888889E-7</c:v>
                </c:pt>
                <c:pt idx="6150">
                  <c:v>1.4166666666666668E-7</c:v>
                </c:pt>
                <c:pt idx="6151">
                  <c:v>1.1944444444444442E-7</c:v>
                </c:pt>
                <c:pt idx="6152">
                  <c:v>4.9999999999999991E-8</c:v>
                </c:pt>
                <c:pt idx="6153">
                  <c:v>3.333333333333333E-7</c:v>
                </c:pt>
                <c:pt idx="6154">
                  <c:v>5.3333333333333328E-6</c:v>
                </c:pt>
                <c:pt idx="6155">
                  <c:v>3.8888888888888889E-7</c:v>
                </c:pt>
                <c:pt idx="6156">
                  <c:v>1.0833333333333332E-7</c:v>
                </c:pt>
                <c:pt idx="6157">
                  <c:v>5.5555555555555562E-7</c:v>
                </c:pt>
                <c:pt idx="6158">
                  <c:v>8.8888888888888887E-7</c:v>
                </c:pt>
                <c:pt idx="6159">
                  <c:v>5.2777777777777775E-7</c:v>
                </c:pt>
                <c:pt idx="6160">
                  <c:v>6.3888888888888894E-7</c:v>
                </c:pt>
                <c:pt idx="6161">
                  <c:v>7.5000000000000002E-7</c:v>
                </c:pt>
                <c:pt idx="6162">
                  <c:v>2.6944444444444442E-7</c:v>
                </c:pt>
                <c:pt idx="6163">
                  <c:v>1.0277777777777779E-6</c:v>
                </c:pt>
                <c:pt idx="6164">
                  <c:v>8.8888888888888887E-7</c:v>
                </c:pt>
                <c:pt idx="6165">
                  <c:v>9.7222222222222218E-7</c:v>
                </c:pt>
                <c:pt idx="6166">
                  <c:v>8.8888888888888887E-7</c:v>
                </c:pt>
                <c:pt idx="6167">
                  <c:v>8.0555555555555545E-7</c:v>
                </c:pt>
                <c:pt idx="6168">
                  <c:v>7.7777777777777779E-7</c:v>
                </c:pt>
                <c:pt idx="6169">
                  <c:v>5.5555555555555562E-7</c:v>
                </c:pt>
                <c:pt idx="6170">
                  <c:v>7.2222222222222225E-7</c:v>
                </c:pt>
                <c:pt idx="6171">
                  <c:v>1.0555555555555555E-6</c:v>
                </c:pt>
                <c:pt idx="6172">
                  <c:v>9.9999999999999995E-7</c:v>
                </c:pt>
                <c:pt idx="6173">
                  <c:v>2.9444444444444445E-6</c:v>
                </c:pt>
                <c:pt idx="6174">
                  <c:v>7.5000000000000002E-7</c:v>
                </c:pt>
                <c:pt idx="6175">
                  <c:v>2.6111111111111109E-6</c:v>
                </c:pt>
                <c:pt idx="6176">
                  <c:v>2.6111111111111109E-6</c:v>
                </c:pt>
                <c:pt idx="6177">
                  <c:v>3.5555555555555555E-6</c:v>
                </c:pt>
                <c:pt idx="6178">
                  <c:v>1.2222222222222221E-6</c:v>
                </c:pt>
                <c:pt idx="6179">
                  <c:v>1.1944444444444446E-6</c:v>
                </c:pt>
                <c:pt idx="6180">
                  <c:v>9.9999999999999995E-7</c:v>
                </c:pt>
                <c:pt idx="6181">
                  <c:v>1.1388888888888888E-5</c:v>
                </c:pt>
                <c:pt idx="6182">
                  <c:v>8.8888888888888893E-4</c:v>
                </c:pt>
                <c:pt idx="6183">
                  <c:v>1.0277777777777778E-3</c:v>
                </c:pt>
                <c:pt idx="6184">
                  <c:v>1.3611111111111114E-6</c:v>
                </c:pt>
                <c:pt idx="6185">
                  <c:v>5.555555555555555E-6</c:v>
                </c:pt>
                <c:pt idx="6186">
                  <c:v>1.0277777777777779E-6</c:v>
                </c:pt>
                <c:pt idx="6187">
                  <c:v>1.2777777777777779E-6</c:v>
                </c:pt>
                <c:pt idx="6188">
                  <c:v>5.4444444444444443E-7</c:v>
                </c:pt>
                <c:pt idx="6189">
                  <c:v>4.1666666666666667E-7</c:v>
                </c:pt>
                <c:pt idx="6190">
                  <c:v>5.5555555555555562E-7</c:v>
                </c:pt>
                <c:pt idx="6191">
                  <c:v>3.8888888888888889E-7</c:v>
                </c:pt>
                <c:pt idx="6192">
                  <c:v>9.3539146254666659E-3</c:v>
                </c:pt>
                <c:pt idx="6193">
                  <c:v>3.8303923392000003E-3</c:v>
                </c:pt>
                <c:pt idx="6194">
                  <c:v>5.3178426976266671E-3</c:v>
                </c:pt>
                <c:pt idx="6195">
                  <c:v>2.358661949333333E-3</c:v>
                </c:pt>
                <c:pt idx="6196">
                  <c:v>3.7986590693333336E-3</c:v>
                </c:pt>
                <c:pt idx="6197">
                  <c:v>2.2276980445949997E-2</c:v>
                </c:pt>
                <c:pt idx="6198">
                  <c:v>2.2808054383799996E-2</c:v>
                </c:pt>
                <c:pt idx="6199">
                  <c:v>7.283422933125E-2</c:v>
                </c:pt>
                <c:pt idx="6200">
                  <c:v>3.8030607271966665E-2</c:v>
                </c:pt>
                <c:pt idx="6201">
                  <c:v>1.7351115297699997E-2</c:v>
                </c:pt>
                <c:pt idx="6202">
                  <c:v>4.9713567239333331E-2</c:v>
                </c:pt>
                <c:pt idx="6203">
                  <c:v>3.5472504054850001E-2</c:v>
                </c:pt>
                <c:pt idx="6204">
                  <c:v>2.8076385513783334E-2</c:v>
                </c:pt>
                <c:pt idx="6205">
                  <c:v>2.880716738555E-2</c:v>
                </c:pt>
                <c:pt idx="6206">
                  <c:v>0.40546905572693337</c:v>
                </c:pt>
                <c:pt idx="6207">
                  <c:v>9.1069401194166649E-2</c:v>
                </c:pt>
                <c:pt idx="6208">
                  <c:v>2.7566328200566665E-2</c:v>
                </c:pt>
                <c:pt idx="6209">
                  <c:v>4.929990139999999E-3</c:v>
                </c:pt>
                <c:pt idx="6210">
                  <c:v>1.0879978240000001E-2</c:v>
                </c:pt>
                <c:pt idx="6211">
                  <c:v>1.9967960063999998E-3</c:v>
                </c:pt>
                <c:pt idx="6212">
                  <c:v>1.151997696E-4</c:v>
                </c:pt>
                <c:pt idx="6213">
                  <c:v>2.4777450445E-3</c:v>
                </c:pt>
                <c:pt idx="6214">
                  <c:v>8.095483808999998E-4</c:v>
                </c:pt>
                <c:pt idx="6215">
                  <c:v>5.5667471998166662E-3</c:v>
                </c:pt>
                <c:pt idx="6216">
                  <c:v>1.1144227711499999E-2</c:v>
                </c:pt>
                <c:pt idx="6217">
                  <c:v>5.6789219754666666E-3</c:v>
                </c:pt>
                <c:pt idx="6218">
                  <c:v>4.2047290905250001E-2</c:v>
                </c:pt>
                <c:pt idx="6219">
                  <c:v>8.2380501905333324E-3</c:v>
                </c:pt>
                <c:pt idx="6220">
                  <c:v>7.9166508333333337E-3</c:v>
                </c:pt>
                <c:pt idx="6221">
                  <c:v>8.7447825103999982E-2</c:v>
                </c:pt>
                <c:pt idx="6222">
                  <c:v>1.785383095893333E-2</c:v>
                </c:pt>
                <c:pt idx="6223">
                  <c:v>8.6437493791333333E-3</c:v>
                </c:pt>
                <c:pt idx="6224">
                  <c:v>6.7547239905249995E-2</c:v>
                </c:pt>
                <c:pt idx="6225">
                  <c:v>0.25114883103466662</c:v>
                </c:pt>
                <c:pt idx="6226">
                  <c:v>1.6875316249299999E-2</c:v>
                </c:pt>
                <c:pt idx="6227">
                  <c:v>6.0664878669999998E-2</c:v>
                </c:pt>
                <c:pt idx="6228">
                  <c:v>9.7380405238799997E-2</c:v>
                </c:pt>
                <c:pt idx="6229">
                  <c:v>2.5977181378866669E-2</c:v>
                </c:pt>
                <c:pt idx="6230">
                  <c:v>1.4035971927999998E-3</c:v>
                </c:pt>
                <c:pt idx="6231">
                  <c:v>8.6159827679999999E-3</c:v>
                </c:pt>
                <c:pt idx="6232">
                  <c:v>7.5189849620000001E-4</c:v>
                </c:pt>
                <c:pt idx="6233">
                  <c:v>2.2797087739066666E-2</c:v>
                </c:pt>
                <c:pt idx="6234">
                  <c:v>0.20539000588583331</c:v>
                </c:pt>
                <c:pt idx="6235">
                  <c:v>3.1880852904833334E-2</c:v>
                </c:pt>
                <c:pt idx="6236">
                  <c:v>6.4976703379666656E-3</c:v>
                </c:pt>
                <c:pt idx="6237">
                  <c:v>1.2729974540000001E-2</c:v>
                </c:pt>
                <c:pt idx="6238">
                  <c:v>2.4022001955899999E-2</c:v>
                </c:pt>
                <c:pt idx="6239">
                  <c:v>6.5162869674E-3</c:v>
                </c:pt>
                <c:pt idx="6240">
                  <c:v>3.2673601319333332E-3</c:v>
                </c:pt>
                <c:pt idx="6241">
                  <c:v>9.4449711100200007E-2</c:v>
                </c:pt>
                <c:pt idx="6242">
                  <c:v>2.8233276866666663E-3</c:v>
                </c:pt>
                <c:pt idx="6243">
                  <c:v>6.1773209786666655E-4</c:v>
                </c:pt>
                <c:pt idx="6244">
                  <c:v>4.9690900617999998E-3</c:v>
                </c:pt>
                <c:pt idx="6245">
                  <c:v>1.7518464962999998E-3</c:v>
                </c:pt>
                <c:pt idx="6246">
                  <c:v>7.589984819999999E-4</c:v>
                </c:pt>
                <c:pt idx="6247">
                  <c:v>3.266660133333333E-6</c:v>
                </c:pt>
                <c:pt idx="6248">
                  <c:v>3.5666595333333326E-6</c:v>
                </c:pt>
                <c:pt idx="6249">
                  <c:v>3.5833261666666665E-6</c:v>
                </c:pt>
                <c:pt idx="6250">
                  <c:v>3.4999929999999995E-6</c:v>
                </c:pt>
                <c:pt idx="6251">
                  <c:v>3.5499929E-6</c:v>
                </c:pt>
                <c:pt idx="6252">
                  <c:v>2.3183286966666663E-4</c:v>
                </c:pt>
                <c:pt idx="6253">
                  <c:v>2.3941618783333333E-4</c:v>
                </c:pt>
                <c:pt idx="6254">
                  <c:v>1.9577960843999999E-3</c:v>
                </c:pt>
                <c:pt idx="6255">
                  <c:v>1.3355806621666666E-3</c:v>
                </c:pt>
                <c:pt idx="6256">
                  <c:v>2.0559958880000001E-3</c:v>
                </c:pt>
                <c:pt idx="6257">
                  <c:v>1.1890442885733334E-3</c:v>
                </c:pt>
                <c:pt idx="6258">
                  <c:v>1.5325969347999998E-3</c:v>
                </c:pt>
                <c:pt idx="6259">
                  <c:v>1.2923899152149998E-2</c:v>
                </c:pt>
                <c:pt idx="6260">
                  <c:v>4.4800577065333335E-3</c:v>
                </c:pt>
                <c:pt idx="6261">
                  <c:v>2.1376623913333332E-3</c:v>
                </c:pt>
                <c:pt idx="6262">
                  <c:v>1.3801172397599999E-2</c:v>
                </c:pt>
                <c:pt idx="6263">
                  <c:v>2.0303026060533334E-2</c:v>
                </c:pt>
                <c:pt idx="6264">
                  <c:v>1.3837472325000001E-2</c:v>
                </c:pt>
                <c:pt idx="6265">
                  <c:v>4.5536908926E-3</c:v>
                </c:pt>
                <c:pt idx="6266">
                  <c:v>4.1558300216566674E-2</c:v>
                </c:pt>
                <c:pt idx="6267">
                  <c:v>7.0238026190333324E-3</c:v>
                </c:pt>
                <c:pt idx="6268">
                  <c:v>2.3611852776199999E-2</c:v>
                </c:pt>
                <c:pt idx="6269">
                  <c:v>2.5079783173666666E-2</c:v>
                </c:pt>
                <c:pt idx="6270">
                  <c:v>3.5614512104166669E-2</c:v>
                </c:pt>
                <c:pt idx="6271">
                  <c:v>0.20417955830673329</c:v>
                </c:pt>
                <c:pt idx="6272">
                  <c:v>0.117400265199</c:v>
                </c:pt>
                <c:pt idx="6273">
                  <c:v>6.4314238037933333E-2</c:v>
                </c:pt>
                <c:pt idx="6274">
                  <c:v>0.23035378929149999</c:v>
                </c:pt>
                <c:pt idx="6275">
                  <c:v>0.77712111242133319</c:v>
                </c:pt>
                <c:pt idx="6276">
                  <c:v>1.9875091983069868</c:v>
                </c:pt>
                <c:pt idx="6277">
                  <c:v>0.70556058887600004</c:v>
                </c:pt>
                <c:pt idx="6278">
                  <c:v>0.54612690774399986</c:v>
                </c:pt>
                <c:pt idx="6279">
                  <c:v>1.0076093181106665</c:v>
                </c:pt>
                <c:pt idx="6280">
                  <c:v>0.20576328847259995</c:v>
                </c:pt>
                <c:pt idx="6281">
                  <c:v>1.1324487350979999</c:v>
                </c:pt>
                <c:pt idx="6282">
                  <c:v>0.35969538060779993</c:v>
                </c:pt>
                <c:pt idx="6283">
                  <c:v>0.45191589616639999</c:v>
                </c:pt>
                <c:pt idx="6284">
                  <c:v>0.64585580828579991</c:v>
                </c:pt>
                <c:pt idx="6285">
                  <c:v>0.10644366211225</c:v>
                </c:pt>
                <c:pt idx="6286">
                  <c:v>0.16439704620525</c:v>
                </c:pt>
                <c:pt idx="6287">
                  <c:v>3.0275939448E-2</c:v>
                </c:pt>
                <c:pt idx="6288">
                  <c:v>0.10464259071440001</c:v>
                </c:pt>
                <c:pt idx="6289">
                  <c:v>7.8195926941166671E-2</c:v>
                </c:pt>
                <c:pt idx="6290">
                  <c:v>1.844496311E-3</c:v>
                </c:pt>
                <c:pt idx="6291">
                  <c:v>2.1633290066666667E-4</c:v>
                </c:pt>
                <c:pt idx="6292">
                  <c:v>6.831819669666665E-4</c:v>
                </c:pt>
                <c:pt idx="6293">
                  <c:v>3.7033259266666668E-4</c:v>
                </c:pt>
                <c:pt idx="6294">
                  <c:v>3.266660133333333E-6</c:v>
                </c:pt>
                <c:pt idx="6295">
                  <c:v>3.5666595333333326E-6</c:v>
                </c:pt>
                <c:pt idx="6296">
                  <c:v>3.5833261666666665E-6</c:v>
                </c:pt>
                <c:pt idx="6297">
                  <c:v>3.4999929999999995E-6</c:v>
                </c:pt>
                <c:pt idx="6298">
                  <c:v>3.5499929E-6</c:v>
                </c:pt>
                <c:pt idx="6299">
                  <c:v>8.9166488333333318E-5</c:v>
                </c:pt>
                <c:pt idx="6300">
                  <c:v>3.6833259666666669E-6</c:v>
                </c:pt>
                <c:pt idx="6301">
                  <c:v>1.8680962637999999E-3</c:v>
                </c:pt>
                <c:pt idx="6302">
                  <c:v>2.2089955819999995E-3</c:v>
                </c:pt>
                <c:pt idx="6303">
                  <c:v>3.7839924319999999E-3</c:v>
                </c:pt>
                <c:pt idx="6304">
                  <c:v>5.3768559129333329E-3</c:v>
                </c:pt>
                <c:pt idx="6305">
                  <c:v>2.2277955444000002E-3</c:v>
                </c:pt>
                <c:pt idx="6306">
                  <c:v>1.131264404133333E-3</c:v>
                </c:pt>
                <c:pt idx="6307">
                  <c:v>6.6473200386666666E-4</c:v>
                </c:pt>
                <c:pt idx="6308">
                  <c:v>3.2911934175999997E-3</c:v>
                </c:pt>
                <c:pt idx="6309">
                  <c:v>4.0051919895999991E-3</c:v>
                </c:pt>
                <c:pt idx="6310">
                  <c:v>9.6646806705999993E-3</c:v>
                </c:pt>
                <c:pt idx="6311">
                  <c:v>3.8744922510000001E-3</c:v>
                </c:pt>
                <c:pt idx="6312">
                  <c:v>1.0706978586000001E-2</c:v>
                </c:pt>
                <c:pt idx="6313">
                  <c:v>3.3159850346833331E-2</c:v>
                </c:pt>
                <c:pt idx="6314">
                  <c:v>3.1236887526099998E-2</c:v>
                </c:pt>
                <c:pt idx="6315">
                  <c:v>7.6423847152000011E-3</c:v>
                </c:pt>
                <c:pt idx="6316">
                  <c:v>2.0378942575366665E-2</c:v>
                </c:pt>
                <c:pt idx="6317">
                  <c:v>3.0924354817833333E-2</c:v>
                </c:pt>
                <c:pt idx="6318">
                  <c:v>0.14035921928100001</c:v>
                </c:pt>
                <c:pt idx="6319">
                  <c:v>3.4748397169733339E-2</c:v>
                </c:pt>
                <c:pt idx="6320">
                  <c:v>5.8159158681449989E-2</c:v>
                </c:pt>
                <c:pt idx="6321">
                  <c:v>2.6441253784053336</c:v>
                </c:pt>
                <c:pt idx="6322">
                  <c:v>4.9881500236800003</c:v>
                </c:pt>
                <c:pt idx="6323">
                  <c:v>0.4205491589</c:v>
                </c:pt>
                <c:pt idx="6324">
                  <c:v>9.9237401524799984E-2</c:v>
                </c:pt>
                <c:pt idx="6325">
                  <c:v>0.2262452141753333</c:v>
                </c:pt>
                <c:pt idx="6326">
                  <c:v>0.42618614762599993</c:v>
                </c:pt>
                <c:pt idx="6327">
                  <c:v>0.8410255179456001</c:v>
                </c:pt>
                <c:pt idx="6328">
                  <c:v>0.82298128736746645</c:v>
                </c:pt>
                <c:pt idx="6329">
                  <c:v>1.0015521968915999</c:v>
                </c:pt>
                <c:pt idx="6330">
                  <c:v>0.48459009748453336</c:v>
                </c:pt>
                <c:pt idx="6331">
                  <c:v>0.31684106631659997</c:v>
                </c:pt>
                <c:pt idx="6332">
                  <c:v>6.4191704949666653E-2</c:v>
                </c:pt>
                <c:pt idx="6333">
                  <c:v>4.4652660694500003E-2</c:v>
                </c:pt>
                <c:pt idx="6334">
                  <c:v>1.7195515608900005E-2</c:v>
                </c:pt>
                <c:pt idx="6335">
                  <c:v>1.1619676760599999E-2</c:v>
                </c:pt>
                <c:pt idx="6336">
                  <c:v>1.0244179511599999E-2</c:v>
                </c:pt>
                <c:pt idx="6337">
                  <c:v>3.3319933359999996E-3</c:v>
                </c:pt>
                <c:pt idx="6338">
                  <c:v>9.5929808140000005E-4</c:v>
                </c:pt>
                <c:pt idx="6339">
                  <c:v>2.7029945939999997E-4</c:v>
                </c:pt>
                <c:pt idx="6340">
                  <c:v>5.7666551333333337E-6</c:v>
                </c:pt>
                <c:pt idx="6341">
                  <c:v>5.8166550333333333E-6</c:v>
                </c:pt>
                <c:pt idx="6342">
                  <c:v>4.9833233666666654E-6</c:v>
                </c:pt>
                <c:pt idx="6343">
                  <c:v>4.8999901999999989E-6</c:v>
                </c:pt>
                <c:pt idx="6344">
                  <c:v>4.7999903999999997E-6</c:v>
                </c:pt>
                <c:pt idx="6345">
                  <c:v>4.8333236666666666E-6</c:v>
                </c:pt>
                <c:pt idx="6346">
                  <c:v>4.8666569333333327E-6</c:v>
                </c:pt>
                <c:pt idx="6347">
                  <c:v>5.966654733333332E-6</c:v>
                </c:pt>
                <c:pt idx="6348">
                  <c:v>5.9999879999999998E-6</c:v>
                </c:pt>
                <c:pt idx="6349">
                  <c:v>6.0333212666666668E-6</c:v>
                </c:pt>
                <c:pt idx="6350">
                  <c:v>5.799988399999999E-6</c:v>
                </c:pt>
                <c:pt idx="6351">
                  <c:v>5.7499884999999994E-6</c:v>
                </c:pt>
                <c:pt idx="6352">
                  <c:v>5.6999885999999998E-6</c:v>
                </c:pt>
                <c:pt idx="6353">
                  <c:v>5.2999893999999997E-6</c:v>
                </c:pt>
                <c:pt idx="6354">
                  <c:v>5.3166560333333324E-6</c:v>
                </c:pt>
                <c:pt idx="6355">
                  <c:v>6.0333212666666668E-6</c:v>
                </c:pt>
                <c:pt idx="6356">
                  <c:v>3.6499926999999992E-4</c:v>
                </c:pt>
                <c:pt idx="6357">
                  <c:v>2.7360845278199996E-2</c:v>
                </c:pt>
                <c:pt idx="6358">
                  <c:v>3.7448591769333336E-3</c:v>
                </c:pt>
                <c:pt idx="6359">
                  <c:v>3.1921002824533334E-2</c:v>
                </c:pt>
                <c:pt idx="6360">
                  <c:v>3.7594591477333327E-3</c:v>
                </c:pt>
                <c:pt idx="6361">
                  <c:v>1.7949297434666663E-3</c:v>
                </c:pt>
                <c:pt idx="6362">
                  <c:v>2.0507625651333332E-3</c:v>
                </c:pt>
                <c:pt idx="6363">
                  <c:v>1.7103065793800002E-2</c:v>
                </c:pt>
                <c:pt idx="6364">
                  <c:v>0.15593508812920001</c:v>
                </c:pt>
                <c:pt idx="6365">
                  <c:v>0.32670901324733331</c:v>
                </c:pt>
                <c:pt idx="6366">
                  <c:v>6.3401006531066659E-2</c:v>
                </c:pt>
                <c:pt idx="6367">
                  <c:v>6.5080869838000004E-3</c:v>
                </c:pt>
                <c:pt idx="6368">
                  <c:v>2.1008857982199997E-2</c:v>
                </c:pt>
                <c:pt idx="6369">
                  <c:v>1.1135811061666665E-2</c:v>
                </c:pt>
                <c:pt idx="6370">
                  <c:v>1.7023965951999998E-2</c:v>
                </c:pt>
                <c:pt idx="6371">
                  <c:v>1.3399973199999999E-3</c:v>
                </c:pt>
                <c:pt idx="6372">
                  <c:v>0.49937400125000003</c:v>
                </c:pt>
                <c:pt idx="6373">
                  <c:v>8.2299542067253345E-2</c:v>
                </c:pt>
                <c:pt idx="6374">
                  <c:v>3.4873263586666668E-2</c:v>
                </c:pt>
                <c:pt idx="6375">
                  <c:v>6.8902437194849994E-2</c:v>
                </c:pt>
                <c:pt idx="6376">
                  <c:v>4.1373250586666663E-4</c:v>
                </c:pt>
                <c:pt idx="6377">
                  <c:v>3.4871596923333339E-4</c:v>
                </c:pt>
                <c:pt idx="6378">
                  <c:v>3.7625774748299999E-2</c:v>
                </c:pt>
                <c:pt idx="6379">
                  <c:v>1.3365639935333333E-3</c:v>
                </c:pt>
                <c:pt idx="6380">
                  <c:v>3.3149933699999994E-3</c:v>
                </c:pt>
                <c:pt idx="6381">
                  <c:v>1.9666627333333331E-4</c:v>
                </c:pt>
                <c:pt idx="6382">
                  <c:v>3.3333266666666669E-6</c:v>
                </c:pt>
                <c:pt idx="6383">
                  <c:v>6.7666531333333336E-4</c:v>
                </c:pt>
                <c:pt idx="6384">
                  <c:v>3.0333272666666669E-4</c:v>
                </c:pt>
                <c:pt idx="6385">
                  <c:v>5.999988E-5</c:v>
                </c:pt>
                <c:pt idx="6386">
                  <c:v>3.3333266666666669E-6</c:v>
                </c:pt>
                <c:pt idx="6387">
                  <c:v>1.440997118E-3</c:v>
                </c:pt>
                <c:pt idx="6388">
                  <c:v>3.0757271818666661E-3</c:v>
                </c:pt>
                <c:pt idx="6389">
                  <c:v>9.4079811839999986E-3</c:v>
                </c:pt>
                <c:pt idx="6390">
                  <c:v>6.2458541749333338E-3</c:v>
                </c:pt>
                <c:pt idx="6391">
                  <c:v>8.6096494473333323E-3</c:v>
                </c:pt>
                <c:pt idx="6392">
                  <c:v>1.1816009701266667E-2</c:v>
                </c:pt>
                <c:pt idx="6393">
                  <c:v>9.1349817299999983E-3</c:v>
                </c:pt>
                <c:pt idx="6394">
                  <c:v>9.7465714159090926E-3</c:v>
                </c:pt>
                <c:pt idx="6395">
                  <c:v>9.6975806047999973E-3</c:v>
                </c:pt>
                <c:pt idx="6396">
                  <c:v>1.2198975601999999E-2</c:v>
                </c:pt>
                <c:pt idx="6397">
                  <c:v>2.4621768938181816E-2</c:v>
                </c:pt>
                <c:pt idx="6398">
                  <c:v>2.9702849685090904E-2</c:v>
                </c:pt>
                <c:pt idx="6399">
                  <c:v>1.1878764121212122E-2</c:v>
                </c:pt>
                <c:pt idx="6400">
                  <c:v>3.1450853764833343E-2</c:v>
                </c:pt>
                <c:pt idx="6401">
                  <c:v>4.0715726260692302E-2</c:v>
                </c:pt>
                <c:pt idx="6402">
                  <c:v>2.6587908362538458E-2</c:v>
                </c:pt>
                <c:pt idx="6403">
                  <c:v>1.5001508458461533E-2</c:v>
                </c:pt>
                <c:pt idx="6404">
                  <c:v>1.7353503754461541E-2</c:v>
                </c:pt>
                <c:pt idx="6405">
                  <c:v>6.8164171363692294E-2</c:v>
                </c:pt>
                <c:pt idx="6406">
                  <c:v>3.5225891086538466E-2</c:v>
                </c:pt>
                <c:pt idx="6407">
                  <c:v>1.4129471740999999E-2</c:v>
                </c:pt>
                <c:pt idx="6408">
                  <c:v>2.6738972162974353E-2</c:v>
                </c:pt>
                <c:pt idx="6409">
                  <c:v>1.9554371147589743E-2</c:v>
                </c:pt>
                <c:pt idx="6410">
                  <c:v>8.6692134307692313E-3</c:v>
                </c:pt>
                <c:pt idx="6411">
                  <c:v>2.1381880313076921E-2</c:v>
                </c:pt>
                <c:pt idx="6412">
                  <c:v>1.4866277959692307E-2</c:v>
                </c:pt>
                <c:pt idx="6413">
                  <c:v>4.5784523815384608E-3</c:v>
                </c:pt>
                <c:pt idx="6414">
                  <c:v>1.2855564032410258E-2</c:v>
                </c:pt>
                <c:pt idx="6415">
                  <c:v>1.1620361374615385E-2</c:v>
                </c:pt>
                <c:pt idx="6416">
                  <c:v>8.3174192625641036E-3</c:v>
                </c:pt>
                <c:pt idx="6417">
                  <c:v>1.7534426469538459E-2</c:v>
                </c:pt>
                <c:pt idx="6418">
                  <c:v>8.2375219864615368E-3</c:v>
                </c:pt>
                <c:pt idx="6419">
                  <c:v>8.6019058730769232E-3</c:v>
                </c:pt>
                <c:pt idx="6420">
                  <c:v>3.157352659641025E-3</c:v>
                </c:pt>
                <c:pt idx="6421">
                  <c:v>3.733325866666666E-3</c:v>
                </c:pt>
                <c:pt idx="6422">
                  <c:v>1.6333300666666665E-6</c:v>
                </c:pt>
                <c:pt idx="6423">
                  <c:v>7.954317424666668E-4</c:v>
                </c:pt>
                <c:pt idx="6424">
                  <c:v>5.1286564093333336E-4</c:v>
                </c:pt>
                <c:pt idx="6425">
                  <c:v>1.7166632333333332E-6</c:v>
                </c:pt>
                <c:pt idx="6426">
                  <c:v>1.6333300666666665E-6</c:v>
                </c:pt>
                <c:pt idx="6427">
                  <c:v>3.7566591533333342E-5</c:v>
                </c:pt>
                <c:pt idx="6428">
                  <c:v>7.7399845200000017E-5</c:v>
                </c:pt>
                <c:pt idx="6429">
                  <c:v>1.9586627493333331E-3</c:v>
                </c:pt>
                <c:pt idx="6430">
                  <c:v>2.1226624213333332E-3</c:v>
                </c:pt>
                <c:pt idx="6431">
                  <c:v>4.7213905571999995E-3</c:v>
                </c:pt>
                <c:pt idx="6432">
                  <c:v>1.1754643157333333E-3</c:v>
                </c:pt>
                <c:pt idx="6433">
                  <c:v>3.0570605525333337E-3</c:v>
                </c:pt>
                <c:pt idx="6434">
                  <c:v>3.7006592653333337E-3</c:v>
                </c:pt>
                <c:pt idx="6435">
                  <c:v>2.6857946283999996E-3</c:v>
                </c:pt>
                <c:pt idx="6436">
                  <c:v>6.6034701263666664E-3</c:v>
                </c:pt>
                <c:pt idx="6437">
                  <c:v>2.8716912263030306E-3</c:v>
                </c:pt>
                <c:pt idx="6438">
                  <c:v>2.8568427711515147E-3</c:v>
                </c:pt>
                <c:pt idx="6439">
                  <c:v>8.1184610357727272E-3</c:v>
                </c:pt>
                <c:pt idx="6440">
                  <c:v>1.2450162599624996E-2</c:v>
                </c:pt>
                <c:pt idx="6441">
                  <c:v>8.609982779999999E-3</c:v>
                </c:pt>
                <c:pt idx="6442">
                  <c:v>7.6049153456944456E-3</c:v>
                </c:pt>
                <c:pt idx="6443">
                  <c:v>1.0044979909999998E-2</c:v>
                </c:pt>
                <c:pt idx="6444">
                  <c:v>1.3361987164861111E-2</c:v>
                </c:pt>
                <c:pt idx="6445">
                  <c:v>1.4893789656805554E-2</c:v>
                </c:pt>
                <c:pt idx="6446">
                  <c:v>7.9446507773333341E-3</c:v>
                </c:pt>
                <c:pt idx="6447">
                  <c:v>1.3979360930111113E-2</c:v>
                </c:pt>
                <c:pt idx="6448">
                  <c:v>1.1568976861999997E-2</c:v>
                </c:pt>
                <c:pt idx="6449">
                  <c:v>1.2848349303249998E-2</c:v>
                </c:pt>
                <c:pt idx="6450">
                  <c:v>1.6364467270999997E-2</c:v>
                </c:pt>
                <c:pt idx="6451">
                  <c:v>1.8224588550749998E-2</c:v>
                </c:pt>
                <c:pt idx="6452">
                  <c:v>1.1568976861999997E-2</c:v>
                </c:pt>
                <c:pt idx="6453">
                  <c:v>6.4985324574545452E-3</c:v>
                </c:pt>
                <c:pt idx="6454">
                  <c:v>1.4879820240300001E-2</c:v>
                </c:pt>
                <c:pt idx="6455">
                  <c:v>1.2005975987999998E-2</c:v>
                </c:pt>
                <c:pt idx="6456">
                  <c:v>1.0798478402999998E-2</c:v>
                </c:pt>
                <c:pt idx="6457">
                  <c:v>8.5108996448333332E-3</c:v>
                </c:pt>
                <c:pt idx="6458">
                  <c:v>6.4301538063333327E-3</c:v>
                </c:pt>
                <c:pt idx="6459">
                  <c:v>6.054321224666666E-3</c:v>
                </c:pt>
                <c:pt idx="6460">
                  <c:v>6.1765543135333329E-3</c:v>
                </c:pt>
                <c:pt idx="6461">
                  <c:v>3.2781601103333336E-3</c:v>
                </c:pt>
                <c:pt idx="6462">
                  <c:v>2.69386961225E-3</c:v>
                </c:pt>
                <c:pt idx="6463">
                  <c:v>3.3188961399722217E-3</c:v>
                </c:pt>
                <c:pt idx="6464">
                  <c:v>2.1043707912499999E-3</c:v>
                </c:pt>
                <c:pt idx="6465">
                  <c:v>1.8493296346666665E-3</c:v>
                </c:pt>
                <c:pt idx="6466">
                  <c:v>6.7916530833333339E-4</c:v>
                </c:pt>
                <c:pt idx="6467">
                  <c:v>5.9849413634266664E-2</c:v>
                </c:pt>
                <c:pt idx="6468">
                  <c:v>8.273983451999999E-4</c:v>
                </c:pt>
                <c:pt idx="6469">
                  <c:v>1.8956628753333333E-4</c:v>
                </c:pt>
                <c:pt idx="6470">
                  <c:v>1.3971972055999999E-3</c:v>
                </c:pt>
                <c:pt idx="6471">
                  <c:v>2.7145945708E-3</c:v>
                </c:pt>
                <c:pt idx="6472">
                  <c:v>1.5358302616666666E-2</c:v>
                </c:pt>
                <c:pt idx="6473">
                  <c:v>6.6642366714999993E-3</c:v>
                </c:pt>
                <c:pt idx="6474">
                  <c:v>5.6579053508333333E-3</c:v>
                </c:pt>
                <c:pt idx="6475">
                  <c:v>6.4124871750000003E-4</c:v>
                </c:pt>
                <c:pt idx="6476">
                  <c:v>5.2309728713666659E-3</c:v>
                </c:pt>
                <c:pt idx="6477">
                  <c:v>1.9413211173499995E-2</c:v>
                </c:pt>
                <c:pt idx="6478">
                  <c:v>1.3180873638200001E-2</c:v>
                </c:pt>
                <c:pt idx="6479">
                  <c:v>6.8930362138999992E-3</c:v>
                </c:pt>
                <c:pt idx="6480">
                  <c:v>3.7767074465699997E-2</c:v>
                </c:pt>
                <c:pt idx="6481">
                  <c:v>2.0117668097916666E-2</c:v>
                </c:pt>
                <c:pt idx="6482">
                  <c:v>3.2112435774999996E-3</c:v>
                </c:pt>
                <c:pt idx="6483">
                  <c:v>8.0184839629999984E-4</c:v>
                </c:pt>
                <c:pt idx="6484">
                  <c:v>2.6737946524000001E-3</c:v>
                </c:pt>
                <c:pt idx="6485">
                  <c:v>3.6249927499999992E-5</c:v>
                </c:pt>
                <c:pt idx="6486">
                  <c:v>3.6133927731999997E-3</c:v>
                </c:pt>
                <c:pt idx="6487">
                  <c:v>3.8912422175E-4</c:v>
                </c:pt>
                <c:pt idx="6488">
                  <c:v>3.7157425684999999E-4</c:v>
                </c:pt>
                <c:pt idx="6489">
                  <c:v>7.2062998730857142E-2</c:v>
                </c:pt>
                <c:pt idx="6490">
                  <c:v>0.13721897556150001</c:v>
                </c:pt>
                <c:pt idx="6491">
                  <c:v>0.1188943399886222</c:v>
                </c:pt>
                <c:pt idx="6492">
                  <c:v>0.23032666661847265</c:v>
                </c:pt>
                <c:pt idx="6493">
                  <c:v>5.6524899071187878E-2</c:v>
                </c:pt>
                <c:pt idx="6494">
                  <c:v>8.0589827708911099E-2</c:v>
                </c:pt>
                <c:pt idx="6495">
                  <c:v>8.4622519643511099E-2</c:v>
                </c:pt>
                <c:pt idx="6496">
                  <c:v>2.9324941349999994E-2</c:v>
                </c:pt>
                <c:pt idx="6497">
                  <c:v>2.6925854481516662E-2</c:v>
                </c:pt>
                <c:pt idx="6498">
                  <c:v>3.9104279686021058E-2</c:v>
                </c:pt>
                <c:pt idx="6499">
                  <c:v>7.8211400243553317E-2</c:v>
                </c:pt>
                <c:pt idx="6500">
                  <c:v>4.7347018639106661E-2</c:v>
                </c:pt>
                <c:pt idx="6501">
                  <c:v>4.2345231309367994E-2</c:v>
                </c:pt>
                <c:pt idx="6502">
                  <c:v>2.0669402139373912E-2</c:v>
                </c:pt>
                <c:pt idx="6503">
                  <c:v>4.7427713144384001E-2</c:v>
                </c:pt>
                <c:pt idx="6504">
                  <c:v>3.1606336787199998E-2</c:v>
                </c:pt>
                <c:pt idx="6505">
                  <c:v>5.136243060826667E-3</c:v>
                </c:pt>
                <c:pt idx="6506">
                  <c:v>3.2369335261199996E-3</c:v>
                </c:pt>
                <c:pt idx="6507">
                  <c:v>3.9336032438888884E-4</c:v>
                </c:pt>
                <c:pt idx="6508">
                  <c:v>5.2201228930666664E-3</c:v>
                </c:pt>
                <c:pt idx="6509">
                  <c:v>1.0296040013939392E-2</c:v>
                </c:pt>
                <c:pt idx="6510">
                  <c:v>1.6058782697185182E-2</c:v>
                </c:pt>
                <c:pt idx="6511">
                  <c:v>2.9599940799999998E-2</c:v>
                </c:pt>
                <c:pt idx="6512">
                  <c:v>9.8712602574399996E-2</c:v>
                </c:pt>
                <c:pt idx="6513">
                  <c:v>1.5015727544242423E-2</c:v>
                </c:pt>
                <c:pt idx="6514">
                  <c:v>1.3501806329666667E-2</c:v>
                </c:pt>
                <c:pt idx="6515">
                  <c:v>8.1173837651999994E-3</c:v>
                </c:pt>
                <c:pt idx="6516">
                  <c:v>4.9759900479999994E-3</c:v>
                </c:pt>
                <c:pt idx="6517">
                  <c:v>6.2133209066666658E-3</c:v>
                </c:pt>
                <c:pt idx="6518">
                  <c:v>4.6933239466666662E-3</c:v>
                </c:pt>
                <c:pt idx="6519">
                  <c:v>1.8399963199999998E-3</c:v>
                </c:pt>
                <c:pt idx="6520">
                  <c:v>1.1899976200000001E-3</c:v>
                </c:pt>
                <c:pt idx="6521">
                  <c:v>1.2635974727999999E-3</c:v>
                </c:pt>
                <c:pt idx="6522">
                  <c:v>7.904650857333332E-3</c:v>
                </c:pt>
                <c:pt idx="6523">
                  <c:v>3.7370591925333326E-3</c:v>
                </c:pt>
                <c:pt idx="6524">
                  <c:v>6.8199863599999991E-4</c:v>
                </c:pt>
                <c:pt idx="6525">
                  <c:v>1.9999959999999998E-4</c:v>
                </c:pt>
                <c:pt idx="6526">
                  <c:v>4.733323866666666E-4</c:v>
                </c:pt>
                <c:pt idx="6527">
                  <c:v>1.3333306666666667E-4</c:v>
                </c:pt>
                <c:pt idx="6528">
                  <c:v>2.1413290506666667E-4</c:v>
                </c:pt>
                <c:pt idx="6529">
                  <c:v>2.8957824E-2</c:v>
                </c:pt>
                <c:pt idx="6530">
                  <c:v>2.2453200000000003E-2</c:v>
                </c:pt>
                <c:pt idx="6531">
                  <c:v>1.1138904000000003E-2</c:v>
                </c:pt>
                <c:pt idx="6532">
                  <c:v>6.4774080000000012E-2</c:v>
                </c:pt>
                <c:pt idx="6533">
                  <c:v>0.15452640000000001</c:v>
                </c:pt>
                <c:pt idx="6534">
                  <c:v>2.4312959999999999E-3</c:v>
                </c:pt>
                <c:pt idx="6535">
                  <c:v>1.5966720000000002E-3</c:v>
                </c:pt>
                <c:pt idx="6536">
                  <c:v>3.2133024000000003E-2</c:v>
                </c:pt>
                <c:pt idx="6537">
                  <c:v>1.1866176000000001E-2</c:v>
                </c:pt>
                <c:pt idx="6538">
                  <c:v>1.3396320000000001E-2</c:v>
                </c:pt>
                <c:pt idx="6539">
                  <c:v>1.3426560000000002E-2</c:v>
                </c:pt>
                <c:pt idx="6540">
                  <c:v>2.2259663999999995E-3</c:v>
                </c:pt>
                <c:pt idx="6541">
                  <c:v>2.3950079999999999E-2</c:v>
                </c:pt>
                <c:pt idx="6542">
                  <c:v>1.6075583999999997E-2</c:v>
                </c:pt>
                <c:pt idx="6543">
                  <c:v>1.0717056000000001E-2</c:v>
                </c:pt>
                <c:pt idx="6544">
                  <c:v>6.1236000000000013E-2</c:v>
                </c:pt>
                <c:pt idx="6545">
                  <c:v>1.4636160000000002E-2</c:v>
                </c:pt>
                <c:pt idx="6546">
                  <c:v>2.6006400000000006E-2</c:v>
                </c:pt>
                <c:pt idx="6547">
                  <c:v>2.3677920000000002E-2</c:v>
                </c:pt>
                <c:pt idx="6548">
                  <c:v>5.1408000000000009E-4</c:v>
                </c:pt>
                <c:pt idx="6549">
                  <c:v>1.3205808000000005E-3</c:v>
                </c:pt>
                <c:pt idx="6550">
                  <c:v>1.3006224000000003E-3</c:v>
                </c:pt>
                <c:pt idx="6551">
                  <c:v>1.0584000000000001E-3</c:v>
                </c:pt>
                <c:pt idx="6552">
                  <c:v>4.3092000000000009E-3</c:v>
                </c:pt>
                <c:pt idx="6553">
                  <c:v>6.5318400000000014E-3</c:v>
                </c:pt>
                <c:pt idx="6554">
                  <c:v>2.2740480000000007E-3</c:v>
                </c:pt>
                <c:pt idx="6555">
                  <c:v>1.1188799999999999E-2</c:v>
                </c:pt>
                <c:pt idx="6556">
                  <c:v>2.3514624000000001E-2</c:v>
                </c:pt>
                <c:pt idx="6557">
                  <c:v>1.3843872000000002E-2</c:v>
                </c:pt>
                <c:pt idx="6558">
                  <c:v>1.93914E-2</c:v>
                </c:pt>
                <c:pt idx="6559">
                  <c:v>1.8144000000000004E-2</c:v>
                </c:pt>
                <c:pt idx="6560">
                  <c:v>7.7565600000000009E-3</c:v>
                </c:pt>
                <c:pt idx="6561">
                  <c:v>4.4724960000000012E-3</c:v>
                </c:pt>
                <c:pt idx="6562">
                  <c:v>1.7992800000000003E-3</c:v>
                </c:pt>
                <c:pt idx="6563">
                  <c:v>3.3415200000000006E-3</c:v>
                </c:pt>
                <c:pt idx="6564">
                  <c:v>1.2096000000000003E-3</c:v>
                </c:pt>
                <c:pt idx="6565">
                  <c:v>2.1772800000000002E-3</c:v>
                </c:pt>
                <c:pt idx="6566">
                  <c:v>1.9686240000000001E-2</c:v>
                </c:pt>
                <c:pt idx="6567">
                  <c:v>5.3222400000000007E-3</c:v>
                </c:pt>
                <c:pt idx="6568">
                  <c:v>9.6163200000000029E-3</c:v>
                </c:pt>
                <c:pt idx="6569">
                  <c:v>1.3608000000000001E-3</c:v>
                </c:pt>
                <c:pt idx="6570">
                  <c:v>1.6511040000000001E-2</c:v>
                </c:pt>
                <c:pt idx="6571">
                  <c:v>4.7174400000000007E-3</c:v>
                </c:pt>
                <c:pt idx="6572">
                  <c:v>1.2096000000000003E-2</c:v>
                </c:pt>
                <c:pt idx="6573">
                  <c:v>1.5724800000000004E-3</c:v>
                </c:pt>
                <c:pt idx="6574">
                  <c:v>1.0160640000000003E-3</c:v>
                </c:pt>
                <c:pt idx="6575">
                  <c:v>1.9268928000000001E-2</c:v>
                </c:pt>
                <c:pt idx="6576">
                  <c:v>1.0901520000000001E-2</c:v>
                </c:pt>
                <c:pt idx="6577">
                  <c:v>6.9552000000000017E-3</c:v>
                </c:pt>
                <c:pt idx="6578">
                  <c:v>9.2534400000000004E-4</c:v>
                </c:pt>
                <c:pt idx="6579">
                  <c:v>1.2906432000000001E-2</c:v>
                </c:pt>
                <c:pt idx="6580">
                  <c:v>2.9181600000000005E-2</c:v>
                </c:pt>
                <c:pt idx="6581">
                  <c:v>4.2336000000000006E-3</c:v>
                </c:pt>
                <c:pt idx="6582">
                  <c:v>9.5800320000000022E-3</c:v>
                </c:pt>
                <c:pt idx="6583">
                  <c:v>3.8556E-2</c:v>
                </c:pt>
                <c:pt idx="6584">
                  <c:v>9.1309679999999997E-3</c:v>
                </c:pt>
                <c:pt idx="6585">
                  <c:v>4.6478880000000002E-3</c:v>
                </c:pt>
                <c:pt idx="6586">
                  <c:v>2.8848960000000001E-3</c:v>
                </c:pt>
                <c:pt idx="6587">
                  <c:v>9.9020879999999999E-3</c:v>
                </c:pt>
                <c:pt idx="6588">
                  <c:v>3.2081616000000007E-2</c:v>
                </c:pt>
                <c:pt idx="6589">
                  <c:v>2.6786592000000008E-2</c:v>
                </c:pt>
                <c:pt idx="6590">
                  <c:v>3.2598720000000009E-3</c:v>
                </c:pt>
                <c:pt idx="6591">
                  <c:v>1.1854080000000004E-3</c:v>
                </c:pt>
                <c:pt idx="6592">
                  <c:v>6.6679200000000008E-3</c:v>
                </c:pt>
                <c:pt idx="6593">
                  <c:v>3.2205600000000008E-3</c:v>
                </c:pt>
                <c:pt idx="6594">
                  <c:v>6.5620800000000003E-4</c:v>
                </c:pt>
                <c:pt idx="6595">
                  <c:v>4.2216551999999997E-2</c:v>
                </c:pt>
                <c:pt idx="6596">
                  <c:v>1.3547520000000004E-2</c:v>
                </c:pt>
                <c:pt idx="6597">
                  <c:v>1.2029472000000001E-2</c:v>
                </c:pt>
                <c:pt idx="6598">
                  <c:v>3.5625743999999994E-2</c:v>
                </c:pt>
                <c:pt idx="6599">
                  <c:v>3.2060448000000005E-2</c:v>
                </c:pt>
                <c:pt idx="6600">
                  <c:v>2.9992032000000005E-2</c:v>
                </c:pt>
                <c:pt idx="6601">
                  <c:v>7.1124479999999986E-3</c:v>
                </c:pt>
                <c:pt idx="6602">
                  <c:v>1.4161392000000002E-2</c:v>
                </c:pt>
                <c:pt idx="6603">
                  <c:v>2.0230560000000005E-2</c:v>
                </c:pt>
                <c:pt idx="6604">
                  <c:v>3.2514047999999997E-2</c:v>
                </c:pt>
                <c:pt idx="6605">
                  <c:v>1.3668480000000004E-4</c:v>
                </c:pt>
                <c:pt idx="6606">
                  <c:v>9.2262240000000034E-3</c:v>
                </c:pt>
                <c:pt idx="6607">
                  <c:v>9.7251839999999996E-3</c:v>
                </c:pt>
                <c:pt idx="6608">
                  <c:v>4.0068000000000005E-3</c:v>
                </c:pt>
                <c:pt idx="6609">
                  <c:v>4.1413680000000003E-3</c:v>
                </c:pt>
                <c:pt idx="6610">
                  <c:v>1.5966720000000002E-3</c:v>
                </c:pt>
                <c:pt idx="6611">
                  <c:v>5.1695280000000014E-3</c:v>
                </c:pt>
                <c:pt idx="6612">
                  <c:v>5.9648400000000008E-3</c:v>
                </c:pt>
                <c:pt idx="6613">
                  <c:v>1.7962559999999998E-3</c:v>
                </c:pt>
                <c:pt idx="6614">
                  <c:v>2.0434680000000004E-2</c:v>
                </c:pt>
                <c:pt idx="6615">
                  <c:v>1.5240960000000002E-3</c:v>
                </c:pt>
                <c:pt idx="6616">
                  <c:v>1.5240960000000005E-2</c:v>
                </c:pt>
                <c:pt idx="6617">
                  <c:v>2.068416E-3</c:v>
                </c:pt>
                <c:pt idx="6618">
                  <c:v>4.8384000000000003E-5</c:v>
                </c:pt>
                <c:pt idx="6619">
                  <c:v>1.4696640000000001E-3</c:v>
                </c:pt>
                <c:pt idx="6620">
                  <c:v>6.0782399999999997E-4</c:v>
                </c:pt>
                <c:pt idx="6621">
                  <c:v>1.945944E-3</c:v>
                </c:pt>
                <c:pt idx="6622">
                  <c:v>1.5346800000000003E-3</c:v>
                </c:pt>
                <c:pt idx="6623">
                  <c:v>1.5921360000000001E-3</c:v>
                </c:pt>
                <c:pt idx="6624">
                  <c:v>1.2247200000000002E-4</c:v>
                </c:pt>
                <c:pt idx="6625">
                  <c:v>9.8431200000000021E-4</c:v>
                </c:pt>
                <c:pt idx="6626">
                  <c:v>7.5479040000000022E-4</c:v>
                </c:pt>
                <c:pt idx="6627">
                  <c:v>1.6934400000000001E-4</c:v>
                </c:pt>
                <c:pt idx="6628">
                  <c:v>1.1158560000000001E-3</c:v>
                </c:pt>
                <c:pt idx="6629">
                  <c:v>1.3124160000000003E-3</c:v>
                </c:pt>
                <c:pt idx="6630">
                  <c:v>3.6892800000000003E-4</c:v>
                </c:pt>
                <c:pt idx="6631">
                  <c:v>3.7285919999999993E-3</c:v>
                </c:pt>
                <c:pt idx="6632">
                  <c:v>9.8703360000000004E-3</c:v>
                </c:pt>
                <c:pt idx="6633">
                  <c:v>8.0438400000000011E-4</c:v>
                </c:pt>
                <c:pt idx="6634">
                  <c:v>1.9353600000000007E-4</c:v>
                </c:pt>
                <c:pt idx="6635">
                  <c:v>5.7607199999999996E-4</c:v>
                </c:pt>
                <c:pt idx="6636">
                  <c:v>1.0886400000000001E-3</c:v>
                </c:pt>
                <c:pt idx="6637">
                  <c:v>5.3071200000000002E-4</c:v>
                </c:pt>
                <c:pt idx="6638">
                  <c:v>5.902848E-4</c:v>
                </c:pt>
                <c:pt idx="6639">
                  <c:v>8.3689200000000019E-3</c:v>
                </c:pt>
                <c:pt idx="6640">
                  <c:v>3.6590400000000007E-4</c:v>
                </c:pt>
                <c:pt idx="6641">
                  <c:v>3.8102400000000012E-3</c:v>
                </c:pt>
                <c:pt idx="6642">
                  <c:v>1.1340000000000001E-2</c:v>
                </c:pt>
                <c:pt idx="6643">
                  <c:v>9.1808640000000021E-3</c:v>
                </c:pt>
                <c:pt idx="6644">
                  <c:v>5.8968000000000015E-3</c:v>
                </c:pt>
                <c:pt idx="6645">
                  <c:v>6.6150000000000009E-4</c:v>
                </c:pt>
                <c:pt idx="6646">
                  <c:v>4.6872000000000016E-4</c:v>
                </c:pt>
                <c:pt idx="6647">
                  <c:v>3.3899040000000003E-4</c:v>
                </c:pt>
                <c:pt idx="6648">
                  <c:v>6.1387200000000001E-4</c:v>
                </c:pt>
                <c:pt idx="6649">
                  <c:v>3.5380800000000005E-4</c:v>
                </c:pt>
                <c:pt idx="6650">
                  <c:v>1.6934400000000001E-4</c:v>
                </c:pt>
                <c:pt idx="6651">
                  <c:v>5.2617600000000005E-4</c:v>
                </c:pt>
                <c:pt idx="6652">
                  <c:v>5.6246400000000015E-4</c:v>
                </c:pt>
                <c:pt idx="6653">
                  <c:v>2.8425600000000009E-4</c:v>
                </c:pt>
                <c:pt idx="6654">
                  <c:v>1.9474560000000001E-4</c:v>
                </c:pt>
                <c:pt idx="6655">
                  <c:v>7.5600000000000016E-4</c:v>
                </c:pt>
                <c:pt idx="6656">
                  <c:v>3.0240000000000006E-3</c:v>
                </c:pt>
                <c:pt idx="6657">
                  <c:v>1.1339999999999998E-3</c:v>
                </c:pt>
                <c:pt idx="6658">
                  <c:v>3.5985600000000006E-3</c:v>
                </c:pt>
                <c:pt idx="6659">
                  <c:v>1.7055360000000003E-4</c:v>
                </c:pt>
                <c:pt idx="6660">
                  <c:v>1.3456800000000003E-4</c:v>
                </c:pt>
                <c:pt idx="6661">
                  <c:v>3.4987680000000011E-3</c:v>
                </c:pt>
                <c:pt idx="6662">
                  <c:v>5.6851200000000018E-4</c:v>
                </c:pt>
                <c:pt idx="6663">
                  <c:v>2.3587200000000006E-4</c:v>
                </c:pt>
                <c:pt idx="6664">
                  <c:v>2.8448280000000002E-3</c:v>
                </c:pt>
                <c:pt idx="6665">
                  <c:v>9.5255999999999997E-4</c:v>
                </c:pt>
                <c:pt idx="6666">
                  <c:v>5.9875199999999992E-4</c:v>
                </c:pt>
                <c:pt idx="6667">
                  <c:v>3.9916800000000004E-4</c:v>
                </c:pt>
                <c:pt idx="6668">
                  <c:v>1.0054800000000002E-3</c:v>
                </c:pt>
                <c:pt idx="6669">
                  <c:v>1.0160640000000003E-3</c:v>
                </c:pt>
                <c:pt idx="6670">
                  <c:v>7.2576000000000021E-4</c:v>
                </c:pt>
                <c:pt idx="6671">
                  <c:v>4.9896000000000012E-4</c:v>
                </c:pt>
                <c:pt idx="6672">
                  <c:v>7.7414400000000026E-4</c:v>
                </c:pt>
                <c:pt idx="6673">
                  <c:v>3.8707200000000013E-4</c:v>
                </c:pt>
                <c:pt idx="6674">
                  <c:v>5.322240000000002E-4</c:v>
                </c:pt>
                <c:pt idx="6675">
                  <c:v>8.4672000000000013E-4</c:v>
                </c:pt>
                <c:pt idx="6676">
                  <c:v>1.9837440000000004E-3</c:v>
                </c:pt>
                <c:pt idx="6677">
                  <c:v>3.628800000000001E-4</c:v>
                </c:pt>
                <c:pt idx="6678">
                  <c:v>1.1838960000000003E-3</c:v>
                </c:pt>
                <c:pt idx="6679">
                  <c:v>1.2700799999999998E-3</c:v>
                </c:pt>
                <c:pt idx="6680">
                  <c:v>3.2508000000000007E-3</c:v>
                </c:pt>
                <c:pt idx="6681">
                  <c:v>2.8189728000000008E-2</c:v>
                </c:pt>
                <c:pt idx="6682">
                  <c:v>1.3538448E-2</c:v>
                </c:pt>
                <c:pt idx="6683">
                  <c:v>7.009632E-3</c:v>
                </c:pt>
                <c:pt idx="6684">
                  <c:v>2.6671680000000003E-2</c:v>
                </c:pt>
                <c:pt idx="6685">
                  <c:v>7.8593760000000013E-3</c:v>
                </c:pt>
                <c:pt idx="6686">
                  <c:v>1.2623688000000001E-2</c:v>
                </c:pt>
                <c:pt idx="6687">
                  <c:v>2.9030400000000008E-3</c:v>
                </c:pt>
                <c:pt idx="6688">
                  <c:v>2.9756160000000004E-3</c:v>
                </c:pt>
                <c:pt idx="6689">
                  <c:v>2.5855200000000004E-3</c:v>
                </c:pt>
                <c:pt idx="6690">
                  <c:v>1.1959920000000003E-3</c:v>
                </c:pt>
                <c:pt idx="6691">
                  <c:v>8.297856000000001E-3</c:v>
                </c:pt>
                <c:pt idx="6692">
                  <c:v>3.5925120000000004E-3</c:v>
                </c:pt>
                <c:pt idx="6693">
                  <c:v>1.537704E-3</c:v>
                </c:pt>
                <c:pt idx="6694">
                  <c:v>3.9296880000000006E-3</c:v>
                </c:pt>
                <c:pt idx="6695">
                  <c:v>2.8728000000000005E-4</c:v>
                </c:pt>
                <c:pt idx="6696">
                  <c:v>6.6528000000000008E-4</c:v>
                </c:pt>
                <c:pt idx="6697">
                  <c:v>2.1178584000000004E-2</c:v>
                </c:pt>
                <c:pt idx="6698">
                  <c:v>5.769792000000001E-3</c:v>
                </c:pt>
                <c:pt idx="6699">
                  <c:v>2.3284800000000004E-3</c:v>
                </c:pt>
                <c:pt idx="6700">
                  <c:v>2.0563200000000005E-4</c:v>
                </c:pt>
                <c:pt idx="6701">
                  <c:v>5.9875199999999992E-4</c:v>
                </c:pt>
                <c:pt idx="6702">
                  <c:v>2.676240000000001E-5</c:v>
                </c:pt>
                <c:pt idx="6703">
                  <c:v>1.4700000000000002E-5</c:v>
                </c:pt>
                <c:pt idx="6704">
                  <c:v>3.0449999999999998E-5</c:v>
                </c:pt>
                <c:pt idx="6705">
                  <c:v>2.2400000000000002E-5</c:v>
                </c:pt>
                <c:pt idx="6706">
                  <c:v>1.645E-5</c:v>
                </c:pt>
                <c:pt idx="6707">
                  <c:v>2.1700000000000002E-5</c:v>
                </c:pt>
                <c:pt idx="6708">
                  <c:v>7.3500000000000008E-6</c:v>
                </c:pt>
                <c:pt idx="6709">
                  <c:v>1.26E-5</c:v>
                </c:pt>
                <c:pt idx="6710">
                  <c:v>1.225E-5</c:v>
                </c:pt>
                <c:pt idx="6711">
                  <c:v>1.0500000000000001E-5</c:v>
                </c:pt>
                <c:pt idx="6712">
                  <c:v>1.295E-5</c:v>
                </c:pt>
                <c:pt idx="6713">
                  <c:v>4.1999999999999996E-6</c:v>
                </c:pt>
                <c:pt idx="6714">
                  <c:v>5.6000000000000006E-6</c:v>
                </c:pt>
                <c:pt idx="6715">
                  <c:v>8.9600000000000009E-5</c:v>
                </c:pt>
                <c:pt idx="6716">
                  <c:v>8.4000000000000003E-4</c:v>
                </c:pt>
                <c:pt idx="6717">
                  <c:v>4.4633333333333339E-3</c:v>
                </c:pt>
                <c:pt idx="6718">
                  <c:v>1.7333333333333335E-3</c:v>
                </c:pt>
                <c:pt idx="6719">
                  <c:v>4.5333333333333328E-3</c:v>
                </c:pt>
                <c:pt idx="6720">
                  <c:v>1.7853333333333334E-3</c:v>
                </c:pt>
                <c:pt idx="6721">
                  <c:v>1.2909333333333335E-2</c:v>
                </c:pt>
                <c:pt idx="6722">
                  <c:v>2.4720000000000002E-3</c:v>
                </c:pt>
                <c:pt idx="6723">
                  <c:v>1.1333333333333332E-3</c:v>
                </c:pt>
                <c:pt idx="6724">
                  <c:v>9.3333333333333322E-4</c:v>
                </c:pt>
                <c:pt idx="6725">
                  <c:v>1.32E-3</c:v>
                </c:pt>
                <c:pt idx="6726">
                  <c:v>2.9333333333333329E-3</c:v>
                </c:pt>
                <c:pt idx="6727">
                  <c:v>1.7359999999999999E-3</c:v>
                </c:pt>
                <c:pt idx="6728">
                  <c:v>1.9259999999999999E-2</c:v>
                </c:pt>
                <c:pt idx="6729">
                  <c:v>7.4760000000000007E-2</c:v>
                </c:pt>
                <c:pt idx="6730">
                  <c:v>3.9882000000000001E-2</c:v>
                </c:pt>
                <c:pt idx="6731">
                  <c:v>1.624E-3</c:v>
                </c:pt>
                <c:pt idx="6732">
                  <c:v>1.8133333333333331E-2</c:v>
                </c:pt>
                <c:pt idx="6733">
                  <c:v>1.0845333333333334E-2</c:v>
                </c:pt>
                <c:pt idx="6734">
                  <c:v>2.496E-2</c:v>
                </c:pt>
                <c:pt idx="6735">
                  <c:v>5.4809999999999998E-2</c:v>
                </c:pt>
                <c:pt idx="6736">
                  <c:v>2.8983333333333333E-2</c:v>
                </c:pt>
                <c:pt idx="6737">
                  <c:v>2.2806E-2</c:v>
                </c:pt>
                <c:pt idx="6738">
                  <c:v>4.4974666666666663E-2</c:v>
                </c:pt>
                <c:pt idx="6739">
                  <c:v>4.2919999999999998E-3</c:v>
                </c:pt>
                <c:pt idx="6740">
                  <c:v>3.2866666666666665E-3</c:v>
                </c:pt>
                <c:pt idx="6741">
                  <c:v>8.2133333333333329E-3</c:v>
                </c:pt>
                <c:pt idx="6742">
                  <c:v>1.3013333333333332E-2</c:v>
                </c:pt>
                <c:pt idx="6743">
                  <c:v>2.8E-3</c:v>
                </c:pt>
                <c:pt idx="6744">
                  <c:v>3.5466666666666659E-3</c:v>
                </c:pt>
                <c:pt idx="6745">
                  <c:v>2.1666666666666666E-3</c:v>
                </c:pt>
                <c:pt idx="6746">
                  <c:v>3.1199999999999999E-3</c:v>
                </c:pt>
                <c:pt idx="6747">
                  <c:v>9.5999999999999992E-4</c:v>
                </c:pt>
                <c:pt idx="6748">
                  <c:v>1.7600000000000001E-3</c:v>
                </c:pt>
                <c:pt idx="6749">
                  <c:v>5.3333333333333336E-4</c:v>
                </c:pt>
                <c:pt idx="6750">
                  <c:v>1.8666666666666664E-3</c:v>
                </c:pt>
                <c:pt idx="6751">
                  <c:v>3.9333333333333338E-3</c:v>
                </c:pt>
                <c:pt idx="6752">
                  <c:v>1.4000000000000002E-3</c:v>
                </c:pt>
                <c:pt idx="6753">
                  <c:v>1.4000000000000002E-3</c:v>
                </c:pt>
                <c:pt idx="6754">
                  <c:v>2.2000000000000001E-3</c:v>
                </c:pt>
                <c:pt idx="6755">
                  <c:v>1.5333333333333332E-3</c:v>
                </c:pt>
                <c:pt idx="6756">
                  <c:v>3.5333333333333332E-3</c:v>
                </c:pt>
                <c:pt idx="6757">
                  <c:v>8.8666666666666646E-4</c:v>
                </c:pt>
                <c:pt idx="6758">
                  <c:v>1.7999999999999997E-3</c:v>
                </c:pt>
                <c:pt idx="6759">
                  <c:v>8.0593333333333336E-2</c:v>
                </c:pt>
                <c:pt idx="6760">
                  <c:v>1.7013333333333332E-2</c:v>
                </c:pt>
                <c:pt idx="6761">
                  <c:v>1.0853333333333333E-2</c:v>
                </c:pt>
                <c:pt idx="6762">
                  <c:v>8.5066666666666658E-3</c:v>
                </c:pt>
                <c:pt idx="6763">
                  <c:v>6.8200000000000005E-3</c:v>
                </c:pt>
                <c:pt idx="6764">
                  <c:v>2.2733333333333334E-3</c:v>
                </c:pt>
                <c:pt idx="6765">
                  <c:v>3.3733333333333332E-3</c:v>
                </c:pt>
                <c:pt idx="6766">
                  <c:v>3.2000000000000002E-3</c:v>
                </c:pt>
                <c:pt idx="6767">
                  <c:v>2.2000000000000001E-3</c:v>
                </c:pt>
                <c:pt idx="6768">
                  <c:v>1.6000000000000001E-3</c:v>
                </c:pt>
                <c:pt idx="6769">
                  <c:v>1.6666666666666666E-3</c:v>
                </c:pt>
                <c:pt idx="6770">
                  <c:v>6.0000000000000006E-4</c:v>
                </c:pt>
                <c:pt idx="6771">
                  <c:v>5.3333333333333336E-4</c:v>
                </c:pt>
                <c:pt idx="6772">
                  <c:v>4.2000000000000002E-4</c:v>
                </c:pt>
                <c:pt idx="6773">
                  <c:v>1.9740000000000001E-3</c:v>
                </c:pt>
                <c:pt idx="6774">
                  <c:v>6.7932000000000001E-3</c:v>
                </c:pt>
                <c:pt idx="6775">
                  <c:v>1.8938666666666667E-3</c:v>
                </c:pt>
                <c:pt idx="6776">
                  <c:v>8.4960000000000016E-4</c:v>
                </c:pt>
                <c:pt idx="6777">
                  <c:v>8.8560000000000006E-4</c:v>
                </c:pt>
                <c:pt idx="6778">
                  <c:v>1.272E-4</c:v>
                </c:pt>
                <c:pt idx="6779">
                  <c:v>2.8153333333333331E-4</c:v>
                </c:pt>
                <c:pt idx="6780">
                  <c:v>1.2979999999999998E-2</c:v>
                </c:pt>
                <c:pt idx="6781">
                  <c:v>5.7493333333333346E-3</c:v>
                </c:pt>
                <c:pt idx="6782">
                  <c:v>6.7260000000000002E-3</c:v>
                </c:pt>
                <c:pt idx="6783">
                  <c:v>1.8666666666666666E-3</c:v>
                </c:pt>
                <c:pt idx="6784">
                  <c:v>5.2199999999999998E-3</c:v>
                </c:pt>
                <c:pt idx="6785">
                  <c:v>2.7139999999999994E-3</c:v>
                </c:pt>
                <c:pt idx="6786">
                  <c:v>1.9719999999999998E-3</c:v>
                </c:pt>
                <c:pt idx="6787">
                  <c:v>1.6960000000000002E-3</c:v>
                </c:pt>
                <c:pt idx="6788">
                  <c:v>2.6866666666666666E-3</c:v>
                </c:pt>
                <c:pt idx="6789">
                  <c:v>1.7333333333333335E-3</c:v>
                </c:pt>
                <c:pt idx="6790">
                  <c:v>2.2533333333333333E-3</c:v>
                </c:pt>
                <c:pt idx="6791">
                  <c:v>6.3333333333333323E-3</c:v>
                </c:pt>
                <c:pt idx="6792">
                  <c:v>2.0833333333333329E-3</c:v>
                </c:pt>
                <c:pt idx="6793">
                  <c:v>2.5400000000000002E-3</c:v>
                </c:pt>
                <c:pt idx="6794">
                  <c:v>3.5000000000000005E-3</c:v>
                </c:pt>
                <c:pt idx="6795">
                  <c:v>5.0000000000000001E-3</c:v>
                </c:pt>
                <c:pt idx="6796">
                  <c:v>1.3482666666666669E-2</c:v>
                </c:pt>
                <c:pt idx="6797">
                  <c:v>2.0827999999999999E-2</c:v>
                </c:pt>
                <c:pt idx="6798">
                  <c:v>4.5933333333333333E-2</c:v>
                </c:pt>
                <c:pt idx="6799">
                  <c:v>3.0720000000000005E-3</c:v>
                </c:pt>
                <c:pt idx="6800">
                  <c:v>8.1066666666666665E-3</c:v>
                </c:pt>
                <c:pt idx="6801">
                  <c:v>1.3568000000000002E-2</c:v>
                </c:pt>
                <c:pt idx="6802">
                  <c:v>2.8786666666666661E-3</c:v>
                </c:pt>
                <c:pt idx="6803">
                  <c:v>1.024E-3</c:v>
                </c:pt>
                <c:pt idx="6804">
                  <c:v>7.6199999999999998E-4</c:v>
                </c:pt>
                <c:pt idx="6805">
                  <c:v>1.0666666666666667E-3</c:v>
                </c:pt>
                <c:pt idx="6806">
                  <c:v>1.3866666666666667E-3</c:v>
                </c:pt>
                <c:pt idx="6807">
                  <c:v>1.32E-3</c:v>
                </c:pt>
                <c:pt idx="6808">
                  <c:v>2.0533333333333332E-3</c:v>
                </c:pt>
                <c:pt idx="6809">
                  <c:v>3.6720000000000008E-3</c:v>
                </c:pt>
                <c:pt idx="6810">
                  <c:v>1.7906666666666671E-2</c:v>
                </c:pt>
                <c:pt idx="6811">
                  <c:v>4.4000000000000003E-3</c:v>
                </c:pt>
                <c:pt idx="6812">
                  <c:v>6.9999999999999999E-4</c:v>
                </c:pt>
                <c:pt idx="6813">
                  <c:v>2.0800000000000003E-3</c:v>
                </c:pt>
                <c:pt idx="6814">
                  <c:v>2.9193333333333332E-3</c:v>
                </c:pt>
                <c:pt idx="6815">
                  <c:v>1.2079999999999999E-3</c:v>
                </c:pt>
                <c:pt idx="6816">
                  <c:v>2.3306666666666662E-3</c:v>
                </c:pt>
                <c:pt idx="6817">
                  <c:v>6.3000000000000003E-4</c:v>
                </c:pt>
                <c:pt idx="6818">
                  <c:v>3.0186666666666667E-2</c:v>
                </c:pt>
                <c:pt idx="6819">
                  <c:v>9.7066666666666673E-3</c:v>
                </c:pt>
                <c:pt idx="6820">
                  <c:v>1.464E-2</c:v>
                </c:pt>
                <c:pt idx="6821">
                  <c:v>4.2533333333333329E-3</c:v>
                </c:pt>
                <c:pt idx="6822">
                  <c:v>1.9140000000000001E-2</c:v>
                </c:pt>
                <c:pt idx="6823">
                  <c:v>8.4613333333333332E-2</c:v>
                </c:pt>
                <c:pt idx="6824">
                  <c:v>6.4400000000000004E-3</c:v>
                </c:pt>
                <c:pt idx="6825">
                  <c:v>4.62E-3</c:v>
                </c:pt>
                <c:pt idx="6826">
                  <c:v>4.2000000000000006E-3</c:v>
                </c:pt>
                <c:pt idx="6827">
                  <c:v>8.8666666666666668E-3</c:v>
                </c:pt>
                <c:pt idx="6828">
                  <c:v>1.0666666666666666E-2</c:v>
                </c:pt>
                <c:pt idx="6829">
                  <c:v>6.0720000000000001E-3</c:v>
                </c:pt>
                <c:pt idx="6830">
                  <c:v>2.3400000000000001E-3</c:v>
                </c:pt>
                <c:pt idx="6831">
                  <c:v>7.4239999999999992E-3</c:v>
                </c:pt>
                <c:pt idx="6832">
                  <c:v>2.2439999999999999E-3</c:v>
                </c:pt>
                <c:pt idx="6833">
                  <c:v>1.0199999999999999E-2</c:v>
                </c:pt>
                <c:pt idx="6834">
                  <c:v>3.9480000000000001E-3</c:v>
                </c:pt>
                <c:pt idx="6835">
                  <c:v>1.4399999999999999E-3</c:v>
                </c:pt>
                <c:pt idx="6836">
                  <c:v>8.5599999999999999E-4</c:v>
                </c:pt>
                <c:pt idx="6837">
                  <c:v>2.7299999999999998E-3</c:v>
                </c:pt>
                <c:pt idx="6838">
                  <c:v>1.1853333333333332E-3</c:v>
                </c:pt>
                <c:pt idx="6839">
                  <c:v>3.2940000000000005E-3</c:v>
                </c:pt>
                <c:pt idx="6840">
                  <c:v>3.5333333333333332E-3</c:v>
                </c:pt>
                <c:pt idx="6841">
                  <c:v>2.4453333333333332E-3</c:v>
                </c:pt>
                <c:pt idx="6842">
                  <c:v>1.6866666666666668E-3</c:v>
                </c:pt>
                <c:pt idx="6843">
                  <c:v>1.0266666666666666E-3</c:v>
                </c:pt>
                <c:pt idx="6844">
                  <c:v>1.3440000000000001E-3</c:v>
                </c:pt>
                <c:pt idx="6845">
                  <c:v>8.9599999999999988E-4</c:v>
                </c:pt>
                <c:pt idx="6846">
                  <c:v>1.5120000000000003E-3</c:v>
                </c:pt>
                <c:pt idx="6847">
                  <c:v>3.0240000000000006E-3</c:v>
                </c:pt>
                <c:pt idx="6848">
                  <c:v>2.0686666666666666E-3</c:v>
                </c:pt>
                <c:pt idx="6849">
                  <c:v>1.2466666666666665E-3</c:v>
                </c:pt>
                <c:pt idx="6850">
                  <c:v>1.983333333333333E-3</c:v>
                </c:pt>
                <c:pt idx="6851">
                  <c:v>2.0266666666666662E-3</c:v>
                </c:pt>
                <c:pt idx="6852">
                  <c:v>8.7466666666666682E-3</c:v>
                </c:pt>
                <c:pt idx="6853">
                  <c:v>3.2266666666666666E-2</c:v>
                </c:pt>
                <c:pt idx="6854">
                  <c:v>6.4546666666666676E-3</c:v>
                </c:pt>
                <c:pt idx="6855">
                  <c:v>8.9833333333333328E-3</c:v>
                </c:pt>
                <c:pt idx="6856">
                  <c:v>4.5599999999999998E-3</c:v>
                </c:pt>
                <c:pt idx="6857">
                  <c:v>6.1833333333333332E-3</c:v>
                </c:pt>
                <c:pt idx="6858">
                  <c:v>1.3066666666666667E-3</c:v>
                </c:pt>
                <c:pt idx="6859">
                  <c:v>1.9600000000000004E-3</c:v>
                </c:pt>
                <c:pt idx="6860">
                  <c:v>1.4733333333333332E-3</c:v>
                </c:pt>
                <c:pt idx="6861">
                  <c:v>1.2999999999999999E-3</c:v>
                </c:pt>
                <c:pt idx="6862">
                  <c:v>9.1866666666666676E-3</c:v>
                </c:pt>
                <c:pt idx="6863">
                  <c:v>8.6999999999999994E-3</c:v>
                </c:pt>
                <c:pt idx="6864">
                  <c:v>9.5199999999999989E-3</c:v>
                </c:pt>
                <c:pt idx="6865">
                  <c:v>1.1800000000000001E-2</c:v>
                </c:pt>
                <c:pt idx="6866">
                  <c:v>7.4666666666666666E-3</c:v>
                </c:pt>
                <c:pt idx="6867">
                  <c:v>9.5333333333333338E-4</c:v>
                </c:pt>
                <c:pt idx="6868">
                  <c:v>4.4999999999999997E-3</c:v>
                </c:pt>
                <c:pt idx="6869">
                  <c:v>3.2066666666666667E-3</c:v>
                </c:pt>
                <c:pt idx="6870">
                  <c:v>1.0400000000000001E-3</c:v>
                </c:pt>
                <c:pt idx="6871">
                  <c:v>3.7366666666666668E-3</c:v>
                </c:pt>
                <c:pt idx="6872">
                  <c:v>4.0800000000000003E-3</c:v>
                </c:pt>
                <c:pt idx="6873">
                  <c:v>1.74E-3</c:v>
                </c:pt>
                <c:pt idx="6874">
                  <c:v>1.98E-3</c:v>
                </c:pt>
                <c:pt idx="6875">
                  <c:v>1.3799999999999999E-3</c:v>
                </c:pt>
                <c:pt idx="6876">
                  <c:v>1.4166666666666666E-3</c:v>
                </c:pt>
                <c:pt idx="6877">
                  <c:v>7.3920000000000001E-3</c:v>
                </c:pt>
                <c:pt idx="6878">
                  <c:v>1.4666400000000002E-3</c:v>
                </c:pt>
                <c:pt idx="6879">
                  <c:v>6.1740000000000007E-3</c:v>
                </c:pt>
                <c:pt idx="6880">
                  <c:v>1.1760000000000002E-3</c:v>
                </c:pt>
                <c:pt idx="6881">
                  <c:v>1.0920000000000001E-3</c:v>
                </c:pt>
                <c:pt idx="6882">
                  <c:v>1.029E-3</c:v>
                </c:pt>
                <c:pt idx="6883">
                  <c:v>5.04E-4</c:v>
                </c:pt>
                <c:pt idx="6884">
                  <c:v>5.04E-4</c:v>
                </c:pt>
                <c:pt idx="6885">
                  <c:v>5.04E-4</c:v>
                </c:pt>
                <c:pt idx="6886">
                  <c:v>2.8139999999999997E-3</c:v>
                </c:pt>
                <c:pt idx="6887">
                  <c:v>1.92E-3</c:v>
                </c:pt>
                <c:pt idx="6888">
                  <c:v>1.4300000000000001E-3</c:v>
                </c:pt>
                <c:pt idx="6889">
                  <c:v>1.5039999999999999E-3</c:v>
                </c:pt>
                <c:pt idx="6890">
                  <c:v>1.1279999999999999E-3</c:v>
                </c:pt>
                <c:pt idx="6891">
                  <c:v>1.6560000000000001E-3</c:v>
                </c:pt>
                <c:pt idx="6892">
                  <c:v>8.5866666666666661E-3</c:v>
                </c:pt>
                <c:pt idx="6893">
                  <c:v>5.827999999999999E-3</c:v>
                </c:pt>
                <c:pt idx="6894">
                  <c:v>1.7479999999999998E-3</c:v>
                </c:pt>
                <c:pt idx="6895">
                  <c:v>1.1786666666666668E-3</c:v>
                </c:pt>
                <c:pt idx="6896">
                  <c:v>8.5333333333333344E-4</c:v>
                </c:pt>
                <c:pt idx="6897">
                  <c:v>2.0200000000000001E-3</c:v>
                </c:pt>
                <c:pt idx="6898">
                  <c:v>2.4159999999999997E-3</c:v>
                </c:pt>
                <c:pt idx="6899">
                  <c:v>1.9599999999999999E-3</c:v>
                </c:pt>
                <c:pt idx="6900">
                  <c:v>2.1406666666666666E-3</c:v>
                </c:pt>
                <c:pt idx="6901">
                  <c:v>5.1000000000000004E-3</c:v>
                </c:pt>
                <c:pt idx="6902">
                  <c:v>3.880200000000001E-2</c:v>
                </c:pt>
                <c:pt idx="6903">
                  <c:v>1.5807999999999999E-2</c:v>
                </c:pt>
                <c:pt idx="6904">
                  <c:v>6.1666666666666667E-3</c:v>
                </c:pt>
                <c:pt idx="6905">
                  <c:v>1.8160000000000001E-3</c:v>
                </c:pt>
                <c:pt idx="6906">
                  <c:v>1.9066666666666668E-3</c:v>
                </c:pt>
                <c:pt idx="6907">
                  <c:v>1.7766666666666668E-3</c:v>
                </c:pt>
                <c:pt idx="6908">
                  <c:v>1.3333333333333333E-3</c:v>
                </c:pt>
                <c:pt idx="6909">
                  <c:v>4.3333333333333337E-4</c:v>
                </c:pt>
                <c:pt idx="6910">
                  <c:v>9.1666666666666665E-4</c:v>
                </c:pt>
                <c:pt idx="6911">
                  <c:v>8.5066666666666667E-4</c:v>
                </c:pt>
                <c:pt idx="6912">
                  <c:v>8.3600000000000005E-4</c:v>
                </c:pt>
                <c:pt idx="6913">
                  <c:v>5.4780000000000002E-3</c:v>
                </c:pt>
                <c:pt idx="6914">
                  <c:v>2.4840000000000005E-3</c:v>
                </c:pt>
                <c:pt idx="6915">
                  <c:v>2.4553333333333328E-3</c:v>
                </c:pt>
                <c:pt idx="6916">
                  <c:v>1.0333333333333332E-3</c:v>
                </c:pt>
                <c:pt idx="6917">
                  <c:v>3.2202036450666667E-2</c:v>
                </c:pt>
                <c:pt idx="6918">
                  <c:v>1.4587531583999998E-2</c:v>
                </c:pt>
                <c:pt idx="6919">
                  <c:v>1.9958065599999998E-2</c:v>
                </c:pt>
                <c:pt idx="6920">
                  <c:v>1.871824637333333E-2</c:v>
                </c:pt>
                <c:pt idx="6921">
                  <c:v>2.6269047858666667E-3</c:v>
                </c:pt>
                <c:pt idx="6922">
                  <c:v>3.6142242431999996E-2</c:v>
                </c:pt>
                <c:pt idx="6923">
                  <c:v>2.4602851775999999E-2</c:v>
                </c:pt>
                <c:pt idx="6924">
                  <c:v>1.6401901183999999E-2</c:v>
                </c:pt>
                <c:pt idx="6925">
                  <c:v>9.9200657880000015E-2</c:v>
                </c:pt>
                <c:pt idx="6926">
                  <c:v>1.9825011829333335E-2</c:v>
                </c:pt>
                <c:pt idx="6927">
                  <c:v>2.8425123733333328E-2</c:v>
                </c:pt>
                <c:pt idx="6928">
                  <c:v>2.7596561616E-2</c:v>
                </c:pt>
                <c:pt idx="6929">
                  <c:v>5.3221508266666664E-4</c:v>
                </c:pt>
                <c:pt idx="6930">
                  <c:v>1.3205586738666668E-3</c:v>
                </c:pt>
                <c:pt idx="6931">
                  <c:v>1.3006006082666667E-3</c:v>
                </c:pt>
                <c:pt idx="6932">
                  <c:v>2.2099021728000001E-2</c:v>
                </c:pt>
                <c:pt idx="6933">
                  <c:v>5.9299646426666675E-3</c:v>
                </c:pt>
                <c:pt idx="6934">
                  <c:v>2.3949678720000004E-3</c:v>
                </c:pt>
                <c:pt idx="6935">
                  <c:v>2.1167645333333335E-4</c:v>
                </c:pt>
                <c:pt idx="6936">
                  <c:v>6.1688566399999991E-4</c:v>
                </c:pt>
                <c:pt idx="6937">
                  <c:v>2.9029913600000003E-5</c:v>
                </c:pt>
                <c:pt idx="6938">
                  <c:v>1.6819944171676628E-2</c:v>
                </c:pt>
                <c:pt idx="6939">
                  <c:v>1.4444799999999999E-2</c:v>
                </c:pt>
                <c:pt idx="6940">
                  <c:v>1.02144E-2</c:v>
                </c:pt>
                <c:pt idx="6941">
                  <c:v>8.3838666666666666E-3</c:v>
                </c:pt>
                <c:pt idx="6942">
                  <c:v>2.4174333333333332E-2</c:v>
                </c:pt>
                <c:pt idx="6943">
                  <c:v>4.9466666666666661E-3</c:v>
                </c:pt>
                <c:pt idx="6944">
                  <c:v>1.5583333333333334E-3</c:v>
                </c:pt>
                <c:pt idx="6945">
                  <c:v>0.10298864000000001</c:v>
                </c:pt>
                <c:pt idx="6946">
                  <c:v>2.4041600000000002E-3</c:v>
                </c:pt>
                <c:pt idx="6947">
                  <c:v>2.5678400000000001E-3</c:v>
                </c:pt>
                <c:pt idx="6948">
                  <c:v>2.9150000000000005E-3</c:v>
                </c:pt>
                <c:pt idx="6949">
                  <c:v>1.2420599999999999E-3</c:v>
                </c:pt>
                <c:pt idx="6950">
                  <c:v>3.7290666666666659E-2</c:v>
                </c:pt>
                <c:pt idx="6951">
                  <c:v>6.5306666666666673E-3</c:v>
                </c:pt>
                <c:pt idx="6952">
                  <c:v>1.1957333333333334E-2</c:v>
                </c:pt>
                <c:pt idx="6953">
                  <c:v>8.6359999999999996E-3</c:v>
                </c:pt>
                <c:pt idx="6954">
                  <c:v>1.0226666666666667E-3</c:v>
                </c:pt>
                <c:pt idx="6955">
                  <c:v>7.5333333333333339E-4</c:v>
                </c:pt>
                <c:pt idx="6956">
                  <c:v>1.6099999999999999E-3</c:v>
                </c:pt>
                <c:pt idx="6957">
                  <c:v>6.3600000000000006E-4</c:v>
                </c:pt>
                <c:pt idx="6958">
                  <c:v>6.4800000000000014E-4</c:v>
                </c:pt>
                <c:pt idx="6959">
                  <c:v>4.1600000000000003E-4</c:v>
                </c:pt>
                <c:pt idx="6960">
                  <c:v>8.7507733333333351E-2</c:v>
                </c:pt>
                <c:pt idx="6961">
                  <c:v>1.1401E-2</c:v>
                </c:pt>
                <c:pt idx="6962">
                  <c:v>2.1783266666666669E-2</c:v>
                </c:pt>
                <c:pt idx="6963">
                  <c:v>4.2335999999999997E-3</c:v>
                </c:pt>
                <c:pt idx="6964">
                  <c:v>1.1420666666666666E-2</c:v>
                </c:pt>
                <c:pt idx="6965">
                  <c:v>7.6800000000000002E-4</c:v>
                </c:pt>
                <c:pt idx="6966">
                  <c:v>4.071E-3</c:v>
                </c:pt>
                <c:pt idx="6967">
                  <c:v>4.7833333333333327E-4</c:v>
                </c:pt>
                <c:pt idx="6968">
                  <c:v>7.3720000000000001E-3</c:v>
                </c:pt>
                <c:pt idx="6969">
                  <c:v>1.336533333333333E-2</c:v>
                </c:pt>
                <c:pt idx="6970">
                  <c:v>5.28E-3</c:v>
                </c:pt>
                <c:pt idx="6971">
                  <c:v>1.6999999999999997E-3</c:v>
                </c:pt>
                <c:pt idx="6972">
                  <c:v>5.44E-4</c:v>
                </c:pt>
                <c:pt idx="6973">
                  <c:v>2.333333333333333E-4</c:v>
                </c:pt>
                <c:pt idx="6974">
                  <c:v>1.0352000000000002E-2</c:v>
                </c:pt>
                <c:pt idx="6975">
                  <c:v>1.0166666666666666E-3</c:v>
                </c:pt>
                <c:pt idx="6976">
                  <c:v>7.4666666666666664E-4</c:v>
                </c:pt>
                <c:pt idx="6977">
                  <c:v>7.2640000000000009E-4</c:v>
                </c:pt>
                <c:pt idx="6978">
                  <c:v>6.1199999999999997E-5</c:v>
                </c:pt>
                <c:pt idx="6979">
                  <c:v>2.5984E-2</c:v>
                </c:pt>
                <c:pt idx="6980">
                  <c:v>7.5133333333333345E-3</c:v>
                </c:pt>
                <c:pt idx="6981">
                  <c:v>4.069999999999999E-3</c:v>
                </c:pt>
                <c:pt idx="6982">
                  <c:v>6.6E-4</c:v>
                </c:pt>
                <c:pt idx="6983">
                  <c:v>7.4666666666666664E-4</c:v>
                </c:pt>
                <c:pt idx="6984">
                  <c:v>6.0266666666666682E-4</c:v>
                </c:pt>
                <c:pt idx="6985">
                  <c:v>5.3666666666666668E-2</c:v>
                </c:pt>
                <c:pt idx="6986">
                  <c:v>4.3263200000000002E-2</c:v>
                </c:pt>
                <c:pt idx="6987">
                  <c:v>1.1516800000000001E-2</c:v>
                </c:pt>
                <c:pt idx="6988">
                  <c:v>2.5652000000000006E-3</c:v>
                </c:pt>
                <c:pt idx="6989">
                  <c:v>2.0897999999999997E-3</c:v>
                </c:pt>
                <c:pt idx="6990">
                  <c:v>5.9386666666666661E-4</c:v>
                </c:pt>
                <c:pt idx="6991">
                  <c:v>5.8219999999999999E-3</c:v>
                </c:pt>
                <c:pt idx="6992">
                  <c:v>6.5599999999999999E-3</c:v>
                </c:pt>
                <c:pt idx="6993">
                  <c:v>2.8613333333333334E-3</c:v>
                </c:pt>
                <c:pt idx="6994">
                  <c:v>4.1800000000000002E-4</c:v>
                </c:pt>
                <c:pt idx="6995">
                  <c:v>2.6599999999999996E-4</c:v>
                </c:pt>
                <c:pt idx="6996">
                  <c:v>1.9600000000000002E-4</c:v>
                </c:pt>
                <c:pt idx="6997">
                  <c:v>1.7333333333333334E-4</c:v>
                </c:pt>
                <c:pt idx="6998">
                  <c:v>1.8799999999999999E-4</c:v>
                </c:pt>
                <c:pt idx="6999">
                  <c:v>5.6888000000000008E-3</c:v>
                </c:pt>
                <c:pt idx="7000">
                  <c:v>2.4419999999999997E-3</c:v>
                </c:pt>
                <c:pt idx="7001">
                  <c:v>1.7660666666666668E-2</c:v>
                </c:pt>
                <c:pt idx="7002">
                  <c:v>1.7346E-2</c:v>
                </c:pt>
                <c:pt idx="7003">
                  <c:v>4.816E-3</c:v>
                </c:pt>
                <c:pt idx="7004">
                  <c:v>2.4566666666666665E-3</c:v>
                </c:pt>
                <c:pt idx="7005">
                  <c:v>6.240000000000001E-4</c:v>
                </c:pt>
                <c:pt idx="7006">
                  <c:v>5.0000000000000001E-4</c:v>
                </c:pt>
                <c:pt idx="7007">
                  <c:v>9.146666666666666E-4</c:v>
                </c:pt>
                <c:pt idx="7008">
                  <c:v>9.1800000000000009E-4</c:v>
                </c:pt>
                <c:pt idx="7009">
                  <c:v>3.5224000000000002E-3</c:v>
                </c:pt>
                <c:pt idx="7010">
                  <c:v>1.3722666666666668E-3</c:v>
                </c:pt>
                <c:pt idx="7011">
                  <c:v>3.3717333333333332E-3</c:v>
                </c:pt>
                <c:pt idx="7012">
                  <c:v>2.1759999999999998E-4</c:v>
                </c:pt>
                <c:pt idx="7013">
                  <c:v>5.2215333333333343E-2</c:v>
                </c:pt>
                <c:pt idx="7014">
                  <c:v>1.4355333333333331E-2</c:v>
                </c:pt>
                <c:pt idx="7015">
                  <c:v>1.1786666666666668E-3</c:v>
                </c:pt>
                <c:pt idx="7016">
                  <c:v>1.6006666666666671E-3</c:v>
                </c:pt>
                <c:pt idx="7017">
                  <c:v>2.1866666666666665E-4</c:v>
                </c:pt>
                <c:pt idx="7018">
                  <c:v>2.6000000000000003E-4</c:v>
                </c:pt>
                <c:pt idx="7019">
                  <c:v>1.7733333333333333E-4</c:v>
                </c:pt>
                <c:pt idx="7020">
                  <c:v>1.9200000000000003E-4</c:v>
                </c:pt>
                <c:pt idx="7021">
                  <c:v>2.1600000000000002E-4</c:v>
                </c:pt>
                <c:pt idx="7022">
                  <c:v>1.6799999999999999E-4</c:v>
                </c:pt>
                <c:pt idx="7023">
                  <c:v>1.2859200000000001E-2</c:v>
                </c:pt>
                <c:pt idx="7024">
                  <c:v>2.7642666666666663E-3</c:v>
                </c:pt>
                <c:pt idx="7025">
                  <c:v>2.0504000000000001E-2</c:v>
                </c:pt>
                <c:pt idx="7026">
                  <c:v>7.012666666666667E-3</c:v>
                </c:pt>
                <c:pt idx="7027">
                  <c:v>4.6620000000000003E-3</c:v>
                </c:pt>
                <c:pt idx="7028">
                  <c:v>1.1532000000000001E-2</c:v>
                </c:pt>
                <c:pt idx="7029">
                  <c:v>5.1646666666666655E-3</c:v>
                </c:pt>
                <c:pt idx="7030">
                  <c:v>2.3993333333333332E-3</c:v>
                </c:pt>
                <c:pt idx="7031">
                  <c:v>1.508E-3</c:v>
                </c:pt>
                <c:pt idx="7032">
                  <c:v>1.0053333333333333E-3</c:v>
                </c:pt>
                <c:pt idx="7033">
                  <c:v>8.5066666666666667E-4</c:v>
                </c:pt>
                <c:pt idx="7034">
                  <c:v>1.1199999999999999E-3</c:v>
                </c:pt>
                <c:pt idx="7035">
                  <c:v>1.0260000000000002E-3</c:v>
                </c:pt>
                <c:pt idx="7036">
                  <c:v>1.2099999999999999E-3</c:v>
                </c:pt>
                <c:pt idx="7037">
                  <c:v>2.3226666666666665E-3</c:v>
                </c:pt>
                <c:pt idx="7038">
                  <c:v>3.7399999999999998E-4</c:v>
                </c:pt>
                <c:pt idx="7039">
                  <c:v>2.1000466666666669E-2</c:v>
                </c:pt>
                <c:pt idx="7040">
                  <c:v>3.1528E-2</c:v>
                </c:pt>
                <c:pt idx="7041">
                  <c:v>7.2085866666666665E-2</c:v>
                </c:pt>
                <c:pt idx="7042">
                  <c:v>2.2990799999999995E-2</c:v>
                </c:pt>
                <c:pt idx="7043">
                  <c:v>7.3831333333333332E-3</c:v>
                </c:pt>
                <c:pt idx="7044">
                  <c:v>2.2316800000000001E-2</c:v>
                </c:pt>
                <c:pt idx="7045">
                  <c:v>2.1765333333333334E-2</c:v>
                </c:pt>
                <c:pt idx="7046">
                  <c:v>5.9860000000000009E-3</c:v>
                </c:pt>
                <c:pt idx="7047">
                  <c:v>2.6766666666666662E-3</c:v>
                </c:pt>
                <c:pt idx="7048">
                  <c:v>9.8366666666666676E-4</c:v>
                </c:pt>
                <c:pt idx="7049">
                  <c:v>1.2999999999999999E-3</c:v>
                </c:pt>
                <c:pt idx="7050">
                  <c:v>8.8666666666666668E-3</c:v>
                </c:pt>
                <c:pt idx="7051">
                  <c:v>4.4026666666666667E-3</c:v>
                </c:pt>
                <c:pt idx="7052">
                  <c:v>1.1433333333333334E-2</c:v>
                </c:pt>
                <c:pt idx="7053">
                  <c:v>3.552E-3</c:v>
                </c:pt>
                <c:pt idx="7054">
                  <c:v>3.979333333333333E-3</c:v>
                </c:pt>
                <c:pt idx="7055">
                  <c:v>1.9426666666666668E-3</c:v>
                </c:pt>
                <c:pt idx="7056">
                  <c:v>7.7999999999999999E-4</c:v>
                </c:pt>
                <c:pt idx="7057">
                  <c:v>1.3786666666666667E-3</c:v>
                </c:pt>
                <c:pt idx="7058">
                  <c:v>4.2999999999999999E-4</c:v>
                </c:pt>
                <c:pt idx="7059">
                  <c:v>4.1066666666666666E-4</c:v>
                </c:pt>
                <c:pt idx="7060">
                  <c:v>3.1199999999999999E-4</c:v>
                </c:pt>
                <c:pt idx="7061">
                  <c:v>3.8266666666666663E-4</c:v>
                </c:pt>
                <c:pt idx="7062">
                  <c:v>2.9466666666666671E-4</c:v>
                </c:pt>
                <c:pt idx="7063">
                  <c:v>4.2986666666666668E-3</c:v>
                </c:pt>
                <c:pt idx="7064">
                  <c:v>1.7207333333333333E-3</c:v>
                </c:pt>
                <c:pt idx="7065">
                  <c:v>2.6104000000000001E-3</c:v>
                </c:pt>
                <c:pt idx="7066">
                  <c:v>2.6264000000000001E-3</c:v>
                </c:pt>
                <c:pt idx="7067">
                  <c:v>1.1867999999999998E-3</c:v>
                </c:pt>
                <c:pt idx="7068">
                  <c:v>4.7294317333333328E-4</c:v>
                </c:pt>
                <c:pt idx="7069">
                  <c:v>4.4509599999999996E-2</c:v>
                </c:pt>
                <c:pt idx="7070">
                  <c:v>2.377446666666666E-2</c:v>
                </c:pt>
                <c:pt idx="7071">
                  <c:v>2.02484E-2</c:v>
                </c:pt>
                <c:pt idx="7072">
                  <c:v>4.366000000000001E-3</c:v>
                </c:pt>
                <c:pt idx="7073">
                  <c:v>2.2200000000000002E-3</c:v>
                </c:pt>
                <c:pt idx="7074">
                  <c:v>3.8352E-3</c:v>
                </c:pt>
                <c:pt idx="7075">
                  <c:v>1.0515400000000001E-2</c:v>
                </c:pt>
                <c:pt idx="7076">
                  <c:v>1.0540000000000001E-2</c:v>
                </c:pt>
                <c:pt idx="7077">
                  <c:v>1.1682399999999999E-2</c:v>
                </c:pt>
                <c:pt idx="7078">
                  <c:v>5.7651999999999998E-3</c:v>
                </c:pt>
                <c:pt idx="7079">
                  <c:v>8.9400000000000015E-4</c:v>
                </c:pt>
                <c:pt idx="7080">
                  <c:v>1.7999999999999998E-4</c:v>
                </c:pt>
                <c:pt idx="7081">
                  <c:v>1.5900000000000001E-3</c:v>
                </c:pt>
                <c:pt idx="7082">
                  <c:v>5.3640000000000014E-4</c:v>
                </c:pt>
                <c:pt idx="7083">
                  <c:v>4.7137999999999998E-3</c:v>
                </c:pt>
                <c:pt idx="7084">
                  <c:v>2.1556666666666668E-3</c:v>
                </c:pt>
                <c:pt idx="7085">
                  <c:v>2.0609333333333332E-3</c:v>
                </c:pt>
                <c:pt idx="7086">
                  <c:v>6.1073999999999989E-3</c:v>
                </c:pt>
                <c:pt idx="7087">
                  <c:v>1.0292000000000001E-3</c:v>
                </c:pt>
                <c:pt idx="7088">
                  <c:v>2.9880000000000005E-4</c:v>
                </c:pt>
                <c:pt idx="7089">
                  <c:v>1.9439999999999998E-4</c:v>
                </c:pt>
                <c:pt idx="7090">
                  <c:v>4.7899199999999996E-3</c:v>
                </c:pt>
                <c:pt idx="7091">
                  <c:v>1.1168266666666665E-3</c:v>
                </c:pt>
                <c:pt idx="7092">
                  <c:v>1.1387866666666667E-3</c:v>
                </c:pt>
                <c:pt idx="7093">
                  <c:v>4.392E-4</c:v>
                </c:pt>
                <c:pt idx="7094">
                  <c:v>8.2064000000000008E-4</c:v>
                </c:pt>
                <c:pt idx="7095">
                  <c:v>2.8229333333333335E-4</c:v>
                </c:pt>
                <c:pt idx="7096">
                  <c:v>1.9404682872000002E-3</c:v>
                </c:pt>
                <c:pt idx="7097">
                  <c:v>1.0886217600000001E-3</c:v>
                </c:pt>
                <c:pt idx="7098">
                  <c:v>2.582452730666666E-4</c:v>
                </c:pt>
                <c:pt idx="7099">
                  <c:v>4.9592769066666662E-5</c:v>
                </c:pt>
                <c:pt idx="7100">
                  <c:v>1.5785015519999999E-3</c:v>
                </c:pt>
                <c:pt idx="7101">
                  <c:v>6.1688566399999991E-4</c:v>
                </c:pt>
                <c:pt idx="7102">
                  <c:v>1.9867347119999997E-3</c:v>
                </c:pt>
                <c:pt idx="7103">
                  <c:v>1.5875734E-3</c:v>
                </c:pt>
                <c:pt idx="7104">
                  <c:v>1.6873637279999998E-3</c:v>
                </c:pt>
                <c:pt idx="7105">
                  <c:v>1.306346112E-4</c:v>
                </c:pt>
                <c:pt idx="7106">
                  <c:v>9.1700000000000006E-5</c:v>
                </c:pt>
                <c:pt idx="7107">
                  <c:v>2.13948E-3</c:v>
                </c:pt>
                <c:pt idx="7108">
                  <c:v>3.0299133333333336E-3</c:v>
                </c:pt>
                <c:pt idx="7109">
                  <c:v>3.9893333333333334E-4</c:v>
                </c:pt>
                <c:pt idx="7110">
                  <c:v>1.4993066666666667E-3</c:v>
                </c:pt>
                <c:pt idx="7111">
                  <c:v>1.2432333333333334E-3</c:v>
                </c:pt>
                <c:pt idx="7112">
                  <c:v>1.0471999999999997E-4</c:v>
                </c:pt>
                <c:pt idx="7113">
                  <c:v>5.3107999999999996E-4</c:v>
                </c:pt>
                <c:pt idx="7114">
                  <c:v>3.7443999999999992E-4</c:v>
                </c:pt>
                <c:pt idx="7115">
                  <c:v>9.1139999999999998E-5</c:v>
                </c:pt>
                <c:pt idx="7116">
                  <c:v>8.506666666666667E-5</c:v>
                </c:pt>
                <c:pt idx="7117">
                  <c:v>7.9999999999999996E-6</c:v>
                </c:pt>
                <c:pt idx="7118">
                  <c:v>3.3811333333333333E-5</c:v>
                </c:pt>
                <c:pt idx="7119">
                  <c:v>5.5199999999999997E-6</c:v>
                </c:pt>
                <c:pt idx="7120">
                  <c:v>1.563866666666667E-5</c:v>
                </c:pt>
                <c:pt idx="7121">
                  <c:v>1.1327999999999999E-5</c:v>
                </c:pt>
                <c:pt idx="7122">
                  <c:v>2.3216666666666671E-5</c:v>
                </c:pt>
                <c:pt idx="7123">
                  <c:v>1.143052848E-3</c:v>
                </c:pt>
                <c:pt idx="7124">
                  <c:v>1.3758969466666669E-3</c:v>
                </c:pt>
                <c:pt idx="7125">
                  <c:v>3.8706551466666673E-4</c:v>
                </c:pt>
                <c:pt idx="7126">
                  <c:v>3.8101761599999995E-3</c:v>
                </c:pt>
                <c:pt idx="7127">
                  <c:v>1.0160469759999999E-2</c:v>
                </c:pt>
                <c:pt idx="7128">
                  <c:v>8.4670581333333341E-4</c:v>
                </c:pt>
                <c:pt idx="7129">
                  <c:v>2.0562855466666667E-4</c:v>
                </c:pt>
                <c:pt idx="7130">
                  <c:v>6.078138159999999E-4</c:v>
                </c:pt>
                <c:pt idx="7131">
                  <c:v>1.17934024E-3</c:v>
                </c:pt>
                <c:pt idx="7132">
                  <c:v>5.7152642399999998E-4</c:v>
                </c:pt>
                <c:pt idx="7133">
                  <c:v>1.1711999999999999E-4</c:v>
                </c:pt>
                <c:pt idx="7134">
                  <c:v>1.1743333333333334E-3</c:v>
                </c:pt>
                <c:pt idx="7135">
                  <c:v>1.2792000000000001E-3</c:v>
                </c:pt>
                <c:pt idx="7136">
                  <c:v>1.8520666666666666E-3</c:v>
                </c:pt>
                <c:pt idx="7137">
                  <c:v>7.7609999999999995E-4</c:v>
                </c:pt>
                <c:pt idx="7138">
                  <c:v>6.4704000000000009E-4</c:v>
                </c:pt>
                <c:pt idx="7139">
                  <c:v>6.4626666666666683E-5</c:v>
                </c:pt>
                <c:pt idx="7140">
                  <c:v>3.2560000000000007E-5</c:v>
                </c:pt>
                <c:pt idx="7141">
                  <c:v>2.5950000000000002E-4</c:v>
                </c:pt>
                <c:pt idx="7142">
                  <c:v>1.6565000000000001E-4</c:v>
                </c:pt>
                <c:pt idx="7143">
                  <c:v>3.0245999999999998E-5</c:v>
                </c:pt>
                <c:pt idx="7144">
                  <c:v>1.25764E-4</c:v>
                </c:pt>
                <c:pt idx="7145">
                  <c:v>2.2293999999999994E-5</c:v>
                </c:pt>
                <c:pt idx="7146">
                  <c:v>2.1626599999999995E-4</c:v>
                </c:pt>
                <c:pt idx="7147">
                  <c:v>7.8200000000000014E-6</c:v>
                </c:pt>
                <c:pt idx="7148">
                  <c:v>5.9995154773333334E-4</c:v>
                </c:pt>
                <c:pt idx="7149">
                  <c:v>8.708974080000001E-3</c:v>
                </c:pt>
                <c:pt idx="7150">
                  <c:v>3.7496971733333342E-4</c:v>
                </c:pt>
                <c:pt idx="7151">
                  <c:v>3.9916131199999993E-3</c:v>
                </c:pt>
                <c:pt idx="7152">
                  <c:v>1.17934024E-2</c:v>
                </c:pt>
                <c:pt idx="7153">
                  <c:v>9.5980151840000007E-3</c:v>
                </c:pt>
                <c:pt idx="7154">
                  <c:v>6.0781381599999997E-3</c:v>
                </c:pt>
                <c:pt idx="7155">
                  <c:v>6.8794847333333343E-4</c:v>
                </c:pt>
                <c:pt idx="7156">
                  <c:v>4.8383189333333325E-4</c:v>
                </c:pt>
                <c:pt idx="7157">
                  <c:v>3.6771223893333337E-4</c:v>
                </c:pt>
                <c:pt idx="7158">
                  <c:v>6.5619700533333335E-4</c:v>
                </c:pt>
                <c:pt idx="7159">
                  <c:v>3.8101761600000002E-4</c:v>
                </c:pt>
                <c:pt idx="7160">
                  <c:v>3.9666666666666664E-5</c:v>
                </c:pt>
                <c:pt idx="7161">
                  <c:v>3.5236000000000008E-4</c:v>
                </c:pt>
                <c:pt idx="7162">
                  <c:v>3.4438799999999999E-3</c:v>
                </c:pt>
                <c:pt idx="7163">
                  <c:v>6.4237333333333339E-4</c:v>
                </c:pt>
                <c:pt idx="7164">
                  <c:v>5.0379999999999999E-4</c:v>
                </c:pt>
                <c:pt idx="7165">
                  <c:v>4.5012000000000003E-4</c:v>
                </c:pt>
                <c:pt idx="7166">
                  <c:v>4.2206666666666666E-4</c:v>
                </c:pt>
                <c:pt idx="7167">
                  <c:v>2.3056000000000002E-4</c:v>
                </c:pt>
                <c:pt idx="7168">
                  <c:v>2.6223999999999996E-4</c:v>
                </c:pt>
                <c:pt idx="7169">
                  <c:v>3.1605199999999993E-4</c:v>
                </c:pt>
                <c:pt idx="7170">
                  <c:v>1.6363600000000002E-4</c:v>
                </c:pt>
                <c:pt idx="7171">
                  <c:v>2.121666666666667E-5</c:v>
                </c:pt>
                <c:pt idx="7172">
                  <c:v>8.9699999999999988E-6</c:v>
                </c:pt>
                <c:pt idx="7173">
                  <c:v>5.200000000000001E-6</c:v>
                </c:pt>
                <c:pt idx="7174">
                  <c:v>1.7659864106666666E-4</c:v>
                </c:pt>
                <c:pt idx="7175">
                  <c:v>5.3826298133333335E-4</c:v>
                </c:pt>
                <c:pt idx="7176">
                  <c:v>5.8059827199999998E-4</c:v>
                </c:pt>
                <c:pt idx="7177">
                  <c:v>2.9332308533333335E-4</c:v>
                </c:pt>
                <c:pt idx="7178">
                  <c:v>1.968591016E-4</c:v>
                </c:pt>
                <c:pt idx="7179">
                  <c:v>7.8622682666666676E-4</c:v>
                </c:pt>
                <c:pt idx="7180">
                  <c:v>3.1207157120000002E-3</c:v>
                </c:pt>
                <c:pt idx="7181">
                  <c:v>1.1702683919999999E-3</c:v>
                </c:pt>
                <c:pt idx="7182">
                  <c:v>3.8404156533333325E-3</c:v>
                </c:pt>
                <c:pt idx="7183">
                  <c:v>1.7599385119999999E-4</c:v>
                </c:pt>
                <c:pt idx="7184">
                  <c:v>1.4061364400000002E-4</c:v>
                </c:pt>
                <c:pt idx="7185">
                  <c:v>3.6559547440000008E-3</c:v>
                </c:pt>
                <c:pt idx="7186">
                  <c:v>5.9874196800000011E-4</c:v>
                </c:pt>
                <c:pt idx="7187">
                  <c:v>2.5401174400000001E-4</c:v>
                </c:pt>
                <c:pt idx="7188">
                  <c:v>7.7066666666666679E-5</c:v>
                </c:pt>
                <c:pt idx="7189">
                  <c:v>6.1025000000000003E-3</c:v>
                </c:pt>
                <c:pt idx="7190">
                  <c:v>5.5593999999999999E-4</c:v>
                </c:pt>
                <c:pt idx="7191">
                  <c:v>3.0391999999999995E-4</c:v>
                </c:pt>
                <c:pt idx="7192">
                  <c:v>4.06E-4</c:v>
                </c:pt>
                <c:pt idx="7193">
                  <c:v>6.5013333333333327E-4</c:v>
                </c:pt>
                <c:pt idx="7194">
                  <c:v>4.1516000000000008E-4</c:v>
                </c:pt>
                <c:pt idx="7195">
                  <c:v>1.6253333333333332E-4</c:v>
                </c:pt>
                <c:pt idx="7196">
                  <c:v>2.2644000000000002E-5</c:v>
                </c:pt>
                <c:pt idx="7197">
                  <c:v>1.7408E-5</c:v>
                </c:pt>
                <c:pt idx="7198">
                  <c:v>1.4074666666666668E-5</c:v>
                </c:pt>
                <c:pt idx="7199">
                  <c:v>1.0354000000000001E-5</c:v>
                </c:pt>
                <c:pt idx="7200">
                  <c:v>1.3764000000000001E-5</c:v>
                </c:pt>
                <c:pt idx="7201">
                  <c:v>0.26313999999999999</c:v>
                </c:pt>
                <c:pt idx="7202">
                  <c:v>7.989333333333333E-2</c:v>
                </c:pt>
                <c:pt idx="7203">
                  <c:v>5.5150000000000008E-3</c:v>
                </c:pt>
                <c:pt idx="7204">
                  <c:v>0.15623999999999999</c:v>
                </c:pt>
                <c:pt idx="7205">
                  <c:v>3.0348000000000003E-3</c:v>
                </c:pt>
                <c:pt idx="7206">
                  <c:v>2.4336000000000002E-3</c:v>
                </c:pt>
                <c:pt idx="7207">
                  <c:v>5.0248000000000003E-3</c:v>
                </c:pt>
                <c:pt idx="7208">
                  <c:v>2.2093333333333335E-3</c:v>
                </c:pt>
                <c:pt idx="7209">
                  <c:v>3.3300000000000001E-3</c:v>
                </c:pt>
                <c:pt idx="7210">
                  <c:v>3.0006000000000008E-3</c:v>
                </c:pt>
                <c:pt idx="7211">
                  <c:v>7.5914400000000007E-2</c:v>
                </c:pt>
                <c:pt idx="7212">
                  <c:v>2.2439999999999998E-2</c:v>
                </c:pt>
                <c:pt idx="7213">
                  <c:v>2.3684333333333332E-2</c:v>
                </c:pt>
                <c:pt idx="7214">
                  <c:v>1.9243466666666664E-2</c:v>
                </c:pt>
                <c:pt idx="7215">
                  <c:v>2.1604960000000002</c:v>
                </c:pt>
                <c:pt idx="7216">
                  <c:v>0.32730799999999993</c:v>
                </c:pt>
                <c:pt idx="7217">
                  <c:v>0.59453159999999994</c:v>
                </c:pt>
                <c:pt idx="7218">
                  <c:v>5.886666666666667E-4</c:v>
                </c:pt>
                <c:pt idx="7219">
                  <c:v>9.4406666666666656E-4</c:v>
                </c:pt>
                <c:pt idx="7220">
                  <c:v>8.8124999999999995E-2</c:v>
                </c:pt>
                <c:pt idx="7221">
                  <c:v>2.4483333333333333E-2</c:v>
                </c:pt>
                <c:pt idx="7222">
                  <c:v>1.6320000000000001E-2</c:v>
                </c:pt>
                <c:pt idx="7223">
                  <c:v>3.7049999999999995E-3</c:v>
                </c:pt>
                <c:pt idx="7224">
                  <c:v>2.4769333333333333E-3</c:v>
                </c:pt>
                <c:pt idx="7225">
                  <c:v>3.4833333333333331E-3</c:v>
                </c:pt>
                <c:pt idx="7226">
                  <c:v>8.7921333333333337E-3</c:v>
                </c:pt>
                <c:pt idx="7227">
                  <c:v>3.0581333333333338E-3</c:v>
                </c:pt>
                <c:pt idx="7228">
                  <c:v>3.0218666666666665E-3</c:v>
                </c:pt>
                <c:pt idx="7229">
                  <c:v>2.1826000000000003E-3</c:v>
                </c:pt>
                <c:pt idx="7230">
                  <c:v>1.2880000000000001E-3</c:v>
                </c:pt>
                <c:pt idx="7231">
                  <c:v>1.4290000000000001E-3</c:v>
                </c:pt>
                <c:pt idx="7232">
                  <c:v>1.25E-3</c:v>
                </c:pt>
                <c:pt idx="7233">
                  <c:v>8.0000000000000004E-4</c:v>
                </c:pt>
                <c:pt idx="7234">
                  <c:v>6.2833333333333335E-3</c:v>
                </c:pt>
                <c:pt idx="7235">
                  <c:v>2.5506000000000001E-3</c:v>
                </c:pt>
                <c:pt idx="7236">
                  <c:v>1.1847333333333335E-3</c:v>
                </c:pt>
                <c:pt idx="7237">
                  <c:v>2.5650000000000004E-3</c:v>
                </c:pt>
                <c:pt idx="7238">
                  <c:v>3.1803333333333336E-2</c:v>
                </c:pt>
                <c:pt idx="7239">
                  <c:v>3.327666666666667E-2</c:v>
                </c:pt>
                <c:pt idx="7240">
                  <c:v>1.4074400000000001E-2</c:v>
                </c:pt>
                <c:pt idx="7241">
                  <c:v>2.8284666666666667E-3</c:v>
                </c:pt>
                <c:pt idx="7242">
                  <c:v>7.8084000000000001E-3</c:v>
                </c:pt>
                <c:pt idx="7243">
                  <c:v>2.0800000000000003E-3</c:v>
                </c:pt>
                <c:pt idx="7244">
                  <c:v>1.08E-3</c:v>
                </c:pt>
                <c:pt idx="7245">
                  <c:v>8.3440000000000007E-3</c:v>
                </c:pt>
                <c:pt idx="7246">
                  <c:v>3.0066666666666662E-3</c:v>
                </c:pt>
                <c:pt idx="7247">
                  <c:v>3.1425999999999997E-3</c:v>
                </c:pt>
                <c:pt idx="7248">
                  <c:v>1.7566666666666666E-3</c:v>
                </c:pt>
                <c:pt idx="7249">
                  <c:v>3.0100000000000001E-3</c:v>
                </c:pt>
                <c:pt idx="7250">
                  <c:v>4.7999999999999996E-4</c:v>
                </c:pt>
                <c:pt idx="7251">
                  <c:v>6.9000000000000008E-4</c:v>
                </c:pt>
                <c:pt idx="7252">
                  <c:v>9.0773333333333324E-4</c:v>
                </c:pt>
                <c:pt idx="7253">
                  <c:v>0.46297199999999994</c:v>
                </c:pt>
                <c:pt idx="7254">
                  <c:v>1.1273333333333333E-2</c:v>
                </c:pt>
                <c:pt idx="7255">
                  <c:v>1.6466666666666667E-3</c:v>
                </c:pt>
                <c:pt idx="7256">
                  <c:v>7.9050000000000006E-3</c:v>
                </c:pt>
                <c:pt idx="7257">
                  <c:v>5.136666666666667E-3</c:v>
                </c:pt>
                <c:pt idx="7258">
                  <c:v>1.0580000000000001E-3</c:v>
                </c:pt>
                <c:pt idx="7259">
                  <c:v>7.3919999999999997E-4</c:v>
                </c:pt>
                <c:pt idx="7260">
                  <c:v>6.7833333333333331E-4</c:v>
                </c:pt>
                <c:pt idx="7261">
                  <c:v>0.2251956</c:v>
                </c:pt>
                <c:pt idx="7262">
                  <c:v>4.9032666666666662E-2</c:v>
                </c:pt>
                <c:pt idx="7263">
                  <c:v>7.6734000000000004E-3</c:v>
                </c:pt>
                <c:pt idx="7264">
                  <c:v>1.4570666666666667E-3</c:v>
                </c:pt>
                <c:pt idx="7265">
                  <c:v>8.2266666666666664E-4</c:v>
                </c:pt>
                <c:pt idx="7266">
                  <c:v>2.652E-4</c:v>
                </c:pt>
                <c:pt idx="7267">
                  <c:v>1.2394666666666666E-3</c:v>
                </c:pt>
                <c:pt idx="7268">
                  <c:v>2.1133333333333331E-4</c:v>
                </c:pt>
                <c:pt idx="7269">
                  <c:v>6.2944E-2</c:v>
                </c:pt>
                <c:pt idx="7270">
                  <c:v>2.4266666666666662E-2</c:v>
                </c:pt>
                <c:pt idx="7271">
                  <c:v>4.4733333333333326E-3</c:v>
                </c:pt>
                <c:pt idx="7272">
                  <c:v>7.6082666666666679E-3</c:v>
                </c:pt>
                <c:pt idx="7273">
                  <c:v>6.648E-4</c:v>
                </c:pt>
                <c:pt idx="7274">
                  <c:v>1.1604E-3</c:v>
                </c:pt>
                <c:pt idx="7275">
                  <c:v>6.2920000000000001E-4</c:v>
                </c:pt>
                <c:pt idx="7276">
                  <c:v>3.4000000000000002E-4</c:v>
                </c:pt>
                <c:pt idx="7277">
                  <c:v>2.0477266666666664E-2</c:v>
                </c:pt>
                <c:pt idx="7278">
                  <c:v>0.47323466666666669</c:v>
                </c:pt>
                <c:pt idx="7279">
                  <c:v>4.4976666666666665E-2</c:v>
                </c:pt>
                <c:pt idx="7280">
                  <c:v>3.9528000000000002E-3</c:v>
                </c:pt>
                <c:pt idx="7281">
                  <c:v>1.4376266666666667E-2</c:v>
                </c:pt>
                <c:pt idx="7282">
                  <c:v>1.3066666666666666E-2</c:v>
                </c:pt>
                <c:pt idx="7283">
                  <c:v>3.6506600000000007E-2</c:v>
                </c:pt>
                <c:pt idx="7284">
                  <c:v>2.307648E-2</c:v>
                </c:pt>
                <c:pt idx="7285">
                  <c:v>2.4164026666666664E-2</c:v>
                </c:pt>
                <c:pt idx="7286">
                  <c:v>2.8819999999999998E-2</c:v>
                </c:pt>
                <c:pt idx="7287">
                  <c:v>9.6968666666666665E-3</c:v>
                </c:pt>
                <c:pt idx="7288">
                  <c:v>8.917333333333334E-4</c:v>
                </c:pt>
                <c:pt idx="7289">
                  <c:v>6.5268000000000001E-3</c:v>
                </c:pt>
                <c:pt idx="7290">
                  <c:v>2.3096533333333336E-2</c:v>
                </c:pt>
                <c:pt idx="7291">
                  <c:v>5.8322000000000001E-3</c:v>
                </c:pt>
                <c:pt idx="7292">
                  <c:v>1.0003066666666668E-2</c:v>
                </c:pt>
                <c:pt idx="7293">
                  <c:v>5.1407999999999992E-3</c:v>
                </c:pt>
                <c:pt idx="7294">
                  <c:v>2.3749999999999995E-3</c:v>
                </c:pt>
                <c:pt idx="7295">
                  <c:v>5.4099066666666668E-2</c:v>
                </c:pt>
                <c:pt idx="7296">
                  <c:v>2.5458400000000003E-2</c:v>
                </c:pt>
                <c:pt idx="7297">
                  <c:v>2.0996266666666662E-2</c:v>
                </c:pt>
                <c:pt idx="7298">
                  <c:v>5.297200000000001E-3</c:v>
                </c:pt>
                <c:pt idx="7299">
                  <c:v>0.23709146666666664</c:v>
                </c:pt>
                <c:pt idx="7300">
                  <c:v>0.15431413333333335</c:v>
                </c:pt>
                <c:pt idx="7301">
                  <c:v>3.5658133333333342E-2</c:v>
                </c:pt>
                <c:pt idx="7302">
                  <c:v>4.3613866666666661E-2</c:v>
                </c:pt>
                <c:pt idx="7303">
                  <c:v>5.979693333333333E-2</c:v>
                </c:pt>
                <c:pt idx="7304">
                  <c:v>1.80086E-2</c:v>
                </c:pt>
                <c:pt idx="7305">
                  <c:v>5.7657999999999997E-3</c:v>
                </c:pt>
                <c:pt idx="7306">
                  <c:v>9.1772333333333331E-3</c:v>
                </c:pt>
                <c:pt idx="7307">
                  <c:v>0.21862500000000001</c:v>
                </c:pt>
                <c:pt idx="7308">
                  <c:v>0.2494851333333333</c:v>
                </c:pt>
                <c:pt idx="7309">
                  <c:v>6.2806333333333339E-2</c:v>
                </c:pt>
                <c:pt idx="7310">
                  <c:v>0.25237146666666666</c:v>
                </c:pt>
                <c:pt idx="7311">
                  <c:v>0.111128</c:v>
                </c:pt>
                <c:pt idx="7312">
                  <c:v>4.3302399999999998E-2</c:v>
                </c:pt>
                <c:pt idx="7313">
                  <c:v>1.9905600000000002E-2</c:v>
                </c:pt>
                <c:pt idx="7314">
                  <c:v>1.22264E-2</c:v>
                </c:pt>
                <c:pt idx="7315">
                  <c:v>6.4506666666666666E-4</c:v>
                </c:pt>
                <c:pt idx="7316">
                  <c:v>3.5632000000000003E-3</c:v>
                </c:pt>
                <c:pt idx="7317">
                  <c:v>4.5569333333333331E-3</c:v>
                </c:pt>
                <c:pt idx="7318">
                  <c:v>6.7181333333333343E-3</c:v>
                </c:pt>
                <c:pt idx="7319">
                  <c:v>7.9296000000000002E-3</c:v>
                </c:pt>
                <c:pt idx="7320">
                  <c:v>1.6473600000000001E-2</c:v>
                </c:pt>
                <c:pt idx="7321">
                  <c:v>3.5380799999999999E-3</c:v>
                </c:pt>
                <c:pt idx="7322">
                  <c:v>5.6906666666666659E-3</c:v>
                </c:pt>
                <c:pt idx="7323">
                  <c:v>2.5847999999999999E-3</c:v>
                </c:pt>
                <c:pt idx="7324">
                  <c:v>1.967E-3</c:v>
                </c:pt>
                <c:pt idx="7325">
                  <c:v>1.0214666666666667E-3</c:v>
                </c:pt>
                <c:pt idx="7326">
                  <c:v>6.3286666666666656E-3</c:v>
                </c:pt>
                <c:pt idx="7327">
                  <c:v>1.5781333333333331E-2</c:v>
                </c:pt>
                <c:pt idx="7328">
                  <c:v>2.2851399999999997E-2</c:v>
                </c:pt>
                <c:pt idx="7329">
                  <c:v>3.765733333333333E-3</c:v>
                </c:pt>
                <c:pt idx="7330">
                  <c:v>1.3753933333333336E-2</c:v>
                </c:pt>
                <c:pt idx="7331">
                  <c:v>1.1700000000000002E-4</c:v>
                </c:pt>
                <c:pt idx="7332">
                  <c:v>2.8825E-2</c:v>
                </c:pt>
                <c:pt idx="7333">
                  <c:v>3.6464000000000002E-3</c:v>
                </c:pt>
                <c:pt idx="7334">
                  <c:v>2.2796800000000002E-2</c:v>
                </c:pt>
                <c:pt idx="7335">
                  <c:v>5.4618666666666673E-3</c:v>
                </c:pt>
                <c:pt idx="7336">
                  <c:v>6.5399333333333318E-3</c:v>
                </c:pt>
                <c:pt idx="7337">
                  <c:v>2.4714666666666666E-2</c:v>
                </c:pt>
                <c:pt idx="7338">
                  <c:v>1.2576666666666668E-2</c:v>
                </c:pt>
                <c:pt idx="7339">
                  <c:v>1.6140666666666668E-2</c:v>
                </c:pt>
                <c:pt idx="7340">
                  <c:v>9.058666666666668E-3</c:v>
                </c:pt>
                <c:pt idx="7341">
                  <c:v>6.3606666666666664E-3</c:v>
                </c:pt>
                <c:pt idx="7342">
                  <c:v>8.1646666666666673E-3</c:v>
                </c:pt>
                <c:pt idx="7343">
                  <c:v>2.4093333333333336E-3</c:v>
                </c:pt>
                <c:pt idx="7344">
                  <c:v>3.9333333333333337E-4</c:v>
                </c:pt>
                <c:pt idx="7345">
                  <c:v>3.0266333333333331E-3</c:v>
                </c:pt>
                <c:pt idx="7346">
                  <c:v>7.7005999999999993E-4</c:v>
                </c:pt>
                <c:pt idx="7347">
                  <c:v>4.3459999999999999E-4</c:v>
                </c:pt>
                <c:pt idx="7348">
                  <c:v>1.1386666666666667E-3</c:v>
                </c:pt>
                <c:pt idx="7349">
                  <c:v>3.5840666666666671E-3</c:v>
                </c:pt>
                <c:pt idx="7350">
                  <c:v>4.0479999999999992E-4</c:v>
                </c:pt>
                <c:pt idx="7351">
                  <c:v>1.7640000000000003E-4</c:v>
                </c:pt>
                <c:pt idx="7352">
                  <c:v>2.9313599999999999E-2</c:v>
                </c:pt>
                <c:pt idx="7353">
                  <c:v>3.6379333333333333E-2</c:v>
                </c:pt>
                <c:pt idx="7354">
                  <c:v>4.1730133333333336E-2</c:v>
                </c:pt>
                <c:pt idx="7355">
                  <c:v>4.1873733333333336E-2</c:v>
                </c:pt>
                <c:pt idx="7356">
                  <c:v>0.14785266666666666</c:v>
                </c:pt>
                <c:pt idx="7357">
                  <c:v>2.3516755582750709E-2</c:v>
                </c:pt>
                <c:pt idx="7358">
                  <c:v>4.3419999999999995E-3</c:v>
                </c:pt>
                <c:pt idx="7359">
                  <c:v>2.844780335333333E-3</c:v>
                </c:pt>
                <c:pt idx="7360">
                  <c:v>9.7975958400000002E-4</c:v>
                </c:pt>
                <c:pt idx="7361">
                  <c:v>6.7131675199999996E-4</c:v>
                </c:pt>
                <c:pt idx="7362">
                  <c:v>4.3544870400000001E-4</c:v>
                </c:pt>
                <c:pt idx="7363">
                  <c:v>1.0054631533333333E-3</c:v>
                </c:pt>
                <c:pt idx="7364">
                  <c:v>1.143052848E-3</c:v>
                </c:pt>
                <c:pt idx="7365">
                  <c:v>7.9378670000000001E-4</c:v>
                </c:pt>
                <c:pt idx="7366">
                  <c:v>5.4884680400000012E-4</c:v>
                </c:pt>
                <c:pt idx="7367">
                  <c:v>8.7089740800000003E-4</c:v>
                </c:pt>
                <c:pt idx="7368">
                  <c:v>4.3544870400000001E-4</c:v>
                </c:pt>
                <c:pt idx="7369">
                  <c:v>5.9874196800000011E-4</c:v>
                </c:pt>
                <c:pt idx="7370">
                  <c:v>8.4670581333333341E-4</c:v>
                </c:pt>
                <c:pt idx="7371">
                  <c:v>2.1696836466666668E-3</c:v>
                </c:pt>
                <c:pt idx="7372">
                  <c:v>4.2335290666666671E-4</c:v>
                </c:pt>
                <c:pt idx="7373">
                  <c:v>1.42881606E-3</c:v>
                </c:pt>
                <c:pt idx="7374">
                  <c:v>1.90508808E-3</c:v>
                </c:pt>
                <c:pt idx="7375">
                  <c:v>3.779936666666667E-3</c:v>
                </c:pt>
                <c:pt idx="7376">
                  <c:v>3.3205987629333342E-2</c:v>
                </c:pt>
                <c:pt idx="7377">
                  <c:v>1.8013666178666666E-2</c:v>
                </c:pt>
                <c:pt idx="7378">
                  <c:v>9.4226261226666667E-3</c:v>
                </c:pt>
                <c:pt idx="7379">
                  <c:v>3.2672260571999998E-2</c:v>
                </c:pt>
                <c:pt idx="7380">
                  <c:v>1.0084871026666668E-2</c:v>
                </c:pt>
                <c:pt idx="7381">
                  <c:v>1.5544611547999999E-2</c:v>
                </c:pt>
                <c:pt idx="7382">
                  <c:v>3.6287392000000007E-3</c:v>
                </c:pt>
                <c:pt idx="7383">
                  <c:v>3.6287392000000007E-3</c:v>
                </c:pt>
                <c:pt idx="7384">
                  <c:v>3.4019430000000002E-3</c:v>
                </c:pt>
                <c:pt idx="7385">
                  <c:v>1.5875734E-3</c:v>
                </c:pt>
                <c:pt idx="7386">
                  <c:v>1.0594406489333337E-2</c:v>
                </c:pt>
                <c:pt idx="7387">
                  <c:v>4.7566723013333341E-3</c:v>
                </c:pt>
                <c:pt idx="7388">
                  <c:v>1.9731269399999997E-3</c:v>
                </c:pt>
                <c:pt idx="7389">
                  <c:v>4.5208042533333341E-3</c:v>
                </c:pt>
                <c:pt idx="7390">
                  <c:v>3.6287392E-4</c:v>
                </c:pt>
                <c:pt idx="7391">
                  <c:v>7.6203523200000004E-4</c:v>
                </c:pt>
                <c:pt idx="7392">
                  <c:v>1.1007175573333335E-3</c:v>
                </c:pt>
                <c:pt idx="7393">
                  <c:v>1.9875209388266667E-2</c:v>
                </c:pt>
                <c:pt idx="7394">
                  <c:v>1.1959719613333334E-2</c:v>
                </c:pt>
                <c:pt idx="7395">
                  <c:v>7.8592443173333346E-3</c:v>
                </c:pt>
                <c:pt idx="7396">
                  <c:v>9.706877359999998E-4</c:v>
                </c:pt>
                <c:pt idx="7397">
                  <c:v>1.4103699690666667E-2</c:v>
                </c:pt>
                <c:pt idx="7398">
                  <c:v>3.3266466615999996E-2</c:v>
                </c:pt>
                <c:pt idx="7399">
                  <c:v>4.7415525546666672E-3</c:v>
                </c:pt>
                <c:pt idx="7400">
                  <c:v>1.0837834410666668E-2</c:v>
                </c:pt>
                <c:pt idx="7401">
                  <c:v>4.3953103559999998E-2</c:v>
                </c:pt>
                <c:pt idx="7402">
                  <c:v>1.0698732741333331E-2</c:v>
                </c:pt>
                <c:pt idx="7403">
                  <c:v>5.1301300439999982E-3</c:v>
                </c:pt>
                <c:pt idx="7404">
                  <c:v>3.0481409279999997E-3</c:v>
                </c:pt>
                <c:pt idx="7405">
                  <c:v>1.0615574134666666E-2</c:v>
                </c:pt>
                <c:pt idx="7406">
                  <c:v>3.3638412384000005E-2</c:v>
                </c:pt>
                <c:pt idx="7407">
                  <c:v>2.8346501050666668E-2</c:v>
                </c:pt>
                <c:pt idx="7408">
                  <c:v>3.49266148E-3</c:v>
                </c:pt>
                <c:pt idx="7409">
                  <c:v>1.3063461120000001E-3</c:v>
                </c:pt>
                <c:pt idx="7410">
                  <c:v>7.4162357400000007E-3</c:v>
                </c:pt>
                <c:pt idx="7411">
                  <c:v>5.3977495600000007E-3</c:v>
                </c:pt>
                <c:pt idx="7412">
                  <c:v>1.1943995076800001E-2</c:v>
                </c:pt>
                <c:pt idx="7413">
                  <c:v>9.6766378666666673E-3</c:v>
                </c:pt>
                <c:pt idx="7414">
                  <c:v>1.6841885811999996E-2</c:v>
                </c:pt>
                <c:pt idx="7415">
                  <c:v>8.5305610693333332E-3</c:v>
                </c:pt>
                <c:pt idx="7416">
                  <c:v>2.3178571639999998E-3</c:v>
                </c:pt>
                <c:pt idx="7417">
                  <c:v>4.5177803039999995E-3</c:v>
                </c:pt>
                <c:pt idx="7418">
                  <c:v>4.2335290666666667E-3</c:v>
                </c:pt>
                <c:pt idx="7419">
                  <c:v>3.53802072E-3</c:v>
                </c:pt>
                <c:pt idx="7420">
                  <c:v>4.4195019506666653E-3</c:v>
                </c:pt>
                <c:pt idx="7421">
                  <c:v>1.2519150239999998E-3</c:v>
                </c:pt>
                <c:pt idx="7422">
                  <c:v>1.5482620586666669E-3</c:v>
                </c:pt>
                <c:pt idx="7423">
                  <c:v>3.2126437717333339E-2</c:v>
                </c:pt>
                <c:pt idx="7424">
                  <c:v>0.29755661439999992</c:v>
                </c:pt>
                <c:pt idx="7425">
                  <c:v>1.5029028186666665E-3</c:v>
                </c:pt>
                <c:pt idx="7426">
                  <c:v>4.7627202000000007E-3</c:v>
                </c:pt>
                <c:pt idx="7427">
                  <c:v>7.4389153599999994E-3</c:v>
                </c:pt>
                <c:pt idx="7428">
                  <c:v>2.1772435200000002E-3</c:v>
                </c:pt>
                <c:pt idx="7429">
                  <c:v>1.2139644598666663E-2</c:v>
                </c:pt>
                <c:pt idx="7430">
                  <c:v>2.4602851775999999E-2</c:v>
                </c:pt>
                <c:pt idx="7431">
                  <c:v>1.4478669408E-2</c:v>
                </c:pt>
                <c:pt idx="7432">
                  <c:v>1.9391075099999999E-2</c:v>
                </c:pt>
                <c:pt idx="7433">
                  <c:v>2.004878408E-2</c:v>
                </c:pt>
                <c:pt idx="7434">
                  <c:v>9.1035994680000003E-3</c:v>
                </c:pt>
                <c:pt idx="7435">
                  <c:v>5.7318959613333323E-3</c:v>
                </c:pt>
                <c:pt idx="7436">
                  <c:v>2.3496086320000001E-3</c:v>
                </c:pt>
                <c:pt idx="7437">
                  <c:v>4.3045918759999999E-3</c:v>
                </c:pt>
                <c:pt idx="7438">
                  <c:v>1.6556122599999997E-3</c:v>
                </c:pt>
                <c:pt idx="7439">
                  <c:v>2.9801020679999994E-3</c:v>
                </c:pt>
                <c:pt idx="7440">
                  <c:v>2.7814285967999997E-2</c:v>
                </c:pt>
                <c:pt idx="7441">
                  <c:v>7.3179573866666674E-3</c:v>
                </c:pt>
                <c:pt idx="7442">
                  <c:v>1.7389220641333334E-2</c:v>
                </c:pt>
                <c:pt idx="7443">
                  <c:v>1.959519168E-3</c:v>
                </c:pt>
                <c:pt idx="7444">
                  <c:v>2.9856963742666668E-2</c:v>
                </c:pt>
                <c:pt idx="7445">
                  <c:v>7.8380766720000002E-3</c:v>
                </c:pt>
                <c:pt idx="7446">
                  <c:v>1.6631721333333335E-2</c:v>
                </c:pt>
                <c:pt idx="7447">
                  <c:v>2.6489796160000002E-3</c:v>
                </c:pt>
                <c:pt idx="7448">
                  <c:v>3.2356257866666656E-3</c:v>
                </c:pt>
                <c:pt idx="7449">
                  <c:v>6.6224490400000006E-4</c:v>
                </c:pt>
                <c:pt idx="7450">
                  <c:v>4.2241548237333323E-2</c:v>
                </c:pt>
                <c:pt idx="7451">
                  <c:v>1.3789208959999999E-2</c:v>
                </c:pt>
                <c:pt idx="7452">
                  <c:v>1.2301425887999999E-2</c:v>
                </c:pt>
                <c:pt idx="7453">
                  <c:v>4.1149902528000007E-2</c:v>
                </c:pt>
                <c:pt idx="7454">
                  <c:v>3.3399520386666666E-2</c:v>
                </c:pt>
                <c:pt idx="7455">
                  <c:v>4.1391818474666657E-2</c:v>
                </c:pt>
                <c:pt idx="7456">
                  <c:v>7.5508014853333345E-3</c:v>
                </c:pt>
                <c:pt idx="7457">
                  <c:v>1.4351663536E-2</c:v>
                </c:pt>
                <c:pt idx="7458">
                  <c:v>2.0502376480000001E-2</c:v>
                </c:pt>
                <c:pt idx="7459">
                  <c:v>3.3094101503999995E-2</c:v>
                </c:pt>
                <c:pt idx="7460">
                  <c:v>1.4031124906666668E-4</c:v>
                </c:pt>
                <c:pt idx="7461">
                  <c:v>9.7159492079999989E-3</c:v>
                </c:pt>
                <c:pt idx="7462">
                  <c:v>9.7975958399999993E-3</c:v>
                </c:pt>
                <c:pt idx="7463">
                  <c:v>4.0823315999999991E-3</c:v>
                </c:pt>
                <c:pt idx="7464">
                  <c:v>4.2909841040000007E-3</c:v>
                </c:pt>
                <c:pt idx="7465">
                  <c:v>1.6208368426666668E-3</c:v>
                </c:pt>
                <c:pt idx="7466">
                  <c:v>5.1890970560000008E-3</c:v>
                </c:pt>
                <c:pt idx="7467">
                  <c:v>6.0327789200000006E-3</c:v>
                </c:pt>
                <c:pt idx="7468">
                  <c:v>1.8234414479999998E-3</c:v>
                </c:pt>
                <c:pt idx="7469">
                  <c:v>2.0819891159999996E-2</c:v>
                </c:pt>
                <c:pt idx="7470">
                  <c:v>1.5966452479999999E-3</c:v>
                </c:pt>
                <c:pt idx="7471">
                  <c:v>1.5966452479999997E-2</c:v>
                </c:pt>
                <c:pt idx="7472">
                  <c:v>2.1590998239999996E-3</c:v>
                </c:pt>
                <c:pt idx="7473">
                  <c:v>3.0916857983999995E-2</c:v>
                </c:pt>
                <c:pt idx="7474">
                  <c:v>2.3700202900000005E-2</c:v>
                </c:pt>
                <c:pt idx="7475">
                  <c:v>1.1539390656000001E-2</c:v>
                </c:pt>
                <c:pt idx="7476">
                  <c:v>6.8011644455999998E-2</c:v>
                </c:pt>
                <c:pt idx="7477">
                  <c:v>0.15558219319999997</c:v>
                </c:pt>
                <c:pt idx="7478">
                  <c:v>2.6126922239999998E-3</c:v>
                </c:pt>
                <c:pt idx="7479">
                  <c:v>1.6450284373333334E-3</c:v>
                </c:pt>
                <c:pt idx="7480">
                  <c:v>1.5504E-2</c:v>
                </c:pt>
                <c:pt idx="7481">
                  <c:v>1.9126666666666662E-3</c:v>
                </c:pt>
                <c:pt idx="7482">
                  <c:v>1.1000000000000001E-3</c:v>
                </c:pt>
                <c:pt idx="7483">
                  <c:v>8.0000000000000004E-4</c:v>
                </c:pt>
                <c:pt idx="7484">
                  <c:v>1.1999999999999999E-3</c:v>
                </c:pt>
                <c:pt idx="7485">
                  <c:v>5.4537999999999996E-2</c:v>
                </c:pt>
                <c:pt idx="7486">
                  <c:v>2.8216600000000001E-2</c:v>
                </c:pt>
                <c:pt idx="7487">
                  <c:v>5.4480600000000004E-2</c:v>
                </c:pt>
                <c:pt idx="7488">
                  <c:v>5.8245333333333338E-3</c:v>
                </c:pt>
                <c:pt idx="7489">
                  <c:v>7.5049333333333324E-3</c:v>
                </c:pt>
                <c:pt idx="7490">
                  <c:v>3.6139333333333329E-3</c:v>
                </c:pt>
                <c:pt idx="7491">
                  <c:v>1.0290000000000002E-3</c:v>
                </c:pt>
                <c:pt idx="7492">
                  <c:v>3.4650000000000002E-4</c:v>
                </c:pt>
                <c:pt idx="7493">
                  <c:v>2.31E-4</c:v>
                </c:pt>
                <c:pt idx="7494">
                  <c:v>5.775E-4</c:v>
                </c:pt>
                <c:pt idx="7495">
                  <c:v>2.6250000000000004E-4</c:v>
                </c:pt>
                <c:pt idx="7496">
                  <c:v>1.155E-4</c:v>
                </c:pt>
                <c:pt idx="7497">
                  <c:v>7.3500000000000011E-5</c:v>
                </c:pt>
                <c:pt idx="7498">
                  <c:v>5.2500000000000002E-5</c:v>
                </c:pt>
                <c:pt idx="7499">
                  <c:v>4.2000000000000004E-5</c:v>
                </c:pt>
                <c:pt idx="7500">
                  <c:v>5.2500000000000002E-5</c:v>
                </c:pt>
                <c:pt idx="7501">
                  <c:v>5.2500000000000002E-5</c:v>
                </c:pt>
                <c:pt idx="7502">
                  <c:v>6.3E-5</c:v>
                </c:pt>
                <c:pt idx="7503">
                  <c:v>1.155E-4</c:v>
                </c:pt>
                <c:pt idx="7504">
                  <c:v>2.1000000000000002E-5</c:v>
                </c:pt>
                <c:pt idx="7505">
                  <c:v>1.0489500000000001E-3</c:v>
                </c:pt>
                <c:pt idx="7506">
                  <c:v>1.575E-3</c:v>
                </c:pt>
                <c:pt idx="7507">
                  <c:v>3.6015000000000005E-3</c:v>
                </c:pt>
                <c:pt idx="7508">
                  <c:v>1.1487000000000001E-3</c:v>
                </c:pt>
                <c:pt idx="7509">
                  <c:v>3.6855000000000004E-4</c:v>
                </c:pt>
                <c:pt idx="7510">
                  <c:v>1.1151000000000002E-3</c:v>
                </c:pt>
                <c:pt idx="7511">
                  <c:v>1.0878000000000001E-3</c:v>
                </c:pt>
                <c:pt idx="7512">
                  <c:v>2.9925000000000004E-4</c:v>
                </c:pt>
                <c:pt idx="7513">
                  <c:v>1.3335000000000002E-4</c:v>
                </c:pt>
                <c:pt idx="7514">
                  <c:v>4.9350000000000007E-5</c:v>
                </c:pt>
                <c:pt idx="7515">
                  <c:v>6.5099999999999997E-5</c:v>
                </c:pt>
                <c:pt idx="7516">
                  <c:v>4.3399999999999998E-4</c:v>
                </c:pt>
                <c:pt idx="7517">
                  <c:v>1.2999999999999999E-3</c:v>
                </c:pt>
                <c:pt idx="7518">
                  <c:v>4.2700000000000002E-4</c:v>
                </c:pt>
                <c:pt idx="7519">
                  <c:v>2.7E-4</c:v>
                </c:pt>
                <c:pt idx="7520">
                  <c:v>1.2999999999999999E-5</c:v>
                </c:pt>
                <c:pt idx="7521">
                  <c:v>1.5E-5</c:v>
                </c:pt>
                <c:pt idx="7522">
                  <c:v>4.6E-5</c:v>
                </c:pt>
                <c:pt idx="7523">
                  <c:v>1.7E-5</c:v>
                </c:pt>
                <c:pt idx="7524">
                  <c:v>1.8799999999999999E-4</c:v>
                </c:pt>
                <c:pt idx="7525">
                  <c:v>2.0999999999999998E-6</c:v>
                </c:pt>
                <c:pt idx="7526">
                  <c:v>6.0800000000000003E-4</c:v>
                </c:pt>
                <c:pt idx="7527">
                  <c:v>1.4400000000000001E-3</c:v>
                </c:pt>
                <c:pt idx="7528">
                  <c:v>1.12E-2</c:v>
                </c:pt>
                <c:pt idx="7529">
                  <c:v>3.6600000000000001E-3</c:v>
                </c:pt>
                <c:pt idx="7530">
                  <c:v>2.8700000000000002E-3</c:v>
                </c:pt>
                <c:pt idx="7531">
                  <c:v>1.5900000000000001E-3</c:v>
                </c:pt>
                <c:pt idx="7532">
                  <c:v>1.5299999999999999E-3</c:v>
                </c:pt>
                <c:pt idx="7533">
                  <c:v>4.8700000000000002E-3</c:v>
                </c:pt>
                <c:pt idx="7534">
                  <c:v>2.7599999999999999E-3</c:v>
                </c:pt>
                <c:pt idx="7535">
                  <c:v>4.1100000000000002E-4</c:v>
                </c:pt>
                <c:pt idx="7536">
                  <c:v>1.17E-3</c:v>
                </c:pt>
                <c:pt idx="7537">
                  <c:v>1.49E-3</c:v>
                </c:pt>
                <c:pt idx="7538">
                  <c:v>4.17E-4</c:v>
                </c:pt>
                <c:pt idx="7539">
                  <c:v>8.8900000000000003E-4</c:v>
                </c:pt>
                <c:pt idx="7540">
                  <c:v>1.7899999999999999E-4</c:v>
                </c:pt>
                <c:pt idx="7541">
                  <c:v>7.4000000000000001E-7</c:v>
                </c:pt>
                <c:pt idx="7542">
                  <c:v>3.3100000000000002E-4</c:v>
                </c:pt>
                <c:pt idx="7543">
                  <c:v>9.3999999999999994E-5</c:v>
                </c:pt>
                <c:pt idx="7544">
                  <c:v>2.9000000000000002E-6</c:v>
                </c:pt>
                <c:pt idx="7545">
                  <c:v>1.7899999999999999E-4</c:v>
                </c:pt>
                <c:pt idx="7546">
                  <c:v>5.6579999999999998E-3</c:v>
                </c:pt>
                <c:pt idx="7547">
                  <c:v>7.0429999999999998E-3</c:v>
                </c:pt>
                <c:pt idx="7548">
                  <c:v>2.009E-2</c:v>
                </c:pt>
                <c:pt idx="7549">
                  <c:v>3.4962E-2</c:v>
                </c:pt>
                <c:pt idx="7550">
                  <c:v>2.2750000000000001E-3</c:v>
                </c:pt>
                <c:pt idx="7551">
                  <c:v>8.4650000000000003E-3</c:v>
                </c:pt>
                <c:pt idx="7552">
                  <c:v>1.3448E-2</c:v>
                </c:pt>
                <c:pt idx="7553">
                  <c:v>9.358E-3</c:v>
                </c:pt>
                <c:pt idx="7554">
                  <c:v>2.771E-3</c:v>
                </c:pt>
                <c:pt idx="7555">
                  <c:v>1.5769999999999999E-2</c:v>
                </c:pt>
                <c:pt idx="7556">
                  <c:v>7.1910000000000003E-3</c:v>
                </c:pt>
                <c:pt idx="7557">
                  <c:v>1.1213000000000001E-2</c:v>
                </c:pt>
                <c:pt idx="7558">
                  <c:v>1.4886E-2</c:v>
                </c:pt>
                <c:pt idx="7559">
                  <c:v>1.207E-3</c:v>
                </c:pt>
                <c:pt idx="7560">
                  <c:v>2.9359999999999998E-3</c:v>
                </c:pt>
                <c:pt idx="7561">
                  <c:v>9.4929999999999997E-3</c:v>
                </c:pt>
                <c:pt idx="7562">
                  <c:v>7.4871999999999994E-2</c:v>
                </c:pt>
                <c:pt idx="7563">
                  <c:v>5.7689999999999998E-3</c:v>
                </c:pt>
                <c:pt idx="7564">
                  <c:v>2.8891E-2</c:v>
                </c:pt>
                <c:pt idx="7565">
                  <c:v>1.2612999999999999E-2</c:v>
                </c:pt>
                <c:pt idx="7566">
                  <c:v>2.9687000000000002E-2</c:v>
                </c:pt>
                <c:pt idx="7567">
                  <c:v>4.0320000000000002E-2</c:v>
                </c:pt>
                <c:pt idx="7568">
                  <c:v>3.9890000000000004E-3</c:v>
                </c:pt>
                <c:pt idx="7569">
                  <c:v>3.15E-3</c:v>
                </c:pt>
                <c:pt idx="7570">
                  <c:v>5.0870000000000004E-3</c:v>
                </c:pt>
                <c:pt idx="7571">
                  <c:v>3.9260999999999997E-2</c:v>
                </c:pt>
                <c:pt idx="7572">
                  <c:v>2.7962000000000001E-2</c:v>
                </c:pt>
                <c:pt idx="7573">
                  <c:v>9.4409999999999997E-3</c:v>
                </c:pt>
                <c:pt idx="7574">
                  <c:v>1.0366E-2</c:v>
                </c:pt>
                <c:pt idx="7575">
                  <c:v>1.3650000000000001E-2</c:v>
                </c:pt>
                <c:pt idx="7576">
                  <c:v>1.9994000000000001E-2</c:v>
                </c:pt>
                <c:pt idx="7577">
                  <c:v>1.3760000000000001E-3</c:v>
                </c:pt>
                <c:pt idx="7578">
                  <c:v>2.2230000000000001E-3</c:v>
                </c:pt>
                <c:pt idx="7579">
                  <c:v>8.8900000000000003E-4</c:v>
                </c:pt>
                <c:pt idx="7580">
                  <c:v>4.2700000000000002E-4</c:v>
                </c:pt>
                <c:pt idx="7581">
                  <c:v>4.62E-3</c:v>
                </c:pt>
                <c:pt idx="7582">
                  <c:v>6.7930000000000004E-3</c:v>
                </c:pt>
                <c:pt idx="7583">
                  <c:v>6.9680000000000002E-3</c:v>
                </c:pt>
                <c:pt idx="7584">
                  <c:v>3.8070000000000001E-3</c:v>
                </c:pt>
                <c:pt idx="7585">
                  <c:v>1.7669999999999999E-3</c:v>
                </c:pt>
                <c:pt idx="7586">
                  <c:v>5.7559999999999998E-3</c:v>
                </c:pt>
                <c:pt idx="7587">
                  <c:v>2.2699999999999999E-3</c:v>
                </c:pt>
                <c:pt idx="7588">
                  <c:v>6.3249999999999999E-3</c:v>
                </c:pt>
                <c:pt idx="7589">
                  <c:v>3.4150000000000001E-3</c:v>
                </c:pt>
                <c:pt idx="7590">
                  <c:v>3.699E-3</c:v>
                </c:pt>
                <c:pt idx="7591">
                  <c:v>3.539E-3</c:v>
                </c:pt>
                <c:pt idx="7592">
                  <c:v>5.3990000000000002E-3</c:v>
                </c:pt>
                <c:pt idx="7593">
                  <c:v>5.3379999999999999E-3</c:v>
                </c:pt>
                <c:pt idx="7594">
                  <c:v>3.1310000000000001E-3</c:v>
                </c:pt>
                <c:pt idx="7595">
                  <c:v>5.7035000000000002E-2</c:v>
                </c:pt>
                <c:pt idx="7596">
                  <c:v>1.3185000000000001E-2</c:v>
                </c:pt>
                <c:pt idx="7597">
                  <c:v>1.5674E-2</c:v>
                </c:pt>
                <c:pt idx="7598">
                  <c:v>2.4480999999999999E-2</c:v>
                </c:pt>
                <c:pt idx="7599">
                  <c:v>4.666E-3</c:v>
                </c:pt>
                <c:pt idx="7600">
                  <c:v>2.2043E-2</c:v>
                </c:pt>
                <c:pt idx="7601">
                  <c:v>7.6249999999999998E-3</c:v>
                </c:pt>
                <c:pt idx="7602">
                  <c:v>6.3489999999999996E-3</c:v>
                </c:pt>
                <c:pt idx="7603">
                  <c:v>1.3008E-2</c:v>
                </c:pt>
                <c:pt idx="7604">
                  <c:v>1.8010000000000002E-2</c:v>
                </c:pt>
                <c:pt idx="7605">
                  <c:v>5.2050000000000004E-3</c:v>
                </c:pt>
                <c:pt idx="7606">
                  <c:v>7.7640000000000001E-3</c:v>
                </c:pt>
                <c:pt idx="7607">
                  <c:v>1.078E-3</c:v>
                </c:pt>
                <c:pt idx="7608">
                  <c:v>2.6459999999999999E-3</c:v>
                </c:pt>
                <c:pt idx="7609">
                  <c:v>1.8339999999999999E-3</c:v>
                </c:pt>
                <c:pt idx="7610">
                  <c:v>1.5167999999999999E-2</c:v>
                </c:pt>
                <c:pt idx="7611">
                  <c:v>5.9389999999999998E-3</c:v>
                </c:pt>
                <c:pt idx="7612">
                  <c:v>4.5209999999999998E-3</c:v>
                </c:pt>
                <c:pt idx="7613">
                  <c:v>7.9600000000000005E-4</c:v>
                </c:pt>
                <c:pt idx="7614">
                  <c:v>9.4499999999999998E-4</c:v>
                </c:pt>
                <c:pt idx="7615">
                  <c:v>7.8299999999999995E-4</c:v>
                </c:pt>
                <c:pt idx="7616">
                  <c:v>3.7199999999999999E-4</c:v>
                </c:pt>
                <c:pt idx="7617">
                  <c:v>1.333E-3</c:v>
                </c:pt>
                <c:pt idx="7618">
                  <c:v>1.5799999999999999E-4</c:v>
                </c:pt>
                <c:pt idx="7619">
                  <c:v>2.5700000000000001E-4</c:v>
                </c:pt>
                <c:pt idx="7620">
                  <c:v>5.71E-4</c:v>
                </c:pt>
                <c:pt idx="7621">
                  <c:v>1.2999999999999999E-4</c:v>
                </c:pt>
                <c:pt idx="7622">
                  <c:v>1.18E-4</c:v>
                </c:pt>
                <c:pt idx="7623">
                  <c:v>5.5999999999999999E-5</c:v>
                </c:pt>
                <c:pt idx="7624">
                  <c:v>4.1E-5</c:v>
                </c:pt>
                <c:pt idx="7625">
                  <c:v>5.1E-5</c:v>
                </c:pt>
                <c:pt idx="7626">
                  <c:v>3.3500000000000001E-4</c:v>
                </c:pt>
                <c:pt idx="7627">
                  <c:v>2.3E-5</c:v>
                </c:pt>
                <c:pt idx="7628">
                  <c:v>4.55E-4</c:v>
                </c:pt>
                <c:pt idx="7629">
                  <c:v>6.6699999999999995E-4</c:v>
                </c:pt>
                <c:pt idx="7630">
                  <c:v>1.5999999999999999E-5</c:v>
                </c:pt>
                <c:pt idx="7631">
                  <c:v>9.6900000000000003E-4</c:v>
                </c:pt>
                <c:pt idx="7632">
                  <c:v>4.8760000000000005E-2</c:v>
                </c:pt>
                <c:pt idx="7633">
                  <c:v>3.2319999999999996E-3</c:v>
                </c:pt>
                <c:pt idx="7634">
                  <c:v>1.54E-2</c:v>
                </c:pt>
                <c:pt idx="7635">
                  <c:v>6.0808000000000008E-2</c:v>
                </c:pt>
                <c:pt idx="7636">
                  <c:v>0.10731200000000002</c:v>
                </c:pt>
                <c:pt idx="7637">
                  <c:v>0.28531200000000001</c:v>
                </c:pt>
                <c:pt idx="7638">
                  <c:v>9.5760000000000012E-2</c:v>
                </c:pt>
                <c:pt idx="7639">
                  <c:v>0.12759999999999999</c:v>
                </c:pt>
                <c:pt idx="7640">
                  <c:v>1.4416E-2</c:v>
                </c:pt>
                <c:pt idx="7641">
                  <c:v>0.22393599999999997</c:v>
                </c:pt>
                <c:pt idx="7642">
                  <c:v>9.8640000000000005E-2</c:v>
                </c:pt>
                <c:pt idx="7643">
                  <c:v>8.0112000000000003E-2</c:v>
                </c:pt>
                <c:pt idx="7644">
                  <c:v>6.992E-3</c:v>
                </c:pt>
                <c:pt idx="7645">
                  <c:v>1.0728E-2</c:v>
                </c:pt>
                <c:pt idx="7646">
                  <c:v>7.5679999999999997E-2</c:v>
                </c:pt>
                <c:pt idx="7647">
                  <c:v>0.68599999999999994</c:v>
                </c:pt>
                <c:pt idx="7648">
                  <c:v>1.82616</c:v>
                </c:pt>
                <c:pt idx="7649">
                  <c:v>1.48288</c:v>
                </c:pt>
                <c:pt idx="7650">
                  <c:v>0.62544</c:v>
                </c:pt>
                <c:pt idx="7651">
                  <c:v>1.1495200000000001</c:v>
                </c:pt>
                <c:pt idx="7652">
                  <c:v>2.57456</c:v>
                </c:pt>
                <c:pt idx="7653">
                  <c:v>8.6720000000000005E-2</c:v>
                </c:pt>
                <c:pt idx="7654">
                  <c:v>0.21</c:v>
                </c:pt>
                <c:pt idx="7655">
                  <c:v>0.13040000000000002</c:v>
                </c:pt>
                <c:pt idx="7656">
                  <c:v>0.15423999999999999</c:v>
                </c:pt>
                <c:pt idx="7657">
                  <c:v>0.21280000000000002</c:v>
                </c:pt>
                <c:pt idx="7658">
                  <c:v>0.25864000000000004</c:v>
                </c:pt>
                <c:pt idx="7659">
                  <c:v>0.21856</c:v>
                </c:pt>
                <c:pt idx="7660">
                  <c:v>0.25648000000000004</c:v>
                </c:pt>
                <c:pt idx="7661">
                  <c:v>0.36831999999999998</c:v>
                </c:pt>
                <c:pt idx="7662">
                  <c:v>0.65832000000000002</c:v>
                </c:pt>
                <c:pt idx="7663">
                  <c:v>0.32223999999999997</c:v>
                </c:pt>
                <c:pt idx="7664">
                  <c:v>0.17480000000000001</c:v>
                </c:pt>
                <c:pt idx="7665">
                  <c:v>7.0480000000000001E-2</c:v>
                </c:pt>
                <c:pt idx="7666">
                  <c:v>4.1919999999999999E-2</c:v>
                </c:pt>
                <c:pt idx="7667">
                  <c:v>8.3999999999999995E-3</c:v>
                </c:pt>
                <c:pt idx="7668">
                  <c:v>5.0400000000000002E-3</c:v>
                </c:pt>
                <c:pt idx="7669">
                  <c:v>1.6800000000000001E-3</c:v>
                </c:pt>
                <c:pt idx="7670">
                  <c:v>1.6800000000000001E-3</c:v>
                </c:pt>
                <c:pt idx="7671">
                  <c:v>5.0400000000000002E-3</c:v>
                </c:pt>
                <c:pt idx="7672">
                  <c:v>1.6800000000000001E-3</c:v>
                </c:pt>
                <c:pt idx="7673">
                  <c:v>1.0320000000000001E-3</c:v>
                </c:pt>
                <c:pt idx="7674">
                  <c:v>6.0068666666666668E-3</c:v>
                </c:pt>
                <c:pt idx="7675">
                  <c:v>1.0920000000000001E-2</c:v>
                </c:pt>
                <c:pt idx="7676">
                  <c:v>7.6479999999999994E-4</c:v>
                </c:pt>
                <c:pt idx="7677">
                  <c:v>2.8500000000000001E-3</c:v>
                </c:pt>
                <c:pt idx="7678">
                  <c:v>9.4723666666666675E-3</c:v>
                </c:pt>
                <c:pt idx="7679">
                  <c:v>1.3495533333333332E-2</c:v>
                </c:pt>
                <c:pt idx="7680">
                  <c:v>4.803899999999999E-3</c:v>
                </c:pt>
                <c:pt idx="7681">
                  <c:v>2.5891666666666667E-3</c:v>
                </c:pt>
                <c:pt idx="7682">
                  <c:v>2.1079800000000003E-2</c:v>
                </c:pt>
                <c:pt idx="7683">
                  <c:v>7.2815333333333338E-3</c:v>
                </c:pt>
                <c:pt idx="7684">
                  <c:v>1.9136E-2</c:v>
                </c:pt>
                <c:pt idx="7685">
                  <c:v>9.3313566666666653E-2</c:v>
                </c:pt>
                <c:pt idx="7686">
                  <c:v>0.11206709999999999</c:v>
                </c:pt>
                <c:pt idx="7687">
                  <c:v>9.4070399999999998E-2</c:v>
                </c:pt>
                <c:pt idx="7688">
                  <c:v>5.7662733333333327E-2</c:v>
                </c:pt>
                <c:pt idx="7689">
                  <c:v>3.1285099999999996E-2</c:v>
                </c:pt>
                <c:pt idx="7690">
                  <c:v>0.34984023333333336</c:v>
                </c:pt>
                <c:pt idx="7691">
                  <c:v>0.3123013</c:v>
                </c:pt>
                <c:pt idx="7692">
                  <c:v>0.27745510000000001</c:v>
                </c:pt>
                <c:pt idx="7693">
                  <c:v>9.8221033333333319E-2</c:v>
                </c:pt>
                <c:pt idx="7694">
                  <c:v>0.54107209999999994</c:v>
                </c:pt>
                <c:pt idx="7695">
                  <c:v>0.21353853333333334</c:v>
                </c:pt>
                <c:pt idx="7696">
                  <c:v>0.49793259999999995</c:v>
                </c:pt>
                <c:pt idx="7697">
                  <c:v>0.27363906666666665</c:v>
                </c:pt>
                <c:pt idx="7698">
                  <c:v>0.28958833333333334</c:v>
                </c:pt>
                <c:pt idx="7699">
                  <c:v>3.8678166666666666E-2</c:v>
                </c:pt>
                <c:pt idx="7700">
                  <c:v>1.3877933333333332E-2</c:v>
                </c:pt>
                <c:pt idx="7701">
                  <c:v>2.2187166666666664E-2</c:v>
                </c:pt>
                <c:pt idx="7702">
                  <c:v>1.9358999999999999E-3</c:v>
                </c:pt>
                <c:pt idx="7703">
                  <c:v>1.8641999999999999E-3</c:v>
                </c:pt>
                <c:pt idx="7704">
                  <c:v>8.2216000000000008E-3</c:v>
                </c:pt>
                <c:pt idx="7705">
                  <c:v>1.8052466666666666E-2</c:v>
                </c:pt>
                <c:pt idx="7706">
                  <c:v>6.0116466666666667E-2</c:v>
                </c:pt>
                <c:pt idx="7707">
                  <c:v>1.3081266666666666E-2</c:v>
                </c:pt>
                <c:pt idx="7708">
                  <c:v>1.07072E-2</c:v>
                </c:pt>
                <c:pt idx="7709">
                  <c:v>2.3262666666666663E-3</c:v>
                </c:pt>
                <c:pt idx="7710">
                  <c:v>1.3017533333333331E-2</c:v>
                </c:pt>
                <c:pt idx="7711">
                  <c:v>1.3599099999999998E-2</c:v>
                </c:pt>
                <c:pt idx="7712">
                  <c:v>1.4339999999999999E-3</c:v>
                </c:pt>
                <c:pt idx="7713">
                  <c:v>3.107E-3</c:v>
                </c:pt>
                <c:pt idx="7714">
                  <c:v>2.7716033333333331E-2</c:v>
                </c:pt>
                <c:pt idx="7715">
                  <c:v>3.3619333333333337E-3</c:v>
                </c:pt>
                <c:pt idx="7716">
                  <c:v>3.05203E-2</c:v>
                </c:pt>
                <c:pt idx="7717">
                  <c:v>1.2985666666666667E-3</c:v>
                </c:pt>
                <c:pt idx="7718">
                  <c:v>1.8323333333333331E-4</c:v>
                </c:pt>
                <c:pt idx="7719">
                  <c:v>6.9309999999999988E-4</c:v>
                </c:pt>
                <c:pt idx="7720">
                  <c:v>5.0986666666666674E-4</c:v>
                </c:pt>
                <c:pt idx="7721">
                  <c:v>1.9916666666666667E-4</c:v>
                </c:pt>
                <c:pt idx="7722">
                  <c:v>1.5136666666666664E-4</c:v>
                </c:pt>
                <c:pt idx="7723">
                  <c:v>2.3103333333333333E-4</c:v>
                </c:pt>
                <c:pt idx="7724">
                  <c:v>2.5849999999999999E-4</c:v>
                </c:pt>
                <c:pt idx="7725">
                  <c:v>1.9458333333333334E-4</c:v>
                </c:pt>
                <c:pt idx="7726">
                  <c:v>2.2466000000000001E-3</c:v>
                </c:pt>
                <c:pt idx="7727">
                  <c:v>5.0986666666666663E-3</c:v>
                </c:pt>
                <c:pt idx="7728">
                  <c:v>4.3020000000000005E-4</c:v>
                </c:pt>
                <c:pt idx="7729">
                  <c:v>4.6686666666666665E-3</c:v>
                </c:pt>
                <c:pt idx="7730">
                  <c:v>1.0054E-3</c:v>
                </c:pt>
                <c:pt idx="7731">
                  <c:v>6.69E-5</c:v>
                </c:pt>
                <c:pt idx="7732">
                  <c:v>9.4564333333333334E-3</c:v>
                </c:pt>
                <c:pt idx="7733">
                  <c:v>5.6324333333333332E-3</c:v>
                </c:pt>
                <c:pt idx="7734">
                  <c:v>6.2713333333333328E-3</c:v>
                </c:pt>
                <c:pt idx="7735">
                  <c:v>2.2070116666666667E-2</c:v>
                </c:pt>
                <c:pt idx="7736">
                  <c:v>4.2401333333333326E-2</c:v>
                </c:pt>
                <c:pt idx="7737">
                  <c:v>2.6171400000000001E-2</c:v>
                </c:pt>
                <c:pt idx="7738">
                  <c:v>1.35779E-2</c:v>
                </c:pt>
                <c:pt idx="7739">
                  <c:v>1.56332E-2</c:v>
                </c:pt>
                <c:pt idx="7740">
                  <c:v>1.3763633333333336E-2</c:v>
                </c:pt>
                <c:pt idx="7741">
                  <c:v>0.44263350000000001</c:v>
                </c:pt>
                <c:pt idx="7742">
                  <c:v>0.199686</c:v>
                </c:pt>
                <c:pt idx="7743">
                  <c:v>0.1522115</c:v>
                </c:pt>
                <c:pt idx="7744">
                  <c:v>0.20578329999999997</c:v>
                </c:pt>
                <c:pt idx="7745">
                  <c:v>0.4843594</c:v>
                </c:pt>
                <c:pt idx="7746">
                  <c:v>0.20196839999999999</c:v>
                </c:pt>
                <c:pt idx="7747">
                  <c:v>0.15951666666666667</c:v>
                </c:pt>
                <c:pt idx="7748">
                  <c:v>0.24760533333333334</c:v>
                </c:pt>
                <c:pt idx="7749">
                  <c:v>0.18790173999999998</c:v>
                </c:pt>
                <c:pt idx="7750">
                  <c:v>0.26194980000000001</c:v>
                </c:pt>
                <c:pt idx="7751">
                  <c:v>0.15931712000000001</c:v>
                </c:pt>
                <c:pt idx="7752">
                  <c:v>9.3578933333333336E-2</c:v>
                </c:pt>
                <c:pt idx="7753">
                  <c:v>7.0855999999999992E-3</c:v>
                </c:pt>
                <c:pt idx="7754">
                  <c:v>3.1280099999999998E-2</c:v>
                </c:pt>
                <c:pt idx="7755">
                  <c:v>2.0595666666666665E-2</c:v>
                </c:pt>
                <c:pt idx="7756">
                  <c:v>1.7367250000000001E-2</c:v>
                </c:pt>
                <c:pt idx="7757">
                  <c:v>3.3931999999999997E-2</c:v>
                </c:pt>
                <c:pt idx="7758">
                  <c:v>2.2867200000000004E-2</c:v>
                </c:pt>
                <c:pt idx="7759">
                  <c:v>5.2191866666666663E-2</c:v>
                </c:pt>
                <c:pt idx="7760">
                  <c:v>5.5009954999999999E-2</c:v>
                </c:pt>
                <c:pt idx="7761">
                  <c:v>0.15384891666666667</c:v>
                </c:pt>
                <c:pt idx="7762">
                  <c:v>7.4957849999999993E-2</c:v>
                </c:pt>
                <c:pt idx="7763">
                  <c:v>6.5890348333333335E-2</c:v>
                </c:pt>
                <c:pt idx="7764">
                  <c:v>1.6422449999999998E-2</c:v>
                </c:pt>
                <c:pt idx="7765">
                  <c:v>0.10569548333333334</c:v>
                </c:pt>
                <c:pt idx="7766">
                  <c:v>9.5757750000000016E-2</c:v>
                </c:pt>
                <c:pt idx="7767">
                  <c:v>0.10400000000000001</c:v>
                </c:pt>
                <c:pt idx="7768">
                  <c:v>9.5812500000000012E-3</c:v>
                </c:pt>
                <c:pt idx="7769">
                  <c:v>1.1885691666666668E-2</c:v>
                </c:pt>
                <c:pt idx="7770">
                  <c:v>6.8949166666666664E-3</c:v>
                </c:pt>
                <c:pt idx="7771">
                  <c:v>2.3198141666666668E-2</c:v>
                </c:pt>
                <c:pt idx="7772">
                  <c:v>1.4468633333333333E-2</c:v>
                </c:pt>
                <c:pt idx="7773">
                  <c:v>8.2294166666666661E-3</c:v>
                </c:pt>
                <c:pt idx="7774">
                  <c:v>5.6198999999999989E-3</c:v>
                </c:pt>
                <c:pt idx="7775">
                  <c:v>1.2375256666666664E-2</c:v>
                </c:pt>
                <c:pt idx="7776">
                  <c:v>3.9798666666666666E-3</c:v>
                </c:pt>
                <c:pt idx="7777">
                  <c:v>6.7496766666666676E-3</c:v>
                </c:pt>
                <c:pt idx="7778">
                  <c:v>2.8550224999999995E-2</c:v>
                </c:pt>
                <c:pt idx="7779">
                  <c:v>5.1112999999999999E-2</c:v>
                </c:pt>
                <c:pt idx="7780">
                  <c:v>1.3239416666666668E-2</c:v>
                </c:pt>
                <c:pt idx="7781">
                  <c:v>1.4858E-3</c:v>
                </c:pt>
                <c:pt idx="7782">
                  <c:v>3.3469480000000003E-2</c:v>
                </c:pt>
                <c:pt idx="7783">
                  <c:v>0.12612101666666664</c:v>
                </c:pt>
                <c:pt idx="7784">
                  <c:v>1.9348549999999999E-2</c:v>
                </c:pt>
                <c:pt idx="7785">
                  <c:v>1.1827833333333334E-2</c:v>
                </c:pt>
                <c:pt idx="7786">
                  <c:v>4.5296333333333334E-2</c:v>
                </c:pt>
                <c:pt idx="7787">
                  <c:v>5.8331000000000001E-2</c:v>
                </c:pt>
                <c:pt idx="7788">
                  <c:v>0.12556349999999999</c:v>
                </c:pt>
                <c:pt idx="7789">
                  <c:v>9.2673000000000005E-2</c:v>
                </c:pt>
                <c:pt idx="7790">
                  <c:v>8.4253499999999995E-2</c:v>
                </c:pt>
                <c:pt idx="7791">
                  <c:v>8.6872499999999991E-2</c:v>
                </c:pt>
                <c:pt idx="7792">
                  <c:v>0.111375</c:v>
                </c:pt>
                <c:pt idx="7793">
                  <c:v>2.1437999999999999E-2</c:v>
                </c:pt>
                <c:pt idx="7794">
                  <c:v>2.4840000000000001E-3</c:v>
                </c:pt>
                <c:pt idx="7795">
                  <c:v>5.5008000000000008E-2</c:v>
                </c:pt>
                <c:pt idx="7796">
                  <c:v>0.10899000000000002</c:v>
                </c:pt>
                <c:pt idx="7797">
                  <c:v>0.23206500000000002</c:v>
                </c:pt>
                <c:pt idx="7798">
                  <c:v>7.4880000000000002E-2</c:v>
                </c:pt>
                <c:pt idx="7799">
                  <c:v>0.19961999999999999</c:v>
                </c:pt>
                <c:pt idx="7800">
                  <c:v>0.3986075</c:v>
                </c:pt>
                <c:pt idx="7801">
                  <c:v>0.186885</c:v>
                </c:pt>
                <c:pt idx="7802">
                  <c:v>0.14373</c:v>
                </c:pt>
                <c:pt idx="7803">
                  <c:v>7.9379999999999992E-2</c:v>
                </c:pt>
                <c:pt idx="7804">
                  <c:v>6.6191666666666673E-3</c:v>
                </c:pt>
                <c:pt idx="7805">
                  <c:v>0.12314</c:v>
                </c:pt>
                <c:pt idx="7806">
                  <c:v>4.0304E-2</c:v>
                </c:pt>
                <c:pt idx="7807">
                  <c:v>0.155892</c:v>
                </c:pt>
                <c:pt idx="7808">
                  <c:v>1.7512E-2</c:v>
                </c:pt>
                <c:pt idx="7809">
                  <c:v>7.4099999999999991E-3</c:v>
                </c:pt>
                <c:pt idx="7810">
                  <c:v>6.8399999999999997E-3</c:v>
                </c:pt>
                <c:pt idx="7811">
                  <c:v>4.5089999999999998E-2</c:v>
                </c:pt>
                <c:pt idx="7812">
                  <c:v>1.7505E-2</c:v>
                </c:pt>
                <c:pt idx="7813">
                  <c:v>5.4911999999999996E-2</c:v>
                </c:pt>
                <c:pt idx="7814">
                  <c:v>2.2019E-2</c:v>
                </c:pt>
                <c:pt idx="7815">
                  <c:v>1.848E-3</c:v>
                </c:pt>
                <c:pt idx="7816">
                  <c:v>1.0515999999999999E-2</c:v>
                </c:pt>
                <c:pt idx="7817">
                  <c:v>9.2400000000000002E-4</c:v>
                </c:pt>
                <c:pt idx="7818">
                  <c:v>1.848E-3</c:v>
                </c:pt>
                <c:pt idx="7819">
                  <c:v>1.848E-3</c:v>
                </c:pt>
                <c:pt idx="7820">
                  <c:v>9.2400000000000002E-4</c:v>
                </c:pt>
                <c:pt idx="7821">
                  <c:v>9.2400000000000002E-4</c:v>
                </c:pt>
                <c:pt idx="7822">
                  <c:v>9.2400000000000002E-4</c:v>
                </c:pt>
                <c:pt idx="7823">
                  <c:v>2.9039999999999999E-3</c:v>
                </c:pt>
                <c:pt idx="7824">
                  <c:v>9.5107333333333335E-3</c:v>
                </c:pt>
                <c:pt idx="7825">
                  <c:v>2.4426666666666666E-2</c:v>
                </c:pt>
                <c:pt idx="7826">
                  <c:v>7.9204666666666656E-3</c:v>
                </c:pt>
                <c:pt idx="7827">
                  <c:v>2.0926319999999998E-2</c:v>
                </c:pt>
                <c:pt idx="7828">
                  <c:v>4.0550151515151511E-2</c:v>
                </c:pt>
                <c:pt idx="7829">
                  <c:v>1.25083E-2</c:v>
                </c:pt>
                <c:pt idx="7830">
                  <c:v>3.1110600000000002E-2</c:v>
                </c:pt>
                <c:pt idx="7831">
                  <c:v>1.3701833333333331E-2</c:v>
                </c:pt>
                <c:pt idx="7832">
                  <c:v>1.036575E-2</c:v>
                </c:pt>
                <c:pt idx="7833">
                  <c:v>2.2749530303030306E-2</c:v>
                </c:pt>
                <c:pt idx="7834">
                  <c:v>5.3715599999999995E-2</c:v>
                </c:pt>
                <c:pt idx="7835">
                  <c:v>3.7331999999999997E-2</c:v>
                </c:pt>
                <c:pt idx="7836">
                  <c:v>0.16232450000000001</c:v>
                </c:pt>
                <c:pt idx="7837">
                  <c:v>9.3559033333333347E-2</c:v>
                </c:pt>
                <c:pt idx="7838">
                  <c:v>6.9416999999999993E-2</c:v>
                </c:pt>
                <c:pt idx="7839">
                  <c:v>4.6511999999999998E-2</c:v>
                </c:pt>
                <c:pt idx="7840">
                  <c:v>3.4006500000000002E-2</c:v>
                </c:pt>
                <c:pt idx="7841">
                  <c:v>3.9712500000000005E-2</c:v>
                </c:pt>
                <c:pt idx="7842">
                  <c:v>1.1535999999999999E-2</c:v>
                </c:pt>
                <c:pt idx="7843">
                  <c:v>3.0627000000000001E-2</c:v>
                </c:pt>
                <c:pt idx="7844">
                  <c:v>1.8287999999999999E-2</c:v>
                </c:pt>
                <c:pt idx="7845">
                  <c:v>0.10543950000000001</c:v>
                </c:pt>
                <c:pt idx="7846">
                  <c:v>7.95825E-2</c:v>
                </c:pt>
                <c:pt idx="7847">
                  <c:v>0.23509799999999997</c:v>
                </c:pt>
                <c:pt idx="7848">
                  <c:v>0.37200150000000004</c:v>
                </c:pt>
                <c:pt idx="7849">
                  <c:v>0.32729399999999997</c:v>
                </c:pt>
                <c:pt idx="7850">
                  <c:v>0.10503899999999999</c:v>
                </c:pt>
                <c:pt idx="7851">
                  <c:v>0.145341</c:v>
                </c:pt>
                <c:pt idx="7852">
                  <c:v>6.4480499999999996E-2</c:v>
                </c:pt>
                <c:pt idx="7853">
                  <c:v>2.2499999999999998E-3</c:v>
                </c:pt>
                <c:pt idx="7854">
                  <c:v>7.145833333333333E-3</c:v>
                </c:pt>
                <c:pt idx="7855">
                  <c:v>1.206E-3</c:v>
                </c:pt>
                <c:pt idx="7856">
                  <c:v>2.9880000000000002E-3</c:v>
                </c:pt>
                <c:pt idx="7857">
                  <c:v>1.1325333333333332E-3</c:v>
                </c:pt>
                <c:pt idx="7858">
                  <c:v>1.4391666666666667E-2</c:v>
                </c:pt>
                <c:pt idx="7859">
                  <c:v>4.5665999999999997E-3</c:v>
                </c:pt>
                <c:pt idx="7860">
                  <c:v>1.8377333333333332E-3</c:v>
                </c:pt>
                <c:pt idx="7861">
                  <c:v>8.9293283333333334E-3</c:v>
                </c:pt>
                <c:pt idx="7862">
                  <c:v>4.3989999999999993E-3</c:v>
                </c:pt>
                <c:pt idx="7863">
                  <c:v>2.9684000000000004E-3</c:v>
                </c:pt>
                <c:pt idx="7864">
                  <c:v>5.845333333333333E-4</c:v>
                </c:pt>
                <c:pt idx="7865">
                  <c:v>8.7500000000000013E-4</c:v>
                </c:pt>
                <c:pt idx="7866">
                  <c:v>3.6543000000000001E-3</c:v>
                </c:pt>
                <c:pt idx="7867">
                  <c:v>4.0035000000000001E-3</c:v>
                </c:pt>
                <c:pt idx="7868">
                  <c:v>1.3090000000000001E-3</c:v>
                </c:pt>
                <c:pt idx="7869">
                  <c:v>1.2387699999999998E-2</c:v>
                </c:pt>
                <c:pt idx="7870">
                  <c:v>8.3598416666666661E-3</c:v>
                </c:pt>
                <c:pt idx="7871">
                  <c:v>1.6934833333333333E-2</c:v>
                </c:pt>
                <c:pt idx="7872">
                  <c:v>3.0353749999999994E-3</c:v>
                </c:pt>
                <c:pt idx="7873">
                  <c:v>5.7296316666666661E-3</c:v>
                </c:pt>
                <c:pt idx="7874">
                  <c:v>4.6816000000000002E-3</c:v>
                </c:pt>
                <c:pt idx="7875">
                  <c:v>5.3074999999999997E-3</c:v>
                </c:pt>
                <c:pt idx="7876">
                  <c:v>1.0615000000000002E-3</c:v>
                </c:pt>
                <c:pt idx="7877">
                  <c:v>1.0314333333333332E-3</c:v>
                </c:pt>
                <c:pt idx="7878">
                  <c:v>1.4722933333333333E-3</c:v>
                </c:pt>
                <c:pt idx="7879">
                  <c:v>5.3763416666666678E-3</c:v>
                </c:pt>
                <c:pt idx="7880">
                  <c:v>2.7486750000000001E-2</c:v>
                </c:pt>
                <c:pt idx="7881">
                  <c:v>8.565333333333333E-4</c:v>
                </c:pt>
                <c:pt idx="7882">
                  <c:v>5.287E-4</c:v>
                </c:pt>
                <c:pt idx="7883">
                  <c:v>1.225E-4</c:v>
                </c:pt>
                <c:pt idx="7884">
                  <c:v>9.0666666666666674E-6</c:v>
                </c:pt>
                <c:pt idx="7885">
                  <c:v>1.8466666666666667E-5</c:v>
                </c:pt>
                <c:pt idx="7886">
                  <c:v>8.6320666666666671E-3</c:v>
                </c:pt>
              </c:numCache>
            </c:numRef>
          </c:yVal>
          <c:smooth val="0"/>
        </c:ser>
        <c:ser>
          <c:idx val="1"/>
          <c:order val="1"/>
          <c:tx>
            <c:v>Hobble Creek 2011</c:v>
          </c:tx>
          <c:spPr>
            <a:ln w="28575">
              <a:noFill/>
            </a:ln>
          </c:spPr>
          <c:xVal>
            <c:numRef>
              <c:f>Sheet2!$F$5:$F$45</c:f>
              <c:numCache>
                <c:formatCode>0.00</c:formatCode>
                <c:ptCount val="41"/>
                <c:pt idx="0">
                  <c:v>15.220387499999999</c:v>
                </c:pt>
                <c:pt idx="1">
                  <c:v>10.19412</c:v>
                </c:pt>
                <c:pt idx="2">
                  <c:v>9.6844140000000003</c:v>
                </c:pt>
                <c:pt idx="3">
                  <c:v>10.024217999999999</c:v>
                </c:pt>
                <c:pt idx="4">
                  <c:v>10.109169</c:v>
                </c:pt>
                <c:pt idx="5">
                  <c:v>9.3729269999999989</c:v>
                </c:pt>
                <c:pt idx="6">
                  <c:v>8.9623305000000002</c:v>
                </c:pt>
                <c:pt idx="7">
                  <c:v>8.3393564999999992</c:v>
                </c:pt>
                <c:pt idx="8">
                  <c:v>6.9942989999999998</c:v>
                </c:pt>
                <c:pt idx="9">
                  <c:v>7.0934084999999998</c:v>
                </c:pt>
                <c:pt idx="10">
                  <c:v>14.094786749999999</c:v>
                </c:pt>
                <c:pt idx="11">
                  <c:v>12.402845999999998</c:v>
                </c:pt>
                <c:pt idx="12">
                  <c:v>14.469987</c:v>
                </c:pt>
                <c:pt idx="13">
                  <c:v>12.261260999999999</c:v>
                </c:pt>
                <c:pt idx="14">
                  <c:v>12.091358999999999</c:v>
                </c:pt>
                <c:pt idx="15">
                  <c:v>11.355117</c:v>
                </c:pt>
                <c:pt idx="16">
                  <c:v>11.836506</c:v>
                </c:pt>
                <c:pt idx="17">
                  <c:v>11.9072985</c:v>
                </c:pt>
                <c:pt idx="18">
                  <c:v>14.838107999999998</c:v>
                </c:pt>
                <c:pt idx="19">
                  <c:v>14.569096499999999</c:v>
                </c:pt>
                <c:pt idx="20">
                  <c:v>14.200975499999998</c:v>
                </c:pt>
                <c:pt idx="21">
                  <c:v>14.5124625</c:v>
                </c:pt>
                <c:pt idx="22">
                  <c:v>10.930361999999999</c:v>
                </c:pt>
                <c:pt idx="23">
                  <c:v>10.618874999999999</c:v>
                </c:pt>
                <c:pt idx="24">
                  <c:v>10.420655999999999</c:v>
                </c:pt>
                <c:pt idx="25">
                  <c:v>11.723237999999998</c:v>
                </c:pt>
                <c:pt idx="26">
                  <c:v>11.8789815</c:v>
                </c:pt>
                <c:pt idx="27">
                  <c:v>11.87190225</c:v>
                </c:pt>
                <c:pt idx="28">
                  <c:v>11.624128499999999</c:v>
                </c:pt>
                <c:pt idx="29">
                  <c:v>12.247102499999999</c:v>
                </c:pt>
                <c:pt idx="30">
                  <c:v>12.048883499999999</c:v>
                </c:pt>
                <c:pt idx="31">
                  <c:v>11.185214999999999</c:v>
                </c:pt>
                <c:pt idx="32">
                  <c:v>11.1144225</c:v>
                </c:pt>
                <c:pt idx="33">
                  <c:v>11.043629999999999</c:v>
                </c:pt>
                <c:pt idx="34">
                  <c:v>10.788777</c:v>
                </c:pt>
                <c:pt idx="35">
                  <c:v>10.448972999999999</c:v>
                </c:pt>
                <c:pt idx="36">
                  <c:v>9.9675839999999987</c:v>
                </c:pt>
                <c:pt idx="37">
                  <c:v>8.2119299999999988</c:v>
                </c:pt>
                <c:pt idx="38">
                  <c:v>7.9499977499999996</c:v>
                </c:pt>
                <c:pt idx="39">
                  <c:v>8.0986619999999991</c:v>
                </c:pt>
                <c:pt idx="40">
                  <c:v>7.8154919999999999</c:v>
                </c:pt>
              </c:numCache>
            </c:numRef>
          </c:xVal>
          <c:yVal>
            <c:numRef>
              <c:f>Sheet2!$H$5:$H$45</c:f>
              <c:numCache>
                <c:formatCode>0.0000</c:formatCode>
                <c:ptCount val="41"/>
                <c:pt idx="0">
                  <c:v>0.77833871639999996</c:v>
                </c:pt>
                <c:pt idx="1">
                  <c:v>4.0614732899999999E-2</c:v>
                </c:pt>
                <c:pt idx="2">
                  <c:v>4.1754014820000004E-2</c:v>
                </c:pt>
                <c:pt idx="3">
                  <c:v>1.6437256920000001E-2</c:v>
                </c:pt>
                <c:pt idx="4">
                  <c:v>4.9142658600000002E-3</c:v>
                </c:pt>
                <c:pt idx="5">
                  <c:v>7.635636539999999E-3</c:v>
                </c:pt>
                <c:pt idx="6">
                  <c:v>8.2348721280000009E-2</c:v>
                </c:pt>
                <c:pt idx="7">
                  <c:v>9.0118980000000021E-5</c:v>
                </c:pt>
                <c:pt idx="8">
                  <c:v>2.2385109600000005E-3</c:v>
                </c:pt>
                <c:pt idx="9">
                  <c:v>1.1036793600000001E-3</c:v>
                </c:pt>
                <c:pt idx="10">
                  <c:v>0.34479258660000006</c:v>
                </c:pt>
                <c:pt idx="11">
                  <c:v>1.0168842127500002</c:v>
                </c:pt>
                <c:pt idx="12">
                  <c:v>0.37126794600000007</c:v>
                </c:pt>
                <c:pt idx="13">
                  <c:v>2.7758871000000004E-3</c:v>
                </c:pt>
                <c:pt idx="14">
                  <c:v>2.7608672700000003E-2</c:v>
                </c:pt>
                <c:pt idx="15">
                  <c:v>5.9066872199999999E-3</c:v>
                </c:pt>
                <c:pt idx="16">
                  <c:v>5.3300362499999997E-3</c:v>
                </c:pt>
                <c:pt idx="17">
                  <c:v>0.33092612437500002</c:v>
                </c:pt>
                <c:pt idx="18">
                  <c:v>0.24242872499999998</c:v>
                </c:pt>
                <c:pt idx="19">
                  <c:v>5.7225552299999996E-2</c:v>
                </c:pt>
                <c:pt idx="20">
                  <c:v>5.4500985000000002E-2</c:v>
                </c:pt>
                <c:pt idx="21">
                  <c:v>6.3038782799999998E-2</c:v>
                </c:pt>
                <c:pt idx="22">
                  <c:v>3.9855815999999995E-2</c:v>
                </c:pt>
                <c:pt idx="23">
                  <c:v>0.10320623775000001</c:v>
                </c:pt>
                <c:pt idx="24">
                  <c:v>2.3666816250000004E-2</c:v>
                </c:pt>
                <c:pt idx="25">
                  <c:v>0.1015748454</c:v>
                </c:pt>
                <c:pt idx="26">
                  <c:v>1.6232658750000004E-2</c:v>
                </c:pt>
                <c:pt idx="27">
                  <c:v>1.6532660655000003E-2</c:v>
                </c:pt>
                <c:pt idx="28">
                  <c:v>3.1248525000000002E-3</c:v>
                </c:pt>
                <c:pt idx="29">
                  <c:v>2.8964166000000004E-3</c:v>
                </c:pt>
                <c:pt idx="30">
                  <c:v>7.6302187499999998E-3</c:v>
                </c:pt>
                <c:pt idx="31">
                  <c:v>1.09867275E-2</c:v>
                </c:pt>
                <c:pt idx="32">
                  <c:v>2.3907345E-2</c:v>
                </c:pt>
                <c:pt idx="33">
                  <c:v>1.46267184E-2</c:v>
                </c:pt>
                <c:pt idx="34">
                  <c:v>2.1826816955999999</c:v>
                </c:pt>
                <c:pt idx="35">
                  <c:v>4.0711156500000002E-3</c:v>
                </c:pt>
                <c:pt idx="36">
                  <c:v>7.8779935499999985E-3</c:v>
                </c:pt>
                <c:pt idx="37">
                  <c:v>1.2693450000000001E-3</c:v>
                </c:pt>
                <c:pt idx="38">
                  <c:v>7.639716E-4</c:v>
                </c:pt>
                <c:pt idx="39">
                  <c:v>6.3491232000000009E-3</c:v>
                </c:pt>
                <c:pt idx="40">
                  <c:v>3.3249562500000003E-4</c:v>
                </c:pt>
              </c:numCache>
            </c:numRef>
          </c:yVal>
          <c:smooth val="0"/>
        </c:ser>
        <c:dLbls>
          <c:showLegendKey val="0"/>
          <c:showVal val="0"/>
          <c:showCatName val="0"/>
          <c:showSerName val="0"/>
          <c:showPercent val="0"/>
          <c:showBubbleSize val="0"/>
        </c:dLbls>
        <c:axId val="100501376"/>
        <c:axId val="100507648"/>
      </c:scatterChart>
      <c:valAx>
        <c:axId val="100501376"/>
        <c:scaling>
          <c:logBase val="10"/>
          <c:orientation val="minMax"/>
        </c:scaling>
        <c:delete val="0"/>
        <c:axPos val="b"/>
        <c:title>
          <c:tx>
            <c:rich>
              <a:bodyPr/>
              <a:lstStyle/>
              <a:p>
                <a:pPr>
                  <a:defRPr/>
                </a:pPr>
                <a:r>
                  <a:rPr lang="en-US"/>
                  <a:t>Discharge, m3/s</a:t>
                </a:r>
              </a:p>
            </c:rich>
          </c:tx>
          <c:overlay val="0"/>
        </c:title>
        <c:numFmt formatCode="0.E+00" sourceLinked="0"/>
        <c:majorTickMark val="out"/>
        <c:minorTickMark val="none"/>
        <c:tickLblPos val="nextTo"/>
        <c:crossAx val="100507648"/>
        <c:crossesAt val="1.0000000000000005E-8"/>
        <c:crossBetween val="midCat"/>
      </c:valAx>
      <c:valAx>
        <c:axId val="100507648"/>
        <c:scaling>
          <c:logBase val="10"/>
          <c:orientation val="minMax"/>
        </c:scaling>
        <c:delete val="0"/>
        <c:axPos val="l"/>
        <c:majorGridlines/>
        <c:title>
          <c:tx>
            <c:rich>
              <a:bodyPr rot="-5400000" vert="horz"/>
              <a:lstStyle/>
              <a:p>
                <a:pPr>
                  <a:defRPr/>
                </a:pPr>
                <a:r>
                  <a:rPr lang="en-US"/>
                  <a:t> Transport Rate, kg/s</a:t>
                </a:r>
              </a:p>
            </c:rich>
          </c:tx>
          <c:overlay val="0"/>
        </c:title>
        <c:numFmt formatCode="0.E+00" sourceLinked="0"/>
        <c:majorTickMark val="out"/>
        <c:minorTickMark val="none"/>
        <c:tickLblPos val="nextTo"/>
        <c:crossAx val="100501376"/>
        <c:crossesAt val="1.0000000000000002E-3"/>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smoothMarker"/>
        <c:varyColors val="0"/>
        <c:ser>
          <c:idx val="0"/>
          <c:order val="0"/>
          <c:tx>
            <c:strRef>
              <c:f>'Hobble Creek'!$N$3</c:f>
              <c:strCache>
                <c:ptCount val="1"/>
                <c:pt idx="0">
                  <c:v>Surface</c:v>
                </c:pt>
              </c:strCache>
            </c:strRef>
          </c:tx>
          <c:spPr>
            <a:ln>
              <a:solidFill>
                <a:schemeClr val="accent2">
                  <a:lumMod val="40000"/>
                  <a:lumOff val="60000"/>
                </a:schemeClr>
              </a:solidFill>
            </a:ln>
          </c:spPr>
          <c:marker>
            <c:spPr>
              <a:solidFill>
                <a:schemeClr val="accent2">
                  <a:lumMod val="40000"/>
                  <a:lumOff val="60000"/>
                </a:schemeClr>
              </a:solidFill>
              <a:ln>
                <a:solidFill>
                  <a:schemeClr val="accent2">
                    <a:lumMod val="40000"/>
                    <a:lumOff val="60000"/>
                  </a:schemeClr>
                </a:solidFill>
              </a:ln>
            </c:spPr>
          </c:marker>
          <c:xVal>
            <c:numRef>
              <c:f>'Hobble Creek'!$N$5:$N$20</c:f>
              <c:numCache>
                <c:formatCode>General</c:formatCode>
                <c:ptCount val="16"/>
                <c:pt idx="0">
                  <c:v>180</c:v>
                </c:pt>
                <c:pt idx="1">
                  <c:v>128</c:v>
                </c:pt>
                <c:pt idx="2">
                  <c:v>90</c:v>
                </c:pt>
                <c:pt idx="3">
                  <c:v>64</c:v>
                </c:pt>
                <c:pt idx="4">
                  <c:v>50.8</c:v>
                </c:pt>
                <c:pt idx="5">
                  <c:v>38.099999999999994</c:v>
                </c:pt>
                <c:pt idx="6">
                  <c:v>19.049999999999997</c:v>
                </c:pt>
                <c:pt idx="7">
                  <c:v>9.5249999999999986</c:v>
                </c:pt>
                <c:pt idx="8">
                  <c:v>4.7497999999999996</c:v>
                </c:pt>
                <c:pt idx="9">
                  <c:v>2.3799800000000002</c:v>
                </c:pt>
                <c:pt idx="10">
                  <c:v>1.1912599999999998</c:v>
                </c:pt>
                <c:pt idx="11">
                  <c:v>0.59436</c:v>
                </c:pt>
                <c:pt idx="12">
                  <c:v>0.29718</c:v>
                </c:pt>
                <c:pt idx="13">
                  <c:v>0.14985999999999999</c:v>
                </c:pt>
                <c:pt idx="14">
                  <c:v>7.3659999999999989E-2</c:v>
                </c:pt>
                <c:pt idx="15">
                  <c:v>0</c:v>
                </c:pt>
              </c:numCache>
            </c:numRef>
          </c:xVal>
          <c:yVal>
            <c:numRef>
              <c:f>'Hobble Creek'!$O$5:$O$20</c:f>
              <c:numCache>
                <c:formatCode>0%</c:formatCode>
                <c:ptCount val="16"/>
                <c:pt idx="0">
                  <c:v>1</c:v>
                </c:pt>
                <c:pt idx="1">
                  <c:v>0.95723413429500992</c:v>
                </c:pt>
                <c:pt idx="2">
                  <c:v>0.79977264709341067</c:v>
                </c:pt>
                <c:pt idx="3">
                  <c:v>0.62865691923745315</c:v>
                </c:pt>
                <c:pt idx="4">
                  <c:v>0.44203154194922456</c:v>
                </c:pt>
                <c:pt idx="5">
                  <c:v>0.31607280519514458</c:v>
                </c:pt>
                <c:pt idx="6">
                  <c:v>0.17651209282270383</c:v>
                </c:pt>
                <c:pt idx="7">
                  <c:v>0.11742646962748082</c:v>
                </c:pt>
                <c:pt idx="8">
                  <c:v>9.4077064795578244E-2</c:v>
                </c:pt>
                <c:pt idx="9">
                  <c:v>8.4185906733043062E-2</c:v>
                </c:pt>
                <c:pt idx="10">
                  <c:v>7.7901036154338521E-2</c:v>
                </c:pt>
                <c:pt idx="11">
                  <c:v>7.1028183920661556E-2</c:v>
                </c:pt>
                <c:pt idx="12">
                  <c:v>5.6916624201324852E-2</c:v>
                </c:pt>
                <c:pt idx="13">
                  <c:v>3.1411286634523625E-2</c:v>
                </c:pt>
                <c:pt idx="14">
                  <c:v>9.1986463355676167E-3</c:v>
                </c:pt>
                <c:pt idx="15">
                  <c:v>0</c:v>
                </c:pt>
              </c:numCache>
            </c:numRef>
          </c:yVal>
          <c:smooth val="1"/>
        </c:ser>
        <c:ser>
          <c:idx val="1"/>
          <c:order val="1"/>
          <c:tx>
            <c:strRef>
              <c:f>'Hobble Creek'!$Q$3</c:f>
              <c:strCache>
                <c:ptCount val="1"/>
                <c:pt idx="0">
                  <c:v>Subsurface</c:v>
                </c:pt>
              </c:strCache>
            </c:strRef>
          </c:tx>
          <c:spPr>
            <a:ln>
              <a:solidFill>
                <a:schemeClr val="accent3">
                  <a:lumMod val="40000"/>
                  <a:lumOff val="60000"/>
                </a:schemeClr>
              </a:solidFill>
            </a:ln>
          </c:spPr>
          <c:marker>
            <c:spPr>
              <a:solidFill>
                <a:schemeClr val="accent3">
                  <a:lumMod val="40000"/>
                  <a:lumOff val="60000"/>
                </a:schemeClr>
              </a:solidFill>
              <a:ln>
                <a:solidFill>
                  <a:schemeClr val="accent3">
                    <a:lumMod val="40000"/>
                    <a:lumOff val="60000"/>
                  </a:schemeClr>
                </a:solidFill>
              </a:ln>
            </c:spPr>
          </c:marker>
          <c:xVal>
            <c:numRef>
              <c:f>'Hobble Creek'!$Q$5:$Q$20</c:f>
              <c:numCache>
                <c:formatCode>General</c:formatCode>
                <c:ptCount val="16"/>
                <c:pt idx="0">
                  <c:v>180</c:v>
                </c:pt>
                <c:pt idx="1">
                  <c:v>128</c:v>
                </c:pt>
                <c:pt idx="2">
                  <c:v>90</c:v>
                </c:pt>
                <c:pt idx="3">
                  <c:v>64</c:v>
                </c:pt>
                <c:pt idx="4">
                  <c:v>50.8</c:v>
                </c:pt>
                <c:pt idx="5">
                  <c:v>38.099999999999994</c:v>
                </c:pt>
                <c:pt idx="6">
                  <c:v>19.049999999999997</c:v>
                </c:pt>
                <c:pt idx="7">
                  <c:v>9.5249999999999986</c:v>
                </c:pt>
                <c:pt idx="8">
                  <c:v>4.7497999999999996</c:v>
                </c:pt>
                <c:pt idx="9">
                  <c:v>2.3799800000000002</c:v>
                </c:pt>
                <c:pt idx="10">
                  <c:v>1.1912599999999998</c:v>
                </c:pt>
                <c:pt idx="11">
                  <c:v>0.59436</c:v>
                </c:pt>
                <c:pt idx="12">
                  <c:v>0.29718</c:v>
                </c:pt>
                <c:pt idx="13">
                  <c:v>0.14985999999999999</c:v>
                </c:pt>
                <c:pt idx="14">
                  <c:v>7.3659999999999989E-2</c:v>
                </c:pt>
                <c:pt idx="15">
                  <c:v>0</c:v>
                </c:pt>
              </c:numCache>
            </c:numRef>
          </c:xVal>
          <c:yVal>
            <c:numRef>
              <c:f>'Hobble Creek'!$R$5:$R$20</c:f>
              <c:numCache>
                <c:formatCode>0%</c:formatCode>
                <c:ptCount val="16"/>
                <c:pt idx="0">
                  <c:v>1</c:v>
                </c:pt>
                <c:pt idx="1">
                  <c:v>1</c:v>
                </c:pt>
                <c:pt idx="2">
                  <c:v>1</c:v>
                </c:pt>
                <c:pt idx="3">
                  <c:v>0.98431977699238382</c:v>
                </c:pt>
                <c:pt idx="4">
                  <c:v>0.88778270031692308</c:v>
                </c:pt>
                <c:pt idx="5">
                  <c:v>0.76146149634128135</c:v>
                </c:pt>
                <c:pt idx="6">
                  <c:v>0.47784027743209384</c:v>
                </c:pt>
                <c:pt idx="7">
                  <c:v>0.30930691755023476</c:v>
                </c:pt>
                <c:pt idx="8">
                  <c:v>0.22128196193605118</c:v>
                </c:pt>
                <c:pt idx="9">
                  <c:v>0.17059087062571548</c:v>
                </c:pt>
                <c:pt idx="10">
                  <c:v>0.14001028755371928</c:v>
                </c:pt>
                <c:pt idx="11">
                  <c:v>0.11744404068561563</c:v>
                </c:pt>
                <c:pt idx="12">
                  <c:v>8.2914364411701122E-2</c:v>
                </c:pt>
                <c:pt idx="13">
                  <c:v>3.7698906532596471E-2</c:v>
                </c:pt>
                <c:pt idx="14">
                  <c:v>9.1924270330362625E-3</c:v>
                </c:pt>
                <c:pt idx="15">
                  <c:v>0</c:v>
                </c:pt>
              </c:numCache>
            </c:numRef>
          </c:yVal>
          <c:smooth val="1"/>
        </c:ser>
        <c:dLbls>
          <c:showLegendKey val="0"/>
          <c:showVal val="0"/>
          <c:showCatName val="0"/>
          <c:showSerName val="0"/>
          <c:showPercent val="0"/>
          <c:showBubbleSize val="0"/>
        </c:dLbls>
        <c:axId val="100721408"/>
        <c:axId val="100723712"/>
      </c:scatterChart>
      <c:valAx>
        <c:axId val="100721408"/>
        <c:scaling>
          <c:logBase val="10"/>
          <c:orientation val="minMax"/>
        </c:scaling>
        <c:delete val="0"/>
        <c:axPos val="b"/>
        <c:majorGridlines/>
        <c:minorGridlines>
          <c:spPr>
            <a:ln>
              <a:prstDash val="dash"/>
            </a:ln>
          </c:spPr>
        </c:minorGridlines>
        <c:title>
          <c:tx>
            <c:rich>
              <a:bodyPr/>
              <a:lstStyle/>
              <a:p>
                <a:pPr>
                  <a:defRPr/>
                </a:pPr>
                <a:r>
                  <a:rPr lang="en-US"/>
                  <a:t>Grain Size (mm)</a:t>
                </a:r>
              </a:p>
            </c:rich>
          </c:tx>
          <c:overlay val="0"/>
        </c:title>
        <c:numFmt formatCode="General" sourceLinked="1"/>
        <c:majorTickMark val="out"/>
        <c:minorTickMark val="none"/>
        <c:tickLblPos val="nextTo"/>
        <c:crossAx val="100723712"/>
        <c:crossesAt val="0"/>
        <c:crossBetween val="midCat"/>
      </c:valAx>
      <c:valAx>
        <c:axId val="100723712"/>
        <c:scaling>
          <c:orientation val="minMax"/>
          <c:max val="1"/>
        </c:scaling>
        <c:delete val="0"/>
        <c:axPos val="l"/>
        <c:majorGridlines>
          <c:spPr>
            <a:ln>
              <a:prstDash val="dash"/>
            </a:ln>
          </c:spPr>
        </c:majorGridlines>
        <c:title>
          <c:tx>
            <c:rich>
              <a:bodyPr rot="-5400000" vert="horz"/>
              <a:lstStyle/>
              <a:p>
                <a:pPr>
                  <a:defRPr/>
                </a:pPr>
                <a:r>
                  <a:rPr lang="en-US"/>
                  <a:t>Percent Passing</a:t>
                </a:r>
              </a:p>
            </c:rich>
          </c:tx>
          <c:layout>
            <c:manualLayout>
              <c:xMode val="edge"/>
              <c:yMode val="edge"/>
              <c:x val="0.91696317477309974"/>
              <c:y val="0.34074035064482727"/>
            </c:manualLayout>
          </c:layout>
          <c:overlay val="0"/>
        </c:title>
        <c:numFmt formatCode="0%" sourceLinked="1"/>
        <c:majorTickMark val="out"/>
        <c:minorTickMark val="none"/>
        <c:tickLblPos val="high"/>
        <c:crossAx val="100721408"/>
        <c:crossesAt val="1000"/>
        <c:crossBetween val="midCat"/>
      </c:valAx>
    </c:plotArea>
    <c:legend>
      <c:legendPos val="r"/>
      <c:layout>
        <c:manualLayout>
          <c:xMode val="edge"/>
          <c:yMode val="edge"/>
          <c:x val="0.89535672531094612"/>
          <c:y val="0.58587597807865222"/>
          <c:w val="8.9207198831809706E-2"/>
          <c:h val="0.10381291046869345"/>
        </c:manualLayout>
      </c:layout>
      <c:overlay val="0"/>
    </c:legend>
    <c:plotVisOnly val="1"/>
    <c:dispBlanksAs val="gap"/>
    <c:showDLblsOverMax val="0"/>
  </c:chart>
  <c:spPr>
    <a:noFill/>
    <a:ln>
      <a:noFill/>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53</xdr:col>
      <xdr:colOff>693965</xdr:colOff>
      <xdr:row>2203</xdr:row>
      <xdr:rowOff>131988</xdr:rowOff>
    </xdr:from>
    <xdr:to>
      <xdr:col>63</xdr:col>
      <xdr:colOff>0</xdr:colOff>
      <xdr:row>2229</xdr:row>
      <xdr:rowOff>68035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680358</xdr:colOff>
      <xdr:row>2230</xdr:row>
      <xdr:rowOff>54429</xdr:rowOff>
    </xdr:from>
    <xdr:to>
      <xdr:col>62</xdr:col>
      <xdr:colOff>1238251</xdr:colOff>
      <xdr:row>2255</xdr:row>
      <xdr:rowOff>167369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816429</xdr:colOff>
      <xdr:row>1432</xdr:row>
      <xdr:rowOff>63953</xdr:rowOff>
    </xdr:from>
    <xdr:to>
      <xdr:col>55</xdr:col>
      <xdr:colOff>68035</xdr:colOff>
      <xdr:row>1458</xdr:row>
      <xdr:rowOff>108857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26</xdr:col>
      <xdr:colOff>22412</xdr:colOff>
      <xdr:row>133</xdr:row>
      <xdr:rowOff>145675</xdr:rowOff>
    </xdr:from>
    <xdr:to>
      <xdr:col>37</xdr:col>
      <xdr:colOff>179294</xdr:colOff>
      <xdr:row>155</xdr:row>
      <xdr:rowOff>11205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89648</xdr:colOff>
      <xdr:row>0</xdr:row>
      <xdr:rowOff>201705</xdr:rowOff>
    </xdr:from>
    <xdr:to>
      <xdr:col>35</xdr:col>
      <xdr:colOff>459441</xdr:colOff>
      <xdr:row>19</xdr:row>
      <xdr:rowOff>56029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0</xdr:colOff>
      <xdr:row>20</xdr:row>
      <xdr:rowOff>0</xdr:rowOff>
    </xdr:from>
    <xdr:to>
      <xdr:col>35</xdr:col>
      <xdr:colOff>369793</xdr:colOff>
      <xdr:row>38</xdr:row>
      <xdr:rowOff>22412</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39</xdr:row>
      <xdr:rowOff>1</xdr:rowOff>
    </xdr:from>
    <xdr:to>
      <xdr:col>35</xdr:col>
      <xdr:colOff>369793</xdr:colOff>
      <xdr:row>55</xdr:row>
      <xdr:rowOff>156884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0</xdr:colOff>
      <xdr:row>56</xdr:row>
      <xdr:rowOff>0</xdr:rowOff>
    </xdr:from>
    <xdr:to>
      <xdr:col>35</xdr:col>
      <xdr:colOff>369793</xdr:colOff>
      <xdr:row>72</xdr:row>
      <xdr:rowOff>156883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75</xdr:row>
      <xdr:rowOff>0</xdr:rowOff>
    </xdr:from>
    <xdr:to>
      <xdr:col>35</xdr:col>
      <xdr:colOff>369793</xdr:colOff>
      <xdr:row>91</xdr:row>
      <xdr:rowOff>156883</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0</xdr:colOff>
      <xdr:row>92</xdr:row>
      <xdr:rowOff>0</xdr:rowOff>
    </xdr:from>
    <xdr:to>
      <xdr:col>35</xdr:col>
      <xdr:colOff>369793</xdr:colOff>
      <xdr:row>109</xdr:row>
      <xdr:rowOff>448983</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26</xdr:col>
      <xdr:colOff>0</xdr:colOff>
      <xdr:row>120</xdr:row>
      <xdr:rowOff>1</xdr:rowOff>
    </xdr:from>
    <xdr:to>
      <xdr:col>35</xdr:col>
      <xdr:colOff>369793</xdr:colOff>
      <xdr:row>133</xdr:row>
      <xdr:rowOff>114301</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19050</xdr:colOff>
      <xdr:row>0</xdr:row>
      <xdr:rowOff>23812</xdr:rowOff>
    </xdr:from>
    <xdr:to>
      <xdr:col>14</xdr:col>
      <xdr:colOff>323850</xdr:colOff>
      <xdr:row>14</xdr:row>
      <xdr:rowOff>100012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9525</xdr:colOff>
      <xdr:row>0</xdr:row>
      <xdr:rowOff>0</xdr:rowOff>
    </xdr:from>
    <xdr:to>
      <xdr:col>25</xdr:col>
      <xdr:colOff>314325</xdr:colOff>
      <xdr:row>14</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19050</xdr:colOff>
      <xdr:row>15</xdr:row>
      <xdr:rowOff>38100</xdr:rowOff>
    </xdr:from>
    <xdr:to>
      <xdr:col>25</xdr:col>
      <xdr:colOff>323850</xdr:colOff>
      <xdr:row>29</xdr:row>
      <xdr:rowOff>114300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31</xdr:row>
      <xdr:rowOff>0</xdr:rowOff>
    </xdr:from>
    <xdr:to>
      <xdr:col>14</xdr:col>
      <xdr:colOff>304800</xdr:colOff>
      <xdr:row>45</xdr:row>
      <xdr:rowOff>76200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9525</xdr:colOff>
      <xdr:row>21</xdr:row>
      <xdr:rowOff>100011</xdr:rowOff>
    </xdr:from>
    <xdr:to>
      <xdr:col>12</xdr:col>
      <xdr:colOff>104775</xdr:colOff>
      <xdr:row>44</xdr:row>
      <xdr:rowOff>142874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AAA_report_regular_files_and_more/Appendix%20%20%203%20%20--%20%20Databases/Bed%20material_database%20%20for%20repor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d material  (0.0625mm)"/>
      <sheetName val="Bed material (0.25mm)"/>
    </sheetNames>
    <sheetDataSet>
      <sheetData sheetId="0"/>
      <sheetData sheetId="1">
        <row r="43">
          <cell r="B43">
            <v>3</v>
          </cell>
          <cell r="C43">
            <v>36066</v>
          </cell>
          <cell r="D43" t="str">
            <v>P</v>
          </cell>
          <cell r="E43">
            <v>1</v>
          </cell>
          <cell r="F43" t="str">
            <v>F</v>
          </cell>
          <cell r="G43">
            <v>29.3</v>
          </cell>
          <cell r="H43">
            <v>20.399999999999999</v>
          </cell>
          <cell r="I43">
            <v>40.200000000000003</v>
          </cell>
          <cell r="J43">
            <v>32.5</v>
          </cell>
          <cell r="K43">
            <v>26.2</v>
          </cell>
          <cell r="L43">
            <v>24.2</v>
          </cell>
          <cell r="M43">
            <v>45.1</v>
          </cell>
          <cell r="N43">
            <v>79.599999999999994</v>
          </cell>
          <cell r="O43">
            <v>138.5</v>
          </cell>
          <cell r="P43">
            <v>189.7</v>
          </cell>
          <cell r="Q43">
            <v>334.2</v>
          </cell>
          <cell r="R43">
            <v>437.2</v>
          </cell>
          <cell r="S43">
            <v>651.9</v>
          </cell>
          <cell r="T43">
            <v>839</v>
          </cell>
          <cell r="U43">
            <v>1424.5</v>
          </cell>
          <cell r="V43">
            <v>2645.9</v>
          </cell>
          <cell r="W43">
            <v>2662.7</v>
          </cell>
          <cell r="X43">
            <v>4472</v>
          </cell>
          <cell r="Y43">
            <v>9720</v>
          </cell>
          <cell r="Z43">
            <v>2826</v>
          </cell>
        </row>
        <row r="44">
          <cell r="B44">
            <v>3</v>
          </cell>
          <cell r="C44">
            <v>36066</v>
          </cell>
          <cell r="D44" t="str">
            <v>S</v>
          </cell>
          <cell r="E44">
            <v>1</v>
          </cell>
          <cell r="F44" t="str">
            <v>F</v>
          </cell>
          <cell r="G44">
            <v>193.3</v>
          </cell>
          <cell r="H44">
            <v>219.6</v>
          </cell>
          <cell r="I44">
            <v>527.29999999999995</v>
          </cell>
          <cell r="J44">
            <v>436.9</v>
          </cell>
          <cell r="K44">
            <v>404.1</v>
          </cell>
          <cell r="L44">
            <v>338.1</v>
          </cell>
          <cell r="M44">
            <v>516.20000000000005</v>
          </cell>
          <cell r="N44">
            <v>833.1</v>
          </cell>
          <cell r="O44">
            <v>1402</v>
          </cell>
          <cell r="P44">
            <v>1725.6</v>
          </cell>
          <cell r="Q44">
            <v>2225.4</v>
          </cell>
          <cell r="R44">
            <v>2427.3000000000002</v>
          </cell>
          <cell r="S44">
            <v>2239</v>
          </cell>
          <cell r="T44">
            <v>2469.3000000000002</v>
          </cell>
          <cell r="U44">
            <v>2880.6</v>
          </cell>
          <cell r="V44">
            <v>3644</v>
          </cell>
          <cell r="W44">
            <v>4584.3999999999996</v>
          </cell>
          <cell r="X44">
            <v>4652</v>
          </cell>
          <cell r="Y44">
            <v>5028</v>
          </cell>
          <cell r="Z44">
            <v>8359</v>
          </cell>
        </row>
        <row r="45">
          <cell r="B45">
            <v>4</v>
          </cell>
          <cell r="C45">
            <v>36066</v>
          </cell>
          <cell r="D45" t="str">
            <v>P</v>
          </cell>
          <cell r="E45">
            <v>2</v>
          </cell>
          <cell r="F45" t="str">
            <v>F</v>
          </cell>
          <cell r="G45">
            <v>188.4</v>
          </cell>
          <cell r="H45">
            <v>151</v>
          </cell>
          <cell r="I45">
            <v>287.3</v>
          </cell>
          <cell r="J45">
            <v>157.30000000000001</v>
          </cell>
          <cell r="K45">
            <v>229</v>
          </cell>
          <cell r="L45">
            <v>234</v>
          </cell>
          <cell r="M45">
            <v>361.7</v>
          </cell>
          <cell r="N45">
            <v>461.8</v>
          </cell>
          <cell r="O45">
            <v>578.9</v>
          </cell>
          <cell r="P45">
            <v>627.70000000000005</v>
          </cell>
          <cell r="Q45">
            <v>946.6</v>
          </cell>
          <cell r="R45">
            <v>1320.9</v>
          </cell>
          <cell r="S45">
            <v>1636.9</v>
          </cell>
          <cell r="T45">
            <v>2320.6</v>
          </cell>
          <cell r="U45">
            <v>2323.5</v>
          </cell>
          <cell r="V45">
            <v>2605.5</v>
          </cell>
          <cell r="W45">
            <v>4777.3</v>
          </cell>
          <cell r="X45">
            <v>8565</v>
          </cell>
          <cell r="Y45">
            <v>5128</v>
          </cell>
          <cell r="Z45">
            <v>7585</v>
          </cell>
        </row>
        <row r="46">
          <cell r="B46">
            <v>4</v>
          </cell>
          <cell r="C46">
            <v>36066</v>
          </cell>
          <cell r="D46" t="str">
            <v>S</v>
          </cell>
          <cell r="E46">
            <v>2</v>
          </cell>
          <cell r="F46" t="str">
            <v>F</v>
          </cell>
          <cell r="G46">
            <v>220.8</v>
          </cell>
          <cell r="H46">
            <v>185.1</v>
          </cell>
          <cell r="I46">
            <v>360.8</v>
          </cell>
          <cell r="J46">
            <v>308.7</v>
          </cell>
          <cell r="K46">
            <v>347.1</v>
          </cell>
          <cell r="L46">
            <v>406.5</v>
          </cell>
          <cell r="M46">
            <v>680.8</v>
          </cell>
          <cell r="N46">
            <v>891.7</v>
          </cell>
          <cell r="O46">
            <v>1146.5</v>
          </cell>
          <cell r="P46">
            <v>1074.7</v>
          </cell>
          <cell r="Q46">
            <v>1358.1</v>
          </cell>
          <cell r="R46">
            <v>1566</v>
          </cell>
          <cell r="S46">
            <v>1629.3</v>
          </cell>
          <cell r="T46">
            <v>1665.3</v>
          </cell>
          <cell r="U46">
            <v>2096</v>
          </cell>
          <cell r="V46">
            <v>1786.4</v>
          </cell>
          <cell r="W46">
            <v>1688.8</v>
          </cell>
          <cell r="X46">
            <v>2090.8000000000002</v>
          </cell>
          <cell r="Y46">
            <v>3316</v>
          </cell>
        </row>
        <row r="47">
          <cell r="B47">
            <v>5</v>
          </cell>
          <cell r="C47">
            <v>36066</v>
          </cell>
          <cell r="D47" t="str">
            <v>P</v>
          </cell>
          <cell r="E47">
            <v>3</v>
          </cell>
          <cell r="F47" t="str">
            <v>N</v>
          </cell>
          <cell r="G47">
            <v>13</v>
          </cell>
          <cell r="H47">
            <v>10.4</v>
          </cell>
          <cell r="I47">
            <v>53.4</v>
          </cell>
          <cell r="J47">
            <v>15.3</v>
          </cell>
          <cell r="K47">
            <v>29.4</v>
          </cell>
          <cell r="L47">
            <v>37.799999999999997</v>
          </cell>
          <cell r="M47">
            <v>70.599999999999994</v>
          </cell>
          <cell r="N47">
            <v>118.4</v>
          </cell>
          <cell r="O47">
            <v>199.5</v>
          </cell>
          <cell r="P47">
            <v>262</v>
          </cell>
          <cell r="Q47">
            <v>402.1</v>
          </cell>
          <cell r="R47">
            <v>510.1</v>
          </cell>
          <cell r="S47">
            <v>882.4</v>
          </cell>
          <cell r="T47">
            <v>810.1</v>
          </cell>
          <cell r="U47">
            <v>1365.6</v>
          </cell>
          <cell r="V47">
            <v>2957.6</v>
          </cell>
          <cell r="W47">
            <v>5060.5</v>
          </cell>
          <cell r="X47">
            <v>6910</v>
          </cell>
          <cell r="Y47">
            <v>4742</v>
          </cell>
        </row>
        <row r="48">
          <cell r="B48">
            <v>5</v>
          </cell>
          <cell r="C48">
            <v>36066</v>
          </cell>
          <cell r="D48" t="str">
            <v>S</v>
          </cell>
          <cell r="E48">
            <v>3</v>
          </cell>
          <cell r="F48" t="str">
            <v>F</v>
          </cell>
          <cell r="G48">
            <v>198.3</v>
          </cell>
          <cell r="H48">
            <v>176.6</v>
          </cell>
          <cell r="I48">
            <v>384.4</v>
          </cell>
          <cell r="J48">
            <v>326.7</v>
          </cell>
          <cell r="K48">
            <v>389.5</v>
          </cell>
          <cell r="L48">
            <v>449.2</v>
          </cell>
          <cell r="M48">
            <v>827</v>
          </cell>
          <cell r="N48">
            <v>1302.0999999999999</v>
          </cell>
          <cell r="O48">
            <v>1954.5</v>
          </cell>
          <cell r="P48">
            <v>2010.9</v>
          </cell>
          <cell r="Q48">
            <v>2378</v>
          </cell>
          <cell r="R48">
            <v>2463.3000000000002</v>
          </cell>
          <cell r="S48">
            <v>2596.5</v>
          </cell>
          <cell r="T48">
            <v>2827.3</v>
          </cell>
          <cell r="U48">
            <v>3003.9</v>
          </cell>
          <cell r="V48">
            <v>3186.6</v>
          </cell>
          <cell r="W48">
            <v>3948.7</v>
          </cell>
          <cell r="X48">
            <v>2693</v>
          </cell>
          <cell r="Y48">
            <v>4543</v>
          </cell>
        </row>
        <row r="49">
          <cell r="B49">
            <v>6</v>
          </cell>
          <cell r="C49">
            <v>36066</v>
          </cell>
          <cell r="D49" t="str">
            <v>P</v>
          </cell>
          <cell r="E49">
            <v>4</v>
          </cell>
          <cell r="F49" t="str">
            <v>F</v>
          </cell>
          <cell r="G49">
            <v>159.30000000000001</v>
          </cell>
          <cell r="H49">
            <v>146.30000000000001</v>
          </cell>
          <cell r="I49">
            <v>319.7</v>
          </cell>
          <cell r="J49">
            <v>234.7</v>
          </cell>
          <cell r="K49">
            <v>355.9</v>
          </cell>
          <cell r="L49">
            <v>403.4</v>
          </cell>
          <cell r="M49">
            <v>696.4</v>
          </cell>
          <cell r="N49">
            <v>907</v>
          </cell>
          <cell r="O49">
            <v>1116.4000000000001</v>
          </cell>
          <cell r="P49">
            <v>1008.1</v>
          </cell>
          <cell r="Q49">
            <v>1200.0999999999999</v>
          </cell>
          <cell r="R49">
            <v>1269</v>
          </cell>
          <cell r="S49">
            <v>1392.2</v>
          </cell>
          <cell r="T49">
            <v>1485.8</v>
          </cell>
          <cell r="U49">
            <v>1260.9000000000001</v>
          </cell>
          <cell r="V49">
            <v>3075.8</v>
          </cell>
          <cell r="W49">
            <v>1406.8</v>
          </cell>
          <cell r="X49">
            <v>4344</v>
          </cell>
          <cell r="Y49">
            <v>11400</v>
          </cell>
          <cell r="Z49">
            <v>2194</v>
          </cell>
        </row>
        <row r="50">
          <cell r="B50">
            <v>6</v>
          </cell>
          <cell r="C50">
            <v>36066</v>
          </cell>
          <cell r="D50" t="str">
            <v>S</v>
          </cell>
          <cell r="E50">
            <v>4</v>
          </cell>
          <cell r="F50" t="str">
            <v>F</v>
          </cell>
          <cell r="G50">
            <v>130.30000000000001</v>
          </cell>
          <cell r="H50">
            <v>141.19999999999999</v>
          </cell>
          <cell r="I50">
            <v>284.10000000000002</v>
          </cell>
          <cell r="J50">
            <v>208.9</v>
          </cell>
          <cell r="K50">
            <v>332.2</v>
          </cell>
          <cell r="L50">
            <v>432.1</v>
          </cell>
          <cell r="M50">
            <v>828.5</v>
          </cell>
          <cell r="N50">
            <v>1121.4000000000001</v>
          </cell>
          <cell r="O50">
            <v>1348.1</v>
          </cell>
          <cell r="P50">
            <v>1190.5</v>
          </cell>
          <cell r="Q50">
            <v>1250</v>
          </cell>
          <cell r="R50">
            <v>1321.7</v>
          </cell>
          <cell r="S50">
            <v>1406.9</v>
          </cell>
          <cell r="T50">
            <v>1530.9</v>
          </cell>
          <cell r="U50">
            <v>1598.8</v>
          </cell>
          <cell r="V50">
            <v>1742.6</v>
          </cell>
          <cell r="W50">
            <v>2515</v>
          </cell>
          <cell r="X50">
            <v>491</v>
          </cell>
          <cell r="Y50">
            <v>1137</v>
          </cell>
        </row>
        <row r="51">
          <cell r="B51">
            <v>7</v>
          </cell>
          <cell r="C51">
            <v>36066</v>
          </cell>
          <cell r="D51" t="str">
            <v>P</v>
          </cell>
          <cell r="E51">
            <v>5</v>
          </cell>
          <cell r="F51" t="str">
            <v>F</v>
          </cell>
          <cell r="G51">
            <v>79.7</v>
          </cell>
          <cell r="H51">
            <v>59.9</v>
          </cell>
          <cell r="I51">
            <v>225.4</v>
          </cell>
          <cell r="J51">
            <v>76.900000000000006</v>
          </cell>
          <cell r="K51">
            <v>79.099999999999994</v>
          </cell>
          <cell r="L51">
            <v>76.900000000000006</v>
          </cell>
          <cell r="M51">
            <v>127.8</v>
          </cell>
          <cell r="N51">
            <v>200.4</v>
          </cell>
          <cell r="O51">
            <v>321.39999999999998</v>
          </cell>
          <cell r="P51">
            <v>373</v>
          </cell>
          <cell r="Q51">
            <v>520.9</v>
          </cell>
          <cell r="R51">
            <v>523.79999999999995</v>
          </cell>
          <cell r="S51">
            <v>759.1</v>
          </cell>
          <cell r="T51">
            <v>931.1</v>
          </cell>
          <cell r="U51">
            <v>829.3</v>
          </cell>
          <cell r="V51">
            <v>1182.5999999999999</v>
          </cell>
          <cell r="W51">
            <v>2659.7</v>
          </cell>
          <cell r="X51">
            <v>8984.7000000000007</v>
          </cell>
          <cell r="Y51">
            <v>5428</v>
          </cell>
          <cell r="Z51">
            <v>3872</v>
          </cell>
          <cell r="AA51">
            <v>0</v>
          </cell>
          <cell r="AB51">
            <v>22700</v>
          </cell>
        </row>
        <row r="52">
          <cell r="B52">
            <v>7</v>
          </cell>
          <cell r="C52">
            <v>36066</v>
          </cell>
          <cell r="D52" t="str">
            <v>S</v>
          </cell>
          <cell r="E52">
            <v>5</v>
          </cell>
          <cell r="F52" t="str">
            <v>F</v>
          </cell>
          <cell r="G52">
            <v>142.19999999999999</v>
          </cell>
          <cell r="H52">
            <v>137</v>
          </cell>
          <cell r="I52">
            <v>264.3</v>
          </cell>
          <cell r="J52">
            <v>205.3</v>
          </cell>
          <cell r="K52">
            <v>192.8</v>
          </cell>
          <cell r="L52">
            <v>217</v>
          </cell>
          <cell r="M52">
            <v>419.8</v>
          </cell>
          <cell r="N52">
            <v>690.6</v>
          </cell>
          <cell r="O52">
            <v>1034</v>
          </cell>
          <cell r="P52">
            <v>1052.5999999999999</v>
          </cell>
          <cell r="Q52">
            <v>1215.8</v>
          </cell>
          <cell r="R52">
            <v>1211.2</v>
          </cell>
          <cell r="S52">
            <v>1296.9000000000001</v>
          </cell>
          <cell r="T52">
            <v>1149.3</v>
          </cell>
          <cell r="U52">
            <v>1255.3</v>
          </cell>
          <cell r="V52">
            <v>1920.3</v>
          </cell>
          <cell r="W52">
            <v>809.4</v>
          </cell>
          <cell r="X52">
            <v>3423.8</v>
          </cell>
        </row>
        <row r="53">
          <cell r="B53">
            <v>8</v>
          </cell>
          <cell r="C53">
            <v>36066</v>
          </cell>
          <cell r="D53" t="str">
            <v>P</v>
          </cell>
          <cell r="E53">
            <v>6</v>
          </cell>
          <cell r="F53" t="str">
            <v>F</v>
          </cell>
          <cell r="G53">
            <v>7.1</v>
          </cell>
          <cell r="H53">
            <v>4.3</v>
          </cell>
          <cell r="I53">
            <v>13.2</v>
          </cell>
          <cell r="J53">
            <v>9.3000000000000007</v>
          </cell>
          <cell r="K53">
            <v>9.4</v>
          </cell>
          <cell r="L53">
            <v>11.8</v>
          </cell>
          <cell r="M53">
            <v>26.9</v>
          </cell>
          <cell r="N53">
            <v>50.2</v>
          </cell>
          <cell r="O53">
            <v>90</v>
          </cell>
          <cell r="P53">
            <v>115.9</v>
          </cell>
          <cell r="Q53">
            <v>169.3</v>
          </cell>
          <cell r="R53">
            <v>299.2</v>
          </cell>
          <cell r="S53">
            <v>466.2</v>
          </cell>
          <cell r="T53">
            <v>771.3</v>
          </cell>
          <cell r="U53">
            <v>1204.8</v>
          </cell>
          <cell r="V53">
            <v>1780</v>
          </cell>
          <cell r="W53">
            <v>3308</v>
          </cell>
          <cell r="X53">
            <v>5142</v>
          </cell>
          <cell r="Y53">
            <v>5494</v>
          </cell>
          <cell r="Z53">
            <v>9580</v>
          </cell>
        </row>
        <row r="54">
          <cell r="B54">
            <v>8</v>
          </cell>
          <cell r="C54">
            <v>36066</v>
          </cell>
          <cell r="D54" t="str">
            <v>S</v>
          </cell>
          <cell r="E54">
            <v>6</v>
          </cell>
          <cell r="F54" t="str">
            <v>F</v>
          </cell>
          <cell r="G54">
            <v>299.2</v>
          </cell>
          <cell r="H54">
            <v>251.5</v>
          </cell>
          <cell r="I54">
            <v>505</v>
          </cell>
          <cell r="J54">
            <v>569.9</v>
          </cell>
          <cell r="K54">
            <v>652</v>
          </cell>
          <cell r="L54">
            <v>811.4</v>
          </cell>
          <cell r="M54">
            <v>1387</v>
          </cell>
          <cell r="N54">
            <v>1918.5</v>
          </cell>
          <cell r="O54">
            <v>2470.8000000000002</v>
          </cell>
          <cell r="P54">
            <v>2462.5</v>
          </cell>
          <cell r="Q54">
            <v>2842.7</v>
          </cell>
          <cell r="R54">
            <v>3223.9</v>
          </cell>
          <cell r="S54">
            <v>3442.6</v>
          </cell>
          <cell r="T54">
            <v>3731</v>
          </cell>
          <cell r="U54">
            <v>3804.9</v>
          </cell>
          <cell r="V54">
            <v>3789.3</v>
          </cell>
          <cell r="W54">
            <v>3872.6</v>
          </cell>
          <cell r="X54">
            <v>3890</v>
          </cell>
          <cell r="Y54">
            <v>827</v>
          </cell>
          <cell r="Z54">
            <v>2874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CC8984"/>
  <sheetViews>
    <sheetView showGridLines="0" tabSelected="1" zoomScale="55" zoomScaleNormal="55" workbookViewId="0">
      <pane xSplit="2775" ySplit="1545" activePane="bottomRight"/>
      <selection activeCell="C4" sqref="A4:XFD4"/>
      <selection pane="topRight" activeCell="N3" sqref="N3"/>
      <selection pane="bottomLeft" activeCell="A8670" sqref="A8670:XFD8696"/>
      <selection pane="bottomRight" activeCell="D5" sqref="D5"/>
    </sheetView>
  </sheetViews>
  <sheetFormatPr defaultColWidth="9.140625" defaultRowHeight="14.25" x14ac:dyDescent="0.2"/>
  <cols>
    <col min="1" max="1" width="40.140625" style="79" customWidth="1"/>
    <col min="2" max="2" width="9.5703125" style="78" customWidth="1"/>
    <col min="3" max="3" width="20.85546875" style="78" customWidth="1"/>
    <col min="4" max="4" width="17.85546875" style="79" customWidth="1"/>
    <col min="5" max="6" width="13" style="80" customWidth="1"/>
    <col min="7" max="7" width="14.42578125" style="78" customWidth="1"/>
    <col min="8" max="8" width="19.140625" style="78" customWidth="1"/>
    <col min="9" max="10" width="19.140625" style="78" hidden="1" customWidth="1"/>
    <col min="11" max="12" width="15.140625" style="78" hidden="1" customWidth="1"/>
    <col min="13" max="13" width="15.140625" style="78" customWidth="1"/>
    <col min="14" max="14" width="17" style="78" customWidth="1"/>
    <col min="15" max="15" width="19.28515625" style="78" customWidth="1"/>
    <col min="16" max="16" width="13.85546875" style="78" customWidth="1"/>
    <col min="17" max="17" width="16.140625" style="78" customWidth="1"/>
    <col min="18" max="18" width="15.28515625" style="78" customWidth="1"/>
    <col min="19" max="19" width="14" style="78" customWidth="1"/>
    <col min="20" max="20" width="13" style="78" customWidth="1"/>
    <col min="21" max="21" width="14" style="78" customWidth="1"/>
    <col min="22" max="25" width="13" style="78" customWidth="1"/>
    <col min="26" max="26" width="13.28515625" style="78" customWidth="1"/>
    <col min="27" max="27" width="13.140625" style="78" customWidth="1"/>
    <col min="28" max="28" width="37.7109375" style="79" customWidth="1"/>
    <col min="29" max="29" width="12" style="79" customWidth="1"/>
    <col min="30" max="30" width="10.5703125" style="79" customWidth="1"/>
    <col min="31" max="31" width="12" style="79" customWidth="1"/>
    <col min="32" max="32" width="18.85546875" style="78" customWidth="1"/>
    <col min="33" max="33" width="13" style="78" customWidth="1"/>
    <col min="34" max="34" width="13" style="351" customWidth="1"/>
    <col min="35" max="36" width="15.5703125" style="78" customWidth="1"/>
    <col min="37" max="37" width="15.42578125" style="78" customWidth="1"/>
    <col min="38" max="38" width="14.42578125" style="79" customWidth="1"/>
    <col min="39" max="39" width="14.28515625" style="79" customWidth="1"/>
    <col min="40" max="40" width="14.42578125" style="79" customWidth="1"/>
    <col min="41" max="41" width="14.140625" style="79" customWidth="1"/>
    <col min="42" max="42" width="14.42578125" style="79" customWidth="1"/>
    <col min="43" max="43" width="14.28515625" style="79" customWidth="1"/>
    <col min="44" max="44" width="14.42578125" style="79" customWidth="1"/>
    <col min="45" max="46" width="15.7109375" style="79" customWidth="1"/>
    <col min="47" max="47" width="11.5703125" style="78" customWidth="1"/>
    <col min="48" max="48" width="15.28515625" style="78" customWidth="1"/>
    <col min="49" max="50" width="12.85546875" style="78" customWidth="1"/>
    <col min="51" max="51" width="12" style="78" customWidth="1"/>
    <col min="52" max="52" width="12.85546875" style="79" customWidth="1"/>
    <col min="53" max="53" width="12.7109375" style="79" customWidth="1"/>
    <col min="54" max="54" width="12.28515625" style="79" customWidth="1"/>
    <col min="55" max="55" width="11" style="79" customWidth="1"/>
    <col min="56" max="56" width="12.140625" style="79" customWidth="1"/>
    <col min="57" max="60" width="14" style="79" customWidth="1"/>
    <col min="61" max="61" width="9.7109375" style="78" customWidth="1"/>
    <col min="62" max="62" width="19.7109375" style="78" customWidth="1"/>
    <col min="63" max="63" width="18.85546875" style="78" customWidth="1"/>
    <col min="64" max="64" width="15.28515625" style="78" customWidth="1"/>
    <col min="65" max="65" width="11.85546875" style="78" customWidth="1"/>
    <col min="66" max="66" width="12.5703125" style="78" customWidth="1"/>
    <col min="67" max="67" width="12.85546875" style="78" customWidth="1"/>
    <col min="68" max="68" width="11.5703125" style="78" customWidth="1"/>
    <col min="69" max="69" width="15.85546875" style="78" customWidth="1"/>
    <col min="70" max="71" width="15" style="78" customWidth="1"/>
    <col min="72" max="72" width="9.140625" style="78" customWidth="1"/>
    <col min="73" max="73" width="16.85546875" style="78" customWidth="1"/>
    <col min="74" max="74" width="17.7109375" style="78" customWidth="1"/>
    <col min="75" max="76" width="11.85546875" style="78" customWidth="1"/>
    <col min="77" max="78" width="17.7109375" style="78" customWidth="1"/>
    <col min="79" max="79" width="50.140625" style="79" customWidth="1"/>
    <col min="80" max="80" width="28.7109375" style="79" customWidth="1"/>
    <col min="81" max="16384" width="9.140625" style="79"/>
  </cols>
  <sheetData>
    <row r="1" spans="1:80" ht="15.75" thickBot="1" x14ac:dyDescent="0.3">
      <c r="A1" s="420"/>
      <c r="B1" s="632"/>
      <c r="C1" s="632"/>
      <c r="D1" s="420"/>
      <c r="E1" s="420"/>
      <c r="F1" s="420"/>
      <c r="G1" s="420"/>
      <c r="H1" s="420"/>
      <c r="I1" s="420"/>
      <c r="J1" s="420"/>
      <c r="K1" s="420"/>
      <c r="L1" s="632"/>
      <c r="M1" s="633" t="s">
        <v>696</v>
      </c>
      <c r="N1" s="575"/>
      <c r="O1" s="575"/>
      <c r="P1" s="421"/>
      <c r="Q1" s="421"/>
      <c r="R1" s="421"/>
      <c r="S1" s="421"/>
      <c r="T1" s="421"/>
      <c r="U1" s="421"/>
      <c r="V1" s="421"/>
      <c r="W1" s="421"/>
      <c r="X1" s="421"/>
      <c r="Y1" s="421"/>
      <c r="Z1" s="421"/>
      <c r="AA1" s="421"/>
      <c r="AB1" s="421"/>
      <c r="AC1" s="482" t="s">
        <v>624</v>
      </c>
      <c r="AD1" s="422"/>
      <c r="AE1" s="422"/>
      <c r="AF1" s="422"/>
      <c r="AG1" s="422"/>
      <c r="AH1" s="422"/>
      <c r="AI1" s="483" t="s">
        <v>396</v>
      </c>
      <c r="AJ1" s="423"/>
      <c r="AK1" s="423"/>
      <c r="AL1" s="423"/>
      <c r="AM1" s="423"/>
      <c r="AN1" s="423"/>
      <c r="AO1" s="423"/>
      <c r="AP1" s="423"/>
      <c r="AQ1" s="423"/>
      <c r="AR1" s="423"/>
      <c r="AS1" s="423"/>
      <c r="AT1" s="423"/>
      <c r="AU1" s="423"/>
      <c r="AV1" s="423"/>
      <c r="AW1" s="423"/>
      <c r="AX1" s="423"/>
      <c r="AY1" s="423"/>
      <c r="AZ1" s="423"/>
      <c r="BA1" s="423"/>
      <c r="BB1" s="423"/>
      <c r="BC1" s="423"/>
      <c r="BD1" s="423"/>
      <c r="BE1" s="423"/>
      <c r="BF1" s="423"/>
      <c r="BG1" s="423"/>
      <c r="BH1" s="423"/>
      <c r="BI1" s="423"/>
      <c r="BJ1" s="423"/>
      <c r="BK1" s="423"/>
      <c r="BL1" s="484" t="s">
        <v>397</v>
      </c>
      <c r="BM1" s="426"/>
      <c r="BN1" s="426"/>
      <c r="BO1" s="426"/>
      <c r="BP1" s="426"/>
      <c r="BQ1" s="426"/>
      <c r="BR1" s="373" t="s">
        <v>399</v>
      </c>
      <c r="BS1" s="373"/>
      <c r="BT1" s="373"/>
      <c r="BU1" s="373"/>
      <c r="BV1" s="373"/>
      <c r="BW1" s="373"/>
      <c r="BX1" s="373"/>
      <c r="BY1" s="373"/>
      <c r="BZ1" s="374"/>
      <c r="CA1" s="418"/>
      <c r="CB1" s="419"/>
    </row>
    <row r="2" spans="1:80" s="82" customFormat="1" ht="60.75" thickTop="1" x14ac:dyDescent="0.25">
      <c r="A2" s="362" t="s">
        <v>1</v>
      </c>
      <c r="B2" s="635" t="s">
        <v>251</v>
      </c>
      <c r="C2" s="635" t="s">
        <v>582</v>
      </c>
      <c r="D2" s="362" t="s">
        <v>981</v>
      </c>
      <c r="E2" s="364" t="s">
        <v>63</v>
      </c>
      <c r="F2" s="364" t="s">
        <v>401</v>
      </c>
      <c r="G2" s="363" t="s">
        <v>2</v>
      </c>
      <c r="H2" s="363" t="s">
        <v>3</v>
      </c>
      <c r="I2" s="363" t="s">
        <v>249</v>
      </c>
      <c r="J2" s="363" t="s">
        <v>250</v>
      </c>
      <c r="K2" s="363" t="s">
        <v>252</v>
      </c>
      <c r="L2" s="635" t="s">
        <v>697</v>
      </c>
      <c r="M2" s="636" t="s">
        <v>698</v>
      </c>
      <c r="N2" s="576" t="s">
        <v>69</v>
      </c>
      <c r="O2" s="576" t="s">
        <v>26</v>
      </c>
      <c r="P2" s="355" t="s">
        <v>553</v>
      </c>
      <c r="Q2" s="355" t="s">
        <v>566</v>
      </c>
      <c r="R2" s="355" t="s">
        <v>565</v>
      </c>
      <c r="S2" s="355" t="s">
        <v>564</v>
      </c>
      <c r="T2" s="355" t="s">
        <v>563</v>
      </c>
      <c r="U2" s="355" t="s">
        <v>562</v>
      </c>
      <c r="V2" s="355" t="s">
        <v>661</v>
      </c>
      <c r="W2" s="355" t="s">
        <v>662</v>
      </c>
      <c r="X2" s="355" t="s">
        <v>663</v>
      </c>
      <c r="Y2" s="355" t="s">
        <v>668</v>
      </c>
      <c r="Z2" s="355" t="s">
        <v>37</v>
      </c>
      <c r="AA2" s="355" t="s">
        <v>97</v>
      </c>
      <c r="AB2" s="355" t="s">
        <v>38</v>
      </c>
      <c r="AC2" s="357" t="s">
        <v>4</v>
      </c>
      <c r="AD2" s="357" t="s">
        <v>24</v>
      </c>
      <c r="AE2" s="357" t="s">
        <v>25</v>
      </c>
      <c r="AF2" s="357" t="s">
        <v>36</v>
      </c>
      <c r="AG2" s="357" t="s">
        <v>30</v>
      </c>
      <c r="AH2" s="368" t="s">
        <v>248</v>
      </c>
      <c r="AI2" s="13" t="s">
        <v>5</v>
      </c>
      <c r="AJ2" s="13" t="s">
        <v>623</v>
      </c>
      <c r="AK2" s="13" t="s">
        <v>263</v>
      </c>
      <c r="AL2" s="13" t="s">
        <v>264</v>
      </c>
      <c r="AM2" s="13" t="s">
        <v>265</v>
      </c>
      <c r="AN2" s="13" t="s">
        <v>266</v>
      </c>
      <c r="AO2" s="13" t="s">
        <v>267</v>
      </c>
      <c r="AP2" s="13" t="s">
        <v>268</v>
      </c>
      <c r="AQ2" s="13" t="s">
        <v>269</v>
      </c>
      <c r="AR2" s="13" t="s">
        <v>685</v>
      </c>
      <c r="AS2" s="13" t="s">
        <v>683</v>
      </c>
      <c r="AT2" s="13" t="s">
        <v>684</v>
      </c>
      <c r="AU2" s="13" t="s">
        <v>6</v>
      </c>
      <c r="AV2" s="13" t="s">
        <v>622</v>
      </c>
      <c r="AW2" s="13" t="s">
        <v>621</v>
      </c>
      <c r="AX2" s="13" t="s">
        <v>577</v>
      </c>
      <c r="AY2" s="13" t="s">
        <v>256</v>
      </c>
      <c r="AZ2" s="13" t="s">
        <v>257</v>
      </c>
      <c r="BA2" s="13" t="s">
        <v>258</v>
      </c>
      <c r="BB2" s="13" t="s">
        <v>259</v>
      </c>
      <c r="BC2" s="13" t="s">
        <v>260</v>
      </c>
      <c r="BD2" s="13" t="s">
        <v>261</v>
      </c>
      <c r="BE2" s="13" t="s">
        <v>262</v>
      </c>
      <c r="BF2" s="13" t="s">
        <v>686</v>
      </c>
      <c r="BG2" s="13" t="s">
        <v>687</v>
      </c>
      <c r="BH2" s="13" t="s">
        <v>688</v>
      </c>
      <c r="BI2" s="13" t="s">
        <v>7</v>
      </c>
      <c r="BJ2" s="424" t="s">
        <v>8</v>
      </c>
      <c r="BK2" s="425"/>
      <c r="BL2" s="370" t="s">
        <v>42</v>
      </c>
      <c r="BM2" s="370" t="s">
        <v>9</v>
      </c>
      <c r="BN2" s="354" t="s">
        <v>10</v>
      </c>
      <c r="BO2" s="354" t="s">
        <v>11</v>
      </c>
      <c r="BP2" s="354" t="s">
        <v>12</v>
      </c>
      <c r="BQ2" s="354" t="s">
        <v>13</v>
      </c>
      <c r="BR2" s="360" t="s">
        <v>400</v>
      </c>
      <c r="BS2" s="360" t="s">
        <v>247</v>
      </c>
      <c r="BT2" s="360" t="s">
        <v>14</v>
      </c>
      <c r="BU2" s="360" t="s">
        <v>15</v>
      </c>
      <c r="BV2" s="360" t="s">
        <v>16</v>
      </c>
      <c r="BW2" s="360" t="s">
        <v>17</v>
      </c>
      <c r="BX2" s="360" t="s">
        <v>18</v>
      </c>
      <c r="BY2" s="360" t="s">
        <v>0</v>
      </c>
      <c r="BZ2" s="360" t="s">
        <v>398</v>
      </c>
      <c r="CA2" s="371" t="s">
        <v>32</v>
      </c>
      <c r="CB2" s="371" t="s">
        <v>223</v>
      </c>
    </row>
    <row r="3" spans="1:80" ht="18" thickBot="1" x14ac:dyDescent="0.3">
      <c r="A3" s="365"/>
      <c r="B3" s="637"/>
      <c r="C3" s="856" t="s">
        <v>987</v>
      </c>
      <c r="D3" s="365"/>
      <c r="E3" s="367" t="s">
        <v>64</v>
      </c>
      <c r="F3" s="367"/>
      <c r="G3" s="366" t="s">
        <v>19</v>
      </c>
      <c r="H3" s="366"/>
      <c r="I3" s="366"/>
      <c r="J3" s="366"/>
      <c r="K3" s="366"/>
      <c r="L3" s="637"/>
      <c r="M3" s="638"/>
      <c r="N3" s="577" t="s">
        <v>614</v>
      </c>
      <c r="O3" s="577" t="s">
        <v>27</v>
      </c>
      <c r="P3" s="356" t="s">
        <v>90</v>
      </c>
      <c r="Q3" s="638" t="s">
        <v>90</v>
      </c>
      <c r="R3" s="638" t="s">
        <v>90</v>
      </c>
      <c r="S3" s="638" t="s">
        <v>90</v>
      </c>
      <c r="T3" s="638" t="s">
        <v>90</v>
      </c>
      <c r="U3" s="638" t="s">
        <v>90</v>
      </c>
      <c r="V3" s="356"/>
      <c r="W3" s="356"/>
      <c r="X3" s="356"/>
      <c r="Y3" s="356"/>
      <c r="Z3" s="356" t="s">
        <v>20</v>
      </c>
      <c r="AA3" s="356" t="s">
        <v>20</v>
      </c>
      <c r="AB3" s="356"/>
      <c r="AC3" s="358" t="s">
        <v>35</v>
      </c>
      <c r="AD3" s="358" t="s">
        <v>28</v>
      </c>
      <c r="AE3" s="358" t="s">
        <v>28</v>
      </c>
      <c r="AF3" s="358" t="s">
        <v>48</v>
      </c>
      <c r="AG3" s="358" t="s">
        <v>31</v>
      </c>
      <c r="AH3" s="369"/>
      <c r="AI3" s="1" t="s">
        <v>20</v>
      </c>
      <c r="AJ3" s="1" t="s">
        <v>64</v>
      </c>
      <c r="AK3" s="1" t="s">
        <v>64</v>
      </c>
      <c r="AL3" s="1" t="s">
        <v>64</v>
      </c>
      <c r="AM3" s="1" t="s">
        <v>64</v>
      </c>
      <c r="AN3" s="1" t="s">
        <v>64</v>
      </c>
      <c r="AO3" s="1" t="s">
        <v>64</v>
      </c>
      <c r="AP3" s="1" t="s">
        <v>64</v>
      </c>
      <c r="AQ3" s="1" t="s">
        <v>64</v>
      </c>
      <c r="AR3" s="1" t="s">
        <v>64</v>
      </c>
      <c r="AS3" s="1" t="s">
        <v>64</v>
      </c>
      <c r="AT3" s="1" t="s">
        <v>64</v>
      </c>
      <c r="AU3" s="1" t="s">
        <v>20</v>
      </c>
      <c r="AV3" s="1" t="s">
        <v>64</v>
      </c>
      <c r="AW3" s="1" t="s">
        <v>64</v>
      </c>
      <c r="AX3" s="1" t="s">
        <v>64</v>
      </c>
      <c r="AY3" s="1" t="s">
        <v>90</v>
      </c>
      <c r="AZ3" s="1" t="s">
        <v>90</v>
      </c>
      <c r="BA3" s="1" t="s">
        <v>90</v>
      </c>
      <c r="BB3" s="1" t="s">
        <v>90</v>
      </c>
      <c r="BC3" s="1" t="s">
        <v>90</v>
      </c>
      <c r="BD3" s="1" t="s">
        <v>90</v>
      </c>
      <c r="BE3" s="1" t="s">
        <v>90</v>
      </c>
      <c r="BF3" s="1" t="s">
        <v>90</v>
      </c>
      <c r="BG3" s="1" t="s">
        <v>90</v>
      </c>
      <c r="BH3" s="1" t="s">
        <v>90</v>
      </c>
      <c r="BI3" s="1" t="s">
        <v>29</v>
      </c>
      <c r="BJ3" s="1" t="s">
        <v>21</v>
      </c>
      <c r="BK3" s="1" t="s">
        <v>22</v>
      </c>
      <c r="BL3" s="359" t="s">
        <v>614</v>
      </c>
      <c r="BM3" s="359" t="s">
        <v>614</v>
      </c>
      <c r="BN3" s="359" t="s">
        <v>28</v>
      </c>
      <c r="BO3" s="359" t="s">
        <v>28</v>
      </c>
      <c r="BP3" s="359" t="s">
        <v>48</v>
      </c>
      <c r="BQ3" s="359" t="s">
        <v>35</v>
      </c>
      <c r="BR3" s="361"/>
      <c r="BS3" s="361"/>
      <c r="BT3" s="361" t="s">
        <v>28</v>
      </c>
      <c r="BU3" s="361" t="s">
        <v>28</v>
      </c>
      <c r="BV3" s="361" t="s">
        <v>35</v>
      </c>
      <c r="BW3" s="361" t="s">
        <v>35</v>
      </c>
      <c r="BX3" s="361" t="s">
        <v>23</v>
      </c>
      <c r="BY3" s="361"/>
      <c r="BZ3" s="361"/>
      <c r="CA3" s="372"/>
      <c r="CB3" s="372"/>
    </row>
    <row r="4" spans="1:80" ht="15.75" thickTop="1" x14ac:dyDescent="0.25">
      <c r="A4" s="9" t="s">
        <v>33</v>
      </c>
      <c r="B4" s="639" t="s">
        <v>34</v>
      </c>
      <c r="C4" s="639"/>
      <c r="D4" s="4">
        <f>VLOOKUP(E4,'Quality Code'!D4:E24,2,TRUE)*VLOOKUP(MROUND(F4,10),'Quality Code'!D28:E69,2,TRUE)*VLOOKUP(4,'Quality Code'!D73:E93,2,TRUE)</f>
        <v>4</v>
      </c>
      <c r="E4" s="14">
        <v>0.8</v>
      </c>
      <c r="F4" s="18">
        <v>109</v>
      </c>
      <c r="G4" s="12">
        <v>8.0299999999999994</v>
      </c>
      <c r="H4" s="2" t="s">
        <v>231</v>
      </c>
      <c r="I4" s="2" t="s">
        <v>278</v>
      </c>
      <c r="J4" s="2" t="s">
        <v>281</v>
      </c>
      <c r="K4" s="2">
        <v>1</v>
      </c>
      <c r="L4" s="639" t="s">
        <v>699</v>
      </c>
      <c r="M4" s="640" t="s">
        <v>700</v>
      </c>
      <c r="N4" s="579" t="s">
        <v>254</v>
      </c>
      <c r="O4" s="579"/>
      <c r="P4" s="11"/>
      <c r="Q4" s="11"/>
      <c r="R4" s="11"/>
      <c r="S4" s="11"/>
      <c r="T4" s="11"/>
      <c r="U4" s="11"/>
      <c r="V4" s="11"/>
      <c r="W4" s="711"/>
      <c r="X4" s="711"/>
      <c r="Y4" s="711"/>
      <c r="Z4" s="11"/>
      <c r="AA4" s="11"/>
      <c r="AB4" s="11"/>
      <c r="AC4" s="85">
        <v>5.5E-2</v>
      </c>
      <c r="AD4" s="26"/>
      <c r="AE4" s="26"/>
      <c r="AF4" s="26"/>
      <c r="AG4" s="26"/>
      <c r="AH4" s="330"/>
      <c r="AI4" s="123">
        <f>AU4/BI4</f>
        <v>13.076923076923077</v>
      </c>
      <c r="AJ4" s="123"/>
      <c r="AK4" s="161"/>
      <c r="AL4" s="17"/>
      <c r="AM4" s="17"/>
      <c r="AN4" s="17"/>
      <c r="AO4" s="17"/>
      <c r="AP4" s="17"/>
      <c r="AQ4" s="17"/>
      <c r="AR4" s="17"/>
      <c r="AS4" s="17"/>
      <c r="AT4" s="17"/>
      <c r="AU4" s="18">
        <v>51</v>
      </c>
      <c r="AV4" s="125">
        <v>1</v>
      </c>
      <c r="AW4" s="125">
        <v>1</v>
      </c>
      <c r="AX4" s="125">
        <v>0.95</v>
      </c>
      <c r="AY4" s="125">
        <v>0.81</v>
      </c>
      <c r="AZ4" s="125">
        <v>0.58299999999999996</v>
      </c>
      <c r="BA4" s="125">
        <v>0.36</v>
      </c>
      <c r="BB4" s="125">
        <v>0.19</v>
      </c>
      <c r="BC4" s="125">
        <v>0.08</v>
      </c>
      <c r="BD4" s="125">
        <v>0.04</v>
      </c>
      <c r="BE4" s="125">
        <v>0.03</v>
      </c>
      <c r="BF4" s="125"/>
      <c r="BG4" s="125"/>
      <c r="BH4" s="125"/>
      <c r="BI4" s="4">
        <v>3.9</v>
      </c>
      <c r="BJ4" s="2"/>
      <c r="BK4" s="2" t="s">
        <v>55</v>
      </c>
      <c r="BL4" s="12">
        <v>0.86</v>
      </c>
      <c r="BM4" s="12"/>
      <c r="BN4" s="12">
        <v>3</v>
      </c>
      <c r="BO4" s="12">
        <v>0.3</v>
      </c>
      <c r="BP4" s="12">
        <f>BO4*BN4</f>
        <v>0.89999999999999991</v>
      </c>
      <c r="BQ4" s="12">
        <f>BN4/BO4</f>
        <v>10</v>
      </c>
      <c r="BR4" s="12" t="s">
        <v>275</v>
      </c>
      <c r="BS4" s="18">
        <v>2</v>
      </c>
      <c r="BT4" s="12"/>
      <c r="BU4" s="2"/>
      <c r="BV4" s="2"/>
      <c r="BW4" s="2"/>
      <c r="BX4" s="2"/>
      <c r="BY4" s="2"/>
      <c r="BZ4" s="2"/>
      <c r="CA4" s="9"/>
      <c r="CB4" s="122" t="s">
        <v>626</v>
      </c>
    </row>
    <row r="5" spans="1:80" s="83" customFormat="1" x14ac:dyDescent="0.2">
      <c r="A5" s="167"/>
      <c r="B5" s="642"/>
      <c r="C5" s="642"/>
      <c r="D5" s="179"/>
      <c r="E5" s="169"/>
      <c r="F5" s="169"/>
      <c r="G5" s="170"/>
      <c r="H5" s="168"/>
      <c r="I5" s="168"/>
      <c r="J5" s="168"/>
      <c r="K5" s="168"/>
      <c r="L5" s="642"/>
      <c r="M5" s="643">
        <v>34109</v>
      </c>
      <c r="N5" s="583">
        <v>0.09</v>
      </c>
      <c r="O5" s="583">
        <v>0</v>
      </c>
      <c r="P5" s="166">
        <v>0</v>
      </c>
      <c r="Q5" s="166">
        <v>0</v>
      </c>
      <c r="R5" s="166">
        <v>0</v>
      </c>
      <c r="S5" s="166">
        <v>0</v>
      </c>
      <c r="T5" s="166">
        <v>0</v>
      </c>
      <c r="U5" s="166">
        <v>0</v>
      </c>
      <c r="V5" s="705">
        <v>0</v>
      </c>
      <c r="W5" s="714"/>
      <c r="X5" s="715"/>
      <c r="Y5" s="716"/>
      <c r="Z5" s="708">
        <v>0</v>
      </c>
      <c r="AA5" s="166"/>
      <c r="AB5" s="166" t="s">
        <v>39</v>
      </c>
      <c r="AC5" s="166">
        <v>-999</v>
      </c>
      <c r="AD5" s="166">
        <v>2.84</v>
      </c>
      <c r="AE5" s="166">
        <v>0.12</v>
      </c>
      <c r="AF5" s="168">
        <f>AE5*AD5</f>
        <v>0.34079999999999999</v>
      </c>
      <c r="AG5" s="171">
        <f>N5/AF5</f>
        <v>0.2640845070422535</v>
      </c>
      <c r="AH5" s="331"/>
      <c r="AI5" s="172"/>
      <c r="AJ5" s="172"/>
      <c r="AK5" s="172"/>
      <c r="AL5" s="167"/>
      <c r="AM5" s="167"/>
      <c r="AN5" s="167"/>
      <c r="AO5" s="167"/>
      <c r="AP5" s="167"/>
      <c r="AQ5" s="167"/>
      <c r="AR5" s="167"/>
      <c r="AS5" s="167"/>
      <c r="AT5" s="167"/>
      <c r="AU5" s="168"/>
      <c r="AV5" s="168"/>
      <c r="AW5" s="168"/>
      <c r="AX5" s="168"/>
      <c r="AY5" s="168"/>
      <c r="AZ5" s="375"/>
      <c r="BA5" s="167"/>
      <c r="BB5" s="167"/>
      <c r="BC5" s="167"/>
      <c r="BD5" s="167"/>
      <c r="BE5" s="167"/>
      <c r="BF5" s="167"/>
      <c r="BG5" s="167"/>
      <c r="BH5" s="167"/>
      <c r="BI5" s="168"/>
      <c r="BJ5" s="168"/>
      <c r="BK5" s="168"/>
      <c r="BL5" s="170"/>
      <c r="BM5" s="170"/>
      <c r="BN5" s="170"/>
      <c r="BO5" s="170"/>
      <c r="BP5" s="170"/>
      <c r="BQ5" s="170"/>
      <c r="BR5" s="170"/>
      <c r="BS5" s="170"/>
      <c r="BT5" s="168"/>
      <c r="BU5" s="168"/>
      <c r="BV5" s="168"/>
      <c r="BW5" s="174"/>
      <c r="BX5" s="168"/>
      <c r="BY5" s="168"/>
      <c r="BZ5" s="168"/>
      <c r="CA5" s="167"/>
      <c r="CB5" s="167" t="s">
        <v>625</v>
      </c>
    </row>
    <row r="6" spans="1:80" s="83" customFormat="1" x14ac:dyDescent="0.2">
      <c r="A6" s="176"/>
      <c r="B6" s="642"/>
      <c r="C6" s="642"/>
      <c r="D6" s="693"/>
      <c r="E6" s="169"/>
      <c r="F6" s="169"/>
      <c r="G6" s="170"/>
      <c r="H6" s="168"/>
      <c r="I6" s="177"/>
      <c r="J6" s="177"/>
      <c r="K6" s="177"/>
      <c r="L6" s="644"/>
      <c r="M6" s="645">
        <v>34115</v>
      </c>
      <c r="N6" s="585">
        <v>0.28000000000000003</v>
      </c>
      <c r="O6" s="585">
        <v>0</v>
      </c>
      <c r="P6" s="175">
        <v>0</v>
      </c>
      <c r="Q6" s="175">
        <v>0</v>
      </c>
      <c r="R6" s="175">
        <v>0</v>
      </c>
      <c r="S6" s="175">
        <v>0</v>
      </c>
      <c r="T6" s="175">
        <v>0</v>
      </c>
      <c r="U6" s="175">
        <v>0</v>
      </c>
      <c r="V6" s="706">
        <v>0</v>
      </c>
      <c r="W6" s="717"/>
      <c r="X6" s="713"/>
      <c r="Y6" s="718"/>
      <c r="Z6" s="709">
        <v>0</v>
      </c>
      <c r="AA6" s="175"/>
      <c r="AB6" s="175" t="s">
        <v>39</v>
      </c>
      <c r="AC6" s="175">
        <v>5.8999999999999997E-2</v>
      </c>
      <c r="AD6" s="175">
        <v>2.84</v>
      </c>
      <c r="AE6" s="175">
        <v>0.17</v>
      </c>
      <c r="AF6" s="178">
        <f t="shared" ref="AF6:AF69" si="0">AE6*AD6</f>
        <v>0.48280000000000001</v>
      </c>
      <c r="AG6" s="178">
        <v>0.48</v>
      </c>
      <c r="AH6" s="332"/>
      <c r="AI6" s="172"/>
      <c r="AJ6" s="172"/>
      <c r="AK6" s="172"/>
      <c r="AL6" s="167"/>
      <c r="AM6" s="167"/>
      <c r="AN6" s="167"/>
      <c r="AO6" s="167"/>
      <c r="AP6" s="167"/>
      <c r="AQ6" s="167"/>
      <c r="AR6" s="167"/>
      <c r="AS6" s="167"/>
      <c r="AT6" s="167"/>
      <c r="AU6" s="168"/>
      <c r="AV6" s="168"/>
      <c r="AW6" s="168"/>
      <c r="AX6" s="168"/>
      <c r="AY6" s="168"/>
      <c r="AZ6" s="167"/>
      <c r="BA6" s="167"/>
      <c r="BB6" s="167"/>
      <c r="BC6" s="167"/>
      <c r="BD6" s="167"/>
      <c r="BE6" s="167"/>
      <c r="BF6" s="167"/>
      <c r="BG6" s="167"/>
      <c r="BH6" s="167"/>
      <c r="BI6" s="168"/>
      <c r="BJ6" s="168"/>
      <c r="BK6" s="168"/>
      <c r="BL6" s="170"/>
      <c r="BM6" s="170"/>
      <c r="BN6" s="170"/>
      <c r="BO6" s="170"/>
      <c r="BP6" s="170"/>
      <c r="BQ6" s="170"/>
      <c r="BR6" s="170"/>
      <c r="BS6" s="170"/>
      <c r="BT6" s="168"/>
      <c r="BU6" s="168"/>
      <c r="BV6" s="168"/>
      <c r="BW6" s="174"/>
      <c r="BX6" s="168"/>
      <c r="BY6" s="168"/>
      <c r="BZ6" s="168"/>
      <c r="CA6" s="167"/>
      <c r="CB6" s="167" t="s">
        <v>627</v>
      </c>
    </row>
    <row r="7" spans="1:80" s="83" customFormat="1" ht="15" x14ac:dyDescent="0.2">
      <c r="A7" s="176"/>
      <c r="B7" s="642"/>
      <c r="C7" s="642"/>
      <c r="D7" s="693"/>
      <c r="E7" s="169"/>
      <c r="F7" s="169"/>
      <c r="G7" s="170"/>
      <c r="H7" s="168"/>
      <c r="I7" s="177"/>
      <c r="J7" s="177"/>
      <c r="K7" s="177"/>
      <c r="L7" s="644"/>
      <c r="M7" s="645">
        <v>34116</v>
      </c>
      <c r="N7" s="585">
        <v>0.25</v>
      </c>
      <c r="O7" s="585">
        <v>0</v>
      </c>
      <c r="P7" s="175">
        <v>0</v>
      </c>
      <c r="Q7" s="175">
        <v>0</v>
      </c>
      <c r="R7" s="175">
        <v>0</v>
      </c>
      <c r="S7" s="175">
        <v>0</v>
      </c>
      <c r="T7" s="175">
        <v>0</v>
      </c>
      <c r="U7" s="175">
        <v>0</v>
      </c>
      <c r="V7" s="706">
        <v>0</v>
      </c>
      <c r="W7" s="717"/>
      <c r="X7" s="713"/>
      <c r="Y7" s="718"/>
      <c r="Z7" s="709">
        <v>0</v>
      </c>
      <c r="AA7" s="175"/>
      <c r="AB7" s="175" t="s">
        <v>39</v>
      </c>
      <c r="AC7" s="175">
        <v>5.8999999999999997E-2</v>
      </c>
      <c r="AD7" s="175">
        <v>2.9</v>
      </c>
      <c r="AE7" s="175">
        <v>0.17</v>
      </c>
      <c r="AF7" s="178">
        <f t="shared" si="0"/>
        <v>0.49299999999999999</v>
      </c>
      <c r="AG7" s="178">
        <v>0.51</v>
      </c>
      <c r="AH7" s="332"/>
      <c r="AI7" s="172"/>
      <c r="AJ7" s="172"/>
      <c r="AK7" s="172"/>
      <c r="AL7" s="167"/>
      <c r="AM7" s="167"/>
      <c r="AN7" s="167"/>
      <c r="AO7" s="167"/>
      <c r="AP7" s="167"/>
      <c r="AQ7" s="167"/>
      <c r="AR7" s="167"/>
      <c r="AS7" s="167"/>
      <c r="AT7" s="167"/>
      <c r="AU7" s="168"/>
      <c r="AV7" s="168"/>
      <c r="AW7" s="168"/>
      <c r="AX7" s="168"/>
      <c r="AY7" s="168"/>
      <c r="AZ7" s="167"/>
      <c r="BA7" s="167"/>
      <c r="BB7" s="167"/>
      <c r="BC7" s="167"/>
      <c r="BD7" s="167"/>
      <c r="BE7" s="167"/>
      <c r="BF7" s="167"/>
      <c r="BG7" s="167"/>
      <c r="BH7" s="167"/>
      <c r="BI7" s="168"/>
      <c r="BJ7" s="168"/>
      <c r="BK7" s="168"/>
      <c r="BL7" s="170"/>
      <c r="BM7" s="170"/>
      <c r="BN7" s="170"/>
      <c r="BO7" s="170"/>
      <c r="BP7" s="170"/>
      <c r="BQ7" s="170"/>
      <c r="BR7" s="170"/>
      <c r="BS7" s="170"/>
      <c r="BT7" s="168"/>
      <c r="BU7" s="168"/>
      <c r="BV7" s="168"/>
      <c r="BW7" s="174"/>
      <c r="BX7" s="168"/>
      <c r="BY7" s="168"/>
      <c r="BZ7" s="168"/>
      <c r="CA7" s="167"/>
      <c r="CB7" s="485" t="s">
        <v>638</v>
      </c>
    </row>
    <row r="8" spans="1:80" s="83" customFormat="1" x14ac:dyDescent="0.2">
      <c r="A8" s="176"/>
      <c r="B8" s="642"/>
      <c r="C8" s="642"/>
      <c r="D8" s="693"/>
      <c r="E8" s="169"/>
      <c r="F8" s="169"/>
      <c r="G8" s="8"/>
      <c r="H8" s="168"/>
      <c r="I8" s="177"/>
      <c r="J8" s="177"/>
      <c r="K8" s="177"/>
      <c r="L8" s="644"/>
      <c r="M8" s="645">
        <v>34117</v>
      </c>
      <c r="N8" s="585">
        <v>0.32</v>
      </c>
      <c r="O8" s="585">
        <v>0</v>
      </c>
      <c r="P8" s="175">
        <v>0</v>
      </c>
      <c r="Q8" s="175">
        <v>0</v>
      </c>
      <c r="R8" s="175">
        <v>0</v>
      </c>
      <c r="S8" s="175">
        <v>0</v>
      </c>
      <c r="T8" s="175">
        <v>0</v>
      </c>
      <c r="U8" s="175">
        <v>0</v>
      </c>
      <c r="V8" s="706">
        <v>0</v>
      </c>
      <c r="W8" s="717"/>
      <c r="X8" s="713"/>
      <c r="Y8" s="718"/>
      <c r="Z8" s="709">
        <v>0</v>
      </c>
      <c r="AA8" s="175"/>
      <c r="AB8" s="175" t="s">
        <v>39</v>
      </c>
      <c r="AC8" s="175">
        <v>5.8000000000000003E-2</v>
      </c>
      <c r="AD8" s="175">
        <v>2.93</v>
      </c>
      <c r="AE8" s="175">
        <v>0.19</v>
      </c>
      <c r="AF8" s="178">
        <f t="shared" si="0"/>
        <v>0.55670000000000008</v>
      </c>
      <c r="AG8" s="178">
        <v>0.56000000000000005</v>
      </c>
      <c r="AH8" s="332"/>
      <c r="AI8" s="124"/>
      <c r="AJ8" s="124"/>
      <c r="AK8" s="124"/>
      <c r="AL8" s="167"/>
      <c r="AM8" s="167"/>
      <c r="AN8" s="167"/>
      <c r="AO8" s="167"/>
      <c r="AP8" s="167"/>
      <c r="AQ8" s="167"/>
      <c r="AR8" s="167"/>
      <c r="AS8" s="167"/>
      <c r="AT8" s="167"/>
      <c r="AU8" s="6"/>
      <c r="AV8" s="6"/>
      <c r="AW8" s="6"/>
      <c r="AX8" s="6"/>
      <c r="AY8" s="6"/>
      <c r="AZ8" s="167"/>
      <c r="BA8" s="167"/>
      <c r="BB8" s="167"/>
      <c r="BC8" s="167"/>
      <c r="BD8" s="167"/>
      <c r="BE8" s="167"/>
      <c r="BF8" s="167"/>
      <c r="BG8" s="167"/>
      <c r="BH8" s="167"/>
      <c r="BI8" s="7"/>
      <c r="BJ8" s="168"/>
      <c r="BK8" s="168"/>
      <c r="BL8" s="8"/>
      <c r="BM8" s="8"/>
      <c r="BN8" s="170"/>
      <c r="BO8" s="170"/>
      <c r="BP8" s="170"/>
      <c r="BQ8" s="170"/>
      <c r="BR8" s="170"/>
      <c r="BS8" s="170"/>
      <c r="BT8" s="168"/>
      <c r="BU8" s="168"/>
      <c r="BV8" s="168"/>
      <c r="BW8" s="174"/>
      <c r="BX8" s="168"/>
      <c r="BY8" s="168"/>
      <c r="BZ8" s="168"/>
      <c r="CA8" s="167"/>
      <c r="CB8" s="167"/>
    </row>
    <row r="9" spans="1:80" s="83" customFormat="1" x14ac:dyDescent="0.2">
      <c r="A9" s="176"/>
      <c r="B9" s="642"/>
      <c r="C9" s="642"/>
      <c r="D9" s="693"/>
      <c r="E9" s="169"/>
      <c r="F9" s="169"/>
      <c r="G9" s="170"/>
      <c r="H9" s="168"/>
      <c r="I9" s="177"/>
      <c r="J9" s="177"/>
      <c r="K9" s="177"/>
      <c r="L9" s="644"/>
      <c r="M9" s="645">
        <v>34120</v>
      </c>
      <c r="N9" s="585">
        <v>0.45</v>
      </c>
      <c r="O9" s="585">
        <v>5.7600000000000004E-3</v>
      </c>
      <c r="P9" s="175">
        <v>0</v>
      </c>
      <c r="Q9" s="175">
        <v>0</v>
      </c>
      <c r="R9" s="175">
        <v>0</v>
      </c>
      <c r="S9" s="175">
        <v>1.09E-3</v>
      </c>
      <c r="T9" s="175">
        <v>1.01E-3</v>
      </c>
      <c r="U9" s="175">
        <v>1.1299999999999999E-3</v>
      </c>
      <c r="V9" s="706">
        <v>2.5200000000000001E-3</v>
      </c>
      <c r="W9" s="717"/>
      <c r="X9" s="713"/>
      <c r="Y9" s="718"/>
      <c r="Z9" s="709">
        <v>15</v>
      </c>
      <c r="AA9" s="175"/>
      <c r="AB9" s="175"/>
      <c r="AC9" s="175">
        <v>5.8000000000000003E-2</v>
      </c>
      <c r="AD9" s="175">
        <v>2.95</v>
      </c>
      <c r="AE9" s="175">
        <v>0.23</v>
      </c>
      <c r="AF9" s="178">
        <f t="shared" si="0"/>
        <v>0.6785000000000001</v>
      </c>
      <c r="AG9" s="178">
        <v>0.69</v>
      </c>
      <c r="AH9" s="332"/>
      <c r="AI9" s="172"/>
      <c r="AJ9" s="172"/>
      <c r="AK9" s="172"/>
      <c r="AL9" s="167"/>
      <c r="AM9" s="167"/>
      <c r="AN9" s="167"/>
      <c r="AO9" s="167"/>
      <c r="AP9" s="167"/>
      <c r="AQ9" s="167"/>
      <c r="AR9" s="167"/>
      <c r="AS9" s="167"/>
      <c r="AT9" s="167"/>
      <c r="AU9" s="168"/>
      <c r="AV9" s="168"/>
      <c r="AW9" s="168"/>
      <c r="AX9" s="168"/>
      <c r="AY9" s="168"/>
      <c r="AZ9" s="167"/>
      <c r="BA9" s="167"/>
      <c r="BB9" s="167"/>
      <c r="BC9" s="167"/>
      <c r="BD9" s="167"/>
      <c r="BE9" s="167"/>
      <c r="BF9" s="167"/>
      <c r="BG9" s="167"/>
      <c r="BH9" s="167"/>
      <c r="BI9" s="179"/>
      <c r="BJ9" s="180"/>
      <c r="BK9" s="180"/>
      <c r="BL9" s="170"/>
      <c r="BM9" s="170"/>
      <c r="BN9" s="170"/>
      <c r="BO9" s="170"/>
      <c r="BP9" s="170"/>
      <c r="BQ9" s="170"/>
      <c r="BR9" s="170"/>
      <c r="BS9" s="170"/>
      <c r="BT9" s="168"/>
      <c r="BU9" s="168"/>
      <c r="BV9" s="168"/>
      <c r="BW9" s="174"/>
      <c r="BX9" s="168"/>
      <c r="BY9" s="168"/>
      <c r="BZ9" s="168"/>
      <c r="CA9" s="167"/>
      <c r="CB9" s="167"/>
    </row>
    <row r="10" spans="1:80" s="83" customFormat="1" x14ac:dyDescent="0.2">
      <c r="A10" s="176"/>
      <c r="B10" s="642"/>
      <c r="C10" s="642"/>
      <c r="D10" s="693"/>
      <c r="E10" s="169"/>
      <c r="F10" s="169"/>
      <c r="G10" s="170"/>
      <c r="H10" s="168"/>
      <c r="I10" s="177"/>
      <c r="J10" s="177"/>
      <c r="K10" s="177"/>
      <c r="L10" s="644"/>
      <c r="M10" s="645">
        <v>34121</v>
      </c>
      <c r="N10" s="585">
        <v>0.72</v>
      </c>
      <c r="O10" s="585">
        <v>3.5999999999999999E-3</v>
      </c>
      <c r="P10" s="175">
        <v>0</v>
      </c>
      <c r="Q10" s="175">
        <v>2.0899999999999998E-3</v>
      </c>
      <c r="R10" s="175">
        <v>0</v>
      </c>
      <c r="S10" s="175">
        <v>3.0000000000000001E-5</v>
      </c>
      <c r="T10" s="175">
        <v>2.1000000000000001E-4</v>
      </c>
      <c r="U10" s="175">
        <v>2.0000000000000001E-4</v>
      </c>
      <c r="V10" s="706">
        <v>1.07E-3</v>
      </c>
      <c r="W10" s="717"/>
      <c r="X10" s="713"/>
      <c r="Y10" s="718"/>
      <c r="Z10" s="709">
        <v>32</v>
      </c>
      <c r="AA10" s="175"/>
      <c r="AB10" s="175"/>
      <c r="AC10" s="175">
        <v>5.7000000000000002E-2</v>
      </c>
      <c r="AD10" s="175">
        <v>2.97</v>
      </c>
      <c r="AE10" s="175">
        <v>0.3</v>
      </c>
      <c r="AF10" s="178">
        <f t="shared" si="0"/>
        <v>0.89100000000000001</v>
      </c>
      <c r="AG10" s="178">
        <v>0.71</v>
      </c>
      <c r="AH10" s="332"/>
      <c r="AI10" s="172"/>
      <c r="AJ10" s="172"/>
      <c r="AK10" s="172"/>
      <c r="AL10" s="167"/>
      <c r="AM10" s="167"/>
      <c r="AN10" s="167"/>
      <c r="AO10" s="167"/>
      <c r="AP10" s="167"/>
      <c r="AQ10" s="167"/>
      <c r="AR10" s="167"/>
      <c r="AS10" s="167"/>
      <c r="AT10" s="167"/>
      <c r="AU10" s="168"/>
      <c r="AV10" s="168"/>
      <c r="AW10" s="168"/>
      <c r="AX10" s="168"/>
      <c r="AY10" s="168"/>
      <c r="AZ10" s="167"/>
      <c r="BA10" s="167"/>
      <c r="BB10" s="167"/>
      <c r="BC10" s="167"/>
      <c r="BD10" s="167"/>
      <c r="BE10" s="167"/>
      <c r="BF10" s="167"/>
      <c r="BG10" s="167"/>
      <c r="BH10" s="167"/>
      <c r="BI10" s="179"/>
      <c r="BJ10" s="180"/>
      <c r="BK10" s="180"/>
      <c r="BL10" s="170"/>
      <c r="BM10" s="170"/>
      <c r="BN10" s="170"/>
      <c r="BO10" s="170"/>
      <c r="BP10" s="170"/>
      <c r="BQ10" s="170"/>
      <c r="BR10" s="170"/>
      <c r="BS10" s="170"/>
      <c r="BT10" s="168"/>
      <c r="BU10" s="168"/>
      <c r="BV10" s="168"/>
      <c r="BW10" s="174"/>
      <c r="BX10" s="168"/>
      <c r="BY10" s="168"/>
      <c r="BZ10" s="168"/>
      <c r="CA10" s="167"/>
      <c r="CB10" s="167"/>
    </row>
    <row r="11" spans="1:80" s="83" customFormat="1" x14ac:dyDescent="0.2">
      <c r="A11" s="176"/>
      <c r="B11" s="642"/>
      <c r="C11" s="642"/>
      <c r="D11" s="693"/>
      <c r="E11" s="169"/>
      <c r="F11" s="169"/>
      <c r="G11" s="170"/>
      <c r="H11" s="168"/>
      <c r="I11" s="177"/>
      <c r="J11" s="177"/>
      <c r="K11" s="177"/>
      <c r="L11" s="644"/>
      <c r="M11" s="645">
        <v>34122</v>
      </c>
      <c r="N11" s="585">
        <v>0.56000000000000005</v>
      </c>
      <c r="O11" s="585">
        <v>1.312E-2</v>
      </c>
      <c r="P11" s="175">
        <v>0</v>
      </c>
      <c r="Q11" s="175">
        <v>0</v>
      </c>
      <c r="R11" s="175">
        <v>1.34E-3</v>
      </c>
      <c r="S11" s="175">
        <v>1.1100000000000001E-3</v>
      </c>
      <c r="T11" s="175">
        <v>3.8400000000000001E-3</v>
      </c>
      <c r="U11" s="175">
        <v>3.3500000000000001E-3</v>
      </c>
      <c r="V11" s="706">
        <v>3.49E-3</v>
      </c>
      <c r="W11" s="717"/>
      <c r="X11" s="713"/>
      <c r="Y11" s="718"/>
      <c r="Z11" s="709">
        <v>32</v>
      </c>
      <c r="AA11" s="175"/>
      <c r="AB11" s="175"/>
      <c r="AC11" s="175">
        <v>5.7000000000000002E-2</v>
      </c>
      <c r="AD11" s="175">
        <v>2.93</v>
      </c>
      <c r="AE11" s="175">
        <v>0.27</v>
      </c>
      <c r="AF11" s="178">
        <f t="shared" si="0"/>
        <v>0.79110000000000014</v>
      </c>
      <c r="AG11" s="178">
        <v>0.72</v>
      </c>
      <c r="AH11" s="332"/>
      <c r="AI11" s="172"/>
      <c r="AJ11" s="172"/>
      <c r="AK11" s="172"/>
      <c r="AL11" s="167"/>
      <c r="AM11" s="167"/>
      <c r="AN11" s="167"/>
      <c r="AO11" s="167"/>
      <c r="AP11" s="167"/>
      <c r="AQ11" s="167"/>
      <c r="AR11" s="167"/>
      <c r="AS11" s="167"/>
      <c r="AT11" s="167"/>
      <c r="AU11" s="168"/>
      <c r="AV11" s="168"/>
      <c r="AW11" s="168"/>
      <c r="AX11" s="168"/>
      <c r="AY11" s="168"/>
      <c r="AZ11" s="167"/>
      <c r="BA11" s="167"/>
      <c r="BB11" s="167"/>
      <c r="BC11" s="167"/>
      <c r="BD11" s="167"/>
      <c r="BE11" s="167"/>
      <c r="BF11" s="167"/>
      <c r="BG11" s="167"/>
      <c r="BH11" s="167"/>
      <c r="BI11" s="179"/>
      <c r="BJ11" s="180"/>
      <c r="BK11" s="180"/>
      <c r="BL11" s="170"/>
      <c r="BM11" s="170"/>
      <c r="BN11" s="170"/>
      <c r="BO11" s="170"/>
      <c r="BP11" s="170"/>
      <c r="BQ11" s="170"/>
      <c r="BR11" s="170"/>
      <c r="BS11" s="170"/>
      <c r="BT11" s="168"/>
      <c r="BU11" s="168"/>
      <c r="BV11" s="168"/>
      <c r="BW11" s="174"/>
      <c r="BX11" s="168"/>
      <c r="BY11" s="168"/>
      <c r="BZ11" s="168"/>
      <c r="CA11" s="167"/>
      <c r="CB11" s="167"/>
    </row>
    <row r="12" spans="1:80" s="83" customFormat="1" x14ac:dyDescent="0.2">
      <c r="A12" s="176"/>
      <c r="B12" s="642"/>
      <c r="C12" s="642"/>
      <c r="D12" s="693"/>
      <c r="E12" s="169"/>
      <c r="F12" s="169"/>
      <c r="G12" s="170"/>
      <c r="H12" s="168"/>
      <c r="I12" s="177"/>
      <c r="J12" s="177"/>
      <c r="K12" s="177"/>
      <c r="L12" s="644"/>
      <c r="M12" s="645">
        <v>34124</v>
      </c>
      <c r="N12" s="585">
        <v>0.47</v>
      </c>
      <c r="O12" s="585">
        <v>0</v>
      </c>
      <c r="P12" s="175">
        <v>0</v>
      </c>
      <c r="Q12" s="175">
        <v>0</v>
      </c>
      <c r="R12" s="175">
        <v>0</v>
      </c>
      <c r="S12" s="175">
        <v>0</v>
      </c>
      <c r="T12" s="175">
        <v>0</v>
      </c>
      <c r="U12" s="175">
        <v>0</v>
      </c>
      <c r="V12" s="706">
        <v>0</v>
      </c>
      <c r="W12" s="717"/>
      <c r="X12" s="713"/>
      <c r="Y12" s="718"/>
      <c r="Z12" s="709">
        <v>0</v>
      </c>
      <c r="AA12" s="175"/>
      <c r="AB12" s="175" t="s">
        <v>39</v>
      </c>
      <c r="AC12" s="175">
        <v>5.8000000000000003E-2</v>
      </c>
      <c r="AD12" s="175">
        <v>2.93</v>
      </c>
      <c r="AE12" s="175">
        <v>0.23</v>
      </c>
      <c r="AF12" s="178">
        <f t="shared" si="0"/>
        <v>0.67390000000000005</v>
      </c>
      <c r="AG12" s="178">
        <v>0.63</v>
      </c>
      <c r="AH12" s="332"/>
      <c r="AI12" s="172"/>
      <c r="AJ12" s="172"/>
      <c r="AK12" s="172"/>
      <c r="AL12" s="167"/>
      <c r="AM12" s="167"/>
      <c r="AN12" s="167"/>
      <c r="AO12" s="167"/>
      <c r="AP12" s="167"/>
      <c r="AQ12" s="167"/>
      <c r="AR12" s="167"/>
      <c r="AS12" s="167"/>
      <c r="AT12" s="167"/>
      <c r="AU12" s="168"/>
      <c r="AV12" s="168"/>
      <c r="AW12" s="168"/>
      <c r="AX12" s="168"/>
      <c r="AY12" s="168"/>
      <c r="AZ12" s="167"/>
      <c r="BA12" s="167"/>
      <c r="BB12" s="167"/>
      <c r="BC12" s="167"/>
      <c r="BD12" s="167"/>
      <c r="BE12" s="167"/>
      <c r="BF12" s="167"/>
      <c r="BG12" s="167"/>
      <c r="BH12" s="167"/>
      <c r="BI12" s="179"/>
      <c r="BJ12" s="168"/>
      <c r="BK12" s="168"/>
      <c r="BL12" s="170"/>
      <c r="BM12" s="170"/>
      <c r="BN12" s="170"/>
      <c r="BO12" s="170"/>
      <c r="BP12" s="170"/>
      <c r="BQ12" s="170"/>
      <c r="BR12" s="170"/>
      <c r="BS12" s="170"/>
      <c r="BT12" s="168"/>
      <c r="BU12" s="168"/>
      <c r="BV12" s="168"/>
      <c r="BW12" s="174"/>
      <c r="BX12" s="168"/>
      <c r="BY12" s="168"/>
      <c r="BZ12" s="168"/>
      <c r="CA12" s="167"/>
      <c r="CB12" s="167"/>
    </row>
    <row r="13" spans="1:80" s="83" customFormat="1" x14ac:dyDescent="0.2">
      <c r="A13" s="176"/>
      <c r="B13" s="642"/>
      <c r="C13" s="642"/>
      <c r="D13" s="693"/>
      <c r="E13" s="169"/>
      <c r="F13" s="169"/>
      <c r="G13" s="170"/>
      <c r="H13" s="168"/>
      <c r="I13" s="177"/>
      <c r="J13" s="177"/>
      <c r="K13" s="177"/>
      <c r="L13" s="644"/>
      <c r="M13" s="645">
        <v>34127</v>
      </c>
      <c r="N13" s="585">
        <v>0.43</v>
      </c>
      <c r="O13" s="585">
        <v>0</v>
      </c>
      <c r="P13" s="175">
        <v>0</v>
      </c>
      <c r="Q13" s="175">
        <v>0</v>
      </c>
      <c r="R13" s="175">
        <v>0</v>
      </c>
      <c r="S13" s="175">
        <v>0</v>
      </c>
      <c r="T13" s="175">
        <v>0</v>
      </c>
      <c r="U13" s="175">
        <v>0</v>
      </c>
      <c r="V13" s="706">
        <v>0</v>
      </c>
      <c r="W13" s="717"/>
      <c r="X13" s="713"/>
      <c r="Y13" s="718"/>
      <c r="Z13" s="709">
        <v>0</v>
      </c>
      <c r="AA13" s="175"/>
      <c r="AB13" s="175" t="s">
        <v>39</v>
      </c>
      <c r="AC13" s="175">
        <v>5.8000000000000003E-2</v>
      </c>
      <c r="AD13" s="175">
        <v>2.93</v>
      </c>
      <c r="AE13" s="175">
        <v>0.23</v>
      </c>
      <c r="AF13" s="178">
        <f t="shared" si="0"/>
        <v>0.67390000000000005</v>
      </c>
      <c r="AG13" s="178">
        <v>0.63</v>
      </c>
      <c r="AH13" s="332"/>
      <c r="AI13" s="172"/>
      <c r="AJ13" s="172"/>
      <c r="AK13" s="172"/>
      <c r="AL13" s="167"/>
      <c r="AM13" s="167"/>
      <c r="AN13" s="167"/>
      <c r="AO13" s="167"/>
      <c r="AP13" s="167"/>
      <c r="AQ13" s="167"/>
      <c r="AR13" s="167"/>
      <c r="AS13" s="167"/>
      <c r="AT13" s="167"/>
      <c r="AU13" s="168"/>
      <c r="AV13" s="168"/>
      <c r="AW13" s="168"/>
      <c r="AX13" s="168"/>
      <c r="AY13" s="168"/>
      <c r="AZ13" s="167"/>
      <c r="BA13" s="167"/>
      <c r="BB13" s="167"/>
      <c r="BC13" s="167"/>
      <c r="BD13" s="167"/>
      <c r="BE13" s="167"/>
      <c r="BF13" s="167"/>
      <c r="BG13" s="167"/>
      <c r="BH13" s="167"/>
      <c r="BI13" s="179"/>
      <c r="BJ13" s="180"/>
      <c r="BK13" s="180"/>
      <c r="BL13" s="170"/>
      <c r="BM13" s="170"/>
      <c r="BN13" s="170"/>
      <c r="BO13" s="170"/>
      <c r="BP13" s="170"/>
      <c r="BQ13" s="170"/>
      <c r="BR13" s="170"/>
      <c r="BS13" s="170"/>
      <c r="BT13" s="168"/>
      <c r="BU13" s="168"/>
      <c r="BV13" s="168"/>
      <c r="BW13" s="174"/>
      <c r="BX13" s="168"/>
      <c r="BY13" s="168"/>
      <c r="BZ13" s="168"/>
      <c r="CA13" s="167"/>
      <c r="CB13" s="167"/>
    </row>
    <row r="14" spans="1:80" s="83" customFormat="1" x14ac:dyDescent="0.2">
      <c r="A14" s="176"/>
      <c r="B14" s="642"/>
      <c r="C14" s="642"/>
      <c r="D14" s="693"/>
      <c r="E14" s="169"/>
      <c r="F14" s="169"/>
      <c r="G14" s="170"/>
      <c r="H14" s="168"/>
      <c r="I14" s="177"/>
      <c r="J14" s="177"/>
      <c r="K14" s="177"/>
      <c r="L14" s="644"/>
      <c r="M14" s="645">
        <v>34129</v>
      </c>
      <c r="N14" s="585">
        <v>0.38</v>
      </c>
      <c r="O14" s="585">
        <v>0</v>
      </c>
      <c r="P14" s="175">
        <v>0</v>
      </c>
      <c r="Q14" s="175">
        <v>0</v>
      </c>
      <c r="R14" s="175">
        <v>0</v>
      </c>
      <c r="S14" s="175">
        <v>0</v>
      </c>
      <c r="T14" s="175">
        <v>0</v>
      </c>
      <c r="U14" s="175">
        <v>0</v>
      </c>
      <c r="V14" s="706">
        <v>0</v>
      </c>
      <c r="W14" s="717"/>
      <c r="X14" s="713"/>
      <c r="Y14" s="718"/>
      <c r="Z14" s="709">
        <v>0</v>
      </c>
      <c r="AA14" s="175"/>
      <c r="AB14" s="175" t="s">
        <v>39</v>
      </c>
      <c r="AC14" s="175">
        <v>5.8000000000000003E-2</v>
      </c>
      <c r="AD14" s="175">
        <v>2.91</v>
      </c>
      <c r="AE14" s="175">
        <v>0.22</v>
      </c>
      <c r="AF14" s="178">
        <f t="shared" si="0"/>
        <v>0.64019999999999999</v>
      </c>
      <c r="AG14" s="178">
        <v>0.56999999999999995</v>
      </c>
      <c r="AH14" s="332"/>
      <c r="AI14" s="172"/>
      <c r="AJ14" s="172"/>
      <c r="AK14" s="172"/>
      <c r="AL14" s="167"/>
      <c r="AM14" s="167"/>
      <c r="AN14" s="167"/>
      <c r="AO14" s="167"/>
      <c r="AP14" s="167"/>
      <c r="AQ14" s="167"/>
      <c r="AR14" s="167"/>
      <c r="AS14" s="167"/>
      <c r="AT14" s="167"/>
      <c r="AU14" s="168"/>
      <c r="AV14" s="168"/>
      <c r="AW14" s="168"/>
      <c r="AX14" s="168"/>
      <c r="AY14" s="168"/>
      <c r="AZ14" s="167"/>
      <c r="BA14" s="167"/>
      <c r="BB14" s="167"/>
      <c r="BC14" s="167"/>
      <c r="BD14" s="167"/>
      <c r="BE14" s="167"/>
      <c r="BF14" s="167"/>
      <c r="BG14" s="167"/>
      <c r="BH14" s="167"/>
      <c r="BI14" s="179"/>
      <c r="BJ14" s="168"/>
      <c r="BK14" s="168"/>
      <c r="BL14" s="170"/>
      <c r="BM14" s="170"/>
      <c r="BN14" s="170"/>
      <c r="BO14" s="170"/>
      <c r="BP14" s="170"/>
      <c r="BQ14" s="170"/>
      <c r="BR14" s="170"/>
      <c r="BS14" s="170"/>
      <c r="BT14" s="168"/>
      <c r="BU14" s="168"/>
      <c r="BV14" s="168"/>
      <c r="BW14" s="174"/>
      <c r="BX14" s="168"/>
      <c r="BY14" s="168"/>
      <c r="BZ14" s="168"/>
      <c r="CA14" s="167"/>
      <c r="CB14" s="167"/>
    </row>
    <row r="15" spans="1:80" s="83" customFormat="1" x14ac:dyDescent="0.2">
      <c r="A15" s="176"/>
      <c r="B15" s="642"/>
      <c r="C15" s="642"/>
      <c r="D15" s="693"/>
      <c r="E15" s="169"/>
      <c r="F15" s="169"/>
      <c r="G15" s="170"/>
      <c r="H15" s="168"/>
      <c r="I15" s="177"/>
      <c r="J15" s="177"/>
      <c r="K15" s="177"/>
      <c r="L15" s="644"/>
      <c r="M15" s="645">
        <v>34129</v>
      </c>
      <c r="N15" s="585">
        <v>0.35</v>
      </c>
      <c r="O15" s="585">
        <v>6.8999999999999997E-4</v>
      </c>
      <c r="P15" s="175">
        <v>0</v>
      </c>
      <c r="Q15" s="175">
        <v>0</v>
      </c>
      <c r="R15" s="175">
        <v>0</v>
      </c>
      <c r="S15" s="175">
        <v>6.9999999999999994E-5</v>
      </c>
      <c r="T15" s="175">
        <v>1.3999999999999999E-4</v>
      </c>
      <c r="U15" s="175">
        <v>1.4999999999999999E-4</v>
      </c>
      <c r="V15" s="706">
        <v>3.3E-4</v>
      </c>
      <c r="W15" s="717"/>
      <c r="X15" s="713"/>
      <c r="Y15" s="718"/>
      <c r="Z15" s="709">
        <v>9</v>
      </c>
      <c r="AA15" s="175"/>
      <c r="AB15" s="175"/>
      <c r="AC15" s="175">
        <v>5.8000000000000003E-2</v>
      </c>
      <c r="AD15" s="175">
        <v>2.91</v>
      </c>
      <c r="AE15" s="175">
        <v>0.21</v>
      </c>
      <c r="AF15" s="178">
        <f t="shared" si="0"/>
        <v>0.61109999999999998</v>
      </c>
      <c r="AG15" s="178">
        <v>0.54</v>
      </c>
      <c r="AH15" s="332"/>
      <c r="AI15" s="172"/>
      <c r="AJ15" s="172"/>
      <c r="AK15" s="172"/>
      <c r="AL15" s="167"/>
      <c r="AM15" s="167"/>
      <c r="AN15" s="167"/>
      <c r="AO15" s="167"/>
      <c r="AP15" s="167"/>
      <c r="AQ15" s="167"/>
      <c r="AR15" s="167"/>
      <c r="AS15" s="167"/>
      <c r="AT15" s="167"/>
      <c r="AU15" s="168"/>
      <c r="AV15" s="168"/>
      <c r="AW15" s="168"/>
      <c r="AX15" s="168"/>
      <c r="AY15" s="168"/>
      <c r="AZ15" s="167"/>
      <c r="BA15" s="167"/>
      <c r="BB15" s="167"/>
      <c r="BC15" s="167"/>
      <c r="BD15" s="167"/>
      <c r="BE15" s="167"/>
      <c r="BF15" s="167"/>
      <c r="BG15" s="167"/>
      <c r="BH15" s="167"/>
      <c r="BI15" s="179"/>
      <c r="BJ15" s="168"/>
      <c r="BK15" s="168"/>
      <c r="BL15" s="170"/>
      <c r="BM15" s="170"/>
      <c r="BN15" s="170"/>
      <c r="BO15" s="170"/>
      <c r="BP15" s="170"/>
      <c r="BQ15" s="170"/>
      <c r="BR15" s="170"/>
      <c r="BS15" s="170"/>
      <c r="BT15" s="168"/>
      <c r="BU15" s="168"/>
      <c r="BV15" s="168"/>
      <c r="BW15" s="174"/>
      <c r="BX15" s="168"/>
      <c r="BY15" s="168"/>
      <c r="BZ15" s="168"/>
      <c r="CA15" s="167"/>
      <c r="CB15" s="167"/>
    </row>
    <row r="16" spans="1:80" s="83" customFormat="1" x14ac:dyDescent="0.2">
      <c r="A16" s="176"/>
      <c r="B16" s="642"/>
      <c r="C16" s="642"/>
      <c r="D16" s="693"/>
      <c r="E16" s="169"/>
      <c r="F16" s="169"/>
      <c r="G16" s="170"/>
      <c r="H16" s="168"/>
      <c r="I16" s="177"/>
      <c r="J16" s="177"/>
      <c r="K16" s="177"/>
      <c r="L16" s="644"/>
      <c r="M16" s="645">
        <v>34130</v>
      </c>
      <c r="N16" s="585">
        <v>0.33</v>
      </c>
      <c r="O16" s="585">
        <v>0</v>
      </c>
      <c r="P16" s="175">
        <v>0</v>
      </c>
      <c r="Q16" s="175">
        <v>0</v>
      </c>
      <c r="R16" s="175">
        <v>0</v>
      </c>
      <c r="S16" s="175">
        <v>0</v>
      </c>
      <c r="T16" s="175">
        <v>0</v>
      </c>
      <c r="U16" s="175">
        <v>0</v>
      </c>
      <c r="V16" s="706">
        <v>0</v>
      </c>
      <c r="W16" s="717"/>
      <c r="X16" s="713"/>
      <c r="Y16" s="718"/>
      <c r="Z16" s="709">
        <v>0</v>
      </c>
      <c r="AA16" s="175"/>
      <c r="AB16" s="175" t="s">
        <v>39</v>
      </c>
      <c r="AC16" s="175">
        <v>5.8000000000000003E-2</v>
      </c>
      <c r="AD16" s="175">
        <v>2.92</v>
      </c>
      <c r="AE16" s="175">
        <v>0.2</v>
      </c>
      <c r="AF16" s="178">
        <f t="shared" si="0"/>
        <v>0.58399999999999996</v>
      </c>
      <c r="AG16" s="178">
        <v>0.51</v>
      </c>
      <c r="AH16" s="332"/>
      <c r="AI16" s="172"/>
      <c r="AJ16" s="172"/>
      <c r="AK16" s="172"/>
      <c r="AL16" s="167"/>
      <c r="AM16" s="167"/>
      <c r="AN16" s="167"/>
      <c r="AO16" s="167"/>
      <c r="AP16" s="167"/>
      <c r="AQ16" s="167"/>
      <c r="AR16" s="167"/>
      <c r="AS16" s="167"/>
      <c r="AT16" s="167"/>
      <c r="AU16" s="168"/>
      <c r="AV16" s="168"/>
      <c r="AW16" s="168"/>
      <c r="AX16" s="168"/>
      <c r="AY16" s="168"/>
      <c r="AZ16" s="167"/>
      <c r="BA16" s="167"/>
      <c r="BB16" s="167"/>
      <c r="BC16" s="167"/>
      <c r="BD16" s="167"/>
      <c r="BE16" s="167"/>
      <c r="BF16" s="167"/>
      <c r="BG16" s="167"/>
      <c r="BH16" s="167"/>
      <c r="BI16" s="179"/>
      <c r="BJ16" s="168"/>
      <c r="BK16" s="168"/>
      <c r="BL16" s="170"/>
      <c r="BM16" s="170"/>
      <c r="BN16" s="170"/>
      <c r="BO16" s="170"/>
      <c r="BP16" s="170"/>
      <c r="BQ16" s="170"/>
      <c r="BR16" s="170"/>
      <c r="BS16" s="170"/>
      <c r="BT16" s="168"/>
      <c r="BU16" s="168"/>
      <c r="BV16" s="168"/>
      <c r="BW16" s="174"/>
      <c r="BX16" s="168"/>
      <c r="BY16" s="168"/>
      <c r="BZ16" s="168"/>
      <c r="CA16" s="167"/>
      <c r="CB16" s="167"/>
    </row>
    <row r="17" spans="1:80" s="83" customFormat="1" x14ac:dyDescent="0.2">
      <c r="A17" s="176"/>
      <c r="B17" s="642"/>
      <c r="C17" s="642"/>
      <c r="D17" s="693"/>
      <c r="E17" s="169"/>
      <c r="F17" s="169"/>
      <c r="G17" s="170"/>
      <c r="H17" s="168"/>
      <c r="I17" s="177"/>
      <c r="J17" s="177"/>
      <c r="K17" s="177"/>
      <c r="L17" s="644"/>
      <c r="M17" s="646">
        <v>34131</v>
      </c>
      <c r="N17" s="585">
        <v>0.38</v>
      </c>
      <c r="O17" s="585">
        <v>1.17E-3</v>
      </c>
      <c r="P17" s="175">
        <v>0</v>
      </c>
      <c r="Q17" s="175">
        <v>0</v>
      </c>
      <c r="R17" s="175">
        <v>0</v>
      </c>
      <c r="S17" s="175">
        <v>5.0000000000000002E-5</v>
      </c>
      <c r="T17" s="175">
        <v>2.7999999999999998E-4</v>
      </c>
      <c r="U17" s="175">
        <v>3.5E-4</v>
      </c>
      <c r="V17" s="706">
        <v>5.0000000000000001E-4</v>
      </c>
      <c r="W17" s="717"/>
      <c r="X17" s="713"/>
      <c r="Y17" s="718"/>
      <c r="Z17" s="709">
        <v>13</v>
      </c>
      <c r="AA17" s="175"/>
      <c r="AB17" s="175"/>
      <c r="AC17" s="175">
        <v>5.8000000000000003E-2</v>
      </c>
      <c r="AD17" s="175">
        <v>2.9</v>
      </c>
      <c r="AE17" s="175">
        <v>0.21</v>
      </c>
      <c r="AF17" s="178">
        <f t="shared" si="0"/>
        <v>0.60899999999999999</v>
      </c>
      <c r="AG17" s="178">
        <v>0.57999999999999996</v>
      </c>
      <c r="AH17" s="332"/>
      <c r="AI17" s="172"/>
      <c r="AJ17" s="172"/>
      <c r="AK17" s="172"/>
      <c r="AL17" s="167"/>
      <c r="AM17" s="167"/>
      <c r="AN17" s="167"/>
      <c r="AO17" s="167"/>
      <c r="AP17" s="167"/>
      <c r="AQ17" s="167"/>
      <c r="AR17" s="167"/>
      <c r="AS17" s="167"/>
      <c r="AT17" s="167"/>
      <c r="AU17" s="168"/>
      <c r="AV17" s="168"/>
      <c r="AW17" s="168"/>
      <c r="AX17" s="168"/>
      <c r="AY17" s="168"/>
      <c r="AZ17" s="167"/>
      <c r="BA17" s="167"/>
      <c r="BB17" s="167"/>
      <c r="BC17" s="167"/>
      <c r="BD17" s="167"/>
      <c r="BE17" s="167"/>
      <c r="BF17" s="167"/>
      <c r="BG17" s="167"/>
      <c r="BH17" s="167"/>
      <c r="BI17" s="179"/>
      <c r="BJ17" s="168"/>
      <c r="BK17" s="168"/>
      <c r="BL17" s="170"/>
      <c r="BM17" s="170"/>
      <c r="BN17" s="170"/>
      <c r="BO17" s="170"/>
      <c r="BP17" s="170"/>
      <c r="BQ17" s="170"/>
      <c r="BR17" s="170"/>
      <c r="BS17" s="170"/>
      <c r="BT17" s="168"/>
      <c r="BU17" s="168"/>
      <c r="BV17" s="168"/>
      <c r="BW17" s="174"/>
      <c r="BX17" s="168"/>
      <c r="BY17" s="168"/>
      <c r="BZ17" s="168"/>
      <c r="CA17" s="167"/>
      <c r="CB17" s="167"/>
    </row>
    <row r="18" spans="1:80" s="83" customFormat="1" x14ac:dyDescent="0.2">
      <c r="A18" s="176"/>
      <c r="B18" s="642"/>
      <c r="C18" s="642"/>
      <c r="D18" s="693"/>
      <c r="E18" s="169"/>
      <c r="F18" s="169"/>
      <c r="G18" s="170"/>
      <c r="H18" s="168"/>
      <c r="I18" s="177"/>
      <c r="J18" s="177"/>
      <c r="K18" s="177"/>
      <c r="L18" s="644"/>
      <c r="M18" s="645">
        <v>34134</v>
      </c>
      <c r="N18" s="585">
        <v>0.56000000000000005</v>
      </c>
      <c r="O18" s="585">
        <v>8.0000000000000007E-5</v>
      </c>
      <c r="P18" s="175">
        <v>0</v>
      </c>
      <c r="Q18" s="175">
        <v>0</v>
      </c>
      <c r="R18" s="175">
        <v>0</v>
      </c>
      <c r="S18" s="175">
        <v>0</v>
      </c>
      <c r="T18" s="175">
        <v>1.0000000000000001E-5</v>
      </c>
      <c r="U18" s="175">
        <v>2.0000000000000002E-5</v>
      </c>
      <c r="V18" s="706">
        <v>5.0000000000000002E-5</v>
      </c>
      <c r="W18" s="717"/>
      <c r="X18" s="713"/>
      <c r="Y18" s="718"/>
      <c r="Z18" s="709">
        <v>5</v>
      </c>
      <c r="AA18" s="175"/>
      <c r="AB18" s="175"/>
      <c r="AC18" s="175">
        <v>5.7000000000000002E-2</v>
      </c>
      <c r="AD18" s="175">
        <v>2.92</v>
      </c>
      <c r="AE18" s="175">
        <v>0.27</v>
      </c>
      <c r="AF18" s="178">
        <f t="shared" si="0"/>
        <v>0.78839999999999999</v>
      </c>
      <c r="AG18" s="178">
        <v>0.67</v>
      </c>
      <c r="AH18" s="332"/>
      <c r="AI18" s="172"/>
      <c r="AJ18" s="172"/>
      <c r="AK18" s="172"/>
      <c r="AL18" s="167"/>
      <c r="AM18" s="167"/>
      <c r="AN18" s="167"/>
      <c r="AO18" s="167"/>
      <c r="AP18" s="167"/>
      <c r="AQ18" s="167"/>
      <c r="AR18" s="167"/>
      <c r="AS18" s="167"/>
      <c r="AT18" s="167"/>
      <c r="AU18" s="168"/>
      <c r="AV18" s="168"/>
      <c r="AW18" s="168"/>
      <c r="AX18" s="168"/>
      <c r="AY18" s="168"/>
      <c r="AZ18" s="167"/>
      <c r="BA18" s="167"/>
      <c r="BB18" s="167"/>
      <c r="BC18" s="167"/>
      <c r="BD18" s="167"/>
      <c r="BE18" s="167"/>
      <c r="BF18" s="167"/>
      <c r="BG18" s="167"/>
      <c r="BH18" s="167"/>
      <c r="BI18" s="179"/>
      <c r="BJ18" s="180"/>
      <c r="BK18" s="180"/>
      <c r="BL18" s="170"/>
      <c r="BM18" s="170"/>
      <c r="BN18" s="170"/>
      <c r="BO18" s="170"/>
      <c r="BP18" s="170"/>
      <c r="BQ18" s="170"/>
      <c r="BR18" s="170"/>
      <c r="BS18" s="170"/>
      <c r="BT18" s="168"/>
      <c r="BU18" s="168"/>
      <c r="BV18" s="168"/>
      <c r="BW18" s="174"/>
      <c r="BX18" s="168"/>
      <c r="BY18" s="168"/>
      <c r="BZ18" s="168"/>
      <c r="CA18" s="167"/>
      <c r="CB18" s="167"/>
    </row>
    <row r="19" spans="1:80" s="83" customFormat="1" x14ac:dyDescent="0.2">
      <c r="A19" s="176"/>
      <c r="B19" s="642"/>
      <c r="C19" s="642"/>
      <c r="D19" s="693"/>
      <c r="E19" s="169"/>
      <c r="F19" s="169"/>
      <c r="G19" s="170"/>
      <c r="H19" s="168"/>
      <c r="I19" s="177"/>
      <c r="J19" s="177"/>
      <c r="K19" s="177"/>
      <c r="L19" s="644"/>
      <c r="M19" s="645">
        <v>34135</v>
      </c>
      <c r="N19" s="585">
        <v>0.74</v>
      </c>
      <c r="O19" s="585">
        <v>3.8999999999999999E-4</v>
      </c>
      <c r="P19" s="175">
        <v>0</v>
      </c>
      <c r="Q19" s="175">
        <v>0</v>
      </c>
      <c r="R19" s="175">
        <v>0</v>
      </c>
      <c r="S19" s="175">
        <v>0</v>
      </c>
      <c r="T19" s="175">
        <v>1.0000000000000001E-5</v>
      </c>
      <c r="U19" s="175">
        <v>4.0000000000000003E-5</v>
      </c>
      <c r="V19" s="706">
        <v>3.4000000000000002E-4</v>
      </c>
      <c r="W19" s="717"/>
      <c r="X19" s="713"/>
      <c r="Y19" s="718"/>
      <c r="Z19" s="709">
        <v>4</v>
      </c>
      <c r="AA19" s="175"/>
      <c r="AB19" s="175"/>
      <c r="AC19" s="175">
        <v>5.7000000000000002E-2</v>
      </c>
      <c r="AD19" s="175">
        <v>2.97</v>
      </c>
      <c r="AE19" s="175">
        <v>0.32</v>
      </c>
      <c r="AF19" s="178">
        <f t="shared" si="0"/>
        <v>0.95040000000000013</v>
      </c>
      <c r="AG19" s="178">
        <v>0.65</v>
      </c>
      <c r="AH19" s="332"/>
      <c r="AI19" s="172"/>
      <c r="AJ19" s="172"/>
      <c r="AK19" s="172"/>
      <c r="AL19" s="167"/>
      <c r="AM19" s="167"/>
      <c r="AN19" s="167"/>
      <c r="AO19" s="167"/>
      <c r="AP19" s="167"/>
      <c r="AQ19" s="167"/>
      <c r="AR19" s="167"/>
      <c r="AS19" s="167"/>
      <c r="AT19" s="167"/>
      <c r="AU19" s="168"/>
      <c r="AV19" s="168"/>
      <c r="AW19" s="168"/>
      <c r="AX19" s="168"/>
      <c r="AY19" s="168"/>
      <c r="AZ19" s="167"/>
      <c r="BA19" s="167"/>
      <c r="BB19" s="167"/>
      <c r="BC19" s="167"/>
      <c r="BD19" s="167"/>
      <c r="BE19" s="167"/>
      <c r="BF19" s="167"/>
      <c r="BG19" s="167"/>
      <c r="BH19" s="167"/>
      <c r="BI19" s="179"/>
      <c r="BJ19" s="180"/>
      <c r="BK19" s="180"/>
      <c r="BL19" s="170"/>
      <c r="BM19" s="170"/>
      <c r="BN19" s="170"/>
      <c r="BO19" s="170"/>
      <c r="BP19" s="170"/>
      <c r="BQ19" s="170"/>
      <c r="BR19" s="170"/>
      <c r="BS19" s="170"/>
      <c r="BT19" s="168"/>
      <c r="BU19" s="168"/>
      <c r="BV19" s="168"/>
      <c r="BW19" s="174"/>
      <c r="BX19" s="168"/>
      <c r="BY19" s="168"/>
      <c r="BZ19" s="168"/>
      <c r="CA19" s="167"/>
      <c r="CB19" s="167"/>
    </row>
    <row r="20" spans="1:80" s="83" customFormat="1" x14ac:dyDescent="0.2">
      <c r="A20" s="176"/>
      <c r="B20" s="642"/>
      <c r="C20" s="642"/>
      <c r="D20" s="693"/>
      <c r="E20" s="169"/>
      <c r="F20" s="169"/>
      <c r="G20" s="170"/>
      <c r="H20" s="168"/>
      <c r="I20" s="177"/>
      <c r="J20" s="177"/>
      <c r="K20" s="177"/>
      <c r="L20" s="644"/>
      <c r="M20" s="645">
        <v>34136</v>
      </c>
      <c r="N20" s="585">
        <v>0.67</v>
      </c>
      <c r="O20" s="585">
        <v>1.0290000000000001E-2</v>
      </c>
      <c r="P20" s="175">
        <v>0</v>
      </c>
      <c r="Q20" s="175">
        <v>0</v>
      </c>
      <c r="R20" s="175">
        <v>0</v>
      </c>
      <c r="S20" s="175">
        <v>5.8E-4</v>
      </c>
      <c r="T20" s="175">
        <v>3.3800000000000002E-3</v>
      </c>
      <c r="U20" s="175">
        <v>2.9199999999999999E-3</v>
      </c>
      <c r="V20" s="706">
        <v>3.4099999999999998E-3</v>
      </c>
      <c r="W20" s="717"/>
      <c r="X20" s="713"/>
      <c r="Y20" s="718"/>
      <c r="Z20" s="709">
        <v>12</v>
      </c>
      <c r="AA20" s="175"/>
      <c r="AB20" s="175"/>
      <c r="AC20" s="175">
        <v>5.7000000000000002E-2</v>
      </c>
      <c r="AD20" s="175">
        <v>2.91</v>
      </c>
      <c r="AE20" s="175">
        <v>0.31</v>
      </c>
      <c r="AF20" s="178">
        <f t="shared" si="0"/>
        <v>0.90210000000000001</v>
      </c>
      <c r="AG20" s="178">
        <v>0.68</v>
      </c>
      <c r="AH20" s="332"/>
      <c r="AI20" s="172"/>
      <c r="AJ20" s="172"/>
      <c r="AK20" s="172"/>
      <c r="AL20" s="167"/>
      <c r="AM20" s="167"/>
      <c r="AN20" s="167"/>
      <c r="AO20" s="167"/>
      <c r="AP20" s="167"/>
      <c r="AQ20" s="167"/>
      <c r="AR20" s="167"/>
      <c r="AS20" s="167"/>
      <c r="AT20" s="167"/>
      <c r="AU20" s="168"/>
      <c r="AV20" s="168"/>
      <c r="AW20" s="168"/>
      <c r="AX20" s="168"/>
      <c r="AY20" s="168"/>
      <c r="AZ20" s="167"/>
      <c r="BA20" s="167"/>
      <c r="BB20" s="167"/>
      <c r="BC20" s="167"/>
      <c r="BD20" s="167"/>
      <c r="BE20" s="167"/>
      <c r="BF20" s="167"/>
      <c r="BG20" s="167"/>
      <c r="BH20" s="167"/>
      <c r="BI20" s="179"/>
      <c r="BJ20" s="180"/>
      <c r="BK20" s="180"/>
      <c r="BL20" s="170"/>
      <c r="BM20" s="170"/>
      <c r="BN20" s="170"/>
      <c r="BO20" s="170"/>
      <c r="BP20" s="170"/>
      <c r="BQ20" s="170"/>
      <c r="BR20" s="170"/>
      <c r="BS20" s="170"/>
      <c r="BT20" s="168"/>
      <c r="BU20" s="168"/>
      <c r="BV20" s="168"/>
      <c r="BW20" s="174"/>
      <c r="BX20" s="168"/>
      <c r="BY20" s="168"/>
      <c r="BZ20" s="168"/>
      <c r="CA20" s="167"/>
      <c r="CB20" s="167"/>
    </row>
    <row r="21" spans="1:80" s="83" customFormat="1" x14ac:dyDescent="0.2">
      <c r="A21" s="176"/>
      <c r="B21" s="642"/>
      <c r="C21" s="642"/>
      <c r="D21" s="693"/>
      <c r="E21" s="169"/>
      <c r="F21" s="169"/>
      <c r="G21" s="170"/>
      <c r="H21" s="168"/>
      <c r="I21" s="177"/>
      <c r="J21" s="177"/>
      <c r="K21" s="177"/>
      <c r="L21" s="644"/>
      <c r="M21" s="645">
        <v>34137</v>
      </c>
      <c r="N21" s="585">
        <v>0.88</v>
      </c>
      <c r="O21" s="585">
        <v>2.877E-2</v>
      </c>
      <c r="P21" s="175">
        <v>0</v>
      </c>
      <c r="Q21" s="175">
        <v>0</v>
      </c>
      <c r="R21" s="175">
        <v>2.5999999999999999E-3</v>
      </c>
      <c r="S21" s="175">
        <v>5.0400000000000002E-3</v>
      </c>
      <c r="T21" s="175">
        <v>5.8999999999999999E-3</v>
      </c>
      <c r="U21" s="175">
        <v>5.8999999999999999E-3</v>
      </c>
      <c r="V21" s="706">
        <v>9.3299999999999998E-3</v>
      </c>
      <c r="W21" s="717"/>
      <c r="X21" s="713"/>
      <c r="Y21" s="718"/>
      <c r="Z21" s="709">
        <v>31</v>
      </c>
      <c r="AA21" s="175"/>
      <c r="AB21" s="175"/>
      <c r="AC21" s="175">
        <v>5.6000000000000001E-2</v>
      </c>
      <c r="AD21" s="175">
        <v>2.95</v>
      </c>
      <c r="AE21" s="175">
        <v>0.33</v>
      </c>
      <c r="AF21" s="178">
        <f t="shared" si="0"/>
        <v>0.97350000000000014</v>
      </c>
      <c r="AG21" s="178">
        <v>0.83</v>
      </c>
      <c r="AH21" s="332"/>
      <c r="AI21" s="172"/>
      <c r="AJ21" s="172"/>
      <c r="AK21" s="172"/>
      <c r="AL21" s="167"/>
      <c r="AM21" s="167"/>
      <c r="AN21" s="167"/>
      <c r="AO21" s="167"/>
      <c r="AP21" s="167"/>
      <c r="AQ21" s="167"/>
      <c r="AR21" s="167"/>
      <c r="AS21" s="167"/>
      <c r="AT21" s="167"/>
      <c r="AU21" s="168"/>
      <c r="AV21" s="168"/>
      <c r="AW21" s="168"/>
      <c r="AX21" s="168"/>
      <c r="AY21" s="168"/>
      <c r="AZ21" s="167"/>
      <c r="BA21" s="167"/>
      <c r="BB21" s="167"/>
      <c r="BC21" s="167"/>
      <c r="BD21" s="167"/>
      <c r="BE21" s="167"/>
      <c r="BF21" s="167"/>
      <c r="BG21" s="167"/>
      <c r="BH21" s="167"/>
      <c r="BI21" s="179"/>
      <c r="BJ21" s="180"/>
      <c r="BK21" s="180"/>
      <c r="BL21" s="170"/>
      <c r="BM21" s="170"/>
      <c r="BN21" s="170"/>
      <c r="BO21" s="170"/>
      <c r="BP21" s="170"/>
      <c r="BQ21" s="170"/>
      <c r="BR21" s="170"/>
      <c r="BS21" s="170"/>
      <c r="BT21" s="168"/>
      <c r="BU21" s="168"/>
      <c r="BV21" s="168"/>
      <c r="BW21" s="174"/>
      <c r="BX21" s="168"/>
      <c r="BY21" s="168"/>
      <c r="BZ21" s="168"/>
      <c r="CA21" s="167"/>
      <c r="CB21" s="167"/>
    </row>
    <row r="22" spans="1:80" s="83" customFormat="1" x14ac:dyDescent="0.2">
      <c r="A22" s="176"/>
      <c r="B22" s="642"/>
      <c r="C22" s="642"/>
      <c r="D22" s="693"/>
      <c r="E22" s="169"/>
      <c r="F22" s="169"/>
      <c r="G22" s="170"/>
      <c r="H22" s="168"/>
      <c r="I22" s="177"/>
      <c r="J22" s="177"/>
      <c r="K22" s="177"/>
      <c r="L22" s="644"/>
      <c r="M22" s="645">
        <v>34138</v>
      </c>
      <c r="N22" s="585">
        <v>0.81</v>
      </c>
      <c r="O22" s="585">
        <v>1.482E-2</v>
      </c>
      <c r="P22" s="175">
        <v>0</v>
      </c>
      <c r="Q22" s="175">
        <v>0</v>
      </c>
      <c r="R22" s="175">
        <v>0</v>
      </c>
      <c r="S22" s="175">
        <v>1.2899999999999999E-3</v>
      </c>
      <c r="T22" s="175">
        <v>3.0300000000000001E-3</v>
      </c>
      <c r="U22" s="175">
        <v>3.5000000000000001E-3</v>
      </c>
      <c r="V22" s="706">
        <v>6.9899999999999997E-3</v>
      </c>
      <c r="W22" s="717"/>
      <c r="X22" s="713"/>
      <c r="Y22" s="718"/>
      <c r="Z22" s="709">
        <v>16</v>
      </c>
      <c r="AA22" s="175"/>
      <c r="AB22" s="175"/>
      <c r="AC22" s="175">
        <v>5.7000000000000002E-2</v>
      </c>
      <c r="AD22" s="175">
        <v>2.99</v>
      </c>
      <c r="AE22" s="175">
        <v>0.28999999999999998</v>
      </c>
      <c r="AF22" s="178">
        <f t="shared" si="0"/>
        <v>0.86709999999999998</v>
      </c>
      <c r="AG22" s="178">
        <v>0.81</v>
      </c>
      <c r="AH22" s="332"/>
      <c r="AI22" s="172"/>
      <c r="AJ22" s="172"/>
      <c r="AK22" s="172"/>
      <c r="AL22" s="167"/>
      <c r="AM22" s="167"/>
      <c r="AN22" s="167"/>
      <c r="AO22" s="167"/>
      <c r="AP22" s="167"/>
      <c r="AQ22" s="167"/>
      <c r="AR22" s="167"/>
      <c r="AS22" s="167"/>
      <c r="AT22" s="167"/>
      <c r="AU22" s="168"/>
      <c r="AV22" s="168"/>
      <c r="AW22" s="168"/>
      <c r="AX22" s="168"/>
      <c r="AY22" s="168"/>
      <c r="AZ22" s="167"/>
      <c r="BA22" s="167"/>
      <c r="BB22" s="167"/>
      <c r="BC22" s="167"/>
      <c r="BD22" s="167"/>
      <c r="BE22" s="167"/>
      <c r="BF22" s="167"/>
      <c r="BG22" s="167"/>
      <c r="BH22" s="167"/>
      <c r="BI22" s="179"/>
      <c r="BJ22" s="180"/>
      <c r="BK22" s="180"/>
      <c r="BL22" s="170"/>
      <c r="BM22" s="170"/>
      <c r="BN22" s="170"/>
      <c r="BO22" s="170"/>
      <c r="BP22" s="170"/>
      <c r="BQ22" s="170"/>
      <c r="BR22" s="170"/>
      <c r="BS22" s="170"/>
      <c r="BT22" s="168"/>
      <c r="BU22" s="168"/>
      <c r="BV22" s="168"/>
      <c r="BW22" s="174"/>
      <c r="BX22" s="168"/>
      <c r="BY22" s="168"/>
      <c r="BZ22" s="168"/>
      <c r="CA22" s="167"/>
      <c r="CB22" s="167"/>
    </row>
    <row r="23" spans="1:80" s="83" customFormat="1" x14ac:dyDescent="0.2">
      <c r="A23" s="176"/>
      <c r="B23" s="642"/>
      <c r="C23" s="642"/>
      <c r="D23" s="693"/>
      <c r="E23" s="169"/>
      <c r="F23" s="169"/>
      <c r="G23" s="170"/>
      <c r="H23" s="168"/>
      <c r="I23" s="177"/>
      <c r="J23" s="177"/>
      <c r="K23" s="177"/>
      <c r="L23" s="644"/>
      <c r="M23" s="645">
        <v>34139</v>
      </c>
      <c r="N23" s="585">
        <v>0.76</v>
      </c>
      <c r="O23" s="585">
        <v>6.5399999999999998E-3</v>
      </c>
      <c r="P23" s="175">
        <v>0</v>
      </c>
      <c r="Q23" s="175">
        <v>0</v>
      </c>
      <c r="R23" s="175">
        <v>0</v>
      </c>
      <c r="S23" s="175">
        <v>2.4000000000000001E-4</v>
      </c>
      <c r="T23" s="175">
        <v>7.1000000000000002E-4</v>
      </c>
      <c r="U23" s="175">
        <v>1.5200000000000001E-3</v>
      </c>
      <c r="V23" s="706">
        <v>4.0699999999999998E-3</v>
      </c>
      <c r="W23" s="717"/>
      <c r="X23" s="713"/>
      <c r="Y23" s="718"/>
      <c r="Z23" s="709">
        <v>9</v>
      </c>
      <c r="AA23" s="175"/>
      <c r="AB23" s="175"/>
      <c r="AC23" s="175">
        <v>5.7000000000000002E-2</v>
      </c>
      <c r="AD23" s="175">
        <v>2.99</v>
      </c>
      <c r="AE23" s="175">
        <v>0.3</v>
      </c>
      <c r="AF23" s="178">
        <f t="shared" si="0"/>
        <v>0.89700000000000002</v>
      </c>
      <c r="AG23" s="178">
        <v>0.77</v>
      </c>
      <c r="AH23" s="332"/>
      <c r="AI23" s="172"/>
      <c r="AJ23" s="172"/>
      <c r="AK23" s="172"/>
      <c r="AL23" s="167"/>
      <c r="AM23" s="167"/>
      <c r="AN23" s="167"/>
      <c r="AO23" s="167"/>
      <c r="AP23" s="167"/>
      <c r="AQ23" s="167"/>
      <c r="AR23" s="167"/>
      <c r="AS23" s="167"/>
      <c r="AT23" s="167"/>
      <c r="AU23" s="168"/>
      <c r="AV23" s="168"/>
      <c r="AW23" s="168"/>
      <c r="AX23" s="168"/>
      <c r="AY23" s="168"/>
      <c r="AZ23" s="167"/>
      <c r="BA23" s="167"/>
      <c r="BB23" s="167"/>
      <c r="BC23" s="167"/>
      <c r="BD23" s="167"/>
      <c r="BE23" s="167"/>
      <c r="BF23" s="167"/>
      <c r="BG23" s="167"/>
      <c r="BH23" s="167"/>
      <c r="BI23" s="179"/>
      <c r="BJ23" s="180"/>
      <c r="BK23" s="180"/>
      <c r="BL23" s="170"/>
      <c r="BM23" s="170"/>
      <c r="BN23" s="170"/>
      <c r="BO23" s="170"/>
      <c r="BP23" s="170"/>
      <c r="BQ23" s="170"/>
      <c r="BR23" s="170"/>
      <c r="BS23" s="170"/>
      <c r="BT23" s="168"/>
      <c r="BU23" s="168"/>
      <c r="BV23" s="168"/>
      <c r="BW23" s="174"/>
      <c r="BX23" s="168"/>
      <c r="BY23" s="168"/>
      <c r="BZ23" s="168"/>
      <c r="CA23" s="167"/>
      <c r="CB23" s="167"/>
    </row>
    <row r="24" spans="1:80" s="83" customFormat="1" x14ac:dyDescent="0.2">
      <c r="A24" s="176"/>
      <c r="B24" s="642"/>
      <c r="C24" s="642"/>
      <c r="D24" s="693"/>
      <c r="E24" s="169"/>
      <c r="F24" s="169"/>
      <c r="G24" s="170"/>
      <c r="H24" s="168"/>
      <c r="I24" s="168"/>
      <c r="J24" s="168"/>
      <c r="K24" s="168"/>
      <c r="L24" s="642"/>
      <c r="M24" s="645">
        <v>34140</v>
      </c>
      <c r="N24" s="585">
        <v>0.69</v>
      </c>
      <c r="O24" s="585">
        <v>4.8700000000000002E-3</v>
      </c>
      <c r="P24" s="175">
        <v>0</v>
      </c>
      <c r="Q24" s="175">
        <v>0</v>
      </c>
      <c r="R24" s="175">
        <v>3.2000000000000003E-4</v>
      </c>
      <c r="S24" s="175">
        <v>5.6999999999999998E-4</v>
      </c>
      <c r="T24" s="175">
        <v>8.1999999999999998E-4</v>
      </c>
      <c r="U24" s="175">
        <v>8.7000000000000001E-4</v>
      </c>
      <c r="V24" s="706">
        <v>2.2899999999999999E-3</v>
      </c>
      <c r="W24" s="717"/>
      <c r="X24" s="713"/>
      <c r="Y24" s="718"/>
      <c r="Z24" s="709">
        <v>22</v>
      </c>
      <c r="AA24" s="175"/>
      <c r="AB24" s="175"/>
      <c r="AC24" s="175">
        <v>5.7000000000000002E-2</v>
      </c>
      <c r="AD24" s="175">
        <v>2.96</v>
      </c>
      <c r="AE24" s="175">
        <v>0.28999999999999998</v>
      </c>
      <c r="AF24" s="178">
        <f t="shared" si="0"/>
        <v>0.85839999999999994</v>
      </c>
      <c r="AG24" s="178">
        <v>0.78</v>
      </c>
      <c r="AH24" s="332"/>
      <c r="AI24" s="172"/>
      <c r="AJ24" s="172"/>
      <c r="AK24" s="172"/>
      <c r="AL24" s="167"/>
      <c r="AM24" s="167"/>
      <c r="AN24" s="167"/>
      <c r="AO24" s="167"/>
      <c r="AP24" s="167"/>
      <c r="AQ24" s="167"/>
      <c r="AR24" s="167"/>
      <c r="AS24" s="167"/>
      <c r="AT24" s="167"/>
      <c r="AU24" s="168"/>
      <c r="AV24" s="168"/>
      <c r="AW24" s="168"/>
      <c r="AX24" s="168"/>
      <c r="AY24" s="168"/>
      <c r="AZ24" s="167"/>
      <c r="BA24" s="167"/>
      <c r="BB24" s="167"/>
      <c r="BC24" s="167"/>
      <c r="BD24" s="167"/>
      <c r="BE24" s="167"/>
      <c r="BF24" s="167"/>
      <c r="BG24" s="167"/>
      <c r="BH24" s="167"/>
      <c r="BI24" s="179"/>
      <c r="BJ24" s="180"/>
      <c r="BK24" s="180"/>
      <c r="BL24" s="170"/>
      <c r="BM24" s="170"/>
      <c r="BN24" s="170"/>
      <c r="BO24" s="170"/>
      <c r="BP24" s="170"/>
      <c r="BQ24" s="170"/>
      <c r="BR24" s="170"/>
      <c r="BS24" s="170"/>
      <c r="BT24" s="168"/>
      <c r="BU24" s="168"/>
      <c r="BV24" s="168"/>
      <c r="BW24" s="174"/>
      <c r="BX24" s="168"/>
      <c r="BY24" s="168"/>
      <c r="BZ24" s="168"/>
      <c r="CA24" s="167"/>
      <c r="CB24" s="167"/>
    </row>
    <row r="25" spans="1:80" s="83" customFormat="1" x14ac:dyDescent="0.2">
      <c r="A25" s="176"/>
      <c r="B25" s="642"/>
      <c r="C25" s="642"/>
      <c r="D25" s="693"/>
      <c r="E25" s="169"/>
      <c r="F25" s="169"/>
      <c r="G25" s="170"/>
      <c r="H25" s="168"/>
      <c r="I25" s="168"/>
      <c r="J25" s="168"/>
      <c r="K25" s="168"/>
      <c r="L25" s="642"/>
      <c r="M25" s="645">
        <v>34141</v>
      </c>
      <c r="N25" s="585">
        <v>0.86</v>
      </c>
      <c r="O25" s="585">
        <v>2.3500000000000001E-3</v>
      </c>
      <c r="P25" s="175">
        <v>0</v>
      </c>
      <c r="Q25" s="175">
        <v>0</v>
      </c>
      <c r="R25" s="175">
        <v>0</v>
      </c>
      <c r="S25" s="175">
        <v>1.1E-4</v>
      </c>
      <c r="T25" s="175">
        <v>3.3E-4</v>
      </c>
      <c r="U25" s="175">
        <v>4.0000000000000002E-4</v>
      </c>
      <c r="V25" s="706">
        <v>1.5100000000000001E-3</v>
      </c>
      <c r="W25" s="717"/>
      <c r="X25" s="713"/>
      <c r="Y25" s="718"/>
      <c r="Z25" s="709">
        <v>10</v>
      </c>
      <c r="AA25" s="175"/>
      <c r="AB25" s="175"/>
      <c r="AC25" s="175">
        <v>5.6000000000000001E-2</v>
      </c>
      <c r="AD25" s="175">
        <v>2.95</v>
      </c>
      <c r="AE25" s="175">
        <v>0.32</v>
      </c>
      <c r="AF25" s="178">
        <f t="shared" si="0"/>
        <v>0.94400000000000006</v>
      </c>
      <c r="AG25" s="178">
        <v>0.84</v>
      </c>
      <c r="AH25" s="332"/>
      <c r="AI25" s="172"/>
      <c r="AJ25" s="172"/>
      <c r="AK25" s="172"/>
      <c r="AL25" s="167"/>
      <c r="AM25" s="167"/>
      <c r="AN25" s="167"/>
      <c r="AO25" s="167"/>
      <c r="AP25" s="167"/>
      <c r="AQ25" s="167"/>
      <c r="AR25" s="167"/>
      <c r="AS25" s="167"/>
      <c r="AT25" s="167"/>
      <c r="AU25" s="168"/>
      <c r="AV25" s="168"/>
      <c r="AW25" s="168"/>
      <c r="AX25" s="168"/>
      <c r="AY25" s="168"/>
      <c r="AZ25" s="167"/>
      <c r="BA25" s="167"/>
      <c r="BB25" s="167"/>
      <c r="BC25" s="167"/>
      <c r="BD25" s="167"/>
      <c r="BE25" s="167"/>
      <c r="BF25" s="167"/>
      <c r="BG25" s="167"/>
      <c r="BH25" s="167"/>
      <c r="BI25" s="179"/>
      <c r="BJ25" s="168"/>
      <c r="BK25" s="168"/>
      <c r="BL25" s="170"/>
      <c r="BM25" s="170"/>
      <c r="BN25" s="170"/>
      <c r="BO25" s="170"/>
      <c r="BP25" s="170"/>
      <c r="BQ25" s="170"/>
      <c r="BR25" s="170"/>
      <c r="BS25" s="170"/>
      <c r="BT25" s="168"/>
      <c r="BU25" s="168"/>
      <c r="BV25" s="168"/>
      <c r="BW25" s="174"/>
      <c r="BX25" s="168"/>
      <c r="BY25" s="168"/>
      <c r="BZ25" s="168"/>
      <c r="CA25" s="167"/>
      <c r="CB25" s="167"/>
    </row>
    <row r="26" spans="1:80" s="83" customFormat="1" x14ac:dyDescent="0.2">
      <c r="A26" s="176"/>
      <c r="B26" s="642"/>
      <c r="C26" s="642"/>
      <c r="D26" s="693"/>
      <c r="E26" s="169"/>
      <c r="F26" s="169"/>
      <c r="G26" s="170"/>
      <c r="H26" s="168"/>
      <c r="I26" s="168"/>
      <c r="J26" s="168"/>
      <c r="K26" s="168"/>
      <c r="L26" s="642"/>
      <c r="M26" s="645">
        <v>34142</v>
      </c>
      <c r="N26" s="585">
        <v>0.8</v>
      </c>
      <c r="O26" s="585">
        <v>1.1429999999999999E-2</v>
      </c>
      <c r="P26" s="175">
        <v>0</v>
      </c>
      <c r="Q26" s="175">
        <v>0</v>
      </c>
      <c r="R26" s="175">
        <v>8.8999999999999995E-4</v>
      </c>
      <c r="S26" s="175">
        <v>1.42E-3</v>
      </c>
      <c r="T26" s="175">
        <v>2.3900000000000002E-3</v>
      </c>
      <c r="U26" s="175">
        <v>2.5799999999999998E-3</v>
      </c>
      <c r="V26" s="706">
        <v>4.15E-3</v>
      </c>
      <c r="W26" s="717"/>
      <c r="X26" s="713"/>
      <c r="Y26" s="718"/>
      <c r="Z26" s="709">
        <v>19</v>
      </c>
      <c r="AA26" s="175"/>
      <c r="AB26" s="175"/>
      <c r="AC26" s="175">
        <v>5.6000000000000001E-2</v>
      </c>
      <c r="AD26" s="175">
        <v>2.95</v>
      </c>
      <c r="AE26" s="175">
        <v>0.33</v>
      </c>
      <c r="AF26" s="178">
        <f t="shared" si="0"/>
        <v>0.97350000000000014</v>
      </c>
      <c r="AG26" s="178">
        <v>0.83</v>
      </c>
      <c r="AH26" s="332"/>
      <c r="AI26" s="172"/>
      <c r="AJ26" s="172"/>
      <c r="AK26" s="172"/>
      <c r="AL26" s="167"/>
      <c r="AM26" s="167"/>
      <c r="AN26" s="167"/>
      <c r="AO26" s="167"/>
      <c r="AP26" s="167"/>
      <c r="AQ26" s="167"/>
      <c r="AR26" s="167"/>
      <c r="AS26" s="167"/>
      <c r="AT26" s="167"/>
      <c r="AU26" s="168"/>
      <c r="AV26" s="168"/>
      <c r="AW26" s="168"/>
      <c r="AX26" s="168"/>
      <c r="AY26" s="168"/>
      <c r="AZ26" s="167"/>
      <c r="BA26" s="167"/>
      <c r="BB26" s="167"/>
      <c r="BC26" s="167"/>
      <c r="BD26" s="167"/>
      <c r="BE26" s="167"/>
      <c r="BF26" s="167"/>
      <c r="BG26" s="167"/>
      <c r="BH26" s="167"/>
      <c r="BI26" s="179"/>
      <c r="BJ26" s="180"/>
      <c r="BK26" s="180"/>
      <c r="BL26" s="170"/>
      <c r="BM26" s="170"/>
      <c r="BN26" s="170"/>
      <c r="BO26" s="170"/>
      <c r="BP26" s="170"/>
      <c r="BQ26" s="170"/>
      <c r="BR26" s="170"/>
      <c r="BS26" s="170"/>
      <c r="BT26" s="168"/>
      <c r="BU26" s="168"/>
      <c r="BV26" s="168"/>
      <c r="BW26" s="174"/>
      <c r="BX26" s="168"/>
      <c r="BY26" s="168"/>
      <c r="BZ26" s="168"/>
      <c r="CA26" s="167"/>
      <c r="CB26" s="167"/>
    </row>
    <row r="27" spans="1:80" s="83" customFormat="1" x14ac:dyDescent="0.2">
      <c r="A27" s="176"/>
      <c r="B27" s="642"/>
      <c r="C27" s="642"/>
      <c r="D27" s="693"/>
      <c r="E27" s="169"/>
      <c r="F27" s="169"/>
      <c r="G27" s="170"/>
      <c r="H27" s="168"/>
      <c r="I27" s="168"/>
      <c r="J27" s="168"/>
      <c r="K27" s="168"/>
      <c r="L27" s="642"/>
      <c r="M27" s="645">
        <v>34143</v>
      </c>
      <c r="N27" s="585">
        <v>0.86</v>
      </c>
      <c r="O27" s="585">
        <v>1.025E-2</v>
      </c>
      <c r="P27" s="175">
        <v>0</v>
      </c>
      <c r="Q27" s="175">
        <v>0</v>
      </c>
      <c r="R27" s="175">
        <v>3.5300000000000002E-3</v>
      </c>
      <c r="S27" s="175">
        <v>1.1100000000000001E-3</v>
      </c>
      <c r="T27" s="175">
        <v>1.6299999999999999E-3</v>
      </c>
      <c r="U27" s="175">
        <v>1.33E-3</v>
      </c>
      <c r="V27" s="706">
        <v>2.65E-3</v>
      </c>
      <c r="W27" s="717"/>
      <c r="X27" s="713"/>
      <c r="Y27" s="718"/>
      <c r="Z27" s="709">
        <v>34</v>
      </c>
      <c r="AA27" s="175"/>
      <c r="AB27" s="175"/>
      <c r="AC27" s="175">
        <v>5.6000000000000001E-2</v>
      </c>
      <c r="AD27" s="175">
        <v>2.97</v>
      </c>
      <c r="AE27" s="175">
        <v>0.34</v>
      </c>
      <c r="AF27" s="178">
        <f t="shared" si="0"/>
        <v>1.0098</v>
      </c>
      <c r="AG27" s="178">
        <v>0.8</v>
      </c>
      <c r="AH27" s="332"/>
      <c r="AI27" s="172"/>
      <c r="AJ27" s="172"/>
      <c r="AK27" s="172"/>
      <c r="AL27" s="167"/>
      <c r="AM27" s="167"/>
      <c r="AN27" s="167"/>
      <c r="AO27" s="167"/>
      <c r="AP27" s="167"/>
      <c r="AQ27" s="167"/>
      <c r="AR27" s="167"/>
      <c r="AS27" s="167"/>
      <c r="AT27" s="167"/>
      <c r="AU27" s="168"/>
      <c r="AV27" s="168"/>
      <c r="AW27" s="168"/>
      <c r="AX27" s="168"/>
      <c r="AY27" s="168"/>
      <c r="AZ27" s="167"/>
      <c r="BA27" s="167"/>
      <c r="BB27" s="167"/>
      <c r="BC27" s="167"/>
      <c r="BD27" s="167"/>
      <c r="BE27" s="167"/>
      <c r="BF27" s="167"/>
      <c r="BG27" s="167"/>
      <c r="BH27" s="167"/>
      <c r="BI27" s="179"/>
      <c r="BJ27" s="168"/>
      <c r="BK27" s="168"/>
      <c r="BL27" s="170"/>
      <c r="BM27" s="170"/>
      <c r="BN27" s="170"/>
      <c r="BO27" s="170"/>
      <c r="BP27" s="170"/>
      <c r="BQ27" s="170"/>
      <c r="BR27" s="170"/>
      <c r="BS27" s="170"/>
      <c r="BT27" s="168"/>
      <c r="BU27" s="168"/>
      <c r="BV27" s="168"/>
      <c r="BW27" s="174"/>
      <c r="BX27" s="168"/>
      <c r="BY27" s="168"/>
      <c r="BZ27" s="168"/>
      <c r="CA27" s="167"/>
      <c r="CB27" s="167"/>
    </row>
    <row r="28" spans="1:80" s="83" customFormat="1" x14ac:dyDescent="0.2">
      <c r="A28" s="176"/>
      <c r="B28" s="642"/>
      <c r="C28" s="642"/>
      <c r="D28" s="693"/>
      <c r="E28" s="169"/>
      <c r="F28" s="169"/>
      <c r="G28" s="170"/>
      <c r="H28" s="168"/>
      <c r="I28" s="168"/>
      <c r="J28" s="168"/>
      <c r="K28" s="168"/>
      <c r="L28" s="642"/>
      <c r="M28" s="645">
        <v>34144</v>
      </c>
      <c r="N28" s="585">
        <v>0.76</v>
      </c>
      <c r="O28" s="585">
        <v>9.3000000000000005E-4</v>
      </c>
      <c r="P28" s="175">
        <v>0</v>
      </c>
      <c r="Q28" s="175">
        <v>0</v>
      </c>
      <c r="R28" s="175">
        <v>0</v>
      </c>
      <c r="S28" s="175">
        <v>1.7000000000000001E-4</v>
      </c>
      <c r="T28" s="175">
        <v>6.0000000000000002E-5</v>
      </c>
      <c r="U28" s="175">
        <v>1.7000000000000001E-4</v>
      </c>
      <c r="V28" s="706">
        <v>5.2999999999999998E-4</v>
      </c>
      <c r="W28" s="717"/>
      <c r="X28" s="713"/>
      <c r="Y28" s="718"/>
      <c r="Z28" s="709">
        <v>12</v>
      </c>
      <c r="AA28" s="175"/>
      <c r="AB28" s="175"/>
      <c r="AC28" s="175">
        <v>5.7000000000000002E-2</v>
      </c>
      <c r="AD28" s="175">
        <v>2.97</v>
      </c>
      <c r="AE28" s="175">
        <v>0.31</v>
      </c>
      <c r="AF28" s="178">
        <f t="shared" si="0"/>
        <v>0.92070000000000007</v>
      </c>
      <c r="AG28" s="178">
        <v>0.77</v>
      </c>
      <c r="AH28" s="332"/>
      <c r="AI28" s="172"/>
      <c r="AJ28" s="172"/>
      <c r="AK28" s="172"/>
      <c r="AL28" s="167"/>
      <c r="AM28" s="167"/>
      <c r="AN28" s="167"/>
      <c r="AO28" s="167"/>
      <c r="AP28" s="167"/>
      <c r="AQ28" s="167"/>
      <c r="AR28" s="167"/>
      <c r="AS28" s="167"/>
      <c r="AT28" s="167"/>
      <c r="AU28" s="168"/>
      <c r="AV28" s="168"/>
      <c r="AW28" s="168"/>
      <c r="AX28" s="168"/>
      <c r="AY28" s="168"/>
      <c r="AZ28" s="167"/>
      <c r="BA28" s="167"/>
      <c r="BB28" s="167"/>
      <c r="BC28" s="167"/>
      <c r="BD28" s="167"/>
      <c r="BE28" s="167"/>
      <c r="BF28" s="167"/>
      <c r="BG28" s="167"/>
      <c r="BH28" s="167"/>
      <c r="BI28" s="179"/>
      <c r="BJ28" s="180"/>
      <c r="BK28" s="180"/>
      <c r="BL28" s="170"/>
      <c r="BM28" s="170"/>
      <c r="BN28" s="170"/>
      <c r="BO28" s="170"/>
      <c r="BP28" s="170"/>
      <c r="BQ28" s="170"/>
      <c r="BR28" s="170"/>
      <c r="BS28" s="170"/>
      <c r="BT28" s="168"/>
      <c r="BU28" s="168"/>
      <c r="BV28" s="168"/>
      <c r="BW28" s="174"/>
      <c r="BX28" s="168"/>
      <c r="BY28" s="168"/>
      <c r="BZ28" s="168"/>
      <c r="CA28" s="167"/>
      <c r="CB28" s="167"/>
    </row>
    <row r="29" spans="1:80" s="83" customFormat="1" x14ac:dyDescent="0.2">
      <c r="A29" s="176"/>
      <c r="B29" s="642"/>
      <c r="C29" s="642"/>
      <c r="D29" s="693"/>
      <c r="E29" s="169"/>
      <c r="F29" s="169"/>
      <c r="G29" s="170"/>
      <c r="H29" s="168"/>
      <c r="I29" s="168"/>
      <c r="J29" s="168"/>
      <c r="K29" s="168"/>
      <c r="L29" s="642"/>
      <c r="M29" s="645">
        <v>34145</v>
      </c>
      <c r="N29" s="585">
        <v>0.75</v>
      </c>
      <c r="O29" s="585">
        <v>1.043E-2</v>
      </c>
      <c r="P29" s="175">
        <v>0</v>
      </c>
      <c r="Q29" s="175">
        <v>0</v>
      </c>
      <c r="R29" s="175">
        <v>0</v>
      </c>
      <c r="S29" s="175">
        <v>2.4099999999999998E-3</v>
      </c>
      <c r="T29" s="175">
        <v>2.31E-3</v>
      </c>
      <c r="U29" s="175">
        <v>1.99E-3</v>
      </c>
      <c r="V29" s="706">
        <v>3.7299999999999998E-3</v>
      </c>
      <c r="W29" s="717"/>
      <c r="X29" s="713"/>
      <c r="Y29" s="718"/>
      <c r="Z29" s="709">
        <v>20</v>
      </c>
      <c r="AA29" s="175"/>
      <c r="AB29" s="175"/>
      <c r="AC29" s="175">
        <v>5.7000000000000002E-2</v>
      </c>
      <c r="AD29" s="175">
        <v>2.95</v>
      </c>
      <c r="AE29" s="175">
        <v>0.33</v>
      </c>
      <c r="AF29" s="178">
        <f t="shared" si="0"/>
        <v>0.97350000000000014</v>
      </c>
      <c r="AG29" s="178">
        <v>0.76</v>
      </c>
      <c r="AH29" s="332"/>
      <c r="AI29" s="172"/>
      <c r="AJ29" s="172"/>
      <c r="AK29" s="172"/>
      <c r="AL29" s="167"/>
      <c r="AM29" s="167"/>
      <c r="AN29" s="167"/>
      <c r="AO29" s="167"/>
      <c r="AP29" s="167"/>
      <c r="AQ29" s="167"/>
      <c r="AR29" s="167"/>
      <c r="AS29" s="167"/>
      <c r="AT29" s="167"/>
      <c r="AU29" s="168"/>
      <c r="AV29" s="168"/>
      <c r="AW29" s="168"/>
      <c r="AX29" s="168"/>
      <c r="AY29" s="168"/>
      <c r="AZ29" s="167"/>
      <c r="BA29" s="167"/>
      <c r="BB29" s="167"/>
      <c r="BC29" s="167"/>
      <c r="BD29" s="167"/>
      <c r="BE29" s="167"/>
      <c r="BF29" s="167"/>
      <c r="BG29" s="167"/>
      <c r="BH29" s="167"/>
      <c r="BI29" s="179"/>
      <c r="BJ29" s="180"/>
      <c r="BK29" s="180"/>
      <c r="BL29" s="170"/>
      <c r="BM29" s="170"/>
      <c r="BN29" s="170"/>
      <c r="BO29" s="170"/>
      <c r="BP29" s="170"/>
      <c r="BQ29" s="170"/>
      <c r="BR29" s="170"/>
      <c r="BS29" s="170"/>
      <c r="BT29" s="168"/>
      <c r="BU29" s="168"/>
      <c r="BV29" s="168"/>
      <c r="BW29" s="174"/>
      <c r="BX29" s="168"/>
      <c r="BY29" s="168"/>
      <c r="BZ29" s="168"/>
      <c r="CA29" s="167"/>
      <c r="CB29" s="167"/>
    </row>
    <row r="30" spans="1:80" s="83" customFormat="1" x14ac:dyDescent="0.2">
      <c r="A30" s="176"/>
      <c r="B30" s="642"/>
      <c r="C30" s="642"/>
      <c r="D30" s="693"/>
      <c r="E30" s="169"/>
      <c r="F30" s="169"/>
      <c r="G30" s="170"/>
      <c r="H30" s="168"/>
      <c r="I30" s="168"/>
      <c r="J30" s="168"/>
      <c r="K30" s="168"/>
      <c r="L30" s="642"/>
      <c r="M30" s="645">
        <v>34148</v>
      </c>
      <c r="N30" s="585">
        <v>0.79</v>
      </c>
      <c r="O30" s="585">
        <v>4.6000000000000001E-4</v>
      </c>
      <c r="P30" s="175">
        <v>0</v>
      </c>
      <c r="Q30" s="175">
        <v>0</v>
      </c>
      <c r="R30" s="175">
        <v>0</v>
      </c>
      <c r="S30" s="175">
        <v>1E-4</v>
      </c>
      <c r="T30" s="175">
        <v>0</v>
      </c>
      <c r="U30" s="175">
        <v>9.0000000000000006E-5</v>
      </c>
      <c r="V30" s="706">
        <v>2.7E-4</v>
      </c>
      <c r="W30" s="717"/>
      <c r="X30" s="713"/>
      <c r="Y30" s="718"/>
      <c r="Z30" s="709">
        <v>9</v>
      </c>
      <c r="AA30" s="175"/>
      <c r="AB30" s="175"/>
      <c r="AC30" s="175">
        <v>5.6000000000000001E-2</v>
      </c>
      <c r="AD30" s="175">
        <v>2.99</v>
      </c>
      <c r="AE30" s="175">
        <v>0.35</v>
      </c>
      <c r="AF30" s="178">
        <f t="shared" si="0"/>
        <v>1.0465</v>
      </c>
      <c r="AG30" s="178">
        <v>0.79</v>
      </c>
      <c r="AH30" s="332"/>
      <c r="AI30" s="172"/>
      <c r="AJ30" s="172"/>
      <c r="AK30" s="172"/>
      <c r="AL30" s="167"/>
      <c r="AM30" s="167"/>
      <c r="AN30" s="167"/>
      <c r="AO30" s="167"/>
      <c r="AP30" s="167"/>
      <c r="AQ30" s="167"/>
      <c r="AR30" s="167"/>
      <c r="AS30" s="167"/>
      <c r="AT30" s="167"/>
      <c r="AU30" s="168"/>
      <c r="AV30" s="168"/>
      <c r="AW30" s="168"/>
      <c r="AX30" s="168"/>
      <c r="AY30" s="168"/>
      <c r="AZ30" s="167"/>
      <c r="BA30" s="167"/>
      <c r="BB30" s="167"/>
      <c r="BC30" s="167"/>
      <c r="BD30" s="167"/>
      <c r="BE30" s="167"/>
      <c r="BF30" s="167"/>
      <c r="BG30" s="167"/>
      <c r="BH30" s="167"/>
      <c r="BI30" s="179"/>
      <c r="BJ30" s="180"/>
      <c r="BK30" s="180"/>
      <c r="BL30" s="170"/>
      <c r="BM30" s="170"/>
      <c r="BN30" s="170"/>
      <c r="BO30" s="170"/>
      <c r="BP30" s="170"/>
      <c r="BQ30" s="170"/>
      <c r="BR30" s="170"/>
      <c r="BS30" s="170"/>
      <c r="BT30" s="168"/>
      <c r="BU30" s="168"/>
      <c r="BV30" s="168"/>
      <c r="BW30" s="174"/>
      <c r="BX30" s="168"/>
      <c r="BY30" s="168"/>
      <c r="BZ30" s="168"/>
      <c r="CA30" s="167"/>
      <c r="CB30" s="167"/>
    </row>
    <row r="31" spans="1:80" s="83" customFormat="1" x14ac:dyDescent="0.2">
      <c r="A31" s="176"/>
      <c r="B31" s="642"/>
      <c r="C31" s="642"/>
      <c r="D31" s="693"/>
      <c r="E31" s="169"/>
      <c r="F31" s="169"/>
      <c r="G31" s="170"/>
      <c r="H31" s="168"/>
      <c r="I31" s="168"/>
      <c r="J31" s="168"/>
      <c r="K31" s="168"/>
      <c r="L31" s="642"/>
      <c r="M31" s="645">
        <v>34149</v>
      </c>
      <c r="N31" s="585">
        <v>0.91</v>
      </c>
      <c r="O31" s="585">
        <v>1.8190000000000001E-2</v>
      </c>
      <c r="P31" s="175">
        <v>0</v>
      </c>
      <c r="Q31" s="175">
        <v>0</v>
      </c>
      <c r="R31" s="175">
        <v>7.6999999999999996E-4</v>
      </c>
      <c r="S31" s="175">
        <v>4.2900000000000004E-3</v>
      </c>
      <c r="T31" s="175">
        <v>4.4600000000000004E-3</v>
      </c>
      <c r="U31" s="175">
        <v>3.79E-3</v>
      </c>
      <c r="V31" s="706">
        <v>4.8900000000000002E-3</v>
      </c>
      <c r="W31" s="717"/>
      <c r="X31" s="713"/>
      <c r="Y31" s="718"/>
      <c r="Z31" s="709">
        <v>23</v>
      </c>
      <c r="AA31" s="175"/>
      <c r="AB31" s="175"/>
      <c r="AC31" s="175">
        <v>5.6000000000000001E-2</v>
      </c>
      <c r="AD31" s="175">
        <v>3.02</v>
      </c>
      <c r="AE31" s="175">
        <v>0.35</v>
      </c>
      <c r="AF31" s="178">
        <f t="shared" si="0"/>
        <v>1.0569999999999999</v>
      </c>
      <c r="AG31" s="178">
        <v>0.93</v>
      </c>
      <c r="AH31" s="332"/>
      <c r="AI31" s="172"/>
      <c r="AJ31" s="172"/>
      <c r="AK31" s="172"/>
      <c r="AL31" s="167"/>
      <c r="AM31" s="167"/>
      <c r="AN31" s="167"/>
      <c r="AO31" s="167"/>
      <c r="AP31" s="167"/>
      <c r="AQ31" s="167"/>
      <c r="AR31" s="167"/>
      <c r="AS31" s="167"/>
      <c r="AT31" s="167"/>
      <c r="AU31" s="168"/>
      <c r="AV31" s="168"/>
      <c r="AW31" s="168"/>
      <c r="AX31" s="168"/>
      <c r="AY31" s="168"/>
      <c r="AZ31" s="167"/>
      <c r="BA31" s="167"/>
      <c r="BB31" s="167"/>
      <c r="BC31" s="167"/>
      <c r="BD31" s="167"/>
      <c r="BE31" s="167"/>
      <c r="BF31" s="167"/>
      <c r="BG31" s="167"/>
      <c r="BH31" s="167"/>
      <c r="BI31" s="179"/>
      <c r="BJ31" s="180"/>
      <c r="BK31" s="180"/>
      <c r="BL31" s="170"/>
      <c r="BM31" s="170"/>
      <c r="BN31" s="170"/>
      <c r="BO31" s="170"/>
      <c r="BP31" s="170"/>
      <c r="BQ31" s="170"/>
      <c r="BR31" s="170"/>
      <c r="BS31" s="170"/>
      <c r="BT31" s="168"/>
      <c r="BU31" s="168"/>
      <c r="BV31" s="168"/>
      <c r="BW31" s="174"/>
      <c r="BX31" s="168"/>
      <c r="BY31" s="168"/>
      <c r="BZ31" s="168"/>
      <c r="CA31" s="167"/>
      <c r="CB31" s="167"/>
    </row>
    <row r="32" spans="1:80" s="83" customFormat="1" x14ac:dyDescent="0.2">
      <c r="A32" s="176"/>
      <c r="B32" s="642"/>
      <c r="C32" s="642"/>
      <c r="D32" s="693"/>
      <c r="E32" s="169"/>
      <c r="F32" s="169"/>
      <c r="G32" s="170"/>
      <c r="H32" s="168"/>
      <c r="I32" s="168"/>
      <c r="J32" s="168"/>
      <c r="K32" s="168"/>
      <c r="L32" s="642"/>
      <c r="M32" s="645">
        <v>34150</v>
      </c>
      <c r="N32" s="585">
        <v>0.77</v>
      </c>
      <c r="O32" s="585">
        <v>3.14E-3</v>
      </c>
      <c r="P32" s="175">
        <v>0</v>
      </c>
      <c r="Q32" s="175">
        <v>0</v>
      </c>
      <c r="R32" s="175">
        <v>0</v>
      </c>
      <c r="S32" s="175">
        <v>1.6000000000000001E-4</v>
      </c>
      <c r="T32" s="175">
        <v>6.0999999999999997E-4</v>
      </c>
      <c r="U32" s="175">
        <v>6.2E-4</v>
      </c>
      <c r="V32" s="706">
        <v>1.75E-3</v>
      </c>
      <c r="W32" s="717"/>
      <c r="X32" s="713"/>
      <c r="Y32" s="718"/>
      <c r="Z32" s="709">
        <v>13</v>
      </c>
      <c r="AA32" s="175"/>
      <c r="AB32" s="175"/>
      <c r="AC32" s="175">
        <v>5.6000000000000001E-2</v>
      </c>
      <c r="AD32" s="175">
        <v>2.95</v>
      </c>
      <c r="AE32" s="175">
        <v>0.34</v>
      </c>
      <c r="AF32" s="178">
        <f t="shared" si="0"/>
        <v>1.0030000000000001</v>
      </c>
      <c r="AG32" s="178">
        <v>0.84</v>
      </c>
      <c r="AH32" s="332"/>
      <c r="AI32" s="172"/>
      <c r="AJ32" s="172"/>
      <c r="AK32" s="172"/>
      <c r="AL32" s="167"/>
      <c r="AM32" s="167"/>
      <c r="AN32" s="167"/>
      <c r="AO32" s="167"/>
      <c r="AP32" s="167"/>
      <c r="AQ32" s="167"/>
      <c r="AR32" s="167"/>
      <c r="AS32" s="167"/>
      <c r="AT32" s="167"/>
      <c r="AU32" s="168"/>
      <c r="AV32" s="168"/>
      <c r="AW32" s="168"/>
      <c r="AX32" s="168"/>
      <c r="AY32" s="168"/>
      <c r="AZ32" s="167"/>
      <c r="BA32" s="167"/>
      <c r="BB32" s="167"/>
      <c r="BC32" s="167"/>
      <c r="BD32" s="167"/>
      <c r="BE32" s="167"/>
      <c r="BF32" s="167"/>
      <c r="BG32" s="167"/>
      <c r="BH32" s="167"/>
      <c r="BI32" s="179"/>
      <c r="BJ32" s="180"/>
      <c r="BK32" s="180"/>
      <c r="BL32" s="170"/>
      <c r="BM32" s="170"/>
      <c r="BN32" s="170"/>
      <c r="BO32" s="170"/>
      <c r="BP32" s="170"/>
      <c r="BQ32" s="170"/>
      <c r="BR32" s="170"/>
      <c r="BS32" s="170"/>
      <c r="BT32" s="168"/>
      <c r="BU32" s="168"/>
      <c r="BV32" s="168"/>
      <c r="BW32" s="174"/>
      <c r="BX32" s="168"/>
      <c r="BY32" s="168"/>
      <c r="BZ32" s="168"/>
      <c r="CA32" s="167"/>
      <c r="CB32" s="167"/>
    </row>
    <row r="33" spans="1:80" s="83" customFormat="1" x14ac:dyDescent="0.2">
      <c r="A33" s="176"/>
      <c r="B33" s="642"/>
      <c r="C33" s="642"/>
      <c r="D33" s="693"/>
      <c r="E33" s="169"/>
      <c r="F33" s="169"/>
      <c r="G33" s="170"/>
      <c r="H33" s="168"/>
      <c r="I33" s="168"/>
      <c r="J33" s="168"/>
      <c r="K33" s="168"/>
      <c r="L33" s="642"/>
      <c r="M33" s="645">
        <v>34151</v>
      </c>
      <c r="N33" s="585">
        <v>0.81</v>
      </c>
      <c r="O33" s="585">
        <v>2.6589999999999999E-2</v>
      </c>
      <c r="P33" s="175">
        <v>0</v>
      </c>
      <c r="Q33" s="175">
        <v>0</v>
      </c>
      <c r="R33" s="175">
        <v>2.2899999999999999E-3</v>
      </c>
      <c r="S33" s="175">
        <v>4.7499999999999999E-3</v>
      </c>
      <c r="T33" s="175">
        <v>6.4400000000000004E-3</v>
      </c>
      <c r="U33" s="175">
        <v>5.9899999999999997E-3</v>
      </c>
      <c r="V33" s="706">
        <v>7.1300000000000001E-3</v>
      </c>
      <c r="W33" s="717"/>
      <c r="X33" s="713"/>
      <c r="Y33" s="718"/>
      <c r="Z33" s="709">
        <v>23</v>
      </c>
      <c r="AA33" s="175"/>
      <c r="AB33" s="175"/>
      <c r="AC33" s="175">
        <v>5.6000000000000001E-2</v>
      </c>
      <c r="AD33" s="175">
        <v>2.96</v>
      </c>
      <c r="AE33" s="175">
        <v>0.35</v>
      </c>
      <c r="AF33" s="178">
        <f t="shared" si="0"/>
        <v>1.036</v>
      </c>
      <c r="AG33" s="178">
        <v>0.8</v>
      </c>
      <c r="AH33" s="332"/>
      <c r="AI33" s="172"/>
      <c r="AJ33" s="172"/>
      <c r="AK33" s="172"/>
      <c r="AL33" s="167"/>
      <c r="AM33" s="167"/>
      <c r="AN33" s="167"/>
      <c r="AO33" s="167"/>
      <c r="AP33" s="167"/>
      <c r="AQ33" s="167"/>
      <c r="AR33" s="167"/>
      <c r="AS33" s="167"/>
      <c r="AT33" s="167"/>
      <c r="AU33" s="168"/>
      <c r="AV33" s="168"/>
      <c r="AW33" s="168"/>
      <c r="AX33" s="168"/>
      <c r="AY33" s="168"/>
      <c r="AZ33" s="167"/>
      <c r="BA33" s="167"/>
      <c r="BB33" s="167"/>
      <c r="BC33" s="167"/>
      <c r="BD33" s="167"/>
      <c r="BE33" s="167"/>
      <c r="BF33" s="167"/>
      <c r="BG33" s="167"/>
      <c r="BH33" s="167"/>
      <c r="BI33" s="179"/>
      <c r="BJ33" s="180"/>
      <c r="BK33" s="180"/>
      <c r="BL33" s="170"/>
      <c r="BM33" s="170"/>
      <c r="BN33" s="170"/>
      <c r="BO33" s="170"/>
      <c r="BP33" s="170"/>
      <c r="BQ33" s="170"/>
      <c r="BR33" s="170"/>
      <c r="BS33" s="170"/>
      <c r="BT33" s="168"/>
      <c r="BU33" s="168"/>
      <c r="BV33" s="168"/>
      <c r="BW33" s="174"/>
      <c r="BX33" s="168"/>
      <c r="BY33" s="168"/>
      <c r="BZ33" s="168"/>
      <c r="CA33" s="167"/>
      <c r="CB33" s="167"/>
    </row>
    <row r="34" spans="1:80" s="83" customFormat="1" x14ac:dyDescent="0.2">
      <c r="A34" s="176"/>
      <c r="B34" s="642"/>
      <c r="C34" s="642"/>
      <c r="D34" s="693"/>
      <c r="E34" s="169"/>
      <c r="F34" s="169"/>
      <c r="G34" s="170"/>
      <c r="H34" s="168"/>
      <c r="I34" s="168"/>
      <c r="J34" s="168"/>
      <c r="K34" s="168"/>
      <c r="L34" s="642"/>
      <c r="M34" s="645">
        <v>34152</v>
      </c>
      <c r="N34" s="585">
        <v>0.72</v>
      </c>
      <c r="O34" s="585">
        <v>2.0999999999999999E-3</v>
      </c>
      <c r="P34" s="175">
        <v>0</v>
      </c>
      <c r="Q34" s="175">
        <v>0</v>
      </c>
      <c r="R34" s="175">
        <v>0</v>
      </c>
      <c r="S34" s="175">
        <v>6.9999999999999994E-5</v>
      </c>
      <c r="T34" s="175">
        <v>2.9999999999999997E-4</v>
      </c>
      <c r="U34" s="175">
        <v>3.8999999999999999E-4</v>
      </c>
      <c r="V34" s="706">
        <v>1.34E-3</v>
      </c>
      <c r="W34" s="717"/>
      <c r="X34" s="713"/>
      <c r="Y34" s="718"/>
      <c r="Z34" s="709">
        <v>11</v>
      </c>
      <c r="AA34" s="175"/>
      <c r="AB34" s="175"/>
      <c r="AC34" s="175">
        <v>5.7000000000000002E-2</v>
      </c>
      <c r="AD34" s="175">
        <v>2.94</v>
      </c>
      <c r="AE34" s="175">
        <v>0.33</v>
      </c>
      <c r="AF34" s="178">
        <f t="shared" si="0"/>
        <v>0.97020000000000006</v>
      </c>
      <c r="AG34" s="178">
        <v>0.73</v>
      </c>
      <c r="AH34" s="332"/>
      <c r="AI34" s="172"/>
      <c r="AJ34" s="172"/>
      <c r="AK34" s="172"/>
      <c r="AL34" s="167"/>
      <c r="AM34" s="167"/>
      <c r="AN34" s="167"/>
      <c r="AO34" s="167"/>
      <c r="AP34" s="167"/>
      <c r="AQ34" s="167"/>
      <c r="AR34" s="167"/>
      <c r="AS34" s="167"/>
      <c r="AT34" s="167"/>
      <c r="AU34" s="168"/>
      <c r="AV34" s="168"/>
      <c r="AW34" s="168"/>
      <c r="AX34" s="168"/>
      <c r="AY34" s="168"/>
      <c r="AZ34" s="167"/>
      <c r="BA34" s="167"/>
      <c r="BB34" s="167"/>
      <c r="BC34" s="167"/>
      <c r="BD34" s="167"/>
      <c r="BE34" s="167"/>
      <c r="BF34" s="167"/>
      <c r="BG34" s="167"/>
      <c r="BH34" s="167"/>
      <c r="BI34" s="179"/>
      <c r="BJ34" s="180"/>
      <c r="BK34" s="180"/>
      <c r="BL34" s="170"/>
      <c r="BM34" s="170"/>
      <c r="BN34" s="170"/>
      <c r="BO34" s="170"/>
      <c r="BP34" s="170"/>
      <c r="BQ34" s="170"/>
      <c r="BR34" s="170"/>
      <c r="BS34" s="170"/>
      <c r="BT34" s="168"/>
      <c r="BU34" s="168"/>
      <c r="BV34" s="168"/>
      <c r="BW34" s="174"/>
      <c r="BX34" s="168"/>
      <c r="BY34" s="168"/>
      <c r="BZ34" s="168"/>
      <c r="CA34" s="167"/>
      <c r="CB34" s="167"/>
    </row>
    <row r="35" spans="1:80" s="83" customFormat="1" x14ac:dyDescent="0.2">
      <c r="A35" s="176"/>
      <c r="B35" s="642"/>
      <c r="C35" s="642"/>
      <c r="D35" s="693"/>
      <c r="E35" s="169"/>
      <c r="F35" s="169"/>
      <c r="G35" s="170"/>
      <c r="H35" s="168"/>
      <c r="I35" s="168"/>
      <c r="J35" s="168"/>
      <c r="K35" s="168"/>
      <c r="L35" s="642"/>
      <c r="M35" s="645">
        <v>34156</v>
      </c>
      <c r="N35" s="585">
        <v>0.55000000000000004</v>
      </c>
      <c r="O35" s="585">
        <v>5.9800000000000001E-3</v>
      </c>
      <c r="P35" s="175">
        <v>0</v>
      </c>
      <c r="Q35" s="175">
        <v>0</v>
      </c>
      <c r="R35" s="175">
        <v>0</v>
      </c>
      <c r="S35" s="175">
        <v>3.5E-4</v>
      </c>
      <c r="T35" s="175">
        <v>1.01E-3</v>
      </c>
      <c r="U35" s="175">
        <v>1.4599999999999999E-3</v>
      </c>
      <c r="V35" s="706">
        <v>3.15E-3</v>
      </c>
      <c r="W35" s="717"/>
      <c r="X35" s="713"/>
      <c r="Y35" s="718"/>
      <c r="Z35" s="709">
        <v>12</v>
      </c>
      <c r="AA35" s="175"/>
      <c r="AB35" s="175"/>
      <c r="AC35" s="175">
        <v>5.7000000000000002E-2</v>
      </c>
      <c r="AD35" s="175">
        <v>2.94</v>
      </c>
      <c r="AE35" s="175">
        <v>0.3</v>
      </c>
      <c r="AF35" s="178">
        <f t="shared" si="0"/>
        <v>0.88200000000000001</v>
      </c>
      <c r="AG35" s="178">
        <v>0.65</v>
      </c>
      <c r="AH35" s="332"/>
      <c r="AI35" s="172"/>
      <c r="AJ35" s="172"/>
      <c r="AK35" s="172"/>
      <c r="AL35" s="167"/>
      <c r="AM35" s="167"/>
      <c r="AN35" s="167"/>
      <c r="AO35" s="167"/>
      <c r="AP35" s="167"/>
      <c r="AQ35" s="167"/>
      <c r="AR35" s="167"/>
      <c r="AS35" s="167"/>
      <c r="AT35" s="167"/>
      <c r="AU35" s="168"/>
      <c r="AV35" s="168"/>
      <c r="AW35" s="168"/>
      <c r="AX35" s="168"/>
      <c r="AY35" s="168"/>
      <c r="AZ35" s="167"/>
      <c r="BA35" s="167"/>
      <c r="BB35" s="167"/>
      <c r="BC35" s="167"/>
      <c r="BD35" s="167"/>
      <c r="BE35" s="167"/>
      <c r="BF35" s="167"/>
      <c r="BG35" s="167"/>
      <c r="BH35" s="167"/>
      <c r="BI35" s="179"/>
      <c r="BJ35" s="180"/>
      <c r="BK35" s="180"/>
      <c r="BL35" s="170"/>
      <c r="BM35" s="170"/>
      <c r="BN35" s="170"/>
      <c r="BO35" s="170"/>
      <c r="BP35" s="170"/>
      <c r="BQ35" s="170"/>
      <c r="BR35" s="170"/>
      <c r="BS35" s="170"/>
      <c r="BT35" s="168"/>
      <c r="BU35" s="168"/>
      <c r="BV35" s="168"/>
      <c r="BW35" s="174"/>
      <c r="BX35" s="168"/>
      <c r="BY35" s="168"/>
      <c r="BZ35" s="168"/>
      <c r="CA35" s="167"/>
      <c r="CB35" s="167"/>
    </row>
    <row r="36" spans="1:80" s="83" customFormat="1" x14ac:dyDescent="0.2">
      <c r="A36" s="176"/>
      <c r="B36" s="642"/>
      <c r="C36" s="642"/>
      <c r="D36" s="693"/>
      <c r="E36" s="169"/>
      <c r="F36" s="169"/>
      <c r="G36" s="170"/>
      <c r="H36" s="168"/>
      <c r="I36" s="168"/>
      <c r="J36" s="168"/>
      <c r="K36" s="168"/>
      <c r="L36" s="642"/>
      <c r="M36" s="645">
        <v>34157</v>
      </c>
      <c r="N36" s="585">
        <v>0.49</v>
      </c>
      <c r="O36" s="585">
        <v>5.0899999999999999E-3</v>
      </c>
      <c r="P36" s="175">
        <v>0</v>
      </c>
      <c r="Q36" s="175">
        <v>0</v>
      </c>
      <c r="R36" s="175">
        <v>5.5999999999999995E-4</v>
      </c>
      <c r="S36" s="175">
        <v>1.9000000000000001E-4</v>
      </c>
      <c r="T36" s="175">
        <v>8.1999999999999998E-4</v>
      </c>
      <c r="U36" s="175">
        <v>1.16E-3</v>
      </c>
      <c r="V36" s="706">
        <v>2.3600000000000001E-3</v>
      </c>
      <c r="W36" s="717"/>
      <c r="X36" s="713"/>
      <c r="Y36" s="718"/>
      <c r="Z36" s="709">
        <v>22</v>
      </c>
      <c r="AA36" s="175"/>
      <c r="AB36" s="175"/>
      <c r="AC36" s="175">
        <v>5.8000000000000003E-2</v>
      </c>
      <c r="AD36" s="175">
        <v>2.92</v>
      </c>
      <c r="AE36" s="175">
        <v>0.28000000000000003</v>
      </c>
      <c r="AF36" s="178">
        <f t="shared" si="0"/>
        <v>0.8176000000000001</v>
      </c>
      <c r="AG36" s="178">
        <v>0.61</v>
      </c>
      <c r="AH36" s="332"/>
      <c r="AI36" s="172"/>
      <c r="AJ36" s="172"/>
      <c r="AK36" s="172"/>
      <c r="AL36" s="167"/>
      <c r="AM36" s="167"/>
      <c r="AN36" s="167"/>
      <c r="AO36" s="167"/>
      <c r="AP36" s="167"/>
      <c r="AQ36" s="167"/>
      <c r="AR36" s="167"/>
      <c r="AS36" s="167"/>
      <c r="AT36" s="167"/>
      <c r="AU36" s="168"/>
      <c r="AV36" s="168"/>
      <c r="AW36" s="168"/>
      <c r="AX36" s="168"/>
      <c r="AY36" s="168"/>
      <c r="AZ36" s="167"/>
      <c r="BA36" s="167"/>
      <c r="BB36" s="167"/>
      <c r="BC36" s="167"/>
      <c r="BD36" s="167"/>
      <c r="BE36" s="167"/>
      <c r="BF36" s="167"/>
      <c r="BG36" s="167"/>
      <c r="BH36" s="167"/>
      <c r="BI36" s="179"/>
      <c r="BJ36" s="168"/>
      <c r="BK36" s="168"/>
      <c r="BL36" s="170"/>
      <c r="BM36" s="170"/>
      <c r="BN36" s="170"/>
      <c r="BO36" s="170"/>
      <c r="BP36" s="170"/>
      <c r="BQ36" s="170"/>
      <c r="BR36" s="170"/>
      <c r="BS36" s="170"/>
      <c r="BT36" s="168"/>
      <c r="BU36" s="168"/>
      <c r="BV36" s="168"/>
      <c r="BW36" s="174"/>
      <c r="BX36" s="168"/>
      <c r="BY36" s="168"/>
      <c r="BZ36" s="168"/>
      <c r="CA36" s="167"/>
      <c r="CB36" s="167"/>
    </row>
    <row r="37" spans="1:80" s="83" customFormat="1" x14ac:dyDescent="0.2">
      <c r="A37" s="176"/>
      <c r="B37" s="642"/>
      <c r="C37" s="642"/>
      <c r="D37" s="693"/>
      <c r="E37" s="169"/>
      <c r="F37" s="169"/>
      <c r="G37" s="170"/>
      <c r="H37" s="168"/>
      <c r="I37" s="168"/>
      <c r="J37" s="168"/>
      <c r="K37" s="168"/>
      <c r="L37" s="642"/>
      <c r="M37" s="645">
        <v>34158</v>
      </c>
      <c r="N37" s="585">
        <v>0.47</v>
      </c>
      <c r="O37" s="585">
        <v>2.96E-3</v>
      </c>
      <c r="P37" s="175">
        <v>0</v>
      </c>
      <c r="Q37" s="175">
        <v>0</v>
      </c>
      <c r="R37" s="175">
        <v>0</v>
      </c>
      <c r="S37" s="175">
        <v>9.0000000000000006E-5</v>
      </c>
      <c r="T37" s="175">
        <v>4.6999999999999999E-4</v>
      </c>
      <c r="U37" s="175">
        <v>5.8E-4</v>
      </c>
      <c r="V37" s="706">
        <v>1.83E-3</v>
      </c>
      <c r="W37" s="717"/>
      <c r="X37" s="713"/>
      <c r="Y37" s="718"/>
      <c r="Z37" s="709">
        <v>9</v>
      </c>
      <c r="AA37" s="175"/>
      <c r="AB37" s="175"/>
      <c r="AC37" s="175">
        <v>5.8000000000000003E-2</v>
      </c>
      <c r="AD37" s="175">
        <v>2.94</v>
      </c>
      <c r="AE37" s="175">
        <v>0.28000000000000003</v>
      </c>
      <c r="AF37" s="178">
        <f t="shared" si="0"/>
        <v>0.82320000000000004</v>
      </c>
      <c r="AG37" s="178">
        <v>0.6</v>
      </c>
      <c r="AH37" s="332"/>
      <c r="AI37" s="172"/>
      <c r="AJ37" s="172"/>
      <c r="AK37" s="172"/>
      <c r="AL37" s="167"/>
      <c r="AM37" s="167"/>
      <c r="AN37" s="167"/>
      <c r="AO37" s="167"/>
      <c r="AP37" s="167"/>
      <c r="AQ37" s="167"/>
      <c r="AR37" s="167"/>
      <c r="AS37" s="167"/>
      <c r="AT37" s="167"/>
      <c r="AU37" s="168"/>
      <c r="AV37" s="168"/>
      <c r="AW37" s="168"/>
      <c r="AX37" s="168"/>
      <c r="AY37" s="168"/>
      <c r="AZ37" s="167"/>
      <c r="BA37" s="167"/>
      <c r="BB37" s="167"/>
      <c r="BC37" s="167"/>
      <c r="BD37" s="167"/>
      <c r="BE37" s="167"/>
      <c r="BF37" s="167"/>
      <c r="BG37" s="167"/>
      <c r="BH37" s="167"/>
      <c r="BI37" s="179"/>
      <c r="BJ37" s="168"/>
      <c r="BK37" s="168"/>
      <c r="BL37" s="170"/>
      <c r="BM37" s="170"/>
      <c r="BN37" s="170"/>
      <c r="BO37" s="170"/>
      <c r="BP37" s="170"/>
      <c r="BQ37" s="170"/>
      <c r="BR37" s="170"/>
      <c r="BS37" s="170"/>
      <c r="BT37" s="168"/>
      <c r="BU37" s="168"/>
      <c r="BV37" s="168"/>
      <c r="BW37" s="174"/>
      <c r="BX37" s="168"/>
      <c r="BY37" s="168"/>
      <c r="BZ37" s="168"/>
      <c r="CA37" s="167"/>
      <c r="CB37" s="167"/>
    </row>
    <row r="38" spans="1:80" s="83" customFormat="1" x14ac:dyDescent="0.2">
      <c r="A38" s="176"/>
      <c r="B38" s="642"/>
      <c r="C38" s="642"/>
      <c r="D38" s="693"/>
      <c r="E38" s="169"/>
      <c r="F38" s="169"/>
      <c r="G38" s="170"/>
      <c r="H38" s="168"/>
      <c r="I38" s="168"/>
      <c r="J38" s="168"/>
      <c r="K38" s="168"/>
      <c r="L38" s="642"/>
      <c r="M38" s="645">
        <v>34159</v>
      </c>
      <c r="N38" s="585">
        <v>0.47</v>
      </c>
      <c r="O38" s="585">
        <v>5.7200000000000003E-3</v>
      </c>
      <c r="P38" s="175">
        <v>0</v>
      </c>
      <c r="Q38" s="175">
        <v>0</v>
      </c>
      <c r="R38" s="175">
        <v>2.5000000000000001E-4</v>
      </c>
      <c r="S38" s="175">
        <v>4.0000000000000002E-4</v>
      </c>
      <c r="T38" s="175">
        <v>8.4999999999999995E-4</v>
      </c>
      <c r="U38" s="175">
        <v>1.1900000000000001E-3</v>
      </c>
      <c r="V38" s="706">
        <v>3.0300000000000001E-3</v>
      </c>
      <c r="W38" s="717"/>
      <c r="X38" s="713"/>
      <c r="Y38" s="718"/>
      <c r="Z38" s="709">
        <v>16</v>
      </c>
      <c r="AA38" s="175"/>
      <c r="AB38" s="175"/>
      <c r="AC38" s="175">
        <v>5.8000000000000003E-2</v>
      </c>
      <c r="AD38" s="175">
        <v>2.95</v>
      </c>
      <c r="AE38" s="175">
        <v>0.27</v>
      </c>
      <c r="AF38" s="178">
        <f t="shared" si="0"/>
        <v>0.7965000000000001</v>
      </c>
      <c r="AG38" s="178">
        <v>0.61</v>
      </c>
      <c r="AH38" s="332"/>
      <c r="AI38" s="172"/>
      <c r="AJ38" s="172"/>
      <c r="AK38" s="172"/>
      <c r="AL38" s="167"/>
      <c r="AM38" s="167"/>
      <c r="AN38" s="167"/>
      <c r="AO38" s="167"/>
      <c r="AP38" s="167"/>
      <c r="AQ38" s="167"/>
      <c r="AR38" s="167"/>
      <c r="AS38" s="167"/>
      <c r="AT38" s="167"/>
      <c r="AU38" s="168"/>
      <c r="AV38" s="168"/>
      <c r="AW38" s="168"/>
      <c r="AX38" s="168"/>
      <c r="AY38" s="168"/>
      <c r="AZ38" s="167"/>
      <c r="BA38" s="167"/>
      <c r="BB38" s="167"/>
      <c r="BC38" s="167"/>
      <c r="BD38" s="167"/>
      <c r="BE38" s="167"/>
      <c r="BF38" s="167"/>
      <c r="BG38" s="167"/>
      <c r="BH38" s="167"/>
      <c r="BI38" s="179"/>
      <c r="BJ38" s="180"/>
      <c r="BK38" s="180"/>
      <c r="BL38" s="170"/>
      <c r="BM38" s="170"/>
      <c r="BN38" s="170"/>
      <c r="BO38" s="170"/>
      <c r="BP38" s="170"/>
      <c r="BQ38" s="170"/>
      <c r="BR38" s="170"/>
      <c r="BS38" s="170"/>
      <c r="BT38" s="168"/>
      <c r="BU38" s="168"/>
      <c r="BV38" s="168"/>
      <c r="BW38" s="174"/>
      <c r="BX38" s="168"/>
      <c r="BY38" s="168"/>
      <c r="BZ38" s="168"/>
      <c r="CA38" s="167"/>
      <c r="CB38" s="167"/>
    </row>
    <row r="39" spans="1:80" s="83" customFormat="1" x14ac:dyDescent="0.2">
      <c r="A39" s="176"/>
      <c r="B39" s="642"/>
      <c r="C39" s="642"/>
      <c r="D39" s="693"/>
      <c r="E39" s="169"/>
      <c r="F39" s="169"/>
      <c r="G39" s="170"/>
      <c r="H39" s="168"/>
      <c r="I39" s="168"/>
      <c r="J39" s="168"/>
      <c r="K39" s="168"/>
      <c r="L39" s="642"/>
      <c r="M39" s="645">
        <v>34162</v>
      </c>
      <c r="N39" s="585">
        <v>0.46</v>
      </c>
      <c r="O39" s="585">
        <v>2.2499999999999998E-3</v>
      </c>
      <c r="P39" s="175">
        <v>0</v>
      </c>
      <c r="Q39" s="175">
        <v>0</v>
      </c>
      <c r="R39" s="175">
        <v>0</v>
      </c>
      <c r="S39" s="175">
        <v>1.2E-4</v>
      </c>
      <c r="T39" s="175">
        <v>3.5E-4</v>
      </c>
      <c r="U39" s="175">
        <v>4.6999999999999999E-4</v>
      </c>
      <c r="V39" s="706">
        <v>1.31E-3</v>
      </c>
      <c r="W39" s="717"/>
      <c r="X39" s="713"/>
      <c r="Y39" s="718"/>
      <c r="Z39" s="709">
        <v>11</v>
      </c>
      <c r="AA39" s="175"/>
      <c r="AB39" s="175"/>
      <c r="AC39" s="175">
        <v>5.8000000000000003E-2</v>
      </c>
      <c r="AD39" s="175">
        <v>2.93</v>
      </c>
      <c r="AE39" s="175">
        <v>0.27</v>
      </c>
      <c r="AF39" s="178">
        <f t="shared" si="0"/>
        <v>0.79110000000000014</v>
      </c>
      <c r="AG39" s="178">
        <v>0.53</v>
      </c>
      <c r="AH39" s="332"/>
      <c r="AI39" s="172"/>
      <c r="AJ39" s="172"/>
      <c r="AK39" s="172"/>
      <c r="AL39" s="167"/>
      <c r="AM39" s="167"/>
      <c r="AN39" s="167"/>
      <c r="AO39" s="167"/>
      <c r="AP39" s="167"/>
      <c r="AQ39" s="167"/>
      <c r="AR39" s="167"/>
      <c r="AS39" s="167"/>
      <c r="AT39" s="167"/>
      <c r="AU39" s="168"/>
      <c r="AV39" s="168"/>
      <c r="AW39" s="168"/>
      <c r="AX39" s="168"/>
      <c r="AY39" s="168"/>
      <c r="AZ39" s="167"/>
      <c r="BA39" s="167"/>
      <c r="BB39" s="167"/>
      <c r="BC39" s="167"/>
      <c r="BD39" s="167"/>
      <c r="BE39" s="167"/>
      <c r="BF39" s="167"/>
      <c r="BG39" s="167"/>
      <c r="BH39" s="167"/>
      <c r="BI39" s="179"/>
      <c r="BJ39" s="180"/>
      <c r="BK39" s="180"/>
      <c r="BL39" s="170"/>
      <c r="BM39" s="170"/>
      <c r="BN39" s="170"/>
      <c r="BO39" s="170"/>
      <c r="BP39" s="170"/>
      <c r="BQ39" s="170"/>
      <c r="BR39" s="170"/>
      <c r="BS39" s="170"/>
      <c r="BT39" s="168"/>
      <c r="BU39" s="168"/>
      <c r="BV39" s="168"/>
      <c r="BW39" s="174"/>
      <c r="BX39" s="168"/>
      <c r="BY39" s="168"/>
      <c r="BZ39" s="168"/>
      <c r="CA39" s="167"/>
      <c r="CB39" s="167"/>
    </row>
    <row r="40" spans="1:80" s="83" customFormat="1" x14ac:dyDescent="0.2">
      <c r="A40" s="176"/>
      <c r="B40" s="642"/>
      <c r="C40" s="642"/>
      <c r="D40" s="693"/>
      <c r="E40" s="169"/>
      <c r="F40" s="169"/>
      <c r="G40" s="170"/>
      <c r="H40" s="168"/>
      <c r="I40" s="168"/>
      <c r="J40" s="168"/>
      <c r="K40" s="168"/>
      <c r="L40" s="642"/>
      <c r="M40" s="645">
        <v>34163</v>
      </c>
      <c r="N40" s="585">
        <v>0.44</v>
      </c>
      <c r="O40" s="585">
        <v>3.0000000000000001E-3</v>
      </c>
      <c r="P40" s="175">
        <v>0</v>
      </c>
      <c r="Q40" s="175">
        <v>0</v>
      </c>
      <c r="R40" s="175">
        <v>0</v>
      </c>
      <c r="S40" s="175">
        <v>1.2999999999999999E-4</v>
      </c>
      <c r="T40" s="175">
        <v>8.7000000000000001E-4</v>
      </c>
      <c r="U40" s="175">
        <v>7.9000000000000001E-4</v>
      </c>
      <c r="V40" s="706">
        <v>1.2199999999999999E-3</v>
      </c>
      <c r="W40" s="717"/>
      <c r="X40" s="713"/>
      <c r="Y40" s="718"/>
      <c r="Z40" s="709">
        <v>9</v>
      </c>
      <c r="AA40" s="175"/>
      <c r="AB40" s="175"/>
      <c r="AC40" s="175">
        <v>5.8000000000000003E-2</v>
      </c>
      <c r="AD40" s="175">
        <v>2.94</v>
      </c>
      <c r="AE40" s="175">
        <v>0.27</v>
      </c>
      <c r="AF40" s="178">
        <f t="shared" si="0"/>
        <v>0.79380000000000006</v>
      </c>
      <c r="AG40" s="178">
        <v>0.64</v>
      </c>
      <c r="AH40" s="332"/>
      <c r="AI40" s="172"/>
      <c r="AJ40" s="172"/>
      <c r="AK40" s="172"/>
      <c r="AL40" s="167"/>
      <c r="AM40" s="167"/>
      <c r="AN40" s="167"/>
      <c r="AO40" s="167"/>
      <c r="AP40" s="167"/>
      <c r="AQ40" s="167"/>
      <c r="AR40" s="167"/>
      <c r="AS40" s="167"/>
      <c r="AT40" s="167"/>
      <c r="AU40" s="168"/>
      <c r="AV40" s="168"/>
      <c r="AW40" s="168"/>
      <c r="AX40" s="168"/>
      <c r="AY40" s="168"/>
      <c r="AZ40" s="167"/>
      <c r="BA40" s="167"/>
      <c r="BB40" s="167"/>
      <c r="BC40" s="167"/>
      <c r="BD40" s="167"/>
      <c r="BE40" s="167"/>
      <c r="BF40" s="167"/>
      <c r="BG40" s="167"/>
      <c r="BH40" s="167"/>
      <c r="BI40" s="179"/>
      <c r="BJ40" s="180"/>
      <c r="BK40" s="180"/>
      <c r="BL40" s="170"/>
      <c r="BM40" s="170"/>
      <c r="BN40" s="170"/>
      <c r="BO40" s="170"/>
      <c r="BP40" s="170"/>
      <c r="BQ40" s="170"/>
      <c r="BR40" s="170"/>
      <c r="BS40" s="170"/>
      <c r="BT40" s="168"/>
      <c r="BU40" s="168"/>
      <c r="BV40" s="168"/>
      <c r="BW40" s="174"/>
      <c r="BX40" s="168"/>
      <c r="BY40" s="168"/>
      <c r="BZ40" s="168"/>
      <c r="CA40" s="167"/>
      <c r="CB40" s="167"/>
    </row>
    <row r="41" spans="1:80" s="83" customFormat="1" x14ac:dyDescent="0.2">
      <c r="A41" s="176"/>
      <c r="B41" s="642"/>
      <c r="C41" s="642"/>
      <c r="D41" s="693"/>
      <c r="E41" s="169"/>
      <c r="F41" s="169"/>
      <c r="G41" s="170"/>
      <c r="H41" s="168"/>
      <c r="I41" s="168"/>
      <c r="J41" s="168"/>
      <c r="K41" s="168"/>
      <c r="L41" s="642"/>
      <c r="M41" s="645">
        <v>34164</v>
      </c>
      <c r="N41" s="585">
        <v>0.43</v>
      </c>
      <c r="O41" s="585">
        <v>1.9599999999999999E-3</v>
      </c>
      <c r="P41" s="175">
        <v>0</v>
      </c>
      <c r="Q41" s="175">
        <v>0</v>
      </c>
      <c r="R41" s="175">
        <v>0</v>
      </c>
      <c r="S41" s="175">
        <v>4.0000000000000003E-5</v>
      </c>
      <c r="T41" s="175">
        <v>2.9E-4</v>
      </c>
      <c r="U41" s="175">
        <v>5.0000000000000001E-4</v>
      </c>
      <c r="V41" s="706">
        <v>1.14E-3</v>
      </c>
      <c r="W41" s="717"/>
      <c r="X41" s="713"/>
      <c r="Y41" s="718"/>
      <c r="Z41" s="709">
        <v>11</v>
      </c>
      <c r="AA41" s="175"/>
      <c r="AB41" s="175"/>
      <c r="AC41" s="175">
        <v>5.8000000000000003E-2</v>
      </c>
      <c r="AD41" s="175">
        <v>2.95</v>
      </c>
      <c r="AE41" s="175">
        <v>0.26</v>
      </c>
      <c r="AF41" s="178">
        <f t="shared" si="0"/>
        <v>0.76700000000000013</v>
      </c>
      <c r="AG41" s="178">
        <v>0.6</v>
      </c>
      <c r="AH41" s="332"/>
      <c r="AI41" s="172"/>
      <c r="AJ41" s="172"/>
      <c r="AK41" s="172"/>
      <c r="AL41" s="167"/>
      <c r="AM41" s="167"/>
      <c r="AN41" s="167"/>
      <c r="AO41" s="167"/>
      <c r="AP41" s="167"/>
      <c r="AQ41" s="167"/>
      <c r="AR41" s="167"/>
      <c r="AS41" s="167"/>
      <c r="AT41" s="167"/>
      <c r="AU41" s="168"/>
      <c r="AV41" s="168"/>
      <c r="AW41" s="168"/>
      <c r="AX41" s="168"/>
      <c r="AY41" s="168"/>
      <c r="AZ41" s="167"/>
      <c r="BA41" s="167"/>
      <c r="BB41" s="167"/>
      <c r="BC41" s="167"/>
      <c r="BD41" s="167"/>
      <c r="BE41" s="167"/>
      <c r="BF41" s="167"/>
      <c r="BG41" s="167"/>
      <c r="BH41" s="167"/>
      <c r="BI41" s="179"/>
      <c r="BJ41" s="168"/>
      <c r="BK41" s="168"/>
      <c r="BL41" s="170"/>
      <c r="BM41" s="170"/>
      <c r="BN41" s="170"/>
      <c r="BO41" s="170"/>
      <c r="BP41" s="170"/>
      <c r="BQ41" s="170"/>
      <c r="BR41" s="170"/>
      <c r="BS41" s="170"/>
      <c r="BT41" s="168"/>
      <c r="BU41" s="168"/>
      <c r="BV41" s="168"/>
      <c r="BW41" s="174"/>
      <c r="BX41" s="168"/>
      <c r="BY41" s="168"/>
      <c r="BZ41" s="168"/>
      <c r="CA41" s="167"/>
      <c r="CB41" s="167"/>
    </row>
    <row r="42" spans="1:80" s="83" customFormat="1" x14ac:dyDescent="0.2">
      <c r="A42" s="176"/>
      <c r="B42" s="642"/>
      <c r="C42" s="642"/>
      <c r="D42" s="693"/>
      <c r="E42" s="169"/>
      <c r="F42" s="169"/>
      <c r="G42" s="181"/>
      <c r="H42" s="168"/>
      <c r="I42" s="168"/>
      <c r="J42" s="168"/>
      <c r="K42" s="168"/>
      <c r="L42" s="642"/>
      <c r="M42" s="645">
        <v>34165</v>
      </c>
      <c r="N42" s="585">
        <v>0.41</v>
      </c>
      <c r="O42" s="585">
        <v>1.92E-3</v>
      </c>
      <c r="P42" s="175">
        <v>0</v>
      </c>
      <c r="Q42" s="175">
        <v>0</v>
      </c>
      <c r="R42" s="175">
        <v>0</v>
      </c>
      <c r="S42" s="175">
        <v>1.4999999999999999E-4</v>
      </c>
      <c r="T42" s="175">
        <v>2.5000000000000001E-4</v>
      </c>
      <c r="U42" s="175">
        <v>4.4999999999999999E-4</v>
      </c>
      <c r="V42" s="706">
        <v>1.07E-3</v>
      </c>
      <c r="W42" s="717"/>
      <c r="X42" s="713"/>
      <c r="Y42" s="718"/>
      <c r="Z42" s="709">
        <v>12</v>
      </c>
      <c r="AA42" s="175"/>
      <c r="AB42" s="175"/>
      <c r="AC42" s="175">
        <v>5.8000000000000003E-2</v>
      </c>
      <c r="AD42" s="175">
        <v>2.95</v>
      </c>
      <c r="AE42" s="175">
        <v>0.25</v>
      </c>
      <c r="AF42" s="178">
        <f t="shared" si="0"/>
        <v>0.73750000000000004</v>
      </c>
      <c r="AG42" s="178">
        <v>0.61</v>
      </c>
      <c r="AH42" s="332"/>
      <c r="AI42" s="172"/>
      <c r="AJ42" s="172"/>
      <c r="AK42" s="172"/>
      <c r="AL42" s="167"/>
      <c r="AM42" s="167"/>
      <c r="AN42" s="167"/>
      <c r="AO42" s="167"/>
      <c r="AP42" s="167"/>
      <c r="AQ42" s="167"/>
      <c r="AR42" s="167"/>
      <c r="AS42" s="167"/>
      <c r="AT42" s="167"/>
      <c r="AU42" s="168"/>
      <c r="AV42" s="168"/>
      <c r="AW42" s="168"/>
      <c r="AX42" s="168"/>
      <c r="AY42" s="168"/>
      <c r="AZ42" s="167"/>
      <c r="BA42" s="167"/>
      <c r="BB42" s="167"/>
      <c r="BC42" s="167"/>
      <c r="BD42" s="167"/>
      <c r="BE42" s="167"/>
      <c r="BF42" s="167"/>
      <c r="BG42" s="167"/>
      <c r="BH42" s="167"/>
      <c r="BI42" s="179"/>
      <c r="BJ42" s="168"/>
      <c r="BK42" s="168"/>
      <c r="BL42" s="170"/>
      <c r="BM42" s="170"/>
      <c r="BN42" s="170"/>
      <c r="BO42" s="170"/>
      <c r="BP42" s="170"/>
      <c r="BQ42" s="170"/>
      <c r="BR42" s="170"/>
      <c r="BS42" s="170"/>
      <c r="BT42" s="168"/>
      <c r="BU42" s="168"/>
      <c r="BV42" s="168"/>
      <c r="BW42" s="174"/>
      <c r="BX42" s="168"/>
      <c r="BY42" s="168"/>
      <c r="BZ42" s="168"/>
      <c r="CA42" s="167"/>
      <c r="CB42" s="167"/>
    </row>
    <row r="43" spans="1:80" s="83" customFormat="1" x14ac:dyDescent="0.2">
      <c r="A43" s="176"/>
      <c r="B43" s="642"/>
      <c r="C43" s="642"/>
      <c r="D43" s="693"/>
      <c r="E43" s="169"/>
      <c r="F43" s="169"/>
      <c r="G43" s="170"/>
      <c r="H43" s="168"/>
      <c r="I43" s="168"/>
      <c r="J43" s="168"/>
      <c r="K43" s="168"/>
      <c r="L43" s="642"/>
      <c r="M43" s="645">
        <v>34166</v>
      </c>
      <c r="N43" s="585">
        <v>0.39</v>
      </c>
      <c r="O43" s="585">
        <v>4.8999999999999998E-4</v>
      </c>
      <c r="P43" s="175">
        <v>0</v>
      </c>
      <c r="Q43" s="175">
        <v>0</v>
      </c>
      <c r="R43" s="175">
        <v>0</v>
      </c>
      <c r="S43" s="175">
        <v>0</v>
      </c>
      <c r="T43" s="175">
        <v>4.0000000000000003E-5</v>
      </c>
      <c r="U43" s="175">
        <v>1E-4</v>
      </c>
      <c r="V43" s="706">
        <v>3.5E-4</v>
      </c>
      <c r="W43" s="717"/>
      <c r="X43" s="713"/>
      <c r="Y43" s="718"/>
      <c r="Z43" s="709">
        <v>8</v>
      </c>
      <c r="AA43" s="175"/>
      <c r="AB43" s="175"/>
      <c r="AC43" s="175">
        <v>5.8000000000000003E-2</v>
      </c>
      <c r="AD43" s="175">
        <v>2.95</v>
      </c>
      <c r="AE43" s="175">
        <v>0.26</v>
      </c>
      <c r="AF43" s="178">
        <f t="shared" si="0"/>
        <v>0.76700000000000013</v>
      </c>
      <c r="AG43" s="178">
        <v>0.57999999999999996</v>
      </c>
      <c r="AH43" s="332"/>
      <c r="AI43" s="172"/>
      <c r="AJ43" s="172"/>
      <c r="AK43" s="172"/>
      <c r="AL43" s="167"/>
      <c r="AM43" s="167"/>
      <c r="AN43" s="167"/>
      <c r="AO43" s="167"/>
      <c r="AP43" s="167"/>
      <c r="AQ43" s="167"/>
      <c r="AR43" s="167"/>
      <c r="AS43" s="167"/>
      <c r="AT43" s="167"/>
      <c r="AU43" s="168"/>
      <c r="AV43" s="168"/>
      <c r="AW43" s="168"/>
      <c r="AX43" s="168"/>
      <c r="AY43" s="168"/>
      <c r="AZ43" s="167"/>
      <c r="BA43" s="167"/>
      <c r="BB43" s="167"/>
      <c r="BC43" s="167"/>
      <c r="BD43" s="167"/>
      <c r="BE43" s="167"/>
      <c r="BF43" s="167"/>
      <c r="BG43" s="167"/>
      <c r="BH43" s="167"/>
      <c r="BI43" s="179"/>
      <c r="BJ43" s="168"/>
      <c r="BK43" s="168"/>
      <c r="BL43" s="170"/>
      <c r="BM43" s="170"/>
      <c r="BN43" s="170"/>
      <c r="BO43" s="170"/>
      <c r="BP43" s="170"/>
      <c r="BQ43" s="170"/>
      <c r="BR43" s="170"/>
      <c r="BS43" s="170"/>
      <c r="BT43" s="168"/>
      <c r="BU43" s="168"/>
      <c r="BV43" s="168"/>
      <c r="BW43" s="174"/>
      <c r="BX43" s="168"/>
      <c r="BY43" s="168"/>
      <c r="BZ43" s="168"/>
      <c r="CA43" s="167"/>
      <c r="CB43" s="167"/>
    </row>
    <row r="44" spans="1:80" s="83" customFormat="1" x14ac:dyDescent="0.2">
      <c r="A44" s="176"/>
      <c r="B44" s="642"/>
      <c r="C44" s="642"/>
      <c r="D44" s="693"/>
      <c r="E44" s="169"/>
      <c r="F44" s="169"/>
      <c r="G44" s="170"/>
      <c r="H44" s="168"/>
      <c r="I44" s="168"/>
      <c r="J44" s="168"/>
      <c r="K44" s="168"/>
      <c r="L44" s="642"/>
      <c r="M44" s="645">
        <v>34169</v>
      </c>
      <c r="N44" s="585">
        <v>0.32</v>
      </c>
      <c r="O44" s="585">
        <v>1.3699999999999999E-3</v>
      </c>
      <c r="P44" s="175">
        <v>0</v>
      </c>
      <c r="Q44" s="175">
        <v>0</v>
      </c>
      <c r="R44" s="175">
        <v>0</v>
      </c>
      <c r="S44" s="175">
        <v>5.0000000000000002E-5</v>
      </c>
      <c r="T44" s="175">
        <v>2.9E-4</v>
      </c>
      <c r="U44" s="175">
        <v>2.3000000000000001E-4</v>
      </c>
      <c r="V44" s="706">
        <v>8.0000000000000004E-4</v>
      </c>
      <c r="W44" s="717"/>
      <c r="X44" s="713"/>
      <c r="Y44" s="718"/>
      <c r="Z44" s="709">
        <v>8</v>
      </c>
      <c r="AA44" s="175"/>
      <c r="AB44" s="175"/>
      <c r="AC44" s="175">
        <v>5.8000000000000003E-2</v>
      </c>
      <c r="AD44" s="175">
        <v>2.95</v>
      </c>
      <c r="AE44" s="175">
        <v>0.24</v>
      </c>
      <c r="AF44" s="178">
        <f t="shared" si="0"/>
        <v>0.70799999999999996</v>
      </c>
      <c r="AG44" s="178">
        <v>0.51</v>
      </c>
      <c r="AH44" s="332"/>
      <c r="AI44" s="172"/>
      <c r="AJ44" s="172"/>
      <c r="AK44" s="172"/>
      <c r="AL44" s="167"/>
      <c r="AM44" s="167"/>
      <c r="AN44" s="167"/>
      <c r="AO44" s="167"/>
      <c r="AP44" s="167"/>
      <c r="AQ44" s="167"/>
      <c r="AR44" s="167"/>
      <c r="AS44" s="167"/>
      <c r="AT44" s="167"/>
      <c r="AU44" s="168"/>
      <c r="AV44" s="168"/>
      <c r="AW44" s="168"/>
      <c r="AX44" s="168"/>
      <c r="AY44" s="168"/>
      <c r="AZ44" s="167"/>
      <c r="BA44" s="167"/>
      <c r="BB44" s="167"/>
      <c r="BC44" s="167"/>
      <c r="BD44" s="167"/>
      <c r="BE44" s="167"/>
      <c r="BF44" s="167"/>
      <c r="BG44" s="167"/>
      <c r="BH44" s="167"/>
      <c r="BI44" s="179"/>
      <c r="BJ44" s="168"/>
      <c r="BK44" s="168"/>
      <c r="BL44" s="170"/>
      <c r="BM44" s="170"/>
      <c r="BN44" s="170"/>
      <c r="BO44" s="170"/>
      <c r="BP44" s="170"/>
      <c r="BQ44" s="170"/>
      <c r="BR44" s="170"/>
      <c r="BS44" s="170"/>
      <c r="BT44" s="168"/>
      <c r="BU44" s="168"/>
      <c r="BV44" s="168"/>
      <c r="BW44" s="174"/>
      <c r="BX44" s="168"/>
      <c r="BY44" s="168"/>
      <c r="BZ44" s="168"/>
      <c r="CA44" s="167"/>
      <c r="CB44" s="167"/>
    </row>
    <row r="45" spans="1:80" s="83" customFormat="1" x14ac:dyDescent="0.2">
      <c r="A45" s="176"/>
      <c r="B45" s="642"/>
      <c r="C45" s="642"/>
      <c r="D45" s="693"/>
      <c r="E45" s="169"/>
      <c r="F45" s="169"/>
      <c r="G45" s="170"/>
      <c r="H45" s="168"/>
      <c r="I45" s="168"/>
      <c r="J45" s="168"/>
      <c r="K45" s="168"/>
      <c r="L45" s="642"/>
      <c r="M45" s="645">
        <v>34170</v>
      </c>
      <c r="N45" s="585">
        <v>0.31</v>
      </c>
      <c r="O45" s="585">
        <v>1.2E-4</v>
      </c>
      <c r="P45" s="175">
        <v>0</v>
      </c>
      <c r="Q45" s="175">
        <v>0</v>
      </c>
      <c r="R45" s="175">
        <v>0</v>
      </c>
      <c r="S45" s="175">
        <v>0</v>
      </c>
      <c r="T45" s="175">
        <v>0</v>
      </c>
      <c r="U45" s="175">
        <v>3.0000000000000001E-5</v>
      </c>
      <c r="V45" s="706">
        <v>1E-4</v>
      </c>
      <c r="W45" s="717"/>
      <c r="X45" s="713"/>
      <c r="Y45" s="718"/>
      <c r="Z45" s="709">
        <v>3</v>
      </c>
      <c r="AA45" s="175"/>
      <c r="AB45" s="175"/>
      <c r="AC45" s="175">
        <v>5.8000000000000003E-2</v>
      </c>
      <c r="AD45" s="175">
        <v>2.93</v>
      </c>
      <c r="AE45" s="175">
        <v>0.23</v>
      </c>
      <c r="AF45" s="178">
        <f t="shared" si="0"/>
        <v>0.67390000000000005</v>
      </c>
      <c r="AG45" s="178">
        <v>0.49</v>
      </c>
      <c r="AH45" s="332"/>
      <c r="AI45" s="172"/>
      <c r="AJ45" s="172"/>
      <c r="AK45" s="172"/>
      <c r="AL45" s="167"/>
      <c r="AM45" s="167"/>
      <c r="AN45" s="167"/>
      <c r="AO45" s="167"/>
      <c r="AP45" s="167"/>
      <c r="AQ45" s="167"/>
      <c r="AR45" s="167"/>
      <c r="AS45" s="167"/>
      <c r="AT45" s="167"/>
      <c r="AU45" s="168"/>
      <c r="AV45" s="168"/>
      <c r="AW45" s="168"/>
      <c r="AX45" s="168"/>
      <c r="AY45" s="168"/>
      <c r="AZ45" s="167"/>
      <c r="BA45" s="167"/>
      <c r="BB45" s="167"/>
      <c r="BC45" s="167"/>
      <c r="BD45" s="167"/>
      <c r="BE45" s="167"/>
      <c r="BF45" s="167"/>
      <c r="BG45" s="167"/>
      <c r="BH45" s="167"/>
      <c r="BI45" s="179"/>
      <c r="BJ45" s="168"/>
      <c r="BK45" s="168"/>
      <c r="BL45" s="170"/>
      <c r="BM45" s="170"/>
      <c r="BN45" s="170"/>
      <c r="BO45" s="170"/>
      <c r="BP45" s="170"/>
      <c r="BQ45" s="170"/>
      <c r="BR45" s="170"/>
      <c r="BS45" s="170"/>
      <c r="BT45" s="168"/>
      <c r="BU45" s="168"/>
      <c r="BV45" s="168"/>
      <c r="BW45" s="174"/>
      <c r="BX45" s="168"/>
      <c r="BY45" s="168"/>
      <c r="BZ45" s="168"/>
      <c r="CA45" s="167"/>
      <c r="CB45" s="167"/>
    </row>
    <row r="46" spans="1:80" s="83" customFormat="1" x14ac:dyDescent="0.2">
      <c r="A46" s="176"/>
      <c r="B46" s="642"/>
      <c r="C46" s="642"/>
      <c r="D46" s="693"/>
      <c r="E46" s="169"/>
      <c r="F46" s="169"/>
      <c r="G46" s="170"/>
      <c r="H46" s="168"/>
      <c r="I46" s="168"/>
      <c r="J46" s="168"/>
      <c r="K46" s="168"/>
      <c r="L46" s="642"/>
      <c r="M46" s="645">
        <v>34171</v>
      </c>
      <c r="N46" s="585">
        <v>0.3</v>
      </c>
      <c r="O46" s="585">
        <v>7.7999999999999999E-4</v>
      </c>
      <c r="P46" s="175">
        <v>0</v>
      </c>
      <c r="Q46" s="175">
        <v>0</v>
      </c>
      <c r="R46" s="175">
        <v>0</v>
      </c>
      <c r="S46" s="175">
        <v>4.0000000000000003E-5</v>
      </c>
      <c r="T46" s="175">
        <v>6.0000000000000002E-5</v>
      </c>
      <c r="U46" s="175">
        <v>1E-4</v>
      </c>
      <c r="V46" s="706">
        <v>5.9000000000000003E-4</v>
      </c>
      <c r="W46" s="717"/>
      <c r="X46" s="713"/>
      <c r="Y46" s="718"/>
      <c r="Z46" s="709">
        <v>9</v>
      </c>
      <c r="AA46" s="175"/>
      <c r="AB46" s="175"/>
      <c r="AC46" s="175">
        <v>5.8000000000000003E-2</v>
      </c>
      <c r="AD46" s="175">
        <v>2.96</v>
      </c>
      <c r="AE46" s="175">
        <v>0.23</v>
      </c>
      <c r="AF46" s="178">
        <f t="shared" si="0"/>
        <v>0.68080000000000007</v>
      </c>
      <c r="AG46" s="178">
        <v>0.5</v>
      </c>
      <c r="AH46" s="332"/>
      <c r="AI46" s="172"/>
      <c r="AJ46" s="172"/>
      <c r="AK46" s="172"/>
      <c r="AL46" s="167"/>
      <c r="AM46" s="167"/>
      <c r="AN46" s="167"/>
      <c r="AO46" s="167"/>
      <c r="AP46" s="167"/>
      <c r="AQ46" s="167"/>
      <c r="AR46" s="167"/>
      <c r="AS46" s="167"/>
      <c r="AT46" s="167"/>
      <c r="AU46" s="168"/>
      <c r="AV46" s="168"/>
      <c r="AW46" s="168"/>
      <c r="AX46" s="168"/>
      <c r="AY46" s="168"/>
      <c r="AZ46" s="167"/>
      <c r="BA46" s="167"/>
      <c r="BB46" s="167"/>
      <c r="BC46" s="167"/>
      <c r="BD46" s="167"/>
      <c r="BE46" s="167"/>
      <c r="BF46" s="167"/>
      <c r="BG46" s="167"/>
      <c r="BH46" s="167"/>
      <c r="BI46" s="179"/>
      <c r="BJ46" s="168"/>
      <c r="BK46" s="168"/>
      <c r="BL46" s="170"/>
      <c r="BM46" s="170"/>
      <c r="BN46" s="170"/>
      <c r="BO46" s="170"/>
      <c r="BP46" s="170"/>
      <c r="BQ46" s="170"/>
      <c r="BR46" s="170"/>
      <c r="BS46" s="170"/>
      <c r="BT46" s="168"/>
      <c r="BU46" s="168"/>
      <c r="BV46" s="168"/>
      <c r="BW46" s="174"/>
      <c r="BX46" s="168"/>
      <c r="BY46" s="168"/>
      <c r="BZ46" s="168"/>
      <c r="CA46" s="167"/>
      <c r="CB46" s="167"/>
    </row>
    <row r="47" spans="1:80" s="83" customFormat="1" x14ac:dyDescent="0.2">
      <c r="A47" s="176"/>
      <c r="B47" s="642"/>
      <c r="C47" s="642"/>
      <c r="D47" s="693"/>
      <c r="E47" s="169"/>
      <c r="F47" s="169"/>
      <c r="G47" s="170"/>
      <c r="H47" s="168"/>
      <c r="I47" s="168"/>
      <c r="J47" s="168"/>
      <c r="K47" s="168"/>
      <c r="L47" s="642"/>
      <c r="M47" s="645">
        <v>34176</v>
      </c>
      <c r="N47" s="585">
        <v>0.23</v>
      </c>
      <c r="O47" s="585">
        <v>5.1000000000000004E-4</v>
      </c>
      <c r="P47" s="175">
        <v>0</v>
      </c>
      <c r="Q47" s="175">
        <v>0</v>
      </c>
      <c r="R47" s="175">
        <v>0</v>
      </c>
      <c r="S47" s="175">
        <v>0</v>
      </c>
      <c r="T47" s="175">
        <v>0</v>
      </c>
      <c r="U47" s="175">
        <v>8.0000000000000007E-5</v>
      </c>
      <c r="V47" s="706">
        <v>4.2999999999999999E-4</v>
      </c>
      <c r="W47" s="717"/>
      <c r="X47" s="713"/>
      <c r="Y47" s="718"/>
      <c r="Z47" s="709">
        <v>5</v>
      </c>
      <c r="AA47" s="175"/>
      <c r="AB47" s="175"/>
      <c r="AC47" s="175">
        <v>5.8000000000000003E-2</v>
      </c>
      <c r="AD47" s="175">
        <v>2.93</v>
      </c>
      <c r="AE47" s="175">
        <v>0.21</v>
      </c>
      <c r="AF47" s="178">
        <f t="shared" si="0"/>
        <v>0.61529999999999996</v>
      </c>
      <c r="AG47" s="178">
        <v>0.42</v>
      </c>
      <c r="AH47" s="332"/>
      <c r="AI47" s="172"/>
      <c r="AJ47" s="172"/>
      <c r="AK47" s="172"/>
      <c r="AL47" s="167"/>
      <c r="AM47" s="167"/>
      <c r="AN47" s="167"/>
      <c r="AO47" s="167"/>
      <c r="AP47" s="167"/>
      <c r="AQ47" s="167"/>
      <c r="AR47" s="167"/>
      <c r="AS47" s="167"/>
      <c r="AT47" s="167"/>
      <c r="AU47" s="168"/>
      <c r="AV47" s="168"/>
      <c r="AW47" s="168"/>
      <c r="AX47" s="168"/>
      <c r="AY47" s="168"/>
      <c r="AZ47" s="167"/>
      <c r="BA47" s="167"/>
      <c r="BB47" s="167"/>
      <c r="BC47" s="167"/>
      <c r="BD47" s="167"/>
      <c r="BE47" s="167"/>
      <c r="BF47" s="167"/>
      <c r="BG47" s="167"/>
      <c r="BH47" s="167"/>
      <c r="BI47" s="179"/>
      <c r="BJ47" s="168"/>
      <c r="BK47" s="168"/>
      <c r="BL47" s="170"/>
      <c r="BM47" s="170"/>
      <c r="BN47" s="170"/>
      <c r="BO47" s="170"/>
      <c r="BP47" s="170"/>
      <c r="BQ47" s="170"/>
      <c r="BR47" s="170"/>
      <c r="BS47" s="170"/>
      <c r="BT47" s="168"/>
      <c r="BU47" s="168"/>
      <c r="BV47" s="168"/>
      <c r="BW47" s="174"/>
      <c r="BX47" s="168"/>
      <c r="BY47" s="168"/>
      <c r="BZ47" s="168"/>
      <c r="CA47" s="167"/>
      <c r="CB47" s="167"/>
    </row>
    <row r="48" spans="1:80" s="83" customFormat="1" x14ac:dyDescent="0.2">
      <c r="A48" s="176"/>
      <c r="B48" s="642"/>
      <c r="C48" s="642"/>
      <c r="D48" s="693"/>
      <c r="E48" s="169"/>
      <c r="F48" s="169"/>
      <c r="G48" s="170"/>
      <c r="H48" s="168"/>
      <c r="I48" s="168"/>
      <c r="J48" s="168"/>
      <c r="K48" s="168"/>
      <c r="L48" s="642"/>
      <c r="M48" s="645">
        <v>34180</v>
      </c>
      <c r="N48" s="585">
        <v>0.2</v>
      </c>
      <c r="O48" s="585">
        <v>0</v>
      </c>
      <c r="P48" s="175">
        <v>0</v>
      </c>
      <c r="Q48" s="175">
        <v>0</v>
      </c>
      <c r="R48" s="175">
        <v>0</v>
      </c>
      <c r="S48" s="175">
        <v>0</v>
      </c>
      <c r="T48" s="175">
        <v>0</v>
      </c>
      <c r="U48" s="175">
        <v>0</v>
      </c>
      <c r="V48" s="706">
        <v>0</v>
      </c>
      <c r="W48" s="717"/>
      <c r="X48" s="713"/>
      <c r="Y48" s="718"/>
      <c r="Z48" s="709">
        <v>0</v>
      </c>
      <c r="AA48" s="175"/>
      <c r="AB48" s="175" t="s">
        <v>39</v>
      </c>
      <c r="AC48" s="175">
        <v>5.8999999999999997E-2</v>
      </c>
      <c r="AD48" s="175">
        <v>2.93</v>
      </c>
      <c r="AE48" s="175">
        <v>0.2</v>
      </c>
      <c r="AF48" s="178">
        <f t="shared" si="0"/>
        <v>0.58600000000000008</v>
      </c>
      <c r="AG48" s="178">
        <v>0.37</v>
      </c>
      <c r="AH48" s="332"/>
      <c r="AI48" s="172"/>
      <c r="AJ48" s="172"/>
      <c r="AK48" s="172"/>
      <c r="AL48" s="167"/>
      <c r="AM48" s="167"/>
      <c r="AN48" s="167"/>
      <c r="AO48" s="167"/>
      <c r="AP48" s="167"/>
      <c r="AQ48" s="167"/>
      <c r="AR48" s="167"/>
      <c r="AS48" s="167"/>
      <c r="AT48" s="167"/>
      <c r="AU48" s="168"/>
      <c r="AV48" s="168"/>
      <c r="AW48" s="168"/>
      <c r="AX48" s="168"/>
      <c r="AY48" s="168"/>
      <c r="AZ48" s="167"/>
      <c r="BA48" s="167"/>
      <c r="BB48" s="167"/>
      <c r="BC48" s="167"/>
      <c r="BD48" s="167"/>
      <c r="BE48" s="167"/>
      <c r="BF48" s="167"/>
      <c r="BG48" s="167"/>
      <c r="BH48" s="167"/>
      <c r="BI48" s="179"/>
      <c r="BJ48" s="168"/>
      <c r="BK48" s="168"/>
      <c r="BL48" s="170"/>
      <c r="BM48" s="170"/>
      <c r="BN48" s="170"/>
      <c r="BO48" s="170"/>
      <c r="BP48" s="170"/>
      <c r="BQ48" s="170"/>
      <c r="BR48" s="170"/>
      <c r="BS48" s="170"/>
      <c r="BT48" s="168"/>
      <c r="BU48" s="168"/>
      <c r="BV48" s="168"/>
      <c r="BW48" s="174"/>
      <c r="BX48" s="168"/>
      <c r="BY48" s="168"/>
      <c r="BZ48" s="168"/>
      <c r="CA48" s="167"/>
      <c r="CB48" s="167"/>
    </row>
    <row r="49" spans="1:80" s="83" customFormat="1" x14ac:dyDescent="0.2">
      <c r="A49" s="176"/>
      <c r="B49" s="642"/>
      <c r="C49" s="642"/>
      <c r="D49" s="693"/>
      <c r="E49" s="169"/>
      <c r="F49" s="169"/>
      <c r="G49" s="170"/>
      <c r="H49" s="168"/>
      <c r="I49" s="168"/>
      <c r="J49" s="168"/>
      <c r="K49" s="168"/>
      <c r="L49" s="642"/>
      <c r="M49" s="645">
        <v>34186</v>
      </c>
      <c r="N49" s="585">
        <v>0.18</v>
      </c>
      <c r="O49" s="585">
        <v>0</v>
      </c>
      <c r="P49" s="175">
        <v>0</v>
      </c>
      <c r="Q49" s="175">
        <v>0</v>
      </c>
      <c r="R49" s="175">
        <v>0</v>
      </c>
      <c r="S49" s="175">
        <v>0</v>
      </c>
      <c r="T49" s="175">
        <v>0</v>
      </c>
      <c r="U49" s="175">
        <v>0</v>
      </c>
      <c r="V49" s="706">
        <v>0</v>
      </c>
      <c r="W49" s="717"/>
      <c r="X49" s="713"/>
      <c r="Y49" s="718"/>
      <c r="Z49" s="709">
        <v>0</v>
      </c>
      <c r="AA49" s="175"/>
      <c r="AB49" s="175" t="s">
        <v>39</v>
      </c>
      <c r="AC49" s="175">
        <v>5.8999999999999997E-2</v>
      </c>
      <c r="AD49" s="175">
        <v>2.94</v>
      </c>
      <c r="AE49" s="175">
        <v>0.19</v>
      </c>
      <c r="AF49" s="178">
        <f t="shared" si="0"/>
        <v>0.55859999999999999</v>
      </c>
      <c r="AG49" s="178">
        <v>0.35</v>
      </c>
      <c r="AH49" s="332"/>
      <c r="AI49" s="172"/>
      <c r="AJ49" s="172"/>
      <c r="AK49" s="172"/>
      <c r="AL49" s="167"/>
      <c r="AM49" s="167"/>
      <c r="AN49" s="167"/>
      <c r="AO49" s="167"/>
      <c r="AP49" s="167"/>
      <c r="AQ49" s="167"/>
      <c r="AR49" s="167"/>
      <c r="AS49" s="167"/>
      <c r="AT49" s="167"/>
      <c r="AU49" s="168"/>
      <c r="AV49" s="168"/>
      <c r="AW49" s="168"/>
      <c r="AX49" s="168"/>
      <c r="AY49" s="168"/>
      <c r="AZ49" s="167"/>
      <c r="BA49" s="167"/>
      <c r="BB49" s="167"/>
      <c r="BC49" s="167"/>
      <c r="BD49" s="167"/>
      <c r="BE49" s="167"/>
      <c r="BF49" s="167"/>
      <c r="BG49" s="167"/>
      <c r="BH49" s="167"/>
      <c r="BI49" s="179"/>
      <c r="BJ49" s="168"/>
      <c r="BK49" s="168"/>
      <c r="BL49" s="170"/>
      <c r="BM49" s="170"/>
      <c r="BN49" s="170"/>
      <c r="BO49" s="170"/>
      <c r="BP49" s="170"/>
      <c r="BQ49" s="170"/>
      <c r="BR49" s="170"/>
      <c r="BS49" s="170"/>
      <c r="BT49" s="168"/>
      <c r="BU49" s="168"/>
      <c r="BV49" s="168"/>
      <c r="BW49" s="174"/>
      <c r="BX49" s="168"/>
      <c r="BY49" s="168"/>
      <c r="BZ49" s="168"/>
      <c r="CA49" s="167"/>
      <c r="CB49" s="167"/>
    </row>
    <row r="50" spans="1:80" s="83" customFormat="1" x14ac:dyDescent="0.2">
      <c r="A50" s="176"/>
      <c r="B50" s="642"/>
      <c r="C50" s="642"/>
      <c r="D50" s="693"/>
      <c r="E50" s="169"/>
      <c r="F50" s="169"/>
      <c r="G50" s="170"/>
      <c r="H50" s="168"/>
      <c r="I50" s="168"/>
      <c r="J50" s="168"/>
      <c r="K50" s="168"/>
      <c r="L50" s="642"/>
      <c r="M50" s="645">
        <v>34855</v>
      </c>
      <c r="N50" s="585">
        <v>0.23</v>
      </c>
      <c r="O50" s="585">
        <v>1.01E-3</v>
      </c>
      <c r="P50" s="175">
        <v>0</v>
      </c>
      <c r="Q50" s="175">
        <v>0</v>
      </c>
      <c r="R50" s="175">
        <v>0</v>
      </c>
      <c r="S50" s="175">
        <v>2.0000000000000002E-5</v>
      </c>
      <c r="T50" s="175">
        <v>1.7000000000000001E-4</v>
      </c>
      <c r="U50" s="175">
        <v>1.7000000000000001E-4</v>
      </c>
      <c r="V50" s="706">
        <v>6.4999999999999997E-4</v>
      </c>
      <c r="W50" s="717"/>
      <c r="X50" s="713"/>
      <c r="Y50" s="718"/>
      <c r="Z50" s="709">
        <v>9</v>
      </c>
      <c r="AA50" s="175"/>
      <c r="AB50" s="175"/>
      <c r="AC50" s="175">
        <v>5.8999999999999997E-2</v>
      </c>
      <c r="AD50" s="175">
        <v>2.92</v>
      </c>
      <c r="AE50" s="175">
        <v>0.2</v>
      </c>
      <c r="AF50" s="178">
        <f t="shared" si="0"/>
        <v>0.58399999999999996</v>
      </c>
      <c r="AG50" s="178">
        <v>0.37</v>
      </c>
      <c r="AH50" s="332"/>
      <c r="AI50" s="172"/>
      <c r="AJ50" s="172"/>
      <c r="AK50" s="172"/>
      <c r="AL50" s="167"/>
      <c r="AM50" s="167"/>
      <c r="AN50" s="167"/>
      <c r="AO50" s="167"/>
      <c r="AP50" s="167"/>
      <c r="AQ50" s="167"/>
      <c r="AR50" s="167"/>
      <c r="AS50" s="167"/>
      <c r="AT50" s="167"/>
      <c r="AU50" s="168"/>
      <c r="AV50" s="168"/>
      <c r="AW50" s="168"/>
      <c r="AX50" s="168"/>
      <c r="AY50" s="168"/>
      <c r="AZ50" s="167"/>
      <c r="BA50" s="167"/>
      <c r="BB50" s="167"/>
      <c r="BC50" s="167"/>
      <c r="BD50" s="167"/>
      <c r="BE50" s="167"/>
      <c r="BF50" s="167"/>
      <c r="BG50" s="167"/>
      <c r="BH50" s="167"/>
      <c r="BI50" s="179"/>
      <c r="BJ50" s="168"/>
      <c r="BK50" s="168"/>
      <c r="BL50" s="170"/>
      <c r="BM50" s="170"/>
      <c r="BN50" s="170"/>
      <c r="BO50" s="170"/>
      <c r="BP50" s="170"/>
      <c r="BQ50" s="170"/>
      <c r="BR50" s="170"/>
      <c r="BS50" s="170"/>
      <c r="BT50" s="168"/>
      <c r="BU50" s="168"/>
      <c r="BV50" s="168"/>
      <c r="BW50" s="174"/>
      <c r="BX50" s="168"/>
      <c r="BY50" s="168"/>
      <c r="BZ50" s="168"/>
      <c r="CA50" s="167"/>
      <c r="CB50" s="167"/>
    </row>
    <row r="51" spans="1:80" s="83" customFormat="1" x14ac:dyDescent="0.2">
      <c r="A51" s="176"/>
      <c r="B51" s="642"/>
      <c r="C51" s="642"/>
      <c r="D51" s="693"/>
      <c r="E51" s="169"/>
      <c r="F51" s="169"/>
      <c r="G51" s="170"/>
      <c r="H51" s="168"/>
      <c r="I51" s="168"/>
      <c r="J51" s="168"/>
      <c r="K51" s="168"/>
      <c r="L51" s="642"/>
      <c r="M51" s="645">
        <v>34857</v>
      </c>
      <c r="N51" s="585">
        <v>0.24</v>
      </c>
      <c r="O51" s="585">
        <v>6.0000000000000002E-5</v>
      </c>
      <c r="P51" s="175">
        <v>0</v>
      </c>
      <c r="Q51" s="175">
        <v>0</v>
      </c>
      <c r="R51" s="175">
        <v>0</v>
      </c>
      <c r="S51" s="175">
        <v>0</v>
      </c>
      <c r="T51" s="175">
        <v>0</v>
      </c>
      <c r="U51" s="175">
        <v>0</v>
      </c>
      <c r="V51" s="706">
        <v>6.0000000000000002E-5</v>
      </c>
      <c r="W51" s="717"/>
      <c r="X51" s="713"/>
      <c r="Y51" s="718"/>
      <c r="Z51" s="709">
        <v>2</v>
      </c>
      <c r="AA51" s="175"/>
      <c r="AB51" s="175"/>
      <c r="AC51" s="175">
        <v>5.8999999999999997E-2</v>
      </c>
      <c r="AD51" s="175">
        <v>2.9</v>
      </c>
      <c r="AE51" s="175">
        <v>0.22</v>
      </c>
      <c r="AF51" s="178">
        <f t="shared" si="0"/>
        <v>0.63800000000000001</v>
      </c>
      <c r="AG51" s="178">
        <v>0.36</v>
      </c>
      <c r="AH51" s="332"/>
      <c r="AI51" s="172"/>
      <c r="AJ51" s="172"/>
      <c r="AK51" s="172"/>
      <c r="AL51" s="167"/>
      <c r="AM51" s="167"/>
      <c r="AN51" s="167"/>
      <c r="AO51" s="167"/>
      <c r="AP51" s="167"/>
      <c r="AQ51" s="167"/>
      <c r="AR51" s="167"/>
      <c r="AS51" s="167"/>
      <c r="AT51" s="167"/>
      <c r="AU51" s="168"/>
      <c r="AV51" s="168"/>
      <c r="AW51" s="168"/>
      <c r="AX51" s="168"/>
      <c r="AY51" s="168"/>
      <c r="AZ51" s="167"/>
      <c r="BA51" s="167"/>
      <c r="BB51" s="167"/>
      <c r="BC51" s="167"/>
      <c r="BD51" s="167"/>
      <c r="BE51" s="167"/>
      <c r="BF51" s="167"/>
      <c r="BG51" s="167"/>
      <c r="BH51" s="167"/>
      <c r="BI51" s="179"/>
      <c r="BJ51" s="168"/>
      <c r="BK51" s="168"/>
      <c r="BL51" s="170"/>
      <c r="BM51" s="170"/>
      <c r="BN51" s="170"/>
      <c r="BO51" s="170"/>
      <c r="BP51" s="170"/>
      <c r="BQ51" s="170"/>
      <c r="BR51" s="170"/>
      <c r="BS51" s="170"/>
      <c r="BT51" s="168"/>
      <c r="BU51" s="168"/>
      <c r="BV51" s="168"/>
      <c r="BW51" s="174"/>
      <c r="BX51" s="168"/>
      <c r="BY51" s="168"/>
      <c r="BZ51" s="168"/>
      <c r="CA51" s="167"/>
      <c r="CB51" s="167"/>
    </row>
    <row r="52" spans="1:80" s="83" customFormat="1" x14ac:dyDescent="0.2">
      <c r="A52" s="176"/>
      <c r="B52" s="642"/>
      <c r="C52" s="642"/>
      <c r="D52" s="693"/>
      <c r="E52" s="169"/>
      <c r="F52" s="169"/>
      <c r="G52" s="170"/>
      <c r="H52" s="168"/>
      <c r="I52" s="168"/>
      <c r="J52" s="168"/>
      <c r="K52" s="168"/>
      <c r="L52" s="642"/>
      <c r="M52" s="645">
        <v>34860</v>
      </c>
      <c r="N52" s="585">
        <v>0.21</v>
      </c>
      <c r="O52" s="585">
        <v>5.9000000000000003E-4</v>
      </c>
      <c r="P52" s="175">
        <v>0</v>
      </c>
      <c r="Q52" s="175">
        <v>0</v>
      </c>
      <c r="R52" s="175">
        <v>0</v>
      </c>
      <c r="S52" s="175">
        <v>3.1E-4</v>
      </c>
      <c r="T52" s="175">
        <v>6.0000000000000002E-5</v>
      </c>
      <c r="U52" s="175">
        <v>5.0000000000000002E-5</v>
      </c>
      <c r="V52" s="706">
        <v>1.8000000000000001E-4</v>
      </c>
      <c r="W52" s="717"/>
      <c r="X52" s="713"/>
      <c r="Y52" s="718"/>
      <c r="Z52" s="709">
        <v>13</v>
      </c>
      <c r="AA52" s="175"/>
      <c r="AB52" s="175"/>
      <c r="AC52" s="175">
        <v>5.8999999999999997E-2</v>
      </c>
      <c r="AD52" s="175">
        <v>2.9</v>
      </c>
      <c r="AE52" s="175">
        <v>0.2</v>
      </c>
      <c r="AF52" s="178">
        <f t="shared" si="0"/>
        <v>0.57999999999999996</v>
      </c>
      <c r="AG52" s="178">
        <v>0.35</v>
      </c>
      <c r="AH52" s="332"/>
      <c r="AI52" s="172"/>
      <c r="AJ52" s="172"/>
      <c r="AK52" s="172"/>
      <c r="AL52" s="167"/>
      <c r="AM52" s="167"/>
      <c r="AN52" s="167"/>
      <c r="AO52" s="167"/>
      <c r="AP52" s="167"/>
      <c r="AQ52" s="167"/>
      <c r="AR52" s="167"/>
      <c r="AS52" s="167"/>
      <c r="AT52" s="167"/>
      <c r="AU52" s="168"/>
      <c r="AV52" s="168"/>
      <c r="AW52" s="168"/>
      <c r="AX52" s="168"/>
      <c r="AY52" s="168"/>
      <c r="AZ52" s="167"/>
      <c r="BA52" s="167"/>
      <c r="BB52" s="167"/>
      <c r="BC52" s="167"/>
      <c r="BD52" s="167"/>
      <c r="BE52" s="167"/>
      <c r="BF52" s="167"/>
      <c r="BG52" s="167"/>
      <c r="BH52" s="167"/>
      <c r="BI52" s="179"/>
      <c r="BJ52" s="168"/>
      <c r="BK52" s="168"/>
      <c r="BL52" s="170"/>
      <c r="BM52" s="170"/>
      <c r="BN52" s="170"/>
      <c r="BO52" s="170"/>
      <c r="BP52" s="170"/>
      <c r="BQ52" s="170"/>
      <c r="BR52" s="170"/>
      <c r="BS52" s="170"/>
      <c r="BT52" s="168"/>
      <c r="BU52" s="168"/>
      <c r="BV52" s="168"/>
      <c r="BW52" s="174"/>
      <c r="BX52" s="168"/>
      <c r="BY52" s="168"/>
      <c r="BZ52" s="168"/>
      <c r="CA52" s="167"/>
      <c r="CB52" s="167"/>
    </row>
    <row r="53" spans="1:80" s="83" customFormat="1" x14ac:dyDescent="0.2">
      <c r="A53" s="176"/>
      <c r="B53" s="642"/>
      <c r="C53" s="642"/>
      <c r="D53" s="693"/>
      <c r="E53" s="169"/>
      <c r="F53" s="169"/>
      <c r="G53" s="170"/>
      <c r="H53" s="168"/>
      <c r="I53" s="168"/>
      <c r="J53" s="168"/>
      <c r="K53" s="168"/>
      <c r="L53" s="642"/>
      <c r="M53" s="645">
        <v>34862</v>
      </c>
      <c r="N53" s="585">
        <v>0.38</v>
      </c>
      <c r="O53" s="585">
        <v>4.5900000000000003E-3</v>
      </c>
      <c r="P53" s="175">
        <v>0</v>
      </c>
      <c r="Q53" s="175">
        <v>0</v>
      </c>
      <c r="R53" s="175">
        <v>0</v>
      </c>
      <c r="S53" s="175">
        <v>9.3999999999999997E-4</v>
      </c>
      <c r="T53" s="175">
        <v>1.14E-3</v>
      </c>
      <c r="U53" s="175">
        <v>7.2999999999999996E-4</v>
      </c>
      <c r="V53" s="706">
        <v>1.7799999999999999E-3</v>
      </c>
      <c r="W53" s="717"/>
      <c r="X53" s="713"/>
      <c r="Y53" s="718"/>
      <c r="Z53" s="709">
        <v>12</v>
      </c>
      <c r="AA53" s="175"/>
      <c r="AB53" s="175"/>
      <c r="AC53" s="175">
        <v>5.8000000000000003E-2</v>
      </c>
      <c r="AD53" s="175">
        <v>2.92</v>
      </c>
      <c r="AE53" s="175">
        <v>0.26</v>
      </c>
      <c r="AF53" s="178">
        <f t="shared" si="0"/>
        <v>0.75919999999999999</v>
      </c>
      <c r="AG53" s="178">
        <v>0.54</v>
      </c>
      <c r="AH53" s="332"/>
      <c r="AI53" s="172"/>
      <c r="AJ53" s="172"/>
      <c r="AK53" s="172"/>
      <c r="AL53" s="167"/>
      <c r="AM53" s="167"/>
      <c r="AN53" s="167"/>
      <c r="AO53" s="167"/>
      <c r="AP53" s="167"/>
      <c r="AQ53" s="167"/>
      <c r="AR53" s="167"/>
      <c r="AS53" s="167"/>
      <c r="AT53" s="167"/>
      <c r="AU53" s="168"/>
      <c r="AV53" s="168"/>
      <c r="AW53" s="168"/>
      <c r="AX53" s="168"/>
      <c r="AY53" s="168"/>
      <c r="AZ53" s="167"/>
      <c r="BA53" s="167"/>
      <c r="BB53" s="167"/>
      <c r="BC53" s="167"/>
      <c r="BD53" s="167"/>
      <c r="BE53" s="167"/>
      <c r="BF53" s="167"/>
      <c r="BG53" s="167"/>
      <c r="BH53" s="167"/>
      <c r="BI53" s="179"/>
      <c r="BJ53" s="168"/>
      <c r="BK53" s="168"/>
      <c r="BL53" s="170"/>
      <c r="BM53" s="170"/>
      <c r="BN53" s="170"/>
      <c r="BO53" s="170"/>
      <c r="BP53" s="170"/>
      <c r="BQ53" s="170"/>
      <c r="BR53" s="170"/>
      <c r="BS53" s="170"/>
      <c r="BT53" s="168"/>
      <c r="BU53" s="168"/>
      <c r="BV53" s="168"/>
      <c r="BW53" s="174"/>
      <c r="BX53" s="168"/>
      <c r="BY53" s="168"/>
      <c r="BZ53" s="168"/>
      <c r="CA53" s="167"/>
      <c r="CB53" s="167"/>
    </row>
    <row r="54" spans="1:80" s="83" customFormat="1" x14ac:dyDescent="0.2">
      <c r="A54" s="176"/>
      <c r="B54" s="642"/>
      <c r="C54" s="642"/>
      <c r="D54" s="693"/>
      <c r="E54" s="169"/>
      <c r="F54" s="169"/>
      <c r="G54" s="170"/>
      <c r="H54" s="168"/>
      <c r="I54" s="168"/>
      <c r="J54" s="168"/>
      <c r="K54" s="168"/>
      <c r="L54" s="642"/>
      <c r="M54" s="645">
        <v>34863</v>
      </c>
      <c r="N54" s="585">
        <v>0.39</v>
      </c>
      <c r="O54" s="585">
        <v>1.57E-3</v>
      </c>
      <c r="P54" s="175">
        <v>0</v>
      </c>
      <c r="Q54" s="175">
        <v>0</v>
      </c>
      <c r="R54" s="175">
        <v>0</v>
      </c>
      <c r="S54" s="175">
        <v>0</v>
      </c>
      <c r="T54" s="175">
        <v>3.0000000000000001E-5</v>
      </c>
      <c r="U54" s="175">
        <v>1.2999999999999999E-4</v>
      </c>
      <c r="V54" s="706">
        <v>1.41E-3</v>
      </c>
      <c r="W54" s="717"/>
      <c r="X54" s="713"/>
      <c r="Y54" s="718"/>
      <c r="Z54" s="709">
        <v>5</v>
      </c>
      <c r="AA54" s="175"/>
      <c r="AB54" s="175"/>
      <c r="AC54" s="175">
        <v>5.8000000000000003E-2</v>
      </c>
      <c r="AD54" s="175">
        <v>2.96</v>
      </c>
      <c r="AE54" s="175">
        <v>0.27</v>
      </c>
      <c r="AF54" s="178">
        <f t="shared" si="0"/>
        <v>0.79920000000000002</v>
      </c>
      <c r="AG54" s="178">
        <v>0.55000000000000004</v>
      </c>
      <c r="AH54" s="332"/>
      <c r="AI54" s="172"/>
      <c r="AJ54" s="172"/>
      <c r="AK54" s="172"/>
      <c r="AL54" s="167"/>
      <c r="AM54" s="167"/>
      <c r="AN54" s="167"/>
      <c r="AO54" s="167"/>
      <c r="AP54" s="167"/>
      <c r="AQ54" s="167"/>
      <c r="AR54" s="167"/>
      <c r="AS54" s="167"/>
      <c r="AT54" s="167"/>
      <c r="AU54" s="168"/>
      <c r="AV54" s="168"/>
      <c r="AW54" s="168"/>
      <c r="AX54" s="168"/>
      <c r="AY54" s="168"/>
      <c r="AZ54" s="167"/>
      <c r="BA54" s="167"/>
      <c r="BB54" s="167"/>
      <c r="BC54" s="167"/>
      <c r="BD54" s="167"/>
      <c r="BE54" s="167"/>
      <c r="BF54" s="167"/>
      <c r="BG54" s="167"/>
      <c r="BH54" s="167"/>
      <c r="BI54" s="168"/>
      <c r="BJ54" s="168"/>
      <c r="BK54" s="168"/>
      <c r="BL54" s="168"/>
      <c r="BM54" s="168"/>
      <c r="BN54" s="170"/>
      <c r="BO54" s="170"/>
      <c r="BP54" s="170"/>
      <c r="BQ54" s="170"/>
      <c r="BR54" s="170"/>
      <c r="BS54" s="170"/>
      <c r="BT54" s="168"/>
      <c r="BU54" s="168"/>
      <c r="BV54" s="168"/>
      <c r="BW54" s="174"/>
      <c r="BX54" s="168"/>
      <c r="BY54" s="168"/>
      <c r="BZ54" s="168"/>
      <c r="CA54" s="167"/>
      <c r="CB54" s="167"/>
    </row>
    <row r="55" spans="1:80" s="83" customFormat="1" x14ac:dyDescent="0.2">
      <c r="A55" s="176"/>
      <c r="B55" s="642"/>
      <c r="C55" s="642"/>
      <c r="D55" s="693"/>
      <c r="E55" s="169"/>
      <c r="F55" s="169"/>
      <c r="G55" s="170"/>
      <c r="H55" s="168"/>
      <c r="I55" s="168"/>
      <c r="J55" s="168"/>
      <c r="K55" s="168"/>
      <c r="L55" s="642"/>
      <c r="M55" s="645">
        <v>34865</v>
      </c>
      <c r="N55" s="585">
        <v>0.81</v>
      </c>
      <c r="O55" s="585">
        <v>2.777E-2</v>
      </c>
      <c r="P55" s="175">
        <v>0</v>
      </c>
      <c r="Q55" s="175">
        <v>0</v>
      </c>
      <c r="R55" s="175">
        <v>2.5999999999999999E-3</v>
      </c>
      <c r="S55" s="175">
        <v>1.013E-2</v>
      </c>
      <c r="T55" s="175">
        <v>6.5399999999999998E-3</v>
      </c>
      <c r="U55" s="175">
        <v>4.9100000000000003E-3</v>
      </c>
      <c r="V55" s="706">
        <v>3.5899999999999999E-3</v>
      </c>
      <c r="W55" s="717"/>
      <c r="X55" s="713"/>
      <c r="Y55" s="718"/>
      <c r="Z55" s="709">
        <v>26</v>
      </c>
      <c r="AA55" s="175"/>
      <c r="AB55" s="175"/>
      <c r="AC55" s="175">
        <v>5.6000000000000001E-2</v>
      </c>
      <c r="AD55" s="175">
        <v>2.96</v>
      </c>
      <c r="AE55" s="175">
        <v>0.35</v>
      </c>
      <c r="AF55" s="178">
        <f t="shared" si="0"/>
        <v>1.036</v>
      </c>
      <c r="AG55" s="178">
        <v>0.76</v>
      </c>
      <c r="AH55" s="332"/>
      <c r="AI55" s="172"/>
      <c r="AJ55" s="172"/>
      <c r="AK55" s="172"/>
      <c r="AL55" s="167"/>
      <c r="AM55" s="167"/>
      <c r="AN55" s="167"/>
      <c r="AO55" s="167"/>
      <c r="AP55" s="167"/>
      <c r="AQ55" s="167"/>
      <c r="AR55" s="167"/>
      <c r="AS55" s="167"/>
      <c r="AT55" s="167"/>
      <c r="AU55" s="168"/>
      <c r="AV55" s="168"/>
      <c r="AW55" s="168"/>
      <c r="AX55" s="168"/>
      <c r="AY55" s="168"/>
      <c r="AZ55" s="167"/>
      <c r="BA55" s="167"/>
      <c r="BB55" s="167"/>
      <c r="BC55" s="167"/>
      <c r="BD55" s="167"/>
      <c r="BE55" s="167"/>
      <c r="BF55" s="167"/>
      <c r="BG55" s="167"/>
      <c r="BH55" s="167"/>
      <c r="BI55" s="179"/>
      <c r="BJ55" s="168"/>
      <c r="BK55" s="168"/>
      <c r="BL55" s="168"/>
      <c r="BM55" s="168"/>
      <c r="BN55" s="170"/>
      <c r="BO55" s="170"/>
      <c r="BP55" s="170"/>
      <c r="BQ55" s="170"/>
      <c r="BR55" s="170"/>
      <c r="BS55" s="170"/>
      <c r="BT55" s="168"/>
      <c r="BU55" s="168"/>
      <c r="BV55" s="168"/>
      <c r="BW55" s="174"/>
      <c r="BX55" s="168"/>
      <c r="BY55" s="168"/>
      <c r="BZ55" s="168"/>
      <c r="CA55" s="167"/>
      <c r="CB55" s="167"/>
    </row>
    <row r="56" spans="1:80" s="83" customFormat="1" x14ac:dyDescent="0.2">
      <c r="A56" s="176"/>
      <c r="B56" s="642"/>
      <c r="C56" s="642"/>
      <c r="D56" s="693"/>
      <c r="E56" s="169"/>
      <c r="F56" s="169"/>
      <c r="G56" s="170"/>
      <c r="H56" s="168"/>
      <c r="I56" s="168"/>
      <c r="J56" s="168"/>
      <c r="K56" s="168"/>
      <c r="L56" s="642"/>
      <c r="M56" s="645">
        <v>34866</v>
      </c>
      <c r="N56" s="585">
        <v>1.04</v>
      </c>
      <c r="O56" s="585">
        <v>3.124E-2</v>
      </c>
      <c r="P56" s="175">
        <v>0</v>
      </c>
      <c r="Q56" s="175">
        <v>0</v>
      </c>
      <c r="R56" s="175">
        <v>6.3699999999999998E-3</v>
      </c>
      <c r="S56" s="175">
        <v>6.7299999999999999E-3</v>
      </c>
      <c r="T56" s="175">
        <v>5.1200000000000004E-3</v>
      </c>
      <c r="U56" s="175">
        <v>5.7400000000000003E-3</v>
      </c>
      <c r="V56" s="706">
        <v>7.28E-3</v>
      </c>
      <c r="W56" s="717"/>
      <c r="X56" s="713"/>
      <c r="Y56" s="718"/>
      <c r="Z56" s="709">
        <v>33</v>
      </c>
      <c r="AA56" s="175"/>
      <c r="AB56" s="175"/>
      <c r="AC56" s="175">
        <v>5.5E-2</v>
      </c>
      <c r="AD56" s="175">
        <v>3.01</v>
      </c>
      <c r="AE56" s="175">
        <v>0.4</v>
      </c>
      <c r="AF56" s="178">
        <f t="shared" si="0"/>
        <v>1.204</v>
      </c>
      <c r="AG56" s="178">
        <v>0.95</v>
      </c>
      <c r="AH56" s="332"/>
      <c r="AI56" s="172"/>
      <c r="AJ56" s="172"/>
      <c r="AK56" s="172"/>
      <c r="AL56" s="167"/>
      <c r="AM56" s="167"/>
      <c r="AN56" s="167"/>
      <c r="AO56" s="167"/>
      <c r="AP56" s="167"/>
      <c r="AQ56" s="167"/>
      <c r="AR56" s="167"/>
      <c r="AS56" s="167"/>
      <c r="AT56" s="167"/>
      <c r="AU56" s="168"/>
      <c r="AV56" s="168"/>
      <c r="AW56" s="168"/>
      <c r="AX56" s="168"/>
      <c r="AY56" s="168"/>
      <c r="AZ56" s="167"/>
      <c r="BA56" s="167"/>
      <c r="BB56" s="167"/>
      <c r="BC56" s="167"/>
      <c r="BD56" s="167"/>
      <c r="BE56" s="167"/>
      <c r="BF56" s="167"/>
      <c r="BG56" s="167"/>
      <c r="BH56" s="167"/>
      <c r="BI56" s="179"/>
      <c r="BJ56" s="168"/>
      <c r="BK56" s="168"/>
      <c r="BL56" s="168"/>
      <c r="BM56" s="168"/>
      <c r="BN56" s="170"/>
      <c r="BO56" s="170"/>
      <c r="BP56" s="170"/>
      <c r="BQ56" s="170"/>
      <c r="BR56" s="170"/>
      <c r="BS56" s="170"/>
      <c r="BT56" s="168"/>
      <c r="BU56" s="168"/>
      <c r="BV56" s="168"/>
      <c r="BW56" s="174"/>
      <c r="BX56" s="168"/>
      <c r="BY56" s="168"/>
      <c r="BZ56" s="168"/>
      <c r="CA56" s="167"/>
      <c r="CB56" s="167"/>
    </row>
    <row r="57" spans="1:80" s="83" customFormat="1" x14ac:dyDescent="0.2">
      <c r="A57" s="176"/>
      <c r="B57" s="642"/>
      <c r="C57" s="642"/>
      <c r="D57" s="693"/>
      <c r="E57" s="169"/>
      <c r="F57" s="169"/>
      <c r="G57" s="170"/>
      <c r="H57" s="168"/>
      <c r="I57" s="168"/>
      <c r="J57" s="168"/>
      <c r="K57" s="168"/>
      <c r="L57" s="642"/>
      <c r="M57" s="645">
        <v>34868</v>
      </c>
      <c r="N57" s="585">
        <v>1.06</v>
      </c>
      <c r="O57" s="585">
        <v>1.285E-2</v>
      </c>
      <c r="P57" s="175">
        <v>0</v>
      </c>
      <c r="Q57" s="175">
        <v>1.16E-3</v>
      </c>
      <c r="R57" s="175">
        <v>0</v>
      </c>
      <c r="S57" s="175">
        <v>1.9599999999999999E-3</v>
      </c>
      <c r="T57" s="175">
        <v>1.5900000000000001E-3</v>
      </c>
      <c r="U57" s="175">
        <v>2E-3</v>
      </c>
      <c r="V57" s="706">
        <v>6.1399999999999996E-3</v>
      </c>
      <c r="W57" s="717"/>
      <c r="X57" s="713"/>
      <c r="Y57" s="718"/>
      <c r="Z57" s="709">
        <v>28</v>
      </c>
      <c r="AA57" s="175"/>
      <c r="AB57" s="175"/>
      <c r="AC57" s="175">
        <v>5.5E-2</v>
      </c>
      <c r="AD57" s="175">
        <v>3.03</v>
      </c>
      <c r="AE57" s="175">
        <v>0.38</v>
      </c>
      <c r="AF57" s="178">
        <f t="shared" si="0"/>
        <v>1.1514</v>
      </c>
      <c r="AG57" s="178">
        <v>0.92</v>
      </c>
      <c r="AH57" s="332"/>
      <c r="AI57" s="172"/>
      <c r="AJ57" s="172"/>
      <c r="AK57" s="172"/>
      <c r="AL57" s="167"/>
      <c r="AM57" s="167"/>
      <c r="AN57" s="167"/>
      <c r="AO57" s="167"/>
      <c r="AP57" s="167"/>
      <c r="AQ57" s="167"/>
      <c r="AR57" s="167"/>
      <c r="AS57" s="167"/>
      <c r="AT57" s="167"/>
      <c r="AU57" s="168"/>
      <c r="AV57" s="168"/>
      <c r="AW57" s="168"/>
      <c r="AX57" s="168"/>
      <c r="AY57" s="168"/>
      <c r="AZ57" s="167"/>
      <c r="BA57" s="167"/>
      <c r="BB57" s="167"/>
      <c r="BC57" s="167"/>
      <c r="BD57" s="167"/>
      <c r="BE57" s="167"/>
      <c r="BF57" s="167"/>
      <c r="BG57" s="167"/>
      <c r="BH57" s="167"/>
      <c r="BI57" s="179"/>
      <c r="BJ57" s="168"/>
      <c r="BK57" s="168"/>
      <c r="BL57" s="168"/>
      <c r="BM57" s="168"/>
      <c r="BN57" s="170"/>
      <c r="BO57" s="170"/>
      <c r="BP57" s="170"/>
      <c r="BQ57" s="170"/>
      <c r="BR57" s="170"/>
      <c r="BS57" s="170"/>
      <c r="BT57" s="168"/>
      <c r="BU57" s="168"/>
      <c r="BV57" s="168"/>
      <c r="BW57" s="174"/>
      <c r="BX57" s="168"/>
      <c r="BY57" s="168"/>
      <c r="BZ57" s="168"/>
      <c r="CA57" s="167"/>
      <c r="CB57" s="167"/>
    </row>
    <row r="58" spans="1:80" s="83" customFormat="1" x14ac:dyDescent="0.2">
      <c r="A58" s="176"/>
      <c r="B58" s="642"/>
      <c r="C58" s="642"/>
      <c r="D58" s="693"/>
      <c r="E58" s="169"/>
      <c r="F58" s="169"/>
      <c r="G58" s="170"/>
      <c r="H58" s="168"/>
      <c r="I58" s="168"/>
      <c r="J58" s="168"/>
      <c r="K58" s="168"/>
      <c r="L58" s="642"/>
      <c r="M58" s="645">
        <v>34869</v>
      </c>
      <c r="N58" s="585">
        <v>0.94</v>
      </c>
      <c r="O58" s="585">
        <v>2.2530000000000001E-2</v>
      </c>
      <c r="P58" s="175">
        <v>0</v>
      </c>
      <c r="Q58" s="175">
        <v>0</v>
      </c>
      <c r="R58" s="175">
        <v>2.8300000000000001E-3</v>
      </c>
      <c r="S58" s="175">
        <v>4.7000000000000002E-3</v>
      </c>
      <c r="T58" s="175">
        <v>4.0400000000000002E-3</v>
      </c>
      <c r="U58" s="175">
        <v>4.3400000000000001E-3</v>
      </c>
      <c r="V58" s="706">
        <v>6.62E-3</v>
      </c>
      <c r="W58" s="717"/>
      <c r="X58" s="713"/>
      <c r="Y58" s="718"/>
      <c r="Z58" s="709">
        <v>36</v>
      </c>
      <c r="AA58" s="175"/>
      <c r="AB58" s="175"/>
      <c r="AC58" s="175">
        <v>5.6000000000000001E-2</v>
      </c>
      <c r="AD58" s="175">
        <v>3</v>
      </c>
      <c r="AE58" s="175">
        <v>0.36</v>
      </c>
      <c r="AF58" s="178">
        <f t="shared" si="0"/>
        <v>1.08</v>
      </c>
      <c r="AG58" s="178">
        <v>0.95</v>
      </c>
      <c r="AH58" s="332"/>
      <c r="AI58" s="172"/>
      <c r="AJ58" s="172"/>
      <c r="AK58" s="172"/>
      <c r="AL58" s="167"/>
      <c r="AM58" s="167"/>
      <c r="AN58" s="167"/>
      <c r="AO58" s="167"/>
      <c r="AP58" s="167"/>
      <c r="AQ58" s="167"/>
      <c r="AR58" s="167"/>
      <c r="AS58" s="167"/>
      <c r="AT58" s="167"/>
      <c r="AU58" s="168"/>
      <c r="AV58" s="168"/>
      <c r="AW58" s="168"/>
      <c r="AX58" s="168"/>
      <c r="AY58" s="168"/>
      <c r="AZ58" s="167"/>
      <c r="BA58" s="167"/>
      <c r="BB58" s="167"/>
      <c r="BC58" s="167"/>
      <c r="BD58" s="167"/>
      <c r="BE58" s="167"/>
      <c r="BF58" s="167"/>
      <c r="BG58" s="167"/>
      <c r="BH58" s="167"/>
      <c r="BI58" s="179"/>
      <c r="BJ58" s="168"/>
      <c r="BK58" s="168"/>
      <c r="BL58" s="168"/>
      <c r="BM58" s="168"/>
      <c r="BN58" s="170"/>
      <c r="BO58" s="170"/>
      <c r="BP58" s="170"/>
      <c r="BQ58" s="170"/>
      <c r="BR58" s="170"/>
      <c r="BS58" s="170"/>
      <c r="BT58" s="168"/>
      <c r="BU58" s="168"/>
      <c r="BV58" s="168"/>
      <c r="BW58" s="174"/>
      <c r="BX58" s="168"/>
      <c r="BY58" s="168"/>
      <c r="BZ58" s="168"/>
      <c r="CA58" s="167"/>
      <c r="CB58" s="167"/>
    </row>
    <row r="59" spans="1:80" s="83" customFormat="1" x14ac:dyDescent="0.2">
      <c r="A59" s="176"/>
      <c r="B59" s="642"/>
      <c r="C59" s="642"/>
      <c r="D59" s="693"/>
      <c r="E59" s="169"/>
      <c r="F59" s="169"/>
      <c r="G59" s="170"/>
      <c r="H59" s="168"/>
      <c r="I59" s="168"/>
      <c r="J59" s="168"/>
      <c r="K59" s="168"/>
      <c r="L59" s="642"/>
      <c r="M59" s="645">
        <v>34870</v>
      </c>
      <c r="N59" s="585">
        <v>1.08</v>
      </c>
      <c r="O59" s="585">
        <v>1.257E-2</v>
      </c>
      <c r="P59" s="175">
        <v>0</v>
      </c>
      <c r="Q59" s="175">
        <v>0</v>
      </c>
      <c r="R59" s="175">
        <v>1.75E-3</v>
      </c>
      <c r="S59" s="175">
        <v>1.34E-3</v>
      </c>
      <c r="T59" s="175">
        <v>1.65E-3</v>
      </c>
      <c r="U59" s="175">
        <v>2.1800000000000001E-3</v>
      </c>
      <c r="V59" s="706">
        <v>5.6499999999999996E-3</v>
      </c>
      <c r="W59" s="717"/>
      <c r="X59" s="713"/>
      <c r="Y59" s="718"/>
      <c r="Z59" s="709">
        <v>29</v>
      </c>
      <c r="AA59" s="175"/>
      <c r="AB59" s="175"/>
      <c r="AC59" s="175">
        <v>5.5E-2</v>
      </c>
      <c r="AD59" s="175">
        <v>3.02</v>
      </c>
      <c r="AE59" s="175">
        <v>0.38</v>
      </c>
      <c r="AF59" s="178">
        <f t="shared" si="0"/>
        <v>1.1476</v>
      </c>
      <c r="AG59" s="178">
        <v>1.03</v>
      </c>
      <c r="AH59" s="332"/>
      <c r="AI59" s="172"/>
      <c r="AJ59" s="172"/>
      <c r="AK59" s="172"/>
      <c r="AL59" s="167"/>
      <c r="AM59" s="167"/>
      <c r="AN59" s="167"/>
      <c r="AO59" s="167"/>
      <c r="AP59" s="167"/>
      <c r="AQ59" s="167"/>
      <c r="AR59" s="167"/>
      <c r="AS59" s="167"/>
      <c r="AT59" s="167"/>
      <c r="AU59" s="168"/>
      <c r="AV59" s="168"/>
      <c r="AW59" s="168"/>
      <c r="AX59" s="168"/>
      <c r="AY59" s="168"/>
      <c r="AZ59" s="167"/>
      <c r="BA59" s="167"/>
      <c r="BB59" s="167"/>
      <c r="BC59" s="167"/>
      <c r="BD59" s="167"/>
      <c r="BE59" s="167"/>
      <c r="BF59" s="167"/>
      <c r="BG59" s="167"/>
      <c r="BH59" s="167"/>
      <c r="BI59" s="179"/>
      <c r="BJ59" s="168"/>
      <c r="BK59" s="168"/>
      <c r="BL59" s="168"/>
      <c r="BM59" s="168"/>
      <c r="BN59" s="170"/>
      <c r="BO59" s="170"/>
      <c r="BP59" s="170"/>
      <c r="BQ59" s="170"/>
      <c r="BR59" s="170"/>
      <c r="BS59" s="170"/>
      <c r="BT59" s="168"/>
      <c r="BU59" s="168"/>
      <c r="BV59" s="168"/>
      <c r="BW59" s="174"/>
      <c r="BX59" s="168"/>
      <c r="BY59" s="168"/>
      <c r="BZ59" s="168"/>
      <c r="CA59" s="167"/>
      <c r="CB59" s="167"/>
    </row>
    <row r="60" spans="1:80" s="83" customFormat="1" x14ac:dyDescent="0.2">
      <c r="A60" s="176"/>
      <c r="B60" s="642"/>
      <c r="C60" s="642"/>
      <c r="D60" s="693"/>
      <c r="E60" s="169"/>
      <c r="F60" s="169"/>
      <c r="G60" s="170"/>
      <c r="H60" s="168"/>
      <c r="I60" s="168"/>
      <c r="J60" s="168"/>
      <c r="K60" s="168"/>
      <c r="L60" s="642"/>
      <c r="M60" s="645">
        <v>34871</v>
      </c>
      <c r="N60" s="585">
        <v>1.04</v>
      </c>
      <c r="O60" s="585">
        <v>4.8829999999999998E-2</v>
      </c>
      <c r="P60" s="175">
        <v>0</v>
      </c>
      <c r="Q60" s="175">
        <v>3.4499999999999999E-3</v>
      </c>
      <c r="R60" s="175">
        <v>1.1089999999999999E-2</v>
      </c>
      <c r="S60" s="175">
        <v>9.9000000000000008E-3</v>
      </c>
      <c r="T60" s="175">
        <v>8.9999999999999993E-3</v>
      </c>
      <c r="U60" s="175">
        <v>8.0499999999999999E-3</v>
      </c>
      <c r="V60" s="706">
        <v>7.3400000000000002E-3</v>
      </c>
      <c r="W60" s="717"/>
      <c r="X60" s="713"/>
      <c r="Y60" s="718"/>
      <c r="Z60" s="709">
        <v>35</v>
      </c>
      <c r="AA60" s="175"/>
      <c r="AB60" s="175"/>
      <c r="AC60" s="175">
        <v>5.5E-2</v>
      </c>
      <c r="AD60" s="175">
        <v>2.96</v>
      </c>
      <c r="AE60" s="175">
        <v>0.34</v>
      </c>
      <c r="AF60" s="178">
        <f t="shared" si="0"/>
        <v>1.0064</v>
      </c>
      <c r="AG60" s="178">
        <v>1.1200000000000001</v>
      </c>
      <c r="AH60" s="332"/>
      <c r="AI60" s="172"/>
      <c r="AJ60" s="172"/>
      <c r="AK60" s="172"/>
      <c r="AL60" s="167"/>
      <c r="AM60" s="167"/>
      <c r="AN60" s="167"/>
      <c r="AO60" s="167"/>
      <c r="AP60" s="167"/>
      <c r="AQ60" s="167"/>
      <c r="AR60" s="167"/>
      <c r="AS60" s="167"/>
      <c r="AT60" s="167"/>
      <c r="AU60" s="168"/>
      <c r="AV60" s="168"/>
      <c r="AW60" s="168"/>
      <c r="AX60" s="168"/>
      <c r="AY60" s="168"/>
      <c r="AZ60" s="167"/>
      <c r="BA60" s="167"/>
      <c r="BB60" s="167"/>
      <c r="BC60" s="167"/>
      <c r="BD60" s="167"/>
      <c r="BE60" s="167"/>
      <c r="BF60" s="167"/>
      <c r="BG60" s="167"/>
      <c r="BH60" s="167"/>
      <c r="BI60" s="179"/>
      <c r="BJ60" s="168"/>
      <c r="BK60" s="168"/>
      <c r="BL60" s="168"/>
      <c r="BM60" s="168"/>
      <c r="BN60" s="170"/>
      <c r="BO60" s="170"/>
      <c r="BP60" s="170"/>
      <c r="BQ60" s="170"/>
      <c r="BR60" s="170"/>
      <c r="BS60" s="170"/>
      <c r="BT60" s="168"/>
      <c r="BU60" s="168"/>
      <c r="BV60" s="168"/>
      <c r="BW60" s="174"/>
      <c r="BX60" s="168"/>
      <c r="BY60" s="168"/>
      <c r="BZ60" s="168"/>
      <c r="CA60" s="167"/>
      <c r="CB60" s="167"/>
    </row>
    <row r="61" spans="1:80" s="83" customFormat="1" x14ac:dyDescent="0.2">
      <c r="A61" s="176"/>
      <c r="B61" s="642"/>
      <c r="C61" s="642"/>
      <c r="D61" s="693"/>
      <c r="E61" s="169"/>
      <c r="F61" s="169"/>
      <c r="G61" s="170"/>
      <c r="H61" s="168"/>
      <c r="I61" s="168"/>
      <c r="J61" s="168"/>
      <c r="K61" s="168"/>
      <c r="L61" s="642"/>
      <c r="M61" s="645">
        <v>34873</v>
      </c>
      <c r="N61" s="585">
        <v>0.95</v>
      </c>
      <c r="O61" s="585">
        <v>2.205E-2</v>
      </c>
      <c r="P61" s="175">
        <v>0</v>
      </c>
      <c r="Q61" s="175">
        <v>0</v>
      </c>
      <c r="R61" s="175">
        <v>4.0600000000000002E-3</v>
      </c>
      <c r="S61" s="175">
        <v>4.0699999999999998E-3</v>
      </c>
      <c r="T61" s="175">
        <v>5.0600000000000003E-3</v>
      </c>
      <c r="U61" s="175">
        <v>4.9399999999999999E-3</v>
      </c>
      <c r="V61" s="706">
        <v>3.9199999999999999E-3</v>
      </c>
      <c r="W61" s="717"/>
      <c r="X61" s="713"/>
      <c r="Y61" s="718"/>
      <c r="Z61" s="709">
        <v>33</v>
      </c>
      <c r="AA61" s="175"/>
      <c r="AB61" s="175"/>
      <c r="AC61" s="175">
        <v>5.6000000000000001E-2</v>
      </c>
      <c r="AD61" s="175">
        <v>2.95</v>
      </c>
      <c r="AE61" s="175">
        <v>0.34</v>
      </c>
      <c r="AF61" s="178">
        <f t="shared" si="0"/>
        <v>1.0030000000000001</v>
      </c>
      <c r="AG61" s="178">
        <v>0.95</v>
      </c>
      <c r="AH61" s="332"/>
      <c r="AI61" s="172"/>
      <c r="AJ61" s="172"/>
      <c r="AK61" s="172"/>
      <c r="AL61" s="167"/>
      <c r="AM61" s="167"/>
      <c r="AN61" s="167"/>
      <c r="AO61" s="167"/>
      <c r="AP61" s="167"/>
      <c r="AQ61" s="167"/>
      <c r="AR61" s="167"/>
      <c r="AS61" s="167"/>
      <c r="AT61" s="167"/>
      <c r="AU61" s="168"/>
      <c r="AV61" s="168"/>
      <c r="AW61" s="168"/>
      <c r="AX61" s="168"/>
      <c r="AY61" s="168"/>
      <c r="AZ61" s="167"/>
      <c r="BA61" s="167"/>
      <c r="BB61" s="167"/>
      <c r="BC61" s="167"/>
      <c r="BD61" s="167"/>
      <c r="BE61" s="167"/>
      <c r="BF61" s="167"/>
      <c r="BG61" s="167"/>
      <c r="BH61" s="167"/>
      <c r="BI61" s="179"/>
      <c r="BJ61" s="168"/>
      <c r="BK61" s="168"/>
      <c r="BL61" s="168"/>
      <c r="BM61" s="168"/>
      <c r="BN61" s="170"/>
      <c r="BO61" s="170"/>
      <c r="BP61" s="170"/>
      <c r="BQ61" s="170"/>
      <c r="BR61" s="170"/>
      <c r="BS61" s="170"/>
      <c r="BT61" s="168"/>
      <c r="BU61" s="168"/>
      <c r="BV61" s="168"/>
      <c r="BW61" s="174"/>
      <c r="BX61" s="168"/>
      <c r="BY61" s="168"/>
      <c r="BZ61" s="168"/>
      <c r="CA61" s="167"/>
      <c r="CB61" s="167"/>
    </row>
    <row r="62" spans="1:80" s="83" customFormat="1" x14ac:dyDescent="0.2">
      <c r="A62" s="176"/>
      <c r="B62" s="642"/>
      <c r="C62" s="642"/>
      <c r="D62" s="693"/>
      <c r="E62" s="169"/>
      <c r="F62" s="169"/>
      <c r="G62" s="170"/>
      <c r="H62" s="168"/>
      <c r="I62" s="168"/>
      <c r="J62" s="168"/>
      <c r="K62" s="168"/>
      <c r="L62" s="642"/>
      <c r="M62" s="645">
        <v>34876</v>
      </c>
      <c r="N62" s="585">
        <v>0.7</v>
      </c>
      <c r="O62" s="585">
        <v>5.5500000000000002E-3</v>
      </c>
      <c r="P62" s="175">
        <v>0</v>
      </c>
      <c r="Q62" s="175">
        <v>0</v>
      </c>
      <c r="R62" s="175">
        <v>0</v>
      </c>
      <c r="S62" s="175">
        <v>8.3000000000000001E-4</v>
      </c>
      <c r="T62" s="175">
        <v>6.9999999999999999E-4</v>
      </c>
      <c r="U62" s="175">
        <v>1.1000000000000001E-3</v>
      </c>
      <c r="V62" s="706">
        <v>2.9099999999999998E-3</v>
      </c>
      <c r="W62" s="717"/>
      <c r="X62" s="713"/>
      <c r="Y62" s="718"/>
      <c r="Z62" s="709">
        <v>13</v>
      </c>
      <c r="AA62" s="175"/>
      <c r="AB62" s="175"/>
      <c r="AC62" s="175">
        <v>5.7000000000000002E-2</v>
      </c>
      <c r="AD62" s="175">
        <v>2.94</v>
      </c>
      <c r="AE62" s="175">
        <v>0.28999999999999998</v>
      </c>
      <c r="AF62" s="178">
        <f t="shared" si="0"/>
        <v>0.85259999999999991</v>
      </c>
      <c r="AG62" s="178">
        <v>0.84</v>
      </c>
      <c r="AH62" s="332"/>
      <c r="AI62" s="172"/>
      <c r="AJ62" s="172"/>
      <c r="AK62" s="172"/>
      <c r="AL62" s="167"/>
      <c r="AM62" s="167"/>
      <c r="AN62" s="167"/>
      <c r="AO62" s="167"/>
      <c r="AP62" s="167"/>
      <c r="AQ62" s="167"/>
      <c r="AR62" s="167"/>
      <c r="AS62" s="167"/>
      <c r="AT62" s="167"/>
      <c r="AU62" s="168"/>
      <c r="AV62" s="168"/>
      <c r="AW62" s="168"/>
      <c r="AX62" s="168"/>
      <c r="AY62" s="168"/>
      <c r="AZ62" s="167"/>
      <c r="BA62" s="167"/>
      <c r="BB62" s="167"/>
      <c r="BC62" s="167"/>
      <c r="BD62" s="167"/>
      <c r="BE62" s="167"/>
      <c r="BF62" s="167"/>
      <c r="BG62" s="167"/>
      <c r="BH62" s="167"/>
      <c r="BI62" s="179"/>
      <c r="BJ62" s="168"/>
      <c r="BK62" s="168"/>
      <c r="BL62" s="168"/>
      <c r="BM62" s="168"/>
      <c r="BN62" s="170"/>
      <c r="BO62" s="170"/>
      <c r="BP62" s="170"/>
      <c r="BQ62" s="170"/>
      <c r="BR62" s="170"/>
      <c r="BS62" s="170"/>
      <c r="BT62" s="168"/>
      <c r="BU62" s="168"/>
      <c r="BV62" s="168"/>
      <c r="BW62" s="174"/>
      <c r="BX62" s="168"/>
      <c r="BY62" s="168"/>
      <c r="BZ62" s="168"/>
      <c r="CA62" s="167"/>
      <c r="CB62" s="167"/>
    </row>
    <row r="63" spans="1:80" s="83" customFormat="1" x14ac:dyDescent="0.2">
      <c r="A63" s="176"/>
      <c r="B63" s="642"/>
      <c r="C63" s="642"/>
      <c r="D63" s="693"/>
      <c r="E63" s="169"/>
      <c r="F63" s="169"/>
      <c r="G63" s="170"/>
      <c r="H63" s="168"/>
      <c r="I63" s="168"/>
      <c r="J63" s="168"/>
      <c r="K63" s="168"/>
      <c r="L63" s="642"/>
      <c r="M63" s="645">
        <v>34877</v>
      </c>
      <c r="N63" s="585">
        <v>0.87</v>
      </c>
      <c r="O63" s="585">
        <v>7.2899999999999996E-3</v>
      </c>
      <c r="P63" s="175">
        <v>0</v>
      </c>
      <c r="Q63" s="175">
        <v>0</v>
      </c>
      <c r="R63" s="175">
        <v>3.6000000000000002E-4</v>
      </c>
      <c r="S63" s="175">
        <v>1.1900000000000001E-3</v>
      </c>
      <c r="T63" s="175">
        <v>1.7600000000000001E-3</v>
      </c>
      <c r="U63" s="175">
        <v>1.64E-3</v>
      </c>
      <c r="V63" s="706">
        <v>2.3400000000000001E-3</v>
      </c>
      <c r="W63" s="717"/>
      <c r="X63" s="713"/>
      <c r="Y63" s="718"/>
      <c r="Z63" s="709">
        <v>20</v>
      </c>
      <c r="AA63" s="175"/>
      <c r="AB63" s="175"/>
      <c r="AC63" s="175">
        <v>5.6000000000000001E-2</v>
      </c>
      <c r="AD63" s="175">
        <v>2.93</v>
      </c>
      <c r="AE63" s="175">
        <v>0.32</v>
      </c>
      <c r="AF63" s="178">
        <f t="shared" si="0"/>
        <v>0.9376000000000001</v>
      </c>
      <c r="AG63" s="178">
        <v>0.91</v>
      </c>
      <c r="AH63" s="332"/>
      <c r="AI63" s="172"/>
      <c r="AJ63" s="172"/>
      <c r="AK63" s="172"/>
      <c r="AL63" s="167"/>
      <c r="AM63" s="167"/>
      <c r="AN63" s="167"/>
      <c r="AO63" s="167"/>
      <c r="AP63" s="167"/>
      <c r="AQ63" s="167"/>
      <c r="AR63" s="167"/>
      <c r="AS63" s="167"/>
      <c r="AT63" s="167"/>
      <c r="AU63" s="168"/>
      <c r="AV63" s="168"/>
      <c r="AW63" s="168"/>
      <c r="AX63" s="168"/>
      <c r="AY63" s="168"/>
      <c r="AZ63" s="167"/>
      <c r="BA63" s="167"/>
      <c r="BB63" s="167"/>
      <c r="BC63" s="167"/>
      <c r="BD63" s="167"/>
      <c r="BE63" s="167"/>
      <c r="BF63" s="167"/>
      <c r="BG63" s="167"/>
      <c r="BH63" s="167"/>
      <c r="BI63" s="179"/>
      <c r="BJ63" s="168"/>
      <c r="BK63" s="168"/>
      <c r="BL63" s="168"/>
      <c r="BM63" s="168"/>
      <c r="BN63" s="170"/>
      <c r="BO63" s="170"/>
      <c r="BP63" s="170"/>
      <c r="BQ63" s="170"/>
      <c r="BR63" s="170"/>
      <c r="BS63" s="170"/>
      <c r="BT63" s="168"/>
      <c r="BU63" s="168"/>
      <c r="BV63" s="168"/>
      <c r="BW63" s="174"/>
      <c r="BX63" s="168"/>
      <c r="BY63" s="168"/>
      <c r="BZ63" s="168"/>
      <c r="CA63" s="167"/>
      <c r="CB63" s="167"/>
    </row>
    <row r="64" spans="1:80" s="83" customFormat="1" x14ac:dyDescent="0.2">
      <c r="A64" s="176"/>
      <c r="B64" s="642"/>
      <c r="C64" s="642"/>
      <c r="D64" s="693"/>
      <c r="E64" s="169"/>
      <c r="F64" s="169"/>
      <c r="G64" s="170"/>
      <c r="H64" s="168"/>
      <c r="I64" s="168"/>
      <c r="J64" s="168"/>
      <c r="K64" s="168"/>
      <c r="L64" s="642"/>
      <c r="M64" s="645">
        <v>34878</v>
      </c>
      <c r="N64" s="585">
        <v>0.88</v>
      </c>
      <c r="O64" s="585">
        <v>8.2699999999999996E-3</v>
      </c>
      <c r="P64" s="175">
        <v>0</v>
      </c>
      <c r="Q64" s="175">
        <v>0</v>
      </c>
      <c r="R64" s="175">
        <v>0</v>
      </c>
      <c r="S64" s="175">
        <v>1.1000000000000001E-3</v>
      </c>
      <c r="T64" s="175">
        <v>1.25E-3</v>
      </c>
      <c r="U64" s="175">
        <v>1.8600000000000001E-3</v>
      </c>
      <c r="V64" s="706">
        <v>4.0499999999999998E-3</v>
      </c>
      <c r="W64" s="717"/>
      <c r="X64" s="713"/>
      <c r="Y64" s="718"/>
      <c r="Z64" s="709">
        <v>16</v>
      </c>
      <c r="AA64" s="175"/>
      <c r="AB64" s="175"/>
      <c r="AC64" s="175">
        <v>5.6000000000000001E-2</v>
      </c>
      <c r="AD64" s="175">
        <v>2.93</v>
      </c>
      <c r="AE64" s="175">
        <v>0.33</v>
      </c>
      <c r="AF64" s="178">
        <f t="shared" si="0"/>
        <v>0.96690000000000009</v>
      </c>
      <c r="AG64" s="178">
        <v>0.94</v>
      </c>
      <c r="AH64" s="332"/>
      <c r="AI64" s="172"/>
      <c r="AJ64" s="172"/>
      <c r="AK64" s="172"/>
      <c r="AL64" s="167"/>
      <c r="AM64" s="167"/>
      <c r="AN64" s="167"/>
      <c r="AO64" s="167"/>
      <c r="AP64" s="167"/>
      <c r="AQ64" s="167"/>
      <c r="AR64" s="167"/>
      <c r="AS64" s="167"/>
      <c r="AT64" s="167"/>
      <c r="AU64" s="168"/>
      <c r="AV64" s="168"/>
      <c r="AW64" s="168"/>
      <c r="AX64" s="168"/>
      <c r="AY64" s="168"/>
      <c r="AZ64" s="167"/>
      <c r="BA64" s="167"/>
      <c r="BB64" s="167"/>
      <c r="BC64" s="167"/>
      <c r="BD64" s="167"/>
      <c r="BE64" s="167"/>
      <c r="BF64" s="167"/>
      <c r="BG64" s="167"/>
      <c r="BH64" s="167"/>
      <c r="BI64" s="179"/>
      <c r="BJ64" s="168"/>
      <c r="BK64" s="168"/>
      <c r="BL64" s="168"/>
      <c r="BM64" s="168"/>
      <c r="BN64" s="170"/>
      <c r="BO64" s="170"/>
      <c r="BP64" s="170"/>
      <c r="BQ64" s="170"/>
      <c r="BR64" s="170"/>
      <c r="BS64" s="170"/>
      <c r="BT64" s="168"/>
      <c r="BU64" s="168"/>
      <c r="BV64" s="168"/>
      <c r="BW64" s="174"/>
      <c r="BX64" s="168"/>
      <c r="BY64" s="168"/>
      <c r="BZ64" s="168"/>
      <c r="CA64" s="167"/>
      <c r="CB64" s="167"/>
    </row>
    <row r="65" spans="1:80" s="83" customFormat="1" x14ac:dyDescent="0.2">
      <c r="A65" s="176"/>
      <c r="B65" s="642"/>
      <c r="C65" s="642"/>
      <c r="D65" s="693"/>
      <c r="E65" s="169"/>
      <c r="F65" s="169"/>
      <c r="G65" s="170"/>
      <c r="H65" s="168"/>
      <c r="I65" s="168"/>
      <c r="J65" s="168"/>
      <c r="K65" s="168"/>
      <c r="L65" s="642"/>
      <c r="M65" s="645">
        <v>34879</v>
      </c>
      <c r="N65" s="585">
        <v>0.83</v>
      </c>
      <c r="O65" s="585">
        <v>3.47E-3</v>
      </c>
      <c r="P65" s="175">
        <v>0</v>
      </c>
      <c r="Q65" s="175">
        <v>0</v>
      </c>
      <c r="R65" s="175">
        <v>0</v>
      </c>
      <c r="S65" s="175">
        <v>5.8E-4</v>
      </c>
      <c r="T65" s="175">
        <v>4.2999999999999999E-4</v>
      </c>
      <c r="U65" s="175">
        <v>8.0000000000000004E-4</v>
      </c>
      <c r="V65" s="706">
        <v>1.66E-3</v>
      </c>
      <c r="W65" s="717"/>
      <c r="X65" s="713"/>
      <c r="Y65" s="718"/>
      <c r="Z65" s="709">
        <v>15</v>
      </c>
      <c r="AA65" s="175"/>
      <c r="AB65" s="175"/>
      <c r="AC65" s="175">
        <v>5.6000000000000001E-2</v>
      </c>
      <c r="AD65" s="175">
        <v>2.94</v>
      </c>
      <c r="AE65" s="175">
        <v>0.32</v>
      </c>
      <c r="AF65" s="178">
        <f t="shared" si="0"/>
        <v>0.94079999999999997</v>
      </c>
      <c r="AG65" s="178">
        <v>0.9</v>
      </c>
      <c r="AH65" s="332"/>
      <c r="AI65" s="172"/>
      <c r="AJ65" s="172"/>
      <c r="AK65" s="172"/>
      <c r="AL65" s="167"/>
      <c r="AM65" s="167"/>
      <c r="AN65" s="167"/>
      <c r="AO65" s="167"/>
      <c r="AP65" s="167"/>
      <c r="AQ65" s="167"/>
      <c r="AR65" s="167"/>
      <c r="AS65" s="167"/>
      <c r="AT65" s="167"/>
      <c r="AU65" s="168"/>
      <c r="AV65" s="168"/>
      <c r="AW65" s="168"/>
      <c r="AX65" s="168"/>
      <c r="AY65" s="168"/>
      <c r="AZ65" s="167"/>
      <c r="BA65" s="167"/>
      <c r="BB65" s="167"/>
      <c r="BC65" s="167"/>
      <c r="BD65" s="167"/>
      <c r="BE65" s="167"/>
      <c r="BF65" s="167"/>
      <c r="BG65" s="167"/>
      <c r="BH65" s="167"/>
      <c r="BI65" s="179"/>
      <c r="BJ65" s="168"/>
      <c r="BK65" s="168"/>
      <c r="BL65" s="168"/>
      <c r="BM65" s="168"/>
      <c r="BN65" s="170"/>
      <c r="BO65" s="170"/>
      <c r="BP65" s="170"/>
      <c r="BQ65" s="170"/>
      <c r="BR65" s="170"/>
      <c r="BS65" s="170"/>
      <c r="BT65" s="168"/>
      <c r="BU65" s="168"/>
      <c r="BV65" s="168"/>
      <c r="BW65" s="174"/>
      <c r="BX65" s="168"/>
      <c r="BY65" s="168"/>
      <c r="BZ65" s="168"/>
      <c r="CA65" s="167"/>
      <c r="CB65" s="167"/>
    </row>
    <row r="66" spans="1:80" s="83" customFormat="1" x14ac:dyDescent="0.2">
      <c r="A66" s="176"/>
      <c r="B66" s="642"/>
      <c r="C66" s="642"/>
      <c r="D66" s="693"/>
      <c r="E66" s="169"/>
      <c r="F66" s="169"/>
      <c r="G66" s="170"/>
      <c r="H66" s="168"/>
      <c r="I66" s="168"/>
      <c r="J66" s="168"/>
      <c r="K66" s="168"/>
      <c r="L66" s="642"/>
      <c r="M66" s="645">
        <v>34885</v>
      </c>
      <c r="N66" s="585">
        <v>0.59</v>
      </c>
      <c r="O66" s="585">
        <v>5.9000000000000003E-4</v>
      </c>
      <c r="P66" s="175">
        <v>0</v>
      </c>
      <c r="Q66" s="175">
        <v>0</v>
      </c>
      <c r="R66" s="175">
        <v>0</v>
      </c>
      <c r="S66" s="175">
        <v>0</v>
      </c>
      <c r="T66" s="175">
        <v>1.3999999999999999E-4</v>
      </c>
      <c r="U66" s="175">
        <v>1.6000000000000001E-4</v>
      </c>
      <c r="V66" s="706">
        <v>2.9E-4</v>
      </c>
      <c r="W66" s="717"/>
      <c r="X66" s="713"/>
      <c r="Y66" s="718"/>
      <c r="Z66" s="709">
        <v>7</v>
      </c>
      <c r="AA66" s="175"/>
      <c r="AB66" s="175"/>
      <c r="AC66" s="175">
        <v>5.7000000000000002E-2</v>
      </c>
      <c r="AD66" s="175">
        <v>2.94</v>
      </c>
      <c r="AE66" s="175">
        <v>0.26</v>
      </c>
      <c r="AF66" s="178">
        <f t="shared" si="0"/>
        <v>0.76439999999999997</v>
      </c>
      <c r="AG66" s="178">
        <v>0.77</v>
      </c>
      <c r="AH66" s="332"/>
      <c r="AI66" s="172"/>
      <c r="AJ66" s="172"/>
      <c r="AK66" s="172"/>
      <c r="AL66" s="167"/>
      <c r="AM66" s="167"/>
      <c r="AN66" s="167"/>
      <c r="AO66" s="167"/>
      <c r="AP66" s="167"/>
      <c r="AQ66" s="167"/>
      <c r="AR66" s="167"/>
      <c r="AS66" s="167"/>
      <c r="AT66" s="167"/>
      <c r="AU66" s="168"/>
      <c r="AV66" s="168"/>
      <c r="AW66" s="168"/>
      <c r="AX66" s="168"/>
      <c r="AY66" s="168"/>
      <c r="AZ66" s="167"/>
      <c r="BA66" s="167"/>
      <c r="BB66" s="167"/>
      <c r="BC66" s="167"/>
      <c r="BD66" s="167"/>
      <c r="BE66" s="167"/>
      <c r="BF66" s="167"/>
      <c r="BG66" s="167"/>
      <c r="BH66" s="167"/>
      <c r="BI66" s="179"/>
      <c r="BJ66" s="168"/>
      <c r="BK66" s="168"/>
      <c r="BL66" s="168"/>
      <c r="BM66" s="168"/>
      <c r="BN66" s="170"/>
      <c r="BO66" s="170"/>
      <c r="BP66" s="170"/>
      <c r="BQ66" s="170"/>
      <c r="BR66" s="170"/>
      <c r="BS66" s="170"/>
      <c r="BT66" s="168"/>
      <c r="BU66" s="168"/>
      <c r="BV66" s="168"/>
      <c r="BW66" s="174"/>
      <c r="BX66" s="168"/>
      <c r="BY66" s="168"/>
      <c r="BZ66" s="168"/>
      <c r="CA66" s="167"/>
      <c r="CB66" s="167"/>
    </row>
    <row r="67" spans="1:80" s="83" customFormat="1" x14ac:dyDescent="0.2">
      <c r="A67" s="176"/>
      <c r="B67" s="642"/>
      <c r="C67" s="642"/>
      <c r="D67" s="693"/>
      <c r="E67" s="169"/>
      <c r="F67" s="169"/>
      <c r="G67" s="170"/>
      <c r="H67" s="168"/>
      <c r="I67" s="168"/>
      <c r="J67" s="168"/>
      <c r="K67" s="168"/>
      <c r="L67" s="642"/>
      <c r="M67" s="645">
        <v>34886</v>
      </c>
      <c r="N67" s="585">
        <v>0.66</v>
      </c>
      <c r="O67" s="585">
        <v>4.7299999999999998E-3</v>
      </c>
      <c r="P67" s="175">
        <v>0</v>
      </c>
      <c r="Q67" s="175">
        <v>0</v>
      </c>
      <c r="R67" s="175">
        <v>2.9999999999999997E-4</v>
      </c>
      <c r="S67" s="175">
        <v>7.6999999999999996E-4</v>
      </c>
      <c r="T67" s="175">
        <v>9.3000000000000005E-4</v>
      </c>
      <c r="U67" s="175">
        <v>1.0399999999999999E-3</v>
      </c>
      <c r="V67" s="706">
        <v>1.6800000000000001E-3</v>
      </c>
      <c r="W67" s="717"/>
      <c r="X67" s="713"/>
      <c r="Y67" s="718"/>
      <c r="Z67" s="709">
        <v>21</v>
      </c>
      <c r="AA67" s="175"/>
      <c r="AB67" s="175"/>
      <c r="AC67" s="175">
        <v>5.7000000000000002E-2</v>
      </c>
      <c r="AD67" s="175">
        <v>2.93</v>
      </c>
      <c r="AE67" s="175">
        <v>0.3</v>
      </c>
      <c r="AF67" s="178">
        <f t="shared" si="0"/>
        <v>0.879</v>
      </c>
      <c r="AG67" s="178">
        <v>0.83</v>
      </c>
      <c r="AH67" s="332"/>
      <c r="AI67" s="172"/>
      <c r="AJ67" s="172"/>
      <c r="AK67" s="172"/>
      <c r="AL67" s="167"/>
      <c r="AM67" s="167"/>
      <c r="AN67" s="167"/>
      <c r="AO67" s="167"/>
      <c r="AP67" s="167"/>
      <c r="AQ67" s="167"/>
      <c r="AR67" s="167"/>
      <c r="AS67" s="167"/>
      <c r="AT67" s="167"/>
      <c r="AU67" s="168"/>
      <c r="AV67" s="168"/>
      <c r="AW67" s="168"/>
      <c r="AX67" s="168"/>
      <c r="AY67" s="168"/>
      <c r="AZ67" s="167"/>
      <c r="BA67" s="167"/>
      <c r="BB67" s="167"/>
      <c r="BC67" s="167"/>
      <c r="BD67" s="167"/>
      <c r="BE67" s="167"/>
      <c r="BF67" s="167"/>
      <c r="BG67" s="167"/>
      <c r="BH67" s="167"/>
      <c r="BI67" s="179"/>
      <c r="BJ67" s="168"/>
      <c r="BK67" s="168"/>
      <c r="BL67" s="168"/>
      <c r="BM67" s="168"/>
      <c r="BN67" s="170"/>
      <c r="BO67" s="170"/>
      <c r="BP67" s="170"/>
      <c r="BQ67" s="170"/>
      <c r="BR67" s="170"/>
      <c r="BS67" s="170"/>
      <c r="BT67" s="168"/>
      <c r="BU67" s="168"/>
      <c r="BV67" s="168"/>
      <c r="BW67" s="174"/>
      <c r="BX67" s="168"/>
      <c r="BY67" s="168"/>
      <c r="BZ67" s="168"/>
      <c r="CA67" s="167"/>
      <c r="CB67" s="167"/>
    </row>
    <row r="68" spans="1:80" s="83" customFormat="1" x14ac:dyDescent="0.2">
      <c r="A68" s="176"/>
      <c r="B68" s="642"/>
      <c r="C68" s="642"/>
      <c r="D68" s="693"/>
      <c r="E68" s="169"/>
      <c r="F68" s="169"/>
      <c r="G68" s="170"/>
      <c r="H68" s="168"/>
      <c r="I68" s="168"/>
      <c r="J68" s="168"/>
      <c r="K68" s="168"/>
      <c r="L68" s="642"/>
      <c r="M68" s="645">
        <v>34890</v>
      </c>
      <c r="N68" s="585">
        <v>1.03</v>
      </c>
      <c r="O68" s="585">
        <v>7.2500000000000004E-3</v>
      </c>
      <c r="P68" s="175">
        <v>0</v>
      </c>
      <c r="Q68" s="175">
        <v>0</v>
      </c>
      <c r="R68" s="175">
        <v>0</v>
      </c>
      <c r="S68" s="175">
        <v>9.7000000000000005E-4</v>
      </c>
      <c r="T68" s="175">
        <v>1.1000000000000001E-3</v>
      </c>
      <c r="U68" s="175">
        <v>1.66E-3</v>
      </c>
      <c r="V68" s="706">
        <v>3.5200000000000001E-3</v>
      </c>
      <c r="W68" s="717"/>
      <c r="X68" s="713"/>
      <c r="Y68" s="718"/>
      <c r="Z68" s="709">
        <v>20</v>
      </c>
      <c r="AA68" s="175"/>
      <c r="AB68" s="175"/>
      <c r="AC68" s="175">
        <v>5.5E-2</v>
      </c>
      <c r="AD68" s="175">
        <v>2.95</v>
      </c>
      <c r="AE68" s="175">
        <v>0.34</v>
      </c>
      <c r="AF68" s="178">
        <f t="shared" si="0"/>
        <v>1.0030000000000001</v>
      </c>
      <c r="AG68" s="178">
        <v>1.05</v>
      </c>
      <c r="AH68" s="332"/>
      <c r="AI68" s="172"/>
      <c r="AJ68" s="172"/>
      <c r="AK68" s="172"/>
      <c r="AL68" s="167"/>
      <c r="AM68" s="167"/>
      <c r="AN68" s="167"/>
      <c r="AO68" s="167"/>
      <c r="AP68" s="167"/>
      <c r="AQ68" s="167"/>
      <c r="AR68" s="167"/>
      <c r="AS68" s="167"/>
      <c r="AT68" s="167"/>
      <c r="AU68" s="168"/>
      <c r="AV68" s="168"/>
      <c r="AW68" s="168"/>
      <c r="AX68" s="168"/>
      <c r="AY68" s="168"/>
      <c r="AZ68" s="167"/>
      <c r="BA68" s="167"/>
      <c r="BB68" s="167"/>
      <c r="BC68" s="167"/>
      <c r="BD68" s="167"/>
      <c r="BE68" s="167"/>
      <c r="BF68" s="167"/>
      <c r="BG68" s="167"/>
      <c r="BH68" s="167"/>
      <c r="BI68" s="179"/>
      <c r="BJ68" s="168"/>
      <c r="BK68" s="168"/>
      <c r="BL68" s="168"/>
      <c r="BM68" s="168"/>
      <c r="BN68" s="170"/>
      <c r="BO68" s="170"/>
      <c r="BP68" s="170"/>
      <c r="BQ68" s="170"/>
      <c r="BR68" s="170"/>
      <c r="BS68" s="170"/>
      <c r="BT68" s="168"/>
      <c r="BU68" s="168"/>
      <c r="BV68" s="168"/>
      <c r="BW68" s="174"/>
      <c r="BX68" s="168"/>
      <c r="BY68" s="168"/>
      <c r="BZ68" s="168"/>
      <c r="CA68" s="167"/>
      <c r="CB68" s="167"/>
    </row>
    <row r="69" spans="1:80" s="83" customFormat="1" x14ac:dyDescent="0.2">
      <c r="A69" s="176"/>
      <c r="B69" s="642"/>
      <c r="C69" s="642"/>
      <c r="D69" s="693"/>
      <c r="E69" s="169"/>
      <c r="F69" s="169"/>
      <c r="G69" s="170"/>
      <c r="H69" s="168"/>
      <c r="I69" s="168"/>
      <c r="J69" s="168"/>
      <c r="K69" s="168"/>
      <c r="L69" s="642"/>
      <c r="M69" s="645">
        <v>34892</v>
      </c>
      <c r="N69" s="585">
        <v>1.05</v>
      </c>
      <c r="O69" s="585">
        <v>7.8300000000000002E-3</v>
      </c>
      <c r="P69" s="175">
        <v>0</v>
      </c>
      <c r="Q69" s="175">
        <v>0</v>
      </c>
      <c r="R69" s="175">
        <v>8.5999999999999998E-4</v>
      </c>
      <c r="S69" s="175">
        <v>2.7E-4</v>
      </c>
      <c r="T69" s="175">
        <v>8.0000000000000004E-4</v>
      </c>
      <c r="U69" s="175">
        <v>1.5399999999999999E-3</v>
      </c>
      <c r="V69" s="706">
        <v>4.3699999999999998E-3</v>
      </c>
      <c r="W69" s="717"/>
      <c r="X69" s="713"/>
      <c r="Y69" s="718"/>
      <c r="Z69" s="709">
        <v>28</v>
      </c>
      <c r="AA69" s="175"/>
      <c r="AB69" s="175"/>
      <c r="AC69" s="175">
        <v>5.5E-2</v>
      </c>
      <c r="AD69" s="175">
        <v>2.94</v>
      </c>
      <c r="AE69" s="175">
        <v>0.35</v>
      </c>
      <c r="AF69" s="178">
        <f t="shared" si="0"/>
        <v>1.0289999999999999</v>
      </c>
      <c r="AG69" s="178">
        <v>1.03</v>
      </c>
      <c r="AH69" s="332"/>
      <c r="AI69" s="172"/>
      <c r="AJ69" s="172"/>
      <c r="AK69" s="172"/>
      <c r="AL69" s="167"/>
      <c r="AM69" s="167"/>
      <c r="AN69" s="167"/>
      <c r="AO69" s="167"/>
      <c r="AP69" s="167"/>
      <c r="AQ69" s="167"/>
      <c r="AR69" s="167"/>
      <c r="AS69" s="167"/>
      <c r="AT69" s="167"/>
      <c r="AU69" s="168"/>
      <c r="AV69" s="168"/>
      <c r="AW69" s="168"/>
      <c r="AX69" s="168"/>
      <c r="AY69" s="168"/>
      <c r="AZ69" s="167"/>
      <c r="BA69" s="167"/>
      <c r="BB69" s="167"/>
      <c r="BC69" s="167"/>
      <c r="BD69" s="167"/>
      <c r="BE69" s="167"/>
      <c r="BF69" s="167"/>
      <c r="BG69" s="167"/>
      <c r="BH69" s="167"/>
      <c r="BI69" s="179"/>
      <c r="BJ69" s="168"/>
      <c r="BK69" s="168"/>
      <c r="BL69" s="168"/>
      <c r="BM69" s="168"/>
      <c r="BN69" s="170"/>
      <c r="BO69" s="170"/>
      <c r="BP69" s="170"/>
      <c r="BQ69" s="170"/>
      <c r="BR69" s="170"/>
      <c r="BS69" s="170"/>
      <c r="BT69" s="168"/>
      <c r="BU69" s="168"/>
      <c r="BV69" s="168"/>
      <c r="BW69" s="174"/>
      <c r="BX69" s="168"/>
      <c r="BY69" s="168"/>
      <c r="BZ69" s="168"/>
      <c r="CA69" s="167"/>
      <c r="CB69" s="167"/>
    </row>
    <row r="70" spans="1:80" s="83" customFormat="1" x14ac:dyDescent="0.2">
      <c r="A70" s="176"/>
      <c r="B70" s="642"/>
      <c r="C70" s="642"/>
      <c r="D70" s="693"/>
      <c r="E70" s="169"/>
      <c r="F70" s="169"/>
      <c r="G70" s="170"/>
      <c r="H70" s="168"/>
      <c r="I70" s="168"/>
      <c r="J70" s="168"/>
      <c r="K70" s="168"/>
      <c r="L70" s="642"/>
      <c r="M70" s="645">
        <v>34893</v>
      </c>
      <c r="N70" s="585">
        <v>0.85</v>
      </c>
      <c r="O70" s="585">
        <v>3.0100000000000001E-3</v>
      </c>
      <c r="P70" s="175">
        <v>0</v>
      </c>
      <c r="Q70" s="175">
        <v>0</v>
      </c>
      <c r="R70" s="175">
        <v>4.2999999999999999E-4</v>
      </c>
      <c r="S70" s="175">
        <v>5.5000000000000003E-4</v>
      </c>
      <c r="T70" s="175">
        <v>4.0000000000000002E-4</v>
      </c>
      <c r="U70" s="175">
        <v>3.8999999999999999E-4</v>
      </c>
      <c r="V70" s="706">
        <v>1.25E-3</v>
      </c>
      <c r="W70" s="717"/>
      <c r="X70" s="713"/>
      <c r="Y70" s="718"/>
      <c r="Z70" s="709">
        <v>23</v>
      </c>
      <c r="AA70" s="175"/>
      <c r="AB70" s="175"/>
      <c r="AC70" s="175">
        <v>5.6000000000000001E-2</v>
      </c>
      <c r="AD70" s="175">
        <v>2.94</v>
      </c>
      <c r="AE70" s="175">
        <v>0.3</v>
      </c>
      <c r="AF70" s="178">
        <f t="shared" ref="AF70:AF113" si="1">AE70*AD70</f>
        <v>0.88200000000000001</v>
      </c>
      <c r="AG70" s="178">
        <v>1.03</v>
      </c>
      <c r="AH70" s="332"/>
      <c r="AI70" s="172"/>
      <c r="AJ70" s="172"/>
      <c r="AK70" s="172"/>
      <c r="AL70" s="167"/>
      <c r="AM70" s="167"/>
      <c r="AN70" s="167"/>
      <c r="AO70" s="167"/>
      <c r="AP70" s="167"/>
      <c r="AQ70" s="167"/>
      <c r="AR70" s="167"/>
      <c r="AS70" s="167"/>
      <c r="AT70" s="167"/>
      <c r="AU70" s="168"/>
      <c r="AV70" s="168"/>
      <c r="AW70" s="168"/>
      <c r="AX70" s="168"/>
      <c r="AY70" s="168"/>
      <c r="AZ70" s="167"/>
      <c r="BA70" s="167"/>
      <c r="BB70" s="167"/>
      <c r="BC70" s="167"/>
      <c r="BD70" s="167"/>
      <c r="BE70" s="167"/>
      <c r="BF70" s="167"/>
      <c r="BG70" s="167"/>
      <c r="BH70" s="167"/>
      <c r="BI70" s="179"/>
      <c r="BJ70" s="168"/>
      <c r="BK70" s="168"/>
      <c r="BL70" s="168"/>
      <c r="BM70" s="170"/>
      <c r="BN70" s="170"/>
      <c r="BO70" s="170"/>
      <c r="BP70" s="170"/>
      <c r="BQ70" s="170"/>
      <c r="BR70" s="170"/>
      <c r="BS70" s="170"/>
      <c r="BT70" s="168"/>
      <c r="BU70" s="168"/>
      <c r="BV70" s="168"/>
      <c r="BW70" s="174"/>
      <c r="BX70" s="168"/>
      <c r="BY70" s="168"/>
      <c r="BZ70" s="168"/>
      <c r="CA70" s="167"/>
      <c r="CB70" s="167"/>
    </row>
    <row r="71" spans="1:80" s="83" customFormat="1" x14ac:dyDescent="0.2">
      <c r="A71" s="176"/>
      <c r="B71" s="642"/>
      <c r="C71" s="642"/>
      <c r="D71" s="693"/>
      <c r="E71" s="169"/>
      <c r="F71" s="169"/>
      <c r="G71" s="170"/>
      <c r="H71" s="168"/>
      <c r="I71" s="168"/>
      <c r="J71" s="168"/>
      <c r="K71" s="168"/>
      <c r="L71" s="642"/>
      <c r="M71" s="645">
        <v>34894</v>
      </c>
      <c r="N71" s="585">
        <v>0.82</v>
      </c>
      <c r="O71" s="585">
        <v>3.6600000000000001E-3</v>
      </c>
      <c r="P71" s="175">
        <v>0</v>
      </c>
      <c r="Q71" s="175">
        <v>0</v>
      </c>
      <c r="R71" s="175">
        <v>0</v>
      </c>
      <c r="S71" s="175">
        <v>5.8E-4</v>
      </c>
      <c r="T71" s="175">
        <v>5.9999999999999995E-4</v>
      </c>
      <c r="U71" s="175">
        <v>6.4000000000000005E-4</v>
      </c>
      <c r="V71" s="706">
        <v>1.83E-3</v>
      </c>
      <c r="W71" s="717"/>
      <c r="X71" s="713"/>
      <c r="Y71" s="718"/>
      <c r="Z71" s="709">
        <v>14</v>
      </c>
      <c r="AA71" s="175"/>
      <c r="AB71" s="175"/>
      <c r="AC71" s="175">
        <v>5.6000000000000001E-2</v>
      </c>
      <c r="AD71" s="175">
        <v>2.94</v>
      </c>
      <c r="AE71" s="175">
        <v>0.3</v>
      </c>
      <c r="AF71" s="178">
        <f t="shared" si="1"/>
        <v>0.88200000000000001</v>
      </c>
      <c r="AG71" s="178">
        <v>1.02</v>
      </c>
      <c r="AH71" s="333"/>
      <c r="AI71" s="182"/>
      <c r="AJ71" s="182"/>
      <c r="AK71" s="182"/>
      <c r="AL71" s="183"/>
      <c r="AM71" s="183"/>
      <c r="AN71" s="183"/>
      <c r="AO71" s="183"/>
      <c r="AP71" s="183"/>
      <c r="AQ71" s="183"/>
      <c r="AR71" s="183"/>
      <c r="AS71" s="183"/>
      <c r="AT71" s="183"/>
      <c r="AU71" s="184"/>
      <c r="AV71" s="184"/>
      <c r="AW71" s="184"/>
      <c r="AX71" s="184"/>
      <c r="AY71" s="184"/>
      <c r="AZ71" s="183"/>
      <c r="BA71" s="183"/>
      <c r="BB71" s="183"/>
      <c r="BC71" s="183"/>
      <c r="BD71" s="183"/>
      <c r="BE71" s="183"/>
      <c r="BF71" s="183"/>
      <c r="BG71" s="183"/>
      <c r="BH71" s="183"/>
      <c r="BI71" s="185"/>
      <c r="BJ71" s="184"/>
      <c r="BK71" s="184"/>
      <c r="BL71" s="184"/>
      <c r="BM71" s="184"/>
      <c r="BN71" s="185"/>
      <c r="BO71" s="185"/>
      <c r="BP71" s="185"/>
      <c r="BQ71" s="185"/>
      <c r="BR71" s="185"/>
      <c r="BS71" s="185"/>
      <c r="BT71" s="184"/>
      <c r="BU71" s="184"/>
      <c r="BV71" s="184"/>
      <c r="BW71" s="184"/>
      <c r="BX71" s="184"/>
      <c r="BY71" s="184"/>
      <c r="BZ71" s="184"/>
      <c r="CA71" s="183"/>
      <c r="CB71" s="167"/>
    </row>
    <row r="72" spans="1:80" s="83" customFormat="1" x14ac:dyDescent="0.2">
      <c r="A72" s="176"/>
      <c r="B72" s="642"/>
      <c r="C72" s="642"/>
      <c r="D72" s="693"/>
      <c r="E72" s="169"/>
      <c r="F72" s="169"/>
      <c r="G72" s="170"/>
      <c r="H72" s="168"/>
      <c r="I72" s="168"/>
      <c r="J72" s="168"/>
      <c r="K72" s="168"/>
      <c r="L72" s="642"/>
      <c r="M72" s="645">
        <v>34897</v>
      </c>
      <c r="N72" s="585">
        <v>0.67</v>
      </c>
      <c r="O72" s="585">
        <v>8.9599999999999992E-3</v>
      </c>
      <c r="P72" s="175">
        <v>0</v>
      </c>
      <c r="Q72" s="175">
        <v>0</v>
      </c>
      <c r="R72" s="175">
        <v>9.7000000000000005E-4</v>
      </c>
      <c r="S72" s="175">
        <v>2.1900000000000001E-3</v>
      </c>
      <c r="T72" s="175">
        <v>1.24E-3</v>
      </c>
      <c r="U72" s="175">
        <v>1.83E-3</v>
      </c>
      <c r="V72" s="706">
        <v>2.7299999999999998E-3</v>
      </c>
      <c r="W72" s="717"/>
      <c r="X72" s="713"/>
      <c r="Y72" s="718"/>
      <c r="Z72" s="709">
        <v>27</v>
      </c>
      <c r="AA72" s="175"/>
      <c r="AB72" s="175"/>
      <c r="AC72" s="175">
        <v>5.7000000000000002E-2</v>
      </c>
      <c r="AD72" s="175">
        <v>2.95</v>
      </c>
      <c r="AE72" s="175">
        <v>0.27</v>
      </c>
      <c r="AF72" s="178">
        <f t="shared" si="1"/>
        <v>0.7965000000000001</v>
      </c>
      <c r="AG72" s="178">
        <v>0.87</v>
      </c>
      <c r="AH72" s="333"/>
      <c r="AI72" s="182"/>
      <c r="AJ72" s="182"/>
      <c r="AK72" s="182"/>
      <c r="AL72" s="183"/>
      <c r="AM72" s="183"/>
      <c r="AN72" s="183"/>
      <c r="AO72" s="183"/>
      <c r="AP72" s="183"/>
      <c r="AQ72" s="183"/>
      <c r="AR72" s="183"/>
      <c r="AS72" s="183"/>
      <c r="AT72" s="183"/>
      <c r="AU72" s="184"/>
      <c r="AV72" s="184"/>
      <c r="AW72" s="184"/>
      <c r="AX72" s="184"/>
      <c r="AY72" s="184"/>
      <c r="AZ72" s="183"/>
      <c r="BA72" s="183"/>
      <c r="BB72" s="183"/>
      <c r="BC72" s="183"/>
      <c r="BD72" s="183"/>
      <c r="BE72" s="183"/>
      <c r="BF72" s="183"/>
      <c r="BG72" s="183"/>
      <c r="BH72" s="183"/>
      <c r="BI72" s="184"/>
      <c r="BJ72" s="184"/>
      <c r="BK72" s="184"/>
      <c r="BL72" s="184"/>
      <c r="BM72" s="184"/>
      <c r="BN72" s="185"/>
      <c r="BO72" s="185"/>
      <c r="BP72" s="185"/>
      <c r="BQ72" s="185"/>
      <c r="BR72" s="185"/>
      <c r="BS72" s="185"/>
      <c r="BT72" s="184"/>
      <c r="BU72" s="184"/>
      <c r="BV72" s="184"/>
      <c r="BW72" s="184"/>
      <c r="BX72" s="184"/>
      <c r="BY72" s="184"/>
      <c r="BZ72" s="184"/>
      <c r="CA72" s="183"/>
      <c r="CB72" s="167"/>
    </row>
    <row r="73" spans="1:80" s="83" customFormat="1" x14ac:dyDescent="0.2">
      <c r="A73" s="176"/>
      <c r="B73" s="642"/>
      <c r="C73" s="642"/>
      <c r="D73" s="693"/>
      <c r="E73" s="169"/>
      <c r="F73" s="169"/>
      <c r="G73" s="170"/>
      <c r="H73" s="168"/>
      <c r="I73" s="168"/>
      <c r="J73" s="168"/>
      <c r="K73" s="168"/>
      <c r="L73" s="642"/>
      <c r="M73" s="645">
        <v>34898</v>
      </c>
      <c r="N73" s="585">
        <v>0.66</v>
      </c>
      <c r="O73" s="585">
        <v>4.5999999999999999E-3</v>
      </c>
      <c r="P73" s="175">
        <v>0</v>
      </c>
      <c r="Q73" s="175">
        <v>0</v>
      </c>
      <c r="R73" s="175">
        <v>4.8999999999999998E-4</v>
      </c>
      <c r="S73" s="175">
        <v>1.4999999999999999E-4</v>
      </c>
      <c r="T73" s="175">
        <v>1.1999999999999999E-3</v>
      </c>
      <c r="U73" s="175">
        <v>1.49E-3</v>
      </c>
      <c r="V73" s="706">
        <v>1.2700000000000001E-3</v>
      </c>
      <c r="W73" s="717"/>
      <c r="X73" s="713"/>
      <c r="Y73" s="718"/>
      <c r="Z73" s="709">
        <v>23</v>
      </c>
      <c r="AA73" s="175"/>
      <c r="AB73" s="175"/>
      <c r="AC73" s="175">
        <v>5.7000000000000002E-2</v>
      </c>
      <c r="AD73" s="175">
        <v>2.94</v>
      </c>
      <c r="AE73" s="175">
        <v>0.27</v>
      </c>
      <c r="AF73" s="178">
        <f t="shared" si="1"/>
        <v>0.79380000000000006</v>
      </c>
      <c r="AG73" s="178">
        <v>0.83</v>
      </c>
      <c r="AH73" s="333"/>
      <c r="AI73" s="182"/>
      <c r="AJ73" s="182"/>
      <c r="AK73" s="182"/>
      <c r="AL73" s="183"/>
      <c r="AM73" s="183"/>
      <c r="AN73" s="183"/>
      <c r="AO73" s="183"/>
      <c r="AP73" s="183"/>
      <c r="AQ73" s="183"/>
      <c r="AR73" s="183"/>
      <c r="AS73" s="183"/>
      <c r="AT73" s="183"/>
      <c r="AU73" s="184"/>
      <c r="AV73" s="184"/>
      <c r="AW73" s="184"/>
      <c r="AX73" s="184"/>
      <c r="AY73" s="184"/>
      <c r="AZ73" s="183"/>
      <c r="BA73" s="183"/>
      <c r="BB73" s="183"/>
      <c r="BC73" s="183"/>
      <c r="BD73" s="183"/>
      <c r="BE73" s="183"/>
      <c r="BF73" s="183"/>
      <c r="BG73" s="183"/>
      <c r="BH73" s="183"/>
      <c r="BI73" s="184"/>
      <c r="BJ73" s="184"/>
      <c r="BK73" s="184"/>
      <c r="BL73" s="184"/>
      <c r="BM73" s="184"/>
      <c r="BN73" s="185"/>
      <c r="BO73" s="185"/>
      <c r="BP73" s="185"/>
      <c r="BQ73" s="185"/>
      <c r="BR73" s="185"/>
      <c r="BS73" s="185"/>
      <c r="BT73" s="184"/>
      <c r="BU73" s="184"/>
      <c r="BV73" s="184"/>
      <c r="BW73" s="184"/>
      <c r="BX73" s="184"/>
      <c r="BY73" s="184"/>
      <c r="BZ73" s="184"/>
      <c r="CA73" s="183"/>
      <c r="CB73" s="167"/>
    </row>
    <row r="74" spans="1:80" s="83" customFormat="1" x14ac:dyDescent="0.2">
      <c r="A74" s="176"/>
      <c r="B74" s="642"/>
      <c r="C74" s="642"/>
      <c r="D74" s="693"/>
      <c r="E74" s="169"/>
      <c r="F74" s="169"/>
      <c r="G74" s="170"/>
      <c r="H74" s="168"/>
      <c r="I74" s="168"/>
      <c r="J74" s="168"/>
      <c r="K74" s="168"/>
      <c r="L74" s="642"/>
      <c r="M74" s="645">
        <v>34899</v>
      </c>
      <c r="N74" s="585">
        <v>0.6</v>
      </c>
      <c r="O74" s="585">
        <v>5.7999999999999996E-3</v>
      </c>
      <c r="P74" s="175">
        <v>0</v>
      </c>
      <c r="Q74" s="175">
        <v>0</v>
      </c>
      <c r="R74" s="175">
        <v>0</v>
      </c>
      <c r="S74" s="175">
        <v>1.0200000000000001E-3</v>
      </c>
      <c r="T74" s="175">
        <v>1.1299999999999999E-3</v>
      </c>
      <c r="U74" s="175">
        <v>1.4300000000000001E-3</v>
      </c>
      <c r="V74" s="706">
        <v>2.2100000000000002E-3</v>
      </c>
      <c r="W74" s="717"/>
      <c r="X74" s="713"/>
      <c r="Y74" s="718"/>
      <c r="Z74" s="709">
        <v>16</v>
      </c>
      <c r="AA74" s="175"/>
      <c r="AB74" s="175"/>
      <c r="AC74" s="175">
        <v>5.7000000000000002E-2</v>
      </c>
      <c r="AD74" s="175">
        <v>2.95</v>
      </c>
      <c r="AE74" s="175">
        <v>0.25</v>
      </c>
      <c r="AF74" s="178">
        <f t="shared" si="1"/>
        <v>0.73750000000000004</v>
      </c>
      <c r="AG74" s="178">
        <v>0.84</v>
      </c>
      <c r="AH74" s="333"/>
      <c r="AI74" s="182"/>
      <c r="AJ74" s="182"/>
      <c r="AK74" s="182"/>
      <c r="AL74" s="183"/>
      <c r="AM74" s="183"/>
      <c r="AN74" s="183"/>
      <c r="AO74" s="183"/>
      <c r="AP74" s="183"/>
      <c r="AQ74" s="183"/>
      <c r="AR74" s="183"/>
      <c r="AS74" s="183"/>
      <c r="AT74" s="183"/>
      <c r="AU74" s="184"/>
      <c r="AV74" s="184"/>
      <c r="AW74" s="184"/>
      <c r="AX74" s="184"/>
      <c r="AY74" s="184"/>
      <c r="AZ74" s="183"/>
      <c r="BA74" s="183"/>
      <c r="BB74" s="183"/>
      <c r="BC74" s="183"/>
      <c r="BD74" s="183"/>
      <c r="BE74" s="183"/>
      <c r="BF74" s="183"/>
      <c r="BG74" s="183"/>
      <c r="BH74" s="183"/>
      <c r="BI74" s="184"/>
      <c r="BJ74" s="184"/>
      <c r="BK74" s="184"/>
      <c r="BL74" s="184"/>
      <c r="BM74" s="184"/>
      <c r="BN74" s="185"/>
      <c r="BO74" s="185"/>
      <c r="BP74" s="185"/>
      <c r="BQ74" s="185"/>
      <c r="BR74" s="185"/>
      <c r="BS74" s="185"/>
      <c r="BT74" s="184"/>
      <c r="BU74" s="184"/>
      <c r="BV74" s="184"/>
      <c r="BW74" s="184"/>
      <c r="BX74" s="184"/>
      <c r="BY74" s="184"/>
      <c r="BZ74" s="184"/>
      <c r="CA74" s="183"/>
      <c r="CB74" s="167"/>
    </row>
    <row r="75" spans="1:80" s="83" customFormat="1" x14ac:dyDescent="0.2">
      <c r="A75" s="176"/>
      <c r="B75" s="642"/>
      <c r="C75" s="642"/>
      <c r="D75" s="693"/>
      <c r="E75" s="169"/>
      <c r="F75" s="169"/>
      <c r="G75" s="170"/>
      <c r="H75" s="168"/>
      <c r="I75" s="168"/>
      <c r="J75" s="168"/>
      <c r="K75" s="168"/>
      <c r="L75" s="642"/>
      <c r="M75" s="645">
        <v>34901</v>
      </c>
      <c r="N75" s="585">
        <v>0.55000000000000004</v>
      </c>
      <c r="O75" s="585">
        <v>4.7999999999999996E-3</v>
      </c>
      <c r="P75" s="175">
        <v>0</v>
      </c>
      <c r="Q75" s="175">
        <v>0</v>
      </c>
      <c r="R75" s="175">
        <v>0</v>
      </c>
      <c r="S75" s="175">
        <v>1.1299999999999999E-3</v>
      </c>
      <c r="T75" s="175">
        <v>1.1199999999999999E-3</v>
      </c>
      <c r="U75" s="175">
        <v>1.23E-3</v>
      </c>
      <c r="V75" s="706">
        <v>1.32E-3</v>
      </c>
      <c r="W75" s="717"/>
      <c r="X75" s="713"/>
      <c r="Y75" s="718"/>
      <c r="Z75" s="709">
        <v>18</v>
      </c>
      <c r="AA75" s="175"/>
      <c r="AB75" s="175"/>
      <c r="AC75" s="175">
        <v>5.7000000000000002E-2</v>
      </c>
      <c r="AD75" s="175">
        <v>2.94</v>
      </c>
      <c r="AE75" s="175">
        <v>0.24</v>
      </c>
      <c r="AF75" s="178">
        <f t="shared" si="1"/>
        <v>0.7056</v>
      </c>
      <c r="AG75" s="178">
        <v>0.75</v>
      </c>
      <c r="AH75" s="333"/>
      <c r="AI75" s="182"/>
      <c r="AJ75" s="182"/>
      <c r="AK75" s="182"/>
      <c r="AL75" s="183"/>
      <c r="AM75" s="183"/>
      <c r="AN75" s="183"/>
      <c r="AO75" s="183"/>
      <c r="AP75" s="183"/>
      <c r="AQ75" s="183"/>
      <c r="AR75" s="183"/>
      <c r="AS75" s="183"/>
      <c r="AT75" s="183"/>
      <c r="AU75" s="184"/>
      <c r="AV75" s="184"/>
      <c r="AW75" s="184"/>
      <c r="AX75" s="184"/>
      <c r="AY75" s="184"/>
      <c r="AZ75" s="183"/>
      <c r="BA75" s="183"/>
      <c r="BB75" s="183"/>
      <c r="BC75" s="183"/>
      <c r="BD75" s="183"/>
      <c r="BE75" s="183"/>
      <c r="BF75" s="183"/>
      <c r="BG75" s="183"/>
      <c r="BH75" s="183"/>
      <c r="BI75" s="184"/>
      <c r="BJ75" s="184"/>
      <c r="BK75" s="184"/>
      <c r="BL75" s="184"/>
      <c r="BM75" s="184"/>
      <c r="BN75" s="185"/>
      <c r="BO75" s="185"/>
      <c r="BP75" s="185"/>
      <c r="BQ75" s="185"/>
      <c r="BR75" s="185"/>
      <c r="BS75" s="185"/>
      <c r="BT75" s="184"/>
      <c r="BU75" s="184"/>
      <c r="BV75" s="184"/>
      <c r="BW75" s="184"/>
      <c r="BX75" s="184"/>
      <c r="BY75" s="184"/>
      <c r="BZ75" s="184"/>
      <c r="CA75" s="183"/>
      <c r="CB75" s="167"/>
    </row>
    <row r="76" spans="1:80" x14ac:dyDescent="0.2">
      <c r="A76" s="176"/>
      <c r="B76" s="642"/>
      <c r="C76" s="642"/>
      <c r="D76" s="693"/>
      <c r="E76" s="169"/>
      <c r="F76" s="169"/>
      <c r="G76" s="186"/>
      <c r="H76" s="187"/>
      <c r="I76" s="187"/>
      <c r="J76" s="187"/>
      <c r="K76" s="187"/>
      <c r="L76" s="647"/>
      <c r="M76" s="645">
        <v>34905</v>
      </c>
      <c r="N76" s="585">
        <v>0.44</v>
      </c>
      <c r="O76" s="585">
        <v>1.5499999999999999E-3</v>
      </c>
      <c r="P76" s="175">
        <v>0</v>
      </c>
      <c r="Q76" s="175">
        <v>0</v>
      </c>
      <c r="R76" s="175">
        <v>0</v>
      </c>
      <c r="S76" s="175">
        <v>0</v>
      </c>
      <c r="T76" s="175">
        <v>1.0000000000000001E-5</v>
      </c>
      <c r="U76" s="175">
        <v>1.6000000000000001E-4</v>
      </c>
      <c r="V76" s="706">
        <v>1.39E-3</v>
      </c>
      <c r="W76" s="717"/>
      <c r="X76" s="713"/>
      <c r="Y76" s="718"/>
      <c r="Z76" s="709">
        <v>6</v>
      </c>
      <c r="AA76" s="175"/>
      <c r="AB76" s="175"/>
      <c r="AC76" s="175">
        <v>5.8000000000000003E-2</v>
      </c>
      <c r="AD76" s="175">
        <v>2.94</v>
      </c>
      <c r="AE76" s="175">
        <v>0.22</v>
      </c>
      <c r="AF76" s="178">
        <f t="shared" si="1"/>
        <v>0.64680000000000004</v>
      </c>
      <c r="AG76" s="178">
        <v>0.68</v>
      </c>
      <c r="AH76" s="333"/>
      <c r="AI76" s="188"/>
      <c r="AJ76" s="188"/>
      <c r="AK76" s="188"/>
      <c r="AL76" s="189"/>
      <c r="AM76" s="189"/>
      <c r="AN76" s="189"/>
      <c r="AO76" s="189"/>
      <c r="AP76" s="189"/>
      <c r="AQ76" s="189"/>
      <c r="AR76" s="189"/>
      <c r="AS76" s="189"/>
      <c r="AT76" s="189"/>
      <c r="AU76" s="190"/>
      <c r="AV76" s="190"/>
      <c r="AW76" s="190"/>
      <c r="AX76" s="190"/>
      <c r="AY76" s="190"/>
      <c r="AZ76" s="189"/>
      <c r="BA76" s="189"/>
      <c r="BB76" s="189"/>
      <c r="BC76" s="189"/>
      <c r="BD76" s="189"/>
      <c r="BE76" s="189"/>
      <c r="BF76" s="189"/>
      <c r="BG76" s="189"/>
      <c r="BH76" s="189"/>
      <c r="BI76" s="190"/>
      <c r="BJ76" s="190"/>
      <c r="BK76" s="190"/>
      <c r="BL76" s="190"/>
      <c r="BM76" s="190"/>
      <c r="BN76" s="191"/>
      <c r="BO76" s="191"/>
      <c r="BP76" s="191"/>
      <c r="BQ76" s="191"/>
      <c r="BR76" s="191"/>
      <c r="BS76" s="191"/>
      <c r="BT76" s="190"/>
      <c r="BU76" s="190"/>
      <c r="BV76" s="190"/>
      <c r="BW76" s="190"/>
      <c r="BX76" s="190"/>
      <c r="BY76" s="190"/>
      <c r="BZ76" s="190"/>
      <c r="CA76" s="189"/>
      <c r="CB76" s="192"/>
    </row>
    <row r="77" spans="1:80" x14ac:dyDescent="0.2">
      <c r="A77" s="176"/>
      <c r="B77" s="642"/>
      <c r="C77" s="642"/>
      <c r="D77" s="693"/>
      <c r="E77" s="169"/>
      <c r="F77" s="169"/>
      <c r="G77" s="186"/>
      <c r="H77" s="187"/>
      <c r="I77" s="187"/>
      <c r="J77" s="187"/>
      <c r="K77" s="187"/>
      <c r="L77" s="647"/>
      <c r="M77" s="645">
        <v>34907</v>
      </c>
      <c r="N77" s="585">
        <v>0.4</v>
      </c>
      <c r="O77" s="585">
        <v>1.8000000000000001E-4</v>
      </c>
      <c r="P77" s="175">
        <v>0</v>
      </c>
      <c r="Q77" s="175">
        <v>0</v>
      </c>
      <c r="R77" s="175">
        <v>0</v>
      </c>
      <c r="S77" s="175">
        <v>5.0000000000000002E-5</v>
      </c>
      <c r="T77" s="175">
        <v>0</v>
      </c>
      <c r="U77" s="175">
        <v>2.0000000000000002E-5</v>
      </c>
      <c r="V77" s="706">
        <v>1.1E-4</v>
      </c>
      <c r="W77" s="717"/>
      <c r="X77" s="713"/>
      <c r="Y77" s="718"/>
      <c r="Z77" s="709">
        <v>11</v>
      </c>
      <c r="AA77" s="175"/>
      <c r="AB77" s="175"/>
      <c r="AC77" s="175">
        <v>5.8000000000000003E-2</v>
      </c>
      <c r="AD77" s="175">
        <v>2.92</v>
      </c>
      <c r="AE77" s="175">
        <v>0.21</v>
      </c>
      <c r="AF77" s="178">
        <f t="shared" si="1"/>
        <v>0.61319999999999997</v>
      </c>
      <c r="AG77" s="178">
        <v>0.68</v>
      </c>
      <c r="AH77" s="333"/>
      <c r="AI77" s="188"/>
      <c r="AJ77" s="188"/>
      <c r="AK77" s="188"/>
      <c r="AL77" s="189"/>
      <c r="AM77" s="189"/>
      <c r="AN77" s="189"/>
      <c r="AO77" s="189"/>
      <c r="AP77" s="189"/>
      <c r="AQ77" s="189"/>
      <c r="AR77" s="189"/>
      <c r="AS77" s="189"/>
      <c r="AT77" s="189"/>
      <c r="AU77" s="190"/>
      <c r="AV77" s="190"/>
      <c r="AW77" s="190"/>
      <c r="AX77" s="190"/>
      <c r="AY77" s="190"/>
      <c r="AZ77" s="189"/>
      <c r="BA77" s="189"/>
      <c r="BB77" s="189"/>
      <c r="BC77" s="189"/>
      <c r="BD77" s="189"/>
      <c r="BE77" s="189"/>
      <c r="BF77" s="189"/>
      <c r="BG77" s="189"/>
      <c r="BH77" s="189"/>
      <c r="BI77" s="190"/>
      <c r="BJ77" s="190"/>
      <c r="BK77" s="190"/>
      <c r="BL77" s="190"/>
      <c r="BM77" s="190"/>
      <c r="BN77" s="191"/>
      <c r="BO77" s="191"/>
      <c r="BP77" s="191"/>
      <c r="BQ77" s="191"/>
      <c r="BR77" s="191"/>
      <c r="BS77" s="191"/>
      <c r="BT77" s="190"/>
      <c r="BU77" s="190"/>
      <c r="BV77" s="190"/>
      <c r="BW77" s="190"/>
      <c r="BX77" s="190"/>
      <c r="BY77" s="190"/>
      <c r="BZ77" s="190"/>
      <c r="CA77" s="189"/>
      <c r="CB77" s="192"/>
    </row>
    <row r="78" spans="1:80" x14ac:dyDescent="0.2">
      <c r="A78" s="176"/>
      <c r="B78" s="642"/>
      <c r="C78" s="642"/>
      <c r="D78" s="693"/>
      <c r="E78" s="169"/>
      <c r="F78" s="169"/>
      <c r="G78" s="186"/>
      <c r="H78" s="187"/>
      <c r="I78" s="187"/>
      <c r="J78" s="187"/>
      <c r="K78" s="187"/>
      <c r="L78" s="647"/>
      <c r="M78" s="645">
        <v>34912</v>
      </c>
      <c r="N78" s="585">
        <v>0.3</v>
      </c>
      <c r="O78" s="585">
        <v>8.4999999999999995E-4</v>
      </c>
      <c r="P78" s="175">
        <v>0</v>
      </c>
      <c r="Q78" s="175">
        <v>0</v>
      </c>
      <c r="R78" s="175">
        <v>0</v>
      </c>
      <c r="S78" s="175">
        <v>0</v>
      </c>
      <c r="T78" s="175">
        <v>1.0000000000000001E-5</v>
      </c>
      <c r="U78" s="175">
        <v>1.2999999999999999E-4</v>
      </c>
      <c r="V78" s="706">
        <v>6.9999999999999999E-4</v>
      </c>
      <c r="W78" s="717"/>
      <c r="X78" s="713"/>
      <c r="Y78" s="718"/>
      <c r="Z78" s="709">
        <v>5</v>
      </c>
      <c r="AA78" s="175"/>
      <c r="AB78" s="175"/>
      <c r="AC78" s="175">
        <v>5.8000000000000003E-2</v>
      </c>
      <c r="AD78" s="175">
        <v>2.86</v>
      </c>
      <c r="AE78" s="175">
        <v>0.2</v>
      </c>
      <c r="AF78" s="178">
        <f t="shared" si="1"/>
        <v>0.57199999999999995</v>
      </c>
      <c r="AG78" s="178">
        <v>0.55000000000000004</v>
      </c>
      <c r="AH78" s="333"/>
      <c r="AI78" s="188"/>
      <c r="AJ78" s="188"/>
      <c r="AK78" s="188"/>
      <c r="AL78" s="189"/>
      <c r="AM78" s="189"/>
      <c r="AN78" s="189"/>
      <c r="AO78" s="189"/>
      <c r="AP78" s="189"/>
      <c r="AQ78" s="189"/>
      <c r="AR78" s="189"/>
      <c r="AS78" s="189"/>
      <c r="AT78" s="189"/>
      <c r="AU78" s="190"/>
      <c r="AV78" s="190"/>
      <c r="AW78" s="190"/>
      <c r="AX78" s="190"/>
      <c r="AY78" s="190"/>
      <c r="AZ78" s="189"/>
      <c r="BA78" s="189"/>
      <c r="BB78" s="189"/>
      <c r="BC78" s="189"/>
      <c r="BD78" s="189"/>
      <c r="BE78" s="189"/>
      <c r="BF78" s="189"/>
      <c r="BG78" s="189"/>
      <c r="BH78" s="189"/>
      <c r="BI78" s="190"/>
      <c r="BJ78" s="190"/>
      <c r="BK78" s="190"/>
      <c r="BL78" s="190"/>
      <c r="BM78" s="190"/>
      <c r="BN78" s="191"/>
      <c r="BO78" s="191"/>
      <c r="BP78" s="191"/>
      <c r="BQ78" s="191"/>
      <c r="BR78" s="191"/>
      <c r="BS78" s="191"/>
      <c r="BT78" s="190"/>
      <c r="BU78" s="190"/>
      <c r="BV78" s="190"/>
      <c r="BW78" s="190"/>
      <c r="BX78" s="190"/>
      <c r="BY78" s="190"/>
      <c r="BZ78" s="190"/>
      <c r="CA78" s="189"/>
      <c r="CB78" s="192"/>
    </row>
    <row r="79" spans="1:80" x14ac:dyDescent="0.2">
      <c r="A79" s="176"/>
      <c r="B79" s="642"/>
      <c r="C79" s="642"/>
      <c r="D79" s="693"/>
      <c r="E79" s="169"/>
      <c r="F79" s="169"/>
      <c r="G79" s="186"/>
      <c r="H79" s="187"/>
      <c r="I79" s="187"/>
      <c r="J79" s="187"/>
      <c r="K79" s="187"/>
      <c r="L79" s="647"/>
      <c r="M79" s="645">
        <v>35220</v>
      </c>
      <c r="N79" s="585">
        <v>0.57999999999999996</v>
      </c>
      <c r="O79" s="585">
        <v>4.96E-3</v>
      </c>
      <c r="P79" s="175">
        <v>0</v>
      </c>
      <c r="Q79" s="175">
        <v>0</v>
      </c>
      <c r="R79" s="175">
        <v>0</v>
      </c>
      <c r="S79" s="175">
        <v>1.2600000000000001E-3</v>
      </c>
      <c r="T79" s="175">
        <v>7.6999999999999996E-4</v>
      </c>
      <c r="U79" s="175">
        <v>8.7000000000000001E-4</v>
      </c>
      <c r="V79" s="706">
        <v>2.0500000000000002E-3</v>
      </c>
      <c r="W79" s="717"/>
      <c r="X79" s="713"/>
      <c r="Y79" s="718"/>
      <c r="Z79" s="709">
        <v>18</v>
      </c>
      <c r="AA79" s="175"/>
      <c r="AB79" s="175"/>
      <c r="AC79" s="175">
        <v>5.7000000000000002E-2</v>
      </c>
      <c r="AD79" s="175">
        <v>2.92</v>
      </c>
      <c r="AE79" s="175">
        <v>0.22</v>
      </c>
      <c r="AF79" s="178">
        <f t="shared" si="1"/>
        <v>0.64239999999999997</v>
      </c>
      <c r="AG79" s="178">
        <v>0.98</v>
      </c>
      <c r="AH79" s="333"/>
      <c r="AI79" s="188"/>
      <c r="AJ79" s="188"/>
      <c r="AK79" s="188"/>
      <c r="AL79" s="189"/>
      <c r="AM79" s="189"/>
      <c r="AN79" s="189"/>
      <c r="AO79" s="189"/>
      <c r="AP79" s="189"/>
      <c r="AQ79" s="189"/>
      <c r="AR79" s="189"/>
      <c r="AS79" s="189"/>
      <c r="AT79" s="189"/>
      <c r="AU79" s="190"/>
      <c r="AV79" s="190"/>
      <c r="AW79" s="190"/>
      <c r="AX79" s="190"/>
      <c r="AY79" s="190"/>
      <c r="AZ79" s="189"/>
      <c r="BA79" s="189"/>
      <c r="BB79" s="189"/>
      <c r="BC79" s="189"/>
      <c r="BD79" s="189"/>
      <c r="BE79" s="189"/>
      <c r="BF79" s="189"/>
      <c r="BG79" s="189"/>
      <c r="BH79" s="189"/>
      <c r="BI79" s="190"/>
      <c r="BJ79" s="190"/>
      <c r="BK79" s="190"/>
      <c r="BL79" s="190"/>
      <c r="BM79" s="190"/>
      <c r="BN79" s="191"/>
      <c r="BO79" s="191"/>
      <c r="BP79" s="191"/>
      <c r="BQ79" s="191"/>
      <c r="BR79" s="191"/>
      <c r="BS79" s="191"/>
      <c r="BT79" s="190"/>
      <c r="BU79" s="190"/>
      <c r="BV79" s="190"/>
      <c r="BW79" s="190"/>
      <c r="BX79" s="190"/>
      <c r="BY79" s="190"/>
      <c r="BZ79" s="190"/>
      <c r="CA79" s="189"/>
      <c r="CB79" s="192"/>
    </row>
    <row r="80" spans="1:80" x14ac:dyDescent="0.2">
      <c r="A80" s="176"/>
      <c r="B80" s="642"/>
      <c r="C80" s="642"/>
      <c r="D80" s="693"/>
      <c r="E80" s="169"/>
      <c r="F80" s="169"/>
      <c r="G80" s="186"/>
      <c r="H80" s="187"/>
      <c r="I80" s="187"/>
      <c r="J80" s="187"/>
      <c r="K80" s="187"/>
      <c r="L80" s="647"/>
      <c r="M80" s="645">
        <v>35224</v>
      </c>
      <c r="N80" s="585">
        <v>0.9</v>
      </c>
      <c r="O80" s="585">
        <v>1.354E-2</v>
      </c>
      <c r="P80" s="175">
        <v>0</v>
      </c>
      <c r="Q80" s="175">
        <v>0</v>
      </c>
      <c r="R80" s="175">
        <v>7.2999999999999996E-4</v>
      </c>
      <c r="S80" s="175">
        <v>1.7600000000000001E-3</v>
      </c>
      <c r="T80" s="175">
        <v>2.5999999999999999E-3</v>
      </c>
      <c r="U80" s="175">
        <v>2.6900000000000001E-3</v>
      </c>
      <c r="V80" s="706">
        <v>5.7600000000000004E-3</v>
      </c>
      <c r="W80" s="717"/>
      <c r="X80" s="713"/>
      <c r="Y80" s="718"/>
      <c r="Z80" s="709">
        <v>26</v>
      </c>
      <c r="AA80" s="175"/>
      <c r="AB80" s="175"/>
      <c r="AC80" s="175">
        <v>5.6000000000000001E-2</v>
      </c>
      <c r="AD80" s="175">
        <v>2.95</v>
      </c>
      <c r="AE80" s="175">
        <v>0.27</v>
      </c>
      <c r="AF80" s="178">
        <f t="shared" si="1"/>
        <v>0.7965000000000001</v>
      </c>
      <c r="AG80" s="178">
        <v>1.22</v>
      </c>
      <c r="AH80" s="333"/>
      <c r="AI80" s="188"/>
      <c r="AJ80" s="188"/>
      <c r="AK80" s="188"/>
      <c r="AL80" s="189"/>
      <c r="AM80" s="189"/>
      <c r="AN80" s="189"/>
      <c r="AO80" s="189"/>
      <c r="AP80" s="189"/>
      <c r="AQ80" s="189"/>
      <c r="AR80" s="189"/>
      <c r="AS80" s="189"/>
      <c r="AT80" s="189"/>
      <c r="AU80" s="190"/>
      <c r="AV80" s="190"/>
      <c r="AW80" s="190"/>
      <c r="AX80" s="190"/>
      <c r="AY80" s="190"/>
      <c r="AZ80" s="189"/>
      <c r="BA80" s="189"/>
      <c r="BB80" s="189"/>
      <c r="BC80" s="189"/>
      <c r="BD80" s="189"/>
      <c r="BE80" s="189"/>
      <c r="BF80" s="189"/>
      <c r="BG80" s="189"/>
      <c r="BH80" s="189"/>
      <c r="BI80" s="190"/>
      <c r="BJ80" s="190"/>
      <c r="BK80" s="190"/>
      <c r="BL80" s="190"/>
      <c r="BM80" s="190"/>
      <c r="BN80" s="191"/>
      <c r="BO80" s="191"/>
      <c r="BP80" s="191"/>
      <c r="BQ80" s="191"/>
      <c r="BR80" s="191"/>
      <c r="BS80" s="191"/>
      <c r="BT80" s="190"/>
      <c r="BU80" s="190"/>
      <c r="BV80" s="190"/>
      <c r="BW80" s="190"/>
      <c r="BX80" s="190"/>
      <c r="BY80" s="190"/>
      <c r="BZ80" s="190"/>
      <c r="CA80" s="189"/>
      <c r="CB80" s="192"/>
    </row>
    <row r="81" spans="1:80" x14ac:dyDescent="0.2">
      <c r="A81" s="176"/>
      <c r="B81" s="642"/>
      <c r="C81" s="642"/>
      <c r="D81" s="693"/>
      <c r="E81" s="169"/>
      <c r="F81" s="169"/>
      <c r="G81" s="186"/>
      <c r="H81" s="187"/>
      <c r="I81" s="187"/>
      <c r="J81" s="187"/>
      <c r="K81" s="187"/>
      <c r="L81" s="647"/>
      <c r="M81" s="645">
        <v>35227</v>
      </c>
      <c r="N81" s="585">
        <v>0.98</v>
      </c>
      <c r="O81" s="585">
        <v>2.989E-2</v>
      </c>
      <c r="P81" s="175">
        <v>0</v>
      </c>
      <c r="Q81" s="175">
        <v>6.4999999999999997E-3</v>
      </c>
      <c r="R81" s="175">
        <v>6.1900000000000002E-3</v>
      </c>
      <c r="S81" s="175">
        <v>4.3600000000000002E-3</v>
      </c>
      <c r="T81" s="175">
        <v>3.5599999999999998E-3</v>
      </c>
      <c r="U81" s="175">
        <v>3.2499999999999999E-3</v>
      </c>
      <c r="V81" s="706">
        <v>6.0299999999999998E-3</v>
      </c>
      <c r="W81" s="717"/>
      <c r="X81" s="713"/>
      <c r="Y81" s="718"/>
      <c r="Z81" s="709">
        <v>37</v>
      </c>
      <c r="AA81" s="175"/>
      <c r="AB81" s="175"/>
      <c r="AC81" s="175">
        <v>5.6000000000000001E-2</v>
      </c>
      <c r="AD81" s="175">
        <v>2.96</v>
      </c>
      <c r="AE81" s="175">
        <v>0.28000000000000003</v>
      </c>
      <c r="AF81" s="178">
        <f t="shared" si="1"/>
        <v>0.82880000000000009</v>
      </c>
      <c r="AG81" s="178">
        <v>1.19</v>
      </c>
      <c r="AH81" s="333"/>
      <c r="AI81" s="188"/>
      <c r="AJ81" s="188"/>
      <c r="AK81" s="188"/>
      <c r="AL81" s="189"/>
      <c r="AM81" s="189"/>
      <c r="AN81" s="189"/>
      <c r="AO81" s="189"/>
      <c r="AP81" s="189"/>
      <c r="AQ81" s="189"/>
      <c r="AR81" s="189"/>
      <c r="AS81" s="189"/>
      <c r="AT81" s="189"/>
      <c r="AU81" s="190"/>
      <c r="AV81" s="190"/>
      <c r="AW81" s="190"/>
      <c r="AX81" s="190"/>
      <c r="AY81" s="190"/>
      <c r="AZ81" s="189"/>
      <c r="BA81" s="189"/>
      <c r="BB81" s="189"/>
      <c r="BC81" s="189"/>
      <c r="BD81" s="189"/>
      <c r="BE81" s="189"/>
      <c r="BF81" s="189"/>
      <c r="BG81" s="189"/>
      <c r="BH81" s="189"/>
      <c r="BI81" s="190"/>
      <c r="BJ81" s="190"/>
      <c r="BK81" s="190"/>
      <c r="BL81" s="190"/>
      <c r="BM81" s="190"/>
      <c r="BN81" s="191"/>
      <c r="BO81" s="191"/>
      <c r="BP81" s="191"/>
      <c r="BQ81" s="191"/>
      <c r="BR81" s="191"/>
      <c r="BS81" s="191"/>
      <c r="BT81" s="190"/>
      <c r="BU81" s="190"/>
      <c r="BV81" s="190"/>
      <c r="BW81" s="190"/>
      <c r="BX81" s="190"/>
      <c r="BY81" s="190"/>
      <c r="BZ81" s="190"/>
      <c r="CA81" s="189"/>
      <c r="CB81" s="192"/>
    </row>
    <row r="82" spans="1:80" x14ac:dyDescent="0.2">
      <c r="A82" s="176"/>
      <c r="B82" s="642"/>
      <c r="C82" s="642"/>
      <c r="D82" s="693"/>
      <c r="E82" s="169"/>
      <c r="F82" s="169"/>
      <c r="G82" s="186"/>
      <c r="H82" s="187"/>
      <c r="I82" s="187"/>
      <c r="J82" s="187"/>
      <c r="K82" s="187"/>
      <c r="L82" s="647"/>
      <c r="M82" s="645">
        <v>35230</v>
      </c>
      <c r="N82" s="585">
        <v>0.88</v>
      </c>
      <c r="O82" s="585">
        <v>1.89E-3</v>
      </c>
      <c r="P82" s="175">
        <v>0</v>
      </c>
      <c r="Q82" s="175">
        <v>0</v>
      </c>
      <c r="R82" s="175">
        <v>0</v>
      </c>
      <c r="S82" s="175">
        <v>1.2E-4</v>
      </c>
      <c r="T82" s="175">
        <v>2.4000000000000001E-4</v>
      </c>
      <c r="U82" s="175">
        <v>4.2999999999999999E-4</v>
      </c>
      <c r="V82" s="706">
        <v>1.1000000000000001E-3</v>
      </c>
      <c r="W82" s="717"/>
      <c r="X82" s="713"/>
      <c r="Y82" s="718"/>
      <c r="Z82" s="709">
        <v>11</v>
      </c>
      <c r="AA82" s="175"/>
      <c r="AB82" s="175"/>
      <c r="AC82" s="175">
        <v>5.6000000000000001E-2</v>
      </c>
      <c r="AD82" s="175">
        <v>2.95</v>
      </c>
      <c r="AE82" s="175">
        <v>0.25</v>
      </c>
      <c r="AF82" s="178">
        <f t="shared" si="1"/>
        <v>0.73750000000000004</v>
      </c>
      <c r="AG82" s="178">
        <v>1.08</v>
      </c>
      <c r="AH82" s="333"/>
      <c r="AI82" s="188"/>
      <c r="AJ82" s="188"/>
      <c r="AK82" s="188"/>
      <c r="AL82" s="189"/>
      <c r="AM82" s="189"/>
      <c r="AN82" s="189"/>
      <c r="AO82" s="189"/>
      <c r="AP82" s="189"/>
      <c r="AQ82" s="189"/>
      <c r="AR82" s="189"/>
      <c r="AS82" s="189"/>
      <c r="AT82" s="189"/>
      <c r="AU82" s="190"/>
      <c r="AV82" s="190"/>
      <c r="AW82" s="190"/>
      <c r="AX82" s="190"/>
      <c r="AY82" s="190"/>
      <c r="AZ82" s="189"/>
      <c r="BA82" s="189"/>
      <c r="BB82" s="189"/>
      <c r="BC82" s="189"/>
      <c r="BD82" s="189"/>
      <c r="BE82" s="189"/>
      <c r="BF82" s="189"/>
      <c r="BG82" s="189"/>
      <c r="BH82" s="189"/>
      <c r="BI82" s="190"/>
      <c r="BJ82" s="190"/>
      <c r="BK82" s="190"/>
      <c r="BL82" s="190"/>
      <c r="BM82" s="190"/>
      <c r="BN82" s="191"/>
      <c r="BO82" s="191"/>
      <c r="BP82" s="191"/>
      <c r="BQ82" s="191"/>
      <c r="BR82" s="191"/>
      <c r="BS82" s="191"/>
      <c r="BT82" s="190"/>
      <c r="BU82" s="190"/>
      <c r="BV82" s="190"/>
      <c r="BW82" s="190"/>
      <c r="BX82" s="190"/>
      <c r="BY82" s="190"/>
      <c r="BZ82" s="190"/>
      <c r="CA82" s="189"/>
      <c r="CB82" s="192"/>
    </row>
    <row r="83" spans="1:80" x14ac:dyDescent="0.2">
      <c r="A83" s="176"/>
      <c r="B83" s="642"/>
      <c r="C83" s="642"/>
      <c r="D83" s="693"/>
      <c r="E83" s="169"/>
      <c r="F83" s="169"/>
      <c r="G83" s="186"/>
      <c r="H83" s="187"/>
      <c r="I83" s="187"/>
      <c r="J83" s="187"/>
      <c r="K83" s="187"/>
      <c r="L83" s="647"/>
      <c r="M83" s="645">
        <v>35232</v>
      </c>
      <c r="N83" s="585">
        <v>0.95</v>
      </c>
      <c r="O83" s="585">
        <v>6.7000000000000002E-3</v>
      </c>
      <c r="P83" s="175">
        <v>0</v>
      </c>
      <c r="Q83" s="175">
        <v>0</v>
      </c>
      <c r="R83" s="175">
        <v>1.5E-3</v>
      </c>
      <c r="S83" s="175">
        <v>1.1199999999999999E-3</v>
      </c>
      <c r="T83" s="175">
        <v>1.09E-3</v>
      </c>
      <c r="U83" s="175">
        <v>9.2000000000000003E-4</v>
      </c>
      <c r="V83" s="706">
        <v>2.0600000000000002E-3</v>
      </c>
      <c r="W83" s="717"/>
      <c r="X83" s="713"/>
      <c r="Y83" s="718"/>
      <c r="Z83" s="709">
        <v>28</v>
      </c>
      <c r="AA83" s="175"/>
      <c r="AB83" s="175"/>
      <c r="AC83" s="175">
        <v>5.6000000000000001E-2</v>
      </c>
      <c r="AD83" s="175">
        <v>2.92</v>
      </c>
      <c r="AE83" s="175">
        <v>0.28000000000000003</v>
      </c>
      <c r="AF83" s="178">
        <f t="shared" si="1"/>
        <v>0.8176000000000001</v>
      </c>
      <c r="AG83" s="178">
        <v>1.0900000000000001</v>
      </c>
      <c r="AH83" s="333"/>
      <c r="AI83" s="188"/>
      <c r="AJ83" s="188"/>
      <c r="AK83" s="188"/>
      <c r="AL83" s="189"/>
      <c r="AM83" s="189"/>
      <c r="AN83" s="189"/>
      <c r="AO83" s="189"/>
      <c r="AP83" s="189"/>
      <c r="AQ83" s="189"/>
      <c r="AR83" s="189"/>
      <c r="AS83" s="189"/>
      <c r="AT83" s="189"/>
      <c r="AU83" s="190"/>
      <c r="AV83" s="190"/>
      <c r="AW83" s="190"/>
      <c r="AX83" s="190"/>
      <c r="AY83" s="190"/>
      <c r="AZ83" s="189"/>
      <c r="BA83" s="189"/>
      <c r="BB83" s="189"/>
      <c r="BC83" s="189"/>
      <c r="BD83" s="189"/>
      <c r="BE83" s="189"/>
      <c r="BF83" s="189"/>
      <c r="BG83" s="189"/>
      <c r="BH83" s="189"/>
      <c r="BI83" s="190"/>
      <c r="BJ83" s="190"/>
      <c r="BK83" s="190"/>
      <c r="BL83" s="190"/>
      <c r="BM83" s="190"/>
      <c r="BN83" s="191"/>
      <c r="BO83" s="191"/>
      <c r="BP83" s="191"/>
      <c r="BQ83" s="191"/>
      <c r="BR83" s="191"/>
      <c r="BS83" s="191"/>
      <c r="BT83" s="190"/>
      <c r="BU83" s="190"/>
      <c r="BV83" s="190"/>
      <c r="BW83" s="190"/>
      <c r="BX83" s="190"/>
      <c r="BY83" s="190"/>
      <c r="BZ83" s="190"/>
      <c r="CA83" s="189"/>
      <c r="CB83" s="192"/>
    </row>
    <row r="84" spans="1:80" x14ac:dyDescent="0.2">
      <c r="A84" s="176"/>
      <c r="B84" s="642"/>
      <c r="C84" s="642"/>
      <c r="D84" s="693"/>
      <c r="E84" s="169"/>
      <c r="F84" s="169"/>
      <c r="G84" s="186"/>
      <c r="H84" s="187"/>
      <c r="I84" s="187"/>
      <c r="J84" s="187"/>
      <c r="K84" s="187"/>
      <c r="L84" s="647"/>
      <c r="M84" s="645">
        <v>35233</v>
      </c>
      <c r="N84" s="585">
        <v>0.93</v>
      </c>
      <c r="O84" s="585">
        <v>3.9300000000000003E-3</v>
      </c>
      <c r="P84" s="175">
        <v>0</v>
      </c>
      <c r="Q84" s="175">
        <v>0</v>
      </c>
      <c r="R84" s="175">
        <v>0</v>
      </c>
      <c r="S84" s="175">
        <v>9.5E-4</v>
      </c>
      <c r="T84" s="175">
        <v>6.9999999999999999E-4</v>
      </c>
      <c r="U84" s="175">
        <v>7.2000000000000005E-4</v>
      </c>
      <c r="V84" s="706">
        <v>1.5499999999999999E-3</v>
      </c>
      <c r="W84" s="717"/>
      <c r="X84" s="713"/>
      <c r="Y84" s="718"/>
      <c r="Z84" s="709">
        <v>15</v>
      </c>
      <c r="AA84" s="175"/>
      <c r="AB84" s="175"/>
      <c r="AC84" s="175">
        <v>5.6000000000000001E-2</v>
      </c>
      <c r="AD84" s="175">
        <v>2.92</v>
      </c>
      <c r="AE84" s="175">
        <v>0.27</v>
      </c>
      <c r="AF84" s="178">
        <f t="shared" si="1"/>
        <v>0.78839999999999999</v>
      </c>
      <c r="AG84" s="178">
        <v>1.1599999999999999</v>
      </c>
      <c r="AH84" s="333"/>
      <c r="AI84" s="188"/>
      <c r="AJ84" s="188"/>
      <c r="AK84" s="188"/>
      <c r="AL84" s="189"/>
      <c r="AM84" s="189"/>
      <c r="AN84" s="189"/>
      <c r="AO84" s="189"/>
      <c r="AP84" s="189"/>
      <c r="AQ84" s="189"/>
      <c r="AR84" s="189"/>
      <c r="AS84" s="189"/>
      <c r="AT84" s="189"/>
      <c r="AU84" s="190"/>
      <c r="AV84" s="190"/>
      <c r="AW84" s="190"/>
      <c r="AX84" s="190"/>
      <c r="AY84" s="190"/>
      <c r="AZ84" s="189"/>
      <c r="BA84" s="189"/>
      <c r="BB84" s="189"/>
      <c r="BC84" s="189"/>
      <c r="BD84" s="189"/>
      <c r="BE84" s="189"/>
      <c r="BF84" s="189"/>
      <c r="BG84" s="189"/>
      <c r="BH84" s="189"/>
      <c r="BI84" s="190"/>
      <c r="BJ84" s="190"/>
      <c r="BK84" s="190"/>
      <c r="BL84" s="190"/>
      <c r="BM84" s="190"/>
      <c r="BN84" s="191"/>
      <c r="BO84" s="191"/>
      <c r="BP84" s="191"/>
      <c r="BQ84" s="191"/>
      <c r="BR84" s="191"/>
      <c r="BS84" s="191"/>
      <c r="BT84" s="190"/>
      <c r="BU84" s="190"/>
      <c r="BV84" s="190"/>
      <c r="BW84" s="190"/>
      <c r="BX84" s="190"/>
      <c r="BY84" s="190"/>
      <c r="BZ84" s="190"/>
      <c r="CA84" s="189"/>
      <c r="CB84" s="192"/>
    </row>
    <row r="85" spans="1:80" x14ac:dyDescent="0.2">
      <c r="A85" s="176"/>
      <c r="B85" s="642"/>
      <c r="C85" s="642"/>
      <c r="D85" s="693"/>
      <c r="E85" s="169"/>
      <c r="F85" s="169"/>
      <c r="G85" s="186"/>
      <c r="H85" s="187"/>
      <c r="I85" s="187"/>
      <c r="J85" s="187"/>
      <c r="K85" s="187"/>
      <c r="L85" s="647"/>
      <c r="M85" s="645">
        <v>35235</v>
      </c>
      <c r="N85" s="585">
        <v>0.89</v>
      </c>
      <c r="O85" s="585">
        <v>3.6800000000000001E-3</v>
      </c>
      <c r="P85" s="175">
        <v>0</v>
      </c>
      <c r="Q85" s="175">
        <v>0</v>
      </c>
      <c r="R85" s="175">
        <v>0</v>
      </c>
      <c r="S85" s="175">
        <v>4.8999999999999998E-4</v>
      </c>
      <c r="T85" s="175">
        <v>7.6999999999999996E-4</v>
      </c>
      <c r="U85" s="175">
        <v>8.4999999999999995E-4</v>
      </c>
      <c r="V85" s="706">
        <v>1.58E-3</v>
      </c>
      <c r="W85" s="717"/>
      <c r="X85" s="713"/>
      <c r="Y85" s="718"/>
      <c r="Z85" s="709">
        <v>15</v>
      </c>
      <c r="AA85" s="175"/>
      <c r="AB85" s="175"/>
      <c r="AC85" s="175">
        <v>5.6000000000000001E-2</v>
      </c>
      <c r="AD85" s="175">
        <v>2.94</v>
      </c>
      <c r="AE85" s="175">
        <v>0.27</v>
      </c>
      <c r="AF85" s="178">
        <f t="shared" si="1"/>
        <v>0.79380000000000006</v>
      </c>
      <c r="AG85" s="178">
        <v>1.07</v>
      </c>
      <c r="AH85" s="333"/>
      <c r="AI85" s="188"/>
      <c r="AJ85" s="188"/>
      <c r="AK85" s="188"/>
      <c r="AL85" s="189"/>
      <c r="AM85" s="189"/>
      <c r="AN85" s="189"/>
      <c r="AO85" s="189"/>
      <c r="AP85" s="189"/>
      <c r="AQ85" s="189"/>
      <c r="AR85" s="189"/>
      <c r="AS85" s="189"/>
      <c r="AT85" s="189"/>
      <c r="AU85" s="190"/>
      <c r="AV85" s="190"/>
      <c r="AW85" s="190"/>
      <c r="AX85" s="190"/>
      <c r="AY85" s="190"/>
      <c r="AZ85" s="189"/>
      <c r="BA85" s="189"/>
      <c r="BB85" s="189"/>
      <c r="BC85" s="189"/>
      <c r="BD85" s="189"/>
      <c r="BE85" s="189"/>
      <c r="BF85" s="189"/>
      <c r="BG85" s="189"/>
      <c r="BH85" s="189"/>
      <c r="BI85" s="190"/>
      <c r="BJ85" s="190"/>
      <c r="BK85" s="190"/>
      <c r="BL85" s="190"/>
      <c r="BM85" s="190"/>
      <c r="BN85" s="191"/>
      <c r="BO85" s="191"/>
      <c r="BP85" s="191"/>
      <c r="BQ85" s="191"/>
      <c r="BR85" s="191"/>
      <c r="BS85" s="191"/>
      <c r="BT85" s="190"/>
      <c r="BU85" s="190"/>
      <c r="BV85" s="190"/>
      <c r="BW85" s="190"/>
      <c r="BX85" s="190"/>
      <c r="BY85" s="190"/>
      <c r="BZ85" s="190"/>
      <c r="CA85" s="189"/>
      <c r="CB85" s="192"/>
    </row>
    <row r="86" spans="1:80" x14ac:dyDescent="0.2">
      <c r="A86" s="176"/>
      <c r="B86" s="642"/>
      <c r="C86" s="642"/>
      <c r="D86" s="693"/>
      <c r="E86" s="169"/>
      <c r="F86" s="169"/>
      <c r="G86" s="186"/>
      <c r="H86" s="187"/>
      <c r="I86" s="187"/>
      <c r="J86" s="187"/>
      <c r="K86" s="187"/>
      <c r="L86" s="647"/>
      <c r="M86" s="645">
        <v>35236</v>
      </c>
      <c r="N86" s="585">
        <v>0.89</v>
      </c>
      <c r="O86" s="585">
        <v>7.9000000000000008E-3</v>
      </c>
      <c r="P86" s="175">
        <v>0</v>
      </c>
      <c r="Q86" s="175">
        <v>0</v>
      </c>
      <c r="R86" s="175">
        <v>5.5000000000000003E-4</v>
      </c>
      <c r="S86" s="175">
        <v>1.89E-3</v>
      </c>
      <c r="T86" s="175">
        <v>1.64E-3</v>
      </c>
      <c r="U86" s="175">
        <v>1.7700000000000001E-3</v>
      </c>
      <c r="V86" s="706">
        <v>2.0600000000000002E-3</v>
      </c>
      <c r="W86" s="717"/>
      <c r="X86" s="713"/>
      <c r="Y86" s="718"/>
      <c r="Z86" s="709">
        <v>17</v>
      </c>
      <c r="AA86" s="175"/>
      <c r="AB86" s="175"/>
      <c r="AC86" s="175">
        <v>5.6000000000000001E-2</v>
      </c>
      <c r="AD86" s="175">
        <v>2.94</v>
      </c>
      <c r="AE86" s="175">
        <v>0.31</v>
      </c>
      <c r="AF86" s="178">
        <f t="shared" si="1"/>
        <v>0.91139999999999999</v>
      </c>
      <c r="AG86" s="178">
        <v>1.01</v>
      </c>
      <c r="AH86" s="333"/>
      <c r="AI86" s="188"/>
      <c r="AJ86" s="188"/>
      <c r="AK86" s="188"/>
      <c r="AL86" s="189"/>
      <c r="AM86" s="189"/>
      <c r="AN86" s="189"/>
      <c r="AO86" s="189"/>
      <c r="AP86" s="189"/>
      <c r="AQ86" s="189"/>
      <c r="AR86" s="189"/>
      <c r="AS86" s="189"/>
      <c r="AT86" s="189"/>
      <c r="AU86" s="190"/>
      <c r="AV86" s="190"/>
      <c r="AW86" s="190"/>
      <c r="AX86" s="190"/>
      <c r="AY86" s="190"/>
      <c r="AZ86" s="189"/>
      <c r="BA86" s="189"/>
      <c r="BB86" s="189"/>
      <c r="BC86" s="189"/>
      <c r="BD86" s="189"/>
      <c r="BE86" s="189"/>
      <c r="BF86" s="189"/>
      <c r="BG86" s="189"/>
      <c r="BH86" s="189"/>
      <c r="BI86" s="190"/>
      <c r="BJ86" s="190"/>
      <c r="BK86" s="190"/>
      <c r="BL86" s="190"/>
      <c r="BM86" s="190"/>
      <c r="BN86" s="191"/>
      <c r="BO86" s="191"/>
      <c r="BP86" s="191"/>
      <c r="BQ86" s="191"/>
      <c r="BR86" s="191"/>
      <c r="BS86" s="191"/>
      <c r="BT86" s="190"/>
      <c r="BU86" s="190"/>
      <c r="BV86" s="190"/>
      <c r="BW86" s="190"/>
      <c r="BX86" s="190"/>
      <c r="BY86" s="190"/>
      <c r="BZ86" s="190"/>
      <c r="CA86" s="189"/>
      <c r="CB86" s="192"/>
    </row>
    <row r="87" spans="1:80" x14ac:dyDescent="0.2">
      <c r="A87" s="176"/>
      <c r="B87" s="642"/>
      <c r="C87" s="642"/>
      <c r="D87" s="693"/>
      <c r="E87" s="169"/>
      <c r="F87" s="169"/>
      <c r="G87" s="186"/>
      <c r="H87" s="187"/>
      <c r="I87" s="187"/>
      <c r="J87" s="187"/>
      <c r="K87" s="187"/>
      <c r="L87" s="647"/>
      <c r="M87" s="645">
        <v>35237</v>
      </c>
      <c r="N87" s="585">
        <v>0.92</v>
      </c>
      <c r="O87" s="585">
        <v>4.7099999999999998E-3</v>
      </c>
      <c r="P87" s="175">
        <v>0</v>
      </c>
      <c r="Q87" s="175">
        <v>0</v>
      </c>
      <c r="R87" s="175">
        <v>0</v>
      </c>
      <c r="S87" s="175">
        <v>1.16E-3</v>
      </c>
      <c r="T87" s="175">
        <v>1.0399999999999999E-3</v>
      </c>
      <c r="U87" s="175">
        <v>9.7999999999999997E-4</v>
      </c>
      <c r="V87" s="706">
        <v>1.5299999999999999E-3</v>
      </c>
      <c r="W87" s="717"/>
      <c r="X87" s="713"/>
      <c r="Y87" s="718"/>
      <c r="Z87" s="709">
        <v>19</v>
      </c>
      <c r="AA87" s="175"/>
      <c r="AB87" s="175"/>
      <c r="AC87" s="175">
        <v>5.6000000000000001E-2</v>
      </c>
      <c r="AD87" s="175">
        <v>2.94</v>
      </c>
      <c r="AE87" s="175">
        <v>0.28000000000000003</v>
      </c>
      <c r="AF87" s="178">
        <f t="shared" si="1"/>
        <v>0.82320000000000004</v>
      </c>
      <c r="AG87" s="178">
        <v>1.17</v>
      </c>
      <c r="AH87" s="333"/>
      <c r="AI87" s="188"/>
      <c r="AJ87" s="188"/>
      <c r="AK87" s="188"/>
      <c r="AL87" s="189"/>
      <c r="AM87" s="189"/>
      <c r="AN87" s="189"/>
      <c r="AO87" s="189"/>
      <c r="AP87" s="189"/>
      <c r="AQ87" s="189"/>
      <c r="AR87" s="189"/>
      <c r="AS87" s="189"/>
      <c r="AT87" s="189"/>
      <c r="AU87" s="190"/>
      <c r="AV87" s="190"/>
      <c r="AW87" s="190"/>
      <c r="AX87" s="190"/>
      <c r="AY87" s="190"/>
      <c r="AZ87" s="189"/>
      <c r="BA87" s="189"/>
      <c r="BB87" s="189"/>
      <c r="BC87" s="189"/>
      <c r="BD87" s="189"/>
      <c r="BE87" s="189"/>
      <c r="BF87" s="189"/>
      <c r="BG87" s="189"/>
      <c r="BH87" s="189"/>
      <c r="BI87" s="190"/>
      <c r="BJ87" s="190"/>
      <c r="BK87" s="190"/>
      <c r="BL87" s="190"/>
      <c r="BM87" s="190"/>
      <c r="BN87" s="191"/>
      <c r="BO87" s="191"/>
      <c r="BP87" s="191"/>
      <c r="BQ87" s="191"/>
      <c r="BR87" s="191"/>
      <c r="BS87" s="191"/>
      <c r="BT87" s="190"/>
      <c r="BU87" s="190"/>
      <c r="BV87" s="190"/>
      <c r="BW87" s="190"/>
      <c r="BX87" s="190"/>
      <c r="BY87" s="190"/>
      <c r="BZ87" s="190"/>
      <c r="CA87" s="189"/>
      <c r="CB87" s="192"/>
    </row>
    <row r="88" spans="1:80" x14ac:dyDescent="0.2">
      <c r="A88" s="176"/>
      <c r="B88" s="642"/>
      <c r="C88" s="642"/>
      <c r="D88" s="693"/>
      <c r="E88" s="169"/>
      <c r="F88" s="169"/>
      <c r="G88" s="186"/>
      <c r="H88" s="187"/>
      <c r="I88" s="187"/>
      <c r="J88" s="187"/>
      <c r="K88" s="187"/>
      <c r="L88" s="647"/>
      <c r="M88" s="645">
        <v>35238</v>
      </c>
      <c r="N88" s="585">
        <v>0.92</v>
      </c>
      <c r="O88" s="585">
        <v>2.8E-3</v>
      </c>
      <c r="P88" s="175">
        <v>0</v>
      </c>
      <c r="Q88" s="175">
        <v>0</v>
      </c>
      <c r="R88" s="175">
        <v>0</v>
      </c>
      <c r="S88" s="175">
        <v>2.7E-4</v>
      </c>
      <c r="T88" s="175">
        <v>6.2E-4</v>
      </c>
      <c r="U88" s="175">
        <v>4.8000000000000001E-4</v>
      </c>
      <c r="V88" s="706">
        <v>1.4300000000000001E-3</v>
      </c>
      <c r="W88" s="717"/>
      <c r="X88" s="713"/>
      <c r="Y88" s="718"/>
      <c r="Z88" s="709">
        <v>12</v>
      </c>
      <c r="AA88" s="175"/>
      <c r="AB88" s="175"/>
      <c r="AC88" s="175">
        <v>5.6000000000000001E-2</v>
      </c>
      <c r="AD88" s="175">
        <v>2.94</v>
      </c>
      <c r="AE88" s="175">
        <v>0.28000000000000003</v>
      </c>
      <c r="AF88" s="178">
        <f t="shared" si="1"/>
        <v>0.82320000000000004</v>
      </c>
      <c r="AG88" s="178">
        <v>1.0900000000000001</v>
      </c>
      <c r="AH88" s="333"/>
      <c r="AI88" s="188"/>
      <c r="AJ88" s="188"/>
      <c r="AK88" s="188"/>
      <c r="AL88" s="189"/>
      <c r="AM88" s="189"/>
      <c r="AN88" s="189"/>
      <c r="AO88" s="189"/>
      <c r="AP88" s="189"/>
      <c r="AQ88" s="189"/>
      <c r="AR88" s="189"/>
      <c r="AS88" s="189"/>
      <c r="AT88" s="189"/>
      <c r="AU88" s="190"/>
      <c r="AV88" s="190"/>
      <c r="AW88" s="190"/>
      <c r="AX88" s="190"/>
      <c r="AY88" s="190"/>
      <c r="AZ88" s="189"/>
      <c r="BA88" s="189"/>
      <c r="BB88" s="189"/>
      <c r="BC88" s="189"/>
      <c r="BD88" s="189"/>
      <c r="BE88" s="189"/>
      <c r="BF88" s="189"/>
      <c r="BG88" s="189"/>
      <c r="BH88" s="189"/>
      <c r="BI88" s="190"/>
      <c r="BJ88" s="190"/>
      <c r="BK88" s="190"/>
      <c r="BL88" s="190"/>
      <c r="BM88" s="190"/>
      <c r="BN88" s="191"/>
      <c r="BO88" s="191"/>
      <c r="BP88" s="191"/>
      <c r="BQ88" s="191"/>
      <c r="BR88" s="191"/>
      <c r="BS88" s="191"/>
      <c r="BT88" s="190"/>
      <c r="BU88" s="190"/>
      <c r="BV88" s="190"/>
      <c r="BW88" s="190"/>
      <c r="BX88" s="190"/>
      <c r="BY88" s="190"/>
      <c r="BZ88" s="190"/>
      <c r="CA88" s="189"/>
      <c r="CB88" s="192"/>
    </row>
    <row r="89" spans="1:80" x14ac:dyDescent="0.2">
      <c r="A89" s="176"/>
      <c r="B89" s="642"/>
      <c r="C89" s="642"/>
      <c r="D89" s="693"/>
      <c r="E89" s="169"/>
      <c r="F89" s="169"/>
      <c r="G89" s="186"/>
      <c r="H89" s="187"/>
      <c r="I89" s="187"/>
      <c r="J89" s="187"/>
      <c r="K89" s="187"/>
      <c r="L89" s="647"/>
      <c r="M89" s="645">
        <v>35239</v>
      </c>
      <c r="N89" s="585">
        <v>0.85</v>
      </c>
      <c r="O89" s="585">
        <v>7.0200000000000002E-3</v>
      </c>
      <c r="P89" s="175">
        <v>0</v>
      </c>
      <c r="Q89" s="175">
        <v>3.6700000000000001E-3</v>
      </c>
      <c r="R89" s="175">
        <v>0</v>
      </c>
      <c r="S89" s="175">
        <v>8.4000000000000003E-4</v>
      </c>
      <c r="T89" s="175">
        <v>8.9999999999999998E-4</v>
      </c>
      <c r="U89" s="175">
        <v>5.8E-4</v>
      </c>
      <c r="V89" s="706">
        <v>1.0200000000000001E-3</v>
      </c>
      <c r="W89" s="717"/>
      <c r="X89" s="713"/>
      <c r="Y89" s="718"/>
      <c r="Z89" s="709">
        <v>42</v>
      </c>
      <c r="AA89" s="175"/>
      <c r="AB89" s="175"/>
      <c r="AC89" s="175">
        <v>5.6000000000000001E-2</v>
      </c>
      <c r="AD89" s="175">
        <v>2.94</v>
      </c>
      <c r="AE89" s="175">
        <v>0.27</v>
      </c>
      <c r="AF89" s="178">
        <f t="shared" si="1"/>
        <v>0.79380000000000006</v>
      </c>
      <c r="AG89" s="178">
        <v>1.08</v>
      </c>
      <c r="AH89" s="333"/>
      <c r="AI89" s="188"/>
      <c r="AJ89" s="188"/>
      <c r="AK89" s="188"/>
      <c r="AL89" s="189"/>
      <c r="AM89" s="189"/>
      <c r="AN89" s="189"/>
      <c r="AO89" s="189"/>
      <c r="AP89" s="189"/>
      <c r="AQ89" s="189"/>
      <c r="AR89" s="189"/>
      <c r="AS89" s="189"/>
      <c r="AT89" s="189"/>
      <c r="AU89" s="190"/>
      <c r="AV89" s="190"/>
      <c r="AW89" s="190"/>
      <c r="AX89" s="190"/>
      <c r="AY89" s="190"/>
      <c r="AZ89" s="189"/>
      <c r="BA89" s="189"/>
      <c r="BB89" s="189"/>
      <c r="BC89" s="189"/>
      <c r="BD89" s="189"/>
      <c r="BE89" s="189"/>
      <c r="BF89" s="189"/>
      <c r="BG89" s="189"/>
      <c r="BH89" s="189"/>
      <c r="BI89" s="190"/>
      <c r="BJ89" s="190"/>
      <c r="BK89" s="190"/>
      <c r="BL89" s="190"/>
      <c r="BM89" s="190"/>
      <c r="BN89" s="191"/>
      <c r="BO89" s="191"/>
      <c r="BP89" s="191"/>
      <c r="BQ89" s="191"/>
      <c r="BR89" s="191"/>
      <c r="BS89" s="191"/>
      <c r="BT89" s="190"/>
      <c r="BU89" s="190"/>
      <c r="BV89" s="190"/>
      <c r="BW89" s="190"/>
      <c r="BX89" s="190"/>
      <c r="BY89" s="190"/>
      <c r="BZ89" s="190"/>
      <c r="CA89" s="189"/>
      <c r="CB89" s="192"/>
    </row>
    <row r="90" spans="1:80" x14ac:dyDescent="0.2">
      <c r="A90" s="176"/>
      <c r="B90" s="642"/>
      <c r="C90" s="642"/>
      <c r="D90" s="693"/>
      <c r="E90" s="169"/>
      <c r="F90" s="169"/>
      <c r="G90" s="186"/>
      <c r="H90" s="187"/>
      <c r="I90" s="187"/>
      <c r="J90" s="187"/>
      <c r="K90" s="187"/>
      <c r="L90" s="647"/>
      <c r="M90" s="645">
        <v>35243</v>
      </c>
      <c r="N90" s="585">
        <v>0.66</v>
      </c>
      <c r="O90" s="585">
        <v>5.0000000000000002E-5</v>
      </c>
      <c r="P90" s="175">
        <v>0</v>
      </c>
      <c r="Q90" s="175">
        <v>0</v>
      </c>
      <c r="R90" s="175">
        <v>0</v>
      </c>
      <c r="S90" s="175">
        <v>0</v>
      </c>
      <c r="T90" s="175">
        <v>0</v>
      </c>
      <c r="U90" s="175">
        <v>2.0000000000000002E-5</v>
      </c>
      <c r="V90" s="706">
        <v>3.0000000000000001E-5</v>
      </c>
      <c r="W90" s="717"/>
      <c r="X90" s="713"/>
      <c r="Y90" s="718"/>
      <c r="Z90" s="709">
        <v>4</v>
      </c>
      <c r="AA90" s="175"/>
      <c r="AB90" s="175"/>
      <c r="AC90" s="175">
        <v>5.7000000000000002E-2</v>
      </c>
      <c r="AD90" s="175">
        <v>2.94</v>
      </c>
      <c r="AE90" s="175">
        <v>0.25</v>
      </c>
      <c r="AF90" s="178">
        <f t="shared" si="1"/>
        <v>0.73499999999999999</v>
      </c>
      <c r="AG90" s="178">
        <v>0.86</v>
      </c>
      <c r="AH90" s="333"/>
      <c r="AI90" s="188"/>
      <c r="AJ90" s="188"/>
      <c r="AK90" s="188"/>
      <c r="AL90" s="189"/>
      <c r="AM90" s="189"/>
      <c r="AN90" s="189"/>
      <c r="AO90" s="189"/>
      <c r="AP90" s="189"/>
      <c r="AQ90" s="189"/>
      <c r="AR90" s="189"/>
      <c r="AS90" s="189"/>
      <c r="AT90" s="189"/>
      <c r="AU90" s="190"/>
      <c r="AV90" s="190"/>
      <c r="AW90" s="190"/>
      <c r="AX90" s="190"/>
      <c r="AY90" s="190"/>
      <c r="AZ90" s="189"/>
      <c r="BA90" s="189"/>
      <c r="BB90" s="189"/>
      <c r="BC90" s="189"/>
      <c r="BD90" s="189"/>
      <c r="BE90" s="189"/>
      <c r="BF90" s="189"/>
      <c r="BG90" s="189"/>
      <c r="BH90" s="189"/>
      <c r="BI90" s="190"/>
      <c r="BJ90" s="190"/>
      <c r="BK90" s="190"/>
      <c r="BL90" s="190"/>
      <c r="BM90" s="190"/>
      <c r="BN90" s="191"/>
      <c r="BO90" s="191"/>
      <c r="BP90" s="191"/>
      <c r="BQ90" s="191"/>
      <c r="BR90" s="191"/>
      <c r="BS90" s="191"/>
      <c r="BT90" s="190"/>
      <c r="BU90" s="190"/>
      <c r="BV90" s="190"/>
      <c r="BW90" s="190"/>
      <c r="BX90" s="190"/>
      <c r="BY90" s="190"/>
      <c r="BZ90" s="190"/>
      <c r="CA90" s="189"/>
      <c r="CB90" s="192"/>
    </row>
    <row r="91" spans="1:80" x14ac:dyDescent="0.2">
      <c r="A91" s="176"/>
      <c r="B91" s="642"/>
      <c r="C91" s="642"/>
      <c r="D91" s="693"/>
      <c r="E91" s="169"/>
      <c r="F91" s="169"/>
      <c r="G91" s="186"/>
      <c r="H91" s="187"/>
      <c r="I91" s="187"/>
      <c r="J91" s="187"/>
      <c r="K91" s="187"/>
      <c r="L91" s="647"/>
      <c r="M91" s="645">
        <v>35580</v>
      </c>
      <c r="N91" s="585">
        <v>0.34</v>
      </c>
      <c r="O91" s="585">
        <v>1E-4</v>
      </c>
      <c r="P91" s="175">
        <v>0</v>
      </c>
      <c r="Q91" s="175">
        <v>0</v>
      </c>
      <c r="R91" s="175">
        <v>0</v>
      </c>
      <c r="S91" s="175">
        <v>0</v>
      </c>
      <c r="T91" s="175">
        <v>2.0000000000000002E-5</v>
      </c>
      <c r="U91" s="175">
        <v>3.0000000000000001E-5</v>
      </c>
      <c r="V91" s="706">
        <v>5.0000000000000002E-5</v>
      </c>
      <c r="W91" s="717"/>
      <c r="X91" s="713"/>
      <c r="Y91" s="718"/>
      <c r="Z91" s="709">
        <v>6</v>
      </c>
      <c r="AA91" s="175"/>
      <c r="AB91" s="175"/>
      <c r="AC91" s="175">
        <v>5.8000000000000003E-2</v>
      </c>
      <c r="AD91" s="175">
        <v>2.95</v>
      </c>
      <c r="AE91" s="175">
        <v>0.18</v>
      </c>
      <c r="AF91" s="178">
        <f t="shared" si="1"/>
        <v>0.53100000000000003</v>
      </c>
      <c r="AG91" s="178">
        <v>0.61</v>
      </c>
      <c r="AH91" s="333"/>
      <c r="AI91" s="188"/>
      <c r="AJ91" s="188"/>
      <c r="AK91" s="188"/>
      <c r="AL91" s="189"/>
      <c r="AM91" s="189"/>
      <c r="AN91" s="189"/>
      <c r="AO91" s="189"/>
      <c r="AP91" s="189"/>
      <c r="AQ91" s="189"/>
      <c r="AR91" s="189"/>
      <c r="AS91" s="189"/>
      <c r="AT91" s="189"/>
      <c r="AU91" s="190"/>
      <c r="AV91" s="190"/>
      <c r="AW91" s="190"/>
      <c r="AX91" s="190"/>
      <c r="AY91" s="190"/>
      <c r="AZ91" s="189"/>
      <c r="BA91" s="189"/>
      <c r="BB91" s="189"/>
      <c r="BC91" s="189"/>
      <c r="BD91" s="189"/>
      <c r="BE91" s="189"/>
      <c r="BF91" s="189"/>
      <c r="BG91" s="189"/>
      <c r="BH91" s="189"/>
      <c r="BI91" s="190"/>
      <c r="BJ91" s="190"/>
      <c r="BK91" s="190"/>
      <c r="BL91" s="190"/>
      <c r="BM91" s="190"/>
      <c r="BN91" s="191"/>
      <c r="BO91" s="191"/>
      <c r="BP91" s="191"/>
      <c r="BQ91" s="191"/>
      <c r="BR91" s="191"/>
      <c r="BS91" s="191"/>
      <c r="BT91" s="190"/>
      <c r="BU91" s="190"/>
      <c r="BV91" s="190"/>
      <c r="BW91" s="190"/>
      <c r="BX91" s="190"/>
      <c r="BY91" s="190"/>
      <c r="BZ91" s="190"/>
      <c r="CA91" s="189"/>
      <c r="CB91" s="192"/>
    </row>
    <row r="92" spans="1:80" x14ac:dyDescent="0.2">
      <c r="A92" s="176"/>
      <c r="B92" s="642"/>
      <c r="C92" s="642"/>
      <c r="D92" s="693"/>
      <c r="E92" s="169"/>
      <c r="F92" s="169"/>
      <c r="G92" s="186"/>
      <c r="H92" s="187"/>
      <c r="I92" s="187"/>
      <c r="J92" s="187"/>
      <c r="K92" s="187"/>
      <c r="L92" s="647"/>
      <c r="M92" s="645">
        <v>35584</v>
      </c>
      <c r="N92" s="585">
        <v>0.77</v>
      </c>
      <c r="O92" s="585">
        <v>1.2409999999999999E-2</v>
      </c>
      <c r="P92" s="175">
        <v>0</v>
      </c>
      <c r="Q92" s="175">
        <v>0</v>
      </c>
      <c r="R92" s="175">
        <v>0</v>
      </c>
      <c r="S92" s="175">
        <v>9.8999999999999999E-4</v>
      </c>
      <c r="T92" s="175">
        <v>2.98E-3</v>
      </c>
      <c r="U92" s="175">
        <v>2.7899999999999999E-3</v>
      </c>
      <c r="V92" s="706">
        <v>5.6499999999999996E-3</v>
      </c>
      <c r="W92" s="717"/>
      <c r="X92" s="713"/>
      <c r="Y92" s="718"/>
      <c r="Z92" s="709">
        <v>15</v>
      </c>
      <c r="AA92" s="175"/>
      <c r="AB92" s="175"/>
      <c r="AC92" s="175">
        <v>6.0999999999999999E-2</v>
      </c>
      <c r="AD92" s="175">
        <v>2.91</v>
      </c>
      <c r="AE92" s="175">
        <v>0.28999999999999998</v>
      </c>
      <c r="AF92" s="178">
        <f t="shared" si="1"/>
        <v>0.84389999999999998</v>
      </c>
      <c r="AG92" s="178">
        <v>0.96</v>
      </c>
      <c r="AH92" s="333"/>
      <c r="AI92" s="188"/>
      <c r="AJ92" s="188"/>
      <c r="AK92" s="188"/>
      <c r="AL92" s="189"/>
      <c r="AM92" s="189"/>
      <c r="AN92" s="189"/>
      <c r="AO92" s="189"/>
      <c r="AP92" s="189"/>
      <c r="AQ92" s="189"/>
      <c r="AR92" s="189"/>
      <c r="AS92" s="189"/>
      <c r="AT92" s="189"/>
      <c r="AU92" s="190"/>
      <c r="AV92" s="190"/>
      <c r="AW92" s="190"/>
      <c r="AX92" s="190"/>
      <c r="AY92" s="190"/>
      <c r="AZ92" s="189"/>
      <c r="BA92" s="189"/>
      <c r="BB92" s="189"/>
      <c r="BC92" s="189"/>
      <c r="BD92" s="189"/>
      <c r="BE92" s="189"/>
      <c r="BF92" s="189"/>
      <c r="BG92" s="189"/>
      <c r="BH92" s="189"/>
      <c r="BI92" s="190"/>
      <c r="BJ92" s="190"/>
      <c r="BK92" s="190"/>
      <c r="BL92" s="190"/>
      <c r="BM92" s="190"/>
      <c r="BN92" s="191"/>
      <c r="BO92" s="191"/>
      <c r="BP92" s="191"/>
      <c r="BQ92" s="191"/>
      <c r="BR92" s="191"/>
      <c r="BS92" s="191"/>
      <c r="BT92" s="190"/>
      <c r="BU92" s="190"/>
      <c r="BV92" s="190"/>
      <c r="BW92" s="190"/>
      <c r="BX92" s="190"/>
      <c r="BY92" s="190"/>
      <c r="BZ92" s="190"/>
      <c r="CA92" s="189"/>
      <c r="CB92" s="192"/>
    </row>
    <row r="93" spans="1:80" x14ac:dyDescent="0.2">
      <c r="A93" s="176"/>
      <c r="B93" s="642"/>
      <c r="C93" s="642"/>
      <c r="D93" s="693"/>
      <c r="E93" s="169"/>
      <c r="F93" s="169"/>
      <c r="G93" s="186"/>
      <c r="H93" s="187"/>
      <c r="I93" s="187"/>
      <c r="J93" s="187"/>
      <c r="K93" s="187"/>
      <c r="L93" s="647"/>
      <c r="M93" s="645">
        <v>35585</v>
      </c>
      <c r="N93" s="585">
        <v>0.96</v>
      </c>
      <c r="O93" s="585">
        <v>4.5940000000000002E-2</v>
      </c>
      <c r="P93" s="175">
        <v>0</v>
      </c>
      <c r="Q93" s="175">
        <v>0</v>
      </c>
      <c r="R93" s="175">
        <v>3.8400000000000001E-3</v>
      </c>
      <c r="S93" s="175">
        <v>6.2599999999999999E-3</v>
      </c>
      <c r="T93" s="175">
        <v>1.112E-2</v>
      </c>
      <c r="U93" s="175">
        <v>8.9499999999999996E-3</v>
      </c>
      <c r="V93" s="706">
        <v>1.5769999999999999E-2</v>
      </c>
      <c r="W93" s="717"/>
      <c r="X93" s="713"/>
      <c r="Y93" s="718"/>
      <c r="Z93" s="709">
        <v>28</v>
      </c>
      <c r="AA93" s="175"/>
      <c r="AB93" s="175"/>
      <c r="AC93" s="175">
        <v>5.6899999999999999E-2</v>
      </c>
      <c r="AD93" s="175">
        <v>2.92</v>
      </c>
      <c r="AE93" s="175">
        <v>0.31</v>
      </c>
      <c r="AF93" s="178">
        <f t="shared" si="1"/>
        <v>0.9052</v>
      </c>
      <c r="AG93" s="178">
        <v>1.1000000000000001</v>
      </c>
      <c r="AH93" s="333"/>
      <c r="AI93" s="188"/>
      <c r="AJ93" s="188"/>
      <c r="AK93" s="188"/>
      <c r="AL93" s="189"/>
      <c r="AM93" s="189"/>
      <c r="AN93" s="189"/>
      <c r="AO93" s="189"/>
      <c r="AP93" s="189"/>
      <c r="AQ93" s="189"/>
      <c r="AR93" s="189"/>
      <c r="AS93" s="189"/>
      <c r="AT93" s="189"/>
      <c r="AU93" s="190"/>
      <c r="AV93" s="190"/>
      <c r="AW93" s="190"/>
      <c r="AX93" s="190"/>
      <c r="AY93" s="190"/>
      <c r="AZ93" s="189"/>
      <c r="BA93" s="189"/>
      <c r="BB93" s="189"/>
      <c r="BC93" s="189"/>
      <c r="BD93" s="189"/>
      <c r="BE93" s="189"/>
      <c r="BF93" s="189"/>
      <c r="BG93" s="189"/>
      <c r="BH93" s="189"/>
      <c r="BI93" s="190"/>
      <c r="BJ93" s="190"/>
      <c r="BK93" s="190"/>
      <c r="BL93" s="190"/>
      <c r="BM93" s="190"/>
      <c r="BN93" s="191"/>
      <c r="BO93" s="191"/>
      <c r="BP93" s="191"/>
      <c r="BQ93" s="191"/>
      <c r="BR93" s="191"/>
      <c r="BS93" s="191"/>
      <c r="BT93" s="190"/>
      <c r="BU93" s="190"/>
      <c r="BV93" s="190"/>
      <c r="BW93" s="190"/>
      <c r="BX93" s="190"/>
      <c r="BY93" s="190"/>
      <c r="BZ93" s="190"/>
      <c r="CA93" s="189"/>
      <c r="CB93" s="192"/>
    </row>
    <row r="94" spans="1:80" x14ac:dyDescent="0.2">
      <c r="A94" s="176"/>
      <c r="B94" s="642"/>
      <c r="C94" s="642"/>
      <c r="D94" s="693"/>
      <c r="E94" s="169"/>
      <c r="F94" s="169"/>
      <c r="G94" s="186"/>
      <c r="H94" s="187"/>
      <c r="I94" s="187"/>
      <c r="J94" s="187"/>
      <c r="K94" s="187"/>
      <c r="L94" s="647"/>
      <c r="M94" s="645">
        <v>35586</v>
      </c>
      <c r="N94" s="585">
        <v>0.89</v>
      </c>
      <c r="O94" s="585">
        <v>2.836E-2</v>
      </c>
      <c r="P94" s="175">
        <v>0</v>
      </c>
      <c r="Q94" s="175">
        <v>4.6699999999999997E-3</v>
      </c>
      <c r="R94" s="175">
        <v>1.92E-3</v>
      </c>
      <c r="S94" s="175">
        <v>4.0600000000000002E-3</v>
      </c>
      <c r="T94" s="175">
        <v>5.8199999999999997E-3</v>
      </c>
      <c r="U94" s="175">
        <v>4.47E-3</v>
      </c>
      <c r="V94" s="706">
        <v>7.4200000000000004E-3</v>
      </c>
      <c r="W94" s="717"/>
      <c r="X94" s="713"/>
      <c r="Y94" s="718"/>
      <c r="Z94" s="709">
        <v>51</v>
      </c>
      <c r="AA94" s="175"/>
      <c r="AB94" s="175"/>
      <c r="AC94" s="175">
        <v>5.7700000000000001E-2</v>
      </c>
      <c r="AD94" s="175">
        <v>2.91</v>
      </c>
      <c r="AE94" s="175">
        <v>0.27</v>
      </c>
      <c r="AF94" s="178">
        <f t="shared" si="1"/>
        <v>0.78570000000000007</v>
      </c>
      <c r="AG94" s="178">
        <v>1.1100000000000001</v>
      </c>
      <c r="AH94" s="333"/>
      <c r="AI94" s="188"/>
      <c r="AJ94" s="188"/>
      <c r="AK94" s="188"/>
      <c r="AL94" s="189"/>
      <c r="AM94" s="189"/>
      <c r="AN94" s="189"/>
      <c r="AO94" s="189"/>
      <c r="AP94" s="189"/>
      <c r="AQ94" s="189"/>
      <c r="AR94" s="189"/>
      <c r="AS94" s="189"/>
      <c r="AT94" s="189"/>
      <c r="AU94" s="190"/>
      <c r="AV94" s="190"/>
      <c r="AW94" s="190"/>
      <c r="AX94" s="190"/>
      <c r="AY94" s="190"/>
      <c r="AZ94" s="189"/>
      <c r="BA94" s="189"/>
      <c r="BB94" s="189"/>
      <c r="BC94" s="189"/>
      <c r="BD94" s="189"/>
      <c r="BE94" s="189"/>
      <c r="BF94" s="189"/>
      <c r="BG94" s="189"/>
      <c r="BH94" s="189"/>
      <c r="BI94" s="190"/>
      <c r="BJ94" s="190"/>
      <c r="BK94" s="190"/>
      <c r="BL94" s="190"/>
      <c r="BM94" s="190"/>
      <c r="BN94" s="191"/>
      <c r="BO94" s="191"/>
      <c r="BP94" s="191"/>
      <c r="BQ94" s="191"/>
      <c r="BR94" s="191"/>
      <c r="BS94" s="191"/>
      <c r="BT94" s="190"/>
      <c r="BU94" s="190"/>
      <c r="BV94" s="190"/>
      <c r="BW94" s="190"/>
      <c r="BX94" s="190"/>
      <c r="BY94" s="190"/>
      <c r="BZ94" s="190"/>
      <c r="CA94" s="189"/>
      <c r="CB94" s="192"/>
    </row>
    <row r="95" spans="1:80" x14ac:dyDescent="0.2">
      <c r="A95" s="176"/>
      <c r="B95" s="642"/>
      <c r="C95" s="642"/>
      <c r="D95" s="693"/>
      <c r="E95" s="169"/>
      <c r="F95" s="169"/>
      <c r="G95" s="186"/>
      <c r="H95" s="187"/>
      <c r="I95" s="187"/>
      <c r="J95" s="187"/>
      <c r="K95" s="187"/>
      <c r="L95" s="647"/>
      <c r="M95" s="645">
        <v>35590</v>
      </c>
      <c r="N95" s="585">
        <v>0.9</v>
      </c>
      <c r="O95" s="585">
        <v>8.6300000000000005E-3</v>
      </c>
      <c r="P95" s="175">
        <v>0</v>
      </c>
      <c r="Q95" s="175">
        <v>0</v>
      </c>
      <c r="R95" s="175">
        <v>3.8999999999999999E-4</v>
      </c>
      <c r="S95" s="175">
        <v>1E-3</v>
      </c>
      <c r="T95" s="175">
        <v>1.81E-3</v>
      </c>
      <c r="U95" s="175">
        <v>1.7099999999999999E-3</v>
      </c>
      <c r="V95" s="706">
        <v>3.7200000000000002E-3</v>
      </c>
      <c r="W95" s="717"/>
      <c r="X95" s="713"/>
      <c r="Y95" s="718"/>
      <c r="Z95" s="709">
        <v>16</v>
      </c>
      <c r="AA95" s="175"/>
      <c r="AB95" s="175"/>
      <c r="AC95" s="175">
        <v>5.5599999999999997E-2</v>
      </c>
      <c r="AD95" s="175">
        <v>2.94</v>
      </c>
      <c r="AE95" s="175">
        <v>0.26</v>
      </c>
      <c r="AF95" s="178">
        <f t="shared" si="1"/>
        <v>0.76439999999999997</v>
      </c>
      <c r="AG95" s="178">
        <v>1.02</v>
      </c>
      <c r="AH95" s="333"/>
      <c r="AI95" s="188"/>
      <c r="AJ95" s="188"/>
      <c r="AK95" s="188"/>
      <c r="AL95" s="189"/>
      <c r="AM95" s="189"/>
      <c r="AN95" s="189"/>
      <c r="AO95" s="189"/>
      <c r="AP95" s="189"/>
      <c r="AQ95" s="189"/>
      <c r="AR95" s="189"/>
      <c r="AS95" s="189"/>
      <c r="AT95" s="189"/>
      <c r="AU95" s="190"/>
      <c r="AV95" s="190"/>
      <c r="AW95" s="190"/>
      <c r="AX95" s="190"/>
      <c r="AY95" s="190"/>
      <c r="AZ95" s="189"/>
      <c r="BA95" s="189"/>
      <c r="BB95" s="189"/>
      <c r="BC95" s="189"/>
      <c r="BD95" s="189"/>
      <c r="BE95" s="189"/>
      <c r="BF95" s="189"/>
      <c r="BG95" s="189"/>
      <c r="BH95" s="189"/>
      <c r="BI95" s="190"/>
      <c r="BJ95" s="190"/>
      <c r="BK95" s="190"/>
      <c r="BL95" s="190"/>
      <c r="BM95" s="190"/>
      <c r="BN95" s="191"/>
      <c r="BO95" s="191"/>
      <c r="BP95" s="191"/>
      <c r="BQ95" s="191"/>
      <c r="BR95" s="191"/>
      <c r="BS95" s="191"/>
      <c r="BT95" s="190"/>
      <c r="BU95" s="190"/>
      <c r="BV95" s="190"/>
      <c r="BW95" s="190"/>
      <c r="BX95" s="190"/>
      <c r="BY95" s="190"/>
      <c r="BZ95" s="190"/>
      <c r="CA95" s="189"/>
      <c r="CB95" s="192"/>
    </row>
    <row r="96" spans="1:80" x14ac:dyDescent="0.2">
      <c r="A96" s="176"/>
      <c r="B96" s="642"/>
      <c r="C96" s="642"/>
      <c r="D96" s="693"/>
      <c r="E96" s="169"/>
      <c r="F96" s="169"/>
      <c r="G96" s="186"/>
      <c r="H96" s="187"/>
      <c r="I96" s="187"/>
      <c r="J96" s="187"/>
      <c r="K96" s="187"/>
      <c r="L96" s="647"/>
      <c r="M96" s="645">
        <v>35591</v>
      </c>
      <c r="N96" s="585">
        <v>0.9</v>
      </c>
      <c r="O96" s="585">
        <v>2.1489999999999999E-2</v>
      </c>
      <c r="P96" s="175">
        <v>0</v>
      </c>
      <c r="Q96" s="175">
        <v>0</v>
      </c>
      <c r="R96" s="175">
        <v>1.14E-3</v>
      </c>
      <c r="S96" s="175">
        <v>2.6099999999999999E-3</v>
      </c>
      <c r="T96" s="175">
        <v>5.0699999999999999E-3</v>
      </c>
      <c r="U96" s="175">
        <v>4.15E-3</v>
      </c>
      <c r="V96" s="706">
        <v>8.5299999999999994E-3</v>
      </c>
      <c r="W96" s="717"/>
      <c r="X96" s="713"/>
      <c r="Y96" s="718"/>
      <c r="Z96" s="709">
        <v>22</v>
      </c>
      <c r="AA96" s="175"/>
      <c r="AB96" s="175"/>
      <c r="AC96" s="175">
        <v>5.3600000000000002E-2</v>
      </c>
      <c r="AD96" s="175">
        <v>2.93</v>
      </c>
      <c r="AE96" s="175">
        <v>0.3</v>
      </c>
      <c r="AF96" s="178">
        <f t="shared" si="1"/>
        <v>0.879</v>
      </c>
      <c r="AG96" s="178">
        <v>1.06</v>
      </c>
      <c r="AH96" s="333"/>
      <c r="AI96" s="188"/>
      <c r="AJ96" s="188"/>
      <c r="AK96" s="188"/>
      <c r="AL96" s="189"/>
      <c r="AM96" s="189"/>
      <c r="AN96" s="189"/>
      <c r="AO96" s="189"/>
      <c r="AP96" s="189"/>
      <c r="AQ96" s="189"/>
      <c r="AR96" s="189"/>
      <c r="AS96" s="189"/>
      <c r="AT96" s="189"/>
      <c r="AU96" s="190"/>
      <c r="AV96" s="190"/>
      <c r="AW96" s="190"/>
      <c r="AX96" s="190"/>
      <c r="AY96" s="190"/>
      <c r="AZ96" s="189"/>
      <c r="BA96" s="189"/>
      <c r="BB96" s="189"/>
      <c r="BC96" s="189"/>
      <c r="BD96" s="189"/>
      <c r="BE96" s="189"/>
      <c r="BF96" s="189"/>
      <c r="BG96" s="189"/>
      <c r="BH96" s="189"/>
      <c r="BI96" s="190"/>
      <c r="BJ96" s="190"/>
      <c r="BK96" s="190"/>
      <c r="BL96" s="190"/>
      <c r="BM96" s="190"/>
      <c r="BN96" s="191"/>
      <c r="BO96" s="191"/>
      <c r="BP96" s="191"/>
      <c r="BQ96" s="191"/>
      <c r="BR96" s="191"/>
      <c r="BS96" s="191"/>
      <c r="BT96" s="190"/>
      <c r="BU96" s="190"/>
      <c r="BV96" s="190"/>
      <c r="BW96" s="190"/>
      <c r="BX96" s="190"/>
      <c r="BY96" s="190"/>
      <c r="BZ96" s="190"/>
      <c r="CA96" s="189"/>
      <c r="CB96" s="192"/>
    </row>
    <row r="97" spans="1:80" x14ac:dyDescent="0.2">
      <c r="A97" s="176"/>
      <c r="B97" s="642"/>
      <c r="C97" s="642"/>
      <c r="D97" s="693"/>
      <c r="E97" s="169"/>
      <c r="F97" s="169"/>
      <c r="G97" s="186"/>
      <c r="H97" s="187"/>
      <c r="I97" s="187"/>
      <c r="J97" s="187"/>
      <c r="K97" s="187"/>
      <c r="L97" s="647"/>
      <c r="M97" s="645">
        <v>35592</v>
      </c>
      <c r="N97" s="585">
        <v>0.88</v>
      </c>
      <c r="O97" s="585">
        <v>2.2579999999999999E-2</v>
      </c>
      <c r="P97" s="175">
        <v>0</v>
      </c>
      <c r="Q97" s="175">
        <v>0</v>
      </c>
      <c r="R97" s="175">
        <v>1.8000000000000001E-4</v>
      </c>
      <c r="S97" s="175">
        <v>3.65E-3</v>
      </c>
      <c r="T97" s="175">
        <v>6.2899999999999996E-3</v>
      </c>
      <c r="U97" s="175">
        <v>3.8400000000000001E-3</v>
      </c>
      <c r="V97" s="706">
        <v>8.6099999999999996E-3</v>
      </c>
      <c r="W97" s="717"/>
      <c r="X97" s="713"/>
      <c r="Y97" s="718"/>
      <c r="Z97" s="709">
        <v>16</v>
      </c>
      <c r="AA97" s="175"/>
      <c r="AB97" s="175"/>
      <c r="AC97" s="175">
        <v>5.2299999999999999E-2</v>
      </c>
      <c r="AD97" s="175">
        <v>2.93</v>
      </c>
      <c r="AE97" s="175">
        <v>0.28999999999999998</v>
      </c>
      <c r="AF97" s="178">
        <f t="shared" si="1"/>
        <v>0.84970000000000001</v>
      </c>
      <c r="AG97" s="178">
        <v>1</v>
      </c>
      <c r="AH97" s="333"/>
      <c r="AI97" s="188"/>
      <c r="AJ97" s="188"/>
      <c r="AK97" s="188"/>
      <c r="AL97" s="189"/>
      <c r="AM97" s="189"/>
      <c r="AN97" s="189"/>
      <c r="AO97" s="189"/>
      <c r="AP97" s="189"/>
      <c r="AQ97" s="189"/>
      <c r="AR97" s="189"/>
      <c r="AS97" s="189"/>
      <c r="AT97" s="189"/>
      <c r="AU97" s="190"/>
      <c r="AV97" s="190"/>
      <c r="AW97" s="190"/>
      <c r="AX97" s="190"/>
      <c r="AY97" s="190"/>
      <c r="AZ97" s="189"/>
      <c r="BA97" s="189"/>
      <c r="BB97" s="189"/>
      <c r="BC97" s="189"/>
      <c r="BD97" s="189"/>
      <c r="BE97" s="189"/>
      <c r="BF97" s="189"/>
      <c r="BG97" s="189"/>
      <c r="BH97" s="189"/>
      <c r="BI97" s="190"/>
      <c r="BJ97" s="190"/>
      <c r="BK97" s="190"/>
      <c r="BL97" s="190"/>
      <c r="BM97" s="190"/>
      <c r="BN97" s="191"/>
      <c r="BO97" s="191"/>
      <c r="BP97" s="191"/>
      <c r="BQ97" s="191"/>
      <c r="BR97" s="191"/>
      <c r="BS97" s="191"/>
      <c r="BT97" s="190"/>
      <c r="BU97" s="190"/>
      <c r="BV97" s="190"/>
      <c r="BW97" s="190"/>
      <c r="BX97" s="190"/>
      <c r="BY97" s="190"/>
      <c r="BZ97" s="190"/>
      <c r="CA97" s="189"/>
      <c r="CB97" s="192"/>
    </row>
    <row r="98" spans="1:80" x14ac:dyDescent="0.2">
      <c r="A98" s="176"/>
      <c r="B98" s="642"/>
      <c r="C98" s="642"/>
      <c r="D98" s="693"/>
      <c r="E98" s="169"/>
      <c r="F98" s="169"/>
      <c r="G98" s="186"/>
      <c r="H98" s="187"/>
      <c r="I98" s="187"/>
      <c r="J98" s="187"/>
      <c r="K98" s="187"/>
      <c r="L98" s="647"/>
      <c r="M98" s="645">
        <v>35593</v>
      </c>
      <c r="N98" s="585">
        <v>0.94</v>
      </c>
      <c r="O98" s="585">
        <v>2.5499999999999998E-2</v>
      </c>
      <c r="P98" s="175">
        <v>0</v>
      </c>
      <c r="Q98" s="175">
        <v>0</v>
      </c>
      <c r="R98" s="175">
        <v>2.5200000000000001E-3</v>
      </c>
      <c r="S98" s="175">
        <v>4.5199999999999997E-3</v>
      </c>
      <c r="T98" s="175">
        <v>6.0099999999999997E-3</v>
      </c>
      <c r="U98" s="175">
        <v>3.4399999999999999E-3</v>
      </c>
      <c r="V98" s="706">
        <v>8.9999999999999993E-3</v>
      </c>
      <c r="W98" s="717"/>
      <c r="X98" s="713"/>
      <c r="Y98" s="718"/>
      <c r="Z98" s="709">
        <v>36</v>
      </c>
      <c r="AA98" s="175"/>
      <c r="AB98" s="175"/>
      <c r="AC98" s="175">
        <v>5.33E-2</v>
      </c>
      <c r="AD98" s="175">
        <v>2.9</v>
      </c>
      <c r="AE98" s="175">
        <v>0.28000000000000003</v>
      </c>
      <c r="AF98" s="178">
        <f t="shared" si="1"/>
        <v>0.81200000000000006</v>
      </c>
      <c r="AG98" s="178">
        <v>1.1000000000000001</v>
      </c>
      <c r="AH98" s="333"/>
      <c r="AI98" s="188"/>
      <c r="AJ98" s="188"/>
      <c r="AK98" s="188"/>
      <c r="AL98" s="189"/>
      <c r="AM98" s="189"/>
      <c r="AN98" s="189"/>
      <c r="AO98" s="189"/>
      <c r="AP98" s="189"/>
      <c r="AQ98" s="189"/>
      <c r="AR98" s="189"/>
      <c r="AS98" s="189"/>
      <c r="AT98" s="189"/>
      <c r="AU98" s="190"/>
      <c r="AV98" s="190"/>
      <c r="AW98" s="190"/>
      <c r="AX98" s="190"/>
      <c r="AY98" s="190"/>
      <c r="AZ98" s="189"/>
      <c r="BA98" s="189"/>
      <c r="BB98" s="189"/>
      <c r="BC98" s="189"/>
      <c r="BD98" s="189"/>
      <c r="BE98" s="189"/>
      <c r="BF98" s="189"/>
      <c r="BG98" s="189"/>
      <c r="BH98" s="189"/>
      <c r="BI98" s="190"/>
      <c r="BJ98" s="190"/>
      <c r="BK98" s="190"/>
      <c r="BL98" s="190"/>
      <c r="BM98" s="190"/>
      <c r="BN98" s="191"/>
      <c r="BO98" s="191"/>
      <c r="BP98" s="191"/>
      <c r="BQ98" s="191"/>
      <c r="BR98" s="191"/>
      <c r="BS98" s="191"/>
      <c r="BT98" s="190"/>
      <c r="BU98" s="190"/>
      <c r="BV98" s="190"/>
      <c r="BW98" s="190"/>
      <c r="BX98" s="190"/>
      <c r="BY98" s="190"/>
      <c r="BZ98" s="190"/>
      <c r="CA98" s="189"/>
      <c r="CB98" s="192"/>
    </row>
    <row r="99" spans="1:80" x14ac:dyDescent="0.2">
      <c r="A99" s="176"/>
      <c r="B99" s="642"/>
      <c r="C99" s="642"/>
      <c r="D99" s="693"/>
      <c r="E99" s="169"/>
      <c r="F99" s="169"/>
      <c r="G99" s="186"/>
      <c r="H99" s="187"/>
      <c r="I99" s="187"/>
      <c r="J99" s="187"/>
      <c r="K99" s="187"/>
      <c r="L99" s="647"/>
      <c r="M99" s="645">
        <v>35594</v>
      </c>
      <c r="N99" s="585">
        <v>0.92</v>
      </c>
      <c r="O99" s="585">
        <v>2.401E-2</v>
      </c>
      <c r="P99" s="175">
        <v>0</v>
      </c>
      <c r="Q99" s="175">
        <v>0</v>
      </c>
      <c r="R99" s="175">
        <v>2.0100000000000001E-3</v>
      </c>
      <c r="S99" s="175">
        <v>4.3200000000000001E-3</v>
      </c>
      <c r="T99" s="175">
        <v>5.1599999999999997E-3</v>
      </c>
      <c r="U99" s="175">
        <v>4.1700000000000001E-3</v>
      </c>
      <c r="V99" s="706">
        <v>8.3499999999999998E-3</v>
      </c>
      <c r="W99" s="717"/>
      <c r="X99" s="713"/>
      <c r="Y99" s="718"/>
      <c r="Z99" s="709">
        <v>24</v>
      </c>
      <c r="AA99" s="175"/>
      <c r="AB99" s="175"/>
      <c r="AC99" s="175">
        <v>5.5899999999999998E-2</v>
      </c>
      <c r="AD99" s="175">
        <v>2.94</v>
      </c>
      <c r="AE99" s="175">
        <v>0.28999999999999998</v>
      </c>
      <c r="AF99" s="178">
        <f t="shared" si="1"/>
        <v>0.85259999999999991</v>
      </c>
      <c r="AG99" s="178">
        <v>1.07</v>
      </c>
      <c r="AH99" s="333"/>
      <c r="AI99" s="188"/>
      <c r="AJ99" s="188"/>
      <c r="AK99" s="188"/>
      <c r="AL99" s="189"/>
      <c r="AM99" s="189"/>
      <c r="AN99" s="189"/>
      <c r="AO99" s="189"/>
      <c r="AP99" s="189"/>
      <c r="AQ99" s="189"/>
      <c r="AR99" s="189"/>
      <c r="AS99" s="189"/>
      <c r="AT99" s="189"/>
      <c r="AU99" s="190"/>
      <c r="AV99" s="190"/>
      <c r="AW99" s="190"/>
      <c r="AX99" s="190"/>
      <c r="AY99" s="190"/>
      <c r="AZ99" s="189"/>
      <c r="BA99" s="189"/>
      <c r="BB99" s="189"/>
      <c r="BC99" s="189"/>
      <c r="BD99" s="189"/>
      <c r="BE99" s="189"/>
      <c r="BF99" s="189"/>
      <c r="BG99" s="189"/>
      <c r="BH99" s="189"/>
      <c r="BI99" s="190"/>
      <c r="BJ99" s="190"/>
      <c r="BK99" s="190"/>
      <c r="BL99" s="190"/>
      <c r="BM99" s="190"/>
      <c r="BN99" s="191"/>
      <c r="BO99" s="191"/>
      <c r="BP99" s="191"/>
      <c r="BQ99" s="191"/>
      <c r="BR99" s="191"/>
      <c r="BS99" s="191"/>
      <c r="BT99" s="190"/>
      <c r="BU99" s="190"/>
      <c r="BV99" s="190"/>
      <c r="BW99" s="190"/>
      <c r="BX99" s="190"/>
      <c r="BY99" s="190"/>
      <c r="BZ99" s="190"/>
      <c r="CA99" s="189"/>
      <c r="CB99" s="192"/>
    </row>
    <row r="100" spans="1:80" x14ac:dyDescent="0.2">
      <c r="A100" s="176"/>
      <c r="B100" s="642"/>
      <c r="C100" s="642"/>
      <c r="D100" s="693"/>
      <c r="E100" s="169"/>
      <c r="F100" s="169"/>
      <c r="G100" s="186"/>
      <c r="H100" s="187"/>
      <c r="I100" s="187"/>
      <c r="J100" s="187"/>
      <c r="K100" s="187"/>
      <c r="L100" s="647"/>
      <c r="M100" s="645">
        <v>35597</v>
      </c>
      <c r="N100" s="585">
        <v>0.88</v>
      </c>
      <c r="O100" s="585">
        <v>4.6249999999999999E-2</v>
      </c>
      <c r="P100" s="175">
        <v>0</v>
      </c>
      <c r="Q100" s="175">
        <v>0</v>
      </c>
      <c r="R100" s="175">
        <v>5.6299999999999996E-3</v>
      </c>
      <c r="S100" s="175">
        <v>1.004E-2</v>
      </c>
      <c r="T100" s="175">
        <v>1.0659999999999999E-2</v>
      </c>
      <c r="U100" s="175">
        <v>7.4700000000000001E-3</v>
      </c>
      <c r="V100" s="706">
        <v>1.2449999999999999E-2</v>
      </c>
      <c r="W100" s="717"/>
      <c r="X100" s="713"/>
      <c r="Y100" s="718"/>
      <c r="Z100" s="709">
        <v>32</v>
      </c>
      <c r="AA100" s="175"/>
      <c r="AB100" s="175"/>
      <c r="AC100" s="175">
        <v>5.62E-2</v>
      </c>
      <c r="AD100" s="175">
        <v>2.94</v>
      </c>
      <c r="AE100" s="175">
        <v>0.28000000000000003</v>
      </c>
      <c r="AF100" s="178">
        <f t="shared" si="1"/>
        <v>0.82320000000000004</v>
      </c>
      <c r="AG100" s="178">
        <v>1.1599999999999999</v>
      </c>
      <c r="AH100" s="333"/>
      <c r="AI100" s="188"/>
      <c r="AJ100" s="188"/>
      <c r="AK100" s="188"/>
      <c r="AL100" s="189"/>
      <c r="AM100" s="189"/>
      <c r="AN100" s="189"/>
      <c r="AO100" s="189"/>
      <c r="AP100" s="189"/>
      <c r="AQ100" s="189"/>
      <c r="AR100" s="189"/>
      <c r="AS100" s="189"/>
      <c r="AT100" s="189"/>
      <c r="AU100" s="190"/>
      <c r="AV100" s="190"/>
      <c r="AW100" s="190"/>
      <c r="AX100" s="190"/>
      <c r="AY100" s="190"/>
      <c r="AZ100" s="189"/>
      <c r="BA100" s="189"/>
      <c r="BB100" s="189"/>
      <c r="BC100" s="189"/>
      <c r="BD100" s="189"/>
      <c r="BE100" s="189"/>
      <c r="BF100" s="189"/>
      <c r="BG100" s="189"/>
      <c r="BH100" s="189"/>
      <c r="BI100" s="190"/>
      <c r="BJ100" s="190"/>
      <c r="BK100" s="190"/>
      <c r="BL100" s="190"/>
      <c r="BM100" s="190"/>
      <c r="BN100" s="191"/>
      <c r="BO100" s="191"/>
      <c r="BP100" s="191"/>
      <c r="BQ100" s="191"/>
      <c r="BR100" s="191"/>
      <c r="BS100" s="191"/>
      <c r="BT100" s="190"/>
      <c r="BU100" s="190"/>
      <c r="BV100" s="190"/>
      <c r="BW100" s="190"/>
      <c r="BX100" s="190"/>
      <c r="BY100" s="190"/>
      <c r="BZ100" s="190"/>
      <c r="CA100" s="189"/>
      <c r="CB100" s="192"/>
    </row>
    <row r="101" spans="1:80" x14ac:dyDescent="0.2">
      <c r="A101" s="176"/>
      <c r="B101" s="642"/>
      <c r="C101" s="642"/>
      <c r="D101" s="693"/>
      <c r="E101" s="169"/>
      <c r="F101" s="169"/>
      <c r="G101" s="186"/>
      <c r="H101" s="187"/>
      <c r="I101" s="187"/>
      <c r="J101" s="187"/>
      <c r="K101" s="187"/>
      <c r="L101" s="647"/>
      <c r="M101" s="645">
        <v>35598</v>
      </c>
      <c r="N101" s="585">
        <v>0.81</v>
      </c>
      <c r="O101" s="585">
        <v>2.4160000000000001E-2</v>
      </c>
      <c r="P101" s="175">
        <v>0</v>
      </c>
      <c r="Q101" s="175">
        <v>0</v>
      </c>
      <c r="R101" s="175">
        <v>8.4000000000000003E-4</v>
      </c>
      <c r="S101" s="175">
        <v>5.3699999999999998E-3</v>
      </c>
      <c r="T101" s="175">
        <v>5.7400000000000003E-3</v>
      </c>
      <c r="U101" s="175">
        <v>4.0400000000000002E-3</v>
      </c>
      <c r="V101" s="706">
        <v>8.1700000000000002E-3</v>
      </c>
      <c r="W101" s="717"/>
      <c r="X101" s="713"/>
      <c r="Y101" s="718"/>
      <c r="Z101" s="709">
        <v>22</v>
      </c>
      <c r="AA101" s="175"/>
      <c r="AB101" s="175"/>
      <c r="AC101" s="175">
        <v>5.1700000000000003E-2</v>
      </c>
      <c r="AD101" s="175">
        <v>2.95</v>
      </c>
      <c r="AE101" s="175">
        <v>0.25</v>
      </c>
      <c r="AF101" s="178">
        <f t="shared" si="1"/>
        <v>0.73750000000000004</v>
      </c>
      <c r="AG101" s="178">
        <v>1.0900000000000001</v>
      </c>
      <c r="AH101" s="333"/>
      <c r="AI101" s="188"/>
      <c r="AJ101" s="188"/>
      <c r="AK101" s="188"/>
      <c r="AL101" s="189"/>
      <c r="AM101" s="189"/>
      <c r="AN101" s="189"/>
      <c r="AO101" s="189"/>
      <c r="AP101" s="189"/>
      <c r="AQ101" s="189"/>
      <c r="AR101" s="189"/>
      <c r="AS101" s="189"/>
      <c r="AT101" s="189"/>
      <c r="AU101" s="190"/>
      <c r="AV101" s="190"/>
      <c r="AW101" s="190"/>
      <c r="AX101" s="190"/>
      <c r="AY101" s="190"/>
      <c r="AZ101" s="189"/>
      <c r="BA101" s="189"/>
      <c r="BB101" s="189"/>
      <c r="BC101" s="189"/>
      <c r="BD101" s="189"/>
      <c r="BE101" s="189"/>
      <c r="BF101" s="189"/>
      <c r="BG101" s="189"/>
      <c r="BH101" s="189"/>
      <c r="BI101" s="190"/>
      <c r="BJ101" s="190"/>
      <c r="BK101" s="190"/>
      <c r="BL101" s="190"/>
      <c r="BM101" s="190"/>
      <c r="BN101" s="191"/>
      <c r="BO101" s="191"/>
      <c r="BP101" s="191"/>
      <c r="BQ101" s="191"/>
      <c r="BR101" s="191"/>
      <c r="BS101" s="191"/>
      <c r="BT101" s="190"/>
      <c r="BU101" s="190"/>
      <c r="BV101" s="190"/>
      <c r="BW101" s="190"/>
      <c r="BX101" s="190"/>
      <c r="BY101" s="190"/>
      <c r="BZ101" s="190"/>
      <c r="CA101" s="189"/>
      <c r="CB101" s="192"/>
    </row>
    <row r="102" spans="1:80" x14ac:dyDescent="0.2">
      <c r="A102" s="176"/>
      <c r="B102" s="642"/>
      <c r="C102" s="642"/>
      <c r="D102" s="693"/>
      <c r="E102" s="169"/>
      <c r="F102" s="169"/>
      <c r="G102" s="186"/>
      <c r="H102" s="187"/>
      <c r="I102" s="187"/>
      <c r="J102" s="187"/>
      <c r="K102" s="187"/>
      <c r="L102" s="647"/>
      <c r="M102" s="645">
        <v>35599</v>
      </c>
      <c r="N102" s="585">
        <v>0.96</v>
      </c>
      <c r="O102" s="585">
        <v>5.525E-2</v>
      </c>
      <c r="P102" s="175">
        <v>0</v>
      </c>
      <c r="Q102" s="175">
        <v>0</v>
      </c>
      <c r="R102" s="175">
        <v>6.4000000000000003E-3</v>
      </c>
      <c r="S102" s="175">
        <v>1.192E-2</v>
      </c>
      <c r="T102" s="175">
        <v>1.218E-2</v>
      </c>
      <c r="U102" s="175">
        <v>9.2999999999999992E-3</v>
      </c>
      <c r="V102" s="706">
        <v>1.545E-2</v>
      </c>
      <c r="W102" s="717"/>
      <c r="X102" s="713"/>
      <c r="Y102" s="718"/>
      <c r="Z102" s="709">
        <v>31</v>
      </c>
      <c r="AA102" s="175"/>
      <c r="AB102" s="175"/>
      <c r="AC102" s="175">
        <v>5.7000000000000002E-2</v>
      </c>
      <c r="AD102" s="175">
        <v>2.89</v>
      </c>
      <c r="AE102" s="175">
        <v>0.28999999999999998</v>
      </c>
      <c r="AF102" s="178">
        <f t="shared" si="1"/>
        <v>0.83809999999999996</v>
      </c>
      <c r="AG102" s="178">
        <v>1.1399999999999999</v>
      </c>
      <c r="AH102" s="333"/>
      <c r="AI102" s="188"/>
      <c r="AJ102" s="188"/>
      <c r="AK102" s="188"/>
      <c r="AL102" s="189"/>
      <c r="AM102" s="189"/>
      <c r="AN102" s="189"/>
      <c r="AO102" s="189"/>
      <c r="AP102" s="189"/>
      <c r="AQ102" s="189"/>
      <c r="AR102" s="189"/>
      <c r="AS102" s="189"/>
      <c r="AT102" s="189"/>
      <c r="AU102" s="190"/>
      <c r="AV102" s="190"/>
      <c r="AW102" s="190"/>
      <c r="AX102" s="190"/>
      <c r="AY102" s="190"/>
      <c r="AZ102" s="189"/>
      <c r="BA102" s="189"/>
      <c r="BB102" s="189"/>
      <c r="BC102" s="189"/>
      <c r="BD102" s="189"/>
      <c r="BE102" s="189"/>
      <c r="BF102" s="189"/>
      <c r="BG102" s="189"/>
      <c r="BH102" s="189"/>
      <c r="BI102" s="190"/>
      <c r="BJ102" s="190"/>
      <c r="BK102" s="190"/>
      <c r="BL102" s="190"/>
      <c r="BM102" s="190"/>
      <c r="BN102" s="191"/>
      <c r="BO102" s="191"/>
      <c r="BP102" s="191"/>
      <c r="BQ102" s="191"/>
      <c r="BR102" s="191"/>
      <c r="BS102" s="191"/>
      <c r="BT102" s="190"/>
      <c r="BU102" s="190"/>
      <c r="BV102" s="190"/>
      <c r="BW102" s="190"/>
      <c r="BX102" s="190"/>
      <c r="BY102" s="190"/>
      <c r="BZ102" s="190"/>
      <c r="CA102" s="189"/>
      <c r="CB102" s="192"/>
    </row>
    <row r="103" spans="1:80" x14ac:dyDescent="0.2">
      <c r="A103" s="176"/>
      <c r="B103" s="642"/>
      <c r="C103" s="642"/>
      <c r="D103" s="693"/>
      <c r="E103" s="169"/>
      <c r="F103" s="169"/>
      <c r="G103" s="186"/>
      <c r="H103" s="187"/>
      <c r="I103" s="187"/>
      <c r="J103" s="187"/>
      <c r="K103" s="187"/>
      <c r="L103" s="647"/>
      <c r="M103" s="645">
        <v>35600</v>
      </c>
      <c r="N103" s="585">
        <v>1.24</v>
      </c>
      <c r="O103" s="585">
        <v>6.0769999999999998E-2</v>
      </c>
      <c r="P103" s="175">
        <v>0</v>
      </c>
      <c r="Q103" s="175">
        <v>9.6399999999999993E-3</v>
      </c>
      <c r="R103" s="175">
        <v>5.6299999999999996E-3</v>
      </c>
      <c r="S103" s="175">
        <v>7.3000000000000001E-3</v>
      </c>
      <c r="T103" s="175">
        <v>1.0840000000000001E-2</v>
      </c>
      <c r="U103" s="175">
        <v>8.3099999999999997E-3</v>
      </c>
      <c r="V103" s="706">
        <v>1.9060000000000001E-2</v>
      </c>
      <c r="W103" s="717"/>
      <c r="X103" s="713"/>
      <c r="Y103" s="718"/>
      <c r="Z103" s="709">
        <v>78</v>
      </c>
      <c r="AA103" s="175"/>
      <c r="AB103" s="175"/>
      <c r="AC103" s="175">
        <v>5.4800000000000001E-2</v>
      </c>
      <c r="AD103" s="175">
        <v>2.92</v>
      </c>
      <c r="AE103" s="175">
        <v>0.38</v>
      </c>
      <c r="AF103" s="178">
        <f t="shared" si="1"/>
        <v>1.1095999999999999</v>
      </c>
      <c r="AG103" s="178">
        <v>1.32</v>
      </c>
      <c r="AH103" s="333"/>
      <c r="AI103" s="188"/>
      <c r="AJ103" s="188"/>
      <c r="AK103" s="188"/>
      <c r="AL103" s="189"/>
      <c r="AM103" s="189"/>
      <c r="AN103" s="189"/>
      <c r="AO103" s="189"/>
      <c r="AP103" s="189"/>
      <c r="AQ103" s="189"/>
      <c r="AR103" s="189"/>
      <c r="AS103" s="189"/>
      <c r="AT103" s="189"/>
      <c r="AU103" s="190"/>
      <c r="AV103" s="190"/>
      <c r="AW103" s="190"/>
      <c r="AX103" s="190"/>
      <c r="AY103" s="190"/>
      <c r="AZ103" s="189"/>
      <c r="BA103" s="189"/>
      <c r="BB103" s="189"/>
      <c r="BC103" s="189"/>
      <c r="BD103" s="189"/>
      <c r="BE103" s="189"/>
      <c r="BF103" s="189"/>
      <c r="BG103" s="189"/>
      <c r="BH103" s="189"/>
      <c r="BI103" s="190"/>
      <c r="BJ103" s="190"/>
      <c r="BK103" s="190"/>
      <c r="BL103" s="190"/>
      <c r="BM103" s="190"/>
      <c r="BN103" s="191"/>
      <c r="BO103" s="191"/>
      <c r="BP103" s="191"/>
      <c r="BQ103" s="191"/>
      <c r="BR103" s="191"/>
      <c r="BS103" s="191"/>
      <c r="BT103" s="190"/>
      <c r="BU103" s="190"/>
      <c r="BV103" s="190"/>
      <c r="BW103" s="190"/>
      <c r="BX103" s="190"/>
      <c r="BY103" s="190"/>
      <c r="BZ103" s="190"/>
      <c r="CA103" s="189"/>
      <c r="CB103" s="192"/>
    </row>
    <row r="104" spans="1:80" x14ac:dyDescent="0.2">
      <c r="A104" s="176"/>
      <c r="B104" s="642"/>
      <c r="C104" s="642"/>
      <c r="D104" s="693"/>
      <c r="E104" s="169"/>
      <c r="F104" s="169"/>
      <c r="G104" s="186"/>
      <c r="H104" s="187"/>
      <c r="I104" s="187"/>
      <c r="J104" s="187"/>
      <c r="K104" s="187"/>
      <c r="L104" s="647"/>
      <c r="M104" s="645">
        <v>35601</v>
      </c>
      <c r="N104" s="585">
        <v>1.1000000000000001</v>
      </c>
      <c r="O104" s="585">
        <v>6.2440000000000002E-2</v>
      </c>
      <c r="P104" s="175">
        <v>0</v>
      </c>
      <c r="Q104" s="175">
        <v>3.3500000000000001E-3</v>
      </c>
      <c r="R104" s="175">
        <v>9.5099999999999994E-3</v>
      </c>
      <c r="S104" s="175">
        <v>1.3169999999999999E-2</v>
      </c>
      <c r="T104" s="175">
        <v>1.319E-2</v>
      </c>
      <c r="U104" s="175">
        <v>1.0410000000000001E-2</v>
      </c>
      <c r="V104" s="706">
        <v>1.282E-2</v>
      </c>
      <c r="W104" s="717"/>
      <c r="X104" s="713"/>
      <c r="Y104" s="718"/>
      <c r="Z104" s="709">
        <v>50</v>
      </c>
      <c r="AA104" s="175"/>
      <c r="AB104" s="175"/>
      <c r="AC104" s="175">
        <v>5.7299999999999997E-2</v>
      </c>
      <c r="AD104" s="175">
        <v>2.94</v>
      </c>
      <c r="AE104" s="175">
        <v>0.33</v>
      </c>
      <c r="AF104" s="178">
        <f t="shared" si="1"/>
        <v>0.97020000000000006</v>
      </c>
      <c r="AG104" s="178">
        <v>1.17</v>
      </c>
      <c r="AH104" s="333"/>
      <c r="AI104" s="188"/>
      <c r="AJ104" s="188"/>
      <c r="AK104" s="188"/>
      <c r="AL104" s="189"/>
      <c r="AM104" s="189"/>
      <c r="AN104" s="189"/>
      <c r="AO104" s="189"/>
      <c r="AP104" s="189"/>
      <c r="AQ104" s="189"/>
      <c r="AR104" s="189"/>
      <c r="AS104" s="189"/>
      <c r="AT104" s="189"/>
      <c r="AU104" s="190"/>
      <c r="AV104" s="190"/>
      <c r="AW104" s="190"/>
      <c r="AX104" s="190"/>
      <c r="AY104" s="190"/>
      <c r="AZ104" s="189"/>
      <c r="BA104" s="189"/>
      <c r="BB104" s="189"/>
      <c r="BC104" s="189"/>
      <c r="BD104" s="189"/>
      <c r="BE104" s="189"/>
      <c r="BF104" s="189"/>
      <c r="BG104" s="189"/>
      <c r="BH104" s="189"/>
      <c r="BI104" s="190"/>
      <c r="BJ104" s="190"/>
      <c r="BK104" s="190"/>
      <c r="BL104" s="190"/>
      <c r="BM104" s="190"/>
      <c r="BN104" s="191"/>
      <c r="BO104" s="191"/>
      <c r="BP104" s="191"/>
      <c r="BQ104" s="191"/>
      <c r="BR104" s="191"/>
      <c r="BS104" s="191"/>
      <c r="BT104" s="190"/>
      <c r="BU104" s="190"/>
      <c r="BV104" s="190"/>
      <c r="BW104" s="190"/>
      <c r="BX104" s="190"/>
      <c r="BY104" s="190"/>
      <c r="BZ104" s="190"/>
      <c r="CA104" s="189"/>
      <c r="CB104" s="192"/>
    </row>
    <row r="105" spans="1:80" x14ac:dyDescent="0.2">
      <c r="A105" s="176"/>
      <c r="B105" s="642"/>
      <c r="C105" s="642"/>
      <c r="D105" s="693"/>
      <c r="E105" s="169"/>
      <c r="F105" s="169"/>
      <c r="G105" s="186"/>
      <c r="H105" s="187"/>
      <c r="I105" s="187"/>
      <c r="J105" s="187"/>
      <c r="K105" s="187"/>
      <c r="L105" s="647"/>
      <c r="M105" s="645">
        <v>35601</v>
      </c>
      <c r="N105" s="585">
        <v>1.2</v>
      </c>
      <c r="O105" s="585">
        <v>2.9659999999999999E-2</v>
      </c>
      <c r="P105" s="175">
        <v>0</v>
      </c>
      <c r="Q105" s="175">
        <v>0</v>
      </c>
      <c r="R105" s="175">
        <v>5.1399999999999996E-3</v>
      </c>
      <c r="S105" s="175">
        <v>6.3699999999999998E-3</v>
      </c>
      <c r="T105" s="175">
        <v>4.4299999999999999E-3</v>
      </c>
      <c r="U105" s="175">
        <v>3.81E-3</v>
      </c>
      <c r="V105" s="706">
        <v>9.9000000000000008E-3</v>
      </c>
      <c r="W105" s="717"/>
      <c r="X105" s="713"/>
      <c r="Y105" s="718"/>
      <c r="Z105" s="709">
        <v>27</v>
      </c>
      <c r="AA105" s="175"/>
      <c r="AB105" s="175"/>
      <c r="AC105" s="175">
        <v>5.4899999999999997E-2</v>
      </c>
      <c r="AD105" s="175">
        <v>2.94</v>
      </c>
      <c r="AE105" s="175">
        <v>0.37</v>
      </c>
      <c r="AF105" s="178">
        <f t="shared" si="1"/>
        <v>1.0877999999999999</v>
      </c>
      <c r="AG105" s="178">
        <v>1.1200000000000001</v>
      </c>
      <c r="AH105" s="333"/>
      <c r="AI105" s="188"/>
      <c r="AJ105" s="188"/>
      <c r="AK105" s="188"/>
      <c r="AL105" s="189"/>
      <c r="AM105" s="189"/>
      <c r="AN105" s="189"/>
      <c r="AO105" s="189"/>
      <c r="AP105" s="189"/>
      <c r="AQ105" s="189"/>
      <c r="AR105" s="189"/>
      <c r="AS105" s="189"/>
      <c r="AT105" s="189"/>
      <c r="AU105" s="190"/>
      <c r="AV105" s="190"/>
      <c r="AW105" s="190"/>
      <c r="AX105" s="190"/>
      <c r="AY105" s="190"/>
      <c r="AZ105" s="189"/>
      <c r="BA105" s="189"/>
      <c r="BB105" s="189"/>
      <c r="BC105" s="189"/>
      <c r="BD105" s="189"/>
      <c r="BE105" s="189"/>
      <c r="BF105" s="189"/>
      <c r="BG105" s="189"/>
      <c r="BH105" s="189"/>
      <c r="BI105" s="190"/>
      <c r="BJ105" s="190"/>
      <c r="BK105" s="190"/>
      <c r="BL105" s="190"/>
      <c r="BM105" s="190"/>
      <c r="BN105" s="191"/>
      <c r="BO105" s="191"/>
      <c r="BP105" s="191"/>
      <c r="BQ105" s="191"/>
      <c r="BR105" s="191"/>
      <c r="BS105" s="191"/>
      <c r="BT105" s="190"/>
      <c r="BU105" s="190"/>
      <c r="BV105" s="190"/>
      <c r="BW105" s="190"/>
      <c r="BX105" s="190"/>
      <c r="BY105" s="190"/>
      <c r="BZ105" s="190"/>
      <c r="CA105" s="189"/>
      <c r="CB105" s="192"/>
    </row>
    <row r="106" spans="1:80" x14ac:dyDescent="0.2">
      <c r="A106" s="176"/>
      <c r="B106" s="642"/>
      <c r="C106" s="642"/>
      <c r="D106" s="693"/>
      <c r="E106" s="169"/>
      <c r="F106" s="169"/>
      <c r="G106" s="186"/>
      <c r="H106" s="187"/>
      <c r="I106" s="187"/>
      <c r="J106" s="187"/>
      <c r="K106" s="187"/>
      <c r="L106" s="647"/>
      <c r="M106" s="645">
        <v>35602</v>
      </c>
      <c r="N106" s="585">
        <v>1.1200000000000001</v>
      </c>
      <c r="O106" s="585">
        <v>2.5020000000000001E-2</v>
      </c>
      <c r="P106" s="175">
        <v>0</v>
      </c>
      <c r="Q106" s="175">
        <v>0</v>
      </c>
      <c r="R106" s="175">
        <v>6.2E-4</v>
      </c>
      <c r="S106" s="175">
        <v>6.7299999999999999E-3</v>
      </c>
      <c r="T106" s="175">
        <v>4.9699999999999996E-3</v>
      </c>
      <c r="U106" s="175">
        <v>3.9300000000000003E-3</v>
      </c>
      <c r="V106" s="706">
        <v>8.77E-3</v>
      </c>
      <c r="W106" s="717"/>
      <c r="X106" s="713"/>
      <c r="Y106" s="718"/>
      <c r="Z106" s="709">
        <v>21</v>
      </c>
      <c r="AA106" s="175"/>
      <c r="AB106" s="175"/>
      <c r="AC106" s="175">
        <v>5.1700000000000003E-2</v>
      </c>
      <c r="AD106" s="175">
        <v>2.96</v>
      </c>
      <c r="AE106" s="175">
        <v>0.32</v>
      </c>
      <c r="AF106" s="178">
        <f t="shared" si="1"/>
        <v>0.94720000000000004</v>
      </c>
      <c r="AG106" s="178">
        <v>1.25</v>
      </c>
      <c r="AH106" s="333"/>
      <c r="AI106" s="188"/>
      <c r="AJ106" s="188"/>
      <c r="AK106" s="188"/>
      <c r="AL106" s="189"/>
      <c r="AM106" s="189"/>
      <c r="AN106" s="189"/>
      <c r="AO106" s="189"/>
      <c r="AP106" s="189"/>
      <c r="AQ106" s="189"/>
      <c r="AR106" s="189"/>
      <c r="AS106" s="189"/>
      <c r="AT106" s="189"/>
      <c r="AU106" s="190"/>
      <c r="AV106" s="190"/>
      <c r="AW106" s="190"/>
      <c r="AX106" s="190"/>
      <c r="AY106" s="190"/>
      <c r="AZ106" s="189"/>
      <c r="BA106" s="189"/>
      <c r="BB106" s="189"/>
      <c r="BC106" s="189"/>
      <c r="BD106" s="189"/>
      <c r="BE106" s="189"/>
      <c r="BF106" s="189"/>
      <c r="BG106" s="189"/>
      <c r="BH106" s="189"/>
      <c r="BI106" s="190"/>
      <c r="BJ106" s="190"/>
      <c r="BK106" s="190"/>
      <c r="BL106" s="190"/>
      <c r="BM106" s="190"/>
      <c r="BN106" s="191"/>
      <c r="BO106" s="191"/>
      <c r="BP106" s="191"/>
      <c r="BQ106" s="191"/>
      <c r="BR106" s="191"/>
      <c r="BS106" s="191"/>
      <c r="BT106" s="190"/>
      <c r="BU106" s="190"/>
      <c r="BV106" s="190"/>
      <c r="BW106" s="190"/>
      <c r="BX106" s="190"/>
      <c r="BY106" s="190"/>
      <c r="BZ106" s="190"/>
      <c r="CA106" s="189"/>
      <c r="CB106" s="192"/>
    </row>
    <row r="107" spans="1:80" x14ac:dyDescent="0.2">
      <c r="A107" s="176"/>
      <c r="B107" s="642"/>
      <c r="C107" s="642"/>
      <c r="D107" s="693"/>
      <c r="E107" s="169"/>
      <c r="F107" s="169"/>
      <c r="G107" s="186"/>
      <c r="H107" s="187"/>
      <c r="I107" s="187"/>
      <c r="J107" s="187"/>
      <c r="K107" s="187"/>
      <c r="L107" s="647"/>
      <c r="M107" s="645">
        <v>35603</v>
      </c>
      <c r="N107" s="585">
        <v>1.0900000000000001</v>
      </c>
      <c r="O107" s="585">
        <v>1.7479999999999999E-2</v>
      </c>
      <c r="P107" s="175">
        <v>0</v>
      </c>
      <c r="Q107" s="175">
        <v>3.6099999999999999E-3</v>
      </c>
      <c r="R107" s="175">
        <v>5.8E-4</v>
      </c>
      <c r="S107" s="175">
        <v>3.14E-3</v>
      </c>
      <c r="T107" s="175">
        <v>3.4299999999999999E-3</v>
      </c>
      <c r="U107" s="175">
        <v>2.5300000000000001E-3</v>
      </c>
      <c r="V107" s="706">
        <v>4.1999999999999997E-3</v>
      </c>
      <c r="W107" s="717"/>
      <c r="X107" s="713"/>
      <c r="Y107" s="718"/>
      <c r="Z107" s="709">
        <v>47</v>
      </c>
      <c r="AA107" s="175"/>
      <c r="AB107" s="175"/>
      <c r="AC107" s="175">
        <v>5.3999999999999999E-2</v>
      </c>
      <c r="AD107" s="175">
        <v>2.94</v>
      </c>
      <c r="AE107" s="175">
        <v>0.32</v>
      </c>
      <c r="AF107" s="178">
        <f t="shared" si="1"/>
        <v>0.94079999999999997</v>
      </c>
      <c r="AG107" s="178">
        <v>1.2</v>
      </c>
      <c r="AH107" s="333"/>
      <c r="AI107" s="188"/>
      <c r="AJ107" s="188"/>
      <c r="AK107" s="188"/>
      <c r="AL107" s="189"/>
      <c r="AM107" s="189"/>
      <c r="AN107" s="189"/>
      <c r="AO107" s="189"/>
      <c r="AP107" s="189"/>
      <c r="AQ107" s="189"/>
      <c r="AR107" s="189"/>
      <c r="AS107" s="189"/>
      <c r="AT107" s="189"/>
      <c r="AU107" s="190"/>
      <c r="AV107" s="190"/>
      <c r="AW107" s="190"/>
      <c r="AX107" s="190"/>
      <c r="AY107" s="190"/>
      <c r="AZ107" s="189"/>
      <c r="BA107" s="189"/>
      <c r="BB107" s="189"/>
      <c r="BC107" s="189"/>
      <c r="BD107" s="189"/>
      <c r="BE107" s="189"/>
      <c r="BF107" s="189"/>
      <c r="BG107" s="189"/>
      <c r="BH107" s="189"/>
      <c r="BI107" s="190"/>
      <c r="BJ107" s="190"/>
      <c r="BK107" s="190"/>
      <c r="BL107" s="190"/>
      <c r="BM107" s="190"/>
      <c r="BN107" s="191"/>
      <c r="BO107" s="191"/>
      <c r="BP107" s="191"/>
      <c r="BQ107" s="191"/>
      <c r="BR107" s="191"/>
      <c r="BS107" s="191"/>
      <c r="BT107" s="190"/>
      <c r="BU107" s="190"/>
      <c r="BV107" s="190"/>
      <c r="BW107" s="190"/>
      <c r="BX107" s="190"/>
      <c r="BY107" s="190"/>
      <c r="BZ107" s="190"/>
      <c r="CA107" s="189"/>
      <c r="CB107" s="192"/>
    </row>
    <row r="108" spans="1:80" x14ac:dyDescent="0.2">
      <c r="A108" s="176"/>
      <c r="B108" s="642"/>
      <c r="C108" s="642"/>
      <c r="D108" s="693"/>
      <c r="E108" s="169"/>
      <c r="F108" s="169"/>
      <c r="G108" s="186"/>
      <c r="H108" s="187"/>
      <c r="I108" s="187"/>
      <c r="J108" s="187"/>
      <c r="K108" s="187"/>
      <c r="L108" s="647"/>
      <c r="M108" s="645">
        <v>35604</v>
      </c>
      <c r="N108" s="585">
        <v>0.96</v>
      </c>
      <c r="O108" s="585">
        <v>1.1169999999999999E-2</v>
      </c>
      <c r="P108" s="175">
        <v>0</v>
      </c>
      <c r="Q108" s="175">
        <v>3.7200000000000002E-3</v>
      </c>
      <c r="R108" s="175">
        <v>0</v>
      </c>
      <c r="S108" s="175">
        <v>1.07E-3</v>
      </c>
      <c r="T108" s="175">
        <v>1.75E-3</v>
      </c>
      <c r="U108" s="175">
        <v>1.23E-3</v>
      </c>
      <c r="V108" s="706">
        <v>3.3999999999999998E-3</v>
      </c>
      <c r="W108" s="717"/>
      <c r="X108" s="713"/>
      <c r="Y108" s="718"/>
      <c r="Z108" s="709">
        <v>40</v>
      </c>
      <c r="AA108" s="175"/>
      <c r="AB108" s="175"/>
      <c r="AC108" s="175">
        <v>5.5800000000000002E-2</v>
      </c>
      <c r="AD108" s="175">
        <v>2.95</v>
      </c>
      <c r="AE108" s="175">
        <v>0.28999999999999998</v>
      </c>
      <c r="AF108" s="178">
        <f t="shared" si="1"/>
        <v>0.85550000000000004</v>
      </c>
      <c r="AG108" s="178">
        <v>1.1599999999999999</v>
      </c>
      <c r="AH108" s="333"/>
      <c r="AI108" s="188"/>
      <c r="AJ108" s="188"/>
      <c r="AK108" s="188"/>
      <c r="AL108" s="189"/>
      <c r="AM108" s="189"/>
      <c r="AN108" s="189"/>
      <c r="AO108" s="189"/>
      <c r="AP108" s="189"/>
      <c r="AQ108" s="189"/>
      <c r="AR108" s="189"/>
      <c r="AS108" s="189"/>
      <c r="AT108" s="189"/>
      <c r="AU108" s="190"/>
      <c r="AV108" s="190"/>
      <c r="AW108" s="190"/>
      <c r="AX108" s="190"/>
      <c r="AY108" s="190"/>
      <c r="AZ108" s="189"/>
      <c r="BA108" s="189"/>
      <c r="BB108" s="189"/>
      <c r="BC108" s="189"/>
      <c r="BD108" s="189"/>
      <c r="BE108" s="189"/>
      <c r="BF108" s="189"/>
      <c r="BG108" s="189"/>
      <c r="BH108" s="189"/>
      <c r="BI108" s="190"/>
      <c r="BJ108" s="190"/>
      <c r="BK108" s="190"/>
      <c r="BL108" s="190"/>
      <c r="BM108" s="190"/>
      <c r="BN108" s="191"/>
      <c r="BO108" s="191"/>
      <c r="BP108" s="191"/>
      <c r="BQ108" s="191"/>
      <c r="BR108" s="191"/>
      <c r="BS108" s="191"/>
      <c r="BT108" s="190"/>
      <c r="BU108" s="190"/>
      <c r="BV108" s="190"/>
      <c r="BW108" s="190"/>
      <c r="BX108" s="190"/>
      <c r="BY108" s="190"/>
      <c r="BZ108" s="190"/>
      <c r="CA108" s="189"/>
      <c r="CB108" s="192"/>
    </row>
    <row r="109" spans="1:80" x14ac:dyDescent="0.2">
      <c r="A109" s="176"/>
      <c r="B109" s="642"/>
      <c r="C109" s="642"/>
      <c r="D109" s="693"/>
      <c r="E109" s="169"/>
      <c r="F109" s="169"/>
      <c r="G109" s="186"/>
      <c r="H109" s="187"/>
      <c r="I109" s="187"/>
      <c r="J109" s="187"/>
      <c r="K109" s="187"/>
      <c r="L109" s="647"/>
      <c r="M109" s="645">
        <v>35606</v>
      </c>
      <c r="N109" s="585">
        <v>0.83</v>
      </c>
      <c r="O109" s="585">
        <v>5.0800000000000003E-3</v>
      </c>
      <c r="P109" s="175">
        <v>0</v>
      </c>
      <c r="Q109" s="175">
        <v>0</v>
      </c>
      <c r="R109" s="175">
        <v>0</v>
      </c>
      <c r="S109" s="175">
        <v>1.16E-3</v>
      </c>
      <c r="T109" s="175">
        <v>9.3999999999999997E-4</v>
      </c>
      <c r="U109" s="175">
        <v>7.3999999999999999E-4</v>
      </c>
      <c r="V109" s="706">
        <v>2.2300000000000002E-3</v>
      </c>
      <c r="W109" s="717"/>
      <c r="X109" s="713"/>
      <c r="Y109" s="718"/>
      <c r="Z109" s="709">
        <v>15</v>
      </c>
      <c r="AA109" s="175"/>
      <c r="AB109" s="175"/>
      <c r="AC109" s="175">
        <v>5.7599999999999998E-2</v>
      </c>
      <c r="AD109" s="175">
        <v>2.93</v>
      </c>
      <c r="AE109" s="175">
        <v>0.27</v>
      </c>
      <c r="AF109" s="178">
        <f t="shared" si="1"/>
        <v>0.79110000000000014</v>
      </c>
      <c r="AG109" s="178">
        <v>1.05</v>
      </c>
      <c r="AH109" s="333"/>
      <c r="AI109" s="188"/>
      <c r="AJ109" s="188"/>
      <c r="AK109" s="188"/>
      <c r="AL109" s="189"/>
      <c r="AM109" s="189"/>
      <c r="AN109" s="189"/>
      <c r="AO109" s="189"/>
      <c r="AP109" s="189"/>
      <c r="AQ109" s="189"/>
      <c r="AR109" s="189"/>
      <c r="AS109" s="189"/>
      <c r="AT109" s="189"/>
      <c r="AU109" s="190"/>
      <c r="AV109" s="190"/>
      <c r="AW109" s="190"/>
      <c r="AX109" s="190"/>
      <c r="AY109" s="190"/>
      <c r="AZ109" s="189"/>
      <c r="BA109" s="189"/>
      <c r="BB109" s="189"/>
      <c r="BC109" s="189"/>
      <c r="BD109" s="189"/>
      <c r="BE109" s="189"/>
      <c r="BF109" s="189"/>
      <c r="BG109" s="189"/>
      <c r="BH109" s="189"/>
      <c r="BI109" s="190"/>
      <c r="BJ109" s="190"/>
      <c r="BK109" s="190"/>
      <c r="BL109" s="190"/>
      <c r="BM109" s="190"/>
      <c r="BN109" s="191"/>
      <c r="BO109" s="191"/>
      <c r="BP109" s="191"/>
      <c r="BQ109" s="191"/>
      <c r="BR109" s="191"/>
      <c r="BS109" s="191"/>
      <c r="BT109" s="190"/>
      <c r="BU109" s="190"/>
      <c r="BV109" s="190"/>
      <c r="BW109" s="190"/>
      <c r="BX109" s="190"/>
      <c r="BY109" s="190"/>
      <c r="BZ109" s="190"/>
      <c r="CA109" s="189"/>
      <c r="CB109" s="192"/>
    </row>
    <row r="110" spans="1:80" x14ac:dyDescent="0.2">
      <c r="A110" s="176"/>
      <c r="B110" s="642"/>
      <c r="C110" s="642"/>
      <c r="D110" s="693"/>
      <c r="E110" s="169"/>
      <c r="F110" s="169"/>
      <c r="G110" s="186"/>
      <c r="H110" s="187"/>
      <c r="I110" s="187"/>
      <c r="J110" s="187"/>
      <c r="K110" s="187"/>
      <c r="L110" s="647"/>
      <c r="M110" s="645">
        <v>35607</v>
      </c>
      <c r="N110" s="585">
        <v>0.77</v>
      </c>
      <c r="O110" s="585">
        <v>1.6299999999999999E-3</v>
      </c>
      <c r="P110" s="175">
        <v>0</v>
      </c>
      <c r="Q110" s="175">
        <v>0</v>
      </c>
      <c r="R110" s="175">
        <v>0</v>
      </c>
      <c r="S110" s="175">
        <v>3.0000000000000001E-5</v>
      </c>
      <c r="T110" s="175">
        <v>3.8000000000000002E-4</v>
      </c>
      <c r="U110" s="175">
        <v>3.3E-4</v>
      </c>
      <c r="V110" s="706">
        <v>8.8999999999999995E-4</v>
      </c>
      <c r="W110" s="717"/>
      <c r="X110" s="713"/>
      <c r="Y110" s="718"/>
      <c r="Z110" s="709">
        <v>8</v>
      </c>
      <c r="AA110" s="175"/>
      <c r="AB110" s="175"/>
      <c r="AC110" s="175">
        <v>5.8999999999999997E-2</v>
      </c>
      <c r="AD110" s="175">
        <v>2.95</v>
      </c>
      <c r="AE110" s="175">
        <v>0.28000000000000003</v>
      </c>
      <c r="AF110" s="178">
        <f t="shared" si="1"/>
        <v>0.82600000000000018</v>
      </c>
      <c r="AG110" s="178">
        <v>1.1100000000000001</v>
      </c>
      <c r="AH110" s="333"/>
      <c r="AI110" s="188"/>
      <c r="AJ110" s="188"/>
      <c r="AK110" s="188"/>
      <c r="AL110" s="189"/>
      <c r="AM110" s="189"/>
      <c r="AN110" s="189"/>
      <c r="AO110" s="189"/>
      <c r="AP110" s="189"/>
      <c r="AQ110" s="189"/>
      <c r="AR110" s="189"/>
      <c r="AS110" s="189"/>
      <c r="AT110" s="189"/>
      <c r="AU110" s="190"/>
      <c r="AV110" s="190"/>
      <c r="AW110" s="190"/>
      <c r="AX110" s="190"/>
      <c r="AY110" s="190"/>
      <c r="AZ110" s="189"/>
      <c r="BA110" s="189"/>
      <c r="BB110" s="189"/>
      <c r="BC110" s="189"/>
      <c r="BD110" s="189"/>
      <c r="BE110" s="189"/>
      <c r="BF110" s="189"/>
      <c r="BG110" s="189"/>
      <c r="BH110" s="189"/>
      <c r="BI110" s="190"/>
      <c r="BJ110" s="190"/>
      <c r="BK110" s="190"/>
      <c r="BL110" s="190"/>
      <c r="BM110" s="190"/>
      <c r="BN110" s="191"/>
      <c r="BO110" s="191"/>
      <c r="BP110" s="191"/>
      <c r="BQ110" s="191"/>
      <c r="BR110" s="191"/>
      <c r="BS110" s="191"/>
      <c r="BT110" s="190"/>
      <c r="BU110" s="190"/>
      <c r="BV110" s="190"/>
      <c r="BW110" s="190"/>
      <c r="BX110" s="190"/>
      <c r="BY110" s="190"/>
      <c r="BZ110" s="190"/>
      <c r="CA110" s="189"/>
      <c r="CB110" s="192"/>
    </row>
    <row r="111" spans="1:80" x14ac:dyDescent="0.2">
      <c r="A111" s="176"/>
      <c r="B111" s="642"/>
      <c r="C111" s="642"/>
      <c r="D111" s="693"/>
      <c r="E111" s="169"/>
      <c r="F111" s="169"/>
      <c r="G111" s="186"/>
      <c r="H111" s="187"/>
      <c r="I111" s="187"/>
      <c r="J111" s="187"/>
      <c r="K111" s="187"/>
      <c r="L111" s="647"/>
      <c r="M111" s="645">
        <v>35608</v>
      </c>
      <c r="N111" s="585">
        <v>0.7</v>
      </c>
      <c r="O111" s="585">
        <v>4.8300000000000001E-3</v>
      </c>
      <c r="P111" s="175">
        <v>0</v>
      </c>
      <c r="Q111" s="175">
        <v>0</v>
      </c>
      <c r="R111" s="175">
        <v>0</v>
      </c>
      <c r="S111" s="175">
        <v>7.5000000000000002E-4</v>
      </c>
      <c r="T111" s="175">
        <v>1.07E-3</v>
      </c>
      <c r="U111" s="175">
        <v>9.1E-4</v>
      </c>
      <c r="V111" s="706">
        <v>2.0999999999999999E-3</v>
      </c>
      <c r="W111" s="717"/>
      <c r="X111" s="713"/>
      <c r="Y111" s="718"/>
      <c r="Z111" s="709">
        <v>18</v>
      </c>
      <c r="AA111" s="175"/>
      <c r="AB111" s="175"/>
      <c r="AC111" s="175">
        <v>5.8999999999999997E-2</v>
      </c>
      <c r="AD111" s="175">
        <v>2.95</v>
      </c>
      <c r="AE111" s="175">
        <v>0.26</v>
      </c>
      <c r="AF111" s="178">
        <f t="shared" si="1"/>
        <v>0.76700000000000013</v>
      </c>
      <c r="AG111" s="178">
        <v>0.91</v>
      </c>
      <c r="AH111" s="333"/>
      <c r="AI111" s="188"/>
      <c r="AJ111" s="188"/>
      <c r="AK111" s="188"/>
      <c r="AL111" s="189"/>
      <c r="AM111" s="189"/>
      <c r="AN111" s="189"/>
      <c r="AO111" s="189"/>
      <c r="AP111" s="189"/>
      <c r="AQ111" s="189"/>
      <c r="AR111" s="189"/>
      <c r="AS111" s="189"/>
      <c r="AT111" s="189"/>
      <c r="AU111" s="190"/>
      <c r="AV111" s="190"/>
      <c r="AW111" s="190"/>
      <c r="AX111" s="190"/>
      <c r="AY111" s="190"/>
      <c r="AZ111" s="189"/>
      <c r="BA111" s="189"/>
      <c r="BB111" s="189"/>
      <c r="BC111" s="189"/>
      <c r="BD111" s="189"/>
      <c r="BE111" s="189"/>
      <c r="BF111" s="189"/>
      <c r="BG111" s="189"/>
      <c r="BH111" s="189"/>
      <c r="BI111" s="190"/>
      <c r="BJ111" s="190"/>
      <c r="BK111" s="190"/>
      <c r="BL111" s="190"/>
      <c r="BM111" s="190"/>
      <c r="BN111" s="191"/>
      <c r="BO111" s="191"/>
      <c r="BP111" s="191"/>
      <c r="BQ111" s="191"/>
      <c r="BR111" s="191"/>
      <c r="BS111" s="191"/>
      <c r="BT111" s="190"/>
      <c r="BU111" s="190"/>
      <c r="BV111" s="190"/>
      <c r="BW111" s="190"/>
      <c r="BX111" s="190"/>
      <c r="BY111" s="190"/>
      <c r="BZ111" s="190"/>
      <c r="CA111" s="189"/>
      <c r="CB111" s="192"/>
    </row>
    <row r="112" spans="1:80" x14ac:dyDescent="0.2">
      <c r="A112" s="176"/>
      <c r="B112" s="642"/>
      <c r="C112" s="642"/>
      <c r="D112" s="693"/>
      <c r="E112" s="169"/>
      <c r="F112" s="169"/>
      <c r="G112" s="186"/>
      <c r="H112" s="187"/>
      <c r="I112" s="187"/>
      <c r="J112" s="187"/>
      <c r="K112" s="187"/>
      <c r="L112" s="647"/>
      <c r="M112" s="645">
        <v>35611</v>
      </c>
      <c r="N112" s="585">
        <v>0.62</v>
      </c>
      <c r="O112" s="585">
        <v>1.0829999999999999E-2</v>
      </c>
      <c r="P112" s="175">
        <v>0</v>
      </c>
      <c r="Q112" s="175">
        <v>0</v>
      </c>
      <c r="R112" s="175">
        <v>6.8999999999999997E-4</v>
      </c>
      <c r="S112" s="175">
        <v>2.2100000000000002E-3</v>
      </c>
      <c r="T112" s="175">
        <v>2.3500000000000001E-3</v>
      </c>
      <c r="U112" s="175">
        <v>1.89E-3</v>
      </c>
      <c r="V112" s="706">
        <v>3.6900000000000001E-3</v>
      </c>
      <c r="W112" s="717"/>
      <c r="X112" s="713"/>
      <c r="Y112" s="718"/>
      <c r="Z112" s="709">
        <v>22</v>
      </c>
      <c r="AA112" s="175"/>
      <c r="AB112" s="175"/>
      <c r="AC112" s="175">
        <v>5.8400000000000001E-2</v>
      </c>
      <c r="AD112" s="175">
        <v>2.99</v>
      </c>
      <c r="AE112" s="175">
        <v>0.24</v>
      </c>
      <c r="AF112" s="178">
        <f t="shared" si="1"/>
        <v>0.71760000000000002</v>
      </c>
      <c r="AG112" s="178">
        <v>0.89</v>
      </c>
      <c r="AH112" s="333"/>
      <c r="AI112" s="188"/>
      <c r="AJ112" s="188"/>
      <c r="AK112" s="188"/>
      <c r="AL112" s="189"/>
      <c r="AM112" s="189"/>
      <c r="AN112" s="189"/>
      <c r="AO112" s="189"/>
      <c r="AP112" s="189"/>
      <c r="AQ112" s="189"/>
      <c r="AR112" s="189"/>
      <c r="AS112" s="189"/>
      <c r="AT112" s="189"/>
      <c r="AU112" s="190"/>
      <c r="AV112" s="190"/>
      <c r="AW112" s="190"/>
      <c r="AX112" s="190"/>
      <c r="AY112" s="190"/>
      <c r="AZ112" s="189"/>
      <c r="BA112" s="189"/>
      <c r="BB112" s="189"/>
      <c r="BC112" s="189"/>
      <c r="BD112" s="189"/>
      <c r="BE112" s="189"/>
      <c r="BF112" s="189"/>
      <c r="BG112" s="189"/>
      <c r="BH112" s="189"/>
      <c r="BI112" s="190"/>
      <c r="BJ112" s="190"/>
      <c r="BK112" s="190"/>
      <c r="BL112" s="190"/>
      <c r="BM112" s="190"/>
      <c r="BN112" s="191"/>
      <c r="BO112" s="191"/>
      <c r="BP112" s="191"/>
      <c r="BQ112" s="191"/>
      <c r="BR112" s="191"/>
      <c r="BS112" s="191"/>
      <c r="BT112" s="190"/>
      <c r="BU112" s="190"/>
      <c r="BV112" s="190"/>
      <c r="BW112" s="190"/>
      <c r="BX112" s="190"/>
      <c r="BY112" s="190"/>
      <c r="BZ112" s="190"/>
      <c r="CA112" s="189"/>
      <c r="CB112" s="192"/>
    </row>
    <row r="113" spans="1:80" x14ac:dyDescent="0.2">
      <c r="A113" s="194"/>
      <c r="B113" s="195"/>
      <c r="C113" s="195"/>
      <c r="D113" s="694"/>
      <c r="E113" s="196"/>
      <c r="F113" s="196"/>
      <c r="G113" s="197"/>
      <c r="H113" s="198"/>
      <c r="I113" s="198"/>
      <c r="J113" s="198"/>
      <c r="K113" s="198"/>
      <c r="L113" s="649"/>
      <c r="M113" s="650">
        <v>35612</v>
      </c>
      <c r="N113" s="589">
        <v>0.56999999999999995</v>
      </c>
      <c r="O113" s="589">
        <v>3.9399999999999999E-3</v>
      </c>
      <c r="P113" s="193">
        <v>0</v>
      </c>
      <c r="Q113" s="193">
        <v>0</v>
      </c>
      <c r="R113" s="193">
        <v>0</v>
      </c>
      <c r="S113" s="193">
        <v>2.1000000000000001E-4</v>
      </c>
      <c r="T113" s="193">
        <v>1.01E-3</v>
      </c>
      <c r="U113" s="193">
        <v>8.8000000000000003E-4</v>
      </c>
      <c r="V113" s="707">
        <v>1.83E-3</v>
      </c>
      <c r="W113" s="719"/>
      <c r="X113" s="720"/>
      <c r="Y113" s="721"/>
      <c r="Z113" s="710">
        <v>9</v>
      </c>
      <c r="AA113" s="193"/>
      <c r="AB113" s="193"/>
      <c r="AC113" s="193">
        <v>5.6500000000000002E-2</v>
      </c>
      <c r="AD113" s="193">
        <v>2.94</v>
      </c>
      <c r="AE113" s="193">
        <v>0.23</v>
      </c>
      <c r="AF113" s="199">
        <f t="shared" si="1"/>
        <v>0.67620000000000002</v>
      </c>
      <c r="AG113" s="199">
        <v>0.75</v>
      </c>
      <c r="AH113" s="333"/>
      <c r="AI113" s="188"/>
      <c r="AJ113" s="188"/>
      <c r="AK113" s="188"/>
      <c r="AL113" s="189"/>
      <c r="AM113" s="189"/>
      <c r="AN113" s="189"/>
      <c r="AO113" s="189"/>
      <c r="AP113" s="189"/>
      <c r="AQ113" s="189"/>
      <c r="AR113" s="189"/>
      <c r="AS113" s="189"/>
      <c r="AT113" s="189"/>
      <c r="AU113" s="190"/>
      <c r="AV113" s="190"/>
      <c r="AW113" s="190"/>
      <c r="AX113" s="190"/>
      <c r="AY113" s="190"/>
      <c r="AZ113" s="189"/>
      <c r="BA113" s="189"/>
      <c r="BB113" s="189"/>
      <c r="BC113" s="189"/>
      <c r="BD113" s="189"/>
      <c r="BE113" s="189"/>
      <c r="BF113" s="189"/>
      <c r="BG113" s="189"/>
      <c r="BH113" s="189"/>
      <c r="BI113" s="190"/>
      <c r="BJ113" s="190"/>
      <c r="BK113" s="190"/>
      <c r="BL113" s="190"/>
      <c r="BM113" s="190"/>
      <c r="BN113" s="191"/>
      <c r="BO113" s="191"/>
      <c r="BP113" s="191"/>
      <c r="BQ113" s="191"/>
      <c r="BR113" s="191"/>
      <c r="BS113" s="191"/>
      <c r="BT113" s="190"/>
      <c r="BU113" s="190"/>
      <c r="BV113" s="190"/>
      <c r="BW113" s="190"/>
      <c r="BX113" s="190"/>
      <c r="BY113" s="190"/>
      <c r="BZ113" s="190"/>
      <c r="CA113" s="189"/>
      <c r="CB113" s="192"/>
    </row>
    <row r="114" spans="1:80" ht="15" x14ac:dyDescent="0.25">
      <c r="A114" s="9" t="s">
        <v>40</v>
      </c>
      <c r="B114" s="639" t="s">
        <v>34</v>
      </c>
      <c r="C114" s="639"/>
      <c r="D114" s="4">
        <f>VLOOKUP(E114,'Quality Code'!D4:E24,2,TRUE)*VLOOKUP(MROUND(F114,10),'Quality Code'!D28:E69,2,TRUE)*VLOOKUP(4,'Quality Code'!D73:E93,2,TRUE)</f>
        <v>4</v>
      </c>
      <c r="E114" s="14">
        <v>0.8</v>
      </c>
      <c r="F114" s="18">
        <v>95</v>
      </c>
      <c r="G114" s="12">
        <v>2.89</v>
      </c>
      <c r="H114" s="2" t="s">
        <v>231</v>
      </c>
      <c r="I114" s="2" t="s">
        <v>278</v>
      </c>
      <c r="J114" s="2" t="s">
        <v>281</v>
      </c>
      <c r="K114" s="2">
        <v>1</v>
      </c>
      <c r="L114" s="639" t="s">
        <v>699</v>
      </c>
      <c r="M114" s="640" t="s">
        <v>701</v>
      </c>
      <c r="N114" s="579" t="s">
        <v>254</v>
      </c>
      <c r="O114" s="579"/>
      <c r="P114" s="11"/>
      <c r="Q114" s="11"/>
      <c r="R114" s="11"/>
      <c r="S114" s="11"/>
      <c r="T114" s="11"/>
      <c r="U114" s="11"/>
      <c r="V114" s="11"/>
      <c r="W114" s="722"/>
      <c r="X114" s="722"/>
      <c r="Y114" s="722"/>
      <c r="Z114" s="11"/>
      <c r="AA114" s="11"/>
      <c r="AB114" s="11"/>
      <c r="AC114" s="85">
        <v>5.3999999999999999E-2</v>
      </c>
      <c r="AD114" s="26"/>
      <c r="AE114" s="26"/>
      <c r="AF114" s="26"/>
      <c r="AG114" s="26"/>
      <c r="AH114" s="330"/>
      <c r="AI114" s="123">
        <v>14.1</v>
      </c>
      <c r="AJ114" s="123"/>
      <c r="AK114" s="161"/>
      <c r="AL114" s="17"/>
      <c r="AM114" s="17"/>
      <c r="AN114" s="17"/>
      <c r="AO114" s="17"/>
      <c r="AP114" s="17"/>
      <c r="AQ114" s="17"/>
      <c r="AR114" s="17"/>
      <c r="AS114" s="17"/>
      <c r="AT114" s="17"/>
      <c r="AU114" s="18">
        <v>38</v>
      </c>
      <c r="AV114" s="162">
        <v>1</v>
      </c>
      <c r="AW114" s="162">
        <v>1</v>
      </c>
      <c r="AX114" s="162">
        <v>0.99670000000000003</v>
      </c>
      <c r="AY114" s="162">
        <v>0.9133</v>
      </c>
      <c r="AZ114" s="162">
        <v>0.68669999999999998</v>
      </c>
      <c r="BA114" s="162">
        <v>0.42670000000000002</v>
      </c>
      <c r="BB114" s="162">
        <v>0.2167</v>
      </c>
      <c r="BC114" s="162">
        <v>0.11</v>
      </c>
      <c r="BD114" s="162">
        <v>6.3299999999999995E-2</v>
      </c>
      <c r="BE114" s="162">
        <v>0.06</v>
      </c>
      <c r="BF114" s="162"/>
      <c r="BG114" s="162"/>
      <c r="BH114" s="162"/>
      <c r="BI114" s="4">
        <f>AU114/AI114</f>
        <v>2.6950354609929077</v>
      </c>
      <c r="BJ114" s="2"/>
      <c r="BK114" s="2" t="s">
        <v>55</v>
      </c>
      <c r="BL114" s="12">
        <v>0.3</v>
      </c>
      <c r="BM114" s="12"/>
      <c r="BN114" s="12">
        <v>2</v>
      </c>
      <c r="BO114" s="12">
        <v>0.17</v>
      </c>
      <c r="BP114" s="12">
        <f>BO114*BN114</f>
        <v>0.34</v>
      </c>
      <c r="BQ114" s="12">
        <f>BN114/BO114</f>
        <v>11.76470588235294</v>
      </c>
      <c r="BR114" s="12" t="s">
        <v>276</v>
      </c>
      <c r="BS114" s="18">
        <v>2</v>
      </c>
      <c r="BT114" s="12"/>
      <c r="BU114" s="2"/>
      <c r="BV114" s="2"/>
      <c r="BW114" s="2"/>
      <c r="BX114" s="2"/>
      <c r="BY114" s="2"/>
      <c r="BZ114" s="2"/>
      <c r="CA114" s="9" t="s">
        <v>232</v>
      </c>
      <c r="CB114" s="5" t="s">
        <v>626</v>
      </c>
    </row>
    <row r="115" spans="1:80" ht="15" x14ac:dyDescent="0.25">
      <c r="A115" s="167"/>
      <c r="B115" s="642"/>
      <c r="C115" s="642"/>
      <c r="D115" s="179"/>
      <c r="E115" s="169"/>
      <c r="F115" s="169"/>
      <c r="G115" s="186"/>
      <c r="H115" s="187"/>
      <c r="I115" s="187"/>
      <c r="J115" s="187"/>
      <c r="K115" s="187"/>
      <c r="L115" s="647"/>
      <c r="M115" s="646">
        <v>32653</v>
      </c>
      <c r="N115" s="585">
        <v>0.11</v>
      </c>
      <c r="O115" s="585">
        <v>1.5100000000000001E-3</v>
      </c>
      <c r="P115" s="175">
        <v>0</v>
      </c>
      <c r="Q115" s="175">
        <v>0</v>
      </c>
      <c r="R115" s="175">
        <v>0</v>
      </c>
      <c r="S115" s="175">
        <v>2.4000000000000001E-4</v>
      </c>
      <c r="T115" s="175">
        <v>2.1000000000000001E-4</v>
      </c>
      <c r="U115" s="175">
        <v>2.9999999999999997E-4</v>
      </c>
      <c r="V115" s="706">
        <v>7.6000000000000004E-4</v>
      </c>
      <c r="W115" s="714"/>
      <c r="X115" s="715"/>
      <c r="Y115" s="716"/>
      <c r="Z115" s="709">
        <v>15</v>
      </c>
      <c r="AA115" s="175"/>
      <c r="AB115" s="200"/>
      <c r="AC115" s="175">
        <v>5.2999999999999999E-2</v>
      </c>
      <c r="AD115" s="175">
        <v>1.78</v>
      </c>
      <c r="AE115" s="175">
        <v>0.09</v>
      </c>
      <c r="AF115" s="201">
        <f>AE115*AD115</f>
        <v>0.16020000000000001</v>
      </c>
      <c r="AG115" s="175">
        <v>0.72</v>
      </c>
      <c r="AH115" s="334"/>
      <c r="AI115" s="188"/>
      <c r="AJ115" s="188"/>
      <c r="AK115" s="188"/>
      <c r="AL115" s="189"/>
      <c r="AM115" s="189"/>
      <c r="AN115" s="189"/>
      <c r="AO115" s="189"/>
      <c r="AP115" s="189"/>
      <c r="AQ115" s="189"/>
      <c r="AR115" s="189"/>
      <c r="AS115" s="189"/>
      <c r="AT115" s="189"/>
      <c r="AU115" s="190"/>
      <c r="AV115" s="190"/>
      <c r="AW115" s="190"/>
      <c r="AX115" s="190"/>
      <c r="AY115" s="190"/>
      <c r="AZ115" s="189"/>
      <c r="BA115" s="189"/>
      <c r="BB115" s="189"/>
      <c r="BC115" s="189"/>
      <c r="BD115" s="189"/>
      <c r="BE115" s="189"/>
      <c r="BF115" s="189"/>
      <c r="BG115" s="189"/>
      <c r="BH115" s="189"/>
      <c r="BI115" s="190"/>
      <c r="BJ115" s="190"/>
      <c r="BK115" s="190"/>
      <c r="BL115" s="190"/>
      <c r="BM115" s="190"/>
      <c r="BN115" s="191"/>
      <c r="BO115" s="191"/>
      <c r="BP115" s="191"/>
      <c r="BQ115" s="191"/>
      <c r="BR115" s="191"/>
      <c r="BS115" s="191"/>
      <c r="BT115" s="190"/>
      <c r="BU115" s="190"/>
      <c r="BV115" s="190"/>
      <c r="BW115" s="190"/>
      <c r="BX115" s="190"/>
      <c r="BY115" s="190"/>
      <c r="BZ115" s="190"/>
      <c r="CA115" s="189"/>
      <c r="CB115" s="15" t="s">
        <v>625</v>
      </c>
    </row>
    <row r="116" spans="1:80" ht="15" x14ac:dyDescent="0.25">
      <c r="A116" s="167"/>
      <c r="B116" s="642"/>
      <c r="C116" s="642"/>
      <c r="D116" s="179"/>
      <c r="E116" s="169"/>
      <c r="F116" s="169"/>
      <c r="G116" s="186"/>
      <c r="H116" s="187"/>
      <c r="I116" s="187"/>
      <c r="J116" s="187"/>
      <c r="K116" s="187"/>
      <c r="L116" s="647"/>
      <c r="M116" s="646">
        <v>32654</v>
      </c>
      <c r="N116" s="585">
        <v>0.12</v>
      </c>
      <c r="O116" s="585">
        <v>8.7000000000000001E-4</v>
      </c>
      <c r="P116" s="175">
        <v>0</v>
      </c>
      <c r="Q116" s="175">
        <v>0</v>
      </c>
      <c r="R116" s="175">
        <v>0</v>
      </c>
      <c r="S116" s="175">
        <v>0</v>
      </c>
      <c r="T116" s="175">
        <v>6.9999999999999994E-5</v>
      </c>
      <c r="U116" s="175">
        <v>2.4000000000000001E-4</v>
      </c>
      <c r="V116" s="706">
        <v>5.5999999999999995E-4</v>
      </c>
      <c r="W116" s="717"/>
      <c r="X116" s="713"/>
      <c r="Y116" s="718"/>
      <c r="Z116" s="709">
        <v>6</v>
      </c>
      <c r="AA116" s="175"/>
      <c r="AB116" s="200"/>
      <c r="AC116" s="175">
        <v>5.2999999999999999E-2</v>
      </c>
      <c r="AD116" s="175">
        <v>1.84</v>
      </c>
      <c r="AE116" s="175">
        <v>0.08</v>
      </c>
      <c r="AF116" s="201">
        <f t="shared" ref="AF116:AF179" si="2">AE116*AD116</f>
        <v>0.1472</v>
      </c>
      <c r="AG116" s="175">
        <v>0.79</v>
      </c>
      <c r="AH116" s="334"/>
      <c r="AI116" s="188"/>
      <c r="AJ116" s="188"/>
      <c r="AK116" s="188"/>
      <c r="AL116" s="189"/>
      <c r="AM116" s="189"/>
      <c r="AN116" s="189"/>
      <c r="AO116" s="189"/>
      <c r="AP116" s="189"/>
      <c r="AQ116" s="189"/>
      <c r="AR116" s="189"/>
      <c r="AS116" s="189"/>
      <c r="AT116" s="189"/>
      <c r="AU116" s="190"/>
      <c r="AV116" s="190"/>
      <c r="AW116" s="190"/>
      <c r="AX116" s="190"/>
      <c r="AY116" s="190"/>
      <c r="AZ116" s="189"/>
      <c r="BA116" s="189"/>
      <c r="BB116" s="189"/>
      <c r="BC116" s="189"/>
      <c r="BD116" s="189"/>
      <c r="BE116" s="189"/>
      <c r="BF116" s="189"/>
      <c r="BG116" s="189"/>
      <c r="BH116" s="189"/>
      <c r="BI116" s="190"/>
      <c r="BJ116" s="190"/>
      <c r="BK116" s="190"/>
      <c r="BL116" s="190"/>
      <c r="BM116" s="190"/>
      <c r="BN116" s="191"/>
      <c r="BO116" s="191"/>
      <c r="BP116" s="191"/>
      <c r="BQ116" s="191"/>
      <c r="BR116" s="191"/>
      <c r="BS116" s="191"/>
      <c r="BT116" s="190"/>
      <c r="BU116" s="190"/>
      <c r="BV116" s="190"/>
      <c r="BW116" s="190"/>
      <c r="BX116" s="190"/>
      <c r="BY116" s="190"/>
      <c r="BZ116" s="190"/>
      <c r="CA116" s="189"/>
      <c r="CB116" s="15" t="s">
        <v>627</v>
      </c>
    </row>
    <row r="117" spans="1:80" ht="15" x14ac:dyDescent="0.2">
      <c r="A117" s="167"/>
      <c r="B117" s="642"/>
      <c r="C117" s="642"/>
      <c r="D117" s="179"/>
      <c r="E117" s="169"/>
      <c r="F117" s="169"/>
      <c r="G117" s="186"/>
      <c r="H117" s="187"/>
      <c r="I117" s="187"/>
      <c r="J117" s="187"/>
      <c r="K117" s="187"/>
      <c r="L117" s="647"/>
      <c r="M117" s="646">
        <v>32655</v>
      </c>
      <c r="N117" s="585">
        <v>0.2</v>
      </c>
      <c r="O117" s="585">
        <v>9.8999999999999999E-4</v>
      </c>
      <c r="P117" s="175">
        <v>0</v>
      </c>
      <c r="Q117" s="175">
        <v>0</v>
      </c>
      <c r="R117" s="175">
        <v>0</v>
      </c>
      <c r="S117" s="175">
        <v>0</v>
      </c>
      <c r="T117" s="175">
        <v>6.0000000000000002E-5</v>
      </c>
      <c r="U117" s="175">
        <v>1.2E-4</v>
      </c>
      <c r="V117" s="706">
        <v>8.0999999999999996E-4</v>
      </c>
      <c r="W117" s="717"/>
      <c r="X117" s="713"/>
      <c r="Y117" s="718"/>
      <c r="Z117" s="709">
        <v>7</v>
      </c>
      <c r="AA117" s="175"/>
      <c r="AB117" s="200"/>
      <c r="AC117" s="175">
        <v>5.2999999999999999E-2</v>
      </c>
      <c r="AD117" s="175">
        <v>1.8</v>
      </c>
      <c r="AE117" s="175">
        <v>0.1</v>
      </c>
      <c r="AF117" s="201">
        <f t="shared" si="2"/>
        <v>0.18000000000000002</v>
      </c>
      <c r="AG117" s="175">
        <v>0.95</v>
      </c>
      <c r="AH117" s="334"/>
      <c r="AI117" s="188"/>
      <c r="AJ117" s="188"/>
      <c r="AK117" s="188"/>
      <c r="AL117" s="189"/>
      <c r="AM117" s="189"/>
      <c r="AN117" s="189"/>
      <c r="AO117" s="189"/>
      <c r="AP117" s="189"/>
      <c r="AQ117" s="189"/>
      <c r="AR117" s="189"/>
      <c r="AS117" s="189"/>
      <c r="AT117" s="189"/>
      <c r="AU117" s="190"/>
      <c r="AV117" s="190"/>
      <c r="AW117" s="190"/>
      <c r="AX117" s="190"/>
      <c r="AY117" s="190"/>
      <c r="AZ117" s="189"/>
      <c r="BA117" s="189"/>
      <c r="BB117" s="189"/>
      <c r="BC117" s="189"/>
      <c r="BD117" s="189"/>
      <c r="BE117" s="189"/>
      <c r="BF117" s="189"/>
      <c r="BG117" s="189"/>
      <c r="BH117" s="189"/>
      <c r="BI117" s="190"/>
      <c r="BJ117" s="190"/>
      <c r="BK117" s="190"/>
      <c r="BL117" s="190"/>
      <c r="BM117" s="190"/>
      <c r="BN117" s="191"/>
      <c r="BO117" s="191"/>
      <c r="BP117" s="191"/>
      <c r="BQ117" s="191"/>
      <c r="BR117" s="191"/>
      <c r="BS117" s="191"/>
      <c r="BT117" s="190"/>
      <c r="BU117" s="190"/>
      <c r="BV117" s="190"/>
      <c r="BW117" s="190"/>
      <c r="BX117" s="190"/>
      <c r="BY117" s="190"/>
      <c r="BZ117" s="190"/>
      <c r="CA117" s="189"/>
      <c r="CB117" s="485" t="s">
        <v>638</v>
      </c>
    </row>
    <row r="118" spans="1:80" ht="15" x14ac:dyDescent="0.25">
      <c r="A118" s="167"/>
      <c r="B118" s="642"/>
      <c r="C118" s="642"/>
      <c r="D118" s="179"/>
      <c r="E118" s="169"/>
      <c r="F118" s="169"/>
      <c r="G118" s="186"/>
      <c r="H118" s="187"/>
      <c r="I118" s="187"/>
      <c r="J118" s="187"/>
      <c r="K118" s="187"/>
      <c r="L118" s="647"/>
      <c r="M118" s="646">
        <v>32658</v>
      </c>
      <c r="N118" s="585">
        <v>0.2</v>
      </c>
      <c r="O118" s="585">
        <v>4.0999999999999999E-4</v>
      </c>
      <c r="P118" s="175">
        <v>0</v>
      </c>
      <c r="Q118" s="175">
        <v>0</v>
      </c>
      <c r="R118" s="175">
        <v>0</v>
      </c>
      <c r="S118" s="175">
        <v>0</v>
      </c>
      <c r="T118" s="175">
        <v>1E-4</v>
      </c>
      <c r="U118" s="175">
        <v>6.9999999999999994E-5</v>
      </c>
      <c r="V118" s="706">
        <v>2.4000000000000001E-4</v>
      </c>
      <c r="W118" s="717"/>
      <c r="X118" s="713"/>
      <c r="Y118" s="718"/>
      <c r="Z118" s="709">
        <v>8</v>
      </c>
      <c r="AA118" s="175"/>
      <c r="AB118" s="200"/>
      <c r="AC118" s="175">
        <v>5.2999999999999999E-2</v>
      </c>
      <c r="AD118" s="175">
        <v>1.87</v>
      </c>
      <c r="AE118" s="175">
        <v>0.11</v>
      </c>
      <c r="AF118" s="201">
        <f t="shared" si="2"/>
        <v>0.20570000000000002</v>
      </c>
      <c r="AG118" s="175">
        <v>0.98</v>
      </c>
      <c r="AH118" s="334"/>
      <c r="AI118" s="188"/>
      <c r="AJ118" s="188"/>
      <c r="AK118" s="188"/>
      <c r="AL118" s="189"/>
      <c r="AM118" s="189"/>
      <c r="AN118" s="189"/>
      <c r="AO118" s="189"/>
      <c r="AP118" s="189"/>
      <c r="AQ118" s="189"/>
      <c r="AR118" s="189"/>
      <c r="AS118" s="189"/>
      <c r="AT118" s="189"/>
      <c r="AU118" s="190"/>
      <c r="AV118" s="190"/>
      <c r="AW118" s="190"/>
      <c r="AX118" s="190"/>
      <c r="AY118" s="190"/>
      <c r="AZ118" s="189"/>
      <c r="BA118" s="189"/>
      <c r="BB118" s="189"/>
      <c r="BC118" s="189"/>
      <c r="BD118" s="189"/>
      <c r="BE118" s="189"/>
      <c r="BF118" s="189"/>
      <c r="BG118" s="189"/>
      <c r="BH118" s="189"/>
      <c r="BI118" s="190"/>
      <c r="BJ118" s="190"/>
      <c r="BK118" s="190"/>
      <c r="BL118" s="190"/>
      <c r="BM118" s="190"/>
      <c r="BN118" s="191"/>
      <c r="BO118" s="191"/>
      <c r="BP118" s="191"/>
      <c r="BQ118" s="191"/>
      <c r="BR118" s="191"/>
      <c r="BS118" s="191"/>
      <c r="BT118" s="190"/>
      <c r="BU118" s="190"/>
      <c r="BV118" s="190"/>
      <c r="BW118" s="190"/>
      <c r="BX118" s="190"/>
      <c r="BY118" s="190"/>
      <c r="BZ118" s="190"/>
      <c r="CA118" s="189"/>
      <c r="CB118" s="15"/>
    </row>
    <row r="119" spans="1:80" ht="15" x14ac:dyDescent="0.25">
      <c r="A119" s="167"/>
      <c r="B119" s="642"/>
      <c r="C119" s="642"/>
      <c r="D119" s="179"/>
      <c r="E119" s="169"/>
      <c r="F119" s="169"/>
      <c r="G119" s="186"/>
      <c r="H119" s="187"/>
      <c r="I119" s="187"/>
      <c r="J119" s="187"/>
      <c r="K119" s="187"/>
      <c r="L119" s="647"/>
      <c r="M119" s="646">
        <v>32660</v>
      </c>
      <c r="N119" s="585">
        <v>0.27</v>
      </c>
      <c r="O119" s="585">
        <v>1.438E-2</v>
      </c>
      <c r="P119" s="175">
        <v>0</v>
      </c>
      <c r="Q119" s="175">
        <v>0</v>
      </c>
      <c r="R119" s="175">
        <v>7.6000000000000004E-4</v>
      </c>
      <c r="S119" s="175">
        <v>2.32E-3</v>
      </c>
      <c r="T119" s="175">
        <v>3.1199999999999999E-3</v>
      </c>
      <c r="U119" s="175">
        <v>3.0100000000000001E-3</v>
      </c>
      <c r="V119" s="706">
        <v>5.1700000000000001E-3</v>
      </c>
      <c r="W119" s="717"/>
      <c r="X119" s="713"/>
      <c r="Y119" s="718"/>
      <c r="Z119" s="709">
        <v>25</v>
      </c>
      <c r="AA119" s="175"/>
      <c r="AB119" s="200"/>
      <c r="AC119" s="175">
        <v>5.3999999999999999E-2</v>
      </c>
      <c r="AD119" s="175">
        <v>2.09</v>
      </c>
      <c r="AE119" s="175">
        <v>0.12</v>
      </c>
      <c r="AF119" s="201">
        <f t="shared" si="2"/>
        <v>0.25079999999999997</v>
      </c>
      <c r="AG119" s="175">
        <v>0.99</v>
      </c>
      <c r="AH119" s="334"/>
      <c r="AI119" s="188"/>
      <c r="AJ119" s="188"/>
      <c r="AK119" s="188"/>
      <c r="AL119" s="189"/>
      <c r="AM119" s="189"/>
      <c r="AN119" s="189"/>
      <c r="AO119" s="189"/>
      <c r="AP119" s="189"/>
      <c r="AQ119" s="189"/>
      <c r="AR119" s="189"/>
      <c r="AS119" s="189"/>
      <c r="AT119" s="189"/>
      <c r="AU119" s="190"/>
      <c r="AV119" s="190"/>
      <c r="AW119" s="190"/>
      <c r="AX119" s="190"/>
      <c r="AY119" s="190"/>
      <c r="AZ119" s="189"/>
      <c r="BA119" s="189"/>
      <c r="BB119" s="189"/>
      <c r="BC119" s="189"/>
      <c r="BD119" s="189"/>
      <c r="BE119" s="189"/>
      <c r="BF119" s="189"/>
      <c r="BG119" s="189"/>
      <c r="BH119" s="189"/>
      <c r="BI119" s="190"/>
      <c r="BJ119" s="190"/>
      <c r="BK119" s="190"/>
      <c r="BL119" s="190"/>
      <c r="BM119" s="190"/>
      <c r="BN119" s="191"/>
      <c r="BO119" s="191"/>
      <c r="BP119" s="191"/>
      <c r="BQ119" s="191"/>
      <c r="BR119" s="191"/>
      <c r="BS119" s="191"/>
      <c r="BT119" s="190"/>
      <c r="BU119" s="190"/>
      <c r="BV119" s="190"/>
      <c r="BW119" s="190"/>
      <c r="BX119" s="190"/>
      <c r="BY119" s="190"/>
      <c r="BZ119" s="190"/>
      <c r="CA119" s="189"/>
      <c r="CB119" s="15"/>
    </row>
    <row r="120" spans="1:80" ht="15" x14ac:dyDescent="0.25">
      <c r="A120" s="167"/>
      <c r="B120" s="642"/>
      <c r="C120" s="642"/>
      <c r="D120" s="179"/>
      <c r="E120" s="169"/>
      <c r="F120" s="169"/>
      <c r="G120" s="186"/>
      <c r="H120" s="187"/>
      <c r="I120" s="187"/>
      <c r="J120" s="187"/>
      <c r="K120" s="187"/>
      <c r="L120" s="647"/>
      <c r="M120" s="646">
        <v>32661</v>
      </c>
      <c r="N120" s="585">
        <v>0.27</v>
      </c>
      <c r="O120" s="585">
        <v>3.7299999999999998E-3</v>
      </c>
      <c r="P120" s="175">
        <v>0</v>
      </c>
      <c r="Q120" s="175">
        <v>0</v>
      </c>
      <c r="R120" s="175">
        <v>0</v>
      </c>
      <c r="S120" s="175">
        <v>3.8999999999999999E-4</v>
      </c>
      <c r="T120" s="175">
        <v>6.2E-4</v>
      </c>
      <c r="U120" s="175">
        <v>9.1E-4</v>
      </c>
      <c r="V120" s="706">
        <v>1.82E-3</v>
      </c>
      <c r="W120" s="717"/>
      <c r="X120" s="713"/>
      <c r="Y120" s="718"/>
      <c r="Z120" s="709">
        <v>14</v>
      </c>
      <c r="AA120" s="175"/>
      <c r="AB120" s="200"/>
      <c r="AC120" s="175">
        <v>5.3999999999999999E-2</v>
      </c>
      <c r="AD120" s="175">
        <v>1.96</v>
      </c>
      <c r="AE120" s="175">
        <v>0.13</v>
      </c>
      <c r="AF120" s="201">
        <f t="shared" si="2"/>
        <v>0.25480000000000003</v>
      </c>
      <c r="AG120" s="175">
        <v>0.99</v>
      </c>
      <c r="AH120" s="334"/>
      <c r="AI120" s="188"/>
      <c r="AJ120" s="188"/>
      <c r="AK120" s="188"/>
      <c r="AL120" s="189"/>
      <c r="AM120" s="189"/>
      <c r="AN120" s="189"/>
      <c r="AO120" s="189"/>
      <c r="AP120" s="189"/>
      <c r="AQ120" s="189"/>
      <c r="AR120" s="189"/>
      <c r="AS120" s="189"/>
      <c r="AT120" s="189"/>
      <c r="AU120" s="190"/>
      <c r="AV120" s="190"/>
      <c r="AW120" s="190"/>
      <c r="AX120" s="190"/>
      <c r="AY120" s="190"/>
      <c r="AZ120" s="189"/>
      <c r="BA120" s="189"/>
      <c r="BB120" s="189"/>
      <c r="BC120" s="189"/>
      <c r="BD120" s="189"/>
      <c r="BE120" s="189"/>
      <c r="BF120" s="189"/>
      <c r="BG120" s="189"/>
      <c r="BH120" s="189"/>
      <c r="BI120" s="190"/>
      <c r="BJ120" s="190"/>
      <c r="BK120" s="190"/>
      <c r="BL120" s="190"/>
      <c r="BM120" s="190"/>
      <c r="BN120" s="191"/>
      <c r="BO120" s="191"/>
      <c r="BP120" s="191"/>
      <c r="BQ120" s="191"/>
      <c r="BR120" s="191"/>
      <c r="BS120" s="191"/>
      <c r="BT120" s="190"/>
      <c r="BU120" s="190"/>
      <c r="BV120" s="190"/>
      <c r="BW120" s="190"/>
      <c r="BX120" s="190"/>
      <c r="BY120" s="190"/>
      <c r="BZ120" s="190"/>
      <c r="CA120" s="189"/>
      <c r="CB120" s="15"/>
    </row>
    <row r="121" spans="1:80" ht="15" x14ac:dyDescent="0.25">
      <c r="A121" s="167"/>
      <c r="B121" s="642"/>
      <c r="C121" s="642"/>
      <c r="D121" s="179"/>
      <c r="E121" s="169"/>
      <c r="F121" s="169"/>
      <c r="G121" s="186"/>
      <c r="H121" s="187"/>
      <c r="I121" s="187"/>
      <c r="J121" s="187"/>
      <c r="K121" s="187"/>
      <c r="L121" s="647"/>
      <c r="M121" s="646">
        <v>32662</v>
      </c>
      <c r="N121" s="585">
        <v>0.24</v>
      </c>
      <c r="O121" s="585">
        <v>1.57E-3</v>
      </c>
      <c r="P121" s="175">
        <v>0</v>
      </c>
      <c r="Q121" s="175">
        <v>0</v>
      </c>
      <c r="R121" s="175">
        <v>0</v>
      </c>
      <c r="S121" s="175">
        <v>4.0000000000000003E-5</v>
      </c>
      <c r="T121" s="175">
        <v>1.7000000000000001E-4</v>
      </c>
      <c r="U121" s="175">
        <v>3.2000000000000003E-4</v>
      </c>
      <c r="V121" s="706">
        <v>1.0399999999999999E-3</v>
      </c>
      <c r="W121" s="717"/>
      <c r="X121" s="713"/>
      <c r="Y121" s="718"/>
      <c r="Z121" s="709">
        <v>10.5</v>
      </c>
      <c r="AA121" s="175"/>
      <c r="AB121" s="200"/>
      <c r="AC121" s="175">
        <v>5.3999999999999999E-2</v>
      </c>
      <c r="AD121" s="175">
        <v>1.84</v>
      </c>
      <c r="AE121" s="175">
        <v>0.12</v>
      </c>
      <c r="AF121" s="201">
        <f t="shared" si="2"/>
        <v>0.2208</v>
      </c>
      <c r="AG121" s="175">
        <v>1.1399999999999999</v>
      </c>
      <c r="AH121" s="334"/>
      <c r="AI121" s="188"/>
      <c r="AJ121" s="188"/>
      <c r="AK121" s="188"/>
      <c r="AL121" s="189"/>
      <c r="AM121" s="189"/>
      <c r="AN121" s="189"/>
      <c r="AO121" s="189"/>
      <c r="AP121" s="189"/>
      <c r="AQ121" s="189"/>
      <c r="AR121" s="189"/>
      <c r="AS121" s="189"/>
      <c r="AT121" s="189"/>
      <c r="AU121" s="190"/>
      <c r="AV121" s="190"/>
      <c r="AW121" s="190"/>
      <c r="AX121" s="190"/>
      <c r="AY121" s="190"/>
      <c r="AZ121" s="189"/>
      <c r="BA121" s="189"/>
      <c r="BB121" s="189"/>
      <c r="BC121" s="189"/>
      <c r="BD121" s="189"/>
      <c r="BE121" s="189"/>
      <c r="BF121" s="189"/>
      <c r="BG121" s="189"/>
      <c r="BH121" s="189"/>
      <c r="BI121" s="190"/>
      <c r="BJ121" s="190"/>
      <c r="BK121" s="190"/>
      <c r="BL121" s="190"/>
      <c r="BM121" s="190"/>
      <c r="BN121" s="191"/>
      <c r="BO121" s="191"/>
      <c r="BP121" s="191"/>
      <c r="BQ121" s="191"/>
      <c r="BR121" s="191"/>
      <c r="BS121" s="191"/>
      <c r="BT121" s="190"/>
      <c r="BU121" s="190"/>
      <c r="BV121" s="190"/>
      <c r="BW121" s="190"/>
      <c r="BX121" s="190"/>
      <c r="BY121" s="190"/>
      <c r="BZ121" s="190"/>
      <c r="CA121" s="189"/>
      <c r="CB121" s="15"/>
    </row>
    <row r="122" spans="1:80" ht="15" x14ac:dyDescent="0.25">
      <c r="A122" s="167"/>
      <c r="B122" s="642"/>
      <c r="C122" s="642"/>
      <c r="D122" s="179"/>
      <c r="E122" s="169"/>
      <c r="F122" s="169"/>
      <c r="G122" s="186"/>
      <c r="H122" s="187"/>
      <c r="I122" s="187"/>
      <c r="J122" s="187"/>
      <c r="K122" s="187"/>
      <c r="L122" s="647"/>
      <c r="M122" s="646">
        <v>32665</v>
      </c>
      <c r="N122" s="585">
        <v>0.23</v>
      </c>
      <c r="O122" s="585">
        <v>2.5999999999999999E-3</v>
      </c>
      <c r="P122" s="175">
        <v>0</v>
      </c>
      <c r="Q122" s="175">
        <v>0</v>
      </c>
      <c r="R122" s="175">
        <v>4.8000000000000001E-4</v>
      </c>
      <c r="S122" s="175">
        <v>0</v>
      </c>
      <c r="T122" s="175">
        <v>1.6000000000000001E-4</v>
      </c>
      <c r="U122" s="175">
        <v>5.0000000000000001E-4</v>
      </c>
      <c r="V122" s="706">
        <v>1.4599999999999999E-3</v>
      </c>
      <c r="W122" s="717"/>
      <c r="X122" s="713"/>
      <c r="Y122" s="718"/>
      <c r="Z122" s="709">
        <v>21</v>
      </c>
      <c r="AA122" s="175"/>
      <c r="AB122" s="200"/>
      <c r="AC122" s="175">
        <v>5.2999999999999999E-2</v>
      </c>
      <c r="AD122" s="175">
        <v>1.8</v>
      </c>
      <c r="AE122" s="175">
        <v>0.14000000000000001</v>
      </c>
      <c r="AF122" s="201">
        <f t="shared" si="2"/>
        <v>0.25200000000000006</v>
      </c>
      <c r="AG122" s="175">
        <v>0.83</v>
      </c>
      <c r="AH122" s="334"/>
      <c r="AI122" s="188"/>
      <c r="AJ122" s="188"/>
      <c r="AK122" s="188"/>
      <c r="AL122" s="189"/>
      <c r="AM122" s="189"/>
      <c r="AN122" s="189"/>
      <c r="AO122" s="189"/>
      <c r="AP122" s="189"/>
      <c r="AQ122" s="189"/>
      <c r="AR122" s="189"/>
      <c r="AS122" s="189"/>
      <c r="AT122" s="189"/>
      <c r="AU122" s="190"/>
      <c r="AV122" s="190"/>
      <c r="AW122" s="190"/>
      <c r="AX122" s="190"/>
      <c r="AY122" s="190"/>
      <c r="AZ122" s="189"/>
      <c r="BA122" s="189"/>
      <c r="BB122" s="189"/>
      <c r="BC122" s="189"/>
      <c r="BD122" s="189"/>
      <c r="BE122" s="189"/>
      <c r="BF122" s="189"/>
      <c r="BG122" s="189"/>
      <c r="BH122" s="189"/>
      <c r="BI122" s="190"/>
      <c r="BJ122" s="190"/>
      <c r="BK122" s="190"/>
      <c r="BL122" s="190"/>
      <c r="BM122" s="190"/>
      <c r="BN122" s="191"/>
      <c r="BO122" s="191"/>
      <c r="BP122" s="191"/>
      <c r="BQ122" s="191"/>
      <c r="BR122" s="191"/>
      <c r="BS122" s="191"/>
      <c r="BT122" s="190"/>
      <c r="BU122" s="190"/>
      <c r="BV122" s="190"/>
      <c r="BW122" s="190"/>
      <c r="BX122" s="190"/>
      <c r="BY122" s="190"/>
      <c r="BZ122" s="190"/>
      <c r="CA122" s="189"/>
      <c r="CB122" s="15"/>
    </row>
    <row r="123" spans="1:80" ht="15" x14ac:dyDescent="0.25">
      <c r="A123" s="167"/>
      <c r="B123" s="642"/>
      <c r="C123" s="642"/>
      <c r="D123" s="179"/>
      <c r="E123" s="169"/>
      <c r="F123" s="169"/>
      <c r="G123" s="186"/>
      <c r="H123" s="187"/>
      <c r="I123" s="187"/>
      <c r="J123" s="187"/>
      <c r="K123" s="187"/>
      <c r="L123" s="647"/>
      <c r="M123" s="646">
        <v>32666</v>
      </c>
      <c r="N123" s="585">
        <v>0.2</v>
      </c>
      <c r="O123" s="585">
        <v>9.6000000000000002E-4</v>
      </c>
      <c r="P123" s="175">
        <v>0</v>
      </c>
      <c r="Q123" s="175">
        <v>0</v>
      </c>
      <c r="R123" s="175">
        <v>0</v>
      </c>
      <c r="S123" s="175">
        <v>0</v>
      </c>
      <c r="T123" s="175">
        <v>6.0000000000000002E-5</v>
      </c>
      <c r="U123" s="175">
        <v>2.0000000000000001E-4</v>
      </c>
      <c r="V123" s="706">
        <v>6.9999999999999999E-4</v>
      </c>
      <c r="W123" s="717"/>
      <c r="X123" s="713"/>
      <c r="Y123" s="718"/>
      <c r="Z123" s="709">
        <v>6</v>
      </c>
      <c r="AA123" s="175"/>
      <c r="AB123" s="200"/>
      <c r="AC123" s="175">
        <v>5.2999999999999999E-2</v>
      </c>
      <c r="AD123" s="175">
        <v>1.71</v>
      </c>
      <c r="AE123" s="175">
        <v>0.12</v>
      </c>
      <c r="AF123" s="201">
        <f t="shared" si="2"/>
        <v>0.20519999999999999</v>
      </c>
      <c r="AG123" s="175">
        <v>0.94</v>
      </c>
      <c r="AH123" s="334"/>
      <c r="AI123" s="188"/>
      <c r="AJ123" s="188"/>
      <c r="AK123" s="188"/>
      <c r="AL123" s="189"/>
      <c r="AM123" s="189"/>
      <c r="AN123" s="189"/>
      <c r="AO123" s="189"/>
      <c r="AP123" s="189"/>
      <c r="AQ123" s="189"/>
      <c r="AR123" s="189"/>
      <c r="AS123" s="189"/>
      <c r="AT123" s="189"/>
      <c r="AU123" s="190"/>
      <c r="AV123" s="190"/>
      <c r="AW123" s="190"/>
      <c r="AX123" s="190"/>
      <c r="AY123" s="190"/>
      <c r="AZ123" s="189"/>
      <c r="BA123" s="189"/>
      <c r="BB123" s="189"/>
      <c r="BC123" s="189"/>
      <c r="BD123" s="189"/>
      <c r="BE123" s="189"/>
      <c r="BF123" s="189"/>
      <c r="BG123" s="189"/>
      <c r="BH123" s="189"/>
      <c r="BI123" s="190"/>
      <c r="BJ123" s="190"/>
      <c r="BK123" s="190"/>
      <c r="BL123" s="190"/>
      <c r="BM123" s="190"/>
      <c r="BN123" s="191"/>
      <c r="BO123" s="191"/>
      <c r="BP123" s="191"/>
      <c r="BQ123" s="191"/>
      <c r="BR123" s="191"/>
      <c r="BS123" s="191"/>
      <c r="BT123" s="190"/>
      <c r="BU123" s="190"/>
      <c r="BV123" s="190"/>
      <c r="BW123" s="190"/>
      <c r="BX123" s="190"/>
      <c r="BY123" s="190"/>
      <c r="BZ123" s="190"/>
      <c r="CA123" s="189"/>
      <c r="CB123" s="15"/>
    </row>
    <row r="124" spans="1:80" ht="15" x14ac:dyDescent="0.25">
      <c r="A124" s="167"/>
      <c r="B124" s="642"/>
      <c r="C124" s="642"/>
      <c r="D124" s="179"/>
      <c r="E124" s="169"/>
      <c r="F124" s="169"/>
      <c r="G124" s="186"/>
      <c r="H124" s="187"/>
      <c r="I124" s="187"/>
      <c r="J124" s="187"/>
      <c r="K124" s="187"/>
      <c r="L124" s="647"/>
      <c r="M124" s="646">
        <v>32667</v>
      </c>
      <c r="N124" s="585">
        <v>0.19</v>
      </c>
      <c r="O124" s="585">
        <v>3.2000000000000003E-4</v>
      </c>
      <c r="P124" s="175">
        <v>0</v>
      </c>
      <c r="Q124" s="175">
        <v>0</v>
      </c>
      <c r="R124" s="175">
        <v>0</v>
      </c>
      <c r="S124" s="175">
        <v>0</v>
      </c>
      <c r="T124" s="175">
        <v>4.0000000000000003E-5</v>
      </c>
      <c r="U124" s="175">
        <v>8.0000000000000007E-5</v>
      </c>
      <c r="V124" s="706">
        <v>1.9000000000000001E-4</v>
      </c>
      <c r="W124" s="717"/>
      <c r="X124" s="713"/>
      <c r="Y124" s="718"/>
      <c r="Z124" s="709">
        <v>6.5</v>
      </c>
      <c r="AA124" s="175"/>
      <c r="AB124" s="200"/>
      <c r="AC124" s="175">
        <v>5.2999999999999999E-2</v>
      </c>
      <c r="AD124" s="175">
        <v>1.81</v>
      </c>
      <c r="AE124" s="175">
        <v>0.1</v>
      </c>
      <c r="AF124" s="201">
        <f t="shared" si="2"/>
        <v>0.18100000000000002</v>
      </c>
      <c r="AG124" s="175">
        <v>0.95</v>
      </c>
      <c r="AH124" s="334"/>
      <c r="AI124" s="188"/>
      <c r="AJ124" s="188"/>
      <c r="AK124" s="188"/>
      <c r="AL124" s="189"/>
      <c r="AM124" s="189"/>
      <c r="AN124" s="189"/>
      <c r="AO124" s="189"/>
      <c r="AP124" s="189"/>
      <c r="AQ124" s="189"/>
      <c r="AR124" s="189"/>
      <c r="AS124" s="189"/>
      <c r="AT124" s="189"/>
      <c r="AU124" s="190"/>
      <c r="AV124" s="190"/>
      <c r="AW124" s="190"/>
      <c r="AX124" s="190"/>
      <c r="AY124" s="190"/>
      <c r="AZ124" s="189"/>
      <c r="BA124" s="189"/>
      <c r="BB124" s="189"/>
      <c r="BC124" s="189"/>
      <c r="BD124" s="189"/>
      <c r="BE124" s="189"/>
      <c r="BF124" s="189"/>
      <c r="BG124" s="189"/>
      <c r="BH124" s="189"/>
      <c r="BI124" s="190"/>
      <c r="BJ124" s="190"/>
      <c r="BK124" s="190"/>
      <c r="BL124" s="190"/>
      <c r="BM124" s="190"/>
      <c r="BN124" s="191"/>
      <c r="BO124" s="191"/>
      <c r="BP124" s="191"/>
      <c r="BQ124" s="191"/>
      <c r="BR124" s="191"/>
      <c r="BS124" s="191"/>
      <c r="BT124" s="190"/>
      <c r="BU124" s="190"/>
      <c r="BV124" s="190"/>
      <c r="BW124" s="190"/>
      <c r="BX124" s="190"/>
      <c r="BY124" s="190"/>
      <c r="BZ124" s="190"/>
      <c r="CA124" s="189"/>
      <c r="CB124" s="15"/>
    </row>
    <row r="125" spans="1:80" ht="15" x14ac:dyDescent="0.25">
      <c r="A125" s="167"/>
      <c r="B125" s="642"/>
      <c r="C125" s="642"/>
      <c r="D125" s="179"/>
      <c r="E125" s="169"/>
      <c r="F125" s="169"/>
      <c r="G125" s="186"/>
      <c r="H125" s="187"/>
      <c r="I125" s="187"/>
      <c r="J125" s="187"/>
      <c r="K125" s="187"/>
      <c r="L125" s="647"/>
      <c r="M125" s="646">
        <v>32668</v>
      </c>
      <c r="N125" s="585">
        <v>0.18</v>
      </c>
      <c r="O125" s="585">
        <v>6.9999999999999999E-4</v>
      </c>
      <c r="P125" s="175">
        <v>0</v>
      </c>
      <c r="Q125" s="175">
        <v>0</v>
      </c>
      <c r="R125" s="175">
        <v>0</v>
      </c>
      <c r="S125" s="175">
        <v>4.0000000000000003E-5</v>
      </c>
      <c r="T125" s="175">
        <v>2.1000000000000001E-4</v>
      </c>
      <c r="U125" s="175">
        <v>1.6000000000000001E-4</v>
      </c>
      <c r="V125" s="706">
        <v>2.9999999999999997E-4</v>
      </c>
      <c r="W125" s="717"/>
      <c r="X125" s="713"/>
      <c r="Y125" s="718"/>
      <c r="Z125" s="709">
        <v>13</v>
      </c>
      <c r="AA125" s="175"/>
      <c r="AB125" s="200"/>
      <c r="AC125" s="175">
        <v>5.2999999999999999E-2</v>
      </c>
      <c r="AD125" s="175">
        <v>1.73</v>
      </c>
      <c r="AE125" s="175">
        <v>0.13</v>
      </c>
      <c r="AF125" s="201">
        <f t="shared" si="2"/>
        <v>0.22490000000000002</v>
      </c>
      <c r="AG125" s="175">
        <v>0.54</v>
      </c>
      <c r="AH125" s="334"/>
      <c r="AI125" s="188"/>
      <c r="AJ125" s="188"/>
      <c r="AK125" s="188"/>
      <c r="AL125" s="189"/>
      <c r="AM125" s="189"/>
      <c r="AN125" s="189"/>
      <c r="AO125" s="189"/>
      <c r="AP125" s="189"/>
      <c r="AQ125" s="189"/>
      <c r="AR125" s="189"/>
      <c r="AS125" s="189"/>
      <c r="AT125" s="189"/>
      <c r="AU125" s="190"/>
      <c r="AV125" s="190"/>
      <c r="AW125" s="190"/>
      <c r="AX125" s="190"/>
      <c r="AY125" s="190"/>
      <c r="AZ125" s="189"/>
      <c r="BA125" s="189"/>
      <c r="BB125" s="189"/>
      <c r="BC125" s="189"/>
      <c r="BD125" s="189"/>
      <c r="BE125" s="189"/>
      <c r="BF125" s="189"/>
      <c r="BG125" s="189"/>
      <c r="BH125" s="189"/>
      <c r="BI125" s="190"/>
      <c r="BJ125" s="190"/>
      <c r="BK125" s="190"/>
      <c r="BL125" s="190"/>
      <c r="BM125" s="190"/>
      <c r="BN125" s="191"/>
      <c r="BO125" s="191"/>
      <c r="BP125" s="191"/>
      <c r="BQ125" s="191"/>
      <c r="BR125" s="191"/>
      <c r="BS125" s="191"/>
      <c r="BT125" s="190"/>
      <c r="BU125" s="190"/>
      <c r="BV125" s="190"/>
      <c r="BW125" s="190"/>
      <c r="BX125" s="190"/>
      <c r="BY125" s="190"/>
      <c r="BZ125" s="190"/>
      <c r="CA125" s="189"/>
      <c r="CB125" s="15"/>
    </row>
    <row r="126" spans="1:80" ht="15" x14ac:dyDescent="0.25">
      <c r="A126" s="167"/>
      <c r="B126" s="642"/>
      <c r="C126" s="642"/>
      <c r="D126" s="179"/>
      <c r="E126" s="169"/>
      <c r="F126" s="169"/>
      <c r="G126" s="186"/>
      <c r="H126" s="187"/>
      <c r="I126" s="187"/>
      <c r="J126" s="187"/>
      <c r="K126" s="187"/>
      <c r="L126" s="647"/>
      <c r="M126" s="646">
        <v>32669</v>
      </c>
      <c r="N126" s="585">
        <v>0.19</v>
      </c>
      <c r="O126" s="585">
        <v>2.1099999999999999E-3</v>
      </c>
      <c r="P126" s="175">
        <v>0</v>
      </c>
      <c r="Q126" s="175">
        <v>0</v>
      </c>
      <c r="R126" s="175">
        <v>0</v>
      </c>
      <c r="S126" s="175">
        <v>1.1E-4</v>
      </c>
      <c r="T126" s="175">
        <v>4.2999999999999999E-4</v>
      </c>
      <c r="U126" s="175">
        <v>5.5999999999999995E-4</v>
      </c>
      <c r="V126" s="706">
        <v>1.01E-3</v>
      </c>
      <c r="W126" s="717"/>
      <c r="X126" s="713"/>
      <c r="Y126" s="718"/>
      <c r="Z126" s="709">
        <v>15</v>
      </c>
      <c r="AA126" s="175"/>
      <c r="AB126" s="200"/>
      <c r="AC126" s="175">
        <v>5.2999999999999999E-2</v>
      </c>
      <c r="AD126" s="175">
        <v>1.88</v>
      </c>
      <c r="AE126" s="175">
        <v>0.11</v>
      </c>
      <c r="AF126" s="201">
        <f t="shared" si="2"/>
        <v>0.20679999999999998</v>
      </c>
      <c r="AG126" s="175">
        <v>0.96</v>
      </c>
      <c r="AH126" s="334"/>
      <c r="AI126" s="188"/>
      <c r="AJ126" s="188"/>
      <c r="AK126" s="188"/>
      <c r="AL126" s="189"/>
      <c r="AM126" s="189"/>
      <c r="AN126" s="189"/>
      <c r="AO126" s="189"/>
      <c r="AP126" s="189"/>
      <c r="AQ126" s="189"/>
      <c r="AR126" s="189"/>
      <c r="AS126" s="189"/>
      <c r="AT126" s="189"/>
      <c r="AU126" s="190"/>
      <c r="AV126" s="190"/>
      <c r="AW126" s="190"/>
      <c r="AX126" s="190"/>
      <c r="AY126" s="190"/>
      <c r="AZ126" s="189"/>
      <c r="BA126" s="189"/>
      <c r="BB126" s="189"/>
      <c r="BC126" s="189"/>
      <c r="BD126" s="189"/>
      <c r="BE126" s="189"/>
      <c r="BF126" s="189"/>
      <c r="BG126" s="189"/>
      <c r="BH126" s="189"/>
      <c r="BI126" s="190"/>
      <c r="BJ126" s="190"/>
      <c r="BK126" s="190"/>
      <c r="BL126" s="190"/>
      <c r="BM126" s="190"/>
      <c r="BN126" s="191"/>
      <c r="BO126" s="191"/>
      <c r="BP126" s="191"/>
      <c r="BQ126" s="191"/>
      <c r="BR126" s="191"/>
      <c r="BS126" s="191"/>
      <c r="BT126" s="190"/>
      <c r="BU126" s="190"/>
      <c r="BV126" s="190"/>
      <c r="BW126" s="190"/>
      <c r="BX126" s="190"/>
      <c r="BY126" s="190"/>
      <c r="BZ126" s="190"/>
      <c r="CA126" s="189"/>
      <c r="CB126" s="15"/>
    </row>
    <row r="127" spans="1:80" ht="15" x14ac:dyDescent="0.25">
      <c r="A127" s="167"/>
      <c r="B127" s="642"/>
      <c r="C127" s="642"/>
      <c r="D127" s="179"/>
      <c r="E127" s="169"/>
      <c r="F127" s="169"/>
      <c r="G127" s="186"/>
      <c r="H127" s="187"/>
      <c r="I127" s="187"/>
      <c r="J127" s="187"/>
      <c r="K127" s="187"/>
      <c r="L127" s="647"/>
      <c r="M127" s="646">
        <v>32672</v>
      </c>
      <c r="N127" s="585">
        <v>0.25</v>
      </c>
      <c r="O127" s="585">
        <v>4.4600000000000004E-3</v>
      </c>
      <c r="P127" s="175">
        <v>0</v>
      </c>
      <c r="Q127" s="175">
        <v>0</v>
      </c>
      <c r="R127" s="175">
        <v>0</v>
      </c>
      <c r="S127" s="175">
        <v>8.8999999999999995E-4</v>
      </c>
      <c r="T127" s="175">
        <v>1.0399999999999999E-3</v>
      </c>
      <c r="U127" s="175">
        <v>9.6000000000000002E-4</v>
      </c>
      <c r="V127" s="706">
        <v>1.57E-3</v>
      </c>
      <c r="W127" s="717"/>
      <c r="X127" s="713"/>
      <c r="Y127" s="718"/>
      <c r="Z127" s="709">
        <v>17</v>
      </c>
      <c r="AA127" s="175"/>
      <c r="AB127" s="200"/>
      <c r="AC127" s="175">
        <v>5.3999999999999999E-2</v>
      </c>
      <c r="AD127" s="175">
        <v>1.91</v>
      </c>
      <c r="AE127" s="175">
        <v>0.12</v>
      </c>
      <c r="AF127" s="201">
        <f t="shared" si="2"/>
        <v>0.22919999999999999</v>
      </c>
      <c r="AG127" s="175">
        <v>1.08</v>
      </c>
      <c r="AH127" s="334"/>
      <c r="AI127" s="188"/>
      <c r="AJ127" s="188"/>
      <c r="AK127" s="188"/>
      <c r="AL127" s="189"/>
      <c r="AM127" s="189"/>
      <c r="AN127" s="189"/>
      <c r="AO127" s="189"/>
      <c r="AP127" s="189"/>
      <c r="AQ127" s="189"/>
      <c r="AR127" s="189"/>
      <c r="AS127" s="189"/>
      <c r="AT127" s="189"/>
      <c r="AU127" s="190"/>
      <c r="AV127" s="190"/>
      <c r="AW127" s="190"/>
      <c r="AX127" s="190"/>
      <c r="AY127" s="190"/>
      <c r="AZ127" s="189"/>
      <c r="BA127" s="189"/>
      <c r="BB127" s="189"/>
      <c r="BC127" s="189"/>
      <c r="BD127" s="189"/>
      <c r="BE127" s="189"/>
      <c r="BF127" s="189"/>
      <c r="BG127" s="189"/>
      <c r="BH127" s="189"/>
      <c r="BI127" s="190"/>
      <c r="BJ127" s="190"/>
      <c r="BK127" s="190"/>
      <c r="BL127" s="190"/>
      <c r="BM127" s="190"/>
      <c r="BN127" s="191"/>
      <c r="BO127" s="191"/>
      <c r="BP127" s="191"/>
      <c r="BQ127" s="191"/>
      <c r="BR127" s="191"/>
      <c r="BS127" s="191"/>
      <c r="BT127" s="190"/>
      <c r="BU127" s="190"/>
      <c r="BV127" s="190"/>
      <c r="BW127" s="190"/>
      <c r="BX127" s="190"/>
      <c r="BY127" s="190"/>
      <c r="BZ127" s="190"/>
      <c r="CA127" s="189"/>
      <c r="CB127" s="15"/>
    </row>
    <row r="128" spans="1:80" ht="15" x14ac:dyDescent="0.25">
      <c r="A128" s="167"/>
      <c r="B128" s="642"/>
      <c r="C128" s="642"/>
      <c r="D128" s="179"/>
      <c r="E128" s="169"/>
      <c r="F128" s="169"/>
      <c r="G128" s="186"/>
      <c r="H128" s="187"/>
      <c r="I128" s="187"/>
      <c r="J128" s="187"/>
      <c r="K128" s="187"/>
      <c r="L128" s="647"/>
      <c r="M128" s="646">
        <v>32673</v>
      </c>
      <c r="N128" s="585">
        <v>0.28999999999999998</v>
      </c>
      <c r="O128" s="585">
        <v>4.8700000000000002E-3</v>
      </c>
      <c r="P128" s="175">
        <v>0</v>
      </c>
      <c r="Q128" s="175">
        <v>0</v>
      </c>
      <c r="R128" s="175">
        <v>0</v>
      </c>
      <c r="S128" s="175">
        <v>4.0000000000000002E-4</v>
      </c>
      <c r="T128" s="175">
        <v>6.4999999999999997E-4</v>
      </c>
      <c r="U128" s="175">
        <v>1.1100000000000001E-3</v>
      </c>
      <c r="V128" s="706">
        <v>2.7100000000000002E-3</v>
      </c>
      <c r="W128" s="717"/>
      <c r="X128" s="713"/>
      <c r="Y128" s="718"/>
      <c r="Z128" s="709">
        <v>11</v>
      </c>
      <c r="AA128" s="175"/>
      <c r="AB128" s="200"/>
      <c r="AC128" s="175">
        <v>5.3999999999999999E-2</v>
      </c>
      <c r="AD128" s="175">
        <v>1.98</v>
      </c>
      <c r="AE128" s="175">
        <v>0.17</v>
      </c>
      <c r="AF128" s="201">
        <f t="shared" si="2"/>
        <v>0.33660000000000001</v>
      </c>
      <c r="AG128" s="175">
        <v>0.79</v>
      </c>
      <c r="AH128" s="334"/>
      <c r="AI128" s="188"/>
      <c r="AJ128" s="188"/>
      <c r="AK128" s="188"/>
      <c r="AL128" s="189"/>
      <c r="AM128" s="189"/>
      <c r="AN128" s="189"/>
      <c r="AO128" s="189"/>
      <c r="AP128" s="189"/>
      <c r="AQ128" s="189"/>
      <c r="AR128" s="189"/>
      <c r="AS128" s="189"/>
      <c r="AT128" s="189"/>
      <c r="AU128" s="190"/>
      <c r="AV128" s="190"/>
      <c r="AW128" s="190"/>
      <c r="AX128" s="190"/>
      <c r="AY128" s="190"/>
      <c r="AZ128" s="189"/>
      <c r="BA128" s="189"/>
      <c r="BB128" s="189"/>
      <c r="BC128" s="189"/>
      <c r="BD128" s="189"/>
      <c r="BE128" s="189"/>
      <c r="BF128" s="189"/>
      <c r="BG128" s="189"/>
      <c r="BH128" s="189"/>
      <c r="BI128" s="190"/>
      <c r="BJ128" s="190"/>
      <c r="BK128" s="190"/>
      <c r="BL128" s="190"/>
      <c r="BM128" s="190"/>
      <c r="BN128" s="191"/>
      <c r="BO128" s="191"/>
      <c r="BP128" s="191"/>
      <c r="BQ128" s="191"/>
      <c r="BR128" s="191"/>
      <c r="BS128" s="191"/>
      <c r="BT128" s="190"/>
      <c r="BU128" s="190"/>
      <c r="BV128" s="190"/>
      <c r="BW128" s="190"/>
      <c r="BX128" s="190"/>
      <c r="BY128" s="190"/>
      <c r="BZ128" s="190"/>
      <c r="CA128" s="189"/>
      <c r="CB128" s="15"/>
    </row>
    <row r="129" spans="1:80" ht="15" x14ac:dyDescent="0.25">
      <c r="A129" s="167"/>
      <c r="B129" s="642"/>
      <c r="C129" s="642"/>
      <c r="D129" s="179"/>
      <c r="E129" s="169"/>
      <c r="F129" s="169"/>
      <c r="G129" s="186"/>
      <c r="H129" s="187"/>
      <c r="I129" s="187"/>
      <c r="J129" s="187"/>
      <c r="K129" s="187"/>
      <c r="L129" s="647"/>
      <c r="M129" s="646">
        <v>32674</v>
      </c>
      <c r="N129" s="585">
        <v>0.28999999999999998</v>
      </c>
      <c r="O129" s="585">
        <v>6.7600000000000004E-3</v>
      </c>
      <c r="P129" s="175">
        <v>0</v>
      </c>
      <c r="Q129" s="175">
        <v>0</v>
      </c>
      <c r="R129" s="175">
        <v>0</v>
      </c>
      <c r="S129" s="175">
        <v>2.5000000000000001E-4</v>
      </c>
      <c r="T129" s="175">
        <v>1.5200000000000001E-3</v>
      </c>
      <c r="U129" s="175">
        <v>1.8600000000000001E-3</v>
      </c>
      <c r="V129" s="706">
        <v>3.13E-3</v>
      </c>
      <c r="W129" s="717"/>
      <c r="X129" s="713"/>
      <c r="Y129" s="718"/>
      <c r="Z129" s="709">
        <v>12</v>
      </c>
      <c r="AA129" s="175"/>
      <c r="AB129" s="200"/>
      <c r="AC129" s="175">
        <v>5.3999999999999999E-2</v>
      </c>
      <c r="AD129" s="175">
        <v>1.94</v>
      </c>
      <c r="AE129" s="175">
        <v>0.13</v>
      </c>
      <c r="AF129" s="201">
        <f t="shared" si="2"/>
        <v>0.25219999999999998</v>
      </c>
      <c r="AG129" s="175">
        <v>1.05</v>
      </c>
      <c r="AH129" s="334"/>
      <c r="AI129" s="188"/>
      <c r="AJ129" s="188"/>
      <c r="AK129" s="188"/>
      <c r="AL129" s="189"/>
      <c r="AM129" s="189"/>
      <c r="AN129" s="189"/>
      <c r="AO129" s="189"/>
      <c r="AP129" s="189"/>
      <c r="AQ129" s="189"/>
      <c r="AR129" s="189"/>
      <c r="AS129" s="189"/>
      <c r="AT129" s="189"/>
      <c r="AU129" s="190"/>
      <c r="AV129" s="190"/>
      <c r="AW129" s="190"/>
      <c r="AX129" s="190"/>
      <c r="AY129" s="190"/>
      <c r="AZ129" s="189"/>
      <c r="BA129" s="189"/>
      <c r="BB129" s="189"/>
      <c r="BC129" s="189"/>
      <c r="BD129" s="189"/>
      <c r="BE129" s="189"/>
      <c r="BF129" s="189"/>
      <c r="BG129" s="189"/>
      <c r="BH129" s="189"/>
      <c r="BI129" s="190"/>
      <c r="BJ129" s="190"/>
      <c r="BK129" s="190"/>
      <c r="BL129" s="190"/>
      <c r="BM129" s="190"/>
      <c r="BN129" s="191"/>
      <c r="BO129" s="191"/>
      <c r="BP129" s="191"/>
      <c r="BQ129" s="191"/>
      <c r="BR129" s="191"/>
      <c r="BS129" s="191"/>
      <c r="BT129" s="190"/>
      <c r="BU129" s="190"/>
      <c r="BV129" s="190"/>
      <c r="BW129" s="190"/>
      <c r="BX129" s="190"/>
      <c r="BY129" s="190"/>
      <c r="BZ129" s="190"/>
      <c r="CA129" s="189"/>
      <c r="CB129" s="15"/>
    </row>
    <row r="130" spans="1:80" ht="15" x14ac:dyDescent="0.25">
      <c r="A130" s="167"/>
      <c r="B130" s="642"/>
      <c r="C130" s="642"/>
      <c r="D130" s="179"/>
      <c r="E130" s="169"/>
      <c r="F130" s="169"/>
      <c r="G130" s="186"/>
      <c r="H130" s="187"/>
      <c r="I130" s="187"/>
      <c r="J130" s="187"/>
      <c r="K130" s="187"/>
      <c r="L130" s="647"/>
      <c r="M130" s="646">
        <v>32675</v>
      </c>
      <c r="N130" s="585">
        <v>0.33</v>
      </c>
      <c r="O130" s="585">
        <v>1.243E-2</v>
      </c>
      <c r="P130" s="175">
        <v>0</v>
      </c>
      <c r="Q130" s="175">
        <v>0</v>
      </c>
      <c r="R130" s="175">
        <v>5.1000000000000004E-4</v>
      </c>
      <c r="S130" s="175">
        <v>7.6000000000000004E-4</v>
      </c>
      <c r="T130" s="175">
        <v>1.65E-3</v>
      </c>
      <c r="U130" s="175">
        <v>1.9400000000000001E-3</v>
      </c>
      <c r="V130" s="706">
        <v>7.5799999999999999E-3</v>
      </c>
      <c r="W130" s="717"/>
      <c r="X130" s="713"/>
      <c r="Y130" s="718"/>
      <c r="Z130" s="709">
        <v>26</v>
      </c>
      <c r="AA130" s="175"/>
      <c r="AB130" s="200"/>
      <c r="AC130" s="175">
        <v>5.3999999999999999E-2</v>
      </c>
      <c r="AD130" s="175">
        <v>2.0699999999999998</v>
      </c>
      <c r="AE130" s="175">
        <v>0.15</v>
      </c>
      <c r="AF130" s="201">
        <f t="shared" si="2"/>
        <v>0.31049999999999994</v>
      </c>
      <c r="AG130" s="175">
        <v>1.1100000000000001</v>
      </c>
      <c r="AH130" s="334"/>
      <c r="AI130" s="188"/>
      <c r="AJ130" s="188"/>
      <c r="AK130" s="188"/>
      <c r="AL130" s="189"/>
      <c r="AM130" s="189"/>
      <c r="AN130" s="189"/>
      <c r="AO130" s="189"/>
      <c r="AP130" s="189"/>
      <c r="AQ130" s="189"/>
      <c r="AR130" s="189"/>
      <c r="AS130" s="189"/>
      <c r="AT130" s="189"/>
      <c r="AU130" s="190"/>
      <c r="AV130" s="190"/>
      <c r="AW130" s="190"/>
      <c r="AX130" s="190"/>
      <c r="AY130" s="190"/>
      <c r="AZ130" s="189"/>
      <c r="BA130" s="189"/>
      <c r="BB130" s="189"/>
      <c r="BC130" s="189"/>
      <c r="BD130" s="189"/>
      <c r="BE130" s="189"/>
      <c r="BF130" s="189"/>
      <c r="BG130" s="189"/>
      <c r="BH130" s="189"/>
      <c r="BI130" s="190"/>
      <c r="BJ130" s="190"/>
      <c r="BK130" s="190"/>
      <c r="BL130" s="190"/>
      <c r="BM130" s="190"/>
      <c r="BN130" s="191"/>
      <c r="BO130" s="191"/>
      <c r="BP130" s="191"/>
      <c r="BQ130" s="191"/>
      <c r="BR130" s="191"/>
      <c r="BS130" s="191"/>
      <c r="BT130" s="190"/>
      <c r="BU130" s="190"/>
      <c r="BV130" s="190"/>
      <c r="BW130" s="190"/>
      <c r="BX130" s="190"/>
      <c r="BY130" s="190"/>
      <c r="BZ130" s="190"/>
      <c r="CA130" s="189"/>
      <c r="CB130" s="15"/>
    </row>
    <row r="131" spans="1:80" ht="15" x14ac:dyDescent="0.25">
      <c r="A131" s="167"/>
      <c r="B131" s="642"/>
      <c r="C131" s="642"/>
      <c r="D131" s="179"/>
      <c r="E131" s="169"/>
      <c r="F131" s="169"/>
      <c r="G131" s="186"/>
      <c r="H131" s="187"/>
      <c r="I131" s="187"/>
      <c r="J131" s="187"/>
      <c r="K131" s="187"/>
      <c r="L131" s="647"/>
      <c r="M131" s="646">
        <v>32676</v>
      </c>
      <c r="N131" s="585">
        <v>0.34</v>
      </c>
      <c r="O131" s="585">
        <v>1.9349999999999999E-2</v>
      </c>
      <c r="P131" s="175">
        <v>0</v>
      </c>
      <c r="Q131" s="175">
        <v>0</v>
      </c>
      <c r="R131" s="175">
        <v>4.4999999999999999E-4</v>
      </c>
      <c r="S131" s="175">
        <v>1.2199999999999999E-3</v>
      </c>
      <c r="T131" s="175">
        <v>1.9400000000000001E-3</v>
      </c>
      <c r="U131" s="175">
        <v>3.8E-3</v>
      </c>
      <c r="V131" s="706">
        <v>1.1950000000000001E-2</v>
      </c>
      <c r="W131" s="717"/>
      <c r="X131" s="713"/>
      <c r="Y131" s="718"/>
      <c r="Z131" s="709">
        <v>20</v>
      </c>
      <c r="AA131" s="175"/>
      <c r="AB131" s="200"/>
      <c r="AC131" s="175">
        <v>5.3999999999999999E-2</v>
      </c>
      <c r="AD131" s="175">
        <v>2.11</v>
      </c>
      <c r="AE131" s="175">
        <v>0.15</v>
      </c>
      <c r="AF131" s="201">
        <f t="shared" si="2"/>
        <v>0.31649999999999995</v>
      </c>
      <c r="AG131" s="175">
        <v>1</v>
      </c>
      <c r="AH131" s="334"/>
      <c r="AI131" s="188"/>
      <c r="AJ131" s="188"/>
      <c r="AK131" s="188"/>
      <c r="AL131" s="189"/>
      <c r="AM131" s="189"/>
      <c r="AN131" s="189"/>
      <c r="AO131" s="189"/>
      <c r="AP131" s="189"/>
      <c r="AQ131" s="189"/>
      <c r="AR131" s="189"/>
      <c r="AS131" s="189"/>
      <c r="AT131" s="189"/>
      <c r="AU131" s="190"/>
      <c r="AV131" s="190"/>
      <c r="AW131" s="190"/>
      <c r="AX131" s="190"/>
      <c r="AY131" s="190"/>
      <c r="AZ131" s="189"/>
      <c r="BA131" s="189"/>
      <c r="BB131" s="189"/>
      <c r="BC131" s="189"/>
      <c r="BD131" s="189"/>
      <c r="BE131" s="189"/>
      <c r="BF131" s="189"/>
      <c r="BG131" s="189"/>
      <c r="BH131" s="189"/>
      <c r="BI131" s="190"/>
      <c r="BJ131" s="190"/>
      <c r="BK131" s="190"/>
      <c r="BL131" s="190"/>
      <c r="BM131" s="190"/>
      <c r="BN131" s="191"/>
      <c r="BO131" s="191"/>
      <c r="BP131" s="191"/>
      <c r="BQ131" s="191"/>
      <c r="BR131" s="191"/>
      <c r="BS131" s="191"/>
      <c r="BT131" s="190"/>
      <c r="BU131" s="190"/>
      <c r="BV131" s="190"/>
      <c r="BW131" s="190"/>
      <c r="BX131" s="190"/>
      <c r="BY131" s="190"/>
      <c r="BZ131" s="190"/>
      <c r="CA131" s="189"/>
      <c r="CB131" s="15"/>
    </row>
    <row r="132" spans="1:80" ht="15" x14ac:dyDescent="0.25">
      <c r="A132" s="167"/>
      <c r="B132" s="642"/>
      <c r="C132" s="642"/>
      <c r="D132" s="179"/>
      <c r="E132" s="169"/>
      <c r="F132" s="169"/>
      <c r="G132" s="186"/>
      <c r="H132" s="187"/>
      <c r="I132" s="187"/>
      <c r="J132" s="187"/>
      <c r="K132" s="187"/>
      <c r="L132" s="647"/>
      <c r="M132" s="646">
        <v>32679</v>
      </c>
      <c r="N132" s="585">
        <v>0.32</v>
      </c>
      <c r="O132" s="585">
        <v>1.6580000000000001E-2</v>
      </c>
      <c r="P132" s="175">
        <v>0</v>
      </c>
      <c r="Q132" s="175">
        <v>0</v>
      </c>
      <c r="R132" s="175">
        <v>0</v>
      </c>
      <c r="S132" s="175">
        <v>1.33E-3</v>
      </c>
      <c r="T132" s="175">
        <v>2.1299999999999999E-3</v>
      </c>
      <c r="U132" s="175">
        <v>3.81E-3</v>
      </c>
      <c r="V132" s="706">
        <v>9.3100000000000006E-3</v>
      </c>
      <c r="W132" s="717"/>
      <c r="X132" s="713"/>
      <c r="Y132" s="718"/>
      <c r="Z132" s="709">
        <v>15</v>
      </c>
      <c r="AA132" s="175"/>
      <c r="AB132" s="200"/>
      <c r="AC132" s="175">
        <v>5.3999999999999999E-2</v>
      </c>
      <c r="AD132" s="175">
        <v>2</v>
      </c>
      <c r="AE132" s="175">
        <v>0.16</v>
      </c>
      <c r="AF132" s="201">
        <f t="shared" si="2"/>
        <v>0.32</v>
      </c>
      <c r="AG132" s="175">
        <v>1.1000000000000001</v>
      </c>
      <c r="AH132" s="334"/>
      <c r="AI132" s="188"/>
      <c r="AJ132" s="188"/>
      <c r="AK132" s="188"/>
      <c r="AL132" s="189"/>
      <c r="AM132" s="189"/>
      <c r="AN132" s="189"/>
      <c r="AO132" s="189"/>
      <c r="AP132" s="189"/>
      <c r="AQ132" s="189"/>
      <c r="AR132" s="189"/>
      <c r="AS132" s="189"/>
      <c r="AT132" s="189"/>
      <c r="AU132" s="190"/>
      <c r="AV132" s="190"/>
      <c r="AW132" s="190"/>
      <c r="AX132" s="190"/>
      <c r="AY132" s="190"/>
      <c r="AZ132" s="189"/>
      <c r="BA132" s="189"/>
      <c r="BB132" s="189"/>
      <c r="BC132" s="189"/>
      <c r="BD132" s="189"/>
      <c r="BE132" s="189"/>
      <c r="BF132" s="189"/>
      <c r="BG132" s="189"/>
      <c r="BH132" s="189"/>
      <c r="BI132" s="190"/>
      <c r="BJ132" s="190"/>
      <c r="BK132" s="190"/>
      <c r="BL132" s="190"/>
      <c r="BM132" s="190"/>
      <c r="BN132" s="191"/>
      <c r="BO132" s="191"/>
      <c r="BP132" s="191"/>
      <c r="BQ132" s="191"/>
      <c r="BR132" s="191"/>
      <c r="BS132" s="191"/>
      <c r="BT132" s="190"/>
      <c r="BU132" s="190"/>
      <c r="BV132" s="190"/>
      <c r="BW132" s="190"/>
      <c r="BX132" s="190"/>
      <c r="BY132" s="190"/>
      <c r="BZ132" s="190"/>
      <c r="CA132" s="189"/>
      <c r="CB132" s="15"/>
    </row>
    <row r="133" spans="1:80" ht="15" x14ac:dyDescent="0.25">
      <c r="A133" s="167"/>
      <c r="B133" s="642"/>
      <c r="C133" s="642"/>
      <c r="D133" s="179"/>
      <c r="E133" s="169"/>
      <c r="F133" s="169"/>
      <c r="G133" s="186"/>
      <c r="H133" s="187"/>
      <c r="I133" s="187"/>
      <c r="J133" s="187"/>
      <c r="K133" s="187"/>
      <c r="L133" s="647"/>
      <c r="M133" s="646">
        <v>32680</v>
      </c>
      <c r="N133" s="585">
        <v>0.28000000000000003</v>
      </c>
      <c r="O133" s="585">
        <v>6.2700000000000004E-3</v>
      </c>
      <c r="P133" s="175">
        <v>0</v>
      </c>
      <c r="Q133" s="175">
        <v>0</v>
      </c>
      <c r="R133" s="175">
        <v>0</v>
      </c>
      <c r="S133" s="175">
        <v>5.8E-4</v>
      </c>
      <c r="T133" s="175">
        <v>6.7000000000000002E-4</v>
      </c>
      <c r="U133" s="175">
        <v>1.2700000000000001E-3</v>
      </c>
      <c r="V133" s="706">
        <v>3.7499999999999999E-3</v>
      </c>
      <c r="W133" s="717"/>
      <c r="X133" s="713"/>
      <c r="Y133" s="718"/>
      <c r="Z133" s="709">
        <v>15</v>
      </c>
      <c r="AA133" s="175"/>
      <c r="AB133" s="200"/>
      <c r="AC133" s="175">
        <v>5.3999999999999999E-2</v>
      </c>
      <c r="AD133" s="175">
        <v>1.91</v>
      </c>
      <c r="AE133" s="175">
        <v>0.15</v>
      </c>
      <c r="AF133" s="201">
        <f t="shared" si="2"/>
        <v>0.28649999999999998</v>
      </c>
      <c r="AG133" s="175">
        <v>1</v>
      </c>
      <c r="AH133" s="334"/>
      <c r="AI133" s="188"/>
      <c r="AJ133" s="188"/>
      <c r="AK133" s="188"/>
      <c r="AL133" s="189"/>
      <c r="AM133" s="189"/>
      <c r="AN133" s="189"/>
      <c r="AO133" s="189"/>
      <c r="AP133" s="189"/>
      <c r="AQ133" s="189"/>
      <c r="AR133" s="189"/>
      <c r="AS133" s="189"/>
      <c r="AT133" s="189"/>
      <c r="AU133" s="190"/>
      <c r="AV133" s="190"/>
      <c r="AW133" s="190"/>
      <c r="AX133" s="190"/>
      <c r="AY133" s="190"/>
      <c r="AZ133" s="189"/>
      <c r="BA133" s="189"/>
      <c r="BB133" s="189"/>
      <c r="BC133" s="189"/>
      <c r="BD133" s="189"/>
      <c r="BE133" s="189"/>
      <c r="BF133" s="189"/>
      <c r="BG133" s="189"/>
      <c r="BH133" s="189"/>
      <c r="BI133" s="190"/>
      <c r="BJ133" s="190"/>
      <c r="BK133" s="190"/>
      <c r="BL133" s="190"/>
      <c r="BM133" s="190"/>
      <c r="BN133" s="191"/>
      <c r="BO133" s="191"/>
      <c r="BP133" s="191"/>
      <c r="BQ133" s="191"/>
      <c r="BR133" s="191"/>
      <c r="BS133" s="191"/>
      <c r="BT133" s="190"/>
      <c r="BU133" s="190"/>
      <c r="BV133" s="190"/>
      <c r="BW133" s="190"/>
      <c r="BX133" s="190"/>
      <c r="BY133" s="190"/>
      <c r="BZ133" s="190"/>
      <c r="CA133" s="189"/>
      <c r="CB133" s="15"/>
    </row>
    <row r="134" spans="1:80" ht="15" x14ac:dyDescent="0.25">
      <c r="A134" s="167"/>
      <c r="B134" s="642"/>
      <c r="C134" s="642"/>
      <c r="D134" s="179"/>
      <c r="E134" s="169"/>
      <c r="F134" s="169"/>
      <c r="G134" s="186"/>
      <c r="H134" s="187"/>
      <c r="I134" s="187"/>
      <c r="J134" s="187"/>
      <c r="K134" s="187"/>
      <c r="L134" s="647"/>
      <c r="M134" s="646">
        <v>32681</v>
      </c>
      <c r="N134" s="585">
        <v>0.28000000000000003</v>
      </c>
      <c r="O134" s="585">
        <v>4.8799999999999998E-3</v>
      </c>
      <c r="P134" s="175">
        <v>0</v>
      </c>
      <c r="Q134" s="175">
        <v>0</v>
      </c>
      <c r="R134" s="175">
        <v>0</v>
      </c>
      <c r="S134" s="175">
        <v>4.6000000000000001E-4</v>
      </c>
      <c r="T134" s="175">
        <v>8.3000000000000001E-4</v>
      </c>
      <c r="U134" s="175">
        <v>8.9999999999999998E-4</v>
      </c>
      <c r="V134" s="706">
        <v>2.6900000000000001E-3</v>
      </c>
      <c r="W134" s="717"/>
      <c r="X134" s="713"/>
      <c r="Y134" s="718"/>
      <c r="Z134" s="709">
        <v>14</v>
      </c>
      <c r="AA134" s="175"/>
      <c r="AB134" s="200"/>
      <c r="AC134" s="175">
        <v>5.3999999999999999E-2</v>
      </c>
      <c r="AD134" s="175">
        <v>1.84</v>
      </c>
      <c r="AE134" s="175">
        <v>0.17</v>
      </c>
      <c r="AF134" s="201">
        <f t="shared" si="2"/>
        <v>0.31280000000000002</v>
      </c>
      <c r="AG134" s="175">
        <v>0.91</v>
      </c>
      <c r="AH134" s="334"/>
      <c r="AI134" s="188"/>
      <c r="AJ134" s="188"/>
      <c r="AK134" s="188"/>
      <c r="AL134" s="189"/>
      <c r="AM134" s="189"/>
      <c r="AN134" s="189"/>
      <c r="AO134" s="189"/>
      <c r="AP134" s="189"/>
      <c r="AQ134" s="189"/>
      <c r="AR134" s="189"/>
      <c r="AS134" s="189"/>
      <c r="AT134" s="189"/>
      <c r="AU134" s="190"/>
      <c r="AV134" s="190"/>
      <c r="AW134" s="190"/>
      <c r="AX134" s="190"/>
      <c r="AY134" s="190"/>
      <c r="AZ134" s="189"/>
      <c r="BA134" s="189"/>
      <c r="BB134" s="189"/>
      <c r="BC134" s="189"/>
      <c r="BD134" s="189"/>
      <c r="BE134" s="189"/>
      <c r="BF134" s="189"/>
      <c r="BG134" s="189"/>
      <c r="BH134" s="189"/>
      <c r="BI134" s="190"/>
      <c r="BJ134" s="190"/>
      <c r="BK134" s="190"/>
      <c r="BL134" s="190"/>
      <c r="BM134" s="190"/>
      <c r="BN134" s="191"/>
      <c r="BO134" s="191"/>
      <c r="BP134" s="191"/>
      <c r="BQ134" s="191"/>
      <c r="BR134" s="191"/>
      <c r="BS134" s="191"/>
      <c r="BT134" s="190"/>
      <c r="BU134" s="190"/>
      <c r="BV134" s="190"/>
      <c r="BW134" s="190"/>
      <c r="BX134" s="190"/>
      <c r="BY134" s="190"/>
      <c r="BZ134" s="190"/>
      <c r="CA134" s="189"/>
      <c r="CB134" s="15"/>
    </row>
    <row r="135" spans="1:80" ht="15" x14ac:dyDescent="0.25">
      <c r="A135" s="167"/>
      <c r="B135" s="642"/>
      <c r="C135" s="642"/>
      <c r="D135" s="179"/>
      <c r="E135" s="169"/>
      <c r="F135" s="169"/>
      <c r="G135" s="186"/>
      <c r="H135" s="187"/>
      <c r="I135" s="187"/>
      <c r="J135" s="187"/>
      <c r="K135" s="187"/>
      <c r="L135" s="647"/>
      <c r="M135" s="646">
        <v>32682</v>
      </c>
      <c r="N135" s="585">
        <v>0.24</v>
      </c>
      <c r="O135" s="585">
        <v>3.3999999999999998E-3</v>
      </c>
      <c r="P135" s="175">
        <v>0</v>
      </c>
      <c r="Q135" s="175">
        <v>0</v>
      </c>
      <c r="R135" s="175">
        <v>0</v>
      </c>
      <c r="S135" s="175">
        <v>6.0000000000000002E-5</v>
      </c>
      <c r="T135" s="175">
        <v>5.9999999999999995E-4</v>
      </c>
      <c r="U135" s="175">
        <v>8.3000000000000001E-4</v>
      </c>
      <c r="V135" s="706">
        <v>1.91E-3</v>
      </c>
      <c r="W135" s="717"/>
      <c r="X135" s="713"/>
      <c r="Y135" s="718"/>
      <c r="Z135" s="709">
        <v>10</v>
      </c>
      <c r="AA135" s="175"/>
      <c r="AB135" s="200"/>
      <c r="AC135" s="175">
        <v>5.3999999999999999E-2</v>
      </c>
      <c r="AD135" s="175">
        <v>1.84</v>
      </c>
      <c r="AE135" s="175">
        <v>0.18</v>
      </c>
      <c r="AF135" s="201">
        <f t="shared" si="2"/>
        <v>0.33119999999999999</v>
      </c>
      <c r="AG135" s="175">
        <v>0.89</v>
      </c>
      <c r="AH135" s="334"/>
      <c r="AI135" s="188"/>
      <c r="AJ135" s="188"/>
      <c r="AK135" s="188"/>
      <c r="AL135" s="189"/>
      <c r="AM135" s="189"/>
      <c r="AN135" s="189"/>
      <c r="AO135" s="189"/>
      <c r="AP135" s="189"/>
      <c r="AQ135" s="189"/>
      <c r="AR135" s="189"/>
      <c r="AS135" s="189"/>
      <c r="AT135" s="189"/>
      <c r="AU135" s="190"/>
      <c r="AV135" s="190"/>
      <c r="AW135" s="190"/>
      <c r="AX135" s="190"/>
      <c r="AY135" s="190"/>
      <c r="AZ135" s="189"/>
      <c r="BA135" s="189"/>
      <c r="BB135" s="189"/>
      <c r="BC135" s="189"/>
      <c r="BD135" s="189"/>
      <c r="BE135" s="189"/>
      <c r="BF135" s="189"/>
      <c r="BG135" s="189"/>
      <c r="BH135" s="189"/>
      <c r="BI135" s="190"/>
      <c r="BJ135" s="190"/>
      <c r="BK135" s="190"/>
      <c r="BL135" s="190"/>
      <c r="BM135" s="190"/>
      <c r="BN135" s="191"/>
      <c r="BO135" s="191"/>
      <c r="BP135" s="191"/>
      <c r="BQ135" s="191"/>
      <c r="BR135" s="191"/>
      <c r="BS135" s="191"/>
      <c r="BT135" s="190"/>
      <c r="BU135" s="190"/>
      <c r="BV135" s="190"/>
      <c r="BW135" s="190"/>
      <c r="BX135" s="190"/>
      <c r="BY135" s="190"/>
      <c r="BZ135" s="190"/>
      <c r="CA135" s="189"/>
      <c r="CB135" s="15"/>
    </row>
    <row r="136" spans="1:80" ht="15" x14ac:dyDescent="0.25">
      <c r="A136" s="167"/>
      <c r="B136" s="642"/>
      <c r="C136" s="642"/>
      <c r="D136" s="179"/>
      <c r="E136" s="169"/>
      <c r="F136" s="169"/>
      <c r="G136" s="186"/>
      <c r="H136" s="187"/>
      <c r="I136" s="187"/>
      <c r="J136" s="187"/>
      <c r="K136" s="187"/>
      <c r="L136" s="647"/>
      <c r="M136" s="646">
        <v>32683</v>
      </c>
      <c r="N136" s="585">
        <v>0.24</v>
      </c>
      <c r="O136" s="585">
        <v>6.9300000000000004E-3</v>
      </c>
      <c r="P136" s="175">
        <v>0</v>
      </c>
      <c r="Q136" s="175">
        <v>0</v>
      </c>
      <c r="R136" s="175">
        <v>0</v>
      </c>
      <c r="S136" s="175">
        <v>9.3999999999999997E-4</v>
      </c>
      <c r="T136" s="175">
        <v>1.25E-3</v>
      </c>
      <c r="U136" s="175">
        <v>1.3600000000000001E-3</v>
      </c>
      <c r="V136" s="706">
        <v>3.3800000000000002E-3</v>
      </c>
      <c r="W136" s="717"/>
      <c r="X136" s="713"/>
      <c r="Y136" s="718"/>
      <c r="Z136" s="709">
        <v>15</v>
      </c>
      <c r="AA136" s="175"/>
      <c r="AB136" s="200"/>
      <c r="AC136" s="175">
        <v>5.3999999999999999E-2</v>
      </c>
      <c r="AD136" s="175">
        <v>1.85</v>
      </c>
      <c r="AE136" s="175">
        <v>0.16</v>
      </c>
      <c r="AF136" s="201">
        <f t="shared" si="2"/>
        <v>0.29600000000000004</v>
      </c>
      <c r="AG136" s="175">
        <v>0.86</v>
      </c>
      <c r="AH136" s="334"/>
      <c r="AI136" s="188"/>
      <c r="AJ136" s="188"/>
      <c r="AK136" s="188"/>
      <c r="AL136" s="189"/>
      <c r="AM136" s="189"/>
      <c r="AN136" s="189"/>
      <c r="AO136" s="189"/>
      <c r="AP136" s="189"/>
      <c r="AQ136" s="189"/>
      <c r="AR136" s="189"/>
      <c r="AS136" s="189"/>
      <c r="AT136" s="189"/>
      <c r="AU136" s="190"/>
      <c r="AV136" s="190"/>
      <c r="AW136" s="190"/>
      <c r="AX136" s="190"/>
      <c r="AY136" s="190"/>
      <c r="AZ136" s="189"/>
      <c r="BA136" s="189"/>
      <c r="BB136" s="189"/>
      <c r="BC136" s="189"/>
      <c r="BD136" s="189"/>
      <c r="BE136" s="189"/>
      <c r="BF136" s="189"/>
      <c r="BG136" s="189"/>
      <c r="BH136" s="189"/>
      <c r="BI136" s="190"/>
      <c r="BJ136" s="190"/>
      <c r="BK136" s="190"/>
      <c r="BL136" s="190"/>
      <c r="BM136" s="190"/>
      <c r="BN136" s="191"/>
      <c r="BO136" s="191"/>
      <c r="BP136" s="191"/>
      <c r="BQ136" s="191"/>
      <c r="BR136" s="191"/>
      <c r="BS136" s="191"/>
      <c r="BT136" s="190"/>
      <c r="BU136" s="190"/>
      <c r="BV136" s="190"/>
      <c r="BW136" s="190"/>
      <c r="BX136" s="190"/>
      <c r="BY136" s="190"/>
      <c r="BZ136" s="190"/>
      <c r="CA136" s="189"/>
      <c r="CB136" s="15"/>
    </row>
    <row r="137" spans="1:80" ht="15" x14ac:dyDescent="0.25">
      <c r="A137" s="167"/>
      <c r="B137" s="642"/>
      <c r="C137" s="642"/>
      <c r="D137" s="179"/>
      <c r="E137" s="169"/>
      <c r="F137" s="169"/>
      <c r="G137" s="186"/>
      <c r="H137" s="187"/>
      <c r="I137" s="187"/>
      <c r="J137" s="187"/>
      <c r="K137" s="187"/>
      <c r="L137" s="647"/>
      <c r="M137" s="646">
        <v>32686</v>
      </c>
      <c r="N137" s="585">
        <v>0.2</v>
      </c>
      <c r="O137" s="585">
        <v>2.7100000000000002E-3</v>
      </c>
      <c r="P137" s="175">
        <v>0</v>
      </c>
      <c r="Q137" s="175">
        <v>0</v>
      </c>
      <c r="R137" s="175">
        <v>0</v>
      </c>
      <c r="S137" s="175">
        <v>8.0000000000000007E-5</v>
      </c>
      <c r="T137" s="175">
        <v>1.1E-4</v>
      </c>
      <c r="U137" s="175">
        <v>4.8000000000000001E-4</v>
      </c>
      <c r="V137" s="706">
        <v>2.0400000000000001E-3</v>
      </c>
      <c r="W137" s="717"/>
      <c r="X137" s="713"/>
      <c r="Y137" s="718"/>
      <c r="Z137" s="709">
        <v>9</v>
      </c>
      <c r="AA137" s="175"/>
      <c r="AB137" s="200"/>
      <c r="AC137" s="175">
        <v>5.2999999999999999E-2</v>
      </c>
      <c r="AD137" s="175">
        <v>1.79</v>
      </c>
      <c r="AE137" s="175">
        <v>0.16</v>
      </c>
      <c r="AF137" s="201">
        <f t="shared" si="2"/>
        <v>0.28639999999999999</v>
      </c>
      <c r="AG137" s="175">
        <v>0.75</v>
      </c>
      <c r="AH137" s="334"/>
      <c r="AI137" s="188"/>
      <c r="AJ137" s="188"/>
      <c r="AK137" s="188"/>
      <c r="AL137" s="189"/>
      <c r="AM137" s="189"/>
      <c r="AN137" s="189"/>
      <c r="AO137" s="189"/>
      <c r="AP137" s="189"/>
      <c r="AQ137" s="189"/>
      <c r="AR137" s="189"/>
      <c r="AS137" s="189"/>
      <c r="AT137" s="189"/>
      <c r="AU137" s="190"/>
      <c r="AV137" s="190"/>
      <c r="AW137" s="190"/>
      <c r="AX137" s="190"/>
      <c r="AY137" s="190"/>
      <c r="AZ137" s="189"/>
      <c r="BA137" s="189"/>
      <c r="BB137" s="189"/>
      <c r="BC137" s="189"/>
      <c r="BD137" s="189"/>
      <c r="BE137" s="189"/>
      <c r="BF137" s="189"/>
      <c r="BG137" s="189"/>
      <c r="BH137" s="189"/>
      <c r="BI137" s="190"/>
      <c r="BJ137" s="190"/>
      <c r="BK137" s="190"/>
      <c r="BL137" s="190"/>
      <c r="BM137" s="190"/>
      <c r="BN137" s="191"/>
      <c r="BO137" s="191"/>
      <c r="BP137" s="191"/>
      <c r="BQ137" s="191"/>
      <c r="BR137" s="191"/>
      <c r="BS137" s="191"/>
      <c r="BT137" s="190"/>
      <c r="BU137" s="190"/>
      <c r="BV137" s="190"/>
      <c r="BW137" s="190"/>
      <c r="BX137" s="190"/>
      <c r="BY137" s="190"/>
      <c r="BZ137" s="190"/>
      <c r="CA137" s="189"/>
      <c r="CB137" s="15"/>
    </row>
    <row r="138" spans="1:80" ht="15" x14ac:dyDescent="0.25">
      <c r="A138" s="167"/>
      <c r="B138" s="642"/>
      <c r="C138" s="642"/>
      <c r="D138" s="179"/>
      <c r="E138" s="169"/>
      <c r="F138" s="169"/>
      <c r="G138" s="186"/>
      <c r="H138" s="187"/>
      <c r="I138" s="187"/>
      <c r="J138" s="187"/>
      <c r="K138" s="187"/>
      <c r="L138" s="647"/>
      <c r="M138" s="646">
        <v>32687</v>
      </c>
      <c r="N138" s="585">
        <v>0.19</v>
      </c>
      <c r="O138" s="585">
        <v>8.2799999999999992E-3</v>
      </c>
      <c r="P138" s="175">
        <v>0</v>
      </c>
      <c r="Q138" s="175">
        <v>0</v>
      </c>
      <c r="R138" s="175">
        <v>0</v>
      </c>
      <c r="S138" s="175">
        <v>8.9999999999999998E-4</v>
      </c>
      <c r="T138" s="175">
        <v>2.0600000000000002E-3</v>
      </c>
      <c r="U138" s="175">
        <v>2.2599999999999999E-3</v>
      </c>
      <c r="V138" s="706">
        <v>3.0599999999999998E-3</v>
      </c>
      <c r="W138" s="717"/>
      <c r="X138" s="713"/>
      <c r="Y138" s="718"/>
      <c r="Z138" s="709">
        <v>11</v>
      </c>
      <c r="AA138" s="175"/>
      <c r="AB138" s="200"/>
      <c r="AC138" s="175">
        <v>5.2999999999999999E-2</v>
      </c>
      <c r="AD138" s="175">
        <v>1.77</v>
      </c>
      <c r="AE138" s="175">
        <v>0.15</v>
      </c>
      <c r="AF138" s="201">
        <f t="shared" si="2"/>
        <v>0.26550000000000001</v>
      </c>
      <c r="AG138" s="175">
        <v>0.75</v>
      </c>
      <c r="AH138" s="334"/>
      <c r="AI138" s="188"/>
      <c r="AJ138" s="188"/>
      <c r="AK138" s="188"/>
      <c r="AL138" s="189"/>
      <c r="AM138" s="189"/>
      <c r="AN138" s="189"/>
      <c r="AO138" s="189"/>
      <c r="AP138" s="189"/>
      <c r="AQ138" s="189"/>
      <c r="AR138" s="189"/>
      <c r="AS138" s="189"/>
      <c r="AT138" s="189"/>
      <c r="AU138" s="190"/>
      <c r="AV138" s="190"/>
      <c r="AW138" s="190"/>
      <c r="AX138" s="190"/>
      <c r="AY138" s="190"/>
      <c r="AZ138" s="189"/>
      <c r="BA138" s="189"/>
      <c r="BB138" s="189"/>
      <c r="BC138" s="189"/>
      <c r="BD138" s="189"/>
      <c r="BE138" s="189"/>
      <c r="BF138" s="189"/>
      <c r="BG138" s="189"/>
      <c r="BH138" s="189"/>
      <c r="BI138" s="190"/>
      <c r="BJ138" s="190"/>
      <c r="BK138" s="190"/>
      <c r="BL138" s="190"/>
      <c r="BM138" s="190"/>
      <c r="BN138" s="191"/>
      <c r="BO138" s="191"/>
      <c r="BP138" s="191"/>
      <c r="BQ138" s="191"/>
      <c r="BR138" s="191"/>
      <c r="BS138" s="191"/>
      <c r="BT138" s="190"/>
      <c r="BU138" s="190"/>
      <c r="BV138" s="190"/>
      <c r="BW138" s="190"/>
      <c r="BX138" s="190"/>
      <c r="BY138" s="190"/>
      <c r="BZ138" s="190"/>
      <c r="CA138" s="189"/>
      <c r="CB138" s="15"/>
    </row>
    <row r="139" spans="1:80" ht="15" x14ac:dyDescent="0.25">
      <c r="A139" s="167"/>
      <c r="B139" s="642"/>
      <c r="C139" s="642"/>
      <c r="D139" s="179"/>
      <c r="E139" s="169"/>
      <c r="F139" s="169"/>
      <c r="G139" s="186"/>
      <c r="H139" s="187"/>
      <c r="I139" s="187"/>
      <c r="J139" s="187"/>
      <c r="K139" s="187"/>
      <c r="L139" s="647"/>
      <c r="M139" s="646">
        <v>32688</v>
      </c>
      <c r="N139" s="585">
        <v>0.17</v>
      </c>
      <c r="O139" s="585">
        <v>1.65E-3</v>
      </c>
      <c r="P139" s="175">
        <v>0</v>
      </c>
      <c r="Q139" s="175">
        <v>0</v>
      </c>
      <c r="R139" s="175">
        <v>0</v>
      </c>
      <c r="S139" s="175">
        <v>2.0000000000000002E-5</v>
      </c>
      <c r="T139" s="175">
        <v>2.9999999999999997E-4</v>
      </c>
      <c r="U139" s="175">
        <v>3.6999999999999999E-4</v>
      </c>
      <c r="V139" s="706">
        <v>9.5E-4</v>
      </c>
      <c r="W139" s="717"/>
      <c r="X139" s="713"/>
      <c r="Y139" s="718"/>
      <c r="Z139" s="709">
        <v>11</v>
      </c>
      <c r="AA139" s="175"/>
      <c r="AB139" s="200"/>
      <c r="AC139" s="175">
        <v>5.2999999999999999E-2</v>
      </c>
      <c r="AD139" s="175">
        <v>1.8</v>
      </c>
      <c r="AE139" s="175">
        <v>0.15</v>
      </c>
      <c r="AF139" s="201">
        <f t="shared" si="2"/>
        <v>0.27</v>
      </c>
      <c r="AG139" s="175">
        <v>0.64</v>
      </c>
      <c r="AH139" s="334"/>
      <c r="AI139" s="188"/>
      <c r="AJ139" s="188"/>
      <c r="AK139" s="188"/>
      <c r="AL139" s="189"/>
      <c r="AM139" s="189"/>
      <c r="AN139" s="189"/>
      <c r="AO139" s="189"/>
      <c r="AP139" s="189"/>
      <c r="AQ139" s="189"/>
      <c r="AR139" s="189"/>
      <c r="AS139" s="189"/>
      <c r="AT139" s="189"/>
      <c r="AU139" s="190"/>
      <c r="AV139" s="190"/>
      <c r="AW139" s="190"/>
      <c r="AX139" s="190"/>
      <c r="AY139" s="190"/>
      <c r="AZ139" s="189"/>
      <c r="BA139" s="189"/>
      <c r="BB139" s="189"/>
      <c r="BC139" s="189"/>
      <c r="BD139" s="189"/>
      <c r="BE139" s="189"/>
      <c r="BF139" s="189"/>
      <c r="BG139" s="189"/>
      <c r="BH139" s="189"/>
      <c r="BI139" s="190"/>
      <c r="BJ139" s="190"/>
      <c r="BK139" s="190"/>
      <c r="BL139" s="190"/>
      <c r="BM139" s="190"/>
      <c r="BN139" s="191"/>
      <c r="BO139" s="191"/>
      <c r="BP139" s="191"/>
      <c r="BQ139" s="191"/>
      <c r="BR139" s="191"/>
      <c r="BS139" s="191"/>
      <c r="BT139" s="190"/>
      <c r="BU139" s="190"/>
      <c r="BV139" s="190"/>
      <c r="BW139" s="190"/>
      <c r="BX139" s="190"/>
      <c r="BY139" s="190"/>
      <c r="BZ139" s="190"/>
      <c r="CA139" s="189"/>
      <c r="CB139" s="15"/>
    </row>
    <row r="140" spans="1:80" ht="15" x14ac:dyDescent="0.25">
      <c r="A140" s="167"/>
      <c r="B140" s="642"/>
      <c r="C140" s="642"/>
      <c r="D140" s="179"/>
      <c r="E140" s="169"/>
      <c r="F140" s="169"/>
      <c r="G140" s="186"/>
      <c r="H140" s="187"/>
      <c r="I140" s="187"/>
      <c r="J140" s="187"/>
      <c r="K140" s="187"/>
      <c r="L140" s="647"/>
      <c r="M140" s="646">
        <v>32689</v>
      </c>
      <c r="N140" s="585">
        <v>0.16</v>
      </c>
      <c r="O140" s="585">
        <v>1.3799999999999999E-3</v>
      </c>
      <c r="P140" s="175">
        <v>0</v>
      </c>
      <c r="Q140" s="175">
        <v>0</v>
      </c>
      <c r="R140" s="175">
        <v>0</v>
      </c>
      <c r="S140" s="175">
        <v>0</v>
      </c>
      <c r="T140" s="175">
        <v>1.3999999999999999E-4</v>
      </c>
      <c r="U140" s="175">
        <v>2.1000000000000001E-4</v>
      </c>
      <c r="V140" s="706">
        <v>1.0200000000000001E-3</v>
      </c>
      <c r="W140" s="717"/>
      <c r="X140" s="713"/>
      <c r="Y140" s="718"/>
      <c r="Z140" s="709">
        <v>10</v>
      </c>
      <c r="AA140" s="175"/>
      <c r="AB140" s="200"/>
      <c r="AC140" s="175">
        <v>5.2999999999999999E-2</v>
      </c>
      <c r="AD140" s="175">
        <v>1.84</v>
      </c>
      <c r="AE140" s="175">
        <v>0.14000000000000001</v>
      </c>
      <c r="AF140" s="201">
        <f t="shared" si="2"/>
        <v>0.25760000000000005</v>
      </c>
      <c r="AG140" s="175">
        <v>0.69</v>
      </c>
      <c r="AH140" s="334"/>
      <c r="AI140" s="188"/>
      <c r="AJ140" s="188"/>
      <c r="AK140" s="188"/>
      <c r="AL140" s="189"/>
      <c r="AM140" s="189"/>
      <c r="AN140" s="189"/>
      <c r="AO140" s="189"/>
      <c r="AP140" s="189"/>
      <c r="AQ140" s="189"/>
      <c r="AR140" s="189"/>
      <c r="AS140" s="189"/>
      <c r="AT140" s="189"/>
      <c r="AU140" s="190"/>
      <c r="AV140" s="190"/>
      <c r="AW140" s="190"/>
      <c r="AX140" s="190"/>
      <c r="AY140" s="190"/>
      <c r="AZ140" s="189"/>
      <c r="BA140" s="189"/>
      <c r="BB140" s="189"/>
      <c r="BC140" s="189"/>
      <c r="BD140" s="189"/>
      <c r="BE140" s="189"/>
      <c r="BF140" s="189"/>
      <c r="BG140" s="189"/>
      <c r="BH140" s="189"/>
      <c r="BI140" s="190"/>
      <c r="BJ140" s="190"/>
      <c r="BK140" s="190"/>
      <c r="BL140" s="190"/>
      <c r="BM140" s="190"/>
      <c r="BN140" s="191"/>
      <c r="BO140" s="191"/>
      <c r="BP140" s="191"/>
      <c r="BQ140" s="191"/>
      <c r="BR140" s="191"/>
      <c r="BS140" s="191"/>
      <c r="BT140" s="190"/>
      <c r="BU140" s="190"/>
      <c r="BV140" s="190"/>
      <c r="BW140" s="190"/>
      <c r="BX140" s="190"/>
      <c r="BY140" s="190"/>
      <c r="BZ140" s="190"/>
      <c r="CA140" s="189"/>
      <c r="CB140" s="15"/>
    </row>
    <row r="141" spans="1:80" ht="15" x14ac:dyDescent="0.25">
      <c r="A141" s="167"/>
      <c r="B141" s="642"/>
      <c r="C141" s="642"/>
      <c r="D141" s="179"/>
      <c r="E141" s="169"/>
      <c r="F141" s="169"/>
      <c r="G141" s="186"/>
      <c r="H141" s="187"/>
      <c r="I141" s="187"/>
      <c r="J141" s="187"/>
      <c r="K141" s="187"/>
      <c r="L141" s="647"/>
      <c r="M141" s="646">
        <v>32690</v>
      </c>
      <c r="N141" s="585">
        <v>0.15</v>
      </c>
      <c r="O141" s="585">
        <v>2.15E-3</v>
      </c>
      <c r="P141" s="175">
        <v>0</v>
      </c>
      <c r="Q141" s="175">
        <v>0</v>
      </c>
      <c r="R141" s="175">
        <v>0</v>
      </c>
      <c r="S141" s="175">
        <v>6.0000000000000002E-5</v>
      </c>
      <c r="T141" s="175">
        <v>4.4999999999999999E-4</v>
      </c>
      <c r="U141" s="175">
        <v>4.2000000000000002E-4</v>
      </c>
      <c r="V141" s="706">
        <v>1.2199999999999999E-3</v>
      </c>
      <c r="W141" s="717"/>
      <c r="X141" s="713"/>
      <c r="Y141" s="718"/>
      <c r="Z141" s="709">
        <v>9</v>
      </c>
      <c r="AA141" s="175"/>
      <c r="AB141" s="200"/>
      <c r="AC141" s="175">
        <v>5.2999999999999999E-2</v>
      </c>
      <c r="AD141" s="175">
        <v>1.8</v>
      </c>
      <c r="AE141" s="175">
        <v>0.14000000000000001</v>
      </c>
      <c r="AF141" s="201">
        <f t="shared" si="2"/>
        <v>0.25200000000000006</v>
      </c>
      <c r="AG141" s="175">
        <v>0.57999999999999996</v>
      </c>
      <c r="AH141" s="334"/>
      <c r="AI141" s="188"/>
      <c r="AJ141" s="188"/>
      <c r="AK141" s="188"/>
      <c r="AL141" s="189"/>
      <c r="AM141" s="189"/>
      <c r="AN141" s="189"/>
      <c r="AO141" s="189"/>
      <c r="AP141" s="189"/>
      <c r="AQ141" s="189"/>
      <c r="AR141" s="189"/>
      <c r="AS141" s="189"/>
      <c r="AT141" s="189"/>
      <c r="AU141" s="190"/>
      <c r="AV141" s="190"/>
      <c r="AW141" s="190"/>
      <c r="AX141" s="190"/>
      <c r="AY141" s="190"/>
      <c r="AZ141" s="189"/>
      <c r="BA141" s="189"/>
      <c r="BB141" s="189"/>
      <c r="BC141" s="189"/>
      <c r="BD141" s="189"/>
      <c r="BE141" s="189"/>
      <c r="BF141" s="189"/>
      <c r="BG141" s="189"/>
      <c r="BH141" s="189"/>
      <c r="BI141" s="190"/>
      <c r="BJ141" s="190"/>
      <c r="BK141" s="190"/>
      <c r="BL141" s="190"/>
      <c r="BM141" s="190"/>
      <c r="BN141" s="191"/>
      <c r="BO141" s="191"/>
      <c r="BP141" s="191"/>
      <c r="BQ141" s="191"/>
      <c r="BR141" s="191"/>
      <c r="BS141" s="191"/>
      <c r="BT141" s="190"/>
      <c r="BU141" s="190"/>
      <c r="BV141" s="190"/>
      <c r="BW141" s="190"/>
      <c r="BX141" s="190"/>
      <c r="BY141" s="190"/>
      <c r="BZ141" s="190"/>
      <c r="CA141" s="189"/>
      <c r="CB141" s="15"/>
    </row>
    <row r="142" spans="1:80" ht="15" x14ac:dyDescent="0.25">
      <c r="A142" s="167"/>
      <c r="B142" s="642"/>
      <c r="C142" s="642"/>
      <c r="D142" s="179"/>
      <c r="E142" s="169"/>
      <c r="F142" s="169"/>
      <c r="G142" s="186"/>
      <c r="H142" s="187"/>
      <c r="I142" s="187"/>
      <c r="J142" s="187"/>
      <c r="K142" s="187"/>
      <c r="L142" s="647"/>
      <c r="M142" s="646">
        <v>32694</v>
      </c>
      <c r="N142" s="585">
        <v>0.12</v>
      </c>
      <c r="O142" s="585">
        <v>2.8E-3</v>
      </c>
      <c r="P142" s="175">
        <v>0</v>
      </c>
      <c r="Q142" s="175">
        <v>0</v>
      </c>
      <c r="R142" s="175">
        <v>0</v>
      </c>
      <c r="S142" s="175">
        <v>3.0000000000000001E-5</v>
      </c>
      <c r="T142" s="175">
        <v>1.9000000000000001E-4</v>
      </c>
      <c r="U142" s="175">
        <v>5.9999999999999995E-4</v>
      </c>
      <c r="V142" s="706">
        <v>1.98E-3</v>
      </c>
      <c r="W142" s="717"/>
      <c r="X142" s="713"/>
      <c r="Y142" s="718"/>
      <c r="Z142" s="709">
        <v>11</v>
      </c>
      <c r="AA142" s="175"/>
      <c r="AB142" s="200"/>
      <c r="AC142" s="175">
        <v>5.2999999999999999E-2</v>
      </c>
      <c r="AD142" s="175">
        <v>1.79</v>
      </c>
      <c r="AE142" s="175">
        <v>0.12</v>
      </c>
      <c r="AF142" s="201">
        <f t="shared" si="2"/>
        <v>0.21479999999999999</v>
      </c>
      <c r="AG142" s="175">
        <v>0.51</v>
      </c>
      <c r="AH142" s="334"/>
      <c r="AI142" s="188"/>
      <c r="AJ142" s="188"/>
      <c r="AK142" s="188"/>
      <c r="AL142" s="189"/>
      <c r="AM142" s="189"/>
      <c r="AN142" s="189"/>
      <c r="AO142" s="189"/>
      <c r="AP142" s="189"/>
      <c r="AQ142" s="189"/>
      <c r="AR142" s="189"/>
      <c r="AS142" s="189"/>
      <c r="AT142" s="189"/>
      <c r="AU142" s="190"/>
      <c r="AV142" s="190"/>
      <c r="AW142" s="190"/>
      <c r="AX142" s="190"/>
      <c r="AY142" s="190"/>
      <c r="AZ142" s="189"/>
      <c r="BA142" s="189"/>
      <c r="BB142" s="189"/>
      <c r="BC142" s="189"/>
      <c r="BD142" s="189"/>
      <c r="BE142" s="189"/>
      <c r="BF142" s="189"/>
      <c r="BG142" s="189"/>
      <c r="BH142" s="189"/>
      <c r="BI142" s="190"/>
      <c r="BJ142" s="190"/>
      <c r="BK142" s="190"/>
      <c r="BL142" s="190"/>
      <c r="BM142" s="190"/>
      <c r="BN142" s="191"/>
      <c r="BO142" s="191"/>
      <c r="BP142" s="191"/>
      <c r="BQ142" s="191"/>
      <c r="BR142" s="191"/>
      <c r="BS142" s="191"/>
      <c r="BT142" s="190"/>
      <c r="BU142" s="190"/>
      <c r="BV142" s="190"/>
      <c r="BW142" s="190"/>
      <c r="BX142" s="190"/>
      <c r="BY142" s="190"/>
      <c r="BZ142" s="190"/>
      <c r="CA142" s="189"/>
      <c r="CB142" s="15"/>
    </row>
    <row r="143" spans="1:80" ht="15" x14ac:dyDescent="0.25">
      <c r="A143" s="167"/>
      <c r="B143" s="642"/>
      <c r="C143" s="642"/>
      <c r="D143" s="179"/>
      <c r="E143" s="169"/>
      <c r="F143" s="169"/>
      <c r="G143" s="186"/>
      <c r="H143" s="187"/>
      <c r="I143" s="187"/>
      <c r="J143" s="187"/>
      <c r="K143" s="187"/>
      <c r="L143" s="647"/>
      <c r="M143" s="646">
        <v>32695</v>
      </c>
      <c r="N143" s="585">
        <v>0.11</v>
      </c>
      <c r="O143" s="585">
        <v>5.9000000000000003E-4</v>
      </c>
      <c r="P143" s="175">
        <v>0</v>
      </c>
      <c r="Q143" s="175">
        <v>0</v>
      </c>
      <c r="R143" s="175">
        <v>0</v>
      </c>
      <c r="S143" s="175">
        <v>0</v>
      </c>
      <c r="T143" s="175">
        <v>6.0000000000000002E-5</v>
      </c>
      <c r="U143" s="175">
        <v>1.6000000000000001E-4</v>
      </c>
      <c r="V143" s="706">
        <v>3.6000000000000002E-4</v>
      </c>
      <c r="W143" s="717"/>
      <c r="X143" s="713"/>
      <c r="Y143" s="718"/>
      <c r="Z143" s="709">
        <v>6</v>
      </c>
      <c r="AA143" s="175"/>
      <c r="AB143" s="200"/>
      <c r="AC143" s="175">
        <v>5.2999999999999999E-2</v>
      </c>
      <c r="AD143" s="175">
        <v>1.81</v>
      </c>
      <c r="AE143" s="175">
        <v>0.1</v>
      </c>
      <c r="AF143" s="201">
        <f t="shared" si="2"/>
        <v>0.18100000000000002</v>
      </c>
      <c r="AG143" s="175">
        <v>0.6</v>
      </c>
      <c r="AH143" s="334"/>
      <c r="AI143" s="188"/>
      <c r="AJ143" s="188"/>
      <c r="AK143" s="188"/>
      <c r="AL143" s="189"/>
      <c r="AM143" s="189"/>
      <c r="AN143" s="189"/>
      <c r="AO143" s="189"/>
      <c r="AP143" s="189"/>
      <c r="AQ143" s="189"/>
      <c r="AR143" s="189"/>
      <c r="AS143" s="189"/>
      <c r="AT143" s="189"/>
      <c r="AU143" s="190"/>
      <c r="AV143" s="190"/>
      <c r="AW143" s="190"/>
      <c r="AX143" s="190"/>
      <c r="AY143" s="190"/>
      <c r="AZ143" s="189"/>
      <c r="BA143" s="189"/>
      <c r="BB143" s="189"/>
      <c r="BC143" s="189"/>
      <c r="BD143" s="189"/>
      <c r="BE143" s="189"/>
      <c r="BF143" s="189"/>
      <c r="BG143" s="189"/>
      <c r="BH143" s="189"/>
      <c r="BI143" s="190"/>
      <c r="BJ143" s="190"/>
      <c r="BK143" s="190"/>
      <c r="BL143" s="190"/>
      <c r="BM143" s="190"/>
      <c r="BN143" s="191"/>
      <c r="BO143" s="191"/>
      <c r="BP143" s="191"/>
      <c r="BQ143" s="191"/>
      <c r="BR143" s="191"/>
      <c r="BS143" s="191"/>
      <c r="BT143" s="190"/>
      <c r="BU143" s="190"/>
      <c r="BV143" s="190"/>
      <c r="BW143" s="190"/>
      <c r="BX143" s="190"/>
      <c r="BY143" s="190"/>
      <c r="BZ143" s="190"/>
      <c r="CA143" s="189"/>
      <c r="CB143" s="15"/>
    </row>
    <row r="144" spans="1:80" ht="15" x14ac:dyDescent="0.25">
      <c r="A144" s="167"/>
      <c r="B144" s="642"/>
      <c r="C144" s="642"/>
      <c r="D144" s="179"/>
      <c r="E144" s="169"/>
      <c r="F144" s="169"/>
      <c r="G144" s="186"/>
      <c r="H144" s="187"/>
      <c r="I144" s="187"/>
      <c r="J144" s="187"/>
      <c r="K144" s="187"/>
      <c r="L144" s="647"/>
      <c r="M144" s="646">
        <v>32696</v>
      </c>
      <c r="N144" s="585">
        <v>0.1</v>
      </c>
      <c r="O144" s="585">
        <v>0</v>
      </c>
      <c r="P144" s="175">
        <v>0</v>
      </c>
      <c r="Q144" s="175">
        <v>0</v>
      </c>
      <c r="R144" s="175">
        <v>0</v>
      </c>
      <c r="S144" s="175">
        <v>0</v>
      </c>
      <c r="T144" s="175">
        <v>0</v>
      </c>
      <c r="U144" s="175">
        <v>0</v>
      </c>
      <c r="V144" s="706">
        <v>0</v>
      </c>
      <c r="W144" s="717"/>
      <c r="X144" s="713"/>
      <c r="Y144" s="718"/>
      <c r="Z144" s="709">
        <v>0</v>
      </c>
      <c r="AA144" s="175"/>
      <c r="AB144" s="200" t="s">
        <v>39</v>
      </c>
      <c r="AC144" s="175">
        <v>5.2999999999999999E-2</v>
      </c>
      <c r="AD144" s="175">
        <v>1.79</v>
      </c>
      <c r="AE144" s="175">
        <v>0.11</v>
      </c>
      <c r="AF144" s="201">
        <f t="shared" si="2"/>
        <v>0.19689999999999999</v>
      </c>
      <c r="AG144" s="175">
        <v>0.59</v>
      </c>
      <c r="AH144" s="334"/>
      <c r="AI144" s="188"/>
      <c r="AJ144" s="188"/>
      <c r="AK144" s="188"/>
      <c r="AL144" s="189"/>
      <c r="AM144" s="189"/>
      <c r="AN144" s="189"/>
      <c r="AO144" s="189"/>
      <c r="AP144" s="189"/>
      <c r="AQ144" s="189"/>
      <c r="AR144" s="189"/>
      <c r="AS144" s="189"/>
      <c r="AT144" s="189"/>
      <c r="AU144" s="190"/>
      <c r="AV144" s="190"/>
      <c r="AW144" s="190"/>
      <c r="AX144" s="190"/>
      <c r="AY144" s="190"/>
      <c r="AZ144" s="189"/>
      <c r="BA144" s="189"/>
      <c r="BB144" s="189"/>
      <c r="BC144" s="189"/>
      <c r="BD144" s="189"/>
      <c r="BE144" s="189"/>
      <c r="BF144" s="189"/>
      <c r="BG144" s="189"/>
      <c r="BH144" s="189"/>
      <c r="BI144" s="190"/>
      <c r="BJ144" s="190"/>
      <c r="BK144" s="190"/>
      <c r="BL144" s="190"/>
      <c r="BM144" s="190"/>
      <c r="BN144" s="191"/>
      <c r="BO144" s="191"/>
      <c r="BP144" s="191"/>
      <c r="BQ144" s="191"/>
      <c r="BR144" s="191"/>
      <c r="BS144" s="191"/>
      <c r="BT144" s="190"/>
      <c r="BU144" s="190"/>
      <c r="BV144" s="190"/>
      <c r="BW144" s="190"/>
      <c r="BX144" s="190"/>
      <c r="BY144" s="190"/>
      <c r="BZ144" s="190"/>
      <c r="CA144" s="189"/>
      <c r="CB144" s="15"/>
    </row>
    <row r="145" spans="1:80" ht="15" x14ac:dyDescent="0.25">
      <c r="A145" s="167"/>
      <c r="B145" s="642"/>
      <c r="C145" s="642"/>
      <c r="D145" s="179"/>
      <c r="E145" s="169"/>
      <c r="F145" s="169"/>
      <c r="G145" s="186"/>
      <c r="H145" s="187"/>
      <c r="I145" s="187"/>
      <c r="J145" s="187"/>
      <c r="K145" s="187"/>
      <c r="L145" s="647"/>
      <c r="M145" s="646">
        <v>32697</v>
      </c>
      <c r="N145" s="585">
        <v>0.09</v>
      </c>
      <c r="O145" s="585">
        <v>1.8000000000000001E-4</v>
      </c>
      <c r="P145" s="175">
        <v>0</v>
      </c>
      <c r="Q145" s="175">
        <v>0</v>
      </c>
      <c r="R145" s="175">
        <v>0</v>
      </c>
      <c r="S145" s="175">
        <v>3.0000000000000001E-5</v>
      </c>
      <c r="T145" s="175">
        <v>1.0000000000000001E-5</v>
      </c>
      <c r="U145" s="175">
        <v>4.0000000000000003E-5</v>
      </c>
      <c r="V145" s="706">
        <v>1E-4</v>
      </c>
      <c r="W145" s="717"/>
      <c r="X145" s="713"/>
      <c r="Y145" s="718"/>
      <c r="Z145" s="709">
        <v>10</v>
      </c>
      <c r="AA145" s="175"/>
      <c r="AB145" s="200"/>
      <c r="AC145" s="175">
        <v>5.2999999999999999E-2</v>
      </c>
      <c r="AD145" s="175">
        <v>1.78</v>
      </c>
      <c r="AE145" s="175">
        <v>0.1</v>
      </c>
      <c r="AF145" s="201">
        <f t="shared" si="2"/>
        <v>0.17800000000000002</v>
      </c>
      <c r="AG145" s="175">
        <v>0.45</v>
      </c>
      <c r="AH145" s="334"/>
      <c r="AI145" s="188"/>
      <c r="AJ145" s="188"/>
      <c r="AK145" s="188"/>
      <c r="AL145" s="189"/>
      <c r="AM145" s="189"/>
      <c r="AN145" s="189"/>
      <c r="AO145" s="189"/>
      <c r="AP145" s="189"/>
      <c r="AQ145" s="189"/>
      <c r="AR145" s="189"/>
      <c r="AS145" s="189"/>
      <c r="AT145" s="189"/>
      <c r="AU145" s="190"/>
      <c r="AV145" s="190"/>
      <c r="AW145" s="190"/>
      <c r="AX145" s="190"/>
      <c r="AY145" s="190"/>
      <c r="AZ145" s="189"/>
      <c r="BA145" s="189"/>
      <c r="BB145" s="189"/>
      <c r="BC145" s="189"/>
      <c r="BD145" s="189"/>
      <c r="BE145" s="189"/>
      <c r="BF145" s="189"/>
      <c r="BG145" s="189"/>
      <c r="BH145" s="189"/>
      <c r="BI145" s="190"/>
      <c r="BJ145" s="190"/>
      <c r="BK145" s="190"/>
      <c r="BL145" s="190"/>
      <c r="BM145" s="190"/>
      <c r="BN145" s="191"/>
      <c r="BO145" s="191"/>
      <c r="BP145" s="191"/>
      <c r="BQ145" s="191"/>
      <c r="BR145" s="191"/>
      <c r="BS145" s="191"/>
      <c r="BT145" s="190"/>
      <c r="BU145" s="190"/>
      <c r="BV145" s="190"/>
      <c r="BW145" s="190"/>
      <c r="BX145" s="190"/>
      <c r="BY145" s="190"/>
      <c r="BZ145" s="190"/>
      <c r="CA145" s="189"/>
      <c r="CB145" s="15"/>
    </row>
    <row r="146" spans="1:80" ht="15" x14ac:dyDescent="0.25">
      <c r="A146" s="167"/>
      <c r="B146" s="642"/>
      <c r="C146" s="642"/>
      <c r="D146" s="179"/>
      <c r="E146" s="169"/>
      <c r="F146" s="169"/>
      <c r="G146" s="186"/>
      <c r="H146" s="187"/>
      <c r="I146" s="187"/>
      <c r="J146" s="187"/>
      <c r="K146" s="187"/>
      <c r="L146" s="647"/>
      <c r="M146" s="646">
        <v>32700</v>
      </c>
      <c r="N146" s="585">
        <v>0.08</v>
      </c>
      <c r="O146" s="585">
        <v>0</v>
      </c>
      <c r="P146" s="175">
        <v>0</v>
      </c>
      <c r="Q146" s="175">
        <v>0</v>
      </c>
      <c r="R146" s="175">
        <v>0</v>
      </c>
      <c r="S146" s="175">
        <v>0</v>
      </c>
      <c r="T146" s="175">
        <v>0</v>
      </c>
      <c r="U146" s="175">
        <v>0</v>
      </c>
      <c r="V146" s="706">
        <v>0</v>
      </c>
      <c r="W146" s="717"/>
      <c r="X146" s="713"/>
      <c r="Y146" s="718"/>
      <c r="Z146" s="709">
        <v>0</v>
      </c>
      <c r="AA146" s="175"/>
      <c r="AB146" s="200" t="s">
        <v>39</v>
      </c>
      <c r="AC146" s="175">
        <v>5.2999999999999999E-2</v>
      </c>
      <c r="AD146" s="175">
        <v>1.79</v>
      </c>
      <c r="AE146" s="175">
        <v>0.09</v>
      </c>
      <c r="AF146" s="201">
        <f t="shared" si="2"/>
        <v>0.16109999999999999</v>
      </c>
      <c r="AG146" s="175">
        <v>0.55000000000000004</v>
      </c>
      <c r="AH146" s="334"/>
      <c r="AI146" s="188"/>
      <c r="AJ146" s="188"/>
      <c r="AK146" s="188"/>
      <c r="AL146" s="189"/>
      <c r="AM146" s="189"/>
      <c r="AN146" s="189"/>
      <c r="AO146" s="189"/>
      <c r="AP146" s="189"/>
      <c r="AQ146" s="189"/>
      <c r="AR146" s="189"/>
      <c r="AS146" s="189"/>
      <c r="AT146" s="189"/>
      <c r="AU146" s="190"/>
      <c r="AV146" s="190"/>
      <c r="AW146" s="190"/>
      <c r="AX146" s="190"/>
      <c r="AY146" s="190"/>
      <c r="AZ146" s="189"/>
      <c r="BA146" s="189"/>
      <c r="BB146" s="189"/>
      <c r="BC146" s="189"/>
      <c r="BD146" s="189"/>
      <c r="BE146" s="189"/>
      <c r="BF146" s="189"/>
      <c r="BG146" s="189"/>
      <c r="BH146" s="189"/>
      <c r="BI146" s="190"/>
      <c r="BJ146" s="190"/>
      <c r="BK146" s="190"/>
      <c r="BL146" s="190"/>
      <c r="BM146" s="190"/>
      <c r="BN146" s="191"/>
      <c r="BO146" s="191"/>
      <c r="BP146" s="191"/>
      <c r="BQ146" s="191"/>
      <c r="BR146" s="191"/>
      <c r="BS146" s="191"/>
      <c r="BT146" s="190"/>
      <c r="BU146" s="190"/>
      <c r="BV146" s="190"/>
      <c r="BW146" s="190"/>
      <c r="BX146" s="190"/>
      <c r="BY146" s="190"/>
      <c r="BZ146" s="190"/>
      <c r="CA146" s="189"/>
      <c r="CB146" s="15"/>
    </row>
    <row r="147" spans="1:80" ht="15" x14ac:dyDescent="0.25">
      <c r="A147" s="167"/>
      <c r="B147" s="642"/>
      <c r="C147" s="642"/>
      <c r="D147" s="179"/>
      <c r="E147" s="169"/>
      <c r="F147" s="169"/>
      <c r="G147" s="186"/>
      <c r="H147" s="187"/>
      <c r="I147" s="187"/>
      <c r="J147" s="187"/>
      <c r="K147" s="187"/>
      <c r="L147" s="647"/>
      <c r="M147" s="646">
        <v>32701</v>
      </c>
      <c r="N147" s="585">
        <v>7.0000000000000007E-2</v>
      </c>
      <c r="O147" s="585">
        <v>1.6000000000000001E-4</v>
      </c>
      <c r="P147" s="175">
        <v>0</v>
      </c>
      <c r="Q147" s="175">
        <v>0</v>
      </c>
      <c r="R147" s="175">
        <v>0</v>
      </c>
      <c r="S147" s="175">
        <v>0</v>
      </c>
      <c r="T147" s="175">
        <v>6.0000000000000002E-5</v>
      </c>
      <c r="U147" s="175">
        <v>5.0000000000000002E-5</v>
      </c>
      <c r="V147" s="706">
        <v>4.0000000000000003E-5</v>
      </c>
      <c r="W147" s="717"/>
      <c r="X147" s="713"/>
      <c r="Y147" s="718"/>
      <c r="Z147" s="709">
        <v>8</v>
      </c>
      <c r="AA147" s="175"/>
      <c r="AB147" s="200"/>
      <c r="AC147" s="175">
        <v>5.1999999999999998E-2</v>
      </c>
      <c r="AD147" s="175">
        <v>1.79</v>
      </c>
      <c r="AE147" s="175">
        <v>0.09</v>
      </c>
      <c r="AF147" s="201">
        <f t="shared" si="2"/>
        <v>0.16109999999999999</v>
      </c>
      <c r="AG147" s="175">
        <v>0.42</v>
      </c>
      <c r="AH147" s="334"/>
      <c r="AI147" s="188"/>
      <c r="AJ147" s="188"/>
      <c r="AK147" s="188"/>
      <c r="AL147" s="189"/>
      <c r="AM147" s="189"/>
      <c r="AN147" s="189"/>
      <c r="AO147" s="189"/>
      <c r="AP147" s="189"/>
      <c r="AQ147" s="189"/>
      <c r="AR147" s="189"/>
      <c r="AS147" s="189"/>
      <c r="AT147" s="189"/>
      <c r="AU147" s="190"/>
      <c r="AV147" s="190"/>
      <c r="AW147" s="190"/>
      <c r="AX147" s="190"/>
      <c r="AY147" s="190"/>
      <c r="AZ147" s="189"/>
      <c r="BA147" s="189"/>
      <c r="BB147" s="189"/>
      <c r="BC147" s="189"/>
      <c r="BD147" s="189"/>
      <c r="BE147" s="189"/>
      <c r="BF147" s="189"/>
      <c r="BG147" s="189"/>
      <c r="BH147" s="189"/>
      <c r="BI147" s="190"/>
      <c r="BJ147" s="190"/>
      <c r="BK147" s="190"/>
      <c r="BL147" s="190"/>
      <c r="BM147" s="190"/>
      <c r="BN147" s="191"/>
      <c r="BO147" s="191"/>
      <c r="BP147" s="191"/>
      <c r="BQ147" s="191"/>
      <c r="BR147" s="191"/>
      <c r="BS147" s="191"/>
      <c r="BT147" s="190"/>
      <c r="BU147" s="190"/>
      <c r="BV147" s="190"/>
      <c r="BW147" s="190"/>
      <c r="BX147" s="190"/>
      <c r="BY147" s="190"/>
      <c r="BZ147" s="190"/>
      <c r="CA147" s="189"/>
      <c r="CB147" s="15"/>
    </row>
    <row r="148" spans="1:80" ht="15" x14ac:dyDescent="0.25">
      <c r="A148" s="167"/>
      <c r="B148" s="642"/>
      <c r="C148" s="642"/>
      <c r="D148" s="179"/>
      <c r="E148" s="169"/>
      <c r="F148" s="169"/>
      <c r="G148" s="186"/>
      <c r="H148" s="187"/>
      <c r="I148" s="187"/>
      <c r="J148" s="187"/>
      <c r="K148" s="187"/>
      <c r="L148" s="647"/>
      <c r="M148" s="646">
        <v>32702</v>
      </c>
      <c r="N148" s="585">
        <v>0.06</v>
      </c>
      <c r="O148" s="585">
        <v>1.4E-3</v>
      </c>
      <c r="P148" s="175">
        <v>0</v>
      </c>
      <c r="Q148" s="175">
        <v>0</v>
      </c>
      <c r="R148" s="175">
        <v>0</v>
      </c>
      <c r="S148" s="175">
        <v>4.0000000000000003E-5</v>
      </c>
      <c r="T148" s="175">
        <v>4.4000000000000002E-4</v>
      </c>
      <c r="U148" s="175">
        <v>3.8000000000000002E-4</v>
      </c>
      <c r="V148" s="706">
        <v>5.4000000000000001E-4</v>
      </c>
      <c r="W148" s="717"/>
      <c r="X148" s="713"/>
      <c r="Y148" s="718"/>
      <c r="Z148" s="709">
        <v>13</v>
      </c>
      <c r="AA148" s="175"/>
      <c r="AB148" s="200"/>
      <c r="AC148" s="175">
        <v>5.1999999999999998E-2</v>
      </c>
      <c r="AD148" s="175">
        <v>1.82</v>
      </c>
      <c r="AE148" s="175">
        <v>0.09</v>
      </c>
      <c r="AF148" s="201">
        <f t="shared" si="2"/>
        <v>0.1638</v>
      </c>
      <c r="AG148" s="175">
        <v>0.42</v>
      </c>
      <c r="AH148" s="334"/>
      <c r="AI148" s="188"/>
      <c r="AJ148" s="188"/>
      <c r="AK148" s="188"/>
      <c r="AL148" s="189"/>
      <c r="AM148" s="189"/>
      <c r="AN148" s="189"/>
      <c r="AO148" s="189"/>
      <c r="AP148" s="189"/>
      <c r="AQ148" s="189"/>
      <c r="AR148" s="189"/>
      <c r="AS148" s="189"/>
      <c r="AT148" s="189"/>
      <c r="AU148" s="190"/>
      <c r="AV148" s="190"/>
      <c r="AW148" s="190"/>
      <c r="AX148" s="190"/>
      <c r="AY148" s="190"/>
      <c r="AZ148" s="189"/>
      <c r="BA148" s="189"/>
      <c r="BB148" s="189"/>
      <c r="BC148" s="189"/>
      <c r="BD148" s="189"/>
      <c r="BE148" s="189"/>
      <c r="BF148" s="189"/>
      <c r="BG148" s="189"/>
      <c r="BH148" s="189"/>
      <c r="BI148" s="190"/>
      <c r="BJ148" s="190"/>
      <c r="BK148" s="190"/>
      <c r="BL148" s="190"/>
      <c r="BM148" s="190"/>
      <c r="BN148" s="191"/>
      <c r="BO148" s="191"/>
      <c r="BP148" s="191"/>
      <c r="BQ148" s="191"/>
      <c r="BR148" s="191"/>
      <c r="BS148" s="191"/>
      <c r="BT148" s="190"/>
      <c r="BU148" s="190"/>
      <c r="BV148" s="190"/>
      <c r="BW148" s="190"/>
      <c r="BX148" s="190"/>
      <c r="BY148" s="190"/>
      <c r="BZ148" s="190"/>
      <c r="CA148" s="189"/>
      <c r="CB148" s="15"/>
    </row>
    <row r="149" spans="1:80" ht="15" x14ac:dyDescent="0.25">
      <c r="A149" s="167"/>
      <c r="B149" s="642"/>
      <c r="C149" s="642"/>
      <c r="D149" s="179"/>
      <c r="E149" s="169"/>
      <c r="F149" s="169"/>
      <c r="G149" s="186"/>
      <c r="H149" s="187"/>
      <c r="I149" s="187"/>
      <c r="J149" s="187"/>
      <c r="K149" s="187"/>
      <c r="L149" s="647"/>
      <c r="M149" s="646">
        <v>32703</v>
      </c>
      <c r="N149" s="585">
        <v>0.06</v>
      </c>
      <c r="O149" s="585">
        <v>0</v>
      </c>
      <c r="P149" s="175">
        <v>0</v>
      </c>
      <c r="Q149" s="175">
        <v>0</v>
      </c>
      <c r="R149" s="175">
        <v>0</v>
      </c>
      <c r="S149" s="175">
        <v>0</v>
      </c>
      <c r="T149" s="175">
        <v>0</v>
      </c>
      <c r="U149" s="175">
        <v>0</v>
      </c>
      <c r="V149" s="706">
        <v>0</v>
      </c>
      <c r="W149" s="717"/>
      <c r="X149" s="713"/>
      <c r="Y149" s="718"/>
      <c r="Z149" s="709">
        <v>0</v>
      </c>
      <c r="AA149" s="175"/>
      <c r="AB149" s="200" t="s">
        <v>39</v>
      </c>
      <c r="AC149" s="175">
        <v>5.1999999999999998E-2</v>
      </c>
      <c r="AD149" s="175">
        <v>1.76</v>
      </c>
      <c r="AE149" s="175">
        <v>0.08</v>
      </c>
      <c r="AF149" s="201">
        <f t="shared" si="2"/>
        <v>0.14080000000000001</v>
      </c>
      <c r="AG149" s="175">
        <v>0.38</v>
      </c>
      <c r="AH149" s="334"/>
      <c r="AI149" s="188"/>
      <c r="AJ149" s="188"/>
      <c r="AK149" s="188"/>
      <c r="AL149" s="189"/>
      <c r="AM149" s="189"/>
      <c r="AN149" s="189"/>
      <c r="AO149" s="189"/>
      <c r="AP149" s="189"/>
      <c r="AQ149" s="189"/>
      <c r="AR149" s="189"/>
      <c r="AS149" s="189"/>
      <c r="AT149" s="189"/>
      <c r="AU149" s="190"/>
      <c r="AV149" s="190"/>
      <c r="AW149" s="190"/>
      <c r="AX149" s="190"/>
      <c r="AY149" s="190"/>
      <c r="AZ149" s="189"/>
      <c r="BA149" s="189"/>
      <c r="BB149" s="189"/>
      <c r="BC149" s="189"/>
      <c r="BD149" s="189"/>
      <c r="BE149" s="189"/>
      <c r="BF149" s="189"/>
      <c r="BG149" s="189"/>
      <c r="BH149" s="189"/>
      <c r="BI149" s="190"/>
      <c r="BJ149" s="190"/>
      <c r="BK149" s="190"/>
      <c r="BL149" s="190"/>
      <c r="BM149" s="190"/>
      <c r="BN149" s="191"/>
      <c r="BO149" s="191"/>
      <c r="BP149" s="191"/>
      <c r="BQ149" s="191"/>
      <c r="BR149" s="191"/>
      <c r="BS149" s="191"/>
      <c r="BT149" s="190"/>
      <c r="BU149" s="190"/>
      <c r="BV149" s="190"/>
      <c r="BW149" s="190"/>
      <c r="BX149" s="190"/>
      <c r="BY149" s="190"/>
      <c r="BZ149" s="190"/>
      <c r="CA149" s="189"/>
      <c r="CB149" s="15"/>
    </row>
    <row r="150" spans="1:80" ht="15" x14ac:dyDescent="0.25">
      <c r="A150" s="167"/>
      <c r="B150" s="642"/>
      <c r="C150" s="642"/>
      <c r="D150" s="179"/>
      <c r="E150" s="169"/>
      <c r="F150" s="169"/>
      <c r="G150" s="186"/>
      <c r="H150" s="187"/>
      <c r="I150" s="187"/>
      <c r="J150" s="187"/>
      <c r="K150" s="187"/>
      <c r="L150" s="647"/>
      <c r="M150" s="646">
        <v>32704</v>
      </c>
      <c r="N150" s="585">
        <v>0.06</v>
      </c>
      <c r="O150" s="585">
        <v>1.3999999999999999E-4</v>
      </c>
      <c r="P150" s="175">
        <v>0</v>
      </c>
      <c r="Q150" s="175">
        <v>0</v>
      </c>
      <c r="R150" s="175">
        <v>0</v>
      </c>
      <c r="S150" s="175">
        <v>0</v>
      </c>
      <c r="T150" s="175">
        <v>0</v>
      </c>
      <c r="U150" s="175">
        <v>5.0000000000000002E-5</v>
      </c>
      <c r="V150" s="706">
        <v>9.0000000000000006E-5</v>
      </c>
      <c r="W150" s="717"/>
      <c r="X150" s="713"/>
      <c r="Y150" s="718"/>
      <c r="Z150" s="709">
        <v>3</v>
      </c>
      <c r="AA150" s="175"/>
      <c r="AB150" s="200"/>
      <c r="AC150" s="175">
        <v>5.1999999999999998E-2</v>
      </c>
      <c r="AD150" s="175">
        <v>1.82</v>
      </c>
      <c r="AE150" s="175">
        <v>0.08</v>
      </c>
      <c r="AF150" s="201">
        <f t="shared" si="2"/>
        <v>0.14560000000000001</v>
      </c>
      <c r="AG150" s="175">
        <v>0.41</v>
      </c>
      <c r="AH150" s="334"/>
      <c r="AI150" s="188"/>
      <c r="AJ150" s="188"/>
      <c r="AK150" s="188"/>
      <c r="AL150" s="189"/>
      <c r="AM150" s="189"/>
      <c r="AN150" s="189"/>
      <c r="AO150" s="189"/>
      <c r="AP150" s="189"/>
      <c r="AQ150" s="189"/>
      <c r="AR150" s="189"/>
      <c r="AS150" s="189"/>
      <c r="AT150" s="189"/>
      <c r="AU150" s="190"/>
      <c r="AV150" s="190"/>
      <c r="AW150" s="190"/>
      <c r="AX150" s="190"/>
      <c r="AY150" s="190"/>
      <c r="AZ150" s="189"/>
      <c r="BA150" s="189"/>
      <c r="BB150" s="189"/>
      <c r="BC150" s="189"/>
      <c r="BD150" s="189"/>
      <c r="BE150" s="189"/>
      <c r="BF150" s="189"/>
      <c r="BG150" s="189"/>
      <c r="BH150" s="189"/>
      <c r="BI150" s="190"/>
      <c r="BJ150" s="190"/>
      <c r="BK150" s="190"/>
      <c r="BL150" s="190"/>
      <c r="BM150" s="190"/>
      <c r="BN150" s="191"/>
      <c r="BO150" s="191"/>
      <c r="BP150" s="191"/>
      <c r="BQ150" s="191"/>
      <c r="BR150" s="191"/>
      <c r="BS150" s="191"/>
      <c r="BT150" s="190"/>
      <c r="BU150" s="190"/>
      <c r="BV150" s="190"/>
      <c r="BW150" s="190"/>
      <c r="BX150" s="190"/>
      <c r="BY150" s="190"/>
      <c r="BZ150" s="190"/>
      <c r="CA150" s="189"/>
      <c r="CB150" s="15"/>
    </row>
    <row r="151" spans="1:80" ht="15" x14ac:dyDescent="0.25">
      <c r="A151" s="167"/>
      <c r="B151" s="642"/>
      <c r="C151" s="642"/>
      <c r="D151" s="179"/>
      <c r="E151" s="169"/>
      <c r="F151" s="169"/>
      <c r="G151" s="186"/>
      <c r="H151" s="187"/>
      <c r="I151" s="187"/>
      <c r="J151" s="187"/>
      <c r="K151" s="187"/>
      <c r="L151" s="647"/>
      <c r="M151" s="646">
        <v>32707</v>
      </c>
      <c r="N151" s="585">
        <v>0.05</v>
      </c>
      <c r="O151" s="585">
        <v>2.9E-4</v>
      </c>
      <c r="P151" s="175">
        <v>0</v>
      </c>
      <c r="Q151" s="175">
        <v>0</v>
      </c>
      <c r="R151" s="175">
        <v>0</v>
      </c>
      <c r="S151" s="175">
        <v>1E-4</v>
      </c>
      <c r="T151" s="175">
        <v>0</v>
      </c>
      <c r="U151" s="175">
        <v>1.0000000000000001E-5</v>
      </c>
      <c r="V151" s="706">
        <v>1.8000000000000001E-4</v>
      </c>
      <c r="W151" s="717"/>
      <c r="X151" s="713"/>
      <c r="Y151" s="718"/>
      <c r="Z151" s="709">
        <v>10.5</v>
      </c>
      <c r="AA151" s="175"/>
      <c r="AB151" s="200"/>
      <c r="AC151" s="175">
        <v>5.1999999999999998E-2</v>
      </c>
      <c r="AD151" s="175">
        <v>1.82</v>
      </c>
      <c r="AE151" s="175">
        <v>7.0000000000000007E-2</v>
      </c>
      <c r="AF151" s="201">
        <f t="shared" si="2"/>
        <v>0.12740000000000001</v>
      </c>
      <c r="AG151" s="175">
        <v>0.39</v>
      </c>
      <c r="AH151" s="334"/>
      <c r="AI151" s="188"/>
      <c r="AJ151" s="188"/>
      <c r="AK151" s="188"/>
      <c r="AL151" s="189"/>
      <c r="AM151" s="189"/>
      <c r="AN151" s="189"/>
      <c r="AO151" s="189"/>
      <c r="AP151" s="189"/>
      <c r="AQ151" s="189"/>
      <c r="AR151" s="189"/>
      <c r="AS151" s="189"/>
      <c r="AT151" s="189"/>
      <c r="AU151" s="190"/>
      <c r="AV151" s="190"/>
      <c r="AW151" s="190"/>
      <c r="AX151" s="190"/>
      <c r="AY151" s="190"/>
      <c r="AZ151" s="189"/>
      <c r="BA151" s="189"/>
      <c r="BB151" s="189"/>
      <c r="BC151" s="189"/>
      <c r="BD151" s="189"/>
      <c r="BE151" s="189"/>
      <c r="BF151" s="189"/>
      <c r="BG151" s="189"/>
      <c r="BH151" s="189"/>
      <c r="BI151" s="190"/>
      <c r="BJ151" s="190"/>
      <c r="BK151" s="190"/>
      <c r="BL151" s="190"/>
      <c r="BM151" s="190"/>
      <c r="BN151" s="191"/>
      <c r="BO151" s="191"/>
      <c r="BP151" s="191"/>
      <c r="BQ151" s="191"/>
      <c r="BR151" s="191"/>
      <c r="BS151" s="191"/>
      <c r="BT151" s="190"/>
      <c r="BU151" s="190"/>
      <c r="BV151" s="190"/>
      <c r="BW151" s="190"/>
      <c r="BX151" s="190"/>
      <c r="BY151" s="190"/>
      <c r="BZ151" s="190"/>
      <c r="CA151" s="189"/>
      <c r="CB151" s="15"/>
    </row>
    <row r="152" spans="1:80" ht="15" x14ac:dyDescent="0.25">
      <c r="A152" s="167"/>
      <c r="B152" s="642"/>
      <c r="C152" s="642"/>
      <c r="D152" s="179"/>
      <c r="E152" s="169"/>
      <c r="F152" s="169"/>
      <c r="G152" s="186"/>
      <c r="H152" s="187"/>
      <c r="I152" s="187"/>
      <c r="J152" s="187"/>
      <c r="K152" s="187"/>
      <c r="L152" s="647"/>
      <c r="M152" s="646">
        <v>32708</v>
      </c>
      <c r="N152" s="585">
        <v>0.04</v>
      </c>
      <c r="O152" s="585">
        <v>0</v>
      </c>
      <c r="P152" s="175">
        <v>0</v>
      </c>
      <c r="Q152" s="175">
        <v>0</v>
      </c>
      <c r="R152" s="175">
        <v>0</v>
      </c>
      <c r="S152" s="175">
        <v>0</v>
      </c>
      <c r="T152" s="175">
        <v>0</v>
      </c>
      <c r="U152" s="175">
        <v>0</v>
      </c>
      <c r="V152" s="706">
        <v>0</v>
      </c>
      <c r="W152" s="717"/>
      <c r="X152" s="713"/>
      <c r="Y152" s="718"/>
      <c r="Z152" s="709">
        <v>0</v>
      </c>
      <c r="AA152" s="175"/>
      <c r="AB152" s="200" t="s">
        <v>39</v>
      </c>
      <c r="AC152" s="175">
        <v>5.1999999999999998E-2</v>
      </c>
      <c r="AD152" s="175">
        <v>1.68</v>
      </c>
      <c r="AE152" s="175">
        <v>0.08</v>
      </c>
      <c r="AF152" s="201">
        <f t="shared" si="2"/>
        <v>0.13439999999999999</v>
      </c>
      <c r="AG152" s="175">
        <v>0.32</v>
      </c>
      <c r="AH152" s="334"/>
      <c r="AI152" s="188"/>
      <c r="AJ152" s="188"/>
      <c r="AK152" s="188"/>
      <c r="AL152" s="189"/>
      <c r="AM152" s="189"/>
      <c r="AN152" s="189"/>
      <c r="AO152" s="189"/>
      <c r="AP152" s="189"/>
      <c r="AQ152" s="189"/>
      <c r="AR152" s="189"/>
      <c r="AS152" s="189"/>
      <c r="AT152" s="189"/>
      <c r="AU152" s="190"/>
      <c r="AV152" s="190"/>
      <c r="AW152" s="190"/>
      <c r="AX152" s="190"/>
      <c r="AY152" s="190"/>
      <c r="AZ152" s="189"/>
      <c r="BA152" s="189"/>
      <c r="BB152" s="189"/>
      <c r="BC152" s="189"/>
      <c r="BD152" s="189"/>
      <c r="BE152" s="189"/>
      <c r="BF152" s="189"/>
      <c r="BG152" s="189"/>
      <c r="BH152" s="189"/>
      <c r="BI152" s="190"/>
      <c r="BJ152" s="190"/>
      <c r="BK152" s="190"/>
      <c r="BL152" s="190"/>
      <c r="BM152" s="190"/>
      <c r="BN152" s="191"/>
      <c r="BO152" s="191"/>
      <c r="BP152" s="191"/>
      <c r="BQ152" s="191"/>
      <c r="BR152" s="191"/>
      <c r="BS152" s="191"/>
      <c r="BT152" s="190"/>
      <c r="BU152" s="190"/>
      <c r="BV152" s="190"/>
      <c r="BW152" s="190"/>
      <c r="BX152" s="190"/>
      <c r="BY152" s="190"/>
      <c r="BZ152" s="190"/>
      <c r="CA152" s="189"/>
      <c r="CB152" s="15"/>
    </row>
    <row r="153" spans="1:80" ht="15" x14ac:dyDescent="0.25">
      <c r="A153" s="167"/>
      <c r="B153" s="642"/>
      <c r="C153" s="642"/>
      <c r="D153" s="179"/>
      <c r="E153" s="169"/>
      <c r="F153" s="169"/>
      <c r="G153" s="186"/>
      <c r="H153" s="187"/>
      <c r="I153" s="187"/>
      <c r="J153" s="187"/>
      <c r="K153" s="187"/>
      <c r="L153" s="647"/>
      <c r="M153" s="646">
        <v>33394</v>
      </c>
      <c r="N153" s="585">
        <v>0.18</v>
      </c>
      <c r="O153" s="585">
        <v>2.9099999999999998E-3</v>
      </c>
      <c r="P153" s="175">
        <v>0</v>
      </c>
      <c r="Q153" s="175">
        <v>0</v>
      </c>
      <c r="R153" s="175">
        <v>0</v>
      </c>
      <c r="S153" s="175">
        <v>4.0000000000000003E-5</v>
      </c>
      <c r="T153" s="175">
        <v>1.1E-4</v>
      </c>
      <c r="U153" s="175">
        <v>2.9E-4</v>
      </c>
      <c r="V153" s="706">
        <v>2.47E-3</v>
      </c>
      <c r="W153" s="717"/>
      <c r="X153" s="713"/>
      <c r="Y153" s="718"/>
      <c r="Z153" s="709">
        <v>12</v>
      </c>
      <c r="AA153" s="175"/>
      <c r="AB153" s="200"/>
      <c r="AC153" s="175">
        <v>5.2999999999999999E-2</v>
      </c>
      <c r="AD153" s="175">
        <v>1.74</v>
      </c>
      <c r="AE153" s="175">
        <v>0.13</v>
      </c>
      <c r="AF153" s="201">
        <f t="shared" si="2"/>
        <v>0.22620000000000001</v>
      </c>
      <c r="AG153" s="175">
        <v>0.71</v>
      </c>
      <c r="AH153" s="334"/>
      <c r="AI153" s="188"/>
      <c r="AJ153" s="188"/>
      <c r="AK153" s="188"/>
      <c r="AL153" s="189"/>
      <c r="AM153" s="189"/>
      <c r="AN153" s="189"/>
      <c r="AO153" s="189"/>
      <c r="AP153" s="189"/>
      <c r="AQ153" s="189"/>
      <c r="AR153" s="189"/>
      <c r="AS153" s="189"/>
      <c r="AT153" s="189"/>
      <c r="AU153" s="190"/>
      <c r="AV153" s="190"/>
      <c r="AW153" s="190"/>
      <c r="AX153" s="190"/>
      <c r="AY153" s="190"/>
      <c r="AZ153" s="189"/>
      <c r="BA153" s="189"/>
      <c r="BB153" s="189"/>
      <c r="BC153" s="189"/>
      <c r="BD153" s="189"/>
      <c r="BE153" s="189"/>
      <c r="BF153" s="189"/>
      <c r="BG153" s="189"/>
      <c r="BH153" s="189"/>
      <c r="BI153" s="190"/>
      <c r="BJ153" s="190"/>
      <c r="BK153" s="190"/>
      <c r="BL153" s="190"/>
      <c r="BM153" s="190"/>
      <c r="BN153" s="191"/>
      <c r="BO153" s="191"/>
      <c r="BP153" s="191"/>
      <c r="BQ153" s="191"/>
      <c r="BR153" s="191"/>
      <c r="BS153" s="191"/>
      <c r="BT153" s="190"/>
      <c r="BU153" s="190"/>
      <c r="BV153" s="190"/>
      <c r="BW153" s="190"/>
      <c r="BX153" s="190"/>
      <c r="BY153" s="190"/>
      <c r="BZ153" s="190"/>
      <c r="CA153" s="189"/>
      <c r="CB153" s="15"/>
    </row>
    <row r="154" spans="1:80" ht="15" x14ac:dyDescent="0.25">
      <c r="A154" s="167"/>
      <c r="B154" s="642"/>
      <c r="C154" s="642"/>
      <c r="D154" s="179"/>
      <c r="E154" s="169"/>
      <c r="F154" s="169"/>
      <c r="G154" s="186"/>
      <c r="H154" s="187"/>
      <c r="I154" s="187"/>
      <c r="J154" s="187"/>
      <c r="K154" s="187"/>
      <c r="L154" s="647"/>
      <c r="M154" s="646">
        <v>33395</v>
      </c>
      <c r="N154" s="585">
        <v>0.14000000000000001</v>
      </c>
      <c r="O154" s="585">
        <v>1.7600000000000001E-3</v>
      </c>
      <c r="P154" s="175">
        <v>0</v>
      </c>
      <c r="Q154" s="175">
        <v>0</v>
      </c>
      <c r="R154" s="175">
        <v>0</v>
      </c>
      <c r="S154" s="175">
        <v>3.0000000000000001E-5</v>
      </c>
      <c r="T154" s="175">
        <v>6.9999999999999994E-5</v>
      </c>
      <c r="U154" s="175">
        <v>1.8000000000000001E-4</v>
      </c>
      <c r="V154" s="706">
        <v>1.48E-3</v>
      </c>
      <c r="W154" s="717"/>
      <c r="X154" s="713"/>
      <c r="Y154" s="718"/>
      <c r="Z154" s="709">
        <v>13</v>
      </c>
      <c r="AA154" s="175"/>
      <c r="AB154" s="200"/>
      <c r="AC154" s="175">
        <v>5.2999999999999999E-2</v>
      </c>
      <c r="AD154" s="175">
        <v>1.75</v>
      </c>
      <c r="AE154" s="175">
        <v>0.12</v>
      </c>
      <c r="AF154" s="201">
        <f t="shared" si="2"/>
        <v>0.21</v>
      </c>
      <c r="AG154" s="175">
        <v>0.56999999999999995</v>
      </c>
      <c r="AH154" s="334"/>
      <c r="AI154" s="188"/>
      <c r="AJ154" s="188"/>
      <c r="AK154" s="188"/>
      <c r="AL154" s="189"/>
      <c r="AM154" s="189"/>
      <c r="AN154" s="189"/>
      <c r="AO154" s="189"/>
      <c r="AP154" s="189"/>
      <c r="AQ154" s="189"/>
      <c r="AR154" s="189"/>
      <c r="AS154" s="189"/>
      <c r="AT154" s="189"/>
      <c r="AU154" s="190"/>
      <c r="AV154" s="190"/>
      <c r="AW154" s="190"/>
      <c r="AX154" s="190"/>
      <c r="AY154" s="190"/>
      <c r="AZ154" s="189"/>
      <c r="BA154" s="189"/>
      <c r="BB154" s="189"/>
      <c r="BC154" s="189"/>
      <c r="BD154" s="189"/>
      <c r="BE154" s="189"/>
      <c r="BF154" s="189"/>
      <c r="BG154" s="189"/>
      <c r="BH154" s="189"/>
      <c r="BI154" s="190"/>
      <c r="BJ154" s="190"/>
      <c r="BK154" s="190"/>
      <c r="BL154" s="190"/>
      <c r="BM154" s="190"/>
      <c r="BN154" s="191"/>
      <c r="BO154" s="191"/>
      <c r="BP154" s="191"/>
      <c r="BQ154" s="191"/>
      <c r="BR154" s="191"/>
      <c r="BS154" s="191"/>
      <c r="BT154" s="190"/>
      <c r="BU154" s="190"/>
      <c r="BV154" s="190"/>
      <c r="BW154" s="190"/>
      <c r="BX154" s="190"/>
      <c r="BY154" s="190"/>
      <c r="BZ154" s="190"/>
      <c r="CA154" s="189"/>
      <c r="CB154" s="15"/>
    </row>
    <row r="155" spans="1:80" ht="15" x14ac:dyDescent="0.25">
      <c r="A155" s="167"/>
      <c r="B155" s="642"/>
      <c r="C155" s="642"/>
      <c r="D155" s="179"/>
      <c r="E155" s="169"/>
      <c r="F155" s="169"/>
      <c r="G155" s="186"/>
      <c r="H155" s="187"/>
      <c r="I155" s="187"/>
      <c r="J155" s="187"/>
      <c r="K155" s="187"/>
      <c r="L155" s="647"/>
      <c r="M155" s="646">
        <v>33399</v>
      </c>
      <c r="N155" s="585">
        <v>0.12</v>
      </c>
      <c r="O155" s="585">
        <v>2.7E-4</v>
      </c>
      <c r="P155" s="175">
        <v>0</v>
      </c>
      <c r="Q155" s="175">
        <v>0</v>
      </c>
      <c r="R155" s="175">
        <v>0</v>
      </c>
      <c r="S155" s="175">
        <v>0</v>
      </c>
      <c r="T155" s="175">
        <v>0</v>
      </c>
      <c r="U155" s="175">
        <v>3.0000000000000001E-5</v>
      </c>
      <c r="V155" s="706">
        <v>2.4000000000000001E-4</v>
      </c>
      <c r="W155" s="717"/>
      <c r="X155" s="713"/>
      <c r="Y155" s="718"/>
      <c r="Z155" s="709">
        <v>4</v>
      </c>
      <c r="AA155" s="175"/>
      <c r="AB155" s="200"/>
      <c r="AC155" s="175">
        <v>5.2999999999999999E-2</v>
      </c>
      <c r="AD155" s="175">
        <v>1.73</v>
      </c>
      <c r="AE155" s="175">
        <v>0.11</v>
      </c>
      <c r="AF155" s="201">
        <f t="shared" si="2"/>
        <v>0.1903</v>
      </c>
      <c r="AG155" s="175">
        <v>0.48</v>
      </c>
      <c r="AH155" s="334"/>
      <c r="AI155" s="188"/>
      <c r="AJ155" s="188"/>
      <c r="AK155" s="188"/>
      <c r="AL155" s="189"/>
      <c r="AM155" s="189"/>
      <c r="AN155" s="189"/>
      <c r="AO155" s="189"/>
      <c r="AP155" s="189"/>
      <c r="AQ155" s="189"/>
      <c r="AR155" s="189"/>
      <c r="AS155" s="189"/>
      <c r="AT155" s="189"/>
      <c r="AU155" s="190"/>
      <c r="AV155" s="190"/>
      <c r="AW155" s="190"/>
      <c r="AX155" s="190"/>
      <c r="AY155" s="190"/>
      <c r="AZ155" s="189"/>
      <c r="BA155" s="189"/>
      <c r="BB155" s="189"/>
      <c r="BC155" s="189"/>
      <c r="BD155" s="189"/>
      <c r="BE155" s="189"/>
      <c r="BF155" s="189"/>
      <c r="BG155" s="189"/>
      <c r="BH155" s="189"/>
      <c r="BI155" s="190"/>
      <c r="BJ155" s="190"/>
      <c r="BK155" s="190"/>
      <c r="BL155" s="190"/>
      <c r="BM155" s="190"/>
      <c r="BN155" s="191"/>
      <c r="BO155" s="191"/>
      <c r="BP155" s="191"/>
      <c r="BQ155" s="191"/>
      <c r="BR155" s="191"/>
      <c r="BS155" s="191"/>
      <c r="BT155" s="190"/>
      <c r="BU155" s="190"/>
      <c r="BV155" s="190"/>
      <c r="BW155" s="190"/>
      <c r="BX155" s="190"/>
      <c r="BY155" s="190"/>
      <c r="BZ155" s="190"/>
      <c r="CA155" s="189"/>
      <c r="CB155" s="15"/>
    </row>
    <row r="156" spans="1:80" ht="15" x14ac:dyDescent="0.25">
      <c r="A156" s="167"/>
      <c r="B156" s="642"/>
      <c r="C156" s="642"/>
      <c r="D156" s="179"/>
      <c r="E156" s="169"/>
      <c r="F156" s="169"/>
      <c r="G156" s="186"/>
      <c r="H156" s="187"/>
      <c r="I156" s="187"/>
      <c r="J156" s="187"/>
      <c r="K156" s="187"/>
      <c r="L156" s="647"/>
      <c r="M156" s="646">
        <v>33400</v>
      </c>
      <c r="N156" s="585">
        <v>0.2</v>
      </c>
      <c r="O156" s="585">
        <v>7.1399999999999996E-3</v>
      </c>
      <c r="P156" s="175">
        <v>0</v>
      </c>
      <c r="Q156" s="175">
        <v>0</v>
      </c>
      <c r="R156" s="175">
        <v>1.73E-3</v>
      </c>
      <c r="S156" s="175">
        <v>1.0399999999999999E-3</v>
      </c>
      <c r="T156" s="175">
        <v>8.5999999999999998E-4</v>
      </c>
      <c r="U156" s="175">
        <v>1.5299999999999999E-3</v>
      </c>
      <c r="V156" s="706">
        <v>1.97E-3</v>
      </c>
      <c r="W156" s="717"/>
      <c r="X156" s="713"/>
      <c r="Y156" s="718"/>
      <c r="Z156" s="709">
        <v>30</v>
      </c>
      <c r="AA156" s="175"/>
      <c r="AB156" s="200"/>
      <c r="AC156" s="175">
        <v>5.2999999999999999E-2</v>
      </c>
      <c r="AD156" s="175">
        <v>1.78</v>
      </c>
      <c r="AE156" s="175">
        <v>0.16</v>
      </c>
      <c r="AF156" s="201">
        <f t="shared" si="2"/>
        <v>0.2848</v>
      </c>
      <c r="AG156" s="175">
        <v>0.7</v>
      </c>
      <c r="AH156" s="334"/>
      <c r="AI156" s="188"/>
      <c r="AJ156" s="188"/>
      <c r="AK156" s="188"/>
      <c r="AL156" s="189"/>
      <c r="AM156" s="189"/>
      <c r="AN156" s="189"/>
      <c r="AO156" s="189"/>
      <c r="AP156" s="189"/>
      <c r="AQ156" s="189"/>
      <c r="AR156" s="189"/>
      <c r="AS156" s="189"/>
      <c r="AT156" s="189"/>
      <c r="AU156" s="190"/>
      <c r="AV156" s="190"/>
      <c r="AW156" s="190"/>
      <c r="AX156" s="190"/>
      <c r="AY156" s="190"/>
      <c r="AZ156" s="189"/>
      <c r="BA156" s="189"/>
      <c r="BB156" s="189"/>
      <c r="BC156" s="189"/>
      <c r="BD156" s="189"/>
      <c r="BE156" s="189"/>
      <c r="BF156" s="189"/>
      <c r="BG156" s="189"/>
      <c r="BH156" s="189"/>
      <c r="BI156" s="190"/>
      <c r="BJ156" s="190"/>
      <c r="BK156" s="190"/>
      <c r="BL156" s="190"/>
      <c r="BM156" s="190"/>
      <c r="BN156" s="191"/>
      <c r="BO156" s="191"/>
      <c r="BP156" s="191"/>
      <c r="BQ156" s="191"/>
      <c r="BR156" s="191"/>
      <c r="BS156" s="191"/>
      <c r="BT156" s="190"/>
      <c r="BU156" s="190"/>
      <c r="BV156" s="190"/>
      <c r="BW156" s="190"/>
      <c r="BX156" s="190"/>
      <c r="BY156" s="190"/>
      <c r="BZ156" s="190"/>
      <c r="CA156" s="189"/>
      <c r="CB156" s="15"/>
    </row>
    <row r="157" spans="1:80" ht="15" x14ac:dyDescent="0.25">
      <c r="A157" s="167"/>
      <c r="B157" s="642"/>
      <c r="C157" s="642"/>
      <c r="D157" s="179"/>
      <c r="E157" s="169"/>
      <c r="F157" s="169"/>
      <c r="G157" s="186"/>
      <c r="H157" s="187"/>
      <c r="I157" s="187"/>
      <c r="J157" s="187"/>
      <c r="K157" s="187"/>
      <c r="L157" s="647"/>
      <c r="M157" s="646">
        <v>33401</v>
      </c>
      <c r="N157" s="585">
        <v>0.19</v>
      </c>
      <c r="O157" s="585">
        <v>3.14E-3</v>
      </c>
      <c r="P157" s="175">
        <v>0</v>
      </c>
      <c r="Q157" s="175">
        <v>0</v>
      </c>
      <c r="R157" s="175">
        <v>0</v>
      </c>
      <c r="S157" s="175">
        <v>3.0000000000000001E-5</v>
      </c>
      <c r="T157" s="175">
        <v>2.1000000000000001E-4</v>
      </c>
      <c r="U157" s="175">
        <v>1E-3</v>
      </c>
      <c r="V157" s="706">
        <v>1.9E-3</v>
      </c>
      <c r="W157" s="717"/>
      <c r="X157" s="713"/>
      <c r="Y157" s="718"/>
      <c r="Z157" s="709">
        <v>10</v>
      </c>
      <c r="AA157" s="175"/>
      <c r="AB157" s="200"/>
      <c r="AC157" s="175">
        <v>5.2999999999999999E-2</v>
      </c>
      <c r="AD157" s="175">
        <v>1.8</v>
      </c>
      <c r="AE157" s="175">
        <v>0.13</v>
      </c>
      <c r="AF157" s="201">
        <f t="shared" si="2"/>
        <v>0.23400000000000001</v>
      </c>
      <c r="AG157" s="175">
        <v>0.81</v>
      </c>
      <c r="AH157" s="334"/>
      <c r="AI157" s="188"/>
      <c r="AJ157" s="188"/>
      <c r="AK157" s="188"/>
      <c r="AL157" s="189"/>
      <c r="AM157" s="189"/>
      <c r="AN157" s="189"/>
      <c r="AO157" s="189"/>
      <c r="AP157" s="189"/>
      <c r="AQ157" s="189"/>
      <c r="AR157" s="189"/>
      <c r="AS157" s="189"/>
      <c r="AT157" s="189"/>
      <c r="AU157" s="190"/>
      <c r="AV157" s="190"/>
      <c r="AW157" s="190"/>
      <c r="AX157" s="190"/>
      <c r="AY157" s="190"/>
      <c r="AZ157" s="189"/>
      <c r="BA157" s="189"/>
      <c r="BB157" s="189"/>
      <c r="BC157" s="189"/>
      <c r="BD157" s="189"/>
      <c r="BE157" s="189"/>
      <c r="BF157" s="189"/>
      <c r="BG157" s="189"/>
      <c r="BH157" s="189"/>
      <c r="BI157" s="190"/>
      <c r="BJ157" s="190"/>
      <c r="BK157" s="190"/>
      <c r="BL157" s="190"/>
      <c r="BM157" s="190"/>
      <c r="BN157" s="191"/>
      <c r="BO157" s="191"/>
      <c r="BP157" s="191"/>
      <c r="BQ157" s="191"/>
      <c r="BR157" s="191"/>
      <c r="BS157" s="191"/>
      <c r="BT157" s="190"/>
      <c r="BU157" s="190"/>
      <c r="BV157" s="190"/>
      <c r="BW157" s="190"/>
      <c r="BX157" s="190"/>
      <c r="BY157" s="190"/>
      <c r="BZ157" s="190"/>
      <c r="CA157" s="189"/>
      <c r="CB157" s="15"/>
    </row>
    <row r="158" spans="1:80" ht="15" x14ac:dyDescent="0.25">
      <c r="A158" s="167"/>
      <c r="B158" s="642"/>
      <c r="C158" s="642"/>
      <c r="D158" s="179"/>
      <c r="E158" s="169"/>
      <c r="F158" s="169"/>
      <c r="G158" s="186"/>
      <c r="H158" s="187"/>
      <c r="I158" s="187"/>
      <c r="J158" s="187"/>
      <c r="K158" s="187"/>
      <c r="L158" s="647"/>
      <c r="M158" s="646">
        <v>33403</v>
      </c>
      <c r="N158" s="585">
        <v>0.31</v>
      </c>
      <c r="O158" s="585">
        <v>5.8700000000000002E-3</v>
      </c>
      <c r="P158" s="175">
        <v>0</v>
      </c>
      <c r="Q158" s="175">
        <v>0</v>
      </c>
      <c r="R158" s="175">
        <v>0</v>
      </c>
      <c r="S158" s="175">
        <v>5.1999999999999995E-4</v>
      </c>
      <c r="T158" s="175">
        <v>5.2999999999999998E-4</v>
      </c>
      <c r="U158" s="175">
        <v>8.4999999999999995E-4</v>
      </c>
      <c r="V158" s="706">
        <v>3.9699999999999996E-3</v>
      </c>
      <c r="W158" s="717"/>
      <c r="X158" s="713"/>
      <c r="Y158" s="718"/>
      <c r="Z158" s="709">
        <v>17</v>
      </c>
      <c r="AA158" s="175"/>
      <c r="AB158" s="200"/>
      <c r="AC158" s="175">
        <v>5.3999999999999999E-2</v>
      </c>
      <c r="AD158" s="175">
        <v>2.0099999999999998</v>
      </c>
      <c r="AE158" s="175">
        <v>0.17</v>
      </c>
      <c r="AF158" s="201">
        <f t="shared" si="2"/>
        <v>0.3417</v>
      </c>
      <c r="AG158" s="175">
        <v>0.95</v>
      </c>
      <c r="AH158" s="334"/>
      <c r="AI158" s="188"/>
      <c r="AJ158" s="188"/>
      <c r="AK158" s="188"/>
      <c r="AL158" s="189"/>
      <c r="AM158" s="189"/>
      <c r="AN158" s="189"/>
      <c r="AO158" s="189"/>
      <c r="AP158" s="189"/>
      <c r="AQ158" s="189"/>
      <c r="AR158" s="189"/>
      <c r="AS158" s="189"/>
      <c r="AT158" s="189"/>
      <c r="AU158" s="190"/>
      <c r="AV158" s="190"/>
      <c r="AW158" s="190"/>
      <c r="AX158" s="190"/>
      <c r="AY158" s="190"/>
      <c r="AZ158" s="189"/>
      <c r="BA158" s="189"/>
      <c r="BB158" s="189"/>
      <c r="BC158" s="189"/>
      <c r="BD158" s="189"/>
      <c r="BE158" s="189"/>
      <c r="BF158" s="189"/>
      <c r="BG158" s="189"/>
      <c r="BH158" s="189"/>
      <c r="BI158" s="190"/>
      <c r="BJ158" s="190"/>
      <c r="BK158" s="190"/>
      <c r="BL158" s="190"/>
      <c r="BM158" s="190"/>
      <c r="BN158" s="191"/>
      <c r="BO158" s="191"/>
      <c r="BP158" s="191"/>
      <c r="BQ158" s="191"/>
      <c r="BR158" s="191"/>
      <c r="BS158" s="191"/>
      <c r="BT158" s="190"/>
      <c r="BU158" s="190"/>
      <c r="BV158" s="190"/>
      <c r="BW158" s="190"/>
      <c r="BX158" s="190"/>
      <c r="BY158" s="190"/>
      <c r="BZ158" s="190"/>
      <c r="CA158" s="189"/>
      <c r="CB158" s="15"/>
    </row>
    <row r="159" spans="1:80" ht="15" x14ac:dyDescent="0.25">
      <c r="A159" s="167"/>
      <c r="B159" s="642"/>
      <c r="C159" s="642"/>
      <c r="D159" s="179"/>
      <c r="E159" s="169"/>
      <c r="F159" s="169"/>
      <c r="G159" s="186"/>
      <c r="H159" s="187"/>
      <c r="I159" s="187"/>
      <c r="J159" s="187"/>
      <c r="K159" s="187"/>
      <c r="L159" s="647"/>
      <c r="M159" s="646">
        <v>33404</v>
      </c>
      <c r="N159" s="585">
        <v>0.4</v>
      </c>
      <c r="O159" s="585">
        <v>2.07E-2</v>
      </c>
      <c r="P159" s="175">
        <v>0</v>
      </c>
      <c r="Q159" s="175">
        <v>0</v>
      </c>
      <c r="R159" s="175">
        <v>1.83E-3</v>
      </c>
      <c r="S159" s="175">
        <v>1.41E-3</v>
      </c>
      <c r="T159" s="175">
        <v>4.4799999999999996E-3</v>
      </c>
      <c r="U159" s="175">
        <v>6.8199999999999997E-3</v>
      </c>
      <c r="V159" s="706">
        <v>6.1700000000000001E-3</v>
      </c>
      <c r="W159" s="717"/>
      <c r="X159" s="713"/>
      <c r="Y159" s="718"/>
      <c r="Z159" s="709">
        <v>35</v>
      </c>
      <c r="AA159" s="175"/>
      <c r="AB159" s="200"/>
      <c r="AC159" s="175">
        <v>5.3999999999999999E-2</v>
      </c>
      <c r="AD159" s="175">
        <v>2.0099999999999998</v>
      </c>
      <c r="AE159" s="175">
        <v>0.18</v>
      </c>
      <c r="AF159" s="201">
        <f t="shared" si="2"/>
        <v>0.36179999999999995</v>
      </c>
      <c r="AG159" s="175">
        <v>1.1599999999999999</v>
      </c>
      <c r="AH159" s="334"/>
      <c r="AI159" s="188"/>
      <c r="AJ159" s="188"/>
      <c r="AK159" s="188"/>
      <c r="AL159" s="189"/>
      <c r="AM159" s="189"/>
      <c r="AN159" s="189"/>
      <c r="AO159" s="189"/>
      <c r="AP159" s="189"/>
      <c r="AQ159" s="189"/>
      <c r="AR159" s="189"/>
      <c r="AS159" s="189"/>
      <c r="AT159" s="189"/>
      <c r="AU159" s="190"/>
      <c r="AV159" s="190"/>
      <c r="AW159" s="190"/>
      <c r="AX159" s="190"/>
      <c r="AY159" s="190"/>
      <c r="AZ159" s="189"/>
      <c r="BA159" s="189"/>
      <c r="BB159" s="189"/>
      <c r="BC159" s="189"/>
      <c r="BD159" s="189"/>
      <c r="BE159" s="189"/>
      <c r="BF159" s="189"/>
      <c r="BG159" s="189"/>
      <c r="BH159" s="189"/>
      <c r="BI159" s="190"/>
      <c r="BJ159" s="190"/>
      <c r="BK159" s="190"/>
      <c r="BL159" s="190"/>
      <c r="BM159" s="190"/>
      <c r="BN159" s="191"/>
      <c r="BO159" s="191"/>
      <c r="BP159" s="191"/>
      <c r="BQ159" s="191"/>
      <c r="BR159" s="191"/>
      <c r="BS159" s="191"/>
      <c r="BT159" s="190"/>
      <c r="BU159" s="190"/>
      <c r="BV159" s="190"/>
      <c r="BW159" s="190"/>
      <c r="BX159" s="190"/>
      <c r="BY159" s="190"/>
      <c r="BZ159" s="190"/>
      <c r="CA159" s="189"/>
      <c r="CB159" s="15"/>
    </row>
    <row r="160" spans="1:80" ht="15" x14ac:dyDescent="0.25">
      <c r="A160" s="167"/>
      <c r="B160" s="642"/>
      <c r="C160" s="642"/>
      <c r="D160" s="179"/>
      <c r="E160" s="169"/>
      <c r="F160" s="169"/>
      <c r="G160" s="186"/>
      <c r="H160" s="187"/>
      <c r="I160" s="187"/>
      <c r="J160" s="187"/>
      <c r="K160" s="187"/>
      <c r="L160" s="647"/>
      <c r="M160" s="646">
        <v>33406</v>
      </c>
      <c r="N160" s="585">
        <v>0.42</v>
      </c>
      <c r="O160" s="585">
        <v>1.538E-2</v>
      </c>
      <c r="P160" s="175">
        <v>0</v>
      </c>
      <c r="Q160" s="175">
        <v>0</v>
      </c>
      <c r="R160" s="175">
        <v>1.97E-3</v>
      </c>
      <c r="S160" s="175">
        <v>8.5999999999999998E-4</v>
      </c>
      <c r="T160" s="175">
        <v>2.4199999999999998E-3</v>
      </c>
      <c r="U160" s="175">
        <v>3.5899999999999999E-3</v>
      </c>
      <c r="V160" s="706">
        <v>6.5500000000000003E-3</v>
      </c>
      <c r="W160" s="717"/>
      <c r="X160" s="713"/>
      <c r="Y160" s="718"/>
      <c r="Z160" s="709">
        <v>17</v>
      </c>
      <c r="AA160" s="175"/>
      <c r="AB160" s="200"/>
      <c r="AC160" s="175">
        <v>5.5E-2</v>
      </c>
      <c r="AD160" s="175">
        <v>2.06</v>
      </c>
      <c r="AE160" s="175">
        <v>0.2</v>
      </c>
      <c r="AF160" s="201">
        <f t="shared" si="2"/>
        <v>0.41200000000000003</v>
      </c>
      <c r="AG160" s="175">
        <v>1.08</v>
      </c>
      <c r="AH160" s="334"/>
      <c r="AI160" s="188"/>
      <c r="AJ160" s="188"/>
      <c r="AK160" s="188"/>
      <c r="AL160" s="189"/>
      <c r="AM160" s="189"/>
      <c r="AN160" s="189"/>
      <c r="AO160" s="189"/>
      <c r="AP160" s="189"/>
      <c r="AQ160" s="189"/>
      <c r="AR160" s="189"/>
      <c r="AS160" s="189"/>
      <c r="AT160" s="189"/>
      <c r="AU160" s="190"/>
      <c r="AV160" s="190"/>
      <c r="AW160" s="190"/>
      <c r="AX160" s="190"/>
      <c r="AY160" s="190"/>
      <c r="AZ160" s="189"/>
      <c r="BA160" s="189"/>
      <c r="BB160" s="189"/>
      <c r="BC160" s="189"/>
      <c r="BD160" s="189"/>
      <c r="BE160" s="189"/>
      <c r="BF160" s="189"/>
      <c r="BG160" s="189"/>
      <c r="BH160" s="189"/>
      <c r="BI160" s="190"/>
      <c r="BJ160" s="190"/>
      <c r="BK160" s="190"/>
      <c r="BL160" s="190"/>
      <c r="BM160" s="190"/>
      <c r="BN160" s="191"/>
      <c r="BO160" s="191"/>
      <c r="BP160" s="191"/>
      <c r="BQ160" s="191"/>
      <c r="BR160" s="191"/>
      <c r="BS160" s="191"/>
      <c r="BT160" s="190"/>
      <c r="BU160" s="190"/>
      <c r="BV160" s="190"/>
      <c r="BW160" s="190"/>
      <c r="BX160" s="190"/>
      <c r="BY160" s="190"/>
      <c r="BZ160" s="190"/>
      <c r="CA160" s="189"/>
      <c r="CB160" s="15"/>
    </row>
    <row r="161" spans="1:80" ht="15" x14ac:dyDescent="0.25">
      <c r="A161" s="167"/>
      <c r="B161" s="642"/>
      <c r="C161" s="642"/>
      <c r="D161" s="179"/>
      <c r="E161" s="169"/>
      <c r="F161" s="169"/>
      <c r="G161" s="186"/>
      <c r="H161" s="187"/>
      <c r="I161" s="187"/>
      <c r="J161" s="187"/>
      <c r="K161" s="187"/>
      <c r="L161" s="647"/>
      <c r="M161" s="646">
        <v>33407</v>
      </c>
      <c r="N161" s="585">
        <v>0.37</v>
      </c>
      <c r="O161" s="585">
        <v>2.087E-2</v>
      </c>
      <c r="P161" s="175">
        <v>0</v>
      </c>
      <c r="Q161" s="175">
        <v>0</v>
      </c>
      <c r="R161" s="175">
        <v>2.82E-3</v>
      </c>
      <c r="S161" s="175">
        <v>3.3E-3</v>
      </c>
      <c r="T161" s="175">
        <v>4.7600000000000003E-3</v>
      </c>
      <c r="U161" s="175">
        <v>5.4200000000000003E-3</v>
      </c>
      <c r="V161" s="706">
        <v>4.5599999999999998E-3</v>
      </c>
      <c r="W161" s="717"/>
      <c r="X161" s="713"/>
      <c r="Y161" s="718"/>
      <c r="Z161" s="709">
        <v>33</v>
      </c>
      <c r="AA161" s="175"/>
      <c r="AB161" s="200"/>
      <c r="AC161" s="175">
        <v>5.3999999999999999E-2</v>
      </c>
      <c r="AD161" s="175">
        <v>2.06</v>
      </c>
      <c r="AE161" s="175">
        <v>0.18</v>
      </c>
      <c r="AF161" s="201">
        <f t="shared" si="2"/>
        <v>0.37080000000000002</v>
      </c>
      <c r="AG161" s="175">
        <v>0.93</v>
      </c>
      <c r="AH161" s="334"/>
      <c r="AI161" s="188"/>
      <c r="AJ161" s="188"/>
      <c r="AK161" s="188"/>
      <c r="AL161" s="189"/>
      <c r="AM161" s="189"/>
      <c r="AN161" s="189"/>
      <c r="AO161" s="189"/>
      <c r="AP161" s="189"/>
      <c r="AQ161" s="189"/>
      <c r="AR161" s="189"/>
      <c r="AS161" s="189"/>
      <c r="AT161" s="189"/>
      <c r="AU161" s="190"/>
      <c r="AV161" s="190"/>
      <c r="AW161" s="190"/>
      <c r="AX161" s="190"/>
      <c r="AY161" s="190"/>
      <c r="AZ161" s="189"/>
      <c r="BA161" s="189"/>
      <c r="BB161" s="189"/>
      <c r="BC161" s="189"/>
      <c r="BD161" s="189"/>
      <c r="BE161" s="189"/>
      <c r="BF161" s="189"/>
      <c r="BG161" s="189"/>
      <c r="BH161" s="189"/>
      <c r="BI161" s="190"/>
      <c r="BJ161" s="190"/>
      <c r="BK161" s="190"/>
      <c r="BL161" s="190"/>
      <c r="BM161" s="190"/>
      <c r="BN161" s="191"/>
      <c r="BO161" s="191"/>
      <c r="BP161" s="191"/>
      <c r="BQ161" s="191"/>
      <c r="BR161" s="191"/>
      <c r="BS161" s="191"/>
      <c r="BT161" s="190"/>
      <c r="BU161" s="190"/>
      <c r="BV161" s="190"/>
      <c r="BW161" s="190"/>
      <c r="BX161" s="190"/>
      <c r="BY161" s="190"/>
      <c r="BZ161" s="190"/>
      <c r="CA161" s="189"/>
      <c r="CB161" s="15"/>
    </row>
    <row r="162" spans="1:80" ht="15" x14ac:dyDescent="0.25">
      <c r="A162" s="167"/>
      <c r="B162" s="642"/>
      <c r="C162" s="642"/>
      <c r="D162" s="179"/>
      <c r="E162" s="169"/>
      <c r="F162" s="169"/>
      <c r="G162" s="186"/>
      <c r="H162" s="187"/>
      <c r="I162" s="187"/>
      <c r="J162" s="187"/>
      <c r="K162" s="187"/>
      <c r="L162" s="647"/>
      <c r="M162" s="646">
        <v>33408</v>
      </c>
      <c r="N162" s="585">
        <v>0.36</v>
      </c>
      <c r="O162" s="585">
        <v>8.5800000000000008E-3</v>
      </c>
      <c r="P162" s="175">
        <v>0</v>
      </c>
      <c r="Q162" s="175">
        <v>0</v>
      </c>
      <c r="R162" s="175">
        <v>2.3000000000000001E-4</v>
      </c>
      <c r="S162" s="175">
        <v>8.5999999999999998E-4</v>
      </c>
      <c r="T162" s="175">
        <v>1.1999999999999999E-3</v>
      </c>
      <c r="U162" s="175">
        <v>2.1099999999999999E-3</v>
      </c>
      <c r="V162" s="706">
        <v>4.1799999999999997E-3</v>
      </c>
      <c r="W162" s="717"/>
      <c r="X162" s="713"/>
      <c r="Y162" s="718"/>
      <c r="Z162" s="709">
        <v>18</v>
      </c>
      <c r="AA162" s="175"/>
      <c r="AB162" s="200"/>
      <c r="AC162" s="175">
        <v>5.3999999999999999E-2</v>
      </c>
      <c r="AD162" s="175">
        <v>2.0299999999999998</v>
      </c>
      <c r="AE162" s="175">
        <v>0.19</v>
      </c>
      <c r="AF162" s="201">
        <f t="shared" si="2"/>
        <v>0.38569999999999999</v>
      </c>
      <c r="AG162" s="175">
        <v>0.92</v>
      </c>
      <c r="AH162" s="334"/>
      <c r="AI162" s="188"/>
      <c r="AJ162" s="188"/>
      <c r="AK162" s="188"/>
      <c r="AL162" s="189"/>
      <c r="AM162" s="189"/>
      <c r="AN162" s="189"/>
      <c r="AO162" s="189"/>
      <c r="AP162" s="189"/>
      <c r="AQ162" s="189"/>
      <c r="AR162" s="189"/>
      <c r="AS162" s="189"/>
      <c r="AT162" s="189"/>
      <c r="AU162" s="190"/>
      <c r="AV162" s="190"/>
      <c r="AW162" s="190"/>
      <c r="AX162" s="190"/>
      <c r="AY162" s="190"/>
      <c r="AZ162" s="189"/>
      <c r="BA162" s="189"/>
      <c r="BB162" s="189"/>
      <c r="BC162" s="189"/>
      <c r="BD162" s="189"/>
      <c r="BE162" s="189"/>
      <c r="BF162" s="189"/>
      <c r="BG162" s="189"/>
      <c r="BH162" s="189"/>
      <c r="BI162" s="190"/>
      <c r="BJ162" s="190"/>
      <c r="BK162" s="190"/>
      <c r="BL162" s="190"/>
      <c r="BM162" s="190"/>
      <c r="BN162" s="191"/>
      <c r="BO162" s="191"/>
      <c r="BP162" s="191"/>
      <c r="BQ162" s="191"/>
      <c r="BR162" s="191"/>
      <c r="BS162" s="191"/>
      <c r="BT162" s="190"/>
      <c r="BU162" s="190"/>
      <c r="BV162" s="190"/>
      <c r="BW162" s="190"/>
      <c r="BX162" s="190"/>
      <c r="BY162" s="190"/>
      <c r="BZ162" s="190"/>
      <c r="CA162" s="189"/>
      <c r="CB162" s="15"/>
    </row>
    <row r="163" spans="1:80" ht="15" x14ac:dyDescent="0.25">
      <c r="A163" s="167"/>
      <c r="B163" s="642"/>
      <c r="C163" s="642"/>
      <c r="D163" s="179"/>
      <c r="E163" s="169"/>
      <c r="F163" s="169"/>
      <c r="G163" s="186"/>
      <c r="H163" s="187"/>
      <c r="I163" s="187"/>
      <c r="J163" s="187"/>
      <c r="K163" s="187"/>
      <c r="L163" s="647"/>
      <c r="M163" s="646">
        <v>33409</v>
      </c>
      <c r="N163" s="585">
        <v>0.37</v>
      </c>
      <c r="O163" s="585">
        <v>4.0099999999999997E-3</v>
      </c>
      <c r="P163" s="175">
        <v>0</v>
      </c>
      <c r="Q163" s="175">
        <v>0</v>
      </c>
      <c r="R163" s="175">
        <v>0</v>
      </c>
      <c r="S163" s="175">
        <v>3.0000000000000001E-5</v>
      </c>
      <c r="T163" s="175">
        <v>4.8999999999999998E-4</v>
      </c>
      <c r="U163" s="175">
        <v>8.0999999999999996E-4</v>
      </c>
      <c r="V163" s="706">
        <v>2.6800000000000001E-3</v>
      </c>
      <c r="W163" s="717"/>
      <c r="X163" s="713"/>
      <c r="Y163" s="718"/>
      <c r="Z163" s="709">
        <v>11</v>
      </c>
      <c r="AA163" s="175"/>
      <c r="AB163" s="200"/>
      <c r="AC163" s="175">
        <v>5.3999999999999999E-2</v>
      </c>
      <c r="AD163" s="175">
        <v>2.09</v>
      </c>
      <c r="AE163" s="175">
        <v>0.19</v>
      </c>
      <c r="AF163" s="201">
        <f t="shared" si="2"/>
        <v>0.39709999999999995</v>
      </c>
      <c r="AG163" s="175">
        <v>0.9</v>
      </c>
      <c r="AH163" s="334"/>
      <c r="AI163" s="188"/>
      <c r="AJ163" s="188"/>
      <c r="AK163" s="188"/>
      <c r="AL163" s="189"/>
      <c r="AM163" s="189"/>
      <c r="AN163" s="189"/>
      <c r="AO163" s="189"/>
      <c r="AP163" s="189"/>
      <c r="AQ163" s="189"/>
      <c r="AR163" s="189"/>
      <c r="AS163" s="189"/>
      <c r="AT163" s="189"/>
      <c r="AU163" s="190"/>
      <c r="AV163" s="190"/>
      <c r="AW163" s="190"/>
      <c r="AX163" s="190"/>
      <c r="AY163" s="190"/>
      <c r="AZ163" s="189"/>
      <c r="BA163" s="189"/>
      <c r="BB163" s="189"/>
      <c r="BC163" s="189"/>
      <c r="BD163" s="189"/>
      <c r="BE163" s="189"/>
      <c r="BF163" s="189"/>
      <c r="BG163" s="189"/>
      <c r="BH163" s="189"/>
      <c r="BI163" s="190"/>
      <c r="BJ163" s="190"/>
      <c r="BK163" s="190"/>
      <c r="BL163" s="190"/>
      <c r="BM163" s="190"/>
      <c r="BN163" s="191"/>
      <c r="BO163" s="191"/>
      <c r="BP163" s="191"/>
      <c r="BQ163" s="191"/>
      <c r="BR163" s="191"/>
      <c r="BS163" s="191"/>
      <c r="BT163" s="190"/>
      <c r="BU163" s="190"/>
      <c r="BV163" s="190"/>
      <c r="BW163" s="190"/>
      <c r="BX163" s="190"/>
      <c r="BY163" s="190"/>
      <c r="BZ163" s="190"/>
      <c r="CA163" s="189"/>
      <c r="CB163" s="15"/>
    </row>
    <row r="164" spans="1:80" ht="15" x14ac:dyDescent="0.25">
      <c r="A164" s="167"/>
      <c r="B164" s="642"/>
      <c r="C164" s="642"/>
      <c r="D164" s="179"/>
      <c r="E164" s="169"/>
      <c r="F164" s="169"/>
      <c r="G164" s="186"/>
      <c r="H164" s="187"/>
      <c r="I164" s="187"/>
      <c r="J164" s="187"/>
      <c r="K164" s="187"/>
      <c r="L164" s="647"/>
      <c r="M164" s="646">
        <v>33411</v>
      </c>
      <c r="N164" s="585">
        <v>0.34</v>
      </c>
      <c r="O164" s="585">
        <v>3.8899999999999998E-3</v>
      </c>
      <c r="P164" s="175">
        <v>0</v>
      </c>
      <c r="Q164" s="175">
        <v>0</v>
      </c>
      <c r="R164" s="175">
        <v>5.1000000000000004E-4</v>
      </c>
      <c r="S164" s="175">
        <v>0</v>
      </c>
      <c r="T164" s="175">
        <v>4.4999999999999999E-4</v>
      </c>
      <c r="U164" s="175">
        <v>6.9999999999999999E-4</v>
      </c>
      <c r="V164" s="706">
        <v>2.2300000000000002E-3</v>
      </c>
      <c r="W164" s="717"/>
      <c r="X164" s="713"/>
      <c r="Y164" s="718"/>
      <c r="Z164" s="709">
        <v>28</v>
      </c>
      <c r="AA164" s="175"/>
      <c r="AB164" s="200"/>
      <c r="AC164" s="175">
        <v>5.3999999999999999E-2</v>
      </c>
      <c r="AD164" s="175">
        <v>2.0099999999999998</v>
      </c>
      <c r="AE164" s="175">
        <v>0.18</v>
      </c>
      <c r="AF164" s="201">
        <f t="shared" si="2"/>
        <v>0.36179999999999995</v>
      </c>
      <c r="AG164" s="175">
        <v>0.88</v>
      </c>
      <c r="AH164" s="334"/>
      <c r="AI164" s="188"/>
      <c r="AJ164" s="188"/>
      <c r="AK164" s="188"/>
      <c r="AL164" s="189"/>
      <c r="AM164" s="189"/>
      <c r="AN164" s="189"/>
      <c r="AO164" s="189"/>
      <c r="AP164" s="189"/>
      <c r="AQ164" s="189"/>
      <c r="AR164" s="189"/>
      <c r="AS164" s="189"/>
      <c r="AT164" s="189"/>
      <c r="AU164" s="190"/>
      <c r="AV164" s="190"/>
      <c r="AW164" s="190"/>
      <c r="AX164" s="190"/>
      <c r="AY164" s="190"/>
      <c r="AZ164" s="189"/>
      <c r="BA164" s="189"/>
      <c r="BB164" s="189"/>
      <c r="BC164" s="189"/>
      <c r="BD164" s="189"/>
      <c r="BE164" s="189"/>
      <c r="BF164" s="189"/>
      <c r="BG164" s="189"/>
      <c r="BH164" s="189"/>
      <c r="BI164" s="190"/>
      <c r="BJ164" s="190"/>
      <c r="BK164" s="190"/>
      <c r="BL164" s="190"/>
      <c r="BM164" s="190"/>
      <c r="BN164" s="191"/>
      <c r="BO164" s="191"/>
      <c r="BP164" s="191"/>
      <c r="BQ164" s="191"/>
      <c r="BR164" s="191"/>
      <c r="BS164" s="191"/>
      <c r="BT164" s="190"/>
      <c r="BU164" s="190"/>
      <c r="BV164" s="190"/>
      <c r="BW164" s="190"/>
      <c r="BX164" s="190"/>
      <c r="BY164" s="190"/>
      <c r="BZ164" s="190"/>
      <c r="CA164" s="189"/>
      <c r="CB164" s="15"/>
    </row>
    <row r="165" spans="1:80" ht="15" x14ac:dyDescent="0.25">
      <c r="A165" s="167"/>
      <c r="B165" s="642"/>
      <c r="C165" s="642"/>
      <c r="D165" s="179"/>
      <c r="E165" s="169"/>
      <c r="F165" s="169"/>
      <c r="G165" s="186"/>
      <c r="H165" s="187"/>
      <c r="I165" s="187"/>
      <c r="J165" s="187"/>
      <c r="K165" s="187"/>
      <c r="L165" s="647"/>
      <c r="M165" s="646">
        <v>33414</v>
      </c>
      <c r="N165" s="585">
        <v>0.27</v>
      </c>
      <c r="O165" s="585">
        <v>0</v>
      </c>
      <c r="P165" s="175">
        <v>0</v>
      </c>
      <c r="Q165" s="175">
        <v>0</v>
      </c>
      <c r="R165" s="175">
        <v>0</v>
      </c>
      <c r="S165" s="175">
        <v>0</v>
      </c>
      <c r="T165" s="175">
        <v>0</v>
      </c>
      <c r="U165" s="175">
        <v>0</v>
      </c>
      <c r="V165" s="706">
        <v>0</v>
      </c>
      <c r="W165" s="717"/>
      <c r="X165" s="713"/>
      <c r="Y165" s="718"/>
      <c r="Z165" s="709">
        <v>0</v>
      </c>
      <c r="AA165" s="175"/>
      <c r="AB165" s="200" t="s">
        <v>39</v>
      </c>
      <c r="AC165" s="175">
        <v>5.2999999999999999E-2</v>
      </c>
      <c r="AD165" s="175">
        <v>1.95</v>
      </c>
      <c r="AE165" s="175">
        <v>0.15</v>
      </c>
      <c r="AF165" s="201">
        <f t="shared" si="2"/>
        <v>0.29249999999999998</v>
      </c>
      <c r="AG165" s="175">
        <v>0.85</v>
      </c>
      <c r="AH165" s="334"/>
      <c r="AI165" s="188"/>
      <c r="AJ165" s="188"/>
      <c r="AK165" s="188"/>
      <c r="AL165" s="189"/>
      <c r="AM165" s="189"/>
      <c r="AN165" s="189"/>
      <c r="AO165" s="189"/>
      <c r="AP165" s="189"/>
      <c r="AQ165" s="189"/>
      <c r="AR165" s="189"/>
      <c r="AS165" s="189"/>
      <c r="AT165" s="189"/>
      <c r="AU165" s="190"/>
      <c r="AV165" s="190"/>
      <c r="AW165" s="190"/>
      <c r="AX165" s="190"/>
      <c r="AY165" s="190"/>
      <c r="AZ165" s="189"/>
      <c r="BA165" s="189"/>
      <c r="BB165" s="189"/>
      <c r="BC165" s="189"/>
      <c r="BD165" s="189"/>
      <c r="BE165" s="189"/>
      <c r="BF165" s="189"/>
      <c r="BG165" s="189"/>
      <c r="BH165" s="189"/>
      <c r="BI165" s="190"/>
      <c r="BJ165" s="190"/>
      <c r="BK165" s="190"/>
      <c r="BL165" s="190"/>
      <c r="BM165" s="190"/>
      <c r="BN165" s="191"/>
      <c r="BO165" s="191"/>
      <c r="BP165" s="191"/>
      <c r="BQ165" s="191"/>
      <c r="BR165" s="191"/>
      <c r="BS165" s="191"/>
      <c r="BT165" s="190"/>
      <c r="BU165" s="190"/>
      <c r="BV165" s="190"/>
      <c r="BW165" s="190"/>
      <c r="BX165" s="190"/>
      <c r="BY165" s="190"/>
      <c r="BZ165" s="190"/>
      <c r="CA165" s="189"/>
      <c r="CB165" s="15"/>
    </row>
    <row r="166" spans="1:80" ht="15" x14ac:dyDescent="0.25">
      <c r="A166" s="167"/>
      <c r="B166" s="642"/>
      <c r="C166" s="642"/>
      <c r="D166" s="179"/>
      <c r="E166" s="169"/>
      <c r="F166" s="169"/>
      <c r="G166" s="186"/>
      <c r="H166" s="187"/>
      <c r="I166" s="187"/>
      <c r="J166" s="187"/>
      <c r="K166" s="187"/>
      <c r="L166" s="647"/>
      <c r="M166" s="646">
        <v>33415</v>
      </c>
      <c r="N166" s="585">
        <v>0.27</v>
      </c>
      <c r="O166" s="585">
        <v>7.6000000000000004E-4</v>
      </c>
      <c r="P166" s="175">
        <v>0</v>
      </c>
      <c r="Q166" s="175">
        <v>0</v>
      </c>
      <c r="R166" s="175">
        <v>0</v>
      </c>
      <c r="S166" s="175">
        <v>1.2E-4</v>
      </c>
      <c r="T166" s="175">
        <v>3.0000000000000001E-5</v>
      </c>
      <c r="U166" s="175">
        <v>8.0000000000000007E-5</v>
      </c>
      <c r="V166" s="706">
        <v>5.4000000000000001E-4</v>
      </c>
      <c r="W166" s="717"/>
      <c r="X166" s="713"/>
      <c r="Y166" s="718"/>
      <c r="Z166" s="709">
        <v>13</v>
      </c>
      <c r="AA166" s="175"/>
      <c r="AB166" s="200"/>
      <c r="AC166" s="175">
        <v>5.3999999999999999E-2</v>
      </c>
      <c r="AD166" s="175">
        <v>1.95</v>
      </c>
      <c r="AE166" s="175">
        <v>0.17</v>
      </c>
      <c r="AF166" s="201">
        <f t="shared" si="2"/>
        <v>0.33150000000000002</v>
      </c>
      <c r="AG166" s="175">
        <v>0.81</v>
      </c>
      <c r="AH166" s="334"/>
      <c r="AI166" s="188"/>
      <c r="AJ166" s="188"/>
      <c r="AK166" s="188"/>
      <c r="AL166" s="189"/>
      <c r="AM166" s="189"/>
      <c r="AN166" s="189"/>
      <c r="AO166" s="189"/>
      <c r="AP166" s="189"/>
      <c r="AQ166" s="189"/>
      <c r="AR166" s="189"/>
      <c r="AS166" s="189"/>
      <c r="AT166" s="189"/>
      <c r="AU166" s="190"/>
      <c r="AV166" s="190"/>
      <c r="AW166" s="190"/>
      <c r="AX166" s="190"/>
      <c r="AY166" s="190"/>
      <c r="AZ166" s="189"/>
      <c r="BA166" s="189"/>
      <c r="BB166" s="189"/>
      <c r="BC166" s="189"/>
      <c r="BD166" s="189"/>
      <c r="BE166" s="189"/>
      <c r="BF166" s="189"/>
      <c r="BG166" s="189"/>
      <c r="BH166" s="189"/>
      <c r="BI166" s="190"/>
      <c r="BJ166" s="190"/>
      <c r="BK166" s="190"/>
      <c r="BL166" s="190"/>
      <c r="BM166" s="190"/>
      <c r="BN166" s="191"/>
      <c r="BO166" s="191"/>
      <c r="BP166" s="191"/>
      <c r="BQ166" s="191"/>
      <c r="BR166" s="191"/>
      <c r="BS166" s="191"/>
      <c r="BT166" s="190"/>
      <c r="BU166" s="190"/>
      <c r="BV166" s="190"/>
      <c r="BW166" s="190"/>
      <c r="BX166" s="190"/>
      <c r="BY166" s="190"/>
      <c r="BZ166" s="190"/>
      <c r="CA166" s="189"/>
      <c r="CB166" s="15"/>
    </row>
    <row r="167" spans="1:80" ht="15" x14ac:dyDescent="0.25">
      <c r="A167" s="167"/>
      <c r="B167" s="642"/>
      <c r="C167" s="642"/>
      <c r="D167" s="179"/>
      <c r="E167" s="169"/>
      <c r="F167" s="169"/>
      <c r="G167" s="186"/>
      <c r="H167" s="187"/>
      <c r="I167" s="187"/>
      <c r="J167" s="187"/>
      <c r="K167" s="187"/>
      <c r="L167" s="647"/>
      <c r="M167" s="646">
        <v>33416</v>
      </c>
      <c r="N167" s="585">
        <v>0.28999999999999998</v>
      </c>
      <c r="O167" s="585">
        <v>1.57E-3</v>
      </c>
      <c r="P167" s="175">
        <v>0</v>
      </c>
      <c r="Q167" s="175">
        <v>0</v>
      </c>
      <c r="R167" s="175">
        <v>0</v>
      </c>
      <c r="S167" s="175">
        <v>0</v>
      </c>
      <c r="T167" s="175">
        <v>9.0000000000000006E-5</v>
      </c>
      <c r="U167" s="175">
        <v>2.7999999999999998E-4</v>
      </c>
      <c r="V167" s="706">
        <v>1.1999999999999999E-3</v>
      </c>
      <c r="W167" s="717"/>
      <c r="X167" s="713"/>
      <c r="Y167" s="718"/>
      <c r="Z167" s="709">
        <v>8</v>
      </c>
      <c r="AA167" s="175"/>
      <c r="AB167" s="200"/>
      <c r="AC167" s="175">
        <v>5.3999999999999999E-2</v>
      </c>
      <c r="AD167" s="175">
        <v>1.98</v>
      </c>
      <c r="AE167" s="175">
        <v>0.16</v>
      </c>
      <c r="AF167" s="201">
        <f t="shared" si="2"/>
        <v>0.31680000000000003</v>
      </c>
      <c r="AG167" s="175">
        <v>0.91</v>
      </c>
      <c r="AH167" s="334"/>
      <c r="AI167" s="188"/>
      <c r="AJ167" s="188"/>
      <c r="AK167" s="188"/>
      <c r="AL167" s="189"/>
      <c r="AM167" s="189"/>
      <c r="AN167" s="189"/>
      <c r="AO167" s="189"/>
      <c r="AP167" s="189"/>
      <c r="AQ167" s="189"/>
      <c r="AR167" s="189"/>
      <c r="AS167" s="189"/>
      <c r="AT167" s="189"/>
      <c r="AU167" s="190"/>
      <c r="AV167" s="190"/>
      <c r="AW167" s="190"/>
      <c r="AX167" s="190"/>
      <c r="AY167" s="190"/>
      <c r="AZ167" s="189"/>
      <c r="BA167" s="189"/>
      <c r="BB167" s="189"/>
      <c r="BC167" s="189"/>
      <c r="BD167" s="189"/>
      <c r="BE167" s="189"/>
      <c r="BF167" s="189"/>
      <c r="BG167" s="189"/>
      <c r="BH167" s="189"/>
      <c r="BI167" s="190"/>
      <c r="BJ167" s="190"/>
      <c r="BK167" s="190"/>
      <c r="BL167" s="190"/>
      <c r="BM167" s="190"/>
      <c r="BN167" s="191"/>
      <c r="BO167" s="191"/>
      <c r="BP167" s="191"/>
      <c r="BQ167" s="191"/>
      <c r="BR167" s="191"/>
      <c r="BS167" s="191"/>
      <c r="BT167" s="190"/>
      <c r="BU167" s="190"/>
      <c r="BV167" s="190"/>
      <c r="BW167" s="190"/>
      <c r="BX167" s="190"/>
      <c r="BY167" s="190"/>
      <c r="BZ167" s="190"/>
      <c r="CA167" s="189"/>
      <c r="CB167" s="15"/>
    </row>
    <row r="168" spans="1:80" ht="15" x14ac:dyDescent="0.25">
      <c r="A168" s="167"/>
      <c r="B168" s="642"/>
      <c r="C168" s="642"/>
      <c r="D168" s="179"/>
      <c r="E168" s="169"/>
      <c r="F168" s="169"/>
      <c r="G168" s="186"/>
      <c r="H168" s="187"/>
      <c r="I168" s="187"/>
      <c r="J168" s="187"/>
      <c r="K168" s="187"/>
      <c r="L168" s="647"/>
      <c r="M168" s="646">
        <v>33417</v>
      </c>
      <c r="N168" s="585">
        <v>0.27</v>
      </c>
      <c r="O168" s="585">
        <v>1.9E-3</v>
      </c>
      <c r="P168" s="175">
        <v>0</v>
      </c>
      <c r="Q168" s="175">
        <v>0</v>
      </c>
      <c r="R168" s="175">
        <v>0</v>
      </c>
      <c r="S168" s="175">
        <v>1.2E-4</v>
      </c>
      <c r="T168" s="175">
        <v>3.3E-4</v>
      </c>
      <c r="U168" s="175">
        <v>2.9E-4</v>
      </c>
      <c r="V168" s="706">
        <v>1.16E-3</v>
      </c>
      <c r="W168" s="717"/>
      <c r="X168" s="713"/>
      <c r="Y168" s="718"/>
      <c r="Z168" s="709">
        <v>13</v>
      </c>
      <c r="AA168" s="175"/>
      <c r="AB168" s="200"/>
      <c r="AC168" s="175">
        <v>5.3999999999999999E-2</v>
      </c>
      <c r="AD168" s="175">
        <v>1.98</v>
      </c>
      <c r="AE168" s="175">
        <v>0.17</v>
      </c>
      <c r="AF168" s="201">
        <f t="shared" si="2"/>
        <v>0.33660000000000001</v>
      </c>
      <c r="AG168" s="175">
        <v>0.92</v>
      </c>
      <c r="AH168" s="334"/>
      <c r="AI168" s="188"/>
      <c r="AJ168" s="188"/>
      <c r="AK168" s="188"/>
      <c r="AL168" s="189"/>
      <c r="AM168" s="189"/>
      <c r="AN168" s="189"/>
      <c r="AO168" s="189"/>
      <c r="AP168" s="189"/>
      <c r="AQ168" s="189"/>
      <c r="AR168" s="189"/>
      <c r="AS168" s="189"/>
      <c r="AT168" s="189"/>
      <c r="AU168" s="190"/>
      <c r="AV168" s="190"/>
      <c r="AW168" s="190"/>
      <c r="AX168" s="190"/>
      <c r="AY168" s="190"/>
      <c r="AZ168" s="189"/>
      <c r="BA168" s="189"/>
      <c r="BB168" s="189"/>
      <c r="BC168" s="189"/>
      <c r="BD168" s="189"/>
      <c r="BE168" s="189"/>
      <c r="BF168" s="189"/>
      <c r="BG168" s="189"/>
      <c r="BH168" s="189"/>
      <c r="BI168" s="190"/>
      <c r="BJ168" s="190"/>
      <c r="BK168" s="190"/>
      <c r="BL168" s="190"/>
      <c r="BM168" s="190"/>
      <c r="BN168" s="191"/>
      <c r="BO168" s="191"/>
      <c r="BP168" s="191"/>
      <c r="BQ168" s="191"/>
      <c r="BR168" s="191"/>
      <c r="BS168" s="191"/>
      <c r="BT168" s="190"/>
      <c r="BU168" s="190"/>
      <c r="BV168" s="190"/>
      <c r="BW168" s="190"/>
      <c r="BX168" s="190"/>
      <c r="BY168" s="190"/>
      <c r="BZ168" s="190"/>
      <c r="CA168" s="189"/>
      <c r="CB168" s="15"/>
    </row>
    <row r="169" spans="1:80" ht="15" x14ac:dyDescent="0.25">
      <c r="A169" s="167"/>
      <c r="B169" s="642"/>
      <c r="C169" s="642"/>
      <c r="D169" s="179"/>
      <c r="E169" s="169"/>
      <c r="F169" s="169"/>
      <c r="G169" s="186"/>
      <c r="H169" s="187"/>
      <c r="I169" s="187"/>
      <c r="J169" s="187"/>
      <c r="K169" s="187"/>
      <c r="L169" s="647"/>
      <c r="M169" s="646">
        <v>33423</v>
      </c>
      <c r="N169" s="585">
        <v>0.21</v>
      </c>
      <c r="O169" s="585">
        <v>0</v>
      </c>
      <c r="P169" s="175">
        <v>0</v>
      </c>
      <c r="Q169" s="175">
        <v>0</v>
      </c>
      <c r="R169" s="175">
        <v>0</v>
      </c>
      <c r="S169" s="175">
        <v>0</v>
      </c>
      <c r="T169" s="175">
        <v>0</v>
      </c>
      <c r="U169" s="175">
        <v>0</v>
      </c>
      <c r="V169" s="706">
        <v>0</v>
      </c>
      <c r="W169" s="717"/>
      <c r="X169" s="713"/>
      <c r="Y169" s="718"/>
      <c r="Z169" s="709">
        <v>0</v>
      </c>
      <c r="AA169" s="175"/>
      <c r="AB169" s="200" t="s">
        <v>39</v>
      </c>
      <c r="AC169" s="175">
        <v>5.2999999999999999E-2</v>
      </c>
      <c r="AD169" s="175">
        <v>1.94</v>
      </c>
      <c r="AE169" s="175">
        <v>0.15</v>
      </c>
      <c r="AF169" s="201">
        <f t="shared" si="2"/>
        <v>0.29099999999999998</v>
      </c>
      <c r="AG169" s="175">
        <v>0.83</v>
      </c>
      <c r="AH169" s="334"/>
      <c r="AI169" s="188"/>
      <c r="AJ169" s="188"/>
      <c r="AK169" s="188"/>
      <c r="AL169" s="189"/>
      <c r="AM169" s="189"/>
      <c r="AN169" s="189"/>
      <c r="AO169" s="189"/>
      <c r="AP169" s="189"/>
      <c r="AQ169" s="189"/>
      <c r="AR169" s="189"/>
      <c r="AS169" s="189"/>
      <c r="AT169" s="189"/>
      <c r="AU169" s="190"/>
      <c r="AV169" s="190"/>
      <c r="AW169" s="190"/>
      <c r="AX169" s="190"/>
      <c r="AY169" s="190"/>
      <c r="AZ169" s="189"/>
      <c r="BA169" s="189"/>
      <c r="BB169" s="189"/>
      <c r="BC169" s="189"/>
      <c r="BD169" s="189"/>
      <c r="BE169" s="189"/>
      <c r="BF169" s="189"/>
      <c r="BG169" s="189"/>
      <c r="BH169" s="189"/>
      <c r="BI169" s="190"/>
      <c r="BJ169" s="190"/>
      <c r="BK169" s="190"/>
      <c r="BL169" s="190"/>
      <c r="BM169" s="190"/>
      <c r="BN169" s="191"/>
      <c r="BO169" s="191"/>
      <c r="BP169" s="191"/>
      <c r="BQ169" s="191"/>
      <c r="BR169" s="191"/>
      <c r="BS169" s="191"/>
      <c r="BT169" s="190"/>
      <c r="BU169" s="190"/>
      <c r="BV169" s="190"/>
      <c r="BW169" s="190"/>
      <c r="BX169" s="190"/>
      <c r="BY169" s="190"/>
      <c r="BZ169" s="190"/>
      <c r="CA169" s="189"/>
      <c r="CB169" s="15"/>
    </row>
    <row r="170" spans="1:80" ht="15" x14ac:dyDescent="0.25">
      <c r="A170" s="167"/>
      <c r="B170" s="642"/>
      <c r="C170" s="642"/>
      <c r="D170" s="179"/>
      <c r="E170" s="169"/>
      <c r="F170" s="169"/>
      <c r="G170" s="186"/>
      <c r="H170" s="187"/>
      <c r="I170" s="187"/>
      <c r="J170" s="187"/>
      <c r="K170" s="187"/>
      <c r="L170" s="647"/>
      <c r="M170" s="646">
        <v>33424</v>
      </c>
      <c r="N170" s="585">
        <v>0.2</v>
      </c>
      <c r="O170" s="585">
        <v>0</v>
      </c>
      <c r="P170" s="175">
        <v>0</v>
      </c>
      <c r="Q170" s="175">
        <v>0</v>
      </c>
      <c r="R170" s="175">
        <v>0</v>
      </c>
      <c r="S170" s="175">
        <v>0</v>
      </c>
      <c r="T170" s="175">
        <v>0</v>
      </c>
      <c r="U170" s="175">
        <v>0</v>
      </c>
      <c r="V170" s="706">
        <v>0</v>
      </c>
      <c r="W170" s="717"/>
      <c r="X170" s="713"/>
      <c r="Y170" s="718"/>
      <c r="Z170" s="709">
        <v>0</v>
      </c>
      <c r="AA170" s="175"/>
      <c r="AB170" s="200" t="s">
        <v>39</v>
      </c>
      <c r="AC170" s="175">
        <v>5.2999999999999999E-2</v>
      </c>
      <c r="AD170" s="175">
        <v>1.88</v>
      </c>
      <c r="AE170" s="175">
        <v>0.15</v>
      </c>
      <c r="AF170" s="201">
        <f t="shared" si="2"/>
        <v>0.28199999999999997</v>
      </c>
      <c r="AG170" s="175">
        <v>0.76</v>
      </c>
      <c r="AH170" s="334"/>
      <c r="AI170" s="188"/>
      <c r="AJ170" s="188"/>
      <c r="AK170" s="188"/>
      <c r="AL170" s="189"/>
      <c r="AM170" s="189"/>
      <c r="AN170" s="189"/>
      <c r="AO170" s="189"/>
      <c r="AP170" s="189"/>
      <c r="AQ170" s="189"/>
      <c r="AR170" s="189"/>
      <c r="AS170" s="189"/>
      <c r="AT170" s="189"/>
      <c r="AU170" s="190"/>
      <c r="AV170" s="190"/>
      <c r="AW170" s="190"/>
      <c r="AX170" s="190"/>
      <c r="AY170" s="190"/>
      <c r="AZ170" s="189"/>
      <c r="BA170" s="189"/>
      <c r="BB170" s="189"/>
      <c r="BC170" s="189"/>
      <c r="BD170" s="189"/>
      <c r="BE170" s="189"/>
      <c r="BF170" s="189"/>
      <c r="BG170" s="189"/>
      <c r="BH170" s="189"/>
      <c r="BI170" s="190"/>
      <c r="BJ170" s="190"/>
      <c r="BK170" s="190"/>
      <c r="BL170" s="190"/>
      <c r="BM170" s="190"/>
      <c r="BN170" s="191"/>
      <c r="BO170" s="191"/>
      <c r="BP170" s="191"/>
      <c r="BQ170" s="191"/>
      <c r="BR170" s="191"/>
      <c r="BS170" s="191"/>
      <c r="BT170" s="190"/>
      <c r="BU170" s="190"/>
      <c r="BV170" s="190"/>
      <c r="BW170" s="190"/>
      <c r="BX170" s="190"/>
      <c r="BY170" s="190"/>
      <c r="BZ170" s="190"/>
      <c r="CA170" s="189"/>
      <c r="CB170" s="15"/>
    </row>
    <row r="171" spans="1:80" ht="15" x14ac:dyDescent="0.25">
      <c r="A171" s="167"/>
      <c r="B171" s="642"/>
      <c r="C171" s="642"/>
      <c r="D171" s="179"/>
      <c r="E171" s="169"/>
      <c r="F171" s="169"/>
      <c r="G171" s="186"/>
      <c r="H171" s="187"/>
      <c r="I171" s="187"/>
      <c r="J171" s="187"/>
      <c r="K171" s="187"/>
      <c r="L171" s="647"/>
      <c r="M171" s="646">
        <v>33428</v>
      </c>
      <c r="N171" s="585">
        <v>0.19</v>
      </c>
      <c r="O171" s="585">
        <v>3.65E-3</v>
      </c>
      <c r="P171" s="175">
        <v>0</v>
      </c>
      <c r="Q171" s="175">
        <v>0</v>
      </c>
      <c r="R171" s="175">
        <v>0</v>
      </c>
      <c r="S171" s="175">
        <v>7.2999999999999996E-4</v>
      </c>
      <c r="T171" s="175">
        <v>4.2000000000000002E-4</v>
      </c>
      <c r="U171" s="175">
        <v>6.9999999999999999E-4</v>
      </c>
      <c r="V171" s="706">
        <v>1.81E-3</v>
      </c>
      <c r="W171" s="717"/>
      <c r="X171" s="713"/>
      <c r="Y171" s="718"/>
      <c r="Z171" s="709">
        <v>15</v>
      </c>
      <c r="AA171" s="175"/>
      <c r="AB171" s="200"/>
      <c r="AC171" s="175">
        <v>5.2999999999999999E-2</v>
      </c>
      <c r="AD171" s="175">
        <v>1.9</v>
      </c>
      <c r="AE171" s="175">
        <v>0.14000000000000001</v>
      </c>
      <c r="AF171" s="201">
        <f t="shared" si="2"/>
        <v>0.26600000000000001</v>
      </c>
      <c r="AG171" s="175">
        <v>0.81</v>
      </c>
      <c r="AH171" s="334"/>
      <c r="AI171" s="188"/>
      <c r="AJ171" s="188"/>
      <c r="AK171" s="188"/>
      <c r="AL171" s="189"/>
      <c r="AM171" s="189"/>
      <c r="AN171" s="189"/>
      <c r="AO171" s="189"/>
      <c r="AP171" s="189"/>
      <c r="AQ171" s="189"/>
      <c r="AR171" s="189"/>
      <c r="AS171" s="189"/>
      <c r="AT171" s="189"/>
      <c r="AU171" s="190"/>
      <c r="AV171" s="190"/>
      <c r="AW171" s="190"/>
      <c r="AX171" s="190"/>
      <c r="AY171" s="190"/>
      <c r="AZ171" s="189"/>
      <c r="BA171" s="189"/>
      <c r="BB171" s="189"/>
      <c r="BC171" s="189"/>
      <c r="BD171" s="189"/>
      <c r="BE171" s="189"/>
      <c r="BF171" s="189"/>
      <c r="BG171" s="189"/>
      <c r="BH171" s="189"/>
      <c r="BI171" s="190"/>
      <c r="BJ171" s="190"/>
      <c r="BK171" s="190"/>
      <c r="BL171" s="190"/>
      <c r="BM171" s="190"/>
      <c r="BN171" s="191"/>
      <c r="BO171" s="191"/>
      <c r="BP171" s="191"/>
      <c r="BQ171" s="191"/>
      <c r="BR171" s="191"/>
      <c r="BS171" s="191"/>
      <c r="BT171" s="190"/>
      <c r="BU171" s="190"/>
      <c r="BV171" s="190"/>
      <c r="BW171" s="190"/>
      <c r="BX171" s="190"/>
      <c r="BY171" s="190"/>
      <c r="BZ171" s="190"/>
      <c r="CA171" s="189"/>
      <c r="CB171" s="15"/>
    </row>
    <row r="172" spans="1:80" ht="15" x14ac:dyDescent="0.25">
      <c r="A172" s="167"/>
      <c r="B172" s="642"/>
      <c r="C172" s="642"/>
      <c r="D172" s="179"/>
      <c r="E172" s="169"/>
      <c r="F172" s="169"/>
      <c r="G172" s="186"/>
      <c r="H172" s="187"/>
      <c r="I172" s="187"/>
      <c r="J172" s="187"/>
      <c r="K172" s="187"/>
      <c r="L172" s="647"/>
      <c r="M172" s="646">
        <v>33429</v>
      </c>
      <c r="N172" s="585">
        <v>0.18</v>
      </c>
      <c r="O172" s="585">
        <v>1.9000000000000001E-4</v>
      </c>
      <c r="P172" s="175">
        <v>0</v>
      </c>
      <c r="Q172" s="175">
        <v>0</v>
      </c>
      <c r="R172" s="175">
        <v>0</v>
      </c>
      <c r="S172" s="175">
        <v>0</v>
      </c>
      <c r="T172" s="175">
        <v>1.0000000000000001E-5</v>
      </c>
      <c r="U172" s="175">
        <v>3.0000000000000001E-5</v>
      </c>
      <c r="V172" s="706">
        <v>1.3999999999999999E-4</v>
      </c>
      <c r="W172" s="717"/>
      <c r="X172" s="713"/>
      <c r="Y172" s="718"/>
      <c r="Z172" s="709">
        <v>4</v>
      </c>
      <c r="AA172" s="175"/>
      <c r="AB172" s="200"/>
      <c r="AC172" s="175">
        <v>5.2999999999999999E-2</v>
      </c>
      <c r="AD172" s="175">
        <v>1.88</v>
      </c>
      <c r="AE172" s="175">
        <v>0.14000000000000001</v>
      </c>
      <c r="AF172" s="201">
        <f t="shared" si="2"/>
        <v>0.26319999999999999</v>
      </c>
      <c r="AG172" s="175">
        <v>0.74</v>
      </c>
      <c r="AH172" s="334"/>
      <c r="AI172" s="188"/>
      <c r="AJ172" s="188"/>
      <c r="AK172" s="188"/>
      <c r="AL172" s="189"/>
      <c r="AM172" s="189"/>
      <c r="AN172" s="189"/>
      <c r="AO172" s="189"/>
      <c r="AP172" s="189"/>
      <c r="AQ172" s="189"/>
      <c r="AR172" s="189"/>
      <c r="AS172" s="189"/>
      <c r="AT172" s="189"/>
      <c r="AU172" s="190"/>
      <c r="AV172" s="190"/>
      <c r="AW172" s="190"/>
      <c r="AX172" s="190"/>
      <c r="AY172" s="190"/>
      <c r="AZ172" s="189"/>
      <c r="BA172" s="189"/>
      <c r="BB172" s="189"/>
      <c r="BC172" s="189"/>
      <c r="BD172" s="189"/>
      <c r="BE172" s="189"/>
      <c r="BF172" s="189"/>
      <c r="BG172" s="189"/>
      <c r="BH172" s="189"/>
      <c r="BI172" s="190"/>
      <c r="BJ172" s="190"/>
      <c r="BK172" s="190"/>
      <c r="BL172" s="190"/>
      <c r="BM172" s="190"/>
      <c r="BN172" s="191"/>
      <c r="BO172" s="191"/>
      <c r="BP172" s="191"/>
      <c r="BQ172" s="191"/>
      <c r="BR172" s="191"/>
      <c r="BS172" s="191"/>
      <c r="BT172" s="190"/>
      <c r="BU172" s="190"/>
      <c r="BV172" s="190"/>
      <c r="BW172" s="190"/>
      <c r="BX172" s="190"/>
      <c r="BY172" s="190"/>
      <c r="BZ172" s="190"/>
      <c r="CA172" s="189"/>
      <c r="CB172" s="15"/>
    </row>
    <row r="173" spans="1:80" ht="15" x14ac:dyDescent="0.25">
      <c r="A173" s="167"/>
      <c r="B173" s="642"/>
      <c r="C173" s="642"/>
      <c r="D173" s="179"/>
      <c r="E173" s="169"/>
      <c r="F173" s="169"/>
      <c r="G173" s="186"/>
      <c r="H173" s="187"/>
      <c r="I173" s="187"/>
      <c r="J173" s="187"/>
      <c r="K173" s="187"/>
      <c r="L173" s="647"/>
      <c r="M173" s="646">
        <v>33430</v>
      </c>
      <c r="N173" s="585">
        <v>0.17</v>
      </c>
      <c r="O173" s="585">
        <v>0</v>
      </c>
      <c r="P173" s="175">
        <v>0</v>
      </c>
      <c r="Q173" s="175">
        <v>0</v>
      </c>
      <c r="R173" s="175">
        <v>0</v>
      </c>
      <c r="S173" s="175">
        <v>0</v>
      </c>
      <c r="T173" s="175">
        <v>0</v>
      </c>
      <c r="U173" s="175">
        <v>0</v>
      </c>
      <c r="V173" s="706">
        <v>0</v>
      </c>
      <c r="W173" s="717"/>
      <c r="X173" s="713"/>
      <c r="Y173" s="718"/>
      <c r="Z173" s="709">
        <v>0</v>
      </c>
      <c r="AA173" s="175"/>
      <c r="AB173" s="200" t="s">
        <v>39</v>
      </c>
      <c r="AC173" s="175">
        <v>5.2999999999999999E-2</v>
      </c>
      <c r="AD173" s="175">
        <v>1.81</v>
      </c>
      <c r="AE173" s="175">
        <v>0.14000000000000001</v>
      </c>
      <c r="AF173" s="201">
        <f t="shared" si="2"/>
        <v>0.25340000000000001</v>
      </c>
      <c r="AG173" s="175">
        <v>0.69</v>
      </c>
      <c r="AH173" s="334"/>
      <c r="AI173" s="188"/>
      <c r="AJ173" s="188"/>
      <c r="AK173" s="188"/>
      <c r="AL173" s="189"/>
      <c r="AM173" s="189"/>
      <c r="AN173" s="189"/>
      <c r="AO173" s="189"/>
      <c r="AP173" s="189"/>
      <c r="AQ173" s="189"/>
      <c r="AR173" s="189"/>
      <c r="AS173" s="189"/>
      <c r="AT173" s="189"/>
      <c r="AU173" s="190"/>
      <c r="AV173" s="190"/>
      <c r="AW173" s="190"/>
      <c r="AX173" s="190"/>
      <c r="AY173" s="190"/>
      <c r="AZ173" s="189"/>
      <c r="BA173" s="189"/>
      <c r="BB173" s="189"/>
      <c r="BC173" s="189"/>
      <c r="BD173" s="189"/>
      <c r="BE173" s="189"/>
      <c r="BF173" s="189"/>
      <c r="BG173" s="189"/>
      <c r="BH173" s="189"/>
      <c r="BI173" s="190"/>
      <c r="BJ173" s="190"/>
      <c r="BK173" s="190"/>
      <c r="BL173" s="190"/>
      <c r="BM173" s="190"/>
      <c r="BN173" s="191"/>
      <c r="BO173" s="191"/>
      <c r="BP173" s="191"/>
      <c r="BQ173" s="191"/>
      <c r="BR173" s="191"/>
      <c r="BS173" s="191"/>
      <c r="BT173" s="190"/>
      <c r="BU173" s="190"/>
      <c r="BV173" s="190"/>
      <c r="BW173" s="190"/>
      <c r="BX173" s="190"/>
      <c r="BY173" s="190"/>
      <c r="BZ173" s="190"/>
      <c r="CA173" s="189"/>
      <c r="CB173" s="15"/>
    </row>
    <row r="174" spans="1:80" ht="15" x14ac:dyDescent="0.25">
      <c r="A174" s="167"/>
      <c r="B174" s="642"/>
      <c r="C174" s="642"/>
      <c r="D174" s="179"/>
      <c r="E174" s="169"/>
      <c r="F174" s="169"/>
      <c r="G174" s="186"/>
      <c r="H174" s="187"/>
      <c r="I174" s="187"/>
      <c r="J174" s="187"/>
      <c r="K174" s="187"/>
      <c r="L174" s="647"/>
      <c r="M174" s="646">
        <v>33432</v>
      </c>
      <c r="N174" s="585">
        <v>0.15</v>
      </c>
      <c r="O174" s="585">
        <v>0</v>
      </c>
      <c r="P174" s="175">
        <v>0</v>
      </c>
      <c r="Q174" s="175">
        <v>0</v>
      </c>
      <c r="R174" s="175">
        <v>0</v>
      </c>
      <c r="S174" s="175">
        <v>0</v>
      </c>
      <c r="T174" s="175">
        <v>0</v>
      </c>
      <c r="U174" s="175">
        <v>0</v>
      </c>
      <c r="V174" s="706">
        <v>0</v>
      </c>
      <c r="W174" s="717"/>
      <c r="X174" s="713"/>
      <c r="Y174" s="718"/>
      <c r="Z174" s="709">
        <v>0</v>
      </c>
      <c r="AA174" s="175"/>
      <c r="AB174" s="200" t="s">
        <v>39</v>
      </c>
      <c r="AC174" s="175">
        <v>5.2999999999999999E-2</v>
      </c>
      <c r="AD174" s="175">
        <v>1.78</v>
      </c>
      <c r="AE174" s="175">
        <v>0.13</v>
      </c>
      <c r="AF174" s="201">
        <f t="shared" si="2"/>
        <v>0.23140000000000002</v>
      </c>
      <c r="AG174" s="175">
        <v>0.7</v>
      </c>
      <c r="AH174" s="334"/>
      <c r="AI174" s="188"/>
      <c r="AJ174" s="188"/>
      <c r="AK174" s="188"/>
      <c r="AL174" s="189"/>
      <c r="AM174" s="189"/>
      <c r="AN174" s="189"/>
      <c r="AO174" s="189"/>
      <c r="AP174" s="189"/>
      <c r="AQ174" s="189"/>
      <c r="AR174" s="189"/>
      <c r="AS174" s="189"/>
      <c r="AT174" s="189"/>
      <c r="AU174" s="190"/>
      <c r="AV174" s="190"/>
      <c r="AW174" s="190"/>
      <c r="AX174" s="190"/>
      <c r="AY174" s="190"/>
      <c r="AZ174" s="189"/>
      <c r="BA174" s="189"/>
      <c r="BB174" s="189"/>
      <c r="BC174" s="189"/>
      <c r="BD174" s="189"/>
      <c r="BE174" s="189"/>
      <c r="BF174" s="189"/>
      <c r="BG174" s="189"/>
      <c r="BH174" s="189"/>
      <c r="BI174" s="190"/>
      <c r="BJ174" s="190"/>
      <c r="BK174" s="190"/>
      <c r="BL174" s="190"/>
      <c r="BM174" s="190"/>
      <c r="BN174" s="191"/>
      <c r="BO174" s="191"/>
      <c r="BP174" s="191"/>
      <c r="BQ174" s="191"/>
      <c r="BR174" s="191"/>
      <c r="BS174" s="191"/>
      <c r="BT174" s="190"/>
      <c r="BU174" s="190"/>
      <c r="BV174" s="190"/>
      <c r="BW174" s="190"/>
      <c r="BX174" s="190"/>
      <c r="BY174" s="190"/>
      <c r="BZ174" s="190"/>
      <c r="CA174" s="189"/>
      <c r="CB174" s="15"/>
    </row>
    <row r="175" spans="1:80" ht="15" x14ac:dyDescent="0.25">
      <c r="A175" s="167"/>
      <c r="B175" s="642"/>
      <c r="C175" s="642"/>
      <c r="D175" s="179"/>
      <c r="E175" s="169"/>
      <c r="F175" s="169"/>
      <c r="G175" s="186"/>
      <c r="H175" s="187"/>
      <c r="I175" s="187"/>
      <c r="J175" s="187"/>
      <c r="K175" s="187"/>
      <c r="L175" s="647"/>
      <c r="M175" s="646">
        <v>33436</v>
      </c>
      <c r="N175" s="585">
        <v>0.11</v>
      </c>
      <c r="O175" s="585">
        <v>0</v>
      </c>
      <c r="P175" s="175">
        <v>0</v>
      </c>
      <c r="Q175" s="175">
        <v>0</v>
      </c>
      <c r="R175" s="175">
        <v>0</v>
      </c>
      <c r="S175" s="175">
        <v>0</v>
      </c>
      <c r="T175" s="175">
        <v>0</v>
      </c>
      <c r="U175" s="175">
        <v>0</v>
      </c>
      <c r="V175" s="706">
        <v>0</v>
      </c>
      <c r="W175" s="717"/>
      <c r="X175" s="713"/>
      <c r="Y175" s="718"/>
      <c r="Z175" s="709">
        <v>0</v>
      </c>
      <c r="AA175" s="175"/>
      <c r="AB175" s="200" t="s">
        <v>39</v>
      </c>
      <c r="AC175" s="175">
        <v>5.2999999999999999E-2</v>
      </c>
      <c r="AD175" s="175">
        <v>1.8</v>
      </c>
      <c r="AE175" s="175">
        <v>0.12</v>
      </c>
      <c r="AF175" s="201">
        <f t="shared" si="2"/>
        <v>0.216</v>
      </c>
      <c r="AG175" s="175">
        <v>0.61</v>
      </c>
      <c r="AH175" s="334"/>
      <c r="AI175" s="188"/>
      <c r="AJ175" s="188"/>
      <c r="AK175" s="188"/>
      <c r="AL175" s="189"/>
      <c r="AM175" s="189"/>
      <c r="AN175" s="189"/>
      <c r="AO175" s="189"/>
      <c r="AP175" s="189"/>
      <c r="AQ175" s="189"/>
      <c r="AR175" s="189"/>
      <c r="AS175" s="189"/>
      <c r="AT175" s="189"/>
      <c r="AU175" s="190"/>
      <c r="AV175" s="190"/>
      <c r="AW175" s="190"/>
      <c r="AX175" s="190"/>
      <c r="AY175" s="190"/>
      <c r="AZ175" s="189"/>
      <c r="BA175" s="189"/>
      <c r="BB175" s="189"/>
      <c r="BC175" s="189"/>
      <c r="BD175" s="189"/>
      <c r="BE175" s="189"/>
      <c r="BF175" s="189"/>
      <c r="BG175" s="189"/>
      <c r="BH175" s="189"/>
      <c r="BI175" s="190"/>
      <c r="BJ175" s="190"/>
      <c r="BK175" s="190"/>
      <c r="BL175" s="190"/>
      <c r="BM175" s="190"/>
      <c r="BN175" s="191"/>
      <c r="BO175" s="191"/>
      <c r="BP175" s="191"/>
      <c r="BQ175" s="191"/>
      <c r="BR175" s="191"/>
      <c r="BS175" s="191"/>
      <c r="BT175" s="190"/>
      <c r="BU175" s="190"/>
      <c r="BV175" s="190"/>
      <c r="BW175" s="190"/>
      <c r="BX175" s="190"/>
      <c r="BY175" s="190"/>
      <c r="BZ175" s="190"/>
      <c r="CA175" s="189"/>
      <c r="CB175" s="15"/>
    </row>
    <row r="176" spans="1:80" ht="15" x14ac:dyDescent="0.25">
      <c r="A176" s="167"/>
      <c r="B176" s="642"/>
      <c r="C176" s="642"/>
      <c r="D176" s="179"/>
      <c r="E176" s="169"/>
      <c r="F176" s="169"/>
      <c r="G176" s="186"/>
      <c r="H176" s="187"/>
      <c r="I176" s="187"/>
      <c r="J176" s="187"/>
      <c r="K176" s="187"/>
      <c r="L176" s="647"/>
      <c r="M176" s="646">
        <v>33438</v>
      </c>
      <c r="N176" s="585">
        <v>0.09</v>
      </c>
      <c r="O176" s="585">
        <v>1.49E-3</v>
      </c>
      <c r="P176" s="175">
        <v>0</v>
      </c>
      <c r="Q176" s="175">
        <v>0</v>
      </c>
      <c r="R176" s="175">
        <v>0</v>
      </c>
      <c r="S176" s="175">
        <v>1.7000000000000001E-4</v>
      </c>
      <c r="T176" s="175">
        <v>6.9999999999999994E-5</v>
      </c>
      <c r="U176" s="175">
        <v>2.7999999999999998E-4</v>
      </c>
      <c r="V176" s="706">
        <v>9.7000000000000005E-4</v>
      </c>
      <c r="W176" s="717"/>
      <c r="X176" s="713"/>
      <c r="Y176" s="718"/>
      <c r="Z176" s="709">
        <v>13</v>
      </c>
      <c r="AA176" s="175"/>
      <c r="AB176" s="200"/>
      <c r="AC176" s="175">
        <v>5.2999999999999999E-2</v>
      </c>
      <c r="AD176" s="175">
        <v>1.81</v>
      </c>
      <c r="AE176" s="175">
        <v>0.11</v>
      </c>
      <c r="AF176" s="201">
        <f t="shared" si="2"/>
        <v>0.1991</v>
      </c>
      <c r="AG176" s="175">
        <v>0.41</v>
      </c>
      <c r="AH176" s="334"/>
      <c r="AI176" s="188"/>
      <c r="AJ176" s="188"/>
      <c r="AK176" s="188"/>
      <c r="AL176" s="189"/>
      <c r="AM176" s="189"/>
      <c r="AN176" s="189"/>
      <c r="AO176" s="189"/>
      <c r="AP176" s="189"/>
      <c r="AQ176" s="189"/>
      <c r="AR176" s="189"/>
      <c r="AS176" s="189"/>
      <c r="AT176" s="189"/>
      <c r="AU176" s="190"/>
      <c r="AV176" s="190"/>
      <c r="AW176" s="190"/>
      <c r="AX176" s="190"/>
      <c r="AY176" s="190"/>
      <c r="AZ176" s="189"/>
      <c r="BA176" s="189"/>
      <c r="BB176" s="189"/>
      <c r="BC176" s="189"/>
      <c r="BD176" s="189"/>
      <c r="BE176" s="189"/>
      <c r="BF176" s="189"/>
      <c r="BG176" s="189"/>
      <c r="BH176" s="189"/>
      <c r="BI176" s="190"/>
      <c r="BJ176" s="190"/>
      <c r="BK176" s="190"/>
      <c r="BL176" s="190"/>
      <c r="BM176" s="190"/>
      <c r="BN176" s="191"/>
      <c r="BO176" s="191"/>
      <c r="BP176" s="191"/>
      <c r="BQ176" s="191"/>
      <c r="BR176" s="191"/>
      <c r="BS176" s="191"/>
      <c r="BT176" s="190"/>
      <c r="BU176" s="190"/>
      <c r="BV176" s="190"/>
      <c r="BW176" s="190"/>
      <c r="BX176" s="190"/>
      <c r="BY176" s="190"/>
      <c r="BZ176" s="190"/>
      <c r="CA176" s="189"/>
      <c r="CB176" s="15"/>
    </row>
    <row r="177" spans="1:80" ht="15" x14ac:dyDescent="0.25">
      <c r="A177" s="167"/>
      <c r="B177" s="642"/>
      <c r="C177" s="642"/>
      <c r="D177" s="179"/>
      <c r="E177" s="169"/>
      <c r="F177" s="169"/>
      <c r="G177" s="186"/>
      <c r="H177" s="187"/>
      <c r="I177" s="187"/>
      <c r="J177" s="187"/>
      <c r="K177" s="187"/>
      <c r="L177" s="647"/>
      <c r="M177" s="646">
        <v>33443</v>
      </c>
      <c r="N177" s="585">
        <v>7.0000000000000007E-2</v>
      </c>
      <c r="O177" s="585">
        <v>0</v>
      </c>
      <c r="P177" s="175">
        <v>0</v>
      </c>
      <c r="Q177" s="175">
        <v>0</v>
      </c>
      <c r="R177" s="175">
        <v>0</v>
      </c>
      <c r="S177" s="175">
        <v>0</v>
      </c>
      <c r="T177" s="175">
        <v>0</v>
      </c>
      <c r="U177" s="175">
        <v>0</v>
      </c>
      <c r="V177" s="706">
        <v>0</v>
      </c>
      <c r="W177" s="717"/>
      <c r="X177" s="713"/>
      <c r="Y177" s="718"/>
      <c r="Z177" s="709">
        <v>0</v>
      </c>
      <c r="AA177" s="175"/>
      <c r="AB177" s="200" t="s">
        <v>39</v>
      </c>
      <c r="AC177" s="175">
        <v>5.1999999999999998E-2</v>
      </c>
      <c r="AD177" s="175">
        <v>1.81</v>
      </c>
      <c r="AE177" s="175">
        <v>0.09</v>
      </c>
      <c r="AF177" s="201">
        <f t="shared" si="2"/>
        <v>0.16289999999999999</v>
      </c>
      <c r="AG177" s="175">
        <v>0.38</v>
      </c>
      <c r="AH177" s="334"/>
      <c r="AI177" s="188"/>
      <c r="AJ177" s="188"/>
      <c r="AK177" s="188"/>
      <c r="AL177" s="189"/>
      <c r="AM177" s="189"/>
      <c r="AN177" s="189"/>
      <c r="AO177" s="189"/>
      <c r="AP177" s="189"/>
      <c r="AQ177" s="189"/>
      <c r="AR177" s="189"/>
      <c r="AS177" s="189"/>
      <c r="AT177" s="189"/>
      <c r="AU177" s="190"/>
      <c r="AV177" s="190"/>
      <c r="AW177" s="190"/>
      <c r="AX177" s="190"/>
      <c r="AY177" s="190"/>
      <c r="AZ177" s="189"/>
      <c r="BA177" s="189"/>
      <c r="BB177" s="189"/>
      <c r="BC177" s="189"/>
      <c r="BD177" s="189"/>
      <c r="BE177" s="189"/>
      <c r="BF177" s="189"/>
      <c r="BG177" s="189"/>
      <c r="BH177" s="189"/>
      <c r="BI177" s="190"/>
      <c r="BJ177" s="190"/>
      <c r="BK177" s="190"/>
      <c r="BL177" s="190"/>
      <c r="BM177" s="190"/>
      <c r="BN177" s="191"/>
      <c r="BO177" s="191"/>
      <c r="BP177" s="191"/>
      <c r="BQ177" s="191"/>
      <c r="BR177" s="191"/>
      <c r="BS177" s="191"/>
      <c r="BT177" s="190"/>
      <c r="BU177" s="190"/>
      <c r="BV177" s="190"/>
      <c r="BW177" s="190"/>
      <c r="BX177" s="190"/>
      <c r="BY177" s="190"/>
      <c r="BZ177" s="190"/>
      <c r="CA177" s="189"/>
      <c r="CB177" s="15"/>
    </row>
    <row r="178" spans="1:80" ht="15" x14ac:dyDescent="0.25">
      <c r="A178" s="167"/>
      <c r="B178" s="642"/>
      <c r="C178" s="642"/>
      <c r="D178" s="179"/>
      <c r="E178" s="169"/>
      <c r="F178" s="169"/>
      <c r="G178" s="186"/>
      <c r="H178" s="187"/>
      <c r="I178" s="187"/>
      <c r="J178" s="187"/>
      <c r="K178" s="187"/>
      <c r="L178" s="647"/>
      <c r="M178" s="646">
        <v>33445</v>
      </c>
      <c r="N178" s="585">
        <v>0.05</v>
      </c>
      <c r="O178" s="585">
        <v>0</v>
      </c>
      <c r="P178" s="175">
        <v>0</v>
      </c>
      <c r="Q178" s="175">
        <v>0</v>
      </c>
      <c r="R178" s="175">
        <v>0</v>
      </c>
      <c r="S178" s="175">
        <v>0</v>
      </c>
      <c r="T178" s="175">
        <v>0</v>
      </c>
      <c r="U178" s="175">
        <v>0</v>
      </c>
      <c r="V178" s="706">
        <v>0</v>
      </c>
      <c r="W178" s="717"/>
      <c r="X178" s="713"/>
      <c r="Y178" s="718"/>
      <c r="Z178" s="709">
        <v>0</v>
      </c>
      <c r="AA178" s="175"/>
      <c r="AB178" s="200" t="s">
        <v>39</v>
      </c>
      <c r="AC178" s="175">
        <v>5.1999999999999998E-2</v>
      </c>
      <c r="AD178" s="175">
        <v>1.84</v>
      </c>
      <c r="AE178" s="175">
        <v>0.08</v>
      </c>
      <c r="AF178" s="201">
        <f t="shared" si="2"/>
        <v>0.1472</v>
      </c>
      <c r="AG178" s="175">
        <v>0.38</v>
      </c>
      <c r="AH178" s="334"/>
      <c r="AI178" s="188"/>
      <c r="AJ178" s="188"/>
      <c r="AK178" s="188"/>
      <c r="AL178" s="189"/>
      <c r="AM178" s="189"/>
      <c r="AN178" s="189"/>
      <c r="AO178" s="189"/>
      <c r="AP178" s="189"/>
      <c r="AQ178" s="189"/>
      <c r="AR178" s="189"/>
      <c r="AS178" s="189"/>
      <c r="AT178" s="189"/>
      <c r="AU178" s="190"/>
      <c r="AV178" s="190"/>
      <c r="AW178" s="190"/>
      <c r="AX178" s="190"/>
      <c r="AY178" s="190"/>
      <c r="AZ178" s="189"/>
      <c r="BA178" s="189"/>
      <c r="BB178" s="189"/>
      <c r="BC178" s="189"/>
      <c r="BD178" s="189"/>
      <c r="BE178" s="189"/>
      <c r="BF178" s="189"/>
      <c r="BG178" s="189"/>
      <c r="BH178" s="189"/>
      <c r="BI178" s="190"/>
      <c r="BJ178" s="190"/>
      <c r="BK178" s="190"/>
      <c r="BL178" s="190"/>
      <c r="BM178" s="190"/>
      <c r="BN178" s="191"/>
      <c r="BO178" s="191"/>
      <c r="BP178" s="191"/>
      <c r="BQ178" s="191"/>
      <c r="BR178" s="191"/>
      <c r="BS178" s="191"/>
      <c r="BT178" s="190"/>
      <c r="BU178" s="190"/>
      <c r="BV178" s="190"/>
      <c r="BW178" s="190"/>
      <c r="BX178" s="190"/>
      <c r="BY178" s="190"/>
      <c r="BZ178" s="190"/>
      <c r="CA178" s="189"/>
      <c r="CB178" s="15"/>
    </row>
    <row r="179" spans="1:80" ht="15" x14ac:dyDescent="0.25">
      <c r="A179" s="167"/>
      <c r="B179" s="642"/>
      <c r="C179" s="642"/>
      <c r="D179" s="179"/>
      <c r="E179" s="169"/>
      <c r="F179" s="169"/>
      <c r="G179" s="186"/>
      <c r="H179" s="187"/>
      <c r="I179" s="187"/>
      <c r="J179" s="187"/>
      <c r="K179" s="187"/>
      <c r="L179" s="647"/>
      <c r="M179" s="646">
        <v>33450</v>
      </c>
      <c r="N179" s="585">
        <v>0.04</v>
      </c>
      <c r="O179" s="585">
        <v>0</v>
      </c>
      <c r="P179" s="175">
        <v>0</v>
      </c>
      <c r="Q179" s="175">
        <v>0</v>
      </c>
      <c r="R179" s="175">
        <v>0</v>
      </c>
      <c r="S179" s="175">
        <v>0</v>
      </c>
      <c r="T179" s="175">
        <v>0</v>
      </c>
      <c r="U179" s="175">
        <v>0</v>
      </c>
      <c r="V179" s="706">
        <v>0</v>
      </c>
      <c r="W179" s="717"/>
      <c r="X179" s="713"/>
      <c r="Y179" s="718"/>
      <c r="Z179" s="709">
        <v>0</v>
      </c>
      <c r="AA179" s="175"/>
      <c r="AB179" s="200" t="s">
        <v>39</v>
      </c>
      <c r="AC179" s="175">
        <v>5.1999999999999998E-2</v>
      </c>
      <c r="AD179" s="175">
        <v>1.84</v>
      </c>
      <c r="AE179" s="175">
        <v>0.09</v>
      </c>
      <c r="AF179" s="201">
        <f t="shared" si="2"/>
        <v>0.1656</v>
      </c>
      <c r="AG179" s="175">
        <v>0.15</v>
      </c>
      <c r="AH179" s="334"/>
      <c r="AI179" s="188"/>
      <c r="AJ179" s="188"/>
      <c r="AK179" s="188"/>
      <c r="AL179" s="189"/>
      <c r="AM179" s="189"/>
      <c r="AN179" s="189"/>
      <c r="AO179" s="189"/>
      <c r="AP179" s="189"/>
      <c r="AQ179" s="189"/>
      <c r="AR179" s="189"/>
      <c r="AS179" s="189"/>
      <c r="AT179" s="189"/>
      <c r="AU179" s="190"/>
      <c r="AV179" s="190"/>
      <c r="AW179" s="190"/>
      <c r="AX179" s="190"/>
      <c r="AY179" s="190"/>
      <c r="AZ179" s="189"/>
      <c r="BA179" s="189"/>
      <c r="BB179" s="189"/>
      <c r="BC179" s="189"/>
      <c r="BD179" s="189"/>
      <c r="BE179" s="189"/>
      <c r="BF179" s="189"/>
      <c r="BG179" s="189"/>
      <c r="BH179" s="189"/>
      <c r="BI179" s="190"/>
      <c r="BJ179" s="190"/>
      <c r="BK179" s="190"/>
      <c r="BL179" s="190"/>
      <c r="BM179" s="190"/>
      <c r="BN179" s="191"/>
      <c r="BO179" s="191"/>
      <c r="BP179" s="191"/>
      <c r="BQ179" s="191"/>
      <c r="BR179" s="191"/>
      <c r="BS179" s="191"/>
      <c r="BT179" s="190"/>
      <c r="BU179" s="190"/>
      <c r="BV179" s="190"/>
      <c r="BW179" s="190"/>
      <c r="BX179" s="190"/>
      <c r="BY179" s="190"/>
      <c r="BZ179" s="190"/>
      <c r="CA179" s="189"/>
      <c r="CB179" s="15"/>
    </row>
    <row r="180" spans="1:80" ht="15" x14ac:dyDescent="0.25">
      <c r="A180" s="167"/>
      <c r="B180" s="642"/>
      <c r="C180" s="642"/>
      <c r="D180" s="179"/>
      <c r="E180" s="169"/>
      <c r="F180" s="169"/>
      <c r="G180" s="186"/>
      <c r="H180" s="187"/>
      <c r="I180" s="187"/>
      <c r="J180" s="187"/>
      <c r="K180" s="187"/>
      <c r="L180" s="647"/>
      <c r="M180" s="646">
        <v>33760</v>
      </c>
      <c r="N180" s="585">
        <v>0.34</v>
      </c>
      <c r="O180" s="585">
        <v>1.11E-2</v>
      </c>
      <c r="P180" s="175">
        <v>0</v>
      </c>
      <c r="Q180" s="175">
        <v>0</v>
      </c>
      <c r="R180" s="175">
        <v>7.2000000000000005E-4</v>
      </c>
      <c r="S180" s="175">
        <v>1.5299999999999999E-3</v>
      </c>
      <c r="T180" s="175">
        <v>2.1099999999999999E-3</v>
      </c>
      <c r="U180" s="175">
        <v>2.2899999999999999E-3</v>
      </c>
      <c r="V180" s="706">
        <v>4.4600000000000004E-3</v>
      </c>
      <c r="W180" s="717"/>
      <c r="X180" s="713"/>
      <c r="Y180" s="718"/>
      <c r="Z180" s="709">
        <v>18</v>
      </c>
      <c r="AA180" s="175"/>
      <c r="AB180" s="200"/>
      <c r="AC180" s="175">
        <v>5.3999999999999999E-2</v>
      </c>
      <c r="AD180" s="175">
        <v>2.0299999999999998</v>
      </c>
      <c r="AE180" s="175">
        <v>0.17</v>
      </c>
      <c r="AF180" s="201">
        <f t="shared" ref="AF180:AF209" si="3">AE180*AD180</f>
        <v>0.34510000000000002</v>
      </c>
      <c r="AG180" s="175">
        <v>1</v>
      </c>
      <c r="AH180" s="334"/>
      <c r="AI180" s="188"/>
      <c r="AJ180" s="188"/>
      <c r="AK180" s="188"/>
      <c r="AL180" s="189"/>
      <c r="AM180" s="189"/>
      <c r="AN180" s="189"/>
      <c r="AO180" s="189"/>
      <c r="AP180" s="189"/>
      <c r="AQ180" s="189"/>
      <c r="AR180" s="189"/>
      <c r="AS180" s="189"/>
      <c r="AT180" s="189"/>
      <c r="AU180" s="190"/>
      <c r="AV180" s="190"/>
      <c r="AW180" s="190"/>
      <c r="AX180" s="190"/>
      <c r="AY180" s="190"/>
      <c r="AZ180" s="189"/>
      <c r="BA180" s="189"/>
      <c r="BB180" s="189"/>
      <c r="BC180" s="189"/>
      <c r="BD180" s="189"/>
      <c r="BE180" s="189"/>
      <c r="BF180" s="189"/>
      <c r="BG180" s="189"/>
      <c r="BH180" s="189"/>
      <c r="BI180" s="190"/>
      <c r="BJ180" s="190"/>
      <c r="BK180" s="190"/>
      <c r="BL180" s="190"/>
      <c r="BM180" s="190"/>
      <c r="BN180" s="191"/>
      <c r="BO180" s="191"/>
      <c r="BP180" s="191"/>
      <c r="BQ180" s="191"/>
      <c r="BR180" s="191"/>
      <c r="BS180" s="191"/>
      <c r="BT180" s="190"/>
      <c r="BU180" s="190"/>
      <c r="BV180" s="190"/>
      <c r="BW180" s="190"/>
      <c r="BX180" s="190"/>
      <c r="BY180" s="190"/>
      <c r="BZ180" s="190"/>
      <c r="CA180" s="189"/>
      <c r="CB180" s="15"/>
    </row>
    <row r="181" spans="1:80" ht="15" x14ac:dyDescent="0.25">
      <c r="A181" s="167"/>
      <c r="B181" s="642"/>
      <c r="C181" s="642"/>
      <c r="D181" s="179"/>
      <c r="E181" s="169"/>
      <c r="F181" s="169"/>
      <c r="G181" s="186"/>
      <c r="H181" s="187"/>
      <c r="I181" s="187"/>
      <c r="J181" s="187"/>
      <c r="K181" s="187"/>
      <c r="L181" s="647"/>
      <c r="M181" s="646">
        <v>33762</v>
      </c>
      <c r="N181" s="585">
        <v>0.36</v>
      </c>
      <c r="O181" s="585">
        <v>2.7060000000000001E-2</v>
      </c>
      <c r="P181" s="175">
        <v>0</v>
      </c>
      <c r="Q181" s="175">
        <v>0</v>
      </c>
      <c r="R181" s="175">
        <v>2.1299999999999999E-3</v>
      </c>
      <c r="S181" s="175">
        <v>4.5700000000000003E-3</v>
      </c>
      <c r="T181" s="175">
        <v>5.7299999999999999E-3</v>
      </c>
      <c r="U181" s="175">
        <v>5.0699999999999999E-3</v>
      </c>
      <c r="V181" s="706">
        <v>9.5499999999999995E-3</v>
      </c>
      <c r="W181" s="717"/>
      <c r="X181" s="713"/>
      <c r="Y181" s="718"/>
      <c r="Z181" s="709">
        <v>23</v>
      </c>
      <c r="AA181" s="175"/>
      <c r="AB181" s="200"/>
      <c r="AC181" s="175">
        <v>5.3999999999999999E-2</v>
      </c>
      <c r="AD181" s="175">
        <v>2</v>
      </c>
      <c r="AE181" s="175">
        <v>0.17</v>
      </c>
      <c r="AF181" s="201">
        <f t="shared" si="3"/>
        <v>0.34</v>
      </c>
      <c r="AG181" s="175">
        <v>1.03</v>
      </c>
      <c r="AH181" s="334"/>
      <c r="AI181" s="188"/>
      <c r="AJ181" s="188"/>
      <c r="AK181" s="188"/>
      <c r="AL181" s="189"/>
      <c r="AM181" s="189"/>
      <c r="AN181" s="189"/>
      <c r="AO181" s="189"/>
      <c r="AP181" s="189"/>
      <c r="AQ181" s="189"/>
      <c r="AR181" s="189"/>
      <c r="AS181" s="189"/>
      <c r="AT181" s="189"/>
      <c r="AU181" s="190"/>
      <c r="AV181" s="190"/>
      <c r="AW181" s="190"/>
      <c r="AX181" s="190"/>
      <c r="AY181" s="190"/>
      <c r="AZ181" s="189"/>
      <c r="BA181" s="189"/>
      <c r="BB181" s="189"/>
      <c r="BC181" s="189"/>
      <c r="BD181" s="189"/>
      <c r="BE181" s="189"/>
      <c r="BF181" s="189"/>
      <c r="BG181" s="189"/>
      <c r="BH181" s="189"/>
      <c r="BI181" s="190"/>
      <c r="BJ181" s="190"/>
      <c r="BK181" s="190"/>
      <c r="BL181" s="190"/>
      <c r="BM181" s="190"/>
      <c r="BN181" s="191"/>
      <c r="BO181" s="191"/>
      <c r="BP181" s="191"/>
      <c r="BQ181" s="191"/>
      <c r="BR181" s="191"/>
      <c r="BS181" s="191"/>
      <c r="BT181" s="190"/>
      <c r="BU181" s="190"/>
      <c r="BV181" s="190"/>
      <c r="BW181" s="190"/>
      <c r="BX181" s="190"/>
      <c r="BY181" s="190"/>
      <c r="BZ181" s="190"/>
      <c r="CA181" s="189"/>
      <c r="CB181" s="15"/>
    </row>
    <row r="182" spans="1:80" ht="15" x14ac:dyDescent="0.25">
      <c r="A182" s="167"/>
      <c r="B182" s="642"/>
      <c r="C182" s="642"/>
      <c r="D182" s="179"/>
      <c r="E182" s="169"/>
      <c r="F182" s="169"/>
      <c r="G182" s="186"/>
      <c r="H182" s="187"/>
      <c r="I182" s="187"/>
      <c r="J182" s="187"/>
      <c r="K182" s="187"/>
      <c r="L182" s="647"/>
      <c r="M182" s="646">
        <v>33766</v>
      </c>
      <c r="N182" s="585">
        <v>0.33</v>
      </c>
      <c r="O182" s="585">
        <v>3.8800000000000002E-3</v>
      </c>
      <c r="P182" s="175">
        <v>0</v>
      </c>
      <c r="Q182" s="175">
        <v>0</v>
      </c>
      <c r="R182" s="175">
        <v>0</v>
      </c>
      <c r="S182" s="175">
        <v>4.4999999999999999E-4</v>
      </c>
      <c r="T182" s="175">
        <v>6.0999999999999997E-4</v>
      </c>
      <c r="U182" s="175">
        <v>5.9999999999999995E-4</v>
      </c>
      <c r="V182" s="706">
        <v>2.2100000000000002E-3</v>
      </c>
      <c r="W182" s="717"/>
      <c r="X182" s="713"/>
      <c r="Y182" s="718"/>
      <c r="Z182" s="709">
        <v>17</v>
      </c>
      <c r="AA182" s="175"/>
      <c r="AB182" s="200"/>
      <c r="AC182" s="175">
        <v>5.3999999999999999E-2</v>
      </c>
      <c r="AD182" s="175">
        <v>1.97</v>
      </c>
      <c r="AE182" s="175">
        <v>0.18</v>
      </c>
      <c r="AF182" s="201">
        <f t="shared" si="3"/>
        <v>0.35459999999999997</v>
      </c>
      <c r="AG182" s="175">
        <v>1.04</v>
      </c>
      <c r="AH182" s="334"/>
      <c r="AI182" s="188"/>
      <c r="AJ182" s="188"/>
      <c r="AK182" s="188"/>
      <c r="AL182" s="189"/>
      <c r="AM182" s="189"/>
      <c r="AN182" s="189"/>
      <c r="AO182" s="189"/>
      <c r="AP182" s="189"/>
      <c r="AQ182" s="189"/>
      <c r="AR182" s="189"/>
      <c r="AS182" s="189"/>
      <c r="AT182" s="189"/>
      <c r="AU182" s="190"/>
      <c r="AV182" s="190"/>
      <c r="AW182" s="190"/>
      <c r="AX182" s="190"/>
      <c r="AY182" s="190"/>
      <c r="AZ182" s="189"/>
      <c r="BA182" s="189"/>
      <c r="BB182" s="189"/>
      <c r="BC182" s="189"/>
      <c r="BD182" s="189"/>
      <c r="BE182" s="189"/>
      <c r="BF182" s="189"/>
      <c r="BG182" s="189"/>
      <c r="BH182" s="189"/>
      <c r="BI182" s="190"/>
      <c r="BJ182" s="190"/>
      <c r="BK182" s="190"/>
      <c r="BL182" s="190"/>
      <c r="BM182" s="190"/>
      <c r="BN182" s="191"/>
      <c r="BO182" s="191"/>
      <c r="BP182" s="191"/>
      <c r="BQ182" s="191"/>
      <c r="BR182" s="191"/>
      <c r="BS182" s="191"/>
      <c r="BT182" s="190"/>
      <c r="BU182" s="190"/>
      <c r="BV182" s="190"/>
      <c r="BW182" s="190"/>
      <c r="BX182" s="190"/>
      <c r="BY182" s="190"/>
      <c r="BZ182" s="190"/>
      <c r="CA182" s="189"/>
      <c r="CB182" s="15"/>
    </row>
    <row r="183" spans="1:80" ht="15" x14ac:dyDescent="0.25">
      <c r="A183" s="167"/>
      <c r="B183" s="642"/>
      <c r="C183" s="642"/>
      <c r="D183" s="179"/>
      <c r="E183" s="169"/>
      <c r="F183" s="169"/>
      <c r="G183" s="186"/>
      <c r="H183" s="187"/>
      <c r="I183" s="187"/>
      <c r="J183" s="187"/>
      <c r="K183" s="187"/>
      <c r="L183" s="647"/>
      <c r="M183" s="646">
        <v>33768</v>
      </c>
      <c r="N183" s="585">
        <v>0.3</v>
      </c>
      <c r="O183" s="585">
        <v>3.6600000000000001E-3</v>
      </c>
      <c r="P183" s="175">
        <v>0</v>
      </c>
      <c r="Q183" s="175">
        <v>0</v>
      </c>
      <c r="R183" s="175">
        <v>5.5999999999999995E-4</v>
      </c>
      <c r="S183" s="175">
        <v>2.7999999999999998E-4</v>
      </c>
      <c r="T183" s="175">
        <v>8.4999999999999995E-4</v>
      </c>
      <c r="U183" s="175">
        <v>7.6999999999999996E-4</v>
      </c>
      <c r="V183" s="706">
        <v>1.1999999999999999E-3</v>
      </c>
      <c r="W183" s="717"/>
      <c r="X183" s="713"/>
      <c r="Y183" s="718"/>
      <c r="Z183" s="709">
        <v>23</v>
      </c>
      <c r="AA183" s="175"/>
      <c r="AB183" s="200"/>
      <c r="AC183" s="175">
        <v>5.3999999999999999E-2</v>
      </c>
      <c r="AD183" s="175">
        <v>1.91</v>
      </c>
      <c r="AE183" s="175">
        <v>0.16</v>
      </c>
      <c r="AF183" s="201">
        <f t="shared" si="3"/>
        <v>0.30559999999999998</v>
      </c>
      <c r="AG183" s="175">
        <v>1.03</v>
      </c>
      <c r="AH183" s="334"/>
      <c r="AI183" s="188"/>
      <c r="AJ183" s="188"/>
      <c r="AK183" s="188"/>
      <c r="AL183" s="189"/>
      <c r="AM183" s="189"/>
      <c r="AN183" s="189"/>
      <c r="AO183" s="189"/>
      <c r="AP183" s="189"/>
      <c r="AQ183" s="189"/>
      <c r="AR183" s="189"/>
      <c r="AS183" s="189"/>
      <c r="AT183" s="189"/>
      <c r="AU183" s="190"/>
      <c r="AV183" s="190"/>
      <c r="AW183" s="190"/>
      <c r="AX183" s="190"/>
      <c r="AY183" s="190"/>
      <c r="AZ183" s="189"/>
      <c r="BA183" s="189"/>
      <c r="BB183" s="189"/>
      <c r="BC183" s="189"/>
      <c r="BD183" s="189"/>
      <c r="BE183" s="189"/>
      <c r="BF183" s="189"/>
      <c r="BG183" s="189"/>
      <c r="BH183" s="189"/>
      <c r="BI183" s="190"/>
      <c r="BJ183" s="190"/>
      <c r="BK183" s="190"/>
      <c r="BL183" s="190"/>
      <c r="BM183" s="190"/>
      <c r="BN183" s="191"/>
      <c r="BO183" s="191"/>
      <c r="BP183" s="191"/>
      <c r="BQ183" s="191"/>
      <c r="BR183" s="191"/>
      <c r="BS183" s="191"/>
      <c r="BT183" s="190"/>
      <c r="BU183" s="190"/>
      <c r="BV183" s="190"/>
      <c r="BW183" s="190"/>
      <c r="BX183" s="190"/>
      <c r="BY183" s="190"/>
      <c r="BZ183" s="190"/>
      <c r="CA183" s="189"/>
      <c r="CB183" s="15"/>
    </row>
    <row r="184" spans="1:80" ht="15" x14ac:dyDescent="0.25">
      <c r="A184" s="167"/>
      <c r="B184" s="642"/>
      <c r="C184" s="642"/>
      <c r="D184" s="179"/>
      <c r="E184" s="169"/>
      <c r="F184" s="169"/>
      <c r="G184" s="186"/>
      <c r="H184" s="187"/>
      <c r="I184" s="187"/>
      <c r="J184" s="187"/>
      <c r="K184" s="187"/>
      <c r="L184" s="647"/>
      <c r="M184" s="646">
        <v>33769</v>
      </c>
      <c r="N184" s="585">
        <v>0.4</v>
      </c>
      <c r="O184" s="585">
        <v>2.4330000000000001E-2</v>
      </c>
      <c r="P184" s="175">
        <v>0</v>
      </c>
      <c r="Q184" s="175">
        <v>0</v>
      </c>
      <c r="R184" s="175">
        <v>2.7100000000000002E-3</v>
      </c>
      <c r="S184" s="175">
        <v>3.3800000000000002E-3</v>
      </c>
      <c r="T184" s="175">
        <v>3.48E-3</v>
      </c>
      <c r="U184" s="175">
        <v>3.8300000000000001E-3</v>
      </c>
      <c r="V184" s="706">
        <v>1.0919999999999999E-2</v>
      </c>
      <c r="W184" s="717"/>
      <c r="X184" s="713"/>
      <c r="Y184" s="718"/>
      <c r="Z184" s="709">
        <v>25</v>
      </c>
      <c r="AA184" s="175"/>
      <c r="AB184" s="200"/>
      <c r="AC184" s="175">
        <v>5.3999999999999999E-2</v>
      </c>
      <c r="AD184" s="175">
        <v>2.0699999999999998</v>
      </c>
      <c r="AE184" s="175">
        <v>0.18</v>
      </c>
      <c r="AF184" s="201">
        <f t="shared" si="3"/>
        <v>0.37259999999999993</v>
      </c>
      <c r="AG184" s="175">
        <v>1.04</v>
      </c>
      <c r="AH184" s="334"/>
      <c r="AI184" s="188"/>
      <c r="AJ184" s="188"/>
      <c r="AK184" s="188"/>
      <c r="AL184" s="189"/>
      <c r="AM184" s="189"/>
      <c r="AN184" s="189"/>
      <c r="AO184" s="189"/>
      <c r="AP184" s="189"/>
      <c r="AQ184" s="189"/>
      <c r="AR184" s="189"/>
      <c r="AS184" s="189"/>
      <c r="AT184" s="189"/>
      <c r="AU184" s="190"/>
      <c r="AV184" s="190"/>
      <c r="AW184" s="190"/>
      <c r="AX184" s="190"/>
      <c r="AY184" s="190"/>
      <c r="AZ184" s="189"/>
      <c r="BA184" s="189"/>
      <c r="BB184" s="189"/>
      <c r="BC184" s="189"/>
      <c r="BD184" s="189"/>
      <c r="BE184" s="189"/>
      <c r="BF184" s="189"/>
      <c r="BG184" s="189"/>
      <c r="BH184" s="189"/>
      <c r="BI184" s="190"/>
      <c r="BJ184" s="190"/>
      <c r="BK184" s="190"/>
      <c r="BL184" s="190"/>
      <c r="BM184" s="190"/>
      <c r="BN184" s="191"/>
      <c r="BO184" s="191"/>
      <c r="BP184" s="191"/>
      <c r="BQ184" s="191"/>
      <c r="BR184" s="191"/>
      <c r="BS184" s="191"/>
      <c r="BT184" s="190"/>
      <c r="BU184" s="190"/>
      <c r="BV184" s="190"/>
      <c r="BW184" s="190"/>
      <c r="BX184" s="190"/>
      <c r="BY184" s="190"/>
      <c r="BZ184" s="190"/>
      <c r="CA184" s="189"/>
      <c r="CB184" s="15"/>
    </row>
    <row r="185" spans="1:80" ht="15" x14ac:dyDescent="0.25">
      <c r="A185" s="167"/>
      <c r="B185" s="642"/>
      <c r="C185" s="642"/>
      <c r="D185" s="179"/>
      <c r="E185" s="169"/>
      <c r="F185" s="169"/>
      <c r="G185" s="186"/>
      <c r="H185" s="187"/>
      <c r="I185" s="187"/>
      <c r="J185" s="187"/>
      <c r="K185" s="187"/>
      <c r="L185" s="647"/>
      <c r="M185" s="646">
        <v>33771</v>
      </c>
      <c r="N185" s="585">
        <v>0.28999999999999998</v>
      </c>
      <c r="O185" s="585">
        <v>1.2959999999999999E-2</v>
      </c>
      <c r="P185" s="175">
        <v>0</v>
      </c>
      <c r="Q185" s="175">
        <v>0</v>
      </c>
      <c r="R185" s="175">
        <v>0</v>
      </c>
      <c r="S185" s="175">
        <v>1.89E-3</v>
      </c>
      <c r="T185" s="175">
        <v>2.0500000000000002E-3</v>
      </c>
      <c r="U185" s="175">
        <v>2.2499999999999998E-3</v>
      </c>
      <c r="V185" s="706">
        <v>6.7799999999999996E-3</v>
      </c>
      <c r="W185" s="717"/>
      <c r="X185" s="713"/>
      <c r="Y185" s="718"/>
      <c r="Z185" s="709">
        <v>19</v>
      </c>
      <c r="AA185" s="175"/>
      <c r="AB185" s="200"/>
      <c r="AC185" s="175">
        <v>5.3999999999999999E-2</v>
      </c>
      <c r="AD185" s="175">
        <v>1.97</v>
      </c>
      <c r="AE185" s="175">
        <v>0.16</v>
      </c>
      <c r="AF185" s="201">
        <f t="shared" si="3"/>
        <v>0.31519999999999998</v>
      </c>
      <c r="AG185" s="175">
        <v>0.85</v>
      </c>
      <c r="AH185" s="334"/>
      <c r="AI185" s="188"/>
      <c r="AJ185" s="188"/>
      <c r="AK185" s="188"/>
      <c r="AL185" s="189"/>
      <c r="AM185" s="189"/>
      <c r="AN185" s="189"/>
      <c r="AO185" s="189"/>
      <c r="AP185" s="189"/>
      <c r="AQ185" s="189"/>
      <c r="AR185" s="189"/>
      <c r="AS185" s="189"/>
      <c r="AT185" s="189"/>
      <c r="AU185" s="190"/>
      <c r="AV185" s="190"/>
      <c r="AW185" s="190"/>
      <c r="AX185" s="190"/>
      <c r="AY185" s="190"/>
      <c r="AZ185" s="189"/>
      <c r="BA185" s="189"/>
      <c r="BB185" s="189"/>
      <c r="BC185" s="189"/>
      <c r="BD185" s="189"/>
      <c r="BE185" s="189"/>
      <c r="BF185" s="189"/>
      <c r="BG185" s="189"/>
      <c r="BH185" s="189"/>
      <c r="BI185" s="190"/>
      <c r="BJ185" s="190"/>
      <c r="BK185" s="190"/>
      <c r="BL185" s="190"/>
      <c r="BM185" s="190"/>
      <c r="BN185" s="191"/>
      <c r="BO185" s="191"/>
      <c r="BP185" s="191"/>
      <c r="BQ185" s="191"/>
      <c r="BR185" s="191"/>
      <c r="BS185" s="191"/>
      <c r="BT185" s="190"/>
      <c r="BU185" s="190"/>
      <c r="BV185" s="190"/>
      <c r="BW185" s="190"/>
      <c r="BX185" s="190"/>
      <c r="BY185" s="190"/>
      <c r="BZ185" s="190"/>
      <c r="CA185" s="189"/>
      <c r="CB185" s="15"/>
    </row>
    <row r="186" spans="1:80" ht="15" x14ac:dyDescent="0.25">
      <c r="A186" s="167"/>
      <c r="B186" s="642"/>
      <c r="C186" s="642"/>
      <c r="D186" s="179"/>
      <c r="E186" s="169"/>
      <c r="F186" s="169"/>
      <c r="G186" s="186"/>
      <c r="H186" s="187"/>
      <c r="I186" s="187"/>
      <c r="J186" s="187"/>
      <c r="K186" s="187"/>
      <c r="L186" s="647"/>
      <c r="M186" s="646">
        <v>33772</v>
      </c>
      <c r="N186" s="585">
        <v>0.27</v>
      </c>
      <c r="O186" s="585">
        <v>1.218E-2</v>
      </c>
      <c r="P186" s="175">
        <v>0</v>
      </c>
      <c r="Q186" s="175">
        <v>0</v>
      </c>
      <c r="R186" s="175">
        <v>0</v>
      </c>
      <c r="S186" s="175">
        <v>1.4E-3</v>
      </c>
      <c r="T186" s="175">
        <v>2.33E-3</v>
      </c>
      <c r="U186" s="175">
        <v>2.8300000000000001E-3</v>
      </c>
      <c r="V186" s="706">
        <v>5.62E-3</v>
      </c>
      <c r="W186" s="717"/>
      <c r="X186" s="713"/>
      <c r="Y186" s="718"/>
      <c r="Z186" s="709">
        <v>20</v>
      </c>
      <c r="AA186" s="175"/>
      <c r="AB186" s="200"/>
      <c r="AC186" s="175">
        <v>5.3999999999999999E-2</v>
      </c>
      <c r="AD186" s="175">
        <v>1.96</v>
      </c>
      <c r="AE186" s="175">
        <v>0.16</v>
      </c>
      <c r="AF186" s="201">
        <f t="shared" si="3"/>
        <v>0.31359999999999999</v>
      </c>
      <c r="AG186" s="175">
        <v>0.93</v>
      </c>
      <c r="AH186" s="334"/>
      <c r="AI186" s="188"/>
      <c r="AJ186" s="188"/>
      <c r="AK186" s="188"/>
      <c r="AL186" s="189"/>
      <c r="AM186" s="189"/>
      <c r="AN186" s="189"/>
      <c r="AO186" s="189"/>
      <c r="AP186" s="189"/>
      <c r="AQ186" s="189"/>
      <c r="AR186" s="189"/>
      <c r="AS186" s="189"/>
      <c r="AT186" s="189"/>
      <c r="AU186" s="190"/>
      <c r="AV186" s="190"/>
      <c r="AW186" s="190"/>
      <c r="AX186" s="190"/>
      <c r="AY186" s="190"/>
      <c r="AZ186" s="189"/>
      <c r="BA186" s="189"/>
      <c r="BB186" s="189"/>
      <c r="BC186" s="189"/>
      <c r="BD186" s="189"/>
      <c r="BE186" s="189"/>
      <c r="BF186" s="189"/>
      <c r="BG186" s="189"/>
      <c r="BH186" s="189"/>
      <c r="BI186" s="190"/>
      <c r="BJ186" s="190"/>
      <c r="BK186" s="190"/>
      <c r="BL186" s="190"/>
      <c r="BM186" s="190"/>
      <c r="BN186" s="191"/>
      <c r="BO186" s="191"/>
      <c r="BP186" s="191"/>
      <c r="BQ186" s="191"/>
      <c r="BR186" s="191"/>
      <c r="BS186" s="191"/>
      <c r="BT186" s="190"/>
      <c r="BU186" s="190"/>
      <c r="BV186" s="190"/>
      <c r="BW186" s="190"/>
      <c r="BX186" s="190"/>
      <c r="BY186" s="190"/>
      <c r="BZ186" s="190"/>
      <c r="CA186" s="189"/>
      <c r="CB186" s="15"/>
    </row>
    <row r="187" spans="1:80" ht="15" x14ac:dyDescent="0.25">
      <c r="A187" s="167"/>
      <c r="B187" s="642"/>
      <c r="C187" s="642"/>
      <c r="D187" s="179"/>
      <c r="E187" s="169"/>
      <c r="F187" s="169"/>
      <c r="G187" s="186"/>
      <c r="H187" s="187"/>
      <c r="I187" s="187"/>
      <c r="J187" s="187"/>
      <c r="K187" s="187"/>
      <c r="L187" s="647"/>
      <c r="M187" s="646">
        <v>33773</v>
      </c>
      <c r="N187" s="585">
        <v>0.25</v>
      </c>
      <c r="O187" s="585">
        <v>5.3299999999999997E-3</v>
      </c>
      <c r="P187" s="175">
        <v>0</v>
      </c>
      <c r="Q187" s="175">
        <v>0</v>
      </c>
      <c r="R187" s="175">
        <v>0</v>
      </c>
      <c r="S187" s="175">
        <v>8.8000000000000003E-4</v>
      </c>
      <c r="T187" s="175">
        <v>8.9999999999999998E-4</v>
      </c>
      <c r="U187" s="175">
        <v>1.24E-3</v>
      </c>
      <c r="V187" s="706">
        <v>2.31E-3</v>
      </c>
      <c r="W187" s="717"/>
      <c r="X187" s="713"/>
      <c r="Y187" s="718"/>
      <c r="Z187" s="709">
        <v>13</v>
      </c>
      <c r="AA187" s="175"/>
      <c r="AB187" s="200"/>
      <c r="AC187" s="175">
        <v>5.3999999999999999E-2</v>
      </c>
      <c r="AD187" s="175">
        <v>1.8</v>
      </c>
      <c r="AE187" s="175">
        <v>0.17</v>
      </c>
      <c r="AF187" s="201">
        <f t="shared" si="3"/>
        <v>0.30600000000000005</v>
      </c>
      <c r="AG187" s="175">
        <v>0.91</v>
      </c>
      <c r="AH187" s="334"/>
      <c r="AI187" s="188"/>
      <c r="AJ187" s="188"/>
      <c r="AK187" s="188"/>
      <c r="AL187" s="189"/>
      <c r="AM187" s="189"/>
      <c r="AN187" s="189"/>
      <c r="AO187" s="189"/>
      <c r="AP187" s="189"/>
      <c r="AQ187" s="189"/>
      <c r="AR187" s="189"/>
      <c r="AS187" s="189"/>
      <c r="AT187" s="189"/>
      <c r="AU187" s="190"/>
      <c r="AV187" s="190"/>
      <c r="AW187" s="190"/>
      <c r="AX187" s="190"/>
      <c r="AY187" s="190"/>
      <c r="AZ187" s="189"/>
      <c r="BA187" s="189"/>
      <c r="BB187" s="189"/>
      <c r="BC187" s="189"/>
      <c r="BD187" s="189"/>
      <c r="BE187" s="189"/>
      <c r="BF187" s="189"/>
      <c r="BG187" s="189"/>
      <c r="BH187" s="189"/>
      <c r="BI187" s="190"/>
      <c r="BJ187" s="190"/>
      <c r="BK187" s="190"/>
      <c r="BL187" s="190"/>
      <c r="BM187" s="190"/>
      <c r="BN187" s="191"/>
      <c r="BO187" s="191"/>
      <c r="BP187" s="191"/>
      <c r="BQ187" s="191"/>
      <c r="BR187" s="191"/>
      <c r="BS187" s="191"/>
      <c r="BT187" s="190"/>
      <c r="BU187" s="190"/>
      <c r="BV187" s="190"/>
      <c r="BW187" s="190"/>
      <c r="BX187" s="190"/>
      <c r="BY187" s="190"/>
      <c r="BZ187" s="190"/>
      <c r="CA187" s="189"/>
      <c r="CB187" s="15"/>
    </row>
    <row r="188" spans="1:80" ht="15" x14ac:dyDescent="0.25">
      <c r="A188" s="167"/>
      <c r="B188" s="642"/>
      <c r="C188" s="642"/>
      <c r="D188" s="179"/>
      <c r="E188" s="169"/>
      <c r="F188" s="169"/>
      <c r="G188" s="186"/>
      <c r="H188" s="187"/>
      <c r="I188" s="187"/>
      <c r="J188" s="187"/>
      <c r="K188" s="187"/>
      <c r="L188" s="647"/>
      <c r="M188" s="646">
        <v>33774</v>
      </c>
      <c r="N188" s="585">
        <v>0.24</v>
      </c>
      <c r="O188" s="585">
        <v>1.6900000000000001E-3</v>
      </c>
      <c r="P188" s="175">
        <v>0</v>
      </c>
      <c r="Q188" s="175">
        <v>0</v>
      </c>
      <c r="R188" s="175">
        <v>0</v>
      </c>
      <c r="S188" s="175">
        <v>1.2E-4</v>
      </c>
      <c r="T188" s="175">
        <v>1.3999999999999999E-4</v>
      </c>
      <c r="U188" s="175">
        <v>4.4000000000000002E-4</v>
      </c>
      <c r="V188" s="706">
        <v>9.8999999999999999E-4</v>
      </c>
      <c r="W188" s="717"/>
      <c r="X188" s="713"/>
      <c r="Y188" s="718"/>
      <c r="Z188" s="709">
        <v>11</v>
      </c>
      <c r="AA188" s="175"/>
      <c r="AB188" s="200"/>
      <c r="AC188" s="175">
        <v>5.3999999999999999E-2</v>
      </c>
      <c r="AD188" s="175">
        <v>1.95</v>
      </c>
      <c r="AE188" s="175">
        <v>0.15</v>
      </c>
      <c r="AF188" s="201">
        <f t="shared" si="3"/>
        <v>0.29249999999999998</v>
      </c>
      <c r="AG188" s="175">
        <v>0.88</v>
      </c>
      <c r="AH188" s="334"/>
      <c r="AI188" s="188"/>
      <c r="AJ188" s="188"/>
      <c r="AK188" s="188"/>
      <c r="AL188" s="189"/>
      <c r="AM188" s="189"/>
      <c r="AN188" s="189"/>
      <c r="AO188" s="189"/>
      <c r="AP188" s="189"/>
      <c r="AQ188" s="189"/>
      <c r="AR188" s="189"/>
      <c r="AS188" s="189"/>
      <c r="AT188" s="189"/>
      <c r="AU188" s="190"/>
      <c r="AV188" s="190"/>
      <c r="AW188" s="190"/>
      <c r="AX188" s="190"/>
      <c r="AY188" s="190"/>
      <c r="AZ188" s="189"/>
      <c r="BA188" s="189"/>
      <c r="BB188" s="189"/>
      <c r="BC188" s="189"/>
      <c r="BD188" s="189"/>
      <c r="BE188" s="189"/>
      <c r="BF188" s="189"/>
      <c r="BG188" s="189"/>
      <c r="BH188" s="189"/>
      <c r="BI188" s="190"/>
      <c r="BJ188" s="190"/>
      <c r="BK188" s="190"/>
      <c r="BL188" s="190"/>
      <c r="BM188" s="190"/>
      <c r="BN188" s="191"/>
      <c r="BO188" s="191"/>
      <c r="BP188" s="191"/>
      <c r="BQ188" s="191"/>
      <c r="BR188" s="191"/>
      <c r="BS188" s="191"/>
      <c r="BT188" s="190"/>
      <c r="BU188" s="190"/>
      <c r="BV188" s="190"/>
      <c r="BW188" s="190"/>
      <c r="BX188" s="190"/>
      <c r="BY188" s="190"/>
      <c r="BZ188" s="190"/>
      <c r="CA188" s="189"/>
      <c r="CB188" s="15"/>
    </row>
    <row r="189" spans="1:80" ht="15" x14ac:dyDescent="0.25">
      <c r="A189" s="167"/>
      <c r="B189" s="642"/>
      <c r="C189" s="642"/>
      <c r="D189" s="179"/>
      <c r="E189" s="169"/>
      <c r="F189" s="169"/>
      <c r="G189" s="186"/>
      <c r="H189" s="187"/>
      <c r="I189" s="187"/>
      <c r="J189" s="187"/>
      <c r="K189" s="187"/>
      <c r="L189" s="647"/>
      <c r="M189" s="646">
        <v>33775</v>
      </c>
      <c r="N189" s="585">
        <v>0.23</v>
      </c>
      <c r="O189" s="585">
        <v>7.5000000000000002E-4</v>
      </c>
      <c r="P189" s="175">
        <v>0</v>
      </c>
      <c r="Q189" s="175">
        <v>0</v>
      </c>
      <c r="R189" s="175">
        <v>0</v>
      </c>
      <c r="S189" s="175">
        <v>8.0000000000000007E-5</v>
      </c>
      <c r="T189" s="175">
        <v>3.0000000000000001E-5</v>
      </c>
      <c r="U189" s="175">
        <v>1E-4</v>
      </c>
      <c r="V189" s="706">
        <v>5.5000000000000003E-4</v>
      </c>
      <c r="W189" s="717"/>
      <c r="X189" s="713"/>
      <c r="Y189" s="718"/>
      <c r="Z189" s="709">
        <v>8</v>
      </c>
      <c r="AA189" s="175"/>
      <c r="AB189" s="200"/>
      <c r="AC189" s="175">
        <v>5.3999999999999999E-2</v>
      </c>
      <c r="AD189" s="175">
        <v>1.8</v>
      </c>
      <c r="AE189" s="175">
        <v>0.16</v>
      </c>
      <c r="AF189" s="201">
        <f t="shared" si="3"/>
        <v>0.28800000000000003</v>
      </c>
      <c r="AG189" s="175">
        <v>0.88</v>
      </c>
      <c r="AH189" s="334"/>
      <c r="AI189" s="188"/>
      <c r="AJ189" s="188"/>
      <c r="AK189" s="188"/>
      <c r="AL189" s="189"/>
      <c r="AM189" s="189"/>
      <c r="AN189" s="189"/>
      <c r="AO189" s="189"/>
      <c r="AP189" s="189"/>
      <c r="AQ189" s="189"/>
      <c r="AR189" s="189"/>
      <c r="AS189" s="189"/>
      <c r="AT189" s="189"/>
      <c r="AU189" s="190"/>
      <c r="AV189" s="190"/>
      <c r="AW189" s="190"/>
      <c r="AX189" s="190"/>
      <c r="AY189" s="190"/>
      <c r="AZ189" s="189"/>
      <c r="BA189" s="189"/>
      <c r="BB189" s="189"/>
      <c r="BC189" s="189"/>
      <c r="BD189" s="189"/>
      <c r="BE189" s="189"/>
      <c r="BF189" s="189"/>
      <c r="BG189" s="189"/>
      <c r="BH189" s="189"/>
      <c r="BI189" s="190"/>
      <c r="BJ189" s="190"/>
      <c r="BK189" s="190"/>
      <c r="BL189" s="190"/>
      <c r="BM189" s="190"/>
      <c r="BN189" s="191"/>
      <c r="BO189" s="191"/>
      <c r="BP189" s="191"/>
      <c r="BQ189" s="191"/>
      <c r="BR189" s="191"/>
      <c r="BS189" s="191"/>
      <c r="BT189" s="190"/>
      <c r="BU189" s="190"/>
      <c r="BV189" s="190"/>
      <c r="BW189" s="190"/>
      <c r="BX189" s="190"/>
      <c r="BY189" s="190"/>
      <c r="BZ189" s="190"/>
      <c r="CA189" s="189"/>
      <c r="CB189" s="15"/>
    </row>
    <row r="190" spans="1:80" ht="15" x14ac:dyDescent="0.25">
      <c r="A190" s="167"/>
      <c r="B190" s="642"/>
      <c r="C190" s="642"/>
      <c r="D190" s="179"/>
      <c r="E190" s="169"/>
      <c r="F190" s="169"/>
      <c r="G190" s="186"/>
      <c r="H190" s="187"/>
      <c r="I190" s="187"/>
      <c r="J190" s="187"/>
      <c r="K190" s="187"/>
      <c r="L190" s="647"/>
      <c r="M190" s="646">
        <v>33776</v>
      </c>
      <c r="N190" s="585">
        <v>0.24</v>
      </c>
      <c r="O190" s="585">
        <v>4.3299999999999996E-3</v>
      </c>
      <c r="P190" s="175">
        <v>0</v>
      </c>
      <c r="Q190" s="175">
        <v>0</v>
      </c>
      <c r="R190" s="175">
        <v>0</v>
      </c>
      <c r="S190" s="175">
        <v>3.3E-4</v>
      </c>
      <c r="T190" s="175">
        <v>6.3000000000000003E-4</v>
      </c>
      <c r="U190" s="175">
        <v>1.1000000000000001E-3</v>
      </c>
      <c r="V190" s="706">
        <v>2.2699999999999999E-3</v>
      </c>
      <c r="W190" s="717"/>
      <c r="X190" s="713"/>
      <c r="Y190" s="718"/>
      <c r="Z190" s="709">
        <v>17</v>
      </c>
      <c r="AA190" s="175"/>
      <c r="AB190" s="200"/>
      <c r="AC190" s="175">
        <v>5.3999999999999999E-2</v>
      </c>
      <c r="AD190" s="175">
        <v>1.96</v>
      </c>
      <c r="AE190" s="175">
        <v>0.15</v>
      </c>
      <c r="AF190" s="201">
        <f t="shared" si="3"/>
        <v>0.29399999999999998</v>
      </c>
      <c r="AG190" s="175">
        <v>0.89</v>
      </c>
      <c r="AH190" s="334"/>
      <c r="AI190" s="188"/>
      <c r="AJ190" s="188"/>
      <c r="AK190" s="188"/>
      <c r="AL190" s="189"/>
      <c r="AM190" s="189"/>
      <c r="AN190" s="189"/>
      <c r="AO190" s="189"/>
      <c r="AP190" s="189"/>
      <c r="AQ190" s="189"/>
      <c r="AR190" s="189"/>
      <c r="AS190" s="189"/>
      <c r="AT190" s="189"/>
      <c r="AU190" s="190"/>
      <c r="AV190" s="190"/>
      <c r="AW190" s="190"/>
      <c r="AX190" s="190"/>
      <c r="AY190" s="190"/>
      <c r="AZ190" s="189"/>
      <c r="BA190" s="189"/>
      <c r="BB190" s="189"/>
      <c r="BC190" s="189"/>
      <c r="BD190" s="189"/>
      <c r="BE190" s="189"/>
      <c r="BF190" s="189"/>
      <c r="BG190" s="189"/>
      <c r="BH190" s="189"/>
      <c r="BI190" s="190"/>
      <c r="BJ190" s="190"/>
      <c r="BK190" s="190"/>
      <c r="BL190" s="190"/>
      <c r="BM190" s="190"/>
      <c r="BN190" s="191"/>
      <c r="BO190" s="191"/>
      <c r="BP190" s="191"/>
      <c r="BQ190" s="191"/>
      <c r="BR190" s="191"/>
      <c r="BS190" s="191"/>
      <c r="BT190" s="190"/>
      <c r="BU190" s="190"/>
      <c r="BV190" s="190"/>
      <c r="BW190" s="190"/>
      <c r="BX190" s="190"/>
      <c r="BY190" s="190"/>
      <c r="BZ190" s="190"/>
      <c r="CA190" s="189"/>
      <c r="CB190" s="15"/>
    </row>
    <row r="191" spans="1:80" ht="15" x14ac:dyDescent="0.25">
      <c r="A191" s="167"/>
      <c r="B191" s="642"/>
      <c r="C191" s="642"/>
      <c r="D191" s="179"/>
      <c r="E191" s="169"/>
      <c r="F191" s="169"/>
      <c r="G191" s="186"/>
      <c r="H191" s="187"/>
      <c r="I191" s="187"/>
      <c r="J191" s="187"/>
      <c r="K191" s="187"/>
      <c r="L191" s="647"/>
      <c r="M191" s="646">
        <v>33777</v>
      </c>
      <c r="N191" s="585">
        <v>0.2</v>
      </c>
      <c r="O191" s="585">
        <v>4.7699999999999999E-3</v>
      </c>
      <c r="P191" s="175">
        <v>0</v>
      </c>
      <c r="Q191" s="175">
        <v>0</v>
      </c>
      <c r="R191" s="175">
        <v>0</v>
      </c>
      <c r="S191" s="175">
        <v>2.5000000000000001E-4</v>
      </c>
      <c r="T191" s="175">
        <v>5.2999999999999998E-4</v>
      </c>
      <c r="U191" s="175">
        <v>1.2600000000000001E-3</v>
      </c>
      <c r="V191" s="706">
        <v>2.7299999999999998E-3</v>
      </c>
      <c r="W191" s="717"/>
      <c r="X191" s="713"/>
      <c r="Y191" s="718"/>
      <c r="Z191" s="709">
        <v>17</v>
      </c>
      <c r="AA191" s="175"/>
      <c r="AB191" s="200"/>
      <c r="AC191" s="175">
        <v>5.2999999999999999E-2</v>
      </c>
      <c r="AD191" s="175">
        <v>1.93</v>
      </c>
      <c r="AE191" s="175">
        <v>0.13</v>
      </c>
      <c r="AF191" s="201">
        <f t="shared" si="3"/>
        <v>0.25090000000000001</v>
      </c>
      <c r="AG191" s="175">
        <v>0.81</v>
      </c>
      <c r="AH191" s="334"/>
      <c r="AI191" s="188"/>
      <c r="AJ191" s="188"/>
      <c r="AK191" s="188"/>
      <c r="AL191" s="189"/>
      <c r="AM191" s="189"/>
      <c r="AN191" s="189"/>
      <c r="AO191" s="189"/>
      <c r="AP191" s="189"/>
      <c r="AQ191" s="189"/>
      <c r="AR191" s="189"/>
      <c r="AS191" s="189"/>
      <c r="AT191" s="189"/>
      <c r="AU191" s="190"/>
      <c r="AV191" s="190"/>
      <c r="AW191" s="190"/>
      <c r="AX191" s="190"/>
      <c r="AY191" s="190"/>
      <c r="AZ191" s="189"/>
      <c r="BA191" s="189"/>
      <c r="BB191" s="189"/>
      <c r="BC191" s="189"/>
      <c r="BD191" s="189"/>
      <c r="BE191" s="189"/>
      <c r="BF191" s="189"/>
      <c r="BG191" s="189"/>
      <c r="BH191" s="189"/>
      <c r="BI191" s="190"/>
      <c r="BJ191" s="190"/>
      <c r="BK191" s="190"/>
      <c r="BL191" s="190"/>
      <c r="BM191" s="190"/>
      <c r="BN191" s="191"/>
      <c r="BO191" s="191"/>
      <c r="BP191" s="191"/>
      <c r="BQ191" s="191"/>
      <c r="BR191" s="191"/>
      <c r="BS191" s="191"/>
      <c r="BT191" s="190"/>
      <c r="BU191" s="190"/>
      <c r="BV191" s="190"/>
      <c r="BW191" s="190"/>
      <c r="BX191" s="190"/>
      <c r="BY191" s="190"/>
      <c r="BZ191" s="190"/>
      <c r="CA191" s="189"/>
      <c r="CB191" s="15"/>
    </row>
    <row r="192" spans="1:80" ht="15" x14ac:dyDescent="0.25">
      <c r="A192" s="167"/>
      <c r="B192" s="642"/>
      <c r="C192" s="642"/>
      <c r="D192" s="179"/>
      <c r="E192" s="169"/>
      <c r="F192" s="169"/>
      <c r="G192" s="186"/>
      <c r="H192" s="187"/>
      <c r="I192" s="187"/>
      <c r="J192" s="187"/>
      <c r="K192" s="187"/>
      <c r="L192" s="647"/>
      <c r="M192" s="646">
        <v>33780</v>
      </c>
      <c r="N192" s="585">
        <v>0.15</v>
      </c>
      <c r="O192" s="585">
        <v>2E-3</v>
      </c>
      <c r="P192" s="175">
        <v>0</v>
      </c>
      <c r="Q192" s="175">
        <v>0</v>
      </c>
      <c r="R192" s="175">
        <v>0</v>
      </c>
      <c r="S192" s="175">
        <v>3.0000000000000001E-5</v>
      </c>
      <c r="T192" s="175">
        <v>3.6999999999999999E-4</v>
      </c>
      <c r="U192" s="175">
        <v>6.2E-4</v>
      </c>
      <c r="V192" s="706">
        <v>9.7999999999999997E-4</v>
      </c>
      <c r="W192" s="717"/>
      <c r="X192" s="713"/>
      <c r="Y192" s="718"/>
      <c r="Z192" s="709">
        <v>9</v>
      </c>
      <c r="AA192" s="175"/>
      <c r="AB192" s="200"/>
      <c r="AC192" s="175">
        <v>5.2999999999999999E-2</v>
      </c>
      <c r="AD192" s="175">
        <v>1.92</v>
      </c>
      <c r="AE192" s="175">
        <v>0.13</v>
      </c>
      <c r="AF192" s="201">
        <f t="shared" si="3"/>
        <v>0.24959999999999999</v>
      </c>
      <c r="AG192" s="175">
        <v>0.66</v>
      </c>
      <c r="AH192" s="334"/>
      <c r="AI192" s="188"/>
      <c r="AJ192" s="188"/>
      <c r="AK192" s="188"/>
      <c r="AL192" s="189"/>
      <c r="AM192" s="189"/>
      <c r="AN192" s="189"/>
      <c r="AO192" s="189"/>
      <c r="AP192" s="189"/>
      <c r="AQ192" s="189"/>
      <c r="AR192" s="189"/>
      <c r="AS192" s="189"/>
      <c r="AT192" s="189"/>
      <c r="AU192" s="190"/>
      <c r="AV192" s="190"/>
      <c r="AW192" s="190"/>
      <c r="AX192" s="190"/>
      <c r="AY192" s="190"/>
      <c r="AZ192" s="189"/>
      <c r="BA192" s="189"/>
      <c r="BB192" s="189"/>
      <c r="BC192" s="189"/>
      <c r="BD192" s="189"/>
      <c r="BE192" s="189"/>
      <c r="BF192" s="189"/>
      <c r="BG192" s="189"/>
      <c r="BH192" s="189"/>
      <c r="BI192" s="190"/>
      <c r="BJ192" s="190"/>
      <c r="BK192" s="190"/>
      <c r="BL192" s="190"/>
      <c r="BM192" s="190"/>
      <c r="BN192" s="191"/>
      <c r="BO192" s="191"/>
      <c r="BP192" s="191"/>
      <c r="BQ192" s="191"/>
      <c r="BR192" s="191"/>
      <c r="BS192" s="191"/>
      <c r="BT192" s="190"/>
      <c r="BU192" s="190"/>
      <c r="BV192" s="190"/>
      <c r="BW192" s="190"/>
      <c r="BX192" s="190"/>
      <c r="BY192" s="190"/>
      <c r="BZ192" s="190"/>
      <c r="CA192" s="189"/>
      <c r="CB192" s="15"/>
    </row>
    <row r="193" spans="1:80" ht="15" x14ac:dyDescent="0.25">
      <c r="A193" s="167"/>
      <c r="B193" s="642"/>
      <c r="C193" s="642"/>
      <c r="D193" s="179"/>
      <c r="E193" s="169"/>
      <c r="F193" s="169"/>
      <c r="G193" s="186"/>
      <c r="H193" s="187"/>
      <c r="I193" s="187"/>
      <c r="J193" s="187"/>
      <c r="K193" s="187"/>
      <c r="L193" s="647"/>
      <c r="M193" s="646">
        <v>34118</v>
      </c>
      <c r="N193" s="585">
        <v>0.2</v>
      </c>
      <c r="O193" s="585">
        <v>6.7600000000000004E-3</v>
      </c>
      <c r="P193" s="175">
        <v>0</v>
      </c>
      <c r="Q193" s="175">
        <v>0</v>
      </c>
      <c r="R193" s="175">
        <v>0</v>
      </c>
      <c r="S193" s="175">
        <v>5.5999999999999995E-4</v>
      </c>
      <c r="T193" s="175">
        <v>5.1000000000000004E-4</v>
      </c>
      <c r="U193" s="175">
        <v>1.5299999999999999E-3</v>
      </c>
      <c r="V193" s="706">
        <v>4.1599999999999996E-3</v>
      </c>
      <c r="W193" s="717"/>
      <c r="X193" s="713"/>
      <c r="Y193" s="718"/>
      <c r="Z193" s="709">
        <v>13</v>
      </c>
      <c r="AA193" s="175"/>
      <c r="AB193" s="200"/>
      <c r="AC193" s="175">
        <v>5.5E-2</v>
      </c>
      <c r="AD193" s="175">
        <v>2.0099999999999998</v>
      </c>
      <c r="AE193" s="175">
        <v>0.13</v>
      </c>
      <c r="AF193" s="201">
        <f t="shared" si="3"/>
        <v>0.26129999999999998</v>
      </c>
      <c r="AG193" s="175">
        <v>0.72</v>
      </c>
      <c r="AH193" s="334"/>
      <c r="AI193" s="188"/>
      <c r="AJ193" s="188"/>
      <c r="AK193" s="188"/>
      <c r="AL193" s="189"/>
      <c r="AM193" s="189"/>
      <c r="AN193" s="189"/>
      <c r="AO193" s="189"/>
      <c r="AP193" s="189"/>
      <c r="AQ193" s="189"/>
      <c r="AR193" s="189"/>
      <c r="AS193" s="189"/>
      <c r="AT193" s="189"/>
      <c r="AU193" s="190"/>
      <c r="AV193" s="190"/>
      <c r="AW193" s="190"/>
      <c r="AX193" s="190"/>
      <c r="AY193" s="190"/>
      <c r="AZ193" s="189"/>
      <c r="BA193" s="189"/>
      <c r="BB193" s="189"/>
      <c r="BC193" s="189"/>
      <c r="BD193" s="189"/>
      <c r="BE193" s="189"/>
      <c r="BF193" s="189"/>
      <c r="BG193" s="189"/>
      <c r="BH193" s="189"/>
      <c r="BI193" s="190"/>
      <c r="BJ193" s="190"/>
      <c r="BK193" s="190"/>
      <c r="BL193" s="190"/>
      <c r="BM193" s="190"/>
      <c r="BN193" s="191"/>
      <c r="BO193" s="191"/>
      <c r="BP193" s="191"/>
      <c r="BQ193" s="191"/>
      <c r="BR193" s="191"/>
      <c r="BS193" s="191"/>
      <c r="BT193" s="190"/>
      <c r="BU193" s="190"/>
      <c r="BV193" s="190"/>
      <c r="BW193" s="190"/>
      <c r="BX193" s="190"/>
      <c r="BY193" s="190"/>
      <c r="BZ193" s="190"/>
      <c r="CA193" s="189"/>
      <c r="CB193" s="15"/>
    </row>
    <row r="194" spans="1:80" ht="15" x14ac:dyDescent="0.25">
      <c r="A194" s="167"/>
      <c r="B194" s="642"/>
      <c r="C194" s="642"/>
      <c r="D194" s="179"/>
      <c r="E194" s="169"/>
      <c r="F194" s="169"/>
      <c r="G194" s="186"/>
      <c r="H194" s="187"/>
      <c r="I194" s="187"/>
      <c r="J194" s="187"/>
      <c r="K194" s="187"/>
      <c r="L194" s="647"/>
      <c r="M194" s="646">
        <v>34121</v>
      </c>
      <c r="N194" s="585">
        <v>0.28999999999999998</v>
      </c>
      <c r="O194" s="585">
        <v>3.0849999999999999E-2</v>
      </c>
      <c r="P194" s="175">
        <v>0</v>
      </c>
      <c r="Q194" s="175">
        <v>1.67E-3</v>
      </c>
      <c r="R194" s="175">
        <v>1.98E-3</v>
      </c>
      <c r="S194" s="175">
        <v>5.6299999999999996E-3</v>
      </c>
      <c r="T194" s="175">
        <v>4.8399999999999997E-3</v>
      </c>
      <c r="U194" s="175">
        <v>5.8599999999999998E-3</v>
      </c>
      <c r="V194" s="706">
        <v>1.0869999999999999E-2</v>
      </c>
      <c r="W194" s="717"/>
      <c r="X194" s="713"/>
      <c r="Y194" s="718"/>
      <c r="Z194" s="709">
        <v>34</v>
      </c>
      <c r="AA194" s="175"/>
      <c r="AB194" s="200"/>
      <c r="AC194" s="175">
        <v>5.5E-2</v>
      </c>
      <c r="AD194" s="175">
        <v>2.1</v>
      </c>
      <c r="AE194" s="175">
        <v>0.19</v>
      </c>
      <c r="AF194" s="201">
        <f t="shared" si="3"/>
        <v>0.39900000000000002</v>
      </c>
      <c r="AG194" s="175">
        <v>0.79</v>
      </c>
      <c r="AH194" s="334"/>
      <c r="AI194" s="188"/>
      <c r="AJ194" s="188"/>
      <c r="AK194" s="188"/>
      <c r="AL194" s="189"/>
      <c r="AM194" s="189"/>
      <c r="AN194" s="189"/>
      <c r="AO194" s="189"/>
      <c r="AP194" s="189"/>
      <c r="AQ194" s="189"/>
      <c r="AR194" s="189"/>
      <c r="AS194" s="189"/>
      <c r="AT194" s="189"/>
      <c r="AU194" s="190"/>
      <c r="AV194" s="190"/>
      <c r="AW194" s="190"/>
      <c r="AX194" s="190"/>
      <c r="AY194" s="190"/>
      <c r="AZ194" s="189"/>
      <c r="BA194" s="189"/>
      <c r="BB194" s="189"/>
      <c r="BC194" s="189"/>
      <c r="BD194" s="189"/>
      <c r="BE194" s="189"/>
      <c r="BF194" s="189"/>
      <c r="BG194" s="189"/>
      <c r="BH194" s="189"/>
      <c r="BI194" s="190"/>
      <c r="BJ194" s="190"/>
      <c r="BK194" s="190"/>
      <c r="BL194" s="190"/>
      <c r="BM194" s="190"/>
      <c r="BN194" s="191"/>
      <c r="BO194" s="191"/>
      <c r="BP194" s="191"/>
      <c r="BQ194" s="191"/>
      <c r="BR194" s="191"/>
      <c r="BS194" s="191"/>
      <c r="BT194" s="190"/>
      <c r="BU194" s="190"/>
      <c r="BV194" s="190"/>
      <c r="BW194" s="190"/>
      <c r="BX194" s="190"/>
      <c r="BY194" s="190"/>
      <c r="BZ194" s="190"/>
      <c r="CA194" s="189"/>
      <c r="CB194" s="15"/>
    </row>
    <row r="195" spans="1:80" ht="15" x14ac:dyDescent="0.25">
      <c r="A195" s="167"/>
      <c r="B195" s="642"/>
      <c r="C195" s="642"/>
      <c r="D195" s="179"/>
      <c r="E195" s="169"/>
      <c r="F195" s="169"/>
      <c r="G195" s="186"/>
      <c r="H195" s="187"/>
      <c r="I195" s="187"/>
      <c r="J195" s="187"/>
      <c r="K195" s="187"/>
      <c r="L195" s="647"/>
      <c r="M195" s="646">
        <v>34122</v>
      </c>
      <c r="N195" s="585">
        <v>0.43</v>
      </c>
      <c r="O195" s="585">
        <v>1.8020000000000001E-2</v>
      </c>
      <c r="P195" s="175">
        <v>0</v>
      </c>
      <c r="Q195" s="175">
        <v>0</v>
      </c>
      <c r="R195" s="175">
        <v>1.07E-3</v>
      </c>
      <c r="S195" s="175">
        <v>2.2899999999999999E-3</v>
      </c>
      <c r="T195" s="175">
        <v>2.5500000000000002E-3</v>
      </c>
      <c r="U195" s="175">
        <v>3.16E-3</v>
      </c>
      <c r="V195" s="706">
        <v>8.9499999999999996E-3</v>
      </c>
      <c r="W195" s="717"/>
      <c r="X195" s="713"/>
      <c r="Y195" s="718"/>
      <c r="Z195" s="709">
        <v>22</v>
      </c>
      <c r="AA195" s="175"/>
      <c r="AB195" s="200"/>
      <c r="AC195" s="175">
        <v>5.5E-2</v>
      </c>
      <c r="AD195" s="175">
        <v>2.09</v>
      </c>
      <c r="AE195" s="175">
        <v>0.19</v>
      </c>
      <c r="AF195" s="201">
        <f t="shared" si="3"/>
        <v>0.39709999999999995</v>
      </c>
      <c r="AG195" s="175">
        <v>1.07</v>
      </c>
      <c r="AH195" s="334"/>
      <c r="AI195" s="188"/>
      <c r="AJ195" s="188"/>
      <c r="AK195" s="188"/>
      <c r="AL195" s="189"/>
      <c r="AM195" s="189"/>
      <c r="AN195" s="189"/>
      <c r="AO195" s="189"/>
      <c r="AP195" s="189"/>
      <c r="AQ195" s="189"/>
      <c r="AR195" s="189"/>
      <c r="AS195" s="189"/>
      <c r="AT195" s="189"/>
      <c r="AU195" s="190"/>
      <c r="AV195" s="190"/>
      <c r="AW195" s="190"/>
      <c r="AX195" s="190"/>
      <c r="AY195" s="190"/>
      <c r="AZ195" s="189"/>
      <c r="BA195" s="189"/>
      <c r="BB195" s="189"/>
      <c r="BC195" s="189"/>
      <c r="BD195" s="189"/>
      <c r="BE195" s="189"/>
      <c r="BF195" s="189"/>
      <c r="BG195" s="189"/>
      <c r="BH195" s="189"/>
      <c r="BI195" s="190"/>
      <c r="BJ195" s="190"/>
      <c r="BK195" s="190"/>
      <c r="BL195" s="190"/>
      <c r="BM195" s="190"/>
      <c r="BN195" s="191"/>
      <c r="BO195" s="191"/>
      <c r="BP195" s="191"/>
      <c r="BQ195" s="191"/>
      <c r="BR195" s="191"/>
      <c r="BS195" s="191"/>
      <c r="BT195" s="190"/>
      <c r="BU195" s="190"/>
      <c r="BV195" s="190"/>
      <c r="BW195" s="190"/>
      <c r="BX195" s="190"/>
      <c r="BY195" s="190"/>
      <c r="BZ195" s="190"/>
      <c r="CA195" s="189"/>
      <c r="CB195" s="15"/>
    </row>
    <row r="196" spans="1:80" ht="15" x14ac:dyDescent="0.25">
      <c r="A196" s="167"/>
      <c r="B196" s="642"/>
      <c r="C196" s="642"/>
      <c r="D196" s="179"/>
      <c r="E196" s="169"/>
      <c r="F196" s="169"/>
      <c r="G196" s="186"/>
      <c r="H196" s="187"/>
      <c r="I196" s="187"/>
      <c r="J196" s="187"/>
      <c r="K196" s="187"/>
      <c r="L196" s="647"/>
      <c r="M196" s="646">
        <v>34123</v>
      </c>
      <c r="N196" s="585">
        <v>0.5</v>
      </c>
      <c r="O196" s="585">
        <v>2.9829999999999999E-2</v>
      </c>
      <c r="P196" s="175">
        <v>0</v>
      </c>
      <c r="Q196" s="175">
        <v>2.7799999999999999E-3</v>
      </c>
      <c r="R196" s="175">
        <v>4.7400000000000003E-3</v>
      </c>
      <c r="S196" s="175">
        <v>4.1599999999999996E-3</v>
      </c>
      <c r="T196" s="175">
        <v>3.6700000000000001E-3</v>
      </c>
      <c r="U196" s="175">
        <v>4.4200000000000003E-3</v>
      </c>
      <c r="V196" s="706">
        <v>1.0059999999999999E-2</v>
      </c>
      <c r="W196" s="717"/>
      <c r="X196" s="713"/>
      <c r="Y196" s="718"/>
      <c r="Z196" s="709">
        <v>58</v>
      </c>
      <c r="AA196" s="175"/>
      <c r="AB196" s="200"/>
      <c r="AC196" s="175">
        <v>5.5E-2</v>
      </c>
      <c r="AD196" s="175">
        <v>2.0699999999999998</v>
      </c>
      <c r="AE196" s="175">
        <v>0.22</v>
      </c>
      <c r="AF196" s="201">
        <f t="shared" si="3"/>
        <v>0.45539999999999997</v>
      </c>
      <c r="AG196" s="175">
        <v>1.01</v>
      </c>
      <c r="AH196" s="334"/>
      <c r="AI196" s="188"/>
      <c r="AJ196" s="188"/>
      <c r="AK196" s="188"/>
      <c r="AL196" s="189"/>
      <c r="AM196" s="189"/>
      <c r="AN196" s="189"/>
      <c r="AO196" s="189"/>
      <c r="AP196" s="189"/>
      <c r="AQ196" s="189"/>
      <c r="AR196" s="189"/>
      <c r="AS196" s="189"/>
      <c r="AT196" s="189"/>
      <c r="AU196" s="190"/>
      <c r="AV196" s="190"/>
      <c r="AW196" s="190"/>
      <c r="AX196" s="190"/>
      <c r="AY196" s="190"/>
      <c r="AZ196" s="189"/>
      <c r="BA196" s="189"/>
      <c r="BB196" s="189"/>
      <c r="BC196" s="189"/>
      <c r="BD196" s="189"/>
      <c r="BE196" s="189"/>
      <c r="BF196" s="189"/>
      <c r="BG196" s="189"/>
      <c r="BH196" s="189"/>
      <c r="BI196" s="190"/>
      <c r="BJ196" s="190"/>
      <c r="BK196" s="190"/>
      <c r="BL196" s="190"/>
      <c r="BM196" s="190"/>
      <c r="BN196" s="191"/>
      <c r="BO196" s="191"/>
      <c r="BP196" s="191"/>
      <c r="BQ196" s="191"/>
      <c r="BR196" s="191"/>
      <c r="BS196" s="191"/>
      <c r="BT196" s="190"/>
      <c r="BU196" s="190"/>
      <c r="BV196" s="190"/>
      <c r="BW196" s="190"/>
      <c r="BX196" s="190"/>
      <c r="BY196" s="190"/>
      <c r="BZ196" s="190"/>
      <c r="CA196" s="189"/>
      <c r="CB196" s="15"/>
    </row>
    <row r="197" spans="1:80" ht="15" x14ac:dyDescent="0.25">
      <c r="A197" s="167"/>
      <c r="B197" s="642"/>
      <c r="C197" s="642"/>
      <c r="D197" s="179"/>
      <c r="E197" s="169"/>
      <c r="F197" s="169"/>
      <c r="G197" s="186"/>
      <c r="H197" s="187"/>
      <c r="I197" s="187"/>
      <c r="J197" s="187"/>
      <c r="K197" s="187"/>
      <c r="L197" s="647"/>
      <c r="M197" s="646">
        <v>34124</v>
      </c>
      <c r="N197" s="585">
        <v>0.49</v>
      </c>
      <c r="O197" s="585">
        <v>2.1360000000000001E-2</v>
      </c>
      <c r="P197" s="175">
        <v>0</v>
      </c>
      <c r="Q197" s="175">
        <v>0</v>
      </c>
      <c r="R197" s="175">
        <v>1.3799999999999999E-3</v>
      </c>
      <c r="S197" s="175">
        <v>2.7599999999999999E-3</v>
      </c>
      <c r="T197" s="175">
        <v>2.63E-3</v>
      </c>
      <c r="U197" s="175">
        <v>3.82E-3</v>
      </c>
      <c r="V197" s="706">
        <v>1.077E-2</v>
      </c>
      <c r="W197" s="717"/>
      <c r="X197" s="713"/>
      <c r="Y197" s="718"/>
      <c r="Z197" s="709">
        <v>24</v>
      </c>
      <c r="AA197" s="175"/>
      <c r="AB197" s="200"/>
      <c r="AC197" s="175">
        <v>5.6000000000000001E-2</v>
      </c>
      <c r="AD197" s="175">
        <v>2.0699999999999998</v>
      </c>
      <c r="AE197" s="175">
        <v>0.22</v>
      </c>
      <c r="AF197" s="201">
        <f t="shared" si="3"/>
        <v>0.45539999999999997</v>
      </c>
      <c r="AG197" s="175">
        <v>1.1399999999999999</v>
      </c>
      <c r="AH197" s="334"/>
      <c r="AI197" s="188"/>
      <c r="AJ197" s="188"/>
      <c r="AK197" s="188"/>
      <c r="AL197" s="189"/>
      <c r="AM197" s="189"/>
      <c r="AN197" s="189"/>
      <c r="AO197" s="189"/>
      <c r="AP197" s="189"/>
      <c r="AQ197" s="189"/>
      <c r="AR197" s="189"/>
      <c r="AS197" s="189"/>
      <c r="AT197" s="189"/>
      <c r="AU197" s="190"/>
      <c r="AV197" s="190"/>
      <c r="AW197" s="190"/>
      <c r="AX197" s="190"/>
      <c r="AY197" s="190"/>
      <c r="AZ197" s="189"/>
      <c r="BA197" s="189"/>
      <c r="BB197" s="189"/>
      <c r="BC197" s="189"/>
      <c r="BD197" s="189"/>
      <c r="BE197" s="189"/>
      <c r="BF197" s="189"/>
      <c r="BG197" s="189"/>
      <c r="BH197" s="189"/>
      <c r="BI197" s="190"/>
      <c r="BJ197" s="190"/>
      <c r="BK197" s="190"/>
      <c r="BL197" s="190"/>
      <c r="BM197" s="190"/>
      <c r="BN197" s="191"/>
      <c r="BO197" s="191"/>
      <c r="BP197" s="191"/>
      <c r="BQ197" s="191"/>
      <c r="BR197" s="191"/>
      <c r="BS197" s="191"/>
      <c r="BT197" s="190"/>
      <c r="BU197" s="190"/>
      <c r="BV197" s="190"/>
      <c r="BW197" s="190"/>
      <c r="BX197" s="190"/>
      <c r="BY197" s="190"/>
      <c r="BZ197" s="190"/>
      <c r="CA197" s="189"/>
      <c r="CB197" s="15"/>
    </row>
    <row r="198" spans="1:80" ht="15" x14ac:dyDescent="0.25">
      <c r="A198" s="167"/>
      <c r="B198" s="642"/>
      <c r="C198" s="642"/>
      <c r="D198" s="179"/>
      <c r="E198" s="169"/>
      <c r="F198" s="169"/>
      <c r="G198" s="186"/>
      <c r="H198" s="187"/>
      <c r="I198" s="187"/>
      <c r="J198" s="187"/>
      <c r="K198" s="187"/>
      <c r="L198" s="647"/>
      <c r="M198" s="646">
        <v>34125</v>
      </c>
      <c r="N198" s="585">
        <v>0.48</v>
      </c>
      <c r="O198" s="585">
        <v>2.7109999999999999E-2</v>
      </c>
      <c r="P198" s="175">
        <v>0</v>
      </c>
      <c r="Q198" s="175">
        <v>5.3600000000000002E-3</v>
      </c>
      <c r="R198" s="175">
        <v>5.8E-4</v>
      </c>
      <c r="S198" s="175">
        <v>1.32E-3</v>
      </c>
      <c r="T198" s="175">
        <v>2.82E-3</v>
      </c>
      <c r="U198" s="175">
        <v>4.6600000000000001E-3</v>
      </c>
      <c r="V198" s="706">
        <v>1.2370000000000001E-2</v>
      </c>
      <c r="W198" s="717"/>
      <c r="X198" s="713"/>
      <c r="Y198" s="718"/>
      <c r="Z198" s="709">
        <v>44</v>
      </c>
      <c r="AA198" s="175"/>
      <c r="AB198" s="200"/>
      <c r="AC198" s="175">
        <v>5.5E-2</v>
      </c>
      <c r="AD198" s="175">
        <v>2.1</v>
      </c>
      <c r="AE198" s="175">
        <v>0.21</v>
      </c>
      <c r="AF198" s="201">
        <f t="shared" si="3"/>
        <v>0.441</v>
      </c>
      <c r="AG198" s="175">
        <v>0.92</v>
      </c>
      <c r="AH198" s="334"/>
      <c r="AI198" s="188"/>
      <c r="AJ198" s="188"/>
      <c r="AK198" s="188"/>
      <c r="AL198" s="189"/>
      <c r="AM198" s="189"/>
      <c r="AN198" s="189"/>
      <c r="AO198" s="189"/>
      <c r="AP198" s="189"/>
      <c r="AQ198" s="189"/>
      <c r="AR198" s="189"/>
      <c r="AS198" s="189"/>
      <c r="AT198" s="189"/>
      <c r="AU198" s="190"/>
      <c r="AV198" s="190"/>
      <c r="AW198" s="190"/>
      <c r="AX198" s="190"/>
      <c r="AY198" s="190"/>
      <c r="AZ198" s="189"/>
      <c r="BA198" s="189"/>
      <c r="BB198" s="189"/>
      <c r="BC198" s="189"/>
      <c r="BD198" s="189"/>
      <c r="BE198" s="189"/>
      <c r="BF198" s="189"/>
      <c r="BG198" s="189"/>
      <c r="BH198" s="189"/>
      <c r="BI198" s="190"/>
      <c r="BJ198" s="190"/>
      <c r="BK198" s="190"/>
      <c r="BL198" s="190"/>
      <c r="BM198" s="190"/>
      <c r="BN198" s="191"/>
      <c r="BO198" s="191"/>
      <c r="BP198" s="191"/>
      <c r="BQ198" s="191"/>
      <c r="BR198" s="191"/>
      <c r="BS198" s="191"/>
      <c r="BT198" s="190"/>
      <c r="BU198" s="190"/>
      <c r="BV198" s="190"/>
      <c r="BW198" s="190"/>
      <c r="BX198" s="190"/>
      <c r="BY198" s="190"/>
      <c r="BZ198" s="190"/>
      <c r="CA198" s="189"/>
      <c r="CB198" s="15"/>
    </row>
    <row r="199" spans="1:80" ht="15" x14ac:dyDescent="0.25">
      <c r="A199" s="167"/>
      <c r="B199" s="642"/>
      <c r="C199" s="642"/>
      <c r="D199" s="179"/>
      <c r="E199" s="169"/>
      <c r="F199" s="169"/>
      <c r="G199" s="186"/>
      <c r="H199" s="187"/>
      <c r="I199" s="187"/>
      <c r="J199" s="187"/>
      <c r="K199" s="187"/>
      <c r="L199" s="647"/>
      <c r="M199" s="646">
        <v>34128</v>
      </c>
      <c r="N199" s="585">
        <v>0.4</v>
      </c>
      <c r="O199" s="585">
        <v>9.9000000000000008E-3</v>
      </c>
      <c r="P199" s="175">
        <v>0</v>
      </c>
      <c r="Q199" s="175">
        <v>0</v>
      </c>
      <c r="R199" s="175">
        <v>7.1000000000000002E-4</v>
      </c>
      <c r="S199" s="175">
        <v>1.34E-3</v>
      </c>
      <c r="T199" s="175">
        <v>1.39E-3</v>
      </c>
      <c r="U199" s="175">
        <v>1.8E-3</v>
      </c>
      <c r="V199" s="706">
        <v>4.6600000000000001E-3</v>
      </c>
      <c r="W199" s="717"/>
      <c r="X199" s="713"/>
      <c r="Y199" s="718"/>
      <c r="Z199" s="709">
        <v>24</v>
      </c>
      <c r="AA199" s="175"/>
      <c r="AB199" s="200"/>
      <c r="AC199" s="175">
        <v>5.5E-2</v>
      </c>
      <c r="AD199" s="175">
        <v>2.11</v>
      </c>
      <c r="AE199" s="175">
        <v>0.2</v>
      </c>
      <c r="AF199" s="201">
        <f t="shared" si="3"/>
        <v>0.42199999999999999</v>
      </c>
      <c r="AG199" s="175">
        <v>0.84</v>
      </c>
      <c r="AH199" s="334"/>
      <c r="AI199" s="188"/>
      <c r="AJ199" s="188"/>
      <c r="AK199" s="188"/>
      <c r="AL199" s="189"/>
      <c r="AM199" s="189"/>
      <c r="AN199" s="189"/>
      <c r="AO199" s="189"/>
      <c r="AP199" s="189"/>
      <c r="AQ199" s="189"/>
      <c r="AR199" s="189"/>
      <c r="AS199" s="189"/>
      <c r="AT199" s="189"/>
      <c r="AU199" s="190"/>
      <c r="AV199" s="190"/>
      <c r="AW199" s="190"/>
      <c r="AX199" s="190"/>
      <c r="AY199" s="190"/>
      <c r="AZ199" s="189"/>
      <c r="BA199" s="189"/>
      <c r="BB199" s="189"/>
      <c r="BC199" s="189"/>
      <c r="BD199" s="189"/>
      <c r="BE199" s="189"/>
      <c r="BF199" s="189"/>
      <c r="BG199" s="189"/>
      <c r="BH199" s="189"/>
      <c r="BI199" s="190"/>
      <c r="BJ199" s="190"/>
      <c r="BK199" s="190"/>
      <c r="BL199" s="190"/>
      <c r="BM199" s="190"/>
      <c r="BN199" s="191"/>
      <c r="BO199" s="191"/>
      <c r="BP199" s="191"/>
      <c r="BQ199" s="191"/>
      <c r="BR199" s="191"/>
      <c r="BS199" s="191"/>
      <c r="BT199" s="190"/>
      <c r="BU199" s="190"/>
      <c r="BV199" s="190"/>
      <c r="BW199" s="190"/>
      <c r="BX199" s="190"/>
      <c r="BY199" s="190"/>
      <c r="BZ199" s="190"/>
      <c r="CA199" s="189"/>
      <c r="CB199" s="15"/>
    </row>
    <row r="200" spans="1:80" ht="15" x14ac:dyDescent="0.25">
      <c r="A200" s="167"/>
      <c r="B200" s="642"/>
      <c r="C200" s="642"/>
      <c r="D200" s="179"/>
      <c r="E200" s="169"/>
      <c r="F200" s="169"/>
      <c r="G200" s="186"/>
      <c r="H200" s="187"/>
      <c r="I200" s="187"/>
      <c r="J200" s="187"/>
      <c r="K200" s="187"/>
      <c r="L200" s="647"/>
      <c r="M200" s="646">
        <v>34129</v>
      </c>
      <c r="N200" s="585">
        <v>0.37</v>
      </c>
      <c r="O200" s="585">
        <v>1.1089999999999999E-2</v>
      </c>
      <c r="P200" s="175">
        <v>0</v>
      </c>
      <c r="Q200" s="175">
        <v>0</v>
      </c>
      <c r="R200" s="175">
        <v>3.5E-4</v>
      </c>
      <c r="S200" s="175">
        <v>1.81E-3</v>
      </c>
      <c r="T200" s="175">
        <v>2.3800000000000002E-3</v>
      </c>
      <c r="U200" s="175">
        <v>2.97E-3</v>
      </c>
      <c r="V200" s="706">
        <v>3.5699999999999998E-3</v>
      </c>
      <c r="W200" s="717"/>
      <c r="X200" s="713"/>
      <c r="Y200" s="718"/>
      <c r="Z200" s="709">
        <v>20</v>
      </c>
      <c r="AA200" s="175"/>
      <c r="AB200" s="200"/>
      <c r="AC200" s="175">
        <v>5.3999999999999999E-2</v>
      </c>
      <c r="AD200" s="175">
        <v>2.09</v>
      </c>
      <c r="AE200" s="175">
        <v>0.18</v>
      </c>
      <c r="AF200" s="201">
        <f t="shared" si="3"/>
        <v>0.37619999999999998</v>
      </c>
      <c r="AG200" s="175">
        <v>0.98</v>
      </c>
      <c r="AH200" s="334"/>
      <c r="AI200" s="188"/>
      <c r="AJ200" s="188"/>
      <c r="AK200" s="188"/>
      <c r="AL200" s="189"/>
      <c r="AM200" s="189"/>
      <c r="AN200" s="189"/>
      <c r="AO200" s="189"/>
      <c r="AP200" s="189"/>
      <c r="AQ200" s="189"/>
      <c r="AR200" s="189"/>
      <c r="AS200" s="189"/>
      <c r="AT200" s="189"/>
      <c r="AU200" s="190"/>
      <c r="AV200" s="190"/>
      <c r="AW200" s="190"/>
      <c r="AX200" s="190"/>
      <c r="AY200" s="190"/>
      <c r="AZ200" s="189"/>
      <c r="BA200" s="189"/>
      <c r="BB200" s="189"/>
      <c r="BC200" s="189"/>
      <c r="BD200" s="189"/>
      <c r="BE200" s="189"/>
      <c r="BF200" s="189"/>
      <c r="BG200" s="189"/>
      <c r="BH200" s="189"/>
      <c r="BI200" s="190"/>
      <c r="BJ200" s="190"/>
      <c r="BK200" s="190"/>
      <c r="BL200" s="190"/>
      <c r="BM200" s="190"/>
      <c r="BN200" s="191"/>
      <c r="BO200" s="191"/>
      <c r="BP200" s="191"/>
      <c r="BQ200" s="191"/>
      <c r="BR200" s="191"/>
      <c r="BS200" s="191"/>
      <c r="BT200" s="190"/>
      <c r="BU200" s="190"/>
      <c r="BV200" s="190"/>
      <c r="BW200" s="190"/>
      <c r="BX200" s="190"/>
      <c r="BY200" s="190"/>
      <c r="BZ200" s="190"/>
      <c r="CA200" s="189"/>
      <c r="CB200" s="15"/>
    </row>
    <row r="201" spans="1:80" ht="15" x14ac:dyDescent="0.25">
      <c r="A201" s="167"/>
      <c r="B201" s="642"/>
      <c r="C201" s="642"/>
      <c r="D201" s="179"/>
      <c r="E201" s="169"/>
      <c r="F201" s="169"/>
      <c r="G201" s="186"/>
      <c r="H201" s="187"/>
      <c r="I201" s="187"/>
      <c r="J201" s="187"/>
      <c r="K201" s="187"/>
      <c r="L201" s="647"/>
      <c r="M201" s="646">
        <v>34130</v>
      </c>
      <c r="N201" s="585">
        <v>0.35</v>
      </c>
      <c r="O201" s="585">
        <v>2.325E-2</v>
      </c>
      <c r="P201" s="175">
        <v>0</v>
      </c>
      <c r="Q201" s="175">
        <v>0</v>
      </c>
      <c r="R201" s="175">
        <v>2.64E-3</v>
      </c>
      <c r="S201" s="175">
        <v>2.99E-3</v>
      </c>
      <c r="T201" s="175">
        <v>3.7100000000000002E-3</v>
      </c>
      <c r="U201" s="175">
        <v>4.62E-3</v>
      </c>
      <c r="V201" s="706">
        <v>9.2800000000000001E-3</v>
      </c>
      <c r="W201" s="717"/>
      <c r="X201" s="713"/>
      <c r="Y201" s="718"/>
      <c r="Z201" s="709">
        <v>31</v>
      </c>
      <c r="AA201" s="175"/>
      <c r="AB201" s="200"/>
      <c r="AC201" s="175">
        <v>5.3999999999999999E-2</v>
      </c>
      <c r="AD201" s="175">
        <v>2.0699999999999998</v>
      </c>
      <c r="AE201" s="175">
        <v>0.19</v>
      </c>
      <c r="AF201" s="201">
        <f t="shared" si="3"/>
        <v>0.39329999999999998</v>
      </c>
      <c r="AG201" s="175">
        <v>0.94</v>
      </c>
      <c r="AH201" s="334"/>
      <c r="AI201" s="188"/>
      <c r="AJ201" s="188"/>
      <c r="AK201" s="188"/>
      <c r="AL201" s="189"/>
      <c r="AM201" s="189"/>
      <c r="AN201" s="189"/>
      <c r="AO201" s="189"/>
      <c r="AP201" s="189"/>
      <c r="AQ201" s="189"/>
      <c r="AR201" s="189"/>
      <c r="AS201" s="189"/>
      <c r="AT201" s="189"/>
      <c r="AU201" s="190"/>
      <c r="AV201" s="190"/>
      <c r="AW201" s="190"/>
      <c r="AX201" s="190"/>
      <c r="AY201" s="190"/>
      <c r="AZ201" s="189"/>
      <c r="BA201" s="189"/>
      <c r="BB201" s="189"/>
      <c r="BC201" s="189"/>
      <c r="BD201" s="189"/>
      <c r="BE201" s="189"/>
      <c r="BF201" s="189"/>
      <c r="BG201" s="189"/>
      <c r="BH201" s="189"/>
      <c r="BI201" s="190"/>
      <c r="BJ201" s="190"/>
      <c r="BK201" s="190"/>
      <c r="BL201" s="190"/>
      <c r="BM201" s="190"/>
      <c r="BN201" s="191"/>
      <c r="BO201" s="191"/>
      <c r="BP201" s="191"/>
      <c r="BQ201" s="191"/>
      <c r="BR201" s="191"/>
      <c r="BS201" s="191"/>
      <c r="BT201" s="190"/>
      <c r="BU201" s="190"/>
      <c r="BV201" s="190"/>
      <c r="BW201" s="190"/>
      <c r="BX201" s="190"/>
      <c r="BY201" s="190"/>
      <c r="BZ201" s="190"/>
      <c r="CA201" s="189"/>
      <c r="CB201" s="15"/>
    </row>
    <row r="202" spans="1:80" ht="15" x14ac:dyDescent="0.25">
      <c r="A202" s="167"/>
      <c r="B202" s="642"/>
      <c r="C202" s="642"/>
      <c r="D202" s="179"/>
      <c r="E202" s="169"/>
      <c r="F202" s="169"/>
      <c r="G202" s="186"/>
      <c r="H202" s="187"/>
      <c r="I202" s="187"/>
      <c r="J202" s="187"/>
      <c r="K202" s="187"/>
      <c r="L202" s="647"/>
      <c r="M202" s="646">
        <v>34131</v>
      </c>
      <c r="N202" s="585">
        <v>0.37</v>
      </c>
      <c r="O202" s="585">
        <v>1.1939999999999999E-2</v>
      </c>
      <c r="P202" s="175">
        <v>0</v>
      </c>
      <c r="Q202" s="175">
        <v>0</v>
      </c>
      <c r="R202" s="175">
        <v>3.1700000000000001E-3</v>
      </c>
      <c r="S202" s="175">
        <v>2.63E-3</v>
      </c>
      <c r="T202" s="175">
        <v>1.5399999999999999E-3</v>
      </c>
      <c r="U202" s="175">
        <v>1.5200000000000001E-3</v>
      </c>
      <c r="V202" s="706">
        <v>3.0799999999999998E-3</v>
      </c>
      <c r="W202" s="717"/>
      <c r="X202" s="713"/>
      <c r="Y202" s="718"/>
      <c r="Z202" s="709">
        <v>38</v>
      </c>
      <c r="AA202" s="175"/>
      <c r="AB202" s="200"/>
      <c r="AC202" s="175">
        <v>5.1999999999999998E-2</v>
      </c>
      <c r="AD202" s="175">
        <v>2.0499999999999998</v>
      </c>
      <c r="AE202" s="175">
        <v>0.2</v>
      </c>
      <c r="AF202" s="201">
        <f t="shared" si="3"/>
        <v>0.41</v>
      </c>
      <c r="AG202" s="175">
        <v>0.97</v>
      </c>
      <c r="AH202" s="334"/>
      <c r="AI202" s="188"/>
      <c r="AJ202" s="188"/>
      <c r="AK202" s="188"/>
      <c r="AL202" s="189"/>
      <c r="AM202" s="189"/>
      <c r="AN202" s="189"/>
      <c r="AO202" s="189"/>
      <c r="AP202" s="189"/>
      <c r="AQ202" s="189"/>
      <c r="AR202" s="189"/>
      <c r="AS202" s="189"/>
      <c r="AT202" s="189"/>
      <c r="AU202" s="190"/>
      <c r="AV202" s="190"/>
      <c r="AW202" s="190"/>
      <c r="AX202" s="190"/>
      <c r="AY202" s="190"/>
      <c r="AZ202" s="189"/>
      <c r="BA202" s="189"/>
      <c r="BB202" s="189"/>
      <c r="BC202" s="189"/>
      <c r="BD202" s="189"/>
      <c r="BE202" s="189"/>
      <c r="BF202" s="189"/>
      <c r="BG202" s="189"/>
      <c r="BH202" s="189"/>
      <c r="BI202" s="190"/>
      <c r="BJ202" s="190"/>
      <c r="BK202" s="190"/>
      <c r="BL202" s="190"/>
      <c r="BM202" s="190"/>
      <c r="BN202" s="191"/>
      <c r="BO202" s="191"/>
      <c r="BP202" s="191"/>
      <c r="BQ202" s="191"/>
      <c r="BR202" s="191"/>
      <c r="BS202" s="191"/>
      <c r="BT202" s="190"/>
      <c r="BU202" s="190"/>
      <c r="BV202" s="190"/>
      <c r="BW202" s="190"/>
      <c r="BX202" s="190"/>
      <c r="BY202" s="190"/>
      <c r="BZ202" s="190"/>
      <c r="CA202" s="189"/>
      <c r="CB202" s="15"/>
    </row>
    <row r="203" spans="1:80" ht="15" x14ac:dyDescent="0.25">
      <c r="A203" s="167"/>
      <c r="B203" s="642"/>
      <c r="C203" s="642"/>
      <c r="D203" s="179"/>
      <c r="E203" s="169"/>
      <c r="F203" s="169"/>
      <c r="G203" s="186"/>
      <c r="H203" s="187"/>
      <c r="I203" s="187"/>
      <c r="J203" s="187"/>
      <c r="K203" s="187"/>
      <c r="L203" s="647"/>
      <c r="M203" s="646">
        <v>34132</v>
      </c>
      <c r="N203" s="585">
        <v>0.33</v>
      </c>
      <c r="O203" s="585">
        <v>2.8250000000000001E-2</v>
      </c>
      <c r="P203" s="175">
        <v>0</v>
      </c>
      <c r="Q203" s="175">
        <v>0</v>
      </c>
      <c r="R203" s="175">
        <v>2.14E-3</v>
      </c>
      <c r="S203" s="175">
        <v>6.43E-3</v>
      </c>
      <c r="T203" s="175">
        <v>5.9100000000000003E-3</v>
      </c>
      <c r="U203" s="175">
        <v>6.2599999999999999E-3</v>
      </c>
      <c r="V203" s="706">
        <v>7.5100000000000002E-3</v>
      </c>
      <c r="W203" s="717"/>
      <c r="X203" s="713"/>
      <c r="Y203" s="718"/>
      <c r="Z203" s="709">
        <v>25</v>
      </c>
      <c r="AA203" s="175"/>
      <c r="AB203" s="200"/>
      <c r="AC203" s="175">
        <v>5.3999999999999999E-2</v>
      </c>
      <c r="AD203" s="175">
        <v>2.09</v>
      </c>
      <c r="AE203" s="175">
        <v>0.17</v>
      </c>
      <c r="AF203" s="201">
        <f t="shared" si="3"/>
        <v>0.3553</v>
      </c>
      <c r="AG203" s="175">
        <v>0.99</v>
      </c>
      <c r="AH203" s="334"/>
      <c r="AI203" s="188"/>
      <c r="AJ203" s="188"/>
      <c r="AK203" s="188"/>
      <c r="AL203" s="189"/>
      <c r="AM203" s="189"/>
      <c r="AN203" s="189"/>
      <c r="AO203" s="189"/>
      <c r="AP203" s="189"/>
      <c r="AQ203" s="189"/>
      <c r="AR203" s="189"/>
      <c r="AS203" s="189"/>
      <c r="AT203" s="189"/>
      <c r="AU203" s="190"/>
      <c r="AV203" s="190"/>
      <c r="AW203" s="190"/>
      <c r="AX203" s="190"/>
      <c r="AY203" s="190"/>
      <c r="AZ203" s="189"/>
      <c r="BA203" s="189"/>
      <c r="BB203" s="189"/>
      <c r="BC203" s="189"/>
      <c r="BD203" s="189"/>
      <c r="BE203" s="189"/>
      <c r="BF203" s="189"/>
      <c r="BG203" s="189"/>
      <c r="BH203" s="189"/>
      <c r="BI203" s="190"/>
      <c r="BJ203" s="190"/>
      <c r="BK203" s="190"/>
      <c r="BL203" s="190"/>
      <c r="BM203" s="190"/>
      <c r="BN203" s="191"/>
      <c r="BO203" s="191"/>
      <c r="BP203" s="191"/>
      <c r="BQ203" s="191"/>
      <c r="BR203" s="191"/>
      <c r="BS203" s="191"/>
      <c r="BT203" s="190"/>
      <c r="BU203" s="190"/>
      <c r="BV203" s="190"/>
      <c r="BW203" s="190"/>
      <c r="BX203" s="190"/>
      <c r="BY203" s="190"/>
      <c r="BZ203" s="190"/>
      <c r="CA203" s="189"/>
      <c r="CB203" s="15"/>
    </row>
    <row r="204" spans="1:80" ht="15" x14ac:dyDescent="0.25">
      <c r="A204" s="167"/>
      <c r="B204" s="642"/>
      <c r="C204" s="642"/>
      <c r="D204" s="179"/>
      <c r="E204" s="169"/>
      <c r="F204" s="169"/>
      <c r="G204" s="186"/>
      <c r="H204" s="187"/>
      <c r="I204" s="187"/>
      <c r="J204" s="187"/>
      <c r="K204" s="187"/>
      <c r="L204" s="647"/>
      <c r="M204" s="646">
        <v>34135</v>
      </c>
      <c r="N204" s="585">
        <v>0.3</v>
      </c>
      <c r="O204" s="585">
        <v>7.7200000000000003E-3</v>
      </c>
      <c r="P204" s="175">
        <v>0</v>
      </c>
      <c r="Q204" s="175">
        <v>0</v>
      </c>
      <c r="R204" s="175">
        <v>6.6E-4</v>
      </c>
      <c r="S204" s="175">
        <v>1.16E-3</v>
      </c>
      <c r="T204" s="175">
        <v>2.0300000000000001E-3</v>
      </c>
      <c r="U204" s="175">
        <v>1.8E-3</v>
      </c>
      <c r="V204" s="706">
        <v>2.0699999999999998E-3</v>
      </c>
      <c r="W204" s="717"/>
      <c r="X204" s="713"/>
      <c r="Y204" s="718"/>
      <c r="Z204" s="709">
        <v>27</v>
      </c>
      <c r="AA204" s="175"/>
      <c r="AB204" s="200"/>
      <c r="AC204" s="175">
        <v>5.3999999999999999E-2</v>
      </c>
      <c r="AD204" s="175">
        <v>2.0699999999999998</v>
      </c>
      <c r="AE204" s="175">
        <v>0.15</v>
      </c>
      <c r="AF204" s="201">
        <f t="shared" si="3"/>
        <v>0.31049999999999994</v>
      </c>
      <c r="AG204" s="175">
        <v>0.91</v>
      </c>
      <c r="AH204" s="334"/>
      <c r="AI204" s="188"/>
      <c r="AJ204" s="188"/>
      <c r="AK204" s="188"/>
      <c r="AL204" s="189"/>
      <c r="AM204" s="189"/>
      <c r="AN204" s="189"/>
      <c r="AO204" s="189"/>
      <c r="AP204" s="189"/>
      <c r="AQ204" s="189"/>
      <c r="AR204" s="189"/>
      <c r="AS204" s="189"/>
      <c r="AT204" s="189"/>
      <c r="AU204" s="190"/>
      <c r="AV204" s="190"/>
      <c r="AW204" s="190"/>
      <c r="AX204" s="190"/>
      <c r="AY204" s="190"/>
      <c r="AZ204" s="189"/>
      <c r="BA204" s="189"/>
      <c r="BB204" s="189"/>
      <c r="BC204" s="189"/>
      <c r="BD204" s="189"/>
      <c r="BE204" s="189"/>
      <c r="BF204" s="189"/>
      <c r="BG204" s="189"/>
      <c r="BH204" s="189"/>
      <c r="BI204" s="190"/>
      <c r="BJ204" s="190"/>
      <c r="BK204" s="190"/>
      <c r="BL204" s="190"/>
      <c r="BM204" s="190"/>
      <c r="BN204" s="191"/>
      <c r="BO204" s="191"/>
      <c r="BP204" s="191"/>
      <c r="BQ204" s="191"/>
      <c r="BR204" s="191"/>
      <c r="BS204" s="191"/>
      <c r="BT204" s="190"/>
      <c r="BU204" s="190"/>
      <c r="BV204" s="190"/>
      <c r="BW204" s="190"/>
      <c r="BX204" s="190"/>
      <c r="BY204" s="190"/>
      <c r="BZ204" s="190"/>
      <c r="CA204" s="189"/>
      <c r="CB204" s="15"/>
    </row>
    <row r="205" spans="1:80" ht="15" x14ac:dyDescent="0.25">
      <c r="A205" s="167"/>
      <c r="B205" s="642"/>
      <c r="C205" s="642"/>
      <c r="D205" s="179"/>
      <c r="E205" s="169"/>
      <c r="F205" s="169"/>
      <c r="G205" s="186"/>
      <c r="H205" s="187"/>
      <c r="I205" s="187"/>
      <c r="J205" s="187"/>
      <c r="K205" s="187"/>
      <c r="L205" s="647"/>
      <c r="M205" s="646">
        <v>34136</v>
      </c>
      <c r="N205" s="585">
        <v>0.28999999999999998</v>
      </c>
      <c r="O205" s="585">
        <v>1.401E-2</v>
      </c>
      <c r="P205" s="175">
        <v>0</v>
      </c>
      <c r="Q205" s="175">
        <v>0</v>
      </c>
      <c r="R205" s="175">
        <v>1.1199999999999999E-3</v>
      </c>
      <c r="S205" s="175">
        <v>3.1700000000000001E-3</v>
      </c>
      <c r="T205" s="175">
        <v>2.2200000000000002E-3</v>
      </c>
      <c r="U205" s="175">
        <v>2.7799999999999999E-3</v>
      </c>
      <c r="V205" s="706">
        <v>4.7099999999999998E-3</v>
      </c>
      <c r="W205" s="717"/>
      <c r="X205" s="713"/>
      <c r="Y205" s="718"/>
      <c r="Z205" s="709">
        <v>23</v>
      </c>
      <c r="AA205" s="175"/>
      <c r="AB205" s="200"/>
      <c r="AC205" s="175">
        <v>5.1999999999999998E-2</v>
      </c>
      <c r="AD205" s="175">
        <v>2.09</v>
      </c>
      <c r="AE205" s="175">
        <v>0.16</v>
      </c>
      <c r="AF205" s="201">
        <f t="shared" si="3"/>
        <v>0.33439999999999998</v>
      </c>
      <c r="AG205" s="175">
        <v>0.87</v>
      </c>
      <c r="AH205" s="334"/>
      <c r="AI205" s="188"/>
      <c r="AJ205" s="188"/>
      <c r="AK205" s="188"/>
      <c r="AL205" s="189"/>
      <c r="AM205" s="189"/>
      <c r="AN205" s="189"/>
      <c r="AO205" s="189"/>
      <c r="AP205" s="189"/>
      <c r="AQ205" s="189"/>
      <c r="AR205" s="189"/>
      <c r="AS205" s="189"/>
      <c r="AT205" s="189"/>
      <c r="AU205" s="190"/>
      <c r="AV205" s="190"/>
      <c r="AW205" s="190"/>
      <c r="AX205" s="190"/>
      <c r="AY205" s="190"/>
      <c r="AZ205" s="189"/>
      <c r="BA205" s="189"/>
      <c r="BB205" s="189"/>
      <c r="BC205" s="189"/>
      <c r="BD205" s="189"/>
      <c r="BE205" s="189"/>
      <c r="BF205" s="189"/>
      <c r="BG205" s="189"/>
      <c r="BH205" s="189"/>
      <c r="BI205" s="190"/>
      <c r="BJ205" s="190"/>
      <c r="BK205" s="190"/>
      <c r="BL205" s="190"/>
      <c r="BM205" s="190"/>
      <c r="BN205" s="191"/>
      <c r="BO205" s="191"/>
      <c r="BP205" s="191"/>
      <c r="BQ205" s="191"/>
      <c r="BR205" s="191"/>
      <c r="BS205" s="191"/>
      <c r="BT205" s="190"/>
      <c r="BU205" s="190"/>
      <c r="BV205" s="190"/>
      <c r="BW205" s="190"/>
      <c r="BX205" s="190"/>
      <c r="BY205" s="190"/>
      <c r="BZ205" s="190"/>
      <c r="CA205" s="189"/>
      <c r="CB205" s="15"/>
    </row>
    <row r="206" spans="1:80" ht="15" x14ac:dyDescent="0.25">
      <c r="A206" s="167"/>
      <c r="B206" s="642"/>
      <c r="C206" s="642"/>
      <c r="D206" s="179"/>
      <c r="E206" s="169"/>
      <c r="F206" s="169"/>
      <c r="G206" s="186"/>
      <c r="H206" s="187"/>
      <c r="I206" s="187"/>
      <c r="J206" s="187"/>
      <c r="K206" s="187"/>
      <c r="L206" s="647"/>
      <c r="M206" s="646">
        <v>34137</v>
      </c>
      <c r="N206" s="585">
        <v>0.28000000000000003</v>
      </c>
      <c r="O206" s="585">
        <v>1.167E-2</v>
      </c>
      <c r="P206" s="175">
        <v>0</v>
      </c>
      <c r="Q206" s="175">
        <v>0</v>
      </c>
      <c r="R206" s="175">
        <v>5.6999999999999998E-4</v>
      </c>
      <c r="S206" s="175">
        <v>2.16E-3</v>
      </c>
      <c r="T206" s="175">
        <v>1.7099999999999999E-3</v>
      </c>
      <c r="U206" s="175">
        <v>2.3E-3</v>
      </c>
      <c r="V206" s="706">
        <v>4.9300000000000004E-3</v>
      </c>
      <c r="W206" s="717"/>
      <c r="X206" s="713"/>
      <c r="Y206" s="718"/>
      <c r="Z206" s="709">
        <v>24</v>
      </c>
      <c r="AA206" s="175"/>
      <c r="AB206" s="200"/>
      <c r="AC206" s="175">
        <v>5.5E-2</v>
      </c>
      <c r="AD206" s="175">
        <v>2.1</v>
      </c>
      <c r="AE206" s="175">
        <v>0.17</v>
      </c>
      <c r="AF206" s="201">
        <f t="shared" si="3"/>
        <v>0.35700000000000004</v>
      </c>
      <c r="AG206" s="175">
        <v>0.84</v>
      </c>
      <c r="AH206" s="334"/>
      <c r="AI206" s="188"/>
      <c r="AJ206" s="188"/>
      <c r="AK206" s="188"/>
      <c r="AL206" s="189"/>
      <c r="AM206" s="189"/>
      <c r="AN206" s="189"/>
      <c r="AO206" s="189"/>
      <c r="AP206" s="189"/>
      <c r="AQ206" s="189"/>
      <c r="AR206" s="189"/>
      <c r="AS206" s="189"/>
      <c r="AT206" s="189"/>
      <c r="AU206" s="190"/>
      <c r="AV206" s="190"/>
      <c r="AW206" s="190"/>
      <c r="AX206" s="190"/>
      <c r="AY206" s="190"/>
      <c r="AZ206" s="189"/>
      <c r="BA206" s="189"/>
      <c r="BB206" s="189"/>
      <c r="BC206" s="189"/>
      <c r="BD206" s="189"/>
      <c r="BE206" s="189"/>
      <c r="BF206" s="189"/>
      <c r="BG206" s="189"/>
      <c r="BH206" s="189"/>
      <c r="BI206" s="190"/>
      <c r="BJ206" s="190"/>
      <c r="BK206" s="190"/>
      <c r="BL206" s="190"/>
      <c r="BM206" s="190"/>
      <c r="BN206" s="191"/>
      <c r="BO206" s="191"/>
      <c r="BP206" s="191"/>
      <c r="BQ206" s="191"/>
      <c r="BR206" s="191"/>
      <c r="BS206" s="191"/>
      <c r="BT206" s="190"/>
      <c r="BU206" s="190"/>
      <c r="BV206" s="190"/>
      <c r="BW206" s="190"/>
      <c r="BX206" s="190"/>
      <c r="BY206" s="190"/>
      <c r="BZ206" s="190"/>
      <c r="CA206" s="189"/>
      <c r="CB206" s="15"/>
    </row>
    <row r="207" spans="1:80" ht="15" x14ac:dyDescent="0.25">
      <c r="A207" s="167"/>
      <c r="B207" s="642"/>
      <c r="C207" s="642"/>
      <c r="D207" s="179"/>
      <c r="E207" s="169"/>
      <c r="F207" s="169"/>
      <c r="G207" s="186"/>
      <c r="H207" s="187"/>
      <c r="I207" s="187"/>
      <c r="J207" s="187"/>
      <c r="K207" s="187"/>
      <c r="L207" s="647"/>
      <c r="M207" s="646">
        <v>34138</v>
      </c>
      <c r="N207" s="585">
        <v>0.32</v>
      </c>
      <c r="O207" s="585">
        <v>2.0469999999999999E-2</v>
      </c>
      <c r="P207" s="175">
        <v>0</v>
      </c>
      <c r="Q207" s="175">
        <v>0</v>
      </c>
      <c r="R207" s="175">
        <v>3.0999999999999999E-3</v>
      </c>
      <c r="S207" s="175">
        <v>3.4499999999999999E-3</v>
      </c>
      <c r="T207" s="175">
        <v>3.0999999999999999E-3</v>
      </c>
      <c r="U207" s="175">
        <v>3.82E-3</v>
      </c>
      <c r="V207" s="706">
        <v>7.0099999999999997E-3</v>
      </c>
      <c r="W207" s="717"/>
      <c r="X207" s="713"/>
      <c r="Y207" s="718"/>
      <c r="Z207" s="709">
        <v>30</v>
      </c>
      <c r="AA207" s="175"/>
      <c r="AB207" s="200"/>
      <c r="AC207" s="175">
        <v>5.2999999999999999E-2</v>
      </c>
      <c r="AD207" s="175">
        <v>2.0699999999999998</v>
      </c>
      <c r="AE207" s="175">
        <v>0.17</v>
      </c>
      <c r="AF207" s="201">
        <f t="shared" si="3"/>
        <v>0.35189999999999999</v>
      </c>
      <c r="AG207" s="175">
        <v>0.95</v>
      </c>
      <c r="AH207" s="334"/>
      <c r="AI207" s="188"/>
      <c r="AJ207" s="188"/>
      <c r="AK207" s="188"/>
      <c r="AL207" s="189"/>
      <c r="AM207" s="189"/>
      <c r="AN207" s="189"/>
      <c r="AO207" s="189"/>
      <c r="AP207" s="189"/>
      <c r="AQ207" s="189"/>
      <c r="AR207" s="189"/>
      <c r="AS207" s="189"/>
      <c r="AT207" s="189"/>
      <c r="AU207" s="190"/>
      <c r="AV207" s="190"/>
      <c r="AW207" s="190"/>
      <c r="AX207" s="190"/>
      <c r="AY207" s="190"/>
      <c r="AZ207" s="189"/>
      <c r="BA207" s="189"/>
      <c r="BB207" s="189"/>
      <c r="BC207" s="189"/>
      <c r="BD207" s="189"/>
      <c r="BE207" s="189"/>
      <c r="BF207" s="189"/>
      <c r="BG207" s="189"/>
      <c r="BH207" s="189"/>
      <c r="BI207" s="190"/>
      <c r="BJ207" s="190"/>
      <c r="BK207" s="190"/>
      <c r="BL207" s="190"/>
      <c r="BM207" s="190"/>
      <c r="BN207" s="191"/>
      <c r="BO207" s="191"/>
      <c r="BP207" s="191"/>
      <c r="BQ207" s="191"/>
      <c r="BR207" s="191"/>
      <c r="BS207" s="191"/>
      <c r="BT207" s="190"/>
      <c r="BU207" s="190"/>
      <c r="BV207" s="190"/>
      <c r="BW207" s="190"/>
      <c r="BX207" s="190"/>
      <c r="BY207" s="190"/>
      <c r="BZ207" s="190"/>
      <c r="CA207" s="189"/>
      <c r="CB207" s="15"/>
    </row>
    <row r="208" spans="1:80" ht="15" x14ac:dyDescent="0.25">
      <c r="A208" s="167"/>
      <c r="B208" s="642"/>
      <c r="C208" s="642"/>
      <c r="D208" s="179"/>
      <c r="E208" s="169"/>
      <c r="F208" s="169"/>
      <c r="G208" s="186"/>
      <c r="H208" s="187"/>
      <c r="I208" s="187"/>
      <c r="J208" s="187"/>
      <c r="K208" s="187"/>
      <c r="L208" s="647"/>
      <c r="M208" s="646">
        <v>34139</v>
      </c>
      <c r="N208" s="585">
        <v>0.28999999999999998</v>
      </c>
      <c r="O208" s="585">
        <v>1.1129999999999999E-2</v>
      </c>
      <c r="P208" s="175">
        <v>0</v>
      </c>
      <c r="Q208" s="175">
        <v>0</v>
      </c>
      <c r="R208" s="175">
        <v>2.0500000000000002E-3</v>
      </c>
      <c r="S208" s="175">
        <v>2.5300000000000001E-3</v>
      </c>
      <c r="T208" s="175">
        <v>1.8699999999999999E-3</v>
      </c>
      <c r="U208" s="175">
        <v>1.6199999999999999E-3</v>
      </c>
      <c r="V208" s="706">
        <v>3.0699999999999998E-3</v>
      </c>
      <c r="W208" s="717"/>
      <c r="X208" s="713"/>
      <c r="Y208" s="718"/>
      <c r="Z208" s="709">
        <v>32</v>
      </c>
      <c r="AA208" s="175"/>
      <c r="AB208" s="200"/>
      <c r="AC208" s="175">
        <v>5.1999999999999998E-2</v>
      </c>
      <c r="AD208" s="175">
        <v>2.0699999999999998</v>
      </c>
      <c r="AE208" s="175">
        <v>0.17</v>
      </c>
      <c r="AF208" s="201">
        <f t="shared" si="3"/>
        <v>0.35189999999999999</v>
      </c>
      <c r="AG208" s="175">
        <v>0.89</v>
      </c>
      <c r="AH208" s="334"/>
      <c r="AI208" s="188"/>
      <c r="AJ208" s="188"/>
      <c r="AK208" s="188"/>
      <c r="AL208" s="189"/>
      <c r="AM208" s="189"/>
      <c r="AN208" s="189"/>
      <c r="AO208" s="189"/>
      <c r="AP208" s="189"/>
      <c r="AQ208" s="189"/>
      <c r="AR208" s="189"/>
      <c r="AS208" s="189"/>
      <c r="AT208" s="189"/>
      <c r="AU208" s="190"/>
      <c r="AV208" s="190"/>
      <c r="AW208" s="190"/>
      <c r="AX208" s="190"/>
      <c r="AY208" s="190"/>
      <c r="AZ208" s="189"/>
      <c r="BA208" s="189"/>
      <c r="BB208" s="189"/>
      <c r="BC208" s="189"/>
      <c r="BD208" s="189"/>
      <c r="BE208" s="189"/>
      <c r="BF208" s="189"/>
      <c r="BG208" s="189"/>
      <c r="BH208" s="189"/>
      <c r="BI208" s="190"/>
      <c r="BJ208" s="190"/>
      <c r="BK208" s="190"/>
      <c r="BL208" s="190"/>
      <c r="BM208" s="190"/>
      <c r="BN208" s="191"/>
      <c r="BO208" s="191"/>
      <c r="BP208" s="191"/>
      <c r="BQ208" s="191"/>
      <c r="BR208" s="191"/>
      <c r="BS208" s="191"/>
      <c r="BT208" s="190"/>
      <c r="BU208" s="190"/>
      <c r="BV208" s="190"/>
      <c r="BW208" s="190"/>
      <c r="BX208" s="190"/>
      <c r="BY208" s="190"/>
      <c r="BZ208" s="190"/>
      <c r="CA208" s="189"/>
      <c r="CB208" s="15"/>
    </row>
    <row r="209" spans="1:80" ht="15" x14ac:dyDescent="0.25">
      <c r="A209" s="202"/>
      <c r="B209" s="195"/>
      <c r="C209" s="195"/>
      <c r="D209" s="695"/>
      <c r="E209" s="196"/>
      <c r="F209" s="196"/>
      <c r="G209" s="197"/>
      <c r="H209" s="198"/>
      <c r="I209" s="198"/>
      <c r="J209" s="198"/>
      <c r="K209" s="198"/>
      <c r="L209" s="649"/>
      <c r="M209" s="651">
        <v>34142</v>
      </c>
      <c r="N209" s="589">
        <v>0.23</v>
      </c>
      <c r="O209" s="589">
        <v>5.1500000000000001E-3</v>
      </c>
      <c r="P209" s="193">
        <v>0</v>
      </c>
      <c r="Q209" s="193">
        <v>0</v>
      </c>
      <c r="R209" s="193">
        <v>0</v>
      </c>
      <c r="S209" s="193">
        <v>1.72E-3</v>
      </c>
      <c r="T209" s="193">
        <v>1.1199999999999999E-3</v>
      </c>
      <c r="U209" s="193">
        <v>8.8999999999999995E-4</v>
      </c>
      <c r="V209" s="707">
        <v>1.42E-3</v>
      </c>
      <c r="W209" s="719"/>
      <c r="X209" s="720"/>
      <c r="Y209" s="721"/>
      <c r="Z209" s="710">
        <v>15</v>
      </c>
      <c r="AA209" s="193"/>
      <c r="AB209" s="203"/>
      <c r="AC209" s="193">
        <v>5.2999999999999999E-2</v>
      </c>
      <c r="AD209" s="193">
        <v>2.06</v>
      </c>
      <c r="AE209" s="193">
        <v>0.15</v>
      </c>
      <c r="AF209" s="204">
        <f t="shared" si="3"/>
        <v>0.309</v>
      </c>
      <c r="AG209" s="193">
        <v>0.92</v>
      </c>
      <c r="AH209" s="334"/>
      <c r="AI209" s="188"/>
      <c r="AJ209" s="188"/>
      <c r="AK209" s="188"/>
      <c r="AL209" s="189"/>
      <c r="AM209" s="189"/>
      <c r="AN209" s="189"/>
      <c r="AO209" s="189"/>
      <c r="AP209" s="189"/>
      <c r="AQ209" s="189"/>
      <c r="AR209" s="189"/>
      <c r="AS209" s="189"/>
      <c r="AT209" s="189"/>
      <c r="AU209" s="190"/>
      <c r="AV209" s="190"/>
      <c r="AW209" s="190"/>
      <c r="AX209" s="190"/>
      <c r="AY209" s="190"/>
      <c r="AZ209" s="189"/>
      <c r="BA209" s="189"/>
      <c r="BB209" s="189"/>
      <c r="BC209" s="189"/>
      <c r="BD209" s="189"/>
      <c r="BE209" s="189"/>
      <c r="BF209" s="189"/>
      <c r="BG209" s="189"/>
      <c r="BH209" s="189"/>
      <c r="BI209" s="190"/>
      <c r="BJ209" s="190"/>
      <c r="BK209" s="190"/>
      <c r="BL209" s="190"/>
      <c r="BM209" s="190"/>
      <c r="BN209" s="191"/>
      <c r="BO209" s="191"/>
      <c r="BP209" s="191"/>
      <c r="BQ209" s="191"/>
      <c r="BR209" s="191"/>
      <c r="BS209" s="191"/>
      <c r="BT209" s="190"/>
      <c r="BU209" s="190"/>
      <c r="BV209" s="190"/>
      <c r="BW209" s="190"/>
      <c r="BX209" s="190"/>
      <c r="BY209" s="190"/>
      <c r="BZ209" s="190"/>
      <c r="CA209" s="189"/>
      <c r="CB209" s="15"/>
    </row>
    <row r="210" spans="1:80" ht="15" x14ac:dyDescent="0.25">
      <c r="A210" s="9" t="s">
        <v>41</v>
      </c>
      <c r="B210" s="639" t="s">
        <v>34</v>
      </c>
      <c r="C210" s="639"/>
      <c r="D210" s="4">
        <f>VLOOKUP(E210,'Quality Code'!D4:E24,2,TRUE)*VLOOKUP(MROUND(F210,10),'Quality Code'!D28:E69,2,TRUE)*VLOOKUP(4,'Quality Code'!D73:E93,2,TRUE)</f>
        <v>4</v>
      </c>
      <c r="E210" s="14">
        <v>0.8</v>
      </c>
      <c r="F210" s="18">
        <v>98</v>
      </c>
      <c r="G210" s="12">
        <v>55.6</v>
      </c>
      <c r="H210" s="2" t="s">
        <v>231</v>
      </c>
      <c r="I210" s="2" t="s">
        <v>278</v>
      </c>
      <c r="J210" s="2" t="s">
        <v>281</v>
      </c>
      <c r="K210" s="2">
        <v>1</v>
      </c>
      <c r="L210" s="639" t="s">
        <v>699</v>
      </c>
      <c r="M210" s="640" t="s">
        <v>702</v>
      </c>
      <c r="N210" s="579" t="s">
        <v>254</v>
      </c>
      <c r="O210" s="579"/>
      <c r="P210" s="11"/>
      <c r="Q210" s="11"/>
      <c r="R210" s="11"/>
      <c r="S210" s="11"/>
      <c r="T210" s="11"/>
      <c r="U210" s="11"/>
      <c r="V210" s="506"/>
      <c r="W210" s="723"/>
      <c r="X210" s="723"/>
      <c r="Y210" s="723"/>
      <c r="Z210" s="11"/>
      <c r="AA210" s="11"/>
      <c r="AB210" s="11"/>
      <c r="AC210" s="116"/>
      <c r="AD210" s="26"/>
      <c r="AE210" s="26"/>
      <c r="AF210" s="26"/>
      <c r="AG210" s="26"/>
      <c r="AH210" s="330"/>
      <c r="AI210" s="123">
        <f>AU210/BI210</f>
        <v>16.53846153846154</v>
      </c>
      <c r="AJ210" s="123"/>
      <c r="AK210" s="161"/>
      <c r="AL210" s="17"/>
      <c r="AM210" s="17"/>
      <c r="AN210" s="17"/>
      <c r="AO210" s="17"/>
      <c r="AP210" s="17"/>
      <c r="AQ210" s="17"/>
      <c r="AR210" s="17"/>
      <c r="AS210" s="17"/>
      <c r="AT210" s="17"/>
      <c r="AU210" s="18">
        <v>129</v>
      </c>
      <c r="AV210" s="162">
        <v>0.98250000000000004</v>
      </c>
      <c r="AW210" s="162">
        <v>0.90480000000000005</v>
      </c>
      <c r="AX210" s="162">
        <v>0.74939999999999996</v>
      </c>
      <c r="AY210" s="162">
        <v>0.49619999999999997</v>
      </c>
      <c r="AZ210" s="162">
        <v>0.30080000000000001</v>
      </c>
      <c r="BA210" s="162">
        <v>0.18049999999999999</v>
      </c>
      <c r="BB210" s="162">
        <v>0.1028</v>
      </c>
      <c r="BC210" s="162">
        <v>6.5199999999999994E-2</v>
      </c>
      <c r="BD210" s="162">
        <v>3.2599999999999997E-2</v>
      </c>
      <c r="BE210" s="162">
        <v>2.5000000000000001E-3</v>
      </c>
      <c r="BF210" s="162"/>
      <c r="BG210" s="162"/>
      <c r="BH210" s="162"/>
      <c r="BI210" s="4">
        <v>7.8</v>
      </c>
      <c r="BJ210" s="2"/>
      <c r="BK210" s="2" t="s">
        <v>55</v>
      </c>
      <c r="BL210" s="12">
        <v>4.41</v>
      </c>
      <c r="BM210" s="12"/>
      <c r="BN210" s="12">
        <v>6.8</v>
      </c>
      <c r="BO210" s="12">
        <v>0.47</v>
      </c>
      <c r="BP210" s="12">
        <f>BO210*BN210</f>
        <v>3.1959999999999997</v>
      </c>
      <c r="BQ210" s="12">
        <f>BN210/BO210</f>
        <v>14.468085106382979</v>
      </c>
      <c r="BR210" s="12" t="s">
        <v>275</v>
      </c>
      <c r="BS210" s="18">
        <v>4</v>
      </c>
      <c r="BT210" s="12"/>
      <c r="BU210" s="2"/>
      <c r="BV210" s="2"/>
      <c r="BW210" s="2"/>
      <c r="BX210" s="2" t="s">
        <v>86</v>
      </c>
      <c r="BY210" s="2" t="s">
        <v>234</v>
      </c>
      <c r="BZ210" s="2"/>
      <c r="CA210" s="9" t="s">
        <v>233</v>
      </c>
      <c r="CB210" s="5" t="s">
        <v>626</v>
      </c>
    </row>
    <row r="211" spans="1:80" ht="15" x14ac:dyDescent="0.25">
      <c r="A211" s="167"/>
      <c r="B211" s="642"/>
      <c r="C211" s="642"/>
      <c r="D211" s="179"/>
      <c r="E211" s="169"/>
      <c r="F211" s="169"/>
      <c r="G211" s="186"/>
      <c r="H211" s="187"/>
      <c r="I211" s="187"/>
      <c r="J211" s="187"/>
      <c r="K211" s="187"/>
      <c r="L211" s="647"/>
      <c r="M211" s="646">
        <v>33750</v>
      </c>
      <c r="N211" s="585">
        <v>0.55000000000000004</v>
      </c>
      <c r="O211" s="585">
        <v>2.2000000000000001E-4</v>
      </c>
      <c r="P211" s="175">
        <v>0</v>
      </c>
      <c r="Q211" s="175">
        <v>0</v>
      </c>
      <c r="R211" s="175">
        <v>0</v>
      </c>
      <c r="S211" s="175">
        <v>0</v>
      </c>
      <c r="T211" s="175">
        <v>0</v>
      </c>
      <c r="U211" s="175">
        <v>5.0000000000000002E-5</v>
      </c>
      <c r="V211" s="706">
        <v>1.7000000000000001E-4</v>
      </c>
      <c r="W211" s="714"/>
      <c r="X211" s="715"/>
      <c r="Y211" s="716"/>
      <c r="Z211" s="709">
        <v>0</v>
      </c>
      <c r="AA211" s="175"/>
      <c r="AB211" s="192"/>
      <c r="AC211" s="205">
        <v>2.1000000000000001E-2</v>
      </c>
      <c r="AD211" s="175">
        <v>6.4</v>
      </c>
      <c r="AE211" s="175">
        <v>0.16</v>
      </c>
      <c r="AF211" s="168">
        <f>AE211*AD211</f>
        <v>1.024</v>
      </c>
      <c r="AG211" s="175">
        <v>0.55000000000000004</v>
      </c>
      <c r="AH211" s="334"/>
      <c r="AI211" s="188"/>
      <c r="AJ211" s="188"/>
      <c r="AK211" s="188"/>
      <c r="AL211" s="189"/>
      <c r="AM211" s="189"/>
      <c r="AN211" s="189"/>
      <c r="AO211" s="189"/>
      <c r="AP211" s="189"/>
      <c r="AQ211" s="189"/>
      <c r="AR211" s="189"/>
      <c r="AS211" s="189"/>
      <c r="AT211" s="189"/>
      <c r="AU211" s="190"/>
      <c r="AV211" s="190"/>
      <c r="AW211" s="190"/>
      <c r="AX211" s="190"/>
      <c r="AY211" s="190"/>
      <c r="AZ211" s="189"/>
      <c r="BA211" s="189"/>
      <c r="BB211" s="189"/>
      <c r="BC211" s="189"/>
      <c r="BD211" s="189"/>
      <c r="BE211" s="189"/>
      <c r="BF211" s="189"/>
      <c r="BG211" s="189"/>
      <c r="BH211" s="189"/>
      <c r="BI211" s="190"/>
      <c r="BJ211" s="190"/>
      <c r="BK211" s="190"/>
      <c r="BL211" s="190"/>
      <c r="BM211" s="190"/>
      <c r="BN211" s="191"/>
      <c r="BO211" s="191"/>
      <c r="BP211" s="191"/>
      <c r="BQ211" s="191"/>
      <c r="BR211" s="191"/>
      <c r="BS211" s="191"/>
      <c r="BT211" s="190"/>
      <c r="BU211" s="190"/>
      <c r="BV211" s="190"/>
      <c r="BW211" s="190"/>
      <c r="BX211" s="190"/>
      <c r="BY211" s="190"/>
      <c r="BZ211" s="190"/>
      <c r="CA211" s="189"/>
      <c r="CB211" s="15" t="s">
        <v>625</v>
      </c>
    </row>
    <row r="212" spans="1:80" ht="15" x14ac:dyDescent="0.25">
      <c r="A212" s="167"/>
      <c r="B212" s="642"/>
      <c r="C212" s="642"/>
      <c r="D212" s="179"/>
      <c r="E212" s="169"/>
      <c r="F212" s="169"/>
      <c r="G212" s="186"/>
      <c r="H212" s="187"/>
      <c r="I212" s="187"/>
      <c r="J212" s="187"/>
      <c r="K212" s="187"/>
      <c r="L212" s="647"/>
      <c r="M212" s="646">
        <v>33751</v>
      </c>
      <c r="N212" s="585">
        <v>0.53</v>
      </c>
      <c r="O212" s="585">
        <v>7.7299999999999999E-3</v>
      </c>
      <c r="P212" s="175">
        <v>0</v>
      </c>
      <c r="Q212" s="175">
        <v>0</v>
      </c>
      <c r="R212" s="175">
        <v>0</v>
      </c>
      <c r="S212" s="175">
        <v>2.0899999999999998E-3</v>
      </c>
      <c r="T212" s="175">
        <v>9.6000000000000002E-4</v>
      </c>
      <c r="U212" s="175">
        <v>1.1199999999999999E-3</v>
      </c>
      <c r="V212" s="706">
        <v>3.5599999999999998E-3</v>
      </c>
      <c r="W212" s="717"/>
      <c r="X212" s="713"/>
      <c r="Y212" s="718"/>
      <c r="Z212" s="709">
        <v>0</v>
      </c>
      <c r="AA212" s="175"/>
      <c r="AB212" s="192"/>
      <c r="AC212" s="205">
        <v>2.1000000000000001E-2</v>
      </c>
      <c r="AD212" s="175">
        <v>6.5</v>
      </c>
      <c r="AE212" s="175">
        <v>0.16</v>
      </c>
      <c r="AF212" s="168">
        <f t="shared" ref="AF212:AF275" si="4">AE212*AD212</f>
        <v>1.04</v>
      </c>
      <c r="AG212" s="175">
        <v>0.51</v>
      </c>
      <c r="AH212" s="334"/>
      <c r="AI212" s="188"/>
      <c r="AJ212" s="188"/>
      <c r="AK212" s="188"/>
      <c r="AL212" s="189"/>
      <c r="AM212" s="189"/>
      <c r="AN212" s="189"/>
      <c r="AO212" s="189"/>
      <c r="AP212" s="189"/>
      <c r="AQ212" s="189"/>
      <c r="AR212" s="189"/>
      <c r="AS212" s="189"/>
      <c r="AT212" s="189"/>
      <c r="AU212" s="190"/>
      <c r="AV212" s="190"/>
      <c r="AW212" s="190"/>
      <c r="AX212" s="190"/>
      <c r="AY212" s="190"/>
      <c r="AZ212" s="189"/>
      <c r="BA212" s="189"/>
      <c r="BB212" s="189"/>
      <c r="BC212" s="189"/>
      <c r="BD212" s="189"/>
      <c r="BE212" s="189"/>
      <c r="BF212" s="189"/>
      <c r="BG212" s="189"/>
      <c r="BH212" s="189"/>
      <c r="BI212" s="190"/>
      <c r="BJ212" s="190"/>
      <c r="BK212" s="190"/>
      <c r="BL212" s="190"/>
      <c r="BM212" s="190"/>
      <c r="BN212" s="191"/>
      <c r="BO212" s="191"/>
      <c r="BP212" s="191"/>
      <c r="BQ212" s="191"/>
      <c r="BR212" s="191"/>
      <c r="BS212" s="191"/>
      <c r="BT212" s="190"/>
      <c r="BU212" s="190"/>
      <c r="BV212" s="190"/>
      <c r="BW212" s="190"/>
      <c r="BX212" s="190"/>
      <c r="BY212" s="190"/>
      <c r="BZ212" s="190"/>
      <c r="CA212" s="189"/>
      <c r="CB212" s="15" t="s">
        <v>627</v>
      </c>
    </row>
    <row r="213" spans="1:80" ht="15" x14ac:dyDescent="0.2">
      <c r="A213" s="167"/>
      <c r="B213" s="642"/>
      <c r="C213" s="642"/>
      <c r="D213" s="179"/>
      <c r="E213" s="169"/>
      <c r="F213" s="169"/>
      <c r="G213" s="186"/>
      <c r="H213" s="187"/>
      <c r="I213" s="187"/>
      <c r="J213" s="187"/>
      <c r="K213" s="187"/>
      <c r="L213" s="647"/>
      <c r="M213" s="646">
        <v>33752</v>
      </c>
      <c r="N213" s="585">
        <v>0.66</v>
      </c>
      <c r="O213" s="585">
        <v>8.8999999999999995E-4</v>
      </c>
      <c r="P213" s="175">
        <v>0</v>
      </c>
      <c r="Q213" s="175">
        <v>0</v>
      </c>
      <c r="R213" s="175">
        <v>0</v>
      </c>
      <c r="S213" s="175">
        <v>0</v>
      </c>
      <c r="T213" s="175">
        <v>9.0000000000000006E-5</v>
      </c>
      <c r="U213" s="175">
        <v>1.6000000000000001E-4</v>
      </c>
      <c r="V213" s="706">
        <v>6.4000000000000005E-4</v>
      </c>
      <c r="W213" s="717"/>
      <c r="X213" s="713"/>
      <c r="Y213" s="718"/>
      <c r="Z213" s="709">
        <v>0</v>
      </c>
      <c r="AA213" s="175"/>
      <c r="AB213" s="192"/>
      <c r="AC213" s="205">
        <v>2.1000000000000001E-2</v>
      </c>
      <c r="AD213" s="175">
        <v>6.5</v>
      </c>
      <c r="AE213" s="175">
        <v>0.19</v>
      </c>
      <c r="AF213" s="168">
        <f t="shared" si="4"/>
        <v>1.2350000000000001</v>
      </c>
      <c r="AG213" s="175">
        <v>0.54</v>
      </c>
      <c r="AH213" s="334"/>
      <c r="AI213" s="188"/>
      <c r="AJ213" s="188"/>
      <c r="AK213" s="188"/>
      <c r="AL213" s="189"/>
      <c r="AM213" s="189"/>
      <c r="AN213" s="189"/>
      <c r="AO213" s="189"/>
      <c r="AP213" s="189"/>
      <c r="AQ213" s="189"/>
      <c r="AR213" s="189"/>
      <c r="AS213" s="189"/>
      <c r="AT213" s="189"/>
      <c r="AU213" s="190"/>
      <c r="AV213" s="190"/>
      <c r="AW213" s="190"/>
      <c r="AX213" s="190"/>
      <c r="AY213" s="190"/>
      <c r="AZ213" s="189"/>
      <c r="BA213" s="189"/>
      <c r="BB213" s="189"/>
      <c r="BC213" s="189"/>
      <c r="BD213" s="189"/>
      <c r="BE213" s="189"/>
      <c r="BF213" s="189"/>
      <c r="BG213" s="189"/>
      <c r="BH213" s="189"/>
      <c r="BI213" s="190"/>
      <c r="BJ213" s="190"/>
      <c r="BK213" s="190"/>
      <c r="BL213" s="190"/>
      <c r="BM213" s="190"/>
      <c r="BN213" s="191"/>
      <c r="BO213" s="191"/>
      <c r="BP213" s="191"/>
      <c r="BQ213" s="191"/>
      <c r="BR213" s="191"/>
      <c r="BS213" s="191"/>
      <c r="BT213" s="190"/>
      <c r="BU213" s="190"/>
      <c r="BV213" s="190"/>
      <c r="BW213" s="190"/>
      <c r="BX213" s="190"/>
      <c r="BY213" s="190"/>
      <c r="BZ213" s="190"/>
      <c r="CA213" s="189"/>
      <c r="CB213" s="485" t="s">
        <v>638</v>
      </c>
    </row>
    <row r="214" spans="1:80" ht="15" x14ac:dyDescent="0.25">
      <c r="A214" s="167"/>
      <c r="B214" s="642"/>
      <c r="C214" s="642"/>
      <c r="D214" s="179"/>
      <c r="E214" s="169"/>
      <c r="F214" s="169"/>
      <c r="G214" s="186"/>
      <c r="H214" s="187"/>
      <c r="I214" s="187"/>
      <c r="J214" s="187"/>
      <c r="K214" s="187"/>
      <c r="L214" s="647"/>
      <c r="M214" s="646">
        <v>33753</v>
      </c>
      <c r="N214" s="585">
        <v>0.62</v>
      </c>
      <c r="O214" s="585">
        <v>1.4300000000000001E-3</v>
      </c>
      <c r="P214" s="175">
        <v>0</v>
      </c>
      <c r="Q214" s="175">
        <v>0</v>
      </c>
      <c r="R214" s="175">
        <v>0</v>
      </c>
      <c r="S214" s="175">
        <v>0</v>
      </c>
      <c r="T214" s="175">
        <v>4.0000000000000003E-5</v>
      </c>
      <c r="U214" s="175">
        <v>3.5E-4</v>
      </c>
      <c r="V214" s="706">
        <v>1.0399999999999999E-3</v>
      </c>
      <c r="W214" s="717"/>
      <c r="X214" s="713"/>
      <c r="Y214" s="718"/>
      <c r="Z214" s="709">
        <v>0</v>
      </c>
      <c r="AA214" s="175"/>
      <c r="AB214" s="192"/>
      <c r="AC214" s="205">
        <v>2.1000000000000001E-2</v>
      </c>
      <c r="AD214" s="175">
        <v>6.4</v>
      </c>
      <c r="AE214" s="175">
        <v>0.18</v>
      </c>
      <c r="AF214" s="168">
        <f t="shared" si="4"/>
        <v>1.1519999999999999</v>
      </c>
      <c r="AG214" s="175">
        <v>0.54</v>
      </c>
      <c r="AH214" s="334"/>
      <c r="AI214" s="188"/>
      <c r="AJ214" s="188"/>
      <c r="AK214" s="188"/>
      <c r="AL214" s="189"/>
      <c r="AM214" s="189"/>
      <c r="AN214" s="189"/>
      <c r="AO214" s="189"/>
      <c r="AP214" s="189"/>
      <c r="AQ214" s="189"/>
      <c r="AR214" s="189"/>
      <c r="AS214" s="189"/>
      <c r="AT214" s="189"/>
      <c r="AU214" s="190"/>
      <c r="AV214" s="190"/>
      <c r="AW214" s="190"/>
      <c r="AX214" s="190"/>
      <c r="AY214" s="190"/>
      <c r="AZ214" s="189"/>
      <c r="BA214" s="189"/>
      <c r="BB214" s="189"/>
      <c r="BC214" s="189"/>
      <c r="BD214" s="189"/>
      <c r="BE214" s="189"/>
      <c r="BF214" s="189"/>
      <c r="BG214" s="189"/>
      <c r="BH214" s="189"/>
      <c r="BI214" s="190"/>
      <c r="BJ214" s="190"/>
      <c r="BK214" s="190"/>
      <c r="BL214" s="190"/>
      <c r="BM214" s="190"/>
      <c r="BN214" s="191"/>
      <c r="BO214" s="191"/>
      <c r="BP214" s="191"/>
      <c r="BQ214" s="191"/>
      <c r="BR214" s="191"/>
      <c r="BS214" s="191"/>
      <c r="BT214" s="190"/>
      <c r="BU214" s="190"/>
      <c r="BV214" s="190"/>
      <c r="BW214" s="190"/>
      <c r="BX214" s="190"/>
      <c r="BY214" s="190"/>
      <c r="BZ214" s="190"/>
      <c r="CA214" s="189"/>
      <c r="CB214" s="15"/>
    </row>
    <row r="215" spans="1:80" ht="15" x14ac:dyDescent="0.25">
      <c r="A215" s="167"/>
      <c r="B215" s="642"/>
      <c r="C215" s="642"/>
      <c r="D215" s="179"/>
      <c r="E215" s="169"/>
      <c r="F215" s="169"/>
      <c r="G215" s="186"/>
      <c r="H215" s="187"/>
      <c r="I215" s="187"/>
      <c r="J215" s="187"/>
      <c r="K215" s="187"/>
      <c r="L215" s="647"/>
      <c r="M215" s="646">
        <v>33753</v>
      </c>
      <c r="N215" s="585">
        <v>0.63</v>
      </c>
      <c r="O215" s="585">
        <v>4.8599999999999997E-3</v>
      </c>
      <c r="P215" s="175">
        <v>0</v>
      </c>
      <c r="Q215" s="175">
        <v>0</v>
      </c>
      <c r="R215" s="175">
        <v>0</v>
      </c>
      <c r="S215" s="175">
        <v>0</v>
      </c>
      <c r="T215" s="175">
        <v>3.3E-4</v>
      </c>
      <c r="U215" s="175">
        <v>1.81E-3</v>
      </c>
      <c r="V215" s="706">
        <v>2.7200000000000002E-3</v>
      </c>
      <c r="W215" s="717"/>
      <c r="X215" s="713"/>
      <c r="Y215" s="718"/>
      <c r="Z215" s="709">
        <v>0</v>
      </c>
      <c r="AA215" s="175"/>
      <c r="AB215" s="192"/>
      <c r="AC215" s="205">
        <v>2.1000000000000001E-2</v>
      </c>
      <c r="AD215" s="175">
        <v>6.5</v>
      </c>
      <c r="AE215" s="175">
        <v>0.17</v>
      </c>
      <c r="AF215" s="168">
        <f t="shared" si="4"/>
        <v>1.105</v>
      </c>
      <c r="AG215" s="175">
        <v>0.56999999999999995</v>
      </c>
      <c r="AH215" s="334"/>
      <c r="AI215" s="188"/>
      <c r="AJ215" s="188"/>
      <c r="AK215" s="188"/>
      <c r="AL215" s="189"/>
      <c r="AM215" s="189"/>
      <c r="AN215" s="189"/>
      <c r="AO215" s="189"/>
      <c r="AP215" s="189"/>
      <c r="AQ215" s="189"/>
      <c r="AR215" s="189"/>
      <c r="AS215" s="189"/>
      <c r="AT215" s="189"/>
      <c r="AU215" s="190"/>
      <c r="AV215" s="190"/>
      <c r="AW215" s="190"/>
      <c r="AX215" s="190"/>
      <c r="AY215" s="190"/>
      <c r="AZ215" s="189"/>
      <c r="BA215" s="189"/>
      <c r="BB215" s="189"/>
      <c r="BC215" s="189"/>
      <c r="BD215" s="189"/>
      <c r="BE215" s="189"/>
      <c r="BF215" s="189"/>
      <c r="BG215" s="189"/>
      <c r="BH215" s="189"/>
      <c r="BI215" s="190"/>
      <c r="BJ215" s="190"/>
      <c r="BK215" s="190"/>
      <c r="BL215" s="190"/>
      <c r="BM215" s="190"/>
      <c r="BN215" s="191"/>
      <c r="BO215" s="191"/>
      <c r="BP215" s="191"/>
      <c r="BQ215" s="191"/>
      <c r="BR215" s="191"/>
      <c r="BS215" s="191"/>
      <c r="BT215" s="190"/>
      <c r="BU215" s="190"/>
      <c r="BV215" s="190"/>
      <c r="BW215" s="190"/>
      <c r="BX215" s="190"/>
      <c r="BY215" s="190"/>
      <c r="BZ215" s="190"/>
      <c r="CA215" s="189"/>
      <c r="CB215" s="15"/>
    </row>
    <row r="216" spans="1:80" ht="15" x14ac:dyDescent="0.25">
      <c r="A216" s="167"/>
      <c r="B216" s="642"/>
      <c r="C216" s="642"/>
      <c r="D216" s="179"/>
      <c r="E216" s="169"/>
      <c r="F216" s="169"/>
      <c r="G216" s="186"/>
      <c r="H216" s="187"/>
      <c r="I216" s="187"/>
      <c r="J216" s="187"/>
      <c r="K216" s="187"/>
      <c r="L216" s="647"/>
      <c r="M216" s="646">
        <v>33754</v>
      </c>
      <c r="N216" s="585">
        <v>0.62</v>
      </c>
      <c r="O216" s="585">
        <v>5.1999999999999995E-4</v>
      </c>
      <c r="P216" s="175">
        <v>0</v>
      </c>
      <c r="Q216" s="175">
        <v>0</v>
      </c>
      <c r="R216" s="175">
        <v>0</v>
      </c>
      <c r="S216" s="175">
        <v>1.4999999999999999E-4</v>
      </c>
      <c r="T216" s="175">
        <v>2.0000000000000002E-5</v>
      </c>
      <c r="U216" s="175">
        <v>6.9999999999999994E-5</v>
      </c>
      <c r="V216" s="706">
        <v>2.7E-4</v>
      </c>
      <c r="W216" s="717"/>
      <c r="X216" s="713"/>
      <c r="Y216" s="718"/>
      <c r="Z216" s="709">
        <v>0</v>
      </c>
      <c r="AA216" s="175"/>
      <c r="AB216" s="192"/>
      <c r="AC216" s="205">
        <v>2.1000000000000001E-2</v>
      </c>
      <c r="AD216" s="175">
        <v>6.4</v>
      </c>
      <c r="AE216" s="175">
        <v>0.17</v>
      </c>
      <c r="AF216" s="168">
        <f t="shared" si="4"/>
        <v>1.0880000000000001</v>
      </c>
      <c r="AG216" s="175">
        <v>0.56000000000000005</v>
      </c>
      <c r="AH216" s="334"/>
      <c r="AI216" s="188"/>
      <c r="AJ216" s="188"/>
      <c r="AK216" s="188"/>
      <c r="AL216" s="189"/>
      <c r="AM216" s="189"/>
      <c r="AN216" s="189"/>
      <c r="AO216" s="189"/>
      <c r="AP216" s="189"/>
      <c r="AQ216" s="189"/>
      <c r="AR216" s="189"/>
      <c r="AS216" s="189"/>
      <c r="AT216" s="189"/>
      <c r="AU216" s="190"/>
      <c r="AV216" s="190"/>
      <c r="AW216" s="190"/>
      <c r="AX216" s="190"/>
      <c r="AY216" s="190"/>
      <c r="AZ216" s="189"/>
      <c r="BA216" s="189"/>
      <c r="BB216" s="189"/>
      <c r="BC216" s="189"/>
      <c r="BD216" s="189"/>
      <c r="BE216" s="189"/>
      <c r="BF216" s="189"/>
      <c r="BG216" s="189"/>
      <c r="BH216" s="189"/>
      <c r="BI216" s="190"/>
      <c r="BJ216" s="190"/>
      <c r="BK216" s="190"/>
      <c r="BL216" s="190"/>
      <c r="BM216" s="190"/>
      <c r="BN216" s="191"/>
      <c r="BO216" s="191"/>
      <c r="BP216" s="191"/>
      <c r="BQ216" s="191"/>
      <c r="BR216" s="191"/>
      <c r="BS216" s="191"/>
      <c r="BT216" s="190"/>
      <c r="BU216" s="190"/>
      <c r="BV216" s="190"/>
      <c r="BW216" s="190"/>
      <c r="BX216" s="190"/>
      <c r="BY216" s="190"/>
      <c r="BZ216" s="190"/>
      <c r="CA216" s="189"/>
      <c r="CB216" s="15"/>
    </row>
    <row r="217" spans="1:80" ht="15" x14ac:dyDescent="0.25">
      <c r="A217" s="167"/>
      <c r="B217" s="642"/>
      <c r="C217" s="642"/>
      <c r="D217" s="179"/>
      <c r="E217" s="169"/>
      <c r="F217" s="169"/>
      <c r="G217" s="186"/>
      <c r="H217" s="187"/>
      <c r="I217" s="187"/>
      <c r="J217" s="187"/>
      <c r="K217" s="187"/>
      <c r="L217" s="647"/>
      <c r="M217" s="646">
        <v>33757</v>
      </c>
      <c r="N217" s="585">
        <v>0.64</v>
      </c>
      <c r="O217" s="585">
        <v>2.2000000000000001E-4</v>
      </c>
      <c r="P217" s="175">
        <v>0</v>
      </c>
      <c r="Q217" s="175">
        <v>0</v>
      </c>
      <c r="R217" s="175">
        <v>0</v>
      </c>
      <c r="S217" s="175">
        <v>0</v>
      </c>
      <c r="T217" s="175">
        <v>0</v>
      </c>
      <c r="U217" s="175">
        <v>4.0000000000000003E-5</v>
      </c>
      <c r="V217" s="706">
        <v>1.8000000000000001E-4</v>
      </c>
      <c r="W217" s="717"/>
      <c r="X217" s="713"/>
      <c r="Y217" s="718"/>
      <c r="Z217" s="709">
        <v>0</v>
      </c>
      <c r="AA217" s="175"/>
      <c r="AB217" s="192"/>
      <c r="AC217" s="205">
        <v>2.1000000000000001E-2</v>
      </c>
      <c r="AD217" s="175">
        <v>6.55</v>
      </c>
      <c r="AE217" s="175">
        <v>0.18</v>
      </c>
      <c r="AF217" s="168">
        <f t="shared" si="4"/>
        <v>1.1789999999999998</v>
      </c>
      <c r="AG217" s="175">
        <v>0.55000000000000004</v>
      </c>
      <c r="AH217" s="334"/>
      <c r="AI217" s="188"/>
      <c r="AJ217" s="188"/>
      <c r="AK217" s="188"/>
      <c r="AL217" s="189"/>
      <c r="AM217" s="189"/>
      <c r="AN217" s="189"/>
      <c r="AO217" s="189"/>
      <c r="AP217" s="189"/>
      <c r="AQ217" s="189"/>
      <c r="AR217" s="189"/>
      <c r="AS217" s="189"/>
      <c r="AT217" s="189"/>
      <c r="AU217" s="190"/>
      <c r="AV217" s="190"/>
      <c r="AW217" s="190"/>
      <c r="AX217" s="190"/>
      <c r="AY217" s="190"/>
      <c r="AZ217" s="189"/>
      <c r="BA217" s="189"/>
      <c r="BB217" s="189"/>
      <c r="BC217" s="189"/>
      <c r="BD217" s="189"/>
      <c r="BE217" s="189"/>
      <c r="BF217" s="189"/>
      <c r="BG217" s="189"/>
      <c r="BH217" s="189"/>
      <c r="BI217" s="190"/>
      <c r="BJ217" s="190"/>
      <c r="BK217" s="190"/>
      <c r="BL217" s="190"/>
      <c r="BM217" s="190"/>
      <c r="BN217" s="191"/>
      <c r="BO217" s="191"/>
      <c r="BP217" s="191"/>
      <c r="BQ217" s="191"/>
      <c r="BR217" s="191"/>
      <c r="BS217" s="191"/>
      <c r="BT217" s="190"/>
      <c r="BU217" s="190"/>
      <c r="BV217" s="190"/>
      <c r="BW217" s="190"/>
      <c r="BX217" s="190"/>
      <c r="BY217" s="190"/>
      <c r="BZ217" s="190"/>
      <c r="CA217" s="189"/>
      <c r="CB217" s="15"/>
    </row>
    <row r="218" spans="1:80" ht="15" x14ac:dyDescent="0.25">
      <c r="A218" s="167"/>
      <c r="B218" s="642"/>
      <c r="C218" s="642"/>
      <c r="D218" s="179"/>
      <c r="E218" s="169"/>
      <c r="F218" s="169"/>
      <c r="G218" s="186"/>
      <c r="H218" s="187"/>
      <c r="I218" s="187"/>
      <c r="J218" s="187"/>
      <c r="K218" s="187"/>
      <c r="L218" s="647"/>
      <c r="M218" s="646">
        <v>33758</v>
      </c>
      <c r="N218" s="585">
        <v>0.65</v>
      </c>
      <c r="O218" s="585">
        <v>2.5799999999999998E-3</v>
      </c>
      <c r="P218" s="175">
        <v>0</v>
      </c>
      <c r="Q218" s="175">
        <v>0</v>
      </c>
      <c r="R218" s="175">
        <v>0</v>
      </c>
      <c r="S218" s="175">
        <v>0</v>
      </c>
      <c r="T218" s="175">
        <v>2.5999999999999998E-4</v>
      </c>
      <c r="U218" s="175">
        <v>8.1999999999999998E-4</v>
      </c>
      <c r="V218" s="706">
        <v>1.5E-3</v>
      </c>
      <c r="W218" s="717"/>
      <c r="X218" s="713"/>
      <c r="Y218" s="718"/>
      <c r="Z218" s="709">
        <v>0</v>
      </c>
      <c r="AA218" s="175"/>
      <c r="AB218" s="192"/>
      <c r="AC218" s="205">
        <v>2.1000000000000001E-2</v>
      </c>
      <c r="AD218" s="175">
        <v>6.5</v>
      </c>
      <c r="AE218" s="175">
        <v>0.17</v>
      </c>
      <c r="AF218" s="168">
        <f t="shared" si="4"/>
        <v>1.105</v>
      </c>
      <c r="AG218" s="175">
        <v>0.57999999999999996</v>
      </c>
      <c r="AH218" s="334"/>
      <c r="AI218" s="188"/>
      <c r="AJ218" s="188"/>
      <c r="AK218" s="188"/>
      <c r="AL218" s="189"/>
      <c r="AM218" s="189"/>
      <c r="AN218" s="189"/>
      <c r="AO218" s="189"/>
      <c r="AP218" s="189"/>
      <c r="AQ218" s="189"/>
      <c r="AR218" s="189"/>
      <c r="AS218" s="189"/>
      <c r="AT218" s="189"/>
      <c r="AU218" s="190"/>
      <c r="AV218" s="190"/>
      <c r="AW218" s="190"/>
      <c r="AX218" s="190"/>
      <c r="AY218" s="190"/>
      <c r="AZ218" s="189"/>
      <c r="BA218" s="189"/>
      <c r="BB218" s="189"/>
      <c r="BC218" s="189"/>
      <c r="BD218" s="189"/>
      <c r="BE218" s="189"/>
      <c r="BF218" s="189"/>
      <c r="BG218" s="189"/>
      <c r="BH218" s="189"/>
      <c r="BI218" s="190"/>
      <c r="BJ218" s="190"/>
      <c r="BK218" s="190"/>
      <c r="BL218" s="190"/>
      <c r="BM218" s="190"/>
      <c r="BN218" s="191"/>
      <c r="BO218" s="191"/>
      <c r="BP218" s="191"/>
      <c r="BQ218" s="191"/>
      <c r="BR218" s="191"/>
      <c r="BS218" s="191"/>
      <c r="BT218" s="190"/>
      <c r="BU218" s="190"/>
      <c r="BV218" s="190"/>
      <c r="BW218" s="190"/>
      <c r="BX218" s="190"/>
      <c r="BY218" s="190"/>
      <c r="BZ218" s="190"/>
      <c r="CA218" s="189"/>
      <c r="CB218" s="15"/>
    </row>
    <row r="219" spans="1:80" ht="15" x14ac:dyDescent="0.25">
      <c r="A219" s="167"/>
      <c r="B219" s="642"/>
      <c r="C219" s="642"/>
      <c r="D219" s="179"/>
      <c r="E219" s="169"/>
      <c r="F219" s="169"/>
      <c r="G219" s="186"/>
      <c r="H219" s="187"/>
      <c r="I219" s="187"/>
      <c r="J219" s="187"/>
      <c r="K219" s="187"/>
      <c r="L219" s="647"/>
      <c r="M219" s="646">
        <v>33759</v>
      </c>
      <c r="N219" s="585">
        <v>0.72</v>
      </c>
      <c r="O219" s="585">
        <v>1.3089999999999999E-2</v>
      </c>
      <c r="P219" s="175">
        <v>0</v>
      </c>
      <c r="Q219" s="175">
        <v>0</v>
      </c>
      <c r="R219" s="175">
        <v>1.2700000000000001E-3</v>
      </c>
      <c r="S219" s="175">
        <v>2.0300000000000001E-3</v>
      </c>
      <c r="T219" s="175">
        <v>2.0200000000000001E-3</v>
      </c>
      <c r="U219" s="175">
        <v>2.8300000000000001E-3</v>
      </c>
      <c r="V219" s="706">
        <v>4.9399999999999999E-3</v>
      </c>
      <c r="W219" s="717"/>
      <c r="X219" s="713"/>
      <c r="Y219" s="718"/>
      <c r="Z219" s="709">
        <v>0</v>
      </c>
      <c r="AA219" s="175"/>
      <c r="AB219" s="192"/>
      <c r="AC219" s="205">
        <v>2.1000000000000001E-2</v>
      </c>
      <c r="AD219" s="175">
        <v>6.5</v>
      </c>
      <c r="AE219" s="175">
        <v>0.18</v>
      </c>
      <c r="AF219" s="168">
        <f t="shared" si="4"/>
        <v>1.17</v>
      </c>
      <c r="AG219" s="175">
        <v>0.61</v>
      </c>
      <c r="AH219" s="334"/>
      <c r="AI219" s="188"/>
      <c r="AJ219" s="188"/>
      <c r="AK219" s="188"/>
      <c r="AL219" s="189"/>
      <c r="AM219" s="189"/>
      <c r="AN219" s="189"/>
      <c r="AO219" s="189"/>
      <c r="AP219" s="189"/>
      <c r="AQ219" s="189"/>
      <c r="AR219" s="189"/>
      <c r="AS219" s="189"/>
      <c r="AT219" s="189"/>
      <c r="AU219" s="190"/>
      <c r="AV219" s="190"/>
      <c r="AW219" s="190"/>
      <c r="AX219" s="190"/>
      <c r="AY219" s="190"/>
      <c r="AZ219" s="189"/>
      <c r="BA219" s="189"/>
      <c r="BB219" s="189"/>
      <c r="BC219" s="189"/>
      <c r="BD219" s="189"/>
      <c r="BE219" s="189"/>
      <c r="BF219" s="189"/>
      <c r="BG219" s="189"/>
      <c r="BH219" s="189"/>
      <c r="BI219" s="190"/>
      <c r="BJ219" s="190"/>
      <c r="BK219" s="190"/>
      <c r="BL219" s="190"/>
      <c r="BM219" s="190"/>
      <c r="BN219" s="191"/>
      <c r="BO219" s="191"/>
      <c r="BP219" s="191"/>
      <c r="BQ219" s="191"/>
      <c r="BR219" s="191"/>
      <c r="BS219" s="191"/>
      <c r="BT219" s="190"/>
      <c r="BU219" s="190"/>
      <c r="BV219" s="190"/>
      <c r="BW219" s="190"/>
      <c r="BX219" s="190"/>
      <c r="BY219" s="190"/>
      <c r="BZ219" s="190"/>
      <c r="CA219" s="189"/>
      <c r="CB219" s="15"/>
    </row>
    <row r="220" spans="1:80" ht="15" x14ac:dyDescent="0.25">
      <c r="A220" s="167"/>
      <c r="B220" s="642"/>
      <c r="C220" s="642"/>
      <c r="D220" s="179"/>
      <c r="E220" s="169"/>
      <c r="F220" s="169"/>
      <c r="G220" s="186"/>
      <c r="H220" s="187"/>
      <c r="I220" s="187"/>
      <c r="J220" s="187"/>
      <c r="K220" s="187"/>
      <c r="L220" s="647"/>
      <c r="M220" s="646">
        <v>33761</v>
      </c>
      <c r="N220" s="585">
        <v>0.64</v>
      </c>
      <c r="O220" s="585">
        <v>2.8400000000000001E-3</v>
      </c>
      <c r="P220" s="175">
        <v>0</v>
      </c>
      <c r="Q220" s="175">
        <v>0</v>
      </c>
      <c r="R220" s="175">
        <v>0</v>
      </c>
      <c r="S220" s="175">
        <v>0</v>
      </c>
      <c r="T220" s="175">
        <v>1.6000000000000001E-4</v>
      </c>
      <c r="U220" s="175">
        <v>6.3000000000000003E-4</v>
      </c>
      <c r="V220" s="706">
        <v>2.0600000000000002E-3</v>
      </c>
      <c r="W220" s="717"/>
      <c r="X220" s="713"/>
      <c r="Y220" s="718"/>
      <c r="Z220" s="709">
        <v>0</v>
      </c>
      <c r="AA220" s="175"/>
      <c r="AB220" s="192"/>
      <c r="AC220" s="205">
        <v>2.1000000000000001E-2</v>
      </c>
      <c r="AD220" s="175">
        <v>6.6</v>
      </c>
      <c r="AE220" s="175">
        <v>0.17</v>
      </c>
      <c r="AF220" s="168">
        <f t="shared" si="4"/>
        <v>1.1220000000000001</v>
      </c>
      <c r="AG220" s="175">
        <v>0.57999999999999996</v>
      </c>
      <c r="AH220" s="334"/>
      <c r="AI220" s="188"/>
      <c r="AJ220" s="188"/>
      <c r="AK220" s="188"/>
      <c r="AL220" s="189"/>
      <c r="AM220" s="189"/>
      <c r="AN220" s="189"/>
      <c r="AO220" s="189"/>
      <c r="AP220" s="189"/>
      <c r="AQ220" s="189"/>
      <c r="AR220" s="189"/>
      <c r="AS220" s="189"/>
      <c r="AT220" s="189"/>
      <c r="AU220" s="190"/>
      <c r="AV220" s="190"/>
      <c r="AW220" s="190"/>
      <c r="AX220" s="190"/>
      <c r="AY220" s="190"/>
      <c r="AZ220" s="189"/>
      <c r="BA220" s="189"/>
      <c r="BB220" s="189"/>
      <c r="BC220" s="189"/>
      <c r="BD220" s="189"/>
      <c r="BE220" s="189"/>
      <c r="BF220" s="189"/>
      <c r="BG220" s="189"/>
      <c r="BH220" s="189"/>
      <c r="BI220" s="190"/>
      <c r="BJ220" s="190"/>
      <c r="BK220" s="190"/>
      <c r="BL220" s="190"/>
      <c r="BM220" s="190"/>
      <c r="BN220" s="191"/>
      <c r="BO220" s="191"/>
      <c r="BP220" s="191"/>
      <c r="BQ220" s="191"/>
      <c r="BR220" s="191"/>
      <c r="BS220" s="191"/>
      <c r="BT220" s="190"/>
      <c r="BU220" s="190"/>
      <c r="BV220" s="190"/>
      <c r="BW220" s="190"/>
      <c r="BX220" s="190"/>
      <c r="BY220" s="190"/>
      <c r="BZ220" s="190"/>
      <c r="CA220" s="189"/>
      <c r="CB220" s="15"/>
    </row>
    <row r="221" spans="1:80" ht="15" x14ac:dyDescent="0.25">
      <c r="A221" s="167"/>
      <c r="B221" s="642"/>
      <c r="C221" s="642"/>
      <c r="D221" s="179"/>
      <c r="E221" s="169"/>
      <c r="F221" s="169"/>
      <c r="G221" s="186"/>
      <c r="H221" s="187"/>
      <c r="I221" s="187"/>
      <c r="J221" s="187"/>
      <c r="K221" s="187"/>
      <c r="L221" s="647"/>
      <c r="M221" s="646">
        <v>33762</v>
      </c>
      <c r="N221" s="585">
        <v>1.1499999999999999</v>
      </c>
      <c r="O221" s="585">
        <v>6.43E-3</v>
      </c>
      <c r="P221" s="175">
        <v>0</v>
      </c>
      <c r="Q221" s="175">
        <v>0</v>
      </c>
      <c r="R221" s="175">
        <v>0</v>
      </c>
      <c r="S221" s="175">
        <v>0</v>
      </c>
      <c r="T221" s="175">
        <v>2.1000000000000001E-4</v>
      </c>
      <c r="U221" s="175">
        <v>1.47E-3</v>
      </c>
      <c r="V221" s="706">
        <v>4.7600000000000003E-3</v>
      </c>
      <c r="W221" s="717"/>
      <c r="X221" s="713"/>
      <c r="Y221" s="718"/>
      <c r="Z221" s="709">
        <v>0</v>
      </c>
      <c r="AA221" s="175"/>
      <c r="AB221" s="192"/>
      <c r="AC221" s="205">
        <v>2.1000000000000001E-2</v>
      </c>
      <c r="AD221" s="175">
        <v>6.95</v>
      </c>
      <c r="AE221" s="175">
        <v>0.22</v>
      </c>
      <c r="AF221" s="168">
        <f t="shared" si="4"/>
        <v>1.5290000000000001</v>
      </c>
      <c r="AG221" s="175">
        <v>0.75</v>
      </c>
      <c r="AH221" s="334"/>
      <c r="AI221" s="188"/>
      <c r="AJ221" s="188"/>
      <c r="AK221" s="188"/>
      <c r="AL221" s="189"/>
      <c r="AM221" s="189"/>
      <c r="AN221" s="189"/>
      <c r="AO221" s="189"/>
      <c r="AP221" s="189"/>
      <c r="AQ221" s="189"/>
      <c r="AR221" s="189"/>
      <c r="AS221" s="189"/>
      <c r="AT221" s="189"/>
      <c r="AU221" s="190"/>
      <c r="AV221" s="190"/>
      <c r="AW221" s="190"/>
      <c r="AX221" s="190"/>
      <c r="AY221" s="190"/>
      <c r="AZ221" s="189"/>
      <c r="BA221" s="189"/>
      <c r="BB221" s="189"/>
      <c r="BC221" s="189"/>
      <c r="BD221" s="189"/>
      <c r="BE221" s="189"/>
      <c r="BF221" s="189"/>
      <c r="BG221" s="189"/>
      <c r="BH221" s="189"/>
      <c r="BI221" s="190"/>
      <c r="BJ221" s="190"/>
      <c r="BK221" s="190"/>
      <c r="BL221" s="190"/>
      <c r="BM221" s="190"/>
      <c r="BN221" s="191"/>
      <c r="BO221" s="191"/>
      <c r="BP221" s="191"/>
      <c r="BQ221" s="191"/>
      <c r="BR221" s="191"/>
      <c r="BS221" s="191"/>
      <c r="BT221" s="190"/>
      <c r="BU221" s="190"/>
      <c r="BV221" s="190"/>
      <c r="BW221" s="190"/>
      <c r="BX221" s="190"/>
      <c r="BY221" s="190"/>
      <c r="BZ221" s="190"/>
      <c r="CA221" s="189"/>
      <c r="CB221" s="15"/>
    </row>
    <row r="222" spans="1:80" ht="15" x14ac:dyDescent="0.25">
      <c r="A222" s="167"/>
      <c r="B222" s="642"/>
      <c r="C222" s="642"/>
      <c r="D222" s="179"/>
      <c r="E222" s="169"/>
      <c r="F222" s="169"/>
      <c r="G222" s="186"/>
      <c r="H222" s="187"/>
      <c r="I222" s="187"/>
      <c r="J222" s="187"/>
      <c r="K222" s="187"/>
      <c r="L222" s="647"/>
      <c r="M222" s="646">
        <v>33765</v>
      </c>
      <c r="N222" s="585">
        <v>1.72</v>
      </c>
      <c r="O222" s="585">
        <v>6.7099999999999998E-3</v>
      </c>
      <c r="P222" s="175">
        <v>0</v>
      </c>
      <c r="Q222" s="175">
        <v>0</v>
      </c>
      <c r="R222" s="175">
        <v>0</v>
      </c>
      <c r="S222" s="175">
        <v>1.6000000000000001E-3</v>
      </c>
      <c r="T222" s="175">
        <v>4.0999999999999999E-4</v>
      </c>
      <c r="U222" s="175">
        <v>1.2199999999999999E-3</v>
      </c>
      <c r="V222" s="706">
        <v>3.47E-3</v>
      </c>
      <c r="W222" s="717"/>
      <c r="X222" s="713"/>
      <c r="Y222" s="718"/>
      <c r="Z222" s="709">
        <v>0</v>
      </c>
      <c r="AA222" s="175"/>
      <c r="AB222" s="192"/>
      <c r="AC222" s="205">
        <v>2.1000000000000001E-2</v>
      </c>
      <c r="AD222" s="175">
        <v>7.15</v>
      </c>
      <c r="AE222" s="175">
        <v>0.25</v>
      </c>
      <c r="AF222" s="168">
        <f t="shared" si="4"/>
        <v>1.7875000000000001</v>
      </c>
      <c r="AG222" s="175">
        <v>0.96</v>
      </c>
      <c r="AH222" s="334"/>
      <c r="AI222" s="188"/>
      <c r="AJ222" s="188"/>
      <c r="AK222" s="188"/>
      <c r="AL222" s="189"/>
      <c r="AM222" s="189"/>
      <c r="AN222" s="189"/>
      <c r="AO222" s="189"/>
      <c r="AP222" s="189"/>
      <c r="AQ222" s="189"/>
      <c r="AR222" s="189"/>
      <c r="AS222" s="189"/>
      <c r="AT222" s="189"/>
      <c r="AU222" s="190"/>
      <c r="AV222" s="190"/>
      <c r="AW222" s="190"/>
      <c r="AX222" s="190"/>
      <c r="AY222" s="190"/>
      <c r="AZ222" s="189"/>
      <c r="BA222" s="189"/>
      <c r="BB222" s="189"/>
      <c r="BC222" s="189"/>
      <c r="BD222" s="189"/>
      <c r="BE222" s="189"/>
      <c r="BF222" s="189"/>
      <c r="BG222" s="189"/>
      <c r="BH222" s="189"/>
      <c r="BI222" s="190"/>
      <c r="BJ222" s="190"/>
      <c r="BK222" s="190"/>
      <c r="BL222" s="190"/>
      <c r="BM222" s="190"/>
      <c r="BN222" s="191"/>
      <c r="BO222" s="191"/>
      <c r="BP222" s="191"/>
      <c r="BQ222" s="191"/>
      <c r="BR222" s="191"/>
      <c r="BS222" s="191"/>
      <c r="BT222" s="190"/>
      <c r="BU222" s="190"/>
      <c r="BV222" s="190"/>
      <c r="BW222" s="190"/>
      <c r="BX222" s="190"/>
      <c r="BY222" s="190"/>
      <c r="BZ222" s="190"/>
      <c r="CA222" s="189"/>
      <c r="CB222" s="15"/>
    </row>
    <row r="223" spans="1:80" ht="15" x14ac:dyDescent="0.25">
      <c r="A223" s="167"/>
      <c r="B223" s="642"/>
      <c r="C223" s="642"/>
      <c r="D223" s="179"/>
      <c r="E223" s="169"/>
      <c r="F223" s="169"/>
      <c r="G223" s="186"/>
      <c r="H223" s="187"/>
      <c r="I223" s="187"/>
      <c r="J223" s="187"/>
      <c r="K223" s="187"/>
      <c r="L223" s="647"/>
      <c r="M223" s="646">
        <v>33766</v>
      </c>
      <c r="N223" s="585">
        <v>2.04</v>
      </c>
      <c r="O223" s="585">
        <v>1.34E-2</v>
      </c>
      <c r="P223" s="175">
        <v>0</v>
      </c>
      <c r="Q223" s="175">
        <v>0</v>
      </c>
      <c r="R223" s="175">
        <v>7.2999999999999996E-4</v>
      </c>
      <c r="S223" s="175">
        <v>2.1299999999999999E-3</v>
      </c>
      <c r="T223" s="175">
        <v>2.63E-3</v>
      </c>
      <c r="U223" s="175">
        <v>2.1700000000000001E-3</v>
      </c>
      <c r="V223" s="706">
        <v>5.7400000000000003E-3</v>
      </c>
      <c r="W223" s="717"/>
      <c r="X223" s="713"/>
      <c r="Y223" s="718"/>
      <c r="Z223" s="709">
        <v>0</v>
      </c>
      <c r="AA223" s="175"/>
      <c r="AB223" s="192"/>
      <c r="AC223" s="205">
        <v>2.1000000000000001E-2</v>
      </c>
      <c r="AD223" s="175">
        <v>7.05</v>
      </c>
      <c r="AE223" s="175">
        <v>0.28000000000000003</v>
      </c>
      <c r="AF223" s="168">
        <f t="shared" si="4"/>
        <v>1.9740000000000002</v>
      </c>
      <c r="AG223" s="175">
        <v>1.02</v>
      </c>
      <c r="AH223" s="334"/>
      <c r="AI223" s="188"/>
      <c r="AJ223" s="188"/>
      <c r="AK223" s="188"/>
      <c r="AL223" s="189"/>
      <c r="AM223" s="189"/>
      <c r="AN223" s="189"/>
      <c r="AO223" s="189"/>
      <c r="AP223" s="189"/>
      <c r="AQ223" s="189"/>
      <c r="AR223" s="189"/>
      <c r="AS223" s="189"/>
      <c r="AT223" s="189"/>
      <c r="AU223" s="190"/>
      <c r="AV223" s="190"/>
      <c r="AW223" s="190"/>
      <c r="AX223" s="190"/>
      <c r="AY223" s="190"/>
      <c r="AZ223" s="189"/>
      <c r="BA223" s="189"/>
      <c r="BB223" s="189"/>
      <c r="BC223" s="189"/>
      <c r="BD223" s="189"/>
      <c r="BE223" s="189"/>
      <c r="BF223" s="189"/>
      <c r="BG223" s="189"/>
      <c r="BH223" s="189"/>
      <c r="BI223" s="190"/>
      <c r="BJ223" s="190"/>
      <c r="BK223" s="190"/>
      <c r="BL223" s="190"/>
      <c r="BM223" s="190"/>
      <c r="BN223" s="191"/>
      <c r="BO223" s="191"/>
      <c r="BP223" s="191"/>
      <c r="BQ223" s="191"/>
      <c r="BR223" s="191"/>
      <c r="BS223" s="191"/>
      <c r="BT223" s="190"/>
      <c r="BU223" s="190"/>
      <c r="BV223" s="190"/>
      <c r="BW223" s="190"/>
      <c r="BX223" s="190"/>
      <c r="BY223" s="190"/>
      <c r="BZ223" s="190"/>
      <c r="CA223" s="189"/>
      <c r="CB223" s="15"/>
    </row>
    <row r="224" spans="1:80" ht="15" x14ac:dyDescent="0.25">
      <c r="A224" s="167"/>
      <c r="B224" s="642"/>
      <c r="C224" s="642"/>
      <c r="D224" s="179"/>
      <c r="E224" s="169"/>
      <c r="F224" s="169"/>
      <c r="G224" s="186"/>
      <c r="H224" s="187"/>
      <c r="I224" s="187"/>
      <c r="J224" s="187"/>
      <c r="K224" s="187"/>
      <c r="L224" s="647"/>
      <c r="M224" s="646">
        <v>33767</v>
      </c>
      <c r="N224" s="585">
        <v>2.25</v>
      </c>
      <c r="O224" s="585">
        <v>8.26E-3</v>
      </c>
      <c r="P224" s="175">
        <v>0</v>
      </c>
      <c r="Q224" s="175">
        <v>0</v>
      </c>
      <c r="R224" s="175">
        <v>0</v>
      </c>
      <c r="S224" s="175">
        <v>2.5999999999999998E-4</v>
      </c>
      <c r="T224" s="175">
        <v>8.9999999999999998E-4</v>
      </c>
      <c r="U224" s="175">
        <v>8.1999999999999998E-4</v>
      </c>
      <c r="V224" s="706">
        <v>6.28E-3</v>
      </c>
      <c r="W224" s="717"/>
      <c r="X224" s="713"/>
      <c r="Y224" s="718"/>
      <c r="Z224" s="709">
        <v>0</v>
      </c>
      <c r="AA224" s="175"/>
      <c r="AB224" s="192"/>
      <c r="AC224" s="205">
        <v>2.1000000000000001E-2</v>
      </c>
      <c r="AD224" s="175">
        <v>7.15</v>
      </c>
      <c r="AE224" s="175">
        <v>0.31</v>
      </c>
      <c r="AF224" s="168">
        <f t="shared" si="4"/>
        <v>2.2164999999999999</v>
      </c>
      <c r="AG224" s="175">
        <v>1.02</v>
      </c>
      <c r="AH224" s="334"/>
      <c r="AI224" s="188"/>
      <c r="AJ224" s="188"/>
      <c r="AK224" s="188"/>
      <c r="AL224" s="189"/>
      <c r="AM224" s="189"/>
      <c r="AN224" s="189"/>
      <c r="AO224" s="189"/>
      <c r="AP224" s="189"/>
      <c r="AQ224" s="189"/>
      <c r="AR224" s="189"/>
      <c r="AS224" s="189"/>
      <c r="AT224" s="189"/>
      <c r="AU224" s="190"/>
      <c r="AV224" s="190"/>
      <c r="AW224" s="190"/>
      <c r="AX224" s="190"/>
      <c r="AY224" s="190"/>
      <c r="AZ224" s="189"/>
      <c r="BA224" s="189"/>
      <c r="BB224" s="189"/>
      <c r="BC224" s="189"/>
      <c r="BD224" s="189"/>
      <c r="BE224" s="189"/>
      <c r="BF224" s="189"/>
      <c r="BG224" s="189"/>
      <c r="BH224" s="189"/>
      <c r="BI224" s="190"/>
      <c r="BJ224" s="190"/>
      <c r="BK224" s="190"/>
      <c r="BL224" s="190"/>
      <c r="BM224" s="190"/>
      <c r="BN224" s="191"/>
      <c r="BO224" s="191"/>
      <c r="BP224" s="191"/>
      <c r="BQ224" s="191"/>
      <c r="BR224" s="191"/>
      <c r="BS224" s="191"/>
      <c r="BT224" s="190"/>
      <c r="BU224" s="190"/>
      <c r="BV224" s="190"/>
      <c r="BW224" s="190"/>
      <c r="BX224" s="190"/>
      <c r="BY224" s="190"/>
      <c r="BZ224" s="190"/>
      <c r="CA224" s="189"/>
      <c r="CB224" s="15"/>
    </row>
    <row r="225" spans="1:80" ht="15" x14ac:dyDescent="0.25">
      <c r="A225" s="167"/>
      <c r="B225" s="642"/>
      <c r="C225" s="642"/>
      <c r="D225" s="179"/>
      <c r="E225" s="169"/>
      <c r="F225" s="169"/>
      <c r="G225" s="186"/>
      <c r="H225" s="187"/>
      <c r="I225" s="187"/>
      <c r="J225" s="187"/>
      <c r="K225" s="187"/>
      <c r="L225" s="647"/>
      <c r="M225" s="646">
        <v>33768</v>
      </c>
      <c r="N225" s="585">
        <v>2.4</v>
      </c>
      <c r="O225" s="585">
        <v>1.704E-2</v>
      </c>
      <c r="P225" s="175">
        <v>0</v>
      </c>
      <c r="Q225" s="175">
        <v>0</v>
      </c>
      <c r="R225" s="175">
        <v>5.5999999999999995E-4</v>
      </c>
      <c r="S225" s="175">
        <v>1.9599999999999999E-3</v>
      </c>
      <c r="T225" s="175">
        <v>2.3400000000000001E-3</v>
      </c>
      <c r="U225" s="175">
        <v>3.31E-3</v>
      </c>
      <c r="V225" s="706">
        <v>8.8800000000000007E-3</v>
      </c>
      <c r="W225" s="717"/>
      <c r="X225" s="713"/>
      <c r="Y225" s="718"/>
      <c r="Z225" s="709">
        <v>0</v>
      </c>
      <c r="AA225" s="175"/>
      <c r="AB225" s="192"/>
      <c r="AC225" s="205">
        <v>2.1000000000000001E-2</v>
      </c>
      <c r="AD225" s="175">
        <v>7.25</v>
      </c>
      <c r="AE225" s="175">
        <v>0.31</v>
      </c>
      <c r="AF225" s="168">
        <f t="shared" si="4"/>
        <v>2.2475000000000001</v>
      </c>
      <c r="AG225" s="175">
        <v>1.08</v>
      </c>
      <c r="AH225" s="334"/>
      <c r="AI225" s="188"/>
      <c r="AJ225" s="188"/>
      <c r="AK225" s="188"/>
      <c r="AL225" s="189"/>
      <c r="AM225" s="189"/>
      <c r="AN225" s="189"/>
      <c r="AO225" s="189"/>
      <c r="AP225" s="189"/>
      <c r="AQ225" s="189"/>
      <c r="AR225" s="189"/>
      <c r="AS225" s="189"/>
      <c r="AT225" s="189"/>
      <c r="AU225" s="190"/>
      <c r="AV225" s="190"/>
      <c r="AW225" s="190"/>
      <c r="AX225" s="190"/>
      <c r="AY225" s="190"/>
      <c r="AZ225" s="189"/>
      <c r="BA225" s="189"/>
      <c r="BB225" s="189"/>
      <c r="BC225" s="189"/>
      <c r="BD225" s="189"/>
      <c r="BE225" s="189"/>
      <c r="BF225" s="189"/>
      <c r="BG225" s="189"/>
      <c r="BH225" s="189"/>
      <c r="BI225" s="190"/>
      <c r="BJ225" s="190"/>
      <c r="BK225" s="190"/>
      <c r="BL225" s="190"/>
      <c r="BM225" s="190"/>
      <c r="BN225" s="191"/>
      <c r="BO225" s="191"/>
      <c r="BP225" s="191"/>
      <c r="BQ225" s="191"/>
      <c r="BR225" s="191"/>
      <c r="BS225" s="191"/>
      <c r="BT225" s="190"/>
      <c r="BU225" s="190"/>
      <c r="BV225" s="190"/>
      <c r="BW225" s="190"/>
      <c r="BX225" s="190"/>
      <c r="BY225" s="190"/>
      <c r="BZ225" s="190"/>
      <c r="CA225" s="189"/>
      <c r="CB225" s="15"/>
    </row>
    <row r="226" spans="1:80" ht="15" x14ac:dyDescent="0.25">
      <c r="A226" s="167"/>
      <c r="B226" s="642"/>
      <c r="C226" s="642"/>
      <c r="D226" s="179"/>
      <c r="E226" s="169"/>
      <c r="F226" s="169"/>
      <c r="G226" s="186"/>
      <c r="H226" s="187"/>
      <c r="I226" s="187"/>
      <c r="J226" s="187"/>
      <c r="K226" s="187"/>
      <c r="L226" s="647"/>
      <c r="M226" s="646">
        <v>33769</v>
      </c>
      <c r="N226" s="585">
        <v>1.98</v>
      </c>
      <c r="O226" s="585">
        <v>5.5969999999999999E-2</v>
      </c>
      <c r="P226" s="175">
        <v>0</v>
      </c>
      <c r="Q226" s="175">
        <v>0</v>
      </c>
      <c r="R226" s="175">
        <v>7.6999999999999996E-4</v>
      </c>
      <c r="S226" s="175">
        <v>6.4999999999999997E-4</v>
      </c>
      <c r="T226" s="175">
        <v>4.1399999999999996E-3</v>
      </c>
      <c r="U226" s="175">
        <v>1.511E-2</v>
      </c>
      <c r="V226" s="706">
        <v>3.5310000000000001E-2</v>
      </c>
      <c r="W226" s="717"/>
      <c r="X226" s="713"/>
      <c r="Y226" s="718"/>
      <c r="Z226" s="709">
        <v>0</v>
      </c>
      <c r="AA226" s="175"/>
      <c r="AB226" s="192"/>
      <c r="AC226" s="205">
        <v>2.1000000000000001E-2</v>
      </c>
      <c r="AD226" s="175">
        <v>7.15</v>
      </c>
      <c r="AE226" s="175">
        <v>0.28000000000000003</v>
      </c>
      <c r="AF226" s="168">
        <f t="shared" si="4"/>
        <v>2.0020000000000002</v>
      </c>
      <c r="AG226" s="175">
        <v>1</v>
      </c>
      <c r="AH226" s="334"/>
      <c r="AI226" s="188"/>
      <c r="AJ226" s="188"/>
      <c r="AK226" s="188"/>
      <c r="AL226" s="189"/>
      <c r="AM226" s="189"/>
      <c r="AN226" s="189"/>
      <c r="AO226" s="189"/>
      <c r="AP226" s="189"/>
      <c r="AQ226" s="189"/>
      <c r="AR226" s="189"/>
      <c r="AS226" s="189"/>
      <c r="AT226" s="189"/>
      <c r="AU226" s="190"/>
      <c r="AV226" s="190"/>
      <c r="AW226" s="190"/>
      <c r="AX226" s="190"/>
      <c r="AY226" s="190"/>
      <c r="AZ226" s="189"/>
      <c r="BA226" s="189"/>
      <c r="BB226" s="189"/>
      <c r="BC226" s="189"/>
      <c r="BD226" s="189"/>
      <c r="BE226" s="189"/>
      <c r="BF226" s="189"/>
      <c r="BG226" s="189"/>
      <c r="BH226" s="189"/>
      <c r="BI226" s="190"/>
      <c r="BJ226" s="190"/>
      <c r="BK226" s="190"/>
      <c r="BL226" s="190"/>
      <c r="BM226" s="190"/>
      <c r="BN226" s="191"/>
      <c r="BO226" s="191"/>
      <c r="BP226" s="191"/>
      <c r="BQ226" s="191"/>
      <c r="BR226" s="191"/>
      <c r="BS226" s="191"/>
      <c r="BT226" s="190"/>
      <c r="BU226" s="190"/>
      <c r="BV226" s="190"/>
      <c r="BW226" s="190"/>
      <c r="BX226" s="190"/>
      <c r="BY226" s="190"/>
      <c r="BZ226" s="190"/>
      <c r="CA226" s="189"/>
      <c r="CB226" s="15"/>
    </row>
    <row r="227" spans="1:80" ht="15" x14ac:dyDescent="0.25">
      <c r="A227" s="167"/>
      <c r="B227" s="642"/>
      <c r="C227" s="642"/>
      <c r="D227" s="179"/>
      <c r="E227" s="169"/>
      <c r="F227" s="169"/>
      <c r="G227" s="186"/>
      <c r="H227" s="187"/>
      <c r="I227" s="187"/>
      <c r="J227" s="187"/>
      <c r="K227" s="187"/>
      <c r="L227" s="647"/>
      <c r="M227" s="646">
        <v>33770</v>
      </c>
      <c r="N227" s="585">
        <v>1.86</v>
      </c>
      <c r="O227" s="585">
        <v>0.10245</v>
      </c>
      <c r="P227" s="175">
        <v>0</v>
      </c>
      <c r="Q227" s="175">
        <v>0</v>
      </c>
      <c r="R227" s="175">
        <v>2.0899999999999998E-3</v>
      </c>
      <c r="S227" s="175">
        <v>4.7400000000000003E-3</v>
      </c>
      <c r="T227" s="175">
        <v>1.2370000000000001E-2</v>
      </c>
      <c r="U227" s="175">
        <v>2.9700000000000001E-2</v>
      </c>
      <c r="V227" s="706">
        <v>5.355E-2</v>
      </c>
      <c r="W227" s="717"/>
      <c r="X227" s="713"/>
      <c r="Y227" s="718"/>
      <c r="Z227" s="709">
        <v>0</v>
      </c>
      <c r="AA227" s="175"/>
      <c r="AB227" s="192"/>
      <c r="AC227" s="205">
        <v>2.1000000000000001E-2</v>
      </c>
      <c r="AD227" s="175">
        <v>7.25</v>
      </c>
      <c r="AE227" s="175">
        <v>0.28000000000000003</v>
      </c>
      <c r="AF227" s="168">
        <f t="shared" si="4"/>
        <v>2.0300000000000002</v>
      </c>
      <c r="AG227" s="175">
        <v>0.91</v>
      </c>
      <c r="AH227" s="334"/>
      <c r="AI227" s="188"/>
      <c r="AJ227" s="188"/>
      <c r="AK227" s="188"/>
      <c r="AL227" s="189"/>
      <c r="AM227" s="189"/>
      <c r="AN227" s="189"/>
      <c r="AO227" s="189"/>
      <c r="AP227" s="189"/>
      <c r="AQ227" s="189"/>
      <c r="AR227" s="189"/>
      <c r="AS227" s="189"/>
      <c r="AT227" s="189"/>
      <c r="AU227" s="190"/>
      <c r="AV227" s="190"/>
      <c r="AW227" s="190"/>
      <c r="AX227" s="190"/>
      <c r="AY227" s="190"/>
      <c r="AZ227" s="189"/>
      <c r="BA227" s="189"/>
      <c r="BB227" s="189"/>
      <c r="BC227" s="189"/>
      <c r="BD227" s="189"/>
      <c r="BE227" s="189"/>
      <c r="BF227" s="189"/>
      <c r="BG227" s="189"/>
      <c r="BH227" s="189"/>
      <c r="BI227" s="190"/>
      <c r="BJ227" s="190"/>
      <c r="BK227" s="190"/>
      <c r="BL227" s="190"/>
      <c r="BM227" s="190"/>
      <c r="BN227" s="191"/>
      <c r="BO227" s="191"/>
      <c r="BP227" s="191"/>
      <c r="BQ227" s="191"/>
      <c r="BR227" s="191"/>
      <c r="BS227" s="191"/>
      <c r="BT227" s="190"/>
      <c r="BU227" s="190"/>
      <c r="BV227" s="190"/>
      <c r="BW227" s="190"/>
      <c r="BX227" s="190"/>
      <c r="BY227" s="190"/>
      <c r="BZ227" s="190"/>
      <c r="CA227" s="189"/>
      <c r="CB227" s="15"/>
    </row>
    <row r="228" spans="1:80" ht="15" x14ac:dyDescent="0.25">
      <c r="A228" s="167"/>
      <c r="B228" s="642"/>
      <c r="C228" s="642"/>
      <c r="D228" s="179"/>
      <c r="E228" s="169"/>
      <c r="F228" s="169"/>
      <c r="G228" s="186"/>
      <c r="H228" s="187"/>
      <c r="I228" s="187"/>
      <c r="J228" s="187"/>
      <c r="K228" s="187"/>
      <c r="L228" s="647"/>
      <c r="M228" s="646">
        <v>33772</v>
      </c>
      <c r="N228" s="585">
        <v>1.27</v>
      </c>
      <c r="O228" s="585">
        <v>4.4229999999999998E-2</v>
      </c>
      <c r="P228" s="175">
        <v>0</v>
      </c>
      <c r="Q228" s="175">
        <v>0</v>
      </c>
      <c r="R228" s="175">
        <v>0</v>
      </c>
      <c r="S228" s="175">
        <v>7.6000000000000004E-4</v>
      </c>
      <c r="T228" s="175">
        <v>2.6900000000000001E-3</v>
      </c>
      <c r="U228" s="175">
        <v>9.58E-3</v>
      </c>
      <c r="V228" s="706">
        <v>3.1210000000000002E-2</v>
      </c>
      <c r="W228" s="717"/>
      <c r="X228" s="713"/>
      <c r="Y228" s="718"/>
      <c r="Z228" s="709">
        <v>0</v>
      </c>
      <c r="AA228" s="175"/>
      <c r="AB228" s="192"/>
      <c r="AC228" s="205">
        <v>2.1000000000000001E-2</v>
      </c>
      <c r="AD228" s="175">
        <v>7.1</v>
      </c>
      <c r="AE228" s="175">
        <v>0.24</v>
      </c>
      <c r="AF228" s="168">
        <f t="shared" si="4"/>
        <v>1.704</v>
      </c>
      <c r="AG228" s="175">
        <v>0.76</v>
      </c>
      <c r="AH228" s="334"/>
      <c r="AI228" s="188"/>
      <c r="AJ228" s="188"/>
      <c r="AK228" s="188"/>
      <c r="AL228" s="189"/>
      <c r="AM228" s="189"/>
      <c r="AN228" s="189"/>
      <c r="AO228" s="189"/>
      <c r="AP228" s="189"/>
      <c r="AQ228" s="189"/>
      <c r="AR228" s="189"/>
      <c r="AS228" s="189"/>
      <c r="AT228" s="189"/>
      <c r="AU228" s="190"/>
      <c r="AV228" s="190"/>
      <c r="AW228" s="190"/>
      <c r="AX228" s="190"/>
      <c r="AY228" s="190"/>
      <c r="AZ228" s="189"/>
      <c r="BA228" s="189"/>
      <c r="BB228" s="189"/>
      <c r="BC228" s="189"/>
      <c r="BD228" s="189"/>
      <c r="BE228" s="189"/>
      <c r="BF228" s="189"/>
      <c r="BG228" s="189"/>
      <c r="BH228" s="189"/>
      <c r="BI228" s="190"/>
      <c r="BJ228" s="190"/>
      <c r="BK228" s="190"/>
      <c r="BL228" s="190"/>
      <c r="BM228" s="190"/>
      <c r="BN228" s="191"/>
      <c r="BO228" s="191"/>
      <c r="BP228" s="191"/>
      <c r="BQ228" s="191"/>
      <c r="BR228" s="191"/>
      <c r="BS228" s="191"/>
      <c r="BT228" s="190"/>
      <c r="BU228" s="190"/>
      <c r="BV228" s="190"/>
      <c r="BW228" s="190"/>
      <c r="BX228" s="190"/>
      <c r="BY228" s="190"/>
      <c r="BZ228" s="190"/>
      <c r="CA228" s="189"/>
      <c r="CB228" s="15"/>
    </row>
    <row r="229" spans="1:80" ht="15" x14ac:dyDescent="0.25">
      <c r="A229" s="167"/>
      <c r="B229" s="642"/>
      <c r="C229" s="642"/>
      <c r="D229" s="179"/>
      <c r="E229" s="169"/>
      <c r="F229" s="169"/>
      <c r="G229" s="186"/>
      <c r="H229" s="187"/>
      <c r="I229" s="187"/>
      <c r="J229" s="187"/>
      <c r="K229" s="187"/>
      <c r="L229" s="647"/>
      <c r="M229" s="646">
        <v>33773</v>
      </c>
      <c r="N229" s="585">
        <v>1.22</v>
      </c>
      <c r="O229" s="585">
        <v>2.9870000000000001E-2</v>
      </c>
      <c r="P229" s="175">
        <v>0</v>
      </c>
      <c r="Q229" s="175">
        <v>4.5799999999999999E-3</v>
      </c>
      <c r="R229" s="175">
        <v>0</v>
      </c>
      <c r="S229" s="175">
        <v>1.7000000000000001E-4</v>
      </c>
      <c r="T229" s="175">
        <v>1.2800000000000001E-3</v>
      </c>
      <c r="U229" s="175">
        <v>5.64E-3</v>
      </c>
      <c r="V229" s="706">
        <v>1.8200000000000001E-2</v>
      </c>
      <c r="W229" s="717"/>
      <c r="X229" s="713"/>
      <c r="Y229" s="718"/>
      <c r="Z229" s="709">
        <v>0</v>
      </c>
      <c r="AA229" s="175"/>
      <c r="AB229" s="192"/>
      <c r="AC229" s="205">
        <v>2.1000000000000001E-2</v>
      </c>
      <c r="AD229" s="175">
        <v>7.05</v>
      </c>
      <c r="AE229" s="175">
        <v>0.22</v>
      </c>
      <c r="AF229" s="168">
        <f t="shared" si="4"/>
        <v>1.5509999999999999</v>
      </c>
      <c r="AG229" s="175">
        <v>0.78</v>
      </c>
      <c r="AH229" s="334"/>
      <c r="AI229" s="188"/>
      <c r="AJ229" s="188"/>
      <c r="AK229" s="188"/>
      <c r="AL229" s="189"/>
      <c r="AM229" s="189"/>
      <c r="AN229" s="189"/>
      <c r="AO229" s="189"/>
      <c r="AP229" s="189"/>
      <c r="AQ229" s="189"/>
      <c r="AR229" s="189"/>
      <c r="AS229" s="189"/>
      <c r="AT229" s="189"/>
      <c r="AU229" s="190"/>
      <c r="AV229" s="190"/>
      <c r="AW229" s="190"/>
      <c r="AX229" s="190"/>
      <c r="AY229" s="190"/>
      <c r="AZ229" s="189"/>
      <c r="BA229" s="189"/>
      <c r="BB229" s="189"/>
      <c r="BC229" s="189"/>
      <c r="BD229" s="189"/>
      <c r="BE229" s="189"/>
      <c r="BF229" s="189"/>
      <c r="BG229" s="189"/>
      <c r="BH229" s="189"/>
      <c r="BI229" s="190"/>
      <c r="BJ229" s="190"/>
      <c r="BK229" s="190"/>
      <c r="BL229" s="190"/>
      <c r="BM229" s="190"/>
      <c r="BN229" s="191"/>
      <c r="BO229" s="191"/>
      <c r="BP229" s="191"/>
      <c r="BQ229" s="191"/>
      <c r="BR229" s="191"/>
      <c r="BS229" s="191"/>
      <c r="BT229" s="190"/>
      <c r="BU229" s="190"/>
      <c r="BV229" s="190"/>
      <c r="BW229" s="190"/>
      <c r="BX229" s="190"/>
      <c r="BY229" s="190"/>
      <c r="BZ229" s="190"/>
      <c r="CA229" s="189"/>
      <c r="CB229" s="15"/>
    </row>
    <row r="230" spans="1:80" ht="15" x14ac:dyDescent="0.25">
      <c r="A230" s="167"/>
      <c r="B230" s="642"/>
      <c r="C230" s="642"/>
      <c r="D230" s="179"/>
      <c r="E230" s="169"/>
      <c r="F230" s="169"/>
      <c r="G230" s="186"/>
      <c r="H230" s="187"/>
      <c r="I230" s="187"/>
      <c r="J230" s="187"/>
      <c r="K230" s="187"/>
      <c r="L230" s="647"/>
      <c r="M230" s="646">
        <v>33774</v>
      </c>
      <c r="N230" s="585">
        <v>1.76</v>
      </c>
      <c r="O230" s="585">
        <v>3.7499999999999999E-3</v>
      </c>
      <c r="P230" s="175">
        <v>0</v>
      </c>
      <c r="Q230" s="175">
        <v>0</v>
      </c>
      <c r="R230" s="175">
        <v>0</v>
      </c>
      <c r="S230" s="175">
        <v>0</v>
      </c>
      <c r="T230" s="175">
        <v>1.2E-4</v>
      </c>
      <c r="U230" s="175">
        <v>5.9999999999999995E-4</v>
      </c>
      <c r="V230" s="706">
        <v>3.0200000000000001E-3</v>
      </c>
      <c r="W230" s="717"/>
      <c r="X230" s="713"/>
      <c r="Y230" s="718"/>
      <c r="Z230" s="709">
        <v>0</v>
      </c>
      <c r="AA230" s="175"/>
      <c r="AB230" s="192"/>
      <c r="AC230" s="205">
        <v>2.1000000000000001E-2</v>
      </c>
      <c r="AD230" s="175">
        <v>7.2</v>
      </c>
      <c r="AE230" s="175">
        <v>0.26</v>
      </c>
      <c r="AF230" s="168">
        <f t="shared" si="4"/>
        <v>1.8720000000000001</v>
      </c>
      <c r="AG230" s="175">
        <v>0.95</v>
      </c>
      <c r="AH230" s="334"/>
      <c r="AI230" s="188"/>
      <c r="AJ230" s="188"/>
      <c r="AK230" s="188"/>
      <c r="AL230" s="189"/>
      <c r="AM230" s="189"/>
      <c r="AN230" s="189"/>
      <c r="AO230" s="189"/>
      <c r="AP230" s="189"/>
      <c r="AQ230" s="189"/>
      <c r="AR230" s="189"/>
      <c r="AS230" s="189"/>
      <c r="AT230" s="189"/>
      <c r="AU230" s="190"/>
      <c r="AV230" s="190"/>
      <c r="AW230" s="190"/>
      <c r="AX230" s="190"/>
      <c r="AY230" s="190"/>
      <c r="AZ230" s="189"/>
      <c r="BA230" s="189"/>
      <c r="BB230" s="189"/>
      <c r="BC230" s="189"/>
      <c r="BD230" s="189"/>
      <c r="BE230" s="189"/>
      <c r="BF230" s="189"/>
      <c r="BG230" s="189"/>
      <c r="BH230" s="189"/>
      <c r="BI230" s="190"/>
      <c r="BJ230" s="190"/>
      <c r="BK230" s="190"/>
      <c r="BL230" s="190"/>
      <c r="BM230" s="190"/>
      <c r="BN230" s="191"/>
      <c r="BO230" s="191"/>
      <c r="BP230" s="191"/>
      <c r="BQ230" s="191"/>
      <c r="BR230" s="191"/>
      <c r="BS230" s="191"/>
      <c r="BT230" s="190"/>
      <c r="BU230" s="190"/>
      <c r="BV230" s="190"/>
      <c r="BW230" s="190"/>
      <c r="BX230" s="190"/>
      <c r="BY230" s="190"/>
      <c r="BZ230" s="190"/>
      <c r="CA230" s="189"/>
      <c r="CB230" s="15"/>
    </row>
    <row r="231" spans="1:80" ht="15" x14ac:dyDescent="0.25">
      <c r="A231" s="167"/>
      <c r="B231" s="642"/>
      <c r="C231" s="642"/>
      <c r="D231" s="179"/>
      <c r="E231" s="169"/>
      <c r="F231" s="169"/>
      <c r="G231" s="186"/>
      <c r="H231" s="187"/>
      <c r="I231" s="187"/>
      <c r="J231" s="187"/>
      <c r="K231" s="187"/>
      <c r="L231" s="647"/>
      <c r="M231" s="646">
        <v>33781</v>
      </c>
      <c r="N231" s="585">
        <v>0.76</v>
      </c>
      <c r="O231" s="585">
        <v>6.1000000000000004E-3</v>
      </c>
      <c r="P231" s="175">
        <v>0</v>
      </c>
      <c r="Q231" s="175">
        <v>0</v>
      </c>
      <c r="R231" s="175">
        <v>0</v>
      </c>
      <c r="S231" s="175">
        <v>5.5000000000000003E-4</v>
      </c>
      <c r="T231" s="175">
        <v>1.07E-3</v>
      </c>
      <c r="U231" s="175">
        <v>1.23E-3</v>
      </c>
      <c r="V231" s="706">
        <v>3.2499999999999999E-3</v>
      </c>
      <c r="W231" s="717"/>
      <c r="X231" s="713"/>
      <c r="Y231" s="718"/>
      <c r="Z231" s="709">
        <v>0</v>
      </c>
      <c r="AA231" s="175"/>
      <c r="AB231" s="192"/>
      <c r="AC231" s="205">
        <v>2.1000000000000001E-2</v>
      </c>
      <c r="AD231" s="175">
        <v>6.6</v>
      </c>
      <c r="AE231" s="175">
        <v>0.21</v>
      </c>
      <c r="AF231" s="168">
        <f t="shared" si="4"/>
        <v>1.3859999999999999</v>
      </c>
      <c r="AG231" s="175">
        <v>0.55000000000000004</v>
      </c>
      <c r="AH231" s="334"/>
      <c r="AI231" s="188"/>
      <c r="AJ231" s="188"/>
      <c r="AK231" s="188"/>
      <c r="AL231" s="189"/>
      <c r="AM231" s="189"/>
      <c r="AN231" s="189"/>
      <c r="AO231" s="189"/>
      <c r="AP231" s="189"/>
      <c r="AQ231" s="189"/>
      <c r="AR231" s="189"/>
      <c r="AS231" s="189"/>
      <c r="AT231" s="189"/>
      <c r="AU231" s="190"/>
      <c r="AV231" s="190"/>
      <c r="AW231" s="190"/>
      <c r="AX231" s="190"/>
      <c r="AY231" s="190"/>
      <c r="AZ231" s="189"/>
      <c r="BA231" s="189"/>
      <c r="BB231" s="189"/>
      <c r="BC231" s="189"/>
      <c r="BD231" s="189"/>
      <c r="BE231" s="189"/>
      <c r="BF231" s="189"/>
      <c r="BG231" s="189"/>
      <c r="BH231" s="189"/>
      <c r="BI231" s="190"/>
      <c r="BJ231" s="190"/>
      <c r="BK231" s="190"/>
      <c r="BL231" s="190"/>
      <c r="BM231" s="190"/>
      <c r="BN231" s="191"/>
      <c r="BO231" s="191"/>
      <c r="BP231" s="191"/>
      <c r="BQ231" s="191"/>
      <c r="BR231" s="191"/>
      <c r="BS231" s="191"/>
      <c r="BT231" s="190"/>
      <c r="BU231" s="190"/>
      <c r="BV231" s="190"/>
      <c r="BW231" s="190"/>
      <c r="BX231" s="190"/>
      <c r="BY231" s="190"/>
      <c r="BZ231" s="190"/>
      <c r="CA231" s="189"/>
      <c r="CB231" s="15"/>
    </row>
    <row r="232" spans="1:80" ht="15" x14ac:dyDescent="0.25">
      <c r="A232" s="167"/>
      <c r="B232" s="642"/>
      <c r="C232" s="642"/>
      <c r="D232" s="179"/>
      <c r="E232" s="169"/>
      <c r="F232" s="169"/>
      <c r="G232" s="186"/>
      <c r="H232" s="187"/>
      <c r="I232" s="187"/>
      <c r="J232" s="187"/>
      <c r="K232" s="187"/>
      <c r="L232" s="647"/>
      <c r="M232" s="646">
        <v>33792</v>
      </c>
      <c r="N232" s="585">
        <v>1.1200000000000001</v>
      </c>
      <c r="O232" s="585">
        <v>2.32E-3</v>
      </c>
      <c r="P232" s="175">
        <v>0</v>
      </c>
      <c r="Q232" s="175">
        <v>0</v>
      </c>
      <c r="R232" s="175">
        <v>0</v>
      </c>
      <c r="S232" s="175">
        <v>1.4999999999999999E-4</v>
      </c>
      <c r="T232" s="175">
        <v>8.9999999999999998E-4</v>
      </c>
      <c r="U232" s="175">
        <v>5.5999999999999995E-4</v>
      </c>
      <c r="V232" s="706">
        <v>7.1000000000000002E-4</v>
      </c>
      <c r="W232" s="717"/>
      <c r="X232" s="713"/>
      <c r="Y232" s="718"/>
      <c r="Z232" s="709">
        <v>0</v>
      </c>
      <c r="AA232" s="175"/>
      <c r="AB232" s="192"/>
      <c r="AC232" s="205">
        <v>2.1000000000000001E-2</v>
      </c>
      <c r="AD232" s="175">
        <v>6.85</v>
      </c>
      <c r="AE232" s="175">
        <v>0.23</v>
      </c>
      <c r="AF232" s="168">
        <f t="shared" si="4"/>
        <v>1.5754999999999999</v>
      </c>
      <c r="AG232" s="175">
        <v>0.71</v>
      </c>
      <c r="AH232" s="334"/>
      <c r="AI232" s="188"/>
      <c r="AJ232" s="188"/>
      <c r="AK232" s="188"/>
      <c r="AL232" s="189"/>
      <c r="AM232" s="189"/>
      <c r="AN232" s="189"/>
      <c r="AO232" s="189"/>
      <c r="AP232" s="189"/>
      <c r="AQ232" s="189"/>
      <c r="AR232" s="189"/>
      <c r="AS232" s="189"/>
      <c r="AT232" s="189"/>
      <c r="AU232" s="190"/>
      <c r="AV232" s="190"/>
      <c r="AW232" s="190"/>
      <c r="AX232" s="190"/>
      <c r="AY232" s="190"/>
      <c r="AZ232" s="189"/>
      <c r="BA232" s="189"/>
      <c r="BB232" s="189"/>
      <c r="BC232" s="189"/>
      <c r="BD232" s="189"/>
      <c r="BE232" s="189"/>
      <c r="BF232" s="189"/>
      <c r="BG232" s="189"/>
      <c r="BH232" s="189"/>
      <c r="BI232" s="190"/>
      <c r="BJ232" s="190"/>
      <c r="BK232" s="190"/>
      <c r="BL232" s="190"/>
      <c r="BM232" s="190"/>
      <c r="BN232" s="191"/>
      <c r="BO232" s="191"/>
      <c r="BP232" s="191"/>
      <c r="BQ232" s="191"/>
      <c r="BR232" s="191"/>
      <c r="BS232" s="191"/>
      <c r="BT232" s="190"/>
      <c r="BU232" s="190"/>
      <c r="BV232" s="190"/>
      <c r="BW232" s="190"/>
      <c r="BX232" s="190"/>
      <c r="BY232" s="190"/>
      <c r="BZ232" s="190"/>
      <c r="CA232" s="189"/>
      <c r="CB232" s="15"/>
    </row>
    <row r="233" spans="1:80" ht="15" x14ac:dyDescent="0.25">
      <c r="A233" s="167"/>
      <c r="B233" s="642"/>
      <c r="C233" s="642"/>
      <c r="D233" s="179"/>
      <c r="E233" s="169"/>
      <c r="F233" s="169"/>
      <c r="G233" s="186"/>
      <c r="H233" s="187"/>
      <c r="I233" s="187"/>
      <c r="J233" s="187"/>
      <c r="K233" s="187"/>
      <c r="L233" s="647"/>
      <c r="M233" s="646">
        <v>33798</v>
      </c>
      <c r="N233" s="585">
        <v>0.39</v>
      </c>
      <c r="O233" s="585">
        <v>3.6999999999999999E-4</v>
      </c>
      <c r="P233" s="175">
        <v>0</v>
      </c>
      <c r="Q233" s="175">
        <v>0</v>
      </c>
      <c r="R233" s="175">
        <v>0</v>
      </c>
      <c r="S233" s="175">
        <v>0</v>
      </c>
      <c r="T233" s="175">
        <v>0</v>
      </c>
      <c r="U233" s="175">
        <v>4.0000000000000003E-5</v>
      </c>
      <c r="V233" s="706">
        <v>3.3E-4</v>
      </c>
      <c r="W233" s="717"/>
      <c r="X233" s="713"/>
      <c r="Y233" s="718"/>
      <c r="Z233" s="709">
        <v>0</v>
      </c>
      <c r="AA233" s="175"/>
      <c r="AB233" s="192"/>
      <c r="AC233" s="205">
        <v>2.1000000000000001E-2</v>
      </c>
      <c r="AD233" s="175">
        <v>6.6</v>
      </c>
      <c r="AE233" s="175">
        <v>0.16</v>
      </c>
      <c r="AF233" s="168">
        <f t="shared" si="4"/>
        <v>1.056</v>
      </c>
      <c r="AG233" s="175">
        <v>0.38</v>
      </c>
      <c r="AH233" s="334"/>
      <c r="AI233" s="188"/>
      <c r="AJ233" s="188"/>
      <c r="AK233" s="188"/>
      <c r="AL233" s="189"/>
      <c r="AM233" s="189"/>
      <c r="AN233" s="189"/>
      <c r="AO233" s="189"/>
      <c r="AP233" s="189"/>
      <c r="AQ233" s="189"/>
      <c r="AR233" s="189"/>
      <c r="AS233" s="189"/>
      <c r="AT233" s="189"/>
      <c r="AU233" s="190"/>
      <c r="AV233" s="190"/>
      <c r="AW233" s="190"/>
      <c r="AX233" s="190"/>
      <c r="AY233" s="190"/>
      <c r="AZ233" s="189"/>
      <c r="BA233" s="189"/>
      <c r="BB233" s="189"/>
      <c r="BC233" s="189"/>
      <c r="BD233" s="189"/>
      <c r="BE233" s="189"/>
      <c r="BF233" s="189"/>
      <c r="BG233" s="189"/>
      <c r="BH233" s="189"/>
      <c r="BI233" s="190"/>
      <c r="BJ233" s="190"/>
      <c r="BK233" s="190"/>
      <c r="BL233" s="190"/>
      <c r="BM233" s="190"/>
      <c r="BN233" s="191"/>
      <c r="BO233" s="191"/>
      <c r="BP233" s="191"/>
      <c r="BQ233" s="191"/>
      <c r="BR233" s="191"/>
      <c r="BS233" s="191"/>
      <c r="BT233" s="190"/>
      <c r="BU233" s="190"/>
      <c r="BV233" s="190"/>
      <c r="BW233" s="190"/>
      <c r="BX233" s="190"/>
      <c r="BY233" s="190"/>
      <c r="BZ233" s="190"/>
      <c r="CA233" s="189"/>
      <c r="CB233" s="15"/>
    </row>
    <row r="234" spans="1:80" ht="15" x14ac:dyDescent="0.25">
      <c r="A234" s="167"/>
      <c r="B234" s="642"/>
      <c r="C234" s="642"/>
      <c r="D234" s="179"/>
      <c r="E234" s="169"/>
      <c r="F234" s="169"/>
      <c r="G234" s="186"/>
      <c r="H234" s="187"/>
      <c r="I234" s="187"/>
      <c r="J234" s="187"/>
      <c r="K234" s="187"/>
      <c r="L234" s="647"/>
      <c r="M234" s="646">
        <v>34113</v>
      </c>
      <c r="N234" s="585">
        <v>2.5</v>
      </c>
      <c r="O234" s="585">
        <v>4.0600000000000002E-3</v>
      </c>
      <c r="P234" s="175">
        <v>0</v>
      </c>
      <c r="Q234" s="175">
        <v>0</v>
      </c>
      <c r="R234" s="175">
        <v>0</v>
      </c>
      <c r="S234" s="175">
        <v>9.3999999999999997E-4</v>
      </c>
      <c r="T234" s="175">
        <v>7.6999999999999996E-4</v>
      </c>
      <c r="U234" s="175">
        <v>7.5000000000000002E-4</v>
      </c>
      <c r="V234" s="706">
        <v>1.6000000000000001E-3</v>
      </c>
      <c r="W234" s="717"/>
      <c r="X234" s="713"/>
      <c r="Y234" s="718"/>
      <c r="Z234" s="709">
        <v>0</v>
      </c>
      <c r="AA234" s="175"/>
      <c r="AB234" s="192"/>
      <c r="AC234" s="205">
        <v>2.5000000000000001E-2</v>
      </c>
      <c r="AD234" s="175">
        <v>6.7</v>
      </c>
      <c r="AE234" s="175">
        <v>0.36</v>
      </c>
      <c r="AF234" s="168">
        <f t="shared" si="4"/>
        <v>2.4119999999999999</v>
      </c>
      <c r="AG234" s="175">
        <v>1.04</v>
      </c>
      <c r="AH234" s="334"/>
      <c r="AI234" s="188"/>
      <c r="AJ234" s="188"/>
      <c r="AK234" s="188"/>
      <c r="AL234" s="189"/>
      <c r="AM234" s="189"/>
      <c r="AN234" s="189"/>
      <c r="AO234" s="189"/>
      <c r="AP234" s="189"/>
      <c r="AQ234" s="189"/>
      <c r="AR234" s="189"/>
      <c r="AS234" s="189"/>
      <c r="AT234" s="189"/>
      <c r="AU234" s="190"/>
      <c r="AV234" s="190"/>
      <c r="AW234" s="190"/>
      <c r="AX234" s="190"/>
      <c r="AY234" s="190"/>
      <c r="AZ234" s="189"/>
      <c r="BA234" s="189"/>
      <c r="BB234" s="189"/>
      <c r="BC234" s="189"/>
      <c r="BD234" s="189"/>
      <c r="BE234" s="189"/>
      <c r="BF234" s="189"/>
      <c r="BG234" s="189"/>
      <c r="BH234" s="189"/>
      <c r="BI234" s="190"/>
      <c r="BJ234" s="190"/>
      <c r="BK234" s="190"/>
      <c r="BL234" s="190"/>
      <c r="BM234" s="190"/>
      <c r="BN234" s="191"/>
      <c r="BO234" s="191"/>
      <c r="BP234" s="191"/>
      <c r="BQ234" s="191"/>
      <c r="BR234" s="191"/>
      <c r="BS234" s="191"/>
      <c r="BT234" s="190"/>
      <c r="BU234" s="190"/>
      <c r="BV234" s="190"/>
      <c r="BW234" s="190"/>
      <c r="BX234" s="190"/>
      <c r="BY234" s="190"/>
      <c r="BZ234" s="190"/>
      <c r="CA234" s="189"/>
      <c r="CB234" s="15"/>
    </row>
    <row r="235" spans="1:80" ht="15" x14ac:dyDescent="0.25">
      <c r="A235" s="167"/>
      <c r="B235" s="642"/>
      <c r="C235" s="642"/>
      <c r="D235" s="179"/>
      <c r="E235" s="169"/>
      <c r="F235" s="169"/>
      <c r="G235" s="186"/>
      <c r="H235" s="187"/>
      <c r="I235" s="187"/>
      <c r="J235" s="187"/>
      <c r="K235" s="187"/>
      <c r="L235" s="647"/>
      <c r="M235" s="646">
        <v>34114</v>
      </c>
      <c r="N235" s="585">
        <v>3.03</v>
      </c>
      <c r="O235" s="585">
        <v>1.1730000000000001E-2</v>
      </c>
      <c r="P235" s="175">
        <v>0</v>
      </c>
      <c r="Q235" s="175">
        <v>0</v>
      </c>
      <c r="R235" s="175">
        <v>0</v>
      </c>
      <c r="S235" s="175">
        <v>1.74E-3</v>
      </c>
      <c r="T235" s="175">
        <v>1E-3</v>
      </c>
      <c r="U235" s="175">
        <v>1.2800000000000001E-3</v>
      </c>
      <c r="V235" s="706">
        <v>7.7000000000000002E-3</v>
      </c>
      <c r="W235" s="717"/>
      <c r="X235" s="713"/>
      <c r="Y235" s="718"/>
      <c r="Z235" s="709">
        <v>0</v>
      </c>
      <c r="AA235" s="175"/>
      <c r="AB235" s="192"/>
      <c r="AC235" s="205">
        <v>2.5000000000000001E-2</v>
      </c>
      <c r="AD235" s="175">
        <v>6.7</v>
      </c>
      <c r="AE235" s="175">
        <v>0.43</v>
      </c>
      <c r="AF235" s="168">
        <f t="shared" si="4"/>
        <v>2.8810000000000002</v>
      </c>
      <c r="AG235" s="175">
        <v>1.04</v>
      </c>
      <c r="AH235" s="334"/>
      <c r="AI235" s="188"/>
      <c r="AJ235" s="188"/>
      <c r="AK235" s="188"/>
      <c r="AL235" s="189"/>
      <c r="AM235" s="189"/>
      <c r="AN235" s="189"/>
      <c r="AO235" s="189"/>
      <c r="AP235" s="189"/>
      <c r="AQ235" s="189"/>
      <c r="AR235" s="189"/>
      <c r="AS235" s="189"/>
      <c r="AT235" s="189"/>
      <c r="AU235" s="190"/>
      <c r="AV235" s="190"/>
      <c r="AW235" s="190"/>
      <c r="AX235" s="190"/>
      <c r="AY235" s="190"/>
      <c r="AZ235" s="189"/>
      <c r="BA235" s="189"/>
      <c r="BB235" s="189"/>
      <c r="BC235" s="189"/>
      <c r="BD235" s="189"/>
      <c r="BE235" s="189"/>
      <c r="BF235" s="189"/>
      <c r="BG235" s="189"/>
      <c r="BH235" s="189"/>
      <c r="BI235" s="190"/>
      <c r="BJ235" s="190"/>
      <c r="BK235" s="190"/>
      <c r="BL235" s="190"/>
      <c r="BM235" s="190"/>
      <c r="BN235" s="191"/>
      <c r="BO235" s="191"/>
      <c r="BP235" s="191"/>
      <c r="BQ235" s="191"/>
      <c r="BR235" s="191"/>
      <c r="BS235" s="191"/>
      <c r="BT235" s="190"/>
      <c r="BU235" s="190"/>
      <c r="BV235" s="190"/>
      <c r="BW235" s="190"/>
      <c r="BX235" s="190"/>
      <c r="BY235" s="190"/>
      <c r="BZ235" s="190"/>
      <c r="CA235" s="189"/>
      <c r="CB235" s="15"/>
    </row>
    <row r="236" spans="1:80" ht="15" x14ac:dyDescent="0.25">
      <c r="A236" s="167"/>
      <c r="B236" s="642"/>
      <c r="C236" s="642"/>
      <c r="D236" s="179"/>
      <c r="E236" s="169"/>
      <c r="F236" s="169"/>
      <c r="G236" s="186"/>
      <c r="H236" s="187"/>
      <c r="I236" s="187"/>
      <c r="J236" s="187"/>
      <c r="K236" s="187"/>
      <c r="L236" s="647"/>
      <c r="M236" s="646">
        <v>34121</v>
      </c>
      <c r="N236" s="585">
        <v>3.13</v>
      </c>
      <c r="O236" s="585">
        <v>6.046E-2</v>
      </c>
      <c r="P236" s="175">
        <v>0</v>
      </c>
      <c r="Q236" s="175">
        <v>0</v>
      </c>
      <c r="R236" s="175">
        <v>5.4099999999999999E-3</v>
      </c>
      <c r="S236" s="175">
        <v>4.3099999999999996E-3</v>
      </c>
      <c r="T236" s="175">
        <v>6.4999999999999997E-3</v>
      </c>
      <c r="U236" s="175">
        <v>1.172E-2</v>
      </c>
      <c r="V236" s="706">
        <v>3.252E-2</v>
      </c>
      <c r="W236" s="717"/>
      <c r="X236" s="713"/>
      <c r="Y236" s="718"/>
      <c r="Z236" s="709">
        <v>0</v>
      </c>
      <c r="AA236" s="175"/>
      <c r="AB236" s="192"/>
      <c r="AC236" s="205">
        <v>2.5999999999999999E-2</v>
      </c>
      <c r="AD236" s="175">
        <v>6.75</v>
      </c>
      <c r="AE236" s="175">
        <v>0.4</v>
      </c>
      <c r="AF236" s="168">
        <f t="shared" si="4"/>
        <v>2.7</v>
      </c>
      <c r="AG236" s="175">
        <v>1.17</v>
      </c>
      <c r="AH236" s="334"/>
      <c r="AI236" s="188"/>
      <c r="AJ236" s="188"/>
      <c r="AK236" s="188"/>
      <c r="AL236" s="189"/>
      <c r="AM236" s="189"/>
      <c r="AN236" s="189"/>
      <c r="AO236" s="189"/>
      <c r="AP236" s="189"/>
      <c r="AQ236" s="189"/>
      <c r="AR236" s="189"/>
      <c r="AS236" s="189"/>
      <c r="AT236" s="189"/>
      <c r="AU236" s="190"/>
      <c r="AV236" s="190"/>
      <c r="AW236" s="190"/>
      <c r="AX236" s="190"/>
      <c r="AY236" s="190"/>
      <c r="AZ236" s="189"/>
      <c r="BA236" s="189"/>
      <c r="BB236" s="189"/>
      <c r="BC236" s="189"/>
      <c r="BD236" s="189"/>
      <c r="BE236" s="189"/>
      <c r="BF236" s="189"/>
      <c r="BG236" s="189"/>
      <c r="BH236" s="189"/>
      <c r="BI236" s="190"/>
      <c r="BJ236" s="190"/>
      <c r="BK236" s="190"/>
      <c r="BL236" s="190"/>
      <c r="BM236" s="190"/>
      <c r="BN236" s="191"/>
      <c r="BO236" s="191"/>
      <c r="BP236" s="191"/>
      <c r="BQ236" s="191"/>
      <c r="BR236" s="191"/>
      <c r="BS236" s="191"/>
      <c r="BT236" s="190"/>
      <c r="BU236" s="190"/>
      <c r="BV236" s="190"/>
      <c r="BW236" s="190"/>
      <c r="BX236" s="190"/>
      <c r="BY236" s="190"/>
      <c r="BZ236" s="190"/>
      <c r="CA236" s="189"/>
      <c r="CB236" s="15"/>
    </row>
    <row r="237" spans="1:80" ht="15" x14ac:dyDescent="0.25">
      <c r="A237" s="167"/>
      <c r="B237" s="642"/>
      <c r="C237" s="642"/>
      <c r="D237" s="179"/>
      <c r="E237" s="169"/>
      <c r="F237" s="169"/>
      <c r="G237" s="186"/>
      <c r="H237" s="187"/>
      <c r="I237" s="187"/>
      <c r="J237" s="187"/>
      <c r="K237" s="187"/>
      <c r="L237" s="647"/>
      <c r="M237" s="646">
        <v>34124</v>
      </c>
      <c r="N237" s="585">
        <v>2.5299999999999998</v>
      </c>
      <c r="O237" s="585">
        <v>9.6100000000000005E-3</v>
      </c>
      <c r="P237" s="175">
        <v>0</v>
      </c>
      <c r="Q237" s="175">
        <v>0</v>
      </c>
      <c r="R237" s="175">
        <v>0</v>
      </c>
      <c r="S237" s="175">
        <v>5.6999999999999998E-4</v>
      </c>
      <c r="T237" s="175">
        <v>9.7999999999999997E-4</v>
      </c>
      <c r="U237" s="175">
        <v>1.75E-3</v>
      </c>
      <c r="V237" s="706">
        <v>6.3200000000000001E-3</v>
      </c>
      <c r="W237" s="717"/>
      <c r="X237" s="713"/>
      <c r="Y237" s="718"/>
      <c r="Z237" s="709">
        <v>0</v>
      </c>
      <c r="AA237" s="175"/>
      <c r="AB237" s="192"/>
      <c r="AC237" s="205">
        <v>2.1999999999999999E-2</v>
      </c>
      <c r="AD237" s="175">
        <v>6.75</v>
      </c>
      <c r="AE237" s="175">
        <v>0.36</v>
      </c>
      <c r="AF237" s="168">
        <f t="shared" si="4"/>
        <v>2.4299999999999997</v>
      </c>
      <c r="AG237" s="175">
        <v>1.05</v>
      </c>
      <c r="AH237" s="334"/>
      <c r="AI237" s="188"/>
      <c r="AJ237" s="188"/>
      <c r="AK237" s="188"/>
      <c r="AL237" s="189"/>
      <c r="AM237" s="189"/>
      <c r="AN237" s="189"/>
      <c r="AO237" s="189"/>
      <c r="AP237" s="189"/>
      <c r="AQ237" s="189"/>
      <c r="AR237" s="189"/>
      <c r="AS237" s="189"/>
      <c r="AT237" s="189"/>
      <c r="AU237" s="190"/>
      <c r="AV237" s="190"/>
      <c r="AW237" s="190"/>
      <c r="AX237" s="190"/>
      <c r="AY237" s="190"/>
      <c r="AZ237" s="189"/>
      <c r="BA237" s="189"/>
      <c r="BB237" s="189"/>
      <c r="BC237" s="189"/>
      <c r="BD237" s="189"/>
      <c r="BE237" s="189"/>
      <c r="BF237" s="189"/>
      <c r="BG237" s="189"/>
      <c r="BH237" s="189"/>
      <c r="BI237" s="190"/>
      <c r="BJ237" s="190"/>
      <c r="BK237" s="190"/>
      <c r="BL237" s="190"/>
      <c r="BM237" s="190"/>
      <c r="BN237" s="191"/>
      <c r="BO237" s="191"/>
      <c r="BP237" s="191"/>
      <c r="BQ237" s="191"/>
      <c r="BR237" s="191"/>
      <c r="BS237" s="191"/>
      <c r="BT237" s="190"/>
      <c r="BU237" s="190"/>
      <c r="BV237" s="190"/>
      <c r="BW237" s="190"/>
      <c r="BX237" s="190"/>
      <c r="BY237" s="190"/>
      <c r="BZ237" s="190"/>
      <c r="CA237" s="189"/>
      <c r="CB237" s="15"/>
    </row>
    <row r="238" spans="1:80" ht="15" x14ac:dyDescent="0.25">
      <c r="A238" s="167"/>
      <c r="B238" s="642"/>
      <c r="C238" s="642"/>
      <c r="D238" s="179"/>
      <c r="E238" s="169"/>
      <c r="F238" s="169"/>
      <c r="G238" s="186"/>
      <c r="H238" s="187"/>
      <c r="I238" s="187"/>
      <c r="J238" s="187"/>
      <c r="K238" s="187"/>
      <c r="L238" s="647"/>
      <c r="M238" s="646">
        <v>34127</v>
      </c>
      <c r="N238" s="585">
        <v>2.54</v>
      </c>
      <c r="O238" s="585">
        <v>9.6100000000000005E-3</v>
      </c>
      <c r="P238" s="175">
        <v>0</v>
      </c>
      <c r="Q238" s="175">
        <v>0</v>
      </c>
      <c r="R238" s="175">
        <v>2.66E-3</v>
      </c>
      <c r="S238" s="175">
        <v>2.7E-4</v>
      </c>
      <c r="T238" s="175">
        <v>7.2999999999999996E-4</v>
      </c>
      <c r="U238" s="175">
        <v>1.33E-3</v>
      </c>
      <c r="V238" s="706">
        <v>4.62E-3</v>
      </c>
      <c r="W238" s="717"/>
      <c r="X238" s="713"/>
      <c r="Y238" s="718"/>
      <c r="Z238" s="709">
        <v>0</v>
      </c>
      <c r="AA238" s="175"/>
      <c r="AB238" s="192"/>
      <c r="AC238" s="205">
        <v>2.3E-2</v>
      </c>
      <c r="AD238" s="175">
        <v>6.7</v>
      </c>
      <c r="AE238" s="175">
        <v>0.37</v>
      </c>
      <c r="AF238" s="168">
        <f t="shared" si="4"/>
        <v>2.4790000000000001</v>
      </c>
      <c r="AG238" s="175">
        <v>1.03</v>
      </c>
      <c r="AH238" s="334"/>
      <c r="AI238" s="188"/>
      <c r="AJ238" s="188"/>
      <c r="AK238" s="188"/>
      <c r="AL238" s="189"/>
      <c r="AM238" s="189"/>
      <c r="AN238" s="189"/>
      <c r="AO238" s="189"/>
      <c r="AP238" s="189"/>
      <c r="AQ238" s="189"/>
      <c r="AR238" s="189"/>
      <c r="AS238" s="189"/>
      <c r="AT238" s="189"/>
      <c r="AU238" s="190"/>
      <c r="AV238" s="190"/>
      <c r="AW238" s="190"/>
      <c r="AX238" s="190"/>
      <c r="AY238" s="190"/>
      <c r="AZ238" s="189"/>
      <c r="BA238" s="189"/>
      <c r="BB238" s="189"/>
      <c r="BC238" s="189"/>
      <c r="BD238" s="189"/>
      <c r="BE238" s="189"/>
      <c r="BF238" s="189"/>
      <c r="BG238" s="189"/>
      <c r="BH238" s="189"/>
      <c r="BI238" s="190"/>
      <c r="BJ238" s="190"/>
      <c r="BK238" s="190"/>
      <c r="BL238" s="190"/>
      <c r="BM238" s="190"/>
      <c r="BN238" s="191"/>
      <c r="BO238" s="191"/>
      <c r="BP238" s="191"/>
      <c r="BQ238" s="191"/>
      <c r="BR238" s="191"/>
      <c r="BS238" s="191"/>
      <c r="BT238" s="190"/>
      <c r="BU238" s="190"/>
      <c r="BV238" s="190"/>
      <c r="BW238" s="190"/>
      <c r="BX238" s="190"/>
      <c r="BY238" s="190"/>
      <c r="BZ238" s="190"/>
      <c r="CA238" s="189"/>
      <c r="CB238" s="15"/>
    </row>
    <row r="239" spans="1:80" ht="15" x14ac:dyDescent="0.25">
      <c r="A239" s="167"/>
      <c r="B239" s="642"/>
      <c r="C239" s="642"/>
      <c r="D239" s="179"/>
      <c r="E239" s="169"/>
      <c r="F239" s="169"/>
      <c r="G239" s="186"/>
      <c r="H239" s="187"/>
      <c r="I239" s="187"/>
      <c r="J239" s="187"/>
      <c r="K239" s="187"/>
      <c r="L239" s="647"/>
      <c r="M239" s="646">
        <v>34129</v>
      </c>
      <c r="N239" s="585">
        <v>1.91</v>
      </c>
      <c r="O239" s="585">
        <v>1.7299999999999999E-2</v>
      </c>
      <c r="P239" s="175">
        <v>0</v>
      </c>
      <c r="Q239" s="175">
        <v>0</v>
      </c>
      <c r="R239" s="175">
        <v>2.1099999999999999E-3</v>
      </c>
      <c r="S239" s="175">
        <v>1.2899999999999999E-3</v>
      </c>
      <c r="T239" s="175">
        <v>3.6099999999999999E-3</v>
      </c>
      <c r="U239" s="175">
        <v>4.1200000000000004E-3</v>
      </c>
      <c r="V239" s="706">
        <v>6.1599999999999997E-3</v>
      </c>
      <c r="W239" s="717"/>
      <c r="X239" s="713"/>
      <c r="Y239" s="718"/>
      <c r="Z239" s="709">
        <v>0</v>
      </c>
      <c r="AA239" s="175"/>
      <c r="AB239" s="192"/>
      <c r="AC239" s="205">
        <v>1.7000000000000001E-2</v>
      </c>
      <c r="AD239" s="175">
        <v>6.7</v>
      </c>
      <c r="AE239" s="175">
        <v>0.33</v>
      </c>
      <c r="AF239" s="168">
        <f t="shared" si="4"/>
        <v>2.2110000000000003</v>
      </c>
      <c r="AG239" s="175">
        <v>0.87</v>
      </c>
      <c r="AH239" s="334"/>
      <c r="AI239" s="188"/>
      <c r="AJ239" s="188"/>
      <c r="AK239" s="188"/>
      <c r="AL239" s="189"/>
      <c r="AM239" s="189"/>
      <c r="AN239" s="189"/>
      <c r="AO239" s="189"/>
      <c r="AP239" s="189"/>
      <c r="AQ239" s="189"/>
      <c r="AR239" s="189"/>
      <c r="AS239" s="189"/>
      <c r="AT239" s="189"/>
      <c r="AU239" s="190"/>
      <c r="AV239" s="190"/>
      <c r="AW239" s="190"/>
      <c r="AX239" s="190"/>
      <c r="AY239" s="190"/>
      <c r="AZ239" s="189"/>
      <c r="BA239" s="189"/>
      <c r="BB239" s="189"/>
      <c r="BC239" s="189"/>
      <c r="BD239" s="189"/>
      <c r="BE239" s="189"/>
      <c r="BF239" s="189"/>
      <c r="BG239" s="189"/>
      <c r="BH239" s="189"/>
      <c r="BI239" s="190"/>
      <c r="BJ239" s="190"/>
      <c r="BK239" s="190"/>
      <c r="BL239" s="190"/>
      <c r="BM239" s="190"/>
      <c r="BN239" s="191"/>
      <c r="BO239" s="191"/>
      <c r="BP239" s="191"/>
      <c r="BQ239" s="191"/>
      <c r="BR239" s="191"/>
      <c r="BS239" s="191"/>
      <c r="BT239" s="190"/>
      <c r="BU239" s="190"/>
      <c r="BV239" s="190"/>
      <c r="BW239" s="190"/>
      <c r="BX239" s="190"/>
      <c r="BY239" s="190"/>
      <c r="BZ239" s="190"/>
      <c r="CA239" s="189"/>
      <c r="CB239" s="15"/>
    </row>
    <row r="240" spans="1:80" ht="15" x14ac:dyDescent="0.25">
      <c r="A240" s="167"/>
      <c r="B240" s="642"/>
      <c r="C240" s="642"/>
      <c r="D240" s="179"/>
      <c r="E240" s="169"/>
      <c r="F240" s="169"/>
      <c r="G240" s="186"/>
      <c r="H240" s="187"/>
      <c r="I240" s="187"/>
      <c r="J240" s="187"/>
      <c r="K240" s="187"/>
      <c r="L240" s="647"/>
      <c r="M240" s="646">
        <v>34130</v>
      </c>
      <c r="N240" s="585">
        <v>1.63</v>
      </c>
      <c r="O240" s="585">
        <v>2.6099999999999999E-3</v>
      </c>
      <c r="P240" s="175">
        <v>0</v>
      </c>
      <c r="Q240" s="175">
        <v>0</v>
      </c>
      <c r="R240" s="175">
        <v>0</v>
      </c>
      <c r="S240" s="175">
        <v>0</v>
      </c>
      <c r="T240" s="175">
        <v>2.9E-4</v>
      </c>
      <c r="U240" s="175">
        <v>5.6999999999999998E-4</v>
      </c>
      <c r="V240" s="706">
        <v>1.75E-3</v>
      </c>
      <c r="W240" s="717"/>
      <c r="X240" s="713"/>
      <c r="Y240" s="718"/>
      <c r="Z240" s="709">
        <v>0</v>
      </c>
      <c r="AA240" s="175"/>
      <c r="AB240" s="192"/>
      <c r="AC240" s="205">
        <v>1.6E-2</v>
      </c>
      <c r="AD240" s="175">
        <v>6.65</v>
      </c>
      <c r="AE240" s="175">
        <v>0.3</v>
      </c>
      <c r="AF240" s="168">
        <f t="shared" si="4"/>
        <v>1.9950000000000001</v>
      </c>
      <c r="AG240" s="175">
        <v>0.82</v>
      </c>
      <c r="AH240" s="334"/>
      <c r="AI240" s="188"/>
      <c r="AJ240" s="188"/>
      <c r="AK240" s="188"/>
      <c r="AL240" s="189"/>
      <c r="AM240" s="189"/>
      <c r="AN240" s="189"/>
      <c r="AO240" s="189"/>
      <c r="AP240" s="189"/>
      <c r="AQ240" s="189"/>
      <c r="AR240" s="189"/>
      <c r="AS240" s="189"/>
      <c r="AT240" s="189"/>
      <c r="AU240" s="190"/>
      <c r="AV240" s="190"/>
      <c r="AW240" s="190"/>
      <c r="AX240" s="190"/>
      <c r="AY240" s="190"/>
      <c r="AZ240" s="189"/>
      <c r="BA240" s="189"/>
      <c r="BB240" s="189"/>
      <c r="BC240" s="189"/>
      <c r="BD240" s="189"/>
      <c r="BE240" s="189"/>
      <c r="BF240" s="189"/>
      <c r="BG240" s="189"/>
      <c r="BH240" s="189"/>
      <c r="BI240" s="190"/>
      <c r="BJ240" s="190"/>
      <c r="BK240" s="190"/>
      <c r="BL240" s="190"/>
      <c r="BM240" s="190"/>
      <c r="BN240" s="191"/>
      <c r="BO240" s="191"/>
      <c r="BP240" s="191"/>
      <c r="BQ240" s="191"/>
      <c r="BR240" s="191"/>
      <c r="BS240" s="191"/>
      <c r="BT240" s="190"/>
      <c r="BU240" s="190"/>
      <c r="BV240" s="190"/>
      <c r="BW240" s="190"/>
      <c r="BX240" s="190"/>
      <c r="BY240" s="190"/>
      <c r="BZ240" s="190"/>
      <c r="CA240" s="189"/>
      <c r="CB240" s="15"/>
    </row>
    <row r="241" spans="1:80" ht="15" x14ac:dyDescent="0.25">
      <c r="A241" s="167"/>
      <c r="B241" s="642"/>
      <c r="C241" s="642"/>
      <c r="D241" s="179"/>
      <c r="E241" s="169"/>
      <c r="F241" s="169"/>
      <c r="G241" s="186"/>
      <c r="H241" s="187"/>
      <c r="I241" s="187"/>
      <c r="J241" s="187"/>
      <c r="K241" s="187"/>
      <c r="L241" s="647"/>
      <c r="M241" s="646">
        <v>34131</v>
      </c>
      <c r="N241" s="585">
        <v>0.97</v>
      </c>
      <c r="O241" s="585">
        <v>2.7000000000000001E-3</v>
      </c>
      <c r="P241" s="175">
        <v>0</v>
      </c>
      <c r="Q241" s="175">
        <v>0</v>
      </c>
      <c r="R241" s="175">
        <v>0</v>
      </c>
      <c r="S241" s="175">
        <v>8.0999999999999996E-4</v>
      </c>
      <c r="T241" s="175">
        <v>4.6999999999999999E-4</v>
      </c>
      <c r="U241" s="175">
        <v>3.6999999999999999E-4</v>
      </c>
      <c r="V241" s="706">
        <v>1.0499999999999999E-3</v>
      </c>
      <c r="W241" s="717"/>
      <c r="X241" s="713"/>
      <c r="Y241" s="718"/>
      <c r="Z241" s="709">
        <v>0</v>
      </c>
      <c r="AA241" s="175"/>
      <c r="AB241" s="192"/>
      <c r="AC241" s="205">
        <v>1.4999999999999999E-2</v>
      </c>
      <c r="AD241" s="175">
        <v>6.65</v>
      </c>
      <c r="AE241" s="175">
        <v>0.25</v>
      </c>
      <c r="AF241" s="168">
        <f t="shared" si="4"/>
        <v>1.6625000000000001</v>
      </c>
      <c r="AG241" s="175">
        <v>0.56999999999999995</v>
      </c>
      <c r="AH241" s="334"/>
      <c r="AI241" s="188"/>
      <c r="AJ241" s="188"/>
      <c r="AK241" s="188"/>
      <c r="AL241" s="189"/>
      <c r="AM241" s="189"/>
      <c r="AN241" s="189"/>
      <c r="AO241" s="189"/>
      <c r="AP241" s="189"/>
      <c r="AQ241" s="189"/>
      <c r="AR241" s="189"/>
      <c r="AS241" s="189"/>
      <c r="AT241" s="189"/>
      <c r="AU241" s="190"/>
      <c r="AV241" s="190"/>
      <c r="AW241" s="190"/>
      <c r="AX241" s="190"/>
      <c r="AY241" s="190"/>
      <c r="AZ241" s="189"/>
      <c r="BA241" s="189"/>
      <c r="BB241" s="189"/>
      <c r="BC241" s="189"/>
      <c r="BD241" s="189"/>
      <c r="BE241" s="189"/>
      <c r="BF241" s="189"/>
      <c r="BG241" s="189"/>
      <c r="BH241" s="189"/>
      <c r="BI241" s="190"/>
      <c r="BJ241" s="190"/>
      <c r="BK241" s="190"/>
      <c r="BL241" s="190"/>
      <c r="BM241" s="190"/>
      <c r="BN241" s="191"/>
      <c r="BO241" s="191"/>
      <c r="BP241" s="191"/>
      <c r="BQ241" s="191"/>
      <c r="BR241" s="191"/>
      <c r="BS241" s="191"/>
      <c r="BT241" s="190"/>
      <c r="BU241" s="190"/>
      <c r="BV241" s="190"/>
      <c r="BW241" s="190"/>
      <c r="BX241" s="190"/>
      <c r="BY241" s="190"/>
      <c r="BZ241" s="190"/>
      <c r="CA241" s="189"/>
      <c r="CB241" s="15"/>
    </row>
    <row r="242" spans="1:80" ht="15" x14ac:dyDescent="0.25">
      <c r="A242" s="167"/>
      <c r="B242" s="642"/>
      <c r="C242" s="642"/>
      <c r="D242" s="179"/>
      <c r="E242" s="169"/>
      <c r="F242" s="169"/>
      <c r="G242" s="186"/>
      <c r="H242" s="187"/>
      <c r="I242" s="187"/>
      <c r="J242" s="187"/>
      <c r="K242" s="187"/>
      <c r="L242" s="647"/>
      <c r="M242" s="646">
        <v>34133</v>
      </c>
      <c r="N242" s="585">
        <v>1.07</v>
      </c>
      <c r="O242" s="585">
        <v>3.8000000000000002E-4</v>
      </c>
      <c r="P242" s="175">
        <v>0</v>
      </c>
      <c r="Q242" s="175">
        <v>0</v>
      </c>
      <c r="R242" s="175">
        <v>0</v>
      </c>
      <c r="S242" s="175">
        <v>0</v>
      </c>
      <c r="T242" s="175">
        <v>4.0000000000000003E-5</v>
      </c>
      <c r="U242" s="175">
        <v>6.0000000000000002E-5</v>
      </c>
      <c r="V242" s="706">
        <v>2.7999999999999998E-4</v>
      </c>
      <c r="W242" s="717"/>
      <c r="X242" s="713"/>
      <c r="Y242" s="718"/>
      <c r="Z242" s="709">
        <v>0</v>
      </c>
      <c r="AA242" s="175"/>
      <c r="AB242" s="192"/>
      <c r="AC242" s="205">
        <v>1.4999999999999999E-2</v>
      </c>
      <c r="AD242" s="175">
        <v>6.6</v>
      </c>
      <c r="AE242" s="175">
        <v>0.26</v>
      </c>
      <c r="AF242" s="168">
        <f t="shared" si="4"/>
        <v>1.716</v>
      </c>
      <c r="AG242" s="175">
        <v>0.64</v>
      </c>
      <c r="AH242" s="334"/>
      <c r="AI242" s="188"/>
      <c r="AJ242" s="188"/>
      <c r="AK242" s="188"/>
      <c r="AL242" s="189"/>
      <c r="AM242" s="189"/>
      <c r="AN242" s="189"/>
      <c r="AO242" s="189"/>
      <c r="AP242" s="189"/>
      <c r="AQ242" s="189"/>
      <c r="AR242" s="189"/>
      <c r="AS242" s="189"/>
      <c r="AT242" s="189"/>
      <c r="AU242" s="190"/>
      <c r="AV242" s="190"/>
      <c r="AW242" s="190"/>
      <c r="AX242" s="190"/>
      <c r="AY242" s="190"/>
      <c r="AZ242" s="189"/>
      <c r="BA242" s="189"/>
      <c r="BB242" s="189"/>
      <c r="BC242" s="189"/>
      <c r="BD242" s="189"/>
      <c r="BE242" s="189"/>
      <c r="BF242" s="189"/>
      <c r="BG242" s="189"/>
      <c r="BH242" s="189"/>
      <c r="BI242" s="190"/>
      <c r="BJ242" s="190"/>
      <c r="BK242" s="190"/>
      <c r="BL242" s="190"/>
      <c r="BM242" s="190"/>
      <c r="BN242" s="191"/>
      <c r="BO242" s="191"/>
      <c r="BP242" s="191"/>
      <c r="BQ242" s="191"/>
      <c r="BR242" s="191"/>
      <c r="BS242" s="191"/>
      <c r="BT242" s="190"/>
      <c r="BU242" s="190"/>
      <c r="BV242" s="190"/>
      <c r="BW242" s="190"/>
      <c r="BX242" s="190"/>
      <c r="BY242" s="190"/>
      <c r="BZ242" s="190"/>
      <c r="CA242" s="189"/>
      <c r="CB242" s="15"/>
    </row>
    <row r="243" spans="1:80" ht="15" x14ac:dyDescent="0.25">
      <c r="A243" s="167"/>
      <c r="B243" s="642"/>
      <c r="C243" s="642"/>
      <c r="D243" s="179"/>
      <c r="E243" s="169"/>
      <c r="F243" s="169"/>
      <c r="G243" s="186"/>
      <c r="H243" s="187"/>
      <c r="I243" s="187"/>
      <c r="J243" s="187"/>
      <c r="K243" s="187"/>
      <c r="L243" s="647"/>
      <c r="M243" s="646">
        <v>34134</v>
      </c>
      <c r="N243" s="585">
        <v>2.56</v>
      </c>
      <c r="O243" s="585">
        <v>6.2120000000000002E-2</v>
      </c>
      <c r="P243" s="175">
        <v>0</v>
      </c>
      <c r="Q243" s="175">
        <v>0</v>
      </c>
      <c r="R243" s="175">
        <v>4.47E-3</v>
      </c>
      <c r="S243" s="175">
        <v>4.62E-3</v>
      </c>
      <c r="T243" s="175">
        <v>1.2489999999999999E-2</v>
      </c>
      <c r="U243" s="175">
        <v>1.3650000000000001E-2</v>
      </c>
      <c r="V243" s="706">
        <v>2.6890000000000001E-2</v>
      </c>
      <c r="W243" s="717"/>
      <c r="X243" s="713"/>
      <c r="Y243" s="718"/>
      <c r="Z243" s="709">
        <v>0</v>
      </c>
      <c r="AA243" s="175"/>
      <c r="AB243" s="192"/>
      <c r="AC243" s="205">
        <v>2.1000000000000001E-2</v>
      </c>
      <c r="AD243" s="175">
        <v>6.6</v>
      </c>
      <c r="AE243" s="175">
        <v>0.38</v>
      </c>
      <c r="AF243" s="168">
        <f t="shared" si="4"/>
        <v>2.508</v>
      </c>
      <c r="AG243" s="175">
        <v>1.02</v>
      </c>
      <c r="AH243" s="334"/>
      <c r="AI243" s="188"/>
      <c r="AJ243" s="188"/>
      <c r="AK243" s="188"/>
      <c r="AL243" s="189"/>
      <c r="AM243" s="189"/>
      <c r="AN243" s="189"/>
      <c r="AO243" s="189"/>
      <c r="AP243" s="189"/>
      <c r="AQ243" s="189"/>
      <c r="AR243" s="189"/>
      <c r="AS243" s="189"/>
      <c r="AT243" s="189"/>
      <c r="AU243" s="190"/>
      <c r="AV243" s="190"/>
      <c r="AW243" s="190"/>
      <c r="AX243" s="190"/>
      <c r="AY243" s="190"/>
      <c r="AZ243" s="189"/>
      <c r="BA243" s="189"/>
      <c r="BB243" s="189"/>
      <c r="BC243" s="189"/>
      <c r="BD243" s="189"/>
      <c r="BE243" s="189"/>
      <c r="BF243" s="189"/>
      <c r="BG243" s="189"/>
      <c r="BH243" s="189"/>
      <c r="BI243" s="190"/>
      <c r="BJ243" s="190"/>
      <c r="BK243" s="190"/>
      <c r="BL243" s="190"/>
      <c r="BM243" s="190"/>
      <c r="BN243" s="191"/>
      <c r="BO243" s="191"/>
      <c r="BP243" s="191"/>
      <c r="BQ243" s="191"/>
      <c r="BR243" s="191"/>
      <c r="BS243" s="191"/>
      <c r="BT243" s="190"/>
      <c r="BU243" s="190"/>
      <c r="BV243" s="190"/>
      <c r="BW243" s="190"/>
      <c r="BX243" s="190"/>
      <c r="BY243" s="190"/>
      <c r="BZ243" s="190"/>
      <c r="CA243" s="189"/>
      <c r="CB243" s="15"/>
    </row>
    <row r="244" spans="1:80" ht="15" x14ac:dyDescent="0.25">
      <c r="A244" s="167"/>
      <c r="B244" s="642"/>
      <c r="C244" s="642"/>
      <c r="D244" s="179"/>
      <c r="E244" s="169"/>
      <c r="F244" s="169"/>
      <c r="G244" s="186"/>
      <c r="H244" s="187"/>
      <c r="I244" s="187"/>
      <c r="J244" s="187"/>
      <c r="K244" s="187"/>
      <c r="L244" s="647"/>
      <c r="M244" s="646">
        <v>34136</v>
      </c>
      <c r="N244" s="585">
        <v>2.4900000000000002</v>
      </c>
      <c r="O244" s="585">
        <v>4.9430000000000002E-2</v>
      </c>
      <c r="P244" s="175">
        <v>0</v>
      </c>
      <c r="Q244" s="175">
        <v>0</v>
      </c>
      <c r="R244" s="175">
        <v>6.6E-4</v>
      </c>
      <c r="S244" s="175">
        <v>7.8499999999999993E-3</v>
      </c>
      <c r="T244" s="175">
        <v>1.23E-2</v>
      </c>
      <c r="U244" s="175">
        <v>9.0900000000000009E-3</v>
      </c>
      <c r="V244" s="706">
        <v>1.9529999999999999E-2</v>
      </c>
      <c r="W244" s="717"/>
      <c r="X244" s="713"/>
      <c r="Y244" s="718"/>
      <c r="Z244" s="709">
        <v>0</v>
      </c>
      <c r="AA244" s="175"/>
      <c r="AB244" s="192"/>
      <c r="AC244" s="205">
        <v>2.1999999999999999E-2</v>
      </c>
      <c r="AD244" s="175">
        <v>6.6</v>
      </c>
      <c r="AE244" s="175">
        <v>0.37</v>
      </c>
      <c r="AF244" s="168">
        <f t="shared" si="4"/>
        <v>2.4419999999999997</v>
      </c>
      <c r="AG244" s="175">
        <v>1.01</v>
      </c>
      <c r="AH244" s="334"/>
      <c r="AI244" s="188"/>
      <c r="AJ244" s="188"/>
      <c r="AK244" s="188"/>
      <c r="AL244" s="189"/>
      <c r="AM244" s="189"/>
      <c r="AN244" s="189"/>
      <c r="AO244" s="189"/>
      <c r="AP244" s="189"/>
      <c r="AQ244" s="189"/>
      <c r="AR244" s="189"/>
      <c r="AS244" s="189"/>
      <c r="AT244" s="189"/>
      <c r="AU244" s="190"/>
      <c r="AV244" s="190"/>
      <c r="AW244" s="190"/>
      <c r="AX244" s="190"/>
      <c r="AY244" s="190"/>
      <c r="AZ244" s="189"/>
      <c r="BA244" s="189"/>
      <c r="BB244" s="189"/>
      <c r="BC244" s="189"/>
      <c r="BD244" s="189"/>
      <c r="BE244" s="189"/>
      <c r="BF244" s="189"/>
      <c r="BG244" s="189"/>
      <c r="BH244" s="189"/>
      <c r="BI244" s="190"/>
      <c r="BJ244" s="190"/>
      <c r="BK244" s="190"/>
      <c r="BL244" s="190"/>
      <c r="BM244" s="190"/>
      <c r="BN244" s="191"/>
      <c r="BO244" s="191"/>
      <c r="BP244" s="191"/>
      <c r="BQ244" s="191"/>
      <c r="BR244" s="191"/>
      <c r="BS244" s="191"/>
      <c r="BT244" s="190"/>
      <c r="BU244" s="190"/>
      <c r="BV244" s="190"/>
      <c r="BW244" s="190"/>
      <c r="BX244" s="190"/>
      <c r="BY244" s="190"/>
      <c r="BZ244" s="190"/>
      <c r="CA244" s="189"/>
      <c r="CB244" s="15"/>
    </row>
    <row r="245" spans="1:80" ht="15" x14ac:dyDescent="0.25">
      <c r="A245" s="167"/>
      <c r="B245" s="642"/>
      <c r="C245" s="642"/>
      <c r="D245" s="179"/>
      <c r="E245" s="169"/>
      <c r="F245" s="169"/>
      <c r="G245" s="186"/>
      <c r="H245" s="187"/>
      <c r="I245" s="187"/>
      <c r="J245" s="187"/>
      <c r="K245" s="187"/>
      <c r="L245" s="647"/>
      <c r="M245" s="646">
        <v>34139</v>
      </c>
      <c r="N245" s="585">
        <v>3.85</v>
      </c>
      <c r="O245" s="585">
        <v>4.1680000000000002E-2</v>
      </c>
      <c r="P245" s="175">
        <v>0</v>
      </c>
      <c r="Q245" s="175">
        <v>0</v>
      </c>
      <c r="R245" s="175">
        <v>4.28E-3</v>
      </c>
      <c r="S245" s="175">
        <v>1.75E-3</v>
      </c>
      <c r="T245" s="175">
        <v>4.81E-3</v>
      </c>
      <c r="U245" s="175">
        <v>7.4599999999999996E-3</v>
      </c>
      <c r="V245" s="706">
        <v>2.3369999999999998E-2</v>
      </c>
      <c r="W245" s="717"/>
      <c r="X245" s="713"/>
      <c r="Y245" s="718"/>
      <c r="Z245" s="709">
        <v>0</v>
      </c>
      <c r="AA245" s="175"/>
      <c r="AB245" s="192"/>
      <c r="AC245" s="205">
        <v>2.8000000000000001E-2</v>
      </c>
      <c r="AD245" s="175">
        <v>6.8</v>
      </c>
      <c r="AE245" s="175">
        <v>0.42</v>
      </c>
      <c r="AF245" s="168">
        <f t="shared" si="4"/>
        <v>2.8559999999999999</v>
      </c>
      <c r="AG245" s="175">
        <v>1.34</v>
      </c>
      <c r="AH245" s="334"/>
      <c r="AI245" s="188"/>
      <c r="AJ245" s="188"/>
      <c r="AK245" s="188"/>
      <c r="AL245" s="189"/>
      <c r="AM245" s="189"/>
      <c r="AN245" s="189"/>
      <c r="AO245" s="189"/>
      <c r="AP245" s="189"/>
      <c r="AQ245" s="189"/>
      <c r="AR245" s="189"/>
      <c r="AS245" s="189"/>
      <c r="AT245" s="189"/>
      <c r="AU245" s="190"/>
      <c r="AV245" s="190"/>
      <c r="AW245" s="190"/>
      <c r="AX245" s="190"/>
      <c r="AY245" s="190"/>
      <c r="AZ245" s="189"/>
      <c r="BA245" s="189"/>
      <c r="BB245" s="189"/>
      <c r="BC245" s="189"/>
      <c r="BD245" s="189"/>
      <c r="BE245" s="189"/>
      <c r="BF245" s="189"/>
      <c r="BG245" s="189"/>
      <c r="BH245" s="189"/>
      <c r="BI245" s="190"/>
      <c r="BJ245" s="190"/>
      <c r="BK245" s="190"/>
      <c r="BL245" s="190"/>
      <c r="BM245" s="190"/>
      <c r="BN245" s="191"/>
      <c r="BO245" s="191"/>
      <c r="BP245" s="191"/>
      <c r="BQ245" s="191"/>
      <c r="BR245" s="191"/>
      <c r="BS245" s="191"/>
      <c r="BT245" s="190"/>
      <c r="BU245" s="190"/>
      <c r="BV245" s="190"/>
      <c r="BW245" s="190"/>
      <c r="BX245" s="190"/>
      <c r="BY245" s="190"/>
      <c r="BZ245" s="190"/>
      <c r="CA245" s="189"/>
      <c r="CB245" s="15"/>
    </row>
    <row r="246" spans="1:80" ht="15" x14ac:dyDescent="0.25">
      <c r="A246" s="167"/>
      <c r="B246" s="642"/>
      <c r="C246" s="642"/>
      <c r="D246" s="179"/>
      <c r="E246" s="169"/>
      <c r="F246" s="169"/>
      <c r="G246" s="186"/>
      <c r="H246" s="187"/>
      <c r="I246" s="187"/>
      <c r="J246" s="187"/>
      <c r="K246" s="187"/>
      <c r="L246" s="647"/>
      <c r="M246" s="646">
        <v>34141</v>
      </c>
      <c r="N246" s="585">
        <v>5.15</v>
      </c>
      <c r="O246" s="585">
        <v>0.25351000000000001</v>
      </c>
      <c r="P246" s="175">
        <v>0</v>
      </c>
      <c r="Q246" s="175">
        <v>5.4850000000000003E-2</v>
      </c>
      <c r="R246" s="175">
        <v>2.444E-2</v>
      </c>
      <c r="S246" s="175">
        <v>2.6919999999999999E-2</v>
      </c>
      <c r="T246" s="175">
        <v>3.0720000000000001E-2</v>
      </c>
      <c r="U246" s="175">
        <v>3.7060000000000003E-2</v>
      </c>
      <c r="V246" s="706">
        <v>7.9530000000000003E-2</v>
      </c>
      <c r="W246" s="717"/>
      <c r="X246" s="713"/>
      <c r="Y246" s="718"/>
      <c r="Z246" s="709">
        <v>0</v>
      </c>
      <c r="AA246" s="175"/>
      <c r="AB246" s="192"/>
      <c r="AC246" s="205">
        <v>1.9E-2</v>
      </c>
      <c r="AD246" s="175">
        <v>6.75</v>
      </c>
      <c r="AE246" s="175">
        <v>0.51</v>
      </c>
      <c r="AF246" s="168">
        <f t="shared" si="4"/>
        <v>3.4424999999999999</v>
      </c>
      <c r="AG246" s="175">
        <v>1.5</v>
      </c>
      <c r="AH246" s="334"/>
      <c r="AI246" s="188"/>
      <c r="AJ246" s="188"/>
      <c r="AK246" s="188"/>
      <c r="AL246" s="189"/>
      <c r="AM246" s="189"/>
      <c r="AN246" s="189"/>
      <c r="AO246" s="189"/>
      <c r="AP246" s="189"/>
      <c r="AQ246" s="189"/>
      <c r="AR246" s="189"/>
      <c r="AS246" s="189"/>
      <c r="AT246" s="189"/>
      <c r="AU246" s="190"/>
      <c r="AV246" s="190"/>
      <c r="AW246" s="190"/>
      <c r="AX246" s="190"/>
      <c r="AY246" s="190"/>
      <c r="AZ246" s="189"/>
      <c r="BA246" s="189"/>
      <c r="BB246" s="189"/>
      <c r="BC246" s="189"/>
      <c r="BD246" s="189"/>
      <c r="BE246" s="189"/>
      <c r="BF246" s="189"/>
      <c r="BG246" s="189"/>
      <c r="BH246" s="189"/>
      <c r="BI246" s="190"/>
      <c r="BJ246" s="190"/>
      <c r="BK246" s="190"/>
      <c r="BL246" s="190"/>
      <c r="BM246" s="190"/>
      <c r="BN246" s="191"/>
      <c r="BO246" s="191"/>
      <c r="BP246" s="191"/>
      <c r="BQ246" s="191"/>
      <c r="BR246" s="191"/>
      <c r="BS246" s="191"/>
      <c r="BT246" s="190"/>
      <c r="BU246" s="190"/>
      <c r="BV246" s="190"/>
      <c r="BW246" s="190"/>
      <c r="BX246" s="190"/>
      <c r="BY246" s="190"/>
      <c r="BZ246" s="190"/>
      <c r="CA246" s="189"/>
      <c r="CB246" s="15"/>
    </row>
    <row r="247" spans="1:80" ht="15" x14ac:dyDescent="0.25">
      <c r="A247" s="167"/>
      <c r="B247" s="642"/>
      <c r="C247" s="642"/>
      <c r="D247" s="179"/>
      <c r="E247" s="169"/>
      <c r="F247" s="169"/>
      <c r="G247" s="186"/>
      <c r="H247" s="187"/>
      <c r="I247" s="187"/>
      <c r="J247" s="187"/>
      <c r="K247" s="187"/>
      <c r="L247" s="647"/>
      <c r="M247" s="646">
        <v>34142</v>
      </c>
      <c r="N247" s="585">
        <v>4.42</v>
      </c>
      <c r="O247" s="585">
        <v>0.12136</v>
      </c>
      <c r="P247" s="175">
        <v>0</v>
      </c>
      <c r="Q247" s="175">
        <v>0</v>
      </c>
      <c r="R247" s="175">
        <v>1.0619999999999999E-2</v>
      </c>
      <c r="S247" s="175">
        <v>1.95E-2</v>
      </c>
      <c r="T247" s="175">
        <v>2.2589999999999999E-2</v>
      </c>
      <c r="U247" s="175">
        <v>2.5749999999999999E-2</v>
      </c>
      <c r="V247" s="706">
        <v>4.2909999999999997E-2</v>
      </c>
      <c r="W247" s="717"/>
      <c r="X247" s="713"/>
      <c r="Y247" s="718"/>
      <c r="Z247" s="709">
        <v>0</v>
      </c>
      <c r="AA247" s="175"/>
      <c r="AB247" s="192"/>
      <c r="AC247" s="205">
        <v>2.5000000000000001E-2</v>
      </c>
      <c r="AD247" s="175">
        <v>6.75</v>
      </c>
      <c r="AE247" s="175">
        <v>0.48</v>
      </c>
      <c r="AF247" s="168">
        <f t="shared" si="4"/>
        <v>3.2399999999999998</v>
      </c>
      <c r="AG247" s="175">
        <v>1.36</v>
      </c>
      <c r="AH247" s="334"/>
      <c r="AI247" s="188"/>
      <c r="AJ247" s="188"/>
      <c r="AK247" s="188"/>
      <c r="AL247" s="189"/>
      <c r="AM247" s="189"/>
      <c r="AN247" s="189"/>
      <c r="AO247" s="189"/>
      <c r="AP247" s="189"/>
      <c r="AQ247" s="189"/>
      <c r="AR247" s="189"/>
      <c r="AS247" s="189"/>
      <c r="AT247" s="189"/>
      <c r="AU247" s="190"/>
      <c r="AV247" s="190"/>
      <c r="AW247" s="190"/>
      <c r="AX247" s="190"/>
      <c r="AY247" s="190"/>
      <c r="AZ247" s="189"/>
      <c r="BA247" s="189"/>
      <c r="BB247" s="189"/>
      <c r="BC247" s="189"/>
      <c r="BD247" s="189"/>
      <c r="BE247" s="189"/>
      <c r="BF247" s="189"/>
      <c r="BG247" s="189"/>
      <c r="BH247" s="189"/>
      <c r="BI247" s="190"/>
      <c r="BJ247" s="190"/>
      <c r="BK247" s="190"/>
      <c r="BL247" s="190"/>
      <c r="BM247" s="190"/>
      <c r="BN247" s="191"/>
      <c r="BO247" s="191"/>
      <c r="BP247" s="191"/>
      <c r="BQ247" s="191"/>
      <c r="BR247" s="191"/>
      <c r="BS247" s="191"/>
      <c r="BT247" s="190"/>
      <c r="BU247" s="190"/>
      <c r="BV247" s="190"/>
      <c r="BW247" s="190"/>
      <c r="BX247" s="190"/>
      <c r="BY247" s="190"/>
      <c r="BZ247" s="190"/>
      <c r="CA247" s="189"/>
      <c r="CB247" s="15"/>
    </row>
    <row r="248" spans="1:80" ht="15" x14ac:dyDescent="0.25">
      <c r="A248" s="167"/>
      <c r="B248" s="642"/>
      <c r="C248" s="642"/>
      <c r="D248" s="179"/>
      <c r="E248" s="169"/>
      <c r="F248" s="169"/>
      <c r="G248" s="186"/>
      <c r="H248" s="187"/>
      <c r="I248" s="187"/>
      <c r="J248" s="187"/>
      <c r="K248" s="187"/>
      <c r="L248" s="647"/>
      <c r="M248" s="646">
        <v>34144</v>
      </c>
      <c r="N248" s="585">
        <v>4.71</v>
      </c>
      <c r="O248" s="585">
        <v>0.11515</v>
      </c>
      <c r="P248" s="175">
        <v>0</v>
      </c>
      <c r="Q248" s="175">
        <v>0</v>
      </c>
      <c r="R248" s="175">
        <v>4.4299999999999999E-3</v>
      </c>
      <c r="S248" s="175">
        <v>2.087E-2</v>
      </c>
      <c r="T248" s="175">
        <v>2.691E-2</v>
      </c>
      <c r="U248" s="175">
        <v>2.5489999999999999E-2</v>
      </c>
      <c r="V248" s="706">
        <v>3.7440000000000001E-2</v>
      </c>
      <c r="W248" s="717"/>
      <c r="X248" s="713"/>
      <c r="Y248" s="718"/>
      <c r="Z248" s="709">
        <v>0</v>
      </c>
      <c r="AA248" s="175"/>
      <c r="AB248" s="192"/>
      <c r="AC248" s="205">
        <v>2.5000000000000001E-2</v>
      </c>
      <c r="AD248" s="175">
        <v>6.8</v>
      </c>
      <c r="AE248" s="175">
        <v>0.46</v>
      </c>
      <c r="AF248" s="168">
        <f t="shared" si="4"/>
        <v>3.1280000000000001</v>
      </c>
      <c r="AG248" s="175">
        <v>1.49</v>
      </c>
      <c r="AH248" s="334"/>
      <c r="AI248" s="188"/>
      <c r="AJ248" s="188"/>
      <c r="AK248" s="188"/>
      <c r="AL248" s="189"/>
      <c r="AM248" s="189"/>
      <c r="AN248" s="189"/>
      <c r="AO248" s="189"/>
      <c r="AP248" s="189"/>
      <c r="AQ248" s="189"/>
      <c r="AR248" s="189"/>
      <c r="AS248" s="189"/>
      <c r="AT248" s="189"/>
      <c r="AU248" s="190"/>
      <c r="AV248" s="190"/>
      <c r="AW248" s="190"/>
      <c r="AX248" s="190"/>
      <c r="AY248" s="190"/>
      <c r="AZ248" s="189"/>
      <c r="BA248" s="189"/>
      <c r="BB248" s="189"/>
      <c r="BC248" s="189"/>
      <c r="BD248" s="189"/>
      <c r="BE248" s="189"/>
      <c r="BF248" s="189"/>
      <c r="BG248" s="189"/>
      <c r="BH248" s="189"/>
      <c r="BI248" s="190"/>
      <c r="BJ248" s="190"/>
      <c r="BK248" s="190"/>
      <c r="BL248" s="190"/>
      <c r="BM248" s="190"/>
      <c r="BN248" s="191"/>
      <c r="BO248" s="191"/>
      <c r="BP248" s="191"/>
      <c r="BQ248" s="191"/>
      <c r="BR248" s="191"/>
      <c r="BS248" s="191"/>
      <c r="BT248" s="190"/>
      <c r="BU248" s="190"/>
      <c r="BV248" s="190"/>
      <c r="BW248" s="190"/>
      <c r="BX248" s="190"/>
      <c r="BY248" s="190"/>
      <c r="BZ248" s="190"/>
      <c r="CA248" s="189"/>
      <c r="CB248" s="15"/>
    </row>
    <row r="249" spans="1:80" ht="15" x14ac:dyDescent="0.25">
      <c r="A249" s="167"/>
      <c r="B249" s="642"/>
      <c r="C249" s="642"/>
      <c r="D249" s="179"/>
      <c r="E249" s="169"/>
      <c r="F249" s="169"/>
      <c r="G249" s="186"/>
      <c r="H249" s="187"/>
      <c r="I249" s="187"/>
      <c r="J249" s="187"/>
      <c r="K249" s="187"/>
      <c r="L249" s="647"/>
      <c r="M249" s="646">
        <v>34148</v>
      </c>
      <c r="N249" s="585">
        <v>4.22</v>
      </c>
      <c r="O249" s="585">
        <v>6.9040000000000004E-2</v>
      </c>
      <c r="P249" s="175">
        <v>0</v>
      </c>
      <c r="Q249" s="175">
        <v>0</v>
      </c>
      <c r="R249" s="175">
        <v>4.9800000000000001E-3</v>
      </c>
      <c r="S249" s="175">
        <v>9.2499999999999995E-3</v>
      </c>
      <c r="T249" s="175">
        <v>1.4290000000000001E-2</v>
      </c>
      <c r="U249" s="175">
        <v>1.453E-2</v>
      </c>
      <c r="V249" s="706">
        <v>2.5989999999999999E-2</v>
      </c>
      <c r="W249" s="717"/>
      <c r="X249" s="713"/>
      <c r="Y249" s="718"/>
      <c r="Z249" s="709">
        <v>0</v>
      </c>
      <c r="AA249" s="175"/>
      <c r="AB249" s="192"/>
      <c r="AC249" s="205">
        <v>2.4E-2</v>
      </c>
      <c r="AD249" s="175">
        <v>6.75</v>
      </c>
      <c r="AE249" s="175">
        <v>0.49</v>
      </c>
      <c r="AF249" s="168">
        <f t="shared" si="4"/>
        <v>3.3075000000000001</v>
      </c>
      <c r="AG249" s="175">
        <v>1.29</v>
      </c>
      <c r="AH249" s="334"/>
      <c r="AI249" s="188"/>
      <c r="AJ249" s="188"/>
      <c r="AK249" s="188"/>
      <c r="AL249" s="189"/>
      <c r="AM249" s="189"/>
      <c r="AN249" s="189"/>
      <c r="AO249" s="189"/>
      <c r="AP249" s="189"/>
      <c r="AQ249" s="189"/>
      <c r="AR249" s="189"/>
      <c r="AS249" s="189"/>
      <c r="AT249" s="189"/>
      <c r="AU249" s="190"/>
      <c r="AV249" s="190"/>
      <c r="AW249" s="190"/>
      <c r="AX249" s="190"/>
      <c r="AY249" s="190"/>
      <c r="AZ249" s="189"/>
      <c r="BA249" s="189"/>
      <c r="BB249" s="189"/>
      <c r="BC249" s="189"/>
      <c r="BD249" s="189"/>
      <c r="BE249" s="189"/>
      <c r="BF249" s="189"/>
      <c r="BG249" s="189"/>
      <c r="BH249" s="189"/>
      <c r="BI249" s="190"/>
      <c r="BJ249" s="190"/>
      <c r="BK249" s="190"/>
      <c r="BL249" s="190"/>
      <c r="BM249" s="190"/>
      <c r="BN249" s="191"/>
      <c r="BO249" s="191"/>
      <c r="BP249" s="191"/>
      <c r="BQ249" s="191"/>
      <c r="BR249" s="191"/>
      <c r="BS249" s="191"/>
      <c r="BT249" s="190"/>
      <c r="BU249" s="190"/>
      <c r="BV249" s="190"/>
      <c r="BW249" s="190"/>
      <c r="BX249" s="190"/>
      <c r="BY249" s="190"/>
      <c r="BZ249" s="190"/>
      <c r="CA249" s="189"/>
      <c r="CB249" s="15"/>
    </row>
    <row r="250" spans="1:80" ht="15" x14ac:dyDescent="0.25">
      <c r="A250" s="167"/>
      <c r="B250" s="642"/>
      <c r="C250" s="642"/>
      <c r="D250" s="179"/>
      <c r="E250" s="169"/>
      <c r="F250" s="169"/>
      <c r="G250" s="186"/>
      <c r="H250" s="187"/>
      <c r="I250" s="187"/>
      <c r="J250" s="187"/>
      <c r="K250" s="187"/>
      <c r="L250" s="647"/>
      <c r="M250" s="646">
        <v>34149</v>
      </c>
      <c r="N250" s="585">
        <v>6.09</v>
      </c>
      <c r="O250" s="585">
        <v>0.36613000000000001</v>
      </c>
      <c r="P250" s="175">
        <v>0</v>
      </c>
      <c r="Q250" s="175">
        <v>1.0319999999999999E-2</v>
      </c>
      <c r="R250" s="175">
        <v>7.5999999999999998E-2</v>
      </c>
      <c r="S250" s="175">
        <v>8.9370000000000005E-2</v>
      </c>
      <c r="T250" s="175">
        <v>5.9470000000000002E-2</v>
      </c>
      <c r="U250" s="175">
        <v>4.6850000000000003E-2</v>
      </c>
      <c r="V250" s="706">
        <v>8.412E-2</v>
      </c>
      <c r="W250" s="717"/>
      <c r="X250" s="713"/>
      <c r="Y250" s="718"/>
      <c r="Z250" s="709">
        <v>0</v>
      </c>
      <c r="AA250" s="175"/>
      <c r="AB250" s="192"/>
      <c r="AC250" s="205">
        <v>2.3E-2</v>
      </c>
      <c r="AD250" s="175">
        <v>6.75</v>
      </c>
      <c r="AE250" s="175">
        <v>0.59</v>
      </c>
      <c r="AF250" s="168">
        <f t="shared" si="4"/>
        <v>3.9824999999999999</v>
      </c>
      <c r="AG250" s="175">
        <v>1.53</v>
      </c>
      <c r="AH250" s="334"/>
      <c r="AI250" s="188"/>
      <c r="AJ250" s="188"/>
      <c r="AK250" s="188"/>
      <c r="AL250" s="189"/>
      <c r="AM250" s="189"/>
      <c r="AN250" s="189"/>
      <c r="AO250" s="189"/>
      <c r="AP250" s="189"/>
      <c r="AQ250" s="189"/>
      <c r="AR250" s="189"/>
      <c r="AS250" s="189"/>
      <c r="AT250" s="189"/>
      <c r="AU250" s="190"/>
      <c r="AV250" s="190"/>
      <c r="AW250" s="190"/>
      <c r="AX250" s="190"/>
      <c r="AY250" s="190"/>
      <c r="AZ250" s="189"/>
      <c r="BA250" s="189"/>
      <c r="BB250" s="189"/>
      <c r="BC250" s="189"/>
      <c r="BD250" s="189"/>
      <c r="BE250" s="189"/>
      <c r="BF250" s="189"/>
      <c r="BG250" s="189"/>
      <c r="BH250" s="189"/>
      <c r="BI250" s="190"/>
      <c r="BJ250" s="190"/>
      <c r="BK250" s="190"/>
      <c r="BL250" s="190"/>
      <c r="BM250" s="190"/>
      <c r="BN250" s="191"/>
      <c r="BO250" s="191"/>
      <c r="BP250" s="191"/>
      <c r="BQ250" s="191"/>
      <c r="BR250" s="191"/>
      <c r="BS250" s="191"/>
      <c r="BT250" s="190"/>
      <c r="BU250" s="190"/>
      <c r="BV250" s="190"/>
      <c r="BW250" s="190"/>
      <c r="BX250" s="190"/>
      <c r="BY250" s="190"/>
      <c r="BZ250" s="190"/>
      <c r="CA250" s="189"/>
      <c r="CB250" s="15"/>
    </row>
    <row r="251" spans="1:80" ht="15" x14ac:dyDescent="0.25">
      <c r="A251" s="167"/>
      <c r="B251" s="642"/>
      <c r="C251" s="642"/>
      <c r="D251" s="179"/>
      <c r="E251" s="169"/>
      <c r="F251" s="169"/>
      <c r="G251" s="186"/>
      <c r="H251" s="187"/>
      <c r="I251" s="187"/>
      <c r="J251" s="187"/>
      <c r="K251" s="187"/>
      <c r="L251" s="647"/>
      <c r="M251" s="646">
        <v>34150</v>
      </c>
      <c r="N251" s="585">
        <v>5.13</v>
      </c>
      <c r="O251" s="585">
        <v>0.38127</v>
      </c>
      <c r="P251" s="175">
        <v>0</v>
      </c>
      <c r="Q251" s="175">
        <v>6.9940000000000002E-2</v>
      </c>
      <c r="R251" s="175">
        <v>0.10218000000000001</v>
      </c>
      <c r="S251" s="175">
        <v>7.0919999999999997E-2</v>
      </c>
      <c r="T251" s="175">
        <v>4.7019999999999999E-2</v>
      </c>
      <c r="U251" s="175">
        <v>3.5479999999999998E-2</v>
      </c>
      <c r="V251" s="706">
        <v>5.5730000000000002E-2</v>
      </c>
      <c r="W251" s="717"/>
      <c r="X251" s="713"/>
      <c r="Y251" s="718"/>
      <c r="Z251" s="709">
        <v>0</v>
      </c>
      <c r="AA251" s="175"/>
      <c r="AB251" s="192"/>
      <c r="AC251" s="205">
        <v>2.4E-2</v>
      </c>
      <c r="AD251" s="175">
        <v>6.75</v>
      </c>
      <c r="AE251" s="175">
        <v>0.52</v>
      </c>
      <c r="AF251" s="168">
        <f t="shared" si="4"/>
        <v>3.5100000000000002</v>
      </c>
      <c r="AG251" s="175">
        <v>1.45</v>
      </c>
      <c r="AH251" s="334"/>
      <c r="AI251" s="188"/>
      <c r="AJ251" s="188"/>
      <c r="AK251" s="188"/>
      <c r="AL251" s="189"/>
      <c r="AM251" s="189"/>
      <c r="AN251" s="189"/>
      <c r="AO251" s="189"/>
      <c r="AP251" s="189"/>
      <c r="AQ251" s="189"/>
      <c r="AR251" s="189"/>
      <c r="AS251" s="189"/>
      <c r="AT251" s="189"/>
      <c r="AU251" s="190"/>
      <c r="AV251" s="190"/>
      <c r="AW251" s="190"/>
      <c r="AX251" s="190"/>
      <c r="AY251" s="190"/>
      <c r="AZ251" s="189"/>
      <c r="BA251" s="189"/>
      <c r="BB251" s="189"/>
      <c r="BC251" s="189"/>
      <c r="BD251" s="189"/>
      <c r="BE251" s="189"/>
      <c r="BF251" s="189"/>
      <c r="BG251" s="189"/>
      <c r="BH251" s="189"/>
      <c r="BI251" s="190"/>
      <c r="BJ251" s="190"/>
      <c r="BK251" s="190"/>
      <c r="BL251" s="190"/>
      <c r="BM251" s="190"/>
      <c r="BN251" s="191"/>
      <c r="BO251" s="191"/>
      <c r="BP251" s="191"/>
      <c r="BQ251" s="191"/>
      <c r="BR251" s="191"/>
      <c r="BS251" s="191"/>
      <c r="BT251" s="190"/>
      <c r="BU251" s="190"/>
      <c r="BV251" s="190"/>
      <c r="BW251" s="190"/>
      <c r="BX251" s="190"/>
      <c r="BY251" s="190"/>
      <c r="BZ251" s="190"/>
      <c r="CA251" s="189"/>
      <c r="CB251" s="15"/>
    </row>
    <row r="252" spans="1:80" ht="15" x14ac:dyDescent="0.25">
      <c r="A252" s="167"/>
      <c r="B252" s="642"/>
      <c r="C252" s="642"/>
      <c r="D252" s="179"/>
      <c r="E252" s="169"/>
      <c r="F252" s="169"/>
      <c r="G252" s="186"/>
      <c r="H252" s="187"/>
      <c r="I252" s="187"/>
      <c r="J252" s="187"/>
      <c r="K252" s="187"/>
      <c r="L252" s="647"/>
      <c r="M252" s="646">
        <v>34152</v>
      </c>
      <c r="N252" s="585">
        <v>4.4800000000000004</v>
      </c>
      <c r="O252" s="585">
        <v>0.22517000000000001</v>
      </c>
      <c r="P252" s="175">
        <v>0</v>
      </c>
      <c r="Q252" s="175">
        <v>6.0499999999999998E-3</v>
      </c>
      <c r="R252" s="175">
        <v>2.794E-2</v>
      </c>
      <c r="S252" s="175">
        <v>3.703E-2</v>
      </c>
      <c r="T252" s="175">
        <v>4.5370000000000001E-2</v>
      </c>
      <c r="U252" s="175">
        <v>4.8619999999999997E-2</v>
      </c>
      <c r="V252" s="706">
        <v>6.0150000000000002E-2</v>
      </c>
      <c r="W252" s="717"/>
      <c r="X252" s="713"/>
      <c r="Y252" s="718"/>
      <c r="Z252" s="709">
        <v>0</v>
      </c>
      <c r="AA252" s="175"/>
      <c r="AB252" s="192"/>
      <c r="AC252" s="205">
        <v>1.9E-2</v>
      </c>
      <c r="AD252" s="175">
        <v>6.8</v>
      </c>
      <c r="AE252" s="175">
        <v>0.5</v>
      </c>
      <c r="AF252" s="168">
        <f t="shared" si="4"/>
        <v>3.4</v>
      </c>
      <c r="AG252" s="175">
        <v>1.32</v>
      </c>
      <c r="AH252" s="334"/>
      <c r="AI252" s="188"/>
      <c r="AJ252" s="188"/>
      <c r="AK252" s="188"/>
      <c r="AL252" s="189"/>
      <c r="AM252" s="189"/>
      <c r="AN252" s="189"/>
      <c r="AO252" s="189"/>
      <c r="AP252" s="189"/>
      <c r="AQ252" s="189"/>
      <c r="AR252" s="189"/>
      <c r="AS252" s="189"/>
      <c r="AT252" s="189"/>
      <c r="AU252" s="190"/>
      <c r="AV252" s="190"/>
      <c r="AW252" s="190"/>
      <c r="AX252" s="190"/>
      <c r="AY252" s="190"/>
      <c r="AZ252" s="189"/>
      <c r="BA252" s="189"/>
      <c r="BB252" s="189"/>
      <c r="BC252" s="189"/>
      <c r="BD252" s="189"/>
      <c r="BE252" s="189"/>
      <c r="BF252" s="189"/>
      <c r="BG252" s="189"/>
      <c r="BH252" s="189"/>
      <c r="BI252" s="190"/>
      <c r="BJ252" s="190"/>
      <c r="BK252" s="190"/>
      <c r="BL252" s="190"/>
      <c r="BM252" s="190"/>
      <c r="BN252" s="191"/>
      <c r="BO252" s="191"/>
      <c r="BP252" s="191"/>
      <c r="BQ252" s="191"/>
      <c r="BR252" s="191"/>
      <c r="BS252" s="191"/>
      <c r="BT252" s="190"/>
      <c r="BU252" s="190"/>
      <c r="BV252" s="190"/>
      <c r="BW252" s="190"/>
      <c r="BX252" s="190"/>
      <c r="BY252" s="190"/>
      <c r="BZ252" s="190"/>
      <c r="CA252" s="189"/>
      <c r="CB252" s="15"/>
    </row>
    <row r="253" spans="1:80" ht="15" x14ac:dyDescent="0.25">
      <c r="A253" s="167"/>
      <c r="B253" s="642"/>
      <c r="C253" s="642"/>
      <c r="D253" s="179"/>
      <c r="E253" s="169"/>
      <c r="F253" s="169"/>
      <c r="G253" s="186"/>
      <c r="H253" s="187"/>
      <c r="I253" s="187"/>
      <c r="J253" s="187"/>
      <c r="K253" s="187"/>
      <c r="L253" s="647"/>
      <c r="M253" s="646">
        <v>34156</v>
      </c>
      <c r="N253" s="585">
        <v>3.32</v>
      </c>
      <c r="O253" s="585">
        <v>2.3949999999999999E-2</v>
      </c>
      <c r="P253" s="175">
        <v>0</v>
      </c>
      <c r="Q253" s="175">
        <v>0</v>
      </c>
      <c r="R253" s="175">
        <v>1.9499999999999999E-3</v>
      </c>
      <c r="S253" s="175">
        <v>3.49E-3</v>
      </c>
      <c r="T253" s="175">
        <v>4.6899999999999997E-3</v>
      </c>
      <c r="U253" s="175">
        <v>4.8900000000000002E-3</v>
      </c>
      <c r="V253" s="706">
        <v>8.9300000000000004E-3</v>
      </c>
      <c r="W253" s="717"/>
      <c r="X253" s="713"/>
      <c r="Y253" s="718"/>
      <c r="Z253" s="709">
        <v>0</v>
      </c>
      <c r="AA253" s="175"/>
      <c r="AB253" s="192"/>
      <c r="AC253" s="205">
        <v>2.5999999999999999E-2</v>
      </c>
      <c r="AD253" s="175">
        <v>6.75</v>
      </c>
      <c r="AE253" s="175">
        <v>0.41</v>
      </c>
      <c r="AF253" s="168">
        <f t="shared" si="4"/>
        <v>2.7674999999999996</v>
      </c>
      <c r="AG253" s="175">
        <v>1.21</v>
      </c>
      <c r="AH253" s="334"/>
      <c r="AI253" s="188"/>
      <c r="AJ253" s="188"/>
      <c r="AK253" s="188"/>
      <c r="AL253" s="189"/>
      <c r="AM253" s="189"/>
      <c r="AN253" s="189"/>
      <c r="AO253" s="189"/>
      <c r="AP253" s="189"/>
      <c r="AQ253" s="189"/>
      <c r="AR253" s="189"/>
      <c r="AS253" s="189"/>
      <c r="AT253" s="189"/>
      <c r="AU253" s="190"/>
      <c r="AV253" s="190"/>
      <c r="AW253" s="190"/>
      <c r="AX253" s="190"/>
      <c r="AY253" s="190"/>
      <c r="AZ253" s="189"/>
      <c r="BA253" s="189"/>
      <c r="BB253" s="189"/>
      <c r="BC253" s="189"/>
      <c r="BD253" s="189"/>
      <c r="BE253" s="189"/>
      <c r="BF253" s="189"/>
      <c r="BG253" s="189"/>
      <c r="BH253" s="189"/>
      <c r="BI253" s="190"/>
      <c r="BJ253" s="190"/>
      <c r="BK253" s="190"/>
      <c r="BL253" s="190"/>
      <c r="BM253" s="190"/>
      <c r="BN253" s="191"/>
      <c r="BO253" s="191"/>
      <c r="BP253" s="191"/>
      <c r="BQ253" s="191"/>
      <c r="BR253" s="191"/>
      <c r="BS253" s="191"/>
      <c r="BT253" s="190"/>
      <c r="BU253" s="190"/>
      <c r="BV253" s="190"/>
      <c r="BW253" s="190"/>
      <c r="BX253" s="190"/>
      <c r="BY253" s="190"/>
      <c r="BZ253" s="190"/>
      <c r="CA253" s="189"/>
      <c r="CB253" s="15"/>
    </row>
    <row r="254" spans="1:80" ht="15" x14ac:dyDescent="0.25">
      <c r="A254" s="167"/>
      <c r="B254" s="642"/>
      <c r="C254" s="642"/>
      <c r="D254" s="179"/>
      <c r="E254" s="169"/>
      <c r="F254" s="169"/>
      <c r="G254" s="186"/>
      <c r="H254" s="187"/>
      <c r="I254" s="187"/>
      <c r="J254" s="187"/>
      <c r="K254" s="187"/>
      <c r="L254" s="647"/>
      <c r="M254" s="646">
        <v>34159</v>
      </c>
      <c r="N254" s="585">
        <v>3.43</v>
      </c>
      <c r="O254" s="585">
        <v>1.457E-2</v>
      </c>
      <c r="P254" s="175">
        <v>0</v>
      </c>
      <c r="Q254" s="175">
        <v>0</v>
      </c>
      <c r="R254" s="175">
        <v>1.2700000000000001E-3</v>
      </c>
      <c r="S254" s="175">
        <v>2.33E-3</v>
      </c>
      <c r="T254" s="175">
        <v>2.5200000000000001E-3</v>
      </c>
      <c r="U254" s="175">
        <v>2.96E-3</v>
      </c>
      <c r="V254" s="706">
        <v>5.4900000000000001E-3</v>
      </c>
      <c r="W254" s="717"/>
      <c r="X254" s="713"/>
      <c r="Y254" s="718"/>
      <c r="Z254" s="709">
        <v>0</v>
      </c>
      <c r="AA254" s="175"/>
      <c r="AB254" s="192"/>
      <c r="AC254" s="205">
        <v>2.1000000000000001E-2</v>
      </c>
      <c r="AD254" s="175">
        <v>6.6</v>
      </c>
      <c r="AE254" s="175">
        <v>0.41</v>
      </c>
      <c r="AF254" s="168">
        <f t="shared" si="4"/>
        <v>2.7059999999999995</v>
      </c>
      <c r="AG254" s="175">
        <v>1.28</v>
      </c>
      <c r="AH254" s="334"/>
      <c r="AI254" s="188"/>
      <c r="AJ254" s="188"/>
      <c r="AK254" s="188"/>
      <c r="AL254" s="189"/>
      <c r="AM254" s="189"/>
      <c r="AN254" s="189"/>
      <c r="AO254" s="189"/>
      <c r="AP254" s="189"/>
      <c r="AQ254" s="189"/>
      <c r="AR254" s="189"/>
      <c r="AS254" s="189"/>
      <c r="AT254" s="189"/>
      <c r="AU254" s="190"/>
      <c r="AV254" s="190"/>
      <c r="AW254" s="190"/>
      <c r="AX254" s="190"/>
      <c r="AY254" s="190"/>
      <c r="AZ254" s="189"/>
      <c r="BA254" s="189"/>
      <c r="BB254" s="189"/>
      <c r="BC254" s="189"/>
      <c r="BD254" s="189"/>
      <c r="BE254" s="189"/>
      <c r="BF254" s="189"/>
      <c r="BG254" s="189"/>
      <c r="BH254" s="189"/>
      <c r="BI254" s="190"/>
      <c r="BJ254" s="190"/>
      <c r="BK254" s="190"/>
      <c r="BL254" s="190"/>
      <c r="BM254" s="190"/>
      <c r="BN254" s="191"/>
      <c r="BO254" s="191"/>
      <c r="BP254" s="191"/>
      <c r="BQ254" s="191"/>
      <c r="BR254" s="191"/>
      <c r="BS254" s="191"/>
      <c r="BT254" s="190"/>
      <c r="BU254" s="190"/>
      <c r="BV254" s="190"/>
      <c r="BW254" s="190"/>
      <c r="BX254" s="190"/>
      <c r="BY254" s="190"/>
      <c r="BZ254" s="190"/>
      <c r="CA254" s="189"/>
      <c r="CB254" s="15"/>
    </row>
    <row r="255" spans="1:80" ht="15" x14ac:dyDescent="0.25">
      <c r="A255" s="167"/>
      <c r="B255" s="642"/>
      <c r="C255" s="642"/>
      <c r="D255" s="179"/>
      <c r="E255" s="169"/>
      <c r="F255" s="169"/>
      <c r="G255" s="186"/>
      <c r="H255" s="187"/>
      <c r="I255" s="187"/>
      <c r="J255" s="187"/>
      <c r="K255" s="187"/>
      <c r="L255" s="647"/>
      <c r="M255" s="646">
        <v>34161</v>
      </c>
      <c r="N255" s="585">
        <v>0.87</v>
      </c>
      <c r="O255" s="585">
        <v>8.8000000000000003E-4</v>
      </c>
      <c r="P255" s="175">
        <v>0</v>
      </c>
      <c r="Q255" s="175">
        <v>0</v>
      </c>
      <c r="R255" s="175">
        <v>0</v>
      </c>
      <c r="S255" s="175">
        <v>0</v>
      </c>
      <c r="T255" s="175">
        <v>6.9999999999999994E-5</v>
      </c>
      <c r="U255" s="175">
        <v>9.0000000000000006E-5</v>
      </c>
      <c r="V255" s="706">
        <v>7.2000000000000005E-4</v>
      </c>
      <c r="W255" s="717"/>
      <c r="X255" s="713"/>
      <c r="Y255" s="718"/>
      <c r="Z255" s="709">
        <v>0</v>
      </c>
      <c r="AA255" s="175"/>
      <c r="AB255" s="192"/>
      <c r="AC255" s="205">
        <v>1.4999999999999999E-2</v>
      </c>
      <c r="AD255" s="175">
        <v>6.6</v>
      </c>
      <c r="AE255" s="175">
        <v>0.24</v>
      </c>
      <c r="AF255" s="168">
        <f t="shared" si="4"/>
        <v>1.5839999999999999</v>
      </c>
      <c r="AG255" s="175">
        <v>0.55000000000000004</v>
      </c>
      <c r="AH255" s="334"/>
      <c r="AI255" s="188"/>
      <c r="AJ255" s="188"/>
      <c r="AK255" s="188"/>
      <c r="AL255" s="189"/>
      <c r="AM255" s="189"/>
      <c r="AN255" s="189"/>
      <c r="AO255" s="189"/>
      <c r="AP255" s="189"/>
      <c r="AQ255" s="189"/>
      <c r="AR255" s="189"/>
      <c r="AS255" s="189"/>
      <c r="AT255" s="189"/>
      <c r="AU255" s="190"/>
      <c r="AV255" s="190"/>
      <c r="AW255" s="190"/>
      <c r="AX255" s="190"/>
      <c r="AY255" s="190"/>
      <c r="AZ255" s="189"/>
      <c r="BA255" s="189"/>
      <c r="BB255" s="189"/>
      <c r="BC255" s="189"/>
      <c r="BD255" s="189"/>
      <c r="BE255" s="189"/>
      <c r="BF255" s="189"/>
      <c r="BG255" s="189"/>
      <c r="BH255" s="189"/>
      <c r="BI255" s="190"/>
      <c r="BJ255" s="190"/>
      <c r="BK255" s="190"/>
      <c r="BL255" s="190"/>
      <c r="BM255" s="190"/>
      <c r="BN255" s="191"/>
      <c r="BO255" s="191"/>
      <c r="BP255" s="191"/>
      <c r="BQ255" s="191"/>
      <c r="BR255" s="191"/>
      <c r="BS255" s="191"/>
      <c r="BT255" s="190"/>
      <c r="BU255" s="190"/>
      <c r="BV255" s="190"/>
      <c r="BW255" s="190"/>
      <c r="BX255" s="190"/>
      <c r="BY255" s="190"/>
      <c r="BZ255" s="190"/>
      <c r="CA255" s="189"/>
      <c r="CB255" s="15"/>
    </row>
    <row r="256" spans="1:80" ht="15" x14ac:dyDescent="0.25">
      <c r="A256" s="167"/>
      <c r="B256" s="642"/>
      <c r="C256" s="642"/>
      <c r="D256" s="179"/>
      <c r="E256" s="169"/>
      <c r="F256" s="169"/>
      <c r="G256" s="186"/>
      <c r="H256" s="187"/>
      <c r="I256" s="187"/>
      <c r="J256" s="187"/>
      <c r="K256" s="187"/>
      <c r="L256" s="647"/>
      <c r="M256" s="646">
        <v>34164</v>
      </c>
      <c r="N256" s="585">
        <v>0.86</v>
      </c>
      <c r="O256" s="585">
        <v>2.0000000000000001E-4</v>
      </c>
      <c r="P256" s="175">
        <v>0</v>
      </c>
      <c r="Q256" s="175">
        <v>0</v>
      </c>
      <c r="R256" s="175">
        <v>0</v>
      </c>
      <c r="S256" s="175">
        <v>0</v>
      </c>
      <c r="T256" s="175">
        <v>1.0000000000000001E-5</v>
      </c>
      <c r="U256" s="175">
        <v>2.0000000000000002E-5</v>
      </c>
      <c r="V256" s="706">
        <v>1.7000000000000001E-4</v>
      </c>
      <c r="W256" s="717"/>
      <c r="X256" s="713"/>
      <c r="Y256" s="718"/>
      <c r="Z256" s="709">
        <v>0</v>
      </c>
      <c r="AA256" s="175"/>
      <c r="AB256" s="192"/>
      <c r="AC256" s="205">
        <v>1.6E-2</v>
      </c>
      <c r="AD256" s="175">
        <v>6.5</v>
      </c>
      <c r="AE256" s="175">
        <v>0.22</v>
      </c>
      <c r="AF256" s="168">
        <f t="shared" si="4"/>
        <v>1.43</v>
      </c>
      <c r="AG256" s="175">
        <v>0.6</v>
      </c>
      <c r="AH256" s="334"/>
      <c r="AI256" s="188"/>
      <c r="AJ256" s="188"/>
      <c r="AK256" s="188"/>
      <c r="AL256" s="189"/>
      <c r="AM256" s="189"/>
      <c r="AN256" s="189"/>
      <c r="AO256" s="189"/>
      <c r="AP256" s="189"/>
      <c r="AQ256" s="189"/>
      <c r="AR256" s="189"/>
      <c r="AS256" s="189"/>
      <c r="AT256" s="189"/>
      <c r="AU256" s="190"/>
      <c r="AV256" s="190"/>
      <c r="AW256" s="190"/>
      <c r="AX256" s="190"/>
      <c r="AY256" s="190"/>
      <c r="AZ256" s="189"/>
      <c r="BA256" s="189"/>
      <c r="BB256" s="189"/>
      <c r="BC256" s="189"/>
      <c r="BD256" s="189"/>
      <c r="BE256" s="189"/>
      <c r="BF256" s="189"/>
      <c r="BG256" s="189"/>
      <c r="BH256" s="189"/>
      <c r="BI256" s="190"/>
      <c r="BJ256" s="190"/>
      <c r="BK256" s="190"/>
      <c r="BL256" s="190"/>
      <c r="BM256" s="190"/>
      <c r="BN256" s="191"/>
      <c r="BO256" s="191"/>
      <c r="BP256" s="191"/>
      <c r="BQ256" s="191"/>
      <c r="BR256" s="191"/>
      <c r="BS256" s="191"/>
      <c r="BT256" s="190"/>
      <c r="BU256" s="190"/>
      <c r="BV256" s="190"/>
      <c r="BW256" s="190"/>
      <c r="BX256" s="190"/>
      <c r="BY256" s="190"/>
      <c r="BZ256" s="190"/>
      <c r="CA256" s="189"/>
      <c r="CB256" s="15"/>
    </row>
    <row r="257" spans="1:80" ht="15" x14ac:dyDescent="0.25">
      <c r="A257" s="167"/>
      <c r="B257" s="642"/>
      <c r="C257" s="642"/>
      <c r="D257" s="179"/>
      <c r="E257" s="169"/>
      <c r="F257" s="169"/>
      <c r="G257" s="186"/>
      <c r="H257" s="187"/>
      <c r="I257" s="187"/>
      <c r="J257" s="187"/>
      <c r="K257" s="187"/>
      <c r="L257" s="647"/>
      <c r="M257" s="646">
        <v>34165</v>
      </c>
      <c r="N257" s="585">
        <v>0.65</v>
      </c>
      <c r="O257" s="585">
        <v>2.8900000000000002E-3</v>
      </c>
      <c r="P257" s="175">
        <v>0</v>
      </c>
      <c r="Q257" s="175">
        <v>0</v>
      </c>
      <c r="R257" s="175">
        <v>0</v>
      </c>
      <c r="S257" s="175">
        <v>0</v>
      </c>
      <c r="T257" s="175">
        <v>5.6999999999999998E-4</v>
      </c>
      <c r="U257" s="175">
        <v>5.2999999999999998E-4</v>
      </c>
      <c r="V257" s="706">
        <v>1.7799999999999999E-3</v>
      </c>
      <c r="W257" s="717"/>
      <c r="X257" s="713"/>
      <c r="Y257" s="718"/>
      <c r="Z257" s="709">
        <v>0</v>
      </c>
      <c r="AA257" s="175"/>
      <c r="AB257" s="192"/>
      <c r="AC257" s="205">
        <v>1.2999999999999999E-2</v>
      </c>
      <c r="AD257" s="175">
        <v>6.65</v>
      </c>
      <c r="AE257" s="175">
        <v>0.22</v>
      </c>
      <c r="AF257" s="168">
        <f t="shared" si="4"/>
        <v>1.4630000000000001</v>
      </c>
      <c r="AG257" s="175">
        <v>0.45</v>
      </c>
      <c r="AH257" s="334"/>
      <c r="AI257" s="188"/>
      <c r="AJ257" s="188"/>
      <c r="AK257" s="188"/>
      <c r="AL257" s="189"/>
      <c r="AM257" s="189"/>
      <c r="AN257" s="189"/>
      <c r="AO257" s="189"/>
      <c r="AP257" s="189"/>
      <c r="AQ257" s="189"/>
      <c r="AR257" s="189"/>
      <c r="AS257" s="189"/>
      <c r="AT257" s="189"/>
      <c r="AU257" s="190"/>
      <c r="AV257" s="190"/>
      <c r="AW257" s="190"/>
      <c r="AX257" s="190"/>
      <c r="AY257" s="190"/>
      <c r="AZ257" s="189"/>
      <c r="BA257" s="189"/>
      <c r="BB257" s="189"/>
      <c r="BC257" s="189"/>
      <c r="BD257" s="189"/>
      <c r="BE257" s="189"/>
      <c r="BF257" s="189"/>
      <c r="BG257" s="189"/>
      <c r="BH257" s="189"/>
      <c r="BI257" s="190"/>
      <c r="BJ257" s="190"/>
      <c r="BK257" s="190"/>
      <c r="BL257" s="190"/>
      <c r="BM257" s="190"/>
      <c r="BN257" s="191"/>
      <c r="BO257" s="191"/>
      <c r="BP257" s="191"/>
      <c r="BQ257" s="191"/>
      <c r="BR257" s="191"/>
      <c r="BS257" s="191"/>
      <c r="BT257" s="190"/>
      <c r="BU257" s="190"/>
      <c r="BV257" s="190"/>
      <c r="BW257" s="190"/>
      <c r="BX257" s="190"/>
      <c r="BY257" s="190"/>
      <c r="BZ257" s="190"/>
      <c r="CA257" s="189"/>
      <c r="CB257" s="15"/>
    </row>
    <row r="258" spans="1:80" ht="15" x14ac:dyDescent="0.25">
      <c r="A258" s="167"/>
      <c r="B258" s="642"/>
      <c r="C258" s="642"/>
      <c r="D258" s="179"/>
      <c r="E258" s="169"/>
      <c r="F258" s="169"/>
      <c r="G258" s="186"/>
      <c r="H258" s="187"/>
      <c r="I258" s="187"/>
      <c r="J258" s="187"/>
      <c r="K258" s="187"/>
      <c r="L258" s="647"/>
      <c r="M258" s="646">
        <v>34168</v>
      </c>
      <c r="N258" s="585">
        <v>0.64</v>
      </c>
      <c r="O258" s="585">
        <v>4.15E-3</v>
      </c>
      <c r="P258" s="175">
        <v>0</v>
      </c>
      <c r="Q258" s="175">
        <v>0</v>
      </c>
      <c r="R258" s="175">
        <v>0</v>
      </c>
      <c r="S258" s="175">
        <v>7.2000000000000005E-4</v>
      </c>
      <c r="T258" s="175">
        <v>1.24E-3</v>
      </c>
      <c r="U258" s="175">
        <v>7.7999999999999999E-4</v>
      </c>
      <c r="V258" s="706">
        <v>1.41E-3</v>
      </c>
      <c r="W258" s="717"/>
      <c r="X258" s="713"/>
      <c r="Y258" s="718"/>
      <c r="Z258" s="709">
        <v>0</v>
      </c>
      <c r="AA258" s="175"/>
      <c r="AB258" s="192"/>
      <c r="AC258" s="205">
        <v>1.6E-2</v>
      </c>
      <c r="AD258" s="175">
        <v>6.5</v>
      </c>
      <c r="AE258" s="175">
        <v>0.22</v>
      </c>
      <c r="AF258" s="168">
        <f t="shared" si="4"/>
        <v>1.43</v>
      </c>
      <c r="AG258" s="175">
        <v>0.46</v>
      </c>
      <c r="AH258" s="334"/>
      <c r="AI258" s="188"/>
      <c r="AJ258" s="188"/>
      <c r="AK258" s="188"/>
      <c r="AL258" s="189"/>
      <c r="AM258" s="189"/>
      <c r="AN258" s="189"/>
      <c r="AO258" s="189"/>
      <c r="AP258" s="189"/>
      <c r="AQ258" s="189"/>
      <c r="AR258" s="189"/>
      <c r="AS258" s="189"/>
      <c r="AT258" s="189"/>
      <c r="AU258" s="190"/>
      <c r="AV258" s="190"/>
      <c r="AW258" s="190"/>
      <c r="AX258" s="190"/>
      <c r="AY258" s="190"/>
      <c r="AZ258" s="189"/>
      <c r="BA258" s="189"/>
      <c r="BB258" s="189"/>
      <c r="BC258" s="189"/>
      <c r="BD258" s="189"/>
      <c r="BE258" s="189"/>
      <c r="BF258" s="189"/>
      <c r="BG258" s="189"/>
      <c r="BH258" s="189"/>
      <c r="BI258" s="190"/>
      <c r="BJ258" s="190"/>
      <c r="BK258" s="190"/>
      <c r="BL258" s="190"/>
      <c r="BM258" s="190"/>
      <c r="BN258" s="191"/>
      <c r="BO258" s="191"/>
      <c r="BP258" s="191"/>
      <c r="BQ258" s="191"/>
      <c r="BR258" s="191"/>
      <c r="BS258" s="191"/>
      <c r="BT258" s="190"/>
      <c r="BU258" s="190"/>
      <c r="BV258" s="190"/>
      <c r="BW258" s="190"/>
      <c r="BX258" s="190"/>
      <c r="BY258" s="190"/>
      <c r="BZ258" s="190"/>
      <c r="CA258" s="189"/>
      <c r="CB258" s="15"/>
    </row>
    <row r="259" spans="1:80" ht="15" x14ac:dyDescent="0.25">
      <c r="A259" s="167"/>
      <c r="B259" s="642"/>
      <c r="C259" s="642"/>
      <c r="D259" s="179"/>
      <c r="E259" s="169"/>
      <c r="F259" s="169"/>
      <c r="G259" s="186"/>
      <c r="H259" s="187"/>
      <c r="I259" s="187"/>
      <c r="J259" s="187"/>
      <c r="K259" s="187"/>
      <c r="L259" s="647"/>
      <c r="M259" s="646">
        <v>34171</v>
      </c>
      <c r="N259" s="585">
        <v>1.62</v>
      </c>
      <c r="O259" s="585">
        <v>1.9279999999999999E-2</v>
      </c>
      <c r="P259" s="175">
        <v>0</v>
      </c>
      <c r="Q259" s="175">
        <v>0</v>
      </c>
      <c r="R259" s="175">
        <v>0</v>
      </c>
      <c r="S259" s="175">
        <v>1.23E-3</v>
      </c>
      <c r="T259" s="175">
        <v>2.2699999999999999E-3</v>
      </c>
      <c r="U259" s="175">
        <v>4.64E-3</v>
      </c>
      <c r="V259" s="706">
        <v>1.1140000000000001E-2</v>
      </c>
      <c r="W259" s="717"/>
      <c r="X259" s="713"/>
      <c r="Y259" s="718"/>
      <c r="Z259" s="709">
        <v>0</v>
      </c>
      <c r="AA259" s="175"/>
      <c r="AB259" s="192"/>
      <c r="AC259" s="205">
        <v>1.9E-2</v>
      </c>
      <c r="AD259" s="175">
        <v>6.65</v>
      </c>
      <c r="AE259" s="175">
        <v>0.33</v>
      </c>
      <c r="AF259" s="168">
        <f t="shared" si="4"/>
        <v>2.1945000000000001</v>
      </c>
      <c r="AG259" s="175">
        <v>0.73</v>
      </c>
      <c r="AH259" s="334"/>
      <c r="AI259" s="188"/>
      <c r="AJ259" s="188"/>
      <c r="AK259" s="188"/>
      <c r="AL259" s="189"/>
      <c r="AM259" s="189"/>
      <c r="AN259" s="189"/>
      <c r="AO259" s="189"/>
      <c r="AP259" s="189"/>
      <c r="AQ259" s="189"/>
      <c r="AR259" s="189"/>
      <c r="AS259" s="189"/>
      <c r="AT259" s="189"/>
      <c r="AU259" s="190"/>
      <c r="AV259" s="190"/>
      <c r="AW259" s="190"/>
      <c r="AX259" s="190"/>
      <c r="AY259" s="190"/>
      <c r="AZ259" s="189"/>
      <c r="BA259" s="189"/>
      <c r="BB259" s="189"/>
      <c r="BC259" s="189"/>
      <c r="BD259" s="189"/>
      <c r="BE259" s="189"/>
      <c r="BF259" s="189"/>
      <c r="BG259" s="189"/>
      <c r="BH259" s="189"/>
      <c r="BI259" s="190"/>
      <c r="BJ259" s="190"/>
      <c r="BK259" s="190"/>
      <c r="BL259" s="190"/>
      <c r="BM259" s="190"/>
      <c r="BN259" s="191"/>
      <c r="BO259" s="191"/>
      <c r="BP259" s="191"/>
      <c r="BQ259" s="191"/>
      <c r="BR259" s="191"/>
      <c r="BS259" s="191"/>
      <c r="BT259" s="190"/>
      <c r="BU259" s="190"/>
      <c r="BV259" s="190"/>
      <c r="BW259" s="190"/>
      <c r="BX259" s="190"/>
      <c r="BY259" s="190"/>
      <c r="BZ259" s="190"/>
      <c r="CA259" s="189"/>
      <c r="CB259" s="15"/>
    </row>
    <row r="260" spans="1:80" ht="15" x14ac:dyDescent="0.25">
      <c r="A260" s="167"/>
      <c r="B260" s="642"/>
      <c r="C260" s="642"/>
      <c r="D260" s="179"/>
      <c r="E260" s="169"/>
      <c r="F260" s="169"/>
      <c r="G260" s="186"/>
      <c r="H260" s="187"/>
      <c r="I260" s="187"/>
      <c r="J260" s="187"/>
      <c r="K260" s="187"/>
      <c r="L260" s="647"/>
      <c r="M260" s="646">
        <v>34174</v>
      </c>
      <c r="N260" s="585">
        <v>1.7</v>
      </c>
      <c r="O260" s="585">
        <v>2.8639999999999999E-2</v>
      </c>
      <c r="P260" s="175">
        <v>0</v>
      </c>
      <c r="Q260" s="175">
        <v>5.1000000000000004E-3</v>
      </c>
      <c r="R260" s="175">
        <v>1.34E-3</v>
      </c>
      <c r="S260" s="175">
        <v>2.0200000000000001E-3</v>
      </c>
      <c r="T260" s="175">
        <v>3.3400000000000001E-3</v>
      </c>
      <c r="U260" s="175">
        <v>5.5100000000000001E-3</v>
      </c>
      <c r="V260" s="706">
        <v>1.133E-2</v>
      </c>
      <c r="W260" s="717"/>
      <c r="X260" s="713"/>
      <c r="Y260" s="718"/>
      <c r="Z260" s="709">
        <v>0</v>
      </c>
      <c r="AA260" s="175"/>
      <c r="AB260" s="192"/>
      <c r="AC260" s="205">
        <v>0.02</v>
      </c>
      <c r="AD260" s="175">
        <v>6.55</v>
      </c>
      <c r="AE260" s="175">
        <v>0.34</v>
      </c>
      <c r="AF260" s="168">
        <f t="shared" si="4"/>
        <v>2.2270000000000003</v>
      </c>
      <c r="AG260" s="175">
        <v>0.77</v>
      </c>
      <c r="AH260" s="334"/>
      <c r="AI260" s="188"/>
      <c r="AJ260" s="188"/>
      <c r="AK260" s="188"/>
      <c r="AL260" s="189"/>
      <c r="AM260" s="189"/>
      <c r="AN260" s="189"/>
      <c r="AO260" s="189"/>
      <c r="AP260" s="189"/>
      <c r="AQ260" s="189"/>
      <c r="AR260" s="189"/>
      <c r="AS260" s="189"/>
      <c r="AT260" s="189"/>
      <c r="AU260" s="190"/>
      <c r="AV260" s="190"/>
      <c r="AW260" s="190"/>
      <c r="AX260" s="190"/>
      <c r="AY260" s="190"/>
      <c r="AZ260" s="189"/>
      <c r="BA260" s="189"/>
      <c r="BB260" s="189"/>
      <c r="BC260" s="189"/>
      <c r="BD260" s="189"/>
      <c r="BE260" s="189"/>
      <c r="BF260" s="189"/>
      <c r="BG260" s="189"/>
      <c r="BH260" s="189"/>
      <c r="BI260" s="190"/>
      <c r="BJ260" s="190"/>
      <c r="BK260" s="190"/>
      <c r="BL260" s="190"/>
      <c r="BM260" s="190"/>
      <c r="BN260" s="191"/>
      <c r="BO260" s="191"/>
      <c r="BP260" s="191"/>
      <c r="BQ260" s="191"/>
      <c r="BR260" s="191"/>
      <c r="BS260" s="191"/>
      <c r="BT260" s="190"/>
      <c r="BU260" s="190"/>
      <c r="BV260" s="190"/>
      <c r="BW260" s="190"/>
      <c r="BX260" s="190"/>
      <c r="BY260" s="190"/>
      <c r="BZ260" s="190"/>
      <c r="CA260" s="189"/>
      <c r="CB260" s="15"/>
    </row>
    <row r="261" spans="1:80" ht="15" x14ac:dyDescent="0.25">
      <c r="A261" s="167"/>
      <c r="B261" s="642"/>
      <c r="C261" s="642"/>
      <c r="D261" s="179"/>
      <c r="E261" s="169"/>
      <c r="F261" s="169"/>
      <c r="G261" s="186"/>
      <c r="H261" s="187"/>
      <c r="I261" s="187"/>
      <c r="J261" s="187"/>
      <c r="K261" s="187"/>
      <c r="L261" s="647"/>
      <c r="M261" s="646">
        <v>34178</v>
      </c>
      <c r="N261" s="585">
        <v>1.17</v>
      </c>
      <c r="O261" s="585">
        <v>9.7199999999999995E-3</v>
      </c>
      <c r="P261" s="175">
        <v>0</v>
      </c>
      <c r="Q261" s="175">
        <v>0</v>
      </c>
      <c r="R261" s="175">
        <v>7.6000000000000004E-4</v>
      </c>
      <c r="S261" s="175">
        <v>9.8999999999999999E-4</v>
      </c>
      <c r="T261" s="175">
        <v>1.64E-3</v>
      </c>
      <c r="U261" s="175">
        <v>2.65E-3</v>
      </c>
      <c r="V261" s="706">
        <v>3.6700000000000001E-3</v>
      </c>
      <c r="W261" s="717"/>
      <c r="X261" s="713"/>
      <c r="Y261" s="718"/>
      <c r="Z261" s="709">
        <v>0</v>
      </c>
      <c r="AA261" s="175"/>
      <c r="AB261" s="192"/>
      <c r="AC261" s="205">
        <v>1.4E-2</v>
      </c>
      <c r="AD261" s="175">
        <v>6.6</v>
      </c>
      <c r="AE261" s="175">
        <v>0.27</v>
      </c>
      <c r="AF261" s="168">
        <f t="shared" si="4"/>
        <v>1.782</v>
      </c>
      <c r="AG261" s="175">
        <v>0.67</v>
      </c>
      <c r="AH261" s="334"/>
      <c r="AI261" s="188"/>
      <c r="AJ261" s="188"/>
      <c r="AK261" s="188"/>
      <c r="AL261" s="189"/>
      <c r="AM261" s="189"/>
      <c r="AN261" s="189"/>
      <c r="AO261" s="189"/>
      <c r="AP261" s="189"/>
      <c r="AQ261" s="189"/>
      <c r="AR261" s="189"/>
      <c r="AS261" s="189"/>
      <c r="AT261" s="189"/>
      <c r="AU261" s="190"/>
      <c r="AV261" s="190"/>
      <c r="AW261" s="190"/>
      <c r="AX261" s="190"/>
      <c r="AY261" s="190"/>
      <c r="AZ261" s="189"/>
      <c r="BA261" s="189"/>
      <c r="BB261" s="189"/>
      <c r="BC261" s="189"/>
      <c r="BD261" s="189"/>
      <c r="BE261" s="189"/>
      <c r="BF261" s="189"/>
      <c r="BG261" s="189"/>
      <c r="BH261" s="189"/>
      <c r="BI261" s="190"/>
      <c r="BJ261" s="190"/>
      <c r="BK261" s="190"/>
      <c r="BL261" s="190"/>
      <c r="BM261" s="190"/>
      <c r="BN261" s="191"/>
      <c r="BO261" s="191"/>
      <c r="BP261" s="191"/>
      <c r="BQ261" s="191"/>
      <c r="BR261" s="191"/>
      <c r="BS261" s="191"/>
      <c r="BT261" s="190"/>
      <c r="BU261" s="190"/>
      <c r="BV261" s="190"/>
      <c r="BW261" s="190"/>
      <c r="BX261" s="190"/>
      <c r="BY261" s="190"/>
      <c r="BZ261" s="190"/>
      <c r="CA261" s="189"/>
      <c r="CB261" s="15"/>
    </row>
    <row r="262" spans="1:80" ht="15" x14ac:dyDescent="0.25">
      <c r="A262" s="167"/>
      <c r="B262" s="642"/>
      <c r="C262" s="642"/>
      <c r="D262" s="179"/>
      <c r="E262" s="169"/>
      <c r="F262" s="169"/>
      <c r="G262" s="186"/>
      <c r="H262" s="187"/>
      <c r="I262" s="187"/>
      <c r="J262" s="187"/>
      <c r="K262" s="187"/>
      <c r="L262" s="647"/>
      <c r="M262" s="646">
        <v>34187</v>
      </c>
      <c r="N262" s="585">
        <v>0.49</v>
      </c>
      <c r="O262" s="585">
        <v>4.4999999999999999E-4</v>
      </c>
      <c r="P262" s="175">
        <v>0</v>
      </c>
      <c r="Q262" s="175">
        <v>0</v>
      </c>
      <c r="R262" s="175">
        <v>0</v>
      </c>
      <c r="S262" s="175">
        <v>0</v>
      </c>
      <c r="T262" s="175">
        <v>6.9999999999999994E-5</v>
      </c>
      <c r="U262" s="175">
        <v>9.0000000000000006E-5</v>
      </c>
      <c r="V262" s="706">
        <v>2.9E-4</v>
      </c>
      <c r="W262" s="717"/>
      <c r="X262" s="713"/>
      <c r="Y262" s="718"/>
      <c r="Z262" s="709">
        <v>0</v>
      </c>
      <c r="AA262" s="175"/>
      <c r="AB262" s="192"/>
      <c r="AC262" s="205">
        <v>1.2999999999999999E-2</v>
      </c>
      <c r="AD262" s="175">
        <v>6.5</v>
      </c>
      <c r="AE262" s="175">
        <v>0.16</v>
      </c>
      <c r="AF262" s="168">
        <f t="shared" si="4"/>
        <v>1.04</v>
      </c>
      <c r="AG262" s="175">
        <v>0.46</v>
      </c>
      <c r="AH262" s="334"/>
      <c r="AI262" s="188"/>
      <c r="AJ262" s="188"/>
      <c r="AK262" s="188"/>
      <c r="AL262" s="189"/>
      <c r="AM262" s="189"/>
      <c r="AN262" s="189"/>
      <c r="AO262" s="189"/>
      <c r="AP262" s="189"/>
      <c r="AQ262" s="189"/>
      <c r="AR262" s="189"/>
      <c r="AS262" s="189"/>
      <c r="AT262" s="189"/>
      <c r="AU262" s="190"/>
      <c r="AV262" s="190"/>
      <c r="AW262" s="190"/>
      <c r="AX262" s="190"/>
      <c r="AY262" s="190"/>
      <c r="AZ262" s="189"/>
      <c r="BA262" s="189"/>
      <c r="BB262" s="189"/>
      <c r="BC262" s="189"/>
      <c r="BD262" s="189"/>
      <c r="BE262" s="189"/>
      <c r="BF262" s="189"/>
      <c r="BG262" s="189"/>
      <c r="BH262" s="189"/>
      <c r="BI262" s="190"/>
      <c r="BJ262" s="190"/>
      <c r="BK262" s="190"/>
      <c r="BL262" s="190"/>
      <c r="BM262" s="190"/>
      <c r="BN262" s="191"/>
      <c r="BO262" s="191"/>
      <c r="BP262" s="191"/>
      <c r="BQ262" s="191"/>
      <c r="BR262" s="191"/>
      <c r="BS262" s="191"/>
      <c r="BT262" s="190"/>
      <c r="BU262" s="190"/>
      <c r="BV262" s="190"/>
      <c r="BW262" s="190"/>
      <c r="BX262" s="190"/>
      <c r="BY262" s="190"/>
      <c r="BZ262" s="190"/>
      <c r="CA262" s="189"/>
      <c r="CB262" s="15"/>
    </row>
    <row r="263" spans="1:80" ht="15" x14ac:dyDescent="0.25">
      <c r="A263" s="167"/>
      <c r="B263" s="642"/>
      <c r="C263" s="642"/>
      <c r="D263" s="179"/>
      <c r="E263" s="169"/>
      <c r="F263" s="169"/>
      <c r="G263" s="186"/>
      <c r="H263" s="187"/>
      <c r="I263" s="187"/>
      <c r="J263" s="187"/>
      <c r="K263" s="187"/>
      <c r="L263" s="647"/>
      <c r="M263" s="646">
        <v>34852</v>
      </c>
      <c r="N263" s="585">
        <v>1.02</v>
      </c>
      <c r="O263" s="585">
        <v>2.8800000000000002E-3</v>
      </c>
      <c r="P263" s="175">
        <v>0</v>
      </c>
      <c r="Q263" s="175">
        <v>0</v>
      </c>
      <c r="R263" s="175">
        <v>0</v>
      </c>
      <c r="S263" s="175">
        <v>0</v>
      </c>
      <c r="T263" s="175">
        <v>3.8999999999999999E-4</v>
      </c>
      <c r="U263" s="175">
        <v>5.1999999999999995E-4</v>
      </c>
      <c r="V263" s="706">
        <v>1.98E-3</v>
      </c>
      <c r="W263" s="717"/>
      <c r="X263" s="713"/>
      <c r="Y263" s="718"/>
      <c r="Z263" s="709">
        <v>10</v>
      </c>
      <c r="AA263" s="175"/>
      <c r="AB263" s="192"/>
      <c r="AC263" s="205">
        <v>2.3E-2</v>
      </c>
      <c r="AD263" s="175">
        <v>6.6</v>
      </c>
      <c r="AE263" s="175">
        <v>0.24</v>
      </c>
      <c r="AF263" s="168">
        <f t="shared" si="4"/>
        <v>1.5839999999999999</v>
      </c>
      <c r="AG263" s="175">
        <v>0.63</v>
      </c>
      <c r="AH263" s="334"/>
      <c r="AI263" s="188"/>
      <c r="AJ263" s="188"/>
      <c r="AK263" s="188"/>
      <c r="AL263" s="189"/>
      <c r="AM263" s="189"/>
      <c r="AN263" s="189"/>
      <c r="AO263" s="189"/>
      <c r="AP263" s="189"/>
      <c r="AQ263" s="189"/>
      <c r="AR263" s="189"/>
      <c r="AS263" s="189"/>
      <c r="AT263" s="189"/>
      <c r="AU263" s="190"/>
      <c r="AV263" s="190"/>
      <c r="AW263" s="190"/>
      <c r="AX263" s="190"/>
      <c r="AY263" s="190"/>
      <c r="AZ263" s="189"/>
      <c r="BA263" s="189"/>
      <c r="BB263" s="189"/>
      <c r="BC263" s="189"/>
      <c r="BD263" s="189"/>
      <c r="BE263" s="189"/>
      <c r="BF263" s="189"/>
      <c r="BG263" s="189"/>
      <c r="BH263" s="189"/>
      <c r="BI263" s="190"/>
      <c r="BJ263" s="190"/>
      <c r="BK263" s="190"/>
      <c r="BL263" s="190"/>
      <c r="BM263" s="190"/>
      <c r="BN263" s="191"/>
      <c r="BO263" s="191"/>
      <c r="BP263" s="191"/>
      <c r="BQ263" s="191"/>
      <c r="BR263" s="191"/>
      <c r="BS263" s="191"/>
      <c r="BT263" s="190"/>
      <c r="BU263" s="190"/>
      <c r="BV263" s="190"/>
      <c r="BW263" s="190"/>
      <c r="BX263" s="190"/>
      <c r="BY263" s="190"/>
      <c r="BZ263" s="190"/>
      <c r="CA263" s="189"/>
      <c r="CB263" s="15"/>
    </row>
    <row r="264" spans="1:80" ht="15" x14ac:dyDescent="0.25">
      <c r="A264" s="167"/>
      <c r="B264" s="642"/>
      <c r="C264" s="642"/>
      <c r="D264" s="179"/>
      <c r="E264" s="169"/>
      <c r="F264" s="169"/>
      <c r="G264" s="186"/>
      <c r="H264" s="187"/>
      <c r="I264" s="187"/>
      <c r="J264" s="187"/>
      <c r="K264" s="187"/>
      <c r="L264" s="647"/>
      <c r="M264" s="646">
        <v>34856</v>
      </c>
      <c r="N264" s="585">
        <v>1.53</v>
      </c>
      <c r="O264" s="585">
        <v>1.191E-2</v>
      </c>
      <c r="P264" s="175">
        <v>0</v>
      </c>
      <c r="Q264" s="175">
        <v>0</v>
      </c>
      <c r="R264" s="175">
        <v>5.2999999999999998E-4</v>
      </c>
      <c r="S264" s="175">
        <v>2.0500000000000002E-3</v>
      </c>
      <c r="T264" s="175">
        <v>1.5100000000000001E-3</v>
      </c>
      <c r="U264" s="175">
        <v>1.3699999999999999E-3</v>
      </c>
      <c r="V264" s="706">
        <v>6.45E-3</v>
      </c>
      <c r="W264" s="717"/>
      <c r="X264" s="713"/>
      <c r="Y264" s="718"/>
      <c r="Z264" s="709">
        <v>16</v>
      </c>
      <c r="AA264" s="175"/>
      <c r="AB264" s="192"/>
      <c r="AC264" s="205">
        <v>2.4E-2</v>
      </c>
      <c r="AD264" s="175">
        <v>6.6</v>
      </c>
      <c r="AE264" s="175">
        <v>0.31</v>
      </c>
      <c r="AF264" s="168">
        <f t="shared" si="4"/>
        <v>2.0459999999999998</v>
      </c>
      <c r="AG264" s="175">
        <v>0.76</v>
      </c>
      <c r="AH264" s="334"/>
      <c r="AI264" s="188"/>
      <c r="AJ264" s="188"/>
      <c r="AK264" s="188"/>
      <c r="AL264" s="189"/>
      <c r="AM264" s="189"/>
      <c r="AN264" s="189"/>
      <c r="AO264" s="189"/>
      <c r="AP264" s="189"/>
      <c r="AQ264" s="189"/>
      <c r="AR264" s="189"/>
      <c r="AS264" s="189"/>
      <c r="AT264" s="189"/>
      <c r="AU264" s="190"/>
      <c r="AV264" s="190"/>
      <c r="AW264" s="190"/>
      <c r="AX264" s="190"/>
      <c r="AY264" s="190"/>
      <c r="AZ264" s="189"/>
      <c r="BA264" s="189"/>
      <c r="BB264" s="189"/>
      <c r="BC264" s="189"/>
      <c r="BD264" s="189"/>
      <c r="BE264" s="189"/>
      <c r="BF264" s="189"/>
      <c r="BG264" s="189"/>
      <c r="BH264" s="189"/>
      <c r="BI264" s="190"/>
      <c r="BJ264" s="190"/>
      <c r="BK264" s="190"/>
      <c r="BL264" s="190"/>
      <c r="BM264" s="190"/>
      <c r="BN264" s="191"/>
      <c r="BO264" s="191"/>
      <c r="BP264" s="191"/>
      <c r="BQ264" s="191"/>
      <c r="BR264" s="191"/>
      <c r="BS264" s="191"/>
      <c r="BT264" s="190"/>
      <c r="BU264" s="190"/>
      <c r="BV264" s="190"/>
      <c r="BW264" s="190"/>
      <c r="BX264" s="190"/>
      <c r="BY264" s="190"/>
      <c r="BZ264" s="190"/>
      <c r="CA264" s="189"/>
      <c r="CB264" s="15"/>
    </row>
    <row r="265" spans="1:80" ht="15" x14ac:dyDescent="0.25">
      <c r="A265" s="167"/>
      <c r="B265" s="642"/>
      <c r="C265" s="642"/>
      <c r="D265" s="179"/>
      <c r="E265" s="169"/>
      <c r="F265" s="169"/>
      <c r="G265" s="186"/>
      <c r="H265" s="187"/>
      <c r="I265" s="187"/>
      <c r="J265" s="187"/>
      <c r="K265" s="187"/>
      <c r="L265" s="647"/>
      <c r="M265" s="646">
        <v>34857</v>
      </c>
      <c r="N265" s="585">
        <v>1.9</v>
      </c>
      <c r="O265" s="585">
        <v>1.3180000000000001E-2</v>
      </c>
      <c r="P265" s="175">
        <v>0</v>
      </c>
      <c r="Q265" s="175">
        <v>0</v>
      </c>
      <c r="R265" s="175">
        <v>4.0899999999999999E-3</v>
      </c>
      <c r="S265" s="175">
        <v>1.08E-3</v>
      </c>
      <c r="T265" s="175">
        <v>1.6299999999999999E-3</v>
      </c>
      <c r="U265" s="175">
        <v>2.3800000000000002E-3</v>
      </c>
      <c r="V265" s="706">
        <v>4.0099999999999997E-3</v>
      </c>
      <c r="W265" s="717"/>
      <c r="X265" s="713"/>
      <c r="Y265" s="718"/>
      <c r="Z265" s="709">
        <v>23</v>
      </c>
      <c r="AA265" s="175"/>
      <c r="AB265" s="192"/>
      <c r="AC265" s="205">
        <v>1.7999999999999999E-2</v>
      </c>
      <c r="AD265" s="175">
        <v>6.6</v>
      </c>
      <c r="AE265" s="175">
        <v>0.32</v>
      </c>
      <c r="AF265" s="168">
        <f t="shared" si="4"/>
        <v>2.1120000000000001</v>
      </c>
      <c r="AG265" s="175">
        <v>0.9</v>
      </c>
      <c r="AH265" s="334"/>
      <c r="AI265" s="188"/>
      <c r="AJ265" s="188"/>
      <c r="AK265" s="188"/>
      <c r="AL265" s="189"/>
      <c r="AM265" s="189"/>
      <c r="AN265" s="189"/>
      <c r="AO265" s="189"/>
      <c r="AP265" s="189"/>
      <c r="AQ265" s="189"/>
      <c r="AR265" s="189"/>
      <c r="AS265" s="189"/>
      <c r="AT265" s="189"/>
      <c r="AU265" s="190"/>
      <c r="AV265" s="190"/>
      <c r="AW265" s="190"/>
      <c r="AX265" s="190"/>
      <c r="AY265" s="190"/>
      <c r="AZ265" s="189"/>
      <c r="BA265" s="189"/>
      <c r="BB265" s="189"/>
      <c r="BC265" s="189"/>
      <c r="BD265" s="189"/>
      <c r="BE265" s="189"/>
      <c r="BF265" s="189"/>
      <c r="BG265" s="189"/>
      <c r="BH265" s="189"/>
      <c r="BI265" s="190"/>
      <c r="BJ265" s="190"/>
      <c r="BK265" s="190"/>
      <c r="BL265" s="190"/>
      <c r="BM265" s="190"/>
      <c r="BN265" s="191"/>
      <c r="BO265" s="191"/>
      <c r="BP265" s="191"/>
      <c r="BQ265" s="191"/>
      <c r="BR265" s="191"/>
      <c r="BS265" s="191"/>
      <c r="BT265" s="190"/>
      <c r="BU265" s="190"/>
      <c r="BV265" s="190"/>
      <c r="BW265" s="190"/>
      <c r="BX265" s="190"/>
      <c r="BY265" s="190"/>
      <c r="BZ265" s="190"/>
      <c r="CA265" s="189"/>
      <c r="CB265" s="15"/>
    </row>
    <row r="266" spans="1:80" ht="15" x14ac:dyDescent="0.25">
      <c r="A266" s="167"/>
      <c r="B266" s="642"/>
      <c r="C266" s="642"/>
      <c r="D266" s="179"/>
      <c r="E266" s="169"/>
      <c r="F266" s="169"/>
      <c r="G266" s="186"/>
      <c r="H266" s="187"/>
      <c r="I266" s="187"/>
      <c r="J266" s="187"/>
      <c r="K266" s="187"/>
      <c r="L266" s="647"/>
      <c r="M266" s="646">
        <v>34861</v>
      </c>
      <c r="N266" s="585">
        <v>1.48</v>
      </c>
      <c r="O266" s="585">
        <v>2.2399999999999998E-3</v>
      </c>
      <c r="P266" s="175">
        <v>0</v>
      </c>
      <c r="Q266" s="175">
        <v>0</v>
      </c>
      <c r="R266" s="175">
        <v>0</v>
      </c>
      <c r="S266" s="175">
        <v>2.5999999999999998E-4</v>
      </c>
      <c r="T266" s="175">
        <v>2.9999999999999997E-4</v>
      </c>
      <c r="U266" s="175">
        <v>4.0999999999999999E-4</v>
      </c>
      <c r="V266" s="706">
        <v>1.2700000000000001E-3</v>
      </c>
      <c r="W266" s="717"/>
      <c r="X266" s="713"/>
      <c r="Y266" s="718"/>
      <c r="Z266" s="709">
        <v>12</v>
      </c>
      <c r="AA266" s="175"/>
      <c r="AB266" s="192"/>
      <c r="AC266" s="205">
        <v>2.3E-2</v>
      </c>
      <c r="AD266" s="175">
        <v>6.6</v>
      </c>
      <c r="AE266" s="175">
        <v>0.3</v>
      </c>
      <c r="AF266" s="168">
        <f t="shared" si="4"/>
        <v>1.9799999999999998</v>
      </c>
      <c r="AG266" s="175">
        <v>0.76</v>
      </c>
      <c r="AH266" s="334"/>
      <c r="AI266" s="188"/>
      <c r="AJ266" s="188"/>
      <c r="AK266" s="188"/>
      <c r="AL266" s="189"/>
      <c r="AM266" s="189"/>
      <c r="AN266" s="189"/>
      <c r="AO266" s="189"/>
      <c r="AP266" s="189"/>
      <c r="AQ266" s="189"/>
      <c r="AR266" s="189"/>
      <c r="AS266" s="189"/>
      <c r="AT266" s="189"/>
      <c r="AU266" s="190"/>
      <c r="AV266" s="190"/>
      <c r="AW266" s="190"/>
      <c r="AX266" s="190"/>
      <c r="AY266" s="190"/>
      <c r="AZ266" s="189"/>
      <c r="BA266" s="189"/>
      <c r="BB266" s="189"/>
      <c r="BC266" s="189"/>
      <c r="BD266" s="189"/>
      <c r="BE266" s="189"/>
      <c r="BF266" s="189"/>
      <c r="BG266" s="189"/>
      <c r="BH266" s="189"/>
      <c r="BI266" s="190"/>
      <c r="BJ266" s="190"/>
      <c r="BK266" s="190"/>
      <c r="BL266" s="190"/>
      <c r="BM266" s="190"/>
      <c r="BN266" s="191"/>
      <c r="BO266" s="191"/>
      <c r="BP266" s="191"/>
      <c r="BQ266" s="191"/>
      <c r="BR266" s="191"/>
      <c r="BS266" s="191"/>
      <c r="BT266" s="190"/>
      <c r="BU266" s="190"/>
      <c r="BV266" s="190"/>
      <c r="BW266" s="190"/>
      <c r="BX266" s="190"/>
      <c r="BY266" s="190"/>
      <c r="BZ266" s="190"/>
      <c r="CA266" s="189"/>
      <c r="CB266" s="15"/>
    </row>
    <row r="267" spans="1:80" ht="15" x14ac:dyDescent="0.25">
      <c r="A267" s="167"/>
      <c r="B267" s="642"/>
      <c r="C267" s="642"/>
      <c r="D267" s="179"/>
      <c r="E267" s="169"/>
      <c r="F267" s="169"/>
      <c r="G267" s="186"/>
      <c r="H267" s="187"/>
      <c r="I267" s="187"/>
      <c r="J267" s="187"/>
      <c r="K267" s="187"/>
      <c r="L267" s="647"/>
      <c r="M267" s="646">
        <v>34863</v>
      </c>
      <c r="N267" s="585">
        <v>2.16</v>
      </c>
      <c r="O267" s="585">
        <v>4.9100000000000003E-3</v>
      </c>
      <c r="P267" s="175">
        <v>0</v>
      </c>
      <c r="Q267" s="175">
        <v>0</v>
      </c>
      <c r="R267" s="175">
        <v>8.4000000000000003E-4</v>
      </c>
      <c r="S267" s="175">
        <v>1.2600000000000001E-3</v>
      </c>
      <c r="T267" s="175">
        <v>2.5000000000000001E-4</v>
      </c>
      <c r="U267" s="175">
        <v>6.4999999999999997E-4</v>
      </c>
      <c r="V267" s="706">
        <v>1.89E-3</v>
      </c>
      <c r="W267" s="717"/>
      <c r="X267" s="713"/>
      <c r="Y267" s="718"/>
      <c r="Z267" s="709">
        <v>25</v>
      </c>
      <c r="AA267" s="175"/>
      <c r="AB267" s="192"/>
      <c r="AC267" s="205">
        <v>0.02</v>
      </c>
      <c r="AD267" s="175">
        <v>6.7</v>
      </c>
      <c r="AE267" s="175">
        <v>0.34</v>
      </c>
      <c r="AF267" s="168">
        <f t="shared" si="4"/>
        <v>2.278</v>
      </c>
      <c r="AG267" s="175">
        <v>0.96</v>
      </c>
      <c r="AH267" s="334"/>
      <c r="AI267" s="188"/>
      <c r="AJ267" s="188"/>
      <c r="AK267" s="188"/>
      <c r="AL267" s="189"/>
      <c r="AM267" s="189"/>
      <c r="AN267" s="189"/>
      <c r="AO267" s="189"/>
      <c r="AP267" s="189"/>
      <c r="AQ267" s="189"/>
      <c r="AR267" s="189"/>
      <c r="AS267" s="189"/>
      <c r="AT267" s="189"/>
      <c r="AU267" s="190"/>
      <c r="AV267" s="190"/>
      <c r="AW267" s="190"/>
      <c r="AX267" s="190"/>
      <c r="AY267" s="190"/>
      <c r="AZ267" s="189"/>
      <c r="BA267" s="189"/>
      <c r="BB267" s="189"/>
      <c r="BC267" s="189"/>
      <c r="BD267" s="189"/>
      <c r="BE267" s="189"/>
      <c r="BF267" s="189"/>
      <c r="BG267" s="189"/>
      <c r="BH267" s="189"/>
      <c r="BI267" s="190"/>
      <c r="BJ267" s="190"/>
      <c r="BK267" s="190"/>
      <c r="BL267" s="190"/>
      <c r="BM267" s="190"/>
      <c r="BN267" s="191"/>
      <c r="BO267" s="191"/>
      <c r="BP267" s="191"/>
      <c r="BQ267" s="191"/>
      <c r="BR267" s="191"/>
      <c r="BS267" s="191"/>
      <c r="BT267" s="190"/>
      <c r="BU267" s="190"/>
      <c r="BV267" s="190"/>
      <c r="BW267" s="190"/>
      <c r="BX267" s="190"/>
      <c r="BY267" s="190"/>
      <c r="BZ267" s="190"/>
      <c r="CA267" s="189"/>
      <c r="CB267" s="15"/>
    </row>
    <row r="268" spans="1:80" ht="15" x14ac:dyDescent="0.25">
      <c r="A268" s="167"/>
      <c r="B268" s="642"/>
      <c r="C268" s="642"/>
      <c r="D268" s="179"/>
      <c r="E268" s="169"/>
      <c r="F268" s="169"/>
      <c r="G268" s="186"/>
      <c r="H268" s="187"/>
      <c r="I268" s="187"/>
      <c r="J268" s="187"/>
      <c r="K268" s="187"/>
      <c r="L268" s="647"/>
      <c r="M268" s="646">
        <v>34865</v>
      </c>
      <c r="N268" s="585">
        <v>3.77</v>
      </c>
      <c r="O268" s="585">
        <v>4.8410000000000002E-2</v>
      </c>
      <c r="P268" s="175">
        <v>0</v>
      </c>
      <c r="Q268" s="175">
        <v>4.9399999999999999E-3</v>
      </c>
      <c r="R268" s="175">
        <v>9.3399999999999993E-3</v>
      </c>
      <c r="S268" s="175">
        <v>8.2900000000000005E-3</v>
      </c>
      <c r="T268" s="175">
        <v>6.0800000000000003E-3</v>
      </c>
      <c r="U268" s="175">
        <v>5.8500000000000002E-3</v>
      </c>
      <c r="V268" s="706">
        <v>1.3899999999999999E-2</v>
      </c>
      <c r="W268" s="717"/>
      <c r="X268" s="713"/>
      <c r="Y268" s="718"/>
      <c r="Z268" s="709">
        <v>36</v>
      </c>
      <c r="AA268" s="175"/>
      <c r="AB268" s="192"/>
      <c r="AC268" s="205">
        <v>2.3E-2</v>
      </c>
      <c r="AD268" s="175">
        <v>6.7</v>
      </c>
      <c r="AE268" s="175">
        <v>0.44</v>
      </c>
      <c r="AF268" s="168">
        <f t="shared" si="4"/>
        <v>2.948</v>
      </c>
      <c r="AG268" s="175">
        <v>1.28</v>
      </c>
      <c r="AH268" s="334"/>
      <c r="AI268" s="188"/>
      <c r="AJ268" s="188"/>
      <c r="AK268" s="188"/>
      <c r="AL268" s="189"/>
      <c r="AM268" s="189"/>
      <c r="AN268" s="189"/>
      <c r="AO268" s="189"/>
      <c r="AP268" s="189"/>
      <c r="AQ268" s="189"/>
      <c r="AR268" s="189"/>
      <c r="AS268" s="189"/>
      <c r="AT268" s="189"/>
      <c r="AU268" s="190"/>
      <c r="AV268" s="190"/>
      <c r="AW268" s="190"/>
      <c r="AX268" s="190"/>
      <c r="AY268" s="190"/>
      <c r="AZ268" s="189"/>
      <c r="BA268" s="189"/>
      <c r="BB268" s="189"/>
      <c r="BC268" s="189"/>
      <c r="BD268" s="189"/>
      <c r="BE268" s="189"/>
      <c r="BF268" s="189"/>
      <c r="BG268" s="189"/>
      <c r="BH268" s="189"/>
      <c r="BI268" s="190"/>
      <c r="BJ268" s="190"/>
      <c r="BK268" s="190"/>
      <c r="BL268" s="190"/>
      <c r="BM268" s="190"/>
      <c r="BN268" s="191"/>
      <c r="BO268" s="191"/>
      <c r="BP268" s="191"/>
      <c r="BQ268" s="191"/>
      <c r="BR268" s="191"/>
      <c r="BS268" s="191"/>
      <c r="BT268" s="190"/>
      <c r="BU268" s="190"/>
      <c r="BV268" s="190"/>
      <c r="BW268" s="190"/>
      <c r="BX268" s="190"/>
      <c r="BY268" s="190"/>
      <c r="BZ268" s="190"/>
      <c r="CA268" s="189"/>
      <c r="CB268" s="15"/>
    </row>
    <row r="269" spans="1:80" ht="15" x14ac:dyDescent="0.25">
      <c r="A269" s="167"/>
      <c r="B269" s="642"/>
      <c r="C269" s="642"/>
      <c r="D269" s="179"/>
      <c r="E269" s="169"/>
      <c r="F269" s="169"/>
      <c r="G269" s="186"/>
      <c r="H269" s="187"/>
      <c r="I269" s="187"/>
      <c r="J269" s="187"/>
      <c r="K269" s="187"/>
      <c r="L269" s="647"/>
      <c r="M269" s="646">
        <v>34867</v>
      </c>
      <c r="N269" s="585">
        <v>5.25</v>
      </c>
      <c r="O269" s="585">
        <v>0.191</v>
      </c>
      <c r="P269" s="175">
        <v>0</v>
      </c>
      <c r="Q269" s="175">
        <v>6.5199999999999998E-3</v>
      </c>
      <c r="R269" s="175">
        <v>5.9100000000000003E-3</v>
      </c>
      <c r="S269" s="175">
        <v>2.0930000000000001E-2</v>
      </c>
      <c r="T269" s="175">
        <v>3.712E-2</v>
      </c>
      <c r="U269" s="175">
        <v>4.8099999999999997E-2</v>
      </c>
      <c r="V269" s="706">
        <v>7.2429999999999994E-2</v>
      </c>
      <c r="W269" s="717"/>
      <c r="X269" s="713"/>
      <c r="Y269" s="718"/>
      <c r="Z269" s="709">
        <v>50</v>
      </c>
      <c r="AA269" s="175"/>
      <c r="AB269" s="192"/>
      <c r="AC269" s="205">
        <v>2.1000000000000001E-2</v>
      </c>
      <c r="AD269" s="175">
        <v>6.7</v>
      </c>
      <c r="AE269" s="175">
        <v>0.5</v>
      </c>
      <c r="AF269" s="168">
        <f t="shared" si="4"/>
        <v>3.35</v>
      </c>
      <c r="AG269" s="175">
        <v>1.57</v>
      </c>
      <c r="AH269" s="334"/>
      <c r="AI269" s="188"/>
      <c r="AJ269" s="188"/>
      <c r="AK269" s="188"/>
      <c r="AL269" s="189"/>
      <c r="AM269" s="189"/>
      <c r="AN269" s="189"/>
      <c r="AO269" s="189"/>
      <c r="AP269" s="189"/>
      <c r="AQ269" s="189"/>
      <c r="AR269" s="189"/>
      <c r="AS269" s="189"/>
      <c r="AT269" s="189"/>
      <c r="AU269" s="190"/>
      <c r="AV269" s="190"/>
      <c r="AW269" s="190"/>
      <c r="AX269" s="190"/>
      <c r="AY269" s="190"/>
      <c r="AZ269" s="189"/>
      <c r="BA269" s="189"/>
      <c r="BB269" s="189"/>
      <c r="BC269" s="189"/>
      <c r="BD269" s="189"/>
      <c r="BE269" s="189"/>
      <c r="BF269" s="189"/>
      <c r="BG269" s="189"/>
      <c r="BH269" s="189"/>
      <c r="BI269" s="190"/>
      <c r="BJ269" s="190"/>
      <c r="BK269" s="190"/>
      <c r="BL269" s="190"/>
      <c r="BM269" s="190"/>
      <c r="BN269" s="191"/>
      <c r="BO269" s="191"/>
      <c r="BP269" s="191"/>
      <c r="BQ269" s="191"/>
      <c r="BR269" s="191"/>
      <c r="BS269" s="191"/>
      <c r="BT269" s="190"/>
      <c r="BU269" s="190"/>
      <c r="BV269" s="190"/>
      <c r="BW269" s="190"/>
      <c r="BX269" s="190"/>
      <c r="BY269" s="190"/>
      <c r="BZ269" s="190"/>
      <c r="CA269" s="189"/>
      <c r="CB269" s="15"/>
    </row>
    <row r="270" spans="1:80" ht="15" x14ac:dyDescent="0.25">
      <c r="A270" s="167"/>
      <c r="B270" s="642"/>
      <c r="C270" s="642"/>
      <c r="D270" s="179"/>
      <c r="E270" s="169"/>
      <c r="F270" s="169"/>
      <c r="G270" s="186"/>
      <c r="H270" s="187"/>
      <c r="I270" s="187"/>
      <c r="J270" s="187"/>
      <c r="K270" s="187"/>
      <c r="L270" s="647"/>
      <c r="M270" s="646">
        <v>34871</v>
      </c>
      <c r="N270" s="585">
        <v>5.31</v>
      </c>
      <c r="O270" s="585">
        <v>0.11833</v>
      </c>
      <c r="P270" s="175">
        <v>0</v>
      </c>
      <c r="Q270" s="175">
        <v>1.375E-2</v>
      </c>
      <c r="R270" s="175">
        <v>1.5879999999999998E-2</v>
      </c>
      <c r="S270" s="175">
        <v>2.086E-2</v>
      </c>
      <c r="T270" s="175">
        <v>1.8679999999999999E-2</v>
      </c>
      <c r="U270" s="175">
        <v>1.7579999999999998E-2</v>
      </c>
      <c r="V270" s="706">
        <v>3.1579999999999997E-2</v>
      </c>
      <c r="W270" s="717"/>
      <c r="X270" s="713"/>
      <c r="Y270" s="718"/>
      <c r="Z270" s="709">
        <v>42</v>
      </c>
      <c r="AA270" s="175"/>
      <c r="AB270" s="192"/>
      <c r="AC270" s="205">
        <v>2.3E-2</v>
      </c>
      <c r="AD270" s="175">
        <v>6.7</v>
      </c>
      <c r="AE270" s="175">
        <v>0.5</v>
      </c>
      <c r="AF270" s="168">
        <f t="shared" si="4"/>
        <v>3.35</v>
      </c>
      <c r="AG270" s="175">
        <v>1.57</v>
      </c>
      <c r="AH270" s="334"/>
      <c r="AI270" s="188"/>
      <c r="AJ270" s="188"/>
      <c r="AK270" s="188"/>
      <c r="AL270" s="189"/>
      <c r="AM270" s="189"/>
      <c r="AN270" s="189"/>
      <c r="AO270" s="189"/>
      <c r="AP270" s="189"/>
      <c r="AQ270" s="189"/>
      <c r="AR270" s="189"/>
      <c r="AS270" s="189"/>
      <c r="AT270" s="189"/>
      <c r="AU270" s="190"/>
      <c r="AV270" s="190"/>
      <c r="AW270" s="190"/>
      <c r="AX270" s="190"/>
      <c r="AY270" s="190"/>
      <c r="AZ270" s="189"/>
      <c r="BA270" s="189"/>
      <c r="BB270" s="189"/>
      <c r="BC270" s="189"/>
      <c r="BD270" s="189"/>
      <c r="BE270" s="189"/>
      <c r="BF270" s="189"/>
      <c r="BG270" s="189"/>
      <c r="BH270" s="189"/>
      <c r="BI270" s="190"/>
      <c r="BJ270" s="190"/>
      <c r="BK270" s="190"/>
      <c r="BL270" s="190"/>
      <c r="BM270" s="190"/>
      <c r="BN270" s="191"/>
      <c r="BO270" s="191"/>
      <c r="BP270" s="191"/>
      <c r="BQ270" s="191"/>
      <c r="BR270" s="191"/>
      <c r="BS270" s="191"/>
      <c r="BT270" s="190"/>
      <c r="BU270" s="190"/>
      <c r="BV270" s="190"/>
      <c r="BW270" s="190"/>
      <c r="BX270" s="190"/>
      <c r="BY270" s="190"/>
      <c r="BZ270" s="190"/>
      <c r="CA270" s="189"/>
      <c r="CB270" s="15"/>
    </row>
    <row r="271" spans="1:80" ht="15" x14ac:dyDescent="0.25">
      <c r="A271" s="167"/>
      <c r="B271" s="642"/>
      <c r="C271" s="642"/>
      <c r="D271" s="179"/>
      <c r="E271" s="169"/>
      <c r="F271" s="169"/>
      <c r="G271" s="186"/>
      <c r="H271" s="187"/>
      <c r="I271" s="187"/>
      <c r="J271" s="187"/>
      <c r="K271" s="187"/>
      <c r="L271" s="647"/>
      <c r="M271" s="646">
        <v>34873</v>
      </c>
      <c r="N271" s="585">
        <v>4.63</v>
      </c>
      <c r="O271" s="585">
        <v>0.24856</v>
      </c>
      <c r="P271" s="175">
        <v>0</v>
      </c>
      <c r="Q271" s="175">
        <v>1.8270000000000002E-2</v>
      </c>
      <c r="R271" s="175">
        <v>2.9389999999999999E-2</v>
      </c>
      <c r="S271" s="175">
        <v>4.9050000000000003E-2</v>
      </c>
      <c r="T271" s="175">
        <v>4.8759999999999998E-2</v>
      </c>
      <c r="U271" s="175">
        <v>4.4609999999999997E-2</v>
      </c>
      <c r="V271" s="706">
        <v>5.849E-2</v>
      </c>
      <c r="W271" s="717"/>
      <c r="X271" s="713"/>
      <c r="Y271" s="718"/>
      <c r="Z271" s="709">
        <v>45</v>
      </c>
      <c r="AA271" s="175"/>
      <c r="AB271" s="192"/>
      <c r="AC271" s="205">
        <v>2.3E-2</v>
      </c>
      <c r="AD271" s="175">
        <v>6.8</v>
      </c>
      <c r="AE271" s="175">
        <v>0.46</v>
      </c>
      <c r="AF271" s="168">
        <f t="shared" si="4"/>
        <v>3.1280000000000001</v>
      </c>
      <c r="AG271" s="175">
        <v>1.48</v>
      </c>
      <c r="AH271" s="334"/>
      <c r="AI271" s="188"/>
      <c r="AJ271" s="188"/>
      <c r="AK271" s="188"/>
      <c r="AL271" s="189"/>
      <c r="AM271" s="189"/>
      <c r="AN271" s="189"/>
      <c r="AO271" s="189"/>
      <c r="AP271" s="189"/>
      <c r="AQ271" s="189"/>
      <c r="AR271" s="189"/>
      <c r="AS271" s="189"/>
      <c r="AT271" s="189"/>
      <c r="AU271" s="190"/>
      <c r="AV271" s="190"/>
      <c r="AW271" s="190"/>
      <c r="AX271" s="190"/>
      <c r="AY271" s="190"/>
      <c r="AZ271" s="189"/>
      <c r="BA271" s="189"/>
      <c r="BB271" s="189"/>
      <c r="BC271" s="189"/>
      <c r="BD271" s="189"/>
      <c r="BE271" s="189"/>
      <c r="BF271" s="189"/>
      <c r="BG271" s="189"/>
      <c r="BH271" s="189"/>
      <c r="BI271" s="190"/>
      <c r="BJ271" s="190"/>
      <c r="BK271" s="190"/>
      <c r="BL271" s="190"/>
      <c r="BM271" s="190"/>
      <c r="BN271" s="191"/>
      <c r="BO271" s="191"/>
      <c r="BP271" s="191"/>
      <c r="BQ271" s="191"/>
      <c r="BR271" s="191"/>
      <c r="BS271" s="191"/>
      <c r="BT271" s="190"/>
      <c r="BU271" s="190"/>
      <c r="BV271" s="190"/>
      <c r="BW271" s="190"/>
      <c r="BX271" s="190"/>
      <c r="BY271" s="190"/>
      <c r="BZ271" s="190"/>
      <c r="CA271" s="189"/>
      <c r="CB271" s="15"/>
    </row>
    <row r="272" spans="1:80" ht="15" x14ac:dyDescent="0.25">
      <c r="A272" s="167"/>
      <c r="B272" s="642"/>
      <c r="C272" s="642"/>
      <c r="D272" s="179"/>
      <c r="E272" s="169"/>
      <c r="F272" s="169"/>
      <c r="G272" s="186"/>
      <c r="H272" s="187"/>
      <c r="I272" s="187"/>
      <c r="J272" s="187"/>
      <c r="K272" s="187"/>
      <c r="L272" s="647"/>
      <c r="M272" s="646">
        <v>34877</v>
      </c>
      <c r="N272" s="585">
        <v>4.0599999999999996</v>
      </c>
      <c r="O272" s="585">
        <v>0.16925999999999999</v>
      </c>
      <c r="P272" s="175">
        <v>0</v>
      </c>
      <c r="Q272" s="175">
        <v>1.061E-2</v>
      </c>
      <c r="R272" s="175">
        <v>3.0040000000000001E-2</v>
      </c>
      <c r="S272" s="175">
        <v>3.9890000000000002E-2</v>
      </c>
      <c r="T272" s="175">
        <v>2.911E-2</v>
      </c>
      <c r="U272" s="175">
        <v>2.6159999999999999E-2</v>
      </c>
      <c r="V272" s="706">
        <v>3.3450000000000001E-2</v>
      </c>
      <c r="W272" s="717"/>
      <c r="X272" s="713"/>
      <c r="Y272" s="718"/>
      <c r="Z272" s="709">
        <v>45</v>
      </c>
      <c r="AA272" s="175"/>
      <c r="AB272" s="192"/>
      <c r="AC272" s="205">
        <v>2.1000000000000001E-2</v>
      </c>
      <c r="AD272" s="175">
        <v>6.8</v>
      </c>
      <c r="AE272" s="175">
        <v>0.44</v>
      </c>
      <c r="AF272" s="168">
        <f t="shared" si="4"/>
        <v>2.992</v>
      </c>
      <c r="AG272" s="175">
        <v>1.37</v>
      </c>
      <c r="AH272" s="334"/>
      <c r="AI272" s="188"/>
      <c r="AJ272" s="188"/>
      <c r="AK272" s="188"/>
      <c r="AL272" s="189"/>
      <c r="AM272" s="189"/>
      <c r="AN272" s="189"/>
      <c r="AO272" s="189"/>
      <c r="AP272" s="189"/>
      <c r="AQ272" s="189"/>
      <c r="AR272" s="189"/>
      <c r="AS272" s="189"/>
      <c r="AT272" s="189"/>
      <c r="AU272" s="190"/>
      <c r="AV272" s="190"/>
      <c r="AW272" s="190"/>
      <c r="AX272" s="190"/>
      <c r="AY272" s="190"/>
      <c r="AZ272" s="189"/>
      <c r="BA272" s="189"/>
      <c r="BB272" s="189"/>
      <c r="BC272" s="189"/>
      <c r="BD272" s="189"/>
      <c r="BE272" s="189"/>
      <c r="BF272" s="189"/>
      <c r="BG272" s="189"/>
      <c r="BH272" s="189"/>
      <c r="BI272" s="190"/>
      <c r="BJ272" s="190"/>
      <c r="BK272" s="190"/>
      <c r="BL272" s="190"/>
      <c r="BM272" s="190"/>
      <c r="BN272" s="191"/>
      <c r="BO272" s="191"/>
      <c r="BP272" s="191"/>
      <c r="BQ272" s="191"/>
      <c r="BR272" s="191"/>
      <c r="BS272" s="191"/>
      <c r="BT272" s="190"/>
      <c r="BU272" s="190"/>
      <c r="BV272" s="190"/>
      <c r="BW272" s="190"/>
      <c r="BX272" s="190"/>
      <c r="BY272" s="190"/>
      <c r="BZ272" s="190"/>
      <c r="CA272" s="189"/>
      <c r="CB272" s="15"/>
    </row>
    <row r="273" spans="1:80" ht="15" x14ac:dyDescent="0.25">
      <c r="A273" s="167"/>
      <c r="B273" s="642"/>
      <c r="C273" s="642"/>
      <c r="D273" s="179"/>
      <c r="E273" s="169"/>
      <c r="F273" s="169"/>
      <c r="G273" s="186"/>
      <c r="H273" s="187"/>
      <c r="I273" s="187"/>
      <c r="J273" s="187"/>
      <c r="K273" s="187"/>
      <c r="L273" s="647"/>
      <c r="M273" s="646">
        <v>34880</v>
      </c>
      <c r="N273" s="585">
        <v>3.89</v>
      </c>
      <c r="O273" s="585">
        <v>0.11903</v>
      </c>
      <c r="P273" s="175">
        <v>0</v>
      </c>
      <c r="Q273" s="175">
        <v>0</v>
      </c>
      <c r="R273" s="175">
        <v>1.9529999999999999E-2</v>
      </c>
      <c r="S273" s="175">
        <v>2.8170000000000001E-2</v>
      </c>
      <c r="T273" s="175">
        <v>2.0230000000000001E-2</v>
      </c>
      <c r="U273" s="175">
        <v>1.8370000000000001E-2</v>
      </c>
      <c r="V273" s="706">
        <v>3.2730000000000002E-2</v>
      </c>
      <c r="W273" s="717"/>
      <c r="X273" s="713"/>
      <c r="Y273" s="718"/>
      <c r="Z273" s="709">
        <v>30</v>
      </c>
      <c r="AA273" s="175"/>
      <c r="AB273" s="192"/>
      <c r="AC273" s="205">
        <v>1.9E-2</v>
      </c>
      <c r="AD273" s="175">
        <v>6.7</v>
      </c>
      <c r="AE273" s="175">
        <v>0.42</v>
      </c>
      <c r="AF273" s="168">
        <f t="shared" si="4"/>
        <v>2.8140000000000001</v>
      </c>
      <c r="AG273" s="175">
        <v>1.38</v>
      </c>
      <c r="AH273" s="334"/>
      <c r="AI273" s="188"/>
      <c r="AJ273" s="188"/>
      <c r="AK273" s="188"/>
      <c r="AL273" s="189"/>
      <c r="AM273" s="189"/>
      <c r="AN273" s="189"/>
      <c r="AO273" s="189"/>
      <c r="AP273" s="189"/>
      <c r="AQ273" s="189"/>
      <c r="AR273" s="189"/>
      <c r="AS273" s="189"/>
      <c r="AT273" s="189"/>
      <c r="AU273" s="190"/>
      <c r="AV273" s="190"/>
      <c r="AW273" s="190"/>
      <c r="AX273" s="190"/>
      <c r="AY273" s="190"/>
      <c r="AZ273" s="189"/>
      <c r="BA273" s="189"/>
      <c r="BB273" s="189"/>
      <c r="BC273" s="189"/>
      <c r="BD273" s="189"/>
      <c r="BE273" s="189"/>
      <c r="BF273" s="189"/>
      <c r="BG273" s="189"/>
      <c r="BH273" s="189"/>
      <c r="BI273" s="190"/>
      <c r="BJ273" s="190"/>
      <c r="BK273" s="190"/>
      <c r="BL273" s="190"/>
      <c r="BM273" s="190"/>
      <c r="BN273" s="191"/>
      <c r="BO273" s="191"/>
      <c r="BP273" s="191"/>
      <c r="BQ273" s="191"/>
      <c r="BR273" s="191"/>
      <c r="BS273" s="191"/>
      <c r="BT273" s="190"/>
      <c r="BU273" s="190"/>
      <c r="BV273" s="190"/>
      <c r="BW273" s="190"/>
      <c r="BX273" s="190"/>
      <c r="BY273" s="190"/>
      <c r="BZ273" s="190"/>
      <c r="CA273" s="189"/>
      <c r="CB273" s="15"/>
    </row>
    <row r="274" spans="1:80" ht="15" x14ac:dyDescent="0.25">
      <c r="A274" s="167"/>
      <c r="B274" s="642"/>
      <c r="C274" s="642"/>
      <c r="D274" s="179"/>
      <c r="E274" s="169"/>
      <c r="F274" s="169"/>
      <c r="G274" s="186"/>
      <c r="H274" s="187"/>
      <c r="I274" s="187"/>
      <c r="J274" s="187"/>
      <c r="K274" s="187"/>
      <c r="L274" s="647"/>
      <c r="M274" s="646">
        <v>34885</v>
      </c>
      <c r="N274" s="585">
        <v>3.55</v>
      </c>
      <c r="O274" s="585">
        <v>3.1140000000000001E-2</v>
      </c>
      <c r="P274" s="175">
        <v>0</v>
      </c>
      <c r="Q274" s="175">
        <v>0</v>
      </c>
      <c r="R274" s="175">
        <v>2.2399999999999998E-3</v>
      </c>
      <c r="S274" s="175">
        <v>8.2100000000000003E-3</v>
      </c>
      <c r="T274" s="175">
        <v>7.3600000000000002E-3</v>
      </c>
      <c r="U274" s="175">
        <v>6.1500000000000001E-3</v>
      </c>
      <c r="V274" s="706">
        <v>7.1799999999999998E-3</v>
      </c>
      <c r="W274" s="717"/>
      <c r="X274" s="713"/>
      <c r="Y274" s="718"/>
      <c r="Z274" s="709">
        <v>22</v>
      </c>
      <c r="AA274" s="175"/>
      <c r="AB274" s="192"/>
      <c r="AC274" s="205">
        <v>2.3E-2</v>
      </c>
      <c r="AD274" s="175">
        <v>6.7</v>
      </c>
      <c r="AE274" s="175">
        <v>0.42</v>
      </c>
      <c r="AF274" s="168">
        <f t="shared" si="4"/>
        <v>2.8140000000000001</v>
      </c>
      <c r="AG274" s="175">
        <v>1.26</v>
      </c>
      <c r="AH274" s="334"/>
      <c r="AI274" s="188"/>
      <c r="AJ274" s="188"/>
      <c r="AK274" s="188"/>
      <c r="AL274" s="189"/>
      <c r="AM274" s="189"/>
      <c r="AN274" s="189"/>
      <c r="AO274" s="189"/>
      <c r="AP274" s="189"/>
      <c r="AQ274" s="189"/>
      <c r="AR274" s="189"/>
      <c r="AS274" s="189"/>
      <c r="AT274" s="189"/>
      <c r="AU274" s="190"/>
      <c r="AV274" s="190"/>
      <c r="AW274" s="190"/>
      <c r="AX274" s="190"/>
      <c r="AY274" s="190"/>
      <c r="AZ274" s="189"/>
      <c r="BA274" s="189"/>
      <c r="BB274" s="189"/>
      <c r="BC274" s="189"/>
      <c r="BD274" s="189"/>
      <c r="BE274" s="189"/>
      <c r="BF274" s="189"/>
      <c r="BG274" s="189"/>
      <c r="BH274" s="189"/>
      <c r="BI274" s="190"/>
      <c r="BJ274" s="190"/>
      <c r="BK274" s="190"/>
      <c r="BL274" s="190"/>
      <c r="BM274" s="190"/>
      <c r="BN274" s="191"/>
      <c r="BO274" s="191"/>
      <c r="BP274" s="191"/>
      <c r="BQ274" s="191"/>
      <c r="BR274" s="191"/>
      <c r="BS274" s="191"/>
      <c r="BT274" s="190"/>
      <c r="BU274" s="190"/>
      <c r="BV274" s="190"/>
      <c r="BW274" s="190"/>
      <c r="BX274" s="190"/>
      <c r="BY274" s="190"/>
      <c r="BZ274" s="190"/>
      <c r="CA274" s="189"/>
      <c r="CB274" s="15"/>
    </row>
    <row r="275" spans="1:80" ht="15" x14ac:dyDescent="0.25">
      <c r="A275" s="167"/>
      <c r="B275" s="642"/>
      <c r="C275" s="642"/>
      <c r="D275" s="179"/>
      <c r="E275" s="169"/>
      <c r="F275" s="169"/>
      <c r="G275" s="186"/>
      <c r="H275" s="187"/>
      <c r="I275" s="187"/>
      <c r="J275" s="187"/>
      <c r="K275" s="187"/>
      <c r="L275" s="647"/>
      <c r="M275" s="646">
        <v>34887</v>
      </c>
      <c r="N275" s="585">
        <v>4.01</v>
      </c>
      <c r="O275" s="585">
        <v>8.2369999999999999E-2</v>
      </c>
      <c r="P275" s="175">
        <v>0</v>
      </c>
      <c r="Q275" s="175">
        <v>4.6699999999999997E-3</v>
      </c>
      <c r="R275" s="175">
        <v>1.555E-2</v>
      </c>
      <c r="S275" s="175">
        <v>1.196E-2</v>
      </c>
      <c r="T275" s="175">
        <v>1.549E-2</v>
      </c>
      <c r="U275" s="175">
        <v>1.456E-2</v>
      </c>
      <c r="V275" s="706">
        <v>2.0160000000000001E-2</v>
      </c>
      <c r="W275" s="717"/>
      <c r="X275" s="713"/>
      <c r="Y275" s="718"/>
      <c r="Z275" s="709">
        <v>45</v>
      </c>
      <c r="AA275" s="175"/>
      <c r="AB275" s="192"/>
      <c r="AC275" s="205">
        <v>2.3E-2</v>
      </c>
      <c r="AD275" s="175">
        <v>6.7</v>
      </c>
      <c r="AE275" s="175">
        <v>0.44</v>
      </c>
      <c r="AF275" s="168">
        <f t="shared" si="4"/>
        <v>2.948</v>
      </c>
      <c r="AG275" s="175">
        <v>1.36</v>
      </c>
      <c r="AH275" s="334"/>
      <c r="AI275" s="188"/>
      <c r="AJ275" s="188"/>
      <c r="AK275" s="188"/>
      <c r="AL275" s="189"/>
      <c r="AM275" s="189"/>
      <c r="AN275" s="189"/>
      <c r="AO275" s="189"/>
      <c r="AP275" s="189"/>
      <c r="AQ275" s="189"/>
      <c r="AR275" s="189"/>
      <c r="AS275" s="189"/>
      <c r="AT275" s="189"/>
      <c r="AU275" s="190"/>
      <c r="AV275" s="190"/>
      <c r="AW275" s="190"/>
      <c r="AX275" s="190"/>
      <c r="AY275" s="190"/>
      <c r="AZ275" s="189"/>
      <c r="BA275" s="189"/>
      <c r="BB275" s="189"/>
      <c r="BC275" s="189"/>
      <c r="BD275" s="189"/>
      <c r="BE275" s="189"/>
      <c r="BF275" s="189"/>
      <c r="BG275" s="189"/>
      <c r="BH275" s="189"/>
      <c r="BI275" s="190"/>
      <c r="BJ275" s="190"/>
      <c r="BK275" s="190"/>
      <c r="BL275" s="190"/>
      <c r="BM275" s="190"/>
      <c r="BN275" s="191"/>
      <c r="BO275" s="191"/>
      <c r="BP275" s="191"/>
      <c r="BQ275" s="191"/>
      <c r="BR275" s="191"/>
      <c r="BS275" s="191"/>
      <c r="BT275" s="190"/>
      <c r="BU275" s="190"/>
      <c r="BV275" s="190"/>
      <c r="BW275" s="190"/>
      <c r="BX275" s="190"/>
      <c r="BY275" s="190"/>
      <c r="BZ275" s="190"/>
      <c r="CA275" s="189"/>
      <c r="CB275" s="15"/>
    </row>
    <row r="276" spans="1:80" ht="15" x14ac:dyDescent="0.25">
      <c r="A276" s="167"/>
      <c r="B276" s="642"/>
      <c r="C276" s="642"/>
      <c r="D276" s="179"/>
      <c r="E276" s="169"/>
      <c r="F276" s="169"/>
      <c r="G276" s="186"/>
      <c r="H276" s="187"/>
      <c r="I276" s="187"/>
      <c r="J276" s="187"/>
      <c r="K276" s="187"/>
      <c r="L276" s="647"/>
      <c r="M276" s="646">
        <v>34890</v>
      </c>
      <c r="N276" s="585">
        <v>4.71</v>
      </c>
      <c r="O276" s="585">
        <v>7.7539999999999998E-2</v>
      </c>
      <c r="P276" s="175">
        <v>0</v>
      </c>
      <c r="Q276" s="175">
        <v>4.1599999999999996E-3</v>
      </c>
      <c r="R276" s="175">
        <v>1.4540000000000001E-2</v>
      </c>
      <c r="S276" s="175">
        <v>1.307E-2</v>
      </c>
      <c r="T276" s="175">
        <v>1.391E-2</v>
      </c>
      <c r="U276" s="175">
        <v>1.252E-2</v>
      </c>
      <c r="V276" s="706">
        <v>1.934E-2</v>
      </c>
      <c r="W276" s="717"/>
      <c r="X276" s="713"/>
      <c r="Y276" s="718"/>
      <c r="Z276" s="709">
        <v>38</v>
      </c>
      <c r="AA276" s="175"/>
      <c r="AB276" s="192"/>
      <c r="AC276" s="205">
        <v>2.1000000000000001E-2</v>
      </c>
      <c r="AD276" s="175">
        <v>6.7</v>
      </c>
      <c r="AE276" s="175">
        <v>0.47</v>
      </c>
      <c r="AF276" s="168">
        <f t="shared" ref="AF276:AF308" si="5">AE276*AD276</f>
        <v>3.149</v>
      </c>
      <c r="AG276" s="175">
        <v>1.49</v>
      </c>
      <c r="AH276" s="334"/>
      <c r="AI276" s="188"/>
      <c r="AJ276" s="188"/>
      <c r="AK276" s="188"/>
      <c r="AL276" s="189"/>
      <c r="AM276" s="189"/>
      <c r="AN276" s="189"/>
      <c r="AO276" s="189"/>
      <c r="AP276" s="189"/>
      <c r="AQ276" s="189"/>
      <c r="AR276" s="189"/>
      <c r="AS276" s="189"/>
      <c r="AT276" s="189"/>
      <c r="AU276" s="190"/>
      <c r="AV276" s="190"/>
      <c r="AW276" s="190"/>
      <c r="AX276" s="190"/>
      <c r="AY276" s="190"/>
      <c r="AZ276" s="189"/>
      <c r="BA276" s="189"/>
      <c r="BB276" s="189"/>
      <c r="BC276" s="189"/>
      <c r="BD276" s="189"/>
      <c r="BE276" s="189"/>
      <c r="BF276" s="189"/>
      <c r="BG276" s="189"/>
      <c r="BH276" s="189"/>
      <c r="BI276" s="190"/>
      <c r="BJ276" s="190"/>
      <c r="BK276" s="190"/>
      <c r="BL276" s="190"/>
      <c r="BM276" s="190"/>
      <c r="BN276" s="191"/>
      <c r="BO276" s="191"/>
      <c r="BP276" s="191"/>
      <c r="BQ276" s="191"/>
      <c r="BR276" s="191"/>
      <c r="BS276" s="191"/>
      <c r="BT276" s="190"/>
      <c r="BU276" s="190"/>
      <c r="BV276" s="190"/>
      <c r="BW276" s="190"/>
      <c r="BX276" s="190"/>
      <c r="BY276" s="190"/>
      <c r="BZ276" s="190"/>
      <c r="CA276" s="189"/>
      <c r="CB276" s="15"/>
    </row>
    <row r="277" spans="1:80" ht="15" x14ac:dyDescent="0.25">
      <c r="A277" s="167"/>
      <c r="B277" s="642"/>
      <c r="C277" s="642"/>
      <c r="D277" s="179"/>
      <c r="E277" s="169"/>
      <c r="F277" s="169"/>
      <c r="G277" s="186"/>
      <c r="H277" s="187"/>
      <c r="I277" s="187"/>
      <c r="J277" s="187"/>
      <c r="K277" s="187"/>
      <c r="L277" s="647"/>
      <c r="M277" s="646">
        <v>34891</v>
      </c>
      <c r="N277" s="585">
        <v>6.69</v>
      </c>
      <c r="O277" s="585">
        <v>0.44706000000000001</v>
      </c>
      <c r="P277" s="175">
        <v>0</v>
      </c>
      <c r="Q277" s="175">
        <v>2.0420000000000001E-2</v>
      </c>
      <c r="R277" s="175">
        <v>8.2339999999999997E-2</v>
      </c>
      <c r="S277" s="175">
        <v>0.11915000000000001</v>
      </c>
      <c r="T277" s="175">
        <v>8.3049999999999999E-2</v>
      </c>
      <c r="U277" s="175">
        <v>6.318E-2</v>
      </c>
      <c r="V277" s="706">
        <v>7.893E-2</v>
      </c>
      <c r="W277" s="717"/>
      <c r="X277" s="713"/>
      <c r="Y277" s="718"/>
      <c r="Z277" s="709">
        <v>40</v>
      </c>
      <c r="AA277" s="175"/>
      <c r="AB277" s="192"/>
      <c r="AC277" s="205">
        <v>2.3E-2</v>
      </c>
      <c r="AD277" s="175">
        <v>6.8</v>
      </c>
      <c r="AE277" s="175">
        <v>0.55000000000000004</v>
      </c>
      <c r="AF277" s="168">
        <f t="shared" si="5"/>
        <v>3.74</v>
      </c>
      <c r="AG277" s="175">
        <v>1.77</v>
      </c>
      <c r="AH277" s="334"/>
      <c r="AI277" s="188"/>
      <c r="AJ277" s="188"/>
      <c r="AK277" s="188"/>
      <c r="AL277" s="189"/>
      <c r="AM277" s="189"/>
      <c r="AN277" s="189"/>
      <c r="AO277" s="189"/>
      <c r="AP277" s="189"/>
      <c r="AQ277" s="189"/>
      <c r="AR277" s="189"/>
      <c r="AS277" s="189"/>
      <c r="AT277" s="189"/>
      <c r="AU277" s="190"/>
      <c r="AV277" s="190"/>
      <c r="AW277" s="190"/>
      <c r="AX277" s="190"/>
      <c r="AY277" s="190"/>
      <c r="AZ277" s="189"/>
      <c r="BA277" s="189"/>
      <c r="BB277" s="189"/>
      <c r="BC277" s="189"/>
      <c r="BD277" s="189"/>
      <c r="BE277" s="189"/>
      <c r="BF277" s="189"/>
      <c r="BG277" s="189"/>
      <c r="BH277" s="189"/>
      <c r="BI277" s="190"/>
      <c r="BJ277" s="190"/>
      <c r="BK277" s="190"/>
      <c r="BL277" s="190"/>
      <c r="BM277" s="190"/>
      <c r="BN277" s="191"/>
      <c r="BO277" s="191"/>
      <c r="BP277" s="191"/>
      <c r="BQ277" s="191"/>
      <c r="BR277" s="191"/>
      <c r="BS277" s="191"/>
      <c r="BT277" s="190"/>
      <c r="BU277" s="190"/>
      <c r="BV277" s="190"/>
      <c r="BW277" s="190"/>
      <c r="BX277" s="190"/>
      <c r="BY277" s="190"/>
      <c r="BZ277" s="190"/>
      <c r="CA277" s="189"/>
      <c r="CB277" s="15"/>
    </row>
    <row r="278" spans="1:80" ht="15" x14ac:dyDescent="0.25">
      <c r="A278" s="167"/>
      <c r="B278" s="642"/>
      <c r="C278" s="642"/>
      <c r="D278" s="179"/>
      <c r="E278" s="169"/>
      <c r="F278" s="169"/>
      <c r="G278" s="186"/>
      <c r="H278" s="187"/>
      <c r="I278" s="187"/>
      <c r="J278" s="187"/>
      <c r="K278" s="187"/>
      <c r="L278" s="647"/>
      <c r="M278" s="646">
        <v>34893</v>
      </c>
      <c r="N278" s="585">
        <v>5.22</v>
      </c>
      <c r="O278" s="585">
        <v>0.24618000000000001</v>
      </c>
      <c r="P278" s="175">
        <v>0</v>
      </c>
      <c r="Q278" s="175">
        <v>1.643E-2</v>
      </c>
      <c r="R278" s="175">
        <v>4.7800000000000002E-2</v>
      </c>
      <c r="S278" s="175">
        <v>5.6210000000000003E-2</v>
      </c>
      <c r="T278" s="175">
        <v>5.5129999999999998E-2</v>
      </c>
      <c r="U278" s="175">
        <v>3.9350000000000003E-2</v>
      </c>
      <c r="V278" s="706">
        <v>3.1260000000000003E-2</v>
      </c>
      <c r="W278" s="717"/>
      <c r="X278" s="713"/>
      <c r="Y278" s="718"/>
      <c r="Z278" s="709">
        <v>44</v>
      </c>
      <c r="AA278" s="175"/>
      <c r="AB278" s="192"/>
      <c r="AC278" s="205">
        <v>1.9E-2</v>
      </c>
      <c r="AD278" s="175">
        <v>6.8</v>
      </c>
      <c r="AE278" s="175">
        <v>0.47</v>
      </c>
      <c r="AF278" s="168">
        <f t="shared" si="5"/>
        <v>3.1959999999999997</v>
      </c>
      <c r="AG278" s="175">
        <v>1.62</v>
      </c>
      <c r="AH278" s="334"/>
      <c r="AI278" s="188"/>
      <c r="AJ278" s="188"/>
      <c r="AK278" s="188"/>
      <c r="AL278" s="189"/>
      <c r="AM278" s="189"/>
      <c r="AN278" s="189"/>
      <c r="AO278" s="189"/>
      <c r="AP278" s="189"/>
      <c r="AQ278" s="189"/>
      <c r="AR278" s="189"/>
      <c r="AS278" s="189"/>
      <c r="AT278" s="189"/>
      <c r="AU278" s="190"/>
      <c r="AV278" s="190"/>
      <c r="AW278" s="190"/>
      <c r="AX278" s="190"/>
      <c r="AY278" s="190"/>
      <c r="AZ278" s="189"/>
      <c r="BA278" s="189"/>
      <c r="BB278" s="189"/>
      <c r="BC278" s="189"/>
      <c r="BD278" s="189"/>
      <c r="BE278" s="189"/>
      <c r="BF278" s="189"/>
      <c r="BG278" s="189"/>
      <c r="BH278" s="189"/>
      <c r="BI278" s="190"/>
      <c r="BJ278" s="190"/>
      <c r="BK278" s="190"/>
      <c r="BL278" s="190"/>
      <c r="BM278" s="190"/>
      <c r="BN278" s="191"/>
      <c r="BO278" s="191"/>
      <c r="BP278" s="191"/>
      <c r="BQ278" s="191"/>
      <c r="BR278" s="191"/>
      <c r="BS278" s="191"/>
      <c r="BT278" s="190"/>
      <c r="BU278" s="190"/>
      <c r="BV278" s="190"/>
      <c r="BW278" s="190"/>
      <c r="BX278" s="190"/>
      <c r="BY278" s="190"/>
      <c r="BZ278" s="190"/>
      <c r="CA278" s="189"/>
      <c r="CB278" s="15"/>
    </row>
    <row r="279" spans="1:80" ht="15" x14ac:dyDescent="0.25">
      <c r="A279" s="167"/>
      <c r="B279" s="642"/>
      <c r="C279" s="642"/>
      <c r="D279" s="179"/>
      <c r="E279" s="169"/>
      <c r="F279" s="169"/>
      <c r="G279" s="186"/>
      <c r="H279" s="187"/>
      <c r="I279" s="187"/>
      <c r="J279" s="187"/>
      <c r="K279" s="187"/>
      <c r="L279" s="647"/>
      <c r="M279" s="646">
        <v>34898</v>
      </c>
      <c r="N279" s="585">
        <v>4.22</v>
      </c>
      <c r="O279" s="585">
        <v>0.19633</v>
      </c>
      <c r="P279" s="175">
        <v>0</v>
      </c>
      <c r="Q279" s="175">
        <v>1.227E-2</v>
      </c>
      <c r="R279" s="175">
        <v>1.5509999999999999E-2</v>
      </c>
      <c r="S279" s="175">
        <v>3.3189999999999997E-2</v>
      </c>
      <c r="T279" s="175">
        <v>4.3529999999999999E-2</v>
      </c>
      <c r="U279" s="175">
        <v>4.7300000000000002E-2</v>
      </c>
      <c r="V279" s="706">
        <v>4.453E-2</v>
      </c>
      <c r="W279" s="717"/>
      <c r="X279" s="713"/>
      <c r="Y279" s="718"/>
      <c r="Z279" s="709">
        <v>43</v>
      </c>
      <c r="AA279" s="175"/>
      <c r="AB279" s="192"/>
      <c r="AC279" s="205">
        <v>2.4E-2</v>
      </c>
      <c r="AD279" s="175">
        <v>6.8</v>
      </c>
      <c r="AE279" s="175">
        <v>0.43</v>
      </c>
      <c r="AF279" s="168">
        <f t="shared" si="5"/>
        <v>2.9239999999999999</v>
      </c>
      <c r="AG279" s="175">
        <v>1.45</v>
      </c>
      <c r="AH279" s="334"/>
      <c r="AI279" s="188"/>
      <c r="AJ279" s="188"/>
      <c r="AK279" s="188"/>
      <c r="AL279" s="189"/>
      <c r="AM279" s="189"/>
      <c r="AN279" s="189"/>
      <c r="AO279" s="189"/>
      <c r="AP279" s="189"/>
      <c r="AQ279" s="189"/>
      <c r="AR279" s="189"/>
      <c r="AS279" s="189"/>
      <c r="AT279" s="189"/>
      <c r="AU279" s="190"/>
      <c r="AV279" s="190"/>
      <c r="AW279" s="190"/>
      <c r="AX279" s="190"/>
      <c r="AY279" s="190"/>
      <c r="AZ279" s="189"/>
      <c r="BA279" s="189"/>
      <c r="BB279" s="189"/>
      <c r="BC279" s="189"/>
      <c r="BD279" s="189"/>
      <c r="BE279" s="189"/>
      <c r="BF279" s="189"/>
      <c r="BG279" s="189"/>
      <c r="BH279" s="189"/>
      <c r="BI279" s="190"/>
      <c r="BJ279" s="190"/>
      <c r="BK279" s="190"/>
      <c r="BL279" s="190"/>
      <c r="BM279" s="190"/>
      <c r="BN279" s="191"/>
      <c r="BO279" s="191"/>
      <c r="BP279" s="191"/>
      <c r="BQ279" s="191"/>
      <c r="BR279" s="191"/>
      <c r="BS279" s="191"/>
      <c r="BT279" s="190"/>
      <c r="BU279" s="190"/>
      <c r="BV279" s="190"/>
      <c r="BW279" s="190"/>
      <c r="BX279" s="190"/>
      <c r="BY279" s="190"/>
      <c r="BZ279" s="190"/>
      <c r="CA279" s="189"/>
      <c r="CB279" s="15"/>
    </row>
    <row r="280" spans="1:80" ht="15" x14ac:dyDescent="0.25">
      <c r="A280" s="167"/>
      <c r="B280" s="642"/>
      <c r="C280" s="642"/>
      <c r="D280" s="179"/>
      <c r="E280" s="169"/>
      <c r="F280" s="169"/>
      <c r="G280" s="186"/>
      <c r="H280" s="187"/>
      <c r="I280" s="187"/>
      <c r="J280" s="187"/>
      <c r="K280" s="187"/>
      <c r="L280" s="647"/>
      <c r="M280" s="646">
        <v>34900</v>
      </c>
      <c r="N280" s="585">
        <v>3.79</v>
      </c>
      <c r="O280" s="585">
        <v>5.7770000000000002E-2</v>
      </c>
      <c r="P280" s="175">
        <v>0</v>
      </c>
      <c r="Q280" s="175">
        <v>0</v>
      </c>
      <c r="R280" s="175">
        <v>8.0800000000000004E-3</v>
      </c>
      <c r="S280" s="175">
        <v>8.8699999999999994E-3</v>
      </c>
      <c r="T280" s="175">
        <v>1.0959999999999999E-2</v>
      </c>
      <c r="U280" s="175">
        <v>1.3129999999999999E-2</v>
      </c>
      <c r="V280" s="706">
        <v>1.6729999999999998E-2</v>
      </c>
      <c r="W280" s="717"/>
      <c r="X280" s="713"/>
      <c r="Y280" s="718"/>
      <c r="Z280" s="709">
        <v>45</v>
      </c>
      <c r="AA280" s="175"/>
      <c r="AB280" s="192"/>
      <c r="AC280" s="205">
        <v>0.02</v>
      </c>
      <c r="AD280" s="175">
        <v>6.8</v>
      </c>
      <c r="AE280" s="175">
        <v>0.42</v>
      </c>
      <c r="AF280" s="168">
        <f t="shared" si="5"/>
        <v>2.8559999999999999</v>
      </c>
      <c r="AG280" s="175">
        <v>1.33</v>
      </c>
      <c r="AH280" s="334"/>
      <c r="AI280" s="188"/>
      <c r="AJ280" s="188"/>
      <c r="AK280" s="188"/>
      <c r="AL280" s="189"/>
      <c r="AM280" s="189"/>
      <c r="AN280" s="189"/>
      <c r="AO280" s="189"/>
      <c r="AP280" s="189"/>
      <c r="AQ280" s="189"/>
      <c r="AR280" s="189"/>
      <c r="AS280" s="189"/>
      <c r="AT280" s="189"/>
      <c r="AU280" s="190"/>
      <c r="AV280" s="190"/>
      <c r="AW280" s="190"/>
      <c r="AX280" s="190"/>
      <c r="AY280" s="190"/>
      <c r="AZ280" s="189"/>
      <c r="BA280" s="189"/>
      <c r="BB280" s="189"/>
      <c r="BC280" s="189"/>
      <c r="BD280" s="189"/>
      <c r="BE280" s="189"/>
      <c r="BF280" s="189"/>
      <c r="BG280" s="189"/>
      <c r="BH280" s="189"/>
      <c r="BI280" s="190"/>
      <c r="BJ280" s="190"/>
      <c r="BK280" s="190"/>
      <c r="BL280" s="190"/>
      <c r="BM280" s="190"/>
      <c r="BN280" s="191"/>
      <c r="BO280" s="191"/>
      <c r="BP280" s="191"/>
      <c r="BQ280" s="191"/>
      <c r="BR280" s="191"/>
      <c r="BS280" s="191"/>
      <c r="BT280" s="190"/>
      <c r="BU280" s="190"/>
      <c r="BV280" s="190"/>
      <c r="BW280" s="190"/>
      <c r="BX280" s="190"/>
      <c r="BY280" s="190"/>
      <c r="BZ280" s="190"/>
      <c r="CA280" s="189"/>
      <c r="CB280" s="15"/>
    </row>
    <row r="281" spans="1:80" ht="15" x14ac:dyDescent="0.25">
      <c r="A281" s="167"/>
      <c r="B281" s="642"/>
      <c r="C281" s="642"/>
      <c r="D281" s="179"/>
      <c r="E281" s="169"/>
      <c r="F281" s="169"/>
      <c r="G281" s="186"/>
      <c r="H281" s="187"/>
      <c r="I281" s="187"/>
      <c r="J281" s="187"/>
      <c r="K281" s="187"/>
      <c r="L281" s="647"/>
      <c r="M281" s="646">
        <v>34904</v>
      </c>
      <c r="N281" s="585">
        <v>3.45</v>
      </c>
      <c r="O281" s="585">
        <v>9.6250000000000002E-2</v>
      </c>
      <c r="P281" s="175">
        <v>0</v>
      </c>
      <c r="Q281" s="175">
        <v>0</v>
      </c>
      <c r="R281" s="175">
        <v>1.4959999999999999E-2</v>
      </c>
      <c r="S281" s="175">
        <v>2.426E-2</v>
      </c>
      <c r="T281" s="175">
        <v>1.9480000000000001E-2</v>
      </c>
      <c r="U281" s="175">
        <v>1.7069999999999998E-2</v>
      </c>
      <c r="V281" s="706">
        <v>2.0490000000000001E-2</v>
      </c>
      <c r="W281" s="717"/>
      <c r="X281" s="713"/>
      <c r="Y281" s="718"/>
      <c r="Z281" s="709">
        <v>28</v>
      </c>
      <c r="AA281" s="175"/>
      <c r="AB281" s="192"/>
      <c r="AC281" s="205">
        <v>1.9E-2</v>
      </c>
      <c r="AD281" s="175">
        <v>6.7</v>
      </c>
      <c r="AE281" s="175">
        <v>0.4</v>
      </c>
      <c r="AF281" s="168">
        <f t="shared" si="5"/>
        <v>2.68</v>
      </c>
      <c r="AG281" s="175">
        <v>1.28</v>
      </c>
      <c r="AH281" s="334"/>
      <c r="AI281" s="188"/>
      <c r="AJ281" s="188"/>
      <c r="AK281" s="188"/>
      <c r="AL281" s="189"/>
      <c r="AM281" s="189"/>
      <c r="AN281" s="189"/>
      <c r="AO281" s="189"/>
      <c r="AP281" s="189"/>
      <c r="AQ281" s="189"/>
      <c r="AR281" s="189"/>
      <c r="AS281" s="189"/>
      <c r="AT281" s="189"/>
      <c r="AU281" s="190"/>
      <c r="AV281" s="190"/>
      <c r="AW281" s="190"/>
      <c r="AX281" s="190"/>
      <c r="AY281" s="190"/>
      <c r="AZ281" s="189"/>
      <c r="BA281" s="189"/>
      <c r="BB281" s="189"/>
      <c r="BC281" s="189"/>
      <c r="BD281" s="189"/>
      <c r="BE281" s="189"/>
      <c r="BF281" s="189"/>
      <c r="BG281" s="189"/>
      <c r="BH281" s="189"/>
      <c r="BI281" s="190"/>
      <c r="BJ281" s="190"/>
      <c r="BK281" s="190"/>
      <c r="BL281" s="190"/>
      <c r="BM281" s="190"/>
      <c r="BN281" s="191"/>
      <c r="BO281" s="191"/>
      <c r="BP281" s="191"/>
      <c r="BQ281" s="191"/>
      <c r="BR281" s="191"/>
      <c r="BS281" s="191"/>
      <c r="BT281" s="190"/>
      <c r="BU281" s="190"/>
      <c r="BV281" s="190"/>
      <c r="BW281" s="190"/>
      <c r="BX281" s="190"/>
      <c r="BY281" s="190"/>
      <c r="BZ281" s="190"/>
      <c r="CA281" s="189"/>
      <c r="CB281" s="15"/>
    </row>
    <row r="282" spans="1:80" ht="15" x14ac:dyDescent="0.25">
      <c r="A282" s="167"/>
      <c r="B282" s="642"/>
      <c r="C282" s="642"/>
      <c r="D282" s="179"/>
      <c r="E282" s="169"/>
      <c r="F282" s="169"/>
      <c r="G282" s="186"/>
      <c r="H282" s="187"/>
      <c r="I282" s="187"/>
      <c r="J282" s="187"/>
      <c r="K282" s="187"/>
      <c r="L282" s="647"/>
      <c r="M282" s="646">
        <v>34906</v>
      </c>
      <c r="N282" s="585">
        <v>3.01</v>
      </c>
      <c r="O282" s="585">
        <v>3.6510000000000001E-2</v>
      </c>
      <c r="P282" s="175">
        <v>0</v>
      </c>
      <c r="Q282" s="175">
        <v>0</v>
      </c>
      <c r="R282" s="175">
        <v>1.4E-3</v>
      </c>
      <c r="S282" s="175">
        <v>8.0999999999999996E-3</v>
      </c>
      <c r="T282" s="175">
        <v>8.5900000000000004E-3</v>
      </c>
      <c r="U282" s="175">
        <v>8.4100000000000008E-3</v>
      </c>
      <c r="V282" s="706">
        <v>0.01</v>
      </c>
      <c r="W282" s="717"/>
      <c r="X282" s="713"/>
      <c r="Y282" s="718"/>
      <c r="Z282" s="709">
        <v>28</v>
      </c>
      <c r="AA282" s="175"/>
      <c r="AB282" s="192"/>
      <c r="AC282" s="205">
        <v>2.1000000000000001E-2</v>
      </c>
      <c r="AD282" s="175">
        <v>6.7</v>
      </c>
      <c r="AE282" s="175">
        <v>0.37</v>
      </c>
      <c r="AF282" s="168">
        <f t="shared" si="5"/>
        <v>2.4790000000000001</v>
      </c>
      <c r="AG282" s="175">
        <v>1.21</v>
      </c>
      <c r="AH282" s="334"/>
      <c r="AI282" s="188"/>
      <c r="AJ282" s="188"/>
      <c r="AK282" s="188"/>
      <c r="AL282" s="189"/>
      <c r="AM282" s="189"/>
      <c r="AN282" s="189"/>
      <c r="AO282" s="189"/>
      <c r="AP282" s="189"/>
      <c r="AQ282" s="189"/>
      <c r="AR282" s="189"/>
      <c r="AS282" s="189"/>
      <c r="AT282" s="189"/>
      <c r="AU282" s="190"/>
      <c r="AV282" s="190"/>
      <c r="AW282" s="190"/>
      <c r="AX282" s="190"/>
      <c r="AY282" s="190"/>
      <c r="AZ282" s="189"/>
      <c r="BA282" s="189"/>
      <c r="BB282" s="189"/>
      <c r="BC282" s="189"/>
      <c r="BD282" s="189"/>
      <c r="BE282" s="189"/>
      <c r="BF282" s="189"/>
      <c r="BG282" s="189"/>
      <c r="BH282" s="189"/>
      <c r="BI282" s="190"/>
      <c r="BJ282" s="190"/>
      <c r="BK282" s="190"/>
      <c r="BL282" s="190"/>
      <c r="BM282" s="190"/>
      <c r="BN282" s="191"/>
      <c r="BO282" s="191"/>
      <c r="BP282" s="191"/>
      <c r="BQ282" s="191"/>
      <c r="BR282" s="191"/>
      <c r="BS282" s="191"/>
      <c r="BT282" s="190"/>
      <c r="BU282" s="190"/>
      <c r="BV282" s="190"/>
      <c r="BW282" s="190"/>
      <c r="BX282" s="190"/>
      <c r="BY282" s="190"/>
      <c r="BZ282" s="190"/>
      <c r="CA282" s="189"/>
      <c r="CB282" s="15"/>
    </row>
    <row r="283" spans="1:80" ht="15" x14ac:dyDescent="0.25">
      <c r="A283" s="167"/>
      <c r="B283" s="642"/>
      <c r="C283" s="642"/>
      <c r="D283" s="179"/>
      <c r="E283" s="169"/>
      <c r="F283" s="169"/>
      <c r="G283" s="186"/>
      <c r="H283" s="187"/>
      <c r="I283" s="187"/>
      <c r="J283" s="187"/>
      <c r="K283" s="187"/>
      <c r="L283" s="647"/>
      <c r="M283" s="646">
        <v>34908</v>
      </c>
      <c r="N283" s="585">
        <v>2.64</v>
      </c>
      <c r="O283" s="585">
        <v>0.10128</v>
      </c>
      <c r="P283" s="175">
        <v>0</v>
      </c>
      <c r="Q283" s="175">
        <v>0</v>
      </c>
      <c r="R283" s="175">
        <v>5.7400000000000003E-3</v>
      </c>
      <c r="S283" s="175">
        <v>2.0830000000000001E-2</v>
      </c>
      <c r="T283" s="175">
        <v>2.6499999999999999E-2</v>
      </c>
      <c r="U283" s="175">
        <v>2.5819999999999999E-2</v>
      </c>
      <c r="V283" s="706">
        <v>2.239E-2</v>
      </c>
      <c r="W283" s="717"/>
      <c r="X283" s="713"/>
      <c r="Y283" s="718"/>
      <c r="Z283" s="709">
        <v>28</v>
      </c>
      <c r="AA283" s="175"/>
      <c r="AB283" s="192"/>
      <c r="AC283" s="205">
        <v>1.7999999999999999E-2</v>
      </c>
      <c r="AD283" s="175">
        <v>6.7</v>
      </c>
      <c r="AE283" s="175">
        <v>0.34</v>
      </c>
      <c r="AF283" s="168">
        <f t="shared" si="5"/>
        <v>2.278</v>
      </c>
      <c r="AG283" s="175">
        <v>1.1499999999999999</v>
      </c>
      <c r="AH283" s="334"/>
      <c r="AI283" s="188"/>
      <c r="AJ283" s="188"/>
      <c r="AK283" s="188"/>
      <c r="AL283" s="189"/>
      <c r="AM283" s="189"/>
      <c r="AN283" s="189"/>
      <c r="AO283" s="189"/>
      <c r="AP283" s="189"/>
      <c r="AQ283" s="189"/>
      <c r="AR283" s="189"/>
      <c r="AS283" s="189"/>
      <c r="AT283" s="189"/>
      <c r="AU283" s="190"/>
      <c r="AV283" s="190"/>
      <c r="AW283" s="190"/>
      <c r="AX283" s="190"/>
      <c r="AY283" s="190"/>
      <c r="AZ283" s="189"/>
      <c r="BA283" s="189"/>
      <c r="BB283" s="189"/>
      <c r="BC283" s="189"/>
      <c r="BD283" s="189"/>
      <c r="BE283" s="189"/>
      <c r="BF283" s="189"/>
      <c r="BG283" s="189"/>
      <c r="BH283" s="189"/>
      <c r="BI283" s="190"/>
      <c r="BJ283" s="190"/>
      <c r="BK283" s="190"/>
      <c r="BL283" s="190"/>
      <c r="BM283" s="190"/>
      <c r="BN283" s="191"/>
      <c r="BO283" s="191"/>
      <c r="BP283" s="191"/>
      <c r="BQ283" s="191"/>
      <c r="BR283" s="191"/>
      <c r="BS283" s="191"/>
      <c r="BT283" s="190"/>
      <c r="BU283" s="190"/>
      <c r="BV283" s="190"/>
      <c r="BW283" s="190"/>
      <c r="BX283" s="190"/>
      <c r="BY283" s="190"/>
      <c r="BZ283" s="190"/>
      <c r="CA283" s="189"/>
      <c r="CB283" s="15"/>
    </row>
    <row r="284" spans="1:80" ht="15" x14ac:dyDescent="0.25">
      <c r="A284" s="167"/>
      <c r="B284" s="642"/>
      <c r="C284" s="642"/>
      <c r="D284" s="179"/>
      <c r="E284" s="169"/>
      <c r="F284" s="169"/>
      <c r="G284" s="186"/>
      <c r="H284" s="187"/>
      <c r="I284" s="187"/>
      <c r="J284" s="187"/>
      <c r="K284" s="187"/>
      <c r="L284" s="647"/>
      <c r="M284" s="646">
        <v>34912</v>
      </c>
      <c r="N284" s="585">
        <v>2.13</v>
      </c>
      <c r="O284" s="585">
        <v>6.4599999999999996E-3</v>
      </c>
      <c r="P284" s="175">
        <v>0</v>
      </c>
      <c r="Q284" s="175">
        <v>0</v>
      </c>
      <c r="R284" s="175">
        <v>0</v>
      </c>
      <c r="S284" s="175">
        <v>1.06E-3</v>
      </c>
      <c r="T284" s="175">
        <v>1.66E-3</v>
      </c>
      <c r="U284" s="175">
        <v>1.3799999999999999E-3</v>
      </c>
      <c r="V284" s="706">
        <v>2.3500000000000001E-3</v>
      </c>
      <c r="W284" s="717"/>
      <c r="X284" s="713"/>
      <c r="Y284" s="718"/>
      <c r="Z284" s="709">
        <v>12</v>
      </c>
      <c r="AA284" s="175"/>
      <c r="AB284" s="192"/>
      <c r="AC284" s="205">
        <v>2.1000000000000001E-2</v>
      </c>
      <c r="AD284" s="175">
        <v>6.7</v>
      </c>
      <c r="AE284" s="175">
        <v>0.3</v>
      </c>
      <c r="AF284" s="168">
        <f t="shared" si="5"/>
        <v>2.0099999999999998</v>
      </c>
      <c r="AG284" s="175">
        <v>1.04</v>
      </c>
      <c r="AH284" s="334"/>
      <c r="AI284" s="188"/>
      <c r="AJ284" s="188"/>
      <c r="AK284" s="188"/>
      <c r="AL284" s="189"/>
      <c r="AM284" s="189"/>
      <c r="AN284" s="189"/>
      <c r="AO284" s="189"/>
      <c r="AP284" s="189"/>
      <c r="AQ284" s="189"/>
      <c r="AR284" s="189"/>
      <c r="AS284" s="189"/>
      <c r="AT284" s="189"/>
      <c r="AU284" s="190"/>
      <c r="AV284" s="190"/>
      <c r="AW284" s="190"/>
      <c r="AX284" s="190"/>
      <c r="AY284" s="190"/>
      <c r="AZ284" s="189"/>
      <c r="BA284" s="189"/>
      <c r="BB284" s="189"/>
      <c r="BC284" s="189"/>
      <c r="BD284" s="189"/>
      <c r="BE284" s="189"/>
      <c r="BF284" s="189"/>
      <c r="BG284" s="189"/>
      <c r="BH284" s="189"/>
      <c r="BI284" s="190"/>
      <c r="BJ284" s="190"/>
      <c r="BK284" s="190"/>
      <c r="BL284" s="190"/>
      <c r="BM284" s="190"/>
      <c r="BN284" s="191"/>
      <c r="BO284" s="191"/>
      <c r="BP284" s="191"/>
      <c r="BQ284" s="191"/>
      <c r="BR284" s="191"/>
      <c r="BS284" s="191"/>
      <c r="BT284" s="190"/>
      <c r="BU284" s="190"/>
      <c r="BV284" s="190"/>
      <c r="BW284" s="190"/>
      <c r="BX284" s="190"/>
      <c r="BY284" s="190"/>
      <c r="BZ284" s="190"/>
      <c r="CA284" s="189"/>
      <c r="CB284" s="15"/>
    </row>
    <row r="285" spans="1:80" ht="15" x14ac:dyDescent="0.25">
      <c r="A285" s="167"/>
      <c r="B285" s="642"/>
      <c r="C285" s="642"/>
      <c r="D285" s="179"/>
      <c r="E285" s="169"/>
      <c r="F285" s="169"/>
      <c r="G285" s="186"/>
      <c r="H285" s="187"/>
      <c r="I285" s="187"/>
      <c r="J285" s="187"/>
      <c r="K285" s="187"/>
      <c r="L285" s="647"/>
      <c r="M285" s="646">
        <v>34914</v>
      </c>
      <c r="N285" s="585">
        <v>2.21</v>
      </c>
      <c r="O285" s="585">
        <v>2.1489999999999999E-2</v>
      </c>
      <c r="P285" s="175">
        <v>0</v>
      </c>
      <c r="Q285" s="175">
        <v>0</v>
      </c>
      <c r="R285" s="175">
        <v>7.9000000000000001E-4</v>
      </c>
      <c r="S285" s="175">
        <v>5.1999999999999998E-3</v>
      </c>
      <c r="T285" s="175">
        <v>6.4700000000000001E-3</v>
      </c>
      <c r="U285" s="175">
        <v>4.8700000000000002E-3</v>
      </c>
      <c r="V285" s="706">
        <v>4.1599999999999996E-3</v>
      </c>
      <c r="W285" s="717"/>
      <c r="X285" s="713"/>
      <c r="Y285" s="718"/>
      <c r="Z285" s="709">
        <v>19</v>
      </c>
      <c r="AA285" s="175"/>
      <c r="AB285" s="192"/>
      <c r="AC285" s="205">
        <v>2.1000000000000001E-2</v>
      </c>
      <c r="AD285" s="175">
        <v>6.7</v>
      </c>
      <c r="AE285" s="175">
        <v>0.35</v>
      </c>
      <c r="AF285" s="168">
        <f t="shared" si="5"/>
        <v>2.3449999999999998</v>
      </c>
      <c r="AG285" s="175">
        <v>0.94</v>
      </c>
      <c r="AH285" s="334"/>
      <c r="AI285" s="188"/>
      <c r="AJ285" s="188"/>
      <c r="AK285" s="188"/>
      <c r="AL285" s="189"/>
      <c r="AM285" s="189"/>
      <c r="AN285" s="189"/>
      <c r="AO285" s="189"/>
      <c r="AP285" s="189"/>
      <c r="AQ285" s="189"/>
      <c r="AR285" s="189"/>
      <c r="AS285" s="189"/>
      <c r="AT285" s="189"/>
      <c r="AU285" s="190"/>
      <c r="AV285" s="190"/>
      <c r="AW285" s="190"/>
      <c r="AX285" s="190"/>
      <c r="AY285" s="190"/>
      <c r="AZ285" s="189"/>
      <c r="BA285" s="189"/>
      <c r="BB285" s="189"/>
      <c r="BC285" s="189"/>
      <c r="BD285" s="189"/>
      <c r="BE285" s="189"/>
      <c r="BF285" s="189"/>
      <c r="BG285" s="189"/>
      <c r="BH285" s="189"/>
      <c r="BI285" s="190"/>
      <c r="BJ285" s="190"/>
      <c r="BK285" s="190"/>
      <c r="BL285" s="190"/>
      <c r="BM285" s="190"/>
      <c r="BN285" s="191"/>
      <c r="BO285" s="191"/>
      <c r="BP285" s="191"/>
      <c r="BQ285" s="191"/>
      <c r="BR285" s="191"/>
      <c r="BS285" s="191"/>
      <c r="BT285" s="190"/>
      <c r="BU285" s="190"/>
      <c r="BV285" s="190"/>
      <c r="BW285" s="190"/>
      <c r="BX285" s="190"/>
      <c r="BY285" s="190"/>
      <c r="BZ285" s="190"/>
      <c r="CA285" s="189"/>
      <c r="CB285" s="15"/>
    </row>
    <row r="286" spans="1:80" ht="15" x14ac:dyDescent="0.25">
      <c r="A286" s="167"/>
      <c r="B286" s="642"/>
      <c r="C286" s="642"/>
      <c r="D286" s="179"/>
      <c r="E286" s="169"/>
      <c r="F286" s="169"/>
      <c r="G286" s="186"/>
      <c r="H286" s="187"/>
      <c r="I286" s="187"/>
      <c r="J286" s="187"/>
      <c r="K286" s="187"/>
      <c r="L286" s="647"/>
      <c r="M286" s="646">
        <v>35226</v>
      </c>
      <c r="N286" s="585">
        <v>3.69</v>
      </c>
      <c r="O286" s="585">
        <v>0.18015</v>
      </c>
      <c r="P286" s="175">
        <v>0</v>
      </c>
      <c r="Q286" s="175">
        <v>1.332E-2</v>
      </c>
      <c r="R286" s="175">
        <v>1.687E-2</v>
      </c>
      <c r="S286" s="175">
        <v>2.7779999999999999E-2</v>
      </c>
      <c r="T286" s="175">
        <v>3.8109999999999998E-2</v>
      </c>
      <c r="U286" s="175">
        <v>3.7879999999999997E-2</v>
      </c>
      <c r="V286" s="706">
        <v>4.6190000000000002E-2</v>
      </c>
      <c r="W286" s="717"/>
      <c r="X286" s="713"/>
      <c r="Y286" s="718"/>
      <c r="Z286" s="709">
        <v>46</v>
      </c>
      <c r="AA286" s="175"/>
      <c r="AB286" s="192"/>
      <c r="AC286" s="205">
        <v>0</v>
      </c>
      <c r="AD286" s="175">
        <v>6.82</v>
      </c>
      <c r="AE286" s="175">
        <v>0.41</v>
      </c>
      <c r="AF286" s="168">
        <f t="shared" si="5"/>
        <v>2.7961999999999998</v>
      </c>
      <c r="AG286" s="175">
        <v>1.35</v>
      </c>
      <c r="AH286" s="334"/>
      <c r="AI286" s="188"/>
      <c r="AJ286" s="188"/>
      <c r="AK286" s="188"/>
      <c r="AL286" s="189"/>
      <c r="AM286" s="189"/>
      <c r="AN286" s="189"/>
      <c r="AO286" s="189"/>
      <c r="AP286" s="189"/>
      <c r="AQ286" s="189"/>
      <c r="AR286" s="189"/>
      <c r="AS286" s="189"/>
      <c r="AT286" s="189"/>
      <c r="AU286" s="190"/>
      <c r="AV286" s="190"/>
      <c r="AW286" s="190"/>
      <c r="AX286" s="190"/>
      <c r="AY286" s="190"/>
      <c r="AZ286" s="189"/>
      <c r="BA286" s="189"/>
      <c r="BB286" s="189"/>
      <c r="BC286" s="189"/>
      <c r="BD286" s="189"/>
      <c r="BE286" s="189"/>
      <c r="BF286" s="189"/>
      <c r="BG286" s="189"/>
      <c r="BH286" s="189"/>
      <c r="BI286" s="190"/>
      <c r="BJ286" s="190"/>
      <c r="BK286" s="190"/>
      <c r="BL286" s="190"/>
      <c r="BM286" s="190"/>
      <c r="BN286" s="191"/>
      <c r="BO286" s="191"/>
      <c r="BP286" s="191"/>
      <c r="BQ286" s="191"/>
      <c r="BR286" s="191"/>
      <c r="BS286" s="191"/>
      <c r="BT286" s="190"/>
      <c r="BU286" s="190"/>
      <c r="BV286" s="190"/>
      <c r="BW286" s="190"/>
      <c r="BX286" s="190"/>
      <c r="BY286" s="190"/>
      <c r="BZ286" s="190"/>
      <c r="CA286" s="189"/>
      <c r="CB286" s="15"/>
    </row>
    <row r="287" spans="1:80" ht="15" x14ac:dyDescent="0.25">
      <c r="A287" s="167"/>
      <c r="B287" s="642"/>
      <c r="C287" s="642"/>
      <c r="D287" s="179"/>
      <c r="E287" s="169"/>
      <c r="F287" s="169"/>
      <c r="G287" s="186"/>
      <c r="H287" s="187"/>
      <c r="I287" s="187"/>
      <c r="J287" s="187"/>
      <c r="K287" s="187"/>
      <c r="L287" s="647"/>
      <c r="M287" s="646">
        <v>35233</v>
      </c>
      <c r="N287" s="585">
        <v>6.52</v>
      </c>
      <c r="O287" s="585">
        <v>0.19395000000000001</v>
      </c>
      <c r="P287" s="175">
        <v>0</v>
      </c>
      <c r="Q287" s="175">
        <v>9.4699999999999993E-3</v>
      </c>
      <c r="R287" s="175">
        <v>3.644E-2</v>
      </c>
      <c r="S287" s="175">
        <v>3.2809999999999999E-2</v>
      </c>
      <c r="T287" s="175">
        <v>3.2689999999999997E-2</v>
      </c>
      <c r="U287" s="175">
        <v>2.8479999999999998E-2</v>
      </c>
      <c r="V287" s="706">
        <v>5.407E-2</v>
      </c>
      <c r="W287" s="717"/>
      <c r="X287" s="713"/>
      <c r="Y287" s="718"/>
      <c r="Z287" s="709">
        <v>36</v>
      </c>
      <c r="AA287" s="175"/>
      <c r="AB287" s="192"/>
      <c r="AC287" s="205">
        <v>0</v>
      </c>
      <c r="AD287" s="175">
        <v>6.92</v>
      </c>
      <c r="AE287" s="175">
        <v>0.6</v>
      </c>
      <c r="AF287" s="168">
        <f t="shared" si="5"/>
        <v>4.1520000000000001</v>
      </c>
      <c r="AG287" s="175">
        <v>1.55</v>
      </c>
      <c r="AH287" s="334"/>
      <c r="AI287" s="188"/>
      <c r="AJ287" s="188"/>
      <c r="AK287" s="188"/>
      <c r="AL287" s="189"/>
      <c r="AM287" s="189"/>
      <c r="AN287" s="189"/>
      <c r="AO287" s="189"/>
      <c r="AP287" s="189"/>
      <c r="AQ287" s="189"/>
      <c r="AR287" s="189"/>
      <c r="AS287" s="189"/>
      <c r="AT287" s="189"/>
      <c r="AU287" s="190"/>
      <c r="AV287" s="190"/>
      <c r="AW287" s="190"/>
      <c r="AX287" s="190"/>
      <c r="AY287" s="190"/>
      <c r="AZ287" s="189"/>
      <c r="BA287" s="189"/>
      <c r="BB287" s="189"/>
      <c r="BC287" s="189"/>
      <c r="BD287" s="189"/>
      <c r="BE287" s="189"/>
      <c r="BF287" s="189"/>
      <c r="BG287" s="189"/>
      <c r="BH287" s="189"/>
      <c r="BI287" s="190"/>
      <c r="BJ287" s="190"/>
      <c r="BK287" s="190"/>
      <c r="BL287" s="190"/>
      <c r="BM287" s="190"/>
      <c r="BN287" s="191"/>
      <c r="BO287" s="191"/>
      <c r="BP287" s="191"/>
      <c r="BQ287" s="191"/>
      <c r="BR287" s="191"/>
      <c r="BS287" s="191"/>
      <c r="BT287" s="190"/>
      <c r="BU287" s="190"/>
      <c r="BV287" s="190"/>
      <c r="BW287" s="190"/>
      <c r="BX287" s="190"/>
      <c r="BY287" s="190"/>
      <c r="BZ287" s="190"/>
      <c r="CA287" s="189"/>
      <c r="CB287" s="15"/>
    </row>
    <row r="288" spans="1:80" ht="15" x14ac:dyDescent="0.25">
      <c r="A288" s="167"/>
      <c r="B288" s="642"/>
      <c r="C288" s="642"/>
      <c r="D288" s="179"/>
      <c r="E288" s="169"/>
      <c r="F288" s="169"/>
      <c r="G288" s="186"/>
      <c r="H288" s="187"/>
      <c r="I288" s="187"/>
      <c r="J288" s="187"/>
      <c r="K288" s="187"/>
      <c r="L288" s="647"/>
      <c r="M288" s="646">
        <v>35235</v>
      </c>
      <c r="N288" s="585">
        <v>5.92</v>
      </c>
      <c r="O288" s="585">
        <v>7.4870000000000006E-2</v>
      </c>
      <c r="P288" s="175">
        <v>0</v>
      </c>
      <c r="Q288" s="175">
        <v>0</v>
      </c>
      <c r="R288" s="175">
        <v>6.1500000000000001E-3</v>
      </c>
      <c r="S288" s="175">
        <v>1.299E-2</v>
      </c>
      <c r="T288" s="175">
        <v>1.323E-2</v>
      </c>
      <c r="U288" s="175">
        <v>1.4579999999999999E-2</v>
      </c>
      <c r="V288" s="706">
        <v>2.792E-2</v>
      </c>
      <c r="W288" s="717"/>
      <c r="X288" s="713"/>
      <c r="Y288" s="718"/>
      <c r="Z288" s="709">
        <v>30</v>
      </c>
      <c r="AA288" s="175"/>
      <c r="AB288" s="192"/>
      <c r="AC288" s="205">
        <v>0</v>
      </c>
      <c r="AD288" s="175">
        <v>6.9</v>
      </c>
      <c r="AE288" s="175">
        <v>0.55000000000000004</v>
      </c>
      <c r="AF288" s="168">
        <f t="shared" si="5"/>
        <v>3.7950000000000004</v>
      </c>
      <c r="AG288" s="175">
        <v>1.59</v>
      </c>
      <c r="AH288" s="334"/>
      <c r="AI288" s="188"/>
      <c r="AJ288" s="188"/>
      <c r="AK288" s="188"/>
      <c r="AL288" s="189"/>
      <c r="AM288" s="189"/>
      <c r="AN288" s="189"/>
      <c r="AO288" s="189"/>
      <c r="AP288" s="189"/>
      <c r="AQ288" s="189"/>
      <c r="AR288" s="189"/>
      <c r="AS288" s="189"/>
      <c r="AT288" s="189"/>
      <c r="AU288" s="190"/>
      <c r="AV288" s="190"/>
      <c r="AW288" s="190"/>
      <c r="AX288" s="190"/>
      <c r="AY288" s="190"/>
      <c r="AZ288" s="189"/>
      <c r="BA288" s="189"/>
      <c r="BB288" s="189"/>
      <c r="BC288" s="189"/>
      <c r="BD288" s="189"/>
      <c r="BE288" s="189"/>
      <c r="BF288" s="189"/>
      <c r="BG288" s="189"/>
      <c r="BH288" s="189"/>
      <c r="BI288" s="190"/>
      <c r="BJ288" s="190"/>
      <c r="BK288" s="190"/>
      <c r="BL288" s="190"/>
      <c r="BM288" s="190"/>
      <c r="BN288" s="191"/>
      <c r="BO288" s="191"/>
      <c r="BP288" s="191"/>
      <c r="BQ288" s="191"/>
      <c r="BR288" s="191"/>
      <c r="BS288" s="191"/>
      <c r="BT288" s="190"/>
      <c r="BU288" s="190"/>
      <c r="BV288" s="190"/>
      <c r="BW288" s="190"/>
      <c r="BX288" s="190"/>
      <c r="BY288" s="190"/>
      <c r="BZ288" s="190"/>
      <c r="CA288" s="189"/>
      <c r="CB288" s="15"/>
    </row>
    <row r="289" spans="1:80" ht="15" x14ac:dyDescent="0.25">
      <c r="A289" s="167"/>
      <c r="B289" s="642"/>
      <c r="C289" s="642"/>
      <c r="D289" s="179"/>
      <c r="E289" s="169"/>
      <c r="F289" s="169"/>
      <c r="G289" s="186"/>
      <c r="H289" s="187"/>
      <c r="I289" s="187"/>
      <c r="J289" s="187"/>
      <c r="K289" s="187"/>
      <c r="L289" s="647"/>
      <c r="M289" s="646">
        <v>35238</v>
      </c>
      <c r="N289" s="585">
        <v>6.95</v>
      </c>
      <c r="O289" s="585">
        <v>8.6690000000000003E-2</v>
      </c>
      <c r="P289" s="175">
        <v>0</v>
      </c>
      <c r="Q289" s="175">
        <v>7.2700000000000004E-3</v>
      </c>
      <c r="R289" s="175">
        <v>3.64E-3</v>
      </c>
      <c r="S289" s="175">
        <v>9.1999999999999998E-3</v>
      </c>
      <c r="T289" s="175">
        <v>1.362E-2</v>
      </c>
      <c r="U289" s="175">
        <v>1.414E-2</v>
      </c>
      <c r="V289" s="706">
        <v>3.882E-2</v>
      </c>
      <c r="W289" s="717"/>
      <c r="X289" s="713"/>
      <c r="Y289" s="718"/>
      <c r="Z289" s="709">
        <v>35</v>
      </c>
      <c r="AA289" s="175"/>
      <c r="AB289" s="192"/>
      <c r="AC289" s="205">
        <v>0</v>
      </c>
      <c r="AD289" s="175">
        <v>7.05</v>
      </c>
      <c r="AE289" s="175">
        <v>0.61</v>
      </c>
      <c r="AF289" s="168">
        <f t="shared" si="5"/>
        <v>4.3004999999999995</v>
      </c>
      <c r="AG289" s="175">
        <v>1.66</v>
      </c>
      <c r="AH289" s="334"/>
      <c r="AI289" s="188"/>
      <c r="AJ289" s="188"/>
      <c r="AK289" s="188"/>
      <c r="AL289" s="189"/>
      <c r="AM289" s="189"/>
      <c r="AN289" s="189"/>
      <c r="AO289" s="189"/>
      <c r="AP289" s="189"/>
      <c r="AQ289" s="189"/>
      <c r="AR289" s="189"/>
      <c r="AS289" s="189"/>
      <c r="AT289" s="189"/>
      <c r="AU289" s="190"/>
      <c r="AV289" s="190"/>
      <c r="AW289" s="190"/>
      <c r="AX289" s="190"/>
      <c r="AY289" s="190"/>
      <c r="AZ289" s="189"/>
      <c r="BA289" s="189"/>
      <c r="BB289" s="189"/>
      <c r="BC289" s="189"/>
      <c r="BD289" s="189"/>
      <c r="BE289" s="189"/>
      <c r="BF289" s="189"/>
      <c r="BG289" s="189"/>
      <c r="BH289" s="189"/>
      <c r="BI289" s="190"/>
      <c r="BJ289" s="190"/>
      <c r="BK289" s="190"/>
      <c r="BL289" s="190"/>
      <c r="BM289" s="190"/>
      <c r="BN289" s="191"/>
      <c r="BO289" s="191"/>
      <c r="BP289" s="191"/>
      <c r="BQ289" s="191"/>
      <c r="BR289" s="191"/>
      <c r="BS289" s="191"/>
      <c r="BT289" s="190"/>
      <c r="BU289" s="190"/>
      <c r="BV289" s="190"/>
      <c r="BW289" s="190"/>
      <c r="BX289" s="190"/>
      <c r="BY289" s="190"/>
      <c r="BZ289" s="190"/>
      <c r="CA289" s="189"/>
      <c r="CB289" s="15"/>
    </row>
    <row r="290" spans="1:80" ht="15" x14ac:dyDescent="0.25">
      <c r="A290" s="167"/>
      <c r="B290" s="642"/>
      <c r="C290" s="642"/>
      <c r="D290" s="179"/>
      <c r="E290" s="169"/>
      <c r="F290" s="169"/>
      <c r="G290" s="186"/>
      <c r="H290" s="187"/>
      <c r="I290" s="187"/>
      <c r="J290" s="187"/>
      <c r="K290" s="187"/>
      <c r="L290" s="647"/>
      <c r="M290" s="646">
        <v>35243</v>
      </c>
      <c r="N290" s="585">
        <v>5.3</v>
      </c>
      <c r="O290" s="585">
        <v>2.019E-2</v>
      </c>
      <c r="P290" s="175">
        <v>0</v>
      </c>
      <c r="Q290" s="175">
        <v>0</v>
      </c>
      <c r="R290" s="175">
        <v>0</v>
      </c>
      <c r="S290" s="175">
        <v>1.6000000000000001E-3</v>
      </c>
      <c r="T290" s="175">
        <v>3.3600000000000001E-3</v>
      </c>
      <c r="U290" s="175">
        <v>5.6699999999999997E-3</v>
      </c>
      <c r="V290" s="706">
        <v>9.5600000000000008E-3</v>
      </c>
      <c r="W290" s="717"/>
      <c r="X290" s="713"/>
      <c r="Y290" s="718"/>
      <c r="Z290" s="709">
        <v>16</v>
      </c>
      <c r="AA290" s="175"/>
      <c r="AB290" s="192"/>
      <c r="AC290" s="205">
        <v>2.1000000000000001E-2</v>
      </c>
      <c r="AD290" s="175">
        <v>6.91</v>
      </c>
      <c r="AE290" s="175">
        <v>0.51</v>
      </c>
      <c r="AF290" s="168">
        <f t="shared" si="5"/>
        <v>3.5241000000000002</v>
      </c>
      <c r="AG290" s="175">
        <v>1.57</v>
      </c>
      <c r="AH290" s="334"/>
      <c r="AI290" s="188"/>
      <c r="AJ290" s="188"/>
      <c r="AK290" s="188"/>
      <c r="AL290" s="189"/>
      <c r="AM290" s="189"/>
      <c r="AN290" s="189"/>
      <c r="AO290" s="189"/>
      <c r="AP290" s="189"/>
      <c r="AQ290" s="189"/>
      <c r="AR290" s="189"/>
      <c r="AS290" s="189"/>
      <c r="AT290" s="189"/>
      <c r="AU290" s="190"/>
      <c r="AV290" s="190"/>
      <c r="AW290" s="190"/>
      <c r="AX290" s="190"/>
      <c r="AY290" s="190"/>
      <c r="AZ290" s="189"/>
      <c r="BA290" s="189"/>
      <c r="BB290" s="189"/>
      <c r="BC290" s="189"/>
      <c r="BD290" s="189"/>
      <c r="BE290" s="189"/>
      <c r="BF290" s="189"/>
      <c r="BG290" s="189"/>
      <c r="BH290" s="189"/>
      <c r="BI290" s="190"/>
      <c r="BJ290" s="190"/>
      <c r="BK290" s="190"/>
      <c r="BL290" s="190"/>
      <c r="BM290" s="190"/>
      <c r="BN290" s="191"/>
      <c r="BO290" s="191"/>
      <c r="BP290" s="191"/>
      <c r="BQ290" s="191"/>
      <c r="BR290" s="191"/>
      <c r="BS290" s="191"/>
      <c r="BT290" s="190"/>
      <c r="BU290" s="190"/>
      <c r="BV290" s="190"/>
      <c r="BW290" s="190"/>
      <c r="BX290" s="190"/>
      <c r="BY290" s="190"/>
      <c r="BZ290" s="190"/>
      <c r="CA290" s="189"/>
      <c r="CB290" s="15"/>
    </row>
    <row r="291" spans="1:80" ht="15" x14ac:dyDescent="0.25">
      <c r="A291" s="167"/>
      <c r="B291" s="642"/>
      <c r="C291" s="642"/>
      <c r="D291" s="179"/>
      <c r="E291" s="169"/>
      <c r="F291" s="169"/>
      <c r="G291" s="186"/>
      <c r="H291" s="187"/>
      <c r="I291" s="187"/>
      <c r="J291" s="187"/>
      <c r="K291" s="187"/>
      <c r="L291" s="647"/>
      <c r="M291" s="646">
        <v>35247</v>
      </c>
      <c r="N291" s="585">
        <v>2.56</v>
      </c>
      <c r="O291" s="585">
        <v>1.473E-2</v>
      </c>
      <c r="P291" s="175">
        <v>0</v>
      </c>
      <c r="Q291" s="175">
        <v>0</v>
      </c>
      <c r="R291" s="175">
        <v>1.5E-3</v>
      </c>
      <c r="S291" s="175">
        <v>7.2000000000000005E-4</v>
      </c>
      <c r="T291" s="175">
        <v>9.5E-4</v>
      </c>
      <c r="U291" s="175">
        <v>1.97E-3</v>
      </c>
      <c r="V291" s="706">
        <v>9.5899999999999996E-3</v>
      </c>
      <c r="W291" s="717"/>
      <c r="X291" s="713"/>
      <c r="Y291" s="718"/>
      <c r="Z291" s="709">
        <v>19</v>
      </c>
      <c r="AA291" s="175"/>
      <c r="AB291" s="192"/>
      <c r="AC291" s="205">
        <v>0.02</v>
      </c>
      <c r="AD291" s="175">
        <v>6.65</v>
      </c>
      <c r="AE291" s="175">
        <v>0.39</v>
      </c>
      <c r="AF291" s="168">
        <f t="shared" si="5"/>
        <v>2.5935000000000001</v>
      </c>
      <c r="AG291" s="175">
        <v>1.1000000000000001</v>
      </c>
      <c r="AH291" s="334"/>
      <c r="AI291" s="188"/>
      <c r="AJ291" s="188"/>
      <c r="AK291" s="188"/>
      <c r="AL291" s="189"/>
      <c r="AM291" s="189"/>
      <c r="AN291" s="189"/>
      <c r="AO291" s="189"/>
      <c r="AP291" s="189"/>
      <c r="AQ291" s="189"/>
      <c r="AR291" s="189"/>
      <c r="AS291" s="189"/>
      <c r="AT291" s="189"/>
      <c r="AU291" s="190"/>
      <c r="AV291" s="190"/>
      <c r="AW291" s="190"/>
      <c r="AX291" s="190"/>
      <c r="AY291" s="190"/>
      <c r="AZ291" s="189"/>
      <c r="BA291" s="189"/>
      <c r="BB291" s="189"/>
      <c r="BC291" s="189"/>
      <c r="BD291" s="189"/>
      <c r="BE291" s="189"/>
      <c r="BF291" s="189"/>
      <c r="BG291" s="189"/>
      <c r="BH291" s="189"/>
      <c r="BI291" s="190"/>
      <c r="BJ291" s="190"/>
      <c r="BK291" s="190"/>
      <c r="BL291" s="190"/>
      <c r="BM291" s="190"/>
      <c r="BN291" s="191"/>
      <c r="BO291" s="191"/>
      <c r="BP291" s="191"/>
      <c r="BQ291" s="191"/>
      <c r="BR291" s="191"/>
      <c r="BS291" s="191"/>
      <c r="BT291" s="190"/>
      <c r="BU291" s="190"/>
      <c r="BV291" s="190"/>
      <c r="BW291" s="190"/>
      <c r="BX291" s="190"/>
      <c r="BY291" s="190"/>
      <c r="BZ291" s="190"/>
      <c r="CA291" s="189"/>
      <c r="CB291" s="15"/>
    </row>
    <row r="292" spans="1:80" ht="15" x14ac:dyDescent="0.25">
      <c r="A292" s="167"/>
      <c r="B292" s="642"/>
      <c r="C292" s="642"/>
      <c r="D292" s="179"/>
      <c r="E292" s="169"/>
      <c r="F292" s="169"/>
      <c r="G292" s="186"/>
      <c r="H292" s="187"/>
      <c r="I292" s="187"/>
      <c r="J292" s="187"/>
      <c r="K292" s="187"/>
      <c r="L292" s="647"/>
      <c r="M292" s="646">
        <v>35580</v>
      </c>
      <c r="N292" s="585">
        <v>0.69</v>
      </c>
      <c r="O292" s="585">
        <v>9.1E-4</v>
      </c>
      <c r="P292" s="175">
        <v>0</v>
      </c>
      <c r="Q292" s="175">
        <v>0</v>
      </c>
      <c r="R292" s="175">
        <v>0</v>
      </c>
      <c r="S292" s="175">
        <v>0</v>
      </c>
      <c r="T292" s="175">
        <v>6.9999999999999994E-5</v>
      </c>
      <c r="U292" s="175">
        <v>1.3999999999999999E-4</v>
      </c>
      <c r="V292" s="706">
        <v>7.1000000000000002E-4</v>
      </c>
      <c r="W292" s="717"/>
      <c r="X292" s="713"/>
      <c r="Y292" s="718"/>
      <c r="Z292" s="709">
        <v>6</v>
      </c>
      <c r="AA292" s="175"/>
      <c r="AB292" s="192"/>
      <c r="AC292" s="205">
        <v>1.6E-2</v>
      </c>
      <c r="AD292" s="175">
        <v>6.68</v>
      </c>
      <c r="AE292" s="175">
        <v>0.2</v>
      </c>
      <c r="AF292" s="168">
        <f t="shared" si="5"/>
        <v>1.3360000000000001</v>
      </c>
      <c r="AG292" s="175">
        <v>0.52</v>
      </c>
      <c r="AH292" s="334"/>
      <c r="AI292" s="188"/>
      <c r="AJ292" s="188"/>
      <c r="AK292" s="188"/>
      <c r="AL292" s="189"/>
      <c r="AM292" s="189"/>
      <c r="AN292" s="189"/>
      <c r="AO292" s="189"/>
      <c r="AP292" s="189"/>
      <c r="AQ292" s="189"/>
      <c r="AR292" s="189"/>
      <c r="AS292" s="189"/>
      <c r="AT292" s="189"/>
      <c r="AU292" s="190"/>
      <c r="AV292" s="190"/>
      <c r="AW292" s="190"/>
      <c r="AX292" s="190"/>
      <c r="AY292" s="190"/>
      <c r="AZ292" s="189"/>
      <c r="BA292" s="189"/>
      <c r="BB292" s="189"/>
      <c r="BC292" s="189"/>
      <c r="BD292" s="189"/>
      <c r="BE292" s="189"/>
      <c r="BF292" s="189"/>
      <c r="BG292" s="189"/>
      <c r="BH292" s="189"/>
      <c r="BI292" s="190"/>
      <c r="BJ292" s="190"/>
      <c r="BK292" s="190"/>
      <c r="BL292" s="190"/>
      <c r="BM292" s="190"/>
      <c r="BN292" s="191"/>
      <c r="BO292" s="191"/>
      <c r="BP292" s="191"/>
      <c r="BQ292" s="191"/>
      <c r="BR292" s="191"/>
      <c r="BS292" s="191"/>
      <c r="BT292" s="190"/>
      <c r="BU292" s="190"/>
      <c r="BV292" s="190"/>
      <c r="BW292" s="190"/>
      <c r="BX292" s="190"/>
      <c r="BY292" s="190"/>
      <c r="BZ292" s="190"/>
      <c r="CA292" s="189"/>
      <c r="CB292" s="15"/>
    </row>
    <row r="293" spans="1:80" ht="15" x14ac:dyDescent="0.25">
      <c r="A293" s="167"/>
      <c r="B293" s="642"/>
      <c r="C293" s="642"/>
      <c r="D293" s="179"/>
      <c r="E293" s="169"/>
      <c r="F293" s="169"/>
      <c r="G293" s="186"/>
      <c r="H293" s="187"/>
      <c r="I293" s="187"/>
      <c r="J293" s="187"/>
      <c r="K293" s="187"/>
      <c r="L293" s="647"/>
      <c r="M293" s="646">
        <v>35583</v>
      </c>
      <c r="N293" s="585">
        <v>2.59</v>
      </c>
      <c r="O293" s="585">
        <v>1.418E-2</v>
      </c>
      <c r="P293" s="175">
        <v>0</v>
      </c>
      <c r="Q293" s="175">
        <v>0</v>
      </c>
      <c r="R293" s="175">
        <v>1.2099999999999999E-3</v>
      </c>
      <c r="S293" s="175">
        <v>3.7699999999999999E-3</v>
      </c>
      <c r="T293" s="175">
        <v>2.7000000000000001E-3</v>
      </c>
      <c r="U293" s="175">
        <v>2.98E-3</v>
      </c>
      <c r="V293" s="706">
        <v>3.5100000000000001E-3</v>
      </c>
      <c r="W293" s="717"/>
      <c r="X293" s="713"/>
      <c r="Y293" s="718"/>
      <c r="Z293" s="709">
        <v>19</v>
      </c>
      <c r="AA293" s="175"/>
      <c r="AB293" s="192"/>
      <c r="AC293" s="205">
        <v>1.9E-2</v>
      </c>
      <c r="AD293" s="175">
        <v>6.68</v>
      </c>
      <c r="AE293" s="175">
        <v>0.39</v>
      </c>
      <c r="AF293" s="168">
        <f t="shared" si="5"/>
        <v>2.6052</v>
      </c>
      <c r="AG293" s="175">
        <v>0.95</v>
      </c>
      <c r="AH293" s="334"/>
      <c r="AI293" s="188"/>
      <c r="AJ293" s="188"/>
      <c r="AK293" s="188"/>
      <c r="AL293" s="189"/>
      <c r="AM293" s="189"/>
      <c r="AN293" s="189"/>
      <c r="AO293" s="189"/>
      <c r="AP293" s="189"/>
      <c r="AQ293" s="189"/>
      <c r="AR293" s="189"/>
      <c r="AS293" s="189"/>
      <c r="AT293" s="189"/>
      <c r="AU293" s="190"/>
      <c r="AV293" s="190"/>
      <c r="AW293" s="190"/>
      <c r="AX293" s="190"/>
      <c r="AY293" s="190"/>
      <c r="AZ293" s="189"/>
      <c r="BA293" s="189"/>
      <c r="BB293" s="189"/>
      <c r="BC293" s="189"/>
      <c r="BD293" s="189"/>
      <c r="BE293" s="189"/>
      <c r="BF293" s="189"/>
      <c r="BG293" s="189"/>
      <c r="BH293" s="189"/>
      <c r="BI293" s="190"/>
      <c r="BJ293" s="190"/>
      <c r="BK293" s="190"/>
      <c r="BL293" s="190"/>
      <c r="BM293" s="190"/>
      <c r="BN293" s="191"/>
      <c r="BO293" s="191"/>
      <c r="BP293" s="191"/>
      <c r="BQ293" s="191"/>
      <c r="BR293" s="191"/>
      <c r="BS293" s="191"/>
      <c r="BT293" s="190"/>
      <c r="BU293" s="190"/>
      <c r="BV293" s="190"/>
      <c r="BW293" s="190"/>
      <c r="BX293" s="190"/>
      <c r="BY293" s="190"/>
      <c r="BZ293" s="190"/>
      <c r="CA293" s="189"/>
      <c r="CB293" s="15"/>
    </row>
    <row r="294" spans="1:80" ht="15" x14ac:dyDescent="0.25">
      <c r="A294" s="167"/>
      <c r="B294" s="642"/>
      <c r="C294" s="642"/>
      <c r="D294" s="179"/>
      <c r="E294" s="169"/>
      <c r="F294" s="169"/>
      <c r="G294" s="186"/>
      <c r="H294" s="187"/>
      <c r="I294" s="187"/>
      <c r="J294" s="187"/>
      <c r="K294" s="187"/>
      <c r="L294" s="647"/>
      <c r="M294" s="646">
        <v>35586</v>
      </c>
      <c r="N294" s="585">
        <v>5.65</v>
      </c>
      <c r="O294" s="585">
        <v>7.2239999999999999E-2</v>
      </c>
      <c r="P294" s="175">
        <v>0</v>
      </c>
      <c r="Q294" s="175">
        <v>0</v>
      </c>
      <c r="R294" s="175">
        <v>3.8E-3</v>
      </c>
      <c r="S294" s="175">
        <v>8.7500000000000008E-3</v>
      </c>
      <c r="T294" s="175">
        <v>1.265E-2</v>
      </c>
      <c r="U294" s="175">
        <v>1.6899999999999998E-2</v>
      </c>
      <c r="V294" s="706">
        <v>3.015E-2</v>
      </c>
      <c r="W294" s="717"/>
      <c r="X294" s="713"/>
      <c r="Y294" s="718"/>
      <c r="Z294" s="709">
        <v>27</v>
      </c>
      <c r="AA294" s="175"/>
      <c r="AB294" s="192"/>
      <c r="AC294" s="205">
        <v>0.02</v>
      </c>
      <c r="AD294" s="175">
        <v>6.89</v>
      </c>
      <c r="AE294" s="175">
        <v>0.51</v>
      </c>
      <c r="AF294" s="168">
        <f t="shared" si="5"/>
        <v>3.5139</v>
      </c>
      <c r="AG294" s="175">
        <v>1.58</v>
      </c>
      <c r="AH294" s="334"/>
      <c r="AI294" s="188"/>
      <c r="AJ294" s="188"/>
      <c r="AK294" s="188"/>
      <c r="AL294" s="189"/>
      <c r="AM294" s="189"/>
      <c r="AN294" s="189"/>
      <c r="AO294" s="189"/>
      <c r="AP294" s="189"/>
      <c r="AQ294" s="189"/>
      <c r="AR294" s="189"/>
      <c r="AS294" s="189"/>
      <c r="AT294" s="189"/>
      <c r="AU294" s="190"/>
      <c r="AV294" s="190"/>
      <c r="AW294" s="190"/>
      <c r="AX294" s="190"/>
      <c r="AY294" s="190"/>
      <c r="AZ294" s="189"/>
      <c r="BA294" s="189"/>
      <c r="BB294" s="189"/>
      <c r="BC294" s="189"/>
      <c r="BD294" s="189"/>
      <c r="BE294" s="189"/>
      <c r="BF294" s="189"/>
      <c r="BG294" s="189"/>
      <c r="BH294" s="189"/>
      <c r="BI294" s="190"/>
      <c r="BJ294" s="190"/>
      <c r="BK294" s="190"/>
      <c r="BL294" s="190"/>
      <c r="BM294" s="190"/>
      <c r="BN294" s="191"/>
      <c r="BO294" s="191"/>
      <c r="BP294" s="191"/>
      <c r="BQ294" s="191"/>
      <c r="BR294" s="191"/>
      <c r="BS294" s="191"/>
      <c r="BT294" s="190"/>
      <c r="BU294" s="190"/>
      <c r="BV294" s="190"/>
      <c r="BW294" s="190"/>
      <c r="BX294" s="190"/>
      <c r="BY294" s="190"/>
      <c r="BZ294" s="190"/>
      <c r="CA294" s="189"/>
      <c r="CB294" s="15"/>
    </row>
    <row r="295" spans="1:80" ht="15" x14ac:dyDescent="0.25">
      <c r="A295" s="167"/>
      <c r="B295" s="642"/>
      <c r="C295" s="642"/>
      <c r="D295" s="179"/>
      <c r="E295" s="169"/>
      <c r="F295" s="169"/>
      <c r="G295" s="186"/>
      <c r="H295" s="187"/>
      <c r="I295" s="187"/>
      <c r="J295" s="187"/>
      <c r="K295" s="187"/>
      <c r="L295" s="647"/>
      <c r="M295" s="646">
        <v>35587</v>
      </c>
      <c r="N295" s="585">
        <v>5.04</v>
      </c>
      <c r="O295" s="585">
        <v>0.17288999999999999</v>
      </c>
      <c r="P295" s="175">
        <v>0</v>
      </c>
      <c r="Q295" s="175">
        <v>0</v>
      </c>
      <c r="R295" s="175">
        <v>1.7649999999999999E-2</v>
      </c>
      <c r="S295" s="175">
        <v>2.9929999999999998E-2</v>
      </c>
      <c r="T295" s="175">
        <v>3.015E-2</v>
      </c>
      <c r="U295" s="175">
        <v>3.7740000000000003E-2</v>
      </c>
      <c r="V295" s="706">
        <v>5.7410000000000003E-2</v>
      </c>
      <c r="W295" s="717"/>
      <c r="X295" s="713"/>
      <c r="Y295" s="718"/>
      <c r="Z295" s="709">
        <v>29</v>
      </c>
      <c r="AA295" s="175"/>
      <c r="AB295" s="192"/>
      <c r="AC295" s="205">
        <v>0</v>
      </c>
      <c r="AD295" s="175">
        <v>6.93</v>
      </c>
      <c r="AE295" s="175">
        <v>0.5</v>
      </c>
      <c r="AF295" s="168">
        <f t="shared" si="5"/>
        <v>3.4649999999999999</v>
      </c>
      <c r="AG295" s="175">
        <v>1.45</v>
      </c>
      <c r="AH295" s="334"/>
      <c r="AI295" s="188"/>
      <c r="AJ295" s="188"/>
      <c r="AK295" s="188"/>
      <c r="AL295" s="189"/>
      <c r="AM295" s="189"/>
      <c r="AN295" s="189"/>
      <c r="AO295" s="189"/>
      <c r="AP295" s="189"/>
      <c r="AQ295" s="189"/>
      <c r="AR295" s="189"/>
      <c r="AS295" s="189"/>
      <c r="AT295" s="189"/>
      <c r="AU295" s="190"/>
      <c r="AV295" s="190"/>
      <c r="AW295" s="190"/>
      <c r="AX295" s="190"/>
      <c r="AY295" s="190"/>
      <c r="AZ295" s="189"/>
      <c r="BA295" s="189"/>
      <c r="BB295" s="189"/>
      <c r="BC295" s="189"/>
      <c r="BD295" s="189"/>
      <c r="BE295" s="189"/>
      <c r="BF295" s="189"/>
      <c r="BG295" s="189"/>
      <c r="BH295" s="189"/>
      <c r="BI295" s="190"/>
      <c r="BJ295" s="190"/>
      <c r="BK295" s="190"/>
      <c r="BL295" s="190"/>
      <c r="BM295" s="190"/>
      <c r="BN295" s="191"/>
      <c r="BO295" s="191"/>
      <c r="BP295" s="191"/>
      <c r="BQ295" s="191"/>
      <c r="BR295" s="191"/>
      <c r="BS295" s="191"/>
      <c r="BT295" s="190"/>
      <c r="BU295" s="190"/>
      <c r="BV295" s="190"/>
      <c r="BW295" s="190"/>
      <c r="BX295" s="190"/>
      <c r="BY295" s="190"/>
      <c r="BZ295" s="190"/>
      <c r="CA295" s="189"/>
      <c r="CB295" s="15"/>
    </row>
    <row r="296" spans="1:80" ht="15" x14ac:dyDescent="0.25">
      <c r="A296" s="167"/>
      <c r="B296" s="642"/>
      <c r="C296" s="642"/>
      <c r="D296" s="179"/>
      <c r="E296" s="169"/>
      <c r="F296" s="169"/>
      <c r="G296" s="186"/>
      <c r="H296" s="187"/>
      <c r="I296" s="187"/>
      <c r="J296" s="187"/>
      <c r="K296" s="187"/>
      <c r="L296" s="647"/>
      <c r="M296" s="646">
        <v>35590</v>
      </c>
      <c r="N296" s="585">
        <v>5.39</v>
      </c>
      <c r="O296" s="585">
        <v>0.10965</v>
      </c>
      <c r="P296" s="175">
        <v>0</v>
      </c>
      <c r="Q296" s="175">
        <v>0</v>
      </c>
      <c r="R296" s="175">
        <v>9.2300000000000004E-3</v>
      </c>
      <c r="S296" s="175">
        <v>1.499E-2</v>
      </c>
      <c r="T296" s="175">
        <v>2.12E-2</v>
      </c>
      <c r="U296" s="175">
        <v>2.802E-2</v>
      </c>
      <c r="V296" s="706">
        <v>3.6209999999999999E-2</v>
      </c>
      <c r="W296" s="717"/>
      <c r="X296" s="713"/>
      <c r="Y296" s="718"/>
      <c r="Z296" s="709">
        <v>27</v>
      </c>
      <c r="AA296" s="175"/>
      <c r="AB296" s="192"/>
      <c r="AC296" s="205">
        <v>2.1999999999999999E-2</v>
      </c>
      <c r="AD296" s="175">
        <v>6.89</v>
      </c>
      <c r="AE296" s="175">
        <v>0.51</v>
      </c>
      <c r="AF296" s="168">
        <f t="shared" si="5"/>
        <v>3.5139</v>
      </c>
      <c r="AG296" s="175">
        <v>1.54</v>
      </c>
      <c r="AH296" s="334"/>
      <c r="AI296" s="188"/>
      <c r="AJ296" s="188"/>
      <c r="AK296" s="188"/>
      <c r="AL296" s="189"/>
      <c r="AM296" s="189"/>
      <c r="AN296" s="189"/>
      <c r="AO296" s="189"/>
      <c r="AP296" s="189"/>
      <c r="AQ296" s="189"/>
      <c r="AR296" s="189"/>
      <c r="AS296" s="189"/>
      <c r="AT296" s="189"/>
      <c r="AU296" s="190"/>
      <c r="AV296" s="190"/>
      <c r="AW296" s="190"/>
      <c r="AX296" s="190"/>
      <c r="AY296" s="190"/>
      <c r="AZ296" s="189"/>
      <c r="BA296" s="189"/>
      <c r="BB296" s="189"/>
      <c r="BC296" s="189"/>
      <c r="BD296" s="189"/>
      <c r="BE296" s="189"/>
      <c r="BF296" s="189"/>
      <c r="BG296" s="189"/>
      <c r="BH296" s="189"/>
      <c r="BI296" s="190"/>
      <c r="BJ296" s="190"/>
      <c r="BK296" s="190"/>
      <c r="BL296" s="190"/>
      <c r="BM296" s="190"/>
      <c r="BN296" s="191"/>
      <c r="BO296" s="191"/>
      <c r="BP296" s="191"/>
      <c r="BQ296" s="191"/>
      <c r="BR296" s="191"/>
      <c r="BS296" s="191"/>
      <c r="BT296" s="190"/>
      <c r="BU296" s="190"/>
      <c r="BV296" s="190"/>
      <c r="BW296" s="190"/>
      <c r="BX296" s="190"/>
      <c r="BY296" s="190"/>
      <c r="BZ296" s="190"/>
      <c r="CA296" s="189"/>
      <c r="CB296" s="15"/>
    </row>
    <row r="297" spans="1:80" ht="15" x14ac:dyDescent="0.25">
      <c r="A297" s="167"/>
      <c r="B297" s="642"/>
      <c r="C297" s="642"/>
      <c r="D297" s="179"/>
      <c r="E297" s="169"/>
      <c r="F297" s="169"/>
      <c r="G297" s="186"/>
      <c r="H297" s="187"/>
      <c r="I297" s="187"/>
      <c r="J297" s="187"/>
      <c r="K297" s="187"/>
      <c r="L297" s="647"/>
      <c r="M297" s="646">
        <v>35593</v>
      </c>
      <c r="N297" s="585">
        <v>4.87</v>
      </c>
      <c r="O297" s="585">
        <v>7.2730000000000003E-2</v>
      </c>
      <c r="P297" s="175">
        <v>0</v>
      </c>
      <c r="Q297" s="175">
        <v>0</v>
      </c>
      <c r="R297" s="175">
        <v>2.2000000000000001E-3</v>
      </c>
      <c r="S297" s="175">
        <v>1.307E-2</v>
      </c>
      <c r="T297" s="175">
        <v>1.5140000000000001E-2</v>
      </c>
      <c r="U297" s="175">
        <v>1.8030000000000001E-2</v>
      </c>
      <c r="V297" s="706">
        <v>2.4289999999999999E-2</v>
      </c>
      <c r="W297" s="717"/>
      <c r="X297" s="713"/>
      <c r="Y297" s="718"/>
      <c r="Z297" s="709">
        <v>27</v>
      </c>
      <c r="AA297" s="175"/>
      <c r="AB297" s="192"/>
      <c r="AC297" s="205">
        <v>1.7999999999999999E-2</v>
      </c>
      <c r="AD297" s="175">
        <v>6.92</v>
      </c>
      <c r="AE297" s="175">
        <v>0.5</v>
      </c>
      <c r="AF297" s="168">
        <f t="shared" si="5"/>
        <v>3.46</v>
      </c>
      <c r="AG297" s="175">
        <v>1.36</v>
      </c>
      <c r="AH297" s="334"/>
      <c r="AI297" s="188"/>
      <c r="AJ297" s="188"/>
      <c r="AK297" s="188"/>
      <c r="AL297" s="189"/>
      <c r="AM297" s="189"/>
      <c r="AN297" s="189"/>
      <c r="AO297" s="189"/>
      <c r="AP297" s="189"/>
      <c r="AQ297" s="189"/>
      <c r="AR297" s="189"/>
      <c r="AS297" s="189"/>
      <c r="AT297" s="189"/>
      <c r="AU297" s="190"/>
      <c r="AV297" s="190"/>
      <c r="AW297" s="190"/>
      <c r="AX297" s="190"/>
      <c r="AY297" s="190"/>
      <c r="AZ297" s="189"/>
      <c r="BA297" s="189"/>
      <c r="BB297" s="189"/>
      <c r="BC297" s="189"/>
      <c r="BD297" s="189"/>
      <c r="BE297" s="189"/>
      <c r="BF297" s="189"/>
      <c r="BG297" s="189"/>
      <c r="BH297" s="189"/>
      <c r="BI297" s="190"/>
      <c r="BJ297" s="190"/>
      <c r="BK297" s="190"/>
      <c r="BL297" s="190"/>
      <c r="BM297" s="190"/>
      <c r="BN297" s="191"/>
      <c r="BO297" s="191"/>
      <c r="BP297" s="191"/>
      <c r="BQ297" s="191"/>
      <c r="BR297" s="191"/>
      <c r="BS297" s="191"/>
      <c r="BT297" s="190"/>
      <c r="BU297" s="190"/>
      <c r="BV297" s="190"/>
      <c r="BW297" s="190"/>
      <c r="BX297" s="190"/>
      <c r="BY297" s="190"/>
      <c r="BZ297" s="190"/>
      <c r="CA297" s="189"/>
      <c r="CB297" s="15"/>
    </row>
    <row r="298" spans="1:80" ht="15" x14ac:dyDescent="0.25">
      <c r="A298" s="167"/>
      <c r="B298" s="642"/>
      <c r="C298" s="642"/>
      <c r="D298" s="179"/>
      <c r="E298" s="169"/>
      <c r="F298" s="169"/>
      <c r="G298" s="186"/>
      <c r="H298" s="187"/>
      <c r="I298" s="187"/>
      <c r="J298" s="187"/>
      <c r="K298" s="187"/>
      <c r="L298" s="647"/>
      <c r="M298" s="646">
        <v>35594</v>
      </c>
      <c r="N298" s="585">
        <v>4.95</v>
      </c>
      <c r="O298" s="585">
        <v>0.11407</v>
      </c>
      <c r="P298" s="175">
        <v>0</v>
      </c>
      <c r="Q298" s="175">
        <v>1.5469999999999999E-2</v>
      </c>
      <c r="R298" s="175">
        <v>7.79E-3</v>
      </c>
      <c r="S298" s="175">
        <v>1.277E-2</v>
      </c>
      <c r="T298" s="175">
        <v>1.8339999999999999E-2</v>
      </c>
      <c r="U298" s="175">
        <v>2.2700000000000001E-2</v>
      </c>
      <c r="V298" s="706">
        <v>3.6990000000000002E-2</v>
      </c>
      <c r="W298" s="717"/>
      <c r="X298" s="713"/>
      <c r="Y298" s="718"/>
      <c r="Z298" s="709">
        <v>60</v>
      </c>
      <c r="AA298" s="175"/>
      <c r="AB298" s="192"/>
      <c r="AC298" s="205">
        <v>0.02</v>
      </c>
      <c r="AD298" s="175">
        <v>6.9</v>
      </c>
      <c r="AE298" s="175">
        <v>0.51</v>
      </c>
      <c r="AF298" s="168">
        <f t="shared" si="5"/>
        <v>3.5190000000000001</v>
      </c>
      <c r="AG298" s="175">
        <v>1.43</v>
      </c>
      <c r="AH298" s="334"/>
      <c r="AI298" s="188"/>
      <c r="AJ298" s="188"/>
      <c r="AK298" s="188"/>
      <c r="AL298" s="189"/>
      <c r="AM298" s="189"/>
      <c r="AN298" s="189"/>
      <c r="AO298" s="189"/>
      <c r="AP298" s="189"/>
      <c r="AQ298" s="189"/>
      <c r="AR298" s="189"/>
      <c r="AS298" s="189"/>
      <c r="AT298" s="189"/>
      <c r="AU298" s="190"/>
      <c r="AV298" s="190"/>
      <c r="AW298" s="190"/>
      <c r="AX298" s="190"/>
      <c r="AY298" s="190"/>
      <c r="AZ298" s="189"/>
      <c r="BA298" s="189"/>
      <c r="BB298" s="189"/>
      <c r="BC298" s="189"/>
      <c r="BD298" s="189"/>
      <c r="BE298" s="189"/>
      <c r="BF298" s="189"/>
      <c r="BG298" s="189"/>
      <c r="BH298" s="189"/>
      <c r="BI298" s="190"/>
      <c r="BJ298" s="190"/>
      <c r="BK298" s="190"/>
      <c r="BL298" s="190"/>
      <c r="BM298" s="190"/>
      <c r="BN298" s="191"/>
      <c r="BO298" s="191"/>
      <c r="BP298" s="191"/>
      <c r="BQ298" s="191"/>
      <c r="BR298" s="191"/>
      <c r="BS298" s="191"/>
      <c r="BT298" s="190"/>
      <c r="BU298" s="190"/>
      <c r="BV298" s="190"/>
      <c r="BW298" s="190"/>
      <c r="BX298" s="190"/>
      <c r="BY298" s="190"/>
      <c r="BZ298" s="190"/>
      <c r="CA298" s="189"/>
      <c r="CB298" s="15"/>
    </row>
    <row r="299" spans="1:80" ht="15" x14ac:dyDescent="0.25">
      <c r="A299" s="167"/>
      <c r="B299" s="642"/>
      <c r="C299" s="642"/>
      <c r="D299" s="179"/>
      <c r="E299" s="169"/>
      <c r="F299" s="169"/>
      <c r="G299" s="186"/>
      <c r="H299" s="187"/>
      <c r="I299" s="187"/>
      <c r="J299" s="187"/>
      <c r="K299" s="187"/>
      <c r="L299" s="647"/>
      <c r="M299" s="646">
        <v>35597</v>
      </c>
      <c r="N299" s="585">
        <v>4.7</v>
      </c>
      <c r="O299" s="585">
        <v>4.1709999999999997E-2</v>
      </c>
      <c r="P299" s="175">
        <v>0</v>
      </c>
      <c r="Q299" s="175">
        <v>0</v>
      </c>
      <c r="R299" s="175">
        <v>2.3700000000000001E-3</v>
      </c>
      <c r="S299" s="175">
        <v>6.9199999999999999E-3</v>
      </c>
      <c r="T299" s="175">
        <v>7.4000000000000003E-3</v>
      </c>
      <c r="U299" s="175">
        <v>1.068E-2</v>
      </c>
      <c r="V299" s="706">
        <v>1.435E-2</v>
      </c>
      <c r="W299" s="717"/>
      <c r="X299" s="713"/>
      <c r="Y299" s="718"/>
      <c r="Z299" s="709">
        <v>22</v>
      </c>
      <c r="AA299" s="175"/>
      <c r="AB299" s="192"/>
      <c r="AC299" s="205">
        <v>1.9E-2</v>
      </c>
      <c r="AD299" s="175">
        <v>6.85</v>
      </c>
      <c r="AE299" s="175">
        <v>0.48</v>
      </c>
      <c r="AF299" s="168">
        <f t="shared" si="5"/>
        <v>3.2879999999999998</v>
      </c>
      <c r="AG299" s="175">
        <v>1.37</v>
      </c>
      <c r="AH299" s="334"/>
      <c r="AI299" s="188"/>
      <c r="AJ299" s="188"/>
      <c r="AK299" s="188"/>
      <c r="AL299" s="189"/>
      <c r="AM299" s="189"/>
      <c r="AN299" s="189"/>
      <c r="AO299" s="189"/>
      <c r="AP299" s="189"/>
      <c r="AQ299" s="189"/>
      <c r="AR299" s="189"/>
      <c r="AS299" s="189"/>
      <c r="AT299" s="189"/>
      <c r="AU299" s="190"/>
      <c r="AV299" s="190"/>
      <c r="AW299" s="190"/>
      <c r="AX299" s="190"/>
      <c r="AY299" s="190"/>
      <c r="AZ299" s="189"/>
      <c r="BA299" s="189"/>
      <c r="BB299" s="189"/>
      <c r="BC299" s="189"/>
      <c r="BD299" s="189"/>
      <c r="BE299" s="189"/>
      <c r="BF299" s="189"/>
      <c r="BG299" s="189"/>
      <c r="BH299" s="189"/>
      <c r="BI299" s="190"/>
      <c r="BJ299" s="190"/>
      <c r="BK299" s="190"/>
      <c r="BL299" s="190"/>
      <c r="BM299" s="190"/>
      <c r="BN299" s="191"/>
      <c r="BO299" s="191"/>
      <c r="BP299" s="191"/>
      <c r="BQ299" s="191"/>
      <c r="BR299" s="191"/>
      <c r="BS299" s="191"/>
      <c r="BT299" s="190"/>
      <c r="BU299" s="190"/>
      <c r="BV299" s="190"/>
      <c r="BW299" s="190"/>
      <c r="BX299" s="190"/>
      <c r="BY299" s="190"/>
      <c r="BZ299" s="190"/>
      <c r="CA299" s="189"/>
      <c r="CB299" s="15"/>
    </row>
    <row r="300" spans="1:80" ht="15" x14ac:dyDescent="0.25">
      <c r="A300" s="167"/>
      <c r="B300" s="642"/>
      <c r="C300" s="642"/>
      <c r="D300" s="179"/>
      <c r="E300" s="169"/>
      <c r="F300" s="169"/>
      <c r="G300" s="186"/>
      <c r="H300" s="187"/>
      <c r="I300" s="187"/>
      <c r="J300" s="187"/>
      <c r="K300" s="187"/>
      <c r="L300" s="647"/>
      <c r="M300" s="646">
        <v>35602</v>
      </c>
      <c r="N300" s="585">
        <v>6.01</v>
      </c>
      <c r="O300" s="585">
        <v>0.14348</v>
      </c>
      <c r="P300" s="175">
        <v>0</v>
      </c>
      <c r="Q300" s="175">
        <v>0</v>
      </c>
      <c r="R300" s="175">
        <v>1.1390000000000001E-2</v>
      </c>
      <c r="S300" s="175">
        <v>2.3619999999999999E-2</v>
      </c>
      <c r="T300" s="175">
        <v>3.2039999999999999E-2</v>
      </c>
      <c r="U300" s="175">
        <v>3.7440000000000001E-2</v>
      </c>
      <c r="V300" s="706">
        <v>3.8980000000000001E-2</v>
      </c>
      <c r="W300" s="717"/>
      <c r="X300" s="713"/>
      <c r="Y300" s="718"/>
      <c r="Z300" s="709">
        <v>32</v>
      </c>
      <c r="AA300" s="175"/>
      <c r="AB300" s="192"/>
      <c r="AC300" s="205">
        <v>2.1999999999999999E-2</v>
      </c>
      <c r="AD300" s="175">
        <v>6.93</v>
      </c>
      <c r="AE300" s="175">
        <v>0.55000000000000004</v>
      </c>
      <c r="AF300" s="168">
        <f t="shared" si="5"/>
        <v>3.8115000000000001</v>
      </c>
      <c r="AG300" s="175">
        <v>1.64</v>
      </c>
      <c r="AH300" s="334"/>
      <c r="AI300" s="188"/>
      <c r="AJ300" s="188"/>
      <c r="AK300" s="188"/>
      <c r="AL300" s="189"/>
      <c r="AM300" s="189"/>
      <c r="AN300" s="189"/>
      <c r="AO300" s="189"/>
      <c r="AP300" s="189"/>
      <c r="AQ300" s="189"/>
      <c r="AR300" s="189"/>
      <c r="AS300" s="189"/>
      <c r="AT300" s="189"/>
      <c r="AU300" s="190"/>
      <c r="AV300" s="190"/>
      <c r="AW300" s="190"/>
      <c r="AX300" s="190"/>
      <c r="AY300" s="190"/>
      <c r="AZ300" s="189"/>
      <c r="BA300" s="189"/>
      <c r="BB300" s="189"/>
      <c r="BC300" s="189"/>
      <c r="BD300" s="189"/>
      <c r="BE300" s="189"/>
      <c r="BF300" s="189"/>
      <c r="BG300" s="189"/>
      <c r="BH300" s="189"/>
      <c r="BI300" s="190"/>
      <c r="BJ300" s="190"/>
      <c r="BK300" s="190"/>
      <c r="BL300" s="190"/>
      <c r="BM300" s="190"/>
      <c r="BN300" s="191"/>
      <c r="BO300" s="191"/>
      <c r="BP300" s="191"/>
      <c r="BQ300" s="191"/>
      <c r="BR300" s="191"/>
      <c r="BS300" s="191"/>
      <c r="BT300" s="190"/>
      <c r="BU300" s="190"/>
      <c r="BV300" s="190"/>
      <c r="BW300" s="190"/>
      <c r="BX300" s="190"/>
      <c r="BY300" s="190"/>
      <c r="BZ300" s="190"/>
      <c r="CA300" s="189"/>
      <c r="CB300" s="15"/>
    </row>
    <row r="301" spans="1:80" ht="15" x14ac:dyDescent="0.25">
      <c r="A301" s="167"/>
      <c r="B301" s="642"/>
      <c r="C301" s="642"/>
      <c r="D301" s="179"/>
      <c r="E301" s="169"/>
      <c r="F301" s="169"/>
      <c r="G301" s="186"/>
      <c r="H301" s="187"/>
      <c r="I301" s="187"/>
      <c r="J301" s="187"/>
      <c r="K301" s="187"/>
      <c r="L301" s="647"/>
      <c r="M301" s="646">
        <v>35602</v>
      </c>
      <c r="N301" s="585">
        <v>6.76</v>
      </c>
      <c r="O301" s="585">
        <v>0.20141000000000001</v>
      </c>
      <c r="P301" s="175">
        <v>0</v>
      </c>
      <c r="Q301" s="175">
        <v>1.332E-2</v>
      </c>
      <c r="R301" s="175">
        <v>2.137E-2</v>
      </c>
      <c r="S301" s="175">
        <v>3.1989999999999998E-2</v>
      </c>
      <c r="T301" s="175">
        <v>3.7400000000000003E-2</v>
      </c>
      <c r="U301" s="175">
        <v>4.0120000000000003E-2</v>
      </c>
      <c r="V301" s="706">
        <v>5.7209999999999997E-2</v>
      </c>
      <c r="W301" s="717"/>
      <c r="X301" s="713"/>
      <c r="Y301" s="718"/>
      <c r="Z301" s="709">
        <v>45</v>
      </c>
      <c r="AA301" s="175"/>
      <c r="AB301" s="192"/>
      <c r="AC301" s="205">
        <v>0</v>
      </c>
      <c r="AD301" s="175">
        <v>6.94</v>
      </c>
      <c r="AE301" s="175">
        <v>0.62</v>
      </c>
      <c r="AF301" s="168">
        <f t="shared" si="5"/>
        <v>4.3028000000000004</v>
      </c>
      <c r="AG301" s="175">
        <v>1.58</v>
      </c>
      <c r="AH301" s="334"/>
      <c r="AI301" s="188"/>
      <c r="AJ301" s="188"/>
      <c r="AK301" s="188"/>
      <c r="AL301" s="189"/>
      <c r="AM301" s="189"/>
      <c r="AN301" s="189"/>
      <c r="AO301" s="189"/>
      <c r="AP301" s="189"/>
      <c r="AQ301" s="189"/>
      <c r="AR301" s="189"/>
      <c r="AS301" s="189"/>
      <c r="AT301" s="189"/>
      <c r="AU301" s="190"/>
      <c r="AV301" s="190"/>
      <c r="AW301" s="190"/>
      <c r="AX301" s="190"/>
      <c r="AY301" s="190"/>
      <c r="AZ301" s="189"/>
      <c r="BA301" s="189"/>
      <c r="BB301" s="189"/>
      <c r="BC301" s="189"/>
      <c r="BD301" s="189"/>
      <c r="BE301" s="189"/>
      <c r="BF301" s="189"/>
      <c r="BG301" s="189"/>
      <c r="BH301" s="189"/>
      <c r="BI301" s="190"/>
      <c r="BJ301" s="190"/>
      <c r="BK301" s="190"/>
      <c r="BL301" s="190"/>
      <c r="BM301" s="190"/>
      <c r="BN301" s="191"/>
      <c r="BO301" s="191"/>
      <c r="BP301" s="191"/>
      <c r="BQ301" s="191"/>
      <c r="BR301" s="191"/>
      <c r="BS301" s="191"/>
      <c r="BT301" s="190"/>
      <c r="BU301" s="190"/>
      <c r="BV301" s="190"/>
      <c r="BW301" s="190"/>
      <c r="BX301" s="190"/>
      <c r="BY301" s="190"/>
      <c r="BZ301" s="190"/>
      <c r="CA301" s="189"/>
      <c r="CB301" s="15"/>
    </row>
    <row r="302" spans="1:80" ht="15" x14ac:dyDescent="0.25">
      <c r="A302" s="167"/>
      <c r="B302" s="642"/>
      <c r="C302" s="642"/>
      <c r="D302" s="179"/>
      <c r="E302" s="169"/>
      <c r="F302" s="169"/>
      <c r="G302" s="186"/>
      <c r="H302" s="187"/>
      <c r="I302" s="187"/>
      <c r="J302" s="187"/>
      <c r="K302" s="187"/>
      <c r="L302" s="647"/>
      <c r="M302" s="646">
        <v>35604</v>
      </c>
      <c r="N302" s="585">
        <v>6.19</v>
      </c>
      <c r="O302" s="585">
        <v>0.18856999999999999</v>
      </c>
      <c r="P302" s="175">
        <v>0</v>
      </c>
      <c r="Q302" s="175">
        <v>9.9600000000000001E-3</v>
      </c>
      <c r="R302" s="175">
        <v>3.5540000000000002E-2</v>
      </c>
      <c r="S302" s="175">
        <v>3.4020000000000002E-2</v>
      </c>
      <c r="T302" s="175">
        <v>3.5830000000000001E-2</v>
      </c>
      <c r="U302" s="175">
        <v>3.551E-2</v>
      </c>
      <c r="V302" s="706">
        <v>3.7719999999999997E-2</v>
      </c>
      <c r="W302" s="717"/>
      <c r="X302" s="713"/>
      <c r="Y302" s="718"/>
      <c r="Z302" s="709">
        <v>38</v>
      </c>
      <c r="AA302" s="175"/>
      <c r="AB302" s="192"/>
      <c r="AC302" s="205">
        <v>2.4E-2</v>
      </c>
      <c r="AD302" s="175">
        <v>6.9</v>
      </c>
      <c r="AE302" s="175">
        <v>0.53</v>
      </c>
      <c r="AF302" s="168">
        <f t="shared" si="5"/>
        <v>3.6570000000000005</v>
      </c>
      <c r="AG302" s="175">
        <v>1.55</v>
      </c>
      <c r="AH302" s="334"/>
      <c r="AI302" s="188"/>
      <c r="AJ302" s="188"/>
      <c r="AK302" s="188"/>
      <c r="AL302" s="189"/>
      <c r="AM302" s="189"/>
      <c r="AN302" s="189"/>
      <c r="AO302" s="189"/>
      <c r="AP302" s="189"/>
      <c r="AQ302" s="189"/>
      <c r="AR302" s="189"/>
      <c r="AS302" s="189"/>
      <c r="AT302" s="189"/>
      <c r="AU302" s="190"/>
      <c r="AV302" s="190"/>
      <c r="AW302" s="190"/>
      <c r="AX302" s="190"/>
      <c r="AY302" s="190"/>
      <c r="AZ302" s="189"/>
      <c r="BA302" s="189"/>
      <c r="BB302" s="189"/>
      <c r="BC302" s="189"/>
      <c r="BD302" s="189"/>
      <c r="BE302" s="189"/>
      <c r="BF302" s="189"/>
      <c r="BG302" s="189"/>
      <c r="BH302" s="189"/>
      <c r="BI302" s="190"/>
      <c r="BJ302" s="190"/>
      <c r="BK302" s="190"/>
      <c r="BL302" s="190"/>
      <c r="BM302" s="190"/>
      <c r="BN302" s="191"/>
      <c r="BO302" s="191"/>
      <c r="BP302" s="191"/>
      <c r="BQ302" s="191"/>
      <c r="BR302" s="191"/>
      <c r="BS302" s="191"/>
      <c r="BT302" s="190"/>
      <c r="BU302" s="190"/>
      <c r="BV302" s="190"/>
      <c r="BW302" s="190"/>
      <c r="BX302" s="190"/>
      <c r="BY302" s="190"/>
      <c r="BZ302" s="190"/>
      <c r="CA302" s="189"/>
      <c r="CB302" s="15"/>
    </row>
    <row r="303" spans="1:80" ht="15" x14ac:dyDescent="0.25">
      <c r="A303" s="167"/>
      <c r="B303" s="642"/>
      <c r="C303" s="642"/>
      <c r="D303" s="179"/>
      <c r="E303" s="169"/>
      <c r="F303" s="169"/>
      <c r="G303" s="186"/>
      <c r="H303" s="187"/>
      <c r="I303" s="187"/>
      <c r="J303" s="187"/>
      <c r="K303" s="187"/>
      <c r="L303" s="647"/>
      <c r="M303" s="646">
        <v>35606</v>
      </c>
      <c r="N303" s="585">
        <v>5.39</v>
      </c>
      <c r="O303" s="585">
        <v>0.16433</v>
      </c>
      <c r="P303" s="175">
        <v>0</v>
      </c>
      <c r="Q303" s="175">
        <v>0</v>
      </c>
      <c r="R303" s="175">
        <v>1.197E-2</v>
      </c>
      <c r="S303" s="175">
        <v>2.018E-2</v>
      </c>
      <c r="T303" s="175">
        <v>3.6549999999999999E-2</v>
      </c>
      <c r="U303" s="175">
        <v>4.4510000000000001E-2</v>
      </c>
      <c r="V303" s="706">
        <v>5.1119999999999999E-2</v>
      </c>
      <c r="W303" s="717"/>
      <c r="X303" s="713"/>
      <c r="Y303" s="718"/>
      <c r="Z303" s="709">
        <v>34</v>
      </c>
      <c r="AA303" s="175"/>
      <c r="AB303" s="192"/>
      <c r="AC303" s="205">
        <v>2.1000000000000001E-2</v>
      </c>
      <c r="AD303" s="175">
        <v>6.79</v>
      </c>
      <c r="AE303" s="175">
        <v>0.52</v>
      </c>
      <c r="AF303" s="168">
        <f t="shared" si="5"/>
        <v>3.5308000000000002</v>
      </c>
      <c r="AG303" s="175">
        <v>1.55</v>
      </c>
      <c r="AH303" s="334"/>
      <c r="AI303" s="188"/>
      <c r="AJ303" s="188"/>
      <c r="AK303" s="188"/>
      <c r="AL303" s="189"/>
      <c r="AM303" s="189"/>
      <c r="AN303" s="189"/>
      <c r="AO303" s="189"/>
      <c r="AP303" s="189"/>
      <c r="AQ303" s="189"/>
      <c r="AR303" s="189"/>
      <c r="AS303" s="189"/>
      <c r="AT303" s="189"/>
      <c r="AU303" s="190"/>
      <c r="AV303" s="190"/>
      <c r="AW303" s="190"/>
      <c r="AX303" s="190"/>
      <c r="AY303" s="190"/>
      <c r="AZ303" s="189"/>
      <c r="BA303" s="189"/>
      <c r="BB303" s="189"/>
      <c r="BC303" s="189"/>
      <c r="BD303" s="189"/>
      <c r="BE303" s="189"/>
      <c r="BF303" s="189"/>
      <c r="BG303" s="189"/>
      <c r="BH303" s="189"/>
      <c r="BI303" s="190"/>
      <c r="BJ303" s="190"/>
      <c r="BK303" s="190"/>
      <c r="BL303" s="190"/>
      <c r="BM303" s="190"/>
      <c r="BN303" s="191"/>
      <c r="BO303" s="191"/>
      <c r="BP303" s="191"/>
      <c r="BQ303" s="191"/>
      <c r="BR303" s="191"/>
      <c r="BS303" s="191"/>
      <c r="BT303" s="190"/>
      <c r="BU303" s="190"/>
      <c r="BV303" s="190"/>
      <c r="BW303" s="190"/>
      <c r="BX303" s="190"/>
      <c r="BY303" s="190"/>
      <c r="BZ303" s="190"/>
      <c r="CA303" s="189"/>
      <c r="CB303" s="15"/>
    </row>
    <row r="304" spans="1:80" ht="15" x14ac:dyDescent="0.25">
      <c r="A304" s="167"/>
      <c r="B304" s="642"/>
      <c r="C304" s="642"/>
      <c r="D304" s="179"/>
      <c r="E304" s="169"/>
      <c r="F304" s="169"/>
      <c r="G304" s="186"/>
      <c r="H304" s="187"/>
      <c r="I304" s="187"/>
      <c r="J304" s="187"/>
      <c r="K304" s="187"/>
      <c r="L304" s="647"/>
      <c r="M304" s="646">
        <v>35607</v>
      </c>
      <c r="N304" s="585">
        <v>5.21</v>
      </c>
      <c r="O304" s="585">
        <v>0.15472</v>
      </c>
      <c r="P304" s="175">
        <v>0</v>
      </c>
      <c r="Q304" s="175">
        <v>0</v>
      </c>
      <c r="R304" s="175">
        <v>1.0710000000000001E-2</v>
      </c>
      <c r="S304" s="175">
        <v>3.2840000000000001E-2</v>
      </c>
      <c r="T304" s="175">
        <v>3.0200000000000001E-2</v>
      </c>
      <c r="U304" s="175">
        <v>3.3910000000000003E-2</v>
      </c>
      <c r="V304" s="706">
        <v>4.7070000000000001E-2</v>
      </c>
      <c r="W304" s="717"/>
      <c r="X304" s="713"/>
      <c r="Y304" s="718"/>
      <c r="Z304" s="709">
        <v>20</v>
      </c>
      <c r="AA304" s="175"/>
      <c r="AB304" s="192"/>
      <c r="AC304" s="205">
        <v>2.1000000000000001E-2</v>
      </c>
      <c r="AD304" s="175">
        <v>6.78</v>
      </c>
      <c r="AE304" s="175">
        <v>0.52</v>
      </c>
      <c r="AF304" s="168">
        <f t="shared" si="5"/>
        <v>3.5256000000000003</v>
      </c>
      <c r="AG304" s="175">
        <v>1.47</v>
      </c>
      <c r="AH304" s="334"/>
      <c r="AI304" s="188"/>
      <c r="AJ304" s="188"/>
      <c r="AK304" s="188"/>
      <c r="AL304" s="189"/>
      <c r="AM304" s="189"/>
      <c r="AN304" s="189"/>
      <c r="AO304" s="189"/>
      <c r="AP304" s="189"/>
      <c r="AQ304" s="189"/>
      <c r="AR304" s="189"/>
      <c r="AS304" s="189"/>
      <c r="AT304" s="189"/>
      <c r="AU304" s="190"/>
      <c r="AV304" s="190"/>
      <c r="AW304" s="190"/>
      <c r="AX304" s="190"/>
      <c r="AY304" s="190"/>
      <c r="AZ304" s="189"/>
      <c r="BA304" s="189"/>
      <c r="BB304" s="189"/>
      <c r="BC304" s="189"/>
      <c r="BD304" s="189"/>
      <c r="BE304" s="189"/>
      <c r="BF304" s="189"/>
      <c r="BG304" s="189"/>
      <c r="BH304" s="189"/>
      <c r="BI304" s="190"/>
      <c r="BJ304" s="190"/>
      <c r="BK304" s="190"/>
      <c r="BL304" s="190"/>
      <c r="BM304" s="190"/>
      <c r="BN304" s="191"/>
      <c r="BO304" s="191"/>
      <c r="BP304" s="191"/>
      <c r="BQ304" s="191"/>
      <c r="BR304" s="191"/>
      <c r="BS304" s="191"/>
      <c r="BT304" s="190"/>
      <c r="BU304" s="190"/>
      <c r="BV304" s="190"/>
      <c r="BW304" s="190"/>
      <c r="BX304" s="190"/>
      <c r="BY304" s="190"/>
      <c r="BZ304" s="190"/>
      <c r="CA304" s="189"/>
      <c r="CB304" s="15"/>
    </row>
    <row r="305" spans="1:80" ht="15" x14ac:dyDescent="0.25">
      <c r="A305" s="167"/>
      <c r="B305" s="642"/>
      <c r="C305" s="642"/>
      <c r="D305" s="179"/>
      <c r="E305" s="169"/>
      <c r="F305" s="169"/>
      <c r="G305" s="186"/>
      <c r="H305" s="187"/>
      <c r="I305" s="187"/>
      <c r="J305" s="187"/>
      <c r="K305" s="187"/>
      <c r="L305" s="647"/>
      <c r="M305" s="646">
        <v>35611</v>
      </c>
      <c r="N305" s="585">
        <v>4.37</v>
      </c>
      <c r="O305" s="585">
        <v>6.9889999999999994E-2</v>
      </c>
      <c r="P305" s="175">
        <v>0</v>
      </c>
      <c r="Q305" s="175">
        <v>3.5000000000000001E-3</v>
      </c>
      <c r="R305" s="175">
        <v>1.0319999999999999E-2</v>
      </c>
      <c r="S305" s="175">
        <v>1.098E-2</v>
      </c>
      <c r="T305" s="175">
        <v>1.4069999999999999E-2</v>
      </c>
      <c r="U305" s="175">
        <v>1.504E-2</v>
      </c>
      <c r="V305" s="706">
        <v>1.5980000000000001E-2</v>
      </c>
      <c r="W305" s="717"/>
      <c r="X305" s="713"/>
      <c r="Y305" s="718"/>
      <c r="Z305" s="709">
        <v>34</v>
      </c>
      <c r="AA305" s="175"/>
      <c r="AB305" s="192"/>
      <c r="AC305" s="205">
        <v>1.9E-2</v>
      </c>
      <c r="AD305" s="175">
        <v>6.73</v>
      </c>
      <c r="AE305" s="175">
        <v>0.47</v>
      </c>
      <c r="AF305" s="168">
        <f t="shared" si="5"/>
        <v>3.1631</v>
      </c>
      <c r="AG305" s="175">
        <v>1.31</v>
      </c>
      <c r="AH305" s="334"/>
      <c r="AI305" s="188"/>
      <c r="AJ305" s="188"/>
      <c r="AK305" s="188"/>
      <c r="AL305" s="189"/>
      <c r="AM305" s="189"/>
      <c r="AN305" s="189"/>
      <c r="AO305" s="189"/>
      <c r="AP305" s="189"/>
      <c r="AQ305" s="189"/>
      <c r="AR305" s="189"/>
      <c r="AS305" s="189"/>
      <c r="AT305" s="189"/>
      <c r="AU305" s="190"/>
      <c r="AV305" s="190"/>
      <c r="AW305" s="190"/>
      <c r="AX305" s="190"/>
      <c r="AY305" s="190"/>
      <c r="AZ305" s="189"/>
      <c r="BA305" s="189"/>
      <c r="BB305" s="189"/>
      <c r="BC305" s="189"/>
      <c r="BD305" s="189"/>
      <c r="BE305" s="189"/>
      <c r="BF305" s="189"/>
      <c r="BG305" s="189"/>
      <c r="BH305" s="189"/>
      <c r="BI305" s="190"/>
      <c r="BJ305" s="190"/>
      <c r="BK305" s="190"/>
      <c r="BL305" s="190"/>
      <c r="BM305" s="190"/>
      <c r="BN305" s="191"/>
      <c r="BO305" s="191"/>
      <c r="BP305" s="191"/>
      <c r="BQ305" s="191"/>
      <c r="BR305" s="191"/>
      <c r="BS305" s="191"/>
      <c r="BT305" s="190"/>
      <c r="BU305" s="190"/>
      <c r="BV305" s="190"/>
      <c r="BW305" s="190"/>
      <c r="BX305" s="190"/>
      <c r="BY305" s="190"/>
      <c r="BZ305" s="190"/>
      <c r="CA305" s="189"/>
      <c r="CB305" s="15"/>
    </row>
    <row r="306" spans="1:80" ht="15" x14ac:dyDescent="0.25">
      <c r="A306" s="167"/>
      <c r="B306" s="642"/>
      <c r="C306" s="642"/>
      <c r="D306" s="179"/>
      <c r="E306" s="169"/>
      <c r="F306" s="169"/>
      <c r="G306" s="186"/>
      <c r="H306" s="187"/>
      <c r="I306" s="187"/>
      <c r="J306" s="187"/>
      <c r="K306" s="187"/>
      <c r="L306" s="647"/>
      <c r="M306" s="646">
        <v>35611</v>
      </c>
      <c r="N306" s="585">
        <v>4.78</v>
      </c>
      <c r="O306" s="585">
        <v>6.5129999999999993E-2</v>
      </c>
      <c r="P306" s="175">
        <v>0</v>
      </c>
      <c r="Q306" s="175">
        <v>0</v>
      </c>
      <c r="R306" s="175">
        <v>6.6699999999999997E-3</v>
      </c>
      <c r="S306" s="175">
        <v>1.1979999999999999E-2</v>
      </c>
      <c r="T306" s="175">
        <v>9.3299999999999998E-3</v>
      </c>
      <c r="U306" s="175">
        <v>1.183E-2</v>
      </c>
      <c r="V306" s="706">
        <v>2.5319999999999999E-2</v>
      </c>
      <c r="W306" s="717"/>
      <c r="X306" s="713"/>
      <c r="Y306" s="718"/>
      <c r="Z306" s="709">
        <v>22</v>
      </c>
      <c r="AA306" s="175"/>
      <c r="AB306" s="192"/>
      <c r="AC306" s="205">
        <v>0.02</v>
      </c>
      <c r="AD306" s="175">
        <v>6.9</v>
      </c>
      <c r="AE306" s="175">
        <v>0.5</v>
      </c>
      <c r="AF306" s="168">
        <f t="shared" si="5"/>
        <v>3.45</v>
      </c>
      <c r="AG306" s="175">
        <v>1.42</v>
      </c>
      <c r="AH306" s="334"/>
      <c r="AI306" s="188"/>
      <c r="AJ306" s="188"/>
      <c r="AK306" s="188"/>
      <c r="AL306" s="189"/>
      <c r="AM306" s="189"/>
      <c r="AN306" s="189"/>
      <c r="AO306" s="189"/>
      <c r="AP306" s="189"/>
      <c r="AQ306" s="189"/>
      <c r="AR306" s="189"/>
      <c r="AS306" s="189"/>
      <c r="AT306" s="189"/>
      <c r="AU306" s="190"/>
      <c r="AV306" s="190"/>
      <c r="AW306" s="190"/>
      <c r="AX306" s="190"/>
      <c r="AY306" s="190"/>
      <c r="AZ306" s="189"/>
      <c r="BA306" s="189"/>
      <c r="BB306" s="189"/>
      <c r="BC306" s="189"/>
      <c r="BD306" s="189"/>
      <c r="BE306" s="189"/>
      <c r="BF306" s="189"/>
      <c r="BG306" s="189"/>
      <c r="BH306" s="189"/>
      <c r="BI306" s="190"/>
      <c r="BJ306" s="190"/>
      <c r="BK306" s="190"/>
      <c r="BL306" s="190"/>
      <c r="BM306" s="190"/>
      <c r="BN306" s="191"/>
      <c r="BO306" s="191"/>
      <c r="BP306" s="191"/>
      <c r="BQ306" s="191"/>
      <c r="BR306" s="191"/>
      <c r="BS306" s="191"/>
      <c r="BT306" s="190"/>
      <c r="BU306" s="190"/>
      <c r="BV306" s="190"/>
      <c r="BW306" s="190"/>
      <c r="BX306" s="190"/>
      <c r="BY306" s="190"/>
      <c r="BZ306" s="190"/>
      <c r="CA306" s="189"/>
      <c r="CB306" s="15"/>
    </row>
    <row r="307" spans="1:80" ht="15" x14ac:dyDescent="0.25">
      <c r="A307" s="167"/>
      <c r="B307" s="642"/>
      <c r="C307" s="642"/>
      <c r="D307" s="179"/>
      <c r="E307" s="169"/>
      <c r="F307" s="169"/>
      <c r="G307" s="186"/>
      <c r="H307" s="187"/>
      <c r="I307" s="187"/>
      <c r="J307" s="187"/>
      <c r="K307" s="187"/>
      <c r="L307" s="647"/>
      <c r="M307" s="646">
        <v>35612</v>
      </c>
      <c r="N307" s="585">
        <v>4.29</v>
      </c>
      <c r="O307" s="585">
        <v>1.427E-2</v>
      </c>
      <c r="P307" s="175">
        <v>0</v>
      </c>
      <c r="Q307" s="175">
        <v>3.4499999999999999E-3</v>
      </c>
      <c r="R307" s="175">
        <v>5.0000000000000001E-4</v>
      </c>
      <c r="S307" s="175">
        <v>2.33E-3</v>
      </c>
      <c r="T307" s="175">
        <v>2.0500000000000002E-3</v>
      </c>
      <c r="U307" s="175">
        <v>2.1700000000000001E-3</v>
      </c>
      <c r="V307" s="706">
        <v>3.7699999999999999E-3</v>
      </c>
      <c r="W307" s="717"/>
      <c r="X307" s="713"/>
      <c r="Y307" s="718"/>
      <c r="Z307" s="709">
        <v>37</v>
      </c>
      <c r="AA307" s="175"/>
      <c r="AB307" s="192"/>
      <c r="AC307" s="205">
        <v>2.1000000000000001E-2</v>
      </c>
      <c r="AD307" s="175">
        <v>6.76</v>
      </c>
      <c r="AE307" s="175">
        <v>0.47</v>
      </c>
      <c r="AF307" s="168">
        <f t="shared" si="5"/>
        <v>3.1771999999999996</v>
      </c>
      <c r="AG307" s="175">
        <v>1.37</v>
      </c>
      <c r="AH307" s="334"/>
      <c r="AI307" s="188"/>
      <c r="AJ307" s="188"/>
      <c r="AK307" s="188"/>
      <c r="AL307" s="189"/>
      <c r="AM307" s="189"/>
      <c r="AN307" s="189"/>
      <c r="AO307" s="189"/>
      <c r="AP307" s="189"/>
      <c r="AQ307" s="189"/>
      <c r="AR307" s="189"/>
      <c r="AS307" s="189"/>
      <c r="AT307" s="189"/>
      <c r="AU307" s="190"/>
      <c r="AV307" s="190"/>
      <c r="AW307" s="190"/>
      <c r="AX307" s="190"/>
      <c r="AY307" s="190"/>
      <c r="AZ307" s="189"/>
      <c r="BA307" s="189"/>
      <c r="BB307" s="189"/>
      <c r="BC307" s="189"/>
      <c r="BD307" s="189"/>
      <c r="BE307" s="189"/>
      <c r="BF307" s="189"/>
      <c r="BG307" s="189"/>
      <c r="BH307" s="189"/>
      <c r="BI307" s="190"/>
      <c r="BJ307" s="190"/>
      <c r="BK307" s="190"/>
      <c r="BL307" s="190"/>
      <c r="BM307" s="190"/>
      <c r="BN307" s="191"/>
      <c r="BO307" s="191"/>
      <c r="BP307" s="191"/>
      <c r="BQ307" s="191"/>
      <c r="BR307" s="191"/>
      <c r="BS307" s="191"/>
      <c r="BT307" s="190"/>
      <c r="BU307" s="190"/>
      <c r="BV307" s="190"/>
      <c r="BW307" s="190"/>
      <c r="BX307" s="190"/>
      <c r="BY307" s="190"/>
      <c r="BZ307" s="190"/>
      <c r="CA307" s="189"/>
      <c r="CB307" s="15"/>
    </row>
    <row r="308" spans="1:80" ht="15" x14ac:dyDescent="0.25">
      <c r="A308" s="202"/>
      <c r="B308" s="195"/>
      <c r="C308" s="195"/>
      <c r="D308" s="695"/>
      <c r="E308" s="196"/>
      <c r="F308" s="196"/>
      <c r="G308" s="197"/>
      <c r="H308" s="198"/>
      <c r="I308" s="198"/>
      <c r="J308" s="198"/>
      <c r="K308" s="198"/>
      <c r="L308" s="649"/>
      <c r="M308" s="651">
        <v>35613</v>
      </c>
      <c r="N308" s="589">
        <v>2.63</v>
      </c>
      <c r="O308" s="589">
        <v>2.3449999999999999E-2</v>
      </c>
      <c r="P308" s="193">
        <v>0</v>
      </c>
      <c r="Q308" s="193">
        <v>0</v>
      </c>
      <c r="R308" s="193">
        <v>5.7800000000000004E-3</v>
      </c>
      <c r="S308" s="193">
        <v>4.0200000000000001E-3</v>
      </c>
      <c r="T308" s="193">
        <v>3.9300000000000003E-3</v>
      </c>
      <c r="U308" s="193">
        <v>4.6699999999999997E-3</v>
      </c>
      <c r="V308" s="707">
        <v>5.0499999999999998E-3</v>
      </c>
      <c r="W308" s="719"/>
      <c r="X308" s="720"/>
      <c r="Y308" s="721"/>
      <c r="Z308" s="710">
        <v>29</v>
      </c>
      <c r="AA308" s="193"/>
      <c r="AB308" s="206"/>
      <c r="AC308" s="207">
        <v>1.7000000000000001E-2</v>
      </c>
      <c r="AD308" s="193">
        <v>6.7</v>
      </c>
      <c r="AE308" s="193">
        <v>0.37</v>
      </c>
      <c r="AF308" s="195">
        <f t="shared" si="5"/>
        <v>2.4790000000000001</v>
      </c>
      <c r="AG308" s="193">
        <v>1.03</v>
      </c>
      <c r="AH308" s="334"/>
      <c r="AI308" s="188"/>
      <c r="AJ308" s="188"/>
      <c r="AK308" s="188"/>
      <c r="AL308" s="189"/>
      <c r="AM308" s="189"/>
      <c r="AN308" s="189"/>
      <c r="AO308" s="189"/>
      <c r="AP308" s="189"/>
      <c r="AQ308" s="189"/>
      <c r="AR308" s="189"/>
      <c r="AS308" s="189"/>
      <c r="AT308" s="189"/>
      <c r="AU308" s="190"/>
      <c r="AV308" s="190"/>
      <c r="AW308" s="190"/>
      <c r="AX308" s="190"/>
      <c r="AY308" s="190"/>
      <c r="AZ308" s="189"/>
      <c r="BA308" s="189"/>
      <c r="BB308" s="189"/>
      <c r="BC308" s="189"/>
      <c r="BD308" s="189"/>
      <c r="BE308" s="189"/>
      <c r="BF308" s="189"/>
      <c r="BG308" s="189"/>
      <c r="BH308" s="189"/>
      <c r="BI308" s="190"/>
      <c r="BJ308" s="190"/>
      <c r="BK308" s="190"/>
      <c r="BL308" s="190"/>
      <c r="BM308" s="190"/>
      <c r="BN308" s="191"/>
      <c r="BO308" s="191"/>
      <c r="BP308" s="191"/>
      <c r="BQ308" s="191"/>
      <c r="BR308" s="191"/>
      <c r="BS308" s="191"/>
      <c r="BT308" s="190"/>
      <c r="BU308" s="190"/>
      <c r="BV308" s="190"/>
      <c r="BW308" s="190"/>
      <c r="BX308" s="190"/>
      <c r="BY308" s="190"/>
      <c r="BZ308" s="190"/>
      <c r="CA308" s="189"/>
      <c r="CB308" s="15"/>
    </row>
    <row r="309" spans="1:80" ht="15" x14ac:dyDescent="0.25">
      <c r="A309" s="9" t="s">
        <v>43</v>
      </c>
      <c r="B309" s="639" t="s">
        <v>34</v>
      </c>
      <c r="C309" s="639"/>
      <c r="D309" s="4">
        <f>VLOOKUP(E309,'Quality Code'!D4:E24,2,TRUE)*VLOOKUP(MROUND(F309,10),'Quality Code'!D28:E69,2,TRUE)*VLOOKUP(4,'Quality Code'!D73:E93,2,TRUE)</f>
        <v>4</v>
      </c>
      <c r="E309" s="14">
        <v>0.8</v>
      </c>
      <c r="F309" s="18">
        <v>117</v>
      </c>
      <c r="G309" s="12">
        <v>54.2</v>
      </c>
      <c r="H309" s="2" t="s">
        <v>231</v>
      </c>
      <c r="I309" s="2" t="s">
        <v>278</v>
      </c>
      <c r="J309" s="2" t="s">
        <v>281</v>
      </c>
      <c r="K309" s="2">
        <v>1</v>
      </c>
      <c r="L309" s="639" t="s">
        <v>699</v>
      </c>
      <c r="M309" s="640" t="s">
        <v>702</v>
      </c>
      <c r="N309" s="579" t="s">
        <v>254</v>
      </c>
      <c r="O309" s="579"/>
      <c r="P309" s="11"/>
      <c r="Q309" s="11"/>
      <c r="R309" s="11"/>
      <c r="S309" s="11"/>
      <c r="T309" s="11"/>
      <c r="U309" s="11"/>
      <c r="V309" s="506"/>
      <c r="W309" s="723"/>
      <c r="X309" s="723"/>
      <c r="Y309" s="723"/>
      <c r="Z309" s="11"/>
      <c r="AA309" s="11"/>
      <c r="AB309" s="11"/>
      <c r="AC309" s="116">
        <f>AVERAGE(AC310:AC391,AC404:AC426)</f>
        <v>1.1866666666666664E-2</v>
      </c>
      <c r="AD309" s="26"/>
      <c r="AE309" s="26"/>
      <c r="AF309" s="26"/>
      <c r="AG309" s="26"/>
      <c r="AH309" s="330"/>
      <c r="AI309" s="123">
        <f>AU309/BI309</f>
        <v>14.074074074074073</v>
      </c>
      <c r="AJ309" s="123"/>
      <c r="AK309" s="161"/>
      <c r="AL309" s="17"/>
      <c r="AM309" s="17"/>
      <c r="AN309" s="17"/>
      <c r="AO309" s="17"/>
      <c r="AP309" s="17"/>
      <c r="AQ309" s="17"/>
      <c r="AR309" s="17"/>
      <c r="AS309" s="17"/>
      <c r="AT309" s="17"/>
      <c r="AU309" s="18">
        <v>76</v>
      </c>
      <c r="AV309" s="162">
        <v>1</v>
      </c>
      <c r="AW309" s="162">
        <v>0.995</v>
      </c>
      <c r="AX309" s="162">
        <v>0.9425</v>
      </c>
      <c r="AY309" s="162">
        <v>0.75749999999999995</v>
      </c>
      <c r="AZ309" s="162">
        <v>0.40500000000000003</v>
      </c>
      <c r="BA309" s="162">
        <v>0.14499999999999999</v>
      </c>
      <c r="BB309" s="162">
        <v>5.2499999999999998E-2</v>
      </c>
      <c r="BC309" s="162">
        <v>1.7500000000000002E-2</v>
      </c>
      <c r="BD309" s="162">
        <v>5.0000000000000001E-3</v>
      </c>
      <c r="BE309" s="162">
        <v>0</v>
      </c>
      <c r="BF309" s="162"/>
      <c r="BG309" s="162"/>
      <c r="BH309" s="162"/>
      <c r="BI309" s="4">
        <v>5.4</v>
      </c>
      <c r="BJ309" s="2"/>
      <c r="BK309" s="2" t="s">
        <v>55</v>
      </c>
      <c r="BL309" s="12">
        <v>4.75</v>
      </c>
      <c r="BM309" s="12"/>
      <c r="BN309" s="12">
        <v>7.6</v>
      </c>
      <c r="BO309" s="12">
        <v>0.43</v>
      </c>
      <c r="BP309" s="12">
        <f>BO309*BN309</f>
        <v>3.2679999999999998</v>
      </c>
      <c r="BQ309" s="12">
        <f>BN309/BO309</f>
        <v>17.674418604651162</v>
      </c>
      <c r="BR309" s="12" t="s">
        <v>276</v>
      </c>
      <c r="BS309" s="18">
        <v>4</v>
      </c>
      <c r="BT309" s="12"/>
      <c r="BU309" s="2"/>
      <c r="BV309" s="2"/>
      <c r="BW309" s="2"/>
      <c r="BX309" s="2" t="s">
        <v>86</v>
      </c>
      <c r="BY309" s="2" t="s">
        <v>234</v>
      </c>
      <c r="BZ309" s="2"/>
      <c r="CA309" s="9" t="s">
        <v>233</v>
      </c>
      <c r="CB309" s="5" t="s">
        <v>626</v>
      </c>
    </row>
    <row r="310" spans="1:80" ht="15" x14ac:dyDescent="0.25">
      <c r="A310" s="167"/>
      <c r="B310" s="642"/>
      <c r="C310" s="642"/>
      <c r="D310" s="179"/>
      <c r="E310" s="169"/>
      <c r="F310" s="169"/>
      <c r="G310" s="186"/>
      <c r="H310" s="187"/>
      <c r="I310" s="187"/>
      <c r="J310" s="187"/>
      <c r="K310" s="187"/>
      <c r="L310" s="647"/>
      <c r="M310" s="646">
        <v>33746</v>
      </c>
      <c r="N310" s="585">
        <v>0.71</v>
      </c>
      <c r="O310" s="585">
        <v>1.1999999999999999E-3</v>
      </c>
      <c r="P310" s="175">
        <v>0</v>
      </c>
      <c r="Q310" s="175">
        <v>0</v>
      </c>
      <c r="R310" s="175">
        <v>0</v>
      </c>
      <c r="S310" s="175">
        <v>9.0000000000000006E-5</v>
      </c>
      <c r="T310" s="175">
        <v>2.7E-4</v>
      </c>
      <c r="U310" s="175">
        <v>2.5000000000000001E-4</v>
      </c>
      <c r="V310" s="706">
        <v>5.9000000000000003E-4</v>
      </c>
      <c r="W310" s="714"/>
      <c r="X310" s="715"/>
      <c r="Y310" s="716"/>
      <c r="Z310" s="709">
        <v>0</v>
      </c>
      <c r="AA310" s="175"/>
      <c r="AB310" s="200"/>
      <c r="AC310" s="205">
        <v>1.0999999999999999E-2</v>
      </c>
      <c r="AD310" s="175">
        <v>6.5</v>
      </c>
      <c r="AE310" s="175">
        <v>0.17</v>
      </c>
      <c r="AF310" s="170">
        <f>AE310*AD310</f>
        <v>1.105</v>
      </c>
      <c r="AG310" s="175">
        <v>0.63</v>
      </c>
      <c r="AH310" s="334"/>
      <c r="AI310" s="188"/>
      <c r="AJ310" s="188"/>
      <c r="AK310" s="188"/>
      <c r="AL310" s="189"/>
      <c r="AM310" s="189"/>
      <c r="AN310" s="189"/>
      <c r="AO310" s="189"/>
      <c r="AP310" s="189"/>
      <c r="AQ310" s="189"/>
      <c r="AR310" s="189"/>
      <c r="AS310" s="189"/>
      <c r="AT310" s="189"/>
      <c r="AU310" s="190"/>
      <c r="AV310" s="190"/>
      <c r="AW310" s="190"/>
      <c r="AX310" s="190"/>
      <c r="AY310" s="190"/>
      <c r="AZ310" s="189"/>
      <c r="BA310" s="189"/>
      <c r="BB310" s="189"/>
      <c r="BC310" s="189"/>
      <c r="BD310" s="189"/>
      <c r="BE310" s="189"/>
      <c r="BF310" s="189"/>
      <c r="BG310" s="189"/>
      <c r="BH310" s="189"/>
      <c r="BI310" s="190"/>
      <c r="BJ310" s="190"/>
      <c r="BK310" s="190"/>
      <c r="BL310" s="190"/>
      <c r="BM310" s="190"/>
      <c r="BN310" s="191"/>
      <c r="BO310" s="191"/>
      <c r="BP310" s="191"/>
      <c r="BQ310" s="191"/>
      <c r="BR310" s="191"/>
      <c r="BS310" s="191"/>
      <c r="BT310" s="190"/>
      <c r="BU310" s="190"/>
      <c r="BV310" s="190"/>
      <c r="BW310" s="190"/>
      <c r="BX310" s="190"/>
      <c r="BY310" s="190"/>
      <c r="BZ310" s="190"/>
      <c r="CA310" s="189"/>
      <c r="CB310" s="15" t="s">
        <v>625</v>
      </c>
    </row>
    <row r="311" spans="1:80" ht="15" x14ac:dyDescent="0.25">
      <c r="A311" s="167"/>
      <c r="B311" s="642"/>
      <c r="C311" s="642"/>
      <c r="D311" s="179"/>
      <c r="E311" s="169"/>
      <c r="F311" s="169"/>
      <c r="G311" s="186"/>
      <c r="H311" s="187"/>
      <c r="I311" s="187"/>
      <c r="J311" s="187"/>
      <c r="K311" s="187"/>
      <c r="L311" s="647"/>
      <c r="M311" s="646">
        <v>33747</v>
      </c>
      <c r="N311" s="585">
        <v>0.78</v>
      </c>
      <c r="O311" s="585">
        <v>2.1800000000000001E-3</v>
      </c>
      <c r="P311" s="175">
        <v>0</v>
      </c>
      <c r="Q311" s="175">
        <v>0</v>
      </c>
      <c r="R311" s="175">
        <v>0</v>
      </c>
      <c r="S311" s="175">
        <v>1.2999999999999999E-4</v>
      </c>
      <c r="T311" s="175">
        <v>3.3E-4</v>
      </c>
      <c r="U311" s="175">
        <v>5.1999999999999995E-4</v>
      </c>
      <c r="V311" s="706">
        <v>1.1999999999999999E-3</v>
      </c>
      <c r="W311" s="717"/>
      <c r="X311" s="713"/>
      <c r="Y311" s="718"/>
      <c r="Z311" s="709">
        <v>0</v>
      </c>
      <c r="AA311" s="175"/>
      <c r="AB311" s="200"/>
      <c r="AC311" s="205">
        <v>1.0999999999999999E-2</v>
      </c>
      <c r="AD311" s="175">
        <v>6.6</v>
      </c>
      <c r="AE311" s="175">
        <v>0.17</v>
      </c>
      <c r="AF311" s="170">
        <f t="shared" ref="AF311:AF374" si="6">AE311*AD311</f>
        <v>1.1220000000000001</v>
      </c>
      <c r="AG311" s="175">
        <v>0.69</v>
      </c>
      <c r="AH311" s="334"/>
      <c r="AI311" s="188"/>
      <c r="AJ311" s="188"/>
      <c r="AK311" s="188"/>
      <c r="AL311" s="189"/>
      <c r="AM311" s="189"/>
      <c r="AN311" s="189"/>
      <c r="AO311" s="189"/>
      <c r="AP311" s="189"/>
      <c r="AQ311" s="189"/>
      <c r="AR311" s="189"/>
      <c r="AS311" s="189"/>
      <c r="AT311" s="189"/>
      <c r="AU311" s="190"/>
      <c r="AV311" s="190"/>
      <c r="AW311" s="190"/>
      <c r="AX311" s="190"/>
      <c r="AY311" s="190"/>
      <c r="AZ311" s="189"/>
      <c r="BA311" s="189"/>
      <c r="BB311" s="189"/>
      <c r="BC311" s="189"/>
      <c r="BD311" s="189"/>
      <c r="BE311" s="189"/>
      <c r="BF311" s="189"/>
      <c r="BG311" s="189"/>
      <c r="BH311" s="189"/>
      <c r="BI311" s="190"/>
      <c r="BJ311" s="190"/>
      <c r="BK311" s="190"/>
      <c r="BL311" s="190"/>
      <c r="BM311" s="190"/>
      <c r="BN311" s="191"/>
      <c r="BO311" s="191"/>
      <c r="BP311" s="191"/>
      <c r="BQ311" s="191"/>
      <c r="BR311" s="191"/>
      <c r="BS311" s="191"/>
      <c r="BT311" s="190"/>
      <c r="BU311" s="190"/>
      <c r="BV311" s="190"/>
      <c r="BW311" s="190"/>
      <c r="BX311" s="190"/>
      <c r="BY311" s="190"/>
      <c r="BZ311" s="190"/>
      <c r="CA311" s="189"/>
      <c r="CB311" s="15" t="s">
        <v>627</v>
      </c>
    </row>
    <row r="312" spans="1:80" ht="15" x14ac:dyDescent="0.2">
      <c r="A312" s="167"/>
      <c r="B312" s="642"/>
      <c r="C312" s="642"/>
      <c r="D312" s="179"/>
      <c r="E312" s="169"/>
      <c r="F312" s="169"/>
      <c r="G312" s="186"/>
      <c r="H312" s="187"/>
      <c r="I312" s="187"/>
      <c r="J312" s="187"/>
      <c r="K312" s="187"/>
      <c r="L312" s="647"/>
      <c r="M312" s="646">
        <v>33751</v>
      </c>
      <c r="N312" s="585">
        <v>0.68</v>
      </c>
      <c r="O312" s="585">
        <v>2.3800000000000002E-3</v>
      </c>
      <c r="P312" s="175">
        <v>0</v>
      </c>
      <c r="Q312" s="175">
        <v>0</v>
      </c>
      <c r="R312" s="175">
        <v>0</v>
      </c>
      <c r="S312" s="175">
        <v>5.8E-4</v>
      </c>
      <c r="T312" s="175">
        <v>2.2000000000000001E-4</v>
      </c>
      <c r="U312" s="175">
        <v>3.8000000000000002E-4</v>
      </c>
      <c r="V312" s="706">
        <v>1.1999999999999999E-3</v>
      </c>
      <c r="W312" s="717"/>
      <c r="X312" s="713"/>
      <c r="Y312" s="718"/>
      <c r="Z312" s="709">
        <v>0</v>
      </c>
      <c r="AA312" s="175"/>
      <c r="AB312" s="200"/>
      <c r="AC312" s="205">
        <v>1.0999999999999999E-2</v>
      </c>
      <c r="AD312" s="175">
        <v>6.6</v>
      </c>
      <c r="AE312" s="175">
        <v>0.18</v>
      </c>
      <c r="AF312" s="170">
        <f t="shared" si="6"/>
        <v>1.1879999999999999</v>
      </c>
      <c r="AG312" s="175">
        <v>0.56999999999999995</v>
      </c>
      <c r="AH312" s="334"/>
      <c r="AI312" s="188"/>
      <c r="AJ312" s="188"/>
      <c r="AK312" s="188"/>
      <c r="AL312" s="189"/>
      <c r="AM312" s="189"/>
      <c r="AN312" s="189"/>
      <c r="AO312" s="189"/>
      <c r="AP312" s="189"/>
      <c r="AQ312" s="189"/>
      <c r="AR312" s="189"/>
      <c r="AS312" s="189"/>
      <c r="AT312" s="189"/>
      <c r="AU312" s="190"/>
      <c r="AV312" s="190"/>
      <c r="AW312" s="190"/>
      <c r="AX312" s="190"/>
      <c r="AY312" s="190"/>
      <c r="AZ312" s="189"/>
      <c r="BA312" s="189"/>
      <c r="BB312" s="189"/>
      <c r="BC312" s="189"/>
      <c r="BD312" s="189"/>
      <c r="BE312" s="189"/>
      <c r="BF312" s="189"/>
      <c r="BG312" s="189"/>
      <c r="BH312" s="189"/>
      <c r="BI312" s="190"/>
      <c r="BJ312" s="190"/>
      <c r="BK312" s="190"/>
      <c r="BL312" s="190"/>
      <c r="BM312" s="190"/>
      <c r="BN312" s="191"/>
      <c r="BO312" s="191"/>
      <c r="BP312" s="191"/>
      <c r="BQ312" s="191"/>
      <c r="BR312" s="191"/>
      <c r="BS312" s="191"/>
      <c r="BT312" s="190"/>
      <c r="BU312" s="190"/>
      <c r="BV312" s="190"/>
      <c r="BW312" s="190"/>
      <c r="BX312" s="190"/>
      <c r="BY312" s="190"/>
      <c r="BZ312" s="190"/>
      <c r="CA312" s="189"/>
      <c r="CB312" s="485" t="s">
        <v>638</v>
      </c>
    </row>
    <row r="313" spans="1:80" ht="15" x14ac:dyDescent="0.25">
      <c r="A313" s="167"/>
      <c r="B313" s="642"/>
      <c r="C313" s="642"/>
      <c r="D313" s="179"/>
      <c r="E313" s="169"/>
      <c r="F313" s="169"/>
      <c r="G313" s="186"/>
      <c r="H313" s="187"/>
      <c r="I313" s="187"/>
      <c r="J313" s="187"/>
      <c r="K313" s="187"/>
      <c r="L313" s="647"/>
      <c r="M313" s="646">
        <v>33752</v>
      </c>
      <c r="N313" s="585">
        <v>0.72</v>
      </c>
      <c r="O313" s="585">
        <v>1.5299999999999999E-3</v>
      </c>
      <c r="P313" s="175">
        <v>0</v>
      </c>
      <c r="Q313" s="175">
        <v>0</v>
      </c>
      <c r="R313" s="175">
        <v>0</v>
      </c>
      <c r="S313" s="175">
        <v>0</v>
      </c>
      <c r="T313" s="175">
        <v>9.0000000000000006E-5</v>
      </c>
      <c r="U313" s="175">
        <v>2.0000000000000001E-4</v>
      </c>
      <c r="V313" s="706">
        <v>1.24E-3</v>
      </c>
      <c r="W313" s="717"/>
      <c r="X313" s="713"/>
      <c r="Y313" s="718"/>
      <c r="Z313" s="709">
        <v>0</v>
      </c>
      <c r="AA313" s="175"/>
      <c r="AB313" s="200"/>
      <c r="AC313" s="205">
        <v>1.0999999999999999E-2</v>
      </c>
      <c r="AD313" s="175">
        <v>6.5</v>
      </c>
      <c r="AE313" s="175">
        <v>0.17</v>
      </c>
      <c r="AF313" s="170">
        <f t="shared" si="6"/>
        <v>1.105</v>
      </c>
      <c r="AG313" s="175">
        <v>0.64</v>
      </c>
      <c r="AH313" s="334"/>
      <c r="AI313" s="188"/>
      <c r="AJ313" s="188"/>
      <c r="AK313" s="188"/>
      <c r="AL313" s="189"/>
      <c r="AM313" s="189"/>
      <c r="AN313" s="189"/>
      <c r="AO313" s="189"/>
      <c r="AP313" s="189"/>
      <c r="AQ313" s="189"/>
      <c r="AR313" s="189"/>
      <c r="AS313" s="189"/>
      <c r="AT313" s="189"/>
      <c r="AU313" s="190"/>
      <c r="AV313" s="190"/>
      <c r="AW313" s="190"/>
      <c r="AX313" s="190"/>
      <c r="AY313" s="190"/>
      <c r="AZ313" s="189"/>
      <c r="BA313" s="189"/>
      <c r="BB313" s="189"/>
      <c r="BC313" s="189"/>
      <c r="BD313" s="189"/>
      <c r="BE313" s="189"/>
      <c r="BF313" s="189"/>
      <c r="BG313" s="189"/>
      <c r="BH313" s="189"/>
      <c r="BI313" s="190"/>
      <c r="BJ313" s="190"/>
      <c r="BK313" s="190"/>
      <c r="BL313" s="190"/>
      <c r="BM313" s="190"/>
      <c r="BN313" s="191"/>
      <c r="BO313" s="191"/>
      <c r="BP313" s="191"/>
      <c r="BQ313" s="191"/>
      <c r="BR313" s="191"/>
      <c r="BS313" s="191"/>
      <c r="BT313" s="190"/>
      <c r="BU313" s="190"/>
      <c r="BV313" s="190"/>
      <c r="BW313" s="190"/>
      <c r="BX313" s="190"/>
      <c r="BY313" s="190"/>
      <c r="BZ313" s="190"/>
      <c r="CA313" s="189"/>
      <c r="CB313" s="15"/>
    </row>
    <row r="314" spans="1:80" ht="15" x14ac:dyDescent="0.25">
      <c r="A314" s="167"/>
      <c r="B314" s="642"/>
      <c r="C314" s="642"/>
      <c r="D314" s="179"/>
      <c r="E314" s="169"/>
      <c r="F314" s="169"/>
      <c r="G314" s="186"/>
      <c r="H314" s="187"/>
      <c r="I314" s="187"/>
      <c r="J314" s="187"/>
      <c r="K314" s="187"/>
      <c r="L314" s="647"/>
      <c r="M314" s="646">
        <v>33753</v>
      </c>
      <c r="N314" s="585">
        <v>0.64</v>
      </c>
      <c r="O314" s="585">
        <v>9.1E-4</v>
      </c>
      <c r="P314" s="175">
        <v>0</v>
      </c>
      <c r="Q314" s="175">
        <v>0</v>
      </c>
      <c r="R314" s="175">
        <v>0</v>
      </c>
      <c r="S314" s="175">
        <v>0</v>
      </c>
      <c r="T314" s="175">
        <v>1.1E-4</v>
      </c>
      <c r="U314" s="175">
        <v>2.3000000000000001E-4</v>
      </c>
      <c r="V314" s="706">
        <v>5.5999999999999995E-4</v>
      </c>
      <c r="W314" s="717"/>
      <c r="X314" s="713"/>
      <c r="Y314" s="718"/>
      <c r="Z314" s="709">
        <v>0</v>
      </c>
      <c r="AA314" s="175"/>
      <c r="AB314" s="200"/>
      <c r="AC314" s="205">
        <v>1.0999999999999999E-2</v>
      </c>
      <c r="AD314" s="175">
        <v>6.6</v>
      </c>
      <c r="AE314" s="175">
        <v>0.16</v>
      </c>
      <c r="AF314" s="170">
        <f t="shared" si="6"/>
        <v>1.056</v>
      </c>
      <c r="AG314" s="175">
        <v>0.59</v>
      </c>
      <c r="AH314" s="334"/>
      <c r="AI314" s="188"/>
      <c r="AJ314" s="188"/>
      <c r="AK314" s="188"/>
      <c r="AL314" s="189"/>
      <c r="AM314" s="189"/>
      <c r="AN314" s="189"/>
      <c r="AO314" s="189"/>
      <c r="AP314" s="189"/>
      <c r="AQ314" s="189"/>
      <c r="AR314" s="189"/>
      <c r="AS314" s="189"/>
      <c r="AT314" s="189"/>
      <c r="AU314" s="190"/>
      <c r="AV314" s="190"/>
      <c r="AW314" s="190"/>
      <c r="AX314" s="190"/>
      <c r="AY314" s="190"/>
      <c r="AZ314" s="189"/>
      <c r="BA314" s="189"/>
      <c r="BB314" s="189"/>
      <c r="BC314" s="189"/>
      <c r="BD314" s="189"/>
      <c r="BE314" s="189"/>
      <c r="BF314" s="189"/>
      <c r="BG314" s="189"/>
      <c r="BH314" s="189"/>
      <c r="BI314" s="190"/>
      <c r="BJ314" s="190"/>
      <c r="BK314" s="190"/>
      <c r="BL314" s="190"/>
      <c r="BM314" s="190"/>
      <c r="BN314" s="191"/>
      <c r="BO314" s="191"/>
      <c r="BP314" s="191"/>
      <c r="BQ314" s="191"/>
      <c r="BR314" s="191"/>
      <c r="BS314" s="191"/>
      <c r="BT314" s="190"/>
      <c r="BU314" s="190"/>
      <c r="BV314" s="190"/>
      <c r="BW314" s="190"/>
      <c r="BX314" s="190"/>
      <c r="BY314" s="190"/>
      <c r="BZ314" s="190"/>
      <c r="CA314" s="189"/>
      <c r="CB314" s="15"/>
    </row>
    <row r="315" spans="1:80" ht="15" x14ac:dyDescent="0.25">
      <c r="A315" s="167"/>
      <c r="B315" s="642"/>
      <c r="C315" s="642"/>
      <c r="D315" s="179"/>
      <c r="E315" s="169"/>
      <c r="F315" s="169"/>
      <c r="G315" s="186"/>
      <c r="H315" s="187"/>
      <c r="I315" s="187"/>
      <c r="J315" s="187"/>
      <c r="K315" s="187"/>
      <c r="L315" s="647"/>
      <c r="M315" s="646">
        <v>33754</v>
      </c>
      <c r="N315" s="585">
        <v>0.73</v>
      </c>
      <c r="O315" s="585">
        <v>5.9999999999999995E-4</v>
      </c>
      <c r="P315" s="175">
        <v>0</v>
      </c>
      <c r="Q315" s="175">
        <v>0</v>
      </c>
      <c r="R315" s="175">
        <v>0</v>
      </c>
      <c r="S315" s="175">
        <v>6.0000000000000002E-5</v>
      </c>
      <c r="T315" s="175">
        <v>1.0000000000000001E-5</v>
      </c>
      <c r="U315" s="175">
        <v>1.7000000000000001E-4</v>
      </c>
      <c r="V315" s="706">
        <v>3.5E-4</v>
      </c>
      <c r="W315" s="717"/>
      <c r="X315" s="713"/>
      <c r="Y315" s="718"/>
      <c r="Z315" s="709">
        <v>0</v>
      </c>
      <c r="AA315" s="175"/>
      <c r="AB315" s="200"/>
      <c r="AC315" s="205">
        <v>1.0999999999999999E-2</v>
      </c>
      <c r="AD315" s="175">
        <v>6.6</v>
      </c>
      <c r="AE315" s="175">
        <v>0.16</v>
      </c>
      <c r="AF315" s="170">
        <f t="shared" si="6"/>
        <v>1.056</v>
      </c>
      <c r="AG315" s="175">
        <v>0.7</v>
      </c>
      <c r="AH315" s="334"/>
      <c r="AI315" s="188"/>
      <c r="AJ315" s="188"/>
      <c r="AK315" s="188"/>
      <c r="AL315" s="189"/>
      <c r="AM315" s="189"/>
      <c r="AN315" s="189"/>
      <c r="AO315" s="189"/>
      <c r="AP315" s="189"/>
      <c r="AQ315" s="189"/>
      <c r="AR315" s="189"/>
      <c r="AS315" s="189"/>
      <c r="AT315" s="189"/>
      <c r="AU315" s="190"/>
      <c r="AV315" s="190"/>
      <c r="AW315" s="190"/>
      <c r="AX315" s="190"/>
      <c r="AY315" s="190"/>
      <c r="AZ315" s="189"/>
      <c r="BA315" s="189"/>
      <c r="BB315" s="189"/>
      <c r="BC315" s="189"/>
      <c r="BD315" s="189"/>
      <c r="BE315" s="189"/>
      <c r="BF315" s="189"/>
      <c r="BG315" s="189"/>
      <c r="BH315" s="189"/>
      <c r="BI315" s="190"/>
      <c r="BJ315" s="190"/>
      <c r="BK315" s="190"/>
      <c r="BL315" s="190"/>
      <c r="BM315" s="190"/>
      <c r="BN315" s="191"/>
      <c r="BO315" s="191"/>
      <c r="BP315" s="191"/>
      <c r="BQ315" s="191"/>
      <c r="BR315" s="191"/>
      <c r="BS315" s="191"/>
      <c r="BT315" s="190"/>
      <c r="BU315" s="190"/>
      <c r="BV315" s="190"/>
      <c r="BW315" s="190"/>
      <c r="BX315" s="190"/>
      <c r="BY315" s="190"/>
      <c r="BZ315" s="190"/>
      <c r="CA315" s="189"/>
      <c r="CB315" s="15"/>
    </row>
    <row r="316" spans="1:80" ht="15" x14ac:dyDescent="0.25">
      <c r="A316" s="167"/>
      <c r="B316" s="642"/>
      <c r="C316" s="642"/>
      <c r="D316" s="179"/>
      <c r="E316" s="169"/>
      <c r="F316" s="169"/>
      <c r="G316" s="186"/>
      <c r="H316" s="187"/>
      <c r="I316" s="187"/>
      <c r="J316" s="187"/>
      <c r="K316" s="187"/>
      <c r="L316" s="647"/>
      <c r="M316" s="646">
        <v>33757</v>
      </c>
      <c r="N316" s="585">
        <v>0.7</v>
      </c>
      <c r="O316" s="585">
        <v>3.6999999999999999E-4</v>
      </c>
      <c r="P316" s="175">
        <v>0</v>
      </c>
      <c r="Q316" s="175">
        <v>0</v>
      </c>
      <c r="R316" s="175">
        <v>0</v>
      </c>
      <c r="S316" s="175">
        <v>0</v>
      </c>
      <c r="T316" s="175">
        <v>6.0000000000000002E-5</v>
      </c>
      <c r="U316" s="175">
        <v>6.0000000000000002E-5</v>
      </c>
      <c r="V316" s="706">
        <v>2.5000000000000001E-4</v>
      </c>
      <c r="W316" s="717"/>
      <c r="X316" s="713"/>
      <c r="Y316" s="718"/>
      <c r="Z316" s="709">
        <v>0</v>
      </c>
      <c r="AA316" s="175"/>
      <c r="AB316" s="200"/>
      <c r="AC316" s="205">
        <v>1.0999999999999999E-2</v>
      </c>
      <c r="AD316" s="175">
        <v>6.5</v>
      </c>
      <c r="AE316" s="175">
        <v>0.17</v>
      </c>
      <c r="AF316" s="170">
        <f t="shared" si="6"/>
        <v>1.105</v>
      </c>
      <c r="AG316" s="175">
        <v>0.63</v>
      </c>
      <c r="AH316" s="334"/>
      <c r="AI316" s="188"/>
      <c r="AJ316" s="188"/>
      <c r="AK316" s="188"/>
      <c r="AL316" s="189"/>
      <c r="AM316" s="189"/>
      <c r="AN316" s="189"/>
      <c r="AO316" s="189"/>
      <c r="AP316" s="189"/>
      <c r="AQ316" s="189"/>
      <c r="AR316" s="189"/>
      <c r="AS316" s="189"/>
      <c r="AT316" s="189"/>
      <c r="AU316" s="190"/>
      <c r="AV316" s="190"/>
      <c r="AW316" s="190"/>
      <c r="AX316" s="190"/>
      <c r="AY316" s="190"/>
      <c r="AZ316" s="189"/>
      <c r="BA316" s="189"/>
      <c r="BB316" s="189"/>
      <c r="BC316" s="189"/>
      <c r="BD316" s="189"/>
      <c r="BE316" s="189"/>
      <c r="BF316" s="189"/>
      <c r="BG316" s="189"/>
      <c r="BH316" s="189"/>
      <c r="BI316" s="190"/>
      <c r="BJ316" s="190"/>
      <c r="BK316" s="190"/>
      <c r="BL316" s="190"/>
      <c r="BM316" s="190"/>
      <c r="BN316" s="191"/>
      <c r="BO316" s="191"/>
      <c r="BP316" s="191"/>
      <c r="BQ316" s="191"/>
      <c r="BR316" s="191"/>
      <c r="BS316" s="191"/>
      <c r="BT316" s="190"/>
      <c r="BU316" s="190"/>
      <c r="BV316" s="190"/>
      <c r="BW316" s="190"/>
      <c r="BX316" s="190"/>
      <c r="BY316" s="190"/>
      <c r="BZ316" s="190"/>
      <c r="CA316" s="189"/>
      <c r="CB316" s="15"/>
    </row>
    <row r="317" spans="1:80" ht="15" x14ac:dyDescent="0.25">
      <c r="A317" s="167"/>
      <c r="B317" s="642"/>
      <c r="C317" s="642"/>
      <c r="D317" s="179"/>
      <c r="E317" s="169"/>
      <c r="F317" s="169"/>
      <c r="G317" s="186"/>
      <c r="H317" s="187"/>
      <c r="I317" s="187"/>
      <c r="J317" s="187"/>
      <c r="K317" s="187"/>
      <c r="L317" s="647"/>
      <c r="M317" s="646">
        <v>33758</v>
      </c>
      <c r="N317" s="585">
        <v>0.68</v>
      </c>
      <c r="O317" s="585">
        <v>2.2200000000000002E-3</v>
      </c>
      <c r="P317" s="175">
        <v>0</v>
      </c>
      <c r="Q317" s="175">
        <v>0</v>
      </c>
      <c r="R317" s="175">
        <v>0</v>
      </c>
      <c r="S317" s="175">
        <v>1.7000000000000001E-4</v>
      </c>
      <c r="T317" s="175">
        <v>2.7E-4</v>
      </c>
      <c r="U317" s="175">
        <v>8.0999999999999996E-4</v>
      </c>
      <c r="V317" s="706">
        <v>9.7999999999999997E-4</v>
      </c>
      <c r="W317" s="717"/>
      <c r="X317" s="713"/>
      <c r="Y317" s="718"/>
      <c r="Z317" s="709">
        <v>0</v>
      </c>
      <c r="AA317" s="175"/>
      <c r="AB317" s="200"/>
      <c r="AC317" s="205">
        <v>1.0999999999999999E-2</v>
      </c>
      <c r="AD317" s="175">
        <v>6.6</v>
      </c>
      <c r="AE317" s="175">
        <v>0.17</v>
      </c>
      <c r="AF317" s="170">
        <f t="shared" si="6"/>
        <v>1.1220000000000001</v>
      </c>
      <c r="AG317" s="175">
        <v>0.61</v>
      </c>
      <c r="AH317" s="334"/>
      <c r="AI317" s="188"/>
      <c r="AJ317" s="188"/>
      <c r="AK317" s="188"/>
      <c r="AL317" s="189"/>
      <c r="AM317" s="189"/>
      <c r="AN317" s="189"/>
      <c r="AO317" s="189"/>
      <c r="AP317" s="189"/>
      <c r="AQ317" s="189"/>
      <c r="AR317" s="189"/>
      <c r="AS317" s="189"/>
      <c r="AT317" s="189"/>
      <c r="AU317" s="190"/>
      <c r="AV317" s="190"/>
      <c r="AW317" s="190"/>
      <c r="AX317" s="190"/>
      <c r="AY317" s="190"/>
      <c r="AZ317" s="189"/>
      <c r="BA317" s="189"/>
      <c r="BB317" s="189"/>
      <c r="BC317" s="189"/>
      <c r="BD317" s="189"/>
      <c r="BE317" s="189"/>
      <c r="BF317" s="189"/>
      <c r="BG317" s="189"/>
      <c r="BH317" s="189"/>
      <c r="BI317" s="190"/>
      <c r="BJ317" s="190"/>
      <c r="BK317" s="190"/>
      <c r="BL317" s="190"/>
      <c r="BM317" s="190"/>
      <c r="BN317" s="191"/>
      <c r="BO317" s="191"/>
      <c r="BP317" s="191"/>
      <c r="BQ317" s="191"/>
      <c r="BR317" s="191"/>
      <c r="BS317" s="191"/>
      <c r="BT317" s="190"/>
      <c r="BU317" s="190"/>
      <c r="BV317" s="190"/>
      <c r="BW317" s="190"/>
      <c r="BX317" s="190"/>
      <c r="BY317" s="190"/>
      <c r="BZ317" s="190"/>
      <c r="CA317" s="189"/>
      <c r="CB317" s="15"/>
    </row>
    <row r="318" spans="1:80" ht="15" x14ac:dyDescent="0.25">
      <c r="A318" s="167"/>
      <c r="B318" s="642"/>
      <c r="C318" s="642"/>
      <c r="D318" s="179"/>
      <c r="E318" s="169"/>
      <c r="F318" s="169"/>
      <c r="G318" s="186"/>
      <c r="H318" s="187"/>
      <c r="I318" s="187"/>
      <c r="J318" s="187"/>
      <c r="K318" s="187"/>
      <c r="L318" s="647"/>
      <c r="M318" s="646">
        <v>33759</v>
      </c>
      <c r="N318" s="585">
        <v>0.71</v>
      </c>
      <c r="O318" s="585">
        <v>5.6999999999999998E-4</v>
      </c>
      <c r="P318" s="175">
        <v>0</v>
      </c>
      <c r="Q318" s="175">
        <v>0</v>
      </c>
      <c r="R318" s="175">
        <v>0</v>
      </c>
      <c r="S318" s="175">
        <v>0</v>
      </c>
      <c r="T318" s="175">
        <v>4.0000000000000003E-5</v>
      </c>
      <c r="U318" s="175">
        <v>1.2E-4</v>
      </c>
      <c r="V318" s="706">
        <v>4.0999999999999999E-4</v>
      </c>
      <c r="W318" s="717"/>
      <c r="X318" s="713"/>
      <c r="Y318" s="718"/>
      <c r="Z318" s="709">
        <v>0</v>
      </c>
      <c r="AA318" s="175"/>
      <c r="AB318" s="200"/>
      <c r="AC318" s="205">
        <v>1.0999999999999999E-2</v>
      </c>
      <c r="AD318" s="175">
        <v>6.55</v>
      </c>
      <c r="AE318" s="175">
        <v>0.17</v>
      </c>
      <c r="AF318" s="170">
        <f t="shared" si="6"/>
        <v>1.1135000000000002</v>
      </c>
      <c r="AG318" s="175">
        <v>0.62</v>
      </c>
      <c r="AH318" s="334"/>
      <c r="AI318" s="188"/>
      <c r="AJ318" s="188"/>
      <c r="AK318" s="188"/>
      <c r="AL318" s="189"/>
      <c r="AM318" s="189"/>
      <c r="AN318" s="189"/>
      <c r="AO318" s="189"/>
      <c r="AP318" s="189"/>
      <c r="AQ318" s="189"/>
      <c r="AR318" s="189"/>
      <c r="AS318" s="189"/>
      <c r="AT318" s="189"/>
      <c r="AU318" s="190"/>
      <c r="AV318" s="190"/>
      <c r="AW318" s="190"/>
      <c r="AX318" s="190"/>
      <c r="AY318" s="190"/>
      <c r="AZ318" s="189"/>
      <c r="BA318" s="189"/>
      <c r="BB318" s="189"/>
      <c r="BC318" s="189"/>
      <c r="BD318" s="189"/>
      <c r="BE318" s="189"/>
      <c r="BF318" s="189"/>
      <c r="BG318" s="189"/>
      <c r="BH318" s="189"/>
      <c r="BI318" s="190"/>
      <c r="BJ318" s="190"/>
      <c r="BK318" s="190"/>
      <c r="BL318" s="190"/>
      <c r="BM318" s="190"/>
      <c r="BN318" s="191"/>
      <c r="BO318" s="191"/>
      <c r="BP318" s="191"/>
      <c r="BQ318" s="191"/>
      <c r="BR318" s="191"/>
      <c r="BS318" s="191"/>
      <c r="BT318" s="190"/>
      <c r="BU318" s="190"/>
      <c r="BV318" s="190"/>
      <c r="BW318" s="190"/>
      <c r="BX318" s="190"/>
      <c r="BY318" s="190"/>
      <c r="BZ318" s="190"/>
      <c r="CA318" s="189"/>
      <c r="CB318" s="15"/>
    </row>
    <row r="319" spans="1:80" ht="15" x14ac:dyDescent="0.25">
      <c r="A319" s="167"/>
      <c r="B319" s="642"/>
      <c r="C319" s="642"/>
      <c r="D319" s="179"/>
      <c r="E319" s="169"/>
      <c r="F319" s="169"/>
      <c r="G319" s="186"/>
      <c r="H319" s="187"/>
      <c r="I319" s="187"/>
      <c r="J319" s="187"/>
      <c r="K319" s="187"/>
      <c r="L319" s="647"/>
      <c r="M319" s="646">
        <v>33761</v>
      </c>
      <c r="N319" s="585">
        <v>0.66</v>
      </c>
      <c r="O319" s="585">
        <v>2.9299999999999999E-3</v>
      </c>
      <c r="P319" s="175">
        <v>0</v>
      </c>
      <c r="Q319" s="175">
        <v>0</v>
      </c>
      <c r="R319" s="175">
        <v>0</v>
      </c>
      <c r="S319" s="175">
        <v>0</v>
      </c>
      <c r="T319" s="175">
        <v>2.0000000000000001E-4</v>
      </c>
      <c r="U319" s="175">
        <v>9.7999999999999997E-4</v>
      </c>
      <c r="V319" s="706">
        <v>1.75E-3</v>
      </c>
      <c r="W319" s="717"/>
      <c r="X319" s="713"/>
      <c r="Y319" s="718"/>
      <c r="Z319" s="709">
        <v>0</v>
      </c>
      <c r="AA319" s="175"/>
      <c r="AB319" s="200"/>
      <c r="AC319" s="205">
        <v>1.0999999999999999E-2</v>
      </c>
      <c r="AD319" s="175">
        <v>6.55</v>
      </c>
      <c r="AE319" s="175">
        <v>0.16</v>
      </c>
      <c r="AF319" s="170">
        <f t="shared" si="6"/>
        <v>1.048</v>
      </c>
      <c r="AG319" s="175">
        <v>0.61</v>
      </c>
      <c r="AH319" s="334"/>
      <c r="AI319" s="188"/>
      <c r="AJ319" s="188"/>
      <c r="AK319" s="188"/>
      <c r="AL319" s="189"/>
      <c r="AM319" s="189"/>
      <c r="AN319" s="189"/>
      <c r="AO319" s="189"/>
      <c r="AP319" s="189"/>
      <c r="AQ319" s="189"/>
      <c r="AR319" s="189"/>
      <c r="AS319" s="189"/>
      <c r="AT319" s="189"/>
      <c r="AU319" s="190"/>
      <c r="AV319" s="190"/>
      <c r="AW319" s="190"/>
      <c r="AX319" s="190"/>
      <c r="AY319" s="190"/>
      <c r="AZ319" s="189"/>
      <c r="BA319" s="189"/>
      <c r="BB319" s="189"/>
      <c r="BC319" s="189"/>
      <c r="BD319" s="189"/>
      <c r="BE319" s="189"/>
      <c r="BF319" s="189"/>
      <c r="BG319" s="189"/>
      <c r="BH319" s="189"/>
      <c r="BI319" s="190"/>
      <c r="BJ319" s="190"/>
      <c r="BK319" s="190"/>
      <c r="BL319" s="190"/>
      <c r="BM319" s="190"/>
      <c r="BN319" s="191"/>
      <c r="BO319" s="191"/>
      <c r="BP319" s="191"/>
      <c r="BQ319" s="191"/>
      <c r="BR319" s="191"/>
      <c r="BS319" s="191"/>
      <c r="BT319" s="190"/>
      <c r="BU319" s="190"/>
      <c r="BV319" s="190"/>
      <c r="BW319" s="190"/>
      <c r="BX319" s="190"/>
      <c r="BY319" s="190"/>
      <c r="BZ319" s="190"/>
      <c r="CA319" s="189"/>
      <c r="CB319" s="15"/>
    </row>
    <row r="320" spans="1:80" ht="15" x14ac:dyDescent="0.25">
      <c r="A320" s="167"/>
      <c r="B320" s="642"/>
      <c r="C320" s="642"/>
      <c r="D320" s="179"/>
      <c r="E320" s="169"/>
      <c r="F320" s="169"/>
      <c r="G320" s="186"/>
      <c r="H320" s="187"/>
      <c r="I320" s="187"/>
      <c r="J320" s="187"/>
      <c r="K320" s="187"/>
      <c r="L320" s="647"/>
      <c r="M320" s="646">
        <v>33761</v>
      </c>
      <c r="N320" s="585">
        <v>0.75</v>
      </c>
      <c r="O320" s="585">
        <v>2.8E-3</v>
      </c>
      <c r="P320" s="175">
        <v>0</v>
      </c>
      <c r="Q320" s="175">
        <v>0</v>
      </c>
      <c r="R320" s="175">
        <v>0</v>
      </c>
      <c r="S320" s="175">
        <v>0</v>
      </c>
      <c r="T320" s="175">
        <v>2.7E-4</v>
      </c>
      <c r="U320" s="175">
        <v>7.6999999999999996E-4</v>
      </c>
      <c r="V320" s="706">
        <v>1.7700000000000001E-3</v>
      </c>
      <c r="W320" s="717"/>
      <c r="X320" s="713"/>
      <c r="Y320" s="718"/>
      <c r="Z320" s="709">
        <v>0</v>
      </c>
      <c r="AA320" s="175"/>
      <c r="AB320" s="200"/>
      <c r="AC320" s="205">
        <v>1.0999999999999999E-2</v>
      </c>
      <c r="AD320" s="175">
        <v>6.55</v>
      </c>
      <c r="AE320" s="175">
        <v>0.18</v>
      </c>
      <c r="AF320" s="170">
        <f t="shared" si="6"/>
        <v>1.1789999999999998</v>
      </c>
      <c r="AG320" s="175">
        <v>0.63</v>
      </c>
      <c r="AH320" s="334"/>
      <c r="AI320" s="188"/>
      <c r="AJ320" s="188"/>
      <c r="AK320" s="188"/>
      <c r="AL320" s="189"/>
      <c r="AM320" s="189"/>
      <c r="AN320" s="189"/>
      <c r="AO320" s="189"/>
      <c r="AP320" s="189"/>
      <c r="AQ320" s="189"/>
      <c r="AR320" s="189"/>
      <c r="AS320" s="189"/>
      <c r="AT320" s="189"/>
      <c r="AU320" s="190"/>
      <c r="AV320" s="190"/>
      <c r="AW320" s="190"/>
      <c r="AX320" s="190"/>
      <c r="AY320" s="190"/>
      <c r="AZ320" s="189"/>
      <c r="BA320" s="189"/>
      <c r="BB320" s="189"/>
      <c r="BC320" s="189"/>
      <c r="BD320" s="189"/>
      <c r="BE320" s="189"/>
      <c r="BF320" s="189"/>
      <c r="BG320" s="189"/>
      <c r="BH320" s="189"/>
      <c r="BI320" s="190"/>
      <c r="BJ320" s="190"/>
      <c r="BK320" s="190"/>
      <c r="BL320" s="190"/>
      <c r="BM320" s="190"/>
      <c r="BN320" s="191"/>
      <c r="BO320" s="191"/>
      <c r="BP320" s="191"/>
      <c r="BQ320" s="191"/>
      <c r="BR320" s="191"/>
      <c r="BS320" s="191"/>
      <c r="BT320" s="190"/>
      <c r="BU320" s="190"/>
      <c r="BV320" s="190"/>
      <c r="BW320" s="190"/>
      <c r="BX320" s="190"/>
      <c r="BY320" s="190"/>
      <c r="BZ320" s="190"/>
      <c r="CA320" s="189"/>
      <c r="CB320" s="15"/>
    </row>
    <row r="321" spans="1:80" ht="15" x14ac:dyDescent="0.25">
      <c r="A321" s="167"/>
      <c r="B321" s="642"/>
      <c r="C321" s="642"/>
      <c r="D321" s="179"/>
      <c r="E321" s="169"/>
      <c r="F321" s="169"/>
      <c r="G321" s="186"/>
      <c r="H321" s="187"/>
      <c r="I321" s="187"/>
      <c r="J321" s="187"/>
      <c r="K321" s="187"/>
      <c r="L321" s="647"/>
      <c r="M321" s="646">
        <v>33762</v>
      </c>
      <c r="N321" s="585">
        <v>1.05</v>
      </c>
      <c r="O321" s="585">
        <v>1.192E-2</v>
      </c>
      <c r="P321" s="175">
        <v>0</v>
      </c>
      <c r="Q321" s="175">
        <v>0</v>
      </c>
      <c r="R321" s="175">
        <v>0</v>
      </c>
      <c r="S321" s="175">
        <v>4.4000000000000002E-4</v>
      </c>
      <c r="T321" s="175">
        <v>1.6800000000000001E-3</v>
      </c>
      <c r="U321" s="175">
        <v>3.1700000000000001E-3</v>
      </c>
      <c r="V321" s="706">
        <v>6.6400000000000001E-3</v>
      </c>
      <c r="W321" s="717"/>
      <c r="X321" s="713"/>
      <c r="Y321" s="718"/>
      <c r="Z321" s="709">
        <v>0</v>
      </c>
      <c r="AA321" s="175"/>
      <c r="AB321" s="200"/>
      <c r="AC321" s="205">
        <v>1.0999999999999999E-2</v>
      </c>
      <c r="AD321" s="175">
        <v>6.7</v>
      </c>
      <c r="AE321" s="175">
        <v>0.23</v>
      </c>
      <c r="AF321" s="170">
        <f t="shared" si="6"/>
        <v>1.5410000000000001</v>
      </c>
      <c r="AG321" s="175">
        <v>0.67</v>
      </c>
      <c r="AH321" s="334"/>
      <c r="AI321" s="188"/>
      <c r="AJ321" s="188"/>
      <c r="AK321" s="188"/>
      <c r="AL321" s="189"/>
      <c r="AM321" s="189"/>
      <c r="AN321" s="189"/>
      <c r="AO321" s="189"/>
      <c r="AP321" s="189"/>
      <c r="AQ321" s="189"/>
      <c r="AR321" s="189"/>
      <c r="AS321" s="189"/>
      <c r="AT321" s="189"/>
      <c r="AU321" s="190"/>
      <c r="AV321" s="190"/>
      <c r="AW321" s="190"/>
      <c r="AX321" s="190"/>
      <c r="AY321" s="190"/>
      <c r="AZ321" s="189"/>
      <c r="BA321" s="189"/>
      <c r="BB321" s="189"/>
      <c r="BC321" s="189"/>
      <c r="BD321" s="189"/>
      <c r="BE321" s="189"/>
      <c r="BF321" s="189"/>
      <c r="BG321" s="189"/>
      <c r="BH321" s="189"/>
      <c r="BI321" s="190"/>
      <c r="BJ321" s="190"/>
      <c r="BK321" s="190"/>
      <c r="BL321" s="190"/>
      <c r="BM321" s="190"/>
      <c r="BN321" s="191"/>
      <c r="BO321" s="191"/>
      <c r="BP321" s="191"/>
      <c r="BQ321" s="191"/>
      <c r="BR321" s="191"/>
      <c r="BS321" s="191"/>
      <c r="BT321" s="190"/>
      <c r="BU321" s="190"/>
      <c r="BV321" s="190"/>
      <c r="BW321" s="190"/>
      <c r="BX321" s="190"/>
      <c r="BY321" s="190"/>
      <c r="BZ321" s="190"/>
      <c r="CA321" s="189"/>
      <c r="CB321" s="15"/>
    </row>
    <row r="322" spans="1:80" ht="15" x14ac:dyDescent="0.25">
      <c r="A322" s="167"/>
      <c r="B322" s="642"/>
      <c r="C322" s="642"/>
      <c r="D322" s="179"/>
      <c r="E322" s="169"/>
      <c r="F322" s="169"/>
      <c r="G322" s="186"/>
      <c r="H322" s="187"/>
      <c r="I322" s="187"/>
      <c r="J322" s="187"/>
      <c r="K322" s="187"/>
      <c r="L322" s="647"/>
      <c r="M322" s="646">
        <v>33764</v>
      </c>
      <c r="N322" s="585">
        <v>1.53</v>
      </c>
      <c r="O322" s="585">
        <v>4.5500000000000002E-3</v>
      </c>
      <c r="P322" s="175">
        <v>0</v>
      </c>
      <c r="Q322" s="175">
        <v>0</v>
      </c>
      <c r="R322" s="175">
        <v>0</v>
      </c>
      <c r="S322" s="175">
        <v>6.9999999999999994E-5</v>
      </c>
      <c r="T322" s="175">
        <v>1.6000000000000001E-4</v>
      </c>
      <c r="U322" s="175">
        <v>8.4000000000000003E-4</v>
      </c>
      <c r="V322" s="706">
        <v>3.48E-3</v>
      </c>
      <c r="W322" s="717"/>
      <c r="X322" s="713"/>
      <c r="Y322" s="718"/>
      <c r="Z322" s="709">
        <v>0</v>
      </c>
      <c r="AA322" s="175"/>
      <c r="AB322" s="200"/>
      <c r="AC322" s="205">
        <v>1.0999999999999999E-2</v>
      </c>
      <c r="AD322" s="175">
        <v>6.7</v>
      </c>
      <c r="AE322" s="175">
        <v>0.25</v>
      </c>
      <c r="AF322" s="170">
        <f t="shared" si="6"/>
        <v>1.675</v>
      </c>
      <c r="AG322" s="175">
        <v>0.91</v>
      </c>
      <c r="AH322" s="334"/>
      <c r="AI322" s="188"/>
      <c r="AJ322" s="188"/>
      <c r="AK322" s="188"/>
      <c r="AL322" s="189"/>
      <c r="AM322" s="189"/>
      <c r="AN322" s="189"/>
      <c r="AO322" s="189"/>
      <c r="AP322" s="189"/>
      <c r="AQ322" s="189"/>
      <c r="AR322" s="189"/>
      <c r="AS322" s="189"/>
      <c r="AT322" s="189"/>
      <c r="AU322" s="190"/>
      <c r="AV322" s="190"/>
      <c r="AW322" s="190"/>
      <c r="AX322" s="190"/>
      <c r="AY322" s="190"/>
      <c r="AZ322" s="189"/>
      <c r="BA322" s="189"/>
      <c r="BB322" s="189"/>
      <c r="BC322" s="189"/>
      <c r="BD322" s="189"/>
      <c r="BE322" s="189"/>
      <c r="BF322" s="189"/>
      <c r="BG322" s="189"/>
      <c r="BH322" s="189"/>
      <c r="BI322" s="190"/>
      <c r="BJ322" s="190"/>
      <c r="BK322" s="190"/>
      <c r="BL322" s="190"/>
      <c r="BM322" s="190"/>
      <c r="BN322" s="191"/>
      <c r="BO322" s="191"/>
      <c r="BP322" s="191"/>
      <c r="BQ322" s="191"/>
      <c r="BR322" s="191"/>
      <c r="BS322" s="191"/>
      <c r="BT322" s="190"/>
      <c r="BU322" s="190"/>
      <c r="BV322" s="190"/>
      <c r="BW322" s="190"/>
      <c r="BX322" s="190"/>
      <c r="BY322" s="190"/>
      <c r="BZ322" s="190"/>
      <c r="CA322" s="189"/>
      <c r="CB322" s="15"/>
    </row>
    <row r="323" spans="1:80" ht="15" x14ac:dyDescent="0.25">
      <c r="A323" s="167"/>
      <c r="B323" s="642"/>
      <c r="C323" s="642"/>
      <c r="D323" s="179"/>
      <c r="E323" s="169"/>
      <c r="F323" s="169"/>
      <c r="G323" s="186"/>
      <c r="H323" s="187"/>
      <c r="I323" s="187"/>
      <c r="J323" s="187"/>
      <c r="K323" s="187"/>
      <c r="L323" s="647"/>
      <c r="M323" s="646">
        <v>33765</v>
      </c>
      <c r="N323" s="585">
        <v>1.63</v>
      </c>
      <c r="O323" s="585">
        <v>5.3200000000000001E-3</v>
      </c>
      <c r="P323" s="175">
        <v>0</v>
      </c>
      <c r="Q323" s="175">
        <v>0</v>
      </c>
      <c r="R323" s="175">
        <v>0</v>
      </c>
      <c r="S323" s="175">
        <v>2.4000000000000001E-4</v>
      </c>
      <c r="T323" s="175">
        <v>4.8999999999999998E-4</v>
      </c>
      <c r="U323" s="175">
        <v>5.4000000000000001E-4</v>
      </c>
      <c r="V323" s="706">
        <v>4.0499999999999998E-3</v>
      </c>
      <c r="W323" s="717"/>
      <c r="X323" s="713"/>
      <c r="Y323" s="718"/>
      <c r="Z323" s="709">
        <v>0</v>
      </c>
      <c r="AA323" s="175"/>
      <c r="AB323" s="200"/>
      <c r="AC323" s="205">
        <v>1.0999999999999999E-2</v>
      </c>
      <c r="AD323" s="175">
        <v>6.65</v>
      </c>
      <c r="AE323" s="175">
        <v>0.26</v>
      </c>
      <c r="AF323" s="170">
        <f t="shared" si="6"/>
        <v>1.7290000000000001</v>
      </c>
      <c r="AG323" s="175">
        <v>0.95</v>
      </c>
      <c r="AH323" s="334"/>
      <c r="AI323" s="188"/>
      <c r="AJ323" s="188"/>
      <c r="AK323" s="188"/>
      <c r="AL323" s="189"/>
      <c r="AM323" s="189"/>
      <c r="AN323" s="189"/>
      <c r="AO323" s="189"/>
      <c r="AP323" s="189"/>
      <c r="AQ323" s="189"/>
      <c r="AR323" s="189"/>
      <c r="AS323" s="189"/>
      <c r="AT323" s="189"/>
      <c r="AU323" s="190"/>
      <c r="AV323" s="190"/>
      <c r="AW323" s="190"/>
      <c r="AX323" s="190"/>
      <c r="AY323" s="190"/>
      <c r="AZ323" s="189"/>
      <c r="BA323" s="189"/>
      <c r="BB323" s="189"/>
      <c r="BC323" s="189"/>
      <c r="BD323" s="189"/>
      <c r="BE323" s="189"/>
      <c r="BF323" s="189"/>
      <c r="BG323" s="189"/>
      <c r="BH323" s="189"/>
      <c r="BI323" s="190"/>
      <c r="BJ323" s="190"/>
      <c r="BK323" s="190"/>
      <c r="BL323" s="190"/>
      <c r="BM323" s="190"/>
      <c r="BN323" s="191"/>
      <c r="BO323" s="191"/>
      <c r="BP323" s="191"/>
      <c r="BQ323" s="191"/>
      <c r="BR323" s="191"/>
      <c r="BS323" s="191"/>
      <c r="BT323" s="190"/>
      <c r="BU323" s="190"/>
      <c r="BV323" s="190"/>
      <c r="BW323" s="190"/>
      <c r="BX323" s="190"/>
      <c r="BY323" s="190"/>
      <c r="BZ323" s="190"/>
      <c r="CA323" s="189"/>
      <c r="CB323" s="15"/>
    </row>
    <row r="324" spans="1:80" ht="15" x14ac:dyDescent="0.25">
      <c r="A324" s="167"/>
      <c r="B324" s="642"/>
      <c r="C324" s="642"/>
      <c r="D324" s="179"/>
      <c r="E324" s="169"/>
      <c r="F324" s="169"/>
      <c r="G324" s="186"/>
      <c r="H324" s="187"/>
      <c r="I324" s="187"/>
      <c r="J324" s="187"/>
      <c r="K324" s="187"/>
      <c r="L324" s="647"/>
      <c r="M324" s="646">
        <v>33766</v>
      </c>
      <c r="N324" s="585">
        <v>1.82</v>
      </c>
      <c r="O324" s="585">
        <v>8.3199999999999993E-3</v>
      </c>
      <c r="P324" s="175">
        <v>0</v>
      </c>
      <c r="Q324" s="175">
        <v>0</v>
      </c>
      <c r="R324" s="175">
        <v>6.3000000000000003E-4</v>
      </c>
      <c r="S324" s="175">
        <v>2.7999999999999998E-4</v>
      </c>
      <c r="T324" s="175">
        <v>9.3000000000000005E-4</v>
      </c>
      <c r="U324" s="175">
        <v>1.2999999999999999E-3</v>
      </c>
      <c r="V324" s="706">
        <v>5.1900000000000002E-3</v>
      </c>
      <c r="W324" s="717"/>
      <c r="X324" s="713"/>
      <c r="Y324" s="718"/>
      <c r="Z324" s="709">
        <v>0</v>
      </c>
      <c r="AA324" s="175"/>
      <c r="AB324" s="200"/>
      <c r="AC324" s="205">
        <v>1.0999999999999999E-2</v>
      </c>
      <c r="AD324" s="175">
        <v>6.75</v>
      </c>
      <c r="AE324" s="175">
        <v>0.27</v>
      </c>
      <c r="AF324" s="170">
        <f t="shared" si="6"/>
        <v>1.8225000000000002</v>
      </c>
      <c r="AG324" s="175">
        <v>0.99</v>
      </c>
      <c r="AH324" s="334"/>
      <c r="AI324" s="188"/>
      <c r="AJ324" s="188"/>
      <c r="AK324" s="188"/>
      <c r="AL324" s="189"/>
      <c r="AM324" s="189"/>
      <c r="AN324" s="189"/>
      <c r="AO324" s="189"/>
      <c r="AP324" s="189"/>
      <c r="AQ324" s="189"/>
      <c r="AR324" s="189"/>
      <c r="AS324" s="189"/>
      <c r="AT324" s="189"/>
      <c r="AU324" s="190"/>
      <c r="AV324" s="190"/>
      <c r="AW324" s="190"/>
      <c r="AX324" s="190"/>
      <c r="AY324" s="190"/>
      <c r="AZ324" s="189"/>
      <c r="BA324" s="189"/>
      <c r="BB324" s="189"/>
      <c r="BC324" s="189"/>
      <c r="BD324" s="189"/>
      <c r="BE324" s="189"/>
      <c r="BF324" s="189"/>
      <c r="BG324" s="189"/>
      <c r="BH324" s="189"/>
      <c r="BI324" s="190"/>
      <c r="BJ324" s="190"/>
      <c r="BK324" s="190"/>
      <c r="BL324" s="190"/>
      <c r="BM324" s="190"/>
      <c r="BN324" s="191"/>
      <c r="BO324" s="191"/>
      <c r="BP324" s="191"/>
      <c r="BQ324" s="191"/>
      <c r="BR324" s="191"/>
      <c r="BS324" s="191"/>
      <c r="BT324" s="190"/>
      <c r="BU324" s="190"/>
      <c r="BV324" s="190"/>
      <c r="BW324" s="190"/>
      <c r="BX324" s="190"/>
      <c r="BY324" s="190"/>
      <c r="BZ324" s="190"/>
      <c r="CA324" s="189"/>
      <c r="CB324" s="15"/>
    </row>
    <row r="325" spans="1:80" ht="15" x14ac:dyDescent="0.25">
      <c r="A325" s="167"/>
      <c r="B325" s="642"/>
      <c r="C325" s="642"/>
      <c r="D325" s="179"/>
      <c r="E325" s="169"/>
      <c r="F325" s="169"/>
      <c r="G325" s="186"/>
      <c r="H325" s="187"/>
      <c r="I325" s="187"/>
      <c r="J325" s="187"/>
      <c r="K325" s="187"/>
      <c r="L325" s="647"/>
      <c r="M325" s="646">
        <v>33767</v>
      </c>
      <c r="N325" s="585">
        <v>2.59</v>
      </c>
      <c r="O325" s="585">
        <v>3.0089999999999999E-2</v>
      </c>
      <c r="P325" s="175">
        <v>0</v>
      </c>
      <c r="Q325" s="175">
        <v>0</v>
      </c>
      <c r="R325" s="175">
        <v>7.6999999999999996E-4</v>
      </c>
      <c r="S325" s="175">
        <v>3.0699999999999998E-3</v>
      </c>
      <c r="T325" s="175">
        <v>3.32E-3</v>
      </c>
      <c r="U325" s="175">
        <v>4.0499999999999998E-3</v>
      </c>
      <c r="V325" s="706">
        <v>1.8880000000000001E-2</v>
      </c>
      <c r="W325" s="717"/>
      <c r="X325" s="713"/>
      <c r="Y325" s="718"/>
      <c r="Z325" s="709">
        <v>0</v>
      </c>
      <c r="AA325" s="175"/>
      <c r="AB325" s="200"/>
      <c r="AC325" s="205">
        <v>1.0999999999999999E-2</v>
      </c>
      <c r="AD325" s="175">
        <v>7.15</v>
      </c>
      <c r="AE325" s="175">
        <v>0.31</v>
      </c>
      <c r="AF325" s="170">
        <f t="shared" si="6"/>
        <v>2.2164999999999999</v>
      </c>
      <c r="AG325" s="175">
        <v>1.1499999999999999</v>
      </c>
      <c r="AH325" s="334"/>
      <c r="AI325" s="188"/>
      <c r="AJ325" s="188"/>
      <c r="AK325" s="188"/>
      <c r="AL325" s="189"/>
      <c r="AM325" s="189"/>
      <c r="AN325" s="189"/>
      <c r="AO325" s="189"/>
      <c r="AP325" s="189"/>
      <c r="AQ325" s="189"/>
      <c r="AR325" s="189"/>
      <c r="AS325" s="189"/>
      <c r="AT325" s="189"/>
      <c r="AU325" s="190"/>
      <c r="AV325" s="190"/>
      <c r="AW325" s="190"/>
      <c r="AX325" s="190"/>
      <c r="AY325" s="190"/>
      <c r="AZ325" s="189"/>
      <c r="BA325" s="189"/>
      <c r="BB325" s="189"/>
      <c r="BC325" s="189"/>
      <c r="BD325" s="189"/>
      <c r="BE325" s="189"/>
      <c r="BF325" s="189"/>
      <c r="BG325" s="189"/>
      <c r="BH325" s="189"/>
      <c r="BI325" s="190"/>
      <c r="BJ325" s="190"/>
      <c r="BK325" s="190"/>
      <c r="BL325" s="190"/>
      <c r="BM325" s="190"/>
      <c r="BN325" s="191"/>
      <c r="BO325" s="191"/>
      <c r="BP325" s="191"/>
      <c r="BQ325" s="191"/>
      <c r="BR325" s="191"/>
      <c r="BS325" s="191"/>
      <c r="BT325" s="190"/>
      <c r="BU325" s="190"/>
      <c r="BV325" s="190"/>
      <c r="BW325" s="190"/>
      <c r="BX325" s="190"/>
      <c r="BY325" s="190"/>
      <c r="BZ325" s="190"/>
      <c r="CA325" s="189"/>
      <c r="CB325" s="15"/>
    </row>
    <row r="326" spans="1:80" ht="15" x14ac:dyDescent="0.25">
      <c r="A326" s="167"/>
      <c r="B326" s="642"/>
      <c r="C326" s="642"/>
      <c r="D326" s="179"/>
      <c r="E326" s="169"/>
      <c r="F326" s="169"/>
      <c r="G326" s="186"/>
      <c r="H326" s="187"/>
      <c r="I326" s="187"/>
      <c r="J326" s="187"/>
      <c r="K326" s="187"/>
      <c r="L326" s="647"/>
      <c r="M326" s="646">
        <v>33769</v>
      </c>
      <c r="N326" s="585">
        <v>2.5099999999999998</v>
      </c>
      <c r="O326" s="585">
        <v>6.7089999999999997E-2</v>
      </c>
      <c r="P326" s="175">
        <v>0</v>
      </c>
      <c r="Q326" s="175">
        <v>0</v>
      </c>
      <c r="R326" s="175">
        <v>2.5300000000000001E-3</v>
      </c>
      <c r="S326" s="175">
        <v>9.2599999999999991E-3</v>
      </c>
      <c r="T326" s="175">
        <v>1.393E-2</v>
      </c>
      <c r="U326" s="175">
        <v>1.6049999999999998E-2</v>
      </c>
      <c r="V326" s="706">
        <v>2.5319999999999999E-2</v>
      </c>
      <c r="W326" s="717"/>
      <c r="X326" s="713"/>
      <c r="Y326" s="718"/>
      <c r="Z326" s="709">
        <v>0</v>
      </c>
      <c r="AA326" s="175"/>
      <c r="AB326" s="200"/>
      <c r="AC326" s="205">
        <v>1.0999999999999999E-2</v>
      </c>
      <c r="AD326" s="175">
        <v>6.95</v>
      </c>
      <c r="AE326" s="175">
        <v>0.31</v>
      </c>
      <c r="AF326" s="170">
        <f t="shared" si="6"/>
        <v>2.1545000000000001</v>
      </c>
      <c r="AG326" s="175">
        <v>1.18</v>
      </c>
      <c r="AH326" s="334"/>
      <c r="AI326" s="188"/>
      <c r="AJ326" s="188"/>
      <c r="AK326" s="188"/>
      <c r="AL326" s="189"/>
      <c r="AM326" s="189"/>
      <c r="AN326" s="189"/>
      <c r="AO326" s="189"/>
      <c r="AP326" s="189"/>
      <c r="AQ326" s="189"/>
      <c r="AR326" s="189"/>
      <c r="AS326" s="189"/>
      <c r="AT326" s="189"/>
      <c r="AU326" s="190"/>
      <c r="AV326" s="190"/>
      <c r="AW326" s="190"/>
      <c r="AX326" s="190"/>
      <c r="AY326" s="190"/>
      <c r="AZ326" s="189"/>
      <c r="BA326" s="189"/>
      <c r="BB326" s="189"/>
      <c r="BC326" s="189"/>
      <c r="BD326" s="189"/>
      <c r="BE326" s="189"/>
      <c r="BF326" s="189"/>
      <c r="BG326" s="189"/>
      <c r="BH326" s="189"/>
      <c r="BI326" s="190"/>
      <c r="BJ326" s="190"/>
      <c r="BK326" s="190"/>
      <c r="BL326" s="190"/>
      <c r="BM326" s="190"/>
      <c r="BN326" s="191"/>
      <c r="BO326" s="191"/>
      <c r="BP326" s="191"/>
      <c r="BQ326" s="191"/>
      <c r="BR326" s="191"/>
      <c r="BS326" s="191"/>
      <c r="BT326" s="190"/>
      <c r="BU326" s="190"/>
      <c r="BV326" s="190"/>
      <c r="BW326" s="190"/>
      <c r="BX326" s="190"/>
      <c r="BY326" s="190"/>
      <c r="BZ326" s="190"/>
      <c r="CA326" s="189"/>
      <c r="CB326" s="15"/>
    </row>
    <row r="327" spans="1:80" ht="15" x14ac:dyDescent="0.25">
      <c r="A327" s="167"/>
      <c r="B327" s="642"/>
      <c r="C327" s="642"/>
      <c r="D327" s="179"/>
      <c r="E327" s="169"/>
      <c r="F327" s="169"/>
      <c r="G327" s="186"/>
      <c r="H327" s="187"/>
      <c r="I327" s="187"/>
      <c r="J327" s="187"/>
      <c r="K327" s="187"/>
      <c r="L327" s="647"/>
      <c r="M327" s="646">
        <v>33770</v>
      </c>
      <c r="N327" s="585">
        <v>2.2000000000000002</v>
      </c>
      <c r="O327" s="585">
        <v>4.7640000000000002E-2</v>
      </c>
      <c r="P327" s="175">
        <v>0</v>
      </c>
      <c r="Q327" s="175">
        <v>0</v>
      </c>
      <c r="R327" s="175">
        <v>2.1700000000000001E-3</v>
      </c>
      <c r="S327" s="175">
        <v>5.9300000000000004E-3</v>
      </c>
      <c r="T327" s="175">
        <v>8.7399999999999995E-3</v>
      </c>
      <c r="U327" s="175">
        <v>1.18E-2</v>
      </c>
      <c r="V327" s="706">
        <v>1.9019999999999999E-2</v>
      </c>
      <c r="W327" s="717"/>
      <c r="X327" s="713"/>
      <c r="Y327" s="718"/>
      <c r="Z327" s="709">
        <v>0</v>
      </c>
      <c r="AA327" s="175"/>
      <c r="AB327" s="200"/>
      <c r="AC327" s="205">
        <v>1.0999999999999999E-2</v>
      </c>
      <c r="AD327" s="175">
        <v>6.9</v>
      </c>
      <c r="AE327" s="175">
        <v>0.28000000000000003</v>
      </c>
      <c r="AF327" s="170">
        <f t="shared" si="6"/>
        <v>1.9320000000000004</v>
      </c>
      <c r="AG327" s="175">
        <v>1.1200000000000001</v>
      </c>
      <c r="AH327" s="334"/>
      <c r="AI327" s="188"/>
      <c r="AJ327" s="188"/>
      <c r="AK327" s="188"/>
      <c r="AL327" s="189"/>
      <c r="AM327" s="189"/>
      <c r="AN327" s="189"/>
      <c r="AO327" s="189"/>
      <c r="AP327" s="189"/>
      <c r="AQ327" s="189"/>
      <c r="AR327" s="189"/>
      <c r="AS327" s="189"/>
      <c r="AT327" s="189"/>
      <c r="AU327" s="190"/>
      <c r="AV327" s="190"/>
      <c r="AW327" s="190"/>
      <c r="AX327" s="190"/>
      <c r="AY327" s="190"/>
      <c r="AZ327" s="189"/>
      <c r="BA327" s="189"/>
      <c r="BB327" s="189"/>
      <c r="BC327" s="189"/>
      <c r="BD327" s="189"/>
      <c r="BE327" s="189"/>
      <c r="BF327" s="189"/>
      <c r="BG327" s="189"/>
      <c r="BH327" s="189"/>
      <c r="BI327" s="190"/>
      <c r="BJ327" s="190"/>
      <c r="BK327" s="190"/>
      <c r="BL327" s="190"/>
      <c r="BM327" s="190"/>
      <c r="BN327" s="191"/>
      <c r="BO327" s="191"/>
      <c r="BP327" s="191"/>
      <c r="BQ327" s="191"/>
      <c r="BR327" s="191"/>
      <c r="BS327" s="191"/>
      <c r="BT327" s="190"/>
      <c r="BU327" s="190"/>
      <c r="BV327" s="190"/>
      <c r="BW327" s="190"/>
      <c r="BX327" s="190"/>
      <c r="BY327" s="190"/>
      <c r="BZ327" s="190"/>
      <c r="CA327" s="189"/>
      <c r="CB327" s="15"/>
    </row>
    <row r="328" spans="1:80" ht="15" x14ac:dyDescent="0.25">
      <c r="A328" s="167"/>
      <c r="B328" s="642"/>
      <c r="C328" s="642"/>
      <c r="D328" s="179"/>
      <c r="E328" s="169"/>
      <c r="F328" s="169"/>
      <c r="G328" s="186"/>
      <c r="H328" s="187"/>
      <c r="I328" s="187"/>
      <c r="J328" s="187"/>
      <c r="K328" s="187"/>
      <c r="L328" s="647"/>
      <c r="M328" s="646">
        <v>33771</v>
      </c>
      <c r="N328" s="585">
        <v>1.93</v>
      </c>
      <c r="O328" s="585">
        <v>1.456E-2</v>
      </c>
      <c r="P328" s="175">
        <v>0</v>
      </c>
      <c r="Q328" s="175">
        <v>0</v>
      </c>
      <c r="R328" s="175">
        <v>0</v>
      </c>
      <c r="S328" s="175">
        <v>1.4E-3</v>
      </c>
      <c r="T328" s="175">
        <v>3.31E-3</v>
      </c>
      <c r="U328" s="175">
        <v>3.8700000000000002E-3</v>
      </c>
      <c r="V328" s="706">
        <v>5.9899999999999997E-3</v>
      </c>
      <c r="W328" s="717"/>
      <c r="X328" s="713"/>
      <c r="Y328" s="718"/>
      <c r="Z328" s="709">
        <v>0</v>
      </c>
      <c r="AA328" s="175"/>
      <c r="AB328" s="200"/>
      <c r="AC328" s="205">
        <v>1.0999999999999999E-2</v>
      </c>
      <c r="AD328" s="175">
        <v>6.95</v>
      </c>
      <c r="AE328" s="175">
        <v>0.27</v>
      </c>
      <c r="AF328" s="170">
        <f t="shared" si="6"/>
        <v>1.8765000000000003</v>
      </c>
      <c r="AG328" s="175">
        <v>1.02</v>
      </c>
      <c r="AH328" s="334"/>
      <c r="AI328" s="188"/>
      <c r="AJ328" s="188"/>
      <c r="AK328" s="188"/>
      <c r="AL328" s="189"/>
      <c r="AM328" s="189"/>
      <c r="AN328" s="189"/>
      <c r="AO328" s="189"/>
      <c r="AP328" s="189"/>
      <c r="AQ328" s="189"/>
      <c r="AR328" s="189"/>
      <c r="AS328" s="189"/>
      <c r="AT328" s="189"/>
      <c r="AU328" s="190"/>
      <c r="AV328" s="190"/>
      <c r="AW328" s="190"/>
      <c r="AX328" s="190"/>
      <c r="AY328" s="190"/>
      <c r="AZ328" s="189"/>
      <c r="BA328" s="189"/>
      <c r="BB328" s="189"/>
      <c r="BC328" s="189"/>
      <c r="BD328" s="189"/>
      <c r="BE328" s="189"/>
      <c r="BF328" s="189"/>
      <c r="BG328" s="189"/>
      <c r="BH328" s="189"/>
      <c r="BI328" s="190"/>
      <c r="BJ328" s="190"/>
      <c r="BK328" s="190"/>
      <c r="BL328" s="190"/>
      <c r="BM328" s="190"/>
      <c r="BN328" s="191"/>
      <c r="BO328" s="191"/>
      <c r="BP328" s="191"/>
      <c r="BQ328" s="191"/>
      <c r="BR328" s="191"/>
      <c r="BS328" s="191"/>
      <c r="BT328" s="190"/>
      <c r="BU328" s="190"/>
      <c r="BV328" s="190"/>
      <c r="BW328" s="190"/>
      <c r="BX328" s="190"/>
      <c r="BY328" s="190"/>
      <c r="BZ328" s="190"/>
      <c r="CA328" s="189"/>
      <c r="CB328" s="15"/>
    </row>
    <row r="329" spans="1:80" ht="15" x14ac:dyDescent="0.25">
      <c r="A329" s="167"/>
      <c r="B329" s="642"/>
      <c r="C329" s="642"/>
      <c r="D329" s="179"/>
      <c r="E329" s="169"/>
      <c r="F329" s="169"/>
      <c r="G329" s="186"/>
      <c r="H329" s="187"/>
      <c r="I329" s="187"/>
      <c r="J329" s="187"/>
      <c r="K329" s="187"/>
      <c r="L329" s="647"/>
      <c r="M329" s="646">
        <v>33772</v>
      </c>
      <c r="N329" s="585">
        <v>1.45</v>
      </c>
      <c r="O329" s="585">
        <v>1.8489999999999999E-2</v>
      </c>
      <c r="P329" s="175">
        <v>0</v>
      </c>
      <c r="Q329" s="175">
        <v>0</v>
      </c>
      <c r="R329" s="175">
        <v>7.1000000000000002E-4</v>
      </c>
      <c r="S329" s="175">
        <v>2.0300000000000001E-3</v>
      </c>
      <c r="T329" s="175">
        <v>2.7599999999999999E-3</v>
      </c>
      <c r="U329" s="175">
        <v>4.3699999999999998E-3</v>
      </c>
      <c r="V329" s="706">
        <v>8.6199999999999992E-3</v>
      </c>
      <c r="W329" s="717"/>
      <c r="X329" s="713"/>
      <c r="Y329" s="718"/>
      <c r="Z329" s="709">
        <v>0</v>
      </c>
      <c r="AA329" s="175"/>
      <c r="AB329" s="200"/>
      <c r="AC329" s="205">
        <v>1.0999999999999999E-2</v>
      </c>
      <c r="AD329" s="175">
        <v>6.8</v>
      </c>
      <c r="AE329" s="175">
        <v>0.24</v>
      </c>
      <c r="AF329" s="170">
        <f t="shared" si="6"/>
        <v>1.6319999999999999</v>
      </c>
      <c r="AG329" s="175">
        <v>0.9</v>
      </c>
      <c r="AH329" s="334"/>
      <c r="AI329" s="188"/>
      <c r="AJ329" s="188"/>
      <c r="AK329" s="188"/>
      <c r="AL329" s="189"/>
      <c r="AM329" s="189"/>
      <c r="AN329" s="189"/>
      <c r="AO329" s="189"/>
      <c r="AP329" s="189"/>
      <c r="AQ329" s="189"/>
      <c r="AR329" s="189"/>
      <c r="AS329" s="189"/>
      <c r="AT329" s="189"/>
      <c r="AU329" s="190"/>
      <c r="AV329" s="190"/>
      <c r="AW329" s="190"/>
      <c r="AX329" s="190"/>
      <c r="AY329" s="190"/>
      <c r="AZ329" s="189"/>
      <c r="BA329" s="189"/>
      <c r="BB329" s="189"/>
      <c r="BC329" s="189"/>
      <c r="BD329" s="189"/>
      <c r="BE329" s="189"/>
      <c r="BF329" s="189"/>
      <c r="BG329" s="189"/>
      <c r="BH329" s="189"/>
      <c r="BI329" s="190"/>
      <c r="BJ329" s="190"/>
      <c r="BK329" s="190"/>
      <c r="BL329" s="190"/>
      <c r="BM329" s="190"/>
      <c r="BN329" s="191"/>
      <c r="BO329" s="191"/>
      <c r="BP329" s="191"/>
      <c r="BQ329" s="191"/>
      <c r="BR329" s="191"/>
      <c r="BS329" s="191"/>
      <c r="BT329" s="190"/>
      <c r="BU329" s="190"/>
      <c r="BV329" s="190"/>
      <c r="BW329" s="190"/>
      <c r="BX329" s="190"/>
      <c r="BY329" s="190"/>
      <c r="BZ329" s="190"/>
      <c r="CA329" s="189"/>
      <c r="CB329" s="15"/>
    </row>
    <row r="330" spans="1:80" ht="15" x14ac:dyDescent="0.25">
      <c r="A330" s="167"/>
      <c r="B330" s="642"/>
      <c r="C330" s="642"/>
      <c r="D330" s="179"/>
      <c r="E330" s="169"/>
      <c r="F330" s="169"/>
      <c r="G330" s="186"/>
      <c r="H330" s="187"/>
      <c r="I330" s="187"/>
      <c r="J330" s="187"/>
      <c r="K330" s="187"/>
      <c r="L330" s="647"/>
      <c r="M330" s="646">
        <v>33773</v>
      </c>
      <c r="N330" s="585">
        <v>1.1000000000000001</v>
      </c>
      <c r="O330" s="585">
        <v>9.8700000000000003E-3</v>
      </c>
      <c r="P330" s="175">
        <v>0</v>
      </c>
      <c r="Q330" s="175">
        <v>0</v>
      </c>
      <c r="R330" s="175">
        <v>4.6999999999999999E-4</v>
      </c>
      <c r="S330" s="175">
        <v>4.6000000000000001E-4</v>
      </c>
      <c r="T330" s="175">
        <v>1.3799999999999999E-3</v>
      </c>
      <c r="U330" s="175">
        <v>2.97E-3</v>
      </c>
      <c r="V330" s="706">
        <v>4.5999999999999999E-3</v>
      </c>
      <c r="W330" s="717"/>
      <c r="X330" s="713"/>
      <c r="Y330" s="718"/>
      <c r="Z330" s="709">
        <v>0</v>
      </c>
      <c r="AA330" s="175"/>
      <c r="AB330" s="200"/>
      <c r="AC330" s="205">
        <v>1.0999999999999999E-2</v>
      </c>
      <c r="AD330" s="175">
        <v>6.55</v>
      </c>
      <c r="AE330" s="175">
        <v>0.22</v>
      </c>
      <c r="AF330" s="170">
        <f t="shared" si="6"/>
        <v>1.4410000000000001</v>
      </c>
      <c r="AG330" s="175">
        <v>0.76</v>
      </c>
      <c r="AH330" s="334"/>
      <c r="AI330" s="188"/>
      <c r="AJ330" s="188"/>
      <c r="AK330" s="188"/>
      <c r="AL330" s="189"/>
      <c r="AM330" s="189"/>
      <c r="AN330" s="189"/>
      <c r="AO330" s="189"/>
      <c r="AP330" s="189"/>
      <c r="AQ330" s="189"/>
      <c r="AR330" s="189"/>
      <c r="AS330" s="189"/>
      <c r="AT330" s="189"/>
      <c r="AU330" s="190"/>
      <c r="AV330" s="190"/>
      <c r="AW330" s="190"/>
      <c r="AX330" s="190"/>
      <c r="AY330" s="190"/>
      <c r="AZ330" s="189"/>
      <c r="BA330" s="189"/>
      <c r="BB330" s="189"/>
      <c r="BC330" s="189"/>
      <c r="BD330" s="189"/>
      <c r="BE330" s="189"/>
      <c r="BF330" s="189"/>
      <c r="BG330" s="189"/>
      <c r="BH330" s="189"/>
      <c r="BI330" s="190"/>
      <c r="BJ330" s="190"/>
      <c r="BK330" s="190"/>
      <c r="BL330" s="190"/>
      <c r="BM330" s="190"/>
      <c r="BN330" s="191"/>
      <c r="BO330" s="191"/>
      <c r="BP330" s="191"/>
      <c r="BQ330" s="191"/>
      <c r="BR330" s="191"/>
      <c r="BS330" s="191"/>
      <c r="BT330" s="190"/>
      <c r="BU330" s="190"/>
      <c r="BV330" s="190"/>
      <c r="BW330" s="190"/>
      <c r="BX330" s="190"/>
      <c r="BY330" s="190"/>
      <c r="BZ330" s="190"/>
      <c r="CA330" s="189"/>
      <c r="CB330" s="15"/>
    </row>
    <row r="331" spans="1:80" ht="15" x14ac:dyDescent="0.25">
      <c r="A331" s="167"/>
      <c r="B331" s="642"/>
      <c r="C331" s="642"/>
      <c r="D331" s="179"/>
      <c r="E331" s="169"/>
      <c r="F331" s="169"/>
      <c r="G331" s="186"/>
      <c r="H331" s="187"/>
      <c r="I331" s="187"/>
      <c r="J331" s="187"/>
      <c r="K331" s="187"/>
      <c r="L331" s="647"/>
      <c r="M331" s="646">
        <v>33774</v>
      </c>
      <c r="N331" s="585">
        <v>1.56</v>
      </c>
      <c r="O331" s="585">
        <v>1.2899999999999999E-3</v>
      </c>
      <c r="P331" s="175">
        <v>0</v>
      </c>
      <c r="Q331" s="175">
        <v>0</v>
      </c>
      <c r="R331" s="175">
        <v>0</v>
      </c>
      <c r="S331" s="175">
        <v>9.0000000000000006E-5</v>
      </c>
      <c r="T331" s="175">
        <v>1.7000000000000001E-4</v>
      </c>
      <c r="U331" s="175">
        <v>4.0999999999999999E-4</v>
      </c>
      <c r="V331" s="706">
        <v>6.2E-4</v>
      </c>
      <c r="W331" s="717"/>
      <c r="X331" s="713"/>
      <c r="Y331" s="718"/>
      <c r="Z331" s="709">
        <v>0</v>
      </c>
      <c r="AA331" s="175"/>
      <c r="AB331" s="200"/>
      <c r="AC331" s="205">
        <v>1.0999999999999999E-2</v>
      </c>
      <c r="AD331" s="175">
        <v>6.75</v>
      </c>
      <c r="AE331" s="175">
        <v>0.24</v>
      </c>
      <c r="AF331" s="170">
        <f t="shared" si="6"/>
        <v>1.6199999999999999</v>
      </c>
      <c r="AG331" s="175">
        <v>0.97</v>
      </c>
      <c r="AH331" s="334"/>
      <c r="AI331" s="188"/>
      <c r="AJ331" s="188"/>
      <c r="AK331" s="188"/>
      <c r="AL331" s="189"/>
      <c r="AM331" s="189"/>
      <c r="AN331" s="189"/>
      <c r="AO331" s="189"/>
      <c r="AP331" s="189"/>
      <c r="AQ331" s="189"/>
      <c r="AR331" s="189"/>
      <c r="AS331" s="189"/>
      <c r="AT331" s="189"/>
      <c r="AU331" s="190"/>
      <c r="AV331" s="190"/>
      <c r="AW331" s="190"/>
      <c r="AX331" s="190"/>
      <c r="AY331" s="190"/>
      <c r="AZ331" s="189"/>
      <c r="BA331" s="189"/>
      <c r="BB331" s="189"/>
      <c r="BC331" s="189"/>
      <c r="BD331" s="189"/>
      <c r="BE331" s="189"/>
      <c r="BF331" s="189"/>
      <c r="BG331" s="189"/>
      <c r="BH331" s="189"/>
      <c r="BI331" s="190"/>
      <c r="BJ331" s="190"/>
      <c r="BK331" s="190"/>
      <c r="BL331" s="190"/>
      <c r="BM331" s="190"/>
      <c r="BN331" s="191"/>
      <c r="BO331" s="191"/>
      <c r="BP331" s="191"/>
      <c r="BQ331" s="191"/>
      <c r="BR331" s="191"/>
      <c r="BS331" s="191"/>
      <c r="BT331" s="190"/>
      <c r="BU331" s="190"/>
      <c r="BV331" s="190"/>
      <c r="BW331" s="190"/>
      <c r="BX331" s="190"/>
      <c r="BY331" s="190"/>
      <c r="BZ331" s="190"/>
      <c r="CA331" s="189"/>
      <c r="CB331" s="15"/>
    </row>
    <row r="332" spans="1:80" ht="15" x14ac:dyDescent="0.25">
      <c r="A332" s="167"/>
      <c r="B332" s="642"/>
      <c r="C332" s="642"/>
      <c r="D332" s="179"/>
      <c r="E332" s="169"/>
      <c r="F332" s="169"/>
      <c r="G332" s="186"/>
      <c r="H332" s="187"/>
      <c r="I332" s="187"/>
      <c r="J332" s="187"/>
      <c r="K332" s="187"/>
      <c r="L332" s="647"/>
      <c r="M332" s="646">
        <v>33778</v>
      </c>
      <c r="N332" s="585">
        <v>1.58</v>
      </c>
      <c r="O332" s="585">
        <v>3.3700000000000002E-3</v>
      </c>
      <c r="P332" s="175">
        <v>0</v>
      </c>
      <c r="Q332" s="175">
        <v>0</v>
      </c>
      <c r="R332" s="175">
        <v>8.3000000000000001E-4</v>
      </c>
      <c r="S332" s="175">
        <v>9.0000000000000006E-5</v>
      </c>
      <c r="T332" s="175">
        <v>3.5E-4</v>
      </c>
      <c r="U332" s="175">
        <v>5.1000000000000004E-4</v>
      </c>
      <c r="V332" s="706">
        <v>1.58E-3</v>
      </c>
      <c r="W332" s="717"/>
      <c r="X332" s="713"/>
      <c r="Y332" s="718"/>
      <c r="Z332" s="709">
        <v>0</v>
      </c>
      <c r="AA332" s="175"/>
      <c r="AB332" s="200"/>
      <c r="AC332" s="205">
        <v>1.0999999999999999E-2</v>
      </c>
      <c r="AD332" s="175">
        <v>6.6</v>
      </c>
      <c r="AE332" s="175">
        <v>0.26</v>
      </c>
      <c r="AF332" s="170">
        <f t="shared" si="6"/>
        <v>1.716</v>
      </c>
      <c r="AG332" s="175">
        <v>0.92</v>
      </c>
      <c r="AH332" s="334"/>
      <c r="AI332" s="188"/>
      <c r="AJ332" s="188"/>
      <c r="AK332" s="188"/>
      <c r="AL332" s="189"/>
      <c r="AM332" s="189"/>
      <c r="AN332" s="189"/>
      <c r="AO332" s="189"/>
      <c r="AP332" s="189"/>
      <c r="AQ332" s="189"/>
      <c r="AR332" s="189"/>
      <c r="AS332" s="189"/>
      <c r="AT332" s="189"/>
      <c r="AU332" s="190"/>
      <c r="AV332" s="190"/>
      <c r="AW332" s="190"/>
      <c r="AX332" s="190"/>
      <c r="AY332" s="190"/>
      <c r="AZ332" s="189"/>
      <c r="BA332" s="189"/>
      <c r="BB332" s="189"/>
      <c r="BC332" s="189"/>
      <c r="BD332" s="189"/>
      <c r="BE332" s="189"/>
      <c r="BF332" s="189"/>
      <c r="BG332" s="189"/>
      <c r="BH332" s="189"/>
      <c r="BI332" s="190"/>
      <c r="BJ332" s="190"/>
      <c r="BK332" s="190"/>
      <c r="BL332" s="190"/>
      <c r="BM332" s="190"/>
      <c r="BN332" s="191"/>
      <c r="BO332" s="191"/>
      <c r="BP332" s="191"/>
      <c r="BQ332" s="191"/>
      <c r="BR332" s="191"/>
      <c r="BS332" s="191"/>
      <c r="BT332" s="190"/>
      <c r="BU332" s="190"/>
      <c r="BV332" s="190"/>
      <c r="BW332" s="190"/>
      <c r="BX332" s="190"/>
      <c r="BY332" s="190"/>
      <c r="BZ332" s="190"/>
      <c r="CA332" s="189"/>
      <c r="CB332" s="15"/>
    </row>
    <row r="333" spans="1:80" ht="15" x14ac:dyDescent="0.25">
      <c r="A333" s="167"/>
      <c r="B333" s="642"/>
      <c r="C333" s="642"/>
      <c r="D333" s="179"/>
      <c r="E333" s="169"/>
      <c r="F333" s="169"/>
      <c r="G333" s="186"/>
      <c r="H333" s="187"/>
      <c r="I333" s="187"/>
      <c r="J333" s="187"/>
      <c r="K333" s="187"/>
      <c r="L333" s="647"/>
      <c r="M333" s="646">
        <v>33793</v>
      </c>
      <c r="N333" s="585">
        <v>1.23</v>
      </c>
      <c r="O333" s="585">
        <v>1.374E-2</v>
      </c>
      <c r="P333" s="175">
        <v>0</v>
      </c>
      <c r="Q333" s="175">
        <v>0</v>
      </c>
      <c r="R333" s="175">
        <v>8.0000000000000004E-4</v>
      </c>
      <c r="S333" s="175">
        <v>3.8899999999999998E-3</v>
      </c>
      <c r="T333" s="175">
        <v>2.4199999999999998E-3</v>
      </c>
      <c r="U333" s="175">
        <v>2.66E-3</v>
      </c>
      <c r="V333" s="706">
        <v>3.98E-3</v>
      </c>
      <c r="W333" s="717"/>
      <c r="X333" s="713"/>
      <c r="Y333" s="718"/>
      <c r="Z333" s="709">
        <v>0</v>
      </c>
      <c r="AA333" s="175"/>
      <c r="AB333" s="200"/>
      <c r="AC333" s="205">
        <v>1.0999999999999999E-2</v>
      </c>
      <c r="AD333" s="175">
        <v>6.6</v>
      </c>
      <c r="AE333" s="175">
        <v>0.22</v>
      </c>
      <c r="AF333" s="170">
        <f t="shared" si="6"/>
        <v>1.452</v>
      </c>
      <c r="AG333" s="175">
        <v>0.84</v>
      </c>
      <c r="AH333" s="334"/>
      <c r="AI333" s="188"/>
      <c r="AJ333" s="188"/>
      <c r="AK333" s="188"/>
      <c r="AL333" s="189"/>
      <c r="AM333" s="189"/>
      <c r="AN333" s="189"/>
      <c r="AO333" s="189"/>
      <c r="AP333" s="189"/>
      <c r="AQ333" s="189"/>
      <c r="AR333" s="189"/>
      <c r="AS333" s="189"/>
      <c r="AT333" s="189"/>
      <c r="AU333" s="190"/>
      <c r="AV333" s="190"/>
      <c r="AW333" s="190"/>
      <c r="AX333" s="190"/>
      <c r="AY333" s="190"/>
      <c r="AZ333" s="189"/>
      <c r="BA333" s="189"/>
      <c r="BB333" s="189"/>
      <c r="BC333" s="189"/>
      <c r="BD333" s="189"/>
      <c r="BE333" s="189"/>
      <c r="BF333" s="189"/>
      <c r="BG333" s="189"/>
      <c r="BH333" s="189"/>
      <c r="BI333" s="190"/>
      <c r="BJ333" s="190"/>
      <c r="BK333" s="190"/>
      <c r="BL333" s="190"/>
      <c r="BM333" s="190"/>
      <c r="BN333" s="191"/>
      <c r="BO333" s="191"/>
      <c r="BP333" s="191"/>
      <c r="BQ333" s="191"/>
      <c r="BR333" s="191"/>
      <c r="BS333" s="191"/>
      <c r="BT333" s="190"/>
      <c r="BU333" s="190"/>
      <c r="BV333" s="190"/>
      <c r="BW333" s="190"/>
      <c r="BX333" s="190"/>
      <c r="BY333" s="190"/>
      <c r="BZ333" s="190"/>
      <c r="CA333" s="189"/>
      <c r="CB333" s="15"/>
    </row>
    <row r="334" spans="1:80" ht="15" x14ac:dyDescent="0.25">
      <c r="A334" s="167"/>
      <c r="B334" s="642"/>
      <c r="C334" s="642"/>
      <c r="D334" s="179"/>
      <c r="E334" s="169"/>
      <c r="F334" s="169"/>
      <c r="G334" s="186"/>
      <c r="H334" s="187"/>
      <c r="I334" s="187"/>
      <c r="J334" s="187"/>
      <c r="K334" s="187"/>
      <c r="L334" s="647"/>
      <c r="M334" s="646">
        <v>33799</v>
      </c>
      <c r="N334" s="585">
        <v>0.54</v>
      </c>
      <c r="O334" s="585">
        <v>8.0000000000000007E-5</v>
      </c>
      <c r="P334" s="175">
        <v>0</v>
      </c>
      <c r="Q334" s="175">
        <v>0</v>
      </c>
      <c r="R334" s="175">
        <v>0</v>
      </c>
      <c r="S334" s="175">
        <v>0</v>
      </c>
      <c r="T334" s="175">
        <v>0</v>
      </c>
      <c r="U334" s="175">
        <v>1.0000000000000001E-5</v>
      </c>
      <c r="V334" s="706">
        <v>6.9999999999999994E-5</v>
      </c>
      <c r="W334" s="717"/>
      <c r="X334" s="713"/>
      <c r="Y334" s="718"/>
      <c r="Z334" s="709">
        <v>0</v>
      </c>
      <c r="AA334" s="175"/>
      <c r="AB334" s="200"/>
      <c r="AC334" s="205">
        <v>1.0999999999999999E-2</v>
      </c>
      <c r="AD334" s="175">
        <v>6.55</v>
      </c>
      <c r="AE334" s="175">
        <v>0.14000000000000001</v>
      </c>
      <c r="AF334" s="170">
        <f t="shared" si="6"/>
        <v>0.91700000000000004</v>
      </c>
      <c r="AG334" s="175">
        <v>0.57999999999999996</v>
      </c>
      <c r="AH334" s="334"/>
      <c r="AI334" s="188"/>
      <c r="AJ334" s="188"/>
      <c r="AK334" s="188"/>
      <c r="AL334" s="189"/>
      <c r="AM334" s="189"/>
      <c r="AN334" s="189"/>
      <c r="AO334" s="189"/>
      <c r="AP334" s="189"/>
      <c r="AQ334" s="189"/>
      <c r="AR334" s="189"/>
      <c r="AS334" s="189"/>
      <c r="AT334" s="189"/>
      <c r="AU334" s="190"/>
      <c r="AV334" s="190"/>
      <c r="AW334" s="190"/>
      <c r="AX334" s="190"/>
      <c r="AY334" s="190"/>
      <c r="AZ334" s="189"/>
      <c r="BA334" s="189"/>
      <c r="BB334" s="189"/>
      <c r="BC334" s="189"/>
      <c r="BD334" s="189"/>
      <c r="BE334" s="189"/>
      <c r="BF334" s="189"/>
      <c r="BG334" s="189"/>
      <c r="BH334" s="189"/>
      <c r="BI334" s="190"/>
      <c r="BJ334" s="190"/>
      <c r="BK334" s="190"/>
      <c r="BL334" s="190"/>
      <c r="BM334" s="190"/>
      <c r="BN334" s="191"/>
      <c r="BO334" s="191"/>
      <c r="BP334" s="191"/>
      <c r="BQ334" s="191"/>
      <c r="BR334" s="191"/>
      <c r="BS334" s="191"/>
      <c r="BT334" s="190"/>
      <c r="BU334" s="190"/>
      <c r="BV334" s="190"/>
      <c r="BW334" s="190"/>
      <c r="BX334" s="190"/>
      <c r="BY334" s="190"/>
      <c r="BZ334" s="190"/>
      <c r="CA334" s="189"/>
      <c r="CB334" s="15"/>
    </row>
    <row r="335" spans="1:80" ht="15" x14ac:dyDescent="0.25">
      <c r="A335" s="167"/>
      <c r="B335" s="642"/>
      <c r="C335" s="642"/>
      <c r="D335" s="179"/>
      <c r="E335" s="169"/>
      <c r="F335" s="169"/>
      <c r="G335" s="186"/>
      <c r="H335" s="187"/>
      <c r="I335" s="187"/>
      <c r="J335" s="187"/>
      <c r="K335" s="187"/>
      <c r="L335" s="647"/>
      <c r="M335" s="646">
        <v>34114</v>
      </c>
      <c r="N335" s="585">
        <v>1.68</v>
      </c>
      <c r="O335" s="585">
        <v>3.0300000000000001E-3</v>
      </c>
      <c r="P335" s="175">
        <v>0</v>
      </c>
      <c r="Q335" s="175">
        <v>0</v>
      </c>
      <c r="R335" s="175">
        <v>0</v>
      </c>
      <c r="S335" s="175">
        <v>2.7999999999999998E-4</v>
      </c>
      <c r="T335" s="175">
        <v>1.3999999999999999E-4</v>
      </c>
      <c r="U335" s="175">
        <v>5.5000000000000003E-4</v>
      </c>
      <c r="V335" s="706">
        <v>2.0600000000000002E-3</v>
      </c>
      <c r="W335" s="717"/>
      <c r="X335" s="713"/>
      <c r="Y335" s="718"/>
      <c r="Z335" s="709">
        <v>0</v>
      </c>
      <c r="AA335" s="175"/>
      <c r="AB335" s="200"/>
      <c r="AC335" s="205">
        <v>0.01</v>
      </c>
      <c r="AD335" s="175">
        <v>6.9</v>
      </c>
      <c r="AE335" s="175">
        <v>0.3</v>
      </c>
      <c r="AF335" s="170">
        <f t="shared" si="6"/>
        <v>2.0699999999999998</v>
      </c>
      <c r="AG335" s="175">
        <v>0.82</v>
      </c>
      <c r="AH335" s="334"/>
      <c r="AI335" s="188"/>
      <c r="AJ335" s="188"/>
      <c r="AK335" s="188"/>
      <c r="AL335" s="189"/>
      <c r="AM335" s="189"/>
      <c r="AN335" s="189"/>
      <c r="AO335" s="189"/>
      <c r="AP335" s="189"/>
      <c r="AQ335" s="189"/>
      <c r="AR335" s="189"/>
      <c r="AS335" s="189"/>
      <c r="AT335" s="189"/>
      <c r="AU335" s="190"/>
      <c r="AV335" s="190"/>
      <c r="AW335" s="190"/>
      <c r="AX335" s="190"/>
      <c r="AY335" s="190"/>
      <c r="AZ335" s="189"/>
      <c r="BA335" s="189"/>
      <c r="BB335" s="189"/>
      <c r="BC335" s="189"/>
      <c r="BD335" s="189"/>
      <c r="BE335" s="189"/>
      <c r="BF335" s="189"/>
      <c r="BG335" s="189"/>
      <c r="BH335" s="189"/>
      <c r="BI335" s="190"/>
      <c r="BJ335" s="190"/>
      <c r="BK335" s="190"/>
      <c r="BL335" s="190"/>
      <c r="BM335" s="190"/>
      <c r="BN335" s="191"/>
      <c r="BO335" s="191"/>
      <c r="BP335" s="191"/>
      <c r="BQ335" s="191"/>
      <c r="BR335" s="191"/>
      <c r="BS335" s="191"/>
      <c r="BT335" s="190"/>
      <c r="BU335" s="190"/>
      <c r="BV335" s="190"/>
      <c r="BW335" s="190"/>
      <c r="BX335" s="190"/>
      <c r="BY335" s="190"/>
      <c r="BZ335" s="190"/>
      <c r="CA335" s="189"/>
      <c r="CB335" s="15"/>
    </row>
    <row r="336" spans="1:80" ht="15" x14ac:dyDescent="0.25">
      <c r="A336" s="167"/>
      <c r="B336" s="642"/>
      <c r="C336" s="642"/>
      <c r="D336" s="179"/>
      <c r="E336" s="169"/>
      <c r="F336" s="169"/>
      <c r="G336" s="186"/>
      <c r="H336" s="187"/>
      <c r="I336" s="187"/>
      <c r="J336" s="187"/>
      <c r="K336" s="187"/>
      <c r="L336" s="647"/>
      <c r="M336" s="646">
        <v>34116</v>
      </c>
      <c r="N336" s="585">
        <v>2.1800000000000002</v>
      </c>
      <c r="O336" s="585">
        <v>1.451E-2</v>
      </c>
      <c r="P336" s="175">
        <v>0</v>
      </c>
      <c r="Q336" s="175">
        <v>0</v>
      </c>
      <c r="R336" s="175">
        <v>0</v>
      </c>
      <c r="S336" s="175">
        <v>9.2000000000000003E-4</v>
      </c>
      <c r="T336" s="175">
        <v>1.9300000000000001E-3</v>
      </c>
      <c r="U336" s="175">
        <v>3.1700000000000001E-3</v>
      </c>
      <c r="V336" s="706">
        <v>8.4799999999999997E-3</v>
      </c>
      <c r="W336" s="717"/>
      <c r="X336" s="713"/>
      <c r="Y336" s="718"/>
      <c r="Z336" s="709">
        <v>0</v>
      </c>
      <c r="AA336" s="175"/>
      <c r="AB336" s="200"/>
      <c r="AC336" s="205">
        <v>1.0999999999999999E-2</v>
      </c>
      <c r="AD336" s="175">
        <v>6.9</v>
      </c>
      <c r="AE336" s="175">
        <v>0.33</v>
      </c>
      <c r="AF336" s="170">
        <f t="shared" si="6"/>
        <v>2.2770000000000001</v>
      </c>
      <c r="AG336" s="175">
        <v>0.95</v>
      </c>
      <c r="AH336" s="334"/>
      <c r="AI336" s="188"/>
      <c r="AJ336" s="188"/>
      <c r="AK336" s="188"/>
      <c r="AL336" s="189"/>
      <c r="AM336" s="189"/>
      <c r="AN336" s="189"/>
      <c r="AO336" s="189"/>
      <c r="AP336" s="189"/>
      <c r="AQ336" s="189"/>
      <c r="AR336" s="189"/>
      <c r="AS336" s="189"/>
      <c r="AT336" s="189"/>
      <c r="AU336" s="190"/>
      <c r="AV336" s="190"/>
      <c r="AW336" s="190"/>
      <c r="AX336" s="190"/>
      <c r="AY336" s="190"/>
      <c r="AZ336" s="189"/>
      <c r="BA336" s="189"/>
      <c r="BB336" s="189"/>
      <c r="BC336" s="189"/>
      <c r="BD336" s="189"/>
      <c r="BE336" s="189"/>
      <c r="BF336" s="189"/>
      <c r="BG336" s="189"/>
      <c r="BH336" s="189"/>
      <c r="BI336" s="190"/>
      <c r="BJ336" s="190"/>
      <c r="BK336" s="190"/>
      <c r="BL336" s="190"/>
      <c r="BM336" s="190"/>
      <c r="BN336" s="191"/>
      <c r="BO336" s="191"/>
      <c r="BP336" s="191"/>
      <c r="BQ336" s="191"/>
      <c r="BR336" s="191"/>
      <c r="BS336" s="191"/>
      <c r="BT336" s="190"/>
      <c r="BU336" s="190"/>
      <c r="BV336" s="190"/>
      <c r="BW336" s="190"/>
      <c r="BX336" s="190"/>
      <c r="BY336" s="190"/>
      <c r="BZ336" s="190"/>
      <c r="CA336" s="189"/>
      <c r="CB336" s="15"/>
    </row>
    <row r="337" spans="1:80" ht="15" x14ac:dyDescent="0.25">
      <c r="A337" s="167"/>
      <c r="B337" s="642"/>
      <c r="C337" s="642"/>
      <c r="D337" s="179"/>
      <c r="E337" s="169"/>
      <c r="F337" s="169"/>
      <c r="G337" s="186"/>
      <c r="H337" s="187"/>
      <c r="I337" s="187"/>
      <c r="J337" s="187"/>
      <c r="K337" s="187"/>
      <c r="L337" s="647"/>
      <c r="M337" s="646">
        <v>34121</v>
      </c>
      <c r="N337" s="585">
        <v>3.23</v>
      </c>
      <c r="O337" s="585">
        <v>8.7209999999999996E-2</v>
      </c>
      <c r="P337" s="175">
        <v>0</v>
      </c>
      <c r="Q337" s="175">
        <v>0</v>
      </c>
      <c r="R337" s="175">
        <v>1.968E-2</v>
      </c>
      <c r="S337" s="175">
        <v>1.6449999999999999E-2</v>
      </c>
      <c r="T337" s="175">
        <v>1.357E-2</v>
      </c>
      <c r="U337" s="175">
        <v>1.2999999999999999E-2</v>
      </c>
      <c r="V337" s="706">
        <v>2.4510000000000001E-2</v>
      </c>
      <c r="W337" s="717"/>
      <c r="X337" s="713"/>
      <c r="Y337" s="718"/>
      <c r="Z337" s="709">
        <v>0</v>
      </c>
      <c r="AA337" s="175"/>
      <c r="AB337" s="200"/>
      <c r="AC337" s="205">
        <v>8.0000000000000002E-3</v>
      </c>
      <c r="AD337" s="175">
        <v>7.5</v>
      </c>
      <c r="AE337" s="175">
        <v>0.38</v>
      </c>
      <c r="AF337" s="170">
        <f t="shared" si="6"/>
        <v>2.85</v>
      </c>
      <c r="AG337" s="175">
        <v>1.1299999999999999</v>
      </c>
      <c r="AH337" s="334"/>
      <c r="AI337" s="188"/>
      <c r="AJ337" s="188"/>
      <c r="AK337" s="188"/>
      <c r="AL337" s="189"/>
      <c r="AM337" s="189"/>
      <c r="AN337" s="189"/>
      <c r="AO337" s="189"/>
      <c r="AP337" s="189"/>
      <c r="AQ337" s="189"/>
      <c r="AR337" s="189"/>
      <c r="AS337" s="189"/>
      <c r="AT337" s="189"/>
      <c r="AU337" s="190"/>
      <c r="AV337" s="190"/>
      <c r="AW337" s="190"/>
      <c r="AX337" s="190"/>
      <c r="AY337" s="190"/>
      <c r="AZ337" s="189"/>
      <c r="BA337" s="189"/>
      <c r="BB337" s="189"/>
      <c r="BC337" s="189"/>
      <c r="BD337" s="189"/>
      <c r="BE337" s="189"/>
      <c r="BF337" s="189"/>
      <c r="BG337" s="189"/>
      <c r="BH337" s="189"/>
      <c r="BI337" s="190"/>
      <c r="BJ337" s="190"/>
      <c r="BK337" s="190"/>
      <c r="BL337" s="190"/>
      <c r="BM337" s="190"/>
      <c r="BN337" s="191"/>
      <c r="BO337" s="191"/>
      <c r="BP337" s="191"/>
      <c r="BQ337" s="191"/>
      <c r="BR337" s="191"/>
      <c r="BS337" s="191"/>
      <c r="BT337" s="190"/>
      <c r="BU337" s="190"/>
      <c r="BV337" s="190"/>
      <c r="BW337" s="190"/>
      <c r="BX337" s="190"/>
      <c r="BY337" s="190"/>
      <c r="BZ337" s="190"/>
      <c r="CA337" s="189"/>
      <c r="CB337" s="15"/>
    </row>
    <row r="338" spans="1:80" ht="15" x14ac:dyDescent="0.25">
      <c r="A338" s="167"/>
      <c r="B338" s="642"/>
      <c r="C338" s="642"/>
      <c r="D338" s="179"/>
      <c r="E338" s="169"/>
      <c r="F338" s="169"/>
      <c r="G338" s="186"/>
      <c r="H338" s="187"/>
      <c r="I338" s="187"/>
      <c r="J338" s="187"/>
      <c r="K338" s="187"/>
      <c r="L338" s="647"/>
      <c r="M338" s="646">
        <v>34125</v>
      </c>
      <c r="N338" s="585">
        <v>2.52</v>
      </c>
      <c r="O338" s="585">
        <v>5.9830000000000001E-2</v>
      </c>
      <c r="P338" s="175">
        <v>0</v>
      </c>
      <c r="Q338" s="175">
        <v>0</v>
      </c>
      <c r="R338" s="175">
        <v>7.4700000000000001E-3</v>
      </c>
      <c r="S338" s="175">
        <v>9.5899999999999996E-3</v>
      </c>
      <c r="T338" s="175">
        <v>1.393E-2</v>
      </c>
      <c r="U338" s="175">
        <v>1.183E-2</v>
      </c>
      <c r="V338" s="706">
        <v>1.702E-2</v>
      </c>
      <c r="W338" s="717"/>
      <c r="X338" s="713"/>
      <c r="Y338" s="718"/>
      <c r="Z338" s="709">
        <v>0</v>
      </c>
      <c r="AA338" s="175"/>
      <c r="AB338" s="200"/>
      <c r="AC338" s="205">
        <v>6.0000000000000001E-3</v>
      </c>
      <c r="AD338" s="175">
        <v>7.2</v>
      </c>
      <c r="AE338" s="175">
        <v>0.34</v>
      </c>
      <c r="AF338" s="170">
        <f t="shared" si="6"/>
        <v>2.4480000000000004</v>
      </c>
      <c r="AG338" s="175">
        <v>1.03</v>
      </c>
      <c r="AH338" s="334"/>
      <c r="AI338" s="188"/>
      <c r="AJ338" s="188"/>
      <c r="AK338" s="188"/>
      <c r="AL338" s="189"/>
      <c r="AM338" s="189"/>
      <c r="AN338" s="189"/>
      <c r="AO338" s="189"/>
      <c r="AP338" s="189"/>
      <c r="AQ338" s="189"/>
      <c r="AR338" s="189"/>
      <c r="AS338" s="189"/>
      <c r="AT338" s="189"/>
      <c r="AU338" s="190"/>
      <c r="AV338" s="190"/>
      <c r="AW338" s="190"/>
      <c r="AX338" s="190"/>
      <c r="AY338" s="190"/>
      <c r="AZ338" s="189"/>
      <c r="BA338" s="189"/>
      <c r="BB338" s="189"/>
      <c r="BC338" s="189"/>
      <c r="BD338" s="189"/>
      <c r="BE338" s="189"/>
      <c r="BF338" s="189"/>
      <c r="BG338" s="189"/>
      <c r="BH338" s="189"/>
      <c r="BI338" s="190"/>
      <c r="BJ338" s="190"/>
      <c r="BK338" s="190"/>
      <c r="BL338" s="190"/>
      <c r="BM338" s="190"/>
      <c r="BN338" s="191"/>
      <c r="BO338" s="191"/>
      <c r="BP338" s="191"/>
      <c r="BQ338" s="191"/>
      <c r="BR338" s="191"/>
      <c r="BS338" s="191"/>
      <c r="BT338" s="190"/>
      <c r="BU338" s="190"/>
      <c r="BV338" s="190"/>
      <c r="BW338" s="190"/>
      <c r="BX338" s="190"/>
      <c r="BY338" s="190"/>
      <c r="BZ338" s="190"/>
      <c r="CA338" s="189"/>
      <c r="CB338" s="15"/>
    </row>
    <row r="339" spans="1:80" ht="15" x14ac:dyDescent="0.25">
      <c r="A339" s="167"/>
      <c r="B339" s="642"/>
      <c r="C339" s="642"/>
      <c r="D339" s="179"/>
      <c r="E339" s="169"/>
      <c r="F339" s="169"/>
      <c r="G339" s="186"/>
      <c r="H339" s="187"/>
      <c r="I339" s="187"/>
      <c r="J339" s="187"/>
      <c r="K339" s="187"/>
      <c r="L339" s="647"/>
      <c r="M339" s="646">
        <v>34127</v>
      </c>
      <c r="N339" s="585">
        <v>2.62</v>
      </c>
      <c r="O339" s="585">
        <v>3.8059999999999997E-2</v>
      </c>
      <c r="P339" s="175">
        <v>0</v>
      </c>
      <c r="Q339" s="175">
        <v>1.034E-2</v>
      </c>
      <c r="R339" s="175">
        <v>5.0899999999999999E-3</v>
      </c>
      <c r="S339" s="175">
        <v>5.2199999999999998E-3</v>
      </c>
      <c r="T339" s="175">
        <v>4.4999999999999997E-3</v>
      </c>
      <c r="U339" s="175">
        <v>5.2700000000000004E-3</v>
      </c>
      <c r="V339" s="706">
        <v>7.6400000000000001E-3</v>
      </c>
      <c r="W339" s="717"/>
      <c r="X339" s="713"/>
      <c r="Y339" s="718"/>
      <c r="Z339" s="709">
        <v>0</v>
      </c>
      <c r="AA339" s="175"/>
      <c r="AB339" s="200"/>
      <c r="AC339" s="205">
        <v>7.0000000000000001E-3</v>
      </c>
      <c r="AD339" s="175">
        <v>7.5</v>
      </c>
      <c r="AE339" s="175">
        <v>0.33</v>
      </c>
      <c r="AF339" s="170">
        <f t="shared" si="6"/>
        <v>2.4750000000000001</v>
      </c>
      <c r="AG339" s="175">
        <v>1.07</v>
      </c>
      <c r="AH339" s="334"/>
      <c r="AI339" s="188"/>
      <c r="AJ339" s="188"/>
      <c r="AK339" s="188"/>
      <c r="AL339" s="189"/>
      <c r="AM339" s="189"/>
      <c r="AN339" s="189"/>
      <c r="AO339" s="189"/>
      <c r="AP339" s="189"/>
      <c r="AQ339" s="189"/>
      <c r="AR339" s="189"/>
      <c r="AS339" s="189"/>
      <c r="AT339" s="189"/>
      <c r="AU339" s="190"/>
      <c r="AV339" s="190"/>
      <c r="AW339" s="190"/>
      <c r="AX339" s="190"/>
      <c r="AY339" s="190"/>
      <c r="AZ339" s="189"/>
      <c r="BA339" s="189"/>
      <c r="BB339" s="189"/>
      <c r="BC339" s="189"/>
      <c r="BD339" s="189"/>
      <c r="BE339" s="189"/>
      <c r="BF339" s="189"/>
      <c r="BG339" s="189"/>
      <c r="BH339" s="189"/>
      <c r="BI339" s="190"/>
      <c r="BJ339" s="190"/>
      <c r="BK339" s="190"/>
      <c r="BL339" s="190"/>
      <c r="BM339" s="190"/>
      <c r="BN339" s="191"/>
      <c r="BO339" s="191"/>
      <c r="BP339" s="191"/>
      <c r="BQ339" s="191"/>
      <c r="BR339" s="191"/>
      <c r="BS339" s="191"/>
      <c r="BT339" s="190"/>
      <c r="BU339" s="190"/>
      <c r="BV339" s="190"/>
      <c r="BW339" s="190"/>
      <c r="BX339" s="190"/>
      <c r="BY339" s="190"/>
      <c r="BZ339" s="190"/>
      <c r="CA339" s="189"/>
      <c r="CB339" s="15"/>
    </row>
    <row r="340" spans="1:80" ht="15" x14ac:dyDescent="0.25">
      <c r="A340" s="167"/>
      <c r="B340" s="642"/>
      <c r="C340" s="642"/>
      <c r="D340" s="179"/>
      <c r="E340" s="169"/>
      <c r="F340" s="169"/>
      <c r="G340" s="186"/>
      <c r="H340" s="187"/>
      <c r="I340" s="187"/>
      <c r="J340" s="187"/>
      <c r="K340" s="187"/>
      <c r="L340" s="647"/>
      <c r="M340" s="646">
        <v>34128</v>
      </c>
      <c r="N340" s="585">
        <v>2.33</v>
      </c>
      <c r="O340" s="585">
        <v>7.6499999999999997E-3</v>
      </c>
      <c r="P340" s="175">
        <v>0</v>
      </c>
      <c r="Q340" s="175">
        <v>0</v>
      </c>
      <c r="R340" s="175">
        <v>0</v>
      </c>
      <c r="S340" s="175">
        <v>8.1999999999999998E-4</v>
      </c>
      <c r="T340" s="175">
        <v>1.5100000000000001E-3</v>
      </c>
      <c r="U340" s="175">
        <v>1.33E-3</v>
      </c>
      <c r="V340" s="706">
        <v>4.0000000000000001E-3</v>
      </c>
      <c r="W340" s="717"/>
      <c r="X340" s="713"/>
      <c r="Y340" s="718"/>
      <c r="Z340" s="709">
        <v>0</v>
      </c>
      <c r="AA340" s="175"/>
      <c r="AB340" s="200"/>
      <c r="AC340" s="205">
        <v>1.0999999999999999E-2</v>
      </c>
      <c r="AD340" s="175">
        <v>7.05</v>
      </c>
      <c r="AE340" s="175">
        <v>0.33</v>
      </c>
      <c r="AF340" s="170">
        <f t="shared" si="6"/>
        <v>2.3265000000000002</v>
      </c>
      <c r="AG340" s="175">
        <v>1</v>
      </c>
      <c r="AH340" s="334"/>
      <c r="AI340" s="188"/>
      <c r="AJ340" s="188"/>
      <c r="AK340" s="188"/>
      <c r="AL340" s="189"/>
      <c r="AM340" s="189"/>
      <c r="AN340" s="189"/>
      <c r="AO340" s="189"/>
      <c r="AP340" s="189"/>
      <c r="AQ340" s="189"/>
      <c r="AR340" s="189"/>
      <c r="AS340" s="189"/>
      <c r="AT340" s="189"/>
      <c r="AU340" s="190"/>
      <c r="AV340" s="190"/>
      <c r="AW340" s="190"/>
      <c r="AX340" s="190"/>
      <c r="AY340" s="190"/>
      <c r="AZ340" s="189"/>
      <c r="BA340" s="189"/>
      <c r="BB340" s="189"/>
      <c r="BC340" s="189"/>
      <c r="BD340" s="189"/>
      <c r="BE340" s="189"/>
      <c r="BF340" s="189"/>
      <c r="BG340" s="189"/>
      <c r="BH340" s="189"/>
      <c r="BI340" s="190"/>
      <c r="BJ340" s="190"/>
      <c r="BK340" s="190"/>
      <c r="BL340" s="190"/>
      <c r="BM340" s="190"/>
      <c r="BN340" s="191"/>
      <c r="BO340" s="191"/>
      <c r="BP340" s="191"/>
      <c r="BQ340" s="191"/>
      <c r="BR340" s="191"/>
      <c r="BS340" s="191"/>
      <c r="BT340" s="190"/>
      <c r="BU340" s="190"/>
      <c r="BV340" s="190"/>
      <c r="BW340" s="190"/>
      <c r="BX340" s="190"/>
      <c r="BY340" s="190"/>
      <c r="BZ340" s="190"/>
      <c r="CA340" s="189"/>
      <c r="CB340" s="15"/>
    </row>
    <row r="341" spans="1:80" ht="15" x14ac:dyDescent="0.25">
      <c r="A341" s="167"/>
      <c r="B341" s="642"/>
      <c r="C341" s="642"/>
      <c r="D341" s="179"/>
      <c r="E341" s="169"/>
      <c r="F341" s="169"/>
      <c r="G341" s="186"/>
      <c r="H341" s="187"/>
      <c r="I341" s="187"/>
      <c r="J341" s="187"/>
      <c r="K341" s="187"/>
      <c r="L341" s="647"/>
      <c r="M341" s="646">
        <v>34129</v>
      </c>
      <c r="N341" s="585">
        <v>2.0499999999999998</v>
      </c>
      <c r="O341" s="585">
        <v>3.5200000000000001E-3</v>
      </c>
      <c r="P341" s="175">
        <v>0</v>
      </c>
      <c r="Q341" s="175">
        <v>0</v>
      </c>
      <c r="R341" s="175">
        <v>0</v>
      </c>
      <c r="S341" s="175">
        <v>2.7999999999999998E-4</v>
      </c>
      <c r="T341" s="175">
        <v>5.1999999999999995E-4</v>
      </c>
      <c r="U341" s="175">
        <v>7.1000000000000002E-4</v>
      </c>
      <c r="V341" s="706">
        <v>2.0200000000000001E-3</v>
      </c>
      <c r="W341" s="717"/>
      <c r="X341" s="713"/>
      <c r="Y341" s="718"/>
      <c r="Z341" s="709">
        <v>0</v>
      </c>
      <c r="AA341" s="175"/>
      <c r="AB341" s="200"/>
      <c r="AC341" s="205">
        <v>0.01</v>
      </c>
      <c r="AD341" s="175">
        <v>7</v>
      </c>
      <c r="AE341" s="175">
        <v>0.32</v>
      </c>
      <c r="AF341" s="170">
        <f t="shared" si="6"/>
        <v>2.2400000000000002</v>
      </c>
      <c r="AG341" s="175">
        <v>0.92</v>
      </c>
      <c r="AH341" s="334"/>
      <c r="AI341" s="188"/>
      <c r="AJ341" s="188"/>
      <c r="AK341" s="188"/>
      <c r="AL341" s="189"/>
      <c r="AM341" s="189"/>
      <c r="AN341" s="189"/>
      <c r="AO341" s="189"/>
      <c r="AP341" s="189"/>
      <c r="AQ341" s="189"/>
      <c r="AR341" s="189"/>
      <c r="AS341" s="189"/>
      <c r="AT341" s="189"/>
      <c r="AU341" s="190"/>
      <c r="AV341" s="190"/>
      <c r="AW341" s="190"/>
      <c r="AX341" s="190"/>
      <c r="AY341" s="190"/>
      <c r="AZ341" s="189"/>
      <c r="BA341" s="189"/>
      <c r="BB341" s="189"/>
      <c r="BC341" s="189"/>
      <c r="BD341" s="189"/>
      <c r="BE341" s="189"/>
      <c r="BF341" s="189"/>
      <c r="BG341" s="189"/>
      <c r="BH341" s="189"/>
      <c r="BI341" s="190"/>
      <c r="BJ341" s="190"/>
      <c r="BK341" s="190"/>
      <c r="BL341" s="190"/>
      <c r="BM341" s="190"/>
      <c r="BN341" s="191"/>
      <c r="BO341" s="191"/>
      <c r="BP341" s="191"/>
      <c r="BQ341" s="191"/>
      <c r="BR341" s="191"/>
      <c r="BS341" s="191"/>
      <c r="BT341" s="190"/>
      <c r="BU341" s="190"/>
      <c r="BV341" s="190"/>
      <c r="BW341" s="190"/>
      <c r="BX341" s="190"/>
      <c r="BY341" s="190"/>
      <c r="BZ341" s="190"/>
      <c r="CA341" s="189"/>
      <c r="CB341" s="15"/>
    </row>
    <row r="342" spans="1:80" ht="15" x14ac:dyDescent="0.25">
      <c r="A342" s="167"/>
      <c r="B342" s="642"/>
      <c r="C342" s="642"/>
      <c r="D342" s="179"/>
      <c r="E342" s="169"/>
      <c r="F342" s="169"/>
      <c r="G342" s="186"/>
      <c r="H342" s="187"/>
      <c r="I342" s="187"/>
      <c r="J342" s="187"/>
      <c r="K342" s="187"/>
      <c r="L342" s="647"/>
      <c r="M342" s="646">
        <v>34130</v>
      </c>
      <c r="N342" s="585">
        <v>1.73</v>
      </c>
      <c r="O342" s="585">
        <v>7.7200000000000003E-3</v>
      </c>
      <c r="P342" s="175">
        <v>0</v>
      </c>
      <c r="Q342" s="175">
        <v>0</v>
      </c>
      <c r="R342" s="175">
        <v>6.2E-4</v>
      </c>
      <c r="S342" s="175">
        <v>2.9E-4</v>
      </c>
      <c r="T342" s="175">
        <v>1.24E-3</v>
      </c>
      <c r="U342" s="175">
        <v>1.33E-3</v>
      </c>
      <c r="V342" s="706">
        <v>4.2399999999999998E-3</v>
      </c>
      <c r="W342" s="717"/>
      <c r="X342" s="713"/>
      <c r="Y342" s="718"/>
      <c r="Z342" s="709">
        <v>0</v>
      </c>
      <c r="AA342" s="175"/>
      <c r="AB342" s="200"/>
      <c r="AC342" s="205">
        <v>1.0999999999999999E-2</v>
      </c>
      <c r="AD342" s="175">
        <v>7</v>
      </c>
      <c r="AE342" s="175">
        <v>0.28999999999999998</v>
      </c>
      <c r="AF342" s="170">
        <f t="shared" si="6"/>
        <v>2.0299999999999998</v>
      </c>
      <c r="AG342" s="175">
        <v>0.86</v>
      </c>
      <c r="AH342" s="334"/>
      <c r="AI342" s="188"/>
      <c r="AJ342" s="188"/>
      <c r="AK342" s="188"/>
      <c r="AL342" s="189"/>
      <c r="AM342" s="189"/>
      <c r="AN342" s="189"/>
      <c r="AO342" s="189"/>
      <c r="AP342" s="189"/>
      <c r="AQ342" s="189"/>
      <c r="AR342" s="189"/>
      <c r="AS342" s="189"/>
      <c r="AT342" s="189"/>
      <c r="AU342" s="190"/>
      <c r="AV342" s="190"/>
      <c r="AW342" s="190"/>
      <c r="AX342" s="190"/>
      <c r="AY342" s="190"/>
      <c r="AZ342" s="189"/>
      <c r="BA342" s="189"/>
      <c r="BB342" s="189"/>
      <c r="BC342" s="189"/>
      <c r="BD342" s="189"/>
      <c r="BE342" s="189"/>
      <c r="BF342" s="189"/>
      <c r="BG342" s="189"/>
      <c r="BH342" s="189"/>
      <c r="BI342" s="190"/>
      <c r="BJ342" s="190"/>
      <c r="BK342" s="190"/>
      <c r="BL342" s="190"/>
      <c r="BM342" s="190"/>
      <c r="BN342" s="191"/>
      <c r="BO342" s="191"/>
      <c r="BP342" s="191"/>
      <c r="BQ342" s="191"/>
      <c r="BR342" s="191"/>
      <c r="BS342" s="191"/>
      <c r="BT342" s="190"/>
      <c r="BU342" s="190"/>
      <c r="BV342" s="190"/>
      <c r="BW342" s="190"/>
      <c r="BX342" s="190"/>
      <c r="BY342" s="190"/>
      <c r="BZ342" s="190"/>
      <c r="CA342" s="189"/>
      <c r="CB342" s="15"/>
    </row>
    <row r="343" spans="1:80" ht="15" x14ac:dyDescent="0.25">
      <c r="A343" s="167"/>
      <c r="B343" s="642"/>
      <c r="C343" s="642"/>
      <c r="D343" s="179"/>
      <c r="E343" s="169"/>
      <c r="F343" s="169"/>
      <c r="G343" s="186"/>
      <c r="H343" s="187"/>
      <c r="I343" s="187"/>
      <c r="J343" s="187"/>
      <c r="K343" s="187"/>
      <c r="L343" s="647"/>
      <c r="M343" s="646">
        <v>34131</v>
      </c>
      <c r="N343" s="585">
        <v>1.1299999999999999</v>
      </c>
      <c r="O343" s="585">
        <v>9.1800000000000007E-3</v>
      </c>
      <c r="P343" s="175">
        <v>0</v>
      </c>
      <c r="Q343" s="175">
        <v>0</v>
      </c>
      <c r="R343" s="175">
        <v>1.6199999999999999E-3</v>
      </c>
      <c r="S343" s="175">
        <v>2.49E-3</v>
      </c>
      <c r="T343" s="175">
        <v>8.3000000000000001E-4</v>
      </c>
      <c r="U343" s="175">
        <v>1.0300000000000001E-3</v>
      </c>
      <c r="V343" s="706">
        <v>3.2000000000000002E-3</v>
      </c>
      <c r="W343" s="717"/>
      <c r="X343" s="713"/>
      <c r="Y343" s="718"/>
      <c r="Z343" s="709">
        <v>0</v>
      </c>
      <c r="AA343" s="175"/>
      <c r="AB343" s="200"/>
      <c r="AC343" s="205">
        <v>1.2999999999999999E-2</v>
      </c>
      <c r="AD343" s="175">
        <v>6.75</v>
      </c>
      <c r="AE343" s="175">
        <v>0.25</v>
      </c>
      <c r="AF343" s="170">
        <f t="shared" si="6"/>
        <v>1.6875</v>
      </c>
      <c r="AG343" s="175">
        <v>0.68</v>
      </c>
      <c r="AH343" s="334"/>
      <c r="AI343" s="188"/>
      <c r="AJ343" s="188"/>
      <c r="AK343" s="188"/>
      <c r="AL343" s="189"/>
      <c r="AM343" s="189"/>
      <c r="AN343" s="189"/>
      <c r="AO343" s="189"/>
      <c r="AP343" s="189"/>
      <c r="AQ343" s="189"/>
      <c r="AR343" s="189"/>
      <c r="AS343" s="189"/>
      <c r="AT343" s="189"/>
      <c r="AU343" s="190"/>
      <c r="AV343" s="190"/>
      <c r="AW343" s="190"/>
      <c r="AX343" s="190"/>
      <c r="AY343" s="190"/>
      <c r="AZ343" s="189"/>
      <c r="BA343" s="189"/>
      <c r="BB343" s="189"/>
      <c r="BC343" s="189"/>
      <c r="BD343" s="189"/>
      <c r="BE343" s="189"/>
      <c r="BF343" s="189"/>
      <c r="BG343" s="189"/>
      <c r="BH343" s="189"/>
      <c r="BI343" s="190"/>
      <c r="BJ343" s="190"/>
      <c r="BK343" s="190"/>
      <c r="BL343" s="190"/>
      <c r="BM343" s="190"/>
      <c r="BN343" s="191"/>
      <c r="BO343" s="191"/>
      <c r="BP343" s="191"/>
      <c r="BQ343" s="191"/>
      <c r="BR343" s="191"/>
      <c r="BS343" s="191"/>
      <c r="BT343" s="190"/>
      <c r="BU343" s="190"/>
      <c r="BV343" s="190"/>
      <c r="BW343" s="190"/>
      <c r="BX343" s="190"/>
      <c r="BY343" s="190"/>
      <c r="BZ343" s="190"/>
      <c r="CA343" s="189"/>
      <c r="CB343" s="15"/>
    </row>
    <row r="344" spans="1:80" ht="15" x14ac:dyDescent="0.25">
      <c r="A344" s="167"/>
      <c r="B344" s="642"/>
      <c r="C344" s="642"/>
      <c r="D344" s="179"/>
      <c r="E344" s="169"/>
      <c r="F344" s="169"/>
      <c r="G344" s="186"/>
      <c r="H344" s="187"/>
      <c r="I344" s="187"/>
      <c r="J344" s="187"/>
      <c r="K344" s="187"/>
      <c r="L344" s="647"/>
      <c r="M344" s="646">
        <v>34132</v>
      </c>
      <c r="N344" s="585">
        <v>1.55</v>
      </c>
      <c r="O344" s="585">
        <v>7.6600000000000001E-3</v>
      </c>
      <c r="P344" s="175">
        <v>0</v>
      </c>
      <c r="Q344" s="175">
        <v>0</v>
      </c>
      <c r="R344" s="175">
        <v>1.24E-3</v>
      </c>
      <c r="S344" s="175">
        <v>7.3999999999999999E-4</v>
      </c>
      <c r="T344" s="175">
        <v>1.0399999999999999E-3</v>
      </c>
      <c r="U344" s="175">
        <v>1.5299999999999999E-3</v>
      </c>
      <c r="V344" s="706">
        <v>3.0999999999999999E-3</v>
      </c>
      <c r="W344" s="717"/>
      <c r="X344" s="713"/>
      <c r="Y344" s="718"/>
      <c r="Z344" s="709">
        <v>0</v>
      </c>
      <c r="AA344" s="175"/>
      <c r="AB344" s="200"/>
      <c r="AC344" s="205">
        <v>1.2E-2</v>
      </c>
      <c r="AD344" s="175">
        <v>6.85</v>
      </c>
      <c r="AE344" s="175">
        <v>0.27</v>
      </c>
      <c r="AF344" s="170">
        <f t="shared" si="6"/>
        <v>1.8494999999999999</v>
      </c>
      <c r="AG344" s="175">
        <v>0.83</v>
      </c>
      <c r="AH344" s="334"/>
      <c r="AI344" s="188"/>
      <c r="AJ344" s="188"/>
      <c r="AK344" s="188"/>
      <c r="AL344" s="189"/>
      <c r="AM344" s="189"/>
      <c r="AN344" s="189"/>
      <c r="AO344" s="189"/>
      <c r="AP344" s="189"/>
      <c r="AQ344" s="189"/>
      <c r="AR344" s="189"/>
      <c r="AS344" s="189"/>
      <c r="AT344" s="189"/>
      <c r="AU344" s="190"/>
      <c r="AV344" s="190"/>
      <c r="AW344" s="190"/>
      <c r="AX344" s="190"/>
      <c r="AY344" s="190"/>
      <c r="AZ344" s="189"/>
      <c r="BA344" s="189"/>
      <c r="BB344" s="189"/>
      <c r="BC344" s="189"/>
      <c r="BD344" s="189"/>
      <c r="BE344" s="189"/>
      <c r="BF344" s="189"/>
      <c r="BG344" s="189"/>
      <c r="BH344" s="189"/>
      <c r="BI344" s="190"/>
      <c r="BJ344" s="190"/>
      <c r="BK344" s="190"/>
      <c r="BL344" s="190"/>
      <c r="BM344" s="190"/>
      <c r="BN344" s="191"/>
      <c r="BO344" s="191"/>
      <c r="BP344" s="191"/>
      <c r="BQ344" s="191"/>
      <c r="BR344" s="191"/>
      <c r="BS344" s="191"/>
      <c r="BT344" s="190"/>
      <c r="BU344" s="190"/>
      <c r="BV344" s="190"/>
      <c r="BW344" s="190"/>
      <c r="BX344" s="190"/>
      <c r="BY344" s="190"/>
      <c r="BZ344" s="190"/>
      <c r="CA344" s="189"/>
      <c r="CB344" s="15"/>
    </row>
    <row r="345" spans="1:80" ht="15" x14ac:dyDescent="0.25">
      <c r="A345" s="167"/>
      <c r="B345" s="642"/>
      <c r="C345" s="642"/>
      <c r="D345" s="179"/>
      <c r="E345" s="169"/>
      <c r="F345" s="169"/>
      <c r="G345" s="186"/>
      <c r="H345" s="187"/>
      <c r="I345" s="187"/>
      <c r="J345" s="187"/>
      <c r="K345" s="187"/>
      <c r="L345" s="647"/>
      <c r="M345" s="646">
        <v>34134</v>
      </c>
      <c r="N345" s="585">
        <v>1.74</v>
      </c>
      <c r="O345" s="585">
        <v>7.5300000000000002E-3</v>
      </c>
      <c r="P345" s="175">
        <v>0</v>
      </c>
      <c r="Q345" s="175">
        <v>0</v>
      </c>
      <c r="R345" s="175">
        <v>6.2E-4</v>
      </c>
      <c r="S345" s="175">
        <v>7.1000000000000002E-4</v>
      </c>
      <c r="T345" s="175">
        <v>9.3000000000000005E-4</v>
      </c>
      <c r="U345" s="175">
        <v>1.0399999999999999E-3</v>
      </c>
      <c r="V345" s="706">
        <v>4.2300000000000003E-3</v>
      </c>
      <c r="W345" s="717"/>
      <c r="X345" s="713"/>
      <c r="Y345" s="718"/>
      <c r="Z345" s="709">
        <v>0</v>
      </c>
      <c r="AA345" s="175"/>
      <c r="AB345" s="200"/>
      <c r="AC345" s="205">
        <v>1.2E-2</v>
      </c>
      <c r="AD345" s="175">
        <v>6.9</v>
      </c>
      <c r="AE345" s="175">
        <v>0.26</v>
      </c>
      <c r="AF345" s="170">
        <f t="shared" si="6"/>
        <v>1.7940000000000003</v>
      </c>
      <c r="AG345" s="175">
        <v>0.96</v>
      </c>
      <c r="AH345" s="334"/>
      <c r="AI345" s="188"/>
      <c r="AJ345" s="188"/>
      <c r="AK345" s="188"/>
      <c r="AL345" s="189"/>
      <c r="AM345" s="189"/>
      <c r="AN345" s="189"/>
      <c r="AO345" s="189"/>
      <c r="AP345" s="189"/>
      <c r="AQ345" s="189"/>
      <c r="AR345" s="189"/>
      <c r="AS345" s="189"/>
      <c r="AT345" s="189"/>
      <c r="AU345" s="190"/>
      <c r="AV345" s="190"/>
      <c r="AW345" s="190"/>
      <c r="AX345" s="190"/>
      <c r="AY345" s="190"/>
      <c r="AZ345" s="189"/>
      <c r="BA345" s="189"/>
      <c r="BB345" s="189"/>
      <c r="BC345" s="189"/>
      <c r="BD345" s="189"/>
      <c r="BE345" s="189"/>
      <c r="BF345" s="189"/>
      <c r="BG345" s="189"/>
      <c r="BH345" s="189"/>
      <c r="BI345" s="190"/>
      <c r="BJ345" s="190"/>
      <c r="BK345" s="190"/>
      <c r="BL345" s="190"/>
      <c r="BM345" s="190"/>
      <c r="BN345" s="191"/>
      <c r="BO345" s="191"/>
      <c r="BP345" s="191"/>
      <c r="BQ345" s="191"/>
      <c r="BR345" s="191"/>
      <c r="BS345" s="191"/>
      <c r="BT345" s="190"/>
      <c r="BU345" s="190"/>
      <c r="BV345" s="190"/>
      <c r="BW345" s="190"/>
      <c r="BX345" s="190"/>
      <c r="BY345" s="190"/>
      <c r="BZ345" s="190"/>
      <c r="CA345" s="189"/>
      <c r="CB345" s="15"/>
    </row>
    <row r="346" spans="1:80" ht="15" x14ac:dyDescent="0.25">
      <c r="A346" s="167"/>
      <c r="B346" s="642"/>
      <c r="C346" s="642"/>
      <c r="D346" s="179"/>
      <c r="E346" s="169"/>
      <c r="F346" s="169"/>
      <c r="G346" s="186"/>
      <c r="H346" s="187"/>
      <c r="I346" s="187"/>
      <c r="J346" s="187"/>
      <c r="K346" s="187"/>
      <c r="L346" s="647"/>
      <c r="M346" s="646">
        <v>34135</v>
      </c>
      <c r="N346" s="585">
        <v>2.95</v>
      </c>
      <c r="O346" s="585">
        <v>7.1819999999999995E-2</v>
      </c>
      <c r="P346" s="175">
        <v>0</v>
      </c>
      <c r="Q346" s="175">
        <v>0</v>
      </c>
      <c r="R346" s="175">
        <v>6.8999999999999999E-3</v>
      </c>
      <c r="S346" s="175">
        <v>9.9600000000000001E-3</v>
      </c>
      <c r="T346" s="175">
        <v>1.6840000000000001E-2</v>
      </c>
      <c r="U346" s="175">
        <v>1.6049999999999998E-2</v>
      </c>
      <c r="V346" s="706">
        <v>2.2069999999999999E-2</v>
      </c>
      <c r="W346" s="717"/>
      <c r="X346" s="713"/>
      <c r="Y346" s="718"/>
      <c r="Z346" s="709">
        <v>0</v>
      </c>
      <c r="AA346" s="175"/>
      <c r="AB346" s="200"/>
      <c r="AC346" s="205">
        <v>7.0000000000000001E-3</v>
      </c>
      <c r="AD346" s="175">
        <v>7.3</v>
      </c>
      <c r="AE346" s="175">
        <v>0.36</v>
      </c>
      <c r="AF346" s="170">
        <f t="shared" si="6"/>
        <v>2.6279999999999997</v>
      </c>
      <c r="AG346" s="175">
        <v>1.1299999999999999</v>
      </c>
      <c r="AH346" s="334"/>
      <c r="AI346" s="188"/>
      <c r="AJ346" s="188"/>
      <c r="AK346" s="188"/>
      <c r="AL346" s="189"/>
      <c r="AM346" s="189"/>
      <c r="AN346" s="189"/>
      <c r="AO346" s="189"/>
      <c r="AP346" s="189"/>
      <c r="AQ346" s="189"/>
      <c r="AR346" s="189"/>
      <c r="AS346" s="189"/>
      <c r="AT346" s="189"/>
      <c r="AU346" s="190"/>
      <c r="AV346" s="190"/>
      <c r="AW346" s="190"/>
      <c r="AX346" s="190"/>
      <c r="AY346" s="190"/>
      <c r="AZ346" s="189"/>
      <c r="BA346" s="189"/>
      <c r="BB346" s="189"/>
      <c r="BC346" s="189"/>
      <c r="BD346" s="189"/>
      <c r="BE346" s="189"/>
      <c r="BF346" s="189"/>
      <c r="BG346" s="189"/>
      <c r="BH346" s="189"/>
      <c r="BI346" s="190"/>
      <c r="BJ346" s="190"/>
      <c r="BK346" s="190"/>
      <c r="BL346" s="190"/>
      <c r="BM346" s="190"/>
      <c r="BN346" s="191"/>
      <c r="BO346" s="191"/>
      <c r="BP346" s="191"/>
      <c r="BQ346" s="191"/>
      <c r="BR346" s="191"/>
      <c r="BS346" s="191"/>
      <c r="BT346" s="190"/>
      <c r="BU346" s="190"/>
      <c r="BV346" s="190"/>
      <c r="BW346" s="190"/>
      <c r="BX346" s="190"/>
      <c r="BY346" s="190"/>
      <c r="BZ346" s="190"/>
      <c r="CA346" s="189"/>
      <c r="CB346" s="15"/>
    </row>
    <row r="347" spans="1:80" ht="15" x14ac:dyDescent="0.25">
      <c r="A347" s="167"/>
      <c r="B347" s="642"/>
      <c r="C347" s="642"/>
      <c r="D347" s="179"/>
      <c r="E347" s="169"/>
      <c r="F347" s="169"/>
      <c r="G347" s="186"/>
      <c r="H347" s="187"/>
      <c r="I347" s="187"/>
      <c r="J347" s="187"/>
      <c r="K347" s="187"/>
      <c r="L347" s="647"/>
      <c r="M347" s="646">
        <v>34136</v>
      </c>
      <c r="N347" s="585">
        <v>2.64</v>
      </c>
      <c r="O347" s="585">
        <v>6.6019999999999995E-2</v>
      </c>
      <c r="P347" s="175">
        <v>0</v>
      </c>
      <c r="Q347" s="175">
        <v>7.0499999999999998E-3</v>
      </c>
      <c r="R347" s="175">
        <v>5.7299999999999999E-3</v>
      </c>
      <c r="S347" s="175">
        <v>7.6899999999999998E-3</v>
      </c>
      <c r="T347" s="175">
        <v>1.295E-2</v>
      </c>
      <c r="U347" s="175">
        <v>1.336E-2</v>
      </c>
      <c r="V347" s="706">
        <v>1.924E-2</v>
      </c>
      <c r="W347" s="717"/>
      <c r="X347" s="713"/>
      <c r="Y347" s="718"/>
      <c r="Z347" s="709">
        <v>0</v>
      </c>
      <c r="AA347" s="175"/>
      <c r="AB347" s="200"/>
      <c r="AC347" s="205">
        <v>8.9999999999999993E-3</v>
      </c>
      <c r="AD347" s="175">
        <v>7.3</v>
      </c>
      <c r="AE347" s="175">
        <v>0.35</v>
      </c>
      <c r="AF347" s="170">
        <f t="shared" si="6"/>
        <v>2.5549999999999997</v>
      </c>
      <c r="AG347" s="175">
        <v>1.04</v>
      </c>
      <c r="AH347" s="334"/>
      <c r="AI347" s="188"/>
      <c r="AJ347" s="188"/>
      <c r="AK347" s="188"/>
      <c r="AL347" s="189"/>
      <c r="AM347" s="189"/>
      <c r="AN347" s="189"/>
      <c r="AO347" s="189"/>
      <c r="AP347" s="189"/>
      <c r="AQ347" s="189"/>
      <c r="AR347" s="189"/>
      <c r="AS347" s="189"/>
      <c r="AT347" s="189"/>
      <c r="AU347" s="190"/>
      <c r="AV347" s="190"/>
      <c r="AW347" s="190"/>
      <c r="AX347" s="190"/>
      <c r="AY347" s="190"/>
      <c r="AZ347" s="189"/>
      <c r="BA347" s="189"/>
      <c r="BB347" s="189"/>
      <c r="BC347" s="189"/>
      <c r="BD347" s="189"/>
      <c r="BE347" s="189"/>
      <c r="BF347" s="189"/>
      <c r="BG347" s="189"/>
      <c r="BH347" s="189"/>
      <c r="BI347" s="190"/>
      <c r="BJ347" s="190"/>
      <c r="BK347" s="190"/>
      <c r="BL347" s="190"/>
      <c r="BM347" s="190"/>
      <c r="BN347" s="191"/>
      <c r="BO347" s="191"/>
      <c r="BP347" s="191"/>
      <c r="BQ347" s="191"/>
      <c r="BR347" s="191"/>
      <c r="BS347" s="191"/>
      <c r="BT347" s="190"/>
      <c r="BU347" s="190"/>
      <c r="BV347" s="190"/>
      <c r="BW347" s="190"/>
      <c r="BX347" s="190"/>
      <c r="BY347" s="190"/>
      <c r="BZ347" s="190"/>
      <c r="CA347" s="189"/>
      <c r="CB347" s="15"/>
    </row>
    <row r="348" spans="1:80" ht="15" x14ac:dyDescent="0.25">
      <c r="A348" s="167"/>
      <c r="B348" s="642"/>
      <c r="C348" s="642"/>
      <c r="D348" s="179"/>
      <c r="E348" s="169"/>
      <c r="F348" s="169"/>
      <c r="G348" s="186"/>
      <c r="H348" s="187"/>
      <c r="I348" s="187"/>
      <c r="J348" s="187"/>
      <c r="K348" s="187"/>
      <c r="L348" s="647"/>
      <c r="M348" s="646">
        <v>34141</v>
      </c>
      <c r="N348" s="585">
        <v>4.7300000000000004</v>
      </c>
      <c r="O348" s="585">
        <v>0.19585</v>
      </c>
      <c r="P348" s="175">
        <v>0</v>
      </c>
      <c r="Q348" s="175">
        <v>3.65E-3</v>
      </c>
      <c r="R348" s="175">
        <v>5.3190000000000001E-2</v>
      </c>
      <c r="S348" s="175">
        <v>3.823E-2</v>
      </c>
      <c r="T348" s="175">
        <v>2.7779999999999999E-2</v>
      </c>
      <c r="U348" s="175">
        <v>2.6610000000000002E-2</v>
      </c>
      <c r="V348" s="706">
        <v>4.6399999999999997E-2</v>
      </c>
      <c r="W348" s="717"/>
      <c r="X348" s="713"/>
      <c r="Y348" s="718"/>
      <c r="Z348" s="709">
        <v>0</v>
      </c>
      <c r="AA348" s="175"/>
      <c r="AB348" s="200"/>
      <c r="AC348" s="205">
        <v>6.0000000000000001E-3</v>
      </c>
      <c r="AD348" s="175">
        <v>7.85</v>
      </c>
      <c r="AE348" s="175">
        <v>0.44</v>
      </c>
      <c r="AF348" s="170">
        <f t="shared" si="6"/>
        <v>3.4539999999999997</v>
      </c>
      <c r="AG348" s="175">
        <v>1.37</v>
      </c>
      <c r="AH348" s="334"/>
      <c r="AI348" s="188"/>
      <c r="AJ348" s="188"/>
      <c r="AK348" s="188"/>
      <c r="AL348" s="189"/>
      <c r="AM348" s="189"/>
      <c r="AN348" s="189"/>
      <c r="AO348" s="189"/>
      <c r="AP348" s="189"/>
      <c r="AQ348" s="189"/>
      <c r="AR348" s="189"/>
      <c r="AS348" s="189"/>
      <c r="AT348" s="189"/>
      <c r="AU348" s="190"/>
      <c r="AV348" s="190"/>
      <c r="AW348" s="190"/>
      <c r="AX348" s="190"/>
      <c r="AY348" s="190"/>
      <c r="AZ348" s="189"/>
      <c r="BA348" s="189"/>
      <c r="BB348" s="189"/>
      <c r="BC348" s="189"/>
      <c r="BD348" s="189"/>
      <c r="BE348" s="189"/>
      <c r="BF348" s="189"/>
      <c r="BG348" s="189"/>
      <c r="BH348" s="189"/>
      <c r="BI348" s="190"/>
      <c r="BJ348" s="190"/>
      <c r="BK348" s="190"/>
      <c r="BL348" s="190"/>
      <c r="BM348" s="190"/>
      <c r="BN348" s="191"/>
      <c r="BO348" s="191"/>
      <c r="BP348" s="191"/>
      <c r="BQ348" s="191"/>
      <c r="BR348" s="191"/>
      <c r="BS348" s="191"/>
      <c r="BT348" s="190"/>
      <c r="BU348" s="190"/>
      <c r="BV348" s="190"/>
      <c r="BW348" s="190"/>
      <c r="BX348" s="190"/>
      <c r="BY348" s="190"/>
      <c r="BZ348" s="190"/>
      <c r="CA348" s="189"/>
      <c r="CB348" s="15"/>
    </row>
    <row r="349" spans="1:80" ht="15" x14ac:dyDescent="0.25">
      <c r="A349" s="167"/>
      <c r="B349" s="642"/>
      <c r="C349" s="642"/>
      <c r="D349" s="179"/>
      <c r="E349" s="169"/>
      <c r="F349" s="169"/>
      <c r="G349" s="186"/>
      <c r="H349" s="187"/>
      <c r="I349" s="187"/>
      <c r="J349" s="187"/>
      <c r="K349" s="187"/>
      <c r="L349" s="647"/>
      <c r="M349" s="646">
        <v>34142</v>
      </c>
      <c r="N349" s="585">
        <v>4.75</v>
      </c>
      <c r="O349" s="585">
        <v>0.13532</v>
      </c>
      <c r="P349" s="175">
        <v>0</v>
      </c>
      <c r="Q349" s="175">
        <v>8.1300000000000001E-3</v>
      </c>
      <c r="R349" s="175">
        <v>2.462E-2</v>
      </c>
      <c r="S349" s="175">
        <v>2.1669999999999998E-2</v>
      </c>
      <c r="T349" s="175">
        <v>2.129E-2</v>
      </c>
      <c r="U349" s="175">
        <v>2.2759999999999999E-2</v>
      </c>
      <c r="V349" s="706">
        <v>3.6859999999999997E-2</v>
      </c>
      <c r="W349" s="717"/>
      <c r="X349" s="713"/>
      <c r="Y349" s="718"/>
      <c r="Z349" s="709">
        <v>0</v>
      </c>
      <c r="AA349" s="175"/>
      <c r="AB349" s="200"/>
      <c r="AC349" s="205">
        <v>7.0000000000000001E-3</v>
      </c>
      <c r="AD349" s="175">
        <v>7.9</v>
      </c>
      <c r="AE349" s="175">
        <v>0.44</v>
      </c>
      <c r="AF349" s="170">
        <f t="shared" si="6"/>
        <v>3.476</v>
      </c>
      <c r="AG349" s="175">
        <v>1.37</v>
      </c>
      <c r="AH349" s="334"/>
      <c r="AI349" s="188"/>
      <c r="AJ349" s="188"/>
      <c r="AK349" s="188"/>
      <c r="AL349" s="189"/>
      <c r="AM349" s="189"/>
      <c r="AN349" s="189"/>
      <c r="AO349" s="189"/>
      <c r="AP349" s="189"/>
      <c r="AQ349" s="189"/>
      <c r="AR349" s="189"/>
      <c r="AS349" s="189"/>
      <c r="AT349" s="189"/>
      <c r="AU349" s="190"/>
      <c r="AV349" s="190"/>
      <c r="AW349" s="190"/>
      <c r="AX349" s="190"/>
      <c r="AY349" s="190"/>
      <c r="AZ349" s="189"/>
      <c r="BA349" s="189"/>
      <c r="BB349" s="189"/>
      <c r="BC349" s="189"/>
      <c r="BD349" s="189"/>
      <c r="BE349" s="189"/>
      <c r="BF349" s="189"/>
      <c r="BG349" s="189"/>
      <c r="BH349" s="189"/>
      <c r="BI349" s="190"/>
      <c r="BJ349" s="190"/>
      <c r="BK349" s="190"/>
      <c r="BL349" s="190"/>
      <c r="BM349" s="190"/>
      <c r="BN349" s="191"/>
      <c r="BO349" s="191"/>
      <c r="BP349" s="191"/>
      <c r="BQ349" s="191"/>
      <c r="BR349" s="191"/>
      <c r="BS349" s="191"/>
      <c r="BT349" s="190"/>
      <c r="BU349" s="190"/>
      <c r="BV349" s="190"/>
      <c r="BW349" s="190"/>
      <c r="BX349" s="190"/>
      <c r="BY349" s="190"/>
      <c r="BZ349" s="190"/>
      <c r="CA349" s="189"/>
      <c r="CB349" s="15"/>
    </row>
    <row r="350" spans="1:80" ht="15" x14ac:dyDescent="0.25">
      <c r="A350" s="167"/>
      <c r="B350" s="642"/>
      <c r="C350" s="642"/>
      <c r="D350" s="179"/>
      <c r="E350" s="169"/>
      <c r="F350" s="169"/>
      <c r="G350" s="186"/>
      <c r="H350" s="187"/>
      <c r="I350" s="187"/>
      <c r="J350" s="187"/>
      <c r="K350" s="187"/>
      <c r="L350" s="647"/>
      <c r="M350" s="646">
        <v>34144</v>
      </c>
      <c r="N350" s="585">
        <v>4.87</v>
      </c>
      <c r="O350" s="585">
        <v>0.13247999999999999</v>
      </c>
      <c r="P350" s="175">
        <v>0</v>
      </c>
      <c r="Q350" s="175">
        <v>5.0000000000000001E-3</v>
      </c>
      <c r="R350" s="175">
        <v>2.213E-2</v>
      </c>
      <c r="S350" s="175">
        <v>2.0990000000000002E-2</v>
      </c>
      <c r="T350" s="175">
        <v>2.3120000000000002E-2</v>
      </c>
      <c r="U350" s="175">
        <v>2.4070000000000001E-2</v>
      </c>
      <c r="V350" s="706">
        <v>3.7179999999999998E-2</v>
      </c>
      <c r="W350" s="717"/>
      <c r="X350" s="713"/>
      <c r="Y350" s="718"/>
      <c r="Z350" s="709">
        <v>0</v>
      </c>
      <c r="AA350" s="175"/>
      <c r="AB350" s="200"/>
      <c r="AC350" s="205">
        <v>7.0000000000000001E-3</v>
      </c>
      <c r="AD350" s="175">
        <v>7.85</v>
      </c>
      <c r="AE350" s="175">
        <v>0.42</v>
      </c>
      <c r="AF350" s="170">
        <f t="shared" si="6"/>
        <v>3.2969999999999997</v>
      </c>
      <c r="AG350" s="175">
        <v>1.48</v>
      </c>
      <c r="AH350" s="334"/>
      <c r="AI350" s="188"/>
      <c r="AJ350" s="188"/>
      <c r="AK350" s="188"/>
      <c r="AL350" s="189"/>
      <c r="AM350" s="189"/>
      <c r="AN350" s="189"/>
      <c r="AO350" s="189"/>
      <c r="AP350" s="189"/>
      <c r="AQ350" s="189"/>
      <c r="AR350" s="189"/>
      <c r="AS350" s="189"/>
      <c r="AT350" s="189"/>
      <c r="AU350" s="190"/>
      <c r="AV350" s="190"/>
      <c r="AW350" s="190"/>
      <c r="AX350" s="190"/>
      <c r="AY350" s="190"/>
      <c r="AZ350" s="189"/>
      <c r="BA350" s="189"/>
      <c r="BB350" s="189"/>
      <c r="BC350" s="189"/>
      <c r="BD350" s="189"/>
      <c r="BE350" s="189"/>
      <c r="BF350" s="189"/>
      <c r="BG350" s="189"/>
      <c r="BH350" s="189"/>
      <c r="BI350" s="190"/>
      <c r="BJ350" s="190"/>
      <c r="BK350" s="190"/>
      <c r="BL350" s="190"/>
      <c r="BM350" s="190"/>
      <c r="BN350" s="191"/>
      <c r="BO350" s="191"/>
      <c r="BP350" s="191"/>
      <c r="BQ350" s="191"/>
      <c r="BR350" s="191"/>
      <c r="BS350" s="191"/>
      <c r="BT350" s="190"/>
      <c r="BU350" s="190"/>
      <c r="BV350" s="190"/>
      <c r="BW350" s="190"/>
      <c r="BX350" s="190"/>
      <c r="BY350" s="190"/>
      <c r="BZ350" s="190"/>
      <c r="CA350" s="189"/>
      <c r="CB350" s="15"/>
    </row>
    <row r="351" spans="1:80" ht="15" x14ac:dyDescent="0.25">
      <c r="A351" s="167"/>
      <c r="B351" s="642"/>
      <c r="C351" s="642"/>
      <c r="D351" s="179"/>
      <c r="E351" s="169"/>
      <c r="F351" s="169"/>
      <c r="G351" s="186"/>
      <c r="H351" s="187"/>
      <c r="I351" s="187"/>
      <c r="J351" s="187"/>
      <c r="K351" s="187"/>
      <c r="L351" s="647"/>
      <c r="M351" s="646">
        <v>34145</v>
      </c>
      <c r="N351" s="585">
        <v>4.8</v>
      </c>
      <c r="O351" s="585">
        <v>0.14993000000000001</v>
      </c>
      <c r="P351" s="175">
        <v>0</v>
      </c>
      <c r="Q351" s="175">
        <v>7.7999999999999996E-3</v>
      </c>
      <c r="R351" s="175">
        <v>2.9170000000000001E-2</v>
      </c>
      <c r="S351" s="175">
        <v>2.4140000000000002E-2</v>
      </c>
      <c r="T351" s="175">
        <v>3.0519999999999999E-2</v>
      </c>
      <c r="U351" s="175">
        <v>2.6159999999999999E-2</v>
      </c>
      <c r="V351" s="706">
        <v>3.2140000000000002E-2</v>
      </c>
      <c r="W351" s="717"/>
      <c r="X351" s="713"/>
      <c r="Y351" s="718"/>
      <c r="Z351" s="709">
        <v>0</v>
      </c>
      <c r="AA351" s="175"/>
      <c r="AB351" s="200"/>
      <c r="AC351" s="205">
        <v>5.0000000000000001E-3</v>
      </c>
      <c r="AD351" s="175">
        <v>7.95</v>
      </c>
      <c r="AE351" s="175">
        <v>0.4</v>
      </c>
      <c r="AF351" s="170">
        <f t="shared" si="6"/>
        <v>3.18</v>
      </c>
      <c r="AG351" s="175">
        <v>1.5</v>
      </c>
      <c r="AH351" s="334"/>
      <c r="AI351" s="188"/>
      <c r="AJ351" s="188"/>
      <c r="AK351" s="188"/>
      <c r="AL351" s="189"/>
      <c r="AM351" s="189"/>
      <c r="AN351" s="189"/>
      <c r="AO351" s="189"/>
      <c r="AP351" s="189"/>
      <c r="AQ351" s="189"/>
      <c r="AR351" s="189"/>
      <c r="AS351" s="189"/>
      <c r="AT351" s="189"/>
      <c r="AU351" s="190"/>
      <c r="AV351" s="190"/>
      <c r="AW351" s="190"/>
      <c r="AX351" s="190"/>
      <c r="AY351" s="190"/>
      <c r="AZ351" s="189"/>
      <c r="BA351" s="189"/>
      <c r="BB351" s="189"/>
      <c r="BC351" s="189"/>
      <c r="BD351" s="189"/>
      <c r="BE351" s="189"/>
      <c r="BF351" s="189"/>
      <c r="BG351" s="189"/>
      <c r="BH351" s="189"/>
      <c r="BI351" s="190"/>
      <c r="BJ351" s="190"/>
      <c r="BK351" s="190"/>
      <c r="BL351" s="190"/>
      <c r="BM351" s="190"/>
      <c r="BN351" s="191"/>
      <c r="BO351" s="191"/>
      <c r="BP351" s="191"/>
      <c r="BQ351" s="191"/>
      <c r="BR351" s="191"/>
      <c r="BS351" s="191"/>
      <c r="BT351" s="190"/>
      <c r="BU351" s="190"/>
      <c r="BV351" s="190"/>
      <c r="BW351" s="190"/>
      <c r="BX351" s="190"/>
      <c r="BY351" s="190"/>
      <c r="BZ351" s="190"/>
      <c r="CA351" s="189"/>
      <c r="CB351" s="15"/>
    </row>
    <row r="352" spans="1:80" ht="15" x14ac:dyDescent="0.25">
      <c r="A352" s="167"/>
      <c r="B352" s="642"/>
      <c r="C352" s="642"/>
      <c r="D352" s="179"/>
      <c r="E352" s="169"/>
      <c r="F352" s="169"/>
      <c r="G352" s="186"/>
      <c r="H352" s="187"/>
      <c r="I352" s="187"/>
      <c r="J352" s="187"/>
      <c r="K352" s="187"/>
      <c r="L352" s="647"/>
      <c r="M352" s="646">
        <v>34149</v>
      </c>
      <c r="N352" s="585">
        <v>6.04</v>
      </c>
      <c r="O352" s="585">
        <v>0.27681</v>
      </c>
      <c r="P352" s="175">
        <v>0</v>
      </c>
      <c r="Q352" s="175">
        <v>4.5280000000000001E-2</v>
      </c>
      <c r="R352" s="175">
        <v>5.2699999999999997E-2</v>
      </c>
      <c r="S352" s="175">
        <v>3.1850000000000003E-2</v>
      </c>
      <c r="T352" s="175">
        <v>3.1119999999999998E-2</v>
      </c>
      <c r="U352" s="175">
        <v>3.5139999999999998E-2</v>
      </c>
      <c r="V352" s="706">
        <v>8.072E-2</v>
      </c>
      <c r="W352" s="717"/>
      <c r="X352" s="713"/>
      <c r="Y352" s="718"/>
      <c r="Z352" s="709">
        <v>0</v>
      </c>
      <c r="AA352" s="175"/>
      <c r="AB352" s="200"/>
      <c r="AC352" s="205">
        <v>8.0000000000000002E-3</v>
      </c>
      <c r="AD352" s="175">
        <v>8.0500000000000007</v>
      </c>
      <c r="AE352" s="175">
        <v>0.47</v>
      </c>
      <c r="AF352" s="170">
        <f t="shared" si="6"/>
        <v>3.7835000000000001</v>
      </c>
      <c r="AG352" s="175">
        <v>1.6</v>
      </c>
      <c r="AH352" s="334"/>
      <c r="AI352" s="188"/>
      <c r="AJ352" s="188"/>
      <c r="AK352" s="188"/>
      <c r="AL352" s="189"/>
      <c r="AM352" s="189"/>
      <c r="AN352" s="189"/>
      <c r="AO352" s="189"/>
      <c r="AP352" s="189"/>
      <c r="AQ352" s="189"/>
      <c r="AR352" s="189"/>
      <c r="AS352" s="189"/>
      <c r="AT352" s="189"/>
      <c r="AU352" s="190"/>
      <c r="AV352" s="190"/>
      <c r="AW352" s="190"/>
      <c r="AX352" s="190"/>
      <c r="AY352" s="190"/>
      <c r="AZ352" s="189"/>
      <c r="BA352" s="189"/>
      <c r="BB352" s="189"/>
      <c r="BC352" s="189"/>
      <c r="BD352" s="189"/>
      <c r="BE352" s="189"/>
      <c r="BF352" s="189"/>
      <c r="BG352" s="189"/>
      <c r="BH352" s="189"/>
      <c r="BI352" s="190"/>
      <c r="BJ352" s="190"/>
      <c r="BK352" s="190"/>
      <c r="BL352" s="190"/>
      <c r="BM352" s="190"/>
      <c r="BN352" s="191"/>
      <c r="BO352" s="191"/>
      <c r="BP352" s="191"/>
      <c r="BQ352" s="191"/>
      <c r="BR352" s="191"/>
      <c r="BS352" s="191"/>
      <c r="BT352" s="190"/>
      <c r="BU352" s="190"/>
      <c r="BV352" s="190"/>
      <c r="BW352" s="190"/>
      <c r="BX352" s="190"/>
      <c r="BY352" s="190"/>
      <c r="BZ352" s="190"/>
      <c r="CA352" s="189"/>
      <c r="CB352" s="15"/>
    </row>
    <row r="353" spans="1:80" ht="15" x14ac:dyDescent="0.25">
      <c r="A353" s="167"/>
      <c r="B353" s="642"/>
      <c r="C353" s="642"/>
      <c r="D353" s="179"/>
      <c r="E353" s="169"/>
      <c r="F353" s="169"/>
      <c r="G353" s="186"/>
      <c r="H353" s="187"/>
      <c r="I353" s="187"/>
      <c r="J353" s="187"/>
      <c r="K353" s="187"/>
      <c r="L353" s="647"/>
      <c r="M353" s="646">
        <v>34151</v>
      </c>
      <c r="N353" s="585">
        <v>5.73</v>
      </c>
      <c r="O353" s="585">
        <v>0.29854000000000003</v>
      </c>
      <c r="P353" s="175">
        <v>0</v>
      </c>
      <c r="Q353" s="175">
        <v>3.243E-2</v>
      </c>
      <c r="R353" s="175">
        <v>4.6800000000000001E-2</v>
      </c>
      <c r="S353" s="175">
        <v>5.5460000000000002E-2</v>
      </c>
      <c r="T353" s="175">
        <v>5.57E-2</v>
      </c>
      <c r="U353" s="175">
        <v>4.9320000000000003E-2</v>
      </c>
      <c r="V353" s="706">
        <v>5.883E-2</v>
      </c>
      <c r="W353" s="717"/>
      <c r="X353" s="713"/>
      <c r="Y353" s="718"/>
      <c r="Z353" s="709">
        <v>0</v>
      </c>
      <c r="AA353" s="175"/>
      <c r="AB353" s="200"/>
      <c r="AC353" s="205">
        <v>6.0000000000000001E-3</v>
      </c>
      <c r="AD353" s="175">
        <v>7.9</v>
      </c>
      <c r="AE353" s="175">
        <v>0.45</v>
      </c>
      <c r="AF353" s="170">
        <f t="shared" si="6"/>
        <v>3.5550000000000002</v>
      </c>
      <c r="AG353" s="175">
        <v>1.6</v>
      </c>
      <c r="AH353" s="334"/>
      <c r="AI353" s="188"/>
      <c r="AJ353" s="188"/>
      <c r="AK353" s="188"/>
      <c r="AL353" s="189"/>
      <c r="AM353" s="189"/>
      <c r="AN353" s="189"/>
      <c r="AO353" s="189"/>
      <c r="AP353" s="189"/>
      <c r="AQ353" s="189"/>
      <c r="AR353" s="189"/>
      <c r="AS353" s="189"/>
      <c r="AT353" s="189"/>
      <c r="AU353" s="190"/>
      <c r="AV353" s="190"/>
      <c r="AW353" s="190"/>
      <c r="AX353" s="190"/>
      <c r="AY353" s="190"/>
      <c r="AZ353" s="189"/>
      <c r="BA353" s="189"/>
      <c r="BB353" s="189"/>
      <c r="BC353" s="189"/>
      <c r="BD353" s="189"/>
      <c r="BE353" s="189"/>
      <c r="BF353" s="189"/>
      <c r="BG353" s="189"/>
      <c r="BH353" s="189"/>
      <c r="BI353" s="190"/>
      <c r="BJ353" s="190"/>
      <c r="BK353" s="190"/>
      <c r="BL353" s="190"/>
      <c r="BM353" s="190"/>
      <c r="BN353" s="191"/>
      <c r="BO353" s="191"/>
      <c r="BP353" s="191"/>
      <c r="BQ353" s="191"/>
      <c r="BR353" s="191"/>
      <c r="BS353" s="191"/>
      <c r="BT353" s="190"/>
      <c r="BU353" s="190"/>
      <c r="BV353" s="190"/>
      <c r="BW353" s="190"/>
      <c r="BX353" s="190"/>
      <c r="BY353" s="190"/>
      <c r="BZ353" s="190"/>
      <c r="CA353" s="189"/>
      <c r="CB353" s="15"/>
    </row>
    <row r="354" spans="1:80" ht="15" x14ac:dyDescent="0.25">
      <c r="A354" s="167"/>
      <c r="B354" s="642"/>
      <c r="C354" s="642"/>
      <c r="D354" s="179"/>
      <c r="E354" s="169"/>
      <c r="F354" s="169"/>
      <c r="G354" s="186"/>
      <c r="H354" s="187"/>
      <c r="I354" s="187"/>
      <c r="J354" s="187"/>
      <c r="K354" s="187"/>
      <c r="L354" s="647"/>
      <c r="M354" s="646">
        <v>34153</v>
      </c>
      <c r="N354" s="585">
        <v>5.2</v>
      </c>
      <c r="O354" s="585">
        <v>0.14071</v>
      </c>
      <c r="P354" s="175">
        <v>0</v>
      </c>
      <c r="Q354" s="175">
        <v>8.0800000000000004E-3</v>
      </c>
      <c r="R354" s="175">
        <v>1.95E-2</v>
      </c>
      <c r="S354" s="175">
        <v>2.5229999999999999E-2</v>
      </c>
      <c r="T354" s="175">
        <v>2.7189999999999999E-2</v>
      </c>
      <c r="U354" s="175">
        <v>2.5590000000000002E-2</v>
      </c>
      <c r="V354" s="706">
        <v>3.5119999999999998E-2</v>
      </c>
      <c r="W354" s="717"/>
      <c r="X354" s="713"/>
      <c r="Y354" s="718"/>
      <c r="Z354" s="709">
        <v>0</v>
      </c>
      <c r="AA354" s="175"/>
      <c r="AB354" s="200"/>
      <c r="AC354" s="205">
        <v>7.0000000000000001E-3</v>
      </c>
      <c r="AD354" s="175">
        <v>7.9</v>
      </c>
      <c r="AE354" s="175">
        <v>0.43</v>
      </c>
      <c r="AF354" s="170">
        <f t="shared" si="6"/>
        <v>3.3970000000000002</v>
      </c>
      <c r="AG354" s="175">
        <v>1.52</v>
      </c>
      <c r="AH354" s="334"/>
      <c r="AI354" s="188"/>
      <c r="AJ354" s="188"/>
      <c r="AK354" s="188"/>
      <c r="AL354" s="189"/>
      <c r="AM354" s="189"/>
      <c r="AN354" s="189"/>
      <c r="AO354" s="189"/>
      <c r="AP354" s="189"/>
      <c r="AQ354" s="189"/>
      <c r="AR354" s="189"/>
      <c r="AS354" s="189"/>
      <c r="AT354" s="189"/>
      <c r="AU354" s="190"/>
      <c r="AV354" s="190"/>
      <c r="AW354" s="190"/>
      <c r="AX354" s="190"/>
      <c r="AY354" s="190"/>
      <c r="AZ354" s="189"/>
      <c r="BA354" s="189"/>
      <c r="BB354" s="189"/>
      <c r="BC354" s="189"/>
      <c r="BD354" s="189"/>
      <c r="BE354" s="189"/>
      <c r="BF354" s="189"/>
      <c r="BG354" s="189"/>
      <c r="BH354" s="189"/>
      <c r="BI354" s="190"/>
      <c r="BJ354" s="190"/>
      <c r="BK354" s="190"/>
      <c r="BL354" s="190"/>
      <c r="BM354" s="190"/>
      <c r="BN354" s="191"/>
      <c r="BO354" s="191"/>
      <c r="BP354" s="191"/>
      <c r="BQ354" s="191"/>
      <c r="BR354" s="191"/>
      <c r="BS354" s="191"/>
      <c r="BT354" s="190"/>
      <c r="BU354" s="190"/>
      <c r="BV354" s="190"/>
      <c r="BW354" s="190"/>
      <c r="BX354" s="190"/>
      <c r="BY354" s="190"/>
      <c r="BZ354" s="190"/>
      <c r="CA354" s="189"/>
      <c r="CB354" s="15"/>
    </row>
    <row r="355" spans="1:80" ht="15" x14ac:dyDescent="0.25">
      <c r="A355" s="167"/>
      <c r="B355" s="642"/>
      <c r="C355" s="642"/>
      <c r="D355" s="179"/>
      <c r="E355" s="169"/>
      <c r="F355" s="169"/>
      <c r="G355" s="186"/>
      <c r="H355" s="187"/>
      <c r="I355" s="187"/>
      <c r="J355" s="187"/>
      <c r="K355" s="187"/>
      <c r="L355" s="647"/>
      <c r="M355" s="646">
        <v>34156</v>
      </c>
      <c r="N355" s="585">
        <v>3.65</v>
      </c>
      <c r="O355" s="585">
        <v>2.3910000000000001E-2</v>
      </c>
      <c r="P355" s="175">
        <v>0</v>
      </c>
      <c r="Q355" s="175">
        <v>0</v>
      </c>
      <c r="R355" s="175">
        <v>2.6800000000000001E-3</v>
      </c>
      <c r="S355" s="175">
        <v>4.0000000000000001E-3</v>
      </c>
      <c r="T355" s="175">
        <v>4.15E-3</v>
      </c>
      <c r="U355" s="175">
        <v>4.8799999999999998E-3</v>
      </c>
      <c r="V355" s="706">
        <v>8.2000000000000007E-3</v>
      </c>
      <c r="W355" s="717"/>
      <c r="X355" s="713"/>
      <c r="Y355" s="718"/>
      <c r="Z355" s="709">
        <v>0</v>
      </c>
      <c r="AA355" s="175"/>
      <c r="AB355" s="200"/>
      <c r="AC355" s="205">
        <v>7.0000000000000001E-3</v>
      </c>
      <c r="AD355" s="175">
        <v>7.75</v>
      </c>
      <c r="AE355" s="175">
        <v>0.36</v>
      </c>
      <c r="AF355" s="170">
        <f t="shared" si="6"/>
        <v>2.79</v>
      </c>
      <c r="AG355" s="175">
        <v>1.3</v>
      </c>
      <c r="AH355" s="334"/>
      <c r="AI355" s="188"/>
      <c r="AJ355" s="188"/>
      <c r="AK355" s="188"/>
      <c r="AL355" s="189"/>
      <c r="AM355" s="189"/>
      <c r="AN355" s="189"/>
      <c r="AO355" s="189"/>
      <c r="AP355" s="189"/>
      <c r="AQ355" s="189"/>
      <c r="AR355" s="189"/>
      <c r="AS355" s="189"/>
      <c r="AT355" s="189"/>
      <c r="AU355" s="190"/>
      <c r="AV355" s="190"/>
      <c r="AW355" s="190"/>
      <c r="AX355" s="190"/>
      <c r="AY355" s="190"/>
      <c r="AZ355" s="189"/>
      <c r="BA355" s="189"/>
      <c r="BB355" s="189"/>
      <c r="BC355" s="189"/>
      <c r="BD355" s="189"/>
      <c r="BE355" s="189"/>
      <c r="BF355" s="189"/>
      <c r="BG355" s="189"/>
      <c r="BH355" s="189"/>
      <c r="BI355" s="190"/>
      <c r="BJ355" s="190"/>
      <c r="BK355" s="190"/>
      <c r="BL355" s="190"/>
      <c r="BM355" s="190"/>
      <c r="BN355" s="191"/>
      <c r="BO355" s="191"/>
      <c r="BP355" s="191"/>
      <c r="BQ355" s="191"/>
      <c r="BR355" s="191"/>
      <c r="BS355" s="191"/>
      <c r="BT355" s="190"/>
      <c r="BU355" s="190"/>
      <c r="BV355" s="190"/>
      <c r="BW355" s="190"/>
      <c r="BX355" s="190"/>
      <c r="BY355" s="190"/>
      <c r="BZ355" s="190"/>
      <c r="CA355" s="189"/>
      <c r="CB355" s="15"/>
    </row>
    <row r="356" spans="1:80" ht="15" x14ac:dyDescent="0.25">
      <c r="A356" s="167"/>
      <c r="B356" s="642"/>
      <c r="C356" s="642"/>
      <c r="D356" s="179"/>
      <c r="E356" s="169"/>
      <c r="F356" s="169"/>
      <c r="G356" s="186"/>
      <c r="H356" s="187"/>
      <c r="I356" s="187"/>
      <c r="J356" s="187"/>
      <c r="K356" s="187"/>
      <c r="L356" s="647"/>
      <c r="M356" s="646">
        <v>34158</v>
      </c>
      <c r="N356" s="585">
        <v>3.69</v>
      </c>
      <c r="O356" s="585">
        <v>6.9690000000000002E-2</v>
      </c>
      <c r="P356" s="175">
        <v>0</v>
      </c>
      <c r="Q356" s="175">
        <v>1.213E-2</v>
      </c>
      <c r="R356" s="175">
        <v>1.336E-2</v>
      </c>
      <c r="S356" s="175">
        <v>1.0370000000000001E-2</v>
      </c>
      <c r="T356" s="175">
        <v>8.3199999999999993E-3</v>
      </c>
      <c r="U356" s="175">
        <v>9.2200000000000008E-3</v>
      </c>
      <c r="V356" s="706">
        <v>1.6289999999999999E-2</v>
      </c>
      <c r="W356" s="717"/>
      <c r="X356" s="713"/>
      <c r="Y356" s="718"/>
      <c r="Z356" s="709">
        <v>0</v>
      </c>
      <c r="AA356" s="175"/>
      <c r="AB356" s="200"/>
      <c r="AC356" s="205">
        <v>7.0000000000000001E-3</v>
      </c>
      <c r="AD356" s="175">
        <v>7.65</v>
      </c>
      <c r="AE356" s="175">
        <v>0.36</v>
      </c>
      <c r="AF356" s="170">
        <f t="shared" si="6"/>
        <v>2.754</v>
      </c>
      <c r="AG356" s="175">
        <v>1.35</v>
      </c>
      <c r="AH356" s="334"/>
      <c r="AI356" s="188"/>
      <c r="AJ356" s="188"/>
      <c r="AK356" s="188"/>
      <c r="AL356" s="189"/>
      <c r="AM356" s="189"/>
      <c r="AN356" s="189"/>
      <c r="AO356" s="189"/>
      <c r="AP356" s="189"/>
      <c r="AQ356" s="189"/>
      <c r="AR356" s="189"/>
      <c r="AS356" s="189"/>
      <c r="AT356" s="189"/>
      <c r="AU356" s="190"/>
      <c r="AV356" s="190"/>
      <c r="AW356" s="190"/>
      <c r="AX356" s="190"/>
      <c r="AY356" s="190"/>
      <c r="AZ356" s="189"/>
      <c r="BA356" s="189"/>
      <c r="BB356" s="189"/>
      <c r="BC356" s="189"/>
      <c r="BD356" s="189"/>
      <c r="BE356" s="189"/>
      <c r="BF356" s="189"/>
      <c r="BG356" s="189"/>
      <c r="BH356" s="189"/>
      <c r="BI356" s="190"/>
      <c r="BJ356" s="190"/>
      <c r="BK356" s="190"/>
      <c r="BL356" s="190"/>
      <c r="BM356" s="190"/>
      <c r="BN356" s="191"/>
      <c r="BO356" s="191"/>
      <c r="BP356" s="191"/>
      <c r="BQ356" s="191"/>
      <c r="BR356" s="191"/>
      <c r="BS356" s="191"/>
      <c r="BT356" s="190"/>
      <c r="BU356" s="190"/>
      <c r="BV356" s="190"/>
      <c r="BW356" s="190"/>
      <c r="BX356" s="190"/>
      <c r="BY356" s="190"/>
      <c r="BZ356" s="190"/>
      <c r="CA356" s="189"/>
      <c r="CB356" s="15"/>
    </row>
    <row r="357" spans="1:80" ht="15" x14ac:dyDescent="0.25">
      <c r="A357" s="167"/>
      <c r="B357" s="642"/>
      <c r="C357" s="642"/>
      <c r="D357" s="179"/>
      <c r="E357" s="169"/>
      <c r="F357" s="169"/>
      <c r="G357" s="186"/>
      <c r="H357" s="187"/>
      <c r="I357" s="187"/>
      <c r="J357" s="187"/>
      <c r="K357" s="187"/>
      <c r="L357" s="647"/>
      <c r="M357" s="646">
        <v>34160</v>
      </c>
      <c r="N357" s="585">
        <v>0.86</v>
      </c>
      <c r="O357" s="585">
        <v>1.9000000000000001E-4</v>
      </c>
      <c r="P357" s="175">
        <v>0</v>
      </c>
      <c r="Q357" s="175">
        <v>0</v>
      </c>
      <c r="R357" s="175">
        <v>0</v>
      </c>
      <c r="S357" s="175">
        <v>0</v>
      </c>
      <c r="T357" s="175">
        <v>8.0000000000000007E-5</v>
      </c>
      <c r="U357" s="175">
        <v>5.0000000000000002E-5</v>
      </c>
      <c r="V357" s="706">
        <v>6.0000000000000002E-5</v>
      </c>
      <c r="W357" s="717"/>
      <c r="X357" s="713"/>
      <c r="Y357" s="718"/>
      <c r="Z357" s="709">
        <v>0</v>
      </c>
      <c r="AA357" s="175"/>
      <c r="AB357" s="200"/>
      <c r="AC357" s="205">
        <v>1.2E-2</v>
      </c>
      <c r="AD357" s="175">
        <v>6.7</v>
      </c>
      <c r="AE357" s="175">
        <v>0.2</v>
      </c>
      <c r="AF357" s="170">
        <f t="shared" si="6"/>
        <v>1.34</v>
      </c>
      <c r="AG357" s="175">
        <v>0.65</v>
      </c>
      <c r="AH357" s="334"/>
      <c r="AI357" s="188"/>
      <c r="AJ357" s="188"/>
      <c r="AK357" s="188"/>
      <c r="AL357" s="189"/>
      <c r="AM357" s="189"/>
      <c r="AN357" s="189"/>
      <c r="AO357" s="189"/>
      <c r="AP357" s="189"/>
      <c r="AQ357" s="189"/>
      <c r="AR357" s="189"/>
      <c r="AS357" s="189"/>
      <c r="AT357" s="189"/>
      <c r="AU357" s="190"/>
      <c r="AV357" s="190"/>
      <c r="AW357" s="190"/>
      <c r="AX357" s="190"/>
      <c r="AY357" s="190"/>
      <c r="AZ357" s="189"/>
      <c r="BA357" s="189"/>
      <c r="BB357" s="189"/>
      <c r="BC357" s="189"/>
      <c r="BD357" s="189"/>
      <c r="BE357" s="189"/>
      <c r="BF357" s="189"/>
      <c r="BG357" s="189"/>
      <c r="BH357" s="189"/>
      <c r="BI357" s="190"/>
      <c r="BJ357" s="190"/>
      <c r="BK357" s="190"/>
      <c r="BL357" s="190"/>
      <c r="BM357" s="190"/>
      <c r="BN357" s="191"/>
      <c r="BO357" s="191"/>
      <c r="BP357" s="191"/>
      <c r="BQ357" s="191"/>
      <c r="BR357" s="191"/>
      <c r="BS357" s="191"/>
      <c r="BT357" s="190"/>
      <c r="BU357" s="190"/>
      <c r="BV357" s="190"/>
      <c r="BW357" s="190"/>
      <c r="BX357" s="190"/>
      <c r="BY357" s="190"/>
      <c r="BZ357" s="190"/>
      <c r="CA357" s="189"/>
      <c r="CB357" s="15"/>
    </row>
    <row r="358" spans="1:80" ht="15" x14ac:dyDescent="0.25">
      <c r="A358" s="167"/>
      <c r="B358" s="642"/>
      <c r="C358" s="642"/>
      <c r="D358" s="179"/>
      <c r="E358" s="169"/>
      <c r="F358" s="169"/>
      <c r="G358" s="186"/>
      <c r="H358" s="187"/>
      <c r="I358" s="187"/>
      <c r="J358" s="187"/>
      <c r="K358" s="187"/>
      <c r="L358" s="647"/>
      <c r="M358" s="646">
        <v>34161</v>
      </c>
      <c r="N358" s="585">
        <v>0.89</v>
      </c>
      <c r="O358" s="585">
        <v>3.5799999999999998E-3</v>
      </c>
      <c r="P358" s="175">
        <v>0</v>
      </c>
      <c r="Q358" s="175">
        <v>0</v>
      </c>
      <c r="R358" s="175">
        <v>2.0600000000000002E-3</v>
      </c>
      <c r="S358" s="175">
        <v>9.7999999999999997E-4</v>
      </c>
      <c r="T358" s="175">
        <v>8.0000000000000007E-5</v>
      </c>
      <c r="U358" s="175">
        <v>1.4999999999999999E-4</v>
      </c>
      <c r="V358" s="706">
        <v>2.9999999999999997E-4</v>
      </c>
      <c r="W358" s="717"/>
      <c r="X358" s="713"/>
      <c r="Y358" s="718"/>
      <c r="Z358" s="709">
        <v>0</v>
      </c>
      <c r="AA358" s="175"/>
      <c r="AB358" s="200"/>
      <c r="AC358" s="205">
        <v>1.0999999999999999E-2</v>
      </c>
      <c r="AD358" s="175">
        <v>6.6</v>
      </c>
      <c r="AE358" s="175">
        <v>0.2</v>
      </c>
      <c r="AF358" s="170">
        <f t="shared" si="6"/>
        <v>1.32</v>
      </c>
      <c r="AG358" s="175">
        <v>0.69</v>
      </c>
      <c r="AH358" s="334"/>
      <c r="AI358" s="188"/>
      <c r="AJ358" s="188"/>
      <c r="AK358" s="188"/>
      <c r="AL358" s="189"/>
      <c r="AM358" s="189"/>
      <c r="AN358" s="189"/>
      <c r="AO358" s="189"/>
      <c r="AP358" s="189"/>
      <c r="AQ358" s="189"/>
      <c r="AR358" s="189"/>
      <c r="AS358" s="189"/>
      <c r="AT358" s="189"/>
      <c r="AU358" s="190"/>
      <c r="AV358" s="190"/>
      <c r="AW358" s="190"/>
      <c r="AX358" s="190"/>
      <c r="AY358" s="190"/>
      <c r="AZ358" s="189"/>
      <c r="BA358" s="189"/>
      <c r="BB358" s="189"/>
      <c r="BC358" s="189"/>
      <c r="BD358" s="189"/>
      <c r="BE358" s="189"/>
      <c r="BF358" s="189"/>
      <c r="BG358" s="189"/>
      <c r="BH358" s="189"/>
      <c r="BI358" s="190"/>
      <c r="BJ358" s="190"/>
      <c r="BK358" s="190"/>
      <c r="BL358" s="190"/>
      <c r="BM358" s="190"/>
      <c r="BN358" s="191"/>
      <c r="BO358" s="191"/>
      <c r="BP358" s="191"/>
      <c r="BQ358" s="191"/>
      <c r="BR358" s="191"/>
      <c r="BS358" s="191"/>
      <c r="BT358" s="190"/>
      <c r="BU358" s="190"/>
      <c r="BV358" s="190"/>
      <c r="BW358" s="190"/>
      <c r="BX358" s="190"/>
      <c r="BY358" s="190"/>
      <c r="BZ358" s="190"/>
      <c r="CA358" s="189"/>
      <c r="CB358" s="15"/>
    </row>
    <row r="359" spans="1:80" ht="15" x14ac:dyDescent="0.25">
      <c r="A359" s="167"/>
      <c r="B359" s="642"/>
      <c r="C359" s="642"/>
      <c r="D359" s="179"/>
      <c r="E359" s="169"/>
      <c r="F359" s="169"/>
      <c r="G359" s="186"/>
      <c r="H359" s="187"/>
      <c r="I359" s="187"/>
      <c r="J359" s="187"/>
      <c r="K359" s="187"/>
      <c r="L359" s="647"/>
      <c r="M359" s="646">
        <v>34164</v>
      </c>
      <c r="N359" s="585">
        <v>0.68</v>
      </c>
      <c r="O359" s="585">
        <v>1.0399999999999999E-3</v>
      </c>
      <c r="P359" s="175">
        <v>0</v>
      </c>
      <c r="Q359" s="175">
        <v>0</v>
      </c>
      <c r="R359" s="175">
        <v>0</v>
      </c>
      <c r="S359" s="175">
        <v>1.7000000000000001E-4</v>
      </c>
      <c r="T359" s="175">
        <v>3.5E-4</v>
      </c>
      <c r="U359" s="175">
        <v>1.9000000000000001E-4</v>
      </c>
      <c r="V359" s="706">
        <v>3.2000000000000003E-4</v>
      </c>
      <c r="W359" s="717"/>
      <c r="X359" s="713"/>
      <c r="Y359" s="718"/>
      <c r="Z359" s="709">
        <v>0</v>
      </c>
      <c r="AA359" s="175"/>
      <c r="AB359" s="200"/>
      <c r="AC359" s="205">
        <v>7.0000000000000001E-3</v>
      </c>
      <c r="AD359" s="175">
        <v>6.55</v>
      </c>
      <c r="AE359" s="175">
        <v>0.19</v>
      </c>
      <c r="AF359" s="170">
        <f t="shared" si="6"/>
        <v>1.2444999999999999</v>
      </c>
      <c r="AG359" s="175">
        <v>0.55000000000000004</v>
      </c>
      <c r="AH359" s="334"/>
      <c r="AI359" s="188"/>
      <c r="AJ359" s="188"/>
      <c r="AK359" s="188"/>
      <c r="AL359" s="189"/>
      <c r="AM359" s="189"/>
      <c r="AN359" s="189"/>
      <c r="AO359" s="189"/>
      <c r="AP359" s="189"/>
      <c r="AQ359" s="189"/>
      <c r="AR359" s="189"/>
      <c r="AS359" s="189"/>
      <c r="AT359" s="189"/>
      <c r="AU359" s="190"/>
      <c r="AV359" s="190"/>
      <c r="AW359" s="190"/>
      <c r="AX359" s="190"/>
      <c r="AY359" s="190"/>
      <c r="AZ359" s="189"/>
      <c r="BA359" s="189"/>
      <c r="BB359" s="189"/>
      <c r="BC359" s="189"/>
      <c r="BD359" s="189"/>
      <c r="BE359" s="189"/>
      <c r="BF359" s="189"/>
      <c r="BG359" s="189"/>
      <c r="BH359" s="189"/>
      <c r="BI359" s="190"/>
      <c r="BJ359" s="190"/>
      <c r="BK359" s="190"/>
      <c r="BL359" s="190"/>
      <c r="BM359" s="190"/>
      <c r="BN359" s="191"/>
      <c r="BO359" s="191"/>
      <c r="BP359" s="191"/>
      <c r="BQ359" s="191"/>
      <c r="BR359" s="191"/>
      <c r="BS359" s="191"/>
      <c r="BT359" s="190"/>
      <c r="BU359" s="190"/>
      <c r="BV359" s="190"/>
      <c r="BW359" s="190"/>
      <c r="BX359" s="190"/>
      <c r="BY359" s="190"/>
      <c r="BZ359" s="190"/>
      <c r="CA359" s="189"/>
      <c r="CB359" s="15"/>
    </row>
    <row r="360" spans="1:80" ht="15" x14ac:dyDescent="0.25">
      <c r="A360" s="167"/>
      <c r="B360" s="642"/>
      <c r="C360" s="642"/>
      <c r="D360" s="179"/>
      <c r="E360" s="169"/>
      <c r="F360" s="169"/>
      <c r="G360" s="186"/>
      <c r="H360" s="187"/>
      <c r="I360" s="187"/>
      <c r="J360" s="187"/>
      <c r="K360" s="187"/>
      <c r="L360" s="647"/>
      <c r="M360" s="646">
        <v>34166</v>
      </c>
      <c r="N360" s="585">
        <v>0.65</v>
      </c>
      <c r="O360" s="585">
        <v>8.3000000000000001E-4</v>
      </c>
      <c r="P360" s="175">
        <v>0</v>
      </c>
      <c r="Q360" s="175">
        <v>0</v>
      </c>
      <c r="R360" s="175">
        <v>0</v>
      </c>
      <c r="S360" s="175">
        <v>1.7000000000000001E-4</v>
      </c>
      <c r="T360" s="175">
        <v>2.1000000000000001E-4</v>
      </c>
      <c r="U360" s="175">
        <v>2.2000000000000001E-4</v>
      </c>
      <c r="V360" s="706">
        <v>2.3000000000000001E-4</v>
      </c>
      <c r="W360" s="717"/>
      <c r="X360" s="713"/>
      <c r="Y360" s="718"/>
      <c r="Z360" s="709">
        <v>0</v>
      </c>
      <c r="AA360" s="175"/>
      <c r="AB360" s="200"/>
      <c r="AC360" s="205">
        <v>1.0999999999999999E-2</v>
      </c>
      <c r="AD360" s="175">
        <v>6.7</v>
      </c>
      <c r="AE360" s="175">
        <v>0.17</v>
      </c>
      <c r="AF360" s="170">
        <f t="shared" si="6"/>
        <v>1.139</v>
      </c>
      <c r="AG360" s="175">
        <v>0.57999999999999996</v>
      </c>
      <c r="AH360" s="334"/>
      <c r="AI360" s="188"/>
      <c r="AJ360" s="188"/>
      <c r="AK360" s="188"/>
      <c r="AL360" s="189"/>
      <c r="AM360" s="189"/>
      <c r="AN360" s="189"/>
      <c r="AO360" s="189"/>
      <c r="AP360" s="189"/>
      <c r="AQ360" s="189"/>
      <c r="AR360" s="189"/>
      <c r="AS360" s="189"/>
      <c r="AT360" s="189"/>
      <c r="AU360" s="190"/>
      <c r="AV360" s="190"/>
      <c r="AW360" s="190"/>
      <c r="AX360" s="190"/>
      <c r="AY360" s="190"/>
      <c r="AZ360" s="189"/>
      <c r="BA360" s="189"/>
      <c r="BB360" s="189"/>
      <c r="BC360" s="189"/>
      <c r="BD360" s="189"/>
      <c r="BE360" s="189"/>
      <c r="BF360" s="189"/>
      <c r="BG360" s="189"/>
      <c r="BH360" s="189"/>
      <c r="BI360" s="190"/>
      <c r="BJ360" s="190"/>
      <c r="BK360" s="190"/>
      <c r="BL360" s="190"/>
      <c r="BM360" s="190"/>
      <c r="BN360" s="191"/>
      <c r="BO360" s="191"/>
      <c r="BP360" s="191"/>
      <c r="BQ360" s="191"/>
      <c r="BR360" s="191"/>
      <c r="BS360" s="191"/>
      <c r="BT360" s="190"/>
      <c r="BU360" s="190"/>
      <c r="BV360" s="190"/>
      <c r="BW360" s="190"/>
      <c r="BX360" s="190"/>
      <c r="BY360" s="190"/>
      <c r="BZ360" s="190"/>
      <c r="CA360" s="189"/>
      <c r="CB360" s="15"/>
    </row>
    <row r="361" spans="1:80" ht="15" x14ac:dyDescent="0.25">
      <c r="A361" s="167"/>
      <c r="B361" s="642"/>
      <c r="C361" s="642"/>
      <c r="D361" s="179"/>
      <c r="E361" s="169"/>
      <c r="F361" s="169"/>
      <c r="G361" s="186"/>
      <c r="H361" s="187"/>
      <c r="I361" s="187"/>
      <c r="J361" s="187"/>
      <c r="K361" s="187"/>
      <c r="L361" s="647"/>
      <c r="M361" s="646">
        <v>34170</v>
      </c>
      <c r="N361" s="585">
        <v>1.98</v>
      </c>
      <c r="O361" s="585">
        <v>9.4800000000000006E-3</v>
      </c>
      <c r="P361" s="175">
        <v>0</v>
      </c>
      <c r="Q361" s="175">
        <v>0</v>
      </c>
      <c r="R361" s="175">
        <v>6.6E-4</v>
      </c>
      <c r="S361" s="175">
        <v>1.39E-3</v>
      </c>
      <c r="T361" s="175">
        <v>1.6000000000000001E-3</v>
      </c>
      <c r="U361" s="175">
        <v>2.0799999999999998E-3</v>
      </c>
      <c r="V361" s="706">
        <v>3.7399999999999998E-3</v>
      </c>
      <c r="W361" s="717"/>
      <c r="X361" s="713"/>
      <c r="Y361" s="718"/>
      <c r="Z361" s="709">
        <v>0</v>
      </c>
      <c r="AA361" s="175"/>
      <c r="AB361" s="200"/>
      <c r="AC361" s="205">
        <v>6.0000000000000001E-3</v>
      </c>
      <c r="AD361" s="175">
        <v>6.85</v>
      </c>
      <c r="AE361" s="175">
        <v>0.3</v>
      </c>
      <c r="AF361" s="170">
        <f t="shared" si="6"/>
        <v>2.0549999999999997</v>
      </c>
      <c r="AG361" s="175">
        <v>0.97</v>
      </c>
      <c r="AH361" s="334"/>
      <c r="AI361" s="188"/>
      <c r="AJ361" s="188"/>
      <c r="AK361" s="188"/>
      <c r="AL361" s="189"/>
      <c r="AM361" s="189"/>
      <c r="AN361" s="189"/>
      <c r="AO361" s="189"/>
      <c r="AP361" s="189"/>
      <c r="AQ361" s="189"/>
      <c r="AR361" s="189"/>
      <c r="AS361" s="189"/>
      <c r="AT361" s="189"/>
      <c r="AU361" s="190"/>
      <c r="AV361" s="190"/>
      <c r="AW361" s="190"/>
      <c r="AX361" s="190"/>
      <c r="AY361" s="190"/>
      <c r="AZ361" s="189"/>
      <c r="BA361" s="189"/>
      <c r="BB361" s="189"/>
      <c r="BC361" s="189"/>
      <c r="BD361" s="189"/>
      <c r="BE361" s="189"/>
      <c r="BF361" s="189"/>
      <c r="BG361" s="189"/>
      <c r="BH361" s="189"/>
      <c r="BI361" s="190"/>
      <c r="BJ361" s="190"/>
      <c r="BK361" s="190"/>
      <c r="BL361" s="190"/>
      <c r="BM361" s="190"/>
      <c r="BN361" s="191"/>
      <c r="BO361" s="191"/>
      <c r="BP361" s="191"/>
      <c r="BQ361" s="191"/>
      <c r="BR361" s="191"/>
      <c r="BS361" s="191"/>
      <c r="BT361" s="190"/>
      <c r="BU361" s="190"/>
      <c r="BV361" s="190"/>
      <c r="BW361" s="190"/>
      <c r="BX361" s="190"/>
      <c r="BY361" s="190"/>
      <c r="BZ361" s="190"/>
      <c r="CA361" s="189"/>
      <c r="CB361" s="15"/>
    </row>
    <row r="362" spans="1:80" ht="15" x14ac:dyDescent="0.25">
      <c r="A362" s="167"/>
      <c r="B362" s="642"/>
      <c r="C362" s="642"/>
      <c r="D362" s="179"/>
      <c r="E362" s="169"/>
      <c r="F362" s="169"/>
      <c r="G362" s="186"/>
      <c r="H362" s="187"/>
      <c r="I362" s="187"/>
      <c r="J362" s="187"/>
      <c r="K362" s="187"/>
      <c r="L362" s="647"/>
      <c r="M362" s="646">
        <v>34174</v>
      </c>
      <c r="N362" s="585">
        <v>1.98</v>
      </c>
      <c r="O362" s="585">
        <v>3.6800000000000001E-3</v>
      </c>
      <c r="P362" s="175">
        <v>0</v>
      </c>
      <c r="Q362" s="175">
        <v>0</v>
      </c>
      <c r="R362" s="175">
        <v>0</v>
      </c>
      <c r="S362" s="175">
        <v>7.7999999999999999E-4</v>
      </c>
      <c r="T362" s="175">
        <v>8.4999999999999995E-4</v>
      </c>
      <c r="U362" s="175">
        <v>6.9999999999999999E-4</v>
      </c>
      <c r="V362" s="706">
        <v>1.34E-3</v>
      </c>
      <c r="W362" s="717"/>
      <c r="X362" s="713"/>
      <c r="Y362" s="718"/>
      <c r="Z362" s="709">
        <v>0</v>
      </c>
      <c r="AA362" s="175"/>
      <c r="AB362" s="200"/>
      <c r="AC362" s="205">
        <v>7.0000000000000001E-3</v>
      </c>
      <c r="AD362" s="175">
        <v>6.85</v>
      </c>
      <c r="AE362" s="175">
        <v>0.27</v>
      </c>
      <c r="AF362" s="170">
        <f t="shared" si="6"/>
        <v>1.8494999999999999</v>
      </c>
      <c r="AG362" s="175">
        <v>1.06</v>
      </c>
      <c r="AH362" s="334"/>
      <c r="AI362" s="188"/>
      <c r="AJ362" s="188"/>
      <c r="AK362" s="188"/>
      <c r="AL362" s="189"/>
      <c r="AM362" s="189"/>
      <c r="AN362" s="189"/>
      <c r="AO362" s="189"/>
      <c r="AP362" s="189"/>
      <c r="AQ362" s="189"/>
      <c r="AR362" s="189"/>
      <c r="AS362" s="189"/>
      <c r="AT362" s="189"/>
      <c r="AU362" s="190"/>
      <c r="AV362" s="190"/>
      <c r="AW362" s="190"/>
      <c r="AX362" s="190"/>
      <c r="AY362" s="190"/>
      <c r="AZ362" s="189"/>
      <c r="BA362" s="189"/>
      <c r="BB362" s="189"/>
      <c r="BC362" s="189"/>
      <c r="BD362" s="189"/>
      <c r="BE362" s="189"/>
      <c r="BF362" s="189"/>
      <c r="BG362" s="189"/>
      <c r="BH362" s="189"/>
      <c r="BI362" s="190"/>
      <c r="BJ362" s="190"/>
      <c r="BK362" s="190"/>
      <c r="BL362" s="190"/>
      <c r="BM362" s="190"/>
      <c r="BN362" s="191"/>
      <c r="BO362" s="191"/>
      <c r="BP362" s="191"/>
      <c r="BQ362" s="191"/>
      <c r="BR362" s="191"/>
      <c r="BS362" s="191"/>
      <c r="BT362" s="190"/>
      <c r="BU362" s="190"/>
      <c r="BV362" s="190"/>
      <c r="BW362" s="190"/>
      <c r="BX362" s="190"/>
      <c r="BY362" s="190"/>
      <c r="BZ362" s="190"/>
      <c r="CA362" s="189"/>
      <c r="CB362" s="15"/>
    </row>
    <row r="363" spans="1:80" ht="15" x14ac:dyDescent="0.25">
      <c r="A363" s="167"/>
      <c r="B363" s="642"/>
      <c r="C363" s="642"/>
      <c r="D363" s="179"/>
      <c r="E363" s="169"/>
      <c r="F363" s="169"/>
      <c r="G363" s="186"/>
      <c r="H363" s="187"/>
      <c r="I363" s="187"/>
      <c r="J363" s="187"/>
      <c r="K363" s="187"/>
      <c r="L363" s="647"/>
      <c r="M363" s="646">
        <v>34177</v>
      </c>
      <c r="N363" s="585">
        <v>1.43</v>
      </c>
      <c r="O363" s="585">
        <v>2.31E-3</v>
      </c>
      <c r="P363" s="175">
        <v>0</v>
      </c>
      <c r="Q363" s="175">
        <v>0</v>
      </c>
      <c r="R363" s="175">
        <v>0</v>
      </c>
      <c r="S363" s="175">
        <v>7.6999999999999996E-4</v>
      </c>
      <c r="T363" s="175">
        <v>1.7000000000000001E-4</v>
      </c>
      <c r="U363" s="175">
        <v>2.9E-4</v>
      </c>
      <c r="V363" s="706">
        <v>1.09E-3</v>
      </c>
      <c r="W363" s="717"/>
      <c r="X363" s="713"/>
      <c r="Y363" s="718"/>
      <c r="Z363" s="709">
        <v>0</v>
      </c>
      <c r="AA363" s="175"/>
      <c r="AB363" s="200"/>
      <c r="AC363" s="205">
        <v>8.0000000000000002E-3</v>
      </c>
      <c r="AD363" s="175">
        <v>6.65</v>
      </c>
      <c r="AE363" s="175">
        <v>0.26</v>
      </c>
      <c r="AF363" s="170">
        <f t="shared" si="6"/>
        <v>1.7290000000000001</v>
      </c>
      <c r="AG363" s="175">
        <v>0.83</v>
      </c>
      <c r="AH363" s="334"/>
      <c r="AI363" s="188"/>
      <c r="AJ363" s="188"/>
      <c r="AK363" s="188"/>
      <c r="AL363" s="189"/>
      <c r="AM363" s="189"/>
      <c r="AN363" s="189"/>
      <c r="AO363" s="189"/>
      <c r="AP363" s="189"/>
      <c r="AQ363" s="189"/>
      <c r="AR363" s="189"/>
      <c r="AS363" s="189"/>
      <c r="AT363" s="189"/>
      <c r="AU363" s="190"/>
      <c r="AV363" s="190"/>
      <c r="AW363" s="190"/>
      <c r="AX363" s="190"/>
      <c r="AY363" s="190"/>
      <c r="AZ363" s="189"/>
      <c r="BA363" s="189"/>
      <c r="BB363" s="189"/>
      <c r="BC363" s="189"/>
      <c r="BD363" s="189"/>
      <c r="BE363" s="189"/>
      <c r="BF363" s="189"/>
      <c r="BG363" s="189"/>
      <c r="BH363" s="189"/>
      <c r="BI363" s="190"/>
      <c r="BJ363" s="190"/>
      <c r="BK363" s="190"/>
      <c r="BL363" s="190"/>
      <c r="BM363" s="190"/>
      <c r="BN363" s="191"/>
      <c r="BO363" s="191"/>
      <c r="BP363" s="191"/>
      <c r="BQ363" s="191"/>
      <c r="BR363" s="191"/>
      <c r="BS363" s="191"/>
      <c r="BT363" s="190"/>
      <c r="BU363" s="190"/>
      <c r="BV363" s="190"/>
      <c r="BW363" s="190"/>
      <c r="BX363" s="190"/>
      <c r="BY363" s="190"/>
      <c r="BZ363" s="190"/>
      <c r="CA363" s="189"/>
      <c r="CB363" s="15"/>
    </row>
    <row r="364" spans="1:80" ht="15" x14ac:dyDescent="0.25">
      <c r="A364" s="167"/>
      <c r="B364" s="642"/>
      <c r="C364" s="642"/>
      <c r="D364" s="179"/>
      <c r="E364" s="169"/>
      <c r="F364" s="169"/>
      <c r="G364" s="186"/>
      <c r="H364" s="187"/>
      <c r="I364" s="187"/>
      <c r="J364" s="187"/>
      <c r="K364" s="187"/>
      <c r="L364" s="647"/>
      <c r="M364" s="646">
        <v>34184</v>
      </c>
      <c r="N364" s="585">
        <v>0.6</v>
      </c>
      <c r="O364" s="585">
        <v>4.2999999999999999E-4</v>
      </c>
      <c r="P364" s="175">
        <v>0</v>
      </c>
      <c r="Q364" s="175">
        <v>0</v>
      </c>
      <c r="R364" s="175">
        <v>0</v>
      </c>
      <c r="S364" s="175">
        <v>0</v>
      </c>
      <c r="T364" s="175">
        <v>2.0000000000000001E-4</v>
      </c>
      <c r="U364" s="175">
        <v>4.0000000000000003E-5</v>
      </c>
      <c r="V364" s="706">
        <v>1.9000000000000001E-4</v>
      </c>
      <c r="W364" s="717"/>
      <c r="X364" s="713"/>
      <c r="Y364" s="718"/>
      <c r="Z364" s="709">
        <v>0</v>
      </c>
      <c r="AA364" s="175"/>
      <c r="AB364" s="200"/>
      <c r="AC364" s="205">
        <v>1.2999999999999999E-2</v>
      </c>
      <c r="AD364" s="175">
        <v>6.6</v>
      </c>
      <c r="AE364" s="175">
        <v>0.17</v>
      </c>
      <c r="AF364" s="170">
        <f t="shared" si="6"/>
        <v>1.1220000000000001</v>
      </c>
      <c r="AG364" s="175">
        <v>0.55000000000000004</v>
      </c>
      <c r="AH364" s="334"/>
      <c r="AI364" s="188"/>
      <c r="AJ364" s="188"/>
      <c r="AK364" s="188"/>
      <c r="AL364" s="189"/>
      <c r="AM364" s="189"/>
      <c r="AN364" s="189"/>
      <c r="AO364" s="189"/>
      <c r="AP364" s="189"/>
      <c r="AQ364" s="189"/>
      <c r="AR364" s="189"/>
      <c r="AS364" s="189"/>
      <c r="AT364" s="189"/>
      <c r="AU364" s="190"/>
      <c r="AV364" s="190"/>
      <c r="AW364" s="190"/>
      <c r="AX364" s="190"/>
      <c r="AY364" s="190"/>
      <c r="AZ364" s="189"/>
      <c r="BA364" s="189"/>
      <c r="BB364" s="189"/>
      <c r="BC364" s="189"/>
      <c r="BD364" s="189"/>
      <c r="BE364" s="189"/>
      <c r="BF364" s="189"/>
      <c r="BG364" s="189"/>
      <c r="BH364" s="189"/>
      <c r="BI364" s="190"/>
      <c r="BJ364" s="190"/>
      <c r="BK364" s="190"/>
      <c r="BL364" s="190"/>
      <c r="BM364" s="190"/>
      <c r="BN364" s="191"/>
      <c r="BO364" s="191"/>
      <c r="BP364" s="191"/>
      <c r="BQ364" s="191"/>
      <c r="BR364" s="191"/>
      <c r="BS364" s="191"/>
      <c r="BT364" s="190"/>
      <c r="BU364" s="190"/>
      <c r="BV364" s="190"/>
      <c r="BW364" s="190"/>
      <c r="BX364" s="190"/>
      <c r="BY364" s="190"/>
      <c r="BZ364" s="190"/>
      <c r="CA364" s="189"/>
      <c r="CB364" s="15"/>
    </row>
    <row r="365" spans="1:80" ht="15" x14ac:dyDescent="0.25">
      <c r="A365" s="167"/>
      <c r="B365" s="642"/>
      <c r="C365" s="642"/>
      <c r="D365" s="179"/>
      <c r="E365" s="169"/>
      <c r="F365" s="169"/>
      <c r="G365" s="186"/>
      <c r="H365" s="187"/>
      <c r="I365" s="187"/>
      <c r="J365" s="187"/>
      <c r="K365" s="187"/>
      <c r="L365" s="647"/>
      <c r="M365" s="646">
        <v>34851</v>
      </c>
      <c r="N365" s="585">
        <v>0.77</v>
      </c>
      <c r="O365" s="585">
        <v>1.34E-3</v>
      </c>
      <c r="P365" s="175">
        <v>0</v>
      </c>
      <c r="Q365" s="175">
        <v>0</v>
      </c>
      <c r="R365" s="175">
        <v>9.7000000000000005E-4</v>
      </c>
      <c r="S365" s="175">
        <v>0</v>
      </c>
      <c r="T365" s="175">
        <v>9.0000000000000006E-5</v>
      </c>
      <c r="U365" s="175">
        <v>1.1E-4</v>
      </c>
      <c r="V365" s="706">
        <v>1.8000000000000001E-4</v>
      </c>
      <c r="W365" s="717"/>
      <c r="X365" s="713"/>
      <c r="Y365" s="718"/>
      <c r="Z365" s="709">
        <v>25</v>
      </c>
      <c r="AA365" s="175"/>
      <c r="AB365" s="200"/>
      <c r="AC365" s="205">
        <v>8.0000000000000002E-3</v>
      </c>
      <c r="AD365" s="175">
        <v>6.6</v>
      </c>
      <c r="AE365" s="175">
        <v>0.17</v>
      </c>
      <c r="AF365" s="170">
        <f t="shared" si="6"/>
        <v>1.1220000000000001</v>
      </c>
      <c r="AG365" s="175">
        <v>0.68</v>
      </c>
      <c r="AH365" s="334"/>
      <c r="AI365" s="188"/>
      <c r="AJ365" s="188"/>
      <c r="AK365" s="188"/>
      <c r="AL365" s="189"/>
      <c r="AM365" s="189"/>
      <c r="AN365" s="189"/>
      <c r="AO365" s="189"/>
      <c r="AP365" s="189"/>
      <c r="AQ365" s="189"/>
      <c r="AR365" s="189"/>
      <c r="AS365" s="189"/>
      <c r="AT365" s="189"/>
      <c r="AU365" s="190"/>
      <c r="AV365" s="190"/>
      <c r="AW365" s="190"/>
      <c r="AX365" s="190"/>
      <c r="AY365" s="190"/>
      <c r="AZ365" s="189"/>
      <c r="BA365" s="189"/>
      <c r="BB365" s="189"/>
      <c r="BC365" s="189"/>
      <c r="BD365" s="189"/>
      <c r="BE365" s="189"/>
      <c r="BF365" s="189"/>
      <c r="BG365" s="189"/>
      <c r="BH365" s="189"/>
      <c r="BI365" s="190"/>
      <c r="BJ365" s="190"/>
      <c r="BK365" s="190"/>
      <c r="BL365" s="190"/>
      <c r="BM365" s="190"/>
      <c r="BN365" s="191"/>
      <c r="BO365" s="191"/>
      <c r="BP365" s="191"/>
      <c r="BQ365" s="191"/>
      <c r="BR365" s="191"/>
      <c r="BS365" s="191"/>
      <c r="BT365" s="190"/>
      <c r="BU365" s="190"/>
      <c r="BV365" s="190"/>
      <c r="BW365" s="190"/>
      <c r="BX365" s="190"/>
      <c r="BY365" s="190"/>
      <c r="BZ365" s="190"/>
      <c r="CA365" s="189"/>
      <c r="CB365" s="15"/>
    </row>
    <row r="366" spans="1:80" ht="15" x14ac:dyDescent="0.25">
      <c r="A366" s="167"/>
      <c r="B366" s="642"/>
      <c r="C366" s="642"/>
      <c r="D366" s="179"/>
      <c r="E366" s="169"/>
      <c r="F366" s="169"/>
      <c r="G366" s="186"/>
      <c r="H366" s="187"/>
      <c r="I366" s="187"/>
      <c r="J366" s="187"/>
      <c r="K366" s="187"/>
      <c r="L366" s="647"/>
      <c r="M366" s="646">
        <v>34855</v>
      </c>
      <c r="N366" s="585">
        <v>1.43</v>
      </c>
      <c r="O366" s="585">
        <v>3.4399999999999999E-3</v>
      </c>
      <c r="P366" s="175">
        <v>0</v>
      </c>
      <c r="Q366" s="175">
        <v>0</v>
      </c>
      <c r="R366" s="175">
        <v>0</v>
      </c>
      <c r="S366" s="175">
        <v>9.3999999999999997E-4</v>
      </c>
      <c r="T366" s="175">
        <v>6.8999999999999997E-4</v>
      </c>
      <c r="U366" s="175">
        <v>5.9999999999999995E-4</v>
      </c>
      <c r="V366" s="706">
        <v>1.1999999999999999E-3</v>
      </c>
      <c r="W366" s="717"/>
      <c r="X366" s="713"/>
      <c r="Y366" s="718"/>
      <c r="Z366" s="709">
        <v>20</v>
      </c>
      <c r="AA366" s="175"/>
      <c r="AB366" s="200"/>
      <c r="AC366" s="205">
        <v>1.0999999999999999E-2</v>
      </c>
      <c r="AD366" s="175">
        <v>6.6</v>
      </c>
      <c r="AE366" s="175">
        <v>0.24</v>
      </c>
      <c r="AF366" s="170">
        <f t="shared" si="6"/>
        <v>1.5839999999999999</v>
      </c>
      <c r="AG366" s="175">
        <v>0.92</v>
      </c>
      <c r="AH366" s="334"/>
      <c r="AI366" s="188"/>
      <c r="AJ366" s="188"/>
      <c r="AK366" s="188"/>
      <c r="AL366" s="189"/>
      <c r="AM366" s="189"/>
      <c r="AN366" s="189"/>
      <c r="AO366" s="189"/>
      <c r="AP366" s="189"/>
      <c r="AQ366" s="189"/>
      <c r="AR366" s="189"/>
      <c r="AS366" s="189"/>
      <c r="AT366" s="189"/>
      <c r="AU366" s="190"/>
      <c r="AV366" s="190"/>
      <c r="AW366" s="190"/>
      <c r="AX366" s="190"/>
      <c r="AY366" s="190"/>
      <c r="AZ366" s="189"/>
      <c r="BA366" s="189"/>
      <c r="BB366" s="189"/>
      <c r="BC366" s="189"/>
      <c r="BD366" s="189"/>
      <c r="BE366" s="189"/>
      <c r="BF366" s="189"/>
      <c r="BG366" s="189"/>
      <c r="BH366" s="189"/>
      <c r="BI366" s="190"/>
      <c r="BJ366" s="190"/>
      <c r="BK366" s="190"/>
      <c r="BL366" s="190"/>
      <c r="BM366" s="190"/>
      <c r="BN366" s="191"/>
      <c r="BO366" s="191"/>
      <c r="BP366" s="191"/>
      <c r="BQ366" s="191"/>
      <c r="BR366" s="191"/>
      <c r="BS366" s="191"/>
      <c r="BT366" s="190"/>
      <c r="BU366" s="190"/>
      <c r="BV366" s="190"/>
      <c r="BW366" s="190"/>
      <c r="BX366" s="190"/>
      <c r="BY366" s="190"/>
      <c r="BZ366" s="190"/>
      <c r="CA366" s="189"/>
      <c r="CB366" s="15"/>
    </row>
    <row r="367" spans="1:80" ht="15" x14ac:dyDescent="0.25">
      <c r="A367" s="167"/>
      <c r="B367" s="642"/>
      <c r="C367" s="642"/>
      <c r="D367" s="179"/>
      <c r="E367" s="169"/>
      <c r="F367" s="169"/>
      <c r="G367" s="186"/>
      <c r="H367" s="187"/>
      <c r="I367" s="187"/>
      <c r="J367" s="187"/>
      <c r="K367" s="187"/>
      <c r="L367" s="647"/>
      <c r="M367" s="646">
        <v>34857</v>
      </c>
      <c r="N367" s="585">
        <v>2.2200000000000002</v>
      </c>
      <c r="O367" s="585">
        <v>3.1060000000000001E-2</v>
      </c>
      <c r="P367" s="175">
        <v>0</v>
      </c>
      <c r="Q367" s="175">
        <v>0</v>
      </c>
      <c r="R367" s="175">
        <v>1.2999999999999999E-3</v>
      </c>
      <c r="S367" s="175">
        <v>3.5999999999999999E-3</v>
      </c>
      <c r="T367" s="175">
        <v>4.9800000000000001E-3</v>
      </c>
      <c r="U367" s="175">
        <v>7.7099999999999998E-3</v>
      </c>
      <c r="V367" s="706">
        <v>1.346E-2</v>
      </c>
      <c r="W367" s="717"/>
      <c r="X367" s="713"/>
      <c r="Y367" s="718"/>
      <c r="Z367" s="709">
        <v>25</v>
      </c>
      <c r="AA367" s="175"/>
      <c r="AB367" s="200"/>
      <c r="AC367" s="205">
        <v>1.2E-2</v>
      </c>
      <c r="AD367" s="175">
        <v>6.9</v>
      </c>
      <c r="AE367" s="175">
        <v>0.28000000000000003</v>
      </c>
      <c r="AF367" s="170">
        <f t="shared" si="6"/>
        <v>1.9320000000000004</v>
      </c>
      <c r="AG367" s="175">
        <v>1.1299999999999999</v>
      </c>
      <c r="AH367" s="334"/>
      <c r="AI367" s="188"/>
      <c r="AJ367" s="188"/>
      <c r="AK367" s="188"/>
      <c r="AL367" s="189"/>
      <c r="AM367" s="189"/>
      <c r="AN367" s="189"/>
      <c r="AO367" s="189"/>
      <c r="AP367" s="189"/>
      <c r="AQ367" s="189"/>
      <c r="AR367" s="189"/>
      <c r="AS367" s="189"/>
      <c r="AT367" s="189"/>
      <c r="AU367" s="190"/>
      <c r="AV367" s="190"/>
      <c r="AW367" s="190"/>
      <c r="AX367" s="190"/>
      <c r="AY367" s="190"/>
      <c r="AZ367" s="189"/>
      <c r="BA367" s="189"/>
      <c r="BB367" s="189"/>
      <c r="BC367" s="189"/>
      <c r="BD367" s="189"/>
      <c r="BE367" s="189"/>
      <c r="BF367" s="189"/>
      <c r="BG367" s="189"/>
      <c r="BH367" s="189"/>
      <c r="BI367" s="190"/>
      <c r="BJ367" s="190"/>
      <c r="BK367" s="190"/>
      <c r="BL367" s="190"/>
      <c r="BM367" s="190"/>
      <c r="BN367" s="191"/>
      <c r="BO367" s="191"/>
      <c r="BP367" s="191"/>
      <c r="BQ367" s="191"/>
      <c r="BR367" s="191"/>
      <c r="BS367" s="191"/>
      <c r="BT367" s="190"/>
      <c r="BU367" s="190"/>
      <c r="BV367" s="190"/>
      <c r="BW367" s="190"/>
      <c r="BX367" s="190"/>
      <c r="BY367" s="190"/>
      <c r="BZ367" s="190"/>
      <c r="CA367" s="189"/>
      <c r="CB367" s="15"/>
    </row>
    <row r="368" spans="1:80" ht="15" x14ac:dyDescent="0.25">
      <c r="A368" s="167"/>
      <c r="B368" s="642"/>
      <c r="C368" s="642"/>
      <c r="D368" s="179"/>
      <c r="E368" s="169"/>
      <c r="F368" s="169"/>
      <c r="G368" s="186"/>
      <c r="H368" s="187"/>
      <c r="I368" s="187"/>
      <c r="J368" s="187"/>
      <c r="K368" s="187"/>
      <c r="L368" s="647"/>
      <c r="M368" s="646">
        <v>34860</v>
      </c>
      <c r="N368" s="585">
        <v>1.53</v>
      </c>
      <c r="O368" s="585">
        <v>3.8500000000000001E-3</v>
      </c>
      <c r="P368" s="175">
        <v>0</v>
      </c>
      <c r="Q368" s="175">
        <v>0</v>
      </c>
      <c r="R368" s="175">
        <v>0</v>
      </c>
      <c r="S368" s="175">
        <v>0</v>
      </c>
      <c r="T368" s="175">
        <v>6.4999999999999997E-4</v>
      </c>
      <c r="U368" s="175">
        <v>9.2000000000000003E-4</v>
      </c>
      <c r="V368" s="706">
        <v>2.2899999999999999E-3</v>
      </c>
      <c r="W368" s="717"/>
      <c r="X368" s="713"/>
      <c r="Y368" s="718"/>
      <c r="Z368" s="709">
        <v>9</v>
      </c>
      <c r="AA368" s="175"/>
      <c r="AB368" s="200"/>
      <c r="AC368" s="205">
        <v>1.0999999999999999E-2</v>
      </c>
      <c r="AD368" s="175">
        <v>6.6</v>
      </c>
      <c r="AE368" s="175">
        <v>0.25</v>
      </c>
      <c r="AF368" s="170">
        <f t="shared" si="6"/>
        <v>1.65</v>
      </c>
      <c r="AG368" s="175">
        <v>0.91</v>
      </c>
      <c r="AH368" s="334"/>
      <c r="AI368" s="188"/>
      <c r="AJ368" s="188"/>
      <c r="AK368" s="188"/>
      <c r="AL368" s="189"/>
      <c r="AM368" s="189"/>
      <c r="AN368" s="189"/>
      <c r="AO368" s="189"/>
      <c r="AP368" s="189"/>
      <c r="AQ368" s="189"/>
      <c r="AR368" s="189"/>
      <c r="AS368" s="189"/>
      <c r="AT368" s="189"/>
      <c r="AU368" s="190"/>
      <c r="AV368" s="190"/>
      <c r="AW368" s="190"/>
      <c r="AX368" s="190"/>
      <c r="AY368" s="190"/>
      <c r="AZ368" s="189"/>
      <c r="BA368" s="189"/>
      <c r="BB368" s="189"/>
      <c r="BC368" s="189"/>
      <c r="BD368" s="189"/>
      <c r="BE368" s="189"/>
      <c r="BF368" s="189"/>
      <c r="BG368" s="189"/>
      <c r="BH368" s="189"/>
      <c r="BI368" s="190"/>
      <c r="BJ368" s="190"/>
      <c r="BK368" s="190"/>
      <c r="BL368" s="190"/>
      <c r="BM368" s="190"/>
      <c r="BN368" s="191"/>
      <c r="BO368" s="191"/>
      <c r="BP368" s="191"/>
      <c r="BQ368" s="191"/>
      <c r="BR368" s="191"/>
      <c r="BS368" s="191"/>
      <c r="BT368" s="190"/>
      <c r="BU368" s="190"/>
      <c r="BV368" s="190"/>
      <c r="BW368" s="190"/>
      <c r="BX368" s="190"/>
      <c r="BY368" s="190"/>
      <c r="BZ368" s="190"/>
      <c r="CA368" s="189"/>
      <c r="CB368" s="15"/>
    </row>
    <row r="369" spans="1:80" ht="15" x14ac:dyDescent="0.25">
      <c r="A369" s="167"/>
      <c r="B369" s="642"/>
      <c r="C369" s="642"/>
      <c r="D369" s="179"/>
      <c r="E369" s="169"/>
      <c r="F369" s="169"/>
      <c r="G369" s="186"/>
      <c r="H369" s="187"/>
      <c r="I369" s="187"/>
      <c r="J369" s="187"/>
      <c r="K369" s="187"/>
      <c r="L369" s="647"/>
      <c r="M369" s="646">
        <v>34861</v>
      </c>
      <c r="N369" s="585">
        <v>1.58</v>
      </c>
      <c r="O369" s="585">
        <v>2.7899999999999999E-3</v>
      </c>
      <c r="P369" s="175">
        <v>0</v>
      </c>
      <c r="Q369" s="175">
        <v>0</v>
      </c>
      <c r="R369" s="175">
        <v>0</v>
      </c>
      <c r="S369" s="175">
        <v>0</v>
      </c>
      <c r="T369" s="175">
        <v>2.7999999999999998E-4</v>
      </c>
      <c r="U369" s="175">
        <v>9.8999999999999999E-4</v>
      </c>
      <c r="V369" s="706">
        <v>1.5200000000000001E-3</v>
      </c>
      <c r="W369" s="717"/>
      <c r="X369" s="713"/>
      <c r="Y369" s="718"/>
      <c r="Z369" s="709">
        <v>7</v>
      </c>
      <c r="AA369" s="175"/>
      <c r="AB369" s="200"/>
      <c r="AC369" s="205">
        <v>8.0000000000000002E-3</v>
      </c>
      <c r="AD369" s="175">
        <v>6.6</v>
      </c>
      <c r="AE369" s="175">
        <v>0.27</v>
      </c>
      <c r="AF369" s="170">
        <f t="shared" si="6"/>
        <v>1.782</v>
      </c>
      <c r="AG369" s="175">
        <v>0.89</v>
      </c>
      <c r="AH369" s="334"/>
      <c r="AI369" s="188"/>
      <c r="AJ369" s="188"/>
      <c r="AK369" s="188"/>
      <c r="AL369" s="189"/>
      <c r="AM369" s="189"/>
      <c r="AN369" s="189"/>
      <c r="AO369" s="189"/>
      <c r="AP369" s="189"/>
      <c r="AQ369" s="189"/>
      <c r="AR369" s="189"/>
      <c r="AS369" s="189"/>
      <c r="AT369" s="189"/>
      <c r="AU369" s="190"/>
      <c r="AV369" s="190"/>
      <c r="AW369" s="190"/>
      <c r="AX369" s="190"/>
      <c r="AY369" s="190"/>
      <c r="AZ369" s="189"/>
      <c r="BA369" s="189"/>
      <c r="BB369" s="189"/>
      <c r="BC369" s="189"/>
      <c r="BD369" s="189"/>
      <c r="BE369" s="189"/>
      <c r="BF369" s="189"/>
      <c r="BG369" s="189"/>
      <c r="BH369" s="189"/>
      <c r="BI369" s="190"/>
      <c r="BJ369" s="190"/>
      <c r="BK369" s="190"/>
      <c r="BL369" s="190"/>
      <c r="BM369" s="190"/>
      <c r="BN369" s="191"/>
      <c r="BO369" s="191"/>
      <c r="BP369" s="191"/>
      <c r="BQ369" s="191"/>
      <c r="BR369" s="191"/>
      <c r="BS369" s="191"/>
      <c r="BT369" s="190"/>
      <c r="BU369" s="190"/>
      <c r="BV369" s="190"/>
      <c r="BW369" s="190"/>
      <c r="BX369" s="190"/>
      <c r="BY369" s="190"/>
      <c r="BZ369" s="190"/>
      <c r="CA369" s="189"/>
      <c r="CB369" s="15"/>
    </row>
    <row r="370" spans="1:80" ht="15" x14ac:dyDescent="0.25">
      <c r="A370" s="167"/>
      <c r="B370" s="642"/>
      <c r="C370" s="642"/>
      <c r="D370" s="179"/>
      <c r="E370" s="169"/>
      <c r="F370" s="169"/>
      <c r="G370" s="186"/>
      <c r="H370" s="187"/>
      <c r="I370" s="187"/>
      <c r="J370" s="187"/>
      <c r="K370" s="187"/>
      <c r="L370" s="647"/>
      <c r="M370" s="646">
        <v>34862</v>
      </c>
      <c r="N370" s="585">
        <v>2.98</v>
      </c>
      <c r="O370" s="585">
        <v>4.0329999999999998E-2</v>
      </c>
      <c r="P370" s="175">
        <v>0</v>
      </c>
      <c r="Q370" s="175">
        <v>0</v>
      </c>
      <c r="R370" s="175">
        <v>1.06E-3</v>
      </c>
      <c r="S370" s="175">
        <v>6.8599999999999998E-3</v>
      </c>
      <c r="T370" s="175">
        <v>9.4199999999999996E-3</v>
      </c>
      <c r="U370" s="175">
        <v>7.5799999999999999E-3</v>
      </c>
      <c r="V370" s="706">
        <v>1.54E-2</v>
      </c>
      <c r="W370" s="717"/>
      <c r="X370" s="713"/>
      <c r="Y370" s="718"/>
      <c r="Z370" s="709">
        <v>20</v>
      </c>
      <c r="AA370" s="175"/>
      <c r="AB370" s="200"/>
      <c r="AC370" s="205">
        <v>1.2999999999999999E-2</v>
      </c>
      <c r="AD370" s="175">
        <v>7</v>
      </c>
      <c r="AE370" s="175">
        <v>0.33</v>
      </c>
      <c r="AF370" s="170">
        <f t="shared" si="6"/>
        <v>2.31</v>
      </c>
      <c r="AG370" s="175">
        <v>1.3</v>
      </c>
      <c r="AH370" s="334"/>
      <c r="AI370" s="188"/>
      <c r="AJ370" s="188"/>
      <c r="AK370" s="188"/>
      <c r="AL370" s="189"/>
      <c r="AM370" s="189"/>
      <c r="AN370" s="189"/>
      <c r="AO370" s="189"/>
      <c r="AP370" s="189"/>
      <c r="AQ370" s="189"/>
      <c r="AR370" s="189"/>
      <c r="AS370" s="189"/>
      <c r="AT370" s="189"/>
      <c r="AU370" s="190"/>
      <c r="AV370" s="190"/>
      <c r="AW370" s="190"/>
      <c r="AX370" s="190"/>
      <c r="AY370" s="190"/>
      <c r="AZ370" s="189"/>
      <c r="BA370" s="189"/>
      <c r="BB370" s="189"/>
      <c r="BC370" s="189"/>
      <c r="BD370" s="189"/>
      <c r="BE370" s="189"/>
      <c r="BF370" s="189"/>
      <c r="BG370" s="189"/>
      <c r="BH370" s="189"/>
      <c r="BI370" s="190"/>
      <c r="BJ370" s="190"/>
      <c r="BK370" s="190"/>
      <c r="BL370" s="190"/>
      <c r="BM370" s="190"/>
      <c r="BN370" s="191"/>
      <c r="BO370" s="191"/>
      <c r="BP370" s="191"/>
      <c r="BQ370" s="191"/>
      <c r="BR370" s="191"/>
      <c r="BS370" s="191"/>
      <c r="BT370" s="190"/>
      <c r="BU370" s="190"/>
      <c r="BV370" s="190"/>
      <c r="BW370" s="190"/>
      <c r="BX370" s="190"/>
      <c r="BY370" s="190"/>
      <c r="BZ370" s="190"/>
      <c r="CA370" s="189"/>
      <c r="CB370" s="15"/>
    </row>
    <row r="371" spans="1:80" ht="15" x14ac:dyDescent="0.25">
      <c r="A371" s="167"/>
      <c r="B371" s="642"/>
      <c r="C371" s="642"/>
      <c r="D371" s="179"/>
      <c r="E371" s="169"/>
      <c r="F371" s="169"/>
      <c r="G371" s="186"/>
      <c r="H371" s="187"/>
      <c r="I371" s="187"/>
      <c r="J371" s="187"/>
      <c r="K371" s="187"/>
      <c r="L371" s="647"/>
      <c r="M371" s="646">
        <v>34865</v>
      </c>
      <c r="N371" s="585">
        <v>3.79</v>
      </c>
      <c r="O371" s="585">
        <v>4.9270000000000001E-2</v>
      </c>
      <c r="P371" s="175">
        <v>0</v>
      </c>
      <c r="Q371" s="175">
        <v>0</v>
      </c>
      <c r="R371" s="175">
        <v>1.6480000000000002E-2</v>
      </c>
      <c r="S371" s="175">
        <v>4.8199999999999996E-3</v>
      </c>
      <c r="T371" s="175">
        <v>4.5300000000000002E-3</v>
      </c>
      <c r="U371" s="175">
        <v>6.4599999999999996E-3</v>
      </c>
      <c r="V371" s="706">
        <v>1.6979999999999999E-2</v>
      </c>
      <c r="W371" s="717"/>
      <c r="X371" s="713"/>
      <c r="Y371" s="718"/>
      <c r="Z371" s="709">
        <v>35</v>
      </c>
      <c r="AA371" s="175"/>
      <c r="AB371" s="200"/>
      <c r="AC371" s="205">
        <v>1.2999999999999999E-2</v>
      </c>
      <c r="AD371" s="175">
        <v>7.5</v>
      </c>
      <c r="AE371" s="175">
        <v>0.38</v>
      </c>
      <c r="AF371" s="170">
        <f t="shared" si="6"/>
        <v>2.85</v>
      </c>
      <c r="AG371" s="175">
        <v>1.33</v>
      </c>
      <c r="AH371" s="334"/>
      <c r="AI371" s="188"/>
      <c r="AJ371" s="188"/>
      <c r="AK371" s="188"/>
      <c r="AL371" s="189"/>
      <c r="AM371" s="189"/>
      <c r="AN371" s="189"/>
      <c r="AO371" s="189"/>
      <c r="AP371" s="189"/>
      <c r="AQ371" s="189"/>
      <c r="AR371" s="189"/>
      <c r="AS371" s="189"/>
      <c r="AT371" s="189"/>
      <c r="AU371" s="190"/>
      <c r="AV371" s="190"/>
      <c r="AW371" s="190"/>
      <c r="AX371" s="190"/>
      <c r="AY371" s="190"/>
      <c r="AZ371" s="189"/>
      <c r="BA371" s="189"/>
      <c r="BB371" s="189"/>
      <c r="BC371" s="189"/>
      <c r="BD371" s="189"/>
      <c r="BE371" s="189"/>
      <c r="BF371" s="189"/>
      <c r="BG371" s="189"/>
      <c r="BH371" s="189"/>
      <c r="BI371" s="190"/>
      <c r="BJ371" s="190"/>
      <c r="BK371" s="190"/>
      <c r="BL371" s="190"/>
      <c r="BM371" s="190"/>
      <c r="BN371" s="191"/>
      <c r="BO371" s="191"/>
      <c r="BP371" s="191"/>
      <c r="BQ371" s="191"/>
      <c r="BR371" s="191"/>
      <c r="BS371" s="191"/>
      <c r="BT371" s="190"/>
      <c r="BU371" s="190"/>
      <c r="BV371" s="190"/>
      <c r="BW371" s="190"/>
      <c r="BX371" s="190"/>
      <c r="BY371" s="190"/>
      <c r="BZ371" s="190"/>
      <c r="CA371" s="189"/>
      <c r="CB371" s="15"/>
    </row>
    <row r="372" spans="1:80" ht="15" x14ac:dyDescent="0.25">
      <c r="A372" s="167"/>
      <c r="B372" s="642"/>
      <c r="C372" s="642"/>
      <c r="D372" s="179"/>
      <c r="E372" s="169"/>
      <c r="F372" s="169"/>
      <c r="G372" s="186"/>
      <c r="H372" s="187"/>
      <c r="I372" s="187"/>
      <c r="J372" s="187"/>
      <c r="K372" s="187"/>
      <c r="L372" s="647"/>
      <c r="M372" s="646">
        <v>34867</v>
      </c>
      <c r="N372" s="585">
        <v>6.37</v>
      </c>
      <c r="O372" s="585">
        <v>0.45312999999999998</v>
      </c>
      <c r="P372" s="175">
        <v>3.8899999999999997E-2</v>
      </c>
      <c r="Q372" s="175">
        <v>7.9310000000000005E-2</v>
      </c>
      <c r="R372" s="175">
        <v>6.454E-2</v>
      </c>
      <c r="S372" s="175">
        <v>5.8540000000000002E-2</v>
      </c>
      <c r="T372" s="175">
        <v>5.1470000000000002E-2</v>
      </c>
      <c r="U372" s="175">
        <v>5.2580000000000002E-2</v>
      </c>
      <c r="V372" s="706">
        <v>0.10779</v>
      </c>
      <c r="W372" s="717"/>
      <c r="X372" s="713"/>
      <c r="Y372" s="718"/>
      <c r="Z372" s="709">
        <v>76</v>
      </c>
      <c r="AA372" s="175"/>
      <c r="AB372" s="200"/>
      <c r="AC372" s="205">
        <v>1.9E-2</v>
      </c>
      <c r="AD372" s="175">
        <v>7.8</v>
      </c>
      <c r="AE372" s="175">
        <v>0.48</v>
      </c>
      <c r="AF372" s="170">
        <f t="shared" si="6"/>
        <v>3.7439999999999998</v>
      </c>
      <c r="AG372" s="175">
        <v>1.69</v>
      </c>
      <c r="AH372" s="334"/>
      <c r="AI372" s="188"/>
      <c r="AJ372" s="188"/>
      <c r="AK372" s="188"/>
      <c r="AL372" s="189"/>
      <c r="AM372" s="189"/>
      <c r="AN372" s="189"/>
      <c r="AO372" s="189"/>
      <c r="AP372" s="189"/>
      <c r="AQ372" s="189"/>
      <c r="AR372" s="189"/>
      <c r="AS372" s="189"/>
      <c r="AT372" s="189"/>
      <c r="AU372" s="190"/>
      <c r="AV372" s="190"/>
      <c r="AW372" s="190"/>
      <c r="AX372" s="190"/>
      <c r="AY372" s="190"/>
      <c r="AZ372" s="189"/>
      <c r="BA372" s="189"/>
      <c r="BB372" s="189"/>
      <c r="BC372" s="189"/>
      <c r="BD372" s="189"/>
      <c r="BE372" s="189"/>
      <c r="BF372" s="189"/>
      <c r="BG372" s="189"/>
      <c r="BH372" s="189"/>
      <c r="BI372" s="190"/>
      <c r="BJ372" s="190"/>
      <c r="BK372" s="190"/>
      <c r="BL372" s="190"/>
      <c r="BM372" s="190"/>
      <c r="BN372" s="191"/>
      <c r="BO372" s="191"/>
      <c r="BP372" s="191"/>
      <c r="BQ372" s="191"/>
      <c r="BR372" s="191"/>
      <c r="BS372" s="191"/>
      <c r="BT372" s="190"/>
      <c r="BU372" s="190"/>
      <c r="BV372" s="190"/>
      <c r="BW372" s="190"/>
      <c r="BX372" s="190"/>
      <c r="BY372" s="190"/>
      <c r="BZ372" s="190"/>
      <c r="CA372" s="189"/>
      <c r="CB372" s="15"/>
    </row>
    <row r="373" spans="1:80" ht="15" x14ac:dyDescent="0.25">
      <c r="A373" s="167"/>
      <c r="B373" s="642"/>
      <c r="C373" s="642"/>
      <c r="D373" s="179"/>
      <c r="E373" s="169"/>
      <c r="F373" s="169"/>
      <c r="G373" s="186"/>
      <c r="H373" s="187"/>
      <c r="I373" s="187"/>
      <c r="J373" s="187"/>
      <c r="K373" s="187"/>
      <c r="L373" s="647"/>
      <c r="M373" s="646">
        <v>34870</v>
      </c>
      <c r="N373" s="585">
        <v>4.1399999999999997</v>
      </c>
      <c r="O373" s="585">
        <v>3.1189999999999999E-2</v>
      </c>
      <c r="P373" s="175">
        <v>0</v>
      </c>
      <c r="Q373" s="175">
        <v>0</v>
      </c>
      <c r="R373" s="175">
        <v>5.0899999999999999E-3</v>
      </c>
      <c r="S373" s="175">
        <v>4.9100000000000003E-3</v>
      </c>
      <c r="T373" s="175">
        <v>5.4799999999999996E-3</v>
      </c>
      <c r="U373" s="175">
        <v>5.9500000000000004E-3</v>
      </c>
      <c r="V373" s="706">
        <v>9.7599999999999996E-3</v>
      </c>
      <c r="W373" s="717"/>
      <c r="X373" s="713"/>
      <c r="Y373" s="718"/>
      <c r="Z373" s="709">
        <v>26</v>
      </c>
      <c r="AA373" s="175"/>
      <c r="AB373" s="200"/>
      <c r="AC373" s="205">
        <v>1.2999999999999999E-2</v>
      </c>
      <c r="AD373" s="175">
        <v>7.6</v>
      </c>
      <c r="AE373" s="175">
        <v>0.36</v>
      </c>
      <c r="AF373" s="170">
        <f t="shared" si="6"/>
        <v>2.7359999999999998</v>
      </c>
      <c r="AG373" s="175">
        <v>1.49</v>
      </c>
      <c r="AH373" s="334"/>
      <c r="AI373" s="188"/>
      <c r="AJ373" s="188"/>
      <c r="AK373" s="188"/>
      <c r="AL373" s="189"/>
      <c r="AM373" s="189"/>
      <c r="AN373" s="189"/>
      <c r="AO373" s="189"/>
      <c r="AP373" s="189"/>
      <c r="AQ373" s="189"/>
      <c r="AR373" s="189"/>
      <c r="AS373" s="189"/>
      <c r="AT373" s="189"/>
      <c r="AU373" s="190"/>
      <c r="AV373" s="190"/>
      <c r="AW373" s="190"/>
      <c r="AX373" s="190"/>
      <c r="AY373" s="190"/>
      <c r="AZ373" s="189"/>
      <c r="BA373" s="189"/>
      <c r="BB373" s="189"/>
      <c r="BC373" s="189"/>
      <c r="BD373" s="189"/>
      <c r="BE373" s="189"/>
      <c r="BF373" s="189"/>
      <c r="BG373" s="189"/>
      <c r="BH373" s="189"/>
      <c r="BI373" s="190"/>
      <c r="BJ373" s="190"/>
      <c r="BK373" s="190"/>
      <c r="BL373" s="190"/>
      <c r="BM373" s="190"/>
      <c r="BN373" s="191"/>
      <c r="BO373" s="191"/>
      <c r="BP373" s="191"/>
      <c r="BQ373" s="191"/>
      <c r="BR373" s="191"/>
      <c r="BS373" s="191"/>
      <c r="BT373" s="190"/>
      <c r="BU373" s="190"/>
      <c r="BV373" s="190"/>
      <c r="BW373" s="190"/>
      <c r="BX373" s="190"/>
      <c r="BY373" s="190"/>
      <c r="BZ373" s="190"/>
      <c r="CA373" s="189"/>
      <c r="CB373" s="15"/>
    </row>
    <row r="374" spans="1:80" ht="15" x14ac:dyDescent="0.25">
      <c r="A374" s="167"/>
      <c r="B374" s="642"/>
      <c r="C374" s="642"/>
      <c r="D374" s="179"/>
      <c r="E374" s="169"/>
      <c r="F374" s="169"/>
      <c r="G374" s="186"/>
      <c r="H374" s="187"/>
      <c r="I374" s="187"/>
      <c r="J374" s="187"/>
      <c r="K374" s="187"/>
      <c r="L374" s="647"/>
      <c r="M374" s="646">
        <v>34872</v>
      </c>
      <c r="N374" s="585">
        <v>4.9800000000000004</v>
      </c>
      <c r="O374" s="585">
        <v>8.2530000000000006E-2</v>
      </c>
      <c r="P374" s="175">
        <v>0</v>
      </c>
      <c r="Q374" s="175">
        <v>9.8499999999999994E-3</v>
      </c>
      <c r="R374" s="175">
        <v>9.5300000000000003E-3</v>
      </c>
      <c r="S374" s="175">
        <v>1.047E-2</v>
      </c>
      <c r="T374" s="175">
        <v>1.618E-2</v>
      </c>
      <c r="U374" s="175">
        <v>1.6570000000000001E-2</v>
      </c>
      <c r="V374" s="706">
        <v>1.993E-2</v>
      </c>
      <c r="W374" s="717"/>
      <c r="X374" s="713"/>
      <c r="Y374" s="718"/>
      <c r="Z374" s="709">
        <v>42</v>
      </c>
      <c r="AA374" s="175"/>
      <c r="AB374" s="200"/>
      <c r="AC374" s="205">
        <v>1.7000000000000001E-2</v>
      </c>
      <c r="AD374" s="175">
        <v>7.7</v>
      </c>
      <c r="AE374" s="175">
        <v>0.42</v>
      </c>
      <c r="AF374" s="170">
        <f t="shared" si="6"/>
        <v>3.234</v>
      </c>
      <c r="AG374" s="175">
        <v>1.53</v>
      </c>
      <c r="AH374" s="334"/>
      <c r="AI374" s="188"/>
      <c r="AJ374" s="188"/>
      <c r="AK374" s="188"/>
      <c r="AL374" s="189"/>
      <c r="AM374" s="189"/>
      <c r="AN374" s="189"/>
      <c r="AO374" s="189"/>
      <c r="AP374" s="189"/>
      <c r="AQ374" s="189"/>
      <c r="AR374" s="189"/>
      <c r="AS374" s="189"/>
      <c r="AT374" s="189"/>
      <c r="AU374" s="190"/>
      <c r="AV374" s="190"/>
      <c r="AW374" s="190"/>
      <c r="AX374" s="190"/>
      <c r="AY374" s="190"/>
      <c r="AZ374" s="189"/>
      <c r="BA374" s="189"/>
      <c r="BB374" s="189"/>
      <c r="BC374" s="189"/>
      <c r="BD374" s="189"/>
      <c r="BE374" s="189"/>
      <c r="BF374" s="189"/>
      <c r="BG374" s="189"/>
      <c r="BH374" s="189"/>
      <c r="BI374" s="190"/>
      <c r="BJ374" s="190"/>
      <c r="BK374" s="190"/>
      <c r="BL374" s="190"/>
      <c r="BM374" s="190"/>
      <c r="BN374" s="191"/>
      <c r="BO374" s="191"/>
      <c r="BP374" s="191"/>
      <c r="BQ374" s="191"/>
      <c r="BR374" s="191"/>
      <c r="BS374" s="191"/>
      <c r="BT374" s="190"/>
      <c r="BU374" s="190"/>
      <c r="BV374" s="190"/>
      <c r="BW374" s="190"/>
      <c r="BX374" s="190"/>
      <c r="BY374" s="190"/>
      <c r="BZ374" s="190"/>
      <c r="CA374" s="189"/>
      <c r="CB374" s="15"/>
    </row>
    <row r="375" spans="1:80" ht="15" x14ac:dyDescent="0.25">
      <c r="A375" s="167"/>
      <c r="B375" s="642"/>
      <c r="C375" s="642"/>
      <c r="D375" s="179"/>
      <c r="E375" s="169"/>
      <c r="F375" s="169"/>
      <c r="G375" s="186"/>
      <c r="H375" s="187"/>
      <c r="I375" s="187"/>
      <c r="J375" s="187"/>
      <c r="K375" s="187"/>
      <c r="L375" s="647"/>
      <c r="M375" s="646">
        <v>34873</v>
      </c>
      <c r="N375" s="585">
        <v>4.5199999999999996</v>
      </c>
      <c r="O375" s="585">
        <v>2.2280000000000001E-2</v>
      </c>
      <c r="P375" s="175">
        <v>0</v>
      </c>
      <c r="Q375" s="175">
        <v>0</v>
      </c>
      <c r="R375" s="175">
        <v>1.1100000000000001E-3</v>
      </c>
      <c r="S375" s="175">
        <v>3.13E-3</v>
      </c>
      <c r="T375" s="175">
        <v>4.6100000000000004E-3</v>
      </c>
      <c r="U375" s="175">
        <v>4.9699999999999996E-3</v>
      </c>
      <c r="V375" s="706">
        <v>8.4499999999999992E-3</v>
      </c>
      <c r="W375" s="717"/>
      <c r="X375" s="713"/>
      <c r="Y375" s="718"/>
      <c r="Z375" s="709">
        <v>23</v>
      </c>
      <c r="AA375" s="175"/>
      <c r="AB375" s="200"/>
      <c r="AC375" s="205">
        <v>1.7000000000000001E-2</v>
      </c>
      <c r="AD375" s="175">
        <v>7.6</v>
      </c>
      <c r="AE375" s="175">
        <v>0.4</v>
      </c>
      <c r="AF375" s="170">
        <f t="shared" ref="AF375:AF426" si="7">AE375*AD375</f>
        <v>3.04</v>
      </c>
      <c r="AG375" s="175">
        <v>1.49</v>
      </c>
      <c r="AH375" s="334"/>
      <c r="AI375" s="188"/>
      <c r="AJ375" s="188"/>
      <c r="AK375" s="188"/>
      <c r="AL375" s="189"/>
      <c r="AM375" s="189"/>
      <c r="AN375" s="189"/>
      <c r="AO375" s="189"/>
      <c r="AP375" s="189"/>
      <c r="AQ375" s="189"/>
      <c r="AR375" s="189"/>
      <c r="AS375" s="189"/>
      <c r="AT375" s="189"/>
      <c r="AU375" s="190"/>
      <c r="AV375" s="190"/>
      <c r="AW375" s="190"/>
      <c r="AX375" s="190"/>
      <c r="AY375" s="190"/>
      <c r="AZ375" s="189"/>
      <c r="BA375" s="189"/>
      <c r="BB375" s="189"/>
      <c r="BC375" s="189"/>
      <c r="BD375" s="189"/>
      <c r="BE375" s="189"/>
      <c r="BF375" s="189"/>
      <c r="BG375" s="189"/>
      <c r="BH375" s="189"/>
      <c r="BI375" s="190"/>
      <c r="BJ375" s="190"/>
      <c r="BK375" s="190"/>
      <c r="BL375" s="190"/>
      <c r="BM375" s="190"/>
      <c r="BN375" s="191"/>
      <c r="BO375" s="191"/>
      <c r="BP375" s="191"/>
      <c r="BQ375" s="191"/>
      <c r="BR375" s="191"/>
      <c r="BS375" s="191"/>
      <c r="BT375" s="190"/>
      <c r="BU375" s="190"/>
      <c r="BV375" s="190"/>
      <c r="BW375" s="190"/>
      <c r="BX375" s="190"/>
      <c r="BY375" s="190"/>
      <c r="BZ375" s="190"/>
      <c r="CA375" s="189"/>
      <c r="CB375" s="15"/>
    </row>
    <row r="376" spans="1:80" ht="15" x14ac:dyDescent="0.25">
      <c r="A376" s="167"/>
      <c r="B376" s="642"/>
      <c r="C376" s="642"/>
      <c r="D376" s="179"/>
      <c r="E376" s="169"/>
      <c r="F376" s="169"/>
      <c r="G376" s="186"/>
      <c r="H376" s="187"/>
      <c r="I376" s="187"/>
      <c r="J376" s="187"/>
      <c r="K376" s="187"/>
      <c r="L376" s="647"/>
      <c r="M376" s="646">
        <v>34879</v>
      </c>
      <c r="N376" s="585">
        <v>4.33</v>
      </c>
      <c r="O376" s="585">
        <v>9.0299999999999998E-3</v>
      </c>
      <c r="P376" s="175">
        <v>0</v>
      </c>
      <c r="Q376" s="175">
        <v>0</v>
      </c>
      <c r="R376" s="175">
        <v>9.3999999999999997E-4</v>
      </c>
      <c r="S376" s="175">
        <v>1.1000000000000001E-3</v>
      </c>
      <c r="T376" s="175">
        <v>1E-3</v>
      </c>
      <c r="U376" s="175">
        <v>1.3699999999999999E-3</v>
      </c>
      <c r="V376" s="706">
        <v>4.6299999999999996E-3</v>
      </c>
      <c r="W376" s="717"/>
      <c r="X376" s="713"/>
      <c r="Y376" s="718"/>
      <c r="Z376" s="709">
        <v>27</v>
      </c>
      <c r="AA376" s="175"/>
      <c r="AB376" s="200"/>
      <c r="AC376" s="205">
        <v>1.4999999999999999E-2</v>
      </c>
      <c r="AD376" s="175">
        <v>7.5</v>
      </c>
      <c r="AE376" s="175">
        <v>0.38</v>
      </c>
      <c r="AF376" s="170">
        <f t="shared" si="7"/>
        <v>2.85</v>
      </c>
      <c r="AG376" s="175">
        <v>1.5</v>
      </c>
      <c r="AH376" s="334"/>
      <c r="AI376" s="188"/>
      <c r="AJ376" s="188"/>
      <c r="AK376" s="188"/>
      <c r="AL376" s="189"/>
      <c r="AM376" s="189"/>
      <c r="AN376" s="189"/>
      <c r="AO376" s="189"/>
      <c r="AP376" s="189"/>
      <c r="AQ376" s="189"/>
      <c r="AR376" s="189"/>
      <c r="AS376" s="189"/>
      <c r="AT376" s="189"/>
      <c r="AU376" s="190"/>
      <c r="AV376" s="190"/>
      <c r="AW376" s="190"/>
      <c r="AX376" s="190"/>
      <c r="AY376" s="190"/>
      <c r="AZ376" s="189"/>
      <c r="BA376" s="189"/>
      <c r="BB376" s="189"/>
      <c r="BC376" s="189"/>
      <c r="BD376" s="189"/>
      <c r="BE376" s="189"/>
      <c r="BF376" s="189"/>
      <c r="BG376" s="189"/>
      <c r="BH376" s="189"/>
      <c r="BI376" s="190"/>
      <c r="BJ376" s="190"/>
      <c r="BK376" s="190"/>
      <c r="BL376" s="190"/>
      <c r="BM376" s="190"/>
      <c r="BN376" s="191"/>
      <c r="BO376" s="191"/>
      <c r="BP376" s="191"/>
      <c r="BQ376" s="191"/>
      <c r="BR376" s="191"/>
      <c r="BS376" s="191"/>
      <c r="BT376" s="190"/>
      <c r="BU376" s="190"/>
      <c r="BV376" s="190"/>
      <c r="BW376" s="190"/>
      <c r="BX376" s="190"/>
      <c r="BY376" s="190"/>
      <c r="BZ376" s="190"/>
      <c r="CA376" s="189"/>
      <c r="CB376" s="15"/>
    </row>
    <row r="377" spans="1:80" ht="15" x14ac:dyDescent="0.25">
      <c r="A377" s="167"/>
      <c r="B377" s="642"/>
      <c r="C377" s="642"/>
      <c r="D377" s="179"/>
      <c r="E377" s="169"/>
      <c r="F377" s="169"/>
      <c r="G377" s="186"/>
      <c r="H377" s="187"/>
      <c r="I377" s="187"/>
      <c r="J377" s="187"/>
      <c r="K377" s="187"/>
      <c r="L377" s="647"/>
      <c r="M377" s="646">
        <v>34881</v>
      </c>
      <c r="N377" s="585">
        <v>4.62</v>
      </c>
      <c r="O377" s="585">
        <v>1.5259999999999999E-2</v>
      </c>
      <c r="P377" s="175">
        <v>0</v>
      </c>
      <c r="Q377" s="175">
        <v>0</v>
      </c>
      <c r="R377" s="175">
        <v>1.97E-3</v>
      </c>
      <c r="S377" s="175">
        <v>1.99E-3</v>
      </c>
      <c r="T377" s="175">
        <v>2.8300000000000001E-3</v>
      </c>
      <c r="U377" s="175">
        <v>3.5400000000000002E-3</v>
      </c>
      <c r="V377" s="706">
        <v>4.9300000000000004E-3</v>
      </c>
      <c r="W377" s="717"/>
      <c r="X377" s="713"/>
      <c r="Y377" s="718"/>
      <c r="Z377" s="709">
        <v>25</v>
      </c>
      <c r="AA377" s="175"/>
      <c r="AB377" s="200"/>
      <c r="AC377" s="205">
        <v>1.4999999999999999E-2</v>
      </c>
      <c r="AD377" s="175">
        <v>7.4</v>
      </c>
      <c r="AE377" s="175">
        <v>0.43</v>
      </c>
      <c r="AF377" s="170">
        <f t="shared" si="7"/>
        <v>3.1819999999999999</v>
      </c>
      <c r="AG377" s="175">
        <v>1.46</v>
      </c>
      <c r="AH377" s="334"/>
      <c r="AI377" s="188"/>
      <c r="AJ377" s="188"/>
      <c r="AK377" s="188"/>
      <c r="AL377" s="189"/>
      <c r="AM377" s="189"/>
      <c r="AN377" s="189"/>
      <c r="AO377" s="189"/>
      <c r="AP377" s="189"/>
      <c r="AQ377" s="189"/>
      <c r="AR377" s="189"/>
      <c r="AS377" s="189"/>
      <c r="AT377" s="189"/>
      <c r="AU377" s="190"/>
      <c r="AV377" s="190"/>
      <c r="AW377" s="190"/>
      <c r="AX377" s="190"/>
      <c r="AY377" s="190"/>
      <c r="AZ377" s="189"/>
      <c r="BA377" s="189"/>
      <c r="BB377" s="189"/>
      <c r="BC377" s="189"/>
      <c r="BD377" s="189"/>
      <c r="BE377" s="189"/>
      <c r="BF377" s="189"/>
      <c r="BG377" s="189"/>
      <c r="BH377" s="189"/>
      <c r="BI377" s="190"/>
      <c r="BJ377" s="190"/>
      <c r="BK377" s="190"/>
      <c r="BL377" s="190"/>
      <c r="BM377" s="190"/>
      <c r="BN377" s="191"/>
      <c r="BO377" s="191"/>
      <c r="BP377" s="191"/>
      <c r="BQ377" s="191"/>
      <c r="BR377" s="191"/>
      <c r="BS377" s="191"/>
      <c r="BT377" s="190"/>
      <c r="BU377" s="190"/>
      <c r="BV377" s="190"/>
      <c r="BW377" s="190"/>
      <c r="BX377" s="190"/>
      <c r="BY377" s="190"/>
      <c r="BZ377" s="190"/>
      <c r="CA377" s="189"/>
      <c r="CB377" s="15"/>
    </row>
    <row r="378" spans="1:80" ht="15" x14ac:dyDescent="0.25">
      <c r="A378" s="167"/>
      <c r="B378" s="642"/>
      <c r="C378" s="642"/>
      <c r="D378" s="179"/>
      <c r="E378" s="169"/>
      <c r="F378" s="169"/>
      <c r="G378" s="186"/>
      <c r="H378" s="187"/>
      <c r="I378" s="187"/>
      <c r="J378" s="187"/>
      <c r="K378" s="187"/>
      <c r="L378" s="647"/>
      <c r="M378" s="646">
        <v>34886</v>
      </c>
      <c r="N378" s="585">
        <v>3.23</v>
      </c>
      <c r="O378" s="585">
        <v>4.1200000000000004E-3</v>
      </c>
      <c r="P378" s="175">
        <v>0</v>
      </c>
      <c r="Q378" s="175">
        <v>0</v>
      </c>
      <c r="R378" s="175">
        <v>0</v>
      </c>
      <c r="S378" s="175">
        <v>3.3E-4</v>
      </c>
      <c r="T378" s="175">
        <v>7.5000000000000002E-4</v>
      </c>
      <c r="U378" s="175">
        <v>8.5999999999999998E-4</v>
      </c>
      <c r="V378" s="706">
        <v>2.1700000000000001E-3</v>
      </c>
      <c r="W378" s="717"/>
      <c r="X378" s="713"/>
      <c r="Y378" s="718"/>
      <c r="Z378" s="709">
        <v>20</v>
      </c>
      <c r="AA378" s="175"/>
      <c r="AB378" s="200"/>
      <c r="AC378" s="205">
        <v>1.0999999999999999E-2</v>
      </c>
      <c r="AD378" s="175">
        <v>7</v>
      </c>
      <c r="AE378" s="175">
        <v>0.35</v>
      </c>
      <c r="AF378" s="170">
        <f t="shared" si="7"/>
        <v>2.4499999999999997</v>
      </c>
      <c r="AG378" s="175">
        <v>1.33</v>
      </c>
      <c r="AH378" s="334"/>
      <c r="AI378" s="188"/>
      <c r="AJ378" s="188"/>
      <c r="AK378" s="188"/>
      <c r="AL378" s="189"/>
      <c r="AM378" s="189"/>
      <c r="AN378" s="189"/>
      <c r="AO378" s="189"/>
      <c r="AP378" s="189"/>
      <c r="AQ378" s="189"/>
      <c r="AR378" s="189"/>
      <c r="AS378" s="189"/>
      <c r="AT378" s="189"/>
      <c r="AU378" s="190"/>
      <c r="AV378" s="190"/>
      <c r="AW378" s="190"/>
      <c r="AX378" s="190"/>
      <c r="AY378" s="190"/>
      <c r="AZ378" s="189"/>
      <c r="BA378" s="189"/>
      <c r="BB378" s="189"/>
      <c r="BC378" s="189"/>
      <c r="BD378" s="189"/>
      <c r="BE378" s="189"/>
      <c r="BF378" s="189"/>
      <c r="BG378" s="189"/>
      <c r="BH378" s="189"/>
      <c r="BI378" s="190"/>
      <c r="BJ378" s="190"/>
      <c r="BK378" s="190"/>
      <c r="BL378" s="190"/>
      <c r="BM378" s="190"/>
      <c r="BN378" s="191"/>
      <c r="BO378" s="191"/>
      <c r="BP378" s="191"/>
      <c r="BQ378" s="191"/>
      <c r="BR378" s="191"/>
      <c r="BS378" s="191"/>
      <c r="BT378" s="190"/>
      <c r="BU378" s="190"/>
      <c r="BV378" s="190"/>
      <c r="BW378" s="190"/>
      <c r="BX378" s="190"/>
      <c r="BY378" s="190"/>
      <c r="BZ378" s="190"/>
      <c r="CA378" s="189"/>
      <c r="CB378" s="15"/>
    </row>
    <row r="379" spans="1:80" ht="15" x14ac:dyDescent="0.25">
      <c r="A379" s="167"/>
      <c r="B379" s="642"/>
      <c r="C379" s="642"/>
      <c r="D379" s="179"/>
      <c r="E379" s="169"/>
      <c r="F379" s="169"/>
      <c r="G379" s="186"/>
      <c r="H379" s="187"/>
      <c r="I379" s="187"/>
      <c r="J379" s="187"/>
      <c r="K379" s="187"/>
      <c r="L379" s="647"/>
      <c r="M379" s="646">
        <v>34888</v>
      </c>
      <c r="N379" s="585">
        <v>4.09</v>
      </c>
      <c r="O379" s="585">
        <v>3.3989999999999999E-2</v>
      </c>
      <c r="P379" s="175">
        <v>0</v>
      </c>
      <c r="Q379" s="175">
        <v>1.6459999999999999E-2</v>
      </c>
      <c r="R379" s="175">
        <v>2.1700000000000001E-3</v>
      </c>
      <c r="S379" s="175">
        <v>3.0999999999999999E-3</v>
      </c>
      <c r="T379" s="175">
        <v>3.6099999999999999E-3</v>
      </c>
      <c r="U379" s="175">
        <v>3.15E-3</v>
      </c>
      <c r="V379" s="706">
        <v>5.5100000000000001E-3</v>
      </c>
      <c r="W379" s="717"/>
      <c r="X379" s="713"/>
      <c r="Y379" s="718"/>
      <c r="Z379" s="709">
        <v>63</v>
      </c>
      <c r="AA379" s="175"/>
      <c r="AB379" s="200"/>
      <c r="AC379" s="205">
        <v>1.4999999999999999E-2</v>
      </c>
      <c r="AD379" s="175">
        <v>7.6</v>
      </c>
      <c r="AE379" s="175">
        <v>0.39</v>
      </c>
      <c r="AF379" s="170">
        <f t="shared" si="7"/>
        <v>2.964</v>
      </c>
      <c r="AG379" s="175">
        <v>1.37</v>
      </c>
      <c r="AH379" s="334"/>
      <c r="AI379" s="188"/>
      <c r="AJ379" s="188"/>
      <c r="AK379" s="188"/>
      <c r="AL379" s="189"/>
      <c r="AM379" s="189"/>
      <c r="AN379" s="189"/>
      <c r="AO379" s="189"/>
      <c r="AP379" s="189"/>
      <c r="AQ379" s="189"/>
      <c r="AR379" s="189"/>
      <c r="AS379" s="189"/>
      <c r="AT379" s="189"/>
      <c r="AU379" s="190"/>
      <c r="AV379" s="190"/>
      <c r="AW379" s="190"/>
      <c r="AX379" s="190"/>
      <c r="AY379" s="190"/>
      <c r="AZ379" s="189"/>
      <c r="BA379" s="189"/>
      <c r="BB379" s="189"/>
      <c r="BC379" s="189"/>
      <c r="BD379" s="189"/>
      <c r="BE379" s="189"/>
      <c r="BF379" s="189"/>
      <c r="BG379" s="189"/>
      <c r="BH379" s="189"/>
      <c r="BI379" s="190"/>
      <c r="BJ379" s="190"/>
      <c r="BK379" s="190"/>
      <c r="BL379" s="190"/>
      <c r="BM379" s="190"/>
      <c r="BN379" s="191"/>
      <c r="BO379" s="191"/>
      <c r="BP379" s="191"/>
      <c r="BQ379" s="191"/>
      <c r="BR379" s="191"/>
      <c r="BS379" s="191"/>
      <c r="BT379" s="190"/>
      <c r="BU379" s="190"/>
      <c r="BV379" s="190"/>
      <c r="BW379" s="190"/>
      <c r="BX379" s="190"/>
      <c r="BY379" s="190"/>
      <c r="BZ379" s="190"/>
      <c r="CA379" s="189"/>
      <c r="CB379" s="15"/>
    </row>
    <row r="380" spans="1:80" ht="15" x14ac:dyDescent="0.25">
      <c r="A380" s="167"/>
      <c r="B380" s="642"/>
      <c r="C380" s="642"/>
      <c r="D380" s="179"/>
      <c r="E380" s="169"/>
      <c r="F380" s="169"/>
      <c r="G380" s="186"/>
      <c r="H380" s="187"/>
      <c r="I380" s="187"/>
      <c r="J380" s="187"/>
      <c r="K380" s="187"/>
      <c r="L380" s="647"/>
      <c r="M380" s="646">
        <v>34890</v>
      </c>
      <c r="N380" s="585">
        <v>5.21</v>
      </c>
      <c r="O380" s="585">
        <v>0.13563</v>
      </c>
      <c r="P380" s="175">
        <v>0</v>
      </c>
      <c r="Q380" s="175">
        <v>1.225E-2</v>
      </c>
      <c r="R380" s="175">
        <v>2.666E-2</v>
      </c>
      <c r="S380" s="175">
        <v>2.316E-2</v>
      </c>
      <c r="T380" s="175">
        <v>2.4899999999999999E-2</v>
      </c>
      <c r="U380" s="175">
        <v>2.2440000000000002E-2</v>
      </c>
      <c r="V380" s="706">
        <v>2.623E-2</v>
      </c>
      <c r="W380" s="717"/>
      <c r="X380" s="713"/>
      <c r="Y380" s="718"/>
      <c r="Z380" s="709">
        <v>44</v>
      </c>
      <c r="AA380" s="175"/>
      <c r="AB380" s="200"/>
      <c r="AC380" s="205">
        <v>1.6E-2</v>
      </c>
      <c r="AD380" s="175">
        <v>7.5</v>
      </c>
      <c r="AE380" s="175">
        <v>0.42</v>
      </c>
      <c r="AF380" s="170">
        <f t="shared" si="7"/>
        <v>3.15</v>
      </c>
      <c r="AG380" s="175">
        <v>1.64</v>
      </c>
      <c r="AH380" s="334"/>
      <c r="AI380" s="188"/>
      <c r="AJ380" s="188"/>
      <c r="AK380" s="188"/>
      <c r="AL380" s="189"/>
      <c r="AM380" s="189"/>
      <c r="AN380" s="189"/>
      <c r="AO380" s="189"/>
      <c r="AP380" s="189"/>
      <c r="AQ380" s="189"/>
      <c r="AR380" s="189"/>
      <c r="AS380" s="189"/>
      <c r="AT380" s="189"/>
      <c r="AU380" s="190"/>
      <c r="AV380" s="190"/>
      <c r="AW380" s="190"/>
      <c r="AX380" s="190"/>
      <c r="AY380" s="190"/>
      <c r="AZ380" s="189"/>
      <c r="BA380" s="189"/>
      <c r="BB380" s="189"/>
      <c r="BC380" s="189"/>
      <c r="BD380" s="189"/>
      <c r="BE380" s="189"/>
      <c r="BF380" s="189"/>
      <c r="BG380" s="189"/>
      <c r="BH380" s="189"/>
      <c r="BI380" s="190"/>
      <c r="BJ380" s="190"/>
      <c r="BK380" s="190"/>
      <c r="BL380" s="190"/>
      <c r="BM380" s="190"/>
      <c r="BN380" s="191"/>
      <c r="BO380" s="191"/>
      <c r="BP380" s="191"/>
      <c r="BQ380" s="191"/>
      <c r="BR380" s="191"/>
      <c r="BS380" s="191"/>
      <c r="BT380" s="190"/>
      <c r="BU380" s="190"/>
      <c r="BV380" s="190"/>
      <c r="BW380" s="190"/>
      <c r="BX380" s="190"/>
      <c r="BY380" s="190"/>
      <c r="BZ380" s="190"/>
      <c r="CA380" s="189"/>
      <c r="CB380" s="15"/>
    </row>
    <row r="381" spans="1:80" ht="15" x14ac:dyDescent="0.25">
      <c r="A381" s="167"/>
      <c r="B381" s="642"/>
      <c r="C381" s="642"/>
      <c r="D381" s="179"/>
      <c r="E381" s="169"/>
      <c r="F381" s="169"/>
      <c r="G381" s="186"/>
      <c r="H381" s="187"/>
      <c r="I381" s="187"/>
      <c r="J381" s="187"/>
      <c r="K381" s="187"/>
      <c r="L381" s="647"/>
      <c r="M381" s="646">
        <v>34891</v>
      </c>
      <c r="N381" s="585">
        <v>6.6</v>
      </c>
      <c r="O381" s="585">
        <v>0.27609</v>
      </c>
      <c r="P381" s="175">
        <v>0</v>
      </c>
      <c r="Q381" s="175">
        <v>3.1640000000000001E-2</v>
      </c>
      <c r="R381" s="175">
        <v>4.5740000000000003E-2</v>
      </c>
      <c r="S381" s="175">
        <v>4.4269999999999997E-2</v>
      </c>
      <c r="T381" s="175">
        <v>5.2409999999999998E-2</v>
      </c>
      <c r="U381" s="175">
        <v>4.8680000000000001E-2</v>
      </c>
      <c r="V381" s="706">
        <v>5.3350000000000002E-2</v>
      </c>
      <c r="W381" s="717"/>
      <c r="X381" s="713"/>
      <c r="Y381" s="718"/>
      <c r="Z381" s="709">
        <v>60</v>
      </c>
      <c r="AA381" s="175"/>
      <c r="AB381" s="200"/>
      <c r="AC381" s="205">
        <v>1.9E-2</v>
      </c>
      <c r="AD381" s="175">
        <v>7.6</v>
      </c>
      <c r="AE381" s="175">
        <v>0.51</v>
      </c>
      <c r="AF381" s="170">
        <f t="shared" si="7"/>
        <v>3.8759999999999999</v>
      </c>
      <c r="AG381" s="175">
        <v>1.7</v>
      </c>
      <c r="AH381" s="334"/>
      <c r="AI381" s="188"/>
      <c r="AJ381" s="188"/>
      <c r="AK381" s="188"/>
      <c r="AL381" s="189"/>
      <c r="AM381" s="189"/>
      <c r="AN381" s="189"/>
      <c r="AO381" s="189"/>
      <c r="AP381" s="189"/>
      <c r="AQ381" s="189"/>
      <c r="AR381" s="189"/>
      <c r="AS381" s="189"/>
      <c r="AT381" s="189"/>
      <c r="AU381" s="190"/>
      <c r="AV381" s="190"/>
      <c r="AW381" s="190"/>
      <c r="AX381" s="190"/>
      <c r="AY381" s="190"/>
      <c r="AZ381" s="189"/>
      <c r="BA381" s="189"/>
      <c r="BB381" s="189"/>
      <c r="BC381" s="189"/>
      <c r="BD381" s="189"/>
      <c r="BE381" s="189"/>
      <c r="BF381" s="189"/>
      <c r="BG381" s="189"/>
      <c r="BH381" s="189"/>
      <c r="BI381" s="190"/>
      <c r="BJ381" s="190"/>
      <c r="BK381" s="190"/>
      <c r="BL381" s="190"/>
      <c r="BM381" s="190"/>
      <c r="BN381" s="191"/>
      <c r="BO381" s="191"/>
      <c r="BP381" s="191"/>
      <c r="BQ381" s="191"/>
      <c r="BR381" s="191"/>
      <c r="BS381" s="191"/>
      <c r="BT381" s="190"/>
      <c r="BU381" s="190"/>
      <c r="BV381" s="190"/>
      <c r="BW381" s="190"/>
      <c r="BX381" s="190"/>
      <c r="BY381" s="190"/>
      <c r="BZ381" s="190"/>
      <c r="CA381" s="189"/>
      <c r="CB381" s="15"/>
    </row>
    <row r="382" spans="1:80" ht="15" x14ac:dyDescent="0.25">
      <c r="A382" s="167"/>
      <c r="B382" s="642"/>
      <c r="C382" s="642"/>
      <c r="D382" s="179"/>
      <c r="E382" s="169"/>
      <c r="F382" s="169"/>
      <c r="G382" s="186"/>
      <c r="H382" s="187"/>
      <c r="I382" s="187"/>
      <c r="J382" s="187"/>
      <c r="K382" s="187"/>
      <c r="L382" s="647"/>
      <c r="M382" s="646">
        <v>34892</v>
      </c>
      <c r="N382" s="585">
        <v>5.78</v>
      </c>
      <c r="O382" s="585">
        <v>8.7520000000000001E-2</v>
      </c>
      <c r="P382" s="175">
        <v>0</v>
      </c>
      <c r="Q382" s="175">
        <v>3.9699999999999996E-3</v>
      </c>
      <c r="R382" s="175">
        <v>1.2449999999999999E-2</v>
      </c>
      <c r="S382" s="175">
        <v>1.583E-2</v>
      </c>
      <c r="T382" s="175">
        <v>1.6500000000000001E-2</v>
      </c>
      <c r="U382" s="175">
        <v>1.6740000000000001E-2</v>
      </c>
      <c r="V382" s="706">
        <v>2.2020000000000001E-2</v>
      </c>
      <c r="W382" s="717"/>
      <c r="X382" s="713"/>
      <c r="Y382" s="718"/>
      <c r="Z382" s="709">
        <v>40</v>
      </c>
      <c r="AA382" s="175"/>
      <c r="AB382" s="200"/>
      <c r="AC382" s="205">
        <v>1.9E-2</v>
      </c>
      <c r="AD382" s="175">
        <v>7.7</v>
      </c>
      <c r="AE382" s="175">
        <v>0.47</v>
      </c>
      <c r="AF382" s="170">
        <f t="shared" si="7"/>
        <v>3.6189999999999998</v>
      </c>
      <c r="AG382" s="175">
        <v>1.6</v>
      </c>
      <c r="AH382" s="334"/>
      <c r="AI382" s="188"/>
      <c r="AJ382" s="188"/>
      <c r="AK382" s="188"/>
      <c r="AL382" s="189"/>
      <c r="AM382" s="189"/>
      <c r="AN382" s="189"/>
      <c r="AO382" s="189"/>
      <c r="AP382" s="189"/>
      <c r="AQ382" s="189"/>
      <c r="AR382" s="189"/>
      <c r="AS382" s="189"/>
      <c r="AT382" s="189"/>
      <c r="AU382" s="190"/>
      <c r="AV382" s="190"/>
      <c r="AW382" s="190"/>
      <c r="AX382" s="190"/>
      <c r="AY382" s="190"/>
      <c r="AZ382" s="189"/>
      <c r="BA382" s="189"/>
      <c r="BB382" s="189"/>
      <c r="BC382" s="189"/>
      <c r="BD382" s="189"/>
      <c r="BE382" s="189"/>
      <c r="BF382" s="189"/>
      <c r="BG382" s="189"/>
      <c r="BH382" s="189"/>
      <c r="BI382" s="190"/>
      <c r="BJ382" s="190"/>
      <c r="BK382" s="190"/>
      <c r="BL382" s="190"/>
      <c r="BM382" s="190"/>
      <c r="BN382" s="191"/>
      <c r="BO382" s="191"/>
      <c r="BP382" s="191"/>
      <c r="BQ382" s="191"/>
      <c r="BR382" s="191"/>
      <c r="BS382" s="191"/>
      <c r="BT382" s="190"/>
      <c r="BU382" s="190"/>
      <c r="BV382" s="190"/>
      <c r="BW382" s="190"/>
      <c r="BX382" s="190"/>
      <c r="BY382" s="190"/>
      <c r="BZ382" s="190"/>
      <c r="CA382" s="189"/>
      <c r="CB382" s="15"/>
    </row>
    <row r="383" spans="1:80" ht="15" x14ac:dyDescent="0.25">
      <c r="A383" s="167"/>
      <c r="B383" s="642"/>
      <c r="C383" s="642"/>
      <c r="D383" s="179"/>
      <c r="E383" s="169"/>
      <c r="F383" s="169"/>
      <c r="G383" s="186"/>
      <c r="H383" s="187"/>
      <c r="I383" s="187"/>
      <c r="J383" s="187"/>
      <c r="K383" s="187"/>
      <c r="L383" s="647"/>
      <c r="M383" s="646">
        <v>34893</v>
      </c>
      <c r="N383" s="585">
        <v>5.68</v>
      </c>
      <c r="O383" s="585">
        <v>6.0060000000000002E-2</v>
      </c>
      <c r="P383" s="175">
        <v>0</v>
      </c>
      <c r="Q383" s="175">
        <v>0</v>
      </c>
      <c r="R383" s="175">
        <v>6.9499999999999996E-3</v>
      </c>
      <c r="S383" s="175">
        <v>1.661E-2</v>
      </c>
      <c r="T383" s="175">
        <v>1.123E-2</v>
      </c>
      <c r="U383" s="175">
        <v>1.008E-2</v>
      </c>
      <c r="V383" s="706">
        <v>1.519E-2</v>
      </c>
      <c r="W383" s="717"/>
      <c r="X383" s="713"/>
      <c r="Y383" s="718"/>
      <c r="Z383" s="709">
        <v>26</v>
      </c>
      <c r="AA383" s="175"/>
      <c r="AB383" s="200"/>
      <c r="AC383" s="205">
        <v>0.02</v>
      </c>
      <c r="AD383" s="175">
        <v>7.6</v>
      </c>
      <c r="AE383" s="175">
        <v>0.48</v>
      </c>
      <c r="AF383" s="170">
        <f t="shared" si="7"/>
        <v>3.6479999999999997</v>
      </c>
      <c r="AG383" s="175">
        <v>1.56</v>
      </c>
      <c r="AH383" s="334"/>
      <c r="AI383" s="188"/>
      <c r="AJ383" s="188"/>
      <c r="AK383" s="188"/>
      <c r="AL383" s="189"/>
      <c r="AM383" s="189"/>
      <c r="AN383" s="189"/>
      <c r="AO383" s="189"/>
      <c r="AP383" s="189"/>
      <c r="AQ383" s="189"/>
      <c r="AR383" s="189"/>
      <c r="AS383" s="189"/>
      <c r="AT383" s="189"/>
      <c r="AU383" s="190"/>
      <c r="AV383" s="190"/>
      <c r="AW383" s="190"/>
      <c r="AX383" s="190"/>
      <c r="AY383" s="190"/>
      <c r="AZ383" s="189"/>
      <c r="BA383" s="189"/>
      <c r="BB383" s="189"/>
      <c r="BC383" s="189"/>
      <c r="BD383" s="189"/>
      <c r="BE383" s="189"/>
      <c r="BF383" s="189"/>
      <c r="BG383" s="189"/>
      <c r="BH383" s="189"/>
      <c r="BI383" s="190"/>
      <c r="BJ383" s="190"/>
      <c r="BK383" s="190"/>
      <c r="BL383" s="190"/>
      <c r="BM383" s="190"/>
      <c r="BN383" s="191"/>
      <c r="BO383" s="191"/>
      <c r="BP383" s="191"/>
      <c r="BQ383" s="191"/>
      <c r="BR383" s="191"/>
      <c r="BS383" s="191"/>
      <c r="BT383" s="190"/>
      <c r="BU383" s="190"/>
      <c r="BV383" s="190"/>
      <c r="BW383" s="190"/>
      <c r="BX383" s="190"/>
      <c r="BY383" s="190"/>
      <c r="BZ383" s="190"/>
      <c r="CA383" s="189"/>
      <c r="CB383" s="15"/>
    </row>
    <row r="384" spans="1:80" ht="15" x14ac:dyDescent="0.25">
      <c r="A384" s="167"/>
      <c r="B384" s="642"/>
      <c r="C384" s="642"/>
      <c r="D384" s="179"/>
      <c r="E384" s="169"/>
      <c r="F384" s="169"/>
      <c r="G384" s="186"/>
      <c r="H384" s="187"/>
      <c r="I384" s="187"/>
      <c r="J384" s="187"/>
      <c r="K384" s="187"/>
      <c r="L384" s="647"/>
      <c r="M384" s="646">
        <v>34895</v>
      </c>
      <c r="N384" s="585">
        <v>5.63</v>
      </c>
      <c r="O384" s="585">
        <v>7.886E-2</v>
      </c>
      <c r="P384" s="175">
        <v>0</v>
      </c>
      <c r="Q384" s="175">
        <v>1.4619999999999999E-2</v>
      </c>
      <c r="R384" s="175">
        <v>1.6719999999999999E-2</v>
      </c>
      <c r="S384" s="175">
        <v>1.1039999999999999E-2</v>
      </c>
      <c r="T384" s="175">
        <v>1.321E-2</v>
      </c>
      <c r="U384" s="175">
        <v>1.0540000000000001E-2</v>
      </c>
      <c r="V384" s="706">
        <v>1.273E-2</v>
      </c>
      <c r="W384" s="717"/>
      <c r="X384" s="713"/>
      <c r="Y384" s="718"/>
      <c r="Z384" s="709">
        <v>55</v>
      </c>
      <c r="AA384" s="175"/>
      <c r="AB384" s="200"/>
      <c r="AC384" s="205">
        <v>1.7000000000000001E-2</v>
      </c>
      <c r="AD384" s="175">
        <v>7.5</v>
      </c>
      <c r="AE384" s="175">
        <v>0.47</v>
      </c>
      <c r="AF384" s="170">
        <f t="shared" si="7"/>
        <v>3.5249999999999999</v>
      </c>
      <c r="AG384" s="175">
        <v>1.61</v>
      </c>
      <c r="AH384" s="334"/>
      <c r="AI384" s="188"/>
      <c r="AJ384" s="188"/>
      <c r="AK384" s="188"/>
      <c r="AL384" s="189"/>
      <c r="AM384" s="189"/>
      <c r="AN384" s="189"/>
      <c r="AO384" s="189"/>
      <c r="AP384" s="189"/>
      <c r="AQ384" s="189"/>
      <c r="AR384" s="189"/>
      <c r="AS384" s="189"/>
      <c r="AT384" s="189"/>
      <c r="AU384" s="190"/>
      <c r="AV384" s="190"/>
      <c r="AW384" s="190"/>
      <c r="AX384" s="190"/>
      <c r="AY384" s="190"/>
      <c r="AZ384" s="189"/>
      <c r="BA384" s="189"/>
      <c r="BB384" s="189"/>
      <c r="BC384" s="189"/>
      <c r="BD384" s="189"/>
      <c r="BE384" s="189"/>
      <c r="BF384" s="189"/>
      <c r="BG384" s="189"/>
      <c r="BH384" s="189"/>
      <c r="BI384" s="190"/>
      <c r="BJ384" s="190"/>
      <c r="BK384" s="190"/>
      <c r="BL384" s="190"/>
      <c r="BM384" s="190"/>
      <c r="BN384" s="191"/>
      <c r="BO384" s="191"/>
      <c r="BP384" s="191"/>
      <c r="BQ384" s="191"/>
      <c r="BR384" s="191"/>
      <c r="BS384" s="191"/>
      <c r="BT384" s="190"/>
      <c r="BU384" s="190"/>
      <c r="BV384" s="190"/>
      <c r="BW384" s="190"/>
      <c r="BX384" s="190"/>
      <c r="BY384" s="190"/>
      <c r="BZ384" s="190"/>
      <c r="CA384" s="189"/>
      <c r="CB384" s="15"/>
    </row>
    <row r="385" spans="1:80" ht="15" x14ac:dyDescent="0.25">
      <c r="A385" s="167"/>
      <c r="B385" s="642"/>
      <c r="C385" s="642"/>
      <c r="D385" s="179"/>
      <c r="E385" s="169"/>
      <c r="F385" s="169"/>
      <c r="G385" s="186"/>
      <c r="H385" s="187"/>
      <c r="I385" s="187"/>
      <c r="J385" s="187"/>
      <c r="K385" s="187"/>
      <c r="L385" s="647"/>
      <c r="M385" s="646">
        <v>34898</v>
      </c>
      <c r="N385" s="585">
        <v>4.72</v>
      </c>
      <c r="O385" s="585">
        <v>2.6700000000000002E-2</v>
      </c>
      <c r="P385" s="175">
        <v>0</v>
      </c>
      <c r="Q385" s="175">
        <v>0</v>
      </c>
      <c r="R385" s="175">
        <v>2.2799999999999999E-3</v>
      </c>
      <c r="S385" s="175">
        <v>4.4200000000000003E-3</v>
      </c>
      <c r="T385" s="175">
        <v>5.0200000000000002E-3</v>
      </c>
      <c r="U385" s="175">
        <v>6.1199999999999996E-3</v>
      </c>
      <c r="V385" s="706">
        <v>8.8500000000000002E-3</v>
      </c>
      <c r="W385" s="717"/>
      <c r="X385" s="713"/>
      <c r="Y385" s="718"/>
      <c r="Z385" s="709">
        <v>19</v>
      </c>
      <c r="AA385" s="175"/>
      <c r="AB385" s="200"/>
      <c r="AC385" s="205">
        <v>1.4999999999999999E-2</v>
      </c>
      <c r="AD385" s="175">
        <v>7.4</v>
      </c>
      <c r="AE385" s="175">
        <v>0.43</v>
      </c>
      <c r="AF385" s="170">
        <f t="shared" si="7"/>
        <v>3.1819999999999999</v>
      </c>
      <c r="AG385" s="175">
        <v>1.49</v>
      </c>
      <c r="AH385" s="334"/>
      <c r="AI385" s="188"/>
      <c r="AJ385" s="188"/>
      <c r="AK385" s="188"/>
      <c r="AL385" s="189"/>
      <c r="AM385" s="189"/>
      <c r="AN385" s="189"/>
      <c r="AO385" s="189"/>
      <c r="AP385" s="189"/>
      <c r="AQ385" s="189"/>
      <c r="AR385" s="189"/>
      <c r="AS385" s="189"/>
      <c r="AT385" s="189"/>
      <c r="AU385" s="190"/>
      <c r="AV385" s="190"/>
      <c r="AW385" s="190"/>
      <c r="AX385" s="190"/>
      <c r="AY385" s="190"/>
      <c r="AZ385" s="189"/>
      <c r="BA385" s="189"/>
      <c r="BB385" s="189"/>
      <c r="BC385" s="189"/>
      <c r="BD385" s="189"/>
      <c r="BE385" s="189"/>
      <c r="BF385" s="189"/>
      <c r="BG385" s="189"/>
      <c r="BH385" s="189"/>
      <c r="BI385" s="190"/>
      <c r="BJ385" s="190"/>
      <c r="BK385" s="190"/>
      <c r="BL385" s="190"/>
      <c r="BM385" s="190"/>
      <c r="BN385" s="191"/>
      <c r="BO385" s="191"/>
      <c r="BP385" s="191"/>
      <c r="BQ385" s="191"/>
      <c r="BR385" s="191"/>
      <c r="BS385" s="191"/>
      <c r="BT385" s="190"/>
      <c r="BU385" s="190"/>
      <c r="BV385" s="190"/>
      <c r="BW385" s="190"/>
      <c r="BX385" s="190"/>
      <c r="BY385" s="190"/>
      <c r="BZ385" s="190"/>
      <c r="CA385" s="189"/>
      <c r="CB385" s="15"/>
    </row>
    <row r="386" spans="1:80" ht="15" x14ac:dyDescent="0.25">
      <c r="A386" s="167"/>
      <c r="B386" s="642"/>
      <c r="C386" s="642"/>
      <c r="D386" s="179"/>
      <c r="E386" s="169"/>
      <c r="F386" s="169"/>
      <c r="G386" s="186"/>
      <c r="H386" s="187"/>
      <c r="I386" s="187"/>
      <c r="J386" s="187"/>
      <c r="K386" s="187"/>
      <c r="L386" s="647"/>
      <c r="M386" s="646">
        <v>34899</v>
      </c>
      <c r="N386" s="585">
        <v>4.28</v>
      </c>
      <c r="O386" s="585">
        <v>1.9470000000000001E-2</v>
      </c>
      <c r="P386" s="175">
        <v>0</v>
      </c>
      <c r="Q386" s="175">
        <v>0</v>
      </c>
      <c r="R386" s="175">
        <v>6.0999999999999997E-4</v>
      </c>
      <c r="S386" s="175">
        <v>5.0600000000000003E-3</v>
      </c>
      <c r="T386" s="175">
        <v>4.1399999999999996E-3</v>
      </c>
      <c r="U386" s="175">
        <v>4.0600000000000002E-3</v>
      </c>
      <c r="V386" s="706">
        <v>5.5999999999999999E-3</v>
      </c>
      <c r="W386" s="717"/>
      <c r="X386" s="713"/>
      <c r="Y386" s="718"/>
      <c r="Z386" s="709">
        <v>19</v>
      </c>
      <c r="AA386" s="175"/>
      <c r="AB386" s="200"/>
      <c r="AC386" s="205">
        <v>1.7000000000000001E-2</v>
      </c>
      <c r="AD386" s="175">
        <v>7.4</v>
      </c>
      <c r="AE386" s="175">
        <v>0.45</v>
      </c>
      <c r="AF386" s="170">
        <f t="shared" si="7"/>
        <v>3.33</v>
      </c>
      <c r="AG386" s="175">
        <v>1.3</v>
      </c>
      <c r="AH386" s="334"/>
      <c r="AI386" s="188"/>
      <c r="AJ386" s="188"/>
      <c r="AK386" s="188"/>
      <c r="AL386" s="189"/>
      <c r="AM386" s="189"/>
      <c r="AN386" s="189"/>
      <c r="AO386" s="189"/>
      <c r="AP386" s="189"/>
      <c r="AQ386" s="189"/>
      <c r="AR386" s="189"/>
      <c r="AS386" s="189"/>
      <c r="AT386" s="189"/>
      <c r="AU386" s="190"/>
      <c r="AV386" s="190"/>
      <c r="AW386" s="190"/>
      <c r="AX386" s="190"/>
      <c r="AY386" s="190"/>
      <c r="AZ386" s="189"/>
      <c r="BA386" s="189"/>
      <c r="BB386" s="189"/>
      <c r="BC386" s="189"/>
      <c r="BD386" s="189"/>
      <c r="BE386" s="189"/>
      <c r="BF386" s="189"/>
      <c r="BG386" s="189"/>
      <c r="BH386" s="189"/>
      <c r="BI386" s="190"/>
      <c r="BJ386" s="190"/>
      <c r="BK386" s="190"/>
      <c r="BL386" s="190"/>
      <c r="BM386" s="190"/>
      <c r="BN386" s="191"/>
      <c r="BO386" s="191"/>
      <c r="BP386" s="191"/>
      <c r="BQ386" s="191"/>
      <c r="BR386" s="191"/>
      <c r="BS386" s="191"/>
      <c r="BT386" s="190"/>
      <c r="BU386" s="190"/>
      <c r="BV386" s="190"/>
      <c r="BW386" s="190"/>
      <c r="BX386" s="190"/>
      <c r="BY386" s="190"/>
      <c r="BZ386" s="190"/>
      <c r="CA386" s="189"/>
      <c r="CB386" s="15"/>
    </row>
    <row r="387" spans="1:80" ht="15" x14ac:dyDescent="0.25">
      <c r="A387" s="167"/>
      <c r="B387" s="642"/>
      <c r="C387" s="642"/>
      <c r="D387" s="179"/>
      <c r="E387" s="169"/>
      <c r="F387" s="169"/>
      <c r="G387" s="186"/>
      <c r="H387" s="187"/>
      <c r="I387" s="187"/>
      <c r="J387" s="187"/>
      <c r="K387" s="187"/>
      <c r="L387" s="647"/>
      <c r="M387" s="646">
        <v>34901</v>
      </c>
      <c r="N387" s="585">
        <v>4.13</v>
      </c>
      <c r="O387" s="585">
        <v>2.4039999999999999E-2</v>
      </c>
      <c r="P387" s="175">
        <v>0</v>
      </c>
      <c r="Q387" s="175">
        <v>0</v>
      </c>
      <c r="R387" s="175">
        <v>1.4E-3</v>
      </c>
      <c r="S387" s="175">
        <v>3.32E-3</v>
      </c>
      <c r="T387" s="175">
        <v>4.1000000000000003E-3</v>
      </c>
      <c r="U387" s="175">
        <v>5.6299999999999996E-3</v>
      </c>
      <c r="V387" s="706">
        <v>9.5899999999999996E-3</v>
      </c>
      <c r="W387" s="717"/>
      <c r="X387" s="713"/>
      <c r="Y387" s="718"/>
      <c r="Z387" s="709">
        <v>22</v>
      </c>
      <c r="AA387" s="175"/>
      <c r="AB387" s="200"/>
      <c r="AC387" s="205">
        <v>1.4E-2</v>
      </c>
      <c r="AD387" s="175">
        <v>7.3</v>
      </c>
      <c r="AE387" s="175">
        <v>0.4</v>
      </c>
      <c r="AF387" s="170">
        <f t="shared" si="7"/>
        <v>2.92</v>
      </c>
      <c r="AG387" s="175">
        <v>1.4</v>
      </c>
      <c r="AH387" s="334"/>
      <c r="AI387" s="188"/>
      <c r="AJ387" s="188"/>
      <c r="AK387" s="188"/>
      <c r="AL387" s="189"/>
      <c r="AM387" s="189"/>
      <c r="AN387" s="189"/>
      <c r="AO387" s="189"/>
      <c r="AP387" s="189"/>
      <c r="AQ387" s="189"/>
      <c r="AR387" s="189"/>
      <c r="AS387" s="189"/>
      <c r="AT387" s="189"/>
      <c r="AU387" s="190"/>
      <c r="AV387" s="190"/>
      <c r="AW387" s="190"/>
      <c r="AX387" s="190"/>
      <c r="AY387" s="190"/>
      <c r="AZ387" s="189"/>
      <c r="BA387" s="189"/>
      <c r="BB387" s="189"/>
      <c r="BC387" s="189"/>
      <c r="BD387" s="189"/>
      <c r="BE387" s="189"/>
      <c r="BF387" s="189"/>
      <c r="BG387" s="189"/>
      <c r="BH387" s="189"/>
      <c r="BI387" s="190"/>
      <c r="BJ387" s="190"/>
      <c r="BK387" s="190"/>
      <c r="BL387" s="190"/>
      <c r="BM387" s="190"/>
      <c r="BN387" s="191"/>
      <c r="BO387" s="191"/>
      <c r="BP387" s="191"/>
      <c r="BQ387" s="191"/>
      <c r="BR387" s="191"/>
      <c r="BS387" s="191"/>
      <c r="BT387" s="190"/>
      <c r="BU387" s="190"/>
      <c r="BV387" s="190"/>
      <c r="BW387" s="190"/>
      <c r="BX387" s="190"/>
      <c r="BY387" s="190"/>
      <c r="BZ387" s="190"/>
      <c r="CA387" s="189"/>
      <c r="CB387" s="15"/>
    </row>
    <row r="388" spans="1:80" ht="15" x14ac:dyDescent="0.25">
      <c r="A388" s="167"/>
      <c r="B388" s="642"/>
      <c r="C388" s="642"/>
      <c r="D388" s="179"/>
      <c r="E388" s="169"/>
      <c r="F388" s="169"/>
      <c r="G388" s="186"/>
      <c r="H388" s="187"/>
      <c r="I388" s="187"/>
      <c r="J388" s="187"/>
      <c r="K388" s="187"/>
      <c r="L388" s="647"/>
      <c r="M388" s="646">
        <v>34905</v>
      </c>
      <c r="N388" s="585">
        <v>3.34</v>
      </c>
      <c r="O388" s="585">
        <v>1.1950000000000001E-2</v>
      </c>
      <c r="P388" s="175">
        <v>0</v>
      </c>
      <c r="Q388" s="175">
        <v>0</v>
      </c>
      <c r="R388" s="175">
        <v>1.75E-3</v>
      </c>
      <c r="S388" s="175">
        <v>1.1900000000000001E-3</v>
      </c>
      <c r="T388" s="175">
        <v>3.1700000000000001E-3</v>
      </c>
      <c r="U388" s="175">
        <v>2.8500000000000001E-3</v>
      </c>
      <c r="V388" s="706">
        <v>2.98E-3</v>
      </c>
      <c r="W388" s="717"/>
      <c r="X388" s="713"/>
      <c r="Y388" s="718"/>
      <c r="Z388" s="709">
        <v>20</v>
      </c>
      <c r="AA388" s="175"/>
      <c r="AB388" s="200"/>
      <c r="AC388" s="205">
        <v>1.4E-2</v>
      </c>
      <c r="AD388" s="175">
        <v>7.1</v>
      </c>
      <c r="AE388" s="175">
        <v>0.39</v>
      </c>
      <c r="AF388" s="170">
        <f t="shared" si="7"/>
        <v>2.7690000000000001</v>
      </c>
      <c r="AG388" s="175">
        <v>1.22</v>
      </c>
      <c r="AH388" s="334"/>
      <c r="AI388" s="188"/>
      <c r="AJ388" s="188"/>
      <c r="AK388" s="188"/>
      <c r="AL388" s="189"/>
      <c r="AM388" s="189"/>
      <c r="AN388" s="189"/>
      <c r="AO388" s="189"/>
      <c r="AP388" s="189"/>
      <c r="AQ388" s="189"/>
      <c r="AR388" s="189"/>
      <c r="AS388" s="189"/>
      <c r="AT388" s="189"/>
      <c r="AU388" s="190"/>
      <c r="AV388" s="190"/>
      <c r="AW388" s="190"/>
      <c r="AX388" s="190"/>
      <c r="AY388" s="190"/>
      <c r="AZ388" s="189"/>
      <c r="BA388" s="189"/>
      <c r="BB388" s="189"/>
      <c r="BC388" s="189"/>
      <c r="BD388" s="189"/>
      <c r="BE388" s="189"/>
      <c r="BF388" s="189"/>
      <c r="BG388" s="189"/>
      <c r="BH388" s="189"/>
      <c r="BI388" s="190"/>
      <c r="BJ388" s="190"/>
      <c r="BK388" s="190"/>
      <c r="BL388" s="190"/>
      <c r="BM388" s="190"/>
      <c r="BN388" s="191"/>
      <c r="BO388" s="191"/>
      <c r="BP388" s="191"/>
      <c r="BQ388" s="191"/>
      <c r="BR388" s="191"/>
      <c r="BS388" s="191"/>
      <c r="BT388" s="190"/>
      <c r="BU388" s="190"/>
      <c r="BV388" s="190"/>
      <c r="BW388" s="190"/>
      <c r="BX388" s="190"/>
      <c r="BY388" s="190"/>
      <c r="BZ388" s="190"/>
      <c r="CA388" s="189"/>
      <c r="CB388" s="15"/>
    </row>
    <row r="389" spans="1:80" ht="15" x14ac:dyDescent="0.25">
      <c r="A389" s="167"/>
      <c r="B389" s="642"/>
      <c r="C389" s="642"/>
      <c r="D389" s="179"/>
      <c r="E389" s="169"/>
      <c r="F389" s="169"/>
      <c r="G389" s="186"/>
      <c r="H389" s="187"/>
      <c r="I389" s="187"/>
      <c r="J389" s="187"/>
      <c r="K389" s="187"/>
      <c r="L389" s="647"/>
      <c r="M389" s="646">
        <v>34907</v>
      </c>
      <c r="N389" s="585">
        <v>3.09</v>
      </c>
      <c r="O389" s="585">
        <v>9.0699999999999999E-3</v>
      </c>
      <c r="P389" s="175">
        <v>0</v>
      </c>
      <c r="Q389" s="175">
        <v>0</v>
      </c>
      <c r="R389" s="175">
        <v>3.1900000000000001E-3</v>
      </c>
      <c r="S389" s="175">
        <v>9.7000000000000005E-4</v>
      </c>
      <c r="T389" s="175">
        <v>1.24E-3</v>
      </c>
      <c r="U389" s="175">
        <v>1.56E-3</v>
      </c>
      <c r="V389" s="706">
        <v>2.1099999999999999E-3</v>
      </c>
      <c r="W389" s="717"/>
      <c r="X389" s="713"/>
      <c r="Y389" s="718"/>
      <c r="Z389" s="709">
        <v>25</v>
      </c>
      <c r="AA389" s="175"/>
      <c r="AB389" s="200"/>
      <c r="AC389" s="205">
        <v>1.2E-2</v>
      </c>
      <c r="AD389" s="175">
        <v>7.1</v>
      </c>
      <c r="AE389" s="175">
        <v>0.35</v>
      </c>
      <c r="AF389" s="170">
        <f t="shared" si="7"/>
        <v>2.4849999999999999</v>
      </c>
      <c r="AG389" s="175">
        <v>1.23</v>
      </c>
      <c r="AH389" s="334"/>
      <c r="AI389" s="188"/>
      <c r="AJ389" s="188"/>
      <c r="AK389" s="188"/>
      <c r="AL389" s="189"/>
      <c r="AM389" s="189"/>
      <c r="AN389" s="189"/>
      <c r="AO389" s="189"/>
      <c r="AP389" s="189"/>
      <c r="AQ389" s="189"/>
      <c r="AR389" s="189"/>
      <c r="AS389" s="189"/>
      <c r="AT389" s="189"/>
      <c r="AU389" s="190"/>
      <c r="AV389" s="190"/>
      <c r="AW389" s="190"/>
      <c r="AX389" s="190"/>
      <c r="AY389" s="190"/>
      <c r="AZ389" s="189"/>
      <c r="BA389" s="189"/>
      <c r="BB389" s="189"/>
      <c r="BC389" s="189"/>
      <c r="BD389" s="189"/>
      <c r="BE389" s="189"/>
      <c r="BF389" s="189"/>
      <c r="BG389" s="189"/>
      <c r="BH389" s="189"/>
      <c r="BI389" s="190"/>
      <c r="BJ389" s="190"/>
      <c r="BK389" s="190"/>
      <c r="BL389" s="190"/>
      <c r="BM389" s="190"/>
      <c r="BN389" s="191"/>
      <c r="BO389" s="191"/>
      <c r="BP389" s="191"/>
      <c r="BQ389" s="191"/>
      <c r="BR389" s="191"/>
      <c r="BS389" s="191"/>
      <c r="BT389" s="190"/>
      <c r="BU389" s="190"/>
      <c r="BV389" s="190"/>
      <c r="BW389" s="190"/>
      <c r="BX389" s="190"/>
      <c r="BY389" s="190"/>
      <c r="BZ389" s="190"/>
      <c r="CA389" s="189"/>
      <c r="CB389" s="15"/>
    </row>
    <row r="390" spans="1:80" ht="15" x14ac:dyDescent="0.25">
      <c r="A390" s="167"/>
      <c r="B390" s="642"/>
      <c r="C390" s="642"/>
      <c r="D390" s="179"/>
      <c r="E390" s="169"/>
      <c r="F390" s="169"/>
      <c r="G390" s="186"/>
      <c r="H390" s="187"/>
      <c r="I390" s="187"/>
      <c r="J390" s="187"/>
      <c r="K390" s="187"/>
      <c r="L390" s="647"/>
      <c r="M390" s="646">
        <v>34911</v>
      </c>
      <c r="N390" s="585">
        <v>1.89</v>
      </c>
      <c r="O390" s="585">
        <v>3.9300000000000003E-3</v>
      </c>
      <c r="P390" s="175">
        <v>0</v>
      </c>
      <c r="Q390" s="175">
        <v>0</v>
      </c>
      <c r="R390" s="175">
        <v>0</v>
      </c>
      <c r="S390" s="175">
        <v>1.1E-4</v>
      </c>
      <c r="T390" s="175">
        <v>5.9000000000000003E-4</v>
      </c>
      <c r="U390" s="175">
        <v>1.1199999999999999E-3</v>
      </c>
      <c r="V390" s="706">
        <v>2.1099999999999999E-3</v>
      </c>
      <c r="W390" s="717"/>
      <c r="X390" s="713"/>
      <c r="Y390" s="718"/>
      <c r="Z390" s="709">
        <v>7</v>
      </c>
      <c r="AA390" s="175"/>
      <c r="AB390" s="200"/>
      <c r="AC390" s="205">
        <v>1.0999999999999999E-2</v>
      </c>
      <c r="AD390" s="175">
        <v>6.7</v>
      </c>
      <c r="AE390" s="175">
        <v>0.26</v>
      </c>
      <c r="AF390" s="170">
        <f t="shared" si="7"/>
        <v>1.7420000000000002</v>
      </c>
      <c r="AG390" s="175">
        <v>1.1000000000000001</v>
      </c>
      <c r="AH390" s="334"/>
      <c r="AI390" s="188"/>
      <c r="AJ390" s="188"/>
      <c r="AK390" s="188"/>
      <c r="AL390" s="189"/>
      <c r="AM390" s="189"/>
      <c r="AN390" s="189"/>
      <c r="AO390" s="189"/>
      <c r="AP390" s="189"/>
      <c r="AQ390" s="189"/>
      <c r="AR390" s="189"/>
      <c r="AS390" s="189"/>
      <c r="AT390" s="189"/>
      <c r="AU390" s="190"/>
      <c r="AV390" s="190"/>
      <c r="AW390" s="190"/>
      <c r="AX390" s="190"/>
      <c r="AY390" s="190"/>
      <c r="AZ390" s="189"/>
      <c r="BA390" s="189"/>
      <c r="BB390" s="189"/>
      <c r="BC390" s="189"/>
      <c r="BD390" s="189"/>
      <c r="BE390" s="189"/>
      <c r="BF390" s="189"/>
      <c r="BG390" s="189"/>
      <c r="BH390" s="189"/>
      <c r="BI390" s="190"/>
      <c r="BJ390" s="190"/>
      <c r="BK390" s="190"/>
      <c r="BL390" s="190"/>
      <c r="BM390" s="190"/>
      <c r="BN390" s="191"/>
      <c r="BO390" s="191"/>
      <c r="BP390" s="191"/>
      <c r="BQ390" s="191"/>
      <c r="BR390" s="191"/>
      <c r="BS390" s="191"/>
      <c r="BT390" s="190"/>
      <c r="BU390" s="190"/>
      <c r="BV390" s="190"/>
      <c r="BW390" s="190"/>
      <c r="BX390" s="190"/>
      <c r="BY390" s="190"/>
      <c r="BZ390" s="190"/>
      <c r="CA390" s="189"/>
      <c r="CB390" s="15"/>
    </row>
    <row r="391" spans="1:80" ht="15" x14ac:dyDescent="0.25">
      <c r="A391" s="167"/>
      <c r="B391" s="642"/>
      <c r="C391" s="642"/>
      <c r="D391" s="179"/>
      <c r="E391" s="169"/>
      <c r="F391" s="169"/>
      <c r="G391" s="186"/>
      <c r="H391" s="187"/>
      <c r="I391" s="187"/>
      <c r="J391" s="187"/>
      <c r="K391" s="187"/>
      <c r="L391" s="647"/>
      <c r="M391" s="646">
        <v>34913</v>
      </c>
      <c r="N391" s="585">
        <v>2.37</v>
      </c>
      <c r="O391" s="585">
        <v>8.4200000000000004E-3</v>
      </c>
      <c r="P391" s="175">
        <v>0</v>
      </c>
      <c r="Q391" s="175">
        <v>0</v>
      </c>
      <c r="R391" s="175">
        <v>7.3999999999999999E-4</v>
      </c>
      <c r="S391" s="175">
        <v>1.5299999999999999E-3</v>
      </c>
      <c r="T391" s="175">
        <v>2.1900000000000001E-3</v>
      </c>
      <c r="U391" s="175">
        <v>1.8E-3</v>
      </c>
      <c r="V391" s="706">
        <v>2.16E-3</v>
      </c>
      <c r="W391" s="717"/>
      <c r="X391" s="713"/>
      <c r="Y391" s="718"/>
      <c r="Z391" s="709">
        <v>19</v>
      </c>
      <c r="AA391" s="175"/>
      <c r="AB391" s="200"/>
      <c r="AC391" s="205">
        <v>1.4E-2</v>
      </c>
      <c r="AD391" s="175">
        <v>6.8</v>
      </c>
      <c r="AE391" s="175">
        <v>0.32</v>
      </c>
      <c r="AF391" s="170">
        <f t="shared" si="7"/>
        <v>2.1760000000000002</v>
      </c>
      <c r="AG391" s="175">
        <v>1.0900000000000001</v>
      </c>
      <c r="AH391" s="334"/>
      <c r="AI391" s="188"/>
      <c r="AJ391" s="188"/>
      <c r="AK391" s="188"/>
      <c r="AL391" s="189"/>
      <c r="AM391" s="189"/>
      <c r="AN391" s="189"/>
      <c r="AO391" s="189"/>
      <c r="AP391" s="189"/>
      <c r="AQ391" s="189"/>
      <c r="AR391" s="189"/>
      <c r="AS391" s="189"/>
      <c r="AT391" s="189"/>
      <c r="AU391" s="190"/>
      <c r="AV391" s="190"/>
      <c r="AW391" s="190"/>
      <c r="AX391" s="190"/>
      <c r="AY391" s="190"/>
      <c r="AZ391" s="189"/>
      <c r="BA391" s="189"/>
      <c r="BB391" s="189"/>
      <c r="BC391" s="189"/>
      <c r="BD391" s="189"/>
      <c r="BE391" s="189"/>
      <c r="BF391" s="189"/>
      <c r="BG391" s="189"/>
      <c r="BH391" s="189"/>
      <c r="BI391" s="190"/>
      <c r="BJ391" s="190"/>
      <c r="BK391" s="190"/>
      <c r="BL391" s="190"/>
      <c r="BM391" s="190"/>
      <c r="BN391" s="191"/>
      <c r="BO391" s="191"/>
      <c r="BP391" s="191"/>
      <c r="BQ391" s="191"/>
      <c r="BR391" s="191"/>
      <c r="BS391" s="191"/>
      <c r="BT391" s="190"/>
      <c r="BU391" s="190"/>
      <c r="BV391" s="190"/>
      <c r="BW391" s="190"/>
      <c r="BX391" s="190"/>
      <c r="BY391" s="190"/>
      <c r="BZ391" s="190"/>
      <c r="CA391" s="189"/>
      <c r="CB391" s="15"/>
    </row>
    <row r="392" spans="1:80" ht="15" x14ac:dyDescent="0.25">
      <c r="A392" s="167"/>
      <c r="B392" s="642"/>
      <c r="C392" s="642"/>
      <c r="D392" s="179"/>
      <c r="E392" s="169"/>
      <c r="F392" s="169"/>
      <c r="G392" s="186"/>
      <c r="H392" s="187"/>
      <c r="I392" s="187"/>
      <c r="J392" s="187"/>
      <c r="K392" s="187"/>
      <c r="L392" s="647"/>
      <c r="M392" s="646">
        <v>35216</v>
      </c>
      <c r="N392" s="585">
        <v>0.85</v>
      </c>
      <c r="O392" s="585">
        <v>0</v>
      </c>
      <c r="P392" s="175">
        <v>0</v>
      </c>
      <c r="Q392" s="175">
        <v>0</v>
      </c>
      <c r="R392" s="175">
        <v>0</v>
      </c>
      <c r="S392" s="175">
        <v>0</v>
      </c>
      <c r="T392" s="175">
        <v>0</v>
      </c>
      <c r="U392" s="175">
        <v>0</v>
      </c>
      <c r="V392" s="706">
        <v>0</v>
      </c>
      <c r="W392" s="717"/>
      <c r="X392" s="713"/>
      <c r="Y392" s="718"/>
      <c r="Z392" s="709">
        <v>0</v>
      </c>
      <c r="AA392" s="175"/>
      <c r="AB392" s="200" t="s">
        <v>44</v>
      </c>
      <c r="AC392" s="205"/>
      <c r="AD392" s="175">
        <v>6.6</v>
      </c>
      <c r="AE392" s="175">
        <v>0.17</v>
      </c>
      <c r="AF392" s="170">
        <f t="shared" si="7"/>
        <v>1.1220000000000001</v>
      </c>
      <c r="AG392" s="175">
        <v>0.73</v>
      </c>
      <c r="AH392" s="334"/>
      <c r="AI392" s="188"/>
      <c r="AJ392" s="188"/>
      <c r="AK392" s="188"/>
      <c r="AL392" s="189"/>
      <c r="AM392" s="189"/>
      <c r="AN392" s="189"/>
      <c r="AO392" s="189"/>
      <c r="AP392" s="189"/>
      <c r="AQ392" s="189"/>
      <c r="AR392" s="189"/>
      <c r="AS392" s="189"/>
      <c r="AT392" s="189"/>
      <c r="AU392" s="190"/>
      <c r="AV392" s="190"/>
      <c r="AW392" s="190"/>
      <c r="AX392" s="190"/>
      <c r="AY392" s="190"/>
      <c r="AZ392" s="189"/>
      <c r="BA392" s="189"/>
      <c r="BB392" s="189"/>
      <c r="BC392" s="189"/>
      <c r="BD392" s="189"/>
      <c r="BE392" s="189"/>
      <c r="BF392" s="189"/>
      <c r="BG392" s="189"/>
      <c r="BH392" s="189"/>
      <c r="BI392" s="190"/>
      <c r="BJ392" s="190"/>
      <c r="BK392" s="190"/>
      <c r="BL392" s="190"/>
      <c r="BM392" s="190"/>
      <c r="BN392" s="191"/>
      <c r="BO392" s="191"/>
      <c r="BP392" s="191"/>
      <c r="BQ392" s="191"/>
      <c r="BR392" s="191"/>
      <c r="BS392" s="191"/>
      <c r="BT392" s="190"/>
      <c r="BU392" s="190"/>
      <c r="BV392" s="190"/>
      <c r="BW392" s="190"/>
      <c r="BX392" s="190"/>
      <c r="BY392" s="190"/>
      <c r="BZ392" s="190"/>
      <c r="CA392" s="189"/>
      <c r="CB392" s="15"/>
    </row>
    <row r="393" spans="1:80" ht="15" x14ac:dyDescent="0.25">
      <c r="A393" s="167"/>
      <c r="B393" s="642"/>
      <c r="C393" s="642"/>
      <c r="D393" s="179"/>
      <c r="E393" s="169"/>
      <c r="F393" s="169"/>
      <c r="G393" s="186"/>
      <c r="H393" s="187"/>
      <c r="I393" s="187"/>
      <c r="J393" s="187"/>
      <c r="K393" s="187"/>
      <c r="L393" s="647"/>
      <c r="M393" s="646">
        <v>35220</v>
      </c>
      <c r="N393" s="585">
        <v>0.85</v>
      </c>
      <c r="O393" s="585">
        <v>0</v>
      </c>
      <c r="P393" s="175">
        <v>0</v>
      </c>
      <c r="Q393" s="175">
        <v>0</v>
      </c>
      <c r="R393" s="175">
        <v>0</v>
      </c>
      <c r="S393" s="175">
        <v>0</v>
      </c>
      <c r="T393" s="175">
        <v>0</v>
      </c>
      <c r="U393" s="175">
        <v>0</v>
      </c>
      <c r="V393" s="706">
        <v>0</v>
      </c>
      <c r="W393" s="717"/>
      <c r="X393" s="713"/>
      <c r="Y393" s="718"/>
      <c r="Z393" s="709">
        <v>0</v>
      </c>
      <c r="AA393" s="175"/>
      <c r="AB393" s="200" t="s">
        <v>44</v>
      </c>
      <c r="AC393" s="205"/>
      <c r="AD393" s="175">
        <v>6.5</v>
      </c>
      <c r="AE393" s="175">
        <v>0.18</v>
      </c>
      <c r="AF393" s="170">
        <f t="shared" si="7"/>
        <v>1.17</v>
      </c>
      <c r="AG393" s="175">
        <v>0.78</v>
      </c>
      <c r="AH393" s="334"/>
      <c r="AI393" s="188"/>
      <c r="AJ393" s="188"/>
      <c r="AK393" s="188"/>
      <c r="AL393" s="189"/>
      <c r="AM393" s="189"/>
      <c r="AN393" s="189"/>
      <c r="AO393" s="189"/>
      <c r="AP393" s="189"/>
      <c r="AQ393" s="189"/>
      <c r="AR393" s="189"/>
      <c r="AS393" s="189"/>
      <c r="AT393" s="189"/>
      <c r="AU393" s="190"/>
      <c r="AV393" s="190"/>
      <c r="AW393" s="190"/>
      <c r="AX393" s="190"/>
      <c r="AY393" s="190"/>
      <c r="AZ393" s="189"/>
      <c r="BA393" s="189"/>
      <c r="BB393" s="189"/>
      <c r="BC393" s="189"/>
      <c r="BD393" s="189"/>
      <c r="BE393" s="189"/>
      <c r="BF393" s="189"/>
      <c r="BG393" s="189"/>
      <c r="BH393" s="189"/>
      <c r="BI393" s="190"/>
      <c r="BJ393" s="190"/>
      <c r="BK393" s="190"/>
      <c r="BL393" s="190"/>
      <c r="BM393" s="190"/>
      <c r="BN393" s="191"/>
      <c r="BO393" s="191"/>
      <c r="BP393" s="191"/>
      <c r="BQ393" s="191"/>
      <c r="BR393" s="191"/>
      <c r="BS393" s="191"/>
      <c r="BT393" s="190"/>
      <c r="BU393" s="190"/>
      <c r="BV393" s="190"/>
      <c r="BW393" s="190"/>
      <c r="BX393" s="190"/>
      <c r="BY393" s="190"/>
      <c r="BZ393" s="190"/>
      <c r="CA393" s="189"/>
      <c r="CB393" s="15"/>
    </row>
    <row r="394" spans="1:80" ht="15" x14ac:dyDescent="0.25">
      <c r="A394" s="167"/>
      <c r="B394" s="642"/>
      <c r="C394" s="642"/>
      <c r="D394" s="179"/>
      <c r="E394" s="169"/>
      <c r="F394" s="169"/>
      <c r="G394" s="186"/>
      <c r="H394" s="187"/>
      <c r="I394" s="187"/>
      <c r="J394" s="187"/>
      <c r="K394" s="187"/>
      <c r="L394" s="647"/>
      <c r="M394" s="646">
        <v>35222</v>
      </c>
      <c r="N394" s="585">
        <v>3.72</v>
      </c>
      <c r="O394" s="585">
        <v>7.3029999999999998E-2</v>
      </c>
      <c r="P394" s="175">
        <v>0</v>
      </c>
      <c r="Q394" s="175">
        <v>0</v>
      </c>
      <c r="R394" s="175">
        <v>6.2899999999999996E-3</v>
      </c>
      <c r="S394" s="175">
        <v>1.465E-2</v>
      </c>
      <c r="T394" s="175">
        <v>1.353E-2</v>
      </c>
      <c r="U394" s="175">
        <v>1.2670000000000001E-2</v>
      </c>
      <c r="V394" s="706">
        <v>2.589E-2</v>
      </c>
      <c r="W394" s="717"/>
      <c r="X394" s="713"/>
      <c r="Y394" s="718"/>
      <c r="Z394" s="709">
        <v>36</v>
      </c>
      <c r="AA394" s="175"/>
      <c r="AB394" s="200"/>
      <c r="AC394" s="205"/>
      <c r="AD394" s="175">
        <v>7.48</v>
      </c>
      <c r="AE394" s="175">
        <v>0.38</v>
      </c>
      <c r="AF394" s="170">
        <f t="shared" si="7"/>
        <v>2.8424</v>
      </c>
      <c r="AG394" s="175">
        <v>1.35</v>
      </c>
      <c r="AH394" s="334"/>
      <c r="AI394" s="188"/>
      <c r="AJ394" s="188"/>
      <c r="AK394" s="188"/>
      <c r="AL394" s="189"/>
      <c r="AM394" s="189"/>
      <c r="AN394" s="189"/>
      <c r="AO394" s="189"/>
      <c r="AP394" s="189"/>
      <c r="AQ394" s="189"/>
      <c r="AR394" s="189"/>
      <c r="AS394" s="189"/>
      <c r="AT394" s="189"/>
      <c r="AU394" s="190"/>
      <c r="AV394" s="190"/>
      <c r="AW394" s="190"/>
      <c r="AX394" s="190"/>
      <c r="AY394" s="190"/>
      <c r="AZ394" s="189"/>
      <c r="BA394" s="189"/>
      <c r="BB394" s="189"/>
      <c r="BC394" s="189"/>
      <c r="BD394" s="189"/>
      <c r="BE394" s="189"/>
      <c r="BF394" s="189"/>
      <c r="BG394" s="189"/>
      <c r="BH394" s="189"/>
      <c r="BI394" s="190"/>
      <c r="BJ394" s="190"/>
      <c r="BK394" s="190"/>
      <c r="BL394" s="190"/>
      <c r="BM394" s="190"/>
      <c r="BN394" s="191"/>
      <c r="BO394" s="191"/>
      <c r="BP394" s="191"/>
      <c r="BQ394" s="191"/>
      <c r="BR394" s="191"/>
      <c r="BS394" s="191"/>
      <c r="BT394" s="190"/>
      <c r="BU394" s="190"/>
      <c r="BV394" s="190"/>
      <c r="BW394" s="190"/>
      <c r="BX394" s="190"/>
      <c r="BY394" s="190"/>
      <c r="BZ394" s="190"/>
      <c r="CA394" s="189"/>
      <c r="CB394" s="15"/>
    </row>
    <row r="395" spans="1:80" ht="15" x14ac:dyDescent="0.25">
      <c r="A395" s="167"/>
      <c r="B395" s="642"/>
      <c r="C395" s="642"/>
      <c r="D395" s="179"/>
      <c r="E395" s="169"/>
      <c r="F395" s="169"/>
      <c r="G395" s="186"/>
      <c r="H395" s="187"/>
      <c r="I395" s="187"/>
      <c r="J395" s="187"/>
      <c r="K395" s="187"/>
      <c r="L395" s="647"/>
      <c r="M395" s="646">
        <v>35225</v>
      </c>
      <c r="N395" s="585">
        <v>1.1100000000000001</v>
      </c>
      <c r="O395" s="585">
        <v>0</v>
      </c>
      <c r="P395" s="175">
        <v>0</v>
      </c>
      <c r="Q395" s="175">
        <v>0</v>
      </c>
      <c r="R395" s="175">
        <v>0</v>
      </c>
      <c r="S395" s="175">
        <v>0</v>
      </c>
      <c r="T395" s="175">
        <v>0</v>
      </c>
      <c r="U395" s="175">
        <v>0</v>
      </c>
      <c r="V395" s="706">
        <v>0</v>
      </c>
      <c r="W395" s="717"/>
      <c r="X395" s="713"/>
      <c r="Y395" s="718"/>
      <c r="Z395" s="709">
        <v>0</v>
      </c>
      <c r="AA395" s="175"/>
      <c r="AB395" s="200" t="s">
        <v>44</v>
      </c>
      <c r="AC395" s="205"/>
      <c r="AD395" s="175">
        <v>6.74</v>
      </c>
      <c r="AE395" s="175">
        <v>0.24</v>
      </c>
      <c r="AF395" s="170">
        <f t="shared" si="7"/>
        <v>1.6175999999999999</v>
      </c>
      <c r="AG395" s="175">
        <v>0.94</v>
      </c>
      <c r="AH395" s="334"/>
      <c r="AI395" s="188"/>
      <c r="AJ395" s="188"/>
      <c r="AK395" s="188"/>
      <c r="AL395" s="189"/>
      <c r="AM395" s="189"/>
      <c r="AN395" s="189"/>
      <c r="AO395" s="189"/>
      <c r="AP395" s="189"/>
      <c r="AQ395" s="189"/>
      <c r="AR395" s="189"/>
      <c r="AS395" s="189"/>
      <c r="AT395" s="189"/>
      <c r="AU395" s="190"/>
      <c r="AV395" s="190"/>
      <c r="AW395" s="190"/>
      <c r="AX395" s="190"/>
      <c r="AY395" s="190"/>
      <c r="AZ395" s="189"/>
      <c r="BA395" s="189"/>
      <c r="BB395" s="189"/>
      <c r="BC395" s="189"/>
      <c r="BD395" s="189"/>
      <c r="BE395" s="189"/>
      <c r="BF395" s="189"/>
      <c r="BG395" s="189"/>
      <c r="BH395" s="189"/>
      <c r="BI395" s="190"/>
      <c r="BJ395" s="190"/>
      <c r="BK395" s="190"/>
      <c r="BL395" s="190"/>
      <c r="BM395" s="190"/>
      <c r="BN395" s="191"/>
      <c r="BO395" s="191"/>
      <c r="BP395" s="191"/>
      <c r="BQ395" s="191"/>
      <c r="BR395" s="191"/>
      <c r="BS395" s="191"/>
      <c r="BT395" s="190"/>
      <c r="BU395" s="190"/>
      <c r="BV395" s="190"/>
      <c r="BW395" s="190"/>
      <c r="BX395" s="190"/>
      <c r="BY395" s="190"/>
      <c r="BZ395" s="190"/>
      <c r="CA395" s="189"/>
      <c r="CB395" s="15"/>
    </row>
    <row r="396" spans="1:80" ht="15" x14ac:dyDescent="0.25">
      <c r="A396" s="167"/>
      <c r="B396" s="642"/>
      <c r="C396" s="642"/>
      <c r="D396" s="179"/>
      <c r="E396" s="169"/>
      <c r="F396" s="169"/>
      <c r="G396" s="186"/>
      <c r="H396" s="187"/>
      <c r="I396" s="187"/>
      <c r="J396" s="187"/>
      <c r="K396" s="187"/>
      <c r="L396" s="647"/>
      <c r="M396" s="646">
        <v>35226</v>
      </c>
      <c r="N396" s="585">
        <v>3.79</v>
      </c>
      <c r="O396" s="585">
        <v>5.935E-2</v>
      </c>
      <c r="P396" s="175">
        <v>0</v>
      </c>
      <c r="Q396" s="175">
        <v>0</v>
      </c>
      <c r="R396" s="175">
        <v>3.5000000000000001E-3</v>
      </c>
      <c r="S396" s="175">
        <v>8.3499999999999998E-3</v>
      </c>
      <c r="T396" s="175">
        <v>1.1169999999999999E-2</v>
      </c>
      <c r="U396" s="175">
        <v>1.111E-2</v>
      </c>
      <c r="V396" s="706">
        <v>2.5229999999999999E-2</v>
      </c>
      <c r="W396" s="717"/>
      <c r="X396" s="713"/>
      <c r="Y396" s="718"/>
      <c r="Z396" s="709">
        <v>25</v>
      </c>
      <c r="AA396" s="175"/>
      <c r="AB396" s="200"/>
      <c r="AC396" s="205"/>
      <c r="AD396" s="175">
        <v>7.27</v>
      </c>
      <c r="AE396" s="175">
        <v>0.38</v>
      </c>
      <c r="AF396" s="170">
        <f t="shared" si="7"/>
        <v>2.7625999999999999</v>
      </c>
      <c r="AG396" s="175">
        <v>1.29</v>
      </c>
      <c r="AH396" s="334"/>
      <c r="AI396" s="188"/>
      <c r="AJ396" s="188"/>
      <c r="AK396" s="188"/>
      <c r="AL396" s="189"/>
      <c r="AM396" s="189"/>
      <c r="AN396" s="189"/>
      <c r="AO396" s="189"/>
      <c r="AP396" s="189"/>
      <c r="AQ396" s="189"/>
      <c r="AR396" s="189"/>
      <c r="AS396" s="189"/>
      <c r="AT396" s="189"/>
      <c r="AU396" s="190"/>
      <c r="AV396" s="190"/>
      <c r="AW396" s="190"/>
      <c r="AX396" s="190"/>
      <c r="AY396" s="190"/>
      <c r="AZ396" s="189"/>
      <c r="BA396" s="189"/>
      <c r="BB396" s="189"/>
      <c r="BC396" s="189"/>
      <c r="BD396" s="189"/>
      <c r="BE396" s="189"/>
      <c r="BF396" s="189"/>
      <c r="BG396" s="189"/>
      <c r="BH396" s="189"/>
      <c r="BI396" s="190"/>
      <c r="BJ396" s="190"/>
      <c r="BK396" s="190"/>
      <c r="BL396" s="190"/>
      <c r="BM396" s="190"/>
      <c r="BN396" s="191"/>
      <c r="BO396" s="191"/>
      <c r="BP396" s="191"/>
      <c r="BQ396" s="191"/>
      <c r="BR396" s="191"/>
      <c r="BS396" s="191"/>
      <c r="BT396" s="190"/>
      <c r="BU396" s="190"/>
      <c r="BV396" s="190"/>
      <c r="BW396" s="190"/>
      <c r="BX396" s="190"/>
      <c r="BY396" s="190"/>
      <c r="BZ396" s="190"/>
      <c r="CA396" s="189"/>
      <c r="CB396" s="15"/>
    </row>
    <row r="397" spans="1:80" ht="15" x14ac:dyDescent="0.25">
      <c r="A397" s="167"/>
      <c r="B397" s="642"/>
      <c r="C397" s="642"/>
      <c r="D397" s="179"/>
      <c r="E397" s="169"/>
      <c r="F397" s="169"/>
      <c r="G397" s="186"/>
      <c r="H397" s="187"/>
      <c r="I397" s="187"/>
      <c r="J397" s="187"/>
      <c r="K397" s="187"/>
      <c r="L397" s="647"/>
      <c r="M397" s="646">
        <v>35228</v>
      </c>
      <c r="N397" s="585">
        <v>4.1399999999999997</v>
      </c>
      <c r="O397" s="585">
        <v>5.2080000000000001E-2</v>
      </c>
      <c r="P397" s="175">
        <v>0</v>
      </c>
      <c r="Q397" s="175">
        <v>0</v>
      </c>
      <c r="R397" s="175">
        <v>3.79E-3</v>
      </c>
      <c r="S397" s="175">
        <v>5.0299999999999997E-3</v>
      </c>
      <c r="T397" s="175">
        <v>6.3E-3</v>
      </c>
      <c r="U397" s="175">
        <v>8.8900000000000003E-3</v>
      </c>
      <c r="V397" s="706">
        <v>2.8080000000000001E-2</v>
      </c>
      <c r="W397" s="717"/>
      <c r="X397" s="713"/>
      <c r="Y397" s="718"/>
      <c r="Z397" s="709">
        <v>30</v>
      </c>
      <c r="AA397" s="175"/>
      <c r="AB397" s="200"/>
      <c r="AC397" s="205"/>
      <c r="AD397" s="175">
        <v>7.38</v>
      </c>
      <c r="AE397" s="175">
        <v>0.4</v>
      </c>
      <c r="AF397" s="170">
        <f t="shared" si="7"/>
        <v>2.952</v>
      </c>
      <c r="AG397" s="175">
        <v>1.34</v>
      </c>
      <c r="AH397" s="334"/>
      <c r="AI397" s="188"/>
      <c r="AJ397" s="188"/>
      <c r="AK397" s="188"/>
      <c r="AL397" s="189"/>
      <c r="AM397" s="189"/>
      <c r="AN397" s="189"/>
      <c r="AO397" s="189"/>
      <c r="AP397" s="189"/>
      <c r="AQ397" s="189"/>
      <c r="AR397" s="189"/>
      <c r="AS397" s="189"/>
      <c r="AT397" s="189"/>
      <c r="AU397" s="190"/>
      <c r="AV397" s="190"/>
      <c r="AW397" s="190"/>
      <c r="AX397" s="190"/>
      <c r="AY397" s="190"/>
      <c r="AZ397" s="189"/>
      <c r="BA397" s="189"/>
      <c r="BB397" s="189"/>
      <c r="BC397" s="189"/>
      <c r="BD397" s="189"/>
      <c r="BE397" s="189"/>
      <c r="BF397" s="189"/>
      <c r="BG397" s="189"/>
      <c r="BH397" s="189"/>
      <c r="BI397" s="190"/>
      <c r="BJ397" s="190"/>
      <c r="BK397" s="190"/>
      <c r="BL397" s="190"/>
      <c r="BM397" s="190"/>
      <c r="BN397" s="191"/>
      <c r="BO397" s="191"/>
      <c r="BP397" s="191"/>
      <c r="BQ397" s="191"/>
      <c r="BR397" s="191"/>
      <c r="BS397" s="191"/>
      <c r="BT397" s="190"/>
      <c r="BU397" s="190"/>
      <c r="BV397" s="190"/>
      <c r="BW397" s="190"/>
      <c r="BX397" s="190"/>
      <c r="BY397" s="190"/>
      <c r="BZ397" s="190"/>
      <c r="CA397" s="189"/>
      <c r="CB397" s="15"/>
    </row>
    <row r="398" spans="1:80" ht="15" x14ac:dyDescent="0.25">
      <c r="A398" s="167"/>
      <c r="B398" s="642"/>
      <c r="C398" s="642"/>
      <c r="D398" s="179"/>
      <c r="E398" s="169"/>
      <c r="F398" s="169"/>
      <c r="G398" s="186"/>
      <c r="H398" s="187"/>
      <c r="I398" s="187"/>
      <c r="J398" s="187"/>
      <c r="K398" s="187"/>
      <c r="L398" s="647"/>
      <c r="M398" s="646">
        <v>35231</v>
      </c>
      <c r="N398" s="585">
        <v>5.92</v>
      </c>
      <c r="O398" s="585">
        <v>0.50688999999999995</v>
      </c>
      <c r="P398" s="175">
        <v>0</v>
      </c>
      <c r="Q398" s="175">
        <v>9.0300000000000005E-2</v>
      </c>
      <c r="R398" s="175">
        <v>9.078E-2</v>
      </c>
      <c r="S398" s="175">
        <v>5.6469999999999999E-2</v>
      </c>
      <c r="T398" s="175">
        <v>5.7790000000000001E-2</v>
      </c>
      <c r="U398" s="175">
        <v>6.1740000000000003E-2</v>
      </c>
      <c r="V398" s="706">
        <v>0.14982999999999999</v>
      </c>
      <c r="W398" s="717"/>
      <c r="X398" s="713"/>
      <c r="Y398" s="718"/>
      <c r="Z398" s="709">
        <v>64</v>
      </c>
      <c r="AA398" s="175"/>
      <c r="AB398" s="200"/>
      <c r="AC398" s="205"/>
      <c r="AD398" s="175">
        <v>7.92</v>
      </c>
      <c r="AE398" s="175">
        <v>0.43</v>
      </c>
      <c r="AF398" s="170">
        <f t="shared" si="7"/>
        <v>3.4055999999999997</v>
      </c>
      <c r="AG398" s="175">
        <v>1.71</v>
      </c>
      <c r="AH398" s="334"/>
      <c r="AI398" s="188"/>
      <c r="AJ398" s="188"/>
      <c r="AK398" s="188"/>
      <c r="AL398" s="189"/>
      <c r="AM398" s="189"/>
      <c r="AN398" s="189"/>
      <c r="AO398" s="189"/>
      <c r="AP398" s="189"/>
      <c r="AQ398" s="189"/>
      <c r="AR398" s="189"/>
      <c r="AS398" s="189"/>
      <c r="AT398" s="189"/>
      <c r="AU398" s="190"/>
      <c r="AV398" s="190"/>
      <c r="AW398" s="190"/>
      <c r="AX398" s="190"/>
      <c r="AY398" s="190"/>
      <c r="AZ398" s="189"/>
      <c r="BA398" s="189"/>
      <c r="BB398" s="189"/>
      <c r="BC398" s="189"/>
      <c r="BD398" s="189"/>
      <c r="BE398" s="189"/>
      <c r="BF398" s="189"/>
      <c r="BG398" s="189"/>
      <c r="BH398" s="189"/>
      <c r="BI398" s="190"/>
      <c r="BJ398" s="190"/>
      <c r="BK398" s="190"/>
      <c r="BL398" s="190"/>
      <c r="BM398" s="190"/>
      <c r="BN398" s="191"/>
      <c r="BO398" s="191"/>
      <c r="BP398" s="191"/>
      <c r="BQ398" s="191"/>
      <c r="BR398" s="191"/>
      <c r="BS398" s="191"/>
      <c r="BT398" s="190"/>
      <c r="BU398" s="190"/>
      <c r="BV398" s="190"/>
      <c r="BW398" s="190"/>
      <c r="BX398" s="190"/>
      <c r="BY398" s="190"/>
      <c r="BZ398" s="190"/>
      <c r="CA398" s="189"/>
      <c r="CB398" s="15"/>
    </row>
    <row r="399" spans="1:80" ht="15" x14ac:dyDescent="0.25">
      <c r="A399" s="167"/>
      <c r="B399" s="642"/>
      <c r="C399" s="642"/>
      <c r="D399" s="179"/>
      <c r="E399" s="169"/>
      <c r="F399" s="169"/>
      <c r="G399" s="186"/>
      <c r="H399" s="187"/>
      <c r="I399" s="187"/>
      <c r="J399" s="187"/>
      <c r="K399" s="187"/>
      <c r="L399" s="647"/>
      <c r="M399" s="646">
        <v>35233</v>
      </c>
      <c r="N399" s="585">
        <v>5.96</v>
      </c>
      <c r="O399" s="585">
        <v>0.33694000000000002</v>
      </c>
      <c r="P399" s="175">
        <v>0</v>
      </c>
      <c r="Q399" s="175">
        <v>2.3109999999999999E-2</v>
      </c>
      <c r="R399" s="175">
        <v>4.011E-2</v>
      </c>
      <c r="S399" s="175">
        <v>5.5E-2</v>
      </c>
      <c r="T399" s="175">
        <v>5.3039999999999997E-2</v>
      </c>
      <c r="U399" s="175">
        <v>5.4559999999999997E-2</v>
      </c>
      <c r="V399" s="706">
        <v>0.11112</v>
      </c>
      <c r="W399" s="717"/>
      <c r="X399" s="713"/>
      <c r="Y399" s="718"/>
      <c r="Z399" s="709">
        <v>45</v>
      </c>
      <c r="AA399" s="175"/>
      <c r="AB399" s="200"/>
      <c r="AC399" s="205"/>
      <c r="AD399" s="175">
        <v>7.89</v>
      </c>
      <c r="AE399" s="175">
        <v>0.46</v>
      </c>
      <c r="AF399" s="170">
        <f t="shared" si="7"/>
        <v>3.6294</v>
      </c>
      <c r="AG399" s="175">
        <v>1.76</v>
      </c>
      <c r="AH399" s="334"/>
      <c r="AI399" s="188"/>
      <c r="AJ399" s="188"/>
      <c r="AK399" s="188"/>
      <c r="AL399" s="189"/>
      <c r="AM399" s="189"/>
      <c r="AN399" s="189"/>
      <c r="AO399" s="189"/>
      <c r="AP399" s="189"/>
      <c r="AQ399" s="189"/>
      <c r="AR399" s="189"/>
      <c r="AS399" s="189"/>
      <c r="AT399" s="189"/>
      <c r="AU399" s="190"/>
      <c r="AV399" s="190"/>
      <c r="AW399" s="190"/>
      <c r="AX399" s="190"/>
      <c r="AY399" s="190"/>
      <c r="AZ399" s="189"/>
      <c r="BA399" s="189"/>
      <c r="BB399" s="189"/>
      <c r="BC399" s="189"/>
      <c r="BD399" s="189"/>
      <c r="BE399" s="189"/>
      <c r="BF399" s="189"/>
      <c r="BG399" s="189"/>
      <c r="BH399" s="189"/>
      <c r="BI399" s="190"/>
      <c r="BJ399" s="190"/>
      <c r="BK399" s="190"/>
      <c r="BL399" s="190"/>
      <c r="BM399" s="190"/>
      <c r="BN399" s="191"/>
      <c r="BO399" s="191"/>
      <c r="BP399" s="191"/>
      <c r="BQ399" s="191"/>
      <c r="BR399" s="191"/>
      <c r="BS399" s="191"/>
      <c r="BT399" s="190"/>
      <c r="BU399" s="190"/>
      <c r="BV399" s="190"/>
      <c r="BW399" s="190"/>
      <c r="BX399" s="190"/>
      <c r="BY399" s="190"/>
      <c r="BZ399" s="190"/>
      <c r="CA399" s="189"/>
      <c r="CB399" s="15"/>
    </row>
    <row r="400" spans="1:80" ht="15" x14ac:dyDescent="0.25">
      <c r="A400" s="167"/>
      <c r="B400" s="642"/>
      <c r="C400" s="642"/>
      <c r="D400" s="179"/>
      <c r="E400" s="169"/>
      <c r="F400" s="169"/>
      <c r="G400" s="186"/>
      <c r="H400" s="187"/>
      <c r="I400" s="187"/>
      <c r="J400" s="187"/>
      <c r="K400" s="187"/>
      <c r="L400" s="647"/>
      <c r="M400" s="646">
        <v>35236</v>
      </c>
      <c r="N400" s="585">
        <v>6.33</v>
      </c>
      <c r="O400" s="585">
        <v>0.22883000000000001</v>
      </c>
      <c r="P400" s="175">
        <v>0</v>
      </c>
      <c r="Q400" s="175">
        <v>9.8799999999999999E-3</v>
      </c>
      <c r="R400" s="175">
        <v>3.5860000000000003E-2</v>
      </c>
      <c r="S400" s="175">
        <v>4.4049999999999999E-2</v>
      </c>
      <c r="T400" s="175">
        <v>3.637E-2</v>
      </c>
      <c r="U400" s="175">
        <v>3.5529999999999999E-2</v>
      </c>
      <c r="V400" s="706">
        <v>6.7140000000000005E-2</v>
      </c>
      <c r="W400" s="717"/>
      <c r="X400" s="713"/>
      <c r="Y400" s="718"/>
      <c r="Z400" s="709">
        <v>43</v>
      </c>
      <c r="AA400" s="175"/>
      <c r="AB400" s="200"/>
      <c r="AC400" s="205"/>
      <c r="AD400" s="175">
        <v>7.96</v>
      </c>
      <c r="AE400" s="175">
        <v>0.49</v>
      </c>
      <c r="AF400" s="170">
        <f t="shared" si="7"/>
        <v>3.9003999999999999</v>
      </c>
      <c r="AG400" s="175">
        <v>1.68</v>
      </c>
      <c r="AH400" s="334"/>
      <c r="AI400" s="188"/>
      <c r="AJ400" s="188"/>
      <c r="AK400" s="188"/>
      <c r="AL400" s="189"/>
      <c r="AM400" s="189"/>
      <c r="AN400" s="189"/>
      <c r="AO400" s="189"/>
      <c r="AP400" s="189"/>
      <c r="AQ400" s="189"/>
      <c r="AR400" s="189"/>
      <c r="AS400" s="189"/>
      <c r="AT400" s="189"/>
      <c r="AU400" s="190"/>
      <c r="AV400" s="190"/>
      <c r="AW400" s="190"/>
      <c r="AX400" s="190"/>
      <c r="AY400" s="190"/>
      <c r="AZ400" s="189"/>
      <c r="BA400" s="189"/>
      <c r="BB400" s="189"/>
      <c r="BC400" s="189"/>
      <c r="BD400" s="189"/>
      <c r="BE400" s="189"/>
      <c r="BF400" s="189"/>
      <c r="BG400" s="189"/>
      <c r="BH400" s="189"/>
      <c r="BI400" s="190"/>
      <c r="BJ400" s="190"/>
      <c r="BK400" s="190"/>
      <c r="BL400" s="190"/>
      <c r="BM400" s="190"/>
      <c r="BN400" s="191"/>
      <c r="BO400" s="191"/>
      <c r="BP400" s="191"/>
      <c r="BQ400" s="191"/>
      <c r="BR400" s="191"/>
      <c r="BS400" s="191"/>
      <c r="BT400" s="190"/>
      <c r="BU400" s="190"/>
      <c r="BV400" s="190"/>
      <c r="BW400" s="190"/>
      <c r="BX400" s="190"/>
      <c r="BY400" s="190"/>
      <c r="BZ400" s="190"/>
      <c r="CA400" s="189"/>
      <c r="CB400" s="15"/>
    </row>
    <row r="401" spans="1:80" ht="15" x14ac:dyDescent="0.25">
      <c r="A401" s="167"/>
      <c r="B401" s="642"/>
      <c r="C401" s="642"/>
      <c r="D401" s="179"/>
      <c r="E401" s="169"/>
      <c r="F401" s="169"/>
      <c r="G401" s="186"/>
      <c r="H401" s="187"/>
      <c r="I401" s="187"/>
      <c r="J401" s="187"/>
      <c r="K401" s="187"/>
      <c r="L401" s="647"/>
      <c r="M401" s="646">
        <v>35237</v>
      </c>
      <c r="N401" s="585">
        <v>6.39</v>
      </c>
      <c r="O401" s="585">
        <v>0.16109999999999999</v>
      </c>
      <c r="P401" s="175">
        <v>0</v>
      </c>
      <c r="Q401" s="175">
        <v>7.4000000000000003E-3</v>
      </c>
      <c r="R401" s="175">
        <v>1.8370000000000001E-2</v>
      </c>
      <c r="S401" s="175">
        <v>1.813E-2</v>
      </c>
      <c r="T401" s="175">
        <v>2.562E-2</v>
      </c>
      <c r="U401" s="175">
        <v>2.7320000000000001E-2</v>
      </c>
      <c r="V401" s="706">
        <v>6.4250000000000002E-2</v>
      </c>
      <c r="W401" s="717"/>
      <c r="X401" s="713"/>
      <c r="Y401" s="718"/>
      <c r="Z401" s="709">
        <v>41</v>
      </c>
      <c r="AA401" s="175"/>
      <c r="AB401" s="200"/>
      <c r="AC401" s="205"/>
      <c r="AD401" s="175">
        <v>7.96</v>
      </c>
      <c r="AE401" s="175">
        <v>0.53</v>
      </c>
      <c r="AF401" s="170">
        <f t="shared" si="7"/>
        <v>4.2187999999999999</v>
      </c>
      <c r="AG401" s="175">
        <v>1.62</v>
      </c>
      <c r="AH401" s="334"/>
      <c r="AI401" s="188"/>
      <c r="AJ401" s="188"/>
      <c r="AK401" s="188"/>
      <c r="AL401" s="189"/>
      <c r="AM401" s="189"/>
      <c r="AN401" s="189"/>
      <c r="AO401" s="189"/>
      <c r="AP401" s="189"/>
      <c r="AQ401" s="189"/>
      <c r="AR401" s="189"/>
      <c r="AS401" s="189"/>
      <c r="AT401" s="189"/>
      <c r="AU401" s="190"/>
      <c r="AV401" s="190"/>
      <c r="AW401" s="190"/>
      <c r="AX401" s="190"/>
      <c r="AY401" s="190"/>
      <c r="AZ401" s="189"/>
      <c r="BA401" s="189"/>
      <c r="BB401" s="189"/>
      <c r="BC401" s="189"/>
      <c r="BD401" s="189"/>
      <c r="BE401" s="189"/>
      <c r="BF401" s="189"/>
      <c r="BG401" s="189"/>
      <c r="BH401" s="189"/>
      <c r="BI401" s="190"/>
      <c r="BJ401" s="190"/>
      <c r="BK401" s="190"/>
      <c r="BL401" s="190"/>
      <c r="BM401" s="190"/>
      <c r="BN401" s="191"/>
      <c r="BO401" s="191"/>
      <c r="BP401" s="191"/>
      <c r="BQ401" s="191"/>
      <c r="BR401" s="191"/>
      <c r="BS401" s="191"/>
      <c r="BT401" s="190"/>
      <c r="BU401" s="190"/>
      <c r="BV401" s="190"/>
      <c r="BW401" s="190"/>
      <c r="BX401" s="190"/>
      <c r="BY401" s="190"/>
      <c r="BZ401" s="190"/>
      <c r="CA401" s="189"/>
      <c r="CB401" s="15"/>
    </row>
    <row r="402" spans="1:80" ht="15" x14ac:dyDescent="0.25">
      <c r="A402" s="167"/>
      <c r="B402" s="642"/>
      <c r="C402" s="642"/>
      <c r="D402" s="179"/>
      <c r="E402" s="169"/>
      <c r="F402" s="169"/>
      <c r="G402" s="186"/>
      <c r="H402" s="187"/>
      <c r="I402" s="187"/>
      <c r="J402" s="187"/>
      <c r="K402" s="187"/>
      <c r="L402" s="647"/>
      <c r="M402" s="646">
        <v>35239</v>
      </c>
      <c r="N402" s="585">
        <v>6.33</v>
      </c>
      <c r="O402" s="585">
        <v>0.27267000000000002</v>
      </c>
      <c r="P402" s="175">
        <v>0</v>
      </c>
      <c r="Q402" s="175">
        <v>1.379E-2</v>
      </c>
      <c r="R402" s="175">
        <v>4.4409999999999998E-2</v>
      </c>
      <c r="S402" s="175">
        <v>4.9029999999999997E-2</v>
      </c>
      <c r="T402" s="175">
        <v>5.3260000000000002E-2</v>
      </c>
      <c r="U402" s="175">
        <v>4.9169999999999998E-2</v>
      </c>
      <c r="V402" s="706">
        <v>6.3E-2</v>
      </c>
      <c r="W402" s="717"/>
      <c r="X402" s="713"/>
      <c r="Y402" s="718"/>
      <c r="Z402" s="709">
        <v>44</v>
      </c>
      <c r="AA402" s="175"/>
      <c r="AB402" s="200"/>
      <c r="AC402" s="205"/>
      <c r="AD402" s="175">
        <v>7.93</v>
      </c>
      <c r="AE402" s="175">
        <v>0.48</v>
      </c>
      <c r="AF402" s="170">
        <f t="shared" si="7"/>
        <v>3.8063999999999996</v>
      </c>
      <c r="AG402" s="175">
        <v>1.8</v>
      </c>
      <c r="AH402" s="334"/>
      <c r="AI402" s="188"/>
      <c r="AJ402" s="188"/>
      <c r="AK402" s="188"/>
      <c r="AL402" s="189"/>
      <c r="AM402" s="189"/>
      <c r="AN402" s="189"/>
      <c r="AO402" s="189"/>
      <c r="AP402" s="189"/>
      <c r="AQ402" s="189"/>
      <c r="AR402" s="189"/>
      <c r="AS402" s="189"/>
      <c r="AT402" s="189"/>
      <c r="AU402" s="190"/>
      <c r="AV402" s="190"/>
      <c r="AW402" s="190"/>
      <c r="AX402" s="190"/>
      <c r="AY402" s="190"/>
      <c r="AZ402" s="189"/>
      <c r="BA402" s="189"/>
      <c r="BB402" s="189"/>
      <c r="BC402" s="189"/>
      <c r="BD402" s="189"/>
      <c r="BE402" s="189"/>
      <c r="BF402" s="189"/>
      <c r="BG402" s="189"/>
      <c r="BH402" s="189"/>
      <c r="BI402" s="190"/>
      <c r="BJ402" s="190"/>
      <c r="BK402" s="190"/>
      <c r="BL402" s="190"/>
      <c r="BM402" s="190"/>
      <c r="BN402" s="191"/>
      <c r="BO402" s="191"/>
      <c r="BP402" s="191"/>
      <c r="BQ402" s="191"/>
      <c r="BR402" s="191"/>
      <c r="BS402" s="191"/>
      <c r="BT402" s="190"/>
      <c r="BU402" s="190"/>
      <c r="BV402" s="190"/>
      <c r="BW402" s="190"/>
      <c r="BX402" s="190"/>
      <c r="BY402" s="190"/>
      <c r="BZ402" s="190"/>
      <c r="CA402" s="189"/>
      <c r="CB402" s="15"/>
    </row>
    <row r="403" spans="1:80" ht="15" x14ac:dyDescent="0.25">
      <c r="A403" s="167"/>
      <c r="B403" s="642"/>
      <c r="C403" s="642"/>
      <c r="D403" s="179"/>
      <c r="E403" s="169"/>
      <c r="F403" s="169"/>
      <c r="G403" s="186"/>
      <c r="H403" s="187"/>
      <c r="I403" s="187"/>
      <c r="J403" s="187"/>
      <c r="K403" s="187"/>
      <c r="L403" s="647"/>
      <c r="M403" s="646">
        <v>35244</v>
      </c>
      <c r="N403" s="585">
        <v>4.88</v>
      </c>
      <c r="O403" s="585">
        <v>8.9069999999999996E-2</v>
      </c>
      <c r="P403" s="175">
        <v>0</v>
      </c>
      <c r="Q403" s="175">
        <v>0</v>
      </c>
      <c r="R403" s="175">
        <v>1.7729999999999999E-2</v>
      </c>
      <c r="S403" s="175">
        <v>1.7399999999999999E-2</v>
      </c>
      <c r="T403" s="175">
        <v>1.8769999999999998E-2</v>
      </c>
      <c r="U403" s="175">
        <v>1.5859999999999999E-2</v>
      </c>
      <c r="V403" s="706">
        <v>1.9310000000000001E-2</v>
      </c>
      <c r="W403" s="717"/>
      <c r="X403" s="713"/>
      <c r="Y403" s="718"/>
      <c r="Z403" s="709">
        <v>28</v>
      </c>
      <c r="AA403" s="175"/>
      <c r="AB403" s="200"/>
      <c r="AC403" s="205"/>
      <c r="AD403" s="175">
        <v>7.81</v>
      </c>
      <c r="AE403" s="175">
        <v>0.43</v>
      </c>
      <c r="AF403" s="170">
        <f t="shared" si="7"/>
        <v>3.3582999999999998</v>
      </c>
      <c r="AG403" s="175">
        <v>1.4</v>
      </c>
      <c r="AH403" s="334"/>
      <c r="AI403" s="188"/>
      <c r="AJ403" s="188"/>
      <c r="AK403" s="188"/>
      <c r="AL403" s="189"/>
      <c r="AM403" s="189"/>
      <c r="AN403" s="189"/>
      <c r="AO403" s="189"/>
      <c r="AP403" s="189"/>
      <c r="AQ403" s="189"/>
      <c r="AR403" s="189"/>
      <c r="AS403" s="189"/>
      <c r="AT403" s="189"/>
      <c r="AU403" s="190"/>
      <c r="AV403" s="190"/>
      <c r="AW403" s="190"/>
      <c r="AX403" s="190"/>
      <c r="AY403" s="190"/>
      <c r="AZ403" s="189"/>
      <c r="BA403" s="189"/>
      <c r="BB403" s="189"/>
      <c r="BC403" s="189"/>
      <c r="BD403" s="189"/>
      <c r="BE403" s="189"/>
      <c r="BF403" s="189"/>
      <c r="BG403" s="189"/>
      <c r="BH403" s="189"/>
      <c r="BI403" s="190"/>
      <c r="BJ403" s="190"/>
      <c r="BK403" s="190"/>
      <c r="BL403" s="190"/>
      <c r="BM403" s="190"/>
      <c r="BN403" s="191"/>
      <c r="BO403" s="191"/>
      <c r="BP403" s="191"/>
      <c r="BQ403" s="191"/>
      <c r="BR403" s="191"/>
      <c r="BS403" s="191"/>
      <c r="BT403" s="190"/>
      <c r="BU403" s="190"/>
      <c r="BV403" s="190"/>
      <c r="BW403" s="190"/>
      <c r="BX403" s="190"/>
      <c r="BY403" s="190"/>
      <c r="BZ403" s="190"/>
      <c r="CA403" s="189"/>
      <c r="CB403" s="15"/>
    </row>
    <row r="404" spans="1:80" ht="15" x14ac:dyDescent="0.25">
      <c r="A404" s="167"/>
      <c r="B404" s="642"/>
      <c r="C404" s="642"/>
      <c r="D404" s="179"/>
      <c r="E404" s="169"/>
      <c r="F404" s="169"/>
      <c r="G404" s="186"/>
      <c r="H404" s="187"/>
      <c r="I404" s="187"/>
      <c r="J404" s="187"/>
      <c r="K404" s="187"/>
      <c r="L404" s="647"/>
      <c r="M404" s="646">
        <v>35580</v>
      </c>
      <c r="N404" s="585">
        <v>0.74</v>
      </c>
      <c r="O404" s="585">
        <v>0</v>
      </c>
      <c r="P404" s="175">
        <v>0</v>
      </c>
      <c r="Q404" s="175">
        <v>0</v>
      </c>
      <c r="R404" s="175">
        <v>0</v>
      </c>
      <c r="S404" s="175">
        <v>0</v>
      </c>
      <c r="T404" s="175">
        <v>0</v>
      </c>
      <c r="U404" s="175">
        <v>0</v>
      </c>
      <c r="V404" s="706">
        <v>0</v>
      </c>
      <c r="W404" s="717"/>
      <c r="X404" s="713"/>
      <c r="Y404" s="718"/>
      <c r="Z404" s="709">
        <v>0</v>
      </c>
      <c r="AA404" s="175"/>
      <c r="AB404" s="200" t="s">
        <v>39</v>
      </c>
      <c r="AC404" s="205">
        <v>0.01</v>
      </c>
      <c r="AD404" s="175">
        <v>6.77</v>
      </c>
      <c r="AE404" s="175">
        <v>0.19</v>
      </c>
      <c r="AF404" s="170">
        <f t="shared" si="7"/>
        <v>1.2863</v>
      </c>
      <c r="AG404" s="175">
        <v>0.56000000000000005</v>
      </c>
      <c r="AH404" s="334"/>
      <c r="AI404" s="188"/>
      <c r="AJ404" s="188"/>
      <c r="AK404" s="188"/>
      <c r="AL404" s="189"/>
      <c r="AM404" s="189"/>
      <c r="AN404" s="189"/>
      <c r="AO404" s="189"/>
      <c r="AP404" s="189"/>
      <c r="AQ404" s="189"/>
      <c r="AR404" s="189"/>
      <c r="AS404" s="189"/>
      <c r="AT404" s="189"/>
      <c r="AU404" s="190"/>
      <c r="AV404" s="190"/>
      <c r="AW404" s="190"/>
      <c r="AX404" s="190"/>
      <c r="AY404" s="190"/>
      <c r="AZ404" s="189"/>
      <c r="BA404" s="189"/>
      <c r="BB404" s="189"/>
      <c r="BC404" s="189"/>
      <c r="BD404" s="189"/>
      <c r="BE404" s="189"/>
      <c r="BF404" s="189"/>
      <c r="BG404" s="189"/>
      <c r="BH404" s="189"/>
      <c r="BI404" s="190"/>
      <c r="BJ404" s="190"/>
      <c r="BK404" s="190"/>
      <c r="BL404" s="190"/>
      <c r="BM404" s="190"/>
      <c r="BN404" s="191"/>
      <c r="BO404" s="191"/>
      <c r="BP404" s="191"/>
      <c r="BQ404" s="191"/>
      <c r="BR404" s="191"/>
      <c r="BS404" s="191"/>
      <c r="BT404" s="190"/>
      <c r="BU404" s="190"/>
      <c r="BV404" s="190"/>
      <c r="BW404" s="190"/>
      <c r="BX404" s="190"/>
      <c r="BY404" s="190"/>
      <c r="BZ404" s="190"/>
      <c r="CA404" s="189"/>
      <c r="CB404" s="15"/>
    </row>
    <row r="405" spans="1:80" ht="15" x14ac:dyDescent="0.25">
      <c r="A405" s="167"/>
      <c r="B405" s="642"/>
      <c r="C405" s="642"/>
      <c r="D405" s="179"/>
      <c r="E405" s="169"/>
      <c r="F405" s="169"/>
      <c r="G405" s="186"/>
      <c r="H405" s="187"/>
      <c r="I405" s="187"/>
      <c r="J405" s="187"/>
      <c r="K405" s="187"/>
      <c r="L405" s="647"/>
      <c r="M405" s="646">
        <v>35583</v>
      </c>
      <c r="N405" s="585">
        <v>1.92</v>
      </c>
      <c r="O405" s="585">
        <v>8.94E-3</v>
      </c>
      <c r="P405" s="175">
        <v>0</v>
      </c>
      <c r="Q405" s="175">
        <v>0</v>
      </c>
      <c r="R405" s="175">
        <v>0</v>
      </c>
      <c r="S405" s="175">
        <v>3.6000000000000002E-4</v>
      </c>
      <c r="T405" s="175">
        <v>1.7600000000000001E-3</v>
      </c>
      <c r="U405" s="175">
        <v>2.5400000000000002E-3</v>
      </c>
      <c r="V405" s="706">
        <v>4.28E-3</v>
      </c>
      <c r="W405" s="717"/>
      <c r="X405" s="713"/>
      <c r="Y405" s="718"/>
      <c r="Z405" s="709">
        <v>12</v>
      </c>
      <c r="AA405" s="175"/>
      <c r="AB405" s="200"/>
      <c r="AC405" s="205">
        <v>0</v>
      </c>
      <c r="AD405" s="175">
        <v>6.91</v>
      </c>
      <c r="AE405" s="175">
        <v>0.3</v>
      </c>
      <c r="AF405" s="170">
        <f t="shared" si="7"/>
        <v>2.073</v>
      </c>
      <c r="AG405" s="175">
        <v>1.02</v>
      </c>
      <c r="AH405" s="334"/>
      <c r="AI405" s="188"/>
      <c r="AJ405" s="188"/>
      <c r="AK405" s="188"/>
      <c r="AL405" s="189"/>
      <c r="AM405" s="189"/>
      <c r="AN405" s="189"/>
      <c r="AO405" s="189"/>
      <c r="AP405" s="189"/>
      <c r="AQ405" s="189"/>
      <c r="AR405" s="189"/>
      <c r="AS405" s="189"/>
      <c r="AT405" s="189"/>
      <c r="AU405" s="190"/>
      <c r="AV405" s="190"/>
      <c r="AW405" s="190"/>
      <c r="AX405" s="190"/>
      <c r="AY405" s="190"/>
      <c r="AZ405" s="189"/>
      <c r="BA405" s="189"/>
      <c r="BB405" s="189"/>
      <c r="BC405" s="189"/>
      <c r="BD405" s="189"/>
      <c r="BE405" s="189"/>
      <c r="BF405" s="189"/>
      <c r="BG405" s="189"/>
      <c r="BH405" s="189"/>
      <c r="BI405" s="190"/>
      <c r="BJ405" s="190"/>
      <c r="BK405" s="190"/>
      <c r="BL405" s="190"/>
      <c r="BM405" s="190"/>
      <c r="BN405" s="191"/>
      <c r="BO405" s="191"/>
      <c r="BP405" s="191"/>
      <c r="BQ405" s="191"/>
      <c r="BR405" s="191"/>
      <c r="BS405" s="191"/>
      <c r="BT405" s="190"/>
      <c r="BU405" s="190"/>
      <c r="BV405" s="190"/>
      <c r="BW405" s="190"/>
      <c r="BX405" s="190"/>
      <c r="BY405" s="190"/>
      <c r="BZ405" s="190"/>
      <c r="CA405" s="189"/>
      <c r="CB405" s="15"/>
    </row>
    <row r="406" spans="1:80" ht="15" x14ac:dyDescent="0.25">
      <c r="A406" s="167"/>
      <c r="B406" s="642"/>
      <c r="C406" s="642"/>
      <c r="D406" s="179"/>
      <c r="E406" s="169"/>
      <c r="F406" s="169"/>
      <c r="G406" s="186"/>
      <c r="H406" s="187"/>
      <c r="I406" s="187"/>
      <c r="J406" s="187"/>
      <c r="K406" s="187"/>
      <c r="L406" s="647"/>
      <c r="M406" s="646">
        <v>35584</v>
      </c>
      <c r="N406" s="585">
        <v>1.54</v>
      </c>
      <c r="O406" s="585">
        <v>1.25E-3</v>
      </c>
      <c r="P406" s="175">
        <v>0</v>
      </c>
      <c r="Q406" s="175">
        <v>0</v>
      </c>
      <c r="R406" s="175">
        <v>0</v>
      </c>
      <c r="S406" s="175">
        <v>0</v>
      </c>
      <c r="T406" s="175">
        <v>6.0000000000000002E-5</v>
      </c>
      <c r="U406" s="175">
        <v>3.2000000000000003E-4</v>
      </c>
      <c r="V406" s="706">
        <v>8.7000000000000001E-4</v>
      </c>
      <c r="W406" s="717"/>
      <c r="X406" s="713"/>
      <c r="Y406" s="718"/>
      <c r="Z406" s="709">
        <v>24</v>
      </c>
      <c r="AA406" s="175"/>
      <c r="AB406" s="200"/>
      <c r="AC406" s="205">
        <v>1.2E-2</v>
      </c>
      <c r="AD406" s="175">
        <v>6.81</v>
      </c>
      <c r="AE406" s="175">
        <v>0.27</v>
      </c>
      <c r="AF406" s="170">
        <f t="shared" si="7"/>
        <v>1.8387</v>
      </c>
      <c r="AG406" s="175">
        <v>0.78</v>
      </c>
      <c r="AH406" s="334"/>
      <c r="AI406" s="188"/>
      <c r="AJ406" s="188"/>
      <c r="AK406" s="188"/>
      <c r="AL406" s="189"/>
      <c r="AM406" s="189"/>
      <c r="AN406" s="189"/>
      <c r="AO406" s="189"/>
      <c r="AP406" s="189"/>
      <c r="AQ406" s="189"/>
      <c r="AR406" s="189"/>
      <c r="AS406" s="189"/>
      <c r="AT406" s="189"/>
      <c r="AU406" s="190"/>
      <c r="AV406" s="190"/>
      <c r="AW406" s="190"/>
      <c r="AX406" s="190"/>
      <c r="AY406" s="190"/>
      <c r="AZ406" s="189"/>
      <c r="BA406" s="189"/>
      <c r="BB406" s="189"/>
      <c r="BC406" s="189"/>
      <c r="BD406" s="189"/>
      <c r="BE406" s="189"/>
      <c r="BF406" s="189"/>
      <c r="BG406" s="189"/>
      <c r="BH406" s="189"/>
      <c r="BI406" s="190"/>
      <c r="BJ406" s="190"/>
      <c r="BK406" s="190"/>
      <c r="BL406" s="190"/>
      <c r="BM406" s="190"/>
      <c r="BN406" s="191"/>
      <c r="BO406" s="191"/>
      <c r="BP406" s="191"/>
      <c r="BQ406" s="191"/>
      <c r="BR406" s="191"/>
      <c r="BS406" s="191"/>
      <c r="BT406" s="190"/>
      <c r="BU406" s="190"/>
      <c r="BV406" s="190"/>
      <c r="BW406" s="190"/>
      <c r="BX406" s="190"/>
      <c r="BY406" s="190"/>
      <c r="BZ406" s="190"/>
      <c r="CA406" s="189"/>
      <c r="CB406" s="15"/>
    </row>
    <row r="407" spans="1:80" ht="15" x14ac:dyDescent="0.25">
      <c r="A407" s="167"/>
      <c r="B407" s="642"/>
      <c r="C407" s="642"/>
      <c r="D407" s="179"/>
      <c r="E407" s="169"/>
      <c r="F407" s="169"/>
      <c r="G407" s="186"/>
      <c r="H407" s="187"/>
      <c r="I407" s="187"/>
      <c r="J407" s="187"/>
      <c r="K407" s="187"/>
      <c r="L407" s="647"/>
      <c r="M407" s="646">
        <v>35586</v>
      </c>
      <c r="N407" s="585">
        <v>5.16</v>
      </c>
      <c r="O407" s="585">
        <v>0.2364</v>
      </c>
      <c r="P407" s="175">
        <v>0</v>
      </c>
      <c r="Q407" s="175">
        <v>4.9199999999999999E-3</v>
      </c>
      <c r="R407" s="175">
        <v>1.5310000000000001E-2</v>
      </c>
      <c r="S407" s="175">
        <v>3.4720000000000001E-2</v>
      </c>
      <c r="T407" s="175">
        <v>4.0030000000000003E-2</v>
      </c>
      <c r="U407" s="175">
        <v>4.9450000000000001E-2</v>
      </c>
      <c r="V407" s="706">
        <v>9.1980000000000006E-2</v>
      </c>
      <c r="W407" s="717"/>
      <c r="X407" s="713"/>
      <c r="Y407" s="718"/>
      <c r="Z407" s="709">
        <v>53</v>
      </c>
      <c r="AA407" s="175"/>
      <c r="AB407" s="200"/>
      <c r="AC407" s="205">
        <v>1.4999999999999999E-2</v>
      </c>
      <c r="AD407" s="175">
        <v>7.88</v>
      </c>
      <c r="AE407" s="175">
        <v>0.4</v>
      </c>
      <c r="AF407" s="170">
        <f t="shared" si="7"/>
        <v>3.1520000000000001</v>
      </c>
      <c r="AG407" s="175">
        <v>1.72</v>
      </c>
      <c r="AH407" s="334"/>
      <c r="AI407" s="188"/>
      <c r="AJ407" s="188"/>
      <c r="AK407" s="188"/>
      <c r="AL407" s="189"/>
      <c r="AM407" s="189"/>
      <c r="AN407" s="189"/>
      <c r="AO407" s="189"/>
      <c r="AP407" s="189"/>
      <c r="AQ407" s="189"/>
      <c r="AR407" s="189"/>
      <c r="AS407" s="189"/>
      <c r="AT407" s="189"/>
      <c r="AU407" s="190"/>
      <c r="AV407" s="190"/>
      <c r="AW407" s="190"/>
      <c r="AX407" s="190"/>
      <c r="AY407" s="190"/>
      <c r="AZ407" s="189"/>
      <c r="BA407" s="189"/>
      <c r="BB407" s="189"/>
      <c r="BC407" s="189"/>
      <c r="BD407" s="189"/>
      <c r="BE407" s="189"/>
      <c r="BF407" s="189"/>
      <c r="BG407" s="189"/>
      <c r="BH407" s="189"/>
      <c r="BI407" s="190"/>
      <c r="BJ407" s="190"/>
      <c r="BK407" s="190"/>
      <c r="BL407" s="190"/>
      <c r="BM407" s="190"/>
      <c r="BN407" s="191"/>
      <c r="BO407" s="191"/>
      <c r="BP407" s="191"/>
      <c r="BQ407" s="191"/>
      <c r="BR407" s="191"/>
      <c r="BS407" s="191"/>
      <c r="BT407" s="190"/>
      <c r="BU407" s="190"/>
      <c r="BV407" s="190"/>
      <c r="BW407" s="190"/>
      <c r="BX407" s="190"/>
      <c r="BY407" s="190"/>
      <c r="BZ407" s="190"/>
      <c r="CA407" s="189"/>
      <c r="CB407" s="15"/>
    </row>
    <row r="408" spans="1:80" ht="15" x14ac:dyDescent="0.25">
      <c r="A408" s="167"/>
      <c r="B408" s="642"/>
      <c r="C408" s="642"/>
      <c r="D408" s="179"/>
      <c r="E408" s="169"/>
      <c r="F408" s="169"/>
      <c r="G408" s="186"/>
      <c r="H408" s="187"/>
      <c r="I408" s="187"/>
      <c r="J408" s="187"/>
      <c r="K408" s="187"/>
      <c r="L408" s="647"/>
      <c r="M408" s="646">
        <v>35590</v>
      </c>
      <c r="N408" s="585">
        <v>4.95</v>
      </c>
      <c r="O408" s="585">
        <v>0.15304000000000001</v>
      </c>
      <c r="P408" s="175">
        <v>0</v>
      </c>
      <c r="Q408" s="175">
        <v>2.5389999999999999E-2</v>
      </c>
      <c r="R408" s="175">
        <v>2.8539999999999999E-2</v>
      </c>
      <c r="S408" s="175">
        <v>2.1780000000000001E-2</v>
      </c>
      <c r="T408" s="175">
        <v>2.29E-2</v>
      </c>
      <c r="U408" s="175">
        <v>2.2950000000000002E-2</v>
      </c>
      <c r="V408" s="706">
        <v>3.1480000000000001E-2</v>
      </c>
      <c r="W408" s="717"/>
      <c r="X408" s="713"/>
      <c r="Y408" s="718"/>
      <c r="Z408" s="709">
        <v>65</v>
      </c>
      <c r="AA408" s="175"/>
      <c r="AB408" s="200"/>
      <c r="AC408" s="205">
        <v>1.2E-2</v>
      </c>
      <c r="AD408" s="175">
        <v>7.85</v>
      </c>
      <c r="AE408" s="175">
        <v>0.45</v>
      </c>
      <c r="AF408" s="170">
        <f t="shared" si="7"/>
        <v>3.5324999999999998</v>
      </c>
      <c r="AG408" s="175">
        <v>1.48</v>
      </c>
      <c r="AH408" s="334"/>
      <c r="AI408" s="188"/>
      <c r="AJ408" s="188"/>
      <c r="AK408" s="188"/>
      <c r="AL408" s="189"/>
      <c r="AM408" s="189"/>
      <c r="AN408" s="189"/>
      <c r="AO408" s="189"/>
      <c r="AP408" s="189"/>
      <c r="AQ408" s="189"/>
      <c r="AR408" s="189"/>
      <c r="AS408" s="189"/>
      <c r="AT408" s="189"/>
      <c r="AU408" s="190"/>
      <c r="AV408" s="190"/>
      <c r="AW408" s="190"/>
      <c r="AX408" s="190"/>
      <c r="AY408" s="190"/>
      <c r="AZ408" s="189"/>
      <c r="BA408" s="189"/>
      <c r="BB408" s="189"/>
      <c r="BC408" s="189"/>
      <c r="BD408" s="189"/>
      <c r="BE408" s="189"/>
      <c r="BF408" s="189"/>
      <c r="BG408" s="189"/>
      <c r="BH408" s="189"/>
      <c r="BI408" s="190"/>
      <c r="BJ408" s="190"/>
      <c r="BK408" s="190"/>
      <c r="BL408" s="190"/>
      <c r="BM408" s="190"/>
      <c r="BN408" s="191"/>
      <c r="BO408" s="191"/>
      <c r="BP408" s="191"/>
      <c r="BQ408" s="191"/>
      <c r="BR408" s="191"/>
      <c r="BS408" s="191"/>
      <c r="BT408" s="190"/>
      <c r="BU408" s="190"/>
      <c r="BV408" s="190"/>
      <c r="BW408" s="190"/>
      <c r="BX408" s="190"/>
      <c r="BY408" s="190"/>
      <c r="BZ408" s="190"/>
      <c r="CA408" s="189"/>
      <c r="CB408" s="15"/>
    </row>
    <row r="409" spans="1:80" ht="15" x14ac:dyDescent="0.25">
      <c r="A409" s="167"/>
      <c r="B409" s="642"/>
      <c r="C409" s="642"/>
      <c r="D409" s="179"/>
      <c r="E409" s="169"/>
      <c r="F409" s="169"/>
      <c r="G409" s="186"/>
      <c r="H409" s="187"/>
      <c r="I409" s="187"/>
      <c r="J409" s="187"/>
      <c r="K409" s="187"/>
      <c r="L409" s="647"/>
      <c r="M409" s="646">
        <v>35591</v>
      </c>
      <c r="N409" s="585">
        <v>4.4000000000000004</v>
      </c>
      <c r="O409" s="585">
        <v>3.1890000000000002E-2</v>
      </c>
      <c r="P409" s="175">
        <v>0</v>
      </c>
      <c r="Q409" s="175">
        <v>0</v>
      </c>
      <c r="R409" s="175">
        <v>5.6600000000000001E-3</v>
      </c>
      <c r="S409" s="175">
        <v>5.6600000000000001E-3</v>
      </c>
      <c r="T409" s="175">
        <v>5.1900000000000002E-3</v>
      </c>
      <c r="U409" s="175">
        <v>5.5799999999999999E-3</v>
      </c>
      <c r="V409" s="706">
        <v>9.7999999999999997E-3</v>
      </c>
      <c r="W409" s="717"/>
      <c r="X409" s="713"/>
      <c r="Y409" s="718"/>
      <c r="Z409" s="709">
        <v>30</v>
      </c>
      <c r="AA409" s="175"/>
      <c r="AB409" s="200"/>
      <c r="AC409" s="205">
        <v>1.7000000000000001E-2</v>
      </c>
      <c r="AD409" s="175">
        <v>7.81</v>
      </c>
      <c r="AE409" s="175">
        <v>0.41</v>
      </c>
      <c r="AF409" s="170">
        <f t="shared" si="7"/>
        <v>3.2020999999999997</v>
      </c>
      <c r="AG409" s="175">
        <v>1.38</v>
      </c>
      <c r="AH409" s="334"/>
      <c r="AI409" s="188"/>
      <c r="AJ409" s="188"/>
      <c r="AK409" s="188"/>
      <c r="AL409" s="189"/>
      <c r="AM409" s="189"/>
      <c r="AN409" s="189"/>
      <c r="AO409" s="189"/>
      <c r="AP409" s="189"/>
      <c r="AQ409" s="189"/>
      <c r="AR409" s="189"/>
      <c r="AS409" s="189"/>
      <c r="AT409" s="189"/>
      <c r="AU409" s="190"/>
      <c r="AV409" s="190"/>
      <c r="AW409" s="190"/>
      <c r="AX409" s="190"/>
      <c r="AY409" s="190"/>
      <c r="AZ409" s="189"/>
      <c r="BA409" s="189"/>
      <c r="BB409" s="189"/>
      <c r="BC409" s="189"/>
      <c r="BD409" s="189"/>
      <c r="BE409" s="189"/>
      <c r="BF409" s="189"/>
      <c r="BG409" s="189"/>
      <c r="BH409" s="189"/>
      <c r="BI409" s="190"/>
      <c r="BJ409" s="190"/>
      <c r="BK409" s="190"/>
      <c r="BL409" s="190"/>
      <c r="BM409" s="190"/>
      <c r="BN409" s="191"/>
      <c r="BO409" s="191"/>
      <c r="BP409" s="191"/>
      <c r="BQ409" s="191"/>
      <c r="BR409" s="191"/>
      <c r="BS409" s="191"/>
      <c r="BT409" s="190"/>
      <c r="BU409" s="190"/>
      <c r="BV409" s="190"/>
      <c r="BW409" s="190"/>
      <c r="BX409" s="190"/>
      <c r="BY409" s="190"/>
      <c r="BZ409" s="190"/>
      <c r="CA409" s="189"/>
      <c r="CB409" s="15"/>
    </row>
    <row r="410" spans="1:80" ht="15" x14ac:dyDescent="0.25">
      <c r="A410" s="167"/>
      <c r="B410" s="642"/>
      <c r="C410" s="642"/>
      <c r="D410" s="179"/>
      <c r="E410" s="169"/>
      <c r="F410" s="169"/>
      <c r="G410" s="186"/>
      <c r="H410" s="187"/>
      <c r="I410" s="187"/>
      <c r="J410" s="187"/>
      <c r="K410" s="187"/>
      <c r="L410" s="647"/>
      <c r="M410" s="646">
        <v>35592</v>
      </c>
      <c r="N410" s="585">
        <v>5.12</v>
      </c>
      <c r="O410" s="585">
        <v>8.4570000000000006E-2</v>
      </c>
      <c r="P410" s="175">
        <v>0</v>
      </c>
      <c r="Q410" s="175">
        <v>4.0400000000000002E-3</v>
      </c>
      <c r="R410" s="175">
        <v>1.1939999999999999E-2</v>
      </c>
      <c r="S410" s="175">
        <v>1.112E-2</v>
      </c>
      <c r="T410" s="175">
        <v>1.6109999999999999E-2</v>
      </c>
      <c r="U410" s="175">
        <v>1.6279999999999999E-2</v>
      </c>
      <c r="V410" s="706">
        <v>2.5090000000000001E-2</v>
      </c>
      <c r="W410" s="717"/>
      <c r="X410" s="713"/>
      <c r="Y410" s="718"/>
      <c r="Z410" s="709">
        <v>41</v>
      </c>
      <c r="AA410" s="175"/>
      <c r="AB410" s="200"/>
      <c r="AC410" s="205">
        <v>1.4999999999999999E-2</v>
      </c>
      <c r="AD410" s="175">
        <v>7.8</v>
      </c>
      <c r="AE410" s="175">
        <v>0.46</v>
      </c>
      <c r="AF410" s="170">
        <f t="shared" si="7"/>
        <v>3.5880000000000001</v>
      </c>
      <c r="AG410" s="175">
        <v>1.44</v>
      </c>
      <c r="AH410" s="334"/>
      <c r="AI410" s="188"/>
      <c r="AJ410" s="188"/>
      <c r="AK410" s="188"/>
      <c r="AL410" s="189"/>
      <c r="AM410" s="189"/>
      <c r="AN410" s="189"/>
      <c r="AO410" s="189"/>
      <c r="AP410" s="189"/>
      <c r="AQ410" s="189"/>
      <c r="AR410" s="189"/>
      <c r="AS410" s="189"/>
      <c r="AT410" s="189"/>
      <c r="AU410" s="190"/>
      <c r="AV410" s="190"/>
      <c r="AW410" s="190"/>
      <c r="AX410" s="190"/>
      <c r="AY410" s="190"/>
      <c r="AZ410" s="189"/>
      <c r="BA410" s="189"/>
      <c r="BB410" s="189"/>
      <c r="BC410" s="189"/>
      <c r="BD410" s="189"/>
      <c r="BE410" s="189"/>
      <c r="BF410" s="189"/>
      <c r="BG410" s="189"/>
      <c r="BH410" s="189"/>
      <c r="BI410" s="190"/>
      <c r="BJ410" s="190"/>
      <c r="BK410" s="190"/>
      <c r="BL410" s="190"/>
      <c r="BM410" s="190"/>
      <c r="BN410" s="191"/>
      <c r="BO410" s="191"/>
      <c r="BP410" s="191"/>
      <c r="BQ410" s="191"/>
      <c r="BR410" s="191"/>
      <c r="BS410" s="191"/>
      <c r="BT410" s="190"/>
      <c r="BU410" s="190"/>
      <c r="BV410" s="190"/>
      <c r="BW410" s="190"/>
      <c r="BX410" s="190"/>
      <c r="BY410" s="190"/>
      <c r="BZ410" s="190"/>
      <c r="CA410" s="189"/>
      <c r="CB410" s="15"/>
    </row>
    <row r="411" spans="1:80" ht="15" x14ac:dyDescent="0.25">
      <c r="A411" s="167"/>
      <c r="B411" s="642"/>
      <c r="C411" s="642"/>
      <c r="D411" s="179"/>
      <c r="E411" s="169"/>
      <c r="F411" s="169"/>
      <c r="G411" s="186"/>
      <c r="H411" s="187"/>
      <c r="I411" s="187"/>
      <c r="J411" s="187"/>
      <c r="K411" s="187"/>
      <c r="L411" s="647"/>
      <c r="M411" s="646">
        <v>35593</v>
      </c>
      <c r="N411" s="585">
        <v>5.16</v>
      </c>
      <c r="O411" s="585">
        <v>8.3699999999999997E-2</v>
      </c>
      <c r="P411" s="175">
        <v>0</v>
      </c>
      <c r="Q411" s="175">
        <v>1.15E-2</v>
      </c>
      <c r="R411" s="175">
        <v>7.6699999999999997E-3</v>
      </c>
      <c r="S411" s="175">
        <v>1.362E-2</v>
      </c>
      <c r="T411" s="175">
        <v>1.404E-2</v>
      </c>
      <c r="U411" s="175">
        <v>1.4659999999999999E-2</v>
      </c>
      <c r="V411" s="706">
        <v>2.2210000000000001E-2</v>
      </c>
      <c r="W411" s="717"/>
      <c r="X411" s="713"/>
      <c r="Y411" s="718"/>
      <c r="Z411" s="709">
        <v>47</v>
      </c>
      <c r="AA411" s="175"/>
      <c r="AB411" s="200"/>
      <c r="AC411" s="205">
        <v>1.6E-2</v>
      </c>
      <c r="AD411" s="175">
        <v>7.89</v>
      </c>
      <c r="AE411" s="175">
        <v>0.46</v>
      </c>
      <c r="AF411" s="170">
        <f t="shared" si="7"/>
        <v>3.6294</v>
      </c>
      <c r="AG411" s="175">
        <v>1.47</v>
      </c>
      <c r="AH411" s="334"/>
      <c r="AI411" s="188"/>
      <c r="AJ411" s="188"/>
      <c r="AK411" s="188"/>
      <c r="AL411" s="189"/>
      <c r="AM411" s="189"/>
      <c r="AN411" s="189"/>
      <c r="AO411" s="189"/>
      <c r="AP411" s="189"/>
      <c r="AQ411" s="189"/>
      <c r="AR411" s="189"/>
      <c r="AS411" s="189"/>
      <c r="AT411" s="189"/>
      <c r="AU411" s="190"/>
      <c r="AV411" s="190"/>
      <c r="AW411" s="190"/>
      <c r="AX411" s="190"/>
      <c r="AY411" s="190"/>
      <c r="AZ411" s="189"/>
      <c r="BA411" s="189"/>
      <c r="BB411" s="189"/>
      <c r="BC411" s="189"/>
      <c r="BD411" s="189"/>
      <c r="BE411" s="189"/>
      <c r="BF411" s="189"/>
      <c r="BG411" s="189"/>
      <c r="BH411" s="189"/>
      <c r="BI411" s="190"/>
      <c r="BJ411" s="190"/>
      <c r="BK411" s="190"/>
      <c r="BL411" s="190"/>
      <c r="BM411" s="190"/>
      <c r="BN411" s="191"/>
      <c r="BO411" s="191"/>
      <c r="BP411" s="191"/>
      <c r="BQ411" s="191"/>
      <c r="BR411" s="191"/>
      <c r="BS411" s="191"/>
      <c r="BT411" s="190"/>
      <c r="BU411" s="190"/>
      <c r="BV411" s="190"/>
      <c r="BW411" s="190"/>
      <c r="BX411" s="190"/>
      <c r="BY411" s="190"/>
      <c r="BZ411" s="190"/>
      <c r="CA411" s="189"/>
      <c r="CB411" s="15"/>
    </row>
    <row r="412" spans="1:80" ht="15" x14ac:dyDescent="0.25">
      <c r="A412" s="167"/>
      <c r="B412" s="642"/>
      <c r="C412" s="642"/>
      <c r="D412" s="179"/>
      <c r="E412" s="169"/>
      <c r="F412" s="169"/>
      <c r="G412" s="186"/>
      <c r="H412" s="187"/>
      <c r="I412" s="187"/>
      <c r="J412" s="187"/>
      <c r="K412" s="187"/>
      <c r="L412" s="647"/>
      <c r="M412" s="646">
        <v>35594</v>
      </c>
      <c r="N412" s="585">
        <v>4.5999999999999996</v>
      </c>
      <c r="O412" s="585">
        <v>9.6140000000000003E-2</v>
      </c>
      <c r="P412" s="175">
        <v>0</v>
      </c>
      <c r="Q412" s="175">
        <v>4.4200000000000003E-3</v>
      </c>
      <c r="R412" s="175">
        <v>1.2670000000000001E-2</v>
      </c>
      <c r="S412" s="175">
        <v>1.5689999999999999E-2</v>
      </c>
      <c r="T412" s="175">
        <v>2.0279999999999999E-2</v>
      </c>
      <c r="U412" s="175">
        <v>2.0129999999999999E-2</v>
      </c>
      <c r="V412" s="706">
        <v>2.2950000000000002E-2</v>
      </c>
      <c r="W412" s="717"/>
      <c r="X412" s="713"/>
      <c r="Y412" s="718"/>
      <c r="Z412" s="709">
        <v>53</v>
      </c>
      <c r="AA412" s="175"/>
      <c r="AB412" s="200"/>
      <c r="AC412" s="205">
        <v>1.6E-2</v>
      </c>
      <c r="AD412" s="175">
        <v>7.86</v>
      </c>
      <c r="AE412" s="175">
        <v>0.42</v>
      </c>
      <c r="AF412" s="170">
        <f t="shared" si="7"/>
        <v>3.3012000000000001</v>
      </c>
      <c r="AG412" s="175">
        <v>1.43</v>
      </c>
      <c r="AH412" s="334"/>
      <c r="AI412" s="188"/>
      <c r="AJ412" s="188"/>
      <c r="AK412" s="188"/>
      <c r="AL412" s="189"/>
      <c r="AM412" s="189"/>
      <c r="AN412" s="189"/>
      <c r="AO412" s="189"/>
      <c r="AP412" s="189"/>
      <c r="AQ412" s="189"/>
      <c r="AR412" s="189"/>
      <c r="AS412" s="189"/>
      <c r="AT412" s="189"/>
      <c r="AU412" s="190"/>
      <c r="AV412" s="190"/>
      <c r="AW412" s="190"/>
      <c r="AX412" s="190"/>
      <c r="AY412" s="190"/>
      <c r="AZ412" s="189"/>
      <c r="BA412" s="189"/>
      <c r="BB412" s="189"/>
      <c r="BC412" s="189"/>
      <c r="BD412" s="189"/>
      <c r="BE412" s="189"/>
      <c r="BF412" s="189"/>
      <c r="BG412" s="189"/>
      <c r="BH412" s="189"/>
      <c r="BI412" s="190"/>
      <c r="BJ412" s="190"/>
      <c r="BK412" s="190"/>
      <c r="BL412" s="190"/>
      <c r="BM412" s="190"/>
      <c r="BN412" s="191"/>
      <c r="BO412" s="191"/>
      <c r="BP412" s="191"/>
      <c r="BQ412" s="191"/>
      <c r="BR412" s="191"/>
      <c r="BS412" s="191"/>
      <c r="BT412" s="190"/>
      <c r="BU412" s="190"/>
      <c r="BV412" s="190"/>
      <c r="BW412" s="190"/>
      <c r="BX412" s="190"/>
      <c r="BY412" s="190"/>
      <c r="BZ412" s="190"/>
      <c r="CA412" s="189"/>
      <c r="CB412" s="15"/>
    </row>
    <row r="413" spans="1:80" ht="15" x14ac:dyDescent="0.25">
      <c r="A413" s="167"/>
      <c r="B413" s="642"/>
      <c r="C413" s="642"/>
      <c r="D413" s="179"/>
      <c r="E413" s="169"/>
      <c r="F413" s="169"/>
      <c r="G413" s="186"/>
      <c r="H413" s="187"/>
      <c r="I413" s="187"/>
      <c r="J413" s="187"/>
      <c r="K413" s="187"/>
      <c r="L413" s="647"/>
      <c r="M413" s="646">
        <v>35597</v>
      </c>
      <c r="N413" s="585">
        <v>4.54</v>
      </c>
      <c r="O413" s="585">
        <v>6.9669999999999996E-2</v>
      </c>
      <c r="P413" s="175">
        <v>0</v>
      </c>
      <c r="Q413" s="175">
        <v>3.3800000000000002E-3</v>
      </c>
      <c r="R413" s="175">
        <v>7.6099999999999996E-3</v>
      </c>
      <c r="S413" s="175">
        <v>8.6999999999999994E-3</v>
      </c>
      <c r="T413" s="175">
        <v>1.4149999999999999E-2</v>
      </c>
      <c r="U413" s="175">
        <v>1.5939999999999999E-2</v>
      </c>
      <c r="V413" s="706">
        <v>1.9890000000000001E-2</v>
      </c>
      <c r="W413" s="717"/>
      <c r="X413" s="713"/>
      <c r="Y413" s="718"/>
      <c r="Z413" s="709">
        <v>53</v>
      </c>
      <c r="AA413" s="175"/>
      <c r="AB413" s="200"/>
      <c r="AC413" s="205">
        <v>1.4999999999999999E-2</v>
      </c>
      <c r="AD413" s="175">
        <v>7.84</v>
      </c>
      <c r="AE413" s="175">
        <v>0.39</v>
      </c>
      <c r="AF413" s="170">
        <f t="shared" si="7"/>
        <v>3.0575999999999999</v>
      </c>
      <c r="AG413" s="175">
        <v>1.43</v>
      </c>
      <c r="AH413" s="334"/>
      <c r="AI413" s="188"/>
      <c r="AJ413" s="188"/>
      <c r="AK413" s="188"/>
      <c r="AL413" s="189"/>
      <c r="AM413" s="189"/>
      <c r="AN413" s="189"/>
      <c r="AO413" s="189"/>
      <c r="AP413" s="189"/>
      <c r="AQ413" s="189"/>
      <c r="AR413" s="189"/>
      <c r="AS413" s="189"/>
      <c r="AT413" s="189"/>
      <c r="AU413" s="190"/>
      <c r="AV413" s="190"/>
      <c r="AW413" s="190"/>
      <c r="AX413" s="190"/>
      <c r="AY413" s="190"/>
      <c r="AZ413" s="189"/>
      <c r="BA413" s="189"/>
      <c r="BB413" s="189"/>
      <c r="BC413" s="189"/>
      <c r="BD413" s="189"/>
      <c r="BE413" s="189"/>
      <c r="BF413" s="189"/>
      <c r="BG413" s="189"/>
      <c r="BH413" s="189"/>
      <c r="BI413" s="190"/>
      <c r="BJ413" s="190"/>
      <c r="BK413" s="190"/>
      <c r="BL413" s="190"/>
      <c r="BM413" s="190"/>
      <c r="BN413" s="191"/>
      <c r="BO413" s="191"/>
      <c r="BP413" s="191"/>
      <c r="BQ413" s="191"/>
      <c r="BR413" s="191"/>
      <c r="BS413" s="191"/>
      <c r="BT413" s="190"/>
      <c r="BU413" s="190"/>
      <c r="BV413" s="190"/>
      <c r="BW413" s="190"/>
      <c r="BX413" s="190"/>
      <c r="BY413" s="190"/>
      <c r="BZ413" s="190"/>
      <c r="CA413" s="189"/>
      <c r="CB413" s="15"/>
    </row>
    <row r="414" spans="1:80" ht="15" x14ac:dyDescent="0.25">
      <c r="A414" s="167"/>
      <c r="B414" s="642"/>
      <c r="C414" s="642"/>
      <c r="D414" s="179"/>
      <c r="E414" s="169"/>
      <c r="F414" s="169"/>
      <c r="G414" s="186"/>
      <c r="H414" s="187"/>
      <c r="I414" s="187"/>
      <c r="J414" s="187"/>
      <c r="K414" s="187"/>
      <c r="L414" s="647"/>
      <c r="M414" s="646">
        <v>35598</v>
      </c>
      <c r="N414" s="585">
        <v>4.5999999999999996</v>
      </c>
      <c r="O414" s="585">
        <v>6.0909999999999999E-2</v>
      </c>
      <c r="P414" s="175">
        <v>0</v>
      </c>
      <c r="Q414" s="175">
        <v>3.8899999999999998E-3</v>
      </c>
      <c r="R414" s="175">
        <v>4.9100000000000003E-3</v>
      </c>
      <c r="S414" s="175">
        <v>1.298E-2</v>
      </c>
      <c r="T414" s="175">
        <v>1.456E-2</v>
      </c>
      <c r="U414" s="175">
        <v>1.191E-2</v>
      </c>
      <c r="V414" s="706">
        <v>1.2670000000000001E-2</v>
      </c>
      <c r="W414" s="717"/>
      <c r="X414" s="713"/>
      <c r="Y414" s="718"/>
      <c r="Z414" s="709">
        <v>42</v>
      </c>
      <c r="AA414" s="175"/>
      <c r="AB414" s="200"/>
      <c r="AC414" s="205">
        <v>1.4E-2</v>
      </c>
      <c r="AD414" s="175">
        <v>7.8</v>
      </c>
      <c r="AE414" s="175">
        <v>0.42</v>
      </c>
      <c r="AF414" s="170">
        <f t="shared" si="7"/>
        <v>3.2759999999999998</v>
      </c>
      <c r="AG414" s="175">
        <v>1.43</v>
      </c>
      <c r="AH414" s="334"/>
      <c r="AI414" s="188"/>
      <c r="AJ414" s="188"/>
      <c r="AK414" s="188"/>
      <c r="AL414" s="189"/>
      <c r="AM414" s="189"/>
      <c r="AN414" s="189"/>
      <c r="AO414" s="189"/>
      <c r="AP414" s="189"/>
      <c r="AQ414" s="189"/>
      <c r="AR414" s="189"/>
      <c r="AS414" s="189"/>
      <c r="AT414" s="189"/>
      <c r="AU414" s="190"/>
      <c r="AV414" s="190"/>
      <c r="AW414" s="190"/>
      <c r="AX414" s="190"/>
      <c r="AY414" s="190"/>
      <c r="AZ414" s="189"/>
      <c r="BA414" s="189"/>
      <c r="BB414" s="189"/>
      <c r="BC414" s="189"/>
      <c r="BD414" s="189"/>
      <c r="BE414" s="189"/>
      <c r="BF414" s="189"/>
      <c r="BG414" s="189"/>
      <c r="BH414" s="189"/>
      <c r="BI414" s="190"/>
      <c r="BJ414" s="190"/>
      <c r="BK414" s="190"/>
      <c r="BL414" s="190"/>
      <c r="BM414" s="190"/>
      <c r="BN414" s="191"/>
      <c r="BO414" s="191"/>
      <c r="BP414" s="191"/>
      <c r="BQ414" s="191"/>
      <c r="BR414" s="191"/>
      <c r="BS414" s="191"/>
      <c r="BT414" s="190"/>
      <c r="BU414" s="190"/>
      <c r="BV414" s="190"/>
      <c r="BW414" s="190"/>
      <c r="BX414" s="190"/>
      <c r="BY414" s="190"/>
      <c r="BZ414" s="190"/>
      <c r="CA414" s="189"/>
      <c r="CB414" s="15"/>
    </row>
    <row r="415" spans="1:80" ht="15" x14ac:dyDescent="0.25">
      <c r="A415" s="167"/>
      <c r="B415" s="642"/>
      <c r="C415" s="642"/>
      <c r="D415" s="179"/>
      <c r="E415" s="169"/>
      <c r="F415" s="169"/>
      <c r="G415" s="186"/>
      <c r="H415" s="187"/>
      <c r="I415" s="187"/>
      <c r="J415" s="187"/>
      <c r="K415" s="187"/>
      <c r="L415" s="647"/>
      <c r="M415" s="646">
        <v>35599</v>
      </c>
      <c r="N415" s="585">
        <v>5.34</v>
      </c>
      <c r="O415" s="585">
        <v>6.0220000000000003E-2</v>
      </c>
      <c r="P415" s="175">
        <v>0</v>
      </c>
      <c r="Q415" s="175">
        <v>0</v>
      </c>
      <c r="R415" s="175">
        <v>5.3600000000000002E-3</v>
      </c>
      <c r="S415" s="175">
        <v>9.5399999999999999E-3</v>
      </c>
      <c r="T415" s="175">
        <v>1.082E-2</v>
      </c>
      <c r="U415" s="175">
        <v>1.1939999999999999E-2</v>
      </c>
      <c r="V415" s="706">
        <v>2.2550000000000001E-2</v>
      </c>
      <c r="W415" s="717"/>
      <c r="X415" s="713"/>
      <c r="Y415" s="718"/>
      <c r="Z415" s="709">
        <v>30</v>
      </c>
      <c r="AA415" s="175"/>
      <c r="AB415" s="200"/>
      <c r="AC415" s="205">
        <v>1.6E-2</v>
      </c>
      <c r="AD415" s="175">
        <v>7.89</v>
      </c>
      <c r="AE415" s="175">
        <v>0.45</v>
      </c>
      <c r="AF415" s="170">
        <f t="shared" si="7"/>
        <v>3.5505</v>
      </c>
      <c r="AG415" s="175">
        <v>1.57</v>
      </c>
      <c r="AH415" s="334"/>
      <c r="AI415" s="188"/>
      <c r="AJ415" s="188"/>
      <c r="AK415" s="188"/>
      <c r="AL415" s="189"/>
      <c r="AM415" s="189"/>
      <c r="AN415" s="189"/>
      <c r="AO415" s="189"/>
      <c r="AP415" s="189"/>
      <c r="AQ415" s="189"/>
      <c r="AR415" s="189"/>
      <c r="AS415" s="189"/>
      <c r="AT415" s="189"/>
      <c r="AU415" s="190"/>
      <c r="AV415" s="190"/>
      <c r="AW415" s="190"/>
      <c r="AX415" s="190"/>
      <c r="AY415" s="190"/>
      <c r="AZ415" s="189"/>
      <c r="BA415" s="189"/>
      <c r="BB415" s="189"/>
      <c r="BC415" s="189"/>
      <c r="BD415" s="189"/>
      <c r="BE415" s="189"/>
      <c r="BF415" s="189"/>
      <c r="BG415" s="189"/>
      <c r="BH415" s="189"/>
      <c r="BI415" s="190"/>
      <c r="BJ415" s="190"/>
      <c r="BK415" s="190"/>
      <c r="BL415" s="190"/>
      <c r="BM415" s="190"/>
      <c r="BN415" s="191"/>
      <c r="BO415" s="191"/>
      <c r="BP415" s="191"/>
      <c r="BQ415" s="191"/>
      <c r="BR415" s="191"/>
      <c r="BS415" s="191"/>
      <c r="BT415" s="190"/>
      <c r="BU415" s="190"/>
      <c r="BV415" s="190"/>
      <c r="BW415" s="190"/>
      <c r="BX415" s="190"/>
      <c r="BY415" s="190"/>
      <c r="BZ415" s="190"/>
      <c r="CA415" s="189"/>
      <c r="CB415" s="15"/>
    </row>
    <row r="416" spans="1:80" ht="15" x14ac:dyDescent="0.25">
      <c r="A416" s="167"/>
      <c r="B416" s="642"/>
      <c r="C416" s="642"/>
      <c r="D416" s="179"/>
      <c r="E416" s="169"/>
      <c r="F416" s="169"/>
      <c r="G416" s="186"/>
      <c r="H416" s="187"/>
      <c r="I416" s="187"/>
      <c r="J416" s="187"/>
      <c r="K416" s="187"/>
      <c r="L416" s="647"/>
      <c r="M416" s="646">
        <v>35600</v>
      </c>
      <c r="N416" s="585">
        <v>5.73</v>
      </c>
      <c r="O416" s="585">
        <v>0.12071999999999999</v>
      </c>
      <c r="P416" s="175">
        <v>0</v>
      </c>
      <c r="Q416" s="175">
        <v>1.1780000000000001E-2</v>
      </c>
      <c r="R416" s="175">
        <v>1.553E-2</v>
      </c>
      <c r="S416" s="175">
        <v>1.899E-2</v>
      </c>
      <c r="T416" s="175">
        <v>1.8450000000000001E-2</v>
      </c>
      <c r="U416" s="175">
        <v>1.9769999999999999E-2</v>
      </c>
      <c r="V416" s="706">
        <v>3.619E-2</v>
      </c>
      <c r="W416" s="717"/>
      <c r="X416" s="713"/>
      <c r="Y416" s="718"/>
      <c r="Z416" s="709">
        <v>43</v>
      </c>
      <c r="AA416" s="175"/>
      <c r="AB416" s="200"/>
      <c r="AC416" s="205">
        <v>1.7000000000000001E-2</v>
      </c>
      <c r="AD416" s="175">
        <v>7.91</v>
      </c>
      <c r="AE416" s="175">
        <v>0.48</v>
      </c>
      <c r="AF416" s="170">
        <f t="shared" si="7"/>
        <v>3.7967999999999997</v>
      </c>
      <c r="AG416" s="175">
        <v>1.6</v>
      </c>
      <c r="AH416" s="334"/>
      <c r="AI416" s="188"/>
      <c r="AJ416" s="188"/>
      <c r="AK416" s="188"/>
      <c r="AL416" s="189"/>
      <c r="AM416" s="189"/>
      <c r="AN416" s="189"/>
      <c r="AO416" s="189"/>
      <c r="AP416" s="189"/>
      <c r="AQ416" s="189"/>
      <c r="AR416" s="189"/>
      <c r="AS416" s="189"/>
      <c r="AT416" s="189"/>
      <c r="AU416" s="190"/>
      <c r="AV416" s="190"/>
      <c r="AW416" s="190"/>
      <c r="AX416" s="190"/>
      <c r="AY416" s="190"/>
      <c r="AZ416" s="189"/>
      <c r="BA416" s="189"/>
      <c r="BB416" s="189"/>
      <c r="BC416" s="189"/>
      <c r="BD416" s="189"/>
      <c r="BE416" s="189"/>
      <c r="BF416" s="189"/>
      <c r="BG416" s="189"/>
      <c r="BH416" s="189"/>
      <c r="BI416" s="190"/>
      <c r="BJ416" s="190"/>
      <c r="BK416" s="190"/>
      <c r="BL416" s="190"/>
      <c r="BM416" s="190"/>
      <c r="BN416" s="191"/>
      <c r="BO416" s="191"/>
      <c r="BP416" s="191"/>
      <c r="BQ416" s="191"/>
      <c r="BR416" s="191"/>
      <c r="BS416" s="191"/>
      <c r="BT416" s="190"/>
      <c r="BU416" s="190"/>
      <c r="BV416" s="190"/>
      <c r="BW416" s="190"/>
      <c r="BX416" s="190"/>
      <c r="BY416" s="190"/>
      <c r="BZ416" s="190"/>
      <c r="CA416" s="189"/>
      <c r="CB416" s="15"/>
    </row>
    <row r="417" spans="1:80" ht="15" x14ac:dyDescent="0.25">
      <c r="A417" s="167"/>
      <c r="B417" s="642"/>
      <c r="C417" s="642"/>
      <c r="D417" s="179"/>
      <c r="E417" s="169"/>
      <c r="F417" s="169"/>
      <c r="G417" s="186"/>
      <c r="H417" s="187"/>
      <c r="I417" s="187"/>
      <c r="J417" s="187"/>
      <c r="K417" s="187"/>
      <c r="L417" s="647"/>
      <c r="M417" s="646">
        <v>35600</v>
      </c>
      <c r="N417" s="585">
        <v>6.99</v>
      </c>
      <c r="O417" s="585">
        <v>0.39756999999999998</v>
      </c>
      <c r="P417" s="175">
        <v>0</v>
      </c>
      <c r="Q417" s="175">
        <v>5.7169999999999999E-2</v>
      </c>
      <c r="R417" s="175">
        <v>6.4019999999999994E-2</v>
      </c>
      <c r="S417" s="175">
        <v>6.0740000000000002E-2</v>
      </c>
      <c r="T417" s="175">
        <v>5.704E-2</v>
      </c>
      <c r="U417" s="175">
        <v>5.6210000000000003E-2</v>
      </c>
      <c r="V417" s="706">
        <v>0.10238999999999999</v>
      </c>
      <c r="W417" s="717"/>
      <c r="X417" s="713"/>
      <c r="Y417" s="718"/>
      <c r="Z417" s="709">
        <v>63</v>
      </c>
      <c r="AA417" s="175"/>
      <c r="AB417" s="200"/>
      <c r="AC417" s="205">
        <v>1.4999999999999999E-2</v>
      </c>
      <c r="AD417" s="175">
        <v>7.92</v>
      </c>
      <c r="AE417" s="175">
        <v>0.52</v>
      </c>
      <c r="AF417" s="170">
        <f t="shared" si="7"/>
        <v>4.1184000000000003</v>
      </c>
      <c r="AG417" s="175">
        <v>1.75</v>
      </c>
      <c r="AH417" s="334"/>
      <c r="AI417" s="188"/>
      <c r="AJ417" s="188"/>
      <c r="AK417" s="188"/>
      <c r="AL417" s="189"/>
      <c r="AM417" s="189"/>
      <c r="AN417" s="189"/>
      <c r="AO417" s="189"/>
      <c r="AP417" s="189"/>
      <c r="AQ417" s="189"/>
      <c r="AR417" s="189"/>
      <c r="AS417" s="189"/>
      <c r="AT417" s="189"/>
      <c r="AU417" s="190"/>
      <c r="AV417" s="190"/>
      <c r="AW417" s="190"/>
      <c r="AX417" s="190"/>
      <c r="AY417" s="190"/>
      <c r="AZ417" s="189"/>
      <c r="BA417" s="189"/>
      <c r="BB417" s="189"/>
      <c r="BC417" s="189"/>
      <c r="BD417" s="189"/>
      <c r="BE417" s="189"/>
      <c r="BF417" s="189"/>
      <c r="BG417" s="189"/>
      <c r="BH417" s="189"/>
      <c r="BI417" s="190"/>
      <c r="BJ417" s="190"/>
      <c r="BK417" s="190"/>
      <c r="BL417" s="190"/>
      <c r="BM417" s="190"/>
      <c r="BN417" s="191"/>
      <c r="BO417" s="191"/>
      <c r="BP417" s="191"/>
      <c r="BQ417" s="191"/>
      <c r="BR417" s="191"/>
      <c r="BS417" s="191"/>
      <c r="BT417" s="190"/>
      <c r="BU417" s="190"/>
      <c r="BV417" s="190"/>
      <c r="BW417" s="190"/>
      <c r="BX417" s="190"/>
      <c r="BY417" s="190"/>
      <c r="BZ417" s="190"/>
      <c r="CA417" s="189"/>
      <c r="CB417" s="15"/>
    </row>
    <row r="418" spans="1:80" ht="15" x14ac:dyDescent="0.25">
      <c r="A418" s="167"/>
      <c r="B418" s="642"/>
      <c r="C418" s="642"/>
      <c r="D418" s="179"/>
      <c r="E418" s="169"/>
      <c r="F418" s="169"/>
      <c r="G418" s="186"/>
      <c r="H418" s="187"/>
      <c r="I418" s="187"/>
      <c r="J418" s="187"/>
      <c r="K418" s="187"/>
      <c r="L418" s="647"/>
      <c r="M418" s="646">
        <v>35601</v>
      </c>
      <c r="N418" s="585">
        <v>6.68</v>
      </c>
      <c r="O418" s="585">
        <v>0.39227000000000001</v>
      </c>
      <c r="P418" s="175">
        <v>1.9310000000000001E-2</v>
      </c>
      <c r="Q418" s="175">
        <v>5.3949999999999998E-2</v>
      </c>
      <c r="R418" s="175">
        <v>7.7060000000000003E-2</v>
      </c>
      <c r="S418" s="175">
        <v>6.0440000000000001E-2</v>
      </c>
      <c r="T418" s="175">
        <v>5.0229999999999997E-2</v>
      </c>
      <c r="U418" s="175">
        <v>5.1339999999999997E-2</v>
      </c>
      <c r="V418" s="706">
        <v>7.9930000000000001E-2</v>
      </c>
      <c r="W418" s="717"/>
      <c r="X418" s="713"/>
      <c r="Y418" s="718"/>
      <c r="Z418" s="709">
        <v>75</v>
      </c>
      <c r="AA418" s="175"/>
      <c r="AB418" s="200"/>
      <c r="AC418" s="205">
        <v>1.4999999999999999E-2</v>
      </c>
      <c r="AD418" s="175">
        <v>8.0299999999999994</v>
      </c>
      <c r="AE418" s="175">
        <v>0.52</v>
      </c>
      <c r="AF418" s="170">
        <f t="shared" si="7"/>
        <v>4.1756000000000002</v>
      </c>
      <c r="AG418" s="175">
        <v>1.73</v>
      </c>
      <c r="AH418" s="334"/>
      <c r="AI418" s="188"/>
      <c r="AJ418" s="188"/>
      <c r="AK418" s="188"/>
      <c r="AL418" s="189"/>
      <c r="AM418" s="189"/>
      <c r="AN418" s="189"/>
      <c r="AO418" s="189"/>
      <c r="AP418" s="189"/>
      <c r="AQ418" s="189"/>
      <c r="AR418" s="189"/>
      <c r="AS418" s="189"/>
      <c r="AT418" s="189"/>
      <c r="AU418" s="190"/>
      <c r="AV418" s="190"/>
      <c r="AW418" s="190"/>
      <c r="AX418" s="190"/>
      <c r="AY418" s="190"/>
      <c r="AZ418" s="189"/>
      <c r="BA418" s="189"/>
      <c r="BB418" s="189"/>
      <c r="BC418" s="189"/>
      <c r="BD418" s="189"/>
      <c r="BE418" s="189"/>
      <c r="BF418" s="189"/>
      <c r="BG418" s="189"/>
      <c r="BH418" s="189"/>
      <c r="BI418" s="190"/>
      <c r="BJ418" s="190"/>
      <c r="BK418" s="190"/>
      <c r="BL418" s="190"/>
      <c r="BM418" s="190"/>
      <c r="BN418" s="191"/>
      <c r="BO418" s="191"/>
      <c r="BP418" s="191"/>
      <c r="BQ418" s="191"/>
      <c r="BR418" s="191"/>
      <c r="BS418" s="191"/>
      <c r="BT418" s="190"/>
      <c r="BU418" s="190"/>
      <c r="BV418" s="190"/>
      <c r="BW418" s="190"/>
      <c r="BX418" s="190"/>
      <c r="BY418" s="190"/>
      <c r="BZ418" s="190"/>
      <c r="CA418" s="189"/>
      <c r="CB418" s="15"/>
    </row>
    <row r="419" spans="1:80" ht="15" x14ac:dyDescent="0.25">
      <c r="A419" s="167"/>
      <c r="B419" s="642"/>
      <c r="C419" s="642"/>
      <c r="D419" s="179"/>
      <c r="E419" s="169"/>
      <c r="F419" s="169"/>
      <c r="G419" s="186"/>
      <c r="H419" s="187"/>
      <c r="I419" s="187"/>
      <c r="J419" s="187"/>
      <c r="K419" s="187"/>
      <c r="L419" s="647"/>
      <c r="M419" s="646">
        <v>35602</v>
      </c>
      <c r="N419" s="585">
        <v>6.33</v>
      </c>
      <c r="O419" s="585">
        <v>0.15382000000000001</v>
      </c>
      <c r="P419" s="175">
        <v>0</v>
      </c>
      <c r="Q419" s="175">
        <v>2.2089999999999999E-2</v>
      </c>
      <c r="R419" s="175">
        <v>2.453E-2</v>
      </c>
      <c r="S419" s="175">
        <v>2.4279999999999999E-2</v>
      </c>
      <c r="T419" s="175">
        <v>2.2409999999999999E-2</v>
      </c>
      <c r="U419" s="175">
        <v>2.2450000000000001E-2</v>
      </c>
      <c r="V419" s="706">
        <v>3.807E-2</v>
      </c>
      <c r="W419" s="717"/>
      <c r="X419" s="713"/>
      <c r="Y419" s="718"/>
      <c r="Z419" s="709">
        <v>62</v>
      </c>
      <c r="AA419" s="175"/>
      <c r="AB419" s="200"/>
      <c r="AC419" s="205">
        <v>1.4E-2</v>
      </c>
      <c r="AD419" s="175">
        <v>7.98</v>
      </c>
      <c r="AE419" s="175">
        <v>0.51</v>
      </c>
      <c r="AF419" s="170">
        <f t="shared" si="7"/>
        <v>4.0697999999999999</v>
      </c>
      <c r="AG419" s="175">
        <v>1.65</v>
      </c>
      <c r="AH419" s="334"/>
      <c r="AI419" s="188"/>
      <c r="AJ419" s="188"/>
      <c r="AK419" s="188"/>
      <c r="AL419" s="189"/>
      <c r="AM419" s="189"/>
      <c r="AN419" s="189"/>
      <c r="AO419" s="189"/>
      <c r="AP419" s="189"/>
      <c r="AQ419" s="189"/>
      <c r="AR419" s="189"/>
      <c r="AS419" s="189"/>
      <c r="AT419" s="189"/>
      <c r="AU419" s="190"/>
      <c r="AV419" s="190"/>
      <c r="AW419" s="190"/>
      <c r="AX419" s="190"/>
      <c r="AY419" s="190"/>
      <c r="AZ419" s="189"/>
      <c r="BA419" s="189"/>
      <c r="BB419" s="189"/>
      <c r="BC419" s="189"/>
      <c r="BD419" s="189"/>
      <c r="BE419" s="189"/>
      <c r="BF419" s="189"/>
      <c r="BG419" s="189"/>
      <c r="BH419" s="189"/>
      <c r="BI419" s="190"/>
      <c r="BJ419" s="190"/>
      <c r="BK419" s="190"/>
      <c r="BL419" s="190"/>
      <c r="BM419" s="190"/>
      <c r="BN419" s="191"/>
      <c r="BO419" s="191"/>
      <c r="BP419" s="191"/>
      <c r="BQ419" s="191"/>
      <c r="BR419" s="191"/>
      <c r="BS419" s="191"/>
      <c r="BT419" s="190"/>
      <c r="BU419" s="190"/>
      <c r="BV419" s="190"/>
      <c r="BW419" s="190"/>
      <c r="BX419" s="190"/>
      <c r="BY419" s="190"/>
      <c r="BZ419" s="190"/>
      <c r="CA419" s="189"/>
      <c r="CB419" s="15"/>
    </row>
    <row r="420" spans="1:80" ht="15" x14ac:dyDescent="0.25">
      <c r="A420" s="167"/>
      <c r="B420" s="642"/>
      <c r="C420" s="642"/>
      <c r="D420" s="179"/>
      <c r="E420" s="169"/>
      <c r="F420" s="169"/>
      <c r="G420" s="186"/>
      <c r="H420" s="187"/>
      <c r="I420" s="187"/>
      <c r="J420" s="187"/>
      <c r="K420" s="187"/>
      <c r="L420" s="647"/>
      <c r="M420" s="646">
        <v>35603</v>
      </c>
      <c r="N420" s="585">
        <v>7.15</v>
      </c>
      <c r="O420" s="585">
        <v>0.41372999999999999</v>
      </c>
      <c r="P420" s="175">
        <v>0</v>
      </c>
      <c r="Q420" s="175">
        <v>8.1540000000000001E-2</v>
      </c>
      <c r="R420" s="175">
        <v>6.4390000000000003E-2</v>
      </c>
      <c r="S420" s="175">
        <v>7.4200000000000002E-2</v>
      </c>
      <c r="T420" s="175">
        <v>6.8080000000000002E-2</v>
      </c>
      <c r="U420" s="175">
        <v>5.9560000000000002E-2</v>
      </c>
      <c r="V420" s="706">
        <v>6.5960000000000005E-2</v>
      </c>
      <c r="W420" s="717"/>
      <c r="X420" s="713"/>
      <c r="Y420" s="718"/>
      <c r="Z420" s="709">
        <v>68</v>
      </c>
      <c r="AA420" s="175"/>
      <c r="AB420" s="200"/>
      <c r="AC420" s="205">
        <v>1.2999999999999999E-2</v>
      </c>
      <c r="AD420" s="175">
        <v>8</v>
      </c>
      <c r="AE420" s="175">
        <v>0.53</v>
      </c>
      <c r="AF420" s="170">
        <f t="shared" si="7"/>
        <v>4.24</v>
      </c>
      <c r="AG420" s="175">
        <v>1.66</v>
      </c>
      <c r="AH420" s="334"/>
      <c r="AI420" s="188"/>
      <c r="AJ420" s="188"/>
      <c r="AK420" s="188"/>
      <c r="AL420" s="189"/>
      <c r="AM420" s="189"/>
      <c r="AN420" s="189"/>
      <c r="AO420" s="189"/>
      <c r="AP420" s="189"/>
      <c r="AQ420" s="189"/>
      <c r="AR420" s="189"/>
      <c r="AS420" s="189"/>
      <c r="AT420" s="189"/>
      <c r="AU420" s="190"/>
      <c r="AV420" s="190"/>
      <c r="AW420" s="190"/>
      <c r="AX420" s="190"/>
      <c r="AY420" s="190"/>
      <c r="AZ420" s="189"/>
      <c r="BA420" s="189"/>
      <c r="BB420" s="189"/>
      <c r="BC420" s="189"/>
      <c r="BD420" s="189"/>
      <c r="BE420" s="189"/>
      <c r="BF420" s="189"/>
      <c r="BG420" s="189"/>
      <c r="BH420" s="189"/>
      <c r="BI420" s="190"/>
      <c r="BJ420" s="190"/>
      <c r="BK420" s="190"/>
      <c r="BL420" s="190"/>
      <c r="BM420" s="190"/>
      <c r="BN420" s="191"/>
      <c r="BO420" s="191"/>
      <c r="BP420" s="191"/>
      <c r="BQ420" s="191"/>
      <c r="BR420" s="191"/>
      <c r="BS420" s="191"/>
      <c r="BT420" s="190"/>
      <c r="BU420" s="190"/>
      <c r="BV420" s="190"/>
      <c r="BW420" s="190"/>
      <c r="BX420" s="190"/>
      <c r="BY420" s="190"/>
      <c r="BZ420" s="190"/>
      <c r="CA420" s="189"/>
      <c r="CB420" s="15"/>
    </row>
    <row r="421" spans="1:80" ht="15" x14ac:dyDescent="0.25">
      <c r="A421" s="167"/>
      <c r="B421" s="642"/>
      <c r="C421" s="642"/>
      <c r="D421" s="179"/>
      <c r="E421" s="169"/>
      <c r="F421" s="169"/>
      <c r="G421" s="186"/>
      <c r="H421" s="187"/>
      <c r="I421" s="187"/>
      <c r="J421" s="187"/>
      <c r="K421" s="187"/>
      <c r="L421" s="647"/>
      <c r="M421" s="646">
        <v>35604</v>
      </c>
      <c r="N421" s="585">
        <v>6.41</v>
      </c>
      <c r="O421" s="585">
        <v>0.15659000000000001</v>
      </c>
      <c r="P421" s="175">
        <v>0</v>
      </c>
      <c r="Q421" s="175">
        <v>4.0509999999999997E-2</v>
      </c>
      <c r="R421" s="175">
        <v>3.0370000000000001E-2</v>
      </c>
      <c r="S421" s="175">
        <v>2.3720000000000001E-2</v>
      </c>
      <c r="T421" s="175">
        <v>1.9720000000000001E-2</v>
      </c>
      <c r="U421" s="175">
        <v>1.7489999999999999E-2</v>
      </c>
      <c r="V421" s="706">
        <v>2.479E-2</v>
      </c>
      <c r="W421" s="717"/>
      <c r="X421" s="713"/>
      <c r="Y421" s="718"/>
      <c r="Z421" s="709">
        <v>58</v>
      </c>
      <c r="AA421" s="175"/>
      <c r="AB421" s="200"/>
      <c r="AC421" s="205">
        <v>1.7999999999999999E-2</v>
      </c>
      <c r="AD421" s="175">
        <v>7.97</v>
      </c>
      <c r="AE421" s="175">
        <v>0.51</v>
      </c>
      <c r="AF421" s="170">
        <f t="shared" si="7"/>
        <v>4.0647000000000002</v>
      </c>
      <c r="AG421" s="175">
        <v>1.56</v>
      </c>
      <c r="AH421" s="334"/>
      <c r="AI421" s="188"/>
      <c r="AJ421" s="188"/>
      <c r="AK421" s="188"/>
      <c r="AL421" s="189"/>
      <c r="AM421" s="189"/>
      <c r="AN421" s="189"/>
      <c r="AO421" s="189"/>
      <c r="AP421" s="189"/>
      <c r="AQ421" s="189"/>
      <c r="AR421" s="189"/>
      <c r="AS421" s="189"/>
      <c r="AT421" s="189"/>
      <c r="AU421" s="190"/>
      <c r="AV421" s="190"/>
      <c r="AW421" s="190"/>
      <c r="AX421" s="190"/>
      <c r="AY421" s="190"/>
      <c r="AZ421" s="189"/>
      <c r="BA421" s="189"/>
      <c r="BB421" s="189"/>
      <c r="BC421" s="189"/>
      <c r="BD421" s="189"/>
      <c r="BE421" s="189"/>
      <c r="BF421" s="189"/>
      <c r="BG421" s="189"/>
      <c r="BH421" s="189"/>
      <c r="BI421" s="190"/>
      <c r="BJ421" s="190"/>
      <c r="BK421" s="190"/>
      <c r="BL421" s="190"/>
      <c r="BM421" s="190"/>
      <c r="BN421" s="191"/>
      <c r="BO421" s="191"/>
      <c r="BP421" s="191"/>
      <c r="BQ421" s="191"/>
      <c r="BR421" s="191"/>
      <c r="BS421" s="191"/>
      <c r="BT421" s="190"/>
      <c r="BU421" s="190"/>
      <c r="BV421" s="190"/>
      <c r="BW421" s="190"/>
      <c r="BX421" s="190"/>
      <c r="BY421" s="190"/>
      <c r="BZ421" s="190"/>
      <c r="CA421" s="189"/>
      <c r="CB421" s="15"/>
    </row>
    <row r="422" spans="1:80" ht="15" x14ac:dyDescent="0.25">
      <c r="A422" s="167"/>
      <c r="B422" s="642"/>
      <c r="C422" s="642"/>
      <c r="D422" s="179"/>
      <c r="E422" s="169"/>
      <c r="F422" s="169"/>
      <c r="G422" s="186"/>
      <c r="H422" s="187"/>
      <c r="I422" s="187"/>
      <c r="J422" s="187"/>
      <c r="K422" s="187"/>
      <c r="L422" s="647"/>
      <c r="M422" s="646">
        <v>35606</v>
      </c>
      <c r="N422" s="585">
        <v>5.77</v>
      </c>
      <c r="O422" s="585">
        <v>0.11414000000000001</v>
      </c>
      <c r="P422" s="175">
        <v>1.414E-2</v>
      </c>
      <c r="Q422" s="175">
        <v>1.56E-3</v>
      </c>
      <c r="R422" s="175">
        <v>1.975E-2</v>
      </c>
      <c r="S422" s="175">
        <v>1.3599999999999999E-2</v>
      </c>
      <c r="T422" s="175">
        <v>1.5879999999999998E-2</v>
      </c>
      <c r="U422" s="175">
        <v>1.8429999999999998E-2</v>
      </c>
      <c r="V422" s="706">
        <v>3.0769999999999999E-2</v>
      </c>
      <c r="W422" s="717"/>
      <c r="X422" s="713"/>
      <c r="Y422" s="718"/>
      <c r="Z422" s="709">
        <v>62</v>
      </c>
      <c r="AA422" s="175"/>
      <c r="AB422" s="200"/>
      <c r="AC422" s="205">
        <v>1.7000000000000001E-2</v>
      </c>
      <c r="AD422" s="175">
        <v>7.92</v>
      </c>
      <c r="AE422" s="175">
        <v>0.47</v>
      </c>
      <c r="AF422" s="170">
        <f t="shared" si="7"/>
        <v>3.7223999999999999</v>
      </c>
      <c r="AG422" s="175">
        <v>1.52</v>
      </c>
      <c r="AH422" s="334"/>
      <c r="AI422" s="188"/>
      <c r="AJ422" s="188"/>
      <c r="AK422" s="188"/>
      <c r="AL422" s="189"/>
      <c r="AM422" s="189"/>
      <c r="AN422" s="189"/>
      <c r="AO422" s="189"/>
      <c r="AP422" s="189"/>
      <c r="AQ422" s="189"/>
      <c r="AR422" s="189"/>
      <c r="AS422" s="189"/>
      <c r="AT422" s="189"/>
      <c r="AU422" s="190"/>
      <c r="AV422" s="190"/>
      <c r="AW422" s="190"/>
      <c r="AX422" s="190"/>
      <c r="AY422" s="190"/>
      <c r="AZ422" s="189"/>
      <c r="BA422" s="189"/>
      <c r="BB422" s="189"/>
      <c r="BC422" s="189"/>
      <c r="BD422" s="189"/>
      <c r="BE422" s="189"/>
      <c r="BF422" s="189"/>
      <c r="BG422" s="189"/>
      <c r="BH422" s="189"/>
      <c r="BI422" s="190"/>
      <c r="BJ422" s="190"/>
      <c r="BK422" s="190"/>
      <c r="BL422" s="190"/>
      <c r="BM422" s="190"/>
      <c r="BN422" s="191"/>
      <c r="BO422" s="191"/>
      <c r="BP422" s="191"/>
      <c r="BQ422" s="191"/>
      <c r="BR422" s="191"/>
      <c r="BS422" s="191"/>
      <c r="BT422" s="190"/>
      <c r="BU422" s="190"/>
      <c r="BV422" s="190"/>
      <c r="BW422" s="190"/>
      <c r="BX422" s="190"/>
      <c r="BY422" s="190"/>
      <c r="BZ422" s="190"/>
      <c r="CA422" s="189"/>
      <c r="CB422" s="15"/>
    </row>
    <row r="423" spans="1:80" ht="15" x14ac:dyDescent="0.25">
      <c r="A423" s="167"/>
      <c r="B423" s="642"/>
      <c r="C423" s="642"/>
      <c r="D423" s="179"/>
      <c r="E423" s="169"/>
      <c r="F423" s="169"/>
      <c r="G423" s="186"/>
      <c r="H423" s="187"/>
      <c r="I423" s="187"/>
      <c r="J423" s="187"/>
      <c r="K423" s="187"/>
      <c r="L423" s="647"/>
      <c r="M423" s="646">
        <v>35607</v>
      </c>
      <c r="N423" s="585">
        <v>5.44</v>
      </c>
      <c r="O423" s="585">
        <v>7.4370000000000006E-2</v>
      </c>
      <c r="P423" s="175">
        <v>0</v>
      </c>
      <c r="Q423" s="175">
        <v>1.56E-3</v>
      </c>
      <c r="R423" s="175">
        <v>1.1820000000000001E-2</v>
      </c>
      <c r="S423" s="175">
        <v>1.3140000000000001E-2</v>
      </c>
      <c r="T423" s="175">
        <v>1.453E-2</v>
      </c>
      <c r="U423" s="175">
        <v>1.3679999999999999E-2</v>
      </c>
      <c r="V423" s="706">
        <v>1.9650000000000001E-2</v>
      </c>
      <c r="W423" s="717"/>
      <c r="X423" s="713"/>
      <c r="Y423" s="718"/>
      <c r="Z423" s="709">
        <v>42</v>
      </c>
      <c r="AA423" s="175"/>
      <c r="AB423" s="200"/>
      <c r="AC423" s="205">
        <v>1.4999999999999999E-2</v>
      </c>
      <c r="AD423" s="175">
        <v>7.89</v>
      </c>
      <c r="AE423" s="175">
        <v>0.46</v>
      </c>
      <c r="AF423" s="170">
        <f t="shared" si="7"/>
        <v>3.6294</v>
      </c>
      <c r="AG423" s="175">
        <v>1.47</v>
      </c>
      <c r="AH423" s="334"/>
      <c r="AI423" s="188"/>
      <c r="AJ423" s="188"/>
      <c r="AK423" s="188"/>
      <c r="AL423" s="189"/>
      <c r="AM423" s="189"/>
      <c r="AN423" s="189"/>
      <c r="AO423" s="189"/>
      <c r="AP423" s="189"/>
      <c r="AQ423" s="189"/>
      <c r="AR423" s="189"/>
      <c r="AS423" s="189"/>
      <c r="AT423" s="189"/>
      <c r="AU423" s="190"/>
      <c r="AV423" s="190"/>
      <c r="AW423" s="190"/>
      <c r="AX423" s="190"/>
      <c r="AY423" s="190"/>
      <c r="AZ423" s="189"/>
      <c r="BA423" s="189"/>
      <c r="BB423" s="189"/>
      <c r="BC423" s="189"/>
      <c r="BD423" s="189"/>
      <c r="BE423" s="189"/>
      <c r="BF423" s="189"/>
      <c r="BG423" s="189"/>
      <c r="BH423" s="189"/>
      <c r="BI423" s="190"/>
      <c r="BJ423" s="190"/>
      <c r="BK423" s="190"/>
      <c r="BL423" s="190"/>
      <c r="BM423" s="190"/>
      <c r="BN423" s="191"/>
      <c r="BO423" s="191"/>
      <c r="BP423" s="191"/>
      <c r="BQ423" s="191"/>
      <c r="BR423" s="191"/>
      <c r="BS423" s="191"/>
      <c r="BT423" s="190"/>
      <c r="BU423" s="190"/>
      <c r="BV423" s="190"/>
      <c r="BW423" s="190"/>
      <c r="BX423" s="190"/>
      <c r="BY423" s="190"/>
      <c r="BZ423" s="190"/>
      <c r="CA423" s="189"/>
      <c r="CB423" s="15"/>
    </row>
    <row r="424" spans="1:80" ht="15" x14ac:dyDescent="0.25">
      <c r="A424" s="167"/>
      <c r="B424" s="642"/>
      <c r="C424" s="642"/>
      <c r="D424" s="179"/>
      <c r="E424" s="169"/>
      <c r="F424" s="169"/>
      <c r="G424" s="186"/>
      <c r="H424" s="187"/>
      <c r="I424" s="187"/>
      <c r="J424" s="187"/>
      <c r="K424" s="187"/>
      <c r="L424" s="647"/>
      <c r="M424" s="646">
        <v>35611</v>
      </c>
      <c r="N424" s="585">
        <v>4.88</v>
      </c>
      <c r="O424" s="585">
        <v>2.4070000000000001E-2</v>
      </c>
      <c r="P424" s="175">
        <v>0</v>
      </c>
      <c r="Q424" s="175">
        <v>0</v>
      </c>
      <c r="R424" s="175">
        <v>2.7100000000000002E-3</v>
      </c>
      <c r="S424" s="175">
        <v>4.7800000000000004E-3</v>
      </c>
      <c r="T424" s="175">
        <v>4.5399999999999998E-3</v>
      </c>
      <c r="U424" s="175">
        <v>5.1399999999999996E-3</v>
      </c>
      <c r="V424" s="706">
        <v>6.9100000000000003E-3</v>
      </c>
      <c r="W424" s="717"/>
      <c r="X424" s="713"/>
      <c r="Y424" s="718"/>
      <c r="Z424" s="709">
        <v>23</v>
      </c>
      <c r="AA424" s="175"/>
      <c r="AB424" s="200"/>
      <c r="AC424" s="205">
        <v>1.4999999999999999E-2</v>
      </c>
      <c r="AD424" s="175">
        <v>7.83</v>
      </c>
      <c r="AE424" s="175">
        <v>0.42</v>
      </c>
      <c r="AF424" s="170">
        <f t="shared" si="7"/>
        <v>3.2885999999999997</v>
      </c>
      <c r="AG424" s="175">
        <v>1.38</v>
      </c>
      <c r="AH424" s="334"/>
      <c r="AI424" s="188"/>
      <c r="AJ424" s="188"/>
      <c r="AK424" s="188"/>
      <c r="AL424" s="189"/>
      <c r="AM424" s="189"/>
      <c r="AN424" s="189"/>
      <c r="AO424" s="189"/>
      <c r="AP424" s="189"/>
      <c r="AQ424" s="189"/>
      <c r="AR424" s="189"/>
      <c r="AS424" s="189"/>
      <c r="AT424" s="189"/>
      <c r="AU424" s="190"/>
      <c r="AV424" s="190"/>
      <c r="AW424" s="190"/>
      <c r="AX424" s="190"/>
      <c r="AY424" s="190"/>
      <c r="AZ424" s="189"/>
      <c r="BA424" s="189"/>
      <c r="BB424" s="189"/>
      <c r="BC424" s="189"/>
      <c r="BD424" s="189"/>
      <c r="BE424" s="189"/>
      <c r="BF424" s="189"/>
      <c r="BG424" s="189"/>
      <c r="BH424" s="189"/>
      <c r="BI424" s="190"/>
      <c r="BJ424" s="190"/>
      <c r="BK424" s="190"/>
      <c r="BL424" s="190"/>
      <c r="BM424" s="190"/>
      <c r="BN424" s="191"/>
      <c r="BO424" s="191"/>
      <c r="BP424" s="191"/>
      <c r="BQ424" s="191"/>
      <c r="BR424" s="191"/>
      <c r="BS424" s="191"/>
      <c r="BT424" s="190"/>
      <c r="BU424" s="190"/>
      <c r="BV424" s="190"/>
      <c r="BW424" s="190"/>
      <c r="BX424" s="190"/>
      <c r="BY424" s="190"/>
      <c r="BZ424" s="190"/>
      <c r="CA424" s="189"/>
      <c r="CB424" s="15"/>
    </row>
    <row r="425" spans="1:80" ht="15" x14ac:dyDescent="0.25">
      <c r="A425" s="167"/>
      <c r="B425" s="642"/>
      <c r="C425" s="642"/>
      <c r="D425" s="179"/>
      <c r="E425" s="169"/>
      <c r="F425" s="169"/>
      <c r="G425" s="186"/>
      <c r="H425" s="187"/>
      <c r="I425" s="187"/>
      <c r="J425" s="187"/>
      <c r="K425" s="187"/>
      <c r="L425" s="647"/>
      <c r="M425" s="646">
        <v>35612</v>
      </c>
      <c r="N425" s="585">
        <v>4.37</v>
      </c>
      <c r="O425" s="585">
        <v>8.8599999999999998E-3</v>
      </c>
      <c r="P425" s="175">
        <v>0</v>
      </c>
      <c r="Q425" s="175">
        <v>0</v>
      </c>
      <c r="R425" s="175">
        <v>1.2700000000000001E-3</v>
      </c>
      <c r="S425" s="175">
        <v>1.91E-3</v>
      </c>
      <c r="T425" s="175">
        <v>1.6999999999999999E-3</v>
      </c>
      <c r="U425" s="175">
        <v>1.66E-3</v>
      </c>
      <c r="V425" s="706">
        <v>2.33E-3</v>
      </c>
      <c r="W425" s="717"/>
      <c r="X425" s="713"/>
      <c r="Y425" s="718"/>
      <c r="Z425" s="709">
        <v>23</v>
      </c>
      <c r="AA425" s="175"/>
      <c r="AB425" s="200"/>
      <c r="AC425" s="205">
        <v>1.4999999999999999E-2</v>
      </c>
      <c r="AD425" s="175">
        <v>7.63</v>
      </c>
      <c r="AE425" s="175">
        <v>0.41</v>
      </c>
      <c r="AF425" s="170">
        <f t="shared" si="7"/>
        <v>3.1282999999999999</v>
      </c>
      <c r="AG425" s="175">
        <v>1.27</v>
      </c>
      <c r="AH425" s="334"/>
      <c r="AI425" s="188"/>
      <c r="AJ425" s="188"/>
      <c r="AK425" s="188"/>
      <c r="AL425" s="189"/>
      <c r="AM425" s="189"/>
      <c r="AN425" s="189"/>
      <c r="AO425" s="189"/>
      <c r="AP425" s="189"/>
      <c r="AQ425" s="189"/>
      <c r="AR425" s="189"/>
      <c r="AS425" s="189"/>
      <c r="AT425" s="189"/>
      <c r="AU425" s="190"/>
      <c r="AV425" s="190"/>
      <c r="AW425" s="190"/>
      <c r="AX425" s="190"/>
      <c r="AY425" s="190"/>
      <c r="AZ425" s="189"/>
      <c r="BA425" s="189"/>
      <c r="BB425" s="189"/>
      <c r="BC425" s="189"/>
      <c r="BD425" s="189"/>
      <c r="BE425" s="189"/>
      <c r="BF425" s="189"/>
      <c r="BG425" s="189"/>
      <c r="BH425" s="189"/>
      <c r="BI425" s="190"/>
      <c r="BJ425" s="190"/>
      <c r="BK425" s="190"/>
      <c r="BL425" s="190"/>
      <c r="BM425" s="190"/>
      <c r="BN425" s="191"/>
      <c r="BO425" s="191"/>
      <c r="BP425" s="191"/>
      <c r="BQ425" s="191"/>
      <c r="BR425" s="191"/>
      <c r="BS425" s="191"/>
      <c r="BT425" s="190"/>
      <c r="BU425" s="190"/>
      <c r="BV425" s="190"/>
      <c r="BW425" s="190"/>
      <c r="BX425" s="190"/>
      <c r="BY425" s="190"/>
      <c r="BZ425" s="190"/>
      <c r="CA425" s="189"/>
      <c r="CB425" s="15"/>
    </row>
    <row r="426" spans="1:80" ht="15" x14ac:dyDescent="0.25">
      <c r="A426" s="202"/>
      <c r="B426" s="195"/>
      <c r="C426" s="195"/>
      <c r="D426" s="695"/>
      <c r="E426" s="196"/>
      <c r="F426" s="196"/>
      <c r="G426" s="197"/>
      <c r="H426" s="198"/>
      <c r="I426" s="198"/>
      <c r="J426" s="198"/>
      <c r="K426" s="198"/>
      <c r="L426" s="649"/>
      <c r="M426" s="651">
        <v>35613</v>
      </c>
      <c r="N426" s="589">
        <v>2.71</v>
      </c>
      <c r="O426" s="589">
        <v>2.2450000000000001E-2</v>
      </c>
      <c r="P426" s="193">
        <v>0</v>
      </c>
      <c r="Q426" s="193">
        <v>0</v>
      </c>
      <c r="R426" s="193">
        <v>3.81E-3</v>
      </c>
      <c r="S426" s="193">
        <v>5.2399999999999999E-3</v>
      </c>
      <c r="T426" s="193">
        <v>4.3099999999999996E-3</v>
      </c>
      <c r="U426" s="193">
        <v>4.3699999999999998E-3</v>
      </c>
      <c r="V426" s="707">
        <v>4.7200000000000002E-3</v>
      </c>
      <c r="W426" s="719"/>
      <c r="X426" s="720"/>
      <c r="Y426" s="721"/>
      <c r="Z426" s="710">
        <v>35</v>
      </c>
      <c r="AA426" s="193"/>
      <c r="AB426" s="203"/>
      <c r="AC426" s="207">
        <v>1.0999999999999999E-2</v>
      </c>
      <c r="AD426" s="193">
        <v>7.2</v>
      </c>
      <c r="AE426" s="193">
        <v>0.31</v>
      </c>
      <c r="AF426" s="208">
        <f t="shared" si="7"/>
        <v>2.2320000000000002</v>
      </c>
      <c r="AG426" s="193">
        <v>1.08</v>
      </c>
      <c r="AH426" s="334"/>
      <c r="AI426" s="188"/>
      <c r="AJ426" s="188"/>
      <c r="AK426" s="188"/>
      <c r="AL426" s="189"/>
      <c r="AM426" s="189"/>
      <c r="AN426" s="189"/>
      <c r="AO426" s="189"/>
      <c r="AP426" s="189"/>
      <c r="AQ426" s="189"/>
      <c r="AR426" s="189"/>
      <c r="AS426" s="189"/>
      <c r="AT426" s="189"/>
      <c r="AU426" s="190"/>
      <c r="AV426" s="190"/>
      <c r="AW426" s="190"/>
      <c r="AX426" s="190"/>
      <c r="AY426" s="190"/>
      <c r="AZ426" s="189"/>
      <c r="BA426" s="189"/>
      <c r="BB426" s="189"/>
      <c r="BC426" s="189"/>
      <c r="BD426" s="189"/>
      <c r="BE426" s="189"/>
      <c r="BF426" s="189"/>
      <c r="BG426" s="189"/>
      <c r="BH426" s="189"/>
      <c r="BI426" s="190"/>
      <c r="BJ426" s="190"/>
      <c r="BK426" s="190"/>
      <c r="BL426" s="190"/>
      <c r="BM426" s="190"/>
      <c r="BN426" s="191"/>
      <c r="BO426" s="191"/>
      <c r="BP426" s="191"/>
      <c r="BQ426" s="191"/>
      <c r="BR426" s="191"/>
      <c r="BS426" s="191"/>
      <c r="BT426" s="190"/>
      <c r="BU426" s="190"/>
      <c r="BV426" s="190"/>
      <c r="BW426" s="190"/>
      <c r="BX426" s="190"/>
      <c r="BY426" s="190"/>
      <c r="BZ426" s="190"/>
      <c r="CA426" s="189"/>
      <c r="CB426" s="15"/>
    </row>
    <row r="427" spans="1:80" ht="15" x14ac:dyDescent="0.25">
      <c r="A427" s="9" t="s">
        <v>45</v>
      </c>
      <c r="B427" s="639" t="s">
        <v>34</v>
      </c>
      <c r="C427" s="639"/>
      <c r="D427" s="4">
        <f>VLOOKUP(E427,'Quality Code'!D4:E24,2,TRUE)*VLOOKUP(MROUND(F427,10),'Quality Code'!D28:E69,2,TRUE)*VLOOKUP(4,'Quality Code'!D73:E93,2,TRUE)</f>
        <v>4</v>
      </c>
      <c r="E427" s="14">
        <v>0.8</v>
      </c>
      <c r="F427" s="18">
        <v>107</v>
      </c>
      <c r="G427" s="12">
        <v>54</v>
      </c>
      <c r="H427" s="2" t="s">
        <v>231</v>
      </c>
      <c r="I427" s="2" t="s">
        <v>278</v>
      </c>
      <c r="J427" s="2" t="s">
        <v>281</v>
      </c>
      <c r="K427" s="2">
        <v>1</v>
      </c>
      <c r="L427" s="639" t="s">
        <v>699</v>
      </c>
      <c r="M427" s="640" t="s">
        <v>703</v>
      </c>
      <c r="N427" s="579" t="s">
        <v>254</v>
      </c>
      <c r="O427" s="579"/>
      <c r="P427" s="11"/>
      <c r="Q427" s="11"/>
      <c r="R427" s="11"/>
      <c r="S427" s="11"/>
      <c r="T427" s="11"/>
      <c r="U427" s="11"/>
      <c r="V427" s="506"/>
      <c r="W427" s="723"/>
      <c r="X427" s="723"/>
      <c r="Y427" s="723"/>
      <c r="Z427" s="11"/>
      <c r="AA427" s="11"/>
      <c r="AB427" s="11"/>
      <c r="AC427" s="85">
        <v>1.9E-2</v>
      </c>
      <c r="AD427" s="26"/>
      <c r="AE427" s="26"/>
      <c r="AF427" s="26"/>
      <c r="AG427" s="26"/>
      <c r="AH427" s="330"/>
      <c r="AI427" s="123">
        <f>AU427/BI427</f>
        <v>16.399999999999999</v>
      </c>
      <c r="AJ427" s="123"/>
      <c r="AK427" s="161"/>
      <c r="AL427" s="17"/>
      <c r="AM427" s="17"/>
      <c r="AN427" s="17"/>
      <c r="AO427" s="17"/>
      <c r="AP427" s="17"/>
      <c r="AQ427" s="17"/>
      <c r="AR427" s="17"/>
      <c r="AS427" s="17"/>
      <c r="AT427" s="17"/>
      <c r="AU427" s="18">
        <v>82</v>
      </c>
      <c r="AV427" s="162">
        <v>1</v>
      </c>
      <c r="AW427" s="162">
        <v>0.98750000000000004</v>
      </c>
      <c r="AX427" s="162">
        <v>0.91249999999999998</v>
      </c>
      <c r="AY427" s="162">
        <v>0.69750000000000001</v>
      </c>
      <c r="AZ427" s="162">
        <v>0.4</v>
      </c>
      <c r="BA427" s="162">
        <v>0.15</v>
      </c>
      <c r="BB427" s="162">
        <v>7.4999999999999997E-2</v>
      </c>
      <c r="BC427" s="162">
        <v>5.7500000000000002E-2</v>
      </c>
      <c r="BD427" s="162">
        <v>0.04</v>
      </c>
      <c r="BE427" s="162">
        <v>1.4999999999999999E-2</v>
      </c>
      <c r="BF427" s="162"/>
      <c r="BG427" s="162"/>
      <c r="BH427" s="162"/>
      <c r="BI427" s="4">
        <v>5</v>
      </c>
      <c r="BJ427" s="2"/>
      <c r="BK427" s="2" t="s">
        <v>55</v>
      </c>
      <c r="BL427" s="12">
        <v>4.59</v>
      </c>
      <c r="BM427" s="12"/>
      <c r="BN427" s="12">
        <v>9.3000000000000007</v>
      </c>
      <c r="BO427" s="12">
        <v>0.36</v>
      </c>
      <c r="BP427" s="12">
        <f>BO427*BN427</f>
        <v>3.3480000000000003</v>
      </c>
      <c r="BQ427" s="12">
        <f>BN427/BO427</f>
        <v>25.833333333333336</v>
      </c>
      <c r="BR427" s="12" t="s">
        <v>277</v>
      </c>
      <c r="BS427" s="18">
        <v>4</v>
      </c>
      <c r="BT427" s="12"/>
      <c r="BU427" s="2"/>
      <c r="BV427" s="2"/>
      <c r="BW427" s="2"/>
      <c r="BX427" s="2" t="s">
        <v>86</v>
      </c>
      <c r="BY427" s="2" t="s">
        <v>234</v>
      </c>
      <c r="BZ427" s="2"/>
      <c r="CA427" s="9" t="s">
        <v>233</v>
      </c>
      <c r="CB427" s="5" t="s">
        <v>626</v>
      </c>
    </row>
    <row r="428" spans="1:80" ht="15" x14ac:dyDescent="0.25">
      <c r="A428" s="167"/>
      <c r="B428" s="642"/>
      <c r="C428" s="642"/>
      <c r="D428" s="179"/>
      <c r="E428" s="169"/>
      <c r="F428" s="169"/>
      <c r="G428" s="186"/>
      <c r="H428" s="187"/>
      <c r="I428" s="187"/>
      <c r="J428" s="187"/>
      <c r="K428" s="187"/>
      <c r="L428" s="647"/>
      <c r="M428" s="646">
        <v>32284</v>
      </c>
      <c r="N428" s="585">
        <v>0.6</v>
      </c>
      <c r="O428" s="585">
        <v>4.2000000000000002E-4</v>
      </c>
      <c r="P428" s="175">
        <v>0</v>
      </c>
      <c r="Q428" s="175">
        <v>0</v>
      </c>
      <c r="R428" s="175">
        <v>0</v>
      </c>
      <c r="S428" s="175">
        <v>0</v>
      </c>
      <c r="T428" s="175">
        <v>2.0000000000000002E-5</v>
      </c>
      <c r="U428" s="175">
        <v>8.0000000000000007E-5</v>
      </c>
      <c r="V428" s="706">
        <v>3.1E-4</v>
      </c>
      <c r="W428" s="714"/>
      <c r="X428" s="715"/>
      <c r="Y428" s="716"/>
      <c r="Z428" s="709">
        <v>0</v>
      </c>
      <c r="AA428" s="175"/>
      <c r="AB428" s="200"/>
      <c r="AC428" s="205">
        <v>1.9E-2</v>
      </c>
      <c r="AD428" s="175">
        <v>6.1</v>
      </c>
      <c r="AE428" s="175">
        <v>0.18</v>
      </c>
      <c r="AF428" s="186">
        <f>AE428*AD428</f>
        <v>1.0979999999999999</v>
      </c>
      <c r="AG428" s="175">
        <v>0.54</v>
      </c>
      <c r="AH428" s="334"/>
      <c r="AI428" s="188"/>
      <c r="AJ428" s="188"/>
      <c r="AK428" s="188"/>
      <c r="AL428" s="189"/>
      <c r="AM428" s="189"/>
      <c r="AN428" s="189"/>
      <c r="AO428" s="189"/>
      <c r="AP428" s="189"/>
      <c r="AQ428" s="189"/>
      <c r="AR428" s="189"/>
      <c r="AS428" s="189"/>
      <c r="AT428" s="189"/>
      <c r="AU428" s="190"/>
      <c r="AV428" s="190"/>
      <c r="AW428" s="190"/>
      <c r="AX428" s="190"/>
      <c r="AY428" s="190"/>
      <c r="AZ428" s="189"/>
      <c r="BA428" s="189"/>
      <c r="BB428" s="189"/>
      <c r="BC428" s="189"/>
      <c r="BD428" s="189"/>
      <c r="BE428" s="189"/>
      <c r="BF428" s="189"/>
      <c r="BG428" s="189"/>
      <c r="BH428" s="189"/>
      <c r="BI428" s="190"/>
      <c r="BJ428" s="190"/>
      <c r="BK428" s="190"/>
      <c r="BL428" s="190"/>
      <c r="BM428" s="190"/>
      <c r="BN428" s="190"/>
      <c r="BO428" s="190"/>
      <c r="BP428" s="190"/>
      <c r="BQ428" s="190"/>
      <c r="BR428" s="190"/>
      <c r="BS428" s="190"/>
      <c r="BT428" s="190"/>
      <c r="BU428" s="190"/>
      <c r="BV428" s="190"/>
      <c r="BW428" s="190"/>
      <c r="BX428" s="190"/>
      <c r="BY428" s="190"/>
      <c r="BZ428" s="190"/>
      <c r="CA428" s="189"/>
      <c r="CB428" s="15" t="s">
        <v>625</v>
      </c>
    </row>
    <row r="429" spans="1:80" ht="15" x14ac:dyDescent="0.25">
      <c r="A429" s="167"/>
      <c r="B429" s="642"/>
      <c r="C429" s="642"/>
      <c r="D429" s="179"/>
      <c r="E429" s="169"/>
      <c r="F429" s="169"/>
      <c r="G429" s="186"/>
      <c r="H429" s="187"/>
      <c r="I429" s="187"/>
      <c r="J429" s="187"/>
      <c r="K429" s="187"/>
      <c r="L429" s="647"/>
      <c r="M429" s="646">
        <v>32285</v>
      </c>
      <c r="N429" s="585">
        <v>0.57999999999999996</v>
      </c>
      <c r="O429" s="585">
        <v>2.0000000000000001E-4</v>
      </c>
      <c r="P429" s="175">
        <v>0</v>
      </c>
      <c r="Q429" s="175">
        <v>0</v>
      </c>
      <c r="R429" s="175">
        <v>0</v>
      </c>
      <c r="S429" s="175">
        <v>0</v>
      </c>
      <c r="T429" s="175">
        <v>0</v>
      </c>
      <c r="U429" s="175">
        <v>2.0000000000000002E-5</v>
      </c>
      <c r="V429" s="706">
        <v>1.8000000000000001E-4</v>
      </c>
      <c r="W429" s="717"/>
      <c r="X429" s="713"/>
      <c r="Y429" s="718"/>
      <c r="Z429" s="709">
        <v>0</v>
      </c>
      <c r="AA429" s="175"/>
      <c r="AB429" s="200"/>
      <c r="AC429" s="205">
        <v>1.9E-2</v>
      </c>
      <c r="AD429" s="175">
        <v>6.1</v>
      </c>
      <c r="AE429" s="175">
        <v>0.19</v>
      </c>
      <c r="AF429" s="186">
        <f t="shared" ref="AF429:AF492" si="8">AE429*AD429</f>
        <v>1.159</v>
      </c>
      <c r="AG429" s="175">
        <v>0.5</v>
      </c>
      <c r="AH429" s="334"/>
      <c r="AI429" s="188"/>
      <c r="AJ429" s="188"/>
      <c r="AK429" s="188"/>
      <c r="AL429" s="189"/>
      <c r="AM429" s="189"/>
      <c r="AN429" s="189"/>
      <c r="AO429" s="189"/>
      <c r="AP429" s="189"/>
      <c r="AQ429" s="189"/>
      <c r="AR429" s="189"/>
      <c r="AS429" s="189"/>
      <c r="AT429" s="189"/>
      <c r="AU429" s="190"/>
      <c r="AV429" s="190"/>
      <c r="AW429" s="190"/>
      <c r="AX429" s="190"/>
      <c r="AY429" s="190"/>
      <c r="AZ429" s="189"/>
      <c r="BA429" s="189"/>
      <c r="BB429" s="189"/>
      <c r="BC429" s="189"/>
      <c r="BD429" s="189"/>
      <c r="BE429" s="189"/>
      <c r="BF429" s="189"/>
      <c r="BG429" s="189"/>
      <c r="BH429" s="189"/>
      <c r="BI429" s="190"/>
      <c r="BJ429" s="190"/>
      <c r="BK429" s="190"/>
      <c r="BL429" s="190"/>
      <c r="BM429" s="190"/>
      <c r="BN429" s="190"/>
      <c r="BO429" s="190"/>
      <c r="BP429" s="190"/>
      <c r="BQ429" s="190"/>
      <c r="BR429" s="190"/>
      <c r="BS429" s="190"/>
      <c r="BT429" s="190"/>
      <c r="BU429" s="190"/>
      <c r="BV429" s="190"/>
      <c r="BW429" s="190"/>
      <c r="BX429" s="190"/>
      <c r="BY429" s="190"/>
      <c r="BZ429" s="190"/>
      <c r="CA429" s="189"/>
      <c r="CB429" s="15" t="s">
        <v>627</v>
      </c>
    </row>
    <row r="430" spans="1:80" ht="15" x14ac:dyDescent="0.2">
      <c r="A430" s="167"/>
      <c r="B430" s="642"/>
      <c r="C430" s="642"/>
      <c r="D430" s="179"/>
      <c r="E430" s="169"/>
      <c r="F430" s="169"/>
      <c r="G430" s="186"/>
      <c r="H430" s="187"/>
      <c r="I430" s="187"/>
      <c r="J430" s="187"/>
      <c r="K430" s="187"/>
      <c r="L430" s="647"/>
      <c r="M430" s="646">
        <v>32289</v>
      </c>
      <c r="N430" s="585">
        <v>0.62</v>
      </c>
      <c r="O430" s="585">
        <v>4.2999999999999999E-4</v>
      </c>
      <c r="P430" s="175">
        <v>0</v>
      </c>
      <c r="Q430" s="175">
        <v>0</v>
      </c>
      <c r="R430" s="175">
        <v>0</v>
      </c>
      <c r="S430" s="175">
        <v>0</v>
      </c>
      <c r="T430" s="175">
        <v>0</v>
      </c>
      <c r="U430" s="175">
        <v>3.0000000000000001E-5</v>
      </c>
      <c r="V430" s="706">
        <v>3.8999999999999999E-4</v>
      </c>
      <c r="W430" s="717"/>
      <c r="X430" s="713"/>
      <c r="Y430" s="718"/>
      <c r="Z430" s="709">
        <v>0</v>
      </c>
      <c r="AA430" s="175"/>
      <c r="AB430" s="200"/>
      <c r="AC430" s="205">
        <v>1.9E-2</v>
      </c>
      <c r="AD430" s="175">
        <v>6.2</v>
      </c>
      <c r="AE430" s="175">
        <v>0.18</v>
      </c>
      <c r="AF430" s="186">
        <f t="shared" si="8"/>
        <v>1.1159999999999999</v>
      </c>
      <c r="AG430" s="175">
        <v>0.56000000000000005</v>
      </c>
      <c r="AH430" s="334"/>
      <c r="AI430" s="188"/>
      <c r="AJ430" s="188"/>
      <c r="AK430" s="188"/>
      <c r="AL430" s="189"/>
      <c r="AM430" s="189"/>
      <c r="AN430" s="189"/>
      <c r="AO430" s="189"/>
      <c r="AP430" s="189"/>
      <c r="AQ430" s="189"/>
      <c r="AR430" s="189"/>
      <c r="AS430" s="189"/>
      <c r="AT430" s="189"/>
      <c r="AU430" s="190"/>
      <c r="AV430" s="190"/>
      <c r="AW430" s="190"/>
      <c r="AX430" s="190"/>
      <c r="AY430" s="190"/>
      <c r="AZ430" s="189"/>
      <c r="BA430" s="189"/>
      <c r="BB430" s="189"/>
      <c r="BC430" s="189"/>
      <c r="BD430" s="189"/>
      <c r="BE430" s="189"/>
      <c r="BF430" s="189"/>
      <c r="BG430" s="189"/>
      <c r="BH430" s="189"/>
      <c r="BI430" s="190"/>
      <c r="BJ430" s="190"/>
      <c r="BK430" s="190"/>
      <c r="BL430" s="190"/>
      <c r="BM430" s="190"/>
      <c r="BN430" s="190"/>
      <c r="BO430" s="190"/>
      <c r="BP430" s="190"/>
      <c r="BQ430" s="190"/>
      <c r="BR430" s="190"/>
      <c r="BS430" s="190"/>
      <c r="BT430" s="190"/>
      <c r="BU430" s="190"/>
      <c r="BV430" s="190"/>
      <c r="BW430" s="190"/>
      <c r="BX430" s="190"/>
      <c r="BY430" s="190"/>
      <c r="BZ430" s="190"/>
      <c r="CA430" s="189"/>
      <c r="CB430" s="485" t="s">
        <v>638</v>
      </c>
    </row>
    <row r="431" spans="1:80" ht="15" x14ac:dyDescent="0.25">
      <c r="A431" s="167"/>
      <c r="B431" s="642"/>
      <c r="C431" s="642"/>
      <c r="D431" s="179"/>
      <c r="E431" s="169"/>
      <c r="F431" s="169"/>
      <c r="G431" s="186"/>
      <c r="H431" s="187"/>
      <c r="I431" s="187"/>
      <c r="J431" s="187"/>
      <c r="K431" s="187"/>
      <c r="L431" s="647"/>
      <c r="M431" s="646">
        <v>32291</v>
      </c>
      <c r="N431" s="585">
        <v>0.67</v>
      </c>
      <c r="O431" s="585">
        <v>4.0000000000000003E-5</v>
      </c>
      <c r="P431" s="175">
        <v>0</v>
      </c>
      <c r="Q431" s="175">
        <v>0</v>
      </c>
      <c r="R431" s="175">
        <v>0</v>
      </c>
      <c r="S431" s="175">
        <v>0</v>
      </c>
      <c r="T431" s="175">
        <v>0</v>
      </c>
      <c r="U431" s="175">
        <v>0</v>
      </c>
      <c r="V431" s="706">
        <v>4.0000000000000003E-5</v>
      </c>
      <c r="W431" s="717"/>
      <c r="X431" s="713"/>
      <c r="Y431" s="718"/>
      <c r="Z431" s="709">
        <v>0</v>
      </c>
      <c r="AA431" s="175"/>
      <c r="AB431" s="200"/>
      <c r="AC431" s="205">
        <v>1.9E-2</v>
      </c>
      <c r="AD431" s="175">
        <v>6.05</v>
      </c>
      <c r="AE431" s="175">
        <v>0.18</v>
      </c>
      <c r="AF431" s="186">
        <f t="shared" si="8"/>
        <v>1.089</v>
      </c>
      <c r="AG431" s="175">
        <v>0.6</v>
      </c>
      <c r="AH431" s="334"/>
      <c r="AI431" s="188"/>
      <c r="AJ431" s="188"/>
      <c r="AK431" s="188"/>
      <c r="AL431" s="189"/>
      <c r="AM431" s="189"/>
      <c r="AN431" s="189"/>
      <c r="AO431" s="189"/>
      <c r="AP431" s="189"/>
      <c r="AQ431" s="189"/>
      <c r="AR431" s="189"/>
      <c r="AS431" s="189"/>
      <c r="AT431" s="189"/>
      <c r="AU431" s="190"/>
      <c r="AV431" s="190"/>
      <c r="AW431" s="190"/>
      <c r="AX431" s="190"/>
      <c r="AY431" s="190"/>
      <c r="AZ431" s="189"/>
      <c r="BA431" s="189"/>
      <c r="BB431" s="189"/>
      <c r="BC431" s="189"/>
      <c r="BD431" s="189"/>
      <c r="BE431" s="189"/>
      <c r="BF431" s="189"/>
      <c r="BG431" s="189"/>
      <c r="BH431" s="189"/>
      <c r="BI431" s="190"/>
      <c r="BJ431" s="190"/>
      <c r="BK431" s="190"/>
      <c r="BL431" s="190"/>
      <c r="BM431" s="190"/>
      <c r="BN431" s="190"/>
      <c r="BO431" s="190"/>
      <c r="BP431" s="190"/>
      <c r="BQ431" s="190"/>
      <c r="BR431" s="190"/>
      <c r="BS431" s="190"/>
      <c r="BT431" s="190"/>
      <c r="BU431" s="190"/>
      <c r="BV431" s="190"/>
      <c r="BW431" s="190"/>
      <c r="BX431" s="190"/>
      <c r="BY431" s="190"/>
      <c r="BZ431" s="190"/>
      <c r="CA431" s="189"/>
      <c r="CB431" s="15"/>
    </row>
    <row r="432" spans="1:80" ht="15" x14ac:dyDescent="0.25">
      <c r="A432" s="167"/>
      <c r="B432" s="642"/>
      <c r="C432" s="642"/>
      <c r="D432" s="179"/>
      <c r="E432" s="169"/>
      <c r="F432" s="169"/>
      <c r="G432" s="186"/>
      <c r="H432" s="187"/>
      <c r="I432" s="187"/>
      <c r="J432" s="187"/>
      <c r="K432" s="187"/>
      <c r="L432" s="647"/>
      <c r="M432" s="646">
        <v>32292</v>
      </c>
      <c r="N432" s="585">
        <v>0.72</v>
      </c>
      <c r="O432" s="585">
        <v>3.0000000000000001E-5</v>
      </c>
      <c r="P432" s="175">
        <v>0</v>
      </c>
      <c r="Q432" s="175">
        <v>0</v>
      </c>
      <c r="R432" s="175">
        <v>0</v>
      </c>
      <c r="S432" s="175">
        <v>0</v>
      </c>
      <c r="T432" s="175">
        <v>0</v>
      </c>
      <c r="U432" s="175">
        <v>0</v>
      </c>
      <c r="V432" s="706">
        <v>3.0000000000000001E-5</v>
      </c>
      <c r="W432" s="717"/>
      <c r="X432" s="713"/>
      <c r="Y432" s="718"/>
      <c r="Z432" s="709">
        <v>0</v>
      </c>
      <c r="AA432" s="175"/>
      <c r="AB432" s="200"/>
      <c r="AC432" s="205">
        <v>1.9E-2</v>
      </c>
      <c r="AD432" s="175">
        <v>6.1</v>
      </c>
      <c r="AE432" s="175">
        <v>0.19</v>
      </c>
      <c r="AF432" s="186">
        <f t="shared" si="8"/>
        <v>1.159</v>
      </c>
      <c r="AG432" s="175">
        <v>0.62</v>
      </c>
      <c r="AH432" s="334"/>
      <c r="AI432" s="188"/>
      <c r="AJ432" s="188"/>
      <c r="AK432" s="188"/>
      <c r="AL432" s="189"/>
      <c r="AM432" s="189"/>
      <c r="AN432" s="189"/>
      <c r="AO432" s="189"/>
      <c r="AP432" s="189"/>
      <c r="AQ432" s="189"/>
      <c r="AR432" s="189"/>
      <c r="AS432" s="189"/>
      <c r="AT432" s="189"/>
      <c r="AU432" s="190"/>
      <c r="AV432" s="190"/>
      <c r="AW432" s="190"/>
      <c r="AX432" s="190"/>
      <c r="AY432" s="190"/>
      <c r="AZ432" s="189"/>
      <c r="BA432" s="189"/>
      <c r="BB432" s="189"/>
      <c r="BC432" s="189"/>
      <c r="BD432" s="189"/>
      <c r="BE432" s="189"/>
      <c r="BF432" s="189"/>
      <c r="BG432" s="189"/>
      <c r="BH432" s="189"/>
      <c r="BI432" s="190"/>
      <c r="BJ432" s="190"/>
      <c r="BK432" s="190"/>
      <c r="BL432" s="190"/>
      <c r="BM432" s="190"/>
      <c r="BN432" s="190"/>
      <c r="BO432" s="190"/>
      <c r="BP432" s="190"/>
      <c r="BQ432" s="190"/>
      <c r="BR432" s="190"/>
      <c r="BS432" s="190"/>
      <c r="BT432" s="190"/>
      <c r="BU432" s="190"/>
      <c r="BV432" s="190"/>
      <c r="BW432" s="190"/>
      <c r="BX432" s="190"/>
      <c r="BY432" s="190"/>
      <c r="BZ432" s="190"/>
      <c r="CA432" s="189"/>
      <c r="CB432" s="15"/>
    </row>
    <row r="433" spans="1:80" ht="15" x14ac:dyDescent="0.25">
      <c r="A433" s="167"/>
      <c r="B433" s="642"/>
      <c r="C433" s="642"/>
      <c r="D433" s="179"/>
      <c r="E433" s="169"/>
      <c r="F433" s="169"/>
      <c r="G433" s="186"/>
      <c r="H433" s="187"/>
      <c r="I433" s="187"/>
      <c r="J433" s="187"/>
      <c r="K433" s="187"/>
      <c r="L433" s="647"/>
      <c r="M433" s="646">
        <v>32295</v>
      </c>
      <c r="N433" s="585">
        <v>0.66</v>
      </c>
      <c r="O433" s="585">
        <v>8.0000000000000007E-5</v>
      </c>
      <c r="P433" s="175">
        <v>0</v>
      </c>
      <c r="Q433" s="175">
        <v>0</v>
      </c>
      <c r="R433" s="175">
        <v>0</v>
      </c>
      <c r="S433" s="175">
        <v>0</v>
      </c>
      <c r="T433" s="175">
        <v>0</v>
      </c>
      <c r="U433" s="175">
        <v>1.0000000000000001E-5</v>
      </c>
      <c r="V433" s="706">
        <v>8.0000000000000007E-5</v>
      </c>
      <c r="W433" s="717"/>
      <c r="X433" s="713"/>
      <c r="Y433" s="718"/>
      <c r="Z433" s="709">
        <v>0</v>
      </c>
      <c r="AA433" s="175"/>
      <c r="AB433" s="200"/>
      <c r="AC433" s="205">
        <v>1.9E-2</v>
      </c>
      <c r="AD433" s="175">
        <v>6.1</v>
      </c>
      <c r="AE433" s="175">
        <v>0.18</v>
      </c>
      <c r="AF433" s="186">
        <f t="shared" si="8"/>
        <v>1.0979999999999999</v>
      </c>
      <c r="AG433" s="175">
        <v>0.61</v>
      </c>
      <c r="AH433" s="334"/>
      <c r="AI433" s="188"/>
      <c r="AJ433" s="188"/>
      <c r="AK433" s="188"/>
      <c r="AL433" s="189"/>
      <c r="AM433" s="189"/>
      <c r="AN433" s="189"/>
      <c r="AO433" s="189"/>
      <c r="AP433" s="189"/>
      <c r="AQ433" s="189"/>
      <c r="AR433" s="189"/>
      <c r="AS433" s="189"/>
      <c r="AT433" s="189"/>
      <c r="AU433" s="190"/>
      <c r="AV433" s="190"/>
      <c r="AW433" s="190"/>
      <c r="AX433" s="190"/>
      <c r="AY433" s="190"/>
      <c r="AZ433" s="189"/>
      <c r="BA433" s="189"/>
      <c r="BB433" s="189"/>
      <c r="BC433" s="189"/>
      <c r="BD433" s="189"/>
      <c r="BE433" s="189"/>
      <c r="BF433" s="189"/>
      <c r="BG433" s="189"/>
      <c r="BH433" s="189"/>
      <c r="BI433" s="190"/>
      <c r="BJ433" s="190"/>
      <c r="BK433" s="190"/>
      <c r="BL433" s="190"/>
      <c r="BM433" s="190"/>
      <c r="BN433" s="190"/>
      <c r="BO433" s="190"/>
      <c r="BP433" s="190"/>
      <c r="BQ433" s="190"/>
      <c r="BR433" s="190"/>
      <c r="BS433" s="190"/>
      <c r="BT433" s="190"/>
      <c r="BU433" s="190"/>
      <c r="BV433" s="190"/>
      <c r="BW433" s="190"/>
      <c r="BX433" s="190"/>
      <c r="BY433" s="190"/>
      <c r="BZ433" s="190"/>
      <c r="CA433" s="189"/>
      <c r="CB433" s="15"/>
    </row>
    <row r="434" spans="1:80" ht="15" x14ac:dyDescent="0.25">
      <c r="A434" s="167"/>
      <c r="B434" s="642"/>
      <c r="C434" s="642"/>
      <c r="D434" s="179"/>
      <c r="E434" s="169"/>
      <c r="F434" s="169"/>
      <c r="G434" s="186"/>
      <c r="H434" s="187"/>
      <c r="I434" s="187"/>
      <c r="J434" s="187"/>
      <c r="K434" s="187"/>
      <c r="L434" s="647"/>
      <c r="M434" s="646">
        <v>32296</v>
      </c>
      <c r="N434" s="585">
        <v>0.71</v>
      </c>
      <c r="O434" s="585">
        <v>1.8000000000000001E-4</v>
      </c>
      <c r="P434" s="175">
        <v>0</v>
      </c>
      <c r="Q434" s="175">
        <v>0</v>
      </c>
      <c r="R434" s="175">
        <v>0</v>
      </c>
      <c r="S434" s="175">
        <v>0</v>
      </c>
      <c r="T434" s="175">
        <v>0</v>
      </c>
      <c r="U434" s="175">
        <v>2.0000000000000002E-5</v>
      </c>
      <c r="V434" s="706">
        <v>1.7000000000000001E-4</v>
      </c>
      <c r="W434" s="717"/>
      <c r="X434" s="713"/>
      <c r="Y434" s="718"/>
      <c r="Z434" s="709">
        <v>0</v>
      </c>
      <c r="AA434" s="175"/>
      <c r="AB434" s="200"/>
      <c r="AC434" s="205">
        <v>1.9E-2</v>
      </c>
      <c r="AD434" s="175">
        <v>6.1</v>
      </c>
      <c r="AE434" s="175">
        <v>0.19</v>
      </c>
      <c r="AF434" s="186">
        <f t="shared" si="8"/>
        <v>1.159</v>
      </c>
      <c r="AG434" s="175">
        <v>0.62</v>
      </c>
      <c r="AH434" s="334"/>
      <c r="AI434" s="188"/>
      <c r="AJ434" s="188"/>
      <c r="AK434" s="188"/>
      <c r="AL434" s="189"/>
      <c r="AM434" s="189"/>
      <c r="AN434" s="189"/>
      <c r="AO434" s="189"/>
      <c r="AP434" s="189"/>
      <c r="AQ434" s="189"/>
      <c r="AR434" s="189"/>
      <c r="AS434" s="189"/>
      <c r="AT434" s="189"/>
      <c r="AU434" s="190"/>
      <c r="AV434" s="190"/>
      <c r="AW434" s="190"/>
      <c r="AX434" s="190"/>
      <c r="AY434" s="190"/>
      <c r="AZ434" s="189"/>
      <c r="BA434" s="189"/>
      <c r="BB434" s="189"/>
      <c r="BC434" s="189"/>
      <c r="BD434" s="189"/>
      <c r="BE434" s="189"/>
      <c r="BF434" s="189"/>
      <c r="BG434" s="189"/>
      <c r="BH434" s="189"/>
      <c r="BI434" s="190"/>
      <c r="BJ434" s="190"/>
      <c r="BK434" s="190"/>
      <c r="BL434" s="190"/>
      <c r="BM434" s="190"/>
      <c r="BN434" s="190"/>
      <c r="BO434" s="190"/>
      <c r="BP434" s="190"/>
      <c r="BQ434" s="190"/>
      <c r="BR434" s="190"/>
      <c r="BS434" s="190"/>
      <c r="BT434" s="190"/>
      <c r="BU434" s="190"/>
      <c r="BV434" s="190"/>
      <c r="BW434" s="190"/>
      <c r="BX434" s="190"/>
      <c r="BY434" s="190"/>
      <c r="BZ434" s="190"/>
      <c r="CA434" s="189"/>
      <c r="CB434" s="15"/>
    </row>
    <row r="435" spans="1:80" ht="15" x14ac:dyDescent="0.25">
      <c r="A435" s="167"/>
      <c r="B435" s="642"/>
      <c r="C435" s="642"/>
      <c r="D435" s="179"/>
      <c r="E435" s="169"/>
      <c r="F435" s="169"/>
      <c r="G435" s="186"/>
      <c r="H435" s="187"/>
      <c r="I435" s="187"/>
      <c r="J435" s="187"/>
      <c r="K435" s="187"/>
      <c r="L435" s="647"/>
      <c r="M435" s="646">
        <v>32297</v>
      </c>
      <c r="N435" s="585">
        <v>0.75</v>
      </c>
      <c r="O435" s="585">
        <v>4.0999999999999999E-4</v>
      </c>
      <c r="P435" s="175">
        <v>0</v>
      </c>
      <c r="Q435" s="175">
        <v>0</v>
      </c>
      <c r="R435" s="175">
        <v>0</v>
      </c>
      <c r="S435" s="175">
        <v>0</v>
      </c>
      <c r="T435" s="175">
        <v>0</v>
      </c>
      <c r="U435" s="175">
        <v>5.0000000000000002E-5</v>
      </c>
      <c r="V435" s="706">
        <v>3.6000000000000002E-4</v>
      </c>
      <c r="W435" s="717"/>
      <c r="X435" s="713"/>
      <c r="Y435" s="718"/>
      <c r="Z435" s="709">
        <v>0</v>
      </c>
      <c r="AA435" s="175"/>
      <c r="AB435" s="200"/>
      <c r="AC435" s="205">
        <v>1.9E-2</v>
      </c>
      <c r="AD435" s="175">
        <v>6.1</v>
      </c>
      <c r="AE435" s="175">
        <v>0.19</v>
      </c>
      <c r="AF435" s="186">
        <f t="shared" si="8"/>
        <v>1.159</v>
      </c>
      <c r="AG435" s="175">
        <v>0.64</v>
      </c>
      <c r="AH435" s="334"/>
      <c r="AI435" s="188"/>
      <c r="AJ435" s="188"/>
      <c r="AK435" s="188"/>
      <c r="AL435" s="189"/>
      <c r="AM435" s="189"/>
      <c r="AN435" s="189"/>
      <c r="AO435" s="189"/>
      <c r="AP435" s="189"/>
      <c r="AQ435" s="189"/>
      <c r="AR435" s="189"/>
      <c r="AS435" s="189"/>
      <c r="AT435" s="189"/>
      <c r="AU435" s="190"/>
      <c r="AV435" s="190"/>
      <c r="AW435" s="190"/>
      <c r="AX435" s="190"/>
      <c r="AY435" s="190"/>
      <c r="AZ435" s="189"/>
      <c r="BA435" s="189"/>
      <c r="BB435" s="189"/>
      <c r="BC435" s="189"/>
      <c r="BD435" s="189"/>
      <c r="BE435" s="189"/>
      <c r="BF435" s="189"/>
      <c r="BG435" s="189"/>
      <c r="BH435" s="189"/>
      <c r="BI435" s="190"/>
      <c r="BJ435" s="190"/>
      <c r="BK435" s="190"/>
      <c r="BL435" s="190"/>
      <c r="BM435" s="190"/>
      <c r="BN435" s="190"/>
      <c r="BO435" s="190"/>
      <c r="BP435" s="190"/>
      <c r="BQ435" s="190"/>
      <c r="BR435" s="190"/>
      <c r="BS435" s="190"/>
      <c r="BT435" s="190"/>
      <c r="BU435" s="190"/>
      <c r="BV435" s="190"/>
      <c r="BW435" s="190"/>
      <c r="BX435" s="190"/>
      <c r="BY435" s="190"/>
      <c r="BZ435" s="190"/>
      <c r="CA435" s="189"/>
      <c r="CB435" s="15"/>
    </row>
    <row r="436" spans="1:80" ht="15" x14ac:dyDescent="0.25">
      <c r="A436" s="167"/>
      <c r="B436" s="642"/>
      <c r="C436" s="642"/>
      <c r="D436" s="179"/>
      <c r="E436" s="169"/>
      <c r="F436" s="169"/>
      <c r="G436" s="186"/>
      <c r="H436" s="187"/>
      <c r="I436" s="187"/>
      <c r="J436" s="187"/>
      <c r="K436" s="187"/>
      <c r="L436" s="647"/>
      <c r="M436" s="646">
        <v>32299</v>
      </c>
      <c r="N436" s="585">
        <v>0.65</v>
      </c>
      <c r="O436" s="585">
        <v>1.6299999999999999E-3</v>
      </c>
      <c r="P436" s="175">
        <v>0</v>
      </c>
      <c r="Q436" s="175">
        <v>0</v>
      </c>
      <c r="R436" s="175">
        <v>0</v>
      </c>
      <c r="S436" s="175">
        <v>5.8E-4</v>
      </c>
      <c r="T436" s="175">
        <v>6.9999999999999994E-5</v>
      </c>
      <c r="U436" s="175">
        <v>1.4999999999999999E-4</v>
      </c>
      <c r="V436" s="706">
        <v>8.3000000000000001E-4</v>
      </c>
      <c r="W436" s="717"/>
      <c r="X436" s="713"/>
      <c r="Y436" s="718"/>
      <c r="Z436" s="709">
        <v>0</v>
      </c>
      <c r="AA436" s="175"/>
      <c r="AB436" s="200"/>
      <c r="AC436" s="205">
        <v>1.9E-2</v>
      </c>
      <c r="AD436" s="175">
        <v>6.1</v>
      </c>
      <c r="AE436" s="175">
        <v>0.19</v>
      </c>
      <c r="AF436" s="186">
        <f t="shared" si="8"/>
        <v>1.159</v>
      </c>
      <c r="AG436" s="175">
        <v>0.56000000000000005</v>
      </c>
      <c r="AH436" s="334"/>
      <c r="AI436" s="188"/>
      <c r="AJ436" s="188"/>
      <c r="AK436" s="188"/>
      <c r="AL436" s="189"/>
      <c r="AM436" s="189"/>
      <c r="AN436" s="189"/>
      <c r="AO436" s="189"/>
      <c r="AP436" s="189"/>
      <c r="AQ436" s="189"/>
      <c r="AR436" s="189"/>
      <c r="AS436" s="189"/>
      <c r="AT436" s="189"/>
      <c r="AU436" s="190"/>
      <c r="AV436" s="190"/>
      <c r="AW436" s="190"/>
      <c r="AX436" s="190"/>
      <c r="AY436" s="190"/>
      <c r="AZ436" s="189"/>
      <c r="BA436" s="189"/>
      <c r="BB436" s="189"/>
      <c r="BC436" s="189"/>
      <c r="BD436" s="189"/>
      <c r="BE436" s="189"/>
      <c r="BF436" s="189"/>
      <c r="BG436" s="189"/>
      <c r="BH436" s="189"/>
      <c r="BI436" s="190"/>
      <c r="BJ436" s="190"/>
      <c r="BK436" s="190"/>
      <c r="BL436" s="190"/>
      <c r="BM436" s="190"/>
      <c r="BN436" s="190"/>
      <c r="BO436" s="190"/>
      <c r="BP436" s="190"/>
      <c r="BQ436" s="190"/>
      <c r="BR436" s="190"/>
      <c r="BS436" s="190"/>
      <c r="BT436" s="190"/>
      <c r="BU436" s="190"/>
      <c r="BV436" s="190"/>
      <c r="BW436" s="190"/>
      <c r="BX436" s="190"/>
      <c r="BY436" s="190"/>
      <c r="BZ436" s="190"/>
      <c r="CA436" s="189"/>
      <c r="CB436" s="15"/>
    </row>
    <row r="437" spans="1:80" ht="15" x14ac:dyDescent="0.25">
      <c r="A437" s="167"/>
      <c r="B437" s="642"/>
      <c r="C437" s="642"/>
      <c r="D437" s="179"/>
      <c r="E437" s="169"/>
      <c r="F437" s="169"/>
      <c r="G437" s="186"/>
      <c r="H437" s="187"/>
      <c r="I437" s="187"/>
      <c r="J437" s="187"/>
      <c r="K437" s="187"/>
      <c r="L437" s="647"/>
      <c r="M437" s="646">
        <v>32300</v>
      </c>
      <c r="N437" s="585">
        <v>0.77</v>
      </c>
      <c r="O437" s="585">
        <v>1.2600000000000001E-3</v>
      </c>
      <c r="P437" s="175">
        <v>0</v>
      </c>
      <c r="Q437" s="175">
        <v>0</v>
      </c>
      <c r="R437" s="175">
        <v>0</v>
      </c>
      <c r="S437" s="175">
        <v>0</v>
      </c>
      <c r="T437" s="175">
        <v>2.0000000000000002E-5</v>
      </c>
      <c r="U437" s="175">
        <v>2.0000000000000001E-4</v>
      </c>
      <c r="V437" s="706">
        <v>1.0399999999999999E-3</v>
      </c>
      <c r="W437" s="717"/>
      <c r="X437" s="713"/>
      <c r="Y437" s="718"/>
      <c r="Z437" s="709">
        <v>0</v>
      </c>
      <c r="AA437" s="175"/>
      <c r="AB437" s="200"/>
      <c r="AC437" s="205">
        <v>1.9E-2</v>
      </c>
      <c r="AD437" s="175">
        <v>6.1</v>
      </c>
      <c r="AE437" s="175">
        <v>0.19</v>
      </c>
      <c r="AF437" s="186">
        <f t="shared" si="8"/>
        <v>1.159</v>
      </c>
      <c r="AG437" s="175">
        <v>0.65</v>
      </c>
      <c r="AH437" s="334"/>
      <c r="AI437" s="188"/>
      <c r="AJ437" s="188"/>
      <c r="AK437" s="188"/>
      <c r="AL437" s="189"/>
      <c r="AM437" s="189"/>
      <c r="AN437" s="189"/>
      <c r="AO437" s="189"/>
      <c r="AP437" s="189"/>
      <c r="AQ437" s="189"/>
      <c r="AR437" s="189"/>
      <c r="AS437" s="189"/>
      <c r="AT437" s="189"/>
      <c r="AU437" s="190"/>
      <c r="AV437" s="190"/>
      <c r="AW437" s="190"/>
      <c r="AX437" s="190"/>
      <c r="AY437" s="190"/>
      <c r="AZ437" s="189"/>
      <c r="BA437" s="189"/>
      <c r="BB437" s="189"/>
      <c r="BC437" s="189"/>
      <c r="BD437" s="189"/>
      <c r="BE437" s="189"/>
      <c r="BF437" s="189"/>
      <c r="BG437" s="189"/>
      <c r="BH437" s="189"/>
      <c r="BI437" s="190"/>
      <c r="BJ437" s="190"/>
      <c r="BK437" s="190"/>
      <c r="BL437" s="190"/>
      <c r="BM437" s="190"/>
      <c r="BN437" s="190"/>
      <c r="BO437" s="190"/>
      <c r="BP437" s="190"/>
      <c r="BQ437" s="190"/>
      <c r="BR437" s="190"/>
      <c r="BS437" s="190"/>
      <c r="BT437" s="190"/>
      <c r="BU437" s="190"/>
      <c r="BV437" s="190"/>
      <c r="BW437" s="190"/>
      <c r="BX437" s="190"/>
      <c r="BY437" s="190"/>
      <c r="BZ437" s="190"/>
      <c r="CA437" s="189"/>
      <c r="CB437" s="15"/>
    </row>
    <row r="438" spans="1:80" ht="15" x14ac:dyDescent="0.25">
      <c r="A438" s="167"/>
      <c r="B438" s="642"/>
      <c r="C438" s="642"/>
      <c r="D438" s="179"/>
      <c r="E438" s="169"/>
      <c r="F438" s="169"/>
      <c r="G438" s="186"/>
      <c r="H438" s="187"/>
      <c r="I438" s="187"/>
      <c r="J438" s="187"/>
      <c r="K438" s="187"/>
      <c r="L438" s="647"/>
      <c r="M438" s="646">
        <v>32303</v>
      </c>
      <c r="N438" s="585">
        <v>1.68</v>
      </c>
      <c r="O438" s="585">
        <v>2.206E-2</v>
      </c>
      <c r="P438" s="175">
        <v>0</v>
      </c>
      <c r="Q438" s="175">
        <v>0</v>
      </c>
      <c r="R438" s="175">
        <v>1.2700000000000001E-3</v>
      </c>
      <c r="S438" s="175">
        <v>2.31E-3</v>
      </c>
      <c r="T438" s="175">
        <v>2.0899999999999998E-3</v>
      </c>
      <c r="U438" s="175">
        <v>3.9100000000000003E-3</v>
      </c>
      <c r="V438" s="706">
        <v>1.248E-2</v>
      </c>
      <c r="W438" s="717"/>
      <c r="X438" s="713"/>
      <c r="Y438" s="718"/>
      <c r="Z438" s="709">
        <v>0</v>
      </c>
      <c r="AA438" s="175"/>
      <c r="AB438" s="200"/>
      <c r="AC438" s="205">
        <v>1.9E-2</v>
      </c>
      <c r="AD438" s="175">
        <v>7.6</v>
      </c>
      <c r="AE438" s="175">
        <v>0.23</v>
      </c>
      <c r="AF438" s="186">
        <f t="shared" si="8"/>
        <v>1.748</v>
      </c>
      <c r="AG438" s="175">
        <v>0.94</v>
      </c>
      <c r="AH438" s="334"/>
      <c r="AI438" s="188"/>
      <c r="AJ438" s="188"/>
      <c r="AK438" s="188"/>
      <c r="AL438" s="189"/>
      <c r="AM438" s="189"/>
      <c r="AN438" s="189"/>
      <c r="AO438" s="189"/>
      <c r="AP438" s="189"/>
      <c r="AQ438" s="189"/>
      <c r="AR438" s="189"/>
      <c r="AS438" s="189"/>
      <c r="AT438" s="189"/>
      <c r="AU438" s="190"/>
      <c r="AV438" s="190"/>
      <c r="AW438" s="190"/>
      <c r="AX438" s="190"/>
      <c r="AY438" s="190"/>
      <c r="AZ438" s="189"/>
      <c r="BA438" s="189"/>
      <c r="BB438" s="189"/>
      <c r="BC438" s="189"/>
      <c r="BD438" s="189"/>
      <c r="BE438" s="189"/>
      <c r="BF438" s="189"/>
      <c r="BG438" s="189"/>
      <c r="BH438" s="189"/>
      <c r="BI438" s="190"/>
      <c r="BJ438" s="190"/>
      <c r="BK438" s="190"/>
      <c r="BL438" s="190"/>
      <c r="BM438" s="190"/>
      <c r="BN438" s="190"/>
      <c r="BO438" s="190"/>
      <c r="BP438" s="190"/>
      <c r="BQ438" s="190"/>
      <c r="BR438" s="190"/>
      <c r="BS438" s="190"/>
      <c r="BT438" s="190"/>
      <c r="BU438" s="190"/>
      <c r="BV438" s="190"/>
      <c r="BW438" s="190"/>
      <c r="BX438" s="190"/>
      <c r="BY438" s="190"/>
      <c r="BZ438" s="190"/>
      <c r="CA438" s="189"/>
      <c r="CB438" s="15"/>
    </row>
    <row r="439" spans="1:80" ht="15" x14ac:dyDescent="0.25">
      <c r="A439" s="167"/>
      <c r="B439" s="642"/>
      <c r="C439" s="642"/>
      <c r="D439" s="179"/>
      <c r="E439" s="169"/>
      <c r="F439" s="169"/>
      <c r="G439" s="186"/>
      <c r="H439" s="187"/>
      <c r="I439" s="187"/>
      <c r="J439" s="187"/>
      <c r="K439" s="187"/>
      <c r="L439" s="647"/>
      <c r="M439" s="646">
        <v>32304</v>
      </c>
      <c r="N439" s="585">
        <v>1.67</v>
      </c>
      <c r="O439" s="585">
        <v>3.8809999999999997E-2</v>
      </c>
      <c r="P439" s="175">
        <v>0</v>
      </c>
      <c r="Q439" s="175">
        <v>2.366E-2</v>
      </c>
      <c r="R439" s="175">
        <v>9.5E-4</v>
      </c>
      <c r="S439" s="175">
        <v>2.3800000000000002E-3</v>
      </c>
      <c r="T439" s="175">
        <v>2.3E-3</v>
      </c>
      <c r="U439" s="175">
        <v>2.4599999999999999E-3</v>
      </c>
      <c r="V439" s="706">
        <v>7.0600000000000003E-3</v>
      </c>
      <c r="W439" s="717"/>
      <c r="X439" s="713"/>
      <c r="Y439" s="718"/>
      <c r="Z439" s="709">
        <v>0</v>
      </c>
      <c r="AA439" s="175"/>
      <c r="AB439" s="200"/>
      <c r="AC439" s="205">
        <v>1.9E-2</v>
      </c>
      <c r="AD439" s="175">
        <v>7.65</v>
      </c>
      <c r="AE439" s="175">
        <v>0.24</v>
      </c>
      <c r="AF439" s="186">
        <f t="shared" si="8"/>
        <v>1.8360000000000001</v>
      </c>
      <c r="AG439" s="175">
        <v>0.93</v>
      </c>
      <c r="AH439" s="334"/>
      <c r="AI439" s="188"/>
      <c r="AJ439" s="188"/>
      <c r="AK439" s="188"/>
      <c r="AL439" s="189"/>
      <c r="AM439" s="189"/>
      <c r="AN439" s="189"/>
      <c r="AO439" s="189"/>
      <c r="AP439" s="189"/>
      <c r="AQ439" s="189"/>
      <c r="AR439" s="189"/>
      <c r="AS439" s="189"/>
      <c r="AT439" s="189"/>
      <c r="AU439" s="190"/>
      <c r="AV439" s="190"/>
      <c r="AW439" s="190"/>
      <c r="AX439" s="190"/>
      <c r="AY439" s="190"/>
      <c r="AZ439" s="189"/>
      <c r="BA439" s="189"/>
      <c r="BB439" s="189"/>
      <c r="BC439" s="189"/>
      <c r="BD439" s="189"/>
      <c r="BE439" s="189"/>
      <c r="BF439" s="189"/>
      <c r="BG439" s="189"/>
      <c r="BH439" s="189"/>
      <c r="BI439" s="190"/>
      <c r="BJ439" s="190"/>
      <c r="BK439" s="190"/>
      <c r="BL439" s="190"/>
      <c r="BM439" s="190"/>
      <c r="BN439" s="190"/>
      <c r="BO439" s="190"/>
      <c r="BP439" s="190"/>
      <c r="BQ439" s="190"/>
      <c r="BR439" s="190"/>
      <c r="BS439" s="190"/>
      <c r="BT439" s="190"/>
      <c r="BU439" s="190"/>
      <c r="BV439" s="190"/>
      <c r="BW439" s="190"/>
      <c r="BX439" s="190"/>
      <c r="BY439" s="190"/>
      <c r="BZ439" s="190"/>
      <c r="CA439" s="189"/>
      <c r="CB439" s="15"/>
    </row>
    <row r="440" spans="1:80" ht="15" x14ac:dyDescent="0.25">
      <c r="A440" s="167"/>
      <c r="B440" s="642"/>
      <c r="C440" s="642"/>
      <c r="D440" s="179"/>
      <c r="E440" s="169"/>
      <c r="F440" s="169"/>
      <c r="G440" s="186"/>
      <c r="H440" s="187"/>
      <c r="I440" s="187"/>
      <c r="J440" s="187"/>
      <c r="K440" s="187"/>
      <c r="L440" s="647"/>
      <c r="M440" s="646">
        <v>32305</v>
      </c>
      <c r="N440" s="585">
        <v>1.69</v>
      </c>
      <c r="O440" s="585">
        <v>2.0930000000000001E-2</v>
      </c>
      <c r="P440" s="175">
        <v>0</v>
      </c>
      <c r="Q440" s="175">
        <v>3.2200000000000002E-3</v>
      </c>
      <c r="R440" s="175">
        <v>7.1799999999999998E-3</v>
      </c>
      <c r="S440" s="175">
        <v>1.64E-3</v>
      </c>
      <c r="T440" s="175">
        <v>1.67E-3</v>
      </c>
      <c r="U440" s="175">
        <v>2.5500000000000002E-3</v>
      </c>
      <c r="V440" s="706">
        <v>4.6699999999999997E-3</v>
      </c>
      <c r="W440" s="717"/>
      <c r="X440" s="713"/>
      <c r="Y440" s="718"/>
      <c r="Z440" s="709">
        <v>0</v>
      </c>
      <c r="AA440" s="175"/>
      <c r="AB440" s="200"/>
      <c r="AC440" s="205">
        <v>1.9E-2</v>
      </c>
      <c r="AD440" s="175">
        <v>7.65</v>
      </c>
      <c r="AE440" s="175">
        <v>0.24</v>
      </c>
      <c r="AF440" s="186">
        <f t="shared" si="8"/>
        <v>1.8360000000000001</v>
      </c>
      <c r="AG440" s="175">
        <v>0.93</v>
      </c>
      <c r="AH440" s="334"/>
      <c r="AI440" s="188"/>
      <c r="AJ440" s="188"/>
      <c r="AK440" s="188"/>
      <c r="AL440" s="189"/>
      <c r="AM440" s="189"/>
      <c r="AN440" s="189"/>
      <c r="AO440" s="189"/>
      <c r="AP440" s="189"/>
      <c r="AQ440" s="189"/>
      <c r="AR440" s="189"/>
      <c r="AS440" s="189"/>
      <c r="AT440" s="189"/>
      <c r="AU440" s="190"/>
      <c r="AV440" s="190"/>
      <c r="AW440" s="190"/>
      <c r="AX440" s="190"/>
      <c r="AY440" s="190"/>
      <c r="AZ440" s="189"/>
      <c r="BA440" s="189"/>
      <c r="BB440" s="189"/>
      <c r="BC440" s="189"/>
      <c r="BD440" s="189"/>
      <c r="BE440" s="189"/>
      <c r="BF440" s="189"/>
      <c r="BG440" s="189"/>
      <c r="BH440" s="189"/>
      <c r="BI440" s="190"/>
      <c r="BJ440" s="190"/>
      <c r="BK440" s="190"/>
      <c r="BL440" s="190"/>
      <c r="BM440" s="190"/>
      <c r="BN440" s="190"/>
      <c r="BO440" s="190"/>
      <c r="BP440" s="190"/>
      <c r="BQ440" s="190"/>
      <c r="BR440" s="190"/>
      <c r="BS440" s="190"/>
      <c r="BT440" s="190"/>
      <c r="BU440" s="190"/>
      <c r="BV440" s="190"/>
      <c r="BW440" s="190"/>
      <c r="BX440" s="190"/>
      <c r="BY440" s="190"/>
      <c r="BZ440" s="190"/>
      <c r="CA440" s="189"/>
      <c r="CB440" s="15"/>
    </row>
    <row r="441" spans="1:80" ht="15" x14ac:dyDescent="0.25">
      <c r="A441" s="167"/>
      <c r="B441" s="642"/>
      <c r="C441" s="642"/>
      <c r="D441" s="179"/>
      <c r="E441" s="169"/>
      <c r="F441" s="169"/>
      <c r="G441" s="186"/>
      <c r="H441" s="187"/>
      <c r="I441" s="187"/>
      <c r="J441" s="187"/>
      <c r="K441" s="187"/>
      <c r="L441" s="647"/>
      <c r="M441" s="646">
        <v>32307</v>
      </c>
      <c r="N441" s="585">
        <v>2.09</v>
      </c>
      <c r="O441" s="585">
        <v>4.4889999999999999E-2</v>
      </c>
      <c r="P441" s="175">
        <v>0</v>
      </c>
      <c r="Q441" s="175">
        <v>0</v>
      </c>
      <c r="R441" s="175">
        <v>1.0370000000000001E-2</v>
      </c>
      <c r="S441" s="175">
        <v>6.6E-3</v>
      </c>
      <c r="T441" s="175">
        <v>7.3899999999999999E-3</v>
      </c>
      <c r="U441" s="175">
        <v>6.9300000000000004E-3</v>
      </c>
      <c r="V441" s="706">
        <v>1.3599999999999999E-2</v>
      </c>
      <c r="W441" s="717"/>
      <c r="X441" s="713"/>
      <c r="Y441" s="718"/>
      <c r="Z441" s="709">
        <v>0</v>
      </c>
      <c r="AA441" s="175"/>
      <c r="AB441" s="200"/>
      <c r="AC441" s="205">
        <v>1.9E-2</v>
      </c>
      <c r="AD441" s="175">
        <v>8.3000000000000007</v>
      </c>
      <c r="AE441" s="175">
        <v>0.26</v>
      </c>
      <c r="AF441" s="186">
        <f t="shared" si="8"/>
        <v>2.1580000000000004</v>
      </c>
      <c r="AG441" s="175">
        <v>0.98</v>
      </c>
      <c r="AH441" s="334"/>
      <c r="AI441" s="188"/>
      <c r="AJ441" s="188"/>
      <c r="AK441" s="188"/>
      <c r="AL441" s="189"/>
      <c r="AM441" s="189"/>
      <c r="AN441" s="189"/>
      <c r="AO441" s="189"/>
      <c r="AP441" s="189"/>
      <c r="AQ441" s="189"/>
      <c r="AR441" s="189"/>
      <c r="AS441" s="189"/>
      <c r="AT441" s="189"/>
      <c r="AU441" s="190"/>
      <c r="AV441" s="190"/>
      <c r="AW441" s="190"/>
      <c r="AX441" s="190"/>
      <c r="AY441" s="190"/>
      <c r="AZ441" s="189"/>
      <c r="BA441" s="189"/>
      <c r="BB441" s="189"/>
      <c r="BC441" s="189"/>
      <c r="BD441" s="189"/>
      <c r="BE441" s="189"/>
      <c r="BF441" s="189"/>
      <c r="BG441" s="189"/>
      <c r="BH441" s="189"/>
      <c r="BI441" s="190"/>
      <c r="BJ441" s="190"/>
      <c r="BK441" s="190"/>
      <c r="BL441" s="190"/>
      <c r="BM441" s="190"/>
      <c r="BN441" s="190"/>
      <c r="BO441" s="190"/>
      <c r="BP441" s="190"/>
      <c r="BQ441" s="190"/>
      <c r="BR441" s="190"/>
      <c r="BS441" s="190"/>
      <c r="BT441" s="190"/>
      <c r="BU441" s="190"/>
      <c r="BV441" s="190"/>
      <c r="BW441" s="190"/>
      <c r="BX441" s="190"/>
      <c r="BY441" s="190"/>
      <c r="BZ441" s="190"/>
      <c r="CA441" s="189"/>
      <c r="CB441" s="15"/>
    </row>
    <row r="442" spans="1:80" ht="15" x14ac:dyDescent="0.25">
      <c r="A442" s="167"/>
      <c r="B442" s="642"/>
      <c r="C442" s="642"/>
      <c r="D442" s="179"/>
      <c r="E442" s="169"/>
      <c r="F442" s="169"/>
      <c r="G442" s="186"/>
      <c r="H442" s="187"/>
      <c r="I442" s="187"/>
      <c r="J442" s="187"/>
      <c r="K442" s="187"/>
      <c r="L442" s="647"/>
      <c r="M442" s="646">
        <v>32308</v>
      </c>
      <c r="N442" s="585">
        <v>2.08</v>
      </c>
      <c r="O442" s="585">
        <v>1.9480000000000001E-2</v>
      </c>
      <c r="P442" s="175">
        <v>0</v>
      </c>
      <c r="Q442" s="175">
        <v>0</v>
      </c>
      <c r="R442" s="175">
        <v>0</v>
      </c>
      <c r="S442" s="175">
        <v>2.7100000000000002E-3</v>
      </c>
      <c r="T442" s="175">
        <v>2.7200000000000002E-3</v>
      </c>
      <c r="U442" s="175">
        <v>4.0299999999999997E-3</v>
      </c>
      <c r="V442" s="706">
        <v>1.001E-2</v>
      </c>
      <c r="W442" s="717"/>
      <c r="X442" s="713"/>
      <c r="Y442" s="718"/>
      <c r="Z442" s="709">
        <v>0</v>
      </c>
      <c r="AA442" s="175"/>
      <c r="AB442" s="200"/>
      <c r="AC442" s="205">
        <v>1.9E-2</v>
      </c>
      <c r="AD442" s="175">
        <v>8</v>
      </c>
      <c r="AE442" s="175">
        <v>0.25</v>
      </c>
      <c r="AF442" s="186">
        <f t="shared" si="8"/>
        <v>2</v>
      </c>
      <c r="AG442" s="175">
        <v>1.03</v>
      </c>
      <c r="AH442" s="334"/>
      <c r="AI442" s="188"/>
      <c r="AJ442" s="188"/>
      <c r="AK442" s="188"/>
      <c r="AL442" s="189"/>
      <c r="AM442" s="189"/>
      <c r="AN442" s="189"/>
      <c r="AO442" s="189"/>
      <c r="AP442" s="189"/>
      <c r="AQ442" s="189"/>
      <c r="AR442" s="189"/>
      <c r="AS442" s="189"/>
      <c r="AT442" s="189"/>
      <c r="AU442" s="190"/>
      <c r="AV442" s="190"/>
      <c r="AW442" s="190"/>
      <c r="AX442" s="190"/>
      <c r="AY442" s="190"/>
      <c r="AZ442" s="189"/>
      <c r="BA442" s="189"/>
      <c r="BB442" s="189"/>
      <c r="BC442" s="189"/>
      <c r="BD442" s="189"/>
      <c r="BE442" s="189"/>
      <c r="BF442" s="189"/>
      <c r="BG442" s="189"/>
      <c r="BH442" s="189"/>
      <c r="BI442" s="190"/>
      <c r="BJ442" s="190"/>
      <c r="BK442" s="190"/>
      <c r="BL442" s="190"/>
      <c r="BM442" s="190"/>
      <c r="BN442" s="190"/>
      <c r="BO442" s="190"/>
      <c r="BP442" s="190"/>
      <c r="BQ442" s="190"/>
      <c r="BR442" s="190"/>
      <c r="BS442" s="190"/>
      <c r="BT442" s="190"/>
      <c r="BU442" s="190"/>
      <c r="BV442" s="190"/>
      <c r="BW442" s="190"/>
      <c r="BX442" s="190"/>
      <c r="BY442" s="190"/>
      <c r="BZ442" s="190"/>
      <c r="CA442" s="189"/>
      <c r="CB442" s="15"/>
    </row>
    <row r="443" spans="1:80" ht="15" x14ac:dyDescent="0.25">
      <c r="A443" s="167"/>
      <c r="B443" s="642"/>
      <c r="C443" s="642"/>
      <c r="D443" s="179"/>
      <c r="E443" s="169"/>
      <c r="F443" s="169"/>
      <c r="G443" s="186"/>
      <c r="H443" s="187"/>
      <c r="I443" s="187"/>
      <c r="J443" s="187"/>
      <c r="K443" s="187"/>
      <c r="L443" s="647"/>
      <c r="M443" s="646">
        <v>32309</v>
      </c>
      <c r="N443" s="585">
        <v>1.58</v>
      </c>
      <c r="O443" s="585">
        <v>4.1200000000000004E-3</v>
      </c>
      <c r="P443" s="175">
        <v>0</v>
      </c>
      <c r="Q443" s="175">
        <v>0</v>
      </c>
      <c r="R443" s="175">
        <v>0</v>
      </c>
      <c r="S443" s="175">
        <v>7.2999999999999996E-4</v>
      </c>
      <c r="T443" s="175">
        <v>2.7999999999999998E-4</v>
      </c>
      <c r="U443" s="175">
        <v>7.2000000000000005E-4</v>
      </c>
      <c r="V443" s="706">
        <v>2.3900000000000002E-3</v>
      </c>
      <c r="W443" s="717"/>
      <c r="X443" s="713"/>
      <c r="Y443" s="718"/>
      <c r="Z443" s="709">
        <v>0</v>
      </c>
      <c r="AA443" s="175"/>
      <c r="AB443" s="200"/>
      <c r="AC443" s="205">
        <v>1.9E-2</v>
      </c>
      <c r="AD443" s="175">
        <v>7.7</v>
      </c>
      <c r="AE443" s="175">
        <v>0.23</v>
      </c>
      <c r="AF443" s="186">
        <f t="shared" si="8"/>
        <v>1.7710000000000001</v>
      </c>
      <c r="AG443" s="175">
        <v>0.89</v>
      </c>
      <c r="AH443" s="334"/>
      <c r="AI443" s="188"/>
      <c r="AJ443" s="188"/>
      <c r="AK443" s="188"/>
      <c r="AL443" s="189"/>
      <c r="AM443" s="189"/>
      <c r="AN443" s="189"/>
      <c r="AO443" s="189"/>
      <c r="AP443" s="189"/>
      <c r="AQ443" s="189"/>
      <c r="AR443" s="189"/>
      <c r="AS443" s="189"/>
      <c r="AT443" s="189"/>
      <c r="AU443" s="190"/>
      <c r="AV443" s="190"/>
      <c r="AW443" s="190"/>
      <c r="AX443" s="190"/>
      <c r="AY443" s="190"/>
      <c r="AZ443" s="189"/>
      <c r="BA443" s="189"/>
      <c r="BB443" s="189"/>
      <c r="BC443" s="189"/>
      <c r="BD443" s="189"/>
      <c r="BE443" s="189"/>
      <c r="BF443" s="189"/>
      <c r="BG443" s="189"/>
      <c r="BH443" s="189"/>
      <c r="BI443" s="190"/>
      <c r="BJ443" s="190"/>
      <c r="BK443" s="190"/>
      <c r="BL443" s="190"/>
      <c r="BM443" s="190"/>
      <c r="BN443" s="190"/>
      <c r="BO443" s="190"/>
      <c r="BP443" s="190"/>
      <c r="BQ443" s="190"/>
      <c r="BR443" s="190"/>
      <c r="BS443" s="190"/>
      <c r="BT443" s="190"/>
      <c r="BU443" s="190"/>
      <c r="BV443" s="190"/>
      <c r="BW443" s="190"/>
      <c r="BX443" s="190"/>
      <c r="BY443" s="190"/>
      <c r="BZ443" s="190"/>
      <c r="CA443" s="189"/>
      <c r="CB443" s="15"/>
    </row>
    <row r="444" spans="1:80" ht="15" x14ac:dyDescent="0.25">
      <c r="A444" s="167"/>
      <c r="B444" s="642"/>
      <c r="C444" s="642"/>
      <c r="D444" s="179"/>
      <c r="E444" s="169"/>
      <c r="F444" s="169"/>
      <c r="G444" s="186"/>
      <c r="H444" s="187"/>
      <c r="I444" s="187"/>
      <c r="J444" s="187"/>
      <c r="K444" s="187"/>
      <c r="L444" s="647"/>
      <c r="M444" s="646">
        <v>32310</v>
      </c>
      <c r="N444" s="585">
        <v>1.29</v>
      </c>
      <c r="O444" s="585">
        <v>6.5900000000000004E-3</v>
      </c>
      <c r="P444" s="175">
        <v>0</v>
      </c>
      <c r="Q444" s="175">
        <v>0</v>
      </c>
      <c r="R444" s="175">
        <v>1.1800000000000001E-3</v>
      </c>
      <c r="S444" s="175">
        <v>7.3999999999999999E-4</v>
      </c>
      <c r="T444" s="175">
        <v>6.8999999999999997E-4</v>
      </c>
      <c r="U444" s="175">
        <v>9.7999999999999997E-4</v>
      </c>
      <c r="V444" s="706">
        <v>2.99E-3</v>
      </c>
      <c r="W444" s="717"/>
      <c r="X444" s="713"/>
      <c r="Y444" s="718"/>
      <c r="Z444" s="709">
        <v>0</v>
      </c>
      <c r="AA444" s="175"/>
      <c r="AB444" s="200"/>
      <c r="AC444" s="205">
        <v>1.9E-2</v>
      </c>
      <c r="AD444" s="175">
        <v>7.6</v>
      </c>
      <c r="AE444" s="175">
        <v>0.22</v>
      </c>
      <c r="AF444" s="186">
        <f t="shared" si="8"/>
        <v>1.6719999999999999</v>
      </c>
      <c r="AG444" s="175">
        <v>0.78</v>
      </c>
      <c r="AH444" s="334"/>
      <c r="AI444" s="188"/>
      <c r="AJ444" s="188"/>
      <c r="AK444" s="188"/>
      <c r="AL444" s="189"/>
      <c r="AM444" s="189"/>
      <c r="AN444" s="189"/>
      <c r="AO444" s="189"/>
      <c r="AP444" s="189"/>
      <c r="AQ444" s="189"/>
      <c r="AR444" s="189"/>
      <c r="AS444" s="189"/>
      <c r="AT444" s="189"/>
      <c r="AU444" s="190"/>
      <c r="AV444" s="190"/>
      <c r="AW444" s="190"/>
      <c r="AX444" s="190"/>
      <c r="AY444" s="190"/>
      <c r="AZ444" s="189"/>
      <c r="BA444" s="189"/>
      <c r="BB444" s="189"/>
      <c r="BC444" s="189"/>
      <c r="BD444" s="189"/>
      <c r="BE444" s="189"/>
      <c r="BF444" s="189"/>
      <c r="BG444" s="189"/>
      <c r="BH444" s="189"/>
      <c r="BI444" s="190"/>
      <c r="BJ444" s="190"/>
      <c r="BK444" s="190"/>
      <c r="BL444" s="190"/>
      <c r="BM444" s="190"/>
      <c r="BN444" s="190"/>
      <c r="BO444" s="190"/>
      <c r="BP444" s="190"/>
      <c r="BQ444" s="190"/>
      <c r="BR444" s="190"/>
      <c r="BS444" s="190"/>
      <c r="BT444" s="190"/>
      <c r="BU444" s="190"/>
      <c r="BV444" s="190"/>
      <c r="BW444" s="190"/>
      <c r="BX444" s="190"/>
      <c r="BY444" s="190"/>
      <c r="BZ444" s="190"/>
      <c r="CA444" s="189"/>
      <c r="CB444" s="15"/>
    </row>
    <row r="445" spans="1:80" ht="15" x14ac:dyDescent="0.25">
      <c r="A445" s="167"/>
      <c r="B445" s="642"/>
      <c r="C445" s="642"/>
      <c r="D445" s="179"/>
      <c r="E445" s="169"/>
      <c r="F445" s="169"/>
      <c r="G445" s="186"/>
      <c r="H445" s="187"/>
      <c r="I445" s="187"/>
      <c r="J445" s="187"/>
      <c r="K445" s="187"/>
      <c r="L445" s="647"/>
      <c r="M445" s="646">
        <v>32311</v>
      </c>
      <c r="N445" s="585">
        <v>1.07</v>
      </c>
      <c r="O445" s="585">
        <v>1.2800000000000001E-3</v>
      </c>
      <c r="P445" s="175">
        <v>0</v>
      </c>
      <c r="Q445" s="175">
        <v>0</v>
      </c>
      <c r="R445" s="175">
        <v>0</v>
      </c>
      <c r="S445" s="175">
        <v>0</v>
      </c>
      <c r="T445" s="175">
        <v>2.0000000000000002E-5</v>
      </c>
      <c r="U445" s="175">
        <v>2.4000000000000001E-4</v>
      </c>
      <c r="V445" s="706">
        <v>1.0200000000000001E-3</v>
      </c>
      <c r="W445" s="717"/>
      <c r="X445" s="713"/>
      <c r="Y445" s="718"/>
      <c r="Z445" s="709">
        <v>0</v>
      </c>
      <c r="AA445" s="175"/>
      <c r="AB445" s="200"/>
      <c r="AC445" s="205">
        <v>1.9E-2</v>
      </c>
      <c r="AD445" s="175">
        <v>7.5</v>
      </c>
      <c r="AE445" s="175">
        <v>0.2</v>
      </c>
      <c r="AF445" s="186">
        <f t="shared" si="8"/>
        <v>1.5</v>
      </c>
      <c r="AG445" s="175">
        <v>0.7</v>
      </c>
      <c r="AH445" s="334"/>
      <c r="AI445" s="188"/>
      <c r="AJ445" s="188"/>
      <c r="AK445" s="188"/>
      <c r="AL445" s="189"/>
      <c r="AM445" s="189"/>
      <c r="AN445" s="189"/>
      <c r="AO445" s="189"/>
      <c r="AP445" s="189"/>
      <c r="AQ445" s="189"/>
      <c r="AR445" s="189"/>
      <c r="AS445" s="189"/>
      <c r="AT445" s="189"/>
      <c r="AU445" s="190"/>
      <c r="AV445" s="190"/>
      <c r="AW445" s="190"/>
      <c r="AX445" s="190"/>
      <c r="AY445" s="190"/>
      <c r="AZ445" s="189"/>
      <c r="BA445" s="189"/>
      <c r="BB445" s="189"/>
      <c r="BC445" s="189"/>
      <c r="BD445" s="189"/>
      <c r="BE445" s="189"/>
      <c r="BF445" s="189"/>
      <c r="BG445" s="189"/>
      <c r="BH445" s="189"/>
      <c r="BI445" s="190"/>
      <c r="BJ445" s="190"/>
      <c r="BK445" s="190"/>
      <c r="BL445" s="190"/>
      <c r="BM445" s="190"/>
      <c r="BN445" s="190"/>
      <c r="BO445" s="190"/>
      <c r="BP445" s="190"/>
      <c r="BQ445" s="190"/>
      <c r="BR445" s="190"/>
      <c r="BS445" s="190"/>
      <c r="BT445" s="190"/>
      <c r="BU445" s="190"/>
      <c r="BV445" s="190"/>
      <c r="BW445" s="190"/>
      <c r="BX445" s="190"/>
      <c r="BY445" s="190"/>
      <c r="BZ445" s="190"/>
      <c r="CA445" s="189"/>
      <c r="CB445" s="15"/>
    </row>
    <row r="446" spans="1:80" ht="15" x14ac:dyDescent="0.25">
      <c r="A446" s="167"/>
      <c r="B446" s="642"/>
      <c r="C446" s="642"/>
      <c r="D446" s="179"/>
      <c r="E446" s="169"/>
      <c r="F446" s="169"/>
      <c r="G446" s="186"/>
      <c r="H446" s="187"/>
      <c r="I446" s="187"/>
      <c r="J446" s="187"/>
      <c r="K446" s="187"/>
      <c r="L446" s="647"/>
      <c r="M446" s="646">
        <v>32312</v>
      </c>
      <c r="N446" s="585">
        <v>1.08</v>
      </c>
      <c r="O446" s="585">
        <v>3.49E-3</v>
      </c>
      <c r="P446" s="175">
        <v>0</v>
      </c>
      <c r="Q446" s="175">
        <v>0</v>
      </c>
      <c r="R446" s="175">
        <v>0</v>
      </c>
      <c r="S446" s="175">
        <v>9.3999999999999997E-4</v>
      </c>
      <c r="T446" s="175">
        <v>2.5999999999999998E-4</v>
      </c>
      <c r="U446" s="175">
        <v>6.9999999999999999E-4</v>
      </c>
      <c r="V446" s="706">
        <v>1.5900000000000001E-3</v>
      </c>
      <c r="W446" s="717"/>
      <c r="X446" s="713"/>
      <c r="Y446" s="718"/>
      <c r="Z446" s="709">
        <v>0</v>
      </c>
      <c r="AA446" s="175"/>
      <c r="AB446" s="200"/>
      <c r="AC446" s="205">
        <v>1.9E-2</v>
      </c>
      <c r="AD446" s="175">
        <v>7.55</v>
      </c>
      <c r="AE446" s="175">
        <v>0.21</v>
      </c>
      <c r="AF446" s="186">
        <f t="shared" si="8"/>
        <v>1.5854999999999999</v>
      </c>
      <c r="AG446" s="175">
        <v>0.67</v>
      </c>
      <c r="AH446" s="334"/>
      <c r="AI446" s="188"/>
      <c r="AJ446" s="188"/>
      <c r="AK446" s="188"/>
      <c r="AL446" s="189"/>
      <c r="AM446" s="189"/>
      <c r="AN446" s="189"/>
      <c r="AO446" s="189"/>
      <c r="AP446" s="189"/>
      <c r="AQ446" s="189"/>
      <c r="AR446" s="189"/>
      <c r="AS446" s="189"/>
      <c r="AT446" s="189"/>
      <c r="AU446" s="190"/>
      <c r="AV446" s="190"/>
      <c r="AW446" s="190"/>
      <c r="AX446" s="190"/>
      <c r="AY446" s="190"/>
      <c r="AZ446" s="189"/>
      <c r="BA446" s="189"/>
      <c r="BB446" s="189"/>
      <c r="BC446" s="189"/>
      <c r="BD446" s="189"/>
      <c r="BE446" s="189"/>
      <c r="BF446" s="189"/>
      <c r="BG446" s="189"/>
      <c r="BH446" s="189"/>
      <c r="BI446" s="190"/>
      <c r="BJ446" s="190"/>
      <c r="BK446" s="190"/>
      <c r="BL446" s="190"/>
      <c r="BM446" s="190"/>
      <c r="BN446" s="190"/>
      <c r="BO446" s="190"/>
      <c r="BP446" s="190"/>
      <c r="BQ446" s="190"/>
      <c r="BR446" s="190"/>
      <c r="BS446" s="190"/>
      <c r="BT446" s="190"/>
      <c r="BU446" s="190"/>
      <c r="BV446" s="190"/>
      <c r="BW446" s="190"/>
      <c r="BX446" s="190"/>
      <c r="BY446" s="190"/>
      <c r="BZ446" s="190"/>
      <c r="CA446" s="189"/>
      <c r="CB446" s="15"/>
    </row>
    <row r="447" spans="1:80" ht="15" x14ac:dyDescent="0.25">
      <c r="A447" s="167"/>
      <c r="B447" s="642"/>
      <c r="C447" s="642"/>
      <c r="D447" s="179"/>
      <c r="E447" s="169"/>
      <c r="F447" s="169"/>
      <c r="G447" s="186"/>
      <c r="H447" s="187"/>
      <c r="I447" s="187"/>
      <c r="J447" s="187"/>
      <c r="K447" s="187"/>
      <c r="L447" s="647"/>
      <c r="M447" s="646">
        <v>32317</v>
      </c>
      <c r="N447" s="585">
        <v>1.3</v>
      </c>
      <c r="O447" s="585">
        <v>2.3700000000000001E-3</v>
      </c>
      <c r="P447" s="175">
        <v>0</v>
      </c>
      <c r="Q447" s="175">
        <v>0</v>
      </c>
      <c r="R447" s="175">
        <v>7.2999999999999996E-4</v>
      </c>
      <c r="S447" s="175">
        <v>1.2E-4</v>
      </c>
      <c r="T447" s="175">
        <v>2.9999999999999997E-4</v>
      </c>
      <c r="U447" s="175">
        <v>3.8999999999999999E-4</v>
      </c>
      <c r="V447" s="706">
        <v>8.3000000000000001E-4</v>
      </c>
      <c r="W447" s="717"/>
      <c r="X447" s="713"/>
      <c r="Y447" s="718"/>
      <c r="Z447" s="709">
        <v>0</v>
      </c>
      <c r="AA447" s="175"/>
      <c r="AB447" s="200"/>
      <c r="AC447" s="205">
        <v>1.9E-2</v>
      </c>
      <c r="AD447" s="175">
        <v>7.6</v>
      </c>
      <c r="AE447" s="175">
        <v>0.22</v>
      </c>
      <c r="AF447" s="186">
        <f t="shared" si="8"/>
        <v>1.6719999999999999</v>
      </c>
      <c r="AG447" s="175">
        <v>0.78</v>
      </c>
      <c r="AH447" s="334"/>
      <c r="AI447" s="188"/>
      <c r="AJ447" s="188"/>
      <c r="AK447" s="188"/>
      <c r="AL447" s="189"/>
      <c r="AM447" s="189"/>
      <c r="AN447" s="189"/>
      <c r="AO447" s="189"/>
      <c r="AP447" s="189"/>
      <c r="AQ447" s="189"/>
      <c r="AR447" s="189"/>
      <c r="AS447" s="189"/>
      <c r="AT447" s="189"/>
      <c r="AU447" s="190"/>
      <c r="AV447" s="190"/>
      <c r="AW447" s="190"/>
      <c r="AX447" s="190"/>
      <c r="AY447" s="190"/>
      <c r="AZ447" s="189"/>
      <c r="BA447" s="189"/>
      <c r="BB447" s="189"/>
      <c r="BC447" s="189"/>
      <c r="BD447" s="189"/>
      <c r="BE447" s="189"/>
      <c r="BF447" s="189"/>
      <c r="BG447" s="189"/>
      <c r="BH447" s="189"/>
      <c r="BI447" s="190"/>
      <c r="BJ447" s="190"/>
      <c r="BK447" s="190"/>
      <c r="BL447" s="190"/>
      <c r="BM447" s="190"/>
      <c r="BN447" s="190"/>
      <c r="BO447" s="190"/>
      <c r="BP447" s="190"/>
      <c r="BQ447" s="190"/>
      <c r="BR447" s="190"/>
      <c r="BS447" s="190"/>
      <c r="BT447" s="190"/>
      <c r="BU447" s="190"/>
      <c r="BV447" s="190"/>
      <c r="BW447" s="190"/>
      <c r="BX447" s="190"/>
      <c r="BY447" s="190"/>
      <c r="BZ447" s="190"/>
      <c r="CA447" s="189"/>
      <c r="CB447" s="15"/>
    </row>
    <row r="448" spans="1:80" ht="15" x14ac:dyDescent="0.25">
      <c r="A448" s="167"/>
      <c r="B448" s="642"/>
      <c r="C448" s="642"/>
      <c r="D448" s="179"/>
      <c r="E448" s="169"/>
      <c r="F448" s="169"/>
      <c r="G448" s="186"/>
      <c r="H448" s="187"/>
      <c r="I448" s="187"/>
      <c r="J448" s="187"/>
      <c r="K448" s="187"/>
      <c r="L448" s="647"/>
      <c r="M448" s="646">
        <v>32331</v>
      </c>
      <c r="N448" s="585">
        <v>1</v>
      </c>
      <c r="O448" s="585">
        <v>5.2900000000000004E-3</v>
      </c>
      <c r="P448" s="175">
        <v>0</v>
      </c>
      <c r="Q448" s="175">
        <v>0</v>
      </c>
      <c r="R448" s="175">
        <v>4.8000000000000001E-4</v>
      </c>
      <c r="S448" s="175">
        <v>8.0000000000000004E-4</v>
      </c>
      <c r="T448" s="175">
        <v>6.4000000000000005E-4</v>
      </c>
      <c r="U448" s="175">
        <v>1.1199999999999999E-3</v>
      </c>
      <c r="V448" s="706">
        <v>2.2499999999999998E-3</v>
      </c>
      <c r="W448" s="717"/>
      <c r="X448" s="713"/>
      <c r="Y448" s="718"/>
      <c r="Z448" s="709">
        <v>0</v>
      </c>
      <c r="AA448" s="175"/>
      <c r="AB448" s="200"/>
      <c r="AC448" s="205">
        <v>1.9E-2</v>
      </c>
      <c r="AD448" s="175">
        <v>7.55</v>
      </c>
      <c r="AE448" s="175">
        <v>0.2</v>
      </c>
      <c r="AF448" s="186">
        <f t="shared" si="8"/>
        <v>1.51</v>
      </c>
      <c r="AG448" s="175">
        <v>0.67</v>
      </c>
      <c r="AH448" s="334"/>
      <c r="AI448" s="188"/>
      <c r="AJ448" s="188"/>
      <c r="AK448" s="188"/>
      <c r="AL448" s="189"/>
      <c r="AM448" s="189"/>
      <c r="AN448" s="189"/>
      <c r="AO448" s="189"/>
      <c r="AP448" s="189"/>
      <c r="AQ448" s="189"/>
      <c r="AR448" s="189"/>
      <c r="AS448" s="189"/>
      <c r="AT448" s="189"/>
      <c r="AU448" s="190"/>
      <c r="AV448" s="190"/>
      <c r="AW448" s="190"/>
      <c r="AX448" s="190"/>
      <c r="AY448" s="190"/>
      <c r="AZ448" s="189"/>
      <c r="BA448" s="189"/>
      <c r="BB448" s="189"/>
      <c r="BC448" s="189"/>
      <c r="BD448" s="189"/>
      <c r="BE448" s="189"/>
      <c r="BF448" s="189"/>
      <c r="BG448" s="189"/>
      <c r="BH448" s="189"/>
      <c r="BI448" s="190"/>
      <c r="BJ448" s="190"/>
      <c r="BK448" s="190"/>
      <c r="BL448" s="190"/>
      <c r="BM448" s="190"/>
      <c r="BN448" s="190"/>
      <c r="BO448" s="190"/>
      <c r="BP448" s="190"/>
      <c r="BQ448" s="190"/>
      <c r="BR448" s="190"/>
      <c r="BS448" s="190"/>
      <c r="BT448" s="190"/>
      <c r="BU448" s="190"/>
      <c r="BV448" s="190"/>
      <c r="BW448" s="190"/>
      <c r="BX448" s="190"/>
      <c r="BY448" s="190"/>
      <c r="BZ448" s="190"/>
      <c r="CA448" s="189"/>
      <c r="CB448" s="15"/>
    </row>
    <row r="449" spans="1:80" ht="15" x14ac:dyDescent="0.25">
      <c r="A449" s="167"/>
      <c r="B449" s="642"/>
      <c r="C449" s="642"/>
      <c r="D449" s="179"/>
      <c r="E449" s="169"/>
      <c r="F449" s="169"/>
      <c r="G449" s="186"/>
      <c r="H449" s="187"/>
      <c r="I449" s="187"/>
      <c r="J449" s="187"/>
      <c r="K449" s="187"/>
      <c r="L449" s="647"/>
      <c r="M449" s="646">
        <v>32337</v>
      </c>
      <c r="N449" s="585">
        <v>0.54</v>
      </c>
      <c r="O449" s="585">
        <v>1.8400000000000001E-3</v>
      </c>
      <c r="P449" s="175">
        <v>0</v>
      </c>
      <c r="Q449" s="175">
        <v>0</v>
      </c>
      <c r="R449" s="175">
        <v>0</v>
      </c>
      <c r="S449" s="175">
        <v>0</v>
      </c>
      <c r="T449" s="175">
        <v>2.1000000000000001E-4</v>
      </c>
      <c r="U449" s="175">
        <v>3.8000000000000002E-4</v>
      </c>
      <c r="V449" s="706">
        <v>1.25E-3</v>
      </c>
      <c r="W449" s="717"/>
      <c r="X449" s="713"/>
      <c r="Y449" s="718"/>
      <c r="Z449" s="709">
        <v>0</v>
      </c>
      <c r="AA449" s="175"/>
      <c r="AB449" s="200"/>
      <c r="AC449" s="205">
        <v>1.9E-2</v>
      </c>
      <c r="AD449" s="175">
        <v>7.55</v>
      </c>
      <c r="AE449" s="175">
        <v>0.13</v>
      </c>
      <c r="AF449" s="186">
        <f t="shared" si="8"/>
        <v>0.98150000000000004</v>
      </c>
      <c r="AG449" s="175">
        <v>0.54</v>
      </c>
      <c r="AH449" s="334"/>
      <c r="AI449" s="188"/>
      <c r="AJ449" s="188"/>
      <c r="AK449" s="188"/>
      <c r="AL449" s="189"/>
      <c r="AM449" s="189"/>
      <c r="AN449" s="189"/>
      <c r="AO449" s="189"/>
      <c r="AP449" s="189"/>
      <c r="AQ449" s="189"/>
      <c r="AR449" s="189"/>
      <c r="AS449" s="189"/>
      <c r="AT449" s="189"/>
      <c r="AU449" s="190"/>
      <c r="AV449" s="190"/>
      <c r="AW449" s="190"/>
      <c r="AX449" s="190"/>
      <c r="AY449" s="190"/>
      <c r="AZ449" s="189"/>
      <c r="BA449" s="189"/>
      <c r="BB449" s="189"/>
      <c r="BC449" s="189"/>
      <c r="BD449" s="189"/>
      <c r="BE449" s="189"/>
      <c r="BF449" s="189"/>
      <c r="BG449" s="189"/>
      <c r="BH449" s="189"/>
      <c r="BI449" s="190"/>
      <c r="BJ449" s="190"/>
      <c r="BK449" s="190"/>
      <c r="BL449" s="190"/>
      <c r="BM449" s="190"/>
      <c r="BN449" s="190"/>
      <c r="BO449" s="190"/>
      <c r="BP449" s="190"/>
      <c r="BQ449" s="190"/>
      <c r="BR449" s="190"/>
      <c r="BS449" s="190"/>
      <c r="BT449" s="190"/>
      <c r="BU449" s="190"/>
      <c r="BV449" s="190"/>
      <c r="BW449" s="190"/>
      <c r="BX449" s="190"/>
      <c r="BY449" s="190"/>
      <c r="BZ449" s="190"/>
      <c r="CA449" s="189"/>
      <c r="CB449" s="15"/>
    </row>
    <row r="450" spans="1:80" ht="15" x14ac:dyDescent="0.25">
      <c r="A450" s="167"/>
      <c r="B450" s="642"/>
      <c r="C450" s="642"/>
      <c r="D450" s="179"/>
      <c r="E450" s="169"/>
      <c r="F450" s="169"/>
      <c r="G450" s="186"/>
      <c r="H450" s="187"/>
      <c r="I450" s="187"/>
      <c r="J450" s="187"/>
      <c r="K450" s="187"/>
      <c r="L450" s="647"/>
      <c r="M450" s="646">
        <v>32652</v>
      </c>
      <c r="N450" s="585">
        <v>1.94</v>
      </c>
      <c r="O450" s="585">
        <v>2.5669999999999998E-2</v>
      </c>
      <c r="P450" s="175">
        <v>0</v>
      </c>
      <c r="Q450" s="175">
        <v>0</v>
      </c>
      <c r="R450" s="175">
        <v>5.47E-3</v>
      </c>
      <c r="S450" s="175">
        <v>3.8300000000000001E-3</v>
      </c>
      <c r="T450" s="175">
        <v>3.9100000000000003E-3</v>
      </c>
      <c r="U450" s="175">
        <v>3.6800000000000001E-3</v>
      </c>
      <c r="V450" s="706">
        <v>8.7799999999999996E-3</v>
      </c>
      <c r="W450" s="717"/>
      <c r="X450" s="713"/>
      <c r="Y450" s="718"/>
      <c r="Z450" s="709">
        <v>0</v>
      </c>
      <c r="AA450" s="175"/>
      <c r="AB450" s="200"/>
      <c r="AC450" s="205">
        <v>1.6E-2</v>
      </c>
      <c r="AD450" s="175">
        <v>7.9</v>
      </c>
      <c r="AE450" s="175">
        <v>0.28000000000000003</v>
      </c>
      <c r="AF450" s="186">
        <f t="shared" si="8"/>
        <v>2.2120000000000002</v>
      </c>
      <c r="AG450" s="175">
        <v>0.89</v>
      </c>
      <c r="AH450" s="334"/>
      <c r="AI450" s="188"/>
      <c r="AJ450" s="188"/>
      <c r="AK450" s="188"/>
      <c r="AL450" s="189"/>
      <c r="AM450" s="189"/>
      <c r="AN450" s="189"/>
      <c r="AO450" s="189"/>
      <c r="AP450" s="189"/>
      <c r="AQ450" s="189"/>
      <c r="AR450" s="189"/>
      <c r="AS450" s="189"/>
      <c r="AT450" s="189"/>
      <c r="AU450" s="190"/>
      <c r="AV450" s="190"/>
      <c r="AW450" s="190"/>
      <c r="AX450" s="190"/>
      <c r="AY450" s="190"/>
      <c r="AZ450" s="189"/>
      <c r="BA450" s="189"/>
      <c r="BB450" s="189"/>
      <c r="BC450" s="189"/>
      <c r="BD450" s="189"/>
      <c r="BE450" s="189"/>
      <c r="BF450" s="189"/>
      <c r="BG450" s="189"/>
      <c r="BH450" s="189"/>
      <c r="BI450" s="190"/>
      <c r="BJ450" s="190"/>
      <c r="BK450" s="190"/>
      <c r="BL450" s="190"/>
      <c r="BM450" s="190"/>
      <c r="BN450" s="190"/>
      <c r="BO450" s="190"/>
      <c r="BP450" s="190"/>
      <c r="BQ450" s="190"/>
      <c r="BR450" s="190"/>
      <c r="BS450" s="190"/>
      <c r="BT450" s="190"/>
      <c r="BU450" s="190"/>
      <c r="BV450" s="190"/>
      <c r="BW450" s="190"/>
      <c r="BX450" s="190"/>
      <c r="BY450" s="190"/>
      <c r="BZ450" s="190"/>
      <c r="CA450" s="189"/>
      <c r="CB450" s="15"/>
    </row>
    <row r="451" spans="1:80" ht="15" x14ac:dyDescent="0.25">
      <c r="A451" s="167"/>
      <c r="B451" s="642"/>
      <c r="C451" s="642"/>
      <c r="D451" s="179"/>
      <c r="E451" s="169"/>
      <c r="F451" s="169"/>
      <c r="G451" s="186"/>
      <c r="H451" s="187"/>
      <c r="I451" s="187"/>
      <c r="J451" s="187"/>
      <c r="K451" s="187"/>
      <c r="L451" s="647"/>
      <c r="M451" s="646">
        <v>32654</v>
      </c>
      <c r="N451" s="585">
        <v>1.7</v>
      </c>
      <c r="O451" s="585">
        <v>2.0969999999999999E-2</v>
      </c>
      <c r="P451" s="175">
        <v>0</v>
      </c>
      <c r="Q451" s="175">
        <v>0</v>
      </c>
      <c r="R451" s="175">
        <v>4.8999999999999998E-3</v>
      </c>
      <c r="S451" s="175">
        <v>3.9500000000000004E-3</v>
      </c>
      <c r="T451" s="175">
        <v>2.7299999999999998E-3</v>
      </c>
      <c r="U451" s="175">
        <v>2.97E-3</v>
      </c>
      <c r="V451" s="706">
        <v>6.4200000000000004E-3</v>
      </c>
      <c r="W451" s="717"/>
      <c r="X451" s="713"/>
      <c r="Y451" s="718"/>
      <c r="Z451" s="709">
        <v>0</v>
      </c>
      <c r="AA451" s="175"/>
      <c r="AB451" s="200"/>
      <c r="AC451" s="205">
        <v>1.4999999999999999E-2</v>
      </c>
      <c r="AD451" s="175">
        <v>7.9</v>
      </c>
      <c r="AE451" s="175">
        <v>0.27</v>
      </c>
      <c r="AF451" s="186">
        <f t="shared" si="8"/>
        <v>2.1330000000000005</v>
      </c>
      <c r="AG451" s="175">
        <v>0.78</v>
      </c>
      <c r="AH451" s="334"/>
      <c r="AI451" s="188"/>
      <c r="AJ451" s="188"/>
      <c r="AK451" s="188"/>
      <c r="AL451" s="189"/>
      <c r="AM451" s="189"/>
      <c r="AN451" s="189"/>
      <c r="AO451" s="189"/>
      <c r="AP451" s="189"/>
      <c r="AQ451" s="189"/>
      <c r="AR451" s="189"/>
      <c r="AS451" s="189"/>
      <c r="AT451" s="189"/>
      <c r="AU451" s="190"/>
      <c r="AV451" s="190"/>
      <c r="AW451" s="190"/>
      <c r="AX451" s="190"/>
      <c r="AY451" s="190"/>
      <c r="AZ451" s="189"/>
      <c r="BA451" s="189"/>
      <c r="BB451" s="189"/>
      <c r="BC451" s="189"/>
      <c r="BD451" s="189"/>
      <c r="BE451" s="189"/>
      <c r="BF451" s="189"/>
      <c r="BG451" s="189"/>
      <c r="BH451" s="189"/>
      <c r="BI451" s="190"/>
      <c r="BJ451" s="190"/>
      <c r="BK451" s="190"/>
      <c r="BL451" s="190"/>
      <c r="BM451" s="190"/>
      <c r="BN451" s="190"/>
      <c r="BO451" s="190"/>
      <c r="BP451" s="190"/>
      <c r="BQ451" s="190"/>
      <c r="BR451" s="190"/>
      <c r="BS451" s="190"/>
      <c r="BT451" s="190"/>
      <c r="BU451" s="190"/>
      <c r="BV451" s="190"/>
      <c r="BW451" s="190"/>
      <c r="BX451" s="190"/>
      <c r="BY451" s="190"/>
      <c r="BZ451" s="190"/>
      <c r="CA451" s="189"/>
      <c r="CB451" s="15"/>
    </row>
    <row r="452" spans="1:80" ht="15" x14ac:dyDescent="0.25">
      <c r="A452" s="167"/>
      <c r="B452" s="642"/>
      <c r="C452" s="642"/>
      <c r="D452" s="179"/>
      <c r="E452" s="169"/>
      <c r="F452" s="169"/>
      <c r="G452" s="186"/>
      <c r="H452" s="187"/>
      <c r="I452" s="187"/>
      <c r="J452" s="187"/>
      <c r="K452" s="187"/>
      <c r="L452" s="647"/>
      <c r="M452" s="646">
        <v>32655</v>
      </c>
      <c r="N452" s="585">
        <v>2.5</v>
      </c>
      <c r="O452" s="585">
        <v>7.2529999999999997E-2</v>
      </c>
      <c r="P452" s="175">
        <v>0</v>
      </c>
      <c r="Q452" s="175">
        <v>7.1599999999999997E-3</v>
      </c>
      <c r="R452" s="175">
        <v>1.6240000000000001E-2</v>
      </c>
      <c r="S452" s="175">
        <v>1.06E-2</v>
      </c>
      <c r="T452" s="175">
        <v>6.6600000000000001E-3</v>
      </c>
      <c r="U452" s="175">
        <v>6.8500000000000002E-3</v>
      </c>
      <c r="V452" s="706">
        <v>2.5020000000000001E-2</v>
      </c>
      <c r="W452" s="717"/>
      <c r="X452" s="713"/>
      <c r="Y452" s="718"/>
      <c r="Z452" s="709">
        <v>0</v>
      </c>
      <c r="AA452" s="175"/>
      <c r="AB452" s="200"/>
      <c r="AC452" s="205">
        <v>1.7000000000000001E-2</v>
      </c>
      <c r="AD452" s="175">
        <v>8.1</v>
      </c>
      <c r="AE452" s="175">
        <v>0.32</v>
      </c>
      <c r="AF452" s="186">
        <f t="shared" si="8"/>
        <v>2.5920000000000001</v>
      </c>
      <c r="AG452" s="175">
        <v>0.97</v>
      </c>
      <c r="AH452" s="334"/>
      <c r="AI452" s="188"/>
      <c r="AJ452" s="188"/>
      <c r="AK452" s="188"/>
      <c r="AL452" s="189"/>
      <c r="AM452" s="189"/>
      <c r="AN452" s="189"/>
      <c r="AO452" s="189"/>
      <c r="AP452" s="189"/>
      <c r="AQ452" s="189"/>
      <c r="AR452" s="189"/>
      <c r="AS452" s="189"/>
      <c r="AT452" s="189"/>
      <c r="AU452" s="190"/>
      <c r="AV452" s="190"/>
      <c r="AW452" s="190"/>
      <c r="AX452" s="190"/>
      <c r="AY452" s="190"/>
      <c r="AZ452" s="189"/>
      <c r="BA452" s="189"/>
      <c r="BB452" s="189"/>
      <c r="BC452" s="189"/>
      <c r="BD452" s="189"/>
      <c r="BE452" s="189"/>
      <c r="BF452" s="189"/>
      <c r="BG452" s="189"/>
      <c r="BH452" s="189"/>
      <c r="BI452" s="190"/>
      <c r="BJ452" s="190"/>
      <c r="BK452" s="190"/>
      <c r="BL452" s="190"/>
      <c r="BM452" s="190"/>
      <c r="BN452" s="190"/>
      <c r="BO452" s="190"/>
      <c r="BP452" s="190"/>
      <c r="BQ452" s="190"/>
      <c r="BR452" s="190"/>
      <c r="BS452" s="190"/>
      <c r="BT452" s="190"/>
      <c r="BU452" s="190"/>
      <c r="BV452" s="190"/>
      <c r="BW452" s="190"/>
      <c r="BX452" s="190"/>
      <c r="BY452" s="190"/>
      <c r="BZ452" s="190"/>
      <c r="CA452" s="189"/>
      <c r="CB452" s="15"/>
    </row>
    <row r="453" spans="1:80" ht="15" x14ac:dyDescent="0.25">
      <c r="A453" s="167"/>
      <c r="B453" s="642"/>
      <c r="C453" s="642"/>
      <c r="D453" s="179"/>
      <c r="E453" s="169"/>
      <c r="F453" s="169"/>
      <c r="G453" s="186"/>
      <c r="H453" s="187"/>
      <c r="I453" s="187"/>
      <c r="J453" s="187"/>
      <c r="K453" s="187"/>
      <c r="L453" s="647"/>
      <c r="M453" s="646">
        <v>32659</v>
      </c>
      <c r="N453" s="585">
        <v>3.69</v>
      </c>
      <c r="O453" s="585">
        <v>7.2480000000000003E-2</v>
      </c>
      <c r="P453" s="175">
        <v>0</v>
      </c>
      <c r="Q453" s="175">
        <v>5.7600000000000004E-3</v>
      </c>
      <c r="R453" s="175">
        <v>1.1050000000000001E-2</v>
      </c>
      <c r="S453" s="175">
        <v>6.7600000000000004E-3</v>
      </c>
      <c r="T453" s="175">
        <v>1.217E-2</v>
      </c>
      <c r="U453" s="175">
        <v>1.346E-2</v>
      </c>
      <c r="V453" s="706">
        <v>2.3279999999999999E-2</v>
      </c>
      <c r="W453" s="717"/>
      <c r="X453" s="713"/>
      <c r="Y453" s="718"/>
      <c r="Z453" s="709">
        <v>0</v>
      </c>
      <c r="AA453" s="175"/>
      <c r="AB453" s="200"/>
      <c r="AC453" s="205">
        <v>1.7000000000000001E-2</v>
      </c>
      <c r="AD453" s="175">
        <v>8.1</v>
      </c>
      <c r="AE453" s="175">
        <v>0.4</v>
      </c>
      <c r="AF453" s="186">
        <f t="shared" si="8"/>
        <v>3.24</v>
      </c>
      <c r="AG453" s="175">
        <v>1.1399999999999999</v>
      </c>
      <c r="AH453" s="334"/>
      <c r="AI453" s="188"/>
      <c r="AJ453" s="188"/>
      <c r="AK453" s="188"/>
      <c r="AL453" s="189"/>
      <c r="AM453" s="189"/>
      <c r="AN453" s="189"/>
      <c r="AO453" s="189"/>
      <c r="AP453" s="189"/>
      <c r="AQ453" s="189"/>
      <c r="AR453" s="189"/>
      <c r="AS453" s="189"/>
      <c r="AT453" s="189"/>
      <c r="AU453" s="190"/>
      <c r="AV453" s="190"/>
      <c r="AW453" s="190"/>
      <c r="AX453" s="190"/>
      <c r="AY453" s="190"/>
      <c r="AZ453" s="189"/>
      <c r="BA453" s="189"/>
      <c r="BB453" s="189"/>
      <c r="BC453" s="189"/>
      <c r="BD453" s="189"/>
      <c r="BE453" s="189"/>
      <c r="BF453" s="189"/>
      <c r="BG453" s="189"/>
      <c r="BH453" s="189"/>
      <c r="BI453" s="190"/>
      <c r="BJ453" s="190"/>
      <c r="BK453" s="190"/>
      <c r="BL453" s="190"/>
      <c r="BM453" s="190"/>
      <c r="BN453" s="190"/>
      <c r="BO453" s="190"/>
      <c r="BP453" s="190"/>
      <c r="BQ453" s="190"/>
      <c r="BR453" s="190"/>
      <c r="BS453" s="190"/>
      <c r="BT453" s="190"/>
      <c r="BU453" s="190"/>
      <c r="BV453" s="190"/>
      <c r="BW453" s="190"/>
      <c r="BX453" s="190"/>
      <c r="BY453" s="190"/>
      <c r="BZ453" s="190"/>
      <c r="CA453" s="189"/>
      <c r="CB453" s="15"/>
    </row>
    <row r="454" spans="1:80" ht="15" x14ac:dyDescent="0.25">
      <c r="A454" s="167"/>
      <c r="B454" s="642"/>
      <c r="C454" s="642"/>
      <c r="D454" s="179"/>
      <c r="E454" s="169"/>
      <c r="F454" s="169"/>
      <c r="G454" s="186"/>
      <c r="H454" s="187"/>
      <c r="I454" s="187"/>
      <c r="J454" s="187"/>
      <c r="K454" s="187"/>
      <c r="L454" s="647"/>
      <c r="M454" s="646">
        <v>32664</v>
      </c>
      <c r="N454" s="585">
        <v>2.74</v>
      </c>
      <c r="O454" s="585">
        <v>1.6299999999999999E-2</v>
      </c>
      <c r="P454" s="175">
        <v>0</v>
      </c>
      <c r="Q454" s="175">
        <v>0</v>
      </c>
      <c r="R454" s="175">
        <v>3.3500000000000001E-3</v>
      </c>
      <c r="S454" s="175">
        <v>2.0899999999999998E-3</v>
      </c>
      <c r="T454" s="175">
        <v>2.1900000000000001E-3</v>
      </c>
      <c r="U454" s="175">
        <v>2.63E-3</v>
      </c>
      <c r="V454" s="706">
        <v>6.0400000000000002E-3</v>
      </c>
      <c r="W454" s="717"/>
      <c r="X454" s="713"/>
      <c r="Y454" s="718"/>
      <c r="Z454" s="709">
        <v>0</v>
      </c>
      <c r="AA454" s="175"/>
      <c r="AB454" s="200"/>
      <c r="AC454" s="205">
        <v>1.7999999999999999E-2</v>
      </c>
      <c r="AD454" s="175">
        <v>8</v>
      </c>
      <c r="AE454" s="175">
        <v>0.3</v>
      </c>
      <c r="AF454" s="186">
        <f t="shared" si="8"/>
        <v>2.4</v>
      </c>
      <c r="AG454" s="175">
        <v>1.1399999999999999</v>
      </c>
      <c r="AH454" s="334"/>
      <c r="AI454" s="188"/>
      <c r="AJ454" s="188"/>
      <c r="AK454" s="188"/>
      <c r="AL454" s="189"/>
      <c r="AM454" s="189"/>
      <c r="AN454" s="189"/>
      <c r="AO454" s="189"/>
      <c r="AP454" s="189"/>
      <c r="AQ454" s="189"/>
      <c r="AR454" s="189"/>
      <c r="AS454" s="189"/>
      <c r="AT454" s="189"/>
      <c r="AU454" s="190"/>
      <c r="AV454" s="190"/>
      <c r="AW454" s="190"/>
      <c r="AX454" s="190"/>
      <c r="AY454" s="190"/>
      <c r="AZ454" s="189"/>
      <c r="BA454" s="189"/>
      <c r="BB454" s="189"/>
      <c r="BC454" s="189"/>
      <c r="BD454" s="189"/>
      <c r="BE454" s="189"/>
      <c r="BF454" s="189"/>
      <c r="BG454" s="189"/>
      <c r="BH454" s="189"/>
      <c r="BI454" s="190"/>
      <c r="BJ454" s="190"/>
      <c r="BK454" s="190"/>
      <c r="BL454" s="190"/>
      <c r="BM454" s="190"/>
      <c r="BN454" s="190"/>
      <c r="BO454" s="190"/>
      <c r="BP454" s="190"/>
      <c r="BQ454" s="190"/>
      <c r="BR454" s="190"/>
      <c r="BS454" s="190"/>
      <c r="BT454" s="190"/>
      <c r="BU454" s="190"/>
      <c r="BV454" s="190"/>
      <c r="BW454" s="190"/>
      <c r="BX454" s="190"/>
      <c r="BY454" s="190"/>
      <c r="BZ454" s="190"/>
      <c r="CA454" s="189"/>
      <c r="CB454" s="15"/>
    </row>
    <row r="455" spans="1:80" ht="15" x14ac:dyDescent="0.25">
      <c r="A455" s="167"/>
      <c r="B455" s="642"/>
      <c r="C455" s="642"/>
      <c r="D455" s="179"/>
      <c r="E455" s="169"/>
      <c r="F455" s="169"/>
      <c r="G455" s="186"/>
      <c r="H455" s="187"/>
      <c r="I455" s="187"/>
      <c r="J455" s="187"/>
      <c r="K455" s="187"/>
      <c r="L455" s="647"/>
      <c r="M455" s="646">
        <v>32665</v>
      </c>
      <c r="N455" s="585">
        <v>2.29</v>
      </c>
      <c r="O455" s="585">
        <v>1.1180000000000001E-2</v>
      </c>
      <c r="P455" s="175">
        <v>0</v>
      </c>
      <c r="Q455" s="175">
        <v>0</v>
      </c>
      <c r="R455" s="175">
        <v>0</v>
      </c>
      <c r="S455" s="175">
        <v>1.9300000000000001E-3</v>
      </c>
      <c r="T455" s="175">
        <v>2.3400000000000001E-3</v>
      </c>
      <c r="U455" s="175">
        <v>2.5000000000000001E-3</v>
      </c>
      <c r="V455" s="706">
        <v>4.4099999999999999E-3</v>
      </c>
      <c r="W455" s="717"/>
      <c r="X455" s="713"/>
      <c r="Y455" s="718"/>
      <c r="Z455" s="709">
        <v>0</v>
      </c>
      <c r="AA455" s="175"/>
      <c r="AB455" s="200"/>
      <c r="AC455" s="205">
        <v>1.9E-2</v>
      </c>
      <c r="AD455" s="175">
        <v>8.1999999999999993</v>
      </c>
      <c r="AE455" s="175">
        <v>0.28999999999999998</v>
      </c>
      <c r="AF455" s="186">
        <f t="shared" si="8"/>
        <v>2.3779999999999997</v>
      </c>
      <c r="AG455" s="175">
        <v>0.95</v>
      </c>
      <c r="AH455" s="334"/>
      <c r="AI455" s="188"/>
      <c r="AJ455" s="188"/>
      <c r="AK455" s="188"/>
      <c r="AL455" s="189"/>
      <c r="AM455" s="189"/>
      <c r="AN455" s="189"/>
      <c r="AO455" s="189"/>
      <c r="AP455" s="189"/>
      <c r="AQ455" s="189"/>
      <c r="AR455" s="189"/>
      <c r="AS455" s="189"/>
      <c r="AT455" s="189"/>
      <c r="AU455" s="190"/>
      <c r="AV455" s="190"/>
      <c r="AW455" s="190"/>
      <c r="AX455" s="190"/>
      <c r="AY455" s="190"/>
      <c r="AZ455" s="189"/>
      <c r="BA455" s="189"/>
      <c r="BB455" s="189"/>
      <c r="BC455" s="189"/>
      <c r="BD455" s="189"/>
      <c r="BE455" s="189"/>
      <c r="BF455" s="189"/>
      <c r="BG455" s="189"/>
      <c r="BH455" s="189"/>
      <c r="BI455" s="190"/>
      <c r="BJ455" s="190"/>
      <c r="BK455" s="190"/>
      <c r="BL455" s="190"/>
      <c r="BM455" s="190"/>
      <c r="BN455" s="190"/>
      <c r="BO455" s="190"/>
      <c r="BP455" s="190"/>
      <c r="BQ455" s="190"/>
      <c r="BR455" s="190"/>
      <c r="BS455" s="190"/>
      <c r="BT455" s="190"/>
      <c r="BU455" s="190"/>
      <c r="BV455" s="190"/>
      <c r="BW455" s="190"/>
      <c r="BX455" s="190"/>
      <c r="BY455" s="190"/>
      <c r="BZ455" s="190"/>
      <c r="CA455" s="189"/>
      <c r="CB455" s="15"/>
    </row>
    <row r="456" spans="1:80" ht="15" x14ac:dyDescent="0.25">
      <c r="A456" s="167"/>
      <c r="B456" s="642"/>
      <c r="C456" s="642"/>
      <c r="D456" s="179"/>
      <c r="E456" s="169"/>
      <c r="F456" s="169"/>
      <c r="G456" s="186"/>
      <c r="H456" s="187"/>
      <c r="I456" s="187"/>
      <c r="J456" s="187"/>
      <c r="K456" s="187"/>
      <c r="L456" s="647"/>
      <c r="M456" s="646">
        <v>32666</v>
      </c>
      <c r="N456" s="585">
        <v>2.2999999999999998</v>
      </c>
      <c r="O456" s="585">
        <v>1.7260000000000001E-2</v>
      </c>
      <c r="P456" s="175">
        <v>0</v>
      </c>
      <c r="Q456" s="175">
        <v>0</v>
      </c>
      <c r="R456" s="175">
        <v>1.4400000000000001E-3</v>
      </c>
      <c r="S456" s="175">
        <v>1.07E-3</v>
      </c>
      <c r="T456" s="175">
        <v>3.3999999999999998E-3</v>
      </c>
      <c r="U456" s="175">
        <v>4.7299999999999998E-3</v>
      </c>
      <c r="V456" s="706">
        <v>6.62E-3</v>
      </c>
      <c r="W456" s="717"/>
      <c r="X456" s="713"/>
      <c r="Y456" s="718"/>
      <c r="Z456" s="709">
        <v>0</v>
      </c>
      <c r="AA456" s="175"/>
      <c r="AB456" s="200"/>
      <c r="AC456" s="205">
        <v>1.9E-2</v>
      </c>
      <c r="AD456" s="175">
        <v>8.0500000000000007</v>
      </c>
      <c r="AE456" s="175">
        <v>0.28999999999999998</v>
      </c>
      <c r="AF456" s="186">
        <f t="shared" si="8"/>
        <v>2.3345000000000002</v>
      </c>
      <c r="AG456" s="175">
        <v>0.99</v>
      </c>
      <c r="AH456" s="334"/>
      <c r="AI456" s="188"/>
      <c r="AJ456" s="188"/>
      <c r="AK456" s="188"/>
      <c r="AL456" s="189"/>
      <c r="AM456" s="189"/>
      <c r="AN456" s="189"/>
      <c r="AO456" s="189"/>
      <c r="AP456" s="189"/>
      <c r="AQ456" s="189"/>
      <c r="AR456" s="189"/>
      <c r="AS456" s="189"/>
      <c r="AT456" s="189"/>
      <c r="AU456" s="190"/>
      <c r="AV456" s="190"/>
      <c r="AW456" s="190"/>
      <c r="AX456" s="190"/>
      <c r="AY456" s="190"/>
      <c r="AZ456" s="189"/>
      <c r="BA456" s="189"/>
      <c r="BB456" s="189"/>
      <c r="BC456" s="189"/>
      <c r="BD456" s="189"/>
      <c r="BE456" s="189"/>
      <c r="BF456" s="189"/>
      <c r="BG456" s="189"/>
      <c r="BH456" s="189"/>
      <c r="BI456" s="190"/>
      <c r="BJ456" s="190"/>
      <c r="BK456" s="190"/>
      <c r="BL456" s="190"/>
      <c r="BM456" s="190"/>
      <c r="BN456" s="190"/>
      <c r="BO456" s="190"/>
      <c r="BP456" s="190"/>
      <c r="BQ456" s="190"/>
      <c r="BR456" s="190"/>
      <c r="BS456" s="190"/>
      <c r="BT456" s="190"/>
      <c r="BU456" s="190"/>
      <c r="BV456" s="190"/>
      <c r="BW456" s="190"/>
      <c r="BX456" s="190"/>
      <c r="BY456" s="190"/>
      <c r="BZ456" s="190"/>
      <c r="CA456" s="189"/>
      <c r="CB456" s="15"/>
    </row>
    <row r="457" spans="1:80" ht="15" x14ac:dyDescent="0.25">
      <c r="A457" s="167"/>
      <c r="B457" s="642"/>
      <c r="C457" s="642"/>
      <c r="D457" s="179"/>
      <c r="E457" s="169"/>
      <c r="F457" s="169"/>
      <c r="G457" s="186"/>
      <c r="H457" s="187"/>
      <c r="I457" s="187"/>
      <c r="J457" s="187"/>
      <c r="K457" s="187"/>
      <c r="L457" s="647"/>
      <c r="M457" s="646">
        <v>32667</v>
      </c>
      <c r="N457" s="585">
        <v>1.9</v>
      </c>
      <c r="O457" s="585">
        <v>4.8199999999999996E-3</v>
      </c>
      <c r="P457" s="175">
        <v>0</v>
      </c>
      <c r="Q457" s="175">
        <v>0</v>
      </c>
      <c r="R457" s="175">
        <v>5.9999999999999995E-4</v>
      </c>
      <c r="S457" s="175">
        <v>2.7E-4</v>
      </c>
      <c r="T457" s="175">
        <v>1.1100000000000001E-3</v>
      </c>
      <c r="U457" s="175">
        <v>1.4E-3</v>
      </c>
      <c r="V457" s="706">
        <v>1.4400000000000001E-3</v>
      </c>
      <c r="W457" s="717"/>
      <c r="X457" s="713"/>
      <c r="Y457" s="718"/>
      <c r="Z457" s="709">
        <v>0</v>
      </c>
      <c r="AA457" s="175"/>
      <c r="AB457" s="200"/>
      <c r="AC457" s="205">
        <v>1.6E-2</v>
      </c>
      <c r="AD457" s="175">
        <v>7.85</v>
      </c>
      <c r="AE457" s="175">
        <v>0.28999999999999998</v>
      </c>
      <c r="AF457" s="186">
        <f t="shared" si="8"/>
        <v>2.2764999999999995</v>
      </c>
      <c r="AG457" s="175">
        <v>0.85</v>
      </c>
      <c r="AH457" s="334"/>
      <c r="AI457" s="188"/>
      <c r="AJ457" s="188"/>
      <c r="AK457" s="188"/>
      <c r="AL457" s="189"/>
      <c r="AM457" s="189"/>
      <c r="AN457" s="189"/>
      <c r="AO457" s="189"/>
      <c r="AP457" s="189"/>
      <c r="AQ457" s="189"/>
      <c r="AR457" s="189"/>
      <c r="AS457" s="189"/>
      <c r="AT457" s="189"/>
      <c r="AU457" s="190"/>
      <c r="AV457" s="190"/>
      <c r="AW457" s="190"/>
      <c r="AX457" s="190"/>
      <c r="AY457" s="190"/>
      <c r="AZ457" s="189"/>
      <c r="BA457" s="189"/>
      <c r="BB457" s="189"/>
      <c r="BC457" s="189"/>
      <c r="BD457" s="189"/>
      <c r="BE457" s="189"/>
      <c r="BF457" s="189"/>
      <c r="BG457" s="189"/>
      <c r="BH457" s="189"/>
      <c r="BI457" s="190"/>
      <c r="BJ457" s="190"/>
      <c r="BK457" s="190"/>
      <c r="BL457" s="190"/>
      <c r="BM457" s="190"/>
      <c r="BN457" s="190"/>
      <c r="BO457" s="190"/>
      <c r="BP457" s="190"/>
      <c r="BQ457" s="190"/>
      <c r="BR457" s="190"/>
      <c r="BS457" s="190"/>
      <c r="BT457" s="190"/>
      <c r="BU457" s="190"/>
      <c r="BV457" s="190"/>
      <c r="BW457" s="190"/>
      <c r="BX457" s="190"/>
      <c r="BY457" s="190"/>
      <c r="BZ457" s="190"/>
      <c r="CA457" s="189"/>
      <c r="CB457" s="15"/>
    </row>
    <row r="458" spans="1:80" ht="15" x14ac:dyDescent="0.25">
      <c r="A458" s="167"/>
      <c r="B458" s="642"/>
      <c r="C458" s="642"/>
      <c r="D458" s="179"/>
      <c r="E458" s="169"/>
      <c r="F458" s="169"/>
      <c r="G458" s="186"/>
      <c r="H458" s="187"/>
      <c r="I458" s="187"/>
      <c r="J458" s="187"/>
      <c r="K458" s="187"/>
      <c r="L458" s="647"/>
      <c r="M458" s="646">
        <v>32669</v>
      </c>
      <c r="N458" s="585">
        <v>1.77</v>
      </c>
      <c r="O458" s="585">
        <v>5.4099999999999999E-3</v>
      </c>
      <c r="P458" s="175">
        <v>0</v>
      </c>
      <c r="Q458" s="175">
        <v>0</v>
      </c>
      <c r="R458" s="175">
        <v>1.16E-3</v>
      </c>
      <c r="S458" s="175">
        <v>8.8999999999999995E-4</v>
      </c>
      <c r="T458" s="175">
        <v>4.4000000000000002E-4</v>
      </c>
      <c r="U458" s="175">
        <v>1.2600000000000001E-3</v>
      </c>
      <c r="V458" s="706">
        <v>1.66E-3</v>
      </c>
      <c r="W458" s="717"/>
      <c r="X458" s="713"/>
      <c r="Y458" s="718"/>
      <c r="Z458" s="709">
        <v>0</v>
      </c>
      <c r="AA458" s="175"/>
      <c r="AB458" s="200"/>
      <c r="AC458" s="205">
        <v>1.4999999999999999E-2</v>
      </c>
      <c r="AD458" s="175">
        <v>7.7</v>
      </c>
      <c r="AE458" s="175">
        <v>0.27</v>
      </c>
      <c r="AF458" s="186">
        <f t="shared" si="8"/>
        <v>2.0790000000000002</v>
      </c>
      <c r="AG458" s="175">
        <v>0.86</v>
      </c>
      <c r="AH458" s="334"/>
      <c r="AI458" s="188"/>
      <c r="AJ458" s="188"/>
      <c r="AK458" s="188"/>
      <c r="AL458" s="189"/>
      <c r="AM458" s="189"/>
      <c r="AN458" s="189"/>
      <c r="AO458" s="189"/>
      <c r="AP458" s="189"/>
      <c r="AQ458" s="189"/>
      <c r="AR458" s="189"/>
      <c r="AS458" s="189"/>
      <c r="AT458" s="189"/>
      <c r="AU458" s="190"/>
      <c r="AV458" s="190"/>
      <c r="AW458" s="190"/>
      <c r="AX458" s="190"/>
      <c r="AY458" s="190"/>
      <c r="AZ458" s="189"/>
      <c r="BA458" s="189"/>
      <c r="BB458" s="189"/>
      <c r="BC458" s="189"/>
      <c r="BD458" s="189"/>
      <c r="BE458" s="189"/>
      <c r="BF458" s="189"/>
      <c r="BG458" s="189"/>
      <c r="BH458" s="189"/>
      <c r="BI458" s="190"/>
      <c r="BJ458" s="190"/>
      <c r="BK458" s="190"/>
      <c r="BL458" s="190"/>
      <c r="BM458" s="190"/>
      <c r="BN458" s="190"/>
      <c r="BO458" s="190"/>
      <c r="BP458" s="190"/>
      <c r="BQ458" s="190"/>
      <c r="BR458" s="190"/>
      <c r="BS458" s="190"/>
      <c r="BT458" s="190"/>
      <c r="BU458" s="190"/>
      <c r="BV458" s="190"/>
      <c r="BW458" s="190"/>
      <c r="BX458" s="190"/>
      <c r="BY458" s="190"/>
      <c r="BZ458" s="190"/>
      <c r="CA458" s="189"/>
      <c r="CB458" s="15"/>
    </row>
    <row r="459" spans="1:80" ht="15" x14ac:dyDescent="0.25">
      <c r="A459" s="167"/>
      <c r="B459" s="642"/>
      <c r="C459" s="642"/>
      <c r="D459" s="179"/>
      <c r="E459" s="169"/>
      <c r="F459" s="169"/>
      <c r="G459" s="186"/>
      <c r="H459" s="187"/>
      <c r="I459" s="187"/>
      <c r="J459" s="187"/>
      <c r="K459" s="187"/>
      <c r="L459" s="647"/>
      <c r="M459" s="646">
        <v>32670</v>
      </c>
      <c r="N459" s="585">
        <v>1.34</v>
      </c>
      <c r="O459" s="585">
        <v>7.6000000000000004E-4</v>
      </c>
      <c r="P459" s="175">
        <v>0</v>
      </c>
      <c r="Q459" s="175">
        <v>0</v>
      </c>
      <c r="R459" s="175">
        <v>0</v>
      </c>
      <c r="S459" s="175">
        <v>6.0000000000000002E-5</v>
      </c>
      <c r="T459" s="175">
        <v>1.2E-4</v>
      </c>
      <c r="U459" s="175">
        <v>1.3999999999999999E-4</v>
      </c>
      <c r="V459" s="706">
        <v>4.4000000000000002E-4</v>
      </c>
      <c r="W459" s="717"/>
      <c r="X459" s="713"/>
      <c r="Y459" s="718"/>
      <c r="Z459" s="709">
        <v>0</v>
      </c>
      <c r="AA459" s="175"/>
      <c r="AB459" s="200"/>
      <c r="AC459" s="205">
        <v>1.6E-2</v>
      </c>
      <c r="AD459" s="175">
        <v>7.6</v>
      </c>
      <c r="AE459" s="175">
        <v>0.24</v>
      </c>
      <c r="AF459" s="186">
        <f t="shared" si="8"/>
        <v>1.8239999999999998</v>
      </c>
      <c r="AG459" s="175">
        <v>0.74</v>
      </c>
      <c r="AH459" s="334"/>
      <c r="AI459" s="188"/>
      <c r="AJ459" s="188"/>
      <c r="AK459" s="188"/>
      <c r="AL459" s="189"/>
      <c r="AM459" s="189"/>
      <c r="AN459" s="189"/>
      <c r="AO459" s="189"/>
      <c r="AP459" s="189"/>
      <c r="AQ459" s="189"/>
      <c r="AR459" s="189"/>
      <c r="AS459" s="189"/>
      <c r="AT459" s="189"/>
      <c r="AU459" s="190"/>
      <c r="AV459" s="190"/>
      <c r="AW459" s="190"/>
      <c r="AX459" s="190"/>
      <c r="AY459" s="190"/>
      <c r="AZ459" s="189"/>
      <c r="BA459" s="189"/>
      <c r="BB459" s="189"/>
      <c r="BC459" s="189"/>
      <c r="BD459" s="189"/>
      <c r="BE459" s="189"/>
      <c r="BF459" s="189"/>
      <c r="BG459" s="189"/>
      <c r="BH459" s="189"/>
      <c r="BI459" s="190"/>
      <c r="BJ459" s="190"/>
      <c r="BK459" s="190"/>
      <c r="BL459" s="190"/>
      <c r="BM459" s="190"/>
      <c r="BN459" s="190"/>
      <c r="BO459" s="190"/>
      <c r="BP459" s="190"/>
      <c r="BQ459" s="190"/>
      <c r="BR459" s="190"/>
      <c r="BS459" s="190"/>
      <c r="BT459" s="190"/>
      <c r="BU459" s="190"/>
      <c r="BV459" s="190"/>
      <c r="BW459" s="190"/>
      <c r="BX459" s="190"/>
      <c r="BY459" s="190"/>
      <c r="BZ459" s="190"/>
      <c r="CA459" s="189"/>
      <c r="CB459" s="15"/>
    </row>
    <row r="460" spans="1:80" ht="15" x14ac:dyDescent="0.25">
      <c r="A460" s="167"/>
      <c r="B460" s="642"/>
      <c r="C460" s="642"/>
      <c r="D460" s="179"/>
      <c r="E460" s="169"/>
      <c r="F460" s="169"/>
      <c r="G460" s="186"/>
      <c r="H460" s="187"/>
      <c r="I460" s="187"/>
      <c r="J460" s="187"/>
      <c r="K460" s="187"/>
      <c r="L460" s="647"/>
      <c r="M460" s="646">
        <v>32672</v>
      </c>
      <c r="N460" s="585">
        <v>1.57</v>
      </c>
      <c r="O460" s="585">
        <v>1.17E-3</v>
      </c>
      <c r="P460" s="175">
        <v>0</v>
      </c>
      <c r="Q460" s="175">
        <v>0</v>
      </c>
      <c r="R460" s="175">
        <v>0</v>
      </c>
      <c r="S460" s="175">
        <v>0</v>
      </c>
      <c r="T460" s="175">
        <v>1.2999999999999999E-4</v>
      </c>
      <c r="U460" s="175">
        <v>3.5E-4</v>
      </c>
      <c r="V460" s="706">
        <v>6.9999999999999999E-4</v>
      </c>
      <c r="W460" s="717"/>
      <c r="X460" s="713"/>
      <c r="Y460" s="718"/>
      <c r="Z460" s="709">
        <v>0</v>
      </c>
      <c r="AA460" s="175"/>
      <c r="AB460" s="200"/>
      <c r="AC460" s="205">
        <v>1.4999999999999999E-2</v>
      </c>
      <c r="AD460" s="175">
        <v>7.5</v>
      </c>
      <c r="AE460" s="175">
        <v>0.27</v>
      </c>
      <c r="AF460" s="186">
        <f t="shared" si="8"/>
        <v>2.0250000000000004</v>
      </c>
      <c r="AG460" s="175">
        <v>0.78</v>
      </c>
      <c r="AH460" s="334"/>
      <c r="AI460" s="188"/>
      <c r="AJ460" s="188"/>
      <c r="AK460" s="188"/>
      <c r="AL460" s="189"/>
      <c r="AM460" s="189"/>
      <c r="AN460" s="189"/>
      <c r="AO460" s="189"/>
      <c r="AP460" s="189"/>
      <c r="AQ460" s="189"/>
      <c r="AR460" s="189"/>
      <c r="AS460" s="189"/>
      <c r="AT460" s="189"/>
      <c r="AU460" s="190"/>
      <c r="AV460" s="190"/>
      <c r="AW460" s="190"/>
      <c r="AX460" s="190"/>
      <c r="AY460" s="190"/>
      <c r="AZ460" s="189"/>
      <c r="BA460" s="189"/>
      <c r="BB460" s="189"/>
      <c r="BC460" s="189"/>
      <c r="BD460" s="189"/>
      <c r="BE460" s="189"/>
      <c r="BF460" s="189"/>
      <c r="BG460" s="189"/>
      <c r="BH460" s="189"/>
      <c r="BI460" s="190"/>
      <c r="BJ460" s="190"/>
      <c r="BK460" s="190"/>
      <c r="BL460" s="190"/>
      <c r="BM460" s="190"/>
      <c r="BN460" s="190"/>
      <c r="BO460" s="190"/>
      <c r="BP460" s="190"/>
      <c r="BQ460" s="190"/>
      <c r="BR460" s="190"/>
      <c r="BS460" s="190"/>
      <c r="BT460" s="190"/>
      <c r="BU460" s="190"/>
      <c r="BV460" s="190"/>
      <c r="BW460" s="190"/>
      <c r="BX460" s="190"/>
      <c r="BY460" s="190"/>
      <c r="BZ460" s="190"/>
      <c r="CA460" s="189"/>
      <c r="CB460" s="15"/>
    </row>
    <row r="461" spans="1:80" ht="15" x14ac:dyDescent="0.25">
      <c r="A461" s="167"/>
      <c r="B461" s="642"/>
      <c r="C461" s="642"/>
      <c r="D461" s="179"/>
      <c r="E461" s="169"/>
      <c r="F461" s="169"/>
      <c r="G461" s="186"/>
      <c r="H461" s="187"/>
      <c r="I461" s="187"/>
      <c r="J461" s="187"/>
      <c r="K461" s="187"/>
      <c r="L461" s="647"/>
      <c r="M461" s="646">
        <v>32673</v>
      </c>
      <c r="N461" s="585">
        <v>2.5</v>
      </c>
      <c r="O461" s="585">
        <v>4.2470000000000001E-2</v>
      </c>
      <c r="P461" s="175">
        <v>0</v>
      </c>
      <c r="Q461" s="175">
        <v>0</v>
      </c>
      <c r="R461" s="175">
        <v>4.96E-3</v>
      </c>
      <c r="S461" s="175">
        <v>3.5899999999999999E-3</v>
      </c>
      <c r="T461" s="175">
        <v>5.94E-3</v>
      </c>
      <c r="U461" s="175">
        <v>8.1200000000000005E-3</v>
      </c>
      <c r="V461" s="706">
        <v>1.9859999999999999E-2</v>
      </c>
      <c r="W461" s="717"/>
      <c r="X461" s="713"/>
      <c r="Y461" s="718"/>
      <c r="Z461" s="709">
        <v>0</v>
      </c>
      <c r="AA461" s="175"/>
      <c r="AB461" s="200"/>
      <c r="AC461" s="205">
        <v>1.2999999999999999E-2</v>
      </c>
      <c r="AD461" s="175">
        <v>8.3000000000000007</v>
      </c>
      <c r="AE461" s="175">
        <v>0.31</v>
      </c>
      <c r="AF461" s="186">
        <f t="shared" si="8"/>
        <v>2.5730000000000004</v>
      </c>
      <c r="AG461" s="175">
        <v>0.98</v>
      </c>
      <c r="AH461" s="334"/>
      <c r="AI461" s="188"/>
      <c r="AJ461" s="188"/>
      <c r="AK461" s="188"/>
      <c r="AL461" s="189"/>
      <c r="AM461" s="189"/>
      <c r="AN461" s="189"/>
      <c r="AO461" s="189"/>
      <c r="AP461" s="189"/>
      <c r="AQ461" s="189"/>
      <c r="AR461" s="189"/>
      <c r="AS461" s="189"/>
      <c r="AT461" s="189"/>
      <c r="AU461" s="190"/>
      <c r="AV461" s="190"/>
      <c r="AW461" s="190"/>
      <c r="AX461" s="190"/>
      <c r="AY461" s="190"/>
      <c r="AZ461" s="189"/>
      <c r="BA461" s="189"/>
      <c r="BB461" s="189"/>
      <c r="BC461" s="189"/>
      <c r="BD461" s="189"/>
      <c r="BE461" s="189"/>
      <c r="BF461" s="189"/>
      <c r="BG461" s="189"/>
      <c r="BH461" s="189"/>
      <c r="BI461" s="190"/>
      <c r="BJ461" s="190"/>
      <c r="BK461" s="190"/>
      <c r="BL461" s="190"/>
      <c r="BM461" s="190"/>
      <c r="BN461" s="190"/>
      <c r="BO461" s="190"/>
      <c r="BP461" s="190"/>
      <c r="BQ461" s="190"/>
      <c r="BR461" s="190"/>
      <c r="BS461" s="190"/>
      <c r="BT461" s="190"/>
      <c r="BU461" s="190"/>
      <c r="BV461" s="190"/>
      <c r="BW461" s="190"/>
      <c r="BX461" s="190"/>
      <c r="BY461" s="190"/>
      <c r="BZ461" s="190"/>
      <c r="CA461" s="189"/>
      <c r="CB461" s="15"/>
    </row>
    <row r="462" spans="1:80" ht="15" x14ac:dyDescent="0.25">
      <c r="A462" s="167"/>
      <c r="B462" s="642"/>
      <c r="C462" s="642"/>
      <c r="D462" s="179"/>
      <c r="E462" s="169"/>
      <c r="F462" s="169"/>
      <c r="G462" s="186"/>
      <c r="H462" s="187"/>
      <c r="I462" s="187"/>
      <c r="J462" s="187"/>
      <c r="K462" s="187"/>
      <c r="L462" s="647"/>
      <c r="M462" s="646">
        <v>32674</v>
      </c>
      <c r="N462" s="585">
        <v>2.63</v>
      </c>
      <c r="O462" s="585">
        <v>1.814E-2</v>
      </c>
      <c r="P462" s="175">
        <v>0</v>
      </c>
      <c r="Q462" s="175">
        <v>0</v>
      </c>
      <c r="R462" s="175">
        <v>7.3999999999999999E-4</v>
      </c>
      <c r="S462" s="175">
        <v>1.15E-3</v>
      </c>
      <c r="T462" s="175">
        <v>2.8800000000000002E-3</v>
      </c>
      <c r="U462" s="175">
        <v>4.9699999999999996E-3</v>
      </c>
      <c r="V462" s="706">
        <v>8.3899999999999999E-3</v>
      </c>
      <c r="W462" s="717"/>
      <c r="X462" s="713"/>
      <c r="Y462" s="718"/>
      <c r="Z462" s="709">
        <v>0</v>
      </c>
      <c r="AA462" s="175"/>
      <c r="AB462" s="200"/>
      <c r="AC462" s="205">
        <v>1.4E-2</v>
      </c>
      <c r="AD462" s="175">
        <v>8.0500000000000007</v>
      </c>
      <c r="AE462" s="175">
        <v>0.32</v>
      </c>
      <c r="AF462" s="186">
        <f t="shared" si="8"/>
        <v>2.5760000000000001</v>
      </c>
      <c r="AG462" s="175">
        <v>1.03</v>
      </c>
      <c r="AH462" s="334"/>
      <c r="AI462" s="188"/>
      <c r="AJ462" s="188"/>
      <c r="AK462" s="188"/>
      <c r="AL462" s="189"/>
      <c r="AM462" s="189"/>
      <c r="AN462" s="189"/>
      <c r="AO462" s="189"/>
      <c r="AP462" s="189"/>
      <c r="AQ462" s="189"/>
      <c r="AR462" s="189"/>
      <c r="AS462" s="189"/>
      <c r="AT462" s="189"/>
      <c r="AU462" s="190"/>
      <c r="AV462" s="190"/>
      <c r="AW462" s="190"/>
      <c r="AX462" s="190"/>
      <c r="AY462" s="190"/>
      <c r="AZ462" s="189"/>
      <c r="BA462" s="189"/>
      <c r="BB462" s="189"/>
      <c r="BC462" s="189"/>
      <c r="BD462" s="189"/>
      <c r="BE462" s="189"/>
      <c r="BF462" s="189"/>
      <c r="BG462" s="189"/>
      <c r="BH462" s="189"/>
      <c r="BI462" s="190"/>
      <c r="BJ462" s="190"/>
      <c r="BK462" s="190"/>
      <c r="BL462" s="190"/>
      <c r="BM462" s="190"/>
      <c r="BN462" s="190"/>
      <c r="BO462" s="190"/>
      <c r="BP462" s="190"/>
      <c r="BQ462" s="190"/>
      <c r="BR462" s="190"/>
      <c r="BS462" s="190"/>
      <c r="BT462" s="190"/>
      <c r="BU462" s="190"/>
      <c r="BV462" s="190"/>
      <c r="BW462" s="190"/>
      <c r="BX462" s="190"/>
      <c r="BY462" s="190"/>
      <c r="BZ462" s="190"/>
      <c r="CA462" s="189"/>
      <c r="CB462" s="15"/>
    </row>
    <row r="463" spans="1:80" ht="15" x14ac:dyDescent="0.25">
      <c r="A463" s="167"/>
      <c r="B463" s="642"/>
      <c r="C463" s="642"/>
      <c r="D463" s="179"/>
      <c r="E463" s="169"/>
      <c r="F463" s="169"/>
      <c r="G463" s="186"/>
      <c r="H463" s="187"/>
      <c r="I463" s="187"/>
      <c r="J463" s="187"/>
      <c r="K463" s="187"/>
      <c r="L463" s="647"/>
      <c r="M463" s="646">
        <v>32675</v>
      </c>
      <c r="N463" s="585">
        <v>3.69</v>
      </c>
      <c r="O463" s="585">
        <v>9.9010000000000001E-2</v>
      </c>
      <c r="P463" s="175">
        <v>0</v>
      </c>
      <c r="Q463" s="175">
        <v>0</v>
      </c>
      <c r="R463" s="175">
        <v>3.4499999999999999E-3</v>
      </c>
      <c r="S463" s="175">
        <v>8.0700000000000008E-3</v>
      </c>
      <c r="T463" s="175">
        <v>1.345E-2</v>
      </c>
      <c r="U463" s="175">
        <v>2.3519999999999999E-2</v>
      </c>
      <c r="V463" s="706">
        <v>5.0529999999999999E-2</v>
      </c>
      <c r="W463" s="717"/>
      <c r="X463" s="713"/>
      <c r="Y463" s="718"/>
      <c r="Z463" s="709">
        <v>0</v>
      </c>
      <c r="AA463" s="175"/>
      <c r="AB463" s="200"/>
      <c r="AC463" s="205">
        <v>1.6E-2</v>
      </c>
      <c r="AD463" s="175">
        <v>9.3000000000000007</v>
      </c>
      <c r="AE463" s="175">
        <v>0.32</v>
      </c>
      <c r="AF463" s="186">
        <f t="shared" si="8"/>
        <v>2.9760000000000004</v>
      </c>
      <c r="AG463" s="175">
        <v>1.23</v>
      </c>
      <c r="AH463" s="334"/>
      <c r="AI463" s="188"/>
      <c r="AJ463" s="188"/>
      <c r="AK463" s="188"/>
      <c r="AL463" s="189"/>
      <c r="AM463" s="189"/>
      <c r="AN463" s="189"/>
      <c r="AO463" s="189"/>
      <c r="AP463" s="189"/>
      <c r="AQ463" s="189"/>
      <c r="AR463" s="189"/>
      <c r="AS463" s="189"/>
      <c r="AT463" s="189"/>
      <c r="AU463" s="190"/>
      <c r="AV463" s="190"/>
      <c r="AW463" s="190"/>
      <c r="AX463" s="190"/>
      <c r="AY463" s="190"/>
      <c r="AZ463" s="189"/>
      <c r="BA463" s="189"/>
      <c r="BB463" s="189"/>
      <c r="BC463" s="189"/>
      <c r="BD463" s="189"/>
      <c r="BE463" s="189"/>
      <c r="BF463" s="189"/>
      <c r="BG463" s="189"/>
      <c r="BH463" s="189"/>
      <c r="BI463" s="190"/>
      <c r="BJ463" s="190"/>
      <c r="BK463" s="190"/>
      <c r="BL463" s="190"/>
      <c r="BM463" s="190"/>
      <c r="BN463" s="190"/>
      <c r="BO463" s="190"/>
      <c r="BP463" s="190"/>
      <c r="BQ463" s="190"/>
      <c r="BR463" s="190"/>
      <c r="BS463" s="190"/>
      <c r="BT463" s="190"/>
      <c r="BU463" s="190"/>
      <c r="BV463" s="190"/>
      <c r="BW463" s="190"/>
      <c r="BX463" s="190"/>
      <c r="BY463" s="190"/>
      <c r="BZ463" s="190"/>
      <c r="CA463" s="189"/>
      <c r="CB463" s="15"/>
    </row>
    <row r="464" spans="1:80" ht="15" x14ac:dyDescent="0.25">
      <c r="A464" s="167"/>
      <c r="B464" s="642"/>
      <c r="C464" s="642"/>
      <c r="D464" s="179"/>
      <c r="E464" s="169"/>
      <c r="F464" s="169"/>
      <c r="G464" s="186"/>
      <c r="H464" s="187"/>
      <c r="I464" s="187"/>
      <c r="J464" s="187"/>
      <c r="K464" s="187"/>
      <c r="L464" s="647"/>
      <c r="M464" s="646">
        <v>32678</v>
      </c>
      <c r="N464" s="585">
        <v>3.71</v>
      </c>
      <c r="O464" s="585">
        <v>6.2230000000000001E-2</v>
      </c>
      <c r="P464" s="175">
        <v>0</v>
      </c>
      <c r="Q464" s="175">
        <v>0</v>
      </c>
      <c r="R464" s="175">
        <v>8.3800000000000003E-3</v>
      </c>
      <c r="S464" s="175">
        <v>9.3799999999999994E-3</v>
      </c>
      <c r="T464" s="175">
        <v>9.5600000000000008E-3</v>
      </c>
      <c r="U464" s="175">
        <v>1.1429999999999999E-2</v>
      </c>
      <c r="V464" s="706">
        <v>2.3480000000000001E-2</v>
      </c>
      <c r="W464" s="717"/>
      <c r="X464" s="713"/>
      <c r="Y464" s="718"/>
      <c r="Z464" s="709">
        <v>0</v>
      </c>
      <c r="AA464" s="175"/>
      <c r="AB464" s="200"/>
      <c r="AC464" s="205">
        <v>1.6E-2</v>
      </c>
      <c r="AD464" s="175">
        <v>9.35</v>
      </c>
      <c r="AE464" s="175">
        <v>0.33</v>
      </c>
      <c r="AF464" s="186">
        <f t="shared" si="8"/>
        <v>3.0855000000000001</v>
      </c>
      <c r="AG464" s="175">
        <v>1.2</v>
      </c>
      <c r="AH464" s="334"/>
      <c r="AI464" s="188"/>
      <c r="AJ464" s="188"/>
      <c r="AK464" s="188"/>
      <c r="AL464" s="189"/>
      <c r="AM464" s="189"/>
      <c r="AN464" s="189"/>
      <c r="AO464" s="189"/>
      <c r="AP464" s="189"/>
      <c r="AQ464" s="189"/>
      <c r="AR464" s="189"/>
      <c r="AS464" s="189"/>
      <c r="AT464" s="189"/>
      <c r="AU464" s="190"/>
      <c r="AV464" s="190"/>
      <c r="AW464" s="190"/>
      <c r="AX464" s="190"/>
      <c r="AY464" s="190"/>
      <c r="AZ464" s="189"/>
      <c r="BA464" s="189"/>
      <c r="BB464" s="189"/>
      <c r="BC464" s="189"/>
      <c r="BD464" s="189"/>
      <c r="BE464" s="189"/>
      <c r="BF464" s="189"/>
      <c r="BG464" s="189"/>
      <c r="BH464" s="189"/>
      <c r="BI464" s="190"/>
      <c r="BJ464" s="190"/>
      <c r="BK464" s="190"/>
      <c r="BL464" s="190"/>
      <c r="BM464" s="190"/>
      <c r="BN464" s="190"/>
      <c r="BO464" s="190"/>
      <c r="BP464" s="190"/>
      <c r="BQ464" s="190"/>
      <c r="BR464" s="190"/>
      <c r="BS464" s="190"/>
      <c r="BT464" s="190"/>
      <c r="BU464" s="190"/>
      <c r="BV464" s="190"/>
      <c r="BW464" s="190"/>
      <c r="BX464" s="190"/>
      <c r="BY464" s="190"/>
      <c r="BZ464" s="190"/>
      <c r="CA464" s="189"/>
      <c r="CB464" s="15"/>
    </row>
    <row r="465" spans="1:80" ht="15" x14ac:dyDescent="0.25">
      <c r="A465" s="167"/>
      <c r="B465" s="642"/>
      <c r="C465" s="642"/>
      <c r="D465" s="179"/>
      <c r="E465" s="169"/>
      <c r="F465" s="169"/>
      <c r="G465" s="186"/>
      <c r="H465" s="187"/>
      <c r="I465" s="187"/>
      <c r="J465" s="187"/>
      <c r="K465" s="187"/>
      <c r="L465" s="647"/>
      <c r="M465" s="646">
        <v>32679</v>
      </c>
      <c r="N465" s="585">
        <v>4.42</v>
      </c>
      <c r="O465" s="585">
        <v>8.6440000000000003E-2</v>
      </c>
      <c r="P465" s="175">
        <v>0</v>
      </c>
      <c r="Q465" s="175">
        <v>6.0800000000000003E-3</v>
      </c>
      <c r="R465" s="175">
        <v>1.208E-2</v>
      </c>
      <c r="S465" s="175">
        <v>1.235E-2</v>
      </c>
      <c r="T465" s="175">
        <v>1.23E-2</v>
      </c>
      <c r="U465" s="175">
        <v>1.4970000000000001E-2</v>
      </c>
      <c r="V465" s="706">
        <v>2.8660000000000001E-2</v>
      </c>
      <c r="W465" s="717"/>
      <c r="X465" s="713"/>
      <c r="Y465" s="718"/>
      <c r="Z465" s="709">
        <v>0</v>
      </c>
      <c r="AA465" s="175"/>
      <c r="AB465" s="200"/>
      <c r="AC465" s="205">
        <v>1.9E-2</v>
      </c>
      <c r="AD465" s="175">
        <v>9.4</v>
      </c>
      <c r="AE465" s="175">
        <v>0.33</v>
      </c>
      <c r="AF465" s="186">
        <f t="shared" si="8"/>
        <v>3.1020000000000003</v>
      </c>
      <c r="AG465" s="175">
        <v>1.41</v>
      </c>
      <c r="AH465" s="334"/>
      <c r="AI465" s="188"/>
      <c r="AJ465" s="188"/>
      <c r="AK465" s="188"/>
      <c r="AL465" s="189"/>
      <c r="AM465" s="189"/>
      <c r="AN465" s="189"/>
      <c r="AO465" s="189"/>
      <c r="AP465" s="189"/>
      <c r="AQ465" s="189"/>
      <c r="AR465" s="189"/>
      <c r="AS465" s="189"/>
      <c r="AT465" s="189"/>
      <c r="AU465" s="190"/>
      <c r="AV465" s="190"/>
      <c r="AW465" s="190"/>
      <c r="AX465" s="190"/>
      <c r="AY465" s="190"/>
      <c r="AZ465" s="189"/>
      <c r="BA465" s="189"/>
      <c r="BB465" s="189"/>
      <c r="BC465" s="189"/>
      <c r="BD465" s="189"/>
      <c r="BE465" s="189"/>
      <c r="BF465" s="189"/>
      <c r="BG465" s="189"/>
      <c r="BH465" s="189"/>
      <c r="BI465" s="190"/>
      <c r="BJ465" s="190"/>
      <c r="BK465" s="190"/>
      <c r="BL465" s="190"/>
      <c r="BM465" s="190"/>
      <c r="BN465" s="190"/>
      <c r="BO465" s="190"/>
      <c r="BP465" s="190"/>
      <c r="BQ465" s="190"/>
      <c r="BR465" s="190"/>
      <c r="BS465" s="190"/>
      <c r="BT465" s="190"/>
      <c r="BU465" s="190"/>
      <c r="BV465" s="190"/>
      <c r="BW465" s="190"/>
      <c r="BX465" s="190"/>
      <c r="BY465" s="190"/>
      <c r="BZ465" s="190"/>
      <c r="CA465" s="189"/>
      <c r="CB465" s="15"/>
    </row>
    <row r="466" spans="1:80" ht="15" x14ac:dyDescent="0.25">
      <c r="A466" s="167"/>
      <c r="B466" s="642"/>
      <c r="C466" s="642"/>
      <c r="D466" s="179"/>
      <c r="E466" s="169"/>
      <c r="F466" s="169"/>
      <c r="G466" s="186"/>
      <c r="H466" s="187"/>
      <c r="I466" s="187"/>
      <c r="J466" s="187"/>
      <c r="K466" s="187"/>
      <c r="L466" s="647"/>
      <c r="M466" s="646">
        <v>32680</v>
      </c>
      <c r="N466" s="585">
        <v>5.07</v>
      </c>
      <c r="O466" s="585">
        <v>9.8470000000000002E-2</v>
      </c>
      <c r="P466" s="175">
        <v>0</v>
      </c>
      <c r="Q466" s="175">
        <v>1.485E-2</v>
      </c>
      <c r="R466" s="175">
        <v>1.4630000000000001E-2</v>
      </c>
      <c r="S466" s="175">
        <v>1.6E-2</v>
      </c>
      <c r="T466" s="175">
        <v>1.5779999999999999E-2</v>
      </c>
      <c r="U466" s="175">
        <v>1.5970000000000002E-2</v>
      </c>
      <c r="V466" s="706">
        <v>2.1239999999999998E-2</v>
      </c>
      <c r="W466" s="717"/>
      <c r="X466" s="713"/>
      <c r="Y466" s="718"/>
      <c r="Z466" s="709">
        <v>0</v>
      </c>
      <c r="AA466" s="175"/>
      <c r="AB466" s="200"/>
      <c r="AC466" s="205">
        <v>1.7999999999999999E-2</v>
      </c>
      <c r="AD466" s="175">
        <v>9.5500000000000007</v>
      </c>
      <c r="AE466" s="175">
        <v>0.37</v>
      </c>
      <c r="AF466" s="186">
        <f t="shared" si="8"/>
        <v>3.5335000000000001</v>
      </c>
      <c r="AG466" s="175">
        <v>1.45</v>
      </c>
      <c r="AH466" s="334"/>
      <c r="AI466" s="188"/>
      <c r="AJ466" s="188"/>
      <c r="AK466" s="188"/>
      <c r="AL466" s="189"/>
      <c r="AM466" s="189"/>
      <c r="AN466" s="189"/>
      <c r="AO466" s="189"/>
      <c r="AP466" s="189"/>
      <c r="AQ466" s="189"/>
      <c r="AR466" s="189"/>
      <c r="AS466" s="189"/>
      <c r="AT466" s="189"/>
      <c r="AU466" s="190"/>
      <c r="AV466" s="190"/>
      <c r="AW466" s="190"/>
      <c r="AX466" s="190"/>
      <c r="AY466" s="190"/>
      <c r="AZ466" s="189"/>
      <c r="BA466" s="189"/>
      <c r="BB466" s="189"/>
      <c r="BC466" s="189"/>
      <c r="BD466" s="189"/>
      <c r="BE466" s="189"/>
      <c r="BF466" s="189"/>
      <c r="BG466" s="189"/>
      <c r="BH466" s="189"/>
      <c r="BI466" s="190"/>
      <c r="BJ466" s="190"/>
      <c r="BK466" s="190"/>
      <c r="BL466" s="190"/>
      <c r="BM466" s="190"/>
      <c r="BN466" s="190"/>
      <c r="BO466" s="190"/>
      <c r="BP466" s="190"/>
      <c r="BQ466" s="190"/>
      <c r="BR466" s="190"/>
      <c r="BS466" s="190"/>
      <c r="BT466" s="190"/>
      <c r="BU466" s="190"/>
      <c r="BV466" s="190"/>
      <c r="BW466" s="190"/>
      <c r="BX466" s="190"/>
      <c r="BY466" s="190"/>
      <c r="BZ466" s="190"/>
      <c r="CA466" s="189"/>
      <c r="CB466" s="15"/>
    </row>
    <row r="467" spans="1:80" ht="15" x14ac:dyDescent="0.25">
      <c r="A467" s="167"/>
      <c r="B467" s="642"/>
      <c r="C467" s="642"/>
      <c r="D467" s="179"/>
      <c r="E467" s="169"/>
      <c r="F467" s="169"/>
      <c r="G467" s="186"/>
      <c r="H467" s="187"/>
      <c r="I467" s="187"/>
      <c r="J467" s="187"/>
      <c r="K467" s="187"/>
      <c r="L467" s="647"/>
      <c r="M467" s="646">
        <v>32682</v>
      </c>
      <c r="N467" s="585">
        <v>4.8899999999999997</v>
      </c>
      <c r="O467" s="585">
        <v>0.18382999999999999</v>
      </c>
      <c r="P467" s="175">
        <v>0</v>
      </c>
      <c r="Q467" s="175">
        <v>1.5900000000000001E-2</v>
      </c>
      <c r="R467" s="175">
        <v>4.4929999999999998E-2</v>
      </c>
      <c r="S467" s="175">
        <v>3.8039999999999997E-2</v>
      </c>
      <c r="T467" s="175">
        <v>2.487E-2</v>
      </c>
      <c r="U467" s="175">
        <v>1.8499999999999999E-2</v>
      </c>
      <c r="V467" s="706">
        <v>4.1599999999999998E-2</v>
      </c>
      <c r="W467" s="717"/>
      <c r="X467" s="713"/>
      <c r="Y467" s="718"/>
      <c r="Z467" s="709">
        <v>0</v>
      </c>
      <c r="AA467" s="175"/>
      <c r="AB467" s="200"/>
      <c r="AC467" s="205">
        <v>1.7999999999999999E-2</v>
      </c>
      <c r="AD467" s="175">
        <v>9.4</v>
      </c>
      <c r="AE467" s="175">
        <v>0.36</v>
      </c>
      <c r="AF467" s="186">
        <f t="shared" si="8"/>
        <v>3.3839999999999999</v>
      </c>
      <c r="AG467" s="175">
        <v>1.44</v>
      </c>
      <c r="AH467" s="334"/>
      <c r="AI467" s="188"/>
      <c r="AJ467" s="188"/>
      <c r="AK467" s="188"/>
      <c r="AL467" s="189"/>
      <c r="AM467" s="189"/>
      <c r="AN467" s="189"/>
      <c r="AO467" s="189"/>
      <c r="AP467" s="189"/>
      <c r="AQ467" s="189"/>
      <c r="AR467" s="189"/>
      <c r="AS467" s="189"/>
      <c r="AT467" s="189"/>
      <c r="AU467" s="190"/>
      <c r="AV467" s="190"/>
      <c r="AW467" s="190"/>
      <c r="AX467" s="190"/>
      <c r="AY467" s="190"/>
      <c r="AZ467" s="189"/>
      <c r="BA467" s="189"/>
      <c r="BB467" s="189"/>
      <c r="BC467" s="189"/>
      <c r="BD467" s="189"/>
      <c r="BE467" s="189"/>
      <c r="BF467" s="189"/>
      <c r="BG467" s="189"/>
      <c r="BH467" s="189"/>
      <c r="BI467" s="190"/>
      <c r="BJ467" s="190"/>
      <c r="BK467" s="190"/>
      <c r="BL467" s="190"/>
      <c r="BM467" s="190"/>
      <c r="BN467" s="190"/>
      <c r="BO467" s="190"/>
      <c r="BP467" s="190"/>
      <c r="BQ467" s="190"/>
      <c r="BR467" s="190"/>
      <c r="BS467" s="190"/>
      <c r="BT467" s="190"/>
      <c r="BU467" s="190"/>
      <c r="BV467" s="190"/>
      <c r="BW467" s="190"/>
      <c r="BX467" s="190"/>
      <c r="BY467" s="190"/>
      <c r="BZ467" s="190"/>
      <c r="CA467" s="189"/>
      <c r="CB467" s="15"/>
    </row>
    <row r="468" spans="1:80" ht="15" x14ac:dyDescent="0.25">
      <c r="A468" s="167"/>
      <c r="B468" s="642"/>
      <c r="C468" s="642"/>
      <c r="D468" s="179"/>
      <c r="E468" s="169"/>
      <c r="F468" s="169"/>
      <c r="G468" s="186"/>
      <c r="H468" s="187"/>
      <c r="I468" s="187"/>
      <c r="J468" s="187"/>
      <c r="K468" s="187"/>
      <c r="L468" s="647"/>
      <c r="M468" s="646">
        <v>32683</v>
      </c>
      <c r="N468" s="585">
        <v>5.26</v>
      </c>
      <c r="O468" s="585">
        <v>0.36170000000000002</v>
      </c>
      <c r="P468" s="175">
        <v>0</v>
      </c>
      <c r="Q468" s="175">
        <v>4.8399999999999997E-3</v>
      </c>
      <c r="R468" s="175">
        <v>9.5180000000000001E-2</v>
      </c>
      <c r="S468" s="175">
        <v>0.10112</v>
      </c>
      <c r="T468" s="175">
        <v>6.4699999999999994E-2</v>
      </c>
      <c r="U468" s="175">
        <v>4.1980000000000003E-2</v>
      </c>
      <c r="V468" s="706">
        <v>5.3879999999999997E-2</v>
      </c>
      <c r="W468" s="717"/>
      <c r="X468" s="713"/>
      <c r="Y468" s="718"/>
      <c r="Z468" s="709">
        <v>0</v>
      </c>
      <c r="AA468" s="175"/>
      <c r="AB468" s="200"/>
      <c r="AC468" s="205">
        <v>1.7999999999999999E-2</v>
      </c>
      <c r="AD468" s="175">
        <v>9.4</v>
      </c>
      <c r="AE468" s="175">
        <v>0.37</v>
      </c>
      <c r="AF468" s="186">
        <f t="shared" si="8"/>
        <v>3.4780000000000002</v>
      </c>
      <c r="AG468" s="175">
        <v>1.49</v>
      </c>
      <c r="AH468" s="334"/>
      <c r="AI468" s="188"/>
      <c r="AJ468" s="188"/>
      <c r="AK468" s="188"/>
      <c r="AL468" s="189"/>
      <c r="AM468" s="189"/>
      <c r="AN468" s="189"/>
      <c r="AO468" s="189"/>
      <c r="AP468" s="189"/>
      <c r="AQ468" s="189"/>
      <c r="AR468" s="189"/>
      <c r="AS468" s="189"/>
      <c r="AT468" s="189"/>
      <c r="AU468" s="190"/>
      <c r="AV468" s="190"/>
      <c r="AW468" s="190"/>
      <c r="AX468" s="190"/>
      <c r="AY468" s="190"/>
      <c r="AZ468" s="189"/>
      <c r="BA468" s="189"/>
      <c r="BB468" s="189"/>
      <c r="BC468" s="189"/>
      <c r="BD468" s="189"/>
      <c r="BE468" s="189"/>
      <c r="BF468" s="189"/>
      <c r="BG468" s="189"/>
      <c r="BH468" s="189"/>
      <c r="BI468" s="190"/>
      <c r="BJ468" s="190"/>
      <c r="BK468" s="190"/>
      <c r="BL468" s="190"/>
      <c r="BM468" s="190"/>
      <c r="BN468" s="190"/>
      <c r="BO468" s="190"/>
      <c r="BP468" s="190"/>
      <c r="BQ468" s="190"/>
      <c r="BR468" s="190"/>
      <c r="BS468" s="190"/>
      <c r="BT468" s="190"/>
      <c r="BU468" s="190"/>
      <c r="BV468" s="190"/>
      <c r="BW468" s="190"/>
      <c r="BX468" s="190"/>
      <c r="BY468" s="190"/>
      <c r="BZ468" s="190"/>
      <c r="CA468" s="189"/>
      <c r="CB468" s="15"/>
    </row>
    <row r="469" spans="1:80" ht="15" x14ac:dyDescent="0.25">
      <c r="A469" s="167"/>
      <c r="B469" s="642"/>
      <c r="C469" s="642"/>
      <c r="D469" s="179"/>
      <c r="E469" s="169"/>
      <c r="F469" s="169"/>
      <c r="G469" s="186"/>
      <c r="H469" s="187"/>
      <c r="I469" s="187"/>
      <c r="J469" s="187"/>
      <c r="K469" s="187"/>
      <c r="L469" s="647"/>
      <c r="M469" s="646">
        <v>32687</v>
      </c>
      <c r="N469" s="585">
        <v>5.15</v>
      </c>
      <c r="O469" s="585">
        <v>0.15064</v>
      </c>
      <c r="P469" s="175">
        <v>0</v>
      </c>
      <c r="Q469" s="175">
        <v>3.2629999999999999E-2</v>
      </c>
      <c r="R469" s="175">
        <v>1.814E-2</v>
      </c>
      <c r="S469" s="175">
        <v>2.147E-2</v>
      </c>
      <c r="T469" s="175">
        <v>2.4899999999999999E-2</v>
      </c>
      <c r="U469" s="175">
        <v>2.479E-2</v>
      </c>
      <c r="V469" s="706">
        <v>2.8709999999999999E-2</v>
      </c>
      <c r="W469" s="717"/>
      <c r="X469" s="713"/>
      <c r="Y469" s="718"/>
      <c r="Z469" s="709">
        <v>0</v>
      </c>
      <c r="AA469" s="175"/>
      <c r="AB469" s="200"/>
      <c r="AC469" s="205">
        <v>0.02</v>
      </c>
      <c r="AD469" s="175">
        <v>9.4</v>
      </c>
      <c r="AE469" s="175">
        <v>0.38</v>
      </c>
      <c r="AF469" s="186">
        <f t="shared" si="8"/>
        <v>3.5720000000000001</v>
      </c>
      <c r="AG469" s="175">
        <v>1.45</v>
      </c>
      <c r="AH469" s="334"/>
      <c r="AI469" s="188"/>
      <c r="AJ469" s="188"/>
      <c r="AK469" s="188"/>
      <c r="AL469" s="189"/>
      <c r="AM469" s="189"/>
      <c r="AN469" s="189"/>
      <c r="AO469" s="189"/>
      <c r="AP469" s="189"/>
      <c r="AQ469" s="189"/>
      <c r="AR469" s="189"/>
      <c r="AS469" s="189"/>
      <c r="AT469" s="189"/>
      <c r="AU469" s="190"/>
      <c r="AV469" s="190"/>
      <c r="AW469" s="190"/>
      <c r="AX469" s="190"/>
      <c r="AY469" s="190"/>
      <c r="AZ469" s="189"/>
      <c r="BA469" s="189"/>
      <c r="BB469" s="189"/>
      <c r="BC469" s="189"/>
      <c r="BD469" s="189"/>
      <c r="BE469" s="189"/>
      <c r="BF469" s="189"/>
      <c r="BG469" s="189"/>
      <c r="BH469" s="189"/>
      <c r="BI469" s="190"/>
      <c r="BJ469" s="190"/>
      <c r="BK469" s="190"/>
      <c r="BL469" s="190"/>
      <c r="BM469" s="190"/>
      <c r="BN469" s="190"/>
      <c r="BO469" s="190"/>
      <c r="BP469" s="190"/>
      <c r="BQ469" s="190"/>
      <c r="BR469" s="190"/>
      <c r="BS469" s="190"/>
      <c r="BT469" s="190"/>
      <c r="BU469" s="190"/>
      <c r="BV469" s="190"/>
      <c r="BW469" s="190"/>
      <c r="BX469" s="190"/>
      <c r="BY469" s="190"/>
      <c r="BZ469" s="190"/>
      <c r="CA469" s="189"/>
      <c r="CB469" s="15"/>
    </row>
    <row r="470" spans="1:80" ht="15" x14ac:dyDescent="0.25">
      <c r="A470" s="167"/>
      <c r="B470" s="642"/>
      <c r="C470" s="642"/>
      <c r="D470" s="179"/>
      <c r="E470" s="169"/>
      <c r="F470" s="169"/>
      <c r="G470" s="186"/>
      <c r="H470" s="187"/>
      <c r="I470" s="187"/>
      <c r="J470" s="187"/>
      <c r="K470" s="187"/>
      <c r="L470" s="647"/>
      <c r="M470" s="646">
        <v>32688</v>
      </c>
      <c r="N470" s="585">
        <v>5.93</v>
      </c>
      <c r="O470" s="585">
        <v>0.64337</v>
      </c>
      <c r="P470" s="175">
        <v>0</v>
      </c>
      <c r="Q470" s="175">
        <v>0.17005999999999999</v>
      </c>
      <c r="R470" s="175">
        <v>0.23680999999999999</v>
      </c>
      <c r="S470" s="175">
        <v>0.10954999999999999</v>
      </c>
      <c r="T470" s="175">
        <v>3.363E-2</v>
      </c>
      <c r="U470" s="175">
        <v>2.759E-2</v>
      </c>
      <c r="V470" s="706">
        <v>6.5720000000000001E-2</v>
      </c>
      <c r="W470" s="717"/>
      <c r="X470" s="713"/>
      <c r="Y470" s="718"/>
      <c r="Z470" s="709">
        <v>0</v>
      </c>
      <c r="AA470" s="175"/>
      <c r="AB470" s="200"/>
      <c r="AC470" s="205">
        <v>2.1999999999999999E-2</v>
      </c>
      <c r="AD470" s="175">
        <v>9.8000000000000007</v>
      </c>
      <c r="AE470" s="175">
        <v>0.36</v>
      </c>
      <c r="AF470" s="186">
        <f t="shared" si="8"/>
        <v>3.528</v>
      </c>
      <c r="AG470" s="175">
        <v>1.67</v>
      </c>
      <c r="AH470" s="334"/>
      <c r="AI470" s="188"/>
      <c r="AJ470" s="188"/>
      <c r="AK470" s="188"/>
      <c r="AL470" s="189"/>
      <c r="AM470" s="189"/>
      <c r="AN470" s="189"/>
      <c r="AO470" s="189"/>
      <c r="AP470" s="189"/>
      <c r="AQ470" s="189"/>
      <c r="AR470" s="189"/>
      <c r="AS470" s="189"/>
      <c r="AT470" s="189"/>
      <c r="AU470" s="190"/>
      <c r="AV470" s="190"/>
      <c r="AW470" s="190"/>
      <c r="AX470" s="190"/>
      <c r="AY470" s="190"/>
      <c r="AZ470" s="189"/>
      <c r="BA470" s="189"/>
      <c r="BB470" s="189"/>
      <c r="BC470" s="189"/>
      <c r="BD470" s="189"/>
      <c r="BE470" s="189"/>
      <c r="BF470" s="189"/>
      <c r="BG470" s="189"/>
      <c r="BH470" s="189"/>
      <c r="BI470" s="190"/>
      <c r="BJ470" s="190"/>
      <c r="BK470" s="190"/>
      <c r="BL470" s="190"/>
      <c r="BM470" s="190"/>
      <c r="BN470" s="190"/>
      <c r="BO470" s="190"/>
      <c r="BP470" s="190"/>
      <c r="BQ470" s="190"/>
      <c r="BR470" s="190"/>
      <c r="BS470" s="190"/>
      <c r="BT470" s="190"/>
      <c r="BU470" s="190"/>
      <c r="BV470" s="190"/>
      <c r="BW470" s="190"/>
      <c r="BX470" s="190"/>
      <c r="BY470" s="190"/>
      <c r="BZ470" s="190"/>
      <c r="CA470" s="189"/>
      <c r="CB470" s="15"/>
    </row>
    <row r="471" spans="1:80" ht="15" x14ac:dyDescent="0.25">
      <c r="A471" s="167"/>
      <c r="B471" s="642"/>
      <c r="C471" s="642"/>
      <c r="D471" s="179"/>
      <c r="E471" s="169"/>
      <c r="F471" s="169"/>
      <c r="G471" s="186"/>
      <c r="H471" s="187"/>
      <c r="I471" s="187"/>
      <c r="J471" s="187"/>
      <c r="K471" s="187"/>
      <c r="L471" s="647"/>
      <c r="M471" s="646">
        <v>32689</v>
      </c>
      <c r="N471" s="585">
        <v>5.3</v>
      </c>
      <c r="O471" s="585">
        <v>0.35010000000000002</v>
      </c>
      <c r="P471" s="175">
        <v>0</v>
      </c>
      <c r="Q471" s="175">
        <v>2.419E-2</v>
      </c>
      <c r="R471" s="175">
        <v>6.9080000000000003E-2</v>
      </c>
      <c r="S471" s="175">
        <v>6.8419999999999995E-2</v>
      </c>
      <c r="T471" s="175">
        <v>6.7360000000000003E-2</v>
      </c>
      <c r="U471" s="175">
        <v>5.3940000000000002E-2</v>
      </c>
      <c r="V471" s="706">
        <v>6.7110000000000003E-2</v>
      </c>
      <c r="W471" s="717"/>
      <c r="X471" s="713"/>
      <c r="Y471" s="718"/>
      <c r="Z471" s="709">
        <v>0</v>
      </c>
      <c r="AA471" s="175"/>
      <c r="AB471" s="200"/>
      <c r="AC471" s="205">
        <v>2.1999999999999999E-2</v>
      </c>
      <c r="AD471" s="175">
        <v>9.5</v>
      </c>
      <c r="AE471" s="175">
        <v>0.36</v>
      </c>
      <c r="AF471" s="186">
        <f t="shared" si="8"/>
        <v>3.42</v>
      </c>
      <c r="AG471" s="175">
        <v>1.55</v>
      </c>
      <c r="AH471" s="334"/>
      <c r="AI471" s="188"/>
      <c r="AJ471" s="188"/>
      <c r="AK471" s="188"/>
      <c r="AL471" s="189"/>
      <c r="AM471" s="189"/>
      <c r="AN471" s="189"/>
      <c r="AO471" s="189"/>
      <c r="AP471" s="189"/>
      <c r="AQ471" s="189"/>
      <c r="AR471" s="189"/>
      <c r="AS471" s="189"/>
      <c r="AT471" s="189"/>
      <c r="AU471" s="190"/>
      <c r="AV471" s="190"/>
      <c r="AW471" s="190"/>
      <c r="AX471" s="190"/>
      <c r="AY471" s="190"/>
      <c r="AZ471" s="189"/>
      <c r="BA471" s="189"/>
      <c r="BB471" s="189"/>
      <c r="BC471" s="189"/>
      <c r="BD471" s="189"/>
      <c r="BE471" s="189"/>
      <c r="BF471" s="189"/>
      <c r="BG471" s="189"/>
      <c r="BH471" s="189"/>
      <c r="BI471" s="190"/>
      <c r="BJ471" s="190"/>
      <c r="BK471" s="190"/>
      <c r="BL471" s="190"/>
      <c r="BM471" s="190"/>
      <c r="BN471" s="190"/>
      <c r="BO471" s="190"/>
      <c r="BP471" s="190"/>
      <c r="BQ471" s="190"/>
      <c r="BR471" s="190"/>
      <c r="BS471" s="190"/>
      <c r="BT471" s="190"/>
      <c r="BU471" s="190"/>
      <c r="BV471" s="190"/>
      <c r="BW471" s="190"/>
      <c r="BX471" s="190"/>
      <c r="BY471" s="190"/>
      <c r="BZ471" s="190"/>
      <c r="CA471" s="189"/>
      <c r="CB471" s="15"/>
    </row>
    <row r="472" spans="1:80" ht="15" x14ac:dyDescent="0.25">
      <c r="A472" s="167"/>
      <c r="B472" s="642"/>
      <c r="C472" s="642"/>
      <c r="D472" s="179"/>
      <c r="E472" s="169"/>
      <c r="F472" s="169"/>
      <c r="G472" s="186"/>
      <c r="H472" s="187"/>
      <c r="I472" s="187"/>
      <c r="J472" s="187"/>
      <c r="K472" s="187"/>
      <c r="L472" s="647"/>
      <c r="M472" s="646">
        <v>32692</v>
      </c>
      <c r="N472" s="585">
        <v>4.6500000000000004</v>
      </c>
      <c r="O472" s="585">
        <v>0.30019000000000001</v>
      </c>
      <c r="P472" s="175">
        <v>0</v>
      </c>
      <c r="Q472" s="175">
        <v>0.10131</v>
      </c>
      <c r="R472" s="175">
        <v>5.3809999999999997E-2</v>
      </c>
      <c r="S472" s="175">
        <v>4.1149999999999999E-2</v>
      </c>
      <c r="T472" s="175">
        <v>3.7010000000000001E-2</v>
      </c>
      <c r="U472" s="175">
        <v>3.0419999999999999E-2</v>
      </c>
      <c r="V472" s="706">
        <v>3.6490000000000002E-2</v>
      </c>
      <c r="W472" s="717"/>
      <c r="X472" s="713"/>
      <c r="Y472" s="718"/>
      <c r="Z472" s="709">
        <v>0</v>
      </c>
      <c r="AA472" s="175"/>
      <c r="AB472" s="200"/>
      <c r="AC472" s="205">
        <v>1.7999999999999999E-2</v>
      </c>
      <c r="AD472" s="175">
        <v>9.4499999999999993</v>
      </c>
      <c r="AE472" s="175">
        <v>0.35</v>
      </c>
      <c r="AF472" s="186">
        <f t="shared" si="8"/>
        <v>3.3074999999999997</v>
      </c>
      <c r="AG472" s="175">
        <v>1.43</v>
      </c>
      <c r="AH472" s="334"/>
      <c r="AI472" s="188"/>
      <c r="AJ472" s="188"/>
      <c r="AK472" s="188"/>
      <c r="AL472" s="189"/>
      <c r="AM472" s="189"/>
      <c r="AN472" s="189"/>
      <c r="AO472" s="189"/>
      <c r="AP472" s="189"/>
      <c r="AQ472" s="189"/>
      <c r="AR472" s="189"/>
      <c r="AS472" s="189"/>
      <c r="AT472" s="189"/>
      <c r="AU472" s="190"/>
      <c r="AV472" s="190"/>
      <c r="AW472" s="190"/>
      <c r="AX472" s="190"/>
      <c r="AY472" s="190"/>
      <c r="AZ472" s="189"/>
      <c r="BA472" s="189"/>
      <c r="BB472" s="189"/>
      <c r="BC472" s="189"/>
      <c r="BD472" s="189"/>
      <c r="BE472" s="189"/>
      <c r="BF472" s="189"/>
      <c r="BG472" s="189"/>
      <c r="BH472" s="189"/>
      <c r="BI472" s="190"/>
      <c r="BJ472" s="190"/>
      <c r="BK472" s="190"/>
      <c r="BL472" s="190"/>
      <c r="BM472" s="190"/>
      <c r="BN472" s="190"/>
      <c r="BO472" s="190"/>
      <c r="BP472" s="190"/>
      <c r="BQ472" s="190"/>
      <c r="BR472" s="190"/>
      <c r="BS472" s="190"/>
      <c r="BT472" s="190"/>
      <c r="BU472" s="190"/>
      <c r="BV472" s="190"/>
      <c r="BW472" s="190"/>
      <c r="BX472" s="190"/>
      <c r="BY472" s="190"/>
      <c r="BZ472" s="190"/>
      <c r="CA472" s="189"/>
      <c r="CB472" s="15"/>
    </row>
    <row r="473" spans="1:80" ht="15" x14ac:dyDescent="0.25">
      <c r="A473" s="167"/>
      <c r="B473" s="642"/>
      <c r="C473" s="642"/>
      <c r="D473" s="179"/>
      <c r="E473" s="169"/>
      <c r="F473" s="169"/>
      <c r="G473" s="186"/>
      <c r="H473" s="187"/>
      <c r="I473" s="187"/>
      <c r="J473" s="187"/>
      <c r="K473" s="187"/>
      <c r="L473" s="647"/>
      <c r="M473" s="646">
        <v>32695</v>
      </c>
      <c r="N473" s="585">
        <v>3.61</v>
      </c>
      <c r="O473" s="585">
        <v>0.12669</v>
      </c>
      <c r="P473" s="175">
        <v>0</v>
      </c>
      <c r="Q473" s="175">
        <v>2.6749999999999999E-2</v>
      </c>
      <c r="R473" s="175">
        <v>1.5890000000000001E-2</v>
      </c>
      <c r="S473" s="175">
        <v>2.0140000000000002E-2</v>
      </c>
      <c r="T473" s="175">
        <v>2.0830000000000001E-2</v>
      </c>
      <c r="U473" s="175">
        <v>1.8360000000000001E-2</v>
      </c>
      <c r="V473" s="706">
        <v>2.4709999999999999E-2</v>
      </c>
      <c r="W473" s="717"/>
      <c r="X473" s="713"/>
      <c r="Y473" s="718"/>
      <c r="Z473" s="709">
        <v>0</v>
      </c>
      <c r="AA473" s="175"/>
      <c r="AB473" s="200"/>
      <c r="AC473" s="205">
        <v>1.7999999999999999E-2</v>
      </c>
      <c r="AD473" s="175">
        <v>8.4</v>
      </c>
      <c r="AE473" s="175">
        <v>0.31</v>
      </c>
      <c r="AF473" s="186">
        <f t="shared" si="8"/>
        <v>2.6040000000000001</v>
      </c>
      <c r="AG473" s="175">
        <v>1.4</v>
      </c>
      <c r="AH473" s="334"/>
      <c r="AI473" s="188"/>
      <c r="AJ473" s="188"/>
      <c r="AK473" s="188"/>
      <c r="AL473" s="189"/>
      <c r="AM473" s="189"/>
      <c r="AN473" s="189"/>
      <c r="AO473" s="189"/>
      <c r="AP473" s="189"/>
      <c r="AQ473" s="189"/>
      <c r="AR473" s="189"/>
      <c r="AS473" s="189"/>
      <c r="AT473" s="189"/>
      <c r="AU473" s="190"/>
      <c r="AV473" s="190"/>
      <c r="AW473" s="190"/>
      <c r="AX473" s="190"/>
      <c r="AY473" s="190"/>
      <c r="AZ473" s="189"/>
      <c r="BA473" s="189"/>
      <c r="BB473" s="189"/>
      <c r="BC473" s="189"/>
      <c r="BD473" s="189"/>
      <c r="BE473" s="189"/>
      <c r="BF473" s="189"/>
      <c r="BG473" s="189"/>
      <c r="BH473" s="189"/>
      <c r="BI473" s="190"/>
      <c r="BJ473" s="190"/>
      <c r="BK473" s="190"/>
      <c r="BL473" s="190"/>
      <c r="BM473" s="190"/>
      <c r="BN473" s="190"/>
      <c r="BO473" s="190"/>
      <c r="BP473" s="190"/>
      <c r="BQ473" s="190"/>
      <c r="BR473" s="190"/>
      <c r="BS473" s="190"/>
      <c r="BT473" s="190"/>
      <c r="BU473" s="190"/>
      <c r="BV473" s="190"/>
      <c r="BW473" s="190"/>
      <c r="BX473" s="190"/>
      <c r="BY473" s="190"/>
      <c r="BZ473" s="190"/>
      <c r="CA473" s="189"/>
      <c r="CB473" s="15"/>
    </row>
    <row r="474" spans="1:80" ht="15" x14ac:dyDescent="0.25">
      <c r="A474" s="167"/>
      <c r="B474" s="642"/>
      <c r="C474" s="642"/>
      <c r="D474" s="179"/>
      <c r="E474" s="169"/>
      <c r="F474" s="169"/>
      <c r="G474" s="186"/>
      <c r="H474" s="187"/>
      <c r="I474" s="187"/>
      <c r="J474" s="187"/>
      <c r="K474" s="187"/>
      <c r="L474" s="647"/>
      <c r="M474" s="646">
        <v>32696</v>
      </c>
      <c r="N474" s="585">
        <v>3.85</v>
      </c>
      <c r="O474" s="585">
        <v>0.11536</v>
      </c>
      <c r="P474" s="175">
        <v>0</v>
      </c>
      <c r="Q474" s="175">
        <v>2.7650000000000001E-2</v>
      </c>
      <c r="R474" s="175">
        <v>2.4E-2</v>
      </c>
      <c r="S474" s="175">
        <v>1.7500000000000002E-2</v>
      </c>
      <c r="T474" s="175">
        <v>1.5890000000000001E-2</v>
      </c>
      <c r="U474" s="175">
        <v>1.158E-2</v>
      </c>
      <c r="V474" s="706">
        <v>1.874E-2</v>
      </c>
      <c r="W474" s="717"/>
      <c r="X474" s="713"/>
      <c r="Y474" s="718"/>
      <c r="Z474" s="709">
        <v>0</v>
      </c>
      <c r="AA474" s="175"/>
      <c r="AB474" s="200"/>
      <c r="AC474" s="205">
        <v>1.6E-2</v>
      </c>
      <c r="AD474" s="175">
        <v>8.5</v>
      </c>
      <c r="AE474" s="175">
        <v>0.31</v>
      </c>
      <c r="AF474" s="186">
        <f t="shared" si="8"/>
        <v>2.6349999999999998</v>
      </c>
      <c r="AG474" s="175">
        <v>1.46</v>
      </c>
      <c r="AH474" s="334"/>
      <c r="AI474" s="188"/>
      <c r="AJ474" s="188"/>
      <c r="AK474" s="188"/>
      <c r="AL474" s="189"/>
      <c r="AM474" s="189"/>
      <c r="AN474" s="189"/>
      <c r="AO474" s="189"/>
      <c r="AP474" s="189"/>
      <c r="AQ474" s="189"/>
      <c r="AR474" s="189"/>
      <c r="AS474" s="189"/>
      <c r="AT474" s="189"/>
      <c r="AU474" s="190"/>
      <c r="AV474" s="190"/>
      <c r="AW474" s="190"/>
      <c r="AX474" s="190"/>
      <c r="AY474" s="190"/>
      <c r="AZ474" s="189"/>
      <c r="BA474" s="189"/>
      <c r="BB474" s="189"/>
      <c r="BC474" s="189"/>
      <c r="BD474" s="189"/>
      <c r="BE474" s="189"/>
      <c r="BF474" s="189"/>
      <c r="BG474" s="189"/>
      <c r="BH474" s="189"/>
      <c r="BI474" s="190"/>
      <c r="BJ474" s="190"/>
      <c r="BK474" s="190"/>
      <c r="BL474" s="190"/>
      <c r="BM474" s="190"/>
      <c r="BN474" s="190"/>
      <c r="BO474" s="190"/>
      <c r="BP474" s="190"/>
      <c r="BQ474" s="190"/>
      <c r="BR474" s="190"/>
      <c r="BS474" s="190"/>
      <c r="BT474" s="190"/>
      <c r="BU474" s="190"/>
      <c r="BV474" s="190"/>
      <c r="BW474" s="190"/>
      <c r="BX474" s="190"/>
      <c r="BY474" s="190"/>
      <c r="BZ474" s="190"/>
      <c r="CA474" s="189"/>
      <c r="CB474" s="15"/>
    </row>
    <row r="475" spans="1:80" ht="15" x14ac:dyDescent="0.25">
      <c r="A475" s="167"/>
      <c r="B475" s="642"/>
      <c r="C475" s="642"/>
      <c r="D475" s="179"/>
      <c r="E475" s="169"/>
      <c r="F475" s="169"/>
      <c r="G475" s="186"/>
      <c r="H475" s="187"/>
      <c r="I475" s="187"/>
      <c r="J475" s="187"/>
      <c r="K475" s="187"/>
      <c r="L475" s="647"/>
      <c r="M475" s="646">
        <v>32698</v>
      </c>
      <c r="N475" s="585">
        <v>0.8</v>
      </c>
      <c r="O475" s="585">
        <v>2.0000000000000001E-4</v>
      </c>
      <c r="P475" s="175">
        <v>0</v>
      </c>
      <c r="Q475" s="175">
        <v>0</v>
      </c>
      <c r="R475" s="175">
        <v>0</v>
      </c>
      <c r="S475" s="175">
        <v>1E-4</v>
      </c>
      <c r="T475" s="175">
        <v>1.0000000000000001E-5</v>
      </c>
      <c r="U475" s="175">
        <v>2.0000000000000002E-5</v>
      </c>
      <c r="V475" s="706">
        <v>6.9999999999999994E-5</v>
      </c>
      <c r="W475" s="717"/>
      <c r="X475" s="713"/>
      <c r="Y475" s="718"/>
      <c r="Z475" s="709">
        <v>0</v>
      </c>
      <c r="AA475" s="175"/>
      <c r="AB475" s="200"/>
      <c r="AC475" s="205">
        <v>1.0999999999999999E-2</v>
      </c>
      <c r="AD475" s="175">
        <v>6.45</v>
      </c>
      <c r="AE475" s="175">
        <v>0.2</v>
      </c>
      <c r="AF475" s="186">
        <f t="shared" si="8"/>
        <v>1.29</v>
      </c>
      <c r="AG475" s="175">
        <v>0.62</v>
      </c>
      <c r="AH475" s="334"/>
      <c r="AI475" s="188"/>
      <c r="AJ475" s="188"/>
      <c r="AK475" s="188"/>
      <c r="AL475" s="189"/>
      <c r="AM475" s="189"/>
      <c r="AN475" s="189"/>
      <c r="AO475" s="189"/>
      <c r="AP475" s="189"/>
      <c r="AQ475" s="189"/>
      <c r="AR475" s="189"/>
      <c r="AS475" s="189"/>
      <c r="AT475" s="189"/>
      <c r="AU475" s="190"/>
      <c r="AV475" s="190"/>
      <c r="AW475" s="190"/>
      <c r="AX475" s="190"/>
      <c r="AY475" s="190"/>
      <c r="AZ475" s="189"/>
      <c r="BA475" s="189"/>
      <c r="BB475" s="189"/>
      <c r="BC475" s="189"/>
      <c r="BD475" s="189"/>
      <c r="BE475" s="189"/>
      <c r="BF475" s="189"/>
      <c r="BG475" s="189"/>
      <c r="BH475" s="189"/>
      <c r="BI475" s="190"/>
      <c r="BJ475" s="190"/>
      <c r="BK475" s="190"/>
      <c r="BL475" s="190"/>
      <c r="BM475" s="190"/>
      <c r="BN475" s="190"/>
      <c r="BO475" s="190"/>
      <c r="BP475" s="190"/>
      <c r="BQ475" s="190"/>
      <c r="BR475" s="190"/>
      <c r="BS475" s="190"/>
      <c r="BT475" s="190"/>
      <c r="BU475" s="190"/>
      <c r="BV475" s="190"/>
      <c r="BW475" s="190"/>
      <c r="BX475" s="190"/>
      <c r="BY475" s="190"/>
      <c r="BZ475" s="190"/>
      <c r="CA475" s="189"/>
      <c r="CB475" s="15"/>
    </row>
    <row r="476" spans="1:80" ht="15" x14ac:dyDescent="0.25">
      <c r="A476" s="167"/>
      <c r="B476" s="642"/>
      <c r="C476" s="642"/>
      <c r="D476" s="179"/>
      <c r="E476" s="169"/>
      <c r="F476" s="169"/>
      <c r="G476" s="186"/>
      <c r="H476" s="187"/>
      <c r="I476" s="187"/>
      <c r="J476" s="187"/>
      <c r="K476" s="187"/>
      <c r="L476" s="647"/>
      <c r="M476" s="646">
        <v>32702</v>
      </c>
      <c r="N476" s="585">
        <v>0.77</v>
      </c>
      <c r="O476" s="585">
        <v>2.4000000000000001E-4</v>
      </c>
      <c r="P476" s="175">
        <v>0</v>
      </c>
      <c r="Q476" s="175">
        <v>0</v>
      </c>
      <c r="R476" s="175">
        <v>0</v>
      </c>
      <c r="S476" s="175">
        <v>0</v>
      </c>
      <c r="T476" s="175">
        <v>6.0000000000000002E-5</v>
      </c>
      <c r="U476" s="175">
        <v>6.9999999999999994E-5</v>
      </c>
      <c r="V476" s="706">
        <v>1.1E-4</v>
      </c>
      <c r="W476" s="717"/>
      <c r="X476" s="713"/>
      <c r="Y476" s="718"/>
      <c r="Z476" s="709">
        <v>0</v>
      </c>
      <c r="AA476" s="175"/>
      <c r="AB476" s="200"/>
      <c r="AC476" s="205">
        <v>1.2E-2</v>
      </c>
      <c r="AD476" s="175">
        <v>6.2</v>
      </c>
      <c r="AE476" s="175">
        <v>0.19</v>
      </c>
      <c r="AF476" s="186">
        <f t="shared" si="8"/>
        <v>1.1780000000000002</v>
      </c>
      <c r="AG476" s="175">
        <v>0.65</v>
      </c>
      <c r="AH476" s="334"/>
      <c r="AI476" s="188"/>
      <c r="AJ476" s="188"/>
      <c r="AK476" s="188"/>
      <c r="AL476" s="189"/>
      <c r="AM476" s="189"/>
      <c r="AN476" s="189"/>
      <c r="AO476" s="189"/>
      <c r="AP476" s="189"/>
      <c r="AQ476" s="189"/>
      <c r="AR476" s="189"/>
      <c r="AS476" s="189"/>
      <c r="AT476" s="189"/>
      <c r="AU476" s="190"/>
      <c r="AV476" s="190"/>
      <c r="AW476" s="190"/>
      <c r="AX476" s="190"/>
      <c r="AY476" s="190"/>
      <c r="AZ476" s="189"/>
      <c r="BA476" s="189"/>
      <c r="BB476" s="189"/>
      <c r="BC476" s="189"/>
      <c r="BD476" s="189"/>
      <c r="BE476" s="189"/>
      <c r="BF476" s="189"/>
      <c r="BG476" s="189"/>
      <c r="BH476" s="189"/>
      <c r="BI476" s="190"/>
      <c r="BJ476" s="190"/>
      <c r="BK476" s="190"/>
      <c r="BL476" s="190"/>
      <c r="BM476" s="190"/>
      <c r="BN476" s="190"/>
      <c r="BO476" s="190"/>
      <c r="BP476" s="190"/>
      <c r="BQ476" s="190"/>
      <c r="BR476" s="190"/>
      <c r="BS476" s="190"/>
      <c r="BT476" s="190"/>
      <c r="BU476" s="190"/>
      <c r="BV476" s="190"/>
      <c r="BW476" s="190"/>
      <c r="BX476" s="190"/>
      <c r="BY476" s="190"/>
      <c r="BZ476" s="190"/>
      <c r="CA476" s="189"/>
      <c r="CB476" s="15"/>
    </row>
    <row r="477" spans="1:80" ht="15" x14ac:dyDescent="0.25">
      <c r="A477" s="167"/>
      <c r="B477" s="642"/>
      <c r="C477" s="642"/>
      <c r="D477" s="179"/>
      <c r="E477" s="169"/>
      <c r="F477" s="169"/>
      <c r="G477" s="186"/>
      <c r="H477" s="187"/>
      <c r="I477" s="187"/>
      <c r="J477" s="187"/>
      <c r="K477" s="187"/>
      <c r="L477" s="647"/>
      <c r="M477" s="646">
        <v>32704</v>
      </c>
      <c r="N477" s="585">
        <v>0.79</v>
      </c>
      <c r="O477" s="585">
        <v>4.8000000000000001E-4</v>
      </c>
      <c r="P477" s="175">
        <v>0</v>
      </c>
      <c r="Q477" s="175">
        <v>0</v>
      </c>
      <c r="R477" s="175">
        <v>0</v>
      </c>
      <c r="S477" s="175">
        <v>0</v>
      </c>
      <c r="T477" s="175">
        <v>1E-4</v>
      </c>
      <c r="U477" s="175">
        <v>1.4999999999999999E-4</v>
      </c>
      <c r="V477" s="706">
        <v>2.3000000000000001E-4</v>
      </c>
      <c r="W477" s="717"/>
      <c r="X477" s="713"/>
      <c r="Y477" s="718"/>
      <c r="Z477" s="709">
        <v>0</v>
      </c>
      <c r="AA477" s="175"/>
      <c r="AB477" s="200"/>
      <c r="AC477" s="205">
        <v>1.2999999999999999E-2</v>
      </c>
      <c r="AD477" s="175">
        <v>6.2</v>
      </c>
      <c r="AE477" s="175">
        <v>0.19</v>
      </c>
      <c r="AF477" s="186">
        <f t="shared" si="8"/>
        <v>1.1780000000000002</v>
      </c>
      <c r="AG477" s="175">
        <v>0.66</v>
      </c>
      <c r="AH477" s="334"/>
      <c r="AI477" s="188"/>
      <c r="AJ477" s="188"/>
      <c r="AK477" s="188"/>
      <c r="AL477" s="189"/>
      <c r="AM477" s="189"/>
      <c r="AN477" s="189"/>
      <c r="AO477" s="189"/>
      <c r="AP477" s="189"/>
      <c r="AQ477" s="189"/>
      <c r="AR477" s="189"/>
      <c r="AS477" s="189"/>
      <c r="AT477" s="189"/>
      <c r="AU477" s="190"/>
      <c r="AV477" s="190"/>
      <c r="AW477" s="190"/>
      <c r="AX477" s="190"/>
      <c r="AY477" s="190"/>
      <c r="AZ477" s="189"/>
      <c r="BA477" s="189"/>
      <c r="BB477" s="189"/>
      <c r="BC477" s="189"/>
      <c r="BD477" s="189"/>
      <c r="BE477" s="189"/>
      <c r="BF477" s="189"/>
      <c r="BG477" s="189"/>
      <c r="BH477" s="189"/>
      <c r="BI477" s="190"/>
      <c r="BJ477" s="190"/>
      <c r="BK477" s="190"/>
      <c r="BL477" s="190"/>
      <c r="BM477" s="190"/>
      <c r="BN477" s="190"/>
      <c r="BO477" s="190"/>
      <c r="BP477" s="190"/>
      <c r="BQ477" s="190"/>
      <c r="BR477" s="190"/>
      <c r="BS477" s="190"/>
      <c r="BT477" s="190"/>
      <c r="BU477" s="190"/>
      <c r="BV477" s="190"/>
      <c r="BW477" s="190"/>
      <c r="BX477" s="190"/>
      <c r="BY477" s="190"/>
      <c r="BZ477" s="190"/>
      <c r="CA477" s="189"/>
      <c r="CB477" s="15"/>
    </row>
    <row r="478" spans="1:80" ht="15" x14ac:dyDescent="0.25">
      <c r="A478" s="167"/>
      <c r="B478" s="642"/>
      <c r="C478" s="642"/>
      <c r="D478" s="179"/>
      <c r="E478" s="169"/>
      <c r="F478" s="169"/>
      <c r="G478" s="186"/>
      <c r="H478" s="187"/>
      <c r="I478" s="187"/>
      <c r="J478" s="187"/>
      <c r="K478" s="187"/>
      <c r="L478" s="647"/>
      <c r="M478" s="646">
        <v>32709</v>
      </c>
      <c r="N478" s="585">
        <v>1.99</v>
      </c>
      <c r="O478" s="585">
        <v>8.0000000000000002E-3</v>
      </c>
      <c r="P478" s="175">
        <v>0</v>
      </c>
      <c r="Q478" s="175">
        <v>0</v>
      </c>
      <c r="R478" s="175">
        <v>0</v>
      </c>
      <c r="S478" s="175">
        <v>8.4000000000000003E-4</v>
      </c>
      <c r="T478" s="175">
        <v>1.1299999999999999E-3</v>
      </c>
      <c r="U478" s="175">
        <v>2.0799999999999998E-3</v>
      </c>
      <c r="V478" s="706">
        <v>3.9500000000000004E-3</v>
      </c>
      <c r="W478" s="717"/>
      <c r="X478" s="713"/>
      <c r="Y478" s="718"/>
      <c r="Z478" s="709">
        <v>0</v>
      </c>
      <c r="AA478" s="175"/>
      <c r="AB478" s="200"/>
      <c r="AC478" s="205">
        <v>1.4999999999999999E-2</v>
      </c>
      <c r="AD478" s="175">
        <v>7.7</v>
      </c>
      <c r="AE478" s="175">
        <v>0.26</v>
      </c>
      <c r="AF478" s="186">
        <f t="shared" si="8"/>
        <v>2.0020000000000002</v>
      </c>
      <c r="AG478" s="175">
        <v>1.01</v>
      </c>
      <c r="AH478" s="334"/>
      <c r="AI478" s="188"/>
      <c r="AJ478" s="188"/>
      <c r="AK478" s="188"/>
      <c r="AL478" s="189"/>
      <c r="AM478" s="189"/>
      <c r="AN478" s="189"/>
      <c r="AO478" s="189"/>
      <c r="AP478" s="189"/>
      <c r="AQ478" s="189"/>
      <c r="AR478" s="189"/>
      <c r="AS478" s="189"/>
      <c r="AT478" s="189"/>
      <c r="AU478" s="190"/>
      <c r="AV478" s="190"/>
      <c r="AW478" s="190"/>
      <c r="AX478" s="190"/>
      <c r="AY478" s="190"/>
      <c r="AZ478" s="189"/>
      <c r="BA478" s="189"/>
      <c r="BB478" s="189"/>
      <c r="BC478" s="189"/>
      <c r="BD478" s="189"/>
      <c r="BE478" s="189"/>
      <c r="BF478" s="189"/>
      <c r="BG478" s="189"/>
      <c r="BH478" s="189"/>
      <c r="BI478" s="190"/>
      <c r="BJ478" s="190"/>
      <c r="BK478" s="190"/>
      <c r="BL478" s="190"/>
      <c r="BM478" s="190"/>
      <c r="BN478" s="190"/>
      <c r="BO478" s="190"/>
      <c r="BP478" s="190"/>
      <c r="BQ478" s="190"/>
      <c r="BR478" s="190"/>
      <c r="BS478" s="190"/>
      <c r="BT478" s="190"/>
      <c r="BU478" s="190"/>
      <c r="BV478" s="190"/>
      <c r="BW478" s="190"/>
      <c r="BX478" s="190"/>
      <c r="BY478" s="190"/>
      <c r="BZ478" s="190"/>
      <c r="CA478" s="189"/>
      <c r="CB478" s="15"/>
    </row>
    <row r="479" spans="1:80" ht="15" x14ac:dyDescent="0.25">
      <c r="A479" s="167"/>
      <c r="B479" s="642"/>
      <c r="C479" s="642"/>
      <c r="D479" s="179"/>
      <c r="E479" s="169"/>
      <c r="F479" s="169"/>
      <c r="G479" s="186"/>
      <c r="H479" s="187"/>
      <c r="I479" s="187"/>
      <c r="J479" s="187"/>
      <c r="K479" s="187"/>
      <c r="L479" s="647"/>
      <c r="M479" s="646">
        <v>32712</v>
      </c>
      <c r="N479" s="585">
        <v>1.75</v>
      </c>
      <c r="O479" s="585">
        <v>3.7499999999999999E-3</v>
      </c>
      <c r="P479" s="175">
        <v>0</v>
      </c>
      <c r="Q479" s="175">
        <v>0</v>
      </c>
      <c r="R479" s="175">
        <v>0</v>
      </c>
      <c r="S479" s="175">
        <v>1.4E-3</v>
      </c>
      <c r="T479" s="175">
        <v>6.9999999999999999E-4</v>
      </c>
      <c r="U479" s="175">
        <v>6.2E-4</v>
      </c>
      <c r="V479" s="706">
        <v>1.0300000000000001E-3</v>
      </c>
      <c r="W479" s="717"/>
      <c r="X479" s="713"/>
      <c r="Y479" s="718"/>
      <c r="Z479" s="709">
        <v>0</v>
      </c>
      <c r="AA479" s="175"/>
      <c r="AB479" s="200"/>
      <c r="AC479" s="205">
        <v>1.4E-2</v>
      </c>
      <c r="AD479" s="175">
        <v>7.6</v>
      </c>
      <c r="AE479" s="175">
        <v>0.24</v>
      </c>
      <c r="AF479" s="186">
        <f t="shared" si="8"/>
        <v>1.8239999999999998</v>
      </c>
      <c r="AG479" s="175">
        <v>0.96</v>
      </c>
      <c r="AH479" s="334"/>
      <c r="AI479" s="188"/>
      <c r="AJ479" s="188"/>
      <c r="AK479" s="188"/>
      <c r="AL479" s="189"/>
      <c r="AM479" s="189"/>
      <c r="AN479" s="189"/>
      <c r="AO479" s="189"/>
      <c r="AP479" s="189"/>
      <c r="AQ479" s="189"/>
      <c r="AR479" s="189"/>
      <c r="AS479" s="189"/>
      <c r="AT479" s="189"/>
      <c r="AU479" s="190"/>
      <c r="AV479" s="190"/>
      <c r="AW479" s="190"/>
      <c r="AX479" s="190"/>
      <c r="AY479" s="190"/>
      <c r="AZ479" s="189"/>
      <c r="BA479" s="189"/>
      <c r="BB479" s="189"/>
      <c r="BC479" s="189"/>
      <c r="BD479" s="189"/>
      <c r="BE479" s="189"/>
      <c r="BF479" s="189"/>
      <c r="BG479" s="189"/>
      <c r="BH479" s="189"/>
      <c r="BI479" s="190"/>
      <c r="BJ479" s="190"/>
      <c r="BK479" s="190"/>
      <c r="BL479" s="190"/>
      <c r="BM479" s="190"/>
      <c r="BN479" s="190"/>
      <c r="BO479" s="190"/>
      <c r="BP479" s="190"/>
      <c r="BQ479" s="190"/>
      <c r="BR479" s="190"/>
      <c r="BS479" s="190"/>
      <c r="BT479" s="190"/>
      <c r="BU479" s="190"/>
      <c r="BV479" s="190"/>
      <c r="BW479" s="190"/>
      <c r="BX479" s="190"/>
      <c r="BY479" s="190"/>
      <c r="BZ479" s="190"/>
      <c r="CA479" s="189"/>
      <c r="CB479" s="15"/>
    </row>
    <row r="480" spans="1:80" ht="15" x14ac:dyDescent="0.25">
      <c r="A480" s="167"/>
      <c r="B480" s="642"/>
      <c r="C480" s="642"/>
      <c r="D480" s="179"/>
      <c r="E480" s="169"/>
      <c r="F480" s="169"/>
      <c r="G480" s="186"/>
      <c r="H480" s="187"/>
      <c r="I480" s="187"/>
      <c r="J480" s="187"/>
      <c r="K480" s="187"/>
      <c r="L480" s="647"/>
      <c r="M480" s="646">
        <v>32715</v>
      </c>
      <c r="N480" s="585">
        <v>1.53</v>
      </c>
      <c r="O480" s="585">
        <v>7.7999999999999999E-4</v>
      </c>
      <c r="P480" s="175">
        <v>0</v>
      </c>
      <c r="Q480" s="175">
        <v>0</v>
      </c>
      <c r="R480" s="175">
        <v>0</v>
      </c>
      <c r="S480" s="175">
        <v>2.2000000000000001E-4</v>
      </c>
      <c r="T480" s="175">
        <v>6.0000000000000002E-5</v>
      </c>
      <c r="U480" s="175">
        <v>1.2999999999999999E-4</v>
      </c>
      <c r="V480" s="706">
        <v>3.6999999999999999E-4</v>
      </c>
      <c r="W480" s="717"/>
      <c r="X480" s="713"/>
      <c r="Y480" s="718"/>
      <c r="Z480" s="709">
        <v>0</v>
      </c>
      <c r="AA480" s="175"/>
      <c r="AB480" s="200"/>
      <c r="AC480" s="205">
        <v>1.2999999999999999E-2</v>
      </c>
      <c r="AD480" s="175">
        <v>7.6</v>
      </c>
      <c r="AE480" s="175">
        <v>0.24</v>
      </c>
      <c r="AF480" s="186">
        <f t="shared" si="8"/>
        <v>1.8239999999999998</v>
      </c>
      <c r="AG480" s="175">
        <v>0.85</v>
      </c>
      <c r="AH480" s="334"/>
      <c r="AI480" s="188"/>
      <c r="AJ480" s="188"/>
      <c r="AK480" s="188"/>
      <c r="AL480" s="189"/>
      <c r="AM480" s="189"/>
      <c r="AN480" s="189"/>
      <c r="AO480" s="189"/>
      <c r="AP480" s="189"/>
      <c r="AQ480" s="189"/>
      <c r="AR480" s="189"/>
      <c r="AS480" s="189"/>
      <c r="AT480" s="189"/>
      <c r="AU480" s="190"/>
      <c r="AV480" s="190"/>
      <c r="AW480" s="190"/>
      <c r="AX480" s="190"/>
      <c r="AY480" s="190"/>
      <c r="AZ480" s="189"/>
      <c r="BA480" s="189"/>
      <c r="BB480" s="189"/>
      <c r="BC480" s="189"/>
      <c r="BD480" s="189"/>
      <c r="BE480" s="189"/>
      <c r="BF480" s="189"/>
      <c r="BG480" s="189"/>
      <c r="BH480" s="189"/>
      <c r="BI480" s="190"/>
      <c r="BJ480" s="190"/>
      <c r="BK480" s="190"/>
      <c r="BL480" s="190"/>
      <c r="BM480" s="190"/>
      <c r="BN480" s="190"/>
      <c r="BO480" s="190"/>
      <c r="BP480" s="190"/>
      <c r="BQ480" s="190"/>
      <c r="BR480" s="190"/>
      <c r="BS480" s="190"/>
      <c r="BT480" s="190"/>
      <c r="BU480" s="190"/>
      <c r="BV480" s="190"/>
      <c r="BW480" s="190"/>
      <c r="BX480" s="190"/>
      <c r="BY480" s="190"/>
      <c r="BZ480" s="190"/>
      <c r="CA480" s="189"/>
      <c r="CB480" s="15"/>
    </row>
    <row r="481" spans="1:80" ht="15" x14ac:dyDescent="0.25">
      <c r="A481" s="167"/>
      <c r="B481" s="642"/>
      <c r="C481" s="642"/>
      <c r="D481" s="179"/>
      <c r="E481" s="169"/>
      <c r="F481" s="169"/>
      <c r="G481" s="186"/>
      <c r="H481" s="187"/>
      <c r="I481" s="187"/>
      <c r="J481" s="187"/>
      <c r="K481" s="187"/>
      <c r="L481" s="647"/>
      <c r="M481" s="646">
        <v>32726</v>
      </c>
      <c r="N481" s="585">
        <v>0.53</v>
      </c>
      <c r="O481" s="585">
        <v>9.0000000000000006E-5</v>
      </c>
      <c r="P481" s="175">
        <v>0</v>
      </c>
      <c r="Q481" s="175">
        <v>0</v>
      </c>
      <c r="R481" s="175">
        <v>0</v>
      </c>
      <c r="S481" s="175">
        <v>0</v>
      </c>
      <c r="T481" s="175">
        <v>0</v>
      </c>
      <c r="U481" s="175">
        <v>1.0000000000000001E-5</v>
      </c>
      <c r="V481" s="706">
        <v>9.0000000000000006E-5</v>
      </c>
      <c r="W481" s="717"/>
      <c r="X481" s="713"/>
      <c r="Y481" s="718"/>
      <c r="Z481" s="709">
        <v>0</v>
      </c>
      <c r="AA481" s="175"/>
      <c r="AB481" s="200"/>
      <c r="AC481" s="205">
        <v>1.4E-2</v>
      </c>
      <c r="AD481" s="175">
        <v>6.3</v>
      </c>
      <c r="AE481" s="175">
        <v>0.16</v>
      </c>
      <c r="AF481" s="186">
        <f t="shared" si="8"/>
        <v>1.008</v>
      </c>
      <c r="AG481" s="175">
        <v>0.51</v>
      </c>
      <c r="AH481" s="334"/>
      <c r="AI481" s="188"/>
      <c r="AJ481" s="188"/>
      <c r="AK481" s="188"/>
      <c r="AL481" s="189"/>
      <c r="AM481" s="189"/>
      <c r="AN481" s="189"/>
      <c r="AO481" s="189"/>
      <c r="AP481" s="189"/>
      <c r="AQ481" s="189"/>
      <c r="AR481" s="189"/>
      <c r="AS481" s="189"/>
      <c r="AT481" s="189"/>
      <c r="AU481" s="190"/>
      <c r="AV481" s="190"/>
      <c r="AW481" s="190"/>
      <c r="AX481" s="190"/>
      <c r="AY481" s="190"/>
      <c r="AZ481" s="189"/>
      <c r="BA481" s="189"/>
      <c r="BB481" s="189"/>
      <c r="BC481" s="189"/>
      <c r="BD481" s="189"/>
      <c r="BE481" s="189"/>
      <c r="BF481" s="189"/>
      <c r="BG481" s="189"/>
      <c r="BH481" s="189"/>
      <c r="BI481" s="190"/>
      <c r="BJ481" s="190"/>
      <c r="BK481" s="190"/>
      <c r="BL481" s="190"/>
      <c r="BM481" s="190"/>
      <c r="BN481" s="190"/>
      <c r="BO481" s="190"/>
      <c r="BP481" s="190"/>
      <c r="BQ481" s="190"/>
      <c r="BR481" s="190"/>
      <c r="BS481" s="190"/>
      <c r="BT481" s="190"/>
      <c r="BU481" s="190"/>
      <c r="BV481" s="190"/>
      <c r="BW481" s="190"/>
      <c r="BX481" s="190"/>
      <c r="BY481" s="190"/>
      <c r="BZ481" s="190"/>
      <c r="CA481" s="189"/>
      <c r="CB481" s="15"/>
    </row>
    <row r="482" spans="1:80" ht="15" x14ac:dyDescent="0.25">
      <c r="A482" s="167"/>
      <c r="B482" s="642"/>
      <c r="C482" s="642"/>
      <c r="D482" s="179"/>
      <c r="E482" s="169"/>
      <c r="F482" s="169"/>
      <c r="G482" s="186"/>
      <c r="H482" s="187"/>
      <c r="I482" s="187"/>
      <c r="J482" s="187"/>
      <c r="K482" s="187"/>
      <c r="L482" s="647"/>
      <c r="M482" s="646">
        <v>33389</v>
      </c>
      <c r="N482" s="585">
        <v>0.82</v>
      </c>
      <c r="O482" s="585">
        <v>5.6999999999999998E-4</v>
      </c>
      <c r="P482" s="175">
        <v>0</v>
      </c>
      <c r="Q482" s="175">
        <v>0</v>
      </c>
      <c r="R482" s="175">
        <v>0</v>
      </c>
      <c r="S482" s="175">
        <v>0</v>
      </c>
      <c r="T482" s="175">
        <v>1.0000000000000001E-5</v>
      </c>
      <c r="U482" s="175">
        <v>6.9999999999999994E-5</v>
      </c>
      <c r="V482" s="706">
        <v>5.0000000000000001E-4</v>
      </c>
      <c r="W482" s="717"/>
      <c r="X482" s="713"/>
      <c r="Y482" s="718"/>
      <c r="Z482" s="709">
        <v>5</v>
      </c>
      <c r="AA482" s="175"/>
      <c r="AB482" s="200"/>
      <c r="AC482" s="205">
        <v>1.7000000000000001E-2</v>
      </c>
      <c r="AD482" s="175">
        <v>6.6</v>
      </c>
      <c r="AE482" s="175">
        <v>0.17</v>
      </c>
      <c r="AF482" s="186">
        <f t="shared" si="8"/>
        <v>1.1220000000000001</v>
      </c>
      <c r="AG482" s="175">
        <v>0.71</v>
      </c>
      <c r="AH482" s="334"/>
      <c r="AI482" s="188"/>
      <c r="AJ482" s="188"/>
      <c r="AK482" s="188"/>
      <c r="AL482" s="189"/>
      <c r="AM482" s="189"/>
      <c r="AN482" s="189"/>
      <c r="AO482" s="189"/>
      <c r="AP482" s="189"/>
      <c r="AQ482" s="189"/>
      <c r="AR482" s="189"/>
      <c r="AS482" s="189"/>
      <c r="AT482" s="189"/>
      <c r="AU482" s="190"/>
      <c r="AV482" s="190"/>
      <c r="AW482" s="190"/>
      <c r="AX482" s="190"/>
      <c r="AY482" s="190"/>
      <c r="AZ482" s="189"/>
      <c r="BA482" s="189"/>
      <c r="BB482" s="189"/>
      <c r="BC482" s="189"/>
      <c r="BD482" s="189"/>
      <c r="BE482" s="189"/>
      <c r="BF482" s="189"/>
      <c r="BG482" s="189"/>
      <c r="BH482" s="189"/>
      <c r="BI482" s="190"/>
      <c r="BJ482" s="190"/>
      <c r="BK482" s="190"/>
      <c r="BL482" s="190"/>
      <c r="BM482" s="190"/>
      <c r="BN482" s="190"/>
      <c r="BO482" s="190"/>
      <c r="BP482" s="190"/>
      <c r="BQ482" s="190"/>
      <c r="BR482" s="190"/>
      <c r="BS482" s="190"/>
      <c r="BT482" s="190"/>
      <c r="BU482" s="190"/>
      <c r="BV482" s="190"/>
      <c r="BW482" s="190"/>
      <c r="BX482" s="190"/>
      <c r="BY482" s="190"/>
      <c r="BZ482" s="190"/>
      <c r="CA482" s="189"/>
      <c r="CB482" s="15"/>
    </row>
    <row r="483" spans="1:80" ht="15" x14ac:dyDescent="0.25">
      <c r="A483" s="167"/>
      <c r="B483" s="642"/>
      <c r="C483" s="642"/>
      <c r="D483" s="179"/>
      <c r="E483" s="169"/>
      <c r="F483" s="169"/>
      <c r="G483" s="186"/>
      <c r="H483" s="187"/>
      <c r="I483" s="187"/>
      <c r="J483" s="187"/>
      <c r="K483" s="187"/>
      <c r="L483" s="647"/>
      <c r="M483" s="646">
        <v>33393</v>
      </c>
      <c r="N483" s="585">
        <v>1.33</v>
      </c>
      <c r="O483" s="585">
        <v>9.7000000000000005E-4</v>
      </c>
      <c r="P483" s="175">
        <v>0</v>
      </c>
      <c r="Q483" s="175">
        <v>0</v>
      </c>
      <c r="R483" s="175">
        <v>0</v>
      </c>
      <c r="S483" s="175">
        <v>0</v>
      </c>
      <c r="T483" s="175">
        <v>1.2E-4</v>
      </c>
      <c r="U483" s="175">
        <v>1E-4</v>
      </c>
      <c r="V483" s="706">
        <v>7.5000000000000002E-4</v>
      </c>
      <c r="W483" s="717"/>
      <c r="X483" s="713"/>
      <c r="Y483" s="718"/>
      <c r="Z483" s="709">
        <v>9</v>
      </c>
      <c r="AA483" s="175"/>
      <c r="AB483" s="200"/>
      <c r="AC483" s="205">
        <v>1.6E-2</v>
      </c>
      <c r="AD483" s="175">
        <v>7.5</v>
      </c>
      <c r="AE483" s="175">
        <v>0.2</v>
      </c>
      <c r="AF483" s="186">
        <f t="shared" si="8"/>
        <v>1.5</v>
      </c>
      <c r="AG483" s="175">
        <v>0.88</v>
      </c>
      <c r="AH483" s="334"/>
      <c r="AI483" s="188"/>
      <c r="AJ483" s="188"/>
      <c r="AK483" s="188"/>
      <c r="AL483" s="189"/>
      <c r="AM483" s="189"/>
      <c r="AN483" s="189"/>
      <c r="AO483" s="189"/>
      <c r="AP483" s="189"/>
      <c r="AQ483" s="189"/>
      <c r="AR483" s="189"/>
      <c r="AS483" s="189"/>
      <c r="AT483" s="189"/>
      <c r="AU483" s="190"/>
      <c r="AV483" s="190"/>
      <c r="AW483" s="190"/>
      <c r="AX483" s="190"/>
      <c r="AY483" s="190"/>
      <c r="AZ483" s="189"/>
      <c r="BA483" s="189"/>
      <c r="BB483" s="189"/>
      <c r="BC483" s="189"/>
      <c r="BD483" s="189"/>
      <c r="BE483" s="189"/>
      <c r="BF483" s="189"/>
      <c r="BG483" s="189"/>
      <c r="BH483" s="189"/>
      <c r="BI483" s="190"/>
      <c r="BJ483" s="190"/>
      <c r="BK483" s="190"/>
      <c r="BL483" s="190"/>
      <c r="BM483" s="190"/>
      <c r="BN483" s="190"/>
      <c r="BO483" s="190"/>
      <c r="BP483" s="190"/>
      <c r="BQ483" s="190"/>
      <c r="BR483" s="190"/>
      <c r="BS483" s="190"/>
      <c r="BT483" s="190"/>
      <c r="BU483" s="190"/>
      <c r="BV483" s="190"/>
      <c r="BW483" s="190"/>
      <c r="BX483" s="190"/>
      <c r="BY483" s="190"/>
      <c r="BZ483" s="190"/>
      <c r="CA483" s="189"/>
      <c r="CB483" s="15"/>
    </row>
    <row r="484" spans="1:80" ht="15" x14ac:dyDescent="0.25">
      <c r="A484" s="167"/>
      <c r="B484" s="642"/>
      <c r="C484" s="642"/>
      <c r="D484" s="179"/>
      <c r="E484" s="169"/>
      <c r="F484" s="169"/>
      <c r="G484" s="186"/>
      <c r="H484" s="187"/>
      <c r="I484" s="187"/>
      <c r="J484" s="187"/>
      <c r="K484" s="187"/>
      <c r="L484" s="647"/>
      <c r="M484" s="646">
        <v>33394</v>
      </c>
      <c r="N484" s="585">
        <v>1.54</v>
      </c>
      <c r="O484" s="585">
        <v>5.6100000000000004E-3</v>
      </c>
      <c r="P484" s="175">
        <v>0</v>
      </c>
      <c r="Q484" s="175">
        <v>0</v>
      </c>
      <c r="R484" s="175">
        <v>0</v>
      </c>
      <c r="S484" s="175">
        <v>9.5E-4</v>
      </c>
      <c r="T484" s="175">
        <v>5.8E-4</v>
      </c>
      <c r="U484" s="175">
        <v>1.33E-3</v>
      </c>
      <c r="V484" s="706">
        <v>2.7499999999999998E-3</v>
      </c>
      <c r="W484" s="717"/>
      <c r="X484" s="713"/>
      <c r="Y484" s="718"/>
      <c r="Z484" s="709">
        <v>12</v>
      </c>
      <c r="AA484" s="175"/>
      <c r="AB484" s="200"/>
      <c r="AC484" s="205">
        <v>1.7999999999999999E-2</v>
      </c>
      <c r="AD484" s="175">
        <v>7.4</v>
      </c>
      <c r="AE484" s="175">
        <v>0.23</v>
      </c>
      <c r="AF484" s="186">
        <f t="shared" si="8"/>
        <v>1.7020000000000002</v>
      </c>
      <c r="AG484" s="175">
        <v>0.91</v>
      </c>
      <c r="AH484" s="334"/>
      <c r="AI484" s="188"/>
      <c r="AJ484" s="188"/>
      <c r="AK484" s="188"/>
      <c r="AL484" s="189"/>
      <c r="AM484" s="189"/>
      <c r="AN484" s="189"/>
      <c r="AO484" s="189"/>
      <c r="AP484" s="189"/>
      <c r="AQ484" s="189"/>
      <c r="AR484" s="189"/>
      <c r="AS484" s="189"/>
      <c r="AT484" s="189"/>
      <c r="AU484" s="190"/>
      <c r="AV484" s="190"/>
      <c r="AW484" s="190"/>
      <c r="AX484" s="190"/>
      <c r="AY484" s="190"/>
      <c r="AZ484" s="189"/>
      <c r="BA484" s="189"/>
      <c r="BB484" s="189"/>
      <c r="BC484" s="189"/>
      <c r="BD484" s="189"/>
      <c r="BE484" s="189"/>
      <c r="BF484" s="189"/>
      <c r="BG484" s="189"/>
      <c r="BH484" s="189"/>
      <c r="BI484" s="190"/>
      <c r="BJ484" s="190"/>
      <c r="BK484" s="190"/>
      <c r="BL484" s="190"/>
      <c r="BM484" s="190"/>
      <c r="BN484" s="190"/>
      <c r="BO484" s="190"/>
      <c r="BP484" s="190"/>
      <c r="BQ484" s="190"/>
      <c r="BR484" s="190"/>
      <c r="BS484" s="190"/>
      <c r="BT484" s="190"/>
      <c r="BU484" s="190"/>
      <c r="BV484" s="190"/>
      <c r="BW484" s="190"/>
      <c r="BX484" s="190"/>
      <c r="BY484" s="190"/>
      <c r="BZ484" s="190"/>
      <c r="CA484" s="189"/>
      <c r="CB484" s="15"/>
    </row>
    <row r="485" spans="1:80" ht="15" x14ac:dyDescent="0.25">
      <c r="A485" s="167"/>
      <c r="B485" s="642"/>
      <c r="C485" s="642"/>
      <c r="D485" s="179"/>
      <c r="E485" s="169"/>
      <c r="F485" s="169"/>
      <c r="G485" s="186"/>
      <c r="H485" s="187"/>
      <c r="I485" s="187"/>
      <c r="J485" s="187"/>
      <c r="K485" s="187"/>
      <c r="L485" s="647"/>
      <c r="M485" s="646">
        <v>33398</v>
      </c>
      <c r="N485" s="585">
        <v>1.63</v>
      </c>
      <c r="O485" s="585">
        <v>6.0099999999999997E-3</v>
      </c>
      <c r="P485" s="175">
        <v>0</v>
      </c>
      <c r="Q485" s="175">
        <v>0</v>
      </c>
      <c r="R485" s="175">
        <v>0</v>
      </c>
      <c r="S485" s="175">
        <v>3.5E-4</v>
      </c>
      <c r="T485" s="175">
        <v>9.1E-4</v>
      </c>
      <c r="U485" s="175">
        <v>1.5900000000000001E-3</v>
      </c>
      <c r="V485" s="706">
        <v>3.15E-3</v>
      </c>
      <c r="W485" s="717"/>
      <c r="X485" s="713"/>
      <c r="Y485" s="718"/>
      <c r="Z485" s="709">
        <v>11</v>
      </c>
      <c r="AA485" s="175"/>
      <c r="AB485" s="200"/>
      <c r="AC485" s="205">
        <v>1.7000000000000001E-2</v>
      </c>
      <c r="AD485" s="175">
        <v>7.3</v>
      </c>
      <c r="AE485" s="175">
        <v>0.24</v>
      </c>
      <c r="AF485" s="186">
        <f t="shared" si="8"/>
        <v>1.752</v>
      </c>
      <c r="AG485" s="175">
        <v>0.94</v>
      </c>
      <c r="AH485" s="334"/>
      <c r="AI485" s="188"/>
      <c r="AJ485" s="188"/>
      <c r="AK485" s="188"/>
      <c r="AL485" s="189"/>
      <c r="AM485" s="189"/>
      <c r="AN485" s="189"/>
      <c r="AO485" s="189"/>
      <c r="AP485" s="189"/>
      <c r="AQ485" s="189"/>
      <c r="AR485" s="189"/>
      <c r="AS485" s="189"/>
      <c r="AT485" s="189"/>
      <c r="AU485" s="190"/>
      <c r="AV485" s="190"/>
      <c r="AW485" s="190"/>
      <c r="AX485" s="190"/>
      <c r="AY485" s="190"/>
      <c r="AZ485" s="189"/>
      <c r="BA485" s="189"/>
      <c r="BB485" s="189"/>
      <c r="BC485" s="189"/>
      <c r="BD485" s="189"/>
      <c r="BE485" s="189"/>
      <c r="BF485" s="189"/>
      <c r="BG485" s="189"/>
      <c r="BH485" s="189"/>
      <c r="BI485" s="190"/>
      <c r="BJ485" s="190"/>
      <c r="BK485" s="190"/>
      <c r="BL485" s="190"/>
      <c r="BM485" s="190"/>
      <c r="BN485" s="190"/>
      <c r="BO485" s="190"/>
      <c r="BP485" s="190"/>
      <c r="BQ485" s="190"/>
      <c r="BR485" s="190"/>
      <c r="BS485" s="190"/>
      <c r="BT485" s="190"/>
      <c r="BU485" s="190"/>
      <c r="BV485" s="190"/>
      <c r="BW485" s="190"/>
      <c r="BX485" s="190"/>
      <c r="BY485" s="190"/>
      <c r="BZ485" s="190"/>
      <c r="CA485" s="189"/>
      <c r="CB485" s="15"/>
    </row>
    <row r="486" spans="1:80" ht="15" x14ac:dyDescent="0.25">
      <c r="A486" s="167"/>
      <c r="B486" s="642"/>
      <c r="C486" s="642"/>
      <c r="D486" s="179"/>
      <c r="E486" s="169"/>
      <c r="F486" s="169"/>
      <c r="G486" s="186"/>
      <c r="H486" s="187"/>
      <c r="I486" s="187"/>
      <c r="J486" s="187"/>
      <c r="K486" s="187"/>
      <c r="L486" s="647"/>
      <c r="M486" s="646">
        <v>33399</v>
      </c>
      <c r="N486" s="585">
        <v>1.43</v>
      </c>
      <c r="O486" s="585">
        <v>1.1199999999999999E-3</v>
      </c>
      <c r="P486" s="175">
        <v>0</v>
      </c>
      <c r="Q486" s="175">
        <v>0</v>
      </c>
      <c r="R486" s="175">
        <v>0</v>
      </c>
      <c r="S486" s="175">
        <v>0</v>
      </c>
      <c r="T486" s="175">
        <v>1.1E-4</v>
      </c>
      <c r="U486" s="175">
        <v>1.2999999999999999E-4</v>
      </c>
      <c r="V486" s="706">
        <v>8.8000000000000003E-4</v>
      </c>
      <c r="W486" s="717"/>
      <c r="X486" s="713"/>
      <c r="Y486" s="718"/>
      <c r="Z486" s="709">
        <v>6</v>
      </c>
      <c r="AA486" s="175"/>
      <c r="AB486" s="200"/>
      <c r="AC486" s="205">
        <v>1.7999999999999999E-2</v>
      </c>
      <c r="AD486" s="175">
        <v>7.3</v>
      </c>
      <c r="AE486" s="175">
        <v>0.22</v>
      </c>
      <c r="AF486" s="186">
        <f t="shared" si="8"/>
        <v>1.6059999999999999</v>
      </c>
      <c r="AG486" s="175">
        <v>0.89</v>
      </c>
      <c r="AH486" s="334"/>
      <c r="AI486" s="188"/>
      <c r="AJ486" s="188"/>
      <c r="AK486" s="188"/>
      <c r="AL486" s="189"/>
      <c r="AM486" s="189"/>
      <c r="AN486" s="189"/>
      <c r="AO486" s="189"/>
      <c r="AP486" s="189"/>
      <c r="AQ486" s="189"/>
      <c r="AR486" s="189"/>
      <c r="AS486" s="189"/>
      <c r="AT486" s="189"/>
      <c r="AU486" s="190"/>
      <c r="AV486" s="190"/>
      <c r="AW486" s="190"/>
      <c r="AX486" s="190"/>
      <c r="AY486" s="190"/>
      <c r="AZ486" s="189"/>
      <c r="BA486" s="189"/>
      <c r="BB486" s="189"/>
      <c r="BC486" s="189"/>
      <c r="BD486" s="189"/>
      <c r="BE486" s="189"/>
      <c r="BF486" s="189"/>
      <c r="BG486" s="189"/>
      <c r="BH486" s="189"/>
      <c r="BI486" s="190"/>
      <c r="BJ486" s="190"/>
      <c r="BK486" s="190"/>
      <c r="BL486" s="190"/>
      <c r="BM486" s="190"/>
      <c r="BN486" s="190"/>
      <c r="BO486" s="190"/>
      <c r="BP486" s="190"/>
      <c r="BQ486" s="190"/>
      <c r="BR486" s="190"/>
      <c r="BS486" s="190"/>
      <c r="BT486" s="190"/>
      <c r="BU486" s="190"/>
      <c r="BV486" s="190"/>
      <c r="BW486" s="190"/>
      <c r="BX486" s="190"/>
      <c r="BY486" s="190"/>
      <c r="BZ486" s="190"/>
      <c r="CA486" s="189"/>
      <c r="CB486" s="15"/>
    </row>
    <row r="487" spans="1:80" ht="15" x14ac:dyDescent="0.25">
      <c r="A487" s="167"/>
      <c r="B487" s="642"/>
      <c r="C487" s="642"/>
      <c r="D487" s="179"/>
      <c r="E487" s="169"/>
      <c r="F487" s="169"/>
      <c r="G487" s="186"/>
      <c r="H487" s="187"/>
      <c r="I487" s="187"/>
      <c r="J487" s="187"/>
      <c r="K487" s="187"/>
      <c r="L487" s="647"/>
      <c r="M487" s="646">
        <v>33400</v>
      </c>
      <c r="N487" s="585">
        <v>2.19</v>
      </c>
      <c r="O487" s="585">
        <v>1.754E-2</v>
      </c>
      <c r="P487" s="175">
        <v>0</v>
      </c>
      <c r="Q487" s="175">
        <v>0</v>
      </c>
      <c r="R487" s="175">
        <v>0</v>
      </c>
      <c r="S487" s="175">
        <v>9.7999999999999997E-4</v>
      </c>
      <c r="T487" s="175">
        <v>3.31E-3</v>
      </c>
      <c r="U487" s="175">
        <v>3.3600000000000001E-3</v>
      </c>
      <c r="V487" s="706">
        <v>9.9000000000000008E-3</v>
      </c>
      <c r="W487" s="717"/>
      <c r="X487" s="713"/>
      <c r="Y487" s="718"/>
      <c r="Z487" s="709">
        <v>12</v>
      </c>
      <c r="AA487" s="175"/>
      <c r="AB487" s="200"/>
      <c r="AC487" s="205">
        <v>1.6E-2</v>
      </c>
      <c r="AD487" s="175">
        <v>7.4</v>
      </c>
      <c r="AE487" s="175">
        <v>0.28000000000000003</v>
      </c>
      <c r="AF487" s="186">
        <f t="shared" si="8"/>
        <v>2.0720000000000005</v>
      </c>
      <c r="AG487" s="175">
        <v>1.07</v>
      </c>
      <c r="AH487" s="334"/>
      <c r="AI487" s="188"/>
      <c r="AJ487" s="188"/>
      <c r="AK487" s="188"/>
      <c r="AL487" s="189"/>
      <c r="AM487" s="189"/>
      <c r="AN487" s="189"/>
      <c r="AO487" s="189"/>
      <c r="AP487" s="189"/>
      <c r="AQ487" s="189"/>
      <c r="AR487" s="189"/>
      <c r="AS487" s="189"/>
      <c r="AT487" s="189"/>
      <c r="AU487" s="190"/>
      <c r="AV487" s="190"/>
      <c r="AW487" s="190"/>
      <c r="AX487" s="190"/>
      <c r="AY487" s="190"/>
      <c r="AZ487" s="189"/>
      <c r="BA487" s="189"/>
      <c r="BB487" s="189"/>
      <c r="BC487" s="189"/>
      <c r="BD487" s="189"/>
      <c r="BE487" s="189"/>
      <c r="BF487" s="189"/>
      <c r="BG487" s="189"/>
      <c r="BH487" s="189"/>
      <c r="BI487" s="190"/>
      <c r="BJ487" s="190"/>
      <c r="BK487" s="190"/>
      <c r="BL487" s="190"/>
      <c r="BM487" s="190"/>
      <c r="BN487" s="190"/>
      <c r="BO487" s="190"/>
      <c r="BP487" s="190"/>
      <c r="BQ487" s="190"/>
      <c r="BR487" s="190"/>
      <c r="BS487" s="190"/>
      <c r="BT487" s="190"/>
      <c r="BU487" s="190"/>
      <c r="BV487" s="190"/>
      <c r="BW487" s="190"/>
      <c r="BX487" s="190"/>
      <c r="BY487" s="190"/>
      <c r="BZ487" s="190"/>
      <c r="CA487" s="189"/>
      <c r="CB487" s="15"/>
    </row>
    <row r="488" spans="1:80" ht="15" x14ac:dyDescent="0.25">
      <c r="A488" s="167"/>
      <c r="B488" s="642"/>
      <c r="C488" s="642"/>
      <c r="D488" s="179"/>
      <c r="E488" s="169"/>
      <c r="F488" s="169"/>
      <c r="G488" s="186"/>
      <c r="H488" s="187"/>
      <c r="I488" s="187"/>
      <c r="J488" s="187"/>
      <c r="K488" s="187"/>
      <c r="L488" s="647"/>
      <c r="M488" s="646">
        <v>33404</v>
      </c>
      <c r="N488" s="585">
        <v>3.75</v>
      </c>
      <c r="O488" s="585">
        <v>0.10388</v>
      </c>
      <c r="P488" s="175">
        <v>0</v>
      </c>
      <c r="Q488" s="175">
        <v>2.5690000000000001E-2</v>
      </c>
      <c r="R488" s="175">
        <v>8.2000000000000007E-3</v>
      </c>
      <c r="S488" s="175">
        <v>1.6039999999999999E-2</v>
      </c>
      <c r="T488" s="175">
        <v>1.7999999999999999E-2</v>
      </c>
      <c r="U488" s="175">
        <v>1.55E-2</v>
      </c>
      <c r="V488" s="706">
        <v>2.0459999999999999E-2</v>
      </c>
      <c r="W488" s="717"/>
      <c r="X488" s="713"/>
      <c r="Y488" s="718"/>
      <c r="Z488" s="709">
        <v>48</v>
      </c>
      <c r="AA488" s="175"/>
      <c r="AB488" s="200"/>
      <c r="AC488" s="205">
        <v>1.7000000000000001E-2</v>
      </c>
      <c r="AD488" s="175">
        <v>9.1</v>
      </c>
      <c r="AE488" s="175">
        <v>0.32</v>
      </c>
      <c r="AF488" s="186">
        <f t="shared" si="8"/>
        <v>2.9119999999999999</v>
      </c>
      <c r="AG488" s="175">
        <v>1.28</v>
      </c>
      <c r="AH488" s="334"/>
      <c r="AI488" s="188"/>
      <c r="AJ488" s="188"/>
      <c r="AK488" s="188"/>
      <c r="AL488" s="189"/>
      <c r="AM488" s="189"/>
      <c r="AN488" s="189"/>
      <c r="AO488" s="189"/>
      <c r="AP488" s="189"/>
      <c r="AQ488" s="189"/>
      <c r="AR488" s="189"/>
      <c r="AS488" s="189"/>
      <c r="AT488" s="189"/>
      <c r="AU488" s="190"/>
      <c r="AV488" s="190"/>
      <c r="AW488" s="190"/>
      <c r="AX488" s="190"/>
      <c r="AY488" s="190"/>
      <c r="AZ488" s="189"/>
      <c r="BA488" s="189"/>
      <c r="BB488" s="189"/>
      <c r="BC488" s="189"/>
      <c r="BD488" s="189"/>
      <c r="BE488" s="189"/>
      <c r="BF488" s="189"/>
      <c r="BG488" s="189"/>
      <c r="BH488" s="189"/>
      <c r="BI488" s="190"/>
      <c r="BJ488" s="190"/>
      <c r="BK488" s="190"/>
      <c r="BL488" s="190"/>
      <c r="BM488" s="190"/>
      <c r="BN488" s="190"/>
      <c r="BO488" s="190"/>
      <c r="BP488" s="190"/>
      <c r="BQ488" s="190"/>
      <c r="BR488" s="190"/>
      <c r="BS488" s="190"/>
      <c r="BT488" s="190"/>
      <c r="BU488" s="190"/>
      <c r="BV488" s="190"/>
      <c r="BW488" s="190"/>
      <c r="BX488" s="190"/>
      <c r="BY488" s="190"/>
      <c r="BZ488" s="190"/>
      <c r="CA488" s="189"/>
      <c r="CB488" s="15"/>
    </row>
    <row r="489" spans="1:80" ht="15" x14ac:dyDescent="0.25">
      <c r="A489" s="167"/>
      <c r="B489" s="642"/>
      <c r="C489" s="642"/>
      <c r="D489" s="179"/>
      <c r="E489" s="169"/>
      <c r="F489" s="169"/>
      <c r="G489" s="186"/>
      <c r="H489" s="187"/>
      <c r="I489" s="187"/>
      <c r="J489" s="187"/>
      <c r="K489" s="187"/>
      <c r="L489" s="647"/>
      <c r="M489" s="646">
        <v>33408</v>
      </c>
      <c r="N489" s="585">
        <v>4.7</v>
      </c>
      <c r="O489" s="585">
        <v>0.17413000000000001</v>
      </c>
      <c r="P489" s="175">
        <v>0</v>
      </c>
      <c r="Q489" s="175">
        <v>1.0489999999999999E-2</v>
      </c>
      <c r="R489" s="175">
        <v>1.9449999999999999E-2</v>
      </c>
      <c r="S489" s="175">
        <v>3.1669999999999997E-2</v>
      </c>
      <c r="T489" s="175">
        <v>3.2539999999999999E-2</v>
      </c>
      <c r="U489" s="175">
        <v>3.0620000000000001E-2</v>
      </c>
      <c r="V489" s="706">
        <v>4.9349999999999998E-2</v>
      </c>
      <c r="W489" s="717"/>
      <c r="X489" s="713"/>
      <c r="Y489" s="718"/>
      <c r="Z489" s="709">
        <v>42</v>
      </c>
      <c r="AA489" s="175"/>
      <c r="AB489" s="200"/>
      <c r="AC489" s="205">
        <v>1.7000000000000001E-2</v>
      </c>
      <c r="AD489" s="175">
        <v>9.3000000000000007</v>
      </c>
      <c r="AE489" s="175">
        <v>0.37</v>
      </c>
      <c r="AF489" s="186">
        <f t="shared" si="8"/>
        <v>3.4410000000000003</v>
      </c>
      <c r="AG489" s="175">
        <v>1.37</v>
      </c>
      <c r="AH489" s="334"/>
      <c r="AI489" s="188"/>
      <c r="AJ489" s="188"/>
      <c r="AK489" s="188"/>
      <c r="AL489" s="189"/>
      <c r="AM489" s="189"/>
      <c r="AN489" s="189"/>
      <c r="AO489" s="189"/>
      <c r="AP489" s="189"/>
      <c r="AQ489" s="189"/>
      <c r="AR489" s="189"/>
      <c r="AS489" s="189"/>
      <c r="AT489" s="189"/>
      <c r="AU489" s="190"/>
      <c r="AV489" s="190"/>
      <c r="AW489" s="190"/>
      <c r="AX489" s="190"/>
      <c r="AY489" s="190"/>
      <c r="AZ489" s="189"/>
      <c r="BA489" s="189"/>
      <c r="BB489" s="189"/>
      <c r="BC489" s="189"/>
      <c r="BD489" s="189"/>
      <c r="BE489" s="189"/>
      <c r="BF489" s="189"/>
      <c r="BG489" s="189"/>
      <c r="BH489" s="189"/>
      <c r="BI489" s="190"/>
      <c r="BJ489" s="190"/>
      <c r="BK489" s="190"/>
      <c r="BL489" s="190"/>
      <c r="BM489" s="190"/>
      <c r="BN489" s="190"/>
      <c r="BO489" s="190"/>
      <c r="BP489" s="190"/>
      <c r="BQ489" s="190"/>
      <c r="BR489" s="190"/>
      <c r="BS489" s="190"/>
      <c r="BT489" s="190"/>
      <c r="BU489" s="190"/>
      <c r="BV489" s="190"/>
      <c r="BW489" s="190"/>
      <c r="BX489" s="190"/>
      <c r="BY489" s="190"/>
      <c r="BZ489" s="190"/>
      <c r="CA489" s="189"/>
      <c r="CB489" s="15"/>
    </row>
    <row r="490" spans="1:80" ht="15" x14ac:dyDescent="0.25">
      <c r="A490" s="167"/>
      <c r="B490" s="642"/>
      <c r="C490" s="642"/>
      <c r="D490" s="179"/>
      <c r="E490" s="169"/>
      <c r="F490" s="169"/>
      <c r="G490" s="186"/>
      <c r="H490" s="187"/>
      <c r="I490" s="187"/>
      <c r="J490" s="187"/>
      <c r="K490" s="187"/>
      <c r="L490" s="647"/>
      <c r="M490" s="646">
        <v>33410</v>
      </c>
      <c r="N490" s="585">
        <v>4.59</v>
      </c>
      <c r="O490" s="585">
        <v>9.2999999999999999E-2</v>
      </c>
      <c r="P490" s="175">
        <v>0</v>
      </c>
      <c r="Q490" s="175">
        <v>2.104E-2</v>
      </c>
      <c r="R490" s="175">
        <v>1.082E-2</v>
      </c>
      <c r="S490" s="175">
        <v>1.387E-2</v>
      </c>
      <c r="T490" s="175">
        <v>1.24E-2</v>
      </c>
      <c r="U490" s="175">
        <v>1.346E-2</v>
      </c>
      <c r="V490" s="706">
        <v>2.1420000000000002E-2</v>
      </c>
      <c r="W490" s="717"/>
      <c r="X490" s="713"/>
      <c r="Y490" s="718"/>
      <c r="Z490" s="709">
        <v>57</v>
      </c>
      <c r="AA490" s="175"/>
      <c r="AB490" s="200"/>
      <c r="AC490" s="205">
        <v>1.7000000000000001E-2</v>
      </c>
      <c r="AD490" s="175">
        <v>9.3000000000000007</v>
      </c>
      <c r="AE490" s="175">
        <v>0.37</v>
      </c>
      <c r="AF490" s="186">
        <f t="shared" si="8"/>
        <v>3.4410000000000003</v>
      </c>
      <c r="AG490" s="175">
        <v>1.35</v>
      </c>
      <c r="AH490" s="334"/>
      <c r="AI490" s="188"/>
      <c r="AJ490" s="188"/>
      <c r="AK490" s="188"/>
      <c r="AL490" s="189"/>
      <c r="AM490" s="189"/>
      <c r="AN490" s="189"/>
      <c r="AO490" s="189"/>
      <c r="AP490" s="189"/>
      <c r="AQ490" s="189"/>
      <c r="AR490" s="189"/>
      <c r="AS490" s="189"/>
      <c r="AT490" s="189"/>
      <c r="AU490" s="190"/>
      <c r="AV490" s="190"/>
      <c r="AW490" s="190"/>
      <c r="AX490" s="190"/>
      <c r="AY490" s="190"/>
      <c r="AZ490" s="189"/>
      <c r="BA490" s="189"/>
      <c r="BB490" s="189"/>
      <c r="BC490" s="189"/>
      <c r="BD490" s="189"/>
      <c r="BE490" s="189"/>
      <c r="BF490" s="189"/>
      <c r="BG490" s="189"/>
      <c r="BH490" s="189"/>
      <c r="BI490" s="190"/>
      <c r="BJ490" s="190"/>
      <c r="BK490" s="190"/>
      <c r="BL490" s="190"/>
      <c r="BM490" s="190"/>
      <c r="BN490" s="190"/>
      <c r="BO490" s="190"/>
      <c r="BP490" s="190"/>
      <c r="BQ490" s="190"/>
      <c r="BR490" s="190"/>
      <c r="BS490" s="190"/>
      <c r="BT490" s="190"/>
      <c r="BU490" s="190"/>
      <c r="BV490" s="190"/>
      <c r="BW490" s="190"/>
      <c r="BX490" s="190"/>
      <c r="BY490" s="190"/>
      <c r="BZ490" s="190"/>
      <c r="CA490" s="189"/>
      <c r="CB490" s="15"/>
    </row>
    <row r="491" spans="1:80" ht="15" x14ac:dyDescent="0.25">
      <c r="A491" s="167"/>
      <c r="B491" s="642"/>
      <c r="C491" s="642"/>
      <c r="D491" s="179"/>
      <c r="E491" s="169"/>
      <c r="F491" s="169"/>
      <c r="G491" s="186"/>
      <c r="H491" s="187"/>
      <c r="I491" s="187"/>
      <c r="J491" s="187"/>
      <c r="K491" s="187"/>
      <c r="L491" s="647"/>
      <c r="M491" s="646">
        <v>33414</v>
      </c>
      <c r="N491" s="585">
        <v>4.83</v>
      </c>
      <c r="O491" s="585">
        <v>2.3390000000000001E-2</v>
      </c>
      <c r="P491" s="175">
        <v>0</v>
      </c>
      <c r="Q491" s="175">
        <v>0</v>
      </c>
      <c r="R491" s="175">
        <v>7.2199999999999999E-3</v>
      </c>
      <c r="S491" s="175">
        <v>2.7499999999999998E-3</v>
      </c>
      <c r="T491" s="175">
        <v>2.8700000000000002E-3</v>
      </c>
      <c r="U491" s="175">
        <v>3.0300000000000001E-3</v>
      </c>
      <c r="V491" s="706">
        <v>7.5199999999999998E-3</v>
      </c>
      <c r="W491" s="717"/>
      <c r="X491" s="713"/>
      <c r="Y491" s="718"/>
      <c r="Z491" s="709">
        <v>37</v>
      </c>
      <c r="AA491" s="175"/>
      <c r="AB491" s="200"/>
      <c r="AC491" s="205">
        <v>1.7000000000000001E-2</v>
      </c>
      <c r="AD491" s="175">
        <v>9.1999999999999993</v>
      </c>
      <c r="AE491" s="175">
        <v>0.37</v>
      </c>
      <c r="AF491" s="186">
        <f t="shared" si="8"/>
        <v>3.4039999999999999</v>
      </c>
      <c r="AG491" s="175">
        <v>1.42</v>
      </c>
      <c r="AH491" s="334"/>
      <c r="AI491" s="188"/>
      <c r="AJ491" s="188"/>
      <c r="AK491" s="188"/>
      <c r="AL491" s="189"/>
      <c r="AM491" s="189"/>
      <c r="AN491" s="189"/>
      <c r="AO491" s="189"/>
      <c r="AP491" s="189"/>
      <c r="AQ491" s="189"/>
      <c r="AR491" s="189"/>
      <c r="AS491" s="189"/>
      <c r="AT491" s="189"/>
      <c r="AU491" s="190"/>
      <c r="AV491" s="190"/>
      <c r="AW491" s="190"/>
      <c r="AX491" s="190"/>
      <c r="AY491" s="190"/>
      <c r="AZ491" s="189"/>
      <c r="BA491" s="189"/>
      <c r="BB491" s="189"/>
      <c r="BC491" s="189"/>
      <c r="BD491" s="189"/>
      <c r="BE491" s="189"/>
      <c r="BF491" s="189"/>
      <c r="BG491" s="189"/>
      <c r="BH491" s="189"/>
      <c r="BI491" s="190"/>
      <c r="BJ491" s="190"/>
      <c r="BK491" s="190"/>
      <c r="BL491" s="190"/>
      <c r="BM491" s="190"/>
      <c r="BN491" s="190"/>
      <c r="BO491" s="190"/>
      <c r="BP491" s="190"/>
      <c r="BQ491" s="190"/>
      <c r="BR491" s="190"/>
      <c r="BS491" s="190"/>
      <c r="BT491" s="190"/>
      <c r="BU491" s="190"/>
      <c r="BV491" s="190"/>
      <c r="BW491" s="190"/>
      <c r="BX491" s="190"/>
      <c r="BY491" s="190"/>
      <c r="BZ491" s="190"/>
      <c r="CA491" s="189"/>
      <c r="CB491" s="15"/>
    </row>
    <row r="492" spans="1:80" ht="15" x14ac:dyDescent="0.25">
      <c r="A492" s="167"/>
      <c r="B492" s="642"/>
      <c r="C492" s="642"/>
      <c r="D492" s="179"/>
      <c r="E492" s="169"/>
      <c r="F492" s="169"/>
      <c r="G492" s="186"/>
      <c r="H492" s="187"/>
      <c r="I492" s="187"/>
      <c r="J492" s="187"/>
      <c r="K492" s="187"/>
      <c r="L492" s="647"/>
      <c r="M492" s="646">
        <v>33418</v>
      </c>
      <c r="N492" s="585">
        <v>4.0199999999999996</v>
      </c>
      <c r="O492" s="585">
        <v>4.6100000000000004E-3</v>
      </c>
      <c r="P492" s="175">
        <v>0</v>
      </c>
      <c r="Q492" s="175">
        <v>0</v>
      </c>
      <c r="R492" s="175">
        <v>0</v>
      </c>
      <c r="S492" s="175">
        <v>2.5000000000000001E-4</v>
      </c>
      <c r="T492" s="175">
        <v>7.6999999999999996E-4</v>
      </c>
      <c r="U492" s="175">
        <v>8.8999999999999995E-4</v>
      </c>
      <c r="V492" s="706">
        <v>2.6900000000000001E-3</v>
      </c>
      <c r="W492" s="717"/>
      <c r="X492" s="713"/>
      <c r="Y492" s="718"/>
      <c r="Z492" s="709">
        <v>14</v>
      </c>
      <c r="AA492" s="175"/>
      <c r="AB492" s="200"/>
      <c r="AC492" s="205">
        <v>1.2999999999999999E-2</v>
      </c>
      <c r="AD492" s="175">
        <v>9.1</v>
      </c>
      <c r="AE492" s="175">
        <v>0.33</v>
      </c>
      <c r="AF492" s="186">
        <f t="shared" si="8"/>
        <v>3.0030000000000001</v>
      </c>
      <c r="AG492" s="175">
        <v>1.35</v>
      </c>
      <c r="AH492" s="334"/>
      <c r="AI492" s="188"/>
      <c r="AJ492" s="188"/>
      <c r="AK492" s="188"/>
      <c r="AL492" s="189"/>
      <c r="AM492" s="189"/>
      <c r="AN492" s="189"/>
      <c r="AO492" s="189"/>
      <c r="AP492" s="189"/>
      <c r="AQ492" s="189"/>
      <c r="AR492" s="189"/>
      <c r="AS492" s="189"/>
      <c r="AT492" s="189"/>
      <c r="AU492" s="190"/>
      <c r="AV492" s="190"/>
      <c r="AW492" s="190"/>
      <c r="AX492" s="190"/>
      <c r="AY492" s="190"/>
      <c r="AZ492" s="189"/>
      <c r="BA492" s="189"/>
      <c r="BB492" s="189"/>
      <c r="BC492" s="189"/>
      <c r="BD492" s="189"/>
      <c r="BE492" s="189"/>
      <c r="BF492" s="189"/>
      <c r="BG492" s="189"/>
      <c r="BH492" s="189"/>
      <c r="BI492" s="190"/>
      <c r="BJ492" s="190"/>
      <c r="BK492" s="190"/>
      <c r="BL492" s="190"/>
      <c r="BM492" s="190"/>
      <c r="BN492" s="190"/>
      <c r="BO492" s="190"/>
      <c r="BP492" s="190"/>
      <c r="BQ492" s="190"/>
      <c r="BR492" s="190"/>
      <c r="BS492" s="190"/>
      <c r="BT492" s="190"/>
      <c r="BU492" s="190"/>
      <c r="BV492" s="190"/>
      <c r="BW492" s="190"/>
      <c r="BX492" s="190"/>
      <c r="BY492" s="190"/>
      <c r="BZ492" s="190"/>
      <c r="CA492" s="189"/>
      <c r="CB492" s="15"/>
    </row>
    <row r="493" spans="1:80" ht="15" x14ac:dyDescent="0.25">
      <c r="A493" s="167"/>
      <c r="B493" s="642"/>
      <c r="C493" s="642"/>
      <c r="D493" s="179"/>
      <c r="E493" s="169"/>
      <c r="F493" s="169"/>
      <c r="G493" s="186"/>
      <c r="H493" s="187"/>
      <c r="I493" s="187"/>
      <c r="J493" s="187"/>
      <c r="K493" s="187"/>
      <c r="L493" s="647"/>
      <c r="M493" s="646">
        <v>33421</v>
      </c>
      <c r="N493" s="585">
        <v>4.63</v>
      </c>
      <c r="O493" s="585">
        <v>5.5840000000000001E-2</v>
      </c>
      <c r="P493" s="175">
        <v>0</v>
      </c>
      <c r="Q493" s="175">
        <v>0</v>
      </c>
      <c r="R493" s="175">
        <v>3.6099999999999999E-3</v>
      </c>
      <c r="S493" s="175">
        <v>7.77E-3</v>
      </c>
      <c r="T493" s="175">
        <v>1.102E-2</v>
      </c>
      <c r="U493" s="175">
        <v>1.41E-2</v>
      </c>
      <c r="V493" s="706">
        <v>1.9349999999999999E-2</v>
      </c>
      <c r="W493" s="717"/>
      <c r="X493" s="713"/>
      <c r="Y493" s="718"/>
      <c r="Z493" s="709">
        <v>25</v>
      </c>
      <c r="AA493" s="175"/>
      <c r="AB493" s="200"/>
      <c r="AC493" s="205">
        <v>1.4999999999999999E-2</v>
      </c>
      <c r="AD493" s="175">
        <v>9.1999999999999993</v>
      </c>
      <c r="AE493" s="175">
        <v>0.34</v>
      </c>
      <c r="AF493" s="186">
        <f t="shared" ref="AF493:AF534" si="9">AE493*AD493</f>
        <v>3.1280000000000001</v>
      </c>
      <c r="AG493" s="175">
        <v>1.5</v>
      </c>
      <c r="AH493" s="334"/>
      <c r="AI493" s="188"/>
      <c r="AJ493" s="188"/>
      <c r="AK493" s="188"/>
      <c r="AL493" s="189"/>
      <c r="AM493" s="189"/>
      <c r="AN493" s="189"/>
      <c r="AO493" s="189"/>
      <c r="AP493" s="189"/>
      <c r="AQ493" s="189"/>
      <c r="AR493" s="189"/>
      <c r="AS493" s="189"/>
      <c r="AT493" s="189"/>
      <c r="AU493" s="190"/>
      <c r="AV493" s="190"/>
      <c r="AW493" s="190"/>
      <c r="AX493" s="190"/>
      <c r="AY493" s="190"/>
      <c r="AZ493" s="189"/>
      <c r="BA493" s="189"/>
      <c r="BB493" s="189"/>
      <c r="BC493" s="189"/>
      <c r="BD493" s="189"/>
      <c r="BE493" s="189"/>
      <c r="BF493" s="189"/>
      <c r="BG493" s="189"/>
      <c r="BH493" s="189"/>
      <c r="BI493" s="190"/>
      <c r="BJ493" s="190"/>
      <c r="BK493" s="190"/>
      <c r="BL493" s="190"/>
      <c r="BM493" s="190"/>
      <c r="BN493" s="190"/>
      <c r="BO493" s="190"/>
      <c r="BP493" s="190"/>
      <c r="BQ493" s="190"/>
      <c r="BR493" s="190"/>
      <c r="BS493" s="190"/>
      <c r="BT493" s="190"/>
      <c r="BU493" s="190"/>
      <c r="BV493" s="190"/>
      <c r="BW493" s="190"/>
      <c r="BX493" s="190"/>
      <c r="BY493" s="190"/>
      <c r="BZ493" s="190"/>
      <c r="CA493" s="189"/>
      <c r="CB493" s="15"/>
    </row>
    <row r="494" spans="1:80" ht="15" x14ac:dyDescent="0.25">
      <c r="A494" s="167"/>
      <c r="B494" s="642"/>
      <c r="C494" s="642"/>
      <c r="D494" s="179"/>
      <c r="E494" s="169"/>
      <c r="F494" s="169"/>
      <c r="G494" s="186"/>
      <c r="H494" s="187"/>
      <c r="I494" s="187"/>
      <c r="J494" s="187"/>
      <c r="K494" s="187"/>
      <c r="L494" s="647"/>
      <c r="M494" s="646">
        <v>33424</v>
      </c>
      <c r="N494" s="585">
        <v>3.46</v>
      </c>
      <c r="O494" s="585">
        <v>4.1599999999999996E-3</v>
      </c>
      <c r="P494" s="175">
        <v>0</v>
      </c>
      <c r="Q494" s="175">
        <v>0</v>
      </c>
      <c r="R494" s="175">
        <v>0</v>
      </c>
      <c r="S494" s="175">
        <v>1E-3</v>
      </c>
      <c r="T494" s="175">
        <v>9.6000000000000002E-4</v>
      </c>
      <c r="U494" s="175">
        <v>7.1000000000000002E-4</v>
      </c>
      <c r="V494" s="706">
        <v>1.5E-3</v>
      </c>
      <c r="W494" s="717"/>
      <c r="X494" s="713"/>
      <c r="Y494" s="718"/>
      <c r="Z494" s="709">
        <v>16</v>
      </c>
      <c r="AA494" s="175"/>
      <c r="AB494" s="200"/>
      <c r="AC494" s="205">
        <v>1.4E-2</v>
      </c>
      <c r="AD494" s="175">
        <v>7.8</v>
      </c>
      <c r="AE494" s="175">
        <v>0.36</v>
      </c>
      <c r="AF494" s="186">
        <f t="shared" si="9"/>
        <v>2.8079999999999998</v>
      </c>
      <c r="AG494" s="175">
        <v>1.23</v>
      </c>
      <c r="AH494" s="334"/>
      <c r="AI494" s="188"/>
      <c r="AJ494" s="188"/>
      <c r="AK494" s="188"/>
      <c r="AL494" s="189"/>
      <c r="AM494" s="189"/>
      <c r="AN494" s="189"/>
      <c r="AO494" s="189"/>
      <c r="AP494" s="189"/>
      <c r="AQ494" s="189"/>
      <c r="AR494" s="189"/>
      <c r="AS494" s="189"/>
      <c r="AT494" s="189"/>
      <c r="AU494" s="190"/>
      <c r="AV494" s="190"/>
      <c r="AW494" s="190"/>
      <c r="AX494" s="190"/>
      <c r="AY494" s="190"/>
      <c r="AZ494" s="189"/>
      <c r="BA494" s="189"/>
      <c r="BB494" s="189"/>
      <c r="BC494" s="189"/>
      <c r="BD494" s="189"/>
      <c r="BE494" s="189"/>
      <c r="BF494" s="189"/>
      <c r="BG494" s="189"/>
      <c r="BH494" s="189"/>
      <c r="BI494" s="190"/>
      <c r="BJ494" s="190"/>
      <c r="BK494" s="190"/>
      <c r="BL494" s="190"/>
      <c r="BM494" s="190"/>
      <c r="BN494" s="190"/>
      <c r="BO494" s="190"/>
      <c r="BP494" s="190"/>
      <c r="BQ494" s="190"/>
      <c r="BR494" s="190"/>
      <c r="BS494" s="190"/>
      <c r="BT494" s="190"/>
      <c r="BU494" s="190"/>
      <c r="BV494" s="190"/>
      <c r="BW494" s="190"/>
      <c r="BX494" s="190"/>
      <c r="BY494" s="190"/>
      <c r="BZ494" s="190"/>
      <c r="CA494" s="189"/>
      <c r="CB494" s="15"/>
    </row>
    <row r="495" spans="1:80" ht="15" x14ac:dyDescent="0.25">
      <c r="A495" s="167"/>
      <c r="B495" s="642"/>
      <c r="C495" s="642"/>
      <c r="D495" s="179"/>
      <c r="E495" s="169"/>
      <c r="F495" s="169"/>
      <c r="G495" s="186"/>
      <c r="H495" s="187"/>
      <c r="I495" s="187"/>
      <c r="J495" s="187"/>
      <c r="K495" s="187"/>
      <c r="L495" s="647"/>
      <c r="M495" s="646">
        <v>33429</v>
      </c>
      <c r="N495" s="585">
        <v>4.74</v>
      </c>
      <c r="O495" s="585">
        <v>5.518E-2</v>
      </c>
      <c r="P495" s="175">
        <v>0</v>
      </c>
      <c r="Q495" s="175">
        <v>0</v>
      </c>
      <c r="R495" s="175">
        <v>1.0840000000000001E-2</v>
      </c>
      <c r="S495" s="175">
        <v>9.3799999999999994E-3</v>
      </c>
      <c r="T495" s="175">
        <v>1.017E-2</v>
      </c>
      <c r="U495" s="175">
        <v>9.3399999999999993E-3</v>
      </c>
      <c r="V495" s="706">
        <v>1.545E-2</v>
      </c>
      <c r="W495" s="717"/>
      <c r="X495" s="713"/>
      <c r="Y495" s="718"/>
      <c r="Z495" s="709">
        <v>37</v>
      </c>
      <c r="AA495" s="175"/>
      <c r="AB495" s="200"/>
      <c r="AC495" s="205">
        <v>1.7999999999999999E-2</v>
      </c>
      <c r="AD495" s="175">
        <v>9.1</v>
      </c>
      <c r="AE495" s="175">
        <v>0.39</v>
      </c>
      <c r="AF495" s="186">
        <f t="shared" si="9"/>
        <v>3.5489999999999999</v>
      </c>
      <c r="AG495" s="175">
        <v>1.33</v>
      </c>
      <c r="AH495" s="334"/>
      <c r="AI495" s="188"/>
      <c r="AJ495" s="188"/>
      <c r="AK495" s="188"/>
      <c r="AL495" s="189"/>
      <c r="AM495" s="189"/>
      <c r="AN495" s="189"/>
      <c r="AO495" s="189"/>
      <c r="AP495" s="189"/>
      <c r="AQ495" s="189"/>
      <c r="AR495" s="189"/>
      <c r="AS495" s="189"/>
      <c r="AT495" s="189"/>
      <c r="AU495" s="190"/>
      <c r="AV495" s="190"/>
      <c r="AW495" s="190"/>
      <c r="AX495" s="190"/>
      <c r="AY495" s="190"/>
      <c r="AZ495" s="189"/>
      <c r="BA495" s="189"/>
      <c r="BB495" s="189"/>
      <c r="BC495" s="189"/>
      <c r="BD495" s="189"/>
      <c r="BE495" s="189"/>
      <c r="BF495" s="189"/>
      <c r="BG495" s="189"/>
      <c r="BH495" s="189"/>
      <c r="BI495" s="190"/>
      <c r="BJ495" s="190"/>
      <c r="BK495" s="190"/>
      <c r="BL495" s="190"/>
      <c r="BM495" s="190"/>
      <c r="BN495" s="190"/>
      <c r="BO495" s="190"/>
      <c r="BP495" s="190"/>
      <c r="BQ495" s="190"/>
      <c r="BR495" s="190"/>
      <c r="BS495" s="190"/>
      <c r="BT495" s="190"/>
      <c r="BU495" s="190"/>
      <c r="BV495" s="190"/>
      <c r="BW495" s="190"/>
      <c r="BX495" s="190"/>
      <c r="BY495" s="190"/>
      <c r="BZ495" s="190"/>
      <c r="CA495" s="189"/>
      <c r="CB495" s="15"/>
    </row>
    <row r="496" spans="1:80" ht="15" x14ac:dyDescent="0.25">
      <c r="A496" s="167"/>
      <c r="B496" s="642"/>
      <c r="C496" s="642"/>
      <c r="D496" s="179"/>
      <c r="E496" s="169"/>
      <c r="F496" s="169"/>
      <c r="G496" s="186"/>
      <c r="H496" s="187"/>
      <c r="I496" s="187"/>
      <c r="J496" s="187"/>
      <c r="K496" s="187"/>
      <c r="L496" s="647"/>
      <c r="M496" s="646">
        <v>33430</v>
      </c>
      <c r="N496" s="585">
        <v>4.96</v>
      </c>
      <c r="O496" s="585">
        <v>9.8080000000000001E-2</v>
      </c>
      <c r="P496" s="175">
        <v>0</v>
      </c>
      <c r="Q496" s="175">
        <v>3.0200000000000001E-2</v>
      </c>
      <c r="R496" s="175">
        <v>1.4970000000000001E-2</v>
      </c>
      <c r="S496" s="175">
        <v>1.4019999999999999E-2</v>
      </c>
      <c r="T496" s="175">
        <v>1.1039999999999999E-2</v>
      </c>
      <c r="U496" s="175">
        <v>8.2400000000000008E-3</v>
      </c>
      <c r="V496" s="706">
        <v>1.9619999999999999E-2</v>
      </c>
      <c r="W496" s="717"/>
      <c r="X496" s="713"/>
      <c r="Y496" s="718"/>
      <c r="Z496" s="709">
        <v>55</v>
      </c>
      <c r="AA496" s="175"/>
      <c r="AB496" s="200"/>
      <c r="AC496" s="205">
        <v>1.4999999999999999E-2</v>
      </c>
      <c r="AD496" s="175">
        <v>9.6</v>
      </c>
      <c r="AE496" s="175">
        <v>0.37</v>
      </c>
      <c r="AF496" s="186">
        <f t="shared" si="9"/>
        <v>3.552</v>
      </c>
      <c r="AG496" s="175">
        <v>1.4</v>
      </c>
      <c r="AH496" s="334"/>
      <c r="AI496" s="188"/>
      <c r="AJ496" s="188"/>
      <c r="AK496" s="188"/>
      <c r="AL496" s="189"/>
      <c r="AM496" s="189"/>
      <c r="AN496" s="189"/>
      <c r="AO496" s="189"/>
      <c r="AP496" s="189"/>
      <c r="AQ496" s="189"/>
      <c r="AR496" s="189"/>
      <c r="AS496" s="189"/>
      <c r="AT496" s="189"/>
      <c r="AU496" s="190"/>
      <c r="AV496" s="190"/>
      <c r="AW496" s="190"/>
      <c r="AX496" s="190"/>
      <c r="AY496" s="190"/>
      <c r="AZ496" s="189"/>
      <c r="BA496" s="189"/>
      <c r="BB496" s="189"/>
      <c r="BC496" s="189"/>
      <c r="BD496" s="189"/>
      <c r="BE496" s="189"/>
      <c r="BF496" s="189"/>
      <c r="BG496" s="189"/>
      <c r="BH496" s="189"/>
      <c r="BI496" s="190"/>
      <c r="BJ496" s="190"/>
      <c r="BK496" s="190"/>
      <c r="BL496" s="190"/>
      <c r="BM496" s="190"/>
      <c r="BN496" s="190"/>
      <c r="BO496" s="190"/>
      <c r="BP496" s="190"/>
      <c r="BQ496" s="190"/>
      <c r="BR496" s="190"/>
      <c r="BS496" s="190"/>
      <c r="BT496" s="190"/>
      <c r="BU496" s="190"/>
      <c r="BV496" s="190"/>
      <c r="BW496" s="190"/>
      <c r="BX496" s="190"/>
      <c r="BY496" s="190"/>
      <c r="BZ496" s="190"/>
      <c r="CA496" s="189"/>
      <c r="CB496" s="15"/>
    </row>
    <row r="497" spans="1:80" ht="15" x14ac:dyDescent="0.25">
      <c r="A497" s="167"/>
      <c r="B497" s="642"/>
      <c r="C497" s="642"/>
      <c r="D497" s="179"/>
      <c r="E497" s="169"/>
      <c r="F497" s="169"/>
      <c r="G497" s="186"/>
      <c r="H497" s="187"/>
      <c r="I497" s="187"/>
      <c r="J497" s="187"/>
      <c r="K497" s="187"/>
      <c r="L497" s="647"/>
      <c r="M497" s="646">
        <v>33432</v>
      </c>
      <c r="N497" s="585">
        <v>5.4</v>
      </c>
      <c r="O497" s="585">
        <v>3.7519999999999998E-2</v>
      </c>
      <c r="P497" s="175">
        <v>0</v>
      </c>
      <c r="Q497" s="175">
        <v>3.3999999999999998E-3</v>
      </c>
      <c r="R497" s="175">
        <v>2.5699999999999998E-3</v>
      </c>
      <c r="S497" s="175">
        <v>9.1400000000000006E-3</v>
      </c>
      <c r="T497" s="175">
        <v>5.9899999999999997E-3</v>
      </c>
      <c r="U497" s="175">
        <v>5.7400000000000003E-3</v>
      </c>
      <c r="V497" s="706">
        <v>1.0670000000000001E-2</v>
      </c>
      <c r="W497" s="717"/>
      <c r="X497" s="713"/>
      <c r="Y497" s="718"/>
      <c r="Z497" s="709">
        <v>43</v>
      </c>
      <c r="AA497" s="175"/>
      <c r="AB497" s="200"/>
      <c r="AC497" s="205">
        <v>1.4999999999999999E-2</v>
      </c>
      <c r="AD497" s="175">
        <v>9.1999999999999993</v>
      </c>
      <c r="AE497" s="175">
        <v>0.4</v>
      </c>
      <c r="AF497" s="186">
        <f t="shared" si="9"/>
        <v>3.6799999999999997</v>
      </c>
      <c r="AG497" s="175">
        <v>1.48</v>
      </c>
      <c r="AH497" s="334"/>
      <c r="AI497" s="188"/>
      <c r="AJ497" s="188"/>
      <c r="AK497" s="188"/>
      <c r="AL497" s="189"/>
      <c r="AM497" s="189"/>
      <c r="AN497" s="189"/>
      <c r="AO497" s="189"/>
      <c r="AP497" s="189"/>
      <c r="AQ497" s="189"/>
      <c r="AR497" s="189"/>
      <c r="AS497" s="189"/>
      <c r="AT497" s="189"/>
      <c r="AU497" s="190"/>
      <c r="AV497" s="190"/>
      <c r="AW497" s="190"/>
      <c r="AX497" s="190"/>
      <c r="AY497" s="190"/>
      <c r="AZ497" s="189"/>
      <c r="BA497" s="189"/>
      <c r="BB497" s="189"/>
      <c r="BC497" s="189"/>
      <c r="BD497" s="189"/>
      <c r="BE497" s="189"/>
      <c r="BF497" s="189"/>
      <c r="BG497" s="189"/>
      <c r="BH497" s="189"/>
      <c r="BI497" s="190"/>
      <c r="BJ497" s="190"/>
      <c r="BK497" s="190"/>
      <c r="BL497" s="190"/>
      <c r="BM497" s="190"/>
      <c r="BN497" s="190"/>
      <c r="BO497" s="190"/>
      <c r="BP497" s="190"/>
      <c r="BQ497" s="190"/>
      <c r="BR497" s="190"/>
      <c r="BS497" s="190"/>
      <c r="BT497" s="190"/>
      <c r="BU497" s="190"/>
      <c r="BV497" s="190"/>
      <c r="BW497" s="190"/>
      <c r="BX497" s="190"/>
      <c r="BY497" s="190"/>
      <c r="BZ497" s="190"/>
      <c r="CA497" s="189"/>
      <c r="CB497" s="15"/>
    </row>
    <row r="498" spans="1:80" ht="15" x14ac:dyDescent="0.25">
      <c r="A498" s="167"/>
      <c r="B498" s="642"/>
      <c r="C498" s="642"/>
      <c r="D498" s="179"/>
      <c r="E498" s="169"/>
      <c r="F498" s="169"/>
      <c r="G498" s="186"/>
      <c r="H498" s="187"/>
      <c r="I498" s="187"/>
      <c r="J498" s="187"/>
      <c r="K498" s="187"/>
      <c r="L498" s="647"/>
      <c r="M498" s="646">
        <v>33436</v>
      </c>
      <c r="N498" s="585">
        <v>4.6399999999999997</v>
      </c>
      <c r="O498" s="585">
        <v>7.7350000000000002E-2</v>
      </c>
      <c r="P498" s="175">
        <v>0</v>
      </c>
      <c r="Q498" s="175">
        <v>0</v>
      </c>
      <c r="R498" s="175">
        <v>2.768E-2</v>
      </c>
      <c r="S498" s="175">
        <v>1.3350000000000001E-2</v>
      </c>
      <c r="T498" s="175">
        <v>1.154E-2</v>
      </c>
      <c r="U498" s="175">
        <v>1.0319999999999999E-2</v>
      </c>
      <c r="V498" s="706">
        <v>1.4449999999999999E-2</v>
      </c>
      <c r="W498" s="717"/>
      <c r="X498" s="713"/>
      <c r="Y498" s="718"/>
      <c r="Z498" s="709">
        <v>37</v>
      </c>
      <c r="AA498" s="175"/>
      <c r="AB498" s="200"/>
      <c r="AC498" s="205">
        <v>1.6E-2</v>
      </c>
      <c r="AD498" s="175">
        <v>9.1</v>
      </c>
      <c r="AE498" s="175">
        <v>0.37</v>
      </c>
      <c r="AF498" s="186">
        <f t="shared" si="9"/>
        <v>3.367</v>
      </c>
      <c r="AG498" s="175">
        <v>1.38</v>
      </c>
      <c r="AH498" s="334"/>
      <c r="AI498" s="188"/>
      <c r="AJ498" s="188"/>
      <c r="AK498" s="188"/>
      <c r="AL498" s="189"/>
      <c r="AM498" s="189"/>
      <c r="AN498" s="189"/>
      <c r="AO498" s="189"/>
      <c r="AP498" s="189"/>
      <c r="AQ498" s="189"/>
      <c r="AR498" s="189"/>
      <c r="AS498" s="189"/>
      <c r="AT498" s="189"/>
      <c r="AU498" s="190"/>
      <c r="AV498" s="190"/>
      <c r="AW498" s="190"/>
      <c r="AX498" s="190"/>
      <c r="AY498" s="190"/>
      <c r="AZ498" s="189"/>
      <c r="BA498" s="189"/>
      <c r="BB498" s="189"/>
      <c r="BC498" s="189"/>
      <c r="BD498" s="189"/>
      <c r="BE498" s="189"/>
      <c r="BF498" s="189"/>
      <c r="BG498" s="189"/>
      <c r="BH498" s="189"/>
      <c r="BI498" s="190"/>
      <c r="BJ498" s="190"/>
      <c r="BK498" s="190"/>
      <c r="BL498" s="190"/>
      <c r="BM498" s="190"/>
      <c r="BN498" s="190"/>
      <c r="BO498" s="190"/>
      <c r="BP498" s="190"/>
      <c r="BQ498" s="190"/>
      <c r="BR498" s="190"/>
      <c r="BS498" s="190"/>
      <c r="BT498" s="190"/>
      <c r="BU498" s="190"/>
      <c r="BV498" s="190"/>
      <c r="BW498" s="190"/>
      <c r="BX498" s="190"/>
      <c r="BY498" s="190"/>
      <c r="BZ498" s="190"/>
      <c r="CA498" s="189"/>
      <c r="CB498" s="15"/>
    </row>
    <row r="499" spans="1:80" ht="15" x14ac:dyDescent="0.25">
      <c r="A499" s="167"/>
      <c r="B499" s="642"/>
      <c r="C499" s="642"/>
      <c r="D499" s="179"/>
      <c r="E499" s="169"/>
      <c r="F499" s="169"/>
      <c r="G499" s="186"/>
      <c r="H499" s="187"/>
      <c r="I499" s="187"/>
      <c r="J499" s="187"/>
      <c r="K499" s="187"/>
      <c r="L499" s="647"/>
      <c r="M499" s="646">
        <v>33438</v>
      </c>
      <c r="N499" s="585">
        <v>4.46</v>
      </c>
      <c r="O499" s="585">
        <v>5.3089999999999998E-2</v>
      </c>
      <c r="P499" s="175">
        <v>0</v>
      </c>
      <c r="Q499" s="175">
        <v>6.8900000000000003E-3</v>
      </c>
      <c r="R499" s="175">
        <v>2.3E-2</v>
      </c>
      <c r="S499" s="175">
        <v>6.1700000000000001E-3</v>
      </c>
      <c r="T499" s="175">
        <v>5.4900000000000001E-3</v>
      </c>
      <c r="U499" s="175">
        <v>4.7999999999999996E-3</v>
      </c>
      <c r="V499" s="706">
        <v>6.7499999999999999E-3</v>
      </c>
      <c r="W499" s="717"/>
      <c r="X499" s="713"/>
      <c r="Y499" s="718"/>
      <c r="Z499" s="709">
        <v>48</v>
      </c>
      <c r="AA499" s="175"/>
      <c r="AB499" s="200"/>
      <c r="AC499" s="205">
        <v>1.2999999999999999E-2</v>
      </c>
      <c r="AD499" s="175">
        <v>9.1</v>
      </c>
      <c r="AE499" s="175">
        <v>0.35</v>
      </c>
      <c r="AF499" s="186">
        <f t="shared" si="9"/>
        <v>3.1849999999999996</v>
      </c>
      <c r="AG499" s="175">
        <v>1.39</v>
      </c>
      <c r="AH499" s="334"/>
      <c r="AI499" s="188"/>
      <c r="AJ499" s="188"/>
      <c r="AK499" s="188"/>
      <c r="AL499" s="189"/>
      <c r="AM499" s="189"/>
      <c r="AN499" s="189"/>
      <c r="AO499" s="189"/>
      <c r="AP499" s="189"/>
      <c r="AQ499" s="189"/>
      <c r="AR499" s="189"/>
      <c r="AS499" s="189"/>
      <c r="AT499" s="189"/>
      <c r="AU499" s="190"/>
      <c r="AV499" s="190"/>
      <c r="AW499" s="190"/>
      <c r="AX499" s="190"/>
      <c r="AY499" s="190"/>
      <c r="AZ499" s="189"/>
      <c r="BA499" s="189"/>
      <c r="BB499" s="189"/>
      <c r="BC499" s="189"/>
      <c r="BD499" s="189"/>
      <c r="BE499" s="189"/>
      <c r="BF499" s="189"/>
      <c r="BG499" s="189"/>
      <c r="BH499" s="189"/>
      <c r="BI499" s="190"/>
      <c r="BJ499" s="190"/>
      <c r="BK499" s="190"/>
      <c r="BL499" s="190"/>
      <c r="BM499" s="190"/>
      <c r="BN499" s="190"/>
      <c r="BO499" s="190"/>
      <c r="BP499" s="190"/>
      <c r="BQ499" s="190"/>
      <c r="BR499" s="190"/>
      <c r="BS499" s="190"/>
      <c r="BT499" s="190"/>
      <c r="BU499" s="190"/>
      <c r="BV499" s="190"/>
      <c r="BW499" s="190"/>
      <c r="BX499" s="190"/>
      <c r="BY499" s="190"/>
      <c r="BZ499" s="190"/>
      <c r="CA499" s="189"/>
      <c r="CB499" s="15"/>
    </row>
    <row r="500" spans="1:80" ht="15" x14ac:dyDescent="0.25">
      <c r="A500" s="167"/>
      <c r="B500" s="642"/>
      <c r="C500" s="642"/>
      <c r="D500" s="179"/>
      <c r="E500" s="169"/>
      <c r="F500" s="169"/>
      <c r="G500" s="186"/>
      <c r="H500" s="187"/>
      <c r="I500" s="187"/>
      <c r="J500" s="187"/>
      <c r="K500" s="187"/>
      <c r="L500" s="647"/>
      <c r="M500" s="646">
        <v>33443</v>
      </c>
      <c r="N500" s="585">
        <v>3.42</v>
      </c>
      <c r="O500" s="585">
        <v>7.0200000000000002E-3</v>
      </c>
      <c r="P500" s="175">
        <v>0</v>
      </c>
      <c r="Q500" s="175">
        <v>0</v>
      </c>
      <c r="R500" s="175">
        <v>0</v>
      </c>
      <c r="S500" s="175">
        <v>2.5000000000000001E-4</v>
      </c>
      <c r="T500" s="175">
        <v>1.07E-3</v>
      </c>
      <c r="U500" s="175">
        <v>1.9E-3</v>
      </c>
      <c r="V500" s="706">
        <v>3.8E-3</v>
      </c>
      <c r="W500" s="717"/>
      <c r="X500" s="713"/>
      <c r="Y500" s="718"/>
      <c r="Z500" s="709">
        <v>15</v>
      </c>
      <c r="AA500" s="175"/>
      <c r="AB500" s="200"/>
      <c r="AC500" s="205">
        <v>1.7999999999999999E-2</v>
      </c>
      <c r="AD500" s="175">
        <v>8.1999999999999993</v>
      </c>
      <c r="AE500" s="175">
        <v>0.36</v>
      </c>
      <c r="AF500" s="186">
        <f t="shared" si="9"/>
        <v>2.9519999999999995</v>
      </c>
      <c r="AG500" s="175">
        <v>1.1599999999999999</v>
      </c>
      <c r="AH500" s="334"/>
      <c r="AI500" s="188"/>
      <c r="AJ500" s="188"/>
      <c r="AK500" s="188"/>
      <c r="AL500" s="189"/>
      <c r="AM500" s="189"/>
      <c r="AN500" s="189"/>
      <c r="AO500" s="189"/>
      <c r="AP500" s="189"/>
      <c r="AQ500" s="189"/>
      <c r="AR500" s="189"/>
      <c r="AS500" s="189"/>
      <c r="AT500" s="189"/>
      <c r="AU500" s="190"/>
      <c r="AV500" s="190"/>
      <c r="AW500" s="190"/>
      <c r="AX500" s="190"/>
      <c r="AY500" s="190"/>
      <c r="AZ500" s="189"/>
      <c r="BA500" s="189"/>
      <c r="BB500" s="189"/>
      <c r="BC500" s="189"/>
      <c r="BD500" s="189"/>
      <c r="BE500" s="189"/>
      <c r="BF500" s="189"/>
      <c r="BG500" s="189"/>
      <c r="BH500" s="189"/>
      <c r="BI500" s="190"/>
      <c r="BJ500" s="190"/>
      <c r="BK500" s="190"/>
      <c r="BL500" s="190"/>
      <c r="BM500" s="190"/>
      <c r="BN500" s="190"/>
      <c r="BO500" s="190"/>
      <c r="BP500" s="190"/>
      <c r="BQ500" s="190"/>
      <c r="BR500" s="190"/>
      <c r="BS500" s="190"/>
      <c r="BT500" s="190"/>
      <c r="BU500" s="190"/>
      <c r="BV500" s="190"/>
      <c r="BW500" s="190"/>
      <c r="BX500" s="190"/>
      <c r="BY500" s="190"/>
      <c r="BZ500" s="190"/>
      <c r="CA500" s="189"/>
      <c r="CB500" s="15"/>
    </row>
    <row r="501" spans="1:80" ht="15" x14ac:dyDescent="0.25">
      <c r="A501" s="167"/>
      <c r="B501" s="642"/>
      <c r="C501" s="642"/>
      <c r="D501" s="179"/>
      <c r="E501" s="169"/>
      <c r="F501" s="169"/>
      <c r="G501" s="186"/>
      <c r="H501" s="187"/>
      <c r="I501" s="187"/>
      <c r="J501" s="187"/>
      <c r="K501" s="187"/>
      <c r="L501" s="647"/>
      <c r="M501" s="646">
        <v>33445</v>
      </c>
      <c r="N501" s="585">
        <v>3.12</v>
      </c>
      <c r="O501" s="585">
        <v>1.227E-2</v>
      </c>
      <c r="P501" s="175">
        <v>0</v>
      </c>
      <c r="Q501" s="175">
        <v>0</v>
      </c>
      <c r="R501" s="175">
        <v>0</v>
      </c>
      <c r="S501" s="175">
        <v>2.1900000000000001E-3</v>
      </c>
      <c r="T501" s="175">
        <v>3.0799999999999998E-3</v>
      </c>
      <c r="U501" s="175">
        <v>3.1800000000000001E-3</v>
      </c>
      <c r="V501" s="706">
        <v>3.81E-3</v>
      </c>
      <c r="W501" s="717"/>
      <c r="X501" s="713"/>
      <c r="Y501" s="718"/>
      <c r="Z501" s="709">
        <v>20</v>
      </c>
      <c r="AA501" s="175"/>
      <c r="AB501" s="200"/>
      <c r="AC501" s="205">
        <v>1.7999999999999999E-2</v>
      </c>
      <c r="AD501" s="175">
        <v>7.9</v>
      </c>
      <c r="AE501" s="175">
        <v>0.33</v>
      </c>
      <c r="AF501" s="186">
        <f t="shared" si="9"/>
        <v>2.6070000000000002</v>
      </c>
      <c r="AG501" s="175">
        <v>1.19</v>
      </c>
      <c r="AH501" s="334"/>
      <c r="AI501" s="188"/>
      <c r="AJ501" s="188"/>
      <c r="AK501" s="188"/>
      <c r="AL501" s="189"/>
      <c r="AM501" s="189"/>
      <c r="AN501" s="189"/>
      <c r="AO501" s="189"/>
      <c r="AP501" s="189"/>
      <c r="AQ501" s="189"/>
      <c r="AR501" s="189"/>
      <c r="AS501" s="189"/>
      <c r="AT501" s="189"/>
      <c r="AU501" s="190"/>
      <c r="AV501" s="190"/>
      <c r="AW501" s="190"/>
      <c r="AX501" s="190"/>
      <c r="AY501" s="190"/>
      <c r="AZ501" s="189"/>
      <c r="BA501" s="189"/>
      <c r="BB501" s="189"/>
      <c r="BC501" s="189"/>
      <c r="BD501" s="189"/>
      <c r="BE501" s="189"/>
      <c r="BF501" s="189"/>
      <c r="BG501" s="189"/>
      <c r="BH501" s="189"/>
      <c r="BI501" s="190"/>
      <c r="BJ501" s="190"/>
      <c r="BK501" s="190"/>
      <c r="BL501" s="190"/>
      <c r="BM501" s="190"/>
      <c r="BN501" s="190"/>
      <c r="BO501" s="190"/>
      <c r="BP501" s="190"/>
      <c r="BQ501" s="190"/>
      <c r="BR501" s="190"/>
      <c r="BS501" s="190"/>
      <c r="BT501" s="190"/>
      <c r="BU501" s="190"/>
      <c r="BV501" s="190"/>
      <c r="BW501" s="190"/>
      <c r="BX501" s="190"/>
      <c r="BY501" s="190"/>
      <c r="BZ501" s="190"/>
      <c r="CA501" s="189"/>
      <c r="CB501" s="15"/>
    </row>
    <row r="502" spans="1:80" ht="15" x14ac:dyDescent="0.25">
      <c r="A502" s="167"/>
      <c r="B502" s="642"/>
      <c r="C502" s="642"/>
      <c r="D502" s="179"/>
      <c r="E502" s="169"/>
      <c r="F502" s="169"/>
      <c r="G502" s="186"/>
      <c r="H502" s="187"/>
      <c r="I502" s="187"/>
      <c r="J502" s="187"/>
      <c r="K502" s="187"/>
      <c r="L502" s="647"/>
      <c r="M502" s="646">
        <v>33449</v>
      </c>
      <c r="N502" s="585">
        <v>1.95</v>
      </c>
      <c r="O502" s="585">
        <v>4.6499999999999996E-3</v>
      </c>
      <c r="P502" s="175">
        <v>0</v>
      </c>
      <c r="Q502" s="175">
        <v>0</v>
      </c>
      <c r="R502" s="175">
        <v>0</v>
      </c>
      <c r="S502" s="175">
        <v>1.14E-3</v>
      </c>
      <c r="T502" s="175">
        <v>1.1900000000000001E-3</v>
      </c>
      <c r="U502" s="175">
        <v>1E-3</v>
      </c>
      <c r="V502" s="706">
        <v>1.32E-3</v>
      </c>
      <c r="W502" s="717"/>
      <c r="X502" s="713"/>
      <c r="Y502" s="718"/>
      <c r="Z502" s="709">
        <v>17</v>
      </c>
      <c r="AA502" s="175"/>
      <c r="AB502" s="200"/>
      <c r="AC502" s="205">
        <v>1.4999999999999999E-2</v>
      </c>
      <c r="AD502" s="175">
        <v>7.5</v>
      </c>
      <c r="AE502" s="175">
        <v>0.26</v>
      </c>
      <c r="AF502" s="186">
        <f t="shared" si="9"/>
        <v>1.9500000000000002</v>
      </c>
      <c r="AG502" s="175">
        <v>1.01</v>
      </c>
      <c r="AH502" s="334"/>
      <c r="AI502" s="188"/>
      <c r="AJ502" s="188"/>
      <c r="AK502" s="188"/>
      <c r="AL502" s="189"/>
      <c r="AM502" s="189"/>
      <c r="AN502" s="189"/>
      <c r="AO502" s="189"/>
      <c r="AP502" s="189"/>
      <c r="AQ502" s="189"/>
      <c r="AR502" s="189"/>
      <c r="AS502" s="189"/>
      <c r="AT502" s="189"/>
      <c r="AU502" s="190"/>
      <c r="AV502" s="190"/>
      <c r="AW502" s="190"/>
      <c r="AX502" s="190"/>
      <c r="AY502" s="190"/>
      <c r="AZ502" s="189"/>
      <c r="BA502" s="189"/>
      <c r="BB502" s="189"/>
      <c r="BC502" s="189"/>
      <c r="BD502" s="189"/>
      <c r="BE502" s="189"/>
      <c r="BF502" s="189"/>
      <c r="BG502" s="189"/>
      <c r="BH502" s="189"/>
      <c r="BI502" s="190"/>
      <c r="BJ502" s="190"/>
      <c r="BK502" s="190"/>
      <c r="BL502" s="190"/>
      <c r="BM502" s="190"/>
      <c r="BN502" s="190"/>
      <c r="BO502" s="190"/>
      <c r="BP502" s="190"/>
      <c r="BQ502" s="190"/>
      <c r="BR502" s="190"/>
      <c r="BS502" s="190"/>
      <c r="BT502" s="190"/>
      <c r="BU502" s="190"/>
      <c r="BV502" s="190"/>
      <c r="BW502" s="190"/>
      <c r="BX502" s="190"/>
      <c r="BY502" s="190"/>
      <c r="BZ502" s="190"/>
      <c r="CA502" s="189"/>
      <c r="CB502" s="15"/>
    </row>
    <row r="503" spans="1:80" ht="15" x14ac:dyDescent="0.25">
      <c r="A503" s="167"/>
      <c r="B503" s="642"/>
      <c r="C503" s="642"/>
      <c r="D503" s="179"/>
      <c r="E503" s="169"/>
      <c r="F503" s="169"/>
      <c r="G503" s="186"/>
      <c r="H503" s="187"/>
      <c r="I503" s="187"/>
      <c r="J503" s="187"/>
      <c r="K503" s="187"/>
      <c r="L503" s="647"/>
      <c r="M503" s="646">
        <v>33451</v>
      </c>
      <c r="N503" s="585">
        <v>2.4700000000000002</v>
      </c>
      <c r="O503" s="585">
        <v>1.1900000000000001E-3</v>
      </c>
      <c r="P503" s="175">
        <v>0</v>
      </c>
      <c r="Q503" s="175">
        <v>0</v>
      </c>
      <c r="R503" s="175">
        <v>0</v>
      </c>
      <c r="S503" s="175">
        <v>6.9999999999999994E-5</v>
      </c>
      <c r="T503" s="175">
        <v>3.1E-4</v>
      </c>
      <c r="U503" s="175">
        <v>1.4999999999999999E-4</v>
      </c>
      <c r="V503" s="706">
        <v>6.6E-4</v>
      </c>
      <c r="W503" s="717"/>
      <c r="X503" s="713"/>
      <c r="Y503" s="718"/>
      <c r="Z503" s="709">
        <v>11</v>
      </c>
      <c r="AA503" s="175"/>
      <c r="AB503" s="200"/>
      <c r="AC503" s="205">
        <v>1.4999999999999999E-2</v>
      </c>
      <c r="AD503" s="175">
        <v>7.5</v>
      </c>
      <c r="AE503" s="175">
        <v>0.28999999999999998</v>
      </c>
      <c r="AF503" s="186">
        <f t="shared" si="9"/>
        <v>2.1749999999999998</v>
      </c>
      <c r="AG503" s="175">
        <v>1.1200000000000001</v>
      </c>
      <c r="AH503" s="334"/>
      <c r="AI503" s="188"/>
      <c r="AJ503" s="188"/>
      <c r="AK503" s="188"/>
      <c r="AL503" s="189"/>
      <c r="AM503" s="189"/>
      <c r="AN503" s="189"/>
      <c r="AO503" s="189"/>
      <c r="AP503" s="189"/>
      <c r="AQ503" s="189"/>
      <c r="AR503" s="189"/>
      <c r="AS503" s="189"/>
      <c r="AT503" s="189"/>
      <c r="AU503" s="190"/>
      <c r="AV503" s="190"/>
      <c r="AW503" s="190"/>
      <c r="AX503" s="190"/>
      <c r="AY503" s="190"/>
      <c r="AZ503" s="189"/>
      <c r="BA503" s="189"/>
      <c r="BB503" s="189"/>
      <c r="BC503" s="189"/>
      <c r="BD503" s="189"/>
      <c r="BE503" s="189"/>
      <c r="BF503" s="189"/>
      <c r="BG503" s="189"/>
      <c r="BH503" s="189"/>
      <c r="BI503" s="190"/>
      <c r="BJ503" s="190"/>
      <c r="BK503" s="190"/>
      <c r="BL503" s="190"/>
      <c r="BM503" s="190"/>
      <c r="BN503" s="190"/>
      <c r="BO503" s="190"/>
      <c r="BP503" s="190"/>
      <c r="BQ503" s="190"/>
      <c r="BR503" s="190"/>
      <c r="BS503" s="190"/>
      <c r="BT503" s="190"/>
      <c r="BU503" s="190"/>
      <c r="BV503" s="190"/>
      <c r="BW503" s="190"/>
      <c r="BX503" s="190"/>
      <c r="BY503" s="190"/>
      <c r="BZ503" s="190"/>
      <c r="CA503" s="189"/>
      <c r="CB503" s="15"/>
    </row>
    <row r="504" spans="1:80" ht="15" x14ac:dyDescent="0.25">
      <c r="A504" s="167"/>
      <c r="B504" s="642"/>
      <c r="C504" s="642"/>
      <c r="D504" s="179"/>
      <c r="E504" s="169"/>
      <c r="F504" s="169"/>
      <c r="G504" s="186"/>
      <c r="H504" s="187"/>
      <c r="I504" s="187"/>
      <c r="J504" s="187"/>
      <c r="K504" s="187"/>
      <c r="L504" s="647"/>
      <c r="M504" s="646">
        <v>33758</v>
      </c>
      <c r="N504" s="585">
        <v>0.86</v>
      </c>
      <c r="O504" s="585">
        <v>0</v>
      </c>
      <c r="P504" s="175">
        <v>0</v>
      </c>
      <c r="Q504" s="175">
        <v>0</v>
      </c>
      <c r="R504" s="175">
        <v>0</v>
      </c>
      <c r="S504" s="175">
        <v>0</v>
      </c>
      <c r="T504" s="175">
        <v>0</v>
      </c>
      <c r="U504" s="175">
        <v>0</v>
      </c>
      <c r="V504" s="706">
        <v>0</v>
      </c>
      <c r="W504" s="717"/>
      <c r="X504" s="713"/>
      <c r="Y504" s="718"/>
      <c r="Z504" s="709">
        <v>0</v>
      </c>
      <c r="AA504" s="175"/>
      <c r="AB504" s="200" t="s">
        <v>39</v>
      </c>
      <c r="AC504" s="205">
        <v>0</v>
      </c>
      <c r="AD504" s="175">
        <v>7.3</v>
      </c>
      <c r="AE504" s="175">
        <v>0.19</v>
      </c>
      <c r="AF504" s="186">
        <f t="shared" si="9"/>
        <v>1.387</v>
      </c>
      <c r="AG504" s="175">
        <v>0.55000000000000004</v>
      </c>
      <c r="AH504" s="334"/>
      <c r="AI504" s="188"/>
      <c r="AJ504" s="188"/>
      <c r="AK504" s="188"/>
      <c r="AL504" s="189"/>
      <c r="AM504" s="189"/>
      <c r="AN504" s="189"/>
      <c r="AO504" s="189"/>
      <c r="AP504" s="189"/>
      <c r="AQ504" s="189"/>
      <c r="AR504" s="189"/>
      <c r="AS504" s="189"/>
      <c r="AT504" s="189"/>
      <c r="AU504" s="190"/>
      <c r="AV504" s="190"/>
      <c r="AW504" s="190"/>
      <c r="AX504" s="190"/>
      <c r="AY504" s="190"/>
      <c r="AZ504" s="189"/>
      <c r="BA504" s="189"/>
      <c r="BB504" s="189"/>
      <c r="BC504" s="189"/>
      <c r="BD504" s="189"/>
      <c r="BE504" s="189"/>
      <c r="BF504" s="189"/>
      <c r="BG504" s="189"/>
      <c r="BH504" s="189"/>
      <c r="BI504" s="190"/>
      <c r="BJ504" s="190"/>
      <c r="BK504" s="190"/>
      <c r="BL504" s="190"/>
      <c r="BM504" s="190"/>
      <c r="BN504" s="190"/>
      <c r="BO504" s="190"/>
      <c r="BP504" s="190"/>
      <c r="BQ504" s="190"/>
      <c r="BR504" s="190"/>
      <c r="BS504" s="190"/>
      <c r="BT504" s="190"/>
      <c r="BU504" s="190"/>
      <c r="BV504" s="190"/>
      <c r="BW504" s="190"/>
      <c r="BX504" s="190"/>
      <c r="BY504" s="190"/>
      <c r="BZ504" s="190"/>
      <c r="CA504" s="189"/>
      <c r="CB504" s="15"/>
    </row>
    <row r="505" spans="1:80" ht="15" x14ac:dyDescent="0.25">
      <c r="A505" s="167"/>
      <c r="B505" s="642"/>
      <c r="C505" s="642"/>
      <c r="D505" s="179"/>
      <c r="E505" s="169"/>
      <c r="F505" s="169"/>
      <c r="G505" s="186"/>
      <c r="H505" s="187"/>
      <c r="I505" s="187"/>
      <c r="J505" s="187"/>
      <c r="K505" s="187"/>
      <c r="L505" s="647"/>
      <c r="M505" s="646">
        <v>33763</v>
      </c>
      <c r="N505" s="585">
        <v>1.49</v>
      </c>
      <c r="O505" s="585">
        <v>2.8700000000000002E-3</v>
      </c>
      <c r="P505" s="175">
        <v>0</v>
      </c>
      <c r="Q505" s="175">
        <v>0</v>
      </c>
      <c r="R505" s="175">
        <v>0</v>
      </c>
      <c r="S505" s="175">
        <v>6.0000000000000002E-5</v>
      </c>
      <c r="T505" s="175">
        <v>6.7000000000000002E-4</v>
      </c>
      <c r="U505" s="175">
        <v>1E-3</v>
      </c>
      <c r="V505" s="706">
        <v>1.14E-3</v>
      </c>
      <c r="W505" s="717"/>
      <c r="X505" s="713"/>
      <c r="Y505" s="718"/>
      <c r="Z505" s="709">
        <v>10</v>
      </c>
      <c r="AA505" s="175"/>
      <c r="AB505" s="200"/>
      <c r="AC505" s="205">
        <v>0</v>
      </c>
      <c r="AD505" s="175">
        <v>7.52</v>
      </c>
      <c r="AE505" s="175">
        <v>0.23</v>
      </c>
      <c r="AF505" s="186">
        <f t="shared" si="9"/>
        <v>1.7296</v>
      </c>
      <c r="AG505" s="175">
        <v>1.01</v>
      </c>
      <c r="AH505" s="334"/>
      <c r="AI505" s="188"/>
      <c r="AJ505" s="188"/>
      <c r="AK505" s="188"/>
      <c r="AL505" s="189"/>
      <c r="AM505" s="189"/>
      <c r="AN505" s="189"/>
      <c r="AO505" s="189"/>
      <c r="AP505" s="189"/>
      <c r="AQ505" s="189"/>
      <c r="AR505" s="189"/>
      <c r="AS505" s="189"/>
      <c r="AT505" s="189"/>
      <c r="AU505" s="190"/>
      <c r="AV505" s="190"/>
      <c r="AW505" s="190"/>
      <c r="AX505" s="190"/>
      <c r="AY505" s="190"/>
      <c r="AZ505" s="189"/>
      <c r="BA505" s="189"/>
      <c r="BB505" s="189"/>
      <c r="BC505" s="189"/>
      <c r="BD505" s="189"/>
      <c r="BE505" s="189"/>
      <c r="BF505" s="189"/>
      <c r="BG505" s="189"/>
      <c r="BH505" s="189"/>
      <c r="BI505" s="190"/>
      <c r="BJ505" s="190"/>
      <c r="BK505" s="190"/>
      <c r="BL505" s="190"/>
      <c r="BM505" s="190"/>
      <c r="BN505" s="190"/>
      <c r="BO505" s="190"/>
      <c r="BP505" s="190"/>
      <c r="BQ505" s="190"/>
      <c r="BR505" s="190"/>
      <c r="BS505" s="190"/>
      <c r="BT505" s="190"/>
      <c r="BU505" s="190"/>
      <c r="BV505" s="190"/>
      <c r="BW505" s="190"/>
      <c r="BX505" s="190"/>
      <c r="BY505" s="190"/>
      <c r="BZ505" s="190"/>
      <c r="CA505" s="189"/>
      <c r="CB505" s="15"/>
    </row>
    <row r="506" spans="1:80" ht="15" x14ac:dyDescent="0.25">
      <c r="A506" s="167"/>
      <c r="B506" s="642"/>
      <c r="C506" s="642"/>
      <c r="D506" s="179"/>
      <c r="E506" s="169"/>
      <c r="F506" s="169"/>
      <c r="G506" s="186"/>
      <c r="H506" s="187"/>
      <c r="I506" s="187"/>
      <c r="J506" s="187"/>
      <c r="K506" s="187"/>
      <c r="L506" s="647"/>
      <c r="M506" s="646">
        <v>33766</v>
      </c>
      <c r="N506" s="585">
        <v>4.54</v>
      </c>
      <c r="O506" s="585">
        <v>0.22911999999999999</v>
      </c>
      <c r="P506" s="175">
        <v>0</v>
      </c>
      <c r="Q506" s="175">
        <v>3.1620000000000002E-2</v>
      </c>
      <c r="R506" s="175">
        <v>3.9989999999999998E-2</v>
      </c>
      <c r="S506" s="175">
        <v>2.962E-2</v>
      </c>
      <c r="T506" s="175">
        <v>3.049E-2</v>
      </c>
      <c r="U506" s="175">
        <v>3.304E-2</v>
      </c>
      <c r="V506" s="706">
        <v>6.4360000000000001E-2</v>
      </c>
      <c r="W506" s="717"/>
      <c r="X506" s="713"/>
      <c r="Y506" s="718"/>
      <c r="Z506" s="709">
        <v>54</v>
      </c>
      <c r="AA506" s="175"/>
      <c r="AB506" s="200"/>
      <c r="AC506" s="205">
        <v>0</v>
      </c>
      <c r="AD506" s="175">
        <v>9.52</v>
      </c>
      <c r="AE506" s="175">
        <v>0.32</v>
      </c>
      <c r="AF506" s="186">
        <f t="shared" si="9"/>
        <v>3.0463999999999998</v>
      </c>
      <c r="AG506" s="175">
        <v>1.48</v>
      </c>
      <c r="AH506" s="334"/>
      <c r="AI506" s="188"/>
      <c r="AJ506" s="188"/>
      <c r="AK506" s="188"/>
      <c r="AL506" s="189"/>
      <c r="AM506" s="189"/>
      <c r="AN506" s="189"/>
      <c r="AO506" s="189"/>
      <c r="AP506" s="189"/>
      <c r="AQ506" s="189"/>
      <c r="AR506" s="189"/>
      <c r="AS506" s="189"/>
      <c r="AT506" s="189"/>
      <c r="AU506" s="190"/>
      <c r="AV506" s="190"/>
      <c r="AW506" s="190"/>
      <c r="AX506" s="190"/>
      <c r="AY506" s="190"/>
      <c r="AZ506" s="189"/>
      <c r="BA506" s="189"/>
      <c r="BB506" s="189"/>
      <c r="BC506" s="189"/>
      <c r="BD506" s="189"/>
      <c r="BE506" s="189"/>
      <c r="BF506" s="189"/>
      <c r="BG506" s="189"/>
      <c r="BH506" s="189"/>
      <c r="BI506" s="190"/>
      <c r="BJ506" s="190"/>
      <c r="BK506" s="190"/>
      <c r="BL506" s="190"/>
      <c r="BM506" s="190"/>
      <c r="BN506" s="190"/>
      <c r="BO506" s="190"/>
      <c r="BP506" s="190"/>
      <c r="BQ506" s="190"/>
      <c r="BR506" s="190"/>
      <c r="BS506" s="190"/>
      <c r="BT506" s="190"/>
      <c r="BU506" s="190"/>
      <c r="BV506" s="190"/>
      <c r="BW506" s="190"/>
      <c r="BX506" s="190"/>
      <c r="BY506" s="190"/>
      <c r="BZ506" s="190"/>
      <c r="CA506" s="189"/>
      <c r="CB506" s="15"/>
    </row>
    <row r="507" spans="1:80" ht="15" x14ac:dyDescent="0.25">
      <c r="A507" s="167"/>
      <c r="B507" s="642"/>
      <c r="C507" s="642"/>
      <c r="D507" s="179"/>
      <c r="E507" s="169"/>
      <c r="F507" s="169"/>
      <c r="G507" s="186"/>
      <c r="H507" s="187"/>
      <c r="I507" s="187"/>
      <c r="J507" s="187"/>
      <c r="K507" s="187"/>
      <c r="L507" s="647"/>
      <c r="M507" s="646">
        <v>33774</v>
      </c>
      <c r="N507" s="585">
        <v>4.99</v>
      </c>
      <c r="O507" s="585">
        <v>5.9450000000000003E-2</v>
      </c>
      <c r="P507" s="175">
        <v>0</v>
      </c>
      <c r="Q507" s="175">
        <v>0</v>
      </c>
      <c r="R507" s="175">
        <v>5.2100000000000002E-3</v>
      </c>
      <c r="S507" s="175">
        <v>4.7200000000000002E-3</v>
      </c>
      <c r="T507" s="175">
        <v>7.9900000000000006E-3</v>
      </c>
      <c r="U507" s="175">
        <v>1.0670000000000001E-2</v>
      </c>
      <c r="V507" s="706">
        <v>3.0859999999999999E-2</v>
      </c>
      <c r="W507" s="717"/>
      <c r="X507" s="713"/>
      <c r="Y507" s="718"/>
      <c r="Z507" s="709">
        <v>24</v>
      </c>
      <c r="AA507" s="175"/>
      <c r="AB507" s="200"/>
      <c r="AC507" s="205">
        <v>0</v>
      </c>
      <c r="AD507" s="175">
        <v>10.199999999999999</v>
      </c>
      <c r="AE507" s="175">
        <v>0.38</v>
      </c>
      <c r="AF507" s="186">
        <f t="shared" si="9"/>
        <v>3.8759999999999999</v>
      </c>
      <c r="AG507" s="175">
        <v>1.5</v>
      </c>
      <c r="AH507" s="334"/>
      <c r="AI507" s="188"/>
      <c r="AJ507" s="188"/>
      <c r="AK507" s="188"/>
      <c r="AL507" s="189"/>
      <c r="AM507" s="189"/>
      <c r="AN507" s="189"/>
      <c r="AO507" s="189"/>
      <c r="AP507" s="189"/>
      <c r="AQ507" s="189"/>
      <c r="AR507" s="189"/>
      <c r="AS507" s="189"/>
      <c r="AT507" s="189"/>
      <c r="AU507" s="190"/>
      <c r="AV507" s="190"/>
      <c r="AW507" s="190"/>
      <c r="AX507" s="190"/>
      <c r="AY507" s="190"/>
      <c r="AZ507" s="189"/>
      <c r="BA507" s="189"/>
      <c r="BB507" s="189"/>
      <c r="BC507" s="189"/>
      <c r="BD507" s="189"/>
      <c r="BE507" s="189"/>
      <c r="BF507" s="189"/>
      <c r="BG507" s="189"/>
      <c r="BH507" s="189"/>
      <c r="BI507" s="190"/>
      <c r="BJ507" s="190"/>
      <c r="BK507" s="190"/>
      <c r="BL507" s="190"/>
      <c r="BM507" s="190"/>
      <c r="BN507" s="190"/>
      <c r="BO507" s="190"/>
      <c r="BP507" s="190"/>
      <c r="BQ507" s="190"/>
      <c r="BR507" s="190"/>
      <c r="BS507" s="190"/>
      <c r="BT507" s="190"/>
      <c r="BU507" s="190"/>
      <c r="BV507" s="190"/>
      <c r="BW507" s="190"/>
      <c r="BX507" s="190"/>
      <c r="BY507" s="190"/>
      <c r="BZ507" s="190"/>
      <c r="CA507" s="189"/>
      <c r="CB507" s="15"/>
    </row>
    <row r="508" spans="1:80" ht="15" x14ac:dyDescent="0.25">
      <c r="A508" s="167"/>
      <c r="B508" s="642"/>
      <c r="C508" s="642"/>
      <c r="D508" s="179"/>
      <c r="E508" s="169"/>
      <c r="F508" s="169"/>
      <c r="G508" s="186"/>
      <c r="H508" s="187"/>
      <c r="I508" s="187"/>
      <c r="J508" s="187"/>
      <c r="K508" s="187"/>
      <c r="L508" s="647"/>
      <c r="M508" s="646">
        <v>33775</v>
      </c>
      <c r="N508" s="585">
        <v>6.03</v>
      </c>
      <c r="O508" s="585">
        <v>0.17385999999999999</v>
      </c>
      <c r="P508" s="175">
        <v>0</v>
      </c>
      <c r="Q508" s="175">
        <v>2.4740000000000002E-2</v>
      </c>
      <c r="R508" s="175">
        <v>2.273E-2</v>
      </c>
      <c r="S508" s="175">
        <v>2.6950000000000002E-2</v>
      </c>
      <c r="T508" s="175">
        <v>2.453E-2</v>
      </c>
      <c r="U508" s="175">
        <v>2.1090000000000001E-2</v>
      </c>
      <c r="V508" s="706">
        <v>5.382E-2</v>
      </c>
      <c r="W508" s="717"/>
      <c r="X508" s="713"/>
      <c r="Y508" s="718"/>
      <c r="Z508" s="709">
        <v>45</v>
      </c>
      <c r="AA508" s="175"/>
      <c r="AB508" s="200"/>
      <c r="AC508" s="205">
        <v>0</v>
      </c>
      <c r="AD508" s="175">
        <v>10.25</v>
      </c>
      <c r="AE508" s="175">
        <v>0.4</v>
      </c>
      <c r="AF508" s="186">
        <f t="shared" si="9"/>
        <v>4.1000000000000005</v>
      </c>
      <c r="AG508" s="175">
        <v>1.54</v>
      </c>
      <c r="AH508" s="334"/>
      <c r="AI508" s="188"/>
      <c r="AJ508" s="188"/>
      <c r="AK508" s="188"/>
      <c r="AL508" s="189"/>
      <c r="AM508" s="189"/>
      <c r="AN508" s="189"/>
      <c r="AO508" s="189"/>
      <c r="AP508" s="189"/>
      <c r="AQ508" s="189"/>
      <c r="AR508" s="189"/>
      <c r="AS508" s="189"/>
      <c r="AT508" s="189"/>
      <c r="AU508" s="190"/>
      <c r="AV508" s="190"/>
      <c r="AW508" s="190"/>
      <c r="AX508" s="190"/>
      <c r="AY508" s="190"/>
      <c r="AZ508" s="189"/>
      <c r="BA508" s="189"/>
      <c r="BB508" s="189"/>
      <c r="BC508" s="189"/>
      <c r="BD508" s="189"/>
      <c r="BE508" s="189"/>
      <c r="BF508" s="189"/>
      <c r="BG508" s="189"/>
      <c r="BH508" s="189"/>
      <c r="BI508" s="190"/>
      <c r="BJ508" s="190"/>
      <c r="BK508" s="190"/>
      <c r="BL508" s="190"/>
      <c r="BM508" s="190"/>
      <c r="BN508" s="190"/>
      <c r="BO508" s="190"/>
      <c r="BP508" s="190"/>
      <c r="BQ508" s="190"/>
      <c r="BR508" s="190"/>
      <c r="BS508" s="190"/>
      <c r="BT508" s="190"/>
      <c r="BU508" s="190"/>
      <c r="BV508" s="190"/>
      <c r="BW508" s="190"/>
      <c r="BX508" s="190"/>
      <c r="BY508" s="190"/>
      <c r="BZ508" s="190"/>
      <c r="CA508" s="189"/>
      <c r="CB508" s="15"/>
    </row>
    <row r="509" spans="1:80" ht="15" x14ac:dyDescent="0.25">
      <c r="A509" s="167"/>
      <c r="B509" s="642"/>
      <c r="C509" s="642"/>
      <c r="D509" s="179"/>
      <c r="E509" s="169"/>
      <c r="F509" s="169"/>
      <c r="G509" s="186"/>
      <c r="H509" s="187"/>
      <c r="I509" s="187"/>
      <c r="J509" s="187"/>
      <c r="K509" s="187"/>
      <c r="L509" s="647"/>
      <c r="M509" s="646">
        <v>33779</v>
      </c>
      <c r="N509" s="585">
        <v>5.48</v>
      </c>
      <c r="O509" s="585">
        <v>6.8680000000000005E-2</v>
      </c>
      <c r="P509" s="175">
        <v>0</v>
      </c>
      <c r="Q509" s="175">
        <v>3.1199999999999999E-3</v>
      </c>
      <c r="R509" s="175">
        <v>8.1300000000000001E-3</v>
      </c>
      <c r="S509" s="175">
        <v>8.7500000000000008E-3</v>
      </c>
      <c r="T509" s="175">
        <v>1.055E-2</v>
      </c>
      <c r="U509" s="175">
        <v>1.357E-2</v>
      </c>
      <c r="V509" s="706">
        <v>2.4559999999999998E-2</v>
      </c>
      <c r="W509" s="717"/>
      <c r="X509" s="713"/>
      <c r="Y509" s="718"/>
      <c r="Z509" s="709">
        <v>33</v>
      </c>
      <c r="AA509" s="175"/>
      <c r="AB509" s="200"/>
      <c r="AC509" s="205">
        <v>0</v>
      </c>
      <c r="AD509" s="175">
        <v>10.119999999999999</v>
      </c>
      <c r="AE509" s="175">
        <v>0.4</v>
      </c>
      <c r="AF509" s="186">
        <f t="shared" si="9"/>
        <v>4.048</v>
      </c>
      <c r="AG509" s="175">
        <v>1.31</v>
      </c>
      <c r="AH509" s="334"/>
      <c r="AI509" s="188"/>
      <c r="AJ509" s="188"/>
      <c r="AK509" s="188"/>
      <c r="AL509" s="189"/>
      <c r="AM509" s="189"/>
      <c r="AN509" s="189"/>
      <c r="AO509" s="189"/>
      <c r="AP509" s="189"/>
      <c r="AQ509" s="189"/>
      <c r="AR509" s="189"/>
      <c r="AS509" s="189"/>
      <c r="AT509" s="189"/>
      <c r="AU509" s="190"/>
      <c r="AV509" s="190"/>
      <c r="AW509" s="190"/>
      <c r="AX509" s="190"/>
      <c r="AY509" s="190"/>
      <c r="AZ509" s="189"/>
      <c r="BA509" s="189"/>
      <c r="BB509" s="189"/>
      <c r="BC509" s="189"/>
      <c r="BD509" s="189"/>
      <c r="BE509" s="189"/>
      <c r="BF509" s="189"/>
      <c r="BG509" s="189"/>
      <c r="BH509" s="189"/>
      <c r="BI509" s="190"/>
      <c r="BJ509" s="190"/>
      <c r="BK509" s="190"/>
      <c r="BL509" s="190"/>
      <c r="BM509" s="190"/>
      <c r="BN509" s="190"/>
      <c r="BO509" s="190"/>
      <c r="BP509" s="190"/>
      <c r="BQ509" s="190"/>
      <c r="BR509" s="190"/>
      <c r="BS509" s="190"/>
      <c r="BT509" s="190"/>
      <c r="BU509" s="190"/>
      <c r="BV509" s="190"/>
      <c r="BW509" s="190"/>
      <c r="BX509" s="190"/>
      <c r="BY509" s="190"/>
      <c r="BZ509" s="190"/>
      <c r="CA509" s="189"/>
      <c r="CB509" s="15"/>
    </row>
    <row r="510" spans="1:80" ht="15" x14ac:dyDescent="0.25">
      <c r="A510" s="167"/>
      <c r="B510" s="642"/>
      <c r="C510" s="642"/>
      <c r="D510" s="179"/>
      <c r="E510" s="169"/>
      <c r="F510" s="169"/>
      <c r="G510" s="186"/>
      <c r="H510" s="187"/>
      <c r="I510" s="187"/>
      <c r="J510" s="187"/>
      <c r="K510" s="187"/>
      <c r="L510" s="647"/>
      <c r="M510" s="646">
        <v>33780</v>
      </c>
      <c r="N510" s="585">
        <v>5.26</v>
      </c>
      <c r="O510" s="585">
        <v>6.0810000000000003E-2</v>
      </c>
      <c r="P510" s="175">
        <v>0</v>
      </c>
      <c r="Q510" s="175">
        <v>0</v>
      </c>
      <c r="R510" s="175">
        <v>7.3099999999999997E-3</v>
      </c>
      <c r="S510" s="175">
        <v>8.0000000000000002E-3</v>
      </c>
      <c r="T510" s="175">
        <v>9.4199999999999996E-3</v>
      </c>
      <c r="U510" s="175">
        <v>1.204E-2</v>
      </c>
      <c r="V510" s="706">
        <v>2.4039999999999999E-2</v>
      </c>
      <c r="W510" s="717"/>
      <c r="X510" s="713"/>
      <c r="Y510" s="718"/>
      <c r="Z510" s="709">
        <v>30</v>
      </c>
      <c r="AA510" s="175"/>
      <c r="AB510" s="200"/>
      <c r="AC510" s="205">
        <v>0</v>
      </c>
      <c r="AD510" s="175">
        <v>9.9700000000000006</v>
      </c>
      <c r="AE510" s="175">
        <v>0.4</v>
      </c>
      <c r="AF510" s="186">
        <f t="shared" si="9"/>
        <v>3.9880000000000004</v>
      </c>
      <c r="AG510" s="175">
        <v>1.28</v>
      </c>
      <c r="AH510" s="334"/>
      <c r="AI510" s="188"/>
      <c r="AJ510" s="188"/>
      <c r="AK510" s="188"/>
      <c r="AL510" s="189"/>
      <c r="AM510" s="189"/>
      <c r="AN510" s="189"/>
      <c r="AO510" s="189"/>
      <c r="AP510" s="189"/>
      <c r="AQ510" s="189"/>
      <c r="AR510" s="189"/>
      <c r="AS510" s="189"/>
      <c r="AT510" s="189"/>
      <c r="AU510" s="190"/>
      <c r="AV510" s="190"/>
      <c r="AW510" s="190"/>
      <c r="AX510" s="190"/>
      <c r="AY510" s="190"/>
      <c r="AZ510" s="189"/>
      <c r="BA510" s="189"/>
      <c r="BB510" s="189"/>
      <c r="BC510" s="189"/>
      <c r="BD510" s="189"/>
      <c r="BE510" s="189"/>
      <c r="BF510" s="189"/>
      <c r="BG510" s="189"/>
      <c r="BH510" s="189"/>
      <c r="BI510" s="190"/>
      <c r="BJ510" s="190"/>
      <c r="BK510" s="190"/>
      <c r="BL510" s="190"/>
      <c r="BM510" s="190"/>
      <c r="BN510" s="190"/>
      <c r="BO510" s="190"/>
      <c r="BP510" s="190"/>
      <c r="BQ510" s="190"/>
      <c r="BR510" s="190"/>
      <c r="BS510" s="190"/>
      <c r="BT510" s="190"/>
      <c r="BU510" s="190"/>
      <c r="BV510" s="190"/>
      <c r="BW510" s="190"/>
      <c r="BX510" s="190"/>
      <c r="BY510" s="190"/>
      <c r="BZ510" s="190"/>
      <c r="CA510" s="189"/>
      <c r="CB510" s="15"/>
    </row>
    <row r="511" spans="1:80" ht="15" x14ac:dyDescent="0.25">
      <c r="A511" s="167"/>
      <c r="B511" s="642"/>
      <c r="C511" s="642"/>
      <c r="D511" s="179"/>
      <c r="E511" s="169"/>
      <c r="F511" s="169"/>
      <c r="G511" s="186"/>
      <c r="H511" s="187"/>
      <c r="I511" s="187"/>
      <c r="J511" s="187"/>
      <c r="K511" s="187"/>
      <c r="L511" s="647"/>
      <c r="M511" s="646">
        <v>33784</v>
      </c>
      <c r="N511" s="585">
        <v>3.91</v>
      </c>
      <c r="O511" s="585">
        <v>4.836E-2</v>
      </c>
      <c r="P511" s="175">
        <v>0</v>
      </c>
      <c r="Q511" s="175">
        <v>0</v>
      </c>
      <c r="R511" s="175">
        <v>3.4499999999999999E-3</v>
      </c>
      <c r="S511" s="175">
        <v>9.3799999999999994E-3</v>
      </c>
      <c r="T511" s="175">
        <v>9.3200000000000002E-3</v>
      </c>
      <c r="U511" s="175">
        <v>1.073E-2</v>
      </c>
      <c r="V511" s="706">
        <v>1.549E-2</v>
      </c>
      <c r="W511" s="717"/>
      <c r="X511" s="713"/>
      <c r="Y511" s="718"/>
      <c r="Z511" s="709">
        <v>23</v>
      </c>
      <c r="AA511" s="175"/>
      <c r="AB511" s="200"/>
      <c r="AC511" s="205">
        <v>0</v>
      </c>
      <c r="AD511" s="175">
        <v>9.1300000000000008</v>
      </c>
      <c r="AE511" s="175">
        <v>0.37</v>
      </c>
      <c r="AF511" s="186">
        <f t="shared" si="9"/>
        <v>3.3781000000000003</v>
      </c>
      <c r="AG511" s="175">
        <v>1.18</v>
      </c>
      <c r="AH511" s="334"/>
      <c r="AI511" s="188"/>
      <c r="AJ511" s="188"/>
      <c r="AK511" s="188"/>
      <c r="AL511" s="189"/>
      <c r="AM511" s="189"/>
      <c r="AN511" s="189"/>
      <c r="AO511" s="189"/>
      <c r="AP511" s="189"/>
      <c r="AQ511" s="189"/>
      <c r="AR511" s="189"/>
      <c r="AS511" s="189"/>
      <c r="AT511" s="189"/>
      <c r="AU511" s="190"/>
      <c r="AV511" s="190"/>
      <c r="AW511" s="190"/>
      <c r="AX511" s="190"/>
      <c r="AY511" s="190"/>
      <c r="AZ511" s="189"/>
      <c r="BA511" s="189"/>
      <c r="BB511" s="189"/>
      <c r="BC511" s="189"/>
      <c r="BD511" s="189"/>
      <c r="BE511" s="189"/>
      <c r="BF511" s="189"/>
      <c r="BG511" s="189"/>
      <c r="BH511" s="189"/>
      <c r="BI511" s="190"/>
      <c r="BJ511" s="190"/>
      <c r="BK511" s="190"/>
      <c r="BL511" s="190"/>
      <c r="BM511" s="190"/>
      <c r="BN511" s="190"/>
      <c r="BO511" s="190"/>
      <c r="BP511" s="190"/>
      <c r="BQ511" s="190"/>
      <c r="BR511" s="190"/>
      <c r="BS511" s="190"/>
      <c r="BT511" s="190"/>
      <c r="BU511" s="190"/>
      <c r="BV511" s="190"/>
      <c r="BW511" s="190"/>
      <c r="BX511" s="190"/>
      <c r="BY511" s="190"/>
      <c r="BZ511" s="190"/>
      <c r="CA511" s="189"/>
      <c r="CB511" s="15"/>
    </row>
    <row r="512" spans="1:80" ht="15" x14ac:dyDescent="0.25">
      <c r="A512" s="167"/>
      <c r="B512" s="642"/>
      <c r="C512" s="642"/>
      <c r="D512" s="179"/>
      <c r="E512" s="169"/>
      <c r="F512" s="169"/>
      <c r="G512" s="186"/>
      <c r="H512" s="187"/>
      <c r="I512" s="187"/>
      <c r="J512" s="187"/>
      <c r="K512" s="187"/>
      <c r="L512" s="647"/>
      <c r="M512" s="646">
        <v>33786</v>
      </c>
      <c r="N512" s="585">
        <v>2.5099999999999998</v>
      </c>
      <c r="O512" s="585">
        <v>1.8100000000000002E-2</v>
      </c>
      <c r="P512" s="175">
        <v>0</v>
      </c>
      <c r="Q512" s="175">
        <v>0</v>
      </c>
      <c r="R512" s="175">
        <v>2.3999999999999998E-3</v>
      </c>
      <c r="S512" s="175">
        <v>2.7499999999999998E-3</v>
      </c>
      <c r="T512" s="175">
        <v>3.13E-3</v>
      </c>
      <c r="U512" s="175">
        <v>3.7200000000000002E-3</v>
      </c>
      <c r="V512" s="706">
        <v>6.11E-3</v>
      </c>
      <c r="W512" s="717"/>
      <c r="X512" s="713"/>
      <c r="Y512" s="718"/>
      <c r="Z512" s="709">
        <v>25</v>
      </c>
      <c r="AA512" s="175"/>
      <c r="AB512" s="200"/>
      <c r="AC512" s="205">
        <v>0</v>
      </c>
      <c r="AD512" s="175">
        <v>7.7</v>
      </c>
      <c r="AE512" s="175">
        <v>0.32</v>
      </c>
      <c r="AF512" s="186">
        <f t="shared" si="9"/>
        <v>2.464</v>
      </c>
      <c r="AG512" s="175">
        <v>0.98</v>
      </c>
      <c r="AH512" s="334"/>
      <c r="AI512" s="188"/>
      <c r="AJ512" s="188"/>
      <c r="AK512" s="188"/>
      <c r="AL512" s="189"/>
      <c r="AM512" s="189"/>
      <c r="AN512" s="189"/>
      <c r="AO512" s="189"/>
      <c r="AP512" s="189"/>
      <c r="AQ512" s="189"/>
      <c r="AR512" s="189"/>
      <c r="AS512" s="189"/>
      <c r="AT512" s="189"/>
      <c r="AU512" s="190"/>
      <c r="AV512" s="190"/>
      <c r="AW512" s="190"/>
      <c r="AX512" s="190"/>
      <c r="AY512" s="190"/>
      <c r="AZ512" s="189"/>
      <c r="BA512" s="189"/>
      <c r="BB512" s="189"/>
      <c r="BC512" s="189"/>
      <c r="BD512" s="189"/>
      <c r="BE512" s="189"/>
      <c r="BF512" s="189"/>
      <c r="BG512" s="189"/>
      <c r="BH512" s="189"/>
      <c r="BI512" s="190"/>
      <c r="BJ512" s="190"/>
      <c r="BK512" s="190"/>
      <c r="BL512" s="190"/>
      <c r="BM512" s="190"/>
      <c r="BN512" s="190"/>
      <c r="BO512" s="190"/>
      <c r="BP512" s="190"/>
      <c r="BQ512" s="190"/>
      <c r="BR512" s="190"/>
      <c r="BS512" s="190"/>
      <c r="BT512" s="190"/>
      <c r="BU512" s="190"/>
      <c r="BV512" s="190"/>
      <c r="BW512" s="190"/>
      <c r="BX512" s="190"/>
      <c r="BY512" s="190"/>
      <c r="BZ512" s="190"/>
      <c r="CA512" s="189"/>
      <c r="CB512" s="15"/>
    </row>
    <row r="513" spans="1:80" ht="15" x14ac:dyDescent="0.25">
      <c r="A513" s="167"/>
      <c r="B513" s="642"/>
      <c r="C513" s="642"/>
      <c r="D513" s="179"/>
      <c r="E513" s="169"/>
      <c r="F513" s="169"/>
      <c r="G513" s="186"/>
      <c r="H513" s="187"/>
      <c r="I513" s="187"/>
      <c r="J513" s="187"/>
      <c r="K513" s="187"/>
      <c r="L513" s="647"/>
      <c r="M513" s="646">
        <v>34117</v>
      </c>
      <c r="N513" s="585">
        <v>0.88</v>
      </c>
      <c r="O513" s="585">
        <v>2.1700000000000001E-3</v>
      </c>
      <c r="P513" s="175">
        <v>0</v>
      </c>
      <c r="Q513" s="175">
        <v>0</v>
      </c>
      <c r="R513" s="175">
        <v>0</v>
      </c>
      <c r="S513" s="175">
        <v>0</v>
      </c>
      <c r="T513" s="175">
        <v>5.0000000000000002E-5</v>
      </c>
      <c r="U513" s="175">
        <v>5.0000000000000001E-4</v>
      </c>
      <c r="V513" s="706">
        <v>1.6100000000000001E-3</v>
      </c>
      <c r="W513" s="717"/>
      <c r="X513" s="713"/>
      <c r="Y513" s="718"/>
      <c r="Z513" s="709">
        <v>5</v>
      </c>
      <c r="AA513" s="175"/>
      <c r="AB513" s="200"/>
      <c r="AC513" s="205">
        <v>1.4E-2</v>
      </c>
      <c r="AD513" s="175">
        <v>7.43</v>
      </c>
      <c r="AE513" s="175">
        <v>0.19</v>
      </c>
      <c r="AF513" s="186">
        <f t="shared" si="9"/>
        <v>1.4117</v>
      </c>
      <c r="AG513" s="175">
        <v>0.69</v>
      </c>
      <c r="AH513" s="334"/>
      <c r="AI513" s="188"/>
      <c r="AJ513" s="188"/>
      <c r="AK513" s="188"/>
      <c r="AL513" s="189"/>
      <c r="AM513" s="189"/>
      <c r="AN513" s="189"/>
      <c r="AO513" s="189"/>
      <c r="AP513" s="189"/>
      <c r="AQ513" s="189"/>
      <c r="AR513" s="189"/>
      <c r="AS513" s="189"/>
      <c r="AT513" s="189"/>
      <c r="AU513" s="190"/>
      <c r="AV513" s="190"/>
      <c r="AW513" s="190"/>
      <c r="AX513" s="190"/>
      <c r="AY513" s="190"/>
      <c r="AZ513" s="189"/>
      <c r="BA513" s="189"/>
      <c r="BB513" s="189"/>
      <c r="BC513" s="189"/>
      <c r="BD513" s="189"/>
      <c r="BE513" s="189"/>
      <c r="BF513" s="189"/>
      <c r="BG513" s="189"/>
      <c r="BH513" s="189"/>
      <c r="BI513" s="190"/>
      <c r="BJ513" s="190"/>
      <c r="BK513" s="190"/>
      <c r="BL513" s="190"/>
      <c r="BM513" s="190"/>
      <c r="BN513" s="190"/>
      <c r="BO513" s="190"/>
      <c r="BP513" s="190"/>
      <c r="BQ513" s="190"/>
      <c r="BR513" s="190"/>
      <c r="BS513" s="190"/>
      <c r="BT513" s="190"/>
      <c r="BU513" s="190"/>
      <c r="BV513" s="190"/>
      <c r="BW513" s="190"/>
      <c r="BX513" s="190"/>
      <c r="BY513" s="190"/>
      <c r="BZ513" s="190"/>
      <c r="CA513" s="189"/>
      <c r="CB513" s="15"/>
    </row>
    <row r="514" spans="1:80" ht="15" x14ac:dyDescent="0.25">
      <c r="A514" s="167"/>
      <c r="B514" s="642"/>
      <c r="C514" s="642"/>
      <c r="D514" s="179"/>
      <c r="E514" s="169"/>
      <c r="F514" s="169"/>
      <c r="G514" s="186"/>
      <c r="H514" s="187"/>
      <c r="I514" s="187"/>
      <c r="J514" s="187"/>
      <c r="K514" s="187"/>
      <c r="L514" s="647"/>
      <c r="M514" s="646">
        <v>34121</v>
      </c>
      <c r="N514" s="585">
        <v>1.93</v>
      </c>
      <c r="O514" s="585">
        <v>1.0630000000000001E-2</v>
      </c>
      <c r="P514" s="175">
        <v>0</v>
      </c>
      <c r="Q514" s="175">
        <v>0</v>
      </c>
      <c r="R514" s="175">
        <v>0</v>
      </c>
      <c r="S514" s="175">
        <v>1.8000000000000001E-4</v>
      </c>
      <c r="T514" s="175">
        <v>1.07E-3</v>
      </c>
      <c r="U514" s="175">
        <v>2.8800000000000002E-3</v>
      </c>
      <c r="V514" s="706">
        <v>6.4999999999999997E-3</v>
      </c>
      <c r="W514" s="717"/>
      <c r="X514" s="713"/>
      <c r="Y514" s="718"/>
      <c r="Z514" s="709">
        <v>10</v>
      </c>
      <c r="AA514" s="175"/>
      <c r="AB514" s="200"/>
      <c r="AC514" s="205">
        <v>1.9E-2</v>
      </c>
      <c r="AD514" s="175">
        <v>7.75</v>
      </c>
      <c r="AE514" s="175">
        <v>0.25</v>
      </c>
      <c r="AF514" s="186">
        <f t="shared" si="9"/>
        <v>1.9375</v>
      </c>
      <c r="AG514" s="175">
        <v>0.95</v>
      </c>
      <c r="AH514" s="334"/>
      <c r="AI514" s="188"/>
      <c r="AJ514" s="188"/>
      <c r="AK514" s="188"/>
      <c r="AL514" s="189"/>
      <c r="AM514" s="189"/>
      <c r="AN514" s="189"/>
      <c r="AO514" s="189"/>
      <c r="AP514" s="189"/>
      <c r="AQ514" s="189"/>
      <c r="AR514" s="189"/>
      <c r="AS514" s="189"/>
      <c r="AT514" s="189"/>
      <c r="AU514" s="190"/>
      <c r="AV514" s="190"/>
      <c r="AW514" s="190"/>
      <c r="AX514" s="190"/>
      <c r="AY514" s="190"/>
      <c r="AZ514" s="189"/>
      <c r="BA514" s="189"/>
      <c r="BB514" s="189"/>
      <c r="BC514" s="189"/>
      <c r="BD514" s="189"/>
      <c r="BE514" s="189"/>
      <c r="BF514" s="189"/>
      <c r="BG514" s="189"/>
      <c r="BH514" s="189"/>
      <c r="BI514" s="190"/>
      <c r="BJ514" s="190"/>
      <c r="BK514" s="190"/>
      <c r="BL514" s="190"/>
      <c r="BM514" s="190"/>
      <c r="BN514" s="190"/>
      <c r="BO514" s="190"/>
      <c r="BP514" s="190"/>
      <c r="BQ514" s="190"/>
      <c r="BR514" s="190"/>
      <c r="BS514" s="190"/>
      <c r="BT514" s="190"/>
      <c r="BU514" s="190"/>
      <c r="BV514" s="190"/>
      <c r="BW514" s="190"/>
      <c r="BX514" s="190"/>
      <c r="BY514" s="190"/>
      <c r="BZ514" s="190"/>
      <c r="CA514" s="189"/>
      <c r="CB514" s="15"/>
    </row>
    <row r="515" spans="1:80" ht="15" x14ac:dyDescent="0.25">
      <c r="A515" s="167"/>
      <c r="B515" s="642"/>
      <c r="C515" s="642"/>
      <c r="D515" s="179"/>
      <c r="E515" s="169"/>
      <c r="F515" s="169"/>
      <c r="G515" s="186"/>
      <c r="H515" s="187"/>
      <c r="I515" s="187"/>
      <c r="J515" s="187"/>
      <c r="K515" s="187"/>
      <c r="L515" s="647"/>
      <c r="M515" s="646">
        <v>34124</v>
      </c>
      <c r="N515" s="585">
        <v>4.3499999999999996</v>
      </c>
      <c r="O515" s="585">
        <v>0.11309</v>
      </c>
      <c r="P515" s="175">
        <v>0</v>
      </c>
      <c r="Q515" s="175">
        <v>5.6499999999999996E-3</v>
      </c>
      <c r="R515" s="175">
        <v>4.13E-3</v>
      </c>
      <c r="S515" s="175">
        <v>1.336E-2</v>
      </c>
      <c r="T515" s="175">
        <v>1.7469999999999999E-2</v>
      </c>
      <c r="U515" s="175">
        <v>2.1770000000000001E-2</v>
      </c>
      <c r="V515" s="706">
        <v>5.0700000000000002E-2</v>
      </c>
      <c r="W515" s="717"/>
      <c r="X515" s="713"/>
      <c r="Y515" s="718"/>
      <c r="Z515" s="709">
        <v>45</v>
      </c>
      <c r="AA515" s="175"/>
      <c r="AB515" s="200"/>
      <c r="AC515" s="205">
        <v>1.7999999999999999E-2</v>
      </c>
      <c r="AD515" s="175">
        <v>9.6</v>
      </c>
      <c r="AE515" s="175">
        <v>0.36</v>
      </c>
      <c r="AF515" s="186">
        <f t="shared" si="9"/>
        <v>3.456</v>
      </c>
      <c r="AG515" s="175">
        <v>1.41</v>
      </c>
      <c r="AH515" s="334"/>
      <c r="AI515" s="188"/>
      <c r="AJ515" s="188"/>
      <c r="AK515" s="188"/>
      <c r="AL515" s="189"/>
      <c r="AM515" s="189"/>
      <c r="AN515" s="189"/>
      <c r="AO515" s="189"/>
      <c r="AP515" s="189"/>
      <c r="AQ515" s="189"/>
      <c r="AR515" s="189"/>
      <c r="AS515" s="189"/>
      <c r="AT515" s="189"/>
      <c r="AU515" s="190"/>
      <c r="AV515" s="190"/>
      <c r="AW515" s="190"/>
      <c r="AX515" s="190"/>
      <c r="AY515" s="190"/>
      <c r="AZ515" s="189"/>
      <c r="BA515" s="189"/>
      <c r="BB515" s="189"/>
      <c r="BC515" s="189"/>
      <c r="BD515" s="189"/>
      <c r="BE515" s="189"/>
      <c r="BF515" s="189"/>
      <c r="BG515" s="189"/>
      <c r="BH515" s="189"/>
      <c r="BI515" s="190"/>
      <c r="BJ515" s="190"/>
      <c r="BK515" s="190"/>
      <c r="BL515" s="190"/>
      <c r="BM515" s="190"/>
      <c r="BN515" s="190"/>
      <c r="BO515" s="190"/>
      <c r="BP515" s="190"/>
      <c r="BQ515" s="190"/>
      <c r="BR515" s="190"/>
      <c r="BS515" s="190"/>
      <c r="BT515" s="190"/>
      <c r="BU515" s="190"/>
      <c r="BV515" s="190"/>
      <c r="BW515" s="190"/>
      <c r="BX515" s="190"/>
      <c r="BY515" s="190"/>
      <c r="BZ515" s="190"/>
      <c r="CA515" s="189"/>
      <c r="CB515" s="15"/>
    </row>
    <row r="516" spans="1:80" ht="15" x14ac:dyDescent="0.25">
      <c r="A516" s="167"/>
      <c r="B516" s="642"/>
      <c r="C516" s="642"/>
      <c r="D516" s="179"/>
      <c r="E516" s="169"/>
      <c r="F516" s="169"/>
      <c r="G516" s="186"/>
      <c r="H516" s="187"/>
      <c r="I516" s="187"/>
      <c r="J516" s="187"/>
      <c r="K516" s="187"/>
      <c r="L516" s="647"/>
      <c r="M516" s="646">
        <v>34128</v>
      </c>
      <c r="N516" s="585">
        <v>4.5599999999999996</v>
      </c>
      <c r="O516" s="585">
        <v>6.0389999999999999E-2</v>
      </c>
      <c r="P516" s="175">
        <v>0</v>
      </c>
      <c r="Q516" s="175">
        <v>8.0099999999999998E-3</v>
      </c>
      <c r="R516" s="175">
        <v>8.9099999999999995E-3</v>
      </c>
      <c r="S516" s="175">
        <v>9.8499999999999994E-3</v>
      </c>
      <c r="T516" s="175">
        <v>7.8700000000000003E-3</v>
      </c>
      <c r="U516" s="175">
        <v>8.0199999999999994E-3</v>
      </c>
      <c r="V516" s="706">
        <v>1.7749999999999998E-2</v>
      </c>
      <c r="W516" s="717"/>
      <c r="X516" s="713"/>
      <c r="Y516" s="718"/>
      <c r="Z516" s="709">
        <v>47</v>
      </c>
      <c r="AA516" s="175"/>
      <c r="AB516" s="200"/>
      <c r="AC516" s="205">
        <v>1.7000000000000001E-2</v>
      </c>
      <c r="AD516" s="175">
        <v>9.5399999999999991</v>
      </c>
      <c r="AE516" s="175">
        <v>0.36</v>
      </c>
      <c r="AF516" s="186">
        <f t="shared" si="9"/>
        <v>3.4343999999999997</v>
      </c>
      <c r="AG516" s="175">
        <v>1.3</v>
      </c>
      <c r="AH516" s="334"/>
      <c r="AI516" s="188"/>
      <c r="AJ516" s="188"/>
      <c r="AK516" s="188"/>
      <c r="AL516" s="189"/>
      <c r="AM516" s="189"/>
      <c r="AN516" s="189"/>
      <c r="AO516" s="189"/>
      <c r="AP516" s="189"/>
      <c r="AQ516" s="189"/>
      <c r="AR516" s="189"/>
      <c r="AS516" s="189"/>
      <c r="AT516" s="189"/>
      <c r="AU516" s="190"/>
      <c r="AV516" s="190"/>
      <c r="AW516" s="190"/>
      <c r="AX516" s="190"/>
      <c r="AY516" s="190"/>
      <c r="AZ516" s="189"/>
      <c r="BA516" s="189"/>
      <c r="BB516" s="189"/>
      <c r="BC516" s="189"/>
      <c r="BD516" s="189"/>
      <c r="BE516" s="189"/>
      <c r="BF516" s="189"/>
      <c r="BG516" s="189"/>
      <c r="BH516" s="189"/>
      <c r="BI516" s="190"/>
      <c r="BJ516" s="190"/>
      <c r="BK516" s="190"/>
      <c r="BL516" s="190"/>
      <c r="BM516" s="190"/>
      <c r="BN516" s="190"/>
      <c r="BO516" s="190"/>
      <c r="BP516" s="190"/>
      <c r="BQ516" s="190"/>
      <c r="BR516" s="190"/>
      <c r="BS516" s="190"/>
      <c r="BT516" s="190"/>
      <c r="BU516" s="190"/>
      <c r="BV516" s="190"/>
      <c r="BW516" s="190"/>
      <c r="BX516" s="190"/>
      <c r="BY516" s="190"/>
      <c r="BZ516" s="190"/>
      <c r="CA516" s="189"/>
      <c r="CB516" s="15"/>
    </row>
    <row r="517" spans="1:80" ht="15" x14ac:dyDescent="0.25">
      <c r="A517" s="167"/>
      <c r="B517" s="642"/>
      <c r="C517" s="642"/>
      <c r="D517" s="179"/>
      <c r="E517" s="169"/>
      <c r="F517" s="169"/>
      <c r="G517" s="186"/>
      <c r="H517" s="187"/>
      <c r="I517" s="187"/>
      <c r="J517" s="187"/>
      <c r="K517" s="187"/>
      <c r="L517" s="647"/>
      <c r="M517" s="646">
        <v>34129</v>
      </c>
      <c r="N517" s="585">
        <v>4.2699999999999996</v>
      </c>
      <c r="O517" s="585">
        <v>0.14907000000000001</v>
      </c>
      <c r="P517" s="175">
        <v>0</v>
      </c>
      <c r="Q517" s="175">
        <v>1.6389999999999998E-2</v>
      </c>
      <c r="R517" s="175">
        <v>1.013E-2</v>
      </c>
      <c r="S517" s="175">
        <v>2.827E-2</v>
      </c>
      <c r="T517" s="175">
        <v>2.521E-2</v>
      </c>
      <c r="U517" s="175">
        <v>2.5870000000000001E-2</v>
      </c>
      <c r="V517" s="706">
        <v>4.3209999999999998E-2</v>
      </c>
      <c r="W517" s="717"/>
      <c r="X517" s="713"/>
      <c r="Y517" s="718"/>
      <c r="Z517" s="709">
        <v>56</v>
      </c>
      <c r="AA517" s="175"/>
      <c r="AB517" s="200"/>
      <c r="AC517" s="205">
        <v>1.7999999999999999E-2</v>
      </c>
      <c r="AD517" s="175">
        <v>9.5</v>
      </c>
      <c r="AE517" s="175">
        <v>0.4</v>
      </c>
      <c r="AF517" s="186">
        <f t="shared" si="9"/>
        <v>3.8000000000000003</v>
      </c>
      <c r="AG517" s="175">
        <v>1.21</v>
      </c>
      <c r="AH517" s="334"/>
      <c r="AI517" s="188"/>
      <c r="AJ517" s="188"/>
      <c r="AK517" s="188"/>
      <c r="AL517" s="189"/>
      <c r="AM517" s="189"/>
      <c r="AN517" s="189"/>
      <c r="AO517" s="189"/>
      <c r="AP517" s="189"/>
      <c r="AQ517" s="189"/>
      <c r="AR517" s="189"/>
      <c r="AS517" s="189"/>
      <c r="AT517" s="189"/>
      <c r="AU517" s="190"/>
      <c r="AV517" s="190"/>
      <c r="AW517" s="190"/>
      <c r="AX517" s="190"/>
      <c r="AY517" s="190"/>
      <c r="AZ517" s="189"/>
      <c r="BA517" s="189"/>
      <c r="BB517" s="189"/>
      <c r="BC517" s="189"/>
      <c r="BD517" s="189"/>
      <c r="BE517" s="189"/>
      <c r="BF517" s="189"/>
      <c r="BG517" s="189"/>
      <c r="BH517" s="189"/>
      <c r="BI517" s="190"/>
      <c r="BJ517" s="190"/>
      <c r="BK517" s="190"/>
      <c r="BL517" s="190"/>
      <c r="BM517" s="190"/>
      <c r="BN517" s="190"/>
      <c r="BO517" s="190"/>
      <c r="BP517" s="190"/>
      <c r="BQ517" s="190"/>
      <c r="BR517" s="190"/>
      <c r="BS517" s="190"/>
      <c r="BT517" s="190"/>
      <c r="BU517" s="190"/>
      <c r="BV517" s="190"/>
      <c r="BW517" s="190"/>
      <c r="BX517" s="190"/>
      <c r="BY517" s="190"/>
      <c r="BZ517" s="190"/>
      <c r="CA517" s="189"/>
      <c r="CB517" s="15"/>
    </row>
    <row r="518" spans="1:80" ht="15" x14ac:dyDescent="0.25">
      <c r="A518" s="167"/>
      <c r="B518" s="642"/>
      <c r="C518" s="642"/>
      <c r="D518" s="179"/>
      <c r="E518" s="169"/>
      <c r="F518" s="169"/>
      <c r="G518" s="186"/>
      <c r="H518" s="187"/>
      <c r="I518" s="187"/>
      <c r="J518" s="187"/>
      <c r="K518" s="187"/>
      <c r="L518" s="647"/>
      <c r="M518" s="646">
        <v>34130</v>
      </c>
      <c r="N518" s="585">
        <v>5.21</v>
      </c>
      <c r="O518" s="585">
        <v>0.12733</v>
      </c>
      <c r="P518" s="175">
        <v>0</v>
      </c>
      <c r="Q518" s="175">
        <v>5.5500000000000002E-3</v>
      </c>
      <c r="R518" s="175">
        <v>2.2339999999999999E-2</v>
      </c>
      <c r="S518" s="175">
        <v>1.8759999999999999E-2</v>
      </c>
      <c r="T518" s="175">
        <v>2.0289999999999999E-2</v>
      </c>
      <c r="U518" s="175">
        <v>2.1129999999999999E-2</v>
      </c>
      <c r="V518" s="706">
        <v>3.9269999999999999E-2</v>
      </c>
      <c r="W518" s="717"/>
      <c r="X518" s="713"/>
      <c r="Y518" s="718"/>
      <c r="Z518" s="709">
        <v>42</v>
      </c>
      <c r="AA518" s="175"/>
      <c r="AB518" s="200"/>
      <c r="AC518" s="205">
        <v>1.9E-2</v>
      </c>
      <c r="AD518" s="175">
        <v>9.89</v>
      </c>
      <c r="AE518" s="175">
        <v>0.38</v>
      </c>
      <c r="AF518" s="186">
        <f t="shared" si="9"/>
        <v>3.7582000000000004</v>
      </c>
      <c r="AG518" s="175">
        <v>1.51</v>
      </c>
      <c r="AH518" s="334"/>
      <c r="AI518" s="188"/>
      <c r="AJ518" s="188"/>
      <c r="AK518" s="188"/>
      <c r="AL518" s="189"/>
      <c r="AM518" s="189"/>
      <c r="AN518" s="189"/>
      <c r="AO518" s="189"/>
      <c r="AP518" s="189"/>
      <c r="AQ518" s="189"/>
      <c r="AR518" s="189"/>
      <c r="AS518" s="189"/>
      <c r="AT518" s="189"/>
      <c r="AU518" s="190"/>
      <c r="AV518" s="190"/>
      <c r="AW518" s="190"/>
      <c r="AX518" s="190"/>
      <c r="AY518" s="190"/>
      <c r="AZ518" s="189"/>
      <c r="BA518" s="189"/>
      <c r="BB518" s="189"/>
      <c r="BC518" s="189"/>
      <c r="BD518" s="189"/>
      <c r="BE518" s="189"/>
      <c r="BF518" s="189"/>
      <c r="BG518" s="189"/>
      <c r="BH518" s="189"/>
      <c r="BI518" s="190"/>
      <c r="BJ518" s="190"/>
      <c r="BK518" s="190"/>
      <c r="BL518" s="190"/>
      <c r="BM518" s="190"/>
      <c r="BN518" s="190"/>
      <c r="BO518" s="190"/>
      <c r="BP518" s="190"/>
      <c r="BQ518" s="190"/>
      <c r="BR518" s="190"/>
      <c r="BS518" s="190"/>
      <c r="BT518" s="190"/>
      <c r="BU518" s="190"/>
      <c r="BV518" s="190"/>
      <c r="BW518" s="190"/>
      <c r="BX518" s="190"/>
      <c r="BY518" s="190"/>
      <c r="BZ518" s="190"/>
      <c r="CA518" s="189"/>
      <c r="CB518" s="15"/>
    </row>
    <row r="519" spans="1:80" ht="15" x14ac:dyDescent="0.25">
      <c r="A519" s="167"/>
      <c r="B519" s="642"/>
      <c r="C519" s="642"/>
      <c r="D519" s="179"/>
      <c r="E519" s="169"/>
      <c r="F519" s="169"/>
      <c r="G519" s="186"/>
      <c r="H519" s="187"/>
      <c r="I519" s="187"/>
      <c r="J519" s="187"/>
      <c r="K519" s="187"/>
      <c r="L519" s="647"/>
      <c r="M519" s="646">
        <v>34131</v>
      </c>
      <c r="N519" s="585">
        <v>4.6500000000000004</v>
      </c>
      <c r="O519" s="585">
        <v>5.6500000000000002E-2</v>
      </c>
      <c r="P519" s="175">
        <v>0</v>
      </c>
      <c r="Q519" s="175">
        <v>3.3500000000000001E-3</v>
      </c>
      <c r="R519" s="175">
        <v>5.7400000000000003E-3</v>
      </c>
      <c r="S519" s="175">
        <v>7.7600000000000004E-3</v>
      </c>
      <c r="T519" s="175">
        <v>9.6900000000000007E-3</v>
      </c>
      <c r="U519" s="175">
        <v>1.048E-2</v>
      </c>
      <c r="V519" s="706">
        <v>1.9480000000000001E-2</v>
      </c>
      <c r="W519" s="717"/>
      <c r="X519" s="713"/>
      <c r="Y519" s="718"/>
      <c r="Z519" s="709">
        <v>62</v>
      </c>
      <c r="AA519" s="175"/>
      <c r="AB519" s="200"/>
      <c r="AC519" s="205">
        <v>1.7999999999999999E-2</v>
      </c>
      <c r="AD519" s="175">
        <v>9.68</v>
      </c>
      <c r="AE519" s="175">
        <v>0.37</v>
      </c>
      <c r="AF519" s="186">
        <f t="shared" si="9"/>
        <v>3.5815999999999999</v>
      </c>
      <c r="AG519" s="175">
        <v>1.29</v>
      </c>
      <c r="AH519" s="334"/>
      <c r="AI519" s="188"/>
      <c r="AJ519" s="188"/>
      <c r="AK519" s="188"/>
      <c r="AL519" s="189"/>
      <c r="AM519" s="189"/>
      <c r="AN519" s="189"/>
      <c r="AO519" s="189"/>
      <c r="AP519" s="189"/>
      <c r="AQ519" s="189"/>
      <c r="AR519" s="189"/>
      <c r="AS519" s="189"/>
      <c r="AT519" s="189"/>
      <c r="AU519" s="190"/>
      <c r="AV519" s="190"/>
      <c r="AW519" s="190"/>
      <c r="AX519" s="190"/>
      <c r="AY519" s="190"/>
      <c r="AZ519" s="189"/>
      <c r="BA519" s="189"/>
      <c r="BB519" s="189"/>
      <c r="BC519" s="189"/>
      <c r="BD519" s="189"/>
      <c r="BE519" s="189"/>
      <c r="BF519" s="189"/>
      <c r="BG519" s="189"/>
      <c r="BH519" s="189"/>
      <c r="BI519" s="190"/>
      <c r="BJ519" s="190"/>
      <c r="BK519" s="190"/>
      <c r="BL519" s="190"/>
      <c r="BM519" s="190"/>
      <c r="BN519" s="190"/>
      <c r="BO519" s="190"/>
      <c r="BP519" s="190"/>
      <c r="BQ519" s="190"/>
      <c r="BR519" s="190"/>
      <c r="BS519" s="190"/>
      <c r="BT519" s="190"/>
      <c r="BU519" s="190"/>
      <c r="BV519" s="190"/>
      <c r="BW519" s="190"/>
      <c r="BX519" s="190"/>
      <c r="BY519" s="190"/>
      <c r="BZ519" s="190"/>
      <c r="CA519" s="189"/>
      <c r="CB519" s="15"/>
    </row>
    <row r="520" spans="1:80" ht="15" x14ac:dyDescent="0.25">
      <c r="A520" s="167"/>
      <c r="B520" s="642"/>
      <c r="C520" s="642"/>
      <c r="D520" s="179"/>
      <c r="E520" s="169"/>
      <c r="F520" s="169"/>
      <c r="G520" s="186"/>
      <c r="H520" s="187"/>
      <c r="I520" s="187"/>
      <c r="J520" s="187"/>
      <c r="K520" s="187"/>
      <c r="L520" s="647"/>
      <c r="M520" s="646">
        <v>34132</v>
      </c>
      <c r="N520" s="585">
        <v>4.3099999999999996</v>
      </c>
      <c r="O520" s="585">
        <v>5.459E-2</v>
      </c>
      <c r="P520" s="175">
        <v>0</v>
      </c>
      <c r="Q520" s="175">
        <v>1.035E-2</v>
      </c>
      <c r="R520" s="175">
        <v>7.8499999999999993E-3</v>
      </c>
      <c r="S520" s="175">
        <v>7.3899999999999999E-3</v>
      </c>
      <c r="T520" s="175">
        <v>7.8899999999999994E-3</v>
      </c>
      <c r="U520" s="175">
        <v>7.7799999999999996E-3</v>
      </c>
      <c r="V520" s="706">
        <v>1.332E-2</v>
      </c>
      <c r="W520" s="717"/>
      <c r="X520" s="713"/>
      <c r="Y520" s="718"/>
      <c r="Z520" s="709">
        <v>58</v>
      </c>
      <c r="AA520" s="175"/>
      <c r="AB520" s="200"/>
      <c r="AC520" s="205">
        <v>1.9E-2</v>
      </c>
      <c r="AD520" s="175">
        <v>9.57</v>
      </c>
      <c r="AE520" s="175">
        <v>0.34</v>
      </c>
      <c r="AF520" s="186">
        <f t="shared" si="9"/>
        <v>3.2538000000000005</v>
      </c>
      <c r="AG520" s="175">
        <v>1.37</v>
      </c>
      <c r="AH520" s="334"/>
      <c r="AI520" s="188"/>
      <c r="AJ520" s="188"/>
      <c r="AK520" s="188"/>
      <c r="AL520" s="189"/>
      <c r="AM520" s="189"/>
      <c r="AN520" s="189"/>
      <c r="AO520" s="189"/>
      <c r="AP520" s="189"/>
      <c r="AQ520" s="189"/>
      <c r="AR520" s="189"/>
      <c r="AS520" s="189"/>
      <c r="AT520" s="189"/>
      <c r="AU520" s="190"/>
      <c r="AV520" s="190"/>
      <c r="AW520" s="190"/>
      <c r="AX520" s="190"/>
      <c r="AY520" s="190"/>
      <c r="AZ520" s="189"/>
      <c r="BA520" s="189"/>
      <c r="BB520" s="189"/>
      <c r="BC520" s="189"/>
      <c r="BD520" s="189"/>
      <c r="BE520" s="189"/>
      <c r="BF520" s="189"/>
      <c r="BG520" s="189"/>
      <c r="BH520" s="189"/>
      <c r="BI520" s="190"/>
      <c r="BJ520" s="190"/>
      <c r="BK520" s="190"/>
      <c r="BL520" s="190"/>
      <c r="BM520" s="190"/>
      <c r="BN520" s="190"/>
      <c r="BO520" s="190"/>
      <c r="BP520" s="190"/>
      <c r="BQ520" s="190"/>
      <c r="BR520" s="190"/>
      <c r="BS520" s="190"/>
      <c r="BT520" s="190"/>
      <c r="BU520" s="190"/>
      <c r="BV520" s="190"/>
      <c r="BW520" s="190"/>
      <c r="BX520" s="190"/>
      <c r="BY520" s="190"/>
      <c r="BZ520" s="190"/>
      <c r="CA520" s="189"/>
      <c r="CB520" s="15"/>
    </row>
    <row r="521" spans="1:80" ht="15" x14ac:dyDescent="0.25">
      <c r="A521" s="167"/>
      <c r="B521" s="642"/>
      <c r="C521" s="642"/>
      <c r="D521" s="179"/>
      <c r="E521" s="169"/>
      <c r="F521" s="169"/>
      <c r="G521" s="186"/>
      <c r="H521" s="187"/>
      <c r="I521" s="187"/>
      <c r="J521" s="187"/>
      <c r="K521" s="187"/>
      <c r="L521" s="647"/>
      <c r="M521" s="646">
        <v>34135</v>
      </c>
      <c r="N521" s="585">
        <v>4.3499999999999996</v>
      </c>
      <c r="O521" s="585">
        <v>4.2869999999999998E-2</v>
      </c>
      <c r="P521" s="175">
        <v>0</v>
      </c>
      <c r="Q521" s="175">
        <v>0</v>
      </c>
      <c r="R521" s="175">
        <v>4.6899999999999997E-3</v>
      </c>
      <c r="S521" s="175">
        <v>5.6800000000000002E-3</v>
      </c>
      <c r="T521" s="175">
        <v>7.3499999999999998E-3</v>
      </c>
      <c r="U521" s="175">
        <v>8.94E-3</v>
      </c>
      <c r="V521" s="706">
        <v>1.6219999999999998E-2</v>
      </c>
      <c r="W521" s="717"/>
      <c r="X521" s="713"/>
      <c r="Y521" s="718"/>
      <c r="Z521" s="709">
        <v>30</v>
      </c>
      <c r="AA521" s="175"/>
      <c r="AB521" s="200"/>
      <c r="AC521" s="205">
        <v>1.7999999999999999E-2</v>
      </c>
      <c r="AD521" s="175">
        <v>9.6199999999999992</v>
      </c>
      <c r="AE521" s="175">
        <v>0.35</v>
      </c>
      <c r="AF521" s="186">
        <f t="shared" si="9"/>
        <v>3.3669999999999995</v>
      </c>
      <c r="AG521" s="175">
        <v>1.35</v>
      </c>
      <c r="AH521" s="334"/>
      <c r="AI521" s="188"/>
      <c r="AJ521" s="188"/>
      <c r="AK521" s="188"/>
      <c r="AL521" s="189"/>
      <c r="AM521" s="189"/>
      <c r="AN521" s="189"/>
      <c r="AO521" s="189"/>
      <c r="AP521" s="189"/>
      <c r="AQ521" s="189"/>
      <c r="AR521" s="189"/>
      <c r="AS521" s="189"/>
      <c r="AT521" s="189"/>
      <c r="AU521" s="190"/>
      <c r="AV521" s="190"/>
      <c r="AW521" s="190"/>
      <c r="AX521" s="190"/>
      <c r="AY521" s="190"/>
      <c r="AZ521" s="189"/>
      <c r="BA521" s="189"/>
      <c r="BB521" s="189"/>
      <c r="BC521" s="189"/>
      <c r="BD521" s="189"/>
      <c r="BE521" s="189"/>
      <c r="BF521" s="189"/>
      <c r="BG521" s="189"/>
      <c r="BH521" s="189"/>
      <c r="BI521" s="190"/>
      <c r="BJ521" s="190"/>
      <c r="BK521" s="190"/>
      <c r="BL521" s="190"/>
      <c r="BM521" s="190"/>
      <c r="BN521" s="190"/>
      <c r="BO521" s="190"/>
      <c r="BP521" s="190"/>
      <c r="BQ521" s="190"/>
      <c r="BR521" s="190"/>
      <c r="BS521" s="190"/>
      <c r="BT521" s="190"/>
      <c r="BU521" s="190"/>
      <c r="BV521" s="190"/>
      <c r="BW521" s="190"/>
      <c r="BX521" s="190"/>
      <c r="BY521" s="190"/>
      <c r="BZ521" s="190"/>
      <c r="CA521" s="189"/>
      <c r="CB521" s="15"/>
    </row>
    <row r="522" spans="1:80" ht="15" x14ac:dyDescent="0.25">
      <c r="A522" s="167"/>
      <c r="B522" s="642"/>
      <c r="C522" s="642"/>
      <c r="D522" s="179"/>
      <c r="E522" s="169"/>
      <c r="F522" s="169"/>
      <c r="G522" s="186"/>
      <c r="H522" s="187"/>
      <c r="I522" s="187"/>
      <c r="J522" s="187"/>
      <c r="K522" s="187"/>
      <c r="L522" s="647"/>
      <c r="M522" s="646">
        <v>34136</v>
      </c>
      <c r="N522" s="585">
        <v>4.3499999999999996</v>
      </c>
      <c r="O522" s="585">
        <v>5.7979999999999997E-2</v>
      </c>
      <c r="P522" s="175">
        <v>0</v>
      </c>
      <c r="Q522" s="175">
        <v>0</v>
      </c>
      <c r="R522" s="175">
        <v>6.0800000000000003E-3</v>
      </c>
      <c r="S522" s="175">
        <v>9.0200000000000002E-3</v>
      </c>
      <c r="T522" s="175">
        <v>9.8799999999999999E-3</v>
      </c>
      <c r="U522" s="175">
        <v>1.153E-2</v>
      </c>
      <c r="V522" s="706">
        <v>2.146E-2</v>
      </c>
      <c r="W522" s="717"/>
      <c r="X522" s="713"/>
      <c r="Y522" s="718"/>
      <c r="Z522" s="709">
        <v>30</v>
      </c>
      <c r="AA522" s="175"/>
      <c r="AB522" s="200"/>
      <c r="AC522" s="205">
        <v>1.9E-2</v>
      </c>
      <c r="AD522" s="175">
        <v>9.51</v>
      </c>
      <c r="AE522" s="175">
        <v>0.33</v>
      </c>
      <c r="AF522" s="186">
        <f t="shared" si="9"/>
        <v>3.1383000000000001</v>
      </c>
      <c r="AG522" s="175">
        <v>1.37</v>
      </c>
      <c r="AH522" s="334"/>
      <c r="AI522" s="188"/>
      <c r="AJ522" s="188"/>
      <c r="AK522" s="188"/>
      <c r="AL522" s="189"/>
      <c r="AM522" s="189"/>
      <c r="AN522" s="189"/>
      <c r="AO522" s="189"/>
      <c r="AP522" s="189"/>
      <c r="AQ522" s="189"/>
      <c r="AR522" s="189"/>
      <c r="AS522" s="189"/>
      <c r="AT522" s="189"/>
      <c r="AU522" s="190"/>
      <c r="AV522" s="190"/>
      <c r="AW522" s="190"/>
      <c r="AX522" s="190"/>
      <c r="AY522" s="190"/>
      <c r="AZ522" s="189"/>
      <c r="BA522" s="189"/>
      <c r="BB522" s="189"/>
      <c r="BC522" s="189"/>
      <c r="BD522" s="189"/>
      <c r="BE522" s="189"/>
      <c r="BF522" s="189"/>
      <c r="BG522" s="189"/>
      <c r="BH522" s="189"/>
      <c r="BI522" s="190"/>
      <c r="BJ522" s="190"/>
      <c r="BK522" s="190"/>
      <c r="BL522" s="190"/>
      <c r="BM522" s="190"/>
      <c r="BN522" s="190"/>
      <c r="BO522" s="190"/>
      <c r="BP522" s="190"/>
      <c r="BQ522" s="190"/>
      <c r="BR522" s="190"/>
      <c r="BS522" s="190"/>
      <c r="BT522" s="190"/>
      <c r="BU522" s="190"/>
      <c r="BV522" s="190"/>
      <c r="BW522" s="190"/>
      <c r="BX522" s="190"/>
      <c r="BY522" s="190"/>
      <c r="BZ522" s="190"/>
      <c r="CA522" s="189"/>
      <c r="CB522" s="15"/>
    </row>
    <row r="523" spans="1:80" ht="15" x14ac:dyDescent="0.25">
      <c r="A523" s="167"/>
      <c r="B523" s="642"/>
      <c r="C523" s="642"/>
      <c r="D523" s="179"/>
      <c r="E523" s="169"/>
      <c r="F523" s="169"/>
      <c r="G523" s="186"/>
      <c r="H523" s="187"/>
      <c r="I523" s="187"/>
      <c r="J523" s="187"/>
      <c r="K523" s="187"/>
      <c r="L523" s="647"/>
      <c r="M523" s="646">
        <v>34137</v>
      </c>
      <c r="N523" s="585">
        <v>5.99</v>
      </c>
      <c r="O523" s="585">
        <v>0.13464000000000001</v>
      </c>
      <c r="P523" s="175">
        <v>0</v>
      </c>
      <c r="Q523" s="175">
        <v>1.975E-2</v>
      </c>
      <c r="R523" s="175">
        <v>2.0310000000000002E-2</v>
      </c>
      <c r="S523" s="175">
        <v>1.8409999999999999E-2</v>
      </c>
      <c r="T523" s="175">
        <v>1.7149999999999999E-2</v>
      </c>
      <c r="U523" s="175">
        <v>1.9300000000000001E-2</v>
      </c>
      <c r="V523" s="706">
        <v>3.9710000000000002E-2</v>
      </c>
      <c r="W523" s="717"/>
      <c r="X523" s="713"/>
      <c r="Y523" s="718"/>
      <c r="Z523" s="709">
        <v>62</v>
      </c>
      <c r="AA523" s="175"/>
      <c r="AB523" s="200"/>
      <c r="AC523" s="205">
        <v>1.7999999999999999E-2</v>
      </c>
      <c r="AD523" s="175">
        <v>10.02</v>
      </c>
      <c r="AE523" s="175">
        <v>0.38</v>
      </c>
      <c r="AF523" s="186">
        <f t="shared" si="9"/>
        <v>3.8075999999999999</v>
      </c>
      <c r="AG523" s="175">
        <v>1.54</v>
      </c>
      <c r="AH523" s="334"/>
      <c r="AI523" s="188"/>
      <c r="AJ523" s="188"/>
      <c r="AK523" s="188"/>
      <c r="AL523" s="189"/>
      <c r="AM523" s="189"/>
      <c r="AN523" s="189"/>
      <c r="AO523" s="189"/>
      <c r="AP523" s="189"/>
      <c r="AQ523" s="189"/>
      <c r="AR523" s="189"/>
      <c r="AS523" s="189"/>
      <c r="AT523" s="189"/>
      <c r="AU523" s="190"/>
      <c r="AV523" s="190"/>
      <c r="AW523" s="190"/>
      <c r="AX523" s="190"/>
      <c r="AY523" s="190"/>
      <c r="AZ523" s="189"/>
      <c r="BA523" s="189"/>
      <c r="BB523" s="189"/>
      <c r="BC523" s="189"/>
      <c r="BD523" s="189"/>
      <c r="BE523" s="189"/>
      <c r="BF523" s="189"/>
      <c r="BG523" s="189"/>
      <c r="BH523" s="189"/>
      <c r="BI523" s="190"/>
      <c r="BJ523" s="190"/>
      <c r="BK523" s="190"/>
      <c r="BL523" s="190"/>
      <c r="BM523" s="190"/>
      <c r="BN523" s="190"/>
      <c r="BO523" s="190"/>
      <c r="BP523" s="190"/>
      <c r="BQ523" s="190"/>
      <c r="BR523" s="190"/>
      <c r="BS523" s="190"/>
      <c r="BT523" s="190"/>
      <c r="BU523" s="190"/>
      <c r="BV523" s="190"/>
      <c r="BW523" s="190"/>
      <c r="BX523" s="190"/>
      <c r="BY523" s="190"/>
      <c r="BZ523" s="190"/>
      <c r="CA523" s="189"/>
      <c r="CB523" s="15"/>
    </row>
    <row r="524" spans="1:80" ht="15" x14ac:dyDescent="0.25">
      <c r="A524" s="167"/>
      <c r="B524" s="642"/>
      <c r="C524" s="642"/>
      <c r="D524" s="179"/>
      <c r="E524" s="169"/>
      <c r="F524" s="169"/>
      <c r="G524" s="186"/>
      <c r="H524" s="187"/>
      <c r="I524" s="187"/>
      <c r="J524" s="187"/>
      <c r="K524" s="187"/>
      <c r="L524" s="647"/>
      <c r="M524" s="646">
        <v>34138</v>
      </c>
      <c r="N524" s="585">
        <v>5.35</v>
      </c>
      <c r="O524" s="585">
        <v>0.13869000000000001</v>
      </c>
      <c r="P524" s="175">
        <v>0</v>
      </c>
      <c r="Q524" s="175">
        <v>1.183E-2</v>
      </c>
      <c r="R524" s="175">
        <v>1.8870000000000001E-2</v>
      </c>
      <c r="S524" s="175">
        <v>2.1129999999999999E-2</v>
      </c>
      <c r="T524" s="175">
        <v>2.034E-2</v>
      </c>
      <c r="U524" s="175">
        <v>2.3570000000000001E-2</v>
      </c>
      <c r="V524" s="706">
        <v>4.2939999999999999E-2</v>
      </c>
      <c r="W524" s="717"/>
      <c r="X524" s="713"/>
      <c r="Y524" s="718"/>
      <c r="Z524" s="709">
        <v>48</v>
      </c>
      <c r="AA524" s="175"/>
      <c r="AB524" s="200" t="s">
        <v>46</v>
      </c>
      <c r="AC524" s="205">
        <v>1.7999999999999999E-2</v>
      </c>
      <c r="AD524" s="175">
        <v>9.93</v>
      </c>
      <c r="AE524" s="175">
        <v>0.38</v>
      </c>
      <c r="AF524" s="186">
        <f t="shared" si="9"/>
        <v>3.7734000000000001</v>
      </c>
      <c r="AG524" s="175">
        <v>1.39</v>
      </c>
      <c r="AH524" s="334"/>
      <c r="AI524" s="188"/>
      <c r="AJ524" s="188"/>
      <c r="AK524" s="188"/>
      <c r="AL524" s="189"/>
      <c r="AM524" s="189"/>
      <c r="AN524" s="189"/>
      <c r="AO524" s="189"/>
      <c r="AP524" s="189"/>
      <c r="AQ524" s="189"/>
      <c r="AR524" s="189"/>
      <c r="AS524" s="189"/>
      <c r="AT524" s="189"/>
      <c r="AU524" s="190"/>
      <c r="AV524" s="190"/>
      <c r="AW524" s="190"/>
      <c r="AX524" s="190"/>
      <c r="AY524" s="190"/>
      <c r="AZ524" s="189"/>
      <c r="BA524" s="189"/>
      <c r="BB524" s="189"/>
      <c r="BC524" s="189"/>
      <c r="BD524" s="189"/>
      <c r="BE524" s="189"/>
      <c r="BF524" s="189"/>
      <c r="BG524" s="189"/>
      <c r="BH524" s="189"/>
      <c r="BI524" s="190"/>
      <c r="BJ524" s="190"/>
      <c r="BK524" s="190"/>
      <c r="BL524" s="190"/>
      <c r="BM524" s="190"/>
      <c r="BN524" s="190"/>
      <c r="BO524" s="190"/>
      <c r="BP524" s="190"/>
      <c r="BQ524" s="190"/>
      <c r="BR524" s="190"/>
      <c r="BS524" s="190"/>
      <c r="BT524" s="190"/>
      <c r="BU524" s="190"/>
      <c r="BV524" s="190"/>
      <c r="BW524" s="190"/>
      <c r="BX524" s="190"/>
      <c r="BY524" s="190"/>
      <c r="BZ524" s="190"/>
      <c r="CA524" s="189"/>
      <c r="CB524" s="15"/>
    </row>
    <row r="525" spans="1:80" ht="15" x14ac:dyDescent="0.25">
      <c r="A525" s="167"/>
      <c r="B525" s="642"/>
      <c r="C525" s="642"/>
      <c r="D525" s="179"/>
      <c r="E525" s="169"/>
      <c r="F525" s="169"/>
      <c r="G525" s="186"/>
      <c r="H525" s="187"/>
      <c r="I525" s="187"/>
      <c r="J525" s="187"/>
      <c r="K525" s="187"/>
      <c r="L525" s="647"/>
      <c r="M525" s="646">
        <v>34138</v>
      </c>
      <c r="N525" s="585">
        <v>6.55</v>
      </c>
      <c r="O525" s="585">
        <v>0.34018999999999999</v>
      </c>
      <c r="P525" s="175">
        <v>1.8700000000000001E-2</v>
      </c>
      <c r="Q525" s="175">
        <v>6.1210000000000001E-2</v>
      </c>
      <c r="R525" s="175">
        <v>4.9579999999999999E-2</v>
      </c>
      <c r="S525" s="175">
        <v>4.5109999999999997E-2</v>
      </c>
      <c r="T525" s="175">
        <v>3.7159999999999999E-2</v>
      </c>
      <c r="U525" s="175">
        <v>4.1029999999999997E-2</v>
      </c>
      <c r="V525" s="706">
        <v>8.7410000000000002E-2</v>
      </c>
      <c r="W525" s="717"/>
      <c r="X525" s="713"/>
      <c r="Y525" s="718"/>
      <c r="Z525" s="709">
        <v>70</v>
      </c>
      <c r="AA525" s="175"/>
      <c r="AB525" s="200" t="s">
        <v>47</v>
      </c>
      <c r="AC525" s="205">
        <v>1.7999999999999999E-2</v>
      </c>
      <c r="AD525" s="175">
        <v>10.199999999999999</v>
      </c>
      <c r="AE525" s="175">
        <v>0.43</v>
      </c>
      <c r="AF525" s="186">
        <f t="shared" si="9"/>
        <v>4.3859999999999992</v>
      </c>
      <c r="AG525" s="175">
        <v>1.59</v>
      </c>
      <c r="AH525" s="334"/>
      <c r="AI525" s="188"/>
      <c r="AJ525" s="188"/>
      <c r="AK525" s="188"/>
      <c r="AL525" s="189"/>
      <c r="AM525" s="189"/>
      <c r="AN525" s="189"/>
      <c r="AO525" s="189"/>
      <c r="AP525" s="189"/>
      <c r="AQ525" s="189"/>
      <c r="AR525" s="189"/>
      <c r="AS525" s="189"/>
      <c r="AT525" s="189"/>
      <c r="AU525" s="190"/>
      <c r="AV525" s="190"/>
      <c r="AW525" s="190"/>
      <c r="AX525" s="190"/>
      <c r="AY525" s="190"/>
      <c r="AZ525" s="189"/>
      <c r="BA525" s="189"/>
      <c r="BB525" s="189"/>
      <c r="BC525" s="189"/>
      <c r="BD525" s="189"/>
      <c r="BE525" s="189"/>
      <c r="BF525" s="189"/>
      <c r="BG525" s="189"/>
      <c r="BH525" s="189"/>
      <c r="BI525" s="190"/>
      <c r="BJ525" s="190"/>
      <c r="BK525" s="190"/>
      <c r="BL525" s="190"/>
      <c r="BM525" s="190"/>
      <c r="BN525" s="190"/>
      <c r="BO525" s="190"/>
      <c r="BP525" s="190"/>
      <c r="BQ525" s="190"/>
      <c r="BR525" s="190"/>
      <c r="BS525" s="190"/>
      <c r="BT525" s="190"/>
      <c r="BU525" s="190"/>
      <c r="BV525" s="190"/>
      <c r="BW525" s="190"/>
      <c r="BX525" s="190"/>
      <c r="BY525" s="190"/>
      <c r="BZ525" s="190"/>
      <c r="CA525" s="189"/>
      <c r="CB525" s="15"/>
    </row>
    <row r="526" spans="1:80" ht="15" x14ac:dyDescent="0.25">
      <c r="A526" s="167"/>
      <c r="B526" s="642"/>
      <c r="C526" s="642"/>
      <c r="D526" s="179"/>
      <c r="E526" s="169"/>
      <c r="F526" s="169"/>
      <c r="G526" s="186"/>
      <c r="H526" s="187"/>
      <c r="I526" s="187"/>
      <c r="J526" s="187"/>
      <c r="K526" s="187"/>
      <c r="L526" s="647"/>
      <c r="M526" s="646">
        <v>34139</v>
      </c>
      <c r="N526" s="585">
        <v>7.09</v>
      </c>
      <c r="O526" s="585">
        <v>0.30112</v>
      </c>
      <c r="P526" s="175">
        <v>1.145E-2</v>
      </c>
      <c r="Q526" s="175">
        <v>2.8309999999999998E-2</v>
      </c>
      <c r="R526" s="175">
        <v>4.5859999999999998E-2</v>
      </c>
      <c r="S526" s="175">
        <v>4.8280000000000003E-2</v>
      </c>
      <c r="T526" s="175">
        <v>4.895E-2</v>
      </c>
      <c r="U526" s="175">
        <v>4.6010000000000002E-2</v>
      </c>
      <c r="V526" s="706">
        <v>7.2260000000000005E-2</v>
      </c>
      <c r="W526" s="717"/>
      <c r="X526" s="713"/>
      <c r="Y526" s="718"/>
      <c r="Z526" s="709">
        <v>77</v>
      </c>
      <c r="AA526" s="175"/>
      <c r="AB526" s="200"/>
      <c r="AC526" s="205">
        <v>1.7000000000000001E-2</v>
      </c>
      <c r="AD526" s="175">
        <v>10.3</v>
      </c>
      <c r="AE526" s="175">
        <v>0.44</v>
      </c>
      <c r="AF526" s="186">
        <f t="shared" si="9"/>
        <v>4.532</v>
      </c>
      <c r="AG526" s="175">
        <v>1.64</v>
      </c>
      <c r="AH526" s="334"/>
      <c r="AI526" s="188"/>
      <c r="AJ526" s="188"/>
      <c r="AK526" s="188"/>
      <c r="AL526" s="189"/>
      <c r="AM526" s="189"/>
      <c r="AN526" s="189"/>
      <c r="AO526" s="189"/>
      <c r="AP526" s="189"/>
      <c r="AQ526" s="189"/>
      <c r="AR526" s="189"/>
      <c r="AS526" s="189"/>
      <c r="AT526" s="189"/>
      <c r="AU526" s="190"/>
      <c r="AV526" s="190"/>
      <c r="AW526" s="190"/>
      <c r="AX526" s="190"/>
      <c r="AY526" s="190"/>
      <c r="AZ526" s="189"/>
      <c r="BA526" s="189"/>
      <c r="BB526" s="189"/>
      <c r="BC526" s="189"/>
      <c r="BD526" s="189"/>
      <c r="BE526" s="189"/>
      <c r="BF526" s="189"/>
      <c r="BG526" s="189"/>
      <c r="BH526" s="189"/>
      <c r="BI526" s="190"/>
      <c r="BJ526" s="190"/>
      <c r="BK526" s="190"/>
      <c r="BL526" s="190"/>
      <c r="BM526" s="190"/>
      <c r="BN526" s="190"/>
      <c r="BO526" s="190"/>
      <c r="BP526" s="190"/>
      <c r="BQ526" s="190"/>
      <c r="BR526" s="190"/>
      <c r="BS526" s="190"/>
      <c r="BT526" s="190"/>
      <c r="BU526" s="190"/>
      <c r="BV526" s="190"/>
      <c r="BW526" s="190"/>
      <c r="BX526" s="190"/>
      <c r="BY526" s="190"/>
      <c r="BZ526" s="190"/>
      <c r="CA526" s="189"/>
      <c r="CB526" s="15"/>
    </row>
    <row r="527" spans="1:80" ht="15" x14ac:dyDescent="0.25">
      <c r="A527" s="167"/>
      <c r="B527" s="642"/>
      <c r="C527" s="642"/>
      <c r="D527" s="179"/>
      <c r="E527" s="169"/>
      <c r="F527" s="169"/>
      <c r="G527" s="186"/>
      <c r="H527" s="187"/>
      <c r="I527" s="187"/>
      <c r="J527" s="187"/>
      <c r="K527" s="187"/>
      <c r="L527" s="647"/>
      <c r="M527" s="646">
        <v>34140</v>
      </c>
      <c r="N527" s="585">
        <v>6.22</v>
      </c>
      <c r="O527" s="585">
        <v>0.22417999999999999</v>
      </c>
      <c r="P527" s="175">
        <v>0</v>
      </c>
      <c r="Q527" s="175">
        <v>5.9060000000000001E-2</v>
      </c>
      <c r="R527" s="175">
        <v>2.9819999999999999E-2</v>
      </c>
      <c r="S527" s="175">
        <v>3.5040000000000002E-2</v>
      </c>
      <c r="T527" s="175">
        <v>3.083E-2</v>
      </c>
      <c r="U527" s="175">
        <v>2.8230000000000002E-2</v>
      </c>
      <c r="V527" s="706">
        <v>4.1189999999999997E-2</v>
      </c>
      <c r="W527" s="717"/>
      <c r="X527" s="713"/>
      <c r="Y527" s="718"/>
      <c r="Z527" s="709">
        <v>60</v>
      </c>
      <c r="AA527" s="175"/>
      <c r="AB527" s="200"/>
      <c r="AC527" s="205">
        <v>1.7999999999999999E-2</v>
      </c>
      <c r="AD527" s="175">
        <v>10.16</v>
      </c>
      <c r="AE527" s="175">
        <v>0.39</v>
      </c>
      <c r="AF527" s="186">
        <f t="shared" si="9"/>
        <v>3.9624000000000001</v>
      </c>
      <c r="AG527" s="175">
        <v>1.44</v>
      </c>
      <c r="AH527" s="334"/>
      <c r="AI527" s="188"/>
      <c r="AJ527" s="188"/>
      <c r="AK527" s="188"/>
      <c r="AL527" s="189"/>
      <c r="AM527" s="189"/>
      <c r="AN527" s="189"/>
      <c r="AO527" s="189"/>
      <c r="AP527" s="189"/>
      <c r="AQ527" s="189"/>
      <c r="AR527" s="189"/>
      <c r="AS527" s="189"/>
      <c r="AT527" s="189"/>
      <c r="AU527" s="190"/>
      <c r="AV527" s="190"/>
      <c r="AW527" s="190"/>
      <c r="AX527" s="190"/>
      <c r="AY527" s="190"/>
      <c r="AZ527" s="189"/>
      <c r="BA527" s="189"/>
      <c r="BB527" s="189"/>
      <c r="BC527" s="189"/>
      <c r="BD527" s="189"/>
      <c r="BE527" s="189"/>
      <c r="BF527" s="189"/>
      <c r="BG527" s="189"/>
      <c r="BH527" s="189"/>
      <c r="BI527" s="190"/>
      <c r="BJ527" s="190"/>
      <c r="BK527" s="190"/>
      <c r="BL527" s="190"/>
      <c r="BM527" s="190"/>
      <c r="BN527" s="190"/>
      <c r="BO527" s="190"/>
      <c r="BP527" s="190"/>
      <c r="BQ527" s="190"/>
      <c r="BR527" s="190"/>
      <c r="BS527" s="190"/>
      <c r="BT527" s="190"/>
      <c r="BU527" s="190"/>
      <c r="BV527" s="190"/>
      <c r="BW527" s="190"/>
      <c r="BX527" s="190"/>
      <c r="BY527" s="190"/>
      <c r="BZ527" s="190"/>
      <c r="CA527" s="189"/>
      <c r="CB527" s="15"/>
    </row>
    <row r="528" spans="1:80" ht="15" x14ac:dyDescent="0.25">
      <c r="A528" s="167"/>
      <c r="B528" s="642"/>
      <c r="C528" s="642"/>
      <c r="D528" s="179"/>
      <c r="E528" s="169"/>
      <c r="F528" s="169"/>
      <c r="G528" s="186"/>
      <c r="H528" s="187"/>
      <c r="I528" s="187"/>
      <c r="J528" s="187"/>
      <c r="K528" s="187"/>
      <c r="L528" s="647"/>
      <c r="M528" s="646">
        <v>34141</v>
      </c>
      <c r="N528" s="585">
        <v>6.51</v>
      </c>
      <c r="O528" s="585">
        <v>0.21221000000000001</v>
      </c>
      <c r="P528" s="175">
        <v>2.7820000000000001E-2</v>
      </c>
      <c r="Q528" s="175">
        <v>2.6720000000000001E-2</v>
      </c>
      <c r="R528" s="175">
        <v>2.6970000000000001E-2</v>
      </c>
      <c r="S528" s="175">
        <v>2.8649999999999998E-2</v>
      </c>
      <c r="T528" s="175">
        <v>2.6360000000000001E-2</v>
      </c>
      <c r="U528" s="175">
        <v>2.6939999999999999E-2</v>
      </c>
      <c r="V528" s="706">
        <v>4.8759999999999998E-2</v>
      </c>
      <c r="W528" s="717"/>
      <c r="X528" s="713"/>
      <c r="Y528" s="718"/>
      <c r="Z528" s="709">
        <v>70</v>
      </c>
      <c r="AA528" s="175"/>
      <c r="AB528" s="200"/>
      <c r="AC528" s="205">
        <v>1.7000000000000001E-2</v>
      </c>
      <c r="AD528" s="175">
        <v>10.27</v>
      </c>
      <c r="AE528" s="175">
        <v>0.43</v>
      </c>
      <c r="AF528" s="186">
        <f t="shared" si="9"/>
        <v>4.4161000000000001</v>
      </c>
      <c r="AG528" s="175">
        <v>1.6</v>
      </c>
      <c r="AH528" s="334"/>
      <c r="AI528" s="188"/>
      <c r="AJ528" s="188"/>
      <c r="AK528" s="188"/>
      <c r="AL528" s="189"/>
      <c r="AM528" s="189"/>
      <c r="AN528" s="189"/>
      <c r="AO528" s="189"/>
      <c r="AP528" s="189"/>
      <c r="AQ528" s="189"/>
      <c r="AR528" s="189"/>
      <c r="AS528" s="189"/>
      <c r="AT528" s="189"/>
      <c r="AU528" s="190"/>
      <c r="AV528" s="190"/>
      <c r="AW528" s="190"/>
      <c r="AX528" s="190"/>
      <c r="AY528" s="190"/>
      <c r="AZ528" s="189"/>
      <c r="BA528" s="189"/>
      <c r="BB528" s="189"/>
      <c r="BC528" s="189"/>
      <c r="BD528" s="189"/>
      <c r="BE528" s="189"/>
      <c r="BF528" s="189"/>
      <c r="BG528" s="189"/>
      <c r="BH528" s="189"/>
      <c r="BI528" s="190"/>
      <c r="BJ528" s="190"/>
      <c r="BK528" s="190"/>
      <c r="BL528" s="190"/>
      <c r="BM528" s="190"/>
      <c r="BN528" s="190"/>
      <c r="BO528" s="190"/>
      <c r="BP528" s="190"/>
      <c r="BQ528" s="190"/>
      <c r="BR528" s="190"/>
      <c r="BS528" s="190"/>
      <c r="BT528" s="190"/>
      <c r="BU528" s="190"/>
      <c r="BV528" s="190"/>
      <c r="BW528" s="190"/>
      <c r="BX528" s="190"/>
      <c r="BY528" s="190"/>
      <c r="BZ528" s="190"/>
      <c r="CA528" s="189"/>
      <c r="CB528" s="15"/>
    </row>
    <row r="529" spans="1:80" ht="15" x14ac:dyDescent="0.25">
      <c r="A529" s="167"/>
      <c r="B529" s="642"/>
      <c r="C529" s="642"/>
      <c r="D529" s="179"/>
      <c r="E529" s="169"/>
      <c r="F529" s="169"/>
      <c r="G529" s="186"/>
      <c r="H529" s="187"/>
      <c r="I529" s="187"/>
      <c r="J529" s="187"/>
      <c r="K529" s="187"/>
      <c r="L529" s="647"/>
      <c r="M529" s="646">
        <v>34142</v>
      </c>
      <c r="N529" s="585">
        <v>6.03</v>
      </c>
      <c r="O529" s="585">
        <v>0.12676000000000001</v>
      </c>
      <c r="P529" s="175">
        <v>0</v>
      </c>
      <c r="Q529" s="175">
        <v>2.6950000000000002E-2</v>
      </c>
      <c r="R529" s="175">
        <v>1.8839999999999999E-2</v>
      </c>
      <c r="S529" s="175">
        <v>1.541E-2</v>
      </c>
      <c r="T529" s="175">
        <v>1.537E-2</v>
      </c>
      <c r="U529" s="175">
        <v>1.755E-2</v>
      </c>
      <c r="V529" s="706">
        <v>3.2640000000000002E-2</v>
      </c>
      <c r="W529" s="717"/>
      <c r="X529" s="713"/>
      <c r="Y529" s="718"/>
      <c r="Z529" s="709">
        <v>57</v>
      </c>
      <c r="AA529" s="175"/>
      <c r="AB529" s="200"/>
      <c r="AC529" s="205">
        <v>1.7999999999999999E-2</v>
      </c>
      <c r="AD529" s="175">
        <v>10.18</v>
      </c>
      <c r="AE529" s="175">
        <v>0.4</v>
      </c>
      <c r="AF529" s="186">
        <f t="shared" si="9"/>
        <v>4.0720000000000001</v>
      </c>
      <c r="AG529" s="175">
        <v>1.45</v>
      </c>
      <c r="AH529" s="334"/>
      <c r="AI529" s="188"/>
      <c r="AJ529" s="188"/>
      <c r="AK529" s="188"/>
      <c r="AL529" s="189"/>
      <c r="AM529" s="189"/>
      <c r="AN529" s="189"/>
      <c r="AO529" s="189"/>
      <c r="AP529" s="189"/>
      <c r="AQ529" s="189"/>
      <c r="AR529" s="189"/>
      <c r="AS529" s="189"/>
      <c r="AT529" s="189"/>
      <c r="AU529" s="190"/>
      <c r="AV529" s="190"/>
      <c r="AW529" s="190"/>
      <c r="AX529" s="190"/>
      <c r="AY529" s="190"/>
      <c r="AZ529" s="189"/>
      <c r="BA529" s="189"/>
      <c r="BB529" s="189"/>
      <c r="BC529" s="189"/>
      <c r="BD529" s="189"/>
      <c r="BE529" s="189"/>
      <c r="BF529" s="189"/>
      <c r="BG529" s="189"/>
      <c r="BH529" s="189"/>
      <c r="BI529" s="190"/>
      <c r="BJ529" s="190"/>
      <c r="BK529" s="190"/>
      <c r="BL529" s="190"/>
      <c r="BM529" s="190"/>
      <c r="BN529" s="190"/>
      <c r="BO529" s="190"/>
      <c r="BP529" s="190"/>
      <c r="BQ529" s="190"/>
      <c r="BR529" s="190"/>
      <c r="BS529" s="190"/>
      <c r="BT529" s="190"/>
      <c r="BU529" s="190"/>
      <c r="BV529" s="190"/>
      <c r="BW529" s="190"/>
      <c r="BX529" s="190"/>
      <c r="BY529" s="190"/>
      <c r="BZ529" s="190"/>
      <c r="CA529" s="189"/>
      <c r="CB529" s="15"/>
    </row>
    <row r="530" spans="1:80" ht="15" x14ac:dyDescent="0.25">
      <c r="A530" s="167"/>
      <c r="B530" s="642"/>
      <c r="C530" s="642"/>
      <c r="D530" s="179"/>
      <c r="E530" s="169"/>
      <c r="F530" s="169"/>
      <c r="G530" s="186"/>
      <c r="H530" s="187"/>
      <c r="I530" s="187"/>
      <c r="J530" s="187"/>
      <c r="K530" s="187"/>
      <c r="L530" s="647"/>
      <c r="M530" s="646">
        <v>34144</v>
      </c>
      <c r="N530" s="585">
        <v>5.53</v>
      </c>
      <c r="O530" s="585">
        <v>0.11845</v>
      </c>
      <c r="P530" s="175">
        <v>0</v>
      </c>
      <c r="Q530" s="175">
        <v>1.2239999999999999E-2</v>
      </c>
      <c r="R530" s="175">
        <v>1.3390000000000001E-2</v>
      </c>
      <c r="S530" s="175">
        <v>1.2829999999999999E-2</v>
      </c>
      <c r="T530" s="175">
        <v>1.5980000000000001E-2</v>
      </c>
      <c r="U530" s="175">
        <v>2.2950000000000002E-2</v>
      </c>
      <c r="V530" s="706">
        <v>4.1059999999999999E-2</v>
      </c>
      <c r="W530" s="717"/>
      <c r="X530" s="713"/>
      <c r="Y530" s="718"/>
      <c r="Z530" s="709">
        <v>51</v>
      </c>
      <c r="AA530" s="175"/>
      <c r="AB530" s="200"/>
      <c r="AC530" s="205">
        <v>1.7999999999999999E-2</v>
      </c>
      <c r="AD530" s="175">
        <v>9.9700000000000006</v>
      </c>
      <c r="AE530" s="175">
        <v>0.38</v>
      </c>
      <c r="AF530" s="186">
        <f t="shared" si="9"/>
        <v>3.7886000000000002</v>
      </c>
      <c r="AG530" s="175">
        <v>1.48</v>
      </c>
      <c r="AH530" s="334"/>
      <c r="AI530" s="188"/>
      <c r="AJ530" s="188"/>
      <c r="AK530" s="188"/>
      <c r="AL530" s="189"/>
      <c r="AM530" s="189"/>
      <c r="AN530" s="189"/>
      <c r="AO530" s="189"/>
      <c r="AP530" s="189"/>
      <c r="AQ530" s="189"/>
      <c r="AR530" s="189"/>
      <c r="AS530" s="189"/>
      <c r="AT530" s="189"/>
      <c r="AU530" s="190"/>
      <c r="AV530" s="190"/>
      <c r="AW530" s="190"/>
      <c r="AX530" s="190"/>
      <c r="AY530" s="190"/>
      <c r="AZ530" s="189"/>
      <c r="BA530" s="189"/>
      <c r="BB530" s="189"/>
      <c r="BC530" s="189"/>
      <c r="BD530" s="189"/>
      <c r="BE530" s="189"/>
      <c r="BF530" s="189"/>
      <c r="BG530" s="189"/>
      <c r="BH530" s="189"/>
      <c r="BI530" s="190"/>
      <c r="BJ530" s="190"/>
      <c r="BK530" s="190"/>
      <c r="BL530" s="190"/>
      <c r="BM530" s="190"/>
      <c r="BN530" s="190"/>
      <c r="BO530" s="190"/>
      <c r="BP530" s="190"/>
      <c r="BQ530" s="190"/>
      <c r="BR530" s="190"/>
      <c r="BS530" s="190"/>
      <c r="BT530" s="190"/>
      <c r="BU530" s="190"/>
      <c r="BV530" s="190"/>
      <c r="BW530" s="190"/>
      <c r="BX530" s="190"/>
      <c r="BY530" s="190"/>
      <c r="BZ530" s="190"/>
      <c r="CA530" s="189"/>
      <c r="CB530" s="15"/>
    </row>
    <row r="531" spans="1:80" ht="15" x14ac:dyDescent="0.25">
      <c r="A531" s="167"/>
      <c r="B531" s="642"/>
      <c r="C531" s="642"/>
      <c r="D531" s="179"/>
      <c r="E531" s="169"/>
      <c r="F531" s="169"/>
      <c r="G531" s="186"/>
      <c r="H531" s="187"/>
      <c r="I531" s="187"/>
      <c r="J531" s="187"/>
      <c r="K531" s="187"/>
      <c r="L531" s="647"/>
      <c r="M531" s="646">
        <v>34145</v>
      </c>
      <c r="N531" s="585">
        <v>4.7300000000000004</v>
      </c>
      <c r="O531" s="585">
        <v>7.8829999999999997E-2</v>
      </c>
      <c r="P531" s="175">
        <v>0</v>
      </c>
      <c r="Q531" s="175">
        <v>1.97E-3</v>
      </c>
      <c r="R531" s="175">
        <v>7.2399999999999999E-3</v>
      </c>
      <c r="S531" s="175">
        <v>1.1379999999999999E-2</v>
      </c>
      <c r="T531" s="175">
        <v>1.2330000000000001E-2</v>
      </c>
      <c r="U531" s="175">
        <v>1.618E-2</v>
      </c>
      <c r="V531" s="706">
        <v>2.972E-2</v>
      </c>
      <c r="W531" s="717"/>
      <c r="X531" s="713"/>
      <c r="Y531" s="718"/>
      <c r="Z531" s="709">
        <v>38</v>
      </c>
      <c r="AA531" s="175"/>
      <c r="AB531" s="200"/>
      <c r="AC531" s="205">
        <v>1.7000000000000001E-2</v>
      </c>
      <c r="AD531" s="175">
        <v>9.93</v>
      </c>
      <c r="AE531" s="175">
        <v>0.36</v>
      </c>
      <c r="AF531" s="186">
        <f t="shared" si="9"/>
        <v>3.5747999999999998</v>
      </c>
      <c r="AG531" s="175">
        <v>1.28</v>
      </c>
      <c r="AH531" s="334"/>
      <c r="AI531" s="188"/>
      <c r="AJ531" s="188"/>
      <c r="AK531" s="188"/>
      <c r="AL531" s="189"/>
      <c r="AM531" s="189"/>
      <c r="AN531" s="189"/>
      <c r="AO531" s="189"/>
      <c r="AP531" s="189"/>
      <c r="AQ531" s="189"/>
      <c r="AR531" s="189"/>
      <c r="AS531" s="189"/>
      <c r="AT531" s="189"/>
      <c r="AU531" s="190"/>
      <c r="AV531" s="190"/>
      <c r="AW531" s="190"/>
      <c r="AX531" s="190"/>
      <c r="AY531" s="190"/>
      <c r="AZ531" s="189"/>
      <c r="BA531" s="189"/>
      <c r="BB531" s="189"/>
      <c r="BC531" s="189"/>
      <c r="BD531" s="189"/>
      <c r="BE531" s="189"/>
      <c r="BF531" s="189"/>
      <c r="BG531" s="189"/>
      <c r="BH531" s="189"/>
      <c r="BI531" s="190"/>
      <c r="BJ531" s="190"/>
      <c r="BK531" s="190"/>
      <c r="BL531" s="190"/>
      <c r="BM531" s="190"/>
      <c r="BN531" s="190"/>
      <c r="BO531" s="190"/>
      <c r="BP531" s="190"/>
      <c r="BQ531" s="190"/>
      <c r="BR531" s="190"/>
      <c r="BS531" s="190"/>
      <c r="BT531" s="190"/>
      <c r="BU531" s="190"/>
      <c r="BV531" s="190"/>
      <c r="BW531" s="190"/>
      <c r="BX531" s="190"/>
      <c r="BY531" s="190"/>
      <c r="BZ531" s="190"/>
      <c r="CA531" s="189"/>
      <c r="CB531" s="15"/>
    </row>
    <row r="532" spans="1:80" ht="15" x14ac:dyDescent="0.25">
      <c r="A532" s="167"/>
      <c r="B532" s="642"/>
      <c r="C532" s="642"/>
      <c r="D532" s="179"/>
      <c r="E532" s="169"/>
      <c r="F532" s="169"/>
      <c r="G532" s="186"/>
      <c r="H532" s="187"/>
      <c r="I532" s="187"/>
      <c r="J532" s="187"/>
      <c r="K532" s="187"/>
      <c r="L532" s="647"/>
      <c r="M532" s="646">
        <v>34149</v>
      </c>
      <c r="N532" s="585">
        <v>4.4000000000000004</v>
      </c>
      <c r="O532" s="585">
        <v>4.5870000000000001E-2</v>
      </c>
      <c r="P532" s="175">
        <v>0</v>
      </c>
      <c r="Q532" s="175">
        <v>4.7200000000000002E-3</v>
      </c>
      <c r="R532" s="175">
        <v>4.7200000000000002E-3</v>
      </c>
      <c r="S532" s="175">
        <v>3.6099999999999999E-3</v>
      </c>
      <c r="T532" s="175">
        <v>4.5199999999999997E-3</v>
      </c>
      <c r="U532" s="175">
        <v>8.5000000000000006E-3</v>
      </c>
      <c r="V532" s="706">
        <v>1.9800000000000002E-2</v>
      </c>
      <c r="W532" s="717"/>
      <c r="X532" s="713"/>
      <c r="Y532" s="718"/>
      <c r="Z532" s="709">
        <v>34</v>
      </c>
      <c r="AA532" s="175"/>
      <c r="AB532" s="200"/>
      <c r="AC532" s="205">
        <v>1.7000000000000001E-2</v>
      </c>
      <c r="AD532" s="175">
        <v>9.59</v>
      </c>
      <c r="AE532" s="175">
        <v>0.33</v>
      </c>
      <c r="AF532" s="186">
        <f t="shared" si="9"/>
        <v>3.1647000000000003</v>
      </c>
      <c r="AG532" s="175">
        <v>1.29</v>
      </c>
      <c r="AH532" s="334"/>
      <c r="AI532" s="188"/>
      <c r="AJ532" s="188"/>
      <c r="AK532" s="188"/>
      <c r="AL532" s="189"/>
      <c r="AM532" s="189"/>
      <c r="AN532" s="189"/>
      <c r="AO532" s="189"/>
      <c r="AP532" s="189"/>
      <c r="AQ532" s="189"/>
      <c r="AR532" s="189"/>
      <c r="AS532" s="189"/>
      <c r="AT532" s="189"/>
      <c r="AU532" s="190"/>
      <c r="AV532" s="190"/>
      <c r="AW532" s="190"/>
      <c r="AX532" s="190"/>
      <c r="AY532" s="190"/>
      <c r="AZ532" s="189"/>
      <c r="BA532" s="189"/>
      <c r="BB532" s="189"/>
      <c r="BC532" s="189"/>
      <c r="BD532" s="189"/>
      <c r="BE532" s="189"/>
      <c r="BF532" s="189"/>
      <c r="BG532" s="189"/>
      <c r="BH532" s="189"/>
      <c r="BI532" s="190"/>
      <c r="BJ532" s="190"/>
      <c r="BK532" s="190"/>
      <c r="BL532" s="190"/>
      <c r="BM532" s="190"/>
      <c r="BN532" s="190"/>
      <c r="BO532" s="190"/>
      <c r="BP532" s="190"/>
      <c r="BQ532" s="190"/>
      <c r="BR532" s="190"/>
      <c r="BS532" s="190"/>
      <c r="BT532" s="190"/>
      <c r="BU532" s="190"/>
      <c r="BV532" s="190"/>
      <c r="BW532" s="190"/>
      <c r="BX532" s="190"/>
      <c r="BY532" s="190"/>
      <c r="BZ532" s="190"/>
      <c r="CA532" s="189"/>
      <c r="CB532" s="15"/>
    </row>
    <row r="533" spans="1:80" ht="15" x14ac:dyDescent="0.25">
      <c r="A533" s="167"/>
      <c r="B533" s="642"/>
      <c r="C533" s="642"/>
      <c r="D533" s="179"/>
      <c r="E533" s="169"/>
      <c r="F533" s="169"/>
      <c r="G533" s="186"/>
      <c r="H533" s="187"/>
      <c r="I533" s="187"/>
      <c r="J533" s="187"/>
      <c r="K533" s="187"/>
      <c r="L533" s="647"/>
      <c r="M533" s="646">
        <v>34150</v>
      </c>
      <c r="N533" s="585">
        <v>4.3099999999999996</v>
      </c>
      <c r="O533" s="585">
        <v>3.5610000000000003E-2</v>
      </c>
      <c r="P533" s="175">
        <v>0</v>
      </c>
      <c r="Q533" s="175">
        <v>0</v>
      </c>
      <c r="R533" s="175">
        <v>2.0999999999999999E-3</v>
      </c>
      <c r="S533" s="175">
        <v>5.5900000000000004E-3</v>
      </c>
      <c r="T533" s="175">
        <v>5.7400000000000003E-3</v>
      </c>
      <c r="U533" s="175">
        <v>7.6E-3</v>
      </c>
      <c r="V533" s="706">
        <v>1.4579999999999999E-2</v>
      </c>
      <c r="W533" s="717"/>
      <c r="X533" s="713"/>
      <c r="Y533" s="718"/>
      <c r="Z533" s="709">
        <v>25</v>
      </c>
      <c r="AA533" s="175"/>
      <c r="AB533" s="200"/>
      <c r="AC533" s="205">
        <v>1.7999999999999999E-2</v>
      </c>
      <c r="AD533" s="175">
        <v>9.48</v>
      </c>
      <c r="AE533" s="175">
        <v>0.33</v>
      </c>
      <c r="AF533" s="186">
        <f t="shared" si="9"/>
        <v>3.1284000000000001</v>
      </c>
      <c r="AG533" s="175">
        <v>1.24</v>
      </c>
      <c r="AH533" s="334"/>
      <c r="AI533" s="188"/>
      <c r="AJ533" s="188"/>
      <c r="AK533" s="188"/>
      <c r="AL533" s="189"/>
      <c r="AM533" s="189"/>
      <c r="AN533" s="189"/>
      <c r="AO533" s="189"/>
      <c r="AP533" s="189"/>
      <c r="AQ533" s="189"/>
      <c r="AR533" s="189"/>
      <c r="AS533" s="189"/>
      <c r="AT533" s="189"/>
      <c r="AU533" s="190"/>
      <c r="AV533" s="190"/>
      <c r="AW533" s="190"/>
      <c r="AX533" s="190"/>
      <c r="AY533" s="190"/>
      <c r="AZ533" s="189"/>
      <c r="BA533" s="189"/>
      <c r="BB533" s="189"/>
      <c r="BC533" s="189"/>
      <c r="BD533" s="189"/>
      <c r="BE533" s="189"/>
      <c r="BF533" s="189"/>
      <c r="BG533" s="189"/>
      <c r="BH533" s="189"/>
      <c r="BI533" s="190"/>
      <c r="BJ533" s="190"/>
      <c r="BK533" s="190"/>
      <c r="BL533" s="190"/>
      <c r="BM533" s="190"/>
      <c r="BN533" s="190"/>
      <c r="BO533" s="190"/>
      <c r="BP533" s="190"/>
      <c r="BQ533" s="190"/>
      <c r="BR533" s="190"/>
      <c r="BS533" s="190"/>
      <c r="BT533" s="190"/>
      <c r="BU533" s="190"/>
      <c r="BV533" s="190"/>
      <c r="BW533" s="190"/>
      <c r="BX533" s="190"/>
      <c r="BY533" s="190"/>
      <c r="BZ533" s="190"/>
      <c r="CA533" s="189"/>
      <c r="CB533" s="15"/>
    </row>
    <row r="534" spans="1:80" ht="15" x14ac:dyDescent="0.25">
      <c r="A534" s="202"/>
      <c r="B534" s="195"/>
      <c r="C534" s="195"/>
      <c r="D534" s="695"/>
      <c r="E534" s="196"/>
      <c r="F534" s="196"/>
      <c r="G534" s="197"/>
      <c r="H534" s="198"/>
      <c r="I534" s="198"/>
      <c r="J534" s="198"/>
      <c r="K534" s="198"/>
      <c r="L534" s="649"/>
      <c r="M534" s="651">
        <v>34151</v>
      </c>
      <c r="N534" s="589">
        <v>2.64</v>
      </c>
      <c r="O534" s="589">
        <v>1.342E-2</v>
      </c>
      <c r="P534" s="193">
        <v>0</v>
      </c>
      <c r="Q534" s="193">
        <v>0</v>
      </c>
      <c r="R534" s="193">
        <v>0</v>
      </c>
      <c r="S534" s="193">
        <v>2.4000000000000001E-4</v>
      </c>
      <c r="T534" s="193">
        <v>1.23E-3</v>
      </c>
      <c r="U534" s="193">
        <v>3.5300000000000002E-3</v>
      </c>
      <c r="V534" s="707">
        <v>8.4100000000000008E-3</v>
      </c>
      <c r="W534" s="719"/>
      <c r="X534" s="720"/>
      <c r="Y534" s="721"/>
      <c r="Z534" s="710">
        <v>11</v>
      </c>
      <c r="AA534" s="193"/>
      <c r="AB534" s="203"/>
      <c r="AC534" s="207">
        <v>1.7999999999999999E-2</v>
      </c>
      <c r="AD534" s="193">
        <v>8.07</v>
      </c>
      <c r="AE534" s="193">
        <v>0.28999999999999998</v>
      </c>
      <c r="AF534" s="197">
        <f t="shared" si="9"/>
        <v>2.3403</v>
      </c>
      <c r="AG534" s="193">
        <v>0.97</v>
      </c>
      <c r="AH534" s="334"/>
      <c r="AI534" s="188"/>
      <c r="AJ534" s="188"/>
      <c r="AK534" s="188"/>
      <c r="AL534" s="189"/>
      <c r="AM534" s="189"/>
      <c r="AN534" s="189"/>
      <c r="AO534" s="189"/>
      <c r="AP534" s="189"/>
      <c r="AQ534" s="189"/>
      <c r="AR534" s="189"/>
      <c r="AS534" s="189"/>
      <c r="AT534" s="189"/>
      <c r="AU534" s="190"/>
      <c r="AV534" s="190"/>
      <c r="AW534" s="190"/>
      <c r="AX534" s="190"/>
      <c r="AY534" s="190"/>
      <c r="AZ534" s="189"/>
      <c r="BA534" s="189"/>
      <c r="BB534" s="189"/>
      <c r="BC534" s="189"/>
      <c r="BD534" s="189"/>
      <c r="BE534" s="189"/>
      <c r="BF534" s="189"/>
      <c r="BG534" s="189"/>
      <c r="BH534" s="189"/>
      <c r="BI534" s="190"/>
      <c r="BJ534" s="190"/>
      <c r="BK534" s="190"/>
      <c r="BL534" s="190"/>
      <c r="BM534" s="190"/>
      <c r="BN534" s="190"/>
      <c r="BO534" s="190"/>
      <c r="BP534" s="190"/>
      <c r="BQ534" s="190"/>
      <c r="BR534" s="190"/>
      <c r="BS534" s="190"/>
      <c r="BT534" s="190"/>
      <c r="BU534" s="190"/>
      <c r="BV534" s="190"/>
      <c r="BW534" s="190"/>
      <c r="BX534" s="190"/>
      <c r="BY534" s="190"/>
      <c r="BZ534" s="190"/>
      <c r="CA534" s="189"/>
      <c r="CB534" s="15"/>
    </row>
    <row r="535" spans="1:80" ht="15" x14ac:dyDescent="0.25">
      <c r="A535" s="9" t="s">
        <v>49</v>
      </c>
      <c r="B535" s="639" t="s">
        <v>34</v>
      </c>
      <c r="C535" s="639"/>
      <c r="D535" s="4">
        <f>VLOOKUP(E535,'Quality Code'!D4:E24,2,TRUE)*VLOOKUP(MROUND(F535,10),'Quality Code'!D28:E69,2,TRUE)*VLOOKUP(4,'Quality Code'!D73:E93,2,TRUE)</f>
        <v>4</v>
      </c>
      <c r="E535" s="14">
        <v>0.8</v>
      </c>
      <c r="F535" s="18">
        <v>209</v>
      </c>
      <c r="G535" s="12">
        <v>33.799999999999997</v>
      </c>
      <c r="H535" s="2" t="s">
        <v>231</v>
      </c>
      <c r="I535" s="2" t="s">
        <v>278</v>
      </c>
      <c r="J535" s="2" t="s">
        <v>281</v>
      </c>
      <c r="K535" s="2">
        <v>1</v>
      </c>
      <c r="L535" s="639" t="s">
        <v>699</v>
      </c>
      <c r="M535" s="640" t="s">
        <v>703</v>
      </c>
      <c r="N535" s="579" t="s">
        <v>254</v>
      </c>
      <c r="O535" s="579"/>
      <c r="P535" s="11"/>
      <c r="Q535" s="11"/>
      <c r="R535" s="11"/>
      <c r="S535" s="11"/>
      <c r="T535" s="11"/>
      <c r="U535" s="11"/>
      <c r="V535" s="11"/>
      <c r="W535" s="723"/>
      <c r="X535" s="723"/>
      <c r="Y535" s="723"/>
      <c r="Z535" s="11"/>
      <c r="AA535" s="11"/>
      <c r="AB535" s="11"/>
      <c r="AC535" s="116"/>
      <c r="AD535" s="26"/>
      <c r="AE535" s="26"/>
      <c r="AF535" s="26"/>
      <c r="AG535" s="26"/>
      <c r="AH535" s="330"/>
      <c r="AI535" s="123">
        <f>AU535/BI535</f>
        <v>12.465753424657535</v>
      </c>
      <c r="AJ535" s="123"/>
      <c r="AK535" s="161"/>
      <c r="AL535" s="17"/>
      <c r="AM535" s="17"/>
      <c r="AN535" s="17"/>
      <c r="AO535" s="17"/>
      <c r="AP535" s="17"/>
      <c r="AQ535" s="17"/>
      <c r="AR535" s="17"/>
      <c r="AS535" s="17"/>
      <c r="AT535" s="17"/>
      <c r="AU535" s="18">
        <v>91</v>
      </c>
      <c r="AV535" s="162">
        <v>1</v>
      </c>
      <c r="AW535" s="162">
        <v>1</v>
      </c>
      <c r="AX535" s="162">
        <v>0.94040000000000001</v>
      </c>
      <c r="AY535" s="162">
        <v>0.67879999999999996</v>
      </c>
      <c r="AZ535" s="162">
        <v>0.3523</v>
      </c>
      <c r="BA535" s="162">
        <v>0.1399</v>
      </c>
      <c r="BB535" s="162">
        <v>7.2499999999999995E-2</v>
      </c>
      <c r="BC535" s="162">
        <v>5.1799999999999999E-2</v>
      </c>
      <c r="BD535" s="162">
        <v>3.1099999999999999E-2</v>
      </c>
      <c r="BE535" s="162">
        <v>2.5899999999999999E-2</v>
      </c>
      <c r="BF535" s="162"/>
      <c r="BG535" s="162"/>
      <c r="BH535" s="162"/>
      <c r="BI535" s="4">
        <v>7.3</v>
      </c>
      <c r="BJ535" s="2"/>
      <c r="BK535" s="2" t="s">
        <v>55</v>
      </c>
      <c r="BL535" s="12">
        <v>3.61</v>
      </c>
      <c r="BM535" s="12"/>
      <c r="BN535" s="12">
        <v>7</v>
      </c>
      <c r="BO535" s="12">
        <v>0.38</v>
      </c>
      <c r="BP535" s="12">
        <f>BO535*BN535</f>
        <v>2.66</v>
      </c>
      <c r="BQ535" s="12">
        <f>BN535/BO535</f>
        <v>18.421052631578949</v>
      </c>
      <c r="BR535" s="12" t="s">
        <v>276</v>
      </c>
      <c r="BS535" s="18">
        <v>4</v>
      </c>
      <c r="BT535" s="12"/>
      <c r="BU535" s="2"/>
      <c r="BV535" s="2"/>
      <c r="BW535" s="2"/>
      <c r="BX535" s="2" t="s">
        <v>86</v>
      </c>
      <c r="BY535" s="2" t="s">
        <v>234</v>
      </c>
      <c r="BZ535" s="2"/>
      <c r="CA535" s="9" t="s">
        <v>233</v>
      </c>
      <c r="CB535" s="5" t="s">
        <v>626</v>
      </c>
    </row>
    <row r="536" spans="1:80" ht="15" x14ac:dyDescent="0.25">
      <c r="A536" s="167"/>
      <c r="B536" s="642"/>
      <c r="C536" s="642"/>
      <c r="D536" s="179"/>
      <c r="E536" s="169"/>
      <c r="F536" s="169"/>
      <c r="G536" s="187"/>
      <c r="H536" s="187"/>
      <c r="I536" s="187"/>
      <c r="J536" s="187"/>
      <c r="K536" s="187"/>
      <c r="L536" s="647"/>
      <c r="M536" s="646">
        <v>32284</v>
      </c>
      <c r="N536" s="585">
        <v>1.91</v>
      </c>
      <c r="O536" s="585">
        <v>2.97E-3</v>
      </c>
      <c r="P536" s="175">
        <v>0</v>
      </c>
      <c r="Q536" s="175">
        <v>0</v>
      </c>
      <c r="R536" s="175">
        <v>0</v>
      </c>
      <c r="S536" s="175">
        <v>1E-4</v>
      </c>
      <c r="T536" s="175">
        <v>2.4000000000000001E-4</v>
      </c>
      <c r="U536" s="175">
        <v>5.1000000000000004E-4</v>
      </c>
      <c r="V536" s="706">
        <v>2.1299999999999999E-3</v>
      </c>
      <c r="W536" s="714"/>
      <c r="X536" s="715"/>
      <c r="Y536" s="716"/>
      <c r="Z536" s="709">
        <v>0</v>
      </c>
      <c r="AA536" s="175"/>
      <c r="AB536" s="200"/>
      <c r="AC536" s="205">
        <v>1.9E-2</v>
      </c>
      <c r="AD536" s="175">
        <v>6.5</v>
      </c>
      <c r="AE536" s="175">
        <v>0.27</v>
      </c>
      <c r="AF536" s="186">
        <f>AE536*AD536</f>
        <v>1.7550000000000001</v>
      </c>
      <c r="AG536" s="175">
        <v>1.08</v>
      </c>
      <c r="AH536" s="334"/>
      <c r="AI536" s="188"/>
      <c r="AJ536" s="188"/>
      <c r="AK536" s="188"/>
      <c r="AL536" s="189"/>
      <c r="AM536" s="189"/>
      <c r="AN536" s="189"/>
      <c r="AO536" s="189"/>
      <c r="AP536" s="189"/>
      <c r="AQ536" s="189"/>
      <c r="AR536" s="189"/>
      <c r="AS536" s="189"/>
      <c r="AT536" s="189"/>
      <c r="AU536" s="190"/>
      <c r="AV536" s="190"/>
      <c r="AW536" s="190"/>
      <c r="AX536" s="190"/>
      <c r="AY536" s="190"/>
      <c r="AZ536" s="189"/>
      <c r="BA536" s="189"/>
      <c r="BB536" s="189"/>
      <c r="BC536" s="189"/>
      <c r="BD536" s="189"/>
      <c r="BE536" s="189"/>
      <c r="BF536" s="189"/>
      <c r="BG536" s="189"/>
      <c r="BH536" s="189"/>
      <c r="BI536" s="190"/>
      <c r="BJ536" s="190"/>
      <c r="BK536" s="190"/>
      <c r="BL536" s="190"/>
      <c r="BM536" s="190"/>
      <c r="BN536" s="190"/>
      <c r="BO536" s="190"/>
      <c r="BP536" s="190"/>
      <c r="BQ536" s="190"/>
      <c r="BR536" s="190"/>
      <c r="BS536" s="190"/>
      <c r="BT536" s="190"/>
      <c r="BU536" s="190"/>
      <c r="BV536" s="190"/>
      <c r="BW536" s="190"/>
      <c r="BX536" s="190"/>
      <c r="BY536" s="190"/>
      <c r="BZ536" s="190"/>
      <c r="CA536" s="189"/>
      <c r="CB536" s="15" t="s">
        <v>625</v>
      </c>
    </row>
    <row r="537" spans="1:80" ht="15" x14ac:dyDescent="0.25">
      <c r="A537" s="167"/>
      <c r="B537" s="642"/>
      <c r="C537" s="642"/>
      <c r="D537" s="179"/>
      <c r="E537" s="169"/>
      <c r="F537" s="169"/>
      <c r="G537" s="187"/>
      <c r="H537" s="187"/>
      <c r="I537" s="187"/>
      <c r="J537" s="187"/>
      <c r="K537" s="187"/>
      <c r="L537" s="647"/>
      <c r="M537" s="646">
        <v>32285</v>
      </c>
      <c r="N537" s="585">
        <v>2</v>
      </c>
      <c r="O537" s="585">
        <v>2.8300000000000001E-3</v>
      </c>
      <c r="P537" s="175">
        <v>0</v>
      </c>
      <c r="Q537" s="175">
        <v>0</v>
      </c>
      <c r="R537" s="175">
        <v>0</v>
      </c>
      <c r="S537" s="175">
        <v>6.0000000000000002E-5</v>
      </c>
      <c r="T537" s="175">
        <v>2.7E-4</v>
      </c>
      <c r="U537" s="175">
        <v>5.5999999999999995E-4</v>
      </c>
      <c r="V537" s="706">
        <v>1.9400000000000001E-3</v>
      </c>
      <c r="W537" s="717"/>
      <c r="X537" s="713"/>
      <c r="Y537" s="718"/>
      <c r="Z537" s="709">
        <v>0</v>
      </c>
      <c r="AA537" s="175"/>
      <c r="AB537" s="200"/>
      <c r="AC537" s="205">
        <v>1.9E-2</v>
      </c>
      <c r="AD537" s="175">
        <v>6.6</v>
      </c>
      <c r="AE537" s="175">
        <v>0.27</v>
      </c>
      <c r="AF537" s="186">
        <f t="shared" ref="AF537:AF600" si="10">AE537*AD537</f>
        <v>1.782</v>
      </c>
      <c r="AG537" s="175">
        <v>1.1000000000000001</v>
      </c>
      <c r="AH537" s="334"/>
      <c r="AI537" s="188"/>
      <c r="AJ537" s="188"/>
      <c r="AK537" s="188"/>
      <c r="AL537" s="189"/>
      <c r="AM537" s="189"/>
      <c r="AN537" s="189"/>
      <c r="AO537" s="189"/>
      <c r="AP537" s="189"/>
      <c r="AQ537" s="189"/>
      <c r="AR537" s="189"/>
      <c r="AS537" s="189"/>
      <c r="AT537" s="189"/>
      <c r="AU537" s="190"/>
      <c r="AV537" s="190"/>
      <c r="AW537" s="190"/>
      <c r="AX537" s="190"/>
      <c r="AY537" s="190"/>
      <c r="AZ537" s="189"/>
      <c r="BA537" s="189"/>
      <c r="BB537" s="189"/>
      <c r="BC537" s="189"/>
      <c r="BD537" s="189"/>
      <c r="BE537" s="189"/>
      <c r="BF537" s="189"/>
      <c r="BG537" s="189"/>
      <c r="BH537" s="189"/>
      <c r="BI537" s="190"/>
      <c r="BJ537" s="190"/>
      <c r="BK537" s="190"/>
      <c r="BL537" s="190"/>
      <c r="BM537" s="190"/>
      <c r="BN537" s="190"/>
      <c r="BO537" s="190"/>
      <c r="BP537" s="190"/>
      <c r="BQ537" s="190"/>
      <c r="BR537" s="190"/>
      <c r="BS537" s="190"/>
      <c r="BT537" s="190"/>
      <c r="BU537" s="190"/>
      <c r="BV537" s="190"/>
      <c r="BW537" s="190"/>
      <c r="BX537" s="190"/>
      <c r="BY537" s="190"/>
      <c r="BZ537" s="190"/>
      <c r="CA537" s="189"/>
      <c r="CB537" s="15" t="s">
        <v>627</v>
      </c>
    </row>
    <row r="538" spans="1:80" ht="15" x14ac:dyDescent="0.2">
      <c r="A538" s="167"/>
      <c r="B538" s="642"/>
      <c r="C538" s="642"/>
      <c r="D538" s="179"/>
      <c r="E538" s="169"/>
      <c r="F538" s="169"/>
      <c r="G538" s="187"/>
      <c r="H538" s="187"/>
      <c r="I538" s="187"/>
      <c r="J538" s="187"/>
      <c r="K538" s="187"/>
      <c r="L538" s="647"/>
      <c r="M538" s="646">
        <v>32288</v>
      </c>
      <c r="N538" s="585">
        <v>1.56</v>
      </c>
      <c r="O538" s="585">
        <v>3.5000000000000001E-3</v>
      </c>
      <c r="P538" s="175">
        <v>0</v>
      </c>
      <c r="Q538" s="175">
        <v>0</v>
      </c>
      <c r="R538" s="175">
        <v>0</v>
      </c>
      <c r="S538" s="175">
        <v>0</v>
      </c>
      <c r="T538" s="175">
        <v>6.9999999999999994E-5</v>
      </c>
      <c r="U538" s="175">
        <v>4.8999999999999998E-4</v>
      </c>
      <c r="V538" s="706">
        <v>2.9499999999999999E-3</v>
      </c>
      <c r="W538" s="717"/>
      <c r="X538" s="713"/>
      <c r="Y538" s="718"/>
      <c r="Z538" s="709">
        <v>0</v>
      </c>
      <c r="AA538" s="175"/>
      <c r="AB538" s="200"/>
      <c r="AC538" s="205">
        <v>1.9E-2</v>
      </c>
      <c r="AD538" s="175">
        <v>6.6</v>
      </c>
      <c r="AE538" s="175">
        <v>0.24</v>
      </c>
      <c r="AF538" s="186">
        <f t="shared" si="10"/>
        <v>1.5839999999999999</v>
      </c>
      <c r="AG538" s="175">
        <v>0.97</v>
      </c>
      <c r="AH538" s="334"/>
      <c r="AI538" s="188"/>
      <c r="AJ538" s="188"/>
      <c r="AK538" s="188"/>
      <c r="AL538" s="189"/>
      <c r="AM538" s="189"/>
      <c r="AN538" s="189"/>
      <c r="AO538" s="189"/>
      <c r="AP538" s="189"/>
      <c r="AQ538" s="189"/>
      <c r="AR538" s="189"/>
      <c r="AS538" s="189"/>
      <c r="AT538" s="189"/>
      <c r="AU538" s="190"/>
      <c r="AV538" s="190"/>
      <c r="AW538" s="190"/>
      <c r="AX538" s="190"/>
      <c r="AY538" s="190"/>
      <c r="AZ538" s="189"/>
      <c r="BA538" s="189"/>
      <c r="BB538" s="189"/>
      <c r="BC538" s="189"/>
      <c r="BD538" s="189"/>
      <c r="BE538" s="189"/>
      <c r="BF538" s="189"/>
      <c r="BG538" s="189"/>
      <c r="BH538" s="189"/>
      <c r="BI538" s="190"/>
      <c r="BJ538" s="190"/>
      <c r="BK538" s="190"/>
      <c r="BL538" s="190"/>
      <c r="BM538" s="190"/>
      <c r="BN538" s="190"/>
      <c r="BO538" s="190"/>
      <c r="BP538" s="190"/>
      <c r="BQ538" s="190"/>
      <c r="BR538" s="190"/>
      <c r="BS538" s="190"/>
      <c r="BT538" s="190"/>
      <c r="BU538" s="190"/>
      <c r="BV538" s="190"/>
      <c r="BW538" s="190"/>
      <c r="BX538" s="190"/>
      <c r="BY538" s="190"/>
      <c r="BZ538" s="190"/>
      <c r="CA538" s="189"/>
      <c r="CB538" s="485" t="s">
        <v>638</v>
      </c>
    </row>
    <row r="539" spans="1:80" ht="15" x14ac:dyDescent="0.25">
      <c r="A539" s="167"/>
      <c r="B539" s="642"/>
      <c r="C539" s="642"/>
      <c r="D539" s="179"/>
      <c r="E539" s="169"/>
      <c r="F539" s="169"/>
      <c r="G539" s="187"/>
      <c r="H539" s="187"/>
      <c r="I539" s="187"/>
      <c r="J539" s="187"/>
      <c r="K539" s="187"/>
      <c r="L539" s="647"/>
      <c r="M539" s="646">
        <v>32289</v>
      </c>
      <c r="N539" s="585">
        <v>1.58</v>
      </c>
      <c r="O539" s="585">
        <v>8.4499999999999992E-3</v>
      </c>
      <c r="P539" s="175">
        <v>0</v>
      </c>
      <c r="Q539" s="175">
        <v>0</v>
      </c>
      <c r="R539" s="175">
        <v>0</v>
      </c>
      <c r="S539" s="175">
        <v>6.0000000000000002E-5</v>
      </c>
      <c r="T539" s="175">
        <v>4.2999999999999999E-4</v>
      </c>
      <c r="U539" s="175">
        <v>1.9499999999999999E-3</v>
      </c>
      <c r="V539" s="706">
        <v>6.0200000000000002E-3</v>
      </c>
      <c r="W539" s="717"/>
      <c r="X539" s="713"/>
      <c r="Y539" s="718"/>
      <c r="Z539" s="709">
        <v>0</v>
      </c>
      <c r="AA539" s="175"/>
      <c r="AB539" s="200"/>
      <c r="AC539" s="205">
        <v>1.9E-2</v>
      </c>
      <c r="AD539" s="175">
        <v>6.6</v>
      </c>
      <c r="AE539" s="175">
        <v>0.26</v>
      </c>
      <c r="AF539" s="186">
        <f t="shared" si="10"/>
        <v>1.716</v>
      </c>
      <c r="AG539" s="175">
        <v>0.94</v>
      </c>
      <c r="AH539" s="334"/>
      <c r="AI539" s="188"/>
      <c r="AJ539" s="188"/>
      <c r="AK539" s="188"/>
      <c r="AL539" s="189"/>
      <c r="AM539" s="189"/>
      <c r="AN539" s="189"/>
      <c r="AO539" s="189"/>
      <c r="AP539" s="189"/>
      <c r="AQ539" s="189"/>
      <c r="AR539" s="189"/>
      <c r="AS539" s="189"/>
      <c r="AT539" s="189"/>
      <c r="AU539" s="190"/>
      <c r="AV539" s="190"/>
      <c r="AW539" s="190"/>
      <c r="AX539" s="190"/>
      <c r="AY539" s="190"/>
      <c r="AZ539" s="189"/>
      <c r="BA539" s="189"/>
      <c r="BB539" s="189"/>
      <c r="BC539" s="189"/>
      <c r="BD539" s="189"/>
      <c r="BE539" s="189"/>
      <c r="BF539" s="189"/>
      <c r="BG539" s="189"/>
      <c r="BH539" s="189"/>
      <c r="BI539" s="190"/>
      <c r="BJ539" s="190"/>
      <c r="BK539" s="190"/>
      <c r="BL539" s="190"/>
      <c r="BM539" s="190"/>
      <c r="BN539" s="190"/>
      <c r="BO539" s="190"/>
      <c r="BP539" s="190"/>
      <c r="BQ539" s="190"/>
      <c r="BR539" s="190"/>
      <c r="BS539" s="190"/>
      <c r="BT539" s="190"/>
      <c r="BU539" s="190"/>
      <c r="BV539" s="190"/>
      <c r="BW539" s="190"/>
      <c r="BX539" s="190"/>
      <c r="BY539" s="190"/>
      <c r="BZ539" s="190"/>
      <c r="CA539" s="189"/>
      <c r="CB539" s="15"/>
    </row>
    <row r="540" spans="1:80" ht="15" x14ac:dyDescent="0.25">
      <c r="A540" s="167"/>
      <c r="B540" s="642"/>
      <c r="C540" s="642"/>
      <c r="D540" s="179"/>
      <c r="E540" s="169"/>
      <c r="F540" s="169"/>
      <c r="G540" s="187"/>
      <c r="H540" s="187"/>
      <c r="I540" s="187"/>
      <c r="J540" s="187"/>
      <c r="K540" s="187"/>
      <c r="L540" s="647"/>
      <c r="M540" s="646">
        <v>32290</v>
      </c>
      <c r="N540" s="585">
        <v>1.29</v>
      </c>
      <c r="O540" s="585">
        <v>3.0400000000000002E-3</v>
      </c>
      <c r="P540" s="175">
        <v>0</v>
      </c>
      <c r="Q540" s="175">
        <v>0</v>
      </c>
      <c r="R540" s="175">
        <v>0</v>
      </c>
      <c r="S540" s="175">
        <v>5.0000000000000002E-5</v>
      </c>
      <c r="T540" s="175">
        <v>2.5000000000000001E-4</v>
      </c>
      <c r="U540" s="175">
        <v>6.2E-4</v>
      </c>
      <c r="V540" s="706">
        <v>2.1199999999999999E-3</v>
      </c>
      <c r="W540" s="717"/>
      <c r="X540" s="713"/>
      <c r="Y540" s="718"/>
      <c r="Z540" s="709">
        <v>0</v>
      </c>
      <c r="AA540" s="175"/>
      <c r="AB540" s="200"/>
      <c r="AC540" s="205">
        <v>1.9E-2</v>
      </c>
      <c r="AD540" s="175">
        <v>6.55</v>
      </c>
      <c r="AE540" s="175">
        <v>0.23</v>
      </c>
      <c r="AF540" s="186">
        <f t="shared" si="10"/>
        <v>1.5065</v>
      </c>
      <c r="AG540" s="175">
        <v>0.87</v>
      </c>
      <c r="AH540" s="334"/>
      <c r="AI540" s="188"/>
      <c r="AJ540" s="188"/>
      <c r="AK540" s="188"/>
      <c r="AL540" s="189"/>
      <c r="AM540" s="189"/>
      <c r="AN540" s="189"/>
      <c r="AO540" s="189"/>
      <c r="AP540" s="189"/>
      <c r="AQ540" s="189"/>
      <c r="AR540" s="189"/>
      <c r="AS540" s="189"/>
      <c r="AT540" s="189"/>
      <c r="AU540" s="190"/>
      <c r="AV540" s="190"/>
      <c r="AW540" s="190"/>
      <c r="AX540" s="190"/>
      <c r="AY540" s="190"/>
      <c r="AZ540" s="189"/>
      <c r="BA540" s="189"/>
      <c r="BB540" s="189"/>
      <c r="BC540" s="189"/>
      <c r="BD540" s="189"/>
      <c r="BE540" s="189"/>
      <c r="BF540" s="189"/>
      <c r="BG540" s="189"/>
      <c r="BH540" s="189"/>
      <c r="BI540" s="190"/>
      <c r="BJ540" s="190"/>
      <c r="BK540" s="190"/>
      <c r="BL540" s="190"/>
      <c r="BM540" s="190"/>
      <c r="BN540" s="190"/>
      <c r="BO540" s="190"/>
      <c r="BP540" s="190"/>
      <c r="BQ540" s="190"/>
      <c r="BR540" s="190"/>
      <c r="BS540" s="190"/>
      <c r="BT540" s="190"/>
      <c r="BU540" s="190"/>
      <c r="BV540" s="190"/>
      <c r="BW540" s="190"/>
      <c r="BX540" s="190"/>
      <c r="BY540" s="190"/>
      <c r="BZ540" s="190"/>
      <c r="CA540" s="189"/>
      <c r="CB540" s="15"/>
    </row>
    <row r="541" spans="1:80" ht="15" x14ac:dyDescent="0.25">
      <c r="A541" s="167"/>
      <c r="B541" s="642"/>
      <c r="C541" s="642"/>
      <c r="D541" s="179"/>
      <c r="E541" s="169"/>
      <c r="F541" s="169"/>
      <c r="G541" s="187"/>
      <c r="H541" s="187"/>
      <c r="I541" s="187"/>
      <c r="J541" s="187"/>
      <c r="K541" s="187"/>
      <c r="L541" s="647"/>
      <c r="M541" s="646">
        <v>32291</v>
      </c>
      <c r="N541" s="585">
        <v>1.25</v>
      </c>
      <c r="O541" s="585">
        <v>3.7499999999999999E-3</v>
      </c>
      <c r="P541" s="175">
        <v>0</v>
      </c>
      <c r="Q541" s="175">
        <v>0</v>
      </c>
      <c r="R541" s="175">
        <v>0</v>
      </c>
      <c r="S541" s="175">
        <v>0</v>
      </c>
      <c r="T541" s="175">
        <v>5.1999999999999995E-4</v>
      </c>
      <c r="U541" s="175">
        <v>9.7999999999999997E-4</v>
      </c>
      <c r="V541" s="706">
        <v>2.2499999999999998E-3</v>
      </c>
      <c r="W541" s="717"/>
      <c r="X541" s="713"/>
      <c r="Y541" s="718"/>
      <c r="Z541" s="709">
        <v>0</v>
      </c>
      <c r="AA541" s="175"/>
      <c r="AB541" s="200"/>
      <c r="AC541" s="205">
        <v>1.9E-2</v>
      </c>
      <c r="AD541" s="175">
        <v>6.45</v>
      </c>
      <c r="AE541" s="175">
        <v>0.23</v>
      </c>
      <c r="AF541" s="186">
        <f t="shared" si="10"/>
        <v>1.4835</v>
      </c>
      <c r="AG541" s="175">
        <v>0.85</v>
      </c>
      <c r="AH541" s="334"/>
      <c r="AI541" s="188"/>
      <c r="AJ541" s="188"/>
      <c r="AK541" s="188"/>
      <c r="AL541" s="189"/>
      <c r="AM541" s="189"/>
      <c r="AN541" s="189"/>
      <c r="AO541" s="189"/>
      <c r="AP541" s="189"/>
      <c r="AQ541" s="189"/>
      <c r="AR541" s="189"/>
      <c r="AS541" s="189"/>
      <c r="AT541" s="189"/>
      <c r="AU541" s="190"/>
      <c r="AV541" s="190"/>
      <c r="AW541" s="190"/>
      <c r="AX541" s="190"/>
      <c r="AY541" s="190"/>
      <c r="AZ541" s="189"/>
      <c r="BA541" s="189"/>
      <c r="BB541" s="189"/>
      <c r="BC541" s="189"/>
      <c r="BD541" s="189"/>
      <c r="BE541" s="189"/>
      <c r="BF541" s="189"/>
      <c r="BG541" s="189"/>
      <c r="BH541" s="189"/>
      <c r="BI541" s="190"/>
      <c r="BJ541" s="190"/>
      <c r="BK541" s="190"/>
      <c r="BL541" s="190"/>
      <c r="BM541" s="190"/>
      <c r="BN541" s="190"/>
      <c r="BO541" s="190"/>
      <c r="BP541" s="190"/>
      <c r="BQ541" s="190"/>
      <c r="BR541" s="190"/>
      <c r="BS541" s="190"/>
      <c r="BT541" s="190"/>
      <c r="BU541" s="190"/>
      <c r="BV541" s="190"/>
      <c r="BW541" s="190"/>
      <c r="BX541" s="190"/>
      <c r="BY541" s="190"/>
      <c r="BZ541" s="190"/>
      <c r="CA541" s="189"/>
      <c r="CB541" s="15"/>
    </row>
    <row r="542" spans="1:80" ht="15" x14ac:dyDescent="0.25">
      <c r="A542" s="167"/>
      <c r="B542" s="642"/>
      <c r="C542" s="642"/>
      <c r="D542" s="179"/>
      <c r="E542" s="169"/>
      <c r="F542" s="169"/>
      <c r="G542" s="187"/>
      <c r="H542" s="187"/>
      <c r="I542" s="187"/>
      <c r="J542" s="187"/>
      <c r="K542" s="187"/>
      <c r="L542" s="647"/>
      <c r="M542" s="646">
        <v>32293</v>
      </c>
      <c r="N542" s="585">
        <v>1.23</v>
      </c>
      <c r="O542" s="585">
        <v>1.34E-3</v>
      </c>
      <c r="P542" s="175">
        <v>0</v>
      </c>
      <c r="Q542" s="175">
        <v>0</v>
      </c>
      <c r="R542" s="175">
        <v>0</v>
      </c>
      <c r="S542" s="175">
        <v>0</v>
      </c>
      <c r="T542" s="175">
        <v>2.0000000000000002E-5</v>
      </c>
      <c r="U542" s="175">
        <v>3.3E-4</v>
      </c>
      <c r="V542" s="706">
        <v>9.8999999999999999E-4</v>
      </c>
      <c r="W542" s="717"/>
      <c r="X542" s="713"/>
      <c r="Y542" s="718"/>
      <c r="Z542" s="709">
        <v>0</v>
      </c>
      <c r="AA542" s="175"/>
      <c r="AB542" s="200"/>
      <c r="AC542" s="205">
        <v>1.9E-2</v>
      </c>
      <c r="AD542" s="175">
        <v>6.4</v>
      </c>
      <c r="AE542" s="175">
        <v>0.22</v>
      </c>
      <c r="AF542" s="186">
        <f t="shared" si="10"/>
        <v>1.4080000000000001</v>
      </c>
      <c r="AG542" s="175">
        <v>0.87</v>
      </c>
      <c r="AH542" s="334"/>
      <c r="AI542" s="188"/>
      <c r="AJ542" s="188"/>
      <c r="AK542" s="188"/>
      <c r="AL542" s="189"/>
      <c r="AM542" s="189"/>
      <c r="AN542" s="189"/>
      <c r="AO542" s="189"/>
      <c r="AP542" s="189"/>
      <c r="AQ542" s="189"/>
      <c r="AR542" s="189"/>
      <c r="AS542" s="189"/>
      <c r="AT542" s="189"/>
      <c r="AU542" s="190"/>
      <c r="AV542" s="190"/>
      <c r="AW542" s="190"/>
      <c r="AX542" s="190"/>
      <c r="AY542" s="190"/>
      <c r="AZ542" s="189"/>
      <c r="BA542" s="189"/>
      <c r="BB542" s="189"/>
      <c r="BC542" s="189"/>
      <c r="BD542" s="189"/>
      <c r="BE542" s="189"/>
      <c r="BF542" s="189"/>
      <c r="BG542" s="189"/>
      <c r="BH542" s="189"/>
      <c r="BI542" s="190"/>
      <c r="BJ542" s="190"/>
      <c r="BK542" s="190"/>
      <c r="BL542" s="190"/>
      <c r="BM542" s="190"/>
      <c r="BN542" s="190"/>
      <c r="BO542" s="190"/>
      <c r="BP542" s="190"/>
      <c r="BQ542" s="190"/>
      <c r="BR542" s="190"/>
      <c r="BS542" s="190"/>
      <c r="BT542" s="190"/>
      <c r="BU542" s="190"/>
      <c r="BV542" s="190"/>
      <c r="BW542" s="190"/>
      <c r="BX542" s="190"/>
      <c r="BY542" s="190"/>
      <c r="BZ542" s="190"/>
      <c r="CA542" s="189"/>
      <c r="CB542" s="15"/>
    </row>
    <row r="543" spans="1:80" ht="15" x14ac:dyDescent="0.25">
      <c r="A543" s="167"/>
      <c r="B543" s="642"/>
      <c r="C543" s="642"/>
      <c r="D543" s="179"/>
      <c r="E543" s="169"/>
      <c r="F543" s="169"/>
      <c r="G543" s="187"/>
      <c r="H543" s="187"/>
      <c r="I543" s="187"/>
      <c r="J543" s="187"/>
      <c r="K543" s="187"/>
      <c r="L543" s="647"/>
      <c r="M543" s="646">
        <v>32295</v>
      </c>
      <c r="N543" s="585">
        <v>0.99</v>
      </c>
      <c r="O543" s="585">
        <v>7.5000000000000002E-4</v>
      </c>
      <c r="P543" s="175">
        <v>0</v>
      </c>
      <c r="Q543" s="175">
        <v>0</v>
      </c>
      <c r="R543" s="175">
        <v>0</v>
      </c>
      <c r="S543" s="175">
        <v>0</v>
      </c>
      <c r="T543" s="175">
        <v>0</v>
      </c>
      <c r="U543" s="175">
        <v>9.0000000000000006E-5</v>
      </c>
      <c r="V543" s="706">
        <v>6.6E-4</v>
      </c>
      <c r="W543" s="717"/>
      <c r="X543" s="713"/>
      <c r="Y543" s="718"/>
      <c r="Z543" s="709">
        <v>0</v>
      </c>
      <c r="AA543" s="175"/>
      <c r="AB543" s="200"/>
      <c r="AC543" s="205">
        <v>1.9E-2</v>
      </c>
      <c r="AD543" s="175">
        <v>6.4</v>
      </c>
      <c r="AE543" s="175">
        <v>0.19</v>
      </c>
      <c r="AF543" s="186">
        <f t="shared" si="10"/>
        <v>1.2160000000000002</v>
      </c>
      <c r="AG543" s="175">
        <v>0.83</v>
      </c>
      <c r="AH543" s="334"/>
      <c r="AI543" s="188"/>
      <c r="AJ543" s="188"/>
      <c r="AK543" s="188"/>
      <c r="AL543" s="189"/>
      <c r="AM543" s="189"/>
      <c r="AN543" s="189"/>
      <c r="AO543" s="189"/>
      <c r="AP543" s="189"/>
      <c r="AQ543" s="189"/>
      <c r="AR543" s="189"/>
      <c r="AS543" s="189"/>
      <c r="AT543" s="189"/>
      <c r="AU543" s="190"/>
      <c r="AV543" s="190"/>
      <c r="AW543" s="190"/>
      <c r="AX543" s="190"/>
      <c r="AY543" s="190"/>
      <c r="AZ543" s="189"/>
      <c r="BA543" s="189"/>
      <c r="BB543" s="189"/>
      <c r="BC543" s="189"/>
      <c r="BD543" s="189"/>
      <c r="BE543" s="189"/>
      <c r="BF543" s="189"/>
      <c r="BG543" s="189"/>
      <c r="BH543" s="189"/>
      <c r="BI543" s="190"/>
      <c r="BJ543" s="190"/>
      <c r="BK543" s="190"/>
      <c r="BL543" s="190"/>
      <c r="BM543" s="190"/>
      <c r="BN543" s="190"/>
      <c r="BO543" s="190"/>
      <c r="BP543" s="190"/>
      <c r="BQ543" s="190"/>
      <c r="BR543" s="190"/>
      <c r="BS543" s="190"/>
      <c r="BT543" s="190"/>
      <c r="BU543" s="190"/>
      <c r="BV543" s="190"/>
      <c r="BW543" s="190"/>
      <c r="BX543" s="190"/>
      <c r="BY543" s="190"/>
      <c r="BZ543" s="190"/>
      <c r="CA543" s="189"/>
      <c r="CB543" s="15"/>
    </row>
    <row r="544" spans="1:80" ht="15" x14ac:dyDescent="0.25">
      <c r="A544" s="167"/>
      <c r="B544" s="642"/>
      <c r="C544" s="642"/>
      <c r="D544" s="179"/>
      <c r="E544" s="169"/>
      <c r="F544" s="169"/>
      <c r="G544" s="187"/>
      <c r="H544" s="187"/>
      <c r="I544" s="187"/>
      <c r="J544" s="187"/>
      <c r="K544" s="187"/>
      <c r="L544" s="647"/>
      <c r="M544" s="646">
        <v>32296</v>
      </c>
      <c r="N544" s="585">
        <v>1.1399999999999999</v>
      </c>
      <c r="O544" s="585">
        <v>2.7299999999999998E-3</v>
      </c>
      <c r="P544" s="175">
        <v>0</v>
      </c>
      <c r="Q544" s="175">
        <v>0</v>
      </c>
      <c r="R544" s="175">
        <v>0</v>
      </c>
      <c r="S544" s="175">
        <v>0</v>
      </c>
      <c r="T544" s="175">
        <v>2.9999999999999997E-4</v>
      </c>
      <c r="U544" s="175">
        <v>8.0999999999999996E-4</v>
      </c>
      <c r="V544" s="706">
        <v>1.6199999999999999E-3</v>
      </c>
      <c r="W544" s="717"/>
      <c r="X544" s="713"/>
      <c r="Y544" s="718"/>
      <c r="Z544" s="709">
        <v>0</v>
      </c>
      <c r="AA544" s="175"/>
      <c r="AB544" s="200"/>
      <c r="AC544" s="205">
        <v>1.9E-2</v>
      </c>
      <c r="AD544" s="175">
        <v>6.4</v>
      </c>
      <c r="AE544" s="175">
        <v>0.21</v>
      </c>
      <c r="AF544" s="186">
        <f t="shared" si="10"/>
        <v>1.3440000000000001</v>
      </c>
      <c r="AG544" s="175">
        <v>0.83</v>
      </c>
      <c r="AH544" s="334"/>
      <c r="AI544" s="188"/>
      <c r="AJ544" s="188"/>
      <c r="AK544" s="188"/>
      <c r="AL544" s="189"/>
      <c r="AM544" s="189"/>
      <c r="AN544" s="189"/>
      <c r="AO544" s="189"/>
      <c r="AP544" s="189"/>
      <c r="AQ544" s="189"/>
      <c r="AR544" s="189"/>
      <c r="AS544" s="189"/>
      <c r="AT544" s="189"/>
      <c r="AU544" s="190"/>
      <c r="AV544" s="190"/>
      <c r="AW544" s="190"/>
      <c r="AX544" s="190"/>
      <c r="AY544" s="190"/>
      <c r="AZ544" s="189"/>
      <c r="BA544" s="189"/>
      <c r="BB544" s="189"/>
      <c r="BC544" s="189"/>
      <c r="BD544" s="189"/>
      <c r="BE544" s="189"/>
      <c r="BF544" s="189"/>
      <c r="BG544" s="189"/>
      <c r="BH544" s="189"/>
      <c r="BI544" s="190"/>
      <c r="BJ544" s="190"/>
      <c r="BK544" s="190"/>
      <c r="BL544" s="190"/>
      <c r="BM544" s="190"/>
      <c r="BN544" s="190"/>
      <c r="BO544" s="190"/>
      <c r="BP544" s="190"/>
      <c r="BQ544" s="190"/>
      <c r="BR544" s="190"/>
      <c r="BS544" s="190"/>
      <c r="BT544" s="190"/>
      <c r="BU544" s="190"/>
      <c r="BV544" s="190"/>
      <c r="BW544" s="190"/>
      <c r="BX544" s="190"/>
      <c r="BY544" s="190"/>
      <c r="BZ544" s="190"/>
      <c r="CA544" s="189"/>
      <c r="CB544" s="15"/>
    </row>
    <row r="545" spans="1:80" ht="15" x14ac:dyDescent="0.25">
      <c r="A545" s="167"/>
      <c r="B545" s="642"/>
      <c r="C545" s="642"/>
      <c r="D545" s="179"/>
      <c r="E545" s="169"/>
      <c r="F545" s="169"/>
      <c r="G545" s="187"/>
      <c r="H545" s="187"/>
      <c r="I545" s="187"/>
      <c r="J545" s="187"/>
      <c r="K545" s="187"/>
      <c r="L545" s="647"/>
      <c r="M545" s="646">
        <v>32297</v>
      </c>
      <c r="N545" s="585">
        <v>1.3</v>
      </c>
      <c r="O545" s="585">
        <v>4.1399999999999996E-3</v>
      </c>
      <c r="P545" s="175">
        <v>0</v>
      </c>
      <c r="Q545" s="175">
        <v>0</v>
      </c>
      <c r="R545" s="175">
        <v>0</v>
      </c>
      <c r="S545" s="175">
        <v>6.9999999999999994E-5</v>
      </c>
      <c r="T545" s="175">
        <v>4.4000000000000002E-4</v>
      </c>
      <c r="U545" s="175">
        <v>1.01E-3</v>
      </c>
      <c r="V545" s="706">
        <v>2.6099999999999999E-3</v>
      </c>
      <c r="W545" s="717"/>
      <c r="X545" s="713"/>
      <c r="Y545" s="718"/>
      <c r="Z545" s="709">
        <v>0</v>
      </c>
      <c r="AA545" s="175"/>
      <c r="AB545" s="200"/>
      <c r="AC545" s="205">
        <v>1.9E-2</v>
      </c>
      <c r="AD545" s="175">
        <v>6.4</v>
      </c>
      <c r="AE545" s="175">
        <v>0.21</v>
      </c>
      <c r="AF545" s="186">
        <f t="shared" si="10"/>
        <v>1.3440000000000001</v>
      </c>
      <c r="AG545" s="175">
        <v>0.95</v>
      </c>
      <c r="AH545" s="334"/>
      <c r="AI545" s="188"/>
      <c r="AJ545" s="188"/>
      <c r="AK545" s="188"/>
      <c r="AL545" s="189"/>
      <c r="AM545" s="189"/>
      <c r="AN545" s="189"/>
      <c r="AO545" s="189"/>
      <c r="AP545" s="189"/>
      <c r="AQ545" s="189"/>
      <c r="AR545" s="189"/>
      <c r="AS545" s="189"/>
      <c r="AT545" s="189"/>
      <c r="AU545" s="190"/>
      <c r="AV545" s="190"/>
      <c r="AW545" s="190"/>
      <c r="AX545" s="190"/>
      <c r="AY545" s="190"/>
      <c r="AZ545" s="189"/>
      <c r="BA545" s="189"/>
      <c r="BB545" s="189"/>
      <c r="BC545" s="189"/>
      <c r="BD545" s="189"/>
      <c r="BE545" s="189"/>
      <c r="BF545" s="189"/>
      <c r="BG545" s="189"/>
      <c r="BH545" s="189"/>
      <c r="BI545" s="190"/>
      <c r="BJ545" s="190"/>
      <c r="BK545" s="190"/>
      <c r="BL545" s="190"/>
      <c r="BM545" s="190"/>
      <c r="BN545" s="190"/>
      <c r="BO545" s="190"/>
      <c r="BP545" s="190"/>
      <c r="BQ545" s="190"/>
      <c r="BR545" s="190"/>
      <c r="BS545" s="190"/>
      <c r="BT545" s="190"/>
      <c r="BU545" s="190"/>
      <c r="BV545" s="190"/>
      <c r="BW545" s="190"/>
      <c r="BX545" s="190"/>
      <c r="BY545" s="190"/>
      <c r="BZ545" s="190"/>
      <c r="CA545" s="189"/>
      <c r="CB545" s="15"/>
    </row>
    <row r="546" spans="1:80" ht="15" x14ac:dyDescent="0.25">
      <c r="A546" s="167"/>
      <c r="B546" s="642"/>
      <c r="C546" s="642"/>
      <c r="D546" s="179"/>
      <c r="E546" s="169"/>
      <c r="F546" s="169"/>
      <c r="G546" s="187"/>
      <c r="H546" s="187"/>
      <c r="I546" s="187"/>
      <c r="J546" s="187"/>
      <c r="K546" s="187"/>
      <c r="L546" s="647"/>
      <c r="M546" s="646">
        <v>32297</v>
      </c>
      <c r="N546" s="585">
        <v>1.46</v>
      </c>
      <c r="O546" s="585">
        <v>2.5699999999999998E-3</v>
      </c>
      <c r="P546" s="175">
        <v>0</v>
      </c>
      <c r="Q546" s="175">
        <v>0</v>
      </c>
      <c r="R546" s="175">
        <v>0</v>
      </c>
      <c r="S546" s="175">
        <v>0</v>
      </c>
      <c r="T546" s="175">
        <v>2.7999999999999998E-4</v>
      </c>
      <c r="U546" s="175">
        <v>8.5999999999999998E-4</v>
      </c>
      <c r="V546" s="706">
        <v>1.4300000000000001E-3</v>
      </c>
      <c r="W546" s="717"/>
      <c r="X546" s="713"/>
      <c r="Y546" s="718"/>
      <c r="Z546" s="709">
        <v>0</v>
      </c>
      <c r="AA546" s="175"/>
      <c r="AB546" s="200"/>
      <c r="AC546" s="205">
        <v>1.9E-2</v>
      </c>
      <c r="AD546" s="175">
        <v>6.45</v>
      </c>
      <c r="AE546" s="175">
        <v>0.23</v>
      </c>
      <c r="AF546" s="186">
        <f t="shared" si="10"/>
        <v>1.4835</v>
      </c>
      <c r="AG546" s="175">
        <v>0.98</v>
      </c>
      <c r="AH546" s="334"/>
      <c r="AI546" s="188"/>
      <c r="AJ546" s="188"/>
      <c r="AK546" s="188"/>
      <c r="AL546" s="189"/>
      <c r="AM546" s="189"/>
      <c r="AN546" s="189"/>
      <c r="AO546" s="189"/>
      <c r="AP546" s="189"/>
      <c r="AQ546" s="189"/>
      <c r="AR546" s="189"/>
      <c r="AS546" s="189"/>
      <c r="AT546" s="189"/>
      <c r="AU546" s="190"/>
      <c r="AV546" s="190"/>
      <c r="AW546" s="190"/>
      <c r="AX546" s="190"/>
      <c r="AY546" s="190"/>
      <c r="AZ546" s="189"/>
      <c r="BA546" s="189"/>
      <c r="BB546" s="189"/>
      <c r="BC546" s="189"/>
      <c r="BD546" s="189"/>
      <c r="BE546" s="189"/>
      <c r="BF546" s="189"/>
      <c r="BG546" s="189"/>
      <c r="BH546" s="189"/>
      <c r="BI546" s="190"/>
      <c r="BJ546" s="190"/>
      <c r="BK546" s="190"/>
      <c r="BL546" s="190"/>
      <c r="BM546" s="190"/>
      <c r="BN546" s="190"/>
      <c r="BO546" s="190"/>
      <c r="BP546" s="190"/>
      <c r="BQ546" s="190"/>
      <c r="BR546" s="190"/>
      <c r="BS546" s="190"/>
      <c r="BT546" s="190"/>
      <c r="BU546" s="190"/>
      <c r="BV546" s="190"/>
      <c r="BW546" s="190"/>
      <c r="BX546" s="190"/>
      <c r="BY546" s="190"/>
      <c r="BZ546" s="190"/>
      <c r="CA546" s="189"/>
      <c r="CB546" s="15"/>
    </row>
    <row r="547" spans="1:80" ht="15" x14ac:dyDescent="0.25">
      <c r="A547" s="167"/>
      <c r="B547" s="642"/>
      <c r="C547" s="642"/>
      <c r="D547" s="179"/>
      <c r="E547" s="169"/>
      <c r="F547" s="169"/>
      <c r="G547" s="187"/>
      <c r="H547" s="187"/>
      <c r="I547" s="187"/>
      <c r="J547" s="187"/>
      <c r="K547" s="187"/>
      <c r="L547" s="647"/>
      <c r="M547" s="646">
        <v>32298</v>
      </c>
      <c r="N547" s="585">
        <v>1.24</v>
      </c>
      <c r="O547" s="585">
        <v>1.7000000000000001E-4</v>
      </c>
      <c r="P547" s="175">
        <v>0</v>
      </c>
      <c r="Q547" s="175">
        <v>0</v>
      </c>
      <c r="R547" s="175">
        <v>0</v>
      </c>
      <c r="S547" s="175">
        <v>0</v>
      </c>
      <c r="T547" s="175">
        <v>0</v>
      </c>
      <c r="U547" s="175">
        <v>3.0000000000000001E-5</v>
      </c>
      <c r="V547" s="706">
        <v>1.4999999999999999E-4</v>
      </c>
      <c r="W547" s="717"/>
      <c r="X547" s="713"/>
      <c r="Y547" s="718"/>
      <c r="Z547" s="709">
        <v>0</v>
      </c>
      <c r="AA547" s="175"/>
      <c r="AB547" s="200"/>
      <c r="AC547" s="205">
        <v>1.9E-2</v>
      </c>
      <c r="AD547" s="175">
        <v>6.45</v>
      </c>
      <c r="AE547" s="175">
        <v>0.23</v>
      </c>
      <c r="AF547" s="186">
        <f t="shared" si="10"/>
        <v>1.4835</v>
      </c>
      <c r="AG547" s="175">
        <v>0.85</v>
      </c>
      <c r="AH547" s="334"/>
      <c r="AI547" s="188"/>
      <c r="AJ547" s="188"/>
      <c r="AK547" s="188"/>
      <c r="AL547" s="189"/>
      <c r="AM547" s="189"/>
      <c r="AN547" s="189"/>
      <c r="AO547" s="189"/>
      <c r="AP547" s="189"/>
      <c r="AQ547" s="189"/>
      <c r="AR547" s="189"/>
      <c r="AS547" s="189"/>
      <c r="AT547" s="189"/>
      <c r="AU547" s="190"/>
      <c r="AV547" s="190"/>
      <c r="AW547" s="190"/>
      <c r="AX547" s="190"/>
      <c r="AY547" s="190"/>
      <c r="AZ547" s="189"/>
      <c r="BA547" s="189"/>
      <c r="BB547" s="189"/>
      <c r="BC547" s="189"/>
      <c r="BD547" s="189"/>
      <c r="BE547" s="189"/>
      <c r="BF547" s="189"/>
      <c r="BG547" s="189"/>
      <c r="BH547" s="189"/>
      <c r="BI547" s="190"/>
      <c r="BJ547" s="190"/>
      <c r="BK547" s="190"/>
      <c r="BL547" s="190"/>
      <c r="BM547" s="190"/>
      <c r="BN547" s="190"/>
      <c r="BO547" s="190"/>
      <c r="BP547" s="190"/>
      <c r="BQ547" s="190"/>
      <c r="BR547" s="190"/>
      <c r="BS547" s="190"/>
      <c r="BT547" s="190"/>
      <c r="BU547" s="190"/>
      <c r="BV547" s="190"/>
      <c r="BW547" s="190"/>
      <c r="BX547" s="190"/>
      <c r="BY547" s="190"/>
      <c r="BZ547" s="190"/>
      <c r="CA547" s="189"/>
      <c r="CB547" s="15"/>
    </row>
    <row r="548" spans="1:80" ht="15" x14ac:dyDescent="0.25">
      <c r="A548" s="167"/>
      <c r="B548" s="642"/>
      <c r="C548" s="642"/>
      <c r="D548" s="179"/>
      <c r="E548" s="169"/>
      <c r="F548" s="169"/>
      <c r="G548" s="187"/>
      <c r="H548" s="187"/>
      <c r="I548" s="187"/>
      <c r="J548" s="187"/>
      <c r="K548" s="187"/>
      <c r="L548" s="647"/>
      <c r="M548" s="646">
        <v>32300</v>
      </c>
      <c r="N548" s="585">
        <v>0.99</v>
      </c>
      <c r="O548" s="585">
        <v>3.6000000000000002E-4</v>
      </c>
      <c r="P548" s="175">
        <v>0</v>
      </c>
      <c r="Q548" s="175">
        <v>0</v>
      </c>
      <c r="R548" s="175">
        <v>0</v>
      </c>
      <c r="S548" s="175">
        <v>0</v>
      </c>
      <c r="T548" s="175">
        <v>1.0000000000000001E-5</v>
      </c>
      <c r="U548" s="175">
        <v>5.0000000000000002E-5</v>
      </c>
      <c r="V548" s="706">
        <v>2.9999999999999997E-4</v>
      </c>
      <c r="W548" s="717"/>
      <c r="X548" s="713"/>
      <c r="Y548" s="718"/>
      <c r="Z548" s="709">
        <v>0</v>
      </c>
      <c r="AA548" s="175"/>
      <c r="AB548" s="200"/>
      <c r="AC548" s="205">
        <v>1.9E-2</v>
      </c>
      <c r="AD548" s="175">
        <v>6.45</v>
      </c>
      <c r="AE548" s="175">
        <v>0.2</v>
      </c>
      <c r="AF548" s="186">
        <f t="shared" si="10"/>
        <v>1.29</v>
      </c>
      <c r="AG548" s="175">
        <v>0.78</v>
      </c>
      <c r="AH548" s="334"/>
      <c r="AI548" s="188"/>
      <c r="AJ548" s="188"/>
      <c r="AK548" s="188"/>
      <c r="AL548" s="189"/>
      <c r="AM548" s="189"/>
      <c r="AN548" s="189"/>
      <c r="AO548" s="189"/>
      <c r="AP548" s="189"/>
      <c r="AQ548" s="189"/>
      <c r="AR548" s="189"/>
      <c r="AS548" s="189"/>
      <c r="AT548" s="189"/>
      <c r="AU548" s="190"/>
      <c r="AV548" s="190"/>
      <c r="AW548" s="190"/>
      <c r="AX548" s="190"/>
      <c r="AY548" s="190"/>
      <c r="AZ548" s="189"/>
      <c r="BA548" s="189"/>
      <c r="BB548" s="189"/>
      <c r="BC548" s="189"/>
      <c r="BD548" s="189"/>
      <c r="BE548" s="189"/>
      <c r="BF548" s="189"/>
      <c r="BG548" s="189"/>
      <c r="BH548" s="189"/>
      <c r="BI548" s="190"/>
      <c r="BJ548" s="190"/>
      <c r="BK548" s="190"/>
      <c r="BL548" s="190"/>
      <c r="BM548" s="190"/>
      <c r="BN548" s="190"/>
      <c r="BO548" s="190"/>
      <c r="BP548" s="190"/>
      <c r="BQ548" s="190"/>
      <c r="BR548" s="190"/>
      <c r="BS548" s="190"/>
      <c r="BT548" s="190"/>
      <c r="BU548" s="190"/>
      <c r="BV548" s="190"/>
      <c r="BW548" s="190"/>
      <c r="BX548" s="190"/>
      <c r="BY548" s="190"/>
      <c r="BZ548" s="190"/>
      <c r="CA548" s="189"/>
      <c r="CB548" s="15"/>
    </row>
    <row r="549" spans="1:80" ht="15" x14ac:dyDescent="0.25">
      <c r="A549" s="167"/>
      <c r="B549" s="642"/>
      <c r="C549" s="642"/>
      <c r="D549" s="179"/>
      <c r="E549" s="169"/>
      <c r="F549" s="169"/>
      <c r="G549" s="187"/>
      <c r="H549" s="187"/>
      <c r="I549" s="187"/>
      <c r="J549" s="187"/>
      <c r="K549" s="187"/>
      <c r="L549" s="647"/>
      <c r="M549" s="646">
        <v>32302</v>
      </c>
      <c r="N549" s="585">
        <v>1.68</v>
      </c>
      <c r="O549" s="585">
        <v>1.1299999999999999E-3</v>
      </c>
      <c r="P549" s="175">
        <v>0</v>
      </c>
      <c r="Q549" s="175">
        <v>0</v>
      </c>
      <c r="R549" s="175">
        <v>0</v>
      </c>
      <c r="S549" s="175">
        <v>1.6000000000000001E-4</v>
      </c>
      <c r="T549" s="175">
        <v>1E-4</v>
      </c>
      <c r="U549" s="175">
        <v>1.1E-4</v>
      </c>
      <c r="V549" s="706">
        <v>7.6000000000000004E-4</v>
      </c>
      <c r="W549" s="717"/>
      <c r="X549" s="713"/>
      <c r="Y549" s="718"/>
      <c r="Z549" s="709">
        <v>0</v>
      </c>
      <c r="AA549" s="175"/>
      <c r="AB549" s="200"/>
      <c r="AC549" s="205">
        <v>1.9E-2</v>
      </c>
      <c r="AD549" s="175">
        <v>6.4</v>
      </c>
      <c r="AE549" s="175">
        <v>0.25</v>
      </c>
      <c r="AF549" s="186">
        <f t="shared" si="10"/>
        <v>1.6</v>
      </c>
      <c r="AG549" s="175">
        <v>1.07</v>
      </c>
      <c r="AH549" s="334"/>
      <c r="AI549" s="188"/>
      <c r="AJ549" s="188"/>
      <c r="AK549" s="188"/>
      <c r="AL549" s="189"/>
      <c r="AM549" s="189"/>
      <c r="AN549" s="189"/>
      <c r="AO549" s="189"/>
      <c r="AP549" s="189"/>
      <c r="AQ549" s="189"/>
      <c r="AR549" s="189"/>
      <c r="AS549" s="189"/>
      <c r="AT549" s="189"/>
      <c r="AU549" s="190"/>
      <c r="AV549" s="190"/>
      <c r="AW549" s="190"/>
      <c r="AX549" s="190"/>
      <c r="AY549" s="190"/>
      <c r="AZ549" s="189"/>
      <c r="BA549" s="189"/>
      <c r="BB549" s="189"/>
      <c r="BC549" s="189"/>
      <c r="BD549" s="189"/>
      <c r="BE549" s="189"/>
      <c r="BF549" s="189"/>
      <c r="BG549" s="189"/>
      <c r="BH549" s="189"/>
      <c r="BI549" s="190"/>
      <c r="BJ549" s="190"/>
      <c r="BK549" s="190"/>
      <c r="BL549" s="190"/>
      <c r="BM549" s="190"/>
      <c r="BN549" s="190"/>
      <c r="BO549" s="190"/>
      <c r="BP549" s="190"/>
      <c r="BQ549" s="190"/>
      <c r="BR549" s="190"/>
      <c r="BS549" s="190"/>
      <c r="BT549" s="190"/>
      <c r="BU549" s="190"/>
      <c r="BV549" s="190"/>
      <c r="BW549" s="190"/>
      <c r="BX549" s="190"/>
      <c r="BY549" s="190"/>
      <c r="BZ549" s="190"/>
      <c r="CA549" s="189"/>
      <c r="CB549" s="15"/>
    </row>
    <row r="550" spans="1:80" ht="15" x14ac:dyDescent="0.25">
      <c r="A550" s="167"/>
      <c r="B550" s="642"/>
      <c r="C550" s="642"/>
      <c r="D550" s="179"/>
      <c r="E550" s="169"/>
      <c r="F550" s="169"/>
      <c r="G550" s="187"/>
      <c r="H550" s="187"/>
      <c r="I550" s="187"/>
      <c r="J550" s="187"/>
      <c r="K550" s="187"/>
      <c r="L550" s="647"/>
      <c r="M550" s="646">
        <v>32303</v>
      </c>
      <c r="N550" s="585">
        <v>1.95</v>
      </c>
      <c r="O550" s="585">
        <v>1.99E-3</v>
      </c>
      <c r="P550" s="175">
        <v>0</v>
      </c>
      <c r="Q550" s="175">
        <v>0</v>
      </c>
      <c r="R550" s="175">
        <v>0</v>
      </c>
      <c r="S550" s="175">
        <v>8.0000000000000007E-5</v>
      </c>
      <c r="T550" s="175">
        <v>3.0000000000000001E-5</v>
      </c>
      <c r="U550" s="175">
        <v>1.4999999999999999E-4</v>
      </c>
      <c r="V550" s="706">
        <v>1.73E-3</v>
      </c>
      <c r="W550" s="717"/>
      <c r="X550" s="713"/>
      <c r="Y550" s="718"/>
      <c r="Z550" s="709">
        <v>0</v>
      </c>
      <c r="AA550" s="175"/>
      <c r="AB550" s="200"/>
      <c r="AC550" s="205">
        <v>1.9E-2</v>
      </c>
      <c r="AD550" s="175">
        <v>6.5</v>
      </c>
      <c r="AE550" s="175">
        <v>0.27</v>
      </c>
      <c r="AF550" s="186">
        <f t="shared" si="10"/>
        <v>1.7550000000000001</v>
      </c>
      <c r="AG550" s="175">
        <v>1.1200000000000001</v>
      </c>
      <c r="AH550" s="334"/>
      <c r="AI550" s="188"/>
      <c r="AJ550" s="188"/>
      <c r="AK550" s="188"/>
      <c r="AL550" s="189"/>
      <c r="AM550" s="189"/>
      <c r="AN550" s="189"/>
      <c r="AO550" s="189"/>
      <c r="AP550" s="189"/>
      <c r="AQ550" s="189"/>
      <c r="AR550" s="189"/>
      <c r="AS550" s="189"/>
      <c r="AT550" s="189"/>
      <c r="AU550" s="190"/>
      <c r="AV550" s="190"/>
      <c r="AW550" s="190"/>
      <c r="AX550" s="190"/>
      <c r="AY550" s="190"/>
      <c r="AZ550" s="189"/>
      <c r="BA550" s="189"/>
      <c r="BB550" s="189"/>
      <c r="BC550" s="189"/>
      <c r="BD550" s="189"/>
      <c r="BE550" s="189"/>
      <c r="BF550" s="189"/>
      <c r="BG550" s="189"/>
      <c r="BH550" s="189"/>
      <c r="BI550" s="190"/>
      <c r="BJ550" s="190"/>
      <c r="BK550" s="190"/>
      <c r="BL550" s="190"/>
      <c r="BM550" s="190"/>
      <c r="BN550" s="190"/>
      <c r="BO550" s="190"/>
      <c r="BP550" s="190"/>
      <c r="BQ550" s="190"/>
      <c r="BR550" s="190"/>
      <c r="BS550" s="190"/>
      <c r="BT550" s="190"/>
      <c r="BU550" s="190"/>
      <c r="BV550" s="190"/>
      <c r="BW550" s="190"/>
      <c r="BX550" s="190"/>
      <c r="BY550" s="190"/>
      <c r="BZ550" s="190"/>
      <c r="CA550" s="189"/>
      <c r="CB550" s="15"/>
    </row>
    <row r="551" spans="1:80" ht="15" x14ac:dyDescent="0.25">
      <c r="A551" s="167"/>
      <c r="B551" s="642"/>
      <c r="C551" s="642"/>
      <c r="D551" s="179"/>
      <c r="E551" s="169"/>
      <c r="F551" s="169"/>
      <c r="G551" s="187"/>
      <c r="H551" s="187"/>
      <c r="I551" s="187"/>
      <c r="J551" s="187"/>
      <c r="K551" s="187"/>
      <c r="L551" s="647"/>
      <c r="M551" s="646">
        <v>32304</v>
      </c>
      <c r="N551" s="585">
        <v>1.9</v>
      </c>
      <c r="O551" s="585">
        <v>8.9599999999999992E-3</v>
      </c>
      <c r="P551" s="175">
        <v>0</v>
      </c>
      <c r="Q551" s="175">
        <v>0</v>
      </c>
      <c r="R551" s="175">
        <v>0</v>
      </c>
      <c r="S551" s="175">
        <v>0</v>
      </c>
      <c r="T551" s="175">
        <v>7.5000000000000002E-4</v>
      </c>
      <c r="U551" s="175">
        <v>2.96E-3</v>
      </c>
      <c r="V551" s="706">
        <v>5.2500000000000003E-3</v>
      </c>
      <c r="W551" s="717"/>
      <c r="X551" s="713"/>
      <c r="Y551" s="718"/>
      <c r="Z551" s="709">
        <v>0</v>
      </c>
      <c r="AA551" s="175"/>
      <c r="AB551" s="200"/>
      <c r="AC551" s="205">
        <v>1.9E-2</v>
      </c>
      <c r="AD551" s="175">
        <v>6.4</v>
      </c>
      <c r="AE551" s="175">
        <v>0.27</v>
      </c>
      <c r="AF551" s="186">
        <f t="shared" si="10"/>
        <v>1.7280000000000002</v>
      </c>
      <c r="AG551" s="175">
        <v>1.08</v>
      </c>
      <c r="AH551" s="334"/>
      <c r="AI551" s="188"/>
      <c r="AJ551" s="188"/>
      <c r="AK551" s="188"/>
      <c r="AL551" s="189"/>
      <c r="AM551" s="189"/>
      <c r="AN551" s="189"/>
      <c r="AO551" s="189"/>
      <c r="AP551" s="189"/>
      <c r="AQ551" s="189"/>
      <c r="AR551" s="189"/>
      <c r="AS551" s="189"/>
      <c r="AT551" s="189"/>
      <c r="AU551" s="190"/>
      <c r="AV551" s="190"/>
      <c r="AW551" s="190"/>
      <c r="AX551" s="190"/>
      <c r="AY551" s="190"/>
      <c r="AZ551" s="189"/>
      <c r="BA551" s="189"/>
      <c r="BB551" s="189"/>
      <c r="BC551" s="189"/>
      <c r="BD551" s="189"/>
      <c r="BE551" s="189"/>
      <c r="BF551" s="189"/>
      <c r="BG551" s="189"/>
      <c r="BH551" s="189"/>
      <c r="BI551" s="190"/>
      <c r="BJ551" s="190"/>
      <c r="BK551" s="190"/>
      <c r="BL551" s="190"/>
      <c r="BM551" s="190"/>
      <c r="BN551" s="190"/>
      <c r="BO551" s="190"/>
      <c r="BP551" s="190"/>
      <c r="BQ551" s="190"/>
      <c r="BR551" s="190"/>
      <c r="BS551" s="190"/>
      <c r="BT551" s="190"/>
      <c r="BU551" s="190"/>
      <c r="BV551" s="190"/>
      <c r="BW551" s="190"/>
      <c r="BX551" s="190"/>
      <c r="BY551" s="190"/>
      <c r="BZ551" s="190"/>
      <c r="CA551" s="189"/>
      <c r="CB551" s="15"/>
    </row>
    <row r="552" spans="1:80" ht="15" x14ac:dyDescent="0.25">
      <c r="A552" s="167"/>
      <c r="B552" s="642"/>
      <c r="C552" s="642"/>
      <c r="D552" s="179"/>
      <c r="E552" s="169"/>
      <c r="F552" s="169"/>
      <c r="G552" s="187"/>
      <c r="H552" s="187"/>
      <c r="I552" s="187"/>
      <c r="J552" s="187"/>
      <c r="K552" s="187"/>
      <c r="L552" s="647"/>
      <c r="M552" s="646">
        <v>32305</v>
      </c>
      <c r="N552" s="585">
        <v>2.09</v>
      </c>
      <c r="O552" s="585">
        <v>7.11E-3</v>
      </c>
      <c r="P552" s="175">
        <v>0</v>
      </c>
      <c r="Q552" s="175">
        <v>0</v>
      </c>
      <c r="R552" s="175">
        <v>0</v>
      </c>
      <c r="S552" s="175">
        <v>7.3999999999999999E-4</v>
      </c>
      <c r="T552" s="175">
        <v>7.2999999999999996E-4</v>
      </c>
      <c r="U552" s="175">
        <v>1.64E-3</v>
      </c>
      <c r="V552" s="706">
        <v>4.0000000000000001E-3</v>
      </c>
      <c r="W552" s="717"/>
      <c r="X552" s="713"/>
      <c r="Y552" s="718"/>
      <c r="Z552" s="709">
        <v>0</v>
      </c>
      <c r="AA552" s="175"/>
      <c r="AB552" s="200"/>
      <c r="AC552" s="205">
        <v>1.9E-2</v>
      </c>
      <c r="AD552" s="175">
        <v>6.4</v>
      </c>
      <c r="AE552" s="175">
        <v>0.28000000000000003</v>
      </c>
      <c r="AF552" s="186">
        <f t="shared" si="10"/>
        <v>1.7920000000000003</v>
      </c>
      <c r="AG552" s="175">
        <v>1.1499999999999999</v>
      </c>
      <c r="AH552" s="334"/>
      <c r="AI552" s="188"/>
      <c r="AJ552" s="188"/>
      <c r="AK552" s="188"/>
      <c r="AL552" s="189"/>
      <c r="AM552" s="189"/>
      <c r="AN552" s="189"/>
      <c r="AO552" s="189"/>
      <c r="AP552" s="189"/>
      <c r="AQ552" s="189"/>
      <c r="AR552" s="189"/>
      <c r="AS552" s="189"/>
      <c r="AT552" s="189"/>
      <c r="AU552" s="190"/>
      <c r="AV552" s="190"/>
      <c r="AW552" s="190"/>
      <c r="AX552" s="190"/>
      <c r="AY552" s="190"/>
      <c r="AZ552" s="189"/>
      <c r="BA552" s="189"/>
      <c r="BB552" s="189"/>
      <c r="BC552" s="189"/>
      <c r="BD552" s="189"/>
      <c r="BE552" s="189"/>
      <c r="BF552" s="189"/>
      <c r="BG552" s="189"/>
      <c r="BH552" s="189"/>
      <c r="BI552" s="190"/>
      <c r="BJ552" s="190"/>
      <c r="BK552" s="190"/>
      <c r="BL552" s="190"/>
      <c r="BM552" s="190"/>
      <c r="BN552" s="190"/>
      <c r="BO552" s="190"/>
      <c r="BP552" s="190"/>
      <c r="BQ552" s="190"/>
      <c r="BR552" s="190"/>
      <c r="BS552" s="190"/>
      <c r="BT552" s="190"/>
      <c r="BU552" s="190"/>
      <c r="BV552" s="190"/>
      <c r="BW552" s="190"/>
      <c r="BX552" s="190"/>
      <c r="BY552" s="190"/>
      <c r="BZ552" s="190"/>
      <c r="CA552" s="189"/>
      <c r="CB552" s="15"/>
    </row>
    <row r="553" spans="1:80" ht="15" x14ac:dyDescent="0.25">
      <c r="A553" s="167"/>
      <c r="B553" s="642"/>
      <c r="C553" s="642"/>
      <c r="D553" s="179"/>
      <c r="E553" s="169"/>
      <c r="F553" s="169"/>
      <c r="G553" s="187"/>
      <c r="H553" s="187"/>
      <c r="I553" s="187"/>
      <c r="J553" s="187"/>
      <c r="K553" s="187"/>
      <c r="L553" s="647"/>
      <c r="M553" s="646">
        <v>32306</v>
      </c>
      <c r="N553" s="585">
        <v>1.97</v>
      </c>
      <c r="O553" s="585">
        <v>2.4299999999999999E-2</v>
      </c>
      <c r="P553" s="175">
        <v>0</v>
      </c>
      <c r="Q553" s="175">
        <v>0</v>
      </c>
      <c r="R553" s="175">
        <v>1.0200000000000001E-3</v>
      </c>
      <c r="S553" s="175">
        <v>1.0200000000000001E-3</v>
      </c>
      <c r="T553" s="175">
        <v>3.2299999999999998E-3</v>
      </c>
      <c r="U553" s="175">
        <v>7.3000000000000001E-3</v>
      </c>
      <c r="V553" s="706">
        <v>1.174E-2</v>
      </c>
      <c r="W553" s="717"/>
      <c r="X553" s="713"/>
      <c r="Y553" s="718"/>
      <c r="Z553" s="709">
        <v>0</v>
      </c>
      <c r="AA553" s="175"/>
      <c r="AB553" s="200"/>
      <c r="AC553" s="205">
        <v>1.9E-2</v>
      </c>
      <c r="AD553" s="175">
        <v>6.5</v>
      </c>
      <c r="AE553" s="175">
        <v>0.28000000000000003</v>
      </c>
      <c r="AF553" s="186">
        <f t="shared" si="10"/>
        <v>1.8200000000000003</v>
      </c>
      <c r="AG553" s="175">
        <v>1.08</v>
      </c>
      <c r="AH553" s="334"/>
      <c r="AI553" s="188"/>
      <c r="AJ553" s="188"/>
      <c r="AK553" s="188"/>
      <c r="AL553" s="189"/>
      <c r="AM553" s="189"/>
      <c r="AN553" s="189"/>
      <c r="AO553" s="189"/>
      <c r="AP553" s="189"/>
      <c r="AQ553" s="189"/>
      <c r="AR553" s="189"/>
      <c r="AS553" s="189"/>
      <c r="AT553" s="189"/>
      <c r="AU553" s="190"/>
      <c r="AV553" s="190"/>
      <c r="AW553" s="190"/>
      <c r="AX553" s="190"/>
      <c r="AY553" s="190"/>
      <c r="AZ553" s="189"/>
      <c r="BA553" s="189"/>
      <c r="BB553" s="189"/>
      <c r="BC553" s="189"/>
      <c r="BD553" s="189"/>
      <c r="BE553" s="189"/>
      <c r="BF553" s="189"/>
      <c r="BG553" s="189"/>
      <c r="BH553" s="189"/>
      <c r="BI553" s="190"/>
      <c r="BJ553" s="190"/>
      <c r="BK553" s="190"/>
      <c r="BL553" s="190"/>
      <c r="BM553" s="190"/>
      <c r="BN553" s="190"/>
      <c r="BO553" s="190"/>
      <c r="BP553" s="190"/>
      <c r="BQ553" s="190"/>
      <c r="BR553" s="190"/>
      <c r="BS553" s="190"/>
      <c r="BT553" s="190"/>
      <c r="BU553" s="190"/>
      <c r="BV553" s="190"/>
      <c r="BW553" s="190"/>
      <c r="BX553" s="190"/>
      <c r="BY553" s="190"/>
      <c r="BZ553" s="190"/>
      <c r="CA553" s="189"/>
      <c r="CB553" s="15"/>
    </row>
    <row r="554" spans="1:80" ht="15" x14ac:dyDescent="0.25">
      <c r="A554" s="167"/>
      <c r="B554" s="642"/>
      <c r="C554" s="642"/>
      <c r="D554" s="179"/>
      <c r="E554" s="169"/>
      <c r="F554" s="169"/>
      <c r="G554" s="187"/>
      <c r="H554" s="187"/>
      <c r="I554" s="187"/>
      <c r="J554" s="187"/>
      <c r="K554" s="187"/>
      <c r="L554" s="647"/>
      <c r="M554" s="646">
        <v>32307</v>
      </c>
      <c r="N554" s="585">
        <v>2.21</v>
      </c>
      <c r="O554" s="585">
        <v>9.8899999999999995E-3</v>
      </c>
      <c r="P554" s="175">
        <v>0</v>
      </c>
      <c r="Q554" s="175">
        <v>0</v>
      </c>
      <c r="R554" s="175">
        <v>7.1000000000000002E-4</v>
      </c>
      <c r="S554" s="175">
        <v>4.6000000000000001E-4</v>
      </c>
      <c r="T554" s="175">
        <v>1.2600000000000001E-3</v>
      </c>
      <c r="U554" s="175">
        <v>2.4099999999999998E-3</v>
      </c>
      <c r="V554" s="706">
        <v>5.0400000000000002E-3</v>
      </c>
      <c r="W554" s="717"/>
      <c r="X554" s="713"/>
      <c r="Y554" s="718"/>
      <c r="Z554" s="709">
        <v>0</v>
      </c>
      <c r="AA554" s="175"/>
      <c r="AB554" s="200"/>
      <c r="AC554" s="205">
        <v>1.9E-2</v>
      </c>
      <c r="AD554" s="175">
        <v>6.6</v>
      </c>
      <c r="AE554" s="175">
        <v>0.28999999999999998</v>
      </c>
      <c r="AF554" s="186">
        <f t="shared" si="10"/>
        <v>1.9139999999999997</v>
      </c>
      <c r="AG554" s="175">
        <v>1.1599999999999999</v>
      </c>
      <c r="AH554" s="334"/>
      <c r="AI554" s="188"/>
      <c r="AJ554" s="188"/>
      <c r="AK554" s="188"/>
      <c r="AL554" s="189"/>
      <c r="AM554" s="189"/>
      <c r="AN554" s="189"/>
      <c r="AO554" s="189"/>
      <c r="AP554" s="189"/>
      <c r="AQ554" s="189"/>
      <c r="AR554" s="189"/>
      <c r="AS554" s="189"/>
      <c r="AT554" s="189"/>
      <c r="AU554" s="190"/>
      <c r="AV554" s="190"/>
      <c r="AW554" s="190"/>
      <c r="AX554" s="190"/>
      <c r="AY554" s="190"/>
      <c r="AZ554" s="189"/>
      <c r="BA554" s="189"/>
      <c r="BB554" s="189"/>
      <c r="BC554" s="189"/>
      <c r="BD554" s="189"/>
      <c r="BE554" s="189"/>
      <c r="BF554" s="189"/>
      <c r="BG554" s="189"/>
      <c r="BH554" s="189"/>
      <c r="BI554" s="190"/>
      <c r="BJ554" s="190"/>
      <c r="BK554" s="190"/>
      <c r="BL554" s="190"/>
      <c r="BM554" s="190"/>
      <c r="BN554" s="190"/>
      <c r="BO554" s="190"/>
      <c r="BP554" s="190"/>
      <c r="BQ554" s="190"/>
      <c r="BR554" s="190"/>
      <c r="BS554" s="190"/>
      <c r="BT554" s="190"/>
      <c r="BU554" s="190"/>
      <c r="BV554" s="190"/>
      <c r="BW554" s="190"/>
      <c r="BX554" s="190"/>
      <c r="BY554" s="190"/>
      <c r="BZ554" s="190"/>
      <c r="CA554" s="189"/>
      <c r="CB554" s="15"/>
    </row>
    <row r="555" spans="1:80" ht="15" x14ac:dyDescent="0.25">
      <c r="A555" s="167"/>
      <c r="B555" s="642"/>
      <c r="C555" s="642"/>
      <c r="D555" s="179"/>
      <c r="E555" s="169"/>
      <c r="F555" s="169"/>
      <c r="G555" s="187"/>
      <c r="H555" s="187"/>
      <c r="I555" s="187"/>
      <c r="J555" s="187"/>
      <c r="K555" s="187"/>
      <c r="L555" s="647"/>
      <c r="M555" s="646">
        <v>32308</v>
      </c>
      <c r="N555" s="585">
        <v>2.02</v>
      </c>
      <c r="O555" s="585">
        <v>4.2900000000000004E-3</v>
      </c>
      <c r="P555" s="175">
        <v>0</v>
      </c>
      <c r="Q555" s="175">
        <v>0</v>
      </c>
      <c r="R555" s="175">
        <v>0</v>
      </c>
      <c r="S555" s="175">
        <v>0</v>
      </c>
      <c r="T555" s="175">
        <v>3.1E-4</v>
      </c>
      <c r="U555" s="175">
        <v>7.5000000000000002E-4</v>
      </c>
      <c r="V555" s="706">
        <v>3.2299999999999998E-3</v>
      </c>
      <c r="W555" s="717"/>
      <c r="X555" s="713"/>
      <c r="Y555" s="718"/>
      <c r="Z555" s="709">
        <v>0</v>
      </c>
      <c r="AA555" s="175"/>
      <c r="AB555" s="200"/>
      <c r="AC555" s="205">
        <v>1.9E-2</v>
      </c>
      <c r="AD555" s="175">
        <v>6.65</v>
      </c>
      <c r="AE555" s="175">
        <v>0.28000000000000003</v>
      </c>
      <c r="AF555" s="186">
        <f t="shared" si="10"/>
        <v>1.8620000000000003</v>
      </c>
      <c r="AG555" s="175">
        <v>1.0900000000000001</v>
      </c>
      <c r="AH555" s="334"/>
      <c r="AI555" s="188"/>
      <c r="AJ555" s="188"/>
      <c r="AK555" s="188"/>
      <c r="AL555" s="189"/>
      <c r="AM555" s="189"/>
      <c r="AN555" s="189"/>
      <c r="AO555" s="189"/>
      <c r="AP555" s="189"/>
      <c r="AQ555" s="189"/>
      <c r="AR555" s="189"/>
      <c r="AS555" s="189"/>
      <c r="AT555" s="189"/>
      <c r="AU555" s="190"/>
      <c r="AV555" s="190"/>
      <c r="AW555" s="190"/>
      <c r="AX555" s="190"/>
      <c r="AY555" s="190"/>
      <c r="AZ555" s="189"/>
      <c r="BA555" s="189"/>
      <c r="BB555" s="189"/>
      <c r="BC555" s="189"/>
      <c r="BD555" s="189"/>
      <c r="BE555" s="189"/>
      <c r="BF555" s="189"/>
      <c r="BG555" s="189"/>
      <c r="BH555" s="189"/>
      <c r="BI555" s="190"/>
      <c r="BJ555" s="190"/>
      <c r="BK555" s="190"/>
      <c r="BL555" s="190"/>
      <c r="BM555" s="190"/>
      <c r="BN555" s="190"/>
      <c r="BO555" s="190"/>
      <c r="BP555" s="190"/>
      <c r="BQ555" s="190"/>
      <c r="BR555" s="190"/>
      <c r="BS555" s="190"/>
      <c r="BT555" s="190"/>
      <c r="BU555" s="190"/>
      <c r="BV555" s="190"/>
      <c r="BW555" s="190"/>
      <c r="BX555" s="190"/>
      <c r="BY555" s="190"/>
      <c r="BZ555" s="190"/>
      <c r="CA555" s="189"/>
      <c r="CB555" s="15"/>
    </row>
    <row r="556" spans="1:80" ht="15" x14ac:dyDescent="0.25">
      <c r="A556" s="167"/>
      <c r="B556" s="642"/>
      <c r="C556" s="642"/>
      <c r="D556" s="179"/>
      <c r="E556" s="169"/>
      <c r="F556" s="169"/>
      <c r="G556" s="187"/>
      <c r="H556" s="187"/>
      <c r="I556" s="187"/>
      <c r="J556" s="187"/>
      <c r="K556" s="187"/>
      <c r="L556" s="647"/>
      <c r="M556" s="646">
        <v>32309</v>
      </c>
      <c r="N556" s="585">
        <v>1.72</v>
      </c>
      <c r="O556" s="585">
        <v>2.2799999999999999E-3</v>
      </c>
      <c r="P556" s="175">
        <v>0</v>
      </c>
      <c r="Q556" s="175">
        <v>0</v>
      </c>
      <c r="R556" s="175">
        <v>1E-3</v>
      </c>
      <c r="S556" s="175">
        <v>9.0000000000000006E-5</v>
      </c>
      <c r="T556" s="175">
        <v>2.0000000000000002E-5</v>
      </c>
      <c r="U556" s="175">
        <v>1.4999999999999999E-4</v>
      </c>
      <c r="V556" s="706">
        <v>1.0200000000000001E-3</v>
      </c>
      <c r="W556" s="717"/>
      <c r="X556" s="713"/>
      <c r="Y556" s="718"/>
      <c r="Z556" s="709">
        <v>0</v>
      </c>
      <c r="AA556" s="175"/>
      <c r="AB556" s="200"/>
      <c r="AC556" s="205">
        <v>1.9E-2</v>
      </c>
      <c r="AD556" s="175">
        <v>6.65</v>
      </c>
      <c r="AE556" s="175">
        <v>0.26</v>
      </c>
      <c r="AF556" s="186">
        <f t="shared" si="10"/>
        <v>1.7290000000000001</v>
      </c>
      <c r="AG556" s="175">
        <v>1.01</v>
      </c>
      <c r="AH556" s="334"/>
      <c r="AI556" s="188"/>
      <c r="AJ556" s="188"/>
      <c r="AK556" s="188"/>
      <c r="AL556" s="189"/>
      <c r="AM556" s="189"/>
      <c r="AN556" s="189"/>
      <c r="AO556" s="189"/>
      <c r="AP556" s="189"/>
      <c r="AQ556" s="189"/>
      <c r="AR556" s="189"/>
      <c r="AS556" s="189"/>
      <c r="AT556" s="189"/>
      <c r="AU556" s="190"/>
      <c r="AV556" s="190"/>
      <c r="AW556" s="190"/>
      <c r="AX556" s="190"/>
      <c r="AY556" s="190"/>
      <c r="AZ556" s="189"/>
      <c r="BA556" s="189"/>
      <c r="BB556" s="189"/>
      <c r="BC556" s="189"/>
      <c r="BD556" s="189"/>
      <c r="BE556" s="189"/>
      <c r="BF556" s="189"/>
      <c r="BG556" s="189"/>
      <c r="BH556" s="189"/>
      <c r="BI556" s="190"/>
      <c r="BJ556" s="190"/>
      <c r="BK556" s="190"/>
      <c r="BL556" s="190"/>
      <c r="BM556" s="190"/>
      <c r="BN556" s="190"/>
      <c r="BO556" s="190"/>
      <c r="BP556" s="190"/>
      <c r="BQ556" s="190"/>
      <c r="BR556" s="190"/>
      <c r="BS556" s="190"/>
      <c r="BT556" s="190"/>
      <c r="BU556" s="190"/>
      <c r="BV556" s="190"/>
      <c r="BW556" s="190"/>
      <c r="BX556" s="190"/>
      <c r="BY556" s="190"/>
      <c r="BZ556" s="190"/>
      <c r="CA556" s="189"/>
      <c r="CB556" s="15"/>
    </row>
    <row r="557" spans="1:80" ht="15" x14ac:dyDescent="0.25">
      <c r="A557" s="167"/>
      <c r="B557" s="642"/>
      <c r="C557" s="642"/>
      <c r="D557" s="179"/>
      <c r="E557" s="169"/>
      <c r="F557" s="169"/>
      <c r="G557" s="187"/>
      <c r="H557" s="187"/>
      <c r="I557" s="187"/>
      <c r="J557" s="187"/>
      <c r="K557" s="187"/>
      <c r="L557" s="647"/>
      <c r="M557" s="646">
        <v>32312</v>
      </c>
      <c r="N557" s="585">
        <v>2.19</v>
      </c>
      <c r="O557" s="585">
        <v>3.0100000000000001E-3</v>
      </c>
      <c r="P557" s="175">
        <v>0</v>
      </c>
      <c r="Q557" s="175">
        <v>0</v>
      </c>
      <c r="R557" s="175">
        <v>0</v>
      </c>
      <c r="S557" s="175">
        <v>0</v>
      </c>
      <c r="T557" s="175">
        <v>3.6000000000000002E-4</v>
      </c>
      <c r="U557" s="175">
        <v>6.7000000000000002E-4</v>
      </c>
      <c r="V557" s="706">
        <v>1.98E-3</v>
      </c>
      <c r="W557" s="717"/>
      <c r="X557" s="713"/>
      <c r="Y557" s="718"/>
      <c r="Z557" s="709">
        <v>0</v>
      </c>
      <c r="AA557" s="175"/>
      <c r="AB557" s="200"/>
      <c r="AC557" s="205">
        <v>1.9E-2</v>
      </c>
      <c r="AD557" s="175">
        <v>6.6</v>
      </c>
      <c r="AE557" s="175">
        <v>0.28999999999999998</v>
      </c>
      <c r="AF557" s="186">
        <f t="shared" si="10"/>
        <v>1.9139999999999997</v>
      </c>
      <c r="AG557" s="175">
        <v>1.1599999999999999</v>
      </c>
      <c r="AH557" s="334"/>
      <c r="AI557" s="188"/>
      <c r="AJ557" s="188"/>
      <c r="AK557" s="188"/>
      <c r="AL557" s="189"/>
      <c r="AM557" s="189"/>
      <c r="AN557" s="189"/>
      <c r="AO557" s="189"/>
      <c r="AP557" s="189"/>
      <c r="AQ557" s="189"/>
      <c r="AR557" s="189"/>
      <c r="AS557" s="189"/>
      <c r="AT557" s="189"/>
      <c r="AU557" s="190"/>
      <c r="AV557" s="190"/>
      <c r="AW557" s="190"/>
      <c r="AX557" s="190"/>
      <c r="AY557" s="190"/>
      <c r="AZ557" s="189"/>
      <c r="BA557" s="189"/>
      <c r="BB557" s="189"/>
      <c r="BC557" s="189"/>
      <c r="BD557" s="189"/>
      <c r="BE557" s="189"/>
      <c r="BF557" s="189"/>
      <c r="BG557" s="189"/>
      <c r="BH557" s="189"/>
      <c r="BI557" s="190"/>
      <c r="BJ557" s="190"/>
      <c r="BK557" s="190"/>
      <c r="BL557" s="190"/>
      <c r="BM557" s="190"/>
      <c r="BN557" s="190"/>
      <c r="BO557" s="190"/>
      <c r="BP557" s="190"/>
      <c r="BQ557" s="190"/>
      <c r="BR557" s="190"/>
      <c r="BS557" s="190"/>
      <c r="BT557" s="190"/>
      <c r="BU557" s="190"/>
      <c r="BV557" s="190"/>
      <c r="BW557" s="190"/>
      <c r="BX557" s="190"/>
      <c r="BY557" s="190"/>
      <c r="BZ557" s="190"/>
      <c r="CA557" s="189"/>
      <c r="CB557" s="15"/>
    </row>
    <row r="558" spans="1:80" ht="15" x14ac:dyDescent="0.25">
      <c r="A558" s="167"/>
      <c r="B558" s="642"/>
      <c r="C558" s="642"/>
      <c r="D558" s="179"/>
      <c r="E558" s="169"/>
      <c r="F558" s="169"/>
      <c r="G558" s="187"/>
      <c r="H558" s="187"/>
      <c r="I558" s="187"/>
      <c r="J558" s="187"/>
      <c r="K558" s="187"/>
      <c r="L558" s="647"/>
      <c r="M558" s="646">
        <v>32317</v>
      </c>
      <c r="N558" s="585">
        <v>2.19</v>
      </c>
      <c r="O558" s="585">
        <v>2.0300000000000001E-3</v>
      </c>
      <c r="P558" s="175">
        <v>0</v>
      </c>
      <c r="Q558" s="175">
        <v>0</v>
      </c>
      <c r="R558" s="175">
        <v>0</v>
      </c>
      <c r="S558" s="175">
        <v>6.9999999999999994E-5</v>
      </c>
      <c r="T558" s="175">
        <v>2.7E-4</v>
      </c>
      <c r="U558" s="175">
        <v>5.5000000000000003E-4</v>
      </c>
      <c r="V558" s="706">
        <v>1.15E-3</v>
      </c>
      <c r="W558" s="717"/>
      <c r="X558" s="713"/>
      <c r="Y558" s="718"/>
      <c r="Z558" s="709">
        <v>0</v>
      </c>
      <c r="AA558" s="175"/>
      <c r="AB558" s="200"/>
      <c r="AC558" s="205">
        <v>1.9E-2</v>
      </c>
      <c r="AD558" s="175">
        <v>6.6</v>
      </c>
      <c r="AE558" s="175">
        <v>0.31</v>
      </c>
      <c r="AF558" s="186">
        <f t="shared" si="10"/>
        <v>2.0459999999999998</v>
      </c>
      <c r="AG558" s="175">
        <v>1.07</v>
      </c>
      <c r="AH558" s="334"/>
      <c r="AI558" s="188"/>
      <c r="AJ558" s="188"/>
      <c r="AK558" s="188"/>
      <c r="AL558" s="189"/>
      <c r="AM558" s="189"/>
      <c r="AN558" s="189"/>
      <c r="AO558" s="189"/>
      <c r="AP558" s="189"/>
      <c r="AQ558" s="189"/>
      <c r="AR558" s="189"/>
      <c r="AS558" s="189"/>
      <c r="AT558" s="189"/>
      <c r="AU558" s="190"/>
      <c r="AV558" s="190"/>
      <c r="AW558" s="190"/>
      <c r="AX558" s="190"/>
      <c r="AY558" s="190"/>
      <c r="AZ558" s="189"/>
      <c r="BA558" s="189"/>
      <c r="BB558" s="189"/>
      <c r="BC558" s="189"/>
      <c r="BD558" s="189"/>
      <c r="BE558" s="189"/>
      <c r="BF558" s="189"/>
      <c r="BG558" s="189"/>
      <c r="BH558" s="189"/>
      <c r="BI558" s="190"/>
      <c r="BJ558" s="190"/>
      <c r="BK558" s="190"/>
      <c r="BL558" s="190"/>
      <c r="BM558" s="190"/>
      <c r="BN558" s="190"/>
      <c r="BO558" s="190"/>
      <c r="BP558" s="190"/>
      <c r="BQ558" s="190"/>
      <c r="BR558" s="190"/>
      <c r="BS558" s="190"/>
      <c r="BT558" s="190"/>
      <c r="BU558" s="190"/>
      <c r="BV558" s="190"/>
      <c r="BW558" s="190"/>
      <c r="BX558" s="190"/>
      <c r="BY558" s="190"/>
      <c r="BZ558" s="190"/>
      <c r="CA558" s="189"/>
      <c r="CB558" s="15"/>
    </row>
    <row r="559" spans="1:80" ht="15" x14ac:dyDescent="0.25">
      <c r="A559" s="167"/>
      <c r="B559" s="642"/>
      <c r="C559" s="642"/>
      <c r="D559" s="179"/>
      <c r="E559" s="169"/>
      <c r="F559" s="169"/>
      <c r="G559" s="187"/>
      <c r="H559" s="187"/>
      <c r="I559" s="187"/>
      <c r="J559" s="187"/>
      <c r="K559" s="187"/>
      <c r="L559" s="647"/>
      <c r="M559" s="646">
        <v>32331</v>
      </c>
      <c r="N559" s="585">
        <v>1.1399999999999999</v>
      </c>
      <c r="O559" s="585">
        <v>1.9480000000000001E-2</v>
      </c>
      <c r="P559" s="175">
        <v>0</v>
      </c>
      <c r="Q559" s="175">
        <v>0</v>
      </c>
      <c r="R559" s="175">
        <v>0</v>
      </c>
      <c r="S559" s="175">
        <v>1.1000000000000001E-3</v>
      </c>
      <c r="T559" s="175">
        <v>4.7400000000000003E-3</v>
      </c>
      <c r="U559" s="175">
        <v>8.1700000000000002E-3</v>
      </c>
      <c r="V559" s="706">
        <v>5.4599999999999996E-3</v>
      </c>
      <c r="W559" s="717"/>
      <c r="X559" s="713"/>
      <c r="Y559" s="718"/>
      <c r="Z559" s="709">
        <v>0</v>
      </c>
      <c r="AA559" s="175"/>
      <c r="AB559" s="200"/>
      <c r="AC559" s="205">
        <v>1.9E-2</v>
      </c>
      <c r="AD559" s="175">
        <v>6.45</v>
      </c>
      <c r="AE559" s="175">
        <v>0.21</v>
      </c>
      <c r="AF559" s="186">
        <f t="shared" si="10"/>
        <v>1.3545</v>
      </c>
      <c r="AG559" s="175">
        <v>0.85</v>
      </c>
      <c r="AH559" s="334"/>
      <c r="AI559" s="188"/>
      <c r="AJ559" s="188"/>
      <c r="AK559" s="188"/>
      <c r="AL559" s="189"/>
      <c r="AM559" s="189"/>
      <c r="AN559" s="189"/>
      <c r="AO559" s="189"/>
      <c r="AP559" s="189"/>
      <c r="AQ559" s="189"/>
      <c r="AR559" s="189"/>
      <c r="AS559" s="189"/>
      <c r="AT559" s="189"/>
      <c r="AU559" s="190"/>
      <c r="AV559" s="190"/>
      <c r="AW559" s="190"/>
      <c r="AX559" s="190"/>
      <c r="AY559" s="190"/>
      <c r="AZ559" s="189"/>
      <c r="BA559" s="189"/>
      <c r="BB559" s="189"/>
      <c r="BC559" s="189"/>
      <c r="BD559" s="189"/>
      <c r="BE559" s="189"/>
      <c r="BF559" s="189"/>
      <c r="BG559" s="189"/>
      <c r="BH559" s="189"/>
      <c r="BI559" s="190"/>
      <c r="BJ559" s="190"/>
      <c r="BK559" s="190"/>
      <c r="BL559" s="190"/>
      <c r="BM559" s="190"/>
      <c r="BN559" s="190"/>
      <c r="BO559" s="190"/>
      <c r="BP559" s="190"/>
      <c r="BQ559" s="190"/>
      <c r="BR559" s="190"/>
      <c r="BS559" s="190"/>
      <c r="BT559" s="190"/>
      <c r="BU559" s="190"/>
      <c r="BV559" s="190"/>
      <c r="BW559" s="190"/>
      <c r="BX559" s="190"/>
      <c r="BY559" s="190"/>
      <c r="BZ559" s="190"/>
      <c r="CA559" s="189"/>
      <c r="CB559" s="15"/>
    </row>
    <row r="560" spans="1:80" ht="15" x14ac:dyDescent="0.25">
      <c r="A560" s="167"/>
      <c r="B560" s="642"/>
      <c r="C560" s="642"/>
      <c r="D560" s="179"/>
      <c r="E560" s="169"/>
      <c r="F560" s="169"/>
      <c r="G560" s="187"/>
      <c r="H560" s="187"/>
      <c r="I560" s="187"/>
      <c r="J560" s="187"/>
      <c r="K560" s="187"/>
      <c r="L560" s="647"/>
      <c r="M560" s="646">
        <v>32337</v>
      </c>
      <c r="N560" s="585">
        <v>0.87</v>
      </c>
      <c r="O560" s="585">
        <v>3.0000000000000001E-5</v>
      </c>
      <c r="P560" s="175">
        <v>0</v>
      </c>
      <c r="Q560" s="175">
        <v>0</v>
      </c>
      <c r="R560" s="175">
        <v>0</v>
      </c>
      <c r="S560" s="175">
        <v>0</v>
      </c>
      <c r="T560" s="175">
        <v>0</v>
      </c>
      <c r="U560" s="175">
        <v>1.0000000000000001E-5</v>
      </c>
      <c r="V560" s="706">
        <v>2.0000000000000002E-5</v>
      </c>
      <c r="W560" s="717"/>
      <c r="X560" s="713"/>
      <c r="Y560" s="718"/>
      <c r="Z560" s="709">
        <v>0</v>
      </c>
      <c r="AA560" s="175"/>
      <c r="AB560" s="200"/>
      <c r="AC560" s="205">
        <v>1.9E-2</v>
      </c>
      <c r="AD560" s="175">
        <v>6.4</v>
      </c>
      <c r="AE560" s="175">
        <v>0.19</v>
      </c>
      <c r="AF560" s="186">
        <f t="shared" si="10"/>
        <v>1.2160000000000002</v>
      </c>
      <c r="AG560" s="175">
        <v>0.71</v>
      </c>
      <c r="AH560" s="334"/>
      <c r="AI560" s="188"/>
      <c r="AJ560" s="188"/>
      <c r="AK560" s="188"/>
      <c r="AL560" s="189"/>
      <c r="AM560" s="189"/>
      <c r="AN560" s="189"/>
      <c r="AO560" s="189"/>
      <c r="AP560" s="189"/>
      <c r="AQ560" s="189"/>
      <c r="AR560" s="189"/>
      <c r="AS560" s="189"/>
      <c r="AT560" s="189"/>
      <c r="AU560" s="190"/>
      <c r="AV560" s="190"/>
      <c r="AW560" s="190"/>
      <c r="AX560" s="190"/>
      <c r="AY560" s="190"/>
      <c r="AZ560" s="189"/>
      <c r="BA560" s="189"/>
      <c r="BB560" s="189"/>
      <c r="BC560" s="189"/>
      <c r="BD560" s="189"/>
      <c r="BE560" s="189"/>
      <c r="BF560" s="189"/>
      <c r="BG560" s="189"/>
      <c r="BH560" s="189"/>
      <c r="BI560" s="190"/>
      <c r="BJ560" s="190"/>
      <c r="BK560" s="190"/>
      <c r="BL560" s="190"/>
      <c r="BM560" s="190"/>
      <c r="BN560" s="190"/>
      <c r="BO560" s="190"/>
      <c r="BP560" s="190"/>
      <c r="BQ560" s="190"/>
      <c r="BR560" s="190"/>
      <c r="BS560" s="190"/>
      <c r="BT560" s="190"/>
      <c r="BU560" s="190"/>
      <c r="BV560" s="190"/>
      <c r="BW560" s="190"/>
      <c r="BX560" s="190"/>
      <c r="BY560" s="190"/>
      <c r="BZ560" s="190"/>
      <c r="CA560" s="189"/>
      <c r="CB560" s="15"/>
    </row>
    <row r="561" spans="1:80" ht="15" x14ac:dyDescent="0.25">
      <c r="A561" s="167"/>
      <c r="B561" s="642"/>
      <c r="C561" s="642"/>
      <c r="D561" s="179"/>
      <c r="E561" s="169"/>
      <c r="F561" s="169"/>
      <c r="G561" s="187"/>
      <c r="H561" s="187"/>
      <c r="I561" s="187"/>
      <c r="J561" s="187"/>
      <c r="K561" s="187"/>
      <c r="L561" s="647"/>
      <c r="M561" s="646">
        <v>32653</v>
      </c>
      <c r="N561" s="585">
        <v>1.17</v>
      </c>
      <c r="O561" s="585">
        <v>8.8000000000000003E-4</v>
      </c>
      <c r="P561" s="175">
        <v>0</v>
      </c>
      <c r="Q561" s="175">
        <v>0</v>
      </c>
      <c r="R561" s="175">
        <v>0</v>
      </c>
      <c r="S561" s="175">
        <v>0</v>
      </c>
      <c r="T561" s="175">
        <v>0</v>
      </c>
      <c r="U561" s="175">
        <v>4.0000000000000003E-5</v>
      </c>
      <c r="V561" s="706">
        <v>8.4000000000000003E-4</v>
      </c>
      <c r="W561" s="717"/>
      <c r="X561" s="713"/>
      <c r="Y561" s="718"/>
      <c r="Z561" s="709">
        <v>0</v>
      </c>
      <c r="AA561" s="175"/>
      <c r="AB561" s="200"/>
      <c r="AC561" s="205">
        <v>1.4999999999999999E-2</v>
      </c>
      <c r="AD561" s="175">
        <v>6.45</v>
      </c>
      <c r="AE561" s="175">
        <v>0.25</v>
      </c>
      <c r="AF561" s="186">
        <f t="shared" si="10"/>
        <v>1.6125</v>
      </c>
      <c r="AG561" s="175">
        <v>0.72</v>
      </c>
      <c r="AH561" s="334"/>
      <c r="AI561" s="188"/>
      <c r="AJ561" s="188"/>
      <c r="AK561" s="188"/>
      <c r="AL561" s="189"/>
      <c r="AM561" s="189"/>
      <c r="AN561" s="189"/>
      <c r="AO561" s="189"/>
      <c r="AP561" s="189"/>
      <c r="AQ561" s="189"/>
      <c r="AR561" s="189"/>
      <c r="AS561" s="189"/>
      <c r="AT561" s="189"/>
      <c r="AU561" s="190"/>
      <c r="AV561" s="190"/>
      <c r="AW561" s="190"/>
      <c r="AX561" s="190"/>
      <c r="AY561" s="190"/>
      <c r="AZ561" s="189"/>
      <c r="BA561" s="189"/>
      <c r="BB561" s="189"/>
      <c r="BC561" s="189"/>
      <c r="BD561" s="189"/>
      <c r="BE561" s="189"/>
      <c r="BF561" s="189"/>
      <c r="BG561" s="189"/>
      <c r="BH561" s="189"/>
      <c r="BI561" s="190"/>
      <c r="BJ561" s="190"/>
      <c r="BK561" s="190"/>
      <c r="BL561" s="190"/>
      <c r="BM561" s="190"/>
      <c r="BN561" s="190"/>
      <c r="BO561" s="190"/>
      <c r="BP561" s="190"/>
      <c r="BQ561" s="190"/>
      <c r="BR561" s="190"/>
      <c r="BS561" s="190"/>
      <c r="BT561" s="190"/>
      <c r="BU561" s="190"/>
      <c r="BV561" s="190"/>
      <c r="BW561" s="190"/>
      <c r="BX561" s="190"/>
      <c r="BY561" s="190"/>
      <c r="BZ561" s="190"/>
      <c r="CA561" s="189"/>
      <c r="CB561" s="15"/>
    </row>
    <row r="562" spans="1:80" ht="15" x14ac:dyDescent="0.25">
      <c r="A562" s="167"/>
      <c r="B562" s="642"/>
      <c r="C562" s="642"/>
      <c r="D562" s="179"/>
      <c r="E562" s="169"/>
      <c r="F562" s="169"/>
      <c r="G562" s="187"/>
      <c r="H562" s="187"/>
      <c r="I562" s="187"/>
      <c r="J562" s="187"/>
      <c r="K562" s="187"/>
      <c r="L562" s="647"/>
      <c r="M562" s="646">
        <v>32654</v>
      </c>
      <c r="N562" s="585">
        <v>1.37</v>
      </c>
      <c r="O562" s="585">
        <v>5.6999999999999998E-4</v>
      </c>
      <c r="P562" s="175">
        <v>0</v>
      </c>
      <c r="Q562" s="175">
        <v>0</v>
      </c>
      <c r="R562" s="175">
        <v>0</v>
      </c>
      <c r="S562" s="175">
        <v>0</v>
      </c>
      <c r="T562" s="175">
        <v>0</v>
      </c>
      <c r="U562" s="175">
        <v>6.9999999999999994E-5</v>
      </c>
      <c r="V562" s="706">
        <v>4.8999999999999998E-4</v>
      </c>
      <c r="W562" s="717"/>
      <c r="X562" s="713"/>
      <c r="Y562" s="718"/>
      <c r="Z562" s="709">
        <v>0</v>
      </c>
      <c r="AA562" s="175"/>
      <c r="AB562" s="200"/>
      <c r="AC562" s="205">
        <v>1.9E-2</v>
      </c>
      <c r="AD562" s="175">
        <v>6.4</v>
      </c>
      <c r="AE562" s="175">
        <v>0.26</v>
      </c>
      <c r="AF562" s="186">
        <f t="shared" si="10"/>
        <v>1.6640000000000001</v>
      </c>
      <c r="AG562" s="175">
        <v>0.84</v>
      </c>
      <c r="AH562" s="334"/>
      <c r="AI562" s="188"/>
      <c r="AJ562" s="188"/>
      <c r="AK562" s="188"/>
      <c r="AL562" s="189"/>
      <c r="AM562" s="189"/>
      <c r="AN562" s="189"/>
      <c r="AO562" s="189"/>
      <c r="AP562" s="189"/>
      <c r="AQ562" s="189"/>
      <c r="AR562" s="189"/>
      <c r="AS562" s="189"/>
      <c r="AT562" s="189"/>
      <c r="AU562" s="190"/>
      <c r="AV562" s="190"/>
      <c r="AW562" s="190"/>
      <c r="AX562" s="190"/>
      <c r="AY562" s="190"/>
      <c r="AZ562" s="189"/>
      <c r="BA562" s="189"/>
      <c r="BB562" s="189"/>
      <c r="BC562" s="189"/>
      <c r="BD562" s="189"/>
      <c r="BE562" s="189"/>
      <c r="BF562" s="189"/>
      <c r="BG562" s="189"/>
      <c r="BH562" s="189"/>
      <c r="BI562" s="190"/>
      <c r="BJ562" s="190"/>
      <c r="BK562" s="190"/>
      <c r="BL562" s="190"/>
      <c r="BM562" s="190"/>
      <c r="BN562" s="190"/>
      <c r="BO562" s="190"/>
      <c r="BP562" s="190"/>
      <c r="BQ562" s="190"/>
      <c r="BR562" s="190"/>
      <c r="BS562" s="190"/>
      <c r="BT562" s="190"/>
      <c r="BU562" s="190"/>
      <c r="BV562" s="190"/>
      <c r="BW562" s="190"/>
      <c r="BX562" s="190"/>
      <c r="BY562" s="190"/>
      <c r="BZ562" s="190"/>
      <c r="CA562" s="189"/>
      <c r="CB562" s="15"/>
    </row>
    <row r="563" spans="1:80" ht="15" x14ac:dyDescent="0.25">
      <c r="A563" s="167"/>
      <c r="B563" s="642"/>
      <c r="C563" s="642"/>
      <c r="D563" s="179"/>
      <c r="E563" s="169"/>
      <c r="F563" s="169"/>
      <c r="G563" s="187"/>
      <c r="H563" s="187"/>
      <c r="I563" s="187"/>
      <c r="J563" s="187"/>
      <c r="K563" s="187"/>
      <c r="L563" s="647"/>
      <c r="M563" s="646">
        <v>32661</v>
      </c>
      <c r="N563" s="585">
        <v>1.81</v>
      </c>
      <c r="O563" s="585">
        <v>1.6100000000000001E-3</v>
      </c>
      <c r="P563" s="175">
        <v>0</v>
      </c>
      <c r="Q563" s="175">
        <v>0</v>
      </c>
      <c r="R563" s="175">
        <v>0</v>
      </c>
      <c r="S563" s="175">
        <v>0</v>
      </c>
      <c r="T563" s="175">
        <v>6.9999999999999994E-5</v>
      </c>
      <c r="U563" s="175">
        <v>4.6000000000000001E-4</v>
      </c>
      <c r="V563" s="706">
        <v>1.08E-3</v>
      </c>
      <c r="W563" s="717"/>
      <c r="X563" s="713"/>
      <c r="Y563" s="718"/>
      <c r="Z563" s="709">
        <v>0</v>
      </c>
      <c r="AA563" s="175"/>
      <c r="AB563" s="200"/>
      <c r="AC563" s="205">
        <v>1.4999999999999999E-2</v>
      </c>
      <c r="AD563" s="175">
        <v>6.3</v>
      </c>
      <c r="AE563" s="175">
        <v>0.31</v>
      </c>
      <c r="AF563" s="186">
        <f t="shared" si="10"/>
        <v>1.9529999999999998</v>
      </c>
      <c r="AG563" s="175">
        <v>0.92</v>
      </c>
      <c r="AH563" s="334"/>
      <c r="AI563" s="188"/>
      <c r="AJ563" s="188"/>
      <c r="AK563" s="188"/>
      <c r="AL563" s="189"/>
      <c r="AM563" s="189"/>
      <c r="AN563" s="189"/>
      <c r="AO563" s="189"/>
      <c r="AP563" s="189"/>
      <c r="AQ563" s="189"/>
      <c r="AR563" s="189"/>
      <c r="AS563" s="189"/>
      <c r="AT563" s="189"/>
      <c r="AU563" s="190"/>
      <c r="AV563" s="190"/>
      <c r="AW563" s="190"/>
      <c r="AX563" s="190"/>
      <c r="AY563" s="190"/>
      <c r="AZ563" s="189"/>
      <c r="BA563" s="189"/>
      <c r="BB563" s="189"/>
      <c r="BC563" s="189"/>
      <c r="BD563" s="189"/>
      <c r="BE563" s="189"/>
      <c r="BF563" s="189"/>
      <c r="BG563" s="189"/>
      <c r="BH563" s="189"/>
      <c r="BI563" s="190"/>
      <c r="BJ563" s="190"/>
      <c r="BK563" s="190"/>
      <c r="BL563" s="190"/>
      <c r="BM563" s="190"/>
      <c r="BN563" s="190"/>
      <c r="BO563" s="190"/>
      <c r="BP563" s="190"/>
      <c r="BQ563" s="190"/>
      <c r="BR563" s="190"/>
      <c r="BS563" s="190"/>
      <c r="BT563" s="190"/>
      <c r="BU563" s="190"/>
      <c r="BV563" s="190"/>
      <c r="BW563" s="190"/>
      <c r="BX563" s="190"/>
      <c r="BY563" s="190"/>
      <c r="BZ563" s="190"/>
      <c r="CA563" s="189"/>
      <c r="CB563" s="15"/>
    </row>
    <row r="564" spans="1:80" ht="15" x14ac:dyDescent="0.25">
      <c r="A564" s="167"/>
      <c r="B564" s="642"/>
      <c r="C564" s="642"/>
      <c r="D564" s="179"/>
      <c r="E564" s="169"/>
      <c r="F564" s="169"/>
      <c r="G564" s="187"/>
      <c r="H564" s="187"/>
      <c r="I564" s="187"/>
      <c r="J564" s="187"/>
      <c r="K564" s="187"/>
      <c r="L564" s="647"/>
      <c r="M564" s="646">
        <v>32664</v>
      </c>
      <c r="N564" s="585">
        <v>2.0099999999999998</v>
      </c>
      <c r="O564" s="585">
        <v>1.1900000000000001E-3</v>
      </c>
      <c r="P564" s="175">
        <v>0</v>
      </c>
      <c r="Q564" s="175">
        <v>0</v>
      </c>
      <c r="R564" s="175">
        <v>0</v>
      </c>
      <c r="S564" s="175">
        <v>0</v>
      </c>
      <c r="T564" s="175">
        <v>3.0000000000000001E-5</v>
      </c>
      <c r="U564" s="175">
        <v>1.3999999999999999E-4</v>
      </c>
      <c r="V564" s="706">
        <v>1.01E-3</v>
      </c>
      <c r="W564" s="717"/>
      <c r="X564" s="713"/>
      <c r="Y564" s="718"/>
      <c r="Z564" s="709">
        <v>0</v>
      </c>
      <c r="AA564" s="175"/>
      <c r="AB564" s="200"/>
      <c r="AC564" s="205">
        <v>1.4E-2</v>
      </c>
      <c r="AD564" s="175">
        <v>6.45</v>
      </c>
      <c r="AE564" s="175">
        <v>0.31</v>
      </c>
      <c r="AF564" s="186">
        <f t="shared" si="10"/>
        <v>1.9995000000000001</v>
      </c>
      <c r="AG564" s="175">
        <v>0.99</v>
      </c>
      <c r="AH564" s="334"/>
      <c r="AI564" s="188"/>
      <c r="AJ564" s="188"/>
      <c r="AK564" s="188"/>
      <c r="AL564" s="189"/>
      <c r="AM564" s="189"/>
      <c r="AN564" s="189"/>
      <c r="AO564" s="189"/>
      <c r="AP564" s="189"/>
      <c r="AQ564" s="189"/>
      <c r="AR564" s="189"/>
      <c r="AS564" s="189"/>
      <c r="AT564" s="189"/>
      <c r="AU564" s="190"/>
      <c r="AV564" s="190"/>
      <c r="AW564" s="190"/>
      <c r="AX564" s="190"/>
      <c r="AY564" s="190"/>
      <c r="AZ564" s="189"/>
      <c r="BA564" s="189"/>
      <c r="BB564" s="189"/>
      <c r="BC564" s="189"/>
      <c r="BD564" s="189"/>
      <c r="BE564" s="189"/>
      <c r="BF564" s="189"/>
      <c r="BG564" s="189"/>
      <c r="BH564" s="189"/>
      <c r="BI564" s="190"/>
      <c r="BJ564" s="190"/>
      <c r="BK564" s="190"/>
      <c r="BL564" s="190"/>
      <c r="BM564" s="190"/>
      <c r="BN564" s="190"/>
      <c r="BO564" s="190"/>
      <c r="BP564" s="190"/>
      <c r="BQ564" s="190"/>
      <c r="BR564" s="190"/>
      <c r="BS564" s="190"/>
      <c r="BT564" s="190"/>
      <c r="BU564" s="190"/>
      <c r="BV564" s="190"/>
      <c r="BW564" s="190"/>
      <c r="BX564" s="190"/>
      <c r="BY564" s="190"/>
      <c r="BZ564" s="190"/>
      <c r="CA564" s="189"/>
      <c r="CB564" s="15"/>
    </row>
    <row r="565" spans="1:80" ht="15" x14ac:dyDescent="0.25">
      <c r="A565" s="167"/>
      <c r="B565" s="642"/>
      <c r="C565" s="642"/>
      <c r="D565" s="179"/>
      <c r="E565" s="169"/>
      <c r="F565" s="169"/>
      <c r="G565" s="187"/>
      <c r="H565" s="187"/>
      <c r="I565" s="187"/>
      <c r="J565" s="187"/>
      <c r="K565" s="187"/>
      <c r="L565" s="647"/>
      <c r="M565" s="646">
        <v>32666</v>
      </c>
      <c r="N565" s="585">
        <v>1.64</v>
      </c>
      <c r="O565" s="585">
        <v>1.91E-3</v>
      </c>
      <c r="P565" s="175">
        <v>0</v>
      </c>
      <c r="Q565" s="175">
        <v>0</v>
      </c>
      <c r="R565" s="175">
        <v>4.8000000000000001E-4</v>
      </c>
      <c r="S565" s="175">
        <v>0</v>
      </c>
      <c r="T565" s="175">
        <v>2.0000000000000001E-4</v>
      </c>
      <c r="U565" s="175">
        <v>4.6000000000000001E-4</v>
      </c>
      <c r="V565" s="706">
        <v>7.6000000000000004E-4</v>
      </c>
      <c r="W565" s="717"/>
      <c r="X565" s="713"/>
      <c r="Y565" s="718"/>
      <c r="Z565" s="709">
        <v>0</v>
      </c>
      <c r="AA565" s="175"/>
      <c r="AB565" s="200"/>
      <c r="AC565" s="205">
        <v>1.6E-2</v>
      </c>
      <c r="AD565" s="175">
        <v>6.5</v>
      </c>
      <c r="AE565" s="175">
        <v>0.27</v>
      </c>
      <c r="AF565" s="186">
        <f t="shared" si="10"/>
        <v>1.7550000000000001</v>
      </c>
      <c r="AG565" s="175">
        <v>0.95</v>
      </c>
      <c r="AH565" s="334"/>
      <c r="AI565" s="188"/>
      <c r="AJ565" s="188"/>
      <c r="AK565" s="188"/>
      <c r="AL565" s="189"/>
      <c r="AM565" s="189"/>
      <c r="AN565" s="189"/>
      <c r="AO565" s="189"/>
      <c r="AP565" s="189"/>
      <c r="AQ565" s="189"/>
      <c r="AR565" s="189"/>
      <c r="AS565" s="189"/>
      <c r="AT565" s="189"/>
      <c r="AU565" s="190"/>
      <c r="AV565" s="190"/>
      <c r="AW565" s="190"/>
      <c r="AX565" s="190"/>
      <c r="AY565" s="190"/>
      <c r="AZ565" s="189"/>
      <c r="BA565" s="189"/>
      <c r="BB565" s="189"/>
      <c r="BC565" s="189"/>
      <c r="BD565" s="189"/>
      <c r="BE565" s="189"/>
      <c r="BF565" s="189"/>
      <c r="BG565" s="189"/>
      <c r="BH565" s="189"/>
      <c r="BI565" s="190"/>
      <c r="BJ565" s="190"/>
      <c r="BK565" s="190"/>
      <c r="BL565" s="190"/>
      <c r="BM565" s="190"/>
      <c r="BN565" s="190"/>
      <c r="BO565" s="190"/>
      <c r="BP565" s="190"/>
      <c r="BQ565" s="190"/>
      <c r="BR565" s="190"/>
      <c r="BS565" s="190"/>
      <c r="BT565" s="190"/>
      <c r="BU565" s="190"/>
      <c r="BV565" s="190"/>
      <c r="BW565" s="190"/>
      <c r="BX565" s="190"/>
      <c r="BY565" s="190"/>
      <c r="BZ565" s="190"/>
      <c r="CA565" s="189"/>
      <c r="CB565" s="15"/>
    </row>
    <row r="566" spans="1:80" ht="15" x14ac:dyDescent="0.25">
      <c r="A566" s="167"/>
      <c r="B566" s="642"/>
      <c r="C566" s="642"/>
      <c r="D566" s="179"/>
      <c r="E566" s="169"/>
      <c r="F566" s="169"/>
      <c r="G566" s="187"/>
      <c r="H566" s="187"/>
      <c r="I566" s="187"/>
      <c r="J566" s="187"/>
      <c r="K566" s="187"/>
      <c r="L566" s="647"/>
      <c r="M566" s="646">
        <v>32667</v>
      </c>
      <c r="N566" s="585">
        <v>1.1399999999999999</v>
      </c>
      <c r="O566" s="585">
        <v>1.14E-3</v>
      </c>
      <c r="P566" s="175">
        <v>0</v>
      </c>
      <c r="Q566" s="175">
        <v>0</v>
      </c>
      <c r="R566" s="175">
        <v>0</v>
      </c>
      <c r="S566" s="175">
        <v>0</v>
      </c>
      <c r="T566" s="175">
        <v>3.3E-4</v>
      </c>
      <c r="U566" s="175">
        <v>4.2999999999999999E-4</v>
      </c>
      <c r="V566" s="706">
        <v>3.6999999999999999E-4</v>
      </c>
      <c r="W566" s="717"/>
      <c r="X566" s="713"/>
      <c r="Y566" s="718"/>
      <c r="Z566" s="709">
        <v>0</v>
      </c>
      <c r="AA566" s="175"/>
      <c r="AB566" s="200"/>
      <c r="AC566" s="205">
        <v>1.6E-2</v>
      </c>
      <c r="AD566" s="175">
        <v>6.5</v>
      </c>
      <c r="AE566" s="175">
        <v>0.24</v>
      </c>
      <c r="AF566" s="186">
        <f t="shared" si="10"/>
        <v>1.56</v>
      </c>
      <c r="AG566" s="175">
        <v>0.72</v>
      </c>
      <c r="AH566" s="334"/>
      <c r="AI566" s="188"/>
      <c r="AJ566" s="188"/>
      <c r="AK566" s="188"/>
      <c r="AL566" s="189"/>
      <c r="AM566" s="189"/>
      <c r="AN566" s="189"/>
      <c r="AO566" s="189"/>
      <c r="AP566" s="189"/>
      <c r="AQ566" s="189"/>
      <c r="AR566" s="189"/>
      <c r="AS566" s="189"/>
      <c r="AT566" s="189"/>
      <c r="AU566" s="190"/>
      <c r="AV566" s="190"/>
      <c r="AW566" s="190"/>
      <c r="AX566" s="190"/>
      <c r="AY566" s="190"/>
      <c r="AZ566" s="189"/>
      <c r="BA566" s="189"/>
      <c r="BB566" s="189"/>
      <c r="BC566" s="189"/>
      <c r="BD566" s="189"/>
      <c r="BE566" s="189"/>
      <c r="BF566" s="189"/>
      <c r="BG566" s="189"/>
      <c r="BH566" s="189"/>
      <c r="BI566" s="190"/>
      <c r="BJ566" s="190"/>
      <c r="BK566" s="190"/>
      <c r="BL566" s="190"/>
      <c r="BM566" s="190"/>
      <c r="BN566" s="190"/>
      <c r="BO566" s="190"/>
      <c r="BP566" s="190"/>
      <c r="BQ566" s="190"/>
      <c r="BR566" s="190"/>
      <c r="BS566" s="190"/>
      <c r="BT566" s="190"/>
      <c r="BU566" s="190"/>
      <c r="BV566" s="190"/>
      <c r="BW566" s="190"/>
      <c r="BX566" s="190"/>
      <c r="BY566" s="190"/>
      <c r="BZ566" s="190"/>
      <c r="CA566" s="189"/>
      <c r="CB566" s="15"/>
    </row>
    <row r="567" spans="1:80" ht="15" x14ac:dyDescent="0.25">
      <c r="A567" s="167"/>
      <c r="B567" s="642"/>
      <c r="C567" s="642"/>
      <c r="D567" s="179"/>
      <c r="E567" s="169"/>
      <c r="F567" s="169"/>
      <c r="G567" s="187"/>
      <c r="H567" s="187"/>
      <c r="I567" s="187"/>
      <c r="J567" s="187"/>
      <c r="K567" s="187"/>
      <c r="L567" s="647"/>
      <c r="M567" s="646">
        <v>32669</v>
      </c>
      <c r="N567" s="585">
        <v>1.28</v>
      </c>
      <c r="O567" s="585">
        <v>1.048E-2</v>
      </c>
      <c r="P567" s="175">
        <v>0</v>
      </c>
      <c r="Q567" s="175">
        <v>0</v>
      </c>
      <c r="R567" s="175">
        <v>0</v>
      </c>
      <c r="S567" s="175">
        <v>6.4999999999999997E-4</v>
      </c>
      <c r="T567" s="175">
        <v>2.82E-3</v>
      </c>
      <c r="U567" s="175">
        <v>3.0999999999999999E-3</v>
      </c>
      <c r="V567" s="706">
        <v>3.9100000000000003E-3</v>
      </c>
      <c r="W567" s="717"/>
      <c r="X567" s="713"/>
      <c r="Y567" s="718"/>
      <c r="Z567" s="709">
        <v>0</v>
      </c>
      <c r="AA567" s="175"/>
      <c r="AB567" s="200"/>
      <c r="AC567" s="205">
        <v>1.7000000000000001E-2</v>
      </c>
      <c r="AD567" s="175">
        <v>6.5</v>
      </c>
      <c r="AE567" s="175">
        <v>0.26</v>
      </c>
      <c r="AF567" s="186">
        <f t="shared" si="10"/>
        <v>1.69</v>
      </c>
      <c r="AG567" s="175">
        <v>0.77</v>
      </c>
      <c r="AH567" s="334"/>
      <c r="AI567" s="188"/>
      <c r="AJ567" s="188"/>
      <c r="AK567" s="188"/>
      <c r="AL567" s="189"/>
      <c r="AM567" s="189"/>
      <c r="AN567" s="189"/>
      <c r="AO567" s="189"/>
      <c r="AP567" s="189"/>
      <c r="AQ567" s="189"/>
      <c r="AR567" s="189"/>
      <c r="AS567" s="189"/>
      <c r="AT567" s="189"/>
      <c r="AU567" s="190"/>
      <c r="AV567" s="190"/>
      <c r="AW567" s="190"/>
      <c r="AX567" s="190"/>
      <c r="AY567" s="190"/>
      <c r="AZ567" s="189"/>
      <c r="BA567" s="189"/>
      <c r="BB567" s="189"/>
      <c r="BC567" s="189"/>
      <c r="BD567" s="189"/>
      <c r="BE567" s="189"/>
      <c r="BF567" s="189"/>
      <c r="BG567" s="189"/>
      <c r="BH567" s="189"/>
      <c r="BI567" s="190"/>
      <c r="BJ567" s="190"/>
      <c r="BK567" s="190"/>
      <c r="BL567" s="190"/>
      <c r="BM567" s="190"/>
      <c r="BN567" s="190"/>
      <c r="BO567" s="190"/>
      <c r="BP567" s="190"/>
      <c r="BQ567" s="190"/>
      <c r="BR567" s="190"/>
      <c r="BS567" s="190"/>
      <c r="BT567" s="190"/>
      <c r="BU567" s="190"/>
      <c r="BV567" s="190"/>
      <c r="BW567" s="190"/>
      <c r="BX567" s="190"/>
      <c r="BY567" s="190"/>
      <c r="BZ567" s="190"/>
      <c r="CA567" s="189"/>
      <c r="CB567" s="15"/>
    </row>
    <row r="568" spans="1:80" ht="15" x14ac:dyDescent="0.25">
      <c r="A568" s="167"/>
      <c r="B568" s="642"/>
      <c r="C568" s="642"/>
      <c r="D568" s="179"/>
      <c r="E568" s="169"/>
      <c r="F568" s="169"/>
      <c r="G568" s="187"/>
      <c r="H568" s="187"/>
      <c r="I568" s="187"/>
      <c r="J568" s="187"/>
      <c r="K568" s="187"/>
      <c r="L568" s="647"/>
      <c r="M568" s="646">
        <v>32670</v>
      </c>
      <c r="N568" s="585">
        <v>1.73</v>
      </c>
      <c r="O568" s="585">
        <v>5.1000000000000004E-4</v>
      </c>
      <c r="P568" s="175">
        <v>0</v>
      </c>
      <c r="Q568" s="175">
        <v>0</v>
      </c>
      <c r="R568" s="175">
        <v>0</v>
      </c>
      <c r="S568" s="175">
        <v>0</v>
      </c>
      <c r="T568" s="175">
        <v>1.0000000000000001E-5</v>
      </c>
      <c r="U568" s="175">
        <v>1.2E-4</v>
      </c>
      <c r="V568" s="706">
        <v>3.8000000000000002E-4</v>
      </c>
      <c r="W568" s="717"/>
      <c r="X568" s="713"/>
      <c r="Y568" s="718"/>
      <c r="Z568" s="709">
        <v>0</v>
      </c>
      <c r="AA568" s="175"/>
      <c r="AB568" s="200"/>
      <c r="AC568" s="205">
        <v>1.4999999999999999E-2</v>
      </c>
      <c r="AD568" s="175">
        <v>6.5</v>
      </c>
      <c r="AE568" s="175">
        <v>0.28000000000000003</v>
      </c>
      <c r="AF568" s="186">
        <f t="shared" si="10"/>
        <v>1.8200000000000003</v>
      </c>
      <c r="AG568" s="175">
        <v>0.97</v>
      </c>
      <c r="AH568" s="334"/>
      <c r="AI568" s="188"/>
      <c r="AJ568" s="188"/>
      <c r="AK568" s="188"/>
      <c r="AL568" s="189"/>
      <c r="AM568" s="189"/>
      <c r="AN568" s="189"/>
      <c r="AO568" s="189"/>
      <c r="AP568" s="189"/>
      <c r="AQ568" s="189"/>
      <c r="AR568" s="189"/>
      <c r="AS568" s="189"/>
      <c r="AT568" s="189"/>
      <c r="AU568" s="190"/>
      <c r="AV568" s="190"/>
      <c r="AW568" s="190"/>
      <c r="AX568" s="190"/>
      <c r="AY568" s="190"/>
      <c r="AZ568" s="189"/>
      <c r="BA568" s="189"/>
      <c r="BB568" s="189"/>
      <c r="BC568" s="189"/>
      <c r="BD568" s="189"/>
      <c r="BE568" s="189"/>
      <c r="BF568" s="189"/>
      <c r="BG568" s="189"/>
      <c r="BH568" s="189"/>
      <c r="BI568" s="190"/>
      <c r="BJ568" s="190"/>
      <c r="BK568" s="190"/>
      <c r="BL568" s="190"/>
      <c r="BM568" s="190"/>
      <c r="BN568" s="190"/>
      <c r="BO568" s="190"/>
      <c r="BP568" s="190"/>
      <c r="BQ568" s="190"/>
      <c r="BR568" s="190"/>
      <c r="BS568" s="190"/>
      <c r="BT568" s="190"/>
      <c r="BU568" s="190"/>
      <c r="BV568" s="190"/>
      <c r="BW568" s="190"/>
      <c r="BX568" s="190"/>
      <c r="BY568" s="190"/>
      <c r="BZ568" s="190"/>
      <c r="CA568" s="189"/>
      <c r="CB568" s="15"/>
    </row>
    <row r="569" spans="1:80" ht="15" x14ac:dyDescent="0.25">
      <c r="A569" s="167"/>
      <c r="B569" s="642"/>
      <c r="C569" s="642"/>
      <c r="D569" s="179"/>
      <c r="E569" s="169"/>
      <c r="F569" s="169"/>
      <c r="G569" s="187"/>
      <c r="H569" s="187"/>
      <c r="I569" s="187"/>
      <c r="J569" s="187"/>
      <c r="K569" s="187"/>
      <c r="L569" s="647"/>
      <c r="M569" s="646">
        <v>32671</v>
      </c>
      <c r="N569" s="585">
        <v>2.92</v>
      </c>
      <c r="O569" s="585">
        <v>1.9099999999999999E-2</v>
      </c>
      <c r="P569" s="175">
        <v>0</v>
      </c>
      <c r="Q569" s="175">
        <v>0</v>
      </c>
      <c r="R569" s="175">
        <v>0</v>
      </c>
      <c r="S569" s="175">
        <v>4.4000000000000002E-4</v>
      </c>
      <c r="T569" s="175">
        <v>1.66E-3</v>
      </c>
      <c r="U569" s="175">
        <v>3.9399999999999999E-3</v>
      </c>
      <c r="V569" s="706">
        <v>1.306E-2</v>
      </c>
      <c r="W569" s="717"/>
      <c r="X569" s="713"/>
      <c r="Y569" s="718"/>
      <c r="Z569" s="709">
        <v>0</v>
      </c>
      <c r="AA569" s="175"/>
      <c r="AB569" s="200"/>
      <c r="AC569" s="205">
        <v>1.4999999999999999E-2</v>
      </c>
      <c r="AD569" s="175">
        <v>6.9</v>
      </c>
      <c r="AE569" s="175">
        <v>0.36</v>
      </c>
      <c r="AF569" s="186">
        <f t="shared" si="10"/>
        <v>2.484</v>
      </c>
      <c r="AG569" s="175">
        <v>1.19</v>
      </c>
      <c r="AH569" s="334"/>
      <c r="AI569" s="188"/>
      <c r="AJ569" s="188"/>
      <c r="AK569" s="188"/>
      <c r="AL569" s="189"/>
      <c r="AM569" s="189"/>
      <c r="AN569" s="189"/>
      <c r="AO569" s="189"/>
      <c r="AP569" s="189"/>
      <c r="AQ569" s="189"/>
      <c r="AR569" s="189"/>
      <c r="AS569" s="189"/>
      <c r="AT569" s="189"/>
      <c r="AU569" s="190"/>
      <c r="AV569" s="190"/>
      <c r="AW569" s="190"/>
      <c r="AX569" s="190"/>
      <c r="AY569" s="190"/>
      <c r="AZ569" s="189"/>
      <c r="BA569" s="189"/>
      <c r="BB569" s="189"/>
      <c r="BC569" s="189"/>
      <c r="BD569" s="189"/>
      <c r="BE569" s="189"/>
      <c r="BF569" s="189"/>
      <c r="BG569" s="189"/>
      <c r="BH569" s="189"/>
      <c r="BI569" s="190"/>
      <c r="BJ569" s="190"/>
      <c r="BK569" s="190"/>
      <c r="BL569" s="190"/>
      <c r="BM569" s="190"/>
      <c r="BN569" s="190"/>
      <c r="BO569" s="190"/>
      <c r="BP569" s="190"/>
      <c r="BQ569" s="190"/>
      <c r="BR569" s="190"/>
      <c r="BS569" s="190"/>
      <c r="BT569" s="190"/>
      <c r="BU569" s="190"/>
      <c r="BV569" s="190"/>
      <c r="BW569" s="190"/>
      <c r="BX569" s="190"/>
      <c r="BY569" s="190"/>
      <c r="BZ569" s="190"/>
      <c r="CA569" s="189"/>
      <c r="CB569" s="15"/>
    </row>
    <row r="570" spans="1:80" ht="15" x14ac:dyDescent="0.25">
      <c r="A570" s="167"/>
      <c r="B570" s="642"/>
      <c r="C570" s="642"/>
      <c r="D570" s="179"/>
      <c r="E570" s="169"/>
      <c r="F570" s="169"/>
      <c r="G570" s="187"/>
      <c r="H570" s="187"/>
      <c r="I570" s="187"/>
      <c r="J570" s="187"/>
      <c r="K570" s="187"/>
      <c r="L570" s="647"/>
      <c r="M570" s="646">
        <v>32672</v>
      </c>
      <c r="N570" s="585">
        <v>3.05</v>
      </c>
      <c r="O570" s="585">
        <v>0.10777</v>
      </c>
      <c r="P570" s="175">
        <v>0</v>
      </c>
      <c r="Q570" s="175">
        <v>0</v>
      </c>
      <c r="R570" s="175">
        <v>0</v>
      </c>
      <c r="S570" s="175">
        <v>7.9000000000000008E-3</v>
      </c>
      <c r="T570" s="175">
        <v>2.239E-2</v>
      </c>
      <c r="U570" s="175">
        <v>3.0640000000000001E-2</v>
      </c>
      <c r="V570" s="706">
        <v>4.684E-2</v>
      </c>
      <c r="W570" s="717"/>
      <c r="X570" s="713"/>
      <c r="Y570" s="718"/>
      <c r="Z570" s="709">
        <v>0</v>
      </c>
      <c r="AA570" s="175"/>
      <c r="AB570" s="200"/>
      <c r="AC570" s="205">
        <v>1.2E-2</v>
      </c>
      <c r="AD570" s="175">
        <v>6.85</v>
      </c>
      <c r="AE570" s="175">
        <v>0.35</v>
      </c>
      <c r="AF570" s="186">
        <f t="shared" si="10"/>
        <v>2.3974999999999995</v>
      </c>
      <c r="AG570" s="175">
        <v>1.29</v>
      </c>
      <c r="AH570" s="334"/>
      <c r="AI570" s="188"/>
      <c r="AJ570" s="188"/>
      <c r="AK570" s="188"/>
      <c r="AL570" s="189"/>
      <c r="AM570" s="189"/>
      <c r="AN570" s="189"/>
      <c r="AO570" s="189"/>
      <c r="AP570" s="189"/>
      <c r="AQ570" s="189"/>
      <c r="AR570" s="189"/>
      <c r="AS570" s="189"/>
      <c r="AT570" s="189"/>
      <c r="AU570" s="190"/>
      <c r="AV570" s="190"/>
      <c r="AW570" s="190"/>
      <c r="AX570" s="190"/>
      <c r="AY570" s="190"/>
      <c r="AZ570" s="189"/>
      <c r="BA570" s="189"/>
      <c r="BB570" s="189"/>
      <c r="BC570" s="189"/>
      <c r="BD570" s="189"/>
      <c r="BE570" s="189"/>
      <c r="BF570" s="189"/>
      <c r="BG570" s="189"/>
      <c r="BH570" s="189"/>
      <c r="BI570" s="190"/>
      <c r="BJ570" s="190"/>
      <c r="BK570" s="190"/>
      <c r="BL570" s="190"/>
      <c r="BM570" s="190"/>
      <c r="BN570" s="190"/>
      <c r="BO570" s="190"/>
      <c r="BP570" s="190"/>
      <c r="BQ570" s="190"/>
      <c r="BR570" s="190"/>
      <c r="BS570" s="190"/>
      <c r="BT570" s="190"/>
      <c r="BU570" s="190"/>
      <c r="BV570" s="190"/>
      <c r="BW570" s="190"/>
      <c r="BX570" s="190"/>
      <c r="BY570" s="190"/>
      <c r="BZ570" s="190"/>
      <c r="CA570" s="189"/>
      <c r="CB570" s="15"/>
    </row>
    <row r="571" spans="1:80" ht="15" x14ac:dyDescent="0.25">
      <c r="A571" s="167"/>
      <c r="B571" s="642"/>
      <c r="C571" s="642"/>
      <c r="D571" s="179"/>
      <c r="E571" s="169"/>
      <c r="F571" s="169"/>
      <c r="G571" s="187"/>
      <c r="H571" s="187"/>
      <c r="I571" s="187"/>
      <c r="J571" s="187"/>
      <c r="K571" s="187"/>
      <c r="L571" s="647"/>
      <c r="M571" s="646">
        <v>32673</v>
      </c>
      <c r="N571" s="585">
        <v>2.96</v>
      </c>
      <c r="O571" s="585">
        <v>5.0200000000000002E-2</v>
      </c>
      <c r="P571" s="175">
        <v>0</v>
      </c>
      <c r="Q571" s="175">
        <v>0</v>
      </c>
      <c r="R571" s="175">
        <v>3.48E-3</v>
      </c>
      <c r="S571" s="175">
        <v>4.4099999999999999E-3</v>
      </c>
      <c r="T571" s="175">
        <v>8.5599999999999999E-3</v>
      </c>
      <c r="U571" s="175">
        <v>1.179E-2</v>
      </c>
      <c r="V571" s="706">
        <v>2.197E-2</v>
      </c>
      <c r="W571" s="717"/>
      <c r="X571" s="713"/>
      <c r="Y571" s="718"/>
      <c r="Z571" s="709">
        <v>0</v>
      </c>
      <c r="AA571" s="175"/>
      <c r="AB571" s="200"/>
      <c r="AC571" s="205">
        <v>1.2E-2</v>
      </c>
      <c r="AD571" s="175">
        <v>7</v>
      </c>
      <c r="AE571" s="175">
        <v>0.33</v>
      </c>
      <c r="AF571" s="186">
        <f t="shared" si="10"/>
        <v>2.31</v>
      </c>
      <c r="AG571" s="175">
        <v>1.29</v>
      </c>
      <c r="AH571" s="334"/>
      <c r="AI571" s="188"/>
      <c r="AJ571" s="188"/>
      <c r="AK571" s="188"/>
      <c r="AL571" s="189"/>
      <c r="AM571" s="189"/>
      <c r="AN571" s="189"/>
      <c r="AO571" s="189"/>
      <c r="AP571" s="189"/>
      <c r="AQ571" s="189"/>
      <c r="AR571" s="189"/>
      <c r="AS571" s="189"/>
      <c r="AT571" s="189"/>
      <c r="AU571" s="190"/>
      <c r="AV571" s="190"/>
      <c r="AW571" s="190"/>
      <c r="AX571" s="190"/>
      <c r="AY571" s="190"/>
      <c r="AZ571" s="189"/>
      <c r="BA571" s="189"/>
      <c r="BB571" s="189"/>
      <c r="BC571" s="189"/>
      <c r="BD571" s="189"/>
      <c r="BE571" s="189"/>
      <c r="BF571" s="189"/>
      <c r="BG571" s="189"/>
      <c r="BH571" s="189"/>
      <c r="BI571" s="190"/>
      <c r="BJ571" s="190"/>
      <c r="BK571" s="190"/>
      <c r="BL571" s="190"/>
      <c r="BM571" s="190"/>
      <c r="BN571" s="190"/>
      <c r="BO571" s="190"/>
      <c r="BP571" s="190"/>
      <c r="BQ571" s="190"/>
      <c r="BR571" s="190"/>
      <c r="BS571" s="190"/>
      <c r="BT571" s="190"/>
      <c r="BU571" s="190"/>
      <c r="BV571" s="190"/>
      <c r="BW571" s="190"/>
      <c r="BX571" s="190"/>
      <c r="BY571" s="190"/>
      <c r="BZ571" s="190"/>
      <c r="CA571" s="189"/>
      <c r="CB571" s="15"/>
    </row>
    <row r="572" spans="1:80" ht="15" x14ac:dyDescent="0.25">
      <c r="A572" s="167"/>
      <c r="B572" s="642"/>
      <c r="C572" s="642"/>
      <c r="D572" s="179"/>
      <c r="E572" s="169"/>
      <c r="F572" s="169"/>
      <c r="G572" s="187"/>
      <c r="H572" s="187"/>
      <c r="I572" s="187"/>
      <c r="J572" s="187"/>
      <c r="K572" s="187"/>
      <c r="L572" s="647"/>
      <c r="M572" s="646">
        <v>32674</v>
      </c>
      <c r="N572" s="585">
        <v>3.79</v>
      </c>
      <c r="O572" s="585">
        <v>1.538E-2</v>
      </c>
      <c r="P572" s="175">
        <v>0</v>
      </c>
      <c r="Q572" s="175">
        <v>0</v>
      </c>
      <c r="R572" s="175">
        <v>0</v>
      </c>
      <c r="S572" s="175">
        <v>2.3000000000000001E-4</v>
      </c>
      <c r="T572" s="175">
        <v>1.6900000000000001E-3</v>
      </c>
      <c r="U572" s="175">
        <v>3.3800000000000002E-3</v>
      </c>
      <c r="V572" s="706">
        <v>1.008E-2</v>
      </c>
      <c r="W572" s="717"/>
      <c r="X572" s="713"/>
      <c r="Y572" s="718"/>
      <c r="Z572" s="709">
        <v>0</v>
      </c>
      <c r="AA572" s="175"/>
      <c r="AB572" s="200"/>
      <c r="AC572" s="205">
        <v>1.2E-2</v>
      </c>
      <c r="AD572" s="175">
        <v>7.1</v>
      </c>
      <c r="AE572" s="175">
        <v>0.36</v>
      </c>
      <c r="AF572" s="186">
        <f t="shared" si="10"/>
        <v>2.5559999999999996</v>
      </c>
      <c r="AG572" s="175">
        <v>1.49</v>
      </c>
      <c r="AH572" s="334"/>
      <c r="AI572" s="188"/>
      <c r="AJ572" s="188"/>
      <c r="AK572" s="188"/>
      <c r="AL572" s="189"/>
      <c r="AM572" s="189"/>
      <c r="AN572" s="189"/>
      <c r="AO572" s="189"/>
      <c r="AP572" s="189"/>
      <c r="AQ572" s="189"/>
      <c r="AR572" s="189"/>
      <c r="AS572" s="189"/>
      <c r="AT572" s="189"/>
      <c r="AU572" s="190"/>
      <c r="AV572" s="190"/>
      <c r="AW572" s="190"/>
      <c r="AX572" s="190"/>
      <c r="AY572" s="190"/>
      <c r="AZ572" s="189"/>
      <c r="BA572" s="189"/>
      <c r="BB572" s="189"/>
      <c r="BC572" s="189"/>
      <c r="BD572" s="189"/>
      <c r="BE572" s="189"/>
      <c r="BF572" s="189"/>
      <c r="BG572" s="189"/>
      <c r="BH572" s="189"/>
      <c r="BI572" s="190"/>
      <c r="BJ572" s="190"/>
      <c r="BK572" s="190"/>
      <c r="BL572" s="190"/>
      <c r="BM572" s="190"/>
      <c r="BN572" s="190"/>
      <c r="BO572" s="190"/>
      <c r="BP572" s="190"/>
      <c r="BQ572" s="190"/>
      <c r="BR572" s="190"/>
      <c r="BS572" s="190"/>
      <c r="BT572" s="190"/>
      <c r="BU572" s="190"/>
      <c r="BV572" s="190"/>
      <c r="BW572" s="190"/>
      <c r="BX572" s="190"/>
      <c r="BY572" s="190"/>
      <c r="BZ572" s="190"/>
      <c r="CA572" s="189"/>
      <c r="CB572" s="15"/>
    </row>
    <row r="573" spans="1:80" ht="15" x14ac:dyDescent="0.25">
      <c r="A573" s="167"/>
      <c r="B573" s="642"/>
      <c r="C573" s="642"/>
      <c r="D573" s="179"/>
      <c r="E573" s="169"/>
      <c r="F573" s="169"/>
      <c r="G573" s="187"/>
      <c r="H573" s="187"/>
      <c r="I573" s="187"/>
      <c r="J573" s="187"/>
      <c r="K573" s="187"/>
      <c r="L573" s="647"/>
      <c r="M573" s="646">
        <v>32675</v>
      </c>
      <c r="N573" s="585">
        <v>3.51</v>
      </c>
      <c r="O573" s="585">
        <v>0.13514999999999999</v>
      </c>
      <c r="P573" s="175">
        <v>0</v>
      </c>
      <c r="Q573" s="175">
        <v>0</v>
      </c>
      <c r="R573" s="175">
        <v>4.6699999999999997E-3</v>
      </c>
      <c r="S573" s="175">
        <v>7.8300000000000002E-3</v>
      </c>
      <c r="T573" s="175">
        <v>1.9730000000000001E-2</v>
      </c>
      <c r="U573" s="175">
        <v>3.3829999999999999E-2</v>
      </c>
      <c r="V573" s="706">
        <v>6.9099999999999995E-2</v>
      </c>
      <c r="W573" s="717"/>
      <c r="X573" s="713"/>
      <c r="Y573" s="718"/>
      <c r="Z573" s="709">
        <v>0</v>
      </c>
      <c r="AA573" s="175"/>
      <c r="AB573" s="200"/>
      <c r="AC573" s="205">
        <v>1.2E-2</v>
      </c>
      <c r="AD573" s="175">
        <v>7.05</v>
      </c>
      <c r="AE573" s="175">
        <v>0.35</v>
      </c>
      <c r="AF573" s="186">
        <f t="shared" si="10"/>
        <v>2.4674999999999998</v>
      </c>
      <c r="AG573" s="175">
        <v>1.42</v>
      </c>
      <c r="AH573" s="334"/>
      <c r="AI573" s="188"/>
      <c r="AJ573" s="188"/>
      <c r="AK573" s="188"/>
      <c r="AL573" s="189"/>
      <c r="AM573" s="189"/>
      <c r="AN573" s="189"/>
      <c r="AO573" s="189"/>
      <c r="AP573" s="189"/>
      <c r="AQ573" s="189"/>
      <c r="AR573" s="189"/>
      <c r="AS573" s="189"/>
      <c r="AT573" s="189"/>
      <c r="AU573" s="190"/>
      <c r="AV573" s="190"/>
      <c r="AW573" s="190"/>
      <c r="AX573" s="190"/>
      <c r="AY573" s="190"/>
      <c r="AZ573" s="189"/>
      <c r="BA573" s="189"/>
      <c r="BB573" s="189"/>
      <c r="BC573" s="189"/>
      <c r="BD573" s="189"/>
      <c r="BE573" s="189"/>
      <c r="BF573" s="189"/>
      <c r="BG573" s="189"/>
      <c r="BH573" s="189"/>
      <c r="BI573" s="190"/>
      <c r="BJ573" s="190"/>
      <c r="BK573" s="190"/>
      <c r="BL573" s="190"/>
      <c r="BM573" s="190"/>
      <c r="BN573" s="190"/>
      <c r="BO573" s="190"/>
      <c r="BP573" s="190"/>
      <c r="BQ573" s="190"/>
      <c r="BR573" s="190"/>
      <c r="BS573" s="190"/>
      <c r="BT573" s="190"/>
      <c r="BU573" s="190"/>
      <c r="BV573" s="190"/>
      <c r="BW573" s="190"/>
      <c r="BX573" s="190"/>
      <c r="BY573" s="190"/>
      <c r="BZ573" s="190"/>
      <c r="CA573" s="189"/>
      <c r="CB573" s="15"/>
    </row>
    <row r="574" spans="1:80" ht="15" x14ac:dyDescent="0.25">
      <c r="A574" s="167"/>
      <c r="B574" s="642"/>
      <c r="C574" s="642"/>
      <c r="D574" s="179"/>
      <c r="E574" s="169"/>
      <c r="F574" s="169"/>
      <c r="G574" s="187"/>
      <c r="H574" s="187"/>
      <c r="I574" s="187"/>
      <c r="J574" s="187"/>
      <c r="K574" s="187"/>
      <c r="L574" s="647"/>
      <c r="M574" s="646">
        <v>32676</v>
      </c>
      <c r="N574" s="585">
        <v>3.02</v>
      </c>
      <c r="O574" s="585">
        <v>4.9500000000000002E-2</v>
      </c>
      <c r="P574" s="175">
        <v>0</v>
      </c>
      <c r="Q574" s="175">
        <v>5.8500000000000002E-3</v>
      </c>
      <c r="R574" s="175">
        <v>4.4299999999999999E-3</v>
      </c>
      <c r="S574" s="175">
        <v>6.1599999999999997E-3</v>
      </c>
      <c r="T574" s="175">
        <v>8.7899999999999992E-3</v>
      </c>
      <c r="U574" s="175">
        <v>9.9600000000000001E-3</v>
      </c>
      <c r="V574" s="706">
        <v>1.43E-2</v>
      </c>
      <c r="W574" s="717"/>
      <c r="X574" s="713"/>
      <c r="Y574" s="718"/>
      <c r="Z574" s="709">
        <v>0</v>
      </c>
      <c r="AA574" s="175"/>
      <c r="AB574" s="200"/>
      <c r="AC574" s="205">
        <v>1.2E-2</v>
      </c>
      <c r="AD574" s="175">
        <v>7</v>
      </c>
      <c r="AE574" s="175">
        <v>0.33</v>
      </c>
      <c r="AF574" s="186">
        <f t="shared" si="10"/>
        <v>2.31</v>
      </c>
      <c r="AG574" s="175">
        <v>1.31</v>
      </c>
      <c r="AH574" s="334"/>
      <c r="AI574" s="188"/>
      <c r="AJ574" s="188"/>
      <c r="AK574" s="188"/>
      <c r="AL574" s="189"/>
      <c r="AM574" s="189"/>
      <c r="AN574" s="189"/>
      <c r="AO574" s="189"/>
      <c r="AP574" s="189"/>
      <c r="AQ574" s="189"/>
      <c r="AR574" s="189"/>
      <c r="AS574" s="189"/>
      <c r="AT574" s="189"/>
      <c r="AU574" s="190"/>
      <c r="AV574" s="190"/>
      <c r="AW574" s="190"/>
      <c r="AX574" s="190"/>
      <c r="AY574" s="190"/>
      <c r="AZ574" s="189"/>
      <c r="BA574" s="189"/>
      <c r="BB574" s="189"/>
      <c r="BC574" s="189"/>
      <c r="BD574" s="189"/>
      <c r="BE574" s="189"/>
      <c r="BF574" s="189"/>
      <c r="BG574" s="189"/>
      <c r="BH574" s="189"/>
      <c r="BI574" s="190"/>
      <c r="BJ574" s="190"/>
      <c r="BK574" s="190"/>
      <c r="BL574" s="190"/>
      <c r="BM574" s="190"/>
      <c r="BN574" s="190"/>
      <c r="BO574" s="190"/>
      <c r="BP574" s="190"/>
      <c r="BQ574" s="190"/>
      <c r="BR574" s="190"/>
      <c r="BS574" s="190"/>
      <c r="BT574" s="190"/>
      <c r="BU574" s="190"/>
      <c r="BV574" s="190"/>
      <c r="BW574" s="190"/>
      <c r="BX574" s="190"/>
      <c r="BY574" s="190"/>
      <c r="BZ574" s="190"/>
      <c r="CA574" s="189"/>
      <c r="CB574" s="15"/>
    </row>
    <row r="575" spans="1:80" ht="15" x14ac:dyDescent="0.25">
      <c r="A575" s="167"/>
      <c r="B575" s="642"/>
      <c r="C575" s="642"/>
      <c r="D575" s="179"/>
      <c r="E575" s="169"/>
      <c r="F575" s="169"/>
      <c r="G575" s="187"/>
      <c r="H575" s="187"/>
      <c r="I575" s="187"/>
      <c r="J575" s="187"/>
      <c r="K575" s="187"/>
      <c r="L575" s="647"/>
      <c r="M575" s="646">
        <v>32677</v>
      </c>
      <c r="N575" s="585">
        <v>3.27</v>
      </c>
      <c r="O575" s="585">
        <v>2.1950000000000001E-2</v>
      </c>
      <c r="P575" s="175">
        <v>0</v>
      </c>
      <c r="Q575" s="175">
        <v>0</v>
      </c>
      <c r="R575" s="175">
        <v>0</v>
      </c>
      <c r="S575" s="175">
        <v>2.7000000000000001E-3</v>
      </c>
      <c r="T575" s="175">
        <v>4.0200000000000001E-3</v>
      </c>
      <c r="U575" s="175">
        <v>4.5700000000000003E-3</v>
      </c>
      <c r="V575" s="706">
        <v>1.0670000000000001E-2</v>
      </c>
      <c r="W575" s="717"/>
      <c r="X575" s="713"/>
      <c r="Y575" s="718"/>
      <c r="Z575" s="709">
        <v>0</v>
      </c>
      <c r="AA575" s="175"/>
      <c r="AB575" s="200"/>
      <c r="AC575" s="205">
        <v>1.2E-2</v>
      </c>
      <c r="AD575" s="175">
        <v>7.05</v>
      </c>
      <c r="AE575" s="175">
        <v>0.36</v>
      </c>
      <c r="AF575" s="186">
        <f t="shared" si="10"/>
        <v>2.5379999999999998</v>
      </c>
      <c r="AG575" s="175">
        <v>1.28</v>
      </c>
      <c r="AH575" s="334"/>
      <c r="AI575" s="188"/>
      <c r="AJ575" s="188"/>
      <c r="AK575" s="188"/>
      <c r="AL575" s="189"/>
      <c r="AM575" s="189"/>
      <c r="AN575" s="189"/>
      <c r="AO575" s="189"/>
      <c r="AP575" s="189"/>
      <c r="AQ575" s="189"/>
      <c r="AR575" s="189"/>
      <c r="AS575" s="189"/>
      <c r="AT575" s="189"/>
      <c r="AU575" s="190"/>
      <c r="AV575" s="190"/>
      <c r="AW575" s="190"/>
      <c r="AX575" s="190"/>
      <c r="AY575" s="190"/>
      <c r="AZ575" s="189"/>
      <c r="BA575" s="189"/>
      <c r="BB575" s="189"/>
      <c r="BC575" s="189"/>
      <c r="BD575" s="189"/>
      <c r="BE575" s="189"/>
      <c r="BF575" s="189"/>
      <c r="BG575" s="189"/>
      <c r="BH575" s="189"/>
      <c r="BI575" s="190"/>
      <c r="BJ575" s="190"/>
      <c r="BK575" s="190"/>
      <c r="BL575" s="190"/>
      <c r="BM575" s="190"/>
      <c r="BN575" s="190"/>
      <c r="BO575" s="190"/>
      <c r="BP575" s="190"/>
      <c r="BQ575" s="190"/>
      <c r="BR575" s="190"/>
      <c r="BS575" s="190"/>
      <c r="BT575" s="190"/>
      <c r="BU575" s="190"/>
      <c r="BV575" s="190"/>
      <c r="BW575" s="190"/>
      <c r="BX575" s="190"/>
      <c r="BY575" s="190"/>
      <c r="BZ575" s="190"/>
      <c r="CA575" s="189"/>
      <c r="CB575" s="15"/>
    </row>
    <row r="576" spans="1:80" ht="15" x14ac:dyDescent="0.25">
      <c r="A576" s="167"/>
      <c r="B576" s="642"/>
      <c r="C576" s="642"/>
      <c r="D576" s="179"/>
      <c r="E576" s="169"/>
      <c r="F576" s="169"/>
      <c r="G576" s="187"/>
      <c r="H576" s="187"/>
      <c r="I576" s="187"/>
      <c r="J576" s="187"/>
      <c r="K576" s="187"/>
      <c r="L576" s="647"/>
      <c r="M576" s="646">
        <v>32680</v>
      </c>
      <c r="N576" s="585">
        <v>3.83</v>
      </c>
      <c r="O576" s="585">
        <v>8.763E-2</v>
      </c>
      <c r="P576" s="175">
        <v>0</v>
      </c>
      <c r="Q576" s="175">
        <v>0</v>
      </c>
      <c r="R576" s="175">
        <v>4.2700000000000004E-3</v>
      </c>
      <c r="S576" s="175">
        <v>9.1400000000000006E-3</v>
      </c>
      <c r="T576" s="175">
        <v>1.2330000000000001E-2</v>
      </c>
      <c r="U576" s="175">
        <v>0.02</v>
      </c>
      <c r="V576" s="706">
        <v>4.1889999999999997E-2</v>
      </c>
      <c r="W576" s="717"/>
      <c r="X576" s="713"/>
      <c r="Y576" s="718"/>
      <c r="Z576" s="709">
        <v>0</v>
      </c>
      <c r="AA576" s="175"/>
      <c r="AB576" s="200"/>
      <c r="AC576" s="205">
        <v>1.4999999999999999E-2</v>
      </c>
      <c r="AD576" s="175">
        <v>7.2</v>
      </c>
      <c r="AE576" s="175">
        <v>0.35</v>
      </c>
      <c r="AF576" s="186">
        <f t="shared" si="10"/>
        <v>2.52</v>
      </c>
      <c r="AG576" s="175">
        <v>1.5</v>
      </c>
      <c r="AH576" s="334"/>
      <c r="AI576" s="188"/>
      <c r="AJ576" s="188"/>
      <c r="AK576" s="188"/>
      <c r="AL576" s="189"/>
      <c r="AM576" s="189"/>
      <c r="AN576" s="189"/>
      <c r="AO576" s="189"/>
      <c r="AP576" s="189"/>
      <c r="AQ576" s="189"/>
      <c r="AR576" s="189"/>
      <c r="AS576" s="189"/>
      <c r="AT576" s="189"/>
      <c r="AU576" s="190"/>
      <c r="AV576" s="190"/>
      <c r="AW576" s="190"/>
      <c r="AX576" s="190"/>
      <c r="AY576" s="190"/>
      <c r="AZ576" s="189"/>
      <c r="BA576" s="189"/>
      <c r="BB576" s="189"/>
      <c r="BC576" s="189"/>
      <c r="BD576" s="189"/>
      <c r="BE576" s="189"/>
      <c r="BF576" s="189"/>
      <c r="BG576" s="189"/>
      <c r="BH576" s="189"/>
      <c r="BI576" s="190"/>
      <c r="BJ576" s="190"/>
      <c r="BK576" s="190"/>
      <c r="BL576" s="190"/>
      <c r="BM576" s="190"/>
      <c r="BN576" s="190"/>
      <c r="BO576" s="190"/>
      <c r="BP576" s="190"/>
      <c r="BQ576" s="190"/>
      <c r="BR576" s="190"/>
      <c r="BS576" s="190"/>
      <c r="BT576" s="190"/>
      <c r="BU576" s="190"/>
      <c r="BV576" s="190"/>
      <c r="BW576" s="190"/>
      <c r="BX576" s="190"/>
      <c r="BY576" s="190"/>
      <c r="BZ576" s="190"/>
      <c r="CA576" s="189"/>
      <c r="CB576" s="15"/>
    </row>
    <row r="577" spans="1:80" ht="15" x14ac:dyDescent="0.25">
      <c r="A577" s="167"/>
      <c r="B577" s="642"/>
      <c r="C577" s="642"/>
      <c r="D577" s="179"/>
      <c r="E577" s="169"/>
      <c r="F577" s="169"/>
      <c r="G577" s="187"/>
      <c r="H577" s="187"/>
      <c r="I577" s="187"/>
      <c r="J577" s="187"/>
      <c r="K577" s="187"/>
      <c r="L577" s="647"/>
      <c r="M577" s="646">
        <v>32682</v>
      </c>
      <c r="N577" s="585">
        <v>4</v>
      </c>
      <c r="O577" s="585">
        <v>5.006E-2</v>
      </c>
      <c r="P577" s="175">
        <v>0</v>
      </c>
      <c r="Q577" s="175">
        <v>0</v>
      </c>
      <c r="R577" s="175">
        <v>0</v>
      </c>
      <c r="S577" s="175">
        <v>6.2300000000000003E-3</v>
      </c>
      <c r="T577" s="175">
        <v>1.1469999999999999E-2</v>
      </c>
      <c r="U577" s="175">
        <v>1.4290000000000001E-2</v>
      </c>
      <c r="V577" s="706">
        <v>1.8069999999999999E-2</v>
      </c>
      <c r="W577" s="717"/>
      <c r="X577" s="713"/>
      <c r="Y577" s="718"/>
      <c r="Z577" s="709">
        <v>0</v>
      </c>
      <c r="AA577" s="175"/>
      <c r="AB577" s="200"/>
      <c r="AC577" s="205">
        <v>1.2E-2</v>
      </c>
      <c r="AD577" s="175">
        <v>7</v>
      </c>
      <c r="AE577" s="175">
        <v>0.4</v>
      </c>
      <c r="AF577" s="186">
        <f t="shared" si="10"/>
        <v>2.8000000000000003</v>
      </c>
      <c r="AG577" s="175">
        <v>1.44</v>
      </c>
      <c r="AH577" s="334"/>
      <c r="AI577" s="188"/>
      <c r="AJ577" s="188"/>
      <c r="AK577" s="188"/>
      <c r="AL577" s="189"/>
      <c r="AM577" s="189"/>
      <c r="AN577" s="189"/>
      <c r="AO577" s="189"/>
      <c r="AP577" s="189"/>
      <c r="AQ577" s="189"/>
      <c r="AR577" s="189"/>
      <c r="AS577" s="189"/>
      <c r="AT577" s="189"/>
      <c r="AU577" s="190"/>
      <c r="AV577" s="190"/>
      <c r="AW577" s="190"/>
      <c r="AX577" s="190"/>
      <c r="AY577" s="190"/>
      <c r="AZ577" s="189"/>
      <c r="BA577" s="189"/>
      <c r="BB577" s="189"/>
      <c r="BC577" s="189"/>
      <c r="BD577" s="189"/>
      <c r="BE577" s="189"/>
      <c r="BF577" s="189"/>
      <c r="BG577" s="189"/>
      <c r="BH577" s="189"/>
      <c r="BI577" s="190"/>
      <c r="BJ577" s="190"/>
      <c r="BK577" s="190"/>
      <c r="BL577" s="190"/>
      <c r="BM577" s="190"/>
      <c r="BN577" s="190"/>
      <c r="BO577" s="190"/>
      <c r="BP577" s="190"/>
      <c r="BQ577" s="190"/>
      <c r="BR577" s="190"/>
      <c r="BS577" s="190"/>
      <c r="BT577" s="190"/>
      <c r="BU577" s="190"/>
      <c r="BV577" s="190"/>
      <c r="BW577" s="190"/>
      <c r="BX577" s="190"/>
      <c r="BY577" s="190"/>
      <c r="BZ577" s="190"/>
      <c r="CA577" s="189"/>
      <c r="CB577" s="15"/>
    </row>
    <row r="578" spans="1:80" ht="15" x14ac:dyDescent="0.25">
      <c r="A578" s="167"/>
      <c r="B578" s="642"/>
      <c r="C578" s="642"/>
      <c r="D578" s="179"/>
      <c r="E578" s="169"/>
      <c r="F578" s="169"/>
      <c r="G578" s="187"/>
      <c r="H578" s="187"/>
      <c r="I578" s="187"/>
      <c r="J578" s="187"/>
      <c r="K578" s="187"/>
      <c r="L578" s="647"/>
      <c r="M578" s="646">
        <v>32684</v>
      </c>
      <c r="N578" s="585">
        <v>3.76</v>
      </c>
      <c r="O578" s="585">
        <v>7.1239999999999998E-2</v>
      </c>
      <c r="P578" s="175">
        <v>0</v>
      </c>
      <c r="Q578" s="175">
        <v>0</v>
      </c>
      <c r="R578" s="175">
        <v>2.3800000000000002E-3</v>
      </c>
      <c r="S578" s="175">
        <v>2.1199999999999999E-3</v>
      </c>
      <c r="T578" s="175">
        <v>7.1599999999999997E-3</v>
      </c>
      <c r="U578" s="175">
        <v>1.5939999999999999E-2</v>
      </c>
      <c r="V578" s="706">
        <v>4.3639999999999998E-2</v>
      </c>
      <c r="W578" s="717"/>
      <c r="X578" s="713"/>
      <c r="Y578" s="718"/>
      <c r="Z578" s="709">
        <v>0</v>
      </c>
      <c r="AA578" s="175"/>
      <c r="AB578" s="200"/>
      <c r="AC578" s="205">
        <v>0.01</v>
      </c>
      <c r="AD578" s="175">
        <v>7.05</v>
      </c>
      <c r="AE578" s="175">
        <v>0.37</v>
      </c>
      <c r="AF578" s="186">
        <f t="shared" si="10"/>
        <v>2.6084999999999998</v>
      </c>
      <c r="AG578" s="175">
        <v>1.44</v>
      </c>
      <c r="AH578" s="334"/>
      <c r="AI578" s="188"/>
      <c r="AJ578" s="188"/>
      <c r="AK578" s="188"/>
      <c r="AL578" s="189"/>
      <c r="AM578" s="189"/>
      <c r="AN578" s="189"/>
      <c r="AO578" s="189"/>
      <c r="AP578" s="189"/>
      <c r="AQ578" s="189"/>
      <c r="AR578" s="189"/>
      <c r="AS578" s="189"/>
      <c r="AT578" s="189"/>
      <c r="AU578" s="190"/>
      <c r="AV578" s="190"/>
      <c r="AW578" s="190"/>
      <c r="AX578" s="190"/>
      <c r="AY578" s="190"/>
      <c r="AZ578" s="189"/>
      <c r="BA578" s="189"/>
      <c r="BB578" s="189"/>
      <c r="BC578" s="189"/>
      <c r="BD578" s="189"/>
      <c r="BE578" s="189"/>
      <c r="BF578" s="189"/>
      <c r="BG578" s="189"/>
      <c r="BH578" s="189"/>
      <c r="BI578" s="190"/>
      <c r="BJ578" s="190"/>
      <c r="BK578" s="190"/>
      <c r="BL578" s="190"/>
      <c r="BM578" s="190"/>
      <c r="BN578" s="190"/>
      <c r="BO578" s="190"/>
      <c r="BP578" s="190"/>
      <c r="BQ578" s="190"/>
      <c r="BR578" s="190"/>
      <c r="BS578" s="190"/>
      <c r="BT578" s="190"/>
      <c r="BU578" s="190"/>
      <c r="BV578" s="190"/>
      <c r="BW578" s="190"/>
      <c r="BX578" s="190"/>
      <c r="BY578" s="190"/>
      <c r="BZ578" s="190"/>
      <c r="CA578" s="189"/>
      <c r="CB578" s="15"/>
    </row>
    <row r="579" spans="1:80" ht="15" x14ac:dyDescent="0.25">
      <c r="A579" s="167"/>
      <c r="B579" s="642"/>
      <c r="C579" s="642"/>
      <c r="D579" s="179"/>
      <c r="E579" s="169"/>
      <c r="F579" s="169"/>
      <c r="G579" s="187"/>
      <c r="H579" s="187"/>
      <c r="I579" s="187"/>
      <c r="J579" s="187"/>
      <c r="K579" s="187"/>
      <c r="L579" s="647"/>
      <c r="M579" s="646">
        <v>32686</v>
      </c>
      <c r="N579" s="585">
        <v>3.96</v>
      </c>
      <c r="O579" s="585">
        <v>9.8330000000000001E-2</v>
      </c>
      <c r="P579" s="175">
        <v>0</v>
      </c>
      <c r="Q579" s="175">
        <v>3.1669999999999997E-2</v>
      </c>
      <c r="R579" s="175">
        <v>3.6800000000000001E-3</v>
      </c>
      <c r="S579" s="175">
        <v>1.332E-2</v>
      </c>
      <c r="T579" s="175">
        <v>1.763E-2</v>
      </c>
      <c r="U579" s="175">
        <v>1.359E-2</v>
      </c>
      <c r="V579" s="706">
        <v>1.8440000000000002E-2</v>
      </c>
      <c r="W579" s="717"/>
      <c r="X579" s="713"/>
      <c r="Y579" s="718"/>
      <c r="Z579" s="709">
        <v>0</v>
      </c>
      <c r="AA579" s="175"/>
      <c r="AB579" s="200"/>
      <c r="AC579" s="205">
        <v>1.0999999999999999E-2</v>
      </c>
      <c r="AD579" s="175">
        <v>7.25</v>
      </c>
      <c r="AE579" s="175">
        <v>0.37</v>
      </c>
      <c r="AF579" s="186">
        <f t="shared" si="10"/>
        <v>2.6825000000000001</v>
      </c>
      <c r="AG579" s="175">
        <v>1.48</v>
      </c>
      <c r="AH579" s="334"/>
      <c r="AI579" s="188"/>
      <c r="AJ579" s="188"/>
      <c r="AK579" s="188"/>
      <c r="AL579" s="189"/>
      <c r="AM579" s="189"/>
      <c r="AN579" s="189"/>
      <c r="AO579" s="189"/>
      <c r="AP579" s="189"/>
      <c r="AQ579" s="189"/>
      <c r="AR579" s="189"/>
      <c r="AS579" s="189"/>
      <c r="AT579" s="189"/>
      <c r="AU579" s="190"/>
      <c r="AV579" s="190"/>
      <c r="AW579" s="190"/>
      <c r="AX579" s="190"/>
      <c r="AY579" s="190"/>
      <c r="AZ579" s="189"/>
      <c r="BA579" s="189"/>
      <c r="BB579" s="189"/>
      <c r="BC579" s="189"/>
      <c r="BD579" s="189"/>
      <c r="BE579" s="189"/>
      <c r="BF579" s="189"/>
      <c r="BG579" s="189"/>
      <c r="BH579" s="189"/>
      <c r="BI579" s="190"/>
      <c r="BJ579" s="190"/>
      <c r="BK579" s="190"/>
      <c r="BL579" s="190"/>
      <c r="BM579" s="190"/>
      <c r="BN579" s="190"/>
      <c r="BO579" s="190"/>
      <c r="BP579" s="190"/>
      <c r="BQ579" s="190"/>
      <c r="BR579" s="190"/>
      <c r="BS579" s="190"/>
      <c r="BT579" s="190"/>
      <c r="BU579" s="190"/>
      <c r="BV579" s="190"/>
      <c r="BW579" s="190"/>
      <c r="BX579" s="190"/>
      <c r="BY579" s="190"/>
      <c r="BZ579" s="190"/>
      <c r="CA579" s="189"/>
      <c r="CB579" s="15"/>
    </row>
    <row r="580" spans="1:80" ht="15" x14ac:dyDescent="0.25">
      <c r="A580" s="167"/>
      <c r="B580" s="642"/>
      <c r="C580" s="642"/>
      <c r="D580" s="179"/>
      <c r="E580" s="169"/>
      <c r="F580" s="169"/>
      <c r="G580" s="187"/>
      <c r="H580" s="187"/>
      <c r="I580" s="187"/>
      <c r="J580" s="187"/>
      <c r="K580" s="187"/>
      <c r="L580" s="647"/>
      <c r="M580" s="646">
        <v>32688</v>
      </c>
      <c r="N580" s="585">
        <v>4</v>
      </c>
      <c r="O580" s="585">
        <v>9.239E-2</v>
      </c>
      <c r="P580" s="175">
        <v>0</v>
      </c>
      <c r="Q580" s="175">
        <v>1.72E-2</v>
      </c>
      <c r="R580" s="175">
        <v>8.09E-3</v>
      </c>
      <c r="S580" s="175">
        <v>1.426E-2</v>
      </c>
      <c r="T580" s="175">
        <v>1.8120000000000001E-2</v>
      </c>
      <c r="U580" s="175">
        <v>1.5890000000000001E-2</v>
      </c>
      <c r="V580" s="706">
        <v>1.882E-2</v>
      </c>
      <c r="W580" s="717"/>
      <c r="X580" s="713"/>
      <c r="Y580" s="718"/>
      <c r="Z580" s="709">
        <v>0</v>
      </c>
      <c r="AA580" s="175"/>
      <c r="AB580" s="200"/>
      <c r="AC580" s="205">
        <v>1.2E-2</v>
      </c>
      <c r="AD580" s="175">
        <v>7.3</v>
      </c>
      <c r="AE580" s="175">
        <v>0.37</v>
      </c>
      <c r="AF580" s="186">
        <f t="shared" si="10"/>
        <v>2.7010000000000001</v>
      </c>
      <c r="AG580" s="175">
        <v>1.48</v>
      </c>
      <c r="AH580" s="334"/>
      <c r="AI580" s="188"/>
      <c r="AJ580" s="188"/>
      <c r="AK580" s="188"/>
      <c r="AL580" s="189"/>
      <c r="AM580" s="189"/>
      <c r="AN580" s="189"/>
      <c r="AO580" s="189"/>
      <c r="AP580" s="189"/>
      <c r="AQ580" s="189"/>
      <c r="AR580" s="189"/>
      <c r="AS580" s="189"/>
      <c r="AT580" s="189"/>
      <c r="AU580" s="190"/>
      <c r="AV580" s="190"/>
      <c r="AW580" s="190"/>
      <c r="AX580" s="190"/>
      <c r="AY580" s="190"/>
      <c r="AZ580" s="189"/>
      <c r="BA580" s="189"/>
      <c r="BB580" s="189"/>
      <c r="BC580" s="189"/>
      <c r="BD580" s="189"/>
      <c r="BE580" s="189"/>
      <c r="BF580" s="189"/>
      <c r="BG580" s="189"/>
      <c r="BH580" s="189"/>
      <c r="BI580" s="190"/>
      <c r="BJ580" s="190"/>
      <c r="BK580" s="190"/>
      <c r="BL580" s="190"/>
      <c r="BM580" s="190"/>
      <c r="BN580" s="190"/>
      <c r="BO580" s="190"/>
      <c r="BP580" s="190"/>
      <c r="BQ580" s="190"/>
      <c r="BR580" s="190"/>
      <c r="BS580" s="190"/>
      <c r="BT580" s="190"/>
      <c r="BU580" s="190"/>
      <c r="BV580" s="190"/>
      <c r="BW580" s="190"/>
      <c r="BX580" s="190"/>
      <c r="BY580" s="190"/>
      <c r="BZ580" s="190"/>
      <c r="CA580" s="189"/>
      <c r="CB580" s="15"/>
    </row>
    <row r="581" spans="1:80" ht="15" x14ac:dyDescent="0.25">
      <c r="A581" s="167"/>
      <c r="B581" s="642"/>
      <c r="C581" s="642"/>
      <c r="D581" s="179"/>
      <c r="E581" s="169"/>
      <c r="F581" s="169"/>
      <c r="G581" s="187"/>
      <c r="H581" s="187"/>
      <c r="I581" s="187"/>
      <c r="J581" s="187"/>
      <c r="K581" s="187"/>
      <c r="L581" s="647"/>
      <c r="M581" s="646">
        <v>32689</v>
      </c>
      <c r="N581" s="585">
        <v>3</v>
      </c>
      <c r="O581" s="585">
        <v>0.1041</v>
      </c>
      <c r="P581" s="175">
        <v>0</v>
      </c>
      <c r="Q581" s="175">
        <v>0</v>
      </c>
      <c r="R581" s="175">
        <v>5.9800000000000001E-3</v>
      </c>
      <c r="S581" s="175">
        <v>8.7799999999999996E-3</v>
      </c>
      <c r="T581" s="175">
        <v>2.503E-2</v>
      </c>
      <c r="U581" s="175">
        <v>3.0980000000000001E-2</v>
      </c>
      <c r="V581" s="706">
        <v>3.3329999999999999E-2</v>
      </c>
      <c r="W581" s="717"/>
      <c r="X581" s="713"/>
      <c r="Y581" s="718"/>
      <c r="Z581" s="709">
        <v>0</v>
      </c>
      <c r="AA581" s="175"/>
      <c r="AB581" s="200"/>
      <c r="AC581" s="205">
        <v>1.4999999999999999E-2</v>
      </c>
      <c r="AD581" s="175">
        <v>7.1</v>
      </c>
      <c r="AE581" s="175">
        <v>0.33</v>
      </c>
      <c r="AF581" s="186">
        <f t="shared" si="10"/>
        <v>2.343</v>
      </c>
      <c r="AG581" s="175">
        <v>1.27</v>
      </c>
      <c r="AH581" s="334"/>
      <c r="AI581" s="188"/>
      <c r="AJ581" s="188"/>
      <c r="AK581" s="188"/>
      <c r="AL581" s="189"/>
      <c r="AM581" s="189"/>
      <c r="AN581" s="189"/>
      <c r="AO581" s="189"/>
      <c r="AP581" s="189"/>
      <c r="AQ581" s="189"/>
      <c r="AR581" s="189"/>
      <c r="AS581" s="189"/>
      <c r="AT581" s="189"/>
      <c r="AU581" s="190"/>
      <c r="AV581" s="190"/>
      <c r="AW581" s="190"/>
      <c r="AX581" s="190"/>
      <c r="AY581" s="190"/>
      <c r="AZ581" s="189"/>
      <c r="BA581" s="189"/>
      <c r="BB581" s="189"/>
      <c r="BC581" s="189"/>
      <c r="BD581" s="189"/>
      <c r="BE581" s="189"/>
      <c r="BF581" s="189"/>
      <c r="BG581" s="189"/>
      <c r="BH581" s="189"/>
      <c r="BI581" s="190"/>
      <c r="BJ581" s="190"/>
      <c r="BK581" s="190"/>
      <c r="BL581" s="190"/>
      <c r="BM581" s="190"/>
      <c r="BN581" s="190"/>
      <c r="BO581" s="190"/>
      <c r="BP581" s="190"/>
      <c r="BQ581" s="190"/>
      <c r="BR581" s="190"/>
      <c r="BS581" s="190"/>
      <c r="BT581" s="190"/>
      <c r="BU581" s="190"/>
      <c r="BV581" s="190"/>
      <c r="BW581" s="190"/>
      <c r="BX581" s="190"/>
      <c r="BY581" s="190"/>
      <c r="BZ581" s="190"/>
      <c r="CA581" s="189"/>
      <c r="CB581" s="15"/>
    </row>
    <row r="582" spans="1:80" ht="15" x14ac:dyDescent="0.25">
      <c r="A582" s="167"/>
      <c r="B582" s="642"/>
      <c r="C582" s="642"/>
      <c r="D582" s="179"/>
      <c r="E582" s="169"/>
      <c r="F582" s="169"/>
      <c r="G582" s="187"/>
      <c r="H582" s="187"/>
      <c r="I582" s="187"/>
      <c r="J582" s="187"/>
      <c r="K582" s="187"/>
      <c r="L582" s="647"/>
      <c r="M582" s="646">
        <v>32692</v>
      </c>
      <c r="N582" s="585">
        <v>3.11</v>
      </c>
      <c r="O582" s="585">
        <v>6.0159999999999998E-2</v>
      </c>
      <c r="P582" s="175">
        <v>0</v>
      </c>
      <c r="Q582" s="175">
        <v>3.15E-3</v>
      </c>
      <c r="R582" s="175">
        <v>1.009E-2</v>
      </c>
      <c r="S582" s="175">
        <v>6.79E-3</v>
      </c>
      <c r="T582" s="175">
        <v>8.5800000000000008E-3</v>
      </c>
      <c r="U582" s="175">
        <v>1.208E-2</v>
      </c>
      <c r="V582" s="706">
        <v>1.9480000000000001E-2</v>
      </c>
      <c r="W582" s="717"/>
      <c r="X582" s="713"/>
      <c r="Y582" s="718"/>
      <c r="Z582" s="709">
        <v>0</v>
      </c>
      <c r="AA582" s="175"/>
      <c r="AB582" s="200"/>
      <c r="AC582" s="205">
        <v>1.6E-2</v>
      </c>
      <c r="AD582" s="175">
        <v>7.05</v>
      </c>
      <c r="AE582" s="175">
        <v>0.33</v>
      </c>
      <c r="AF582" s="186">
        <f t="shared" si="10"/>
        <v>2.3265000000000002</v>
      </c>
      <c r="AG582" s="175">
        <v>1.34</v>
      </c>
      <c r="AH582" s="334"/>
      <c r="AI582" s="188"/>
      <c r="AJ582" s="188"/>
      <c r="AK582" s="188"/>
      <c r="AL582" s="189"/>
      <c r="AM582" s="189"/>
      <c r="AN582" s="189"/>
      <c r="AO582" s="189"/>
      <c r="AP582" s="189"/>
      <c r="AQ582" s="189"/>
      <c r="AR582" s="189"/>
      <c r="AS582" s="189"/>
      <c r="AT582" s="189"/>
      <c r="AU582" s="190"/>
      <c r="AV582" s="190"/>
      <c r="AW582" s="190"/>
      <c r="AX582" s="190"/>
      <c r="AY582" s="190"/>
      <c r="AZ582" s="189"/>
      <c r="BA582" s="189"/>
      <c r="BB582" s="189"/>
      <c r="BC582" s="189"/>
      <c r="BD582" s="189"/>
      <c r="BE582" s="189"/>
      <c r="BF582" s="189"/>
      <c r="BG582" s="189"/>
      <c r="BH582" s="189"/>
      <c r="BI582" s="190"/>
      <c r="BJ582" s="190"/>
      <c r="BK582" s="190"/>
      <c r="BL582" s="190"/>
      <c r="BM582" s="190"/>
      <c r="BN582" s="190"/>
      <c r="BO582" s="190"/>
      <c r="BP582" s="190"/>
      <c r="BQ582" s="190"/>
      <c r="BR582" s="190"/>
      <c r="BS582" s="190"/>
      <c r="BT582" s="190"/>
      <c r="BU582" s="190"/>
      <c r="BV582" s="190"/>
      <c r="BW582" s="190"/>
      <c r="BX582" s="190"/>
      <c r="BY582" s="190"/>
      <c r="BZ582" s="190"/>
      <c r="CA582" s="189"/>
      <c r="CB582" s="15"/>
    </row>
    <row r="583" spans="1:80" ht="15" x14ac:dyDescent="0.25">
      <c r="A583" s="167"/>
      <c r="B583" s="642"/>
      <c r="C583" s="642"/>
      <c r="D583" s="179"/>
      <c r="E583" s="169"/>
      <c r="F583" s="169"/>
      <c r="G583" s="187"/>
      <c r="H583" s="187"/>
      <c r="I583" s="187"/>
      <c r="J583" s="187"/>
      <c r="K583" s="187"/>
      <c r="L583" s="647"/>
      <c r="M583" s="646">
        <v>32695</v>
      </c>
      <c r="N583" s="585">
        <v>2.17</v>
      </c>
      <c r="O583" s="585">
        <v>8.9099999999999995E-3</v>
      </c>
      <c r="P583" s="175">
        <v>0</v>
      </c>
      <c r="Q583" s="175">
        <v>0</v>
      </c>
      <c r="R583" s="175">
        <v>0</v>
      </c>
      <c r="S583" s="175">
        <v>3.3E-4</v>
      </c>
      <c r="T583" s="175">
        <v>1.1999999999999999E-3</v>
      </c>
      <c r="U583" s="175">
        <v>2.3500000000000001E-3</v>
      </c>
      <c r="V583" s="706">
        <v>5.0299999999999997E-3</v>
      </c>
      <c r="W583" s="717"/>
      <c r="X583" s="713"/>
      <c r="Y583" s="718"/>
      <c r="Z583" s="709">
        <v>0</v>
      </c>
      <c r="AA583" s="175"/>
      <c r="AB583" s="200"/>
      <c r="AC583" s="205">
        <v>1.7999999999999999E-2</v>
      </c>
      <c r="AD583" s="175">
        <v>6.5</v>
      </c>
      <c r="AE583" s="175">
        <v>0.33</v>
      </c>
      <c r="AF583" s="186">
        <f t="shared" si="10"/>
        <v>2.145</v>
      </c>
      <c r="AG583" s="175">
        <v>1.02</v>
      </c>
      <c r="AH583" s="334"/>
      <c r="AI583" s="188"/>
      <c r="AJ583" s="188"/>
      <c r="AK583" s="188"/>
      <c r="AL583" s="189"/>
      <c r="AM583" s="189"/>
      <c r="AN583" s="189"/>
      <c r="AO583" s="189"/>
      <c r="AP583" s="189"/>
      <c r="AQ583" s="189"/>
      <c r="AR583" s="189"/>
      <c r="AS583" s="189"/>
      <c r="AT583" s="189"/>
      <c r="AU583" s="190"/>
      <c r="AV583" s="190"/>
      <c r="AW583" s="190"/>
      <c r="AX583" s="190"/>
      <c r="AY583" s="190"/>
      <c r="AZ583" s="189"/>
      <c r="BA583" s="189"/>
      <c r="BB583" s="189"/>
      <c r="BC583" s="189"/>
      <c r="BD583" s="189"/>
      <c r="BE583" s="189"/>
      <c r="BF583" s="189"/>
      <c r="BG583" s="189"/>
      <c r="BH583" s="189"/>
      <c r="BI583" s="190"/>
      <c r="BJ583" s="190"/>
      <c r="BK583" s="190"/>
      <c r="BL583" s="190"/>
      <c r="BM583" s="190"/>
      <c r="BN583" s="190"/>
      <c r="BO583" s="190"/>
      <c r="BP583" s="190"/>
      <c r="BQ583" s="190"/>
      <c r="BR583" s="190"/>
      <c r="BS583" s="190"/>
      <c r="BT583" s="190"/>
      <c r="BU583" s="190"/>
      <c r="BV583" s="190"/>
      <c r="BW583" s="190"/>
      <c r="BX583" s="190"/>
      <c r="BY583" s="190"/>
      <c r="BZ583" s="190"/>
      <c r="CA583" s="189"/>
      <c r="CB583" s="15"/>
    </row>
    <row r="584" spans="1:80" ht="15" x14ac:dyDescent="0.25">
      <c r="A584" s="167"/>
      <c r="B584" s="642"/>
      <c r="C584" s="642"/>
      <c r="D584" s="179"/>
      <c r="E584" s="169"/>
      <c r="F584" s="169"/>
      <c r="G584" s="187"/>
      <c r="H584" s="187"/>
      <c r="I584" s="187"/>
      <c r="J584" s="187"/>
      <c r="K584" s="187"/>
      <c r="L584" s="647"/>
      <c r="M584" s="646">
        <v>32696</v>
      </c>
      <c r="N584" s="585">
        <v>2.41</v>
      </c>
      <c r="O584" s="585">
        <v>7.77E-3</v>
      </c>
      <c r="P584" s="175">
        <v>0</v>
      </c>
      <c r="Q584" s="175">
        <v>0</v>
      </c>
      <c r="R584" s="175">
        <v>0</v>
      </c>
      <c r="S584" s="175">
        <v>7.5000000000000002E-4</v>
      </c>
      <c r="T584" s="175">
        <v>1.2800000000000001E-3</v>
      </c>
      <c r="U584" s="175">
        <v>1.8E-3</v>
      </c>
      <c r="V584" s="706">
        <v>3.9399999999999999E-3</v>
      </c>
      <c r="W584" s="717"/>
      <c r="X584" s="713"/>
      <c r="Y584" s="718"/>
      <c r="Z584" s="709">
        <v>0</v>
      </c>
      <c r="AA584" s="175"/>
      <c r="AB584" s="200"/>
      <c r="AC584" s="205">
        <v>1.7000000000000001E-2</v>
      </c>
      <c r="AD584" s="175">
        <v>6.7</v>
      </c>
      <c r="AE584" s="175">
        <v>0.3</v>
      </c>
      <c r="AF584" s="186">
        <f t="shared" si="10"/>
        <v>2.0099999999999998</v>
      </c>
      <c r="AG584" s="175">
        <v>1.2</v>
      </c>
      <c r="AH584" s="334"/>
      <c r="AI584" s="188"/>
      <c r="AJ584" s="188"/>
      <c r="AK584" s="188"/>
      <c r="AL584" s="189"/>
      <c r="AM584" s="189"/>
      <c r="AN584" s="189"/>
      <c r="AO584" s="189"/>
      <c r="AP584" s="189"/>
      <c r="AQ584" s="189"/>
      <c r="AR584" s="189"/>
      <c r="AS584" s="189"/>
      <c r="AT584" s="189"/>
      <c r="AU584" s="190"/>
      <c r="AV584" s="190"/>
      <c r="AW584" s="190"/>
      <c r="AX584" s="190"/>
      <c r="AY584" s="190"/>
      <c r="AZ584" s="189"/>
      <c r="BA584" s="189"/>
      <c r="BB584" s="189"/>
      <c r="BC584" s="189"/>
      <c r="BD584" s="189"/>
      <c r="BE584" s="189"/>
      <c r="BF584" s="189"/>
      <c r="BG584" s="189"/>
      <c r="BH584" s="189"/>
      <c r="BI584" s="190"/>
      <c r="BJ584" s="190"/>
      <c r="BK584" s="190"/>
      <c r="BL584" s="190"/>
      <c r="BM584" s="190"/>
      <c r="BN584" s="190"/>
      <c r="BO584" s="190"/>
      <c r="BP584" s="190"/>
      <c r="BQ584" s="190"/>
      <c r="BR584" s="190"/>
      <c r="BS584" s="190"/>
      <c r="BT584" s="190"/>
      <c r="BU584" s="190"/>
      <c r="BV584" s="190"/>
      <c r="BW584" s="190"/>
      <c r="BX584" s="190"/>
      <c r="BY584" s="190"/>
      <c r="BZ584" s="190"/>
      <c r="CA584" s="189"/>
      <c r="CB584" s="15"/>
    </row>
    <row r="585" spans="1:80" ht="15" x14ac:dyDescent="0.25">
      <c r="A585" s="167"/>
      <c r="B585" s="642"/>
      <c r="C585" s="642"/>
      <c r="D585" s="179"/>
      <c r="E585" s="169"/>
      <c r="F585" s="169"/>
      <c r="G585" s="187"/>
      <c r="H585" s="187"/>
      <c r="I585" s="187"/>
      <c r="J585" s="187"/>
      <c r="K585" s="187"/>
      <c r="L585" s="647"/>
      <c r="M585" s="646">
        <v>32698</v>
      </c>
      <c r="N585" s="585">
        <v>2.2200000000000002</v>
      </c>
      <c r="O585" s="585">
        <v>1.401E-2</v>
      </c>
      <c r="P585" s="175">
        <v>0</v>
      </c>
      <c r="Q585" s="175">
        <v>0</v>
      </c>
      <c r="R585" s="175">
        <v>0</v>
      </c>
      <c r="S585" s="175">
        <v>3.96E-3</v>
      </c>
      <c r="T585" s="175">
        <v>3.82E-3</v>
      </c>
      <c r="U585" s="175">
        <v>2.99E-3</v>
      </c>
      <c r="V585" s="706">
        <v>3.2399999999999998E-3</v>
      </c>
      <c r="W585" s="717"/>
      <c r="X585" s="713"/>
      <c r="Y585" s="718"/>
      <c r="Z585" s="709">
        <v>0</v>
      </c>
      <c r="AA585" s="175"/>
      <c r="AB585" s="200"/>
      <c r="AC585" s="205">
        <v>1.6E-2</v>
      </c>
      <c r="AD585" s="175">
        <v>6.6</v>
      </c>
      <c r="AE585" s="175">
        <v>0.3</v>
      </c>
      <c r="AF585" s="186">
        <f t="shared" si="10"/>
        <v>1.9799999999999998</v>
      </c>
      <c r="AG585" s="175">
        <v>1.1299999999999999</v>
      </c>
      <c r="AH585" s="334"/>
      <c r="AI585" s="188"/>
      <c r="AJ585" s="188"/>
      <c r="AK585" s="188"/>
      <c r="AL585" s="189"/>
      <c r="AM585" s="189"/>
      <c r="AN585" s="189"/>
      <c r="AO585" s="189"/>
      <c r="AP585" s="189"/>
      <c r="AQ585" s="189"/>
      <c r="AR585" s="189"/>
      <c r="AS585" s="189"/>
      <c r="AT585" s="189"/>
      <c r="AU585" s="190"/>
      <c r="AV585" s="190"/>
      <c r="AW585" s="190"/>
      <c r="AX585" s="190"/>
      <c r="AY585" s="190"/>
      <c r="AZ585" s="189"/>
      <c r="BA585" s="189"/>
      <c r="BB585" s="189"/>
      <c r="BC585" s="189"/>
      <c r="BD585" s="189"/>
      <c r="BE585" s="189"/>
      <c r="BF585" s="189"/>
      <c r="BG585" s="189"/>
      <c r="BH585" s="189"/>
      <c r="BI585" s="190"/>
      <c r="BJ585" s="190"/>
      <c r="BK585" s="190"/>
      <c r="BL585" s="190"/>
      <c r="BM585" s="190"/>
      <c r="BN585" s="190"/>
      <c r="BO585" s="190"/>
      <c r="BP585" s="190"/>
      <c r="BQ585" s="190"/>
      <c r="BR585" s="190"/>
      <c r="BS585" s="190"/>
      <c r="BT585" s="190"/>
      <c r="BU585" s="190"/>
      <c r="BV585" s="190"/>
      <c r="BW585" s="190"/>
      <c r="BX585" s="190"/>
      <c r="BY585" s="190"/>
      <c r="BZ585" s="190"/>
      <c r="CA585" s="189"/>
      <c r="CB585" s="15"/>
    </row>
    <row r="586" spans="1:80" ht="15" x14ac:dyDescent="0.25">
      <c r="A586" s="167"/>
      <c r="B586" s="642"/>
      <c r="C586" s="642"/>
      <c r="D586" s="179"/>
      <c r="E586" s="169"/>
      <c r="F586" s="169"/>
      <c r="G586" s="187"/>
      <c r="H586" s="187"/>
      <c r="I586" s="187"/>
      <c r="J586" s="187"/>
      <c r="K586" s="187"/>
      <c r="L586" s="647"/>
      <c r="M586" s="646">
        <v>32702</v>
      </c>
      <c r="N586" s="585">
        <v>2.0099999999999998</v>
      </c>
      <c r="O586" s="585">
        <v>2.845E-2</v>
      </c>
      <c r="P586" s="175">
        <v>0</v>
      </c>
      <c r="Q586" s="175">
        <v>0</v>
      </c>
      <c r="R586" s="175">
        <v>4.6000000000000001E-4</v>
      </c>
      <c r="S586" s="175">
        <v>3.8700000000000002E-3</v>
      </c>
      <c r="T586" s="175">
        <v>5.5399999999999998E-3</v>
      </c>
      <c r="U586" s="175">
        <v>6.8399999999999997E-3</v>
      </c>
      <c r="V586" s="706">
        <v>1.1730000000000001E-2</v>
      </c>
      <c r="W586" s="717"/>
      <c r="X586" s="713"/>
      <c r="Y586" s="718"/>
      <c r="Z586" s="709">
        <v>0</v>
      </c>
      <c r="AA586" s="175"/>
      <c r="AB586" s="200"/>
      <c r="AC586" s="205">
        <v>1.4E-2</v>
      </c>
      <c r="AD586" s="175">
        <v>6.7</v>
      </c>
      <c r="AE586" s="175">
        <v>0.3</v>
      </c>
      <c r="AF586" s="186">
        <f t="shared" si="10"/>
        <v>2.0099999999999998</v>
      </c>
      <c r="AG586" s="175">
        <v>1.01</v>
      </c>
      <c r="AH586" s="334"/>
      <c r="AI586" s="188"/>
      <c r="AJ586" s="188"/>
      <c r="AK586" s="188"/>
      <c r="AL586" s="189"/>
      <c r="AM586" s="189"/>
      <c r="AN586" s="189"/>
      <c r="AO586" s="189"/>
      <c r="AP586" s="189"/>
      <c r="AQ586" s="189"/>
      <c r="AR586" s="189"/>
      <c r="AS586" s="189"/>
      <c r="AT586" s="189"/>
      <c r="AU586" s="190"/>
      <c r="AV586" s="190"/>
      <c r="AW586" s="190"/>
      <c r="AX586" s="190"/>
      <c r="AY586" s="190"/>
      <c r="AZ586" s="189"/>
      <c r="BA586" s="189"/>
      <c r="BB586" s="189"/>
      <c r="BC586" s="189"/>
      <c r="BD586" s="189"/>
      <c r="BE586" s="189"/>
      <c r="BF586" s="189"/>
      <c r="BG586" s="189"/>
      <c r="BH586" s="189"/>
      <c r="BI586" s="190"/>
      <c r="BJ586" s="190"/>
      <c r="BK586" s="190"/>
      <c r="BL586" s="190"/>
      <c r="BM586" s="190"/>
      <c r="BN586" s="190"/>
      <c r="BO586" s="190"/>
      <c r="BP586" s="190"/>
      <c r="BQ586" s="190"/>
      <c r="BR586" s="190"/>
      <c r="BS586" s="190"/>
      <c r="BT586" s="190"/>
      <c r="BU586" s="190"/>
      <c r="BV586" s="190"/>
      <c r="BW586" s="190"/>
      <c r="BX586" s="190"/>
      <c r="BY586" s="190"/>
      <c r="BZ586" s="190"/>
      <c r="CA586" s="189"/>
      <c r="CB586" s="15"/>
    </row>
    <row r="587" spans="1:80" ht="15" x14ac:dyDescent="0.25">
      <c r="A587" s="167"/>
      <c r="B587" s="642"/>
      <c r="C587" s="642"/>
      <c r="D587" s="179"/>
      <c r="E587" s="169"/>
      <c r="F587" s="169"/>
      <c r="G587" s="187"/>
      <c r="H587" s="187"/>
      <c r="I587" s="187"/>
      <c r="J587" s="187"/>
      <c r="K587" s="187"/>
      <c r="L587" s="647"/>
      <c r="M587" s="646">
        <v>32704</v>
      </c>
      <c r="N587" s="585">
        <v>1.94</v>
      </c>
      <c r="O587" s="585">
        <v>1.174E-2</v>
      </c>
      <c r="P587" s="175">
        <v>0</v>
      </c>
      <c r="Q587" s="175">
        <v>0</v>
      </c>
      <c r="R587" s="175">
        <v>2.5899999999999999E-3</v>
      </c>
      <c r="S587" s="175">
        <v>1.3500000000000001E-3</v>
      </c>
      <c r="T587" s="175">
        <v>1.75E-3</v>
      </c>
      <c r="U587" s="175">
        <v>2.2000000000000001E-3</v>
      </c>
      <c r="V587" s="706">
        <v>3.8600000000000001E-3</v>
      </c>
      <c r="W587" s="717"/>
      <c r="X587" s="713"/>
      <c r="Y587" s="718"/>
      <c r="Z587" s="709">
        <v>0</v>
      </c>
      <c r="AA587" s="175"/>
      <c r="AB587" s="200"/>
      <c r="AC587" s="205">
        <v>1.2999999999999999E-2</v>
      </c>
      <c r="AD587" s="175">
        <v>6.6</v>
      </c>
      <c r="AE587" s="175">
        <v>0.28999999999999998</v>
      </c>
      <c r="AF587" s="186">
        <f t="shared" si="10"/>
        <v>1.9139999999999997</v>
      </c>
      <c r="AG587" s="175">
        <v>1.02</v>
      </c>
      <c r="AH587" s="334"/>
      <c r="AI587" s="188"/>
      <c r="AJ587" s="188"/>
      <c r="AK587" s="188"/>
      <c r="AL587" s="189"/>
      <c r="AM587" s="189"/>
      <c r="AN587" s="189"/>
      <c r="AO587" s="189"/>
      <c r="AP587" s="189"/>
      <c r="AQ587" s="189"/>
      <c r="AR587" s="189"/>
      <c r="AS587" s="189"/>
      <c r="AT587" s="189"/>
      <c r="AU587" s="190"/>
      <c r="AV587" s="190"/>
      <c r="AW587" s="190"/>
      <c r="AX587" s="190"/>
      <c r="AY587" s="190"/>
      <c r="AZ587" s="189"/>
      <c r="BA587" s="189"/>
      <c r="BB587" s="189"/>
      <c r="BC587" s="189"/>
      <c r="BD587" s="189"/>
      <c r="BE587" s="189"/>
      <c r="BF587" s="189"/>
      <c r="BG587" s="189"/>
      <c r="BH587" s="189"/>
      <c r="BI587" s="190"/>
      <c r="BJ587" s="190"/>
      <c r="BK587" s="190"/>
      <c r="BL587" s="190"/>
      <c r="BM587" s="190"/>
      <c r="BN587" s="190"/>
      <c r="BO587" s="190"/>
      <c r="BP587" s="190"/>
      <c r="BQ587" s="190"/>
      <c r="BR587" s="190"/>
      <c r="BS587" s="190"/>
      <c r="BT587" s="190"/>
      <c r="BU587" s="190"/>
      <c r="BV587" s="190"/>
      <c r="BW587" s="190"/>
      <c r="BX587" s="190"/>
      <c r="BY587" s="190"/>
      <c r="BZ587" s="190"/>
      <c r="CA587" s="189"/>
      <c r="CB587" s="15"/>
    </row>
    <row r="588" spans="1:80" ht="15" x14ac:dyDescent="0.25">
      <c r="A588" s="167"/>
      <c r="B588" s="642"/>
      <c r="C588" s="642"/>
      <c r="D588" s="179"/>
      <c r="E588" s="169"/>
      <c r="F588" s="169"/>
      <c r="G588" s="187"/>
      <c r="H588" s="187"/>
      <c r="I588" s="187"/>
      <c r="J588" s="187"/>
      <c r="K588" s="187"/>
      <c r="L588" s="647"/>
      <c r="M588" s="646">
        <v>32712</v>
      </c>
      <c r="N588" s="585">
        <v>1.23</v>
      </c>
      <c r="O588" s="585">
        <v>1.32E-3</v>
      </c>
      <c r="P588" s="175">
        <v>0</v>
      </c>
      <c r="Q588" s="175">
        <v>0</v>
      </c>
      <c r="R588" s="175">
        <v>0</v>
      </c>
      <c r="S588" s="175">
        <v>0</v>
      </c>
      <c r="T588" s="175">
        <v>1.1E-4</v>
      </c>
      <c r="U588" s="175">
        <v>2.7999999999999998E-4</v>
      </c>
      <c r="V588" s="706">
        <v>9.3000000000000005E-4</v>
      </c>
      <c r="W588" s="717"/>
      <c r="X588" s="713"/>
      <c r="Y588" s="718"/>
      <c r="Z588" s="709">
        <v>0</v>
      </c>
      <c r="AA588" s="175"/>
      <c r="AB588" s="200"/>
      <c r="AC588" s="205">
        <v>1.4999999999999999E-2</v>
      </c>
      <c r="AD588" s="175">
        <v>6.4</v>
      </c>
      <c r="AE588" s="175">
        <v>0.25</v>
      </c>
      <c r="AF588" s="186">
        <f t="shared" si="10"/>
        <v>1.6</v>
      </c>
      <c r="AG588" s="175">
        <v>0.77</v>
      </c>
      <c r="AH588" s="334"/>
      <c r="AI588" s="188"/>
      <c r="AJ588" s="188"/>
      <c r="AK588" s="188"/>
      <c r="AL588" s="189"/>
      <c r="AM588" s="189"/>
      <c r="AN588" s="189"/>
      <c r="AO588" s="189"/>
      <c r="AP588" s="189"/>
      <c r="AQ588" s="189"/>
      <c r="AR588" s="189"/>
      <c r="AS588" s="189"/>
      <c r="AT588" s="189"/>
      <c r="AU588" s="190"/>
      <c r="AV588" s="190"/>
      <c r="AW588" s="190"/>
      <c r="AX588" s="190"/>
      <c r="AY588" s="190"/>
      <c r="AZ588" s="189"/>
      <c r="BA588" s="189"/>
      <c r="BB588" s="189"/>
      <c r="BC588" s="189"/>
      <c r="BD588" s="189"/>
      <c r="BE588" s="189"/>
      <c r="BF588" s="189"/>
      <c r="BG588" s="189"/>
      <c r="BH588" s="189"/>
      <c r="BI588" s="190"/>
      <c r="BJ588" s="190"/>
      <c r="BK588" s="190"/>
      <c r="BL588" s="190"/>
      <c r="BM588" s="190"/>
      <c r="BN588" s="190"/>
      <c r="BO588" s="190"/>
      <c r="BP588" s="190"/>
      <c r="BQ588" s="190"/>
      <c r="BR588" s="190"/>
      <c r="BS588" s="190"/>
      <c r="BT588" s="190"/>
      <c r="BU588" s="190"/>
      <c r="BV588" s="190"/>
      <c r="BW588" s="190"/>
      <c r="BX588" s="190"/>
      <c r="BY588" s="190"/>
      <c r="BZ588" s="190"/>
      <c r="CA588" s="189"/>
      <c r="CB588" s="15"/>
    </row>
    <row r="589" spans="1:80" ht="15" x14ac:dyDescent="0.25">
      <c r="A589" s="167"/>
      <c r="B589" s="642"/>
      <c r="C589" s="642"/>
      <c r="D589" s="179"/>
      <c r="E589" s="169"/>
      <c r="F589" s="169"/>
      <c r="G589" s="187"/>
      <c r="H589" s="187"/>
      <c r="I589" s="187"/>
      <c r="J589" s="187"/>
      <c r="K589" s="187"/>
      <c r="L589" s="647"/>
      <c r="M589" s="646">
        <v>32716</v>
      </c>
      <c r="N589" s="585">
        <v>1.07</v>
      </c>
      <c r="O589" s="585">
        <v>3.6999999999999999E-4</v>
      </c>
      <c r="P589" s="175">
        <v>0</v>
      </c>
      <c r="Q589" s="175">
        <v>0</v>
      </c>
      <c r="R589" s="175">
        <v>0</v>
      </c>
      <c r="S589" s="175">
        <v>0</v>
      </c>
      <c r="T589" s="175">
        <v>4.0000000000000003E-5</v>
      </c>
      <c r="U589" s="175">
        <v>6.9999999999999994E-5</v>
      </c>
      <c r="V589" s="706">
        <v>2.5000000000000001E-4</v>
      </c>
      <c r="W589" s="717"/>
      <c r="X589" s="713"/>
      <c r="Y589" s="718"/>
      <c r="Z589" s="709">
        <v>0</v>
      </c>
      <c r="AA589" s="175"/>
      <c r="AB589" s="200"/>
      <c r="AC589" s="205">
        <v>1.4E-2</v>
      </c>
      <c r="AD589" s="175">
        <v>6.4</v>
      </c>
      <c r="AE589" s="175">
        <v>0.22</v>
      </c>
      <c r="AF589" s="186">
        <f t="shared" si="10"/>
        <v>1.4080000000000001</v>
      </c>
      <c r="AG589" s="175">
        <v>0.76</v>
      </c>
      <c r="AH589" s="334"/>
      <c r="AI589" s="188"/>
      <c r="AJ589" s="188"/>
      <c r="AK589" s="188"/>
      <c r="AL589" s="189"/>
      <c r="AM589" s="189"/>
      <c r="AN589" s="189"/>
      <c r="AO589" s="189"/>
      <c r="AP589" s="189"/>
      <c r="AQ589" s="189"/>
      <c r="AR589" s="189"/>
      <c r="AS589" s="189"/>
      <c r="AT589" s="189"/>
      <c r="AU589" s="190"/>
      <c r="AV589" s="190"/>
      <c r="AW589" s="190"/>
      <c r="AX589" s="190"/>
      <c r="AY589" s="190"/>
      <c r="AZ589" s="189"/>
      <c r="BA589" s="189"/>
      <c r="BB589" s="189"/>
      <c r="BC589" s="189"/>
      <c r="BD589" s="189"/>
      <c r="BE589" s="189"/>
      <c r="BF589" s="189"/>
      <c r="BG589" s="189"/>
      <c r="BH589" s="189"/>
      <c r="BI589" s="190"/>
      <c r="BJ589" s="190"/>
      <c r="BK589" s="190"/>
      <c r="BL589" s="190"/>
      <c r="BM589" s="190"/>
      <c r="BN589" s="190"/>
      <c r="BO589" s="190"/>
      <c r="BP589" s="190"/>
      <c r="BQ589" s="190"/>
      <c r="BR589" s="190"/>
      <c r="BS589" s="190"/>
      <c r="BT589" s="190"/>
      <c r="BU589" s="190"/>
      <c r="BV589" s="190"/>
      <c r="BW589" s="190"/>
      <c r="BX589" s="190"/>
      <c r="BY589" s="190"/>
      <c r="BZ589" s="190"/>
      <c r="CA589" s="189"/>
      <c r="CB589" s="15"/>
    </row>
    <row r="590" spans="1:80" ht="15" x14ac:dyDescent="0.25">
      <c r="A590" s="167"/>
      <c r="B590" s="642"/>
      <c r="C590" s="642"/>
      <c r="D590" s="179"/>
      <c r="E590" s="169"/>
      <c r="F590" s="169"/>
      <c r="G590" s="187"/>
      <c r="H590" s="187"/>
      <c r="I590" s="187"/>
      <c r="J590" s="187"/>
      <c r="K590" s="187"/>
      <c r="L590" s="647"/>
      <c r="M590" s="646">
        <v>33393</v>
      </c>
      <c r="N590" s="585">
        <v>0.96</v>
      </c>
      <c r="O590" s="585">
        <v>7.2999999999999996E-4</v>
      </c>
      <c r="P590" s="175">
        <v>0</v>
      </c>
      <c r="Q590" s="175">
        <v>0</v>
      </c>
      <c r="R590" s="175">
        <v>0</v>
      </c>
      <c r="S590" s="175">
        <v>0</v>
      </c>
      <c r="T590" s="175">
        <v>1.0000000000000001E-5</v>
      </c>
      <c r="U590" s="175">
        <v>9.0000000000000006E-5</v>
      </c>
      <c r="V590" s="706">
        <v>6.2E-4</v>
      </c>
      <c r="W590" s="717"/>
      <c r="X590" s="713"/>
      <c r="Y590" s="718"/>
      <c r="Z590" s="709">
        <v>5</v>
      </c>
      <c r="AA590" s="175"/>
      <c r="AB590" s="200"/>
      <c r="AC590" s="205">
        <v>1.6E-2</v>
      </c>
      <c r="AD590" s="175">
        <v>6.4</v>
      </c>
      <c r="AE590" s="175">
        <v>0.23</v>
      </c>
      <c r="AF590" s="186">
        <f t="shared" si="10"/>
        <v>1.4720000000000002</v>
      </c>
      <c r="AG590" s="175">
        <v>0.66</v>
      </c>
      <c r="AH590" s="334"/>
      <c r="AI590" s="188"/>
      <c r="AJ590" s="188"/>
      <c r="AK590" s="188"/>
      <c r="AL590" s="189"/>
      <c r="AM590" s="189"/>
      <c r="AN590" s="189"/>
      <c r="AO590" s="189"/>
      <c r="AP590" s="189"/>
      <c r="AQ590" s="189"/>
      <c r="AR590" s="189"/>
      <c r="AS590" s="189"/>
      <c r="AT590" s="189"/>
      <c r="AU590" s="190"/>
      <c r="AV590" s="190"/>
      <c r="AW590" s="190"/>
      <c r="AX590" s="190"/>
      <c r="AY590" s="190"/>
      <c r="AZ590" s="189"/>
      <c r="BA590" s="189"/>
      <c r="BB590" s="189"/>
      <c r="BC590" s="189"/>
      <c r="BD590" s="189"/>
      <c r="BE590" s="189"/>
      <c r="BF590" s="189"/>
      <c r="BG590" s="189"/>
      <c r="BH590" s="189"/>
      <c r="BI590" s="190"/>
      <c r="BJ590" s="190"/>
      <c r="BK590" s="190"/>
      <c r="BL590" s="190"/>
      <c r="BM590" s="190"/>
      <c r="BN590" s="190"/>
      <c r="BO590" s="190"/>
      <c r="BP590" s="190"/>
      <c r="BQ590" s="190"/>
      <c r="BR590" s="190"/>
      <c r="BS590" s="190"/>
      <c r="BT590" s="190"/>
      <c r="BU590" s="190"/>
      <c r="BV590" s="190"/>
      <c r="BW590" s="190"/>
      <c r="BX590" s="190"/>
      <c r="BY590" s="190"/>
      <c r="BZ590" s="190"/>
      <c r="CA590" s="189"/>
      <c r="CB590" s="15"/>
    </row>
    <row r="591" spans="1:80" ht="15" x14ac:dyDescent="0.25">
      <c r="A591" s="167"/>
      <c r="B591" s="642"/>
      <c r="C591" s="642"/>
      <c r="D591" s="179"/>
      <c r="E591" s="169"/>
      <c r="F591" s="169"/>
      <c r="G591" s="187"/>
      <c r="H591" s="187"/>
      <c r="I591" s="187"/>
      <c r="J591" s="187"/>
      <c r="K591" s="187"/>
      <c r="L591" s="647"/>
      <c r="M591" s="646">
        <v>33395</v>
      </c>
      <c r="N591" s="585">
        <v>1.05</v>
      </c>
      <c r="O591" s="585">
        <v>1.1900000000000001E-3</v>
      </c>
      <c r="P591" s="175">
        <v>0</v>
      </c>
      <c r="Q591" s="175">
        <v>0</v>
      </c>
      <c r="R591" s="175">
        <v>0</v>
      </c>
      <c r="S591" s="175">
        <v>0</v>
      </c>
      <c r="T591" s="175">
        <v>2.5000000000000001E-4</v>
      </c>
      <c r="U591" s="175">
        <v>3.8999999999999999E-4</v>
      </c>
      <c r="V591" s="706">
        <v>5.5000000000000003E-4</v>
      </c>
      <c r="W591" s="717"/>
      <c r="X591" s="713"/>
      <c r="Y591" s="718"/>
      <c r="Z591" s="709">
        <v>8</v>
      </c>
      <c r="AA591" s="175"/>
      <c r="AB591" s="200"/>
      <c r="AC591" s="205">
        <v>1.6E-2</v>
      </c>
      <c r="AD591" s="175">
        <v>6.3</v>
      </c>
      <c r="AE591" s="175">
        <v>0.25</v>
      </c>
      <c r="AF591" s="186">
        <f t="shared" si="10"/>
        <v>1.575</v>
      </c>
      <c r="AG591" s="175">
        <v>0.67</v>
      </c>
      <c r="AH591" s="334"/>
      <c r="AI591" s="188"/>
      <c r="AJ591" s="188"/>
      <c r="AK591" s="188"/>
      <c r="AL591" s="189"/>
      <c r="AM591" s="189"/>
      <c r="AN591" s="189"/>
      <c r="AO591" s="189"/>
      <c r="AP591" s="189"/>
      <c r="AQ591" s="189"/>
      <c r="AR591" s="189"/>
      <c r="AS591" s="189"/>
      <c r="AT591" s="189"/>
      <c r="AU591" s="190"/>
      <c r="AV591" s="190"/>
      <c r="AW591" s="190"/>
      <c r="AX591" s="190"/>
      <c r="AY591" s="190"/>
      <c r="AZ591" s="189"/>
      <c r="BA591" s="189"/>
      <c r="BB591" s="189"/>
      <c r="BC591" s="189"/>
      <c r="BD591" s="189"/>
      <c r="BE591" s="189"/>
      <c r="BF591" s="189"/>
      <c r="BG591" s="189"/>
      <c r="BH591" s="189"/>
      <c r="BI591" s="190"/>
      <c r="BJ591" s="190"/>
      <c r="BK591" s="190"/>
      <c r="BL591" s="190"/>
      <c r="BM591" s="190"/>
      <c r="BN591" s="190"/>
      <c r="BO591" s="190"/>
      <c r="BP591" s="190"/>
      <c r="BQ591" s="190"/>
      <c r="BR591" s="190"/>
      <c r="BS591" s="190"/>
      <c r="BT591" s="190"/>
      <c r="BU591" s="190"/>
      <c r="BV591" s="190"/>
      <c r="BW591" s="190"/>
      <c r="BX591" s="190"/>
      <c r="BY591" s="190"/>
      <c r="BZ591" s="190"/>
      <c r="CA591" s="189"/>
      <c r="CB591" s="15"/>
    </row>
    <row r="592" spans="1:80" ht="15" x14ac:dyDescent="0.25">
      <c r="A592" s="167"/>
      <c r="B592" s="642"/>
      <c r="C592" s="642"/>
      <c r="D592" s="179"/>
      <c r="E592" s="169"/>
      <c r="F592" s="169"/>
      <c r="G592" s="187"/>
      <c r="H592" s="187"/>
      <c r="I592" s="187"/>
      <c r="J592" s="187"/>
      <c r="K592" s="187"/>
      <c r="L592" s="647"/>
      <c r="M592" s="646">
        <v>33398</v>
      </c>
      <c r="N592" s="585">
        <v>1.02</v>
      </c>
      <c r="O592" s="585">
        <v>4.8000000000000001E-4</v>
      </c>
      <c r="P592" s="175">
        <v>0</v>
      </c>
      <c r="Q592" s="175">
        <v>0</v>
      </c>
      <c r="R592" s="175">
        <v>0</v>
      </c>
      <c r="S592" s="175">
        <v>6.9999999999999994E-5</v>
      </c>
      <c r="T592" s="175">
        <v>2.0000000000000002E-5</v>
      </c>
      <c r="U592" s="175">
        <v>6.0000000000000002E-5</v>
      </c>
      <c r="V592" s="706">
        <v>3.2000000000000003E-4</v>
      </c>
      <c r="W592" s="717"/>
      <c r="X592" s="713"/>
      <c r="Y592" s="718"/>
      <c r="Z592" s="709">
        <v>10</v>
      </c>
      <c r="AA592" s="175"/>
      <c r="AB592" s="200"/>
      <c r="AC592" s="205">
        <v>2.1999999999999999E-2</v>
      </c>
      <c r="AD592" s="175">
        <v>6.2</v>
      </c>
      <c r="AE592" s="175">
        <v>0.23</v>
      </c>
      <c r="AF592" s="186">
        <f t="shared" si="10"/>
        <v>1.4260000000000002</v>
      </c>
      <c r="AG592" s="175">
        <v>0.71</v>
      </c>
      <c r="AH592" s="334"/>
      <c r="AI592" s="188"/>
      <c r="AJ592" s="188"/>
      <c r="AK592" s="188"/>
      <c r="AL592" s="189"/>
      <c r="AM592" s="189"/>
      <c r="AN592" s="189"/>
      <c r="AO592" s="189"/>
      <c r="AP592" s="189"/>
      <c r="AQ592" s="189"/>
      <c r="AR592" s="189"/>
      <c r="AS592" s="189"/>
      <c r="AT592" s="189"/>
      <c r="AU592" s="190"/>
      <c r="AV592" s="190"/>
      <c r="AW592" s="190"/>
      <c r="AX592" s="190"/>
      <c r="AY592" s="190"/>
      <c r="AZ592" s="189"/>
      <c r="BA592" s="189"/>
      <c r="BB592" s="189"/>
      <c r="BC592" s="189"/>
      <c r="BD592" s="189"/>
      <c r="BE592" s="189"/>
      <c r="BF592" s="189"/>
      <c r="BG592" s="189"/>
      <c r="BH592" s="189"/>
      <c r="BI592" s="190"/>
      <c r="BJ592" s="190"/>
      <c r="BK592" s="190"/>
      <c r="BL592" s="190"/>
      <c r="BM592" s="190"/>
      <c r="BN592" s="190"/>
      <c r="BO592" s="190"/>
      <c r="BP592" s="190"/>
      <c r="BQ592" s="190"/>
      <c r="BR592" s="190"/>
      <c r="BS592" s="190"/>
      <c r="BT592" s="190"/>
      <c r="BU592" s="190"/>
      <c r="BV592" s="190"/>
      <c r="BW592" s="190"/>
      <c r="BX592" s="190"/>
      <c r="BY592" s="190"/>
      <c r="BZ592" s="190"/>
      <c r="CA592" s="189"/>
      <c r="CB592" s="15"/>
    </row>
    <row r="593" spans="1:80" ht="15" x14ac:dyDescent="0.25">
      <c r="A593" s="167"/>
      <c r="B593" s="642"/>
      <c r="C593" s="642"/>
      <c r="D593" s="179"/>
      <c r="E593" s="169"/>
      <c r="F593" s="169"/>
      <c r="G593" s="187"/>
      <c r="H593" s="187"/>
      <c r="I593" s="187"/>
      <c r="J593" s="187"/>
      <c r="K593" s="187"/>
      <c r="L593" s="647"/>
      <c r="M593" s="646">
        <v>33399</v>
      </c>
      <c r="N593" s="585">
        <v>0.91</v>
      </c>
      <c r="O593" s="585">
        <v>1.2E-4</v>
      </c>
      <c r="P593" s="175">
        <v>0</v>
      </c>
      <c r="Q593" s="175">
        <v>0</v>
      </c>
      <c r="R593" s="175">
        <v>0</v>
      </c>
      <c r="S593" s="175">
        <v>0</v>
      </c>
      <c r="T593" s="175">
        <v>0</v>
      </c>
      <c r="U593" s="175">
        <v>0</v>
      </c>
      <c r="V593" s="706">
        <v>1.2E-4</v>
      </c>
      <c r="W593" s="717"/>
      <c r="X593" s="713"/>
      <c r="Y593" s="718"/>
      <c r="Z593" s="709">
        <v>0</v>
      </c>
      <c r="AA593" s="175"/>
      <c r="AB593" s="200"/>
      <c r="AC593" s="205">
        <v>1.9E-2</v>
      </c>
      <c r="AD593" s="175">
        <v>6.2</v>
      </c>
      <c r="AE593" s="175">
        <v>0.24</v>
      </c>
      <c r="AF593" s="186">
        <f t="shared" si="10"/>
        <v>1.488</v>
      </c>
      <c r="AG593" s="175">
        <v>0.62</v>
      </c>
      <c r="AH593" s="334"/>
      <c r="AI593" s="188"/>
      <c r="AJ593" s="188"/>
      <c r="AK593" s="188"/>
      <c r="AL593" s="189"/>
      <c r="AM593" s="189"/>
      <c r="AN593" s="189"/>
      <c r="AO593" s="189"/>
      <c r="AP593" s="189"/>
      <c r="AQ593" s="189"/>
      <c r="AR593" s="189"/>
      <c r="AS593" s="189"/>
      <c r="AT593" s="189"/>
      <c r="AU593" s="190"/>
      <c r="AV593" s="190"/>
      <c r="AW593" s="190"/>
      <c r="AX593" s="190"/>
      <c r="AY593" s="190"/>
      <c r="AZ593" s="189"/>
      <c r="BA593" s="189"/>
      <c r="BB593" s="189"/>
      <c r="BC593" s="189"/>
      <c r="BD593" s="189"/>
      <c r="BE593" s="189"/>
      <c r="BF593" s="189"/>
      <c r="BG593" s="189"/>
      <c r="BH593" s="189"/>
      <c r="BI593" s="190"/>
      <c r="BJ593" s="190"/>
      <c r="BK593" s="190"/>
      <c r="BL593" s="190"/>
      <c r="BM593" s="190"/>
      <c r="BN593" s="190"/>
      <c r="BO593" s="190"/>
      <c r="BP593" s="190"/>
      <c r="BQ593" s="190"/>
      <c r="BR593" s="190"/>
      <c r="BS593" s="190"/>
      <c r="BT593" s="190"/>
      <c r="BU593" s="190"/>
      <c r="BV593" s="190"/>
      <c r="BW593" s="190"/>
      <c r="BX593" s="190"/>
      <c r="BY593" s="190"/>
      <c r="BZ593" s="190"/>
      <c r="CA593" s="189"/>
      <c r="CB593" s="15"/>
    </row>
    <row r="594" spans="1:80" ht="15" x14ac:dyDescent="0.25">
      <c r="A594" s="167"/>
      <c r="B594" s="642"/>
      <c r="C594" s="642"/>
      <c r="D594" s="179"/>
      <c r="E594" s="169"/>
      <c r="F594" s="169"/>
      <c r="G594" s="187"/>
      <c r="H594" s="187"/>
      <c r="I594" s="187"/>
      <c r="J594" s="187"/>
      <c r="K594" s="187"/>
      <c r="L594" s="647"/>
      <c r="M594" s="646">
        <v>33400</v>
      </c>
      <c r="N594" s="585">
        <v>1.1499999999999999</v>
      </c>
      <c r="O594" s="585">
        <v>1.1999999999999999E-3</v>
      </c>
      <c r="P594" s="175">
        <v>0</v>
      </c>
      <c r="Q594" s="175">
        <v>0</v>
      </c>
      <c r="R594" s="175">
        <v>0</v>
      </c>
      <c r="S594" s="175">
        <v>5.0000000000000002E-5</v>
      </c>
      <c r="T594" s="175">
        <v>6.0000000000000002E-5</v>
      </c>
      <c r="U594" s="175">
        <v>2.5999999999999998E-4</v>
      </c>
      <c r="V594" s="706">
        <v>8.3000000000000001E-4</v>
      </c>
      <c r="W594" s="717"/>
      <c r="X594" s="713"/>
      <c r="Y594" s="718"/>
      <c r="Z594" s="709">
        <v>9</v>
      </c>
      <c r="AA594" s="175"/>
      <c r="AB594" s="200"/>
      <c r="AC594" s="205">
        <v>1.7000000000000001E-2</v>
      </c>
      <c r="AD594" s="175">
        <v>6.3</v>
      </c>
      <c r="AE594" s="175">
        <v>0.24</v>
      </c>
      <c r="AF594" s="186">
        <f t="shared" si="10"/>
        <v>1.512</v>
      </c>
      <c r="AG594" s="175">
        <v>0.75</v>
      </c>
      <c r="AH594" s="334"/>
      <c r="AI594" s="188"/>
      <c r="AJ594" s="188"/>
      <c r="AK594" s="188"/>
      <c r="AL594" s="189"/>
      <c r="AM594" s="189"/>
      <c r="AN594" s="189"/>
      <c r="AO594" s="189"/>
      <c r="AP594" s="189"/>
      <c r="AQ594" s="189"/>
      <c r="AR594" s="189"/>
      <c r="AS594" s="189"/>
      <c r="AT594" s="189"/>
      <c r="AU594" s="190"/>
      <c r="AV594" s="190"/>
      <c r="AW594" s="190"/>
      <c r="AX594" s="190"/>
      <c r="AY594" s="190"/>
      <c r="AZ594" s="189"/>
      <c r="BA594" s="189"/>
      <c r="BB594" s="189"/>
      <c r="BC594" s="189"/>
      <c r="BD594" s="189"/>
      <c r="BE594" s="189"/>
      <c r="BF594" s="189"/>
      <c r="BG594" s="189"/>
      <c r="BH594" s="189"/>
      <c r="BI594" s="190"/>
      <c r="BJ594" s="190"/>
      <c r="BK594" s="190"/>
      <c r="BL594" s="190"/>
      <c r="BM594" s="190"/>
      <c r="BN594" s="190"/>
      <c r="BO594" s="190"/>
      <c r="BP594" s="190"/>
      <c r="BQ594" s="190"/>
      <c r="BR594" s="190"/>
      <c r="BS594" s="190"/>
      <c r="BT594" s="190"/>
      <c r="BU594" s="190"/>
      <c r="BV594" s="190"/>
      <c r="BW594" s="190"/>
      <c r="BX594" s="190"/>
      <c r="BY594" s="190"/>
      <c r="BZ594" s="190"/>
      <c r="CA594" s="189"/>
      <c r="CB594" s="15"/>
    </row>
    <row r="595" spans="1:80" ht="15" x14ac:dyDescent="0.25">
      <c r="A595" s="167"/>
      <c r="B595" s="642"/>
      <c r="C595" s="642"/>
      <c r="D595" s="179"/>
      <c r="E595" s="169"/>
      <c r="F595" s="169"/>
      <c r="G595" s="187"/>
      <c r="H595" s="187"/>
      <c r="I595" s="187"/>
      <c r="J595" s="187"/>
      <c r="K595" s="187"/>
      <c r="L595" s="647"/>
      <c r="M595" s="646">
        <v>33401</v>
      </c>
      <c r="N595" s="585">
        <v>2.27</v>
      </c>
      <c r="O595" s="585">
        <v>3.5869999999999999E-2</v>
      </c>
      <c r="P595" s="175">
        <v>0</v>
      </c>
      <c r="Q595" s="175">
        <v>0</v>
      </c>
      <c r="R595" s="175">
        <v>0</v>
      </c>
      <c r="S595" s="175">
        <v>8.4000000000000003E-4</v>
      </c>
      <c r="T595" s="175">
        <v>4.9500000000000004E-3</v>
      </c>
      <c r="U595" s="175">
        <v>4.8199999999999996E-3</v>
      </c>
      <c r="V595" s="706">
        <v>2.5270000000000001E-2</v>
      </c>
      <c r="W595" s="717"/>
      <c r="X595" s="713"/>
      <c r="Y595" s="718"/>
      <c r="Z595" s="709">
        <v>12</v>
      </c>
      <c r="AA595" s="175"/>
      <c r="AB595" s="200"/>
      <c r="AC595" s="205">
        <v>1.2999999999999999E-2</v>
      </c>
      <c r="AD595" s="175">
        <v>6.3</v>
      </c>
      <c r="AE595" s="175">
        <v>0.33</v>
      </c>
      <c r="AF595" s="186">
        <f t="shared" si="10"/>
        <v>2.0790000000000002</v>
      </c>
      <c r="AG595" s="175">
        <v>1.1100000000000001</v>
      </c>
      <c r="AH595" s="334"/>
      <c r="AI595" s="188"/>
      <c r="AJ595" s="188"/>
      <c r="AK595" s="188"/>
      <c r="AL595" s="189"/>
      <c r="AM595" s="189"/>
      <c r="AN595" s="189"/>
      <c r="AO595" s="189"/>
      <c r="AP595" s="189"/>
      <c r="AQ595" s="189"/>
      <c r="AR595" s="189"/>
      <c r="AS595" s="189"/>
      <c r="AT595" s="189"/>
      <c r="AU595" s="190"/>
      <c r="AV595" s="190"/>
      <c r="AW595" s="190"/>
      <c r="AX595" s="190"/>
      <c r="AY595" s="190"/>
      <c r="AZ595" s="189"/>
      <c r="BA595" s="189"/>
      <c r="BB595" s="189"/>
      <c r="BC595" s="189"/>
      <c r="BD595" s="189"/>
      <c r="BE595" s="189"/>
      <c r="BF595" s="189"/>
      <c r="BG595" s="189"/>
      <c r="BH595" s="189"/>
      <c r="BI595" s="190"/>
      <c r="BJ595" s="190"/>
      <c r="BK595" s="190"/>
      <c r="BL595" s="190"/>
      <c r="BM595" s="190"/>
      <c r="BN595" s="190"/>
      <c r="BO595" s="190"/>
      <c r="BP595" s="190"/>
      <c r="BQ595" s="190"/>
      <c r="BR595" s="190"/>
      <c r="BS595" s="190"/>
      <c r="BT595" s="190"/>
      <c r="BU595" s="190"/>
      <c r="BV595" s="190"/>
      <c r="BW595" s="190"/>
      <c r="BX595" s="190"/>
      <c r="BY595" s="190"/>
      <c r="BZ595" s="190"/>
      <c r="CA595" s="189"/>
      <c r="CB595" s="15"/>
    </row>
    <row r="596" spans="1:80" ht="15" x14ac:dyDescent="0.25">
      <c r="A596" s="167"/>
      <c r="B596" s="642"/>
      <c r="C596" s="642"/>
      <c r="D596" s="179"/>
      <c r="E596" s="169"/>
      <c r="F596" s="169"/>
      <c r="G596" s="187"/>
      <c r="H596" s="187"/>
      <c r="I596" s="187"/>
      <c r="J596" s="187"/>
      <c r="K596" s="187"/>
      <c r="L596" s="647"/>
      <c r="M596" s="646">
        <v>33403</v>
      </c>
      <c r="N596" s="585">
        <v>3.19</v>
      </c>
      <c r="O596" s="585">
        <v>3.524E-2</v>
      </c>
      <c r="P596" s="175">
        <v>0</v>
      </c>
      <c r="Q596" s="175">
        <v>0</v>
      </c>
      <c r="R596" s="175">
        <v>1.9300000000000001E-3</v>
      </c>
      <c r="S596" s="175">
        <v>2.2000000000000001E-3</v>
      </c>
      <c r="T596" s="175">
        <v>2.7799999999999999E-3</v>
      </c>
      <c r="U596" s="175">
        <v>4.3600000000000002E-3</v>
      </c>
      <c r="V596" s="706">
        <v>2.3970000000000002E-2</v>
      </c>
      <c r="W596" s="717"/>
      <c r="X596" s="713"/>
      <c r="Y596" s="718"/>
      <c r="Z596" s="709">
        <v>25</v>
      </c>
      <c r="AA596" s="175"/>
      <c r="AB596" s="200"/>
      <c r="AC596" s="205">
        <v>1.2999999999999999E-2</v>
      </c>
      <c r="AD596" s="175">
        <v>6.9</v>
      </c>
      <c r="AE596" s="175">
        <v>0.33</v>
      </c>
      <c r="AF596" s="186">
        <f t="shared" si="10"/>
        <v>2.2770000000000001</v>
      </c>
      <c r="AG596" s="175">
        <v>1.38</v>
      </c>
      <c r="AH596" s="334"/>
      <c r="AI596" s="188"/>
      <c r="AJ596" s="188"/>
      <c r="AK596" s="188"/>
      <c r="AL596" s="189"/>
      <c r="AM596" s="189"/>
      <c r="AN596" s="189"/>
      <c r="AO596" s="189"/>
      <c r="AP596" s="189"/>
      <c r="AQ596" s="189"/>
      <c r="AR596" s="189"/>
      <c r="AS596" s="189"/>
      <c r="AT596" s="189"/>
      <c r="AU596" s="190"/>
      <c r="AV596" s="190"/>
      <c r="AW596" s="190"/>
      <c r="AX596" s="190"/>
      <c r="AY596" s="190"/>
      <c r="AZ596" s="189"/>
      <c r="BA596" s="189"/>
      <c r="BB596" s="189"/>
      <c r="BC596" s="189"/>
      <c r="BD596" s="189"/>
      <c r="BE596" s="189"/>
      <c r="BF596" s="189"/>
      <c r="BG596" s="189"/>
      <c r="BH596" s="189"/>
      <c r="BI596" s="190"/>
      <c r="BJ596" s="190"/>
      <c r="BK596" s="190"/>
      <c r="BL596" s="190"/>
      <c r="BM596" s="190"/>
      <c r="BN596" s="190"/>
      <c r="BO596" s="190"/>
      <c r="BP596" s="190"/>
      <c r="BQ596" s="190"/>
      <c r="BR596" s="190"/>
      <c r="BS596" s="190"/>
      <c r="BT596" s="190"/>
      <c r="BU596" s="190"/>
      <c r="BV596" s="190"/>
      <c r="BW596" s="190"/>
      <c r="BX596" s="190"/>
      <c r="BY596" s="190"/>
      <c r="BZ596" s="190"/>
      <c r="CA596" s="189"/>
      <c r="CB596" s="15"/>
    </row>
    <row r="597" spans="1:80" ht="15" x14ac:dyDescent="0.25">
      <c r="A597" s="167"/>
      <c r="B597" s="642"/>
      <c r="C597" s="642"/>
      <c r="D597" s="179"/>
      <c r="E597" s="169"/>
      <c r="F597" s="169"/>
      <c r="G597" s="187"/>
      <c r="H597" s="187"/>
      <c r="I597" s="187"/>
      <c r="J597" s="187"/>
      <c r="K597" s="187"/>
      <c r="L597" s="647"/>
      <c r="M597" s="646">
        <v>33404</v>
      </c>
      <c r="N597" s="585">
        <v>3.75</v>
      </c>
      <c r="O597" s="585">
        <v>5.3850000000000002E-2</v>
      </c>
      <c r="P597" s="175">
        <v>0</v>
      </c>
      <c r="Q597" s="175">
        <v>0</v>
      </c>
      <c r="R597" s="175">
        <v>2.5000000000000001E-3</v>
      </c>
      <c r="S597" s="175">
        <v>4.96E-3</v>
      </c>
      <c r="T597" s="175">
        <v>6.1199999999999996E-3</v>
      </c>
      <c r="U597" s="175">
        <v>7.8499999999999993E-3</v>
      </c>
      <c r="V597" s="706">
        <v>3.2419999999999997E-2</v>
      </c>
      <c r="W597" s="717"/>
      <c r="X597" s="713"/>
      <c r="Y597" s="718"/>
      <c r="Z597" s="709">
        <v>22</v>
      </c>
      <c r="AA597" s="175"/>
      <c r="AB597" s="200"/>
      <c r="AC597" s="205">
        <v>6.0000000000000001E-3</v>
      </c>
      <c r="AD597" s="175">
        <v>7</v>
      </c>
      <c r="AE597" s="175">
        <v>0.35</v>
      </c>
      <c r="AF597" s="186">
        <f t="shared" si="10"/>
        <v>2.4499999999999997</v>
      </c>
      <c r="AG597" s="175">
        <v>1.55</v>
      </c>
      <c r="AH597" s="334"/>
      <c r="AI597" s="188"/>
      <c r="AJ597" s="188"/>
      <c r="AK597" s="188"/>
      <c r="AL597" s="189"/>
      <c r="AM597" s="189"/>
      <c r="AN597" s="189"/>
      <c r="AO597" s="189"/>
      <c r="AP597" s="189"/>
      <c r="AQ597" s="189"/>
      <c r="AR597" s="189"/>
      <c r="AS597" s="189"/>
      <c r="AT597" s="189"/>
      <c r="AU597" s="190"/>
      <c r="AV597" s="190"/>
      <c r="AW597" s="190"/>
      <c r="AX597" s="190"/>
      <c r="AY597" s="190"/>
      <c r="AZ597" s="189"/>
      <c r="BA597" s="189"/>
      <c r="BB597" s="189"/>
      <c r="BC597" s="189"/>
      <c r="BD597" s="189"/>
      <c r="BE597" s="189"/>
      <c r="BF597" s="189"/>
      <c r="BG597" s="189"/>
      <c r="BH597" s="189"/>
      <c r="BI597" s="190"/>
      <c r="BJ597" s="190"/>
      <c r="BK597" s="190"/>
      <c r="BL597" s="190"/>
      <c r="BM597" s="190"/>
      <c r="BN597" s="190"/>
      <c r="BO597" s="190"/>
      <c r="BP597" s="190"/>
      <c r="BQ597" s="190"/>
      <c r="BR597" s="190"/>
      <c r="BS597" s="190"/>
      <c r="BT597" s="190"/>
      <c r="BU597" s="190"/>
      <c r="BV597" s="190"/>
      <c r="BW597" s="190"/>
      <c r="BX597" s="190"/>
      <c r="BY597" s="190"/>
      <c r="BZ597" s="190"/>
      <c r="CA597" s="189"/>
      <c r="CB597" s="15"/>
    </row>
    <row r="598" spans="1:80" ht="15" x14ac:dyDescent="0.25">
      <c r="A598" s="167"/>
      <c r="B598" s="642"/>
      <c r="C598" s="642"/>
      <c r="D598" s="179"/>
      <c r="E598" s="169"/>
      <c r="F598" s="169"/>
      <c r="G598" s="187"/>
      <c r="H598" s="187"/>
      <c r="I598" s="187"/>
      <c r="J598" s="187"/>
      <c r="K598" s="187"/>
      <c r="L598" s="647"/>
      <c r="M598" s="646">
        <v>33408</v>
      </c>
      <c r="N598" s="585">
        <v>3.79</v>
      </c>
      <c r="O598" s="585">
        <v>5.5989999999999998E-2</v>
      </c>
      <c r="P598" s="175">
        <v>0</v>
      </c>
      <c r="Q598" s="175">
        <v>0</v>
      </c>
      <c r="R598" s="175">
        <v>4.4299999999999999E-3</v>
      </c>
      <c r="S598" s="175">
        <v>4.2900000000000004E-3</v>
      </c>
      <c r="T598" s="175">
        <v>6.7099999999999998E-3</v>
      </c>
      <c r="U598" s="175">
        <v>9.6200000000000001E-3</v>
      </c>
      <c r="V598" s="706">
        <v>3.0929999999999999E-2</v>
      </c>
      <c r="W598" s="717"/>
      <c r="X598" s="713"/>
      <c r="Y598" s="718"/>
      <c r="Z598" s="709">
        <v>34</v>
      </c>
      <c r="AA598" s="175"/>
      <c r="AB598" s="200"/>
      <c r="AC598" s="205">
        <v>6.0000000000000001E-3</v>
      </c>
      <c r="AD598" s="175">
        <v>7.1</v>
      </c>
      <c r="AE598" s="175">
        <v>0.35</v>
      </c>
      <c r="AF598" s="186">
        <f t="shared" si="10"/>
        <v>2.4849999999999999</v>
      </c>
      <c r="AG598" s="175">
        <v>1.53</v>
      </c>
      <c r="AH598" s="334"/>
      <c r="AI598" s="188"/>
      <c r="AJ598" s="188"/>
      <c r="AK598" s="188"/>
      <c r="AL598" s="189"/>
      <c r="AM598" s="189"/>
      <c r="AN598" s="189"/>
      <c r="AO598" s="189"/>
      <c r="AP598" s="189"/>
      <c r="AQ598" s="189"/>
      <c r="AR598" s="189"/>
      <c r="AS598" s="189"/>
      <c r="AT598" s="189"/>
      <c r="AU598" s="190"/>
      <c r="AV598" s="190"/>
      <c r="AW598" s="190"/>
      <c r="AX598" s="190"/>
      <c r="AY598" s="190"/>
      <c r="AZ598" s="189"/>
      <c r="BA598" s="189"/>
      <c r="BB598" s="189"/>
      <c r="BC598" s="189"/>
      <c r="BD598" s="189"/>
      <c r="BE598" s="189"/>
      <c r="BF598" s="189"/>
      <c r="BG598" s="189"/>
      <c r="BH598" s="189"/>
      <c r="BI598" s="190"/>
      <c r="BJ598" s="190"/>
      <c r="BK598" s="190"/>
      <c r="BL598" s="190"/>
      <c r="BM598" s="190"/>
      <c r="BN598" s="190"/>
      <c r="BO598" s="190"/>
      <c r="BP598" s="190"/>
      <c r="BQ598" s="190"/>
      <c r="BR598" s="190"/>
      <c r="BS598" s="190"/>
      <c r="BT598" s="190"/>
      <c r="BU598" s="190"/>
      <c r="BV598" s="190"/>
      <c r="BW598" s="190"/>
      <c r="BX598" s="190"/>
      <c r="BY598" s="190"/>
      <c r="BZ598" s="190"/>
      <c r="CA598" s="189"/>
      <c r="CB598" s="15"/>
    </row>
    <row r="599" spans="1:80" ht="15" x14ac:dyDescent="0.25">
      <c r="A599" s="167"/>
      <c r="B599" s="642"/>
      <c r="C599" s="642"/>
      <c r="D599" s="179"/>
      <c r="E599" s="169"/>
      <c r="F599" s="169"/>
      <c r="G599" s="187"/>
      <c r="H599" s="187"/>
      <c r="I599" s="187"/>
      <c r="J599" s="187"/>
      <c r="K599" s="187"/>
      <c r="L599" s="647"/>
      <c r="M599" s="646">
        <v>33409</v>
      </c>
      <c r="N599" s="585">
        <v>3.35</v>
      </c>
      <c r="O599" s="585">
        <v>4.2599999999999999E-2</v>
      </c>
      <c r="P599" s="175">
        <v>0</v>
      </c>
      <c r="Q599" s="175">
        <v>0</v>
      </c>
      <c r="R599" s="175">
        <v>3.9399999999999999E-3</v>
      </c>
      <c r="S599" s="175">
        <v>7.7299999999999999E-3</v>
      </c>
      <c r="T599" s="175">
        <v>7.4999999999999997E-3</v>
      </c>
      <c r="U599" s="175">
        <v>6.79E-3</v>
      </c>
      <c r="V599" s="706">
        <v>1.6639999999999999E-2</v>
      </c>
      <c r="W599" s="717"/>
      <c r="X599" s="713"/>
      <c r="Y599" s="718"/>
      <c r="Z599" s="709">
        <v>25</v>
      </c>
      <c r="AA599" s="175"/>
      <c r="AB599" s="200"/>
      <c r="AC599" s="205">
        <v>8.9999999999999993E-3</v>
      </c>
      <c r="AD599" s="175">
        <v>6.9</v>
      </c>
      <c r="AE599" s="175">
        <v>0.33</v>
      </c>
      <c r="AF599" s="186">
        <f t="shared" si="10"/>
        <v>2.2770000000000001</v>
      </c>
      <c r="AG599" s="175">
        <v>1.48</v>
      </c>
      <c r="AH599" s="334"/>
      <c r="AI599" s="188"/>
      <c r="AJ599" s="188"/>
      <c r="AK599" s="188"/>
      <c r="AL599" s="189"/>
      <c r="AM599" s="189"/>
      <c r="AN599" s="189"/>
      <c r="AO599" s="189"/>
      <c r="AP599" s="189"/>
      <c r="AQ599" s="189"/>
      <c r="AR599" s="189"/>
      <c r="AS599" s="189"/>
      <c r="AT599" s="189"/>
      <c r="AU599" s="190"/>
      <c r="AV599" s="190"/>
      <c r="AW599" s="190"/>
      <c r="AX599" s="190"/>
      <c r="AY599" s="190"/>
      <c r="AZ599" s="189"/>
      <c r="BA599" s="189"/>
      <c r="BB599" s="189"/>
      <c r="BC599" s="189"/>
      <c r="BD599" s="189"/>
      <c r="BE599" s="189"/>
      <c r="BF599" s="189"/>
      <c r="BG599" s="189"/>
      <c r="BH599" s="189"/>
      <c r="BI599" s="190"/>
      <c r="BJ599" s="190"/>
      <c r="BK599" s="190"/>
      <c r="BL599" s="190"/>
      <c r="BM599" s="190"/>
      <c r="BN599" s="190"/>
      <c r="BO599" s="190"/>
      <c r="BP599" s="190"/>
      <c r="BQ599" s="190"/>
      <c r="BR599" s="190"/>
      <c r="BS599" s="190"/>
      <c r="BT599" s="190"/>
      <c r="BU599" s="190"/>
      <c r="BV599" s="190"/>
      <c r="BW599" s="190"/>
      <c r="BX599" s="190"/>
      <c r="BY599" s="190"/>
      <c r="BZ599" s="190"/>
      <c r="CA599" s="189"/>
      <c r="CB599" s="15"/>
    </row>
    <row r="600" spans="1:80" ht="15" x14ac:dyDescent="0.25">
      <c r="A600" s="167"/>
      <c r="B600" s="642"/>
      <c r="C600" s="642"/>
      <c r="D600" s="179"/>
      <c r="E600" s="169"/>
      <c r="F600" s="169"/>
      <c r="G600" s="187"/>
      <c r="H600" s="187"/>
      <c r="I600" s="187"/>
      <c r="J600" s="187"/>
      <c r="K600" s="187"/>
      <c r="L600" s="647"/>
      <c r="M600" s="646">
        <v>33410</v>
      </c>
      <c r="N600" s="585">
        <v>3.57</v>
      </c>
      <c r="O600" s="585">
        <v>2.4729999999999999E-2</v>
      </c>
      <c r="P600" s="175">
        <v>0</v>
      </c>
      <c r="Q600" s="175">
        <v>0</v>
      </c>
      <c r="R600" s="175">
        <v>2.7100000000000002E-3</v>
      </c>
      <c r="S600" s="175">
        <v>1.8799999999999999E-3</v>
      </c>
      <c r="T600" s="175">
        <v>3.0599999999999998E-3</v>
      </c>
      <c r="U600" s="175">
        <v>3.3E-3</v>
      </c>
      <c r="V600" s="706">
        <v>1.3769999999999999E-2</v>
      </c>
      <c r="W600" s="717"/>
      <c r="X600" s="713"/>
      <c r="Y600" s="718"/>
      <c r="Z600" s="709">
        <v>25</v>
      </c>
      <c r="AA600" s="175"/>
      <c r="AB600" s="200"/>
      <c r="AC600" s="205">
        <v>1.2999999999999999E-2</v>
      </c>
      <c r="AD600" s="175">
        <v>6.9</v>
      </c>
      <c r="AE600" s="175">
        <v>0.35</v>
      </c>
      <c r="AF600" s="186">
        <f t="shared" si="10"/>
        <v>2.415</v>
      </c>
      <c r="AG600" s="175">
        <v>1.48</v>
      </c>
      <c r="AH600" s="334"/>
      <c r="AI600" s="188"/>
      <c r="AJ600" s="188"/>
      <c r="AK600" s="188"/>
      <c r="AL600" s="189"/>
      <c r="AM600" s="189"/>
      <c r="AN600" s="189"/>
      <c r="AO600" s="189"/>
      <c r="AP600" s="189"/>
      <c r="AQ600" s="189"/>
      <c r="AR600" s="189"/>
      <c r="AS600" s="189"/>
      <c r="AT600" s="189"/>
      <c r="AU600" s="190"/>
      <c r="AV600" s="190"/>
      <c r="AW600" s="190"/>
      <c r="AX600" s="190"/>
      <c r="AY600" s="190"/>
      <c r="AZ600" s="189"/>
      <c r="BA600" s="189"/>
      <c r="BB600" s="189"/>
      <c r="BC600" s="189"/>
      <c r="BD600" s="189"/>
      <c r="BE600" s="189"/>
      <c r="BF600" s="189"/>
      <c r="BG600" s="189"/>
      <c r="BH600" s="189"/>
      <c r="BI600" s="190"/>
      <c r="BJ600" s="190"/>
      <c r="BK600" s="190"/>
      <c r="BL600" s="190"/>
      <c r="BM600" s="190"/>
      <c r="BN600" s="190"/>
      <c r="BO600" s="190"/>
      <c r="BP600" s="190"/>
      <c r="BQ600" s="190"/>
      <c r="BR600" s="190"/>
      <c r="BS600" s="190"/>
      <c r="BT600" s="190"/>
      <c r="BU600" s="190"/>
      <c r="BV600" s="190"/>
      <c r="BW600" s="190"/>
      <c r="BX600" s="190"/>
      <c r="BY600" s="190"/>
      <c r="BZ600" s="190"/>
      <c r="CA600" s="189"/>
      <c r="CB600" s="15"/>
    </row>
    <row r="601" spans="1:80" ht="15" x14ac:dyDescent="0.25">
      <c r="A601" s="167"/>
      <c r="B601" s="642"/>
      <c r="C601" s="642"/>
      <c r="D601" s="179"/>
      <c r="E601" s="169"/>
      <c r="F601" s="169"/>
      <c r="G601" s="187"/>
      <c r="H601" s="187"/>
      <c r="I601" s="187"/>
      <c r="J601" s="187"/>
      <c r="K601" s="187"/>
      <c r="L601" s="647"/>
      <c r="M601" s="646">
        <v>33415</v>
      </c>
      <c r="N601" s="585">
        <v>3.23</v>
      </c>
      <c r="O601" s="585">
        <v>1.593E-2</v>
      </c>
      <c r="P601" s="175">
        <v>0</v>
      </c>
      <c r="Q601" s="175">
        <v>0</v>
      </c>
      <c r="R601" s="175">
        <v>1.89E-3</v>
      </c>
      <c r="S601" s="175">
        <v>1.4E-3</v>
      </c>
      <c r="T601" s="175">
        <v>2.0100000000000001E-3</v>
      </c>
      <c r="U601" s="175">
        <v>2.99E-3</v>
      </c>
      <c r="V601" s="706">
        <v>7.6299999999999996E-3</v>
      </c>
      <c r="W601" s="717"/>
      <c r="X601" s="713"/>
      <c r="Y601" s="718"/>
      <c r="Z601" s="709">
        <v>30</v>
      </c>
      <c r="AA601" s="175"/>
      <c r="AB601" s="200"/>
      <c r="AC601" s="205">
        <v>1.6E-2</v>
      </c>
      <c r="AD601" s="175">
        <v>7</v>
      </c>
      <c r="AE601" s="175">
        <v>0.33</v>
      </c>
      <c r="AF601" s="186">
        <f t="shared" ref="AF601:AF664" si="11">AE601*AD601</f>
        <v>2.31</v>
      </c>
      <c r="AG601" s="175">
        <v>1.4</v>
      </c>
      <c r="AH601" s="334"/>
      <c r="AI601" s="188"/>
      <c r="AJ601" s="188"/>
      <c r="AK601" s="188"/>
      <c r="AL601" s="189"/>
      <c r="AM601" s="189"/>
      <c r="AN601" s="189"/>
      <c r="AO601" s="189"/>
      <c r="AP601" s="189"/>
      <c r="AQ601" s="189"/>
      <c r="AR601" s="189"/>
      <c r="AS601" s="189"/>
      <c r="AT601" s="189"/>
      <c r="AU601" s="190"/>
      <c r="AV601" s="190"/>
      <c r="AW601" s="190"/>
      <c r="AX601" s="190"/>
      <c r="AY601" s="190"/>
      <c r="AZ601" s="189"/>
      <c r="BA601" s="189"/>
      <c r="BB601" s="189"/>
      <c r="BC601" s="189"/>
      <c r="BD601" s="189"/>
      <c r="BE601" s="189"/>
      <c r="BF601" s="189"/>
      <c r="BG601" s="189"/>
      <c r="BH601" s="189"/>
      <c r="BI601" s="190"/>
      <c r="BJ601" s="190"/>
      <c r="BK601" s="190"/>
      <c r="BL601" s="190"/>
      <c r="BM601" s="190"/>
      <c r="BN601" s="190"/>
      <c r="BO601" s="190"/>
      <c r="BP601" s="190"/>
      <c r="BQ601" s="190"/>
      <c r="BR601" s="190"/>
      <c r="BS601" s="190"/>
      <c r="BT601" s="190"/>
      <c r="BU601" s="190"/>
      <c r="BV601" s="190"/>
      <c r="BW601" s="190"/>
      <c r="BX601" s="190"/>
      <c r="BY601" s="190"/>
      <c r="BZ601" s="190"/>
      <c r="CA601" s="189"/>
      <c r="CB601" s="15"/>
    </row>
    <row r="602" spans="1:80" ht="15" x14ac:dyDescent="0.25">
      <c r="A602" s="167"/>
      <c r="B602" s="642"/>
      <c r="C602" s="642"/>
      <c r="D602" s="179"/>
      <c r="E602" s="169"/>
      <c r="F602" s="169"/>
      <c r="G602" s="187"/>
      <c r="H602" s="187"/>
      <c r="I602" s="187"/>
      <c r="J602" s="187"/>
      <c r="K602" s="187"/>
      <c r="L602" s="647"/>
      <c r="M602" s="646">
        <v>33417</v>
      </c>
      <c r="N602" s="585">
        <v>3.3</v>
      </c>
      <c r="O602" s="585">
        <v>1.391E-2</v>
      </c>
      <c r="P602" s="175">
        <v>0</v>
      </c>
      <c r="Q602" s="175">
        <v>0</v>
      </c>
      <c r="R602" s="175">
        <v>2.0200000000000001E-3</v>
      </c>
      <c r="S602" s="175">
        <v>1.81E-3</v>
      </c>
      <c r="T602" s="175">
        <v>1.6999999999999999E-3</v>
      </c>
      <c r="U602" s="175">
        <v>2.4499999999999999E-3</v>
      </c>
      <c r="V602" s="706">
        <v>5.9300000000000004E-3</v>
      </c>
      <c r="W602" s="717"/>
      <c r="X602" s="713"/>
      <c r="Y602" s="718"/>
      <c r="Z602" s="709">
        <v>28</v>
      </c>
      <c r="AA602" s="175"/>
      <c r="AB602" s="200"/>
      <c r="AC602" s="205">
        <v>1.4999999999999999E-2</v>
      </c>
      <c r="AD602" s="175">
        <v>6.7</v>
      </c>
      <c r="AE602" s="175">
        <v>0.36</v>
      </c>
      <c r="AF602" s="186">
        <f t="shared" si="11"/>
        <v>2.4119999999999999</v>
      </c>
      <c r="AG602" s="175">
        <v>1.38</v>
      </c>
      <c r="AH602" s="334"/>
      <c r="AI602" s="188"/>
      <c r="AJ602" s="188"/>
      <c r="AK602" s="188"/>
      <c r="AL602" s="189"/>
      <c r="AM602" s="189"/>
      <c r="AN602" s="189"/>
      <c r="AO602" s="189"/>
      <c r="AP602" s="189"/>
      <c r="AQ602" s="189"/>
      <c r="AR602" s="189"/>
      <c r="AS602" s="189"/>
      <c r="AT602" s="189"/>
      <c r="AU602" s="190"/>
      <c r="AV602" s="190"/>
      <c r="AW602" s="190"/>
      <c r="AX602" s="190"/>
      <c r="AY602" s="190"/>
      <c r="AZ602" s="189"/>
      <c r="BA602" s="189"/>
      <c r="BB602" s="189"/>
      <c r="BC602" s="189"/>
      <c r="BD602" s="189"/>
      <c r="BE602" s="189"/>
      <c r="BF602" s="189"/>
      <c r="BG602" s="189"/>
      <c r="BH602" s="189"/>
      <c r="BI602" s="190"/>
      <c r="BJ602" s="190"/>
      <c r="BK602" s="190"/>
      <c r="BL602" s="190"/>
      <c r="BM602" s="190"/>
      <c r="BN602" s="190"/>
      <c r="BO602" s="190"/>
      <c r="BP602" s="190"/>
      <c r="BQ602" s="190"/>
      <c r="BR602" s="190"/>
      <c r="BS602" s="190"/>
      <c r="BT602" s="190"/>
      <c r="BU602" s="190"/>
      <c r="BV602" s="190"/>
      <c r="BW602" s="190"/>
      <c r="BX602" s="190"/>
      <c r="BY602" s="190"/>
      <c r="BZ602" s="190"/>
      <c r="CA602" s="189"/>
      <c r="CB602" s="15"/>
    </row>
    <row r="603" spans="1:80" ht="15" x14ac:dyDescent="0.25">
      <c r="A603" s="167"/>
      <c r="B603" s="642"/>
      <c r="C603" s="642"/>
      <c r="D603" s="179"/>
      <c r="E603" s="169"/>
      <c r="F603" s="169"/>
      <c r="G603" s="187"/>
      <c r="H603" s="187"/>
      <c r="I603" s="187"/>
      <c r="J603" s="187"/>
      <c r="K603" s="187"/>
      <c r="L603" s="647"/>
      <c r="M603" s="646">
        <v>33423</v>
      </c>
      <c r="N603" s="585">
        <v>2.59</v>
      </c>
      <c r="O603" s="585">
        <v>8.7200000000000003E-3</v>
      </c>
      <c r="P603" s="175">
        <v>0</v>
      </c>
      <c r="Q603" s="175">
        <v>0</v>
      </c>
      <c r="R603" s="175">
        <v>0</v>
      </c>
      <c r="S603" s="175">
        <v>2.2000000000000001E-4</v>
      </c>
      <c r="T603" s="175">
        <v>1.1800000000000001E-3</v>
      </c>
      <c r="U603" s="175">
        <v>2.33E-3</v>
      </c>
      <c r="V603" s="706">
        <v>4.9800000000000001E-3</v>
      </c>
      <c r="W603" s="717"/>
      <c r="X603" s="713"/>
      <c r="Y603" s="718"/>
      <c r="Z603" s="709">
        <v>11</v>
      </c>
      <c r="AA603" s="175"/>
      <c r="AB603" s="200"/>
      <c r="AC603" s="205">
        <v>1.6E-2</v>
      </c>
      <c r="AD603" s="175">
        <v>6.5</v>
      </c>
      <c r="AE603" s="175">
        <v>0.32</v>
      </c>
      <c r="AF603" s="186">
        <f t="shared" si="11"/>
        <v>2.08</v>
      </c>
      <c r="AG603" s="175">
        <v>1.23</v>
      </c>
      <c r="AH603" s="334"/>
      <c r="AI603" s="188"/>
      <c r="AJ603" s="188"/>
      <c r="AK603" s="188"/>
      <c r="AL603" s="189"/>
      <c r="AM603" s="189"/>
      <c r="AN603" s="189"/>
      <c r="AO603" s="189"/>
      <c r="AP603" s="189"/>
      <c r="AQ603" s="189"/>
      <c r="AR603" s="189"/>
      <c r="AS603" s="189"/>
      <c r="AT603" s="189"/>
      <c r="AU603" s="190"/>
      <c r="AV603" s="190"/>
      <c r="AW603" s="190"/>
      <c r="AX603" s="190"/>
      <c r="AY603" s="190"/>
      <c r="AZ603" s="189"/>
      <c r="BA603" s="189"/>
      <c r="BB603" s="189"/>
      <c r="BC603" s="189"/>
      <c r="BD603" s="189"/>
      <c r="BE603" s="189"/>
      <c r="BF603" s="189"/>
      <c r="BG603" s="189"/>
      <c r="BH603" s="189"/>
      <c r="BI603" s="190"/>
      <c r="BJ603" s="190"/>
      <c r="BK603" s="190"/>
      <c r="BL603" s="190"/>
      <c r="BM603" s="190"/>
      <c r="BN603" s="190"/>
      <c r="BO603" s="190"/>
      <c r="BP603" s="190"/>
      <c r="BQ603" s="190"/>
      <c r="BR603" s="190"/>
      <c r="BS603" s="190"/>
      <c r="BT603" s="190"/>
      <c r="BU603" s="190"/>
      <c r="BV603" s="190"/>
      <c r="BW603" s="190"/>
      <c r="BX603" s="190"/>
      <c r="BY603" s="190"/>
      <c r="BZ603" s="190"/>
      <c r="CA603" s="189"/>
      <c r="CB603" s="15"/>
    </row>
    <row r="604" spans="1:80" ht="15" x14ac:dyDescent="0.25">
      <c r="A604" s="167"/>
      <c r="B604" s="642"/>
      <c r="C604" s="642"/>
      <c r="D604" s="179"/>
      <c r="E604" s="169"/>
      <c r="F604" s="169"/>
      <c r="G604" s="187"/>
      <c r="H604" s="187"/>
      <c r="I604" s="187"/>
      <c r="J604" s="187"/>
      <c r="K604" s="187"/>
      <c r="L604" s="647"/>
      <c r="M604" s="646">
        <v>33425</v>
      </c>
      <c r="N604" s="585">
        <v>3.41</v>
      </c>
      <c r="O604" s="585">
        <v>3.993E-2</v>
      </c>
      <c r="P604" s="175">
        <v>0</v>
      </c>
      <c r="Q604" s="175">
        <v>0</v>
      </c>
      <c r="R604" s="175">
        <v>7.5000000000000002E-4</v>
      </c>
      <c r="S604" s="175">
        <v>3.8400000000000001E-3</v>
      </c>
      <c r="T604" s="175">
        <v>8.1200000000000005E-3</v>
      </c>
      <c r="U604" s="175">
        <v>9.0399999999999994E-3</v>
      </c>
      <c r="V604" s="706">
        <v>1.8180000000000002E-2</v>
      </c>
      <c r="W604" s="717"/>
      <c r="X604" s="713"/>
      <c r="Y604" s="718"/>
      <c r="Z604" s="709">
        <v>21</v>
      </c>
      <c r="AA604" s="175"/>
      <c r="AB604" s="200"/>
      <c r="AC604" s="205">
        <v>1.4999999999999999E-2</v>
      </c>
      <c r="AD604" s="175">
        <v>6.8</v>
      </c>
      <c r="AE604" s="175">
        <v>0.34</v>
      </c>
      <c r="AF604" s="186">
        <f t="shared" si="11"/>
        <v>2.3120000000000003</v>
      </c>
      <c r="AG604" s="175">
        <v>1.46</v>
      </c>
      <c r="AH604" s="334"/>
      <c r="AI604" s="188"/>
      <c r="AJ604" s="188"/>
      <c r="AK604" s="188"/>
      <c r="AL604" s="189"/>
      <c r="AM604" s="189"/>
      <c r="AN604" s="189"/>
      <c r="AO604" s="189"/>
      <c r="AP604" s="189"/>
      <c r="AQ604" s="189"/>
      <c r="AR604" s="189"/>
      <c r="AS604" s="189"/>
      <c r="AT604" s="189"/>
      <c r="AU604" s="190"/>
      <c r="AV604" s="190"/>
      <c r="AW604" s="190"/>
      <c r="AX604" s="190"/>
      <c r="AY604" s="190"/>
      <c r="AZ604" s="189"/>
      <c r="BA604" s="189"/>
      <c r="BB604" s="189"/>
      <c r="BC604" s="189"/>
      <c r="BD604" s="189"/>
      <c r="BE604" s="189"/>
      <c r="BF604" s="189"/>
      <c r="BG604" s="189"/>
      <c r="BH604" s="189"/>
      <c r="BI604" s="190"/>
      <c r="BJ604" s="190"/>
      <c r="BK604" s="190"/>
      <c r="BL604" s="190"/>
      <c r="BM604" s="190"/>
      <c r="BN604" s="190"/>
      <c r="BO604" s="190"/>
      <c r="BP604" s="190"/>
      <c r="BQ604" s="190"/>
      <c r="BR604" s="190"/>
      <c r="BS604" s="190"/>
      <c r="BT604" s="190"/>
      <c r="BU604" s="190"/>
      <c r="BV604" s="190"/>
      <c r="BW604" s="190"/>
      <c r="BX604" s="190"/>
      <c r="BY604" s="190"/>
      <c r="BZ604" s="190"/>
      <c r="CA604" s="189"/>
      <c r="CB604" s="15"/>
    </row>
    <row r="605" spans="1:80" ht="15" x14ac:dyDescent="0.25">
      <c r="A605" s="167"/>
      <c r="B605" s="642"/>
      <c r="C605" s="642"/>
      <c r="D605" s="179"/>
      <c r="E605" s="169"/>
      <c r="F605" s="169"/>
      <c r="G605" s="187"/>
      <c r="H605" s="187"/>
      <c r="I605" s="187"/>
      <c r="J605" s="187"/>
      <c r="K605" s="187"/>
      <c r="L605" s="647"/>
      <c r="M605" s="646">
        <v>33428</v>
      </c>
      <c r="N605" s="585">
        <v>4.2</v>
      </c>
      <c r="O605" s="585">
        <v>6.6500000000000004E-2</v>
      </c>
      <c r="P605" s="175">
        <v>0</v>
      </c>
      <c r="Q605" s="175">
        <v>0</v>
      </c>
      <c r="R605" s="175">
        <v>6.0800000000000003E-3</v>
      </c>
      <c r="S605" s="175">
        <v>9.2599999999999991E-3</v>
      </c>
      <c r="T605" s="175">
        <v>1.0500000000000001E-2</v>
      </c>
      <c r="U605" s="175">
        <v>1.221E-2</v>
      </c>
      <c r="V605" s="706">
        <v>2.845E-2</v>
      </c>
      <c r="W605" s="717"/>
      <c r="X605" s="713"/>
      <c r="Y605" s="718"/>
      <c r="Z605" s="709">
        <v>30</v>
      </c>
      <c r="AA605" s="175"/>
      <c r="AB605" s="200"/>
      <c r="AC605" s="205">
        <v>2.1000000000000001E-2</v>
      </c>
      <c r="AD605" s="175">
        <v>6.8</v>
      </c>
      <c r="AE605" s="175">
        <v>0.38</v>
      </c>
      <c r="AF605" s="186">
        <f t="shared" si="11"/>
        <v>2.5840000000000001</v>
      </c>
      <c r="AG605" s="175">
        <v>1.63</v>
      </c>
      <c r="AH605" s="334"/>
      <c r="AI605" s="188"/>
      <c r="AJ605" s="188"/>
      <c r="AK605" s="188"/>
      <c r="AL605" s="189"/>
      <c r="AM605" s="189"/>
      <c r="AN605" s="189"/>
      <c r="AO605" s="189"/>
      <c r="AP605" s="189"/>
      <c r="AQ605" s="189"/>
      <c r="AR605" s="189"/>
      <c r="AS605" s="189"/>
      <c r="AT605" s="189"/>
      <c r="AU605" s="190"/>
      <c r="AV605" s="190"/>
      <c r="AW605" s="190"/>
      <c r="AX605" s="190"/>
      <c r="AY605" s="190"/>
      <c r="AZ605" s="189"/>
      <c r="BA605" s="189"/>
      <c r="BB605" s="189"/>
      <c r="BC605" s="189"/>
      <c r="BD605" s="189"/>
      <c r="BE605" s="189"/>
      <c r="BF605" s="189"/>
      <c r="BG605" s="189"/>
      <c r="BH605" s="189"/>
      <c r="BI605" s="190"/>
      <c r="BJ605" s="190"/>
      <c r="BK605" s="190"/>
      <c r="BL605" s="190"/>
      <c r="BM605" s="190"/>
      <c r="BN605" s="190"/>
      <c r="BO605" s="190"/>
      <c r="BP605" s="190"/>
      <c r="BQ605" s="190"/>
      <c r="BR605" s="190"/>
      <c r="BS605" s="190"/>
      <c r="BT605" s="190"/>
      <c r="BU605" s="190"/>
      <c r="BV605" s="190"/>
      <c r="BW605" s="190"/>
      <c r="BX605" s="190"/>
      <c r="BY605" s="190"/>
      <c r="BZ605" s="190"/>
      <c r="CA605" s="189"/>
      <c r="CB605" s="15"/>
    </row>
    <row r="606" spans="1:80" ht="15" x14ac:dyDescent="0.25">
      <c r="A606" s="167"/>
      <c r="B606" s="642"/>
      <c r="C606" s="642"/>
      <c r="D606" s="179"/>
      <c r="E606" s="169"/>
      <c r="F606" s="169"/>
      <c r="G606" s="187"/>
      <c r="H606" s="187"/>
      <c r="I606" s="187"/>
      <c r="J606" s="187"/>
      <c r="K606" s="187"/>
      <c r="L606" s="647"/>
      <c r="M606" s="646">
        <v>33429</v>
      </c>
      <c r="N606" s="585">
        <v>3.56</v>
      </c>
      <c r="O606" s="585">
        <v>2.2179999999999998E-2</v>
      </c>
      <c r="P606" s="175">
        <v>0</v>
      </c>
      <c r="Q606" s="175">
        <v>0</v>
      </c>
      <c r="R606" s="175">
        <v>0</v>
      </c>
      <c r="S606" s="175">
        <v>1.9499999999999999E-3</v>
      </c>
      <c r="T606" s="175">
        <v>3.4399999999999999E-3</v>
      </c>
      <c r="U606" s="175">
        <v>4.9899999999999996E-3</v>
      </c>
      <c r="V606" s="706">
        <v>1.179E-2</v>
      </c>
      <c r="W606" s="717"/>
      <c r="X606" s="713"/>
      <c r="Y606" s="718"/>
      <c r="Z606" s="709">
        <v>14</v>
      </c>
      <c r="AA606" s="175"/>
      <c r="AB606" s="200"/>
      <c r="AC606" s="205">
        <v>7.0000000000000001E-3</v>
      </c>
      <c r="AD606" s="175">
        <v>6.8</v>
      </c>
      <c r="AE606" s="175">
        <v>0.35</v>
      </c>
      <c r="AF606" s="186">
        <f t="shared" si="11"/>
        <v>2.38</v>
      </c>
      <c r="AG606" s="175">
        <v>1.5</v>
      </c>
      <c r="AH606" s="334"/>
      <c r="AI606" s="188"/>
      <c r="AJ606" s="188"/>
      <c r="AK606" s="188"/>
      <c r="AL606" s="189"/>
      <c r="AM606" s="189"/>
      <c r="AN606" s="189"/>
      <c r="AO606" s="189"/>
      <c r="AP606" s="189"/>
      <c r="AQ606" s="189"/>
      <c r="AR606" s="189"/>
      <c r="AS606" s="189"/>
      <c r="AT606" s="189"/>
      <c r="AU606" s="190"/>
      <c r="AV606" s="190"/>
      <c r="AW606" s="190"/>
      <c r="AX606" s="190"/>
      <c r="AY606" s="190"/>
      <c r="AZ606" s="189"/>
      <c r="BA606" s="189"/>
      <c r="BB606" s="189"/>
      <c r="BC606" s="189"/>
      <c r="BD606" s="189"/>
      <c r="BE606" s="189"/>
      <c r="BF606" s="189"/>
      <c r="BG606" s="189"/>
      <c r="BH606" s="189"/>
      <c r="BI606" s="190"/>
      <c r="BJ606" s="190"/>
      <c r="BK606" s="190"/>
      <c r="BL606" s="190"/>
      <c r="BM606" s="190"/>
      <c r="BN606" s="190"/>
      <c r="BO606" s="190"/>
      <c r="BP606" s="190"/>
      <c r="BQ606" s="190"/>
      <c r="BR606" s="190"/>
      <c r="BS606" s="190"/>
      <c r="BT606" s="190"/>
      <c r="BU606" s="190"/>
      <c r="BV606" s="190"/>
      <c r="BW606" s="190"/>
      <c r="BX606" s="190"/>
      <c r="BY606" s="190"/>
      <c r="BZ606" s="190"/>
      <c r="CA606" s="189"/>
      <c r="CB606" s="15"/>
    </row>
    <row r="607" spans="1:80" ht="15" x14ac:dyDescent="0.25">
      <c r="A607" s="167"/>
      <c r="B607" s="642"/>
      <c r="C607" s="642"/>
      <c r="D607" s="179"/>
      <c r="E607" s="169"/>
      <c r="F607" s="169"/>
      <c r="G607" s="187"/>
      <c r="H607" s="187"/>
      <c r="I607" s="187"/>
      <c r="J607" s="187"/>
      <c r="K607" s="187"/>
      <c r="L607" s="647"/>
      <c r="M607" s="646">
        <v>33430</v>
      </c>
      <c r="N607" s="585">
        <v>4.46</v>
      </c>
      <c r="O607" s="585">
        <v>4.7010000000000003E-2</v>
      </c>
      <c r="P607" s="175">
        <v>0</v>
      </c>
      <c r="Q607" s="175">
        <v>0</v>
      </c>
      <c r="R607" s="175">
        <v>4.6000000000000001E-4</v>
      </c>
      <c r="S607" s="175">
        <v>3.48E-3</v>
      </c>
      <c r="T607" s="175">
        <v>8.2799999999999992E-3</v>
      </c>
      <c r="U607" s="175">
        <v>9.41E-3</v>
      </c>
      <c r="V607" s="706">
        <v>2.538E-2</v>
      </c>
      <c r="W607" s="717"/>
      <c r="X607" s="713"/>
      <c r="Y607" s="718"/>
      <c r="Z607" s="709">
        <v>20</v>
      </c>
      <c r="AA607" s="175"/>
      <c r="AB607" s="200"/>
      <c r="AC607" s="205">
        <v>1.9E-2</v>
      </c>
      <c r="AD607" s="175">
        <v>7.1</v>
      </c>
      <c r="AE607" s="175">
        <v>0.39</v>
      </c>
      <c r="AF607" s="186">
        <f t="shared" si="11"/>
        <v>2.7690000000000001</v>
      </c>
      <c r="AG607" s="175">
        <v>1.63</v>
      </c>
      <c r="AH607" s="334"/>
      <c r="AI607" s="188"/>
      <c r="AJ607" s="188"/>
      <c r="AK607" s="188"/>
      <c r="AL607" s="189"/>
      <c r="AM607" s="189"/>
      <c r="AN607" s="189"/>
      <c r="AO607" s="189"/>
      <c r="AP607" s="189"/>
      <c r="AQ607" s="189"/>
      <c r="AR607" s="189"/>
      <c r="AS607" s="189"/>
      <c r="AT607" s="189"/>
      <c r="AU607" s="190"/>
      <c r="AV607" s="190"/>
      <c r="AW607" s="190"/>
      <c r="AX607" s="190"/>
      <c r="AY607" s="190"/>
      <c r="AZ607" s="189"/>
      <c r="BA607" s="189"/>
      <c r="BB607" s="189"/>
      <c r="BC607" s="189"/>
      <c r="BD607" s="189"/>
      <c r="BE607" s="189"/>
      <c r="BF607" s="189"/>
      <c r="BG607" s="189"/>
      <c r="BH607" s="189"/>
      <c r="BI607" s="190"/>
      <c r="BJ607" s="190"/>
      <c r="BK607" s="190"/>
      <c r="BL607" s="190"/>
      <c r="BM607" s="190"/>
      <c r="BN607" s="190"/>
      <c r="BO607" s="190"/>
      <c r="BP607" s="190"/>
      <c r="BQ607" s="190"/>
      <c r="BR607" s="190"/>
      <c r="BS607" s="190"/>
      <c r="BT607" s="190"/>
      <c r="BU607" s="190"/>
      <c r="BV607" s="190"/>
      <c r="BW607" s="190"/>
      <c r="BX607" s="190"/>
      <c r="BY607" s="190"/>
      <c r="BZ607" s="190"/>
      <c r="CA607" s="189"/>
      <c r="CB607" s="15"/>
    </row>
    <row r="608" spans="1:80" ht="15" x14ac:dyDescent="0.25">
      <c r="A608" s="167"/>
      <c r="B608" s="642"/>
      <c r="C608" s="642"/>
      <c r="D608" s="179"/>
      <c r="E608" s="169"/>
      <c r="F608" s="169"/>
      <c r="G608" s="187"/>
      <c r="H608" s="187"/>
      <c r="I608" s="187"/>
      <c r="J608" s="187"/>
      <c r="K608" s="187"/>
      <c r="L608" s="647"/>
      <c r="M608" s="646">
        <v>33432</v>
      </c>
      <c r="N608" s="585">
        <v>4.01</v>
      </c>
      <c r="O608" s="585">
        <v>6.2890000000000001E-2</v>
      </c>
      <c r="P608" s="175">
        <v>0</v>
      </c>
      <c r="Q608" s="175">
        <v>0</v>
      </c>
      <c r="R608" s="175">
        <v>2.5300000000000001E-3</v>
      </c>
      <c r="S608" s="175">
        <v>8.9700000000000005E-3</v>
      </c>
      <c r="T608" s="175">
        <v>1.192E-2</v>
      </c>
      <c r="U608" s="175">
        <v>1.417E-2</v>
      </c>
      <c r="V608" s="706">
        <v>2.53E-2</v>
      </c>
      <c r="W608" s="717"/>
      <c r="X608" s="713"/>
      <c r="Y608" s="718"/>
      <c r="Z608" s="709">
        <v>23</v>
      </c>
      <c r="AA608" s="175"/>
      <c r="AB608" s="200"/>
      <c r="AC608" s="205">
        <v>2.1000000000000001E-2</v>
      </c>
      <c r="AD608" s="175">
        <v>6.7</v>
      </c>
      <c r="AE608" s="175">
        <v>0.38</v>
      </c>
      <c r="AF608" s="186">
        <f t="shared" si="11"/>
        <v>2.5460000000000003</v>
      </c>
      <c r="AG608" s="175">
        <v>1.57</v>
      </c>
      <c r="AH608" s="334"/>
      <c r="AI608" s="188"/>
      <c r="AJ608" s="188"/>
      <c r="AK608" s="188"/>
      <c r="AL608" s="189"/>
      <c r="AM608" s="189"/>
      <c r="AN608" s="189"/>
      <c r="AO608" s="189"/>
      <c r="AP608" s="189"/>
      <c r="AQ608" s="189"/>
      <c r="AR608" s="189"/>
      <c r="AS608" s="189"/>
      <c r="AT608" s="189"/>
      <c r="AU608" s="190"/>
      <c r="AV608" s="190"/>
      <c r="AW608" s="190"/>
      <c r="AX608" s="190"/>
      <c r="AY608" s="190"/>
      <c r="AZ608" s="189"/>
      <c r="BA608" s="189"/>
      <c r="BB608" s="189"/>
      <c r="BC608" s="189"/>
      <c r="BD608" s="189"/>
      <c r="BE608" s="189"/>
      <c r="BF608" s="189"/>
      <c r="BG608" s="189"/>
      <c r="BH608" s="189"/>
      <c r="BI608" s="190"/>
      <c r="BJ608" s="190"/>
      <c r="BK608" s="190"/>
      <c r="BL608" s="190"/>
      <c r="BM608" s="190"/>
      <c r="BN608" s="190"/>
      <c r="BO608" s="190"/>
      <c r="BP608" s="190"/>
      <c r="BQ608" s="190"/>
      <c r="BR608" s="190"/>
      <c r="BS608" s="190"/>
      <c r="BT608" s="190"/>
      <c r="BU608" s="190"/>
      <c r="BV608" s="190"/>
      <c r="BW608" s="190"/>
      <c r="BX608" s="190"/>
      <c r="BY608" s="190"/>
      <c r="BZ608" s="190"/>
      <c r="CA608" s="189"/>
      <c r="CB608" s="15"/>
    </row>
    <row r="609" spans="1:80" ht="15" x14ac:dyDescent="0.25">
      <c r="A609" s="167"/>
      <c r="B609" s="642"/>
      <c r="C609" s="642"/>
      <c r="D609" s="179"/>
      <c r="E609" s="169"/>
      <c r="F609" s="169"/>
      <c r="G609" s="187"/>
      <c r="H609" s="187"/>
      <c r="I609" s="187"/>
      <c r="J609" s="187"/>
      <c r="K609" s="187"/>
      <c r="L609" s="647"/>
      <c r="M609" s="646">
        <v>33436</v>
      </c>
      <c r="N609" s="585">
        <v>3.32</v>
      </c>
      <c r="O609" s="585">
        <v>6.6650000000000001E-2</v>
      </c>
      <c r="P609" s="175">
        <v>0</v>
      </c>
      <c r="Q609" s="175">
        <v>4.0499999999999998E-3</v>
      </c>
      <c r="R609" s="175">
        <v>6.7000000000000002E-3</v>
      </c>
      <c r="S609" s="175">
        <v>1.0319999999999999E-2</v>
      </c>
      <c r="T609" s="175">
        <v>1.325E-2</v>
      </c>
      <c r="U609" s="175">
        <v>1.5270000000000001E-2</v>
      </c>
      <c r="V609" s="706">
        <v>1.7059999999999999E-2</v>
      </c>
      <c r="W609" s="717"/>
      <c r="X609" s="713"/>
      <c r="Y609" s="718"/>
      <c r="Z609" s="709">
        <v>36</v>
      </c>
      <c r="AA609" s="175"/>
      <c r="AB609" s="200"/>
      <c r="AC609" s="205">
        <v>8.9999999999999993E-3</v>
      </c>
      <c r="AD609" s="175">
        <v>6.6</v>
      </c>
      <c r="AE609" s="175">
        <v>0.34</v>
      </c>
      <c r="AF609" s="186">
        <f t="shared" si="11"/>
        <v>2.2440000000000002</v>
      </c>
      <c r="AG609" s="175">
        <v>1.5</v>
      </c>
      <c r="AH609" s="334"/>
      <c r="AI609" s="188"/>
      <c r="AJ609" s="188"/>
      <c r="AK609" s="188"/>
      <c r="AL609" s="189"/>
      <c r="AM609" s="189"/>
      <c r="AN609" s="189"/>
      <c r="AO609" s="189"/>
      <c r="AP609" s="189"/>
      <c r="AQ609" s="189"/>
      <c r="AR609" s="189"/>
      <c r="AS609" s="189"/>
      <c r="AT609" s="189"/>
      <c r="AU609" s="190"/>
      <c r="AV609" s="190"/>
      <c r="AW609" s="190"/>
      <c r="AX609" s="190"/>
      <c r="AY609" s="190"/>
      <c r="AZ609" s="189"/>
      <c r="BA609" s="189"/>
      <c r="BB609" s="189"/>
      <c r="BC609" s="189"/>
      <c r="BD609" s="189"/>
      <c r="BE609" s="189"/>
      <c r="BF609" s="189"/>
      <c r="BG609" s="189"/>
      <c r="BH609" s="189"/>
      <c r="BI609" s="190"/>
      <c r="BJ609" s="190"/>
      <c r="BK609" s="190"/>
      <c r="BL609" s="190"/>
      <c r="BM609" s="190"/>
      <c r="BN609" s="190"/>
      <c r="BO609" s="190"/>
      <c r="BP609" s="190"/>
      <c r="BQ609" s="190"/>
      <c r="BR609" s="190"/>
      <c r="BS609" s="190"/>
      <c r="BT609" s="190"/>
      <c r="BU609" s="190"/>
      <c r="BV609" s="190"/>
      <c r="BW609" s="190"/>
      <c r="BX609" s="190"/>
      <c r="BY609" s="190"/>
      <c r="BZ609" s="190"/>
      <c r="CA609" s="189"/>
      <c r="CB609" s="15"/>
    </row>
    <row r="610" spans="1:80" ht="15" x14ac:dyDescent="0.25">
      <c r="A610" s="167"/>
      <c r="B610" s="642"/>
      <c r="C610" s="642"/>
      <c r="D610" s="179"/>
      <c r="E610" s="169"/>
      <c r="F610" s="169"/>
      <c r="G610" s="187"/>
      <c r="H610" s="187"/>
      <c r="I610" s="187"/>
      <c r="J610" s="187"/>
      <c r="K610" s="187"/>
      <c r="L610" s="647"/>
      <c r="M610" s="646">
        <v>33438</v>
      </c>
      <c r="N610" s="585">
        <v>2.66</v>
      </c>
      <c r="O610" s="585">
        <v>1.6840000000000001E-2</v>
      </c>
      <c r="P610" s="175">
        <v>0</v>
      </c>
      <c r="Q610" s="175">
        <v>0</v>
      </c>
      <c r="R610" s="175">
        <v>0</v>
      </c>
      <c r="S610" s="175">
        <v>2.0600000000000002E-3</v>
      </c>
      <c r="T610" s="175">
        <v>3.2699999999999999E-3</v>
      </c>
      <c r="U610" s="175">
        <v>4.7200000000000002E-3</v>
      </c>
      <c r="V610" s="706">
        <v>6.79E-3</v>
      </c>
      <c r="W610" s="717"/>
      <c r="X610" s="713"/>
      <c r="Y610" s="718"/>
      <c r="Z610" s="709">
        <v>49</v>
      </c>
      <c r="AA610" s="175"/>
      <c r="AB610" s="200"/>
      <c r="AC610" s="205">
        <v>1.6E-2</v>
      </c>
      <c r="AD610" s="175">
        <v>6.4</v>
      </c>
      <c r="AE610" s="175">
        <v>0.34</v>
      </c>
      <c r="AF610" s="186">
        <f t="shared" si="11"/>
        <v>2.1760000000000002</v>
      </c>
      <c r="AG610" s="175">
        <v>1.21</v>
      </c>
      <c r="AH610" s="334"/>
      <c r="AI610" s="188"/>
      <c r="AJ610" s="188"/>
      <c r="AK610" s="188"/>
      <c r="AL610" s="189"/>
      <c r="AM610" s="189"/>
      <c r="AN610" s="189"/>
      <c r="AO610" s="189"/>
      <c r="AP610" s="189"/>
      <c r="AQ610" s="189"/>
      <c r="AR610" s="189"/>
      <c r="AS610" s="189"/>
      <c r="AT610" s="189"/>
      <c r="AU610" s="190"/>
      <c r="AV610" s="190"/>
      <c r="AW610" s="190"/>
      <c r="AX610" s="190"/>
      <c r="AY610" s="190"/>
      <c r="AZ610" s="189"/>
      <c r="BA610" s="189"/>
      <c r="BB610" s="189"/>
      <c r="BC610" s="189"/>
      <c r="BD610" s="189"/>
      <c r="BE610" s="189"/>
      <c r="BF610" s="189"/>
      <c r="BG610" s="189"/>
      <c r="BH610" s="189"/>
      <c r="BI610" s="190"/>
      <c r="BJ610" s="190"/>
      <c r="BK610" s="190"/>
      <c r="BL610" s="190"/>
      <c r="BM610" s="190"/>
      <c r="BN610" s="190"/>
      <c r="BO610" s="190"/>
      <c r="BP610" s="190"/>
      <c r="BQ610" s="190"/>
      <c r="BR610" s="190"/>
      <c r="BS610" s="190"/>
      <c r="BT610" s="190"/>
      <c r="BU610" s="190"/>
      <c r="BV610" s="190"/>
      <c r="BW610" s="190"/>
      <c r="BX610" s="190"/>
      <c r="BY610" s="190"/>
      <c r="BZ610" s="190"/>
      <c r="CA610" s="189"/>
      <c r="CB610" s="15"/>
    </row>
    <row r="611" spans="1:80" ht="15" x14ac:dyDescent="0.25">
      <c r="A611" s="167"/>
      <c r="B611" s="642"/>
      <c r="C611" s="642"/>
      <c r="D611" s="179"/>
      <c r="E611" s="169"/>
      <c r="F611" s="169"/>
      <c r="G611" s="187"/>
      <c r="H611" s="187"/>
      <c r="I611" s="187"/>
      <c r="J611" s="187"/>
      <c r="K611" s="187"/>
      <c r="L611" s="647"/>
      <c r="M611" s="646">
        <v>33442</v>
      </c>
      <c r="N611" s="585">
        <v>2.37</v>
      </c>
      <c r="O611" s="585">
        <v>1.5219999999999999E-2</v>
      </c>
      <c r="P611" s="175">
        <v>0</v>
      </c>
      <c r="Q611" s="175">
        <v>0</v>
      </c>
      <c r="R611" s="175">
        <v>3.4000000000000002E-4</v>
      </c>
      <c r="S611" s="175">
        <v>3.3999999999999998E-3</v>
      </c>
      <c r="T611" s="175">
        <v>3.7399999999999998E-3</v>
      </c>
      <c r="U611" s="175">
        <v>3.4099999999999998E-3</v>
      </c>
      <c r="V611" s="706">
        <v>4.3299999999999996E-3</v>
      </c>
      <c r="W611" s="717"/>
      <c r="X611" s="713"/>
      <c r="Y611" s="718"/>
      <c r="Z611" s="709">
        <v>20</v>
      </c>
      <c r="AA611" s="175"/>
      <c r="AB611" s="200"/>
      <c r="AC611" s="205">
        <v>1.2999999999999999E-2</v>
      </c>
      <c r="AD611" s="175">
        <v>6.4</v>
      </c>
      <c r="AE611" s="175">
        <v>0.31</v>
      </c>
      <c r="AF611" s="186">
        <f t="shared" si="11"/>
        <v>1.984</v>
      </c>
      <c r="AG611" s="175">
        <v>1.18</v>
      </c>
      <c r="AH611" s="334"/>
      <c r="AI611" s="188"/>
      <c r="AJ611" s="188"/>
      <c r="AK611" s="188"/>
      <c r="AL611" s="189"/>
      <c r="AM611" s="189"/>
      <c r="AN611" s="189"/>
      <c r="AO611" s="189"/>
      <c r="AP611" s="189"/>
      <c r="AQ611" s="189"/>
      <c r="AR611" s="189"/>
      <c r="AS611" s="189"/>
      <c r="AT611" s="189"/>
      <c r="AU611" s="190"/>
      <c r="AV611" s="190"/>
      <c r="AW611" s="190"/>
      <c r="AX611" s="190"/>
      <c r="AY611" s="190"/>
      <c r="AZ611" s="189"/>
      <c r="BA611" s="189"/>
      <c r="BB611" s="189"/>
      <c r="BC611" s="189"/>
      <c r="BD611" s="189"/>
      <c r="BE611" s="189"/>
      <c r="BF611" s="189"/>
      <c r="BG611" s="189"/>
      <c r="BH611" s="189"/>
      <c r="BI611" s="190"/>
      <c r="BJ611" s="190"/>
      <c r="BK611" s="190"/>
      <c r="BL611" s="190"/>
      <c r="BM611" s="190"/>
      <c r="BN611" s="190"/>
      <c r="BO611" s="190"/>
      <c r="BP611" s="190"/>
      <c r="BQ611" s="190"/>
      <c r="BR611" s="190"/>
      <c r="BS611" s="190"/>
      <c r="BT611" s="190"/>
      <c r="BU611" s="190"/>
      <c r="BV611" s="190"/>
      <c r="BW611" s="190"/>
      <c r="BX611" s="190"/>
      <c r="BY611" s="190"/>
      <c r="BZ611" s="190"/>
      <c r="CA611" s="189"/>
      <c r="CB611" s="15"/>
    </row>
    <row r="612" spans="1:80" ht="15" x14ac:dyDescent="0.25">
      <c r="A612" s="167"/>
      <c r="B612" s="642"/>
      <c r="C612" s="642"/>
      <c r="D612" s="179"/>
      <c r="E612" s="169"/>
      <c r="F612" s="169"/>
      <c r="G612" s="187"/>
      <c r="H612" s="187"/>
      <c r="I612" s="187"/>
      <c r="J612" s="187"/>
      <c r="K612" s="187"/>
      <c r="L612" s="647"/>
      <c r="M612" s="646">
        <v>33444</v>
      </c>
      <c r="N612" s="585">
        <v>2.2799999999999998</v>
      </c>
      <c r="O612" s="585">
        <v>1.077E-2</v>
      </c>
      <c r="P612" s="175">
        <v>0</v>
      </c>
      <c r="Q612" s="175">
        <v>0</v>
      </c>
      <c r="R612" s="175">
        <v>8.1999999999999998E-4</v>
      </c>
      <c r="S612" s="175">
        <v>1.9400000000000001E-3</v>
      </c>
      <c r="T612" s="175">
        <v>2.5000000000000001E-3</v>
      </c>
      <c r="U612" s="175">
        <v>2.5500000000000002E-3</v>
      </c>
      <c r="V612" s="706">
        <v>2.96E-3</v>
      </c>
      <c r="W612" s="717"/>
      <c r="X612" s="713"/>
      <c r="Y612" s="718"/>
      <c r="Z612" s="709">
        <v>21</v>
      </c>
      <c r="AA612" s="175"/>
      <c r="AB612" s="200"/>
      <c r="AC612" s="205">
        <v>1.9E-2</v>
      </c>
      <c r="AD612" s="175">
        <v>6.4</v>
      </c>
      <c r="AE612" s="175">
        <v>0.28000000000000003</v>
      </c>
      <c r="AF612" s="186">
        <f t="shared" si="11"/>
        <v>1.7920000000000003</v>
      </c>
      <c r="AG612" s="175">
        <v>1.29</v>
      </c>
      <c r="AH612" s="334"/>
      <c r="AI612" s="188"/>
      <c r="AJ612" s="188"/>
      <c r="AK612" s="188"/>
      <c r="AL612" s="189"/>
      <c r="AM612" s="189"/>
      <c r="AN612" s="189"/>
      <c r="AO612" s="189"/>
      <c r="AP612" s="189"/>
      <c r="AQ612" s="189"/>
      <c r="AR612" s="189"/>
      <c r="AS612" s="189"/>
      <c r="AT612" s="189"/>
      <c r="AU612" s="190"/>
      <c r="AV612" s="190"/>
      <c r="AW612" s="190"/>
      <c r="AX612" s="190"/>
      <c r="AY612" s="190"/>
      <c r="AZ612" s="189"/>
      <c r="BA612" s="189"/>
      <c r="BB612" s="189"/>
      <c r="BC612" s="189"/>
      <c r="BD612" s="189"/>
      <c r="BE612" s="189"/>
      <c r="BF612" s="189"/>
      <c r="BG612" s="189"/>
      <c r="BH612" s="189"/>
      <c r="BI612" s="190"/>
      <c r="BJ612" s="190"/>
      <c r="BK612" s="190"/>
      <c r="BL612" s="190"/>
      <c r="BM612" s="190"/>
      <c r="BN612" s="190"/>
      <c r="BO612" s="190"/>
      <c r="BP612" s="190"/>
      <c r="BQ612" s="190"/>
      <c r="BR612" s="190"/>
      <c r="BS612" s="190"/>
      <c r="BT612" s="190"/>
      <c r="BU612" s="190"/>
      <c r="BV612" s="190"/>
      <c r="BW612" s="190"/>
      <c r="BX612" s="190"/>
      <c r="BY612" s="190"/>
      <c r="BZ612" s="190"/>
      <c r="CA612" s="189"/>
      <c r="CB612" s="15"/>
    </row>
    <row r="613" spans="1:80" ht="15" x14ac:dyDescent="0.25">
      <c r="A613" s="167"/>
      <c r="B613" s="642"/>
      <c r="C613" s="642"/>
      <c r="D613" s="179"/>
      <c r="E613" s="169"/>
      <c r="F613" s="169"/>
      <c r="G613" s="187"/>
      <c r="H613" s="187"/>
      <c r="I613" s="187"/>
      <c r="J613" s="187"/>
      <c r="K613" s="187"/>
      <c r="L613" s="647"/>
      <c r="M613" s="646">
        <v>33446</v>
      </c>
      <c r="N613" s="585">
        <v>1.52</v>
      </c>
      <c r="O613" s="585">
        <v>3.1119999999999998E-2</v>
      </c>
      <c r="P613" s="175">
        <v>0</v>
      </c>
      <c r="Q613" s="175">
        <v>0</v>
      </c>
      <c r="R613" s="175">
        <v>5.1999999999999995E-4</v>
      </c>
      <c r="S613" s="175">
        <v>5.77E-3</v>
      </c>
      <c r="T613" s="175">
        <v>7.9600000000000001E-3</v>
      </c>
      <c r="U613" s="175">
        <v>8.8699999999999994E-3</v>
      </c>
      <c r="V613" s="706">
        <v>8.0000000000000002E-3</v>
      </c>
      <c r="W613" s="717"/>
      <c r="X613" s="713"/>
      <c r="Y613" s="718"/>
      <c r="Z613" s="709">
        <v>18</v>
      </c>
      <c r="AA613" s="175"/>
      <c r="AB613" s="200"/>
      <c r="AC613" s="205">
        <v>1.7999999999999999E-2</v>
      </c>
      <c r="AD613" s="175">
        <v>6.3</v>
      </c>
      <c r="AE613" s="175">
        <v>0.24</v>
      </c>
      <c r="AF613" s="186">
        <f t="shared" si="11"/>
        <v>1.512</v>
      </c>
      <c r="AG613" s="175">
        <v>1.01</v>
      </c>
      <c r="AH613" s="334"/>
      <c r="AI613" s="188"/>
      <c r="AJ613" s="188"/>
      <c r="AK613" s="188"/>
      <c r="AL613" s="189"/>
      <c r="AM613" s="189"/>
      <c r="AN613" s="189"/>
      <c r="AO613" s="189"/>
      <c r="AP613" s="189"/>
      <c r="AQ613" s="189"/>
      <c r="AR613" s="189"/>
      <c r="AS613" s="189"/>
      <c r="AT613" s="189"/>
      <c r="AU613" s="190"/>
      <c r="AV613" s="190"/>
      <c r="AW613" s="190"/>
      <c r="AX613" s="190"/>
      <c r="AY613" s="190"/>
      <c r="AZ613" s="189"/>
      <c r="BA613" s="189"/>
      <c r="BB613" s="189"/>
      <c r="BC613" s="189"/>
      <c r="BD613" s="189"/>
      <c r="BE613" s="189"/>
      <c r="BF613" s="189"/>
      <c r="BG613" s="189"/>
      <c r="BH613" s="189"/>
      <c r="BI613" s="190"/>
      <c r="BJ613" s="190"/>
      <c r="BK613" s="190"/>
      <c r="BL613" s="190"/>
      <c r="BM613" s="190"/>
      <c r="BN613" s="190"/>
      <c r="BO613" s="190"/>
      <c r="BP613" s="190"/>
      <c r="BQ613" s="190"/>
      <c r="BR613" s="190"/>
      <c r="BS613" s="190"/>
      <c r="BT613" s="190"/>
      <c r="BU613" s="190"/>
      <c r="BV613" s="190"/>
      <c r="BW613" s="190"/>
      <c r="BX613" s="190"/>
      <c r="BY613" s="190"/>
      <c r="BZ613" s="190"/>
      <c r="CA613" s="189"/>
      <c r="CB613" s="15"/>
    </row>
    <row r="614" spans="1:80" ht="15" x14ac:dyDescent="0.25">
      <c r="A614" s="167"/>
      <c r="B614" s="642"/>
      <c r="C614" s="642"/>
      <c r="D614" s="179"/>
      <c r="E614" s="169"/>
      <c r="F614" s="169"/>
      <c r="G614" s="187"/>
      <c r="H614" s="187"/>
      <c r="I614" s="187"/>
      <c r="J614" s="187"/>
      <c r="K614" s="187"/>
      <c r="L614" s="647"/>
      <c r="M614" s="646">
        <v>33450</v>
      </c>
      <c r="N614" s="585">
        <v>1.31</v>
      </c>
      <c r="O614" s="585">
        <v>4.6899999999999997E-3</v>
      </c>
      <c r="P614" s="175">
        <v>0</v>
      </c>
      <c r="Q614" s="175">
        <v>0</v>
      </c>
      <c r="R614" s="175">
        <v>0</v>
      </c>
      <c r="S614" s="175">
        <v>4.2999999999999999E-4</v>
      </c>
      <c r="T614" s="175">
        <v>6.0999999999999997E-4</v>
      </c>
      <c r="U614" s="175">
        <v>8.4999999999999995E-4</v>
      </c>
      <c r="V614" s="706">
        <v>2.8E-3</v>
      </c>
      <c r="W614" s="717"/>
      <c r="X614" s="713"/>
      <c r="Y614" s="718"/>
      <c r="Z614" s="709">
        <v>17</v>
      </c>
      <c r="AA614" s="175"/>
      <c r="AB614" s="200"/>
      <c r="AC614" s="205">
        <v>1.9E-2</v>
      </c>
      <c r="AD614" s="175">
        <v>6.3</v>
      </c>
      <c r="AE614" s="175">
        <v>0.25</v>
      </c>
      <c r="AF614" s="186">
        <f t="shared" si="11"/>
        <v>1.575</v>
      </c>
      <c r="AG614" s="175">
        <v>0.83</v>
      </c>
      <c r="AH614" s="334"/>
      <c r="AI614" s="188"/>
      <c r="AJ614" s="188"/>
      <c r="AK614" s="188"/>
      <c r="AL614" s="189"/>
      <c r="AM614" s="189"/>
      <c r="AN614" s="189"/>
      <c r="AO614" s="189"/>
      <c r="AP614" s="189"/>
      <c r="AQ614" s="189"/>
      <c r="AR614" s="189"/>
      <c r="AS614" s="189"/>
      <c r="AT614" s="189"/>
      <c r="AU614" s="190"/>
      <c r="AV614" s="190"/>
      <c r="AW614" s="190"/>
      <c r="AX614" s="190"/>
      <c r="AY614" s="190"/>
      <c r="AZ614" s="189"/>
      <c r="BA614" s="189"/>
      <c r="BB614" s="189"/>
      <c r="BC614" s="189"/>
      <c r="BD614" s="189"/>
      <c r="BE614" s="189"/>
      <c r="BF614" s="189"/>
      <c r="BG614" s="189"/>
      <c r="BH614" s="189"/>
      <c r="BI614" s="190"/>
      <c r="BJ614" s="190"/>
      <c r="BK614" s="190"/>
      <c r="BL614" s="190"/>
      <c r="BM614" s="190"/>
      <c r="BN614" s="190"/>
      <c r="BO614" s="190"/>
      <c r="BP614" s="190"/>
      <c r="BQ614" s="190"/>
      <c r="BR614" s="190"/>
      <c r="BS614" s="190"/>
      <c r="BT614" s="190"/>
      <c r="BU614" s="190"/>
      <c r="BV614" s="190"/>
      <c r="BW614" s="190"/>
      <c r="BX614" s="190"/>
      <c r="BY614" s="190"/>
      <c r="BZ614" s="190"/>
      <c r="CA614" s="189"/>
      <c r="CB614" s="15"/>
    </row>
    <row r="615" spans="1:80" ht="15" x14ac:dyDescent="0.25">
      <c r="A615" s="167"/>
      <c r="B615" s="642"/>
      <c r="C615" s="642"/>
      <c r="D615" s="179"/>
      <c r="E615" s="169"/>
      <c r="F615" s="169"/>
      <c r="G615" s="187"/>
      <c r="H615" s="187"/>
      <c r="I615" s="187"/>
      <c r="J615" s="187"/>
      <c r="K615" s="187"/>
      <c r="L615" s="647"/>
      <c r="M615" s="646">
        <v>33452</v>
      </c>
      <c r="N615" s="585">
        <v>1.1000000000000001</v>
      </c>
      <c r="O615" s="585">
        <v>1.9560000000000001E-2</v>
      </c>
      <c r="P615" s="175">
        <v>0</v>
      </c>
      <c r="Q615" s="175">
        <v>0</v>
      </c>
      <c r="R615" s="175">
        <v>0</v>
      </c>
      <c r="S615" s="175">
        <v>3.8999999999999999E-4</v>
      </c>
      <c r="T615" s="175">
        <v>1.4499999999999999E-3</v>
      </c>
      <c r="U615" s="175">
        <v>6.4599999999999996E-3</v>
      </c>
      <c r="V615" s="706">
        <v>1.1270000000000001E-2</v>
      </c>
      <c r="W615" s="717"/>
      <c r="X615" s="713"/>
      <c r="Y615" s="718"/>
      <c r="Z615" s="709">
        <v>15</v>
      </c>
      <c r="AA615" s="175"/>
      <c r="AB615" s="200"/>
      <c r="AC615" s="205">
        <v>1.7999999999999999E-2</v>
      </c>
      <c r="AD615" s="175">
        <v>6.3</v>
      </c>
      <c r="AE615" s="175">
        <v>0.22</v>
      </c>
      <c r="AF615" s="186">
        <f t="shared" si="11"/>
        <v>1.3859999999999999</v>
      </c>
      <c r="AG615" s="175">
        <v>0.8</v>
      </c>
      <c r="AH615" s="334"/>
      <c r="AI615" s="188"/>
      <c r="AJ615" s="188"/>
      <c r="AK615" s="188"/>
      <c r="AL615" s="189"/>
      <c r="AM615" s="189"/>
      <c r="AN615" s="189"/>
      <c r="AO615" s="189"/>
      <c r="AP615" s="189"/>
      <c r="AQ615" s="189"/>
      <c r="AR615" s="189"/>
      <c r="AS615" s="189"/>
      <c r="AT615" s="189"/>
      <c r="AU615" s="190"/>
      <c r="AV615" s="190"/>
      <c r="AW615" s="190"/>
      <c r="AX615" s="190"/>
      <c r="AY615" s="190"/>
      <c r="AZ615" s="189"/>
      <c r="BA615" s="189"/>
      <c r="BB615" s="189"/>
      <c r="BC615" s="189"/>
      <c r="BD615" s="189"/>
      <c r="BE615" s="189"/>
      <c r="BF615" s="189"/>
      <c r="BG615" s="189"/>
      <c r="BH615" s="189"/>
      <c r="BI615" s="190"/>
      <c r="BJ615" s="190"/>
      <c r="BK615" s="190"/>
      <c r="BL615" s="190"/>
      <c r="BM615" s="190"/>
      <c r="BN615" s="190"/>
      <c r="BO615" s="190"/>
      <c r="BP615" s="190"/>
      <c r="BQ615" s="190"/>
      <c r="BR615" s="190"/>
      <c r="BS615" s="190"/>
      <c r="BT615" s="190"/>
      <c r="BU615" s="190"/>
      <c r="BV615" s="190"/>
      <c r="BW615" s="190"/>
      <c r="BX615" s="190"/>
      <c r="BY615" s="190"/>
      <c r="BZ615" s="190"/>
      <c r="CA615" s="189"/>
      <c r="CB615" s="15"/>
    </row>
    <row r="616" spans="1:80" ht="15" x14ac:dyDescent="0.25">
      <c r="A616" s="167"/>
      <c r="B616" s="642"/>
      <c r="C616" s="642"/>
      <c r="D616" s="179"/>
      <c r="E616" s="169"/>
      <c r="F616" s="169"/>
      <c r="G616" s="187"/>
      <c r="H616" s="187"/>
      <c r="I616" s="187"/>
      <c r="J616" s="187"/>
      <c r="K616" s="187"/>
      <c r="L616" s="647"/>
      <c r="M616" s="646">
        <v>33758</v>
      </c>
      <c r="N616" s="585">
        <v>1.73</v>
      </c>
      <c r="O616" s="585">
        <v>7.5000000000000002E-4</v>
      </c>
      <c r="P616" s="175">
        <v>0</v>
      </c>
      <c r="Q616" s="175">
        <v>0</v>
      </c>
      <c r="R616" s="175">
        <v>0</v>
      </c>
      <c r="S616" s="175">
        <v>6.0000000000000002E-5</v>
      </c>
      <c r="T616" s="175">
        <v>2.1000000000000001E-4</v>
      </c>
      <c r="U616" s="175">
        <v>2.7999999999999998E-4</v>
      </c>
      <c r="V616" s="706">
        <v>2.1000000000000001E-4</v>
      </c>
      <c r="W616" s="717"/>
      <c r="X616" s="713"/>
      <c r="Y616" s="718"/>
      <c r="Z616" s="709">
        <v>10</v>
      </c>
      <c r="AA616" s="175"/>
      <c r="AB616" s="200"/>
      <c r="AC616" s="205">
        <v>0</v>
      </c>
      <c r="AD616" s="175">
        <v>6.4</v>
      </c>
      <c r="AE616" s="175">
        <v>0.25</v>
      </c>
      <c r="AF616" s="186">
        <f t="shared" si="11"/>
        <v>1.6</v>
      </c>
      <c r="AG616" s="175">
        <v>0.93</v>
      </c>
      <c r="AH616" s="334"/>
      <c r="AI616" s="188"/>
      <c r="AJ616" s="188"/>
      <c r="AK616" s="188"/>
      <c r="AL616" s="189"/>
      <c r="AM616" s="189"/>
      <c r="AN616" s="189"/>
      <c r="AO616" s="189"/>
      <c r="AP616" s="189"/>
      <c r="AQ616" s="189"/>
      <c r="AR616" s="189"/>
      <c r="AS616" s="189"/>
      <c r="AT616" s="189"/>
      <c r="AU616" s="190"/>
      <c r="AV616" s="190"/>
      <c r="AW616" s="190"/>
      <c r="AX616" s="190"/>
      <c r="AY616" s="190"/>
      <c r="AZ616" s="189"/>
      <c r="BA616" s="189"/>
      <c r="BB616" s="189"/>
      <c r="BC616" s="189"/>
      <c r="BD616" s="189"/>
      <c r="BE616" s="189"/>
      <c r="BF616" s="189"/>
      <c r="BG616" s="189"/>
      <c r="BH616" s="189"/>
      <c r="BI616" s="190"/>
      <c r="BJ616" s="190"/>
      <c r="BK616" s="190"/>
      <c r="BL616" s="190"/>
      <c r="BM616" s="190"/>
      <c r="BN616" s="190"/>
      <c r="BO616" s="190"/>
      <c r="BP616" s="190"/>
      <c r="BQ616" s="190"/>
      <c r="BR616" s="190"/>
      <c r="BS616" s="190"/>
      <c r="BT616" s="190"/>
      <c r="BU616" s="190"/>
      <c r="BV616" s="190"/>
      <c r="BW616" s="190"/>
      <c r="BX616" s="190"/>
      <c r="BY616" s="190"/>
      <c r="BZ616" s="190"/>
      <c r="CA616" s="189"/>
      <c r="CB616" s="15"/>
    </row>
    <row r="617" spans="1:80" ht="15" x14ac:dyDescent="0.25">
      <c r="A617" s="167"/>
      <c r="B617" s="642"/>
      <c r="C617" s="642"/>
      <c r="D617" s="179"/>
      <c r="E617" s="169"/>
      <c r="F617" s="169"/>
      <c r="G617" s="187"/>
      <c r="H617" s="187"/>
      <c r="I617" s="187"/>
      <c r="J617" s="187"/>
      <c r="K617" s="187"/>
      <c r="L617" s="647"/>
      <c r="M617" s="646">
        <v>33758</v>
      </c>
      <c r="N617" s="585">
        <v>1.85</v>
      </c>
      <c r="O617" s="585">
        <v>1.2749999999999999E-2</v>
      </c>
      <c r="P617" s="175">
        <v>0</v>
      </c>
      <c r="Q617" s="175">
        <v>0</v>
      </c>
      <c r="R617" s="175">
        <v>0</v>
      </c>
      <c r="S617" s="175">
        <v>1.9599999999999999E-3</v>
      </c>
      <c r="T617" s="175">
        <v>2.96E-3</v>
      </c>
      <c r="U617" s="175">
        <v>3.46E-3</v>
      </c>
      <c r="V617" s="706">
        <v>4.3600000000000002E-3</v>
      </c>
      <c r="W617" s="717"/>
      <c r="X617" s="713"/>
      <c r="Y617" s="718"/>
      <c r="Z617" s="709">
        <v>18</v>
      </c>
      <c r="AA617" s="175"/>
      <c r="AB617" s="200"/>
      <c r="AC617" s="205">
        <v>0</v>
      </c>
      <c r="AD617" s="175">
        <v>6.5</v>
      </c>
      <c r="AE617" s="175">
        <v>0.28000000000000003</v>
      </c>
      <c r="AF617" s="186">
        <f t="shared" si="11"/>
        <v>1.8200000000000003</v>
      </c>
      <c r="AG617" s="175">
        <v>1.02</v>
      </c>
      <c r="AH617" s="334"/>
      <c r="AI617" s="188"/>
      <c r="AJ617" s="188"/>
      <c r="AK617" s="188"/>
      <c r="AL617" s="189"/>
      <c r="AM617" s="189"/>
      <c r="AN617" s="189"/>
      <c r="AO617" s="189"/>
      <c r="AP617" s="189"/>
      <c r="AQ617" s="189"/>
      <c r="AR617" s="189"/>
      <c r="AS617" s="189"/>
      <c r="AT617" s="189"/>
      <c r="AU617" s="190"/>
      <c r="AV617" s="190"/>
      <c r="AW617" s="190"/>
      <c r="AX617" s="190"/>
      <c r="AY617" s="190"/>
      <c r="AZ617" s="189"/>
      <c r="BA617" s="189"/>
      <c r="BB617" s="189"/>
      <c r="BC617" s="189"/>
      <c r="BD617" s="189"/>
      <c r="BE617" s="189"/>
      <c r="BF617" s="189"/>
      <c r="BG617" s="189"/>
      <c r="BH617" s="189"/>
      <c r="BI617" s="190"/>
      <c r="BJ617" s="190"/>
      <c r="BK617" s="190"/>
      <c r="BL617" s="190"/>
      <c r="BM617" s="190"/>
      <c r="BN617" s="190"/>
      <c r="BO617" s="190"/>
      <c r="BP617" s="190"/>
      <c r="BQ617" s="190"/>
      <c r="BR617" s="190"/>
      <c r="BS617" s="190"/>
      <c r="BT617" s="190"/>
      <c r="BU617" s="190"/>
      <c r="BV617" s="190"/>
      <c r="BW617" s="190"/>
      <c r="BX617" s="190"/>
      <c r="BY617" s="190"/>
      <c r="BZ617" s="190"/>
      <c r="CA617" s="189"/>
      <c r="CB617" s="15"/>
    </row>
    <row r="618" spans="1:80" ht="15" x14ac:dyDescent="0.25">
      <c r="A618" s="167"/>
      <c r="B618" s="642"/>
      <c r="C618" s="642"/>
      <c r="D618" s="179"/>
      <c r="E618" s="169"/>
      <c r="F618" s="169"/>
      <c r="G618" s="187"/>
      <c r="H618" s="187"/>
      <c r="I618" s="187"/>
      <c r="J618" s="187"/>
      <c r="K618" s="187"/>
      <c r="L618" s="647"/>
      <c r="M618" s="646">
        <v>33759</v>
      </c>
      <c r="N618" s="585">
        <v>3.21</v>
      </c>
      <c r="O618" s="585">
        <v>8.4229999999999999E-2</v>
      </c>
      <c r="P618" s="175">
        <v>0</v>
      </c>
      <c r="Q618" s="175">
        <v>0</v>
      </c>
      <c r="R618" s="175">
        <v>1.2319999999999999E-2</v>
      </c>
      <c r="S618" s="175">
        <v>8.5400000000000007E-3</v>
      </c>
      <c r="T618" s="175">
        <v>1.4670000000000001E-2</v>
      </c>
      <c r="U618" s="175">
        <v>1.873E-2</v>
      </c>
      <c r="V618" s="706">
        <v>2.998E-2</v>
      </c>
      <c r="W618" s="717"/>
      <c r="X618" s="713"/>
      <c r="Y618" s="718"/>
      <c r="Z618" s="709">
        <v>35</v>
      </c>
      <c r="AA618" s="175"/>
      <c r="AB618" s="200"/>
      <c r="AC618" s="205">
        <v>0</v>
      </c>
      <c r="AD618" s="175">
        <v>7</v>
      </c>
      <c r="AE618" s="175">
        <v>0.34</v>
      </c>
      <c r="AF618" s="186">
        <f t="shared" si="11"/>
        <v>2.3800000000000003</v>
      </c>
      <c r="AG618" s="175">
        <v>1.38</v>
      </c>
      <c r="AH618" s="334"/>
      <c r="AI618" s="188"/>
      <c r="AJ618" s="188"/>
      <c r="AK618" s="188"/>
      <c r="AL618" s="189"/>
      <c r="AM618" s="189"/>
      <c r="AN618" s="189"/>
      <c r="AO618" s="189"/>
      <c r="AP618" s="189"/>
      <c r="AQ618" s="189"/>
      <c r="AR618" s="189"/>
      <c r="AS618" s="189"/>
      <c r="AT618" s="189"/>
      <c r="AU618" s="190"/>
      <c r="AV618" s="190"/>
      <c r="AW618" s="190"/>
      <c r="AX618" s="190"/>
      <c r="AY618" s="190"/>
      <c r="AZ618" s="189"/>
      <c r="BA618" s="189"/>
      <c r="BB618" s="189"/>
      <c r="BC618" s="189"/>
      <c r="BD618" s="189"/>
      <c r="BE618" s="189"/>
      <c r="BF618" s="189"/>
      <c r="BG618" s="189"/>
      <c r="BH618" s="189"/>
      <c r="BI618" s="190"/>
      <c r="BJ618" s="190"/>
      <c r="BK618" s="190"/>
      <c r="BL618" s="190"/>
      <c r="BM618" s="190"/>
      <c r="BN618" s="190"/>
      <c r="BO618" s="190"/>
      <c r="BP618" s="190"/>
      <c r="BQ618" s="190"/>
      <c r="BR618" s="190"/>
      <c r="BS618" s="190"/>
      <c r="BT618" s="190"/>
      <c r="BU618" s="190"/>
      <c r="BV618" s="190"/>
      <c r="BW618" s="190"/>
      <c r="BX618" s="190"/>
      <c r="BY618" s="190"/>
      <c r="BZ618" s="190"/>
      <c r="CA618" s="189"/>
      <c r="CB618" s="15"/>
    </row>
    <row r="619" spans="1:80" ht="15" x14ac:dyDescent="0.25">
      <c r="A619" s="167"/>
      <c r="B619" s="642"/>
      <c r="C619" s="642"/>
      <c r="D619" s="179"/>
      <c r="E619" s="169"/>
      <c r="F619" s="169"/>
      <c r="G619" s="187"/>
      <c r="H619" s="187"/>
      <c r="I619" s="187"/>
      <c r="J619" s="187"/>
      <c r="K619" s="187"/>
      <c r="L619" s="647"/>
      <c r="M619" s="646">
        <v>33760</v>
      </c>
      <c r="N619" s="585">
        <v>2.61</v>
      </c>
      <c r="O619" s="585">
        <v>1.9970000000000002E-2</v>
      </c>
      <c r="P619" s="175">
        <v>0</v>
      </c>
      <c r="Q619" s="175">
        <v>0</v>
      </c>
      <c r="R619" s="175">
        <v>2.5699999999999998E-3</v>
      </c>
      <c r="S619" s="175">
        <v>2.2399999999999998E-3</v>
      </c>
      <c r="T619" s="175">
        <v>3.5100000000000001E-3</v>
      </c>
      <c r="U619" s="175">
        <v>4.3E-3</v>
      </c>
      <c r="V619" s="706">
        <v>7.3699999999999998E-3</v>
      </c>
      <c r="W619" s="717"/>
      <c r="X619" s="713"/>
      <c r="Y619" s="718"/>
      <c r="Z619" s="709">
        <v>20</v>
      </c>
      <c r="AA619" s="175"/>
      <c r="AB619" s="200"/>
      <c r="AC619" s="205">
        <v>0</v>
      </c>
      <c r="AD619" s="175">
        <v>6.7</v>
      </c>
      <c r="AE619" s="175">
        <v>0.34</v>
      </c>
      <c r="AF619" s="186">
        <f t="shared" si="11"/>
        <v>2.278</v>
      </c>
      <c r="AG619" s="175">
        <v>1.24</v>
      </c>
      <c r="AH619" s="334"/>
      <c r="AI619" s="188"/>
      <c r="AJ619" s="188"/>
      <c r="AK619" s="188"/>
      <c r="AL619" s="189"/>
      <c r="AM619" s="189"/>
      <c r="AN619" s="189"/>
      <c r="AO619" s="189"/>
      <c r="AP619" s="189"/>
      <c r="AQ619" s="189"/>
      <c r="AR619" s="189"/>
      <c r="AS619" s="189"/>
      <c r="AT619" s="189"/>
      <c r="AU619" s="190"/>
      <c r="AV619" s="190"/>
      <c r="AW619" s="190"/>
      <c r="AX619" s="190"/>
      <c r="AY619" s="190"/>
      <c r="AZ619" s="189"/>
      <c r="BA619" s="189"/>
      <c r="BB619" s="189"/>
      <c r="BC619" s="189"/>
      <c r="BD619" s="189"/>
      <c r="BE619" s="189"/>
      <c r="BF619" s="189"/>
      <c r="BG619" s="189"/>
      <c r="BH619" s="189"/>
      <c r="BI619" s="190"/>
      <c r="BJ619" s="190"/>
      <c r="BK619" s="190"/>
      <c r="BL619" s="190"/>
      <c r="BM619" s="190"/>
      <c r="BN619" s="190"/>
      <c r="BO619" s="190"/>
      <c r="BP619" s="190"/>
      <c r="BQ619" s="190"/>
      <c r="BR619" s="190"/>
      <c r="BS619" s="190"/>
      <c r="BT619" s="190"/>
      <c r="BU619" s="190"/>
      <c r="BV619" s="190"/>
      <c r="BW619" s="190"/>
      <c r="BX619" s="190"/>
      <c r="BY619" s="190"/>
      <c r="BZ619" s="190"/>
      <c r="CA619" s="189"/>
      <c r="CB619" s="15"/>
    </row>
    <row r="620" spans="1:80" ht="15" x14ac:dyDescent="0.25">
      <c r="A620" s="167"/>
      <c r="B620" s="642"/>
      <c r="C620" s="642"/>
      <c r="D620" s="179"/>
      <c r="E620" s="169"/>
      <c r="F620" s="169"/>
      <c r="G620" s="187"/>
      <c r="H620" s="187"/>
      <c r="I620" s="187"/>
      <c r="J620" s="187"/>
      <c r="K620" s="187"/>
      <c r="L620" s="647"/>
      <c r="M620" s="646">
        <v>33760</v>
      </c>
      <c r="N620" s="585">
        <v>2.61</v>
      </c>
      <c r="O620" s="585">
        <v>9.6200000000000001E-3</v>
      </c>
      <c r="P620" s="175">
        <v>0</v>
      </c>
      <c r="Q620" s="175">
        <v>0</v>
      </c>
      <c r="R620" s="175">
        <v>0</v>
      </c>
      <c r="S620" s="175">
        <v>2.7999999999999998E-4</v>
      </c>
      <c r="T620" s="175">
        <v>1.09E-3</v>
      </c>
      <c r="U620" s="175">
        <v>2.1099999999999999E-3</v>
      </c>
      <c r="V620" s="706">
        <v>6.13E-3</v>
      </c>
      <c r="W620" s="717"/>
      <c r="X620" s="713"/>
      <c r="Y620" s="718"/>
      <c r="Z620" s="709">
        <v>17</v>
      </c>
      <c r="AA620" s="175"/>
      <c r="AB620" s="200"/>
      <c r="AC620" s="205">
        <v>0</v>
      </c>
      <c r="AD620" s="175">
        <v>6.5</v>
      </c>
      <c r="AE620" s="175">
        <v>0.35</v>
      </c>
      <c r="AF620" s="186">
        <f t="shared" si="11"/>
        <v>2.2749999999999999</v>
      </c>
      <c r="AG620" s="175">
        <v>1.24</v>
      </c>
      <c r="AH620" s="334"/>
      <c r="AI620" s="188"/>
      <c r="AJ620" s="188"/>
      <c r="AK620" s="188"/>
      <c r="AL620" s="189"/>
      <c r="AM620" s="189"/>
      <c r="AN620" s="189"/>
      <c r="AO620" s="189"/>
      <c r="AP620" s="189"/>
      <c r="AQ620" s="189"/>
      <c r="AR620" s="189"/>
      <c r="AS620" s="189"/>
      <c r="AT620" s="189"/>
      <c r="AU620" s="190"/>
      <c r="AV620" s="190"/>
      <c r="AW620" s="190"/>
      <c r="AX620" s="190"/>
      <c r="AY620" s="190"/>
      <c r="AZ620" s="189"/>
      <c r="BA620" s="189"/>
      <c r="BB620" s="189"/>
      <c r="BC620" s="189"/>
      <c r="BD620" s="189"/>
      <c r="BE620" s="189"/>
      <c r="BF620" s="189"/>
      <c r="BG620" s="189"/>
      <c r="BH620" s="189"/>
      <c r="BI620" s="190"/>
      <c r="BJ620" s="190"/>
      <c r="BK620" s="190"/>
      <c r="BL620" s="190"/>
      <c r="BM620" s="190"/>
      <c r="BN620" s="190"/>
      <c r="BO620" s="190"/>
      <c r="BP620" s="190"/>
      <c r="BQ620" s="190"/>
      <c r="BR620" s="190"/>
      <c r="BS620" s="190"/>
      <c r="BT620" s="190"/>
      <c r="BU620" s="190"/>
      <c r="BV620" s="190"/>
      <c r="BW620" s="190"/>
      <c r="BX620" s="190"/>
      <c r="BY620" s="190"/>
      <c r="BZ620" s="190"/>
      <c r="CA620" s="189"/>
      <c r="CB620" s="15"/>
    </row>
    <row r="621" spans="1:80" ht="15" x14ac:dyDescent="0.25">
      <c r="A621" s="167"/>
      <c r="B621" s="642"/>
      <c r="C621" s="642"/>
      <c r="D621" s="179"/>
      <c r="E621" s="169"/>
      <c r="F621" s="169"/>
      <c r="G621" s="187"/>
      <c r="H621" s="187"/>
      <c r="I621" s="187"/>
      <c r="J621" s="187"/>
      <c r="K621" s="187"/>
      <c r="L621" s="647"/>
      <c r="M621" s="646">
        <v>33760</v>
      </c>
      <c r="N621" s="585">
        <v>3.21</v>
      </c>
      <c r="O621" s="585">
        <v>4.2770000000000002E-2</v>
      </c>
      <c r="P621" s="175">
        <v>0</v>
      </c>
      <c r="Q621" s="175">
        <v>6.1000000000000004E-3</v>
      </c>
      <c r="R621" s="175">
        <v>5.7400000000000003E-3</v>
      </c>
      <c r="S621" s="175">
        <v>3.6099999999999999E-3</v>
      </c>
      <c r="T621" s="175">
        <v>6.0200000000000002E-3</v>
      </c>
      <c r="U621" s="175">
        <v>5.7000000000000002E-3</v>
      </c>
      <c r="V621" s="706">
        <v>1.5610000000000001E-2</v>
      </c>
      <c r="W621" s="717"/>
      <c r="X621" s="713"/>
      <c r="Y621" s="718"/>
      <c r="Z621" s="709">
        <v>43</v>
      </c>
      <c r="AA621" s="175"/>
      <c r="AB621" s="200"/>
      <c r="AC621" s="205">
        <v>0</v>
      </c>
      <c r="AD621" s="175">
        <v>6.8</v>
      </c>
      <c r="AE621" s="175">
        <v>0.36</v>
      </c>
      <c r="AF621" s="186">
        <f t="shared" si="11"/>
        <v>2.448</v>
      </c>
      <c r="AG621" s="175">
        <v>1.34</v>
      </c>
      <c r="AH621" s="334"/>
      <c r="AI621" s="188"/>
      <c r="AJ621" s="188"/>
      <c r="AK621" s="188"/>
      <c r="AL621" s="189"/>
      <c r="AM621" s="189"/>
      <c r="AN621" s="189"/>
      <c r="AO621" s="189"/>
      <c r="AP621" s="189"/>
      <c r="AQ621" s="189"/>
      <c r="AR621" s="189"/>
      <c r="AS621" s="189"/>
      <c r="AT621" s="189"/>
      <c r="AU621" s="190"/>
      <c r="AV621" s="190"/>
      <c r="AW621" s="190"/>
      <c r="AX621" s="190"/>
      <c r="AY621" s="190"/>
      <c r="AZ621" s="189"/>
      <c r="BA621" s="189"/>
      <c r="BB621" s="189"/>
      <c r="BC621" s="189"/>
      <c r="BD621" s="189"/>
      <c r="BE621" s="189"/>
      <c r="BF621" s="189"/>
      <c r="BG621" s="189"/>
      <c r="BH621" s="189"/>
      <c r="BI621" s="190"/>
      <c r="BJ621" s="190"/>
      <c r="BK621" s="190"/>
      <c r="BL621" s="190"/>
      <c r="BM621" s="190"/>
      <c r="BN621" s="190"/>
      <c r="BO621" s="190"/>
      <c r="BP621" s="190"/>
      <c r="BQ621" s="190"/>
      <c r="BR621" s="190"/>
      <c r="BS621" s="190"/>
      <c r="BT621" s="190"/>
      <c r="BU621" s="190"/>
      <c r="BV621" s="190"/>
      <c r="BW621" s="190"/>
      <c r="BX621" s="190"/>
      <c r="BY621" s="190"/>
      <c r="BZ621" s="190"/>
      <c r="CA621" s="189"/>
      <c r="CB621" s="15"/>
    </row>
    <row r="622" spans="1:80" ht="15" x14ac:dyDescent="0.25">
      <c r="A622" s="167"/>
      <c r="B622" s="642"/>
      <c r="C622" s="642"/>
      <c r="D622" s="179"/>
      <c r="E622" s="169"/>
      <c r="F622" s="169"/>
      <c r="G622" s="187"/>
      <c r="H622" s="187"/>
      <c r="I622" s="187"/>
      <c r="J622" s="187"/>
      <c r="K622" s="187"/>
      <c r="L622" s="647"/>
      <c r="M622" s="646">
        <v>33760</v>
      </c>
      <c r="N622" s="585">
        <v>3.27</v>
      </c>
      <c r="O622" s="585">
        <v>0.13056000000000001</v>
      </c>
      <c r="P622" s="175">
        <v>0</v>
      </c>
      <c r="Q622" s="175">
        <v>0</v>
      </c>
      <c r="R622" s="175">
        <v>1.5299999999999999E-2</v>
      </c>
      <c r="S622" s="175">
        <v>1.942E-2</v>
      </c>
      <c r="T622" s="175">
        <v>3.0159999999999999E-2</v>
      </c>
      <c r="U622" s="175">
        <v>3.141E-2</v>
      </c>
      <c r="V622" s="706">
        <v>3.4270000000000002E-2</v>
      </c>
      <c r="W622" s="717"/>
      <c r="X622" s="713"/>
      <c r="Y622" s="718"/>
      <c r="Z622" s="709">
        <v>45</v>
      </c>
      <c r="AA622" s="175"/>
      <c r="AB622" s="200"/>
      <c r="AC622" s="205">
        <v>1.9E-2</v>
      </c>
      <c r="AD622" s="175">
        <v>7</v>
      </c>
      <c r="AE622" s="175">
        <v>0.37</v>
      </c>
      <c r="AF622" s="186">
        <f t="shared" si="11"/>
        <v>2.59</v>
      </c>
      <c r="AG622" s="175">
        <v>1.35</v>
      </c>
      <c r="AH622" s="334"/>
      <c r="AI622" s="188"/>
      <c r="AJ622" s="188"/>
      <c r="AK622" s="188"/>
      <c r="AL622" s="189"/>
      <c r="AM622" s="189"/>
      <c r="AN622" s="189"/>
      <c r="AO622" s="189"/>
      <c r="AP622" s="189"/>
      <c r="AQ622" s="189"/>
      <c r="AR622" s="189"/>
      <c r="AS622" s="189"/>
      <c r="AT622" s="189"/>
      <c r="AU622" s="190"/>
      <c r="AV622" s="190"/>
      <c r="AW622" s="190"/>
      <c r="AX622" s="190"/>
      <c r="AY622" s="190"/>
      <c r="AZ622" s="189"/>
      <c r="BA622" s="189"/>
      <c r="BB622" s="189"/>
      <c r="BC622" s="189"/>
      <c r="BD622" s="189"/>
      <c r="BE622" s="189"/>
      <c r="BF622" s="189"/>
      <c r="BG622" s="189"/>
      <c r="BH622" s="189"/>
      <c r="BI622" s="190"/>
      <c r="BJ622" s="190"/>
      <c r="BK622" s="190"/>
      <c r="BL622" s="190"/>
      <c r="BM622" s="190"/>
      <c r="BN622" s="190"/>
      <c r="BO622" s="190"/>
      <c r="BP622" s="190"/>
      <c r="BQ622" s="190"/>
      <c r="BR622" s="190"/>
      <c r="BS622" s="190"/>
      <c r="BT622" s="190"/>
      <c r="BU622" s="190"/>
      <c r="BV622" s="190"/>
      <c r="BW622" s="190"/>
      <c r="BX622" s="190"/>
      <c r="BY622" s="190"/>
      <c r="BZ622" s="190"/>
      <c r="CA622" s="189"/>
      <c r="CB622" s="15"/>
    </row>
    <row r="623" spans="1:80" ht="15" x14ac:dyDescent="0.25">
      <c r="A623" s="167"/>
      <c r="B623" s="642"/>
      <c r="C623" s="642"/>
      <c r="D623" s="179"/>
      <c r="E623" s="169"/>
      <c r="F623" s="169"/>
      <c r="G623" s="187"/>
      <c r="H623" s="187"/>
      <c r="I623" s="187"/>
      <c r="J623" s="187"/>
      <c r="K623" s="187"/>
      <c r="L623" s="647"/>
      <c r="M623" s="646">
        <v>33761</v>
      </c>
      <c r="N623" s="585">
        <v>2.9</v>
      </c>
      <c r="O623" s="585">
        <v>5.8819999999999997E-2</v>
      </c>
      <c r="P623" s="175">
        <v>0</v>
      </c>
      <c r="Q623" s="175">
        <v>0</v>
      </c>
      <c r="R623" s="175">
        <v>4.3099999999999996E-3</v>
      </c>
      <c r="S623" s="175">
        <v>6.7000000000000002E-3</v>
      </c>
      <c r="T623" s="175">
        <v>1.1140000000000001E-2</v>
      </c>
      <c r="U623" s="175">
        <v>1.4080000000000001E-2</v>
      </c>
      <c r="V623" s="706">
        <v>2.2589999999999999E-2</v>
      </c>
      <c r="W623" s="717"/>
      <c r="X623" s="713"/>
      <c r="Y623" s="718"/>
      <c r="Z623" s="709">
        <v>30</v>
      </c>
      <c r="AA623" s="175"/>
      <c r="AB623" s="200"/>
      <c r="AC623" s="205">
        <v>1.9E-2</v>
      </c>
      <c r="AD623" s="175">
        <v>6.8</v>
      </c>
      <c r="AE623" s="175">
        <v>0.35</v>
      </c>
      <c r="AF623" s="186">
        <f t="shared" si="11"/>
        <v>2.38</v>
      </c>
      <c r="AG623" s="175">
        <v>1.19</v>
      </c>
      <c r="AH623" s="334"/>
      <c r="AI623" s="188"/>
      <c r="AJ623" s="188"/>
      <c r="AK623" s="188"/>
      <c r="AL623" s="189"/>
      <c r="AM623" s="189"/>
      <c r="AN623" s="189"/>
      <c r="AO623" s="189"/>
      <c r="AP623" s="189"/>
      <c r="AQ623" s="189"/>
      <c r="AR623" s="189"/>
      <c r="AS623" s="189"/>
      <c r="AT623" s="189"/>
      <c r="AU623" s="190"/>
      <c r="AV623" s="190"/>
      <c r="AW623" s="190"/>
      <c r="AX623" s="190"/>
      <c r="AY623" s="190"/>
      <c r="AZ623" s="189"/>
      <c r="BA623" s="189"/>
      <c r="BB623" s="189"/>
      <c r="BC623" s="189"/>
      <c r="BD623" s="189"/>
      <c r="BE623" s="189"/>
      <c r="BF623" s="189"/>
      <c r="BG623" s="189"/>
      <c r="BH623" s="189"/>
      <c r="BI623" s="190"/>
      <c r="BJ623" s="190"/>
      <c r="BK623" s="190"/>
      <c r="BL623" s="190"/>
      <c r="BM623" s="190"/>
      <c r="BN623" s="190"/>
      <c r="BO623" s="190"/>
      <c r="BP623" s="190"/>
      <c r="BQ623" s="190"/>
      <c r="BR623" s="190"/>
      <c r="BS623" s="190"/>
      <c r="BT623" s="190"/>
      <c r="BU623" s="190"/>
      <c r="BV623" s="190"/>
      <c r="BW623" s="190"/>
      <c r="BX623" s="190"/>
      <c r="BY623" s="190"/>
      <c r="BZ623" s="190"/>
      <c r="CA623" s="189"/>
      <c r="CB623" s="15"/>
    </row>
    <row r="624" spans="1:80" ht="15" x14ac:dyDescent="0.25">
      <c r="A624" s="167"/>
      <c r="B624" s="642"/>
      <c r="C624" s="642"/>
      <c r="D624" s="179"/>
      <c r="E624" s="169"/>
      <c r="F624" s="169"/>
      <c r="G624" s="187"/>
      <c r="H624" s="187"/>
      <c r="I624" s="187"/>
      <c r="J624" s="187"/>
      <c r="K624" s="187"/>
      <c r="L624" s="647"/>
      <c r="M624" s="646">
        <v>33761</v>
      </c>
      <c r="N624" s="585">
        <v>2.67</v>
      </c>
      <c r="O624" s="585">
        <v>2.7869999999999999E-2</v>
      </c>
      <c r="P624" s="175">
        <v>0</v>
      </c>
      <c r="Q624" s="175">
        <v>0</v>
      </c>
      <c r="R624" s="175">
        <v>3.7000000000000002E-3</v>
      </c>
      <c r="S624" s="175">
        <v>3.2100000000000002E-3</v>
      </c>
      <c r="T624" s="175">
        <v>5.2300000000000003E-3</v>
      </c>
      <c r="U624" s="175">
        <v>5.28E-3</v>
      </c>
      <c r="V624" s="706">
        <v>1.0460000000000001E-2</v>
      </c>
      <c r="W624" s="717"/>
      <c r="X624" s="713"/>
      <c r="Y624" s="718"/>
      <c r="Z624" s="709">
        <v>37</v>
      </c>
      <c r="AA624" s="175"/>
      <c r="AB624" s="200"/>
      <c r="AC624" s="205">
        <v>1.4999999999999999E-2</v>
      </c>
      <c r="AD624" s="175">
        <v>6.8</v>
      </c>
      <c r="AE624" s="175">
        <v>0.34</v>
      </c>
      <c r="AF624" s="186">
        <f t="shared" si="11"/>
        <v>2.3120000000000003</v>
      </c>
      <c r="AG624" s="175">
        <v>1.18</v>
      </c>
      <c r="AH624" s="334"/>
      <c r="AI624" s="188"/>
      <c r="AJ624" s="188"/>
      <c r="AK624" s="188"/>
      <c r="AL624" s="189"/>
      <c r="AM624" s="189"/>
      <c r="AN624" s="189"/>
      <c r="AO624" s="189"/>
      <c r="AP624" s="189"/>
      <c r="AQ624" s="189"/>
      <c r="AR624" s="189"/>
      <c r="AS624" s="189"/>
      <c r="AT624" s="189"/>
      <c r="AU624" s="190"/>
      <c r="AV624" s="190"/>
      <c r="AW624" s="190"/>
      <c r="AX624" s="190"/>
      <c r="AY624" s="190"/>
      <c r="AZ624" s="189"/>
      <c r="BA624" s="189"/>
      <c r="BB624" s="189"/>
      <c r="BC624" s="189"/>
      <c r="BD624" s="189"/>
      <c r="BE624" s="189"/>
      <c r="BF624" s="189"/>
      <c r="BG624" s="189"/>
      <c r="BH624" s="189"/>
      <c r="BI624" s="190"/>
      <c r="BJ624" s="190"/>
      <c r="BK624" s="190"/>
      <c r="BL624" s="190"/>
      <c r="BM624" s="190"/>
      <c r="BN624" s="190"/>
      <c r="BO624" s="190"/>
      <c r="BP624" s="190"/>
      <c r="BQ624" s="190"/>
      <c r="BR624" s="190"/>
      <c r="BS624" s="190"/>
      <c r="BT624" s="190"/>
      <c r="BU624" s="190"/>
      <c r="BV624" s="190"/>
      <c r="BW624" s="190"/>
      <c r="BX624" s="190"/>
      <c r="BY624" s="190"/>
      <c r="BZ624" s="190"/>
      <c r="CA624" s="189"/>
      <c r="CB624" s="15"/>
    </row>
    <row r="625" spans="1:80" ht="15" x14ac:dyDescent="0.25">
      <c r="A625" s="167"/>
      <c r="B625" s="642"/>
      <c r="C625" s="642"/>
      <c r="D625" s="179"/>
      <c r="E625" s="169"/>
      <c r="F625" s="169"/>
      <c r="G625" s="187"/>
      <c r="H625" s="187"/>
      <c r="I625" s="187"/>
      <c r="J625" s="187"/>
      <c r="K625" s="187"/>
      <c r="L625" s="647"/>
      <c r="M625" s="646">
        <v>33761</v>
      </c>
      <c r="N625" s="585">
        <v>2.9</v>
      </c>
      <c r="O625" s="585">
        <v>1.686E-2</v>
      </c>
      <c r="P625" s="175">
        <v>0</v>
      </c>
      <c r="Q625" s="175">
        <v>0</v>
      </c>
      <c r="R625" s="175">
        <v>0</v>
      </c>
      <c r="S625" s="175">
        <v>1.5299999999999999E-3</v>
      </c>
      <c r="T625" s="175">
        <v>3.1199999999999999E-3</v>
      </c>
      <c r="U625" s="175">
        <v>4.3200000000000001E-3</v>
      </c>
      <c r="V625" s="706">
        <v>7.9000000000000008E-3</v>
      </c>
      <c r="W625" s="717"/>
      <c r="X625" s="713"/>
      <c r="Y625" s="718"/>
      <c r="Z625" s="709">
        <v>15</v>
      </c>
      <c r="AA625" s="175"/>
      <c r="AB625" s="200"/>
      <c r="AC625" s="205">
        <v>1.9E-2</v>
      </c>
      <c r="AD625" s="175">
        <v>6.6</v>
      </c>
      <c r="AE625" s="175">
        <v>0.36</v>
      </c>
      <c r="AF625" s="186">
        <f t="shared" si="11"/>
        <v>2.3759999999999999</v>
      </c>
      <c r="AG625" s="175">
        <v>1.35</v>
      </c>
      <c r="AH625" s="334"/>
      <c r="AI625" s="188"/>
      <c r="AJ625" s="188"/>
      <c r="AK625" s="188"/>
      <c r="AL625" s="189"/>
      <c r="AM625" s="189"/>
      <c r="AN625" s="189"/>
      <c r="AO625" s="189"/>
      <c r="AP625" s="189"/>
      <c r="AQ625" s="189"/>
      <c r="AR625" s="189"/>
      <c r="AS625" s="189"/>
      <c r="AT625" s="189"/>
      <c r="AU625" s="190"/>
      <c r="AV625" s="190"/>
      <c r="AW625" s="190"/>
      <c r="AX625" s="190"/>
      <c r="AY625" s="190"/>
      <c r="AZ625" s="189"/>
      <c r="BA625" s="189"/>
      <c r="BB625" s="189"/>
      <c r="BC625" s="189"/>
      <c r="BD625" s="189"/>
      <c r="BE625" s="189"/>
      <c r="BF625" s="189"/>
      <c r="BG625" s="189"/>
      <c r="BH625" s="189"/>
      <c r="BI625" s="190"/>
      <c r="BJ625" s="190"/>
      <c r="BK625" s="190"/>
      <c r="BL625" s="190"/>
      <c r="BM625" s="190"/>
      <c r="BN625" s="190"/>
      <c r="BO625" s="190"/>
      <c r="BP625" s="190"/>
      <c r="BQ625" s="190"/>
      <c r="BR625" s="190"/>
      <c r="BS625" s="190"/>
      <c r="BT625" s="190"/>
      <c r="BU625" s="190"/>
      <c r="BV625" s="190"/>
      <c r="BW625" s="190"/>
      <c r="BX625" s="190"/>
      <c r="BY625" s="190"/>
      <c r="BZ625" s="190"/>
      <c r="CA625" s="189"/>
      <c r="CB625" s="15"/>
    </row>
    <row r="626" spans="1:80" ht="15" x14ac:dyDescent="0.25">
      <c r="A626" s="167"/>
      <c r="B626" s="642"/>
      <c r="C626" s="642"/>
      <c r="D626" s="179"/>
      <c r="E626" s="169"/>
      <c r="F626" s="169"/>
      <c r="G626" s="187"/>
      <c r="H626" s="187"/>
      <c r="I626" s="187"/>
      <c r="J626" s="187"/>
      <c r="K626" s="187"/>
      <c r="L626" s="647"/>
      <c r="M626" s="646">
        <v>33761</v>
      </c>
      <c r="N626" s="585">
        <v>3.53</v>
      </c>
      <c r="O626" s="585">
        <v>2.3949999999999999E-2</v>
      </c>
      <c r="P626" s="175">
        <v>0</v>
      </c>
      <c r="Q626" s="175">
        <v>0</v>
      </c>
      <c r="R626" s="175">
        <v>0</v>
      </c>
      <c r="S626" s="175">
        <v>1.7099999999999999E-3</v>
      </c>
      <c r="T626" s="175">
        <v>3.5100000000000001E-3</v>
      </c>
      <c r="U626" s="175">
        <v>4.9300000000000004E-3</v>
      </c>
      <c r="V626" s="706">
        <v>1.379E-2</v>
      </c>
      <c r="W626" s="717"/>
      <c r="X626" s="713"/>
      <c r="Y626" s="718"/>
      <c r="Z626" s="709">
        <v>17</v>
      </c>
      <c r="AA626" s="175"/>
      <c r="AB626" s="200"/>
      <c r="AC626" s="205">
        <v>1.4999999999999999E-2</v>
      </c>
      <c r="AD626" s="175">
        <v>6.8</v>
      </c>
      <c r="AE626" s="175">
        <v>0.38</v>
      </c>
      <c r="AF626" s="186">
        <f t="shared" si="11"/>
        <v>2.5840000000000001</v>
      </c>
      <c r="AG626" s="175">
        <v>1.39</v>
      </c>
      <c r="AH626" s="334"/>
      <c r="AI626" s="188"/>
      <c r="AJ626" s="188"/>
      <c r="AK626" s="188"/>
      <c r="AL626" s="189"/>
      <c r="AM626" s="189"/>
      <c r="AN626" s="189"/>
      <c r="AO626" s="189"/>
      <c r="AP626" s="189"/>
      <c r="AQ626" s="189"/>
      <c r="AR626" s="189"/>
      <c r="AS626" s="189"/>
      <c r="AT626" s="189"/>
      <c r="AU626" s="190"/>
      <c r="AV626" s="190"/>
      <c r="AW626" s="190"/>
      <c r="AX626" s="190"/>
      <c r="AY626" s="190"/>
      <c r="AZ626" s="189"/>
      <c r="BA626" s="189"/>
      <c r="BB626" s="189"/>
      <c r="BC626" s="189"/>
      <c r="BD626" s="189"/>
      <c r="BE626" s="189"/>
      <c r="BF626" s="189"/>
      <c r="BG626" s="189"/>
      <c r="BH626" s="189"/>
      <c r="BI626" s="190"/>
      <c r="BJ626" s="190"/>
      <c r="BK626" s="190"/>
      <c r="BL626" s="190"/>
      <c r="BM626" s="190"/>
      <c r="BN626" s="190"/>
      <c r="BO626" s="190"/>
      <c r="BP626" s="190"/>
      <c r="BQ626" s="190"/>
      <c r="BR626" s="190"/>
      <c r="BS626" s="190"/>
      <c r="BT626" s="190"/>
      <c r="BU626" s="190"/>
      <c r="BV626" s="190"/>
      <c r="BW626" s="190"/>
      <c r="BX626" s="190"/>
      <c r="BY626" s="190"/>
      <c r="BZ626" s="190"/>
      <c r="CA626" s="189"/>
      <c r="CB626" s="15"/>
    </row>
    <row r="627" spans="1:80" ht="15" x14ac:dyDescent="0.25">
      <c r="A627" s="167"/>
      <c r="B627" s="642"/>
      <c r="C627" s="642"/>
      <c r="D627" s="179"/>
      <c r="E627" s="169"/>
      <c r="F627" s="169"/>
      <c r="G627" s="187"/>
      <c r="H627" s="187"/>
      <c r="I627" s="187"/>
      <c r="J627" s="187"/>
      <c r="K627" s="187"/>
      <c r="L627" s="647"/>
      <c r="M627" s="646">
        <v>33761</v>
      </c>
      <c r="N627" s="585">
        <v>3.4</v>
      </c>
      <c r="O627" s="585">
        <v>4.6929999999999999E-2</v>
      </c>
      <c r="P627" s="175">
        <v>0</v>
      </c>
      <c r="Q627" s="175">
        <v>0</v>
      </c>
      <c r="R627" s="175">
        <v>1.17E-3</v>
      </c>
      <c r="S627" s="175">
        <v>6.2700000000000004E-3</v>
      </c>
      <c r="T627" s="175">
        <v>1.022E-2</v>
      </c>
      <c r="U627" s="175">
        <v>1.093E-2</v>
      </c>
      <c r="V627" s="706">
        <v>1.8339999999999999E-2</v>
      </c>
      <c r="W627" s="717"/>
      <c r="X627" s="713"/>
      <c r="Y627" s="718"/>
      <c r="Z627" s="709">
        <v>28</v>
      </c>
      <c r="AA627" s="175"/>
      <c r="AB627" s="200"/>
      <c r="AC627" s="205">
        <v>1.7999999999999999E-2</v>
      </c>
      <c r="AD627" s="175">
        <v>6.8</v>
      </c>
      <c r="AE627" s="175">
        <v>0.4</v>
      </c>
      <c r="AF627" s="186">
        <f t="shared" si="11"/>
        <v>2.72</v>
      </c>
      <c r="AG627" s="175">
        <v>1.27</v>
      </c>
      <c r="AH627" s="334"/>
      <c r="AI627" s="188"/>
      <c r="AJ627" s="188"/>
      <c r="AK627" s="188"/>
      <c r="AL627" s="189"/>
      <c r="AM627" s="189"/>
      <c r="AN627" s="189"/>
      <c r="AO627" s="189"/>
      <c r="AP627" s="189"/>
      <c r="AQ627" s="189"/>
      <c r="AR627" s="189"/>
      <c r="AS627" s="189"/>
      <c r="AT627" s="189"/>
      <c r="AU627" s="190"/>
      <c r="AV627" s="190"/>
      <c r="AW627" s="190"/>
      <c r="AX627" s="190"/>
      <c r="AY627" s="190"/>
      <c r="AZ627" s="189"/>
      <c r="BA627" s="189"/>
      <c r="BB627" s="189"/>
      <c r="BC627" s="189"/>
      <c r="BD627" s="189"/>
      <c r="BE627" s="189"/>
      <c r="BF627" s="189"/>
      <c r="BG627" s="189"/>
      <c r="BH627" s="189"/>
      <c r="BI627" s="190"/>
      <c r="BJ627" s="190"/>
      <c r="BK627" s="190"/>
      <c r="BL627" s="190"/>
      <c r="BM627" s="190"/>
      <c r="BN627" s="190"/>
      <c r="BO627" s="190"/>
      <c r="BP627" s="190"/>
      <c r="BQ627" s="190"/>
      <c r="BR627" s="190"/>
      <c r="BS627" s="190"/>
      <c r="BT627" s="190"/>
      <c r="BU627" s="190"/>
      <c r="BV627" s="190"/>
      <c r="BW627" s="190"/>
      <c r="BX627" s="190"/>
      <c r="BY627" s="190"/>
      <c r="BZ627" s="190"/>
      <c r="CA627" s="189"/>
      <c r="CB627" s="15"/>
    </row>
    <row r="628" spans="1:80" ht="15" x14ac:dyDescent="0.25">
      <c r="A628" s="167"/>
      <c r="B628" s="642"/>
      <c r="C628" s="642"/>
      <c r="D628" s="179"/>
      <c r="E628" s="169"/>
      <c r="F628" s="169"/>
      <c r="G628" s="187"/>
      <c r="H628" s="187"/>
      <c r="I628" s="187"/>
      <c r="J628" s="187"/>
      <c r="K628" s="187"/>
      <c r="L628" s="647"/>
      <c r="M628" s="646">
        <v>33762</v>
      </c>
      <c r="N628" s="585">
        <v>3.08</v>
      </c>
      <c r="O628" s="585">
        <v>4.5539999999999997E-2</v>
      </c>
      <c r="P628" s="175">
        <v>0</v>
      </c>
      <c r="Q628" s="175">
        <v>0</v>
      </c>
      <c r="R628" s="175">
        <v>4.62E-3</v>
      </c>
      <c r="S628" s="175">
        <v>6.1000000000000004E-3</v>
      </c>
      <c r="T628" s="175">
        <v>8.0400000000000003E-3</v>
      </c>
      <c r="U628" s="175">
        <v>8.7100000000000007E-3</v>
      </c>
      <c r="V628" s="706">
        <v>1.806E-2</v>
      </c>
      <c r="W628" s="717"/>
      <c r="X628" s="713"/>
      <c r="Y628" s="718"/>
      <c r="Z628" s="709">
        <v>29</v>
      </c>
      <c r="AA628" s="175"/>
      <c r="AB628" s="200"/>
      <c r="AC628" s="205">
        <v>1.4999999999999999E-2</v>
      </c>
      <c r="AD628" s="175">
        <v>6.8</v>
      </c>
      <c r="AE628" s="175">
        <v>0.37</v>
      </c>
      <c r="AF628" s="186">
        <f t="shared" si="11"/>
        <v>2.516</v>
      </c>
      <c r="AG628" s="175">
        <v>1.27</v>
      </c>
      <c r="AH628" s="334"/>
      <c r="AI628" s="188"/>
      <c r="AJ628" s="188"/>
      <c r="AK628" s="188"/>
      <c r="AL628" s="189"/>
      <c r="AM628" s="189"/>
      <c r="AN628" s="189"/>
      <c r="AO628" s="189"/>
      <c r="AP628" s="189"/>
      <c r="AQ628" s="189"/>
      <c r="AR628" s="189"/>
      <c r="AS628" s="189"/>
      <c r="AT628" s="189"/>
      <c r="AU628" s="190"/>
      <c r="AV628" s="190"/>
      <c r="AW628" s="190"/>
      <c r="AX628" s="190"/>
      <c r="AY628" s="190"/>
      <c r="AZ628" s="189"/>
      <c r="BA628" s="189"/>
      <c r="BB628" s="189"/>
      <c r="BC628" s="189"/>
      <c r="BD628" s="189"/>
      <c r="BE628" s="189"/>
      <c r="BF628" s="189"/>
      <c r="BG628" s="189"/>
      <c r="BH628" s="189"/>
      <c r="BI628" s="190"/>
      <c r="BJ628" s="190"/>
      <c r="BK628" s="190"/>
      <c r="BL628" s="190"/>
      <c r="BM628" s="190"/>
      <c r="BN628" s="190"/>
      <c r="BO628" s="190"/>
      <c r="BP628" s="190"/>
      <c r="BQ628" s="190"/>
      <c r="BR628" s="190"/>
      <c r="BS628" s="190"/>
      <c r="BT628" s="190"/>
      <c r="BU628" s="190"/>
      <c r="BV628" s="190"/>
      <c r="BW628" s="190"/>
      <c r="BX628" s="190"/>
      <c r="BY628" s="190"/>
      <c r="BZ628" s="190"/>
      <c r="CA628" s="189"/>
      <c r="CB628" s="15"/>
    </row>
    <row r="629" spans="1:80" ht="15" x14ac:dyDescent="0.25">
      <c r="A629" s="167"/>
      <c r="B629" s="642"/>
      <c r="C629" s="642"/>
      <c r="D629" s="179"/>
      <c r="E629" s="169"/>
      <c r="F629" s="169"/>
      <c r="G629" s="187"/>
      <c r="H629" s="187"/>
      <c r="I629" s="187"/>
      <c r="J629" s="187"/>
      <c r="K629" s="187"/>
      <c r="L629" s="647"/>
      <c r="M629" s="646">
        <v>33764</v>
      </c>
      <c r="N629" s="585">
        <v>3.88</v>
      </c>
      <c r="O629" s="585">
        <v>9.3609999999999999E-2</v>
      </c>
      <c r="P629" s="175">
        <v>0</v>
      </c>
      <c r="Q629" s="175">
        <v>0</v>
      </c>
      <c r="R629" s="175">
        <v>4.3299999999999996E-3</v>
      </c>
      <c r="S629" s="175">
        <v>1.0290000000000001E-2</v>
      </c>
      <c r="T629" s="175">
        <v>2.051E-2</v>
      </c>
      <c r="U629" s="175">
        <v>2.2710000000000001E-2</v>
      </c>
      <c r="V629" s="706">
        <v>3.5779999999999999E-2</v>
      </c>
      <c r="W629" s="717"/>
      <c r="X629" s="713"/>
      <c r="Y629" s="718"/>
      <c r="Z629" s="709">
        <v>30</v>
      </c>
      <c r="AA629" s="175"/>
      <c r="AB629" s="200"/>
      <c r="AC629" s="205">
        <v>1.7999999999999999E-2</v>
      </c>
      <c r="AD629" s="175">
        <v>7</v>
      </c>
      <c r="AE629" s="175">
        <v>0.42</v>
      </c>
      <c r="AF629" s="186">
        <f t="shared" si="11"/>
        <v>2.94</v>
      </c>
      <c r="AG629" s="175">
        <v>1.39</v>
      </c>
      <c r="AH629" s="334"/>
      <c r="AI629" s="188"/>
      <c r="AJ629" s="188"/>
      <c r="AK629" s="188"/>
      <c r="AL629" s="189"/>
      <c r="AM629" s="189"/>
      <c r="AN629" s="189"/>
      <c r="AO629" s="189"/>
      <c r="AP629" s="189"/>
      <c r="AQ629" s="189"/>
      <c r="AR629" s="189"/>
      <c r="AS629" s="189"/>
      <c r="AT629" s="189"/>
      <c r="AU629" s="190"/>
      <c r="AV629" s="190"/>
      <c r="AW629" s="190"/>
      <c r="AX629" s="190"/>
      <c r="AY629" s="190"/>
      <c r="AZ629" s="189"/>
      <c r="BA629" s="189"/>
      <c r="BB629" s="189"/>
      <c r="BC629" s="189"/>
      <c r="BD629" s="189"/>
      <c r="BE629" s="189"/>
      <c r="BF629" s="189"/>
      <c r="BG629" s="189"/>
      <c r="BH629" s="189"/>
      <c r="BI629" s="190"/>
      <c r="BJ629" s="190"/>
      <c r="BK629" s="190"/>
      <c r="BL629" s="190"/>
      <c r="BM629" s="190"/>
      <c r="BN629" s="190"/>
      <c r="BO629" s="190"/>
      <c r="BP629" s="190"/>
      <c r="BQ629" s="190"/>
      <c r="BR629" s="190"/>
      <c r="BS629" s="190"/>
      <c r="BT629" s="190"/>
      <c r="BU629" s="190"/>
      <c r="BV629" s="190"/>
      <c r="BW629" s="190"/>
      <c r="BX629" s="190"/>
      <c r="BY629" s="190"/>
      <c r="BZ629" s="190"/>
      <c r="CA629" s="189"/>
      <c r="CB629" s="15"/>
    </row>
    <row r="630" spans="1:80" ht="15" x14ac:dyDescent="0.25">
      <c r="A630" s="167"/>
      <c r="B630" s="642"/>
      <c r="C630" s="642"/>
      <c r="D630" s="179"/>
      <c r="E630" s="169"/>
      <c r="F630" s="169"/>
      <c r="G630" s="187"/>
      <c r="H630" s="187"/>
      <c r="I630" s="187"/>
      <c r="J630" s="187"/>
      <c r="K630" s="187"/>
      <c r="L630" s="647"/>
      <c r="M630" s="646">
        <v>33764</v>
      </c>
      <c r="N630" s="585">
        <v>3.67</v>
      </c>
      <c r="O630" s="585">
        <v>0.13644000000000001</v>
      </c>
      <c r="P630" s="175">
        <v>0</v>
      </c>
      <c r="Q630" s="175">
        <v>5.7800000000000004E-3</v>
      </c>
      <c r="R630" s="175">
        <v>1.3990000000000001E-2</v>
      </c>
      <c r="S630" s="175">
        <v>2.1930000000000002E-2</v>
      </c>
      <c r="T630" s="175">
        <v>3.1609999999999999E-2</v>
      </c>
      <c r="U630" s="175">
        <v>3.0939999999999999E-2</v>
      </c>
      <c r="V630" s="706">
        <v>3.2190000000000003E-2</v>
      </c>
      <c r="W630" s="717"/>
      <c r="X630" s="713"/>
      <c r="Y630" s="718"/>
      <c r="Z630" s="709">
        <v>39</v>
      </c>
      <c r="AA630" s="175"/>
      <c r="AB630" s="200"/>
      <c r="AC630" s="205">
        <v>1.6E-2</v>
      </c>
      <c r="AD630" s="175">
        <v>7.2</v>
      </c>
      <c r="AE630" s="175">
        <v>0.36</v>
      </c>
      <c r="AF630" s="186">
        <f t="shared" si="11"/>
        <v>2.5920000000000001</v>
      </c>
      <c r="AG630" s="175">
        <v>1.37</v>
      </c>
      <c r="AH630" s="334"/>
      <c r="AI630" s="188"/>
      <c r="AJ630" s="188"/>
      <c r="AK630" s="188"/>
      <c r="AL630" s="189"/>
      <c r="AM630" s="189"/>
      <c r="AN630" s="189"/>
      <c r="AO630" s="189"/>
      <c r="AP630" s="189"/>
      <c r="AQ630" s="189"/>
      <c r="AR630" s="189"/>
      <c r="AS630" s="189"/>
      <c r="AT630" s="189"/>
      <c r="AU630" s="190"/>
      <c r="AV630" s="190"/>
      <c r="AW630" s="190"/>
      <c r="AX630" s="190"/>
      <c r="AY630" s="190"/>
      <c r="AZ630" s="189"/>
      <c r="BA630" s="189"/>
      <c r="BB630" s="189"/>
      <c r="BC630" s="189"/>
      <c r="BD630" s="189"/>
      <c r="BE630" s="189"/>
      <c r="BF630" s="189"/>
      <c r="BG630" s="189"/>
      <c r="BH630" s="189"/>
      <c r="BI630" s="190"/>
      <c r="BJ630" s="190"/>
      <c r="BK630" s="190"/>
      <c r="BL630" s="190"/>
      <c r="BM630" s="190"/>
      <c r="BN630" s="190"/>
      <c r="BO630" s="190"/>
      <c r="BP630" s="190"/>
      <c r="BQ630" s="190"/>
      <c r="BR630" s="190"/>
      <c r="BS630" s="190"/>
      <c r="BT630" s="190"/>
      <c r="BU630" s="190"/>
      <c r="BV630" s="190"/>
      <c r="BW630" s="190"/>
      <c r="BX630" s="190"/>
      <c r="BY630" s="190"/>
      <c r="BZ630" s="190"/>
      <c r="CA630" s="189"/>
      <c r="CB630" s="15"/>
    </row>
    <row r="631" spans="1:80" ht="15" x14ac:dyDescent="0.25">
      <c r="A631" s="167"/>
      <c r="B631" s="642"/>
      <c r="C631" s="642"/>
      <c r="D631" s="179"/>
      <c r="E631" s="169"/>
      <c r="F631" s="169"/>
      <c r="G631" s="187"/>
      <c r="H631" s="187"/>
      <c r="I631" s="187"/>
      <c r="J631" s="187"/>
      <c r="K631" s="187"/>
      <c r="L631" s="647"/>
      <c r="M631" s="646">
        <v>33764</v>
      </c>
      <c r="N631" s="585">
        <v>3.67</v>
      </c>
      <c r="O631" s="585">
        <v>0.10172</v>
      </c>
      <c r="P631" s="175">
        <v>0</v>
      </c>
      <c r="Q631" s="175">
        <v>0</v>
      </c>
      <c r="R631" s="175">
        <v>1.584E-2</v>
      </c>
      <c r="S631" s="175">
        <v>1.6910000000000001E-2</v>
      </c>
      <c r="T631" s="175">
        <v>2.3480000000000001E-2</v>
      </c>
      <c r="U631" s="175">
        <v>2.4469999999999999E-2</v>
      </c>
      <c r="V631" s="706">
        <v>2.102E-2</v>
      </c>
      <c r="W631" s="717"/>
      <c r="X631" s="713"/>
      <c r="Y631" s="718"/>
      <c r="Z631" s="709">
        <v>40</v>
      </c>
      <c r="AA631" s="175"/>
      <c r="AB631" s="200"/>
      <c r="AC631" s="205">
        <v>1.7999999999999999E-2</v>
      </c>
      <c r="AD631" s="175">
        <v>7.1</v>
      </c>
      <c r="AE631" s="175">
        <v>0.36</v>
      </c>
      <c r="AF631" s="186">
        <f t="shared" si="11"/>
        <v>2.5559999999999996</v>
      </c>
      <c r="AG631" s="175">
        <v>1.4</v>
      </c>
      <c r="AH631" s="334"/>
      <c r="AI631" s="188"/>
      <c r="AJ631" s="188"/>
      <c r="AK631" s="188"/>
      <c r="AL631" s="189"/>
      <c r="AM631" s="189"/>
      <c r="AN631" s="189"/>
      <c r="AO631" s="189"/>
      <c r="AP631" s="189"/>
      <c r="AQ631" s="189"/>
      <c r="AR631" s="189"/>
      <c r="AS631" s="189"/>
      <c r="AT631" s="189"/>
      <c r="AU631" s="190"/>
      <c r="AV631" s="190"/>
      <c r="AW631" s="190"/>
      <c r="AX631" s="190"/>
      <c r="AY631" s="190"/>
      <c r="AZ631" s="189"/>
      <c r="BA631" s="189"/>
      <c r="BB631" s="189"/>
      <c r="BC631" s="189"/>
      <c r="BD631" s="189"/>
      <c r="BE631" s="189"/>
      <c r="BF631" s="189"/>
      <c r="BG631" s="189"/>
      <c r="BH631" s="189"/>
      <c r="BI631" s="190"/>
      <c r="BJ631" s="190"/>
      <c r="BK631" s="190"/>
      <c r="BL631" s="190"/>
      <c r="BM631" s="190"/>
      <c r="BN631" s="190"/>
      <c r="BO631" s="190"/>
      <c r="BP631" s="190"/>
      <c r="BQ631" s="190"/>
      <c r="BR631" s="190"/>
      <c r="BS631" s="190"/>
      <c r="BT631" s="190"/>
      <c r="BU631" s="190"/>
      <c r="BV631" s="190"/>
      <c r="BW631" s="190"/>
      <c r="BX631" s="190"/>
      <c r="BY631" s="190"/>
      <c r="BZ631" s="190"/>
      <c r="CA631" s="189"/>
      <c r="CB631" s="15"/>
    </row>
    <row r="632" spans="1:80" ht="15" x14ac:dyDescent="0.25">
      <c r="A632" s="167"/>
      <c r="B632" s="642"/>
      <c r="C632" s="642"/>
      <c r="D632" s="179"/>
      <c r="E632" s="169"/>
      <c r="F632" s="169"/>
      <c r="G632" s="187"/>
      <c r="H632" s="187"/>
      <c r="I632" s="187"/>
      <c r="J632" s="187"/>
      <c r="K632" s="187"/>
      <c r="L632" s="647"/>
      <c r="M632" s="646">
        <v>33764</v>
      </c>
      <c r="N632" s="585">
        <v>3.67</v>
      </c>
      <c r="O632" s="585">
        <v>2.8639999999999999E-2</v>
      </c>
      <c r="P632" s="175">
        <v>0</v>
      </c>
      <c r="Q632" s="175">
        <v>3.47E-3</v>
      </c>
      <c r="R632" s="175">
        <v>0</v>
      </c>
      <c r="S632" s="175">
        <v>4.1599999999999996E-3</v>
      </c>
      <c r="T632" s="175">
        <v>5.4799999999999996E-3</v>
      </c>
      <c r="U632" s="175">
        <v>5.8199999999999997E-3</v>
      </c>
      <c r="V632" s="706">
        <v>9.7099999999999999E-3</v>
      </c>
      <c r="W632" s="717"/>
      <c r="X632" s="713"/>
      <c r="Y632" s="718"/>
      <c r="Z632" s="709">
        <v>34</v>
      </c>
      <c r="AA632" s="175"/>
      <c r="AB632" s="200"/>
      <c r="AC632" s="205">
        <v>1.7999999999999999E-2</v>
      </c>
      <c r="AD632" s="175">
        <v>7</v>
      </c>
      <c r="AE632" s="175">
        <v>0.34</v>
      </c>
      <c r="AF632" s="186">
        <f t="shared" si="11"/>
        <v>2.3800000000000003</v>
      </c>
      <c r="AG632" s="175">
        <v>1.48</v>
      </c>
      <c r="AH632" s="334"/>
      <c r="AI632" s="188"/>
      <c r="AJ632" s="188"/>
      <c r="AK632" s="188"/>
      <c r="AL632" s="189"/>
      <c r="AM632" s="189"/>
      <c r="AN632" s="189"/>
      <c r="AO632" s="189"/>
      <c r="AP632" s="189"/>
      <c r="AQ632" s="189"/>
      <c r="AR632" s="189"/>
      <c r="AS632" s="189"/>
      <c r="AT632" s="189"/>
      <c r="AU632" s="190"/>
      <c r="AV632" s="190"/>
      <c r="AW632" s="190"/>
      <c r="AX632" s="190"/>
      <c r="AY632" s="190"/>
      <c r="AZ632" s="189"/>
      <c r="BA632" s="189"/>
      <c r="BB632" s="189"/>
      <c r="BC632" s="189"/>
      <c r="BD632" s="189"/>
      <c r="BE632" s="189"/>
      <c r="BF632" s="189"/>
      <c r="BG632" s="189"/>
      <c r="BH632" s="189"/>
      <c r="BI632" s="190"/>
      <c r="BJ632" s="190"/>
      <c r="BK632" s="190"/>
      <c r="BL632" s="190"/>
      <c r="BM632" s="190"/>
      <c r="BN632" s="190"/>
      <c r="BO632" s="190"/>
      <c r="BP632" s="190"/>
      <c r="BQ632" s="190"/>
      <c r="BR632" s="190"/>
      <c r="BS632" s="190"/>
      <c r="BT632" s="190"/>
      <c r="BU632" s="190"/>
      <c r="BV632" s="190"/>
      <c r="BW632" s="190"/>
      <c r="BX632" s="190"/>
      <c r="BY632" s="190"/>
      <c r="BZ632" s="190"/>
      <c r="CA632" s="189"/>
      <c r="CB632" s="15"/>
    </row>
    <row r="633" spans="1:80" ht="15" x14ac:dyDescent="0.25">
      <c r="A633" s="167"/>
      <c r="B633" s="642"/>
      <c r="C633" s="642"/>
      <c r="D633" s="179"/>
      <c r="E633" s="169"/>
      <c r="F633" s="169"/>
      <c r="G633" s="187"/>
      <c r="H633" s="187"/>
      <c r="I633" s="187"/>
      <c r="J633" s="187"/>
      <c r="K633" s="187"/>
      <c r="L633" s="647"/>
      <c r="M633" s="646">
        <v>33764</v>
      </c>
      <c r="N633" s="585">
        <v>4.33</v>
      </c>
      <c r="O633" s="585">
        <v>4.5749999999999999E-2</v>
      </c>
      <c r="P633" s="175">
        <v>0</v>
      </c>
      <c r="Q633" s="175">
        <v>0</v>
      </c>
      <c r="R633" s="175">
        <v>4.6800000000000001E-3</v>
      </c>
      <c r="S633" s="175">
        <v>5.6299999999999996E-3</v>
      </c>
      <c r="T633" s="175">
        <v>5.2100000000000002E-3</v>
      </c>
      <c r="U633" s="175">
        <v>6.8100000000000001E-3</v>
      </c>
      <c r="V633" s="706">
        <v>2.3429999999999999E-2</v>
      </c>
      <c r="W633" s="717"/>
      <c r="X633" s="713"/>
      <c r="Y633" s="718"/>
      <c r="Z633" s="709">
        <v>35</v>
      </c>
      <c r="AA633" s="175"/>
      <c r="AB633" s="200"/>
      <c r="AC633" s="205">
        <v>1.9E-2</v>
      </c>
      <c r="AD633" s="175">
        <v>7.1</v>
      </c>
      <c r="AE633" s="175">
        <v>0.39</v>
      </c>
      <c r="AF633" s="186">
        <f t="shared" si="11"/>
        <v>2.7690000000000001</v>
      </c>
      <c r="AG633" s="175">
        <v>1.49</v>
      </c>
      <c r="AH633" s="334"/>
      <c r="AI633" s="188"/>
      <c r="AJ633" s="188"/>
      <c r="AK633" s="188"/>
      <c r="AL633" s="189"/>
      <c r="AM633" s="189"/>
      <c r="AN633" s="189"/>
      <c r="AO633" s="189"/>
      <c r="AP633" s="189"/>
      <c r="AQ633" s="189"/>
      <c r="AR633" s="189"/>
      <c r="AS633" s="189"/>
      <c r="AT633" s="189"/>
      <c r="AU633" s="190"/>
      <c r="AV633" s="190"/>
      <c r="AW633" s="190"/>
      <c r="AX633" s="190"/>
      <c r="AY633" s="190"/>
      <c r="AZ633" s="189"/>
      <c r="BA633" s="189"/>
      <c r="BB633" s="189"/>
      <c r="BC633" s="189"/>
      <c r="BD633" s="189"/>
      <c r="BE633" s="189"/>
      <c r="BF633" s="189"/>
      <c r="BG633" s="189"/>
      <c r="BH633" s="189"/>
      <c r="BI633" s="190"/>
      <c r="BJ633" s="190"/>
      <c r="BK633" s="190"/>
      <c r="BL633" s="190"/>
      <c r="BM633" s="190"/>
      <c r="BN633" s="190"/>
      <c r="BO633" s="190"/>
      <c r="BP633" s="190"/>
      <c r="BQ633" s="190"/>
      <c r="BR633" s="190"/>
      <c r="BS633" s="190"/>
      <c r="BT633" s="190"/>
      <c r="BU633" s="190"/>
      <c r="BV633" s="190"/>
      <c r="BW633" s="190"/>
      <c r="BX633" s="190"/>
      <c r="BY633" s="190"/>
      <c r="BZ633" s="190"/>
      <c r="CA633" s="189"/>
      <c r="CB633" s="15"/>
    </row>
    <row r="634" spans="1:80" ht="15" x14ac:dyDescent="0.25">
      <c r="A634" s="167"/>
      <c r="B634" s="642"/>
      <c r="C634" s="642"/>
      <c r="D634" s="179"/>
      <c r="E634" s="169"/>
      <c r="F634" s="169"/>
      <c r="G634" s="187"/>
      <c r="H634" s="187"/>
      <c r="I634" s="187"/>
      <c r="J634" s="187"/>
      <c r="K634" s="187"/>
      <c r="L634" s="647"/>
      <c r="M634" s="646">
        <v>33764</v>
      </c>
      <c r="N634" s="585">
        <v>4.1100000000000003</v>
      </c>
      <c r="O634" s="585">
        <v>9.6439999999999998E-2</v>
      </c>
      <c r="P634" s="175">
        <v>0</v>
      </c>
      <c r="Q634" s="175">
        <v>0</v>
      </c>
      <c r="R634" s="175">
        <v>5.3200000000000001E-3</v>
      </c>
      <c r="S634" s="175">
        <v>1.504E-2</v>
      </c>
      <c r="T634" s="175">
        <v>1.6969999999999999E-2</v>
      </c>
      <c r="U634" s="175">
        <v>2.0959999999999999E-2</v>
      </c>
      <c r="V634" s="706">
        <v>3.8159999999999999E-2</v>
      </c>
      <c r="W634" s="717"/>
      <c r="X634" s="713"/>
      <c r="Y634" s="718"/>
      <c r="Z634" s="709">
        <v>21</v>
      </c>
      <c r="AA634" s="175"/>
      <c r="AB634" s="200"/>
      <c r="AC634" s="205">
        <v>1.2999999999999999E-2</v>
      </c>
      <c r="AD634" s="175">
        <v>7</v>
      </c>
      <c r="AE634" s="175">
        <v>0.42</v>
      </c>
      <c r="AF634" s="186">
        <f t="shared" si="11"/>
        <v>2.94</v>
      </c>
      <c r="AG634" s="175">
        <v>1.36</v>
      </c>
      <c r="AH634" s="334"/>
      <c r="AI634" s="188"/>
      <c r="AJ634" s="188"/>
      <c r="AK634" s="188"/>
      <c r="AL634" s="189"/>
      <c r="AM634" s="189"/>
      <c r="AN634" s="189"/>
      <c r="AO634" s="189"/>
      <c r="AP634" s="189"/>
      <c r="AQ634" s="189"/>
      <c r="AR634" s="189"/>
      <c r="AS634" s="189"/>
      <c r="AT634" s="189"/>
      <c r="AU634" s="190"/>
      <c r="AV634" s="190"/>
      <c r="AW634" s="190"/>
      <c r="AX634" s="190"/>
      <c r="AY634" s="190"/>
      <c r="AZ634" s="189"/>
      <c r="BA634" s="189"/>
      <c r="BB634" s="189"/>
      <c r="BC634" s="189"/>
      <c r="BD634" s="189"/>
      <c r="BE634" s="189"/>
      <c r="BF634" s="189"/>
      <c r="BG634" s="189"/>
      <c r="BH634" s="189"/>
      <c r="BI634" s="190"/>
      <c r="BJ634" s="190"/>
      <c r="BK634" s="190"/>
      <c r="BL634" s="190"/>
      <c r="BM634" s="190"/>
      <c r="BN634" s="190"/>
      <c r="BO634" s="190"/>
      <c r="BP634" s="190"/>
      <c r="BQ634" s="190"/>
      <c r="BR634" s="190"/>
      <c r="BS634" s="190"/>
      <c r="BT634" s="190"/>
      <c r="BU634" s="190"/>
      <c r="BV634" s="190"/>
      <c r="BW634" s="190"/>
      <c r="BX634" s="190"/>
      <c r="BY634" s="190"/>
      <c r="BZ634" s="190"/>
      <c r="CA634" s="189"/>
      <c r="CB634" s="15"/>
    </row>
    <row r="635" spans="1:80" ht="15" x14ac:dyDescent="0.25">
      <c r="A635" s="167"/>
      <c r="B635" s="642"/>
      <c r="C635" s="642"/>
      <c r="D635" s="179"/>
      <c r="E635" s="169"/>
      <c r="F635" s="169"/>
      <c r="G635" s="187"/>
      <c r="H635" s="187"/>
      <c r="I635" s="187"/>
      <c r="J635" s="187"/>
      <c r="K635" s="187"/>
      <c r="L635" s="647"/>
      <c r="M635" s="646">
        <v>33765</v>
      </c>
      <c r="N635" s="585">
        <v>3.96</v>
      </c>
      <c r="O635" s="585">
        <v>0.10927000000000001</v>
      </c>
      <c r="P635" s="175">
        <v>0</v>
      </c>
      <c r="Q635" s="175">
        <v>5.3499999999999997E-3</v>
      </c>
      <c r="R635" s="175">
        <v>1.5709999999999998E-2</v>
      </c>
      <c r="S635" s="175">
        <v>2.0990000000000002E-2</v>
      </c>
      <c r="T635" s="175">
        <v>2.2509999999999999E-2</v>
      </c>
      <c r="U635" s="175">
        <v>1.9800000000000002E-2</v>
      </c>
      <c r="V635" s="706">
        <v>2.4899999999999999E-2</v>
      </c>
      <c r="W635" s="717"/>
      <c r="X635" s="713"/>
      <c r="Y635" s="718"/>
      <c r="Z635" s="709">
        <v>41</v>
      </c>
      <c r="AA635" s="175"/>
      <c r="AB635" s="200"/>
      <c r="AC635" s="205">
        <v>1.4999999999999999E-2</v>
      </c>
      <c r="AD635" s="175">
        <v>7.2</v>
      </c>
      <c r="AE635" s="175">
        <v>0.38</v>
      </c>
      <c r="AF635" s="186">
        <f t="shared" si="11"/>
        <v>2.7360000000000002</v>
      </c>
      <c r="AG635" s="175">
        <v>1.45</v>
      </c>
      <c r="AH635" s="334"/>
      <c r="AI635" s="188"/>
      <c r="AJ635" s="188"/>
      <c r="AK635" s="188"/>
      <c r="AL635" s="189"/>
      <c r="AM635" s="189"/>
      <c r="AN635" s="189"/>
      <c r="AO635" s="189"/>
      <c r="AP635" s="189"/>
      <c r="AQ635" s="189"/>
      <c r="AR635" s="189"/>
      <c r="AS635" s="189"/>
      <c r="AT635" s="189"/>
      <c r="AU635" s="190"/>
      <c r="AV635" s="190"/>
      <c r="AW635" s="190"/>
      <c r="AX635" s="190"/>
      <c r="AY635" s="190"/>
      <c r="AZ635" s="189"/>
      <c r="BA635" s="189"/>
      <c r="BB635" s="189"/>
      <c r="BC635" s="189"/>
      <c r="BD635" s="189"/>
      <c r="BE635" s="189"/>
      <c r="BF635" s="189"/>
      <c r="BG635" s="189"/>
      <c r="BH635" s="189"/>
      <c r="BI635" s="190"/>
      <c r="BJ635" s="190"/>
      <c r="BK635" s="190"/>
      <c r="BL635" s="190"/>
      <c r="BM635" s="190"/>
      <c r="BN635" s="190"/>
      <c r="BO635" s="190"/>
      <c r="BP635" s="190"/>
      <c r="BQ635" s="190"/>
      <c r="BR635" s="190"/>
      <c r="BS635" s="190"/>
      <c r="BT635" s="190"/>
      <c r="BU635" s="190"/>
      <c r="BV635" s="190"/>
      <c r="BW635" s="190"/>
      <c r="BX635" s="190"/>
      <c r="BY635" s="190"/>
      <c r="BZ635" s="190"/>
      <c r="CA635" s="189"/>
      <c r="CB635" s="15"/>
    </row>
    <row r="636" spans="1:80" ht="15" x14ac:dyDescent="0.25">
      <c r="A636" s="167"/>
      <c r="B636" s="642"/>
      <c r="C636" s="642"/>
      <c r="D636" s="179"/>
      <c r="E636" s="169"/>
      <c r="F636" s="169"/>
      <c r="G636" s="187"/>
      <c r="H636" s="187"/>
      <c r="I636" s="187"/>
      <c r="J636" s="187"/>
      <c r="K636" s="187"/>
      <c r="L636" s="647"/>
      <c r="M636" s="646">
        <v>33765</v>
      </c>
      <c r="N636" s="585">
        <v>3.74</v>
      </c>
      <c r="O636" s="585">
        <v>3.2939999999999997E-2</v>
      </c>
      <c r="P636" s="175">
        <v>0</v>
      </c>
      <c r="Q636" s="175">
        <v>0</v>
      </c>
      <c r="R636" s="175">
        <v>4.3800000000000002E-3</v>
      </c>
      <c r="S636" s="175">
        <v>3.7100000000000002E-3</v>
      </c>
      <c r="T636" s="175">
        <v>6.0200000000000002E-3</v>
      </c>
      <c r="U636" s="175">
        <v>6.1700000000000001E-3</v>
      </c>
      <c r="V636" s="706">
        <v>1.2659999999999999E-2</v>
      </c>
      <c r="W636" s="717"/>
      <c r="X636" s="713"/>
      <c r="Y636" s="718"/>
      <c r="Z636" s="709">
        <v>33</v>
      </c>
      <c r="AA636" s="175"/>
      <c r="AB636" s="200"/>
      <c r="AC636" s="205">
        <v>1.2999999999999999E-2</v>
      </c>
      <c r="AD636" s="175">
        <v>7.2</v>
      </c>
      <c r="AE636" s="175">
        <v>0.37</v>
      </c>
      <c r="AF636" s="186">
        <f t="shared" si="11"/>
        <v>2.6640000000000001</v>
      </c>
      <c r="AG636" s="175">
        <v>1.37</v>
      </c>
      <c r="AH636" s="334"/>
      <c r="AI636" s="188"/>
      <c r="AJ636" s="188"/>
      <c r="AK636" s="188"/>
      <c r="AL636" s="189"/>
      <c r="AM636" s="189"/>
      <c r="AN636" s="189"/>
      <c r="AO636" s="189"/>
      <c r="AP636" s="189"/>
      <c r="AQ636" s="189"/>
      <c r="AR636" s="189"/>
      <c r="AS636" s="189"/>
      <c r="AT636" s="189"/>
      <c r="AU636" s="190"/>
      <c r="AV636" s="190"/>
      <c r="AW636" s="190"/>
      <c r="AX636" s="190"/>
      <c r="AY636" s="190"/>
      <c r="AZ636" s="189"/>
      <c r="BA636" s="189"/>
      <c r="BB636" s="189"/>
      <c r="BC636" s="189"/>
      <c r="BD636" s="189"/>
      <c r="BE636" s="189"/>
      <c r="BF636" s="189"/>
      <c r="BG636" s="189"/>
      <c r="BH636" s="189"/>
      <c r="BI636" s="190"/>
      <c r="BJ636" s="190"/>
      <c r="BK636" s="190"/>
      <c r="BL636" s="190"/>
      <c r="BM636" s="190"/>
      <c r="BN636" s="190"/>
      <c r="BO636" s="190"/>
      <c r="BP636" s="190"/>
      <c r="BQ636" s="190"/>
      <c r="BR636" s="190"/>
      <c r="BS636" s="190"/>
      <c r="BT636" s="190"/>
      <c r="BU636" s="190"/>
      <c r="BV636" s="190"/>
      <c r="BW636" s="190"/>
      <c r="BX636" s="190"/>
      <c r="BY636" s="190"/>
      <c r="BZ636" s="190"/>
      <c r="CA636" s="189"/>
      <c r="CB636" s="15"/>
    </row>
    <row r="637" spans="1:80" ht="15" x14ac:dyDescent="0.25">
      <c r="A637" s="167"/>
      <c r="B637" s="642"/>
      <c r="C637" s="642"/>
      <c r="D637" s="179"/>
      <c r="E637" s="169"/>
      <c r="F637" s="169"/>
      <c r="G637" s="187"/>
      <c r="H637" s="187"/>
      <c r="I637" s="187"/>
      <c r="J637" s="187"/>
      <c r="K637" s="187"/>
      <c r="L637" s="647"/>
      <c r="M637" s="646">
        <v>33765</v>
      </c>
      <c r="N637" s="585">
        <v>4.33</v>
      </c>
      <c r="O637" s="585">
        <v>4.5150000000000003E-2</v>
      </c>
      <c r="P637" s="175">
        <v>0</v>
      </c>
      <c r="Q637" s="175">
        <v>0</v>
      </c>
      <c r="R637" s="175">
        <v>2.9099999999999998E-3</v>
      </c>
      <c r="S637" s="175">
        <v>4.2100000000000002E-3</v>
      </c>
      <c r="T637" s="175">
        <v>5.8999999999999999E-3</v>
      </c>
      <c r="U637" s="175">
        <v>6.4200000000000004E-3</v>
      </c>
      <c r="V637" s="706">
        <v>2.572E-2</v>
      </c>
      <c r="W637" s="717"/>
      <c r="X637" s="713"/>
      <c r="Y637" s="718"/>
      <c r="Z637" s="709">
        <v>28</v>
      </c>
      <c r="AA637" s="175"/>
      <c r="AB637" s="200"/>
      <c r="AC637" s="205">
        <v>1.6E-2</v>
      </c>
      <c r="AD637" s="175">
        <v>7.1</v>
      </c>
      <c r="AE637" s="175">
        <v>0.43</v>
      </c>
      <c r="AF637" s="186">
        <f t="shared" si="11"/>
        <v>3.0529999999999999</v>
      </c>
      <c r="AG637" s="175">
        <v>1.49</v>
      </c>
      <c r="AH637" s="334"/>
      <c r="AI637" s="188"/>
      <c r="AJ637" s="188"/>
      <c r="AK637" s="188"/>
      <c r="AL637" s="189"/>
      <c r="AM637" s="189"/>
      <c r="AN637" s="189"/>
      <c r="AO637" s="189"/>
      <c r="AP637" s="189"/>
      <c r="AQ637" s="189"/>
      <c r="AR637" s="189"/>
      <c r="AS637" s="189"/>
      <c r="AT637" s="189"/>
      <c r="AU637" s="190"/>
      <c r="AV637" s="190"/>
      <c r="AW637" s="190"/>
      <c r="AX637" s="190"/>
      <c r="AY637" s="190"/>
      <c r="AZ637" s="189"/>
      <c r="BA637" s="189"/>
      <c r="BB637" s="189"/>
      <c r="BC637" s="189"/>
      <c r="BD637" s="189"/>
      <c r="BE637" s="189"/>
      <c r="BF637" s="189"/>
      <c r="BG637" s="189"/>
      <c r="BH637" s="189"/>
      <c r="BI637" s="190"/>
      <c r="BJ637" s="190"/>
      <c r="BK637" s="190"/>
      <c r="BL637" s="190"/>
      <c r="BM637" s="190"/>
      <c r="BN637" s="190"/>
      <c r="BO637" s="190"/>
      <c r="BP637" s="190"/>
      <c r="BQ637" s="190"/>
      <c r="BR637" s="190"/>
      <c r="BS637" s="190"/>
      <c r="BT637" s="190"/>
      <c r="BU637" s="190"/>
      <c r="BV637" s="190"/>
      <c r="BW637" s="190"/>
      <c r="BX637" s="190"/>
      <c r="BY637" s="190"/>
      <c r="BZ637" s="190"/>
      <c r="CA637" s="189"/>
      <c r="CB637" s="15"/>
    </row>
    <row r="638" spans="1:80" ht="15" x14ac:dyDescent="0.25">
      <c r="A638" s="167"/>
      <c r="B638" s="642"/>
      <c r="C638" s="642"/>
      <c r="D638" s="179"/>
      <c r="E638" s="169"/>
      <c r="F638" s="169"/>
      <c r="G638" s="187"/>
      <c r="H638" s="187"/>
      <c r="I638" s="187"/>
      <c r="J638" s="187"/>
      <c r="K638" s="187"/>
      <c r="L638" s="647"/>
      <c r="M638" s="646">
        <v>33765</v>
      </c>
      <c r="N638" s="585">
        <v>4.33</v>
      </c>
      <c r="O638" s="585">
        <v>6.3700000000000007E-2</v>
      </c>
      <c r="P638" s="175">
        <v>0</v>
      </c>
      <c r="Q638" s="175">
        <v>0</v>
      </c>
      <c r="R638" s="175">
        <v>7.2199999999999999E-3</v>
      </c>
      <c r="S638" s="175">
        <v>1.2019999999999999E-2</v>
      </c>
      <c r="T638" s="175">
        <v>1.2930000000000001E-2</v>
      </c>
      <c r="U638" s="175">
        <v>1.1129999999999999E-2</v>
      </c>
      <c r="V638" s="706">
        <v>2.0410000000000001E-2</v>
      </c>
      <c r="W638" s="717"/>
      <c r="X638" s="713"/>
      <c r="Y638" s="718"/>
      <c r="Z638" s="709">
        <v>26</v>
      </c>
      <c r="AA638" s="175"/>
      <c r="AB638" s="200"/>
      <c r="AC638" s="205">
        <v>1.4999999999999999E-2</v>
      </c>
      <c r="AD638" s="175">
        <v>7.25</v>
      </c>
      <c r="AE638" s="175">
        <v>0.4</v>
      </c>
      <c r="AF638" s="186">
        <f t="shared" si="11"/>
        <v>2.9000000000000004</v>
      </c>
      <c r="AG638" s="175">
        <v>1.46</v>
      </c>
      <c r="AH638" s="334"/>
      <c r="AI638" s="188"/>
      <c r="AJ638" s="188"/>
      <c r="AK638" s="188"/>
      <c r="AL638" s="189"/>
      <c r="AM638" s="189"/>
      <c r="AN638" s="189"/>
      <c r="AO638" s="189"/>
      <c r="AP638" s="189"/>
      <c r="AQ638" s="189"/>
      <c r="AR638" s="189"/>
      <c r="AS638" s="189"/>
      <c r="AT638" s="189"/>
      <c r="AU638" s="190"/>
      <c r="AV638" s="190"/>
      <c r="AW638" s="190"/>
      <c r="AX638" s="190"/>
      <c r="AY638" s="190"/>
      <c r="AZ638" s="189"/>
      <c r="BA638" s="189"/>
      <c r="BB638" s="189"/>
      <c r="BC638" s="189"/>
      <c r="BD638" s="189"/>
      <c r="BE638" s="189"/>
      <c r="BF638" s="189"/>
      <c r="BG638" s="189"/>
      <c r="BH638" s="189"/>
      <c r="BI638" s="190"/>
      <c r="BJ638" s="190"/>
      <c r="BK638" s="190"/>
      <c r="BL638" s="190"/>
      <c r="BM638" s="190"/>
      <c r="BN638" s="190"/>
      <c r="BO638" s="190"/>
      <c r="BP638" s="190"/>
      <c r="BQ638" s="190"/>
      <c r="BR638" s="190"/>
      <c r="BS638" s="190"/>
      <c r="BT638" s="190"/>
      <c r="BU638" s="190"/>
      <c r="BV638" s="190"/>
      <c r="BW638" s="190"/>
      <c r="BX638" s="190"/>
      <c r="BY638" s="190"/>
      <c r="BZ638" s="190"/>
      <c r="CA638" s="189"/>
      <c r="CB638" s="15"/>
    </row>
    <row r="639" spans="1:80" ht="15" x14ac:dyDescent="0.25">
      <c r="A639" s="167"/>
      <c r="B639" s="642"/>
      <c r="C639" s="642"/>
      <c r="D639" s="179"/>
      <c r="E639" s="169"/>
      <c r="F639" s="169"/>
      <c r="G639" s="187"/>
      <c r="H639" s="187"/>
      <c r="I639" s="187"/>
      <c r="J639" s="187"/>
      <c r="K639" s="187"/>
      <c r="L639" s="647"/>
      <c r="M639" s="646">
        <v>33766</v>
      </c>
      <c r="N639" s="585">
        <v>3.88</v>
      </c>
      <c r="O639" s="585">
        <v>6.0979999999999999E-2</v>
      </c>
      <c r="P639" s="175">
        <v>0</v>
      </c>
      <c r="Q639" s="175">
        <v>1.9499999999999999E-3</v>
      </c>
      <c r="R639" s="175">
        <v>5.9199999999999999E-3</v>
      </c>
      <c r="S639" s="175">
        <v>7.0499999999999998E-3</v>
      </c>
      <c r="T639" s="175">
        <v>1.1900000000000001E-2</v>
      </c>
      <c r="U639" s="175">
        <v>1.355E-2</v>
      </c>
      <c r="V639" s="706">
        <v>2.0619999999999999E-2</v>
      </c>
      <c r="W639" s="717"/>
      <c r="X639" s="713"/>
      <c r="Y639" s="718"/>
      <c r="Z639" s="709">
        <v>43</v>
      </c>
      <c r="AA639" s="175"/>
      <c r="AB639" s="200"/>
      <c r="AC639" s="205">
        <v>1.9E-2</v>
      </c>
      <c r="AD639" s="175">
        <v>7.25</v>
      </c>
      <c r="AE639" s="175">
        <v>0.36</v>
      </c>
      <c r="AF639" s="186">
        <f t="shared" si="11"/>
        <v>2.61</v>
      </c>
      <c r="AG639" s="175">
        <v>1.58</v>
      </c>
      <c r="AH639" s="334"/>
      <c r="AI639" s="188"/>
      <c r="AJ639" s="188"/>
      <c r="AK639" s="188"/>
      <c r="AL639" s="189"/>
      <c r="AM639" s="189"/>
      <c r="AN639" s="189"/>
      <c r="AO639" s="189"/>
      <c r="AP639" s="189"/>
      <c r="AQ639" s="189"/>
      <c r="AR639" s="189"/>
      <c r="AS639" s="189"/>
      <c r="AT639" s="189"/>
      <c r="AU639" s="190"/>
      <c r="AV639" s="190"/>
      <c r="AW639" s="190"/>
      <c r="AX639" s="190"/>
      <c r="AY639" s="190"/>
      <c r="AZ639" s="189"/>
      <c r="BA639" s="189"/>
      <c r="BB639" s="189"/>
      <c r="BC639" s="189"/>
      <c r="BD639" s="189"/>
      <c r="BE639" s="189"/>
      <c r="BF639" s="189"/>
      <c r="BG639" s="189"/>
      <c r="BH639" s="189"/>
      <c r="BI639" s="190"/>
      <c r="BJ639" s="190"/>
      <c r="BK639" s="190"/>
      <c r="BL639" s="190"/>
      <c r="BM639" s="190"/>
      <c r="BN639" s="190"/>
      <c r="BO639" s="190"/>
      <c r="BP639" s="190"/>
      <c r="BQ639" s="190"/>
      <c r="BR639" s="190"/>
      <c r="BS639" s="190"/>
      <c r="BT639" s="190"/>
      <c r="BU639" s="190"/>
      <c r="BV639" s="190"/>
      <c r="BW639" s="190"/>
      <c r="BX639" s="190"/>
      <c r="BY639" s="190"/>
      <c r="BZ639" s="190"/>
      <c r="CA639" s="189"/>
      <c r="CB639" s="15"/>
    </row>
    <row r="640" spans="1:80" ht="15" x14ac:dyDescent="0.25">
      <c r="A640" s="167"/>
      <c r="B640" s="642"/>
      <c r="C640" s="642"/>
      <c r="D640" s="179"/>
      <c r="E640" s="169"/>
      <c r="F640" s="169"/>
      <c r="G640" s="187"/>
      <c r="H640" s="187"/>
      <c r="I640" s="187"/>
      <c r="J640" s="187"/>
      <c r="K640" s="187"/>
      <c r="L640" s="647"/>
      <c r="M640" s="646">
        <v>33766</v>
      </c>
      <c r="N640" s="585">
        <v>3.67</v>
      </c>
      <c r="O640" s="585">
        <v>5.2810000000000003E-2</v>
      </c>
      <c r="P640" s="175">
        <v>0</v>
      </c>
      <c r="Q640" s="175">
        <v>0</v>
      </c>
      <c r="R640" s="175">
        <v>5.8199999999999997E-3</v>
      </c>
      <c r="S640" s="175">
        <v>5.4599999999999996E-3</v>
      </c>
      <c r="T640" s="175">
        <v>7.9900000000000006E-3</v>
      </c>
      <c r="U640" s="175">
        <v>1.2030000000000001E-2</v>
      </c>
      <c r="V640" s="706">
        <v>2.1520000000000001E-2</v>
      </c>
      <c r="W640" s="717"/>
      <c r="X640" s="713"/>
      <c r="Y640" s="718"/>
      <c r="Z640" s="709">
        <v>34</v>
      </c>
      <c r="AA640" s="175"/>
      <c r="AB640" s="200"/>
      <c r="AC640" s="205">
        <v>1.9E-2</v>
      </c>
      <c r="AD640" s="175">
        <v>7</v>
      </c>
      <c r="AE640" s="175">
        <v>0.39</v>
      </c>
      <c r="AF640" s="186">
        <f t="shared" si="11"/>
        <v>2.73</v>
      </c>
      <c r="AG640" s="175">
        <v>1.33</v>
      </c>
      <c r="AH640" s="334"/>
      <c r="AI640" s="188"/>
      <c r="AJ640" s="188"/>
      <c r="AK640" s="188"/>
      <c r="AL640" s="189"/>
      <c r="AM640" s="189"/>
      <c r="AN640" s="189"/>
      <c r="AO640" s="189"/>
      <c r="AP640" s="189"/>
      <c r="AQ640" s="189"/>
      <c r="AR640" s="189"/>
      <c r="AS640" s="189"/>
      <c r="AT640" s="189"/>
      <c r="AU640" s="190"/>
      <c r="AV640" s="190"/>
      <c r="AW640" s="190"/>
      <c r="AX640" s="190"/>
      <c r="AY640" s="190"/>
      <c r="AZ640" s="189"/>
      <c r="BA640" s="189"/>
      <c r="BB640" s="189"/>
      <c r="BC640" s="189"/>
      <c r="BD640" s="189"/>
      <c r="BE640" s="189"/>
      <c r="BF640" s="189"/>
      <c r="BG640" s="189"/>
      <c r="BH640" s="189"/>
      <c r="BI640" s="190"/>
      <c r="BJ640" s="190"/>
      <c r="BK640" s="190"/>
      <c r="BL640" s="190"/>
      <c r="BM640" s="190"/>
      <c r="BN640" s="190"/>
      <c r="BO640" s="190"/>
      <c r="BP640" s="190"/>
      <c r="BQ640" s="190"/>
      <c r="BR640" s="190"/>
      <c r="BS640" s="190"/>
      <c r="BT640" s="190"/>
      <c r="BU640" s="190"/>
      <c r="BV640" s="190"/>
      <c r="BW640" s="190"/>
      <c r="BX640" s="190"/>
      <c r="BY640" s="190"/>
      <c r="BZ640" s="190"/>
      <c r="CA640" s="189"/>
      <c r="CB640" s="15"/>
    </row>
    <row r="641" spans="1:80" ht="15" x14ac:dyDescent="0.25">
      <c r="A641" s="167"/>
      <c r="B641" s="642"/>
      <c r="C641" s="642"/>
      <c r="D641" s="179"/>
      <c r="E641" s="169"/>
      <c r="F641" s="169"/>
      <c r="G641" s="187"/>
      <c r="H641" s="187"/>
      <c r="I641" s="187"/>
      <c r="J641" s="187"/>
      <c r="K641" s="187"/>
      <c r="L641" s="647"/>
      <c r="M641" s="646">
        <v>33766</v>
      </c>
      <c r="N641" s="585">
        <v>3.67</v>
      </c>
      <c r="O641" s="585">
        <v>7.79E-3</v>
      </c>
      <c r="P641" s="175">
        <v>0</v>
      </c>
      <c r="Q641" s="175">
        <v>0</v>
      </c>
      <c r="R641" s="175">
        <v>5.2999999999999998E-4</v>
      </c>
      <c r="S641" s="175">
        <v>2.5999999999999998E-4</v>
      </c>
      <c r="T641" s="175">
        <v>6.9999999999999999E-4</v>
      </c>
      <c r="U641" s="175">
        <v>1.1800000000000001E-3</v>
      </c>
      <c r="V641" s="706">
        <v>5.1200000000000004E-3</v>
      </c>
      <c r="W641" s="717"/>
      <c r="X641" s="713"/>
      <c r="Y641" s="718"/>
      <c r="Z641" s="709">
        <v>25</v>
      </c>
      <c r="AA641" s="175"/>
      <c r="AB641" s="200"/>
      <c r="AC641" s="205">
        <v>1.9E-2</v>
      </c>
      <c r="AD641" s="175">
        <v>6.8</v>
      </c>
      <c r="AE641" s="175">
        <v>0.39</v>
      </c>
      <c r="AF641" s="186">
        <f t="shared" si="11"/>
        <v>2.6520000000000001</v>
      </c>
      <c r="AG641" s="175">
        <v>1.43</v>
      </c>
      <c r="AH641" s="334"/>
      <c r="AI641" s="188"/>
      <c r="AJ641" s="188"/>
      <c r="AK641" s="188"/>
      <c r="AL641" s="189"/>
      <c r="AM641" s="189"/>
      <c r="AN641" s="189"/>
      <c r="AO641" s="189"/>
      <c r="AP641" s="189"/>
      <c r="AQ641" s="189"/>
      <c r="AR641" s="189"/>
      <c r="AS641" s="189"/>
      <c r="AT641" s="189"/>
      <c r="AU641" s="190"/>
      <c r="AV641" s="190"/>
      <c r="AW641" s="190"/>
      <c r="AX641" s="190"/>
      <c r="AY641" s="190"/>
      <c r="AZ641" s="189"/>
      <c r="BA641" s="189"/>
      <c r="BB641" s="189"/>
      <c r="BC641" s="189"/>
      <c r="BD641" s="189"/>
      <c r="BE641" s="189"/>
      <c r="BF641" s="189"/>
      <c r="BG641" s="189"/>
      <c r="BH641" s="189"/>
      <c r="BI641" s="190"/>
      <c r="BJ641" s="190"/>
      <c r="BK641" s="190"/>
      <c r="BL641" s="190"/>
      <c r="BM641" s="190"/>
      <c r="BN641" s="190"/>
      <c r="BO641" s="190"/>
      <c r="BP641" s="190"/>
      <c r="BQ641" s="190"/>
      <c r="BR641" s="190"/>
      <c r="BS641" s="190"/>
      <c r="BT641" s="190"/>
      <c r="BU641" s="190"/>
      <c r="BV641" s="190"/>
      <c r="BW641" s="190"/>
      <c r="BX641" s="190"/>
      <c r="BY641" s="190"/>
      <c r="BZ641" s="190"/>
      <c r="CA641" s="189"/>
      <c r="CB641" s="15"/>
    </row>
    <row r="642" spans="1:80" ht="15" x14ac:dyDescent="0.25">
      <c r="A642" s="167"/>
      <c r="B642" s="642"/>
      <c r="C642" s="642"/>
      <c r="D642" s="179"/>
      <c r="E642" s="169"/>
      <c r="F642" s="169"/>
      <c r="G642" s="187"/>
      <c r="H642" s="187"/>
      <c r="I642" s="187"/>
      <c r="J642" s="187"/>
      <c r="K642" s="187"/>
      <c r="L642" s="647"/>
      <c r="M642" s="646">
        <v>33766</v>
      </c>
      <c r="N642" s="585">
        <v>4.33</v>
      </c>
      <c r="O642" s="585">
        <v>5.0049999999999997E-2</v>
      </c>
      <c r="P642" s="175">
        <v>0</v>
      </c>
      <c r="Q642" s="175">
        <v>0</v>
      </c>
      <c r="R642" s="175">
        <v>5.1999999999999995E-4</v>
      </c>
      <c r="S642" s="175">
        <v>5.9500000000000004E-3</v>
      </c>
      <c r="T642" s="175">
        <v>1.0580000000000001E-2</v>
      </c>
      <c r="U642" s="175">
        <v>1.295E-2</v>
      </c>
      <c r="V642" s="706">
        <v>2.0049999999999998E-2</v>
      </c>
      <c r="W642" s="717"/>
      <c r="X642" s="713"/>
      <c r="Y642" s="718"/>
      <c r="Z642" s="709">
        <v>20</v>
      </c>
      <c r="AA642" s="175"/>
      <c r="AB642" s="200"/>
      <c r="AC642" s="205">
        <v>1.7000000000000001E-2</v>
      </c>
      <c r="AD642" s="175">
        <v>7.2</v>
      </c>
      <c r="AE642" s="175">
        <v>0</v>
      </c>
      <c r="AF642" s="186">
        <f t="shared" si="11"/>
        <v>0</v>
      </c>
      <c r="AG642" s="175">
        <v>0</v>
      </c>
      <c r="AH642" s="334"/>
      <c r="AI642" s="188"/>
      <c r="AJ642" s="188"/>
      <c r="AK642" s="188"/>
      <c r="AL642" s="189"/>
      <c r="AM642" s="189"/>
      <c r="AN642" s="189"/>
      <c r="AO642" s="189"/>
      <c r="AP642" s="189"/>
      <c r="AQ642" s="189"/>
      <c r="AR642" s="189"/>
      <c r="AS642" s="189"/>
      <c r="AT642" s="189"/>
      <c r="AU642" s="190"/>
      <c r="AV642" s="190"/>
      <c r="AW642" s="190"/>
      <c r="AX642" s="190"/>
      <c r="AY642" s="190"/>
      <c r="AZ642" s="189"/>
      <c r="BA642" s="189"/>
      <c r="BB642" s="189"/>
      <c r="BC642" s="189"/>
      <c r="BD642" s="189"/>
      <c r="BE642" s="189"/>
      <c r="BF642" s="189"/>
      <c r="BG642" s="189"/>
      <c r="BH642" s="189"/>
      <c r="BI642" s="190"/>
      <c r="BJ642" s="190"/>
      <c r="BK642" s="190"/>
      <c r="BL642" s="190"/>
      <c r="BM642" s="190"/>
      <c r="BN642" s="190"/>
      <c r="BO642" s="190"/>
      <c r="BP642" s="190"/>
      <c r="BQ642" s="190"/>
      <c r="BR642" s="190"/>
      <c r="BS642" s="190"/>
      <c r="BT642" s="190"/>
      <c r="BU642" s="190"/>
      <c r="BV642" s="190"/>
      <c r="BW642" s="190"/>
      <c r="BX642" s="190"/>
      <c r="BY642" s="190"/>
      <c r="BZ642" s="190"/>
      <c r="CA642" s="189"/>
      <c r="CB642" s="15"/>
    </row>
    <row r="643" spans="1:80" ht="15" x14ac:dyDescent="0.25">
      <c r="A643" s="167"/>
      <c r="B643" s="642"/>
      <c r="C643" s="642"/>
      <c r="D643" s="179"/>
      <c r="E643" s="169"/>
      <c r="F643" s="169"/>
      <c r="G643" s="187"/>
      <c r="H643" s="187"/>
      <c r="I643" s="187"/>
      <c r="J643" s="187"/>
      <c r="K643" s="187"/>
      <c r="L643" s="647"/>
      <c r="M643" s="646">
        <v>33766</v>
      </c>
      <c r="N643" s="585">
        <v>4.1100000000000003</v>
      </c>
      <c r="O643" s="585">
        <v>3.9039999999999998E-2</v>
      </c>
      <c r="P643" s="175">
        <v>0</v>
      </c>
      <c r="Q643" s="175">
        <v>0</v>
      </c>
      <c r="R643" s="175">
        <v>3.9399999999999999E-3</v>
      </c>
      <c r="S643" s="175">
        <v>4.4600000000000004E-3</v>
      </c>
      <c r="T643" s="175">
        <v>5.64E-3</v>
      </c>
      <c r="U643" s="175">
        <v>7.5300000000000002E-3</v>
      </c>
      <c r="V643" s="706">
        <v>1.7469999999999999E-2</v>
      </c>
      <c r="W643" s="717"/>
      <c r="X643" s="713"/>
      <c r="Y643" s="718"/>
      <c r="Z643" s="709">
        <v>30</v>
      </c>
      <c r="AA643" s="175"/>
      <c r="AB643" s="200"/>
      <c r="AC643" s="205">
        <v>1.6E-2</v>
      </c>
      <c r="AD643" s="175">
        <v>7.2</v>
      </c>
      <c r="AE643" s="175">
        <v>0.4</v>
      </c>
      <c r="AF643" s="186">
        <f t="shared" si="11"/>
        <v>2.8800000000000003</v>
      </c>
      <c r="AG643" s="175">
        <v>1.42</v>
      </c>
      <c r="AH643" s="334"/>
      <c r="AI643" s="188"/>
      <c r="AJ643" s="188"/>
      <c r="AK643" s="188"/>
      <c r="AL643" s="189"/>
      <c r="AM643" s="189"/>
      <c r="AN643" s="189"/>
      <c r="AO643" s="189"/>
      <c r="AP643" s="189"/>
      <c r="AQ643" s="189"/>
      <c r="AR643" s="189"/>
      <c r="AS643" s="189"/>
      <c r="AT643" s="189"/>
      <c r="AU643" s="190"/>
      <c r="AV643" s="190"/>
      <c r="AW643" s="190"/>
      <c r="AX643" s="190"/>
      <c r="AY643" s="190"/>
      <c r="AZ643" s="189"/>
      <c r="BA643" s="189"/>
      <c r="BB643" s="189"/>
      <c r="BC643" s="189"/>
      <c r="BD643" s="189"/>
      <c r="BE643" s="189"/>
      <c r="BF643" s="189"/>
      <c r="BG643" s="189"/>
      <c r="BH643" s="189"/>
      <c r="BI643" s="190"/>
      <c r="BJ643" s="190"/>
      <c r="BK643" s="190"/>
      <c r="BL643" s="190"/>
      <c r="BM643" s="190"/>
      <c r="BN643" s="190"/>
      <c r="BO643" s="190"/>
      <c r="BP643" s="190"/>
      <c r="BQ643" s="190"/>
      <c r="BR643" s="190"/>
      <c r="BS643" s="190"/>
      <c r="BT643" s="190"/>
      <c r="BU643" s="190"/>
      <c r="BV643" s="190"/>
      <c r="BW643" s="190"/>
      <c r="BX643" s="190"/>
      <c r="BY643" s="190"/>
      <c r="BZ643" s="190"/>
      <c r="CA643" s="189"/>
      <c r="CB643" s="15"/>
    </row>
    <row r="644" spans="1:80" ht="15" x14ac:dyDescent="0.25">
      <c r="A644" s="167"/>
      <c r="B644" s="642"/>
      <c r="C644" s="642"/>
      <c r="D644" s="179"/>
      <c r="E644" s="169"/>
      <c r="F644" s="169"/>
      <c r="G644" s="187"/>
      <c r="H644" s="187"/>
      <c r="I644" s="187"/>
      <c r="J644" s="187"/>
      <c r="K644" s="187"/>
      <c r="L644" s="647"/>
      <c r="M644" s="646">
        <v>33767</v>
      </c>
      <c r="N644" s="585">
        <v>3.88</v>
      </c>
      <c r="O644" s="585">
        <v>9.0480000000000005E-2</v>
      </c>
      <c r="P644" s="175">
        <v>0</v>
      </c>
      <c r="Q644" s="175">
        <v>0</v>
      </c>
      <c r="R644" s="175">
        <v>1.0919999999999999E-2</v>
      </c>
      <c r="S644" s="175">
        <v>1.9E-2</v>
      </c>
      <c r="T644" s="175">
        <v>1.788E-2</v>
      </c>
      <c r="U644" s="175">
        <v>1.7840000000000002E-2</v>
      </c>
      <c r="V644" s="706">
        <v>2.4840000000000001E-2</v>
      </c>
      <c r="W644" s="717"/>
      <c r="X644" s="713"/>
      <c r="Y644" s="718"/>
      <c r="Z644" s="709">
        <v>25</v>
      </c>
      <c r="AA644" s="175"/>
      <c r="AB644" s="200"/>
      <c r="AC644" s="205">
        <v>1.9E-2</v>
      </c>
      <c r="AD644" s="175">
        <v>7.2</v>
      </c>
      <c r="AE644" s="175">
        <v>0.38</v>
      </c>
      <c r="AF644" s="186">
        <f t="shared" si="11"/>
        <v>2.7360000000000002</v>
      </c>
      <c r="AG644" s="175">
        <v>1.42</v>
      </c>
      <c r="AH644" s="334"/>
      <c r="AI644" s="188"/>
      <c r="AJ644" s="188"/>
      <c r="AK644" s="188"/>
      <c r="AL644" s="189"/>
      <c r="AM644" s="189"/>
      <c r="AN644" s="189"/>
      <c r="AO644" s="189"/>
      <c r="AP644" s="189"/>
      <c r="AQ644" s="189"/>
      <c r="AR644" s="189"/>
      <c r="AS644" s="189"/>
      <c r="AT644" s="189"/>
      <c r="AU644" s="190"/>
      <c r="AV644" s="190"/>
      <c r="AW644" s="190"/>
      <c r="AX644" s="190"/>
      <c r="AY644" s="190"/>
      <c r="AZ644" s="189"/>
      <c r="BA644" s="189"/>
      <c r="BB644" s="189"/>
      <c r="BC644" s="189"/>
      <c r="BD644" s="189"/>
      <c r="BE644" s="189"/>
      <c r="BF644" s="189"/>
      <c r="BG644" s="189"/>
      <c r="BH644" s="189"/>
      <c r="BI644" s="190"/>
      <c r="BJ644" s="190"/>
      <c r="BK644" s="190"/>
      <c r="BL644" s="190"/>
      <c r="BM644" s="190"/>
      <c r="BN644" s="190"/>
      <c r="BO644" s="190"/>
      <c r="BP644" s="190"/>
      <c r="BQ644" s="190"/>
      <c r="BR644" s="190"/>
      <c r="BS644" s="190"/>
      <c r="BT644" s="190"/>
      <c r="BU644" s="190"/>
      <c r="BV644" s="190"/>
      <c r="BW644" s="190"/>
      <c r="BX644" s="190"/>
      <c r="BY644" s="190"/>
      <c r="BZ644" s="190"/>
      <c r="CA644" s="189"/>
      <c r="CB644" s="15"/>
    </row>
    <row r="645" spans="1:80" ht="15" x14ac:dyDescent="0.25">
      <c r="A645" s="167"/>
      <c r="B645" s="642"/>
      <c r="C645" s="642"/>
      <c r="D645" s="179"/>
      <c r="E645" s="169"/>
      <c r="F645" s="169"/>
      <c r="G645" s="187"/>
      <c r="H645" s="187"/>
      <c r="I645" s="187"/>
      <c r="J645" s="187"/>
      <c r="K645" s="187"/>
      <c r="L645" s="647"/>
      <c r="M645" s="646">
        <v>33767</v>
      </c>
      <c r="N645" s="585">
        <v>3.74</v>
      </c>
      <c r="O645" s="585">
        <v>4.052E-2</v>
      </c>
      <c r="P645" s="175">
        <v>0</v>
      </c>
      <c r="Q645" s="175">
        <v>0</v>
      </c>
      <c r="R645" s="175">
        <v>4.3299999999999996E-3</v>
      </c>
      <c r="S645" s="175">
        <v>5.1200000000000004E-3</v>
      </c>
      <c r="T645" s="175">
        <v>7.5300000000000002E-3</v>
      </c>
      <c r="U645" s="175">
        <v>8.5299999999999994E-3</v>
      </c>
      <c r="V645" s="706">
        <v>1.502E-2</v>
      </c>
      <c r="W645" s="717"/>
      <c r="X645" s="713"/>
      <c r="Y645" s="718"/>
      <c r="Z645" s="709">
        <v>29</v>
      </c>
      <c r="AA645" s="175"/>
      <c r="AB645" s="200"/>
      <c r="AC645" s="205">
        <v>1.9E-2</v>
      </c>
      <c r="AD645" s="175">
        <v>7.1</v>
      </c>
      <c r="AE645" s="175">
        <v>0.37</v>
      </c>
      <c r="AF645" s="186">
        <f t="shared" si="11"/>
        <v>2.6269999999999998</v>
      </c>
      <c r="AG645" s="175">
        <v>1.38</v>
      </c>
      <c r="AH645" s="334"/>
      <c r="AI645" s="188"/>
      <c r="AJ645" s="188"/>
      <c r="AK645" s="188"/>
      <c r="AL645" s="189"/>
      <c r="AM645" s="189"/>
      <c r="AN645" s="189"/>
      <c r="AO645" s="189"/>
      <c r="AP645" s="189"/>
      <c r="AQ645" s="189"/>
      <c r="AR645" s="189"/>
      <c r="AS645" s="189"/>
      <c r="AT645" s="189"/>
      <c r="AU645" s="190"/>
      <c r="AV645" s="190"/>
      <c r="AW645" s="190"/>
      <c r="AX645" s="190"/>
      <c r="AY645" s="190"/>
      <c r="AZ645" s="189"/>
      <c r="BA645" s="189"/>
      <c r="BB645" s="189"/>
      <c r="BC645" s="189"/>
      <c r="BD645" s="189"/>
      <c r="BE645" s="189"/>
      <c r="BF645" s="189"/>
      <c r="BG645" s="189"/>
      <c r="BH645" s="189"/>
      <c r="BI645" s="190"/>
      <c r="BJ645" s="190"/>
      <c r="BK645" s="190"/>
      <c r="BL645" s="190"/>
      <c r="BM645" s="190"/>
      <c r="BN645" s="190"/>
      <c r="BO645" s="190"/>
      <c r="BP645" s="190"/>
      <c r="BQ645" s="190"/>
      <c r="BR645" s="190"/>
      <c r="BS645" s="190"/>
      <c r="BT645" s="190"/>
      <c r="BU645" s="190"/>
      <c r="BV645" s="190"/>
      <c r="BW645" s="190"/>
      <c r="BX645" s="190"/>
      <c r="BY645" s="190"/>
      <c r="BZ645" s="190"/>
      <c r="CA645" s="189"/>
      <c r="CB645" s="15"/>
    </row>
    <row r="646" spans="1:80" ht="15" x14ac:dyDescent="0.25">
      <c r="A646" s="167"/>
      <c r="B646" s="642"/>
      <c r="C646" s="642"/>
      <c r="D646" s="179"/>
      <c r="E646" s="169"/>
      <c r="F646" s="169"/>
      <c r="G646" s="187"/>
      <c r="H646" s="187"/>
      <c r="I646" s="187"/>
      <c r="J646" s="187"/>
      <c r="K646" s="187"/>
      <c r="L646" s="647"/>
      <c r="M646" s="646">
        <v>33767</v>
      </c>
      <c r="N646" s="585">
        <v>4.1100000000000003</v>
      </c>
      <c r="O646" s="585">
        <v>5.8810000000000001E-2</v>
      </c>
      <c r="P646" s="175">
        <v>0</v>
      </c>
      <c r="Q646" s="175">
        <v>3.7690000000000001E-2</v>
      </c>
      <c r="R646" s="175">
        <v>3.6000000000000002E-4</v>
      </c>
      <c r="S646" s="175">
        <v>2.14E-3</v>
      </c>
      <c r="T646" s="175">
        <v>5.2300000000000003E-3</v>
      </c>
      <c r="U646" s="175">
        <v>5.2199999999999998E-3</v>
      </c>
      <c r="V646" s="706">
        <v>8.1799999999999998E-3</v>
      </c>
      <c r="W646" s="717"/>
      <c r="X646" s="713"/>
      <c r="Y646" s="718"/>
      <c r="Z646" s="709">
        <v>73</v>
      </c>
      <c r="AA646" s="175"/>
      <c r="AB646" s="200"/>
      <c r="AC646" s="205">
        <v>0.02</v>
      </c>
      <c r="AD646" s="175">
        <v>7</v>
      </c>
      <c r="AE646" s="175">
        <v>0.4</v>
      </c>
      <c r="AF646" s="186">
        <f t="shared" si="11"/>
        <v>2.8000000000000003</v>
      </c>
      <c r="AG646" s="175">
        <v>1.48</v>
      </c>
      <c r="AH646" s="334"/>
      <c r="AI646" s="188"/>
      <c r="AJ646" s="188"/>
      <c r="AK646" s="188"/>
      <c r="AL646" s="189"/>
      <c r="AM646" s="189"/>
      <c r="AN646" s="189"/>
      <c r="AO646" s="189"/>
      <c r="AP646" s="189"/>
      <c r="AQ646" s="189"/>
      <c r="AR646" s="189"/>
      <c r="AS646" s="189"/>
      <c r="AT646" s="189"/>
      <c r="AU646" s="190"/>
      <c r="AV646" s="190"/>
      <c r="AW646" s="190"/>
      <c r="AX646" s="190"/>
      <c r="AY646" s="190"/>
      <c r="AZ646" s="189"/>
      <c r="BA646" s="189"/>
      <c r="BB646" s="189"/>
      <c r="BC646" s="189"/>
      <c r="BD646" s="189"/>
      <c r="BE646" s="189"/>
      <c r="BF646" s="189"/>
      <c r="BG646" s="189"/>
      <c r="BH646" s="189"/>
      <c r="BI646" s="190"/>
      <c r="BJ646" s="190"/>
      <c r="BK646" s="190"/>
      <c r="BL646" s="190"/>
      <c r="BM646" s="190"/>
      <c r="BN646" s="190"/>
      <c r="BO646" s="190"/>
      <c r="BP646" s="190"/>
      <c r="BQ646" s="190"/>
      <c r="BR646" s="190"/>
      <c r="BS646" s="190"/>
      <c r="BT646" s="190"/>
      <c r="BU646" s="190"/>
      <c r="BV646" s="190"/>
      <c r="BW646" s="190"/>
      <c r="BX646" s="190"/>
      <c r="BY646" s="190"/>
      <c r="BZ646" s="190"/>
      <c r="CA646" s="189"/>
      <c r="CB646" s="15"/>
    </row>
    <row r="647" spans="1:80" ht="15" x14ac:dyDescent="0.25">
      <c r="A647" s="167"/>
      <c r="B647" s="642"/>
      <c r="C647" s="642"/>
      <c r="D647" s="179"/>
      <c r="E647" s="169"/>
      <c r="F647" s="169"/>
      <c r="G647" s="187"/>
      <c r="H647" s="187"/>
      <c r="I647" s="187"/>
      <c r="J647" s="187"/>
      <c r="K647" s="187"/>
      <c r="L647" s="647"/>
      <c r="M647" s="646">
        <v>33767</v>
      </c>
      <c r="N647" s="585">
        <v>4.6500000000000004</v>
      </c>
      <c r="O647" s="585">
        <v>3.4000000000000002E-2</v>
      </c>
      <c r="P647" s="175">
        <v>0</v>
      </c>
      <c r="Q647" s="175">
        <v>3.0500000000000002E-3</v>
      </c>
      <c r="R647" s="175">
        <v>9.1E-4</v>
      </c>
      <c r="S647" s="175">
        <v>3.5599999999999998E-3</v>
      </c>
      <c r="T647" s="175">
        <v>4.7499999999999999E-3</v>
      </c>
      <c r="U647" s="175">
        <v>5.62E-3</v>
      </c>
      <c r="V647" s="706">
        <v>1.6109999999999999E-2</v>
      </c>
      <c r="W647" s="717"/>
      <c r="X647" s="713"/>
      <c r="Y647" s="718"/>
      <c r="Z647" s="709">
        <v>36</v>
      </c>
      <c r="AA647" s="175"/>
      <c r="AB647" s="200"/>
      <c r="AC647" s="205">
        <v>1.7999999999999999E-2</v>
      </c>
      <c r="AD647" s="175">
        <v>7.1</v>
      </c>
      <c r="AE647" s="175">
        <v>0.42</v>
      </c>
      <c r="AF647" s="186">
        <f t="shared" si="11"/>
        <v>2.9819999999999998</v>
      </c>
      <c r="AG647" s="175">
        <v>1.55</v>
      </c>
      <c r="AH647" s="334"/>
      <c r="AI647" s="188"/>
      <c r="AJ647" s="188"/>
      <c r="AK647" s="188"/>
      <c r="AL647" s="189"/>
      <c r="AM647" s="189"/>
      <c r="AN647" s="189"/>
      <c r="AO647" s="189"/>
      <c r="AP647" s="189"/>
      <c r="AQ647" s="189"/>
      <c r="AR647" s="189"/>
      <c r="AS647" s="189"/>
      <c r="AT647" s="189"/>
      <c r="AU647" s="190"/>
      <c r="AV647" s="190"/>
      <c r="AW647" s="190"/>
      <c r="AX647" s="190"/>
      <c r="AY647" s="190"/>
      <c r="AZ647" s="189"/>
      <c r="BA647" s="189"/>
      <c r="BB647" s="189"/>
      <c r="BC647" s="189"/>
      <c r="BD647" s="189"/>
      <c r="BE647" s="189"/>
      <c r="BF647" s="189"/>
      <c r="BG647" s="189"/>
      <c r="BH647" s="189"/>
      <c r="BI647" s="190"/>
      <c r="BJ647" s="190"/>
      <c r="BK647" s="190"/>
      <c r="BL647" s="190"/>
      <c r="BM647" s="190"/>
      <c r="BN647" s="190"/>
      <c r="BO647" s="190"/>
      <c r="BP647" s="190"/>
      <c r="BQ647" s="190"/>
      <c r="BR647" s="190"/>
      <c r="BS647" s="190"/>
      <c r="BT647" s="190"/>
      <c r="BU647" s="190"/>
      <c r="BV647" s="190"/>
      <c r="BW647" s="190"/>
      <c r="BX647" s="190"/>
      <c r="BY647" s="190"/>
      <c r="BZ647" s="190"/>
      <c r="CA647" s="189"/>
      <c r="CB647" s="15"/>
    </row>
    <row r="648" spans="1:80" ht="15" x14ac:dyDescent="0.25">
      <c r="A648" s="167"/>
      <c r="B648" s="642"/>
      <c r="C648" s="642"/>
      <c r="D648" s="179"/>
      <c r="E648" s="169"/>
      <c r="F648" s="169"/>
      <c r="G648" s="187"/>
      <c r="H648" s="187"/>
      <c r="I648" s="187"/>
      <c r="J648" s="187"/>
      <c r="K648" s="187"/>
      <c r="L648" s="647"/>
      <c r="M648" s="646">
        <v>33767</v>
      </c>
      <c r="N648" s="585">
        <v>4.18</v>
      </c>
      <c r="O648" s="585">
        <v>8.1890000000000004E-2</v>
      </c>
      <c r="P648" s="175">
        <v>0</v>
      </c>
      <c r="Q648" s="175">
        <v>0</v>
      </c>
      <c r="R648" s="175">
        <v>0</v>
      </c>
      <c r="S648" s="175">
        <v>7.5199999999999998E-3</v>
      </c>
      <c r="T648" s="175">
        <v>1.8079999999999999E-2</v>
      </c>
      <c r="U648" s="175">
        <v>2.2200000000000001E-2</v>
      </c>
      <c r="V648" s="706">
        <v>3.4090000000000002E-2</v>
      </c>
      <c r="W648" s="717"/>
      <c r="X648" s="713"/>
      <c r="Y648" s="718"/>
      <c r="Z648" s="709">
        <v>16</v>
      </c>
      <c r="AA648" s="175"/>
      <c r="AB648" s="200"/>
      <c r="AC648" s="205">
        <v>1.7999999999999999E-2</v>
      </c>
      <c r="AD648" s="175">
        <v>7.2</v>
      </c>
      <c r="AE648" s="175">
        <v>0.43</v>
      </c>
      <c r="AF648" s="186">
        <f t="shared" si="11"/>
        <v>3.0960000000000001</v>
      </c>
      <c r="AG648" s="175">
        <v>1.54</v>
      </c>
      <c r="AH648" s="334"/>
      <c r="AI648" s="188"/>
      <c r="AJ648" s="188"/>
      <c r="AK648" s="188"/>
      <c r="AL648" s="189"/>
      <c r="AM648" s="189"/>
      <c r="AN648" s="189"/>
      <c r="AO648" s="189"/>
      <c r="AP648" s="189"/>
      <c r="AQ648" s="189"/>
      <c r="AR648" s="189"/>
      <c r="AS648" s="189"/>
      <c r="AT648" s="189"/>
      <c r="AU648" s="190"/>
      <c r="AV648" s="190"/>
      <c r="AW648" s="190"/>
      <c r="AX648" s="190"/>
      <c r="AY648" s="190"/>
      <c r="AZ648" s="189"/>
      <c r="BA648" s="189"/>
      <c r="BB648" s="189"/>
      <c r="BC648" s="189"/>
      <c r="BD648" s="189"/>
      <c r="BE648" s="189"/>
      <c r="BF648" s="189"/>
      <c r="BG648" s="189"/>
      <c r="BH648" s="189"/>
      <c r="BI648" s="190"/>
      <c r="BJ648" s="190"/>
      <c r="BK648" s="190"/>
      <c r="BL648" s="190"/>
      <c r="BM648" s="190"/>
      <c r="BN648" s="190"/>
      <c r="BO648" s="190"/>
      <c r="BP648" s="190"/>
      <c r="BQ648" s="190"/>
      <c r="BR648" s="190"/>
      <c r="BS648" s="190"/>
      <c r="BT648" s="190"/>
      <c r="BU648" s="190"/>
      <c r="BV648" s="190"/>
      <c r="BW648" s="190"/>
      <c r="BX648" s="190"/>
      <c r="BY648" s="190"/>
      <c r="BZ648" s="190"/>
      <c r="CA648" s="189"/>
      <c r="CB648" s="15"/>
    </row>
    <row r="649" spans="1:80" ht="15" x14ac:dyDescent="0.25">
      <c r="A649" s="167"/>
      <c r="B649" s="642"/>
      <c r="C649" s="642"/>
      <c r="D649" s="179"/>
      <c r="E649" s="169"/>
      <c r="F649" s="169"/>
      <c r="G649" s="187"/>
      <c r="H649" s="187"/>
      <c r="I649" s="187"/>
      <c r="J649" s="187"/>
      <c r="K649" s="187"/>
      <c r="L649" s="647"/>
      <c r="M649" s="646">
        <v>33768</v>
      </c>
      <c r="N649" s="585">
        <v>4.18</v>
      </c>
      <c r="O649" s="585">
        <v>4.9529999999999998E-2</v>
      </c>
      <c r="P649" s="175">
        <v>0</v>
      </c>
      <c r="Q649" s="175">
        <v>0</v>
      </c>
      <c r="R649" s="175">
        <v>7.7400000000000004E-3</v>
      </c>
      <c r="S649" s="175">
        <v>8.3000000000000001E-3</v>
      </c>
      <c r="T649" s="175">
        <v>8.0499999999999999E-3</v>
      </c>
      <c r="U649" s="175">
        <v>8.6E-3</v>
      </c>
      <c r="V649" s="706">
        <v>1.685E-2</v>
      </c>
      <c r="W649" s="717"/>
      <c r="X649" s="713"/>
      <c r="Y649" s="718"/>
      <c r="Z649" s="709">
        <v>33</v>
      </c>
      <c r="AA649" s="175"/>
      <c r="AB649" s="200"/>
      <c r="AC649" s="205">
        <v>1.7999999999999999E-2</v>
      </c>
      <c r="AD649" s="175">
        <v>7.4</v>
      </c>
      <c r="AE649" s="175">
        <v>0.36</v>
      </c>
      <c r="AF649" s="186">
        <f t="shared" si="11"/>
        <v>2.6640000000000001</v>
      </c>
      <c r="AG649" s="175">
        <v>1.46</v>
      </c>
      <c r="AH649" s="334"/>
      <c r="AI649" s="188"/>
      <c r="AJ649" s="188"/>
      <c r="AK649" s="188"/>
      <c r="AL649" s="189"/>
      <c r="AM649" s="189"/>
      <c r="AN649" s="189"/>
      <c r="AO649" s="189"/>
      <c r="AP649" s="189"/>
      <c r="AQ649" s="189"/>
      <c r="AR649" s="189"/>
      <c r="AS649" s="189"/>
      <c r="AT649" s="189"/>
      <c r="AU649" s="190"/>
      <c r="AV649" s="190"/>
      <c r="AW649" s="190"/>
      <c r="AX649" s="190"/>
      <c r="AY649" s="190"/>
      <c r="AZ649" s="189"/>
      <c r="BA649" s="189"/>
      <c r="BB649" s="189"/>
      <c r="BC649" s="189"/>
      <c r="BD649" s="189"/>
      <c r="BE649" s="189"/>
      <c r="BF649" s="189"/>
      <c r="BG649" s="189"/>
      <c r="BH649" s="189"/>
      <c r="BI649" s="190"/>
      <c r="BJ649" s="190"/>
      <c r="BK649" s="190"/>
      <c r="BL649" s="190"/>
      <c r="BM649" s="190"/>
      <c r="BN649" s="190"/>
      <c r="BO649" s="190"/>
      <c r="BP649" s="190"/>
      <c r="BQ649" s="190"/>
      <c r="BR649" s="190"/>
      <c r="BS649" s="190"/>
      <c r="BT649" s="190"/>
      <c r="BU649" s="190"/>
      <c r="BV649" s="190"/>
      <c r="BW649" s="190"/>
      <c r="BX649" s="190"/>
      <c r="BY649" s="190"/>
      <c r="BZ649" s="190"/>
      <c r="CA649" s="189"/>
      <c r="CB649" s="15"/>
    </row>
    <row r="650" spans="1:80" ht="15" x14ac:dyDescent="0.25">
      <c r="A650" s="167"/>
      <c r="B650" s="642"/>
      <c r="C650" s="642"/>
      <c r="D650" s="179"/>
      <c r="E650" s="169"/>
      <c r="F650" s="169"/>
      <c r="G650" s="187"/>
      <c r="H650" s="187"/>
      <c r="I650" s="187"/>
      <c r="J650" s="187"/>
      <c r="K650" s="187"/>
      <c r="L650" s="647"/>
      <c r="M650" s="646">
        <v>33768</v>
      </c>
      <c r="N650" s="585">
        <v>3.74</v>
      </c>
      <c r="O650" s="585">
        <v>8.1710000000000005E-2</v>
      </c>
      <c r="P650" s="175">
        <v>0</v>
      </c>
      <c r="Q650" s="175">
        <v>1.516E-2</v>
      </c>
      <c r="R650" s="175">
        <v>2.2300000000000002E-3</v>
      </c>
      <c r="S650" s="175">
        <v>1.0200000000000001E-2</v>
      </c>
      <c r="T650" s="175">
        <v>1.209E-2</v>
      </c>
      <c r="U650" s="175">
        <v>1.4149999999999999E-2</v>
      </c>
      <c r="V650" s="706">
        <v>2.7879999999999999E-2</v>
      </c>
      <c r="W650" s="717"/>
      <c r="X650" s="713"/>
      <c r="Y650" s="718"/>
      <c r="Z650" s="709">
        <v>52</v>
      </c>
      <c r="AA650" s="175"/>
      <c r="AB650" s="200"/>
      <c r="AC650" s="205">
        <v>1.9E-2</v>
      </c>
      <c r="AD650" s="175">
        <v>7.3</v>
      </c>
      <c r="AE650" s="175">
        <v>0.36</v>
      </c>
      <c r="AF650" s="186">
        <f t="shared" si="11"/>
        <v>2.6279999999999997</v>
      </c>
      <c r="AG650" s="175">
        <v>1.44</v>
      </c>
      <c r="AH650" s="334"/>
      <c r="AI650" s="188"/>
      <c r="AJ650" s="188"/>
      <c r="AK650" s="188"/>
      <c r="AL650" s="189"/>
      <c r="AM650" s="189"/>
      <c r="AN650" s="189"/>
      <c r="AO650" s="189"/>
      <c r="AP650" s="189"/>
      <c r="AQ650" s="189"/>
      <c r="AR650" s="189"/>
      <c r="AS650" s="189"/>
      <c r="AT650" s="189"/>
      <c r="AU650" s="190"/>
      <c r="AV650" s="190"/>
      <c r="AW650" s="190"/>
      <c r="AX650" s="190"/>
      <c r="AY650" s="190"/>
      <c r="AZ650" s="189"/>
      <c r="BA650" s="189"/>
      <c r="BB650" s="189"/>
      <c r="BC650" s="189"/>
      <c r="BD650" s="189"/>
      <c r="BE650" s="189"/>
      <c r="BF650" s="189"/>
      <c r="BG650" s="189"/>
      <c r="BH650" s="189"/>
      <c r="BI650" s="190"/>
      <c r="BJ650" s="190"/>
      <c r="BK650" s="190"/>
      <c r="BL650" s="190"/>
      <c r="BM650" s="190"/>
      <c r="BN650" s="190"/>
      <c r="BO650" s="190"/>
      <c r="BP650" s="190"/>
      <c r="BQ650" s="190"/>
      <c r="BR650" s="190"/>
      <c r="BS650" s="190"/>
      <c r="BT650" s="190"/>
      <c r="BU650" s="190"/>
      <c r="BV650" s="190"/>
      <c r="BW650" s="190"/>
      <c r="BX650" s="190"/>
      <c r="BY650" s="190"/>
      <c r="BZ650" s="190"/>
      <c r="CA650" s="189"/>
      <c r="CB650" s="15"/>
    </row>
    <row r="651" spans="1:80" ht="15" x14ac:dyDescent="0.25">
      <c r="A651" s="167"/>
      <c r="B651" s="642"/>
      <c r="C651" s="642"/>
      <c r="D651" s="179"/>
      <c r="E651" s="169"/>
      <c r="F651" s="169"/>
      <c r="G651" s="187"/>
      <c r="H651" s="187"/>
      <c r="I651" s="187"/>
      <c r="J651" s="187"/>
      <c r="K651" s="187"/>
      <c r="L651" s="647"/>
      <c r="M651" s="646">
        <v>33768</v>
      </c>
      <c r="N651" s="585">
        <v>3.88</v>
      </c>
      <c r="O651" s="585">
        <v>4.7499999999999999E-3</v>
      </c>
      <c r="P651" s="175">
        <v>0</v>
      </c>
      <c r="Q651" s="175">
        <v>0</v>
      </c>
      <c r="R651" s="175">
        <v>0</v>
      </c>
      <c r="S651" s="175">
        <v>2.0000000000000001E-4</v>
      </c>
      <c r="T651" s="175">
        <v>4.0000000000000002E-4</v>
      </c>
      <c r="U651" s="175">
        <v>8.0000000000000004E-4</v>
      </c>
      <c r="V651" s="706">
        <v>3.3500000000000001E-3</v>
      </c>
      <c r="W651" s="717"/>
      <c r="X651" s="713"/>
      <c r="Y651" s="718"/>
      <c r="Z651" s="709">
        <v>14</v>
      </c>
      <c r="AA651" s="175"/>
      <c r="AB651" s="200"/>
      <c r="AC651" s="205">
        <v>1.6E-2</v>
      </c>
      <c r="AD651" s="175">
        <v>6.9</v>
      </c>
      <c r="AE651" s="175">
        <v>0.39</v>
      </c>
      <c r="AF651" s="186">
        <f t="shared" si="11"/>
        <v>2.6910000000000003</v>
      </c>
      <c r="AG651" s="175">
        <v>1.47</v>
      </c>
      <c r="AH651" s="334"/>
      <c r="AI651" s="188"/>
      <c r="AJ651" s="188"/>
      <c r="AK651" s="188"/>
      <c r="AL651" s="189"/>
      <c r="AM651" s="189"/>
      <c r="AN651" s="189"/>
      <c r="AO651" s="189"/>
      <c r="AP651" s="189"/>
      <c r="AQ651" s="189"/>
      <c r="AR651" s="189"/>
      <c r="AS651" s="189"/>
      <c r="AT651" s="189"/>
      <c r="AU651" s="190"/>
      <c r="AV651" s="190"/>
      <c r="AW651" s="190"/>
      <c r="AX651" s="190"/>
      <c r="AY651" s="190"/>
      <c r="AZ651" s="189"/>
      <c r="BA651" s="189"/>
      <c r="BB651" s="189"/>
      <c r="BC651" s="189"/>
      <c r="BD651" s="189"/>
      <c r="BE651" s="189"/>
      <c r="BF651" s="189"/>
      <c r="BG651" s="189"/>
      <c r="BH651" s="189"/>
      <c r="BI651" s="190"/>
      <c r="BJ651" s="190"/>
      <c r="BK651" s="190"/>
      <c r="BL651" s="190"/>
      <c r="BM651" s="190"/>
      <c r="BN651" s="190"/>
      <c r="BO651" s="190"/>
      <c r="BP651" s="190"/>
      <c r="BQ651" s="190"/>
      <c r="BR651" s="190"/>
      <c r="BS651" s="190"/>
      <c r="BT651" s="190"/>
      <c r="BU651" s="190"/>
      <c r="BV651" s="190"/>
      <c r="BW651" s="190"/>
      <c r="BX651" s="190"/>
      <c r="BY651" s="190"/>
      <c r="BZ651" s="190"/>
      <c r="CA651" s="189"/>
      <c r="CB651" s="15"/>
    </row>
    <row r="652" spans="1:80" ht="15" x14ac:dyDescent="0.25">
      <c r="A652" s="167"/>
      <c r="B652" s="642"/>
      <c r="C652" s="642"/>
      <c r="D652" s="179"/>
      <c r="E652" s="169"/>
      <c r="F652" s="169"/>
      <c r="G652" s="187"/>
      <c r="H652" s="187"/>
      <c r="I652" s="187"/>
      <c r="J652" s="187"/>
      <c r="K652" s="187"/>
      <c r="L652" s="647"/>
      <c r="M652" s="646">
        <v>33768</v>
      </c>
      <c r="N652" s="585">
        <v>4.03</v>
      </c>
      <c r="O652" s="585">
        <v>7.6590000000000005E-2</v>
      </c>
      <c r="P652" s="175">
        <v>0</v>
      </c>
      <c r="Q652" s="175">
        <v>0</v>
      </c>
      <c r="R652" s="175">
        <v>8.4499999999999992E-3</v>
      </c>
      <c r="S652" s="175">
        <v>1.4080000000000001E-2</v>
      </c>
      <c r="T652" s="175">
        <v>1.37E-2</v>
      </c>
      <c r="U652" s="175">
        <v>1.4959999999999999E-2</v>
      </c>
      <c r="V652" s="706">
        <v>2.5389999999999999E-2</v>
      </c>
      <c r="W652" s="717"/>
      <c r="X652" s="713"/>
      <c r="Y652" s="718"/>
      <c r="Z652" s="709">
        <v>26</v>
      </c>
      <c r="AA652" s="175"/>
      <c r="AB652" s="200"/>
      <c r="AC652" s="205">
        <v>1.9E-2</v>
      </c>
      <c r="AD652" s="175">
        <v>7.4</v>
      </c>
      <c r="AE652" s="175">
        <v>0.38</v>
      </c>
      <c r="AF652" s="186">
        <f t="shared" si="11"/>
        <v>2.8120000000000003</v>
      </c>
      <c r="AG652" s="175">
        <v>1.56</v>
      </c>
      <c r="AH652" s="334"/>
      <c r="AI652" s="188"/>
      <c r="AJ652" s="188"/>
      <c r="AK652" s="188"/>
      <c r="AL652" s="189"/>
      <c r="AM652" s="189"/>
      <c r="AN652" s="189"/>
      <c r="AO652" s="189"/>
      <c r="AP652" s="189"/>
      <c r="AQ652" s="189"/>
      <c r="AR652" s="189"/>
      <c r="AS652" s="189"/>
      <c r="AT652" s="189"/>
      <c r="AU652" s="190"/>
      <c r="AV652" s="190"/>
      <c r="AW652" s="190"/>
      <c r="AX652" s="190"/>
      <c r="AY652" s="190"/>
      <c r="AZ652" s="189"/>
      <c r="BA652" s="189"/>
      <c r="BB652" s="189"/>
      <c r="BC652" s="189"/>
      <c r="BD652" s="189"/>
      <c r="BE652" s="189"/>
      <c r="BF652" s="189"/>
      <c r="BG652" s="189"/>
      <c r="BH652" s="189"/>
      <c r="BI652" s="190"/>
      <c r="BJ652" s="190"/>
      <c r="BK652" s="190"/>
      <c r="BL652" s="190"/>
      <c r="BM652" s="190"/>
      <c r="BN652" s="190"/>
      <c r="BO652" s="190"/>
      <c r="BP652" s="190"/>
      <c r="BQ652" s="190"/>
      <c r="BR652" s="190"/>
      <c r="BS652" s="190"/>
      <c r="BT652" s="190"/>
      <c r="BU652" s="190"/>
      <c r="BV652" s="190"/>
      <c r="BW652" s="190"/>
      <c r="BX652" s="190"/>
      <c r="BY652" s="190"/>
      <c r="BZ652" s="190"/>
      <c r="CA652" s="189"/>
      <c r="CB652" s="15"/>
    </row>
    <row r="653" spans="1:80" ht="15" x14ac:dyDescent="0.25">
      <c r="A653" s="167"/>
      <c r="B653" s="642"/>
      <c r="C653" s="642"/>
      <c r="D653" s="179"/>
      <c r="E653" s="169"/>
      <c r="F653" s="169"/>
      <c r="G653" s="187"/>
      <c r="H653" s="187"/>
      <c r="I653" s="187"/>
      <c r="J653" s="187"/>
      <c r="K653" s="187"/>
      <c r="L653" s="647"/>
      <c r="M653" s="646">
        <v>33768</v>
      </c>
      <c r="N653" s="585">
        <v>3.96</v>
      </c>
      <c r="O653" s="585">
        <v>4.6260000000000003E-2</v>
      </c>
      <c r="P653" s="175">
        <v>0</v>
      </c>
      <c r="Q653" s="175">
        <v>0</v>
      </c>
      <c r="R653" s="175">
        <v>4.2199999999999998E-3</v>
      </c>
      <c r="S653" s="175">
        <v>6.8999999999999999E-3</v>
      </c>
      <c r="T653" s="175">
        <v>9.41E-3</v>
      </c>
      <c r="U653" s="175">
        <v>9.7300000000000008E-3</v>
      </c>
      <c r="V653" s="706">
        <v>1.6E-2</v>
      </c>
      <c r="W653" s="717"/>
      <c r="X653" s="713"/>
      <c r="Y653" s="718"/>
      <c r="Z653" s="709">
        <v>24</v>
      </c>
      <c r="AA653" s="175"/>
      <c r="AB653" s="200"/>
      <c r="AC653" s="205">
        <v>2.1000000000000001E-2</v>
      </c>
      <c r="AD653" s="175">
        <v>7.35</v>
      </c>
      <c r="AE653" s="175">
        <v>0.41</v>
      </c>
      <c r="AF653" s="186">
        <f t="shared" si="11"/>
        <v>3.0134999999999996</v>
      </c>
      <c r="AG653" s="175">
        <v>1.41</v>
      </c>
      <c r="AH653" s="334"/>
      <c r="AI653" s="188"/>
      <c r="AJ653" s="188"/>
      <c r="AK653" s="188"/>
      <c r="AL653" s="189"/>
      <c r="AM653" s="189"/>
      <c r="AN653" s="189"/>
      <c r="AO653" s="189"/>
      <c r="AP653" s="189"/>
      <c r="AQ653" s="189"/>
      <c r="AR653" s="189"/>
      <c r="AS653" s="189"/>
      <c r="AT653" s="189"/>
      <c r="AU653" s="190"/>
      <c r="AV653" s="190"/>
      <c r="AW653" s="190"/>
      <c r="AX653" s="190"/>
      <c r="AY653" s="190"/>
      <c r="AZ653" s="189"/>
      <c r="BA653" s="189"/>
      <c r="BB653" s="189"/>
      <c r="BC653" s="189"/>
      <c r="BD653" s="189"/>
      <c r="BE653" s="189"/>
      <c r="BF653" s="189"/>
      <c r="BG653" s="189"/>
      <c r="BH653" s="189"/>
      <c r="BI653" s="190"/>
      <c r="BJ653" s="190"/>
      <c r="BK653" s="190"/>
      <c r="BL653" s="190"/>
      <c r="BM653" s="190"/>
      <c r="BN653" s="190"/>
      <c r="BO653" s="190"/>
      <c r="BP653" s="190"/>
      <c r="BQ653" s="190"/>
      <c r="BR653" s="190"/>
      <c r="BS653" s="190"/>
      <c r="BT653" s="190"/>
      <c r="BU653" s="190"/>
      <c r="BV653" s="190"/>
      <c r="BW653" s="190"/>
      <c r="BX653" s="190"/>
      <c r="BY653" s="190"/>
      <c r="BZ653" s="190"/>
      <c r="CA653" s="189"/>
      <c r="CB653" s="15"/>
    </row>
    <row r="654" spans="1:80" ht="15" x14ac:dyDescent="0.25">
      <c r="A654" s="167"/>
      <c r="B654" s="642"/>
      <c r="C654" s="642"/>
      <c r="D654" s="179"/>
      <c r="E654" s="169"/>
      <c r="F654" s="169"/>
      <c r="G654" s="187"/>
      <c r="H654" s="187"/>
      <c r="I654" s="187"/>
      <c r="J654" s="187"/>
      <c r="K654" s="187"/>
      <c r="L654" s="647"/>
      <c r="M654" s="646">
        <v>33769</v>
      </c>
      <c r="N654" s="585">
        <v>3.81</v>
      </c>
      <c r="O654" s="585">
        <v>4.3159999999999997E-2</v>
      </c>
      <c r="P654" s="175">
        <v>0</v>
      </c>
      <c r="Q654" s="175">
        <v>0</v>
      </c>
      <c r="R654" s="175">
        <v>1.74E-3</v>
      </c>
      <c r="S654" s="175">
        <v>9.5499999999999995E-3</v>
      </c>
      <c r="T654" s="175">
        <v>6.5399999999999998E-3</v>
      </c>
      <c r="U654" s="175">
        <v>7.92E-3</v>
      </c>
      <c r="V654" s="706">
        <v>1.7409999999999998E-2</v>
      </c>
      <c r="W654" s="717"/>
      <c r="X654" s="713"/>
      <c r="Y654" s="718"/>
      <c r="Z654" s="709">
        <v>19</v>
      </c>
      <c r="AA654" s="175"/>
      <c r="AB654" s="200"/>
      <c r="AC654" s="205">
        <v>1.6E-2</v>
      </c>
      <c r="AD654" s="175">
        <v>7.15</v>
      </c>
      <c r="AE654" s="175">
        <v>0.41</v>
      </c>
      <c r="AF654" s="186">
        <f t="shared" si="11"/>
        <v>2.9314999999999998</v>
      </c>
      <c r="AG654" s="175">
        <v>1.42</v>
      </c>
      <c r="AH654" s="334"/>
      <c r="AI654" s="188"/>
      <c r="AJ654" s="188"/>
      <c r="AK654" s="188"/>
      <c r="AL654" s="189"/>
      <c r="AM654" s="189"/>
      <c r="AN654" s="189"/>
      <c r="AO654" s="189"/>
      <c r="AP654" s="189"/>
      <c r="AQ654" s="189"/>
      <c r="AR654" s="189"/>
      <c r="AS654" s="189"/>
      <c r="AT654" s="189"/>
      <c r="AU654" s="190"/>
      <c r="AV654" s="190"/>
      <c r="AW654" s="190"/>
      <c r="AX654" s="190"/>
      <c r="AY654" s="190"/>
      <c r="AZ654" s="189"/>
      <c r="BA654" s="189"/>
      <c r="BB654" s="189"/>
      <c r="BC654" s="189"/>
      <c r="BD654" s="189"/>
      <c r="BE654" s="189"/>
      <c r="BF654" s="189"/>
      <c r="BG654" s="189"/>
      <c r="BH654" s="189"/>
      <c r="BI654" s="190"/>
      <c r="BJ654" s="190"/>
      <c r="BK654" s="190"/>
      <c r="BL654" s="190"/>
      <c r="BM654" s="190"/>
      <c r="BN654" s="190"/>
      <c r="BO654" s="190"/>
      <c r="BP654" s="190"/>
      <c r="BQ654" s="190"/>
      <c r="BR654" s="190"/>
      <c r="BS654" s="190"/>
      <c r="BT654" s="190"/>
      <c r="BU654" s="190"/>
      <c r="BV654" s="190"/>
      <c r="BW654" s="190"/>
      <c r="BX654" s="190"/>
      <c r="BY654" s="190"/>
      <c r="BZ654" s="190"/>
      <c r="CA654" s="189"/>
      <c r="CB654" s="15"/>
    </row>
    <row r="655" spans="1:80" ht="15" x14ac:dyDescent="0.25">
      <c r="A655" s="167"/>
      <c r="B655" s="642"/>
      <c r="C655" s="642"/>
      <c r="D655" s="179"/>
      <c r="E655" s="169"/>
      <c r="F655" s="169"/>
      <c r="G655" s="187"/>
      <c r="H655" s="187"/>
      <c r="I655" s="187"/>
      <c r="J655" s="187"/>
      <c r="K655" s="187"/>
      <c r="L655" s="647"/>
      <c r="M655" s="646">
        <v>33769</v>
      </c>
      <c r="N655" s="585">
        <v>3.81</v>
      </c>
      <c r="O655" s="585">
        <v>2.6069999999999999E-2</v>
      </c>
      <c r="P655" s="175">
        <v>0</v>
      </c>
      <c r="Q655" s="175">
        <v>0</v>
      </c>
      <c r="R655" s="175">
        <v>3.7200000000000002E-3</v>
      </c>
      <c r="S655" s="175">
        <v>1.8600000000000001E-3</v>
      </c>
      <c r="T655" s="175">
        <v>2.3800000000000002E-3</v>
      </c>
      <c r="U655" s="175">
        <v>4.4299999999999999E-3</v>
      </c>
      <c r="V655" s="706">
        <v>1.3679999999999999E-2</v>
      </c>
      <c r="W655" s="717"/>
      <c r="X655" s="713"/>
      <c r="Y655" s="718"/>
      <c r="Z655" s="709">
        <v>31</v>
      </c>
      <c r="AA655" s="175"/>
      <c r="AB655" s="200"/>
      <c r="AC655" s="205">
        <v>1.4999999999999999E-2</v>
      </c>
      <c r="AD655" s="175">
        <v>7.1</v>
      </c>
      <c r="AE655" s="175">
        <v>0.38</v>
      </c>
      <c r="AF655" s="186">
        <f t="shared" si="11"/>
        <v>2.698</v>
      </c>
      <c r="AG655" s="175">
        <v>1.47</v>
      </c>
      <c r="AH655" s="334"/>
      <c r="AI655" s="188"/>
      <c r="AJ655" s="188"/>
      <c r="AK655" s="188"/>
      <c r="AL655" s="189"/>
      <c r="AM655" s="189"/>
      <c r="AN655" s="189"/>
      <c r="AO655" s="189"/>
      <c r="AP655" s="189"/>
      <c r="AQ655" s="189"/>
      <c r="AR655" s="189"/>
      <c r="AS655" s="189"/>
      <c r="AT655" s="189"/>
      <c r="AU655" s="190"/>
      <c r="AV655" s="190"/>
      <c r="AW655" s="190"/>
      <c r="AX655" s="190"/>
      <c r="AY655" s="190"/>
      <c r="AZ655" s="189"/>
      <c r="BA655" s="189"/>
      <c r="BB655" s="189"/>
      <c r="BC655" s="189"/>
      <c r="BD655" s="189"/>
      <c r="BE655" s="189"/>
      <c r="BF655" s="189"/>
      <c r="BG655" s="189"/>
      <c r="BH655" s="189"/>
      <c r="BI655" s="190"/>
      <c r="BJ655" s="190"/>
      <c r="BK655" s="190"/>
      <c r="BL655" s="190"/>
      <c r="BM655" s="190"/>
      <c r="BN655" s="190"/>
      <c r="BO655" s="190"/>
      <c r="BP655" s="190"/>
      <c r="BQ655" s="190"/>
      <c r="BR655" s="190"/>
      <c r="BS655" s="190"/>
      <c r="BT655" s="190"/>
      <c r="BU655" s="190"/>
      <c r="BV655" s="190"/>
      <c r="BW655" s="190"/>
      <c r="BX655" s="190"/>
      <c r="BY655" s="190"/>
      <c r="BZ655" s="190"/>
      <c r="CA655" s="189"/>
      <c r="CB655" s="15"/>
    </row>
    <row r="656" spans="1:80" ht="15" x14ac:dyDescent="0.25">
      <c r="A656" s="167"/>
      <c r="B656" s="642"/>
      <c r="C656" s="642"/>
      <c r="D656" s="179"/>
      <c r="E656" s="169"/>
      <c r="F656" s="169"/>
      <c r="G656" s="187"/>
      <c r="H656" s="187"/>
      <c r="I656" s="187"/>
      <c r="J656" s="187"/>
      <c r="K656" s="187"/>
      <c r="L656" s="647"/>
      <c r="M656" s="646">
        <v>33769</v>
      </c>
      <c r="N656" s="585">
        <v>3.74</v>
      </c>
      <c r="O656" s="585">
        <v>6.0879999999999997E-2</v>
      </c>
      <c r="P656" s="175">
        <v>0</v>
      </c>
      <c r="Q656" s="175">
        <v>0</v>
      </c>
      <c r="R656" s="175">
        <v>1.99E-3</v>
      </c>
      <c r="S656" s="175">
        <v>8.1099999999999992E-3</v>
      </c>
      <c r="T656" s="175">
        <v>1.1480000000000001E-2</v>
      </c>
      <c r="U656" s="175">
        <v>1.353E-2</v>
      </c>
      <c r="V656" s="706">
        <v>2.5770000000000001E-2</v>
      </c>
      <c r="W656" s="717"/>
      <c r="X656" s="713"/>
      <c r="Y656" s="718"/>
      <c r="Z656" s="709">
        <v>24</v>
      </c>
      <c r="AA656" s="175"/>
      <c r="AB656" s="200"/>
      <c r="AC656" s="205">
        <v>1.2999999999999999E-2</v>
      </c>
      <c r="AD656" s="175">
        <v>7.2</v>
      </c>
      <c r="AE656" s="175">
        <v>0.38</v>
      </c>
      <c r="AF656" s="186">
        <f t="shared" si="11"/>
        <v>2.7360000000000002</v>
      </c>
      <c r="AG656" s="175">
        <v>1.41</v>
      </c>
      <c r="AH656" s="334"/>
      <c r="AI656" s="188"/>
      <c r="AJ656" s="188"/>
      <c r="AK656" s="188"/>
      <c r="AL656" s="189"/>
      <c r="AM656" s="189"/>
      <c r="AN656" s="189"/>
      <c r="AO656" s="189"/>
      <c r="AP656" s="189"/>
      <c r="AQ656" s="189"/>
      <c r="AR656" s="189"/>
      <c r="AS656" s="189"/>
      <c r="AT656" s="189"/>
      <c r="AU656" s="190"/>
      <c r="AV656" s="190"/>
      <c r="AW656" s="190"/>
      <c r="AX656" s="190"/>
      <c r="AY656" s="190"/>
      <c r="AZ656" s="189"/>
      <c r="BA656" s="189"/>
      <c r="BB656" s="189"/>
      <c r="BC656" s="189"/>
      <c r="BD656" s="189"/>
      <c r="BE656" s="189"/>
      <c r="BF656" s="189"/>
      <c r="BG656" s="189"/>
      <c r="BH656" s="189"/>
      <c r="BI656" s="190"/>
      <c r="BJ656" s="190"/>
      <c r="BK656" s="190"/>
      <c r="BL656" s="190"/>
      <c r="BM656" s="190"/>
      <c r="BN656" s="190"/>
      <c r="BO656" s="190"/>
      <c r="BP656" s="190"/>
      <c r="BQ656" s="190"/>
      <c r="BR656" s="190"/>
      <c r="BS656" s="190"/>
      <c r="BT656" s="190"/>
      <c r="BU656" s="190"/>
      <c r="BV656" s="190"/>
      <c r="BW656" s="190"/>
      <c r="BX656" s="190"/>
      <c r="BY656" s="190"/>
      <c r="BZ656" s="190"/>
      <c r="CA656" s="189"/>
      <c r="CB656" s="15"/>
    </row>
    <row r="657" spans="1:80" ht="15" x14ac:dyDescent="0.25">
      <c r="A657" s="167"/>
      <c r="B657" s="642"/>
      <c r="C657" s="642"/>
      <c r="D657" s="179"/>
      <c r="E657" s="169"/>
      <c r="F657" s="169"/>
      <c r="G657" s="187"/>
      <c r="H657" s="187"/>
      <c r="I657" s="187"/>
      <c r="J657" s="187"/>
      <c r="K657" s="187"/>
      <c r="L657" s="647"/>
      <c r="M657" s="646">
        <v>33769</v>
      </c>
      <c r="N657" s="585">
        <v>4.7300000000000004</v>
      </c>
      <c r="O657" s="585">
        <v>8.8099999999999998E-2</v>
      </c>
      <c r="P657" s="175">
        <v>0</v>
      </c>
      <c r="Q657" s="175">
        <v>2.0719999999999999E-2</v>
      </c>
      <c r="R657" s="175">
        <v>6.4799999999999996E-3</v>
      </c>
      <c r="S657" s="175">
        <v>8.1200000000000005E-3</v>
      </c>
      <c r="T657" s="175">
        <v>7.7499999999999999E-3</v>
      </c>
      <c r="U657" s="175">
        <v>1.18E-2</v>
      </c>
      <c r="V657" s="706">
        <v>3.3230000000000003E-2</v>
      </c>
      <c r="W657" s="717"/>
      <c r="X657" s="713"/>
      <c r="Y657" s="718"/>
      <c r="Z657" s="709">
        <v>66</v>
      </c>
      <c r="AA657" s="175"/>
      <c r="AB657" s="200"/>
      <c r="AC657" s="205">
        <v>0</v>
      </c>
      <c r="AD657" s="175">
        <v>7.3</v>
      </c>
      <c r="AE657" s="175">
        <v>0.44</v>
      </c>
      <c r="AF657" s="186">
        <f t="shared" si="11"/>
        <v>3.2119999999999997</v>
      </c>
      <c r="AG657" s="175">
        <v>1.58</v>
      </c>
      <c r="AH657" s="334"/>
      <c r="AI657" s="188"/>
      <c r="AJ657" s="188"/>
      <c r="AK657" s="188"/>
      <c r="AL657" s="189"/>
      <c r="AM657" s="189"/>
      <c r="AN657" s="189"/>
      <c r="AO657" s="189"/>
      <c r="AP657" s="189"/>
      <c r="AQ657" s="189"/>
      <c r="AR657" s="189"/>
      <c r="AS657" s="189"/>
      <c r="AT657" s="189"/>
      <c r="AU657" s="190"/>
      <c r="AV657" s="190"/>
      <c r="AW657" s="190"/>
      <c r="AX657" s="190"/>
      <c r="AY657" s="190"/>
      <c r="AZ657" s="189"/>
      <c r="BA657" s="189"/>
      <c r="BB657" s="189"/>
      <c r="BC657" s="189"/>
      <c r="BD657" s="189"/>
      <c r="BE657" s="189"/>
      <c r="BF657" s="189"/>
      <c r="BG657" s="189"/>
      <c r="BH657" s="189"/>
      <c r="BI657" s="190"/>
      <c r="BJ657" s="190"/>
      <c r="BK657" s="190"/>
      <c r="BL657" s="190"/>
      <c r="BM657" s="190"/>
      <c r="BN657" s="190"/>
      <c r="BO657" s="190"/>
      <c r="BP657" s="190"/>
      <c r="BQ657" s="190"/>
      <c r="BR657" s="190"/>
      <c r="BS657" s="190"/>
      <c r="BT657" s="190"/>
      <c r="BU657" s="190"/>
      <c r="BV657" s="190"/>
      <c r="BW657" s="190"/>
      <c r="BX657" s="190"/>
      <c r="BY657" s="190"/>
      <c r="BZ657" s="190"/>
      <c r="CA657" s="189"/>
      <c r="CB657" s="15"/>
    </row>
    <row r="658" spans="1:80" ht="15" x14ac:dyDescent="0.25">
      <c r="A658" s="167"/>
      <c r="B658" s="642"/>
      <c r="C658" s="642"/>
      <c r="D658" s="179"/>
      <c r="E658" s="169"/>
      <c r="F658" s="169"/>
      <c r="G658" s="187"/>
      <c r="H658" s="187"/>
      <c r="I658" s="187"/>
      <c r="J658" s="187"/>
      <c r="K658" s="187"/>
      <c r="L658" s="647"/>
      <c r="M658" s="646">
        <v>33769</v>
      </c>
      <c r="N658" s="585">
        <v>4.6500000000000004</v>
      </c>
      <c r="O658" s="585">
        <v>3.8949999999999999E-2</v>
      </c>
      <c r="P658" s="175">
        <v>0</v>
      </c>
      <c r="Q658" s="175">
        <v>0</v>
      </c>
      <c r="R658" s="175">
        <v>8.8999999999999995E-4</v>
      </c>
      <c r="S658" s="175">
        <v>2.0400000000000001E-3</v>
      </c>
      <c r="T658" s="175">
        <v>4.45E-3</v>
      </c>
      <c r="U658" s="175">
        <v>7.2100000000000003E-3</v>
      </c>
      <c r="V658" s="706">
        <v>2.4379999999999999E-2</v>
      </c>
      <c r="W658" s="717"/>
      <c r="X658" s="713"/>
      <c r="Y658" s="718"/>
      <c r="Z658" s="709">
        <v>19</v>
      </c>
      <c r="AA658" s="175"/>
      <c r="AB658" s="200"/>
      <c r="AC658" s="205">
        <v>1.9E-2</v>
      </c>
      <c r="AD658" s="175">
        <v>7.3</v>
      </c>
      <c r="AE658" s="175">
        <v>0.43</v>
      </c>
      <c r="AF658" s="186">
        <f t="shared" si="11"/>
        <v>3.1389999999999998</v>
      </c>
      <c r="AG658" s="175">
        <v>1.53</v>
      </c>
      <c r="AH658" s="334"/>
      <c r="AI658" s="188"/>
      <c r="AJ658" s="188"/>
      <c r="AK658" s="188"/>
      <c r="AL658" s="189"/>
      <c r="AM658" s="189"/>
      <c r="AN658" s="189"/>
      <c r="AO658" s="189"/>
      <c r="AP658" s="189"/>
      <c r="AQ658" s="189"/>
      <c r="AR658" s="189"/>
      <c r="AS658" s="189"/>
      <c r="AT658" s="189"/>
      <c r="AU658" s="190"/>
      <c r="AV658" s="190"/>
      <c r="AW658" s="190"/>
      <c r="AX658" s="190"/>
      <c r="AY658" s="190"/>
      <c r="AZ658" s="189"/>
      <c r="BA658" s="189"/>
      <c r="BB658" s="189"/>
      <c r="BC658" s="189"/>
      <c r="BD658" s="189"/>
      <c r="BE658" s="189"/>
      <c r="BF658" s="189"/>
      <c r="BG658" s="189"/>
      <c r="BH658" s="189"/>
      <c r="BI658" s="190"/>
      <c r="BJ658" s="190"/>
      <c r="BK658" s="190"/>
      <c r="BL658" s="190"/>
      <c r="BM658" s="190"/>
      <c r="BN658" s="190"/>
      <c r="BO658" s="190"/>
      <c r="BP658" s="190"/>
      <c r="BQ658" s="190"/>
      <c r="BR658" s="190"/>
      <c r="BS658" s="190"/>
      <c r="BT658" s="190"/>
      <c r="BU658" s="190"/>
      <c r="BV658" s="190"/>
      <c r="BW658" s="190"/>
      <c r="BX658" s="190"/>
      <c r="BY658" s="190"/>
      <c r="BZ658" s="190"/>
      <c r="CA658" s="189"/>
      <c r="CB658" s="15"/>
    </row>
    <row r="659" spans="1:80" ht="15" x14ac:dyDescent="0.25">
      <c r="A659" s="167"/>
      <c r="B659" s="642"/>
      <c r="C659" s="642"/>
      <c r="D659" s="179"/>
      <c r="E659" s="169"/>
      <c r="F659" s="169"/>
      <c r="G659" s="187"/>
      <c r="H659" s="187"/>
      <c r="I659" s="187"/>
      <c r="J659" s="187"/>
      <c r="K659" s="187"/>
      <c r="L659" s="647"/>
      <c r="M659" s="646">
        <v>33770</v>
      </c>
      <c r="N659" s="585">
        <v>4.1100000000000003</v>
      </c>
      <c r="O659" s="585">
        <v>3.2320000000000002E-2</v>
      </c>
      <c r="P659" s="175">
        <v>0</v>
      </c>
      <c r="Q659" s="175">
        <v>0</v>
      </c>
      <c r="R659" s="175">
        <v>1.2099999999999999E-3</v>
      </c>
      <c r="S659" s="175">
        <v>4.79E-3</v>
      </c>
      <c r="T659" s="175">
        <v>5.2100000000000002E-3</v>
      </c>
      <c r="U659" s="175">
        <v>7.2300000000000003E-3</v>
      </c>
      <c r="V659" s="706">
        <v>1.388E-2</v>
      </c>
      <c r="W659" s="717"/>
      <c r="X659" s="713"/>
      <c r="Y659" s="718"/>
      <c r="Z659" s="709">
        <v>29</v>
      </c>
      <c r="AA659" s="175"/>
      <c r="AB659" s="200"/>
      <c r="AC659" s="205">
        <v>0.02</v>
      </c>
      <c r="AD659" s="175">
        <v>7.1</v>
      </c>
      <c r="AE659" s="175">
        <v>0.42</v>
      </c>
      <c r="AF659" s="186">
        <f t="shared" si="11"/>
        <v>2.9819999999999998</v>
      </c>
      <c r="AG659" s="175">
        <v>1.5</v>
      </c>
      <c r="AH659" s="334"/>
      <c r="AI659" s="188"/>
      <c r="AJ659" s="188"/>
      <c r="AK659" s="188"/>
      <c r="AL659" s="189"/>
      <c r="AM659" s="189"/>
      <c r="AN659" s="189"/>
      <c r="AO659" s="189"/>
      <c r="AP659" s="189"/>
      <c r="AQ659" s="189"/>
      <c r="AR659" s="189"/>
      <c r="AS659" s="189"/>
      <c r="AT659" s="189"/>
      <c r="AU659" s="190"/>
      <c r="AV659" s="190"/>
      <c r="AW659" s="190"/>
      <c r="AX659" s="190"/>
      <c r="AY659" s="190"/>
      <c r="AZ659" s="189"/>
      <c r="BA659" s="189"/>
      <c r="BB659" s="189"/>
      <c r="BC659" s="189"/>
      <c r="BD659" s="189"/>
      <c r="BE659" s="189"/>
      <c r="BF659" s="189"/>
      <c r="BG659" s="189"/>
      <c r="BH659" s="189"/>
      <c r="BI659" s="190"/>
      <c r="BJ659" s="190"/>
      <c r="BK659" s="190"/>
      <c r="BL659" s="190"/>
      <c r="BM659" s="190"/>
      <c r="BN659" s="190"/>
      <c r="BO659" s="190"/>
      <c r="BP659" s="190"/>
      <c r="BQ659" s="190"/>
      <c r="BR659" s="190"/>
      <c r="BS659" s="190"/>
      <c r="BT659" s="190"/>
      <c r="BU659" s="190"/>
      <c r="BV659" s="190"/>
      <c r="BW659" s="190"/>
      <c r="BX659" s="190"/>
      <c r="BY659" s="190"/>
      <c r="BZ659" s="190"/>
      <c r="CA659" s="189"/>
      <c r="CB659" s="15"/>
    </row>
    <row r="660" spans="1:80" ht="15" x14ac:dyDescent="0.25">
      <c r="A660" s="167"/>
      <c r="B660" s="642"/>
      <c r="C660" s="642"/>
      <c r="D660" s="179"/>
      <c r="E660" s="169"/>
      <c r="F660" s="169"/>
      <c r="G660" s="187"/>
      <c r="H660" s="187"/>
      <c r="I660" s="187"/>
      <c r="J660" s="187"/>
      <c r="K660" s="187"/>
      <c r="L660" s="647"/>
      <c r="M660" s="646">
        <v>33770</v>
      </c>
      <c r="N660" s="585">
        <v>3.74</v>
      </c>
      <c r="O660" s="585">
        <v>3.746E-2</v>
      </c>
      <c r="P660" s="175">
        <v>0</v>
      </c>
      <c r="Q660" s="175">
        <v>0</v>
      </c>
      <c r="R660" s="175">
        <v>1.73E-3</v>
      </c>
      <c r="S660" s="175">
        <v>1.2999999999999999E-3</v>
      </c>
      <c r="T660" s="175">
        <v>3.2799999999999999E-3</v>
      </c>
      <c r="U660" s="175">
        <v>7.1399999999999996E-3</v>
      </c>
      <c r="V660" s="706">
        <v>2.401E-2</v>
      </c>
      <c r="W660" s="717"/>
      <c r="X660" s="713"/>
      <c r="Y660" s="718"/>
      <c r="Z660" s="709">
        <v>24</v>
      </c>
      <c r="AA660" s="175"/>
      <c r="AB660" s="200"/>
      <c r="AC660" s="205">
        <v>1.7999999999999999E-2</v>
      </c>
      <c r="AD660" s="175">
        <v>7.3</v>
      </c>
      <c r="AE660" s="175">
        <v>0.36</v>
      </c>
      <c r="AF660" s="186">
        <f t="shared" si="11"/>
        <v>2.6279999999999997</v>
      </c>
      <c r="AG660" s="175">
        <v>1.37</v>
      </c>
      <c r="AH660" s="334"/>
      <c r="AI660" s="188"/>
      <c r="AJ660" s="188"/>
      <c r="AK660" s="188"/>
      <c r="AL660" s="189"/>
      <c r="AM660" s="189"/>
      <c r="AN660" s="189"/>
      <c r="AO660" s="189"/>
      <c r="AP660" s="189"/>
      <c r="AQ660" s="189"/>
      <c r="AR660" s="189"/>
      <c r="AS660" s="189"/>
      <c r="AT660" s="189"/>
      <c r="AU660" s="190"/>
      <c r="AV660" s="190"/>
      <c r="AW660" s="190"/>
      <c r="AX660" s="190"/>
      <c r="AY660" s="190"/>
      <c r="AZ660" s="189"/>
      <c r="BA660" s="189"/>
      <c r="BB660" s="189"/>
      <c r="BC660" s="189"/>
      <c r="BD660" s="189"/>
      <c r="BE660" s="189"/>
      <c r="BF660" s="189"/>
      <c r="BG660" s="189"/>
      <c r="BH660" s="189"/>
      <c r="BI660" s="190"/>
      <c r="BJ660" s="190"/>
      <c r="BK660" s="190"/>
      <c r="BL660" s="190"/>
      <c r="BM660" s="190"/>
      <c r="BN660" s="190"/>
      <c r="BO660" s="190"/>
      <c r="BP660" s="190"/>
      <c r="BQ660" s="190"/>
      <c r="BR660" s="190"/>
      <c r="BS660" s="190"/>
      <c r="BT660" s="190"/>
      <c r="BU660" s="190"/>
      <c r="BV660" s="190"/>
      <c r="BW660" s="190"/>
      <c r="BX660" s="190"/>
      <c r="BY660" s="190"/>
      <c r="BZ660" s="190"/>
      <c r="CA660" s="189"/>
      <c r="CB660" s="15"/>
    </row>
    <row r="661" spans="1:80" ht="15" x14ac:dyDescent="0.25">
      <c r="A661" s="167"/>
      <c r="B661" s="642"/>
      <c r="C661" s="642"/>
      <c r="D661" s="179"/>
      <c r="E661" s="169"/>
      <c r="F661" s="169"/>
      <c r="G661" s="187"/>
      <c r="H661" s="187"/>
      <c r="I661" s="187"/>
      <c r="J661" s="187"/>
      <c r="K661" s="187"/>
      <c r="L661" s="647"/>
      <c r="M661" s="646">
        <v>33770</v>
      </c>
      <c r="N661" s="585">
        <v>3.96</v>
      </c>
      <c r="O661" s="585">
        <v>3.9960000000000002E-2</v>
      </c>
      <c r="P661" s="175">
        <v>0</v>
      </c>
      <c r="Q661" s="175">
        <v>4.1599999999999996E-3</v>
      </c>
      <c r="R661" s="175">
        <v>6.7200000000000003E-3</v>
      </c>
      <c r="S661" s="175">
        <v>5.8799999999999998E-3</v>
      </c>
      <c r="T661" s="175">
        <v>5.2300000000000003E-3</v>
      </c>
      <c r="U661" s="175">
        <v>6.96E-3</v>
      </c>
      <c r="V661" s="706">
        <v>1.1010000000000001E-2</v>
      </c>
      <c r="W661" s="717"/>
      <c r="X661" s="713"/>
      <c r="Y661" s="718"/>
      <c r="Z661" s="709">
        <v>45</v>
      </c>
      <c r="AA661" s="175"/>
      <c r="AB661" s="200"/>
      <c r="AC661" s="205">
        <v>1.4E-2</v>
      </c>
      <c r="AD661" s="175">
        <v>7</v>
      </c>
      <c r="AE661" s="175">
        <v>0.43</v>
      </c>
      <c r="AF661" s="186">
        <f t="shared" si="11"/>
        <v>3.01</v>
      </c>
      <c r="AG661" s="175">
        <v>1.38</v>
      </c>
      <c r="AH661" s="334"/>
      <c r="AI661" s="188"/>
      <c r="AJ661" s="188"/>
      <c r="AK661" s="188"/>
      <c r="AL661" s="189"/>
      <c r="AM661" s="189"/>
      <c r="AN661" s="189"/>
      <c r="AO661" s="189"/>
      <c r="AP661" s="189"/>
      <c r="AQ661" s="189"/>
      <c r="AR661" s="189"/>
      <c r="AS661" s="189"/>
      <c r="AT661" s="189"/>
      <c r="AU661" s="190"/>
      <c r="AV661" s="190"/>
      <c r="AW661" s="190"/>
      <c r="AX661" s="190"/>
      <c r="AY661" s="190"/>
      <c r="AZ661" s="189"/>
      <c r="BA661" s="189"/>
      <c r="BB661" s="189"/>
      <c r="BC661" s="189"/>
      <c r="BD661" s="189"/>
      <c r="BE661" s="189"/>
      <c r="BF661" s="189"/>
      <c r="BG661" s="189"/>
      <c r="BH661" s="189"/>
      <c r="BI661" s="190"/>
      <c r="BJ661" s="190"/>
      <c r="BK661" s="190"/>
      <c r="BL661" s="190"/>
      <c r="BM661" s="190"/>
      <c r="BN661" s="190"/>
      <c r="BO661" s="190"/>
      <c r="BP661" s="190"/>
      <c r="BQ661" s="190"/>
      <c r="BR661" s="190"/>
      <c r="BS661" s="190"/>
      <c r="BT661" s="190"/>
      <c r="BU661" s="190"/>
      <c r="BV661" s="190"/>
      <c r="BW661" s="190"/>
      <c r="BX661" s="190"/>
      <c r="BY661" s="190"/>
      <c r="BZ661" s="190"/>
      <c r="CA661" s="189"/>
      <c r="CB661" s="15"/>
    </row>
    <row r="662" spans="1:80" ht="15" x14ac:dyDescent="0.25">
      <c r="A662" s="167"/>
      <c r="B662" s="642"/>
      <c r="C662" s="642"/>
      <c r="D662" s="179"/>
      <c r="E662" s="169"/>
      <c r="F662" s="169"/>
      <c r="G662" s="187"/>
      <c r="H662" s="187"/>
      <c r="I662" s="187"/>
      <c r="J662" s="187"/>
      <c r="K662" s="187"/>
      <c r="L662" s="647"/>
      <c r="M662" s="646">
        <v>33770</v>
      </c>
      <c r="N662" s="585">
        <v>4.57</v>
      </c>
      <c r="O662" s="585">
        <v>3.8879999999999998E-2</v>
      </c>
      <c r="P662" s="175">
        <v>0</v>
      </c>
      <c r="Q662" s="175">
        <v>0</v>
      </c>
      <c r="R662" s="175">
        <v>1.3799999999999999E-3</v>
      </c>
      <c r="S662" s="175">
        <v>5.0200000000000002E-3</v>
      </c>
      <c r="T662" s="175">
        <v>6.11E-3</v>
      </c>
      <c r="U662" s="175">
        <v>8.6300000000000005E-3</v>
      </c>
      <c r="V662" s="706">
        <v>1.7739999999999999E-2</v>
      </c>
      <c r="W662" s="717"/>
      <c r="X662" s="713"/>
      <c r="Y662" s="718"/>
      <c r="Z662" s="709">
        <v>28</v>
      </c>
      <c r="AA662" s="175"/>
      <c r="AB662" s="200"/>
      <c r="AC662" s="205">
        <v>1.9E-2</v>
      </c>
      <c r="AD662" s="175">
        <v>7.1</v>
      </c>
      <c r="AE662" s="175">
        <v>0.43</v>
      </c>
      <c r="AF662" s="186">
        <f t="shared" si="11"/>
        <v>3.0529999999999999</v>
      </c>
      <c r="AG662" s="175">
        <v>1.47</v>
      </c>
      <c r="AH662" s="334"/>
      <c r="AI662" s="188"/>
      <c r="AJ662" s="188"/>
      <c r="AK662" s="188"/>
      <c r="AL662" s="189"/>
      <c r="AM662" s="189"/>
      <c r="AN662" s="189"/>
      <c r="AO662" s="189"/>
      <c r="AP662" s="189"/>
      <c r="AQ662" s="189"/>
      <c r="AR662" s="189"/>
      <c r="AS662" s="189"/>
      <c r="AT662" s="189"/>
      <c r="AU662" s="190"/>
      <c r="AV662" s="190"/>
      <c r="AW662" s="190"/>
      <c r="AX662" s="190"/>
      <c r="AY662" s="190"/>
      <c r="AZ662" s="189"/>
      <c r="BA662" s="189"/>
      <c r="BB662" s="189"/>
      <c r="BC662" s="189"/>
      <c r="BD662" s="189"/>
      <c r="BE662" s="189"/>
      <c r="BF662" s="189"/>
      <c r="BG662" s="189"/>
      <c r="BH662" s="189"/>
      <c r="BI662" s="190"/>
      <c r="BJ662" s="190"/>
      <c r="BK662" s="190"/>
      <c r="BL662" s="190"/>
      <c r="BM662" s="190"/>
      <c r="BN662" s="190"/>
      <c r="BO662" s="190"/>
      <c r="BP662" s="190"/>
      <c r="BQ662" s="190"/>
      <c r="BR662" s="190"/>
      <c r="BS662" s="190"/>
      <c r="BT662" s="190"/>
      <c r="BU662" s="190"/>
      <c r="BV662" s="190"/>
      <c r="BW662" s="190"/>
      <c r="BX662" s="190"/>
      <c r="BY662" s="190"/>
      <c r="BZ662" s="190"/>
      <c r="CA662" s="189"/>
      <c r="CB662" s="15"/>
    </row>
    <row r="663" spans="1:80" ht="15" x14ac:dyDescent="0.25">
      <c r="A663" s="167"/>
      <c r="B663" s="642"/>
      <c r="C663" s="642"/>
      <c r="D663" s="179"/>
      <c r="E663" s="169"/>
      <c r="F663" s="169"/>
      <c r="G663" s="187"/>
      <c r="H663" s="187"/>
      <c r="I663" s="187"/>
      <c r="J663" s="187"/>
      <c r="K663" s="187"/>
      <c r="L663" s="647"/>
      <c r="M663" s="646">
        <v>33770</v>
      </c>
      <c r="N663" s="585">
        <v>3.96</v>
      </c>
      <c r="O663" s="585">
        <v>6.062E-2</v>
      </c>
      <c r="P663" s="175">
        <v>0</v>
      </c>
      <c r="Q663" s="175">
        <v>0</v>
      </c>
      <c r="R663" s="175">
        <v>3.49E-3</v>
      </c>
      <c r="S663" s="175">
        <v>7.5799999999999999E-3</v>
      </c>
      <c r="T663" s="175">
        <v>1.051E-2</v>
      </c>
      <c r="U663" s="175">
        <v>1.4500000000000001E-2</v>
      </c>
      <c r="V663" s="706">
        <v>2.4539999999999999E-2</v>
      </c>
      <c r="W663" s="717"/>
      <c r="X663" s="713"/>
      <c r="Y663" s="718"/>
      <c r="Z663" s="709">
        <v>32</v>
      </c>
      <c r="AA663" s="175"/>
      <c r="AB663" s="200"/>
      <c r="AC663" s="205">
        <v>0</v>
      </c>
      <c r="AD663" s="175">
        <v>7.2</v>
      </c>
      <c r="AE663" s="175">
        <v>0.39</v>
      </c>
      <c r="AF663" s="186">
        <f t="shared" si="11"/>
        <v>2.8080000000000003</v>
      </c>
      <c r="AG663" s="175">
        <v>1.39</v>
      </c>
      <c r="AH663" s="334"/>
      <c r="AI663" s="188"/>
      <c r="AJ663" s="188"/>
      <c r="AK663" s="188"/>
      <c r="AL663" s="189"/>
      <c r="AM663" s="189"/>
      <c r="AN663" s="189"/>
      <c r="AO663" s="189"/>
      <c r="AP663" s="189"/>
      <c r="AQ663" s="189"/>
      <c r="AR663" s="189"/>
      <c r="AS663" s="189"/>
      <c r="AT663" s="189"/>
      <c r="AU663" s="190"/>
      <c r="AV663" s="190"/>
      <c r="AW663" s="190"/>
      <c r="AX663" s="190"/>
      <c r="AY663" s="190"/>
      <c r="AZ663" s="189"/>
      <c r="BA663" s="189"/>
      <c r="BB663" s="189"/>
      <c r="BC663" s="189"/>
      <c r="BD663" s="189"/>
      <c r="BE663" s="189"/>
      <c r="BF663" s="189"/>
      <c r="BG663" s="189"/>
      <c r="BH663" s="189"/>
      <c r="BI663" s="190"/>
      <c r="BJ663" s="190"/>
      <c r="BK663" s="190"/>
      <c r="BL663" s="190"/>
      <c r="BM663" s="190"/>
      <c r="BN663" s="190"/>
      <c r="BO663" s="190"/>
      <c r="BP663" s="190"/>
      <c r="BQ663" s="190"/>
      <c r="BR663" s="190"/>
      <c r="BS663" s="190"/>
      <c r="BT663" s="190"/>
      <c r="BU663" s="190"/>
      <c r="BV663" s="190"/>
      <c r="BW663" s="190"/>
      <c r="BX663" s="190"/>
      <c r="BY663" s="190"/>
      <c r="BZ663" s="190"/>
      <c r="CA663" s="189"/>
      <c r="CB663" s="15"/>
    </row>
    <row r="664" spans="1:80" ht="15" x14ac:dyDescent="0.25">
      <c r="A664" s="167"/>
      <c r="B664" s="642"/>
      <c r="C664" s="642"/>
      <c r="D664" s="179"/>
      <c r="E664" s="169"/>
      <c r="F664" s="169"/>
      <c r="G664" s="187"/>
      <c r="H664" s="187"/>
      <c r="I664" s="187"/>
      <c r="J664" s="187"/>
      <c r="K664" s="187"/>
      <c r="L664" s="647"/>
      <c r="M664" s="646">
        <v>33771</v>
      </c>
      <c r="N664" s="585">
        <v>3.88</v>
      </c>
      <c r="O664" s="585">
        <v>5.3620000000000001E-2</v>
      </c>
      <c r="P664" s="175">
        <v>0</v>
      </c>
      <c r="Q664" s="175">
        <v>0</v>
      </c>
      <c r="R664" s="175">
        <v>3.29E-3</v>
      </c>
      <c r="S664" s="175">
        <v>3.82E-3</v>
      </c>
      <c r="T664" s="175">
        <v>6.8999999999999999E-3</v>
      </c>
      <c r="U664" s="175">
        <v>1.257E-2</v>
      </c>
      <c r="V664" s="706">
        <v>2.7040000000000002E-2</v>
      </c>
      <c r="W664" s="717"/>
      <c r="X664" s="713"/>
      <c r="Y664" s="718"/>
      <c r="Z664" s="709">
        <v>23</v>
      </c>
      <c r="AA664" s="175"/>
      <c r="AB664" s="200"/>
      <c r="AC664" s="205">
        <v>1.4999999999999999E-2</v>
      </c>
      <c r="AD664" s="175">
        <v>7.3</v>
      </c>
      <c r="AE664" s="175">
        <v>0.39</v>
      </c>
      <c r="AF664" s="186">
        <f t="shared" si="11"/>
        <v>2.847</v>
      </c>
      <c r="AG664" s="175">
        <v>1.49</v>
      </c>
      <c r="AH664" s="334"/>
      <c r="AI664" s="188"/>
      <c r="AJ664" s="188"/>
      <c r="AK664" s="188"/>
      <c r="AL664" s="189"/>
      <c r="AM664" s="189"/>
      <c r="AN664" s="189"/>
      <c r="AO664" s="189"/>
      <c r="AP664" s="189"/>
      <c r="AQ664" s="189"/>
      <c r="AR664" s="189"/>
      <c r="AS664" s="189"/>
      <c r="AT664" s="189"/>
      <c r="AU664" s="190"/>
      <c r="AV664" s="190"/>
      <c r="AW664" s="190"/>
      <c r="AX664" s="190"/>
      <c r="AY664" s="190"/>
      <c r="AZ664" s="189"/>
      <c r="BA664" s="189"/>
      <c r="BB664" s="189"/>
      <c r="BC664" s="189"/>
      <c r="BD664" s="189"/>
      <c r="BE664" s="189"/>
      <c r="BF664" s="189"/>
      <c r="BG664" s="189"/>
      <c r="BH664" s="189"/>
      <c r="BI664" s="190"/>
      <c r="BJ664" s="190"/>
      <c r="BK664" s="190"/>
      <c r="BL664" s="190"/>
      <c r="BM664" s="190"/>
      <c r="BN664" s="190"/>
      <c r="BO664" s="190"/>
      <c r="BP664" s="190"/>
      <c r="BQ664" s="190"/>
      <c r="BR664" s="190"/>
      <c r="BS664" s="190"/>
      <c r="BT664" s="190"/>
      <c r="BU664" s="190"/>
      <c r="BV664" s="190"/>
      <c r="BW664" s="190"/>
      <c r="BX664" s="190"/>
      <c r="BY664" s="190"/>
      <c r="BZ664" s="190"/>
      <c r="CA664" s="189"/>
      <c r="CB664" s="15"/>
    </row>
    <row r="665" spans="1:80" ht="15" x14ac:dyDescent="0.25">
      <c r="A665" s="167"/>
      <c r="B665" s="642"/>
      <c r="C665" s="642"/>
      <c r="D665" s="179"/>
      <c r="E665" s="169"/>
      <c r="F665" s="169"/>
      <c r="G665" s="187"/>
      <c r="H665" s="187"/>
      <c r="I665" s="187"/>
      <c r="J665" s="187"/>
      <c r="K665" s="187"/>
      <c r="L665" s="647"/>
      <c r="M665" s="646">
        <v>33771</v>
      </c>
      <c r="N665" s="585">
        <v>3.53</v>
      </c>
      <c r="O665" s="585">
        <v>3.2890000000000003E-2</v>
      </c>
      <c r="P665" s="175">
        <v>0</v>
      </c>
      <c r="Q665" s="175">
        <v>7.9100000000000004E-3</v>
      </c>
      <c r="R665" s="175">
        <v>1.56E-3</v>
      </c>
      <c r="S665" s="175">
        <v>3.7599999999999999E-3</v>
      </c>
      <c r="T665" s="175">
        <v>4.6100000000000004E-3</v>
      </c>
      <c r="U665" s="175">
        <v>5.8799999999999998E-3</v>
      </c>
      <c r="V665" s="706">
        <v>9.1599999999999997E-3</v>
      </c>
      <c r="W665" s="717"/>
      <c r="X665" s="713"/>
      <c r="Y665" s="718"/>
      <c r="Z665" s="709">
        <v>35</v>
      </c>
      <c r="AA665" s="175"/>
      <c r="AB665" s="200"/>
      <c r="AC665" s="205">
        <v>1.4999999999999999E-2</v>
      </c>
      <c r="AD665" s="175">
        <v>7.3</v>
      </c>
      <c r="AE665" s="175">
        <v>0.38</v>
      </c>
      <c r="AF665" s="186">
        <f t="shared" ref="AF665:AF728" si="12">AE665*AD665</f>
        <v>2.774</v>
      </c>
      <c r="AG665" s="175">
        <v>1.34</v>
      </c>
      <c r="AH665" s="334"/>
      <c r="AI665" s="188"/>
      <c r="AJ665" s="188"/>
      <c r="AK665" s="188"/>
      <c r="AL665" s="189"/>
      <c r="AM665" s="189"/>
      <c r="AN665" s="189"/>
      <c r="AO665" s="189"/>
      <c r="AP665" s="189"/>
      <c r="AQ665" s="189"/>
      <c r="AR665" s="189"/>
      <c r="AS665" s="189"/>
      <c r="AT665" s="189"/>
      <c r="AU665" s="190"/>
      <c r="AV665" s="190"/>
      <c r="AW665" s="190"/>
      <c r="AX665" s="190"/>
      <c r="AY665" s="190"/>
      <c r="AZ665" s="189"/>
      <c r="BA665" s="189"/>
      <c r="BB665" s="189"/>
      <c r="BC665" s="189"/>
      <c r="BD665" s="189"/>
      <c r="BE665" s="189"/>
      <c r="BF665" s="189"/>
      <c r="BG665" s="189"/>
      <c r="BH665" s="189"/>
      <c r="BI665" s="190"/>
      <c r="BJ665" s="190"/>
      <c r="BK665" s="190"/>
      <c r="BL665" s="190"/>
      <c r="BM665" s="190"/>
      <c r="BN665" s="190"/>
      <c r="BO665" s="190"/>
      <c r="BP665" s="190"/>
      <c r="BQ665" s="190"/>
      <c r="BR665" s="190"/>
      <c r="BS665" s="190"/>
      <c r="BT665" s="190"/>
      <c r="BU665" s="190"/>
      <c r="BV665" s="190"/>
      <c r="BW665" s="190"/>
      <c r="BX665" s="190"/>
      <c r="BY665" s="190"/>
      <c r="BZ665" s="190"/>
      <c r="CA665" s="189"/>
      <c r="CB665" s="15"/>
    </row>
    <row r="666" spans="1:80" ht="15" x14ac:dyDescent="0.25">
      <c r="A666" s="167"/>
      <c r="B666" s="642"/>
      <c r="C666" s="642"/>
      <c r="D666" s="179"/>
      <c r="E666" s="169"/>
      <c r="F666" s="169"/>
      <c r="G666" s="187"/>
      <c r="H666" s="187"/>
      <c r="I666" s="187"/>
      <c r="J666" s="187"/>
      <c r="K666" s="187"/>
      <c r="L666" s="647"/>
      <c r="M666" s="646">
        <v>33771</v>
      </c>
      <c r="N666" s="585">
        <v>4.49</v>
      </c>
      <c r="O666" s="585">
        <v>1.9259999999999999E-2</v>
      </c>
      <c r="P666" s="175">
        <v>0</v>
      </c>
      <c r="Q666" s="175">
        <v>0</v>
      </c>
      <c r="R666" s="175">
        <v>0</v>
      </c>
      <c r="S666" s="175">
        <v>8.8999999999999995E-4</v>
      </c>
      <c r="T666" s="175">
        <v>1.7700000000000001E-3</v>
      </c>
      <c r="U666" s="175">
        <v>3.2200000000000002E-3</v>
      </c>
      <c r="V666" s="706">
        <v>1.338E-2</v>
      </c>
      <c r="W666" s="717"/>
      <c r="X666" s="713"/>
      <c r="Y666" s="718"/>
      <c r="Z666" s="709">
        <v>8</v>
      </c>
      <c r="AA666" s="175"/>
      <c r="AB666" s="200"/>
      <c r="AC666" s="205">
        <v>1.4999999999999999E-2</v>
      </c>
      <c r="AD666" s="175">
        <v>7.2</v>
      </c>
      <c r="AE666" s="175">
        <v>0.44</v>
      </c>
      <c r="AF666" s="186">
        <f t="shared" si="12"/>
        <v>3.1680000000000001</v>
      </c>
      <c r="AG666" s="175">
        <v>1.45</v>
      </c>
      <c r="AH666" s="334"/>
      <c r="AI666" s="188"/>
      <c r="AJ666" s="188"/>
      <c r="AK666" s="188"/>
      <c r="AL666" s="189"/>
      <c r="AM666" s="189"/>
      <c r="AN666" s="189"/>
      <c r="AO666" s="189"/>
      <c r="AP666" s="189"/>
      <c r="AQ666" s="189"/>
      <c r="AR666" s="189"/>
      <c r="AS666" s="189"/>
      <c r="AT666" s="189"/>
      <c r="AU666" s="190"/>
      <c r="AV666" s="190"/>
      <c r="AW666" s="190"/>
      <c r="AX666" s="190"/>
      <c r="AY666" s="190"/>
      <c r="AZ666" s="189"/>
      <c r="BA666" s="189"/>
      <c r="BB666" s="189"/>
      <c r="BC666" s="189"/>
      <c r="BD666" s="189"/>
      <c r="BE666" s="189"/>
      <c r="BF666" s="189"/>
      <c r="BG666" s="189"/>
      <c r="BH666" s="189"/>
      <c r="BI666" s="190"/>
      <c r="BJ666" s="190"/>
      <c r="BK666" s="190"/>
      <c r="BL666" s="190"/>
      <c r="BM666" s="190"/>
      <c r="BN666" s="190"/>
      <c r="BO666" s="190"/>
      <c r="BP666" s="190"/>
      <c r="BQ666" s="190"/>
      <c r="BR666" s="190"/>
      <c r="BS666" s="190"/>
      <c r="BT666" s="190"/>
      <c r="BU666" s="190"/>
      <c r="BV666" s="190"/>
      <c r="BW666" s="190"/>
      <c r="BX666" s="190"/>
      <c r="BY666" s="190"/>
      <c r="BZ666" s="190"/>
      <c r="CA666" s="189"/>
      <c r="CB666" s="15"/>
    </row>
    <row r="667" spans="1:80" ht="15" x14ac:dyDescent="0.25">
      <c r="A667" s="167"/>
      <c r="B667" s="642"/>
      <c r="C667" s="642"/>
      <c r="D667" s="179"/>
      <c r="E667" s="169"/>
      <c r="F667" s="169"/>
      <c r="G667" s="187"/>
      <c r="H667" s="187"/>
      <c r="I667" s="187"/>
      <c r="J667" s="187"/>
      <c r="K667" s="187"/>
      <c r="L667" s="647"/>
      <c r="M667" s="646">
        <v>33771</v>
      </c>
      <c r="N667" s="585">
        <v>3.96</v>
      </c>
      <c r="O667" s="585">
        <v>2.06E-2</v>
      </c>
      <c r="P667" s="175">
        <v>0</v>
      </c>
      <c r="Q667" s="175">
        <v>0</v>
      </c>
      <c r="R667" s="175">
        <v>0</v>
      </c>
      <c r="S667" s="175">
        <v>1.5299999999999999E-3</v>
      </c>
      <c r="T667" s="175">
        <v>2.16E-3</v>
      </c>
      <c r="U667" s="175">
        <v>4.8900000000000002E-3</v>
      </c>
      <c r="V667" s="706">
        <v>1.2019999999999999E-2</v>
      </c>
      <c r="W667" s="717"/>
      <c r="X667" s="713"/>
      <c r="Y667" s="718"/>
      <c r="Z667" s="709">
        <v>16</v>
      </c>
      <c r="AA667" s="175"/>
      <c r="AB667" s="200"/>
      <c r="AC667" s="205">
        <v>1.4999999999999999E-2</v>
      </c>
      <c r="AD667" s="175">
        <v>7.1</v>
      </c>
      <c r="AE667" s="175">
        <v>0.42</v>
      </c>
      <c r="AF667" s="186">
        <f t="shared" si="12"/>
        <v>2.9819999999999998</v>
      </c>
      <c r="AG667" s="175">
        <v>1.36</v>
      </c>
      <c r="AH667" s="334"/>
      <c r="AI667" s="188"/>
      <c r="AJ667" s="188"/>
      <c r="AK667" s="188"/>
      <c r="AL667" s="189"/>
      <c r="AM667" s="189"/>
      <c r="AN667" s="189"/>
      <c r="AO667" s="189"/>
      <c r="AP667" s="189"/>
      <c r="AQ667" s="189"/>
      <c r="AR667" s="189"/>
      <c r="AS667" s="189"/>
      <c r="AT667" s="189"/>
      <c r="AU667" s="190"/>
      <c r="AV667" s="190"/>
      <c r="AW667" s="190"/>
      <c r="AX667" s="190"/>
      <c r="AY667" s="190"/>
      <c r="AZ667" s="189"/>
      <c r="BA667" s="189"/>
      <c r="BB667" s="189"/>
      <c r="BC667" s="189"/>
      <c r="BD667" s="189"/>
      <c r="BE667" s="189"/>
      <c r="BF667" s="189"/>
      <c r="BG667" s="189"/>
      <c r="BH667" s="189"/>
      <c r="BI667" s="190"/>
      <c r="BJ667" s="190"/>
      <c r="BK667" s="190"/>
      <c r="BL667" s="190"/>
      <c r="BM667" s="190"/>
      <c r="BN667" s="190"/>
      <c r="BO667" s="190"/>
      <c r="BP667" s="190"/>
      <c r="BQ667" s="190"/>
      <c r="BR667" s="190"/>
      <c r="BS667" s="190"/>
      <c r="BT667" s="190"/>
      <c r="BU667" s="190"/>
      <c r="BV667" s="190"/>
      <c r="BW667" s="190"/>
      <c r="BX667" s="190"/>
      <c r="BY667" s="190"/>
      <c r="BZ667" s="190"/>
      <c r="CA667" s="189"/>
      <c r="CB667" s="15"/>
    </row>
    <row r="668" spans="1:80" ht="15" x14ac:dyDescent="0.25">
      <c r="A668" s="167"/>
      <c r="B668" s="642"/>
      <c r="C668" s="642"/>
      <c r="D668" s="179"/>
      <c r="E668" s="169"/>
      <c r="F668" s="169"/>
      <c r="G668" s="187"/>
      <c r="H668" s="187"/>
      <c r="I668" s="187"/>
      <c r="J668" s="187"/>
      <c r="K668" s="187"/>
      <c r="L668" s="647"/>
      <c r="M668" s="646">
        <v>33772</v>
      </c>
      <c r="N668" s="585">
        <v>3.88</v>
      </c>
      <c r="O668" s="585">
        <v>6.8500000000000005E-2</v>
      </c>
      <c r="P668" s="175">
        <v>0</v>
      </c>
      <c r="Q668" s="175">
        <v>0</v>
      </c>
      <c r="R668" s="175">
        <v>1.12E-2</v>
      </c>
      <c r="S668" s="175">
        <v>1.077E-2</v>
      </c>
      <c r="T668" s="175">
        <v>1.5049999999999999E-2</v>
      </c>
      <c r="U668" s="175">
        <v>1.5570000000000001E-2</v>
      </c>
      <c r="V668" s="706">
        <v>1.5910000000000001E-2</v>
      </c>
      <c r="W668" s="717"/>
      <c r="X668" s="713"/>
      <c r="Y668" s="718"/>
      <c r="Z668" s="709">
        <v>27</v>
      </c>
      <c r="AA668" s="175"/>
      <c r="AB668" s="200"/>
      <c r="AC668" s="205">
        <v>1.7999999999999999E-2</v>
      </c>
      <c r="AD668" s="175">
        <v>7.2</v>
      </c>
      <c r="AE668" s="175">
        <v>0.38</v>
      </c>
      <c r="AF668" s="186">
        <f t="shared" si="12"/>
        <v>2.7360000000000002</v>
      </c>
      <c r="AG668" s="175">
        <v>1.47</v>
      </c>
      <c r="AH668" s="334"/>
      <c r="AI668" s="188"/>
      <c r="AJ668" s="188"/>
      <c r="AK668" s="188"/>
      <c r="AL668" s="189"/>
      <c r="AM668" s="189"/>
      <c r="AN668" s="189"/>
      <c r="AO668" s="189"/>
      <c r="AP668" s="189"/>
      <c r="AQ668" s="189"/>
      <c r="AR668" s="189"/>
      <c r="AS668" s="189"/>
      <c r="AT668" s="189"/>
      <c r="AU668" s="190"/>
      <c r="AV668" s="190"/>
      <c r="AW668" s="190"/>
      <c r="AX668" s="190"/>
      <c r="AY668" s="190"/>
      <c r="AZ668" s="189"/>
      <c r="BA668" s="189"/>
      <c r="BB668" s="189"/>
      <c r="BC668" s="189"/>
      <c r="BD668" s="189"/>
      <c r="BE668" s="189"/>
      <c r="BF668" s="189"/>
      <c r="BG668" s="189"/>
      <c r="BH668" s="189"/>
      <c r="BI668" s="190"/>
      <c r="BJ668" s="190"/>
      <c r="BK668" s="190"/>
      <c r="BL668" s="190"/>
      <c r="BM668" s="190"/>
      <c r="BN668" s="190"/>
      <c r="BO668" s="190"/>
      <c r="BP668" s="190"/>
      <c r="BQ668" s="190"/>
      <c r="BR668" s="190"/>
      <c r="BS668" s="190"/>
      <c r="BT668" s="190"/>
      <c r="BU668" s="190"/>
      <c r="BV668" s="190"/>
      <c r="BW668" s="190"/>
      <c r="BX668" s="190"/>
      <c r="BY668" s="190"/>
      <c r="BZ668" s="190"/>
      <c r="CA668" s="189"/>
      <c r="CB668" s="15"/>
    </row>
    <row r="669" spans="1:80" ht="15" x14ac:dyDescent="0.25">
      <c r="A669" s="167"/>
      <c r="B669" s="642"/>
      <c r="C669" s="642"/>
      <c r="D669" s="179"/>
      <c r="E669" s="169"/>
      <c r="F669" s="169"/>
      <c r="G669" s="187"/>
      <c r="H669" s="187"/>
      <c r="I669" s="187"/>
      <c r="J669" s="187"/>
      <c r="K669" s="187"/>
      <c r="L669" s="647"/>
      <c r="M669" s="646">
        <v>33772</v>
      </c>
      <c r="N669" s="585">
        <v>3.67</v>
      </c>
      <c r="O669" s="585">
        <v>7.5859999999999997E-2</v>
      </c>
      <c r="P669" s="175">
        <v>0</v>
      </c>
      <c r="Q669" s="175">
        <v>0</v>
      </c>
      <c r="R669" s="175">
        <v>2.63E-3</v>
      </c>
      <c r="S669" s="175">
        <v>8.6400000000000001E-3</v>
      </c>
      <c r="T669" s="175">
        <v>1.18E-2</v>
      </c>
      <c r="U669" s="175">
        <v>1.883E-2</v>
      </c>
      <c r="V669" s="706">
        <v>3.3959999999999997E-2</v>
      </c>
      <c r="W669" s="717"/>
      <c r="X669" s="713"/>
      <c r="Y669" s="718"/>
      <c r="Z669" s="709">
        <v>22</v>
      </c>
      <c r="AA669" s="175"/>
      <c r="AB669" s="200"/>
      <c r="AC669" s="205">
        <v>1.2999999999999999E-2</v>
      </c>
      <c r="AD669" s="175">
        <v>7.3</v>
      </c>
      <c r="AE669" s="175">
        <v>0.38</v>
      </c>
      <c r="AF669" s="186">
        <f t="shared" si="12"/>
        <v>2.774</v>
      </c>
      <c r="AG669" s="175">
        <v>1.37</v>
      </c>
      <c r="AH669" s="334"/>
      <c r="AI669" s="188"/>
      <c r="AJ669" s="188"/>
      <c r="AK669" s="188"/>
      <c r="AL669" s="189"/>
      <c r="AM669" s="189"/>
      <c r="AN669" s="189"/>
      <c r="AO669" s="189"/>
      <c r="AP669" s="189"/>
      <c r="AQ669" s="189"/>
      <c r="AR669" s="189"/>
      <c r="AS669" s="189"/>
      <c r="AT669" s="189"/>
      <c r="AU669" s="190"/>
      <c r="AV669" s="190"/>
      <c r="AW669" s="190"/>
      <c r="AX669" s="190"/>
      <c r="AY669" s="190"/>
      <c r="AZ669" s="189"/>
      <c r="BA669" s="189"/>
      <c r="BB669" s="189"/>
      <c r="BC669" s="189"/>
      <c r="BD669" s="189"/>
      <c r="BE669" s="189"/>
      <c r="BF669" s="189"/>
      <c r="BG669" s="189"/>
      <c r="BH669" s="189"/>
      <c r="BI669" s="190"/>
      <c r="BJ669" s="190"/>
      <c r="BK669" s="190"/>
      <c r="BL669" s="190"/>
      <c r="BM669" s="190"/>
      <c r="BN669" s="190"/>
      <c r="BO669" s="190"/>
      <c r="BP669" s="190"/>
      <c r="BQ669" s="190"/>
      <c r="BR669" s="190"/>
      <c r="BS669" s="190"/>
      <c r="BT669" s="190"/>
      <c r="BU669" s="190"/>
      <c r="BV669" s="190"/>
      <c r="BW669" s="190"/>
      <c r="BX669" s="190"/>
      <c r="BY669" s="190"/>
      <c r="BZ669" s="190"/>
      <c r="CA669" s="189"/>
      <c r="CB669" s="15"/>
    </row>
    <row r="670" spans="1:80" ht="15" x14ac:dyDescent="0.25">
      <c r="A670" s="167"/>
      <c r="B670" s="642"/>
      <c r="C670" s="642"/>
      <c r="D670" s="179"/>
      <c r="E670" s="169"/>
      <c r="F670" s="169"/>
      <c r="G670" s="187"/>
      <c r="H670" s="187"/>
      <c r="I670" s="187"/>
      <c r="J670" s="187"/>
      <c r="K670" s="187"/>
      <c r="L670" s="647"/>
      <c r="M670" s="646">
        <v>33772</v>
      </c>
      <c r="N670" s="585">
        <v>4.26</v>
      </c>
      <c r="O670" s="585">
        <v>2.8170000000000001E-2</v>
      </c>
      <c r="P670" s="175">
        <v>0</v>
      </c>
      <c r="Q670" s="175">
        <v>0</v>
      </c>
      <c r="R670" s="175">
        <v>3.9500000000000004E-3</v>
      </c>
      <c r="S670" s="175">
        <v>3.2000000000000002E-3</v>
      </c>
      <c r="T670" s="175">
        <v>4.9800000000000001E-3</v>
      </c>
      <c r="U670" s="175">
        <v>5.1599999999999997E-3</v>
      </c>
      <c r="V670" s="706">
        <v>1.089E-2</v>
      </c>
      <c r="W670" s="717"/>
      <c r="X670" s="713"/>
      <c r="Y670" s="718"/>
      <c r="Z670" s="709">
        <v>33</v>
      </c>
      <c r="AA670" s="175"/>
      <c r="AB670" s="200"/>
      <c r="AC670" s="205">
        <v>1.2999999999999999E-2</v>
      </c>
      <c r="AD670" s="175">
        <v>7</v>
      </c>
      <c r="AE670" s="175">
        <v>0.42</v>
      </c>
      <c r="AF670" s="186">
        <f t="shared" si="12"/>
        <v>2.94</v>
      </c>
      <c r="AG670" s="175">
        <v>1.44</v>
      </c>
      <c r="AH670" s="334"/>
      <c r="AI670" s="188"/>
      <c r="AJ670" s="188"/>
      <c r="AK670" s="188"/>
      <c r="AL670" s="189"/>
      <c r="AM670" s="189"/>
      <c r="AN670" s="189"/>
      <c r="AO670" s="189"/>
      <c r="AP670" s="189"/>
      <c r="AQ670" s="189"/>
      <c r="AR670" s="189"/>
      <c r="AS670" s="189"/>
      <c r="AT670" s="189"/>
      <c r="AU670" s="190"/>
      <c r="AV670" s="190"/>
      <c r="AW670" s="190"/>
      <c r="AX670" s="190"/>
      <c r="AY670" s="190"/>
      <c r="AZ670" s="189"/>
      <c r="BA670" s="189"/>
      <c r="BB670" s="189"/>
      <c r="BC670" s="189"/>
      <c r="BD670" s="189"/>
      <c r="BE670" s="189"/>
      <c r="BF670" s="189"/>
      <c r="BG670" s="189"/>
      <c r="BH670" s="189"/>
      <c r="BI670" s="190"/>
      <c r="BJ670" s="190"/>
      <c r="BK670" s="190"/>
      <c r="BL670" s="190"/>
      <c r="BM670" s="190"/>
      <c r="BN670" s="190"/>
      <c r="BO670" s="190"/>
      <c r="BP670" s="190"/>
      <c r="BQ670" s="190"/>
      <c r="BR670" s="190"/>
      <c r="BS670" s="190"/>
      <c r="BT670" s="190"/>
      <c r="BU670" s="190"/>
      <c r="BV670" s="190"/>
      <c r="BW670" s="190"/>
      <c r="BX670" s="190"/>
      <c r="BY670" s="190"/>
      <c r="BZ670" s="190"/>
      <c r="CA670" s="189"/>
      <c r="CB670" s="15"/>
    </row>
    <row r="671" spans="1:80" ht="15" x14ac:dyDescent="0.25">
      <c r="A671" s="167"/>
      <c r="B671" s="642"/>
      <c r="C671" s="642"/>
      <c r="D671" s="179"/>
      <c r="E671" s="169"/>
      <c r="F671" s="169"/>
      <c r="G671" s="187"/>
      <c r="H671" s="187"/>
      <c r="I671" s="187"/>
      <c r="J671" s="187"/>
      <c r="K671" s="187"/>
      <c r="L671" s="647"/>
      <c r="M671" s="646">
        <v>33772</v>
      </c>
      <c r="N671" s="585">
        <v>4.49</v>
      </c>
      <c r="O671" s="585">
        <v>3.2009999999999997E-2</v>
      </c>
      <c r="P671" s="175">
        <v>0</v>
      </c>
      <c r="Q671" s="175">
        <v>0</v>
      </c>
      <c r="R671" s="175">
        <v>8.8000000000000003E-4</v>
      </c>
      <c r="S671" s="175">
        <v>2.3400000000000001E-3</v>
      </c>
      <c r="T671" s="175">
        <v>4.5599999999999998E-3</v>
      </c>
      <c r="U671" s="175">
        <v>6.1399999999999996E-3</v>
      </c>
      <c r="V671" s="706">
        <v>1.8089999999999998E-2</v>
      </c>
      <c r="W671" s="717"/>
      <c r="X671" s="713"/>
      <c r="Y671" s="718"/>
      <c r="Z671" s="709">
        <v>23</v>
      </c>
      <c r="AA671" s="175"/>
      <c r="AB671" s="200"/>
      <c r="AC671" s="205">
        <v>1.0999999999999999E-2</v>
      </c>
      <c r="AD671" s="175">
        <v>7.2</v>
      </c>
      <c r="AE671" s="175">
        <v>0.42</v>
      </c>
      <c r="AF671" s="186">
        <f t="shared" si="12"/>
        <v>3.024</v>
      </c>
      <c r="AG671" s="175">
        <v>1.52</v>
      </c>
      <c r="AH671" s="334"/>
      <c r="AI671" s="188"/>
      <c r="AJ671" s="188"/>
      <c r="AK671" s="188"/>
      <c r="AL671" s="189"/>
      <c r="AM671" s="189"/>
      <c r="AN671" s="189"/>
      <c r="AO671" s="189"/>
      <c r="AP671" s="189"/>
      <c r="AQ671" s="189"/>
      <c r="AR671" s="189"/>
      <c r="AS671" s="189"/>
      <c r="AT671" s="189"/>
      <c r="AU671" s="190"/>
      <c r="AV671" s="190"/>
      <c r="AW671" s="190"/>
      <c r="AX671" s="190"/>
      <c r="AY671" s="190"/>
      <c r="AZ671" s="189"/>
      <c r="BA671" s="189"/>
      <c r="BB671" s="189"/>
      <c r="BC671" s="189"/>
      <c r="BD671" s="189"/>
      <c r="BE671" s="189"/>
      <c r="BF671" s="189"/>
      <c r="BG671" s="189"/>
      <c r="BH671" s="189"/>
      <c r="BI671" s="190"/>
      <c r="BJ671" s="190"/>
      <c r="BK671" s="190"/>
      <c r="BL671" s="190"/>
      <c r="BM671" s="190"/>
      <c r="BN671" s="190"/>
      <c r="BO671" s="190"/>
      <c r="BP671" s="190"/>
      <c r="BQ671" s="190"/>
      <c r="BR671" s="190"/>
      <c r="BS671" s="190"/>
      <c r="BT671" s="190"/>
      <c r="BU671" s="190"/>
      <c r="BV671" s="190"/>
      <c r="BW671" s="190"/>
      <c r="BX671" s="190"/>
      <c r="BY671" s="190"/>
      <c r="BZ671" s="190"/>
      <c r="CA671" s="189"/>
      <c r="CB671" s="15"/>
    </row>
    <row r="672" spans="1:80" ht="15" x14ac:dyDescent="0.25">
      <c r="A672" s="167"/>
      <c r="B672" s="642"/>
      <c r="C672" s="642"/>
      <c r="D672" s="179"/>
      <c r="E672" s="169"/>
      <c r="F672" s="169"/>
      <c r="G672" s="187"/>
      <c r="H672" s="187"/>
      <c r="I672" s="187"/>
      <c r="J672" s="187"/>
      <c r="K672" s="187"/>
      <c r="L672" s="647"/>
      <c r="M672" s="646">
        <v>33773</v>
      </c>
      <c r="N672" s="585">
        <v>3.96</v>
      </c>
      <c r="O672" s="585">
        <v>5.604E-2</v>
      </c>
      <c r="P672" s="175">
        <v>0</v>
      </c>
      <c r="Q672" s="175">
        <v>2.8400000000000001E-3</v>
      </c>
      <c r="R672" s="175">
        <v>8.8000000000000003E-4</v>
      </c>
      <c r="S672" s="175">
        <v>5.0000000000000001E-3</v>
      </c>
      <c r="T672" s="175">
        <v>8.7100000000000007E-3</v>
      </c>
      <c r="U672" s="175">
        <v>1.393E-2</v>
      </c>
      <c r="V672" s="706">
        <v>2.4680000000000001E-2</v>
      </c>
      <c r="W672" s="717"/>
      <c r="X672" s="713"/>
      <c r="Y672" s="718"/>
      <c r="Z672" s="709">
        <v>32</v>
      </c>
      <c r="AA672" s="175"/>
      <c r="AB672" s="200"/>
      <c r="AC672" s="205">
        <v>0.02</v>
      </c>
      <c r="AD672" s="175">
        <v>7.1</v>
      </c>
      <c r="AE672" s="175">
        <v>0.42</v>
      </c>
      <c r="AF672" s="186">
        <f t="shared" si="12"/>
        <v>2.9819999999999998</v>
      </c>
      <c r="AG672" s="175">
        <v>1.43</v>
      </c>
      <c r="AH672" s="334"/>
      <c r="AI672" s="188"/>
      <c r="AJ672" s="188"/>
      <c r="AK672" s="188"/>
      <c r="AL672" s="189"/>
      <c r="AM672" s="189"/>
      <c r="AN672" s="189"/>
      <c r="AO672" s="189"/>
      <c r="AP672" s="189"/>
      <c r="AQ672" s="189"/>
      <c r="AR672" s="189"/>
      <c r="AS672" s="189"/>
      <c r="AT672" s="189"/>
      <c r="AU672" s="190"/>
      <c r="AV672" s="190"/>
      <c r="AW672" s="190"/>
      <c r="AX672" s="190"/>
      <c r="AY672" s="190"/>
      <c r="AZ672" s="189"/>
      <c r="BA672" s="189"/>
      <c r="BB672" s="189"/>
      <c r="BC672" s="189"/>
      <c r="BD672" s="189"/>
      <c r="BE672" s="189"/>
      <c r="BF672" s="189"/>
      <c r="BG672" s="189"/>
      <c r="BH672" s="189"/>
      <c r="BI672" s="190"/>
      <c r="BJ672" s="190"/>
      <c r="BK672" s="190"/>
      <c r="BL672" s="190"/>
      <c r="BM672" s="190"/>
      <c r="BN672" s="190"/>
      <c r="BO672" s="190"/>
      <c r="BP672" s="190"/>
      <c r="BQ672" s="190"/>
      <c r="BR672" s="190"/>
      <c r="BS672" s="190"/>
      <c r="BT672" s="190"/>
      <c r="BU672" s="190"/>
      <c r="BV672" s="190"/>
      <c r="BW672" s="190"/>
      <c r="BX672" s="190"/>
      <c r="BY672" s="190"/>
      <c r="BZ672" s="190"/>
      <c r="CA672" s="189"/>
      <c r="CB672" s="15"/>
    </row>
    <row r="673" spans="1:80" ht="15" x14ac:dyDescent="0.25">
      <c r="A673" s="167"/>
      <c r="B673" s="642"/>
      <c r="C673" s="642"/>
      <c r="D673" s="179"/>
      <c r="E673" s="169"/>
      <c r="F673" s="169"/>
      <c r="G673" s="187"/>
      <c r="H673" s="187"/>
      <c r="I673" s="187"/>
      <c r="J673" s="187"/>
      <c r="K673" s="187"/>
      <c r="L673" s="647"/>
      <c r="M673" s="646">
        <v>33773</v>
      </c>
      <c r="N673" s="585">
        <v>3.88</v>
      </c>
      <c r="O673" s="585">
        <v>0.10303</v>
      </c>
      <c r="P673" s="175">
        <v>0</v>
      </c>
      <c r="Q673" s="175">
        <v>0</v>
      </c>
      <c r="R673" s="175">
        <v>1.043E-2</v>
      </c>
      <c r="S673" s="175">
        <v>1.208E-2</v>
      </c>
      <c r="T673" s="175">
        <v>1.9990000000000001E-2</v>
      </c>
      <c r="U673" s="175">
        <v>2.6380000000000001E-2</v>
      </c>
      <c r="V673" s="706">
        <v>3.415E-2</v>
      </c>
      <c r="W673" s="717"/>
      <c r="X673" s="713"/>
      <c r="Y673" s="718"/>
      <c r="Z673" s="709">
        <v>33</v>
      </c>
      <c r="AA673" s="175"/>
      <c r="AB673" s="200"/>
      <c r="AC673" s="205">
        <v>2.1000000000000001E-2</v>
      </c>
      <c r="AD673" s="175">
        <v>7.1</v>
      </c>
      <c r="AE673" s="175">
        <v>0.39</v>
      </c>
      <c r="AF673" s="186">
        <f t="shared" si="12"/>
        <v>2.7690000000000001</v>
      </c>
      <c r="AG673" s="175">
        <v>1.36</v>
      </c>
      <c r="AH673" s="334"/>
      <c r="AI673" s="188"/>
      <c r="AJ673" s="188"/>
      <c r="AK673" s="188"/>
      <c r="AL673" s="189"/>
      <c r="AM673" s="189"/>
      <c r="AN673" s="189"/>
      <c r="AO673" s="189"/>
      <c r="AP673" s="189"/>
      <c r="AQ673" s="189"/>
      <c r="AR673" s="189"/>
      <c r="AS673" s="189"/>
      <c r="AT673" s="189"/>
      <c r="AU673" s="190"/>
      <c r="AV673" s="190"/>
      <c r="AW673" s="190"/>
      <c r="AX673" s="190"/>
      <c r="AY673" s="190"/>
      <c r="AZ673" s="189"/>
      <c r="BA673" s="189"/>
      <c r="BB673" s="189"/>
      <c r="BC673" s="189"/>
      <c r="BD673" s="189"/>
      <c r="BE673" s="189"/>
      <c r="BF673" s="189"/>
      <c r="BG673" s="189"/>
      <c r="BH673" s="189"/>
      <c r="BI673" s="190"/>
      <c r="BJ673" s="190"/>
      <c r="BK673" s="190"/>
      <c r="BL673" s="190"/>
      <c r="BM673" s="190"/>
      <c r="BN673" s="190"/>
      <c r="BO673" s="190"/>
      <c r="BP673" s="190"/>
      <c r="BQ673" s="190"/>
      <c r="BR673" s="190"/>
      <c r="BS673" s="190"/>
      <c r="BT673" s="190"/>
      <c r="BU673" s="190"/>
      <c r="BV673" s="190"/>
      <c r="BW673" s="190"/>
      <c r="BX673" s="190"/>
      <c r="BY673" s="190"/>
      <c r="BZ673" s="190"/>
      <c r="CA673" s="189"/>
      <c r="CB673" s="15"/>
    </row>
    <row r="674" spans="1:80" ht="15" x14ac:dyDescent="0.25">
      <c r="A674" s="167"/>
      <c r="B674" s="642"/>
      <c r="C674" s="642"/>
      <c r="D674" s="179"/>
      <c r="E674" s="169"/>
      <c r="F674" s="169"/>
      <c r="G674" s="187"/>
      <c r="H674" s="187"/>
      <c r="I674" s="187"/>
      <c r="J674" s="187"/>
      <c r="K674" s="187"/>
      <c r="L674" s="647"/>
      <c r="M674" s="646">
        <v>33773</v>
      </c>
      <c r="N674" s="585">
        <v>3.53</v>
      </c>
      <c r="O674" s="585">
        <v>4.3499999999999997E-2</v>
      </c>
      <c r="P674" s="175">
        <v>0</v>
      </c>
      <c r="Q674" s="175">
        <v>0</v>
      </c>
      <c r="R674" s="175">
        <v>1.15E-3</v>
      </c>
      <c r="S674" s="175">
        <v>5.4099999999999999E-3</v>
      </c>
      <c r="T674" s="175">
        <v>6.7099999999999998E-3</v>
      </c>
      <c r="U674" s="175">
        <v>1.172E-2</v>
      </c>
      <c r="V674" s="706">
        <v>1.8519999999999998E-2</v>
      </c>
      <c r="W674" s="717"/>
      <c r="X674" s="713"/>
      <c r="Y674" s="718"/>
      <c r="Z674" s="709">
        <v>22</v>
      </c>
      <c r="AA674" s="175"/>
      <c r="AB674" s="200"/>
      <c r="AC674" s="205">
        <v>1.7999999999999999E-2</v>
      </c>
      <c r="AD674" s="175">
        <v>6.9</v>
      </c>
      <c r="AE674" s="175">
        <v>0.38</v>
      </c>
      <c r="AF674" s="186">
        <f t="shared" si="12"/>
        <v>2.6220000000000003</v>
      </c>
      <c r="AG674" s="175">
        <v>1.4</v>
      </c>
      <c r="AH674" s="334"/>
      <c r="AI674" s="188"/>
      <c r="AJ674" s="188"/>
      <c r="AK674" s="188"/>
      <c r="AL674" s="189"/>
      <c r="AM674" s="189"/>
      <c r="AN674" s="189"/>
      <c r="AO674" s="189"/>
      <c r="AP674" s="189"/>
      <c r="AQ674" s="189"/>
      <c r="AR674" s="189"/>
      <c r="AS674" s="189"/>
      <c r="AT674" s="189"/>
      <c r="AU674" s="190"/>
      <c r="AV674" s="190"/>
      <c r="AW674" s="190"/>
      <c r="AX674" s="190"/>
      <c r="AY674" s="190"/>
      <c r="AZ674" s="189"/>
      <c r="BA674" s="189"/>
      <c r="BB674" s="189"/>
      <c r="BC674" s="189"/>
      <c r="BD674" s="189"/>
      <c r="BE674" s="189"/>
      <c r="BF674" s="189"/>
      <c r="BG674" s="189"/>
      <c r="BH674" s="189"/>
      <c r="BI674" s="190"/>
      <c r="BJ674" s="190"/>
      <c r="BK674" s="190"/>
      <c r="BL674" s="190"/>
      <c r="BM674" s="190"/>
      <c r="BN674" s="190"/>
      <c r="BO674" s="190"/>
      <c r="BP674" s="190"/>
      <c r="BQ674" s="190"/>
      <c r="BR674" s="190"/>
      <c r="BS674" s="190"/>
      <c r="BT674" s="190"/>
      <c r="BU674" s="190"/>
      <c r="BV674" s="190"/>
      <c r="BW674" s="190"/>
      <c r="BX674" s="190"/>
      <c r="BY674" s="190"/>
      <c r="BZ674" s="190"/>
      <c r="CA674" s="189"/>
      <c r="CB674" s="15"/>
    </row>
    <row r="675" spans="1:80" ht="15" x14ac:dyDescent="0.25">
      <c r="A675" s="167"/>
      <c r="B675" s="642"/>
      <c r="C675" s="642"/>
      <c r="D675" s="179"/>
      <c r="E675" s="169"/>
      <c r="F675" s="169"/>
      <c r="G675" s="187"/>
      <c r="H675" s="187"/>
      <c r="I675" s="187"/>
      <c r="J675" s="187"/>
      <c r="K675" s="187"/>
      <c r="L675" s="647"/>
      <c r="M675" s="646">
        <v>33773</v>
      </c>
      <c r="N675" s="585">
        <v>4.26</v>
      </c>
      <c r="O675" s="585">
        <v>2.47E-2</v>
      </c>
      <c r="P675" s="175">
        <v>0</v>
      </c>
      <c r="Q675" s="175">
        <v>0</v>
      </c>
      <c r="R675" s="175">
        <v>4.6999999999999999E-4</v>
      </c>
      <c r="S675" s="175">
        <v>1.92E-3</v>
      </c>
      <c r="T675" s="175">
        <v>4.2399999999999998E-3</v>
      </c>
      <c r="U675" s="175">
        <v>5.8399999999999997E-3</v>
      </c>
      <c r="V675" s="706">
        <v>1.222E-2</v>
      </c>
      <c r="W675" s="717"/>
      <c r="X675" s="713"/>
      <c r="Y675" s="718"/>
      <c r="Z675" s="709">
        <v>25</v>
      </c>
      <c r="AA675" s="175"/>
      <c r="AB675" s="200"/>
      <c r="AC675" s="205">
        <v>1.2999999999999999E-2</v>
      </c>
      <c r="AD675" s="175">
        <v>7.1</v>
      </c>
      <c r="AE675" s="175">
        <v>0.4</v>
      </c>
      <c r="AF675" s="186">
        <f t="shared" si="12"/>
        <v>2.84</v>
      </c>
      <c r="AG675" s="175">
        <v>1.48</v>
      </c>
      <c r="AH675" s="334"/>
      <c r="AI675" s="188"/>
      <c r="AJ675" s="188"/>
      <c r="AK675" s="188"/>
      <c r="AL675" s="189"/>
      <c r="AM675" s="189"/>
      <c r="AN675" s="189"/>
      <c r="AO675" s="189"/>
      <c r="AP675" s="189"/>
      <c r="AQ675" s="189"/>
      <c r="AR675" s="189"/>
      <c r="AS675" s="189"/>
      <c r="AT675" s="189"/>
      <c r="AU675" s="190"/>
      <c r="AV675" s="190"/>
      <c r="AW675" s="190"/>
      <c r="AX675" s="190"/>
      <c r="AY675" s="190"/>
      <c r="AZ675" s="189"/>
      <c r="BA675" s="189"/>
      <c r="BB675" s="189"/>
      <c r="BC675" s="189"/>
      <c r="BD675" s="189"/>
      <c r="BE675" s="189"/>
      <c r="BF675" s="189"/>
      <c r="BG675" s="189"/>
      <c r="BH675" s="189"/>
      <c r="BI675" s="190"/>
      <c r="BJ675" s="190"/>
      <c r="BK675" s="190"/>
      <c r="BL675" s="190"/>
      <c r="BM675" s="190"/>
      <c r="BN675" s="190"/>
      <c r="BO675" s="190"/>
      <c r="BP675" s="190"/>
      <c r="BQ675" s="190"/>
      <c r="BR675" s="190"/>
      <c r="BS675" s="190"/>
      <c r="BT675" s="190"/>
      <c r="BU675" s="190"/>
      <c r="BV675" s="190"/>
      <c r="BW675" s="190"/>
      <c r="BX675" s="190"/>
      <c r="BY675" s="190"/>
      <c r="BZ675" s="190"/>
      <c r="CA675" s="189"/>
      <c r="CB675" s="15"/>
    </row>
    <row r="676" spans="1:80" ht="15" x14ac:dyDescent="0.25">
      <c r="A676" s="167"/>
      <c r="B676" s="642"/>
      <c r="C676" s="642"/>
      <c r="D676" s="179"/>
      <c r="E676" s="169"/>
      <c r="F676" s="169"/>
      <c r="G676" s="187"/>
      <c r="H676" s="187"/>
      <c r="I676" s="187"/>
      <c r="J676" s="187"/>
      <c r="K676" s="187"/>
      <c r="L676" s="647"/>
      <c r="M676" s="646">
        <v>33773</v>
      </c>
      <c r="N676" s="585">
        <v>4.57</v>
      </c>
      <c r="O676" s="585">
        <v>5.3030000000000001E-2</v>
      </c>
      <c r="P676" s="175">
        <v>0</v>
      </c>
      <c r="Q676" s="175">
        <v>0</v>
      </c>
      <c r="R676" s="175">
        <v>3.8700000000000002E-3</v>
      </c>
      <c r="S676" s="175">
        <v>7.2399999999999999E-3</v>
      </c>
      <c r="T676" s="175">
        <v>9.4500000000000001E-3</v>
      </c>
      <c r="U676" s="175">
        <v>1.167E-2</v>
      </c>
      <c r="V676" s="706">
        <v>2.0799999999999999E-2</v>
      </c>
      <c r="W676" s="717"/>
      <c r="X676" s="713"/>
      <c r="Y676" s="718"/>
      <c r="Z676" s="709">
        <v>28</v>
      </c>
      <c r="AA676" s="175"/>
      <c r="AB676" s="200"/>
      <c r="AC676" s="205">
        <v>1.7999999999999999E-2</v>
      </c>
      <c r="AD676" s="175">
        <v>7.2</v>
      </c>
      <c r="AE676" s="175">
        <v>0.42</v>
      </c>
      <c r="AF676" s="186">
        <f t="shared" si="12"/>
        <v>3.024</v>
      </c>
      <c r="AG676" s="175">
        <v>1.52</v>
      </c>
      <c r="AH676" s="334"/>
      <c r="AI676" s="188"/>
      <c r="AJ676" s="188"/>
      <c r="AK676" s="188"/>
      <c r="AL676" s="189"/>
      <c r="AM676" s="189"/>
      <c r="AN676" s="189"/>
      <c r="AO676" s="189"/>
      <c r="AP676" s="189"/>
      <c r="AQ676" s="189"/>
      <c r="AR676" s="189"/>
      <c r="AS676" s="189"/>
      <c r="AT676" s="189"/>
      <c r="AU676" s="190"/>
      <c r="AV676" s="190"/>
      <c r="AW676" s="190"/>
      <c r="AX676" s="190"/>
      <c r="AY676" s="190"/>
      <c r="AZ676" s="189"/>
      <c r="BA676" s="189"/>
      <c r="BB676" s="189"/>
      <c r="BC676" s="189"/>
      <c r="BD676" s="189"/>
      <c r="BE676" s="189"/>
      <c r="BF676" s="189"/>
      <c r="BG676" s="189"/>
      <c r="BH676" s="189"/>
      <c r="BI676" s="190"/>
      <c r="BJ676" s="190"/>
      <c r="BK676" s="190"/>
      <c r="BL676" s="190"/>
      <c r="BM676" s="190"/>
      <c r="BN676" s="190"/>
      <c r="BO676" s="190"/>
      <c r="BP676" s="190"/>
      <c r="BQ676" s="190"/>
      <c r="BR676" s="190"/>
      <c r="BS676" s="190"/>
      <c r="BT676" s="190"/>
      <c r="BU676" s="190"/>
      <c r="BV676" s="190"/>
      <c r="BW676" s="190"/>
      <c r="BX676" s="190"/>
      <c r="BY676" s="190"/>
      <c r="BZ676" s="190"/>
      <c r="CA676" s="189"/>
      <c r="CB676" s="15"/>
    </row>
    <row r="677" spans="1:80" ht="15" x14ac:dyDescent="0.25">
      <c r="A677" s="167"/>
      <c r="B677" s="642"/>
      <c r="C677" s="642"/>
      <c r="D677" s="179"/>
      <c r="E677" s="169"/>
      <c r="F677" s="169"/>
      <c r="G677" s="187"/>
      <c r="H677" s="187"/>
      <c r="I677" s="187"/>
      <c r="J677" s="187"/>
      <c r="K677" s="187"/>
      <c r="L677" s="647"/>
      <c r="M677" s="646">
        <v>33773</v>
      </c>
      <c r="N677" s="585">
        <v>3.96</v>
      </c>
      <c r="O677" s="585">
        <v>5.8270000000000002E-2</v>
      </c>
      <c r="P677" s="175">
        <v>0</v>
      </c>
      <c r="Q677" s="175">
        <v>6.0299999999999998E-3</v>
      </c>
      <c r="R677" s="175">
        <v>3.63E-3</v>
      </c>
      <c r="S677" s="175">
        <v>5.28E-3</v>
      </c>
      <c r="T677" s="175">
        <v>7.7799999999999996E-3</v>
      </c>
      <c r="U677" s="175">
        <v>1.086E-2</v>
      </c>
      <c r="V677" s="706">
        <v>2.469E-2</v>
      </c>
      <c r="W677" s="717"/>
      <c r="X677" s="713"/>
      <c r="Y677" s="718"/>
      <c r="Z677" s="709">
        <v>44</v>
      </c>
      <c r="AA677" s="175"/>
      <c r="AB677" s="200"/>
      <c r="AC677" s="205">
        <v>0</v>
      </c>
      <c r="AD677" s="175">
        <v>7.1</v>
      </c>
      <c r="AE677" s="175">
        <v>0.42</v>
      </c>
      <c r="AF677" s="186">
        <f t="shared" si="12"/>
        <v>2.9819999999999998</v>
      </c>
      <c r="AG677" s="175">
        <v>1.41</v>
      </c>
      <c r="AH677" s="334"/>
      <c r="AI677" s="188"/>
      <c r="AJ677" s="188"/>
      <c r="AK677" s="188"/>
      <c r="AL677" s="189"/>
      <c r="AM677" s="189"/>
      <c r="AN677" s="189"/>
      <c r="AO677" s="189"/>
      <c r="AP677" s="189"/>
      <c r="AQ677" s="189"/>
      <c r="AR677" s="189"/>
      <c r="AS677" s="189"/>
      <c r="AT677" s="189"/>
      <c r="AU677" s="190"/>
      <c r="AV677" s="190"/>
      <c r="AW677" s="190"/>
      <c r="AX677" s="190"/>
      <c r="AY677" s="190"/>
      <c r="AZ677" s="189"/>
      <c r="BA677" s="189"/>
      <c r="BB677" s="189"/>
      <c r="BC677" s="189"/>
      <c r="BD677" s="189"/>
      <c r="BE677" s="189"/>
      <c r="BF677" s="189"/>
      <c r="BG677" s="189"/>
      <c r="BH677" s="189"/>
      <c r="BI677" s="190"/>
      <c r="BJ677" s="190"/>
      <c r="BK677" s="190"/>
      <c r="BL677" s="190"/>
      <c r="BM677" s="190"/>
      <c r="BN677" s="190"/>
      <c r="BO677" s="190"/>
      <c r="BP677" s="190"/>
      <c r="BQ677" s="190"/>
      <c r="BR677" s="190"/>
      <c r="BS677" s="190"/>
      <c r="BT677" s="190"/>
      <c r="BU677" s="190"/>
      <c r="BV677" s="190"/>
      <c r="BW677" s="190"/>
      <c r="BX677" s="190"/>
      <c r="BY677" s="190"/>
      <c r="BZ677" s="190"/>
      <c r="CA677" s="189"/>
      <c r="CB677" s="15"/>
    </row>
    <row r="678" spans="1:80" ht="15" x14ac:dyDescent="0.25">
      <c r="A678" s="167"/>
      <c r="B678" s="642"/>
      <c r="C678" s="642"/>
      <c r="D678" s="179"/>
      <c r="E678" s="169"/>
      <c r="F678" s="169"/>
      <c r="G678" s="187"/>
      <c r="H678" s="187"/>
      <c r="I678" s="187"/>
      <c r="J678" s="187"/>
      <c r="K678" s="187"/>
      <c r="L678" s="647"/>
      <c r="M678" s="646">
        <v>33774</v>
      </c>
      <c r="N678" s="585">
        <v>3.81</v>
      </c>
      <c r="O678" s="585">
        <v>6.7430000000000004E-2</v>
      </c>
      <c r="P678" s="175">
        <v>0</v>
      </c>
      <c r="Q678" s="175">
        <v>0</v>
      </c>
      <c r="R678" s="175">
        <v>1.6299999999999999E-3</v>
      </c>
      <c r="S678" s="175">
        <v>5.7299999999999999E-3</v>
      </c>
      <c r="T678" s="175">
        <v>1.095E-2</v>
      </c>
      <c r="U678" s="175">
        <v>1.554E-2</v>
      </c>
      <c r="V678" s="706">
        <v>3.3590000000000002E-2</v>
      </c>
      <c r="W678" s="717"/>
      <c r="X678" s="713"/>
      <c r="Y678" s="718"/>
      <c r="Z678" s="709">
        <v>22</v>
      </c>
      <c r="AA678" s="175"/>
      <c r="AB678" s="200"/>
      <c r="AC678" s="205">
        <v>1.7000000000000001E-2</v>
      </c>
      <c r="AD678" s="175">
        <v>7.1</v>
      </c>
      <c r="AE678" s="175">
        <v>0.41</v>
      </c>
      <c r="AF678" s="186">
        <f t="shared" si="12"/>
        <v>2.9109999999999996</v>
      </c>
      <c r="AG678" s="175">
        <v>1.4</v>
      </c>
      <c r="AH678" s="334"/>
      <c r="AI678" s="188"/>
      <c r="AJ678" s="188"/>
      <c r="AK678" s="188"/>
      <c r="AL678" s="189"/>
      <c r="AM678" s="189"/>
      <c r="AN678" s="189"/>
      <c r="AO678" s="189"/>
      <c r="AP678" s="189"/>
      <c r="AQ678" s="189"/>
      <c r="AR678" s="189"/>
      <c r="AS678" s="189"/>
      <c r="AT678" s="189"/>
      <c r="AU678" s="190"/>
      <c r="AV678" s="190"/>
      <c r="AW678" s="190"/>
      <c r="AX678" s="190"/>
      <c r="AY678" s="190"/>
      <c r="AZ678" s="189"/>
      <c r="BA678" s="189"/>
      <c r="BB678" s="189"/>
      <c r="BC678" s="189"/>
      <c r="BD678" s="189"/>
      <c r="BE678" s="189"/>
      <c r="BF678" s="189"/>
      <c r="BG678" s="189"/>
      <c r="BH678" s="189"/>
      <c r="BI678" s="190"/>
      <c r="BJ678" s="190"/>
      <c r="BK678" s="190"/>
      <c r="BL678" s="190"/>
      <c r="BM678" s="190"/>
      <c r="BN678" s="190"/>
      <c r="BO678" s="190"/>
      <c r="BP678" s="190"/>
      <c r="BQ678" s="190"/>
      <c r="BR678" s="190"/>
      <c r="BS678" s="190"/>
      <c r="BT678" s="190"/>
      <c r="BU678" s="190"/>
      <c r="BV678" s="190"/>
      <c r="BW678" s="190"/>
      <c r="BX678" s="190"/>
      <c r="BY678" s="190"/>
      <c r="BZ678" s="190"/>
      <c r="CA678" s="189"/>
      <c r="CB678" s="15"/>
    </row>
    <row r="679" spans="1:80" ht="15" x14ac:dyDescent="0.25">
      <c r="A679" s="167"/>
      <c r="B679" s="642"/>
      <c r="C679" s="642"/>
      <c r="D679" s="179"/>
      <c r="E679" s="169"/>
      <c r="F679" s="169"/>
      <c r="G679" s="187"/>
      <c r="H679" s="187"/>
      <c r="I679" s="187"/>
      <c r="J679" s="187"/>
      <c r="K679" s="187"/>
      <c r="L679" s="647"/>
      <c r="M679" s="646">
        <v>33774</v>
      </c>
      <c r="N679" s="585">
        <v>3.74</v>
      </c>
      <c r="O679" s="585">
        <v>7.3130000000000001E-2</v>
      </c>
      <c r="P679" s="175">
        <v>0</v>
      </c>
      <c r="Q679" s="175">
        <v>0</v>
      </c>
      <c r="R679" s="175">
        <v>4.4000000000000003E-3</v>
      </c>
      <c r="S679" s="175">
        <v>9.2200000000000008E-3</v>
      </c>
      <c r="T679" s="175">
        <v>1.353E-2</v>
      </c>
      <c r="U679" s="175">
        <v>1.8339999999999999E-2</v>
      </c>
      <c r="V679" s="706">
        <v>2.7629999999999998E-2</v>
      </c>
      <c r="W679" s="717"/>
      <c r="X679" s="713"/>
      <c r="Y679" s="718"/>
      <c r="Z679" s="709">
        <v>27</v>
      </c>
      <c r="AA679" s="175"/>
      <c r="AB679" s="200"/>
      <c r="AC679" s="205">
        <v>1.2999999999999999E-2</v>
      </c>
      <c r="AD679" s="175">
        <v>6.9</v>
      </c>
      <c r="AE679" s="175">
        <v>0.39</v>
      </c>
      <c r="AF679" s="186">
        <f t="shared" si="12"/>
        <v>2.6910000000000003</v>
      </c>
      <c r="AG679" s="175">
        <v>1.41</v>
      </c>
      <c r="AH679" s="334"/>
      <c r="AI679" s="188"/>
      <c r="AJ679" s="188"/>
      <c r="AK679" s="188"/>
      <c r="AL679" s="189"/>
      <c r="AM679" s="189"/>
      <c r="AN679" s="189"/>
      <c r="AO679" s="189"/>
      <c r="AP679" s="189"/>
      <c r="AQ679" s="189"/>
      <c r="AR679" s="189"/>
      <c r="AS679" s="189"/>
      <c r="AT679" s="189"/>
      <c r="AU679" s="190"/>
      <c r="AV679" s="190"/>
      <c r="AW679" s="190"/>
      <c r="AX679" s="190"/>
      <c r="AY679" s="190"/>
      <c r="AZ679" s="189"/>
      <c r="BA679" s="189"/>
      <c r="BB679" s="189"/>
      <c r="BC679" s="189"/>
      <c r="BD679" s="189"/>
      <c r="BE679" s="189"/>
      <c r="BF679" s="189"/>
      <c r="BG679" s="189"/>
      <c r="BH679" s="189"/>
      <c r="BI679" s="190"/>
      <c r="BJ679" s="190"/>
      <c r="BK679" s="190"/>
      <c r="BL679" s="190"/>
      <c r="BM679" s="190"/>
      <c r="BN679" s="190"/>
      <c r="BO679" s="190"/>
      <c r="BP679" s="190"/>
      <c r="BQ679" s="190"/>
      <c r="BR679" s="190"/>
      <c r="BS679" s="190"/>
      <c r="BT679" s="190"/>
      <c r="BU679" s="190"/>
      <c r="BV679" s="190"/>
      <c r="BW679" s="190"/>
      <c r="BX679" s="190"/>
      <c r="BY679" s="190"/>
      <c r="BZ679" s="190"/>
      <c r="CA679" s="189"/>
      <c r="CB679" s="15"/>
    </row>
    <row r="680" spans="1:80" ht="15" x14ac:dyDescent="0.25">
      <c r="A680" s="167"/>
      <c r="B680" s="642"/>
      <c r="C680" s="642"/>
      <c r="D680" s="179"/>
      <c r="E680" s="169"/>
      <c r="F680" s="169"/>
      <c r="G680" s="187"/>
      <c r="H680" s="187"/>
      <c r="I680" s="187"/>
      <c r="J680" s="187"/>
      <c r="K680" s="187"/>
      <c r="L680" s="647"/>
      <c r="M680" s="646">
        <v>33774</v>
      </c>
      <c r="N680" s="585">
        <v>3.6</v>
      </c>
      <c r="O680" s="585">
        <v>2.8760000000000001E-2</v>
      </c>
      <c r="P680" s="175">
        <v>0</v>
      </c>
      <c r="Q680" s="175">
        <v>0</v>
      </c>
      <c r="R680" s="175">
        <v>6.6E-4</v>
      </c>
      <c r="S680" s="175">
        <v>2.5899999999999999E-3</v>
      </c>
      <c r="T680" s="175">
        <v>3.49E-3</v>
      </c>
      <c r="U680" s="175">
        <v>5.4000000000000003E-3</v>
      </c>
      <c r="V680" s="706">
        <v>1.6619999999999999E-2</v>
      </c>
      <c r="W680" s="717"/>
      <c r="X680" s="713"/>
      <c r="Y680" s="718"/>
      <c r="Z680" s="709">
        <v>19</v>
      </c>
      <c r="AA680" s="175"/>
      <c r="AB680" s="200"/>
      <c r="AC680" s="205">
        <v>1.6E-2</v>
      </c>
      <c r="AD680" s="175">
        <v>6.9</v>
      </c>
      <c r="AE680" s="175">
        <v>0.39</v>
      </c>
      <c r="AF680" s="186">
        <f t="shared" si="12"/>
        <v>2.6910000000000003</v>
      </c>
      <c r="AG680" s="175">
        <v>1.37</v>
      </c>
      <c r="AH680" s="334"/>
      <c r="AI680" s="188"/>
      <c r="AJ680" s="188"/>
      <c r="AK680" s="188"/>
      <c r="AL680" s="189"/>
      <c r="AM680" s="189"/>
      <c r="AN680" s="189"/>
      <c r="AO680" s="189"/>
      <c r="AP680" s="189"/>
      <c r="AQ680" s="189"/>
      <c r="AR680" s="189"/>
      <c r="AS680" s="189"/>
      <c r="AT680" s="189"/>
      <c r="AU680" s="190"/>
      <c r="AV680" s="190"/>
      <c r="AW680" s="190"/>
      <c r="AX680" s="190"/>
      <c r="AY680" s="190"/>
      <c r="AZ680" s="189"/>
      <c r="BA680" s="189"/>
      <c r="BB680" s="189"/>
      <c r="BC680" s="189"/>
      <c r="BD680" s="189"/>
      <c r="BE680" s="189"/>
      <c r="BF680" s="189"/>
      <c r="BG680" s="189"/>
      <c r="BH680" s="189"/>
      <c r="BI680" s="190"/>
      <c r="BJ680" s="190"/>
      <c r="BK680" s="190"/>
      <c r="BL680" s="190"/>
      <c r="BM680" s="190"/>
      <c r="BN680" s="190"/>
      <c r="BO680" s="190"/>
      <c r="BP680" s="190"/>
      <c r="BQ680" s="190"/>
      <c r="BR680" s="190"/>
      <c r="BS680" s="190"/>
      <c r="BT680" s="190"/>
      <c r="BU680" s="190"/>
      <c r="BV680" s="190"/>
      <c r="BW680" s="190"/>
      <c r="BX680" s="190"/>
      <c r="BY680" s="190"/>
      <c r="BZ680" s="190"/>
      <c r="CA680" s="189"/>
      <c r="CB680" s="15"/>
    </row>
    <row r="681" spans="1:80" ht="15" x14ac:dyDescent="0.25">
      <c r="A681" s="167"/>
      <c r="B681" s="642"/>
      <c r="C681" s="642"/>
      <c r="D681" s="179"/>
      <c r="E681" s="169"/>
      <c r="F681" s="169"/>
      <c r="G681" s="187"/>
      <c r="H681" s="187"/>
      <c r="I681" s="187"/>
      <c r="J681" s="187"/>
      <c r="K681" s="187"/>
      <c r="L681" s="647"/>
      <c r="M681" s="646">
        <v>33774</v>
      </c>
      <c r="N681" s="585">
        <v>4.26</v>
      </c>
      <c r="O681" s="585">
        <v>1.6709999999999999E-2</v>
      </c>
      <c r="P681" s="175">
        <v>0</v>
      </c>
      <c r="Q681" s="175">
        <v>0</v>
      </c>
      <c r="R681" s="175">
        <v>0</v>
      </c>
      <c r="S681" s="175">
        <v>1.9599999999999999E-3</v>
      </c>
      <c r="T681" s="175">
        <v>2.5300000000000001E-3</v>
      </c>
      <c r="U681" s="175">
        <v>2.8700000000000002E-3</v>
      </c>
      <c r="V681" s="706">
        <v>9.3500000000000007E-3</v>
      </c>
      <c r="W681" s="717"/>
      <c r="X681" s="713"/>
      <c r="Y681" s="718"/>
      <c r="Z681" s="709">
        <v>17</v>
      </c>
      <c r="AA681" s="175"/>
      <c r="AB681" s="200"/>
      <c r="AC681" s="205">
        <v>1.2999999999999999E-2</v>
      </c>
      <c r="AD681" s="175">
        <v>7.1</v>
      </c>
      <c r="AE681" s="175">
        <v>0.4</v>
      </c>
      <c r="AF681" s="186">
        <f t="shared" si="12"/>
        <v>2.84</v>
      </c>
      <c r="AG681" s="175">
        <v>1.42</v>
      </c>
      <c r="AH681" s="334"/>
      <c r="AI681" s="188"/>
      <c r="AJ681" s="188"/>
      <c r="AK681" s="188"/>
      <c r="AL681" s="189"/>
      <c r="AM681" s="189"/>
      <c r="AN681" s="189"/>
      <c r="AO681" s="189"/>
      <c r="AP681" s="189"/>
      <c r="AQ681" s="189"/>
      <c r="AR681" s="189"/>
      <c r="AS681" s="189"/>
      <c r="AT681" s="189"/>
      <c r="AU681" s="190"/>
      <c r="AV681" s="190"/>
      <c r="AW681" s="190"/>
      <c r="AX681" s="190"/>
      <c r="AY681" s="190"/>
      <c r="AZ681" s="189"/>
      <c r="BA681" s="189"/>
      <c r="BB681" s="189"/>
      <c r="BC681" s="189"/>
      <c r="BD681" s="189"/>
      <c r="BE681" s="189"/>
      <c r="BF681" s="189"/>
      <c r="BG681" s="189"/>
      <c r="BH681" s="189"/>
      <c r="BI681" s="190"/>
      <c r="BJ681" s="190"/>
      <c r="BK681" s="190"/>
      <c r="BL681" s="190"/>
      <c r="BM681" s="190"/>
      <c r="BN681" s="190"/>
      <c r="BO681" s="190"/>
      <c r="BP681" s="190"/>
      <c r="BQ681" s="190"/>
      <c r="BR681" s="190"/>
      <c r="BS681" s="190"/>
      <c r="BT681" s="190"/>
      <c r="BU681" s="190"/>
      <c r="BV681" s="190"/>
      <c r="BW681" s="190"/>
      <c r="BX681" s="190"/>
      <c r="BY681" s="190"/>
      <c r="BZ681" s="190"/>
      <c r="CA681" s="189"/>
      <c r="CB681" s="15"/>
    </row>
    <row r="682" spans="1:80" ht="15" x14ac:dyDescent="0.25">
      <c r="A682" s="167"/>
      <c r="B682" s="642"/>
      <c r="C682" s="642"/>
      <c r="D682" s="179"/>
      <c r="E682" s="169"/>
      <c r="F682" s="169"/>
      <c r="G682" s="187"/>
      <c r="H682" s="187"/>
      <c r="I682" s="187"/>
      <c r="J682" s="187"/>
      <c r="K682" s="187"/>
      <c r="L682" s="647"/>
      <c r="M682" s="646">
        <v>33774</v>
      </c>
      <c r="N682" s="585">
        <v>4.49</v>
      </c>
      <c r="O682" s="585">
        <v>2.069E-2</v>
      </c>
      <c r="P682" s="175">
        <v>0</v>
      </c>
      <c r="Q682" s="175">
        <v>0</v>
      </c>
      <c r="R682" s="175">
        <v>4.6999999999999999E-4</v>
      </c>
      <c r="S682" s="175">
        <v>1.9300000000000001E-3</v>
      </c>
      <c r="T682" s="175">
        <v>3.16E-3</v>
      </c>
      <c r="U682" s="175">
        <v>3.47E-3</v>
      </c>
      <c r="V682" s="706">
        <v>1.166E-2</v>
      </c>
      <c r="W682" s="717"/>
      <c r="X682" s="713"/>
      <c r="Y682" s="718"/>
      <c r="Z682" s="709">
        <v>24</v>
      </c>
      <c r="AA682" s="175"/>
      <c r="AB682" s="200"/>
      <c r="AC682" s="205">
        <v>1.4E-2</v>
      </c>
      <c r="AD682" s="175">
        <v>7.2</v>
      </c>
      <c r="AE682" s="175">
        <v>0.43</v>
      </c>
      <c r="AF682" s="186">
        <f t="shared" si="12"/>
        <v>3.0960000000000001</v>
      </c>
      <c r="AG682" s="175">
        <v>1.39</v>
      </c>
      <c r="AH682" s="334"/>
      <c r="AI682" s="188"/>
      <c r="AJ682" s="188"/>
      <c r="AK682" s="188"/>
      <c r="AL682" s="189"/>
      <c r="AM682" s="189"/>
      <c r="AN682" s="189"/>
      <c r="AO682" s="189"/>
      <c r="AP682" s="189"/>
      <c r="AQ682" s="189"/>
      <c r="AR682" s="189"/>
      <c r="AS682" s="189"/>
      <c r="AT682" s="189"/>
      <c r="AU682" s="190"/>
      <c r="AV682" s="190"/>
      <c r="AW682" s="190"/>
      <c r="AX682" s="190"/>
      <c r="AY682" s="190"/>
      <c r="AZ682" s="189"/>
      <c r="BA682" s="189"/>
      <c r="BB682" s="189"/>
      <c r="BC682" s="189"/>
      <c r="BD682" s="189"/>
      <c r="BE682" s="189"/>
      <c r="BF682" s="189"/>
      <c r="BG682" s="189"/>
      <c r="BH682" s="189"/>
      <c r="BI682" s="190"/>
      <c r="BJ682" s="190"/>
      <c r="BK682" s="190"/>
      <c r="BL682" s="190"/>
      <c r="BM682" s="190"/>
      <c r="BN682" s="190"/>
      <c r="BO682" s="190"/>
      <c r="BP682" s="190"/>
      <c r="BQ682" s="190"/>
      <c r="BR682" s="190"/>
      <c r="BS682" s="190"/>
      <c r="BT682" s="190"/>
      <c r="BU682" s="190"/>
      <c r="BV682" s="190"/>
      <c r="BW682" s="190"/>
      <c r="BX682" s="190"/>
      <c r="BY682" s="190"/>
      <c r="BZ682" s="190"/>
      <c r="CA682" s="189"/>
      <c r="CB682" s="15"/>
    </row>
    <row r="683" spans="1:80" ht="15" x14ac:dyDescent="0.25">
      <c r="A683" s="167"/>
      <c r="B683" s="642"/>
      <c r="C683" s="642"/>
      <c r="D683" s="179"/>
      <c r="E683" s="169"/>
      <c r="F683" s="169"/>
      <c r="G683" s="187"/>
      <c r="H683" s="187"/>
      <c r="I683" s="187"/>
      <c r="J683" s="187"/>
      <c r="K683" s="187"/>
      <c r="L683" s="647"/>
      <c r="M683" s="646">
        <v>33774</v>
      </c>
      <c r="N683" s="585">
        <v>4.57</v>
      </c>
      <c r="O683" s="585">
        <v>4.4569999999999999E-2</v>
      </c>
      <c r="P683" s="175">
        <v>0</v>
      </c>
      <c r="Q683" s="175">
        <v>0</v>
      </c>
      <c r="R683" s="175">
        <v>2.4399999999999999E-3</v>
      </c>
      <c r="S683" s="175">
        <v>4.9399999999999999E-3</v>
      </c>
      <c r="T683" s="175">
        <v>6.2899999999999996E-3</v>
      </c>
      <c r="U683" s="175">
        <v>8.9999999999999993E-3</v>
      </c>
      <c r="V683" s="706">
        <v>2.1899999999999999E-2</v>
      </c>
      <c r="W683" s="717"/>
      <c r="X683" s="713"/>
      <c r="Y683" s="718"/>
      <c r="Z683" s="709">
        <v>23</v>
      </c>
      <c r="AA683" s="175"/>
      <c r="AB683" s="200"/>
      <c r="AC683" s="205">
        <v>2.1000000000000001E-2</v>
      </c>
      <c r="AD683" s="175">
        <v>7.1</v>
      </c>
      <c r="AE683" s="175">
        <v>0.44</v>
      </c>
      <c r="AF683" s="186">
        <f t="shared" si="12"/>
        <v>3.1239999999999997</v>
      </c>
      <c r="AG683" s="175">
        <v>1.48</v>
      </c>
      <c r="AH683" s="334"/>
      <c r="AI683" s="188"/>
      <c r="AJ683" s="188"/>
      <c r="AK683" s="188"/>
      <c r="AL683" s="189"/>
      <c r="AM683" s="189"/>
      <c r="AN683" s="189"/>
      <c r="AO683" s="189"/>
      <c r="AP683" s="189"/>
      <c r="AQ683" s="189"/>
      <c r="AR683" s="189"/>
      <c r="AS683" s="189"/>
      <c r="AT683" s="189"/>
      <c r="AU683" s="190"/>
      <c r="AV683" s="190"/>
      <c r="AW683" s="190"/>
      <c r="AX683" s="190"/>
      <c r="AY683" s="190"/>
      <c r="AZ683" s="189"/>
      <c r="BA683" s="189"/>
      <c r="BB683" s="189"/>
      <c r="BC683" s="189"/>
      <c r="BD683" s="189"/>
      <c r="BE683" s="189"/>
      <c r="BF683" s="189"/>
      <c r="BG683" s="189"/>
      <c r="BH683" s="189"/>
      <c r="BI683" s="190"/>
      <c r="BJ683" s="190"/>
      <c r="BK683" s="190"/>
      <c r="BL683" s="190"/>
      <c r="BM683" s="190"/>
      <c r="BN683" s="190"/>
      <c r="BO683" s="190"/>
      <c r="BP683" s="190"/>
      <c r="BQ683" s="190"/>
      <c r="BR683" s="190"/>
      <c r="BS683" s="190"/>
      <c r="BT683" s="190"/>
      <c r="BU683" s="190"/>
      <c r="BV683" s="190"/>
      <c r="BW683" s="190"/>
      <c r="BX683" s="190"/>
      <c r="BY683" s="190"/>
      <c r="BZ683" s="190"/>
      <c r="CA683" s="189"/>
      <c r="CB683" s="15"/>
    </row>
    <row r="684" spans="1:80" ht="15" x14ac:dyDescent="0.25">
      <c r="A684" s="167"/>
      <c r="B684" s="642"/>
      <c r="C684" s="642"/>
      <c r="D684" s="179"/>
      <c r="E684" s="169"/>
      <c r="F684" s="169"/>
      <c r="G684" s="187"/>
      <c r="H684" s="187"/>
      <c r="I684" s="187"/>
      <c r="J684" s="187"/>
      <c r="K684" s="187"/>
      <c r="L684" s="647"/>
      <c r="M684" s="646">
        <v>33775</v>
      </c>
      <c r="N684" s="585">
        <v>4.41</v>
      </c>
      <c r="O684" s="585">
        <v>5.7579999999999999E-2</v>
      </c>
      <c r="P684" s="175">
        <v>0</v>
      </c>
      <c r="Q684" s="175">
        <v>0</v>
      </c>
      <c r="R684" s="175">
        <v>9.6000000000000002E-4</v>
      </c>
      <c r="S684" s="175">
        <v>1.0149999999999999E-2</v>
      </c>
      <c r="T684" s="175">
        <v>1.341E-2</v>
      </c>
      <c r="U684" s="175">
        <v>1.388E-2</v>
      </c>
      <c r="V684" s="706">
        <v>1.9189999999999999E-2</v>
      </c>
      <c r="W684" s="717"/>
      <c r="X684" s="713"/>
      <c r="Y684" s="718"/>
      <c r="Z684" s="709">
        <v>23</v>
      </c>
      <c r="AA684" s="175"/>
      <c r="AB684" s="200"/>
      <c r="AC684" s="205">
        <v>1.7999999999999999E-2</v>
      </c>
      <c r="AD684" s="175">
        <v>7.2</v>
      </c>
      <c r="AE684" s="175">
        <v>0.43</v>
      </c>
      <c r="AF684" s="186">
        <f t="shared" si="12"/>
        <v>3.0960000000000001</v>
      </c>
      <c r="AG684" s="175">
        <v>1.5</v>
      </c>
      <c r="AH684" s="334"/>
      <c r="AI684" s="188"/>
      <c r="AJ684" s="188"/>
      <c r="AK684" s="188"/>
      <c r="AL684" s="189"/>
      <c r="AM684" s="189"/>
      <c r="AN684" s="189"/>
      <c r="AO684" s="189"/>
      <c r="AP684" s="189"/>
      <c r="AQ684" s="189"/>
      <c r="AR684" s="189"/>
      <c r="AS684" s="189"/>
      <c r="AT684" s="189"/>
      <c r="AU684" s="190"/>
      <c r="AV684" s="190"/>
      <c r="AW684" s="190"/>
      <c r="AX684" s="190"/>
      <c r="AY684" s="190"/>
      <c r="AZ684" s="189"/>
      <c r="BA684" s="189"/>
      <c r="BB684" s="189"/>
      <c r="BC684" s="189"/>
      <c r="BD684" s="189"/>
      <c r="BE684" s="189"/>
      <c r="BF684" s="189"/>
      <c r="BG684" s="189"/>
      <c r="BH684" s="189"/>
      <c r="BI684" s="190"/>
      <c r="BJ684" s="190"/>
      <c r="BK684" s="190"/>
      <c r="BL684" s="190"/>
      <c r="BM684" s="190"/>
      <c r="BN684" s="190"/>
      <c r="BO684" s="190"/>
      <c r="BP684" s="190"/>
      <c r="BQ684" s="190"/>
      <c r="BR684" s="190"/>
      <c r="BS684" s="190"/>
      <c r="BT684" s="190"/>
      <c r="BU684" s="190"/>
      <c r="BV684" s="190"/>
      <c r="BW684" s="190"/>
      <c r="BX684" s="190"/>
      <c r="BY684" s="190"/>
      <c r="BZ684" s="190"/>
      <c r="CA684" s="189"/>
      <c r="CB684" s="15"/>
    </row>
    <row r="685" spans="1:80" ht="15" x14ac:dyDescent="0.25">
      <c r="A685" s="167"/>
      <c r="B685" s="642"/>
      <c r="C685" s="642"/>
      <c r="D685" s="179"/>
      <c r="E685" s="169"/>
      <c r="F685" s="169"/>
      <c r="G685" s="187"/>
      <c r="H685" s="187"/>
      <c r="I685" s="187"/>
      <c r="J685" s="187"/>
      <c r="K685" s="187"/>
      <c r="L685" s="647"/>
      <c r="M685" s="646">
        <v>33775</v>
      </c>
      <c r="N685" s="585">
        <v>3.88</v>
      </c>
      <c r="O685" s="585">
        <v>6.8690000000000001E-2</v>
      </c>
      <c r="P685" s="175">
        <v>0</v>
      </c>
      <c r="Q685" s="175">
        <v>0</v>
      </c>
      <c r="R685" s="175">
        <v>1.6299999999999999E-3</v>
      </c>
      <c r="S685" s="175">
        <v>5.9699999999999996E-3</v>
      </c>
      <c r="T685" s="175">
        <v>1.155E-2</v>
      </c>
      <c r="U685" s="175">
        <v>1.4659999999999999E-2</v>
      </c>
      <c r="V685" s="706">
        <v>3.4869999999999998E-2</v>
      </c>
      <c r="W685" s="717"/>
      <c r="X685" s="713"/>
      <c r="Y685" s="718"/>
      <c r="Z685" s="709">
        <v>23</v>
      </c>
      <c r="AA685" s="175"/>
      <c r="AB685" s="200"/>
      <c r="AC685" s="205">
        <v>1.9E-2</v>
      </c>
      <c r="AD685" s="175">
        <v>7</v>
      </c>
      <c r="AE685" s="175">
        <v>0.41</v>
      </c>
      <c r="AF685" s="186">
        <f t="shared" si="12"/>
        <v>2.8699999999999997</v>
      </c>
      <c r="AG685" s="175">
        <v>1.48</v>
      </c>
      <c r="AH685" s="334"/>
      <c r="AI685" s="188"/>
      <c r="AJ685" s="188"/>
      <c r="AK685" s="188"/>
      <c r="AL685" s="189"/>
      <c r="AM685" s="189"/>
      <c r="AN685" s="189"/>
      <c r="AO685" s="189"/>
      <c r="AP685" s="189"/>
      <c r="AQ685" s="189"/>
      <c r="AR685" s="189"/>
      <c r="AS685" s="189"/>
      <c r="AT685" s="189"/>
      <c r="AU685" s="190"/>
      <c r="AV685" s="190"/>
      <c r="AW685" s="190"/>
      <c r="AX685" s="190"/>
      <c r="AY685" s="190"/>
      <c r="AZ685" s="189"/>
      <c r="BA685" s="189"/>
      <c r="BB685" s="189"/>
      <c r="BC685" s="189"/>
      <c r="BD685" s="189"/>
      <c r="BE685" s="189"/>
      <c r="BF685" s="189"/>
      <c r="BG685" s="189"/>
      <c r="BH685" s="189"/>
      <c r="BI685" s="190"/>
      <c r="BJ685" s="190"/>
      <c r="BK685" s="190"/>
      <c r="BL685" s="190"/>
      <c r="BM685" s="190"/>
      <c r="BN685" s="190"/>
      <c r="BO685" s="190"/>
      <c r="BP685" s="190"/>
      <c r="BQ685" s="190"/>
      <c r="BR685" s="190"/>
      <c r="BS685" s="190"/>
      <c r="BT685" s="190"/>
      <c r="BU685" s="190"/>
      <c r="BV685" s="190"/>
      <c r="BW685" s="190"/>
      <c r="BX685" s="190"/>
      <c r="BY685" s="190"/>
      <c r="BZ685" s="190"/>
      <c r="CA685" s="189"/>
      <c r="CB685" s="15"/>
    </row>
    <row r="686" spans="1:80" ht="15" x14ac:dyDescent="0.25">
      <c r="A686" s="167"/>
      <c r="B686" s="642"/>
      <c r="C686" s="642"/>
      <c r="D686" s="179"/>
      <c r="E686" s="169"/>
      <c r="F686" s="169"/>
      <c r="G686" s="187"/>
      <c r="H686" s="187"/>
      <c r="I686" s="187"/>
      <c r="J686" s="187"/>
      <c r="K686" s="187"/>
      <c r="L686" s="647"/>
      <c r="M686" s="646">
        <v>33775</v>
      </c>
      <c r="N686" s="585">
        <v>3.81</v>
      </c>
      <c r="O686" s="585">
        <v>6.114E-2</v>
      </c>
      <c r="P686" s="175">
        <v>0</v>
      </c>
      <c r="Q686" s="175">
        <v>0</v>
      </c>
      <c r="R686" s="175">
        <v>2.9099999999999998E-3</v>
      </c>
      <c r="S686" s="175">
        <v>9.1599999999999997E-3</v>
      </c>
      <c r="T686" s="175">
        <v>9.7199999999999995E-3</v>
      </c>
      <c r="U686" s="175">
        <v>1.2149999999999999E-2</v>
      </c>
      <c r="V686" s="706">
        <v>2.7189999999999999E-2</v>
      </c>
      <c r="W686" s="717"/>
      <c r="X686" s="713"/>
      <c r="Y686" s="718"/>
      <c r="Z686" s="709">
        <v>27</v>
      </c>
      <c r="AA686" s="175"/>
      <c r="AB686" s="200"/>
      <c r="AC686" s="205">
        <v>1.9E-2</v>
      </c>
      <c r="AD686" s="175">
        <v>7</v>
      </c>
      <c r="AE686" s="175">
        <v>0.39</v>
      </c>
      <c r="AF686" s="186">
        <f t="shared" si="12"/>
        <v>2.73</v>
      </c>
      <c r="AG686" s="175">
        <v>1.4</v>
      </c>
      <c r="AH686" s="334"/>
      <c r="AI686" s="188"/>
      <c r="AJ686" s="188"/>
      <c r="AK686" s="188"/>
      <c r="AL686" s="189"/>
      <c r="AM686" s="189"/>
      <c r="AN686" s="189"/>
      <c r="AO686" s="189"/>
      <c r="AP686" s="189"/>
      <c r="AQ686" s="189"/>
      <c r="AR686" s="189"/>
      <c r="AS686" s="189"/>
      <c r="AT686" s="189"/>
      <c r="AU686" s="190"/>
      <c r="AV686" s="190"/>
      <c r="AW686" s="190"/>
      <c r="AX686" s="190"/>
      <c r="AY686" s="190"/>
      <c r="AZ686" s="189"/>
      <c r="BA686" s="189"/>
      <c r="BB686" s="189"/>
      <c r="BC686" s="189"/>
      <c r="BD686" s="189"/>
      <c r="BE686" s="189"/>
      <c r="BF686" s="189"/>
      <c r="BG686" s="189"/>
      <c r="BH686" s="189"/>
      <c r="BI686" s="190"/>
      <c r="BJ686" s="190"/>
      <c r="BK686" s="190"/>
      <c r="BL686" s="190"/>
      <c r="BM686" s="190"/>
      <c r="BN686" s="190"/>
      <c r="BO686" s="190"/>
      <c r="BP686" s="190"/>
      <c r="BQ686" s="190"/>
      <c r="BR686" s="190"/>
      <c r="BS686" s="190"/>
      <c r="BT686" s="190"/>
      <c r="BU686" s="190"/>
      <c r="BV686" s="190"/>
      <c r="BW686" s="190"/>
      <c r="BX686" s="190"/>
      <c r="BY686" s="190"/>
      <c r="BZ686" s="190"/>
      <c r="CA686" s="189"/>
      <c r="CB686" s="15"/>
    </row>
    <row r="687" spans="1:80" ht="15" x14ac:dyDescent="0.25">
      <c r="A687" s="167"/>
      <c r="B687" s="642"/>
      <c r="C687" s="642"/>
      <c r="D687" s="179"/>
      <c r="E687" s="169"/>
      <c r="F687" s="169"/>
      <c r="G687" s="187"/>
      <c r="H687" s="187"/>
      <c r="I687" s="187"/>
      <c r="J687" s="187"/>
      <c r="K687" s="187"/>
      <c r="L687" s="647"/>
      <c r="M687" s="646">
        <v>33775</v>
      </c>
      <c r="N687" s="585">
        <v>4.33</v>
      </c>
      <c r="O687" s="585">
        <v>4.9209999999999997E-2</v>
      </c>
      <c r="P687" s="175">
        <v>0</v>
      </c>
      <c r="Q687" s="175">
        <v>3.98E-3</v>
      </c>
      <c r="R687" s="175">
        <v>9.1400000000000006E-3</v>
      </c>
      <c r="S687" s="175">
        <v>4.9100000000000003E-3</v>
      </c>
      <c r="T687" s="175">
        <v>6.8799999999999998E-3</v>
      </c>
      <c r="U687" s="175">
        <v>8.1200000000000005E-3</v>
      </c>
      <c r="V687" s="706">
        <v>1.617E-2</v>
      </c>
      <c r="W687" s="717"/>
      <c r="X687" s="713"/>
      <c r="Y687" s="718"/>
      <c r="Z687" s="709">
        <v>40</v>
      </c>
      <c r="AA687" s="175"/>
      <c r="AB687" s="200"/>
      <c r="AC687" s="205">
        <v>1.7999999999999999E-2</v>
      </c>
      <c r="AD687" s="175">
        <v>7.2</v>
      </c>
      <c r="AE687" s="175">
        <v>0.4</v>
      </c>
      <c r="AF687" s="186">
        <f t="shared" si="12"/>
        <v>2.8800000000000003</v>
      </c>
      <c r="AG687" s="175">
        <v>1.45</v>
      </c>
      <c r="AH687" s="334"/>
      <c r="AI687" s="188"/>
      <c r="AJ687" s="188"/>
      <c r="AK687" s="188"/>
      <c r="AL687" s="189"/>
      <c r="AM687" s="189"/>
      <c r="AN687" s="189"/>
      <c r="AO687" s="189"/>
      <c r="AP687" s="189"/>
      <c r="AQ687" s="189"/>
      <c r="AR687" s="189"/>
      <c r="AS687" s="189"/>
      <c r="AT687" s="189"/>
      <c r="AU687" s="190"/>
      <c r="AV687" s="190"/>
      <c r="AW687" s="190"/>
      <c r="AX687" s="190"/>
      <c r="AY687" s="190"/>
      <c r="AZ687" s="189"/>
      <c r="BA687" s="189"/>
      <c r="BB687" s="189"/>
      <c r="BC687" s="189"/>
      <c r="BD687" s="189"/>
      <c r="BE687" s="189"/>
      <c r="BF687" s="189"/>
      <c r="BG687" s="189"/>
      <c r="BH687" s="189"/>
      <c r="BI687" s="190"/>
      <c r="BJ687" s="190"/>
      <c r="BK687" s="190"/>
      <c r="BL687" s="190"/>
      <c r="BM687" s="190"/>
      <c r="BN687" s="190"/>
      <c r="BO687" s="190"/>
      <c r="BP687" s="190"/>
      <c r="BQ687" s="190"/>
      <c r="BR687" s="190"/>
      <c r="BS687" s="190"/>
      <c r="BT687" s="190"/>
      <c r="BU687" s="190"/>
      <c r="BV687" s="190"/>
      <c r="BW687" s="190"/>
      <c r="BX687" s="190"/>
      <c r="BY687" s="190"/>
      <c r="BZ687" s="190"/>
      <c r="CA687" s="189"/>
      <c r="CB687" s="15"/>
    </row>
    <row r="688" spans="1:80" ht="15" x14ac:dyDescent="0.25">
      <c r="A688" s="167"/>
      <c r="B688" s="642"/>
      <c r="C688" s="642"/>
      <c r="D688" s="179"/>
      <c r="E688" s="169"/>
      <c r="F688" s="169"/>
      <c r="G688" s="187"/>
      <c r="H688" s="187"/>
      <c r="I688" s="187"/>
      <c r="J688" s="187"/>
      <c r="K688" s="187"/>
      <c r="L688" s="647"/>
      <c r="M688" s="646">
        <v>33775</v>
      </c>
      <c r="N688" s="585">
        <v>4.7300000000000004</v>
      </c>
      <c r="O688" s="585">
        <v>4.199E-2</v>
      </c>
      <c r="P688" s="175">
        <v>0</v>
      </c>
      <c r="Q688" s="175">
        <v>0</v>
      </c>
      <c r="R688" s="175">
        <v>1.34E-3</v>
      </c>
      <c r="S688" s="175">
        <v>3.63E-3</v>
      </c>
      <c r="T688" s="175">
        <v>4.7800000000000004E-3</v>
      </c>
      <c r="U688" s="175">
        <v>7.9500000000000005E-3</v>
      </c>
      <c r="V688" s="706">
        <v>2.4279999999999999E-2</v>
      </c>
      <c r="W688" s="717"/>
      <c r="X688" s="713"/>
      <c r="Y688" s="718"/>
      <c r="Z688" s="709">
        <v>21</v>
      </c>
      <c r="AA688" s="175"/>
      <c r="AB688" s="200"/>
      <c r="AC688" s="205">
        <v>0</v>
      </c>
      <c r="AD688" s="175">
        <v>7.3</v>
      </c>
      <c r="AE688" s="175">
        <v>0.45</v>
      </c>
      <c r="AF688" s="186">
        <f t="shared" si="12"/>
        <v>3.2850000000000001</v>
      </c>
      <c r="AG688" s="175">
        <v>1.45</v>
      </c>
      <c r="AH688" s="334"/>
      <c r="AI688" s="188"/>
      <c r="AJ688" s="188"/>
      <c r="AK688" s="188"/>
      <c r="AL688" s="189"/>
      <c r="AM688" s="189"/>
      <c r="AN688" s="189"/>
      <c r="AO688" s="189"/>
      <c r="AP688" s="189"/>
      <c r="AQ688" s="189"/>
      <c r="AR688" s="189"/>
      <c r="AS688" s="189"/>
      <c r="AT688" s="189"/>
      <c r="AU688" s="190"/>
      <c r="AV688" s="190"/>
      <c r="AW688" s="190"/>
      <c r="AX688" s="190"/>
      <c r="AY688" s="190"/>
      <c r="AZ688" s="189"/>
      <c r="BA688" s="189"/>
      <c r="BB688" s="189"/>
      <c r="BC688" s="189"/>
      <c r="BD688" s="189"/>
      <c r="BE688" s="189"/>
      <c r="BF688" s="189"/>
      <c r="BG688" s="189"/>
      <c r="BH688" s="189"/>
      <c r="BI688" s="190"/>
      <c r="BJ688" s="190"/>
      <c r="BK688" s="190"/>
      <c r="BL688" s="190"/>
      <c r="BM688" s="190"/>
      <c r="BN688" s="190"/>
      <c r="BO688" s="190"/>
      <c r="BP688" s="190"/>
      <c r="BQ688" s="190"/>
      <c r="BR688" s="190"/>
      <c r="BS688" s="190"/>
      <c r="BT688" s="190"/>
      <c r="BU688" s="190"/>
      <c r="BV688" s="190"/>
      <c r="BW688" s="190"/>
      <c r="BX688" s="190"/>
      <c r="BY688" s="190"/>
      <c r="BZ688" s="190"/>
      <c r="CA688" s="189"/>
      <c r="CB688" s="15"/>
    </row>
    <row r="689" spans="1:80" ht="15" x14ac:dyDescent="0.25">
      <c r="A689" s="167"/>
      <c r="B689" s="642"/>
      <c r="C689" s="642"/>
      <c r="D689" s="179"/>
      <c r="E689" s="169"/>
      <c r="F689" s="169"/>
      <c r="G689" s="187"/>
      <c r="H689" s="187"/>
      <c r="I689" s="187"/>
      <c r="J689" s="187"/>
      <c r="K689" s="187"/>
      <c r="L689" s="647"/>
      <c r="M689" s="646">
        <v>33775</v>
      </c>
      <c r="N689" s="585">
        <v>5.07</v>
      </c>
      <c r="O689" s="585">
        <v>0.16186</v>
      </c>
      <c r="P689" s="175">
        <v>0</v>
      </c>
      <c r="Q689" s="175">
        <v>0</v>
      </c>
      <c r="R689" s="175">
        <v>1.452E-2</v>
      </c>
      <c r="S689" s="175">
        <v>2.8119999999999999E-2</v>
      </c>
      <c r="T689" s="175">
        <v>2.69E-2</v>
      </c>
      <c r="U689" s="175">
        <v>2.7359999999999999E-2</v>
      </c>
      <c r="V689" s="706">
        <v>6.4960000000000004E-2</v>
      </c>
      <c r="W689" s="717"/>
      <c r="X689" s="713"/>
      <c r="Y689" s="718"/>
      <c r="Z689" s="709">
        <v>30</v>
      </c>
      <c r="AA689" s="175"/>
      <c r="AB689" s="200"/>
      <c r="AC689" s="205">
        <v>1.2999999999999999E-2</v>
      </c>
      <c r="AD689" s="175">
        <v>7.2</v>
      </c>
      <c r="AE689" s="175">
        <v>0.48</v>
      </c>
      <c r="AF689" s="186">
        <f t="shared" si="12"/>
        <v>3.456</v>
      </c>
      <c r="AG689" s="175">
        <v>1.46</v>
      </c>
      <c r="AH689" s="334"/>
      <c r="AI689" s="188"/>
      <c r="AJ689" s="188"/>
      <c r="AK689" s="188"/>
      <c r="AL689" s="189"/>
      <c r="AM689" s="189"/>
      <c r="AN689" s="189"/>
      <c r="AO689" s="189"/>
      <c r="AP689" s="189"/>
      <c r="AQ689" s="189"/>
      <c r="AR689" s="189"/>
      <c r="AS689" s="189"/>
      <c r="AT689" s="189"/>
      <c r="AU689" s="190"/>
      <c r="AV689" s="190"/>
      <c r="AW689" s="190"/>
      <c r="AX689" s="190"/>
      <c r="AY689" s="190"/>
      <c r="AZ689" s="189"/>
      <c r="BA689" s="189"/>
      <c r="BB689" s="189"/>
      <c r="BC689" s="189"/>
      <c r="BD689" s="189"/>
      <c r="BE689" s="189"/>
      <c r="BF689" s="189"/>
      <c r="BG689" s="189"/>
      <c r="BH689" s="189"/>
      <c r="BI689" s="190"/>
      <c r="BJ689" s="190"/>
      <c r="BK689" s="190"/>
      <c r="BL689" s="190"/>
      <c r="BM689" s="190"/>
      <c r="BN689" s="190"/>
      <c r="BO689" s="190"/>
      <c r="BP689" s="190"/>
      <c r="BQ689" s="190"/>
      <c r="BR689" s="190"/>
      <c r="BS689" s="190"/>
      <c r="BT689" s="190"/>
      <c r="BU689" s="190"/>
      <c r="BV689" s="190"/>
      <c r="BW689" s="190"/>
      <c r="BX689" s="190"/>
      <c r="BY689" s="190"/>
      <c r="BZ689" s="190"/>
      <c r="CA689" s="189"/>
      <c r="CB689" s="15"/>
    </row>
    <row r="690" spans="1:80" ht="15" x14ac:dyDescent="0.25">
      <c r="A690" s="167"/>
      <c r="B690" s="642"/>
      <c r="C690" s="642"/>
      <c r="D690" s="179"/>
      <c r="E690" s="169"/>
      <c r="F690" s="169"/>
      <c r="G690" s="187"/>
      <c r="H690" s="187"/>
      <c r="I690" s="187"/>
      <c r="J690" s="187"/>
      <c r="K690" s="187"/>
      <c r="L690" s="647"/>
      <c r="M690" s="646">
        <v>33776</v>
      </c>
      <c r="N690" s="585">
        <v>4.57</v>
      </c>
      <c r="O690" s="585">
        <v>0.1376</v>
      </c>
      <c r="P690" s="175">
        <v>0</v>
      </c>
      <c r="Q690" s="175">
        <v>5.94E-3</v>
      </c>
      <c r="R690" s="175">
        <v>7.0200000000000002E-3</v>
      </c>
      <c r="S690" s="175">
        <v>1.8190000000000001E-2</v>
      </c>
      <c r="T690" s="175">
        <v>2.5680000000000001E-2</v>
      </c>
      <c r="U690" s="175">
        <v>2.9309999999999999E-2</v>
      </c>
      <c r="V690" s="706">
        <v>5.1459999999999999E-2</v>
      </c>
      <c r="W690" s="717"/>
      <c r="X690" s="713"/>
      <c r="Y690" s="718"/>
      <c r="Z690" s="709">
        <v>41</v>
      </c>
      <c r="AA690" s="175"/>
      <c r="AB690" s="200"/>
      <c r="AC690" s="205">
        <v>2.1000000000000001E-2</v>
      </c>
      <c r="AD690" s="175">
        <v>7.3</v>
      </c>
      <c r="AE690" s="175">
        <v>0.4</v>
      </c>
      <c r="AF690" s="186">
        <f t="shared" si="12"/>
        <v>2.92</v>
      </c>
      <c r="AG690" s="175">
        <v>1.54</v>
      </c>
      <c r="AH690" s="334"/>
      <c r="AI690" s="188"/>
      <c r="AJ690" s="188"/>
      <c r="AK690" s="188"/>
      <c r="AL690" s="189"/>
      <c r="AM690" s="189"/>
      <c r="AN690" s="189"/>
      <c r="AO690" s="189"/>
      <c r="AP690" s="189"/>
      <c r="AQ690" s="189"/>
      <c r="AR690" s="189"/>
      <c r="AS690" s="189"/>
      <c r="AT690" s="189"/>
      <c r="AU690" s="190"/>
      <c r="AV690" s="190"/>
      <c r="AW690" s="190"/>
      <c r="AX690" s="190"/>
      <c r="AY690" s="190"/>
      <c r="AZ690" s="189"/>
      <c r="BA690" s="189"/>
      <c r="BB690" s="189"/>
      <c r="BC690" s="189"/>
      <c r="BD690" s="189"/>
      <c r="BE690" s="189"/>
      <c r="BF690" s="189"/>
      <c r="BG690" s="189"/>
      <c r="BH690" s="189"/>
      <c r="BI690" s="190"/>
      <c r="BJ690" s="190"/>
      <c r="BK690" s="190"/>
      <c r="BL690" s="190"/>
      <c r="BM690" s="190"/>
      <c r="BN690" s="190"/>
      <c r="BO690" s="190"/>
      <c r="BP690" s="190"/>
      <c r="BQ690" s="190"/>
      <c r="BR690" s="190"/>
      <c r="BS690" s="190"/>
      <c r="BT690" s="190"/>
      <c r="BU690" s="190"/>
      <c r="BV690" s="190"/>
      <c r="BW690" s="190"/>
      <c r="BX690" s="190"/>
      <c r="BY690" s="190"/>
      <c r="BZ690" s="190"/>
      <c r="CA690" s="189"/>
      <c r="CB690" s="15"/>
    </row>
    <row r="691" spans="1:80" ht="15" x14ac:dyDescent="0.25">
      <c r="A691" s="167"/>
      <c r="B691" s="642"/>
      <c r="C691" s="642"/>
      <c r="D691" s="179"/>
      <c r="E691" s="169"/>
      <c r="F691" s="169"/>
      <c r="G691" s="187"/>
      <c r="H691" s="187"/>
      <c r="I691" s="187"/>
      <c r="J691" s="187"/>
      <c r="K691" s="187"/>
      <c r="L691" s="647"/>
      <c r="M691" s="646">
        <v>33776</v>
      </c>
      <c r="N691" s="585">
        <v>5.15</v>
      </c>
      <c r="O691" s="585">
        <v>8.4839999999999999E-2</v>
      </c>
      <c r="P691" s="175">
        <v>0</v>
      </c>
      <c r="Q691" s="175">
        <v>0</v>
      </c>
      <c r="R691" s="175">
        <v>4.4900000000000001E-3</v>
      </c>
      <c r="S691" s="175">
        <v>1.0869999999999999E-2</v>
      </c>
      <c r="T691" s="175">
        <v>1.303E-2</v>
      </c>
      <c r="U691" s="175">
        <v>1.4330000000000001E-2</v>
      </c>
      <c r="V691" s="706">
        <v>4.2119999999999998E-2</v>
      </c>
      <c r="W691" s="717"/>
      <c r="X691" s="713"/>
      <c r="Y691" s="718"/>
      <c r="Z691" s="709">
        <v>30</v>
      </c>
      <c r="AA691" s="175"/>
      <c r="AB691" s="200"/>
      <c r="AC691" s="205">
        <v>1.2E-2</v>
      </c>
      <c r="AD691" s="175">
        <v>7.61</v>
      </c>
      <c r="AE691" s="175">
        <v>0.43</v>
      </c>
      <c r="AF691" s="186">
        <f t="shared" si="12"/>
        <v>3.2723</v>
      </c>
      <c r="AG691" s="175">
        <v>1.49</v>
      </c>
      <c r="AH691" s="334"/>
      <c r="AI691" s="188"/>
      <c r="AJ691" s="188"/>
      <c r="AK691" s="188"/>
      <c r="AL691" s="189"/>
      <c r="AM691" s="189"/>
      <c r="AN691" s="189"/>
      <c r="AO691" s="189"/>
      <c r="AP691" s="189"/>
      <c r="AQ691" s="189"/>
      <c r="AR691" s="189"/>
      <c r="AS691" s="189"/>
      <c r="AT691" s="189"/>
      <c r="AU691" s="190"/>
      <c r="AV691" s="190"/>
      <c r="AW691" s="190"/>
      <c r="AX691" s="190"/>
      <c r="AY691" s="190"/>
      <c r="AZ691" s="189"/>
      <c r="BA691" s="189"/>
      <c r="BB691" s="189"/>
      <c r="BC691" s="189"/>
      <c r="BD691" s="189"/>
      <c r="BE691" s="189"/>
      <c r="BF691" s="189"/>
      <c r="BG691" s="189"/>
      <c r="BH691" s="189"/>
      <c r="BI691" s="190"/>
      <c r="BJ691" s="190"/>
      <c r="BK691" s="190"/>
      <c r="BL691" s="190"/>
      <c r="BM691" s="190"/>
      <c r="BN691" s="190"/>
      <c r="BO691" s="190"/>
      <c r="BP691" s="190"/>
      <c r="BQ691" s="190"/>
      <c r="BR691" s="190"/>
      <c r="BS691" s="190"/>
      <c r="BT691" s="190"/>
      <c r="BU691" s="190"/>
      <c r="BV691" s="190"/>
      <c r="BW691" s="190"/>
      <c r="BX691" s="190"/>
      <c r="BY691" s="190"/>
      <c r="BZ691" s="190"/>
      <c r="CA691" s="189"/>
      <c r="CB691" s="15"/>
    </row>
    <row r="692" spans="1:80" ht="15" x14ac:dyDescent="0.25">
      <c r="A692" s="167"/>
      <c r="B692" s="642"/>
      <c r="C692" s="642"/>
      <c r="D692" s="179"/>
      <c r="E692" s="169"/>
      <c r="F692" s="169"/>
      <c r="G692" s="187"/>
      <c r="H692" s="187"/>
      <c r="I692" s="187"/>
      <c r="J692" s="187"/>
      <c r="K692" s="187"/>
      <c r="L692" s="647"/>
      <c r="M692" s="646">
        <v>33776</v>
      </c>
      <c r="N692" s="585">
        <v>5.07</v>
      </c>
      <c r="O692" s="585">
        <v>9.307E-2</v>
      </c>
      <c r="P692" s="175">
        <v>0</v>
      </c>
      <c r="Q692" s="175">
        <v>0</v>
      </c>
      <c r="R692" s="175">
        <v>6.3899999999999998E-3</v>
      </c>
      <c r="S692" s="175">
        <v>4.4200000000000003E-3</v>
      </c>
      <c r="T692" s="175">
        <v>1.197E-2</v>
      </c>
      <c r="U692" s="175">
        <v>1.7510000000000001E-2</v>
      </c>
      <c r="V692" s="706">
        <v>5.2780000000000001E-2</v>
      </c>
      <c r="W692" s="717"/>
      <c r="X692" s="713"/>
      <c r="Y692" s="718"/>
      <c r="Z692" s="709">
        <v>30</v>
      </c>
      <c r="AA692" s="175"/>
      <c r="AB692" s="200"/>
      <c r="AC692" s="205">
        <v>1.7999999999999999E-2</v>
      </c>
      <c r="AD692" s="175">
        <v>7.3</v>
      </c>
      <c r="AE692" s="175">
        <v>0.47</v>
      </c>
      <c r="AF692" s="186">
        <f t="shared" si="12"/>
        <v>3.4309999999999996</v>
      </c>
      <c r="AG692" s="175">
        <v>1.45</v>
      </c>
      <c r="AH692" s="334"/>
      <c r="AI692" s="188"/>
      <c r="AJ692" s="188"/>
      <c r="AK692" s="188"/>
      <c r="AL692" s="189"/>
      <c r="AM692" s="189"/>
      <c r="AN692" s="189"/>
      <c r="AO692" s="189"/>
      <c r="AP692" s="189"/>
      <c r="AQ692" s="189"/>
      <c r="AR692" s="189"/>
      <c r="AS692" s="189"/>
      <c r="AT692" s="189"/>
      <c r="AU692" s="190"/>
      <c r="AV692" s="190"/>
      <c r="AW692" s="190"/>
      <c r="AX692" s="190"/>
      <c r="AY692" s="190"/>
      <c r="AZ692" s="189"/>
      <c r="BA692" s="189"/>
      <c r="BB692" s="189"/>
      <c r="BC692" s="189"/>
      <c r="BD692" s="189"/>
      <c r="BE692" s="189"/>
      <c r="BF692" s="189"/>
      <c r="BG692" s="189"/>
      <c r="BH692" s="189"/>
      <c r="BI692" s="190"/>
      <c r="BJ692" s="190"/>
      <c r="BK692" s="190"/>
      <c r="BL692" s="190"/>
      <c r="BM692" s="190"/>
      <c r="BN692" s="190"/>
      <c r="BO692" s="190"/>
      <c r="BP692" s="190"/>
      <c r="BQ692" s="190"/>
      <c r="BR692" s="190"/>
      <c r="BS692" s="190"/>
      <c r="BT692" s="190"/>
      <c r="BU692" s="190"/>
      <c r="BV692" s="190"/>
      <c r="BW692" s="190"/>
      <c r="BX692" s="190"/>
      <c r="BY692" s="190"/>
      <c r="BZ692" s="190"/>
      <c r="CA692" s="189"/>
      <c r="CB692" s="15"/>
    </row>
    <row r="693" spans="1:80" ht="15" x14ac:dyDescent="0.25">
      <c r="A693" s="167"/>
      <c r="B693" s="642"/>
      <c r="C693" s="642"/>
      <c r="D693" s="179"/>
      <c r="E693" s="169"/>
      <c r="F693" s="169"/>
      <c r="G693" s="187"/>
      <c r="H693" s="187"/>
      <c r="I693" s="187"/>
      <c r="J693" s="187"/>
      <c r="K693" s="187"/>
      <c r="L693" s="647"/>
      <c r="M693" s="646">
        <v>33776</v>
      </c>
      <c r="N693" s="585">
        <v>4.6500000000000004</v>
      </c>
      <c r="O693" s="585">
        <v>0.11946</v>
      </c>
      <c r="P693" s="175">
        <v>0</v>
      </c>
      <c r="Q693" s="175">
        <v>3.2799999999999999E-3</v>
      </c>
      <c r="R693" s="175">
        <v>2.3900000000000002E-3</v>
      </c>
      <c r="S693" s="175">
        <v>1.503E-2</v>
      </c>
      <c r="T693" s="175">
        <v>2.026E-2</v>
      </c>
      <c r="U693" s="175">
        <v>2.5700000000000001E-2</v>
      </c>
      <c r="V693" s="706">
        <v>5.2810000000000003E-2</v>
      </c>
      <c r="W693" s="717"/>
      <c r="X693" s="713"/>
      <c r="Y693" s="718"/>
      <c r="Z693" s="709">
        <v>44</v>
      </c>
      <c r="AA693" s="175"/>
      <c r="AB693" s="200"/>
      <c r="AC693" s="205">
        <v>1.4999999999999999E-2</v>
      </c>
      <c r="AD693" s="175">
        <v>7.2</v>
      </c>
      <c r="AE693" s="175">
        <v>0.45</v>
      </c>
      <c r="AF693" s="186">
        <f t="shared" si="12"/>
        <v>3.24</v>
      </c>
      <c r="AG693" s="175">
        <v>1.37</v>
      </c>
      <c r="AH693" s="334"/>
      <c r="AI693" s="188"/>
      <c r="AJ693" s="188"/>
      <c r="AK693" s="188"/>
      <c r="AL693" s="189"/>
      <c r="AM693" s="189"/>
      <c r="AN693" s="189"/>
      <c r="AO693" s="189"/>
      <c r="AP693" s="189"/>
      <c r="AQ693" s="189"/>
      <c r="AR693" s="189"/>
      <c r="AS693" s="189"/>
      <c r="AT693" s="189"/>
      <c r="AU693" s="190"/>
      <c r="AV693" s="190"/>
      <c r="AW693" s="190"/>
      <c r="AX693" s="190"/>
      <c r="AY693" s="190"/>
      <c r="AZ693" s="189"/>
      <c r="BA693" s="189"/>
      <c r="BB693" s="189"/>
      <c r="BC693" s="189"/>
      <c r="BD693" s="189"/>
      <c r="BE693" s="189"/>
      <c r="BF693" s="189"/>
      <c r="BG693" s="189"/>
      <c r="BH693" s="189"/>
      <c r="BI693" s="190"/>
      <c r="BJ693" s="190"/>
      <c r="BK693" s="190"/>
      <c r="BL693" s="190"/>
      <c r="BM693" s="190"/>
      <c r="BN693" s="190"/>
      <c r="BO693" s="190"/>
      <c r="BP693" s="190"/>
      <c r="BQ693" s="190"/>
      <c r="BR693" s="190"/>
      <c r="BS693" s="190"/>
      <c r="BT693" s="190"/>
      <c r="BU693" s="190"/>
      <c r="BV693" s="190"/>
      <c r="BW693" s="190"/>
      <c r="BX693" s="190"/>
      <c r="BY693" s="190"/>
      <c r="BZ693" s="190"/>
      <c r="CA693" s="189"/>
      <c r="CB693" s="15"/>
    </row>
    <row r="694" spans="1:80" ht="15" x14ac:dyDescent="0.25">
      <c r="A694" s="167"/>
      <c r="B694" s="642"/>
      <c r="C694" s="642"/>
      <c r="D694" s="179"/>
      <c r="E694" s="169"/>
      <c r="F694" s="169"/>
      <c r="G694" s="187"/>
      <c r="H694" s="187"/>
      <c r="I694" s="187"/>
      <c r="J694" s="187"/>
      <c r="K694" s="187"/>
      <c r="L694" s="647"/>
      <c r="M694" s="646">
        <v>33777</v>
      </c>
      <c r="N694" s="585">
        <v>4.26</v>
      </c>
      <c r="O694" s="585">
        <v>9.3170000000000003E-2</v>
      </c>
      <c r="P694" s="175">
        <v>0</v>
      </c>
      <c r="Q694" s="175">
        <v>1.311E-2</v>
      </c>
      <c r="R694" s="175">
        <v>6.7299999999999999E-3</v>
      </c>
      <c r="S694" s="175">
        <v>8.7899999999999992E-3</v>
      </c>
      <c r="T694" s="175">
        <v>1.163E-2</v>
      </c>
      <c r="U694" s="175">
        <v>1.4919999999999999E-2</v>
      </c>
      <c r="V694" s="706">
        <v>3.7990000000000003E-2</v>
      </c>
      <c r="W694" s="717"/>
      <c r="X694" s="713"/>
      <c r="Y694" s="718"/>
      <c r="Z694" s="709">
        <v>53</v>
      </c>
      <c r="AA694" s="175"/>
      <c r="AB694" s="200"/>
      <c r="AC694" s="205">
        <v>1.7999999999999999E-2</v>
      </c>
      <c r="AD694" s="175">
        <v>7.2</v>
      </c>
      <c r="AE694" s="175">
        <v>0.41</v>
      </c>
      <c r="AF694" s="186">
        <f t="shared" si="12"/>
        <v>2.952</v>
      </c>
      <c r="AG694" s="175">
        <v>1.41</v>
      </c>
      <c r="AH694" s="334"/>
      <c r="AI694" s="188"/>
      <c r="AJ694" s="188"/>
      <c r="AK694" s="188"/>
      <c r="AL694" s="189"/>
      <c r="AM694" s="189"/>
      <c r="AN694" s="189"/>
      <c r="AO694" s="189"/>
      <c r="AP694" s="189"/>
      <c r="AQ694" s="189"/>
      <c r="AR694" s="189"/>
      <c r="AS694" s="189"/>
      <c r="AT694" s="189"/>
      <c r="AU694" s="190"/>
      <c r="AV694" s="190"/>
      <c r="AW694" s="190"/>
      <c r="AX694" s="190"/>
      <c r="AY694" s="190"/>
      <c r="AZ694" s="189"/>
      <c r="BA694" s="189"/>
      <c r="BB694" s="189"/>
      <c r="BC694" s="189"/>
      <c r="BD694" s="189"/>
      <c r="BE694" s="189"/>
      <c r="BF694" s="189"/>
      <c r="BG694" s="189"/>
      <c r="BH694" s="189"/>
      <c r="BI694" s="190"/>
      <c r="BJ694" s="190"/>
      <c r="BK694" s="190"/>
      <c r="BL694" s="190"/>
      <c r="BM694" s="190"/>
      <c r="BN694" s="190"/>
      <c r="BO694" s="190"/>
      <c r="BP694" s="190"/>
      <c r="BQ694" s="190"/>
      <c r="BR694" s="190"/>
      <c r="BS694" s="190"/>
      <c r="BT694" s="190"/>
      <c r="BU694" s="190"/>
      <c r="BV694" s="190"/>
      <c r="BW694" s="190"/>
      <c r="BX694" s="190"/>
      <c r="BY694" s="190"/>
      <c r="BZ694" s="190"/>
      <c r="CA694" s="189"/>
      <c r="CB694" s="15"/>
    </row>
    <row r="695" spans="1:80" ht="15" x14ac:dyDescent="0.25">
      <c r="A695" s="167"/>
      <c r="B695" s="642"/>
      <c r="C695" s="642"/>
      <c r="D695" s="179"/>
      <c r="E695" s="169"/>
      <c r="F695" s="169"/>
      <c r="G695" s="187"/>
      <c r="H695" s="187"/>
      <c r="I695" s="187"/>
      <c r="J695" s="187"/>
      <c r="K695" s="187"/>
      <c r="L695" s="647"/>
      <c r="M695" s="646">
        <v>33777</v>
      </c>
      <c r="N695" s="585">
        <v>3.96</v>
      </c>
      <c r="O695" s="585">
        <v>7.6200000000000004E-2</v>
      </c>
      <c r="P695" s="175">
        <v>0</v>
      </c>
      <c r="Q695" s="175">
        <v>2.6900000000000001E-3</v>
      </c>
      <c r="R695" s="175">
        <v>3.1099999999999999E-3</v>
      </c>
      <c r="S695" s="175">
        <v>6.6400000000000001E-3</v>
      </c>
      <c r="T695" s="175">
        <v>1.086E-2</v>
      </c>
      <c r="U695" s="175">
        <v>1.5679999999999999E-2</v>
      </c>
      <c r="V695" s="706">
        <v>3.721E-2</v>
      </c>
      <c r="W695" s="717"/>
      <c r="X695" s="713"/>
      <c r="Y695" s="718"/>
      <c r="Z695" s="709">
        <v>45</v>
      </c>
      <c r="AA695" s="175"/>
      <c r="AB695" s="200"/>
      <c r="AC695" s="205">
        <v>0.02</v>
      </c>
      <c r="AD695" s="175">
        <v>6.9</v>
      </c>
      <c r="AE695" s="175">
        <v>0.39</v>
      </c>
      <c r="AF695" s="186">
        <f t="shared" si="12"/>
        <v>2.6910000000000003</v>
      </c>
      <c r="AG695" s="175">
        <v>1.35</v>
      </c>
      <c r="AH695" s="334"/>
      <c r="AI695" s="188"/>
      <c r="AJ695" s="188"/>
      <c r="AK695" s="188"/>
      <c r="AL695" s="189"/>
      <c r="AM695" s="189"/>
      <c r="AN695" s="189"/>
      <c r="AO695" s="189"/>
      <c r="AP695" s="189"/>
      <c r="AQ695" s="189"/>
      <c r="AR695" s="189"/>
      <c r="AS695" s="189"/>
      <c r="AT695" s="189"/>
      <c r="AU695" s="190"/>
      <c r="AV695" s="190"/>
      <c r="AW695" s="190"/>
      <c r="AX695" s="190"/>
      <c r="AY695" s="190"/>
      <c r="AZ695" s="189"/>
      <c r="BA695" s="189"/>
      <c r="BB695" s="189"/>
      <c r="BC695" s="189"/>
      <c r="BD695" s="189"/>
      <c r="BE695" s="189"/>
      <c r="BF695" s="189"/>
      <c r="BG695" s="189"/>
      <c r="BH695" s="189"/>
      <c r="BI695" s="190"/>
      <c r="BJ695" s="190"/>
      <c r="BK695" s="190"/>
      <c r="BL695" s="190"/>
      <c r="BM695" s="190"/>
      <c r="BN695" s="190"/>
      <c r="BO695" s="190"/>
      <c r="BP695" s="190"/>
      <c r="BQ695" s="190"/>
      <c r="BR695" s="190"/>
      <c r="BS695" s="190"/>
      <c r="BT695" s="190"/>
      <c r="BU695" s="190"/>
      <c r="BV695" s="190"/>
      <c r="BW695" s="190"/>
      <c r="BX695" s="190"/>
      <c r="BY695" s="190"/>
      <c r="BZ695" s="190"/>
      <c r="CA695" s="189"/>
      <c r="CB695" s="15"/>
    </row>
    <row r="696" spans="1:80" ht="15" x14ac:dyDescent="0.25">
      <c r="A696" s="167"/>
      <c r="B696" s="642"/>
      <c r="C696" s="642"/>
      <c r="D696" s="179"/>
      <c r="E696" s="169"/>
      <c r="F696" s="169"/>
      <c r="G696" s="187"/>
      <c r="H696" s="187"/>
      <c r="I696" s="187"/>
      <c r="J696" s="187"/>
      <c r="K696" s="187"/>
      <c r="L696" s="647"/>
      <c r="M696" s="646">
        <v>33777</v>
      </c>
      <c r="N696" s="585">
        <v>4.03</v>
      </c>
      <c r="O696" s="585">
        <v>4.6769999999999999E-2</v>
      </c>
      <c r="P696" s="175">
        <v>0</v>
      </c>
      <c r="Q696" s="175">
        <v>0</v>
      </c>
      <c r="R696" s="175">
        <v>5.1399999999999996E-3</v>
      </c>
      <c r="S696" s="175">
        <v>3.9699999999999996E-3</v>
      </c>
      <c r="T696" s="175">
        <v>6.4400000000000004E-3</v>
      </c>
      <c r="U696" s="175">
        <v>7.9799999999999992E-3</v>
      </c>
      <c r="V696" s="706">
        <v>2.3230000000000001E-2</v>
      </c>
      <c r="W696" s="717"/>
      <c r="X696" s="713"/>
      <c r="Y696" s="718"/>
      <c r="Z696" s="709">
        <v>27</v>
      </c>
      <c r="AA696" s="175"/>
      <c r="AB696" s="200"/>
      <c r="AC696" s="205">
        <v>1.9E-2</v>
      </c>
      <c r="AD696" s="175">
        <v>7.1</v>
      </c>
      <c r="AE696" s="175">
        <v>0.41</v>
      </c>
      <c r="AF696" s="186">
        <f t="shared" si="12"/>
        <v>2.9109999999999996</v>
      </c>
      <c r="AG696" s="175">
        <v>1.33</v>
      </c>
      <c r="AH696" s="334"/>
      <c r="AI696" s="188"/>
      <c r="AJ696" s="188"/>
      <c r="AK696" s="188"/>
      <c r="AL696" s="189"/>
      <c r="AM696" s="189"/>
      <c r="AN696" s="189"/>
      <c r="AO696" s="189"/>
      <c r="AP696" s="189"/>
      <c r="AQ696" s="189"/>
      <c r="AR696" s="189"/>
      <c r="AS696" s="189"/>
      <c r="AT696" s="189"/>
      <c r="AU696" s="190"/>
      <c r="AV696" s="190"/>
      <c r="AW696" s="190"/>
      <c r="AX696" s="190"/>
      <c r="AY696" s="190"/>
      <c r="AZ696" s="189"/>
      <c r="BA696" s="189"/>
      <c r="BB696" s="189"/>
      <c r="BC696" s="189"/>
      <c r="BD696" s="189"/>
      <c r="BE696" s="189"/>
      <c r="BF696" s="189"/>
      <c r="BG696" s="189"/>
      <c r="BH696" s="189"/>
      <c r="BI696" s="190"/>
      <c r="BJ696" s="190"/>
      <c r="BK696" s="190"/>
      <c r="BL696" s="190"/>
      <c r="BM696" s="190"/>
      <c r="BN696" s="190"/>
      <c r="BO696" s="190"/>
      <c r="BP696" s="190"/>
      <c r="BQ696" s="190"/>
      <c r="BR696" s="190"/>
      <c r="BS696" s="190"/>
      <c r="BT696" s="190"/>
      <c r="BU696" s="190"/>
      <c r="BV696" s="190"/>
      <c r="BW696" s="190"/>
      <c r="BX696" s="190"/>
      <c r="BY696" s="190"/>
      <c r="BZ696" s="190"/>
      <c r="CA696" s="189"/>
      <c r="CB696" s="15"/>
    </row>
    <row r="697" spans="1:80" ht="15" x14ac:dyDescent="0.25">
      <c r="A697" s="167"/>
      <c r="B697" s="642"/>
      <c r="C697" s="642"/>
      <c r="D697" s="179"/>
      <c r="E697" s="169"/>
      <c r="F697" s="169"/>
      <c r="G697" s="187"/>
      <c r="H697" s="187"/>
      <c r="I697" s="187"/>
      <c r="J697" s="187"/>
      <c r="K697" s="187"/>
      <c r="L697" s="647"/>
      <c r="M697" s="646">
        <v>33777</v>
      </c>
      <c r="N697" s="585">
        <v>4.33</v>
      </c>
      <c r="O697" s="585">
        <v>9.6970000000000001E-2</v>
      </c>
      <c r="P697" s="175">
        <v>0</v>
      </c>
      <c r="Q697" s="175">
        <v>1.6719999999999999E-2</v>
      </c>
      <c r="R697" s="175">
        <v>4.7000000000000002E-3</v>
      </c>
      <c r="S697" s="175">
        <v>1.026E-2</v>
      </c>
      <c r="T697" s="175">
        <v>1.0410000000000001E-2</v>
      </c>
      <c r="U697" s="175">
        <v>1.323E-2</v>
      </c>
      <c r="V697" s="706">
        <v>4.165E-2</v>
      </c>
      <c r="W697" s="717"/>
      <c r="X697" s="713"/>
      <c r="Y697" s="718"/>
      <c r="Z697" s="709">
        <v>53</v>
      </c>
      <c r="AA697" s="175"/>
      <c r="AB697" s="200"/>
      <c r="AC697" s="205">
        <v>1.6E-2</v>
      </c>
      <c r="AD697" s="175">
        <v>7.1</v>
      </c>
      <c r="AE697" s="175">
        <v>0</v>
      </c>
      <c r="AF697" s="186">
        <f t="shared" si="12"/>
        <v>0</v>
      </c>
      <c r="AG697" s="175">
        <v>0</v>
      </c>
      <c r="AH697" s="334"/>
      <c r="AI697" s="188"/>
      <c r="AJ697" s="188"/>
      <c r="AK697" s="188"/>
      <c r="AL697" s="189"/>
      <c r="AM697" s="189"/>
      <c r="AN697" s="189"/>
      <c r="AO697" s="189"/>
      <c r="AP697" s="189"/>
      <c r="AQ697" s="189"/>
      <c r="AR697" s="189"/>
      <c r="AS697" s="189"/>
      <c r="AT697" s="189"/>
      <c r="AU697" s="190"/>
      <c r="AV697" s="190"/>
      <c r="AW697" s="190"/>
      <c r="AX697" s="190"/>
      <c r="AY697" s="190"/>
      <c r="AZ697" s="189"/>
      <c r="BA697" s="189"/>
      <c r="BB697" s="189"/>
      <c r="BC697" s="189"/>
      <c r="BD697" s="189"/>
      <c r="BE697" s="189"/>
      <c r="BF697" s="189"/>
      <c r="BG697" s="189"/>
      <c r="BH697" s="189"/>
      <c r="BI697" s="190"/>
      <c r="BJ697" s="190"/>
      <c r="BK697" s="190"/>
      <c r="BL697" s="190"/>
      <c r="BM697" s="190"/>
      <c r="BN697" s="190"/>
      <c r="BO697" s="190"/>
      <c r="BP697" s="190"/>
      <c r="BQ697" s="190"/>
      <c r="BR697" s="190"/>
      <c r="BS697" s="190"/>
      <c r="BT697" s="190"/>
      <c r="BU697" s="190"/>
      <c r="BV697" s="190"/>
      <c r="BW697" s="190"/>
      <c r="BX697" s="190"/>
      <c r="BY697" s="190"/>
      <c r="BZ697" s="190"/>
      <c r="CA697" s="189"/>
      <c r="CB697" s="15"/>
    </row>
    <row r="698" spans="1:80" ht="15" x14ac:dyDescent="0.25">
      <c r="A698" s="167"/>
      <c r="B698" s="642"/>
      <c r="C698" s="642"/>
      <c r="D698" s="179"/>
      <c r="E698" s="169"/>
      <c r="F698" s="169"/>
      <c r="G698" s="187"/>
      <c r="H698" s="187"/>
      <c r="I698" s="187"/>
      <c r="J698" s="187"/>
      <c r="K698" s="187"/>
      <c r="L698" s="647"/>
      <c r="M698" s="646">
        <v>33777</v>
      </c>
      <c r="N698" s="585">
        <v>3.96</v>
      </c>
      <c r="O698" s="585">
        <v>9.1359999999999997E-2</v>
      </c>
      <c r="P698" s="175">
        <v>0</v>
      </c>
      <c r="Q698" s="175">
        <v>6.7299999999999999E-3</v>
      </c>
      <c r="R698" s="175">
        <v>6.0299999999999998E-3</v>
      </c>
      <c r="S698" s="175">
        <v>9.6900000000000007E-3</v>
      </c>
      <c r="T698" s="175">
        <v>1.448E-2</v>
      </c>
      <c r="U698" s="175">
        <v>1.8970000000000001E-2</v>
      </c>
      <c r="V698" s="706">
        <v>3.5470000000000002E-2</v>
      </c>
      <c r="W698" s="717"/>
      <c r="X698" s="713"/>
      <c r="Y698" s="718"/>
      <c r="Z698" s="709">
        <v>40</v>
      </c>
      <c r="AA698" s="175"/>
      <c r="AB698" s="200"/>
      <c r="AC698" s="205">
        <v>1.7999999999999999E-2</v>
      </c>
      <c r="AD698" s="175">
        <v>7.1</v>
      </c>
      <c r="AE698" s="175">
        <v>0.44</v>
      </c>
      <c r="AF698" s="186">
        <f t="shared" si="12"/>
        <v>3.1239999999999997</v>
      </c>
      <c r="AG698" s="175">
        <v>1.35</v>
      </c>
      <c r="AH698" s="334"/>
      <c r="AI698" s="188"/>
      <c r="AJ698" s="188"/>
      <c r="AK698" s="188"/>
      <c r="AL698" s="189"/>
      <c r="AM698" s="189"/>
      <c r="AN698" s="189"/>
      <c r="AO698" s="189"/>
      <c r="AP698" s="189"/>
      <c r="AQ698" s="189"/>
      <c r="AR698" s="189"/>
      <c r="AS698" s="189"/>
      <c r="AT698" s="189"/>
      <c r="AU698" s="190"/>
      <c r="AV698" s="190"/>
      <c r="AW698" s="190"/>
      <c r="AX698" s="190"/>
      <c r="AY698" s="190"/>
      <c r="AZ698" s="189"/>
      <c r="BA698" s="189"/>
      <c r="BB698" s="189"/>
      <c r="BC698" s="189"/>
      <c r="BD698" s="189"/>
      <c r="BE698" s="189"/>
      <c r="BF698" s="189"/>
      <c r="BG698" s="189"/>
      <c r="BH698" s="189"/>
      <c r="BI698" s="190"/>
      <c r="BJ698" s="190"/>
      <c r="BK698" s="190"/>
      <c r="BL698" s="190"/>
      <c r="BM698" s="190"/>
      <c r="BN698" s="190"/>
      <c r="BO698" s="190"/>
      <c r="BP698" s="190"/>
      <c r="BQ698" s="190"/>
      <c r="BR698" s="190"/>
      <c r="BS698" s="190"/>
      <c r="BT698" s="190"/>
      <c r="BU698" s="190"/>
      <c r="BV698" s="190"/>
      <c r="BW698" s="190"/>
      <c r="BX698" s="190"/>
      <c r="BY698" s="190"/>
      <c r="BZ698" s="190"/>
      <c r="CA698" s="189"/>
      <c r="CB698" s="15"/>
    </row>
    <row r="699" spans="1:80" ht="15" x14ac:dyDescent="0.25">
      <c r="A699" s="167"/>
      <c r="B699" s="642"/>
      <c r="C699" s="642"/>
      <c r="D699" s="179"/>
      <c r="E699" s="169"/>
      <c r="F699" s="169"/>
      <c r="G699" s="187"/>
      <c r="H699" s="187"/>
      <c r="I699" s="187"/>
      <c r="J699" s="187"/>
      <c r="K699" s="187"/>
      <c r="L699" s="647"/>
      <c r="M699" s="646">
        <v>33778</v>
      </c>
      <c r="N699" s="585">
        <v>3.96</v>
      </c>
      <c r="O699" s="585">
        <v>5.636E-2</v>
      </c>
      <c r="P699" s="175">
        <v>0</v>
      </c>
      <c r="Q699" s="175">
        <v>4.4000000000000003E-3</v>
      </c>
      <c r="R699" s="175">
        <v>4.8300000000000001E-3</v>
      </c>
      <c r="S699" s="175">
        <v>6.2100000000000002E-3</v>
      </c>
      <c r="T699" s="175">
        <v>1.158E-2</v>
      </c>
      <c r="U699" s="175">
        <v>1.196E-2</v>
      </c>
      <c r="V699" s="706">
        <v>1.7389999999999999E-2</v>
      </c>
      <c r="W699" s="717"/>
      <c r="X699" s="713"/>
      <c r="Y699" s="718"/>
      <c r="Z699" s="709">
        <v>39</v>
      </c>
      <c r="AA699" s="175"/>
      <c r="AB699" s="200"/>
      <c r="AC699" s="205">
        <v>2.1000000000000001E-2</v>
      </c>
      <c r="AD699" s="175">
        <v>7.1</v>
      </c>
      <c r="AE699" s="175">
        <v>0.42</v>
      </c>
      <c r="AF699" s="186">
        <f t="shared" si="12"/>
        <v>2.9819999999999998</v>
      </c>
      <c r="AG699" s="175">
        <v>1.22</v>
      </c>
      <c r="AH699" s="334"/>
      <c r="AI699" s="188"/>
      <c r="AJ699" s="188"/>
      <c r="AK699" s="188"/>
      <c r="AL699" s="189"/>
      <c r="AM699" s="189"/>
      <c r="AN699" s="189"/>
      <c r="AO699" s="189"/>
      <c r="AP699" s="189"/>
      <c r="AQ699" s="189"/>
      <c r="AR699" s="189"/>
      <c r="AS699" s="189"/>
      <c r="AT699" s="189"/>
      <c r="AU699" s="190"/>
      <c r="AV699" s="190"/>
      <c r="AW699" s="190"/>
      <c r="AX699" s="190"/>
      <c r="AY699" s="190"/>
      <c r="AZ699" s="189"/>
      <c r="BA699" s="189"/>
      <c r="BB699" s="189"/>
      <c r="BC699" s="189"/>
      <c r="BD699" s="189"/>
      <c r="BE699" s="189"/>
      <c r="BF699" s="189"/>
      <c r="BG699" s="189"/>
      <c r="BH699" s="189"/>
      <c r="BI699" s="190"/>
      <c r="BJ699" s="190"/>
      <c r="BK699" s="190"/>
      <c r="BL699" s="190"/>
      <c r="BM699" s="190"/>
      <c r="BN699" s="190"/>
      <c r="BO699" s="190"/>
      <c r="BP699" s="190"/>
      <c r="BQ699" s="190"/>
      <c r="BR699" s="190"/>
      <c r="BS699" s="190"/>
      <c r="BT699" s="190"/>
      <c r="BU699" s="190"/>
      <c r="BV699" s="190"/>
      <c r="BW699" s="190"/>
      <c r="BX699" s="190"/>
      <c r="BY699" s="190"/>
      <c r="BZ699" s="190"/>
      <c r="CA699" s="189"/>
      <c r="CB699" s="15"/>
    </row>
    <row r="700" spans="1:80" ht="15" x14ac:dyDescent="0.25">
      <c r="A700" s="167"/>
      <c r="B700" s="642"/>
      <c r="C700" s="642"/>
      <c r="D700" s="179"/>
      <c r="E700" s="169"/>
      <c r="F700" s="169"/>
      <c r="G700" s="187"/>
      <c r="H700" s="187"/>
      <c r="I700" s="187"/>
      <c r="J700" s="187"/>
      <c r="K700" s="187"/>
      <c r="L700" s="647"/>
      <c r="M700" s="646">
        <v>33779</v>
      </c>
      <c r="N700" s="585">
        <v>3.6</v>
      </c>
      <c r="O700" s="585">
        <v>2.2259999999999999E-2</v>
      </c>
      <c r="P700" s="175">
        <v>0</v>
      </c>
      <c r="Q700" s="175">
        <v>3.9500000000000004E-3</v>
      </c>
      <c r="R700" s="175">
        <v>3.2000000000000002E-3</v>
      </c>
      <c r="S700" s="175">
        <v>5.0000000000000001E-4</v>
      </c>
      <c r="T700" s="175">
        <v>2.2399999999999998E-3</v>
      </c>
      <c r="U700" s="175">
        <v>3.29E-3</v>
      </c>
      <c r="V700" s="706">
        <v>9.0799999999999995E-3</v>
      </c>
      <c r="W700" s="717"/>
      <c r="X700" s="713"/>
      <c r="Y700" s="718"/>
      <c r="Z700" s="709">
        <v>39</v>
      </c>
      <c r="AA700" s="175"/>
      <c r="AB700" s="200"/>
      <c r="AC700" s="205">
        <v>1.9E-2</v>
      </c>
      <c r="AD700" s="175">
        <v>7.1</v>
      </c>
      <c r="AE700" s="175">
        <v>0.39</v>
      </c>
      <c r="AF700" s="186">
        <f t="shared" si="12"/>
        <v>2.7690000000000001</v>
      </c>
      <c r="AG700" s="175">
        <v>1.22</v>
      </c>
      <c r="AH700" s="334"/>
      <c r="AI700" s="188"/>
      <c r="AJ700" s="188"/>
      <c r="AK700" s="188"/>
      <c r="AL700" s="189"/>
      <c r="AM700" s="189"/>
      <c r="AN700" s="189"/>
      <c r="AO700" s="189"/>
      <c r="AP700" s="189"/>
      <c r="AQ700" s="189"/>
      <c r="AR700" s="189"/>
      <c r="AS700" s="189"/>
      <c r="AT700" s="189"/>
      <c r="AU700" s="190"/>
      <c r="AV700" s="190"/>
      <c r="AW700" s="190"/>
      <c r="AX700" s="190"/>
      <c r="AY700" s="190"/>
      <c r="AZ700" s="189"/>
      <c r="BA700" s="189"/>
      <c r="BB700" s="189"/>
      <c r="BC700" s="189"/>
      <c r="BD700" s="189"/>
      <c r="BE700" s="189"/>
      <c r="BF700" s="189"/>
      <c r="BG700" s="189"/>
      <c r="BH700" s="189"/>
      <c r="BI700" s="190"/>
      <c r="BJ700" s="190"/>
      <c r="BK700" s="190"/>
      <c r="BL700" s="190"/>
      <c r="BM700" s="190"/>
      <c r="BN700" s="190"/>
      <c r="BO700" s="190"/>
      <c r="BP700" s="190"/>
      <c r="BQ700" s="190"/>
      <c r="BR700" s="190"/>
      <c r="BS700" s="190"/>
      <c r="BT700" s="190"/>
      <c r="BU700" s="190"/>
      <c r="BV700" s="190"/>
      <c r="BW700" s="190"/>
      <c r="BX700" s="190"/>
      <c r="BY700" s="190"/>
      <c r="BZ700" s="190"/>
      <c r="CA700" s="189"/>
      <c r="CB700" s="15"/>
    </row>
    <row r="701" spans="1:80" ht="15" x14ac:dyDescent="0.25">
      <c r="A701" s="167"/>
      <c r="B701" s="642"/>
      <c r="C701" s="642"/>
      <c r="D701" s="179"/>
      <c r="E701" s="169"/>
      <c r="F701" s="169"/>
      <c r="G701" s="187"/>
      <c r="H701" s="187"/>
      <c r="I701" s="187"/>
      <c r="J701" s="187"/>
      <c r="K701" s="187"/>
      <c r="L701" s="647"/>
      <c r="M701" s="646">
        <v>33779</v>
      </c>
      <c r="N701" s="585">
        <v>3.6</v>
      </c>
      <c r="O701" s="585">
        <v>4.2380000000000001E-2</v>
      </c>
      <c r="P701" s="175">
        <v>0</v>
      </c>
      <c r="Q701" s="175">
        <v>0</v>
      </c>
      <c r="R701" s="175">
        <v>7.9900000000000006E-3</v>
      </c>
      <c r="S701" s="175">
        <v>6.0000000000000001E-3</v>
      </c>
      <c r="T701" s="175">
        <v>4.8399999999999997E-3</v>
      </c>
      <c r="U701" s="175">
        <v>5.4000000000000003E-3</v>
      </c>
      <c r="V701" s="706">
        <v>1.814E-2</v>
      </c>
      <c r="W701" s="717"/>
      <c r="X701" s="713"/>
      <c r="Y701" s="718"/>
      <c r="Z701" s="709">
        <v>27</v>
      </c>
      <c r="AA701" s="175"/>
      <c r="AB701" s="200"/>
      <c r="AC701" s="205">
        <v>1.4999999999999999E-2</v>
      </c>
      <c r="AD701" s="175">
        <v>7</v>
      </c>
      <c r="AE701" s="175">
        <v>0.39</v>
      </c>
      <c r="AF701" s="186">
        <f t="shared" si="12"/>
        <v>2.73</v>
      </c>
      <c r="AG701" s="175">
        <v>1.25</v>
      </c>
      <c r="AH701" s="334"/>
      <c r="AI701" s="188"/>
      <c r="AJ701" s="188"/>
      <c r="AK701" s="188"/>
      <c r="AL701" s="189"/>
      <c r="AM701" s="189"/>
      <c r="AN701" s="189"/>
      <c r="AO701" s="189"/>
      <c r="AP701" s="189"/>
      <c r="AQ701" s="189"/>
      <c r="AR701" s="189"/>
      <c r="AS701" s="189"/>
      <c r="AT701" s="189"/>
      <c r="AU701" s="190"/>
      <c r="AV701" s="190"/>
      <c r="AW701" s="190"/>
      <c r="AX701" s="190"/>
      <c r="AY701" s="190"/>
      <c r="AZ701" s="189"/>
      <c r="BA701" s="189"/>
      <c r="BB701" s="189"/>
      <c r="BC701" s="189"/>
      <c r="BD701" s="189"/>
      <c r="BE701" s="189"/>
      <c r="BF701" s="189"/>
      <c r="BG701" s="189"/>
      <c r="BH701" s="189"/>
      <c r="BI701" s="190"/>
      <c r="BJ701" s="190"/>
      <c r="BK701" s="190"/>
      <c r="BL701" s="190"/>
      <c r="BM701" s="190"/>
      <c r="BN701" s="190"/>
      <c r="BO701" s="190"/>
      <c r="BP701" s="190"/>
      <c r="BQ701" s="190"/>
      <c r="BR701" s="190"/>
      <c r="BS701" s="190"/>
      <c r="BT701" s="190"/>
      <c r="BU701" s="190"/>
      <c r="BV701" s="190"/>
      <c r="BW701" s="190"/>
      <c r="BX701" s="190"/>
      <c r="BY701" s="190"/>
      <c r="BZ701" s="190"/>
      <c r="CA701" s="189"/>
      <c r="CB701" s="15"/>
    </row>
    <row r="702" spans="1:80" ht="15" x14ac:dyDescent="0.25">
      <c r="A702" s="167"/>
      <c r="B702" s="642"/>
      <c r="C702" s="642"/>
      <c r="D702" s="179"/>
      <c r="E702" s="169"/>
      <c r="F702" s="169"/>
      <c r="G702" s="187"/>
      <c r="H702" s="187"/>
      <c r="I702" s="187"/>
      <c r="J702" s="187"/>
      <c r="K702" s="187"/>
      <c r="L702" s="647"/>
      <c r="M702" s="646">
        <v>33779</v>
      </c>
      <c r="N702" s="585">
        <v>3.74</v>
      </c>
      <c r="O702" s="585">
        <v>4.7149999999999997E-2</v>
      </c>
      <c r="P702" s="175">
        <v>0</v>
      </c>
      <c r="Q702" s="175">
        <v>7.3499999999999998E-3</v>
      </c>
      <c r="R702" s="175">
        <v>1.2600000000000001E-3</v>
      </c>
      <c r="S702" s="175">
        <v>3.7599999999999999E-3</v>
      </c>
      <c r="T702" s="175">
        <v>6.7099999999999998E-3</v>
      </c>
      <c r="U702" s="175">
        <v>8.6599999999999993E-3</v>
      </c>
      <c r="V702" s="706">
        <v>1.941E-2</v>
      </c>
      <c r="W702" s="717"/>
      <c r="X702" s="713"/>
      <c r="Y702" s="718"/>
      <c r="Z702" s="709">
        <v>51</v>
      </c>
      <c r="AA702" s="175"/>
      <c r="AB702" s="200"/>
      <c r="AC702" s="205">
        <v>1.7999999999999999E-2</v>
      </c>
      <c r="AD702" s="175">
        <v>7</v>
      </c>
      <c r="AE702" s="175">
        <v>0.4</v>
      </c>
      <c r="AF702" s="186">
        <f t="shared" si="12"/>
        <v>2.8000000000000003</v>
      </c>
      <c r="AG702" s="175">
        <v>1.32</v>
      </c>
      <c r="AH702" s="334"/>
      <c r="AI702" s="188"/>
      <c r="AJ702" s="188"/>
      <c r="AK702" s="188"/>
      <c r="AL702" s="189"/>
      <c r="AM702" s="189"/>
      <c r="AN702" s="189"/>
      <c r="AO702" s="189"/>
      <c r="AP702" s="189"/>
      <c r="AQ702" s="189"/>
      <c r="AR702" s="189"/>
      <c r="AS702" s="189"/>
      <c r="AT702" s="189"/>
      <c r="AU702" s="190"/>
      <c r="AV702" s="190"/>
      <c r="AW702" s="190"/>
      <c r="AX702" s="190"/>
      <c r="AY702" s="190"/>
      <c r="AZ702" s="189"/>
      <c r="BA702" s="189"/>
      <c r="BB702" s="189"/>
      <c r="BC702" s="189"/>
      <c r="BD702" s="189"/>
      <c r="BE702" s="189"/>
      <c r="BF702" s="189"/>
      <c r="BG702" s="189"/>
      <c r="BH702" s="189"/>
      <c r="BI702" s="190"/>
      <c r="BJ702" s="190"/>
      <c r="BK702" s="190"/>
      <c r="BL702" s="190"/>
      <c r="BM702" s="190"/>
      <c r="BN702" s="190"/>
      <c r="BO702" s="190"/>
      <c r="BP702" s="190"/>
      <c r="BQ702" s="190"/>
      <c r="BR702" s="190"/>
      <c r="BS702" s="190"/>
      <c r="BT702" s="190"/>
      <c r="BU702" s="190"/>
      <c r="BV702" s="190"/>
      <c r="BW702" s="190"/>
      <c r="BX702" s="190"/>
      <c r="BY702" s="190"/>
      <c r="BZ702" s="190"/>
      <c r="CA702" s="189"/>
      <c r="CB702" s="15"/>
    </row>
    <row r="703" spans="1:80" ht="15" x14ac:dyDescent="0.25">
      <c r="A703" s="167"/>
      <c r="B703" s="642"/>
      <c r="C703" s="642"/>
      <c r="D703" s="179"/>
      <c r="E703" s="169"/>
      <c r="F703" s="169"/>
      <c r="G703" s="187"/>
      <c r="H703" s="187"/>
      <c r="I703" s="187"/>
      <c r="J703" s="187"/>
      <c r="K703" s="187"/>
      <c r="L703" s="647"/>
      <c r="M703" s="646">
        <v>33779</v>
      </c>
      <c r="N703" s="585">
        <v>3.67</v>
      </c>
      <c r="O703" s="585">
        <v>2.8500000000000001E-2</v>
      </c>
      <c r="P703" s="175">
        <v>0</v>
      </c>
      <c r="Q703" s="175">
        <v>0</v>
      </c>
      <c r="R703" s="175">
        <v>6.6E-4</v>
      </c>
      <c r="S703" s="175">
        <v>1.4499999999999999E-3</v>
      </c>
      <c r="T703" s="175">
        <v>3.7200000000000002E-3</v>
      </c>
      <c r="U703" s="175">
        <v>5.3299999999999997E-3</v>
      </c>
      <c r="V703" s="706">
        <v>1.7340000000000001E-2</v>
      </c>
      <c r="W703" s="717"/>
      <c r="X703" s="713"/>
      <c r="Y703" s="718"/>
      <c r="Z703" s="709">
        <v>21</v>
      </c>
      <c r="AA703" s="175"/>
      <c r="AB703" s="200"/>
      <c r="AC703" s="205">
        <v>1.9E-2</v>
      </c>
      <c r="AD703" s="175">
        <v>7.1</v>
      </c>
      <c r="AE703" s="175">
        <v>0.41</v>
      </c>
      <c r="AF703" s="186">
        <f t="shared" si="12"/>
        <v>2.9109999999999996</v>
      </c>
      <c r="AG703" s="175">
        <v>1.2</v>
      </c>
      <c r="AH703" s="334"/>
      <c r="AI703" s="188"/>
      <c r="AJ703" s="188"/>
      <c r="AK703" s="188"/>
      <c r="AL703" s="189"/>
      <c r="AM703" s="189"/>
      <c r="AN703" s="189"/>
      <c r="AO703" s="189"/>
      <c r="AP703" s="189"/>
      <c r="AQ703" s="189"/>
      <c r="AR703" s="189"/>
      <c r="AS703" s="189"/>
      <c r="AT703" s="189"/>
      <c r="AU703" s="190"/>
      <c r="AV703" s="190"/>
      <c r="AW703" s="190"/>
      <c r="AX703" s="190"/>
      <c r="AY703" s="190"/>
      <c r="AZ703" s="189"/>
      <c r="BA703" s="189"/>
      <c r="BB703" s="189"/>
      <c r="BC703" s="189"/>
      <c r="BD703" s="189"/>
      <c r="BE703" s="189"/>
      <c r="BF703" s="189"/>
      <c r="BG703" s="189"/>
      <c r="BH703" s="189"/>
      <c r="BI703" s="190"/>
      <c r="BJ703" s="190"/>
      <c r="BK703" s="190"/>
      <c r="BL703" s="190"/>
      <c r="BM703" s="190"/>
      <c r="BN703" s="190"/>
      <c r="BO703" s="190"/>
      <c r="BP703" s="190"/>
      <c r="BQ703" s="190"/>
      <c r="BR703" s="190"/>
      <c r="BS703" s="190"/>
      <c r="BT703" s="190"/>
      <c r="BU703" s="190"/>
      <c r="BV703" s="190"/>
      <c r="BW703" s="190"/>
      <c r="BX703" s="190"/>
      <c r="BY703" s="190"/>
      <c r="BZ703" s="190"/>
      <c r="CA703" s="189"/>
      <c r="CB703" s="15"/>
    </row>
    <row r="704" spans="1:80" ht="15" x14ac:dyDescent="0.25">
      <c r="A704" s="167"/>
      <c r="B704" s="642"/>
      <c r="C704" s="642"/>
      <c r="D704" s="179"/>
      <c r="E704" s="169"/>
      <c r="F704" s="169"/>
      <c r="G704" s="187"/>
      <c r="H704" s="187"/>
      <c r="I704" s="187"/>
      <c r="J704" s="187"/>
      <c r="K704" s="187"/>
      <c r="L704" s="647"/>
      <c r="M704" s="646">
        <v>33780</v>
      </c>
      <c r="N704" s="585">
        <v>3.53</v>
      </c>
      <c r="O704" s="585">
        <v>2.63E-2</v>
      </c>
      <c r="P704" s="175">
        <v>0</v>
      </c>
      <c r="Q704" s="175">
        <v>0</v>
      </c>
      <c r="R704" s="175">
        <v>0</v>
      </c>
      <c r="S704" s="175">
        <v>1.66E-3</v>
      </c>
      <c r="T704" s="175">
        <v>2.5600000000000002E-3</v>
      </c>
      <c r="U704" s="175">
        <v>3.96E-3</v>
      </c>
      <c r="V704" s="706">
        <v>1.8110000000000001E-2</v>
      </c>
      <c r="W704" s="717"/>
      <c r="X704" s="713"/>
      <c r="Y704" s="718"/>
      <c r="Z704" s="709">
        <v>15</v>
      </c>
      <c r="AA704" s="175"/>
      <c r="AB704" s="200"/>
      <c r="AC704" s="205">
        <v>1.7999999999999999E-2</v>
      </c>
      <c r="AD704" s="175">
        <v>7</v>
      </c>
      <c r="AE704" s="175">
        <v>0.41</v>
      </c>
      <c r="AF704" s="186">
        <f t="shared" si="12"/>
        <v>2.8699999999999997</v>
      </c>
      <c r="AG704" s="175">
        <v>1.26</v>
      </c>
      <c r="AH704" s="334"/>
      <c r="AI704" s="188"/>
      <c r="AJ704" s="188"/>
      <c r="AK704" s="188"/>
      <c r="AL704" s="189"/>
      <c r="AM704" s="189"/>
      <c r="AN704" s="189"/>
      <c r="AO704" s="189"/>
      <c r="AP704" s="189"/>
      <c r="AQ704" s="189"/>
      <c r="AR704" s="189"/>
      <c r="AS704" s="189"/>
      <c r="AT704" s="189"/>
      <c r="AU704" s="190"/>
      <c r="AV704" s="190"/>
      <c r="AW704" s="190"/>
      <c r="AX704" s="190"/>
      <c r="AY704" s="190"/>
      <c r="AZ704" s="189"/>
      <c r="BA704" s="189"/>
      <c r="BB704" s="189"/>
      <c r="BC704" s="189"/>
      <c r="BD704" s="189"/>
      <c r="BE704" s="189"/>
      <c r="BF704" s="189"/>
      <c r="BG704" s="189"/>
      <c r="BH704" s="189"/>
      <c r="BI704" s="190"/>
      <c r="BJ704" s="190"/>
      <c r="BK704" s="190"/>
      <c r="BL704" s="190"/>
      <c r="BM704" s="190"/>
      <c r="BN704" s="190"/>
      <c r="BO704" s="190"/>
      <c r="BP704" s="190"/>
      <c r="BQ704" s="190"/>
      <c r="BR704" s="190"/>
      <c r="BS704" s="190"/>
      <c r="BT704" s="190"/>
      <c r="BU704" s="190"/>
      <c r="BV704" s="190"/>
      <c r="BW704" s="190"/>
      <c r="BX704" s="190"/>
      <c r="BY704" s="190"/>
      <c r="BZ704" s="190"/>
      <c r="CA704" s="189"/>
      <c r="CB704" s="15"/>
    </row>
    <row r="705" spans="1:80" ht="15" x14ac:dyDescent="0.25">
      <c r="A705" s="167"/>
      <c r="B705" s="642"/>
      <c r="C705" s="642"/>
      <c r="D705" s="179"/>
      <c r="E705" s="169"/>
      <c r="F705" s="169"/>
      <c r="G705" s="187"/>
      <c r="H705" s="187"/>
      <c r="I705" s="187"/>
      <c r="J705" s="187"/>
      <c r="K705" s="187"/>
      <c r="L705" s="647"/>
      <c r="M705" s="646">
        <v>33780</v>
      </c>
      <c r="N705" s="585">
        <v>3.21</v>
      </c>
      <c r="O705" s="585">
        <v>1.6889999999999999E-2</v>
      </c>
      <c r="P705" s="175">
        <v>0</v>
      </c>
      <c r="Q705" s="175">
        <v>0</v>
      </c>
      <c r="R705" s="175">
        <v>0</v>
      </c>
      <c r="S705" s="175">
        <v>1E-3</v>
      </c>
      <c r="T705" s="175">
        <v>1.01E-3</v>
      </c>
      <c r="U705" s="175">
        <v>1.42E-3</v>
      </c>
      <c r="V705" s="706">
        <v>1.346E-2</v>
      </c>
      <c r="W705" s="717"/>
      <c r="X705" s="713"/>
      <c r="Y705" s="718"/>
      <c r="Z705" s="709">
        <v>18</v>
      </c>
      <c r="AA705" s="175"/>
      <c r="AB705" s="200"/>
      <c r="AC705" s="205">
        <v>1.6E-2</v>
      </c>
      <c r="AD705" s="175">
        <v>6.9</v>
      </c>
      <c r="AE705" s="175">
        <v>0.38</v>
      </c>
      <c r="AF705" s="186">
        <f t="shared" si="12"/>
        <v>2.6220000000000003</v>
      </c>
      <c r="AG705" s="175">
        <v>1.26</v>
      </c>
      <c r="AH705" s="334"/>
      <c r="AI705" s="188"/>
      <c r="AJ705" s="188"/>
      <c r="AK705" s="188"/>
      <c r="AL705" s="189"/>
      <c r="AM705" s="189"/>
      <c r="AN705" s="189"/>
      <c r="AO705" s="189"/>
      <c r="AP705" s="189"/>
      <c r="AQ705" s="189"/>
      <c r="AR705" s="189"/>
      <c r="AS705" s="189"/>
      <c r="AT705" s="189"/>
      <c r="AU705" s="190"/>
      <c r="AV705" s="190"/>
      <c r="AW705" s="190"/>
      <c r="AX705" s="190"/>
      <c r="AY705" s="190"/>
      <c r="AZ705" s="189"/>
      <c r="BA705" s="189"/>
      <c r="BB705" s="189"/>
      <c r="BC705" s="189"/>
      <c r="BD705" s="189"/>
      <c r="BE705" s="189"/>
      <c r="BF705" s="189"/>
      <c r="BG705" s="189"/>
      <c r="BH705" s="189"/>
      <c r="BI705" s="190"/>
      <c r="BJ705" s="190"/>
      <c r="BK705" s="190"/>
      <c r="BL705" s="190"/>
      <c r="BM705" s="190"/>
      <c r="BN705" s="190"/>
      <c r="BO705" s="190"/>
      <c r="BP705" s="190"/>
      <c r="BQ705" s="190"/>
      <c r="BR705" s="190"/>
      <c r="BS705" s="190"/>
      <c r="BT705" s="190"/>
      <c r="BU705" s="190"/>
      <c r="BV705" s="190"/>
      <c r="BW705" s="190"/>
      <c r="BX705" s="190"/>
      <c r="BY705" s="190"/>
      <c r="BZ705" s="190"/>
      <c r="CA705" s="189"/>
      <c r="CB705" s="15"/>
    </row>
    <row r="706" spans="1:80" ht="15" x14ac:dyDescent="0.25">
      <c r="A706" s="167"/>
      <c r="B706" s="642"/>
      <c r="C706" s="642"/>
      <c r="D706" s="179"/>
      <c r="E706" s="169"/>
      <c r="F706" s="169"/>
      <c r="G706" s="187"/>
      <c r="H706" s="187"/>
      <c r="I706" s="187"/>
      <c r="J706" s="187"/>
      <c r="K706" s="187"/>
      <c r="L706" s="647"/>
      <c r="M706" s="646">
        <v>33780</v>
      </c>
      <c r="N706" s="585">
        <v>3.14</v>
      </c>
      <c r="O706" s="585">
        <v>3.4799999999999998E-2</v>
      </c>
      <c r="P706" s="175">
        <v>0</v>
      </c>
      <c r="Q706" s="175">
        <v>0</v>
      </c>
      <c r="R706" s="175">
        <v>7.7099999999999998E-3</v>
      </c>
      <c r="S706" s="175">
        <v>3.7699999999999999E-3</v>
      </c>
      <c r="T706" s="175">
        <v>3.7399999999999998E-3</v>
      </c>
      <c r="U706" s="175">
        <v>4.1099999999999999E-3</v>
      </c>
      <c r="V706" s="706">
        <v>1.546E-2</v>
      </c>
      <c r="W706" s="717"/>
      <c r="X706" s="713"/>
      <c r="Y706" s="718"/>
      <c r="Z706" s="709">
        <v>32</v>
      </c>
      <c r="AA706" s="175"/>
      <c r="AB706" s="200"/>
      <c r="AC706" s="205">
        <v>1.2999999999999999E-2</v>
      </c>
      <c r="AD706" s="175">
        <v>6.8</v>
      </c>
      <c r="AE706" s="175">
        <v>0.39</v>
      </c>
      <c r="AF706" s="186">
        <f t="shared" si="12"/>
        <v>2.6520000000000001</v>
      </c>
      <c r="AG706" s="175">
        <v>1.24</v>
      </c>
      <c r="AH706" s="334"/>
      <c r="AI706" s="188"/>
      <c r="AJ706" s="188"/>
      <c r="AK706" s="188"/>
      <c r="AL706" s="189"/>
      <c r="AM706" s="189"/>
      <c r="AN706" s="189"/>
      <c r="AO706" s="189"/>
      <c r="AP706" s="189"/>
      <c r="AQ706" s="189"/>
      <c r="AR706" s="189"/>
      <c r="AS706" s="189"/>
      <c r="AT706" s="189"/>
      <c r="AU706" s="190"/>
      <c r="AV706" s="190"/>
      <c r="AW706" s="190"/>
      <c r="AX706" s="190"/>
      <c r="AY706" s="190"/>
      <c r="AZ706" s="189"/>
      <c r="BA706" s="189"/>
      <c r="BB706" s="189"/>
      <c r="BC706" s="189"/>
      <c r="BD706" s="189"/>
      <c r="BE706" s="189"/>
      <c r="BF706" s="189"/>
      <c r="BG706" s="189"/>
      <c r="BH706" s="189"/>
      <c r="BI706" s="190"/>
      <c r="BJ706" s="190"/>
      <c r="BK706" s="190"/>
      <c r="BL706" s="190"/>
      <c r="BM706" s="190"/>
      <c r="BN706" s="190"/>
      <c r="BO706" s="190"/>
      <c r="BP706" s="190"/>
      <c r="BQ706" s="190"/>
      <c r="BR706" s="190"/>
      <c r="BS706" s="190"/>
      <c r="BT706" s="190"/>
      <c r="BU706" s="190"/>
      <c r="BV706" s="190"/>
      <c r="BW706" s="190"/>
      <c r="BX706" s="190"/>
      <c r="BY706" s="190"/>
      <c r="BZ706" s="190"/>
      <c r="CA706" s="189"/>
      <c r="CB706" s="15"/>
    </row>
    <row r="707" spans="1:80" ht="15" x14ac:dyDescent="0.25">
      <c r="A707" s="167"/>
      <c r="B707" s="642"/>
      <c r="C707" s="642"/>
      <c r="D707" s="179"/>
      <c r="E707" s="169"/>
      <c r="F707" s="169"/>
      <c r="G707" s="187"/>
      <c r="H707" s="187"/>
      <c r="I707" s="187"/>
      <c r="J707" s="187"/>
      <c r="K707" s="187"/>
      <c r="L707" s="647"/>
      <c r="M707" s="646">
        <v>33780</v>
      </c>
      <c r="N707" s="585">
        <v>3.6</v>
      </c>
      <c r="O707" s="585">
        <v>1.248E-2</v>
      </c>
      <c r="P707" s="175">
        <v>0</v>
      </c>
      <c r="Q707" s="175">
        <v>0</v>
      </c>
      <c r="R707" s="175">
        <v>1.5200000000000001E-3</v>
      </c>
      <c r="S707" s="175">
        <v>1.2700000000000001E-3</v>
      </c>
      <c r="T707" s="175">
        <v>1.66E-3</v>
      </c>
      <c r="U707" s="175">
        <v>2.3E-3</v>
      </c>
      <c r="V707" s="706">
        <v>5.7299999999999999E-3</v>
      </c>
      <c r="W707" s="717"/>
      <c r="X707" s="713"/>
      <c r="Y707" s="718"/>
      <c r="Z707" s="709">
        <v>20</v>
      </c>
      <c r="AA707" s="175"/>
      <c r="AB707" s="200"/>
      <c r="AC707" s="205">
        <v>1.2999999999999999E-2</v>
      </c>
      <c r="AD707" s="175">
        <v>6.9</v>
      </c>
      <c r="AE707" s="175">
        <v>0.37</v>
      </c>
      <c r="AF707" s="186">
        <f t="shared" si="12"/>
        <v>2.5529999999999999</v>
      </c>
      <c r="AG707" s="175">
        <v>1.25</v>
      </c>
      <c r="AH707" s="334"/>
      <c r="AI707" s="188"/>
      <c r="AJ707" s="188"/>
      <c r="AK707" s="188"/>
      <c r="AL707" s="189"/>
      <c r="AM707" s="189"/>
      <c r="AN707" s="189"/>
      <c r="AO707" s="189"/>
      <c r="AP707" s="189"/>
      <c r="AQ707" s="189"/>
      <c r="AR707" s="189"/>
      <c r="AS707" s="189"/>
      <c r="AT707" s="189"/>
      <c r="AU707" s="190"/>
      <c r="AV707" s="190"/>
      <c r="AW707" s="190"/>
      <c r="AX707" s="190"/>
      <c r="AY707" s="190"/>
      <c r="AZ707" s="189"/>
      <c r="BA707" s="189"/>
      <c r="BB707" s="189"/>
      <c r="BC707" s="189"/>
      <c r="BD707" s="189"/>
      <c r="BE707" s="189"/>
      <c r="BF707" s="189"/>
      <c r="BG707" s="189"/>
      <c r="BH707" s="189"/>
      <c r="BI707" s="190"/>
      <c r="BJ707" s="190"/>
      <c r="BK707" s="190"/>
      <c r="BL707" s="190"/>
      <c r="BM707" s="190"/>
      <c r="BN707" s="190"/>
      <c r="BO707" s="190"/>
      <c r="BP707" s="190"/>
      <c r="BQ707" s="190"/>
      <c r="BR707" s="190"/>
      <c r="BS707" s="190"/>
      <c r="BT707" s="190"/>
      <c r="BU707" s="190"/>
      <c r="BV707" s="190"/>
      <c r="BW707" s="190"/>
      <c r="BX707" s="190"/>
      <c r="BY707" s="190"/>
      <c r="BZ707" s="190"/>
      <c r="CA707" s="189"/>
      <c r="CB707" s="15"/>
    </row>
    <row r="708" spans="1:80" ht="15" x14ac:dyDescent="0.25">
      <c r="A708" s="167"/>
      <c r="B708" s="642"/>
      <c r="C708" s="642"/>
      <c r="D708" s="179"/>
      <c r="E708" s="169"/>
      <c r="F708" s="169"/>
      <c r="G708" s="187"/>
      <c r="H708" s="187"/>
      <c r="I708" s="187"/>
      <c r="J708" s="187"/>
      <c r="K708" s="187"/>
      <c r="L708" s="647"/>
      <c r="M708" s="646">
        <v>33780</v>
      </c>
      <c r="N708" s="585">
        <v>3.81</v>
      </c>
      <c r="O708" s="585">
        <v>6.1700000000000001E-3</v>
      </c>
      <c r="P708" s="175">
        <v>0</v>
      </c>
      <c r="Q708" s="175">
        <v>0</v>
      </c>
      <c r="R708" s="175">
        <v>0</v>
      </c>
      <c r="S708" s="175">
        <v>2.4000000000000001E-4</v>
      </c>
      <c r="T708" s="175">
        <v>7.6000000000000004E-4</v>
      </c>
      <c r="U708" s="175">
        <v>1.14E-3</v>
      </c>
      <c r="V708" s="706">
        <v>4.0299999999999997E-3</v>
      </c>
      <c r="W708" s="717"/>
      <c r="X708" s="713"/>
      <c r="Y708" s="718"/>
      <c r="Z708" s="709">
        <v>13</v>
      </c>
      <c r="AA708" s="175"/>
      <c r="AB708" s="200"/>
      <c r="AC708" s="205">
        <v>1.2E-2</v>
      </c>
      <c r="AD708" s="175">
        <v>6.9</v>
      </c>
      <c r="AE708" s="175">
        <v>0.39</v>
      </c>
      <c r="AF708" s="186">
        <f t="shared" si="12"/>
        <v>2.6910000000000003</v>
      </c>
      <c r="AG708" s="175">
        <v>1.38</v>
      </c>
      <c r="AH708" s="334"/>
      <c r="AI708" s="188"/>
      <c r="AJ708" s="188"/>
      <c r="AK708" s="188"/>
      <c r="AL708" s="189"/>
      <c r="AM708" s="189"/>
      <c r="AN708" s="189"/>
      <c r="AO708" s="189"/>
      <c r="AP708" s="189"/>
      <c r="AQ708" s="189"/>
      <c r="AR708" s="189"/>
      <c r="AS708" s="189"/>
      <c r="AT708" s="189"/>
      <c r="AU708" s="190"/>
      <c r="AV708" s="190"/>
      <c r="AW708" s="190"/>
      <c r="AX708" s="190"/>
      <c r="AY708" s="190"/>
      <c r="AZ708" s="189"/>
      <c r="BA708" s="189"/>
      <c r="BB708" s="189"/>
      <c r="BC708" s="189"/>
      <c r="BD708" s="189"/>
      <c r="BE708" s="189"/>
      <c r="BF708" s="189"/>
      <c r="BG708" s="189"/>
      <c r="BH708" s="189"/>
      <c r="BI708" s="190"/>
      <c r="BJ708" s="190"/>
      <c r="BK708" s="190"/>
      <c r="BL708" s="190"/>
      <c r="BM708" s="190"/>
      <c r="BN708" s="190"/>
      <c r="BO708" s="190"/>
      <c r="BP708" s="190"/>
      <c r="BQ708" s="190"/>
      <c r="BR708" s="190"/>
      <c r="BS708" s="190"/>
      <c r="BT708" s="190"/>
      <c r="BU708" s="190"/>
      <c r="BV708" s="190"/>
      <c r="BW708" s="190"/>
      <c r="BX708" s="190"/>
      <c r="BY708" s="190"/>
      <c r="BZ708" s="190"/>
      <c r="CA708" s="189"/>
      <c r="CB708" s="15"/>
    </row>
    <row r="709" spans="1:80" ht="15" x14ac:dyDescent="0.25">
      <c r="A709" s="167"/>
      <c r="B709" s="642"/>
      <c r="C709" s="642"/>
      <c r="D709" s="179"/>
      <c r="E709" s="169"/>
      <c r="F709" s="169"/>
      <c r="G709" s="187"/>
      <c r="H709" s="187"/>
      <c r="I709" s="187"/>
      <c r="J709" s="187"/>
      <c r="K709" s="187"/>
      <c r="L709" s="647"/>
      <c r="M709" s="646">
        <v>33780</v>
      </c>
      <c r="N709" s="585">
        <v>3.47</v>
      </c>
      <c r="O709" s="585">
        <v>5.7250000000000002E-2</v>
      </c>
      <c r="P709" s="175">
        <v>0</v>
      </c>
      <c r="Q709" s="175">
        <v>0</v>
      </c>
      <c r="R709" s="175">
        <v>6.4099999999999999E-3</v>
      </c>
      <c r="S709" s="175">
        <v>6.11E-3</v>
      </c>
      <c r="T709" s="175">
        <v>1.0319999999999999E-2</v>
      </c>
      <c r="U709" s="175">
        <v>1.1990000000000001E-2</v>
      </c>
      <c r="V709" s="706">
        <v>2.2419999999999999E-2</v>
      </c>
      <c r="W709" s="717"/>
      <c r="X709" s="713"/>
      <c r="Y709" s="718"/>
      <c r="Z709" s="709">
        <v>33</v>
      </c>
      <c r="AA709" s="175"/>
      <c r="AB709" s="200"/>
      <c r="AC709" s="205">
        <v>1.6E-2</v>
      </c>
      <c r="AD709" s="175">
        <v>7</v>
      </c>
      <c r="AE709" s="175">
        <v>0.41</v>
      </c>
      <c r="AF709" s="186">
        <f t="shared" si="12"/>
        <v>2.8699999999999997</v>
      </c>
      <c r="AG709" s="175">
        <v>1.22</v>
      </c>
      <c r="AH709" s="334"/>
      <c r="AI709" s="188"/>
      <c r="AJ709" s="188"/>
      <c r="AK709" s="188"/>
      <c r="AL709" s="189"/>
      <c r="AM709" s="189"/>
      <c r="AN709" s="189"/>
      <c r="AO709" s="189"/>
      <c r="AP709" s="189"/>
      <c r="AQ709" s="189"/>
      <c r="AR709" s="189"/>
      <c r="AS709" s="189"/>
      <c r="AT709" s="189"/>
      <c r="AU709" s="190"/>
      <c r="AV709" s="190"/>
      <c r="AW709" s="190"/>
      <c r="AX709" s="190"/>
      <c r="AY709" s="190"/>
      <c r="AZ709" s="189"/>
      <c r="BA709" s="189"/>
      <c r="BB709" s="189"/>
      <c r="BC709" s="189"/>
      <c r="BD709" s="189"/>
      <c r="BE709" s="189"/>
      <c r="BF709" s="189"/>
      <c r="BG709" s="189"/>
      <c r="BH709" s="189"/>
      <c r="BI709" s="190"/>
      <c r="BJ709" s="190"/>
      <c r="BK709" s="190"/>
      <c r="BL709" s="190"/>
      <c r="BM709" s="190"/>
      <c r="BN709" s="190"/>
      <c r="BO709" s="190"/>
      <c r="BP709" s="190"/>
      <c r="BQ709" s="190"/>
      <c r="BR709" s="190"/>
      <c r="BS709" s="190"/>
      <c r="BT709" s="190"/>
      <c r="BU709" s="190"/>
      <c r="BV709" s="190"/>
      <c r="BW709" s="190"/>
      <c r="BX709" s="190"/>
      <c r="BY709" s="190"/>
      <c r="BZ709" s="190"/>
      <c r="CA709" s="189"/>
      <c r="CB709" s="15"/>
    </row>
    <row r="710" spans="1:80" ht="15" x14ac:dyDescent="0.25">
      <c r="A710" s="167"/>
      <c r="B710" s="642"/>
      <c r="C710" s="642"/>
      <c r="D710" s="179"/>
      <c r="E710" s="169"/>
      <c r="F710" s="169"/>
      <c r="G710" s="187"/>
      <c r="H710" s="187"/>
      <c r="I710" s="187"/>
      <c r="J710" s="187"/>
      <c r="K710" s="187"/>
      <c r="L710" s="647"/>
      <c r="M710" s="646">
        <v>33781</v>
      </c>
      <c r="N710" s="585">
        <v>3.34</v>
      </c>
      <c r="O710" s="585">
        <v>2.8309999999999998E-2</v>
      </c>
      <c r="P710" s="175">
        <v>0</v>
      </c>
      <c r="Q710" s="175">
        <v>0</v>
      </c>
      <c r="R710" s="175">
        <v>8.4000000000000003E-4</v>
      </c>
      <c r="S710" s="175">
        <v>1.58E-3</v>
      </c>
      <c r="T710" s="175">
        <v>4.5799999999999999E-3</v>
      </c>
      <c r="U710" s="175">
        <v>6.8399999999999997E-3</v>
      </c>
      <c r="V710" s="706">
        <v>1.4460000000000001E-2</v>
      </c>
      <c r="W710" s="717"/>
      <c r="X710" s="713"/>
      <c r="Y710" s="718"/>
      <c r="Z710" s="709">
        <v>21</v>
      </c>
      <c r="AA710" s="175"/>
      <c r="AB710" s="200"/>
      <c r="AC710" s="205">
        <v>1.4999999999999999E-2</v>
      </c>
      <c r="AD710" s="175">
        <v>6.9</v>
      </c>
      <c r="AE710" s="175">
        <v>0.42</v>
      </c>
      <c r="AF710" s="186">
        <f t="shared" si="12"/>
        <v>2.8980000000000001</v>
      </c>
      <c r="AG710" s="175">
        <v>1.27</v>
      </c>
      <c r="AH710" s="334"/>
      <c r="AI710" s="188"/>
      <c r="AJ710" s="188"/>
      <c r="AK710" s="188"/>
      <c r="AL710" s="189"/>
      <c r="AM710" s="189"/>
      <c r="AN710" s="189"/>
      <c r="AO710" s="189"/>
      <c r="AP710" s="189"/>
      <c r="AQ710" s="189"/>
      <c r="AR710" s="189"/>
      <c r="AS710" s="189"/>
      <c r="AT710" s="189"/>
      <c r="AU710" s="190"/>
      <c r="AV710" s="190"/>
      <c r="AW710" s="190"/>
      <c r="AX710" s="190"/>
      <c r="AY710" s="190"/>
      <c r="AZ710" s="189"/>
      <c r="BA710" s="189"/>
      <c r="BB710" s="189"/>
      <c r="BC710" s="189"/>
      <c r="BD710" s="189"/>
      <c r="BE710" s="189"/>
      <c r="BF710" s="189"/>
      <c r="BG710" s="189"/>
      <c r="BH710" s="189"/>
      <c r="BI710" s="190"/>
      <c r="BJ710" s="190"/>
      <c r="BK710" s="190"/>
      <c r="BL710" s="190"/>
      <c r="BM710" s="190"/>
      <c r="BN710" s="190"/>
      <c r="BO710" s="190"/>
      <c r="BP710" s="190"/>
      <c r="BQ710" s="190"/>
      <c r="BR710" s="190"/>
      <c r="BS710" s="190"/>
      <c r="BT710" s="190"/>
      <c r="BU710" s="190"/>
      <c r="BV710" s="190"/>
      <c r="BW710" s="190"/>
      <c r="BX710" s="190"/>
      <c r="BY710" s="190"/>
      <c r="BZ710" s="190"/>
      <c r="CA710" s="189"/>
      <c r="CB710" s="15"/>
    </row>
    <row r="711" spans="1:80" ht="15" x14ac:dyDescent="0.25">
      <c r="A711" s="167"/>
      <c r="B711" s="642"/>
      <c r="C711" s="642"/>
      <c r="D711" s="179"/>
      <c r="E711" s="169"/>
      <c r="F711" s="169"/>
      <c r="G711" s="187"/>
      <c r="H711" s="187"/>
      <c r="I711" s="187"/>
      <c r="J711" s="187"/>
      <c r="K711" s="187"/>
      <c r="L711" s="647"/>
      <c r="M711" s="646">
        <v>33781</v>
      </c>
      <c r="N711" s="585">
        <v>3.34</v>
      </c>
      <c r="O711" s="585">
        <v>5.7290000000000001E-2</v>
      </c>
      <c r="P711" s="175">
        <v>0</v>
      </c>
      <c r="Q711" s="175">
        <v>4.3400000000000001E-3</v>
      </c>
      <c r="R711" s="175">
        <v>1.91E-3</v>
      </c>
      <c r="S711" s="175">
        <v>1.3509999999999999E-2</v>
      </c>
      <c r="T711" s="175">
        <v>1.235E-2</v>
      </c>
      <c r="U711" s="175">
        <v>1.0240000000000001E-2</v>
      </c>
      <c r="V711" s="706">
        <v>1.4930000000000001E-2</v>
      </c>
      <c r="W711" s="717"/>
      <c r="X711" s="713"/>
      <c r="Y711" s="718"/>
      <c r="Z711" s="709">
        <v>40</v>
      </c>
      <c r="AA711" s="175"/>
      <c r="AB711" s="200"/>
      <c r="AC711" s="205">
        <v>1.7999999999999999E-2</v>
      </c>
      <c r="AD711" s="175">
        <v>7.1</v>
      </c>
      <c r="AE711" s="175">
        <v>0.37</v>
      </c>
      <c r="AF711" s="186">
        <f t="shared" si="12"/>
        <v>2.6269999999999998</v>
      </c>
      <c r="AG711" s="175">
        <v>1.26</v>
      </c>
      <c r="AH711" s="334"/>
      <c r="AI711" s="188"/>
      <c r="AJ711" s="188"/>
      <c r="AK711" s="188"/>
      <c r="AL711" s="189"/>
      <c r="AM711" s="189"/>
      <c r="AN711" s="189"/>
      <c r="AO711" s="189"/>
      <c r="AP711" s="189"/>
      <c r="AQ711" s="189"/>
      <c r="AR711" s="189"/>
      <c r="AS711" s="189"/>
      <c r="AT711" s="189"/>
      <c r="AU711" s="190"/>
      <c r="AV711" s="190"/>
      <c r="AW711" s="190"/>
      <c r="AX711" s="190"/>
      <c r="AY711" s="190"/>
      <c r="AZ711" s="189"/>
      <c r="BA711" s="189"/>
      <c r="BB711" s="189"/>
      <c r="BC711" s="189"/>
      <c r="BD711" s="189"/>
      <c r="BE711" s="189"/>
      <c r="BF711" s="189"/>
      <c r="BG711" s="189"/>
      <c r="BH711" s="189"/>
      <c r="BI711" s="190"/>
      <c r="BJ711" s="190"/>
      <c r="BK711" s="190"/>
      <c r="BL711" s="190"/>
      <c r="BM711" s="190"/>
      <c r="BN711" s="190"/>
      <c r="BO711" s="190"/>
      <c r="BP711" s="190"/>
      <c r="BQ711" s="190"/>
      <c r="BR711" s="190"/>
      <c r="BS711" s="190"/>
      <c r="BT711" s="190"/>
      <c r="BU711" s="190"/>
      <c r="BV711" s="190"/>
      <c r="BW711" s="190"/>
      <c r="BX711" s="190"/>
      <c r="BY711" s="190"/>
      <c r="BZ711" s="190"/>
      <c r="CA711" s="189"/>
      <c r="CB711" s="15"/>
    </row>
    <row r="712" spans="1:80" ht="15" x14ac:dyDescent="0.25">
      <c r="A712" s="167"/>
      <c r="B712" s="642"/>
      <c r="C712" s="642"/>
      <c r="D712" s="179"/>
      <c r="E712" s="169"/>
      <c r="F712" s="169"/>
      <c r="G712" s="187"/>
      <c r="H712" s="187"/>
      <c r="I712" s="187"/>
      <c r="J712" s="187"/>
      <c r="K712" s="187"/>
      <c r="L712" s="647"/>
      <c r="M712" s="646">
        <v>33781</v>
      </c>
      <c r="N712" s="585">
        <v>3.21</v>
      </c>
      <c r="O712" s="585">
        <v>5.8590000000000003E-2</v>
      </c>
      <c r="P712" s="175">
        <v>0</v>
      </c>
      <c r="Q712" s="175">
        <v>0</v>
      </c>
      <c r="R712" s="175">
        <v>4.0200000000000001E-3</v>
      </c>
      <c r="S712" s="175">
        <v>1.2540000000000001E-2</v>
      </c>
      <c r="T712" s="175">
        <v>1.461E-2</v>
      </c>
      <c r="U712" s="175">
        <v>1.2710000000000001E-2</v>
      </c>
      <c r="V712" s="706">
        <v>1.4710000000000001E-2</v>
      </c>
      <c r="W712" s="717"/>
      <c r="X712" s="713"/>
      <c r="Y712" s="718"/>
      <c r="Z712" s="709">
        <v>23</v>
      </c>
      <c r="AA712" s="175"/>
      <c r="AB712" s="200"/>
      <c r="AC712" s="205">
        <v>1.6E-2</v>
      </c>
      <c r="AD712" s="175">
        <v>7</v>
      </c>
      <c r="AE712" s="175">
        <v>0.39</v>
      </c>
      <c r="AF712" s="186">
        <f t="shared" si="12"/>
        <v>2.73</v>
      </c>
      <c r="AG712" s="175">
        <v>1.26</v>
      </c>
      <c r="AH712" s="334"/>
      <c r="AI712" s="188"/>
      <c r="AJ712" s="188"/>
      <c r="AK712" s="188"/>
      <c r="AL712" s="189"/>
      <c r="AM712" s="189"/>
      <c r="AN712" s="189"/>
      <c r="AO712" s="189"/>
      <c r="AP712" s="189"/>
      <c r="AQ712" s="189"/>
      <c r="AR712" s="189"/>
      <c r="AS712" s="189"/>
      <c r="AT712" s="189"/>
      <c r="AU712" s="190"/>
      <c r="AV712" s="190"/>
      <c r="AW712" s="190"/>
      <c r="AX712" s="190"/>
      <c r="AY712" s="190"/>
      <c r="AZ712" s="189"/>
      <c r="BA712" s="189"/>
      <c r="BB712" s="189"/>
      <c r="BC712" s="189"/>
      <c r="BD712" s="189"/>
      <c r="BE712" s="189"/>
      <c r="BF712" s="189"/>
      <c r="BG712" s="189"/>
      <c r="BH712" s="189"/>
      <c r="BI712" s="190"/>
      <c r="BJ712" s="190"/>
      <c r="BK712" s="190"/>
      <c r="BL712" s="190"/>
      <c r="BM712" s="190"/>
      <c r="BN712" s="190"/>
      <c r="BO712" s="190"/>
      <c r="BP712" s="190"/>
      <c r="BQ712" s="190"/>
      <c r="BR712" s="190"/>
      <c r="BS712" s="190"/>
      <c r="BT712" s="190"/>
      <c r="BU712" s="190"/>
      <c r="BV712" s="190"/>
      <c r="BW712" s="190"/>
      <c r="BX712" s="190"/>
      <c r="BY712" s="190"/>
      <c r="BZ712" s="190"/>
      <c r="CA712" s="189"/>
      <c r="CB712" s="15"/>
    </row>
    <row r="713" spans="1:80" ht="15" x14ac:dyDescent="0.25">
      <c r="A713" s="167"/>
      <c r="B713" s="642"/>
      <c r="C713" s="642"/>
      <c r="D713" s="179"/>
      <c r="E713" s="169"/>
      <c r="F713" s="169"/>
      <c r="G713" s="187"/>
      <c r="H713" s="187"/>
      <c r="I713" s="187"/>
      <c r="J713" s="187"/>
      <c r="K713" s="187"/>
      <c r="L713" s="647"/>
      <c r="M713" s="646">
        <v>33781</v>
      </c>
      <c r="N713" s="585">
        <v>3.53</v>
      </c>
      <c r="O713" s="585">
        <v>1.353E-2</v>
      </c>
      <c r="P713" s="175">
        <v>0</v>
      </c>
      <c r="Q713" s="175">
        <v>0</v>
      </c>
      <c r="R713" s="175">
        <v>1.4E-3</v>
      </c>
      <c r="S713" s="175">
        <v>1.4499999999999999E-3</v>
      </c>
      <c r="T713" s="175">
        <v>1.5100000000000001E-3</v>
      </c>
      <c r="U713" s="175">
        <v>1.2700000000000001E-3</v>
      </c>
      <c r="V713" s="706">
        <v>7.9100000000000004E-3</v>
      </c>
      <c r="W713" s="717"/>
      <c r="X713" s="713"/>
      <c r="Y713" s="718"/>
      <c r="Z713" s="709">
        <v>22</v>
      </c>
      <c r="AA713" s="175"/>
      <c r="AB713" s="200"/>
      <c r="AC713" s="205">
        <v>1.6E-2</v>
      </c>
      <c r="AD713" s="175">
        <v>6.9</v>
      </c>
      <c r="AE713" s="175">
        <v>0.4</v>
      </c>
      <c r="AF713" s="186">
        <f t="shared" si="12"/>
        <v>2.7600000000000002</v>
      </c>
      <c r="AG713" s="175">
        <v>1.3</v>
      </c>
      <c r="AH713" s="334"/>
      <c r="AI713" s="188"/>
      <c r="AJ713" s="188"/>
      <c r="AK713" s="188"/>
      <c r="AL713" s="189"/>
      <c r="AM713" s="189"/>
      <c r="AN713" s="189"/>
      <c r="AO713" s="189"/>
      <c r="AP713" s="189"/>
      <c r="AQ713" s="189"/>
      <c r="AR713" s="189"/>
      <c r="AS713" s="189"/>
      <c r="AT713" s="189"/>
      <c r="AU713" s="190"/>
      <c r="AV713" s="190"/>
      <c r="AW713" s="190"/>
      <c r="AX713" s="190"/>
      <c r="AY713" s="190"/>
      <c r="AZ713" s="189"/>
      <c r="BA713" s="189"/>
      <c r="BB713" s="189"/>
      <c r="BC713" s="189"/>
      <c r="BD713" s="189"/>
      <c r="BE713" s="189"/>
      <c r="BF713" s="189"/>
      <c r="BG713" s="189"/>
      <c r="BH713" s="189"/>
      <c r="BI713" s="190"/>
      <c r="BJ713" s="190"/>
      <c r="BK713" s="190"/>
      <c r="BL713" s="190"/>
      <c r="BM713" s="190"/>
      <c r="BN713" s="190"/>
      <c r="BO713" s="190"/>
      <c r="BP713" s="190"/>
      <c r="BQ713" s="190"/>
      <c r="BR713" s="190"/>
      <c r="BS713" s="190"/>
      <c r="BT713" s="190"/>
      <c r="BU713" s="190"/>
      <c r="BV713" s="190"/>
      <c r="BW713" s="190"/>
      <c r="BX713" s="190"/>
      <c r="BY713" s="190"/>
      <c r="BZ713" s="190"/>
      <c r="CA713" s="189"/>
      <c r="CB713" s="15"/>
    </row>
    <row r="714" spans="1:80" ht="15" x14ac:dyDescent="0.25">
      <c r="A714" s="167"/>
      <c r="B714" s="642"/>
      <c r="C714" s="642"/>
      <c r="D714" s="179"/>
      <c r="E714" s="169"/>
      <c r="F714" s="169"/>
      <c r="G714" s="187"/>
      <c r="H714" s="187"/>
      <c r="I714" s="187"/>
      <c r="J714" s="187"/>
      <c r="K714" s="187"/>
      <c r="L714" s="647"/>
      <c r="M714" s="646">
        <v>33781</v>
      </c>
      <c r="N714" s="585">
        <v>3.67</v>
      </c>
      <c r="O714" s="585">
        <v>9.6530000000000005E-2</v>
      </c>
      <c r="P714" s="175">
        <v>0</v>
      </c>
      <c r="Q714" s="175">
        <v>0</v>
      </c>
      <c r="R714" s="175">
        <v>4.4799999999999996E-3</v>
      </c>
      <c r="S714" s="175">
        <v>1.7340000000000001E-2</v>
      </c>
      <c r="T714" s="175">
        <v>2.1139999999999999E-2</v>
      </c>
      <c r="U714" s="175">
        <v>2.2780000000000002E-2</v>
      </c>
      <c r="V714" s="706">
        <v>3.0800000000000001E-2</v>
      </c>
      <c r="W714" s="717"/>
      <c r="X714" s="713"/>
      <c r="Y714" s="718"/>
      <c r="Z714" s="709">
        <v>38</v>
      </c>
      <c r="AA714" s="175"/>
      <c r="AB714" s="200"/>
      <c r="AC714" s="205">
        <v>1.7999999999999999E-2</v>
      </c>
      <c r="AD714" s="175">
        <v>7.1</v>
      </c>
      <c r="AE714" s="175">
        <v>0.41</v>
      </c>
      <c r="AF714" s="186">
        <f t="shared" si="12"/>
        <v>2.9109999999999996</v>
      </c>
      <c r="AG714" s="175">
        <v>1.26</v>
      </c>
      <c r="AH714" s="334"/>
      <c r="AI714" s="188"/>
      <c r="AJ714" s="188"/>
      <c r="AK714" s="188"/>
      <c r="AL714" s="189"/>
      <c r="AM714" s="189"/>
      <c r="AN714" s="189"/>
      <c r="AO714" s="189"/>
      <c r="AP714" s="189"/>
      <c r="AQ714" s="189"/>
      <c r="AR714" s="189"/>
      <c r="AS714" s="189"/>
      <c r="AT714" s="189"/>
      <c r="AU714" s="190"/>
      <c r="AV714" s="190"/>
      <c r="AW714" s="190"/>
      <c r="AX714" s="190"/>
      <c r="AY714" s="190"/>
      <c r="AZ714" s="189"/>
      <c r="BA714" s="189"/>
      <c r="BB714" s="189"/>
      <c r="BC714" s="189"/>
      <c r="BD714" s="189"/>
      <c r="BE714" s="189"/>
      <c r="BF714" s="189"/>
      <c r="BG714" s="189"/>
      <c r="BH714" s="189"/>
      <c r="BI714" s="190"/>
      <c r="BJ714" s="190"/>
      <c r="BK714" s="190"/>
      <c r="BL714" s="190"/>
      <c r="BM714" s="190"/>
      <c r="BN714" s="190"/>
      <c r="BO714" s="190"/>
      <c r="BP714" s="190"/>
      <c r="BQ714" s="190"/>
      <c r="BR714" s="190"/>
      <c r="BS714" s="190"/>
      <c r="BT714" s="190"/>
      <c r="BU714" s="190"/>
      <c r="BV714" s="190"/>
      <c r="BW714" s="190"/>
      <c r="BX714" s="190"/>
      <c r="BY714" s="190"/>
      <c r="BZ714" s="190"/>
      <c r="CA714" s="189"/>
      <c r="CB714" s="15"/>
    </row>
    <row r="715" spans="1:80" ht="15" x14ac:dyDescent="0.25">
      <c r="A715" s="167"/>
      <c r="B715" s="642"/>
      <c r="C715" s="642"/>
      <c r="D715" s="179"/>
      <c r="E715" s="169"/>
      <c r="F715" s="169"/>
      <c r="G715" s="187"/>
      <c r="H715" s="187"/>
      <c r="I715" s="187"/>
      <c r="J715" s="187"/>
      <c r="K715" s="187"/>
      <c r="L715" s="647"/>
      <c r="M715" s="646">
        <v>33782</v>
      </c>
      <c r="N715" s="585">
        <v>3.53</v>
      </c>
      <c r="O715" s="585">
        <v>4.0059999999999998E-2</v>
      </c>
      <c r="P715" s="175">
        <v>0</v>
      </c>
      <c r="Q715" s="175">
        <v>0</v>
      </c>
      <c r="R715" s="175">
        <v>3.46E-3</v>
      </c>
      <c r="S715" s="175">
        <v>7.0699999999999999E-3</v>
      </c>
      <c r="T715" s="175">
        <v>5.7400000000000003E-3</v>
      </c>
      <c r="U715" s="175">
        <v>7.5900000000000004E-3</v>
      </c>
      <c r="V715" s="706">
        <v>1.6199999999999999E-2</v>
      </c>
      <c r="W715" s="717"/>
      <c r="X715" s="713"/>
      <c r="Y715" s="718"/>
      <c r="Z715" s="709">
        <v>25</v>
      </c>
      <c r="AA715" s="175"/>
      <c r="AB715" s="200"/>
      <c r="AC715" s="205">
        <v>1.6E-2</v>
      </c>
      <c r="AD715" s="175">
        <v>7.1</v>
      </c>
      <c r="AE715" s="175">
        <v>0.4</v>
      </c>
      <c r="AF715" s="186">
        <f t="shared" si="12"/>
        <v>2.84</v>
      </c>
      <c r="AG715" s="175">
        <v>1.28</v>
      </c>
      <c r="AH715" s="334"/>
      <c r="AI715" s="188"/>
      <c r="AJ715" s="188"/>
      <c r="AK715" s="188"/>
      <c r="AL715" s="189"/>
      <c r="AM715" s="189"/>
      <c r="AN715" s="189"/>
      <c r="AO715" s="189"/>
      <c r="AP715" s="189"/>
      <c r="AQ715" s="189"/>
      <c r="AR715" s="189"/>
      <c r="AS715" s="189"/>
      <c r="AT715" s="189"/>
      <c r="AU715" s="190"/>
      <c r="AV715" s="190"/>
      <c r="AW715" s="190"/>
      <c r="AX715" s="190"/>
      <c r="AY715" s="190"/>
      <c r="AZ715" s="189"/>
      <c r="BA715" s="189"/>
      <c r="BB715" s="189"/>
      <c r="BC715" s="189"/>
      <c r="BD715" s="189"/>
      <c r="BE715" s="189"/>
      <c r="BF715" s="189"/>
      <c r="BG715" s="189"/>
      <c r="BH715" s="189"/>
      <c r="BI715" s="190"/>
      <c r="BJ715" s="190"/>
      <c r="BK715" s="190"/>
      <c r="BL715" s="190"/>
      <c r="BM715" s="190"/>
      <c r="BN715" s="190"/>
      <c r="BO715" s="190"/>
      <c r="BP715" s="190"/>
      <c r="BQ715" s="190"/>
      <c r="BR715" s="190"/>
      <c r="BS715" s="190"/>
      <c r="BT715" s="190"/>
      <c r="BU715" s="190"/>
      <c r="BV715" s="190"/>
      <c r="BW715" s="190"/>
      <c r="BX715" s="190"/>
      <c r="BY715" s="190"/>
      <c r="BZ715" s="190"/>
      <c r="CA715" s="189"/>
      <c r="CB715" s="15"/>
    </row>
    <row r="716" spans="1:80" ht="15" x14ac:dyDescent="0.25">
      <c r="A716" s="167"/>
      <c r="B716" s="642"/>
      <c r="C716" s="642"/>
      <c r="D716" s="179"/>
      <c r="E716" s="169"/>
      <c r="F716" s="169"/>
      <c r="G716" s="187"/>
      <c r="H716" s="187"/>
      <c r="I716" s="187"/>
      <c r="J716" s="187"/>
      <c r="K716" s="187"/>
      <c r="L716" s="647"/>
      <c r="M716" s="646">
        <v>33782</v>
      </c>
      <c r="N716" s="585">
        <v>3.34</v>
      </c>
      <c r="O716" s="585">
        <v>2.0729999999999998E-2</v>
      </c>
      <c r="P716" s="175">
        <v>0</v>
      </c>
      <c r="Q716" s="175">
        <v>0</v>
      </c>
      <c r="R716" s="175">
        <v>1.9499999999999999E-3</v>
      </c>
      <c r="S716" s="175">
        <v>1.6999999999999999E-3</v>
      </c>
      <c r="T716" s="175">
        <v>3.16E-3</v>
      </c>
      <c r="U716" s="175">
        <v>4.5300000000000002E-3</v>
      </c>
      <c r="V716" s="706">
        <v>9.3900000000000008E-3</v>
      </c>
      <c r="W716" s="717"/>
      <c r="X716" s="713"/>
      <c r="Y716" s="718"/>
      <c r="Z716" s="709">
        <v>24</v>
      </c>
      <c r="AA716" s="175"/>
      <c r="AB716" s="200"/>
      <c r="AC716" s="205">
        <v>1.4999999999999999E-2</v>
      </c>
      <c r="AD716" s="175">
        <v>6.9</v>
      </c>
      <c r="AE716" s="175">
        <v>0.39</v>
      </c>
      <c r="AF716" s="186">
        <f t="shared" si="12"/>
        <v>2.6910000000000003</v>
      </c>
      <c r="AG716" s="175">
        <v>1.29</v>
      </c>
      <c r="AH716" s="334"/>
      <c r="AI716" s="188"/>
      <c r="AJ716" s="188"/>
      <c r="AK716" s="188"/>
      <c r="AL716" s="189"/>
      <c r="AM716" s="189"/>
      <c r="AN716" s="189"/>
      <c r="AO716" s="189"/>
      <c r="AP716" s="189"/>
      <c r="AQ716" s="189"/>
      <c r="AR716" s="189"/>
      <c r="AS716" s="189"/>
      <c r="AT716" s="189"/>
      <c r="AU716" s="190"/>
      <c r="AV716" s="190"/>
      <c r="AW716" s="190"/>
      <c r="AX716" s="190"/>
      <c r="AY716" s="190"/>
      <c r="AZ716" s="189"/>
      <c r="BA716" s="189"/>
      <c r="BB716" s="189"/>
      <c r="BC716" s="189"/>
      <c r="BD716" s="189"/>
      <c r="BE716" s="189"/>
      <c r="BF716" s="189"/>
      <c r="BG716" s="189"/>
      <c r="BH716" s="189"/>
      <c r="BI716" s="190"/>
      <c r="BJ716" s="190"/>
      <c r="BK716" s="190"/>
      <c r="BL716" s="190"/>
      <c r="BM716" s="190"/>
      <c r="BN716" s="190"/>
      <c r="BO716" s="190"/>
      <c r="BP716" s="190"/>
      <c r="BQ716" s="190"/>
      <c r="BR716" s="190"/>
      <c r="BS716" s="190"/>
      <c r="BT716" s="190"/>
      <c r="BU716" s="190"/>
      <c r="BV716" s="190"/>
      <c r="BW716" s="190"/>
      <c r="BX716" s="190"/>
      <c r="BY716" s="190"/>
      <c r="BZ716" s="190"/>
      <c r="CA716" s="189"/>
      <c r="CB716" s="15"/>
    </row>
    <row r="717" spans="1:80" ht="15" x14ac:dyDescent="0.25">
      <c r="A717" s="167"/>
      <c r="B717" s="642"/>
      <c r="C717" s="642"/>
      <c r="D717" s="179"/>
      <c r="E717" s="169"/>
      <c r="F717" s="169"/>
      <c r="G717" s="187"/>
      <c r="H717" s="187"/>
      <c r="I717" s="187"/>
      <c r="J717" s="187"/>
      <c r="K717" s="187"/>
      <c r="L717" s="647"/>
      <c r="M717" s="646">
        <v>33782</v>
      </c>
      <c r="N717" s="585">
        <v>3.21</v>
      </c>
      <c r="O717" s="585">
        <v>1.8859999999999998E-2</v>
      </c>
      <c r="P717" s="175">
        <v>0</v>
      </c>
      <c r="Q717" s="175">
        <v>0</v>
      </c>
      <c r="R717" s="175">
        <v>2.7999999999999998E-4</v>
      </c>
      <c r="S717" s="175">
        <v>1.5499999999999999E-3</v>
      </c>
      <c r="T717" s="175">
        <v>3.1700000000000001E-3</v>
      </c>
      <c r="U717" s="175">
        <v>4.2599999999999999E-3</v>
      </c>
      <c r="V717" s="706">
        <v>9.5999999999999992E-3</v>
      </c>
      <c r="W717" s="717"/>
      <c r="X717" s="713"/>
      <c r="Y717" s="718"/>
      <c r="Z717" s="709">
        <v>21</v>
      </c>
      <c r="AA717" s="175"/>
      <c r="AB717" s="200"/>
      <c r="AC717" s="205">
        <v>1.6E-2</v>
      </c>
      <c r="AD717" s="175">
        <v>6.9</v>
      </c>
      <c r="AE717" s="175">
        <v>0.37</v>
      </c>
      <c r="AF717" s="186">
        <f t="shared" si="12"/>
        <v>2.5529999999999999</v>
      </c>
      <c r="AG717" s="175">
        <v>1.3</v>
      </c>
      <c r="AH717" s="334"/>
      <c r="AI717" s="188"/>
      <c r="AJ717" s="188"/>
      <c r="AK717" s="188"/>
      <c r="AL717" s="189"/>
      <c r="AM717" s="189"/>
      <c r="AN717" s="189"/>
      <c r="AO717" s="189"/>
      <c r="AP717" s="189"/>
      <c r="AQ717" s="189"/>
      <c r="AR717" s="189"/>
      <c r="AS717" s="189"/>
      <c r="AT717" s="189"/>
      <c r="AU717" s="190"/>
      <c r="AV717" s="190"/>
      <c r="AW717" s="190"/>
      <c r="AX717" s="190"/>
      <c r="AY717" s="190"/>
      <c r="AZ717" s="189"/>
      <c r="BA717" s="189"/>
      <c r="BB717" s="189"/>
      <c r="BC717" s="189"/>
      <c r="BD717" s="189"/>
      <c r="BE717" s="189"/>
      <c r="BF717" s="189"/>
      <c r="BG717" s="189"/>
      <c r="BH717" s="189"/>
      <c r="BI717" s="190"/>
      <c r="BJ717" s="190"/>
      <c r="BK717" s="190"/>
      <c r="BL717" s="190"/>
      <c r="BM717" s="190"/>
      <c r="BN717" s="190"/>
      <c r="BO717" s="190"/>
      <c r="BP717" s="190"/>
      <c r="BQ717" s="190"/>
      <c r="BR717" s="190"/>
      <c r="BS717" s="190"/>
      <c r="BT717" s="190"/>
      <c r="BU717" s="190"/>
      <c r="BV717" s="190"/>
      <c r="BW717" s="190"/>
      <c r="BX717" s="190"/>
      <c r="BY717" s="190"/>
      <c r="BZ717" s="190"/>
      <c r="CA717" s="189"/>
      <c r="CB717" s="15"/>
    </row>
    <row r="718" spans="1:80" ht="15" x14ac:dyDescent="0.25">
      <c r="A718" s="167"/>
      <c r="B718" s="642"/>
      <c r="C718" s="642"/>
      <c r="D718" s="179"/>
      <c r="E718" s="169"/>
      <c r="F718" s="169"/>
      <c r="G718" s="187"/>
      <c r="H718" s="187"/>
      <c r="I718" s="187"/>
      <c r="J718" s="187"/>
      <c r="K718" s="187"/>
      <c r="L718" s="647"/>
      <c r="M718" s="646">
        <v>33782</v>
      </c>
      <c r="N718" s="585">
        <v>3.4</v>
      </c>
      <c r="O718" s="585">
        <v>2.2009999999999998E-2</v>
      </c>
      <c r="P718" s="175">
        <v>0</v>
      </c>
      <c r="Q718" s="175">
        <v>0</v>
      </c>
      <c r="R718" s="175">
        <v>2.1900000000000001E-3</v>
      </c>
      <c r="S718" s="175">
        <v>3.4199999999999999E-3</v>
      </c>
      <c r="T718" s="175">
        <v>3.2599999999999999E-3</v>
      </c>
      <c r="U718" s="175">
        <v>3.9199999999999999E-3</v>
      </c>
      <c r="V718" s="706">
        <v>9.2200000000000008E-3</v>
      </c>
      <c r="W718" s="717"/>
      <c r="X718" s="713"/>
      <c r="Y718" s="718"/>
      <c r="Z718" s="709">
        <v>22</v>
      </c>
      <c r="AA718" s="175"/>
      <c r="AB718" s="200"/>
      <c r="AC718" s="205">
        <v>1.4999999999999999E-2</v>
      </c>
      <c r="AD718" s="175">
        <v>6.8</v>
      </c>
      <c r="AE718" s="175">
        <v>0.39</v>
      </c>
      <c r="AF718" s="186">
        <f t="shared" si="12"/>
        <v>2.6520000000000001</v>
      </c>
      <c r="AG718" s="175">
        <v>1.25</v>
      </c>
      <c r="AH718" s="334"/>
      <c r="AI718" s="188"/>
      <c r="AJ718" s="188"/>
      <c r="AK718" s="188"/>
      <c r="AL718" s="189"/>
      <c r="AM718" s="189"/>
      <c r="AN718" s="189"/>
      <c r="AO718" s="189"/>
      <c r="AP718" s="189"/>
      <c r="AQ718" s="189"/>
      <c r="AR718" s="189"/>
      <c r="AS718" s="189"/>
      <c r="AT718" s="189"/>
      <c r="AU718" s="190"/>
      <c r="AV718" s="190"/>
      <c r="AW718" s="190"/>
      <c r="AX718" s="190"/>
      <c r="AY718" s="190"/>
      <c r="AZ718" s="189"/>
      <c r="BA718" s="189"/>
      <c r="BB718" s="189"/>
      <c r="BC718" s="189"/>
      <c r="BD718" s="189"/>
      <c r="BE718" s="189"/>
      <c r="BF718" s="189"/>
      <c r="BG718" s="189"/>
      <c r="BH718" s="189"/>
      <c r="BI718" s="190"/>
      <c r="BJ718" s="190"/>
      <c r="BK718" s="190"/>
      <c r="BL718" s="190"/>
      <c r="BM718" s="190"/>
      <c r="BN718" s="190"/>
      <c r="BO718" s="190"/>
      <c r="BP718" s="190"/>
      <c r="BQ718" s="190"/>
      <c r="BR718" s="190"/>
      <c r="BS718" s="190"/>
      <c r="BT718" s="190"/>
      <c r="BU718" s="190"/>
      <c r="BV718" s="190"/>
      <c r="BW718" s="190"/>
      <c r="BX718" s="190"/>
      <c r="BY718" s="190"/>
      <c r="BZ718" s="190"/>
      <c r="CA718" s="189"/>
      <c r="CB718" s="15"/>
    </row>
    <row r="719" spans="1:80" ht="15" x14ac:dyDescent="0.25">
      <c r="A719" s="167"/>
      <c r="B719" s="642"/>
      <c r="C719" s="642"/>
      <c r="D719" s="179"/>
      <c r="E719" s="169"/>
      <c r="F719" s="169"/>
      <c r="G719" s="187"/>
      <c r="H719" s="187"/>
      <c r="I719" s="187"/>
      <c r="J719" s="187"/>
      <c r="K719" s="187"/>
      <c r="L719" s="647"/>
      <c r="M719" s="646">
        <v>33782</v>
      </c>
      <c r="N719" s="585">
        <v>3.53</v>
      </c>
      <c r="O719" s="585">
        <v>4.9699999999999996E-3</v>
      </c>
      <c r="P719" s="175">
        <v>0</v>
      </c>
      <c r="Q719" s="175">
        <v>0</v>
      </c>
      <c r="R719" s="175">
        <v>0</v>
      </c>
      <c r="S719" s="175">
        <v>2.0000000000000001E-4</v>
      </c>
      <c r="T719" s="175">
        <v>6.6E-4</v>
      </c>
      <c r="U719" s="175">
        <v>9.7000000000000005E-4</v>
      </c>
      <c r="V719" s="706">
        <v>3.15E-3</v>
      </c>
      <c r="W719" s="717"/>
      <c r="X719" s="713"/>
      <c r="Y719" s="718"/>
      <c r="Z719" s="709">
        <v>9</v>
      </c>
      <c r="AA719" s="175"/>
      <c r="AB719" s="200"/>
      <c r="AC719" s="205">
        <v>1.2999999999999999E-2</v>
      </c>
      <c r="AD719" s="175">
        <v>7</v>
      </c>
      <c r="AE719" s="175">
        <v>0.4</v>
      </c>
      <c r="AF719" s="186">
        <f t="shared" si="12"/>
        <v>2.8000000000000003</v>
      </c>
      <c r="AG719" s="175">
        <v>1.27</v>
      </c>
      <c r="AH719" s="334"/>
      <c r="AI719" s="188"/>
      <c r="AJ719" s="188"/>
      <c r="AK719" s="188"/>
      <c r="AL719" s="189"/>
      <c r="AM719" s="189"/>
      <c r="AN719" s="189"/>
      <c r="AO719" s="189"/>
      <c r="AP719" s="189"/>
      <c r="AQ719" s="189"/>
      <c r="AR719" s="189"/>
      <c r="AS719" s="189"/>
      <c r="AT719" s="189"/>
      <c r="AU719" s="190"/>
      <c r="AV719" s="190"/>
      <c r="AW719" s="190"/>
      <c r="AX719" s="190"/>
      <c r="AY719" s="190"/>
      <c r="AZ719" s="189"/>
      <c r="BA719" s="189"/>
      <c r="BB719" s="189"/>
      <c r="BC719" s="189"/>
      <c r="BD719" s="189"/>
      <c r="BE719" s="189"/>
      <c r="BF719" s="189"/>
      <c r="BG719" s="189"/>
      <c r="BH719" s="189"/>
      <c r="BI719" s="190"/>
      <c r="BJ719" s="190"/>
      <c r="BK719" s="190"/>
      <c r="BL719" s="190"/>
      <c r="BM719" s="190"/>
      <c r="BN719" s="190"/>
      <c r="BO719" s="190"/>
      <c r="BP719" s="190"/>
      <c r="BQ719" s="190"/>
      <c r="BR719" s="190"/>
      <c r="BS719" s="190"/>
      <c r="BT719" s="190"/>
      <c r="BU719" s="190"/>
      <c r="BV719" s="190"/>
      <c r="BW719" s="190"/>
      <c r="BX719" s="190"/>
      <c r="BY719" s="190"/>
      <c r="BZ719" s="190"/>
      <c r="CA719" s="189"/>
      <c r="CB719" s="15"/>
    </row>
    <row r="720" spans="1:80" ht="15" x14ac:dyDescent="0.25">
      <c r="A720" s="167"/>
      <c r="B720" s="642"/>
      <c r="C720" s="642"/>
      <c r="D720" s="179"/>
      <c r="E720" s="169"/>
      <c r="F720" s="169"/>
      <c r="G720" s="187"/>
      <c r="H720" s="187"/>
      <c r="I720" s="187"/>
      <c r="J720" s="187"/>
      <c r="K720" s="187"/>
      <c r="L720" s="647"/>
      <c r="M720" s="646">
        <v>33782</v>
      </c>
      <c r="N720" s="585">
        <v>3.08</v>
      </c>
      <c r="O720" s="585">
        <v>5.3600000000000002E-3</v>
      </c>
      <c r="P720" s="175">
        <v>0</v>
      </c>
      <c r="Q720" s="175">
        <v>0</v>
      </c>
      <c r="R720" s="175">
        <v>5.0000000000000001E-4</v>
      </c>
      <c r="S720" s="175">
        <v>3.4000000000000002E-4</v>
      </c>
      <c r="T720" s="175">
        <v>8.9999999999999998E-4</v>
      </c>
      <c r="U720" s="175">
        <v>9.2000000000000003E-4</v>
      </c>
      <c r="V720" s="706">
        <v>2.7000000000000001E-3</v>
      </c>
      <c r="W720" s="717"/>
      <c r="X720" s="713"/>
      <c r="Y720" s="718"/>
      <c r="Z720" s="709">
        <v>19</v>
      </c>
      <c r="AA720" s="175"/>
      <c r="AB720" s="200"/>
      <c r="AC720" s="205">
        <v>1.6E-2</v>
      </c>
      <c r="AD720" s="175">
        <v>6.85</v>
      </c>
      <c r="AE720" s="175">
        <v>0.41</v>
      </c>
      <c r="AF720" s="186">
        <f t="shared" si="12"/>
        <v>2.8084999999999996</v>
      </c>
      <c r="AG720" s="175">
        <v>1.18</v>
      </c>
      <c r="AH720" s="334"/>
      <c r="AI720" s="188"/>
      <c r="AJ720" s="188"/>
      <c r="AK720" s="188"/>
      <c r="AL720" s="189"/>
      <c r="AM720" s="189"/>
      <c r="AN720" s="189"/>
      <c r="AO720" s="189"/>
      <c r="AP720" s="189"/>
      <c r="AQ720" s="189"/>
      <c r="AR720" s="189"/>
      <c r="AS720" s="189"/>
      <c r="AT720" s="189"/>
      <c r="AU720" s="190"/>
      <c r="AV720" s="190"/>
      <c r="AW720" s="190"/>
      <c r="AX720" s="190"/>
      <c r="AY720" s="190"/>
      <c r="AZ720" s="189"/>
      <c r="BA720" s="189"/>
      <c r="BB720" s="189"/>
      <c r="BC720" s="189"/>
      <c r="BD720" s="189"/>
      <c r="BE720" s="189"/>
      <c r="BF720" s="189"/>
      <c r="BG720" s="189"/>
      <c r="BH720" s="189"/>
      <c r="BI720" s="190"/>
      <c r="BJ720" s="190"/>
      <c r="BK720" s="190"/>
      <c r="BL720" s="190"/>
      <c r="BM720" s="190"/>
      <c r="BN720" s="190"/>
      <c r="BO720" s="190"/>
      <c r="BP720" s="190"/>
      <c r="BQ720" s="190"/>
      <c r="BR720" s="190"/>
      <c r="BS720" s="190"/>
      <c r="BT720" s="190"/>
      <c r="BU720" s="190"/>
      <c r="BV720" s="190"/>
      <c r="BW720" s="190"/>
      <c r="BX720" s="190"/>
      <c r="BY720" s="190"/>
      <c r="BZ720" s="190"/>
      <c r="CA720" s="189"/>
      <c r="CB720" s="15"/>
    </row>
    <row r="721" spans="1:80" ht="15" x14ac:dyDescent="0.25">
      <c r="A721" s="167"/>
      <c r="B721" s="642"/>
      <c r="C721" s="642"/>
      <c r="D721" s="179"/>
      <c r="E721" s="169"/>
      <c r="F721" s="169"/>
      <c r="G721" s="187"/>
      <c r="H721" s="187"/>
      <c r="I721" s="187"/>
      <c r="J721" s="187"/>
      <c r="K721" s="187"/>
      <c r="L721" s="647"/>
      <c r="M721" s="646">
        <v>33783</v>
      </c>
      <c r="N721" s="585">
        <v>3.08</v>
      </c>
      <c r="O721" s="585">
        <v>2.8060000000000002E-2</v>
      </c>
      <c r="P721" s="175">
        <v>0</v>
      </c>
      <c r="Q721" s="175">
        <v>0</v>
      </c>
      <c r="R721" s="175">
        <v>1.89E-3</v>
      </c>
      <c r="S721" s="175">
        <v>2.6199999999999999E-3</v>
      </c>
      <c r="T721" s="175">
        <v>5.5199999999999997E-3</v>
      </c>
      <c r="U721" s="175">
        <v>7.2500000000000004E-3</v>
      </c>
      <c r="V721" s="706">
        <v>1.077E-2</v>
      </c>
      <c r="W721" s="717"/>
      <c r="X721" s="713"/>
      <c r="Y721" s="718"/>
      <c r="Z721" s="709">
        <v>31</v>
      </c>
      <c r="AA721" s="175"/>
      <c r="AB721" s="200"/>
      <c r="AC721" s="205">
        <v>1.9E-2</v>
      </c>
      <c r="AD721" s="175">
        <v>6.85</v>
      </c>
      <c r="AE721" s="175">
        <v>0.41</v>
      </c>
      <c r="AF721" s="186">
        <f t="shared" si="12"/>
        <v>2.8084999999999996</v>
      </c>
      <c r="AG721" s="175">
        <v>1.22</v>
      </c>
      <c r="AH721" s="334"/>
      <c r="AI721" s="188"/>
      <c r="AJ721" s="188"/>
      <c r="AK721" s="188"/>
      <c r="AL721" s="189"/>
      <c r="AM721" s="189"/>
      <c r="AN721" s="189"/>
      <c r="AO721" s="189"/>
      <c r="AP721" s="189"/>
      <c r="AQ721" s="189"/>
      <c r="AR721" s="189"/>
      <c r="AS721" s="189"/>
      <c r="AT721" s="189"/>
      <c r="AU721" s="190"/>
      <c r="AV721" s="190"/>
      <c r="AW721" s="190"/>
      <c r="AX721" s="190"/>
      <c r="AY721" s="190"/>
      <c r="AZ721" s="189"/>
      <c r="BA721" s="189"/>
      <c r="BB721" s="189"/>
      <c r="BC721" s="189"/>
      <c r="BD721" s="189"/>
      <c r="BE721" s="189"/>
      <c r="BF721" s="189"/>
      <c r="BG721" s="189"/>
      <c r="BH721" s="189"/>
      <c r="BI721" s="190"/>
      <c r="BJ721" s="190"/>
      <c r="BK721" s="190"/>
      <c r="BL721" s="190"/>
      <c r="BM721" s="190"/>
      <c r="BN721" s="190"/>
      <c r="BO721" s="190"/>
      <c r="BP721" s="190"/>
      <c r="BQ721" s="190"/>
      <c r="BR721" s="190"/>
      <c r="BS721" s="190"/>
      <c r="BT721" s="190"/>
      <c r="BU721" s="190"/>
      <c r="BV721" s="190"/>
      <c r="BW721" s="190"/>
      <c r="BX721" s="190"/>
      <c r="BY721" s="190"/>
      <c r="BZ721" s="190"/>
      <c r="CA721" s="189"/>
      <c r="CB721" s="15"/>
    </row>
    <row r="722" spans="1:80" ht="15" x14ac:dyDescent="0.25">
      <c r="A722" s="167"/>
      <c r="B722" s="642"/>
      <c r="C722" s="642"/>
      <c r="D722" s="179"/>
      <c r="E722" s="169"/>
      <c r="F722" s="169"/>
      <c r="G722" s="187"/>
      <c r="H722" s="187"/>
      <c r="I722" s="187"/>
      <c r="J722" s="187"/>
      <c r="K722" s="187"/>
      <c r="L722" s="647"/>
      <c r="M722" s="646">
        <v>33783</v>
      </c>
      <c r="N722" s="585">
        <v>3.14</v>
      </c>
      <c r="O722" s="585">
        <v>9.4800000000000006E-3</v>
      </c>
      <c r="P722" s="175">
        <v>0</v>
      </c>
      <c r="Q722" s="175">
        <v>0</v>
      </c>
      <c r="R722" s="175">
        <v>1E-3</v>
      </c>
      <c r="S722" s="175">
        <v>1.9599999999999999E-3</v>
      </c>
      <c r="T722" s="175">
        <v>1.2199999999999999E-3</v>
      </c>
      <c r="U722" s="175">
        <v>1.6000000000000001E-3</v>
      </c>
      <c r="V722" s="706">
        <v>3.7000000000000002E-3</v>
      </c>
      <c r="W722" s="717"/>
      <c r="X722" s="713"/>
      <c r="Y722" s="718"/>
      <c r="Z722" s="709">
        <v>23</v>
      </c>
      <c r="AA722" s="175"/>
      <c r="AB722" s="200"/>
      <c r="AC722" s="205">
        <v>1.6E-2</v>
      </c>
      <c r="AD722" s="175">
        <v>6.8</v>
      </c>
      <c r="AE722" s="175">
        <v>0.38</v>
      </c>
      <c r="AF722" s="186">
        <f t="shared" si="12"/>
        <v>2.5840000000000001</v>
      </c>
      <c r="AG722" s="175">
        <v>1.19</v>
      </c>
      <c r="AH722" s="334"/>
      <c r="AI722" s="188"/>
      <c r="AJ722" s="188"/>
      <c r="AK722" s="188"/>
      <c r="AL722" s="189"/>
      <c r="AM722" s="189"/>
      <c r="AN722" s="189"/>
      <c r="AO722" s="189"/>
      <c r="AP722" s="189"/>
      <c r="AQ722" s="189"/>
      <c r="AR722" s="189"/>
      <c r="AS722" s="189"/>
      <c r="AT722" s="189"/>
      <c r="AU722" s="190"/>
      <c r="AV722" s="190"/>
      <c r="AW722" s="190"/>
      <c r="AX722" s="190"/>
      <c r="AY722" s="190"/>
      <c r="AZ722" s="189"/>
      <c r="BA722" s="189"/>
      <c r="BB722" s="189"/>
      <c r="BC722" s="189"/>
      <c r="BD722" s="189"/>
      <c r="BE722" s="189"/>
      <c r="BF722" s="189"/>
      <c r="BG722" s="189"/>
      <c r="BH722" s="189"/>
      <c r="BI722" s="190"/>
      <c r="BJ722" s="190"/>
      <c r="BK722" s="190"/>
      <c r="BL722" s="190"/>
      <c r="BM722" s="190"/>
      <c r="BN722" s="190"/>
      <c r="BO722" s="190"/>
      <c r="BP722" s="190"/>
      <c r="BQ722" s="190"/>
      <c r="BR722" s="190"/>
      <c r="BS722" s="190"/>
      <c r="BT722" s="190"/>
      <c r="BU722" s="190"/>
      <c r="BV722" s="190"/>
      <c r="BW722" s="190"/>
      <c r="BX722" s="190"/>
      <c r="BY722" s="190"/>
      <c r="BZ722" s="190"/>
      <c r="CA722" s="189"/>
      <c r="CB722" s="15"/>
    </row>
    <row r="723" spans="1:80" ht="15" x14ac:dyDescent="0.25">
      <c r="A723" s="167"/>
      <c r="B723" s="642"/>
      <c r="C723" s="642"/>
      <c r="D723" s="179"/>
      <c r="E723" s="169"/>
      <c r="F723" s="169"/>
      <c r="G723" s="187"/>
      <c r="H723" s="187"/>
      <c r="I723" s="187"/>
      <c r="J723" s="187"/>
      <c r="K723" s="187"/>
      <c r="L723" s="647"/>
      <c r="M723" s="646">
        <v>34118</v>
      </c>
      <c r="N723" s="585">
        <v>1.42</v>
      </c>
      <c r="O723" s="585">
        <v>2.9520000000000001E-2</v>
      </c>
      <c r="P723" s="175">
        <v>0</v>
      </c>
      <c r="Q723" s="175">
        <v>0</v>
      </c>
      <c r="R723" s="175">
        <v>8.4000000000000003E-4</v>
      </c>
      <c r="S723" s="175">
        <v>3.2000000000000003E-4</v>
      </c>
      <c r="T723" s="175">
        <v>5.4200000000000003E-3</v>
      </c>
      <c r="U723" s="175">
        <v>9.5600000000000008E-3</v>
      </c>
      <c r="V723" s="706">
        <v>1.3390000000000001E-2</v>
      </c>
      <c r="W723" s="717"/>
      <c r="X723" s="713"/>
      <c r="Y723" s="718"/>
      <c r="Z723" s="709">
        <v>22</v>
      </c>
      <c r="AA723" s="175"/>
      <c r="AB723" s="200"/>
      <c r="AC723" s="205">
        <v>1.4999999999999999E-2</v>
      </c>
      <c r="AD723" s="175">
        <v>6.64</v>
      </c>
      <c r="AE723" s="175">
        <v>0.25</v>
      </c>
      <c r="AF723" s="186">
        <f t="shared" si="12"/>
        <v>1.66</v>
      </c>
      <c r="AG723" s="175">
        <v>0.96</v>
      </c>
      <c r="AH723" s="334"/>
      <c r="AI723" s="188"/>
      <c r="AJ723" s="188"/>
      <c r="AK723" s="188"/>
      <c r="AL723" s="189"/>
      <c r="AM723" s="189"/>
      <c r="AN723" s="189"/>
      <c r="AO723" s="189"/>
      <c r="AP723" s="189"/>
      <c r="AQ723" s="189"/>
      <c r="AR723" s="189"/>
      <c r="AS723" s="189"/>
      <c r="AT723" s="189"/>
      <c r="AU723" s="190"/>
      <c r="AV723" s="190"/>
      <c r="AW723" s="190"/>
      <c r="AX723" s="190"/>
      <c r="AY723" s="190"/>
      <c r="AZ723" s="189"/>
      <c r="BA723" s="189"/>
      <c r="BB723" s="189"/>
      <c r="BC723" s="189"/>
      <c r="BD723" s="189"/>
      <c r="BE723" s="189"/>
      <c r="BF723" s="189"/>
      <c r="BG723" s="189"/>
      <c r="BH723" s="189"/>
      <c r="BI723" s="190"/>
      <c r="BJ723" s="190"/>
      <c r="BK723" s="190"/>
      <c r="BL723" s="190"/>
      <c r="BM723" s="190"/>
      <c r="BN723" s="190"/>
      <c r="BO723" s="190"/>
      <c r="BP723" s="190"/>
      <c r="BQ723" s="190"/>
      <c r="BR723" s="190"/>
      <c r="BS723" s="190"/>
      <c r="BT723" s="190"/>
      <c r="BU723" s="190"/>
      <c r="BV723" s="190"/>
      <c r="BW723" s="190"/>
      <c r="BX723" s="190"/>
      <c r="BY723" s="190"/>
      <c r="BZ723" s="190"/>
      <c r="CA723" s="189"/>
      <c r="CB723" s="15"/>
    </row>
    <row r="724" spans="1:80" ht="15" x14ac:dyDescent="0.25">
      <c r="A724" s="167"/>
      <c r="B724" s="642"/>
      <c r="C724" s="642"/>
      <c r="D724" s="179"/>
      <c r="E724" s="169"/>
      <c r="F724" s="169"/>
      <c r="G724" s="187"/>
      <c r="H724" s="187"/>
      <c r="I724" s="187"/>
      <c r="J724" s="187"/>
      <c r="K724" s="187"/>
      <c r="L724" s="647"/>
      <c r="M724" s="646">
        <v>34121</v>
      </c>
      <c r="N724" s="585">
        <v>2.75</v>
      </c>
      <c r="O724" s="585">
        <v>2.0639999999999999E-2</v>
      </c>
      <c r="P724" s="175">
        <v>0</v>
      </c>
      <c r="Q724" s="175">
        <v>0</v>
      </c>
      <c r="R724" s="175">
        <v>0</v>
      </c>
      <c r="S724" s="175">
        <v>2.6099999999999999E-3</v>
      </c>
      <c r="T724" s="175">
        <v>5.9199999999999999E-3</v>
      </c>
      <c r="U724" s="175">
        <v>5.2399999999999999E-3</v>
      </c>
      <c r="V724" s="706">
        <v>6.8700000000000002E-3</v>
      </c>
      <c r="W724" s="717"/>
      <c r="X724" s="713"/>
      <c r="Y724" s="718"/>
      <c r="Z724" s="709">
        <v>15</v>
      </c>
      <c r="AA724" s="175"/>
      <c r="AB724" s="200"/>
      <c r="AC724" s="205">
        <v>1.4999999999999999E-2</v>
      </c>
      <c r="AD724" s="175">
        <v>7.13</v>
      </c>
      <c r="AE724" s="175">
        <v>0.34</v>
      </c>
      <c r="AF724" s="186">
        <f t="shared" si="12"/>
        <v>2.4242000000000004</v>
      </c>
      <c r="AG724" s="175">
        <v>1.1399999999999999</v>
      </c>
      <c r="AH724" s="334"/>
      <c r="AI724" s="188"/>
      <c r="AJ724" s="188"/>
      <c r="AK724" s="188"/>
      <c r="AL724" s="189"/>
      <c r="AM724" s="189"/>
      <c r="AN724" s="189"/>
      <c r="AO724" s="189"/>
      <c r="AP724" s="189"/>
      <c r="AQ724" s="189"/>
      <c r="AR724" s="189"/>
      <c r="AS724" s="189"/>
      <c r="AT724" s="189"/>
      <c r="AU724" s="190"/>
      <c r="AV724" s="190"/>
      <c r="AW724" s="190"/>
      <c r="AX724" s="190"/>
      <c r="AY724" s="190"/>
      <c r="AZ724" s="189"/>
      <c r="BA724" s="189"/>
      <c r="BB724" s="189"/>
      <c r="BC724" s="189"/>
      <c r="BD724" s="189"/>
      <c r="BE724" s="189"/>
      <c r="BF724" s="189"/>
      <c r="BG724" s="189"/>
      <c r="BH724" s="189"/>
      <c r="BI724" s="190"/>
      <c r="BJ724" s="190"/>
      <c r="BK724" s="190"/>
      <c r="BL724" s="190"/>
      <c r="BM724" s="190"/>
      <c r="BN724" s="190"/>
      <c r="BO724" s="190"/>
      <c r="BP724" s="190"/>
      <c r="BQ724" s="190"/>
      <c r="BR724" s="190"/>
      <c r="BS724" s="190"/>
      <c r="BT724" s="190"/>
      <c r="BU724" s="190"/>
      <c r="BV724" s="190"/>
      <c r="BW724" s="190"/>
      <c r="BX724" s="190"/>
      <c r="BY724" s="190"/>
      <c r="BZ724" s="190"/>
      <c r="CA724" s="189"/>
      <c r="CB724" s="15"/>
    </row>
    <row r="725" spans="1:80" ht="15" x14ac:dyDescent="0.25">
      <c r="A725" s="167"/>
      <c r="B725" s="642"/>
      <c r="C725" s="642"/>
      <c r="D725" s="179"/>
      <c r="E725" s="169"/>
      <c r="F725" s="169"/>
      <c r="G725" s="187"/>
      <c r="H725" s="187"/>
      <c r="I725" s="187"/>
      <c r="J725" s="187"/>
      <c r="K725" s="187"/>
      <c r="L725" s="647"/>
      <c r="M725" s="646">
        <v>34122</v>
      </c>
      <c r="N725" s="585">
        <v>3.85</v>
      </c>
      <c r="O725" s="585">
        <v>5.3359999999999998E-2</v>
      </c>
      <c r="P725" s="175">
        <v>0</v>
      </c>
      <c r="Q725" s="175">
        <v>7.6600000000000001E-3</v>
      </c>
      <c r="R725" s="175">
        <v>2.3500000000000001E-3</v>
      </c>
      <c r="S725" s="175">
        <v>2.7799999999999999E-3</v>
      </c>
      <c r="T725" s="175">
        <v>8.0999999999999996E-3</v>
      </c>
      <c r="U725" s="175">
        <v>9.6600000000000002E-3</v>
      </c>
      <c r="V725" s="706">
        <v>2.282E-2</v>
      </c>
      <c r="W725" s="717"/>
      <c r="X725" s="713"/>
      <c r="Y725" s="718"/>
      <c r="Z725" s="709">
        <v>46</v>
      </c>
      <c r="AA725" s="175"/>
      <c r="AB725" s="200"/>
      <c r="AC725" s="205">
        <v>1.2999999999999999E-2</v>
      </c>
      <c r="AD725" s="175">
        <v>7.38</v>
      </c>
      <c r="AE725" s="175">
        <v>0.37</v>
      </c>
      <c r="AF725" s="186">
        <f t="shared" si="12"/>
        <v>2.7305999999999999</v>
      </c>
      <c r="AG725" s="175">
        <v>1.4</v>
      </c>
      <c r="AH725" s="334"/>
      <c r="AI725" s="188"/>
      <c r="AJ725" s="188"/>
      <c r="AK725" s="188"/>
      <c r="AL725" s="189"/>
      <c r="AM725" s="189"/>
      <c r="AN725" s="189"/>
      <c r="AO725" s="189"/>
      <c r="AP725" s="189"/>
      <c r="AQ725" s="189"/>
      <c r="AR725" s="189"/>
      <c r="AS725" s="189"/>
      <c r="AT725" s="189"/>
      <c r="AU725" s="190"/>
      <c r="AV725" s="190"/>
      <c r="AW725" s="190"/>
      <c r="AX725" s="190"/>
      <c r="AY725" s="190"/>
      <c r="AZ725" s="189"/>
      <c r="BA725" s="189"/>
      <c r="BB725" s="189"/>
      <c r="BC725" s="189"/>
      <c r="BD725" s="189"/>
      <c r="BE725" s="189"/>
      <c r="BF725" s="189"/>
      <c r="BG725" s="189"/>
      <c r="BH725" s="189"/>
      <c r="BI725" s="190"/>
      <c r="BJ725" s="190"/>
      <c r="BK725" s="190"/>
      <c r="BL725" s="190"/>
      <c r="BM725" s="190"/>
      <c r="BN725" s="190"/>
      <c r="BO725" s="190"/>
      <c r="BP725" s="190"/>
      <c r="BQ725" s="190"/>
      <c r="BR725" s="190"/>
      <c r="BS725" s="190"/>
      <c r="BT725" s="190"/>
      <c r="BU725" s="190"/>
      <c r="BV725" s="190"/>
      <c r="BW725" s="190"/>
      <c r="BX725" s="190"/>
      <c r="BY725" s="190"/>
      <c r="BZ725" s="190"/>
      <c r="CA725" s="189"/>
      <c r="CB725" s="15"/>
    </row>
    <row r="726" spans="1:80" ht="15" x14ac:dyDescent="0.25">
      <c r="A726" s="167"/>
      <c r="B726" s="642"/>
      <c r="C726" s="642"/>
      <c r="D726" s="179"/>
      <c r="E726" s="169"/>
      <c r="F726" s="169"/>
      <c r="G726" s="187"/>
      <c r="H726" s="187"/>
      <c r="I726" s="187"/>
      <c r="J726" s="187"/>
      <c r="K726" s="187"/>
      <c r="L726" s="647"/>
      <c r="M726" s="646">
        <v>34123</v>
      </c>
      <c r="N726" s="585">
        <v>2.99</v>
      </c>
      <c r="O726" s="585">
        <v>2.9940000000000001E-2</v>
      </c>
      <c r="P726" s="175">
        <v>0</v>
      </c>
      <c r="Q726" s="175">
        <v>0</v>
      </c>
      <c r="R726" s="175">
        <v>0</v>
      </c>
      <c r="S726" s="175">
        <v>4.15E-3</v>
      </c>
      <c r="T726" s="175">
        <v>5.62E-3</v>
      </c>
      <c r="U726" s="175">
        <v>6.8999999999999999E-3</v>
      </c>
      <c r="V726" s="706">
        <v>1.3270000000000001E-2</v>
      </c>
      <c r="W726" s="717"/>
      <c r="X726" s="713"/>
      <c r="Y726" s="718"/>
      <c r="Z726" s="709">
        <v>19</v>
      </c>
      <c r="AA726" s="175"/>
      <c r="AB726" s="200"/>
      <c r="AC726" s="205">
        <v>1.4999999999999999E-2</v>
      </c>
      <c r="AD726" s="175">
        <v>7.35</v>
      </c>
      <c r="AE726" s="175">
        <v>0.35</v>
      </c>
      <c r="AF726" s="186">
        <f t="shared" si="12"/>
        <v>2.5724999999999998</v>
      </c>
      <c r="AG726" s="175">
        <v>1.1100000000000001</v>
      </c>
      <c r="AH726" s="334"/>
      <c r="AI726" s="188"/>
      <c r="AJ726" s="188"/>
      <c r="AK726" s="188"/>
      <c r="AL726" s="189"/>
      <c r="AM726" s="189"/>
      <c r="AN726" s="189"/>
      <c r="AO726" s="189"/>
      <c r="AP726" s="189"/>
      <c r="AQ726" s="189"/>
      <c r="AR726" s="189"/>
      <c r="AS726" s="189"/>
      <c r="AT726" s="189"/>
      <c r="AU726" s="190"/>
      <c r="AV726" s="190"/>
      <c r="AW726" s="190"/>
      <c r="AX726" s="190"/>
      <c r="AY726" s="190"/>
      <c r="AZ726" s="189"/>
      <c r="BA726" s="189"/>
      <c r="BB726" s="189"/>
      <c r="BC726" s="189"/>
      <c r="BD726" s="189"/>
      <c r="BE726" s="189"/>
      <c r="BF726" s="189"/>
      <c r="BG726" s="189"/>
      <c r="BH726" s="189"/>
      <c r="BI726" s="190"/>
      <c r="BJ726" s="190"/>
      <c r="BK726" s="190"/>
      <c r="BL726" s="190"/>
      <c r="BM726" s="190"/>
      <c r="BN726" s="190"/>
      <c r="BO726" s="190"/>
      <c r="BP726" s="190"/>
      <c r="BQ726" s="190"/>
      <c r="BR726" s="190"/>
      <c r="BS726" s="190"/>
      <c r="BT726" s="190"/>
      <c r="BU726" s="190"/>
      <c r="BV726" s="190"/>
      <c r="BW726" s="190"/>
      <c r="BX726" s="190"/>
      <c r="BY726" s="190"/>
      <c r="BZ726" s="190"/>
      <c r="CA726" s="189"/>
      <c r="CB726" s="15"/>
    </row>
    <row r="727" spans="1:80" ht="15" x14ac:dyDescent="0.25">
      <c r="A727" s="167"/>
      <c r="B727" s="642"/>
      <c r="C727" s="642"/>
      <c r="D727" s="179"/>
      <c r="E727" s="169"/>
      <c r="F727" s="169"/>
      <c r="G727" s="187"/>
      <c r="H727" s="187"/>
      <c r="I727" s="187"/>
      <c r="J727" s="187"/>
      <c r="K727" s="187"/>
      <c r="L727" s="647"/>
      <c r="M727" s="646">
        <v>34123</v>
      </c>
      <c r="N727" s="585">
        <v>4.07</v>
      </c>
      <c r="O727" s="585">
        <v>0.12876000000000001</v>
      </c>
      <c r="P727" s="175">
        <v>0</v>
      </c>
      <c r="Q727" s="175">
        <v>2.9680000000000002E-2</v>
      </c>
      <c r="R727" s="175">
        <v>9.2499999999999995E-3</v>
      </c>
      <c r="S727" s="175">
        <v>1.4829999999999999E-2</v>
      </c>
      <c r="T727" s="175">
        <v>1.789E-2</v>
      </c>
      <c r="U727" s="175">
        <v>1.7649999999999999E-2</v>
      </c>
      <c r="V727" s="706">
        <v>3.9460000000000002E-2</v>
      </c>
      <c r="W727" s="717"/>
      <c r="X727" s="713"/>
      <c r="Y727" s="718"/>
      <c r="Z727" s="709">
        <v>65</v>
      </c>
      <c r="AA727" s="175"/>
      <c r="AB727" s="200"/>
      <c r="AC727" s="205">
        <v>1.2999999999999999E-2</v>
      </c>
      <c r="AD727" s="175">
        <v>7.48</v>
      </c>
      <c r="AE727" s="175">
        <v>0.39</v>
      </c>
      <c r="AF727" s="186">
        <f t="shared" si="12"/>
        <v>2.9172000000000002</v>
      </c>
      <c r="AG727" s="175">
        <v>1.35</v>
      </c>
      <c r="AH727" s="334"/>
      <c r="AI727" s="188"/>
      <c r="AJ727" s="188"/>
      <c r="AK727" s="188"/>
      <c r="AL727" s="189"/>
      <c r="AM727" s="189"/>
      <c r="AN727" s="189"/>
      <c r="AO727" s="189"/>
      <c r="AP727" s="189"/>
      <c r="AQ727" s="189"/>
      <c r="AR727" s="189"/>
      <c r="AS727" s="189"/>
      <c r="AT727" s="189"/>
      <c r="AU727" s="190"/>
      <c r="AV727" s="190"/>
      <c r="AW727" s="190"/>
      <c r="AX727" s="190"/>
      <c r="AY727" s="190"/>
      <c r="AZ727" s="189"/>
      <c r="BA727" s="189"/>
      <c r="BB727" s="189"/>
      <c r="BC727" s="189"/>
      <c r="BD727" s="189"/>
      <c r="BE727" s="189"/>
      <c r="BF727" s="189"/>
      <c r="BG727" s="189"/>
      <c r="BH727" s="189"/>
      <c r="BI727" s="190"/>
      <c r="BJ727" s="190"/>
      <c r="BK727" s="190"/>
      <c r="BL727" s="190"/>
      <c r="BM727" s="190"/>
      <c r="BN727" s="190"/>
      <c r="BO727" s="190"/>
      <c r="BP727" s="190"/>
      <c r="BQ727" s="190"/>
      <c r="BR727" s="190"/>
      <c r="BS727" s="190"/>
      <c r="BT727" s="190"/>
      <c r="BU727" s="190"/>
      <c r="BV727" s="190"/>
      <c r="BW727" s="190"/>
      <c r="BX727" s="190"/>
      <c r="BY727" s="190"/>
      <c r="BZ727" s="190"/>
      <c r="CA727" s="189"/>
      <c r="CB727" s="15"/>
    </row>
    <row r="728" spans="1:80" ht="15" x14ac:dyDescent="0.25">
      <c r="A728" s="167"/>
      <c r="B728" s="642"/>
      <c r="C728" s="642"/>
      <c r="D728" s="179"/>
      <c r="E728" s="169"/>
      <c r="F728" s="169"/>
      <c r="G728" s="187"/>
      <c r="H728" s="187"/>
      <c r="I728" s="187"/>
      <c r="J728" s="187"/>
      <c r="K728" s="187"/>
      <c r="L728" s="647"/>
      <c r="M728" s="646">
        <v>34125</v>
      </c>
      <c r="N728" s="585">
        <v>3.24</v>
      </c>
      <c r="O728" s="585">
        <v>1.383E-2</v>
      </c>
      <c r="P728" s="175">
        <v>0</v>
      </c>
      <c r="Q728" s="175">
        <v>0</v>
      </c>
      <c r="R728" s="175">
        <v>0</v>
      </c>
      <c r="S728" s="175">
        <v>1.1900000000000001E-3</v>
      </c>
      <c r="T728" s="175">
        <v>1.8500000000000001E-3</v>
      </c>
      <c r="U728" s="175">
        <v>2.5400000000000002E-3</v>
      </c>
      <c r="V728" s="706">
        <v>8.26E-3</v>
      </c>
      <c r="W728" s="717"/>
      <c r="X728" s="713"/>
      <c r="Y728" s="718"/>
      <c r="Z728" s="709">
        <v>15</v>
      </c>
      <c r="AA728" s="175"/>
      <c r="AB728" s="200"/>
      <c r="AC728" s="205">
        <v>1.4999999999999999E-2</v>
      </c>
      <c r="AD728" s="175">
        <v>7.36</v>
      </c>
      <c r="AE728" s="175">
        <v>0.35</v>
      </c>
      <c r="AF728" s="186">
        <f t="shared" si="12"/>
        <v>2.5760000000000001</v>
      </c>
      <c r="AG728" s="175">
        <v>1.18</v>
      </c>
      <c r="AH728" s="334"/>
      <c r="AI728" s="188"/>
      <c r="AJ728" s="188"/>
      <c r="AK728" s="188"/>
      <c r="AL728" s="189"/>
      <c r="AM728" s="189"/>
      <c r="AN728" s="189"/>
      <c r="AO728" s="189"/>
      <c r="AP728" s="189"/>
      <c r="AQ728" s="189"/>
      <c r="AR728" s="189"/>
      <c r="AS728" s="189"/>
      <c r="AT728" s="189"/>
      <c r="AU728" s="190"/>
      <c r="AV728" s="190"/>
      <c r="AW728" s="190"/>
      <c r="AX728" s="190"/>
      <c r="AY728" s="190"/>
      <c r="AZ728" s="189"/>
      <c r="BA728" s="189"/>
      <c r="BB728" s="189"/>
      <c r="BC728" s="189"/>
      <c r="BD728" s="189"/>
      <c r="BE728" s="189"/>
      <c r="BF728" s="189"/>
      <c r="BG728" s="189"/>
      <c r="BH728" s="189"/>
      <c r="BI728" s="190"/>
      <c r="BJ728" s="190"/>
      <c r="BK728" s="190"/>
      <c r="BL728" s="190"/>
      <c r="BM728" s="190"/>
      <c r="BN728" s="190"/>
      <c r="BO728" s="190"/>
      <c r="BP728" s="190"/>
      <c r="BQ728" s="190"/>
      <c r="BR728" s="190"/>
      <c r="BS728" s="190"/>
      <c r="BT728" s="190"/>
      <c r="BU728" s="190"/>
      <c r="BV728" s="190"/>
      <c r="BW728" s="190"/>
      <c r="BX728" s="190"/>
      <c r="BY728" s="190"/>
      <c r="BZ728" s="190"/>
      <c r="CA728" s="189"/>
      <c r="CB728" s="15"/>
    </row>
    <row r="729" spans="1:80" ht="15" x14ac:dyDescent="0.25">
      <c r="A729" s="167"/>
      <c r="B729" s="642"/>
      <c r="C729" s="642"/>
      <c r="D729" s="179"/>
      <c r="E729" s="169"/>
      <c r="F729" s="169"/>
      <c r="G729" s="187"/>
      <c r="H729" s="187"/>
      <c r="I729" s="187"/>
      <c r="J729" s="187"/>
      <c r="K729" s="187"/>
      <c r="L729" s="647"/>
      <c r="M729" s="646">
        <v>34128</v>
      </c>
      <c r="N729" s="585">
        <v>2.99</v>
      </c>
      <c r="O729" s="585">
        <v>2.5239999999999999E-2</v>
      </c>
      <c r="P729" s="175">
        <v>0</v>
      </c>
      <c r="Q729" s="175">
        <v>0</v>
      </c>
      <c r="R729" s="175">
        <v>4.2999999999999999E-4</v>
      </c>
      <c r="S729" s="175">
        <v>1.1900000000000001E-3</v>
      </c>
      <c r="T729" s="175">
        <v>5.0400000000000002E-3</v>
      </c>
      <c r="U729" s="175">
        <v>7.4200000000000004E-3</v>
      </c>
      <c r="V729" s="706">
        <v>1.116E-2</v>
      </c>
      <c r="W729" s="717"/>
      <c r="X729" s="713"/>
      <c r="Y729" s="718"/>
      <c r="Z729" s="709">
        <v>22</v>
      </c>
      <c r="AA729" s="175"/>
      <c r="AB729" s="200"/>
      <c r="AC729" s="205">
        <v>1.7000000000000001E-2</v>
      </c>
      <c r="AD729" s="175">
        <v>7.22</v>
      </c>
      <c r="AE729" s="175">
        <v>0.33</v>
      </c>
      <c r="AF729" s="186">
        <f t="shared" ref="AF729:AF744" si="13">AE729*AD729</f>
        <v>2.3826000000000001</v>
      </c>
      <c r="AG729" s="175">
        <v>1.17</v>
      </c>
      <c r="AH729" s="334"/>
      <c r="AI729" s="188"/>
      <c r="AJ729" s="188"/>
      <c r="AK729" s="188"/>
      <c r="AL729" s="189"/>
      <c r="AM729" s="189"/>
      <c r="AN729" s="189"/>
      <c r="AO729" s="189"/>
      <c r="AP729" s="189"/>
      <c r="AQ729" s="189"/>
      <c r="AR729" s="189"/>
      <c r="AS729" s="189"/>
      <c r="AT729" s="189"/>
      <c r="AU729" s="190"/>
      <c r="AV729" s="190"/>
      <c r="AW729" s="190"/>
      <c r="AX729" s="190"/>
      <c r="AY729" s="190"/>
      <c r="AZ729" s="189"/>
      <c r="BA729" s="189"/>
      <c r="BB729" s="189"/>
      <c r="BC729" s="189"/>
      <c r="BD729" s="189"/>
      <c r="BE729" s="189"/>
      <c r="BF729" s="189"/>
      <c r="BG729" s="189"/>
      <c r="BH729" s="189"/>
      <c r="BI729" s="190"/>
      <c r="BJ729" s="190"/>
      <c r="BK729" s="190"/>
      <c r="BL729" s="190"/>
      <c r="BM729" s="190"/>
      <c r="BN729" s="190"/>
      <c r="BO729" s="190"/>
      <c r="BP729" s="190"/>
      <c r="BQ729" s="190"/>
      <c r="BR729" s="190"/>
      <c r="BS729" s="190"/>
      <c r="BT729" s="190"/>
      <c r="BU729" s="190"/>
      <c r="BV729" s="190"/>
      <c r="BW729" s="190"/>
      <c r="BX729" s="190"/>
      <c r="BY729" s="190"/>
      <c r="BZ729" s="190"/>
      <c r="CA729" s="189"/>
      <c r="CB729" s="15"/>
    </row>
    <row r="730" spans="1:80" ht="15" x14ac:dyDescent="0.25">
      <c r="A730" s="167"/>
      <c r="B730" s="642"/>
      <c r="C730" s="642"/>
      <c r="D730" s="179"/>
      <c r="E730" s="169"/>
      <c r="F730" s="169"/>
      <c r="G730" s="187"/>
      <c r="H730" s="187"/>
      <c r="I730" s="187"/>
      <c r="J730" s="187"/>
      <c r="K730" s="187"/>
      <c r="L730" s="647"/>
      <c r="M730" s="646">
        <v>34129</v>
      </c>
      <c r="N730" s="585">
        <v>3.57</v>
      </c>
      <c r="O730" s="585">
        <v>5.5480000000000002E-2</v>
      </c>
      <c r="P730" s="175">
        <v>0</v>
      </c>
      <c r="Q730" s="175">
        <v>0</v>
      </c>
      <c r="R730" s="175">
        <v>5.64E-3</v>
      </c>
      <c r="S730" s="175">
        <v>5.8300000000000001E-3</v>
      </c>
      <c r="T730" s="175">
        <v>1.1650000000000001E-2</v>
      </c>
      <c r="U730" s="175">
        <v>1.354E-2</v>
      </c>
      <c r="V730" s="706">
        <v>1.881E-2</v>
      </c>
      <c r="W730" s="717"/>
      <c r="X730" s="713"/>
      <c r="Y730" s="718"/>
      <c r="Z730" s="709">
        <v>28</v>
      </c>
      <c r="AA730" s="175"/>
      <c r="AB730" s="200"/>
      <c r="AC730" s="205">
        <v>1.6E-2</v>
      </c>
      <c r="AD730" s="175">
        <v>7.18</v>
      </c>
      <c r="AE730" s="175">
        <v>0.37</v>
      </c>
      <c r="AF730" s="186">
        <f t="shared" si="13"/>
        <v>2.6566000000000001</v>
      </c>
      <c r="AG730" s="175">
        <v>1.18</v>
      </c>
      <c r="AH730" s="334"/>
      <c r="AI730" s="188"/>
      <c r="AJ730" s="188"/>
      <c r="AK730" s="188"/>
      <c r="AL730" s="189"/>
      <c r="AM730" s="189"/>
      <c r="AN730" s="189"/>
      <c r="AO730" s="189"/>
      <c r="AP730" s="189"/>
      <c r="AQ730" s="189"/>
      <c r="AR730" s="189"/>
      <c r="AS730" s="189"/>
      <c r="AT730" s="189"/>
      <c r="AU730" s="190"/>
      <c r="AV730" s="190"/>
      <c r="AW730" s="190"/>
      <c r="AX730" s="190"/>
      <c r="AY730" s="190"/>
      <c r="AZ730" s="189"/>
      <c r="BA730" s="189"/>
      <c r="BB730" s="189"/>
      <c r="BC730" s="189"/>
      <c r="BD730" s="189"/>
      <c r="BE730" s="189"/>
      <c r="BF730" s="189"/>
      <c r="BG730" s="189"/>
      <c r="BH730" s="189"/>
      <c r="BI730" s="190"/>
      <c r="BJ730" s="190"/>
      <c r="BK730" s="190"/>
      <c r="BL730" s="190"/>
      <c r="BM730" s="190"/>
      <c r="BN730" s="190"/>
      <c r="BO730" s="190"/>
      <c r="BP730" s="190"/>
      <c r="BQ730" s="190"/>
      <c r="BR730" s="190"/>
      <c r="BS730" s="190"/>
      <c r="BT730" s="190"/>
      <c r="BU730" s="190"/>
      <c r="BV730" s="190"/>
      <c r="BW730" s="190"/>
      <c r="BX730" s="190"/>
      <c r="BY730" s="190"/>
      <c r="BZ730" s="190"/>
      <c r="CA730" s="189"/>
      <c r="CB730" s="15"/>
    </row>
    <row r="731" spans="1:80" ht="15" x14ac:dyDescent="0.25">
      <c r="A731" s="167"/>
      <c r="B731" s="642"/>
      <c r="C731" s="642"/>
      <c r="D731" s="179"/>
      <c r="E731" s="169"/>
      <c r="F731" s="169"/>
      <c r="G731" s="187"/>
      <c r="H731" s="187"/>
      <c r="I731" s="187"/>
      <c r="J731" s="187"/>
      <c r="K731" s="187"/>
      <c r="L731" s="647"/>
      <c r="M731" s="646">
        <v>34130</v>
      </c>
      <c r="N731" s="585">
        <v>3.24</v>
      </c>
      <c r="O731" s="585">
        <v>3.1060000000000001E-2</v>
      </c>
      <c r="P731" s="175">
        <v>0</v>
      </c>
      <c r="Q731" s="175">
        <v>0</v>
      </c>
      <c r="R731" s="175">
        <v>5.1999999999999995E-4</v>
      </c>
      <c r="S731" s="175">
        <v>3.4399999999999999E-3</v>
      </c>
      <c r="T731" s="175">
        <v>4.9800000000000001E-3</v>
      </c>
      <c r="U731" s="175">
        <v>8.3999999999999995E-3</v>
      </c>
      <c r="V731" s="706">
        <v>1.374E-2</v>
      </c>
      <c r="W731" s="717"/>
      <c r="X731" s="713"/>
      <c r="Y731" s="718"/>
      <c r="Z731" s="709">
        <v>20</v>
      </c>
      <c r="AA731" s="175"/>
      <c r="AB731" s="200"/>
      <c r="AC731" s="205">
        <v>1.6E-2</v>
      </c>
      <c r="AD731" s="175">
        <v>7.31</v>
      </c>
      <c r="AE731" s="175">
        <v>0.35</v>
      </c>
      <c r="AF731" s="186">
        <f t="shared" si="13"/>
        <v>2.5584999999999996</v>
      </c>
      <c r="AG731" s="175">
        <v>1.1299999999999999</v>
      </c>
      <c r="AH731" s="334"/>
      <c r="AI731" s="188"/>
      <c r="AJ731" s="188"/>
      <c r="AK731" s="188"/>
      <c r="AL731" s="189"/>
      <c r="AM731" s="189"/>
      <c r="AN731" s="189"/>
      <c r="AO731" s="189"/>
      <c r="AP731" s="189"/>
      <c r="AQ731" s="189"/>
      <c r="AR731" s="189"/>
      <c r="AS731" s="189"/>
      <c r="AT731" s="189"/>
      <c r="AU731" s="190"/>
      <c r="AV731" s="190"/>
      <c r="AW731" s="190"/>
      <c r="AX731" s="190"/>
      <c r="AY731" s="190"/>
      <c r="AZ731" s="189"/>
      <c r="BA731" s="189"/>
      <c r="BB731" s="189"/>
      <c r="BC731" s="189"/>
      <c r="BD731" s="189"/>
      <c r="BE731" s="189"/>
      <c r="BF731" s="189"/>
      <c r="BG731" s="189"/>
      <c r="BH731" s="189"/>
      <c r="BI731" s="190"/>
      <c r="BJ731" s="190"/>
      <c r="BK731" s="190"/>
      <c r="BL731" s="190"/>
      <c r="BM731" s="190"/>
      <c r="BN731" s="190"/>
      <c r="BO731" s="190"/>
      <c r="BP731" s="190"/>
      <c r="BQ731" s="190"/>
      <c r="BR731" s="190"/>
      <c r="BS731" s="190"/>
      <c r="BT731" s="190"/>
      <c r="BU731" s="190"/>
      <c r="BV731" s="190"/>
      <c r="BW731" s="190"/>
      <c r="BX731" s="190"/>
      <c r="BY731" s="190"/>
      <c r="BZ731" s="190"/>
      <c r="CA731" s="189"/>
      <c r="CB731" s="15"/>
    </row>
    <row r="732" spans="1:80" ht="15" x14ac:dyDescent="0.25">
      <c r="A732" s="167"/>
      <c r="B732" s="642"/>
      <c r="C732" s="642"/>
      <c r="D732" s="179"/>
      <c r="E732" s="169"/>
      <c r="F732" s="169"/>
      <c r="G732" s="187"/>
      <c r="H732" s="187"/>
      <c r="I732" s="187"/>
      <c r="J732" s="187"/>
      <c r="K732" s="187"/>
      <c r="L732" s="647"/>
      <c r="M732" s="646">
        <v>34131</v>
      </c>
      <c r="N732" s="585">
        <v>2.93</v>
      </c>
      <c r="O732" s="585">
        <v>1.259E-2</v>
      </c>
      <c r="P732" s="175">
        <v>0</v>
      </c>
      <c r="Q732" s="175">
        <v>0</v>
      </c>
      <c r="R732" s="175">
        <v>0</v>
      </c>
      <c r="S732" s="175">
        <v>1.32E-3</v>
      </c>
      <c r="T732" s="175">
        <v>1.5299999999999999E-3</v>
      </c>
      <c r="U732" s="175">
        <v>3.3E-3</v>
      </c>
      <c r="V732" s="706">
        <v>6.45E-3</v>
      </c>
      <c r="W732" s="717"/>
      <c r="X732" s="713"/>
      <c r="Y732" s="718"/>
      <c r="Z732" s="709">
        <v>15</v>
      </c>
      <c r="AA732" s="175"/>
      <c r="AB732" s="200"/>
      <c r="AC732" s="205">
        <v>1.6E-2</v>
      </c>
      <c r="AD732" s="175">
        <v>7.03</v>
      </c>
      <c r="AE732" s="175">
        <v>0.35</v>
      </c>
      <c r="AF732" s="186">
        <f t="shared" si="13"/>
        <v>2.4605000000000001</v>
      </c>
      <c r="AG732" s="175">
        <v>1.18</v>
      </c>
      <c r="AH732" s="334"/>
      <c r="AI732" s="188"/>
      <c r="AJ732" s="188"/>
      <c r="AK732" s="188"/>
      <c r="AL732" s="189"/>
      <c r="AM732" s="189"/>
      <c r="AN732" s="189"/>
      <c r="AO732" s="189"/>
      <c r="AP732" s="189"/>
      <c r="AQ732" s="189"/>
      <c r="AR732" s="189"/>
      <c r="AS732" s="189"/>
      <c r="AT732" s="189"/>
      <c r="AU732" s="190"/>
      <c r="AV732" s="190"/>
      <c r="AW732" s="190"/>
      <c r="AX732" s="190"/>
      <c r="AY732" s="190"/>
      <c r="AZ732" s="189"/>
      <c r="BA732" s="189"/>
      <c r="BB732" s="189"/>
      <c r="BC732" s="189"/>
      <c r="BD732" s="189"/>
      <c r="BE732" s="189"/>
      <c r="BF732" s="189"/>
      <c r="BG732" s="189"/>
      <c r="BH732" s="189"/>
      <c r="BI732" s="190"/>
      <c r="BJ732" s="190"/>
      <c r="BK732" s="190"/>
      <c r="BL732" s="190"/>
      <c r="BM732" s="190"/>
      <c r="BN732" s="190"/>
      <c r="BO732" s="190"/>
      <c r="BP732" s="190"/>
      <c r="BQ732" s="190"/>
      <c r="BR732" s="190"/>
      <c r="BS732" s="190"/>
      <c r="BT732" s="190"/>
      <c r="BU732" s="190"/>
      <c r="BV732" s="190"/>
      <c r="BW732" s="190"/>
      <c r="BX732" s="190"/>
      <c r="BY732" s="190"/>
      <c r="BZ732" s="190"/>
      <c r="CA732" s="189"/>
      <c r="CB732" s="15"/>
    </row>
    <row r="733" spans="1:80" ht="15" x14ac:dyDescent="0.25">
      <c r="A733" s="167"/>
      <c r="B733" s="642"/>
      <c r="C733" s="642"/>
      <c r="D733" s="179"/>
      <c r="E733" s="169"/>
      <c r="F733" s="169"/>
      <c r="G733" s="187"/>
      <c r="H733" s="187"/>
      <c r="I733" s="187"/>
      <c r="J733" s="187"/>
      <c r="K733" s="187"/>
      <c r="L733" s="647"/>
      <c r="M733" s="646">
        <v>34132</v>
      </c>
      <c r="N733" s="585">
        <v>3.6</v>
      </c>
      <c r="O733" s="585">
        <v>2.0369999999999999E-2</v>
      </c>
      <c r="P733" s="175">
        <v>0</v>
      </c>
      <c r="Q733" s="175">
        <v>0</v>
      </c>
      <c r="R733" s="175">
        <v>0</v>
      </c>
      <c r="S733" s="175">
        <v>1.97E-3</v>
      </c>
      <c r="T733" s="175">
        <v>3.3500000000000001E-3</v>
      </c>
      <c r="U733" s="175">
        <v>4.81E-3</v>
      </c>
      <c r="V733" s="706">
        <v>1.025E-2</v>
      </c>
      <c r="W733" s="717"/>
      <c r="X733" s="713"/>
      <c r="Y733" s="718"/>
      <c r="Z733" s="709">
        <v>15</v>
      </c>
      <c r="AA733" s="175"/>
      <c r="AB733" s="200"/>
      <c r="AC733" s="205">
        <v>1.7000000000000001E-2</v>
      </c>
      <c r="AD733" s="175">
        <v>7.1</v>
      </c>
      <c r="AE733" s="175">
        <v>0.38</v>
      </c>
      <c r="AF733" s="186">
        <f t="shared" si="13"/>
        <v>2.698</v>
      </c>
      <c r="AG733" s="175">
        <v>1.17</v>
      </c>
      <c r="AH733" s="334"/>
      <c r="AI733" s="188"/>
      <c r="AJ733" s="188"/>
      <c r="AK733" s="188"/>
      <c r="AL733" s="189"/>
      <c r="AM733" s="189"/>
      <c r="AN733" s="189"/>
      <c r="AO733" s="189"/>
      <c r="AP733" s="189"/>
      <c r="AQ733" s="189"/>
      <c r="AR733" s="189"/>
      <c r="AS733" s="189"/>
      <c r="AT733" s="189"/>
      <c r="AU733" s="190"/>
      <c r="AV733" s="190"/>
      <c r="AW733" s="190"/>
      <c r="AX733" s="190"/>
      <c r="AY733" s="190"/>
      <c r="AZ733" s="189"/>
      <c r="BA733" s="189"/>
      <c r="BB733" s="189"/>
      <c r="BC733" s="189"/>
      <c r="BD733" s="189"/>
      <c r="BE733" s="189"/>
      <c r="BF733" s="189"/>
      <c r="BG733" s="189"/>
      <c r="BH733" s="189"/>
      <c r="BI733" s="190"/>
      <c r="BJ733" s="190"/>
      <c r="BK733" s="190"/>
      <c r="BL733" s="190"/>
      <c r="BM733" s="190"/>
      <c r="BN733" s="190"/>
      <c r="BO733" s="190"/>
      <c r="BP733" s="190"/>
      <c r="BQ733" s="190"/>
      <c r="BR733" s="190"/>
      <c r="BS733" s="190"/>
      <c r="BT733" s="190"/>
      <c r="BU733" s="190"/>
      <c r="BV733" s="190"/>
      <c r="BW733" s="190"/>
      <c r="BX733" s="190"/>
      <c r="BY733" s="190"/>
      <c r="BZ733" s="190"/>
      <c r="CA733" s="189"/>
      <c r="CB733" s="15"/>
    </row>
    <row r="734" spans="1:80" ht="15" x14ac:dyDescent="0.25">
      <c r="A734" s="167"/>
      <c r="B734" s="642"/>
      <c r="C734" s="642"/>
      <c r="D734" s="179"/>
      <c r="E734" s="169"/>
      <c r="F734" s="169"/>
      <c r="G734" s="187"/>
      <c r="H734" s="187"/>
      <c r="I734" s="187"/>
      <c r="J734" s="187"/>
      <c r="K734" s="187"/>
      <c r="L734" s="647"/>
      <c r="M734" s="646">
        <v>34135</v>
      </c>
      <c r="N734" s="585">
        <v>2.75</v>
      </c>
      <c r="O734" s="585">
        <v>2.5579999999999999E-2</v>
      </c>
      <c r="P734" s="175">
        <v>0</v>
      </c>
      <c r="Q734" s="175">
        <v>0</v>
      </c>
      <c r="R734" s="175">
        <v>0</v>
      </c>
      <c r="S734" s="175">
        <v>1.83E-3</v>
      </c>
      <c r="T734" s="175">
        <v>6.6899999999999998E-3</v>
      </c>
      <c r="U734" s="175">
        <v>7.4599999999999996E-3</v>
      </c>
      <c r="V734" s="706">
        <v>9.58E-3</v>
      </c>
      <c r="W734" s="717"/>
      <c r="X734" s="713"/>
      <c r="Y734" s="718"/>
      <c r="Z734" s="709">
        <v>14</v>
      </c>
      <c r="AA734" s="175"/>
      <c r="AB734" s="200"/>
      <c r="AC734" s="205">
        <v>1.4999999999999999E-2</v>
      </c>
      <c r="AD734" s="175">
        <v>7.18</v>
      </c>
      <c r="AE734" s="175">
        <v>0.34</v>
      </c>
      <c r="AF734" s="186">
        <f t="shared" si="13"/>
        <v>2.4412000000000003</v>
      </c>
      <c r="AG734" s="175">
        <v>1.0900000000000001</v>
      </c>
      <c r="AH734" s="334"/>
      <c r="AI734" s="188"/>
      <c r="AJ734" s="188"/>
      <c r="AK734" s="188"/>
      <c r="AL734" s="189"/>
      <c r="AM734" s="189"/>
      <c r="AN734" s="189"/>
      <c r="AO734" s="189"/>
      <c r="AP734" s="189"/>
      <c r="AQ734" s="189"/>
      <c r="AR734" s="189"/>
      <c r="AS734" s="189"/>
      <c r="AT734" s="189"/>
      <c r="AU734" s="190"/>
      <c r="AV734" s="190"/>
      <c r="AW734" s="190"/>
      <c r="AX734" s="190"/>
      <c r="AY734" s="190"/>
      <c r="AZ734" s="189"/>
      <c r="BA734" s="189"/>
      <c r="BB734" s="189"/>
      <c r="BC734" s="189"/>
      <c r="BD734" s="189"/>
      <c r="BE734" s="189"/>
      <c r="BF734" s="189"/>
      <c r="BG734" s="189"/>
      <c r="BH734" s="189"/>
      <c r="BI734" s="190"/>
      <c r="BJ734" s="190"/>
      <c r="BK734" s="190"/>
      <c r="BL734" s="190"/>
      <c r="BM734" s="190"/>
      <c r="BN734" s="190"/>
      <c r="BO734" s="190"/>
      <c r="BP734" s="190"/>
      <c r="BQ734" s="190"/>
      <c r="BR734" s="190"/>
      <c r="BS734" s="190"/>
      <c r="BT734" s="190"/>
      <c r="BU734" s="190"/>
      <c r="BV734" s="190"/>
      <c r="BW734" s="190"/>
      <c r="BX734" s="190"/>
      <c r="BY734" s="190"/>
      <c r="BZ734" s="190"/>
      <c r="CA734" s="189"/>
      <c r="CB734" s="15"/>
    </row>
    <row r="735" spans="1:80" ht="15" x14ac:dyDescent="0.25">
      <c r="A735" s="167"/>
      <c r="B735" s="642"/>
      <c r="C735" s="642"/>
      <c r="D735" s="179"/>
      <c r="E735" s="169"/>
      <c r="F735" s="169"/>
      <c r="G735" s="187"/>
      <c r="H735" s="187"/>
      <c r="I735" s="187"/>
      <c r="J735" s="187"/>
      <c r="K735" s="187"/>
      <c r="L735" s="647"/>
      <c r="M735" s="646">
        <v>34136</v>
      </c>
      <c r="N735" s="585">
        <v>3.21</v>
      </c>
      <c r="O735" s="585">
        <v>1.0999999999999999E-2</v>
      </c>
      <c r="P735" s="175">
        <v>0</v>
      </c>
      <c r="Q735" s="175">
        <v>0</v>
      </c>
      <c r="R735" s="175">
        <v>0</v>
      </c>
      <c r="S735" s="175">
        <v>5.2999999999999998E-4</v>
      </c>
      <c r="T735" s="175">
        <v>2.2599999999999999E-3</v>
      </c>
      <c r="U735" s="175">
        <v>2.97E-3</v>
      </c>
      <c r="V735" s="706">
        <v>5.2300000000000003E-3</v>
      </c>
      <c r="W735" s="717"/>
      <c r="X735" s="713"/>
      <c r="Y735" s="718"/>
      <c r="Z735" s="709">
        <v>12</v>
      </c>
      <c r="AA735" s="175"/>
      <c r="AB735" s="200"/>
      <c r="AC735" s="205">
        <v>1.4E-2</v>
      </c>
      <c r="AD735" s="175">
        <v>7.14</v>
      </c>
      <c r="AE735" s="175">
        <v>0.36</v>
      </c>
      <c r="AF735" s="186">
        <f t="shared" si="13"/>
        <v>2.5703999999999998</v>
      </c>
      <c r="AG735" s="175">
        <v>1.1000000000000001</v>
      </c>
      <c r="AH735" s="334"/>
      <c r="AI735" s="188"/>
      <c r="AJ735" s="188"/>
      <c r="AK735" s="188"/>
      <c r="AL735" s="189"/>
      <c r="AM735" s="189"/>
      <c r="AN735" s="189"/>
      <c r="AO735" s="189"/>
      <c r="AP735" s="189"/>
      <c r="AQ735" s="189"/>
      <c r="AR735" s="189"/>
      <c r="AS735" s="189"/>
      <c r="AT735" s="189"/>
      <c r="AU735" s="190"/>
      <c r="AV735" s="190"/>
      <c r="AW735" s="190"/>
      <c r="AX735" s="190"/>
      <c r="AY735" s="190"/>
      <c r="AZ735" s="189"/>
      <c r="BA735" s="189"/>
      <c r="BB735" s="189"/>
      <c r="BC735" s="189"/>
      <c r="BD735" s="189"/>
      <c r="BE735" s="189"/>
      <c r="BF735" s="189"/>
      <c r="BG735" s="189"/>
      <c r="BH735" s="189"/>
      <c r="BI735" s="190"/>
      <c r="BJ735" s="190"/>
      <c r="BK735" s="190"/>
      <c r="BL735" s="190"/>
      <c r="BM735" s="190"/>
      <c r="BN735" s="190"/>
      <c r="BO735" s="190"/>
      <c r="BP735" s="190"/>
      <c r="BQ735" s="190"/>
      <c r="BR735" s="190"/>
      <c r="BS735" s="190"/>
      <c r="BT735" s="190"/>
      <c r="BU735" s="190"/>
      <c r="BV735" s="190"/>
      <c r="BW735" s="190"/>
      <c r="BX735" s="190"/>
      <c r="BY735" s="190"/>
      <c r="BZ735" s="190"/>
      <c r="CA735" s="189"/>
      <c r="CB735" s="15"/>
    </row>
    <row r="736" spans="1:80" ht="15" x14ac:dyDescent="0.25">
      <c r="A736" s="167"/>
      <c r="B736" s="642"/>
      <c r="C736" s="642"/>
      <c r="D736" s="179"/>
      <c r="E736" s="169"/>
      <c r="F736" s="169"/>
      <c r="G736" s="187"/>
      <c r="H736" s="187"/>
      <c r="I736" s="187"/>
      <c r="J736" s="187"/>
      <c r="K736" s="187"/>
      <c r="L736" s="647"/>
      <c r="M736" s="646">
        <v>34137</v>
      </c>
      <c r="N736" s="585">
        <v>3.37</v>
      </c>
      <c r="O736" s="585">
        <v>4.3630000000000002E-2</v>
      </c>
      <c r="P736" s="175">
        <v>0</v>
      </c>
      <c r="Q736" s="175">
        <v>0</v>
      </c>
      <c r="R736" s="175">
        <v>1.56E-3</v>
      </c>
      <c r="S736" s="175">
        <v>4.5500000000000002E-3</v>
      </c>
      <c r="T736" s="175">
        <v>9.6699999999999998E-3</v>
      </c>
      <c r="U736" s="175">
        <v>1.055E-2</v>
      </c>
      <c r="V736" s="706">
        <v>1.7309999999999999E-2</v>
      </c>
      <c r="W736" s="717"/>
      <c r="X736" s="713"/>
      <c r="Y736" s="718"/>
      <c r="Z736" s="709">
        <v>21</v>
      </c>
      <c r="AA736" s="175"/>
      <c r="AB736" s="200"/>
      <c r="AC736" s="205">
        <v>1.4999999999999999E-2</v>
      </c>
      <c r="AD736" s="175">
        <v>7.32</v>
      </c>
      <c r="AE736" s="175">
        <v>0.37</v>
      </c>
      <c r="AF736" s="186">
        <f t="shared" si="13"/>
        <v>2.7084000000000001</v>
      </c>
      <c r="AG736" s="175">
        <v>1.1499999999999999</v>
      </c>
      <c r="AH736" s="334"/>
      <c r="AI736" s="188"/>
      <c r="AJ736" s="188"/>
      <c r="AK736" s="188"/>
      <c r="AL736" s="189"/>
      <c r="AM736" s="189"/>
      <c r="AN736" s="189"/>
      <c r="AO736" s="189"/>
      <c r="AP736" s="189"/>
      <c r="AQ736" s="189"/>
      <c r="AR736" s="189"/>
      <c r="AS736" s="189"/>
      <c r="AT736" s="189"/>
      <c r="AU736" s="190"/>
      <c r="AV736" s="190"/>
      <c r="AW736" s="190"/>
      <c r="AX736" s="190"/>
      <c r="AY736" s="190"/>
      <c r="AZ736" s="189"/>
      <c r="BA736" s="189"/>
      <c r="BB736" s="189"/>
      <c r="BC736" s="189"/>
      <c r="BD736" s="189"/>
      <c r="BE736" s="189"/>
      <c r="BF736" s="189"/>
      <c r="BG736" s="189"/>
      <c r="BH736" s="189"/>
      <c r="BI736" s="190"/>
      <c r="BJ736" s="190"/>
      <c r="BK736" s="190"/>
      <c r="BL736" s="190"/>
      <c r="BM736" s="190"/>
      <c r="BN736" s="190"/>
      <c r="BO736" s="190"/>
      <c r="BP736" s="190"/>
      <c r="BQ736" s="190"/>
      <c r="BR736" s="190"/>
      <c r="BS736" s="190"/>
      <c r="BT736" s="190"/>
      <c r="BU736" s="190"/>
      <c r="BV736" s="190"/>
      <c r="BW736" s="190"/>
      <c r="BX736" s="190"/>
      <c r="BY736" s="190"/>
      <c r="BZ736" s="190"/>
      <c r="CA736" s="189"/>
      <c r="CB736" s="15"/>
    </row>
    <row r="737" spans="1:80" ht="15" x14ac:dyDescent="0.25">
      <c r="A737" s="167"/>
      <c r="B737" s="642"/>
      <c r="C737" s="642"/>
      <c r="D737" s="179"/>
      <c r="E737" s="169"/>
      <c r="F737" s="169"/>
      <c r="G737" s="187"/>
      <c r="H737" s="187"/>
      <c r="I737" s="187"/>
      <c r="J737" s="187"/>
      <c r="K737" s="187"/>
      <c r="L737" s="647"/>
      <c r="M737" s="646">
        <v>34138</v>
      </c>
      <c r="N737" s="585">
        <v>3.81</v>
      </c>
      <c r="O737" s="585">
        <v>5.6169999999999998E-2</v>
      </c>
      <c r="P737" s="175">
        <v>0</v>
      </c>
      <c r="Q737" s="175">
        <v>1.5990000000000001E-2</v>
      </c>
      <c r="R737" s="175">
        <v>1.1900000000000001E-3</v>
      </c>
      <c r="S737" s="175">
        <v>4.5799999999999999E-3</v>
      </c>
      <c r="T737" s="175">
        <v>8.3099999999999997E-3</v>
      </c>
      <c r="U737" s="175">
        <v>9.4199999999999996E-3</v>
      </c>
      <c r="V737" s="706">
        <v>1.669E-2</v>
      </c>
      <c r="W737" s="717"/>
      <c r="X737" s="713"/>
      <c r="Y737" s="718"/>
      <c r="Z737" s="709">
        <v>60</v>
      </c>
      <c r="AA737" s="175"/>
      <c r="AB737" s="200"/>
      <c r="AC737" s="205">
        <v>1.4E-2</v>
      </c>
      <c r="AD737" s="175">
        <v>7.35</v>
      </c>
      <c r="AE737" s="175">
        <v>0.38</v>
      </c>
      <c r="AF737" s="186">
        <f t="shared" si="13"/>
        <v>2.7929999999999997</v>
      </c>
      <c r="AG737" s="175">
        <v>1.38</v>
      </c>
      <c r="AH737" s="334"/>
      <c r="AI737" s="188"/>
      <c r="AJ737" s="188"/>
      <c r="AK737" s="188"/>
      <c r="AL737" s="189"/>
      <c r="AM737" s="189"/>
      <c r="AN737" s="189"/>
      <c r="AO737" s="189"/>
      <c r="AP737" s="189"/>
      <c r="AQ737" s="189"/>
      <c r="AR737" s="189"/>
      <c r="AS737" s="189"/>
      <c r="AT737" s="189"/>
      <c r="AU737" s="190"/>
      <c r="AV737" s="190"/>
      <c r="AW737" s="190"/>
      <c r="AX737" s="190"/>
      <c r="AY737" s="190"/>
      <c r="AZ737" s="189"/>
      <c r="BA737" s="189"/>
      <c r="BB737" s="189"/>
      <c r="BC737" s="189"/>
      <c r="BD737" s="189"/>
      <c r="BE737" s="189"/>
      <c r="BF737" s="189"/>
      <c r="BG737" s="189"/>
      <c r="BH737" s="189"/>
      <c r="BI737" s="190"/>
      <c r="BJ737" s="190"/>
      <c r="BK737" s="190"/>
      <c r="BL737" s="190"/>
      <c r="BM737" s="190"/>
      <c r="BN737" s="190"/>
      <c r="BO737" s="190"/>
      <c r="BP737" s="190"/>
      <c r="BQ737" s="190"/>
      <c r="BR737" s="190"/>
      <c r="BS737" s="190"/>
      <c r="BT737" s="190"/>
      <c r="BU737" s="190"/>
      <c r="BV737" s="190"/>
      <c r="BW737" s="190"/>
      <c r="BX737" s="190"/>
      <c r="BY737" s="190"/>
      <c r="BZ737" s="190"/>
      <c r="CA737" s="189"/>
      <c r="CB737" s="15"/>
    </row>
    <row r="738" spans="1:80" ht="15" x14ac:dyDescent="0.25">
      <c r="A738" s="167"/>
      <c r="B738" s="642"/>
      <c r="C738" s="642"/>
      <c r="D738" s="179"/>
      <c r="E738" s="169"/>
      <c r="F738" s="169"/>
      <c r="G738" s="187"/>
      <c r="H738" s="187"/>
      <c r="I738" s="187"/>
      <c r="J738" s="187"/>
      <c r="K738" s="187"/>
      <c r="L738" s="647"/>
      <c r="M738" s="646">
        <v>34139</v>
      </c>
      <c r="N738" s="585">
        <v>4.53</v>
      </c>
      <c r="O738" s="585">
        <v>0.10224</v>
      </c>
      <c r="P738" s="175">
        <v>0</v>
      </c>
      <c r="Q738" s="175">
        <v>0</v>
      </c>
      <c r="R738" s="175">
        <v>2.5999999999999999E-3</v>
      </c>
      <c r="S738" s="175">
        <v>1.349E-2</v>
      </c>
      <c r="T738" s="175">
        <v>1.7330000000000002E-2</v>
      </c>
      <c r="U738" s="175">
        <v>2.3140000000000001E-2</v>
      </c>
      <c r="V738" s="706">
        <v>4.5679999999999998E-2</v>
      </c>
      <c r="W738" s="717"/>
      <c r="X738" s="713"/>
      <c r="Y738" s="718"/>
      <c r="Z738" s="709">
        <v>21</v>
      </c>
      <c r="AA738" s="175"/>
      <c r="AB738" s="200"/>
      <c r="AC738" s="205">
        <v>1.4E-2</v>
      </c>
      <c r="AD738" s="175">
        <v>7.66</v>
      </c>
      <c r="AE738" s="175">
        <v>0.4</v>
      </c>
      <c r="AF738" s="186">
        <f t="shared" si="13"/>
        <v>3.0640000000000001</v>
      </c>
      <c r="AG738" s="175">
        <v>1.51</v>
      </c>
      <c r="AH738" s="334"/>
      <c r="AI738" s="188"/>
      <c r="AJ738" s="188"/>
      <c r="AK738" s="188"/>
      <c r="AL738" s="189"/>
      <c r="AM738" s="189"/>
      <c r="AN738" s="189"/>
      <c r="AO738" s="189"/>
      <c r="AP738" s="189"/>
      <c r="AQ738" s="189"/>
      <c r="AR738" s="189"/>
      <c r="AS738" s="189"/>
      <c r="AT738" s="189"/>
      <c r="AU738" s="190"/>
      <c r="AV738" s="190"/>
      <c r="AW738" s="190"/>
      <c r="AX738" s="190"/>
      <c r="AY738" s="190"/>
      <c r="AZ738" s="189"/>
      <c r="BA738" s="189"/>
      <c r="BB738" s="189"/>
      <c r="BC738" s="189"/>
      <c r="BD738" s="189"/>
      <c r="BE738" s="189"/>
      <c r="BF738" s="189"/>
      <c r="BG738" s="189"/>
      <c r="BH738" s="189"/>
      <c r="BI738" s="190"/>
      <c r="BJ738" s="190"/>
      <c r="BK738" s="190"/>
      <c r="BL738" s="190"/>
      <c r="BM738" s="190"/>
      <c r="BN738" s="190"/>
      <c r="BO738" s="190"/>
      <c r="BP738" s="190"/>
      <c r="BQ738" s="190"/>
      <c r="BR738" s="190"/>
      <c r="BS738" s="190"/>
      <c r="BT738" s="190"/>
      <c r="BU738" s="190"/>
      <c r="BV738" s="190"/>
      <c r="BW738" s="190"/>
      <c r="BX738" s="190"/>
      <c r="BY738" s="190"/>
      <c r="BZ738" s="190"/>
      <c r="CA738" s="189"/>
      <c r="CB738" s="15"/>
    </row>
    <row r="739" spans="1:80" ht="15" x14ac:dyDescent="0.25">
      <c r="A739" s="167"/>
      <c r="B739" s="642"/>
      <c r="C739" s="642"/>
      <c r="D739" s="179"/>
      <c r="E739" s="169"/>
      <c r="F739" s="169"/>
      <c r="G739" s="187"/>
      <c r="H739" s="187"/>
      <c r="I739" s="187"/>
      <c r="J739" s="187"/>
      <c r="K739" s="187"/>
      <c r="L739" s="647"/>
      <c r="M739" s="646">
        <v>34140</v>
      </c>
      <c r="N739" s="585">
        <v>4.7300000000000004</v>
      </c>
      <c r="O739" s="585">
        <v>9.0329999999999994E-2</v>
      </c>
      <c r="P739" s="175">
        <v>0</v>
      </c>
      <c r="Q739" s="175">
        <v>9.1199999999999996E-3</v>
      </c>
      <c r="R739" s="175">
        <v>7.5700000000000003E-3</v>
      </c>
      <c r="S739" s="175">
        <v>1.047E-2</v>
      </c>
      <c r="T739" s="175">
        <v>1.481E-2</v>
      </c>
      <c r="U739" s="175">
        <v>1.9550000000000001E-2</v>
      </c>
      <c r="V739" s="706">
        <v>2.8799999999999999E-2</v>
      </c>
      <c r="W739" s="717"/>
      <c r="X739" s="713"/>
      <c r="Y739" s="718"/>
      <c r="Z739" s="709">
        <v>63</v>
      </c>
      <c r="AA739" s="175"/>
      <c r="AB739" s="200"/>
      <c r="AC739" s="205">
        <v>1.4E-2</v>
      </c>
      <c r="AD739" s="175">
        <v>7.67</v>
      </c>
      <c r="AE739" s="175">
        <v>0.42</v>
      </c>
      <c r="AF739" s="186">
        <f t="shared" si="13"/>
        <v>3.2214</v>
      </c>
      <c r="AG739" s="175">
        <v>1.43</v>
      </c>
      <c r="AH739" s="334"/>
      <c r="AI739" s="188"/>
      <c r="AJ739" s="188"/>
      <c r="AK739" s="188"/>
      <c r="AL739" s="189"/>
      <c r="AM739" s="189"/>
      <c r="AN739" s="189"/>
      <c r="AO739" s="189"/>
      <c r="AP739" s="189"/>
      <c r="AQ739" s="189"/>
      <c r="AR739" s="189"/>
      <c r="AS739" s="189"/>
      <c r="AT739" s="189"/>
      <c r="AU739" s="190"/>
      <c r="AV739" s="190"/>
      <c r="AW739" s="190"/>
      <c r="AX739" s="190"/>
      <c r="AY739" s="190"/>
      <c r="AZ739" s="189"/>
      <c r="BA739" s="189"/>
      <c r="BB739" s="189"/>
      <c r="BC739" s="189"/>
      <c r="BD739" s="189"/>
      <c r="BE739" s="189"/>
      <c r="BF739" s="189"/>
      <c r="BG739" s="189"/>
      <c r="BH739" s="189"/>
      <c r="BI739" s="190"/>
      <c r="BJ739" s="190"/>
      <c r="BK739" s="190"/>
      <c r="BL739" s="190"/>
      <c r="BM739" s="190"/>
      <c r="BN739" s="190"/>
      <c r="BO739" s="190"/>
      <c r="BP739" s="190"/>
      <c r="BQ739" s="190"/>
      <c r="BR739" s="190"/>
      <c r="BS739" s="190"/>
      <c r="BT739" s="190"/>
      <c r="BU739" s="190"/>
      <c r="BV739" s="190"/>
      <c r="BW739" s="190"/>
      <c r="BX739" s="190"/>
      <c r="BY739" s="190"/>
      <c r="BZ739" s="190"/>
      <c r="CA739" s="189"/>
      <c r="CB739" s="15"/>
    </row>
    <row r="740" spans="1:80" ht="15" x14ac:dyDescent="0.25">
      <c r="A740" s="167"/>
      <c r="B740" s="642"/>
      <c r="C740" s="642"/>
      <c r="D740" s="179"/>
      <c r="E740" s="169"/>
      <c r="F740" s="169"/>
      <c r="G740" s="187"/>
      <c r="H740" s="187"/>
      <c r="I740" s="187"/>
      <c r="J740" s="187"/>
      <c r="K740" s="187"/>
      <c r="L740" s="647"/>
      <c r="M740" s="646">
        <v>34142</v>
      </c>
      <c r="N740" s="585">
        <v>3.96</v>
      </c>
      <c r="O740" s="585">
        <v>7.1910000000000002E-2</v>
      </c>
      <c r="P740" s="175">
        <v>0</v>
      </c>
      <c r="Q740" s="175">
        <v>0</v>
      </c>
      <c r="R740" s="175">
        <v>4.4999999999999999E-4</v>
      </c>
      <c r="S740" s="175">
        <v>8.7899999999999992E-3</v>
      </c>
      <c r="T740" s="175">
        <v>1.472E-2</v>
      </c>
      <c r="U740" s="175">
        <v>1.8970000000000001E-2</v>
      </c>
      <c r="V740" s="706">
        <v>2.8969999999999999E-2</v>
      </c>
      <c r="W740" s="717"/>
      <c r="X740" s="713"/>
      <c r="Y740" s="718"/>
      <c r="Z740" s="709">
        <v>18</v>
      </c>
      <c r="AA740" s="175"/>
      <c r="AB740" s="200"/>
      <c r="AC740" s="205">
        <v>1.4E-2</v>
      </c>
      <c r="AD740" s="175">
        <v>7.64</v>
      </c>
      <c r="AE740" s="175">
        <v>0.38</v>
      </c>
      <c r="AF740" s="186">
        <f t="shared" si="13"/>
        <v>2.9032</v>
      </c>
      <c r="AG740" s="175">
        <v>1.31</v>
      </c>
      <c r="AH740" s="334"/>
      <c r="AI740" s="188"/>
      <c r="AJ740" s="188"/>
      <c r="AK740" s="188"/>
      <c r="AL740" s="189"/>
      <c r="AM740" s="189"/>
      <c r="AN740" s="189"/>
      <c r="AO740" s="189"/>
      <c r="AP740" s="189"/>
      <c r="AQ740" s="189"/>
      <c r="AR740" s="189"/>
      <c r="AS740" s="189"/>
      <c r="AT740" s="189"/>
      <c r="AU740" s="190"/>
      <c r="AV740" s="190"/>
      <c r="AW740" s="190"/>
      <c r="AX740" s="190"/>
      <c r="AY740" s="190"/>
      <c r="AZ740" s="189"/>
      <c r="BA740" s="189"/>
      <c r="BB740" s="189"/>
      <c r="BC740" s="189"/>
      <c r="BD740" s="189"/>
      <c r="BE740" s="189"/>
      <c r="BF740" s="189"/>
      <c r="BG740" s="189"/>
      <c r="BH740" s="189"/>
      <c r="BI740" s="190"/>
      <c r="BJ740" s="190"/>
      <c r="BK740" s="190"/>
      <c r="BL740" s="190"/>
      <c r="BM740" s="190"/>
      <c r="BN740" s="190"/>
      <c r="BO740" s="190"/>
      <c r="BP740" s="190"/>
      <c r="BQ740" s="190"/>
      <c r="BR740" s="190"/>
      <c r="BS740" s="190"/>
      <c r="BT740" s="190"/>
      <c r="BU740" s="190"/>
      <c r="BV740" s="190"/>
      <c r="BW740" s="190"/>
      <c r="BX740" s="190"/>
      <c r="BY740" s="190"/>
      <c r="BZ740" s="190"/>
      <c r="CA740" s="189"/>
      <c r="CB740" s="15"/>
    </row>
    <row r="741" spans="1:80" ht="15" x14ac:dyDescent="0.25">
      <c r="A741" s="167"/>
      <c r="B741" s="642"/>
      <c r="C741" s="642"/>
      <c r="D741" s="179"/>
      <c r="E741" s="169"/>
      <c r="F741" s="169"/>
      <c r="G741" s="187"/>
      <c r="H741" s="187"/>
      <c r="I741" s="187"/>
      <c r="J741" s="187"/>
      <c r="K741" s="187"/>
      <c r="L741" s="647"/>
      <c r="M741" s="646">
        <v>34144</v>
      </c>
      <c r="N741" s="585">
        <v>3.43</v>
      </c>
      <c r="O741" s="585">
        <v>4.0280000000000003E-2</v>
      </c>
      <c r="P741" s="175">
        <v>0</v>
      </c>
      <c r="Q741" s="175">
        <v>0</v>
      </c>
      <c r="R741" s="175">
        <v>7.5300000000000002E-3</v>
      </c>
      <c r="S741" s="175">
        <v>6.2100000000000002E-3</v>
      </c>
      <c r="T741" s="175">
        <v>5.7400000000000003E-3</v>
      </c>
      <c r="U741" s="175">
        <v>6.79E-3</v>
      </c>
      <c r="V741" s="706">
        <v>1.401E-2</v>
      </c>
      <c r="W741" s="717"/>
      <c r="X741" s="713"/>
      <c r="Y741" s="718"/>
      <c r="Z741" s="709">
        <v>56</v>
      </c>
      <c r="AA741" s="175"/>
      <c r="AB741" s="200"/>
      <c r="AC741" s="205">
        <v>1.6E-2</v>
      </c>
      <c r="AD741" s="175">
        <v>7.43</v>
      </c>
      <c r="AE741" s="175">
        <v>0.36</v>
      </c>
      <c r="AF741" s="186">
        <f t="shared" si="13"/>
        <v>2.6747999999999998</v>
      </c>
      <c r="AG741" s="175">
        <v>1.18</v>
      </c>
      <c r="AH741" s="334"/>
      <c r="AI741" s="188"/>
      <c r="AJ741" s="188"/>
      <c r="AK741" s="188"/>
      <c r="AL741" s="189"/>
      <c r="AM741" s="189"/>
      <c r="AN741" s="189"/>
      <c r="AO741" s="189"/>
      <c r="AP741" s="189"/>
      <c r="AQ741" s="189"/>
      <c r="AR741" s="189"/>
      <c r="AS741" s="189"/>
      <c r="AT741" s="189"/>
      <c r="AU741" s="190"/>
      <c r="AV741" s="190"/>
      <c r="AW741" s="190"/>
      <c r="AX741" s="190"/>
      <c r="AY741" s="190"/>
      <c r="AZ741" s="189"/>
      <c r="BA741" s="189"/>
      <c r="BB741" s="189"/>
      <c r="BC741" s="189"/>
      <c r="BD741" s="189"/>
      <c r="BE741" s="189"/>
      <c r="BF741" s="189"/>
      <c r="BG741" s="189"/>
      <c r="BH741" s="189"/>
      <c r="BI741" s="190"/>
      <c r="BJ741" s="190"/>
      <c r="BK741" s="190"/>
      <c r="BL741" s="190"/>
      <c r="BM741" s="190"/>
      <c r="BN741" s="190"/>
      <c r="BO741" s="190"/>
      <c r="BP741" s="190"/>
      <c r="BQ741" s="190"/>
      <c r="BR741" s="190"/>
      <c r="BS741" s="190"/>
      <c r="BT741" s="190"/>
      <c r="BU741" s="190"/>
      <c r="BV741" s="190"/>
      <c r="BW741" s="190"/>
      <c r="BX741" s="190"/>
      <c r="BY741" s="190"/>
      <c r="BZ741" s="190"/>
      <c r="CA741" s="189"/>
      <c r="CB741" s="15"/>
    </row>
    <row r="742" spans="1:80" ht="15" x14ac:dyDescent="0.25">
      <c r="A742" s="167"/>
      <c r="B742" s="642"/>
      <c r="C742" s="642"/>
      <c r="D742" s="179"/>
      <c r="E742" s="169"/>
      <c r="F742" s="169"/>
      <c r="G742" s="187"/>
      <c r="H742" s="187"/>
      <c r="I742" s="187"/>
      <c r="J742" s="187"/>
      <c r="K742" s="187"/>
      <c r="L742" s="647"/>
      <c r="M742" s="646">
        <v>34145</v>
      </c>
      <c r="N742" s="585">
        <v>3.67</v>
      </c>
      <c r="O742" s="585">
        <v>3.3680000000000002E-2</v>
      </c>
      <c r="P742" s="175">
        <v>0</v>
      </c>
      <c r="Q742" s="175">
        <v>0</v>
      </c>
      <c r="R742" s="175">
        <v>1.2099999999999999E-3</v>
      </c>
      <c r="S742" s="175">
        <v>3.4099999999999998E-3</v>
      </c>
      <c r="T742" s="175">
        <v>5.5799999999999999E-3</v>
      </c>
      <c r="U742" s="175">
        <v>8.4100000000000008E-3</v>
      </c>
      <c r="V742" s="706">
        <v>1.506E-2</v>
      </c>
      <c r="W742" s="717"/>
      <c r="X742" s="713"/>
      <c r="Y742" s="718"/>
      <c r="Z742" s="709">
        <v>56</v>
      </c>
      <c r="AA742" s="175"/>
      <c r="AB742" s="200"/>
      <c r="AC742" s="205">
        <v>1.4999999999999999E-2</v>
      </c>
      <c r="AD742" s="175">
        <v>7.25</v>
      </c>
      <c r="AE742" s="175">
        <v>0.37</v>
      </c>
      <c r="AF742" s="186">
        <f t="shared" si="13"/>
        <v>2.6825000000000001</v>
      </c>
      <c r="AG742" s="175">
        <v>1.27</v>
      </c>
      <c r="AH742" s="334"/>
      <c r="AI742" s="188"/>
      <c r="AJ742" s="188"/>
      <c r="AK742" s="188"/>
      <c r="AL742" s="189"/>
      <c r="AM742" s="189"/>
      <c r="AN742" s="189"/>
      <c r="AO742" s="189"/>
      <c r="AP742" s="189"/>
      <c r="AQ742" s="189"/>
      <c r="AR742" s="189"/>
      <c r="AS742" s="189"/>
      <c r="AT742" s="189"/>
      <c r="AU742" s="190"/>
      <c r="AV742" s="190"/>
      <c r="AW742" s="190"/>
      <c r="AX742" s="190"/>
      <c r="AY742" s="190"/>
      <c r="AZ742" s="189"/>
      <c r="BA742" s="189"/>
      <c r="BB742" s="189"/>
      <c r="BC742" s="189"/>
      <c r="BD742" s="189"/>
      <c r="BE742" s="189"/>
      <c r="BF742" s="189"/>
      <c r="BG742" s="189"/>
      <c r="BH742" s="189"/>
      <c r="BI742" s="190"/>
      <c r="BJ742" s="190"/>
      <c r="BK742" s="190"/>
      <c r="BL742" s="190"/>
      <c r="BM742" s="190"/>
      <c r="BN742" s="190"/>
      <c r="BO742" s="190"/>
      <c r="BP742" s="190"/>
      <c r="BQ742" s="190"/>
      <c r="BR742" s="190"/>
      <c r="BS742" s="190"/>
      <c r="BT742" s="190"/>
      <c r="BU742" s="190"/>
      <c r="BV742" s="190"/>
      <c r="BW742" s="190"/>
      <c r="BX742" s="190"/>
      <c r="BY742" s="190"/>
      <c r="BZ742" s="190"/>
      <c r="CA742" s="189"/>
      <c r="CB742" s="15"/>
    </row>
    <row r="743" spans="1:80" ht="15" x14ac:dyDescent="0.25">
      <c r="A743" s="167"/>
      <c r="B743" s="642"/>
      <c r="C743" s="642"/>
      <c r="D743" s="179"/>
      <c r="E743" s="169"/>
      <c r="F743" s="169"/>
      <c r="G743" s="187"/>
      <c r="H743" s="187"/>
      <c r="I743" s="187"/>
      <c r="J743" s="187"/>
      <c r="K743" s="187"/>
      <c r="L743" s="647"/>
      <c r="M743" s="646">
        <v>34149</v>
      </c>
      <c r="N743" s="585">
        <v>2.73</v>
      </c>
      <c r="O743" s="585">
        <v>2.2519999999999998E-2</v>
      </c>
      <c r="P743" s="175">
        <v>0</v>
      </c>
      <c r="Q743" s="175">
        <v>0</v>
      </c>
      <c r="R743" s="175">
        <v>1.1900000000000001E-3</v>
      </c>
      <c r="S743" s="175">
        <v>1.9499999999999999E-3</v>
      </c>
      <c r="T743" s="175">
        <v>3.3300000000000001E-3</v>
      </c>
      <c r="U743" s="175">
        <v>4.9800000000000001E-3</v>
      </c>
      <c r="V743" s="706">
        <v>1.108E-2</v>
      </c>
      <c r="W743" s="717"/>
      <c r="X743" s="713"/>
      <c r="Y743" s="718"/>
      <c r="Z743" s="709">
        <v>18</v>
      </c>
      <c r="AA743" s="175"/>
      <c r="AB743" s="200"/>
      <c r="AC743" s="205">
        <v>1.7999999999999999E-2</v>
      </c>
      <c r="AD743" s="175">
        <v>7.02</v>
      </c>
      <c r="AE743" s="175">
        <v>0.36</v>
      </c>
      <c r="AF743" s="186">
        <f t="shared" si="13"/>
        <v>2.5271999999999997</v>
      </c>
      <c r="AG743" s="175">
        <v>1.05</v>
      </c>
      <c r="AH743" s="334"/>
      <c r="AI743" s="188"/>
      <c r="AJ743" s="188"/>
      <c r="AK743" s="188"/>
      <c r="AL743" s="189"/>
      <c r="AM743" s="189"/>
      <c r="AN743" s="189"/>
      <c r="AO743" s="189"/>
      <c r="AP743" s="189"/>
      <c r="AQ743" s="189"/>
      <c r="AR743" s="189"/>
      <c r="AS743" s="189"/>
      <c r="AT743" s="189"/>
      <c r="AU743" s="190"/>
      <c r="AV743" s="190"/>
      <c r="AW743" s="190"/>
      <c r="AX743" s="190"/>
      <c r="AY743" s="190"/>
      <c r="AZ743" s="189"/>
      <c r="BA743" s="189"/>
      <c r="BB743" s="189"/>
      <c r="BC743" s="189"/>
      <c r="BD743" s="189"/>
      <c r="BE743" s="189"/>
      <c r="BF743" s="189"/>
      <c r="BG743" s="189"/>
      <c r="BH743" s="189"/>
      <c r="BI743" s="190"/>
      <c r="BJ743" s="190"/>
      <c r="BK743" s="190"/>
      <c r="BL743" s="190"/>
      <c r="BM743" s="190"/>
      <c r="BN743" s="190"/>
      <c r="BO743" s="190"/>
      <c r="BP743" s="190"/>
      <c r="BQ743" s="190"/>
      <c r="BR743" s="190"/>
      <c r="BS743" s="190"/>
      <c r="BT743" s="190"/>
      <c r="BU743" s="190"/>
      <c r="BV743" s="190"/>
      <c r="BW743" s="190"/>
      <c r="BX743" s="190"/>
      <c r="BY743" s="190"/>
      <c r="BZ743" s="190"/>
      <c r="CA743" s="189"/>
      <c r="CB743" s="15"/>
    </row>
    <row r="744" spans="1:80" ht="15" x14ac:dyDescent="0.25">
      <c r="A744" s="202"/>
      <c r="B744" s="195"/>
      <c r="C744" s="195"/>
      <c r="D744" s="695"/>
      <c r="E744" s="196"/>
      <c r="F744" s="196"/>
      <c r="G744" s="198"/>
      <c r="H744" s="198"/>
      <c r="I744" s="198"/>
      <c r="J744" s="198"/>
      <c r="K744" s="198"/>
      <c r="L744" s="649"/>
      <c r="M744" s="651">
        <v>34150</v>
      </c>
      <c r="N744" s="589">
        <v>2.67</v>
      </c>
      <c r="O744" s="589">
        <v>7.8300000000000002E-3</v>
      </c>
      <c r="P744" s="193">
        <v>0</v>
      </c>
      <c r="Q744" s="193">
        <v>0</v>
      </c>
      <c r="R744" s="193">
        <v>0</v>
      </c>
      <c r="S744" s="193">
        <v>1.1E-4</v>
      </c>
      <c r="T744" s="193">
        <v>6.0999999999999997E-4</v>
      </c>
      <c r="U744" s="193">
        <v>1.5E-3</v>
      </c>
      <c r="V744" s="707">
        <v>5.6100000000000004E-3</v>
      </c>
      <c r="W744" s="719"/>
      <c r="X744" s="720"/>
      <c r="Y744" s="721"/>
      <c r="Z744" s="710">
        <v>8</v>
      </c>
      <c r="AA744" s="193"/>
      <c r="AB744" s="203"/>
      <c r="AC744" s="207">
        <v>1.4999999999999999E-2</v>
      </c>
      <c r="AD744" s="193">
        <v>6.99</v>
      </c>
      <c r="AE744" s="193">
        <v>0.35</v>
      </c>
      <c r="AF744" s="197">
        <f t="shared" si="13"/>
        <v>2.4464999999999999</v>
      </c>
      <c r="AG744" s="193">
        <v>1.03</v>
      </c>
      <c r="AH744" s="334"/>
      <c r="AI744" s="188"/>
      <c r="AJ744" s="188"/>
      <c r="AK744" s="188"/>
      <c r="AL744" s="189"/>
      <c r="AM744" s="189"/>
      <c r="AN744" s="189"/>
      <c r="AO744" s="189"/>
      <c r="AP744" s="189"/>
      <c r="AQ744" s="189"/>
      <c r="AR744" s="189"/>
      <c r="AS744" s="189"/>
      <c r="AT744" s="189"/>
      <c r="AU744" s="190"/>
      <c r="AV744" s="190"/>
      <c r="AW744" s="190"/>
      <c r="AX744" s="190"/>
      <c r="AY744" s="190"/>
      <c r="AZ744" s="189"/>
      <c r="BA744" s="189"/>
      <c r="BB744" s="189"/>
      <c r="BC744" s="189"/>
      <c r="BD744" s="189"/>
      <c r="BE744" s="189"/>
      <c r="BF744" s="189"/>
      <c r="BG744" s="189"/>
      <c r="BH744" s="189"/>
      <c r="BI744" s="190"/>
      <c r="BJ744" s="190"/>
      <c r="BK744" s="190"/>
      <c r="BL744" s="190"/>
      <c r="BM744" s="190"/>
      <c r="BN744" s="190"/>
      <c r="BO744" s="190"/>
      <c r="BP744" s="190"/>
      <c r="BQ744" s="190"/>
      <c r="BR744" s="190"/>
      <c r="BS744" s="190"/>
      <c r="BT744" s="190"/>
      <c r="BU744" s="190"/>
      <c r="BV744" s="190"/>
      <c r="BW744" s="190"/>
      <c r="BX744" s="190"/>
      <c r="BY744" s="190"/>
      <c r="BZ744" s="190"/>
      <c r="CA744" s="189"/>
      <c r="CB744" s="15"/>
    </row>
    <row r="745" spans="1:80" ht="15" x14ac:dyDescent="0.25">
      <c r="A745" s="9" t="s">
        <v>50</v>
      </c>
      <c r="B745" s="639" t="s">
        <v>34</v>
      </c>
      <c r="C745" s="639"/>
      <c r="D745" s="4">
        <f>VLOOKUP(E745,'Quality Code'!D4:E24,2,TRUE)*VLOOKUP(MROUND(F745,10),'Quality Code'!D28:E69,2,TRUE)*VLOOKUP(4,'Quality Code'!D73:E93,2,TRUE)</f>
        <v>4</v>
      </c>
      <c r="E745" s="14">
        <v>0.8</v>
      </c>
      <c r="F745" s="18">
        <v>189</v>
      </c>
      <c r="G745" s="12">
        <v>33.5</v>
      </c>
      <c r="H745" s="2" t="s">
        <v>231</v>
      </c>
      <c r="I745" s="2" t="s">
        <v>278</v>
      </c>
      <c r="J745" s="2" t="s">
        <v>281</v>
      </c>
      <c r="K745" s="2">
        <v>1</v>
      </c>
      <c r="L745" s="639" t="s">
        <v>699</v>
      </c>
      <c r="M745" s="640" t="s">
        <v>701</v>
      </c>
      <c r="N745" s="579" t="s">
        <v>254</v>
      </c>
      <c r="O745" s="579"/>
      <c r="P745" s="11"/>
      <c r="Q745" s="11"/>
      <c r="R745" s="11"/>
      <c r="S745" s="11"/>
      <c r="T745" s="11"/>
      <c r="U745" s="11"/>
      <c r="V745" s="506"/>
      <c r="W745" s="723"/>
      <c r="X745" s="723"/>
      <c r="Y745" s="723"/>
      <c r="Z745" s="11"/>
      <c r="AA745" s="11"/>
      <c r="AB745" s="11"/>
      <c r="AC745" s="85">
        <v>0.02</v>
      </c>
      <c r="AD745" s="26"/>
      <c r="AE745" s="26"/>
      <c r="AF745" s="26"/>
      <c r="AG745" s="26"/>
      <c r="AH745" s="330"/>
      <c r="AI745" s="123">
        <f>AU745/BI745</f>
        <v>12.741935483870968</v>
      </c>
      <c r="AJ745" s="123"/>
      <c r="AK745" s="161"/>
      <c r="AL745" s="17"/>
      <c r="AM745" s="17"/>
      <c r="AN745" s="17"/>
      <c r="AO745" s="17"/>
      <c r="AP745" s="17"/>
      <c r="AQ745" s="17"/>
      <c r="AR745" s="17"/>
      <c r="AS745" s="17"/>
      <c r="AT745" s="17"/>
      <c r="AU745" s="18">
        <v>79</v>
      </c>
      <c r="AV745" s="162">
        <v>1</v>
      </c>
      <c r="AW745" s="162">
        <v>1</v>
      </c>
      <c r="AX745" s="162">
        <v>0.96750000000000003</v>
      </c>
      <c r="AY745" s="162">
        <v>0.73250000000000004</v>
      </c>
      <c r="AZ745" s="162">
        <v>0.39750000000000002</v>
      </c>
      <c r="BA745" s="162">
        <v>0.21249999999999999</v>
      </c>
      <c r="BB745" s="162">
        <v>0.1225</v>
      </c>
      <c r="BC745" s="162">
        <v>9.5000000000000001E-2</v>
      </c>
      <c r="BD745" s="162">
        <v>5.7500000000000002E-2</v>
      </c>
      <c r="BE745" s="162">
        <v>3.2500000000000001E-2</v>
      </c>
      <c r="BF745" s="162"/>
      <c r="BG745" s="162"/>
      <c r="BH745" s="162"/>
      <c r="BI745" s="4">
        <v>6.2</v>
      </c>
      <c r="BJ745" s="2"/>
      <c r="BK745" s="2" t="s">
        <v>55</v>
      </c>
      <c r="BL745" s="12">
        <v>3.37</v>
      </c>
      <c r="BM745" s="12"/>
      <c r="BN745" s="12">
        <v>8.1999999999999993</v>
      </c>
      <c r="BO745" s="12">
        <v>0.34</v>
      </c>
      <c r="BP745" s="12">
        <f>BO745*BN745</f>
        <v>2.7879999999999998</v>
      </c>
      <c r="BQ745" s="12">
        <f>BN745/BO745</f>
        <v>24.117647058823525</v>
      </c>
      <c r="BR745" s="12" t="s">
        <v>277</v>
      </c>
      <c r="BS745" s="18">
        <v>4</v>
      </c>
      <c r="BT745" s="12"/>
      <c r="BU745" s="2"/>
      <c r="BV745" s="2"/>
      <c r="BW745" s="2"/>
      <c r="BX745" s="2" t="s">
        <v>86</v>
      </c>
      <c r="BY745" s="2" t="s">
        <v>234</v>
      </c>
      <c r="BZ745" s="2"/>
      <c r="CA745" s="9" t="s">
        <v>233</v>
      </c>
      <c r="CB745" s="5" t="s">
        <v>626</v>
      </c>
    </row>
    <row r="746" spans="1:80" ht="15" x14ac:dyDescent="0.25">
      <c r="A746" s="167"/>
      <c r="B746" s="642"/>
      <c r="C746" s="642"/>
      <c r="D746" s="179"/>
      <c r="E746" s="169"/>
      <c r="F746" s="169"/>
      <c r="G746" s="187"/>
      <c r="H746" s="187"/>
      <c r="I746" s="187"/>
      <c r="J746" s="187"/>
      <c r="K746" s="187"/>
      <c r="L746" s="647"/>
      <c r="M746" s="646">
        <v>32653</v>
      </c>
      <c r="N746" s="585">
        <v>1.49</v>
      </c>
      <c r="O746" s="585">
        <v>1.444E-2</v>
      </c>
      <c r="P746" s="175">
        <v>0</v>
      </c>
      <c r="Q746" s="175">
        <v>0</v>
      </c>
      <c r="R746" s="175">
        <v>4.8999999999999998E-4</v>
      </c>
      <c r="S746" s="175">
        <v>2.7999999999999998E-4</v>
      </c>
      <c r="T746" s="175">
        <v>6.6E-4</v>
      </c>
      <c r="U746" s="175">
        <v>2.3500000000000001E-3</v>
      </c>
      <c r="V746" s="706">
        <v>1.0659999999999999E-2</v>
      </c>
      <c r="W746" s="714"/>
      <c r="X746" s="715"/>
      <c r="Y746" s="716"/>
      <c r="Z746" s="709">
        <v>0</v>
      </c>
      <c r="AA746" s="175"/>
      <c r="AB746" s="200"/>
      <c r="AC746" s="205">
        <v>2.1000000000000001E-2</v>
      </c>
      <c r="AD746" s="175">
        <v>7.5</v>
      </c>
      <c r="AE746" s="175">
        <v>0.21</v>
      </c>
      <c r="AF746" s="170">
        <f>AE746*AD746</f>
        <v>1.575</v>
      </c>
      <c r="AG746" s="175">
        <v>0.96</v>
      </c>
      <c r="AH746" s="334"/>
      <c r="AI746" s="188"/>
      <c r="AJ746" s="188"/>
      <c r="AK746" s="188"/>
      <c r="AL746" s="189"/>
      <c r="AM746" s="189"/>
      <c r="AN746" s="189"/>
      <c r="AO746" s="189"/>
      <c r="AP746" s="189"/>
      <c r="AQ746" s="189"/>
      <c r="AR746" s="189"/>
      <c r="AS746" s="189"/>
      <c r="AT746" s="189"/>
      <c r="AU746" s="190"/>
      <c r="AV746" s="190"/>
      <c r="AW746" s="190"/>
      <c r="AX746" s="190"/>
      <c r="AY746" s="190"/>
      <c r="AZ746" s="189"/>
      <c r="BA746" s="189"/>
      <c r="BB746" s="189"/>
      <c r="BC746" s="189"/>
      <c r="BD746" s="189"/>
      <c r="BE746" s="189"/>
      <c r="BF746" s="189"/>
      <c r="BG746" s="189"/>
      <c r="BH746" s="189"/>
      <c r="BI746" s="190"/>
      <c r="BJ746" s="190"/>
      <c r="BK746" s="190"/>
      <c r="BL746" s="190"/>
      <c r="BM746" s="190"/>
      <c r="BN746" s="190"/>
      <c r="BO746" s="190"/>
      <c r="BP746" s="190"/>
      <c r="BQ746" s="190"/>
      <c r="BR746" s="190"/>
      <c r="BS746" s="190"/>
      <c r="BT746" s="190"/>
      <c r="BU746" s="190"/>
      <c r="BV746" s="190"/>
      <c r="BW746" s="190"/>
      <c r="BX746" s="190"/>
      <c r="BY746" s="190"/>
      <c r="BZ746" s="190"/>
      <c r="CA746" s="189"/>
      <c r="CB746" s="15" t="s">
        <v>625</v>
      </c>
    </row>
    <row r="747" spans="1:80" ht="15" x14ac:dyDescent="0.25">
      <c r="A747" s="167"/>
      <c r="B747" s="642"/>
      <c r="C747" s="642"/>
      <c r="D747" s="179"/>
      <c r="E747" s="169"/>
      <c r="F747" s="169"/>
      <c r="G747" s="187"/>
      <c r="H747" s="187"/>
      <c r="I747" s="187"/>
      <c r="J747" s="187"/>
      <c r="K747" s="187"/>
      <c r="L747" s="647"/>
      <c r="M747" s="646">
        <v>32660</v>
      </c>
      <c r="N747" s="590">
        <v>2.33</v>
      </c>
      <c r="O747" s="585">
        <v>1.542E-2</v>
      </c>
      <c r="P747" s="175">
        <v>0</v>
      </c>
      <c r="Q747" s="175">
        <v>0</v>
      </c>
      <c r="R747" s="175">
        <v>0</v>
      </c>
      <c r="S747" s="175">
        <v>6.2E-4</v>
      </c>
      <c r="T747" s="175">
        <v>2.0600000000000002E-3</v>
      </c>
      <c r="U747" s="175">
        <v>4.5199999999999997E-3</v>
      </c>
      <c r="V747" s="706">
        <v>8.2199999999999999E-3</v>
      </c>
      <c r="W747" s="717"/>
      <c r="X747" s="713"/>
      <c r="Y747" s="718"/>
      <c r="Z747" s="709">
        <v>0</v>
      </c>
      <c r="AA747" s="175"/>
      <c r="AB747" s="200"/>
      <c r="AC747" s="205">
        <v>1.2999999999999999E-2</v>
      </c>
      <c r="AD747" s="175">
        <v>7.9</v>
      </c>
      <c r="AE747" s="175">
        <v>0.28000000000000003</v>
      </c>
      <c r="AF747" s="170">
        <f t="shared" ref="AF747:AF810" si="14">AE747*AD747</f>
        <v>2.2120000000000002</v>
      </c>
      <c r="AG747" s="175">
        <v>1.07</v>
      </c>
      <c r="AH747" s="334"/>
      <c r="AI747" s="188"/>
      <c r="AJ747" s="188"/>
      <c r="AK747" s="188"/>
      <c r="AL747" s="189"/>
      <c r="AM747" s="189"/>
      <c r="AN747" s="189"/>
      <c r="AO747" s="189"/>
      <c r="AP747" s="189"/>
      <c r="AQ747" s="189"/>
      <c r="AR747" s="189"/>
      <c r="AS747" s="189"/>
      <c r="AT747" s="189"/>
      <c r="AU747" s="190"/>
      <c r="AV747" s="190"/>
      <c r="AW747" s="190"/>
      <c r="AX747" s="190"/>
      <c r="AY747" s="190"/>
      <c r="AZ747" s="189"/>
      <c r="BA747" s="189"/>
      <c r="BB747" s="189"/>
      <c r="BC747" s="189"/>
      <c r="BD747" s="189"/>
      <c r="BE747" s="189"/>
      <c r="BF747" s="189"/>
      <c r="BG747" s="189"/>
      <c r="BH747" s="189"/>
      <c r="BI747" s="190"/>
      <c r="BJ747" s="190"/>
      <c r="BK747" s="190"/>
      <c r="BL747" s="190"/>
      <c r="BM747" s="190"/>
      <c r="BN747" s="190"/>
      <c r="BO747" s="190"/>
      <c r="BP747" s="190"/>
      <c r="BQ747" s="190"/>
      <c r="BR747" s="190"/>
      <c r="BS747" s="190"/>
      <c r="BT747" s="190"/>
      <c r="BU747" s="190"/>
      <c r="BV747" s="190"/>
      <c r="BW747" s="190"/>
      <c r="BX747" s="190"/>
      <c r="BY747" s="190"/>
      <c r="BZ747" s="190"/>
      <c r="CA747" s="189"/>
      <c r="CB747" s="15" t="s">
        <v>627</v>
      </c>
    </row>
    <row r="748" spans="1:80" ht="15" x14ac:dyDescent="0.2">
      <c r="A748" s="167"/>
      <c r="B748" s="642"/>
      <c r="C748" s="642"/>
      <c r="D748" s="179"/>
      <c r="E748" s="169"/>
      <c r="F748" s="169"/>
      <c r="G748" s="187"/>
      <c r="H748" s="187"/>
      <c r="I748" s="187"/>
      <c r="J748" s="187"/>
      <c r="K748" s="187"/>
      <c r="L748" s="647"/>
      <c r="M748" s="646">
        <v>32664</v>
      </c>
      <c r="N748" s="590">
        <v>2</v>
      </c>
      <c r="O748" s="585">
        <v>2.7699999999999999E-3</v>
      </c>
      <c r="P748" s="175">
        <v>0</v>
      </c>
      <c r="Q748" s="175">
        <v>0</v>
      </c>
      <c r="R748" s="175">
        <v>0</v>
      </c>
      <c r="S748" s="175">
        <v>2.1000000000000001E-4</v>
      </c>
      <c r="T748" s="175">
        <v>1.6000000000000001E-4</v>
      </c>
      <c r="U748" s="175">
        <v>5.8E-4</v>
      </c>
      <c r="V748" s="706">
        <v>1.82E-3</v>
      </c>
      <c r="W748" s="717"/>
      <c r="X748" s="713"/>
      <c r="Y748" s="718"/>
      <c r="Z748" s="709">
        <v>0</v>
      </c>
      <c r="AA748" s="175"/>
      <c r="AB748" s="200"/>
      <c r="AC748" s="205">
        <v>1.0999999999999999E-2</v>
      </c>
      <c r="AD748" s="175">
        <v>7.65</v>
      </c>
      <c r="AE748" s="175">
        <v>0.27</v>
      </c>
      <c r="AF748" s="170">
        <f t="shared" si="14"/>
        <v>2.0655000000000001</v>
      </c>
      <c r="AG748" s="175">
        <v>0.96</v>
      </c>
      <c r="AH748" s="334"/>
      <c r="AI748" s="188"/>
      <c r="AJ748" s="188"/>
      <c r="AK748" s="188"/>
      <c r="AL748" s="189"/>
      <c r="AM748" s="189"/>
      <c r="AN748" s="189"/>
      <c r="AO748" s="189"/>
      <c r="AP748" s="189"/>
      <c r="AQ748" s="189"/>
      <c r="AR748" s="189"/>
      <c r="AS748" s="189"/>
      <c r="AT748" s="189"/>
      <c r="AU748" s="190"/>
      <c r="AV748" s="190"/>
      <c r="AW748" s="190"/>
      <c r="AX748" s="190"/>
      <c r="AY748" s="190"/>
      <c r="AZ748" s="189"/>
      <c r="BA748" s="189"/>
      <c r="BB748" s="189"/>
      <c r="BC748" s="189"/>
      <c r="BD748" s="189"/>
      <c r="BE748" s="189"/>
      <c r="BF748" s="189"/>
      <c r="BG748" s="189"/>
      <c r="BH748" s="189"/>
      <c r="BI748" s="190"/>
      <c r="BJ748" s="190"/>
      <c r="BK748" s="190"/>
      <c r="BL748" s="190"/>
      <c r="BM748" s="190"/>
      <c r="BN748" s="190"/>
      <c r="BO748" s="190"/>
      <c r="BP748" s="190"/>
      <c r="BQ748" s="190"/>
      <c r="BR748" s="190"/>
      <c r="BS748" s="190"/>
      <c r="BT748" s="190"/>
      <c r="BU748" s="190"/>
      <c r="BV748" s="190"/>
      <c r="BW748" s="190"/>
      <c r="BX748" s="190"/>
      <c r="BY748" s="190"/>
      <c r="BZ748" s="190"/>
      <c r="CA748" s="189"/>
      <c r="CB748" s="485" t="s">
        <v>638</v>
      </c>
    </row>
    <row r="749" spans="1:80" ht="15" x14ac:dyDescent="0.25">
      <c r="A749" s="167"/>
      <c r="B749" s="642"/>
      <c r="C749" s="642"/>
      <c r="D749" s="179"/>
      <c r="E749" s="169"/>
      <c r="F749" s="169"/>
      <c r="G749" s="187"/>
      <c r="H749" s="187"/>
      <c r="I749" s="187"/>
      <c r="J749" s="187"/>
      <c r="K749" s="187"/>
      <c r="L749" s="647"/>
      <c r="M749" s="646">
        <v>32666</v>
      </c>
      <c r="N749" s="585">
        <v>1.45</v>
      </c>
      <c r="O749" s="585">
        <v>1.2999999999999999E-3</v>
      </c>
      <c r="P749" s="175">
        <v>0</v>
      </c>
      <c r="Q749" s="175">
        <v>0</v>
      </c>
      <c r="R749" s="175">
        <v>0</v>
      </c>
      <c r="S749" s="175">
        <v>0</v>
      </c>
      <c r="T749" s="175">
        <v>1.7000000000000001E-4</v>
      </c>
      <c r="U749" s="175">
        <v>2.5000000000000001E-4</v>
      </c>
      <c r="V749" s="706">
        <v>8.8000000000000003E-4</v>
      </c>
      <c r="W749" s="717"/>
      <c r="X749" s="713"/>
      <c r="Y749" s="718"/>
      <c r="Z749" s="709">
        <v>0</v>
      </c>
      <c r="AA749" s="175"/>
      <c r="AB749" s="200"/>
      <c r="AC749" s="205">
        <v>2.1000000000000001E-2</v>
      </c>
      <c r="AD749" s="175">
        <v>7.15</v>
      </c>
      <c r="AE749" s="175">
        <v>0.26</v>
      </c>
      <c r="AF749" s="170">
        <f t="shared" si="14"/>
        <v>1.8590000000000002</v>
      </c>
      <c r="AG749" s="175">
        <v>0.78</v>
      </c>
      <c r="AH749" s="334"/>
      <c r="AI749" s="188"/>
      <c r="AJ749" s="188"/>
      <c r="AK749" s="188"/>
      <c r="AL749" s="189"/>
      <c r="AM749" s="189"/>
      <c r="AN749" s="189"/>
      <c r="AO749" s="189"/>
      <c r="AP749" s="189"/>
      <c r="AQ749" s="189"/>
      <c r="AR749" s="189"/>
      <c r="AS749" s="189"/>
      <c r="AT749" s="189"/>
      <c r="AU749" s="190"/>
      <c r="AV749" s="190"/>
      <c r="AW749" s="190"/>
      <c r="AX749" s="190"/>
      <c r="AY749" s="190"/>
      <c r="AZ749" s="189"/>
      <c r="BA749" s="189"/>
      <c r="BB749" s="189"/>
      <c r="BC749" s="189"/>
      <c r="BD749" s="189"/>
      <c r="BE749" s="189"/>
      <c r="BF749" s="189"/>
      <c r="BG749" s="189"/>
      <c r="BH749" s="189"/>
      <c r="BI749" s="190"/>
      <c r="BJ749" s="190"/>
      <c r="BK749" s="190"/>
      <c r="BL749" s="190"/>
      <c r="BM749" s="190"/>
      <c r="BN749" s="190"/>
      <c r="BO749" s="190"/>
      <c r="BP749" s="190"/>
      <c r="BQ749" s="190"/>
      <c r="BR749" s="190"/>
      <c r="BS749" s="190"/>
      <c r="BT749" s="190"/>
      <c r="BU749" s="190"/>
      <c r="BV749" s="190"/>
      <c r="BW749" s="190"/>
      <c r="BX749" s="190"/>
      <c r="BY749" s="190"/>
      <c r="BZ749" s="190"/>
      <c r="CA749" s="189"/>
      <c r="CB749" s="15"/>
    </row>
    <row r="750" spans="1:80" ht="15" x14ac:dyDescent="0.25">
      <c r="A750" s="167"/>
      <c r="B750" s="642"/>
      <c r="C750" s="642"/>
      <c r="D750" s="179"/>
      <c r="E750" s="169"/>
      <c r="F750" s="169"/>
      <c r="G750" s="187"/>
      <c r="H750" s="187"/>
      <c r="I750" s="187"/>
      <c r="J750" s="187"/>
      <c r="K750" s="187"/>
      <c r="L750" s="647"/>
      <c r="M750" s="646">
        <v>32668</v>
      </c>
      <c r="N750" s="585">
        <v>1.36</v>
      </c>
      <c r="O750" s="585">
        <v>1.6199999999999999E-3</v>
      </c>
      <c r="P750" s="175">
        <v>0</v>
      </c>
      <c r="Q750" s="175">
        <v>0</v>
      </c>
      <c r="R750" s="175">
        <v>0</v>
      </c>
      <c r="S750" s="175">
        <v>0</v>
      </c>
      <c r="T750" s="175">
        <v>0</v>
      </c>
      <c r="U750" s="175">
        <v>4.0000000000000003E-5</v>
      </c>
      <c r="V750" s="706">
        <v>1.58E-3</v>
      </c>
      <c r="W750" s="717"/>
      <c r="X750" s="713"/>
      <c r="Y750" s="718"/>
      <c r="Z750" s="709">
        <v>0</v>
      </c>
      <c r="AA750" s="175"/>
      <c r="AB750" s="200"/>
      <c r="AC750" s="205">
        <v>1.4E-2</v>
      </c>
      <c r="AD750" s="175">
        <v>6.95</v>
      </c>
      <c r="AE750" s="175">
        <v>0.23</v>
      </c>
      <c r="AF750" s="170">
        <f t="shared" si="14"/>
        <v>1.5985</v>
      </c>
      <c r="AG750" s="175">
        <v>0.86</v>
      </c>
      <c r="AH750" s="334"/>
      <c r="AI750" s="188"/>
      <c r="AJ750" s="188"/>
      <c r="AK750" s="188"/>
      <c r="AL750" s="189"/>
      <c r="AM750" s="189"/>
      <c r="AN750" s="189"/>
      <c r="AO750" s="189"/>
      <c r="AP750" s="189"/>
      <c r="AQ750" s="189"/>
      <c r="AR750" s="189"/>
      <c r="AS750" s="189"/>
      <c r="AT750" s="189"/>
      <c r="AU750" s="190"/>
      <c r="AV750" s="190"/>
      <c r="AW750" s="190"/>
      <c r="AX750" s="190"/>
      <c r="AY750" s="190"/>
      <c r="AZ750" s="189"/>
      <c r="BA750" s="189"/>
      <c r="BB750" s="189"/>
      <c r="BC750" s="189"/>
      <c r="BD750" s="189"/>
      <c r="BE750" s="189"/>
      <c r="BF750" s="189"/>
      <c r="BG750" s="189"/>
      <c r="BH750" s="189"/>
      <c r="BI750" s="190"/>
      <c r="BJ750" s="190"/>
      <c r="BK750" s="190"/>
      <c r="BL750" s="190"/>
      <c r="BM750" s="190"/>
      <c r="BN750" s="190"/>
      <c r="BO750" s="190"/>
      <c r="BP750" s="190"/>
      <c r="BQ750" s="190"/>
      <c r="BR750" s="190"/>
      <c r="BS750" s="190"/>
      <c r="BT750" s="190"/>
      <c r="BU750" s="190"/>
      <c r="BV750" s="190"/>
      <c r="BW750" s="190"/>
      <c r="BX750" s="190"/>
      <c r="BY750" s="190"/>
      <c r="BZ750" s="190"/>
      <c r="CA750" s="189"/>
      <c r="CB750" s="15"/>
    </row>
    <row r="751" spans="1:80" ht="15" x14ac:dyDescent="0.25">
      <c r="A751" s="167"/>
      <c r="B751" s="642"/>
      <c r="C751" s="642"/>
      <c r="D751" s="179"/>
      <c r="E751" s="169"/>
      <c r="F751" s="169"/>
      <c r="G751" s="187"/>
      <c r="H751" s="187"/>
      <c r="I751" s="187"/>
      <c r="J751" s="187"/>
      <c r="K751" s="187"/>
      <c r="L751" s="647"/>
      <c r="M751" s="646">
        <v>32669</v>
      </c>
      <c r="N751" s="585">
        <v>1.43</v>
      </c>
      <c r="O751" s="585">
        <v>5.2399999999999999E-3</v>
      </c>
      <c r="P751" s="175">
        <v>0</v>
      </c>
      <c r="Q751" s="175">
        <v>0</v>
      </c>
      <c r="R751" s="175">
        <v>0</v>
      </c>
      <c r="S751" s="175">
        <v>0</v>
      </c>
      <c r="T751" s="175">
        <v>9.1E-4</v>
      </c>
      <c r="U751" s="175">
        <v>2.1900000000000001E-3</v>
      </c>
      <c r="V751" s="706">
        <v>2.14E-3</v>
      </c>
      <c r="W751" s="717"/>
      <c r="X751" s="713"/>
      <c r="Y751" s="718"/>
      <c r="Z751" s="709">
        <v>0</v>
      </c>
      <c r="AA751" s="175"/>
      <c r="AB751" s="200"/>
      <c r="AC751" s="205">
        <v>1.4999999999999999E-2</v>
      </c>
      <c r="AD751" s="175">
        <v>7.05</v>
      </c>
      <c r="AE751" s="175">
        <v>0.22</v>
      </c>
      <c r="AF751" s="170">
        <f t="shared" si="14"/>
        <v>1.5509999999999999</v>
      </c>
      <c r="AG751" s="175">
        <v>0.9</v>
      </c>
      <c r="AH751" s="334"/>
      <c r="AI751" s="188"/>
      <c r="AJ751" s="188"/>
      <c r="AK751" s="188"/>
      <c r="AL751" s="189"/>
      <c r="AM751" s="189"/>
      <c r="AN751" s="189"/>
      <c r="AO751" s="189"/>
      <c r="AP751" s="189"/>
      <c r="AQ751" s="189"/>
      <c r="AR751" s="189"/>
      <c r="AS751" s="189"/>
      <c r="AT751" s="189"/>
      <c r="AU751" s="190"/>
      <c r="AV751" s="190"/>
      <c r="AW751" s="190"/>
      <c r="AX751" s="190"/>
      <c r="AY751" s="190"/>
      <c r="AZ751" s="189"/>
      <c r="BA751" s="189"/>
      <c r="BB751" s="189"/>
      <c r="BC751" s="189"/>
      <c r="BD751" s="189"/>
      <c r="BE751" s="189"/>
      <c r="BF751" s="189"/>
      <c r="BG751" s="189"/>
      <c r="BH751" s="189"/>
      <c r="BI751" s="190"/>
      <c r="BJ751" s="190"/>
      <c r="BK751" s="190"/>
      <c r="BL751" s="190"/>
      <c r="BM751" s="190"/>
      <c r="BN751" s="190"/>
      <c r="BO751" s="190"/>
      <c r="BP751" s="190"/>
      <c r="BQ751" s="190"/>
      <c r="BR751" s="190"/>
      <c r="BS751" s="190"/>
      <c r="BT751" s="190"/>
      <c r="BU751" s="190"/>
      <c r="BV751" s="190"/>
      <c r="BW751" s="190"/>
      <c r="BX751" s="190"/>
      <c r="BY751" s="190"/>
      <c r="BZ751" s="190"/>
      <c r="CA751" s="189"/>
      <c r="CB751" s="15"/>
    </row>
    <row r="752" spans="1:80" ht="15" x14ac:dyDescent="0.25">
      <c r="A752" s="167"/>
      <c r="B752" s="642"/>
      <c r="C752" s="642"/>
      <c r="D752" s="179"/>
      <c r="E752" s="169"/>
      <c r="F752" s="169"/>
      <c r="G752" s="187"/>
      <c r="H752" s="187"/>
      <c r="I752" s="187"/>
      <c r="J752" s="187"/>
      <c r="K752" s="187"/>
      <c r="L752" s="647"/>
      <c r="M752" s="646">
        <v>32670</v>
      </c>
      <c r="N752" s="585">
        <v>1.78</v>
      </c>
      <c r="O752" s="585">
        <v>7.1900000000000002E-3</v>
      </c>
      <c r="P752" s="175">
        <v>0</v>
      </c>
      <c r="Q752" s="175">
        <v>0</v>
      </c>
      <c r="R752" s="175">
        <v>0</v>
      </c>
      <c r="S752" s="175">
        <v>6.0000000000000002E-5</v>
      </c>
      <c r="T752" s="175">
        <v>2.1000000000000001E-4</v>
      </c>
      <c r="U752" s="175">
        <v>8.0999999999999996E-4</v>
      </c>
      <c r="V752" s="706">
        <v>6.11E-3</v>
      </c>
      <c r="W752" s="717"/>
      <c r="X752" s="713"/>
      <c r="Y752" s="718"/>
      <c r="Z752" s="709">
        <v>0</v>
      </c>
      <c r="AA752" s="175"/>
      <c r="AB752" s="200"/>
      <c r="AC752" s="205">
        <v>1.7000000000000001E-2</v>
      </c>
      <c r="AD752" s="175">
        <v>7.5</v>
      </c>
      <c r="AE752" s="175">
        <v>0.25</v>
      </c>
      <c r="AF752" s="170">
        <f t="shared" si="14"/>
        <v>1.875</v>
      </c>
      <c r="AG752" s="175">
        <v>0.94</v>
      </c>
      <c r="AH752" s="334"/>
      <c r="AI752" s="188"/>
      <c r="AJ752" s="188"/>
      <c r="AK752" s="188"/>
      <c r="AL752" s="189"/>
      <c r="AM752" s="189"/>
      <c r="AN752" s="189"/>
      <c r="AO752" s="189"/>
      <c r="AP752" s="189"/>
      <c r="AQ752" s="189"/>
      <c r="AR752" s="189"/>
      <c r="AS752" s="189"/>
      <c r="AT752" s="189"/>
      <c r="AU752" s="190"/>
      <c r="AV752" s="190"/>
      <c r="AW752" s="190"/>
      <c r="AX752" s="190"/>
      <c r="AY752" s="190"/>
      <c r="AZ752" s="189"/>
      <c r="BA752" s="189"/>
      <c r="BB752" s="189"/>
      <c r="BC752" s="189"/>
      <c r="BD752" s="189"/>
      <c r="BE752" s="189"/>
      <c r="BF752" s="189"/>
      <c r="BG752" s="189"/>
      <c r="BH752" s="189"/>
      <c r="BI752" s="190"/>
      <c r="BJ752" s="190"/>
      <c r="BK752" s="190"/>
      <c r="BL752" s="190"/>
      <c r="BM752" s="190"/>
      <c r="BN752" s="190"/>
      <c r="BO752" s="190"/>
      <c r="BP752" s="190"/>
      <c r="BQ752" s="190"/>
      <c r="BR752" s="190"/>
      <c r="BS752" s="190"/>
      <c r="BT752" s="190"/>
      <c r="BU752" s="190"/>
      <c r="BV752" s="190"/>
      <c r="BW752" s="190"/>
      <c r="BX752" s="190"/>
      <c r="BY752" s="190"/>
      <c r="BZ752" s="190"/>
      <c r="CA752" s="189"/>
      <c r="CB752" s="15"/>
    </row>
    <row r="753" spans="1:80" ht="15" x14ac:dyDescent="0.25">
      <c r="A753" s="167"/>
      <c r="B753" s="642"/>
      <c r="C753" s="642"/>
      <c r="D753" s="179"/>
      <c r="E753" s="169"/>
      <c r="F753" s="169"/>
      <c r="G753" s="187"/>
      <c r="H753" s="187"/>
      <c r="I753" s="187"/>
      <c r="J753" s="187"/>
      <c r="K753" s="187"/>
      <c r="L753" s="647"/>
      <c r="M753" s="646">
        <v>32671</v>
      </c>
      <c r="N753" s="585">
        <v>2.87</v>
      </c>
      <c r="O753" s="585">
        <v>2.375E-2</v>
      </c>
      <c r="P753" s="175">
        <v>0</v>
      </c>
      <c r="Q753" s="175">
        <v>0</v>
      </c>
      <c r="R753" s="175">
        <v>0</v>
      </c>
      <c r="S753" s="175">
        <v>1.8400000000000001E-3</v>
      </c>
      <c r="T753" s="175">
        <v>1.1999999999999999E-3</v>
      </c>
      <c r="U753" s="175">
        <v>3.0400000000000002E-3</v>
      </c>
      <c r="V753" s="706">
        <v>1.7670000000000002E-2</v>
      </c>
      <c r="W753" s="717"/>
      <c r="X753" s="713"/>
      <c r="Y753" s="718"/>
      <c r="Z753" s="709">
        <v>0</v>
      </c>
      <c r="AA753" s="175"/>
      <c r="AB753" s="200"/>
      <c r="AC753" s="205">
        <v>2.4E-2</v>
      </c>
      <c r="AD753" s="175">
        <v>8.0500000000000007</v>
      </c>
      <c r="AE753" s="175">
        <v>0.3</v>
      </c>
      <c r="AF753" s="170">
        <f t="shared" si="14"/>
        <v>2.415</v>
      </c>
      <c r="AG753" s="175">
        <v>1.21</v>
      </c>
      <c r="AH753" s="334"/>
      <c r="AI753" s="188"/>
      <c r="AJ753" s="188"/>
      <c r="AK753" s="188"/>
      <c r="AL753" s="189"/>
      <c r="AM753" s="189"/>
      <c r="AN753" s="189"/>
      <c r="AO753" s="189"/>
      <c r="AP753" s="189"/>
      <c r="AQ753" s="189"/>
      <c r="AR753" s="189"/>
      <c r="AS753" s="189"/>
      <c r="AT753" s="189"/>
      <c r="AU753" s="190"/>
      <c r="AV753" s="190"/>
      <c r="AW753" s="190"/>
      <c r="AX753" s="190"/>
      <c r="AY753" s="190"/>
      <c r="AZ753" s="189"/>
      <c r="BA753" s="189"/>
      <c r="BB753" s="189"/>
      <c r="BC753" s="189"/>
      <c r="BD753" s="189"/>
      <c r="BE753" s="189"/>
      <c r="BF753" s="189"/>
      <c r="BG753" s="189"/>
      <c r="BH753" s="189"/>
      <c r="BI753" s="190"/>
      <c r="BJ753" s="190"/>
      <c r="BK753" s="190"/>
      <c r="BL753" s="190"/>
      <c r="BM753" s="190"/>
      <c r="BN753" s="190"/>
      <c r="BO753" s="190"/>
      <c r="BP753" s="190"/>
      <c r="BQ753" s="190"/>
      <c r="BR753" s="190"/>
      <c r="BS753" s="190"/>
      <c r="BT753" s="190"/>
      <c r="BU753" s="190"/>
      <c r="BV753" s="190"/>
      <c r="BW753" s="190"/>
      <c r="BX753" s="190"/>
      <c r="BY753" s="190"/>
      <c r="BZ753" s="190"/>
      <c r="CA753" s="189"/>
      <c r="CB753" s="15"/>
    </row>
    <row r="754" spans="1:80" ht="15" x14ac:dyDescent="0.25">
      <c r="A754" s="167"/>
      <c r="B754" s="642"/>
      <c r="C754" s="642"/>
      <c r="D754" s="179"/>
      <c r="E754" s="169"/>
      <c r="F754" s="169"/>
      <c r="G754" s="187"/>
      <c r="H754" s="187"/>
      <c r="I754" s="187"/>
      <c r="J754" s="187"/>
      <c r="K754" s="187"/>
      <c r="L754" s="647"/>
      <c r="M754" s="646">
        <v>32672</v>
      </c>
      <c r="N754" s="585">
        <v>3.12</v>
      </c>
      <c r="O754" s="585">
        <v>3.2030000000000003E-2</v>
      </c>
      <c r="P754" s="175">
        <v>0</v>
      </c>
      <c r="Q754" s="175">
        <v>0</v>
      </c>
      <c r="R754" s="175">
        <v>0</v>
      </c>
      <c r="S754" s="175">
        <v>2.31E-3</v>
      </c>
      <c r="T754" s="175">
        <v>4.96E-3</v>
      </c>
      <c r="U754" s="175">
        <v>6.7999999999999996E-3</v>
      </c>
      <c r="V754" s="706">
        <v>1.7950000000000001E-2</v>
      </c>
      <c r="W754" s="717"/>
      <c r="X754" s="713"/>
      <c r="Y754" s="718"/>
      <c r="Z754" s="709">
        <v>0</v>
      </c>
      <c r="AA754" s="175"/>
      <c r="AB754" s="200"/>
      <c r="AC754" s="205">
        <v>1.6E-2</v>
      </c>
      <c r="AD754" s="175">
        <v>8</v>
      </c>
      <c r="AE754" s="175">
        <v>0.31</v>
      </c>
      <c r="AF754" s="170">
        <f t="shared" si="14"/>
        <v>2.48</v>
      </c>
      <c r="AG754" s="175">
        <v>1.28</v>
      </c>
      <c r="AH754" s="334"/>
      <c r="AI754" s="188"/>
      <c r="AJ754" s="188"/>
      <c r="AK754" s="188"/>
      <c r="AL754" s="189"/>
      <c r="AM754" s="189"/>
      <c r="AN754" s="189"/>
      <c r="AO754" s="189"/>
      <c r="AP754" s="189"/>
      <c r="AQ754" s="189"/>
      <c r="AR754" s="189"/>
      <c r="AS754" s="189"/>
      <c r="AT754" s="189"/>
      <c r="AU754" s="190"/>
      <c r="AV754" s="190"/>
      <c r="AW754" s="190"/>
      <c r="AX754" s="190"/>
      <c r="AY754" s="190"/>
      <c r="AZ754" s="189"/>
      <c r="BA754" s="189"/>
      <c r="BB754" s="189"/>
      <c r="BC754" s="189"/>
      <c r="BD754" s="189"/>
      <c r="BE754" s="189"/>
      <c r="BF754" s="189"/>
      <c r="BG754" s="189"/>
      <c r="BH754" s="189"/>
      <c r="BI754" s="190"/>
      <c r="BJ754" s="190"/>
      <c r="BK754" s="190"/>
      <c r="BL754" s="190"/>
      <c r="BM754" s="190"/>
      <c r="BN754" s="190"/>
      <c r="BO754" s="190"/>
      <c r="BP754" s="190"/>
      <c r="BQ754" s="190"/>
      <c r="BR754" s="190"/>
      <c r="BS754" s="190"/>
      <c r="BT754" s="190"/>
      <c r="BU754" s="190"/>
      <c r="BV754" s="190"/>
      <c r="BW754" s="190"/>
      <c r="BX754" s="190"/>
      <c r="BY754" s="190"/>
      <c r="BZ754" s="190"/>
      <c r="CA754" s="189"/>
      <c r="CB754" s="15"/>
    </row>
    <row r="755" spans="1:80" ht="15" x14ac:dyDescent="0.25">
      <c r="A755" s="167"/>
      <c r="B755" s="642"/>
      <c r="C755" s="642"/>
      <c r="D755" s="179"/>
      <c r="E755" s="169"/>
      <c r="F755" s="169"/>
      <c r="G755" s="187"/>
      <c r="H755" s="187"/>
      <c r="I755" s="187"/>
      <c r="J755" s="187"/>
      <c r="K755" s="187"/>
      <c r="L755" s="647"/>
      <c r="M755" s="646">
        <v>32673</v>
      </c>
      <c r="N755" s="585">
        <v>2.96</v>
      </c>
      <c r="O755" s="585">
        <v>3.363E-2</v>
      </c>
      <c r="P755" s="175">
        <v>0</v>
      </c>
      <c r="Q755" s="175">
        <v>0</v>
      </c>
      <c r="R755" s="175">
        <v>8.8000000000000003E-4</v>
      </c>
      <c r="S755" s="175">
        <v>5.0899999999999999E-3</v>
      </c>
      <c r="T755" s="175">
        <v>7.7400000000000004E-3</v>
      </c>
      <c r="U755" s="175">
        <v>7.9100000000000004E-3</v>
      </c>
      <c r="V755" s="706">
        <v>1.2E-2</v>
      </c>
      <c r="W755" s="717"/>
      <c r="X755" s="713"/>
      <c r="Y755" s="718"/>
      <c r="Z755" s="709">
        <v>0</v>
      </c>
      <c r="AA755" s="175"/>
      <c r="AB755" s="200"/>
      <c r="AC755" s="205">
        <v>0.02</v>
      </c>
      <c r="AD755" s="175">
        <v>8</v>
      </c>
      <c r="AE755" s="175">
        <v>0.31</v>
      </c>
      <c r="AF755" s="170">
        <f t="shared" si="14"/>
        <v>2.48</v>
      </c>
      <c r="AG755" s="175">
        <v>1.18</v>
      </c>
      <c r="AH755" s="334"/>
      <c r="AI755" s="188"/>
      <c r="AJ755" s="188"/>
      <c r="AK755" s="188"/>
      <c r="AL755" s="189"/>
      <c r="AM755" s="189"/>
      <c r="AN755" s="189"/>
      <c r="AO755" s="189"/>
      <c r="AP755" s="189"/>
      <c r="AQ755" s="189"/>
      <c r="AR755" s="189"/>
      <c r="AS755" s="189"/>
      <c r="AT755" s="189"/>
      <c r="AU755" s="190"/>
      <c r="AV755" s="190"/>
      <c r="AW755" s="190"/>
      <c r="AX755" s="190"/>
      <c r="AY755" s="190"/>
      <c r="AZ755" s="189"/>
      <c r="BA755" s="189"/>
      <c r="BB755" s="189"/>
      <c r="BC755" s="189"/>
      <c r="BD755" s="189"/>
      <c r="BE755" s="189"/>
      <c r="BF755" s="189"/>
      <c r="BG755" s="189"/>
      <c r="BH755" s="189"/>
      <c r="BI755" s="190"/>
      <c r="BJ755" s="190"/>
      <c r="BK755" s="190"/>
      <c r="BL755" s="190"/>
      <c r="BM755" s="190"/>
      <c r="BN755" s="190"/>
      <c r="BO755" s="190"/>
      <c r="BP755" s="190"/>
      <c r="BQ755" s="190"/>
      <c r="BR755" s="190"/>
      <c r="BS755" s="190"/>
      <c r="BT755" s="190"/>
      <c r="BU755" s="190"/>
      <c r="BV755" s="190"/>
      <c r="BW755" s="190"/>
      <c r="BX755" s="190"/>
      <c r="BY755" s="190"/>
      <c r="BZ755" s="190"/>
      <c r="CA755" s="189"/>
      <c r="CB755" s="15"/>
    </row>
    <row r="756" spans="1:80" ht="15" x14ac:dyDescent="0.25">
      <c r="A756" s="167"/>
      <c r="B756" s="642"/>
      <c r="C756" s="642"/>
      <c r="D756" s="179"/>
      <c r="E756" s="169"/>
      <c r="F756" s="169"/>
      <c r="G756" s="187"/>
      <c r="H756" s="187"/>
      <c r="I756" s="187"/>
      <c r="J756" s="187"/>
      <c r="K756" s="187"/>
      <c r="L756" s="647"/>
      <c r="M756" s="646">
        <v>32674</v>
      </c>
      <c r="N756" s="585">
        <v>3.49</v>
      </c>
      <c r="O756" s="585">
        <v>9.8470000000000002E-2</v>
      </c>
      <c r="P756" s="175">
        <v>0</v>
      </c>
      <c r="Q756" s="175">
        <v>0</v>
      </c>
      <c r="R756" s="175">
        <v>1.4499999999999999E-3</v>
      </c>
      <c r="S756" s="175">
        <v>1.789E-2</v>
      </c>
      <c r="T756" s="175">
        <v>1.6670000000000001E-2</v>
      </c>
      <c r="U756" s="175">
        <v>2.213E-2</v>
      </c>
      <c r="V756" s="706">
        <v>4.0329999999999998E-2</v>
      </c>
      <c r="W756" s="717"/>
      <c r="X756" s="713"/>
      <c r="Y756" s="718"/>
      <c r="Z756" s="709">
        <v>0</v>
      </c>
      <c r="AA756" s="175"/>
      <c r="AB756" s="200"/>
      <c r="AC756" s="205">
        <v>2.1999999999999999E-2</v>
      </c>
      <c r="AD756" s="175">
        <v>8.3000000000000007</v>
      </c>
      <c r="AE756" s="175">
        <v>0.32</v>
      </c>
      <c r="AF756" s="170">
        <f t="shared" si="14"/>
        <v>2.6560000000000001</v>
      </c>
      <c r="AG756" s="175">
        <v>1.31</v>
      </c>
      <c r="AH756" s="334"/>
      <c r="AI756" s="188"/>
      <c r="AJ756" s="188"/>
      <c r="AK756" s="188"/>
      <c r="AL756" s="189"/>
      <c r="AM756" s="189"/>
      <c r="AN756" s="189"/>
      <c r="AO756" s="189"/>
      <c r="AP756" s="189"/>
      <c r="AQ756" s="189"/>
      <c r="AR756" s="189"/>
      <c r="AS756" s="189"/>
      <c r="AT756" s="189"/>
      <c r="AU756" s="190"/>
      <c r="AV756" s="190"/>
      <c r="AW756" s="190"/>
      <c r="AX756" s="190"/>
      <c r="AY756" s="190"/>
      <c r="AZ756" s="189"/>
      <c r="BA756" s="189"/>
      <c r="BB756" s="189"/>
      <c r="BC756" s="189"/>
      <c r="BD756" s="189"/>
      <c r="BE756" s="189"/>
      <c r="BF756" s="189"/>
      <c r="BG756" s="189"/>
      <c r="BH756" s="189"/>
      <c r="BI756" s="190"/>
      <c r="BJ756" s="190"/>
      <c r="BK756" s="190"/>
      <c r="BL756" s="190"/>
      <c r="BM756" s="190"/>
      <c r="BN756" s="190"/>
      <c r="BO756" s="190"/>
      <c r="BP756" s="190"/>
      <c r="BQ756" s="190"/>
      <c r="BR756" s="190"/>
      <c r="BS756" s="190"/>
      <c r="BT756" s="190"/>
      <c r="BU756" s="190"/>
      <c r="BV756" s="190"/>
      <c r="BW756" s="190"/>
      <c r="BX756" s="190"/>
      <c r="BY756" s="190"/>
      <c r="BZ756" s="190"/>
      <c r="CA756" s="189"/>
      <c r="CB756" s="15"/>
    </row>
    <row r="757" spans="1:80" ht="15" x14ac:dyDescent="0.25">
      <c r="A757" s="167"/>
      <c r="B757" s="642"/>
      <c r="C757" s="642"/>
      <c r="D757" s="179"/>
      <c r="E757" s="169"/>
      <c r="F757" s="169"/>
      <c r="G757" s="187"/>
      <c r="H757" s="187"/>
      <c r="I757" s="187"/>
      <c r="J757" s="187"/>
      <c r="K757" s="187"/>
      <c r="L757" s="647"/>
      <c r="M757" s="646">
        <v>32675</v>
      </c>
      <c r="N757" s="585">
        <v>3.24</v>
      </c>
      <c r="O757" s="585">
        <v>3.9410000000000001E-2</v>
      </c>
      <c r="P757" s="175">
        <v>0</v>
      </c>
      <c r="Q757" s="175">
        <v>0</v>
      </c>
      <c r="R757" s="175">
        <v>6.8500000000000002E-3</v>
      </c>
      <c r="S757" s="175">
        <v>1.4400000000000001E-3</v>
      </c>
      <c r="T757" s="175">
        <v>4.3099999999999996E-3</v>
      </c>
      <c r="U757" s="175">
        <v>7.5100000000000002E-3</v>
      </c>
      <c r="V757" s="706">
        <v>1.9310000000000001E-2</v>
      </c>
      <c r="W757" s="717"/>
      <c r="X757" s="713"/>
      <c r="Y757" s="718"/>
      <c r="Z757" s="709">
        <v>0</v>
      </c>
      <c r="AA757" s="175"/>
      <c r="AB757" s="200"/>
      <c r="AC757" s="205">
        <v>1.6E-2</v>
      </c>
      <c r="AD757" s="175">
        <v>8.4</v>
      </c>
      <c r="AE757" s="175">
        <v>0.28999999999999998</v>
      </c>
      <c r="AF757" s="170">
        <f t="shared" si="14"/>
        <v>2.4359999999999999</v>
      </c>
      <c r="AG757" s="175">
        <v>1.35</v>
      </c>
      <c r="AH757" s="334"/>
      <c r="AI757" s="188"/>
      <c r="AJ757" s="188"/>
      <c r="AK757" s="188"/>
      <c r="AL757" s="189"/>
      <c r="AM757" s="189"/>
      <c r="AN757" s="189"/>
      <c r="AO757" s="189"/>
      <c r="AP757" s="189"/>
      <c r="AQ757" s="189"/>
      <c r="AR757" s="189"/>
      <c r="AS757" s="189"/>
      <c r="AT757" s="189"/>
      <c r="AU757" s="190"/>
      <c r="AV757" s="190"/>
      <c r="AW757" s="190"/>
      <c r="AX757" s="190"/>
      <c r="AY757" s="190"/>
      <c r="AZ757" s="189"/>
      <c r="BA757" s="189"/>
      <c r="BB757" s="189"/>
      <c r="BC757" s="189"/>
      <c r="BD757" s="189"/>
      <c r="BE757" s="189"/>
      <c r="BF757" s="189"/>
      <c r="BG757" s="189"/>
      <c r="BH757" s="189"/>
      <c r="BI757" s="190"/>
      <c r="BJ757" s="190"/>
      <c r="BK757" s="190"/>
      <c r="BL757" s="190"/>
      <c r="BM757" s="190"/>
      <c r="BN757" s="190"/>
      <c r="BO757" s="190"/>
      <c r="BP757" s="190"/>
      <c r="BQ757" s="190"/>
      <c r="BR757" s="190"/>
      <c r="BS757" s="190"/>
      <c r="BT757" s="190"/>
      <c r="BU757" s="190"/>
      <c r="BV757" s="190"/>
      <c r="BW757" s="190"/>
      <c r="BX757" s="190"/>
      <c r="BY757" s="190"/>
      <c r="BZ757" s="190"/>
      <c r="CA757" s="189"/>
      <c r="CB757" s="15"/>
    </row>
    <row r="758" spans="1:80" ht="15" x14ac:dyDescent="0.25">
      <c r="A758" s="167"/>
      <c r="B758" s="642"/>
      <c r="C758" s="642"/>
      <c r="D758" s="179"/>
      <c r="E758" s="169"/>
      <c r="F758" s="169"/>
      <c r="G758" s="187"/>
      <c r="H758" s="187"/>
      <c r="I758" s="187"/>
      <c r="J758" s="187"/>
      <c r="K758" s="187"/>
      <c r="L758" s="647"/>
      <c r="M758" s="646">
        <v>32680</v>
      </c>
      <c r="N758" s="585">
        <v>3.37</v>
      </c>
      <c r="O758" s="585">
        <v>9.5880000000000007E-2</v>
      </c>
      <c r="P758" s="175">
        <v>0</v>
      </c>
      <c r="Q758" s="175">
        <v>0</v>
      </c>
      <c r="R758" s="175">
        <v>7.6699999999999997E-3</v>
      </c>
      <c r="S758" s="175">
        <v>9.5600000000000008E-3</v>
      </c>
      <c r="T758" s="175">
        <v>1.376E-2</v>
      </c>
      <c r="U758" s="175">
        <v>2.0549999999999999E-2</v>
      </c>
      <c r="V758" s="706">
        <v>4.4350000000000001E-2</v>
      </c>
      <c r="W758" s="717"/>
      <c r="X758" s="713"/>
      <c r="Y758" s="718"/>
      <c r="Z758" s="709">
        <v>0</v>
      </c>
      <c r="AA758" s="175"/>
      <c r="AB758" s="200"/>
      <c r="AC758" s="205">
        <v>2.1999999999999999E-2</v>
      </c>
      <c r="AD758" s="175">
        <v>8.6</v>
      </c>
      <c r="AE758" s="175">
        <v>0.28999999999999998</v>
      </c>
      <c r="AF758" s="170">
        <f t="shared" si="14"/>
        <v>2.4939999999999998</v>
      </c>
      <c r="AG758" s="175">
        <v>1.37</v>
      </c>
      <c r="AH758" s="334"/>
      <c r="AI758" s="188"/>
      <c r="AJ758" s="188"/>
      <c r="AK758" s="188"/>
      <c r="AL758" s="189"/>
      <c r="AM758" s="189"/>
      <c r="AN758" s="189"/>
      <c r="AO758" s="189"/>
      <c r="AP758" s="189"/>
      <c r="AQ758" s="189"/>
      <c r="AR758" s="189"/>
      <c r="AS758" s="189"/>
      <c r="AT758" s="189"/>
      <c r="AU758" s="190"/>
      <c r="AV758" s="190"/>
      <c r="AW758" s="190"/>
      <c r="AX758" s="190"/>
      <c r="AY758" s="190"/>
      <c r="AZ758" s="189"/>
      <c r="BA758" s="189"/>
      <c r="BB758" s="189"/>
      <c r="BC758" s="189"/>
      <c r="BD758" s="189"/>
      <c r="BE758" s="189"/>
      <c r="BF758" s="189"/>
      <c r="BG758" s="189"/>
      <c r="BH758" s="189"/>
      <c r="BI758" s="190"/>
      <c r="BJ758" s="190"/>
      <c r="BK758" s="190"/>
      <c r="BL758" s="190"/>
      <c r="BM758" s="190"/>
      <c r="BN758" s="190"/>
      <c r="BO758" s="190"/>
      <c r="BP758" s="190"/>
      <c r="BQ758" s="190"/>
      <c r="BR758" s="190"/>
      <c r="BS758" s="190"/>
      <c r="BT758" s="190"/>
      <c r="BU758" s="190"/>
      <c r="BV758" s="190"/>
      <c r="BW758" s="190"/>
      <c r="BX758" s="190"/>
      <c r="BY758" s="190"/>
      <c r="BZ758" s="190"/>
      <c r="CA758" s="189"/>
      <c r="CB758" s="15"/>
    </row>
    <row r="759" spans="1:80" ht="15" x14ac:dyDescent="0.25">
      <c r="A759" s="167"/>
      <c r="B759" s="642"/>
      <c r="C759" s="642"/>
      <c r="D759" s="179"/>
      <c r="E759" s="169"/>
      <c r="F759" s="169"/>
      <c r="G759" s="187"/>
      <c r="H759" s="187"/>
      <c r="I759" s="187"/>
      <c r="J759" s="187"/>
      <c r="K759" s="187"/>
      <c r="L759" s="647"/>
      <c r="M759" s="646">
        <v>32682</v>
      </c>
      <c r="N759" s="585">
        <v>3.04</v>
      </c>
      <c r="O759" s="585">
        <v>2.2519999999999998E-2</v>
      </c>
      <c r="P759" s="175">
        <v>0</v>
      </c>
      <c r="Q759" s="175">
        <v>0</v>
      </c>
      <c r="R759" s="175">
        <v>9.2000000000000003E-4</v>
      </c>
      <c r="S759" s="175">
        <v>1.08E-3</v>
      </c>
      <c r="T759" s="175">
        <v>3.2200000000000002E-3</v>
      </c>
      <c r="U759" s="175">
        <v>4.7800000000000004E-3</v>
      </c>
      <c r="V759" s="706">
        <v>1.252E-2</v>
      </c>
      <c r="W759" s="717"/>
      <c r="X759" s="713"/>
      <c r="Y759" s="718"/>
      <c r="Z759" s="709">
        <v>0</v>
      </c>
      <c r="AA759" s="175"/>
      <c r="AB759" s="200"/>
      <c r="AC759" s="205">
        <v>1.6E-2</v>
      </c>
      <c r="AD759" s="175">
        <v>8.3000000000000007</v>
      </c>
      <c r="AE759" s="175">
        <v>0.32</v>
      </c>
      <c r="AF759" s="170">
        <f t="shared" si="14"/>
        <v>2.6560000000000001</v>
      </c>
      <c r="AG759" s="175">
        <v>1.1499999999999999</v>
      </c>
      <c r="AH759" s="334"/>
      <c r="AI759" s="188"/>
      <c r="AJ759" s="188"/>
      <c r="AK759" s="188"/>
      <c r="AL759" s="189"/>
      <c r="AM759" s="189"/>
      <c r="AN759" s="189"/>
      <c r="AO759" s="189"/>
      <c r="AP759" s="189"/>
      <c r="AQ759" s="189"/>
      <c r="AR759" s="189"/>
      <c r="AS759" s="189"/>
      <c r="AT759" s="189"/>
      <c r="AU759" s="190"/>
      <c r="AV759" s="190"/>
      <c r="AW759" s="190"/>
      <c r="AX759" s="190"/>
      <c r="AY759" s="190"/>
      <c r="AZ759" s="189"/>
      <c r="BA759" s="189"/>
      <c r="BB759" s="189"/>
      <c r="BC759" s="189"/>
      <c r="BD759" s="189"/>
      <c r="BE759" s="189"/>
      <c r="BF759" s="189"/>
      <c r="BG759" s="189"/>
      <c r="BH759" s="189"/>
      <c r="BI759" s="190"/>
      <c r="BJ759" s="190"/>
      <c r="BK759" s="190"/>
      <c r="BL759" s="190"/>
      <c r="BM759" s="190"/>
      <c r="BN759" s="190"/>
      <c r="BO759" s="190"/>
      <c r="BP759" s="190"/>
      <c r="BQ759" s="190"/>
      <c r="BR759" s="190"/>
      <c r="BS759" s="190"/>
      <c r="BT759" s="190"/>
      <c r="BU759" s="190"/>
      <c r="BV759" s="190"/>
      <c r="BW759" s="190"/>
      <c r="BX759" s="190"/>
      <c r="BY759" s="190"/>
      <c r="BZ759" s="190"/>
      <c r="CA759" s="189"/>
      <c r="CB759" s="15"/>
    </row>
    <row r="760" spans="1:80" ht="15" x14ac:dyDescent="0.25">
      <c r="A760" s="167"/>
      <c r="B760" s="642"/>
      <c r="C760" s="642"/>
      <c r="D760" s="179"/>
      <c r="E760" s="169"/>
      <c r="F760" s="169"/>
      <c r="G760" s="187"/>
      <c r="H760" s="187"/>
      <c r="I760" s="187"/>
      <c r="J760" s="187"/>
      <c r="K760" s="187"/>
      <c r="L760" s="647"/>
      <c r="M760" s="646">
        <v>32683</v>
      </c>
      <c r="N760" s="585">
        <v>2.86</v>
      </c>
      <c r="O760" s="585">
        <v>5.0799999999999998E-2</v>
      </c>
      <c r="P760" s="175">
        <v>0</v>
      </c>
      <c r="Q760" s="175">
        <v>5.3699999999999998E-3</v>
      </c>
      <c r="R760" s="175">
        <v>5.7299999999999999E-3</v>
      </c>
      <c r="S760" s="175">
        <v>1.102E-2</v>
      </c>
      <c r="T760" s="175">
        <v>9.4599999999999997E-3</v>
      </c>
      <c r="U760" s="175">
        <v>8.43E-3</v>
      </c>
      <c r="V760" s="706">
        <v>1.0789999999999999E-2</v>
      </c>
      <c r="W760" s="717"/>
      <c r="X760" s="713"/>
      <c r="Y760" s="718"/>
      <c r="Z760" s="709">
        <v>0</v>
      </c>
      <c r="AA760" s="175"/>
      <c r="AB760" s="200"/>
      <c r="AC760" s="205">
        <v>2.4E-2</v>
      </c>
      <c r="AD760" s="175">
        <v>8.1999999999999993</v>
      </c>
      <c r="AE760" s="175">
        <v>0.3</v>
      </c>
      <c r="AF760" s="170">
        <f t="shared" si="14"/>
        <v>2.4599999999999995</v>
      </c>
      <c r="AG760" s="175">
        <v>1.17</v>
      </c>
      <c r="AH760" s="334"/>
      <c r="AI760" s="188"/>
      <c r="AJ760" s="188"/>
      <c r="AK760" s="188"/>
      <c r="AL760" s="189"/>
      <c r="AM760" s="189"/>
      <c r="AN760" s="189"/>
      <c r="AO760" s="189"/>
      <c r="AP760" s="189"/>
      <c r="AQ760" s="189"/>
      <c r="AR760" s="189"/>
      <c r="AS760" s="189"/>
      <c r="AT760" s="189"/>
      <c r="AU760" s="190"/>
      <c r="AV760" s="190"/>
      <c r="AW760" s="190"/>
      <c r="AX760" s="190"/>
      <c r="AY760" s="190"/>
      <c r="AZ760" s="189"/>
      <c r="BA760" s="189"/>
      <c r="BB760" s="189"/>
      <c r="BC760" s="189"/>
      <c r="BD760" s="189"/>
      <c r="BE760" s="189"/>
      <c r="BF760" s="189"/>
      <c r="BG760" s="189"/>
      <c r="BH760" s="189"/>
      <c r="BI760" s="190"/>
      <c r="BJ760" s="190"/>
      <c r="BK760" s="190"/>
      <c r="BL760" s="190"/>
      <c r="BM760" s="190"/>
      <c r="BN760" s="190"/>
      <c r="BO760" s="190"/>
      <c r="BP760" s="190"/>
      <c r="BQ760" s="190"/>
      <c r="BR760" s="190"/>
      <c r="BS760" s="190"/>
      <c r="BT760" s="190"/>
      <c r="BU760" s="190"/>
      <c r="BV760" s="190"/>
      <c r="BW760" s="190"/>
      <c r="BX760" s="190"/>
      <c r="BY760" s="190"/>
      <c r="BZ760" s="190"/>
      <c r="CA760" s="189"/>
      <c r="CB760" s="15"/>
    </row>
    <row r="761" spans="1:80" ht="15" x14ac:dyDescent="0.25">
      <c r="A761" s="167"/>
      <c r="B761" s="642"/>
      <c r="C761" s="642"/>
      <c r="D761" s="179"/>
      <c r="E761" s="169"/>
      <c r="F761" s="169"/>
      <c r="G761" s="187"/>
      <c r="H761" s="187"/>
      <c r="I761" s="187"/>
      <c r="J761" s="187"/>
      <c r="K761" s="187"/>
      <c r="L761" s="647"/>
      <c r="M761" s="646">
        <v>32689</v>
      </c>
      <c r="N761" s="585">
        <v>4.0999999999999996</v>
      </c>
      <c r="O761" s="585">
        <v>6.6540000000000002E-2</v>
      </c>
      <c r="P761" s="175">
        <v>0</v>
      </c>
      <c r="Q761" s="175">
        <v>0</v>
      </c>
      <c r="R761" s="175">
        <v>8.0300000000000007E-3</v>
      </c>
      <c r="S761" s="175">
        <v>6.4099999999999999E-3</v>
      </c>
      <c r="T761" s="175">
        <v>1.112E-2</v>
      </c>
      <c r="U761" s="175">
        <v>1.4840000000000001E-2</v>
      </c>
      <c r="V761" s="706">
        <v>2.614E-2</v>
      </c>
      <c r="W761" s="717"/>
      <c r="X761" s="713"/>
      <c r="Y761" s="718"/>
      <c r="Z761" s="709">
        <v>0</v>
      </c>
      <c r="AA761" s="175"/>
      <c r="AB761" s="200"/>
      <c r="AC761" s="205">
        <v>2.1999999999999999E-2</v>
      </c>
      <c r="AD761" s="175">
        <v>8.35</v>
      </c>
      <c r="AE761" s="175">
        <v>0.34</v>
      </c>
      <c r="AF761" s="170">
        <f t="shared" si="14"/>
        <v>2.839</v>
      </c>
      <c r="AG761" s="175">
        <v>1.46</v>
      </c>
      <c r="AH761" s="334"/>
      <c r="AI761" s="188"/>
      <c r="AJ761" s="188"/>
      <c r="AK761" s="188"/>
      <c r="AL761" s="189"/>
      <c r="AM761" s="189"/>
      <c r="AN761" s="189"/>
      <c r="AO761" s="189"/>
      <c r="AP761" s="189"/>
      <c r="AQ761" s="189"/>
      <c r="AR761" s="189"/>
      <c r="AS761" s="189"/>
      <c r="AT761" s="189"/>
      <c r="AU761" s="190"/>
      <c r="AV761" s="190"/>
      <c r="AW761" s="190"/>
      <c r="AX761" s="190"/>
      <c r="AY761" s="190"/>
      <c r="AZ761" s="189"/>
      <c r="BA761" s="189"/>
      <c r="BB761" s="189"/>
      <c r="BC761" s="189"/>
      <c r="BD761" s="189"/>
      <c r="BE761" s="189"/>
      <c r="BF761" s="189"/>
      <c r="BG761" s="189"/>
      <c r="BH761" s="189"/>
      <c r="BI761" s="190"/>
      <c r="BJ761" s="190"/>
      <c r="BK761" s="190"/>
      <c r="BL761" s="190"/>
      <c r="BM761" s="190"/>
      <c r="BN761" s="190"/>
      <c r="BO761" s="190"/>
      <c r="BP761" s="190"/>
      <c r="BQ761" s="190"/>
      <c r="BR761" s="190"/>
      <c r="BS761" s="190"/>
      <c r="BT761" s="190"/>
      <c r="BU761" s="190"/>
      <c r="BV761" s="190"/>
      <c r="BW761" s="190"/>
      <c r="BX761" s="190"/>
      <c r="BY761" s="190"/>
      <c r="BZ761" s="190"/>
      <c r="CA761" s="189"/>
      <c r="CB761" s="15"/>
    </row>
    <row r="762" spans="1:80" ht="15" x14ac:dyDescent="0.25">
      <c r="A762" s="167"/>
      <c r="B762" s="642"/>
      <c r="C762" s="642"/>
      <c r="D762" s="179"/>
      <c r="E762" s="169"/>
      <c r="F762" s="169"/>
      <c r="G762" s="187"/>
      <c r="H762" s="187"/>
      <c r="I762" s="187"/>
      <c r="J762" s="187"/>
      <c r="K762" s="187"/>
      <c r="L762" s="647"/>
      <c r="M762" s="646">
        <v>32691</v>
      </c>
      <c r="N762" s="585">
        <v>3.46</v>
      </c>
      <c r="O762" s="585">
        <v>2.2880000000000001E-2</v>
      </c>
      <c r="P762" s="175">
        <v>0</v>
      </c>
      <c r="Q762" s="175">
        <v>0</v>
      </c>
      <c r="R762" s="175">
        <v>0</v>
      </c>
      <c r="S762" s="175">
        <v>7.5000000000000002E-4</v>
      </c>
      <c r="T762" s="175">
        <v>2.2300000000000002E-3</v>
      </c>
      <c r="U762" s="175">
        <v>4.7000000000000002E-3</v>
      </c>
      <c r="V762" s="706">
        <v>1.52E-2</v>
      </c>
      <c r="W762" s="717"/>
      <c r="X762" s="713"/>
      <c r="Y762" s="718"/>
      <c r="Z762" s="709">
        <v>0</v>
      </c>
      <c r="AA762" s="175"/>
      <c r="AB762" s="200"/>
      <c r="AC762" s="205">
        <v>1.9E-2</v>
      </c>
      <c r="AD762" s="175">
        <v>8.5</v>
      </c>
      <c r="AE762" s="175">
        <v>0.31</v>
      </c>
      <c r="AF762" s="170">
        <f t="shared" si="14"/>
        <v>2.6349999999999998</v>
      </c>
      <c r="AG762" s="175">
        <v>1.31</v>
      </c>
      <c r="AH762" s="334"/>
      <c r="AI762" s="188"/>
      <c r="AJ762" s="188"/>
      <c r="AK762" s="188"/>
      <c r="AL762" s="189"/>
      <c r="AM762" s="189"/>
      <c r="AN762" s="189"/>
      <c r="AO762" s="189"/>
      <c r="AP762" s="189"/>
      <c r="AQ762" s="189"/>
      <c r="AR762" s="189"/>
      <c r="AS762" s="189"/>
      <c r="AT762" s="189"/>
      <c r="AU762" s="190"/>
      <c r="AV762" s="190"/>
      <c r="AW762" s="190"/>
      <c r="AX762" s="190"/>
      <c r="AY762" s="190"/>
      <c r="AZ762" s="189"/>
      <c r="BA762" s="189"/>
      <c r="BB762" s="189"/>
      <c r="BC762" s="189"/>
      <c r="BD762" s="189"/>
      <c r="BE762" s="189"/>
      <c r="BF762" s="189"/>
      <c r="BG762" s="189"/>
      <c r="BH762" s="189"/>
      <c r="BI762" s="190"/>
      <c r="BJ762" s="190"/>
      <c r="BK762" s="190"/>
      <c r="BL762" s="190"/>
      <c r="BM762" s="190"/>
      <c r="BN762" s="190"/>
      <c r="BO762" s="190"/>
      <c r="BP762" s="190"/>
      <c r="BQ762" s="190"/>
      <c r="BR762" s="190"/>
      <c r="BS762" s="190"/>
      <c r="BT762" s="190"/>
      <c r="BU762" s="190"/>
      <c r="BV762" s="190"/>
      <c r="BW762" s="190"/>
      <c r="BX762" s="190"/>
      <c r="BY762" s="190"/>
      <c r="BZ762" s="190"/>
      <c r="CA762" s="189"/>
      <c r="CB762" s="15"/>
    </row>
    <row r="763" spans="1:80" ht="15" x14ac:dyDescent="0.25">
      <c r="A763" s="167"/>
      <c r="B763" s="642"/>
      <c r="C763" s="642"/>
      <c r="D763" s="179"/>
      <c r="E763" s="169"/>
      <c r="F763" s="169"/>
      <c r="G763" s="187"/>
      <c r="H763" s="187"/>
      <c r="I763" s="187"/>
      <c r="J763" s="187"/>
      <c r="K763" s="187"/>
      <c r="L763" s="647"/>
      <c r="M763" s="646">
        <v>32695</v>
      </c>
      <c r="N763" s="585">
        <v>2.59</v>
      </c>
      <c r="O763" s="585">
        <v>3.6150000000000002E-2</v>
      </c>
      <c r="P763" s="175">
        <v>0</v>
      </c>
      <c r="Q763" s="175">
        <v>0</v>
      </c>
      <c r="R763" s="175">
        <v>7.9000000000000001E-4</v>
      </c>
      <c r="S763" s="175">
        <v>3.16E-3</v>
      </c>
      <c r="T763" s="175">
        <v>4.8500000000000001E-3</v>
      </c>
      <c r="U763" s="175">
        <v>8.2400000000000008E-3</v>
      </c>
      <c r="V763" s="706">
        <v>1.9109999999999999E-2</v>
      </c>
      <c r="W763" s="717"/>
      <c r="X763" s="713"/>
      <c r="Y763" s="718"/>
      <c r="Z763" s="709">
        <v>0</v>
      </c>
      <c r="AA763" s="175"/>
      <c r="AB763" s="200"/>
      <c r="AC763" s="205">
        <v>0.02</v>
      </c>
      <c r="AD763" s="175">
        <v>8</v>
      </c>
      <c r="AE763" s="175">
        <v>0.28000000000000003</v>
      </c>
      <c r="AF763" s="170">
        <f t="shared" si="14"/>
        <v>2.2400000000000002</v>
      </c>
      <c r="AG763" s="175">
        <v>1.1399999999999999</v>
      </c>
      <c r="AH763" s="334"/>
      <c r="AI763" s="188"/>
      <c r="AJ763" s="188"/>
      <c r="AK763" s="188"/>
      <c r="AL763" s="189"/>
      <c r="AM763" s="189"/>
      <c r="AN763" s="189"/>
      <c r="AO763" s="189"/>
      <c r="AP763" s="189"/>
      <c r="AQ763" s="189"/>
      <c r="AR763" s="189"/>
      <c r="AS763" s="189"/>
      <c r="AT763" s="189"/>
      <c r="AU763" s="190"/>
      <c r="AV763" s="190"/>
      <c r="AW763" s="190"/>
      <c r="AX763" s="190"/>
      <c r="AY763" s="190"/>
      <c r="AZ763" s="189"/>
      <c r="BA763" s="189"/>
      <c r="BB763" s="189"/>
      <c r="BC763" s="189"/>
      <c r="BD763" s="189"/>
      <c r="BE763" s="189"/>
      <c r="BF763" s="189"/>
      <c r="BG763" s="189"/>
      <c r="BH763" s="189"/>
      <c r="BI763" s="190"/>
      <c r="BJ763" s="190"/>
      <c r="BK763" s="190"/>
      <c r="BL763" s="190"/>
      <c r="BM763" s="190"/>
      <c r="BN763" s="190"/>
      <c r="BO763" s="190"/>
      <c r="BP763" s="190"/>
      <c r="BQ763" s="190"/>
      <c r="BR763" s="190"/>
      <c r="BS763" s="190"/>
      <c r="BT763" s="190"/>
      <c r="BU763" s="190"/>
      <c r="BV763" s="190"/>
      <c r="BW763" s="190"/>
      <c r="BX763" s="190"/>
      <c r="BY763" s="190"/>
      <c r="BZ763" s="190"/>
      <c r="CA763" s="189"/>
      <c r="CB763" s="15"/>
    </row>
    <row r="764" spans="1:80" ht="15" x14ac:dyDescent="0.25">
      <c r="A764" s="167"/>
      <c r="B764" s="642"/>
      <c r="C764" s="642"/>
      <c r="D764" s="179"/>
      <c r="E764" s="169"/>
      <c r="F764" s="169"/>
      <c r="G764" s="187"/>
      <c r="H764" s="187"/>
      <c r="I764" s="187"/>
      <c r="J764" s="187"/>
      <c r="K764" s="187"/>
      <c r="L764" s="647"/>
      <c r="M764" s="646">
        <v>32696</v>
      </c>
      <c r="N764" s="585">
        <v>2.06</v>
      </c>
      <c r="O764" s="585">
        <v>2.479E-2</v>
      </c>
      <c r="P764" s="175">
        <v>0</v>
      </c>
      <c r="Q764" s="175">
        <v>0</v>
      </c>
      <c r="R764" s="175">
        <v>0</v>
      </c>
      <c r="S764" s="175">
        <v>2.5899999999999999E-3</v>
      </c>
      <c r="T764" s="175">
        <v>4.64E-3</v>
      </c>
      <c r="U764" s="175">
        <v>6.7200000000000003E-3</v>
      </c>
      <c r="V764" s="706">
        <v>1.0840000000000001E-2</v>
      </c>
      <c r="W764" s="717"/>
      <c r="X764" s="713"/>
      <c r="Y764" s="718"/>
      <c r="Z764" s="709">
        <v>0</v>
      </c>
      <c r="AA764" s="175"/>
      <c r="AB764" s="200"/>
      <c r="AC764" s="205">
        <v>0.02</v>
      </c>
      <c r="AD764" s="175">
        <v>8.0500000000000007</v>
      </c>
      <c r="AE764" s="175">
        <v>0.25</v>
      </c>
      <c r="AF764" s="170">
        <f t="shared" si="14"/>
        <v>2.0125000000000002</v>
      </c>
      <c r="AG764" s="175">
        <v>1.01</v>
      </c>
      <c r="AH764" s="334"/>
      <c r="AI764" s="188"/>
      <c r="AJ764" s="188"/>
      <c r="AK764" s="188"/>
      <c r="AL764" s="189"/>
      <c r="AM764" s="189"/>
      <c r="AN764" s="189"/>
      <c r="AO764" s="189"/>
      <c r="AP764" s="189"/>
      <c r="AQ764" s="189"/>
      <c r="AR764" s="189"/>
      <c r="AS764" s="189"/>
      <c r="AT764" s="189"/>
      <c r="AU764" s="190"/>
      <c r="AV764" s="190"/>
      <c r="AW764" s="190"/>
      <c r="AX764" s="190"/>
      <c r="AY764" s="190"/>
      <c r="AZ764" s="189"/>
      <c r="BA764" s="189"/>
      <c r="BB764" s="189"/>
      <c r="BC764" s="189"/>
      <c r="BD764" s="189"/>
      <c r="BE764" s="189"/>
      <c r="BF764" s="189"/>
      <c r="BG764" s="189"/>
      <c r="BH764" s="189"/>
      <c r="BI764" s="190"/>
      <c r="BJ764" s="190"/>
      <c r="BK764" s="190"/>
      <c r="BL764" s="190"/>
      <c r="BM764" s="190"/>
      <c r="BN764" s="190"/>
      <c r="BO764" s="190"/>
      <c r="BP764" s="190"/>
      <c r="BQ764" s="190"/>
      <c r="BR764" s="190"/>
      <c r="BS764" s="190"/>
      <c r="BT764" s="190"/>
      <c r="BU764" s="190"/>
      <c r="BV764" s="190"/>
      <c r="BW764" s="190"/>
      <c r="BX764" s="190"/>
      <c r="BY764" s="190"/>
      <c r="BZ764" s="190"/>
      <c r="CA764" s="189"/>
      <c r="CB764" s="15"/>
    </row>
    <row r="765" spans="1:80" ht="15" x14ac:dyDescent="0.25">
      <c r="A765" s="167"/>
      <c r="B765" s="642"/>
      <c r="C765" s="642"/>
      <c r="D765" s="179"/>
      <c r="E765" s="169"/>
      <c r="F765" s="169"/>
      <c r="G765" s="187"/>
      <c r="H765" s="187"/>
      <c r="I765" s="187"/>
      <c r="J765" s="187"/>
      <c r="K765" s="187"/>
      <c r="L765" s="647"/>
      <c r="M765" s="646">
        <v>32697</v>
      </c>
      <c r="N765" s="585">
        <v>2.4700000000000002</v>
      </c>
      <c r="O765" s="585">
        <v>1.83E-2</v>
      </c>
      <c r="P765" s="175">
        <v>0</v>
      </c>
      <c r="Q765" s="175">
        <v>0</v>
      </c>
      <c r="R765" s="175">
        <v>0</v>
      </c>
      <c r="S765" s="175">
        <v>5.9999999999999995E-4</v>
      </c>
      <c r="T765" s="175">
        <v>1.6199999999999999E-3</v>
      </c>
      <c r="U765" s="175">
        <v>4.5799999999999999E-3</v>
      </c>
      <c r="V765" s="706">
        <v>1.15E-2</v>
      </c>
      <c r="W765" s="717"/>
      <c r="X765" s="713"/>
      <c r="Y765" s="718"/>
      <c r="Z765" s="709">
        <v>0</v>
      </c>
      <c r="AA765" s="175"/>
      <c r="AB765" s="200"/>
      <c r="AC765" s="205">
        <v>1.7000000000000001E-2</v>
      </c>
      <c r="AD765" s="175">
        <v>8</v>
      </c>
      <c r="AE765" s="175">
        <v>0.28999999999999998</v>
      </c>
      <c r="AF765" s="170">
        <f t="shared" si="14"/>
        <v>2.3199999999999998</v>
      </c>
      <c r="AG765" s="175">
        <v>1.07</v>
      </c>
      <c r="AH765" s="334"/>
      <c r="AI765" s="188"/>
      <c r="AJ765" s="188"/>
      <c r="AK765" s="188"/>
      <c r="AL765" s="189"/>
      <c r="AM765" s="189"/>
      <c r="AN765" s="189"/>
      <c r="AO765" s="189"/>
      <c r="AP765" s="189"/>
      <c r="AQ765" s="189"/>
      <c r="AR765" s="189"/>
      <c r="AS765" s="189"/>
      <c r="AT765" s="189"/>
      <c r="AU765" s="190"/>
      <c r="AV765" s="190"/>
      <c r="AW765" s="190"/>
      <c r="AX765" s="190"/>
      <c r="AY765" s="190"/>
      <c r="AZ765" s="189"/>
      <c r="BA765" s="189"/>
      <c r="BB765" s="189"/>
      <c r="BC765" s="189"/>
      <c r="BD765" s="189"/>
      <c r="BE765" s="189"/>
      <c r="BF765" s="189"/>
      <c r="BG765" s="189"/>
      <c r="BH765" s="189"/>
      <c r="BI765" s="190"/>
      <c r="BJ765" s="190"/>
      <c r="BK765" s="190"/>
      <c r="BL765" s="190"/>
      <c r="BM765" s="190"/>
      <c r="BN765" s="190"/>
      <c r="BO765" s="190"/>
      <c r="BP765" s="190"/>
      <c r="BQ765" s="190"/>
      <c r="BR765" s="190"/>
      <c r="BS765" s="190"/>
      <c r="BT765" s="190"/>
      <c r="BU765" s="190"/>
      <c r="BV765" s="190"/>
      <c r="BW765" s="190"/>
      <c r="BX765" s="190"/>
      <c r="BY765" s="190"/>
      <c r="BZ765" s="190"/>
      <c r="CA765" s="189"/>
      <c r="CB765" s="15"/>
    </row>
    <row r="766" spans="1:80" ht="15" x14ac:dyDescent="0.25">
      <c r="A766" s="167"/>
      <c r="B766" s="642"/>
      <c r="C766" s="642"/>
      <c r="D766" s="179"/>
      <c r="E766" s="169"/>
      <c r="F766" s="169"/>
      <c r="G766" s="187"/>
      <c r="H766" s="187"/>
      <c r="I766" s="187"/>
      <c r="J766" s="187"/>
      <c r="K766" s="187"/>
      <c r="L766" s="647"/>
      <c r="M766" s="646">
        <v>32699</v>
      </c>
      <c r="N766" s="585">
        <v>2.66</v>
      </c>
      <c r="O766" s="585">
        <v>2.6579999999999999E-2</v>
      </c>
      <c r="P766" s="175">
        <v>0</v>
      </c>
      <c r="Q766" s="175">
        <v>0</v>
      </c>
      <c r="R766" s="175">
        <v>0</v>
      </c>
      <c r="S766" s="175">
        <v>8.4999999999999995E-4</v>
      </c>
      <c r="T766" s="175">
        <v>6.0800000000000003E-3</v>
      </c>
      <c r="U766" s="175">
        <v>7.5700000000000003E-3</v>
      </c>
      <c r="V766" s="706">
        <v>1.2070000000000001E-2</v>
      </c>
      <c r="W766" s="717"/>
      <c r="X766" s="713"/>
      <c r="Y766" s="718"/>
      <c r="Z766" s="709">
        <v>0</v>
      </c>
      <c r="AA766" s="175"/>
      <c r="AB766" s="200"/>
      <c r="AC766" s="205">
        <v>1.7000000000000001E-2</v>
      </c>
      <c r="AD766" s="175">
        <v>8</v>
      </c>
      <c r="AE766" s="175">
        <v>0.31</v>
      </c>
      <c r="AF766" s="170">
        <f t="shared" si="14"/>
        <v>2.48</v>
      </c>
      <c r="AG766" s="175">
        <v>1.07</v>
      </c>
      <c r="AH766" s="334"/>
      <c r="AI766" s="188"/>
      <c r="AJ766" s="188"/>
      <c r="AK766" s="188"/>
      <c r="AL766" s="189"/>
      <c r="AM766" s="189"/>
      <c r="AN766" s="189"/>
      <c r="AO766" s="189"/>
      <c r="AP766" s="189"/>
      <c r="AQ766" s="189"/>
      <c r="AR766" s="189"/>
      <c r="AS766" s="189"/>
      <c r="AT766" s="189"/>
      <c r="AU766" s="190"/>
      <c r="AV766" s="190"/>
      <c r="AW766" s="190"/>
      <c r="AX766" s="190"/>
      <c r="AY766" s="190"/>
      <c r="AZ766" s="189"/>
      <c r="BA766" s="189"/>
      <c r="BB766" s="189"/>
      <c r="BC766" s="189"/>
      <c r="BD766" s="189"/>
      <c r="BE766" s="189"/>
      <c r="BF766" s="189"/>
      <c r="BG766" s="189"/>
      <c r="BH766" s="189"/>
      <c r="BI766" s="190"/>
      <c r="BJ766" s="190"/>
      <c r="BK766" s="190"/>
      <c r="BL766" s="190"/>
      <c r="BM766" s="190"/>
      <c r="BN766" s="190"/>
      <c r="BO766" s="190"/>
      <c r="BP766" s="190"/>
      <c r="BQ766" s="190"/>
      <c r="BR766" s="190"/>
      <c r="BS766" s="190"/>
      <c r="BT766" s="190"/>
      <c r="BU766" s="190"/>
      <c r="BV766" s="190"/>
      <c r="BW766" s="190"/>
      <c r="BX766" s="190"/>
      <c r="BY766" s="190"/>
      <c r="BZ766" s="190"/>
      <c r="CA766" s="189"/>
      <c r="CB766" s="15"/>
    </row>
    <row r="767" spans="1:80" ht="15" x14ac:dyDescent="0.25">
      <c r="A767" s="167"/>
      <c r="B767" s="642"/>
      <c r="C767" s="642"/>
      <c r="D767" s="179"/>
      <c r="E767" s="169"/>
      <c r="F767" s="169"/>
      <c r="G767" s="187"/>
      <c r="H767" s="187"/>
      <c r="I767" s="187"/>
      <c r="J767" s="187"/>
      <c r="K767" s="187"/>
      <c r="L767" s="647"/>
      <c r="M767" s="646">
        <v>32702</v>
      </c>
      <c r="N767" s="585">
        <v>2.02</v>
      </c>
      <c r="O767" s="585">
        <v>3.2230000000000002E-2</v>
      </c>
      <c r="P767" s="175">
        <v>0</v>
      </c>
      <c r="Q767" s="175">
        <v>0</v>
      </c>
      <c r="R767" s="175">
        <v>0</v>
      </c>
      <c r="S767" s="175">
        <v>3.29E-3</v>
      </c>
      <c r="T767" s="175">
        <v>6.6299999999999996E-3</v>
      </c>
      <c r="U767" s="175">
        <v>8.43E-3</v>
      </c>
      <c r="V767" s="706">
        <v>1.388E-2</v>
      </c>
      <c r="W767" s="717"/>
      <c r="X767" s="713"/>
      <c r="Y767" s="718"/>
      <c r="Z767" s="709">
        <v>0</v>
      </c>
      <c r="AA767" s="175"/>
      <c r="AB767" s="200"/>
      <c r="AC767" s="205">
        <v>0.02</v>
      </c>
      <c r="AD767" s="175">
        <v>8</v>
      </c>
      <c r="AE767" s="175">
        <v>0.25</v>
      </c>
      <c r="AF767" s="170">
        <f t="shared" si="14"/>
        <v>2</v>
      </c>
      <c r="AG767" s="175">
        <v>1</v>
      </c>
      <c r="AH767" s="334"/>
      <c r="AI767" s="188"/>
      <c r="AJ767" s="188"/>
      <c r="AK767" s="188"/>
      <c r="AL767" s="189"/>
      <c r="AM767" s="189"/>
      <c r="AN767" s="189"/>
      <c r="AO767" s="189"/>
      <c r="AP767" s="189"/>
      <c r="AQ767" s="189"/>
      <c r="AR767" s="189"/>
      <c r="AS767" s="189"/>
      <c r="AT767" s="189"/>
      <c r="AU767" s="190"/>
      <c r="AV767" s="190"/>
      <c r="AW767" s="190"/>
      <c r="AX767" s="190"/>
      <c r="AY767" s="190"/>
      <c r="AZ767" s="189"/>
      <c r="BA767" s="189"/>
      <c r="BB767" s="189"/>
      <c r="BC767" s="189"/>
      <c r="BD767" s="189"/>
      <c r="BE767" s="189"/>
      <c r="BF767" s="189"/>
      <c r="BG767" s="189"/>
      <c r="BH767" s="189"/>
      <c r="BI767" s="190"/>
      <c r="BJ767" s="190"/>
      <c r="BK767" s="190"/>
      <c r="BL767" s="190"/>
      <c r="BM767" s="190"/>
      <c r="BN767" s="190"/>
      <c r="BO767" s="190"/>
      <c r="BP767" s="190"/>
      <c r="BQ767" s="190"/>
      <c r="BR767" s="190"/>
      <c r="BS767" s="190"/>
      <c r="BT767" s="190"/>
      <c r="BU767" s="190"/>
      <c r="BV767" s="190"/>
      <c r="BW767" s="190"/>
      <c r="BX767" s="190"/>
      <c r="BY767" s="190"/>
      <c r="BZ767" s="190"/>
      <c r="CA767" s="189"/>
      <c r="CB767" s="15"/>
    </row>
    <row r="768" spans="1:80" ht="15" x14ac:dyDescent="0.25">
      <c r="A768" s="167"/>
      <c r="B768" s="642"/>
      <c r="C768" s="642"/>
      <c r="D768" s="179"/>
      <c r="E768" s="169"/>
      <c r="F768" s="169"/>
      <c r="G768" s="187"/>
      <c r="H768" s="187"/>
      <c r="I768" s="187"/>
      <c r="J768" s="187"/>
      <c r="K768" s="187"/>
      <c r="L768" s="647"/>
      <c r="M768" s="646">
        <v>32704</v>
      </c>
      <c r="N768" s="585">
        <v>1.82</v>
      </c>
      <c r="O768" s="585">
        <v>2.0240000000000001E-2</v>
      </c>
      <c r="P768" s="175">
        <v>0</v>
      </c>
      <c r="Q768" s="175">
        <v>0</v>
      </c>
      <c r="R768" s="175">
        <v>1.4E-3</v>
      </c>
      <c r="S768" s="175">
        <v>2.4499999999999999E-3</v>
      </c>
      <c r="T768" s="175">
        <v>4.1799999999999997E-3</v>
      </c>
      <c r="U768" s="175">
        <v>4.0000000000000001E-3</v>
      </c>
      <c r="V768" s="706">
        <v>8.2199999999999999E-3</v>
      </c>
      <c r="W768" s="717"/>
      <c r="X768" s="713"/>
      <c r="Y768" s="718"/>
      <c r="Z768" s="709">
        <v>0</v>
      </c>
      <c r="AA768" s="175"/>
      <c r="AB768" s="200"/>
      <c r="AC768" s="205">
        <v>1.7000000000000001E-2</v>
      </c>
      <c r="AD768" s="175">
        <v>7.8</v>
      </c>
      <c r="AE768" s="175">
        <v>0.25</v>
      </c>
      <c r="AF768" s="170">
        <f t="shared" si="14"/>
        <v>1.95</v>
      </c>
      <c r="AG768" s="175">
        <v>0.93</v>
      </c>
      <c r="AH768" s="334"/>
      <c r="AI768" s="188"/>
      <c r="AJ768" s="188"/>
      <c r="AK768" s="188"/>
      <c r="AL768" s="189"/>
      <c r="AM768" s="189"/>
      <c r="AN768" s="189"/>
      <c r="AO768" s="189"/>
      <c r="AP768" s="189"/>
      <c r="AQ768" s="189"/>
      <c r="AR768" s="189"/>
      <c r="AS768" s="189"/>
      <c r="AT768" s="189"/>
      <c r="AU768" s="190"/>
      <c r="AV768" s="190"/>
      <c r="AW768" s="190"/>
      <c r="AX768" s="190"/>
      <c r="AY768" s="190"/>
      <c r="AZ768" s="189"/>
      <c r="BA768" s="189"/>
      <c r="BB768" s="189"/>
      <c r="BC768" s="189"/>
      <c r="BD768" s="189"/>
      <c r="BE768" s="189"/>
      <c r="BF768" s="189"/>
      <c r="BG768" s="189"/>
      <c r="BH768" s="189"/>
      <c r="BI768" s="190"/>
      <c r="BJ768" s="190"/>
      <c r="BK768" s="190"/>
      <c r="BL768" s="190"/>
      <c r="BM768" s="190"/>
      <c r="BN768" s="190"/>
      <c r="BO768" s="190"/>
      <c r="BP768" s="190"/>
      <c r="BQ768" s="190"/>
      <c r="BR768" s="190"/>
      <c r="BS768" s="190"/>
      <c r="BT768" s="190"/>
      <c r="BU768" s="190"/>
      <c r="BV768" s="190"/>
      <c r="BW768" s="190"/>
      <c r="BX768" s="190"/>
      <c r="BY768" s="190"/>
      <c r="BZ768" s="190"/>
      <c r="CA768" s="189"/>
      <c r="CB768" s="15"/>
    </row>
    <row r="769" spans="1:80" ht="15" x14ac:dyDescent="0.25">
      <c r="A769" s="167"/>
      <c r="B769" s="642"/>
      <c r="C769" s="642"/>
      <c r="D769" s="179"/>
      <c r="E769" s="169"/>
      <c r="F769" s="169"/>
      <c r="G769" s="187"/>
      <c r="H769" s="187"/>
      <c r="I769" s="187"/>
      <c r="J769" s="187"/>
      <c r="K769" s="187"/>
      <c r="L769" s="647"/>
      <c r="M769" s="646">
        <v>32709</v>
      </c>
      <c r="N769" s="585">
        <v>1.49</v>
      </c>
      <c r="O769" s="585">
        <v>3.3700000000000002E-3</v>
      </c>
      <c r="P769" s="175">
        <v>0</v>
      </c>
      <c r="Q769" s="175">
        <v>0</v>
      </c>
      <c r="R769" s="175">
        <v>0</v>
      </c>
      <c r="S769" s="175">
        <v>0</v>
      </c>
      <c r="T769" s="175">
        <v>1.6000000000000001E-4</v>
      </c>
      <c r="U769" s="175">
        <v>6.0999999999999997E-4</v>
      </c>
      <c r="V769" s="706">
        <v>2.5999999999999999E-3</v>
      </c>
      <c r="W769" s="717"/>
      <c r="X769" s="713"/>
      <c r="Y769" s="718"/>
      <c r="Z769" s="709">
        <v>0</v>
      </c>
      <c r="AA769" s="175"/>
      <c r="AB769" s="200"/>
      <c r="AC769" s="205">
        <v>0.02</v>
      </c>
      <c r="AD769" s="175">
        <v>7.2</v>
      </c>
      <c r="AE769" s="175">
        <v>0.24</v>
      </c>
      <c r="AF769" s="170">
        <f t="shared" si="14"/>
        <v>1.728</v>
      </c>
      <c r="AG769" s="175">
        <v>0.85</v>
      </c>
      <c r="AH769" s="334"/>
      <c r="AI769" s="188"/>
      <c r="AJ769" s="188"/>
      <c r="AK769" s="188"/>
      <c r="AL769" s="189"/>
      <c r="AM769" s="189"/>
      <c r="AN769" s="189"/>
      <c r="AO769" s="189"/>
      <c r="AP769" s="189"/>
      <c r="AQ769" s="189"/>
      <c r="AR769" s="189"/>
      <c r="AS769" s="189"/>
      <c r="AT769" s="189"/>
      <c r="AU769" s="190"/>
      <c r="AV769" s="190"/>
      <c r="AW769" s="190"/>
      <c r="AX769" s="190"/>
      <c r="AY769" s="190"/>
      <c r="AZ769" s="189"/>
      <c r="BA769" s="189"/>
      <c r="BB769" s="189"/>
      <c r="BC769" s="189"/>
      <c r="BD769" s="189"/>
      <c r="BE769" s="189"/>
      <c r="BF769" s="189"/>
      <c r="BG769" s="189"/>
      <c r="BH769" s="189"/>
      <c r="BI769" s="190"/>
      <c r="BJ769" s="190"/>
      <c r="BK769" s="190"/>
      <c r="BL769" s="190"/>
      <c r="BM769" s="190"/>
      <c r="BN769" s="190"/>
      <c r="BO769" s="190"/>
      <c r="BP769" s="190"/>
      <c r="BQ769" s="190"/>
      <c r="BR769" s="190"/>
      <c r="BS769" s="190"/>
      <c r="BT769" s="190"/>
      <c r="BU769" s="190"/>
      <c r="BV769" s="190"/>
      <c r="BW769" s="190"/>
      <c r="BX769" s="190"/>
      <c r="BY769" s="190"/>
      <c r="BZ769" s="190"/>
      <c r="CA769" s="189"/>
      <c r="CB769" s="15"/>
    </row>
    <row r="770" spans="1:80" ht="15" x14ac:dyDescent="0.25">
      <c r="A770" s="167"/>
      <c r="B770" s="642"/>
      <c r="C770" s="642"/>
      <c r="D770" s="179"/>
      <c r="E770" s="169"/>
      <c r="F770" s="169"/>
      <c r="G770" s="187"/>
      <c r="H770" s="187"/>
      <c r="I770" s="187"/>
      <c r="J770" s="187"/>
      <c r="K770" s="187"/>
      <c r="L770" s="647"/>
      <c r="M770" s="646">
        <v>32712</v>
      </c>
      <c r="N770" s="585">
        <v>1.4</v>
      </c>
      <c r="O770" s="585">
        <v>1.035E-2</v>
      </c>
      <c r="P770" s="175">
        <v>0</v>
      </c>
      <c r="Q770" s="175">
        <v>0</v>
      </c>
      <c r="R770" s="175">
        <v>0</v>
      </c>
      <c r="S770" s="175">
        <v>4.0000000000000002E-4</v>
      </c>
      <c r="T770" s="175">
        <v>1.64E-3</v>
      </c>
      <c r="U770" s="175">
        <v>2.81E-3</v>
      </c>
      <c r="V770" s="706">
        <v>5.4999999999999997E-3</v>
      </c>
      <c r="W770" s="717"/>
      <c r="X770" s="713"/>
      <c r="Y770" s="718"/>
      <c r="Z770" s="709">
        <v>0</v>
      </c>
      <c r="AA770" s="175"/>
      <c r="AB770" s="200"/>
      <c r="AC770" s="205">
        <v>1.7999999999999999E-2</v>
      </c>
      <c r="AD770" s="175">
        <v>7</v>
      </c>
      <c r="AE770" s="175">
        <v>0.27</v>
      </c>
      <c r="AF770" s="170">
        <f t="shared" si="14"/>
        <v>1.8900000000000001</v>
      </c>
      <c r="AG770" s="175">
        <v>0.75</v>
      </c>
      <c r="AH770" s="334"/>
      <c r="AI770" s="188"/>
      <c r="AJ770" s="188"/>
      <c r="AK770" s="188"/>
      <c r="AL770" s="189"/>
      <c r="AM770" s="189"/>
      <c r="AN770" s="189"/>
      <c r="AO770" s="189"/>
      <c r="AP770" s="189"/>
      <c r="AQ770" s="189"/>
      <c r="AR770" s="189"/>
      <c r="AS770" s="189"/>
      <c r="AT770" s="189"/>
      <c r="AU770" s="190"/>
      <c r="AV770" s="190"/>
      <c r="AW770" s="190"/>
      <c r="AX770" s="190"/>
      <c r="AY770" s="190"/>
      <c r="AZ770" s="189"/>
      <c r="BA770" s="189"/>
      <c r="BB770" s="189"/>
      <c r="BC770" s="189"/>
      <c r="BD770" s="189"/>
      <c r="BE770" s="189"/>
      <c r="BF770" s="189"/>
      <c r="BG770" s="189"/>
      <c r="BH770" s="189"/>
      <c r="BI770" s="190"/>
      <c r="BJ770" s="190"/>
      <c r="BK770" s="190"/>
      <c r="BL770" s="190"/>
      <c r="BM770" s="190"/>
      <c r="BN770" s="190"/>
      <c r="BO770" s="190"/>
      <c r="BP770" s="190"/>
      <c r="BQ770" s="190"/>
      <c r="BR770" s="190"/>
      <c r="BS770" s="190"/>
      <c r="BT770" s="190"/>
      <c r="BU770" s="190"/>
      <c r="BV770" s="190"/>
      <c r="BW770" s="190"/>
      <c r="BX770" s="190"/>
      <c r="BY770" s="190"/>
      <c r="BZ770" s="190"/>
      <c r="CA770" s="189"/>
      <c r="CB770" s="15"/>
    </row>
    <row r="771" spans="1:80" ht="15" x14ac:dyDescent="0.25">
      <c r="A771" s="167"/>
      <c r="B771" s="642"/>
      <c r="C771" s="642"/>
      <c r="D771" s="179"/>
      <c r="E771" s="169"/>
      <c r="F771" s="169"/>
      <c r="G771" s="187"/>
      <c r="H771" s="187"/>
      <c r="I771" s="187"/>
      <c r="J771" s="187"/>
      <c r="K771" s="187"/>
      <c r="L771" s="647"/>
      <c r="M771" s="646">
        <v>32716</v>
      </c>
      <c r="N771" s="585">
        <v>1.08</v>
      </c>
      <c r="O771" s="585">
        <v>5.7000000000000002E-3</v>
      </c>
      <c r="P771" s="175">
        <v>0</v>
      </c>
      <c r="Q771" s="175">
        <v>0</v>
      </c>
      <c r="R771" s="175">
        <v>0</v>
      </c>
      <c r="S771" s="175">
        <v>7.3999999999999999E-4</v>
      </c>
      <c r="T771" s="175">
        <v>4.0999999999999999E-4</v>
      </c>
      <c r="U771" s="175">
        <v>1.1000000000000001E-3</v>
      </c>
      <c r="V771" s="706">
        <v>3.4499999999999999E-3</v>
      </c>
      <c r="W771" s="717"/>
      <c r="X771" s="713"/>
      <c r="Y771" s="718"/>
      <c r="Z771" s="709">
        <v>0</v>
      </c>
      <c r="AA771" s="175"/>
      <c r="AB771" s="200"/>
      <c r="AC771" s="205">
        <v>1.2999999999999999E-2</v>
      </c>
      <c r="AD771" s="175">
        <v>6.8</v>
      </c>
      <c r="AE771" s="175">
        <v>0.22</v>
      </c>
      <c r="AF771" s="170">
        <f t="shared" si="14"/>
        <v>1.496</v>
      </c>
      <c r="AG771" s="175">
        <v>0.71</v>
      </c>
      <c r="AH771" s="334"/>
      <c r="AI771" s="188"/>
      <c r="AJ771" s="188"/>
      <c r="AK771" s="188"/>
      <c r="AL771" s="189"/>
      <c r="AM771" s="189"/>
      <c r="AN771" s="189"/>
      <c r="AO771" s="189"/>
      <c r="AP771" s="189"/>
      <c r="AQ771" s="189"/>
      <c r="AR771" s="189"/>
      <c r="AS771" s="189"/>
      <c r="AT771" s="189"/>
      <c r="AU771" s="190"/>
      <c r="AV771" s="190"/>
      <c r="AW771" s="190"/>
      <c r="AX771" s="190"/>
      <c r="AY771" s="190"/>
      <c r="AZ771" s="189"/>
      <c r="BA771" s="189"/>
      <c r="BB771" s="189"/>
      <c r="BC771" s="189"/>
      <c r="BD771" s="189"/>
      <c r="BE771" s="189"/>
      <c r="BF771" s="189"/>
      <c r="BG771" s="189"/>
      <c r="BH771" s="189"/>
      <c r="BI771" s="190"/>
      <c r="BJ771" s="190"/>
      <c r="BK771" s="190"/>
      <c r="BL771" s="190"/>
      <c r="BM771" s="190"/>
      <c r="BN771" s="190"/>
      <c r="BO771" s="190"/>
      <c r="BP771" s="190"/>
      <c r="BQ771" s="190"/>
      <c r="BR771" s="190"/>
      <c r="BS771" s="190"/>
      <c r="BT771" s="190"/>
      <c r="BU771" s="190"/>
      <c r="BV771" s="190"/>
      <c r="BW771" s="190"/>
      <c r="BX771" s="190"/>
      <c r="BY771" s="190"/>
      <c r="BZ771" s="190"/>
      <c r="CA771" s="189"/>
      <c r="CB771" s="15"/>
    </row>
    <row r="772" spans="1:80" ht="15" x14ac:dyDescent="0.25">
      <c r="A772" s="167"/>
      <c r="B772" s="642"/>
      <c r="C772" s="642"/>
      <c r="D772" s="179"/>
      <c r="E772" s="169"/>
      <c r="F772" s="169"/>
      <c r="G772" s="187"/>
      <c r="H772" s="187"/>
      <c r="I772" s="187"/>
      <c r="J772" s="187"/>
      <c r="K772" s="187"/>
      <c r="L772" s="647"/>
      <c r="M772" s="646">
        <v>32726</v>
      </c>
      <c r="N772" s="585">
        <v>0.87</v>
      </c>
      <c r="O772" s="585">
        <v>2.7599999999999999E-3</v>
      </c>
      <c r="P772" s="175">
        <v>0</v>
      </c>
      <c r="Q772" s="175">
        <v>0</v>
      </c>
      <c r="R772" s="175">
        <v>0</v>
      </c>
      <c r="S772" s="175">
        <v>0</v>
      </c>
      <c r="T772" s="175">
        <v>8.0000000000000007E-5</v>
      </c>
      <c r="U772" s="175">
        <v>5.1999999999999995E-4</v>
      </c>
      <c r="V772" s="706">
        <v>2.16E-3</v>
      </c>
      <c r="W772" s="717"/>
      <c r="X772" s="713"/>
      <c r="Y772" s="718"/>
      <c r="Z772" s="709">
        <v>0</v>
      </c>
      <c r="AA772" s="175"/>
      <c r="AB772" s="200"/>
      <c r="AC772" s="205">
        <v>1.7000000000000001E-2</v>
      </c>
      <c r="AD772" s="175">
        <v>6.55</v>
      </c>
      <c r="AE772" s="175">
        <v>0.2</v>
      </c>
      <c r="AF772" s="170">
        <f t="shared" si="14"/>
        <v>1.31</v>
      </c>
      <c r="AG772" s="175">
        <v>0.68</v>
      </c>
      <c r="AH772" s="334"/>
      <c r="AI772" s="188"/>
      <c r="AJ772" s="188"/>
      <c r="AK772" s="188"/>
      <c r="AL772" s="189"/>
      <c r="AM772" s="189"/>
      <c r="AN772" s="189"/>
      <c r="AO772" s="189"/>
      <c r="AP772" s="189"/>
      <c r="AQ772" s="189"/>
      <c r="AR772" s="189"/>
      <c r="AS772" s="189"/>
      <c r="AT772" s="189"/>
      <c r="AU772" s="190"/>
      <c r="AV772" s="190"/>
      <c r="AW772" s="190"/>
      <c r="AX772" s="190"/>
      <c r="AY772" s="190"/>
      <c r="AZ772" s="189"/>
      <c r="BA772" s="189"/>
      <c r="BB772" s="189"/>
      <c r="BC772" s="189"/>
      <c r="BD772" s="189"/>
      <c r="BE772" s="189"/>
      <c r="BF772" s="189"/>
      <c r="BG772" s="189"/>
      <c r="BH772" s="189"/>
      <c r="BI772" s="190"/>
      <c r="BJ772" s="190"/>
      <c r="BK772" s="190"/>
      <c r="BL772" s="190"/>
      <c r="BM772" s="190"/>
      <c r="BN772" s="190"/>
      <c r="BO772" s="190"/>
      <c r="BP772" s="190"/>
      <c r="BQ772" s="190"/>
      <c r="BR772" s="190"/>
      <c r="BS772" s="190"/>
      <c r="BT772" s="190"/>
      <c r="BU772" s="190"/>
      <c r="BV772" s="190"/>
      <c r="BW772" s="190"/>
      <c r="BX772" s="190"/>
      <c r="BY772" s="190"/>
      <c r="BZ772" s="190"/>
      <c r="CA772" s="189"/>
      <c r="CB772" s="15"/>
    </row>
    <row r="773" spans="1:80" ht="15" x14ac:dyDescent="0.25">
      <c r="A773" s="167"/>
      <c r="B773" s="642"/>
      <c r="C773" s="642"/>
      <c r="D773" s="179"/>
      <c r="E773" s="169"/>
      <c r="F773" s="169"/>
      <c r="G773" s="187"/>
      <c r="H773" s="187"/>
      <c r="I773" s="187"/>
      <c r="J773" s="187"/>
      <c r="K773" s="187"/>
      <c r="L773" s="647"/>
      <c r="M773" s="646">
        <v>33393</v>
      </c>
      <c r="N773" s="585">
        <v>1.1200000000000001</v>
      </c>
      <c r="O773" s="585">
        <v>1.98E-3</v>
      </c>
      <c r="P773" s="175">
        <v>0</v>
      </c>
      <c r="Q773" s="175">
        <v>0</v>
      </c>
      <c r="R773" s="175">
        <v>0</v>
      </c>
      <c r="S773" s="175">
        <v>0</v>
      </c>
      <c r="T773" s="175">
        <v>1.0000000000000001E-5</v>
      </c>
      <c r="U773" s="175">
        <v>8.0000000000000007E-5</v>
      </c>
      <c r="V773" s="706">
        <v>1.89E-3</v>
      </c>
      <c r="W773" s="717"/>
      <c r="X773" s="713"/>
      <c r="Y773" s="718"/>
      <c r="Z773" s="709">
        <v>5</v>
      </c>
      <c r="AA773" s="175"/>
      <c r="AB773" s="200"/>
      <c r="AC773" s="205">
        <v>1.4999999999999999E-2</v>
      </c>
      <c r="AD773" s="175">
        <v>6.8</v>
      </c>
      <c r="AE773" s="175">
        <v>0.23</v>
      </c>
      <c r="AF773" s="170">
        <f t="shared" si="14"/>
        <v>1.5640000000000001</v>
      </c>
      <c r="AG773" s="175">
        <v>0.73</v>
      </c>
      <c r="AH773" s="334"/>
      <c r="AI773" s="188"/>
      <c r="AJ773" s="188"/>
      <c r="AK773" s="188"/>
      <c r="AL773" s="189"/>
      <c r="AM773" s="189"/>
      <c r="AN773" s="189"/>
      <c r="AO773" s="189"/>
      <c r="AP773" s="189"/>
      <c r="AQ773" s="189"/>
      <c r="AR773" s="189"/>
      <c r="AS773" s="189"/>
      <c r="AT773" s="189"/>
      <c r="AU773" s="190"/>
      <c r="AV773" s="190"/>
      <c r="AW773" s="190"/>
      <c r="AX773" s="190"/>
      <c r="AY773" s="190"/>
      <c r="AZ773" s="189"/>
      <c r="BA773" s="189"/>
      <c r="BB773" s="189"/>
      <c r="BC773" s="189"/>
      <c r="BD773" s="189"/>
      <c r="BE773" s="189"/>
      <c r="BF773" s="189"/>
      <c r="BG773" s="189"/>
      <c r="BH773" s="189"/>
      <c r="BI773" s="190"/>
      <c r="BJ773" s="190"/>
      <c r="BK773" s="190"/>
      <c r="BL773" s="190"/>
      <c r="BM773" s="190"/>
      <c r="BN773" s="190"/>
      <c r="BO773" s="190"/>
      <c r="BP773" s="190"/>
      <c r="BQ773" s="190"/>
      <c r="BR773" s="190"/>
      <c r="BS773" s="190"/>
      <c r="BT773" s="190"/>
      <c r="BU773" s="190"/>
      <c r="BV773" s="190"/>
      <c r="BW773" s="190"/>
      <c r="BX773" s="190"/>
      <c r="BY773" s="190"/>
      <c r="BZ773" s="190"/>
      <c r="CA773" s="189"/>
      <c r="CB773" s="15"/>
    </row>
    <row r="774" spans="1:80" ht="15" x14ac:dyDescent="0.25">
      <c r="A774" s="167"/>
      <c r="B774" s="642"/>
      <c r="C774" s="642"/>
      <c r="D774" s="179"/>
      <c r="E774" s="169"/>
      <c r="F774" s="169"/>
      <c r="G774" s="187"/>
      <c r="H774" s="187"/>
      <c r="I774" s="187"/>
      <c r="J774" s="187"/>
      <c r="K774" s="187"/>
      <c r="L774" s="647"/>
      <c r="M774" s="646">
        <v>33394</v>
      </c>
      <c r="N774" s="585">
        <v>1.25</v>
      </c>
      <c r="O774" s="585">
        <v>1.533E-2</v>
      </c>
      <c r="P774" s="175">
        <v>0</v>
      </c>
      <c r="Q774" s="175">
        <v>0</v>
      </c>
      <c r="R774" s="175">
        <v>0</v>
      </c>
      <c r="S774" s="175">
        <v>8.9999999999999998E-4</v>
      </c>
      <c r="T774" s="175">
        <v>3.0400000000000002E-3</v>
      </c>
      <c r="U774" s="175">
        <v>4.5999999999999999E-3</v>
      </c>
      <c r="V774" s="706">
        <v>6.79E-3</v>
      </c>
      <c r="W774" s="717"/>
      <c r="X774" s="713"/>
      <c r="Y774" s="718"/>
      <c r="Z774" s="709">
        <v>16</v>
      </c>
      <c r="AA774" s="175"/>
      <c r="AB774" s="200"/>
      <c r="AC774" s="205">
        <v>1.0999999999999999E-2</v>
      </c>
      <c r="AD774" s="175">
        <v>6.9</v>
      </c>
      <c r="AE774" s="175">
        <v>0.23</v>
      </c>
      <c r="AF774" s="170">
        <f t="shared" si="14"/>
        <v>1.5870000000000002</v>
      </c>
      <c r="AG774" s="175">
        <v>0.79</v>
      </c>
      <c r="AH774" s="334"/>
      <c r="AI774" s="188"/>
      <c r="AJ774" s="188"/>
      <c r="AK774" s="188"/>
      <c r="AL774" s="189"/>
      <c r="AM774" s="189"/>
      <c r="AN774" s="189"/>
      <c r="AO774" s="189"/>
      <c r="AP774" s="189"/>
      <c r="AQ774" s="189"/>
      <c r="AR774" s="189"/>
      <c r="AS774" s="189"/>
      <c r="AT774" s="189"/>
      <c r="AU774" s="190"/>
      <c r="AV774" s="190"/>
      <c r="AW774" s="190"/>
      <c r="AX774" s="190"/>
      <c r="AY774" s="190"/>
      <c r="AZ774" s="189"/>
      <c r="BA774" s="189"/>
      <c r="BB774" s="189"/>
      <c r="BC774" s="189"/>
      <c r="BD774" s="189"/>
      <c r="BE774" s="189"/>
      <c r="BF774" s="189"/>
      <c r="BG774" s="189"/>
      <c r="BH774" s="189"/>
      <c r="BI774" s="190"/>
      <c r="BJ774" s="190"/>
      <c r="BK774" s="190"/>
      <c r="BL774" s="190"/>
      <c r="BM774" s="190"/>
      <c r="BN774" s="190"/>
      <c r="BO774" s="190"/>
      <c r="BP774" s="190"/>
      <c r="BQ774" s="190"/>
      <c r="BR774" s="190"/>
      <c r="BS774" s="190"/>
      <c r="BT774" s="190"/>
      <c r="BU774" s="190"/>
      <c r="BV774" s="190"/>
      <c r="BW774" s="190"/>
      <c r="BX774" s="190"/>
      <c r="BY774" s="190"/>
      <c r="BZ774" s="190"/>
      <c r="CA774" s="189"/>
      <c r="CB774" s="15"/>
    </row>
    <row r="775" spans="1:80" ht="15" x14ac:dyDescent="0.25">
      <c r="A775" s="167"/>
      <c r="B775" s="642"/>
      <c r="C775" s="642"/>
      <c r="D775" s="179"/>
      <c r="E775" s="169"/>
      <c r="F775" s="169"/>
      <c r="G775" s="187"/>
      <c r="H775" s="187"/>
      <c r="I775" s="187"/>
      <c r="J775" s="187"/>
      <c r="K775" s="187"/>
      <c r="L775" s="647"/>
      <c r="M775" s="646">
        <v>33395</v>
      </c>
      <c r="N775" s="585">
        <v>1.01</v>
      </c>
      <c r="O775" s="585">
        <v>3.3400000000000001E-3</v>
      </c>
      <c r="P775" s="175">
        <v>0</v>
      </c>
      <c r="Q775" s="175">
        <v>0</v>
      </c>
      <c r="R775" s="175">
        <v>0</v>
      </c>
      <c r="S775" s="175">
        <v>6.8999999999999997E-4</v>
      </c>
      <c r="T775" s="175">
        <v>4.0999999999999999E-4</v>
      </c>
      <c r="U775" s="175">
        <v>5.8E-4</v>
      </c>
      <c r="V775" s="706">
        <v>1.66E-3</v>
      </c>
      <c r="W775" s="717"/>
      <c r="X775" s="713"/>
      <c r="Y775" s="718"/>
      <c r="Z775" s="709">
        <v>15</v>
      </c>
      <c r="AA775" s="175"/>
      <c r="AB775" s="200"/>
      <c r="AC775" s="205">
        <v>1.6E-2</v>
      </c>
      <c r="AD775" s="175">
        <v>7</v>
      </c>
      <c r="AE775" s="175">
        <v>0.22</v>
      </c>
      <c r="AF775" s="170">
        <f t="shared" si="14"/>
        <v>1.54</v>
      </c>
      <c r="AG775" s="175">
        <v>0.65</v>
      </c>
      <c r="AH775" s="334"/>
      <c r="AI775" s="188"/>
      <c r="AJ775" s="188"/>
      <c r="AK775" s="188"/>
      <c r="AL775" s="189"/>
      <c r="AM775" s="189"/>
      <c r="AN775" s="189"/>
      <c r="AO775" s="189"/>
      <c r="AP775" s="189"/>
      <c r="AQ775" s="189"/>
      <c r="AR775" s="189"/>
      <c r="AS775" s="189"/>
      <c r="AT775" s="189"/>
      <c r="AU775" s="190"/>
      <c r="AV775" s="190"/>
      <c r="AW775" s="190"/>
      <c r="AX775" s="190"/>
      <c r="AY775" s="190"/>
      <c r="AZ775" s="189"/>
      <c r="BA775" s="189"/>
      <c r="BB775" s="189"/>
      <c r="BC775" s="189"/>
      <c r="BD775" s="189"/>
      <c r="BE775" s="189"/>
      <c r="BF775" s="189"/>
      <c r="BG775" s="189"/>
      <c r="BH775" s="189"/>
      <c r="BI775" s="190"/>
      <c r="BJ775" s="190"/>
      <c r="BK775" s="190"/>
      <c r="BL775" s="190"/>
      <c r="BM775" s="190"/>
      <c r="BN775" s="190"/>
      <c r="BO775" s="190"/>
      <c r="BP775" s="190"/>
      <c r="BQ775" s="190"/>
      <c r="BR775" s="190"/>
      <c r="BS775" s="190"/>
      <c r="BT775" s="190"/>
      <c r="BU775" s="190"/>
      <c r="BV775" s="190"/>
      <c r="BW775" s="190"/>
      <c r="BX775" s="190"/>
      <c r="BY775" s="190"/>
      <c r="BZ775" s="190"/>
      <c r="CA775" s="189"/>
      <c r="CB775" s="15"/>
    </row>
    <row r="776" spans="1:80" ht="15" x14ac:dyDescent="0.25">
      <c r="A776" s="167"/>
      <c r="B776" s="642"/>
      <c r="C776" s="642"/>
      <c r="D776" s="179"/>
      <c r="E776" s="169"/>
      <c r="F776" s="169"/>
      <c r="G776" s="187"/>
      <c r="H776" s="187"/>
      <c r="I776" s="187"/>
      <c r="J776" s="187"/>
      <c r="K776" s="187"/>
      <c r="L776" s="647"/>
      <c r="M776" s="646">
        <v>33398</v>
      </c>
      <c r="N776" s="585">
        <v>0.9</v>
      </c>
      <c r="O776" s="585">
        <v>1.6000000000000001E-4</v>
      </c>
      <c r="P776" s="175">
        <v>0</v>
      </c>
      <c r="Q776" s="175">
        <v>0</v>
      </c>
      <c r="R776" s="175">
        <v>0</v>
      </c>
      <c r="S776" s="175">
        <v>0</v>
      </c>
      <c r="T776" s="175">
        <v>0</v>
      </c>
      <c r="U776" s="175">
        <v>2.0000000000000002E-5</v>
      </c>
      <c r="V776" s="706">
        <v>1.3999999999999999E-4</v>
      </c>
      <c r="W776" s="717"/>
      <c r="X776" s="713"/>
      <c r="Y776" s="718"/>
      <c r="Z776" s="709">
        <v>4</v>
      </c>
      <c r="AA776" s="175"/>
      <c r="AB776" s="200"/>
      <c r="AC776" s="205">
        <v>1.0999999999999999E-2</v>
      </c>
      <c r="AD776" s="175">
        <v>6.2</v>
      </c>
      <c r="AE776" s="175">
        <v>0.21</v>
      </c>
      <c r="AF776" s="170">
        <f t="shared" si="14"/>
        <v>1.302</v>
      </c>
      <c r="AG776" s="175">
        <v>0.7</v>
      </c>
      <c r="AH776" s="334"/>
      <c r="AI776" s="188"/>
      <c r="AJ776" s="188"/>
      <c r="AK776" s="188"/>
      <c r="AL776" s="189"/>
      <c r="AM776" s="189"/>
      <c r="AN776" s="189"/>
      <c r="AO776" s="189"/>
      <c r="AP776" s="189"/>
      <c r="AQ776" s="189"/>
      <c r="AR776" s="189"/>
      <c r="AS776" s="189"/>
      <c r="AT776" s="189"/>
      <c r="AU776" s="190"/>
      <c r="AV776" s="190"/>
      <c r="AW776" s="190"/>
      <c r="AX776" s="190"/>
      <c r="AY776" s="190"/>
      <c r="AZ776" s="189"/>
      <c r="BA776" s="189"/>
      <c r="BB776" s="189"/>
      <c r="BC776" s="189"/>
      <c r="BD776" s="189"/>
      <c r="BE776" s="189"/>
      <c r="BF776" s="189"/>
      <c r="BG776" s="189"/>
      <c r="BH776" s="189"/>
      <c r="BI776" s="190"/>
      <c r="BJ776" s="190"/>
      <c r="BK776" s="190"/>
      <c r="BL776" s="190"/>
      <c r="BM776" s="190"/>
      <c r="BN776" s="190"/>
      <c r="BO776" s="190"/>
      <c r="BP776" s="190"/>
      <c r="BQ776" s="190"/>
      <c r="BR776" s="190"/>
      <c r="BS776" s="190"/>
      <c r="BT776" s="190"/>
      <c r="BU776" s="190"/>
      <c r="BV776" s="190"/>
      <c r="BW776" s="190"/>
      <c r="BX776" s="190"/>
      <c r="BY776" s="190"/>
      <c r="BZ776" s="190"/>
      <c r="CA776" s="189"/>
      <c r="CB776" s="15"/>
    </row>
    <row r="777" spans="1:80" ht="15" x14ac:dyDescent="0.25">
      <c r="A777" s="167"/>
      <c r="B777" s="642"/>
      <c r="C777" s="642"/>
      <c r="D777" s="179"/>
      <c r="E777" s="169"/>
      <c r="F777" s="169"/>
      <c r="G777" s="187"/>
      <c r="H777" s="187"/>
      <c r="I777" s="187"/>
      <c r="J777" s="187"/>
      <c r="K777" s="187"/>
      <c r="L777" s="647"/>
      <c r="M777" s="646">
        <v>33399</v>
      </c>
      <c r="N777" s="585">
        <v>1.02</v>
      </c>
      <c r="O777" s="585">
        <v>1.8749999999999999E-2</v>
      </c>
      <c r="P777" s="175">
        <v>0</v>
      </c>
      <c r="Q777" s="175">
        <v>0</v>
      </c>
      <c r="R777" s="175">
        <v>0</v>
      </c>
      <c r="S777" s="175">
        <v>1.07E-3</v>
      </c>
      <c r="T777" s="175">
        <v>1.5900000000000001E-3</v>
      </c>
      <c r="U777" s="175">
        <v>5.7400000000000003E-3</v>
      </c>
      <c r="V777" s="706">
        <v>1.0359999999999999E-2</v>
      </c>
      <c r="W777" s="717"/>
      <c r="X777" s="713"/>
      <c r="Y777" s="718"/>
      <c r="Z777" s="709">
        <v>30</v>
      </c>
      <c r="AA777" s="175"/>
      <c r="AB777" s="200"/>
      <c r="AC777" s="205">
        <v>1.6E-2</v>
      </c>
      <c r="AD777" s="175">
        <v>6.6</v>
      </c>
      <c r="AE777" s="175">
        <v>0.22</v>
      </c>
      <c r="AF777" s="170">
        <f t="shared" si="14"/>
        <v>1.452</v>
      </c>
      <c r="AG777" s="175">
        <v>0.7</v>
      </c>
      <c r="AH777" s="334"/>
      <c r="AI777" s="188"/>
      <c r="AJ777" s="188"/>
      <c r="AK777" s="188"/>
      <c r="AL777" s="189"/>
      <c r="AM777" s="189"/>
      <c r="AN777" s="189"/>
      <c r="AO777" s="189"/>
      <c r="AP777" s="189"/>
      <c r="AQ777" s="189"/>
      <c r="AR777" s="189"/>
      <c r="AS777" s="189"/>
      <c r="AT777" s="189"/>
      <c r="AU777" s="190"/>
      <c r="AV777" s="190"/>
      <c r="AW777" s="190"/>
      <c r="AX777" s="190"/>
      <c r="AY777" s="190"/>
      <c r="AZ777" s="189"/>
      <c r="BA777" s="189"/>
      <c r="BB777" s="189"/>
      <c r="BC777" s="189"/>
      <c r="BD777" s="189"/>
      <c r="BE777" s="189"/>
      <c r="BF777" s="189"/>
      <c r="BG777" s="189"/>
      <c r="BH777" s="189"/>
      <c r="BI777" s="190"/>
      <c r="BJ777" s="190"/>
      <c r="BK777" s="190"/>
      <c r="BL777" s="190"/>
      <c r="BM777" s="190"/>
      <c r="BN777" s="190"/>
      <c r="BO777" s="190"/>
      <c r="BP777" s="190"/>
      <c r="BQ777" s="190"/>
      <c r="BR777" s="190"/>
      <c r="BS777" s="190"/>
      <c r="BT777" s="190"/>
      <c r="BU777" s="190"/>
      <c r="BV777" s="190"/>
      <c r="BW777" s="190"/>
      <c r="BX777" s="190"/>
      <c r="BY777" s="190"/>
      <c r="BZ777" s="190"/>
      <c r="CA777" s="189"/>
      <c r="CB777" s="15"/>
    </row>
    <row r="778" spans="1:80" ht="15" x14ac:dyDescent="0.25">
      <c r="A778" s="167"/>
      <c r="B778" s="642"/>
      <c r="C778" s="642"/>
      <c r="D778" s="179"/>
      <c r="E778" s="169"/>
      <c r="F778" s="169"/>
      <c r="G778" s="187"/>
      <c r="H778" s="187"/>
      <c r="I778" s="187"/>
      <c r="J778" s="187"/>
      <c r="K778" s="187"/>
      <c r="L778" s="647"/>
      <c r="M778" s="646">
        <v>33401</v>
      </c>
      <c r="N778" s="585">
        <v>2.21</v>
      </c>
      <c r="O778" s="585">
        <v>1.8929999999999999E-2</v>
      </c>
      <c r="P778" s="175">
        <v>0</v>
      </c>
      <c r="Q778" s="175">
        <v>0</v>
      </c>
      <c r="R778" s="175">
        <v>1.2800000000000001E-3</v>
      </c>
      <c r="S778" s="175">
        <v>6.8999999999999997E-4</v>
      </c>
      <c r="T778" s="175">
        <v>1.2600000000000001E-3</v>
      </c>
      <c r="U778" s="175">
        <v>2.96E-3</v>
      </c>
      <c r="V778" s="706">
        <v>1.274E-2</v>
      </c>
      <c r="W778" s="717"/>
      <c r="X778" s="713"/>
      <c r="Y778" s="718"/>
      <c r="Z778" s="709">
        <v>17</v>
      </c>
      <c r="AA778" s="175"/>
      <c r="AB778" s="200"/>
      <c r="AC778" s="205">
        <v>1.6E-2</v>
      </c>
      <c r="AD778" s="175">
        <v>7.5</v>
      </c>
      <c r="AE778" s="175">
        <v>0.26</v>
      </c>
      <c r="AF778" s="170">
        <f t="shared" si="14"/>
        <v>1.9500000000000002</v>
      </c>
      <c r="AG778" s="175">
        <v>1.1200000000000001</v>
      </c>
      <c r="AH778" s="334"/>
      <c r="AI778" s="188"/>
      <c r="AJ778" s="188"/>
      <c r="AK778" s="188"/>
      <c r="AL778" s="189"/>
      <c r="AM778" s="189"/>
      <c r="AN778" s="189"/>
      <c r="AO778" s="189"/>
      <c r="AP778" s="189"/>
      <c r="AQ778" s="189"/>
      <c r="AR778" s="189"/>
      <c r="AS778" s="189"/>
      <c r="AT778" s="189"/>
      <c r="AU778" s="190"/>
      <c r="AV778" s="190"/>
      <c r="AW778" s="190"/>
      <c r="AX778" s="190"/>
      <c r="AY778" s="190"/>
      <c r="AZ778" s="189"/>
      <c r="BA778" s="189"/>
      <c r="BB778" s="189"/>
      <c r="BC778" s="189"/>
      <c r="BD778" s="189"/>
      <c r="BE778" s="189"/>
      <c r="BF778" s="189"/>
      <c r="BG778" s="189"/>
      <c r="BH778" s="189"/>
      <c r="BI778" s="190"/>
      <c r="BJ778" s="190"/>
      <c r="BK778" s="190"/>
      <c r="BL778" s="190"/>
      <c r="BM778" s="190"/>
      <c r="BN778" s="190"/>
      <c r="BO778" s="190"/>
      <c r="BP778" s="190"/>
      <c r="BQ778" s="190"/>
      <c r="BR778" s="190"/>
      <c r="BS778" s="190"/>
      <c r="BT778" s="190"/>
      <c r="BU778" s="190"/>
      <c r="BV778" s="190"/>
      <c r="BW778" s="190"/>
      <c r="BX778" s="190"/>
      <c r="BY778" s="190"/>
      <c r="BZ778" s="190"/>
      <c r="CA778" s="189"/>
      <c r="CB778" s="15"/>
    </row>
    <row r="779" spans="1:80" ht="15" x14ac:dyDescent="0.25">
      <c r="A779" s="167"/>
      <c r="B779" s="642"/>
      <c r="C779" s="642"/>
      <c r="D779" s="179"/>
      <c r="E779" s="169"/>
      <c r="F779" s="169"/>
      <c r="G779" s="187"/>
      <c r="H779" s="187"/>
      <c r="I779" s="187"/>
      <c r="J779" s="187"/>
      <c r="K779" s="187"/>
      <c r="L779" s="647"/>
      <c r="M779" s="646">
        <v>33403</v>
      </c>
      <c r="N779" s="585">
        <v>3.59</v>
      </c>
      <c r="O779" s="585">
        <v>0.14094999999999999</v>
      </c>
      <c r="P779" s="175">
        <v>0</v>
      </c>
      <c r="Q779" s="175">
        <v>0</v>
      </c>
      <c r="R779" s="175">
        <v>6.6E-3</v>
      </c>
      <c r="S779" s="175">
        <v>2.4930000000000001E-2</v>
      </c>
      <c r="T779" s="175">
        <v>2.4199999999999999E-2</v>
      </c>
      <c r="U779" s="175">
        <v>2.9069999999999999E-2</v>
      </c>
      <c r="V779" s="706">
        <v>5.6160000000000002E-2</v>
      </c>
      <c r="W779" s="717"/>
      <c r="X779" s="713"/>
      <c r="Y779" s="718"/>
      <c r="Z779" s="709">
        <v>30</v>
      </c>
      <c r="AA779" s="175"/>
      <c r="AB779" s="200"/>
      <c r="AC779" s="205">
        <v>1.2E-2</v>
      </c>
      <c r="AD779" s="175">
        <v>8.3000000000000007</v>
      </c>
      <c r="AE779" s="175">
        <v>0.32</v>
      </c>
      <c r="AF779" s="170">
        <f t="shared" si="14"/>
        <v>2.6560000000000001</v>
      </c>
      <c r="AG779" s="175">
        <v>1.34</v>
      </c>
      <c r="AH779" s="334"/>
      <c r="AI779" s="188"/>
      <c r="AJ779" s="188"/>
      <c r="AK779" s="188"/>
      <c r="AL779" s="189"/>
      <c r="AM779" s="189"/>
      <c r="AN779" s="189"/>
      <c r="AO779" s="189"/>
      <c r="AP779" s="189"/>
      <c r="AQ779" s="189"/>
      <c r="AR779" s="189"/>
      <c r="AS779" s="189"/>
      <c r="AT779" s="189"/>
      <c r="AU779" s="190"/>
      <c r="AV779" s="190"/>
      <c r="AW779" s="190"/>
      <c r="AX779" s="190"/>
      <c r="AY779" s="190"/>
      <c r="AZ779" s="189"/>
      <c r="BA779" s="189"/>
      <c r="BB779" s="189"/>
      <c r="BC779" s="189"/>
      <c r="BD779" s="189"/>
      <c r="BE779" s="189"/>
      <c r="BF779" s="189"/>
      <c r="BG779" s="189"/>
      <c r="BH779" s="189"/>
      <c r="BI779" s="190"/>
      <c r="BJ779" s="190"/>
      <c r="BK779" s="190"/>
      <c r="BL779" s="190"/>
      <c r="BM779" s="190"/>
      <c r="BN779" s="190"/>
      <c r="BO779" s="190"/>
      <c r="BP779" s="190"/>
      <c r="BQ779" s="190"/>
      <c r="BR779" s="190"/>
      <c r="BS779" s="190"/>
      <c r="BT779" s="190"/>
      <c r="BU779" s="190"/>
      <c r="BV779" s="190"/>
      <c r="BW779" s="190"/>
      <c r="BX779" s="190"/>
      <c r="BY779" s="190"/>
      <c r="BZ779" s="190"/>
      <c r="CA779" s="189"/>
      <c r="CB779" s="15"/>
    </row>
    <row r="780" spans="1:80" ht="15" x14ac:dyDescent="0.25">
      <c r="A780" s="167"/>
      <c r="B780" s="642"/>
      <c r="C780" s="642"/>
      <c r="D780" s="179"/>
      <c r="E780" s="169"/>
      <c r="F780" s="169"/>
      <c r="G780" s="187"/>
      <c r="H780" s="187"/>
      <c r="I780" s="187"/>
      <c r="J780" s="187"/>
      <c r="K780" s="187"/>
      <c r="L780" s="647"/>
      <c r="M780" s="646">
        <v>33404</v>
      </c>
      <c r="N780" s="585">
        <v>4.18</v>
      </c>
      <c r="O780" s="585">
        <v>0.14038</v>
      </c>
      <c r="P780" s="175">
        <v>0</v>
      </c>
      <c r="Q780" s="175">
        <v>0</v>
      </c>
      <c r="R780" s="175">
        <v>1.685E-2</v>
      </c>
      <c r="S780" s="175">
        <v>1.392E-2</v>
      </c>
      <c r="T780" s="175">
        <v>1.6109999999999999E-2</v>
      </c>
      <c r="U780" s="175">
        <v>2.273E-2</v>
      </c>
      <c r="V780" s="706">
        <v>7.077E-2</v>
      </c>
      <c r="W780" s="717"/>
      <c r="X780" s="713"/>
      <c r="Y780" s="718"/>
      <c r="Z780" s="709">
        <v>30</v>
      </c>
      <c r="AA780" s="175"/>
      <c r="AB780" s="200"/>
      <c r="AC780" s="205">
        <v>1.2999999999999999E-2</v>
      </c>
      <c r="AD780" s="175">
        <v>8.1999999999999993</v>
      </c>
      <c r="AE780" s="175">
        <v>0.33</v>
      </c>
      <c r="AF780" s="170">
        <f t="shared" si="14"/>
        <v>2.706</v>
      </c>
      <c r="AG780" s="175">
        <v>1.55</v>
      </c>
      <c r="AH780" s="334"/>
      <c r="AI780" s="188"/>
      <c r="AJ780" s="188"/>
      <c r="AK780" s="188"/>
      <c r="AL780" s="189"/>
      <c r="AM780" s="189"/>
      <c r="AN780" s="189"/>
      <c r="AO780" s="189"/>
      <c r="AP780" s="189"/>
      <c r="AQ780" s="189"/>
      <c r="AR780" s="189"/>
      <c r="AS780" s="189"/>
      <c r="AT780" s="189"/>
      <c r="AU780" s="190"/>
      <c r="AV780" s="190"/>
      <c r="AW780" s="190"/>
      <c r="AX780" s="190"/>
      <c r="AY780" s="190"/>
      <c r="AZ780" s="189"/>
      <c r="BA780" s="189"/>
      <c r="BB780" s="189"/>
      <c r="BC780" s="189"/>
      <c r="BD780" s="189"/>
      <c r="BE780" s="189"/>
      <c r="BF780" s="189"/>
      <c r="BG780" s="189"/>
      <c r="BH780" s="189"/>
      <c r="BI780" s="190"/>
      <c r="BJ780" s="190"/>
      <c r="BK780" s="190"/>
      <c r="BL780" s="190"/>
      <c r="BM780" s="190"/>
      <c r="BN780" s="190"/>
      <c r="BO780" s="190"/>
      <c r="BP780" s="190"/>
      <c r="BQ780" s="190"/>
      <c r="BR780" s="190"/>
      <c r="BS780" s="190"/>
      <c r="BT780" s="190"/>
      <c r="BU780" s="190"/>
      <c r="BV780" s="190"/>
      <c r="BW780" s="190"/>
      <c r="BX780" s="190"/>
      <c r="BY780" s="190"/>
      <c r="BZ780" s="190"/>
      <c r="CA780" s="189"/>
      <c r="CB780" s="15"/>
    </row>
    <row r="781" spans="1:80" ht="15" x14ac:dyDescent="0.25">
      <c r="A781" s="167"/>
      <c r="B781" s="642"/>
      <c r="C781" s="642"/>
      <c r="D781" s="179"/>
      <c r="E781" s="169"/>
      <c r="F781" s="169"/>
      <c r="G781" s="187"/>
      <c r="H781" s="187"/>
      <c r="I781" s="187"/>
      <c r="J781" s="187"/>
      <c r="K781" s="187"/>
      <c r="L781" s="647"/>
      <c r="M781" s="646">
        <v>33406</v>
      </c>
      <c r="N781" s="585">
        <v>3.42</v>
      </c>
      <c r="O781" s="585">
        <v>6.615E-2</v>
      </c>
      <c r="P781" s="175">
        <v>0</v>
      </c>
      <c r="Q781" s="175">
        <v>3.31E-3</v>
      </c>
      <c r="R781" s="175">
        <v>5.5000000000000003E-4</v>
      </c>
      <c r="S781" s="175">
        <v>5.3299999999999997E-3</v>
      </c>
      <c r="T781" s="175">
        <v>1.252E-2</v>
      </c>
      <c r="U781" s="175">
        <v>1.5900000000000001E-2</v>
      </c>
      <c r="V781" s="706">
        <v>2.8549999999999999E-2</v>
      </c>
      <c r="W781" s="717"/>
      <c r="X781" s="713"/>
      <c r="Y781" s="718"/>
      <c r="Z781" s="709">
        <v>40</v>
      </c>
      <c r="AA781" s="175"/>
      <c r="AB781" s="200"/>
      <c r="AC781" s="205">
        <v>1.2999999999999999E-2</v>
      </c>
      <c r="AD781" s="175">
        <v>7.9</v>
      </c>
      <c r="AE781" s="175">
        <v>0.33</v>
      </c>
      <c r="AF781" s="170">
        <f t="shared" si="14"/>
        <v>2.6070000000000002</v>
      </c>
      <c r="AG781" s="175">
        <v>1.32</v>
      </c>
      <c r="AH781" s="334"/>
      <c r="AI781" s="188"/>
      <c r="AJ781" s="188"/>
      <c r="AK781" s="188"/>
      <c r="AL781" s="189"/>
      <c r="AM781" s="189"/>
      <c r="AN781" s="189"/>
      <c r="AO781" s="189"/>
      <c r="AP781" s="189"/>
      <c r="AQ781" s="189"/>
      <c r="AR781" s="189"/>
      <c r="AS781" s="189"/>
      <c r="AT781" s="189"/>
      <c r="AU781" s="190"/>
      <c r="AV781" s="190"/>
      <c r="AW781" s="190"/>
      <c r="AX781" s="190"/>
      <c r="AY781" s="190"/>
      <c r="AZ781" s="189"/>
      <c r="BA781" s="189"/>
      <c r="BB781" s="189"/>
      <c r="BC781" s="189"/>
      <c r="BD781" s="189"/>
      <c r="BE781" s="189"/>
      <c r="BF781" s="189"/>
      <c r="BG781" s="189"/>
      <c r="BH781" s="189"/>
      <c r="BI781" s="190"/>
      <c r="BJ781" s="190"/>
      <c r="BK781" s="190"/>
      <c r="BL781" s="190"/>
      <c r="BM781" s="190"/>
      <c r="BN781" s="190"/>
      <c r="BO781" s="190"/>
      <c r="BP781" s="190"/>
      <c r="BQ781" s="190"/>
      <c r="BR781" s="190"/>
      <c r="BS781" s="190"/>
      <c r="BT781" s="190"/>
      <c r="BU781" s="190"/>
      <c r="BV781" s="190"/>
      <c r="BW781" s="190"/>
      <c r="BX781" s="190"/>
      <c r="BY781" s="190"/>
      <c r="BZ781" s="190"/>
      <c r="CA781" s="189"/>
      <c r="CB781" s="15"/>
    </row>
    <row r="782" spans="1:80" ht="15" x14ac:dyDescent="0.25">
      <c r="A782" s="167"/>
      <c r="B782" s="642"/>
      <c r="C782" s="642"/>
      <c r="D782" s="179"/>
      <c r="E782" s="169"/>
      <c r="F782" s="169"/>
      <c r="G782" s="187"/>
      <c r="H782" s="187"/>
      <c r="I782" s="187"/>
      <c r="J782" s="187"/>
      <c r="K782" s="187"/>
      <c r="L782" s="647"/>
      <c r="M782" s="646">
        <v>33408</v>
      </c>
      <c r="N782" s="585">
        <v>4.16</v>
      </c>
      <c r="O782" s="585">
        <v>0.10213999999999999</v>
      </c>
      <c r="P782" s="175">
        <v>0</v>
      </c>
      <c r="Q782" s="175">
        <v>0</v>
      </c>
      <c r="R782" s="175">
        <v>1.0710000000000001E-2</v>
      </c>
      <c r="S782" s="175">
        <v>1.2749999999999999E-2</v>
      </c>
      <c r="T782" s="175">
        <v>1.618E-2</v>
      </c>
      <c r="U782" s="175">
        <v>1.7000000000000001E-2</v>
      </c>
      <c r="V782" s="706">
        <v>4.5499999999999999E-2</v>
      </c>
      <c r="W782" s="717"/>
      <c r="X782" s="713"/>
      <c r="Y782" s="718"/>
      <c r="Z782" s="709">
        <v>38</v>
      </c>
      <c r="AA782" s="175"/>
      <c r="AB782" s="200"/>
      <c r="AC782" s="205">
        <v>1.2999999999999999E-2</v>
      </c>
      <c r="AD782" s="175">
        <v>8.4</v>
      </c>
      <c r="AE782" s="175">
        <v>0.34</v>
      </c>
      <c r="AF782" s="170">
        <f t="shared" si="14"/>
        <v>2.8560000000000003</v>
      </c>
      <c r="AG782" s="175">
        <v>1.45</v>
      </c>
      <c r="AH782" s="334"/>
      <c r="AI782" s="188"/>
      <c r="AJ782" s="188"/>
      <c r="AK782" s="188"/>
      <c r="AL782" s="189"/>
      <c r="AM782" s="189"/>
      <c r="AN782" s="189"/>
      <c r="AO782" s="189"/>
      <c r="AP782" s="189"/>
      <c r="AQ782" s="189"/>
      <c r="AR782" s="189"/>
      <c r="AS782" s="189"/>
      <c r="AT782" s="189"/>
      <c r="AU782" s="190"/>
      <c r="AV782" s="190"/>
      <c r="AW782" s="190"/>
      <c r="AX782" s="190"/>
      <c r="AY782" s="190"/>
      <c r="AZ782" s="189"/>
      <c r="BA782" s="189"/>
      <c r="BB782" s="189"/>
      <c r="BC782" s="189"/>
      <c r="BD782" s="189"/>
      <c r="BE782" s="189"/>
      <c r="BF782" s="189"/>
      <c r="BG782" s="189"/>
      <c r="BH782" s="189"/>
      <c r="BI782" s="190"/>
      <c r="BJ782" s="190"/>
      <c r="BK782" s="190"/>
      <c r="BL782" s="190"/>
      <c r="BM782" s="190"/>
      <c r="BN782" s="190"/>
      <c r="BO782" s="190"/>
      <c r="BP782" s="190"/>
      <c r="BQ782" s="190"/>
      <c r="BR782" s="190"/>
      <c r="BS782" s="190"/>
      <c r="BT782" s="190"/>
      <c r="BU782" s="190"/>
      <c r="BV782" s="190"/>
      <c r="BW782" s="190"/>
      <c r="BX782" s="190"/>
      <c r="BY782" s="190"/>
      <c r="BZ782" s="190"/>
      <c r="CA782" s="189"/>
      <c r="CB782" s="15"/>
    </row>
    <row r="783" spans="1:80" ht="15" x14ac:dyDescent="0.25">
      <c r="A783" s="167"/>
      <c r="B783" s="642"/>
      <c r="C783" s="642"/>
      <c r="D783" s="179"/>
      <c r="E783" s="169"/>
      <c r="F783" s="169"/>
      <c r="G783" s="187"/>
      <c r="H783" s="187"/>
      <c r="I783" s="187"/>
      <c r="J783" s="187"/>
      <c r="K783" s="187"/>
      <c r="L783" s="647"/>
      <c r="M783" s="646">
        <v>33410</v>
      </c>
      <c r="N783" s="585">
        <v>3.74</v>
      </c>
      <c r="O783" s="585">
        <v>0.12447</v>
      </c>
      <c r="P783" s="175">
        <v>0</v>
      </c>
      <c r="Q783" s="175">
        <v>0</v>
      </c>
      <c r="R783" s="175">
        <v>8.3499999999999998E-3</v>
      </c>
      <c r="S783" s="175">
        <v>2.1950000000000001E-2</v>
      </c>
      <c r="T783" s="175">
        <v>2.9319999999999999E-2</v>
      </c>
      <c r="U783" s="175">
        <v>2.8000000000000001E-2</v>
      </c>
      <c r="V783" s="706">
        <v>3.6850000000000001E-2</v>
      </c>
      <c r="W783" s="717"/>
      <c r="X783" s="713"/>
      <c r="Y783" s="718"/>
      <c r="Z783" s="709">
        <v>35</v>
      </c>
      <c r="AA783" s="175"/>
      <c r="AB783" s="200"/>
      <c r="AC783" s="205">
        <v>1.4E-2</v>
      </c>
      <c r="AD783" s="175">
        <v>8.1</v>
      </c>
      <c r="AE783" s="175">
        <v>0.33</v>
      </c>
      <c r="AF783" s="170">
        <f t="shared" si="14"/>
        <v>2.673</v>
      </c>
      <c r="AG783" s="175">
        <v>1.39</v>
      </c>
      <c r="AH783" s="334"/>
      <c r="AI783" s="188"/>
      <c r="AJ783" s="188"/>
      <c r="AK783" s="188"/>
      <c r="AL783" s="189"/>
      <c r="AM783" s="189"/>
      <c r="AN783" s="189"/>
      <c r="AO783" s="189"/>
      <c r="AP783" s="189"/>
      <c r="AQ783" s="189"/>
      <c r="AR783" s="189"/>
      <c r="AS783" s="189"/>
      <c r="AT783" s="189"/>
      <c r="AU783" s="190"/>
      <c r="AV783" s="190"/>
      <c r="AW783" s="190"/>
      <c r="AX783" s="190"/>
      <c r="AY783" s="190"/>
      <c r="AZ783" s="189"/>
      <c r="BA783" s="189"/>
      <c r="BB783" s="189"/>
      <c r="BC783" s="189"/>
      <c r="BD783" s="189"/>
      <c r="BE783" s="189"/>
      <c r="BF783" s="189"/>
      <c r="BG783" s="189"/>
      <c r="BH783" s="189"/>
      <c r="BI783" s="190"/>
      <c r="BJ783" s="190"/>
      <c r="BK783" s="190"/>
      <c r="BL783" s="190"/>
      <c r="BM783" s="190"/>
      <c r="BN783" s="190"/>
      <c r="BO783" s="190"/>
      <c r="BP783" s="190"/>
      <c r="BQ783" s="190"/>
      <c r="BR783" s="190"/>
      <c r="BS783" s="190"/>
      <c r="BT783" s="190"/>
      <c r="BU783" s="190"/>
      <c r="BV783" s="190"/>
      <c r="BW783" s="190"/>
      <c r="BX783" s="190"/>
      <c r="BY783" s="190"/>
      <c r="BZ783" s="190"/>
      <c r="CA783" s="189"/>
      <c r="CB783" s="15"/>
    </row>
    <row r="784" spans="1:80" ht="15" x14ac:dyDescent="0.25">
      <c r="A784" s="167"/>
      <c r="B784" s="642"/>
      <c r="C784" s="642"/>
      <c r="D784" s="179"/>
      <c r="E784" s="169"/>
      <c r="F784" s="169"/>
      <c r="G784" s="187"/>
      <c r="H784" s="187"/>
      <c r="I784" s="187"/>
      <c r="J784" s="187"/>
      <c r="K784" s="187"/>
      <c r="L784" s="647"/>
      <c r="M784" s="646">
        <v>33411</v>
      </c>
      <c r="N784" s="585">
        <v>2.76</v>
      </c>
      <c r="O784" s="585">
        <v>4.0910000000000002E-2</v>
      </c>
      <c r="P784" s="175">
        <v>0</v>
      </c>
      <c r="Q784" s="175">
        <v>0</v>
      </c>
      <c r="R784" s="175">
        <v>1.06E-3</v>
      </c>
      <c r="S784" s="175">
        <v>4.1599999999999996E-3</v>
      </c>
      <c r="T784" s="175">
        <v>7.5599999999999999E-3</v>
      </c>
      <c r="U784" s="175">
        <v>1.073E-2</v>
      </c>
      <c r="V784" s="706">
        <v>1.7409999999999998E-2</v>
      </c>
      <c r="W784" s="717"/>
      <c r="X784" s="713"/>
      <c r="Y784" s="718"/>
      <c r="Z784" s="709">
        <v>19</v>
      </c>
      <c r="AA784" s="175"/>
      <c r="AB784" s="200"/>
      <c r="AC784" s="205">
        <v>1.0999999999999999E-2</v>
      </c>
      <c r="AD784" s="175">
        <v>7.9</v>
      </c>
      <c r="AE784" s="175">
        <v>0.3</v>
      </c>
      <c r="AF784" s="170">
        <f t="shared" si="14"/>
        <v>2.37</v>
      </c>
      <c r="AG784" s="175">
        <v>1.1499999999999999</v>
      </c>
      <c r="AH784" s="334"/>
      <c r="AI784" s="188"/>
      <c r="AJ784" s="188"/>
      <c r="AK784" s="188"/>
      <c r="AL784" s="189"/>
      <c r="AM784" s="189"/>
      <c r="AN784" s="189"/>
      <c r="AO784" s="189"/>
      <c r="AP784" s="189"/>
      <c r="AQ784" s="189"/>
      <c r="AR784" s="189"/>
      <c r="AS784" s="189"/>
      <c r="AT784" s="189"/>
      <c r="AU784" s="190"/>
      <c r="AV784" s="190"/>
      <c r="AW784" s="190"/>
      <c r="AX784" s="190"/>
      <c r="AY784" s="190"/>
      <c r="AZ784" s="189"/>
      <c r="BA784" s="189"/>
      <c r="BB784" s="189"/>
      <c r="BC784" s="189"/>
      <c r="BD784" s="189"/>
      <c r="BE784" s="189"/>
      <c r="BF784" s="189"/>
      <c r="BG784" s="189"/>
      <c r="BH784" s="189"/>
      <c r="BI784" s="190"/>
      <c r="BJ784" s="190"/>
      <c r="BK784" s="190"/>
      <c r="BL784" s="190"/>
      <c r="BM784" s="190"/>
      <c r="BN784" s="190"/>
      <c r="BO784" s="190"/>
      <c r="BP784" s="190"/>
      <c r="BQ784" s="190"/>
      <c r="BR784" s="190"/>
      <c r="BS784" s="190"/>
      <c r="BT784" s="190"/>
      <c r="BU784" s="190"/>
      <c r="BV784" s="190"/>
      <c r="BW784" s="190"/>
      <c r="BX784" s="190"/>
      <c r="BY784" s="190"/>
      <c r="BZ784" s="190"/>
      <c r="CA784" s="189"/>
      <c r="CB784" s="15"/>
    </row>
    <row r="785" spans="1:80" ht="15" x14ac:dyDescent="0.25">
      <c r="A785" s="167"/>
      <c r="B785" s="642"/>
      <c r="C785" s="642"/>
      <c r="D785" s="179"/>
      <c r="E785" s="169"/>
      <c r="F785" s="169"/>
      <c r="G785" s="187"/>
      <c r="H785" s="187"/>
      <c r="I785" s="187"/>
      <c r="J785" s="187"/>
      <c r="K785" s="187"/>
      <c r="L785" s="647"/>
      <c r="M785" s="646">
        <v>33414</v>
      </c>
      <c r="N785" s="585">
        <v>3.28</v>
      </c>
      <c r="O785" s="585">
        <v>9.1000000000000004E-3</v>
      </c>
      <c r="P785" s="175">
        <v>0</v>
      </c>
      <c r="Q785" s="175">
        <v>0</v>
      </c>
      <c r="R785" s="175">
        <v>1.1199999999999999E-3</v>
      </c>
      <c r="S785" s="175">
        <v>2.1000000000000001E-4</v>
      </c>
      <c r="T785" s="175">
        <v>8.4000000000000003E-4</v>
      </c>
      <c r="U785" s="175">
        <v>1.1299999999999999E-3</v>
      </c>
      <c r="V785" s="706">
        <v>5.79E-3</v>
      </c>
      <c r="W785" s="717"/>
      <c r="X785" s="713"/>
      <c r="Y785" s="718"/>
      <c r="Z785" s="709">
        <v>28</v>
      </c>
      <c r="AA785" s="175"/>
      <c r="AB785" s="200"/>
      <c r="AC785" s="205">
        <v>1.6E-2</v>
      </c>
      <c r="AD785" s="175">
        <v>7.9</v>
      </c>
      <c r="AE785" s="175">
        <v>0.34</v>
      </c>
      <c r="AF785" s="170">
        <f t="shared" si="14"/>
        <v>2.6860000000000004</v>
      </c>
      <c r="AG785" s="175">
        <v>1.23</v>
      </c>
      <c r="AH785" s="334"/>
      <c r="AI785" s="188"/>
      <c r="AJ785" s="188"/>
      <c r="AK785" s="188"/>
      <c r="AL785" s="189"/>
      <c r="AM785" s="189"/>
      <c r="AN785" s="189"/>
      <c r="AO785" s="189"/>
      <c r="AP785" s="189"/>
      <c r="AQ785" s="189"/>
      <c r="AR785" s="189"/>
      <c r="AS785" s="189"/>
      <c r="AT785" s="189"/>
      <c r="AU785" s="190"/>
      <c r="AV785" s="190"/>
      <c r="AW785" s="190"/>
      <c r="AX785" s="190"/>
      <c r="AY785" s="190"/>
      <c r="AZ785" s="189"/>
      <c r="BA785" s="189"/>
      <c r="BB785" s="189"/>
      <c r="BC785" s="189"/>
      <c r="BD785" s="189"/>
      <c r="BE785" s="189"/>
      <c r="BF785" s="189"/>
      <c r="BG785" s="189"/>
      <c r="BH785" s="189"/>
      <c r="BI785" s="190"/>
      <c r="BJ785" s="190"/>
      <c r="BK785" s="190"/>
      <c r="BL785" s="190"/>
      <c r="BM785" s="190"/>
      <c r="BN785" s="190"/>
      <c r="BO785" s="190"/>
      <c r="BP785" s="190"/>
      <c r="BQ785" s="190"/>
      <c r="BR785" s="190"/>
      <c r="BS785" s="190"/>
      <c r="BT785" s="190"/>
      <c r="BU785" s="190"/>
      <c r="BV785" s="190"/>
      <c r="BW785" s="190"/>
      <c r="BX785" s="190"/>
      <c r="BY785" s="190"/>
      <c r="BZ785" s="190"/>
      <c r="CA785" s="189"/>
      <c r="CB785" s="15"/>
    </row>
    <row r="786" spans="1:80" ht="15" x14ac:dyDescent="0.25">
      <c r="A786" s="167"/>
      <c r="B786" s="642"/>
      <c r="C786" s="642"/>
      <c r="D786" s="179"/>
      <c r="E786" s="169"/>
      <c r="F786" s="169"/>
      <c r="G786" s="187"/>
      <c r="H786" s="187"/>
      <c r="I786" s="187"/>
      <c r="J786" s="187"/>
      <c r="K786" s="187"/>
      <c r="L786" s="647"/>
      <c r="M786" s="646">
        <v>33416</v>
      </c>
      <c r="N786" s="585">
        <v>3.25</v>
      </c>
      <c r="O786" s="585">
        <v>5.4010000000000002E-2</v>
      </c>
      <c r="P786" s="175">
        <v>0</v>
      </c>
      <c r="Q786" s="175">
        <v>0</v>
      </c>
      <c r="R786" s="175">
        <v>5.2999999999999998E-4</v>
      </c>
      <c r="S786" s="175">
        <v>7.9500000000000005E-3</v>
      </c>
      <c r="T786" s="175">
        <v>1.0410000000000001E-2</v>
      </c>
      <c r="U786" s="175">
        <v>1.329E-2</v>
      </c>
      <c r="V786" s="706">
        <v>2.1819999999999999E-2</v>
      </c>
      <c r="W786" s="717"/>
      <c r="X786" s="713"/>
      <c r="Y786" s="718"/>
      <c r="Z786" s="709">
        <v>20</v>
      </c>
      <c r="AA786" s="175"/>
      <c r="AB786" s="200"/>
      <c r="AC786" s="205">
        <v>1.2E-2</v>
      </c>
      <c r="AD786" s="175">
        <v>8.1999999999999993</v>
      </c>
      <c r="AE786" s="175">
        <v>0.31</v>
      </c>
      <c r="AF786" s="170">
        <f t="shared" si="14"/>
        <v>2.5419999999999998</v>
      </c>
      <c r="AG786" s="175">
        <v>1.27</v>
      </c>
      <c r="AH786" s="334"/>
      <c r="AI786" s="188"/>
      <c r="AJ786" s="188"/>
      <c r="AK786" s="188"/>
      <c r="AL786" s="189"/>
      <c r="AM786" s="189"/>
      <c r="AN786" s="189"/>
      <c r="AO786" s="189"/>
      <c r="AP786" s="189"/>
      <c r="AQ786" s="189"/>
      <c r="AR786" s="189"/>
      <c r="AS786" s="189"/>
      <c r="AT786" s="189"/>
      <c r="AU786" s="190"/>
      <c r="AV786" s="190"/>
      <c r="AW786" s="190"/>
      <c r="AX786" s="190"/>
      <c r="AY786" s="190"/>
      <c r="AZ786" s="189"/>
      <c r="BA786" s="189"/>
      <c r="BB786" s="189"/>
      <c r="BC786" s="189"/>
      <c r="BD786" s="189"/>
      <c r="BE786" s="189"/>
      <c r="BF786" s="189"/>
      <c r="BG786" s="189"/>
      <c r="BH786" s="189"/>
      <c r="BI786" s="190"/>
      <c r="BJ786" s="190"/>
      <c r="BK786" s="190"/>
      <c r="BL786" s="190"/>
      <c r="BM786" s="190"/>
      <c r="BN786" s="190"/>
      <c r="BO786" s="190"/>
      <c r="BP786" s="190"/>
      <c r="BQ786" s="190"/>
      <c r="BR786" s="190"/>
      <c r="BS786" s="190"/>
      <c r="BT786" s="190"/>
      <c r="BU786" s="190"/>
      <c r="BV786" s="190"/>
      <c r="BW786" s="190"/>
      <c r="BX786" s="190"/>
      <c r="BY786" s="190"/>
      <c r="BZ786" s="190"/>
      <c r="CA786" s="189"/>
      <c r="CB786" s="15"/>
    </row>
    <row r="787" spans="1:80" ht="15" x14ac:dyDescent="0.25">
      <c r="A787" s="167"/>
      <c r="B787" s="642"/>
      <c r="C787" s="642"/>
      <c r="D787" s="179"/>
      <c r="E787" s="169"/>
      <c r="F787" s="169"/>
      <c r="G787" s="187"/>
      <c r="H787" s="187"/>
      <c r="I787" s="187"/>
      <c r="J787" s="187"/>
      <c r="K787" s="187"/>
      <c r="L787" s="647"/>
      <c r="M787" s="646">
        <v>33419</v>
      </c>
      <c r="N787" s="585">
        <v>2.95</v>
      </c>
      <c r="O787" s="585">
        <v>1.593E-2</v>
      </c>
      <c r="P787" s="175">
        <v>0</v>
      </c>
      <c r="Q787" s="175">
        <v>0</v>
      </c>
      <c r="R787" s="175">
        <v>6.0999999999999997E-4</v>
      </c>
      <c r="S787" s="175">
        <v>2.0600000000000002E-3</v>
      </c>
      <c r="T787" s="175">
        <v>3.48E-3</v>
      </c>
      <c r="U787" s="175">
        <v>3.49E-3</v>
      </c>
      <c r="V787" s="706">
        <v>6.28E-3</v>
      </c>
      <c r="W787" s="717"/>
      <c r="X787" s="713"/>
      <c r="Y787" s="718"/>
      <c r="Z787" s="709">
        <v>18</v>
      </c>
      <c r="AA787" s="175"/>
      <c r="AB787" s="200"/>
      <c r="AC787" s="205">
        <v>1.2E-2</v>
      </c>
      <c r="AD787" s="175">
        <v>7.9</v>
      </c>
      <c r="AE787" s="175">
        <v>0.32</v>
      </c>
      <c r="AF787" s="170">
        <f t="shared" si="14"/>
        <v>2.528</v>
      </c>
      <c r="AG787" s="175">
        <v>1.1499999999999999</v>
      </c>
      <c r="AH787" s="334"/>
      <c r="AI787" s="188"/>
      <c r="AJ787" s="188"/>
      <c r="AK787" s="188"/>
      <c r="AL787" s="189"/>
      <c r="AM787" s="189"/>
      <c r="AN787" s="189"/>
      <c r="AO787" s="189"/>
      <c r="AP787" s="189"/>
      <c r="AQ787" s="189"/>
      <c r="AR787" s="189"/>
      <c r="AS787" s="189"/>
      <c r="AT787" s="189"/>
      <c r="AU787" s="190"/>
      <c r="AV787" s="190"/>
      <c r="AW787" s="190"/>
      <c r="AX787" s="190"/>
      <c r="AY787" s="190"/>
      <c r="AZ787" s="189"/>
      <c r="BA787" s="189"/>
      <c r="BB787" s="189"/>
      <c r="BC787" s="189"/>
      <c r="BD787" s="189"/>
      <c r="BE787" s="189"/>
      <c r="BF787" s="189"/>
      <c r="BG787" s="189"/>
      <c r="BH787" s="189"/>
      <c r="BI787" s="190"/>
      <c r="BJ787" s="190"/>
      <c r="BK787" s="190"/>
      <c r="BL787" s="190"/>
      <c r="BM787" s="190"/>
      <c r="BN787" s="190"/>
      <c r="BO787" s="190"/>
      <c r="BP787" s="190"/>
      <c r="BQ787" s="190"/>
      <c r="BR787" s="190"/>
      <c r="BS787" s="190"/>
      <c r="BT787" s="190"/>
      <c r="BU787" s="190"/>
      <c r="BV787" s="190"/>
      <c r="BW787" s="190"/>
      <c r="BX787" s="190"/>
      <c r="BY787" s="190"/>
      <c r="BZ787" s="190"/>
      <c r="CA787" s="189"/>
      <c r="CB787" s="15"/>
    </row>
    <row r="788" spans="1:80" ht="15" x14ac:dyDescent="0.25">
      <c r="A788" s="167"/>
      <c r="B788" s="642"/>
      <c r="C788" s="642"/>
      <c r="D788" s="179"/>
      <c r="E788" s="169"/>
      <c r="F788" s="169"/>
      <c r="G788" s="187"/>
      <c r="H788" s="187"/>
      <c r="I788" s="187"/>
      <c r="J788" s="187"/>
      <c r="K788" s="187"/>
      <c r="L788" s="647"/>
      <c r="M788" s="646">
        <v>33423</v>
      </c>
      <c r="N788" s="585">
        <v>2.66</v>
      </c>
      <c r="O788" s="585">
        <v>1.0240000000000001E-2</v>
      </c>
      <c r="P788" s="175">
        <v>0</v>
      </c>
      <c r="Q788" s="175">
        <v>0</v>
      </c>
      <c r="R788" s="175">
        <v>0</v>
      </c>
      <c r="S788" s="175">
        <v>6.3000000000000003E-4</v>
      </c>
      <c r="T788" s="175">
        <v>1.7600000000000001E-3</v>
      </c>
      <c r="U788" s="175">
        <v>2.3900000000000002E-3</v>
      </c>
      <c r="V788" s="706">
        <v>5.4599999999999996E-3</v>
      </c>
      <c r="W788" s="717"/>
      <c r="X788" s="713"/>
      <c r="Y788" s="718"/>
      <c r="Z788" s="709">
        <v>13</v>
      </c>
      <c r="AA788" s="175"/>
      <c r="AB788" s="200"/>
      <c r="AC788" s="205">
        <v>1.2999999999999999E-2</v>
      </c>
      <c r="AD788" s="175">
        <v>7.1</v>
      </c>
      <c r="AE788" s="175">
        <v>0.35</v>
      </c>
      <c r="AF788" s="170">
        <f t="shared" si="14"/>
        <v>2.4849999999999999</v>
      </c>
      <c r="AG788" s="175">
        <v>1.07</v>
      </c>
      <c r="AH788" s="334"/>
      <c r="AI788" s="188"/>
      <c r="AJ788" s="188"/>
      <c r="AK788" s="188"/>
      <c r="AL788" s="189"/>
      <c r="AM788" s="189"/>
      <c r="AN788" s="189"/>
      <c r="AO788" s="189"/>
      <c r="AP788" s="189"/>
      <c r="AQ788" s="189"/>
      <c r="AR788" s="189"/>
      <c r="AS788" s="189"/>
      <c r="AT788" s="189"/>
      <c r="AU788" s="190"/>
      <c r="AV788" s="190"/>
      <c r="AW788" s="190"/>
      <c r="AX788" s="190"/>
      <c r="AY788" s="190"/>
      <c r="AZ788" s="189"/>
      <c r="BA788" s="189"/>
      <c r="BB788" s="189"/>
      <c r="BC788" s="189"/>
      <c r="BD788" s="189"/>
      <c r="BE788" s="189"/>
      <c r="BF788" s="189"/>
      <c r="BG788" s="189"/>
      <c r="BH788" s="189"/>
      <c r="BI788" s="190"/>
      <c r="BJ788" s="190"/>
      <c r="BK788" s="190"/>
      <c r="BL788" s="190"/>
      <c r="BM788" s="190"/>
      <c r="BN788" s="190"/>
      <c r="BO788" s="190"/>
      <c r="BP788" s="190"/>
      <c r="BQ788" s="190"/>
      <c r="BR788" s="190"/>
      <c r="BS788" s="190"/>
      <c r="BT788" s="190"/>
      <c r="BU788" s="190"/>
      <c r="BV788" s="190"/>
      <c r="BW788" s="190"/>
      <c r="BX788" s="190"/>
      <c r="BY788" s="190"/>
      <c r="BZ788" s="190"/>
      <c r="CA788" s="189"/>
      <c r="CB788" s="15"/>
    </row>
    <row r="789" spans="1:80" ht="15" x14ac:dyDescent="0.25">
      <c r="A789" s="167"/>
      <c r="B789" s="642"/>
      <c r="C789" s="642"/>
      <c r="D789" s="179"/>
      <c r="E789" s="169"/>
      <c r="F789" s="169"/>
      <c r="G789" s="187"/>
      <c r="H789" s="187"/>
      <c r="I789" s="187"/>
      <c r="J789" s="187"/>
      <c r="K789" s="187"/>
      <c r="L789" s="647"/>
      <c r="M789" s="646">
        <v>33425</v>
      </c>
      <c r="N789" s="585">
        <v>3.61</v>
      </c>
      <c r="O789" s="585">
        <v>4.0939999999999997E-2</v>
      </c>
      <c r="P789" s="175">
        <v>0</v>
      </c>
      <c r="Q789" s="175">
        <v>0</v>
      </c>
      <c r="R789" s="175">
        <v>4.4299999999999999E-3</v>
      </c>
      <c r="S789" s="175">
        <v>3.9399999999999999E-3</v>
      </c>
      <c r="T789" s="175">
        <v>5.5199999999999997E-3</v>
      </c>
      <c r="U789" s="175">
        <v>7.4000000000000003E-3</v>
      </c>
      <c r="V789" s="706">
        <v>1.9650000000000001E-2</v>
      </c>
      <c r="W789" s="717"/>
      <c r="X789" s="713"/>
      <c r="Y789" s="718"/>
      <c r="Z789" s="709">
        <v>37</v>
      </c>
      <c r="AA789" s="175"/>
      <c r="AB789" s="200"/>
      <c r="AC789" s="205">
        <v>1.2999999999999999E-2</v>
      </c>
      <c r="AD789" s="175">
        <v>7.4</v>
      </c>
      <c r="AE789" s="175">
        <v>0.36</v>
      </c>
      <c r="AF789" s="170">
        <f t="shared" si="14"/>
        <v>2.6640000000000001</v>
      </c>
      <c r="AG789" s="175">
        <v>1.35</v>
      </c>
      <c r="AH789" s="334"/>
      <c r="AI789" s="188"/>
      <c r="AJ789" s="188"/>
      <c r="AK789" s="188"/>
      <c r="AL789" s="189"/>
      <c r="AM789" s="189"/>
      <c r="AN789" s="189"/>
      <c r="AO789" s="189"/>
      <c r="AP789" s="189"/>
      <c r="AQ789" s="189"/>
      <c r="AR789" s="189"/>
      <c r="AS789" s="189"/>
      <c r="AT789" s="189"/>
      <c r="AU789" s="190"/>
      <c r="AV789" s="190"/>
      <c r="AW789" s="190"/>
      <c r="AX789" s="190"/>
      <c r="AY789" s="190"/>
      <c r="AZ789" s="189"/>
      <c r="BA789" s="189"/>
      <c r="BB789" s="189"/>
      <c r="BC789" s="189"/>
      <c r="BD789" s="189"/>
      <c r="BE789" s="189"/>
      <c r="BF789" s="189"/>
      <c r="BG789" s="189"/>
      <c r="BH789" s="189"/>
      <c r="BI789" s="190"/>
      <c r="BJ789" s="190"/>
      <c r="BK789" s="190"/>
      <c r="BL789" s="190"/>
      <c r="BM789" s="190"/>
      <c r="BN789" s="190"/>
      <c r="BO789" s="190"/>
      <c r="BP789" s="190"/>
      <c r="BQ789" s="190"/>
      <c r="BR789" s="190"/>
      <c r="BS789" s="190"/>
      <c r="BT789" s="190"/>
      <c r="BU789" s="190"/>
      <c r="BV789" s="190"/>
      <c r="BW789" s="190"/>
      <c r="BX789" s="190"/>
      <c r="BY789" s="190"/>
      <c r="BZ789" s="190"/>
      <c r="CA789" s="189"/>
      <c r="CB789" s="15"/>
    </row>
    <row r="790" spans="1:80" ht="15" x14ac:dyDescent="0.25">
      <c r="A790" s="167"/>
      <c r="B790" s="642"/>
      <c r="C790" s="642"/>
      <c r="D790" s="179"/>
      <c r="E790" s="169"/>
      <c r="F790" s="169"/>
      <c r="G790" s="187"/>
      <c r="H790" s="187"/>
      <c r="I790" s="187"/>
      <c r="J790" s="187"/>
      <c r="K790" s="187"/>
      <c r="L790" s="647"/>
      <c r="M790" s="646">
        <v>33426</v>
      </c>
      <c r="N790" s="585">
        <v>3.96</v>
      </c>
      <c r="O790" s="585">
        <v>2.3060000000000001E-2</v>
      </c>
      <c r="P790" s="175">
        <v>0</v>
      </c>
      <c r="Q790" s="175">
        <v>0</v>
      </c>
      <c r="R790" s="175">
        <v>6.8999999999999997E-4</v>
      </c>
      <c r="S790" s="175">
        <v>1.5499999999999999E-3</v>
      </c>
      <c r="T790" s="175">
        <v>2.9099999999999998E-3</v>
      </c>
      <c r="U790" s="175">
        <v>3.96E-3</v>
      </c>
      <c r="V790" s="706">
        <v>1.3939999999999999E-2</v>
      </c>
      <c r="W790" s="717"/>
      <c r="X790" s="713"/>
      <c r="Y790" s="718"/>
      <c r="Z790" s="709">
        <v>18</v>
      </c>
      <c r="AA790" s="175"/>
      <c r="AB790" s="200"/>
      <c r="AC790" s="205">
        <v>1.4999999999999999E-2</v>
      </c>
      <c r="AD790" s="175">
        <v>8.1999999999999993</v>
      </c>
      <c r="AE790" s="175">
        <v>0.36</v>
      </c>
      <c r="AF790" s="170">
        <f t="shared" si="14"/>
        <v>2.9519999999999995</v>
      </c>
      <c r="AG790" s="175">
        <v>1.35</v>
      </c>
      <c r="AH790" s="334"/>
      <c r="AI790" s="188"/>
      <c r="AJ790" s="188"/>
      <c r="AK790" s="188"/>
      <c r="AL790" s="189"/>
      <c r="AM790" s="189"/>
      <c r="AN790" s="189"/>
      <c r="AO790" s="189"/>
      <c r="AP790" s="189"/>
      <c r="AQ790" s="189"/>
      <c r="AR790" s="189"/>
      <c r="AS790" s="189"/>
      <c r="AT790" s="189"/>
      <c r="AU790" s="190"/>
      <c r="AV790" s="190"/>
      <c r="AW790" s="190"/>
      <c r="AX790" s="190"/>
      <c r="AY790" s="190"/>
      <c r="AZ790" s="189"/>
      <c r="BA790" s="189"/>
      <c r="BB790" s="189"/>
      <c r="BC790" s="189"/>
      <c r="BD790" s="189"/>
      <c r="BE790" s="189"/>
      <c r="BF790" s="189"/>
      <c r="BG790" s="189"/>
      <c r="BH790" s="189"/>
      <c r="BI790" s="190"/>
      <c r="BJ790" s="190"/>
      <c r="BK790" s="190"/>
      <c r="BL790" s="190"/>
      <c r="BM790" s="190"/>
      <c r="BN790" s="190"/>
      <c r="BO790" s="190"/>
      <c r="BP790" s="190"/>
      <c r="BQ790" s="190"/>
      <c r="BR790" s="190"/>
      <c r="BS790" s="190"/>
      <c r="BT790" s="190"/>
      <c r="BU790" s="190"/>
      <c r="BV790" s="190"/>
      <c r="BW790" s="190"/>
      <c r="BX790" s="190"/>
      <c r="BY790" s="190"/>
      <c r="BZ790" s="190"/>
      <c r="CA790" s="189"/>
      <c r="CB790" s="15"/>
    </row>
    <row r="791" spans="1:80" ht="15" x14ac:dyDescent="0.25">
      <c r="A791" s="167"/>
      <c r="B791" s="642"/>
      <c r="C791" s="642"/>
      <c r="D791" s="179"/>
      <c r="E791" s="169"/>
      <c r="F791" s="169"/>
      <c r="G791" s="187"/>
      <c r="H791" s="187"/>
      <c r="I791" s="187"/>
      <c r="J791" s="187"/>
      <c r="K791" s="187"/>
      <c r="L791" s="647"/>
      <c r="M791" s="646">
        <v>33427</v>
      </c>
      <c r="N791" s="585">
        <v>4.8</v>
      </c>
      <c r="O791" s="585">
        <v>3.6549999999999999E-2</v>
      </c>
      <c r="P791" s="175">
        <v>0</v>
      </c>
      <c r="Q791" s="175">
        <v>0</v>
      </c>
      <c r="R791" s="175">
        <v>5.5799999999999999E-3</v>
      </c>
      <c r="S791" s="175">
        <v>3.7599999999999999E-3</v>
      </c>
      <c r="T791" s="175">
        <v>5.1599999999999997E-3</v>
      </c>
      <c r="U791" s="175">
        <v>6.2399999999999999E-3</v>
      </c>
      <c r="V791" s="706">
        <v>1.5810000000000001E-2</v>
      </c>
      <c r="W791" s="717"/>
      <c r="X791" s="713"/>
      <c r="Y791" s="718"/>
      <c r="Z791" s="709">
        <v>34</v>
      </c>
      <c r="AA791" s="175"/>
      <c r="AB791" s="200"/>
      <c r="AC791" s="205">
        <v>0.02</v>
      </c>
      <c r="AD791" s="175">
        <v>8.1999999999999993</v>
      </c>
      <c r="AE791" s="175">
        <v>0.38</v>
      </c>
      <c r="AF791" s="170">
        <f t="shared" si="14"/>
        <v>3.1159999999999997</v>
      </c>
      <c r="AG791" s="175">
        <v>1.55</v>
      </c>
      <c r="AH791" s="334"/>
      <c r="AI791" s="188"/>
      <c r="AJ791" s="188"/>
      <c r="AK791" s="188"/>
      <c r="AL791" s="189"/>
      <c r="AM791" s="189"/>
      <c r="AN791" s="189"/>
      <c r="AO791" s="189"/>
      <c r="AP791" s="189"/>
      <c r="AQ791" s="189"/>
      <c r="AR791" s="189"/>
      <c r="AS791" s="189"/>
      <c r="AT791" s="189"/>
      <c r="AU791" s="190"/>
      <c r="AV791" s="190"/>
      <c r="AW791" s="190"/>
      <c r="AX791" s="190"/>
      <c r="AY791" s="190"/>
      <c r="AZ791" s="189"/>
      <c r="BA791" s="189"/>
      <c r="BB791" s="189"/>
      <c r="BC791" s="189"/>
      <c r="BD791" s="189"/>
      <c r="BE791" s="189"/>
      <c r="BF791" s="189"/>
      <c r="BG791" s="189"/>
      <c r="BH791" s="189"/>
      <c r="BI791" s="190"/>
      <c r="BJ791" s="190"/>
      <c r="BK791" s="190"/>
      <c r="BL791" s="190"/>
      <c r="BM791" s="190"/>
      <c r="BN791" s="190"/>
      <c r="BO791" s="190"/>
      <c r="BP791" s="190"/>
      <c r="BQ791" s="190"/>
      <c r="BR791" s="190"/>
      <c r="BS791" s="190"/>
      <c r="BT791" s="190"/>
      <c r="BU791" s="190"/>
      <c r="BV791" s="190"/>
      <c r="BW791" s="190"/>
      <c r="BX791" s="190"/>
      <c r="BY791" s="190"/>
      <c r="BZ791" s="190"/>
      <c r="CA791" s="189"/>
      <c r="CB791" s="15"/>
    </row>
    <row r="792" spans="1:80" ht="15" x14ac:dyDescent="0.25">
      <c r="A792" s="167"/>
      <c r="B792" s="642"/>
      <c r="C792" s="642"/>
      <c r="D792" s="179"/>
      <c r="E792" s="169"/>
      <c r="F792" s="169"/>
      <c r="G792" s="187"/>
      <c r="H792" s="187"/>
      <c r="I792" s="187"/>
      <c r="J792" s="187"/>
      <c r="K792" s="187"/>
      <c r="L792" s="647"/>
      <c r="M792" s="646">
        <v>33428</v>
      </c>
      <c r="N792" s="585">
        <v>4.4800000000000004</v>
      </c>
      <c r="O792" s="585">
        <v>8.4519999999999998E-2</v>
      </c>
      <c r="P792" s="175">
        <v>0</v>
      </c>
      <c r="Q792" s="175">
        <v>7.5799999999999999E-3</v>
      </c>
      <c r="R792" s="175">
        <v>9.7300000000000008E-3</v>
      </c>
      <c r="S792" s="175">
        <v>1.197E-2</v>
      </c>
      <c r="T792" s="175">
        <v>1.324E-2</v>
      </c>
      <c r="U792" s="175">
        <v>1.5270000000000001E-2</v>
      </c>
      <c r="V792" s="706">
        <v>2.6749999999999999E-2</v>
      </c>
      <c r="W792" s="717"/>
      <c r="X792" s="713"/>
      <c r="Y792" s="718"/>
      <c r="Z792" s="709">
        <v>50</v>
      </c>
      <c r="AA792" s="175"/>
      <c r="AB792" s="200"/>
      <c r="AC792" s="205">
        <v>2.1000000000000001E-2</v>
      </c>
      <c r="AD792" s="175">
        <v>8.1</v>
      </c>
      <c r="AE792" s="175">
        <v>0.38</v>
      </c>
      <c r="AF792" s="170">
        <f t="shared" si="14"/>
        <v>3.0779999999999998</v>
      </c>
      <c r="AG792" s="175">
        <v>1.45</v>
      </c>
      <c r="AH792" s="334"/>
      <c r="AI792" s="188"/>
      <c r="AJ792" s="188"/>
      <c r="AK792" s="188"/>
      <c r="AL792" s="189"/>
      <c r="AM792" s="189"/>
      <c r="AN792" s="189"/>
      <c r="AO792" s="189"/>
      <c r="AP792" s="189"/>
      <c r="AQ792" s="189"/>
      <c r="AR792" s="189"/>
      <c r="AS792" s="189"/>
      <c r="AT792" s="189"/>
      <c r="AU792" s="190"/>
      <c r="AV792" s="190"/>
      <c r="AW792" s="190"/>
      <c r="AX792" s="190"/>
      <c r="AY792" s="190"/>
      <c r="AZ792" s="189"/>
      <c r="BA792" s="189"/>
      <c r="BB792" s="189"/>
      <c r="BC792" s="189"/>
      <c r="BD792" s="189"/>
      <c r="BE792" s="189"/>
      <c r="BF792" s="189"/>
      <c r="BG792" s="189"/>
      <c r="BH792" s="189"/>
      <c r="BI792" s="190"/>
      <c r="BJ792" s="190"/>
      <c r="BK792" s="190"/>
      <c r="BL792" s="190"/>
      <c r="BM792" s="190"/>
      <c r="BN792" s="190"/>
      <c r="BO792" s="190"/>
      <c r="BP792" s="190"/>
      <c r="BQ792" s="190"/>
      <c r="BR792" s="190"/>
      <c r="BS792" s="190"/>
      <c r="BT792" s="190"/>
      <c r="BU792" s="190"/>
      <c r="BV792" s="190"/>
      <c r="BW792" s="190"/>
      <c r="BX792" s="190"/>
      <c r="BY792" s="190"/>
      <c r="BZ792" s="190"/>
      <c r="CA792" s="189"/>
      <c r="CB792" s="15"/>
    </row>
    <row r="793" spans="1:80" ht="15" x14ac:dyDescent="0.25">
      <c r="A793" s="167"/>
      <c r="B793" s="642"/>
      <c r="C793" s="642"/>
      <c r="D793" s="179"/>
      <c r="E793" s="169"/>
      <c r="F793" s="169"/>
      <c r="G793" s="187"/>
      <c r="H793" s="187"/>
      <c r="I793" s="187"/>
      <c r="J793" s="187"/>
      <c r="K793" s="187"/>
      <c r="L793" s="647"/>
      <c r="M793" s="646">
        <v>33430</v>
      </c>
      <c r="N793" s="585">
        <v>5.13</v>
      </c>
      <c r="O793" s="585">
        <v>0.11505</v>
      </c>
      <c r="P793" s="175">
        <v>0</v>
      </c>
      <c r="Q793" s="175">
        <v>1.5140000000000001E-2</v>
      </c>
      <c r="R793" s="175">
        <v>8.0700000000000008E-3</v>
      </c>
      <c r="S793" s="175">
        <v>2.1250000000000002E-2</v>
      </c>
      <c r="T793" s="175">
        <v>1.9859999999999999E-2</v>
      </c>
      <c r="U793" s="175">
        <v>1.8610000000000002E-2</v>
      </c>
      <c r="V793" s="706">
        <v>3.2129999999999999E-2</v>
      </c>
      <c r="W793" s="717"/>
      <c r="X793" s="713"/>
      <c r="Y793" s="718"/>
      <c r="Z793" s="709">
        <v>60</v>
      </c>
      <c r="AA793" s="175"/>
      <c r="AB793" s="200"/>
      <c r="AC793" s="205">
        <v>2.1000000000000001E-2</v>
      </c>
      <c r="AD793" s="175">
        <v>8.6</v>
      </c>
      <c r="AE793" s="175">
        <v>0.38</v>
      </c>
      <c r="AF793" s="170">
        <f t="shared" si="14"/>
        <v>3.2679999999999998</v>
      </c>
      <c r="AG793" s="175">
        <v>1.59</v>
      </c>
      <c r="AH793" s="334"/>
      <c r="AI793" s="188"/>
      <c r="AJ793" s="188"/>
      <c r="AK793" s="188"/>
      <c r="AL793" s="189"/>
      <c r="AM793" s="189"/>
      <c r="AN793" s="189"/>
      <c r="AO793" s="189"/>
      <c r="AP793" s="189"/>
      <c r="AQ793" s="189"/>
      <c r="AR793" s="189"/>
      <c r="AS793" s="189"/>
      <c r="AT793" s="189"/>
      <c r="AU793" s="190"/>
      <c r="AV793" s="190"/>
      <c r="AW793" s="190"/>
      <c r="AX793" s="190"/>
      <c r="AY793" s="190"/>
      <c r="AZ793" s="189"/>
      <c r="BA793" s="189"/>
      <c r="BB793" s="189"/>
      <c r="BC793" s="189"/>
      <c r="BD793" s="189"/>
      <c r="BE793" s="189"/>
      <c r="BF793" s="189"/>
      <c r="BG793" s="189"/>
      <c r="BH793" s="189"/>
      <c r="BI793" s="190"/>
      <c r="BJ793" s="190"/>
      <c r="BK793" s="190"/>
      <c r="BL793" s="190"/>
      <c r="BM793" s="190"/>
      <c r="BN793" s="190"/>
      <c r="BO793" s="190"/>
      <c r="BP793" s="190"/>
      <c r="BQ793" s="190"/>
      <c r="BR793" s="190"/>
      <c r="BS793" s="190"/>
      <c r="BT793" s="190"/>
      <c r="BU793" s="190"/>
      <c r="BV793" s="190"/>
      <c r="BW793" s="190"/>
      <c r="BX793" s="190"/>
      <c r="BY793" s="190"/>
      <c r="BZ793" s="190"/>
      <c r="CA793" s="189"/>
      <c r="CB793" s="15"/>
    </row>
    <row r="794" spans="1:80" ht="15" x14ac:dyDescent="0.25">
      <c r="A794" s="167"/>
      <c r="B794" s="642"/>
      <c r="C794" s="642"/>
      <c r="D794" s="179"/>
      <c r="E794" s="169"/>
      <c r="F794" s="169"/>
      <c r="G794" s="187"/>
      <c r="H794" s="187"/>
      <c r="I794" s="187"/>
      <c r="J794" s="187"/>
      <c r="K794" s="187"/>
      <c r="L794" s="647"/>
      <c r="M794" s="646">
        <v>33431</v>
      </c>
      <c r="N794" s="585">
        <v>4.18</v>
      </c>
      <c r="O794" s="585">
        <v>5.1069999999999997E-2</v>
      </c>
      <c r="P794" s="175">
        <v>0</v>
      </c>
      <c r="Q794" s="175">
        <v>0</v>
      </c>
      <c r="R794" s="175">
        <v>6.0200000000000002E-3</v>
      </c>
      <c r="S794" s="175">
        <v>7.6099999999999996E-3</v>
      </c>
      <c r="T794" s="175">
        <v>1.095E-2</v>
      </c>
      <c r="U794" s="175">
        <v>1.1169999999999999E-2</v>
      </c>
      <c r="V794" s="706">
        <v>1.533E-2</v>
      </c>
      <c r="W794" s="717"/>
      <c r="X794" s="713"/>
      <c r="Y794" s="718"/>
      <c r="Z794" s="709">
        <v>33</v>
      </c>
      <c r="AA794" s="175"/>
      <c r="AB794" s="200"/>
      <c r="AC794" s="205">
        <v>1.2999999999999999E-2</v>
      </c>
      <c r="AD794" s="175">
        <v>8.1</v>
      </c>
      <c r="AE794" s="175">
        <v>0.37</v>
      </c>
      <c r="AF794" s="170">
        <f t="shared" si="14"/>
        <v>2.9969999999999999</v>
      </c>
      <c r="AG794" s="175">
        <v>1.41</v>
      </c>
      <c r="AH794" s="334"/>
      <c r="AI794" s="188"/>
      <c r="AJ794" s="188"/>
      <c r="AK794" s="188"/>
      <c r="AL794" s="189"/>
      <c r="AM794" s="189"/>
      <c r="AN794" s="189"/>
      <c r="AO794" s="189"/>
      <c r="AP794" s="189"/>
      <c r="AQ794" s="189"/>
      <c r="AR794" s="189"/>
      <c r="AS794" s="189"/>
      <c r="AT794" s="189"/>
      <c r="AU794" s="190"/>
      <c r="AV794" s="190"/>
      <c r="AW794" s="190"/>
      <c r="AX794" s="190"/>
      <c r="AY794" s="190"/>
      <c r="AZ794" s="189"/>
      <c r="BA794" s="189"/>
      <c r="BB794" s="189"/>
      <c r="BC794" s="189"/>
      <c r="BD794" s="189"/>
      <c r="BE794" s="189"/>
      <c r="BF794" s="189"/>
      <c r="BG794" s="189"/>
      <c r="BH794" s="189"/>
      <c r="BI794" s="190"/>
      <c r="BJ794" s="190"/>
      <c r="BK794" s="190"/>
      <c r="BL794" s="190"/>
      <c r="BM794" s="190"/>
      <c r="BN794" s="190"/>
      <c r="BO794" s="190"/>
      <c r="BP794" s="190"/>
      <c r="BQ794" s="190"/>
      <c r="BR794" s="190"/>
      <c r="BS794" s="190"/>
      <c r="BT794" s="190"/>
      <c r="BU794" s="190"/>
      <c r="BV794" s="190"/>
      <c r="BW794" s="190"/>
      <c r="BX794" s="190"/>
      <c r="BY794" s="190"/>
      <c r="BZ794" s="190"/>
      <c r="CA794" s="189"/>
      <c r="CB794" s="15"/>
    </row>
    <row r="795" spans="1:80" ht="15" x14ac:dyDescent="0.25">
      <c r="A795" s="167"/>
      <c r="B795" s="642"/>
      <c r="C795" s="642"/>
      <c r="D795" s="179"/>
      <c r="E795" s="169"/>
      <c r="F795" s="169"/>
      <c r="G795" s="187"/>
      <c r="H795" s="187"/>
      <c r="I795" s="187"/>
      <c r="J795" s="187"/>
      <c r="K795" s="187"/>
      <c r="L795" s="647"/>
      <c r="M795" s="646">
        <v>33432</v>
      </c>
      <c r="N795" s="585">
        <v>4</v>
      </c>
      <c r="O795" s="585">
        <v>6.7540000000000003E-2</v>
      </c>
      <c r="P795" s="175">
        <v>0</v>
      </c>
      <c r="Q795" s="175">
        <v>6.7999999999999996E-3</v>
      </c>
      <c r="R795" s="175">
        <v>7.1999999999999998E-3</v>
      </c>
      <c r="S795" s="175">
        <v>1.1299999999999999E-2</v>
      </c>
      <c r="T795" s="175">
        <v>1.2239999999999999E-2</v>
      </c>
      <c r="U795" s="175">
        <v>1.18E-2</v>
      </c>
      <c r="V795" s="706">
        <v>1.8190000000000001E-2</v>
      </c>
      <c r="W795" s="717"/>
      <c r="X795" s="713"/>
      <c r="Y795" s="718"/>
      <c r="Z795" s="709">
        <v>42</v>
      </c>
      <c r="AA795" s="175"/>
      <c r="AB795" s="200"/>
      <c r="AC795" s="205">
        <v>1.2E-2</v>
      </c>
      <c r="AD795" s="175">
        <v>8</v>
      </c>
      <c r="AE795" s="175">
        <v>0.38</v>
      </c>
      <c r="AF795" s="170">
        <f t="shared" si="14"/>
        <v>3.04</v>
      </c>
      <c r="AG795" s="175">
        <v>1.32</v>
      </c>
      <c r="AH795" s="334"/>
      <c r="AI795" s="188"/>
      <c r="AJ795" s="188"/>
      <c r="AK795" s="188"/>
      <c r="AL795" s="189"/>
      <c r="AM795" s="189"/>
      <c r="AN795" s="189"/>
      <c r="AO795" s="189"/>
      <c r="AP795" s="189"/>
      <c r="AQ795" s="189"/>
      <c r="AR795" s="189"/>
      <c r="AS795" s="189"/>
      <c r="AT795" s="189"/>
      <c r="AU795" s="190"/>
      <c r="AV795" s="190"/>
      <c r="AW795" s="190"/>
      <c r="AX795" s="190"/>
      <c r="AY795" s="190"/>
      <c r="AZ795" s="189"/>
      <c r="BA795" s="189"/>
      <c r="BB795" s="189"/>
      <c r="BC795" s="189"/>
      <c r="BD795" s="189"/>
      <c r="BE795" s="189"/>
      <c r="BF795" s="189"/>
      <c r="BG795" s="189"/>
      <c r="BH795" s="189"/>
      <c r="BI795" s="190"/>
      <c r="BJ795" s="190"/>
      <c r="BK795" s="190"/>
      <c r="BL795" s="190"/>
      <c r="BM795" s="190"/>
      <c r="BN795" s="190"/>
      <c r="BO795" s="190"/>
      <c r="BP795" s="190"/>
      <c r="BQ795" s="190"/>
      <c r="BR795" s="190"/>
      <c r="BS795" s="190"/>
      <c r="BT795" s="190"/>
      <c r="BU795" s="190"/>
      <c r="BV795" s="190"/>
      <c r="BW795" s="190"/>
      <c r="BX795" s="190"/>
      <c r="BY795" s="190"/>
      <c r="BZ795" s="190"/>
      <c r="CA795" s="189"/>
      <c r="CB795" s="15"/>
    </row>
    <row r="796" spans="1:80" ht="15" x14ac:dyDescent="0.25">
      <c r="A796" s="167"/>
      <c r="B796" s="642"/>
      <c r="C796" s="642"/>
      <c r="D796" s="179"/>
      <c r="E796" s="169"/>
      <c r="F796" s="169"/>
      <c r="G796" s="187"/>
      <c r="H796" s="187"/>
      <c r="I796" s="187"/>
      <c r="J796" s="187"/>
      <c r="K796" s="187"/>
      <c r="L796" s="647"/>
      <c r="M796" s="646">
        <v>33437</v>
      </c>
      <c r="N796" s="585">
        <v>3.01</v>
      </c>
      <c r="O796" s="585">
        <v>1.0999999999999999E-2</v>
      </c>
      <c r="P796" s="175">
        <v>0</v>
      </c>
      <c r="Q796" s="175">
        <v>0</v>
      </c>
      <c r="R796" s="175">
        <v>9.1E-4</v>
      </c>
      <c r="S796" s="175">
        <v>3.2000000000000003E-4</v>
      </c>
      <c r="T796" s="175">
        <v>1.1999999999999999E-3</v>
      </c>
      <c r="U796" s="175">
        <v>2.4399999999999999E-3</v>
      </c>
      <c r="V796" s="706">
        <v>6.1199999999999996E-3</v>
      </c>
      <c r="W796" s="717"/>
      <c r="X796" s="713"/>
      <c r="Y796" s="718"/>
      <c r="Z796" s="709">
        <v>22</v>
      </c>
      <c r="AA796" s="175"/>
      <c r="AB796" s="200"/>
      <c r="AC796" s="205">
        <v>1.2999999999999999E-2</v>
      </c>
      <c r="AD796" s="175">
        <v>7.7</v>
      </c>
      <c r="AE796" s="175">
        <v>0.31</v>
      </c>
      <c r="AF796" s="170">
        <f t="shared" si="14"/>
        <v>2.387</v>
      </c>
      <c r="AG796" s="175">
        <v>1.24</v>
      </c>
      <c r="AH796" s="334"/>
      <c r="AI796" s="188"/>
      <c r="AJ796" s="188"/>
      <c r="AK796" s="188"/>
      <c r="AL796" s="189"/>
      <c r="AM796" s="189"/>
      <c r="AN796" s="189"/>
      <c r="AO796" s="189"/>
      <c r="AP796" s="189"/>
      <c r="AQ796" s="189"/>
      <c r="AR796" s="189"/>
      <c r="AS796" s="189"/>
      <c r="AT796" s="189"/>
      <c r="AU796" s="190"/>
      <c r="AV796" s="190"/>
      <c r="AW796" s="190"/>
      <c r="AX796" s="190"/>
      <c r="AY796" s="190"/>
      <c r="AZ796" s="189"/>
      <c r="BA796" s="189"/>
      <c r="BB796" s="189"/>
      <c r="BC796" s="189"/>
      <c r="BD796" s="189"/>
      <c r="BE796" s="189"/>
      <c r="BF796" s="189"/>
      <c r="BG796" s="189"/>
      <c r="BH796" s="189"/>
      <c r="BI796" s="190"/>
      <c r="BJ796" s="190"/>
      <c r="BK796" s="190"/>
      <c r="BL796" s="190"/>
      <c r="BM796" s="190"/>
      <c r="BN796" s="190"/>
      <c r="BO796" s="190"/>
      <c r="BP796" s="190"/>
      <c r="BQ796" s="190"/>
      <c r="BR796" s="190"/>
      <c r="BS796" s="190"/>
      <c r="BT796" s="190"/>
      <c r="BU796" s="190"/>
      <c r="BV796" s="190"/>
      <c r="BW796" s="190"/>
      <c r="BX796" s="190"/>
      <c r="BY796" s="190"/>
      <c r="BZ796" s="190"/>
      <c r="CA796" s="189"/>
      <c r="CB796" s="15"/>
    </row>
    <row r="797" spans="1:80" ht="15" x14ac:dyDescent="0.25">
      <c r="A797" s="167"/>
      <c r="B797" s="642"/>
      <c r="C797" s="642"/>
      <c r="D797" s="179"/>
      <c r="E797" s="169"/>
      <c r="F797" s="169"/>
      <c r="G797" s="187"/>
      <c r="H797" s="187"/>
      <c r="I797" s="187"/>
      <c r="J797" s="187"/>
      <c r="K797" s="187"/>
      <c r="L797" s="647"/>
      <c r="M797" s="646">
        <v>33439</v>
      </c>
      <c r="N797" s="585">
        <v>2.7</v>
      </c>
      <c r="O797" s="585">
        <v>8.9700000000000005E-3</v>
      </c>
      <c r="P797" s="175">
        <v>0</v>
      </c>
      <c r="Q797" s="175">
        <v>0</v>
      </c>
      <c r="R797" s="175">
        <v>0</v>
      </c>
      <c r="S797" s="175">
        <v>1.1299999999999999E-3</v>
      </c>
      <c r="T797" s="175">
        <v>1.33E-3</v>
      </c>
      <c r="U797" s="175">
        <v>2.0699999999999998E-3</v>
      </c>
      <c r="V797" s="706">
        <v>4.45E-3</v>
      </c>
      <c r="W797" s="717"/>
      <c r="X797" s="713"/>
      <c r="Y797" s="718"/>
      <c r="Z797" s="709">
        <v>10</v>
      </c>
      <c r="AA797" s="175"/>
      <c r="AB797" s="200"/>
      <c r="AC797" s="205">
        <v>1.2E-2</v>
      </c>
      <c r="AD797" s="175">
        <v>7.6</v>
      </c>
      <c r="AE797" s="175">
        <v>0.32</v>
      </c>
      <c r="AF797" s="170">
        <f t="shared" si="14"/>
        <v>2.4319999999999999</v>
      </c>
      <c r="AG797" s="175">
        <v>1.1200000000000001</v>
      </c>
      <c r="AH797" s="334"/>
      <c r="AI797" s="188"/>
      <c r="AJ797" s="188"/>
      <c r="AK797" s="188"/>
      <c r="AL797" s="189"/>
      <c r="AM797" s="189"/>
      <c r="AN797" s="189"/>
      <c r="AO797" s="189"/>
      <c r="AP797" s="189"/>
      <c r="AQ797" s="189"/>
      <c r="AR797" s="189"/>
      <c r="AS797" s="189"/>
      <c r="AT797" s="189"/>
      <c r="AU797" s="190"/>
      <c r="AV797" s="190"/>
      <c r="AW797" s="190"/>
      <c r="AX797" s="190"/>
      <c r="AY797" s="190"/>
      <c r="AZ797" s="189"/>
      <c r="BA797" s="189"/>
      <c r="BB797" s="189"/>
      <c r="BC797" s="189"/>
      <c r="BD797" s="189"/>
      <c r="BE797" s="189"/>
      <c r="BF797" s="189"/>
      <c r="BG797" s="189"/>
      <c r="BH797" s="189"/>
      <c r="BI797" s="190"/>
      <c r="BJ797" s="190"/>
      <c r="BK797" s="190"/>
      <c r="BL797" s="190"/>
      <c r="BM797" s="190"/>
      <c r="BN797" s="190"/>
      <c r="BO797" s="190"/>
      <c r="BP797" s="190"/>
      <c r="BQ797" s="190"/>
      <c r="BR797" s="190"/>
      <c r="BS797" s="190"/>
      <c r="BT797" s="190"/>
      <c r="BU797" s="190"/>
      <c r="BV797" s="190"/>
      <c r="BW797" s="190"/>
      <c r="BX797" s="190"/>
      <c r="BY797" s="190"/>
      <c r="BZ797" s="190"/>
      <c r="CA797" s="189"/>
      <c r="CB797" s="15"/>
    </row>
    <row r="798" spans="1:80" ht="15" x14ac:dyDescent="0.25">
      <c r="A798" s="167"/>
      <c r="B798" s="642"/>
      <c r="C798" s="642"/>
      <c r="D798" s="179"/>
      <c r="E798" s="169"/>
      <c r="F798" s="169"/>
      <c r="G798" s="187"/>
      <c r="H798" s="187"/>
      <c r="I798" s="187"/>
      <c r="J798" s="187"/>
      <c r="K798" s="187"/>
      <c r="L798" s="647"/>
      <c r="M798" s="646">
        <v>33442</v>
      </c>
      <c r="N798" s="585">
        <v>2.33</v>
      </c>
      <c r="O798" s="585">
        <v>2.5799999999999998E-3</v>
      </c>
      <c r="P798" s="175">
        <v>0</v>
      </c>
      <c r="Q798" s="175">
        <v>0</v>
      </c>
      <c r="R798" s="175">
        <v>0</v>
      </c>
      <c r="S798" s="175">
        <v>1E-4</v>
      </c>
      <c r="T798" s="175">
        <v>4.4999999999999999E-4</v>
      </c>
      <c r="U798" s="175">
        <v>4.8000000000000001E-4</v>
      </c>
      <c r="V798" s="706">
        <v>1.56E-3</v>
      </c>
      <c r="W798" s="717"/>
      <c r="X798" s="713"/>
      <c r="Y798" s="718"/>
      <c r="Z798" s="709">
        <v>11</v>
      </c>
      <c r="AA798" s="175"/>
      <c r="AB798" s="200"/>
      <c r="AC798" s="205">
        <v>1.2999999999999999E-2</v>
      </c>
      <c r="AD798" s="175">
        <v>7.5</v>
      </c>
      <c r="AE798" s="175">
        <v>0.3</v>
      </c>
      <c r="AF798" s="170">
        <f t="shared" si="14"/>
        <v>2.25</v>
      </c>
      <c r="AG798" s="175">
        <v>1.04</v>
      </c>
      <c r="AH798" s="334"/>
      <c r="AI798" s="188"/>
      <c r="AJ798" s="188"/>
      <c r="AK798" s="188"/>
      <c r="AL798" s="189"/>
      <c r="AM798" s="189"/>
      <c r="AN798" s="189"/>
      <c r="AO798" s="189"/>
      <c r="AP798" s="189"/>
      <c r="AQ798" s="189"/>
      <c r="AR798" s="189"/>
      <c r="AS798" s="189"/>
      <c r="AT798" s="189"/>
      <c r="AU798" s="190"/>
      <c r="AV798" s="190"/>
      <c r="AW798" s="190"/>
      <c r="AX798" s="190"/>
      <c r="AY798" s="190"/>
      <c r="AZ798" s="189"/>
      <c r="BA798" s="189"/>
      <c r="BB798" s="189"/>
      <c r="BC798" s="189"/>
      <c r="BD798" s="189"/>
      <c r="BE798" s="189"/>
      <c r="BF798" s="189"/>
      <c r="BG798" s="189"/>
      <c r="BH798" s="189"/>
      <c r="BI798" s="190"/>
      <c r="BJ798" s="190"/>
      <c r="BK798" s="190"/>
      <c r="BL798" s="190"/>
      <c r="BM798" s="190"/>
      <c r="BN798" s="190"/>
      <c r="BO798" s="190"/>
      <c r="BP798" s="190"/>
      <c r="BQ798" s="190"/>
      <c r="BR798" s="190"/>
      <c r="BS798" s="190"/>
      <c r="BT798" s="190"/>
      <c r="BU798" s="190"/>
      <c r="BV798" s="190"/>
      <c r="BW798" s="190"/>
      <c r="BX798" s="190"/>
      <c r="BY798" s="190"/>
      <c r="BZ798" s="190"/>
      <c r="CA798" s="189"/>
      <c r="CB798" s="15"/>
    </row>
    <row r="799" spans="1:80" ht="15" x14ac:dyDescent="0.25">
      <c r="A799" s="167"/>
      <c r="B799" s="642"/>
      <c r="C799" s="642"/>
      <c r="D799" s="179"/>
      <c r="E799" s="169"/>
      <c r="F799" s="169"/>
      <c r="G799" s="187"/>
      <c r="H799" s="187"/>
      <c r="I799" s="187"/>
      <c r="J799" s="187"/>
      <c r="K799" s="187"/>
      <c r="L799" s="647"/>
      <c r="M799" s="646">
        <v>33444</v>
      </c>
      <c r="N799" s="585">
        <v>2.1800000000000002</v>
      </c>
      <c r="O799" s="585">
        <v>3.49E-3</v>
      </c>
      <c r="P799" s="175">
        <v>0</v>
      </c>
      <c r="Q799" s="175">
        <v>0</v>
      </c>
      <c r="R799" s="175">
        <v>0</v>
      </c>
      <c r="S799" s="175">
        <v>3.6000000000000002E-4</v>
      </c>
      <c r="T799" s="175">
        <v>4.6000000000000001E-4</v>
      </c>
      <c r="U799" s="175">
        <v>5.9999999999999995E-4</v>
      </c>
      <c r="V799" s="706">
        <v>2.0799999999999998E-3</v>
      </c>
      <c r="W799" s="717"/>
      <c r="X799" s="713"/>
      <c r="Y799" s="718"/>
      <c r="Z799" s="709">
        <v>12</v>
      </c>
      <c r="AA799" s="175"/>
      <c r="AB799" s="200"/>
      <c r="AC799" s="205">
        <v>1.6E-2</v>
      </c>
      <c r="AD799" s="175">
        <v>7.5</v>
      </c>
      <c r="AE799" s="175">
        <v>0.31</v>
      </c>
      <c r="AF799" s="170">
        <f t="shared" si="14"/>
        <v>2.3250000000000002</v>
      </c>
      <c r="AG799" s="175">
        <v>0.95</v>
      </c>
      <c r="AH799" s="334"/>
      <c r="AI799" s="188"/>
      <c r="AJ799" s="188"/>
      <c r="AK799" s="188"/>
      <c r="AL799" s="189"/>
      <c r="AM799" s="189"/>
      <c r="AN799" s="189"/>
      <c r="AO799" s="189"/>
      <c r="AP799" s="189"/>
      <c r="AQ799" s="189"/>
      <c r="AR799" s="189"/>
      <c r="AS799" s="189"/>
      <c r="AT799" s="189"/>
      <c r="AU799" s="190"/>
      <c r="AV799" s="190"/>
      <c r="AW799" s="190"/>
      <c r="AX799" s="190"/>
      <c r="AY799" s="190"/>
      <c r="AZ799" s="189"/>
      <c r="BA799" s="189"/>
      <c r="BB799" s="189"/>
      <c r="BC799" s="189"/>
      <c r="BD799" s="189"/>
      <c r="BE799" s="189"/>
      <c r="BF799" s="189"/>
      <c r="BG799" s="189"/>
      <c r="BH799" s="189"/>
      <c r="BI799" s="190"/>
      <c r="BJ799" s="190"/>
      <c r="BK799" s="190"/>
      <c r="BL799" s="190"/>
      <c r="BM799" s="190"/>
      <c r="BN799" s="190"/>
      <c r="BO799" s="190"/>
      <c r="BP799" s="190"/>
      <c r="BQ799" s="190"/>
      <c r="BR799" s="190"/>
      <c r="BS799" s="190"/>
      <c r="BT799" s="190"/>
      <c r="BU799" s="190"/>
      <c r="BV799" s="190"/>
      <c r="BW799" s="190"/>
      <c r="BX799" s="190"/>
      <c r="BY799" s="190"/>
      <c r="BZ799" s="190"/>
      <c r="CA799" s="189"/>
      <c r="CB799" s="15"/>
    </row>
    <row r="800" spans="1:80" ht="15" x14ac:dyDescent="0.25">
      <c r="A800" s="167"/>
      <c r="B800" s="642"/>
      <c r="C800" s="642"/>
      <c r="D800" s="179"/>
      <c r="E800" s="169"/>
      <c r="F800" s="169"/>
      <c r="G800" s="187"/>
      <c r="H800" s="187"/>
      <c r="I800" s="187"/>
      <c r="J800" s="187"/>
      <c r="K800" s="187"/>
      <c r="L800" s="647"/>
      <c r="M800" s="646">
        <v>33446</v>
      </c>
      <c r="N800" s="585">
        <v>1.96</v>
      </c>
      <c r="O800" s="585">
        <v>9.2800000000000001E-3</v>
      </c>
      <c r="P800" s="175">
        <v>0</v>
      </c>
      <c r="Q800" s="175">
        <v>0</v>
      </c>
      <c r="R800" s="175">
        <v>0</v>
      </c>
      <c r="S800" s="175">
        <v>2.2000000000000001E-4</v>
      </c>
      <c r="T800" s="175">
        <v>1.4599999999999999E-3</v>
      </c>
      <c r="U800" s="175">
        <v>2.8E-3</v>
      </c>
      <c r="V800" s="706">
        <v>4.7999999999999996E-3</v>
      </c>
      <c r="W800" s="717"/>
      <c r="X800" s="713"/>
      <c r="Y800" s="718"/>
      <c r="Z800" s="709">
        <v>12</v>
      </c>
      <c r="AA800" s="175"/>
      <c r="AB800" s="200"/>
      <c r="AC800" s="205">
        <v>1.4E-2</v>
      </c>
      <c r="AD800" s="175">
        <v>6.7</v>
      </c>
      <c r="AE800" s="175">
        <v>0.32</v>
      </c>
      <c r="AF800" s="170">
        <f t="shared" si="14"/>
        <v>2.1440000000000001</v>
      </c>
      <c r="AG800" s="175">
        <v>0.92</v>
      </c>
      <c r="AH800" s="334"/>
      <c r="AI800" s="188"/>
      <c r="AJ800" s="188"/>
      <c r="AK800" s="188"/>
      <c r="AL800" s="189"/>
      <c r="AM800" s="189"/>
      <c r="AN800" s="189"/>
      <c r="AO800" s="189"/>
      <c r="AP800" s="189"/>
      <c r="AQ800" s="189"/>
      <c r="AR800" s="189"/>
      <c r="AS800" s="189"/>
      <c r="AT800" s="189"/>
      <c r="AU800" s="190"/>
      <c r="AV800" s="190"/>
      <c r="AW800" s="190"/>
      <c r="AX800" s="190"/>
      <c r="AY800" s="190"/>
      <c r="AZ800" s="189"/>
      <c r="BA800" s="189"/>
      <c r="BB800" s="189"/>
      <c r="BC800" s="189"/>
      <c r="BD800" s="189"/>
      <c r="BE800" s="189"/>
      <c r="BF800" s="189"/>
      <c r="BG800" s="189"/>
      <c r="BH800" s="189"/>
      <c r="BI800" s="190"/>
      <c r="BJ800" s="190"/>
      <c r="BK800" s="190"/>
      <c r="BL800" s="190"/>
      <c r="BM800" s="190"/>
      <c r="BN800" s="190"/>
      <c r="BO800" s="190"/>
      <c r="BP800" s="190"/>
      <c r="BQ800" s="190"/>
      <c r="BR800" s="190"/>
      <c r="BS800" s="190"/>
      <c r="BT800" s="190"/>
      <c r="BU800" s="190"/>
      <c r="BV800" s="190"/>
      <c r="BW800" s="190"/>
      <c r="BX800" s="190"/>
      <c r="BY800" s="190"/>
      <c r="BZ800" s="190"/>
      <c r="CA800" s="189"/>
      <c r="CB800" s="15"/>
    </row>
    <row r="801" spans="1:80" ht="15" x14ac:dyDescent="0.25">
      <c r="A801" s="167"/>
      <c r="B801" s="642"/>
      <c r="C801" s="642"/>
      <c r="D801" s="179"/>
      <c r="E801" s="169"/>
      <c r="F801" s="169"/>
      <c r="G801" s="187"/>
      <c r="H801" s="187"/>
      <c r="I801" s="187"/>
      <c r="J801" s="187"/>
      <c r="K801" s="187"/>
      <c r="L801" s="647"/>
      <c r="M801" s="646">
        <v>33450</v>
      </c>
      <c r="N801" s="585">
        <v>1.64</v>
      </c>
      <c r="O801" s="585">
        <v>6.7000000000000002E-4</v>
      </c>
      <c r="P801" s="175">
        <v>0</v>
      </c>
      <c r="Q801" s="175">
        <v>0</v>
      </c>
      <c r="R801" s="175">
        <v>0</v>
      </c>
      <c r="S801" s="175">
        <v>0</v>
      </c>
      <c r="T801" s="175">
        <v>1.1E-4</v>
      </c>
      <c r="U801" s="175">
        <v>1.2999999999999999E-4</v>
      </c>
      <c r="V801" s="706">
        <v>4.2999999999999999E-4</v>
      </c>
      <c r="W801" s="717"/>
      <c r="X801" s="713"/>
      <c r="Y801" s="718"/>
      <c r="Z801" s="709">
        <v>7</v>
      </c>
      <c r="AA801" s="175"/>
      <c r="AB801" s="200"/>
      <c r="AC801" s="205">
        <v>1.4999999999999999E-2</v>
      </c>
      <c r="AD801" s="175">
        <v>7.1</v>
      </c>
      <c r="AE801" s="175">
        <v>0.27</v>
      </c>
      <c r="AF801" s="170">
        <f t="shared" si="14"/>
        <v>1.917</v>
      </c>
      <c r="AG801" s="175">
        <v>0.86</v>
      </c>
      <c r="AH801" s="334"/>
      <c r="AI801" s="188"/>
      <c r="AJ801" s="188"/>
      <c r="AK801" s="188"/>
      <c r="AL801" s="189"/>
      <c r="AM801" s="189"/>
      <c r="AN801" s="189"/>
      <c r="AO801" s="189"/>
      <c r="AP801" s="189"/>
      <c r="AQ801" s="189"/>
      <c r="AR801" s="189"/>
      <c r="AS801" s="189"/>
      <c r="AT801" s="189"/>
      <c r="AU801" s="190"/>
      <c r="AV801" s="190"/>
      <c r="AW801" s="190"/>
      <c r="AX801" s="190"/>
      <c r="AY801" s="190"/>
      <c r="AZ801" s="189"/>
      <c r="BA801" s="189"/>
      <c r="BB801" s="189"/>
      <c r="BC801" s="189"/>
      <c r="BD801" s="189"/>
      <c r="BE801" s="189"/>
      <c r="BF801" s="189"/>
      <c r="BG801" s="189"/>
      <c r="BH801" s="189"/>
      <c r="BI801" s="190"/>
      <c r="BJ801" s="190"/>
      <c r="BK801" s="190"/>
      <c r="BL801" s="190"/>
      <c r="BM801" s="190"/>
      <c r="BN801" s="190"/>
      <c r="BO801" s="190"/>
      <c r="BP801" s="190"/>
      <c r="BQ801" s="190"/>
      <c r="BR801" s="190"/>
      <c r="BS801" s="190"/>
      <c r="BT801" s="190"/>
      <c r="BU801" s="190"/>
      <c r="BV801" s="190"/>
      <c r="BW801" s="190"/>
      <c r="BX801" s="190"/>
      <c r="BY801" s="190"/>
      <c r="BZ801" s="190"/>
      <c r="CA801" s="189"/>
      <c r="CB801" s="15"/>
    </row>
    <row r="802" spans="1:80" ht="15" x14ac:dyDescent="0.25">
      <c r="A802" s="167"/>
      <c r="B802" s="642"/>
      <c r="C802" s="642"/>
      <c r="D802" s="179"/>
      <c r="E802" s="169"/>
      <c r="F802" s="169"/>
      <c r="G802" s="187"/>
      <c r="H802" s="187"/>
      <c r="I802" s="187"/>
      <c r="J802" s="187"/>
      <c r="K802" s="187"/>
      <c r="L802" s="647"/>
      <c r="M802" s="646">
        <v>33452</v>
      </c>
      <c r="N802" s="585">
        <v>1.58</v>
      </c>
      <c r="O802" s="585">
        <v>1.076E-2</v>
      </c>
      <c r="P802" s="175">
        <v>0</v>
      </c>
      <c r="Q802" s="175">
        <v>0</v>
      </c>
      <c r="R802" s="175">
        <v>0</v>
      </c>
      <c r="S802" s="175">
        <v>7.1000000000000002E-4</v>
      </c>
      <c r="T802" s="175">
        <v>1.0499999999999999E-3</v>
      </c>
      <c r="U802" s="175">
        <v>3.0699999999999998E-3</v>
      </c>
      <c r="V802" s="706">
        <v>5.9300000000000004E-3</v>
      </c>
      <c r="W802" s="717"/>
      <c r="X802" s="713"/>
      <c r="Y802" s="718"/>
      <c r="Z802" s="709">
        <v>15</v>
      </c>
      <c r="AA802" s="175"/>
      <c r="AB802" s="200"/>
      <c r="AC802" s="205">
        <v>1.2999999999999999E-2</v>
      </c>
      <c r="AD802" s="175">
        <v>6.9</v>
      </c>
      <c r="AE802" s="175">
        <v>0.27</v>
      </c>
      <c r="AF802" s="170">
        <f t="shared" si="14"/>
        <v>1.8630000000000002</v>
      </c>
      <c r="AG802" s="175">
        <v>0.84</v>
      </c>
      <c r="AH802" s="334"/>
      <c r="AI802" s="188"/>
      <c r="AJ802" s="188"/>
      <c r="AK802" s="188"/>
      <c r="AL802" s="189"/>
      <c r="AM802" s="189"/>
      <c r="AN802" s="189"/>
      <c r="AO802" s="189"/>
      <c r="AP802" s="189"/>
      <c r="AQ802" s="189"/>
      <c r="AR802" s="189"/>
      <c r="AS802" s="189"/>
      <c r="AT802" s="189"/>
      <c r="AU802" s="190"/>
      <c r="AV802" s="190"/>
      <c r="AW802" s="190"/>
      <c r="AX802" s="190"/>
      <c r="AY802" s="190"/>
      <c r="AZ802" s="189"/>
      <c r="BA802" s="189"/>
      <c r="BB802" s="189"/>
      <c r="BC802" s="189"/>
      <c r="BD802" s="189"/>
      <c r="BE802" s="189"/>
      <c r="BF802" s="189"/>
      <c r="BG802" s="189"/>
      <c r="BH802" s="189"/>
      <c r="BI802" s="190"/>
      <c r="BJ802" s="190"/>
      <c r="BK802" s="190"/>
      <c r="BL802" s="190"/>
      <c r="BM802" s="190"/>
      <c r="BN802" s="190"/>
      <c r="BO802" s="190"/>
      <c r="BP802" s="190"/>
      <c r="BQ802" s="190"/>
      <c r="BR802" s="190"/>
      <c r="BS802" s="190"/>
      <c r="BT802" s="190"/>
      <c r="BU802" s="190"/>
      <c r="BV802" s="190"/>
      <c r="BW802" s="190"/>
      <c r="BX802" s="190"/>
      <c r="BY802" s="190"/>
      <c r="BZ802" s="190"/>
      <c r="CA802" s="189"/>
      <c r="CB802" s="15"/>
    </row>
    <row r="803" spans="1:80" ht="15" x14ac:dyDescent="0.25">
      <c r="A803" s="167"/>
      <c r="B803" s="642"/>
      <c r="C803" s="642"/>
      <c r="D803" s="179"/>
      <c r="E803" s="169"/>
      <c r="F803" s="169"/>
      <c r="G803" s="187"/>
      <c r="H803" s="187"/>
      <c r="I803" s="187"/>
      <c r="J803" s="187"/>
      <c r="K803" s="187"/>
      <c r="L803" s="647"/>
      <c r="M803" s="646">
        <v>33757</v>
      </c>
      <c r="N803" s="585">
        <v>1.68</v>
      </c>
      <c r="O803" s="585">
        <v>5.7299999999999999E-3</v>
      </c>
      <c r="P803" s="175">
        <v>0</v>
      </c>
      <c r="Q803" s="175">
        <v>0</v>
      </c>
      <c r="R803" s="175">
        <v>4.0999999999999999E-4</v>
      </c>
      <c r="S803" s="175">
        <v>8.0000000000000004E-4</v>
      </c>
      <c r="T803" s="175">
        <v>5.2999999999999998E-4</v>
      </c>
      <c r="U803" s="175">
        <v>1.2999999999999999E-3</v>
      </c>
      <c r="V803" s="706">
        <v>2.6800000000000001E-3</v>
      </c>
      <c r="W803" s="717"/>
      <c r="X803" s="713"/>
      <c r="Y803" s="718"/>
      <c r="Z803" s="709">
        <v>18</v>
      </c>
      <c r="AA803" s="175"/>
      <c r="AB803" s="200"/>
      <c r="AC803" s="205">
        <v>0</v>
      </c>
      <c r="AD803" s="175">
        <v>7.42</v>
      </c>
      <c r="AE803" s="175">
        <v>0.27</v>
      </c>
      <c r="AF803" s="170">
        <f t="shared" si="14"/>
        <v>2.0034000000000001</v>
      </c>
      <c r="AG803" s="175">
        <v>0.76</v>
      </c>
      <c r="AH803" s="334"/>
      <c r="AI803" s="188"/>
      <c r="AJ803" s="188"/>
      <c r="AK803" s="188"/>
      <c r="AL803" s="189"/>
      <c r="AM803" s="189"/>
      <c r="AN803" s="189"/>
      <c r="AO803" s="189"/>
      <c r="AP803" s="189"/>
      <c r="AQ803" s="189"/>
      <c r="AR803" s="189"/>
      <c r="AS803" s="189"/>
      <c r="AT803" s="189"/>
      <c r="AU803" s="190"/>
      <c r="AV803" s="190"/>
      <c r="AW803" s="190"/>
      <c r="AX803" s="190"/>
      <c r="AY803" s="190"/>
      <c r="AZ803" s="189"/>
      <c r="BA803" s="189"/>
      <c r="BB803" s="189"/>
      <c r="BC803" s="189"/>
      <c r="BD803" s="189"/>
      <c r="BE803" s="189"/>
      <c r="BF803" s="189"/>
      <c r="BG803" s="189"/>
      <c r="BH803" s="189"/>
      <c r="BI803" s="190"/>
      <c r="BJ803" s="190"/>
      <c r="BK803" s="190"/>
      <c r="BL803" s="190"/>
      <c r="BM803" s="190"/>
      <c r="BN803" s="190"/>
      <c r="BO803" s="190"/>
      <c r="BP803" s="190"/>
      <c r="BQ803" s="190"/>
      <c r="BR803" s="190"/>
      <c r="BS803" s="190"/>
      <c r="BT803" s="190"/>
      <c r="BU803" s="190"/>
      <c r="BV803" s="190"/>
      <c r="BW803" s="190"/>
      <c r="BX803" s="190"/>
      <c r="BY803" s="190"/>
      <c r="BZ803" s="190"/>
      <c r="CA803" s="189"/>
      <c r="CB803" s="15"/>
    </row>
    <row r="804" spans="1:80" ht="15" x14ac:dyDescent="0.25">
      <c r="A804" s="167"/>
      <c r="B804" s="642"/>
      <c r="C804" s="642"/>
      <c r="D804" s="179"/>
      <c r="E804" s="169"/>
      <c r="F804" s="169"/>
      <c r="G804" s="187"/>
      <c r="H804" s="187"/>
      <c r="I804" s="187"/>
      <c r="J804" s="187"/>
      <c r="K804" s="187"/>
      <c r="L804" s="647"/>
      <c r="M804" s="646">
        <v>33758</v>
      </c>
      <c r="N804" s="585">
        <v>1.74</v>
      </c>
      <c r="O804" s="585">
        <v>6.8999999999999997E-4</v>
      </c>
      <c r="P804" s="175">
        <v>0</v>
      </c>
      <c r="Q804" s="175">
        <v>0</v>
      </c>
      <c r="R804" s="175">
        <v>0</v>
      </c>
      <c r="S804" s="175">
        <v>0</v>
      </c>
      <c r="T804" s="175">
        <v>2.0000000000000002E-5</v>
      </c>
      <c r="U804" s="175">
        <v>1.2999999999999999E-4</v>
      </c>
      <c r="V804" s="706">
        <v>5.4000000000000001E-4</v>
      </c>
      <c r="W804" s="717"/>
      <c r="X804" s="713"/>
      <c r="Y804" s="718"/>
      <c r="Z804" s="709">
        <v>6</v>
      </c>
      <c r="AA804" s="175"/>
      <c r="AB804" s="200"/>
      <c r="AC804" s="205">
        <v>0</v>
      </c>
      <c r="AD804" s="175">
        <v>7.4</v>
      </c>
      <c r="AE804" s="175">
        <v>0.27</v>
      </c>
      <c r="AF804" s="170">
        <f t="shared" si="14"/>
        <v>1.9980000000000002</v>
      </c>
      <c r="AG804" s="175">
        <v>0.81</v>
      </c>
      <c r="AH804" s="334"/>
      <c r="AI804" s="188"/>
      <c r="AJ804" s="188"/>
      <c r="AK804" s="188"/>
      <c r="AL804" s="189"/>
      <c r="AM804" s="189"/>
      <c r="AN804" s="189"/>
      <c r="AO804" s="189"/>
      <c r="AP804" s="189"/>
      <c r="AQ804" s="189"/>
      <c r="AR804" s="189"/>
      <c r="AS804" s="189"/>
      <c r="AT804" s="189"/>
      <c r="AU804" s="190"/>
      <c r="AV804" s="190"/>
      <c r="AW804" s="190"/>
      <c r="AX804" s="190"/>
      <c r="AY804" s="190"/>
      <c r="AZ804" s="189"/>
      <c r="BA804" s="189"/>
      <c r="BB804" s="189"/>
      <c r="BC804" s="189"/>
      <c r="BD804" s="189"/>
      <c r="BE804" s="189"/>
      <c r="BF804" s="189"/>
      <c r="BG804" s="189"/>
      <c r="BH804" s="189"/>
      <c r="BI804" s="190"/>
      <c r="BJ804" s="190"/>
      <c r="BK804" s="190"/>
      <c r="BL804" s="190"/>
      <c r="BM804" s="190"/>
      <c r="BN804" s="190"/>
      <c r="BO804" s="190"/>
      <c r="BP804" s="190"/>
      <c r="BQ804" s="190"/>
      <c r="BR804" s="190"/>
      <c r="BS804" s="190"/>
      <c r="BT804" s="190"/>
      <c r="BU804" s="190"/>
      <c r="BV804" s="190"/>
      <c r="BW804" s="190"/>
      <c r="BX804" s="190"/>
      <c r="BY804" s="190"/>
      <c r="BZ804" s="190"/>
      <c r="CA804" s="189"/>
      <c r="CB804" s="15"/>
    </row>
    <row r="805" spans="1:80" ht="15" x14ac:dyDescent="0.25">
      <c r="A805" s="167"/>
      <c r="B805" s="642"/>
      <c r="C805" s="642"/>
      <c r="D805" s="179"/>
      <c r="E805" s="169"/>
      <c r="F805" s="169"/>
      <c r="G805" s="187"/>
      <c r="H805" s="187"/>
      <c r="I805" s="187"/>
      <c r="J805" s="187"/>
      <c r="K805" s="187"/>
      <c r="L805" s="647"/>
      <c r="M805" s="646">
        <v>33758</v>
      </c>
      <c r="N805" s="585">
        <v>1.87</v>
      </c>
      <c r="O805" s="585">
        <v>6.2500000000000003E-3</v>
      </c>
      <c r="P805" s="175">
        <v>0</v>
      </c>
      <c r="Q805" s="175">
        <v>0</v>
      </c>
      <c r="R805" s="175">
        <v>0</v>
      </c>
      <c r="S805" s="175">
        <v>1E-4</v>
      </c>
      <c r="T805" s="175">
        <v>1.1100000000000001E-3</v>
      </c>
      <c r="U805" s="175">
        <v>1.89E-3</v>
      </c>
      <c r="V805" s="706">
        <v>3.16E-3</v>
      </c>
      <c r="W805" s="717"/>
      <c r="X805" s="713"/>
      <c r="Y805" s="718"/>
      <c r="Z805" s="709">
        <v>9</v>
      </c>
      <c r="AA805" s="175"/>
      <c r="AB805" s="200"/>
      <c r="AC805" s="205">
        <v>0</v>
      </c>
      <c r="AD805" s="175">
        <v>7.3</v>
      </c>
      <c r="AE805" s="175">
        <v>0.28999999999999998</v>
      </c>
      <c r="AF805" s="170">
        <f t="shared" si="14"/>
        <v>2.117</v>
      </c>
      <c r="AG805" s="175">
        <v>0.85</v>
      </c>
      <c r="AH805" s="334"/>
      <c r="AI805" s="188"/>
      <c r="AJ805" s="188"/>
      <c r="AK805" s="188"/>
      <c r="AL805" s="189"/>
      <c r="AM805" s="189"/>
      <c r="AN805" s="189"/>
      <c r="AO805" s="189"/>
      <c r="AP805" s="189"/>
      <c r="AQ805" s="189"/>
      <c r="AR805" s="189"/>
      <c r="AS805" s="189"/>
      <c r="AT805" s="189"/>
      <c r="AU805" s="190"/>
      <c r="AV805" s="190"/>
      <c r="AW805" s="190"/>
      <c r="AX805" s="190"/>
      <c r="AY805" s="190"/>
      <c r="AZ805" s="189"/>
      <c r="BA805" s="189"/>
      <c r="BB805" s="189"/>
      <c r="BC805" s="189"/>
      <c r="BD805" s="189"/>
      <c r="BE805" s="189"/>
      <c r="BF805" s="189"/>
      <c r="BG805" s="189"/>
      <c r="BH805" s="189"/>
      <c r="BI805" s="190"/>
      <c r="BJ805" s="190"/>
      <c r="BK805" s="190"/>
      <c r="BL805" s="190"/>
      <c r="BM805" s="190"/>
      <c r="BN805" s="190"/>
      <c r="BO805" s="190"/>
      <c r="BP805" s="190"/>
      <c r="BQ805" s="190"/>
      <c r="BR805" s="190"/>
      <c r="BS805" s="190"/>
      <c r="BT805" s="190"/>
      <c r="BU805" s="190"/>
      <c r="BV805" s="190"/>
      <c r="BW805" s="190"/>
      <c r="BX805" s="190"/>
      <c r="BY805" s="190"/>
      <c r="BZ805" s="190"/>
      <c r="CA805" s="189"/>
      <c r="CB805" s="15"/>
    </row>
    <row r="806" spans="1:80" ht="15" x14ac:dyDescent="0.25">
      <c r="A806" s="167"/>
      <c r="B806" s="642"/>
      <c r="C806" s="642"/>
      <c r="D806" s="179"/>
      <c r="E806" s="169"/>
      <c r="F806" s="169"/>
      <c r="G806" s="187"/>
      <c r="H806" s="187"/>
      <c r="I806" s="187"/>
      <c r="J806" s="187"/>
      <c r="K806" s="187"/>
      <c r="L806" s="647"/>
      <c r="M806" s="646">
        <v>33759</v>
      </c>
      <c r="N806" s="585">
        <v>2.99</v>
      </c>
      <c r="O806" s="585">
        <v>6.5509999999999999E-2</v>
      </c>
      <c r="P806" s="175">
        <v>3.5920000000000001E-2</v>
      </c>
      <c r="Q806" s="175">
        <v>0</v>
      </c>
      <c r="R806" s="175">
        <v>0</v>
      </c>
      <c r="S806" s="175">
        <v>2.2899999999999999E-3</v>
      </c>
      <c r="T806" s="175">
        <v>2.5400000000000002E-3</v>
      </c>
      <c r="U806" s="175">
        <v>4.8900000000000002E-3</v>
      </c>
      <c r="V806" s="706">
        <v>1.9859999999999999E-2</v>
      </c>
      <c r="W806" s="717"/>
      <c r="X806" s="713"/>
      <c r="Y806" s="718"/>
      <c r="Z806" s="709">
        <v>73</v>
      </c>
      <c r="AA806" s="175"/>
      <c r="AB806" s="200"/>
      <c r="AC806" s="205">
        <v>0</v>
      </c>
      <c r="AD806" s="175">
        <v>8</v>
      </c>
      <c r="AE806" s="175">
        <v>0.33</v>
      </c>
      <c r="AF806" s="170">
        <f t="shared" si="14"/>
        <v>2.64</v>
      </c>
      <c r="AG806" s="175">
        <v>1.1399999999999999</v>
      </c>
      <c r="AH806" s="334"/>
      <c r="AI806" s="188"/>
      <c r="AJ806" s="188"/>
      <c r="AK806" s="188"/>
      <c r="AL806" s="189"/>
      <c r="AM806" s="189"/>
      <c r="AN806" s="189"/>
      <c r="AO806" s="189"/>
      <c r="AP806" s="189"/>
      <c r="AQ806" s="189"/>
      <c r="AR806" s="189"/>
      <c r="AS806" s="189"/>
      <c r="AT806" s="189"/>
      <c r="AU806" s="190"/>
      <c r="AV806" s="190"/>
      <c r="AW806" s="190"/>
      <c r="AX806" s="190"/>
      <c r="AY806" s="190"/>
      <c r="AZ806" s="189"/>
      <c r="BA806" s="189"/>
      <c r="BB806" s="189"/>
      <c r="BC806" s="189"/>
      <c r="BD806" s="189"/>
      <c r="BE806" s="189"/>
      <c r="BF806" s="189"/>
      <c r="BG806" s="189"/>
      <c r="BH806" s="189"/>
      <c r="BI806" s="190"/>
      <c r="BJ806" s="190"/>
      <c r="BK806" s="190"/>
      <c r="BL806" s="190"/>
      <c r="BM806" s="190"/>
      <c r="BN806" s="190"/>
      <c r="BO806" s="190"/>
      <c r="BP806" s="190"/>
      <c r="BQ806" s="190"/>
      <c r="BR806" s="190"/>
      <c r="BS806" s="190"/>
      <c r="BT806" s="190"/>
      <c r="BU806" s="190"/>
      <c r="BV806" s="190"/>
      <c r="BW806" s="190"/>
      <c r="BX806" s="190"/>
      <c r="BY806" s="190"/>
      <c r="BZ806" s="190"/>
      <c r="CA806" s="189"/>
      <c r="CB806" s="15"/>
    </row>
    <row r="807" spans="1:80" ht="15" x14ac:dyDescent="0.25">
      <c r="A807" s="167"/>
      <c r="B807" s="642"/>
      <c r="C807" s="642"/>
      <c r="D807" s="179"/>
      <c r="E807" s="169"/>
      <c r="F807" s="169"/>
      <c r="G807" s="187"/>
      <c r="H807" s="187"/>
      <c r="I807" s="187"/>
      <c r="J807" s="187"/>
      <c r="K807" s="187"/>
      <c r="L807" s="647"/>
      <c r="M807" s="646">
        <v>33760</v>
      </c>
      <c r="N807" s="585">
        <v>2.4</v>
      </c>
      <c r="O807" s="585">
        <v>2.0879999999999999E-2</v>
      </c>
      <c r="P807" s="175">
        <v>0</v>
      </c>
      <c r="Q807" s="175">
        <v>0</v>
      </c>
      <c r="R807" s="175">
        <v>6.4000000000000005E-4</v>
      </c>
      <c r="S807" s="175">
        <v>1.32E-3</v>
      </c>
      <c r="T807" s="175">
        <v>3.2100000000000002E-3</v>
      </c>
      <c r="U807" s="175">
        <v>4.1000000000000003E-3</v>
      </c>
      <c r="V807" s="706">
        <v>1.1610000000000001E-2</v>
      </c>
      <c r="W807" s="717"/>
      <c r="X807" s="713"/>
      <c r="Y807" s="718"/>
      <c r="Z807" s="709">
        <v>22</v>
      </c>
      <c r="AA807" s="175"/>
      <c r="AB807" s="200"/>
      <c r="AC807" s="205">
        <v>0</v>
      </c>
      <c r="AD807" s="175">
        <v>7.8</v>
      </c>
      <c r="AE807" s="175">
        <v>0.31</v>
      </c>
      <c r="AF807" s="170">
        <f t="shared" si="14"/>
        <v>2.4180000000000001</v>
      </c>
      <c r="AG807" s="175">
        <v>0.98</v>
      </c>
      <c r="AH807" s="334"/>
      <c r="AI807" s="188"/>
      <c r="AJ807" s="188"/>
      <c r="AK807" s="188"/>
      <c r="AL807" s="189"/>
      <c r="AM807" s="189"/>
      <c r="AN807" s="189"/>
      <c r="AO807" s="189"/>
      <c r="AP807" s="189"/>
      <c r="AQ807" s="189"/>
      <c r="AR807" s="189"/>
      <c r="AS807" s="189"/>
      <c r="AT807" s="189"/>
      <c r="AU807" s="190"/>
      <c r="AV807" s="190"/>
      <c r="AW807" s="190"/>
      <c r="AX807" s="190"/>
      <c r="AY807" s="190"/>
      <c r="AZ807" s="189"/>
      <c r="BA807" s="189"/>
      <c r="BB807" s="189"/>
      <c r="BC807" s="189"/>
      <c r="BD807" s="189"/>
      <c r="BE807" s="189"/>
      <c r="BF807" s="189"/>
      <c r="BG807" s="189"/>
      <c r="BH807" s="189"/>
      <c r="BI807" s="190"/>
      <c r="BJ807" s="190"/>
      <c r="BK807" s="190"/>
      <c r="BL807" s="190"/>
      <c r="BM807" s="190"/>
      <c r="BN807" s="190"/>
      <c r="BO807" s="190"/>
      <c r="BP807" s="190"/>
      <c r="BQ807" s="190"/>
      <c r="BR807" s="190"/>
      <c r="BS807" s="190"/>
      <c r="BT807" s="190"/>
      <c r="BU807" s="190"/>
      <c r="BV807" s="190"/>
      <c r="BW807" s="190"/>
      <c r="BX807" s="190"/>
      <c r="BY807" s="190"/>
      <c r="BZ807" s="190"/>
      <c r="CA807" s="189"/>
      <c r="CB807" s="15"/>
    </row>
    <row r="808" spans="1:80" ht="15" x14ac:dyDescent="0.25">
      <c r="A808" s="167"/>
      <c r="B808" s="642"/>
      <c r="C808" s="642"/>
      <c r="D808" s="179"/>
      <c r="E808" s="169"/>
      <c r="F808" s="169"/>
      <c r="G808" s="187"/>
      <c r="H808" s="187"/>
      <c r="I808" s="187"/>
      <c r="J808" s="187"/>
      <c r="K808" s="187"/>
      <c r="L808" s="647"/>
      <c r="M808" s="646">
        <v>33760</v>
      </c>
      <c r="N808" s="585">
        <v>2.67</v>
      </c>
      <c r="O808" s="585">
        <v>6.1769999999999999E-2</v>
      </c>
      <c r="P808" s="175">
        <v>0</v>
      </c>
      <c r="Q808" s="175">
        <v>0</v>
      </c>
      <c r="R808" s="175">
        <v>1.33E-3</v>
      </c>
      <c r="S808" s="175">
        <v>1.0840000000000001E-2</v>
      </c>
      <c r="T808" s="175">
        <v>1.1379999999999999E-2</v>
      </c>
      <c r="U808" s="175">
        <v>1.41E-2</v>
      </c>
      <c r="V808" s="706">
        <v>2.4119999999999999E-2</v>
      </c>
      <c r="W808" s="717"/>
      <c r="X808" s="713"/>
      <c r="Y808" s="718"/>
      <c r="Z808" s="709">
        <v>24</v>
      </c>
      <c r="AA808" s="175"/>
      <c r="AB808" s="200"/>
      <c r="AC808" s="205">
        <v>0</v>
      </c>
      <c r="AD808" s="175">
        <v>7.7</v>
      </c>
      <c r="AE808" s="175">
        <v>0.33</v>
      </c>
      <c r="AF808" s="170">
        <f t="shared" si="14"/>
        <v>2.5410000000000004</v>
      </c>
      <c r="AG808" s="175">
        <v>1.08</v>
      </c>
      <c r="AH808" s="334"/>
      <c r="AI808" s="188"/>
      <c r="AJ808" s="188"/>
      <c r="AK808" s="188"/>
      <c r="AL808" s="189"/>
      <c r="AM808" s="189"/>
      <c r="AN808" s="189"/>
      <c r="AO808" s="189"/>
      <c r="AP808" s="189"/>
      <c r="AQ808" s="189"/>
      <c r="AR808" s="189"/>
      <c r="AS808" s="189"/>
      <c r="AT808" s="189"/>
      <c r="AU808" s="190"/>
      <c r="AV808" s="190"/>
      <c r="AW808" s="190"/>
      <c r="AX808" s="190"/>
      <c r="AY808" s="190"/>
      <c r="AZ808" s="189"/>
      <c r="BA808" s="189"/>
      <c r="BB808" s="189"/>
      <c r="BC808" s="189"/>
      <c r="BD808" s="189"/>
      <c r="BE808" s="189"/>
      <c r="BF808" s="189"/>
      <c r="BG808" s="189"/>
      <c r="BH808" s="189"/>
      <c r="BI808" s="190"/>
      <c r="BJ808" s="190"/>
      <c r="BK808" s="190"/>
      <c r="BL808" s="190"/>
      <c r="BM808" s="190"/>
      <c r="BN808" s="190"/>
      <c r="BO808" s="190"/>
      <c r="BP808" s="190"/>
      <c r="BQ808" s="190"/>
      <c r="BR808" s="190"/>
      <c r="BS808" s="190"/>
      <c r="BT808" s="190"/>
      <c r="BU808" s="190"/>
      <c r="BV808" s="190"/>
      <c r="BW808" s="190"/>
      <c r="BX808" s="190"/>
      <c r="BY808" s="190"/>
      <c r="BZ808" s="190"/>
      <c r="CA808" s="189"/>
      <c r="CB808" s="15"/>
    </row>
    <row r="809" spans="1:80" ht="15" x14ac:dyDescent="0.25">
      <c r="A809" s="167"/>
      <c r="B809" s="642"/>
      <c r="C809" s="642"/>
      <c r="D809" s="179"/>
      <c r="E809" s="169"/>
      <c r="F809" s="169"/>
      <c r="G809" s="187"/>
      <c r="H809" s="187"/>
      <c r="I809" s="187"/>
      <c r="J809" s="187"/>
      <c r="K809" s="187"/>
      <c r="L809" s="647"/>
      <c r="M809" s="646">
        <v>33760</v>
      </c>
      <c r="N809" s="585">
        <v>3.14</v>
      </c>
      <c r="O809" s="585">
        <v>9.9699999999999997E-2</v>
      </c>
      <c r="P809" s="175">
        <v>0</v>
      </c>
      <c r="Q809" s="175">
        <v>2.0119999999999999E-2</v>
      </c>
      <c r="R809" s="175">
        <v>4.3099999999999996E-3</v>
      </c>
      <c r="S809" s="175">
        <v>9.9600000000000001E-3</v>
      </c>
      <c r="T809" s="175">
        <v>1.176E-2</v>
      </c>
      <c r="U809" s="175">
        <v>1.636E-2</v>
      </c>
      <c r="V809" s="706">
        <v>3.7179999999999998E-2</v>
      </c>
      <c r="W809" s="717"/>
      <c r="X809" s="713"/>
      <c r="Y809" s="718"/>
      <c r="Z809" s="709">
        <v>62</v>
      </c>
      <c r="AA809" s="175"/>
      <c r="AB809" s="200"/>
      <c r="AC809" s="205">
        <v>0</v>
      </c>
      <c r="AD809" s="175">
        <v>7.9</v>
      </c>
      <c r="AE809" s="175">
        <v>0.35</v>
      </c>
      <c r="AF809" s="170">
        <f t="shared" si="14"/>
        <v>2.7650000000000001</v>
      </c>
      <c r="AG809" s="175">
        <v>1.1599999999999999</v>
      </c>
      <c r="AH809" s="334"/>
      <c r="AI809" s="188"/>
      <c r="AJ809" s="188"/>
      <c r="AK809" s="188"/>
      <c r="AL809" s="189"/>
      <c r="AM809" s="189"/>
      <c r="AN809" s="189"/>
      <c r="AO809" s="189"/>
      <c r="AP809" s="189"/>
      <c r="AQ809" s="189"/>
      <c r="AR809" s="189"/>
      <c r="AS809" s="189"/>
      <c r="AT809" s="189"/>
      <c r="AU809" s="190"/>
      <c r="AV809" s="190"/>
      <c r="AW809" s="190"/>
      <c r="AX809" s="190"/>
      <c r="AY809" s="190"/>
      <c r="AZ809" s="189"/>
      <c r="BA809" s="189"/>
      <c r="BB809" s="189"/>
      <c r="BC809" s="189"/>
      <c r="BD809" s="189"/>
      <c r="BE809" s="189"/>
      <c r="BF809" s="189"/>
      <c r="BG809" s="189"/>
      <c r="BH809" s="189"/>
      <c r="BI809" s="190"/>
      <c r="BJ809" s="190"/>
      <c r="BK809" s="190"/>
      <c r="BL809" s="190"/>
      <c r="BM809" s="190"/>
      <c r="BN809" s="190"/>
      <c r="BO809" s="190"/>
      <c r="BP809" s="190"/>
      <c r="BQ809" s="190"/>
      <c r="BR809" s="190"/>
      <c r="BS809" s="190"/>
      <c r="BT809" s="190"/>
      <c r="BU809" s="190"/>
      <c r="BV809" s="190"/>
      <c r="BW809" s="190"/>
      <c r="BX809" s="190"/>
      <c r="BY809" s="190"/>
      <c r="BZ809" s="190"/>
      <c r="CA809" s="189"/>
      <c r="CB809" s="15"/>
    </row>
    <row r="810" spans="1:80" ht="15" x14ac:dyDescent="0.25">
      <c r="A810" s="167"/>
      <c r="B810" s="642"/>
      <c r="C810" s="642"/>
      <c r="D810" s="179"/>
      <c r="E810" s="169"/>
      <c r="F810" s="169"/>
      <c r="G810" s="187"/>
      <c r="H810" s="187"/>
      <c r="I810" s="187"/>
      <c r="J810" s="187"/>
      <c r="K810" s="187"/>
      <c r="L810" s="647"/>
      <c r="M810" s="646">
        <v>33761</v>
      </c>
      <c r="N810" s="585">
        <v>2.85</v>
      </c>
      <c r="O810" s="585">
        <v>1.0670000000000001E-2</v>
      </c>
      <c r="P810" s="175">
        <v>0</v>
      </c>
      <c r="Q810" s="175">
        <v>0</v>
      </c>
      <c r="R810" s="175">
        <v>1.7099999999999999E-3</v>
      </c>
      <c r="S810" s="175">
        <v>6.4999999999999997E-4</v>
      </c>
      <c r="T810" s="175">
        <v>7.6000000000000004E-4</v>
      </c>
      <c r="U810" s="175">
        <v>1.3600000000000001E-3</v>
      </c>
      <c r="V810" s="706">
        <v>6.1900000000000002E-3</v>
      </c>
      <c r="W810" s="717"/>
      <c r="X810" s="713"/>
      <c r="Y810" s="718"/>
      <c r="Z810" s="709">
        <v>28</v>
      </c>
      <c r="AA810" s="175"/>
      <c r="AB810" s="200"/>
      <c r="AC810" s="205">
        <v>7.0000000000000001E-3</v>
      </c>
      <c r="AD810" s="175">
        <v>7.9</v>
      </c>
      <c r="AE810" s="175">
        <v>0.32</v>
      </c>
      <c r="AF810" s="170">
        <f t="shared" si="14"/>
        <v>2.528</v>
      </c>
      <c r="AG810" s="175">
        <v>1.1100000000000001</v>
      </c>
      <c r="AH810" s="334"/>
      <c r="AI810" s="188"/>
      <c r="AJ810" s="188"/>
      <c r="AK810" s="188"/>
      <c r="AL810" s="189"/>
      <c r="AM810" s="189"/>
      <c r="AN810" s="189"/>
      <c r="AO810" s="189"/>
      <c r="AP810" s="189"/>
      <c r="AQ810" s="189"/>
      <c r="AR810" s="189"/>
      <c r="AS810" s="189"/>
      <c r="AT810" s="189"/>
      <c r="AU810" s="190"/>
      <c r="AV810" s="190"/>
      <c r="AW810" s="190"/>
      <c r="AX810" s="190"/>
      <c r="AY810" s="190"/>
      <c r="AZ810" s="189"/>
      <c r="BA810" s="189"/>
      <c r="BB810" s="189"/>
      <c r="BC810" s="189"/>
      <c r="BD810" s="189"/>
      <c r="BE810" s="189"/>
      <c r="BF810" s="189"/>
      <c r="BG810" s="189"/>
      <c r="BH810" s="189"/>
      <c r="BI810" s="190"/>
      <c r="BJ810" s="190"/>
      <c r="BK810" s="190"/>
      <c r="BL810" s="190"/>
      <c r="BM810" s="190"/>
      <c r="BN810" s="190"/>
      <c r="BO810" s="190"/>
      <c r="BP810" s="190"/>
      <c r="BQ810" s="190"/>
      <c r="BR810" s="190"/>
      <c r="BS810" s="190"/>
      <c r="BT810" s="190"/>
      <c r="BU810" s="190"/>
      <c r="BV810" s="190"/>
      <c r="BW810" s="190"/>
      <c r="BX810" s="190"/>
      <c r="BY810" s="190"/>
      <c r="BZ810" s="190"/>
      <c r="CA810" s="189"/>
      <c r="CB810" s="15"/>
    </row>
    <row r="811" spans="1:80" ht="15" x14ac:dyDescent="0.25">
      <c r="A811" s="167"/>
      <c r="B811" s="642"/>
      <c r="C811" s="642"/>
      <c r="D811" s="179"/>
      <c r="E811" s="169"/>
      <c r="F811" s="169"/>
      <c r="G811" s="187"/>
      <c r="H811" s="187"/>
      <c r="I811" s="187"/>
      <c r="J811" s="187"/>
      <c r="K811" s="187"/>
      <c r="L811" s="647"/>
      <c r="M811" s="646">
        <v>33761</v>
      </c>
      <c r="N811" s="585">
        <v>2.58</v>
      </c>
      <c r="O811" s="585">
        <v>1.6219999999999998E-2</v>
      </c>
      <c r="P811" s="175">
        <v>0</v>
      </c>
      <c r="Q811" s="175">
        <v>0</v>
      </c>
      <c r="R811" s="175">
        <v>2.0200000000000001E-3</v>
      </c>
      <c r="S811" s="175">
        <v>2.4199999999999998E-3</v>
      </c>
      <c r="T811" s="175">
        <v>2.0400000000000001E-3</v>
      </c>
      <c r="U811" s="175">
        <v>3.0300000000000001E-3</v>
      </c>
      <c r="V811" s="706">
        <v>6.7099999999999998E-3</v>
      </c>
      <c r="W811" s="717"/>
      <c r="X811" s="713"/>
      <c r="Y811" s="718"/>
      <c r="Z811" s="709">
        <v>29</v>
      </c>
      <c r="AA811" s="175"/>
      <c r="AB811" s="200"/>
      <c r="AC811" s="205">
        <v>1.2999999999999999E-2</v>
      </c>
      <c r="AD811" s="175">
        <v>8.1</v>
      </c>
      <c r="AE811" s="175">
        <v>0.31</v>
      </c>
      <c r="AF811" s="170">
        <f t="shared" ref="AF811:AF874" si="15">AE811*AD811</f>
        <v>2.5109999999999997</v>
      </c>
      <c r="AG811" s="175">
        <v>1.0900000000000001</v>
      </c>
      <c r="AH811" s="334"/>
      <c r="AI811" s="188"/>
      <c r="AJ811" s="188"/>
      <c r="AK811" s="188"/>
      <c r="AL811" s="189"/>
      <c r="AM811" s="189"/>
      <c r="AN811" s="189"/>
      <c r="AO811" s="189"/>
      <c r="AP811" s="189"/>
      <c r="AQ811" s="189"/>
      <c r="AR811" s="189"/>
      <c r="AS811" s="189"/>
      <c r="AT811" s="189"/>
      <c r="AU811" s="190"/>
      <c r="AV811" s="190"/>
      <c r="AW811" s="190"/>
      <c r="AX811" s="190"/>
      <c r="AY811" s="190"/>
      <c r="AZ811" s="189"/>
      <c r="BA811" s="189"/>
      <c r="BB811" s="189"/>
      <c r="BC811" s="189"/>
      <c r="BD811" s="189"/>
      <c r="BE811" s="189"/>
      <c r="BF811" s="189"/>
      <c r="BG811" s="189"/>
      <c r="BH811" s="189"/>
      <c r="BI811" s="190"/>
      <c r="BJ811" s="190"/>
      <c r="BK811" s="190"/>
      <c r="BL811" s="190"/>
      <c r="BM811" s="190"/>
      <c r="BN811" s="190"/>
      <c r="BO811" s="190"/>
      <c r="BP811" s="190"/>
      <c r="BQ811" s="190"/>
      <c r="BR811" s="190"/>
      <c r="BS811" s="190"/>
      <c r="BT811" s="190"/>
      <c r="BU811" s="190"/>
      <c r="BV811" s="190"/>
      <c r="BW811" s="190"/>
      <c r="BX811" s="190"/>
      <c r="BY811" s="190"/>
      <c r="BZ811" s="190"/>
      <c r="CA811" s="189"/>
      <c r="CB811" s="15"/>
    </row>
    <row r="812" spans="1:80" ht="15" x14ac:dyDescent="0.25">
      <c r="A812" s="167"/>
      <c r="B812" s="642"/>
      <c r="C812" s="642"/>
      <c r="D812" s="179"/>
      <c r="E812" s="169"/>
      <c r="F812" s="169"/>
      <c r="G812" s="187"/>
      <c r="H812" s="187"/>
      <c r="I812" s="187"/>
      <c r="J812" s="187"/>
      <c r="K812" s="187"/>
      <c r="L812" s="647"/>
      <c r="M812" s="646">
        <v>33761</v>
      </c>
      <c r="N812" s="585">
        <v>2.85</v>
      </c>
      <c r="O812" s="585">
        <v>1.626E-2</v>
      </c>
      <c r="P812" s="175">
        <v>0</v>
      </c>
      <c r="Q812" s="175">
        <v>0</v>
      </c>
      <c r="R812" s="175">
        <v>1.1999999999999999E-3</v>
      </c>
      <c r="S812" s="175">
        <v>1.2700000000000001E-3</v>
      </c>
      <c r="T812" s="175">
        <v>1.81E-3</v>
      </c>
      <c r="U812" s="175">
        <v>2.5999999999999999E-3</v>
      </c>
      <c r="V812" s="706">
        <v>9.3799999999999994E-3</v>
      </c>
      <c r="W812" s="717"/>
      <c r="X812" s="713"/>
      <c r="Y812" s="718"/>
      <c r="Z812" s="709">
        <v>20</v>
      </c>
      <c r="AA812" s="175"/>
      <c r="AB812" s="200"/>
      <c r="AC812" s="205">
        <v>1.7999999999999999E-2</v>
      </c>
      <c r="AD812" s="175">
        <v>7.8</v>
      </c>
      <c r="AE812" s="175">
        <v>0.33</v>
      </c>
      <c r="AF812" s="170">
        <f t="shared" si="15"/>
        <v>2.5739999999999998</v>
      </c>
      <c r="AG812" s="175">
        <v>1.1299999999999999</v>
      </c>
      <c r="AH812" s="334"/>
      <c r="AI812" s="188"/>
      <c r="AJ812" s="188"/>
      <c r="AK812" s="188"/>
      <c r="AL812" s="189"/>
      <c r="AM812" s="189"/>
      <c r="AN812" s="189"/>
      <c r="AO812" s="189"/>
      <c r="AP812" s="189"/>
      <c r="AQ812" s="189"/>
      <c r="AR812" s="189"/>
      <c r="AS812" s="189"/>
      <c r="AT812" s="189"/>
      <c r="AU812" s="190"/>
      <c r="AV812" s="190"/>
      <c r="AW812" s="190"/>
      <c r="AX812" s="190"/>
      <c r="AY812" s="190"/>
      <c r="AZ812" s="189"/>
      <c r="BA812" s="189"/>
      <c r="BB812" s="189"/>
      <c r="BC812" s="189"/>
      <c r="BD812" s="189"/>
      <c r="BE812" s="189"/>
      <c r="BF812" s="189"/>
      <c r="BG812" s="189"/>
      <c r="BH812" s="189"/>
      <c r="BI812" s="190"/>
      <c r="BJ812" s="190"/>
      <c r="BK812" s="190"/>
      <c r="BL812" s="190"/>
      <c r="BM812" s="190"/>
      <c r="BN812" s="190"/>
      <c r="BO812" s="190"/>
      <c r="BP812" s="190"/>
      <c r="BQ812" s="190"/>
      <c r="BR812" s="190"/>
      <c r="BS812" s="190"/>
      <c r="BT812" s="190"/>
      <c r="BU812" s="190"/>
      <c r="BV812" s="190"/>
      <c r="BW812" s="190"/>
      <c r="BX812" s="190"/>
      <c r="BY812" s="190"/>
      <c r="BZ812" s="190"/>
      <c r="CA812" s="189"/>
      <c r="CB812" s="15"/>
    </row>
    <row r="813" spans="1:80" ht="15" x14ac:dyDescent="0.25">
      <c r="A813" s="167"/>
      <c r="B813" s="642"/>
      <c r="C813" s="642"/>
      <c r="D813" s="179"/>
      <c r="E813" s="169"/>
      <c r="F813" s="169"/>
      <c r="G813" s="187"/>
      <c r="H813" s="187"/>
      <c r="I813" s="187"/>
      <c r="J813" s="187"/>
      <c r="K813" s="187"/>
      <c r="L813" s="647"/>
      <c r="M813" s="646">
        <v>33761</v>
      </c>
      <c r="N813" s="585">
        <v>3.28</v>
      </c>
      <c r="O813" s="585">
        <v>7.4999999999999997E-2</v>
      </c>
      <c r="P813" s="175">
        <v>0</v>
      </c>
      <c r="Q813" s="175">
        <v>0</v>
      </c>
      <c r="R813" s="175">
        <v>7.5399999999999998E-3</v>
      </c>
      <c r="S813" s="175">
        <v>1.076E-2</v>
      </c>
      <c r="T813" s="175">
        <v>1.357E-2</v>
      </c>
      <c r="U813" s="175">
        <v>1.4959999999999999E-2</v>
      </c>
      <c r="V813" s="706">
        <v>2.8170000000000001E-2</v>
      </c>
      <c r="W813" s="717"/>
      <c r="X813" s="713"/>
      <c r="Y813" s="718"/>
      <c r="Z813" s="709">
        <v>30</v>
      </c>
      <c r="AA813" s="175"/>
      <c r="AB813" s="200"/>
      <c r="AC813" s="205">
        <v>1.9E-2</v>
      </c>
      <c r="AD813" s="175">
        <v>8</v>
      </c>
      <c r="AE813" s="175">
        <v>0.35</v>
      </c>
      <c r="AF813" s="170">
        <f t="shared" si="15"/>
        <v>2.8</v>
      </c>
      <c r="AG813" s="175">
        <v>1.22</v>
      </c>
      <c r="AH813" s="334"/>
      <c r="AI813" s="188"/>
      <c r="AJ813" s="188"/>
      <c r="AK813" s="188"/>
      <c r="AL813" s="189"/>
      <c r="AM813" s="189"/>
      <c r="AN813" s="189"/>
      <c r="AO813" s="189"/>
      <c r="AP813" s="189"/>
      <c r="AQ813" s="189"/>
      <c r="AR813" s="189"/>
      <c r="AS813" s="189"/>
      <c r="AT813" s="189"/>
      <c r="AU813" s="190"/>
      <c r="AV813" s="190"/>
      <c r="AW813" s="190"/>
      <c r="AX813" s="190"/>
      <c r="AY813" s="190"/>
      <c r="AZ813" s="189"/>
      <c r="BA813" s="189"/>
      <c r="BB813" s="189"/>
      <c r="BC813" s="189"/>
      <c r="BD813" s="189"/>
      <c r="BE813" s="189"/>
      <c r="BF813" s="189"/>
      <c r="BG813" s="189"/>
      <c r="BH813" s="189"/>
      <c r="BI813" s="190"/>
      <c r="BJ813" s="190"/>
      <c r="BK813" s="190"/>
      <c r="BL813" s="190"/>
      <c r="BM813" s="190"/>
      <c r="BN813" s="190"/>
      <c r="BO813" s="190"/>
      <c r="BP813" s="190"/>
      <c r="BQ813" s="190"/>
      <c r="BR813" s="190"/>
      <c r="BS813" s="190"/>
      <c r="BT813" s="190"/>
      <c r="BU813" s="190"/>
      <c r="BV813" s="190"/>
      <c r="BW813" s="190"/>
      <c r="BX813" s="190"/>
      <c r="BY813" s="190"/>
      <c r="BZ813" s="190"/>
      <c r="CA813" s="189"/>
      <c r="CB813" s="15"/>
    </row>
    <row r="814" spans="1:80" ht="15" x14ac:dyDescent="0.25">
      <c r="A814" s="167"/>
      <c r="B814" s="642"/>
      <c r="C814" s="642"/>
      <c r="D814" s="179"/>
      <c r="E814" s="169"/>
      <c r="F814" s="169"/>
      <c r="G814" s="187"/>
      <c r="H814" s="187"/>
      <c r="I814" s="187"/>
      <c r="J814" s="187"/>
      <c r="K814" s="187"/>
      <c r="L814" s="647"/>
      <c r="M814" s="646">
        <v>33761</v>
      </c>
      <c r="N814" s="585">
        <v>3.09</v>
      </c>
      <c r="O814" s="585">
        <v>2.2069999999999999E-2</v>
      </c>
      <c r="P814" s="175">
        <v>0</v>
      </c>
      <c r="Q814" s="175">
        <v>0</v>
      </c>
      <c r="R814" s="175">
        <v>0</v>
      </c>
      <c r="S814" s="175">
        <v>3.5599999999999998E-3</v>
      </c>
      <c r="T814" s="175">
        <v>3.2100000000000002E-3</v>
      </c>
      <c r="U814" s="175">
        <v>4.1700000000000001E-3</v>
      </c>
      <c r="V814" s="706">
        <v>1.112E-2</v>
      </c>
      <c r="W814" s="717"/>
      <c r="X814" s="713"/>
      <c r="Y814" s="718"/>
      <c r="Z814" s="709">
        <v>11</v>
      </c>
      <c r="AA814" s="175"/>
      <c r="AB814" s="200"/>
      <c r="AC814" s="205">
        <v>1.7999999999999999E-2</v>
      </c>
      <c r="AD814" s="175">
        <v>7.6</v>
      </c>
      <c r="AE814" s="175">
        <v>0.34</v>
      </c>
      <c r="AF814" s="170">
        <f t="shared" si="15"/>
        <v>2.5840000000000001</v>
      </c>
      <c r="AG814" s="175">
        <v>1.1399999999999999</v>
      </c>
      <c r="AH814" s="334"/>
      <c r="AI814" s="188"/>
      <c r="AJ814" s="188"/>
      <c r="AK814" s="188"/>
      <c r="AL814" s="189"/>
      <c r="AM814" s="189"/>
      <c r="AN814" s="189"/>
      <c r="AO814" s="189"/>
      <c r="AP814" s="189"/>
      <c r="AQ814" s="189"/>
      <c r="AR814" s="189"/>
      <c r="AS814" s="189"/>
      <c r="AT814" s="189"/>
      <c r="AU814" s="190"/>
      <c r="AV814" s="190"/>
      <c r="AW814" s="190"/>
      <c r="AX814" s="190"/>
      <c r="AY814" s="190"/>
      <c r="AZ814" s="189"/>
      <c r="BA814" s="189"/>
      <c r="BB814" s="189"/>
      <c r="BC814" s="189"/>
      <c r="BD814" s="189"/>
      <c r="BE814" s="189"/>
      <c r="BF814" s="189"/>
      <c r="BG814" s="189"/>
      <c r="BH814" s="189"/>
      <c r="BI814" s="190"/>
      <c r="BJ814" s="190"/>
      <c r="BK814" s="190"/>
      <c r="BL814" s="190"/>
      <c r="BM814" s="190"/>
      <c r="BN814" s="190"/>
      <c r="BO814" s="190"/>
      <c r="BP814" s="190"/>
      <c r="BQ814" s="190"/>
      <c r="BR814" s="190"/>
      <c r="BS814" s="190"/>
      <c r="BT814" s="190"/>
      <c r="BU814" s="190"/>
      <c r="BV814" s="190"/>
      <c r="BW814" s="190"/>
      <c r="BX814" s="190"/>
      <c r="BY814" s="190"/>
      <c r="BZ814" s="190"/>
      <c r="CA814" s="189"/>
      <c r="CB814" s="15"/>
    </row>
    <row r="815" spans="1:80" ht="15" x14ac:dyDescent="0.25">
      <c r="A815" s="167"/>
      <c r="B815" s="642"/>
      <c r="C815" s="642"/>
      <c r="D815" s="179"/>
      <c r="E815" s="169"/>
      <c r="F815" s="169"/>
      <c r="G815" s="187"/>
      <c r="H815" s="187"/>
      <c r="I815" s="187"/>
      <c r="J815" s="187"/>
      <c r="K815" s="187"/>
      <c r="L815" s="647"/>
      <c r="M815" s="646">
        <v>33763</v>
      </c>
      <c r="N815" s="585">
        <v>3.96</v>
      </c>
      <c r="O815" s="585">
        <v>0.16424</v>
      </c>
      <c r="P815" s="175">
        <v>0</v>
      </c>
      <c r="Q815" s="175">
        <v>1.29E-2</v>
      </c>
      <c r="R815" s="175">
        <v>2.2079999999999999E-2</v>
      </c>
      <c r="S815" s="175">
        <v>1.695E-2</v>
      </c>
      <c r="T815" s="175">
        <v>2.5149999999999999E-2</v>
      </c>
      <c r="U815" s="175">
        <v>3.2070000000000001E-2</v>
      </c>
      <c r="V815" s="706">
        <v>5.5070000000000001E-2</v>
      </c>
      <c r="W815" s="717"/>
      <c r="X815" s="713"/>
      <c r="Y815" s="718"/>
      <c r="Z815" s="709">
        <v>58</v>
      </c>
      <c r="AA815" s="175"/>
      <c r="AB815" s="200"/>
      <c r="AC815" s="205">
        <v>1.2999999999999999E-2</v>
      </c>
      <c r="AD815" s="175">
        <v>8.1999999999999993</v>
      </c>
      <c r="AE815" s="175">
        <v>0.36</v>
      </c>
      <c r="AF815" s="170">
        <f t="shared" si="15"/>
        <v>2.9519999999999995</v>
      </c>
      <c r="AG815" s="175">
        <v>1.28</v>
      </c>
      <c r="AH815" s="334"/>
      <c r="AI815" s="188"/>
      <c r="AJ815" s="188"/>
      <c r="AK815" s="188"/>
      <c r="AL815" s="189"/>
      <c r="AM815" s="189"/>
      <c r="AN815" s="189"/>
      <c r="AO815" s="189"/>
      <c r="AP815" s="189"/>
      <c r="AQ815" s="189"/>
      <c r="AR815" s="189"/>
      <c r="AS815" s="189"/>
      <c r="AT815" s="189"/>
      <c r="AU815" s="190"/>
      <c r="AV815" s="190"/>
      <c r="AW815" s="190"/>
      <c r="AX815" s="190"/>
      <c r="AY815" s="190"/>
      <c r="AZ815" s="189"/>
      <c r="BA815" s="189"/>
      <c r="BB815" s="189"/>
      <c r="BC815" s="189"/>
      <c r="BD815" s="189"/>
      <c r="BE815" s="189"/>
      <c r="BF815" s="189"/>
      <c r="BG815" s="189"/>
      <c r="BH815" s="189"/>
      <c r="BI815" s="190"/>
      <c r="BJ815" s="190"/>
      <c r="BK815" s="190"/>
      <c r="BL815" s="190"/>
      <c r="BM815" s="190"/>
      <c r="BN815" s="190"/>
      <c r="BO815" s="190"/>
      <c r="BP815" s="190"/>
      <c r="BQ815" s="190"/>
      <c r="BR815" s="190"/>
      <c r="BS815" s="190"/>
      <c r="BT815" s="190"/>
      <c r="BU815" s="190"/>
      <c r="BV815" s="190"/>
      <c r="BW815" s="190"/>
      <c r="BX815" s="190"/>
      <c r="BY815" s="190"/>
      <c r="BZ815" s="190"/>
      <c r="CA815" s="189"/>
      <c r="CB815" s="15"/>
    </row>
    <row r="816" spans="1:80" ht="15" x14ac:dyDescent="0.25">
      <c r="A816" s="167"/>
      <c r="B816" s="642"/>
      <c r="C816" s="642"/>
      <c r="D816" s="179"/>
      <c r="E816" s="169"/>
      <c r="F816" s="169"/>
      <c r="G816" s="187"/>
      <c r="H816" s="187"/>
      <c r="I816" s="187"/>
      <c r="J816" s="187"/>
      <c r="K816" s="187"/>
      <c r="L816" s="647"/>
      <c r="M816" s="646">
        <v>33764</v>
      </c>
      <c r="N816" s="585">
        <v>3.56</v>
      </c>
      <c r="O816" s="585">
        <v>0.12426</v>
      </c>
      <c r="P816" s="175">
        <v>0</v>
      </c>
      <c r="Q816" s="175">
        <v>0</v>
      </c>
      <c r="R816" s="175">
        <v>1.0109999999999999E-2</v>
      </c>
      <c r="S816" s="175">
        <v>1.44E-2</v>
      </c>
      <c r="T816" s="175">
        <v>2.436E-2</v>
      </c>
      <c r="U816" s="175">
        <v>3.168E-2</v>
      </c>
      <c r="V816" s="706">
        <v>4.3700000000000003E-2</v>
      </c>
      <c r="W816" s="717"/>
      <c r="X816" s="713"/>
      <c r="Y816" s="718"/>
      <c r="Z816" s="709">
        <v>40</v>
      </c>
      <c r="AA816" s="175"/>
      <c r="AB816" s="200"/>
      <c r="AC816" s="205">
        <v>1.2999999999999999E-2</v>
      </c>
      <c r="AD816" s="175">
        <v>8.3000000000000007</v>
      </c>
      <c r="AE816" s="175">
        <v>0.34</v>
      </c>
      <c r="AF816" s="170">
        <f t="shared" si="15"/>
        <v>2.8220000000000005</v>
      </c>
      <c r="AG816" s="175">
        <v>1.26</v>
      </c>
      <c r="AH816" s="334"/>
      <c r="AI816" s="188"/>
      <c r="AJ816" s="188"/>
      <c r="AK816" s="188"/>
      <c r="AL816" s="189"/>
      <c r="AM816" s="189"/>
      <c r="AN816" s="189"/>
      <c r="AO816" s="189"/>
      <c r="AP816" s="189"/>
      <c r="AQ816" s="189"/>
      <c r="AR816" s="189"/>
      <c r="AS816" s="189"/>
      <c r="AT816" s="189"/>
      <c r="AU816" s="190"/>
      <c r="AV816" s="190"/>
      <c r="AW816" s="190"/>
      <c r="AX816" s="190"/>
      <c r="AY816" s="190"/>
      <c r="AZ816" s="189"/>
      <c r="BA816" s="189"/>
      <c r="BB816" s="189"/>
      <c r="BC816" s="189"/>
      <c r="BD816" s="189"/>
      <c r="BE816" s="189"/>
      <c r="BF816" s="189"/>
      <c r="BG816" s="189"/>
      <c r="BH816" s="189"/>
      <c r="BI816" s="190"/>
      <c r="BJ816" s="190"/>
      <c r="BK816" s="190"/>
      <c r="BL816" s="190"/>
      <c r="BM816" s="190"/>
      <c r="BN816" s="190"/>
      <c r="BO816" s="190"/>
      <c r="BP816" s="190"/>
      <c r="BQ816" s="190"/>
      <c r="BR816" s="190"/>
      <c r="BS816" s="190"/>
      <c r="BT816" s="190"/>
      <c r="BU816" s="190"/>
      <c r="BV816" s="190"/>
      <c r="BW816" s="190"/>
      <c r="BX816" s="190"/>
      <c r="BY816" s="190"/>
      <c r="BZ816" s="190"/>
      <c r="CA816" s="189"/>
      <c r="CB816" s="15"/>
    </row>
    <row r="817" spans="1:80" ht="15" x14ac:dyDescent="0.25">
      <c r="A817" s="167"/>
      <c r="B817" s="642"/>
      <c r="C817" s="642"/>
      <c r="D817" s="179"/>
      <c r="E817" s="169"/>
      <c r="F817" s="169"/>
      <c r="G817" s="187"/>
      <c r="H817" s="187"/>
      <c r="I817" s="187"/>
      <c r="J817" s="187"/>
      <c r="K817" s="187"/>
      <c r="L817" s="647"/>
      <c r="M817" s="646">
        <v>33764</v>
      </c>
      <c r="N817" s="585">
        <v>3.37</v>
      </c>
      <c r="O817" s="585">
        <v>5.9400000000000001E-2</v>
      </c>
      <c r="P817" s="175">
        <v>0</v>
      </c>
      <c r="Q817" s="175">
        <v>0</v>
      </c>
      <c r="R817" s="175">
        <v>2.0100000000000001E-3</v>
      </c>
      <c r="S817" s="175">
        <v>5.8799999999999998E-3</v>
      </c>
      <c r="T817" s="175">
        <v>1.2200000000000001E-2</v>
      </c>
      <c r="U817" s="175">
        <v>1.5270000000000001E-2</v>
      </c>
      <c r="V817" s="706">
        <v>2.4049999999999998E-2</v>
      </c>
      <c r="W817" s="717"/>
      <c r="X817" s="713"/>
      <c r="Y817" s="718"/>
      <c r="Z817" s="709">
        <v>23</v>
      </c>
      <c r="AA817" s="175"/>
      <c r="AB817" s="200"/>
      <c r="AC817" s="205">
        <v>1.7000000000000001E-2</v>
      </c>
      <c r="AD817" s="175">
        <v>8.3000000000000007</v>
      </c>
      <c r="AE817" s="175">
        <v>0.35</v>
      </c>
      <c r="AF817" s="170">
        <f t="shared" si="15"/>
        <v>2.9050000000000002</v>
      </c>
      <c r="AG817" s="175">
        <v>1.17</v>
      </c>
      <c r="AH817" s="334"/>
      <c r="AI817" s="188"/>
      <c r="AJ817" s="188"/>
      <c r="AK817" s="188"/>
      <c r="AL817" s="189"/>
      <c r="AM817" s="189"/>
      <c r="AN817" s="189"/>
      <c r="AO817" s="189"/>
      <c r="AP817" s="189"/>
      <c r="AQ817" s="189"/>
      <c r="AR817" s="189"/>
      <c r="AS817" s="189"/>
      <c r="AT817" s="189"/>
      <c r="AU817" s="190"/>
      <c r="AV817" s="190"/>
      <c r="AW817" s="190"/>
      <c r="AX817" s="190"/>
      <c r="AY817" s="190"/>
      <c r="AZ817" s="189"/>
      <c r="BA817" s="189"/>
      <c r="BB817" s="189"/>
      <c r="BC817" s="189"/>
      <c r="BD817" s="189"/>
      <c r="BE817" s="189"/>
      <c r="BF817" s="189"/>
      <c r="BG817" s="189"/>
      <c r="BH817" s="189"/>
      <c r="BI817" s="190"/>
      <c r="BJ817" s="190"/>
      <c r="BK817" s="190"/>
      <c r="BL817" s="190"/>
      <c r="BM817" s="190"/>
      <c r="BN817" s="190"/>
      <c r="BO817" s="190"/>
      <c r="BP817" s="190"/>
      <c r="BQ817" s="190"/>
      <c r="BR817" s="190"/>
      <c r="BS817" s="190"/>
      <c r="BT817" s="190"/>
      <c r="BU817" s="190"/>
      <c r="BV817" s="190"/>
      <c r="BW817" s="190"/>
      <c r="BX817" s="190"/>
      <c r="BY817" s="190"/>
      <c r="BZ817" s="190"/>
      <c r="CA817" s="189"/>
      <c r="CB817" s="15"/>
    </row>
    <row r="818" spans="1:80" ht="15" x14ac:dyDescent="0.25">
      <c r="A818" s="167"/>
      <c r="B818" s="642"/>
      <c r="C818" s="642"/>
      <c r="D818" s="179"/>
      <c r="E818" s="169"/>
      <c r="F818" s="169"/>
      <c r="G818" s="187"/>
      <c r="H818" s="187"/>
      <c r="I818" s="187"/>
      <c r="J818" s="187"/>
      <c r="K818" s="187"/>
      <c r="L818" s="647"/>
      <c r="M818" s="646">
        <v>33764</v>
      </c>
      <c r="N818" s="585">
        <v>4.01</v>
      </c>
      <c r="O818" s="585">
        <v>7.2749999999999995E-2</v>
      </c>
      <c r="P818" s="175">
        <v>0</v>
      </c>
      <c r="Q818" s="175">
        <v>0</v>
      </c>
      <c r="R818" s="175">
        <v>3.1900000000000001E-3</v>
      </c>
      <c r="S818" s="175">
        <v>2.6700000000000001E-3</v>
      </c>
      <c r="T818" s="175">
        <v>7.1000000000000004E-3</v>
      </c>
      <c r="U818" s="175">
        <v>1.478E-2</v>
      </c>
      <c r="V818" s="706">
        <v>4.5010000000000001E-2</v>
      </c>
      <c r="W818" s="717"/>
      <c r="X818" s="713"/>
      <c r="Y818" s="718"/>
      <c r="Z818" s="709">
        <v>30</v>
      </c>
      <c r="AA818" s="175"/>
      <c r="AB818" s="200"/>
      <c r="AC818" s="205">
        <v>1.0999999999999999E-2</v>
      </c>
      <c r="AD818" s="175">
        <v>8.1999999999999993</v>
      </c>
      <c r="AE818" s="175">
        <v>0.37</v>
      </c>
      <c r="AF818" s="170">
        <f t="shared" si="15"/>
        <v>3.0339999999999998</v>
      </c>
      <c r="AG818" s="175">
        <v>1.29</v>
      </c>
      <c r="AH818" s="334"/>
      <c r="AI818" s="188"/>
      <c r="AJ818" s="188"/>
      <c r="AK818" s="188"/>
      <c r="AL818" s="189"/>
      <c r="AM818" s="189"/>
      <c r="AN818" s="189"/>
      <c r="AO818" s="189"/>
      <c r="AP818" s="189"/>
      <c r="AQ818" s="189"/>
      <c r="AR818" s="189"/>
      <c r="AS818" s="189"/>
      <c r="AT818" s="189"/>
      <c r="AU818" s="190"/>
      <c r="AV818" s="190"/>
      <c r="AW818" s="190"/>
      <c r="AX818" s="190"/>
      <c r="AY818" s="190"/>
      <c r="AZ818" s="189"/>
      <c r="BA818" s="189"/>
      <c r="BB818" s="189"/>
      <c r="BC818" s="189"/>
      <c r="BD818" s="189"/>
      <c r="BE818" s="189"/>
      <c r="BF818" s="189"/>
      <c r="BG818" s="189"/>
      <c r="BH818" s="189"/>
      <c r="BI818" s="190"/>
      <c r="BJ818" s="190"/>
      <c r="BK818" s="190"/>
      <c r="BL818" s="190"/>
      <c r="BM818" s="190"/>
      <c r="BN818" s="190"/>
      <c r="BO818" s="190"/>
      <c r="BP818" s="190"/>
      <c r="BQ818" s="190"/>
      <c r="BR818" s="190"/>
      <c r="BS818" s="190"/>
      <c r="BT818" s="190"/>
      <c r="BU818" s="190"/>
      <c r="BV818" s="190"/>
      <c r="BW818" s="190"/>
      <c r="BX818" s="190"/>
      <c r="BY818" s="190"/>
      <c r="BZ818" s="190"/>
      <c r="CA818" s="189"/>
      <c r="CB818" s="15"/>
    </row>
    <row r="819" spans="1:80" ht="15" x14ac:dyDescent="0.25">
      <c r="A819" s="167"/>
      <c r="B819" s="642"/>
      <c r="C819" s="642"/>
      <c r="D819" s="179"/>
      <c r="E819" s="169"/>
      <c r="F819" s="169"/>
      <c r="G819" s="187"/>
      <c r="H819" s="187"/>
      <c r="I819" s="187"/>
      <c r="J819" s="187"/>
      <c r="K819" s="187"/>
      <c r="L819" s="647"/>
      <c r="M819" s="646">
        <v>33764</v>
      </c>
      <c r="N819" s="585">
        <v>4.0599999999999996</v>
      </c>
      <c r="O819" s="585">
        <v>0.12920000000000001</v>
      </c>
      <c r="P819" s="175">
        <v>0</v>
      </c>
      <c r="Q819" s="175">
        <v>1.9429999999999999E-2</v>
      </c>
      <c r="R819" s="175">
        <v>5.1900000000000002E-3</v>
      </c>
      <c r="S819" s="175">
        <v>1.618E-2</v>
      </c>
      <c r="T819" s="175">
        <v>1.873E-2</v>
      </c>
      <c r="U819" s="175">
        <v>2.4029999999999999E-2</v>
      </c>
      <c r="V819" s="706">
        <v>4.5629999999999997E-2</v>
      </c>
      <c r="W819" s="717"/>
      <c r="X819" s="713"/>
      <c r="Y819" s="718"/>
      <c r="Z819" s="709">
        <v>56</v>
      </c>
      <c r="AA819" s="175"/>
      <c r="AB819" s="200"/>
      <c r="AC819" s="205">
        <v>1.7999999999999999E-2</v>
      </c>
      <c r="AD819" s="175">
        <v>8.6999999999999993</v>
      </c>
      <c r="AE819" s="175">
        <v>0.35</v>
      </c>
      <c r="AF819" s="170">
        <f t="shared" si="15"/>
        <v>3.0449999999999995</v>
      </c>
      <c r="AG819" s="175">
        <v>1.34</v>
      </c>
      <c r="AH819" s="334"/>
      <c r="AI819" s="188"/>
      <c r="AJ819" s="188"/>
      <c r="AK819" s="188"/>
      <c r="AL819" s="189"/>
      <c r="AM819" s="189"/>
      <c r="AN819" s="189"/>
      <c r="AO819" s="189"/>
      <c r="AP819" s="189"/>
      <c r="AQ819" s="189"/>
      <c r="AR819" s="189"/>
      <c r="AS819" s="189"/>
      <c r="AT819" s="189"/>
      <c r="AU819" s="190"/>
      <c r="AV819" s="190"/>
      <c r="AW819" s="190"/>
      <c r="AX819" s="190"/>
      <c r="AY819" s="190"/>
      <c r="AZ819" s="189"/>
      <c r="BA819" s="189"/>
      <c r="BB819" s="189"/>
      <c r="BC819" s="189"/>
      <c r="BD819" s="189"/>
      <c r="BE819" s="189"/>
      <c r="BF819" s="189"/>
      <c r="BG819" s="189"/>
      <c r="BH819" s="189"/>
      <c r="BI819" s="190"/>
      <c r="BJ819" s="190"/>
      <c r="BK819" s="190"/>
      <c r="BL819" s="190"/>
      <c r="BM819" s="190"/>
      <c r="BN819" s="190"/>
      <c r="BO819" s="190"/>
      <c r="BP819" s="190"/>
      <c r="BQ819" s="190"/>
      <c r="BR819" s="190"/>
      <c r="BS819" s="190"/>
      <c r="BT819" s="190"/>
      <c r="BU819" s="190"/>
      <c r="BV819" s="190"/>
      <c r="BW819" s="190"/>
      <c r="BX819" s="190"/>
      <c r="BY819" s="190"/>
      <c r="BZ819" s="190"/>
      <c r="CA819" s="189"/>
      <c r="CB819" s="15"/>
    </row>
    <row r="820" spans="1:80" ht="15" x14ac:dyDescent="0.25">
      <c r="A820" s="167"/>
      <c r="B820" s="642"/>
      <c r="C820" s="642"/>
      <c r="D820" s="179"/>
      <c r="E820" s="169"/>
      <c r="F820" s="169"/>
      <c r="G820" s="187"/>
      <c r="H820" s="187"/>
      <c r="I820" s="187"/>
      <c r="J820" s="187"/>
      <c r="K820" s="187"/>
      <c r="L820" s="647"/>
      <c r="M820" s="646">
        <v>33765</v>
      </c>
      <c r="N820" s="585">
        <v>3.81</v>
      </c>
      <c r="O820" s="585">
        <v>7.9759999999999998E-2</v>
      </c>
      <c r="P820" s="175">
        <v>0</v>
      </c>
      <c r="Q820" s="175">
        <v>1.282E-2</v>
      </c>
      <c r="R820" s="175">
        <v>5.5999999999999995E-4</v>
      </c>
      <c r="S820" s="175">
        <v>5.28E-3</v>
      </c>
      <c r="T820" s="175">
        <v>1.11E-2</v>
      </c>
      <c r="U820" s="175">
        <v>1.7160000000000002E-2</v>
      </c>
      <c r="V820" s="706">
        <v>3.2840000000000001E-2</v>
      </c>
      <c r="W820" s="717"/>
      <c r="X820" s="713"/>
      <c r="Y820" s="718"/>
      <c r="Z820" s="709">
        <v>42</v>
      </c>
      <c r="AA820" s="175"/>
      <c r="AB820" s="200"/>
      <c r="AC820" s="205">
        <v>1.7000000000000001E-2</v>
      </c>
      <c r="AD820" s="175">
        <v>8.35</v>
      </c>
      <c r="AE820" s="175">
        <v>0.35</v>
      </c>
      <c r="AF820" s="170">
        <f t="shared" si="15"/>
        <v>2.9224999999999999</v>
      </c>
      <c r="AG820" s="175">
        <v>1.23</v>
      </c>
      <c r="AH820" s="334"/>
      <c r="AI820" s="188"/>
      <c r="AJ820" s="188"/>
      <c r="AK820" s="188"/>
      <c r="AL820" s="189"/>
      <c r="AM820" s="189"/>
      <c r="AN820" s="189"/>
      <c r="AO820" s="189"/>
      <c r="AP820" s="189"/>
      <c r="AQ820" s="189"/>
      <c r="AR820" s="189"/>
      <c r="AS820" s="189"/>
      <c r="AT820" s="189"/>
      <c r="AU820" s="190"/>
      <c r="AV820" s="190"/>
      <c r="AW820" s="190"/>
      <c r="AX820" s="190"/>
      <c r="AY820" s="190"/>
      <c r="AZ820" s="189"/>
      <c r="BA820" s="189"/>
      <c r="BB820" s="189"/>
      <c r="BC820" s="189"/>
      <c r="BD820" s="189"/>
      <c r="BE820" s="189"/>
      <c r="BF820" s="189"/>
      <c r="BG820" s="189"/>
      <c r="BH820" s="189"/>
      <c r="BI820" s="190"/>
      <c r="BJ820" s="190"/>
      <c r="BK820" s="190"/>
      <c r="BL820" s="190"/>
      <c r="BM820" s="190"/>
      <c r="BN820" s="190"/>
      <c r="BO820" s="190"/>
      <c r="BP820" s="190"/>
      <c r="BQ820" s="190"/>
      <c r="BR820" s="190"/>
      <c r="BS820" s="190"/>
      <c r="BT820" s="190"/>
      <c r="BU820" s="190"/>
      <c r="BV820" s="190"/>
      <c r="BW820" s="190"/>
      <c r="BX820" s="190"/>
      <c r="BY820" s="190"/>
      <c r="BZ820" s="190"/>
      <c r="CA820" s="189"/>
      <c r="CB820" s="15"/>
    </row>
    <row r="821" spans="1:80" ht="15" x14ac:dyDescent="0.25">
      <c r="A821" s="167"/>
      <c r="B821" s="642"/>
      <c r="C821" s="642"/>
      <c r="D821" s="179"/>
      <c r="E821" s="169"/>
      <c r="F821" s="169"/>
      <c r="G821" s="187"/>
      <c r="H821" s="187"/>
      <c r="I821" s="187"/>
      <c r="J821" s="187"/>
      <c r="K821" s="187"/>
      <c r="L821" s="647"/>
      <c r="M821" s="646">
        <v>33765</v>
      </c>
      <c r="N821" s="585">
        <v>3.47</v>
      </c>
      <c r="O821" s="585">
        <v>4.4299999999999999E-2</v>
      </c>
      <c r="P821" s="175">
        <v>0</v>
      </c>
      <c r="Q821" s="175">
        <v>0</v>
      </c>
      <c r="R821" s="175">
        <v>4.1000000000000003E-3</v>
      </c>
      <c r="S821" s="175">
        <v>4.47E-3</v>
      </c>
      <c r="T821" s="175">
        <v>8.2199999999999999E-3</v>
      </c>
      <c r="U821" s="175">
        <v>1.192E-2</v>
      </c>
      <c r="V821" s="706">
        <v>1.559E-2</v>
      </c>
      <c r="W821" s="717"/>
      <c r="X821" s="713"/>
      <c r="Y821" s="718"/>
      <c r="Z821" s="709">
        <v>35</v>
      </c>
      <c r="AA821" s="175"/>
      <c r="AB821" s="200"/>
      <c r="AC821" s="205">
        <v>1.9E-2</v>
      </c>
      <c r="AD821" s="175">
        <v>8.5</v>
      </c>
      <c r="AE821" s="175">
        <v>0.34</v>
      </c>
      <c r="AF821" s="170">
        <f t="shared" si="15"/>
        <v>2.89</v>
      </c>
      <c r="AG821" s="175">
        <v>1.27</v>
      </c>
      <c r="AH821" s="334"/>
      <c r="AI821" s="188"/>
      <c r="AJ821" s="188"/>
      <c r="AK821" s="188"/>
      <c r="AL821" s="189"/>
      <c r="AM821" s="189"/>
      <c r="AN821" s="189"/>
      <c r="AO821" s="189"/>
      <c r="AP821" s="189"/>
      <c r="AQ821" s="189"/>
      <c r="AR821" s="189"/>
      <c r="AS821" s="189"/>
      <c r="AT821" s="189"/>
      <c r="AU821" s="190"/>
      <c r="AV821" s="190"/>
      <c r="AW821" s="190"/>
      <c r="AX821" s="190"/>
      <c r="AY821" s="190"/>
      <c r="AZ821" s="189"/>
      <c r="BA821" s="189"/>
      <c r="BB821" s="189"/>
      <c r="BC821" s="189"/>
      <c r="BD821" s="189"/>
      <c r="BE821" s="189"/>
      <c r="BF821" s="189"/>
      <c r="BG821" s="189"/>
      <c r="BH821" s="189"/>
      <c r="BI821" s="190"/>
      <c r="BJ821" s="190"/>
      <c r="BK821" s="190"/>
      <c r="BL821" s="190"/>
      <c r="BM821" s="190"/>
      <c r="BN821" s="190"/>
      <c r="BO821" s="190"/>
      <c r="BP821" s="190"/>
      <c r="BQ821" s="190"/>
      <c r="BR821" s="190"/>
      <c r="BS821" s="190"/>
      <c r="BT821" s="190"/>
      <c r="BU821" s="190"/>
      <c r="BV821" s="190"/>
      <c r="BW821" s="190"/>
      <c r="BX821" s="190"/>
      <c r="BY821" s="190"/>
      <c r="BZ821" s="190"/>
      <c r="CA821" s="189"/>
      <c r="CB821" s="15"/>
    </row>
    <row r="822" spans="1:80" ht="15" x14ac:dyDescent="0.25">
      <c r="A822" s="167"/>
      <c r="B822" s="642"/>
      <c r="C822" s="642"/>
      <c r="D822" s="179"/>
      <c r="E822" s="169"/>
      <c r="F822" s="169"/>
      <c r="G822" s="187"/>
      <c r="H822" s="187"/>
      <c r="I822" s="187"/>
      <c r="J822" s="187"/>
      <c r="K822" s="187"/>
      <c r="L822" s="647"/>
      <c r="M822" s="646">
        <v>33765</v>
      </c>
      <c r="N822" s="585">
        <v>3.66</v>
      </c>
      <c r="O822" s="585">
        <v>5.6849999999999998E-2</v>
      </c>
      <c r="P822" s="175">
        <v>0</v>
      </c>
      <c r="Q822" s="175">
        <v>0</v>
      </c>
      <c r="R822" s="175">
        <v>1.2899999999999999E-3</v>
      </c>
      <c r="S822" s="175">
        <v>3.4099999999999998E-3</v>
      </c>
      <c r="T822" s="175">
        <v>6.6600000000000001E-3</v>
      </c>
      <c r="U822" s="175">
        <v>1.225E-2</v>
      </c>
      <c r="V822" s="706">
        <v>3.3259999999999998E-2</v>
      </c>
      <c r="W822" s="717"/>
      <c r="X822" s="713"/>
      <c r="Y822" s="718"/>
      <c r="Z822" s="709">
        <v>28</v>
      </c>
      <c r="AA822" s="175"/>
      <c r="AB822" s="200"/>
      <c r="AC822" s="205">
        <v>1.4E-2</v>
      </c>
      <c r="AD822" s="175">
        <v>8.1</v>
      </c>
      <c r="AE822" s="175">
        <v>0.35</v>
      </c>
      <c r="AF822" s="170">
        <f t="shared" si="15"/>
        <v>2.8349999999999995</v>
      </c>
      <c r="AG822" s="175">
        <v>1.23</v>
      </c>
      <c r="AH822" s="334"/>
      <c r="AI822" s="188"/>
      <c r="AJ822" s="188"/>
      <c r="AK822" s="188"/>
      <c r="AL822" s="189"/>
      <c r="AM822" s="189"/>
      <c r="AN822" s="189"/>
      <c r="AO822" s="189"/>
      <c r="AP822" s="189"/>
      <c r="AQ822" s="189"/>
      <c r="AR822" s="189"/>
      <c r="AS822" s="189"/>
      <c r="AT822" s="189"/>
      <c r="AU822" s="190"/>
      <c r="AV822" s="190"/>
      <c r="AW822" s="190"/>
      <c r="AX822" s="190"/>
      <c r="AY822" s="190"/>
      <c r="AZ822" s="189"/>
      <c r="BA822" s="189"/>
      <c r="BB822" s="189"/>
      <c r="BC822" s="189"/>
      <c r="BD822" s="189"/>
      <c r="BE822" s="189"/>
      <c r="BF822" s="189"/>
      <c r="BG822" s="189"/>
      <c r="BH822" s="189"/>
      <c r="BI822" s="190"/>
      <c r="BJ822" s="190"/>
      <c r="BK822" s="190"/>
      <c r="BL822" s="190"/>
      <c r="BM822" s="190"/>
      <c r="BN822" s="190"/>
      <c r="BO822" s="190"/>
      <c r="BP822" s="190"/>
      <c r="BQ822" s="190"/>
      <c r="BR822" s="190"/>
      <c r="BS822" s="190"/>
      <c r="BT822" s="190"/>
      <c r="BU822" s="190"/>
      <c r="BV822" s="190"/>
      <c r="BW822" s="190"/>
      <c r="BX822" s="190"/>
      <c r="BY822" s="190"/>
      <c r="BZ822" s="190"/>
      <c r="CA822" s="189"/>
      <c r="CB822" s="15"/>
    </row>
    <row r="823" spans="1:80" ht="15" x14ac:dyDescent="0.25">
      <c r="A823" s="167"/>
      <c r="B823" s="642"/>
      <c r="C823" s="642"/>
      <c r="D823" s="179"/>
      <c r="E823" s="169"/>
      <c r="F823" s="169"/>
      <c r="G823" s="187"/>
      <c r="H823" s="187"/>
      <c r="I823" s="187"/>
      <c r="J823" s="187"/>
      <c r="K823" s="187"/>
      <c r="L823" s="647"/>
      <c r="M823" s="646">
        <v>33765</v>
      </c>
      <c r="N823" s="585">
        <v>4.16</v>
      </c>
      <c r="O823" s="585">
        <v>4.879E-2</v>
      </c>
      <c r="P823" s="175">
        <v>0</v>
      </c>
      <c r="Q823" s="175">
        <v>5.8700000000000002E-3</v>
      </c>
      <c r="R823" s="175">
        <v>5.1000000000000004E-4</v>
      </c>
      <c r="S823" s="175">
        <v>3.0699999999999998E-3</v>
      </c>
      <c r="T823" s="175">
        <v>6.0299999999999998E-3</v>
      </c>
      <c r="U823" s="175">
        <v>8.8299999999999993E-3</v>
      </c>
      <c r="V823" s="706">
        <v>2.4479999999999998E-2</v>
      </c>
      <c r="W823" s="717"/>
      <c r="X823" s="713"/>
      <c r="Y823" s="718"/>
      <c r="Z823" s="709">
        <v>38</v>
      </c>
      <c r="AA823" s="175"/>
      <c r="AB823" s="200"/>
      <c r="AC823" s="205">
        <v>1.7999999999999999E-2</v>
      </c>
      <c r="AD823" s="175">
        <v>8.5</v>
      </c>
      <c r="AE823" s="175">
        <v>0.36</v>
      </c>
      <c r="AF823" s="170">
        <f t="shared" si="15"/>
        <v>3.06</v>
      </c>
      <c r="AG823" s="175">
        <v>1.43</v>
      </c>
      <c r="AH823" s="334"/>
      <c r="AI823" s="188"/>
      <c r="AJ823" s="188"/>
      <c r="AK823" s="188"/>
      <c r="AL823" s="189"/>
      <c r="AM823" s="189"/>
      <c r="AN823" s="189"/>
      <c r="AO823" s="189"/>
      <c r="AP823" s="189"/>
      <c r="AQ823" s="189"/>
      <c r="AR823" s="189"/>
      <c r="AS823" s="189"/>
      <c r="AT823" s="189"/>
      <c r="AU823" s="190"/>
      <c r="AV823" s="190"/>
      <c r="AW823" s="190"/>
      <c r="AX823" s="190"/>
      <c r="AY823" s="190"/>
      <c r="AZ823" s="189"/>
      <c r="BA823" s="189"/>
      <c r="BB823" s="189"/>
      <c r="BC823" s="189"/>
      <c r="BD823" s="189"/>
      <c r="BE823" s="189"/>
      <c r="BF823" s="189"/>
      <c r="BG823" s="189"/>
      <c r="BH823" s="189"/>
      <c r="BI823" s="190"/>
      <c r="BJ823" s="190"/>
      <c r="BK823" s="190"/>
      <c r="BL823" s="190"/>
      <c r="BM823" s="190"/>
      <c r="BN823" s="190"/>
      <c r="BO823" s="190"/>
      <c r="BP823" s="190"/>
      <c r="BQ823" s="190"/>
      <c r="BR823" s="190"/>
      <c r="BS823" s="190"/>
      <c r="BT823" s="190"/>
      <c r="BU823" s="190"/>
      <c r="BV823" s="190"/>
      <c r="BW823" s="190"/>
      <c r="BX823" s="190"/>
      <c r="BY823" s="190"/>
      <c r="BZ823" s="190"/>
      <c r="CA823" s="189"/>
      <c r="CB823" s="15"/>
    </row>
    <row r="824" spans="1:80" ht="15" x14ac:dyDescent="0.25">
      <c r="A824" s="167"/>
      <c r="B824" s="642"/>
      <c r="C824" s="642"/>
      <c r="D824" s="179"/>
      <c r="E824" s="169"/>
      <c r="F824" s="169"/>
      <c r="G824" s="187"/>
      <c r="H824" s="187"/>
      <c r="I824" s="187"/>
      <c r="J824" s="187"/>
      <c r="K824" s="187"/>
      <c r="L824" s="647"/>
      <c r="M824" s="646">
        <v>33765</v>
      </c>
      <c r="N824" s="585">
        <v>3.86</v>
      </c>
      <c r="O824" s="585">
        <v>9.0560000000000002E-2</v>
      </c>
      <c r="P824" s="175">
        <v>0</v>
      </c>
      <c r="Q824" s="175">
        <v>0</v>
      </c>
      <c r="R824" s="175">
        <v>6.5799999999999999E-3</v>
      </c>
      <c r="S824" s="175">
        <v>1.189E-2</v>
      </c>
      <c r="T824" s="175">
        <v>1.6369999999999999E-2</v>
      </c>
      <c r="U824" s="175">
        <v>2.0760000000000001E-2</v>
      </c>
      <c r="V824" s="706">
        <v>3.4959999999999998E-2</v>
      </c>
      <c r="W824" s="717"/>
      <c r="X824" s="713"/>
      <c r="Y824" s="718"/>
      <c r="Z824" s="709">
        <v>33</v>
      </c>
      <c r="AA824" s="175"/>
      <c r="AB824" s="200"/>
      <c r="AC824" s="205">
        <v>1.4E-2</v>
      </c>
      <c r="AD824" s="175">
        <v>8.3000000000000007</v>
      </c>
      <c r="AE824" s="175">
        <v>0.37</v>
      </c>
      <c r="AF824" s="170">
        <f t="shared" si="15"/>
        <v>3.0710000000000002</v>
      </c>
      <c r="AG824" s="175">
        <v>1.25</v>
      </c>
      <c r="AH824" s="334"/>
      <c r="AI824" s="188"/>
      <c r="AJ824" s="188"/>
      <c r="AK824" s="188"/>
      <c r="AL824" s="189"/>
      <c r="AM824" s="189"/>
      <c r="AN824" s="189"/>
      <c r="AO824" s="189"/>
      <c r="AP824" s="189"/>
      <c r="AQ824" s="189"/>
      <c r="AR824" s="189"/>
      <c r="AS824" s="189"/>
      <c r="AT824" s="189"/>
      <c r="AU824" s="190"/>
      <c r="AV824" s="190"/>
      <c r="AW824" s="190"/>
      <c r="AX824" s="190"/>
      <c r="AY824" s="190"/>
      <c r="AZ824" s="189"/>
      <c r="BA824" s="189"/>
      <c r="BB824" s="189"/>
      <c r="BC824" s="189"/>
      <c r="BD824" s="189"/>
      <c r="BE824" s="189"/>
      <c r="BF824" s="189"/>
      <c r="BG824" s="189"/>
      <c r="BH824" s="189"/>
      <c r="BI824" s="190"/>
      <c r="BJ824" s="190"/>
      <c r="BK824" s="190"/>
      <c r="BL824" s="190"/>
      <c r="BM824" s="190"/>
      <c r="BN824" s="190"/>
      <c r="BO824" s="190"/>
      <c r="BP824" s="190"/>
      <c r="BQ824" s="190"/>
      <c r="BR824" s="190"/>
      <c r="BS824" s="190"/>
      <c r="BT824" s="190"/>
      <c r="BU824" s="190"/>
      <c r="BV824" s="190"/>
      <c r="BW824" s="190"/>
      <c r="BX824" s="190"/>
      <c r="BY824" s="190"/>
      <c r="BZ824" s="190"/>
      <c r="CA824" s="189"/>
      <c r="CB824" s="15"/>
    </row>
    <row r="825" spans="1:80" ht="15" x14ac:dyDescent="0.25">
      <c r="A825" s="167"/>
      <c r="B825" s="642"/>
      <c r="C825" s="642"/>
      <c r="D825" s="179"/>
      <c r="E825" s="169"/>
      <c r="F825" s="169"/>
      <c r="G825" s="187"/>
      <c r="H825" s="187"/>
      <c r="I825" s="187"/>
      <c r="J825" s="187"/>
      <c r="K825" s="187"/>
      <c r="L825" s="647"/>
      <c r="M825" s="646">
        <v>33766</v>
      </c>
      <c r="N825" s="585">
        <v>3.56</v>
      </c>
      <c r="O825" s="585">
        <v>3.3320000000000002E-2</v>
      </c>
      <c r="P825" s="175">
        <v>0</v>
      </c>
      <c r="Q825" s="175">
        <v>0</v>
      </c>
      <c r="R825" s="175">
        <v>2.8E-3</v>
      </c>
      <c r="S825" s="175">
        <v>2.3900000000000002E-3</v>
      </c>
      <c r="T825" s="175">
        <v>5.62E-3</v>
      </c>
      <c r="U825" s="175">
        <v>8.2500000000000004E-3</v>
      </c>
      <c r="V825" s="706">
        <v>1.426E-2</v>
      </c>
      <c r="W825" s="717"/>
      <c r="X825" s="713"/>
      <c r="Y825" s="718"/>
      <c r="Z825" s="709">
        <v>35</v>
      </c>
      <c r="AA825" s="175"/>
      <c r="AB825" s="200"/>
      <c r="AC825" s="205">
        <v>1.9E-2</v>
      </c>
      <c r="AD825" s="175">
        <v>8.3000000000000007</v>
      </c>
      <c r="AE825" s="175">
        <v>0.34</v>
      </c>
      <c r="AF825" s="170">
        <f t="shared" si="15"/>
        <v>2.8220000000000005</v>
      </c>
      <c r="AG825" s="175">
        <v>1.21</v>
      </c>
      <c r="AH825" s="334"/>
      <c r="AI825" s="188"/>
      <c r="AJ825" s="188"/>
      <c r="AK825" s="188"/>
      <c r="AL825" s="189"/>
      <c r="AM825" s="189"/>
      <c r="AN825" s="189"/>
      <c r="AO825" s="189"/>
      <c r="AP825" s="189"/>
      <c r="AQ825" s="189"/>
      <c r="AR825" s="189"/>
      <c r="AS825" s="189"/>
      <c r="AT825" s="189"/>
      <c r="AU825" s="190"/>
      <c r="AV825" s="190"/>
      <c r="AW825" s="190"/>
      <c r="AX825" s="190"/>
      <c r="AY825" s="190"/>
      <c r="AZ825" s="189"/>
      <c r="BA825" s="189"/>
      <c r="BB825" s="189"/>
      <c r="BC825" s="189"/>
      <c r="BD825" s="189"/>
      <c r="BE825" s="189"/>
      <c r="BF825" s="189"/>
      <c r="BG825" s="189"/>
      <c r="BH825" s="189"/>
      <c r="BI825" s="190"/>
      <c r="BJ825" s="190"/>
      <c r="BK825" s="190"/>
      <c r="BL825" s="190"/>
      <c r="BM825" s="190"/>
      <c r="BN825" s="190"/>
      <c r="BO825" s="190"/>
      <c r="BP825" s="190"/>
      <c r="BQ825" s="190"/>
      <c r="BR825" s="190"/>
      <c r="BS825" s="190"/>
      <c r="BT825" s="190"/>
      <c r="BU825" s="190"/>
      <c r="BV825" s="190"/>
      <c r="BW825" s="190"/>
      <c r="BX825" s="190"/>
      <c r="BY825" s="190"/>
      <c r="BZ825" s="190"/>
      <c r="CA825" s="189"/>
      <c r="CB825" s="15"/>
    </row>
    <row r="826" spans="1:80" ht="15" x14ac:dyDescent="0.25">
      <c r="A826" s="167"/>
      <c r="B826" s="642"/>
      <c r="C826" s="642"/>
      <c r="D826" s="179"/>
      <c r="E826" s="169"/>
      <c r="F826" s="169"/>
      <c r="G826" s="187"/>
      <c r="H826" s="187"/>
      <c r="I826" s="187"/>
      <c r="J826" s="187"/>
      <c r="K826" s="187"/>
      <c r="L826" s="647"/>
      <c r="M826" s="646">
        <v>33766</v>
      </c>
      <c r="N826" s="585">
        <v>3.42</v>
      </c>
      <c r="O826" s="585">
        <v>9.1980000000000006E-2</v>
      </c>
      <c r="P826" s="175">
        <v>0</v>
      </c>
      <c r="Q826" s="175">
        <v>0</v>
      </c>
      <c r="R826" s="175">
        <v>5.5900000000000004E-3</v>
      </c>
      <c r="S826" s="175">
        <v>8.8900000000000003E-3</v>
      </c>
      <c r="T826" s="175">
        <v>1.6379999999999999E-2</v>
      </c>
      <c r="U826" s="175">
        <v>2.3949999999999999E-2</v>
      </c>
      <c r="V826" s="706">
        <v>3.7179999999999998E-2</v>
      </c>
      <c r="W826" s="717"/>
      <c r="X826" s="713"/>
      <c r="Y826" s="718"/>
      <c r="Z826" s="709">
        <v>33</v>
      </c>
      <c r="AA826" s="175"/>
      <c r="AB826" s="200"/>
      <c r="AC826" s="205">
        <v>1.9E-2</v>
      </c>
      <c r="AD826" s="175">
        <v>8.3000000000000007</v>
      </c>
      <c r="AE826" s="175">
        <v>0.33</v>
      </c>
      <c r="AF826" s="170">
        <f t="shared" si="15"/>
        <v>2.7390000000000003</v>
      </c>
      <c r="AG826" s="175">
        <v>1.23</v>
      </c>
      <c r="AH826" s="334"/>
      <c r="AI826" s="188"/>
      <c r="AJ826" s="188"/>
      <c r="AK826" s="188"/>
      <c r="AL826" s="189"/>
      <c r="AM826" s="189"/>
      <c r="AN826" s="189"/>
      <c r="AO826" s="189"/>
      <c r="AP826" s="189"/>
      <c r="AQ826" s="189"/>
      <c r="AR826" s="189"/>
      <c r="AS826" s="189"/>
      <c r="AT826" s="189"/>
      <c r="AU826" s="190"/>
      <c r="AV826" s="190"/>
      <c r="AW826" s="190"/>
      <c r="AX826" s="190"/>
      <c r="AY826" s="190"/>
      <c r="AZ826" s="189"/>
      <c r="BA826" s="189"/>
      <c r="BB826" s="189"/>
      <c r="BC826" s="189"/>
      <c r="BD826" s="189"/>
      <c r="BE826" s="189"/>
      <c r="BF826" s="189"/>
      <c r="BG826" s="189"/>
      <c r="BH826" s="189"/>
      <c r="BI826" s="190"/>
      <c r="BJ826" s="190"/>
      <c r="BK826" s="190"/>
      <c r="BL826" s="190"/>
      <c r="BM826" s="190"/>
      <c r="BN826" s="190"/>
      <c r="BO826" s="190"/>
      <c r="BP826" s="190"/>
      <c r="BQ826" s="190"/>
      <c r="BR826" s="190"/>
      <c r="BS826" s="190"/>
      <c r="BT826" s="190"/>
      <c r="BU826" s="190"/>
      <c r="BV826" s="190"/>
      <c r="BW826" s="190"/>
      <c r="BX826" s="190"/>
      <c r="BY826" s="190"/>
      <c r="BZ826" s="190"/>
      <c r="CA826" s="189"/>
      <c r="CB826" s="15"/>
    </row>
    <row r="827" spans="1:80" ht="15" x14ac:dyDescent="0.25">
      <c r="A827" s="167"/>
      <c r="B827" s="642"/>
      <c r="C827" s="642"/>
      <c r="D827" s="179"/>
      <c r="E827" s="169"/>
      <c r="F827" s="169"/>
      <c r="G827" s="187"/>
      <c r="H827" s="187"/>
      <c r="I827" s="187"/>
      <c r="J827" s="187"/>
      <c r="K827" s="187"/>
      <c r="L827" s="647"/>
      <c r="M827" s="646">
        <v>33766</v>
      </c>
      <c r="N827" s="585">
        <v>3.76</v>
      </c>
      <c r="O827" s="585">
        <v>8.1040000000000001E-2</v>
      </c>
      <c r="P827" s="175">
        <v>0</v>
      </c>
      <c r="Q827" s="175">
        <v>4.62E-3</v>
      </c>
      <c r="R827" s="175">
        <v>4.1000000000000003E-3</v>
      </c>
      <c r="S827" s="175">
        <v>6.6100000000000004E-3</v>
      </c>
      <c r="T827" s="175">
        <v>1.243E-2</v>
      </c>
      <c r="U827" s="175">
        <v>1.9029999999999998E-2</v>
      </c>
      <c r="V827" s="706">
        <v>3.4250000000000003E-2</v>
      </c>
      <c r="W827" s="717"/>
      <c r="X827" s="713"/>
      <c r="Y827" s="718"/>
      <c r="Z827" s="709">
        <v>42</v>
      </c>
      <c r="AA827" s="175"/>
      <c r="AB827" s="200"/>
      <c r="AC827" s="205">
        <v>1.2E-2</v>
      </c>
      <c r="AD827" s="175">
        <v>8.1</v>
      </c>
      <c r="AE827" s="175">
        <v>0</v>
      </c>
      <c r="AF827" s="175">
        <v>0</v>
      </c>
      <c r="AG827" s="175">
        <v>0</v>
      </c>
      <c r="AH827" s="334"/>
      <c r="AI827" s="188"/>
      <c r="AJ827" s="188"/>
      <c r="AK827" s="188"/>
      <c r="AL827" s="189"/>
      <c r="AM827" s="189"/>
      <c r="AN827" s="189"/>
      <c r="AO827" s="189"/>
      <c r="AP827" s="189"/>
      <c r="AQ827" s="189"/>
      <c r="AR827" s="189"/>
      <c r="AS827" s="189"/>
      <c r="AT827" s="189"/>
      <c r="AU827" s="190"/>
      <c r="AV827" s="190"/>
      <c r="AW827" s="190"/>
      <c r="AX827" s="190"/>
      <c r="AY827" s="190"/>
      <c r="AZ827" s="189"/>
      <c r="BA827" s="189"/>
      <c r="BB827" s="189"/>
      <c r="BC827" s="189"/>
      <c r="BD827" s="189"/>
      <c r="BE827" s="189"/>
      <c r="BF827" s="189"/>
      <c r="BG827" s="189"/>
      <c r="BH827" s="189"/>
      <c r="BI827" s="190"/>
      <c r="BJ827" s="190"/>
      <c r="BK827" s="190"/>
      <c r="BL827" s="190"/>
      <c r="BM827" s="190"/>
      <c r="BN827" s="190"/>
      <c r="BO827" s="190"/>
      <c r="BP827" s="190"/>
      <c r="BQ827" s="190"/>
      <c r="BR827" s="190"/>
      <c r="BS827" s="190"/>
      <c r="BT827" s="190"/>
      <c r="BU827" s="190"/>
      <c r="BV827" s="190"/>
      <c r="BW827" s="190"/>
      <c r="BX827" s="190"/>
      <c r="BY827" s="190"/>
      <c r="BZ827" s="190"/>
      <c r="CA827" s="189"/>
      <c r="CB827" s="15"/>
    </row>
    <row r="828" spans="1:80" ht="15" x14ac:dyDescent="0.25">
      <c r="A828" s="167"/>
      <c r="B828" s="642"/>
      <c r="C828" s="642"/>
      <c r="D828" s="179"/>
      <c r="E828" s="169"/>
      <c r="F828" s="169"/>
      <c r="G828" s="187"/>
      <c r="H828" s="187"/>
      <c r="I828" s="187"/>
      <c r="J828" s="187"/>
      <c r="K828" s="187"/>
      <c r="L828" s="647"/>
      <c r="M828" s="646">
        <v>33766</v>
      </c>
      <c r="N828" s="585">
        <v>4.1100000000000003</v>
      </c>
      <c r="O828" s="585">
        <v>0.11931</v>
      </c>
      <c r="P828" s="175">
        <v>0</v>
      </c>
      <c r="Q828" s="175">
        <v>2.946E-2</v>
      </c>
      <c r="R828" s="175">
        <v>5.4900000000000001E-3</v>
      </c>
      <c r="S828" s="175">
        <v>6.6E-3</v>
      </c>
      <c r="T828" s="175">
        <v>1.4409999999999999E-2</v>
      </c>
      <c r="U828" s="175">
        <v>2.12E-2</v>
      </c>
      <c r="V828" s="706">
        <v>4.2139999999999997E-2</v>
      </c>
      <c r="W828" s="717"/>
      <c r="X828" s="713"/>
      <c r="Y828" s="718"/>
      <c r="Z828" s="709">
        <v>66</v>
      </c>
      <c r="AA828" s="175"/>
      <c r="AB828" s="200"/>
      <c r="AC828" s="205">
        <v>0.02</v>
      </c>
      <c r="AD828" s="175">
        <v>8.25</v>
      </c>
      <c r="AE828" s="175">
        <v>0.37</v>
      </c>
      <c r="AF828" s="170">
        <f t="shared" si="15"/>
        <v>3.0524999999999998</v>
      </c>
      <c r="AG828" s="175">
        <v>1.3</v>
      </c>
      <c r="AH828" s="334"/>
      <c r="AI828" s="188"/>
      <c r="AJ828" s="188"/>
      <c r="AK828" s="188"/>
      <c r="AL828" s="189"/>
      <c r="AM828" s="189"/>
      <c r="AN828" s="189"/>
      <c r="AO828" s="189"/>
      <c r="AP828" s="189"/>
      <c r="AQ828" s="189"/>
      <c r="AR828" s="189"/>
      <c r="AS828" s="189"/>
      <c r="AT828" s="189"/>
      <c r="AU828" s="190"/>
      <c r="AV828" s="190"/>
      <c r="AW828" s="190"/>
      <c r="AX828" s="190"/>
      <c r="AY828" s="190"/>
      <c r="AZ828" s="189"/>
      <c r="BA828" s="189"/>
      <c r="BB828" s="189"/>
      <c r="BC828" s="189"/>
      <c r="BD828" s="189"/>
      <c r="BE828" s="189"/>
      <c r="BF828" s="189"/>
      <c r="BG828" s="189"/>
      <c r="BH828" s="189"/>
      <c r="BI828" s="190"/>
      <c r="BJ828" s="190"/>
      <c r="BK828" s="190"/>
      <c r="BL828" s="190"/>
      <c r="BM828" s="190"/>
      <c r="BN828" s="190"/>
      <c r="BO828" s="190"/>
      <c r="BP828" s="190"/>
      <c r="BQ828" s="190"/>
      <c r="BR828" s="190"/>
      <c r="BS828" s="190"/>
      <c r="BT828" s="190"/>
      <c r="BU828" s="190"/>
      <c r="BV828" s="190"/>
      <c r="BW828" s="190"/>
      <c r="BX828" s="190"/>
      <c r="BY828" s="190"/>
      <c r="BZ828" s="190"/>
      <c r="CA828" s="189"/>
      <c r="CB828" s="15"/>
    </row>
    <row r="829" spans="1:80" ht="15" x14ac:dyDescent="0.25">
      <c r="A829" s="167"/>
      <c r="B829" s="642"/>
      <c r="C829" s="642"/>
      <c r="D829" s="179"/>
      <c r="E829" s="169"/>
      <c r="F829" s="169"/>
      <c r="G829" s="187"/>
      <c r="H829" s="187"/>
      <c r="I829" s="187"/>
      <c r="J829" s="187"/>
      <c r="K829" s="187"/>
      <c r="L829" s="647"/>
      <c r="M829" s="646">
        <v>33767</v>
      </c>
      <c r="N829" s="585">
        <v>3.66</v>
      </c>
      <c r="O829" s="585">
        <v>8.6050000000000001E-2</v>
      </c>
      <c r="P829" s="175">
        <v>0</v>
      </c>
      <c r="Q829" s="175">
        <v>1.755E-2</v>
      </c>
      <c r="R829" s="175">
        <v>6.5199999999999998E-3</v>
      </c>
      <c r="S829" s="175">
        <v>9.7699999999999992E-3</v>
      </c>
      <c r="T829" s="175">
        <v>1.1769999999999999E-2</v>
      </c>
      <c r="U829" s="175">
        <v>1.3849999999999999E-2</v>
      </c>
      <c r="V829" s="706">
        <v>2.6589999999999999E-2</v>
      </c>
      <c r="W829" s="717"/>
      <c r="X829" s="713"/>
      <c r="Y829" s="718"/>
      <c r="Z829" s="709">
        <v>54</v>
      </c>
      <c r="AA829" s="175"/>
      <c r="AB829" s="200"/>
      <c r="AC829" s="205">
        <v>1.6E-2</v>
      </c>
      <c r="AD829" s="175">
        <v>8.35</v>
      </c>
      <c r="AE829" s="175">
        <v>0.36</v>
      </c>
      <c r="AF829" s="170">
        <f t="shared" si="15"/>
        <v>3.0059999999999998</v>
      </c>
      <c r="AG829" s="175">
        <v>1.26</v>
      </c>
      <c r="AH829" s="334"/>
      <c r="AI829" s="188"/>
      <c r="AJ829" s="188"/>
      <c r="AK829" s="188"/>
      <c r="AL829" s="189"/>
      <c r="AM829" s="189"/>
      <c r="AN829" s="189"/>
      <c r="AO829" s="189"/>
      <c r="AP829" s="189"/>
      <c r="AQ829" s="189"/>
      <c r="AR829" s="189"/>
      <c r="AS829" s="189"/>
      <c r="AT829" s="189"/>
      <c r="AU829" s="190"/>
      <c r="AV829" s="190"/>
      <c r="AW829" s="190"/>
      <c r="AX829" s="190"/>
      <c r="AY829" s="190"/>
      <c r="AZ829" s="189"/>
      <c r="BA829" s="189"/>
      <c r="BB829" s="189"/>
      <c r="BC829" s="189"/>
      <c r="BD829" s="189"/>
      <c r="BE829" s="189"/>
      <c r="BF829" s="189"/>
      <c r="BG829" s="189"/>
      <c r="BH829" s="189"/>
      <c r="BI829" s="190"/>
      <c r="BJ829" s="190"/>
      <c r="BK829" s="190"/>
      <c r="BL829" s="190"/>
      <c r="BM829" s="190"/>
      <c r="BN829" s="190"/>
      <c r="BO829" s="190"/>
      <c r="BP829" s="190"/>
      <c r="BQ829" s="190"/>
      <c r="BR829" s="190"/>
      <c r="BS829" s="190"/>
      <c r="BT829" s="190"/>
      <c r="BU829" s="190"/>
      <c r="BV829" s="190"/>
      <c r="BW829" s="190"/>
      <c r="BX829" s="190"/>
      <c r="BY829" s="190"/>
      <c r="BZ829" s="190"/>
      <c r="CA829" s="189"/>
      <c r="CB829" s="15"/>
    </row>
    <row r="830" spans="1:80" ht="15" x14ac:dyDescent="0.25">
      <c r="A830" s="167"/>
      <c r="B830" s="642"/>
      <c r="C830" s="642"/>
      <c r="D830" s="179"/>
      <c r="E830" s="169"/>
      <c r="F830" s="169"/>
      <c r="G830" s="187"/>
      <c r="H830" s="187"/>
      <c r="I830" s="187"/>
      <c r="J830" s="187"/>
      <c r="K830" s="187"/>
      <c r="L830" s="647"/>
      <c r="M830" s="646">
        <v>33767</v>
      </c>
      <c r="N830" s="585">
        <v>3.52</v>
      </c>
      <c r="O830" s="585">
        <v>9.7960000000000005E-2</v>
      </c>
      <c r="P830" s="175">
        <v>0</v>
      </c>
      <c r="Q830" s="175">
        <v>0</v>
      </c>
      <c r="R830" s="175">
        <v>7.77E-3</v>
      </c>
      <c r="S830" s="175">
        <v>1.018E-2</v>
      </c>
      <c r="T830" s="175">
        <v>1.6719999999999999E-2</v>
      </c>
      <c r="U830" s="175">
        <v>2.4240000000000001E-2</v>
      </c>
      <c r="V830" s="706">
        <v>3.9050000000000001E-2</v>
      </c>
      <c r="W830" s="717"/>
      <c r="X830" s="713"/>
      <c r="Y830" s="718"/>
      <c r="Z830" s="709">
        <v>33</v>
      </c>
      <c r="AA830" s="175"/>
      <c r="AB830" s="200"/>
      <c r="AC830" s="205">
        <v>1.2E-2</v>
      </c>
      <c r="AD830" s="175">
        <v>8.3000000000000007</v>
      </c>
      <c r="AE830" s="175">
        <v>0.35</v>
      </c>
      <c r="AF830" s="170">
        <f t="shared" si="15"/>
        <v>2.9050000000000002</v>
      </c>
      <c r="AG830" s="175">
        <v>1.22</v>
      </c>
      <c r="AH830" s="334"/>
      <c r="AI830" s="188"/>
      <c r="AJ830" s="188"/>
      <c r="AK830" s="188"/>
      <c r="AL830" s="189"/>
      <c r="AM830" s="189"/>
      <c r="AN830" s="189"/>
      <c r="AO830" s="189"/>
      <c r="AP830" s="189"/>
      <c r="AQ830" s="189"/>
      <c r="AR830" s="189"/>
      <c r="AS830" s="189"/>
      <c r="AT830" s="189"/>
      <c r="AU830" s="190"/>
      <c r="AV830" s="190"/>
      <c r="AW830" s="190"/>
      <c r="AX830" s="190"/>
      <c r="AY830" s="190"/>
      <c r="AZ830" s="189"/>
      <c r="BA830" s="189"/>
      <c r="BB830" s="189"/>
      <c r="BC830" s="189"/>
      <c r="BD830" s="189"/>
      <c r="BE830" s="189"/>
      <c r="BF830" s="189"/>
      <c r="BG830" s="189"/>
      <c r="BH830" s="189"/>
      <c r="BI830" s="190"/>
      <c r="BJ830" s="190"/>
      <c r="BK830" s="190"/>
      <c r="BL830" s="190"/>
      <c r="BM830" s="190"/>
      <c r="BN830" s="190"/>
      <c r="BO830" s="190"/>
      <c r="BP830" s="190"/>
      <c r="BQ830" s="190"/>
      <c r="BR830" s="190"/>
      <c r="BS830" s="190"/>
      <c r="BT830" s="190"/>
      <c r="BU830" s="190"/>
      <c r="BV830" s="190"/>
      <c r="BW830" s="190"/>
      <c r="BX830" s="190"/>
      <c r="BY830" s="190"/>
      <c r="BZ830" s="190"/>
      <c r="CA830" s="189"/>
      <c r="CB830" s="15"/>
    </row>
    <row r="831" spans="1:80" ht="15" x14ac:dyDescent="0.25">
      <c r="A831" s="167"/>
      <c r="B831" s="642"/>
      <c r="C831" s="642"/>
      <c r="D831" s="179"/>
      <c r="E831" s="169"/>
      <c r="F831" s="169"/>
      <c r="G831" s="187"/>
      <c r="H831" s="187"/>
      <c r="I831" s="187"/>
      <c r="J831" s="187"/>
      <c r="K831" s="187"/>
      <c r="L831" s="647"/>
      <c r="M831" s="646">
        <v>33767</v>
      </c>
      <c r="N831" s="585">
        <v>3.42</v>
      </c>
      <c r="O831" s="585">
        <v>3.0720000000000001E-2</v>
      </c>
      <c r="P831" s="175">
        <v>0</v>
      </c>
      <c r="Q831" s="175">
        <v>0</v>
      </c>
      <c r="R831" s="175">
        <v>4.0999999999999999E-4</v>
      </c>
      <c r="S831" s="175">
        <v>3.9699999999999996E-3</v>
      </c>
      <c r="T831" s="175">
        <v>5.64E-3</v>
      </c>
      <c r="U831" s="175">
        <v>6.8100000000000001E-3</v>
      </c>
      <c r="V831" s="706">
        <v>1.388E-2</v>
      </c>
      <c r="W831" s="717"/>
      <c r="X831" s="713"/>
      <c r="Y831" s="718"/>
      <c r="Z831" s="709">
        <v>25</v>
      </c>
      <c r="AA831" s="175"/>
      <c r="AB831" s="200"/>
      <c r="AC831" s="205">
        <v>2.1000000000000001E-2</v>
      </c>
      <c r="AD831" s="175">
        <v>8.3000000000000007</v>
      </c>
      <c r="AE831" s="175">
        <v>0.33</v>
      </c>
      <c r="AF831" s="170">
        <f t="shared" si="15"/>
        <v>2.7390000000000003</v>
      </c>
      <c r="AG831" s="175">
        <v>1.25</v>
      </c>
      <c r="AH831" s="334"/>
      <c r="AI831" s="188"/>
      <c r="AJ831" s="188"/>
      <c r="AK831" s="188"/>
      <c r="AL831" s="189"/>
      <c r="AM831" s="189"/>
      <c r="AN831" s="189"/>
      <c r="AO831" s="189"/>
      <c r="AP831" s="189"/>
      <c r="AQ831" s="189"/>
      <c r="AR831" s="189"/>
      <c r="AS831" s="189"/>
      <c r="AT831" s="189"/>
      <c r="AU831" s="190"/>
      <c r="AV831" s="190"/>
      <c r="AW831" s="190"/>
      <c r="AX831" s="190"/>
      <c r="AY831" s="190"/>
      <c r="AZ831" s="189"/>
      <c r="BA831" s="189"/>
      <c r="BB831" s="189"/>
      <c r="BC831" s="189"/>
      <c r="BD831" s="189"/>
      <c r="BE831" s="189"/>
      <c r="BF831" s="189"/>
      <c r="BG831" s="189"/>
      <c r="BH831" s="189"/>
      <c r="BI831" s="190"/>
      <c r="BJ831" s="190"/>
      <c r="BK831" s="190"/>
      <c r="BL831" s="190"/>
      <c r="BM831" s="190"/>
      <c r="BN831" s="190"/>
      <c r="BO831" s="190"/>
      <c r="BP831" s="190"/>
      <c r="BQ831" s="190"/>
      <c r="BR831" s="190"/>
      <c r="BS831" s="190"/>
      <c r="BT831" s="190"/>
      <c r="BU831" s="190"/>
      <c r="BV831" s="190"/>
      <c r="BW831" s="190"/>
      <c r="BX831" s="190"/>
      <c r="BY831" s="190"/>
      <c r="BZ831" s="190"/>
      <c r="CA831" s="189"/>
      <c r="CB831" s="15"/>
    </row>
    <row r="832" spans="1:80" ht="15" x14ac:dyDescent="0.25">
      <c r="A832" s="167"/>
      <c r="B832" s="642"/>
      <c r="C832" s="642"/>
      <c r="D832" s="179"/>
      <c r="E832" s="169"/>
      <c r="F832" s="169"/>
      <c r="G832" s="187"/>
      <c r="H832" s="187"/>
      <c r="I832" s="187"/>
      <c r="J832" s="187"/>
      <c r="K832" s="187"/>
      <c r="L832" s="647"/>
      <c r="M832" s="646">
        <v>33767</v>
      </c>
      <c r="N832" s="585">
        <v>4.16</v>
      </c>
      <c r="O832" s="585">
        <v>6.4640000000000003E-2</v>
      </c>
      <c r="P832" s="175">
        <v>0</v>
      </c>
      <c r="Q832" s="175">
        <v>0</v>
      </c>
      <c r="R832" s="175">
        <v>4.3299999999999996E-3</v>
      </c>
      <c r="S832" s="175">
        <v>8.8999999999999999E-3</v>
      </c>
      <c r="T832" s="175">
        <v>1.005E-2</v>
      </c>
      <c r="U832" s="175">
        <v>1.188E-2</v>
      </c>
      <c r="V832" s="706">
        <v>2.9479999999999999E-2</v>
      </c>
      <c r="W832" s="717"/>
      <c r="X832" s="713"/>
      <c r="Y832" s="718"/>
      <c r="Z832" s="709">
        <v>29</v>
      </c>
      <c r="AA832" s="175"/>
      <c r="AB832" s="200"/>
      <c r="AC832" s="205">
        <v>8.9999999999999993E-3</v>
      </c>
      <c r="AD832" s="175">
        <v>8.3000000000000007</v>
      </c>
      <c r="AE832" s="175">
        <v>0.38</v>
      </c>
      <c r="AF832" s="170">
        <f t="shared" si="15"/>
        <v>3.1540000000000004</v>
      </c>
      <c r="AG832" s="175">
        <v>1.44</v>
      </c>
      <c r="AH832" s="334"/>
      <c r="AI832" s="188"/>
      <c r="AJ832" s="188"/>
      <c r="AK832" s="188"/>
      <c r="AL832" s="189"/>
      <c r="AM832" s="189"/>
      <c r="AN832" s="189"/>
      <c r="AO832" s="189"/>
      <c r="AP832" s="189"/>
      <c r="AQ832" s="189"/>
      <c r="AR832" s="189"/>
      <c r="AS832" s="189"/>
      <c r="AT832" s="189"/>
      <c r="AU832" s="190"/>
      <c r="AV832" s="190"/>
      <c r="AW832" s="190"/>
      <c r="AX832" s="190"/>
      <c r="AY832" s="190"/>
      <c r="AZ832" s="189"/>
      <c r="BA832" s="189"/>
      <c r="BB832" s="189"/>
      <c r="BC832" s="189"/>
      <c r="BD832" s="189"/>
      <c r="BE832" s="189"/>
      <c r="BF832" s="189"/>
      <c r="BG832" s="189"/>
      <c r="BH832" s="189"/>
      <c r="BI832" s="190"/>
      <c r="BJ832" s="190"/>
      <c r="BK832" s="190"/>
      <c r="BL832" s="190"/>
      <c r="BM832" s="190"/>
      <c r="BN832" s="190"/>
      <c r="BO832" s="190"/>
      <c r="BP832" s="190"/>
      <c r="BQ832" s="190"/>
      <c r="BR832" s="190"/>
      <c r="BS832" s="190"/>
      <c r="BT832" s="190"/>
      <c r="BU832" s="190"/>
      <c r="BV832" s="190"/>
      <c r="BW832" s="190"/>
      <c r="BX832" s="190"/>
      <c r="BY832" s="190"/>
      <c r="BZ832" s="190"/>
      <c r="CA832" s="189"/>
      <c r="CB832" s="15"/>
    </row>
    <row r="833" spans="1:80" ht="15" x14ac:dyDescent="0.25">
      <c r="A833" s="167"/>
      <c r="B833" s="642"/>
      <c r="C833" s="642"/>
      <c r="D833" s="179"/>
      <c r="E833" s="169"/>
      <c r="F833" s="169"/>
      <c r="G833" s="187"/>
      <c r="H833" s="187"/>
      <c r="I833" s="187"/>
      <c r="J833" s="187"/>
      <c r="K833" s="187"/>
      <c r="L833" s="647"/>
      <c r="M833" s="646">
        <v>33767</v>
      </c>
      <c r="N833" s="585">
        <v>4.3099999999999996</v>
      </c>
      <c r="O833" s="585">
        <v>0.109</v>
      </c>
      <c r="P833" s="175">
        <v>0</v>
      </c>
      <c r="Q833" s="175">
        <v>0</v>
      </c>
      <c r="R833" s="175">
        <v>5.5500000000000002E-3</v>
      </c>
      <c r="S833" s="175">
        <v>1.2789999999999999E-2</v>
      </c>
      <c r="T833" s="175">
        <v>2.146E-2</v>
      </c>
      <c r="U833" s="175">
        <v>2.4219999999999998E-2</v>
      </c>
      <c r="V833" s="706">
        <v>4.4990000000000002E-2</v>
      </c>
      <c r="W833" s="717"/>
      <c r="X833" s="713"/>
      <c r="Y833" s="718"/>
      <c r="Z833" s="709">
        <v>33</v>
      </c>
      <c r="AA833" s="175"/>
      <c r="AB833" s="200"/>
      <c r="AC833" s="205">
        <v>1.2999999999999999E-2</v>
      </c>
      <c r="AD833" s="175">
        <v>8.6</v>
      </c>
      <c r="AE833" s="175">
        <v>0.39</v>
      </c>
      <c r="AF833" s="170">
        <f t="shared" si="15"/>
        <v>3.3540000000000001</v>
      </c>
      <c r="AG833" s="175">
        <v>1.31</v>
      </c>
      <c r="AH833" s="334"/>
      <c r="AI833" s="188"/>
      <c r="AJ833" s="188"/>
      <c r="AK833" s="188"/>
      <c r="AL833" s="189"/>
      <c r="AM833" s="189"/>
      <c r="AN833" s="189"/>
      <c r="AO833" s="189"/>
      <c r="AP833" s="189"/>
      <c r="AQ833" s="189"/>
      <c r="AR833" s="189"/>
      <c r="AS833" s="189"/>
      <c r="AT833" s="189"/>
      <c r="AU833" s="190"/>
      <c r="AV833" s="190"/>
      <c r="AW833" s="190"/>
      <c r="AX833" s="190"/>
      <c r="AY833" s="190"/>
      <c r="AZ833" s="189"/>
      <c r="BA833" s="189"/>
      <c r="BB833" s="189"/>
      <c r="BC833" s="189"/>
      <c r="BD833" s="189"/>
      <c r="BE833" s="189"/>
      <c r="BF833" s="189"/>
      <c r="BG833" s="189"/>
      <c r="BH833" s="189"/>
      <c r="BI833" s="190"/>
      <c r="BJ833" s="190"/>
      <c r="BK833" s="190"/>
      <c r="BL833" s="190"/>
      <c r="BM833" s="190"/>
      <c r="BN833" s="190"/>
      <c r="BO833" s="190"/>
      <c r="BP833" s="190"/>
      <c r="BQ833" s="190"/>
      <c r="BR833" s="190"/>
      <c r="BS833" s="190"/>
      <c r="BT833" s="190"/>
      <c r="BU833" s="190"/>
      <c r="BV833" s="190"/>
      <c r="BW833" s="190"/>
      <c r="BX833" s="190"/>
      <c r="BY833" s="190"/>
      <c r="BZ833" s="190"/>
      <c r="CA833" s="189"/>
      <c r="CB833" s="15"/>
    </row>
    <row r="834" spans="1:80" ht="15" x14ac:dyDescent="0.25">
      <c r="A834" s="167"/>
      <c r="B834" s="642"/>
      <c r="C834" s="642"/>
      <c r="D834" s="179"/>
      <c r="E834" s="169"/>
      <c r="F834" s="169"/>
      <c r="G834" s="187"/>
      <c r="H834" s="187"/>
      <c r="I834" s="187"/>
      <c r="J834" s="187"/>
      <c r="K834" s="187"/>
      <c r="L834" s="647"/>
      <c r="M834" s="646">
        <v>33768</v>
      </c>
      <c r="N834" s="585">
        <v>3.91</v>
      </c>
      <c r="O834" s="585">
        <v>0.18511</v>
      </c>
      <c r="P834" s="175">
        <v>0</v>
      </c>
      <c r="Q834" s="175">
        <v>1.5640000000000001E-2</v>
      </c>
      <c r="R834" s="175">
        <v>1.9279999999999999E-2</v>
      </c>
      <c r="S834" s="175">
        <v>2.205E-2</v>
      </c>
      <c r="T834" s="175">
        <v>3.2379999999999999E-2</v>
      </c>
      <c r="U834" s="175">
        <v>3.9710000000000002E-2</v>
      </c>
      <c r="V834" s="706">
        <v>5.6050000000000003E-2</v>
      </c>
      <c r="W834" s="717"/>
      <c r="X834" s="713"/>
      <c r="Y834" s="718"/>
      <c r="Z834" s="709">
        <v>54</v>
      </c>
      <c r="AA834" s="175"/>
      <c r="AB834" s="200"/>
      <c r="AC834" s="205">
        <v>7.0000000000000001E-3</v>
      </c>
      <c r="AD834" s="175">
        <v>8.6</v>
      </c>
      <c r="AE834" s="175">
        <v>0.36</v>
      </c>
      <c r="AF834" s="170">
        <f t="shared" si="15"/>
        <v>3.0959999999999996</v>
      </c>
      <c r="AG834" s="175">
        <v>1.26</v>
      </c>
      <c r="AH834" s="334"/>
      <c r="AI834" s="188"/>
      <c r="AJ834" s="188"/>
      <c r="AK834" s="188"/>
      <c r="AL834" s="189"/>
      <c r="AM834" s="189"/>
      <c r="AN834" s="189"/>
      <c r="AO834" s="189"/>
      <c r="AP834" s="189"/>
      <c r="AQ834" s="189"/>
      <c r="AR834" s="189"/>
      <c r="AS834" s="189"/>
      <c r="AT834" s="189"/>
      <c r="AU834" s="190"/>
      <c r="AV834" s="190"/>
      <c r="AW834" s="190"/>
      <c r="AX834" s="190"/>
      <c r="AY834" s="190"/>
      <c r="AZ834" s="189"/>
      <c r="BA834" s="189"/>
      <c r="BB834" s="189"/>
      <c r="BC834" s="189"/>
      <c r="BD834" s="189"/>
      <c r="BE834" s="189"/>
      <c r="BF834" s="189"/>
      <c r="BG834" s="189"/>
      <c r="BH834" s="189"/>
      <c r="BI834" s="190"/>
      <c r="BJ834" s="190"/>
      <c r="BK834" s="190"/>
      <c r="BL834" s="190"/>
      <c r="BM834" s="190"/>
      <c r="BN834" s="190"/>
      <c r="BO834" s="190"/>
      <c r="BP834" s="190"/>
      <c r="BQ834" s="190"/>
      <c r="BR834" s="190"/>
      <c r="BS834" s="190"/>
      <c r="BT834" s="190"/>
      <c r="BU834" s="190"/>
      <c r="BV834" s="190"/>
      <c r="BW834" s="190"/>
      <c r="BX834" s="190"/>
      <c r="BY834" s="190"/>
      <c r="BZ834" s="190"/>
      <c r="CA834" s="189"/>
      <c r="CB834" s="15"/>
    </row>
    <row r="835" spans="1:80" ht="15" x14ac:dyDescent="0.25">
      <c r="A835" s="167"/>
      <c r="B835" s="642"/>
      <c r="C835" s="642"/>
      <c r="D835" s="179"/>
      <c r="E835" s="169"/>
      <c r="F835" s="169"/>
      <c r="G835" s="187"/>
      <c r="H835" s="187"/>
      <c r="I835" s="187"/>
      <c r="J835" s="187"/>
      <c r="K835" s="187"/>
      <c r="L835" s="647"/>
      <c r="M835" s="646">
        <v>33768</v>
      </c>
      <c r="N835" s="585">
        <v>3.71</v>
      </c>
      <c r="O835" s="585">
        <v>0.17452999999999999</v>
      </c>
      <c r="P835" s="175">
        <v>0</v>
      </c>
      <c r="Q835" s="175">
        <v>2.095E-2</v>
      </c>
      <c r="R835" s="175">
        <v>1.21E-2</v>
      </c>
      <c r="S835" s="175">
        <v>1.9779999999999999E-2</v>
      </c>
      <c r="T835" s="175">
        <v>2.9069999999999999E-2</v>
      </c>
      <c r="U835" s="175">
        <v>3.9949999999999999E-2</v>
      </c>
      <c r="V835" s="706">
        <v>5.2690000000000001E-2</v>
      </c>
      <c r="W835" s="717"/>
      <c r="X835" s="713"/>
      <c r="Y835" s="718"/>
      <c r="Z835" s="709">
        <v>63</v>
      </c>
      <c r="AA835" s="175"/>
      <c r="AB835" s="200"/>
      <c r="AC835" s="205">
        <v>0.02</v>
      </c>
      <c r="AD835" s="175">
        <v>8.4</v>
      </c>
      <c r="AE835" s="175">
        <v>0.35</v>
      </c>
      <c r="AF835" s="170">
        <f t="shared" si="15"/>
        <v>2.94</v>
      </c>
      <c r="AG835" s="175">
        <v>1.22</v>
      </c>
      <c r="AH835" s="334"/>
      <c r="AI835" s="188"/>
      <c r="AJ835" s="188"/>
      <c r="AK835" s="188"/>
      <c r="AL835" s="189"/>
      <c r="AM835" s="189"/>
      <c r="AN835" s="189"/>
      <c r="AO835" s="189"/>
      <c r="AP835" s="189"/>
      <c r="AQ835" s="189"/>
      <c r="AR835" s="189"/>
      <c r="AS835" s="189"/>
      <c r="AT835" s="189"/>
      <c r="AU835" s="190"/>
      <c r="AV835" s="190"/>
      <c r="AW835" s="190"/>
      <c r="AX835" s="190"/>
      <c r="AY835" s="190"/>
      <c r="AZ835" s="189"/>
      <c r="BA835" s="189"/>
      <c r="BB835" s="189"/>
      <c r="BC835" s="189"/>
      <c r="BD835" s="189"/>
      <c r="BE835" s="189"/>
      <c r="BF835" s="189"/>
      <c r="BG835" s="189"/>
      <c r="BH835" s="189"/>
      <c r="BI835" s="190"/>
      <c r="BJ835" s="190"/>
      <c r="BK835" s="190"/>
      <c r="BL835" s="190"/>
      <c r="BM835" s="190"/>
      <c r="BN835" s="190"/>
      <c r="BO835" s="190"/>
      <c r="BP835" s="190"/>
      <c r="BQ835" s="190"/>
      <c r="BR835" s="190"/>
      <c r="BS835" s="190"/>
      <c r="BT835" s="190"/>
      <c r="BU835" s="190"/>
      <c r="BV835" s="190"/>
      <c r="BW835" s="190"/>
      <c r="BX835" s="190"/>
      <c r="BY835" s="190"/>
      <c r="BZ835" s="190"/>
      <c r="CA835" s="189"/>
      <c r="CB835" s="15"/>
    </row>
    <row r="836" spans="1:80" ht="15" x14ac:dyDescent="0.25">
      <c r="A836" s="167"/>
      <c r="B836" s="642"/>
      <c r="C836" s="642"/>
      <c r="D836" s="179"/>
      <c r="E836" s="169"/>
      <c r="F836" s="169"/>
      <c r="G836" s="187"/>
      <c r="H836" s="187"/>
      <c r="I836" s="187"/>
      <c r="J836" s="187"/>
      <c r="K836" s="187"/>
      <c r="L836" s="647"/>
      <c r="M836" s="646">
        <v>33768</v>
      </c>
      <c r="N836" s="585">
        <v>3.47</v>
      </c>
      <c r="O836" s="585">
        <v>0.10150000000000001</v>
      </c>
      <c r="P836" s="175">
        <v>0</v>
      </c>
      <c r="Q836" s="175">
        <v>8.5400000000000007E-3</v>
      </c>
      <c r="R836" s="175">
        <v>8.4499999999999992E-3</v>
      </c>
      <c r="S836" s="175">
        <v>1.196E-2</v>
      </c>
      <c r="T836" s="175">
        <v>1.6469999999999999E-2</v>
      </c>
      <c r="U836" s="175">
        <v>2.198E-2</v>
      </c>
      <c r="V836" s="706">
        <v>3.4099999999999998E-2</v>
      </c>
      <c r="W836" s="717"/>
      <c r="X836" s="713"/>
      <c r="Y836" s="718"/>
      <c r="Z836" s="709">
        <v>36</v>
      </c>
      <c r="AA836" s="175"/>
      <c r="AB836" s="200"/>
      <c r="AC836" s="205">
        <v>1.6E-2</v>
      </c>
      <c r="AD836" s="175">
        <v>8.1</v>
      </c>
      <c r="AE836" s="175">
        <v>0.35</v>
      </c>
      <c r="AF836" s="170">
        <f t="shared" si="15"/>
        <v>2.8349999999999995</v>
      </c>
      <c r="AG836" s="175">
        <v>1.27</v>
      </c>
      <c r="AH836" s="334"/>
      <c r="AI836" s="188"/>
      <c r="AJ836" s="188"/>
      <c r="AK836" s="188"/>
      <c r="AL836" s="189"/>
      <c r="AM836" s="189"/>
      <c r="AN836" s="189"/>
      <c r="AO836" s="189"/>
      <c r="AP836" s="189"/>
      <c r="AQ836" s="189"/>
      <c r="AR836" s="189"/>
      <c r="AS836" s="189"/>
      <c r="AT836" s="189"/>
      <c r="AU836" s="190"/>
      <c r="AV836" s="190"/>
      <c r="AW836" s="190"/>
      <c r="AX836" s="190"/>
      <c r="AY836" s="190"/>
      <c r="AZ836" s="189"/>
      <c r="BA836" s="189"/>
      <c r="BB836" s="189"/>
      <c r="BC836" s="189"/>
      <c r="BD836" s="189"/>
      <c r="BE836" s="189"/>
      <c r="BF836" s="189"/>
      <c r="BG836" s="189"/>
      <c r="BH836" s="189"/>
      <c r="BI836" s="190"/>
      <c r="BJ836" s="190"/>
      <c r="BK836" s="190"/>
      <c r="BL836" s="190"/>
      <c r="BM836" s="190"/>
      <c r="BN836" s="190"/>
      <c r="BO836" s="190"/>
      <c r="BP836" s="190"/>
      <c r="BQ836" s="190"/>
      <c r="BR836" s="190"/>
      <c r="BS836" s="190"/>
      <c r="BT836" s="190"/>
      <c r="BU836" s="190"/>
      <c r="BV836" s="190"/>
      <c r="BW836" s="190"/>
      <c r="BX836" s="190"/>
      <c r="BY836" s="190"/>
      <c r="BZ836" s="190"/>
      <c r="CA836" s="189"/>
      <c r="CB836" s="15"/>
    </row>
    <row r="837" spans="1:80" ht="15" x14ac:dyDescent="0.25">
      <c r="A837" s="167"/>
      <c r="B837" s="642"/>
      <c r="C837" s="642"/>
      <c r="D837" s="179"/>
      <c r="E837" s="169"/>
      <c r="F837" s="169"/>
      <c r="G837" s="187"/>
      <c r="H837" s="187"/>
      <c r="I837" s="187"/>
      <c r="J837" s="187"/>
      <c r="K837" s="187"/>
      <c r="L837" s="647"/>
      <c r="M837" s="646">
        <v>33768</v>
      </c>
      <c r="N837" s="585">
        <v>3.76</v>
      </c>
      <c r="O837" s="585">
        <v>2.4629999999999999E-2</v>
      </c>
      <c r="P837" s="175">
        <v>0</v>
      </c>
      <c r="Q837" s="175">
        <v>0</v>
      </c>
      <c r="R837" s="175">
        <v>4.0999999999999999E-4</v>
      </c>
      <c r="S837" s="175">
        <v>1.81E-3</v>
      </c>
      <c r="T837" s="175">
        <v>4.1700000000000001E-3</v>
      </c>
      <c r="U837" s="175">
        <v>5.5100000000000001E-3</v>
      </c>
      <c r="V837" s="706">
        <v>1.274E-2</v>
      </c>
      <c r="W837" s="717"/>
      <c r="X837" s="713"/>
      <c r="Y837" s="718"/>
      <c r="Z837" s="709">
        <v>19</v>
      </c>
      <c r="AA837" s="175"/>
      <c r="AB837" s="200"/>
      <c r="AC837" s="205">
        <v>1.2999999999999999E-2</v>
      </c>
      <c r="AD837" s="175">
        <v>8.1999999999999993</v>
      </c>
      <c r="AE837" s="175">
        <v>0.36</v>
      </c>
      <c r="AF837" s="170">
        <f t="shared" si="15"/>
        <v>2.9519999999999995</v>
      </c>
      <c r="AG837" s="175">
        <v>1.29</v>
      </c>
      <c r="AH837" s="334"/>
      <c r="AI837" s="188"/>
      <c r="AJ837" s="188"/>
      <c r="AK837" s="188"/>
      <c r="AL837" s="189"/>
      <c r="AM837" s="189"/>
      <c r="AN837" s="189"/>
      <c r="AO837" s="189"/>
      <c r="AP837" s="189"/>
      <c r="AQ837" s="189"/>
      <c r="AR837" s="189"/>
      <c r="AS837" s="189"/>
      <c r="AT837" s="189"/>
      <c r="AU837" s="190"/>
      <c r="AV837" s="190"/>
      <c r="AW837" s="190"/>
      <c r="AX837" s="190"/>
      <c r="AY837" s="190"/>
      <c r="AZ837" s="189"/>
      <c r="BA837" s="189"/>
      <c r="BB837" s="189"/>
      <c r="BC837" s="189"/>
      <c r="BD837" s="189"/>
      <c r="BE837" s="189"/>
      <c r="BF837" s="189"/>
      <c r="BG837" s="189"/>
      <c r="BH837" s="189"/>
      <c r="BI837" s="190"/>
      <c r="BJ837" s="190"/>
      <c r="BK837" s="190"/>
      <c r="BL837" s="190"/>
      <c r="BM837" s="190"/>
      <c r="BN837" s="190"/>
      <c r="BO837" s="190"/>
      <c r="BP837" s="190"/>
      <c r="BQ837" s="190"/>
      <c r="BR837" s="190"/>
      <c r="BS837" s="190"/>
      <c r="BT837" s="190"/>
      <c r="BU837" s="190"/>
      <c r="BV837" s="190"/>
      <c r="BW837" s="190"/>
      <c r="BX837" s="190"/>
      <c r="BY837" s="190"/>
      <c r="BZ837" s="190"/>
      <c r="CA837" s="189"/>
      <c r="CB837" s="15"/>
    </row>
    <row r="838" spans="1:80" ht="15" x14ac:dyDescent="0.25">
      <c r="A838" s="167"/>
      <c r="B838" s="642"/>
      <c r="C838" s="642"/>
      <c r="D838" s="179"/>
      <c r="E838" s="169"/>
      <c r="F838" s="169"/>
      <c r="G838" s="187"/>
      <c r="H838" s="187"/>
      <c r="I838" s="187"/>
      <c r="J838" s="187"/>
      <c r="K838" s="187"/>
      <c r="L838" s="647"/>
      <c r="M838" s="646">
        <v>33768</v>
      </c>
      <c r="N838" s="585">
        <v>3.96</v>
      </c>
      <c r="O838" s="585">
        <v>0.19334999999999999</v>
      </c>
      <c r="P838" s="175">
        <v>0</v>
      </c>
      <c r="Q838" s="175">
        <v>0</v>
      </c>
      <c r="R838" s="175">
        <v>1.324E-2</v>
      </c>
      <c r="S838" s="175">
        <v>2.1520000000000001E-2</v>
      </c>
      <c r="T838" s="175">
        <v>3.6580000000000001E-2</v>
      </c>
      <c r="U838" s="175">
        <v>4.6059999999999997E-2</v>
      </c>
      <c r="V838" s="706">
        <v>7.596E-2</v>
      </c>
      <c r="W838" s="717"/>
      <c r="X838" s="713"/>
      <c r="Y838" s="718"/>
      <c r="Z838" s="709">
        <v>37</v>
      </c>
      <c r="AA838" s="175"/>
      <c r="AB838" s="200"/>
      <c r="AC838" s="205">
        <v>1.7000000000000001E-2</v>
      </c>
      <c r="AD838" s="175">
        <v>8.6</v>
      </c>
      <c r="AE838" s="175">
        <v>0.36</v>
      </c>
      <c r="AF838" s="170">
        <f t="shared" si="15"/>
        <v>3.0959999999999996</v>
      </c>
      <c r="AG838" s="175">
        <v>1.35</v>
      </c>
      <c r="AH838" s="334"/>
      <c r="AI838" s="188"/>
      <c r="AJ838" s="188"/>
      <c r="AK838" s="188"/>
      <c r="AL838" s="189"/>
      <c r="AM838" s="189"/>
      <c r="AN838" s="189"/>
      <c r="AO838" s="189"/>
      <c r="AP838" s="189"/>
      <c r="AQ838" s="189"/>
      <c r="AR838" s="189"/>
      <c r="AS838" s="189"/>
      <c r="AT838" s="189"/>
      <c r="AU838" s="190"/>
      <c r="AV838" s="190"/>
      <c r="AW838" s="190"/>
      <c r="AX838" s="190"/>
      <c r="AY838" s="190"/>
      <c r="AZ838" s="189"/>
      <c r="BA838" s="189"/>
      <c r="BB838" s="189"/>
      <c r="BC838" s="189"/>
      <c r="BD838" s="189"/>
      <c r="BE838" s="189"/>
      <c r="BF838" s="189"/>
      <c r="BG838" s="189"/>
      <c r="BH838" s="189"/>
      <c r="BI838" s="190"/>
      <c r="BJ838" s="190"/>
      <c r="BK838" s="190"/>
      <c r="BL838" s="190"/>
      <c r="BM838" s="190"/>
      <c r="BN838" s="190"/>
      <c r="BO838" s="190"/>
      <c r="BP838" s="190"/>
      <c r="BQ838" s="190"/>
      <c r="BR838" s="190"/>
      <c r="BS838" s="190"/>
      <c r="BT838" s="190"/>
      <c r="BU838" s="190"/>
      <c r="BV838" s="190"/>
      <c r="BW838" s="190"/>
      <c r="BX838" s="190"/>
      <c r="BY838" s="190"/>
      <c r="BZ838" s="190"/>
      <c r="CA838" s="189"/>
      <c r="CB838" s="15"/>
    </row>
    <row r="839" spans="1:80" ht="15" x14ac:dyDescent="0.25">
      <c r="A839" s="167"/>
      <c r="B839" s="642"/>
      <c r="C839" s="642"/>
      <c r="D839" s="179"/>
      <c r="E839" s="169"/>
      <c r="F839" s="169"/>
      <c r="G839" s="187"/>
      <c r="H839" s="187"/>
      <c r="I839" s="187"/>
      <c r="J839" s="187"/>
      <c r="K839" s="187"/>
      <c r="L839" s="647"/>
      <c r="M839" s="646">
        <v>33768</v>
      </c>
      <c r="N839" s="585">
        <v>3.81</v>
      </c>
      <c r="O839" s="585">
        <v>4.199E-2</v>
      </c>
      <c r="P839" s="175">
        <v>0</v>
      </c>
      <c r="Q839" s="175">
        <v>0</v>
      </c>
      <c r="R839" s="175">
        <v>6.8100000000000001E-3</v>
      </c>
      <c r="S839" s="175">
        <v>2.2399999999999998E-3</v>
      </c>
      <c r="T839" s="175">
        <v>5.7099999999999998E-3</v>
      </c>
      <c r="U839" s="175">
        <v>9.6600000000000002E-3</v>
      </c>
      <c r="V839" s="706">
        <v>1.7579999999999998E-2</v>
      </c>
      <c r="W839" s="717"/>
      <c r="X839" s="713"/>
      <c r="Y839" s="718"/>
      <c r="Z839" s="709">
        <v>24</v>
      </c>
      <c r="AA839" s="175"/>
      <c r="AB839" s="200"/>
      <c r="AC839" s="205">
        <v>8.9999999999999993E-3</v>
      </c>
      <c r="AD839" s="175">
        <v>8.35</v>
      </c>
      <c r="AE839" s="175">
        <v>0.36</v>
      </c>
      <c r="AF839" s="170">
        <f t="shared" si="15"/>
        <v>3.0059999999999998</v>
      </c>
      <c r="AG839" s="175">
        <v>1.2</v>
      </c>
      <c r="AH839" s="334"/>
      <c r="AI839" s="188"/>
      <c r="AJ839" s="188"/>
      <c r="AK839" s="188"/>
      <c r="AL839" s="189"/>
      <c r="AM839" s="189"/>
      <c r="AN839" s="189"/>
      <c r="AO839" s="189"/>
      <c r="AP839" s="189"/>
      <c r="AQ839" s="189"/>
      <c r="AR839" s="189"/>
      <c r="AS839" s="189"/>
      <c r="AT839" s="189"/>
      <c r="AU839" s="190"/>
      <c r="AV839" s="190"/>
      <c r="AW839" s="190"/>
      <c r="AX839" s="190"/>
      <c r="AY839" s="190"/>
      <c r="AZ839" s="189"/>
      <c r="BA839" s="189"/>
      <c r="BB839" s="189"/>
      <c r="BC839" s="189"/>
      <c r="BD839" s="189"/>
      <c r="BE839" s="189"/>
      <c r="BF839" s="189"/>
      <c r="BG839" s="189"/>
      <c r="BH839" s="189"/>
      <c r="BI839" s="190"/>
      <c r="BJ839" s="190"/>
      <c r="BK839" s="190"/>
      <c r="BL839" s="190"/>
      <c r="BM839" s="190"/>
      <c r="BN839" s="190"/>
      <c r="BO839" s="190"/>
      <c r="BP839" s="190"/>
      <c r="BQ839" s="190"/>
      <c r="BR839" s="190"/>
      <c r="BS839" s="190"/>
      <c r="BT839" s="190"/>
      <c r="BU839" s="190"/>
      <c r="BV839" s="190"/>
      <c r="BW839" s="190"/>
      <c r="BX839" s="190"/>
      <c r="BY839" s="190"/>
      <c r="BZ839" s="190"/>
      <c r="CA839" s="189"/>
      <c r="CB839" s="15"/>
    </row>
    <row r="840" spans="1:80" ht="15" x14ac:dyDescent="0.25">
      <c r="A840" s="167"/>
      <c r="B840" s="642"/>
      <c r="C840" s="642"/>
      <c r="D840" s="179"/>
      <c r="E840" s="169"/>
      <c r="F840" s="169"/>
      <c r="G840" s="187"/>
      <c r="H840" s="187"/>
      <c r="I840" s="187"/>
      <c r="J840" s="187"/>
      <c r="K840" s="187"/>
      <c r="L840" s="647"/>
      <c r="M840" s="646">
        <v>33769</v>
      </c>
      <c r="N840" s="585">
        <v>3.66</v>
      </c>
      <c r="O840" s="585">
        <v>3.7699999999999997E-2</v>
      </c>
      <c r="P840" s="175">
        <v>0</v>
      </c>
      <c r="Q840" s="175">
        <v>0</v>
      </c>
      <c r="R840" s="175">
        <v>3.15E-3</v>
      </c>
      <c r="S840" s="175">
        <v>2.97E-3</v>
      </c>
      <c r="T840" s="175">
        <v>5.3600000000000002E-3</v>
      </c>
      <c r="U840" s="175">
        <v>8.26E-3</v>
      </c>
      <c r="V840" s="706">
        <v>1.796E-2</v>
      </c>
      <c r="W840" s="717"/>
      <c r="X840" s="713"/>
      <c r="Y840" s="718"/>
      <c r="Z840" s="709">
        <v>37</v>
      </c>
      <c r="AA840" s="175"/>
      <c r="AB840" s="200"/>
      <c r="AC840" s="205">
        <v>1.9E-2</v>
      </c>
      <c r="AD840" s="175">
        <v>8.35</v>
      </c>
      <c r="AE840" s="175">
        <v>0.36</v>
      </c>
      <c r="AF840" s="170">
        <f t="shared" si="15"/>
        <v>3.0059999999999998</v>
      </c>
      <c r="AG840" s="175">
        <v>1.23</v>
      </c>
      <c r="AH840" s="334"/>
      <c r="AI840" s="188"/>
      <c r="AJ840" s="188"/>
      <c r="AK840" s="188"/>
      <c r="AL840" s="189"/>
      <c r="AM840" s="189"/>
      <c r="AN840" s="189"/>
      <c r="AO840" s="189"/>
      <c r="AP840" s="189"/>
      <c r="AQ840" s="189"/>
      <c r="AR840" s="189"/>
      <c r="AS840" s="189"/>
      <c r="AT840" s="189"/>
      <c r="AU840" s="190"/>
      <c r="AV840" s="190"/>
      <c r="AW840" s="190"/>
      <c r="AX840" s="190"/>
      <c r="AY840" s="190"/>
      <c r="AZ840" s="189"/>
      <c r="BA840" s="189"/>
      <c r="BB840" s="189"/>
      <c r="BC840" s="189"/>
      <c r="BD840" s="189"/>
      <c r="BE840" s="189"/>
      <c r="BF840" s="189"/>
      <c r="BG840" s="189"/>
      <c r="BH840" s="189"/>
      <c r="BI840" s="190"/>
      <c r="BJ840" s="190"/>
      <c r="BK840" s="190"/>
      <c r="BL840" s="190"/>
      <c r="BM840" s="190"/>
      <c r="BN840" s="190"/>
      <c r="BO840" s="190"/>
      <c r="BP840" s="190"/>
      <c r="BQ840" s="190"/>
      <c r="BR840" s="190"/>
      <c r="BS840" s="190"/>
      <c r="BT840" s="190"/>
      <c r="BU840" s="190"/>
      <c r="BV840" s="190"/>
      <c r="BW840" s="190"/>
      <c r="BX840" s="190"/>
      <c r="BY840" s="190"/>
      <c r="BZ840" s="190"/>
      <c r="CA840" s="189"/>
      <c r="CB840" s="15"/>
    </row>
    <row r="841" spans="1:80" ht="15" x14ac:dyDescent="0.25">
      <c r="A841" s="167"/>
      <c r="B841" s="642"/>
      <c r="C841" s="642"/>
      <c r="D841" s="179"/>
      <c r="E841" s="169"/>
      <c r="F841" s="169"/>
      <c r="G841" s="187"/>
      <c r="H841" s="187"/>
      <c r="I841" s="187"/>
      <c r="J841" s="187"/>
      <c r="K841" s="187"/>
      <c r="L841" s="647"/>
      <c r="M841" s="646">
        <v>33769</v>
      </c>
      <c r="N841" s="585">
        <v>3.42</v>
      </c>
      <c r="O841" s="585">
        <v>7.0279999999999995E-2</v>
      </c>
      <c r="P841" s="175">
        <v>0</v>
      </c>
      <c r="Q841" s="175">
        <v>0</v>
      </c>
      <c r="R841" s="175">
        <v>5.7400000000000003E-3</v>
      </c>
      <c r="S841" s="175">
        <v>7.7499999999999999E-3</v>
      </c>
      <c r="T841" s="175">
        <v>1.2869999999999999E-2</v>
      </c>
      <c r="U841" s="175">
        <v>1.5959999999999998E-2</v>
      </c>
      <c r="V841" s="706">
        <v>2.7959999999999999E-2</v>
      </c>
      <c r="W841" s="717"/>
      <c r="X841" s="713"/>
      <c r="Y841" s="718"/>
      <c r="Z841" s="709">
        <v>28</v>
      </c>
      <c r="AA841" s="175"/>
      <c r="AB841" s="200"/>
      <c r="AC841" s="205">
        <v>0.02</v>
      </c>
      <c r="AD841" s="175">
        <v>8.4</v>
      </c>
      <c r="AE841" s="175">
        <v>0.34</v>
      </c>
      <c r="AF841" s="170">
        <f t="shared" si="15"/>
        <v>2.8560000000000003</v>
      </c>
      <c r="AG841" s="175">
        <v>1.1599999999999999</v>
      </c>
      <c r="AH841" s="334"/>
      <c r="AI841" s="188"/>
      <c r="AJ841" s="188"/>
      <c r="AK841" s="188"/>
      <c r="AL841" s="189"/>
      <c r="AM841" s="189"/>
      <c r="AN841" s="189"/>
      <c r="AO841" s="189"/>
      <c r="AP841" s="189"/>
      <c r="AQ841" s="189"/>
      <c r="AR841" s="189"/>
      <c r="AS841" s="189"/>
      <c r="AT841" s="189"/>
      <c r="AU841" s="190"/>
      <c r="AV841" s="190"/>
      <c r="AW841" s="190"/>
      <c r="AX841" s="190"/>
      <c r="AY841" s="190"/>
      <c r="AZ841" s="189"/>
      <c r="BA841" s="189"/>
      <c r="BB841" s="189"/>
      <c r="BC841" s="189"/>
      <c r="BD841" s="189"/>
      <c r="BE841" s="189"/>
      <c r="BF841" s="189"/>
      <c r="BG841" s="189"/>
      <c r="BH841" s="189"/>
      <c r="BI841" s="190"/>
      <c r="BJ841" s="190"/>
      <c r="BK841" s="190"/>
      <c r="BL841" s="190"/>
      <c r="BM841" s="190"/>
      <c r="BN841" s="190"/>
      <c r="BO841" s="190"/>
      <c r="BP841" s="190"/>
      <c r="BQ841" s="190"/>
      <c r="BR841" s="190"/>
      <c r="BS841" s="190"/>
      <c r="BT841" s="190"/>
      <c r="BU841" s="190"/>
      <c r="BV841" s="190"/>
      <c r="BW841" s="190"/>
      <c r="BX841" s="190"/>
      <c r="BY841" s="190"/>
      <c r="BZ841" s="190"/>
      <c r="CA841" s="189"/>
      <c r="CB841" s="15"/>
    </row>
    <row r="842" spans="1:80" ht="15" x14ac:dyDescent="0.25">
      <c r="A842" s="167"/>
      <c r="B842" s="642"/>
      <c r="C842" s="642"/>
      <c r="D842" s="179"/>
      <c r="E842" s="169"/>
      <c r="F842" s="169"/>
      <c r="G842" s="187"/>
      <c r="H842" s="187"/>
      <c r="I842" s="187"/>
      <c r="J842" s="187"/>
      <c r="K842" s="187"/>
      <c r="L842" s="647"/>
      <c r="M842" s="646">
        <v>33769</v>
      </c>
      <c r="N842" s="585">
        <v>4.0599999999999996</v>
      </c>
      <c r="O842" s="585">
        <v>2.7640000000000001E-2</v>
      </c>
      <c r="P842" s="175">
        <v>0</v>
      </c>
      <c r="Q842" s="175">
        <v>0</v>
      </c>
      <c r="R842" s="175">
        <v>3.6999999999999999E-4</v>
      </c>
      <c r="S842" s="175">
        <v>1.6299999999999999E-3</v>
      </c>
      <c r="T842" s="175">
        <v>4.3099999999999996E-3</v>
      </c>
      <c r="U842" s="175">
        <v>6.2399999999999999E-3</v>
      </c>
      <c r="V842" s="706">
        <v>1.5089999999999999E-2</v>
      </c>
      <c r="W842" s="717"/>
      <c r="X842" s="713"/>
      <c r="Y842" s="718"/>
      <c r="Z842" s="709">
        <v>24</v>
      </c>
      <c r="AA842" s="175"/>
      <c r="AB842" s="200"/>
      <c r="AC842" s="205">
        <v>7.0000000000000001E-3</v>
      </c>
      <c r="AD842" s="175">
        <v>8.4</v>
      </c>
      <c r="AE842" s="175">
        <v>0.38</v>
      </c>
      <c r="AF842" s="170">
        <f t="shared" si="15"/>
        <v>3.1920000000000002</v>
      </c>
      <c r="AG842" s="175">
        <v>1.33</v>
      </c>
      <c r="AH842" s="334"/>
      <c r="AI842" s="188"/>
      <c r="AJ842" s="188"/>
      <c r="AK842" s="188"/>
      <c r="AL842" s="189"/>
      <c r="AM842" s="189"/>
      <c r="AN842" s="189"/>
      <c r="AO842" s="189"/>
      <c r="AP842" s="189"/>
      <c r="AQ842" s="189"/>
      <c r="AR842" s="189"/>
      <c r="AS842" s="189"/>
      <c r="AT842" s="189"/>
      <c r="AU842" s="190"/>
      <c r="AV842" s="190"/>
      <c r="AW842" s="190"/>
      <c r="AX842" s="190"/>
      <c r="AY842" s="190"/>
      <c r="AZ842" s="189"/>
      <c r="BA842" s="189"/>
      <c r="BB842" s="189"/>
      <c r="BC842" s="189"/>
      <c r="BD842" s="189"/>
      <c r="BE842" s="189"/>
      <c r="BF842" s="189"/>
      <c r="BG842" s="189"/>
      <c r="BH842" s="189"/>
      <c r="BI842" s="190"/>
      <c r="BJ842" s="190"/>
      <c r="BK842" s="190"/>
      <c r="BL842" s="190"/>
      <c r="BM842" s="190"/>
      <c r="BN842" s="190"/>
      <c r="BO842" s="190"/>
      <c r="BP842" s="190"/>
      <c r="BQ842" s="190"/>
      <c r="BR842" s="190"/>
      <c r="BS842" s="190"/>
      <c r="BT842" s="190"/>
      <c r="BU842" s="190"/>
      <c r="BV842" s="190"/>
      <c r="BW842" s="190"/>
      <c r="BX842" s="190"/>
      <c r="BY842" s="190"/>
      <c r="BZ842" s="190"/>
      <c r="CA842" s="189"/>
      <c r="CB842" s="15"/>
    </row>
    <row r="843" spans="1:80" ht="15" x14ac:dyDescent="0.25">
      <c r="A843" s="167"/>
      <c r="B843" s="642"/>
      <c r="C843" s="642"/>
      <c r="D843" s="179"/>
      <c r="E843" s="169"/>
      <c r="F843" s="169"/>
      <c r="G843" s="187"/>
      <c r="H843" s="187"/>
      <c r="I843" s="187"/>
      <c r="J843" s="187"/>
      <c r="K843" s="187"/>
      <c r="L843" s="647"/>
      <c r="M843" s="646">
        <v>33769</v>
      </c>
      <c r="N843" s="585">
        <v>4.72</v>
      </c>
      <c r="O843" s="585">
        <v>0.14707999999999999</v>
      </c>
      <c r="P843" s="175">
        <v>0</v>
      </c>
      <c r="Q843" s="175">
        <v>3.1739999999999997E-2</v>
      </c>
      <c r="R843" s="175">
        <v>2.087E-2</v>
      </c>
      <c r="S843" s="175">
        <v>1.452E-2</v>
      </c>
      <c r="T843" s="175">
        <v>1.7270000000000001E-2</v>
      </c>
      <c r="U843" s="175">
        <v>1.933E-2</v>
      </c>
      <c r="V843" s="706">
        <v>4.335E-2</v>
      </c>
      <c r="W843" s="717"/>
      <c r="X843" s="713"/>
      <c r="Y843" s="718"/>
      <c r="Z843" s="709">
        <v>58</v>
      </c>
      <c r="AA843" s="175"/>
      <c r="AB843" s="200"/>
      <c r="AC843" s="205">
        <v>1.6E-2</v>
      </c>
      <c r="AD843" s="175">
        <v>8.85</v>
      </c>
      <c r="AE843" s="175">
        <v>0.38</v>
      </c>
      <c r="AF843" s="170">
        <f t="shared" si="15"/>
        <v>3.363</v>
      </c>
      <c r="AG843" s="175">
        <v>1.53</v>
      </c>
      <c r="AH843" s="334"/>
      <c r="AI843" s="188"/>
      <c r="AJ843" s="188"/>
      <c r="AK843" s="188"/>
      <c r="AL843" s="189"/>
      <c r="AM843" s="189"/>
      <c r="AN843" s="189"/>
      <c r="AO843" s="189"/>
      <c r="AP843" s="189"/>
      <c r="AQ843" s="189"/>
      <c r="AR843" s="189"/>
      <c r="AS843" s="189"/>
      <c r="AT843" s="189"/>
      <c r="AU843" s="190"/>
      <c r="AV843" s="190"/>
      <c r="AW843" s="190"/>
      <c r="AX843" s="190"/>
      <c r="AY843" s="190"/>
      <c r="AZ843" s="189"/>
      <c r="BA843" s="189"/>
      <c r="BB843" s="189"/>
      <c r="BC843" s="189"/>
      <c r="BD843" s="189"/>
      <c r="BE843" s="189"/>
      <c r="BF843" s="189"/>
      <c r="BG843" s="189"/>
      <c r="BH843" s="189"/>
      <c r="BI843" s="190"/>
      <c r="BJ843" s="190"/>
      <c r="BK843" s="190"/>
      <c r="BL843" s="190"/>
      <c r="BM843" s="190"/>
      <c r="BN843" s="190"/>
      <c r="BO843" s="190"/>
      <c r="BP843" s="190"/>
      <c r="BQ843" s="190"/>
      <c r="BR843" s="190"/>
      <c r="BS843" s="190"/>
      <c r="BT843" s="190"/>
      <c r="BU843" s="190"/>
      <c r="BV843" s="190"/>
      <c r="BW843" s="190"/>
      <c r="BX843" s="190"/>
      <c r="BY843" s="190"/>
      <c r="BZ843" s="190"/>
      <c r="CA843" s="189"/>
      <c r="CB843" s="15"/>
    </row>
    <row r="844" spans="1:80" ht="15" x14ac:dyDescent="0.25">
      <c r="A844" s="167"/>
      <c r="B844" s="642"/>
      <c r="C844" s="642"/>
      <c r="D844" s="179"/>
      <c r="E844" s="169"/>
      <c r="F844" s="169"/>
      <c r="G844" s="187"/>
      <c r="H844" s="187"/>
      <c r="I844" s="187"/>
      <c r="J844" s="187"/>
      <c r="K844" s="187"/>
      <c r="L844" s="647"/>
      <c r="M844" s="646">
        <v>33769</v>
      </c>
      <c r="N844" s="585">
        <v>4.1100000000000003</v>
      </c>
      <c r="O844" s="585">
        <v>6.812E-2</v>
      </c>
      <c r="P844" s="175">
        <v>0</v>
      </c>
      <c r="Q844" s="175">
        <v>1.6160000000000001E-2</v>
      </c>
      <c r="R844" s="175">
        <v>7.2199999999999999E-3</v>
      </c>
      <c r="S844" s="175">
        <v>4.47E-3</v>
      </c>
      <c r="T844" s="175">
        <v>6.6699999999999997E-3</v>
      </c>
      <c r="U844" s="175">
        <v>9.75E-3</v>
      </c>
      <c r="V844" s="706">
        <v>2.3859999999999999E-2</v>
      </c>
      <c r="W844" s="717"/>
      <c r="X844" s="713"/>
      <c r="Y844" s="718"/>
      <c r="Z844" s="709">
        <v>67</v>
      </c>
      <c r="AA844" s="175"/>
      <c r="AB844" s="200"/>
      <c r="AC844" s="205">
        <v>1.9E-2</v>
      </c>
      <c r="AD844" s="175">
        <v>8.5</v>
      </c>
      <c r="AE844" s="175">
        <v>0.35</v>
      </c>
      <c r="AF844" s="170">
        <f t="shared" si="15"/>
        <v>2.9749999999999996</v>
      </c>
      <c r="AG844" s="175">
        <v>1.39</v>
      </c>
      <c r="AH844" s="334"/>
      <c r="AI844" s="188"/>
      <c r="AJ844" s="188"/>
      <c r="AK844" s="188"/>
      <c r="AL844" s="189"/>
      <c r="AM844" s="189"/>
      <c r="AN844" s="189"/>
      <c r="AO844" s="189"/>
      <c r="AP844" s="189"/>
      <c r="AQ844" s="189"/>
      <c r="AR844" s="189"/>
      <c r="AS844" s="189"/>
      <c r="AT844" s="189"/>
      <c r="AU844" s="190"/>
      <c r="AV844" s="190"/>
      <c r="AW844" s="190"/>
      <c r="AX844" s="190"/>
      <c r="AY844" s="190"/>
      <c r="AZ844" s="189"/>
      <c r="BA844" s="189"/>
      <c r="BB844" s="189"/>
      <c r="BC844" s="189"/>
      <c r="BD844" s="189"/>
      <c r="BE844" s="189"/>
      <c r="BF844" s="189"/>
      <c r="BG844" s="189"/>
      <c r="BH844" s="189"/>
      <c r="BI844" s="190"/>
      <c r="BJ844" s="190"/>
      <c r="BK844" s="190"/>
      <c r="BL844" s="190"/>
      <c r="BM844" s="190"/>
      <c r="BN844" s="190"/>
      <c r="BO844" s="190"/>
      <c r="BP844" s="190"/>
      <c r="BQ844" s="190"/>
      <c r="BR844" s="190"/>
      <c r="BS844" s="190"/>
      <c r="BT844" s="190"/>
      <c r="BU844" s="190"/>
      <c r="BV844" s="190"/>
      <c r="BW844" s="190"/>
      <c r="BX844" s="190"/>
      <c r="BY844" s="190"/>
      <c r="BZ844" s="190"/>
      <c r="CA844" s="189"/>
      <c r="CB844" s="15"/>
    </row>
    <row r="845" spans="1:80" ht="15" x14ac:dyDescent="0.25">
      <c r="A845" s="167"/>
      <c r="B845" s="642"/>
      <c r="C845" s="642"/>
      <c r="D845" s="179"/>
      <c r="E845" s="169"/>
      <c r="F845" s="169"/>
      <c r="G845" s="187"/>
      <c r="H845" s="187"/>
      <c r="I845" s="187"/>
      <c r="J845" s="187"/>
      <c r="K845" s="187"/>
      <c r="L845" s="647"/>
      <c r="M845" s="646">
        <v>33770</v>
      </c>
      <c r="N845" s="585">
        <v>3.71</v>
      </c>
      <c r="O845" s="585">
        <v>0.15584000000000001</v>
      </c>
      <c r="P845" s="175">
        <v>0</v>
      </c>
      <c r="Q845" s="175">
        <v>2.4399999999999999E-3</v>
      </c>
      <c r="R845" s="175">
        <v>1.1039999999999999E-2</v>
      </c>
      <c r="S845" s="175">
        <v>2.3939999999999999E-2</v>
      </c>
      <c r="T845" s="175">
        <v>3.0669999999999999E-2</v>
      </c>
      <c r="U845" s="175">
        <v>3.5700000000000003E-2</v>
      </c>
      <c r="V845" s="706">
        <v>5.2040000000000003E-2</v>
      </c>
      <c r="W845" s="717"/>
      <c r="X845" s="713"/>
      <c r="Y845" s="718"/>
      <c r="Z845" s="709">
        <v>38</v>
      </c>
      <c r="AA845" s="175"/>
      <c r="AB845" s="200"/>
      <c r="AC845" s="205">
        <v>1.6E-2</v>
      </c>
      <c r="AD845" s="175">
        <v>8.4</v>
      </c>
      <c r="AE845" s="175">
        <v>0.35</v>
      </c>
      <c r="AF845" s="170">
        <f t="shared" si="15"/>
        <v>2.94</v>
      </c>
      <c r="AG845" s="175">
        <v>1.22</v>
      </c>
      <c r="AH845" s="334"/>
      <c r="AI845" s="188"/>
      <c r="AJ845" s="188"/>
      <c r="AK845" s="188"/>
      <c r="AL845" s="189"/>
      <c r="AM845" s="189"/>
      <c r="AN845" s="189"/>
      <c r="AO845" s="189"/>
      <c r="AP845" s="189"/>
      <c r="AQ845" s="189"/>
      <c r="AR845" s="189"/>
      <c r="AS845" s="189"/>
      <c r="AT845" s="189"/>
      <c r="AU845" s="190"/>
      <c r="AV845" s="190"/>
      <c r="AW845" s="190"/>
      <c r="AX845" s="190"/>
      <c r="AY845" s="190"/>
      <c r="AZ845" s="189"/>
      <c r="BA845" s="189"/>
      <c r="BB845" s="189"/>
      <c r="BC845" s="189"/>
      <c r="BD845" s="189"/>
      <c r="BE845" s="189"/>
      <c r="BF845" s="189"/>
      <c r="BG845" s="189"/>
      <c r="BH845" s="189"/>
      <c r="BI845" s="190"/>
      <c r="BJ845" s="190"/>
      <c r="BK845" s="190"/>
      <c r="BL845" s="190"/>
      <c r="BM845" s="190"/>
      <c r="BN845" s="190"/>
      <c r="BO845" s="190"/>
      <c r="BP845" s="190"/>
      <c r="BQ845" s="190"/>
      <c r="BR845" s="190"/>
      <c r="BS845" s="190"/>
      <c r="BT845" s="190"/>
      <c r="BU845" s="190"/>
      <c r="BV845" s="190"/>
      <c r="BW845" s="190"/>
      <c r="BX845" s="190"/>
      <c r="BY845" s="190"/>
      <c r="BZ845" s="190"/>
      <c r="CA845" s="189"/>
      <c r="CB845" s="15"/>
    </row>
    <row r="846" spans="1:80" ht="15" x14ac:dyDescent="0.25">
      <c r="A846" s="167"/>
      <c r="B846" s="642"/>
      <c r="C846" s="642"/>
      <c r="D846" s="179"/>
      <c r="E846" s="169"/>
      <c r="F846" s="169"/>
      <c r="G846" s="187"/>
      <c r="H846" s="187"/>
      <c r="I846" s="187"/>
      <c r="J846" s="187"/>
      <c r="K846" s="187"/>
      <c r="L846" s="647"/>
      <c r="M846" s="646">
        <v>33770</v>
      </c>
      <c r="N846" s="585">
        <v>3.47</v>
      </c>
      <c r="O846" s="585">
        <v>0.13708000000000001</v>
      </c>
      <c r="P846" s="175">
        <v>0</v>
      </c>
      <c r="Q846" s="175">
        <v>0</v>
      </c>
      <c r="R846" s="175">
        <v>8.9300000000000004E-3</v>
      </c>
      <c r="S846" s="175">
        <v>1.7559999999999999E-2</v>
      </c>
      <c r="T846" s="175">
        <v>2.9360000000000001E-2</v>
      </c>
      <c r="U846" s="175">
        <v>3.322E-2</v>
      </c>
      <c r="V846" s="706">
        <v>4.8000000000000001E-2</v>
      </c>
      <c r="W846" s="717"/>
      <c r="X846" s="713"/>
      <c r="Y846" s="718"/>
      <c r="Z846" s="709">
        <v>31</v>
      </c>
      <c r="AA846" s="175"/>
      <c r="AB846" s="200"/>
      <c r="AC846" s="205">
        <v>1.9E-2</v>
      </c>
      <c r="AD846" s="175">
        <v>8.3000000000000007</v>
      </c>
      <c r="AE846" s="175">
        <v>0.34</v>
      </c>
      <c r="AF846" s="170">
        <f t="shared" si="15"/>
        <v>2.8220000000000005</v>
      </c>
      <c r="AG846" s="175">
        <v>1.21</v>
      </c>
      <c r="AH846" s="334"/>
      <c r="AI846" s="188"/>
      <c r="AJ846" s="188"/>
      <c r="AK846" s="188"/>
      <c r="AL846" s="189"/>
      <c r="AM846" s="189"/>
      <c r="AN846" s="189"/>
      <c r="AO846" s="189"/>
      <c r="AP846" s="189"/>
      <c r="AQ846" s="189"/>
      <c r="AR846" s="189"/>
      <c r="AS846" s="189"/>
      <c r="AT846" s="189"/>
      <c r="AU846" s="190"/>
      <c r="AV846" s="190"/>
      <c r="AW846" s="190"/>
      <c r="AX846" s="190"/>
      <c r="AY846" s="190"/>
      <c r="AZ846" s="189"/>
      <c r="BA846" s="189"/>
      <c r="BB846" s="189"/>
      <c r="BC846" s="189"/>
      <c r="BD846" s="189"/>
      <c r="BE846" s="189"/>
      <c r="BF846" s="189"/>
      <c r="BG846" s="189"/>
      <c r="BH846" s="189"/>
      <c r="BI846" s="190"/>
      <c r="BJ846" s="190"/>
      <c r="BK846" s="190"/>
      <c r="BL846" s="190"/>
      <c r="BM846" s="190"/>
      <c r="BN846" s="190"/>
      <c r="BO846" s="190"/>
      <c r="BP846" s="190"/>
      <c r="BQ846" s="190"/>
      <c r="BR846" s="190"/>
      <c r="BS846" s="190"/>
      <c r="BT846" s="190"/>
      <c r="BU846" s="190"/>
      <c r="BV846" s="190"/>
      <c r="BW846" s="190"/>
      <c r="BX846" s="190"/>
      <c r="BY846" s="190"/>
      <c r="BZ846" s="190"/>
      <c r="CA846" s="189"/>
      <c r="CB846" s="15"/>
    </row>
    <row r="847" spans="1:80" ht="15" x14ac:dyDescent="0.25">
      <c r="A847" s="167"/>
      <c r="B847" s="642"/>
      <c r="C847" s="642"/>
      <c r="D847" s="179"/>
      <c r="E847" s="169"/>
      <c r="F847" s="169"/>
      <c r="G847" s="187"/>
      <c r="H847" s="187"/>
      <c r="I847" s="187"/>
      <c r="J847" s="187"/>
      <c r="K847" s="187"/>
      <c r="L847" s="647"/>
      <c r="M847" s="646">
        <v>33770</v>
      </c>
      <c r="N847" s="585">
        <v>4.21</v>
      </c>
      <c r="O847" s="585">
        <v>6.9129999999999997E-2</v>
      </c>
      <c r="P847" s="175">
        <v>0</v>
      </c>
      <c r="Q847" s="175">
        <v>2.0650000000000002E-2</v>
      </c>
      <c r="R847" s="175">
        <v>3.31E-3</v>
      </c>
      <c r="S847" s="175">
        <v>5.1500000000000001E-3</v>
      </c>
      <c r="T847" s="175">
        <v>6.2899999999999996E-3</v>
      </c>
      <c r="U847" s="175">
        <v>8.8400000000000006E-3</v>
      </c>
      <c r="V847" s="706">
        <v>2.4889999999999999E-2</v>
      </c>
      <c r="W847" s="717"/>
      <c r="X847" s="713"/>
      <c r="Y847" s="718"/>
      <c r="Z847" s="709">
        <v>67</v>
      </c>
      <c r="AA847" s="175"/>
      <c r="AB847" s="200"/>
      <c r="AC847" s="205">
        <v>1.7999999999999999E-2</v>
      </c>
      <c r="AD847" s="175">
        <v>8.3000000000000007</v>
      </c>
      <c r="AE847" s="175">
        <v>0.38</v>
      </c>
      <c r="AF847" s="170">
        <f t="shared" si="15"/>
        <v>3.1540000000000004</v>
      </c>
      <c r="AG847" s="175">
        <v>1.3</v>
      </c>
      <c r="AH847" s="334"/>
      <c r="AI847" s="188"/>
      <c r="AJ847" s="188"/>
      <c r="AK847" s="188"/>
      <c r="AL847" s="189"/>
      <c r="AM847" s="189"/>
      <c r="AN847" s="189"/>
      <c r="AO847" s="189"/>
      <c r="AP847" s="189"/>
      <c r="AQ847" s="189"/>
      <c r="AR847" s="189"/>
      <c r="AS847" s="189"/>
      <c r="AT847" s="189"/>
      <c r="AU847" s="190"/>
      <c r="AV847" s="190"/>
      <c r="AW847" s="190"/>
      <c r="AX847" s="190"/>
      <c r="AY847" s="190"/>
      <c r="AZ847" s="189"/>
      <c r="BA847" s="189"/>
      <c r="BB847" s="189"/>
      <c r="BC847" s="189"/>
      <c r="BD847" s="189"/>
      <c r="BE847" s="189"/>
      <c r="BF847" s="189"/>
      <c r="BG847" s="189"/>
      <c r="BH847" s="189"/>
      <c r="BI847" s="190"/>
      <c r="BJ847" s="190"/>
      <c r="BK847" s="190"/>
      <c r="BL847" s="190"/>
      <c r="BM847" s="190"/>
      <c r="BN847" s="190"/>
      <c r="BO847" s="190"/>
      <c r="BP847" s="190"/>
      <c r="BQ847" s="190"/>
      <c r="BR847" s="190"/>
      <c r="BS847" s="190"/>
      <c r="BT847" s="190"/>
      <c r="BU847" s="190"/>
      <c r="BV847" s="190"/>
      <c r="BW847" s="190"/>
      <c r="BX847" s="190"/>
      <c r="BY847" s="190"/>
      <c r="BZ847" s="190"/>
      <c r="CA847" s="189"/>
      <c r="CB847" s="15"/>
    </row>
    <row r="848" spans="1:80" ht="15" x14ac:dyDescent="0.25">
      <c r="A848" s="167"/>
      <c r="B848" s="642"/>
      <c r="C848" s="642"/>
      <c r="D848" s="179"/>
      <c r="E848" s="169"/>
      <c r="F848" s="169"/>
      <c r="G848" s="187"/>
      <c r="H848" s="187"/>
      <c r="I848" s="187"/>
      <c r="J848" s="187"/>
      <c r="K848" s="187"/>
      <c r="L848" s="647"/>
      <c r="M848" s="646">
        <v>33770</v>
      </c>
      <c r="N848" s="585">
        <v>4.1100000000000003</v>
      </c>
      <c r="O848" s="585">
        <v>9.1550000000000006E-2</v>
      </c>
      <c r="P848" s="175">
        <v>0</v>
      </c>
      <c r="Q848" s="175">
        <v>3.2340000000000001E-2</v>
      </c>
      <c r="R848" s="175">
        <v>5.2900000000000004E-3</v>
      </c>
      <c r="S848" s="175">
        <v>8.8100000000000001E-3</v>
      </c>
      <c r="T848" s="175">
        <v>8.2100000000000003E-3</v>
      </c>
      <c r="U848" s="175">
        <v>1.282E-2</v>
      </c>
      <c r="V848" s="706">
        <v>2.4080000000000001E-2</v>
      </c>
      <c r="W848" s="717"/>
      <c r="X848" s="713"/>
      <c r="Y848" s="718"/>
      <c r="Z848" s="709">
        <v>60</v>
      </c>
      <c r="AA848" s="175"/>
      <c r="AB848" s="200"/>
      <c r="AC848" s="205">
        <v>8.9999999999999993E-3</v>
      </c>
      <c r="AD848" s="175">
        <v>8.6</v>
      </c>
      <c r="AE848" s="175">
        <v>0.37</v>
      </c>
      <c r="AF848" s="170">
        <f t="shared" si="15"/>
        <v>3.1819999999999999</v>
      </c>
      <c r="AG848" s="175">
        <v>1.26</v>
      </c>
      <c r="AH848" s="334"/>
      <c r="AI848" s="188"/>
      <c r="AJ848" s="188"/>
      <c r="AK848" s="188"/>
      <c r="AL848" s="189"/>
      <c r="AM848" s="189"/>
      <c r="AN848" s="189"/>
      <c r="AO848" s="189"/>
      <c r="AP848" s="189"/>
      <c r="AQ848" s="189"/>
      <c r="AR848" s="189"/>
      <c r="AS848" s="189"/>
      <c r="AT848" s="189"/>
      <c r="AU848" s="190"/>
      <c r="AV848" s="190"/>
      <c r="AW848" s="190"/>
      <c r="AX848" s="190"/>
      <c r="AY848" s="190"/>
      <c r="AZ848" s="189"/>
      <c r="BA848" s="189"/>
      <c r="BB848" s="189"/>
      <c r="BC848" s="189"/>
      <c r="BD848" s="189"/>
      <c r="BE848" s="189"/>
      <c r="BF848" s="189"/>
      <c r="BG848" s="189"/>
      <c r="BH848" s="189"/>
      <c r="BI848" s="190"/>
      <c r="BJ848" s="190"/>
      <c r="BK848" s="190"/>
      <c r="BL848" s="190"/>
      <c r="BM848" s="190"/>
      <c r="BN848" s="190"/>
      <c r="BO848" s="190"/>
      <c r="BP848" s="190"/>
      <c r="BQ848" s="190"/>
      <c r="BR848" s="190"/>
      <c r="BS848" s="190"/>
      <c r="BT848" s="190"/>
      <c r="BU848" s="190"/>
      <c r="BV848" s="190"/>
      <c r="BW848" s="190"/>
      <c r="BX848" s="190"/>
      <c r="BY848" s="190"/>
      <c r="BZ848" s="190"/>
      <c r="CA848" s="189"/>
      <c r="CB848" s="15"/>
    </row>
    <row r="849" spans="1:80" ht="15" x14ac:dyDescent="0.25">
      <c r="A849" s="167"/>
      <c r="B849" s="642"/>
      <c r="C849" s="642"/>
      <c r="D849" s="179"/>
      <c r="E849" s="169"/>
      <c r="F849" s="169"/>
      <c r="G849" s="187"/>
      <c r="H849" s="187"/>
      <c r="I849" s="187"/>
      <c r="J849" s="187"/>
      <c r="K849" s="187"/>
      <c r="L849" s="647"/>
      <c r="M849" s="646">
        <v>33771</v>
      </c>
      <c r="N849" s="585">
        <v>3.81</v>
      </c>
      <c r="O849" s="585">
        <v>5.851E-2</v>
      </c>
      <c r="P849" s="175">
        <v>0</v>
      </c>
      <c r="Q849" s="175">
        <v>2.6700000000000001E-3</v>
      </c>
      <c r="R849" s="175">
        <v>7.4000000000000003E-3</v>
      </c>
      <c r="S849" s="175">
        <v>4.0600000000000002E-3</v>
      </c>
      <c r="T849" s="175">
        <v>8.3099999999999997E-3</v>
      </c>
      <c r="U849" s="175">
        <v>1.2149999999999999E-2</v>
      </c>
      <c r="V849" s="706">
        <v>2.392E-2</v>
      </c>
      <c r="W849" s="717"/>
      <c r="X849" s="713"/>
      <c r="Y849" s="718"/>
      <c r="Z849" s="709">
        <v>38</v>
      </c>
      <c r="AA849" s="175"/>
      <c r="AB849" s="200"/>
      <c r="AC849" s="205">
        <v>8.0000000000000002E-3</v>
      </c>
      <c r="AD849" s="175">
        <v>8.25</v>
      </c>
      <c r="AE849" s="175">
        <v>0.37</v>
      </c>
      <c r="AF849" s="170">
        <f t="shared" si="15"/>
        <v>3.0524999999999998</v>
      </c>
      <c r="AG849" s="175">
        <v>1.22</v>
      </c>
      <c r="AH849" s="334"/>
      <c r="AI849" s="188"/>
      <c r="AJ849" s="188"/>
      <c r="AK849" s="188"/>
      <c r="AL849" s="189"/>
      <c r="AM849" s="189"/>
      <c r="AN849" s="189"/>
      <c r="AO849" s="189"/>
      <c r="AP849" s="189"/>
      <c r="AQ849" s="189"/>
      <c r="AR849" s="189"/>
      <c r="AS849" s="189"/>
      <c r="AT849" s="189"/>
      <c r="AU849" s="190"/>
      <c r="AV849" s="190"/>
      <c r="AW849" s="190"/>
      <c r="AX849" s="190"/>
      <c r="AY849" s="190"/>
      <c r="AZ849" s="189"/>
      <c r="BA849" s="189"/>
      <c r="BB849" s="189"/>
      <c r="BC849" s="189"/>
      <c r="BD849" s="189"/>
      <c r="BE849" s="189"/>
      <c r="BF849" s="189"/>
      <c r="BG849" s="189"/>
      <c r="BH849" s="189"/>
      <c r="BI849" s="190"/>
      <c r="BJ849" s="190"/>
      <c r="BK849" s="190"/>
      <c r="BL849" s="190"/>
      <c r="BM849" s="190"/>
      <c r="BN849" s="190"/>
      <c r="BO849" s="190"/>
      <c r="BP849" s="190"/>
      <c r="BQ849" s="190"/>
      <c r="BR849" s="190"/>
      <c r="BS849" s="190"/>
      <c r="BT849" s="190"/>
      <c r="BU849" s="190"/>
      <c r="BV849" s="190"/>
      <c r="BW849" s="190"/>
      <c r="BX849" s="190"/>
      <c r="BY849" s="190"/>
      <c r="BZ849" s="190"/>
      <c r="CA849" s="189"/>
      <c r="CB849" s="15"/>
    </row>
    <row r="850" spans="1:80" ht="15" x14ac:dyDescent="0.25">
      <c r="A850" s="167"/>
      <c r="B850" s="642"/>
      <c r="C850" s="642"/>
      <c r="D850" s="179"/>
      <c r="E850" s="169"/>
      <c r="F850" s="169"/>
      <c r="G850" s="187"/>
      <c r="H850" s="187"/>
      <c r="I850" s="187"/>
      <c r="J850" s="187"/>
      <c r="K850" s="187"/>
      <c r="L850" s="647"/>
      <c r="M850" s="646">
        <v>33771</v>
      </c>
      <c r="N850" s="585">
        <v>3.52</v>
      </c>
      <c r="O850" s="585">
        <v>1.9879999999999998E-2</v>
      </c>
      <c r="P850" s="175">
        <v>0</v>
      </c>
      <c r="Q850" s="175">
        <v>0</v>
      </c>
      <c r="R850" s="175">
        <v>1.42E-3</v>
      </c>
      <c r="S850" s="175">
        <v>1.1100000000000001E-3</v>
      </c>
      <c r="T850" s="175">
        <v>2.2300000000000002E-3</v>
      </c>
      <c r="U850" s="175">
        <v>3.7000000000000002E-3</v>
      </c>
      <c r="V850" s="706">
        <v>1.142E-2</v>
      </c>
      <c r="W850" s="717"/>
      <c r="X850" s="713"/>
      <c r="Y850" s="718"/>
      <c r="Z850" s="709">
        <v>24</v>
      </c>
      <c r="AA850" s="175"/>
      <c r="AB850" s="200"/>
      <c r="AC850" s="205">
        <v>0.02</v>
      </c>
      <c r="AD850" s="175">
        <v>8.4</v>
      </c>
      <c r="AE850" s="175">
        <v>0.35</v>
      </c>
      <c r="AF850" s="170">
        <f t="shared" si="15"/>
        <v>2.94</v>
      </c>
      <c r="AG850" s="175">
        <v>1.24</v>
      </c>
      <c r="AH850" s="334"/>
      <c r="AI850" s="188"/>
      <c r="AJ850" s="188"/>
      <c r="AK850" s="188"/>
      <c r="AL850" s="189"/>
      <c r="AM850" s="189"/>
      <c r="AN850" s="189"/>
      <c r="AO850" s="189"/>
      <c r="AP850" s="189"/>
      <c r="AQ850" s="189"/>
      <c r="AR850" s="189"/>
      <c r="AS850" s="189"/>
      <c r="AT850" s="189"/>
      <c r="AU850" s="190"/>
      <c r="AV850" s="190"/>
      <c r="AW850" s="190"/>
      <c r="AX850" s="190"/>
      <c r="AY850" s="190"/>
      <c r="AZ850" s="189"/>
      <c r="BA850" s="189"/>
      <c r="BB850" s="189"/>
      <c r="BC850" s="189"/>
      <c r="BD850" s="189"/>
      <c r="BE850" s="189"/>
      <c r="BF850" s="189"/>
      <c r="BG850" s="189"/>
      <c r="BH850" s="189"/>
      <c r="BI850" s="190"/>
      <c r="BJ850" s="190"/>
      <c r="BK850" s="190"/>
      <c r="BL850" s="190"/>
      <c r="BM850" s="190"/>
      <c r="BN850" s="190"/>
      <c r="BO850" s="190"/>
      <c r="BP850" s="190"/>
      <c r="BQ850" s="190"/>
      <c r="BR850" s="190"/>
      <c r="BS850" s="190"/>
      <c r="BT850" s="190"/>
      <c r="BU850" s="190"/>
      <c r="BV850" s="190"/>
      <c r="BW850" s="190"/>
      <c r="BX850" s="190"/>
      <c r="BY850" s="190"/>
      <c r="BZ850" s="190"/>
      <c r="CA850" s="189"/>
      <c r="CB850" s="15"/>
    </row>
    <row r="851" spans="1:80" ht="15" x14ac:dyDescent="0.25">
      <c r="A851" s="167"/>
      <c r="B851" s="642"/>
      <c r="C851" s="642"/>
      <c r="D851" s="179"/>
      <c r="E851" s="169"/>
      <c r="F851" s="169"/>
      <c r="G851" s="187"/>
      <c r="H851" s="187"/>
      <c r="I851" s="187"/>
      <c r="J851" s="187"/>
      <c r="K851" s="187"/>
      <c r="L851" s="647"/>
      <c r="M851" s="646">
        <v>33771</v>
      </c>
      <c r="N851" s="585">
        <v>3.47</v>
      </c>
      <c r="O851" s="585">
        <v>2.8629999999999999E-2</v>
      </c>
      <c r="P851" s="175">
        <v>0</v>
      </c>
      <c r="Q851" s="175">
        <v>0</v>
      </c>
      <c r="R851" s="175">
        <v>1.2099999999999999E-3</v>
      </c>
      <c r="S851" s="175">
        <v>4.2199999999999998E-3</v>
      </c>
      <c r="T851" s="175">
        <v>3.9300000000000003E-3</v>
      </c>
      <c r="U851" s="175">
        <v>6.13E-3</v>
      </c>
      <c r="V851" s="706">
        <v>1.3140000000000001E-2</v>
      </c>
      <c r="W851" s="717"/>
      <c r="X851" s="713"/>
      <c r="Y851" s="718"/>
      <c r="Z851" s="709">
        <v>22</v>
      </c>
      <c r="AA851" s="175"/>
      <c r="AB851" s="200"/>
      <c r="AC851" s="205">
        <v>8.9999999999999993E-3</v>
      </c>
      <c r="AD851" s="175">
        <v>8.4</v>
      </c>
      <c r="AE851" s="175">
        <v>0.33</v>
      </c>
      <c r="AF851" s="170">
        <f t="shared" si="15"/>
        <v>2.7720000000000002</v>
      </c>
      <c r="AG851" s="175">
        <v>1.22</v>
      </c>
      <c r="AH851" s="334"/>
      <c r="AI851" s="188"/>
      <c r="AJ851" s="188"/>
      <c r="AK851" s="188"/>
      <c r="AL851" s="189"/>
      <c r="AM851" s="189"/>
      <c r="AN851" s="189"/>
      <c r="AO851" s="189"/>
      <c r="AP851" s="189"/>
      <c r="AQ851" s="189"/>
      <c r="AR851" s="189"/>
      <c r="AS851" s="189"/>
      <c r="AT851" s="189"/>
      <c r="AU851" s="190"/>
      <c r="AV851" s="190"/>
      <c r="AW851" s="190"/>
      <c r="AX851" s="190"/>
      <c r="AY851" s="190"/>
      <c r="AZ851" s="189"/>
      <c r="BA851" s="189"/>
      <c r="BB851" s="189"/>
      <c r="BC851" s="189"/>
      <c r="BD851" s="189"/>
      <c r="BE851" s="189"/>
      <c r="BF851" s="189"/>
      <c r="BG851" s="189"/>
      <c r="BH851" s="189"/>
      <c r="BI851" s="190"/>
      <c r="BJ851" s="190"/>
      <c r="BK851" s="190"/>
      <c r="BL851" s="190"/>
      <c r="BM851" s="190"/>
      <c r="BN851" s="190"/>
      <c r="BO851" s="190"/>
      <c r="BP851" s="190"/>
      <c r="BQ851" s="190"/>
      <c r="BR851" s="190"/>
      <c r="BS851" s="190"/>
      <c r="BT851" s="190"/>
      <c r="BU851" s="190"/>
      <c r="BV851" s="190"/>
      <c r="BW851" s="190"/>
      <c r="BX851" s="190"/>
      <c r="BY851" s="190"/>
      <c r="BZ851" s="190"/>
      <c r="CA851" s="189"/>
      <c r="CB851" s="15"/>
    </row>
    <row r="852" spans="1:80" ht="15" x14ac:dyDescent="0.25">
      <c r="A852" s="167"/>
      <c r="B852" s="642"/>
      <c r="C852" s="642"/>
      <c r="D852" s="179"/>
      <c r="E852" s="169"/>
      <c r="F852" s="169"/>
      <c r="G852" s="187"/>
      <c r="H852" s="187"/>
      <c r="I852" s="187"/>
      <c r="J852" s="187"/>
      <c r="K852" s="187"/>
      <c r="L852" s="647"/>
      <c r="M852" s="646">
        <v>33771</v>
      </c>
      <c r="N852" s="585">
        <v>3.81</v>
      </c>
      <c r="O852" s="585">
        <v>3.2640000000000002E-2</v>
      </c>
      <c r="P852" s="175">
        <v>0</v>
      </c>
      <c r="Q852" s="175">
        <v>8.7799999999999996E-3</v>
      </c>
      <c r="R852" s="175">
        <v>4.4000000000000002E-4</v>
      </c>
      <c r="S852" s="175">
        <v>4.1599999999999996E-3</v>
      </c>
      <c r="T852" s="175">
        <v>4.1999999999999997E-3</v>
      </c>
      <c r="U852" s="175">
        <v>4.9300000000000004E-3</v>
      </c>
      <c r="V852" s="706">
        <v>1.0120000000000001E-2</v>
      </c>
      <c r="W852" s="717"/>
      <c r="X852" s="713"/>
      <c r="Y852" s="718"/>
      <c r="Z852" s="709">
        <v>55</v>
      </c>
      <c r="AA852" s="175"/>
      <c r="AB852" s="200"/>
      <c r="AC852" s="205">
        <v>1.2E-2</v>
      </c>
      <c r="AD852" s="175">
        <v>8</v>
      </c>
      <c r="AE852" s="175">
        <v>0.39</v>
      </c>
      <c r="AF852" s="170">
        <f t="shared" si="15"/>
        <v>3.12</v>
      </c>
      <c r="AG852" s="175">
        <v>1.23</v>
      </c>
      <c r="AH852" s="334"/>
      <c r="AI852" s="188"/>
      <c r="AJ852" s="188"/>
      <c r="AK852" s="188"/>
      <c r="AL852" s="189"/>
      <c r="AM852" s="189"/>
      <c r="AN852" s="189"/>
      <c r="AO852" s="189"/>
      <c r="AP852" s="189"/>
      <c r="AQ852" s="189"/>
      <c r="AR852" s="189"/>
      <c r="AS852" s="189"/>
      <c r="AT852" s="189"/>
      <c r="AU852" s="190"/>
      <c r="AV852" s="190"/>
      <c r="AW852" s="190"/>
      <c r="AX852" s="190"/>
      <c r="AY852" s="190"/>
      <c r="AZ852" s="189"/>
      <c r="BA852" s="189"/>
      <c r="BB852" s="189"/>
      <c r="BC852" s="189"/>
      <c r="BD852" s="189"/>
      <c r="BE852" s="189"/>
      <c r="BF852" s="189"/>
      <c r="BG852" s="189"/>
      <c r="BH852" s="189"/>
      <c r="BI852" s="190"/>
      <c r="BJ852" s="190"/>
      <c r="BK852" s="190"/>
      <c r="BL852" s="190"/>
      <c r="BM852" s="190"/>
      <c r="BN852" s="190"/>
      <c r="BO852" s="190"/>
      <c r="BP852" s="190"/>
      <c r="BQ852" s="190"/>
      <c r="BR852" s="190"/>
      <c r="BS852" s="190"/>
      <c r="BT852" s="190"/>
      <c r="BU852" s="190"/>
      <c r="BV852" s="190"/>
      <c r="BW852" s="190"/>
      <c r="BX852" s="190"/>
      <c r="BY852" s="190"/>
      <c r="BZ852" s="190"/>
      <c r="CA852" s="189"/>
      <c r="CB852" s="15"/>
    </row>
    <row r="853" spans="1:80" ht="15" x14ac:dyDescent="0.25">
      <c r="A853" s="167"/>
      <c r="B853" s="642"/>
      <c r="C853" s="642"/>
      <c r="D853" s="179"/>
      <c r="E853" s="169"/>
      <c r="F853" s="169"/>
      <c r="G853" s="187"/>
      <c r="H853" s="187"/>
      <c r="I853" s="187"/>
      <c r="J853" s="187"/>
      <c r="K853" s="187"/>
      <c r="L853" s="647"/>
      <c r="M853" s="646">
        <v>33771</v>
      </c>
      <c r="N853" s="585">
        <v>4.16</v>
      </c>
      <c r="O853" s="585">
        <v>0.10555</v>
      </c>
      <c r="P853" s="175">
        <v>0</v>
      </c>
      <c r="Q853" s="175">
        <v>9.6299999999999997E-3</v>
      </c>
      <c r="R853" s="175">
        <v>1.098E-2</v>
      </c>
      <c r="S853" s="175">
        <v>9.0799999999999995E-3</v>
      </c>
      <c r="T853" s="175">
        <v>1.5640000000000001E-2</v>
      </c>
      <c r="U853" s="175">
        <v>2.043E-2</v>
      </c>
      <c r="V853" s="706">
        <v>3.9789999999999999E-2</v>
      </c>
      <c r="W853" s="717"/>
      <c r="X853" s="713"/>
      <c r="Y853" s="718"/>
      <c r="Z853" s="709">
        <v>46</v>
      </c>
      <c r="AA853" s="175"/>
      <c r="AB853" s="200"/>
      <c r="AC853" s="205">
        <v>0</v>
      </c>
      <c r="AD853" s="175">
        <v>8.35</v>
      </c>
      <c r="AE853" s="175">
        <v>0.38</v>
      </c>
      <c r="AF853" s="170">
        <f t="shared" si="15"/>
        <v>3.173</v>
      </c>
      <c r="AG853" s="175">
        <v>1.22</v>
      </c>
      <c r="AH853" s="334"/>
      <c r="AI853" s="188"/>
      <c r="AJ853" s="188"/>
      <c r="AK853" s="188"/>
      <c r="AL853" s="189"/>
      <c r="AM853" s="189"/>
      <c r="AN853" s="189"/>
      <c r="AO853" s="189"/>
      <c r="AP853" s="189"/>
      <c r="AQ853" s="189"/>
      <c r="AR853" s="189"/>
      <c r="AS853" s="189"/>
      <c r="AT853" s="189"/>
      <c r="AU853" s="190"/>
      <c r="AV853" s="190"/>
      <c r="AW853" s="190"/>
      <c r="AX853" s="190"/>
      <c r="AY853" s="190"/>
      <c r="AZ853" s="189"/>
      <c r="BA853" s="189"/>
      <c r="BB853" s="189"/>
      <c r="BC853" s="189"/>
      <c r="BD853" s="189"/>
      <c r="BE853" s="189"/>
      <c r="BF853" s="189"/>
      <c r="BG853" s="189"/>
      <c r="BH853" s="189"/>
      <c r="BI853" s="190"/>
      <c r="BJ853" s="190"/>
      <c r="BK853" s="190"/>
      <c r="BL853" s="190"/>
      <c r="BM853" s="190"/>
      <c r="BN853" s="190"/>
      <c r="BO853" s="190"/>
      <c r="BP853" s="190"/>
      <c r="BQ853" s="190"/>
      <c r="BR853" s="190"/>
      <c r="BS853" s="190"/>
      <c r="BT853" s="190"/>
      <c r="BU853" s="190"/>
      <c r="BV853" s="190"/>
      <c r="BW853" s="190"/>
      <c r="BX853" s="190"/>
      <c r="BY853" s="190"/>
      <c r="BZ853" s="190"/>
      <c r="CA853" s="189"/>
      <c r="CB853" s="15"/>
    </row>
    <row r="854" spans="1:80" ht="15" x14ac:dyDescent="0.25">
      <c r="A854" s="167"/>
      <c r="B854" s="642"/>
      <c r="C854" s="642"/>
      <c r="D854" s="179"/>
      <c r="E854" s="169"/>
      <c r="F854" s="169"/>
      <c r="G854" s="187"/>
      <c r="H854" s="187"/>
      <c r="I854" s="187"/>
      <c r="J854" s="187"/>
      <c r="K854" s="187"/>
      <c r="L854" s="647"/>
      <c r="M854" s="646">
        <v>33772</v>
      </c>
      <c r="N854" s="585">
        <v>3.76</v>
      </c>
      <c r="O854" s="585">
        <v>3.6249999999999998E-2</v>
      </c>
      <c r="P854" s="175">
        <v>0</v>
      </c>
      <c r="Q854" s="175">
        <v>0</v>
      </c>
      <c r="R854" s="175">
        <v>1.5499999999999999E-3</v>
      </c>
      <c r="S854" s="175">
        <v>3.96E-3</v>
      </c>
      <c r="T854" s="175">
        <v>6.1500000000000001E-3</v>
      </c>
      <c r="U854" s="175">
        <v>8.0099999999999998E-3</v>
      </c>
      <c r="V854" s="706">
        <v>1.6590000000000001E-2</v>
      </c>
      <c r="W854" s="717"/>
      <c r="X854" s="713"/>
      <c r="Y854" s="718"/>
      <c r="Z854" s="709">
        <v>18</v>
      </c>
      <c r="AA854" s="175"/>
      <c r="AB854" s="200"/>
      <c r="AC854" s="205">
        <v>1.7000000000000001E-2</v>
      </c>
      <c r="AD854" s="175">
        <v>8.35</v>
      </c>
      <c r="AE854" s="175">
        <v>0.36</v>
      </c>
      <c r="AF854" s="170">
        <f t="shared" si="15"/>
        <v>3.0059999999999998</v>
      </c>
      <c r="AG854" s="175">
        <v>1.1299999999999999</v>
      </c>
      <c r="AH854" s="334"/>
      <c r="AI854" s="188"/>
      <c r="AJ854" s="188"/>
      <c r="AK854" s="188"/>
      <c r="AL854" s="189"/>
      <c r="AM854" s="189"/>
      <c r="AN854" s="189"/>
      <c r="AO854" s="189"/>
      <c r="AP854" s="189"/>
      <c r="AQ854" s="189"/>
      <c r="AR854" s="189"/>
      <c r="AS854" s="189"/>
      <c r="AT854" s="189"/>
      <c r="AU854" s="190"/>
      <c r="AV854" s="190"/>
      <c r="AW854" s="190"/>
      <c r="AX854" s="190"/>
      <c r="AY854" s="190"/>
      <c r="AZ854" s="189"/>
      <c r="BA854" s="189"/>
      <c r="BB854" s="189"/>
      <c r="BC854" s="189"/>
      <c r="BD854" s="189"/>
      <c r="BE854" s="189"/>
      <c r="BF854" s="189"/>
      <c r="BG854" s="189"/>
      <c r="BH854" s="189"/>
      <c r="BI854" s="190"/>
      <c r="BJ854" s="190"/>
      <c r="BK854" s="190"/>
      <c r="BL854" s="190"/>
      <c r="BM854" s="190"/>
      <c r="BN854" s="190"/>
      <c r="BO854" s="190"/>
      <c r="BP854" s="190"/>
      <c r="BQ854" s="190"/>
      <c r="BR854" s="190"/>
      <c r="BS854" s="190"/>
      <c r="BT854" s="190"/>
      <c r="BU854" s="190"/>
      <c r="BV854" s="190"/>
      <c r="BW854" s="190"/>
      <c r="BX854" s="190"/>
      <c r="BY854" s="190"/>
      <c r="BZ854" s="190"/>
      <c r="CA854" s="189"/>
      <c r="CB854" s="15"/>
    </row>
    <row r="855" spans="1:80" ht="15" x14ac:dyDescent="0.25">
      <c r="A855" s="167"/>
      <c r="B855" s="642"/>
      <c r="C855" s="642"/>
      <c r="D855" s="179"/>
      <c r="E855" s="169"/>
      <c r="F855" s="169"/>
      <c r="G855" s="187"/>
      <c r="H855" s="187"/>
      <c r="I855" s="187"/>
      <c r="J855" s="187"/>
      <c r="K855" s="187"/>
      <c r="L855" s="647"/>
      <c r="M855" s="646">
        <v>33772</v>
      </c>
      <c r="N855" s="585">
        <v>3.52</v>
      </c>
      <c r="O855" s="585">
        <v>0.10839</v>
      </c>
      <c r="P855" s="175">
        <v>0</v>
      </c>
      <c r="Q855" s="175">
        <v>4.3099999999999996E-3</v>
      </c>
      <c r="R855" s="175">
        <v>9.5499999999999995E-3</v>
      </c>
      <c r="S855" s="175">
        <v>1.2330000000000001E-2</v>
      </c>
      <c r="T855" s="175">
        <v>1.941E-2</v>
      </c>
      <c r="U855" s="175">
        <v>2.4969999999999999E-2</v>
      </c>
      <c r="V855" s="706">
        <v>3.7830000000000003E-2</v>
      </c>
      <c r="W855" s="717"/>
      <c r="X855" s="713"/>
      <c r="Y855" s="718"/>
      <c r="Z855" s="709">
        <v>36</v>
      </c>
      <c r="AA855" s="175"/>
      <c r="AB855" s="200"/>
      <c r="AC855" s="205">
        <v>2.1000000000000001E-2</v>
      </c>
      <c r="AD855" s="175">
        <v>8.5</v>
      </c>
      <c r="AE855" s="175">
        <v>0.34</v>
      </c>
      <c r="AF855" s="170">
        <f t="shared" si="15"/>
        <v>2.89</v>
      </c>
      <c r="AG855" s="175">
        <v>1.22</v>
      </c>
      <c r="AH855" s="334"/>
      <c r="AI855" s="188"/>
      <c r="AJ855" s="188"/>
      <c r="AK855" s="188"/>
      <c r="AL855" s="189"/>
      <c r="AM855" s="189"/>
      <c r="AN855" s="189"/>
      <c r="AO855" s="189"/>
      <c r="AP855" s="189"/>
      <c r="AQ855" s="189"/>
      <c r="AR855" s="189"/>
      <c r="AS855" s="189"/>
      <c r="AT855" s="189"/>
      <c r="AU855" s="190"/>
      <c r="AV855" s="190"/>
      <c r="AW855" s="190"/>
      <c r="AX855" s="190"/>
      <c r="AY855" s="190"/>
      <c r="AZ855" s="189"/>
      <c r="BA855" s="189"/>
      <c r="BB855" s="189"/>
      <c r="BC855" s="189"/>
      <c r="BD855" s="189"/>
      <c r="BE855" s="189"/>
      <c r="BF855" s="189"/>
      <c r="BG855" s="189"/>
      <c r="BH855" s="189"/>
      <c r="BI855" s="190"/>
      <c r="BJ855" s="190"/>
      <c r="BK855" s="190"/>
      <c r="BL855" s="190"/>
      <c r="BM855" s="190"/>
      <c r="BN855" s="190"/>
      <c r="BO855" s="190"/>
      <c r="BP855" s="190"/>
      <c r="BQ855" s="190"/>
      <c r="BR855" s="190"/>
      <c r="BS855" s="190"/>
      <c r="BT855" s="190"/>
      <c r="BU855" s="190"/>
      <c r="BV855" s="190"/>
      <c r="BW855" s="190"/>
      <c r="BX855" s="190"/>
      <c r="BY855" s="190"/>
      <c r="BZ855" s="190"/>
      <c r="CA855" s="189"/>
      <c r="CB855" s="15"/>
    </row>
    <row r="856" spans="1:80" ht="15" x14ac:dyDescent="0.25">
      <c r="A856" s="167"/>
      <c r="B856" s="642"/>
      <c r="C856" s="642"/>
      <c r="D856" s="179"/>
      <c r="E856" s="169"/>
      <c r="F856" s="169"/>
      <c r="G856" s="187"/>
      <c r="H856" s="187"/>
      <c r="I856" s="187"/>
      <c r="J856" s="187"/>
      <c r="K856" s="187"/>
      <c r="L856" s="647"/>
      <c r="M856" s="646">
        <v>33772</v>
      </c>
      <c r="N856" s="585">
        <v>3.42</v>
      </c>
      <c r="O856" s="585">
        <v>6.0780000000000001E-2</v>
      </c>
      <c r="P856" s="175">
        <v>0</v>
      </c>
      <c r="Q856" s="175">
        <v>0</v>
      </c>
      <c r="R856" s="175">
        <v>3.6000000000000002E-4</v>
      </c>
      <c r="S856" s="175">
        <v>4.9399999999999999E-3</v>
      </c>
      <c r="T856" s="175">
        <v>1.2930000000000001E-2</v>
      </c>
      <c r="U856" s="175">
        <v>1.771E-2</v>
      </c>
      <c r="V856" s="706">
        <v>2.4830000000000001E-2</v>
      </c>
      <c r="W856" s="717"/>
      <c r="X856" s="713"/>
      <c r="Y856" s="718"/>
      <c r="Z856" s="709">
        <v>21</v>
      </c>
      <c r="AA856" s="175"/>
      <c r="AB856" s="200"/>
      <c r="AC856" s="205">
        <v>1.6E-2</v>
      </c>
      <c r="AD856" s="175">
        <v>8.3000000000000007</v>
      </c>
      <c r="AE856" s="175">
        <v>0.34</v>
      </c>
      <c r="AF856" s="170">
        <f t="shared" si="15"/>
        <v>2.8220000000000005</v>
      </c>
      <c r="AG856" s="175">
        <v>1.17</v>
      </c>
      <c r="AH856" s="334"/>
      <c r="AI856" s="188"/>
      <c r="AJ856" s="188"/>
      <c r="AK856" s="188"/>
      <c r="AL856" s="189"/>
      <c r="AM856" s="189"/>
      <c r="AN856" s="189"/>
      <c r="AO856" s="189"/>
      <c r="AP856" s="189"/>
      <c r="AQ856" s="189"/>
      <c r="AR856" s="189"/>
      <c r="AS856" s="189"/>
      <c r="AT856" s="189"/>
      <c r="AU856" s="190"/>
      <c r="AV856" s="190"/>
      <c r="AW856" s="190"/>
      <c r="AX856" s="190"/>
      <c r="AY856" s="190"/>
      <c r="AZ856" s="189"/>
      <c r="BA856" s="189"/>
      <c r="BB856" s="189"/>
      <c r="BC856" s="189"/>
      <c r="BD856" s="189"/>
      <c r="BE856" s="189"/>
      <c r="BF856" s="189"/>
      <c r="BG856" s="189"/>
      <c r="BH856" s="189"/>
      <c r="BI856" s="190"/>
      <c r="BJ856" s="190"/>
      <c r="BK856" s="190"/>
      <c r="BL856" s="190"/>
      <c r="BM856" s="190"/>
      <c r="BN856" s="190"/>
      <c r="BO856" s="190"/>
      <c r="BP856" s="190"/>
      <c r="BQ856" s="190"/>
      <c r="BR856" s="190"/>
      <c r="BS856" s="190"/>
      <c r="BT856" s="190"/>
      <c r="BU856" s="190"/>
      <c r="BV856" s="190"/>
      <c r="BW856" s="190"/>
      <c r="BX856" s="190"/>
      <c r="BY856" s="190"/>
      <c r="BZ856" s="190"/>
      <c r="CA856" s="189"/>
      <c r="CB856" s="15"/>
    </row>
    <row r="857" spans="1:80" ht="15" x14ac:dyDescent="0.25">
      <c r="A857" s="167"/>
      <c r="B857" s="642"/>
      <c r="C857" s="642"/>
      <c r="D857" s="179"/>
      <c r="E857" s="169"/>
      <c r="F857" s="169"/>
      <c r="G857" s="187"/>
      <c r="H857" s="187"/>
      <c r="I857" s="187"/>
      <c r="J857" s="187"/>
      <c r="K857" s="187"/>
      <c r="L857" s="647"/>
      <c r="M857" s="646">
        <v>33772</v>
      </c>
      <c r="N857" s="585">
        <v>3.56</v>
      </c>
      <c r="O857" s="585">
        <v>4.718E-2</v>
      </c>
      <c r="P857" s="175">
        <v>0</v>
      </c>
      <c r="Q857" s="175">
        <v>7.7000000000000002E-3</v>
      </c>
      <c r="R857" s="175">
        <v>3.4299999999999999E-3</v>
      </c>
      <c r="S857" s="175">
        <v>5.5900000000000004E-3</v>
      </c>
      <c r="T857" s="175">
        <v>7.5900000000000004E-3</v>
      </c>
      <c r="U857" s="175">
        <v>8.1399999999999997E-3</v>
      </c>
      <c r="V857" s="706">
        <v>1.473E-2</v>
      </c>
      <c r="W857" s="717"/>
      <c r="X857" s="713"/>
      <c r="Y857" s="718"/>
      <c r="Z857" s="709">
        <v>61</v>
      </c>
      <c r="AA857" s="175"/>
      <c r="AB857" s="200"/>
      <c r="AC857" s="205">
        <v>0.02</v>
      </c>
      <c r="AD857" s="175">
        <v>8.1999999999999993</v>
      </c>
      <c r="AE857" s="175">
        <v>0.35</v>
      </c>
      <c r="AF857" s="170">
        <f t="shared" si="15"/>
        <v>2.8699999999999997</v>
      </c>
      <c r="AG857" s="175">
        <v>1.23</v>
      </c>
      <c r="AH857" s="334"/>
      <c r="AI857" s="188"/>
      <c r="AJ857" s="188"/>
      <c r="AK857" s="188"/>
      <c r="AL857" s="189"/>
      <c r="AM857" s="189"/>
      <c r="AN857" s="189"/>
      <c r="AO857" s="189"/>
      <c r="AP857" s="189"/>
      <c r="AQ857" s="189"/>
      <c r="AR857" s="189"/>
      <c r="AS857" s="189"/>
      <c r="AT857" s="189"/>
      <c r="AU857" s="190"/>
      <c r="AV857" s="190"/>
      <c r="AW857" s="190"/>
      <c r="AX857" s="190"/>
      <c r="AY857" s="190"/>
      <c r="AZ857" s="189"/>
      <c r="BA857" s="189"/>
      <c r="BB857" s="189"/>
      <c r="BC857" s="189"/>
      <c r="BD857" s="189"/>
      <c r="BE857" s="189"/>
      <c r="BF857" s="189"/>
      <c r="BG857" s="189"/>
      <c r="BH857" s="189"/>
      <c r="BI857" s="190"/>
      <c r="BJ857" s="190"/>
      <c r="BK857" s="190"/>
      <c r="BL857" s="190"/>
      <c r="BM857" s="190"/>
      <c r="BN857" s="190"/>
      <c r="BO857" s="190"/>
      <c r="BP857" s="190"/>
      <c r="BQ857" s="190"/>
      <c r="BR857" s="190"/>
      <c r="BS857" s="190"/>
      <c r="BT857" s="190"/>
      <c r="BU857" s="190"/>
      <c r="BV857" s="190"/>
      <c r="BW857" s="190"/>
      <c r="BX857" s="190"/>
      <c r="BY857" s="190"/>
      <c r="BZ857" s="190"/>
      <c r="CA857" s="189"/>
      <c r="CB857" s="15"/>
    </row>
    <row r="858" spans="1:80" ht="15" x14ac:dyDescent="0.25">
      <c r="A858" s="167"/>
      <c r="B858" s="642"/>
      <c r="C858" s="642"/>
      <c r="D858" s="179"/>
      <c r="E858" s="169"/>
      <c r="F858" s="169"/>
      <c r="G858" s="187"/>
      <c r="H858" s="187"/>
      <c r="I858" s="187"/>
      <c r="J858" s="187"/>
      <c r="K858" s="187"/>
      <c r="L858" s="647"/>
      <c r="M858" s="646">
        <v>33772</v>
      </c>
      <c r="N858" s="585">
        <v>4.3600000000000003</v>
      </c>
      <c r="O858" s="585">
        <v>7.5420000000000001E-2</v>
      </c>
      <c r="P858" s="175">
        <v>0</v>
      </c>
      <c r="Q858" s="175">
        <v>7.6299999999999996E-3</v>
      </c>
      <c r="R858" s="175">
        <v>1.162E-2</v>
      </c>
      <c r="S858" s="175">
        <v>7.4200000000000004E-3</v>
      </c>
      <c r="T858" s="175">
        <v>8.8500000000000002E-3</v>
      </c>
      <c r="U858" s="175">
        <v>1.191E-2</v>
      </c>
      <c r="V858" s="706">
        <v>2.7980000000000001E-2</v>
      </c>
      <c r="W858" s="717"/>
      <c r="X858" s="713"/>
      <c r="Y858" s="718"/>
      <c r="Z858" s="709">
        <v>40</v>
      </c>
      <c r="AA858" s="175"/>
      <c r="AB858" s="200"/>
      <c r="AC858" s="205">
        <v>1.7000000000000001E-2</v>
      </c>
      <c r="AD858" s="175">
        <v>8.4</v>
      </c>
      <c r="AE858" s="175">
        <v>0.4</v>
      </c>
      <c r="AF858" s="170">
        <f t="shared" si="15"/>
        <v>3.3600000000000003</v>
      </c>
      <c r="AG858" s="175">
        <v>1.36</v>
      </c>
      <c r="AH858" s="334"/>
      <c r="AI858" s="188"/>
      <c r="AJ858" s="188"/>
      <c r="AK858" s="188"/>
      <c r="AL858" s="189"/>
      <c r="AM858" s="189"/>
      <c r="AN858" s="189"/>
      <c r="AO858" s="189"/>
      <c r="AP858" s="189"/>
      <c r="AQ858" s="189"/>
      <c r="AR858" s="189"/>
      <c r="AS858" s="189"/>
      <c r="AT858" s="189"/>
      <c r="AU858" s="190"/>
      <c r="AV858" s="190"/>
      <c r="AW858" s="190"/>
      <c r="AX858" s="190"/>
      <c r="AY858" s="190"/>
      <c r="AZ858" s="189"/>
      <c r="BA858" s="189"/>
      <c r="BB858" s="189"/>
      <c r="BC858" s="189"/>
      <c r="BD858" s="189"/>
      <c r="BE858" s="189"/>
      <c r="BF858" s="189"/>
      <c r="BG858" s="189"/>
      <c r="BH858" s="189"/>
      <c r="BI858" s="190"/>
      <c r="BJ858" s="190"/>
      <c r="BK858" s="190"/>
      <c r="BL858" s="190"/>
      <c r="BM858" s="190"/>
      <c r="BN858" s="190"/>
      <c r="BO858" s="190"/>
      <c r="BP858" s="190"/>
      <c r="BQ858" s="190"/>
      <c r="BR858" s="190"/>
      <c r="BS858" s="190"/>
      <c r="BT858" s="190"/>
      <c r="BU858" s="190"/>
      <c r="BV858" s="190"/>
      <c r="BW858" s="190"/>
      <c r="BX858" s="190"/>
      <c r="BY858" s="190"/>
      <c r="BZ858" s="190"/>
      <c r="CA858" s="189"/>
      <c r="CB858" s="15"/>
    </row>
    <row r="859" spans="1:80" ht="15" x14ac:dyDescent="0.25">
      <c r="A859" s="167"/>
      <c r="B859" s="642"/>
      <c r="C859" s="642"/>
      <c r="D859" s="179"/>
      <c r="E859" s="169"/>
      <c r="F859" s="169"/>
      <c r="G859" s="187"/>
      <c r="H859" s="187"/>
      <c r="I859" s="187"/>
      <c r="J859" s="187"/>
      <c r="K859" s="187"/>
      <c r="L859" s="647"/>
      <c r="M859" s="646">
        <v>33772</v>
      </c>
      <c r="N859" s="585">
        <v>4.1100000000000003</v>
      </c>
      <c r="O859" s="585">
        <v>0.13203999999999999</v>
      </c>
      <c r="P859" s="175">
        <v>0</v>
      </c>
      <c r="Q859" s="175">
        <v>1.031E-2</v>
      </c>
      <c r="R859" s="175">
        <v>5.7499999999999999E-3</v>
      </c>
      <c r="S859" s="175">
        <v>1.2840000000000001E-2</v>
      </c>
      <c r="T859" s="175">
        <v>2.3300000000000001E-2</v>
      </c>
      <c r="U859" s="175">
        <v>3.1510000000000003E-2</v>
      </c>
      <c r="V859" s="706">
        <v>4.8340000000000001E-2</v>
      </c>
      <c r="W859" s="717"/>
      <c r="X859" s="713"/>
      <c r="Y859" s="718"/>
      <c r="Z859" s="709">
        <v>59</v>
      </c>
      <c r="AA859" s="175"/>
      <c r="AB859" s="200"/>
      <c r="AC859" s="205">
        <v>0</v>
      </c>
      <c r="AD859" s="175">
        <v>8.6</v>
      </c>
      <c r="AE859" s="175">
        <v>0.37</v>
      </c>
      <c r="AF859" s="170">
        <f t="shared" si="15"/>
        <v>3.1819999999999999</v>
      </c>
      <c r="AG859" s="175">
        <v>1.26</v>
      </c>
      <c r="AH859" s="334"/>
      <c r="AI859" s="188"/>
      <c r="AJ859" s="188"/>
      <c r="AK859" s="188"/>
      <c r="AL859" s="189"/>
      <c r="AM859" s="189"/>
      <c r="AN859" s="189"/>
      <c r="AO859" s="189"/>
      <c r="AP859" s="189"/>
      <c r="AQ859" s="189"/>
      <c r="AR859" s="189"/>
      <c r="AS859" s="189"/>
      <c r="AT859" s="189"/>
      <c r="AU859" s="190"/>
      <c r="AV859" s="190"/>
      <c r="AW859" s="190"/>
      <c r="AX859" s="190"/>
      <c r="AY859" s="190"/>
      <c r="AZ859" s="189"/>
      <c r="BA859" s="189"/>
      <c r="BB859" s="189"/>
      <c r="BC859" s="189"/>
      <c r="BD859" s="189"/>
      <c r="BE859" s="189"/>
      <c r="BF859" s="189"/>
      <c r="BG859" s="189"/>
      <c r="BH859" s="189"/>
      <c r="BI859" s="190"/>
      <c r="BJ859" s="190"/>
      <c r="BK859" s="190"/>
      <c r="BL859" s="190"/>
      <c r="BM859" s="190"/>
      <c r="BN859" s="190"/>
      <c r="BO859" s="190"/>
      <c r="BP859" s="190"/>
      <c r="BQ859" s="190"/>
      <c r="BR859" s="190"/>
      <c r="BS859" s="190"/>
      <c r="BT859" s="190"/>
      <c r="BU859" s="190"/>
      <c r="BV859" s="190"/>
      <c r="BW859" s="190"/>
      <c r="BX859" s="190"/>
      <c r="BY859" s="190"/>
      <c r="BZ859" s="190"/>
      <c r="CA859" s="189"/>
      <c r="CB859" s="15"/>
    </row>
    <row r="860" spans="1:80" ht="15" x14ac:dyDescent="0.25">
      <c r="A860" s="167"/>
      <c r="B860" s="642"/>
      <c r="C860" s="642"/>
      <c r="D860" s="179"/>
      <c r="E860" s="169"/>
      <c r="F860" s="169"/>
      <c r="G860" s="187"/>
      <c r="H860" s="187"/>
      <c r="I860" s="187"/>
      <c r="J860" s="187"/>
      <c r="K860" s="187"/>
      <c r="L860" s="647"/>
      <c r="M860" s="646">
        <v>33773</v>
      </c>
      <c r="N860" s="585">
        <v>3.71</v>
      </c>
      <c r="O860" s="585">
        <v>3.5060000000000001E-2</v>
      </c>
      <c r="P860" s="175">
        <v>0</v>
      </c>
      <c r="Q860" s="175">
        <v>0</v>
      </c>
      <c r="R860" s="175">
        <v>0</v>
      </c>
      <c r="S860" s="175">
        <v>3.62E-3</v>
      </c>
      <c r="T860" s="175">
        <v>7.0400000000000003E-3</v>
      </c>
      <c r="U860" s="175">
        <v>8.7399999999999995E-3</v>
      </c>
      <c r="V860" s="706">
        <v>1.566E-2</v>
      </c>
      <c r="W860" s="717"/>
      <c r="X860" s="713"/>
      <c r="Y860" s="718"/>
      <c r="Z860" s="709">
        <v>20</v>
      </c>
      <c r="AA860" s="175"/>
      <c r="AB860" s="200"/>
      <c r="AC860" s="205">
        <v>1.4E-2</v>
      </c>
      <c r="AD860" s="175">
        <v>8.6</v>
      </c>
      <c r="AE860" s="175">
        <v>0.34</v>
      </c>
      <c r="AF860" s="170">
        <f t="shared" si="15"/>
        <v>2.9239999999999999</v>
      </c>
      <c r="AG860" s="175">
        <v>1.2</v>
      </c>
      <c r="AH860" s="334"/>
      <c r="AI860" s="188"/>
      <c r="AJ860" s="188"/>
      <c r="AK860" s="188"/>
      <c r="AL860" s="189"/>
      <c r="AM860" s="189"/>
      <c r="AN860" s="189"/>
      <c r="AO860" s="189"/>
      <c r="AP860" s="189"/>
      <c r="AQ860" s="189"/>
      <c r="AR860" s="189"/>
      <c r="AS860" s="189"/>
      <c r="AT860" s="189"/>
      <c r="AU860" s="190"/>
      <c r="AV860" s="190"/>
      <c r="AW860" s="190"/>
      <c r="AX860" s="190"/>
      <c r="AY860" s="190"/>
      <c r="AZ860" s="189"/>
      <c r="BA860" s="189"/>
      <c r="BB860" s="189"/>
      <c r="BC860" s="189"/>
      <c r="BD860" s="189"/>
      <c r="BE860" s="189"/>
      <c r="BF860" s="189"/>
      <c r="BG860" s="189"/>
      <c r="BH860" s="189"/>
      <c r="BI860" s="190"/>
      <c r="BJ860" s="190"/>
      <c r="BK860" s="190"/>
      <c r="BL860" s="190"/>
      <c r="BM860" s="190"/>
      <c r="BN860" s="190"/>
      <c r="BO860" s="190"/>
      <c r="BP860" s="190"/>
      <c r="BQ860" s="190"/>
      <c r="BR860" s="190"/>
      <c r="BS860" s="190"/>
      <c r="BT860" s="190"/>
      <c r="BU860" s="190"/>
      <c r="BV860" s="190"/>
      <c r="BW860" s="190"/>
      <c r="BX860" s="190"/>
      <c r="BY860" s="190"/>
      <c r="BZ860" s="190"/>
      <c r="CA860" s="189"/>
      <c r="CB860" s="15"/>
    </row>
    <row r="861" spans="1:80" ht="15" x14ac:dyDescent="0.25">
      <c r="A861" s="167"/>
      <c r="B861" s="642"/>
      <c r="C861" s="642"/>
      <c r="D861" s="179"/>
      <c r="E861" s="169"/>
      <c r="F861" s="169"/>
      <c r="G861" s="187"/>
      <c r="H861" s="187"/>
      <c r="I861" s="187"/>
      <c r="J861" s="187"/>
      <c r="K861" s="187"/>
      <c r="L861" s="647"/>
      <c r="M861" s="646">
        <v>33773</v>
      </c>
      <c r="N861" s="585">
        <v>3.52</v>
      </c>
      <c r="O861" s="585">
        <v>5.4449999999999998E-2</v>
      </c>
      <c r="P861" s="175">
        <v>0</v>
      </c>
      <c r="Q861" s="175">
        <v>0</v>
      </c>
      <c r="R861" s="175">
        <v>1.7700000000000001E-3</v>
      </c>
      <c r="S861" s="175">
        <v>5.0000000000000001E-3</v>
      </c>
      <c r="T861" s="175">
        <v>1.065E-2</v>
      </c>
      <c r="U861" s="175">
        <v>1.504E-2</v>
      </c>
      <c r="V861" s="706">
        <v>2.1989999999999999E-2</v>
      </c>
      <c r="W861" s="717"/>
      <c r="X861" s="713"/>
      <c r="Y861" s="718"/>
      <c r="Z861" s="709">
        <v>21</v>
      </c>
      <c r="AA861" s="175"/>
      <c r="AB861" s="200"/>
      <c r="AC861" s="205">
        <v>1.2999999999999999E-2</v>
      </c>
      <c r="AD861" s="175">
        <v>8.1999999999999993</v>
      </c>
      <c r="AE861" s="175">
        <v>0.35</v>
      </c>
      <c r="AF861" s="170">
        <f t="shared" si="15"/>
        <v>2.8699999999999997</v>
      </c>
      <c r="AG861" s="175">
        <v>1.18</v>
      </c>
      <c r="AH861" s="334"/>
      <c r="AI861" s="188"/>
      <c r="AJ861" s="188"/>
      <c r="AK861" s="188"/>
      <c r="AL861" s="189"/>
      <c r="AM861" s="189"/>
      <c r="AN861" s="189"/>
      <c r="AO861" s="189"/>
      <c r="AP861" s="189"/>
      <c r="AQ861" s="189"/>
      <c r="AR861" s="189"/>
      <c r="AS861" s="189"/>
      <c r="AT861" s="189"/>
      <c r="AU861" s="190"/>
      <c r="AV861" s="190"/>
      <c r="AW861" s="190"/>
      <c r="AX861" s="190"/>
      <c r="AY861" s="190"/>
      <c r="AZ861" s="189"/>
      <c r="BA861" s="189"/>
      <c r="BB861" s="189"/>
      <c r="BC861" s="189"/>
      <c r="BD861" s="189"/>
      <c r="BE861" s="189"/>
      <c r="BF861" s="189"/>
      <c r="BG861" s="189"/>
      <c r="BH861" s="189"/>
      <c r="BI861" s="190"/>
      <c r="BJ861" s="190"/>
      <c r="BK861" s="190"/>
      <c r="BL861" s="190"/>
      <c r="BM861" s="190"/>
      <c r="BN861" s="190"/>
      <c r="BO861" s="190"/>
      <c r="BP861" s="190"/>
      <c r="BQ861" s="190"/>
      <c r="BR861" s="190"/>
      <c r="BS861" s="190"/>
      <c r="BT861" s="190"/>
      <c r="BU861" s="190"/>
      <c r="BV861" s="190"/>
      <c r="BW861" s="190"/>
      <c r="BX861" s="190"/>
      <c r="BY861" s="190"/>
      <c r="BZ861" s="190"/>
      <c r="CA861" s="189"/>
      <c r="CB861" s="15"/>
    </row>
    <row r="862" spans="1:80" ht="15" x14ac:dyDescent="0.25">
      <c r="A862" s="167"/>
      <c r="B862" s="642"/>
      <c r="C862" s="642"/>
      <c r="D862" s="179"/>
      <c r="E862" s="169"/>
      <c r="F862" s="169"/>
      <c r="G862" s="187"/>
      <c r="H862" s="187"/>
      <c r="I862" s="187"/>
      <c r="J862" s="187"/>
      <c r="K862" s="187"/>
      <c r="L862" s="647"/>
      <c r="M862" s="646">
        <v>33773</v>
      </c>
      <c r="N862" s="585">
        <v>3.42</v>
      </c>
      <c r="O862" s="585">
        <v>5.1450000000000003E-2</v>
      </c>
      <c r="P862" s="175">
        <v>0</v>
      </c>
      <c r="Q862" s="175">
        <v>1.8169999999999999E-2</v>
      </c>
      <c r="R862" s="175">
        <v>0</v>
      </c>
      <c r="S862" s="175">
        <v>3.0699999999999998E-3</v>
      </c>
      <c r="T862" s="175">
        <v>5.7400000000000003E-3</v>
      </c>
      <c r="U862" s="175">
        <v>8.6099999999999996E-3</v>
      </c>
      <c r="V862" s="706">
        <v>1.5859999999999999E-2</v>
      </c>
      <c r="W862" s="717"/>
      <c r="X862" s="713"/>
      <c r="Y862" s="718"/>
      <c r="Z862" s="709">
        <v>52</v>
      </c>
      <c r="AA862" s="175"/>
      <c r="AB862" s="200"/>
      <c r="AC862" s="205">
        <v>1.2999999999999999E-2</v>
      </c>
      <c r="AD862" s="175">
        <v>7.9</v>
      </c>
      <c r="AE862" s="175">
        <v>0.34</v>
      </c>
      <c r="AF862" s="170">
        <f t="shared" si="15"/>
        <v>2.6860000000000004</v>
      </c>
      <c r="AG862" s="175">
        <v>1.18</v>
      </c>
      <c r="AH862" s="334"/>
      <c r="AI862" s="188"/>
      <c r="AJ862" s="188"/>
      <c r="AK862" s="188"/>
      <c r="AL862" s="189"/>
      <c r="AM862" s="189"/>
      <c r="AN862" s="189"/>
      <c r="AO862" s="189"/>
      <c r="AP862" s="189"/>
      <c r="AQ862" s="189"/>
      <c r="AR862" s="189"/>
      <c r="AS862" s="189"/>
      <c r="AT862" s="189"/>
      <c r="AU862" s="190"/>
      <c r="AV862" s="190"/>
      <c r="AW862" s="190"/>
      <c r="AX862" s="190"/>
      <c r="AY862" s="190"/>
      <c r="AZ862" s="189"/>
      <c r="BA862" s="189"/>
      <c r="BB862" s="189"/>
      <c r="BC862" s="189"/>
      <c r="BD862" s="189"/>
      <c r="BE862" s="189"/>
      <c r="BF862" s="189"/>
      <c r="BG862" s="189"/>
      <c r="BH862" s="189"/>
      <c r="BI862" s="190"/>
      <c r="BJ862" s="190"/>
      <c r="BK862" s="190"/>
      <c r="BL862" s="190"/>
      <c r="BM862" s="190"/>
      <c r="BN862" s="190"/>
      <c r="BO862" s="190"/>
      <c r="BP862" s="190"/>
      <c r="BQ862" s="190"/>
      <c r="BR862" s="190"/>
      <c r="BS862" s="190"/>
      <c r="BT862" s="190"/>
      <c r="BU862" s="190"/>
      <c r="BV862" s="190"/>
      <c r="BW862" s="190"/>
      <c r="BX862" s="190"/>
      <c r="BY862" s="190"/>
      <c r="BZ862" s="190"/>
      <c r="CA862" s="189"/>
      <c r="CB862" s="15"/>
    </row>
    <row r="863" spans="1:80" ht="15" x14ac:dyDescent="0.25">
      <c r="A863" s="167"/>
      <c r="B863" s="642"/>
      <c r="C863" s="642"/>
      <c r="D863" s="179"/>
      <c r="E863" s="169"/>
      <c r="F863" s="169"/>
      <c r="G863" s="187"/>
      <c r="H863" s="187"/>
      <c r="I863" s="187"/>
      <c r="J863" s="187"/>
      <c r="K863" s="187"/>
      <c r="L863" s="647"/>
      <c r="M863" s="646">
        <v>33773</v>
      </c>
      <c r="N863" s="585">
        <v>4.26</v>
      </c>
      <c r="O863" s="585">
        <v>9.5890000000000003E-2</v>
      </c>
      <c r="P863" s="175">
        <v>0</v>
      </c>
      <c r="Q863" s="175">
        <v>3.338E-2</v>
      </c>
      <c r="R863" s="175">
        <v>1.49E-3</v>
      </c>
      <c r="S863" s="175">
        <v>6.8599999999999998E-3</v>
      </c>
      <c r="T863" s="175">
        <v>1.0460000000000001E-2</v>
      </c>
      <c r="U863" s="175">
        <v>1.469E-2</v>
      </c>
      <c r="V863" s="706">
        <v>2.9010000000000001E-2</v>
      </c>
      <c r="W863" s="717"/>
      <c r="X863" s="713"/>
      <c r="Y863" s="718"/>
      <c r="Z863" s="709">
        <v>71</v>
      </c>
      <c r="AA863" s="175"/>
      <c r="AB863" s="200"/>
      <c r="AC863" s="205">
        <v>1.0999999999999999E-2</v>
      </c>
      <c r="AD863" s="175">
        <v>8.5</v>
      </c>
      <c r="AE863" s="175">
        <v>0.38</v>
      </c>
      <c r="AF863" s="170">
        <f t="shared" si="15"/>
        <v>3.23</v>
      </c>
      <c r="AG863" s="175">
        <v>1.34</v>
      </c>
      <c r="AH863" s="334"/>
      <c r="AI863" s="188"/>
      <c r="AJ863" s="188"/>
      <c r="AK863" s="188"/>
      <c r="AL863" s="189"/>
      <c r="AM863" s="189"/>
      <c r="AN863" s="189"/>
      <c r="AO863" s="189"/>
      <c r="AP863" s="189"/>
      <c r="AQ863" s="189"/>
      <c r="AR863" s="189"/>
      <c r="AS863" s="189"/>
      <c r="AT863" s="189"/>
      <c r="AU863" s="190"/>
      <c r="AV863" s="190"/>
      <c r="AW863" s="190"/>
      <c r="AX863" s="190"/>
      <c r="AY863" s="190"/>
      <c r="AZ863" s="189"/>
      <c r="BA863" s="189"/>
      <c r="BB863" s="189"/>
      <c r="BC863" s="189"/>
      <c r="BD863" s="189"/>
      <c r="BE863" s="189"/>
      <c r="BF863" s="189"/>
      <c r="BG863" s="189"/>
      <c r="BH863" s="189"/>
      <c r="BI863" s="190"/>
      <c r="BJ863" s="190"/>
      <c r="BK863" s="190"/>
      <c r="BL863" s="190"/>
      <c r="BM863" s="190"/>
      <c r="BN863" s="190"/>
      <c r="BO863" s="190"/>
      <c r="BP863" s="190"/>
      <c r="BQ863" s="190"/>
      <c r="BR863" s="190"/>
      <c r="BS863" s="190"/>
      <c r="BT863" s="190"/>
      <c r="BU863" s="190"/>
      <c r="BV863" s="190"/>
      <c r="BW863" s="190"/>
      <c r="BX863" s="190"/>
      <c r="BY863" s="190"/>
      <c r="BZ863" s="190"/>
      <c r="CA863" s="189"/>
      <c r="CB863" s="15"/>
    </row>
    <row r="864" spans="1:80" ht="15" x14ac:dyDescent="0.25">
      <c r="A864" s="167"/>
      <c r="B864" s="642"/>
      <c r="C864" s="642"/>
      <c r="D864" s="179"/>
      <c r="E864" s="169"/>
      <c r="F864" s="169"/>
      <c r="G864" s="187"/>
      <c r="H864" s="187"/>
      <c r="I864" s="187"/>
      <c r="J864" s="187"/>
      <c r="K864" s="187"/>
      <c r="L864" s="647"/>
      <c r="M864" s="646">
        <v>33773</v>
      </c>
      <c r="N864" s="585">
        <v>4.21</v>
      </c>
      <c r="O864" s="585">
        <v>7.5990000000000002E-2</v>
      </c>
      <c r="P864" s="175">
        <v>0</v>
      </c>
      <c r="Q864" s="175">
        <v>1.5789999999999998E-2</v>
      </c>
      <c r="R864" s="175">
        <v>5.5000000000000003E-4</v>
      </c>
      <c r="S864" s="175">
        <v>4.9800000000000001E-3</v>
      </c>
      <c r="T864" s="175">
        <v>9.2800000000000001E-3</v>
      </c>
      <c r="U864" s="175">
        <v>1.371E-2</v>
      </c>
      <c r="V864" s="706">
        <v>3.1690000000000003E-2</v>
      </c>
      <c r="W864" s="717"/>
      <c r="X864" s="713"/>
      <c r="Y864" s="718"/>
      <c r="Z864" s="709">
        <v>65</v>
      </c>
      <c r="AA864" s="175"/>
      <c r="AB864" s="200"/>
      <c r="AC864" s="205">
        <v>1.0999999999999999E-2</v>
      </c>
      <c r="AD864" s="175">
        <v>8.6</v>
      </c>
      <c r="AE864" s="175">
        <v>0.37</v>
      </c>
      <c r="AF864" s="170">
        <f t="shared" si="15"/>
        <v>3.1819999999999999</v>
      </c>
      <c r="AG864" s="175">
        <v>1.28</v>
      </c>
      <c r="AH864" s="334"/>
      <c r="AI864" s="188"/>
      <c r="AJ864" s="188"/>
      <c r="AK864" s="188"/>
      <c r="AL864" s="189"/>
      <c r="AM864" s="189"/>
      <c r="AN864" s="189"/>
      <c r="AO864" s="189"/>
      <c r="AP864" s="189"/>
      <c r="AQ864" s="189"/>
      <c r="AR864" s="189"/>
      <c r="AS864" s="189"/>
      <c r="AT864" s="189"/>
      <c r="AU864" s="190"/>
      <c r="AV864" s="190"/>
      <c r="AW864" s="190"/>
      <c r="AX864" s="190"/>
      <c r="AY864" s="190"/>
      <c r="AZ864" s="189"/>
      <c r="BA864" s="189"/>
      <c r="BB864" s="189"/>
      <c r="BC864" s="189"/>
      <c r="BD864" s="189"/>
      <c r="BE864" s="189"/>
      <c r="BF864" s="189"/>
      <c r="BG864" s="189"/>
      <c r="BH864" s="189"/>
      <c r="BI864" s="190"/>
      <c r="BJ864" s="190"/>
      <c r="BK864" s="190"/>
      <c r="BL864" s="190"/>
      <c r="BM864" s="190"/>
      <c r="BN864" s="190"/>
      <c r="BO864" s="190"/>
      <c r="BP864" s="190"/>
      <c r="BQ864" s="190"/>
      <c r="BR864" s="190"/>
      <c r="BS864" s="190"/>
      <c r="BT864" s="190"/>
      <c r="BU864" s="190"/>
      <c r="BV864" s="190"/>
      <c r="BW864" s="190"/>
      <c r="BX864" s="190"/>
      <c r="BY864" s="190"/>
      <c r="BZ864" s="190"/>
      <c r="CA864" s="189"/>
      <c r="CB864" s="15"/>
    </row>
    <row r="865" spans="1:80" ht="15" x14ac:dyDescent="0.25">
      <c r="A865" s="167"/>
      <c r="B865" s="642"/>
      <c r="C865" s="642"/>
      <c r="D865" s="179"/>
      <c r="E865" s="169"/>
      <c r="F865" s="169"/>
      <c r="G865" s="187"/>
      <c r="H865" s="187"/>
      <c r="I865" s="187"/>
      <c r="J865" s="187"/>
      <c r="K865" s="187"/>
      <c r="L865" s="647"/>
      <c r="M865" s="646">
        <v>33774</v>
      </c>
      <c r="N865" s="585">
        <v>3.91</v>
      </c>
      <c r="O865" s="585">
        <v>6.053E-2</v>
      </c>
      <c r="P865" s="175">
        <v>0</v>
      </c>
      <c r="Q865" s="175">
        <v>0</v>
      </c>
      <c r="R865" s="175">
        <v>1.175E-2</v>
      </c>
      <c r="S865" s="175">
        <v>6.8599999999999998E-3</v>
      </c>
      <c r="T865" s="175">
        <v>8.6400000000000001E-3</v>
      </c>
      <c r="U865" s="175">
        <v>1.0670000000000001E-2</v>
      </c>
      <c r="V865" s="706">
        <v>2.2620000000000001E-2</v>
      </c>
      <c r="W865" s="717"/>
      <c r="X865" s="713"/>
      <c r="Y865" s="718"/>
      <c r="Z865" s="709">
        <v>40</v>
      </c>
      <c r="AA865" s="175"/>
      <c r="AB865" s="200"/>
      <c r="AC865" s="205">
        <v>0.02</v>
      </c>
      <c r="AD865" s="175">
        <v>8.4</v>
      </c>
      <c r="AE865" s="175">
        <v>0.36</v>
      </c>
      <c r="AF865" s="170">
        <f t="shared" si="15"/>
        <v>3.024</v>
      </c>
      <c r="AG865" s="175">
        <v>1.21</v>
      </c>
      <c r="AH865" s="334"/>
      <c r="AI865" s="188"/>
      <c r="AJ865" s="188"/>
      <c r="AK865" s="188"/>
      <c r="AL865" s="189"/>
      <c r="AM865" s="189"/>
      <c r="AN865" s="189"/>
      <c r="AO865" s="189"/>
      <c r="AP865" s="189"/>
      <c r="AQ865" s="189"/>
      <c r="AR865" s="189"/>
      <c r="AS865" s="189"/>
      <c r="AT865" s="189"/>
      <c r="AU865" s="190"/>
      <c r="AV865" s="190"/>
      <c r="AW865" s="190"/>
      <c r="AX865" s="190"/>
      <c r="AY865" s="190"/>
      <c r="AZ865" s="189"/>
      <c r="BA865" s="189"/>
      <c r="BB865" s="189"/>
      <c r="BC865" s="189"/>
      <c r="BD865" s="189"/>
      <c r="BE865" s="189"/>
      <c r="BF865" s="189"/>
      <c r="BG865" s="189"/>
      <c r="BH865" s="189"/>
      <c r="BI865" s="190"/>
      <c r="BJ865" s="190"/>
      <c r="BK865" s="190"/>
      <c r="BL865" s="190"/>
      <c r="BM865" s="190"/>
      <c r="BN865" s="190"/>
      <c r="BO865" s="190"/>
      <c r="BP865" s="190"/>
      <c r="BQ865" s="190"/>
      <c r="BR865" s="190"/>
      <c r="BS865" s="190"/>
      <c r="BT865" s="190"/>
      <c r="BU865" s="190"/>
      <c r="BV865" s="190"/>
      <c r="BW865" s="190"/>
      <c r="BX865" s="190"/>
      <c r="BY865" s="190"/>
      <c r="BZ865" s="190"/>
      <c r="CA865" s="189"/>
      <c r="CB865" s="15"/>
    </row>
    <row r="866" spans="1:80" ht="15" x14ac:dyDescent="0.25">
      <c r="A866" s="167"/>
      <c r="B866" s="642"/>
      <c r="C866" s="642"/>
      <c r="D866" s="179"/>
      <c r="E866" s="169"/>
      <c r="F866" s="169"/>
      <c r="G866" s="187"/>
      <c r="H866" s="187"/>
      <c r="I866" s="187"/>
      <c r="J866" s="187"/>
      <c r="K866" s="187"/>
      <c r="L866" s="647"/>
      <c r="M866" s="646">
        <v>33774</v>
      </c>
      <c r="N866" s="585">
        <v>3.71</v>
      </c>
      <c r="O866" s="585">
        <v>5.604E-2</v>
      </c>
      <c r="P866" s="175">
        <v>0</v>
      </c>
      <c r="Q866" s="175">
        <v>6.8599999999999998E-3</v>
      </c>
      <c r="R866" s="175">
        <v>1E-3</v>
      </c>
      <c r="S866" s="175">
        <v>6.1799999999999997E-3</v>
      </c>
      <c r="T866" s="175">
        <v>8.9800000000000001E-3</v>
      </c>
      <c r="U866" s="175">
        <v>1.0540000000000001E-2</v>
      </c>
      <c r="V866" s="706">
        <v>2.247E-2</v>
      </c>
      <c r="W866" s="717"/>
      <c r="X866" s="713"/>
      <c r="Y866" s="718"/>
      <c r="Z866" s="709">
        <v>46</v>
      </c>
      <c r="AA866" s="175"/>
      <c r="AB866" s="200"/>
      <c r="AC866" s="205">
        <v>1.0999999999999999E-2</v>
      </c>
      <c r="AD866" s="175">
        <v>8</v>
      </c>
      <c r="AE866" s="175">
        <v>0.37</v>
      </c>
      <c r="AF866" s="170">
        <f t="shared" si="15"/>
        <v>2.96</v>
      </c>
      <c r="AG866" s="175">
        <v>1.22</v>
      </c>
      <c r="AH866" s="334"/>
      <c r="AI866" s="188"/>
      <c r="AJ866" s="188"/>
      <c r="AK866" s="188"/>
      <c r="AL866" s="189"/>
      <c r="AM866" s="189"/>
      <c r="AN866" s="189"/>
      <c r="AO866" s="189"/>
      <c r="AP866" s="189"/>
      <c r="AQ866" s="189"/>
      <c r="AR866" s="189"/>
      <c r="AS866" s="189"/>
      <c r="AT866" s="189"/>
      <c r="AU866" s="190"/>
      <c r="AV866" s="190"/>
      <c r="AW866" s="190"/>
      <c r="AX866" s="190"/>
      <c r="AY866" s="190"/>
      <c r="AZ866" s="189"/>
      <c r="BA866" s="189"/>
      <c r="BB866" s="189"/>
      <c r="BC866" s="189"/>
      <c r="BD866" s="189"/>
      <c r="BE866" s="189"/>
      <c r="BF866" s="189"/>
      <c r="BG866" s="189"/>
      <c r="BH866" s="189"/>
      <c r="BI866" s="190"/>
      <c r="BJ866" s="190"/>
      <c r="BK866" s="190"/>
      <c r="BL866" s="190"/>
      <c r="BM866" s="190"/>
      <c r="BN866" s="190"/>
      <c r="BO866" s="190"/>
      <c r="BP866" s="190"/>
      <c r="BQ866" s="190"/>
      <c r="BR866" s="190"/>
      <c r="BS866" s="190"/>
      <c r="BT866" s="190"/>
      <c r="BU866" s="190"/>
      <c r="BV866" s="190"/>
      <c r="BW866" s="190"/>
      <c r="BX866" s="190"/>
      <c r="BY866" s="190"/>
      <c r="BZ866" s="190"/>
      <c r="CA866" s="189"/>
      <c r="CB866" s="15"/>
    </row>
    <row r="867" spans="1:80" ht="15" x14ac:dyDescent="0.25">
      <c r="A867" s="167"/>
      <c r="B867" s="642"/>
      <c r="C867" s="642"/>
      <c r="D867" s="179"/>
      <c r="E867" s="169"/>
      <c r="F867" s="169"/>
      <c r="G867" s="187"/>
      <c r="H867" s="187"/>
      <c r="I867" s="187"/>
      <c r="J867" s="187"/>
      <c r="K867" s="187"/>
      <c r="L867" s="647"/>
      <c r="M867" s="646">
        <v>33774</v>
      </c>
      <c r="N867" s="585">
        <v>3.52</v>
      </c>
      <c r="O867" s="585">
        <v>6.8809999999999996E-2</v>
      </c>
      <c r="P867" s="175">
        <v>0</v>
      </c>
      <c r="Q867" s="175">
        <v>2.5000000000000001E-3</v>
      </c>
      <c r="R867" s="175">
        <v>5.4000000000000003E-3</v>
      </c>
      <c r="S867" s="175">
        <v>9.2300000000000004E-3</v>
      </c>
      <c r="T867" s="175">
        <v>1.059E-2</v>
      </c>
      <c r="U867" s="175">
        <v>1.525E-2</v>
      </c>
      <c r="V867" s="706">
        <v>2.5850000000000001E-2</v>
      </c>
      <c r="W867" s="717"/>
      <c r="X867" s="713"/>
      <c r="Y867" s="718"/>
      <c r="Z867" s="709">
        <v>34</v>
      </c>
      <c r="AA867" s="175"/>
      <c r="AB867" s="200"/>
      <c r="AC867" s="205">
        <v>1.2E-2</v>
      </c>
      <c r="AD867" s="175">
        <v>8.1999999999999993</v>
      </c>
      <c r="AE867" s="175">
        <v>0.35</v>
      </c>
      <c r="AF867" s="170">
        <f t="shared" si="15"/>
        <v>2.8699999999999997</v>
      </c>
      <c r="AG867" s="175">
        <v>1.24</v>
      </c>
      <c r="AH867" s="334"/>
      <c r="AI867" s="188"/>
      <c r="AJ867" s="188"/>
      <c r="AK867" s="188"/>
      <c r="AL867" s="189"/>
      <c r="AM867" s="189"/>
      <c r="AN867" s="189"/>
      <c r="AO867" s="189"/>
      <c r="AP867" s="189"/>
      <c r="AQ867" s="189"/>
      <c r="AR867" s="189"/>
      <c r="AS867" s="189"/>
      <c r="AT867" s="189"/>
      <c r="AU867" s="190"/>
      <c r="AV867" s="190"/>
      <c r="AW867" s="190"/>
      <c r="AX867" s="190"/>
      <c r="AY867" s="190"/>
      <c r="AZ867" s="189"/>
      <c r="BA867" s="189"/>
      <c r="BB867" s="189"/>
      <c r="BC867" s="189"/>
      <c r="BD867" s="189"/>
      <c r="BE867" s="189"/>
      <c r="BF867" s="189"/>
      <c r="BG867" s="189"/>
      <c r="BH867" s="189"/>
      <c r="BI867" s="190"/>
      <c r="BJ867" s="190"/>
      <c r="BK867" s="190"/>
      <c r="BL867" s="190"/>
      <c r="BM867" s="190"/>
      <c r="BN867" s="190"/>
      <c r="BO867" s="190"/>
      <c r="BP867" s="190"/>
      <c r="BQ867" s="190"/>
      <c r="BR867" s="190"/>
      <c r="BS867" s="190"/>
      <c r="BT867" s="190"/>
      <c r="BU867" s="190"/>
      <c r="BV867" s="190"/>
      <c r="BW867" s="190"/>
      <c r="BX867" s="190"/>
      <c r="BY867" s="190"/>
      <c r="BZ867" s="190"/>
      <c r="CA867" s="189"/>
      <c r="CB867" s="15"/>
    </row>
    <row r="868" spans="1:80" ht="15" x14ac:dyDescent="0.25">
      <c r="A868" s="167"/>
      <c r="B868" s="642"/>
      <c r="C868" s="642"/>
      <c r="D868" s="179"/>
      <c r="E868" s="169"/>
      <c r="F868" s="169"/>
      <c r="G868" s="187"/>
      <c r="H868" s="187"/>
      <c r="I868" s="187"/>
      <c r="J868" s="187"/>
      <c r="K868" s="187"/>
      <c r="L868" s="647"/>
      <c r="M868" s="646">
        <v>33774</v>
      </c>
      <c r="N868" s="585">
        <v>3.71</v>
      </c>
      <c r="O868" s="585">
        <v>8.269E-2</v>
      </c>
      <c r="P868" s="175">
        <v>0</v>
      </c>
      <c r="Q868" s="175">
        <v>2.5999999999999999E-3</v>
      </c>
      <c r="R868" s="175">
        <v>1.49E-3</v>
      </c>
      <c r="S868" s="175">
        <v>8.7899999999999992E-3</v>
      </c>
      <c r="T868" s="175">
        <v>1.418E-2</v>
      </c>
      <c r="U868" s="175">
        <v>1.967E-2</v>
      </c>
      <c r="V868" s="706">
        <v>3.5950000000000003E-2</v>
      </c>
      <c r="W868" s="717"/>
      <c r="X868" s="713"/>
      <c r="Y868" s="718"/>
      <c r="Z868" s="709">
        <v>42</v>
      </c>
      <c r="AA868" s="175"/>
      <c r="AB868" s="200"/>
      <c r="AC868" s="205">
        <v>0.02</v>
      </c>
      <c r="AD868" s="175">
        <v>7.9</v>
      </c>
      <c r="AE868" s="175">
        <v>0.37</v>
      </c>
      <c r="AF868" s="170">
        <f t="shared" si="15"/>
        <v>2.923</v>
      </c>
      <c r="AG868" s="175">
        <v>1.22</v>
      </c>
      <c r="AH868" s="334"/>
      <c r="AI868" s="188"/>
      <c r="AJ868" s="188"/>
      <c r="AK868" s="188"/>
      <c r="AL868" s="189"/>
      <c r="AM868" s="189"/>
      <c r="AN868" s="189"/>
      <c r="AO868" s="189"/>
      <c r="AP868" s="189"/>
      <c r="AQ868" s="189"/>
      <c r="AR868" s="189"/>
      <c r="AS868" s="189"/>
      <c r="AT868" s="189"/>
      <c r="AU868" s="190"/>
      <c r="AV868" s="190"/>
      <c r="AW868" s="190"/>
      <c r="AX868" s="190"/>
      <c r="AY868" s="190"/>
      <c r="AZ868" s="189"/>
      <c r="BA868" s="189"/>
      <c r="BB868" s="189"/>
      <c r="BC868" s="189"/>
      <c r="BD868" s="189"/>
      <c r="BE868" s="189"/>
      <c r="BF868" s="189"/>
      <c r="BG868" s="189"/>
      <c r="BH868" s="189"/>
      <c r="BI868" s="190"/>
      <c r="BJ868" s="190"/>
      <c r="BK868" s="190"/>
      <c r="BL868" s="190"/>
      <c r="BM868" s="190"/>
      <c r="BN868" s="190"/>
      <c r="BO868" s="190"/>
      <c r="BP868" s="190"/>
      <c r="BQ868" s="190"/>
      <c r="BR868" s="190"/>
      <c r="BS868" s="190"/>
      <c r="BT868" s="190"/>
      <c r="BU868" s="190"/>
      <c r="BV868" s="190"/>
      <c r="BW868" s="190"/>
      <c r="BX868" s="190"/>
      <c r="BY868" s="190"/>
      <c r="BZ868" s="190"/>
      <c r="CA868" s="189"/>
      <c r="CB868" s="15"/>
    </row>
    <row r="869" spans="1:80" ht="15" x14ac:dyDescent="0.25">
      <c r="A869" s="167"/>
      <c r="B869" s="642"/>
      <c r="C869" s="642"/>
      <c r="D869" s="179"/>
      <c r="E869" s="169"/>
      <c r="F869" s="169"/>
      <c r="G869" s="187"/>
      <c r="H869" s="187"/>
      <c r="I869" s="187"/>
      <c r="J869" s="187"/>
      <c r="K869" s="187"/>
      <c r="L869" s="647"/>
      <c r="M869" s="646">
        <v>33774</v>
      </c>
      <c r="N869" s="585">
        <v>4.46</v>
      </c>
      <c r="O869" s="585">
        <v>0.11995</v>
      </c>
      <c r="P869" s="175">
        <v>0</v>
      </c>
      <c r="Q869" s="175">
        <v>1.09E-2</v>
      </c>
      <c r="R869" s="175">
        <v>1.252E-2</v>
      </c>
      <c r="S869" s="175">
        <v>1.4760000000000001E-2</v>
      </c>
      <c r="T869" s="175">
        <v>2.053E-2</v>
      </c>
      <c r="U869" s="175">
        <v>2.3230000000000001E-2</v>
      </c>
      <c r="V869" s="706">
        <v>3.8019999999999998E-2</v>
      </c>
      <c r="W869" s="717"/>
      <c r="X869" s="713"/>
      <c r="Y869" s="718"/>
      <c r="Z869" s="709">
        <v>38</v>
      </c>
      <c r="AA869" s="175"/>
      <c r="AB869" s="200"/>
      <c r="AC869" s="205">
        <v>1.4E-2</v>
      </c>
      <c r="AD869" s="175">
        <v>8.4</v>
      </c>
      <c r="AE869" s="175">
        <v>0.38</v>
      </c>
      <c r="AF869" s="170">
        <f t="shared" si="15"/>
        <v>3.1920000000000002</v>
      </c>
      <c r="AG869" s="175">
        <v>1.34</v>
      </c>
      <c r="AH869" s="334"/>
      <c r="AI869" s="188"/>
      <c r="AJ869" s="188"/>
      <c r="AK869" s="188"/>
      <c r="AL869" s="189"/>
      <c r="AM869" s="189"/>
      <c r="AN869" s="189"/>
      <c r="AO869" s="189"/>
      <c r="AP869" s="189"/>
      <c r="AQ869" s="189"/>
      <c r="AR869" s="189"/>
      <c r="AS869" s="189"/>
      <c r="AT869" s="189"/>
      <c r="AU869" s="190"/>
      <c r="AV869" s="190"/>
      <c r="AW869" s="190"/>
      <c r="AX869" s="190"/>
      <c r="AY869" s="190"/>
      <c r="AZ869" s="189"/>
      <c r="BA869" s="189"/>
      <c r="BB869" s="189"/>
      <c r="BC869" s="189"/>
      <c r="BD869" s="189"/>
      <c r="BE869" s="189"/>
      <c r="BF869" s="189"/>
      <c r="BG869" s="189"/>
      <c r="BH869" s="189"/>
      <c r="BI869" s="190"/>
      <c r="BJ869" s="190"/>
      <c r="BK869" s="190"/>
      <c r="BL869" s="190"/>
      <c r="BM869" s="190"/>
      <c r="BN869" s="190"/>
      <c r="BO869" s="190"/>
      <c r="BP869" s="190"/>
      <c r="BQ869" s="190"/>
      <c r="BR869" s="190"/>
      <c r="BS869" s="190"/>
      <c r="BT869" s="190"/>
      <c r="BU869" s="190"/>
      <c r="BV869" s="190"/>
      <c r="BW869" s="190"/>
      <c r="BX869" s="190"/>
      <c r="BY869" s="190"/>
      <c r="BZ869" s="190"/>
      <c r="CA869" s="189"/>
      <c r="CB869" s="15"/>
    </row>
    <row r="870" spans="1:80" ht="15" x14ac:dyDescent="0.25">
      <c r="A870" s="167"/>
      <c r="B870" s="642"/>
      <c r="C870" s="642"/>
      <c r="D870" s="179"/>
      <c r="E870" s="169"/>
      <c r="F870" s="169"/>
      <c r="G870" s="187"/>
      <c r="H870" s="187"/>
      <c r="I870" s="187"/>
      <c r="J870" s="187"/>
      <c r="K870" s="187"/>
      <c r="L870" s="647"/>
      <c r="M870" s="646">
        <v>33774</v>
      </c>
      <c r="N870" s="585">
        <v>4.3600000000000003</v>
      </c>
      <c r="O870" s="585">
        <v>0.11079</v>
      </c>
      <c r="P870" s="175">
        <v>0</v>
      </c>
      <c r="Q870" s="175">
        <v>0</v>
      </c>
      <c r="R870" s="175">
        <v>1.9949999999999999E-2</v>
      </c>
      <c r="S870" s="175">
        <v>1.8149999999999999E-2</v>
      </c>
      <c r="T870" s="175">
        <v>2.0209999999999999E-2</v>
      </c>
      <c r="U870" s="175">
        <v>2.095E-2</v>
      </c>
      <c r="V870" s="706">
        <v>3.1519999999999999E-2</v>
      </c>
      <c r="W870" s="717"/>
      <c r="X870" s="713"/>
      <c r="Y870" s="718"/>
      <c r="Z870" s="709">
        <v>36</v>
      </c>
      <c r="AA870" s="175"/>
      <c r="AB870" s="200"/>
      <c r="AC870" s="205">
        <v>8.9999999999999993E-3</v>
      </c>
      <c r="AD870" s="175">
        <v>8.4</v>
      </c>
      <c r="AE870" s="175">
        <v>0.38</v>
      </c>
      <c r="AF870" s="170">
        <f t="shared" si="15"/>
        <v>3.1920000000000002</v>
      </c>
      <c r="AG870" s="175">
        <v>1.34</v>
      </c>
      <c r="AH870" s="334"/>
      <c r="AI870" s="188"/>
      <c r="AJ870" s="188"/>
      <c r="AK870" s="188"/>
      <c r="AL870" s="189"/>
      <c r="AM870" s="189"/>
      <c r="AN870" s="189"/>
      <c r="AO870" s="189"/>
      <c r="AP870" s="189"/>
      <c r="AQ870" s="189"/>
      <c r="AR870" s="189"/>
      <c r="AS870" s="189"/>
      <c r="AT870" s="189"/>
      <c r="AU870" s="190"/>
      <c r="AV870" s="190"/>
      <c r="AW870" s="190"/>
      <c r="AX870" s="190"/>
      <c r="AY870" s="190"/>
      <c r="AZ870" s="189"/>
      <c r="BA870" s="189"/>
      <c r="BB870" s="189"/>
      <c r="BC870" s="189"/>
      <c r="BD870" s="189"/>
      <c r="BE870" s="189"/>
      <c r="BF870" s="189"/>
      <c r="BG870" s="189"/>
      <c r="BH870" s="189"/>
      <c r="BI870" s="190"/>
      <c r="BJ870" s="190"/>
      <c r="BK870" s="190"/>
      <c r="BL870" s="190"/>
      <c r="BM870" s="190"/>
      <c r="BN870" s="190"/>
      <c r="BO870" s="190"/>
      <c r="BP870" s="190"/>
      <c r="BQ870" s="190"/>
      <c r="BR870" s="190"/>
      <c r="BS870" s="190"/>
      <c r="BT870" s="190"/>
      <c r="BU870" s="190"/>
      <c r="BV870" s="190"/>
      <c r="BW870" s="190"/>
      <c r="BX870" s="190"/>
      <c r="BY870" s="190"/>
      <c r="BZ870" s="190"/>
      <c r="CA870" s="189"/>
      <c r="CB870" s="15"/>
    </row>
    <row r="871" spans="1:80" ht="15" x14ac:dyDescent="0.25">
      <c r="A871" s="167"/>
      <c r="B871" s="642"/>
      <c r="C871" s="642"/>
      <c r="D871" s="179"/>
      <c r="E871" s="169"/>
      <c r="F871" s="169"/>
      <c r="G871" s="187"/>
      <c r="H871" s="187"/>
      <c r="I871" s="187"/>
      <c r="J871" s="187"/>
      <c r="K871" s="187"/>
      <c r="L871" s="647"/>
      <c r="M871" s="646">
        <v>33774</v>
      </c>
      <c r="N871" s="585">
        <v>4.46</v>
      </c>
      <c r="O871" s="585">
        <v>7.7649999999999997E-2</v>
      </c>
      <c r="P871" s="175">
        <v>0</v>
      </c>
      <c r="Q871" s="175">
        <v>9.6299999999999997E-3</v>
      </c>
      <c r="R871" s="175">
        <v>3.3E-3</v>
      </c>
      <c r="S871" s="175">
        <v>5.7299999999999999E-3</v>
      </c>
      <c r="T871" s="175">
        <v>1.3809999999999999E-2</v>
      </c>
      <c r="U871" s="175">
        <v>1.6930000000000001E-2</v>
      </c>
      <c r="V871" s="706">
        <v>2.826E-2</v>
      </c>
      <c r="W871" s="717"/>
      <c r="X871" s="713"/>
      <c r="Y871" s="718"/>
      <c r="Z871" s="709">
        <v>44</v>
      </c>
      <c r="AA871" s="175"/>
      <c r="AB871" s="200"/>
      <c r="AC871" s="205">
        <v>1.9E-2</v>
      </c>
      <c r="AD871" s="175">
        <v>8.6</v>
      </c>
      <c r="AE871" s="175">
        <v>0.38</v>
      </c>
      <c r="AF871" s="170">
        <f t="shared" si="15"/>
        <v>3.2679999999999998</v>
      </c>
      <c r="AG871" s="175">
        <v>1.29</v>
      </c>
      <c r="AH871" s="334"/>
      <c r="AI871" s="188"/>
      <c r="AJ871" s="188"/>
      <c r="AK871" s="188"/>
      <c r="AL871" s="189"/>
      <c r="AM871" s="189"/>
      <c r="AN871" s="189"/>
      <c r="AO871" s="189"/>
      <c r="AP871" s="189"/>
      <c r="AQ871" s="189"/>
      <c r="AR871" s="189"/>
      <c r="AS871" s="189"/>
      <c r="AT871" s="189"/>
      <c r="AU871" s="190"/>
      <c r="AV871" s="190"/>
      <c r="AW871" s="190"/>
      <c r="AX871" s="190"/>
      <c r="AY871" s="190"/>
      <c r="AZ871" s="189"/>
      <c r="BA871" s="189"/>
      <c r="BB871" s="189"/>
      <c r="BC871" s="189"/>
      <c r="BD871" s="189"/>
      <c r="BE871" s="189"/>
      <c r="BF871" s="189"/>
      <c r="BG871" s="189"/>
      <c r="BH871" s="189"/>
      <c r="BI871" s="190"/>
      <c r="BJ871" s="190"/>
      <c r="BK871" s="190"/>
      <c r="BL871" s="190"/>
      <c r="BM871" s="190"/>
      <c r="BN871" s="190"/>
      <c r="BO871" s="190"/>
      <c r="BP871" s="190"/>
      <c r="BQ871" s="190"/>
      <c r="BR871" s="190"/>
      <c r="BS871" s="190"/>
      <c r="BT871" s="190"/>
      <c r="BU871" s="190"/>
      <c r="BV871" s="190"/>
      <c r="BW871" s="190"/>
      <c r="BX871" s="190"/>
      <c r="BY871" s="190"/>
      <c r="BZ871" s="190"/>
      <c r="CA871" s="189"/>
      <c r="CB871" s="15"/>
    </row>
    <row r="872" spans="1:80" ht="15" x14ac:dyDescent="0.25">
      <c r="A872" s="167"/>
      <c r="B872" s="642"/>
      <c r="C872" s="642"/>
      <c r="D872" s="179"/>
      <c r="E872" s="169"/>
      <c r="F872" s="169"/>
      <c r="G872" s="187"/>
      <c r="H872" s="187"/>
      <c r="I872" s="187"/>
      <c r="J872" s="187"/>
      <c r="K872" s="187"/>
      <c r="L872" s="647"/>
      <c r="M872" s="646">
        <v>33775</v>
      </c>
      <c r="N872" s="585">
        <v>4.01</v>
      </c>
      <c r="O872" s="585">
        <v>7.1319999999999995E-2</v>
      </c>
      <c r="P872" s="175">
        <v>0</v>
      </c>
      <c r="Q872" s="175">
        <v>0</v>
      </c>
      <c r="R872" s="175">
        <v>6.0200000000000002E-3</v>
      </c>
      <c r="S872" s="175">
        <v>1.1480000000000001E-2</v>
      </c>
      <c r="T872" s="175">
        <v>1.5049999999999999E-2</v>
      </c>
      <c r="U872" s="175">
        <v>1.6029999999999999E-2</v>
      </c>
      <c r="V872" s="706">
        <v>2.273E-2</v>
      </c>
      <c r="W872" s="717"/>
      <c r="X872" s="713"/>
      <c r="Y872" s="718"/>
      <c r="Z872" s="709">
        <v>31</v>
      </c>
      <c r="AA872" s="175"/>
      <c r="AB872" s="200"/>
      <c r="AC872" s="205">
        <v>1.4E-2</v>
      </c>
      <c r="AD872" s="175">
        <v>8.6</v>
      </c>
      <c r="AE872" s="175">
        <v>0.36</v>
      </c>
      <c r="AF872" s="170">
        <f t="shared" si="15"/>
        <v>3.0959999999999996</v>
      </c>
      <c r="AG872" s="175">
        <v>1.28</v>
      </c>
      <c r="AH872" s="334"/>
      <c r="AI872" s="188"/>
      <c r="AJ872" s="188"/>
      <c r="AK872" s="188"/>
      <c r="AL872" s="189"/>
      <c r="AM872" s="189"/>
      <c r="AN872" s="189"/>
      <c r="AO872" s="189"/>
      <c r="AP872" s="189"/>
      <c r="AQ872" s="189"/>
      <c r="AR872" s="189"/>
      <c r="AS872" s="189"/>
      <c r="AT872" s="189"/>
      <c r="AU872" s="190"/>
      <c r="AV872" s="190"/>
      <c r="AW872" s="190"/>
      <c r="AX872" s="190"/>
      <c r="AY872" s="190"/>
      <c r="AZ872" s="189"/>
      <c r="BA872" s="189"/>
      <c r="BB872" s="189"/>
      <c r="BC872" s="189"/>
      <c r="BD872" s="189"/>
      <c r="BE872" s="189"/>
      <c r="BF872" s="189"/>
      <c r="BG872" s="189"/>
      <c r="BH872" s="189"/>
      <c r="BI872" s="190"/>
      <c r="BJ872" s="190"/>
      <c r="BK872" s="190"/>
      <c r="BL872" s="190"/>
      <c r="BM872" s="190"/>
      <c r="BN872" s="190"/>
      <c r="BO872" s="190"/>
      <c r="BP872" s="190"/>
      <c r="BQ872" s="190"/>
      <c r="BR872" s="190"/>
      <c r="BS872" s="190"/>
      <c r="BT872" s="190"/>
      <c r="BU872" s="190"/>
      <c r="BV872" s="190"/>
      <c r="BW872" s="190"/>
      <c r="BX872" s="190"/>
      <c r="BY872" s="190"/>
      <c r="BZ872" s="190"/>
      <c r="CA872" s="189"/>
      <c r="CB872" s="15"/>
    </row>
    <row r="873" spans="1:80" ht="15" x14ac:dyDescent="0.25">
      <c r="A873" s="167"/>
      <c r="B873" s="642"/>
      <c r="C873" s="642"/>
      <c r="D873" s="179"/>
      <c r="E873" s="169"/>
      <c r="F873" s="169"/>
      <c r="G873" s="187"/>
      <c r="H873" s="187"/>
      <c r="I873" s="187"/>
      <c r="J873" s="187"/>
      <c r="K873" s="187"/>
      <c r="L873" s="647"/>
      <c r="M873" s="646">
        <v>33775</v>
      </c>
      <c r="N873" s="585">
        <v>3.81</v>
      </c>
      <c r="O873" s="585">
        <v>8.8400000000000006E-2</v>
      </c>
      <c r="P873" s="175">
        <v>0</v>
      </c>
      <c r="Q873" s="175">
        <v>1.043E-2</v>
      </c>
      <c r="R873" s="175">
        <v>1.81E-3</v>
      </c>
      <c r="S873" s="175">
        <v>8.8900000000000003E-3</v>
      </c>
      <c r="T873" s="175">
        <v>1.5599999999999999E-2</v>
      </c>
      <c r="U873" s="175">
        <v>2.1190000000000001E-2</v>
      </c>
      <c r="V873" s="706">
        <v>3.048E-2</v>
      </c>
      <c r="W873" s="717"/>
      <c r="X873" s="713"/>
      <c r="Y873" s="718"/>
      <c r="Z873" s="709">
        <v>63</v>
      </c>
      <c r="AA873" s="175"/>
      <c r="AB873" s="200"/>
      <c r="AC873" s="205">
        <v>0.01</v>
      </c>
      <c r="AD873" s="175">
        <v>8</v>
      </c>
      <c r="AE873" s="175">
        <v>0.37</v>
      </c>
      <c r="AF873" s="170">
        <f t="shared" si="15"/>
        <v>2.96</v>
      </c>
      <c r="AG873" s="175">
        <v>1.26</v>
      </c>
      <c r="AH873" s="334"/>
      <c r="AI873" s="188"/>
      <c r="AJ873" s="188"/>
      <c r="AK873" s="188"/>
      <c r="AL873" s="189"/>
      <c r="AM873" s="189"/>
      <c r="AN873" s="189"/>
      <c r="AO873" s="189"/>
      <c r="AP873" s="189"/>
      <c r="AQ873" s="189"/>
      <c r="AR873" s="189"/>
      <c r="AS873" s="189"/>
      <c r="AT873" s="189"/>
      <c r="AU873" s="190"/>
      <c r="AV873" s="190"/>
      <c r="AW873" s="190"/>
      <c r="AX873" s="190"/>
      <c r="AY873" s="190"/>
      <c r="AZ873" s="189"/>
      <c r="BA873" s="189"/>
      <c r="BB873" s="189"/>
      <c r="BC873" s="189"/>
      <c r="BD873" s="189"/>
      <c r="BE873" s="189"/>
      <c r="BF873" s="189"/>
      <c r="BG873" s="189"/>
      <c r="BH873" s="189"/>
      <c r="BI873" s="190"/>
      <c r="BJ873" s="190"/>
      <c r="BK873" s="190"/>
      <c r="BL873" s="190"/>
      <c r="BM873" s="190"/>
      <c r="BN873" s="190"/>
      <c r="BO873" s="190"/>
      <c r="BP873" s="190"/>
      <c r="BQ873" s="190"/>
      <c r="BR873" s="190"/>
      <c r="BS873" s="190"/>
      <c r="BT873" s="190"/>
      <c r="BU873" s="190"/>
      <c r="BV873" s="190"/>
      <c r="BW873" s="190"/>
      <c r="BX873" s="190"/>
      <c r="BY873" s="190"/>
      <c r="BZ873" s="190"/>
      <c r="CA873" s="189"/>
      <c r="CB873" s="15"/>
    </row>
    <row r="874" spans="1:80" ht="15" x14ac:dyDescent="0.25">
      <c r="A874" s="167"/>
      <c r="B874" s="642"/>
      <c r="C874" s="642"/>
      <c r="D874" s="179"/>
      <c r="E874" s="169"/>
      <c r="F874" s="169"/>
      <c r="G874" s="187"/>
      <c r="H874" s="187"/>
      <c r="I874" s="187"/>
      <c r="J874" s="187"/>
      <c r="K874" s="187"/>
      <c r="L874" s="647"/>
      <c r="M874" s="646">
        <v>33775</v>
      </c>
      <c r="N874" s="585">
        <v>4.01</v>
      </c>
      <c r="O874" s="585">
        <v>8.5169999999999996E-2</v>
      </c>
      <c r="P874" s="175">
        <v>0</v>
      </c>
      <c r="Q874" s="175">
        <v>0</v>
      </c>
      <c r="R874" s="175">
        <v>9.3999999999999997E-4</v>
      </c>
      <c r="S874" s="175">
        <v>1.141E-2</v>
      </c>
      <c r="T874" s="175">
        <v>1.7579999999999998E-2</v>
      </c>
      <c r="U874" s="175">
        <v>2.1090000000000001E-2</v>
      </c>
      <c r="V874" s="706">
        <v>3.4139999999999997E-2</v>
      </c>
      <c r="W874" s="717"/>
      <c r="X874" s="713"/>
      <c r="Y874" s="718"/>
      <c r="Z874" s="709">
        <v>22</v>
      </c>
      <c r="AA874" s="175"/>
      <c r="AB874" s="200"/>
      <c r="AC874" s="205">
        <v>1.7000000000000001E-2</v>
      </c>
      <c r="AD874" s="175">
        <v>8.1</v>
      </c>
      <c r="AE874" s="175">
        <v>0.37</v>
      </c>
      <c r="AF874" s="170">
        <f t="shared" si="15"/>
        <v>2.9969999999999999</v>
      </c>
      <c r="AG874" s="175">
        <v>1.23</v>
      </c>
      <c r="AH874" s="334"/>
      <c r="AI874" s="188"/>
      <c r="AJ874" s="188"/>
      <c r="AK874" s="188"/>
      <c r="AL874" s="189"/>
      <c r="AM874" s="189"/>
      <c r="AN874" s="189"/>
      <c r="AO874" s="189"/>
      <c r="AP874" s="189"/>
      <c r="AQ874" s="189"/>
      <c r="AR874" s="189"/>
      <c r="AS874" s="189"/>
      <c r="AT874" s="189"/>
      <c r="AU874" s="190"/>
      <c r="AV874" s="190"/>
      <c r="AW874" s="190"/>
      <c r="AX874" s="190"/>
      <c r="AY874" s="190"/>
      <c r="AZ874" s="189"/>
      <c r="BA874" s="189"/>
      <c r="BB874" s="189"/>
      <c r="BC874" s="189"/>
      <c r="BD874" s="189"/>
      <c r="BE874" s="189"/>
      <c r="BF874" s="189"/>
      <c r="BG874" s="189"/>
      <c r="BH874" s="189"/>
      <c r="BI874" s="190"/>
      <c r="BJ874" s="190"/>
      <c r="BK874" s="190"/>
      <c r="BL874" s="190"/>
      <c r="BM874" s="190"/>
      <c r="BN874" s="190"/>
      <c r="BO874" s="190"/>
      <c r="BP874" s="190"/>
      <c r="BQ874" s="190"/>
      <c r="BR874" s="190"/>
      <c r="BS874" s="190"/>
      <c r="BT874" s="190"/>
      <c r="BU874" s="190"/>
      <c r="BV874" s="190"/>
      <c r="BW874" s="190"/>
      <c r="BX874" s="190"/>
      <c r="BY874" s="190"/>
      <c r="BZ874" s="190"/>
      <c r="CA874" s="189"/>
      <c r="CB874" s="15"/>
    </row>
    <row r="875" spans="1:80" ht="15" x14ac:dyDescent="0.25">
      <c r="A875" s="167"/>
      <c r="B875" s="642"/>
      <c r="C875" s="642"/>
      <c r="D875" s="179"/>
      <c r="E875" s="169"/>
      <c r="F875" s="169"/>
      <c r="G875" s="187"/>
      <c r="H875" s="187"/>
      <c r="I875" s="187"/>
      <c r="J875" s="187"/>
      <c r="K875" s="187"/>
      <c r="L875" s="647"/>
      <c r="M875" s="646">
        <v>33775</v>
      </c>
      <c r="N875" s="585">
        <v>4.21</v>
      </c>
      <c r="O875" s="585">
        <v>0.14052000000000001</v>
      </c>
      <c r="P875" s="175">
        <v>0</v>
      </c>
      <c r="Q875" s="175">
        <v>0</v>
      </c>
      <c r="R875" s="175">
        <v>8.6899999999999998E-3</v>
      </c>
      <c r="S875" s="175">
        <v>2.5520000000000001E-2</v>
      </c>
      <c r="T875" s="175">
        <v>3.1009999999999999E-2</v>
      </c>
      <c r="U875" s="175">
        <v>3.4049999999999997E-2</v>
      </c>
      <c r="V875" s="706">
        <v>4.1250000000000002E-2</v>
      </c>
      <c r="W875" s="717"/>
      <c r="X875" s="713"/>
      <c r="Y875" s="718"/>
      <c r="Z875" s="709">
        <v>25</v>
      </c>
      <c r="AA875" s="175"/>
      <c r="AB875" s="200"/>
      <c r="AC875" s="205">
        <v>2.1000000000000001E-2</v>
      </c>
      <c r="AD875" s="175">
        <v>8.4</v>
      </c>
      <c r="AE875" s="175">
        <v>0.37</v>
      </c>
      <c r="AF875" s="170">
        <f t="shared" ref="AF875:AF934" si="16">AE875*AD875</f>
        <v>3.1080000000000001</v>
      </c>
      <c r="AG875" s="175">
        <v>1.32</v>
      </c>
      <c r="AH875" s="334"/>
      <c r="AI875" s="188"/>
      <c r="AJ875" s="188"/>
      <c r="AK875" s="188"/>
      <c r="AL875" s="189"/>
      <c r="AM875" s="189"/>
      <c r="AN875" s="189"/>
      <c r="AO875" s="189"/>
      <c r="AP875" s="189"/>
      <c r="AQ875" s="189"/>
      <c r="AR875" s="189"/>
      <c r="AS875" s="189"/>
      <c r="AT875" s="189"/>
      <c r="AU875" s="190"/>
      <c r="AV875" s="190"/>
      <c r="AW875" s="190"/>
      <c r="AX875" s="190"/>
      <c r="AY875" s="190"/>
      <c r="AZ875" s="189"/>
      <c r="BA875" s="189"/>
      <c r="BB875" s="189"/>
      <c r="BC875" s="189"/>
      <c r="BD875" s="189"/>
      <c r="BE875" s="189"/>
      <c r="BF875" s="189"/>
      <c r="BG875" s="189"/>
      <c r="BH875" s="189"/>
      <c r="BI875" s="190"/>
      <c r="BJ875" s="190"/>
      <c r="BK875" s="190"/>
      <c r="BL875" s="190"/>
      <c r="BM875" s="190"/>
      <c r="BN875" s="190"/>
      <c r="BO875" s="190"/>
      <c r="BP875" s="190"/>
      <c r="BQ875" s="190"/>
      <c r="BR875" s="190"/>
      <c r="BS875" s="190"/>
      <c r="BT875" s="190"/>
      <c r="BU875" s="190"/>
      <c r="BV875" s="190"/>
      <c r="BW875" s="190"/>
      <c r="BX875" s="190"/>
      <c r="BY875" s="190"/>
      <c r="BZ875" s="190"/>
      <c r="CA875" s="189"/>
      <c r="CB875" s="15"/>
    </row>
    <row r="876" spans="1:80" ht="15" x14ac:dyDescent="0.25">
      <c r="A876" s="167"/>
      <c r="B876" s="642"/>
      <c r="C876" s="642"/>
      <c r="D876" s="179"/>
      <c r="E876" s="169"/>
      <c r="F876" s="169"/>
      <c r="G876" s="187"/>
      <c r="H876" s="187"/>
      <c r="I876" s="187"/>
      <c r="J876" s="187"/>
      <c r="K876" s="187"/>
      <c r="L876" s="647"/>
      <c r="M876" s="646">
        <v>33775</v>
      </c>
      <c r="N876" s="585">
        <v>4.87</v>
      </c>
      <c r="O876" s="585">
        <v>0.16569</v>
      </c>
      <c r="P876" s="175">
        <v>0</v>
      </c>
      <c r="Q876" s="175">
        <v>2.7300000000000001E-2</v>
      </c>
      <c r="R876" s="175">
        <v>1.882E-2</v>
      </c>
      <c r="S876" s="175">
        <v>1.5599999999999999E-2</v>
      </c>
      <c r="T876" s="175">
        <v>1.7489999999999999E-2</v>
      </c>
      <c r="U876" s="175">
        <v>2.562E-2</v>
      </c>
      <c r="V876" s="706">
        <v>6.0859999999999997E-2</v>
      </c>
      <c r="W876" s="717"/>
      <c r="X876" s="713"/>
      <c r="Y876" s="718"/>
      <c r="Z876" s="709">
        <v>71</v>
      </c>
      <c r="AA876" s="175"/>
      <c r="AB876" s="200"/>
      <c r="AC876" s="205">
        <v>2.1999999999999999E-2</v>
      </c>
      <c r="AD876" s="175">
        <v>8.6999999999999993</v>
      </c>
      <c r="AE876" s="175">
        <v>0.41</v>
      </c>
      <c r="AF876" s="170">
        <f t="shared" si="16"/>
        <v>3.5669999999999993</v>
      </c>
      <c r="AG876" s="175">
        <v>1.53</v>
      </c>
      <c r="AH876" s="334"/>
      <c r="AI876" s="188"/>
      <c r="AJ876" s="188"/>
      <c r="AK876" s="188"/>
      <c r="AL876" s="189"/>
      <c r="AM876" s="189"/>
      <c r="AN876" s="189"/>
      <c r="AO876" s="189"/>
      <c r="AP876" s="189"/>
      <c r="AQ876" s="189"/>
      <c r="AR876" s="189"/>
      <c r="AS876" s="189"/>
      <c r="AT876" s="189"/>
      <c r="AU876" s="190"/>
      <c r="AV876" s="190"/>
      <c r="AW876" s="190"/>
      <c r="AX876" s="190"/>
      <c r="AY876" s="190"/>
      <c r="AZ876" s="189"/>
      <c r="BA876" s="189"/>
      <c r="BB876" s="189"/>
      <c r="BC876" s="189"/>
      <c r="BD876" s="189"/>
      <c r="BE876" s="189"/>
      <c r="BF876" s="189"/>
      <c r="BG876" s="189"/>
      <c r="BH876" s="189"/>
      <c r="BI876" s="190"/>
      <c r="BJ876" s="190"/>
      <c r="BK876" s="190"/>
      <c r="BL876" s="190"/>
      <c r="BM876" s="190"/>
      <c r="BN876" s="190"/>
      <c r="BO876" s="190"/>
      <c r="BP876" s="190"/>
      <c r="BQ876" s="190"/>
      <c r="BR876" s="190"/>
      <c r="BS876" s="190"/>
      <c r="BT876" s="190"/>
      <c r="BU876" s="190"/>
      <c r="BV876" s="190"/>
      <c r="BW876" s="190"/>
      <c r="BX876" s="190"/>
      <c r="BY876" s="190"/>
      <c r="BZ876" s="190"/>
      <c r="CA876" s="189"/>
      <c r="CB876" s="15"/>
    </row>
    <row r="877" spans="1:80" ht="15" x14ac:dyDescent="0.25">
      <c r="A877" s="167"/>
      <c r="B877" s="642"/>
      <c r="C877" s="642"/>
      <c r="D877" s="179"/>
      <c r="E877" s="169"/>
      <c r="F877" s="169"/>
      <c r="G877" s="187"/>
      <c r="H877" s="187"/>
      <c r="I877" s="187"/>
      <c r="J877" s="187"/>
      <c r="K877" s="187"/>
      <c r="L877" s="647"/>
      <c r="M877" s="646">
        <v>33776</v>
      </c>
      <c r="N877" s="585">
        <v>4.6100000000000003</v>
      </c>
      <c r="O877" s="585">
        <v>0.14333000000000001</v>
      </c>
      <c r="P877" s="175">
        <v>0</v>
      </c>
      <c r="Q877" s="175">
        <v>0</v>
      </c>
      <c r="R877" s="175">
        <v>7.2399999999999999E-3</v>
      </c>
      <c r="S877" s="175">
        <v>1.653E-2</v>
      </c>
      <c r="T877" s="175">
        <v>2.4109999999999999E-2</v>
      </c>
      <c r="U877" s="175">
        <v>3.1440000000000003E-2</v>
      </c>
      <c r="V877" s="706">
        <v>6.4009999999999997E-2</v>
      </c>
      <c r="W877" s="717"/>
      <c r="X877" s="713"/>
      <c r="Y877" s="718"/>
      <c r="Z877" s="709">
        <v>33</v>
      </c>
      <c r="AA877" s="175"/>
      <c r="AB877" s="200"/>
      <c r="AC877" s="205">
        <v>2.1000000000000001E-2</v>
      </c>
      <c r="AD877" s="175">
        <v>8.6999999999999993</v>
      </c>
      <c r="AE877" s="175">
        <v>0.38</v>
      </c>
      <c r="AF877" s="170">
        <f t="shared" si="16"/>
        <v>3.3059999999999996</v>
      </c>
      <c r="AG877" s="175">
        <v>1.47</v>
      </c>
      <c r="AH877" s="334"/>
      <c r="AI877" s="188"/>
      <c r="AJ877" s="188"/>
      <c r="AK877" s="188"/>
      <c r="AL877" s="189"/>
      <c r="AM877" s="189"/>
      <c r="AN877" s="189"/>
      <c r="AO877" s="189"/>
      <c r="AP877" s="189"/>
      <c r="AQ877" s="189"/>
      <c r="AR877" s="189"/>
      <c r="AS877" s="189"/>
      <c r="AT877" s="189"/>
      <c r="AU877" s="190"/>
      <c r="AV877" s="190"/>
      <c r="AW877" s="190"/>
      <c r="AX877" s="190"/>
      <c r="AY877" s="190"/>
      <c r="AZ877" s="189"/>
      <c r="BA877" s="189"/>
      <c r="BB877" s="189"/>
      <c r="BC877" s="189"/>
      <c r="BD877" s="189"/>
      <c r="BE877" s="189"/>
      <c r="BF877" s="189"/>
      <c r="BG877" s="189"/>
      <c r="BH877" s="189"/>
      <c r="BI877" s="190"/>
      <c r="BJ877" s="190"/>
      <c r="BK877" s="190"/>
      <c r="BL877" s="190"/>
      <c r="BM877" s="190"/>
      <c r="BN877" s="190"/>
      <c r="BO877" s="190"/>
      <c r="BP877" s="190"/>
      <c r="BQ877" s="190"/>
      <c r="BR877" s="190"/>
      <c r="BS877" s="190"/>
      <c r="BT877" s="190"/>
      <c r="BU877" s="190"/>
      <c r="BV877" s="190"/>
      <c r="BW877" s="190"/>
      <c r="BX877" s="190"/>
      <c r="BY877" s="190"/>
      <c r="BZ877" s="190"/>
      <c r="CA877" s="189"/>
      <c r="CB877" s="15"/>
    </row>
    <row r="878" spans="1:80" ht="15" x14ac:dyDescent="0.25">
      <c r="A878" s="167"/>
      <c r="B878" s="642"/>
      <c r="C878" s="642"/>
      <c r="D878" s="179"/>
      <c r="E878" s="169"/>
      <c r="F878" s="169"/>
      <c r="G878" s="187"/>
      <c r="H878" s="187"/>
      <c r="I878" s="187"/>
      <c r="J878" s="187"/>
      <c r="K878" s="187"/>
      <c r="L878" s="647"/>
      <c r="M878" s="646">
        <v>33776</v>
      </c>
      <c r="N878" s="585">
        <v>4.5599999999999996</v>
      </c>
      <c r="O878" s="585">
        <v>0.17011000000000001</v>
      </c>
      <c r="P878" s="175">
        <v>0</v>
      </c>
      <c r="Q878" s="175">
        <v>2.0539999999999999E-2</v>
      </c>
      <c r="R878" s="175">
        <v>1.013E-2</v>
      </c>
      <c r="S878" s="175">
        <v>2.1319999999999999E-2</v>
      </c>
      <c r="T878" s="175">
        <v>2.5780000000000001E-2</v>
      </c>
      <c r="U878" s="175">
        <v>3.4270000000000002E-2</v>
      </c>
      <c r="V878" s="706">
        <v>5.808E-2</v>
      </c>
      <c r="W878" s="717"/>
      <c r="X878" s="713"/>
      <c r="Y878" s="718"/>
      <c r="Z878" s="709">
        <v>74</v>
      </c>
      <c r="AA878" s="175"/>
      <c r="AB878" s="200"/>
      <c r="AC878" s="205">
        <v>1.7999999999999999E-2</v>
      </c>
      <c r="AD878" s="175">
        <v>7.9</v>
      </c>
      <c r="AE878" s="175">
        <v>0</v>
      </c>
      <c r="AF878" s="175">
        <v>0</v>
      </c>
      <c r="AG878" s="175">
        <v>0</v>
      </c>
      <c r="AH878" s="334"/>
      <c r="AI878" s="188"/>
      <c r="AJ878" s="188"/>
      <c r="AK878" s="188"/>
      <c r="AL878" s="189"/>
      <c r="AM878" s="189"/>
      <c r="AN878" s="189"/>
      <c r="AO878" s="189"/>
      <c r="AP878" s="189"/>
      <c r="AQ878" s="189"/>
      <c r="AR878" s="189"/>
      <c r="AS878" s="189"/>
      <c r="AT878" s="189"/>
      <c r="AU878" s="190"/>
      <c r="AV878" s="190"/>
      <c r="AW878" s="190"/>
      <c r="AX878" s="190"/>
      <c r="AY878" s="190"/>
      <c r="AZ878" s="189"/>
      <c r="BA878" s="189"/>
      <c r="BB878" s="189"/>
      <c r="BC878" s="189"/>
      <c r="BD878" s="189"/>
      <c r="BE878" s="189"/>
      <c r="BF878" s="189"/>
      <c r="BG878" s="189"/>
      <c r="BH878" s="189"/>
      <c r="BI878" s="190"/>
      <c r="BJ878" s="190"/>
      <c r="BK878" s="190"/>
      <c r="BL878" s="190"/>
      <c r="BM878" s="190"/>
      <c r="BN878" s="190"/>
      <c r="BO878" s="190"/>
      <c r="BP878" s="190"/>
      <c r="BQ878" s="190"/>
      <c r="BR878" s="190"/>
      <c r="BS878" s="190"/>
      <c r="BT878" s="190"/>
      <c r="BU878" s="190"/>
      <c r="BV878" s="190"/>
      <c r="BW878" s="190"/>
      <c r="BX878" s="190"/>
      <c r="BY878" s="190"/>
      <c r="BZ878" s="190"/>
      <c r="CA878" s="189"/>
      <c r="CB878" s="15"/>
    </row>
    <row r="879" spans="1:80" ht="15" x14ac:dyDescent="0.25">
      <c r="A879" s="167"/>
      <c r="B879" s="642"/>
      <c r="C879" s="642"/>
      <c r="D879" s="179"/>
      <c r="E879" s="169"/>
      <c r="F879" s="169"/>
      <c r="G879" s="187"/>
      <c r="H879" s="187"/>
      <c r="I879" s="187"/>
      <c r="J879" s="187"/>
      <c r="K879" s="187"/>
      <c r="L879" s="647"/>
      <c r="M879" s="646">
        <v>33776</v>
      </c>
      <c r="N879" s="585">
        <v>4.5599999999999996</v>
      </c>
      <c r="O879" s="585">
        <v>8.2290000000000002E-2</v>
      </c>
      <c r="P879" s="175">
        <v>0</v>
      </c>
      <c r="Q879" s="175">
        <v>0</v>
      </c>
      <c r="R879" s="175">
        <v>7.0800000000000004E-3</v>
      </c>
      <c r="S879" s="175">
        <v>9.5700000000000004E-3</v>
      </c>
      <c r="T879" s="175">
        <v>1.2319999999999999E-2</v>
      </c>
      <c r="U879" s="175">
        <v>1.8460000000000001E-2</v>
      </c>
      <c r="V879" s="706">
        <v>3.4869999999999998E-2</v>
      </c>
      <c r="W879" s="717"/>
      <c r="X879" s="713"/>
      <c r="Y879" s="718"/>
      <c r="Z879" s="709">
        <v>45</v>
      </c>
      <c r="AA879" s="175"/>
      <c r="AB879" s="200"/>
      <c r="AC879" s="205">
        <v>0</v>
      </c>
      <c r="AD879" s="175">
        <v>8.6</v>
      </c>
      <c r="AE879" s="175">
        <v>0.38</v>
      </c>
      <c r="AF879" s="170">
        <f t="shared" si="16"/>
        <v>3.2679999999999998</v>
      </c>
      <c r="AG879" s="175">
        <v>1.42</v>
      </c>
      <c r="AH879" s="334"/>
      <c r="AI879" s="188"/>
      <c r="AJ879" s="188"/>
      <c r="AK879" s="188"/>
      <c r="AL879" s="189"/>
      <c r="AM879" s="189"/>
      <c r="AN879" s="189"/>
      <c r="AO879" s="189"/>
      <c r="AP879" s="189"/>
      <c r="AQ879" s="189"/>
      <c r="AR879" s="189"/>
      <c r="AS879" s="189"/>
      <c r="AT879" s="189"/>
      <c r="AU879" s="190"/>
      <c r="AV879" s="190"/>
      <c r="AW879" s="190"/>
      <c r="AX879" s="190"/>
      <c r="AY879" s="190"/>
      <c r="AZ879" s="189"/>
      <c r="BA879" s="189"/>
      <c r="BB879" s="189"/>
      <c r="BC879" s="189"/>
      <c r="BD879" s="189"/>
      <c r="BE879" s="189"/>
      <c r="BF879" s="189"/>
      <c r="BG879" s="189"/>
      <c r="BH879" s="189"/>
      <c r="BI879" s="190"/>
      <c r="BJ879" s="190"/>
      <c r="BK879" s="190"/>
      <c r="BL879" s="190"/>
      <c r="BM879" s="190"/>
      <c r="BN879" s="190"/>
      <c r="BO879" s="190"/>
      <c r="BP879" s="190"/>
      <c r="BQ879" s="190"/>
      <c r="BR879" s="190"/>
      <c r="BS879" s="190"/>
      <c r="BT879" s="190"/>
      <c r="BU879" s="190"/>
      <c r="BV879" s="190"/>
      <c r="BW879" s="190"/>
      <c r="BX879" s="190"/>
      <c r="BY879" s="190"/>
      <c r="BZ879" s="190"/>
      <c r="CA879" s="189"/>
      <c r="CB879" s="15"/>
    </row>
    <row r="880" spans="1:80" ht="15" x14ac:dyDescent="0.25">
      <c r="A880" s="167"/>
      <c r="B880" s="642"/>
      <c r="C880" s="642"/>
      <c r="D880" s="179"/>
      <c r="E880" s="169"/>
      <c r="F880" s="169"/>
      <c r="G880" s="187"/>
      <c r="H880" s="187"/>
      <c r="I880" s="187"/>
      <c r="J880" s="187"/>
      <c r="K880" s="187"/>
      <c r="L880" s="647"/>
      <c r="M880" s="646">
        <v>33776</v>
      </c>
      <c r="N880" s="585">
        <v>5.08</v>
      </c>
      <c r="O880" s="585">
        <v>0.17238000000000001</v>
      </c>
      <c r="P880" s="175">
        <v>0</v>
      </c>
      <c r="Q880" s="175">
        <v>1.208E-2</v>
      </c>
      <c r="R880" s="175">
        <v>1.4250000000000001E-2</v>
      </c>
      <c r="S880" s="175">
        <v>2.717E-2</v>
      </c>
      <c r="T880" s="175">
        <v>3.2169999999999997E-2</v>
      </c>
      <c r="U880" s="175">
        <v>3.2919999999999998E-2</v>
      </c>
      <c r="V880" s="706">
        <v>5.3800000000000001E-2</v>
      </c>
      <c r="W880" s="717"/>
      <c r="X880" s="713"/>
      <c r="Y880" s="718"/>
      <c r="Z880" s="709">
        <v>55</v>
      </c>
      <c r="AA880" s="175"/>
      <c r="AB880" s="200"/>
      <c r="AC880" s="205">
        <v>1.9E-2</v>
      </c>
      <c r="AD880" s="175">
        <v>8.6</v>
      </c>
      <c r="AE880" s="175">
        <v>0.42</v>
      </c>
      <c r="AF880" s="170">
        <f t="shared" si="16"/>
        <v>3.6119999999999997</v>
      </c>
      <c r="AG880" s="175">
        <v>1.51</v>
      </c>
      <c r="AH880" s="334"/>
      <c r="AI880" s="188"/>
      <c r="AJ880" s="188"/>
      <c r="AK880" s="188"/>
      <c r="AL880" s="189"/>
      <c r="AM880" s="189"/>
      <c r="AN880" s="189"/>
      <c r="AO880" s="189"/>
      <c r="AP880" s="189"/>
      <c r="AQ880" s="189"/>
      <c r="AR880" s="189"/>
      <c r="AS880" s="189"/>
      <c r="AT880" s="189"/>
      <c r="AU880" s="190"/>
      <c r="AV880" s="190"/>
      <c r="AW880" s="190"/>
      <c r="AX880" s="190"/>
      <c r="AY880" s="190"/>
      <c r="AZ880" s="189"/>
      <c r="BA880" s="189"/>
      <c r="BB880" s="189"/>
      <c r="BC880" s="189"/>
      <c r="BD880" s="189"/>
      <c r="BE880" s="189"/>
      <c r="BF880" s="189"/>
      <c r="BG880" s="189"/>
      <c r="BH880" s="189"/>
      <c r="BI880" s="190"/>
      <c r="BJ880" s="190"/>
      <c r="BK880" s="190"/>
      <c r="BL880" s="190"/>
      <c r="BM880" s="190"/>
      <c r="BN880" s="190"/>
      <c r="BO880" s="190"/>
      <c r="BP880" s="190"/>
      <c r="BQ880" s="190"/>
      <c r="BR880" s="190"/>
      <c r="BS880" s="190"/>
      <c r="BT880" s="190"/>
      <c r="BU880" s="190"/>
      <c r="BV880" s="190"/>
      <c r="BW880" s="190"/>
      <c r="BX880" s="190"/>
      <c r="BY880" s="190"/>
      <c r="BZ880" s="190"/>
      <c r="CA880" s="189"/>
      <c r="CB880" s="15"/>
    </row>
    <row r="881" spans="1:80" ht="15" x14ac:dyDescent="0.25">
      <c r="A881" s="167"/>
      <c r="B881" s="642"/>
      <c r="C881" s="642"/>
      <c r="D881" s="179"/>
      <c r="E881" s="169"/>
      <c r="F881" s="169"/>
      <c r="G881" s="187"/>
      <c r="H881" s="187"/>
      <c r="I881" s="187"/>
      <c r="J881" s="187"/>
      <c r="K881" s="187"/>
      <c r="L881" s="647"/>
      <c r="M881" s="646">
        <v>33776</v>
      </c>
      <c r="N881" s="585">
        <v>4.7699999999999996</v>
      </c>
      <c r="O881" s="585">
        <v>0.18820000000000001</v>
      </c>
      <c r="P881" s="175">
        <v>0</v>
      </c>
      <c r="Q881" s="175">
        <v>4.0600000000000002E-3</v>
      </c>
      <c r="R881" s="175">
        <v>2.5700000000000001E-2</v>
      </c>
      <c r="S881" s="175">
        <v>2.682E-2</v>
      </c>
      <c r="T881" s="175">
        <v>3.1510000000000003E-2</v>
      </c>
      <c r="U881" s="175">
        <v>3.601E-2</v>
      </c>
      <c r="V881" s="706">
        <v>6.411E-2</v>
      </c>
      <c r="W881" s="717"/>
      <c r="X881" s="713"/>
      <c r="Y881" s="718"/>
      <c r="Z881" s="709">
        <v>41</v>
      </c>
      <c r="AA881" s="175"/>
      <c r="AB881" s="200"/>
      <c r="AC881" s="205">
        <v>0.01</v>
      </c>
      <c r="AD881" s="175">
        <v>8.6999999999999993</v>
      </c>
      <c r="AE881" s="175">
        <v>0.39</v>
      </c>
      <c r="AF881" s="170">
        <f t="shared" si="16"/>
        <v>3.3929999999999998</v>
      </c>
      <c r="AG881" s="175">
        <v>1.39</v>
      </c>
      <c r="AH881" s="334"/>
      <c r="AI881" s="188"/>
      <c r="AJ881" s="188"/>
      <c r="AK881" s="188"/>
      <c r="AL881" s="189"/>
      <c r="AM881" s="189"/>
      <c r="AN881" s="189"/>
      <c r="AO881" s="189"/>
      <c r="AP881" s="189"/>
      <c r="AQ881" s="189"/>
      <c r="AR881" s="189"/>
      <c r="AS881" s="189"/>
      <c r="AT881" s="189"/>
      <c r="AU881" s="190"/>
      <c r="AV881" s="190"/>
      <c r="AW881" s="190"/>
      <c r="AX881" s="190"/>
      <c r="AY881" s="190"/>
      <c r="AZ881" s="189"/>
      <c r="BA881" s="189"/>
      <c r="BB881" s="189"/>
      <c r="BC881" s="189"/>
      <c r="BD881" s="189"/>
      <c r="BE881" s="189"/>
      <c r="BF881" s="189"/>
      <c r="BG881" s="189"/>
      <c r="BH881" s="189"/>
      <c r="BI881" s="190"/>
      <c r="BJ881" s="190"/>
      <c r="BK881" s="190"/>
      <c r="BL881" s="190"/>
      <c r="BM881" s="190"/>
      <c r="BN881" s="190"/>
      <c r="BO881" s="190"/>
      <c r="BP881" s="190"/>
      <c r="BQ881" s="190"/>
      <c r="BR881" s="190"/>
      <c r="BS881" s="190"/>
      <c r="BT881" s="190"/>
      <c r="BU881" s="190"/>
      <c r="BV881" s="190"/>
      <c r="BW881" s="190"/>
      <c r="BX881" s="190"/>
      <c r="BY881" s="190"/>
      <c r="BZ881" s="190"/>
      <c r="CA881" s="189"/>
      <c r="CB881" s="15"/>
    </row>
    <row r="882" spans="1:80" ht="15" x14ac:dyDescent="0.25">
      <c r="A882" s="167"/>
      <c r="B882" s="642"/>
      <c r="C882" s="642"/>
      <c r="D882" s="179"/>
      <c r="E882" s="169"/>
      <c r="F882" s="169"/>
      <c r="G882" s="187"/>
      <c r="H882" s="187"/>
      <c r="I882" s="187"/>
      <c r="J882" s="187"/>
      <c r="K882" s="187"/>
      <c r="L882" s="647"/>
      <c r="M882" s="646">
        <v>33777</v>
      </c>
      <c r="N882" s="585">
        <v>4.41</v>
      </c>
      <c r="O882" s="585">
        <v>0.12135</v>
      </c>
      <c r="P882" s="175">
        <v>0</v>
      </c>
      <c r="Q882" s="175">
        <v>8.6599999999999993E-3</v>
      </c>
      <c r="R882" s="175">
        <v>5.3400000000000001E-3</v>
      </c>
      <c r="S882" s="175">
        <v>1.529E-2</v>
      </c>
      <c r="T882" s="175">
        <v>1.9789999999999999E-2</v>
      </c>
      <c r="U882" s="175">
        <v>2.5919999999999999E-2</v>
      </c>
      <c r="V882" s="706">
        <v>4.6350000000000002E-2</v>
      </c>
      <c r="W882" s="717"/>
      <c r="X882" s="713"/>
      <c r="Y882" s="718"/>
      <c r="Z882" s="709">
        <v>46</v>
      </c>
      <c r="AA882" s="175"/>
      <c r="AB882" s="200"/>
      <c r="AC882" s="205">
        <v>8.0000000000000002E-3</v>
      </c>
      <c r="AD882" s="175">
        <v>8.6999999999999993</v>
      </c>
      <c r="AE882" s="175">
        <v>0.38</v>
      </c>
      <c r="AF882" s="170">
        <f t="shared" si="16"/>
        <v>3.3059999999999996</v>
      </c>
      <c r="AG882" s="175">
        <v>1.33</v>
      </c>
      <c r="AH882" s="334"/>
      <c r="AI882" s="188"/>
      <c r="AJ882" s="188"/>
      <c r="AK882" s="188"/>
      <c r="AL882" s="189"/>
      <c r="AM882" s="189"/>
      <c r="AN882" s="189"/>
      <c r="AO882" s="189"/>
      <c r="AP882" s="189"/>
      <c r="AQ882" s="189"/>
      <c r="AR882" s="189"/>
      <c r="AS882" s="189"/>
      <c r="AT882" s="189"/>
      <c r="AU882" s="190"/>
      <c r="AV882" s="190"/>
      <c r="AW882" s="190"/>
      <c r="AX882" s="190"/>
      <c r="AY882" s="190"/>
      <c r="AZ882" s="189"/>
      <c r="BA882" s="189"/>
      <c r="BB882" s="189"/>
      <c r="BC882" s="189"/>
      <c r="BD882" s="189"/>
      <c r="BE882" s="189"/>
      <c r="BF882" s="189"/>
      <c r="BG882" s="189"/>
      <c r="BH882" s="189"/>
      <c r="BI882" s="190"/>
      <c r="BJ882" s="190"/>
      <c r="BK882" s="190"/>
      <c r="BL882" s="190"/>
      <c r="BM882" s="190"/>
      <c r="BN882" s="190"/>
      <c r="BO882" s="190"/>
      <c r="BP882" s="190"/>
      <c r="BQ882" s="190"/>
      <c r="BR882" s="190"/>
      <c r="BS882" s="190"/>
      <c r="BT882" s="190"/>
      <c r="BU882" s="190"/>
      <c r="BV882" s="190"/>
      <c r="BW882" s="190"/>
      <c r="BX882" s="190"/>
      <c r="BY882" s="190"/>
      <c r="BZ882" s="190"/>
      <c r="CA882" s="189"/>
      <c r="CB882" s="15"/>
    </row>
    <row r="883" spans="1:80" ht="15" x14ac:dyDescent="0.25">
      <c r="A883" s="167"/>
      <c r="B883" s="642"/>
      <c r="C883" s="642"/>
      <c r="D883" s="179"/>
      <c r="E883" s="169"/>
      <c r="F883" s="169"/>
      <c r="G883" s="187"/>
      <c r="H883" s="187"/>
      <c r="I883" s="187"/>
      <c r="J883" s="187"/>
      <c r="K883" s="187"/>
      <c r="L883" s="647"/>
      <c r="M883" s="646">
        <v>33777</v>
      </c>
      <c r="N883" s="585">
        <v>4.1100000000000003</v>
      </c>
      <c r="O883" s="585">
        <v>0.13235</v>
      </c>
      <c r="P883" s="175">
        <v>0</v>
      </c>
      <c r="Q883" s="175">
        <v>4.4589999999999998E-2</v>
      </c>
      <c r="R883" s="175">
        <v>7.0099999999999997E-3</v>
      </c>
      <c r="S883" s="175">
        <v>1.282E-2</v>
      </c>
      <c r="T883" s="175">
        <v>1.252E-2</v>
      </c>
      <c r="U883" s="175">
        <v>1.8290000000000001E-2</v>
      </c>
      <c r="V883" s="706">
        <v>3.712E-2</v>
      </c>
      <c r="W883" s="717"/>
      <c r="X883" s="713"/>
      <c r="Y883" s="718"/>
      <c r="Z883" s="709">
        <v>69</v>
      </c>
      <c r="AA883" s="175"/>
      <c r="AB883" s="200"/>
      <c r="AC883" s="205">
        <v>1.2999999999999999E-2</v>
      </c>
      <c r="AD883" s="175">
        <v>8.1999999999999993</v>
      </c>
      <c r="AE883" s="175">
        <v>0.38</v>
      </c>
      <c r="AF883" s="170">
        <f t="shared" si="16"/>
        <v>3.1159999999999997</v>
      </c>
      <c r="AG883" s="175">
        <v>1.26</v>
      </c>
      <c r="AH883" s="334"/>
      <c r="AI883" s="188"/>
      <c r="AJ883" s="188"/>
      <c r="AK883" s="188"/>
      <c r="AL883" s="189"/>
      <c r="AM883" s="189"/>
      <c r="AN883" s="189"/>
      <c r="AO883" s="189"/>
      <c r="AP883" s="189"/>
      <c r="AQ883" s="189"/>
      <c r="AR883" s="189"/>
      <c r="AS883" s="189"/>
      <c r="AT883" s="189"/>
      <c r="AU883" s="190"/>
      <c r="AV883" s="190"/>
      <c r="AW883" s="190"/>
      <c r="AX883" s="190"/>
      <c r="AY883" s="190"/>
      <c r="AZ883" s="189"/>
      <c r="BA883" s="189"/>
      <c r="BB883" s="189"/>
      <c r="BC883" s="189"/>
      <c r="BD883" s="189"/>
      <c r="BE883" s="189"/>
      <c r="BF883" s="189"/>
      <c r="BG883" s="189"/>
      <c r="BH883" s="189"/>
      <c r="BI883" s="190"/>
      <c r="BJ883" s="190"/>
      <c r="BK883" s="190"/>
      <c r="BL883" s="190"/>
      <c r="BM883" s="190"/>
      <c r="BN883" s="190"/>
      <c r="BO883" s="190"/>
      <c r="BP883" s="190"/>
      <c r="BQ883" s="190"/>
      <c r="BR883" s="190"/>
      <c r="BS883" s="190"/>
      <c r="BT883" s="190"/>
      <c r="BU883" s="190"/>
      <c r="BV883" s="190"/>
      <c r="BW883" s="190"/>
      <c r="BX883" s="190"/>
      <c r="BY883" s="190"/>
      <c r="BZ883" s="190"/>
      <c r="CA883" s="189"/>
      <c r="CB883" s="15"/>
    </row>
    <row r="884" spans="1:80" ht="15" x14ac:dyDescent="0.25">
      <c r="A884" s="167"/>
      <c r="B884" s="642"/>
      <c r="C884" s="642"/>
      <c r="D884" s="179"/>
      <c r="E884" s="169"/>
      <c r="F884" s="169"/>
      <c r="G884" s="187"/>
      <c r="H884" s="187"/>
      <c r="I884" s="187"/>
      <c r="J884" s="187"/>
      <c r="K884" s="187"/>
      <c r="L884" s="647"/>
      <c r="M884" s="646">
        <v>33777</v>
      </c>
      <c r="N884" s="585">
        <v>3.86</v>
      </c>
      <c r="O884" s="585">
        <v>0.12235</v>
      </c>
      <c r="P884" s="175">
        <v>0</v>
      </c>
      <c r="Q884" s="175">
        <v>3.4199999999999999E-3</v>
      </c>
      <c r="R884" s="175">
        <v>4.0600000000000002E-3</v>
      </c>
      <c r="S884" s="175">
        <v>1.3599999999999999E-2</v>
      </c>
      <c r="T884" s="175">
        <v>2.3199999999999998E-2</v>
      </c>
      <c r="U884" s="175">
        <v>3.0620000000000001E-2</v>
      </c>
      <c r="V884" s="706">
        <v>4.7440000000000003E-2</v>
      </c>
      <c r="W884" s="717"/>
      <c r="X884" s="713"/>
      <c r="Y884" s="718"/>
      <c r="Z884" s="709">
        <v>36</v>
      </c>
      <c r="AA884" s="175"/>
      <c r="AB884" s="200"/>
      <c r="AC884" s="205">
        <v>1.2E-2</v>
      </c>
      <c r="AD884" s="175">
        <v>8.1999999999999993</v>
      </c>
      <c r="AE884" s="175">
        <v>0.37</v>
      </c>
      <c r="AF884" s="170">
        <f t="shared" si="16"/>
        <v>3.0339999999999998</v>
      </c>
      <c r="AG884" s="175">
        <v>1.23</v>
      </c>
      <c r="AH884" s="334"/>
      <c r="AI884" s="188"/>
      <c r="AJ884" s="188"/>
      <c r="AK884" s="188"/>
      <c r="AL884" s="189"/>
      <c r="AM884" s="189"/>
      <c r="AN884" s="189"/>
      <c r="AO884" s="189"/>
      <c r="AP884" s="189"/>
      <c r="AQ884" s="189"/>
      <c r="AR884" s="189"/>
      <c r="AS884" s="189"/>
      <c r="AT884" s="189"/>
      <c r="AU884" s="190"/>
      <c r="AV884" s="190"/>
      <c r="AW884" s="190"/>
      <c r="AX884" s="190"/>
      <c r="AY884" s="190"/>
      <c r="AZ884" s="189"/>
      <c r="BA884" s="189"/>
      <c r="BB884" s="189"/>
      <c r="BC884" s="189"/>
      <c r="BD884" s="189"/>
      <c r="BE884" s="189"/>
      <c r="BF884" s="189"/>
      <c r="BG884" s="189"/>
      <c r="BH884" s="189"/>
      <c r="BI884" s="190"/>
      <c r="BJ884" s="190"/>
      <c r="BK884" s="190"/>
      <c r="BL884" s="190"/>
      <c r="BM884" s="190"/>
      <c r="BN884" s="190"/>
      <c r="BO884" s="190"/>
      <c r="BP884" s="190"/>
      <c r="BQ884" s="190"/>
      <c r="BR884" s="190"/>
      <c r="BS884" s="190"/>
      <c r="BT884" s="190"/>
      <c r="BU884" s="190"/>
      <c r="BV884" s="190"/>
      <c r="BW884" s="190"/>
      <c r="BX884" s="190"/>
      <c r="BY884" s="190"/>
      <c r="BZ884" s="190"/>
      <c r="CA884" s="189"/>
      <c r="CB884" s="15"/>
    </row>
    <row r="885" spans="1:80" ht="15" x14ac:dyDescent="0.25">
      <c r="A885" s="167"/>
      <c r="B885" s="642"/>
      <c r="C885" s="642"/>
      <c r="D885" s="179"/>
      <c r="E885" s="169"/>
      <c r="F885" s="169"/>
      <c r="G885" s="187"/>
      <c r="H885" s="187"/>
      <c r="I885" s="187"/>
      <c r="J885" s="187"/>
      <c r="K885" s="187"/>
      <c r="L885" s="647"/>
      <c r="M885" s="646">
        <v>33777</v>
      </c>
      <c r="N885" s="585">
        <v>4.21</v>
      </c>
      <c r="O885" s="585">
        <v>7.5469999999999995E-2</v>
      </c>
      <c r="P885" s="175">
        <v>0</v>
      </c>
      <c r="Q885" s="175">
        <v>0</v>
      </c>
      <c r="R885" s="175">
        <v>4.1599999999999996E-3</v>
      </c>
      <c r="S885" s="175">
        <v>8.6899999999999998E-3</v>
      </c>
      <c r="T885" s="175">
        <v>1.2200000000000001E-2</v>
      </c>
      <c r="U885" s="175">
        <v>1.6629999999999999E-2</v>
      </c>
      <c r="V885" s="706">
        <v>3.3790000000000001E-2</v>
      </c>
      <c r="W885" s="717"/>
      <c r="X885" s="713"/>
      <c r="Y885" s="718"/>
      <c r="Z885" s="709">
        <v>25</v>
      </c>
      <c r="AA885" s="175"/>
      <c r="AB885" s="200"/>
      <c r="AC885" s="205">
        <v>1.0999999999999999E-2</v>
      </c>
      <c r="AD885" s="175">
        <v>8.3000000000000007</v>
      </c>
      <c r="AE885" s="175">
        <v>0</v>
      </c>
      <c r="AF885" s="175">
        <v>0</v>
      </c>
      <c r="AG885" s="175">
        <v>0</v>
      </c>
      <c r="AH885" s="334"/>
      <c r="AI885" s="188"/>
      <c r="AJ885" s="188"/>
      <c r="AK885" s="188"/>
      <c r="AL885" s="189"/>
      <c r="AM885" s="189"/>
      <c r="AN885" s="189"/>
      <c r="AO885" s="189"/>
      <c r="AP885" s="189"/>
      <c r="AQ885" s="189"/>
      <c r="AR885" s="189"/>
      <c r="AS885" s="189"/>
      <c r="AT885" s="189"/>
      <c r="AU885" s="190"/>
      <c r="AV885" s="190"/>
      <c r="AW885" s="190"/>
      <c r="AX885" s="190"/>
      <c r="AY885" s="190"/>
      <c r="AZ885" s="189"/>
      <c r="BA885" s="189"/>
      <c r="BB885" s="189"/>
      <c r="BC885" s="189"/>
      <c r="BD885" s="189"/>
      <c r="BE885" s="189"/>
      <c r="BF885" s="189"/>
      <c r="BG885" s="189"/>
      <c r="BH885" s="189"/>
      <c r="BI885" s="190"/>
      <c r="BJ885" s="190"/>
      <c r="BK885" s="190"/>
      <c r="BL885" s="190"/>
      <c r="BM885" s="190"/>
      <c r="BN885" s="190"/>
      <c r="BO885" s="190"/>
      <c r="BP885" s="190"/>
      <c r="BQ885" s="190"/>
      <c r="BR885" s="190"/>
      <c r="BS885" s="190"/>
      <c r="BT885" s="190"/>
      <c r="BU885" s="190"/>
      <c r="BV885" s="190"/>
      <c r="BW885" s="190"/>
      <c r="BX885" s="190"/>
      <c r="BY885" s="190"/>
      <c r="BZ885" s="190"/>
      <c r="CA885" s="189"/>
      <c r="CB885" s="15"/>
    </row>
    <row r="886" spans="1:80" ht="15" x14ac:dyDescent="0.25">
      <c r="A886" s="167"/>
      <c r="B886" s="642"/>
      <c r="C886" s="642"/>
      <c r="D886" s="179"/>
      <c r="E886" s="169"/>
      <c r="F886" s="169"/>
      <c r="G886" s="187"/>
      <c r="H886" s="187"/>
      <c r="I886" s="187"/>
      <c r="J886" s="187"/>
      <c r="K886" s="187"/>
      <c r="L886" s="647"/>
      <c r="M886" s="646">
        <v>33777</v>
      </c>
      <c r="N886" s="585">
        <v>4.26</v>
      </c>
      <c r="O886" s="585">
        <v>4.8579999999999998E-2</v>
      </c>
      <c r="P886" s="175">
        <v>0</v>
      </c>
      <c r="Q886" s="175">
        <v>0</v>
      </c>
      <c r="R886" s="175">
        <v>1.7799999999999999E-3</v>
      </c>
      <c r="S886" s="175">
        <v>3.4299999999999999E-3</v>
      </c>
      <c r="T886" s="175">
        <v>5.5500000000000002E-3</v>
      </c>
      <c r="U886" s="175">
        <v>9.8099999999999993E-3</v>
      </c>
      <c r="V886" s="706">
        <v>2.8000000000000001E-2</v>
      </c>
      <c r="W886" s="717"/>
      <c r="X886" s="713"/>
      <c r="Y886" s="718"/>
      <c r="Z886" s="709">
        <v>31</v>
      </c>
      <c r="AA886" s="175"/>
      <c r="AB886" s="200"/>
      <c r="AC886" s="205">
        <v>0</v>
      </c>
      <c r="AD886" s="175">
        <v>8.3000000000000007</v>
      </c>
      <c r="AE886" s="175">
        <v>0</v>
      </c>
      <c r="AF886" s="175">
        <v>0</v>
      </c>
      <c r="AG886" s="175">
        <v>0</v>
      </c>
      <c r="AH886" s="334"/>
      <c r="AI886" s="188"/>
      <c r="AJ886" s="188"/>
      <c r="AK886" s="188"/>
      <c r="AL886" s="189"/>
      <c r="AM886" s="189"/>
      <c r="AN886" s="189"/>
      <c r="AO886" s="189"/>
      <c r="AP886" s="189"/>
      <c r="AQ886" s="189"/>
      <c r="AR886" s="189"/>
      <c r="AS886" s="189"/>
      <c r="AT886" s="189"/>
      <c r="AU886" s="190"/>
      <c r="AV886" s="190"/>
      <c r="AW886" s="190"/>
      <c r="AX886" s="190"/>
      <c r="AY886" s="190"/>
      <c r="AZ886" s="189"/>
      <c r="BA886" s="189"/>
      <c r="BB886" s="189"/>
      <c r="BC886" s="189"/>
      <c r="BD886" s="189"/>
      <c r="BE886" s="189"/>
      <c r="BF886" s="189"/>
      <c r="BG886" s="189"/>
      <c r="BH886" s="189"/>
      <c r="BI886" s="190"/>
      <c r="BJ886" s="190"/>
      <c r="BK886" s="190"/>
      <c r="BL886" s="190"/>
      <c r="BM886" s="190"/>
      <c r="BN886" s="190"/>
      <c r="BO886" s="190"/>
      <c r="BP886" s="190"/>
      <c r="BQ886" s="190"/>
      <c r="BR886" s="190"/>
      <c r="BS886" s="190"/>
      <c r="BT886" s="190"/>
      <c r="BU886" s="190"/>
      <c r="BV886" s="190"/>
      <c r="BW886" s="190"/>
      <c r="BX886" s="190"/>
      <c r="BY886" s="190"/>
      <c r="BZ886" s="190"/>
      <c r="CA886" s="189"/>
      <c r="CB886" s="15"/>
    </row>
    <row r="887" spans="1:80" ht="15" x14ac:dyDescent="0.25">
      <c r="A887" s="167"/>
      <c r="B887" s="642"/>
      <c r="C887" s="642"/>
      <c r="D887" s="179"/>
      <c r="E887" s="169"/>
      <c r="F887" s="169"/>
      <c r="G887" s="187"/>
      <c r="H887" s="187"/>
      <c r="I887" s="187"/>
      <c r="J887" s="187"/>
      <c r="K887" s="187"/>
      <c r="L887" s="647"/>
      <c r="M887" s="646">
        <v>33777</v>
      </c>
      <c r="N887" s="585">
        <v>4.1100000000000003</v>
      </c>
      <c r="O887" s="585">
        <v>7.9399999999999998E-2</v>
      </c>
      <c r="P887" s="175">
        <v>0</v>
      </c>
      <c r="Q887" s="175">
        <v>1.375E-2</v>
      </c>
      <c r="R887" s="175">
        <v>5.2199999999999998E-3</v>
      </c>
      <c r="S887" s="175">
        <v>4.9899999999999996E-3</v>
      </c>
      <c r="T887" s="175">
        <v>8.5699999999999995E-3</v>
      </c>
      <c r="U887" s="175">
        <v>1.319E-2</v>
      </c>
      <c r="V887" s="706">
        <v>3.3660000000000002E-2</v>
      </c>
      <c r="W887" s="717"/>
      <c r="X887" s="713"/>
      <c r="Y887" s="718"/>
      <c r="Z887" s="709">
        <v>48</v>
      </c>
      <c r="AA887" s="175"/>
      <c r="AB887" s="200"/>
      <c r="AC887" s="205">
        <v>7.0000000000000001E-3</v>
      </c>
      <c r="AD887" s="175">
        <v>8.6</v>
      </c>
      <c r="AE887" s="175">
        <v>0.38</v>
      </c>
      <c r="AF887" s="170">
        <f t="shared" si="16"/>
        <v>3.2679999999999998</v>
      </c>
      <c r="AG887" s="175">
        <v>1.23</v>
      </c>
      <c r="AH887" s="334"/>
      <c r="AI887" s="188"/>
      <c r="AJ887" s="188"/>
      <c r="AK887" s="188"/>
      <c r="AL887" s="189"/>
      <c r="AM887" s="189"/>
      <c r="AN887" s="189"/>
      <c r="AO887" s="189"/>
      <c r="AP887" s="189"/>
      <c r="AQ887" s="189"/>
      <c r="AR887" s="189"/>
      <c r="AS887" s="189"/>
      <c r="AT887" s="189"/>
      <c r="AU887" s="190"/>
      <c r="AV887" s="190"/>
      <c r="AW887" s="190"/>
      <c r="AX887" s="190"/>
      <c r="AY887" s="190"/>
      <c r="AZ887" s="189"/>
      <c r="BA887" s="189"/>
      <c r="BB887" s="189"/>
      <c r="BC887" s="189"/>
      <c r="BD887" s="189"/>
      <c r="BE887" s="189"/>
      <c r="BF887" s="189"/>
      <c r="BG887" s="189"/>
      <c r="BH887" s="189"/>
      <c r="BI887" s="190"/>
      <c r="BJ887" s="190"/>
      <c r="BK887" s="190"/>
      <c r="BL887" s="190"/>
      <c r="BM887" s="190"/>
      <c r="BN887" s="190"/>
      <c r="BO887" s="190"/>
      <c r="BP887" s="190"/>
      <c r="BQ887" s="190"/>
      <c r="BR887" s="190"/>
      <c r="BS887" s="190"/>
      <c r="BT887" s="190"/>
      <c r="BU887" s="190"/>
      <c r="BV887" s="190"/>
      <c r="BW887" s="190"/>
      <c r="BX887" s="190"/>
      <c r="BY887" s="190"/>
      <c r="BZ887" s="190"/>
      <c r="CA887" s="189"/>
      <c r="CB887" s="15"/>
    </row>
    <row r="888" spans="1:80" ht="15" x14ac:dyDescent="0.25">
      <c r="A888" s="167"/>
      <c r="B888" s="642"/>
      <c r="C888" s="642"/>
      <c r="D888" s="179"/>
      <c r="E888" s="169"/>
      <c r="F888" s="169"/>
      <c r="G888" s="187"/>
      <c r="H888" s="187"/>
      <c r="I888" s="187"/>
      <c r="J888" s="187"/>
      <c r="K888" s="187"/>
      <c r="L888" s="647"/>
      <c r="M888" s="646">
        <v>33779</v>
      </c>
      <c r="N888" s="585">
        <v>3.42</v>
      </c>
      <c r="O888" s="585">
        <v>5.3449999999999998E-2</v>
      </c>
      <c r="P888" s="175">
        <v>0</v>
      </c>
      <c r="Q888" s="175">
        <v>0</v>
      </c>
      <c r="R888" s="175">
        <v>4.1399999999999996E-3</v>
      </c>
      <c r="S888" s="175">
        <v>4.5500000000000002E-3</v>
      </c>
      <c r="T888" s="175">
        <v>8.1300000000000001E-3</v>
      </c>
      <c r="U888" s="175">
        <v>1.166E-2</v>
      </c>
      <c r="V888" s="706">
        <v>2.4969999999999999E-2</v>
      </c>
      <c r="W888" s="717"/>
      <c r="X888" s="713"/>
      <c r="Y888" s="718"/>
      <c r="Z888" s="709">
        <v>30</v>
      </c>
      <c r="AA888" s="175"/>
      <c r="AB888" s="200"/>
      <c r="AC888" s="205">
        <v>1.2999999999999999E-2</v>
      </c>
      <c r="AD888" s="175">
        <v>8.36</v>
      </c>
      <c r="AE888" s="175">
        <v>0.34</v>
      </c>
      <c r="AF888" s="170">
        <f t="shared" si="16"/>
        <v>2.8424</v>
      </c>
      <c r="AG888" s="175">
        <v>1.23</v>
      </c>
      <c r="AH888" s="334"/>
      <c r="AI888" s="188"/>
      <c r="AJ888" s="188"/>
      <c r="AK888" s="188"/>
      <c r="AL888" s="189"/>
      <c r="AM888" s="189"/>
      <c r="AN888" s="189"/>
      <c r="AO888" s="189"/>
      <c r="AP888" s="189"/>
      <c r="AQ888" s="189"/>
      <c r="AR888" s="189"/>
      <c r="AS888" s="189"/>
      <c r="AT888" s="189"/>
      <c r="AU888" s="190"/>
      <c r="AV888" s="190"/>
      <c r="AW888" s="190"/>
      <c r="AX888" s="190"/>
      <c r="AY888" s="190"/>
      <c r="AZ888" s="189"/>
      <c r="BA888" s="189"/>
      <c r="BB888" s="189"/>
      <c r="BC888" s="189"/>
      <c r="BD888" s="189"/>
      <c r="BE888" s="189"/>
      <c r="BF888" s="189"/>
      <c r="BG888" s="189"/>
      <c r="BH888" s="189"/>
      <c r="BI888" s="190"/>
      <c r="BJ888" s="190"/>
      <c r="BK888" s="190"/>
      <c r="BL888" s="190"/>
      <c r="BM888" s="190"/>
      <c r="BN888" s="190"/>
      <c r="BO888" s="190"/>
      <c r="BP888" s="190"/>
      <c r="BQ888" s="190"/>
      <c r="BR888" s="190"/>
      <c r="BS888" s="190"/>
      <c r="BT888" s="190"/>
      <c r="BU888" s="190"/>
      <c r="BV888" s="190"/>
      <c r="BW888" s="190"/>
      <c r="BX888" s="190"/>
      <c r="BY888" s="190"/>
      <c r="BZ888" s="190"/>
      <c r="CA888" s="189"/>
      <c r="CB888" s="15"/>
    </row>
    <row r="889" spans="1:80" ht="15" x14ac:dyDescent="0.25">
      <c r="A889" s="167"/>
      <c r="B889" s="642"/>
      <c r="C889" s="642"/>
      <c r="D889" s="179"/>
      <c r="E889" s="169"/>
      <c r="F889" s="169"/>
      <c r="G889" s="187"/>
      <c r="H889" s="187"/>
      <c r="I889" s="187"/>
      <c r="J889" s="187"/>
      <c r="K889" s="187"/>
      <c r="L889" s="647"/>
      <c r="M889" s="646">
        <v>33779</v>
      </c>
      <c r="N889" s="585">
        <v>3.37</v>
      </c>
      <c r="O889" s="585">
        <v>2.3279999999999999E-2</v>
      </c>
      <c r="P889" s="175">
        <v>0</v>
      </c>
      <c r="Q889" s="175">
        <v>0</v>
      </c>
      <c r="R889" s="175">
        <v>1.92E-3</v>
      </c>
      <c r="S889" s="175">
        <v>8.8999999999999995E-4</v>
      </c>
      <c r="T889" s="175">
        <v>2.8900000000000002E-3</v>
      </c>
      <c r="U889" s="175">
        <v>4.7999999999999996E-3</v>
      </c>
      <c r="V889" s="706">
        <v>1.278E-2</v>
      </c>
      <c r="W889" s="717"/>
      <c r="X889" s="713"/>
      <c r="Y889" s="718"/>
      <c r="Z889" s="709">
        <v>22</v>
      </c>
      <c r="AA889" s="175"/>
      <c r="AB889" s="200"/>
      <c r="AC889" s="205">
        <v>1.4E-2</v>
      </c>
      <c r="AD889" s="175">
        <v>8.36</v>
      </c>
      <c r="AE889" s="175">
        <v>0.33</v>
      </c>
      <c r="AF889" s="170">
        <f t="shared" si="16"/>
        <v>2.7587999999999999</v>
      </c>
      <c r="AG889" s="175">
        <v>1.2</v>
      </c>
      <c r="AH889" s="334"/>
      <c r="AI889" s="188"/>
      <c r="AJ889" s="188"/>
      <c r="AK889" s="188"/>
      <c r="AL889" s="189"/>
      <c r="AM889" s="189"/>
      <c r="AN889" s="189"/>
      <c r="AO889" s="189"/>
      <c r="AP889" s="189"/>
      <c r="AQ889" s="189"/>
      <c r="AR889" s="189"/>
      <c r="AS889" s="189"/>
      <c r="AT889" s="189"/>
      <c r="AU889" s="190"/>
      <c r="AV889" s="190"/>
      <c r="AW889" s="190"/>
      <c r="AX889" s="190"/>
      <c r="AY889" s="190"/>
      <c r="AZ889" s="189"/>
      <c r="BA889" s="189"/>
      <c r="BB889" s="189"/>
      <c r="BC889" s="189"/>
      <c r="BD889" s="189"/>
      <c r="BE889" s="189"/>
      <c r="BF889" s="189"/>
      <c r="BG889" s="189"/>
      <c r="BH889" s="189"/>
      <c r="BI889" s="190"/>
      <c r="BJ889" s="190"/>
      <c r="BK889" s="190"/>
      <c r="BL889" s="190"/>
      <c r="BM889" s="190"/>
      <c r="BN889" s="190"/>
      <c r="BO889" s="190"/>
      <c r="BP889" s="190"/>
      <c r="BQ889" s="190"/>
      <c r="BR889" s="190"/>
      <c r="BS889" s="190"/>
      <c r="BT889" s="190"/>
      <c r="BU889" s="190"/>
      <c r="BV889" s="190"/>
      <c r="BW889" s="190"/>
      <c r="BX889" s="190"/>
      <c r="BY889" s="190"/>
      <c r="BZ889" s="190"/>
      <c r="CA889" s="189"/>
      <c r="CB889" s="15"/>
    </row>
    <row r="890" spans="1:80" ht="15" x14ac:dyDescent="0.25">
      <c r="A890" s="167"/>
      <c r="B890" s="642"/>
      <c r="C890" s="642"/>
      <c r="D890" s="179"/>
      <c r="E890" s="169"/>
      <c r="F890" s="169"/>
      <c r="G890" s="187"/>
      <c r="H890" s="187"/>
      <c r="I890" s="187"/>
      <c r="J890" s="187"/>
      <c r="K890" s="187"/>
      <c r="L890" s="647"/>
      <c r="M890" s="646">
        <v>33779</v>
      </c>
      <c r="N890" s="585">
        <v>3.47</v>
      </c>
      <c r="O890" s="585">
        <v>4.6890000000000001E-2</v>
      </c>
      <c r="P890" s="175">
        <v>0</v>
      </c>
      <c r="Q890" s="175">
        <v>4.1700000000000001E-3</v>
      </c>
      <c r="R890" s="175">
        <v>6.6400000000000001E-3</v>
      </c>
      <c r="S890" s="175">
        <v>4.6699999999999997E-3</v>
      </c>
      <c r="T890" s="175">
        <v>6.2100000000000002E-3</v>
      </c>
      <c r="U890" s="175">
        <v>9.3200000000000002E-3</v>
      </c>
      <c r="V890" s="706">
        <v>1.5859999999999999E-2</v>
      </c>
      <c r="W890" s="717"/>
      <c r="X890" s="713"/>
      <c r="Y890" s="718"/>
      <c r="Z890" s="709">
        <v>51</v>
      </c>
      <c r="AA890" s="175"/>
      <c r="AB890" s="200"/>
      <c r="AC890" s="205">
        <v>1.6E-2</v>
      </c>
      <c r="AD890" s="175">
        <v>8</v>
      </c>
      <c r="AE890" s="175">
        <v>0.36</v>
      </c>
      <c r="AF890" s="170">
        <f t="shared" si="16"/>
        <v>2.88</v>
      </c>
      <c r="AG890" s="175">
        <v>1.2</v>
      </c>
      <c r="AH890" s="334"/>
      <c r="AI890" s="188"/>
      <c r="AJ890" s="188"/>
      <c r="AK890" s="188"/>
      <c r="AL890" s="189"/>
      <c r="AM890" s="189"/>
      <c r="AN890" s="189"/>
      <c r="AO890" s="189"/>
      <c r="AP890" s="189"/>
      <c r="AQ890" s="189"/>
      <c r="AR890" s="189"/>
      <c r="AS890" s="189"/>
      <c r="AT890" s="189"/>
      <c r="AU890" s="190"/>
      <c r="AV890" s="190"/>
      <c r="AW890" s="190"/>
      <c r="AX890" s="190"/>
      <c r="AY890" s="190"/>
      <c r="AZ890" s="189"/>
      <c r="BA890" s="189"/>
      <c r="BB890" s="189"/>
      <c r="BC890" s="189"/>
      <c r="BD890" s="189"/>
      <c r="BE890" s="189"/>
      <c r="BF890" s="189"/>
      <c r="BG890" s="189"/>
      <c r="BH890" s="189"/>
      <c r="BI890" s="190"/>
      <c r="BJ890" s="190"/>
      <c r="BK890" s="190"/>
      <c r="BL890" s="190"/>
      <c r="BM890" s="190"/>
      <c r="BN890" s="190"/>
      <c r="BO890" s="190"/>
      <c r="BP890" s="190"/>
      <c r="BQ890" s="190"/>
      <c r="BR890" s="190"/>
      <c r="BS890" s="190"/>
      <c r="BT890" s="190"/>
      <c r="BU890" s="190"/>
      <c r="BV890" s="190"/>
      <c r="BW890" s="190"/>
      <c r="BX890" s="190"/>
      <c r="BY890" s="190"/>
      <c r="BZ890" s="190"/>
      <c r="CA890" s="189"/>
      <c r="CB890" s="15"/>
    </row>
    <row r="891" spans="1:80" ht="15" x14ac:dyDescent="0.25">
      <c r="A891" s="167"/>
      <c r="B891" s="642"/>
      <c r="C891" s="642"/>
      <c r="D891" s="179"/>
      <c r="E891" s="169"/>
      <c r="F891" s="169"/>
      <c r="G891" s="187"/>
      <c r="H891" s="187"/>
      <c r="I891" s="187"/>
      <c r="J891" s="187"/>
      <c r="K891" s="187"/>
      <c r="L891" s="647"/>
      <c r="M891" s="646">
        <v>33779</v>
      </c>
      <c r="N891" s="585">
        <v>3.66</v>
      </c>
      <c r="O891" s="585">
        <v>8.5239999999999996E-2</v>
      </c>
      <c r="P891" s="175">
        <v>0</v>
      </c>
      <c r="Q891" s="175">
        <v>0</v>
      </c>
      <c r="R891" s="175">
        <v>6.3699999999999998E-3</v>
      </c>
      <c r="S891" s="175">
        <v>1.172E-2</v>
      </c>
      <c r="T891" s="175">
        <v>1.4800000000000001E-2</v>
      </c>
      <c r="U891" s="175">
        <v>1.8679999999999999E-2</v>
      </c>
      <c r="V891" s="706">
        <v>3.3669999999999999E-2</v>
      </c>
      <c r="W891" s="717"/>
      <c r="X891" s="713"/>
      <c r="Y891" s="718"/>
      <c r="Z891" s="709">
        <v>30</v>
      </c>
      <c r="AA891" s="175"/>
      <c r="AB891" s="200"/>
      <c r="AC891" s="205">
        <v>1.2999999999999999E-2</v>
      </c>
      <c r="AD891" s="175">
        <v>8.1</v>
      </c>
      <c r="AE891" s="175">
        <v>0.37</v>
      </c>
      <c r="AF891" s="170">
        <f t="shared" si="16"/>
        <v>2.9969999999999999</v>
      </c>
      <c r="AG891" s="175">
        <v>1.18</v>
      </c>
      <c r="AH891" s="334"/>
      <c r="AI891" s="188"/>
      <c r="AJ891" s="188"/>
      <c r="AK891" s="188"/>
      <c r="AL891" s="189"/>
      <c r="AM891" s="189"/>
      <c r="AN891" s="189"/>
      <c r="AO891" s="189"/>
      <c r="AP891" s="189"/>
      <c r="AQ891" s="189"/>
      <c r="AR891" s="189"/>
      <c r="AS891" s="189"/>
      <c r="AT891" s="189"/>
      <c r="AU891" s="190"/>
      <c r="AV891" s="190"/>
      <c r="AW891" s="190"/>
      <c r="AX891" s="190"/>
      <c r="AY891" s="190"/>
      <c r="AZ891" s="189"/>
      <c r="BA891" s="189"/>
      <c r="BB891" s="189"/>
      <c r="BC891" s="189"/>
      <c r="BD891" s="189"/>
      <c r="BE891" s="189"/>
      <c r="BF891" s="189"/>
      <c r="BG891" s="189"/>
      <c r="BH891" s="189"/>
      <c r="BI891" s="190"/>
      <c r="BJ891" s="190"/>
      <c r="BK891" s="190"/>
      <c r="BL891" s="190"/>
      <c r="BM891" s="190"/>
      <c r="BN891" s="190"/>
      <c r="BO891" s="190"/>
      <c r="BP891" s="190"/>
      <c r="BQ891" s="190"/>
      <c r="BR891" s="190"/>
      <c r="BS891" s="190"/>
      <c r="BT891" s="190"/>
      <c r="BU891" s="190"/>
      <c r="BV891" s="190"/>
      <c r="BW891" s="190"/>
      <c r="BX891" s="190"/>
      <c r="BY891" s="190"/>
      <c r="BZ891" s="190"/>
      <c r="CA891" s="189"/>
      <c r="CB891" s="15"/>
    </row>
    <row r="892" spans="1:80" ht="15" x14ac:dyDescent="0.25">
      <c r="A892" s="167"/>
      <c r="B892" s="642"/>
      <c r="C892" s="642"/>
      <c r="D892" s="179"/>
      <c r="E892" s="169"/>
      <c r="F892" s="169"/>
      <c r="G892" s="187"/>
      <c r="H892" s="187"/>
      <c r="I892" s="187"/>
      <c r="J892" s="187"/>
      <c r="K892" s="187"/>
      <c r="L892" s="647"/>
      <c r="M892" s="646">
        <v>33779</v>
      </c>
      <c r="N892" s="585">
        <v>3.52</v>
      </c>
      <c r="O892" s="585">
        <v>5.219E-2</v>
      </c>
      <c r="P892" s="175">
        <v>0</v>
      </c>
      <c r="Q892" s="175">
        <v>0</v>
      </c>
      <c r="R892" s="175">
        <v>0</v>
      </c>
      <c r="S892" s="175">
        <v>4.3200000000000001E-3</v>
      </c>
      <c r="T892" s="175">
        <v>7.4999999999999997E-3</v>
      </c>
      <c r="U892" s="175">
        <v>1.2239999999999999E-2</v>
      </c>
      <c r="V892" s="706">
        <v>2.8129999999999999E-2</v>
      </c>
      <c r="W892" s="717"/>
      <c r="X892" s="713"/>
      <c r="Y892" s="718"/>
      <c r="Z892" s="709">
        <v>17</v>
      </c>
      <c r="AA892" s="175"/>
      <c r="AB892" s="200"/>
      <c r="AC892" s="205">
        <v>2.3E-2</v>
      </c>
      <c r="AD892" s="175">
        <v>8.35</v>
      </c>
      <c r="AE892" s="175">
        <v>0.36</v>
      </c>
      <c r="AF892" s="170">
        <f t="shared" si="16"/>
        <v>3.0059999999999998</v>
      </c>
      <c r="AG892" s="175">
        <v>1.22</v>
      </c>
      <c r="AH892" s="334"/>
      <c r="AI892" s="188"/>
      <c r="AJ892" s="188"/>
      <c r="AK892" s="188"/>
      <c r="AL892" s="189"/>
      <c r="AM892" s="189"/>
      <c r="AN892" s="189"/>
      <c r="AO892" s="189"/>
      <c r="AP892" s="189"/>
      <c r="AQ892" s="189"/>
      <c r="AR892" s="189"/>
      <c r="AS892" s="189"/>
      <c r="AT892" s="189"/>
      <c r="AU892" s="190"/>
      <c r="AV892" s="190"/>
      <c r="AW892" s="190"/>
      <c r="AX892" s="190"/>
      <c r="AY892" s="190"/>
      <c r="AZ892" s="189"/>
      <c r="BA892" s="189"/>
      <c r="BB892" s="189"/>
      <c r="BC892" s="189"/>
      <c r="BD892" s="189"/>
      <c r="BE892" s="189"/>
      <c r="BF892" s="189"/>
      <c r="BG892" s="189"/>
      <c r="BH892" s="189"/>
      <c r="BI892" s="190"/>
      <c r="BJ892" s="190"/>
      <c r="BK892" s="190"/>
      <c r="BL892" s="190"/>
      <c r="BM892" s="190"/>
      <c r="BN892" s="190"/>
      <c r="BO892" s="190"/>
      <c r="BP892" s="190"/>
      <c r="BQ892" s="190"/>
      <c r="BR892" s="190"/>
      <c r="BS892" s="190"/>
      <c r="BT892" s="190"/>
      <c r="BU892" s="190"/>
      <c r="BV892" s="190"/>
      <c r="BW892" s="190"/>
      <c r="BX892" s="190"/>
      <c r="BY892" s="190"/>
      <c r="BZ892" s="190"/>
      <c r="CA892" s="189"/>
      <c r="CB892" s="15"/>
    </row>
    <row r="893" spans="1:80" ht="15" x14ac:dyDescent="0.25">
      <c r="A893" s="167"/>
      <c r="B893" s="642"/>
      <c r="C893" s="642"/>
      <c r="D893" s="179"/>
      <c r="E893" s="169"/>
      <c r="F893" s="169"/>
      <c r="G893" s="187"/>
      <c r="H893" s="187"/>
      <c r="I893" s="187"/>
      <c r="J893" s="187"/>
      <c r="K893" s="187"/>
      <c r="L893" s="647"/>
      <c r="M893" s="646">
        <v>33780</v>
      </c>
      <c r="N893" s="585">
        <v>3.28</v>
      </c>
      <c r="O893" s="585">
        <v>2.7990000000000001E-2</v>
      </c>
      <c r="P893" s="175">
        <v>0</v>
      </c>
      <c r="Q893" s="175">
        <v>0</v>
      </c>
      <c r="R893" s="175">
        <v>0</v>
      </c>
      <c r="S893" s="175">
        <v>3.0100000000000001E-3</v>
      </c>
      <c r="T893" s="175">
        <v>3.5799999999999998E-3</v>
      </c>
      <c r="U893" s="175">
        <v>5.8399999999999997E-3</v>
      </c>
      <c r="V893" s="706">
        <v>1.5559999999999999E-2</v>
      </c>
      <c r="W893" s="717"/>
      <c r="X893" s="713"/>
      <c r="Y893" s="718"/>
      <c r="Z893" s="709">
        <v>16</v>
      </c>
      <c r="AA893" s="175"/>
      <c r="AB893" s="200"/>
      <c r="AC893" s="205">
        <v>1.2999999999999999E-2</v>
      </c>
      <c r="AD893" s="175">
        <v>8.1</v>
      </c>
      <c r="AE893" s="175">
        <v>0.35</v>
      </c>
      <c r="AF893" s="170">
        <f t="shared" si="16"/>
        <v>2.8349999999999995</v>
      </c>
      <c r="AG893" s="175">
        <v>1.18</v>
      </c>
      <c r="AH893" s="334"/>
      <c r="AI893" s="188"/>
      <c r="AJ893" s="188"/>
      <c r="AK893" s="188"/>
      <c r="AL893" s="189"/>
      <c r="AM893" s="189"/>
      <c r="AN893" s="189"/>
      <c r="AO893" s="189"/>
      <c r="AP893" s="189"/>
      <c r="AQ893" s="189"/>
      <c r="AR893" s="189"/>
      <c r="AS893" s="189"/>
      <c r="AT893" s="189"/>
      <c r="AU893" s="190"/>
      <c r="AV893" s="190"/>
      <c r="AW893" s="190"/>
      <c r="AX893" s="190"/>
      <c r="AY893" s="190"/>
      <c r="AZ893" s="189"/>
      <c r="BA893" s="189"/>
      <c r="BB893" s="189"/>
      <c r="BC893" s="189"/>
      <c r="BD893" s="189"/>
      <c r="BE893" s="189"/>
      <c r="BF893" s="189"/>
      <c r="BG893" s="189"/>
      <c r="BH893" s="189"/>
      <c r="BI893" s="190"/>
      <c r="BJ893" s="190"/>
      <c r="BK893" s="190"/>
      <c r="BL893" s="190"/>
      <c r="BM893" s="190"/>
      <c r="BN893" s="190"/>
      <c r="BO893" s="190"/>
      <c r="BP893" s="190"/>
      <c r="BQ893" s="190"/>
      <c r="BR893" s="190"/>
      <c r="BS893" s="190"/>
      <c r="BT893" s="190"/>
      <c r="BU893" s="190"/>
      <c r="BV893" s="190"/>
      <c r="BW893" s="190"/>
      <c r="BX893" s="190"/>
      <c r="BY893" s="190"/>
      <c r="BZ893" s="190"/>
      <c r="CA893" s="189"/>
      <c r="CB893" s="15"/>
    </row>
    <row r="894" spans="1:80" ht="15" x14ac:dyDescent="0.25">
      <c r="A894" s="167"/>
      <c r="B894" s="642"/>
      <c r="C894" s="642"/>
      <c r="D894" s="179"/>
      <c r="E894" s="169"/>
      <c r="F894" s="169"/>
      <c r="G894" s="187"/>
      <c r="H894" s="187"/>
      <c r="I894" s="187"/>
      <c r="J894" s="187"/>
      <c r="K894" s="187"/>
      <c r="L894" s="647"/>
      <c r="M894" s="646">
        <v>33780</v>
      </c>
      <c r="N894" s="585">
        <v>3.18</v>
      </c>
      <c r="O894" s="585">
        <v>4.2229999999999997E-2</v>
      </c>
      <c r="P894" s="175">
        <v>0</v>
      </c>
      <c r="Q894" s="175">
        <v>0</v>
      </c>
      <c r="R894" s="175">
        <v>3.82E-3</v>
      </c>
      <c r="S894" s="175">
        <v>1.5299999999999999E-3</v>
      </c>
      <c r="T894" s="175">
        <v>3.5699999999999998E-3</v>
      </c>
      <c r="U894" s="175">
        <v>8.4200000000000004E-3</v>
      </c>
      <c r="V894" s="706">
        <v>2.4899999999999999E-2</v>
      </c>
      <c r="W894" s="717"/>
      <c r="X894" s="713"/>
      <c r="Y894" s="718"/>
      <c r="Z894" s="709">
        <v>37</v>
      </c>
      <c r="AA894" s="175"/>
      <c r="AB894" s="200"/>
      <c r="AC894" s="205">
        <v>1.6E-2</v>
      </c>
      <c r="AD894" s="175">
        <v>8.1</v>
      </c>
      <c r="AE894" s="175">
        <v>0.35</v>
      </c>
      <c r="AF894" s="170">
        <f t="shared" si="16"/>
        <v>2.8349999999999995</v>
      </c>
      <c r="AG894" s="175">
        <v>1.1599999999999999</v>
      </c>
      <c r="AH894" s="334"/>
      <c r="AI894" s="188"/>
      <c r="AJ894" s="188"/>
      <c r="AK894" s="188"/>
      <c r="AL894" s="189"/>
      <c r="AM894" s="189"/>
      <c r="AN894" s="189"/>
      <c r="AO894" s="189"/>
      <c r="AP894" s="189"/>
      <c r="AQ894" s="189"/>
      <c r="AR894" s="189"/>
      <c r="AS894" s="189"/>
      <c r="AT894" s="189"/>
      <c r="AU894" s="190"/>
      <c r="AV894" s="190"/>
      <c r="AW894" s="190"/>
      <c r="AX894" s="190"/>
      <c r="AY894" s="190"/>
      <c r="AZ894" s="189"/>
      <c r="BA894" s="189"/>
      <c r="BB894" s="189"/>
      <c r="BC894" s="189"/>
      <c r="BD894" s="189"/>
      <c r="BE894" s="189"/>
      <c r="BF894" s="189"/>
      <c r="BG894" s="189"/>
      <c r="BH894" s="189"/>
      <c r="BI894" s="190"/>
      <c r="BJ894" s="190"/>
      <c r="BK894" s="190"/>
      <c r="BL894" s="190"/>
      <c r="BM894" s="190"/>
      <c r="BN894" s="190"/>
      <c r="BO894" s="190"/>
      <c r="BP894" s="190"/>
      <c r="BQ894" s="190"/>
      <c r="BR894" s="190"/>
      <c r="BS894" s="190"/>
      <c r="BT894" s="190"/>
      <c r="BU894" s="190"/>
      <c r="BV894" s="190"/>
      <c r="BW894" s="190"/>
      <c r="BX894" s="190"/>
      <c r="BY894" s="190"/>
      <c r="BZ894" s="190"/>
      <c r="CA894" s="189"/>
      <c r="CB894" s="15"/>
    </row>
    <row r="895" spans="1:80" ht="15" x14ac:dyDescent="0.25">
      <c r="A895" s="167"/>
      <c r="B895" s="642"/>
      <c r="C895" s="642"/>
      <c r="D895" s="179"/>
      <c r="E895" s="169"/>
      <c r="F895" s="169"/>
      <c r="G895" s="187"/>
      <c r="H895" s="187"/>
      <c r="I895" s="187"/>
      <c r="J895" s="187"/>
      <c r="K895" s="187"/>
      <c r="L895" s="647"/>
      <c r="M895" s="646">
        <v>33780</v>
      </c>
      <c r="N895" s="585">
        <v>3.28</v>
      </c>
      <c r="O895" s="585">
        <v>2.1680000000000001E-2</v>
      </c>
      <c r="P895" s="175">
        <v>0</v>
      </c>
      <c r="Q895" s="175">
        <v>0</v>
      </c>
      <c r="R895" s="175">
        <v>5.0000000000000001E-4</v>
      </c>
      <c r="S895" s="175">
        <v>2.8300000000000001E-3</v>
      </c>
      <c r="T895" s="175">
        <v>4.2500000000000003E-3</v>
      </c>
      <c r="U895" s="175">
        <v>5.5799999999999999E-3</v>
      </c>
      <c r="V895" s="706">
        <v>8.5299999999999994E-3</v>
      </c>
      <c r="W895" s="717"/>
      <c r="X895" s="713"/>
      <c r="Y895" s="718"/>
      <c r="Z895" s="709">
        <v>23</v>
      </c>
      <c r="AA895" s="175"/>
      <c r="AB895" s="200"/>
      <c r="AC895" s="205">
        <v>0</v>
      </c>
      <c r="AD895" s="175">
        <v>7.9</v>
      </c>
      <c r="AE895" s="175">
        <v>0.35</v>
      </c>
      <c r="AF895" s="170">
        <f t="shared" si="16"/>
        <v>2.7650000000000001</v>
      </c>
      <c r="AG895" s="175">
        <v>1.1499999999999999</v>
      </c>
      <c r="AH895" s="334"/>
      <c r="AI895" s="188"/>
      <c r="AJ895" s="188"/>
      <c r="AK895" s="188"/>
      <c r="AL895" s="189"/>
      <c r="AM895" s="189"/>
      <c r="AN895" s="189"/>
      <c r="AO895" s="189"/>
      <c r="AP895" s="189"/>
      <c r="AQ895" s="189"/>
      <c r="AR895" s="189"/>
      <c r="AS895" s="189"/>
      <c r="AT895" s="189"/>
      <c r="AU895" s="190"/>
      <c r="AV895" s="190"/>
      <c r="AW895" s="190"/>
      <c r="AX895" s="190"/>
      <c r="AY895" s="190"/>
      <c r="AZ895" s="189"/>
      <c r="BA895" s="189"/>
      <c r="BB895" s="189"/>
      <c r="BC895" s="189"/>
      <c r="BD895" s="189"/>
      <c r="BE895" s="189"/>
      <c r="BF895" s="189"/>
      <c r="BG895" s="189"/>
      <c r="BH895" s="189"/>
      <c r="BI895" s="190"/>
      <c r="BJ895" s="190"/>
      <c r="BK895" s="190"/>
      <c r="BL895" s="190"/>
      <c r="BM895" s="190"/>
      <c r="BN895" s="190"/>
      <c r="BO895" s="190"/>
      <c r="BP895" s="190"/>
      <c r="BQ895" s="190"/>
      <c r="BR895" s="190"/>
      <c r="BS895" s="190"/>
      <c r="BT895" s="190"/>
      <c r="BU895" s="190"/>
      <c r="BV895" s="190"/>
      <c r="BW895" s="190"/>
      <c r="BX895" s="190"/>
      <c r="BY895" s="190"/>
      <c r="BZ895" s="190"/>
      <c r="CA895" s="189"/>
      <c r="CB895" s="15"/>
    </row>
    <row r="896" spans="1:80" ht="15" x14ac:dyDescent="0.25">
      <c r="A896" s="167"/>
      <c r="B896" s="642"/>
      <c r="C896" s="642"/>
      <c r="D896" s="179"/>
      <c r="E896" s="169"/>
      <c r="F896" s="169"/>
      <c r="G896" s="187"/>
      <c r="H896" s="187"/>
      <c r="I896" s="187"/>
      <c r="J896" s="187"/>
      <c r="K896" s="187"/>
      <c r="L896" s="647"/>
      <c r="M896" s="646">
        <v>33780</v>
      </c>
      <c r="N896" s="585">
        <v>3.56</v>
      </c>
      <c r="O896" s="585">
        <v>1.355E-2</v>
      </c>
      <c r="P896" s="175">
        <v>0</v>
      </c>
      <c r="Q896" s="175">
        <v>0</v>
      </c>
      <c r="R896" s="175">
        <v>0</v>
      </c>
      <c r="S896" s="175">
        <v>8.9999999999999998E-4</v>
      </c>
      <c r="T896" s="175">
        <v>1.16E-3</v>
      </c>
      <c r="U896" s="175">
        <v>2.7799999999999999E-3</v>
      </c>
      <c r="V896" s="706">
        <v>8.7100000000000007E-3</v>
      </c>
      <c r="W896" s="717"/>
      <c r="X896" s="713"/>
      <c r="Y896" s="718"/>
      <c r="Z896" s="709">
        <v>14</v>
      </c>
      <c r="AA896" s="175"/>
      <c r="AB896" s="200"/>
      <c r="AC896" s="205">
        <v>1.4E-2</v>
      </c>
      <c r="AD896" s="175">
        <v>8.1999999999999993</v>
      </c>
      <c r="AE896" s="175">
        <v>0.36</v>
      </c>
      <c r="AF896" s="170">
        <f t="shared" si="16"/>
        <v>2.9519999999999995</v>
      </c>
      <c r="AG896" s="175">
        <v>1.17</v>
      </c>
      <c r="AH896" s="334"/>
      <c r="AI896" s="188"/>
      <c r="AJ896" s="188"/>
      <c r="AK896" s="188"/>
      <c r="AL896" s="189"/>
      <c r="AM896" s="189"/>
      <c r="AN896" s="189"/>
      <c r="AO896" s="189"/>
      <c r="AP896" s="189"/>
      <c r="AQ896" s="189"/>
      <c r="AR896" s="189"/>
      <c r="AS896" s="189"/>
      <c r="AT896" s="189"/>
      <c r="AU896" s="190"/>
      <c r="AV896" s="190"/>
      <c r="AW896" s="190"/>
      <c r="AX896" s="190"/>
      <c r="AY896" s="190"/>
      <c r="AZ896" s="189"/>
      <c r="BA896" s="189"/>
      <c r="BB896" s="189"/>
      <c r="BC896" s="189"/>
      <c r="BD896" s="189"/>
      <c r="BE896" s="189"/>
      <c r="BF896" s="189"/>
      <c r="BG896" s="189"/>
      <c r="BH896" s="189"/>
      <c r="BI896" s="190"/>
      <c r="BJ896" s="190"/>
      <c r="BK896" s="190"/>
      <c r="BL896" s="190"/>
      <c r="BM896" s="190"/>
      <c r="BN896" s="190"/>
      <c r="BO896" s="190"/>
      <c r="BP896" s="190"/>
      <c r="BQ896" s="190"/>
      <c r="BR896" s="190"/>
      <c r="BS896" s="190"/>
      <c r="BT896" s="190"/>
      <c r="BU896" s="190"/>
      <c r="BV896" s="190"/>
      <c r="BW896" s="190"/>
      <c r="BX896" s="190"/>
      <c r="BY896" s="190"/>
      <c r="BZ896" s="190"/>
      <c r="CA896" s="189"/>
      <c r="CB896" s="15"/>
    </row>
    <row r="897" spans="1:80" ht="15" x14ac:dyDescent="0.25">
      <c r="A897" s="167"/>
      <c r="B897" s="642"/>
      <c r="C897" s="642"/>
      <c r="D897" s="179"/>
      <c r="E897" s="169"/>
      <c r="F897" s="169"/>
      <c r="G897" s="187"/>
      <c r="H897" s="187"/>
      <c r="I897" s="187"/>
      <c r="J897" s="187"/>
      <c r="K897" s="187"/>
      <c r="L897" s="647"/>
      <c r="M897" s="646">
        <v>33780</v>
      </c>
      <c r="N897" s="585">
        <v>3.56</v>
      </c>
      <c r="O897" s="585">
        <v>6.3420000000000004E-2</v>
      </c>
      <c r="P897" s="175">
        <v>0</v>
      </c>
      <c r="Q897" s="175">
        <v>0</v>
      </c>
      <c r="R897" s="175">
        <v>5.2999999999999998E-4</v>
      </c>
      <c r="S897" s="175">
        <v>2.1700000000000001E-3</v>
      </c>
      <c r="T897" s="175">
        <v>7.3499999999999998E-3</v>
      </c>
      <c r="U897" s="175">
        <v>1.7059999999999999E-2</v>
      </c>
      <c r="V897" s="706">
        <v>3.6330000000000001E-2</v>
      </c>
      <c r="W897" s="717"/>
      <c r="X897" s="713"/>
      <c r="Y897" s="718"/>
      <c r="Z897" s="709">
        <v>22</v>
      </c>
      <c r="AA897" s="175"/>
      <c r="AB897" s="200"/>
      <c r="AC897" s="205">
        <v>2.1000000000000001E-2</v>
      </c>
      <c r="AD897" s="175">
        <v>8.35</v>
      </c>
      <c r="AE897" s="175">
        <v>0.37</v>
      </c>
      <c r="AF897" s="170">
        <f t="shared" si="16"/>
        <v>3.0894999999999997</v>
      </c>
      <c r="AG897" s="175">
        <v>1.22</v>
      </c>
      <c r="AH897" s="334"/>
      <c r="AI897" s="188"/>
      <c r="AJ897" s="188"/>
      <c r="AK897" s="188"/>
      <c r="AL897" s="189"/>
      <c r="AM897" s="189"/>
      <c r="AN897" s="189"/>
      <c r="AO897" s="189"/>
      <c r="AP897" s="189"/>
      <c r="AQ897" s="189"/>
      <c r="AR897" s="189"/>
      <c r="AS897" s="189"/>
      <c r="AT897" s="189"/>
      <c r="AU897" s="190"/>
      <c r="AV897" s="190"/>
      <c r="AW897" s="190"/>
      <c r="AX897" s="190"/>
      <c r="AY897" s="190"/>
      <c r="AZ897" s="189"/>
      <c r="BA897" s="189"/>
      <c r="BB897" s="189"/>
      <c r="BC897" s="189"/>
      <c r="BD897" s="189"/>
      <c r="BE897" s="189"/>
      <c r="BF897" s="189"/>
      <c r="BG897" s="189"/>
      <c r="BH897" s="189"/>
      <c r="BI897" s="190"/>
      <c r="BJ897" s="190"/>
      <c r="BK897" s="190"/>
      <c r="BL897" s="190"/>
      <c r="BM897" s="190"/>
      <c r="BN897" s="190"/>
      <c r="BO897" s="190"/>
      <c r="BP897" s="190"/>
      <c r="BQ897" s="190"/>
      <c r="BR897" s="190"/>
      <c r="BS897" s="190"/>
      <c r="BT897" s="190"/>
      <c r="BU897" s="190"/>
      <c r="BV897" s="190"/>
      <c r="BW897" s="190"/>
      <c r="BX897" s="190"/>
      <c r="BY897" s="190"/>
      <c r="BZ897" s="190"/>
      <c r="CA897" s="189"/>
      <c r="CB897" s="15"/>
    </row>
    <row r="898" spans="1:80" ht="15" x14ac:dyDescent="0.25">
      <c r="A898" s="167"/>
      <c r="B898" s="642"/>
      <c r="C898" s="642"/>
      <c r="D898" s="179"/>
      <c r="E898" s="169"/>
      <c r="F898" s="169"/>
      <c r="G898" s="187"/>
      <c r="H898" s="187"/>
      <c r="I898" s="187"/>
      <c r="J898" s="187"/>
      <c r="K898" s="187"/>
      <c r="L898" s="647"/>
      <c r="M898" s="646">
        <v>33781</v>
      </c>
      <c r="N898" s="585">
        <v>3.47</v>
      </c>
      <c r="O898" s="585">
        <v>6.3310000000000005E-2</v>
      </c>
      <c r="P898" s="175">
        <v>0</v>
      </c>
      <c r="Q898" s="175">
        <v>3.5799999999999998E-3</v>
      </c>
      <c r="R898" s="175">
        <v>1.47E-3</v>
      </c>
      <c r="S898" s="175">
        <v>5.1700000000000001E-3</v>
      </c>
      <c r="T898" s="175">
        <v>1.1390000000000001E-2</v>
      </c>
      <c r="U898" s="175">
        <v>1.511E-2</v>
      </c>
      <c r="V898" s="706">
        <v>2.6589999999999999E-2</v>
      </c>
      <c r="W898" s="717"/>
      <c r="X898" s="713"/>
      <c r="Y898" s="718"/>
      <c r="Z898" s="709">
        <v>30</v>
      </c>
      <c r="AA898" s="175"/>
      <c r="AB898" s="200"/>
      <c r="AC898" s="205">
        <v>1.7999999999999999E-2</v>
      </c>
      <c r="AD898" s="175">
        <v>8.35</v>
      </c>
      <c r="AE898" s="175">
        <v>0.36</v>
      </c>
      <c r="AF898" s="170">
        <f t="shared" si="16"/>
        <v>3.0059999999999998</v>
      </c>
      <c r="AG898" s="175">
        <v>1.1499999999999999</v>
      </c>
      <c r="AH898" s="334"/>
      <c r="AI898" s="188"/>
      <c r="AJ898" s="188"/>
      <c r="AK898" s="188"/>
      <c r="AL898" s="189"/>
      <c r="AM898" s="189"/>
      <c r="AN898" s="189"/>
      <c r="AO898" s="189"/>
      <c r="AP898" s="189"/>
      <c r="AQ898" s="189"/>
      <c r="AR898" s="189"/>
      <c r="AS898" s="189"/>
      <c r="AT898" s="189"/>
      <c r="AU898" s="190"/>
      <c r="AV898" s="190"/>
      <c r="AW898" s="190"/>
      <c r="AX898" s="190"/>
      <c r="AY898" s="190"/>
      <c r="AZ898" s="189"/>
      <c r="BA898" s="189"/>
      <c r="BB898" s="189"/>
      <c r="BC898" s="189"/>
      <c r="BD898" s="189"/>
      <c r="BE898" s="189"/>
      <c r="BF898" s="189"/>
      <c r="BG898" s="189"/>
      <c r="BH898" s="189"/>
      <c r="BI898" s="190"/>
      <c r="BJ898" s="190"/>
      <c r="BK898" s="190"/>
      <c r="BL898" s="190"/>
      <c r="BM898" s="190"/>
      <c r="BN898" s="190"/>
      <c r="BO898" s="190"/>
      <c r="BP898" s="190"/>
      <c r="BQ898" s="190"/>
      <c r="BR898" s="190"/>
      <c r="BS898" s="190"/>
      <c r="BT898" s="190"/>
      <c r="BU898" s="190"/>
      <c r="BV898" s="190"/>
      <c r="BW898" s="190"/>
      <c r="BX898" s="190"/>
      <c r="BY898" s="190"/>
      <c r="BZ898" s="190"/>
      <c r="CA898" s="189"/>
      <c r="CB898" s="15"/>
    </row>
    <row r="899" spans="1:80" ht="15" x14ac:dyDescent="0.25">
      <c r="A899" s="167"/>
      <c r="B899" s="642"/>
      <c r="C899" s="642"/>
      <c r="D899" s="179"/>
      <c r="E899" s="169"/>
      <c r="F899" s="169"/>
      <c r="G899" s="187"/>
      <c r="H899" s="187"/>
      <c r="I899" s="187"/>
      <c r="J899" s="187"/>
      <c r="K899" s="187"/>
      <c r="L899" s="647"/>
      <c r="M899" s="646">
        <v>33781</v>
      </c>
      <c r="N899" s="585">
        <v>3.32</v>
      </c>
      <c r="O899" s="585">
        <v>6.225E-2</v>
      </c>
      <c r="P899" s="175">
        <v>0</v>
      </c>
      <c r="Q899" s="175">
        <v>0</v>
      </c>
      <c r="R899" s="175">
        <v>4.6800000000000001E-3</v>
      </c>
      <c r="S899" s="175">
        <v>9.4299999999999991E-3</v>
      </c>
      <c r="T899" s="175">
        <v>1.336E-2</v>
      </c>
      <c r="U899" s="175">
        <v>1.417E-2</v>
      </c>
      <c r="V899" s="706">
        <v>2.061E-2</v>
      </c>
      <c r="W899" s="717"/>
      <c r="X899" s="713"/>
      <c r="Y899" s="718"/>
      <c r="Z899" s="709">
        <v>36</v>
      </c>
      <c r="AA899" s="175"/>
      <c r="AB899" s="200"/>
      <c r="AC899" s="205">
        <v>1.4E-2</v>
      </c>
      <c r="AD899" s="175">
        <v>8.1</v>
      </c>
      <c r="AE899" s="175">
        <v>0.35</v>
      </c>
      <c r="AF899" s="170">
        <f t="shared" si="16"/>
        <v>2.8349999999999995</v>
      </c>
      <c r="AG899" s="175">
        <v>1.1499999999999999</v>
      </c>
      <c r="AH899" s="334"/>
      <c r="AI899" s="188"/>
      <c r="AJ899" s="188"/>
      <c r="AK899" s="188"/>
      <c r="AL899" s="189"/>
      <c r="AM899" s="189"/>
      <c r="AN899" s="189"/>
      <c r="AO899" s="189"/>
      <c r="AP899" s="189"/>
      <c r="AQ899" s="189"/>
      <c r="AR899" s="189"/>
      <c r="AS899" s="189"/>
      <c r="AT899" s="189"/>
      <c r="AU899" s="190"/>
      <c r="AV899" s="190"/>
      <c r="AW899" s="190"/>
      <c r="AX899" s="190"/>
      <c r="AY899" s="190"/>
      <c r="AZ899" s="189"/>
      <c r="BA899" s="189"/>
      <c r="BB899" s="189"/>
      <c r="BC899" s="189"/>
      <c r="BD899" s="189"/>
      <c r="BE899" s="189"/>
      <c r="BF899" s="189"/>
      <c r="BG899" s="189"/>
      <c r="BH899" s="189"/>
      <c r="BI899" s="190"/>
      <c r="BJ899" s="190"/>
      <c r="BK899" s="190"/>
      <c r="BL899" s="190"/>
      <c r="BM899" s="190"/>
      <c r="BN899" s="190"/>
      <c r="BO899" s="190"/>
      <c r="BP899" s="190"/>
      <c r="BQ899" s="190"/>
      <c r="BR899" s="190"/>
      <c r="BS899" s="190"/>
      <c r="BT899" s="190"/>
      <c r="BU899" s="190"/>
      <c r="BV899" s="190"/>
      <c r="BW899" s="190"/>
      <c r="BX899" s="190"/>
      <c r="BY899" s="190"/>
      <c r="BZ899" s="190"/>
      <c r="CA899" s="189"/>
      <c r="CB899" s="15"/>
    </row>
    <row r="900" spans="1:80" ht="15" x14ac:dyDescent="0.25">
      <c r="A900" s="167"/>
      <c r="B900" s="642"/>
      <c r="C900" s="642"/>
      <c r="D900" s="179"/>
      <c r="E900" s="169"/>
      <c r="F900" s="169"/>
      <c r="G900" s="187"/>
      <c r="H900" s="187"/>
      <c r="I900" s="187"/>
      <c r="J900" s="187"/>
      <c r="K900" s="187"/>
      <c r="L900" s="647"/>
      <c r="M900" s="646">
        <v>33781</v>
      </c>
      <c r="N900" s="585">
        <v>3.23</v>
      </c>
      <c r="O900" s="585">
        <v>3.8269999999999998E-2</v>
      </c>
      <c r="P900" s="175">
        <v>0</v>
      </c>
      <c r="Q900" s="175">
        <v>0</v>
      </c>
      <c r="R900" s="175">
        <v>4.6999999999999999E-4</v>
      </c>
      <c r="S900" s="175">
        <v>3.6800000000000001E-3</v>
      </c>
      <c r="T900" s="175">
        <v>9.9000000000000008E-3</v>
      </c>
      <c r="U900" s="175">
        <v>1.1440000000000001E-2</v>
      </c>
      <c r="V900" s="706">
        <v>1.278E-2</v>
      </c>
      <c r="W900" s="717"/>
      <c r="X900" s="713"/>
      <c r="Y900" s="718"/>
      <c r="Z900" s="709">
        <v>20</v>
      </c>
      <c r="AA900" s="175"/>
      <c r="AB900" s="200"/>
      <c r="AC900" s="205">
        <v>1.7000000000000001E-2</v>
      </c>
      <c r="AD900" s="175">
        <v>8.1</v>
      </c>
      <c r="AE900" s="175">
        <v>0.34</v>
      </c>
      <c r="AF900" s="170">
        <f t="shared" si="16"/>
        <v>2.754</v>
      </c>
      <c r="AG900" s="175">
        <v>1.1399999999999999</v>
      </c>
      <c r="AH900" s="334"/>
      <c r="AI900" s="188"/>
      <c r="AJ900" s="188"/>
      <c r="AK900" s="188"/>
      <c r="AL900" s="189"/>
      <c r="AM900" s="189"/>
      <c r="AN900" s="189"/>
      <c r="AO900" s="189"/>
      <c r="AP900" s="189"/>
      <c r="AQ900" s="189"/>
      <c r="AR900" s="189"/>
      <c r="AS900" s="189"/>
      <c r="AT900" s="189"/>
      <c r="AU900" s="190"/>
      <c r="AV900" s="190"/>
      <c r="AW900" s="190"/>
      <c r="AX900" s="190"/>
      <c r="AY900" s="190"/>
      <c r="AZ900" s="189"/>
      <c r="BA900" s="189"/>
      <c r="BB900" s="189"/>
      <c r="BC900" s="189"/>
      <c r="BD900" s="189"/>
      <c r="BE900" s="189"/>
      <c r="BF900" s="189"/>
      <c r="BG900" s="189"/>
      <c r="BH900" s="189"/>
      <c r="BI900" s="190"/>
      <c r="BJ900" s="190"/>
      <c r="BK900" s="190"/>
      <c r="BL900" s="190"/>
      <c r="BM900" s="190"/>
      <c r="BN900" s="190"/>
      <c r="BO900" s="190"/>
      <c r="BP900" s="190"/>
      <c r="BQ900" s="190"/>
      <c r="BR900" s="190"/>
      <c r="BS900" s="190"/>
      <c r="BT900" s="190"/>
      <c r="BU900" s="190"/>
      <c r="BV900" s="190"/>
      <c r="BW900" s="190"/>
      <c r="BX900" s="190"/>
      <c r="BY900" s="190"/>
      <c r="BZ900" s="190"/>
      <c r="CA900" s="189"/>
      <c r="CB900" s="15"/>
    </row>
    <row r="901" spans="1:80" ht="15" x14ac:dyDescent="0.25">
      <c r="A901" s="167"/>
      <c r="B901" s="642"/>
      <c r="C901" s="642"/>
      <c r="D901" s="179"/>
      <c r="E901" s="169"/>
      <c r="F901" s="169"/>
      <c r="G901" s="187"/>
      <c r="H901" s="187"/>
      <c r="I901" s="187"/>
      <c r="J901" s="187"/>
      <c r="K901" s="187"/>
      <c r="L901" s="647"/>
      <c r="M901" s="646">
        <v>33781</v>
      </c>
      <c r="N901" s="585">
        <v>3.28</v>
      </c>
      <c r="O901" s="585">
        <v>4.7099999999999998E-3</v>
      </c>
      <c r="P901" s="175">
        <v>0</v>
      </c>
      <c r="Q901" s="175">
        <v>0</v>
      </c>
      <c r="R901" s="175">
        <v>0</v>
      </c>
      <c r="S901" s="175">
        <v>2.0000000000000001E-4</v>
      </c>
      <c r="T901" s="175">
        <v>1.2E-4</v>
      </c>
      <c r="U901" s="175">
        <v>5.6999999999999998E-4</v>
      </c>
      <c r="V901" s="706">
        <v>3.82E-3</v>
      </c>
      <c r="W901" s="717"/>
      <c r="X901" s="713"/>
      <c r="Y901" s="718"/>
      <c r="Z901" s="709">
        <v>12</v>
      </c>
      <c r="AA901" s="175"/>
      <c r="AB901" s="200"/>
      <c r="AC901" s="205">
        <v>1.2E-2</v>
      </c>
      <c r="AD901" s="175">
        <v>8.1999999999999993</v>
      </c>
      <c r="AE901" s="175">
        <v>0.34</v>
      </c>
      <c r="AF901" s="170">
        <f t="shared" si="16"/>
        <v>2.7879999999999998</v>
      </c>
      <c r="AG901" s="175">
        <v>1.22</v>
      </c>
      <c r="AH901" s="334"/>
      <c r="AI901" s="188"/>
      <c r="AJ901" s="188"/>
      <c r="AK901" s="188"/>
      <c r="AL901" s="189"/>
      <c r="AM901" s="189"/>
      <c r="AN901" s="189"/>
      <c r="AO901" s="189"/>
      <c r="AP901" s="189"/>
      <c r="AQ901" s="189"/>
      <c r="AR901" s="189"/>
      <c r="AS901" s="189"/>
      <c r="AT901" s="189"/>
      <c r="AU901" s="190"/>
      <c r="AV901" s="190"/>
      <c r="AW901" s="190"/>
      <c r="AX901" s="190"/>
      <c r="AY901" s="190"/>
      <c r="AZ901" s="189"/>
      <c r="BA901" s="189"/>
      <c r="BB901" s="189"/>
      <c r="BC901" s="189"/>
      <c r="BD901" s="189"/>
      <c r="BE901" s="189"/>
      <c r="BF901" s="189"/>
      <c r="BG901" s="189"/>
      <c r="BH901" s="189"/>
      <c r="BI901" s="190"/>
      <c r="BJ901" s="190"/>
      <c r="BK901" s="190"/>
      <c r="BL901" s="190"/>
      <c r="BM901" s="190"/>
      <c r="BN901" s="190"/>
      <c r="BO901" s="190"/>
      <c r="BP901" s="190"/>
      <c r="BQ901" s="190"/>
      <c r="BR901" s="190"/>
      <c r="BS901" s="190"/>
      <c r="BT901" s="190"/>
      <c r="BU901" s="190"/>
      <c r="BV901" s="190"/>
      <c r="BW901" s="190"/>
      <c r="BX901" s="190"/>
      <c r="BY901" s="190"/>
      <c r="BZ901" s="190"/>
      <c r="CA901" s="189"/>
      <c r="CB901" s="15"/>
    </row>
    <row r="902" spans="1:80" ht="15" x14ac:dyDescent="0.25">
      <c r="A902" s="167"/>
      <c r="B902" s="642"/>
      <c r="C902" s="642"/>
      <c r="D902" s="179"/>
      <c r="E902" s="169"/>
      <c r="F902" s="169"/>
      <c r="G902" s="187"/>
      <c r="H902" s="187"/>
      <c r="I902" s="187"/>
      <c r="J902" s="187"/>
      <c r="K902" s="187"/>
      <c r="L902" s="647"/>
      <c r="M902" s="646">
        <v>33781</v>
      </c>
      <c r="N902" s="585">
        <v>3.47</v>
      </c>
      <c r="O902" s="585">
        <v>3.8980000000000001E-2</v>
      </c>
      <c r="P902" s="175">
        <v>0</v>
      </c>
      <c r="Q902" s="175">
        <v>0</v>
      </c>
      <c r="R902" s="175">
        <v>2.32E-3</v>
      </c>
      <c r="S902" s="175">
        <v>3.1099999999999999E-3</v>
      </c>
      <c r="T902" s="175">
        <v>7.9600000000000001E-3</v>
      </c>
      <c r="U902" s="175">
        <v>1.031E-2</v>
      </c>
      <c r="V902" s="706">
        <v>1.5270000000000001E-2</v>
      </c>
      <c r="W902" s="717"/>
      <c r="X902" s="713"/>
      <c r="Y902" s="718"/>
      <c r="Z902" s="709">
        <v>38</v>
      </c>
      <c r="AA902" s="175"/>
      <c r="AB902" s="200"/>
      <c r="AC902" s="205">
        <v>1.7999999999999999E-2</v>
      </c>
      <c r="AD902" s="175">
        <v>8.1999999999999993</v>
      </c>
      <c r="AE902" s="175">
        <v>0.36</v>
      </c>
      <c r="AF902" s="170">
        <f t="shared" si="16"/>
        <v>2.9519999999999995</v>
      </c>
      <c r="AG902" s="175">
        <v>1.17</v>
      </c>
      <c r="AH902" s="334"/>
      <c r="AI902" s="188"/>
      <c r="AJ902" s="188"/>
      <c r="AK902" s="188"/>
      <c r="AL902" s="189"/>
      <c r="AM902" s="189"/>
      <c r="AN902" s="189"/>
      <c r="AO902" s="189"/>
      <c r="AP902" s="189"/>
      <c r="AQ902" s="189"/>
      <c r="AR902" s="189"/>
      <c r="AS902" s="189"/>
      <c r="AT902" s="189"/>
      <c r="AU902" s="190"/>
      <c r="AV902" s="190"/>
      <c r="AW902" s="190"/>
      <c r="AX902" s="190"/>
      <c r="AY902" s="190"/>
      <c r="AZ902" s="189"/>
      <c r="BA902" s="189"/>
      <c r="BB902" s="189"/>
      <c r="BC902" s="189"/>
      <c r="BD902" s="189"/>
      <c r="BE902" s="189"/>
      <c r="BF902" s="189"/>
      <c r="BG902" s="189"/>
      <c r="BH902" s="189"/>
      <c r="BI902" s="190"/>
      <c r="BJ902" s="190"/>
      <c r="BK902" s="190"/>
      <c r="BL902" s="190"/>
      <c r="BM902" s="190"/>
      <c r="BN902" s="190"/>
      <c r="BO902" s="190"/>
      <c r="BP902" s="190"/>
      <c r="BQ902" s="190"/>
      <c r="BR902" s="190"/>
      <c r="BS902" s="190"/>
      <c r="BT902" s="190"/>
      <c r="BU902" s="190"/>
      <c r="BV902" s="190"/>
      <c r="BW902" s="190"/>
      <c r="BX902" s="190"/>
      <c r="BY902" s="190"/>
      <c r="BZ902" s="190"/>
      <c r="CA902" s="189"/>
      <c r="CB902" s="15"/>
    </row>
    <row r="903" spans="1:80" ht="15" x14ac:dyDescent="0.25">
      <c r="A903" s="167"/>
      <c r="B903" s="642"/>
      <c r="C903" s="642"/>
      <c r="D903" s="179"/>
      <c r="E903" s="169"/>
      <c r="F903" s="169"/>
      <c r="G903" s="187"/>
      <c r="H903" s="187"/>
      <c r="I903" s="187"/>
      <c r="J903" s="187"/>
      <c r="K903" s="187"/>
      <c r="L903" s="647"/>
      <c r="M903" s="646">
        <v>33781</v>
      </c>
      <c r="N903" s="585">
        <v>3.52</v>
      </c>
      <c r="O903" s="585">
        <v>6.2740000000000004E-2</v>
      </c>
      <c r="P903" s="175">
        <v>0</v>
      </c>
      <c r="Q903" s="175">
        <v>0</v>
      </c>
      <c r="R903" s="175">
        <v>2.5999999999999999E-3</v>
      </c>
      <c r="S903" s="175">
        <v>7.77E-3</v>
      </c>
      <c r="T903" s="175">
        <v>8.5599999999999999E-3</v>
      </c>
      <c r="U903" s="175">
        <v>1.3979999999999999E-2</v>
      </c>
      <c r="V903" s="706">
        <v>2.9829999999999999E-2</v>
      </c>
      <c r="W903" s="717"/>
      <c r="X903" s="713"/>
      <c r="Y903" s="718"/>
      <c r="Z903" s="709">
        <v>31</v>
      </c>
      <c r="AA903" s="175"/>
      <c r="AB903" s="200"/>
      <c r="AC903" s="205">
        <v>1.7999999999999999E-2</v>
      </c>
      <c r="AD903" s="175">
        <v>8.35</v>
      </c>
      <c r="AE903" s="175">
        <v>0.37</v>
      </c>
      <c r="AF903" s="170">
        <f t="shared" si="16"/>
        <v>3.0894999999999997</v>
      </c>
      <c r="AG903" s="175">
        <v>1.1399999999999999</v>
      </c>
      <c r="AH903" s="334"/>
      <c r="AI903" s="188"/>
      <c r="AJ903" s="188"/>
      <c r="AK903" s="188"/>
      <c r="AL903" s="189"/>
      <c r="AM903" s="189"/>
      <c r="AN903" s="189"/>
      <c r="AO903" s="189"/>
      <c r="AP903" s="189"/>
      <c r="AQ903" s="189"/>
      <c r="AR903" s="189"/>
      <c r="AS903" s="189"/>
      <c r="AT903" s="189"/>
      <c r="AU903" s="190"/>
      <c r="AV903" s="190"/>
      <c r="AW903" s="190"/>
      <c r="AX903" s="190"/>
      <c r="AY903" s="190"/>
      <c r="AZ903" s="189"/>
      <c r="BA903" s="189"/>
      <c r="BB903" s="189"/>
      <c r="BC903" s="189"/>
      <c r="BD903" s="189"/>
      <c r="BE903" s="189"/>
      <c r="BF903" s="189"/>
      <c r="BG903" s="189"/>
      <c r="BH903" s="189"/>
      <c r="BI903" s="190"/>
      <c r="BJ903" s="190"/>
      <c r="BK903" s="190"/>
      <c r="BL903" s="190"/>
      <c r="BM903" s="190"/>
      <c r="BN903" s="190"/>
      <c r="BO903" s="190"/>
      <c r="BP903" s="190"/>
      <c r="BQ903" s="190"/>
      <c r="BR903" s="190"/>
      <c r="BS903" s="190"/>
      <c r="BT903" s="190"/>
      <c r="BU903" s="190"/>
      <c r="BV903" s="190"/>
      <c r="BW903" s="190"/>
      <c r="BX903" s="190"/>
      <c r="BY903" s="190"/>
      <c r="BZ903" s="190"/>
      <c r="CA903" s="189"/>
      <c r="CB903" s="15"/>
    </row>
    <row r="904" spans="1:80" ht="15" x14ac:dyDescent="0.25">
      <c r="A904" s="167"/>
      <c r="B904" s="642"/>
      <c r="C904" s="642"/>
      <c r="D904" s="179"/>
      <c r="E904" s="169"/>
      <c r="F904" s="169"/>
      <c r="G904" s="187"/>
      <c r="H904" s="187"/>
      <c r="I904" s="187"/>
      <c r="J904" s="187"/>
      <c r="K904" s="187"/>
      <c r="L904" s="647"/>
      <c r="M904" s="646">
        <v>33782</v>
      </c>
      <c r="N904" s="585">
        <v>3.32</v>
      </c>
      <c r="O904" s="585">
        <v>4.7329999999999997E-2</v>
      </c>
      <c r="P904" s="175">
        <v>0</v>
      </c>
      <c r="Q904" s="175">
        <v>0</v>
      </c>
      <c r="R904" s="175">
        <v>3.16E-3</v>
      </c>
      <c r="S904" s="175">
        <v>6.1700000000000001E-3</v>
      </c>
      <c r="T904" s="175">
        <v>9.2800000000000001E-3</v>
      </c>
      <c r="U904" s="175">
        <v>1.064E-2</v>
      </c>
      <c r="V904" s="706">
        <v>1.8079999999999999E-2</v>
      </c>
      <c r="W904" s="717"/>
      <c r="X904" s="713"/>
      <c r="Y904" s="718"/>
      <c r="Z904" s="709">
        <v>32</v>
      </c>
      <c r="AA904" s="175"/>
      <c r="AB904" s="200"/>
      <c r="AC904" s="205">
        <v>7.0000000000000001E-3</v>
      </c>
      <c r="AD904" s="175">
        <v>8.35</v>
      </c>
      <c r="AE904" s="175">
        <v>0.36</v>
      </c>
      <c r="AF904" s="170">
        <f t="shared" si="16"/>
        <v>3.0059999999999998</v>
      </c>
      <c r="AG904" s="175">
        <v>1.18</v>
      </c>
      <c r="AH904" s="334"/>
      <c r="AI904" s="188"/>
      <c r="AJ904" s="188"/>
      <c r="AK904" s="188"/>
      <c r="AL904" s="189"/>
      <c r="AM904" s="189"/>
      <c r="AN904" s="189"/>
      <c r="AO904" s="189"/>
      <c r="AP904" s="189"/>
      <c r="AQ904" s="189"/>
      <c r="AR904" s="189"/>
      <c r="AS904" s="189"/>
      <c r="AT904" s="189"/>
      <c r="AU904" s="190"/>
      <c r="AV904" s="190"/>
      <c r="AW904" s="190"/>
      <c r="AX904" s="190"/>
      <c r="AY904" s="190"/>
      <c r="AZ904" s="189"/>
      <c r="BA904" s="189"/>
      <c r="BB904" s="189"/>
      <c r="BC904" s="189"/>
      <c r="BD904" s="189"/>
      <c r="BE904" s="189"/>
      <c r="BF904" s="189"/>
      <c r="BG904" s="189"/>
      <c r="BH904" s="189"/>
      <c r="BI904" s="190"/>
      <c r="BJ904" s="190"/>
      <c r="BK904" s="190"/>
      <c r="BL904" s="190"/>
      <c r="BM904" s="190"/>
      <c r="BN904" s="190"/>
      <c r="BO904" s="190"/>
      <c r="BP904" s="190"/>
      <c r="BQ904" s="190"/>
      <c r="BR904" s="190"/>
      <c r="BS904" s="190"/>
      <c r="BT904" s="190"/>
      <c r="BU904" s="190"/>
      <c r="BV904" s="190"/>
      <c r="BW904" s="190"/>
      <c r="BX904" s="190"/>
      <c r="BY904" s="190"/>
      <c r="BZ904" s="190"/>
      <c r="CA904" s="189"/>
      <c r="CB904" s="15"/>
    </row>
    <row r="905" spans="1:80" ht="15" x14ac:dyDescent="0.25">
      <c r="A905" s="167"/>
      <c r="B905" s="642"/>
      <c r="C905" s="642"/>
      <c r="D905" s="179"/>
      <c r="E905" s="169"/>
      <c r="F905" s="169"/>
      <c r="G905" s="187"/>
      <c r="H905" s="187"/>
      <c r="I905" s="187"/>
      <c r="J905" s="187"/>
      <c r="K905" s="187"/>
      <c r="L905" s="647"/>
      <c r="M905" s="646">
        <v>33782</v>
      </c>
      <c r="N905" s="585">
        <v>3.18</v>
      </c>
      <c r="O905" s="585">
        <v>2.92E-2</v>
      </c>
      <c r="P905" s="175">
        <v>0</v>
      </c>
      <c r="Q905" s="175">
        <v>0</v>
      </c>
      <c r="R905" s="175">
        <v>0</v>
      </c>
      <c r="S905" s="175">
        <v>3.3600000000000001E-3</v>
      </c>
      <c r="T905" s="175">
        <v>5.64E-3</v>
      </c>
      <c r="U905" s="175">
        <v>7.5599999999999999E-3</v>
      </c>
      <c r="V905" s="706">
        <v>1.264E-2</v>
      </c>
      <c r="W905" s="717"/>
      <c r="X905" s="713"/>
      <c r="Y905" s="718"/>
      <c r="Z905" s="709">
        <v>16</v>
      </c>
      <c r="AA905" s="175"/>
      <c r="AB905" s="200"/>
      <c r="AC905" s="205">
        <v>1.4E-2</v>
      </c>
      <c r="AD905" s="175">
        <v>8.1</v>
      </c>
      <c r="AE905" s="175">
        <v>0.35</v>
      </c>
      <c r="AF905" s="170">
        <f t="shared" si="16"/>
        <v>2.8349999999999995</v>
      </c>
      <c r="AG905" s="175">
        <v>1.18</v>
      </c>
      <c r="AH905" s="334"/>
      <c r="AI905" s="188"/>
      <c r="AJ905" s="188"/>
      <c r="AK905" s="188"/>
      <c r="AL905" s="189"/>
      <c r="AM905" s="189"/>
      <c r="AN905" s="189"/>
      <c r="AO905" s="189"/>
      <c r="AP905" s="189"/>
      <c r="AQ905" s="189"/>
      <c r="AR905" s="189"/>
      <c r="AS905" s="189"/>
      <c r="AT905" s="189"/>
      <c r="AU905" s="190"/>
      <c r="AV905" s="190"/>
      <c r="AW905" s="190"/>
      <c r="AX905" s="190"/>
      <c r="AY905" s="190"/>
      <c r="AZ905" s="189"/>
      <c r="BA905" s="189"/>
      <c r="BB905" s="189"/>
      <c r="BC905" s="189"/>
      <c r="BD905" s="189"/>
      <c r="BE905" s="189"/>
      <c r="BF905" s="189"/>
      <c r="BG905" s="189"/>
      <c r="BH905" s="189"/>
      <c r="BI905" s="190"/>
      <c r="BJ905" s="190"/>
      <c r="BK905" s="190"/>
      <c r="BL905" s="190"/>
      <c r="BM905" s="190"/>
      <c r="BN905" s="190"/>
      <c r="BO905" s="190"/>
      <c r="BP905" s="190"/>
      <c r="BQ905" s="190"/>
      <c r="BR905" s="190"/>
      <c r="BS905" s="190"/>
      <c r="BT905" s="190"/>
      <c r="BU905" s="190"/>
      <c r="BV905" s="190"/>
      <c r="BW905" s="190"/>
      <c r="BX905" s="190"/>
      <c r="BY905" s="190"/>
      <c r="BZ905" s="190"/>
      <c r="CA905" s="189"/>
      <c r="CB905" s="15"/>
    </row>
    <row r="906" spans="1:80" ht="15" x14ac:dyDescent="0.25">
      <c r="A906" s="167"/>
      <c r="B906" s="642"/>
      <c r="C906" s="642"/>
      <c r="D906" s="179"/>
      <c r="E906" s="169"/>
      <c r="F906" s="169"/>
      <c r="G906" s="187"/>
      <c r="H906" s="187"/>
      <c r="I906" s="187"/>
      <c r="J906" s="187"/>
      <c r="K906" s="187"/>
      <c r="L906" s="647"/>
      <c r="M906" s="646">
        <v>33782</v>
      </c>
      <c r="N906" s="585">
        <v>3.09</v>
      </c>
      <c r="O906" s="585">
        <v>2.0369999999999999E-2</v>
      </c>
      <c r="P906" s="175">
        <v>0</v>
      </c>
      <c r="Q906" s="175">
        <v>0</v>
      </c>
      <c r="R906" s="175">
        <v>0</v>
      </c>
      <c r="S906" s="175">
        <v>2.4299999999999999E-3</v>
      </c>
      <c r="T906" s="175">
        <v>4.1000000000000003E-3</v>
      </c>
      <c r="U906" s="175">
        <v>5.3400000000000001E-3</v>
      </c>
      <c r="V906" s="706">
        <v>8.5000000000000006E-3</v>
      </c>
      <c r="W906" s="717"/>
      <c r="X906" s="713"/>
      <c r="Y906" s="718"/>
      <c r="Z906" s="709">
        <v>11</v>
      </c>
      <c r="AA906" s="175"/>
      <c r="AB906" s="200"/>
      <c r="AC906" s="205">
        <v>1.7000000000000001E-2</v>
      </c>
      <c r="AD906" s="175">
        <v>8.1999999999999993</v>
      </c>
      <c r="AE906" s="175">
        <v>0.34</v>
      </c>
      <c r="AF906" s="170">
        <f t="shared" si="16"/>
        <v>2.7879999999999998</v>
      </c>
      <c r="AG906" s="175">
        <v>1.17</v>
      </c>
      <c r="AH906" s="334"/>
      <c r="AI906" s="188"/>
      <c r="AJ906" s="188"/>
      <c r="AK906" s="188"/>
      <c r="AL906" s="189"/>
      <c r="AM906" s="189"/>
      <c r="AN906" s="189"/>
      <c r="AO906" s="189"/>
      <c r="AP906" s="189"/>
      <c r="AQ906" s="189"/>
      <c r="AR906" s="189"/>
      <c r="AS906" s="189"/>
      <c r="AT906" s="189"/>
      <c r="AU906" s="190"/>
      <c r="AV906" s="190"/>
      <c r="AW906" s="190"/>
      <c r="AX906" s="190"/>
      <c r="AY906" s="190"/>
      <c r="AZ906" s="189"/>
      <c r="BA906" s="189"/>
      <c r="BB906" s="189"/>
      <c r="BC906" s="189"/>
      <c r="BD906" s="189"/>
      <c r="BE906" s="189"/>
      <c r="BF906" s="189"/>
      <c r="BG906" s="189"/>
      <c r="BH906" s="189"/>
      <c r="BI906" s="190"/>
      <c r="BJ906" s="190"/>
      <c r="BK906" s="190"/>
      <c r="BL906" s="190"/>
      <c r="BM906" s="190"/>
      <c r="BN906" s="190"/>
      <c r="BO906" s="190"/>
      <c r="BP906" s="190"/>
      <c r="BQ906" s="190"/>
      <c r="BR906" s="190"/>
      <c r="BS906" s="190"/>
      <c r="BT906" s="190"/>
      <c r="BU906" s="190"/>
      <c r="BV906" s="190"/>
      <c r="BW906" s="190"/>
      <c r="BX906" s="190"/>
      <c r="BY906" s="190"/>
      <c r="BZ906" s="190"/>
      <c r="CA906" s="189"/>
      <c r="CB906" s="15"/>
    </row>
    <row r="907" spans="1:80" ht="15" x14ac:dyDescent="0.25">
      <c r="A907" s="167"/>
      <c r="B907" s="642"/>
      <c r="C907" s="642"/>
      <c r="D907" s="179"/>
      <c r="E907" s="169"/>
      <c r="F907" s="169"/>
      <c r="G907" s="187"/>
      <c r="H907" s="187"/>
      <c r="I907" s="187"/>
      <c r="J907" s="187"/>
      <c r="K907" s="187"/>
      <c r="L907" s="647"/>
      <c r="M907" s="646">
        <v>33782</v>
      </c>
      <c r="N907" s="585">
        <v>3.14</v>
      </c>
      <c r="O907" s="585">
        <v>4.3720000000000002E-2</v>
      </c>
      <c r="P907" s="175">
        <v>0</v>
      </c>
      <c r="Q907" s="175">
        <v>0</v>
      </c>
      <c r="R907" s="175">
        <v>7.3999999999999999E-4</v>
      </c>
      <c r="S907" s="175">
        <v>6.4799999999999996E-3</v>
      </c>
      <c r="T907" s="175">
        <v>1.2030000000000001E-2</v>
      </c>
      <c r="U907" s="175">
        <v>1.1610000000000001E-2</v>
      </c>
      <c r="V907" s="706">
        <v>1.285E-2</v>
      </c>
      <c r="W907" s="717"/>
      <c r="X907" s="713"/>
      <c r="Y907" s="718"/>
      <c r="Z907" s="709">
        <v>20</v>
      </c>
      <c r="AA907" s="175"/>
      <c r="AB907" s="200"/>
      <c r="AC907" s="205">
        <v>2.3E-2</v>
      </c>
      <c r="AD907" s="175">
        <v>8.1999999999999993</v>
      </c>
      <c r="AE907" s="175">
        <v>0.37</v>
      </c>
      <c r="AF907" s="170">
        <f t="shared" si="16"/>
        <v>3.0339999999999998</v>
      </c>
      <c r="AG907" s="175">
        <v>1.18</v>
      </c>
      <c r="AH907" s="334"/>
      <c r="AI907" s="188"/>
      <c r="AJ907" s="188"/>
      <c r="AK907" s="188"/>
      <c r="AL907" s="189"/>
      <c r="AM907" s="189"/>
      <c r="AN907" s="189"/>
      <c r="AO907" s="189"/>
      <c r="AP907" s="189"/>
      <c r="AQ907" s="189"/>
      <c r="AR907" s="189"/>
      <c r="AS907" s="189"/>
      <c r="AT907" s="189"/>
      <c r="AU907" s="190"/>
      <c r="AV907" s="190"/>
      <c r="AW907" s="190"/>
      <c r="AX907" s="190"/>
      <c r="AY907" s="190"/>
      <c r="AZ907" s="189"/>
      <c r="BA907" s="189"/>
      <c r="BB907" s="189"/>
      <c r="BC907" s="189"/>
      <c r="BD907" s="189"/>
      <c r="BE907" s="189"/>
      <c r="BF907" s="189"/>
      <c r="BG907" s="189"/>
      <c r="BH907" s="189"/>
      <c r="BI907" s="190"/>
      <c r="BJ907" s="190"/>
      <c r="BK907" s="190"/>
      <c r="BL907" s="190"/>
      <c r="BM907" s="190"/>
      <c r="BN907" s="190"/>
      <c r="BO907" s="190"/>
      <c r="BP907" s="190"/>
      <c r="BQ907" s="190"/>
      <c r="BR907" s="190"/>
      <c r="BS907" s="190"/>
      <c r="BT907" s="190"/>
      <c r="BU907" s="190"/>
      <c r="BV907" s="190"/>
      <c r="BW907" s="190"/>
      <c r="BX907" s="190"/>
      <c r="BY907" s="190"/>
      <c r="BZ907" s="190"/>
      <c r="CA907" s="189"/>
      <c r="CB907" s="15"/>
    </row>
    <row r="908" spans="1:80" ht="15" x14ac:dyDescent="0.25">
      <c r="A908" s="167"/>
      <c r="B908" s="642"/>
      <c r="C908" s="642"/>
      <c r="D908" s="179"/>
      <c r="E908" s="169"/>
      <c r="F908" s="169"/>
      <c r="G908" s="187"/>
      <c r="H908" s="187"/>
      <c r="I908" s="187"/>
      <c r="J908" s="187"/>
      <c r="K908" s="187"/>
      <c r="L908" s="647"/>
      <c r="M908" s="646">
        <v>33782</v>
      </c>
      <c r="N908" s="585">
        <v>3.14</v>
      </c>
      <c r="O908" s="585">
        <v>2.155E-2</v>
      </c>
      <c r="P908" s="175">
        <v>0</v>
      </c>
      <c r="Q908" s="175">
        <v>0</v>
      </c>
      <c r="R908" s="175">
        <v>0</v>
      </c>
      <c r="S908" s="175">
        <v>3.0500000000000002E-3</v>
      </c>
      <c r="T908" s="175">
        <v>4.62E-3</v>
      </c>
      <c r="U908" s="175">
        <v>4.5100000000000001E-3</v>
      </c>
      <c r="V908" s="706">
        <v>9.3699999999999999E-3</v>
      </c>
      <c r="W908" s="717"/>
      <c r="X908" s="713"/>
      <c r="Y908" s="718"/>
      <c r="Z908" s="709">
        <v>13</v>
      </c>
      <c r="AA908" s="175"/>
      <c r="AB908" s="200"/>
      <c r="AC908" s="205">
        <v>1.4E-2</v>
      </c>
      <c r="AD908" s="175">
        <v>8.1999999999999993</v>
      </c>
      <c r="AE908" s="175">
        <v>0.35</v>
      </c>
      <c r="AF908" s="170">
        <f t="shared" si="16"/>
        <v>2.8699999999999997</v>
      </c>
      <c r="AG908" s="175">
        <v>1.1299999999999999</v>
      </c>
      <c r="AH908" s="334"/>
      <c r="AI908" s="188"/>
      <c r="AJ908" s="188"/>
      <c r="AK908" s="188"/>
      <c r="AL908" s="189"/>
      <c r="AM908" s="189"/>
      <c r="AN908" s="189"/>
      <c r="AO908" s="189"/>
      <c r="AP908" s="189"/>
      <c r="AQ908" s="189"/>
      <c r="AR908" s="189"/>
      <c r="AS908" s="189"/>
      <c r="AT908" s="189"/>
      <c r="AU908" s="190"/>
      <c r="AV908" s="190"/>
      <c r="AW908" s="190"/>
      <c r="AX908" s="190"/>
      <c r="AY908" s="190"/>
      <c r="AZ908" s="189"/>
      <c r="BA908" s="189"/>
      <c r="BB908" s="189"/>
      <c r="BC908" s="189"/>
      <c r="BD908" s="189"/>
      <c r="BE908" s="189"/>
      <c r="BF908" s="189"/>
      <c r="BG908" s="189"/>
      <c r="BH908" s="189"/>
      <c r="BI908" s="190"/>
      <c r="BJ908" s="190"/>
      <c r="BK908" s="190"/>
      <c r="BL908" s="190"/>
      <c r="BM908" s="190"/>
      <c r="BN908" s="190"/>
      <c r="BO908" s="190"/>
      <c r="BP908" s="190"/>
      <c r="BQ908" s="190"/>
      <c r="BR908" s="190"/>
      <c r="BS908" s="190"/>
      <c r="BT908" s="190"/>
      <c r="BU908" s="190"/>
      <c r="BV908" s="190"/>
      <c r="BW908" s="190"/>
      <c r="BX908" s="190"/>
      <c r="BY908" s="190"/>
      <c r="BZ908" s="190"/>
      <c r="CA908" s="189"/>
      <c r="CB908" s="15"/>
    </row>
    <row r="909" spans="1:80" ht="15" x14ac:dyDescent="0.25">
      <c r="A909" s="167"/>
      <c r="B909" s="642"/>
      <c r="C909" s="642"/>
      <c r="D909" s="179"/>
      <c r="E909" s="169"/>
      <c r="F909" s="169"/>
      <c r="G909" s="187"/>
      <c r="H909" s="187"/>
      <c r="I909" s="187"/>
      <c r="J909" s="187"/>
      <c r="K909" s="187"/>
      <c r="L909" s="647"/>
      <c r="M909" s="646">
        <v>33782</v>
      </c>
      <c r="N909" s="585">
        <v>3.04</v>
      </c>
      <c r="O909" s="585">
        <v>1.899E-2</v>
      </c>
      <c r="P909" s="175">
        <v>0</v>
      </c>
      <c r="Q909" s="175">
        <v>0</v>
      </c>
      <c r="R909" s="175">
        <v>0</v>
      </c>
      <c r="S909" s="175">
        <v>3.3500000000000001E-3</v>
      </c>
      <c r="T909" s="175">
        <v>5.0800000000000003E-3</v>
      </c>
      <c r="U909" s="175">
        <v>4.81E-3</v>
      </c>
      <c r="V909" s="706">
        <v>5.7600000000000004E-3</v>
      </c>
      <c r="W909" s="717"/>
      <c r="X909" s="713"/>
      <c r="Y909" s="718"/>
      <c r="Z909" s="709">
        <v>16</v>
      </c>
      <c r="AA909" s="175"/>
      <c r="AB909" s="200"/>
      <c r="AC909" s="205">
        <v>2.1999999999999999E-2</v>
      </c>
      <c r="AD909" s="175">
        <v>8.1999999999999993</v>
      </c>
      <c r="AE909" s="175">
        <v>0.35</v>
      </c>
      <c r="AF909" s="170">
        <f t="shared" si="16"/>
        <v>2.8699999999999997</v>
      </c>
      <c r="AG909" s="175">
        <v>1.1200000000000001</v>
      </c>
      <c r="AH909" s="334"/>
      <c r="AI909" s="188"/>
      <c r="AJ909" s="188"/>
      <c r="AK909" s="188"/>
      <c r="AL909" s="189"/>
      <c r="AM909" s="189"/>
      <c r="AN909" s="189"/>
      <c r="AO909" s="189"/>
      <c r="AP909" s="189"/>
      <c r="AQ909" s="189"/>
      <c r="AR909" s="189"/>
      <c r="AS909" s="189"/>
      <c r="AT909" s="189"/>
      <c r="AU909" s="190"/>
      <c r="AV909" s="190"/>
      <c r="AW909" s="190"/>
      <c r="AX909" s="190"/>
      <c r="AY909" s="190"/>
      <c r="AZ909" s="189"/>
      <c r="BA909" s="189"/>
      <c r="BB909" s="189"/>
      <c r="BC909" s="189"/>
      <c r="BD909" s="189"/>
      <c r="BE909" s="189"/>
      <c r="BF909" s="189"/>
      <c r="BG909" s="189"/>
      <c r="BH909" s="189"/>
      <c r="BI909" s="190"/>
      <c r="BJ909" s="190"/>
      <c r="BK909" s="190"/>
      <c r="BL909" s="190"/>
      <c r="BM909" s="190"/>
      <c r="BN909" s="190"/>
      <c r="BO909" s="190"/>
      <c r="BP909" s="190"/>
      <c r="BQ909" s="190"/>
      <c r="BR909" s="190"/>
      <c r="BS909" s="190"/>
      <c r="BT909" s="190"/>
      <c r="BU909" s="190"/>
      <c r="BV909" s="190"/>
      <c r="BW909" s="190"/>
      <c r="BX909" s="190"/>
      <c r="BY909" s="190"/>
      <c r="BZ909" s="190"/>
      <c r="CA909" s="189"/>
      <c r="CB909" s="15"/>
    </row>
    <row r="910" spans="1:80" ht="15" x14ac:dyDescent="0.25">
      <c r="A910" s="167"/>
      <c r="B910" s="642"/>
      <c r="C910" s="642"/>
      <c r="D910" s="179"/>
      <c r="E910" s="169"/>
      <c r="F910" s="169"/>
      <c r="G910" s="187"/>
      <c r="H910" s="187"/>
      <c r="I910" s="187"/>
      <c r="J910" s="187"/>
      <c r="K910" s="187"/>
      <c r="L910" s="647"/>
      <c r="M910" s="646">
        <v>33783</v>
      </c>
      <c r="N910" s="585">
        <v>2.95</v>
      </c>
      <c r="O910" s="585">
        <v>3.4540000000000001E-2</v>
      </c>
      <c r="P910" s="175">
        <v>0</v>
      </c>
      <c r="Q910" s="175">
        <v>0</v>
      </c>
      <c r="R910" s="175">
        <v>3.5E-4</v>
      </c>
      <c r="S910" s="175">
        <v>2.4499999999999999E-3</v>
      </c>
      <c r="T910" s="175">
        <v>6.1500000000000001E-3</v>
      </c>
      <c r="U910" s="175">
        <v>7.5500000000000003E-3</v>
      </c>
      <c r="V910" s="706">
        <v>1.804E-2</v>
      </c>
      <c r="W910" s="717"/>
      <c r="X910" s="713"/>
      <c r="Y910" s="718"/>
      <c r="Z910" s="709">
        <v>17</v>
      </c>
      <c r="AA910" s="175"/>
      <c r="AB910" s="200"/>
      <c r="AC910" s="205">
        <v>1.9E-2</v>
      </c>
      <c r="AD910" s="175">
        <v>8.1999999999999993</v>
      </c>
      <c r="AE910" s="175">
        <v>0.35</v>
      </c>
      <c r="AF910" s="170">
        <f t="shared" si="16"/>
        <v>2.8699999999999997</v>
      </c>
      <c r="AG910" s="175">
        <v>1.1100000000000001</v>
      </c>
      <c r="AH910" s="334"/>
      <c r="AI910" s="188"/>
      <c r="AJ910" s="188"/>
      <c r="AK910" s="188"/>
      <c r="AL910" s="189"/>
      <c r="AM910" s="189"/>
      <c r="AN910" s="189"/>
      <c r="AO910" s="189"/>
      <c r="AP910" s="189"/>
      <c r="AQ910" s="189"/>
      <c r="AR910" s="189"/>
      <c r="AS910" s="189"/>
      <c r="AT910" s="189"/>
      <c r="AU910" s="190"/>
      <c r="AV910" s="190"/>
      <c r="AW910" s="190"/>
      <c r="AX910" s="190"/>
      <c r="AY910" s="190"/>
      <c r="AZ910" s="189"/>
      <c r="BA910" s="189"/>
      <c r="BB910" s="189"/>
      <c r="BC910" s="189"/>
      <c r="BD910" s="189"/>
      <c r="BE910" s="189"/>
      <c r="BF910" s="189"/>
      <c r="BG910" s="189"/>
      <c r="BH910" s="189"/>
      <c r="BI910" s="190"/>
      <c r="BJ910" s="190"/>
      <c r="BK910" s="190"/>
      <c r="BL910" s="190"/>
      <c r="BM910" s="190"/>
      <c r="BN910" s="190"/>
      <c r="BO910" s="190"/>
      <c r="BP910" s="190"/>
      <c r="BQ910" s="190"/>
      <c r="BR910" s="190"/>
      <c r="BS910" s="190"/>
      <c r="BT910" s="190"/>
      <c r="BU910" s="190"/>
      <c r="BV910" s="190"/>
      <c r="BW910" s="190"/>
      <c r="BX910" s="190"/>
      <c r="BY910" s="190"/>
      <c r="BZ910" s="190"/>
      <c r="CA910" s="189"/>
      <c r="CB910" s="15"/>
    </row>
    <row r="911" spans="1:80" ht="15" x14ac:dyDescent="0.25">
      <c r="A911" s="167"/>
      <c r="B911" s="642"/>
      <c r="C911" s="642"/>
      <c r="D911" s="179"/>
      <c r="E911" s="169"/>
      <c r="F911" s="169"/>
      <c r="G911" s="187"/>
      <c r="H911" s="187"/>
      <c r="I911" s="187"/>
      <c r="J911" s="187"/>
      <c r="K911" s="187"/>
      <c r="L911" s="647"/>
      <c r="M911" s="646">
        <v>33783</v>
      </c>
      <c r="N911" s="585">
        <v>2.76</v>
      </c>
      <c r="O911" s="585">
        <v>1.7389999999999999E-2</v>
      </c>
      <c r="P911" s="175">
        <v>0</v>
      </c>
      <c r="Q911" s="175">
        <v>0</v>
      </c>
      <c r="R911" s="175">
        <v>1.1800000000000001E-3</v>
      </c>
      <c r="S911" s="175">
        <v>2.5300000000000001E-3</v>
      </c>
      <c r="T911" s="175">
        <v>1.2999999999999999E-3</v>
      </c>
      <c r="U911" s="175">
        <v>2.6199999999999999E-3</v>
      </c>
      <c r="V911" s="706">
        <v>9.7699999999999992E-3</v>
      </c>
      <c r="W911" s="717"/>
      <c r="X911" s="713"/>
      <c r="Y911" s="718"/>
      <c r="Z911" s="709">
        <v>22</v>
      </c>
      <c r="AA911" s="175"/>
      <c r="AB911" s="200"/>
      <c r="AC911" s="205">
        <v>2.1999999999999999E-2</v>
      </c>
      <c r="AD911" s="175">
        <v>8.1999999999999993</v>
      </c>
      <c r="AE911" s="175">
        <v>0.36</v>
      </c>
      <c r="AF911" s="170">
        <f t="shared" si="16"/>
        <v>2.9519999999999995</v>
      </c>
      <c r="AG911" s="175">
        <v>1.08</v>
      </c>
      <c r="AH911" s="334"/>
      <c r="AI911" s="188"/>
      <c r="AJ911" s="188"/>
      <c r="AK911" s="188"/>
      <c r="AL911" s="189"/>
      <c r="AM911" s="189"/>
      <c r="AN911" s="189"/>
      <c r="AO911" s="189"/>
      <c r="AP911" s="189"/>
      <c r="AQ911" s="189"/>
      <c r="AR911" s="189"/>
      <c r="AS911" s="189"/>
      <c r="AT911" s="189"/>
      <c r="AU911" s="190"/>
      <c r="AV911" s="190"/>
      <c r="AW911" s="190"/>
      <c r="AX911" s="190"/>
      <c r="AY911" s="190"/>
      <c r="AZ911" s="189"/>
      <c r="BA911" s="189"/>
      <c r="BB911" s="189"/>
      <c r="BC911" s="189"/>
      <c r="BD911" s="189"/>
      <c r="BE911" s="189"/>
      <c r="BF911" s="189"/>
      <c r="BG911" s="189"/>
      <c r="BH911" s="189"/>
      <c r="BI911" s="190"/>
      <c r="BJ911" s="190"/>
      <c r="BK911" s="190"/>
      <c r="BL911" s="190"/>
      <c r="BM911" s="190"/>
      <c r="BN911" s="190"/>
      <c r="BO911" s="190"/>
      <c r="BP911" s="190"/>
      <c r="BQ911" s="190"/>
      <c r="BR911" s="190"/>
      <c r="BS911" s="190"/>
      <c r="BT911" s="190"/>
      <c r="BU911" s="190"/>
      <c r="BV911" s="190"/>
      <c r="BW911" s="190"/>
      <c r="BX911" s="190"/>
      <c r="BY911" s="190"/>
      <c r="BZ911" s="190"/>
      <c r="CA911" s="189"/>
      <c r="CB911" s="15"/>
    </row>
    <row r="912" spans="1:80" ht="15" x14ac:dyDescent="0.25">
      <c r="A912" s="167"/>
      <c r="B912" s="642"/>
      <c r="C912" s="642"/>
      <c r="D912" s="179"/>
      <c r="E912" s="169"/>
      <c r="F912" s="169"/>
      <c r="G912" s="187"/>
      <c r="H912" s="187"/>
      <c r="I912" s="187"/>
      <c r="J912" s="187"/>
      <c r="K912" s="187"/>
      <c r="L912" s="647"/>
      <c r="M912" s="646">
        <v>33783</v>
      </c>
      <c r="N912" s="585">
        <v>2.85</v>
      </c>
      <c r="O912" s="585">
        <v>1.753E-2</v>
      </c>
      <c r="P912" s="175">
        <v>0</v>
      </c>
      <c r="Q912" s="175">
        <v>0</v>
      </c>
      <c r="R912" s="175">
        <v>0</v>
      </c>
      <c r="S912" s="175">
        <v>3.6000000000000002E-4</v>
      </c>
      <c r="T912" s="175">
        <v>1.48E-3</v>
      </c>
      <c r="U912" s="175">
        <v>3.81E-3</v>
      </c>
      <c r="V912" s="706">
        <v>1.187E-2</v>
      </c>
      <c r="W912" s="717"/>
      <c r="X912" s="713"/>
      <c r="Y912" s="718"/>
      <c r="Z912" s="709">
        <v>12</v>
      </c>
      <c r="AA912" s="175"/>
      <c r="AB912" s="200"/>
      <c r="AC912" s="205">
        <v>1.6E-2</v>
      </c>
      <c r="AD912" s="175">
        <v>8</v>
      </c>
      <c r="AE912" s="175">
        <v>0.36</v>
      </c>
      <c r="AF912" s="170">
        <f t="shared" si="16"/>
        <v>2.88</v>
      </c>
      <c r="AG912" s="175">
        <v>1.05</v>
      </c>
      <c r="AH912" s="334"/>
      <c r="AI912" s="188"/>
      <c r="AJ912" s="188"/>
      <c r="AK912" s="188"/>
      <c r="AL912" s="189"/>
      <c r="AM912" s="189"/>
      <c r="AN912" s="189"/>
      <c r="AO912" s="189"/>
      <c r="AP912" s="189"/>
      <c r="AQ912" s="189"/>
      <c r="AR912" s="189"/>
      <c r="AS912" s="189"/>
      <c r="AT912" s="189"/>
      <c r="AU912" s="190"/>
      <c r="AV912" s="190"/>
      <c r="AW912" s="190"/>
      <c r="AX912" s="190"/>
      <c r="AY912" s="190"/>
      <c r="AZ912" s="189"/>
      <c r="BA912" s="189"/>
      <c r="BB912" s="189"/>
      <c r="BC912" s="189"/>
      <c r="BD912" s="189"/>
      <c r="BE912" s="189"/>
      <c r="BF912" s="189"/>
      <c r="BG912" s="189"/>
      <c r="BH912" s="189"/>
      <c r="BI912" s="190"/>
      <c r="BJ912" s="190"/>
      <c r="BK912" s="190"/>
      <c r="BL912" s="190"/>
      <c r="BM912" s="190"/>
      <c r="BN912" s="190"/>
      <c r="BO912" s="190"/>
      <c r="BP912" s="190"/>
      <c r="BQ912" s="190"/>
      <c r="BR912" s="190"/>
      <c r="BS912" s="190"/>
      <c r="BT912" s="190"/>
      <c r="BU912" s="190"/>
      <c r="BV912" s="190"/>
      <c r="BW912" s="190"/>
      <c r="BX912" s="190"/>
      <c r="BY912" s="190"/>
      <c r="BZ912" s="190"/>
      <c r="CA912" s="189"/>
      <c r="CB912" s="15"/>
    </row>
    <row r="913" spans="1:80" ht="15" x14ac:dyDescent="0.25">
      <c r="A913" s="167"/>
      <c r="B913" s="642"/>
      <c r="C913" s="642"/>
      <c r="D913" s="179"/>
      <c r="E913" s="169"/>
      <c r="F913" s="169"/>
      <c r="G913" s="187"/>
      <c r="H913" s="187"/>
      <c r="I913" s="187"/>
      <c r="J913" s="187"/>
      <c r="K913" s="187"/>
      <c r="L913" s="647"/>
      <c r="M913" s="646">
        <v>34118</v>
      </c>
      <c r="N913" s="585">
        <v>1.85</v>
      </c>
      <c r="O913" s="585">
        <v>9.1999999999999998E-3</v>
      </c>
      <c r="P913" s="175">
        <v>0</v>
      </c>
      <c r="Q913" s="175">
        <v>0</v>
      </c>
      <c r="R913" s="175">
        <v>0</v>
      </c>
      <c r="S913" s="175">
        <v>0</v>
      </c>
      <c r="T913" s="175">
        <v>4.4999999999999999E-4</v>
      </c>
      <c r="U913" s="175">
        <v>1.9300000000000001E-3</v>
      </c>
      <c r="V913" s="706">
        <v>6.8399999999999997E-3</v>
      </c>
      <c r="W913" s="717"/>
      <c r="X913" s="713"/>
      <c r="Y913" s="718"/>
      <c r="Z913" s="709">
        <v>7</v>
      </c>
      <c r="AA913" s="175"/>
      <c r="AB913" s="200"/>
      <c r="AC913" s="205">
        <v>1.0999999999999999E-2</v>
      </c>
      <c r="AD913" s="175">
        <v>7.49</v>
      </c>
      <c r="AE913" s="175">
        <v>0.27</v>
      </c>
      <c r="AF913" s="170">
        <f t="shared" si="16"/>
        <v>2.0223</v>
      </c>
      <c r="AG913" s="175">
        <v>0.83</v>
      </c>
      <c r="AH913" s="334"/>
      <c r="AI913" s="188"/>
      <c r="AJ913" s="188"/>
      <c r="AK913" s="188"/>
      <c r="AL913" s="189"/>
      <c r="AM913" s="189"/>
      <c r="AN913" s="189"/>
      <c r="AO913" s="189"/>
      <c r="AP913" s="189"/>
      <c r="AQ913" s="189"/>
      <c r="AR913" s="189"/>
      <c r="AS913" s="189"/>
      <c r="AT913" s="189"/>
      <c r="AU913" s="190"/>
      <c r="AV913" s="190"/>
      <c r="AW913" s="190"/>
      <c r="AX913" s="190"/>
      <c r="AY913" s="190"/>
      <c r="AZ913" s="189"/>
      <c r="BA913" s="189"/>
      <c r="BB913" s="189"/>
      <c r="BC913" s="189"/>
      <c r="BD913" s="189"/>
      <c r="BE913" s="189"/>
      <c r="BF913" s="189"/>
      <c r="BG913" s="189"/>
      <c r="BH913" s="189"/>
      <c r="BI913" s="190"/>
      <c r="BJ913" s="190"/>
      <c r="BK913" s="190"/>
      <c r="BL913" s="190"/>
      <c r="BM913" s="190"/>
      <c r="BN913" s="190"/>
      <c r="BO913" s="190"/>
      <c r="BP913" s="190"/>
      <c r="BQ913" s="190"/>
      <c r="BR913" s="190"/>
      <c r="BS913" s="190"/>
      <c r="BT913" s="190"/>
      <c r="BU913" s="190"/>
      <c r="BV913" s="190"/>
      <c r="BW913" s="190"/>
      <c r="BX913" s="190"/>
      <c r="BY913" s="190"/>
      <c r="BZ913" s="190"/>
      <c r="CA913" s="189"/>
      <c r="CB913" s="15"/>
    </row>
    <row r="914" spans="1:80" ht="15" x14ac:dyDescent="0.25">
      <c r="A914" s="167"/>
      <c r="B914" s="642"/>
      <c r="C914" s="642"/>
      <c r="D914" s="179"/>
      <c r="E914" s="169"/>
      <c r="F914" s="169"/>
      <c r="G914" s="187"/>
      <c r="H914" s="187"/>
      <c r="I914" s="187"/>
      <c r="J914" s="187"/>
      <c r="K914" s="187"/>
      <c r="L914" s="647"/>
      <c r="M914" s="646">
        <v>34121</v>
      </c>
      <c r="N914" s="585">
        <v>3.34</v>
      </c>
      <c r="O914" s="585">
        <v>8.5300000000000001E-2</v>
      </c>
      <c r="P914" s="175">
        <v>0</v>
      </c>
      <c r="Q914" s="175">
        <v>0</v>
      </c>
      <c r="R914" s="175">
        <v>6.0999999999999997E-4</v>
      </c>
      <c r="S914" s="175">
        <v>5.6100000000000004E-3</v>
      </c>
      <c r="T914" s="175">
        <v>8.4399999999999996E-3</v>
      </c>
      <c r="U914" s="175">
        <v>1.8409999999999999E-2</v>
      </c>
      <c r="V914" s="706">
        <v>5.2260000000000001E-2</v>
      </c>
      <c r="W914" s="717"/>
      <c r="X914" s="713"/>
      <c r="Y914" s="718"/>
      <c r="Z914" s="709">
        <v>20</v>
      </c>
      <c r="AA914" s="175"/>
      <c r="AB914" s="200"/>
      <c r="AC914" s="205">
        <v>1.4E-2</v>
      </c>
      <c r="AD914" s="175">
        <v>8.3699999999999992</v>
      </c>
      <c r="AE914" s="175">
        <v>0</v>
      </c>
      <c r="AF914" s="175">
        <v>0</v>
      </c>
      <c r="AG914" s="175">
        <v>0</v>
      </c>
      <c r="AH914" s="334"/>
      <c r="AI914" s="188"/>
      <c r="AJ914" s="188"/>
      <c r="AK914" s="188"/>
      <c r="AL914" s="189"/>
      <c r="AM914" s="189"/>
      <c r="AN914" s="189"/>
      <c r="AO914" s="189"/>
      <c r="AP914" s="189"/>
      <c r="AQ914" s="189"/>
      <c r="AR914" s="189"/>
      <c r="AS914" s="189"/>
      <c r="AT914" s="189"/>
      <c r="AU914" s="190"/>
      <c r="AV914" s="190"/>
      <c r="AW914" s="190"/>
      <c r="AX914" s="190"/>
      <c r="AY914" s="190"/>
      <c r="AZ914" s="189"/>
      <c r="BA914" s="189"/>
      <c r="BB914" s="189"/>
      <c r="BC914" s="189"/>
      <c r="BD914" s="189"/>
      <c r="BE914" s="189"/>
      <c r="BF914" s="189"/>
      <c r="BG914" s="189"/>
      <c r="BH914" s="189"/>
      <c r="BI914" s="190"/>
      <c r="BJ914" s="190"/>
      <c r="BK914" s="190"/>
      <c r="BL914" s="190"/>
      <c r="BM914" s="190"/>
      <c r="BN914" s="190"/>
      <c r="BO914" s="190"/>
      <c r="BP914" s="190"/>
      <c r="BQ914" s="190"/>
      <c r="BR914" s="190"/>
      <c r="BS914" s="190"/>
      <c r="BT914" s="190"/>
      <c r="BU914" s="190"/>
      <c r="BV914" s="190"/>
      <c r="BW914" s="190"/>
      <c r="BX914" s="190"/>
      <c r="BY914" s="190"/>
      <c r="BZ914" s="190"/>
      <c r="CA914" s="189"/>
      <c r="CB914" s="15"/>
    </row>
    <row r="915" spans="1:80" ht="15" x14ac:dyDescent="0.25">
      <c r="A915" s="167"/>
      <c r="B915" s="642"/>
      <c r="C915" s="642"/>
      <c r="D915" s="179"/>
      <c r="E915" s="169"/>
      <c r="F915" s="169"/>
      <c r="G915" s="187"/>
      <c r="H915" s="187"/>
      <c r="I915" s="187"/>
      <c r="J915" s="187"/>
      <c r="K915" s="187"/>
      <c r="L915" s="647"/>
      <c r="M915" s="646">
        <v>34122</v>
      </c>
      <c r="N915" s="585">
        <v>3.6</v>
      </c>
      <c r="O915" s="585">
        <v>0.111</v>
      </c>
      <c r="P915" s="175">
        <v>0</v>
      </c>
      <c r="Q915" s="175">
        <v>0</v>
      </c>
      <c r="R915" s="175">
        <v>5.9300000000000004E-3</v>
      </c>
      <c r="S915" s="175">
        <v>1.242E-2</v>
      </c>
      <c r="T915" s="175">
        <v>1.468E-2</v>
      </c>
      <c r="U915" s="175">
        <v>2.111E-2</v>
      </c>
      <c r="V915" s="706">
        <v>5.6910000000000002E-2</v>
      </c>
      <c r="W915" s="717"/>
      <c r="X915" s="713"/>
      <c r="Y915" s="718"/>
      <c r="Z915" s="709">
        <v>35</v>
      </c>
      <c r="AA915" s="175"/>
      <c r="AB915" s="200"/>
      <c r="AC915" s="205">
        <v>8.0000000000000002E-3</v>
      </c>
      <c r="AD915" s="175">
        <v>8.65</v>
      </c>
      <c r="AE915" s="175">
        <v>0.34</v>
      </c>
      <c r="AF915" s="170">
        <f t="shared" si="16"/>
        <v>2.9410000000000003</v>
      </c>
      <c r="AG915" s="175">
        <v>1.1399999999999999</v>
      </c>
      <c r="AH915" s="334"/>
      <c r="AI915" s="188"/>
      <c r="AJ915" s="188"/>
      <c r="AK915" s="188"/>
      <c r="AL915" s="189"/>
      <c r="AM915" s="189"/>
      <c r="AN915" s="189"/>
      <c r="AO915" s="189"/>
      <c r="AP915" s="189"/>
      <c r="AQ915" s="189"/>
      <c r="AR915" s="189"/>
      <c r="AS915" s="189"/>
      <c r="AT915" s="189"/>
      <c r="AU915" s="190"/>
      <c r="AV915" s="190"/>
      <c r="AW915" s="190"/>
      <c r="AX915" s="190"/>
      <c r="AY915" s="190"/>
      <c r="AZ915" s="189"/>
      <c r="BA915" s="189"/>
      <c r="BB915" s="189"/>
      <c r="BC915" s="189"/>
      <c r="BD915" s="189"/>
      <c r="BE915" s="189"/>
      <c r="BF915" s="189"/>
      <c r="BG915" s="189"/>
      <c r="BH915" s="189"/>
      <c r="BI915" s="190"/>
      <c r="BJ915" s="190"/>
      <c r="BK915" s="190"/>
      <c r="BL915" s="190"/>
      <c r="BM915" s="190"/>
      <c r="BN915" s="190"/>
      <c r="BO915" s="190"/>
      <c r="BP915" s="190"/>
      <c r="BQ915" s="190"/>
      <c r="BR915" s="190"/>
      <c r="BS915" s="190"/>
      <c r="BT915" s="190"/>
      <c r="BU915" s="190"/>
      <c r="BV915" s="190"/>
      <c r="BW915" s="190"/>
      <c r="BX915" s="190"/>
      <c r="BY915" s="190"/>
      <c r="BZ915" s="190"/>
      <c r="CA915" s="189"/>
      <c r="CB915" s="15"/>
    </row>
    <row r="916" spans="1:80" ht="15" x14ac:dyDescent="0.25">
      <c r="A916" s="167"/>
      <c r="B916" s="642"/>
      <c r="C916" s="642"/>
      <c r="D916" s="179"/>
      <c r="E916" s="169"/>
      <c r="F916" s="169"/>
      <c r="G916" s="187"/>
      <c r="H916" s="187"/>
      <c r="I916" s="187"/>
      <c r="J916" s="187"/>
      <c r="K916" s="187"/>
      <c r="L916" s="647"/>
      <c r="M916" s="646">
        <v>34123</v>
      </c>
      <c r="N916" s="585">
        <v>3.85</v>
      </c>
      <c r="O916" s="585">
        <v>7.7700000000000005E-2</v>
      </c>
      <c r="P916" s="175">
        <v>0</v>
      </c>
      <c r="Q916" s="175">
        <v>0</v>
      </c>
      <c r="R916" s="175">
        <v>1.23E-3</v>
      </c>
      <c r="S916" s="175">
        <v>7.8799999999999999E-3</v>
      </c>
      <c r="T916" s="175">
        <v>6.0800000000000003E-3</v>
      </c>
      <c r="U916" s="175">
        <v>1.192E-2</v>
      </c>
      <c r="V916" s="706">
        <v>5.0610000000000002E-2</v>
      </c>
      <c r="W916" s="717"/>
      <c r="X916" s="713"/>
      <c r="Y916" s="718"/>
      <c r="Z916" s="709">
        <v>19</v>
      </c>
      <c r="AA916" s="175"/>
      <c r="AB916" s="200"/>
      <c r="AC916" s="205">
        <v>1.4999999999999999E-2</v>
      </c>
      <c r="AD916" s="175">
        <v>8.9499999999999993</v>
      </c>
      <c r="AE916" s="175">
        <v>0.35</v>
      </c>
      <c r="AF916" s="170">
        <f t="shared" si="16"/>
        <v>3.1324999999999994</v>
      </c>
      <c r="AG916" s="175">
        <v>1.26</v>
      </c>
      <c r="AH916" s="334"/>
      <c r="AI916" s="188"/>
      <c r="AJ916" s="188"/>
      <c r="AK916" s="188"/>
      <c r="AL916" s="189"/>
      <c r="AM916" s="189"/>
      <c r="AN916" s="189"/>
      <c r="AO916" s="189"/>
      <c r="AP916" s="189"/>
      <c r="AQ916" s="189"/>
      <c r="AR916" s="189"/>
      <c r="AS916" s="189"/>
      <c r="AT916" s="189"/>
      <c r="AU916" s="190"/>
      <c r="AV916" s="190"/>
      <c r="AW916" s="190"/>
      <c r="AX916" s="190"/>
      <c r="AY916" s="190"/>
      <c r="AZ916" s="189"/>
      <c r="BA916" s="189"/>
      <c r="BB916" s="189"/>
      <c r="BC916" s="189"/>
      <c r="BD916" s="189"/>
      <c r="BE916" s="189"/>
      <c r="BF916" s="189"/>
      <c r="BG916" s="189"/>
      <c r="BH916" s="189"/>
      <c r="BI916" s="190"/>
      <c r="BJ916" s="190"/>
      <c r="BK916" s="190"/>
      <c r="BL916" s="190"/>
      <c r="BM916" s="190"/>
      <c r="BN916" s="190"/>
      <c r="BO916" s="190"/>
      <c r="BP916" s="190"/>
      <c r="BQ916" s="190"/>
      <c r="BR916" s="190"/>
      <c r="BS916" s="190"/>
      <c r="BT916" s="190"/>
      <c r="BU916" s="190"/>
      <c r="BV916" s="190"/>
      <c r="BW916" s="190"/>
      <c r="BX916" s="190"/>
      <c r="BY916" s="190"/>
      <c r="BZ916" s="190"/>
      <c r="CA916" s="189"/>
      <c r="CB916" s="15"/>
    </row>
    <row r="917" spans="1:80" ht="15" x14ac:dyDescent="0.25">
      <c r="A917" s="167"/>
      <c r="B917" s="642"/>
      <c r="C917" s="642"/>
      <c r="D917" s="179"/>
      <c r="E917" s="169"/>
      <c r="F917" s="169"/>
      <c r="G917" s="187"/>
      <c r="H917" s="187"/>
      <c r="I917" s="187"/>
      <c r="J917" s="187"/>
      <c r="K917" s="187"/>
      <c r="L917" s="647"/>
      <c r="M917" s="646">
        <v>34123</v>
      </c>
      <c r="N917" s="585">
        <v>4.38</v>
      </c>
      <c r="O917" s="585">
        <v>7.8899999999999998E-2</v>
      </c>
      <c r="P917" s="175">
        <v>0</v>
      </c>
      <c r="Q917" s="175">
        <v>0</v>
      </c>
      <c r="R917" s="175">
        <v>3.8000000000000002E-4</v>
      </c>
      <c r="S917" s="175">
        <v>7.2100000000000003E-3</v>
      </c>
      <c r="T917" s="175">
        <v>8.1600000000000006E-3</v>
      </c>
      <c r="U917" s="175">
        <v>1.325E-2</v>
      </c>
      <c r="V917" s="706">
        <v>4.9860000000000002E-2</v>
      </c>
      <c r="W917" s="717"/>
      <c r="X917" s="713"/>
      <c r="Y917" s="718"/>
      <c r="Z917" s="709">
        <v>19</v>
      </c>
      <c r="AA917" s="175"/>
      <c r="AB917" s="200"/>
      <c r="AC917" s="205">
        <v>1.6E-2</v>
      </c>
      <c r="AD917" s="175">
        <v>9.0500000000000007</v>
      </c>
      <c r="AE917" s="175">
        <v>0.35</v>
      </c>
      <c r="AF917" s="170">
        <f t="shared" si="16"/>
        <v>3.1675</v>
      </c>
      <c r="AG917" s="175">
        <v>1.32</v>
      </c>
      <c r="AH917" s="334"/>
      <c r="AI917" s="188"/>
      <c r="AJ917" s="188"/>
      <c r="AK917" s="188"/>
      <c r="AL917" s="189"/>
      <c r="AM917" s="189"/>
      <c r="AN917" s="189"/>
      <c r="AO917" s="189"/>
      <c r="AP917" s="189"/>
      <c r="AQ917" s="189"/>
      <c r="AR917" s="189"/>
      <c r="AS917" s="189"/>
      <c r="AT917" s="189"/>
      <c r="AU917" s="190"/>
      <c r="AV917" s="190"/>
      <c r="AW917" s="190"/>
      <c r="AX917" s="190"/>
      <c r="AY917" s="190"/>
      <c r="AZ917" s="189"/>
      <c r="BA917" s="189"/>
      <c r="BB917" s="189"/>
      <c r="BC917" s="189"/>
      <c r="BD917" s="189"/>
      <c r="BE917" s="189"/>
      <c r="BF917" s="189"/>
      <c r="BG917" s="189"/>
      <c r="BH917" s="189"/>
      <c r="BI917" s="190"/>
      <c r="BJ917" s="190"/>
      <c r="BK917" s="190"/>
      <c r="BL917" s="190"/>
      <c r="BM917" s="190"/>
      <c r="BN917" s="190"/>
      <c r="BO917" s="190"/>
      <c r="BP917" s="190"/>
      <c r="BQ917" s="190"/>
      <c r="BR917" s="190"/>
      <c r="BS917" s="190"/>
      <c r="BT917" s="190"/>
      <c r="BU917" s="190"/>
      <c r="BV917" s="190"/>
      <c r="BW917" s="190"/>
      <c r="BX917" s="190"/>
      <c r="BY917" s="190"/>
      <c r="BZ917" s="190"/>
      <c r="CA917" s="189"/>
      <c r="CB917" s="15"/>
    </row>
    <row r="918" spans="1:80" ht="15" x14ac:dyDescent="0.25">
      <c r="A918" s="167"/>
      <c r="B918" s="642"/>
      <c r="C918" s="642"/>
      <c r="D918" s="179"/>
      <c r="E918" s="169"/>
      <c r="F918" s="169"/>
      <c r="G918" s="187"/>
      <c r="H918" s="187"/>
      <c r="I918" s="187"/>
      <c r="J918" s="187"/>
      <c r="K918" s="187"/>
      <c r="L918" s="647"/>
      <c r="M918" s="646">
        <v>34125</v>
      </c>
      <c r="N918" s="585">
        <v>3.63</v>
      </c>
      <c r="O918" s="585">
        <v>6.0100000000000001E-2</v>
      </c>
      <c r="P918" s="175">
        <v>0</v>
      </c>
      <c r="Q918" s="175">
        <v>1.7389999999999999E-2</v>
      </c>
      <c r="R918" s="175">
        <v>1.8400000000000001E-3</v>
      </c>
      <c r="S918" s="175">
        <v>4.3899999999999998E-3</v>
      </c>
      <c r="T918" s="175">
        <v>6.3299999999999997E-3</v>
      </c>
      <c r="U918" s="175">
        <v>9.0200000000000002E-3</v>
      </c>
      <c r="V918" s="706">
        <v>2.1100000000000001E-2</v>
      </c>
      <c r="W918" s="717"/>
      <c r="X918" s="713"/>
      <c r="Y918" s="718"/>
      <c r="Z918" s="709">
        <v>62</v>
      </c>
      <c r="AA918" s="175"/>
      <c r="AB918" s="200"/>
      <c r="AC918" s="205">
        <v>1.4999999999999999E-2</v>
      </c>
      <c r="AD918" s="175">
        <v>8.5299999999999994</v>
      </c>
      <c r="AE918" s="175">
        <v>0.35</v>
      </c>
      <c r="AF918" s="170">
        <f t="shared" si="16"/>
        <v>2.9854999999999996</v>
      </c>
      <c r="AG918" s="175">
        <v>1.25</v>
      </c>
      <c r="AH918" s="334"/>
      <c r="AI918" s="188"/>
      <c r="AJ918" s="188"/>
      <c r="AK918" s="188"/>
      <c r="AL918" s="189"/>
      <c r="AM918" s="189"/>
      <c r="AN918" s="189"/>
      <c r="AO918" s="189"/>
      <c r="AP918" s="189"/>
      <c r="AQ918" s="189"/>
      <c r="AR918" s="189"/>
      <c r="AS918" s="189"/>
      <c r="AT918" s="189"/>
      <c r="AU918" s="190"/>
      <c r="AV918" s="190"/>
      <c r="AW918" s="190"/>
      <c r="AX918" s="190"/>
      <c r="AY918" s="190"/>
      <c r="AZ918" s="189"/>
      <c r="BA918" s="189"/>
      <c r="BB918" s="189"/>
      <c r="BC918" s="189"/>
      <c r="BD918" s="189"/>
      <c r="BE918" s="189"/>
      <c r="BF918" s="189"/>
      <c r="BG918" s="189"/>
      <c r="BH918" s="189"/>
      <c r="BI918" s="190"/>
      <c r="BJ918" s="190"/>
      <c r="BK918" s="190"/>
      <c r="BL918" s="190"/>
      <c r="BM918" s="190"/>
      <c r="BN918" s="190"/>
      <c r="BO918" s="190"/>
      <c r="BP918" s="190"/>
      <c r="BQ918" s="190"/>
      <c r="BR918" s="190"/>
      <c r="BS918" s="190"/>
      <c r="BT918" s="190"/>
      <c r="BU918" s="190"/>
      <c r="BV918" s="190"/>
      <c r="BW918" s="190"/>
      <c r="BX918" s="190"/>
      <c r="BY918" s="190"/>
      <c r="BZ918" s="190"/>
      <c r="CA918" s="189"/>
      <c r="CB918" s="15"/>
    </row>
    <row r="919" spans="1:80" ht="15" x14ac:dyDescent="0.25">
      <c r="A919" s="167"/>
      <c r="B919" s="642"/>
      <c r="C919" s="642"/>
      <c r="D919" s="179"/>
      <c r="E919" s="169"/>
      <c r="F919" s="169"/>
      <c r="G919" s="187"/>
      <c r="H919" s="187"/>
      <c r="I919" s="187"/>
      <c r="J919" s="187"/>
      <c r="K919" s="187"/>
      <c r="L919" s="647"/>
      <c r="M919" s="646">
        <v>34128</v>
      </c>
      <c r="N919" s="585">
        <v>3.2</v>
      </c>
      <c r="O919" s="585">
        <v>5.2600000000000001E-2</v>
      </c>
      <c r="P919" s="175">
        <v>0</v>
      </c>
      <c r="Q919" s="175">
        <v>0</v>
      </c>
      <c r="R919" s="175">
        <v>0</v>
      </c>
      <c r="S919" s="175">
        <v>5.94E-3</v>
      </c>
      <c r="T919" s="175">
        <v>9.2099999999999994E-3</v>
      </c>
      <c r="U919" s="175">
        <v>1.3089999999999999E-2</v>
      </c>
      <c r="V919" s="706">
        <v>2.4379999999999999E-2</v>
      </c>
      <c r="W919" s="717"/>
      <c r="X919" s="713"/>
      <c r="Y919" s="718"/>
      <c r="Z919" s="709">
        <v>14</v>
      </c>
      <c r="AA919" s="175"/>
      <c r="AB919" s="200"/>
      <c r="AC919" s="205">
        <v>1.2E-2</v>
      </c>
      <c r="AD919" s="175">
        <v>8.5500000000000007</v>
      </c>
      <c r="AE919" s="175">
        <v>0.32</v>
      </c>
      <c r="AF919" s="170">
        <f t="shared" si="16"/>
        <v>2.7360000000000002</v>
      </c>
      <c r="AG919" s="175">
        <v>1.1299999999999999</v>
      </c>
      <c r="AH919" s="334"/>
      <c r="AI919" s="188"/>
      <c r="AJ919" s="188"/>
      <c r="AK919" s="188"/>
      <c r="AL919" s="189"/>
      <c r="AM919" s="189"/>
      <c r="AN919" s="189"/>
      <c r="AO919" s="189"/>
      <c r="AP919" s="189"/>
      <c r="AQ919" s="189"/>
      <c r="AR919" s="189"/>
      <c r="AS919" s="189"/>
      <c r="AT919" s="189"/>
      <c r="AU919" s="190"/>
      <c r="AV919" s="190"/>
      <c r="AW919" s="190"/>
      <c r="AX919" s="190"/>
      <c r="AY919" s="190"/>
      <c r="AZ919" s="189"/>
      <c r="BA919" s="189"/>
      <c r="BB919" s="189"/>
      <c r="BC919" s="189"/>
      <c r="BD919" s="189"/>
      <c r="BE919" s="189"/>
      <c r="BF919" s="189"/>
      <c r="BG919" s="189"/>
      <c r="BH919" s="189"/>
      <c r="BI919" s="190"/>
      <c r="BJ919" s="190"/>
      <c r="BK919" s="190"/>
      <c r="BL919" s="190"/>
      <c r="BM919" s="190"/>
      <c r="BN919" s="190"/>
      <c r="BO919" s="190"/>
      <c r="BP919" s="190"/>
      <c r="BQ919" s="190"/>
      <c r="BR919" s="190"/>
      <c r="BS919" s="190"/>
      <c r="BT919" s="190"/>
      <c r="BU919" s="190"/>
      <c r="BV919" s="190"/>
      <c r="BW919" s="190"/>
      <c r="BX919" s="190"/>
      <c r="BY919" s="190"/>
      <c r="BZ919" s="190"/>
      <c r="CA919" s="189"/>
      <c r="CB919" s="15"/>
    </row>
    <row r="920" spans="1:80" ht="15" x14ac:dyDescent="0.25">
      <c r="A920" s="167"/>
      <c r="B920" s="642"/>
      <c r="C920" s="642"/>
      <c r="D920" s="179"/>
      <c r="E920" s="169"/>
      <c r="F920" s="169"/>
      <c r="G920" s="187"/>
      <c r="H920" s="187"/>
      <c r="I920" s="187"/>
      <c r="J920" s="187"/>
      <c r="K920" s="187"/>
      <c r="L920" s="647"/>
      <c r="M920" s="646">
        <v>34129</v>
      </c>
      <c r="N920" s="585">
        <v>3.4</v>
      </c>
      <c r="O920" s="585">
        <v>1.8700000000000001E-2</v>
      </c>
      <c r="P920" s="175">
        <v>0</v>
      </c>
      <c r="Q920" s="175">
        <v>0</v>
      </c>
      <c r="R920" s="175">
        <v>5.4000000000000001E-4</v>
      </c>
      <c r="S920" s="175">
        <v>1.14E-3</v>
      </c>
      <c r="T920" s="175">
        <v>2.0999999999999999E-3</v>
      </c>
      <c r="U920" s="175">
        <v>4.0299999999999997E-3</v>
      </c>
      <c r="V920" s="706">
        <v>1.0919999999999999E-2</v>
      </c>
      <c r="W920" s="717"/>
      <c r="X920" s="713"/>
      <c r="Y920" s="718"/>
      <c r="Z920" s="709">
        <v>22</v>
      </c>
      <c r="AA920" s="175"/>
      <c r="AB920" s="200"/>
      <c r="AC920" s="205">
        <v>8.0000000000000002E-3</v>
      </c>
      <c r="AD920" s="175">
        <v>8.44</v>
      </c>
      <c r="AE920" s="175">
        <v>0.33</v>
      </c>
      <c r="AF920" s="170">
        <f t="shared" si="16"/>
        <v>2.7852000000000001</v>
      </c>
      <c r="AG920" s="175">
        <v>1.1399999999999999</v>
      </c>
      <c r="AH920" s="334"/>
      <c r="AI920" s="188"/>
      <c r="AJ920" s="188"/>
      <c r="AK920" s="188"/>
      <c r="AL920" s="189"/>
      <c r="AM920" s="189"/>
      <c r="AN920" s="189"/>
      <c r="AO920" s="189"/>
      <c r="AP920" s="189"/>
      <c r="AQ920" s="189"/>
      <c r="AR920" s="189"/>
      <c r="AS920" s="189"/>
      <c r="AT920" s="189"/>
      <c r="AU920" s="190"/>
      <c r="AV920" s="190"/>
      <c r="AW920" s="190"/>
      <c r="AX920" s="190"/>
      <c r="AY920" s="190"/>
      <c r="AZ920" s="189"/>
      <c r="BA920" s="189"/>
      <c r="BB920" s="189"/>
      <c r="BC920" s="189"/>
      <c r="BD920" s="189"/>
      <c r="BE920" s="189"/>
      <c r="BF920" s="189"/>
      <c r="BG920" s="189"/>
      <c r="BH920" s="189"/>
      <c r="BI920" s="190"/>
      <c r="BJ920" s="190"/>
      <c r="BK920" s="190"/>
      <c r="BL920" s="190"/>
      <c r="BM920" s="190"/>
      <c r="BN920" s="190"/>
      <c r="BO920" s="190"/>
      <c r="BP920" s="190"/>
      <c r="BQ920" s="190"/>
      <c r="BR920" s="190"/>
      <c r="BS920" s="190"/>
      <c r="BT920" s="190"/>
      <c r="BU920" s="190"/>
      <c r="BV920" s="190"/>
      <c r="BW920" s="190"/>
      <c r="BX920" s="190"/>
      <c r="BY920" s="190"/>
      <c r="BZ920" s="190"/>
      <c r="CA920" s="189"/>
      <c r="CB920" s="15"/>
    </row>
    <row r="921" spans="1:80" ht="15" x14ac:dyDescent="0.25">
      <c r="A921" s="167"/>
      <c r="B921" s="642"/>
      <c r="C921" s="642"/>
      <c r="D921" s="179"/>
      <c r="E921" s="169"/>
      <c r="F921" s="169"/>
      <c r="G921" s="187"/>
      <c r="H921" s="187"/>
      <c r="I921" s="187"/>
      <c r="J921" s="187"/>
      <c r="K921" s="187"/>
      <c r="L921" s="647"/>
      <c r="M921" s="646">
        <v>34130</v>
      </c>
      <c r="N921" s="585">
        <v>3.08</v>
      </c>
      <c r="O921" s="585">
        <v>1.6199999999999999E-2</v>
      </c>
      <c r="P921" s="175">
        <v>0</v>
      </c>
      <c r="Q921" s="175">
        <v>0</v>
      </c>
      <c r="R921" s="175">
        <v>0</v>
      </c>
      <c r="S921" s="175">
        <v>1.42E-3</v>
      </c>
      <c r="T921" s="175">
        <v>2.31E-3</v>
      </c>
      <c r="U921" s="175">
        <v>4.15E-3</v>
      </c>
      <c r="V921" s="706">
        <v>8.3499999999999998E-3</v>
      </c>
      <c r="W921" s="717"/>
      <c r="X921" s="713"/>
      <c r="Y921" s="718"/>
      <c r="Z921" s="709">
        <v>16</v>
      </c>
      <c r="AA921" s="175"/>
      <c r="AB921" s="200"/>
      <c r="AC921" s="205">
        <v>8.0000000000000002E-3</v>
      </c>
      <c r="AD921" s="175">
        <v>8.4700000000000006</v>
      </c>
      <c r="AE921" s="175">
        <v>0.31</v>
      </c>
      <c r="AF921" s="170">
        <f t="shared" si="16"/>
        <v>2.6257000000000001</v>
      </c>
      <c r="AG921" s="175">
        <v>1.1299999999999999</v>
      </c>
      <c r="AH921" s="334"/>
      <c r="AI921" s="188"/>
      <c r="AJ921" s="188"/>
      <c r="AK921" s="188"/>
      <c r="AL921" s="189"/>
      <c r="AM921" s="189"/>
      <c r="AN921" s="189"/>
      <c r="AO921" s="189"/>
      <c r="AP921" s="189"/>
      <c r="AQ921" s="189"/>
      <c r="AR921" s="189"/>
      <c r="AS921" s="189"/>
      <c r="AT921" s="189"/>
      <c r="AU921" s="190"/>
      <c r="AV921" s="190"/>
      <c r="AW921" s="190"/>
      <c r="AX921" s="190"/>
      <c r="AY921" s="190"/>
      <c r="AZ921" s="189"/>
      <c r="BA921" s="189"/>
      <c r="BB921" s="189"/>
      <c r="BC921" s="189"/>
      <c r="BD921" s="189"/>
      <c r="BE921" s="189"/>
      <c r="BF921" s="189"/>
      <c r="BG921" s="189"/>
      <c r="BH921" s="189"/>
      <c r="BI921" s="190"/>
      <c r="BJ921" s="190"/>
      <c r="BK921" s="190"/>
      <c r="BL921" s="190"/>
      <c r="BM921" s="190"/>
      <c r="BN921" s="190"/>
      <c r="BO921" s="190"/>
      <c r="BP921" s="190"/>
      <c r="BQ921" s="190"/>
      <c r="BR921" s="190"/>
      <c r="BS921" s="190"/>
      <c r="BT921" s="190"/>
      <c r="BU921" s="190"/>
      <c r="BV921" s="190"/>
      <c r="BW921" s="190"/>
      <c r="BX921" s="190"/>
      <c r="BY921" s="190"/>
      <c r="BZ921" s="190"/>
      <c r="CA921" s="189"/>
      <c r="CB921" s="15"/>
    </row>
    <row r="922" spans="1:80" ht="15" x14ac:dyDescent="0.25">
      <c r="A922" s="167"/>
      <c r="B922" s="642"/>
      <c r="C922" s="642"/>
      <c r="D922" s="179"/>
      <c r="E922" s="169"/>
      <c r="F922" s="169"/>
      <c r="G922" s="187"/>
      <c r="H922" s="187"/>
      <c r="I922" s="187"/>
      <c r="J922" s="187"/>
      <c r="K922" s="187"/>
      <c r="L922" s="647"/>
      <c r="M922" s="646">
        <v>34131</v>
      </c>
      <c r="N922" s="585">
        <v>3.03</v>
      </c>
      <c r="O922" s="585">
        <v>3.1E-2</v>
      </c>
      <c r="P922" s="175">
        <v>0</v>
      </c>
      <c r="Q922" s="175">
        <v>0</v>
      </c>
      <c r="R922" s="175">
        <v>0</v>
      </c>
      <c r="S922" s="175">
        <v>1.5900000000000001E-3</v>
      </c>
      <c r="T922" s="175">
        <v>5.0299999999999997E-3</v>
      </c>
      <c r="U922" s="175">
        <v>7.6600000000000001E-3</v>
      </c>
      <c r="V922" s="706">
        <v>1.668E-2</v>
      </c>
      <c r="W922" s="717"/>
      <c r="X922" s="713"/>
      <c r="Y922" s="718"/>
      <c r="Z922" s="709">
        <v>17</v>
      </c>
      <c r="AA922" s="175"/>
      <c r="AB922" s="200"/>
      <c r="AC922" s="205">
        <v>8.0000000000000002E-3</v>
      </c>
      <c r="AD922" s="175">
        <v>8.49</v>
      </c>
      <c r="AE922" s="175">
        <v>0.32</v>
      </c>
      <c r="AF922" s="170">
        <f t="shared" si="16"/>
        <v>2.7168000000000001</v>
      </c>
      <c r="AG922" s="175">
        <v>1.22</v>
      </c>
      <c r="AH922" s="334"/>
      <c r="AI922" s="188"/>
      <c r="AJ922" s="188"/>
      <c r="AK922" s="188"/>
      <c r="AL922" s="189"/>
      <c r="AM922" s="189"/>
      <c r="AN922" s="189"/>
      <c r="AO922" s="189"/>
      <c r="AP922" s="189"/>
      <c r="AQ922" s="189"/>
      <c r="AR922" s="189"/>
      <c r="AS922" s="189"/>
      <c r="AT922" s="189"/>
      <c r="AU922" s="190"/>
      <c r="AV922" s="190"/>
      <c r="AW922" s="190"/>
      <c r="AX922" s="190"/>
      <c r="AY922" s="190"/>
      <c r="AZ922" s="189"/>
      <c r="BA922" s="189"/>
      <c r="BB922" s="189"/>
      <c r="BC922" s="189"/>
      <c r="BD922" s="189"/>
      <c r="BE922" s="189"/>
      <c r="BF922" s="189"/>
      <c r="BG922" s="189"/>
      <c r="BH922" s="189"/>
      <c r="BI922" s="190"/>
      <c r="BJ922" s="190"/>
      <c r="BK922" s="190"/>
      <c r="BL922" s="190"/>
      <c r="BM922" s="190"/>
      <c r="BN922" s="190"/>
      <c r="BO922" s="190"/>
      <c r="BP922" s="190"/>
      <c r="BQ922" s="190"/>
      <c r="BR922" s="190"/>
      <c r="BS922" s="190"/>
      <c r="BT922" s="190"/>
      <c r="BU922" s="190"/>
      <c r="BV922" s="190"/>
      <c r="BW922" s="190"/>
      <c r="BX922" s="190"/>
      <c r="BY922" s="190"/>
      <c r="BZ922" s="190"/>
      <c r="CA922" s="189"/>
      <c r="CB922" s="15"/>
    </row>
    <row r="923" spans="1:80" ht="15" x14ac:dyDescent="0.25">
      <c r="A923" s="167"/>
      <c r="B923" s="642"/>
      <c r="C923" s="642"/>
      <c r="D923" s="179"/>
      <c r="E923" s="169"/>
      <c r="F923" s="169"/>
      <c r="G923" s="187"/>
      <c r="H923" s="187"/>
      <c r="I923" s="187"/>
      <c r="J923" s="187"/>
      <c r="K923" s="187"/>
      <c r="L923" s="647"/>
      <c r="M923" s="646">
        <v>34132</v>
      </c>
      <c r="N923" s="585">
        <v>3.49</v>
      </c>
      <c r="O923" s="585">
        <v>3.8699999999999998E-2</v>
      </c>
      <c r="P923" s="175">
        <v>0</v>
      </c>
      <c r="Q923" s="175">
        <v>0</v>
      </c>
      <c r="R923" s="175">
        <v>4.2000000000000002E-4</v>
      </c>
      <c r="S923" s="175">
        <v>2.1099999999999999E-3</v>
      </c>
      <c r="T923" s="175">
        <v>4.4900000000000001E-3</v>
      </c>
      <c r="U923" s="175">
        <v>9.2999999999999992E-3</v>
      </c>
      <c r="V923" s="706">
        <v>2.24E-2</v>
      </c>
      <c r="W923" s="717"/>
      <c r="X923" s="713"/>
      <c r="Y923" s="718"/>
      <c r="Z923" s="709">
        <v>20</v>
      </c>
      <c r="AA923" s="175"/>
      <c r="AB923" s="200"/>
      <c r="AC923" s="205">
        <v>8.9999999999999993E-3</v>
      </c>
      <c r="AD923" s="175">
        <v>8.5500000000000007</v>
      </c>
      <c r="AE923" s="175">
        <v>0.33</v>
      </c>
      <c r="AF923" s="170">
        <f t="shared" si="16"/>
        <v>2.8215000000000003</v>
      </c>
      <c r="AG923" s="175">
        <v>1.1599999999999999</v>
      </c>
      <c r="AH923" s="334"/>
      <c r="AI923" s="188"/>
      <c r="AJ923" s="188"/>
      <c r="AK923" s="188"/>
      <c r="AL923" s="189"/>
      <c r="AM923" s="189"/>
      <c r="AN923" s="189"/>
      <c r="AO923" s="189"/>
      <c r="AP923" s="189"/>
      <c r="AQ923" s="189"/>
      <c r="AR923" s="189"/>
      <c r="AS923" s="189"/>
      <c r="AT923" s="189"/>
      <c r="AU923" s="190"/>
      <c r="AV923" s="190"/>
      <c r="AW923" s="190"/>
      <c r="AX923" s="190"/>
      <c r="AY923" s="190"/>
      <c r="AZ923" s="189"/>
      <c r="BA923" s="189"/>
      <c r="BB923" s="189"/>
      <c r="BC923" s="189"/>
      <c r="BD923" s="189"/>
      <c r="BE923" s="189"/>
      <c r="BF923" s="189"/>
      <c r="BG923" s="189"/>
      <c r="BH923" s="189"/>
      <c r="BI923" s="190"/>
      <c r="BJ923" s="190"/>
      <c r="BK923" s="190"/>
      <c r="BL923" s="190"/>
      <c r="BM923" s="190"/>
      <c r="BN923" s="190"/>
      <c r="BO923" s="190"/>
      <c r="BP923" s="190"/>
      <c r="BQ923" s="190"/>
      <c r="BR923" s="190"/>
      <c r="BS923" s="190"/>
      <c r="BT923" s="190"/>
      <c r="BU923" s="190"/>
      <c r="BV923" s="190"/>
      <c r="BW923" s="190"/>
      <c r="BX923" s="190"/>
      <c r="BY923" s="190"/>
      <c r="BZ923" s="190"/>
      <c r="CA923" s="189"/>
      <c r="CB923" s="15"/>
    </row>
    <row r="924" spans="1:80" ht="15" x14ac:dyDescent="0.25">
      <c r="A924" s="167"/>
      <c r="B924" s="642"/>
      <c r="C924" s="642"/>
      <c r="D924" s="179"/>
      <c r="E924" s="169"/>
      <c r="F924" s="169"/>
      <c r="G924" s="187"/>
      <c r="H924" s="187"/>
      <c r="I924" s="187"/>
      <c r="J924" s="187"/>
      <c r="K924" s="187"/>
      <c r="L924" s="647"/>
      <c r="M924" s="646">
        <v>34135</v>
      </c>
      <c r="N924" s="585">
        <v>2.94</v>
      </c>
      <c r="O924" s="585">
        <v>1.35E-2</v>
      </c>
      <c r="P924" s="175">
        <v>0</v>
      </c>
      <c r="Q924" s="175">
        <v>0</v>
      </c>
      <c r="R924" s="175">
        <v>0</v>
      </c>
      <c r="S924" s="175">
        <v>6.8000000000000005E-4</v>
      </c>
      <c r="T924" s="175">
        <v>1.2800000000000001E-3</v>
      </c>
      <c r="U924" s="175">
        <v>3.9199999999999999E-3</v>
      </c>
      <c r="V924" s="706">
        <v>7.62E-3</v>
      </c>
      <c r="W924" s="717"/>
      <c r="X924" s="713"/>
      <c r="Y924" s="718"/>
      <c r="Z924" s="709">
        <v>16</v>
      </c>
      <c r="AA924" s="175"/>
      <c r="AB924" s="200"/>
      <c r="AC924" s="205">
        <v>8.0000000000000002E-3</v>
      </c>
      <c r="AD924" s="175">
        <v>8.41</v>
      </c>
      <c r="AE924" s="175">
        <v>0.33</v>
      </c>
      <c r="AF924" s="170">
        <f t="shared" si="16"/>
        <v>2.7753000000000001</v>
      </c>
      <c r="AG924" s="175">
        <v>1.08</v>
      </c>
      <c r="AH924" s="334"/>
      <c r="AI924" s="188"/>
      <c r="AJ924" s="188"/>
      <c r="AK924" s="188"/>
      <c r="AL924" s="189"/>
      <c r="AM924" s="189"/>
      <c r="AN924" s="189"/>
      <c r="AO924" s="189"/>
      <c r="AP924" s="189"/>
      <c r="AQ924" s="189"/>
      <c r="AR924" s="189"/>
      <c r="AS924" s="189"/>
      <c r="AT924" s="189"/>
      <c r="AU924" s="190"/>
      <c r="AV924" s="190"/>
      <c r="AW924" s="190"/>
      <c r="AX924" s="190"/>
      <c r="AY924" s="190"/>
      <c r="AZ924" s="189"/>
      <c r="BA924" s="189"/>
      <c r="BB924" s="189"/>
      <c r="BC924" s="189"/>
      <c r="BD924" s="189"/>
      <c r="BE924" s="189"/>
      <c r="BF924" s="189"/>
      <c r="BG924" s="189"/>
      <c r="BH924" s="189"/>
      <c r="BI924" s="190"/>
      <c r="BJ924" s="190"/>
      <c r="BK924" s="190"/>
      <c r="BL924" s="190"/>
      <c r="BM924" s="190"/>
      <c r="BN924" s="190"/>
      <c r="BO924" s="190"/>
      <c r="BP924" s="190"/>
      <c r="BQ924" s="190"/>
      <c r="BR924" s="190"/>
      <c r="BS924" s="190"/>
      <c r="BT924" s="190"/>
      <c r="BU924" s="190"/>
      <c r="BV924" s="190"/>
      <c r="BW924" s="190"/>
      <c r="BX924" s="190"/>
      <c r="BY924" s="190"/>
      <c r="BZ924" s="190"/>
      <c r="CA924" s="189"/>
      <c r="CB924" s="15"/>
    </row>
    <row r="925" spans="1:80" ht="15" x14ac:dyDescent="0.25">
      <c r="A925" s="167"/>
      <c r="B925" s="642"/>
      <c r="C925" s="642"/>
      <c r="D925" s="179"/>
      <c r="E925" s="169"/>
      <c r="F925" s="169"/>
      <c r="G925" s="187"/>
      <c r="H925" s="187"/>
      <c r="I925" s="187"/>
      <c r="J925" s="187"/>
      <c r="K925" s="187"/>
      <c r="L925" s="647"/>
      <c r="M925" s="646">
        <v>34136</v>
      </c>
      <c r="N925" s="585">
        <v>3.4</v>
      </c>
      <c r="O925" s="585">
        <v>4.7199999999999999E-2</v>
      </c>
      <c r="P925" s="175">
        <v>0</v>
      </c>
      <c r="Q925" s="175">
        <v>0</v>
      </c>
      <c r="R925" s="175">
        <v>3.64E-3</v>
      </c>
      <c r="S925" s="175">
        <v>6.3699999999999998E-3</v>
      </c>
      <c r="T925" s="175">
        <v>9.11E-3</v>
      </c>
      <c r="U925" s="175">
        <v>1.0410000000000001E-2</v>
      </c>
      <c r="V925" s="706">
        <v>1.7639999999999999E-2</v>
      </c>
      <c r="W925" s="717"/>
      <c r="X925" s="713"/>
      <c r="Y925" s="718"/>
      <c r="Z925" s="709">
        <v>21</v>
      </c>
      <c r="AA925" s="175"/>
      <c r="AB925" s="200"/>
      <c r="AC925" s="205">
        <v>1.4E-2</v>
      </c>
      <c r="AD925" s="175">
        <v>8.3800000000000008</v>
      </c>
      <c r="AE925" s="175">
        <v>0.33</v>
      </c>
      <c r="AF925" s="170">
        <f t="shared" si="16"/>
        <v>2.7654000000000005</v>
      </c>
      <c r="AG925" s="175">
        <v>1.25</v>
      </c>
      <c r="AH925" s="334"/>
      <c r="AI925" s="188"/>
      <c r="AJ925" s="188"/>
      <c r="AK925" s="188"/>
      <c r="AL925" s="189"/>
      <c r="AM925" s="189"/>
      <c r="AN925" s="189"/>
      <c r="AO925" s="189"/>
      <c r="AP925" s="189"/>
      <c r="AQ925" s="189"/>
      <c r="AR925" s="189"/>
      <c r="AS925" s="189"/>
      <c r="AT925" s="189"/>
      <c r="AU925" s="190"/>
      <c r="AV925" s="190"/>
      <c r="AW925" s="190"/>
      <c r="AX925" s="190"/>
      <c r="AY925" s="190"/>
      <c r="AZ925" s="189"/>
      <c r="BA925" s="189"/>
      <c r="BB925" s="189"/>
      <c r="BC925" s="189"/>
      <c r="BD925" s="189"/>
      <c r="BE925" s="189"/>
      <c r="BF925" s="189"/>
      <c r="BG925" s="189"/>
      <c r="BH925" s="189"/>
      <c r="BI925" s="190"/>
      <c r="BJ925" s="190"/>
      <c r="BK925" s="190"/>
      <c r="BL925" s="190"/>
      <c r="BM925" s="190"/>
      <c r="BN925" s="190"/>
      <c r="BO925" s="190"/>
      <c r="BP925" s="190"/>
      <c r="BQ925" s="190"/>
      <c r="BR925" s="190"/>
      <c r="BS925" s="190"/>
      <c r="BT925" s="190"/>
      <c r="BU925" s="190"/>
      <c r="BV925" s="190"/>
      <c r="BW925" s="190"/>
      <c r="BX925" s="190"/>
      <c r="BY925" s="190"/>
      <c r="BZ925" s="190"/>
      <c r="CA925" s="189"/>
      <c r="CB925" s="15"/>
    </row>
    <row r="926" spans="1:80" ht="15" x14ac:dyDescent="0.25">
      <c r="A926" s="167"/>
      <c r="B926" s="642"/>
      <c r="C926" s="642"/>
      <c r="D926" s="179"/>
      <c r="E926" s="169"/>
      <c r="F926" s="169"/>
      <c r="G926" s="187"/>
      <c r="H926" s="187"/>
      <c r="I926" s="187"/>
      <c r="J926" s="187"/>
      <c r="K926" s="187"/>
      <c r="L926" s="647"/>
      <c r="M926" s="646">
        <v>34137</v>
      </c>
      <c r="N926" s="585">
        <v>3.11</v>
      </c>
      <c r="O926" s="585">
        <v>2.1700000000000001E-2</v>
      </c>
      <c r="P926" s="175">
        <v>0</v>
      </c>
      <c r="Q926" s="175">
        <v>0</v>
      </c>
      <c r="R926" s="175">
        <v>0</v>
      </c>
      <c r="S926" s="175">
        <v>7.9000000000000001E-4</v>
      </c>
      <c r="T926" s="175">
        <v>3.1900000000000001E-3</v>
      </c>
      <c r="U926" s="175">
        <v>5.8599999999999998E-3</v>
      </c>
      <c r="V926" s="706">
        <v>1.188E-2</v>
      </c>
      <c r="W926" s="717"/>
      <c r="X926" s="713"/>
      <c r="Y926" s="718"/>
      <c r="Z926" s="709">
        <v>14</v>
      </c>
      <c r="AA926" s="175"/>
      <c r="AB926" s="200"/>
      <c r="AC926" s="205">
        <v>8.0000000000000002E-3</v>
      </c>
      <c r="AD926" s="175">
        <v>8.3800000000000008</v>
      </c>
      <c r="AE926" s="175">
        <v>0.33</v>
      </c>
      <c r="AF926" s="170">
        <f t="shared" si="16"/>
        <v>2.7654000000000005</v>
      </c>
      <c r="AG926" s="175">
        <v>1.17</v>
      </c>
      <c r="AH926" s="334"/>
      <c r="AI926" s="188"/>
      <c r="AJ926" s="188"/>
      <c r="AK926" s="188"/>
      <c r="AL926" s="189"/>
      <c r="AM926" s="189"/>
      <c r="AN926" s="189"/>
      <c r="AO926" s="189"/>
      <c r="AP926" s="189"/>
      <c r="AQ926" s="189"/>
      <c r="AR926" s="189"/>
      <c r="AS926" s="189"/>
      <c r="AT926" s="189"/>
      <c r="AU926" s="190"/>
      <c r="AV926" s="190"/>
      <c r="AW926" s="190"/>
      <c r="AX926" s="190"/>
      <c r="AY926" s="190"/>
      <c r="AZ926" s="189"/>
      <c r="BA926" s="189"/>
      <c r="BB926" s="189"/>
      <c r="BC926" s="189"/>
      <c r="BD926" s="189"/>
      <c r="BE926" s="189"/>
      <c r="BF926" s="189"/>
      <c r="BG926" s="189"/>
      <c r="BH926" s="189"/>
      <c r="BI926" s="190"/>
      <c r="BJ926" s="190"/>
      <c r="BK926" s="190"/>
      <c r="BL926" s="190"/>
      <c r="BM926" s="190"/>
      <c r="BN926" s="190"/>
      <c r="BO926" s="190"/>
      <c r="BP926" s="190"/>
      <c r="BQ926" s="190"/>
      <c r="BR926" s="190"/>
      <c r="BS926" s="190"/>
      <c r="BT926" s="190"/>
      <c r="BU926" s="190"/>
      <c r="BV926" s="190"/>
      <c r="BW926" s="190"/>
      <c r="BX926" s="190"/>
      <c r="BY926" s="190"/>
      <c r="BZ926" s="190"/>
      <c r="CA926" s="189"/>
      <c r="CB926" s="15"/>
    </row>
    <row r="927" spans="1:80" ht="15" x14ac:dyDescent="0.25">
      <c r="A927" s="167"/>
      <c r="B927" s="642"/>
      <c r="C927" s="642"/>
      <c r="D927" s="179"/>
      <c r="E927" s="169"/>
      <c r="F927" s="169"/>
      <c r="G927" s="187"/>
      <c r="H927" s="187"/>
      <c r="I927" s="187"/>
      <c r="J927" s="187"/>
      <c r="K927" s="187"/>
      <c r="L927" s="647"/>
      <c r="M927" s="646">
        <v>34138</v>
      </c>
      <c r="N927" s="585">
        <v>4.3499999999999996</v>
      </c>
      <c r="O927" s="585">
        <v>0.13619999999999999</v>
      </c>
      <c r="P927" s="175">
        <v>0</v>
      </c>
      <c r="Q927" s="175">
        <v>0</v>
      </c>
      <c r="R927" s="175">
        <v>1.1690000000000001E-2</v>
      </c>
      <c r="S927" s="175">
        <v>2.1749999999999999E-2</v>
      </c>
      <c r="T927" s="175">
        <v>2.7060000000000001E-2</v>
      </c>
      <c r="U927" s="175">
        <v>2.7609999999999999E-2</v>
      </c>
      <c r="V927" s="706">
        <v>4.8050000000000002E-2</v>
      </c>
      <c r="W927" s="717"/>
      <c r="X927" s="713"/>
      <c r="Y927" s="718"/>
      <c r="Z927" s="709">
        <v>28</v>
      </c>
      <c r="AA927" s="175"/>
      <c r="AB927" s="200"/>
      <c r="AC927" s="205">
        <v>1.7000000000000001E-2</v>
      </c>
      <c r="AD927" s="175">
        <v>8.4700000000000006</v>
      </c>
      <c r="AE927" s="175">
        <v>0.39</v>
      </c>
      <c r="AF927" s="170">
        <f t="shared" si="16"/>
        <v>3.3033000000000006</v>
      </c>
      <c r="AG927" s="175">
        <v>1.31</v>
      </c>
      <c r="AH927" s="334"/>
      <c r="AI927" s="188"/>
      <c r="AJ927" s="188"/>
      <c r="AK927" s="188"/>
      <c r="AL927" s="189"/>
      <c r="AM927" s="189"/>
      <c r="AN927" s="189"/>
      <c r="AO927" s="189"/>
      <c r="AP927" s="189"/>
      <c r="AQ927" s="189"/>
      <c r="AR927" s="189"/>
      <c r="AS927" s="189"/>
      <c r="AT927" s="189"/>
      <c r="AU927" s="190"/>
      <c r="AV927" s="190"/>
      <c r="AW927" s="190"/>
      <c r="AX927" s="190"/>
      <c r="AY927" s="190"/>
      <c r="AZ927" s="189"/>
      <c r="BA927" s="189"/>
      <c r="BB927" s="189"/>
      <c r="BC927" s="189"/>
      <c r="BD927" s="189"/>
      <c r="BE927" s="189"/>
      <c r="BF927" s="189"/>
      <c r="BG927" s="189"/>
      <c r="BH927" s="189"/>
      <c r="BI927" s="190"/>
      <c r="BJ927" s="190"/>
      <c r="BK927" s="190"/>
      <c r="BL927" s="190"/>
      <c r="BM927" s="190"/>
      <c r="BN927" s="190"/>
      <c r="BO927" s="190"/>
      <c r="BP927" s="190"/>
      <c r="BQ927" s="190"/>
      <c r="BR927" s="190"/>
      <c r="BS927" s="190"/>
      <c r="BT927" s="190"/>
      <c r="BU927" s="190"/>
      <c r="BV927" s="190"/>
      <c r="BW927" s="190"/>
      <c r="BX927" s="190"/>
      <c r="BY927" s="190"/>
      <c r="BZ927" s="190"/>
      <c r="CA927" s="189"/>
      <c r="CB927" s="15"/>
    </row>
    <row r="928" spans="1:80" ht="15" x14ac:dyDescent="0.25">
      <c r="A928" s="167"/>
      <c r="B928" s="642"/>
      <c r="C928" s="642"/>
      <c r="D928" s="179"/>
      <c r="E928" s="169"/>
      <c r="F928" s="169"/>
      <c r="G928" s="187"/>
      <c r="H928" s="187"/>
      <c r="I928" s="187"/>
      <c r="J928" s="187"/>
      <c r="K928" s="187"/>
      <c r="L928" s="647"/>
      <c r="M928" s="646">
        <v>34139</v>
      </c>
      <c r="N928" s="585">
        <v>3.75</v>
      </c>
      <c r="O928" s="585">
        <v>8.1100000000000005E-2</v>
      </c>
      <c r="P928" s="175">
        <v>0</v>
      </c>
      <c r="Q928" s="175">
        <v>3.1099999999999999E-3</v>
      </c>
      <c r="R928" s="175">
        <v>4.0299999999999997E-3</v>
      </c>
      <c r="S928" s="175">
        <v>9.3799999999999994E-3</v>
      </c>
      <c r="T928" s="175">
        <v>1.095E-2</v>
      </c>
      <c r="U928" s="175">
        <v>1.6480000000000002E-2</v>
      </c>
      <c r="V928" s="706">
        <v>3.712E-2</v>
      </c>
      <c r="W928" s="717"/>
      <c r="X928" s="713"/>
      <c r="Y928" s="718"/>
      <c r="Z928" s="709">
        <v>36</v>
      </c>
      <c r="AA928" s="175"/>
      <c r="AB928" s="200"/>
      <c r="AC928" s="205">
        <v>1.7000000000000001E-2</v>
      </c>
      <c r="AD928" s="175">
        <v>8.69</v>
      </c>
      <c r="AE928" s="175">
        <v>0.36</v>
      </c>
      <c r="AF928" s="170">
        <f t="shared" si="16"/>
        <v>3.1283999999999996</v>
      </c>
      <c r="AG928" s="175">
        <v>1.34</v>
      </c>
      <c r="AH928" s="334"/>
      <c r="AI928" s="188"/>
      <c r="AJ928" s="188"/>
      <c r="AK928" s="188"/>
      <c r="AL928" s="189"/>
      <c r="AM928" s="189"/>
      <c r="AN928" s="189"/>
      <c r="AO928" s="189"/>
      <c r="AP928" s="189"/>
      <c r="AQ928" s="189"/>
      <c r="AR928" s="189"/>
      <c r="AS928" s="189"/>
      <c r="AT928" s="189"/>
      <c r="AU928" s="190"/>
      <c r="AV928" s="190"/>
      <c r="AW928" s="190"/>
      <c r="AX928" s="190"/>
      <c r="AY928" s="190"/>
      <c r="AZ928" s="189"/>
      <c r="BA928" s="189"/>
      <c r="BB928" s="189"/>
      <c r="BC928" s="189"/>
      <c r="BD928" s="189"/>
      <c r="BE928" s="189"/>
      <c r="BF928" s="189"/>
      <c r="BG928" s="189"/>
      <c r="BH928" s="189"/>
      <c r="BI928" s="190"/>
      <c r="BJ928" s="190"/>
      <c r="BK928" s="190"/>
      <c r="BL928" s="190"/>
      <c r="BM928" s="190"/>
      <c r="BN928" s="190"/>
      <c r="BO928" s="190"/>
      <c r="BP928" s="190"/>
      <c r="BQ928" s="190"/>
      <c r="BR928" s="190"/>
      <c r="BS928" s="190"/>
      <c r="BT928" s="190"/>
      <c r="BU928" s="190"/>
      <c r="BV928" s="190"/>
      <c r="BW928" s="190"/>
      <c r="BX928" s="190"/>
      <c r="BY928" s="190"/>
      <c r="BZ928" s="190"/>
      <c r="CA928" s="189"/>
      <c r="CB928" s="15"/>
    </row>
    <row r="929" spans="1:80" ht="15" x14ac:dyDescent="0.25">
      <c r="A929" s="167"/>
      <c r="B929" s="642"/>
      <c r="C929" s="642"/>
      <c r="D929" s="179"/>
      <c r="E929" s="169"/>
      <c r="F929" s="169"/>
      <c r="G929" s="187"/>
      <c r="H929" s="187"/>
      <c r="I929" s="187"/>
      <c r="J929" s="187"/>
      <c r="K929" s="187"/>
      <c r="L929" s="647"/>
      <c r="M929" s="646">
        <v>34140</v>
      </c>
      <c r="N929" s="585">
        <v>4.6399999999999997</v>
      </c>
      <c r="O929" s="585">
        <v>0.11269999999999999</v>
      </c>
      <c r="P929" s="175">
        <v>0</v>
      </c>
      <c r="Q929" s="175">
        <v>1.3259999999999999E-2</v>
      </c>
      <c r="R929" s="175">
        <v>3.7399999999999998E-3</v>
      </c>
      <c r="S929" s="175">
        <v>1.538E-2</v>
      </c>
      <c r="T929" s="175">
        <v>2.0889999999999999E-2</v>
      </c>
      <c r="U929" s="175">
        <v>2.332E-2</v>
      </c>
      <c r="V929" s="706">
        <v>3.6119999999999999E-2</v>
      </c>
      <c r="W929" s="717"/>
      <c r="X929" s="713"/>
      <c r="Y929" s="718"/>
      <c r="Z929" s="709">
        <v>48</v>
      </c>
      <c r="AA929" s="175"/>
      <c r="AB929" s="200"/>
      <c r="AC929" s="205">
        <v>0.02</v>
      </c>
      <c r="AD929" s="175">
        <v>9.41</v>
      </c>
      <c r="AE929" s="175">
        <v>0.36</v>
      </c>
      <c r="AF929" s="170">
        <f t="shared" si="16"/>
        <v>3.3875999999999999</v>
      </c>
      <c r="AG929" s="175">
        <v>1.41</v>
      </c>
      <c r="AH929" s="334"/>
      <c r="AI929" s="188"/>
      <c r="AJ929" s="188"/>
      <c r="AK929" s="188"/>
      <c r="AL929" s="189"/>
      <c r="AM929" s="189"/>
      <c r="AN929" s="189"/>
      <c r="AO929" s="189"/>
      <c r="AP929" s="189"/>
      <c r="AQ929" s="189"/>
      <c r="AR929" s="189"/>
      <c r="AS929" s="189"/>
      <c r="AT929" s="189"/>
      <c r="AU929" s="190"/>
      <c r="AV929" s="190"/>
      <c r="AW929" s="190"/>
      <c r="AX929" s="190"/>
      <c r="AY929" s="190"/>
      <c r="AZ929" s="189"/>
      <c r="BA929" s="189"/>
      <c r="BB929" s="189"/>
      <c r="BC929" s="189"/>
      <c r="BD929" s="189"/>
      <c r="BE929" s="189"/>
      <c r="BF929" s="189"/>
      <c r="BG929" s="189"/>
      <c r="BH929" s="189"/>
      <c r="BI929" s="190"/>
      <c r="BJ929" s="190"/>
      <c r="BK929" s="190"/>
      <c r="BL929" s="190"/>
      <c r="BM929" s="190"/>
      <c r="BN929" s="190"/>
      <c r="BO929" s="190"/>
      <c r="BP929" s="190"/>
      <c r="BQ929" s="190"/>
      <c r="BR929" s="190"/>
      <c r="BS929" s="190"/>
      <c r="BT929" s="190"/>
      <c r="BU929" s="190"/>
      <c r="BV929" s="190"/>
      <c r="BW929" s="190"/>
      <c r="BX929" s="190"/>
      <c r="BY929" s="190"/>
      <c r="BZ929" s="190"/>
      <c r="CA929" s="189"/>
      <c r="CB929" s="15"/>
    </row>
    <row r="930" spans="1:80" ht="15" x14ac:dyDescent="0.25">
      <c r="A930" s="167"/>
      <c r="B930" s="642"/>
      <c r="C930" s="642"/>
      <c r="D930" s="179"/>
      <c r="E930" s="169"/>
      <c r="F930" s="169"/>
      <c r="G930" s="187"/>
      <c r="H930" s="187"/>
      <c r="I930" s="187"/>
      <c r="J930" s="187"/>
      <c r="K930" s="187"/>
      <c r="L930" s="647"/>
      <c r="M930" s="646">
        <v>34142</v>
      </c>
      <c r="N930" s="585">
        <v>3.88</v>
      </c>
      <c r="O930" s="585">
        <v>6.1800000000000001E-2</v>
      </c>
      <c r="P930" s="175">
        <v>0</v>
      </c>
      <c r="Q930" s="175">
        <v>0</v>
      </c>
      <c r="R930" s="175">
        <v>5.0299999999999997E-3</v>
      </c>
      <c r="S930" s="175">
        <v>9.6100000000000005E-3</v>
      </c>
      <c r="T930" s="175">
        <v>1.336E-2</v>
      </c>
      <c r="U930" s="175">
        <v>1.204E-2</v>
      </c>
      <c r="V930" s="706">
        <v>2.181E-2</v>
      </c>
      <c r="W930" s="717"/>
      <c r="X930" s="713"/>
      <c r="Y930" s="718"/>
      <c r="Z930" s="709">
        <v>25</v>
      </c>
      <c r="AA930" s="175"/>
      <c r="AB930" s="200"/>
      <c r="AC930" s="205">
        <v>1.7000000000000001E-2</v>
      </c>
      <c r="AD930" s="175">
        <v>8.84</v>
      </c>
      <c r="AE930" s="175">
        <v>0.35</v>
      </c>
      <c r="AF930" s="170">
        <f t="shared" si="16"/>
        <v>3.0939999999999999</v>
      </c>
      <c r="AG930" s="175">
        <v>1.29</v>
      </c>
      <c r="AH930" s="334"/>
      <c r="AI930" s="188"/>
      <c r="AJ930" s="188"/>
      <c r="AK930" s="188"/>
      <c r="AL930" s="189"/>
      <c r="AM930" s="189"/>
      <c r="AN930" s="189"/>
      <c r="AO930" s="189"/>
      <c r="AP930" s="189"/>
      <c r="AQ930" s="189"/>
      <c r="AR930" s="189"/>
      <c r="AS930" s="189"/>
      <c r="AT930" s="189"/>
      <c r="AU930" s="190"/>
      <c r="AV930" s="190"/>
      <c r="AW930" s="190"/>
      <c r="AX930" s="190"/>
      <c r="AY930" s="190"/>
      <c r="AZ930" s="189"/>
      <c r="BA930" s="189"/>
      <c r="BB930" s="189"/>
      <c r="BC930" s="189"/>
      <c r="BD930" s="189"/>
      <c r="BE930" s="189"/>
      <c r="BF930" s="189"/>
      <c r="BG930" s="189"/>
      <c r="BH930" s="189"/>
      <c r="BI930" s="190"/>
      <c r="BJ930" s="190"/>
      <c r="BK930" s="190"/>
      <c r="BL930" s="190"/>
      <c r="BM930" s="190"/>
      <c r="BN930" s="190"/>
      <c r="BO930" s="190"/>
      <c r="BP930" s="190"/>
      <c r="BQ930" s="190"/>
      <c r="BR930" s="190"/>
      <c r="BS930" s="190"/>
      <c r="BT930" s="190"/>
      <c r="BU930" s="190"/>
      <c r="BV930" s="190"/>
      <c r="BW930" s="190"/>
      <c r="BX930" s="190"/>
      <c r="BY930" s="190"/>
      <c r="BZ930" s="190"/>
      <c r="CA930" s="189"/>
      <c r="CB930" s="15"/>
    </row>
    <row r="931" spans="1:80" ht="15" x14ac:dyDescent="0.25">
      <c r="A931" s="167"/>
      <c r="B931" s="642"/>
      <c r="C931" s="642"/>
      <c r="D931" s="179"/>
      <c r="E931" s="169"/>
      <c r="F931" s="169"/>
      <c r="G931" s="187"/>
      <c r="H931" s="187"/>
      <c r="I931" s="187"/>
      <c r="J931" s="187"/>
      <c r="K931" s="187"/>
      <c r="L931" s="647"/>
      <c r="M931" s="646">
        <v>34144</v>
      </c>
      <c r="N931" s="585">
        <v>3.22</v>
      </c>
      <c r="O931" s="585">
        <v>5.21E-2</v>
      </c>
      <c r="P931" s="175">
        <v>0</v>
      </c>
      <c r="Q931" s="175">
        <v>0</v>
      </c>
      <c r="R931" s="175">
        <v>3.2200000000000002E-3</v>
      </c>
      <c r="S931" s="175">
        <v>1.6459999999999999E-2</v>
      </c>
      <c r="T931" s="175">
        <v>9.0399999999999994E-3</v>
      </c>
      <c r="U931" s="175">
        <v>7.5399999999999998E-3</v>
      </c>
      <c r="V931" s="706">
        <v>1.584E-2</v>
      </c>
      <c r="W931" s="717"/>
      <c r="X931" s="713"/>
      <c r="Y931" s="718"/>
      <c r="Z931" s="709">
        <v>32</v>
      </c>
      <c r="AA931" s="175"/>
      <c r="AB931" s="200"/>
      <c r="AC931" s="205">
        <v>1.6E-2</v>
      </c>
      <c r="AD931" s="175">
        <v>8.7799999999999994</v>
      </c>
      <c r="AE931" s="175">
        <v>0.32</v>
      </c>
      <c r="AF931" s="170">
        <f t="shared" si="16"/>
        <v>2.8095999999999997</v>
      </c>
      <c r="AG931" s="175">
        <v>1.24</v>
      </c>
      <c r="AH931" s="334"/>
      <c r="AI931" s="188"/>
      <c r="AJ931" s="188"/>
      <c r="AK931" s="188"/>
      <c r="AL931" s="189"/>
      <c r="AM931" s="189"/>
      <c r="AN931" s="189"/>
      <c r="AO931" s="189"/>
      <c r="AP931" s="189"/>
      <c r="AQ931" s="189"/>
      <c r="AR931" s="189"/>
      <c r="AS931" s="189"/>
      <c r="AT931" s="189"/>
      <c r="AU931" s="190"/>
      <c r="AV931" s="190"/>
      <c r="AW931" s="190"/>
      <c r="AX931" s="190"/>
      <c r="AY931" s="190"/>
      <c r="AZ931" s="189"/>
      <c r="BA931" s="189"/>
      <c r="BB931" s="189"/>
      <c r="BC931" s="189"/>
      <c r="BD931" s="189"/>
      <c r="BE931" s="189"/>
      <c r="BF931" s="189"/>
      <c r="BG931" s="189"/>
      <c r="BH931" s="189"/>
      <c r="BI931" s="190"/>
      <c r="BJ931" s="190"/>
      <c r="BK931" s="190"/>
      <c r="BL931" s="190"/>
      <c r="BM931" s="190"/>
      <c r="BN931" s="190"/>
      <c r="BO931" s="190"/>
      <c r="BP931" s="190"/>
      <c r="BQ931" s="190"/>
      <c r="BR931" s="190"/>
      <c r="BS931" s="190"/>
      <c r="BT931" s="190"/>
      <c r="BU931" s="190"/>
      <c r="BV931" s="190"/>
      <c r="BW931" s="190"/>
      <c r="BX931" s="190"/>
      <c r="BY931" s="190"/>
      <c r="BZ931" s="190"/>
      <c r="CA931" s="189"/>
      <c r="CB931" s="15"/>
    </row>
    <row r="932" spans="1:80" ht="15" x14ac:dyDescent="0.25">
      <c r="A932" s="167"/>
      <c r="B932" s="642"/>
      <c r="C932" s="642"/>
      <c r="D932" s="179"/>
      <c r="E932" s="169"/>
      <c r="F932" s="169"/>
      <c r="G932" s="187"/>
      <c r="H932" s="187"/>
      <c r="I932" s="187"/>
      <c r="J932" s="187"/>
      <c r="K932" s="187"/>
      <c r="L932" s="647"/>
      <c r="M932" s="646">
        <v>34145</v>
      </c>
      <c r="N932" s="585">
        <v>3.22</v>
      </c>
      <c r="O932" s="585">
        <v>5.57E-2</v>
      </c>
      <c r="P932" s="175">
        <v>0</v>
      </c>
      <c r="Q932" s="175">
        <v>0</v>
      </c>
      <c r="R932" s="175">
        <v>4.7000000000000002E-3</v>
      </c>
      <c r="S932" s="175">
        <v>1.0189999999999999E-2</v>
      </c>
      <c r="T932" s="175">
        <v>9.4000000000000004E-3</v>
      </c>
      <c r="U932" s="175">
        <v>1.162E-2</v>
      </c>
      <c r="V932" s="706">
        <v>1.9820000000000001E-2</v>
      </c>
      <c r="W932" s="717"/>
      <c r="X932" s="713"/>
      <c r="Y932" s="718"/>
      <c r="Z932" s="709">
        <v>30</v>
      </c>
      <c r="AA932" s="175"/>
      <c r="AB932" s="200"/>
      <c r="AC932" s="205">
        <v>1.4E-2</v>
      </c>
      <c r="AD932" s="175">
        <v>8.75</v>
      </c>
      <c r="AE932" s="175">
        <v>0.32</v>
      </c>
      <c r="AF932" s="170">
        <f t="shared" si="16"/>
        <v>2.8000000000000003</v>
      </c>
      <c r="AG932" s="175">
        <v>1.18</v>
      </c>
      <c r="AH932" s="334"/>
      <c r="AI932" s="188"/>
      <c r="AJ932" s="188"/>
      <c r="AK932" s="188"/>
      <c r="AL932" s="189"/>
      <c r="AM932" s="189"/>
      <c r="AN932" s="189"/>
      <c r="AO932" s="189"/>
      <c r="AP932" s="189"/>
      <c r="AQ932" s="189"/>
      <c r="AR932" s="189"/>
      <c r="AS932" s="189"/>
      <c r="AT932" s="189"/>
      <c r="AU932" s="190"/>
      <c r="AV932" s="190"/>
      <c r="AW932" s="190"/>
      <c r="AX932" s="190"/>
      <c r="AY932" s="190"/>
      <c r="AZ932" s="189"/>
      <c r="BA932" s="189"/>
      <c r="BB932" s="189"/>
      <c r="BC932" s="189"/>
      <c r="BD932" s="189"/>
      <c r="BE932" s="189"/>
      <c r="BF932" s="189"/>
      <c r="BG932" s="189"/>
      <c r="BH932" s="189"/>
      <c r="BI932" s="190"/>
      <c r="BJ932" s="190"/>
      <c r="BK932" s="190"/>
      <c r="BL932" s="190"/>
      <c r="BM932" s="190"/>
      <c r="BN932" s="190"/>
      <c r="BO932" s="190"/>
      <c r="BP932" s="190"/>
      <c r="BQ932" s="190"/>
      <c r="BR932" s="190"/>
      <c r="BS932" s="190"/>
      <c r="BT932" s="190"/>
      <c r="BU932" s="190"/>
      <c r="BV932" s="190"/>
      <c r="BW932" s="190"/>
      <c r="BX932" s="190"/>
      <c r="BY932" s="190"/>
      <c r="BZ932" s="190"/>
      <c r="CA932" s="189"/>
      <c r="CB932" s="15"/>
    </row>
    <row r="933" spans="1:80" ht="15" x14ac:dyDescent="0.25">
      <c r="A933" s="167"/>
      <c r="B933" s="642"/>
      <c r="C933" s="642"/>
      <c r="D933" s="179"/>
      <c r="E933" s="169"/>
      <c r="F933" s="169"/>
      <c r="G933" s="187"/>
      <c r="H933" s="187"/>
      <c r="I933" s="187"/>
      <c r="J933" s="187"/>
      <c r="K933" s="187"/>
      <c r="L933" s="647"/>
      <c r="M933" s="646">
        <v>34149</v>
      </c>
      <c r="N933" s="585">
        <v>2.4900000000000002</v>
      </c>
      <c r="O933" s="585">
        <v>1.5699999999999999E-2</v>
      </c>
      <c r="P933" s="175">
        <v>0</v>
      </c>
      <c r="Q933" s="175">
        <v>0</v>
      </c>
      <c r="R933" s="175">
        <v>0</v>
      </c>
      <c r="S933" s="175">
        <v>2.1700000000000001E-3</v>
      </c>
      <c r="T933" s="175">
        <v>2.7200000000000002E-3</v>
      </c>
      <c r="U933" s="175">
        <v>3.4399999999999999E-3</v>
      </c>
      <c r="V933" s="706">
        <v>7.3699999999999998E-3</v>
      </c>
      <c r="W933" s="717"/>
      <c r="X933" s="713"/>
      <c r="Y933" s="718"/>
      <c r="Z933" s="709">
        <v>13</v>
      </c>
      <c r="AA933" s="175"/>
      <c r="AB933" s="200"/>
      <c r="AC933" s="205">
        <v>0.01</v>
      </c>
      <c r="AD933" s="175">
        <v>8.36</v>
      </c>
      <c r="AE933" s="175">
        <v>0.35</v>
      </c>
      <c r="AF933" s="170">
        <f t="shared" si="16"/>
        <v>2.9259999999999997</v>
      </c>
      <c r="AG933" s="175">
        <v>0.97</v>
      </c>
      <c r="AH933" s="334"/>
      <c r="AI933" s="188"/>
      <c r="AJ933" s="188"/>
      <c r="AK933" s="188"/>
      <c r="AL933" s="189"/>
      <c r="AM933" s="189"/>
      <c r="AN933" s="189"/>
      <c r="AO933" s="189"/>
      <c r="AP933" s="189"/>
      <c r="AQ933" s="189"/>
      <c r="AR933" s="189"/>
      <c r="AS933" s="189"/>
      <c r="AT933" s="189"/>
      <c r="AU933" s="190"/>
      <c r="AV933" s="190"/>
      <c r="AW933" s="190"/>
      <c r="AX933" s="190"/>
      <c r="AY933" s="190"/>
      <c r="AZ933" s="189"/>
      <c r="BA933" s="189"/>
      <c r="BB933" s="189"/>
      <c r="BC933" s="189"/>
      <c r="BD933" s="189"/>
      <c r="BE933" s="189"/>
      <c r="BF933" s="189"/>
      <c r="BG933" s="189"/>
      <c r="BH933" s="189"/>
      <c r="BI933" s="190"/>
      <c r="BJ933" s="190"/>
      <c r="BK933" s="190"/>
      <c r="BL933" s="190"/>
      <c r="BM933" s="190"/>
      <c r="BN933" s="190"/>
      <c r="BO933" s="190"/>
      <c r="BP933" s="190"/>
      <c r="BQ933" s="190"/>
      <c r="BR933" s="190"/>
      <c r="BS933" s="190"/>
      <c r="BT933" s="190"/>
      <c r="BU933" s="190"/>
      <c r="BV933" s="190"/>
      <c r="BW933" s="190"/>
      <c r="BX933" s="190"/>
      <c r="BY933" s="190"/>
      <c r="BZ933" s="190"/>
      <c r="CA933" s="189"/>
      <c r="CB933" s="15"/>
    </row>
    <row r="934" spans="1:80" ht="15" x14ac:dyDescent="0.25">
      <c r="A934" s="202"/>
      <c r="B934" s="195"/>
      <c r="C934" s="195"/>
      <c r="D934" s="695"/>
      <c r="E934" s="196"/>
      <c r="F934" s="196"/>
      <c r="G934" s="198"/>
      <c r="H934" s="198"/>
      <c r="I934" s="198"/>
      <c r="J934" s="198"/>
      <c r="K934" s="198"/>
      <c r="L934" s="649"/>
      <c r="M934" s="651">
        <v>34150</v>
      </c>
      <c r="N934" s="589">
        <v>2.41</v>
      </c>
      <c r="O934" s="589">
        <v>1.3899999999999999E-2</v>
      </c>
      <c r="P934" s="193">
        <v>0</v>
      </c>
      <c r="Q934" s="193">
        <v>0</v>
      </c>
      <c r="R934" s="193">
        <v>0</v>
      </c>
      <c r="S934" s="193">
        <v>2.4499999999999999E-3</v>
      </c>
      <c r="T934" s="193">
        <v>3.14E-3</v>
      </c>
      <c r="U934" s="193">
        <v>3.0000000000000001E-3</v>
      </c>
      <c r="V934" s="707">
        <v>5.3600000000000002E-3</v>
      </c>
      <c r="W934" s="719"/>
      <c r="X934" s="720"/>
      <c r="Y934" s="721"/>
      <c r="Z934" s="710">
        <v>14</v>
      </c>
      <c r="AA934" s="193"/>
      <c r="AB934" s="203"/>
      <c r="AC934" s="207">
        <v>1.0999999999999999E-2</v>
      </c>
      <c r="AD934" s="193">
        <v>8.39</v>
      </c>
      <c r="AE934" s="193">
        <v>0.3</v>
      </c>
      <c r="AF934" s="208">
        <f t="shared" si="16"/>
        <v>2.5169999999999999</v>
      </c>
      <c r="AG934" s="193">
        <v>1.01</v>
      </c>
      <c r="AH934" s="334"/>
      <c r="AI934" s="188"/>
      <c r="AJ934" s="188"/>
      <c r="AK934" s="188"/>
      <c r="AL934" s="189"/>
      <c r="AM934" s="189"/>
      <c r="AN934" s="189"/>
      <c r="AO934" s="189"/>
      <c r="AP934" s="189"/>
      <c r="AQ934" s="189"/>
      <c r="AR934" s="189"/>
      <c r="AS934" s="189"/>
      <c r="AT934" s="189"/>
      <c r="AU934" s="190"/>
      <c r="AV934" s="190"/>
      <c r="AW934" s="190"/>
      <c r="AX934" s="190"/>
      <c r="AY934" s="190"/>
      <c r="AZ934" s="189"/>
      <c r="BA934" s="189"/>
      <c r="BB934" s="189"/>
      <c r="BC934" s="189"/>
      <c r="BD934" s="189"/>
      <c r="BE934" s="189"/>
      <c r="BF934" s="189"/>
      <c r="BG934" s="189"/>
      <c r="BH934" s="189"/>
      <c r="BI934" s="190"/>
      <c r="BJ934" s="190"/>
      <c r="BK934" s="190"/>
      <c r="BL934" s="190"/>
      <c r="BM934" s="190"/>
      <c r="BN934" s="190"/>
      <c r="BO934" s="190"/>
      <c r="BP934" s="190"/>
      <c r="BQ934" s="190"/>
      <c r="BR934" s="190"/>
      <c r="BS934" s="190"/>
      <c r="BT934" s="190"/>
      <c r="BU934" s="190"/>
      <c r="BV934" s="190"/>
      <c r="BW934" s="190"/>
      <c r="BX934" s="190"/>
      <c r="BY934" s="190"/>
      <c r="BZ934" s="190"/>
      <c r="CA934" s="189"/>
      <c r="CB934" s="15"/>
    </row>
    <row r="935" spans="1:80" ht="15" x14ac:dyDescent="0.25">
      <c r="A935" s="9" t="s">
        <v>51</v>
      </c>
      <c r="B935" s="639" t="s">
        <v>34</v>
      </c>
      <c r="C935" s="639"/>
      <c r="D935" s="4">
        <f>VLOOKUP(E935,'Quality Code'!D4:E24,2,TRUE)*VLOOKUP(MROUND(F935,10),'Quality Code'!D28:E69,2,TRUE)*VLOOKUP(4,'Quality Code'!D73:E93,2,TRUE)</f>
        <v>3.6</v>
      </c>
      <c r="E935" s="14">
        <v>0.8</v>
      </c>
      <c r="F935" s="18">
        <v>93</v>
      </c>
      <c r="G935" s="12">
        <v>21.3</v>
      </c>
      <c r="H935" s="2" t="s">
        <v>231</v>
      </c>
      <c r="I935" s="2" t="s">
        <v>278</v>
      </c>
      <c r="J935" s="2" t="s">
        <v>281</v>
      </c>
      <c r="K935" s="2">
        <v>1</v>
      </c>
      <c r="L935" s="639" t="s">
        <v>699</v>
      </c>
      <c r="M935" s="640" t="s">
        <v>703</v>
      </c>
      <c r="N935" s="579" t="s">
        <v>254</v>
      </c>
      <c r="O935" s="579"/>
      <c r="P935" s="11"/>
      <c r="Q935" s="11"/>
      <c r="R935" s="11"/>
      <c r="S935" s="11"/>
      <c r="T935" s="11"/>
      <c r="U935" s="11"/>
      <c r="V935" s="506"/>
      <c r="W935" s="723"/>
      <c r="X935" s="723"/>
      <c r="Y935" s="723"/>
      <c r="Z935" s="11"/>
      <c r="AA935" s="11"/>
      <c r="AB935" s="11"/>
      <c r="AC935" s="85">
        <v>0.05</v>
      </c>
      <c r="AD935" s="26"/>
      <c r="AE935" s="26"/>
      <c r="AF935" s="26"/>
      <c r="AG935" s="26"/>
      <c r="AH935" s="330"/>
      <c r="AI935" s="123">
        <v>13.27</v>
      </c>
      <c r="AJ935" s="123"/>
      <c r="AK935" s="161"/>
      <c r="AL935" s="17"/>
      <c r="AM935" s="17"/>
      <c r="AN935" s="17"/>
      <c r="AO935" s="17"/>
      <c r="AP935" s="17"/>
      <c r="AQ935" s="17"/>
      <c r="AR935" s="17"/>
      <c r="AS935" s="17"/>
      <c r="AT935" s="17"/>
      <c r="AU935" s="18">
        <v>146</v>
      </c>
      <c r="AV935" s="162">
        <v>0.95420000000000005</v>
      </c>
      <c r="AW935" s="162">
        <v>0.82650000000000001</v>
      </c>
      <c r="AX935" s="162">
        <v>0.65300000000000002</v>
      </c>
      <c r="AY935" s="162">
        <v>0.45779999999999998</v>
      </c>
      <c r="AZ935" s="162">
        <v>0.27950000000000003</v>
      </c>
      <c r="BA935" s="162">
        <v>0.16869999999999999</v>
      </c>
      <c r="BB935" s="162">
        <v>8.43E-2</v>
      </c>
      <c r="BC935" s="162">
        <v>4.82E-2</v>
      </c>
      <c r="BD935" s="162">
        <v>2.8899999999999999E-2</v>
      </c>
      <c r="BE935" s="162">
        <v>1.4500000000000001E-2</v>
      </c>
      <c r="BF935" s="162"/>
      <c r="BG935" s="162"/>
      <c r="BH935" s="162"/>
      <c r="BI935" s="4">
        <f>AU935/AI935</f>
        <v>11.002260738507912</v>
      </c>
      <c r="BJ935" s="2"/>
      <c r="BK935" s="2" t="s">
        <v>55</v>
      </c>
      <c r="BL935" s="12">
        <v>2.63</v>
      </c>
      <c r="BM935" s="12"/>
      <c r="BN935" s="12">
        <v>5.3</v>
      </c>
      <c r="BO935" s="12">
        <v>0.38</v>
      </c>
      <c r="BP935" s="12">
        <f>BO935*BN935</f>
        <v>2.0139999999999998</v>
      </c>
      <c r="BQ935" s="12">
        <f>BN935/BO935</f>
        <v>13.94736842105263</v>
      </c>
      <c r="BR935" s="12" t="s">
        <v>275</v>
      </c>
      <c r="BS935" s="18">
        <v>4</v>
      </c>
      <c r="BT935" s="12"/>
      <c r="BU935" s="2"/>
      <c r="BV935" s="2"/>
      <c r="BW935" s="2"/>
      <c r="BX935" s="2" t="s">
        <v>86</v>
      </c>
      <c r="BY935" s="2" t="s">
        <v>234</v>
      </c>
      <c r="BZ935" s="2"/>
      <c r="CA935" s="9"/>
      <c r="CB935" s="5" t="s">
        <v>626</v>
      </c>
    </row>
    <row r="936" spans="1:80" ht="15" x14ac:dyDescent="0.25">
      <c r="A936" s="167"/>
      <c r="B936" s="642"/>
      <c r="C936" s="642"/>
      <c r="D936" s="179"/>
      <c r="E936" s="169"/>
      <c r="F936" s="169"/>
      <c r="G936" s="187"/>
      <c r="H936" s="187"/>
      <c r="I936" s="187"/>
      <c r="J936" s="187"/>
      <c r="K936" s="187"/>
      <c r="L936" s="647"/>
      <c r="M936" s="646">
        <v>32295</v>
      </c>
      <c r="N936" s="585">
        <v>0.67</v>
      </c>
      <c r="O936" s="585">
        <v>2.2200000000000002E-3</v>
      </c>
      <c r="P936" s="175">
        <v>0</v>
      </c>
      <c r="Q936" s="175">
        <v>0</v>
      </c>
      <c r="R936" s="175">
        <v>0</v>
      </c>
      <c r="S936" s="175">
        <v>5.0000000000000002E-5</v>
      </c>
      <c r="T936" s="175">
        <v>3.6000000000000002E-4</v>
      </c>
      <c r="U936" s="175">
        <v>6.2E-4</v>
      </c>
      <c r="V936" s="706">
        <v>1.1800000000000001E-3</v>
      </c>
      <c r="W936" s="714"/>
      <c r="X936" s="715"/>
      <c r="Y936" s="716"/>
      <c r="Z936" s="709">
        <v>0</v>
      </c>
      <c r="AA936" s="175"/>
      <c r="AB936" s="200"/>
      <c r="AC936" s="205">
        <v>4.4999999999999998E-2</v>
      </c>
      <c r="AD936" s="175">
        <v>5.3</v>
      </c>
      <c r="AE936" s="175">
        <v>0.2</v>
      </c>
      <c r="AF936" s="170">
        <f>AE936*AD936</f>
        <v>1.06</v>
      </c>
      <c r="AG936" s="175">
        <v>0.62</v>
      </c>
      <c r="AH936" s="334"/>
      <c r="AI936" s="188"/>
      <c r="AJ936" s="188"/>
      <c r="AK936" s="188"/>
      <c r="AL936" s="189"/>
      <c r="AM936" s="189"/>
      <c r="AN936" s="189"/>
      <c r="AO936" s="189"/>
      <c r="AP936" s="189"/>
      <c r="AQ936" s="189"/>
      <c r="AR936" s="189"/>
      <c r="AS936" s="189"/>
      <c r="AT936" s="189"/>
      <c r="AU936" s="190"/>
      <c r="AV936" s="190"/>
      <c r="AW936" s="190"/>
      <c r="AX936" s="190"/>
      <c r="AY936" s="190"/>
      <c r="AZ936" s="189"/>
      <c r="BA936" s="189"/>
      <c r="BB936" s="189"/>
      <c r="BC936" s="189"/>
      <c r="BD936" s="189"/>
      <c r="BE936" s="189"/>
      <c r="BF936" s="189"/>
      <c r="BG936" s="189"/>
      <c r="BH936" s="189"/>
      <c r="BI936" s="190"/>
      <c r="BJ936" s="190"/>
      <c r="BK936" s="190"/>
      <c r="BL936" s="190"/>
      <c r="BM936" s="190"/>
      <c r="BN936" s="190"/>
      <c r="BO936" s="190"/>
      <c r="BP936" s="190"/>
      <c r="BQ936" s="190"/>
      <c r="BR936" s="190"/>
      <c r="BS936" s="190"/>
      <c r="BT936" s="190"/>
      <c r="BU936" s="190"/>
      <c r="BV936" s="190"/>
      <c r="BW936" s="190"/>
      <c r="BX936" s="190"/>
      <c r="BY936" s="190"/>
      <c r="BZ936" s="190"/>
      <c r="CA936" s="189"/>
      <c r="CB936" s="15" t="s">
        <v>625</v>
      </c>
    </row>
    <row r="937" spans="1:80" ht="15" x14ac:dyDescent="0.25">
      <c r="A937" s="167"/>
      <c r="B937" s="642"/>
      <c r="C937" s="642"/>
      <c r="D937" s="179"/>
      <c r="E937" s="169"/>
      <c r="F937" s="169"/>
      <c r="G937" s="187"/>
      <c r="H937" s="187"/>
      <c r="I937" s="187"/>
      <c r="J937" s="187"/>
      <c r="K937" s="187"/>
      <c r="L937" s="647"/>
      <c r="M937" s="646">
        <v>32296</v>
      </c>
      <c r="N937" s="585">
        <v>0.59</v>
      </c>
      <c r="O937" s="585">
        <v>3.5799999999999998E-3</v>
      </c>
      <c r="P937" s="175">
        <v>0</v>
      </c>
      <c r="Q937" s="175">
        <v>0</v>
      </c>
      <c r="R937" s="175">
        <v>0</v>
      </c>
      <c r="S937" s="175">
        <v>5.5999999999999995E-4</v>
      </c>
      <c r="T937" s="175">
        <v>4.8000000000000001E-4</v>
      </c>
      <c r="U937" s="175">
        <v>8.4000000000000003E-4</v>
      </c>
      <c r="V937" s="706">
        <v>1.7099999999999999E-3</v>
      </c>
      <c r="W937" s="717"/>
      <c r="X937" s="713"/>
      <c r="Y937" s="718"/>
      <c r="Z937" s="709">
        <v>0</v>
      </c>
      <c r="AA937" s="175"/>
      <c r="AB937" s="200"/>
      <c r="AC937" s="205">
        <v>4.4999999999999998E-2</v>
      </c>
      <c r="AD937" s="175">
        <v>5.3</v>
      </c>
      <c r="AE937" s="175">
        <v>0.19</v>
      </c>
      <c r="AF937" s="170">
        <f t="shared" ref="AF937:AF1000" si="17">AE937*AD937</f>
        <v>1.0069999999999999</v>
      </c>
      <c r="AG937" s="175">
        <v>0.59</v>
      </c>
      <c r="AH937" s="334"/>
      <c r="AI937" s="188"/>
      <c r="AJ937" s="188"/>
      <c r="AK937" s="188"/>
      <c r="AL937" s="189"/>
      <c r="AM937" s="189"/>
      <c r="AN937" s="189"/>
      <c r="AO937" s="189"/>
      <c r="AP937" s="189"/>
      <c r="AQ937" s="189"/>
      <c r="AR937" s="189"/>
      <c r="AS937" s="189"/>
      <c r="AT937" s="189"/>
      <c r="AU937" s="190"/>
      <c r="AV937" s="190"/>
      <c r="AW937" s="190"/>
      <c r="AX937" s="190"/>
      <c r="AY937" s="190"/>
      <c r="AZ937" s="189"/>
      <c r="BA937" s="189"/>
      <c r="BB937" s="189"/>
      <c r="BC937" s="189"/>
      <c r="BD937" s="189"/>
      <c r="BE937" s="189"/>
      <c r="BF937" s="189"/>
      <c r="BG937" s="189"/>
      <c r="BH937" s="189"/>
      <c r="BI937" s="190"/>
      <c r="BJ937" s="190"/>
      <c r="BK937" s="190"/>
      <c r="BL937" s="190"/>
      <c r="BM937" s="190"/>
      <c r="BN937" s="190"/>
      <c r="BO937" s="190"/>
      <c r="BP937" s="190"/>
      <c r="BQ937" s="190"/>
      <c r="BR937" s="190"/>
      <c r="BS937" s="190"/>
      <c r="BT937" s="190"/>
      <c r="BU937" s="190"/>
      <c r="BV937" s="190"/>
      <c r="BW937" s="190"/>
      <c r="BX937" s="190"/>
      <c r="BY937" s="190"/>
      <c r="BZ937" s="190"/>
      <c r="CA937" s="189"/>
      <c r="CB937" s="15" t="s">
        <v>627</v>
      </c>
    </row>
    <row r="938" spans="1:80" ht="15.75" x14ac:dyDescent="0.25">
      <c r="A938" s="167"/>
      <c r="B938" s="642"/>
      <c r="C938" s="642"/>
      <c r="D938" s="179"/>
      <c r="E938" s="169"/>
      <c r="F938" s="169"/>
      <c r="G938" s="187"/>
      <c r="H938" s="187"/>
      <c r="I938" s="187"/>
      <c r="J938" s="187"/>
      <c r="K938" s="187"/>
      <c r="L938" s="647"/>
      <c r="M938" s="646">
        <v>32297</v>
      </c>
      <c r="N938" s="585">
        <v>0.69</v>
      </c>
      <c r="O938" s="585">
        <v>1.1100000000000001E-3</v>
      </c>
      <c r="P938" s="175">
        <v>0</v>
      </c>
      <c r="Q938" s="175">
        <v>0</v>
      </c>
      <c r="R938" s="175">
        <v>0</v>
      </c>
      <c r="S938" s="175">
        <v>2.1000000000000001E-4</v>
      </c>
      <c r="T938" s="175">
        <v>1E-4</v>
      </c>
      <c r="U938" s="175">
        <v>2.2000000000000001E-4</v>
      </c>
      <c r="V938" s="706">
        <v>5.9000000000000003E-4</v>
      </c>
      <c r="W938" s="717"/>
      <c r="X938" s="713"/>
      <c r="Y938" s="718"/>
      <c r="Z938" s="709">
        <v>0</v>
      </c>
      <c r="AA938" s="175"/>
      <c r="AB938" s="200"/>
      <c r="AC938" s="205">
        <v>4.4999999999999998E-2</v>
      </c>
      <c r="AD938" s="175">
        <v>5.3</v>
      </c>
      <c r="AE938" s="175">
        <v>0.21</v>
      </c>
      <c r="AF938" s="170">
        <f t="shared" si="17"/>
        <v>1.113</v>
      </c>
      <c r="AG938" s="175">
        <v>0.62</v>
      </c>
      <c r="AH938" s="334"/>
      <c r="AI938" s="188"/>
      <c r="AJ938" s="188"/>
      <c r="AK938" s="188"/>
      <c r="AL938" s="189"/>
      <c r="AM938" s="189"/>
      <c r="AN938" s="189"/>
      <c r="AO938" s="189"/>
      <c r="AP938" s="189"/>
      <c r="AQ938" s="189"/>
      <c r="AR938" s="189"/>
      <c r="AS938" s="189"/>
      <c r="AT938" s="189"/>
      <c r="AU938" s="190"/>
      <c r="AV938" s="190"/>
      <c r="AW938" s="190"/>
      <c r="AX938" s="190"/>
      <c r="AY938" s="190"/>
      <c r="AZ938" s="189"/>
      <c r="BA938" s="189"/>
      <c r="BB938" s="189"/>
      <c r="BC938" s="189"/>
      <c r="BD938" s="189"/>
      <c r="BE938" s="189"/>
      <c r="BF938" s="189"/>
      <c r="BG938" s="189"/>
      <c r="BH938" s="189"/>
      <c r="BI938" s="190"/>
      <c r="BJ938" s="190"/>
      <c r="BK938" s="190"/>
      <c r="BL938" s="190"/>
      <c r="BM938" s="190"/>
      <c r="BN938" s="190"/>
      <c r="BO938" s="190"/>
      <c r="BP938" s="190"/>
      <c r="BQ938" s="190"/>
      <c r="BR938" s="190"/>
      <c r="BS938" s="190"/>
      <c r="BT938" s="190"/>
      <c r="BU938" s="190"/>
      <c r="BV938" s="190"/>
      <c r="BW938" s="190"/>
      <c r="BX938" s="190"/>
      <c r="BY938" s="190"/>
      <c r="BZ938" s="190"/>
      <c r="CA938" s="189"/>
      <c r="CB938" s="15" t="s">
        <v>649</v>
      </c>
    </row>
    <row r="939" spans="1:80" ht="15" x14ac:dyDescent="0.25">
      <c r="A939" s="167"/>
      <c r="B939" s="642"/>
      <c r="C939" s="642"/>
      <c r="D939" s="179"/>
      <c r="E939" s="169"/>
      <c r="F939" s="169"/>
      <c r="G939" s="187"/>
      <c r="H939" s="187"/>
      <c r="I939" s="187"/>
      <c r="J939" s="187"/>
      <c r="K939" s="187"/>
      <c r="L939" s="647"/>
      <c r="M939" s="646">
        <v>32298</v>
      </c>
      <c r="N939" s="585">
        <v>0.83</v>
      </c>
      <c r="O939" s="585">
        <v>2.7499999999999998E-3</v>
      </c>
      <c r="P939" s="175">
        <v>0</v>
      </c>
      <c r="Q939" s="175">
        <v>0</v>
      </c>
      <c r="R939" s="175">
        <v>0</v>
      </c>
      <c r="S939" s="175">
        <v>5.0000000000000002E-5</v>
      </c>
      <c r="T939" s="175">
        <v>6.9999999999999999E-4</v>
      </c>
      <c r="U939" s="175">
        <v>5.8E-4</v>
      </c>
      <c r="V939" s="706">
        <v>1.42E-3</v>
      </c>
      <c r="W939" s="717"/>
      <c r="X939" s="713"/>
      <c r="Y939" s="718"/>
      <c r="Z939" s="709">
        <v>0</v>
      </c>
      <c r="AA939" s="175"/>
      <c r="AB939" s="200"/>
      <c r="AC939" s="205">
        <v>4.4999999999999998E-2</v>
      </c>
      <c r="AD939" s="175">
        <v>5.3</v>
      </c>
      <c r="AE939" s="175">
        <v>0.22</v>
      </c>
      <c r="AF939" s="170">
        <f t="shared" si="17"/>
        <v>1.1659999999999999</v>
      </c>
      <c r="AG939" s="175">
        <v>0.71</v>
      </c>
      <c r="AH939" s="334"/>
      <c r="AI939" s="188"/>
      <c r="AJ939" s="188"/>
      <c r="AK939" s="188"/>
      <c r="AL939" s="189"/>
      <c r="AM939" s="189"/>
      <c r="AN939" s="189"/>
      <c r="AO939" s="189"/>
      <c r="AP939" s="189"/>
      <c r="AQ939" s="189"/>
      <c r="AR939" s="189"/>
      <c r="AS939" s="189"/>
      <c r="AT939" s="189"/>
      <c r="AU939" s="190"/>
      <c r="AV939" s="190"/>
      <c r="AW939" s="190"/>
      <c r="AX939" s="190"/>
      <c r="AY939" s="190"/>
      <c r="AZ939" s="189"/>
      <c r="BA939" s="189"/>
      <c r="BB939" s="189"/>
      <c r="BC939" s="189"/>
      <c r="BD939" s="189"/>
      <c r="BE939" s="189"/>
      <c r="BF939" s="189"/>
      <c r="BG939" s="189"/>
      <c r="BH939" s="189"/>
      <c r="BI939" s="190"/>
      <c r="BJ939" s="190"/>
      <c r="BK939" s="190"/>
      <c r="BL939" s="190"/>
      <c r="BM939" s="190"/>
      <c r="BN939" s="190"/>
      <c r="BO939" s="190"/>
      <c r="BP939" s="190"/>
      <c r="BQ939" s="190"/>
      <c r="BR939" s="190"/>
      <c r="BS939" s="190"/>
      <c r="BT939" s="190"/>
      <c r="BU939" s="190"/>
      <c r="BV939" s="190"/>
      <c r="BW939" s="190"/>
      <c r="BX939" s="190"/>
      <c r="BY939" s="190"/>
      <c r="BZ939" s="190"/>
      <c r="CA939" s="189"/>
      <c r="CB939" s="15"/>
    </row>
    <row r="940" spans="1:80" ht="15" x14ac:dyDescent="0.25">
      <c r="A940" s="167"/>
      <c r="B940" s="642"/>
      <c r="C940" s="642"/>
      <c r="D940" s="179"/>
      <c r="E940" s="169"/>
      <c r="F940" s="169"/>
      <c r="G940" s="187"/>
      <c r="H940" s="187"/>
      <c r="I940" s="187"/>
      <c r="J940" s="187"/>
      <c r="K940" s="187"/>
      <c r="L940" s="647"/>
      <c r="M940" s="646">
        <v>32299</v>
      </c>
      <c r="N940" s="585">
        <v>0.8</v>
      </c>
      <c r="O940" s="585">
        <v>3.46E-3</v>
      </c>
      <c r="P940" s="175">
        <v>0</v>
      </c>
      <c r="Q940" s="175">
        <v>0</v>
      </c>
      <c r="R940" s="175">
        <v>1.91E-3</v>
      </c>
      <c r="S940" s="175">
        <v>9.0000000000000006E-5</v>
      </c>
      <c r="T940" s="175">
        <v>2.3000000000000001E-4</v>
      </c>
      <c r="U940" s="175">
        <v>3.6999999999999999E-4</v>
      </c>
      <c r="V940" s="706">
        <v>8.5999999999999998E-4</v>
      </c>
      <c r="W940" s="717"/>
      <c r="X940" s="713"/>
      <c r="Y940" s="718"/>
      <c r="Z940" s="709">
        <v>0</v>
      </c>
      <c r="AA940" s="175"/>
      <c r="AB940" s="200"/>
      <c r="AC940" s="205">
        <v>4.4999999999999998E-2</v>
      </c>
      <c r="AD940" s="175">
        <v>5.3</v>
      </c>
      <c r="AE940" s="175">
        <v>0.22</v>
      </c>
      <c r="AF940" s="170">
        <f t="shared" si="17"/>
        <v>1.1659999999999999</v>
      </c>
      <c r="AG940" s="175">
        <v>0.69</v>
      </c>
      <c r="AH940" s="334"/>
      <c r="AI940" s="188"/>
      <c r="AJ940" s="188"/>
      <c r="AK940" s="188"/>
      <c r="AL940" s="189"/>
      <c r="AM940" s="189"/>
      <c r="AN940" s="189"/>
      <c r="AO940" s="189"/>
      <c r="AP940" s="189"/>
      <c r="AQ940" s="189"/>
      <c r="AR940" s="189"/>
      <c r="AS940" s="189"/>
      <c r="AT940" s="189"/>
      <c r="AU940" s="190"/>
      <c r="AV940" s="190"/>
      <c r="AW940" s="190"/>
      <c r="AX940" s="190"/>
      <c r="AY940" s="190"/>
      <c r="AZ940" s="189"/>
      <c r="BA940" s="189"/>
      <c r="BB940" s="189"/>
      <c r="BC940" s="189"/>
      <c r="BD940" s="189"/>
      <c r="BE940" s="189"/>
      <c r="BF940" s="189"/>
      <c r="BG940" s="189"/>
      <c r="BH940" s="189"/>
      <c r="BI940" s="190"/>
      <c r="BJ940" s="190"/>
      <c r="BK940" s="190"/>
      <c r="BL940" s="190"/>
      <c r="BM940" s="190"/>
      <c r="BN940" s="190"/>
      <c r="BO940" s="190"/>
      <c r="BP940" s="190"/>
      <c r="BQ940" s="190"/>
      <c r="BR940" s="190"/>
      <c r="BS940" s="190"/>
      <c r="BT940" s="190"/>
      <c r="BU940" s="190"/>
      <c r="BV940" s="190"/>
      <c r="BW940" s="190"/>
      <c r="BX940" s="190"/>
      <c r="BY940" s="190"/>
      <c r="BZ940" s="190"/>
      <c r="CA940" s="189"/>
      <c r="CB940" s="15"/>
    </row>
    <row r="941" spans="1:80" ht="15" x14ac:dyDescent="0.25">
      <c r="A941" s="167"/>
      <c r="B941" s="642"/>
      <c r="C941" s="642"/>
      <c r="D941" s="179"/>
      <c r="E941" s="169"/>
      <c r="F941" s="169"/>
      <c r="G941" s="187"/>
      <c r="H941" s="187"/>
      <c r="I941" s="187"/>
      <c r="J941" s="187"/>
      <c r="K941" s="187"/>
      <c r="L941" s="647"/>
      <c r="M941" s="646">
        <v>32300</v>
      </c>
      <c r="N941" s="585">
        <v>0.68</v>
      </c>
      <c r="O941" s="585">
        <v>4.8999999999999998E-4</v>
      </c>
      <c r="P941" s="175">
        <v>0</v>
      </c>
      <c r="Q941" s="175">
        <v>0</v>
      </c>
      <c r="R941" s="175">
        <v>0</v>
      </c>
      <c r="S941" s="175">
        <v>0</v>
      </c>
      <c r="T941" s="175">
        <v>3.0000000000000001E-5</v>
      </c>
      <c r="U941" s="175">
        <v>8.0000000000000007E-5</v>
      </c>
      <c r="V941" s="706">
        <v>3.8000000000000002E-4</v>
      </c>
      <c r="W941" s="717"/>
      <c r="X941" s="713"/>
      <c r="Y941" s="718"/>
      <c r="Z941" s="709">
        <v>0</v>
      </c>
      <c r="AA941" s="175"/>
      <c r="AB941" s="200"/>
      <c r="AC941" s="205">
        <v>4.4999999999999998E-2</v>
      </c>
      <c r="AD941" s="175">
        <v>5.3</v>
      </c>
      <c r="AE941" s="175">
        <v>0.2</v>
      </c>
      <c r="AF941" s="170">
        <f t="shared" si="17"/>
        <v>1.06</v>
      </c>
      <c r="AG941" s="175">
        <v>0.65</v>
      </c>
      <c r="AH941" s="334"/>
      <c r="AI941" s="188"/>
      <c r="AJ941" s="188"/>
      <c r="AK941" s="188"/>
      <c r="AL941" s="189"/>
      <c r="AM941" s="189"/>
      <c r="AN941" s="189"/>
      <c r="AO941" s="189"/>
      <c r="AP941" s="189"/>
      <c r="AQ941" s="189"/>
      <c r="AR941" s="189"/>
      <c r="AS941" s="189"/>
      <c r="AT941" s="189"/>
      <c r="AU941" s="190"/>
      <c r="AV941" s="190"/>
      <c r="AW941" s="190"/>
      <c r="AX941" s="190"/>
      <c r="AY941" s="190"/>
      <c r="AZ941" s="189"/>
      <c r="BA941" s="189"/>
      <c r="BB941" s="189"/>
      <c r="BC941" s="189"/>
      <c r="BD941" s="189"/>
      <c r="BE941" s="189"/>
      <c r="BF941" s="189"/>
      <c r="BG941" s="189"/>
      <c r="BH941" s="189"/>
      <c r="BI941" s="190"/>
      <c r="BJ941" s="190"/>
      <c r="BK941" s="190"/>
      <c r="BL941" s="190"/>
      <c r="BM941" s="190"/>
      <c r="BN941" s="190"/>
      <c r="BO941" s="190"/>
      <c r="BP941" s="190"/>
      <c r="BQ941" s="190"/>
      <c r="BR941" s="190"/>
      <c r="BS941" s="190"/>
      <c r="BT941" s="190"/>
      <c r="BU941" s="190"/>
      <c r="BV941" s="190"/>
      <c r="BW941" s="190"/>
      <c r="BX941" s="190"/>
      <c r="BY941" s="190"/>
      <c r="BZ941" s="190"/>
      <c r="CA941" s="189"/>
      <c r="CB941" s="15"/>
    </row>
    <row r="942" spans="1:80" ht="15" x14ac:dyDescent="0.25">
      <c r="A942" s="167"/>
      <c r="B942" s="642"/>
      <c r="C942" s="642"/>
      <c r="D942" s="179"/>
      <c r="E942" s="169"/>
      <c r="F942" s="169"/>
      <c r="G942" s="187"/>
      <c r="H942" s="187"/>
      <c r="I942" s="187"/>
      <c r="J942" s="187"/>
      <c r="K942" s="187"/>
      <c r="L942" s="647"/>
      <c r="M942" s="646">
        <v>32303</v>
      </c>
      <c r="N942" s="585">
        <v>1.01</v>
      </c>
      <c r="O942" s="585">
        <v>3.98E-3</v>
      </c>
      <c r="P942" s="175">
        <v>0</v>
      </c>
      <c r="Q942" s="175">
        <v>0</v>
      </c>
      <c r="R942" s="175">
        <v>0</v>
      </c>
      <c r="S942" s="175">
        <v>0</v>
      </c>
      <c r="T942" s="175">
        <v>2.1000000000000001E-4</v>
      </c>
      <c r="U942" s="175">
        <v>6.4000000000000005E-4</v>
      </c>
      <c r="V942" s="706">
        <v>3.14E-3</v>
      </c>
      <c r="W942" s="717"/>
      <c r="X942" s="713"/>
      <c r="Y942" s="718"/>
      <c r="Z942" s="709">
        <v>0</v>
      </c>
      <c r="AA942" s="175"/>
      <c r="AB942" s="200"/>
      <c r="AC942" s="205">
        <v>4.4999999999999998E-2</v>
      </c>
      <c r="AD942" s="175">
        <v>5.25</v>
      </c>
      <c r="AE942" s="175">
        <v>0.26</v>
      </c>
      <c r="AF942" s="170">
        <f t="shared" si="17"/>
        <v>1.365</v>
      </c>
      <c r="AG942" s="175">
        <v>0.73</v>
      </c>
      <c r="AH942" s="334"/>
      <c r="AI942" s="188"/>
      <c r="AJ942" s="188"/>
      <c r="AK942" s="188"/>
      <c r="AL942" s="189"/>
      <c r="AM942" s="189"/>
      <c r="AN942" s="189"/>
      <c r="AO942" s="189"/>
      <c r="AP942" s="189"/>
      <c r="AQ942" s="189"/>
      <c r="AR942" s="189"/>
      <c r="AS942" s="189"/>
      <c r="AT942" s="189"/>
      <c r="AU942" s="190"/>
      <c r="AV942" s="190"/>
      <c r="AW942" s="190"/>
      <c r="AX942" s="190"/>
      <c r="AY942" s="190"/>
      <c r="AZ942" s="189"/>
      <c r="BA942" s="189"/>
      <c r="BB942" s="189"/>
      <c r="BC942" s="189"/>
      <c r="BD942" s="189"/>
      <c r="BE942" s="189"/>
      <c r="BF942" s="189"/>
      <c r="BG942" s="189"/>
      <c r="BH942" s="189"/>
      <c r="BI942" s="190"/>
      <c r="BJ942" s="190"/>
      <c r="BK942" s="190"/>
      <c r="BL942" s="190"/>
      <c r="BM942" s="190"/>
      <c r="BN942" s="190"/>
      <c r="BO942" s="190"/>
      <c r="BP942" s="190"/>
      <c r="BQ942" s="190"/>
      <c r="BR942" s="190"/>
      <c r="BS942" s="190"/>
      <c r="BT942" s="190"/>
      <c r="BU942" s="190"/>
      <c r="BV942" s="190"/>
      <c r="BW942" s="190"/>
      <c r="BX942" s="190"/>
      <c r="BY942" s="190"/>
      <c r="BZ942" s="190"/>
      <c r="CA942" s="189"/>
      <c r="CB942" s="15"/>
    </row>
    <row r="943" spans="1:80" ht="15" x14ac:dyDescent="0.25">
      <c r="A943" s="167"/>
      <c r="B943" s="642"/>
      <c r="C943" s="642"/>
      <c r="D943" s="179"/>
      <c r="E943" s="169"/>
      <c r="F943" s="169"/>
      <c r="G943" s="187"/>
      <c r="H943" s="187"/>
      <c r="I943" s="187"/>
      <c r="J943" s="187"/>
      <c r="K943" s="187"/>
      <c r="L943" s="647"/>
      <c r="M943" s="646">
        <v>32305</v>
      </c>
      <c r="N943" s="585">
        <v>1.25</v>
      </c>
      <c r="O943" s="585">
        <v>3.7299999999999998E-3</v>
      </c>
      <c r="P943" s="175">
        <v>0</v>
      </c>
      <c r="Q943" s="175">
        <v>0</v>
      </c>
      <c r="R943" s="175">
        <v>0</v>
      </c>
      <c r="S943" s="175">
        <v>1.9000000000000001E-4</v>
      </c>
      <c r="T943" s="175">
        <v>2.7999999999999998E-4</v>
      </c>
      <c r="U943" s="175">
        <v>4.4000000000000002E-4</v>
      </c>
      <c r="V943" s="706">
        <v>2.82E-3</v>
      </c>
      <c r="W943" s="717"/>
      <c r="X943" s="713"/>
      <c r="Y943" s="718"/>
      <c r="Z943" s="709">
        <v>0</v>
      </c>
      <c r="AA943" s="175"/>
      <c r="AB943" s="200"/>
      <c r="AC943" s="205">
        <v>4.4999999999999998E-2</v>
      </c>
      <c r="AD943" s="175">
        <v>5.25</v>
      </c>
      <c r="AE943" s="175">
        <v>0.3</v>
      </c>
      <c r="AF943" s="170">
        <f t="shared" si="17"/>
        <v>1.575</v>
      </c>
      <c r="AG943" s="175">
        <v>0.8</v>
      </c>
      <c r="AH943" s="334"/>
      <c r="AI943" s="188"/>
      <c r="AJ943" s="188"/>
      <c r="AK943" s="188"/>
      <c r="AL943" s="189"/>
      <c r="AM943" s="189"/>
      <c r="AN943" s="189"/>
      <c r="AO943" s="189"/>
      <c r="AP943" s="189"/>
      <c r="AQ943" s="189"/>
      <c r="AR943" s="189"/>
      <c r="AS943" s="189"/>
      <c r="AT943" s="189"/>
      <c r="AU943" s="190"/>
      <c r="AV943" s="190"/>
      <c r="AW943" s="190"/>
      <c r="AX943" s="190"/>
      <c r="AY943" s="190"/>
      <c r="AZ943" s="189"/>
      <c r="BA943" s="189"/>
      <c r="BB943" s="189"/>
      <c r="BC943" s="189"/>
      <c r="BD943" s="189"/>
      <c r="BE943" s="189"/>
      <c r="BF943" s="189"/>
      <c r="BG943" s="189"/>
      <c r="BH943" s="189"/>
      <c r="BI943" s="190"/>
      <c r="BJ943" s="190"/>
      <c r="BK943" s="190"/>
      <c r="BL943" s="190"/>
      <c r="BM943" s="190"/>
      <c r="BN943" s="190"/>
      <c r="BO943" s="190"/>
      <c r="BP943" s="190"/>
      <c r="BQ943" s="190"/>
      <c r="BR943" s="190"/>
      <c r="BS943" s="190"/>
      <c r="BT943" s="190"/>
      <c r="BU943" s="190"/>
      <c r="BV943" s="190"/>
      <c r="BW943" s="190"/>
      <c r="BX943" s="190"/>
      <c r="BY943" s="190"/>
      <c r="BZ943" s="190"/>
      <c r="CA943" s="189"/>
      <c r="CB943" s="15"/>
    </row>
    <row r="944" spans="1:80" ht="15" x14ac:dyDescent="0.25">
      <c r="A944" s="167"/>
      <c r="B944" s="642"/>
      <c r="C944" s="642"/>
      <c r="D944" s="179"/>
      <c r="E944" s="169"/>
      <c r="F944" s="169"/>
      <c r="G944" s="187"/>
      <c r="H944" s="187"/>
      <c r="I944" s="187"/>
      <c r="J944" s="187"/>
      <c r="K944" s="187"/>
      <c r="L944" s="647"/>
      <c r="M944" s="646">
        <v>32306</v>
      </c>
      <c r="N944" s="585">
        <v>1.38</v>
      </c>
      <c r="O944" s="585">
        <v>3.96E-3</v>
      </c>
      <c r="P944" s="175">
        <v>0</v>
      </c>
      <c r="Q944" s="175">
        <v>0</v>
      </c>
      <c r="R944" s="175">
        <v>0</v>
      </c>
      <c r="S944" s="175">
        <v>0</v>
      </c>
      <c r="T944" s="175">
        <v>4.4999999999999999E-4</v>
      </c>
      <c r="U944" s="175">
        <v>6.3000000000000003E-4</v>
      </c>
      <c r="V944" s="706">
        <v>2.8800000000000002E-3</v>
      </c>
      <c r="W944" s="717"/>
      <c r="X944" s="713"/>
      <c r="Y944" s="718"/>
      <c r="Z944" s="709">
        <v>0</v>
      </c>
      <c r="AA944" s="175"/>
      <c r="AB944" s="200"/>
      <c r="AC944" s="205">
        <v>4.4999999999999998E-2</v>
      </c>
      <c r="AD944" s="175">
        <v>5.25</v>
      </c>
      <c r="AE944" s="175">
        <v>0.3</v>
      </c>
      <c r="AF944" s="170">
        <f t="shared" si="17"/>
        <v>1.575</v>
      </c>
      <c r="AG944" s="175">
        <v>0.88</v>
      </c>
      <c r="AH944" s="334"/>
      <c r="AI944" s="188"/>
      <c r="AJ944" s="188"/>
      <c r="AK944" s="188"/>
      <c r="AL944" s="189"/>
      <c r="AM944" s="189"/>
      <c r="AN944" s="189"/>
      <c r="AO944" s="189"/>
      <c r="AP944" s="189"/>
      <c r="AQ944" s="189"/>
      <c r="AR944" s="189"/>
      <c r="AS944" s="189"/>
      <c r="AT944" s="189"/>
      <c r="AU944" s="190"/>
      <c r="AV944" s="190"/>
      <c r="AW944" s="190"/>
      <c r="AX944" s="190"/>
      <c r="AY944" s="190"/>
      <c r="AZ944" s="189"/>
      <c r="BA944" s="189"/>
      <c r="BB944" s="189"/>
      <c r="BC944" s="189"/>
      <c r="BD944" s="189"/>
      <c r="BE944" s="189"/>
      <c r="BF944" s="189"/>
      <c r="BG944" s="189"/>
      <c r="BH944" s="189"/>
      <c r="BI944" s="190"/>
      <c r="BJ944" s="190"/>
      <c r="BK944" s="190"/>
      <c r="BL944" s="190"/>
      <c r="BM944" s="190"/>
      <c r="BN944" s="190"/>
      <c r="BO944" s="190"/>
      <c r="BP944" s="190"/>
      <c r="BQ944" s="190"/>
      <c r="BR944" s="190"/>
      <c r="BS944" s="190"/>
      <c r="BT944" s="190"/>
      <c r="BU944" s="190"/>
      <c r="BV944" s="190"/>
      <c r="BW944" s="190"/>
      <c r="BX944" s="190"/>
      <c r="BY944" s="190"/>
      <c r="BZ944" s="190"/>
      <c r="CA944" s="189"/>
      <c r="CB944" s="15"/>
    </row>
    <row r="945" spans="1:80" ht="15" x14ac:dyDescent="0.25">
      <c r="A945" s="167"/>
      <c r="B945" s="642"/>
      <c r="C945" s="642"/>
      <c r="D945" s="179"/>
      <c r="E945" s="169"/>
      <c r="F945" s="169"/>
      <c r="G945" s="187"/>
      <c r="H945" s="187"/>
      <c r="I945" s="187"/>
      <c r="J945" s="187"/>
      <c r="K945" s="187"/>
      <c r="L945" s="647"/>
      <c r="M945" s="646">
        <v>32307</v>
      </c>
      <c r="N945" s="585">
        <v>1.21</v>
      </c>
      <c r="O945" s="585">
        <v>4.7699999999999999E-3</v>
      </c>
      <c r="P945" s="175">
        <v>0</v>
      </c>
      <c r="Q945" s="175">
        <v>0</v>
      </c>
      <c r="R945" s="175">
        <v>0</v>
      </c>
      <c r="S945" s="175">
        <v>1E-4</v>
      </c>
      <c r="T945" s="175">
        <v>4.4000000000000002E-4</v>
      </c>
      <c r="U945" s="175">
        <v>8.0000000000000004E-4</v>
      </c>
      <c r="V945" s="706">
        <v>3.4299999999999999E-3</v>
      </c>
      <c r="W945" s="717"/>
      <c r="X945" s="713"/>
      <c r="Y945" s="718"/>
      <c r="Z945" s="709">
        <v>0</v>
      </c>
      <c r="AA945" s="175"/>
      <c r="AB945" s="200"/>
      <c r="AC945" s="205">
        <v>4.4999999999999998E-2</v>
      </c>
      <c r="AD945" s="175">
        <v>5.3</v>
      </c>
      <c r="AE945" s="175">
        <v>0.27</v>
      </c>
      <c r="AF945" s="170">
        <f t="shared" si="17"/>
        <v>1.431</v>
      </c>
      <c r="AG945" s="175">
        <v>0.84</v>
      </c>
      <c r="AH945" s="334"/>
      <c r="AI945" s="188"/>
      <c r="AJ945" s="188"/>
      <c r="AK945" s="188"/>
      <c r="AL945" s="189"/>
      <c r="AM945" s="189"/>
      <c r="AN945" s="189"/>
      <c r="AO945" s="189"/>
      <c r="AP945" s="189"/>
      <c r="AQ945" s="189"/>
      <c r="AR945" s="189"/>
      <c r="AS945" s="189"/>
      <c r="AT945" s="189"/>
      <c r="AU945" s="190"/>
      <c r="AV945" s="190"/>
      <c r="AW945" s="190"/>
      <c r="AX945" s="190"/>
      <c r="AY945" s="190"/>
      <c r="AZ945" s="189"/>
      <c r="BA945" s="189"/>
      <c r="BB945" s="189"/>
      <c r="BC945" s="189"/>
      <c r="BD945" s="189"/>
      <c r="BE945" s="189"/>
      <c r="BF945" s="189"/>
      <c r="BG945" s="189"/>
      <c r="BH945" s="189"/>
      <c r="BI945" s="190"/>
      <c r="BJ945" s="190"/>
      <c r="BK945" s="190"/>
      <c r="BL945" s="190"/>
      <c r="BM945" s="190"/>
      <c r="BN945" s="190"/>
      <c r="BO945" s="190"/>
      <c r="BP945" s="190"/>
      <c r="BQ945" s="190"/>
      <c r="BR945" s="190"/>
      <c r="BS945" s="190"/>
      <c r="BT945" s="190"/>
      <c r="BU945" s="190"/>
      <c r="BV945" s="190"/>
      <c r="BW945" s="190"/>
      <c r="BX945" s="190"/>
      <c r="BY945" s="190"/>
      <c r="BZ945" s="190"/>
      <c r="CA945" s="189"/>
      <c r="CB945" s="15"/>
    </row>
    <row r="946" spans="1:80" ht="15" x14ac:dyDescent="0.25">
      <c r="A946" s="167"/>
      <c r="B946" s="642"/>
      <c r="C946" s="642"/>
      <c r="D946" s="179"/>
      <c r="E946" s="169"/>
      <c r="F946" s="169"/>
      <c r="G946" s="187"/>
      <c r="H946" s="187"/>
      <c r="I946" s="187"/>
      <c r="J946" s="187"/>
      <c r="K946" s="187"/>
      <c r="L946" s="647"/>
      <c r="M946" s="646">
        <v>32308</v>
      </c>
      <c r="N946" s="585">
        <v>1.1399999999999999</v>
      </c>
      <c r="O946" s="585">
        <v>1.537E-2</v>
      </c>
      <c r="P946" s="175">
        <v>0</v>
      </c>
      <c r="Q946" s="175">
        <v>0</v>
      </c>
      <c r="R946" s="175">
        <v>0</v>
      </c>
      <c r="S946" s="175">
        <v>2.1700000000000001E-3</v>
      </c>
      <c r="T946" s="175">
        <v>2.1099999999999999E-3</v>
      </c>
      <c r="U946" s="175">
        <v>3.1700000000000001E-3</v>
      </c>
      <c r="V946" s="706">
        <v>7.92E-3</v>
      </c>
      <c r="W946" s="717"/>
      <c r="X946" s="713"/>
      <c r="Y946" s="718"/>
      <c r="Z946" s="709">
        <v>0</v>
      </c>
      <c r="AA946" s="175"/>
      <c r="AB946" s="200"/>
      <c r="AC946" s="205">
        <v>4.4999999999999998E-2</v>
      </c>
      <c r="AD946" s="175">
        <v>5.3</v>
      </c>
      <c r="AE946" s="175">
        <v>0.26</v>
      </c>
      <c r="AF946" s="170">
        <f t="shared" si="17"/>
        <v>1.3779999999999999</v>
      </c>
      <c r="AG946" s="175">
        <v>0.81</v>
      </c>
      <c r="AH946" s="334"/>
      <c r="AI946" s="188"/>
      <c r="AJ946" s="188"/>
      <c r="AK946" s="188"/>
      <c r="AL946" s="189"/>
      <c r="AM946" s="189"/>
      <c r="AN946" s="189"/>
      <c r="AO946" s="189"/>
      <c r="AP946" s="189"/>
      <c r="AQ946" s="189"/>
      <c r="AR946" s="189"/>
      <c r="AS946" s="189"/>
      <c r="AT946" s="189"/>
      <c r="AU946" s="190"/>
      <c r="AV946" s="190"/>
      <c r="AW946" s="190"/>
      <c r="AX946" s="190"/>
      <c r="AY946" s="190"/>
      <c r="AZ946" s="189"/>
      <c r="BA946" s="189"/>
      <c r="BB946" s="189"/>
      <c r="BC946" s="189"/>
      <c r="BD946" s="189"/>
      <c r="BE946" s="189"/>
      <c r="BF946" s="189"/>
      <c r="BG946" s="189"/>
      <c r="BH946" s="189"/>
      <c r="BI946" s="190"/>
      <c r="BJ946" s="190"/>
      <c r="BK946" s="190"/>
      <c r="BL946" s="190"/>
      <c r="BM946" s="190"/>
      <c r="BN946" s="190"/>
      <c r="BO946" s="190"/>
      <c r="BP946" s="190"/>
      <c r="BQ946" s="190"/>
      <c r="BR946" s="190"/>
      <c r="BS946" s="190"/>
      <c r="BT946" s="190"/>
      <c r="BU946" s="190"/>
      <c r="BV946" s="190"/>
      <c r="BW946" s="190"/>
      <c r="BX946" s="190"/>
      <c r="BY946" s="190"/>
      <c r="BZ946" s="190"/>
      <c r="CA946" s="189"/>
      <c r="CB946" s="15"/>
    </row>
    <row r="947" spans="1:80" ht="15" x14ac:dyDescent="0.25">
      <c r="A947" s="167"/>
      <c r="B947" s="642"/>
      <c r="C947" s="642"/>
      <c r="D947" s="179"/>
      <c r="E947" s="169"/>
      <c r="F947" s="169"/>
      <c r="G947" s="187"/>
      <c r="H947" s="187"/>
      <c r="I947" s="187"/>
      <c r="J947" s="187"/>
      <c r="K947" s="187"/>
      <c r="L947" s="647"/>
      <c r="M947" s="646">
        <v>32310</v>
      </c>
      <c r="N947" s="585">
        <v>0.9</v>
      </c>
      <c r="O947" s="585">
        <v>1.09E-3</v>
      </c>
      <c r="P947" s="175">
        <v>0</v>
      </c>
      <c r="Q947" s="175">
        <v>0</v>
      </c>
      <c r="R947" s="175">
        <v>0</v>
      </c>
      <c r="S947" s="175">
        <v>1.1E-4</v>
      </c>
      <c r="T947" s="175">
        <v>9.0000000000000006E-5</v>
      </c>
      <c r="U947" s="175">
        <v>1.2E-4</v>
      </c>
      <c r="V947" s="706">
        <v>7.6999999999999996E-4</v>
      </c>
      <c r="W947" s="717"/>
      <c r="X947" s="713"/>
      <c r="Y947" s="718"/>
      <c r="Z947" s="709">
        <v>0</v>
      </c>
      <c r="AA947" s="175"/>
      <c r="AB947" s="200"/>
      <c r="AC947" s="205">
        <v>4.4999999999999998E-2</v>
      </c>
      <c r="AD947" s="175">
        <v>5.3</v>
      </c>
      <c r="AE947" s="175">
        <v>0.25</v>
      </c>
      <c r="AF947" s="170">
        <f t="shared" si="17"/>
        <v>1.325</v>
      </c>
      <c r="AG947" s="175">
        <v>0.67</v>
      </c>
      <c r="AH947" s="334"/>
      <c r="AI947" s="188"/>
      <c r="AJ947" s="188"/>
      <c r="AK947" s="188"/>
      <c r="AL947" s="189"/>
      <c r="AM947" s="189"/>
      <c r="AN947" s="189"/>
      <c r="AO947" s="189"/>
      <c r="AP947" s="189"/>
      <c r="AQ947" s="189"/>
      <c r="AR947" s="189"/>
      <c r="AS947" s="189"/>
      <c r="AT947" s="189"/>
      <c r="AU947" s="190"/>
      <c r="AV947" s="190"/>
      <c r="AW947" s="190"/>
      <c r="AX947" s="190"/>
      <c r="AY947" s="190"/>
      <c r="AZ947" s="189"/>
      <c r="BA947" s="189"/>
      <c r="BB947" s="189"/>
      <c r="BC947" s="189"/>
      <c r="BD947" s="189"/>
      <c r="BE947" s="189"/>
      <c r="BF947" s="189"/>
      <c r="BG947" s="189"/>
      <c r="BH947" s="189"/>
      <c r="BI947" s="190"/>
      <c r="BJ947" s="190"/>
      <c r="BK947" s="190"/>
      <c r="BL947" s="190"/>
      <c r="BM947" s="190"/>
      <c r="BN947" s="190"/>
      <c r="BO947" s="190"/>
      <c r="BP947" s="190"/>
      <c r="BQ947" s="190"/>
      <c r="BR947" s="190"/>
      <c r="BS947" s="190"/>
      <c r="BT947" s="190"/>
      <c r="BU947" s="190"/>
      <c r="BV947" s="190"/>
      <c r="BW947" s="190"/>
      <c r="BX947" s="190"/>
      <c r="BY947" s="190"/>
      <c r="BZ947" s="190"/>
      <c r="CA947" s="189"/>
      <c r="CB947" s="15"/>
    </row>
    <row r="948" spans="1:80" ht="15" x14ac:dyDescent="0.25">
      <c r="A948" s="167"/>
      <c r="B948" s="642"/>
      <c r="C948" s="642"/>
      <c r="D948" s="179"/>
      <c r="E948" s="169"/>
      <c r="F948" s="169"/>
      <c r="G948" s="187"/>
      <c r="H948" s="187"/>
      <c r="I948" s="187"/>
      <c r="J948" s="187"/>
      <c r="K948" s="187"/>
      <c r="L948" s="647"/>
      <c r="M948" s="646">
        <v>32312</v>
      </c>
      <c r="N948" s="585">
        <v>1.49</v>
      </c>
      <c r="O948" s="585">
        <v>7.9799999999999992E-3</v>
      </c>
      <c r="P948" s="175">
        <v>0</v>
      </c>
      <c r="Q948" s="175">
        <v>0</v>
      </c>
      <c r="R948" s="175">
        <v>0</v>
      </c>
      <c r="S948" s="175">
        <v>0</v>
      </c>
      <c r="T948" s="175">
        <v>4.2999999999999999E-4</v>
      </c>
      <c r="U948" s="175">
        <v>1.31E-3</v>
      </c>
      <c r="V948" s="706">
        <v>6.2399999999999999E-3</v>
      </c>
      <c r="W948" s="717"/>
      <c r="X948" s="713"/>
      <c r="Y948" s="718"/>
      <c r="Z948" s="709">
        <v>0</v>
      </c>
      <c r="AA948" s="175"/>
      <c r="AB948" s="200"/>
      <c r="AC948" s="205">
        <v>4.4999999999999998E-2</v>
      </c>
      <c r="AD948" s="175">
        <v>5.3</v>
      </c>
      <c r="AE948" s="175">
        <v>0.31</v>
      </c>
      <c r="AF948" s="170">
        <f t="shared" si="17"/>
        <v>1.643</v>
      </c>
      <c r="AG948" s="175">
        <v>0.91</v>
      </c>
      <c r="AH948" s="334"/>
      <c r="AI948" s="188"/>
      <c r="AJ948" s="188"/>
      <c r="AK948" s="188"/>
      <c r="AL948" s="189"/>
      <c r="AM948" s="189"/>
      <c r="AN948" s="189"/>
      <c r="AO948" s="189"/>
      <c r="AP948" s="189"/>
      <c r="AQ948" s="189"/>
      <c r="AR948" s="189"/>
      <c r="AS948" s="189"/>
      <c r="AT948" s="189"/>
      <c r="AU948" s="190"/>
      <c r="AV948" s="190"/>
      <c r="AW948" s="190"/>
      <c r="AX948" s="190"/>
      <c r="AY948" s="190"/>
      <c r="AZ948" s="189"/>
      <c r="BA948" s="189"/>
      <c r="BB948" s="189"/>
      <c r="BC948" s="189"/>
      <c r="BD948" s="189"/>
      <c r="BE948" s="189"/>
      <c r="BF948" s="189"/>
      <c r="BG948" s="189"/>
      <c r="BH948" s="189"/>
      <c r="BI948" s="190"/>
      <c r="BJ948" s="190"/>
      <c r="BK948" s="190"/>
      <c r="BL948" s="190"/>
      <c r="BM948" s="190"/>
      <c r="BN948" s="190"/>
      <c r="BO948" s="190"/>
      <c r="BP948" s="190"/>
      <c r="BQ948" s="190"/>
      <c r="BR948" s="190"/>
      <c r="BS948" s="190"/>
      <c r="BT948" s="190"/>
      <c r="BU948" s="190"/>
      <c r="BV948" s="190"/>
      <c r="BW948" s="190"/>
      <c r="BX948" s="190"/>
      <c r="BY948" s="190"/>
      <c r="BZ948" s="190"/>
      <c r="CA948" s="189"/>
      <c r="CB948" s="15"/>
    </row>
    <row r="949" spans="1:80" ht="15" x14ac:dyDescent="0.25">
      <c r="A949" s="167"/>
      <c r="B949" s="642"/>
      <c r="C949" s="642"/>
      <c r="D949" s="179"/>
      <c r="E949" s="169"/>
      <c r="F949" s="169"/>
      <c r="G949" s="187"/>
      <c r="H949" s="187"/>
      <c r="I949" s="187"/>
      <c r="J949" s="187"/>
      <c r="K949" s="187"/>
      <c r="L949" s="647"/>
      <c r="M949" s="646">
        <v>32318</v>
      </c>
      <c r="N949" s="585">
        <v>1.26</v>
      </c>
      <c r="O949" s="585">
        <v>1.32E-3</v>
      </c>
      <c r="P949" s="175">
        <v>0</v>
      </c>
      <c r="Q949" s="175">
        <v>0</v>
      </c>
      <c r="R949" s="175">
        <v>0</v>
      </c>
      <c r="S949" s="175">
        <v>0</v>
      </c>
      <c r="T949" s="175">
        <v>4.0000000000000003E-5</v>
      </c>
      <c r="U949" s="175">
        <v>1.7000000000000001E-4</v>
      </c>
      <c r="V949" s="706">
        <v>1.1199999999999999E-3</v>
      </c>
      <c r="W949" s="717"/>
      <c r="X949" s="713"/>
      <c r="Y949" s="718"/>
      <c r="Z949" s="709">
        <v>0</v>
      </c>
      <c r="AA949" s="175"/>
      <c r="AB949" s="200"/>
      <c r="AC949" s="205">
        <v>4.4999999999999998E-2</v>
      </c>
      <c r="AD949" s="175">
        <v>5.3</v>
      </c>
      <c r="AE949" s="175">
        <v>0.28999999999999998</v>
      </c>
      <c r="AF949" s="170">
        <f t="shared" si="17"/>
        <v>1.5369999999999999</v>
      </c>
      <c r="AG949" s="175">
        <v>0.83</v>
      </c>
      <c r="AH949" s="334"/>
      <c r="AI949" s="188"/>
      <c r="AJ949" s="188"/>
      <c r="AK949" s="188"/>
      <c r="AL949" s="189"/>
      <c r="AM949" s="189"/>
      <c r="AN949" s="189"/>
      <c r="AO949" s="189"/>
      <c r="AP949" s="189"/>
      <c r="AQ949" s="189"/>
      <c r="AR949" s="189"/>
      <c r="AS949" s="189"/>
      <c r="AT949" s="189"/>
      <c r="AU949" s="190"/>
      <c r="AV949" s="190"/>
      <c r="AW949" s="190"/>
      <c r="AX949" s="190"/>
      <c r="AY949" s="190"/>
      <c r="AZ949" s="189"/>
      <c r="BA949" s="189"/>
      <c r="BB949" s="189"/>
      <c r="BC949" s="189"/>
      <c r="BD949" s="189"/>
      <c r="BE949" s="189"/>
      <c r="BF949" s="189"/>
      <c r="BG949" s="189"/>
      <c r="BH949" s="189"/>
      <c r="BI949" s="190"/>
      <c r="BJ949" s="190"/>
      <c r="BK949" s="190"/>
      <c r="BL949" s="190"/>
      <c r="BM949" s="190"/>
      <c r="BN949" s="190"/>
      <c r="BO949" s="190"/>
      <c r="BP949" s="190"/>
      <c r="BQ949" s="190"/>
      <c r="BR949" s="190"/>
      <c r="BS949" s="190"/>
      <c r="BT949" s="190"/>
      <c r="BU949" s="190"/>
      <c r="BV949" s="190"/>
      <c r="BW949" s="190"/>
      <c r="BX949" s="190"/>
      <c r="BY949" s="190"/>
      <c r="BZ949" s="190"/>
      <c r="CA949" s="189"/>
      <c r="CB949" s="15"/>
    </row>
    <row r="950" spans="1:80" ht="15" x14ac:dyDescent="0.25">
      <c r="A950" s="167"/>
      <c r="B950" s="642"/>
      <c r="C950" s="642"/>
      <c r="D950" s="179"/>
      <c r="E950" s="169"/>
      <c r="F950" s="169"/>
      <c r="G950" s="187"/>
      <c r="H950" s="187"/>
      <c r="I950" s="187"/>
      <c r="J950" s="187"/>
      <c r="K950" s="187"/>
      <c r="L950" s="647"/>
      <c r="M950" s="646">
        <v>32330</v>
      </c>
      <c r="N950" s="585">
        <v>0.76</v>
      </c>
      <c r="O950" s="585">
        <v>2.4000000000000001E-4</v>
      </c>
      <c r="P950" s="175">
        <v>0</v>
      </c>
      <c r="Q950" s="175">
        <v>0</v>
      </c>
      <c r="R950" s="175">
        <v>0</v>
      </c>
      <c r="S950" s="175">
        <v>0</v>
      </c>
      <c r="T950" s="175">
        <v>1.0000000000000001E-5</v>
      </c>
      <c r="U950" s="175">
        <v>4.0000000000000003E-5</v>
      </c>
      <c r="V950" s="706">
        <v>1.9000000000000001E-4</v>
      </c>
      <c r="W950" s="717"/>
      <c r="X950" s="713"/>
      <c r="Y950" s="718"/>
      <c r="Z950" s="709">
        <v>0</v>
      </c>
      <c r="AA950" s="175"/>
      <c r="AB950" s="200"/>
      <c r="AC950" s="205">
        <v>4.4999999999999998E-2</v>
      </c>
      <c r="AD950" s="175">
        <v>5.3</v>
      </c>
      <c r="AE950" s="175">
        <v>0.21</v>
      </c>
      <c r="AF950" s="170">
        <f t="shared" si="17"/>
        <v>1.113</v>
      </c>
      <c r="AG950" s="175">
        <v>0.69</v>
      </c>
      <c r="AH950" s="334"/>
      <c r="AI950" s="188"/>
      <c r="AJ950" s="188"/>
      <c r="AK950" s="188"/>
      <c r="AL950" s="189"/>
      <c r="AM950" s="189"/>
      <c r="AN950" s="189"/>
      <c r="AO950" s="189"/>
      <c r="AP950" s="189"/>
      <c r="AQ950" s="189"/>
      <c r="AR950" s="189"/>
      <c r="AS950" s="189"/>
      <c r="AT950" s="189"/>
      <c r="AU950" s="190"/>
      <c r="AV950" s="190"/>
      <c r="AW950" s="190"/>
      <c r="AX950" s="190"/>
      <c r="AY950" s="190"/>
      <c r="AZ950" s="189"/>
      <c r="BA950" s="189"/>
      <c r="BB950" s="189"/>
      <c r="BC950" s="189"/>
      <c r="BD950" s="189"/>
      <c r="BE950" s="189"/>
      <c r="BF950" s="189"/>
      <c r="BG950" s="189"/>
      <c r="BH950" s="189"/>
      <c r="BI950" s="190"/>
      <c r="BJ950" s="190"/>
      <c r="BK950" s="190"/>
      <c r="BL950" s="190"/>
      <c r="BM950" s="190"/>
      <c r="BN950" s="190"/>
      <c r="BO950" s="190"/>
      <c r="BP950" s="190"/>
      <c r="BQ950" s="190"/>
      <c r="BR950" s="190"/>
      <c r="BS950" s="190"/>
      <c r="BT950" s="190"/>
      <c r="BU950" s="190"/>
      <c r="BV950" s="190"/>
      <c r="BW950" s="190"/>
      <c r="BX950" s="190"/>
      <c r="BY950" s="190"/>
      <c r="BZ950" s="190"/>
      <c r="CA950" s="189"/>
      <c r="CB950" s="15"/>
    </row>
    <row r="951" spans="1:80" ht="15" x14ac:dyDescent="0.25">
      <c r="A951" s="167"/>
      <c r="B951" s="642"/>
      <c r="C951" s="642"/>
      <c r="D951" s="179"/>
      <c r="E951" s="169"/>
      <c r="F951" s="169"/>
      <c r="G951" s="187"/>
      <c r="H951" s="187"/>
      <c r="I951" s="187"/>
      <c r="J951" s="187"/>
      <c r="K951" s="187"/>
      <c r="L951" s="647"/>
      <c r="M951" s="646">
        <v>32336</v>
      </c>
      <c r="N951" s="585">
        <v>0.56000000000000005</v>
      </c>
      <c r="O951" s="585">
        <v>6.4999999999999997E-4</v>
      </c>
      <c r="P951" s="175">
        <v>0</v>
      </c>
      <c r="Q951" s="175">
        <v>0</v>
      </c>
      <c r="R951" s="175">
        <v>0</v>
      </c>
      <c r="S951" s="175">
        <v>0</v>
      </c>
      <c r="T951" s="175">
        <v>2.0000000000000002E-5</v>
      </c>
      <c r="U951" s="175">
        <v>8.0000000000000007E-5</v>
      </c>
      <c r="V951" s="706">
        <v>5.4000000000000001E-4</v>
      </c>
      <c r="W951" s="717"/>
      <c r="X951" s="713"/>
      <c r="Y951" s="718"/>
      <c r="Z951" s="709">
        <v>0</v>
      </c>
      <c r="AA951" s="175"/>
      <c r="AB951" s="200"/>
      <c r="AC951" s="205">
        <v>4.4999999999999998E-2</v>
      </c>
      <c r="AD951" s="175">
        <v>5.3</v>
      </c>
      <c r="AE951" s="175">
        <v>0.18</v>
      </c>
      <c r="AF951" s="170">
        <f t="shared" si="17"/>
        <v>0.95399999999999996</v>
      </c>
      <c r="AG951" s="175">
        <v>0.59</v>
      </c>
      <c r="AH951" s="334"/>
      <c r="AI951" s="188"/>
      <c r="AJ951" s="188"/>
      <c r="AK951" s="188"/>
      <c r="AL951" s="189"/>
      <c r="AM951" s="189"/>
      <c r="AN951" s="189"/>
      <c r="AO951" s="189"/>
      <c r="AP951" s="189"/>
      <c r="AQ951" s="189"/>
      <c r="AR951" s="189"/>
      <c r="AS951" s="189"/>
      <c r="AT951" s="189"/>
      <c r="AU951" s="190"/>
      <c r="AV951" s="190"/>
      <c r="AW951" s="190"/>
      <c r="AX951" s="190"/>
      <c r="AY951" s="190"/>
      <c r="AZ951" s="189"/>
      <c r="BA951" s="189"/>
      <c r="BB951" s="189"/>
      <c r="BC951" s="189"/>
      <c r="BD951" s="189"/>
      <c r="BE951" s="189"/>
      <c r="BF951" s="189"/>
      <c r="BG951" s="189"/>
      <c r="BH951" s="189"/>
      <c r="BI951" s="190"/>
      <c r="BJ951" s="190"/>
      <c r="BK951" s="190"/>
      <c r="BL951" s="190"/>
      <c r="BM951" s="190"/>
      <c r="BN951" s="190"/>
      <c r="BO951" s="190"/>
      <c r="BP951" s="190"/>
      <c r="BQ951" s="190"/>
      <c r="BR951" s="190"/>
      <c r="BS951" s="190"/>
      <c r="BT951" s="190"/>
      <c r="BU951" s="190"/>
      <c r="BV951" s="190"/>
      <c r="BW951" s="190"/>
      <c r="BX951" s="190"/>
      <c r="BY951" s="190"/>
      <c r="BZ951" s="190"/>
      <c r="CA951" s="189"/>
      <c r="CB951" s="15"/>
    </row>
    <row r="952" spans="1:80" ht="15" x14ac:dyDescent="0.25">
      <c r="A952" s="167"/>
      <c r="B952" s="642"/>
      <c r="C952" s="642"/>
      <c r="D952" s="179"/>
      <c r="E952" s="169"/>
      <c r="F952" s="169"/>
      <c r="G952" s="187"/>
      <c r="H952" s="187"/>
      <c r="I952" s="187"/>
      <c r="J952" s="187"/>
      <c r="K952" s="187"/>
      <c r="L952" s="647"/>
      <c r="M952" s="646">
        <v>32655</v>
      </c>
      <c r="N952" s="585">
        <v>1.21</v>
      </c>
      <c r="O952" s="585">
        <v>4.3499999999999997E-3</v>
      </c>
      <c r="P952" s="175">
        <v>0</v>
      </c>
      <c r="Q952" s="175">
        <v>0</v>
      </c>
      <c r="R952" s="175">
        <v>0</v>
      </c>
      <c r="S952" s="175">
        <v>0</v>
      </c>
      <c r="T952" s="175">
        <v>2.0000000000000001E-4</v>
      </c>
      <c r="U952" s="175">
        <v>5.9999999999999995E-4</v>
      </c>
      <c r="V952" s="706">
        <v>3.5500000000000002E-3</v>
      </c>
      <c r="W952" s="717"/>
      <c r="X952" s="713"/>
      <c r="Y952" s="718"/>
      <c r="Z952" s="709">
        <v>0</v>
      </c>
      <c r="AA952" s="175"/>
      <c r="AB952" s="200"/>
      <c r="AC952" s="205">
        <v>4.9000000000000002E-2</v>
      </c>
      <c r="AD952" s="175">
        <v>5.35</v>
      </c>
      <c r="AE952" s="175">
        <v>0.28000000000000003</v>
      </c>
      <c r="AF952" s="170">
        <f t="shared" si="17"/>
        <v>1.498</v>
      </c>
      <c r="AG952" s="175">
        <v>0.81</v>
      </c>
      <c r="AH952" s="334"/>
      <c r="AI952" s="188"/>
      <c r="AJ952" s="188"/>
      <c r="AK952" s="188"/>
      <c r="AL952" s="189"/>
      <c r="AM952" s="189"/>
      <c r="AN952" s="189"/>
      <c r="AO952" s="189"/>
      <c r="AP952" s="189"/>
      <c r="AQ952" s="189"/>
      <c r="AR952" s="189"/>
      <c r="AS952" s="189"/>
      <c r="AT952" s="189"/>
      <c r="AU952" s="190"/>
      <c r="AV952" s="190"/>
      <c r="AW952" s="190"/>
      <c r="AX952" s="190"/>
      <c r="AY952" s="190"/>
      <c r="AZ952" s="189"/>
      <c r="BA952" s="189"/>
      <c r="BB952" s="189"/>
      <c r="BC952" s="189"/>
      <c r="BD952" s="189"/>
      <c r="BE952" s="189"/>
      <c r="BF952" s="189"/>
      <c r="BG952" s="189"/>
      <c r="BH952" s="189"/>
      <c r="BI952" s="190"/>
      <c r="BJ952" s="190"/>
      <c r="BK952" s="190"/>
      <c r="BL952" s="190"/>
      <c r="BM952" s="190"/>
      <c r="BN952" s="190"/>
      <c r="BO952" s="190"/>
      <c r="BP952" s="190"/>
      <c r="BQ952" s="190"/>
      <c r="BR952" s="190"/>
      <c r="BS952" s="190"/>
      <c r="BT952" s="190"/>
      <c r="BU952" s="190"/>
      <c r="BV952" s="190"/>
      <c r="BW952" s="190"/>
      <c r="BX952" s="190"/>
      <c r="BY952" s="190"/>
      <c r="BZ952" s="190"/>
      <c r="CA952" s="189"/>
      <c r="CB952" s="15"/>
    </row>
    <row r="953" spans="1:80" ht="15" x14ac:dyDescent="0.25">
      <c r="A953" s="167"/>
      <c r="B953" s="642"/>
      <c r="C953" s="642"/>
      <c r="D953" s="179"/>
      <c r="E953" s="169"/>
      <c r="F953" s="169"/>
      <c r="G953" s="187"/>
      <c r="H953" s="187"/>
      <c r="I953" s="187"/>
      <c r="J953" s="187"/>
      <c r="K953" s="187"/>
      <c r="L953" s="647"/>
      <c r="M953" s="646">
        <v>32661</v>
      </c>
      <c r="N953" s="585">
        <v>1.28</v>
      </c>
      <c r="O953" s="585">
        <v>6.5199999999999998E-3</v>
      </c>
      <c r="P953" s="175">
        <v>0</v>
      </c>
      <c r="Q953" s="175">
        <v>0</v>
      </c>
      <c r="R953" s="175">
        <v>0</v>
      </c>
      <c r="S953" s="175">
        <v>1.2800000000000001E-3</v>
      </c>
      <c r="T953" s="175">
        <v>1.72E-3</v>
      </c>
      <c r="U953" s="175">
        <v>1.6299999999999999E-3</v>
      </c>
      <c r="V953" s="706">
        <v>1.9E-3</v>
      </c>
      <c r="W953" s="717"/>
      <c r="X953" s="713"/>
      <c r="Y953" s="718"/>
      <c r="Z953" s="709">
        <v>0</v>
      </c>
      <c r="AA953" s="175"/>
      <c r="AB953" s="200"/>
      <c r="AC953" s="205">
        <v>4.3999999999999997E-2</v>
      </c>
      <c r="AD953" s="175">
        <v>5.35</v>
      </c>
      <c r="AE953" s="175">
        <v>0.26</v>
      </c>
      <c r="AF953" s="170">
        <f t="shared" si="17"/>
        <v>1.391</v>
      </c>
      <c r="AG953" s="175">
        <v>0.91</v>
      </c>
      <c r="AH953" s="334"/>
      <c r="AI953" s="188"/>
      <c r="AJ953" s="188"/>
      <c r="AK953" s="188"/>
      <c r="AL953" s="189"/>
      <c r="AM953" s="189"/>
      <c r="AN953" s="189"/>
      <c r="AO953" s="189"/>
      <c r="AP953" s="189"/>
      <c r="AQ953" s="189"/>
      <c r="AR953" s="189"/>
      <c r="AS953" s="189"/>
      <c r="AT953" s="189"/>
      <c r="AU953" s="190"/>
      <c r="AV953" s="190"/>
      <c r="AW953" s="190"/>
      <c r="AX953" s="190"/>
      <c r="AY953" s="190"/>
      <c r="AZ953" s="189"/>
      <c r="BA953" s="189"/>
      <c r="BB953" s="189"/>
      <c r="BC953" s="189"/>
      <c r="BD953" s="189"/>
      <c r="BE953" s="189"/>
      <c r="BF953" s="189"/>
      <c r="BG953" s="189"/>
      <c r="BH953" s="189"/>
      <c r="BI953" s="190"/>
      <c r="BJ953" s="190"/>
      <c r="BK953" s="190"/>
      <c r="BL953" s="190"/>
      <c r="BM953" s="190"/>
      <c r="BN953" s="190"/>
      <c r="BO953" s="190"/>
      <c r="BP953" s="190"/>
      <c r="BQ953" s="190"/>
      <c r="BR953" s="190"/>
      <c r="BS953" s="190"/>
      <c r="BT953" s="190"/>
      <c r="BU953" s="190"/>
      <c r="BV953" s="190"/>
      <c r="BW953" s="190"/>
      <c r="BX953" s="190"/>
      <c r="BY953" s="190"/>
      <c r="BZ953" s="190"/>
      <c r="CA953" s="189"/>
      <c r="CB953" s="15"/>
    </row>
    <row r="954" spans="1:80" ht="15" x14ac:dyDescent="0.25">
      <c r="A954" s="167"/>
      <c r="B954" s="642"/>
      <c r="C954" s="642"/>
      <c r="D954" s="179"/>
      <c r="E954" s="169"/>
      <c r="F954" s="169"/>
      <c r="G954" s="187"/>
      <c r="H954" s="187"/>
      <c r="I954" s="187"/>
      <c r="J954" s="187"/>
      <c r="K954" s="187"/>
      <c r="L954" s="647"/>
      <c r="M954" s="646">
        <v>32664</v>
      </c>
      <c r="N954" s="585">
        <v>1.26</v>
      </c>
      <c r="O954" s="585">
        <v>1.291E-2</v>
      </c>
      <c r="P954" s="175">
        <v>0</v>
      </c>
      <c r="Q954" s="175">
        <v>0</v>
      </c>
      <c r="R954" s="175">
        <v>0</v>
      </c>
      <c r="S954" s="175">
        <v>1.1900000000000001E-3</v>
      </c>
      <c r="T954" s="175">
        <v>4.4600000000000004E-3</v>
      </c>
      <c r="U954" s="175">
        <v>3.32E-3</v>
      </c>
      <c r="V954" s="706">
        <v>3.9399999999999999E-3</v>
      </c>
      <c r="W954" s="717"/>
      <c r="X954" s="713"/>
      <c r="Y954" s="718"/>
      <c r="Z954" s="709">
        <v>0</v>
      </c>
      <c r="AA954" s="175"/>
      <c r="AB954" s="200"/>
      <c r="AC954" s="205">
        <v>5.2999999999999999E-2</v>
      </c>
      <c r="AD954" s="175">
        <v>5.25</v>
      </c>
      <c r="AE954" s="175">
        <v>0.27</v>
      </c>
      <c r="AF954" s="170">
        <f t="shared" si="17"/>
        <v>1.4175</v>
      </c>
      <c r="AG954" s="175">
        <v>0.88</v>
      </c>
      <c r="AH954" s="334"/>
      <c r="AI954" s="188"/>
      <c r="AJ954" s="188"/>
      <c r="AK954" s="188"/>
      <c r="AL954" s="189"/>
      <c r="AM954" s="189"/>
      <c r="AN954" s="189"/>
      <c r="AO954" s="189"/>
      <c r="AP954" s="189"/>
      <c r="AQ954" s="189"/>
      <c r="AR954" s="189"/>
      <c r="AS954" s="189"/>
      <c r="AT954" s="189"/>
      <c r="AU954" s="190"/>
      <c r="AV954" s="190"/>
      <c r="AW954" s="190"/>
      <c r="AX954" s="190"/>
      <c r="AY954" s="190"/>
      <c r="AZ954" s="189"/>
      <c r="BA954" s="189"/>
      <c r="BB954" s="189"/>
      <c r="BC954" s="189"/>
      <c r="BD954" s="189"/>
      <c r="BE954" s="189"/>
      <c r="BF954" s="189"/>
      <c r="BG954" s="189"/>
      <c r="BH954" s="189"/>
      <c r="BI954" s="190"/>
      <c r="BJ954" s="190"/>
      <c r="BK954" s="190"/>
      <c r="BL954" s="190"/>
      <c r="BM954" s="190"/>
      <c r="BN954" s="190"/>
      <c r="BO954" s="190"/>
      <c r="BP954" s="190"/>
      <c r="BQ954" s="190"/>
      <c r="BR954" s="190"/>
      <c r="BS954" s="190"/>
      <c r="BT954" s="190"/>
      <c r="BU954" s="190"/>
      <c r="BV954" s="190"/>
      <c r="BW954" s="190"/>
      <c r="BX954" s="190"/>
      <c r="BY954" s="190"/>
      <c r="BZ954" s="190"/>
      <c r="CA954" s="189"/>
      <c r="CB954" s="15"/>
    </row>
    <row r="955" spans="1:80" ht="15" x14ac:dyDescent="0.25">
      <c r="A955" s="167"/>
      <c r="B955" s="642"/>
      <c r="C955" s="642"/>
      <c r="D955" s="179"/>
      <c r="E955" s="169"/>
      <c r="F955" s="169"/>
      <c r="G955" s="187"/>
      <c r="H955" s="187"/>
      <c r="I955" s="187"/>
      <c r="J955" s="187"/>
      <c r="K955" s="187"/>
      <c r="L955" s="647"/>
      <c r="M955" s="646">
        <v>32666</v>
      </c>
      <c r="N955" s="585">
        <v>1.2</v>
      </c>
      <c r="O955" s="585">
        <v>7.2000000000000005E-4</v>
      </c>
      <c r="P955" s="175">
        <v>0</v>
      </c>
      <c r="Q955" s="175">
        <v>0</v>
      </c>
      <c r="R955" s="175">
        <v>0</v>
      </c>
      <c r="S955" s="175">
        <v>5.0000000000000002E-5</v>
      </c>
      <c r="T955" s="175">
        <v>5.0000000000000002E-5</v>
      </c>
      <c r="U955" s="175">
        <v>1.8000000000000001E-4</v>
      </c>
      <c r="V955" s="706">
        <v>4.4000000000000002E-4</v>
      </c>
      <c r="W955" s="717"/>
      <c r="X955" s="713"/>
      <c r="Y955" s="718"/>
      <c r="Z955" s="709">
        <v>0</v>
      </c>
      <c r="AA955" s="175"/>
      <c r="AB955" s="200"/>
      <c r="AC955" s="205">
        <v>4.8000000000000001E-2</v>
      </c>
      <c r="AD955" s="175">
        <v>5.35</v>
      </c>
      <c r="AE955" s="175">
        <v>0.25</v>
      </c>
      <c r="AF955" s="170">
        <f t="shared" si="17"/>
        <v>1.3374999999999999</v>
      </c>
      <c r="AG955" s="175">
        <v>0.9</v>
      </c>
      <c r="AH955" s="334"/>
      <c r="AI955" s="188"/>
      <c r="AJ955" s="188"/>
      <c r="AK955" s="188"/>
      <c r="AL955" s="189"/>
      <c r="AM955" s="189"/>
      <c r="AN955" s="189"/>
      <c r="AO955" s="189"/>
      <c r="AP955" s="189"/>
      <c r="AQ955" s="189"/>
      <c r="AR955" s="189"/>
      <c r="AS955" s="189"/>
      <c r="AT955" s="189"/>
      <c r="AU955" s="190"/>
      <c r="AV955" s="190"/>
      <c r="AW955" s="190"/>
      <c r="AX955" s="190"/>
      <c r="AY955" s="190"/>
      <c r="AZ955" s="189"/>
      <c r="BA955" s="189"/>
      <c r="BB955" s="189"/>
      <c r="BC955" s="189"/>
      <c r="BD955" s="189"/>
      <c r="BE955" s="189"/>
      <c r="BF955" s="189"/>
      <c r="BG955" s="189"/>
      <c r="BH955" s="189"/>
      <c r="BI955" s="190"/>
      <c r="BJ955" s="190"/>
      <c r="BK955" s="190"/>
      <c r="BL955" s="190"/>
      <c r="BM955" s="190"/>
      <c r="BN955" s="190"/>
      <c r="BO955" s="190"/>
      <c r="BP955" s="190"/>
      <c r="BQ955" s="190"/>
      <c r="BR955" s="190"/>
      <c r="BS955" s="190"/>
      <c r="BT955" s="190"/>
      <c r="BU955" s="190"/>
      <c r="BV955" s="190"/>
      <c r="BW955" s="190"/>
      <c r="BX955" s="190"/>
      <c r="BY955" s="190"/>
      <c r="BZ955" s="190"/>
      <c r="CA955" s="189"/>
      <c r="CB955" s="15"/>
    </row>
    <row r="956" spans="1:80" ht="15" x14ac:dyDescent="0.25">
      <c r="A956" s="167"/>
      <c r="B956" s="642"/>
      <c r="C956" s="642"/>
      <c r="D956" s="179"/>
      <c r="E956" s="169"/>
      <c r="F956" s="169"/>
      <c r="G956" s="187"/>
      <c r="H956" s="187"/>
      <c r="I956" s="187"/>
      <c r="J956" s="187"/>
      <c r="K956" s="187"/>
      <c r="L956" s="647"/>
      <c r="M956" s="646">
        <v>32668</v>
      </c>
      <c r="N956" s="585">
        <v>1.06</v>
      </c>
      <c r="O956" s="585">
        <v>6.6299999999999996E-3</v>
      </c>
      <c r="P956" s="175">
        <v>0</v>
      </c>
      <c r="Q956" s="175">
        <v>0</v>
      </c>
      <c r="R956" s="175">
        <v>0</v>
      </c>
      <c r="S956" s="175">
        <v>3.2000000000000003E-4</v>
      </c>
      <c r="T956" s="175">
        <v>1.6800000000000001E-3</v>
      </c>
      <c r="U956" s="175">
        <v>1.89E-3</v>
      </c>
      <c r="V956" s="706">
        <v>2.7399999999999998E-3</v>
      </c>
      <c r="W956" s="717"/>
      <c r="X956" s="713"/>
      <c r="Y956" s="718"/>
      <c r="Z956" s="709">
        <v>0</v>
      </c>
      <c r="AA956" s="175"/>
      <c r="AB956" s="200"/>
      <c r="AC956" s="205">
        <v>5.3999999999999999E-2</v>
      </c>
      <c r="AD956" s="175">
        <v>5.3</v>
      </c>
      <c r="AE956" s="175">
        <v>0.22</v>
      </c>
      <c r="AF956" s="170">
        <f t="shared" si="17"/>
        <v>1.1659999999999999</v>
      </c>
      <c r="AG956" s="175">
        <v>0.92</v>
      </c>
      <c r="AH956" s="334"/>
      <c r="AI956" s="188"/>
      <c r="AJ956" s="188"/>
      <c r="AK956" s="188"/>
      <c r="AL956" s="189"/>
      <c r="AM956" s="189"/>
      <c r="AN956" s="189"/>
      <c r="AO956" s="189"/>
      <c r="AP956" s="189"/>
      <c r="AQ956" s="189"/>
      <c r="AR956" s="189"/>
      <c r="AS956" s="189"/>
      <c r="AT956" s="189"/>
      <c r="AU956" s="190"/>
      <c r="AV956" s="190"/>
      <c r="AW956" s="190"/>
      <c r="AX956" s="190"/>
      <c r="AY956" s="190"/>
      <c r="AZ956" s="189"/>
      <c r="BA956" s="189"/>
      <c r="BB956" s="189"/>
      <c r="BC956" s="189"/>
      <c r="BD956" s="189"/>
      <c r="BE956" s="189"/>
      <c r="BF956" s="189"/>
      <c r="BG956" s="189"/>
      <c r="BH956" s="189"/>
      <c r="BI956" s="190"/>
      <c r="BJ956" s="190"/>
      <c r="BK956" s="190"/>
      <c r="BL956" s="190"/>
      <c r="BM956" s="190"/>
      <c r="BN956" s="190"/>
      <c r="BO956" s="190"/>
      <c r="BP956" s="190"/>
      <c r="BQ956" s="190"/>
      <c r="BR956" s="190"/>
      <c r="BS956" s="190"/>
      <c r="BT956" s="190"/>
      <c r="BU956" s="190"/>
      <c r="BV956" s="190"/>
      <c r="BW956" s="190"/>
      <c r="BX956" s="190"/>
      <c r="BY956" s="190"/>
      <c r="BZ956" s="190"/>
      <c r="CA956" s="189"/>
      <c r="CB956" s="15"/>
    </row>
    <row r="957" spans="1:80" ht="15" x14ac:dyDescent="0.25">
      <c r="A957" s="167"/>
      <c r="B957" s="642"/>
      <c r="C957" s="642"/>
      <c r="D957" s="179"/>
      <c r="E957" s="169"/>
      <c r="F957" s="169"/>
      <c r="G957" s="187"/>
      <c r="H957" s="187"/>
      <c r="I957" s="187"/>
      <c r="J957" s="187"/>
      <c r="K957" s="187"/>
      <c r="L957" s="647"/>
      <c r="M957" s="646">
        <v>32669</v>
      </c>
      <c r="N957" s="585">
        <v>1.27</v>
      </c>
      <c r="O957" s="585">
        <v>4.6000000000000001E-4</v>
      </c>
      <c r="P957" s="175">
        <v>0</v>
      </c>
      <c r="Q957" s="175">
        <v>0</v>
      </c>
      <c r="R957" s="175">
        <v>0</v>
      </c>
      <c r="S957" s="175">
        <v>0</v>
      </c>
      <c r="T957" s="175">
        <v>4.0000000000000003E-5</v>
      </c>
      <c r="U957" s="175">
        <v>6.9999999999999994E-5</v>
      </c>
      <c r="V957" s="706">
        <v>3.5E-4</v>
      </c>
      <c r="W957" s="717"/>
      <c r="X957" s="713"/>
      <c r="Y957" s="718"/>
      <c r="Z957" s="709">
        <v>0</v>
      </c>
      <c r="AA957" s="175"/>
      <c r="AB957" s="200"/>
      <c r="AC957" s="205">
        <v>3.5000000000000003E-2</v>
      </c>
      <c r="AD957" s="175">
        <v>5.3</v>
      </c>
      <c r="AE957" s="175">
        <v>0.25</v>
      </c>
      <c r="AF957" s="170">
        <f t="shared" si="17"/>
        <v>1.325</v>
      </c>
      <c r="AG957" s="175">
        <v>0.95</v>
      </c>
      <c r="AH957" s="334"/>
      <c r="AI957" s="188"/>
      <c r="AJ957" s="188"/>
      <c r="AK957" s="188"/>
      <c r="AL957" s="189"/>
      <c r="AM957" s="189"/>
      <c r="AN957" s="189"/>
      <c r="AO957" s="189"/>
      <c r="AP957" s="189"/>
      <c r="AQ957" s="189"/>
      <c r="AR957" s="189"/>
      <c r="AS957" s="189"/>
      <c r="AT957" s="189"/>
      <c r="AU957" s="190"/>
      <c r="AV957" s="190"/>
      <c r="AW957" s="190"/>
      <c r="AX957" s="190"/>
      <c r="AY957" s="190"/>
      <c r="AZ957" s="189"/>
      <c r="BA957" s="189"/>
      <c r="BB957" s="189"/>
      <c r="BC957" s="189"/>
      <c r="BD957" s="189"/>
      <c r="BE957" s="189"/>
      <c r="BF957" s="189"/>
      <c r="BG957" s="189"/>
      <c r="BH957" s="189"/>
      <c r="BI957" s="190"/>
      <c r="BJ957" s="190"/>
      <c r="BK957" s="190"/>
      <c r="BL957" s="190"/>
      <c r="BM957" s="190"/>
      <c r="BN957" s="190"/>
      <c r="BO957" s="190"/>
      <c r="BP957" s="190"/>
      <c r="BQ957" s="190"/>
      <c r="BR957" s="190"/>
      <c r="BS957" s="190"/>
      <c r="BT957" s="190"/>
      <c r="BU957" s="190"/>
      <c r="BV957" s="190"/>
      <c r="BW957" s="190"/>
      <c r="BX957" s="190"/>
      <c r="BY957" s="190"/>
      <c r="BZ957" s="190"/>
      <c r="CA957" s="189"/>
      <c r="CB957" s="15"/>
    </row>
    <row r="958" spans="1:80" ht="15" x14ac:dyDescent="0.25">
      <c r="A958" s="167"/>
      <c r="B958" s="642"/>
      <c r="C958" s="642"/>
      <c r="D958" s="179"/>
      <c r="E958" s="169"/>
      <c r="F958" s="169"/>
      <c r="G958" s="187"/>
      <c r="H958" s="187"/>
      <c r="I958" s="187"/>
      <c r="J958" s="187"/>
      <c r="K958" s="187"/>
      <c r="L958" s="647"/>
      <c r="M958" s="646">
        <v>32670</v>
      </c>
      <c r="N958" s="585">
        <v>1.41</v>
      </c>
      <c r="O958" s="585">
        <v>1.452E-2</v>
      </c>
      <c r="P958" s="175">
        <v>0</v>
      </c>
      <c r="Q958" s="175">
        <v>0</v>
      </c>
      <c r="R958" s="175">
        <v>2.5400000000000002E-3</v>
      </c>
      <c r="S958" s="175">
        <v>1.09E-3</v>
      </c>
      <c r="T958" s="175">
        <v>9.2000000000000003E-4</v>
      </c>
      <c r="U958" s="175">
        <v>1.9400000000000001E-3</v>
      </c>
      <c r="V958" s="706">
        <v>8.0300000000000007E-3</v>
      </c>
      <c r="W958" s="717"/>
      <c r="X958" s="713"/>
      <c r="Y958" s="718"/>
      <c r="Z958" s="709">
        <v>0</v>
      </c>
      <c r="AA958" s="175"/>
      <c r="AB958" s="200"/>
      <c r="AC958" s="205">
        <v>4.9000000000000002E-2</v>
      </c>
      <c r="AD958" s="175">
        <v>5.3</v>
      </c>
      <c r="AE958" s="175">
        <v>0.26</v>
      </c>
      <c r="AF958" s="170">
        <f t="shared" si="17"/>
        <v>1.3779999999999999</v>
      </c>
      <c r="AG958" s="175">
        <v>1.02</v>
      </c>
      <c r="AH958" s="334"/>
      <c r="AI958" s="188"/>
      <c r="AJ958" s="188"/>
      <c r="AK958" s="188"/>
      <c r="AL958" s="189"/>
      <c r="AM958" s="189"/>
      <c r="AN958" s="189"/>
      <c r="AO958" s="189"/>
      <c r="AP958" s="189"/>
      <c r="AQ958" s="189"/>
      <c r="AR958" s="189"/>
      <c r="AS958" s="189"/>
      <c r="AT958" s="189"/>
      <c r="AU958" s="190"/>
      <c r="AV958" s="190"/>
      <c r="AW958" s="190"/>
      <c r="AX958" s="190"/>
      <c r="AY958" s="190"/>
      <c r="AZ958" s="189"/>
      <c r="BA958" s="189"/>
      <c r="BB958" s="189"/>
      <c r="BC958" s="189"/>
      <c r="BD958" s="189"/>
      <c r="BE958" s="189"/>
      <c r="BF958" s="189"/>
      <c r="BG958" s="189"/>
      <c r="BH958" s="189"/>
      <c r="BI958" s="190"/>
      <c r="BJ958" s="190"/>
      <c r="BK958" s="190"/>
      <c r="BL958" s="190"/>
      <c r="BM958" s="190"/>
      <c r="BN958" s="190"/>
      <c r="BO958" s="190"/>
      <c r="BP958" s="190"/>
      <c r="BQ958" s="190"/>
      <c r="BR958" s="190"/>
      <c r="BS958" s="190"/>
      <c r="BT958" s="190"/>
      <c r="BU958" s="190"/>
      <c r="BV958" s="190"/>
      <c r="BW958" s="190"/>
      <c r="BX958" s="190"/>
      <c r="BY958" s="190"/>
      <c r="BZ958" s="190"/>
      <c r="CA958" s="189"/>
      <c r="CB958" s="15"/>
    </row>
    <row r="959" spans="1:80" ht="15" x14ac:dyDescent="0.25">
      <c r="A959" s="167"/>
      <c r="B959" s="642"/>
      <c r="C959" s="642"/>
      <c r="D959" s="179"/>
      <c r="E959" s="169"/>
      <c r="F959" s="169"/>
      <c r="G959" s="187"/>
      <c r="H959" s="187"/>
      <c r="I959" s="187"/>
      <c r="J959" s="187"/>
      <c r="K959" s="187"/>
      <c r="L959" s="647"/>
      <c r="M959" s="646">
        <v>32671</v>
      </c>
      <c r="N959" s="585">
        <v>1.61</v>
      </c>
      <c r="O959" s="585">
        <v>1.359E-2</v>
      </c>
      <c r="P959" s="175">
        <v>0</v>
      </c>
      <c r="Q959" s="175">
        <v>0</v>
      </c>
      <c r="R959" s="175">
        <v>0</v>
      </c>
      <c r="S959" s="175">
        <v>4.2000000000000002E-4</v>
      </c>
      <c r="T959" s="175">
        <v>1.07E-3</v>
      </c>
      <c r="U959" s="175">
        <v>1.98E-3</v>
      </c>
      <c r="V959" s="706">
        <v>1.0120000000000001E-2</v>
      </c>
      <c r="W959" s="717"/>
      <c r="X959" s="713"/>
      <c r="Y959" s="718"/>
      <c r="Z959" s="709">
        <v>0</v>
      </c>
      <c r="AA959" s="175"/>
      <c r="AB959" s="200"/>
      <c r="AC959" s="205">
        <v>0.05</v>
      </c>
      <c r="AD959" s="175">
        <v>5.3</v>
      </c>
      <c r="AE959" s="175">
        <v>0.3</v>
      </c>
      <c r="AF959" s="170">
        <f t="shared" si="17"/>
        <v>1.5899999999999999</v>
      </c>
      <c r="AG959" s="175">
        <v>1.03</v>
      </c>
      <c r="AH959" s="334"/>
      <c r="AI959" s="188"/>
      <c r="AJ959" s="188"/>
      <c r="AK959" s="188"/>
      <c r="AL959" s="189"/>
      <c r="AM959" s="189"/>
      <c r="AN959" s="189"/>
      <c r="AO959" s="189"/>
      <c r="AP959" s="189"/>
      <c r="AQ959" s="189"/>
      <c r="AR959" s="189"/>
      <c r="AS959" s="189"/>
      <c r="AT959" s="189"/>
      <c r="AU959" s="190"/>
      <c r="AV959" s="190"/>
      <c r="AW959" s="190"/>
      <c r="AX959" s="190"/>
      <c r="AY959" s="190"/>
      <c r="AZ959" s="189"/>
      <c r="BA959" s="189"/>
      <c r="BB959" s="189"/>
      <c r="BC959" s="189"/>
      <c r="BD959" s="189"/>
      <c r="BE959" s="189"/>
      <c r="BF959" s="189"/>
      <c r="BG959" s="189"/>
      <c r="BH959" s="189"/>
      <c r="BI959" s="190"/>
      <c r="BJ959" s="190"/>
      <c r="BK959" s="190"/>
      <c r="BL959" s="190"/>
      <c r="BM959" s="190"/>
      <c r="BN959" s="190"/>
      <c r="BO959" s="190"/>
      <c r="BP959" s="190"/>
      <c r="BQ959" s="190"/>
      <c r="BR959" s="190"/>
      <c r="BS959" s="190"/>
      <c r="BT959" s="190"/>
      <c r="BU959" s="190"/>
      <c r="BV959" s="190"/>
      <c r="BW959" s="190"/>
      <c r="BX959" s="190"/>
      <c r="BY959" s="190"/>
      <c r="BZ959" s="190"/>
      <c r="CA959" s="189"/>
      <c r="CB959" s="15"/>
    </row>
    <row r="960" spans="1:80" ht="15" x14ac:dyDescent="0.25">
      <c r="A960" s="167"/>
      <c r="B960" s="642"/>
      <c r="C960" s="642"/>
      <c r="D960" s="179"/>
      <c r="E960" s="169"/>
      <c r="F960" s="169"/>
      <c r="G960" s="187"/>
      <c r="H960" s="187"/>
      <c r="I960" s="187"/>
      <c r="J960" s="187"/>
      <c r="K960" s="187"/>
      <c r="L960" s="647"/>
      <c r="M960" s="646">
        <v>32672</v>
      </c>
      <c r="N960" s="585">
        <v>2.58</v>
      </c>
      <c r="O960" s="585">
        <v>5.4309999999999997E-2</v>
      </c>
      <c r="P960" s="175">
        <v>0</v>
      </c>
      <c r="Q960" s="175">
        <v>0</v>
      </c>
      <c r="R960" s="175">
        <v>3.7399999999999998E-3</v>
      </c>
      <c r="S960" s="175">
        <v>6.7400000000000003E-3</v>
      </c>
      <c r="T960" s="175">
        <v>7.4099999999999999E-3</v>
      </c>
      <c r="U960" s="175">
        <v>1.0290000000000001E-2</v>
      </c>
      <c r="V960" s="706">
        <v>2.613E-2</v>
      </c>
      <c r="W960" s="717"/>
      <c r="X960" s="713"/>
      <c r="Y960" s="718"/>
      <c r="Z960" s="709">
        <v>0</v>
      </c>
      <c r="AA960" s="175"/>
      <c r="AB960" s="200"/>
      <c r="AC960" s="205">
        <v>4.9000000000000002E-2</v>
      </c>
      <c r="AD960" s="175">
        <v>5.3</v>
      </c>
      <c r="AE960" s="175">
        <v>0.36</v>
      </c>
      <c r="AF960" s="170">
        <f t="shared" si="17"/>
        <v>1.9079999999999999</v>
      </c>
      <c r="AG960" s="175">
        <v>1.34</v>
      </c>
      <c r="AH960" s="334"/>
      <c r="AI960" s="188"/>
      <c r="AJ960" s="188"/>
      <c r="AK960" s="188"/>
      <c r="AL960" s="189"/>
      <c r="AM960" s="189"/>
      <c r="AN960" s="189"/>
      <c r="AO960" s="189"/>
      <c r="AP960" s="189"/>
      <c r="AQ960" s="189"/>
      <c r="AR960" s="189"/>
      <c r="AS960" s="189"/>
      <c r="AT960" s="189"/>
      <c r="AU960" s="190"/>
      <c r="AV960" s="190"/>
      <c r="AW960" s="190"/>
      <c r="AX960" s="190"/>
      <c r="AY960" s="190"/>
      <c r="AZ960" s="189"/>
      <c r="BA960" s="189"/>
      <c r="BB960" s="189"/>
      <c r="BC960" s="189"/>
      <c r="BD960" s="189"/>
      <c r="BE960" s="189"/>
      <c r="BF960" s="189"/>
      <c r="BG960" s="189"/>
      <c r="BH960" s="189"/>
      <c r="BI960" s="190"/>
      <c r="BJ960" s="190"/>
      <c r="BK960" s="190"/>
      <c r="BL960" s="190"/>
      <c r="BM960" s="190"/>
      <c r="BN960" s="190"/>
      <c r="BO960" s="190"/>
      <c r="BP960" s="190"/>
      <c r="BQ960" s="190"/>
      <c r="BR960" s="190"/>
      <c r="BS960" s="190"/>
      <c r="BT960" s="190"/>
      <c r="BU960" s="190"/>
      <c r="BV960" s="190"/>
      <c r="BW960" s="190"/>
      <c r="BX960" s="190"/>
      <c r="BY960" s="190"/>
      <c r="BZ960" s="190"/>
      <c r="CA960" s="189"/>
      <c r="CB960" s="15"/>
    </row>
    <row r="961" spans="1:80" ht="15" x14ac:dyDescent="0.25">
      <c r="A961" s="167"/>
      <c r="B961" s="642"/>
      <c r="C961" s="642"/>
      <c r="D961" s="179"/>
      <c r="E961" s="169"/>
      <c r="F961" s="169"/>
      <c r="G961" s="187"/>
      <c r="H961" s="187"/>
      <c r="I961" s="187"/>
      <c r="J961" s="187"/>
      <c r="K961" s="187"/>
      <c r="L961" s="647"/>
      <c r="M961" s="646">
        <v>32673</v>
      </c>
      <c r="N961" s="585">
        <v>2.0499999999999998</v>
      </c>
      <c r="O961" s="585">
        <v>1.6789999999999999E-2</v>
      </c>
      <c r="P961" s="175">
        <v>0</v>
      </c>
      <c r="Q961" s="175">
        <v>0</v>
      </c>
      <c r="R961" s="175">
        <v>4.6299999999999996E-3</v>
      </c>
      <c r="S961" s="175">
        <v>3.7000000000000002E-3</v>
      </c>
      <c r="T961" s="175">
        <v>1.31E-3</v>
      </c>
      <c r="U961" s="175">
        <v>2.2899999999999999E-3</v>
      </c>
      <c r="V961" s="706">
        <v>4.8700000000000002E-3</v>
      </c>
      <c r="W961" s="717"/>
      <c r="X961" s="713"/>
      <c r="Y961" s="718"/>
      <c r="Z961" s="709">
        <v>0</v>
      </c>
      <c r="AA961" s="175"/>
      <c r="AB961" s="200"/>
      <c r="AC961" s="205">
        <v>0.05</v>
      </c>
      <c r="AD961" s="175">
        <v>5.35</v>
      </c>
      <c r="AE961" s="175">
        <v>0.32</v>
      </c>
      <c r="AF961" s="170">
        <f t="shared" si="17"/>
        <v>1.712</v>
      </c>
      <c r="AG961" s="175">
        <v>1.21</v>
      </c>
      <c r="AH961" s="334"/>
      <c r="AI961" s="188"/>
      <c r="AJ961" s="188"/>
      <c r="AK961" s="188"/>
      <c r="AL961" s="189"/>
      <c r="AM961" s="189"/>
      <c r="AN961" s="189"/>
      <c r="AO961" s="189"/>
      <c r="AP961" s="189"/>
      <c r="AQ961" s="189"/>
      <c r="AR961" s="189"/>
      <c r="AS961" s="189"/>
      <c r="AT961" s="189"/>
      <c r="AU961" s="190"/>
      <c r="AV961" s="190"/>
      <c r="AW961" s="190"/>
      <c r="AX961" s="190"/>
      <c r="AY961" s="190"/>
      <c r="AZ961" s="189"/>
      <c r="BA961" s="189"/>
      <c r="BB961" s="189"/>
      <c r="BC961" s="189"/>
      <c r="BD961" s="189"/>
      <c r="BE961" s="189"/>
      <c r="BF961" s="189"/>
      <c r="BG961" s="189"/>
      <c r="BH961" s="189"/>
      <c r="BI961" s="190"/>
      <c r="BJ961" s="190"/>
      <c r="BK961" s="190"/>
      <c r="BL961" s="190"/>
      <c r="BM961" s="190"/>
      <c r="BN961" s="190"/>
      <c r="BO961" s="190"/>
      <c r="BP961" s="190"/>
      <c r="BQ961" s="190"/>
      <c r="BR961" s="190"/>
      <c r="BS961" s="190"/>
      <c r="BT961" s="190"/>
      <c r="BU961" s="190"/>
      <c r="BV961" s="190"/>
      <c r="BW961" s="190"/>
      <c r="BX961" s="190"/>
      <c r="BY961" s="190"/>
      <c r="BZ961" s="190"/>
      <c r="CA961" s="189"/>
      <c r="CB961" s="15"/>
    </row>
    <row r="962" spans="1:80" ht="15" x14ac:dyDescent="0.25">
      <c r="A962" s="167"/>
      <c r="B962" s="642"/>
      <c r="C962" s="642"/>
      <c r="D962" s="179"/>
      <c r="E962" s="169"/>
      <c r="F962" s="169"/>
      <c r="G962" s="187"/>
      <c r="H962" s="187"/>
      <c r="I962" s="187"/>
      <c r="J962" s="187"/>
      <c r="K962" s="187"/>
      <c r="L962" s="647"/>
      <c r="M962" s="646">
        <v>32674</v>
      </c>
      <c r="N962" s="585">
        <v>2.2799999999999998</v>
      </c>
      <c r="O962" s="585">
        <v>1.8079999999999999E-2</v>
      </c>
      <c r="P962" s="175">
        <v>0</v>
      </c>
      <c r="Q962" s="175">
        <v>0</v>
      </c>
      <c r="R962" s="175">
        <v>0</v>
      </c>
      <c r="S962" s="175">
        <v>3.4399999999999999E-3</v>
      </c>
      <c r="T962" s="175">
        <v>3.0999999999999999E-3</v>
      </c>
      <c r="U962" s="175">
        <v>3.7100000000000002E-3</v>
      </c>
      <c r="V962" s="706">
        <v>7.8200000000000006E-3</v>
      </c>
      <c r="W962" s="717"/>
      <c r="X962" s="713"/>
      <c r="Y962" s="718"/>
      <c r="Z962" s="709">
        <v>0</v>
      </c>
      <c r="AA962" s="175"/>
      <c r="AB962" s="200"/>
      <c r="AC962" s="205">
        <v>0.06</v>
      </c>
      <c r="AD962" s="175">
        <v>5.25</v>
      </c>
      <c r="AE962" s="175">
        <v>0.33</v>
      </c>
      <c r="AF962" s="170">
        <f t="shared" si="17"/>
        <v>1.7325000000000002</v>
      </c>
      <c r="AG962" s="175">
        <v>1.31</v>
      </c>
      <c r="AH962" s="334"/>
      <c r="AI962" s="188"/>
      <c r="AJ962" s="188"/>
      <c r="AK962" s="188"/>
      <c r="AL962" s="189"/>
      <c r="AM962" s="189"/>
      <c r="AN962" s="189"/>
      <c r="AO962" s="189"/>
      <c r="AP962" s="189"/>
      <c r="AQ962" s="189"/>
      <c r="AR962" s="189"/>
      <c r="AS962" s="189"/>
      <c r="AT962" s="189"/>
      <c r="AU962" s="190"/>
      <c r="AV962" s="190"/>
      <c r="AW962" s="190"/>
      <c r="AX962" s="190"/>
      <c r="AY962" s="190"/>
      <c r="AZ962" s="189"/>
      <c r="BA962" s="189"/>
      <c r="BB962" s="189"/>
      <c r="BC962" s="189"/>
      <c r="BD962" s="189"/>
      <c r="BE962" s="189"/>
      <c r="BF962" s="189"/>
      <c r="BG962" s="189"/>
      <c r="BH962" s="189"/>
      <c r="BI962" s="190"/>
      <c r="BJ962" s="190"/>
      <c r="BK962" s="190"/>
      <c r="BL962" s="190"/>
      <c r="BM962" s="190"/>
      <c r="BN962" s="190"/>
      <c r="BO962" s="190"/>
      <c r="BP962" s="190"/>
      <c r="BQ962" s="190"/>
      <c r="BR962" s="190"/>
      <c r="BS962" s="190"/>
      <c r="BT962" s="190"/>
      <c r="BU962" s="190"/>
      <c r="BV962" s="190"/>
      <c r="BW962" s="190"/>
      <c r="BX962" s="190"/>
      <c r="BY962" s="190"/>
      <c r="BZ962" s="190"/>
      <c r="CA962" s="189"/>
      <c r="CB962" s="15"/>
    </row>
    <row r="963" spans="1:80" ht="15" x14ac:dyDescent="0.25">
      <c r="A963" s="167"/>
      <c r="B963" s="642"/>
      <c r="C963" s="642"/>
      <c r="D963" s="179"/>
      <c r="E963" s="169"/>
      <c r="F963" s="169"/>
      <c r="G963" s="187"/>
      <c r="H963" s="187"/>
      <c r="I963" s="187"/>
      <c r="J963" s="187"/>
      <c r="K963" s="187"/>
      <c r="L963" s="647"/>
      <c r="M963" s="646">
        <v>32675</v>
      </c>
      <c r="N963" s="585">
        <v>2.27</v>
      </c>
      <c r="O963" s="585">
        <v>1.4710000000000001E-2</v>
      </c>
      <c r="P963" s="175">
        <v>0</v>
      </c>
      <c r="Q963" s="175">
        <v>0</v>
      </c>
      <c r="R963" s="175">
        <v>2.0999999999999999E-3</v>
      </c>
      <c r="S963" s="175">
        <v>7.6000000000000004E-4</v>
      </c>
      <c r="T963" s="175">
        <v>2.3500000000000001E-3</v>
      </c>
      <c r="U963" s="175">
        <v>3.6099999999999999E-3</v>
      </c>
      <c r="V963" s="706">
        <v>5.8900000000000003E-3</v>
      </c>
      <c r="W963" s="717"/>
      <c r="X963" s="713"/>
      <c r="Y963" s="718"/>
      <c r="Z963" s="709">
        <v>0</v>
      </c>
      <c r="AA963" s="175"/>
      <c r="AB963" s="200"/>
      <c r="AC963" s="205">
        <v>5.2999999999999999E-2</v>
      </c>
      <c r="AD963" s="175">
        <v>5.3</v>
      </c>
      <c r="AE963" s="175">
        <v>0.32</v>
      </c>
      <c r="AF963" s="170">
        <f t="shared" si="17"/>
        <v>1.696</v>
      </c>
      <c r="AG963" s="175">
        <v>1.34</v>
      </c>
      <c r="AH963" s="334"/>
      <c r="AI963" s="188"/>
      <c r="AJ963" s="188"/>
      <c r="AK963" s="188"/>
      <c r="AL963" s="189"/>
      <c r="AM963" s="189"/>
      <c r="AN963" s="189"/>
      <c r="AO963" s="189"/>
      <c r="AP963" s="189"/>
      <c r="AQ963" s="189"/>
      <c r="AR963" s="189"/>
      <c r="AS963" s="189"/>
      <c r="AT963" s="189"/>
      <c r="AU963" s="190"/>
      <c r="AV963" s="190"/>
      <c r="AW963" s="190"/>
      <c r="AX963" s="190"/>
      <c r="AY963" s="190"/>
      <c r="AZ963" s="189"/>
      <c r="BA963" s="189"/>
      <c r="BB963" s="189"/>
      <c r="BC963" s="189"/>
      <c r="BD963" s="189"/>
      <c r="BE963" s="189"/>
      <c r="BF963" s="189"/>
      <c r="BG963" s="189"/>
      <c r="BH963" s="189"/>
      <c r="BI963" s="190"/>
      <c r="BJ963" s="190"/>
      <c r="BK963" s="190"/>
      <c r="BL963" s="190"/>
      <c r="BM963" s="190"/>
      <c r="BN963" s="190"/>
      <c r="BO963" s="190"/>
      <c r="BP963" s="190"/>
      <c r="BQ963" s="190"/>
      <c r="BR963" s="190"/>
      <c r="BS963" s="190"/>
      <c r="BT963" s="190"/>
      <c r="BU963" s="190"/>
      <c r="BV963" s="190"/>
      <c r="BW963" s="190"/>
      <c r="BX963" s="190"/>
      <c r="BY963" s="190"/>
      <c r="BZ963" s="190"/>
      <c r="CA963" s="189"/>
      <c r="CB963" s="15"/>
    </row>
    <row r="964" spans="1:80" ht="15" x14ac:dyDescent="0.25">
      <c r="A964" s="167"/>
      <c r="B964" s="642"/>
      <c r="C964" s="642"/>
      <c r="D964" s="179"/>
      <c r="E964" s="169"/>
      <c r="F964" s="169"/>
      <c r="G964" s="187"/>
      <c r="H964" s="187"/>
      <c r="I964" s="187"/>
      <c r="J964" s="187"/>
      <c r="K964" s="187"/>
      <c r="L964" s="647"/>
      <c r="M964" s="646">
        <v>32677</v>
      </c>
      <c r="N964" s="585">
        <v>1.99</v>
      </c>
      <c r="O964" s="585">
        <v>8.8800000000000007E-3</v>
      </c>
      <c r="P964" s="175">
        <v>0</v>
      </c>
      <c r="Q964" s="175">
        <v>0</v>
      </c>
      <c r="R964" s="175">
        <v>0</v>
      </c>
      <c r="S964" s="175">
        <v>3.2000000000000003E-4</v>
      </c>
      <c r="T964" s="175">
        <v>1.07E-3</v>
      </c>
      <c r="U964" s="175">
        <v>1.7099999999999999E-3</v>
      </c>
      <c r="V964" s="706">
        <v>5.7800000000000004E-3</v>
      </c>
      <c r="W964" s="717"/>
      <c r="X964" s="713"/>
      <c r="Y964" s="718"/>
      <c r="Z964" s="709">
        <v>0</v>
      </c>
      <c r="AA964" s="175"/>
      <c r="AB964" s="200"/>
      <c r="AC964" s="205">
        <v>5.2999999999999999E-2</v>
      </c>
      <c r="AD964" s="175">
        <v>5.35</v>
      </c>
      <c r="AE964" s="175">
        <v>0.32</v>
      </c>
      <c r="AF964" s="170">
        <f t="shared" si="17"/>
        <v>1.712</v>
      </c>
      <c r="AG964" s="175">
        <v>1.18</v>
      </c>
      <c r="AH964" s="334"/>
      <c r="AI964" s="188"/>
      <c r="AJ964" s="188"/>
      <c r="AK964" s="188"/>
      <c r="AL964" s="189"/>
      <c r="AM964" s="189"/>
      <c r="AN964" s="189"/>
      <c r="AO964" s="189"/>
      <c r="AP964" s="189"/>
      <c r="AQ964" s="189"/>
      <c r="AR964" s="189"/>
      <c r="AS964" s="189"/>
      <c r="AT964" s="189"/>
      <c r="AU964" s="190"/>
      <c r="AV964" s="190"/>
      <c r="AW964" s="190"/>
      <c r="AX964" s="190"/>
      <c r="AY964" s="190"/>
      <c r="AZ964" s="189"/>
      <c r="BA964" s="189"/>
      <c r="BB964" s="189"/>
      <c r="BC964" s="189"/>
      <c r="BD964" s="189"/>
      <c r="BE964" s="189"/>
      <c r="BF964" s="189"/>
      <c r="BG964" s="189"/>
      <c r="BH964" s="189"/>
      <c r="BI964" s="190"/>
      <c r="BJ964" s="190"/>
      <c r="BK964" s="190"/>
      <c r="BL964" s="190"/>
      <c r="BM964" s="190"/>
      <c r="BN964" s="190"/>
      <c r="BO964" s="190"/>
      <c r="BP964" s="190"/>
      <c r="BQ964" s="190"/>
      <c r="BR964" s="190"/>
      <c r="BS964" s="190"/>
      <c r="BT964" s="190"/>
      <c r="BU964" s="190"/>
      <c r="BV964" s="190"/>
      <c r="BW964" s="190"/>
      <c r="BX964" s="190"/>
      <c r="BY964" s="190"/>
      <c r="BZ964" s="190"/>
      <c r="CA964" s="189"/>
      <c r="CB964" s="15"/>
    </row>
    <row r="965" spans="1:80" ht="15" x14ac:dyDescent="0.25">
      <c r="A965" s="167"/>
      <c r="B965" s="642"/>
      <c r="C965" s="642"/>
      <c r="D965" s="179"/>
      <c r="E965" s="169"/>
      <c r="F965" s="169"/>
      <c r="G965" s="187"/>
      <c r="H965" s="187"/>
      <c r="I965" s="187"/>
      <c r="J965" s="187"/>
      <c r="K965" s="187"/>
      <c r="L965" s="647"/>
      <c r="M965" s="646">
        <v>32680</v>
      </c>
      <c r="N965" s="585">
        <v>2.89</v>
      </c>
      <c r="O965" s="585">
        <v>3.95E-2</v>
      </c>
      <c r="P965" s="175">
        <v>0</v>
      </c>
      <c r="Q965" s="175">
        <v>6.0299999999999998E-3</v>
      </c>
      <c r="R965" s="175">
        <v>6.8999999999999997E-4</v>
      </c>
      <c r="S965" s="175">
        <v>3.8700000000000002E-3</v>
      </c>
      <c r="T965" s="175">
        <v>5.8799999999999998E-3</v>
      </c>
      <c r="U965" s="175">
        <v>6.9499999999999996E-3</v>
      </c>
      <c r="V965" s="706">
        <v>1.609E-2</v>
      </c>
      <c r="W965" s="717"/>
      <c r="X965" s="713"/>
      <c r="Y965" s="718"/>
      <c r="Z965" s="709">
        <v>0</v>
      </c>
      <c r="AA965" s="175"/>
      <c r="AB965" s="200"/>
      <c r="AC965" s="205">
        <v>5.1999999999999998E-2</v>
      </c>
      <c r="AD965" s="175">
        <v>5.35</v>
      </c>
      <c r="AE965" s="175">
        <v>0.36</v>
      </c>
      <c r="AF965" s="170">
        <f t="shared" si="17"/>
        <v>1.9259999999999997</v>
      </c>
      <c r="AG965" s="175">
        <v>1.51</v>
      </c>
      <c r="AH965" s="334"/>
      <c r="AI965" s="188"/>
      <c r="AJ965" s="188"/>
      <c r="AK965" s="188"/>
      <c r="AL965" s="189"/>
      <c r="AM965" s="189"/>
      <c r="AN965" s="189"/>
      <c r="AO965" s="189"/>
      <c r="AP965" s="189"/>
      <c r="AQ965" s="189"/>
      <c r="AR965" s="189"/>
      <c r="AS965" s="189"/>
      <c r="AT965" s="189"/>
      <c r="AU965" s="190"/>
      <c r="AV965" s="190"/>
      <c r="AW965" s="190"/>
      <c r="AX965" s="190"/>
      <c r="AY965" s="190"/>
      <c r="AZ965" s="189"/>
      <c r="BA965" s="189"/>
      <c r="BB965" s="189"/>
      <c r="BC965" s="189"/>
      <c r="BD965" s="189"/>
      <c r="BE965" s="189"/>
      <c r="BF965" s="189"/>
      <c r="BG965" s="189"/>
      <c r="BH965" s="189"/>
      <c r="BI965" s="190"/>
      <c r="BJ965" s="190"/>
      <c r="BK965" s="190"/>
      <c r="BL965" s="190"/>
      <c r="BM965" s="190"/>
      <c r="BN965" s="190"/>
      <c r="BO965" s="190"/>
      <c r="BP965" s="190"/>
      <c r="BQ965" s="190"/>
      <c r="BR965" s="190"/>
      <c r="BS965" s="190"/>
      <c r="BT965" s="190"/>
      <c r="BU965" s="190"/>
      <c r="BV965" s="190"/>
      <c r="BW965" s="190"/>
      <c r="BX965" s="190"/>
      <c r="BY965" s="190"/>
      <c r="BZ965" s="190"/>
      <c r="CA965" s="189"/>
      <c r="CB965" s="15"/>
    </row>
    <row r="966" spans="1:80" ht="15" x14ac:dyDescent="0.25">
      <c r="A966" s="167"/>
      <c r="B966" s="642"/>
      <c r="C966" s="642"/>
      <c r="D966" s="179"/>
      <c r="E966" s="169"/>
      <c r="F966" s="169"/>
      <c r="G966" s="187"/>
      <c r="H966" s="187"/>
      <c r="I966" s="187"/>
      <c r="J966" s="187"/>
      <c r="K966" s="187"/>
      <c r="L966" s="647"/>
      <c r="M966" s="646">
        <v>32682</v>
      </c>
      <c r="N966" s="585">
        <v>2.48</v>
      </c>
      <c r="O966" s="585">
        <v>6.7400000000000003E-3</v>
      </c>
      <c r="P966" s="175">
        <v>0</v>
      </c>
      <c r="Q966" s="175">
        <v>0</v>
      </c>
      <c r="R966" s="175">
        <v>8.0000000000000004E-4</v>
      </c>
      <c r="S966" s="175">
        <v>6.6E-4</v>
      </c>
      <c r="T966" s="175">
        <v>1.1100000000000001E-3</v>
      </c>
      <c r="U966" s="175">
        <v>1.32E-3</v>
      </c>
      <c r="V966" s="706">
        <v>2.8400000000000001E-3</v>
      </c>
      <c r="W966" s="717"/>
      <c r="X966" s="713"/>
      <c r="Y966" s="718"/>
      <c r="Z966" s="709">
        <v>0</v>
      </c>
      <c r="AA966" s="175"/>
      <c r="AB966" s="200"/>
      <c r="AC966" s="205">
        <v>0.05</v>
      </c>
      <c r="AD966" s="175">
        <v>5.3</v>
      </c>
      <c r="AE966" s="175">
        <v>0.32</v>
      </c>
      <c r="AF966" s="170">
        <f t="shared" si="17"/>
        <v>1.696</v>
      </c>
      <c r="AG966" s="175">
        <v>1.45</v>
      </c>
      <c r="AH966" s="334"/>
      <c r="AI966" s="188"/>
      <c r="AJ966" s="188"/>
      <c r="AK966" s="188"/>
      <c r="AL966" s="189"/>
      <c r="AM966" s="189"/>
      <c r="AN966" s="189"/>
      <c r="AO966" s="189"/>
      <c r="AP966" s="189"/>
      <c r="AQ966" s="189"/>
      <c r="AR966" s="189"/>
      <c r="AS966" s="189"/>
      <c r="AT966" s="189"/>
      <c r="AU966" s="190"/>
      <c r="AV966" s="190"/>
      <c r="AW966" s="190"/>
      <c r="AX966" s="190"/>
      <c r="AY966" s="190"/>
      <c r="AZ966" s="189"/>
      <c r="BA966" s="189"/>
      <c r="BB966" s="189"/>
      <c r="BC966" s="189"/>
      <c r="BD966" s="189"/>
      <c r="BE966" s="189"/>
      <c r="BF966" s="189"/>
      <c r="BG966" s="189"/>
      <c r="BH966" s="189"/>
      <c r="BI966" s="190"/>
      <c r="BJ966" s="190"/>
      <c r="BK966" s="190"/>
      <c r="BL966" s="190"/>
      <c r="BM966" s="190"/>
      <c r="BN966" s="190"/>
      <c r="BO966" s="190"/>
      <c r="BP966" s="190"/>
      <c r="BQ966" s="190"/>
      <c r="BR966" s="190"/>
      <c r="BS966" s="190"/>
      <c r="BT966" s="190"/>
      <c r="BU966" s="190"/>
      <c r="BV966" s="190"/>
      <c r="BW966" s="190"/>
      <c r="BX966" s="190"/>
      <c r="BY966" s="190"/>
      <c r="BZ966" s="190"/>
      <c r="CA966" s="189"/>
      <c r="CB966" s="15"/>
    </row>
    <row r="967" spans="1:80" ht="15" x14ac:dyDescent="0.25">
      <c r="A967" s="167"/>
      <c r="B967" s="642"/>
      <c r="C967" s="642"/>
      <c r="D967" s="179"/>
      <c r="E967" s="169"/>
      <c r="F967" s="169"/>
      <c r="G967" s="187"/>
      <c r="H967" s="187"/>
      <c r="I967" s="187"/>
      <c r="J967" s="187"/>
      <c r="K967" s="187"/>
      <c r="L967" s="647"/>
      <c r="M967" s="646">
        <v>32687</v>
      </c>
      <c r="N967" s="585">
        <v>2.91</v>
      </c>
      <c r="O967" s="585">
        <v>8.77E-3</v>
      </c>
      <c r="P967" s="175">
        <v>0</v>
      </c>
      <c r="Q967" s="175">
        <v>0</v>
      </c>
      <c r="R967" s="175">
        <v>0</v>
      </c>
      <c r="S967" s="175">
        <v>5.8E-4</v>
      </c>
      <c r="T967" s="175">
        <v>1.34E-3</v>
      </c>
      <c r="U967" s="175">
        <v>2.0899999999999998E-3</v>
      </c>
      <c r="V967" s="706">
        <v>4.7600000000000003E-3</v>
      </c>
      <c r="W967" s="717"/>
      <c r="X967" s="713"/>
      <c r="Y967" s="718"/>
      <c r="Z967" s="709">
        <v>0</v>
      </c>
      <c r="AA967" s="175"/>
      <c r="AB967" s="200"/>
      <c r="AC967" s="205">
        <v>4.9000000000000002E-2</v>
      </c>
      <c r="AD967" s="175">
        <v>5.25</v>
      </c>
      <c r="AE967" s="175">
        <v>0.38</v>
      </c>
      <c r="AF967" s="170">
        <f t="shared" si="17"/>
        <v>1.9950000000000001</v>
      </c>
      <c r="AG967" s="175">
        <v>1.47</v>
      </c>
      <c r="AH967" s="334"/>
      <c r="AI967" s="188"/>
      <c r="AJ967" s="188"/>
      <c r="AK967" s="188"/>
      <c r="AL967" s="189"/>
      <c r="AM967" s="189"/>
      <c r="AN967" s="189"/>
      <c r="AO967" s="189"/>
      <c r="AP967" s="189"/>
      <c r="AQ967" s="189"/>
      <c r="AR967" s="189"/>
      <c r="AS967" s="189"/>
      <c r="AT967" s="189"/>
      <c r="AU967" s="190"/>
      <c r="AV967" s="190"/>
      <c r="AW967" s="190"/>
      <c r="AX967" s="190"/>
      <c r="AY967" s="190"/>
      <c r="AZ967" s="189"/>
      <c r="BA967" s="189"/>
      <c r="BB967" s="189"/>
      <c r="BC967" s="189"/>
      <c r="BD967" s="189"/>
      <c r="BE967" s="189"/>
      <c r="BF967" s="189"/>
      <c r="BG967" s="189"/>
      <c r="BH967" s="189"/>
      <c r="BI967" s="190"/>
      <c r="BJ967" s="190"/>
      <c r="BK967" s="190"/>
      <c r="BL967" s="190"/>
      <c r="BM967" s="190"/>
      <c r="BN967" s="190"/>
      <c r="BO967" s="190"/>
      <c r="BP967" s="190"/>
      <c r="BQ967" s="190"/>
      <c r="BR967" s="190"/>
      <c r="BS967" s="190"/>
      <c r="BT967" s="190"/>
      <c r="BU967" s="190"/>
      <c r="BV967" s="190"/>
      <c r="BW967" s="190"/>
      <c r="BX967" s="190"/>
      <c r="BY967" s="190"/>
      <c r="BZ967" s="190"/>
      <c r="CA967" s="189"/>
      <c r="CB967" s="15"/>
    </row>
    <row r="968" spans="1:80" ht="15" x14ac:dyDescent="0.25">
      <c r="A968" s="167"/>
      <c r="B968" s="642"/>
      <c r="C968" s="642"/>
      <c r="D968" s="179"/>
      <c r="E968" s="169"/>
      <c r="F968" s="169"/>
      <c r="G968" s="187"/>
      <c r="H968" s="187"/>
      <c r="I968" s="187"/>
      <c r="J968" s="187"/>
      <c r="K968" s="187"/>
      <c r="L968" s="647"/>
      <c r="M968" s="646">
        <v>32688</v>
      </c>
      <c r="N968" s="585">
        <v>3.06</v>
      </c>
      <c r="O968" s="585">
        <v>0.10723000000000001</v>
      </c>
      <c r="P968" s="175">
        <v>0</v>
      </c>
      <c r="Q968" s="175">
        <v>2.044E-2</v>
      </c>
      <c r="R968" s="175">
        <v>2.5059999999999999E-2</v>
      </c>
      <c r="S968" s="175">
        <v>2.2839999999999999E-2</v>
      </c>
      <c r="T968" s="175">
        <v>1.502E-2</v>
      </c>
      <c r="U968" s="175">
        <v>9.7199999999999995E-3</v>
      </c>
      <c r="V968" s="706">
        <v>1.4160000000000001E-2</v>
      </c>
      <c r="W968" s="717"/>
      <c r="X968" s="713"/>
      <c r="Y968" s="718"/>
      <c r="Z968" s="709">
        <v>0</v>
      </c>
      <c r="AA968" s="175"/>
      <c r="AB968" s="200"/>
      <c r="AC968" s="205">
        <v>4.9000000000000002E-2</v>
      </c>
      <c r="AD968" s="175">
        <v>5.3</v>
      </c>
      <c r="AE968" s="175">
        <v>0.38</v>
      </c>
      <c r="AF968" s="170">
        <f t="shared" si="17"/>
        <v>2.0139999999999998</v>
      </c>
      <c r="AG968" s="175">
        <v>1.54</v>
      </c>
      <c r="AH968" s="334"/>
      <c r="AI968" s="188"/>
      <c r="AJ968" s="188"/>
      <c r="AK968" s="188"/>
      <c r="AL968" s="189"/>
      <c r="AM968" s="189"/>
      <c r="AN968" s="189"/>
      <c r="AO968" s="189"/>
      <c r="AP968" s="189"/>
      <c r="AQ968" s="189"/>
      <c r="AR968" s="189"/>
      <c r="AS968" s="189"/>
      <c r="AT968" s="189"/>
      <c r="AU968" s="190"/>
      <c r="AV968" s="190"/>
      <c r="AW968" s="190"/>
      <c r="AX968" s="190"/>
      <c r="AY968" s="190"/>
      <c r="AZ968" s="189"/>
      <c r="BA968" s="189"/>
      <c r="BB968" s="189"/>
      <c r="BC968" s="189"/>
      <c r="BD968" s="189"/>
      <c r="BE968" s="189"/>
      <c r="BF968" s="189"/>
      <c r="BG968" s="189"/>
      <c r="BH968" s="189"/>
      <c r="BI968" s="190"/>
      <c r="BJ968" s="190"/>
      <c r="BK968" s="190"/>
      <c r="BL968" s="190"/>
      <c r="BM968" s="190"/>
      <c r="BN968" s="190"/>
      <c r="BO968" s="190"/>
      <c r="BP968" s="190"/>
      <c r="BQ968" s="190"/>
      <c r="BR968" s="190"/>
      <c r="BS968" s="190"/>
      <c r="BT968" s="190"/>
      <c r="BU968" s="190"/>
      <c r="BV968" s="190"/>
      <c r="BW968" s="190"/>
      <c r="BX968" s="190"/>
      <c r="BY968" s="190"/>
      <c r="BZ968" s="190"/>
      <c r="CA968" s="189"/>
      <c r="CB968" s="15"/>
    </row>
    <row r="969" spans="1:80" ht="15" x14ac:dyDescent="0.25">
      <c r="A969" s="167"/>
      <c r="B969" s="642"/>
      <c r="C969" s="642"/>
      <c r="D969" s="179"/>
      <c r="E969" s="169"/>
      <c r="F969" s="169"/>
      <c r="G969" s="187"/>
      <c r="H969" s="187"/>
      <c r="I969" s="187"/>
      <c r="J969" s="187"/>
      <c r="K969" s="187"/>
      <c r="L969" s="647"/>
      <c r="M969" s="646">
        <v>32690</v>
      </c>
      <c r="N969" s="585">
        <v>2.91</v>
      </c>
      <c r="O969" s="585">
        <v>1.3169999999999999E-2</v>
      </c>
      <c r="P969" s="175">
        <v>0</v>
      </c>
      <c r="Q969" s="175">
        <v>0</v>
      </c>
      <c r="R969" s="175">
        <v>3.7200000000000002E-3</v>
      </c>
      <c r="S969" s="175">
        <v>9.6000000000000002E-4</v>
      </c>
      <c r="T969" s="175">
        <v>1.2800000000000001E-3</v>
      </c>
      <c r="U969" s="175">
        <v>1.8699999999999999E-3</v>
      </c>
      <c r="V969" s="706">
        <v>5.3400000000000001E-3</v>
      </c>
      <c r="W969" s="717"/>
      <c r="X969" s="713"/>
      <c r="Y969" s="718"/>
      <c r="Z969" s="709">
        <v>0</v>
      </c>
      <c r="AA969" s="175"/>
      <c r="AB969" s="200"/>
      <c r="AC969" s="205">
        <v>5.5E-2</v>
      </c>
      <c r="AD969" s="175">
        <v>5.35</v>
      </c>
      <c r="AE969" s="175">
        <v>0.38</v>
      </c>
      <c r="AF969" s="170">
        <f t="shared" si="17"/>
        <v>2.0329999999999999</v>
      </c>
      <c r="AG969" s="175">
        <v>1.44</v>
      </c>
      <c r="AH969" s="334"/>
      <c r="AI969" s="188"/>
      <c r="AJ969" s="188"/>
      <c r="AK969" s="188"/>
      <c r="AL969" s="189"/>
      <c r="AM969" s="189"/>
      <c r="AN969" s="189"/>
      <c r="AO969" s="189"/>
      <c r="AP969" s="189"/>
      <c r="AQ969" s="189"/>
      <c r="AR969" s="189"/>
      <c r="AS969" s="189"/>
      <c r="AT969" s="189"/>
      <c r="AU969" s="190"/>
      <c r="AV969" s="190"/>
      <c r="AW969" s="190"/>
      <c r="AX969" s="190"/>
      <c r="AY969" s="190"/>
      <c r="AZ969" s="189"/>
      <c r="BA969" s="189"/>
      <c r="BB969" s="189"/>
      <c r="BC969" s="189"/>
      <c r="BD969" s="189"/>
      <c r="BE969" s="189"/>
      <c r="BF969" s="189"/>
      <c r="BG969" s="189"/>
      <c r="BH969" s="189"/>
      <c r="BI969" s="190"/>
      <c r="BJ969" s="190"/>
      <c r="BK969" s="190"/>
      <c r="BL969" s="190"/>
      <c r="BM969" s="190"/>
      <c r="BN969" s="190"/>
      <c r="BO969" s="190"/>
      <c r="BP969" s="190"/>
      <c r="BQ969" s="190"/>
      <c r="BR969" s="190"/>
      <c r="BS969" s="190"/>
      <c r="BT969" s="190"/>
      <c r="BU969" s="190"/>
      <c r="BV969" s="190"/>
      <c r="BW969" s="190"/>
      <c r="BX969" s="190"/>
      <c r="BY969" s="190"/>
      <c r="BZ969" s="190"/>
      <c r="CA969" s="189"/>
      <c r="CB969" s="15"/>
    </row>
    <row r="970" spans="1:80" ht="15" x14ac:dyDescent="0.25">
      <c r="A970" s="167"/>
      <c r="B970" s="642"/>
      <c r="C970" s="642"/>
      <c r="D970" s="179"/>
      <c r="E970" s="169"/>
      <c r="F970" s="169"/>
      <c r="G970" s="187"/>
      <c r="H970" s="187"/>
      <c r="I970" s="187"/>
      <c r="J970" s="187"/>
      <c r="K970" s="187"/>
      <c r="L970" s="647"/>
      <c r="M970" s="646">
        <v>32694</v>
      </c>
      <c r="N970" s="585">
        <v>1.92</v>
      </c>
      <c r="O970" s="585">
        <v>8.4000000000000003E-4</v>
      </c>
      <c r="P970" s="175">
        <v>0</v>
      </c>
      <c r="Q970" s="175">
        <v>0</v>
      </c>
      <c r="R970" s="175">
        <v>0</v>
      </c>
      <c r="S970" s="175">
        <v>1.7000000000000001E-4</v>
      </c>
      <c r="T970" s="175">
        <v>6.9999999999999994E-5</v>
      </c>
      <c r="U970" s="175">
        <v>1.8000000000000001E-4</v>
      </c>
      <c r="V970" s="706">
        <v>4.2999999999999999E-4</v>
      </c>
      <c r="W970" s="717"/>
      <c r="X970" s="713"/>
      <c r="Y970" s="718"/>
      <c r="Z970" s="709">
        <v>0</v>
      </c>
      <c r="AA970" s="175"/>
      <c r="AB970" s="200"/>
      <c r="AC970" s="205">
        <v>5.2999999999999999E-2</v>
      </c>
      <c r="AD970" s="175">
        <v>5.3</v>
      </c>
      <c r="AE970" s="175">
        <v>0.3</v>
      </c>
      <c r="AF970" s="170">
        <f t="shared" si="17"/>
        <v>1.5899999999999999</v>
      </c>
      <c r="AG970" s="175">
        <v>1.19</v>
      </c>
      <c r="AH970" s="334"/>
      <c r="AI970" s="188"/>
      <c r="AJ970" s="188"/>
      <c r="AK970" s="188"/>
      <c r="AL970" s="189"/>
      <c r="AM970" s="189"/>
      <c r="AN970" s="189"/>
      <c r="AO970" s="189"/>
      <c r="AP970" s="189"/>
      <c r="AQ970" s="189"/>
      <c r="AR970" s="189"/>
      <c r="AS970" s="189"/>
      <c r="AT970" s="189"/>
      <c r="AU970" s="190"/>
      <c r="AV970" s="190"/>
      <c r="AW970" s="190"/>
      <c r="AX970" s="190"/>
      <c r="AY970" s="190"/>
      <c r="AZ970" s="189"/>
      <c r="BA970" s="189"/>
      <c r="BB970" s="189"/>
      <c r="BC970" s="189"/>
      <c r="BD970" s="189"/>
      <c r="BE970" s="189"/>
      <c r="BF970" s="189"/>
      <c r="BG970" s="189"/>
      <c r="BH970" s="189"/>
      <c r="BI970" s="190"/>
      <c r="BJ970" s="190"/>
      <c r="BK970" s="190"/>
      <c r="BL970" s="190"/>
      <c r="BM970" s="190"/>
      <c r="BN970" s="190"/>
      <c r="BO970" s="190"/>
      <c r="BP970" s="190"/>
      <c r="BQ970" s="190"/>
      <c r="BR970" s="190"/>
      <c r="BS970" s="190"/>
      <c r="BT970" s="190"/>
      <c r="BU970" s="190"/>
      <c r="BV970" s="190"/>
      <c r="BW970" s="190"/>
      <c r="BX970" s="190"/>
      <c r="BY970" s="190"/>
      <c r="BZ970" s="190"/>
      <c r="CA970" s="189"/>
      <c r="CB970" s="15"/>
    </row>
    <row r="971" spans="1:80" ht="15" x14ac:dyDescent="0.25">
      <c r="A971" s="167"/>
      <c r="B971" s="642"/>
      <c r="C971" s="642"/>
      <c r="D971" s="179"/>
      <c r="E971" s="169"/>
      <c r="F971" s="169"/>
      <c r="G971" s="187"/>
      <c r="H971" s="187"/>
      <c r="I971" s="187"/>
      <c r="J971" s="187"/>
      <c r="K971" s="187"/>
      <c r="L971" s="647"/>
      <c r="M971" s="646">
        <v>32696</v>
      </c>
      <c r="N971" s="585">
        <v>1.92</v>
      </c>
      <c r="O971" s="585">
        <v>7.2999999999999996E-4</v>
      </c>
      <c r="P971" s="175">
        <v>0</v>
      </c>
      <c r="Q971" s="175">
        <v>0</v>
      </c>
      <c r="R971" s="175">
        <v>0</v>
      </c>
      <c r="S971" s="175">
        <v>1.4999999999999999E-4</v>
      </c>
      <c r="T971" s="175">
        <v>6.9999999999999994E-5</v>
      </c>
      <c r="U971" s="175">
        <v>1.3999999999999999E-4</v>
      </c>
      <c r="V971" s="706">
        <v>3.6999999999999999E-4</v>
      </c>
      <c r="W971" s="717"/>
      <c r="X971" s="713"/>
      <c r="Y971" s="718"/>
      <c r="Z971" s="709">
        <v>0</v>
      </c>
      <c r="AA971" s="175"/>
      <c r="AB971" s="200"/>
      <c r="AC971" s="205">
        <v>5.3999999999999999E-2</v>
      </c>
      <c r="AD971" s="175">
        <v>5.25</v>
      </c>
      <c r="AE971" s="175">
        <v>0.31</v>
      </c>
      <c r="AF971" s="170">
        <f t="shared" si="17"/>
        <v>1.6274999999999999</v>
      </c>
      <c r="AG971" s="175">
        <v>1.18</v>
      </c>
      <c r="AH971" s="334"/>
      <c r="AI971" s="188"/>
      <c r="AJ971" s="188"/>
      <c r="AK971" s="188"/>
      <c r="AL971" s="189"/>
      <c r="AM971" s="189"/>
      <c r="AN971" s="189"/>
      <c r="AO971" s="189"/>
      <c r="AP971" s="189"/>
      <c r="AQ971" s="189"/>
      <c r="AR971" s="189"/>
      <c r="AS971" s="189"/>
      <c r="AT971" s="189"/>
      <c r="AU971" s="190"/>
      <c r="AV971" s="190"/>
      <c r="AW971" s="190"/>
      <c r="AX971" s="190"/>
      <c r="AY971" s="190"/>
      <c r="AZ971" s="189"/>
      <c r="BA971" s="189"/>
      <c r="BB971" s="189"/>
      <c r="BC971" s="189"/>
      <c r="BD971" s="189"/>
      <c r="BE971" s="189"/>
      <c r="BF971" s="189"/>
      <c r="BG971" s="189"/>
      <c r="BH971" s="189"/>
      <c r="BI971" s="190"/>
      <c r="BJ971" s="190"/>
      <c r="BK971" s="190"/>
      <c r="BL971" s="190"/>
      <c r="BM971" s="190"/>
      <c r="BN971" s="190"/>
      <c r="BO971" s="190"/>
      <c r="BP971" s="190"/>
      <c r="BQ971" s="190"/>
      <c r="BR971" s="190"/>
      <c r="BS971" s="190"/>
      <c r="BT971" s="190"/>
      <c r="BU971" s="190"/>
      <c r="BV971" s="190"/>
      <c r="BW971" s="190"/>
      <c r="BX971" s="190"/>
      <c r="BY971" s="190"/>
      <c r="BZ971" s="190"/>
      <c r="CA971" s="189"/>
      <c r="CB971" s="15"/>
    </row>
    <row r="972" spans="1:80" ht="15" x14ac:dyDescent="0.25">
      <c r="A972" s="167"/>
      <c r="B972" s="642"/>
      <c r="C972" s="642"/>
      <c r="D972" s="179"/>
      <c r="E972" s="169"/>
      <c r="F972" s="169"/>
      <c r="G972" s="187"/>
      <c r="H972" s="187"/>
      <c r="I972" s="187"/>
      <c r="J972" s="187"/>
      <c r="K972" s="187"/>
      <c r="L972" s="647"/>
      <c r="M972" s="646">
        <v>32697</v>
      </c>
      <c r="N972" s="585">
        <v>2.1</v>
      </c>
      <c r="O972" s="585">
        <v>9.1900000000000003E-3</v>
      </c>
      <c r="P972" s="175">
        <v>0</v>
      </c>
      <c r="Q972" s="175">
        <v>0</v>
      </c>
      <c r="R972" s="175">
        <v>3.0999999999999999E-3</v>
      </c>
      <c r="S972" s="175">
        <v>9.2000000000000003E-4</v>
      </c>
      <c r="T972" s="175">
        <v>2.63E-3</v>
      </c>
      <c r="U972" s="175">
        <v>1.56E-3</v>
      </c>
      <c r="V972" s="706">
        <v>9.7999999999999997E-4</v>
      </c>
      <c r="W972" s="717"/>
      <c r="X972" s="713"/>
      <c r="Y972" s="718"/>
      <c r="Z972" s="709">
        <v>0</v>
      </c>
      <c r="AA972" s="175"/>
      <c r="AB972" s="200"/>
      <c r="AC972" s="205">
        <v>5.1999999999999998E-2</v>
      </c>
      <c r="AD972" s="175">
        <v>5.35</v>
      </c>
      <c r="AE972" s="175">
        <v>0.32</v>
      </c>
      <c r="AF972" s="170">
        <f t="shared" si="17"/>
        <v>1.712</v>
      </c>
      <c r="AG972" s="175">
        <v>1.24</v>
      </c>
      <c r="AH972" s="334"/>
      <c r="AI972" s="188"/>
      <c r="AJ972" s="188"/>
      <c r="AK972" s="188"/>
      <c r="AL972" s="189"/>
      <c r="AM972" s="189"/>
      <c r="AN972" s="189"/>
      <c r="AO972" s="189"/>
      <c r="AP972" s="189"/>
      <c r="AQ972" s="189"/>
      <c r="AR972" s="189"/>
      <c r="AS972" s="189"/>
      <c r="AT972" s="189"/>
      <c r="AU972" s="190"/>
      <c r="AV972" s="190"/>
      <c r="AW972" s="190"/>
      <c r="AX972" s="190"/>
      <c r="AY972" s="190"/>
      <c r="AZ972" s="189"/>
      <c r="BA972" s="189"/>
      <c r="BB972" s="189"/>
      <c r="BC972" s="189"/>
      <c r="BD972" s="189"/>
      <c r="BE972" s="189"/>
      <c r="BF972" s="189"/>
      <c r="BG972" s="189"/>
      <c r="BH972" s="189"/>
      <c r="BI972" s="190"/>
      <c r="BJ972" s="190"/>
      <c r="BK972" s="190"/>
      <c r="BL972" s="190"/>
      <c r="BM972" s="190"/>
      <c r="BN972" s="190"/>
      <c r="BO972" s="190"/>
      <c r="BP972" s="190"/>
      <c r="BQ972" s="190"/>
      <c r="BR972" s="190"/>
      <c r="BS972" s="190"/>
      <c r="BT972" s="190"/>
      <c r="BU972" s="190"/>
      <c r="BV972" s="190"/>
      <c r="BW972" s="190"/>
      <c r="BX972" s="190"/>
      <c r="BY972" s="190"/>
      <c r="BZ972" s="190"/>
      <c r="CA972" s="189"/>
      <c r="CB972" s="15"/>
    </row>
    <row r="973" spans="1:80" ht="15" x14ac:dyDescent="0.25">
      <c r="A973" s="167"/>
      <c r="B973" s="642"/>
      <c r="C973" s="642"/>
      <c r="D973" s="179"/>
      <c r="E973" s="169"/>
      <c r="F973" s="169"/>
      <c r="G973" s="187"/>
      <c r="H973" s="187"/>
      <c r="I973" s="187"/>
      <c r="J973" s="187"/>
      <c r="K973" s="187"/>
      <c r="L973" s="647"/>
      <c r="M973" s="646">
        <v>32699</v>
      </c>
      <c r="N973" s="585">
        <v>1.96</v>
      </c>
      <c r="O973" s="585">
        <v>1.47E-3</v>
      </c>
      <c r="P973" s="175">
        <v>0</v>
      </c>
      <c r="Q973" s="175">
        <v>0</v>
      </c>
      <c r="R973" s="175">
        <v>0</v>
      </c>
      <c r="S973" s="175">
        <v>4.8999999999999998E-4</v>
      </c>
      <c r="T973" s="175">
        <v>3.2000000000000003E-4</v>
      </c>
      <c r="U973" s="175">
        <v>2.2000000000000001E-4</v>
      </c>
      <c r="V973" s="706">
        <v>4.4000000000000002E-4</v>
      </c>
      <c r="W973" s="717"/>
      <c r="X973" s="713"/>
      <c r="Y973" s="718"/>
      <c r="Z973" s="709">
        <v>0</v>
      </c>
      <c r="AA973" s="175"/>
      <c r="AB973" s="200"/>
      <c r="AC973" s="205">
        <v>5.6000000000000001E-2</v>
      </c>
      <c r="AD973" s="175">
        <v>5.35</v>
      </c>
      <c r="AE973" s="175">
        <v>0.32</v>
      </c>
      <c r="AF973" s="170">
        <f t="shared" si="17"/>
        <v>1.712</v>
      </c>
      <c r="AG973" s="175">
        <v>1.1499999999999999</v>
      </c>
      <c r="AH973" s="334"/>
      <c r="AI973" s="188"/>
      <c r="AJ973" s="188"/>
      <c r="AK973" s="188"/>
      <c r="AL973" s="189"/>
      <c r="AM973" s="189"/>
      <c r="AN973" s="189"/>
      <c r="AO973" s="189"/>
      <c r="AP973" s="189"/>
      <c r="AQ973" s="189"/>
      <c r="AR973" s="189"/>
      <c r="AS973" s="189"/>
      <c r="AT973" s="189"/>
      <c r="AU973" s="190"/>
      <c r="AV973" s="190"/>
      <c r="AW973" s="190"/>
      <c r="AX973" s="190"/>
      <c r="AY973" s="190"/>
      <c r="AZ973" s="189"/>
      <c r="BA973" s="189"/>
      <c r="BB973" s="189"/>
      <c r="BC973" s="189"/>
      <c r="BD973" s="189"/>
      <c r="BE973" s="189"/>
      <c r="BF973" s="189"/>
      <c r="BG973" s="189"/>
      <c r="BH973" s="189"/>
      <c r="BI973" s="190"/>
      <c r="BJ973" s="190"/>
      <c r="BK973" s="190"/>
      <c r="BL973" s="190"/>
      <c r="BM973" s="190"/>
      <c r="BN973" s="190"/>
      <c r="BO973" s="190"/>
      <c r="BP973" s="190"/>
      <c r="BQ973" s="190"/>
      <c r="BR973" s="190"/>
      <c r="BS973" s="190"/>
      <c r="BT973" s="190"/>
      <c r="BU973" s="190"/>
      <c r="BV973" s="190"/>
      <c r="BW973" s="190"/>
      <c r="BX973" s="190"/>
      <c r="BY973" s="190"/>
      <c r="BZ973" s="190"/>
      <c r="CA973" s="189"/>
      <c r="CB973" s="15"/>
    </row>
    <row r="974" spans="1:80" ht="15" x14ac:dyDescent="0.25">
      <c r="A974" s="167"/>
      <c r="B974" s="642"/>
      <c r="C974" s="642"/>
      <c r="D974" s="179"/>
      <c r="E974" s="169"/>
      <c r="F974" s="169"/>
      <c r="G974" s="187"/>
      <c r="H974" s="187"/>
      <c r="I974" s="187"/>
      <c r="J974" s="187"/>
      <c r="K974" s="187"/>
      <c r="L974" s="647"/>
      <c r="M974" s="646">
        <v>32702</v>
      </c>
      <c r="N974" s="585">
        <v>1.62</v>
      </c>
      <c r="O974" s="585">
        <v>1.5049999999999999E-2</v>
      </c>
      <c r="P974" s="175">
        <v>0</v>
      </c>
      <c r="Q974" s="175">
        <v>0</v>
      </c>
      <c r="R974" s="175">
        <v>7.2300000000000003E-3</v>
      </c>
      <c r="S974" s="175">
        <v>3.62E-3</v>
      </c>
      <c r="T974" s="175">
        <v>2.15E-3</v>
      </c>
      <c r="U974" s="175">
        <v>1.0300000000000001E-3</v>
      </c>
      <c r="V974" s="706">
        <v>1.0200000000000001E-3</v>
      </c>
      <c r="W974" s="717"/>
      <c r="X974" s="713"/>
      <c r="Y974" s="718"/>
      <c r="Z974" s="709">
        <v>0</v>
      </c>
      <c r="AA974" s="175"/>
      <c r="AB974" s="200"/>
      <c r="AC974" s="205">
        <v>5.5E-2</v>
      </c>
      <c r="AD974" s="175">
        <v>5.35</v>
      </c>
      <c r="AE974" s="175">
        <v>0.3</v>
      </c>
      <c r="AF974" s="170">
        <f t="shared" si="17"/>
        <v>1.6049999999999998</v>
      </c>
      <c r="AG974" s="175">
        <v>1.03</v>
      </c>
      <c r="AH974" s="334"/>
      <c r="AI974" s="188"/>
      <c r="AJ974" s="188"/>
      <c r="AK974" s="188"/>
      <c r="AL974" s="189"/>
      <c r="AM974" s="189"/>
      <c r="AN974" s="189"/>
      <c r="AO974" s="189"/>
      <c r="AP974" s="189"/>
      <c r="AQ974" s="189"/>
      <c r="AR974" s="189"/>
      <c r="AS974" s="189"/>
      <c r="AT974" s="189"/>
      <c r="AU974" s="190"/>
      <c r="AV974" s="190"/>
      <c r="AW974" s="190"/>
      <c r="AX974" s="190"/>
      <c r="AY974" s="190"/>
      <c r="AZ974" s="189"/>
      <c r="BA974" s="189"/>
      <c r="BB974" s="189"/>
      <c r="BC974" s="189"/>
      <c r="BD974" s="189"/>
      <c r="BE974" s="189"/>
      <c r="BF974" s="189"/>
      <c r="BG974" s="189"/>
      <c r="BH974" s="189"/>
      <c r="BI974" s="190"/>
      <c r="BJ974" s="190"/>
      <c r="BK974" s="190"/>
      <c r="BL974" s="190"/>
      <c r="BM974" s="190"/>
      <c r="BN974" s="190"/>
      <c r="BO974" s="190"/>
      <c r="BP974" s="190"/>
      <c r="BQ974" s="190"/>
      <c r="BR974" s="190"/>
      <c r="BS974" s="190"/>
      <c r="BT974" s="190"/>
      <c r="BU974" s="190"/>
      <c r="BV974" s="190"/>
      <c r="BW974" s="190"/>
      <c r="BX974" s="190"/>
      <c r="BY974" s="190"/>
      <c r="BZ974" s="190"/>
      <c r="CA974" s="189"/>
      <c r="CB974" s="15"/>
    </row>
    <row r="975" spans="1:80" ht="15" x14ac:dyDescent="0.25">
      <c r="A975" s="167"/>
      <c r="B975" s="642"/>
      <c r="C975" s="642"/>
      <c r="D975" s="179"/>
      <c r="E975" s="169"/>
      <c r="F975" s="169"/>
      <c r="G975" s="187"/>
      <c r="H975" s="187"/>
      <c r="I975" s="187"/>
      <c r="J975" s="187"/>
      <c r="K975" s="187"/>
      <c r="L975" s="647"/>
      <c r="M975" s="646">
        <v>32703</v>
      </c>
      <c r="N975" s="585">
        <v>1.62</v>
      </c>
      <c r="O975" s="585">
        <v>3.63E-3</v>
      </c>
      <c r="P975" s="175">
        <v>0</v>
      </c>
      <c r="Q975" s="175">
        <v>0</v>
      </c>
      <c r="R975" s="175">
        <v>1.2600000000000001E-3</v>
      </c>
      <c r="S975" s="175">
        <v>9.3999999999999997E-4</v>
      </c>
      <c r="T975" s="175">
        <v>6.0999999999999997E-4</v>
      </c>
      <c r="U975" s="175">
        <v>3.8999999999999999E-4</v>
      </c>
      <c r="V975" s="706">
        <v>4.4000000000000002E-4</v>
      </c>
      <c r="W975" s="717"/>
      <c r="X975" s="713"/>
      <c r="Y975" s="718"/>
      <c r="Z975" s="709">
        <v>0</v>
      </c>
      <c r="AA975" s="175"/>
      <c r="AB975" s="200"/>
      <c r="AC975" s="205">
        <v>5.1999999999999998E-2</v>
      </c>
      <c r="AD975" s="175">
        <v>5.35</v>
      </c>
      <c r="AE975" s="175">
        <v>0.28999999999999998</v>
      </c>
      <c r="AF975" s="170">
        <f t="shared" si="17"/>
        <v>1.5514999999999999</v>
      </c>
      <c r="AG975" s="175">
        <v>1.05</v>
      </c>
      <c r="AH975" s="334"/>
      <c r="AI975" s="188"/>
      <c r="AJ975" s="188"/>
      <c r="AK975" s="188"/>
      <c r="AL975" s="189"/>
      <c r="AM975" s="189"/>
      <c r="AN975" s="189"/>
      <c r="AO975" s="189"/>
      <c r="AP975" s="189"/>
      <c r="AQ975" s="189"/>
      <c r="AR975" s="189"/>
      <c r="AS975" s="189"/>
      <c r="AT975" s="189"/>
      <c r="AU975" s="190"/>
      <c r="AV975" s="190"/>
      <c r="AW975" s="190"/>
      <c r="AX975" s="190"/>
      <c r="AY975" s="190"/>
      <c r="AZ975" s="189"/>
      <c r="BA975" s="189"/>
      <c r="BB975" s="189"/>
      <c r="BC975" s="189"/>
      <c r="BD975" s="189"/>
      <c r="BE975" s="189"/>
      <c r="BF975" s="189"/>
      <c r="BG975" s="189"/>
      <c r="BH975" s="189"/>
      <c r="BI975" s="190"/>
      <c r="BJ975" s="190"/>
      <c r="BK975" s="190"/>
      <c r="BL975" s="190"/>
      <c r="BM975" s="190"/>
      <c r="BN975" s="190"/>
      <c r="BO975" s="190"/>
      <c r="BP975" s="190"/>
      <c r="BQ975" s="190"/>
      <c r="BR975" s="190"/>
      <c r="BS975" s="190"/>
      <c r="BT975" s="190"/>
      <c r="BU975" s="190"/>
      <c r="BV975" s="190"/>
      <c r="BW975" s="190"/>
      <c r="BX975" s="190"/>
      <c r="BY975" s="190"/>
      <c r="BZ975" s="190"/>
      <c r="CA975" s="189"/>
      <c r="CB975" s="15"/>
    </row>
    <row r="976" spans="1:80" ht="15" x14ac:dyDescent="0.25">
      <c r="A976" s="167"/>
      <c r="B976" s="642"/>
      <c r="C976" s="642"/>
      <c r="D976" s="179"/>
      <c r="E976" s="169"/>
      <c r="F976" s="169"/>
      <c r="G976" s="187"/>
      <c r="H976" s="187"/>
      <c r="I976" s="187"/>
      <c r="J976" s="187"/>
      <c r="K976" s="187"/>
      <c r="L976" s="647"/>
      <c r="M976" s="646">
        <v>32706</v>
      </c>
      <c r="N976" s="585">
        <v>1.4</v>
      </c>
      <c r="O976" s="585">
        <v>1.7999999999999999E-2</v>
      </c>
      <c r="P976" s="175">
        <v>0</v>
      </c>
      <c r="Q976" s="175">
        <v>4.7499999999999999E-3</v>
      </c>
      <c r="R976" s="175">
        <v>3.7799999999999999E-3</v>
      </c>
      <c r="S976" s="175">
        <v>3.3999999999999998E-3</v>
      </c>
      <c r="T976" s="175">
        <v>2.7799999999999999E-3</v>
      </c>
      <c r="U976" s="175">
        <v>1.3500000000000001E-3</v>
      </c>
      <c r="V976" s="706">
        <v>1.9499999999999999E-3</v>
      </c>
      <c r="W976" s="717"/>
      <c r="X976" s="713"/>
      <c r="Y976" s="718"/>
      <c r="Z976" s="709">
        <v>0</v>
      </c>
      <c r="AA976" s="175"/>
      <c r="AB976" s="200"/>
      <c r="AC976" s="205">
        <v>4.9000000000000002E-2</v>
      </c>
      <c r="AD976" s="175">
        <v>5.4</v>
      </c>
      <c r="AE976" s="175">
        <v>0.28999999999999998</v>
      </c>
      <c r="AF976" s="170">
        <f t="shared" si="17"/>
        <v>1.5660000000000001</v>
      </c>
      <c r="AG976" s="175">
        <v>0.91</v>
      </c>
      <c r="AH976" s="334"/>
      <c r="AI976" s="188"/>
      <c r="AJ976" s="188"/>
      <c r="AK976" s="188"/>
      <c r="AL976" s="189"/>
      <c r="AM976" s="189"/>
      <c r="AN976" s="189"/>
      <c r="AO976" s="189"/>
      <c r="AP976" s="189"/>
      <c r="AQ976" s="189"/>
      <c r="AR976" s="189"/>
      <c r="AS976" s="189"/>
      <c r="AT976" s="189"/>
      <c r="AU976" s="190"/>
      <c r="AV976" s="190"/>
      <c r="AW976" s="190"/>
      <c r="AX976" s="190"/>
      <c r="AY976" s="190"/>
      <c r="AZ976" s="189"/>
      <c r="BA976" s="189"/>
      <c r="BB976" s="189"/>
      <c r="BC976" s="189"/>
      <c r="BD976" s="189"/>
      <c r="BE976" s="189"/>
      <c r="BF976" s="189"/>
      <c r="BG976" s="189"/>
      <c r="BH976" s="189"/>
      <c r="BI976" s="190"/>
      <c r="BJ976" s="190"/>
      <c r="BK976" s="190"/>
      <c r="BL976" s="190"/>
      <c r="BM976" s="190"/>
      <c r="BN976" s="190"/>
      <c r="BO976" s="190"/>
      <c r="BP976" s="190"/>
      <c r="BQ976" s="190"/>
      <c r="BR976" s="190"/>
      <c r="BS976" s="190"/>
      <c r="BT976" s="190"/>
      <c r="BU976" s="190"/>
      <c r="BV976" s="190"/>
      <c r="BW976" s="190"/>
      <c r="BX976" s="190"/>
      <c r="BY976" s="190"/>
      <c r="BZ976" s="190"/>
      <c r="CA976" s="189"/>
      <c r="CB976" s="15"/>
    </row>
    <row r="977" spans="1:80" ht="15" x14ac:dyDescent="0.25">
      <c r="A977" s="167"/>
      <c r="B977" s="642"/>
      <c r="C977" s="642"/>
      <c r="D977" s="179"/>
      <c r="E977" s="169"/>
      <c r="F977" s="169"/>
      <c r="G977" s="187"/>
      <c r="H977" s="187"/>
      <c r="I977" s="187"/>
      <c r="J977" s="187"/>
      <c r="K977" s="187"/>
      <c r="L977" s="647"/>
      <c r="M977" s="646">
        <v>32712</v>
      </c>
      <c r="N977" s="585">
        <v>1.1000000000000001</v>
      </c>
      <c r="O977" s="585">
        <v>6.4000000000000005E-4</v>
      </c>
      <c r="P977" s="175">
        <v>0</v>
      </c>
      <c r="Q977" s="175">
        <v>0</v>
      </c>
      <c r="R977" s="175">
        <v>0</v>
      </c>
      <c r="S977" s="175">
        <v>0</v>
      </c>
      <c r="T977" s="175">
        <v>1.1E-4</v>
      </c>
      <c r="U977" s="175">
        <v>1.9000000000000001E-4</v>
      </c>
      <c r="V977" s="706">
        <v>3.3E-4</v>
      </c>
      <c r="W977" s="717"/>
      <c r="X977" s="713"/>
      <c r="Y977" s="718"/>
      <c r="Z977" s="709">
        <v>0</v>
      </c>
      <c r="AA977" s="175"/>
      <c r="AB977" s="200"/>
      <c r="AC977" s="205">
        <v>4.2000000000000003E-2</v>
      </c>
      <c r="AD977" s="175">
        <v>5.3</v>
      </c>
      <c r="AE977" s="175">
        <v>0.24</v>
      </c>
      <c r="AF977" s="170">
        <f t="shared" si="17"/>
        <v>1.272</v>
      </c>
      <c r="AG977" s="175">
        <v>0.87</v>
      </c>
      <c r="AH977" s="334"/>
      <c r="AI977" s="188"/>
      <c r="AJ977" s="188"/>
      <c r="AK977" s="188"/>
      <c r="AL977" s="189"/>
      <c r="AM977" s="189"/>
      <c r="AN977" s="189"/>
      <c r="AO977" s="189"/>
      <c r="AP977" s="189"/>
      <c r="AQ977" s="189"/>
      <c r="AR977" s="189"/>
      <c r="AS977" s="189"/>
      <c r="AT977" s="189"/>
      <c r="AU977" s="190"/>
      <c r="AV977" s="190"/>
      <c r="AW977" s="190"/>
      <c r="AX977" s="190"/>
      <c r="AY977" s="190"/>
      <c r="AZ977" s="189"/>
      <c r="BA977" s="189"/>
      <c r="BB977" s="189"/>
      <c r="BC977" s="189"/>
      <c r="BD977" s="189"/>
      <c r="BE977" s="189"/>
      <c r="BF977" s="189"/>
      <c r="BG977" s="189"/>
      <c r="BH977" s="189"/>
      <c r="BI977" s="190"/>
      <c r="BJ977" s="190"/>
      <c r="BK977" s="190"/>
      <c r="BL977" s="190"/>
      <c r="BM977" s="190"/>
      <c r="BN977" s="190"/>
      <c r="BO977" s="190"/>
      <c r="BP977" s="190"/>
      <c r="BQ977" s="190"/>
      <c r="BR977" s="190"/>
      <c r="BS977" s="190"/>
      <c r="BT977" s="190"/>
      <c r="BU977" s="190"/>
      <c r="BV977" s="190"/>
      <c r="BW977" s="190"/>
      <c r="BX977" s="190"/>
      <c r="BY977" s="190"/>
      <c r="BZ977" s="190"/>
      <c r="CA977" s="189"/>
      <c r="CB977" s="15"/>
    </row>
    <row r="978" spans="1:80" ht="15" x14ac:dyDescent="0.25">
      <c r="A978" s="167"/>
      <c r="B978" s="642"/>
      <c r="C978" s="642"/>
      <c r="D978" s="179"/>
      <c r="E978" s="169"/>
      <c r="F978" s="169"/>
      <c r="G978" s="187"/>
      <c r="H978" s="187"/>
      <c r="I978" s="187"/>
      <c r="J978" s="187"/>
      <c r="K978" s="187"/>
      <c r="L978" s="647"/>
      <c r="M978" s="646">
        <v>32716</v>
      </c>
      <c r="N978" s="585">
        <v>0.83</v>
      </c>
      <c r="O978" s="585">
        <v>3.8999999999999999E-4</v>
      </c>
      <c r="P978" s="175">
        <v>0</v>
      </c>
      <c r="Q978" s="175">
        <v>0</v>
      </c>
      <c r="R978" s="175">
        <v>0</v>
      </c>
      <c r="S978" s="175">
        <v>0</v>
      </c>
      <c r="T978" s="175">
        <v>9.0000000000000006E-5</v>
      </c>
      <c r="U978" s="175">
        <v>1.1E-4</v>
      </c>
      <c r="V978" s="706">
        <v>1.9000000000000001E-4</v>
      </c>
      <c r="W978" s="717"/>
      <c r="X978" s="713"/>
      <c r="Y978" s="718"/>
      <c r="Z978" s="709">
        <v>0</v>
      </c>
      <c r="AA978" s="175"/>
      <c r="AB978" s="200"/>
      <c r="AC978" s="205">
        <v>4.1000000000000002E-2</v>
      </c>
      <c r="AD978" s="175">
        <v>5.25</v>
      </c>
      <c r="AE978" s="175">
        <v>0.22</v>
      </c>
      <c r="AF978" s="170">
        <f t="shared" si="17"/>
        <v>1.155</v>
      </c>
      <c r="AG978" s="175">
        <v>0.73</v>
      </c>
      <c r="AH978" s="334"/>
      <c r="AI978" s="188"/>
      <c r="AJ978" s="188"/>
      <c r="AK978" s="188"/>
      <c r="AL978" s="189"/>
      <c r="AM978" s="189"/>
      <c r="AN978" s="189"/>
      <c r="AO978" s="189"/>
      <c r="AP978" s="189"/>
      <c r="AQ978" s="189"/>
      <c r="AR978" s="189"/>
      <c r="AS978" s="189"/>
      <c r="AT978" s="189"/>
      <c r="AU978" s="190"/>
      <c r="AV978" s="190"/>
      <c r="AW978" s="190"/>
      <c r="AX978" s="190"/>
      <c r="AY978" s="190"/>
      <c r="AZ978" s="189"/>
      <c r="BA978" s="189"/>
      <c r="BB978" s="189"/>
      <c r="BC978" s="189"/>
      <c r="BD978" s="189"/>
      <c r="BE978" s="189"/>
      <c r="BF978" s="189"/>
      <c r="BG978" s="189"/>
      <c r="BH978" s="189"/>
      <c r="BI978" s="190"/>
      <c r="BJ978" s="190"/>
      <c r="BK978" s="190"/>
      <c r="BL978" s="190"/>
      <c r="BM978" s="190"/>
      <c r="BN978" s="190"/>
      <c r="BO978" s="190"/>
      <c r="BP978" s="190"/>
      <c r="BQ978" s="190"/>
      <c r="BR978" s="190"/>
      <c r="BS978" s="190"/>
      <c r="BT978" s="190"/>
      <c r="BU978" s="190"/>
      <c r="BV978" s="190"/>
      <c r="BW978" s="190"/>
      <c r="BX978" s="190"/>
      <c r="BY978" s="190"/>
      <c r="BZ978" s="190"/>
      <c r="CA978" s="189"/>
      <c r="CB978" s="15"/>
    </row>
    <row r="979" spans="1:80" ht="15" x14ac:dyDescent="0.25">
      <c r="A979" s="167"/>
      <c r="B979" s="642"/>
      <c r="C979" s="642"/>
      <c r="D979" s="179"/>
      <c r="E979" s="169"/>
      <c r="F979" s="169"/>
      <c r="G979" s="187"/>
      <c r="H979" s="187"/>
      <c r="I979" s="187"/>
      <c r="J979" s="187"/>
      <c r="K979" s="187"/>
      <c r="L979" s="647"/>
      <c r="M979" s="646">
        <v>32722</v>
      </c>
      <c r="N979" s="585">
        <v>0.8</v>
      </c>
      <c r="O979" s="585">
        <v>1.58E-3</v>
      </c>
      <c r="P979" s="175">
        <v>0</v>
      </c>
      <c r="Q979" s="175">
        <v>0</v>
      </c>
      <c r="R979" s="175">
        <v>0</v>
      </c>
      <c r="S979" s="175">
        <v>6.8000000000000005E-4</v>
      </c>
      <c r="T979" s="175">
        <v>2.3000000000000001E-4</v>
      </c>
      <c r="U979" s="175">
        <v>3.1E-4</v>
      </c>
      <c r="V979" s="706">
        <v>3.5E-4</v>
      </c>
      <c r="W979" s="717"/>
      <c r="X979" s="713"/>
      <c r="Y979" s="718"/>
      <c r="Z979" s="709">
        <v>0</v>
      </c>
      <c r="AA979" s="175"/>
      <c r="AB979" s="200"/>
      <c r="AC979" s="205">
        <v>4.8000000000000001E-2</v>
      </c>
      <c r="AD979" s="175">
        <v>5.25</v>
      </c>
      <c r="AE979" s="175">
        <v>0.21</v>
      </c>
      <c r="AF979" s="170">
        <f t="shared" si="17"/>
        <v>1.1025</v>
      </c>
      <c r="AG979" s="175">
        <v>0.72</v>
      </c>
      <c r="AH979" s="334"/>
      <c r="AI979" s="188"/>
      <c r="AJ979" s="188"/>
      <c r="AK979" s="188"/>
      <c r="AL979" s="189"/>
      <c r="AM979" s="189"/>
      <c r="AN979" s="189"/>
      <c r="AO979" s="189"/>
      <c r="AP979" s="189"/>
      <c r="AQ979" s="189"/>
      <c r="AR979" s="189"/>
      <c r="AS979" s="189"/>
      <c r="AT979" s="189"/>
      <c r="AU979" s="190"/>
      <c r="AV979" s="190"/>
      <c r="AW979" s="190"/>
      <c r="AX979" s="190"/>
      <c r="AY979" s="190"/>
      <c r="AZ979" s="189"/>
      <c r="BA979" s="189"/>
      <c r="BB979" s="189"/>
      <c r="BC979" s="189"/>
      <c r="BD979" s="189"/>
      <c r="BE979" s="189"/>
      <c r="BF979" s="189"/>
      <c r="BG979" s="189"/>
      <c r="BH979" s="189"/>
      <c r="BI979" s="190"/>
      <c r="BJ979" s="190"/>
      <c r="BK979" s="190"/>
      <c r="BL979" s="190"/>
      <c r="BM979" s="190"/>
      <c r="BN979" s="190"/>
      <c r="BO979" s="190"/>
      <c r="BP979" s="190"/>
      <c r="BQ979" s="190"/>
      <c r="BR979" s="190"/>
      <c r="BS979" s="190"/>
      <c r="BT979" s="190"/>
      <c r="BU979" s="190"/>
      <c r="BV979" s="190"/>
      <c r="BW979" s="190"/>
      <c r="BX979" s="190"/>
      <c r="BY979" s="190"/>
      <c r="BZ979" s="190"/>
      <c r="CA979" s="189"/>
      <c r="CB979" s="15"/>
    </row>
    <row r="980" spans="1:80" ht="15" x14ac:dyDescent="0.25">
      <c r="A980" s="167"/>
      <c r="B980" s="642"/>
      <c r="C980" s="642"/>
      <c r="D980" s="179"/>
      <c r="E980" s="169"/>
      <c r="F980" s="169"/>
      <c r="G980" s="187"/>
      <c r="H980" s="187"/>
      <c r="I980" s="187"/>
      <c r="J980" s="187"/>
      <c r="K980" s="187"/>
      <c r="L980" s="647"/>
      <c r="M980" s="646">
        <v>33400</v>
      </c>
      <c r="N980" s="585">
        <v>0.71</v>
      </c>
      <c r="O980" s="585">
        <v>7.2999999999999996E-4</v>
      </c>
      <c r="P980" s="175">
        <v>0</v>
      </c>
      <c r="Q980" s="175">
        <v>0</v>
      </c>
      <c r="R980" s="175">
        <v>0</v>
      </c>
      <c r="S980" s="175">
        <v>0</v>
      </c>
      <c r="T980" s="175">
        <v>9.0000000000000006E-5</v>
      </c>
      <c r="U980" s="175">
        <v>1.3999999999999999E-4</v>
      </c>
      <c r="V980" s="706">
        <v>4.8999999999999998E-4</v>
      </c>
      <c r="W980" s="717"/>
      <c r="X980" s="713"/>
      <c r="Y980" s="718"/>
      <c r="Z980" s="709">
        <v>8</v>
      </c>
      <c r="AA980" s="175"/>
      <c r="AB980" s="200"/>
      <c r="AC980" s="205">
        <v>0.05</v>
      </c>
      <c r="AD980" s="175">
        <v>5.3</v>
      </c>
      <c r="AE980" s="175">
        <v>0.22</v>
      </c>
      <c r="AF980" s="170">
        <f t="shared" si="17"/>
        <v>1.1659999999999999</v>
      </c>
      <c r="AG980" s="175">
        <v>0.6</v>
      </c>
      <c r="AH980" s="334"/>
      <c r="AI980" s="188"/>
      <c r="AJ980" s="188"/>
      <c r="AK980" s="188"/>
      <c r="AL980" s="189"/>
      <c r="AM980" s="189"/>
      <c r="AN980" s="189"/>
      <c r="AO980" s="189"/>
      <c r="AP980" s="189"/>
      <c r="AQ980" s="189"/>
      <c r="AR980" s="189"/>
      <c r="AS980" s="189"/>
      <c r="AT980" s="189"/>
      <c r="AU980" s="190"/>
      <c r="AV980" s="190"/>
      <c r="AW980" s="190"/>
      <c r="AX980" s="190"/>
      <c r="AY980" s="190"/>
      <c r="AZ980" s="189"/>
      <c r="BA980" s="189"/>
      <c r="BB980" s="189"/>
      <c r="BC980" s="189"/>
      <c r="BD980" s="189"/>
      <c r="BE980" s="189"/>
      <c r="BF980" s="189"/>
      <c r="BG980" s="189"/>
      <c r="BH980" s="189"/>
      <c r="BI980" s="190"/>
      <c r="BJ980" s="190"/>
      <c r="BK980" s="190"/>
      <c r="BL980" s="190"/>
      <c r="BM980" s="190"/>
      <c r="BN980" s="190"/>
      <c r="BO980" s="190"/>
      <c r="BP980" s="190"/>
      <c r="BQ980" s="190"/>
      <c r="BR980" s="190"/>
      <c r="BS980" s="190"/>
      <c r="BT980" s="190"/>
      <c r="BU980" s="190"/>
      <c r="BV980" s="190"/>
      <c r="BW980" s="190"/>
      <c r="BX980" s="190"/>
      <c r="BY980" s="190"/>
      <c r="BZ980" s="190"/>
      <c r="CA980" s="189"/>
      <c r="CB980" s="15"/>
    </row>
    <row r="981" spans="1:80" ht="15" x14ac:dyDescent="0.25">
      <c r="A981" s="167"/>
      <c r="B981" s="642"/>
      <c r="C981" s="642"/>
      <c r="D981" s="179"/>
      <c r="E981" s="169"/>
      <c r="F981" s="169"/>
      <c r="G981" s="187"/>
      <c r="H981" s="187"/>
      <c r="I981" s="187"/>
      <c r="J981" s="187"/>
      <c r="K981" s="187"/>
      <c r="L981" s="647"/>
      <c r="M981" s="646">
        <v>33404</v>
      </c>
      <c r="N981" s="585">
        <v>1.98</v>
      </c>
      <c r="O981" s="585">
        <v>6.5500000000000003E-3</v>
      </c>
      <c r="P981" s="175">
        <v>0</v>
      </c>
      <c r="Q981" s="175">
        <v>0</v>
      </c>
      <c r="R981" s="175">
        <v>0</v>
      </c>
      <c r="S981" s="175">
        <v>2.1000000000000001E-4</v>
      </c>
      <c r="T981" s="175">
        <v>3.8999999999999999E-4</v>
      </c>
      <c r="U981" s="175">
        <v>1.2899999999999999E-3</v>
      </c>
      <c r="V981" s="706">
        <v>4.6600000000000001E-3</v>
      </c>
      <c r="W981" s="717"/>
      <c r="X981" s="713"/>
      <c r="Y981" s="718"/>
      <c r="Z981" s="709">
        <v>12</v>
      </c>
      <c r="AA981" s="175"/>
      <c r="AB981" s="200"/>
      <c r="AC981" s="205">
        <v>5.6000000000000001E-2</v>
      </c>
      <c r="AD981" s="175">
        <v>5.3</v>
      </c>
      <c r="AE981" s="175">
        <v>0.3</v>
      </c>
      <c r="AF981" s="170">
        <f t="shared" si="17"/>
        <v>1.5899999999999999</v>
      </c>
      <c r="AG981" s="175">
        <v>1.24</v>
      </c>
      <c r="AH981" s="334"/>
      <c r="AI981" s="188"/>
      <c r="AJ981" s="188"/>
      <c r="AK981" s="188"/>
      <c r="AL981" s="189"/>
      <c r="AM981" s="189"/>
      <c r="AN981" s="189"/>
      <c r="AO981" s="189"/>
      <c r="AP981" s="189"/>
      <c r="AQ981" s="189"/>
      <c r="AR981" s="189"/>
      <c r="AS981" s="189"/>
      <c r="AT981" s="189"/>
      <c r="AU981" s="190"/>
      <c r="AV981" s="190"/>
      <c r="AW981" s="190"/>
      <c r="AX981" s="190"/>
      <c r="AY981" s="190"/>
      <c r="AZ981" s="189"/>
      <c r="BA981" s="189"/>
      <c r="BB981" s="189"/>
      <c r="BC981" s="189"/>
      <c r="BD981" s="189"/>
      <c r="BE981" s="189"/>
      <c r="BF981" s="189"/>
      <c r="BG981" s="189"/>
      <c r="BH981" s="189"/>
      <c r="BI981" s="190"/>
      <c r="BJ981" s="190"/>
      <c r="BK981" s="190"/>
      <c r="BL981" s="190"/>
      <c r="BM981" s="190"/>
      <c r="BN981" s="190"/>
      <c r="BO981" s="190"/>
      <c r="BP981" s="190"/>
      <c r="BQ981" s="190"/>
      <c r="BR981" s="190"/>
      <c r="BS981" s="190"/>
      <c r="BT981" s="190"/>
      <c r="BU981" s="190"/>
      <c r="BV981" s="190"/>
      <c r="BW981" s="190"/>
      <c r="BX981" s="190"/>
      <c r="BY981" s="190"/>
      <c r="BZ981" s="190"/>
      <c r="CA981" s="189"/>
      <c r="CB981" s="15"/>
    </row>
    <row r="982" spans="1:80" ht="15" x14ac:dyDescent="0.25">
      <c r="A982" s="167"/>
      <c r="B982" s="642"/>
      <c r="C982" s="642"/>
      <c r="D982" s="179"/>
      <c r="E982" s="169"/>
      <c r="F982" s="169"/>
      <c r="G982" s="187"/>
      <c r="H982" s="187"/>
      <c r="I982" s="187"/>
      <c r="J982" s="187"/>
      <c r="K982" s="187"/>
      <c r="L982" s="647"/>
      <c r="M982" s="646">
        <v>33407</v>
      </c>
      <c r="N982" s="585">
        <v>2.88</v>
      </c>
      <c r="O982" s="585">
        <v>1.383E-2</v>
      </c>
      <c r="P982" s="175">
        <v>0</v>
      </c>
      <c r="Q982" s="175">
        <v>0</v>
      </c>
      <c r="R982" s="175">
        <v>7.5000000000000002E-4</v>
      </c>
      <c r="S982" s="175">
        <v>1.25E-3</v>
      </c>
      <c r="T982" s="175">
        <v>1.31E-3</v>
      </c>
      <c r="U982" s="175">
        <v>1.73E-3</v>
      </c>
      <c r="V982" s="706">
        <v>8.7899999999999992E-3</v>
      </c>
      <c r="W982" s="717"/>
      <c r="X982" s="713"/>
      <c r="Y982" s="718"/>
      <c r="Z982" s="709">
        <v>27</v>
      </c>
      <c r="AA982" s="175"/>
      <c r="AB982" s="200"/>
      <c r="AC982" s="205">
        <v>0.05</v>
      </c>
      <c r="AD982" s="175">
        <v>5.3</v>
      </c>
      <c r="AE982" s="175">
        <v>0.38</v>
      </c>
      <c r="AF982" s="170">
        <f t="shared" si="17"/>
        <v>2.0139999999999998</v>
      </c>
      <c r="AG982" s="175">
        <v>1.44</v>
      </c>
      <c r="AH982" s="334"/>
      <c r="AI982" s="188"/>
      <c r="AJ982" s="188"/>
      <c r="AK982" s="188"/>
      <c r="AL982" s="189"/>
      <c r="AM982" s="189"/>
      <c r="AN982" s="189"/>
      <c r="AO982" s="189"/>
      <c r="AP982" s="189"/>
      <c r="AQ982" s="189"/>
      <c r="AR982" s="189"/>
      <c r="AS982" s="189"/>
      <c r="AT982" s="189"/>
      <c r="AU982" s="190"/>
      <c r="AV982" s="190"/>
      <c r="AW982" s="190"/>
      <c r="AX982" s="190"/>
      <c r="AY982" s="190"/>
      <c r="AZ982" s="189"/>
      <c r="BA982" s="189"/>
      <c r="BB982" s="189"/>
      <c r="BC982" s="189"/>
      <c r="BD982" s="189"/>
      <c r="BE982" s="189"/>
      <c r="BF982" s="189"/>
      <c r="BG982" s="189"/>
      <c r="BH982" s="189"/>
      <c r="BI982" s="190"/>
      <c r="BJ982" s="190"/>
      <c r="BK982" s="190"/>
      <c r="BL982" s="190"/>
      <c r="BM982" s="190"/>
      <c r="BN982" s="190"/>
      <c r="BO982" s="190"/>
      <c r="BP982" s="190"/>
      <c r="BQ982" s="190"/>
      <c r="BR982" s="190"/>
      <c r="BS982" s="190"/>
      <c r="BT982" s="190"/>
      <c r="BU982" s="190"/>
      <c r="BV982" s="190"/>
      <c r="BW982" s="190"/>
      <c r="BX982" s="190"/>
      <c r="BY982" s="190"/>
      <c r="BZ982" s="190"/>
      <c r="CA982" s="189"/>
      <c r="CB982" s="15"/>
    </row>
    <row r="983" spans="1:80" ht="15" x14ac:dyDescent="0.25">
      <c r="A983" s="167"/>
      <c r="B983" s="642"/>
      <c r="C983" s="642"/>
      <c r="D983" s="179"/>
      <c r="E983" s="169"/>
      <c r="F983" s="169"/>
      <c r="G983" s="187"/>
      <c r="H983" s="187"/>
      <c r="I983" s="187"/>
      <c r="J983" s="187"/>
      <c r="K983" s="187"/>
      <c r="L983" s="647"/>
      <c r="M983" s="646">
        <v>33409</v>
      </c>
      <c r="N983" s="585">
        <v>2.46</v>
      </c>
      <c r="O983" s="585">
        <v>6.1900000000000002E-3</v>
      </c>
      <c r="P983" s="175">
        <v>0</v>
      </c>
      <c r="Q983" s="175">
        <v>0</v>
      </c>
      <c r="R983" s="175">
        <v>0</v>
      </c>
      <c r="S983" s="175">
        <v>5.5000000000000003E-4</v>
      </c>
      <c r="T983" s="175">
        <v>9.3999999999999997E-4</v>
      </c>
      <c r="U983" s="175">
        <v>9.8999999999999999E-4</v>
      </c>
      <c r="V983" s="706">
        <v>3.7100000000000002E-3</v>
      </c>
      <c r="W983" s="717"/>
      <c r="X983" s="713"/>
      <c r="Y983" s="718"/>
      <c r="Z983" s="709">
        <v>11</v>
      </c>
      <c r="AA983" s="175"/>
      <c r="AB983" s="200"/>
      <c r="AC983" s="205">
        <v>5.5E-2</v>
      </c>
      <c r="AD983" s="175">
        <v>5.3</v>
      </c>
      <c r="AE983" s="175">
        <v>0.36</v>
      </c>
      <c r="AF983" s="170">
        <f t="shared" si="17"/>
        <v>1.9079999999999999</v>
      </c>
      <c r="AG983" s="175">
        <v>1.29</v>
      </c>
      <c r="AH983" s="334"/>
      <c r="AI983" s="188"/>
      <c r="AJ983" s="188"/>
      <c r="AK983" s="188"/>
      <c r="AL983" s="189"/>
      <c r="AM983" s="189"/>
      <c r="AN983" s="189"/>
      <c r="AO983" s="189"/>
      <c r="AP983" s="189"/>
      <c r="AQ983" s="189"/>
      <c r="AR983" s="189"/>
      <c r="AS983" s="189"/>
      <c r="AT983" s="189"/>
      <c r="AU983" s="190"/>
      <c r="AV983" s="190"/>
      <c r="AW983" s="190"/>
      <c r="AX983" s="190"/>
      <c r="AY983" s="190"/>
      <c r="AZ983" s="189"/>
      <c r="BA983" s="189"/>
      <c r="BB983" s="189"/>
      <c r="BC983" s="189"/>
      <c r="BD983" s="189"/>
      <c r="BE983" s="189"/>
      <c r="BF983" s="189"/>
      <c r="BG983" s="189"/>
      <c r="BH983" s="189"/>
      <c r="BI983" s="190"/>
      <c r="BJ983" s="190"/>
      <c r="BK983" s="190"/>
      <c r="BL983" s="190"/>
      <c r="BM983" s="190"/>
      <c r="BN983" s="190"/>
      <c r="BO983" s="190"/>
      <c r="BP983" s="190"/>
      <c r="BQ983" s="190"/>
      <c r="BR983" s="190"/>
      <c r="BS983" s="190"/>
      <c r="BT983" s="190"/>
      <c r="BU983" s="190"/>
      <c r="BV983" s="190"/>
      <c r="BW983" s="190"/>
      <c r="BX983" s="190"/>
      <c r="BY983" s="190"/>
      <c r="BZ983" s="190"/>
      <c r="CA983" s="189"/>
      <c r="CB983" s="15"/>
    </row>
    <row r="984" spans="1:80" ht="15" x14ac:dyDescent="0.25">
      <c r="A984" s="167"/>
      <c r="B984" s="642"/>
      <c r="C984" s="642"/>
      <c r="D984" s="179"/>
      <c r="E984" s="169"/>
      <c r="F984" s="169"/>
      <c r="G984" s="187"/>
      <c r="H984" s="187"/>
      <c r="I984" s="187"/>
      <c r="J984" s="187"/>
      <c r="K984" s="187"/>
      <c r="L984" s="647"/>
      <c r="M984" s="646">
        <v>33410</v>
      </c>
      <c r="N984" s="585">
        <v>3.09</v>
      </c>
      <c r="O984" s="585">
        <v>8.9990000000000001E-2</v>
      </c>
      <c r="P984" s="175">
        <v>2.7349999999999999E-2</v>
      </c>
      <c r="Q984" s="175">
        <v>0</v>
      </c>
      <c r="R984" s="175">
        <v>2.6589999999999999E-2</v>
      </c>
      <c r="S984" s="175">
        <v>6.96E-3</v>
      </c>
      <c r="T984" s="175">
        <v>7.6600000000000001E-3</v>
      </c>
      <c r="U984" s="175">
        <v>8.2000000000000007E-3</v>
      </c>
      <c r="V984" s="706">
        <v>1.323E-2</v>
      </c>
      <c r="W984" s="717"/>
      <c r="X984" s="713"/>
      <c r="Y984" s="718"/>
      <c r="Z984" s="709">
        <v>72</v>
      </c>
      <c r="AA984" s="175"/>
      <c r="AB984" s="200"/>
      <c r="AC984" s="205">
        <v>5.5E-2</v>
      </c>
      <c r="AD984" s="175">
        <v>5.3</v>
      </c>
      <c r="AE984" s="175">
        <v>0.37</v>
      </c>
      <c r="AF984" s="170">
        <f t="shared" si="17"/>
        <v>1.9609999999999999</v>
      </c>
      <c r="AG984" s="175">
        <v>1.59</v>
      </c>
      <c r="AH984" s="334"/>
      <c r="AI984" s="188"/>
      <c r="AJ984" s="188"/>
      <c r="AK984" s="188"/>
      <c r="AL984" s="189"/>
      <c r="AM984" s="189"/>
      <c r="AN984" s="189"/>
      <c r="AO984" s="189"/>
      <c r="AP984" s="189"/>
      <c r="AQ984" s="189"/>
      <c r="AR984" s="189"/>
      <c r="AS984" s="189"/>
      <c r="AT984" s="189"/>
      <c r="AU984" s="190"/>
      <c r="AV984" s="190"/>
      <c r="AW984" s="190"/>
      <c r="AX984" s="190"/>
      <c r="AY984" s="190"/>
      <c r="AZ984" s="189"/>
      <c r="BA984" s="189"/>
      <c r="BB984" s="189"/>
      <c r="BC984" s="189"/>
      <c r="BD984" s="189"/>
      <c r="BE984" s="189"/>
      <c r="BF984" s="189"/>
      <c r="BG984" s="189"/>
      <c r="BH984" s="189"/>
      <c r="BI984" s="190"/>
      <c r="BJ984" s="190"/>
      <c r="BK984" s="190"/>
      <c r="BL984" s="190"/>
      <c r="BM984" s="190"/>
      <c r="BN984" s="190"/>
      <c r="BO984" s="190"/>
      <c r="BP984" s="190"/>
      <c r="BQ984" s="190"/>
      <c r="BR984" s="190"/>
      <c r="BS984" s="190"/>
      <c r="BT984" s="190"/>
      <c r="BU984" s="190"/>
      <c r="BV984" s="190"/>
      <c r="BW984" s="190"/>
      <c r="BX984" s="190"/>
      <c r="BY984" s="190"/>
      <c r="BZ984" s="190"/>
      <c r="CA984" s="189"/>
      <c r="CB984" s="15"/>
    </row>
    <row r="985" spans="1:80" ht="15" x14ac:dyDescent="0.25">
      <c r="A985" s="167"/>
      <c r="B985" s="642"/>
      <c r="C985" s="642"/>
      <c r="D985" s="179"/>
      <c r="E985" s="169"/>
      <c r="F985" s="169"/>
      <c r="G985" s="187"/>
      <c r="H985" s="187"/>
      <c r="I985" s="187"/>
      <c r="J985" s="187"/>
      <c r="K985" s="187"/>
      <c r="L985" s="647"/>
      <c r="M985" s="646">
        <v>33414</v>
      </c>
      <c r="N985" s="585">
        <v>2.06</v>
      </c>
      <c r="O985" s="585">
        <v>1.2800000000000001E-3</v>
      </c>
      <c r="P985" s="175">
        <v>0</v>
      </c>
      <c r="Q985" s="175">
        <v>0</v>
      </c>
      <c r="R985" s="175">
        <v>0</v>
      </c>
      <c r="S985" s="175">
        <v>0</v>
      </c>
      <c r="T985" s="175">
        <v>9.0000000000000006E-5</v>
      </c>
      <c r="U985" s="175">
        <v>1.2999999999999999E-4</v>
      </c>
      <c r="V985" s="706">
        <v>1.06E-3</v>
      </c>
      <c r="W985" s="717"/>
      <c r="X985" s="713"/>
      <c r="Y985" s="718"/>
      <c r="Z985" s="709">
        <v>8</v>
      </c>
      <c r="AA985" s="175"/>
      <c r="AB985" s="200"/>
      <c r="AC985" s="205">
        <v>5.3999999999999999E-2</v>
      </c>
      <c r="AD985" s="175">
        <v>5.3</v>
      </c>
      <c r="AE985" s="175">
        <v>0.32</v>
      </c>
      <c r="AF985" s="170">
        <f t="shared" si="17"/>
        <v>1.696</v>
      </c>
      <c r="AG985" s="175">
        <v>1.23</v>
      </c>
      <c r="AH985" s="334"/>
      <c r="AI985" s="188"/>
      <c r="AJ985" s="188"/>
      <c r="AK985" s="188"/>
      <c r="AL985" s="189"/>
      <c r="AM985" s="189"/>
      <c r="AN985" s="189"/>
      <c r="AO985" s="189"/>
      <c r="AP985" s="189"/>
      <c r="AQ985" s="189"/>
      <c r="AR985" s="189"/>
      <c r="AS985" s="189"/>
      <c r="AT985" s="189"/>
      <c r="AU985" s="190"/>
      <c r="AV985" s="190"/>
      <c r="AW985" s="190"/>
      <c r="AX985" s="190"/>
      <c r="AY985" s="190"/>
      <c r="AZ985" s="189"/>
      <c r="BA985" s="189"/>
      <c r="BB985" s="189"/>
      <c r="BC985" s="189"/>
      <c r="BD985" s="189"/>
      <c r="BE985" s="189"/>
      <c r="BF985" s="189"/>
      <c r="BG985" s="189"/>
      <c r="BH985" s="189"/>
      <c r="BI985" s="190"/>
      <c r="BJ985" s="190"/>
      <c r="BK985" s="190"/>
      <c r="BL985" s="190"/>
      <c r="BM985" s="190"/>
      <c r="BN985" s="190"/>
      <c r="BO985" s="190"/>
      <c r="BP985" s="190"/>
      <c r="BQ985" s="190"/>
      <c r="BR985" s="190"/>
      <c r="BS985" s="190"/>
      <c r="BT985" s="190"/>
      <c r="BU985" s="190"/>
      <c r="BV985" s="190"/>
      <c r="BW985" s="190"/>
      <c r="BX985" s="190"/>
      <c r="BY985" s="190"/>
      <c r="BZ985" s="190"/>
      <c r="CA985" s="189"/>
      <c r="CB985" s="15"/>
    </row>
    <row r="986" spans="1:80" ht="15" x14ac:dyDescent="0.25">
      <c r="A986" s="167"/>
      <c r="B986" s="642"/>
      <c r="C986" s="642"/>
      <c r="D986" s="179"/>
      <c r="E986" s="169"/>
      <c r="F986" s="169"/>
      <c r="G986" s="187"/>
      <c r="H986" s="187"/>
      <c r="I986" s="187"/>
      <c r="J986" s="187"/>
      <c r="K986" s="187"/>
      <c r="L986" s="647"/>
      <c r="M986" s="646">
        <v>33418</v>
      </c>
      <c r="N986" s="585">
        <v>2.2599999999999998</v>
      </c>
      <c r="O986" s="585">
        <v>2.0999999999999999E-3</v>
      </c>
      <c r="P986" s="175">
        <v>0</v>
      </c>
      <c r="Q986" s="175">
        <v>0</v>
      </c>
      <c r="R986" s="175">
        <v>0</v>
      </c>
      <c r="S986" s="175">
        <v>6.0000000000000002E-5</v>
      </c>
      <c r="T986" s="175">
        <v>2.1000000000000001E-4</v>
      </c>
      <c r="U986" s="175">
        <v>3.8000000000000002E-4</v>
      </c>
      <c r="V986" s="706">
        <v>1.4499999999999999E-3</v>
      </c>
      <c r="W986" s="717"/>
      <c r="X986" s="713"/>
      <c r="Y986" s="718"/>
      <c r="Z986" s="709">
        <v>10</v>
      </c>
      <c r="AA986" s="175"/>
      <c r="AB986" s="200"/>
      <c r="AC986" s="205">
        <v>5.2999999999999999E-2</v>
      </c>
      <c r="AD986" s="175">
        <v>5.3</v>
      </c>
      <c r="AE986" s="175">
        <v>0.34</v>
      </c>
      <c r="AF986" s="170">
        <f t="shared" si="17"/>
        <v>1.802</v>
      </c>
      <c r="AG986" s="175">
        <v>1.27</v>
      </c>
      <c r="AH986" s="334"/>
      <c r="AI986" s="188"/>
      <c r="AJ986" s="188"/>
      <c r="AK986" s="188"/>
      <c r="AL986" s="189"/>
      <c r="AM986" s="189"/>
      <c r="AN986" s="189"/>
      <c r="AO986" s="189"/>
      <c r="AP986" s="189"/>
      <c r="AQ986" s="189"/>
      <c r="AR986" s="189"/>
      <c r="AS986" s="189"/>
      <c r="AT986" s="189"/>
      <c r="AU986" s="190"/>
      <c r="AV986" s="190"/>
      <c r="AW986" s="190"/>
      <c r="AX986" s="190"/>
      <c r="AY986" s="190"/>
      <c r="AZ986" s="189"/>
      <c r="BA986" s="189"/>
      <c r="BB986" s="189"/>
      <c r="BC986" s="189"/>
      <c r="BD986" s="189"/>
      <c r="BE986" s="189"/>
      <c r="BF986" s="189"/>
      <c r="BG986" s="189"/>
      <c r="BH986" s="189"/>
      <c r="BI986" s="190"/>
      <c r="BJ986" s="190"/>
      <c r="BK986" s="190"/>
      <c r="BL986" s="190"/>
      <c r="BM986" s="190"/>
      <c r="BN986" s="190"/>
      <c r="BO986" s="190"/>
      <c r="BP986" s="190"/>
      <c r="BQ986" s="190"/>
      <c r="BR986" s="190"/>
      <c r="BS986" s="190"/>
      <c r="BT986" s="190"/>
      <c r="BU986" s="190"/>
      <c r="BV986" s="190"/>
      <c r="BW986" s="190"/>
      <c r="BX986" s="190"/>
      <c r="BY986" s="190"/>
      <c r="BZ986" s="190"/>
      <c r="CA986" s="189"/>
      <c r="CB986" s="15"/>
    </row>
    <row r="987" spans="1:80" ht="15" x14ac:dyDescent="0.25">
      <c r="A987" s="167"/>
      <c r="B987" s="642"/>
      <c r="C987" s="642"/>
      <c r="D987" s="179"/>
      <c r="E987" s="169"/>
      <c r="F987" s="169"/>
      <c r="G987" s="187"/>
      <c r="H987" s="187"/>
      <c r="I987" s="187"/>
      <c r="J987" s="187"/>
      <c r="K987" s="187"/>
      <c r="L987" s="647"/>
      <c r="M987" s="646">
        <v>33421</v>
      </c>
      <c r="N987" s="585">
        <v>2.0299999999999998</v>
      </c>
      <c r="O987" s="585">
        <v>9.6000000000000002E-4</v>
      </c>
      <c r="P987" s="175">
        <v>0</v>
      </c>
      <c r="Q987" s="175">
        <v>0</v>
      </c>
      <c r="R987" s="175">
        <v>0</v>
      </c>
      <c r="S987" s="175">
        <v>0</v>
      </c>
      <c r="T987" s="175">
        <v>9.0000000000000006E-5</v>
      </c>
      <c r="U987" s="175">
        <v>1.4999999999999999E-4</v>
      </c>
      <c r="V987" s="706">
        <v>7.2000000000000005E-4</v>
      </c>
      <c r="W987" s="717"/>
      <c r="X987" s="713"/>
      <c r="Y987" s="718"/>
      <c r="Z987" s="709">
        <v>6</v>
      </c>
      <c r="AA987" s="175"/>
      <c r="AB987" s="200"/>
      <c r="AC987" s="205">
        <v>5.0999999999999997E-2</v>
      </c>
      <c r="AD987" s="175">
        <v>5.3</v>
      </c>
      <c r="AE987" s="175">
        <v>0.32</v>
      </c>
      <c r="AF987" s="170">
        <f t="shared" si="17"/>
        <v>1.696</v>
      </c>
      <c r="AG987" s="175">
        <v>1.21</v>
      </c>
      <c r="AH987" s="334"/>
      <c r="AI987" s="188"/>
      <c r="AJ987" s="188"/>
      <c r="AK987" s="188"/>
      <c r="AL987" s="189"/>
      <c r="AM987" s="189"/>
      <c r="AN987" s="189"/>
      <c r="AO987" s="189"/>
      <c r="AP987" s="189"/>
      <c r="AQ987" s="189"/>
      <c r="AR987" s="189"/>
      <c r="AS987" s="189"/>
      <c r="AT987" s="189"/>
      <c r="AU987" s="190"/>
      <c r="AV987" s="190"/>
      <c r="AW987" s="190"/>
      <c r="AX987" s="190"/>
      <c r="AY987" s="190"/>
      <c r="AZ987" s="189"/>
      <c r="BA987" s="189"/>
      <c r="BB987" s="189"/>
      <c r="BC987" s="189"/>
      <c r="BD987" s="189"/>
      <c r="BE987" s="189"/>
      <c r="BF987" s="189"/>
      <c r="BG987" s="189"/>
      <c r="BH987" s="189"/>
      <c r="BI987" s="190"/>
      <c r="BJ987" s="190"/>
      <c r="BK987" s="190"/>
      <c r="BL987" s="190"/>
      <c r="BM987" s="190"/>
      <c r="BN987" s="190"/>
      <c r="BO987" s="190"/>
      <c r="BP987" s="190"/>
      <c r="BQ987" s="190"/>
      <c r="BR987" s="190"/>
      <c r="BS987" s="190"/>
      <c r="BT987" s="190"/>
      <c r="BU987" s="190"/>
      <c r="BV987" s="190"/>
      <c r="BW987" s="190"/>
      <c r="BX987" s="190"/>
      <c r="BY987" s="190"/>
      <c r="BZ987" s="190"/>
      <c r="CA987" s="189"/>
      <c r="CB987" s="15"/>
    </row>
    <row r="988" spans="1:80" ht="15" x14ac:dyDescent="0.25">
      <c r="A988" s="167"/>
      <c r="B988" s="642"/>
      <c r="C988" s="642"/>
      <c r="D988" s="179"/>
      <c r="E988" s="169"/>
      <c r="F988" s="169"/>
      <c r="G988" s="187"/>
      <c r="H988" s="187"/>
      <c r="I988" s="187"/>
      <c r="J988" s="187"/>
      <c r="K988" s="187"/>
      <c r="L988" s="647"/>
      <c r="M988" s="646">
        <v>33424</v>
      </c>
      <c r="N988" s="585">
        <v>2.27</v>
      </c>
      <c r="O988" s="585">
        <v>5.3699999999999998E-3</v>
      </c>
      <c r="P988" s="175">
        <v>0</v>
      </c>
      <c r="Q988" s="175">
        <v>0</v>
      </c>
      <c r="R988" s="175">
        <v>0</v>
      </c>
      <c r="S988" s="175">
        <v>1.0499999999999999E-3</v>
      </c>
      <c r="T988" s="175">
        <v>6.2E-4</v>
      </c>
      <c r="U988" s="175">
        <v>7.6999999999999996E-4</v>
      </c>
      <c r="V988" s="706">
        <v>2.9299999999999999E-3</v>
      </c>
      <c r="W988" s="717"/>
      <c r="X988" s="713"/>
      <c r="Y988" s="718"/>
      <c r="Z988" s="709">
        <v>19</v>
      </c>
      <c r="AA988" s="175"/>
      <c r="AB988" s="200"/>
      <c r="AC988" s="205">
        <v>5.1999999999999998E-2</v>
      </c>
      <c r="AD988" s="175">
        <v>5.3</v>
      </c>
      <c r="AE988" s="175">
        <v>0.33</v>
      </c>
      <c r="AF988" s="170">
        <f t="shared" si="17"/>
        <v>1.7490000000000001</v>
      </c>
      <c r="AG988" s="175">
        <v>1.3</v>
      </c>
      <c r="AH988" s="334"/>
      <c r="AI988" s="188"/>
      <c r="AJ988" s="188"/>
      <c r="AK988" s="188"/>
      <c r="AL988" s="189"/>
      <c r="AM988" s="189"/>
      <c r="AN988" s="189"/>
      <c r="AO988" s="189"/>
      <c r="AP988" s="189"/>
      <c r="AQ988" s="189"/>
      <c r="AR988" s="189"/>
      <c r="AS988" s="189"/>
      <c r="AT988" s="189"/>
      <c r="AU988" s="190"/>
      <c r="AV988" s="190"/>
      <c r="AW988" s="190"/>
      <c r="AX988" s="190"/>
      <c r="AY988" s="190"/>
      <c r="AZ988" s="189"/>
      <c r="BA988" s="189"/>
      <c r="BB988" s="189"/>
      <c r="BC988" s="189"/>
      <c r="BD988" s="189"/>
      <c r="BE988" s="189"/>
      <c r="BF988" s="189"/>
      <c r="BG988" s="189"/>
      <c r="BH988" s="189"/>
      <c r="BI988" s="190"/>
      <c r="BJ988" s="190"/>
      <c r="BK988" s="190"/>
      <c r="BL988" s="190"/>
      <c r="BM988" s="190"/>
      <c r="BN988" s="190"/>
      <c r="BO988" s="190"/>
      <c r="BP988" s="190"/>
      <c r="BQ988" s="190"/>
      <c r="BR988" s="190"/>
      <c r="BS988" s="190"/>
      <c r="BT988" s="190"/>
      <c r="BU988" s="190"/>
      <c r="BV988" s="190"/>
      <c r="BW988" s="190"/>
      <c r="BX988" s="190"/>
      <c r="BY988" s="190"/>
      <c r="BZ988" s="190"/>
      <c r="CA988" s="189"/>
      <c r="CB988" s="15"/>
    </row>
    <row r="989" spans="1:80" ht="15" x14ac:dyDescent="0.25">
      <c r="A989" s="167"/>
      <c r="B989" s="642"/>
      <c r="C989" s="642"/>
      <c r="D989" s="179"/>
      <c r="E989" s="169"/>
      <c r="F989" s="169"/>
      <c r="G989" s="187"/>
      <c r="H989" s="187"/>
      <c r="I989" s="187"/>
      <c r="J989" s="187"/>
      <c r="K989" s="187"/>
      <c r="L989" s="647"/>
      <c r="M989" s="646">
        <v>33429</v>
      </c>
      <c r="N989" s="585">
        <v>3.1</v>
      </c>
      <c r="O989" s="585">
        <v>3.3779999999999998E-2</v>
      </c>
      <c r="P989" s="175">
        <v>0</v>
      </c>
      <c r="Q989" s="175">
        <v>7.6699999999999997E-3</v>
      </c>
      <c r="R989" s="175">
        <v>7.9299999999999995E-3</v>
      </c>
      <c r="S989" s="175">
        <v>2.4199999999999998E-3</v>
      </c>
      <c r="T989" s="175">
        <v>2.65E-3</v>
      </c>
      <c r="U989" s="175">
        <v>2.7799999999999999E-3</v>
      </c>
      <c r="V989" s="706">
        <v>1.0319999999999999E-2</v>
      </c>
      <c r="W989" s="717"/>
      <c r="X989" s="713"/>
      <c r="Y989" s="718"/>
      <c r="Z989" s="709">
        <v>44</v>
      </c>
      <c r="AA989" s="175"/>
      <c r="AB989" s="200"/>
      <c r="AC989" s="205">
        <v>5.2999999999999999E-2</v>
      </c>
      <c r="AD989" s="175">
        <v>5.3</v>
      </c>
      <c r="AE989" s="175">
        <v>0.38</v>
      </c>
      <c r="AF989" s="170">
        <f t="shared" si="17"/>
        <v>2.0139999999999998</v>
      </c>
      <c r="AG989" s="175">
        <v>1.55</v>
      </c>
      <c r="AH989" s="334"/>
      <c r="AI989" s="188"/>
      <c r="AJ989" s="188"/>
      <c r="AK989" s="188"/>
      <c r="AL989" s="189"/>
      <c r="AM989" s="189"/>
      <c r="AN989" s="189"/>
      <c r="AO989" s="189"/>
      <c r="AP989" s="189"/>
      <c r="AQ989" s="189"/>
      <c r="AR989" s="189"/>
      <c r="AS989" s="189"/>
      <c r="AT989" s="189"/>
      <c r="AU989" s="190"/>
      <c r="AV989" s="190"/>
      <c r="AW989" s="190"/>
      <c r="AX989" s="190"/>
      <c r="AY989" s="190"/>
      <c r="AZ989" s="189"/>
      <c r="BA989" s="189"/>
      <c r="BB989" s="189"/>
      <c r="BC989" s="189"/>
      <c r="BD989" s="189"/>
      <c r="BE989" s="189"/>
      <c r="BF989" s="189"/>
      <c r="BG989" s="189"/>
      <c r="BH989" s="189"/>
      <c r="BI989" s="190"/>
      <c r="BJ989" s="190"/>
      <c r="BK989" s="190"/>
      <c r="BL989" s="190"/>
      <c r="BM989" s="190"/>
      <c r="BN989" s="190"/>
      <c r="BO989" s="190"/>
      <c r="BP989" s="190"/>
      <c r="BQ989" s="190"/>
      <c r="BR989" s="190"/>
      <c r="BS989" s="190"/>
      <c r="BT989" s="190"/>
      <c r="BU989" s="190"/>
      <c r="BV989" s="190"/>
      <c r="BW989" s="190"/>
      <c r="BX989" s="190"/>
      <c r="BY989" s="190"/>
      <c r="BZ989" s="190"/>
      <c r="CA989" s="189"/>
      <c r="CB989" s="15"/>
    </row>
    <row r="990" spans="1:80" ht="15" x14ac:dyDescent="0.25">
      <c r="A990" s="167"/>
      <c r="B990" s="642"/>
      <c r="C990" s="642"/>
      <c r="D990" s="179"/>
      <c r="E990" s="169"/>
      <c r="F990" s="169"/>
      <c r="G990" s="187"/>
      <c r="H990" s="187"/>
      <c r="I990" s="187"/>
      <c r="J990" s="187"/>
      <c r="K990" s="187"/>
      <c r="L990" s="647"/>
      <c r="M990" s="646">
        <v>33430</v>
      </c>
      <c r="N990" s="585">
        <v>3.25</v>
      </c>
      <c r="O990" s="585">
        <v>5.3800000000000001E-2</v>
      </c>
      <c r="P990" s="175">
        <v>0</v>
      </c>
      <c r="Q990" s="175">
        <v>0</v>
      </c>
      <c r="R990" s="175">
        <v>8.4700000000000001E-3</v>
      </c>
      <c r="S990" s="175">
        <v>1.2109999999999999E-2</v>
      </c>
      <c r="T990" s="175">
        <v>9.3100000000000006E-3</v>
      </c>
      <c r="U990" s="175">
        <v>7.2700000000000004E-3</v>
      </c>
      <c r="V990" s="706">
        <v>1.6650000000000002E-2</v>
      </c>
      <c r="W990" s="717"/>
      <c r="X990" s="713"/>
      <c r="Y990" s="718"/>
      <c r="Z990" s="709">
        <v>29</v>
      </c>
      <c r="AA990" s="175"/>
      <c r="AB990" s="200"/>
      <c r="AC990" s="205">
        <v>4.8000000000000001E-2</v>
      </c>
      <c r="AD990" s="175">
        <v>5.3</v>
      </c>
      <c r="AE990" s="175">
        <v>0.38</v>
      </c>
      <c r="AF990" s="170">
        <f t="shared" si="17"/>
        <v>2.0139999999999998</v>
      </c>
      <c r="AG990" s="175">
        <v>1.59</v>
      </c>
      <c r="AH990" s="334"/>
      <c r="AI990" s="188"/>
      <c r="AJ990" s="188"/>
      <c r="AK990" s="188"/>
      <c r="AL990" s="189"/>
      <c r="AM990" s="189"/>
      <c r="AN990" s="189"/>
      <c r="AO990" s="189"/>
      <c r="AP990" s="189"/>
      <c r="AQ990" s="189"/>
      <c r="AR990" s="189"/>
      <c r="AS990" s="189"/>
      <c r="AT990" s="189"/>
      <c r="AU990" s="190"/>
      <c r="AV990" s="190"/>
      <c r="AW990" s="190"/>
      <c r="AX990" s="190"/>
      <c r="AY990" s="190"/>
      <c r="AZ990" s="189"/>
      <c r="BA990" s="189"/>
      <c r="BB990" s="189"/>
      <c r="BC990" s="189"/>
      <c r="BD990" s="189"/>
      <c r="BE990" s="189"/>
      <c r="BF990" s="189"/>
      <c r="BG990" s="189"/>
      <c r="BH990" s="189"/>
      <c r="BI990" s="190"/>
      <c r="BJ990" s="190"/>
      <c r="BK990" s="190"/>
      <c r="BL990" s="190"/>
      <c r="BM990" s="190"/>
      <c r="BN990" s="190"/>
      <c r="BO990" s="190"/>
      <c r="BP990" s="190"/>
      <c r="BQ990" s="190"/>
      <c r="BR990" s="190"/>
      <c r="BS990" s="190"/>
      <c r="BT990" s="190"/>
      <c r="BU990" s="190"/>
      <c r="BV990" s="190"/>
      <c r="BW990" s="190"/>
      <c r="BX990" s="190"/>
      <c r="BY990" s="190"/>
      <c r="BZ990" s="190"/>
      <c r="CA990" s="189"/>
      <c r="CB990" s="15"/>
    </row>
    <row r="991" spans="1:80" ht="15" x14ac:dyDescent="0.25">
      <c r="A991" s="167"/>
      <c r="B991" s="642"/>
      <c r="C991" s="642"/>
      <c r="D991" s="179"/>
      <c r="E991" s="169"/>
      <c r="F991" s="169"/>
      <c r="G991" s="187"/>
      <c r="H991" s="187"/>
      <c r="I991" s="187"/>
      <c r="J991" s="187"/>
      <c r="K991" s="187"/>
      <c r="L991" s="647"/>
      <c r="M991" s="646">
        <v>33431</v>
      </c>
      <c r="N991" s="585">
        <v>2.85</v>
      </c>
      <c r="O991" s="585">
        <v>7.5459999999999999E-2</v>
      </c>
      <c r="P991" s="175">
        <v>0</v>
      </c>
      <c r="Q991" s="175">
        <v>9.6299999999999997E-3</v>
      </c>
      <c r="R991" s="175">
        <v>4.8799999999999998E-3</v>
      </c>
      <c r="S991" s="175">
        <v>1.932E-2</v>
      </c>
      <c r="T991" s="175">
        <v>1.542E-2</v>
      </c>
      <c r="U991" s="175">
        <v>1.153E-2</v>
      </c>
      <c r="V991" s="706">
        <v>1.468E-2</v>
      </c>
      <c r="W991" s="717"/>
      <c r="X991" s="713"/>
      <c r="Y991" s="718"/>
      <c r="Z991" s="709">
        <v>47</v>
      </c>
      <c r="AA991" s="175"/>
      <c r="AB991" s="200"/>
      <c r="AC991" s="205">
        <v>4.9000000000000002E-2</v>
      </c>
      <c r="AD991" s="175">
        <v>5.3</v>
      </c>
      <c r="AE991" s="175">
        <v>0.34</v>
      </c>
      <c r="AF991" s="170">
        <f t="shared" si="17"/>
        <v>1.802</v>
      </c>
      <c r="AG991" s="175">
        <v>1.57</v>
      </c>
      <c r="AH991" s="334"/>
      <c r="AI991" s="188"/>
      <c r="AJ991" s="188"/>
      <c r="AK991" s="188"/>
      <c r="AL991" s="189"/>
      <c r="AM991" s="189"/>
      <c r="AN991" s="189"/>
      <c r="AO991" s="189"/>
      <c r="AP991" s="189"/>
      <c r="AQ991" s="189"/>
      <c r="AR991" s="189"/>
      <c r="AS991" s="189"/>
      <c r="AT991" s="189"/>
      <c r="AU991" s="190"/>
      <c r="AV991" s="190"/>
      <c r="AW991" s="190"/>
      <c r="AX991" s="190"/>
      <c r="AY991" s="190"/>
      <c r="AZ991" s="189"/>
      <c r="BA991" s="189"/>
      <c r="BB991" s="189"/>
      <c r="BC991" s="189"/>
      <c r="BD991" s="189"/>
      <c r="BE991" s="189"/>
      <c r="BF991" s="189"/>
      <c r="BG991" s="189"/>
      <c r="BH991" s="189"/>
      <c r="BI991" s="190"/>
      <c r="BJ991" s="190"/>
      <c r="BK991" s="190"/>
      <c r="BL991" s="190"/>
      <c r="BM991" s="190"/>
      <c r="BN991" s="190"/>
      <c r="BO991" s="190"/>
      <c r="BP991" s="190"/>
      <c r="BQ991" s="190"/>
      <c r="BR991" s="190"/>
      <c r="BS991" s="190"/>
      <c r="BT991" s="190"/>
      <c r="BU991" s="190"/>
      <c r="BV991" s="190"/>
      <c r="BW991" s="190"/>
      <c r="BX991" s="190"/>
      <c r="BY991" s="190"/>
      <c r="BZ991" s="190"/>
      <c r="CA991" s="189"/>
      <c r="CB991" s="15"/>
    </row>
    <row r="992" spans="1:80" ht="15" x14ac:dyDescent="0.25">
      <c r="A992" s="167"/>
      <c r="B992" s="642"/>
      <c r="C992" s="642"/>
      <c r="D992" s="179"/>
      <c r="E992" s="169"/>
      <c r="F992" s="169"/>
      <c r="G992" s="187"/>
      <c r="H992" s="187"/>
      <c r="I992" s="187"/>
      <c r="J992" s="187"/>
      <c r="K992" s="187"/>
      <c r="L992" s="647"/>
      <c r="M992" s="646">
        <v>33433</v>
      </c>
      <c r="N992" s="585">
        <v>2.94</v>
      </c>
      <c r="O992" s="585">
        <v>1.133E-2</v>
      </c>
      <c r="P992" s="175">
        <v>0</v>
      </c>
      <c r="Q992" s="175">
        <v>0</v>
      </c>
      <c r="R992" s="175">
        <v>1.75E-3</v>
      </c>
      <c r="S992" s="175">
        <v>3.9100000000000003E-3</v>
      </c>
      <c r="T992" s="175">
        <v>2.0899999999999998E-3</v>
      </c>
      <c r="U992" s="175">
        <v>1.0499999999999999E-3</v>
      </c>
      <c r="V992" s="706">
        <v>2.5300000000000001E-3</v>
      </c>
      <c r="W992" s="717"/>
      <c r="X992" s="713"/>
      <c r="Y992" s="718"/>
      <c r="Z992" s="709">
        <v>23</v>
      </c>
      <c r="AA992" s="175"/>
      <c r="AB992" s="200"/>
      <c r="AC992" s="205">
        <v>5.1999999999999998E-2</v>
      </c>
      <c r="AD992" s="175">
        <v>5.3</v>
      </c>
      <c r="AE992" s="175">
        <v>0.37</v>
      </c>
      <c r="AF992" s="170">
        <f t="shared" si="17"/>
        <v>1.9609999999999999</v>
      </c>
      <c r="AG992" s="175">
        <v>1.49</v>
      </c>
      <c r="AH992" s="334"/>
      <c r="AI992" s="188"/>
      <c r="AJ992" s="188"/>
      <c r="AK992" s="188"/>
      <c r="AL992" s="189"/>
      <c r="AM992" s="189"/>
      <c r="AN992" s="189"/>
      <c r="AO992" s="189"/>
      <c r="AP992" s="189"/>
      <c r="AQ992" s="189"/>
      <c r="AR992" s="189"/>
      <c r="AS992" s="189"/>
      <c r="AT992" s="189"/>
      <c r="AU992" s="190"/>
      <c r="AV992" s="190"/>
      <c r="AW992" s="190"/>
      <c r="AX992" s="190"/>
      <c r="AY992" s="190"/>
      <c r="AZ992" s="189"/>
      <c r="BA992" s="189"/>
      <c r="BB992" s="189"/>
      <c r="BC992" s="189"/>
      <c r="BD992" s="189"/>
      <c r="BE992" s="189"/>
      <c r="BF992" s="189"/>
      <c r="BG992" s="189"/>
      <c r="BH992" s="189"/>
      <c r="BI992" s="190"/>
      <c r="BJ992" s="190"/>
      <c r="BK992" s="190"/>
      <c r="BL992" s="190"/>
      <c r="BM992" s="190"/>
      <c r="BN992" s="190"/>
      <c r="BO992" s="190"/>
      <c r="BP992" s="190"/>
      <c r="BQ992" s="190"/>
      <c r="BR992" s="190"/>
      <c r="BS992" s="190"/>
      <c r="BT992" s="190"/>
      <c r="BU992" s="190"/>
      <c r="BV992" s="190"/>
      <c r="BW992" s="190"/>
      <c r="BX992" s="190"/>
      <c r="BY992" s="190"/>
      <c r="BZ992" s="190"/>
      <c r="CA992" s="189"/>
      <c r="CB992" s="15"/>
    </row>
    <row r="993" spans="1:80" ht="15" x14ac:dyDescent="0.25">
      <c r="A993" s="167"/>
      <c r="B993" s="642"/>
      <c r="C993" s="642"/>
      <c r="D993" s="179"/>
      <c r="E993" s="169"/>
      <c r="F993" s="169"/>
      <c r="G993" s="187"/>
      <c r="H993" s="187"/>
      <c r="I993" s="187"/>
      <c r="J993" s="187"/>
      <c r="K993" s="187"/>
      <c r="L993" s="647"/>
      <c r="M993" s="646">
        <v>33437</v>
      </c>
      <c r="N993" s="585">
        <v>2.39</v>
      </c>
      <c r="O993" s="585">
        <v>2.6800000000000001E-3</v>
      </c>
      <c r="P993" s="175">
        <v>0</v>
      </c>
      <c r="Q993" s="175">
        <v>0</v>
      </c>
      <c r="R993" s="175">
        <v>0</v>
      </c>
      <c r="S993" s="175">
        <v>2.0000000000000001E-4</v>
      </c>
      <c r="T993" s="175">
        <v>1.7000000000000001E-4</v>
      </c>
      <c r="U993" s="175">
        <v>5.1000000000000004E-4</v>
      </c>
      <c r="V993" s="706">
        <v>1.8E-3</v>
      </c>
      <c r="W993" s="717"/>
      <c r="X993" s="713"/>
      <c r="Y993" s="718"/>
      <c r="Z993" s="709">
        <v>13</v>
      </c>
      <c r="AA993" s="175"/>
      <c r="AB993" s="200"/>
      <c r="AC993" s="205">
        <v>5.2999999999999999E-2</v>
      </c>
      <c r="AD993" s="175">
        <v>5.3</v>
      </c>
      <c r="AE993" s="175">
        <v>0.35</v>
      </c>
      <c r="AF993" s="170">
        <f t="shared" si="17"/>
        <v>1.8549999999999998</v>
      </c>
      <c r="AG993" s="175">
        <v>1.28</v>
      </c>
      <c r="AH993" s="334"/>
      <c r="AI993" s="188"/>
      <c r="AJ993" s="188"/>
      <c r="AK993" s="188"/>
      <c r="AL993" s="189"/>
      <c r="AM993" s="189"/>
      <c r="AN993" s="189"/>
      <c r="AO993" s="189"/>
      <c r="AP993" s="189"/>
      <c r="AQ993" s="189"/>
      <c r="AR993" s="189"/>
      <c r="AS993" s="189"/>
      <c r="AT993" s="189"/>
      <c r="AU993" s="190"/>
      <c r="AV993" s="190"/>
      <c r="AW993" s="190"/>
      <c r="AX993" s="190"/>
      <c r="AY993" s="190"/>
      <c r="AZ993" s="189"/>
      <c r="BA993" s="189"/>
      <c r="BB993" s="189"/>
      <c r="BC993" s="189"/>
      <c r="BD993" s="189"/>
      <c r="BE993" s="189"/>
      <c r="BF993" s="189"/>
      <c r="BG993" s="189"/>
      <c r="BH993" s="189"/>
      <c r="BI993" s="190"/>
      <c r="BJ993" s="190"/>
      <c r="BK993" s="190"/>
      <c r="BL993" s="190"/>
      <c r="BM993" s="190"/>
      <c r="BN993" s="190"/>
      <c r="BO993" s="190"/>
      <c r="BP993" s="190"/>
      <c r="BQ993" s="190"/>
      <c r="BR993" s="190"/>
      <c r="BS993" s="190"/>
      <c r="BT993" s="190"/>
      <c r="BU993" s="190"/>
      <c r="BV993" s="190"/>
      <c r="BW993" s="190"/>
      <c r="BX993" s="190"/>
      <c r="BY993" s="190"/>
      <c r="BZ993" s="190"/>
      <c r="CA993" s="189"/>
      <c r="CB993" s="15"/>
    </row>
    <row r="994" spans="1:80" ht="15" x14ac:dyDescent="0.25">
      <c r="A994" s="167"/>
      <c r="B994" s="642"/>
      <c r="C994" s="642"/>
      <c r="D994" s="179"/>
      <c r="E994" s="169"/>
      <c r="F994" s="169"/>
      <c r="G994" s="187"/>
      <c r="H994" s="187"/>
      <c r="I994" s="187"/>
      <c r="J994" s="187"/>
      <c r="K994" s="187"/>
      <c r="L994" s="647"/>
      <c r="M994" s="646">
        <v>33439</v>
      </c>
      <c r="N994" s="585">
        <v>1.93</v>
      </c>
      <c r="O994" s="585">
        <v>1.0499999999999999E-3</v>
      </c>
      <c r="P994" s="175">
        <v>0</v>
      </c>
      <c r="Q994" s="175">
        <v>0</v>
      </c>
      <c r="R994" s="175">
        <v>0</v>
      </c>
      <c r="S994" s="175">
        <v>1.3999999999999999E-4</v>
      </c>
      <c r="T994" s="175">
        <v>3.3E-4</v>
      </c>
      <c r="U994" s="175">
        <v>1.3999999999999999E-4</v>
      </c>
      <c r="V994" s="706">
        <v>4.2999999999999999E-4</v>
      </c>
      <c r="W994" s="717"/>
      <c r="X994" s="713"/>
      <c r="Y994" s="718"/>
      <c r="Z994" s="709">
        <v>12</v>
      </c>
      <c r="AA994" s="175"/>
      <c r="AB994" s="200"/>
      <c r="AC994" s="205">
        <v>5.2999999999999999E-2</v>
      </c>
      <c r="AD994" s="175">
        <v>5.2</v>
      </c>
      <c r="AE994" s="175">
        <v>0.31</v>
      </c>
      <c r="AF994" s="170">
        <f t="shared" si="17"/>
        <v>1.6120000000000001</v>
      </c>
      <c r="AG994" s="175">
        <v>1.19</v>
      </c>
      <c r="AH994" s="334"/>
      <c r="AI994" s="188"/>
      <c r="AJ994" s="188"/>
      <c r="AK994" s="188"/>
      <c r="AL994" s="189"/>
      <c r="AM994" s="189"/>
      <c r="AN994" s="189"/>
      <c r="AO994" s="189"/>
      <c r="AP994" s="189"/>
      <c r="AQ994" s="189"/>
      <c r="AR994" s="189"/>
      <c r="AS994" s="189"/>
      <c r="AT994" s="189"/>
      <c r="AU994" s="190"/>
      <c r="AV994" s="190"/>
      <c r="AW994" s="190"/>
      <c r="AX994" s="190"/>
      <c r="AY994" s="190"/>
      <c r="AZ994" s="189"/>
      <c r="BA994" s="189"/>
      <c r="BB994" s="189"/>
      <c r="BC994" s="189"/>
      <c r="BD994" s="189"/>
      <c r="BE994" s="189"/>
      <c r="BF994" s="189"/>
      <c r="BG994" s="189"/>
      <c r="BH994" s="189"/>
      <c r="BI994" s="190"/>
      <c r="BJ994" s="190"/>
      <c r="BK994" s="190"/>
      <c r="BL994" s="190"/>
      <c r="BM994" s="190"/>
      <c r="BN994" s="190"/>
      <c r="BO994" s="190"/>
      <c r="BP994" s="190"/>
      <c r="BQ994" s="190"/>
      <c r="BR994" s="190"/>
      <c r="BS994" s="190"/>
      <c r="BT994" s="190"/>
      <c r="BU994" s="190"/>
      <c r="BV994" s="190"/>
      <c r="BW994" s="190"/>
      <c r="BX994" s="190"/>
      <c r="BY994" s="190"/>
      <c r="BZ994" s="190"/>
      <c r="CA994" s="189"/>
      <c r="CB994" s="15"/>
    </row>
    <row r="995" spans="1:80" ht="15" x14ac:dyDescent="0.25">
      <c r="A995" s="167"/>
      <c r="B995" s="642"/>
      <c r="C995" s="642"/>
      <c r="D995" s="179"/>
      <c r="E995" s="169"/>
      <c r="F995" s="169"/>
      <c r="G995" s="187"/>
      <c r="H995" s="187"/>
      <c r="I995" s="187"/>
      <c r="J995" s="187"/>
      <c r="K995" s="187"/>
      <c r="L995" s="647"/>
      <c r="M995" s="646">
        <v>33443</v>
      </c>
      <c r="N995" s="585">
        <v>1.37</v>
      </c>
      <c r="O995" s="585">
        <v>5.9000000000000003E-4</v>
      </c>
      <c r="P995" s="175">
        <v>0</v>
      </c>
      <c r="Q995" s="175">
        <v>0</v>
      </c>
      <c r="R995" s="175">
        <v>0</v>
      </c>
      <c r="S995" s="175">
        <v>0</v>
      </c>
      <c r="T995" s="175">
        <v>4.0000000000000003E-5</v>
      </c>
      <c r="U995" s="175">
        <v>1.2E-4</v>
      </c>
      <c r="V995" s="706">
        <v>4.2999999999999999E-4</v>
      </c>
      <c r="W995" s="717"/>
      <c r="X995" s="713"/>
      <c r="Y995" s="718"/>
      <c r="Z995" s="709">
        <v>5</v>
      </c>
      <c r="AA995" s="175"/>
      <c r="AB995" s="200"/>
      <c r="AC995" s="205">
        <v>5.6000000000000001E-2</v>
      </c>
      <c r="AD995" s="175">
        <v>5.3</v>
      </c>
      <c r="AE995" s="175">
        <v>0.25</v>
      </c>
      <c r="AF995" s="170">
        <f t="shared" si="17"/>
        <v>1.325</v>
      </c>
      <c r="AG995" s="175">
        <v>1.04</v>
      </c>
      <c r="AH995" s="334"/>
      <c r="AI995" s="188"/>
      <c r="AJ995" s="188"/>
      <c r="AK995" s="188"/>
      <c r="AL995" s="189"/>
      <c r="AM995" s="189"/>
      <c r="AN995" s="189"/>
      <c r="AO995" s="189"/>
      <c r="AP995" s="189"/>
      <c r="AQ995" s="189"/>
      <c r="AR995" s="189"/>
      <c r="AS995" s="189"/>
      <c r="AT995" s="189"/>
      <c r="AU995" s="190"/>
      <c r="AV995" s="190"/>
      <c r="AW995" s="190"/>
      <c r="AX995" s="190"/>
      <c r="AY995" s="190"/>
      <c r="AZ995" s="189"/>
      <c r="BA995" s="189"/>
      <c r="BB995" s="189"/>
      <c r="BC995" s="189"/>
      <c r="BD995" s="189"/>
      <c r="BE995" s="189"/>
      <c r="BF995" s="189"/>
      <c r="BG995" s="189"/>
      <c r="BH995" s="189"/>
      <c r="BI995" s="190"/>
      <c r="BJ995" s="190"/>
      <c r="BK995" s="190"/>
      <c r="BL995" s="190"/>
      <c r="BM995" s="190"/>
      <c r="BN995" s="190"/>
      <c r="BO995" s="190"/>
      <c r="BP995" s="190"/>
      <c r="BQ995" s="190"/>
      <c r="BR995" s="190"/>
      <c r="BS995" s="190"/>
      <c r="BT995" s="190"/>
      <c r="BU995" s="190"/>
      <c r="BV995" s="190"/>
      <c r="BW995" s="190"/>
      <c r="BX995" s="190"/>
      <c r="BY995" s="190"/>
      <c r="BZ995" s="190"/>
      <c r="CA995" s="189"/>
      <c r="CB995" s="15"/>
    </row>
    <row r="996" spans="1:80" ht="15" x14ac:dyDescent="0.25">
      <c r="A996" s="167"/>
      <c r="B996" s="642"/>
      <c r="C996" s="642"/>
      <c r="D996" s="179"/>
      <c r="E996" s="169"/>
      <c r="F996" s="169"/>
      <c r="G996" s="187"/>
      <c r="H996" s="187"/>
      <c r="I996" s="187"/>
      <c r="J996" s="187"/>
      <c r="K996" s="187"/>
      <c r="L996" s="647"/>
      <c r="M996" s="646">
        <v>33445</v>
      </c>
      <c r="N996" s="585">
        <v>1.38</v>
      </c>
      <c r="O996" s="585">
        <v>3.4000000000000002E-4</v>
      </c>
      <c r="P996" s="175">
        <v>0</v>
      </c>
      <c r="Q996" s="175">
        <v>0</v>
      </c>
      <c r="R996" s="175">
        <v>0</v>
      </c>
      <c r="S996" s="175">
        <v>0</v>
      </c>
      <c r="T996" s="175">
        <v>1.0000000000000001E-5</v>
      </c>
      <c r="U996" s="175">
        <v>5.0000000000000002E-5</v>
      </c>
      <c r="V996" s="706">
        <v>2.7999999999999998E-4</v>
      </c>
      <c r="W996" s="717"/>
      <c r="X996" s="713"/>
      <c r="Y996" s="718"/>
      <c r="Z996" s="709">
        <v>5</v>
      </c>
      <c r="AA996" s="175"/>
      <c r="AB996" s="200"/>
      <c r="AC996" s="205">
        <v>5.0999999999999997E-2</v>
      </c>
      <c r="AD996" s="175">
        <v>5.3</v>
      </c>
      <c r="AE996" s="175">
        <v>0.26</v>
      </c>
      <c r="AF996" s="170">
        <f t="shared" si="17"/>
        <v>1.3779999999999999</v>
      </c>
      <c r="AG996" s="175">
        <v>0.99</v>
      </c>
      <c r="AH996" s="334"/>
      <c r="AI996" s="188"/>
      <c r="AJ996" s="188"/>
      <c r="AK996" s="188"/>
      <c r="AL996" s="189"/>
      <c r="AM996" s="189"/>
      <c r="AN996" s="189"/>
      <c r="AO996" s="189"/>
      <c r="AP996" s="189"/>
      <c r="AQ996" s="189"/>
      <c r="AR996" s="189"/>
      <c r="AS996" s="189"/>
      <c r="AT996" s="189"/>
      <c r="AU996" s="190"/>
      <c r="AV996" s="190"/>
      <c r="AW996" s="190"/>
      <c r="AX996" s="190"/>
      <c r="AY996" s="190"/>
      <c r="AZ996" s="189"/>
      <c r="BA996" s="189"/>
      <c r="BB996" s="189"/>
      <c r="BC996" s="189"/>
      <c r="BD996" s="189"/>
      <c r="BE996" s="189"/>
      <c r="BF996" s="189"/>
      <c r="BG996" s="189"/>
      <c r="BH996" s="189"/>
      <c r="BI996" s="190"/>
      <c r="BJ996" s="190"/>
      <c r="BK996" s="190"/>
      <c r="BL996" s="190"/>
      <c r="BM996" s="190"/>
      <c r="BN996" s="190"/>
      <c r="BO996" s="190"/>
      <c r="BP996" s="190"/>
      <c r="BQ996" s="190"/>
      <c r="BR996" s="190"/>
      <c r="BS996" s="190"/>
      <c r="BT996" s="190"/>
      <c r="BU996" s="190"/>
      <c r="BV996" s="190"/>
      <c r="BW996" s="190"/>
      <c r="BX996" s="190"/>
      <c r="BY996" s="190"/>
      <c r="BZ996" s="190"/>
      <c r="CA996" s="189"/>
      <c r="CB996" s="15"/>
    </row>
    <row r="997" spans="1:80" ht="15" x14ac:dyDescent="0.25">
      <c r="A997" s="167"/>
      <c r="B997" s="642"/>
      <c r="C997" s="642"/>
      <c r="D997" s="179"/>
      <c r="E997" s="169"/>
      <c r="F997" s="169"/>
      <c r="G997" s="187"/>
      <c r="H997" s="187"/>
      <c r="I997" s="187"/>
      <c r="J997" s="187"/>
      <c r="K997" s="187"/>
      <c r="L997" s="647"/>
      <c r="M997" s="646">
        <v>33449</v>
      </c>
      <c r="N997" s="585">
        <v>1.1299999999999999</v>
      </c>
      <c r="O997" s="585">
        <v>1.7000000000000001E-4</v>
      </c>
      <c r="P997" s="175">
        <v>0</v>
      </c>
      <c r="Q997" s="175">
        <v>0</v>
      </c>
      <c r="R997" s="175">
        <v>0</v>
      </c>
      <c r="S997" s="175">
        <v>0</v>
      </c>
      <c r="T997" s="175">
        <v>1.0000000000000001E-5</v>
      </c>
      <c r="U997" s="175">
        <v>3.0000000000000001E-5</v>
      </c>
      <c r="V997" s="706">
        <v>1.2999999999999999E-4</v>
      </c>
      <c r="W997" s="717"/>
      <c r="X997" s="713"/>
      <c r="Y997" s="718"/>
      <c r="Z997" s="709">
        <v>6</v>
      </c>
      <c r="AA997" s="175"/>
      <c r="AB997" s="200"/>
      <c r="AC997" s="205">
        <v>4.8000000000000001E-2</v>
      </c>
      <c r="AD997" s="175">
        <v>5.3</v>
      </c>
      <c r="AE997" s="175">
        <v>0.26</v>
      </c>
      <c r="AF997" s="170">
        <f t="shared" si="17"/>
        <v>1.3779999999999999</v>
      </c>
      <c r="AG997" s="175">
        <v>0.81</v>
      </c>
      <c r="AH997" s="334"/>
      <c r="AI997" s="188"/>
      <c r="AJ997" s="188"/>
      <c r="AK997" s="188"/>
      <c r="AL997" s="189"/>
      <c r="AM997" s="189"/>
      <c r="AN997" s="189"/>
      <c r="AO997" s="189"/>
      <c r="AP997" s="189"/>
      <c r="AQ997" s="189"/>
      <c r="AR997" s="189"/>
      <c r="AS997" s="189"/>
      <c r="AT997" s="189"/>
      <c r="AU997" s="190"/>
      <c r="AV997" s="190"/>
      <c r="AW997" s="190"/>
      <c r="AX997" s="190"/>
      <c r="AY997" s="190"/>
      <c r="AZ997" s="189"/>
      <c r="BA997" s="189"/>
      <c r="BB997" s="189"/>
      <c r="BC997" s="189"/>
      <c r="BD997" s="189"/>
      <c r="BE997" s="189"/>
      <c r="BF997" s="189"/>
      <c r="BG997" s="189"/>
      <c r="BH997" s="189"/>
      <c r="BI997" s="190"/>
      <c r="BJ997" s="190"/>
      <c r="BK997" s="190"/>
      <c r="BL997" s="190"/>
      <c r="BM997" s="190"/>
      <c r="BN997" s="190"/>
      <c r="BO997" s="190"/>
      <c r="BP997" s="190"/>
      <c r="BQ997" s="190"/>
      <c r="BR997" s="190"/>
      <c r="BS997" s="190"/>
      <c r="BT997" s="190"/>
      <c r="BU997" s="190"/>
      <c r="BV997" s="190"/>
      <c r="BW997" s="190"/>
      <c r="BX997" s="190"/>
      <c r="BY997" s="190"/>
      <c r="BZ997" s="190"/>
      <c r="CA997" s="189"/>
      <c r="CB997" s="15"/>
    </row>
    <row r="998" spans="1:80" ht="15" x14ac:dyDescent="0.25">
      <c r="A998" s="167"/>
      <c r="B998" s="642"/>
      <c r="C998" s="642"/>
      <c r="D998" s="179"/>
      <c r="E998" s="169"/>
      <c r="F998" s="169"/>
      <c r="G998" s="187"/>
      <c r="H998" s="187"/>
      <c r="I998" s="187"/>
      <c r="J998" s="187"/>
      <c r="K998" s="187"/>
      <c r="L998" s="647"/>
      <c r="M998" s="646">
        <v>33451</v>
      </c>
      <c r="N998" s="585">
        <v>0.95</v>
      </c>
      <c r="O998" s="585">
        <v>3.4399999999999999E-3</v>
      </c>
      <c r="P998" s="175">
        <v>0</v>
      </c>
      <c r="Q998" s="175">
        <v>0</v>
      </c>
      <c r="R998" s="175">
        <v>0</v>
      </c>
      <c r="S998" s="175">
        <v>4.2999999999999999E-4</v>
      </c>
      <c r="T998" s="175">
        <v>8.1999999999999998E-4</v>
      </c>
      <c r="U998" s="175">
        <v>8.0000000000000004E-4</v>
      </c>
      <c r="V998" s="706">
        <v>1.3799999999999999E-3</v>
      </c>
      <c r="W998" s="717"/>
      <c r="X998" s="713"/>
      <c r="Y998" s="718"/>
      <c r="Z998" s="709">
        <v>13</v>
      </c>
      <c r="AA998" s="175"/>
      <c r="AB998" s="200"/>
      <c r="AC998" s="205">
        <v>4.9000000000000002E-2</v>
      </c>
      <c r="AD998" s="175">
        <v>5.3</v>
      </c>
      <c r="AE998" s="175">
        <v>0.23</v>
      </c>
      <c r="AF998" s="170">
        <f t="shared" si="17"/>
        <v>1.2190000000000001</v>
      </c>
      <c r="AG998" s="175">
        <v>0.77</v>
      </c>
      <c r="AH998" s="334"/>
      <c r="AI998" s="188"/>
      <c r="AJ998" s="188"/>
      <c r="AK998" s="188"/>
      <c r="AL998" s="189"/>
      <c r="AM998" s="189"/>
      <c r="AN998" s="189"/>
      <c r="AO998" s="189"/>
      <c r="AP998" s="189"/>
      <c r="AQ998" s="189"/>
      <c r="AR998" s="189"/>
      <c r="AS998" s="189"/>
      <c r="AT998" s="189"/>
      <c r="AU998" s="190"/>
      <c r="AV998" s="190"/>
      <c r="AW998" s="190"/>
      <c r="AX998" s="190"/>
      <c r="AY998" s="190"/>
      <c r="AZ998" s="189"/>
      <c r="BA998" s="189"/>
      <c r="BB998" s="189"/>
      <c r="BC998" s="189"/>
      <c r="BD998" s="189"/>
      <c r="BE998" s="189"/>
      <c r="BF998" s="189"/>
      <c r="BG998" s="189"/>
      <c r="BH998" s="189"/>
      <c r="BI998" s="190"/>
      <c r="BJ998" s="190"/>
      <c r="BK998" s="190"/>
      <c r="BL998" s="190"/>
      <c r="BM998" s="190"/>
      <c r="BN998" s="190"/>
      <c r="BO998" s="190"/>
      <c r="BP998" s="190"/>
      <c r="BQ998" s="190"/>
      <c r="BR998" s="190"/>
      <c r="BS998" s="190"/>
      <c r="BT998" s="190"/>
      <c r="BU998" s="190"/>
      <c r="BV998" s="190"/>
      <c r="BW998" s="190"/>
      <c r="BX998" s="190"/>
      <c r="BY998" s="190"/>
      <c r="BZ998" s="190"/>
      <c r="CA998" s="189"/>
      <c r="CB998" s="15"/>
    </row>
    <row r="999" spans="1:80" ht="15" x14ac:dyDescent="0.25">
      <c r="A999" s="167"/>
      <c r="B999" s="642"/>
      <c r="C999" s="642"/>
      <c r="D999" s="179"/>
      <c r="E999" s="169"/>
      <c r="F999" s="169"/>
      <c r="G999" s="187"/>
      <c r="H999" s="187"/>
      <c r="I999" s="187"/>
      <c r="J999" s="187"/>
      <c r="K999" s="187"/>
      <c r="L999" s="647"/>
      <c r="M999" s="646">
        <v>33758</v>
      </c>
      <c r="N999" s="585">
        <v>1.3</v>
      </c>
      <c r="O999" s="585">
        <v>1.5200000000000001E-3</v>
      </c>
      <c r="P999" s="175">
        <v>0</v>
      </c>
      <c r="Q999" s="175">
        <v>0</v>
      </c>
      <c r="R999" s="175">
        <v>0</v>
      </c>
      <c r="S999" s="175">
        <v>2.5999999999999998E-4</v>
      </c>
      <c r="T999" s="175">
        <v>1.2999999999999999E-4</v>
      </c>
      <c r="U999" s="175">
        <v>2.2000000000000001E-4</v>
      </c>
      <c r="V999" s="706">
        <v>9.1E-4</v>
      </c>
      <c r="W999" s="717"/>
      <c r="X999" s="713"/>
      <c r="Y999" s="718"/>
      <c r="Z999" s="709">
        <v>5</v>
      </c>
      <c r="AA999" s="175"/>
      <c r="AB999" s="200"/>
      <c r="AC999" s="205">
        <v>0</v>
      </c>
      <c r="AD999" s="175">
        <v>5.4</v>
      </c>
      <c r="AE999" s="175">
        <v>0.32</v>
      </c>
      <c r="AF999" s="170">
        <f t="shared" si="17"/>
        <v>1.7280000000000002</v>
      </c>
      <c r="AG999" s="175">
        <v>0.87</v>
      </c>
      <c r="AH999" s="334"/>
      <c r="AI999" s="188"/>
      <c r="AJ999" s="188"/>
      <c r="AK999" s="188"/>
      <c r="AL999" s="189"/>
      <c r="AM999" s="189"/>
      <c r="AN999" s="189"/>
      <c r="AO999" s="189"/>
      <c r="AP999" s="189"/>
      <c r="AQ999" s="189"/>
      <c r="AR999" s="189"/>
      <c r="AS999" s="189"/>
      <c r="AT999" s="189"/>
      <c r="AU999" s="190"/>
      <c r="AV999" s="190"/>
      <c r="AW999" s="190"/>
      <c r="AX999" s="190"/>
      <c r="AY999" s="190"/>
      <c r="AZ999" s="189"/>
      <c r="BA999" s="189"/>
      <c r="BB999" s="189"/>
      <c r="BC999" s="189"/>
      <c r="BD999" s="189"/>
      <c r="BE999" s="189"/>
      <c r="BF999" s="189"/>
      <c r="BG999" s="189"/>
      <c r="BH999" s="189"/>
      <c r="BI999" s="190"/>
      <c r="BJ999" s="190"/>
      <c r="BK999" s="190"/>
      <c r="BL999" s="190"/>
      <c r="BM999" s="190"/>
      <c r="BN999" s="190"/>
      <c r="BO999" s="190"/>
      <c r="BP999" s="190"/>
      <c r="BQ999" s="190"/>
      <c r="BR999" s="190"/>
      <c r="BS999" s="190"/>
      <c r="BT999" s="190"/>
      <c r="BU999" s="190"/>
      <c r="BV999" s="190"/>
      <c r="BW999" s="190"/>
      <c r="BX999" s="190"/>
      <c r="BY999" s="190"/>
      <c r="BZ999" s="190"/>
      <c r="CA999" s="189"/>
      <c r="CB999" s="15"/>
    </row>
    <row r="1000" spans="1:80" ht="15" x14ac:dyDescent="0.25">
      <c r="A1000" s="167"/>
      <c r="B1000" s="642"/>
      <c r="C1000" s="642"/>
      <c r="D1000" s="179"/>
      <c r="E1000" s="169"/>
      <c r="F1000" s="169"/>
      <c r="G1000" s="187"/>
      <c r="H1000" s="187"/>
      <c r="I1000" s="187"/>
      <c r="J1000" s="187"/>
      <c r="K1000" s="187"/>
      <c r="L1000" s="647"/>
      <c r="M1000" s="646">
        <v>33763</v>
      </c>
      <c r="N1000" s="585">
        <v>2.17</v>
      </c>
      <c r="O1000" s="585">
        <v>6.2199999999999998E-3</v>
      </c>
      <c r="P1000" s="175">
        <v>0</v>
      </c>
      <c r="Q1000" s="175">
        <v>0</v>
      </c>
      <c r="R1000" s="175">
        <v>0</v>
      </c>
      <c r="S1000" s="175">
        <v>9.1E-4</v>
      </c>
      <c r="T1000" s="175">
        <v>9.1E-4</v>
      </c>
      <c r="U1000" s="175">
        <v>9.8999999999999999E-4</v>
      </c>
      <c r="V1000" s="706">
        <v>3.4199999999999999E-3</v>
      </c>
      <c r="W1000" s="717"/>
      <c r="X1000" s="713"/>
      <c r="Y1000" s="718"/>
      <c r="Z1000" s="709">
        <v>18</v>
      </c>
      <c r="AA1000" s="175"/>
      <c r="AB1000" s="200"/>
      <c r="AC1000" s="205">
        <v>0</v>
      </c>
      <c r="AD1000" s="175">
        <v>5.36</v>
      </c>
      <c r="AE1000" s="175">
        <v>0.35</v>
      </c>
      <c r="AF1000" s="170">
        <f t="shared" si="17"/>
        <v>1.8759999999999999</v>
      </c>
      <c r="AG1000" s="175">
        <v>1.24</v>
      </c>
      <c r="AH1000" s="334"/>
      <c r="AI1000" s="188"/>
      <c r="AJ1000" s="188"/>
      <c r="AK1000" s="188"/>
      <c r="AL1000" s="189"/>
      <c r="AM1000" s="189"/>
      <c r="AN1000" s="189"/>
      <c r="AO1000" s="189"/>
      <c r="AP1000" s="189"/>
      <c r="AQ1000" s="189"/>
      <c r="AR1000" s="189"/>
      <c r="AS1000" s="189"/>
      <c r="AT1000" s="189"/>
      <c r="AU1000" s="190"/>
      <c r="AV1000" s="190"/>
      <c r="AW1000" s="190"/>
      <c r="AX1000" s="190"/>
      <c r="AY1000" s="190"/>
      <c r="AZ1000" s="189"/>
      <c r="BA1000" s="189"/>
      <c r="BB1000" s="189"/>
      <c r="BC1000" s="189"/>
      <c r="BD1000" s="189"/>
      <c r="BE1000" s="189"/>
      <c r="BF1000" s="189"/>
      <c r="BG1000" s="189"/>
      <c r="BH1000" s="189"/>
      <c r="BI1000" s="190"/>
      <c r="BJ1000" s="190"/>
      <c r="BK1000" s="190"/>
      <c r="BL1000" s="190"/>
      <c r="BM1000" s="190"/>
      <c r="BN1000" s="190"/>
      <c r="BO1000" s="190"/>
      <c r="BP1000" s="190"/>
      <c r="BQ1000" s="190"/>
      <c r="BR1000" s="190"/>
      <c r="BS1000" s="190"/>
      <c r="BT1000" s="190"/>
      <c r="BU1000" s="190"/>
      <c r="BV1000" s="190"/>
      <c r="BW1000" s="190"/>
      <c r="BX1000" s="190"/>
      <c r="BY1000" s="190"/>
      <c r="BZ1000" s="190"/>
      <c r="CA1000" s="189"/>
      <c r="CB1000" s="15"/>
    </row>
    <row r="1001" spans="1:80" ht="15" x14ac:dyDescent="0.25">
      <c r="A1001" s="167"/>
      <c r="B1001" s="642"/>
      <c r="C1001" s="642"/>
      <c r="D1001" s="179"/>
      <c r="E1001" s="169"/>
      <c r="F1001" s="169"/>
      <c r="G1001" s="187"/>
      <c r="H1001" s="187"/>
      <c r="I1001" s="187"/>
      <c r="J1001" s="187"/>
      <c r="K1001" s="187"/>
      <c r="L1001" s="647"/>
      <c r="M1001" s="646">
        <v>33767</v>
      </c>
      <c r="N1001" s="585">
        <v>3.3</v>
      </c>
      <c r="O1001" s="585">
        <v>6.0350000000000001E-2</v>
      </c>
      <c r="P1001" s="175">
        <v>0</v>
      </c>
      <c r="Q1001" s="175">
        <v>0</v>
      </c>
      <c r="R1001" s="175">
        <v>5.1799999999999997E-3</v>
      </c>
      <c r="S1001" s="175">
        <v>1.14E-2</v>
      </c>
      <c r="T1001" s="175">
        <v>1.163E-2</v>
      </c>
      <c r="U1001" s="175">
        <v>1.119E-2</v>
      </c>
      <c r="V1001" s="706">
        <v>2.095E-2</v>
      </c>
      <c r="W1001" s="717"/>
      <c r="X1001" s="713"/>
      <c r="Y1001" s="718"/>
      <c r="Z1001" s="709">
        <v>25</v>
      </c>
      <c r="AA1001" s="175"/>
      <c r="AB1001" s="200"/>
      <c r="AC1001" s="205">
        <v>0</v>
      </c>
      <c r="AD1001" s="175">
        <v>5.37</v>
      </c>
      <c r="AE1001" s="175">
        <v>0.41</v>
      </c>
      <c r="AF1001" s="170">
        <f t="shared" ref="AF1001:AF1028" si="18">AE1001*AD1001</f>
        <v>2.2016999999999998</v>
      </c>
      <c r="AG1001" s="175">
        <v>1.59</v>
      </c>
      <c r="AH1001" s="334"/>
      <c r="AI1001" s="188"/>
      <c r="AJ1001" s="188"/>
      <c r="AK1001" s="188"/>
      <c r="AL1001" s="189"/>
      <c r="AM1001" s="189"/>
      <c r="AN1001" s="189"/>
      <c r="AO1001" s="189"/>
      <c r="AP1001" s="189"/>
      <c r="AQ1001" s="189"/>
      <c r="AR1001" s="189"/>
      <c r="AS1001" s="189"/>
      <c r="AT1001" s="189"/>
      <c r="AU1001" s="190"/>
      <c r="AV1001" s="190"/>
      <c r="AW1001" s="190"/>
      <c r="AX1001" s="190"/>
      <c r="AY1001" s="190"/>
      <c r="AZ1001" s="189"/>
      <c r="BA1001" s="189"/>
      <c r="BB1001" s="189"/>
      <c r="BC1001" s="189"/>
      <c r="BD1001" s="189"/>
      <c r="BE1001" s="189"/>
      <c r="BF1001" s="189"/>
      <c r="BG1001" s="189"/>
      <c r="BH1001" s="189"/>
      <c r="BI1001" s="190"/>
      <c r="BJ1001" s="190"/>
      <c r="BK1001" s="190"/>
      <c r="BL1001" s="190"/>
      <c r="BM1001" s="190"/>
      <c r="BN1001" s="190"/>
      <c r="BO1001" s="190"/>
      <c r="BP1001" s="190"/>
      <c r="BQ1001" s="190"/>
      <c r="BR1001" s="190"/>
      <c r="BS1001" s="190"/>
      <c r="BT1001" s="190"/>
      <c r="BU1001" s="190"/>
      <c r="BV1001" s="190"/>
      <c r="BW1001" s="190"/>
      <c r="BX1001" s="190"/>
      <c r="BY1001" s="190"/>
      <c r="BZ1001" s="190"/>
      <c r="CA1001" s="189"/>
      <c r="CB1001" s="15"/>
    </row>
    <row r="1002" spans="1:80" ht="15" x14ac:dyDescent="0.25">
      <c r="A1002" s="167"/>
      <c r="B1002" s="642"/>
      <c r="C1002" s="642"/>
      <c r="D1002" s="179"/>
      <c r="E1002" s="169"/>
      <c r="F1002" s="169"/>
      <c r="G1002" s="187"/>
      <c r="H1002" s="187"/>
      <c r="I1002" s="187"/>
      <c r="J1002" s="187"/>
      <c r="K1002" s="187"/>
      <c r="L1002" s="647"/>
      <c r="M1002" s="646">
        <v>33772</v>
      </c>
      <c r="N1002" s="585">
        <v>3.17</v>
      </c>
      <c r="O1002" s="585">
        <v>3.2899999999999999E-2</v>
      </c>
      <c r="P1002" s="175">
        <v>0</v>
      </c>
      <c r="Q1002" s="175">
        <v>0</v>
      </c>
      <c r="R1002" s="175">
        <v>4.9199999999999999E-3</v>
      </c>
      <c r="S1002" s="175">
        <v>5.79E-3</v>
      </c>
      <c r="T1002" s="175">
        <v>5.0099999999999997E-3</v>
      </c>
      <c r="U1002" s="175">
        <v>4.79E-3</v>
      </c>
      <c r="V1002" s="706">
        <v>1.238E-2</v>
      </c>
      <c r="W1002" s="717"/>
      <c r="X1002" s="713"/>
      <c r="Y1002" s="718"/>
      <c r="Z1002" s="709">
        <v>40</v>
      </c>
      <c r="AA1002" s="175"/>
      <c r="AB1002" s="200"/>
      <c r="AC1002" s="205">
        <v>0</v>
      </c>
      <c r="AD1002" s="175">
        <v>5.38</v>
      </c>
      <c r="AE1002" s="175">
        <v>0.41</v>
      </c>
      <c r="AF1002" s="170">
        <f t="shared" si="18"/>
        <v>2.2058</v>
      </c>
      <c r="AG1002" s="175">
        <v>1.34</v>
      </c>
      <c r="AH1002" s="334"/>
      <c r="AI1002" s="188"/>
      <c r="AJ1002" s="188"/>
      <c r="AK1002" s="188"/>
      <c r="AL1002" s="189"/>
      <c r="AM1002" s="189"/>
      <c r="AN1002" s="189"/>
      <c r="AO1002" s="189"/>
      <c r="AP1002" s="189"/>
      <c r="AQ1002" s="189"/>
      <c r="AR1002" s="189"/>
      <c r="AS1002" s="189"/>
      <c r="AT1002" s="189"/>
      <c r="AU1002" s="190"/>
      <c r="AV1002" s="190"/>
      <c r="AW1002" s="190"/>
      <c r="AX1002" s="190"/>
      <c r="AY1002" s="190"/>
      <c r="AZ1002" s="189"/>
      <c r="BA1002" s="189"/>
      <c r="BB1002" s="189"/>
      <c r="BC1002" s="189"/>
      <c r="BD1002" s="189"/>
      <c r="BE1002" s="189"/>
      <c r="BF1002" s="189"/>
      <c r="BG1002" s="189"/>
      <c r="BH1002" s="189"/>
      <c r="BI1002" s="190"/>
      <c r="BJ1002" s="190"/>
      <c r="BK1002" s="190"/>
      <c r="BL1002" s="190"/>
      <c r="BM1002" s="190"/>
      <c r="BN1002" s="190"/>
      <c r="BO1002" s="190"/>
      <c r="BP1002" s="190"/>
      <c r="BQ1002" s="190"/>
      <c r="BR1002" s="190"/>
      <c r="BS1002" s="190"/>
      <c r="BT1002" s="190"/>
      <c r="BU1002" s="190"/>
      <c r="BV1002" s="190"/>
      <c r="BW1002" s="190"/>
      <c r="BX1002" s="190"/>
      <c r="BY1002" s="190"/>
      <c r="BZ1002" s="190"/>
      <c r="CA1002" s="189"/>
      <c r="CB1002" s="15"/>
    </row>
    <row r="1003" spans="1:80" ht="15" x14ac:dyDescent="0.25">
      <c r="A1003" s="167"/>
      <c r="B1003" s="642"/>
      <c r="C1003" s="642"/>
      <c r="D1003" s="179"/>
      <c r="E1003" s="169"/>
      <c r="F1003" s="169"/>
      <c r="G1003" s="187"/>
      <c r="H1003" s="187"/>
      <c r="I1003" s="187"/>
      <c r="J1003" s="187"/>
      <c r="K1003" s="187"/>
      <c r="L1003" s="647"/>
      <c r="M1003" s="646">
        <v>33774</v>
      </c>
      <c r="N1003" s="585">
        <v>3.35</v>
      </c>
      <c r="O1003" s="585">
        <v>2.6720000000000001E-2</v>
      </c>
      <c r="P1003" s="175">
        <v>0</v>
      </c>
      <c r="Q1003" s="175">
        <v>0</v>
      </c>
      <c r="R1003" s="175">
        <v>2.4599999999999999E-3</v>
      </c>
      <c r="S1003" s="175">
        <v>4.0000000000000001E-3</v>
      </c>
      <c r="T1003" s="175">
        <v>3.4099999999999998E-3</v>
      </c>
      <c r="U1003" s="175">
        <v>4.0899999999999999E-3</v>
      </c>
      <c r="V1003" s="706">
        <v>1.277E-2</v>
      </c>
      <c r="W1003" s="717"/>
      <c r="X1003" s="713"/>
      <c r="Y1003" s="718"/>
      <c r="Z1003" s="709">
        <v>35</v>
      </c>
      <c r="AA1003" s="175"/>
      <c r="AB1003" s="200"/>
      <c r="AC1003" s="205">
        <v>0</v>
      </c>
      <c r="AD1003" s="175">
        <v>5.37</v>
      </c>
      <c r="AE1003" s="175">
        <v>0.43</v>
      </c>
      <c r="AF1003" s="170">
        <f t="shared" si="18"/>
        <v>2.3090999999999999</v>
      </c>
      <c r="AG1003" s="175">
        <v>1.41</v>
      </c>
      <c r="AH1003" s="334"/>
      <c r="AI1003" s="188"/>
      <c r="AJ1003" s="188"/>
      <c r="AK1003" s="188"/>
      <c r="AL1003" s="189"/>
      <c r="AM1003" s="189"/>
      <c r="AN1003" s="189"/>
      <c r="AO1003" s="189"/>
      <c r="AP1003" s="189"/>
      <c r="AQ1003" s="189"/>
      <c r="AR1003" s="189"/>
      <c r="AS1003" s="189"/>
      <c r="AT1003" s="189"/>
      <c r="AU1003" s="190"/>
      <c r="AV1003" s="190"/>
      <c r="AW1003" s="190"/>
      <c r="AX1003" s="190"/>
      <c r="AY1003" s="190"/>
      <c r="AZ1003" s="189"/>
      <c r="BA1003" s="189"/>
      <c r="BB1003" s="189"/>
      <c r="BC1003" s="189"/>
      <c r="BD1003" s="189"/>
      <c r="BE1003" s="189"/>
      <c r="BF1003" s="189"/>
      <c r="BG1003" s="189"/>
      <c r="BH1003" s="189"/>
      <c r="BI1003" s="190"/>
      <c r="BJ1003" s="190"/>
      <c r="BK1003" s="190"/>
      <c r="BL1003" s="190"/>
      <c r="BM1003" s="190"/>
      <c r="BN1003" s="190"/>
      <c r="BO1003" s="190"/>
      <c r="BP1003" s="190"/>
      <c r="BQ1003" s="190"/>
      <c r="BR1003" s="190"/>
      <c r="BS1003" s="190"/>
      <c r="BT1003" s="190"/>
      <c r="BU1003" s="190"/>
      <c r="BV1003" s="190"/>
      <c r="BW1003" s="190"/>
      <c r="BX1003" s="190"/>
      <c r="BY1003" s="190"/>
      <c r="BZ1003" s="190"/>
      <c r="CA1003" s="189"/>
      <c r="CB1003" s="15"/>
    </row>
    <row r="1004" spans="1:80" ht="15" x14ac:dyDescent="0.25">
      <c r="A1004" s="167"/>
      <c r="B1004" s="642"/>
      <c r="C1004" s="642"/>
      <c r="D1004" s="179"/>
      <c r="E1004" s="169"/>
      <c r="F1004" s="169"/>
      <c r="G1004" s="187"/>
      <c r="H1004" s="187"/>
      <c r="I1004" s="187"/>
      <c r="J1004" s="187"/>
      <c r="K1004" s="187"/>
      <c r="L1004" s="647"/>
      <c r="M1004" s="646">
        <v>33776</v>
      </c>
      <c r="N1004" s="585">
        <v>3.3</v>
      </c>
      <c r="O1004" s="585">
        <v>3.005E-2</v>
      </c>
      <c r="P1004" s="175">
        <v>0</v>
      </c>
      <c r="Q1004" s="175">
        <v>0</v>
      </c>
      <c r="R1004" s="175">
        <v>3.8600000000000001E-3</v>
      </c>
      <c r="S1004" s="175">
        <v>5.45E-3</v>
      </c>
      <c r="T1004" s="175">
        <v>4.8900000000000002E-3</v>
      </c>
      <c r="U1004" s="175">
        <v>5.5999999999999999E-3</v>
      </c>
      <c r="V1004" s="706">
        <v>1.0240000000000001E-2</v>
      </c>
      <c r="W1004" s="717"/>
      <c r="X1004" s="713"/>
      <c r="Y1004" s="718"/>
      <c r="Z1004" s="709">
        <v>26</v>
      </c>
      <c r="AA1004" s="175"/>
      <c r="AB1004" s="200"/>
      <c r="AC1004" s="205">
        <v>0</v>
      </c>
      <c r="AD1004" s="175">
        <v>5.41</v>
      </c>
      <c r="AE1004" s="175">
        <v>0.43</v>
      </c>
      <c r="AF1004" s="170">
        <f t="shared" si="18"/>
        <v>2.3262999999999998</v>
      </c>
      <c r="AG1004" s="175">
        <v>1.47</v>
      </c>
      <c r="AH1004" s="334"/>
      <c r="AI1004" s="188"/>
      <c r="AJ1004" s="188"/>
      <c r="AK1004" s="188"/>
      <c r="AL1004" s="189"/>
      <c r="AM1004" s="189"/>
      <c r="AN1004" s="189"/>
      <c r="AO1004" s="189"/>
      <c r="AP1004" s="189"/>
      <c r="AQ1004" s="189"/>
      <c r="AR1004" s="189"/>
      <c r="AS1004" s="189"/>
      <c r="AT1004" s="189"/>
      <c r="AU1004" s="190"/>
      <c r="AV1004" s="190"/>
      <c r="AW1004" s="190"/>
      <c r="AX1004" s="190"/>
      <c r="AY1004" s="190"/>
      <c r="AZ1004" s="189"/>
      <c r="BA1004" s="189"/>
      <c r="BB1004" s="189"/>
      <c r="BC1004" s="189"/>
      <c r="BD1004" s="189"/>
      <c r="BE1004" s="189"/>
      <c r="BF1004" s="189"/>
      <c r="BG1004" s="189"/>
      <c r="BH1004" s="189"/>
      <c r="BI1004" s="190"/>
      <c r="BJ1004" s="190"/>
      <c r="BK1004" s="190"/>
      <c r="BL1004" s="190"/>
      <c r="BM1004" s="190"/>
      <c r="BN1004" s="190"/>
      <c r="BO1004" s="190"/>
      <c r="BP1004" s="190"/>
      <c r="BQ1004" s="190"/>
      <c r="BR1004" s="190"/>
      <c r="BS1004" s="190"/>
      <c r="BT1004" s="190"/>
      <c r="BU1004" s="190"/>
      <c r="BV1004" s="190"/>
      <c r="BW1004" s="190"/>
      <c r="BX1004" s="190"/>
      <c r="BY1004" s="190"/>
      <c r="BZ1004" s="190"/>
      <c r="CA1004" s="189"/>
      <c r="CB1004" s="15"/>
    </row>
    <row r="1005" spans="1:80" ht="15" x14ac:dyDescent="0.25">
      <c r="A1005" s="167"/>
      <c r="B1005" s="642"/>
      <c r="C1005" s="642"/>
      <c r="D1005" s="179"/>
      <c r="E1005" s="169"/>
      <c r="F1005" s="169"/>
      <c r="G1005" s="187"/>
      <c r="H1005" s="187"/>
      <c r="I1005" s="187"/>
      <c r="J1005" s="187"/>
      <c r="K1005" s="187"/>
      <c r="L1005" s="647"/>
      <c r="M1005" s="646">
        <v>33779</v>
      </c>
      <c r="N1005" s="585">
        <v>2.72</v>
      </c>
      <c r="O1005" s="585">
        <v>1.15E-2</v>
      </c>
      <c r="P1005" s="175">
        <v>0</v>
      </c>
      <c r="Q1005" s="175">
        <v>0</v>
      </c>
      <c r="R1005" s="175">
        <v>1.75E-3</v>
      </c>
      <c r="S1005" s="175">
        <v>1.8600000000000001E-3</v>
      </c>
      <c r="T1005" s="175">
        <v>1.7899999999999999E-3</v>
      </c>
      <c r="U1005" s="175">
        <v>1.9E-3</v>
      </c>
      <c r="V1005" s="706">
        <v>4.1799999999999997E-3</v>
      </c>
      <c r="W1005" s="717"/>
      <c r="X1005" s="713"/>
      <c r="Y1005" s="718"/>
      <c r="Z1005" s="709">
        <v>27</v>
      </c>
      <c r="AA1005" s="175"/>
      <c r="AB1005" s="200"/>
      <c r="AC1005" s="205">
        <v>0</v>
      </c>
      <c r="AD1005" s="175">
        <v>5.39</v>
      </c>
      <c r="AE1005" s="175">
        <v>0.36</v>
      </c>
      <c r="AF1005" s="170">
        <f t="shared" si="18"/>
        <v>1.9403999999999999</v>
      </c>
      <c r="AG1005" s="175">
        <v>1.37</v>
      </c>
      <c r="AH1005" s="334"/>
      <c r="AI1005" s="188"/>
      <c r="AJ1005" s="188"/>
      <c r="AK1005" s="188"/>
      <c r="AL1005" s="189"/>
      <c r="AM1005" s="189"/>
      <c r="AN1005" s="189"/>
      <c r="AO1005" s="189"/>
      <c r="AP1005" s="189"/>
      <c r="AQ1005" s="189"/>
      <c r="AR1005" s="189"/>
      <c r="AS1005" s="189"/>
      <c r="AT1005" s="189"/>
      <c r="AU1005" s="190"/>
      <c r="AV1005" s="190"/>
      <c r="AW1005" s="190"/>
      <c r="AX1005" s="190"/>
      <c r="AY1005" s="190"/>
      <c r="AZ1005" s="189"/>
      <c r="BA1005" s="189"/>
      <c r="BB1005" s="189"/>
      <c r="BC1005" s="189"/>
      <c r="BD1005" s="189"/>
      <c r="BE1005" s="189"/>
      <c r="BF1005" s="189"/>
      <c r="BG1005" s="189"/>
      <c r="BH1005" s="189"/>
      <c r="BI1005" s="190"/>
      <c r="BJ1005" s="190"/>
      <c r="BK1005" s="190"/>
      <c r="BL1005" s="190"/>
      <c r="BM1005" s="190"/>
      <c r="BN1005" s="190"/>
      <c r="BO1005" s="190"/>
      <c r="BP1005" s="190"/>
      <c r="BQ1005" s="190"/>
      <c r="BR1005" s="190"/>
      <c r="BS1005" s="190"/>
      <c r="BT1005" s="190"/>
      <c r="BU1005" s="190"/>
      <c r="BV1005" s="190"/>
      <c r="BW1005" s="190"/>
      <c r="BX1005" s="190"/>
      <c r="BY1005" s="190"/>
      <c r="BZ1005" s="190"/>
      <c r="CA1005" s="189"/>
      <c r="CB1005" s="15"/>
    </row>
    <row r="1006" spans="1:80" ht="15" x14ac:dyDescent="0.25">
      <c r="A1006" s="167"/>
      <c r="B1006" s="642"/>
      <c r="C1006" s="642"/>
      <c r="D1006" s="179"/>
      <c r="E1006" s="169"/>
      <c r="F1006" s="169"/>
      <c r="G1006" s="187"/>
      <c r="H1006" s="187"/>
      <c r="I1006" s="187"/>
      <c r="J1006" s="187"/>
      <c r="K1006" s="187"/>
      <c r="L1006" s="647"/>
      <c r="M1006" s="646">
        <v>33782</v>
      </c>
      <c r="N1006" s="585">
        <v>2.31</v>
      </c>
      <c r="O1006" s="585">
        <v>4.8900000000000002E-3</v>
      </c>
      <c r="P1006" s="175">
        <v>0</v>
      </c>
      <c r="Q1006" s="175">
        <v>0</v>
      </c>
      <c r="R1006" s="175">
        <v>0</v>
      </c>
      <c r="S1006" s="175">
        <v>5.5000000000000003E-4</v>
      </c>
      <c r="T1006" s="175">
        <v>7.6999999999999996E-4</v>
      </c>
      <c r="U1006" s="175">
        <v>1.25E-3</v>
      </c>
      <c r="V1006" s="706">
        <v>2.32E-3</v>
      </c>
      <c r="W1006" s="717"/>
      <c r="X1006" s="713"/>
      <c r="Y1006" s="718"/>
      <c r="Z1006" s="709">
        <v>11</v>
      </c>
      <c r="AA1006" s="175"/>
      <c r="AB1006" s="200"/>
      <c r="AC1006" s="205">
        <v>0</v>
      </c>
      <c r="AD1006" s="175">
        <v>5.38</v>
      </c>
      <c r="AE1006" s="175">
        <v>0.34</v>
      </c>
      <c r="AF1006" s="170">
        <f t="shared" si="18"/>
        <v>1.8292000000000002</v>
      </c>
      <c r="AG1006" s="175">
        <v>1.36</v>
      </c>
      <c r="AH1006" s="334"/>
      <c r="AI1006" s="188"/>
      <c r="AJ1006" s="188"/>
      <c r="AK1006" s="188"/>
      <c r="AL1006" s="189"/>
      <c r="AM1006" s="189"/>
      <c r="AN1006" s="189"/>
      <c r="AO1006" s="189"/>
      <c r="AP1006" s="189"/>
      <c r="AQ1006" s="189"/>
      <c r="AR1006" s="189"/>
      <c r="AS1006" s="189"/>
      <c r="AT1006" s="189"/>
      <c r="AU1006" s="190"/>
      <c r="AV1006" s="190"/>
      <c r="AW1006" s="190"/>
      <c r="AX1006" s="190"/>
      <c r="AY1006" s="190"/>
      <c r="AZ1006" s="189"/>
      <c r="BA1006" s="189"/>
      <c r="BB1006" s="189"/>
      <c r="BC1006" s="189"/>
      <c r="BD1006" s="189"/>
      <c r="BE1006" s="189"/>
      <c r="BF1006" s="189"/>
      <c r="BG1006" s="189"/>
      <c r="BH1006" s="189"/>
      <c r="BI1006" s="190"/>
      <c r="BJ1006" s="190"/>
      <c r="BK1006" s="190"/>
      <c r="BL1006" s="190"/>
      <c r="BM1006" s="190"/>
      <c r="BN1006" s="190"/>
      <c r="BO1006" s="190"/>
      <c r="BP1006" s="190"/>
      <c r="BQ1006" s="190"/>
      <c r="BR1006" s="190"/>
      <c r="BS1006" s="190"/>
      <c r="BT1006" s="190"/>
      <c r="BU1006" s="190"/>
      <c r="BV1006" s="190"/>
      <c r="BW1006" s="190"/>
      <c r="BX1006" s="190"/>
      <c r="BY1006" s="190"/>
      <c r="BZ1006" s="190"/>
      <c r="CA1006" s="189"/>
      <c r="CB1006" s="15"/>
    </row>
    <row r="1007" spans="1:80" ht="15" x14ac:dyDescent="0.25">
      <c r="A1007" s="167"/>
      <c r="B1007" s="642"/>
      <c r="C1007" s="642"/>
      <c r="D1007" s="179"/>
      <c r="E1007" s="169"/>
      <c r="F1007" s="169"/>
      <c r="G1007" s="187"/>
      <c r="H1007" s="187"/>
      <c r="I1007" s="187"/>
      <c r="J1007" s="187"/>
      <c r="K1007" s="187"/>
      <c r="L1007" s="647"/>
      <c r="M1007" s="646">
        <v>33785</v>
      </c>
      <c r="N1007" s="585">
        <v>1.95</v>
      </c>
      <c r="O1007" s="585">
        <v>2.2499999999999998E-3</v>
      </c>
      <c r="P1007" s="175">
        <v>0</v>
      </c>
      <c r="Q1007" s="175">
        <v>0</v>
      </c>
      <c r="R1007" s="175">
        <v>4.4999999999999999E-4</v>
      </c>
      <c r="S1007" s="175">
        <v>6.4000000000000005E-4</v>
      </c>
      <c r="T1007" s="175">
        <v>2.2000000000000001E-4</v>
      </c>
      <c r="U1007" s="175">
        <v>2.5000000000000001E-4</v>
      </c>
      <c r="V1007" s="706">
        <v>6.8999999999999997E-4</v>
      </c>
      <c r="W1007" s="717"/>
      <c r="X1007" s="713"/>
      <c r="Y1007" s="718"/>
      <c r="Z1007" s="709">
        <v>19</v>
      </c>
      <c r="AA1007" s="175"/>
      <c r="AB1007" s="200"/>
      <c r="AC1007" s="205">
        <v>0</v>
      </c>
      <c r="AD1007" s="175">
        <v>5.37</v>
      </c>
      <c r="AE1007" s="175">
        <v>0.36</v>
      </c>
      <c r="AF1007" s="170">
        <f t="shared" si="18"/>
        <v>1.9332</v>
      </c>
      <c r="AG1007" s="175">
        <v>1.18</v>
      </c>
      <c r="AH1007" s="334"/>
      <c r="AI1007" s="188"/>
      <c r="AJ1007" s="188"/>
      <c r="AK1007" s="188"/>
      <c r="AL1007" s="189"/>
      <c r="AM1007" s="189"/>
      <c r="AN1007" s="189"/>
      <c r="AO1007" s="189"/>
      <c r="AP1007" s="189"/>
      <c r="AQ1007" s="189"/>
      <c r="AR1007" s="189"/>
      <c r="AS1007" s="189"/>
      <c r="AT1007" s="189"/>
      <c r="AU1007" s="190"/>
      <c r="AV1007" s="190"/>
      <c r="AW1007" s="190"/>
      <c r="AX1007" s="190"/>
      <c r="AY1007" s="190"/>
      <c r="AZ1007" s="189"/>
      <c r="BA1007" s="189"/>
      <c r="BB1007" s="189"/>
      <c r="BC1007" s="189"/>
      <c r="BD1007" s="189"/>
      <c r="BE1007" s="189"/>
      <c r="BF1007" s="189"/>
      <c r="BG1007" s="189"/>
      <c r="BH1007" s="189"/>
      <c r="BI1007" s="190"/>
      <c r="BJ1007" s="190"/>
      <c r="BK1007" s="190"/>
      <c r="BL1007" s="190"/>
      <c r="BM1007" s="190"/>
      <c r="BN1007" s="190"/>
      <c r="BO1007" s="190"/>
      <c r="BP1007" s="190"/>
      <c r="BQ1007" s="190"/>
      <c r="BR1007" s="190"/>
      <c r="BS1007" s="190"/>
      <c r="BT1007" s="190"/>
      <c r="BU1007" s="190"/>
      <c r="BV1007" s="190"/>
      <c r="BW1007" s="190"/>
      <c r="BX1007" s="190"/>
      <c r="BY1007" s="190"/>
      <c r="BZ1007" s="190"/>
      <c r="CA1007" s="189"/>
      <c r="CB1007" s="15"/>
    </row>
    <row r="1008" spans="1:80" ht="15" x14ac:dyDescent="0.25">
      <c r="A1008" s="167"/>
      <c r="B1008" s="642"/>
      <c r="C1008" s="642"/>
      <c r="D1008" s="179"/>
      <c r="E1008" s="169"/>
      <c r="F1008" s="169"/>
      <c r="G1008" s="187"/>
      <c r="H1008" s="187"/>
      <c r="I1008" s="187"/>
      <c r="J1008" s="187"/>
      <c r="K1008" s="187"/>
      <c r="L1008" s="647"/>
      <c r="M1008" s="646">
        <v>34121</v>
      </c>
      <c r="N1008" s="585">
        <v>1.99</v>
      </c>
      <c r="O1008" s="585">
        <v>2.5850000000000001E-2</v>
      </c>
      <c r="P1008" s="175">
        <v>0</v>
      </c>
      <c r="Q1008" s="175">
        <v>0</v>
      </c>
      <c r="R1008" s="175">
        <v>0</v>
      </c>
      <c r="S1008" s="175">
        <v>1.4400000000000001E-3</v>
      </c>
      <c r="T1008" s="175">
        <v>3.5699999999999998E-3</v>
      </c>
      <c r="U1008" s="175">
        <v>6.7499999999999999E-3</v>
      </c>
      <c r="V1008" s="706">
        <v>1.409E-2</v>
      </c>
      <c r="W1008" s="717"/>
      <c r="X1008" s="713"/>
      <c r="Y1008" s="718"/>
      <c r="Z1008" s="709">
        <v>15</v>
      </c>
      <c r="AA1008" s="175"/>
      <c r="AB1008" s="200"/>
      <c r="AC1008" s="205">
        <v>5.7000000000000002E-2</v>
      </c>
      <c r="AD1008" s="175">
        <v>5.34</v>
      </c>
      <c r="AE1008" s="175">
        <v>0.33</v>
      </c>
      <c r="AF1008" s="170">
        <f t="shared" si="18"/>
        <v>1.7622</v>
      </c>
      <c r="AG1008" s="175">
        <v>1</v>
      </c>
      <c r="AH1008" s="334"/>
      <c r="AI1008" s="188"/>
      <c r="AJ1008" s="188"/>
      <c r="AK1008" s="188"/>
      <c r="AL1008" s="189"/>
      <c r="AM1008" s="189"/>
      <c r="AN1008" s="189"/>
      <c r="AO1008" s="189"/>
      <c r="AP1008" s="189"/>
      <c r="AQ1008" s="189"/>
      <c r="AR1008" s="189"/>
      <c r="AS1008" s="189"/>
      <c r="AT1008" s="189"/>
      <c r="AU1008" s="190"/>
      <c r="AV1008" s="190"/>
      <c r="AW1008" s="190"/>
      <c r="AX1008" s="190"/>
      <c r="AY1008" s="190"/>
      <c r="AZ1008" s="189"/>
      <c r="BA1008" s="189"/>
      <c r="BB1008" s="189"/>
      <c r="BC1008" s="189"/>
      <c r="BD1008" s="189"/>
      <c r="BE1008" s="189"/>
      <c r="BF1008" s="189"/>
      <c r="BG1008" s="189"/>
      <c r="BH1008" s="189"/>
      <c r="BI1008" s="190"/>
      <c r="BJ1008" s="190"/>
      <c r="BK1008" s="190"/>
      <c r="BL1008" s="190"/>
      <c r="BM1008" s="190"/>
      <c r="BN1008" s="190"/>
      <c r="BO1008" s="190"/>
      <c r="BP1008" s="190"/>
      <c r="BQ1008" s="190"/>
      <c r="BR1008" s="190"/>
      <c r="BS1008" s="190"/>
      <c r="BT1008" s="190"/>
      <c r="BU1008" s="190"/>
      <c r="BV1008" s="190"/>
      <c r="BW1008" s="190"/>
      <c r="BX1008" s="190"/>
      <c r="BY1008" s="190"/>
      <c r="BZ1008" s="190"/>
      <c r="CA1008" s="189"/>
      <c r="CB1008" s="15"/>
    </row>
    <row r="1009" spans="1:80" ht="15" x14ac:dyDescent="0.25">
      <c r="A1009" s="167"/>
      <c r="B1009" s="642"/>
      <c r="C1009" s="642"/>
      <c r="D1009" s="179"/>
      <c r="E1009" s="169"/>
      <c r="F1009" s="169"/>
      <c r="G1009" s="187"/>
      <c r="H1009" s="187"/>
      <c r="I1009" s="187"/>
      <c r="J1009" s="187"/>
      <c r="K1009" s="187"/>
      <c r="L1009" s="647"/>
      <c r="M1009" s="646">
        <v>34122</v>
      </c>
      <c r="N1009" s="585">
        <v>2.76</v>
      </c>
      <c r="O1009" s="585">
        <v>3.8719999999999997E-2</v>
      </c>
      <c r="P1009" s="175">
        <v>0</v>
      </c>
      <c r="Q1009" s="175">
        <v>0</v>
      </c>
      <c r="R1009" s="175">
        <v>1.17E-3</v>
      </c>
      <c r="S1009" s="175">
        <v>4.8199999999999996E-3</v>
      </c>
      <c r="T1009" s="175">
        <v>5.4999999999999997E-3</v>
      </c>
      <c r="U1009" s="175">
        <v>7.4900000000000001E-3</v>
      </c>
      <c r="V1009" s="706">
        <v>1.9740000000000001E-2</v>
      </c>
      <c r="W1009" s="717"/>
      <c r="X1009" s="713"/>
      <c r="Y1009" s="718"/>
      <c r="Z1009" s="709">
        <v>19</v>
      </c>
      <c r="AA1009" s="175"/>
      <c r="AB1009" s="200"/>
      <c r="AC1009" s="205">
        <v>5.3999999999999999E-2</v>
      </c>
      <c r="AD1009" s="175">
        <v>5.31</v>
      </c>
      <c r="AE1009" s="175">
        <v>0.37</v>
      </c>
      <c r="AF1009" s="170">
        <f t="shared" si="18"/>
        <v>1.9646999999999999</v>
      </c>
      <c r="AG1009" s="175">
        <v>1.22</v>
      </c>
      <c r="AH1009" s="334"/>
      <c r="AI1009" s="188"/>
      <c r="AJ1009" s="188"/>
      <c r="AK1009" s="188"/>
      <c r="AL1009" s="189"/>
      <c r="AM1009" s="189"/>
      <c r="AN1009" s="189"/>
      <c r="AO1009" s="189"/>
      <c r="AP1009" s="189"/>
      <c r="AQ1009" s="189"/>
      <c r="AR1009" s="189"/>
      <c r="AS1009" s="189"/>
      <c r="AT1009" s="189"/>
      <c r="AU1009" s="190"/>
      <c r="AV1009" s="190"/>
      <c r="AW1009" s="190"/>
      <c r="AX1009" s="190"/>
      <c r="AY1009" s="190"/>
      <c r="AZ1009" s="189"/>
      <c r="BA1009" s="189"/>
      <c r="BB1009" s="189"/>
      <c r="BC1009" s="189"/>
      <c r="BD1009" s="189"/>
      <c r="BE1009" s="189"/>
      <c r="BF1009" s="189"/>
      <c r="BG1009" s="189"/>
      <c r="BH1009" s="189"/>
      <c r="BI1009" s="190"/>
      <c r="BJ1009" s="190"/>
      <c r="BK1009" s="190"/>
      <c r="BL1009" s="190"/>
      <c r="BM1009" s="190"/>
      <c r="BN1009" s="190"/>
      <c r="BO1009" s="190"/>
      <c r="BP1009" s="190"/>
      <c r="BQ1009" s="190"/>
      <c r="BR1009" s="190"/>
      <c r="BS1009" s="190"/>
      <c r="BT1009" s="190"/>
      <c r="BU1009" s="190"/>
      <c r="BV1009" s="190"/>
      <c r="BW1009" s="190"/>
      <c r="BX1009" s="190"/>
      <c r="BY1009" s="190"/>
      <c r="BZ1009" s="190"/>
      <c r="CA1009" s="189"/>
      <c r="CB1009" s="15"/>
    </row>
    <row r="1010" spans="1:80" ht="15" x14ac:dyDescent="0.25">
      <c r="A1010" s="167"/>
      <c r="B1010" s="642"/>
      <c r="C1010" s="642"/>
      <c r="D1010" s="179"/>
      <c r="E1010" s="169"/>
      <c r="F1010" s="169"/>
      <c r="G1010" s="187"/>
      <c r="H1010" s="187"/>
      <c r="I1010" s="187"/>
      <c r="J1010" s="187"/>
      <c r="K1010" s="187"/>
      <c r="L1010" s="647"/>
      <c r="M1010" s="646">
        <v>34123</v>
      </c>
      <c r="N1010" s="585">
        <v>2.08</v>
      </c>
      <c r="O1010" s="585">
        <v>1.2789999999999999E-2</v>
      </c>
      <c r="P1010" s="175">
        <v>0</v>
      </c>
      <c r="Q1010" s="175">
        <v>0</v>
      </c>
      <c r="R1010" s="175">
        <v>0</v>
      </c>
      <c r="S1010" s="175">
        <v>1.0399999999999999E-3</v>
      </c>
      <c r="T1010" s="175">
        <v>1.75E-3</v>
      </c>
      <c r="U1010" s="175">
        <v>2.8999999999999998E-3</v>
      </c>
      <c r="V1010" s="706">
        <v>7.11E-3</v>
      </c>
      <c r="W1010" s="717"/>
      <c r="X1010" s="713"/>
      <c r="Y1010" s="718"/>
      <c r="Z1010" s="709">
        <v>12</v>
      </c>
      <c r="AA1010" s="175"/>
      <c r="AB1010" s="200"/>
      <c r="AC1010" s="205">
        <v>5.3999999999999999E-2</v>
      </c>
      <c r="AD1010" s="175">
        <v>5.35</v>
      </c>
      <c r="AE1010" s="175">
        <v>0.36</v>
      </c>
      <c r="AF1010" s="170">
        <f t="shared" si="18"/>
        <v>1.9259999999999997</v>
      </c>
      <c r="AG1010" s="175">
        <v>1.08</v>
      </c>
      <c r="AH1010" s="334"/>
      <c r="AI1010" s="188"/>
      <c r="AJ1010" s="188"/>
      <c r="AK1010" s="188"/>
      <c r="AL1010" s="189"/>
      <c r="AM1010" s="189"/>
      <c r="AN1010" s="189"/>
      <c r="AO1010" s="189"/>
      <c r="AP1010" s="189"/>
      <c r="AQ1010" s="189"/>
      <c r="AR1010" s="189"/>
      <c r="AS1010" s="189"/>
      <c r="AT1010" s="189"/>
      <c r="AU1010" s="190"/>
      <c r="AV1010" s="190"/>
      <c r="AW1010" s="190"/>
      <c r="AX1010" s="190"/>
      <c r="AY1010" s="190"/>
      <c r="AZ1010" s="189"/>
      <c r="BA1010" s="189"/>
      <c r="BB1010" s="189"/>
      <c r="BC1010" s="189"/>
      <c r="BD1010" s="189"/>
      <c r="BE1010" s="189"/>
      <c r="BF1010" s="189"/>
      <c r="BG1010" s="189"/>
      <c r="BH1010" s="189"/>
      <c r="BI1010" s="190"/>
      <c r="BJ1010" s="190"/>
      <c r="BK1010" s="190"/>
      <c r="BL1010" s="190"/>
      <c r="BM1010" s="190"/>
      <c r="BN1010" s="190"/>
      <c r="BO1010" s="190"/>
      <c r="BP1010" s="190"/>
      <c r="BQ1010" s="190"/>
      <c r="BR1010" s="190"/>
      <c r="BS1010" s="190"/>
      <c r="BT1010" s="190"/>
      <c r="BU1010" s="190"/>
      <c r="BV1010" s="190"/>
      <c r="BW1010" s="190"/>
      <c r="BX1010" s="190"/>
      <c r="BY1010" s="190"/>
      <c r="BZ1010" s="190"/>
      <c r="CA1010" s="189"/>
      <c r="CB1010" s="15"/>
    </row>
    <row r="1011" spans="1:80" ht="15" x14ac:dyDescent="0.25">
      <c r="A1011" s="167"/>
      <c r="B1011" s="642"/>
      <c r="C1011" s="642"/>
      <c r="D1011" s="179"/>
      <c r="E1011" s="169"/>
      <c r="F1011" s="169"/>
      <c r="G1011" s="187"/>
      <c r="H1011" s="187"/>
      <c r="I1011" s="187"/>
      <c r="J1011" s="187"/>
      <c r="K1011" s="187"/>
      <c r="L1011" s="647"/>
      <c r="M1011" s="646">
        <v>34124</v>
      </c>
      <c r="N1011" s="585">
        <v>2.79</v>
      </c>
      <c r="O1011" s="585">
        <v>5.5359999999999999E-2</v>
      </c>
      <c r="P1011" s="175">
        <v>0</v>
      </c>
      <c r="Q1011" s="175">
        <v>6.8599999999999998E-3</v>
      </c>
      <c r="R1011" s="175">
        <v>1.086E-2</v>
      </c>
      <c r="S1011" s="175">
        <v>9.4699999999999993E-3</v>
      </c>
      <c r="T1011" s="175">
        <v>9.11E-3</v>
      </c>
      <c r="U1011" s="175">
        <v>7.3800000000000003E-3</v>
      </c>
      <c r="V1011" s="706">
        <v>1.167E-2</v>
      </c>
      <c r="W1011" s="717"/>
      <c r="X1011" s="713"/>
      <c r="Y1011" s="718"/>
      <c r="Z1011" s="709">
        <v>29</v>
      </c>
      <c r="AA1011" s="175"/>
      <c r="AB1011" s="200"/>
      <c r="AC1011" s="205">
        <v>5.8000000000000003E-2</v>
      </c>
      <c r="AD1011" s="175">
        <v>5.35</v>
      </c>
      <c r="AE1011" s="175">
        <v>0.4</v>
      </c>
      <c r="AF1011" s="170">
        <f t="shared" si="18"/>
        <v>2.14</v>
      </c>
      <c r="AG1011" s="175">
        <v>1.49</v>
      </c>
      <c r="AH1011" s="334"/>
      <c r="AI1011" s="188"/>
      <c r="AJ1011" s="188"/>
      <c r="AK1011" s="188"/>
      <c r="AL1011" s="189"/>
      <c r="AM1011" s="189"/>
      <c r="AN1011" s="189"/>
      <c r="AO1011" s="189"/>
      <c r="AP1011" s="189"/>
      <c r="AQ1011" s="189"/>
      <c r="AR1011" s="189"/>
      <c r="AS1011" s="189"/>
      <c r="AT1011" s="189"/>
      <c r="AU1011" s="190"/>
      <c r="AV1011" s="190"/>
      <c r="AW1011" s="190"/>
      <c r="AX1011" s="190"/>
      <c r="AY1011" s="190"/>
      <c r="AZ1011" s="189"/>
      <c r="BA1011" s="189"/>
      <c r="BB1011" s="189"/>
      <c r="BC1011" s="189"/>
      <c r="BD1011" s="189"/>
      <c r="BE1011" s="189"/>
      <c r="BF1011" s="189"/>
      <c r="BG1011" s="189"/>
      <c r="BH1011" s="189"/>
      <c r="BI1011" s="190"/>
      <c r="BJ1011" s="190"/>
      <c r="BK1011" s="190"/>
      <c r="BL1011" s="190"/>
      <c r="BM1011" s="190"/>
      <c r="BN1011" s="190"/>
      <c r="BO1011" s="190"/>
      <c r="BP1011" s="190"/>
      <c r="BQ1011" s="190"/>
      <c r="BR1011" s="190"/>
      <c r="BS1011" s="190"/>
      <c r="BT1011" s="190"/>
      <c r="BU1011" s="190"/>
      <c r="BV1011" s="190"/>
      <c r="BW1011" s="190"/>
      <c r="BX1011" s="190"/>
      <c r="BY1011" s="190"/>
      <c r="BZ1011" s="190"/>
      <c r="CA1011" s="189"/>
      <c r="CB1011" s="15"/>
    </row>
    <row r="1012" spans="1:80" ht="15" x14ac:dyDescent="0.25">
      <c r="A1012" s="167"/>
      <c r="B1012" s="642"/>
      <c r="C1012" s="642"/>
      <c r="D1012" s="179"/>
      <c r="E1012" s="169"/>
      <c r="F1012" s="169"/>
      <c r="G1012" s="187"/>
      <c r="H1012" s="187"/>
      <c r="I1012" s="187"/>
      <c r="J1012" s="187"/>
      <c r="K1012" s="187"/>
      <c r="L1012" s="647"/>
      <c r="M1012" s="646">
        <v>34128</v>
      </c>
      <c r="N1012" s="585">
        <v>2.12</v>
      </c>
      <c r="O1012" s="585">
        <v>2.49E-3</v>
      </c>
      <c r="P1012" s="175">
        <v>0</v>
      </c>
      <c r="Q1012" s="175">
        <v>0</v>
      </c>
      <c r="R1012" s="175">
        <v>0</v>
      </c>
      <c r="S1012" s="175">
        <v>7.1000000000000002E-4</v>
      </c>
      <c r="T1012" s="175">
        <v>2.9E-4</v>
      </c>
      <c r="U1012" s="175">
        <v>5.1999999999999995E-4</v>
      </c>
      <c r="V1012" s="706">
        <v>9.7999999999999997E-4</v>
      </c>
      <c r="W1012" s="717"/>
      <c r="X1012" s="713"/>
      <c r="Y1012" s="718"/>
      <c r="Z1012" s="709">
        <v>14</v>
      </c>
      <c r="AA1012" s="175"/>
      <c r="AB1012" s="200"/>
      <c r="AC1012" s="205">
        <v>5.3999999999999999E-2</v>
      </c>
      <c r="AD1012" s="175">
        <v>5.33</v>
      </c>
      <c r="AE1012" s="175">
        <v>0.36</v>
      </c>
      <c r="AF1012" s="170">
        <f t="shared" si="18"/>
        <v>1.9188000000000001</v>
      </c>
      <c r="AG1012" s="175">
        <v>1.1200000000000001</v>
      </c>
      <c r="AH1012" s="334"/>
      <c r="AI1012" s="188"/>
      <c r="AJ1012" s="188"/>
      <c r="AK1012" s="188"/>
      <c r="AL1012" s="189"/>
      <c r="AM1012" s="189"/>
      <c r="AN1012" s="189"/>
      <c r="AO1012" s="189"/>
      <c r="AP1012" s="189"/>
      <c r="AQ1012" s="189"/>
      <c r="AR1012" s="189"/>
      <c r="AS1012" s="189"/>
      <c r="AT1012" s="189"/>
      <c r="AU1012" s="190"/>
      <c r="AV1012" s="190"/>
      <c r="AW1012" s="190"/>
      <c r="AX1012" s="190"/>
      <c r="AY1012" s="190"/>
      <c r="AZ1012" s="189"/>
      <c r="BA1012" s="189"/>
      <c r="BB1012" s="189"/>
      <c r="BC1012" s="189"/>
      <c r="BD1012" s="189"/>
      <c r="BE1012" s="189"/>
      <c r="BF1012" s="189"/>
      <c r="BG1012" s="189"/>
      <c r="BH1012" s="189"/>
      <c r="BI1012" s="190"/>
      <c r="BJ1012" s="190"/>
      <c r="BK1012" s="190"/>
      <c r="BL1012" s="190"/>
      <c r="BM1012" s="190"/>
      <c r="BN1012" s="190"/>
      <c r="BO1012" s="190"/>
      <c r="BP1012" s="190"/>
      <c r="BQ1012" s="190"/>
      <c r="BR1012" s="190"/>
      <c r="BS1012" s="190"/>
      <c r="BT1012" s="190"/>
      <c r="BU1012" s="190"/>
      <c r="BV1012" s="190"/>
      <c r="BW1012" s="190"/>
      <c r="BX1012" s="190"/>
      <c r="BY1012" s="190"/>
      <c r="BZ1012" s="190"/>
      <c r="CA1012" s="189"/>
      <c r="CB1012" s="15"/>
    </row>
    <row r="1013" spans="1:80" ht="15" x14ac:dyDescent="0.25">
      <c r="A1013" s="167"/>
      <c r="B1013" s="642"/>
      <c r="C1013" s="642"/>
      <c r="D1013" s="179"/>
      <c r="E1013" s="169"/>
      <c r="F1013" s="169"/>
      <c r="G1013" s="187"/>
      <c r="H1013" s="187"/>
      <c r="I1013" s="187"/>
      <c r="J1013" s="187"/>
      <c r="K1013" s="187"/>
      <c r="L1013" s="647"/>
      <c r="M1013" s="646">
        <v>34129</v>
      </c>
      <c r="N1013" s="585">
        <v>2.04</v>
      </c>
      <c r="O1013" s="585">
        <v>8.8500000000000002E-3</v>
      </c>
      <c r="P1013" s="175">
        <v>0</v>
      </c>
      <c r="Q1013" s="175">
        <v>0</v>
      </c>
      <c r="R1013" s="175">
        <v>0</v>
      </c>
      <c r="S1013" s="175">
        <v>1.47E-3</v>
      </c>
      <c r="T1013" s="175">
        <v>2.2499999999999998E-3</v>
      </c>
      <c r="U1013" s="175">
        <v>1.97E-3</v>
      </c>
      <c r="V1013" s="706">
        <v>3.16E-3</v>
      </c>
      <c r="W1013" s="717"/>
      <c r="X1013" s="713"/>
      <c r="Y1013" s="718"/>
      <c r="Z1013" s="709">
        <v>16</v>
      </c>
      <c r="AA1013" s="175"/>
      <c r="AB1013" s="200"/>
      <c r="AC1013" s="205">
        <v>5.5E-2</v>
      </c>
      <c r="AD1013" s="175">
        <v>5.33</v>
      </c>
      <c r="AE1013" s="175">
        <v>0.35</v>
      </c>
      <c r="AF1013" s="170">
        <f t="shared" si="18"/>
        <v>1.8654999999999999</v>
      </c>
      <c r="AG1013" s="175">
        <v>1.1100000000000001</v>
      </c>
      <c r="AH1013" s="334"/>
      <c r="AI1013" s="188"/>
      <c r="AJ1013" s="188"/>
      <c r="AK1013" s="188"/>
      <c r="AL1013" s="189"/>
      <c r="AM1013" s="189"/>
      <c r="AN1013" s="189"/>
      <c r="AO1013" s="189"/>
      <c r="AP1013" s="189"/>
      <c r="AQ1013" s="189"/>
      <c r="AR1013" s="189"/>
      <c r="AS1013" s="189"/>
      <c r="AT1013" s="189"/>
      <c r="AU1013" s="190"/>
      <c r="AV1013" s="190"/>
      <c r="AW1013" s="190"/>
      <c r="AX1013" s="190"/>
      <c r="AY1013" s="190"/>
      <c r="AZ1013" s="189"/>
      <c r="BA1013" s="189"/>
      <c r="BB1013" s="189"/>
      <c r="BC1013" s="189"/>
      <c r="BD1013" s="189"/>
      <c r="BE1013" s="189"/>
      <c r="BF1013" s="189"/>
      <c r="BG1013" s="189"/>
      <c r="BH1013" s="189"/>
      <c r="BI1013" s="190"/>
      <c r="BJ1013" s="190"/>
      <c r="BK1013" s="190"/>
      <c r="BL1013" s="190"/>
      <c r="BM1013" s="190"/>
      <c r="BN1013" s="190"/>
      <c r="BO1013" s="190"/>
      <c r="BP1013" s="190"/>
      <c r="BQ1013" s="190"/>
      <c r="BR1013" s="190"/>
      <c r="BS1013" s="190"/>
      <c r="BT1013" s="190"/>
      <c r="BU1013" s="190"/>
      <c r="BV1013" s="190"/>
      <c r="BW1013" s="190"/>
      <c r="BX1013" s="190"/>
      <c r="BY1013" s="190"/>
      <c r="BZ1013" s="190"/>
      <c r="CA1013" s="189"/>
      <c r="CB1013" s="15"/>
    </row>
    <row r="1014" spans="1:80" ht="15" x14ac:dyDescent="0.25">
      <c r="A1014" s="167"/>
      <c r="B1014" s="642"/>
      <c r="C1014" s="642"/>
      <c r="D1014" s="179"/>
      <c r="E1014" s="169"/>
      <c r="F1014" s="169"/>
      <c r="G1014" s="187"/>
      <c r="H1014" s="187"/>
      <c r="I1014" s="187"/>
      <c r="J1014" s="187"/>
      <c r="K1014" s="187"/>
      <c r="L1014" s="647"/>
      <c r="M1014" s="646">
        <v>34130</v>
      </c>
      <c r="N1014" s="585">
        <v>2.59</v>
      </c>
      <c r="O1014" s="585">
        <v>3.3400000000000001E-3</v>
      </c>
      <c r="P1014" s="175">
        <v>0</v>
      </c>
      <c r="Q1014" s="175">
        <v>0</v>
      </c>
      <c r="R1014" s="175">
        <v>0</v>
      </c>
      <c r="S1014" s="175">
        <v>3.3E-4</v>
      </c>
      <c r="T1014" s="175">
        <v>3.4000000000000002E-4</v>
      </c>
      <c r="U1014" s="175">
        <v>6.8000000000000005E-4</v>
      </c>
      <c r="V1014" s="706">
        <v>2E-3</v>
      </c>
      <c r="W1014" s="717"/>
      <c r="X1014" s="713"/>
      <c r="Y1014" s="718"/>
      <c r="Z1014" s="709">
        <v>10</v>
      </c>
      <c r="AA1014" s="175"/>
      <c r="AB1014" s="200"/>
      <c r="AC1014" s="205">
        <v>5.3999999999999999E-2</v>
      </c>
      <c r="AD1014" s="175">
        <v>5.37</v>
      </c>
      <c r="AE1014" s="175">
        <v>0.38</v>
      </c>
      <c r="AF1014" s="170">
        <f t="shared" si="18"/>
        <v>2.0406</v>
      </c>
      <c r="AG1014" s="175">
        <v>1.35</v>
      </c>
      <c r="AH1014" s="334"/>
      <c r="AI1014" s="188"/>
      <c r="AJ1014" s="188"/>
      <c r="AK1014" s="188"/>
      <c r="AL1014" s="189"/>
      <c r="AM1014" s="189"/>
      <c r="AN1014" s="189"/>
      <c r="AO1014" s="189"/>
      <c r="AP1014" s="189"/>
      <c r="AQ1014" s="189"/>
      <c r="AR1014" s="189"/>
      <c r="AS1014" s="189"/>
      <c r="AT1014" s="189"/>
      <c r="AU1014" s="190"/>
      <c r="AV1014" s="190"/>
      <c r="AW1014" s="190"/>
      <c r="AX1014" s="190"/>
      <c r="AY1014" s="190"/>
      <c r="AZ1014" s="189"/>
      <c r="BA1014" s="189"/>
      <c r="BB1014" s="189"/>
      <c r="BC1014" s="189"/>
      <c r="BD1014" s="189"/>
      <c r="BE1014" s="189"/>
      <c r="BF1014" s="189"/>
      <c r="BG1014" s="189"/>
      <c r="BH1014" s="189"/>
      <c r="BI1014" s="190"/>
      <c r="BJ1014" s="190"/>
      <c r="BK1014" s="190"/>
      <c r="BL1014" s="190"/>
      <c r="BM1014" s="190"/>
      <c r="BN1014" s="190"/>
      <c r="BO1014" s="190"/>
      <c r="BP1014" s="190"/>
      <c r="BQ1014" s="190"/>
      <c r="BR1014" s="190"/>
      <c r="BS1014" s="190"/>
      <c r="BT1014" s="190"/>
      <c r="BU1014" s="190"/>
      <c r="BV1014" s="190"/>
      <c r="BW1014" s="190"/>
      <c r="BX1014" s="190"/>
      <c r="BY1014" s="190"/>
      <c r="BZ1014" s="190"/>
      <c r="CA1014" s="189"/>
      <c r="CB1014" s="15"/>
    </row>
    <row r="1015" spans="1:80" ht="15" x14ac:dyDescent="0.25">
      <c r="A1015" s="167"/>
      <c r="B1015" s="642"/>
      <c r="C1015" s="642"/>
      <c r="D1015" s="179"/>
      <c r="E1015" s="169"/>
      <c r="F1015" s="169"/>
      <c r="G1015" s="187"/>
      <c r="H1015" s="187"/>
      <c r="I1015" s="187"/>
      <c r="J1015" s="187"/>
      <c r="K1015" s="187"/>
      <c r="L1015" s="647"/>
      <c r="M1015" s="646">
        <v>34131</v>
      </c>
      <c r="N1015" s="585">
        <v>2.31</v>
      </c>
      <c r="O1015" s="585">
        <v>3.8E-3</v>
      </c>
      <c r="P1015" s="175">
        <v>0</v>
      </c>
      <c r="Q1015" s="175">
        <v>0</v>
      </c>
      <c r="R1015" s="175">
        <v>0</v>
      </c>
      <c r="S1015" s="175">
        <v>2.1000000000000001E-4</v>
      </c>
      <c r="T1015" s="175">
        <v>2.5000000000000001E-4</v>
      </c>
      <c r="U1015" s="175">
        <v>8.1999999999999998E-4</v>
      </c>
      <c r="V1015" s="706">
        <v>2.5100000000000001E-3</v>
      </c>
      <c r="W1015" s="717"/>
      <c r="X1015" s="713"/>
      <c r="Y1015" s="718"/>
      <c r="Z1015" s="709">
        <v>11</v>
      </c>
      <c r="AA1015" s="175"/>
      <c r="AB1015" s="200"/>
      <c r="AC1015" s="205">
        <v>5.3999999999999999E-2</v>
      </c>
      <c r="AD1015" s="175">
        <v>5.34</v>
      </c>
      <c r="AE1015" s="175">
        <v>0.35</v>
      </c>
      <c r="AF1015" s="170">
        <f t="shared" si="18"/>
        <v>1.8689999999999998</v>
      </c>
      <c r="AG1015" s="175">
        <v>1.1499999999999999</v>
      </c>
      <c r="AH1015" s="334"/>
      <c r="AI1015" s="188"/>
      <c r="AJ1015" s="188"/>
      <c r="AK1015" s="188"/>
      <c r="AL1015" s="189"/>
      <c r="AM1015" s="189"/>
      <c r="AN1015" s="189"/>
      <c r="AO1015" s="189"/>
      <c r="AP1015" s="189"/>
      <c r="AQ1015" s="189"/>
      <c r="AR1015" s="189"/>
      <c r="AS1015" s="189"/>
      <c r="AT1015" s="189"/>
      <c r="AU1015" s="190"/>
      <c r="AV1015" s="190"/>
      <c r="AW1015" s="190"/>
      <c r="AX1015" s="190"/>
      <c r="AY1015" s="190"/>
      <c r="AZ1015" s="189"/>
      <c r="BA1015" s="189"/>
      <c r="BB1015" s="189"/>
      <c r="BC1015" s="189"/>
      <c r="BD1015" s="189"/>
      <c r="BE1015" s="189"/>
      <c r="BF1015" s="189"/>
      <c r="BG1015" s="189"/>
      <c r="BH1015" s="189"/>
      <c r="BI1015" s="190"/>
      <c r="BJ1015" s="190"/>
      <c r="BK1015" s="190"/>
      <c r="BL1015" s="190"/>
      <c r="BM1015" s="190"/>
      <c r="BN1015" s="190"/>
      <c r="BO1015" s="190"/>
      <c r="BP1015" s="190"/>
      <c r="BQ1015" s="190"/>
      <c r="BR1015" s="190"/>
      <c r="BS1015" s="190"/>
      <c r="BT1015" s="190"/>
      <c r="BU1015" s="190"/>
      <c r="BV1015" s="190"/>
      <c r="BW1015" s="190"/>
      <c r="BX1015" s="190"/>
      <c r="BY1015" s="190"/>
      <c r="BZ1015" s="190"/>
      <c r="CA1015" s="189"/>
      <c r="CB1015" s="15"/>
    </row>
    <row r="1016" spans="1:80" ht="15" x14ac:dyDescent="0.25">
      <c r="A1016" s="167"/>
      <c r="B1016" s="642"/>
      <c r="C1016" s="642"/>
      <c r="D1016" s="179"/>
      <c r="E1016" s="169"/>
      <c r="F1016" s="169"/>
      <c r="G1016" s="187"/>
      <c r="H1016" s="187"/>
      <c r="I1016" s="187"/>
      <c r="J1016" s="187"/>
      <c r="K1016" s="187"/>
      <c r="L1016" s="647"/>
      <c r="M1016" s="646">
        <v>34135</v>
      </c>
      <c r="N1016" s="585">
        <v>2.17</v>
      </c>
      <c r="O1016" s="585">
        <v>1.6449999999999999E-2</v>
      </c>
      <c r="P1016" s="175">
        <v>0</v>
      </c>
      <c r="Q1016" s="175">
        <v>0</v>
      </c>
      <c r="R1016" s="175">
        <v>0</v>
      </c>
      <c r="S1016" s="175">
        <v>1.3500000000000001E-3</v>
      </c>
      <c r="T1016" s="175">
        <v>2.9399999999999999E-3</v>
      </c>
      <c r="U1016" s="175">
        <v>4.13E-3</v>
      </c>
      <c r="V1016" s="706">
        <v>8.0300000000000007E-3</v>
      </c>
      <c r="W1016" s="717"/>
      <c r="X1016" s="713"/>
      <c r="Y1016" s="718"/>
      <c r="Z1016" s="709">
        <v>17</v>
      </c>
      <c r="AA1016" s="175"/>
      <c r="AB1016" s="200"/>
      <c r="AC1016" s="205">
        <v>5.3999999999999999E-2</v>
      </c>
      <c r="AD1016" s="175">
        <v>5.33</v>
      </c>
      <c r="AE1016" s="175">
        <v>0.36</v>
      </c>
      <c r="AF1016" s="170">
        <f t="shared" si="18"/>
        <v>1.9188000000000001</v>
      </c>
      <c r="AG1016" s="175">
        <v>1.1399999999999999</v>
      </c>
      <c r="AH1016" s="334"/>
      <c r="AI1016" s="188"/>
      <c r="AJ1016" s="188"/>
      <c r="AK1016" s="188"/>
      <c r="AL1016" s="189"/>
      <c r="AM1016" s="189"/>
      <c r="AN1016" s="189"/>
      <c r="AO1016" s="189"/>
      <c r="AP1016" s="189"/>
      <c r="AQ1016" s="189"/>
      <c r="AR1016" s="189"/>
      <c r="AS1016" s="189"/>
      <c r="AT1016" s="189"/>
      <c r="AU1016" s="190"/>
      <c r="AV1016" s="190"/>
      <c r="AW1016" s="190"/>
      <c r="AX1016" s="190"/>
      <c r="AY1016" s="190"/>
      <c r="AZ1016" s="189"/>
      <c r="BA1016" s="189"/>
      <c r="BB1016" s="189"/>
      <c r="BC1016" s="189"/>
      <c r="BD1016" s="189"/>
      <c r="BE1016" s="189"/>
      <c r="BF1016" s="189"/>
      <c r="BG1016" s="189"/>
      <c r="BH1016" s="189"/>
      <c r="BI1016" s="190"/>
      <c r="BJ1016" s="190"/>
      <c r="BK1016" s="190"/>
      <c r="BL1016" s="190"/>
      <c r="BM1016" s="190"/>
      <c r="BN1016" s="190"/>
      <c r="BO1016" s="190"/>
      <c r="BP1016" s="190"/>
      <c r="BQ1016" s="190"/>
      <c r="BR1016" s="190"/>
      <c r="BS1016" s="190"/>
      <c r="BT1016" s="190"/>
      <c r="BU1016" s="190"/>
      <c r="BV1016" s="190"/>
      <c r="BW1016" s="190"/>
      <c r="BX1016" s="190"/>
      <c r="BY1016" s="190"/>
      <c r="BZ1016" s="190"/>
      <c r="CA1016" s="189"/>
      <c r="CB1016" s="15"/>
    </row>
    <row r="1017" spans="1:80" ht="15" x14ac:dyDescent="0.25">
      <c r="A1017" s="167"/>
      <c r="B1017" s="642"/>
      <c r="C1017" s="642"/>
      <c r="D1017" s="179"/>
      <c r="E1017" s="169"/>
      <c r="F1017" s="169"/>
      <c r="G1017" s="187"/>
      <c r="H1017" s="187"/>
      <c r="I1017" s="187"/>
      <c r="J1017" s="187"/>
      <c r="K1017" s="187"/>
      <c r="L1017" s="647"/>
      <c r="M1017" s="646">
        <v>34136</v>
      </c>
      <c r="N1017" s="585">
        <v>2.31</v>
      </c>
      <c r="O1017" s="585">
        <v>2.2599999999999999E-3</v>
      </c>
      <c r="P1017" s="175">
        <v>0</v>
      </c>
      <c r="Q1017" s="175">
        <v>0</v>
      </c>
      <c r="R1017" s="175">
        <v>0</v>
      </c>
      <c r="S1017" s="175">
        <v>6.9999999999999994E-5</v>
      </c>
      <c r="T1017" s="175">
        <v>4.2999999999999999E-4</v>
      </c>
      <c r="U1017" s="175">
        <v>4.4999999999999999E-4</v>
      </c>
      <c r="V1017" s="706">
        <v>1.32E-3</v>
      </c>
      <c r="W1017" s="717"/>
      <c r="X1017" s="713"/>
      <c r="Y1017" s="718"/>
      <c r="Z1017" s="709">
        <v>8</v>
      </c>
      <c r="AA1017" s="175"/>
      <c r="AB1017" s="200"/>
      <c r="AC1017" s="205">
        <v>5.6000000000000001E-2</v>
      </c>
      <c r="AD1017" s="175">
        <v>5.35</v>
      </c>
      <c r="AE1017" s="175">
        <v>0.37</v>
      </c>
      <c r="AF1017" s="170">
        <f t="shared" si="18"/>
        <v>1.9794999999999998</v>
      </c>
      <c r="AG1017" s="175">
        <v>1.24</v>
      </c>
      <c r="AH1017" s="334"/>
      <c r="AI1017" s="188"/>
      <c r="AJ1017" s="188"/>
      <c r="AK1017" s="188"/>
      <c r="AL1017" s="189"/>
      <c r="AM1017" s="189"/>
      <c r="AN1017" s="189"/>
      <c r="AO1017" s="189"/>
      <c r="AP1017" s="189"/>
      <c r="AQ1017" s="189"/>
      <c r="AR1017" s="189"/>
      <c r="AS1017" s="189"/>
      <c r="AT1017" s="189"/>
      <c r="AU1017" s="190"/>
      <c r="AV1017" s="190"/>
      <c r="AW1017" s="190"/>
      <c r="AX1017" s="190"/>
      <c r="AY1017" s="190"/>
      <c r="AZ1017" s="189"/>
      <c r="BA1017" s="189"/>
      <c r="BB1017" s="189"/>
      <c r="BC1017" s="189"/>
      <c r="BD1017" s="189"/>
      <c r="BE1017" s="189"/>
      <c r="BF1017" s="189"/>
      <c r="BG1017" s="189"/>
      <c r="BH1017" s="189"/>
      <c r="BI1017" s="190"/>
      <c r="BJ1017" s="190"/>
      <c r="BK1017" s="190"/>
      <c r="BL1017" s="190"/>
      <c r="BM1017" s="190"/>
      <c r="BN1017" s="190"/>
      <c r="BO1017" s="190"/>
      <c r="BP1017" s="190"/>
      <c r="BQ1017" s="190"/>
      <c r="BR1017" s="190"/>
      <c r="BS1017" s="190"/>
      <c r="BT1017" s="190"/>
      <c r="BU1017" s="190"/>
      <c r="BV1017" s="190"/>
      <c r="BW1017" s="190"/>
      <c r="BX1017" s="190"/>
      <c r="BY1017" s="190"/>
      <c r="BZ1017" s="190"/>
      <c r="CA1017" s="189"/>
      <c r="CB1017" s="15"/>
    </row>
    <row r="1018" spans="1:80" ht="15" x14ac:dyDescent="0.25">
      <c r="A1018" s="167"/>
      <c r="B1018" s="642"/>
      <c r="C1018" s="642"/>
      <c r="D1018" s="179"/>
      <c r="E1018" s="169"/>
      <c r="F1018" s="169"/>
      <c r="G1018" s="187"/>
      <c r="H1018" s="187"/>
      <c r="I1018" s="187"/>
      <c r="J1018" s="187"/>
      <c r="K1018" s="187"/>
      <c r="L1018" s="647"/>
      <c r="M1018" s="646">
        <v>34137</v>
      </c>
      <c r="N1018" s="585">
        <v>2.88</v>
      </c>
      <c r="O1018" s="585">
        <v>2.3779999999999999E-2</v>
      </c>
      <c r="P1018" s="175">
        <v>0</v>
      </c>
      <c r="Q1018" s="175">
        <v>0</v>
      </c>
      <c r="R1018" s="175">
        <v>3.32E-3</v>
      </c>
      <c r="S1018" s="175">
        <v>5.1500000000000001E-3</v>
      </c>
      <c r="T1018" s="175">
        <v>3.2499999999999999E-3</v>
      </c>
      <c r="U1018" s="175">
        <v>3.8E-3</v>
      </c>
      <c r="V1018" s="706">
        <v>8.26E-3</v>
      </c>
      <c r="W1018" s="717"/>
      <c r="X1018" s="713"/>
      <c r="Y1018" s="718"/>
      <c r="Z1018" s="709">
        <v>27</v>
      </c>
      <c r="AA1018" s="175"/>
      <c r="AB1018" s="200"/>
      <c r="AC1018" s="205">
        <v>5.2999999999999999E-2</v>
      </c>
      <c r="AD1018" s="175">
        <v>5.34</v>
      </c>
      <c r="AE1018" s="175">
        <v>0.41</v>
      </c>
      <c r="AF1018" s="170">
        <f t="shared" si="18"/>
        <v>2.1894</v>
      </c>
      <c r="AG1018" s="175">
        <v>1.29</v>
      </c>
      <c r="AH1018" s="334"/>
      <c r="AI1018" s="188"/>
      <c r="AJ1018" s="188"/>
      <c r="AK1018" s="188"/>
      <c r="AL1018" s="189"/>
      <c r="AM1018" s="189"/>
      <c r="AN1018" s="189"/>
      <c r="AO1018" s="189"/>
      <c r="AP1018" s="189"/>
      <c r="AQ1018" s="189"/>
      <c r="AR1018" s="189"/>
      <c r="AS1018" s="189"/>
      <c r="AT1018" s="189"/>
      <c r="AU1018" s="190"/>
      <c r="AV1018" s="190"/>
      <c r="AW1018" s="190"/>
      <c r="AX1018" s="190"/>
      <c r="AY1018" s="190"/>
      <c r="AZ1018" s="189"/>
      <c r="BA1018" s="189"/>
      <c r="BB1018" s="189"/>
      <c r="BC1018" s="189"/>
      <c r="BD1018" s="189"/>
      <c r="BE1018" s="189"/>
      <c r="BF1018" s="189"/>
      <c r="BG1018" s="189"/>
      <c r="BH1018" s="189"/>
      <c r="BI1018" s="190"/>
      <c r="BJ1018" s="190"/>
      <c r="BK1018" s="190"/>
      <c r="BL1018" s="190"/>
      <c r="BM1018" s="190"/>
      <c r="BN1018" s="190"/>
      <c r="BO1018" s="190"/>
      <c r="BP1018" s="190"/>
      <c r="BQ1018" s="190"/>
      <c r="BR1018" s="190"/>
      <c r="BS1018" s="190"/>
      <c r="BT1018" s="190"/>
      <c r="BU1018" s="190"/>
      <c r="BV1018" s="190"/>
      <c r="BW1018" s="190"/>
      <c r="BX1018" s="190"/>
      <c r="BY1018" s="190"/>
      <c r="BZ1018" s="190"/>
      <c r="CA1018" s="189"/>
      <c r="CB1018" s="15"/>
    </row>
    <row r="1019" spans="1:80" ht="15" x14ac:dyDescent="0.25">
      <c r="A1019" s="167"/>
      <c r="B1019" s="642"/>
      <c r="C1019" s="642"/>
      <c r="D1019" s="179"/>
      <c r="E1019" s="169"/>
      <c r="F1019" s="169"/>
      <c r="G1019" s="187"/>
      <c r="H1019" s="187"/>
      <c r="I1019" s="187"/>
      <c r="J1019" s="187"/>
      <c r="K1019" s="187"/>
      <c r="L1019" s="647"/>
      <c r="M1019" s="646">
        <v>34139</v>
      </c>
      <c r="N1019" s="585">
        <v>3.4</v>
      </c>
      <c r="O1019" s="585">
        <v>5.5079999999999997E-2</v>
      </c>
      <c r="P1019" s="175">
        <v>0</v>
      </c>
      <c r="Q1019" s="175">
        <v>1.2999999999999999E-2</v>
      </c>
      <c r="R1019" s="175">
        <v>2.49E-3</v>
      </c>
      <c r="S1019" s="175">
        <v>7.3400000000000002E-3</v>
      </c>
      <c r="T1019" s="175">
        <v>7.3400000000000002E-3</v>
      </c>
      <c r="U1019" s="175">
        <v>7.0600000000000003E-3</v>
      </c>
      <c r="V1019" s="706">
        <v>1.7860000000000001E-2</v>
      </c>
      <c r="W1019" s="717"/>
      <c r="X1019" s="713"/>
      <c r="Y1019" s="718"/>
      <c r="Z1019" s="709">
        <v>48</v>
      </c>
      <c r="AA1019" s="175"/>
      <c r="AB1019" s="200"/>
      <c r="AC1019" s="205">
        <v>4.9000000000000002E-2</v>
      </c>
      <c r="AD1019" s="175">
        <v>5.4</v>
      </c>
      <c r="AE1019" s="175">
        <v>0.44</v>
      </c>
      <c r="AF1019" s="170">
        <f t="shared" si="18"/>
        <v>2.3760000000000003</v>
      </c>
      <c r="AG1019" s="175">
        <v>1.8</v>
      </c>
      <c r="AH1019" s="334"/>
      <c r="AI1019" s="188"/>
      <c r="AJ1019" s="188"/>
      <c r="AK1019" s="188"/>
      <c r="AL1019" s="189"/>
      <c r="AM1019" s="189"/>
      <c r="AN1019" s="189"/>
      <c r="AO1019" s="189"/>
      <c r="AP1019" s="189"/>
      <c r="AQ1019" s="189"/>
      <c r="AR1019" s="189"/>
      <c r="AS1019" s="189"/>
      <c r="AT1019" s="189"/>
      <c r="AU1019" s="190"/>
      <c r="AV1019" s="190"/>
      <c r="AW1019" s="190"/>
      <c r="AX1019" s="190"/>
      <c r="AY1019" s="190"/>
      <c r="AZ1019" s="189"/>
      <c r="BA1019" s="189"/>
      <c r="BB1019" s="189"/>
      <c r="BC1019" s="189"/>
      <c r="BD1019" s="189"/>
      <c r="BE1019" s="189"/>
      <c r="BF1019" s="189"/>
      <c r="BG1019" s="189"/>
      <c r="BH1019" s="189"/>
      <c r="BI1019" s="190"/>
      <c r="BJ1019" s="190"/>
      <c r="BK1019" s="190"/>
      <c r="BL1019" s="190"/>
      <c r="BM1019" s="190"/>
      <c r="BN1019" s="190"/>
      <c r="BO1019" s="190"/>
      <c r="BP1019" s="190"/>
      <c r="BQ1019" s="190"/>
      <c r="BR1019" s="190"/>
      <c r="BS1019" s="190"/>
      <c r="BT1019" s="190"/>
      <c r="BU1019" s="190"/>
      <c r="BV1019" s="190"/>
      <c r="BW1019" s="190"/>
      <c r="BX1019" s="190"/>
      <c r="BY1019" s="190"/>
      <c r="BZ1019" s="190"/>
      <c r="CA1019" s="189"/>
      <c r="CB1019" s="15"/>
    </row>
    <row r="1020" spans="1:80" ht="15" x14ac:dyDescent="0.25">
      <c r="A1020" s="167"/>
      <c r="B1020" s="642"/>
      <c r="C1020" s="642"/>
      <c r="D1020" s="179"/>
      <c r="E1020" s="169"/>
      <c r="F1020" s="169"/>
      <c r="G1020" s="187"/>
      <c r="H1020" s="187"/>
      <c r="I1020" s="187"/>
      <c r="J1020" s="187"/>
      <c r="K1020" s="187"/>
      <c r="L1020" s="647"/>
      <c r="M1020" s="646">
        <v>34140</v>
      </c>
      <c r="N1020" s="585">
        <v>3.35</v>
      </c>
      <c r="O1020" s="585">
        <v>3.6380000000000003E-2</v>
      </c>
      <c r="P1020" s="175">
        <v>0</v>
      </c>
      <c r="Q1020" s="175">
        <v>3.81E-3</v>
      </c>
      <c r="R1020" s="175">
        <v>4.0600000000000002E-3</v>
      </c>
      <c r="S1020" s="175">
        <v>6.6400000000000001E-3</v>
      </c>
      <c r="T1020" s="175">
        <v>5.0800000000000003E-3</v>
      </c>
      <c r="U1020" s="175">
        <v>5.4599999999999996E-3</v>
      </c>
      <c r="V1020" s="706">
        <v>1.133E-2</v>
      </c>
      <c r="W1020" s="717"/>
      <c r="X1020" s="713"/>
      <c r="Y1020" s="718"/>
      <c r="Z1020" s="709">
        <v>43</v>
      </c>
      <c r="AA1020" s="175"/>
      <c r="AB1020" s="200"/>
      <c r="AC1020" s="205">
        <v>4.5999999999999999E-2</v>
      </c>
      <c r="AD1020" s="175">
        <v>5.37</v>
      </c>
      <c r="AE1020" s="175">
        <v>0.44</v>
      </c>
      <c r="AF1020" s="170">
        <f t="shared" si="18"/>
        <v>2.3628</v>
      </c>
      <c r="AG1020" s="175">
        <v>1.43</v>
      </c>
      <c r="AH1020" s="334"/>
      <c r="AI1020" s="188"/>
      <c r="AJ1020" s="188"/>
      <c r="AK1020" s="188"/>
      <c r="AL1020" s="189"/>
      <c r="AM1020" s="189"/>
      <c r="AN1020" s="189"/>
      <c r="AO1020" s="189"/>
      <c r="AP1020" s="189"/>
      <c r="AQ1020" s="189"/>
      <c r="AR1020" s="189"/>
      <c r="AS1020" s="189"/>
      <c r="AT1020" s="189"/>
      <c r="AU1020" s="190"/>
      <c r="AV1020" s="190"/>
      <c r="AW1020" s="190"/>
      <c r="AX1020" s="190"/>
      <c r="AY1020" s="190"/>
      <c r="AZ1020" s="189"/>
      <c r="BA1020" s="189"/>
      <c r="BB1020" s="189"/>
      <c r="BC1020" s="189"/>
      <c r="BD1020" s="189"/>
      <c r="BE1020" s="189"/>
      <c r="BF1020" s="189"/>
      <c r="BG1020" s="189"/>
      <c r="BH1020" s="189"/>
      <c r="BI1020" s="190"/>
      <c r="BJ1020" s="190"/>
      <c r="BK1020" s="190"/>
      <c r="BL1020" s="190"/>
      <c r="BM1020" s="190"/>
      <c r="BN1020" s="190"/>
      <c r="BO1020" s="190"/>
      <c r="BP1020" s="190"/>
      <c r="BQ1020" s="190"/>
      <c r="BR1020" s="190"/>
      <c r="BS1020" s="190"/>
      <c r="BT1020" s="190"/>
      <c r="BU1020" s="190"/>
      <c r="BV1020" s="190"/>
      <c r="BW1020" s="190"/>
      <c r="BX1020" s="190"/>
      <c r="BY1020" s="190"/>
      <c r="BZ1020" s="190"/>
      <c r="CA1020" s="189"/>
      <c r="CB1020" s="15"/>
    </row>
    <row r="1021" spans="1:80" ht="15" x14ac:dyDescent="0.25">
      <c r="A1021" s="192"/>
      <c r="B1021" s="647"/>
      <c r="C1021" s="647"/>
      <c r="D1021" s="217"/>
      <c r="E1021" s="160"/>
      <c r="F1021" s="160"/>
      <c r="G1021" s="187"/>
      <c r="H1021" s="187"/>
      <c r="I1021" s="187"/>
      <c r="J1021" s="187"/>
      <c r="K1021" s="187"/>
      <c r="L1021" s="647"/>
      <c r="M1021" s="646">
        <v>34142</v>
      </c>
      <c r="N1021" s="585">
        <v>2.94</v>
      </c>
      <c r="O1021" s="585">
        <v>2.2069999999999999E-2</v>
      </c>
      <c r="P1021" s="175">
        <v>0</v>
      </c>
      <c r="Q1021" s="175">
        <v>0</v>
      </c>
      <c r="R1021" s="175">
        <v>2.5999999999999999E-3</v>
      </c>
      <c r="S1021" s="175">
        <v>3.6600000000000001E-3</v>
      </c>
      <c r="T1021" s="175">
        <v>3.9399999999999999E-3</v>
      </c>
      <c r="U1021" s="175">
        <v>4.5300000000000002E-3</v>
      </c>
      <c r="V1021" s="706">
        <v>7.3299999999999997E-3</v>
      </c>
      <c r="W1021" s="717"/>
      <c r="X1021" s="713"/>
      <c r="Y1021" s="718"/>
      <c r="Z1021" s="709">
        <v>32</v>
      </c>
      <c r="AA1021" s="175"/>
      <c r="AB1021" s="200"/>
      <c r="AC1021" s="205">
        <v>4.3999999999999997E-2</v>
      </c>
      <c r="AD1021" s="175">
        <v>5.35</v>
      </c>
      <c r="AE1021" s="175">
        <v>0.37</v>
      </c>
      <c r="AF1021" s="170">
        <f t="shared" si="18"/>
        <v>1.9794999999999998</v>
      </c>
      <c r="AG1021" s="175">
        <v>1.46</v>
      </c>
      <c r="AH1021" s="334"/>
      <c r="AI1021" s="188"/>
      <c r="AJ1021" s="188"/>
      <c r="AK1021" s="188"/>
      <c r="AL1021" s="189"/>
      <c r="AM1021" s="189"/>
      <c r="AN1021" s="189"/>
      <c r="AO1021" s="189"/>
      <c r="AP1021" s="189"/>
      <c r="AQ1021" s="189"/>
      <c r="AR1021" s="189"/>
      <c r="AS1021" s="189"/>
      <c r="AT1021" s="189"/>
      <c r="AU1021" s="190"/>
      <c r="AV1021" s="190"/>
      <c r="AW1021" s="190"/>
      <c r="AX1021" s="190"/>
      <c r="AY1021" s="190"/>
      <c r="AZ1021" s="189"/>
      <c r="BA1021" s="189"/>
      <c r="BB1021" s="189"/>
      <c r="BC1021" s="189"/>
      <c r="BD1021" s="189"/>
      <c r="BE1021" s="189"/>
      <c r="BF1021" s="189"/>
      <c r="BG1021" s="189"/>
      <c r="BH1021" s="189"/>
      <c r="BI1021" s="190"/>
      <c r="BJ1021" s="190"/>
      <c r="BK1021" s="190"/>
      <c r="BL1021" s="190"/>
      <c r="BM1021" s="190"/>
      <c r="BN1021" s="190"/>
      <c r="BO1021" s="190"/>
      <c r="BP1021" s="190"/>
      <c r="BQ1021" s="190"/>
      <c r="BR1021" s="190"/>
      <c r="BS1021" s="190"/>
      <c r="BT1021" s="190"/>
      <c r="BU1021" s="190"/>
      <c r="BV1021" s="190"/>
      <c r="BW1021" s="190"/>
      <c r="BX1021" s="190"/>
      <c r="BY1021" s="190"/>
      <c r="BZ1021" s="190"/>
      <c r="CA1021" s="189"/>
      <c r="CB1021" s="15"/>
    </row>
    <row r="1022" spans="1:80" ht="15" x14ac:dyDescent="0.25">
      <c r="A1022" s="192"/>
      <c r="B1022" s="647"/>
      <c r="C1022" s="647"/>
      <c r="D1022" s="217"/>
      <c r="E1022" s="160"/>
      <c r="F1022" s="160"/>
      <c r="G1022" s="187"/>
      <c r="H1022" s="187"/>
      <c r="I1022" s="187"/>
      <c r="J1022" s="187"/>
      <c r="K1022" s="187"/>
      <c r="L1022" s="647"/>
      <c r="M1022" s="646">
        <v>34144</v>
      </c>
      <c r="N1022" s="585">
        <v>2.64</v>
      </c>
      <c r="O1022" s="585">
        <v>5.1000000000000004E-3</v>
      </c>
      <c r="P1022" s="175">
        <v>0</v>
      </c>
      <c r="Q1022" s="175">
        <v>0</v>
      </c>
      <c r="R1022" s="175">
        <v>0</v>
      </c>
      <c r="S1022" s="175">
        <v>4.8000000000000001E-4</v>
      </c>
      <c r="T1022" s="175">
        <v>1.08E-3</v>
      </c>
      <c r="U1022" s="175">
        <v>1.1100000000000001E-3</v>
      </c>
      <c r="V1022" s="706">
        <v>2.4299999999999999E-3</v>
      </c>
      <c r="W1022" s="717"/>
      <c r="X1022" s="713"/>
      <c r="Y1022" s="718"/>
      <c r="Z1022" s="709">
        <v>17</v>
      </c>
      <c r="AA1022" s="175"/>
      <c r="AB1022" s="200"/>
      <c r="AC1022" s="205">
        <v>5.0999999999999997E-2</v>
      </c>
      <c r="AD1022" s="175">
        <v>5.36</v>
      </c>
      <c r="AE1022" s="175">
        <v>0.38</v>
      </c>
      <c r="AF1022" s="170">
        <f t="shared" si="18"/>
        <v>2.0367999999999999</v>
      </c>
      <c r="AG1022" s="175">
        <v>1.21</v>
      </c>
      <c r="AH1022" s="334"/>
      <c r="AI1022" s="188"/>
      <c r="AJ1022" s="188"/>
      <c r="AK1022" s="188"/>
      <c r="AL1022" s="189"/>
      <c r="AM1022" s="189"/>
      <c r="AN1022" s="189"/>
      <c r="AO1022" s="189"/>
      <c r="AP1022" s="189"/>
      <c r="AQ1022" s="189"/>
      <c r="AR1022" s="189"/>
      <c r="AS1022" s="189"/>
      <c r="AT1022" s="189"/>
      <c r="AU1022" s="190"/>
      <c r="AV1022" s="190"/>
      <c r="AW1022" s="190"/>
      <c r="AX1022" s="190"/>
      <c r="AY1022" s="190"/>
      <c r="AZ1022" s="189"/>
      <c r="BA1022" s="189"/>
      <c r="BB1022" s="189"/>
      <c r="BC1022" s="189"/>
      <c r="BD1022" s="189"/>
      <c r="BE1022" s="189"/>
      <c r="BF1022" s="189"/>
      <c r="BG1022" s="189"/>
      <c r="BH1022" s="189"/>
      <c r="BI1022" s="190"/>
      <c r="BJ1022" s="190"/>
      <c r="BK1022" s="190"/>
      <c r="BL1022" s="190"/>
      <c r="BM1022" s="190"/>
      <c r="BN1022" s="190"/>
      <c r="BO1022" s="190"/>
      <c r="BP1022" s="190"/>
      <c r="BQ1022" s="190"/>
      <c r="BR1022" s="190"/>
      <c r="BS1022" s="190"/>
      <c r="BT1022" s="190"/>
      <c r="BU1022" s="190"/>
      <c r="BV1022" s="190"/>
      <c r="BW1022" s="190"/>
      <c r="BX1022" s="190"/>
      <c r="BY1022" s="190"/>
      <c r="BZ1022" s="190"/>
      <c r="CA1022" s="189"/>
      <c r="CB1022" s="15"/>
    </row>
    <row r="1023" spans="1:80" ht="15" x14ac:dyDescent="0.25">
      <c r="A1023" s="192"/>
      <c r="B1023" s="647"/>
      <c r="C1023" s="647"/>
      <c r="D1023" s="217"/>
      <c r="E1023" s="160"/>
      <c r="F1023" s="160"/>
      <c r="G1023" s="187"/>
      <c r="H1023" s="187"/>
      <c r="I1023" s="187"/>
      <c r="J1023" s="187"/>
      <c r="K1023" s="187"/>
      <c r="L1023" s="647"/>
      <c r="M1023" s="646">
        <v>34145</v>
      </c>
      <c r="N1023" s="585">
        <v>2.4500000000000002</v>
      </c>
      <c r="O1023" s="585">
        <v>9.8700000000000003E-3</v>
      </c>
      <c r="P1023" s="175">
        <v>0</v>
      </c>
      <c r="Q1023" s="175">
        <v>0</v>
      </c>
      <c r="R1023" s="175">
        <v>0</v>
      </c>
      <c r="S1023" s="175">
        <v>6.3000000000000003E-4</v>
      </c>
      <c r="T1023" s="175">
        <v>2.3800000000000002E-3</v>
      </c>
      <c r="U1023" s="175">
        <v>2.82E-3</v>
      </c>
      <c r="V1023" s="706">
        <v>4.0299999999999997E-3</v>
      </c>
      <c r="W1023" s="717"/>
      <c r="X1023" s="713"/>
      <c r="Y1023" s="718"/>
      <c r="Z1023" s="709">
        <v>15</v>
      </c>
      <c r="AA1023" s="175"/>
      <c r="AB1023" s="200"/>
      <c r="AC1023" s="205">
        <v>5.2999999999999999E-2</v>
      </c>
      <c r="AD1023" s="175">
        <v>5.34</v>
      </c>
      <c r="AE1023" s="175">
        <v>0.37</v>
      </c>
      <c r="AF1023" s="170">
        <f t="shared" si="18"/>
        <v>1.9758</v>
      </c>
      <c r="AG1023" s="175">
        <v>1.2</v>
      </c>
      <c r="AH1023" s="334"/>
      <c r="AI1023" s="188"/>
      <c r="AJ1023" s="188"/>
      <c r="AK1023" s="188"/>
      <c r="AL1023" s="189"/>
      <c r="AM1023" s="189"/>
      <c r="AN1023" s="189"/>
      <c r="AO1023" s="189"/>
      <c r="AP1023" s="189"/>
      <c r="AQ1023" s="189"/>
      <c r="AR1023" s="189"/>
      <c r="AS1023" s="189"/>
      <c r="AT1023" s="189"/>
      <c r="AU1023" s="190"/>
      <c r="AV1023" s="190"/>
      <c r="AW1023" s="190"/>
      <c r="AX1023" s="190"/>
      <c r="AY1023" s="190"/>
      <c r="AZ1023" s="189"/>
      <c r="BA1023" s="189"/>
      <c r="BB1023" s="189"/>
      <c r="BC1023" s="189"/>
      <c r="BD1023" s="189"/>
      <c r="BE1023" s="189"/>
      <c r="BF1023" s="189"/>
      <c r="BG1023" s="189"/>
      <c r="BH1023" s="189"/>
      <c r="BI1023" s="190"/>
      <c r="BJ1023" s="190"/>
      <c r="BK1023" s="190"/>
      <c r="BL1023" s="190"/>
      <c r="BM1023" s="190"/>
      <c r="BN1023" s="190"/>
      <c r="BO1023" s="190"/>
      <c r="BP1023" s="190"/>
      <c r="BQ1023" s="190"/>
      <c r="BR1023" s="190"/>
      <c r="BS1023" s="190"/>
      <c r="BT1023" s="190"/>
      <c r="BU1023" s="190"/>
      <c r="BV1023" s="190"/>
      <c r="BW1023" s="190"/>
      <c r="BX1023" s="190"/>
      <c r="BY1023" s="190"/>
      <c r="BZ1023" s="190"/>
      <c r="CA1023" s="189"/>
      <c r="CB1023" s="15"/>
    </row>
    <row r="1024" spans="1:80" ht="15" x14ac:dyDescent="0.25">
      <c r="A1024" s="192"/>
      <c r="B1024" s="647"/>
      <c r="C1024" s="647"/>
      <c r="D1024" s="217"/>
      <c r="E1024" s="160"/>
      <c r="F1024" s="160"/>
      <c r="G1024" s="187"/>
      <c r="H1024" s="187"/>
      <c r="I1024" s="187"/>
      <c r="J1024" s="187"/>
      <c r="K1024" s="187"/>
      <c r="L1024" s="647"/>
      <c r="M1024" s="646">
        <v>34145</v>
      </c>
      <c r="N1024" s="585">
        <v>2.69</v>
      </c>
      <c r="O1024" s="585">
        <v>7.3299999999999997E-3</v>
      </c>
      <c r="P1024" s="175">
        <v>0</v>
      </c>
      <c r="Q1024" s="175">
        <v>0</v>
      </c>
      <c r="R1024" s="175">
        <v>0</v>
      </c>
      <c r="S1024" s="175">
        <v>5.0000000000000001E-4</v>
      </c>
      <c r="T1024" s="175">
        <v>1.2099999999999999E-3</v>
      </c>
      <c r="U1024" s="175">
        <v>2.1199999999999999E-3</v>
      </c>
      <c r="V1024" s="706">
        <v>3.5000000000000001E-3</v>
      </c>
      <c r="W1024" s="717"/>
      <c r="X1024" s="713"/>
      <c r="Y1024" s="718"/>
      <c r="Z1024" s="709">
        <v>11</v>
      </c>
      <c r="AA1024" s="175"/>
      <c r="AB1024" s="200"/>
      <c r="AC1024" s="205">
        <v>5.2999999999999999E-2</v>
      </c>
      <c r="AD1024" s="175">
        <v>5.34</v>
      </c>
      <c r="AE1024" s="175">
        <v>0.37</v>
      </c>
      <c r="AF1024" s="170">
        <f t="shared" si="18"/>
        <v>1.9758</v>
      </c>
      <c r="AG1024" s="175">
        <v>1.31</v>
      </c>
      <c r="AH1024" s="334"/>
      <c r="AI1024" s="188"/>
      <c r="AJ1024" s="188"/>
      <c r="AK1024" s="188"/>
      <c r="AL1024" s="189"/>
      <c r="AM1024" s="189"/>
      <c r="AN1024" s="189"/>
      <c r="AO1024" s="189"/>
      <c r="AP1024" s="189"/>
      <c r="AQ1024" s="189"/>
      <c r="AR1024" s="189"/>
      <c r="AS1024" s="189"/>
      <c r="AT1024" s="189"/>
      <c r="AU1024" s="190"/>
      <c r="AV1024" s="190"/>
      <c r="AW1024" s="190"/>
      <c r="AX1024" s="190"/>
      <c r="AY1024" s="190"/>
      <c r="AZ1024" s="189"/>
      <c r="BA1024" s="189"/>
      <c r="BB1024" s="189"/>
      <c r="BC1024" s="189"/>
      <c r="BD1024" s="189"/>
      <c r="BE1024" s="189"/>
      <c r="BF1024" s="189"/>
      <c r="BG1024" s="189"/>
      <c r="BH1024" s="189"/>
      <c r="BI1024" s="190"/>
      <c r="BJ1024" s="190"/>
      <c r="BK1024" s="190"/>
      <c r="BL1024" s="190"/>
      <c r="BM1024" s="190"/>
      <c r="BN1024" s="190"/>
      <c r="BO1024" s="190"/>
      <c r="BP1024" s="190"/>
      <c r="BQ1024" s="190"/>
      <c r="BR1024" s="190"/>
      <c r="BS1024" s="190"/>
      <c r="BT1024" s="190"/>
      <c r="BU1024" s="190"/>
      <c r="BV1024" s="190"/>
      <c r="BW1024" s="190"/>
      <c r="BX1024" s="190"/>
      <c r="BY1024" s="190"/>
      <c r="BZ1024" s="190"/>
      <c r="CA1024" s="189"/>
      <c r="CB1024" s="15"/>
    </row>
    <row r="1025" spans="1:80" ht="15" x14ac:dyDescent="0.25">
      <c r="A1025" s="192"/>
      <c r="B1025" s="647"/>
      <c r="C1025" s="647"/>
      <c r="D1025" s="217"/>
      <c r="E1025" s="160"/>
      <c r="F1025" s="160"/>
      <c r="G1025" s="187"/>
      <c r="H1025" s="187"/>
      <c r="I1025" s="187"/>
      <c r="J1025" s="187"/>
      <c r="K1025" s="187"/>
      <c r="L1025" s="647"/>
      <c r="M1025" s="646">
        <v>34146</v>
      </c>
      <c r="N1025" s="585">
        <v>2.4500000000000002</v>
      </c>
      <c r="O1025" s="585">
        <v>1.694E-2</v>
      </c>
      <c r="P1025" s="175">
        <v>0</v>
      </c>
      <c r="Q1025" s="175">
        <v>0</v>
      </c>
      <c r="R1025" s="175">
        <v>0</v>
      </c>
      <c r="S1025" s="175">
        <v>1.98E-3</v>
      </c>
      <c r="T1025" s="175">
        <v>3.79E-3</v>
      </c>
      <c r="U1025" s="175">
        <v>4.7999999999999996E-3</v>
      </c>
      <c r="V1025" s="706">
        <v>6.3600000000000002E-3</v>
      </c>
      <c r="W1025" s="717"/>
      <c r="X1025" s="713"/>
      <c r="Y1025" s="718"/>
      <c r="Z1025" s="709">
        <v>14</v>
      </c>
      <c r="AA1025" s="175"/>
      <c r="AB1025" s="200"/>
      <c r="AC1025" s="205">
        <v>5.3999999999999999E-2</v>
      </c>
      <c r="AD1025" s="175">
        <v>5.37</v>
      </c>
      <c r="AE1025" s="175">
        <v>0.37</v>
      </c>
      <c r="AF1025" s="170">
        <f t="shared" si="18"/>
        <v>1.9869000000000001</v>
      </c>
      <c r="AG1025" s="175">
        <v>1.1399999999999999</v>
      </c>
      <c r="AH1025" s="334"/>
      <c r="AI1025" s="188"/>
      <c r="AJ1025" s="188"/>
      <c r="AK1025" s="188"/>
      <c r="AL1025" s="189"/>
      <c r="AM1025" s="189"/>
      <c r="AN1025" s="189"/>
      <c r="AO1025" s="189"/>
      <c r="AP1025" s="189"/>
      <c r="AQ1025" s="189"/>
      <c r="AR1025" s="189"/>
      <c r="AS1025" s="189"/>
      <c r="AT1025" s="189"/>
      <c r="AU1025" s="190"/>
      <c r="AV1025" s="190"/>
      <c r="AW1025" s="190"/>
      <c r="AX1025" s="190"/>
      <c r="AY1025" s="190"/>
      <c r="AZ1025" s="189"/>
      <c r="BA1025" s="189"/>
      <c r="BB1025" s="189"/>
      <c r="BC1025" s="189"/>
      <c r="BD1025" s="189"/>
      <c r="BE1025" s="189"/>
      <c r="BF1025" s="189"/>
      <c r="BG1025" s="189"/>
      <c r="BH1025" s="189"/>
      <c r="BI1025" s="190"/>
      <c r="BJ1025" s="190"/>
      <c r="BK1025" s="190"/>
      <c r="BL1025" s="190"/>
      <c r="BM1025" s="190"/>
      <c r="BN1025" s="190"/>
      <c r="BO1025" s="190"/>
      <c r="BP1025" s="190"/>
      <c r="BQ1025" s="190"/>
      <c r="BR1025" s="190"/>
      <c r="BS1025" s="190"/>
      <c r="BT1025" s="190"/>
      <c r="BU1025" s="190"/>
      <c r="BV1025" s="190"/>
      <c r="BW1025" s="190"/>
      <c r="BX1025" s="190"/>
      <c r="BY1025" s="190"/>
      <c r="BZ1025" s="190"/>
      <c r="CA1025" s="189"/>
      <c r="CB1025" s="15"/>
    </row>
    <row r="1026" spans="1:80" ht="15" x14ac:dyDescent="0.25">
      <c r="A1026" s="192"/>
      <c r="B1026" s="647"/>
      <c r="C1026" s="647"/>
      <c r="D1026" s="217"/>
      <c r="E1026" s="160"/>
      <c r="F1026" s="160"/>
      <c r="G1026" s="187"/>
      <c r="H1026" s="187"/>
      <c r="I1026" s="187"/>
      <c r="J1026" s="187"/>
      <c r="K1026" s="187"/>
      <c r="L1026" s="647"/>
      <c r="M1026" s="646">
        <v>34149</v>
      </c>
      <c r="N1026" s="585">
        <v>2.21</v>
      </c>
      <c r="O1026" s="585">
        <v>1.65E-3</v>
      </c>
      <c r="P1026" s="175">
        <v>0</v>
      </c>
      <c r="Q1026" s="175">
        <v>0</v>
      </c>
      <c r="R1026" s="175">
        <v>0</v>
      </c>
      <c r="S1026" s="175">
        <v>6.0000000000000002E-5</v>
      </c>
      <c r="T1026" s="175">
        <v>9.0000000000000006E-5</v>
      </c>
      <c r="U1026" s="175">
        <v>3.8000000000000002E-4</v>
      </c>
      <c r="V1026" s="706">
        <v>1.1199999999999999E-3</v>
      </c>
      <c r="W1026" s="717"/>
      <c r="X1026" s="713"/>
      <c r="Y1026" s="718"/>
      <c r="Z1026" s="709">
        <v>12</v>
      </c>
      <c r="AA1026" s="175"/>
      <c r="AB1026" s="200"/>
      <c r="AC1026" s="205">
        <v>5.1999999999999998E-2</v>
      </c>
      <c r="AD1026" s="175">
        <v>5.32</v>
      </c>
      <c r="AE1026" s="175">
        <v>0.37</v>
      </c>
      <c r="AF1026" s="170">
        <f t="shared" si="18"/>
        <v>1.9684000000000001</v>
      </c>
      <c r="AG1026" s="175">
        <v>1.02</v>
      </c>
      <c r="AH1026" s="334"/>
      <c r="AI1026" s="188"/>
      <c r="AJ1026" s="188"/>
      <c r="AK1026" s="188"/>
      <c r="AL1026" s="189"/>
      <c r="AM1026" s="189"/>
      <c r="AN1026" s="189"/>
      <c r="AO1026" s="189"/>
      <c r="AP1026" s="189"/>
      <c r="AQ1026" s="189"/>
      <c r="AR1026" s="189"/>
      <c r="AS1026" s="189"/>
      <c r="AT1026" s="189"/>
      <c r="AU1026" s="190"/>
      <c r="AV1026" s="190"/>
      <c r="AW1026" s="190"/>
      <c r="AX1026" s="190"/>
      <c r="AY1026" s="190"/>
      <c r="AZ1026" s="189"/>
      <c r="BA1026" s="189"/>
      <c r="BB1026" s="189"/>
      <c r="BC1026" s="189"/>
      <c r="BD1026" s="189"/>
      <c r="BE1026" s="189"/>
      <c r="BF1026" s="189"/>
      <c r="BG1026" s="189"/>
      <c r="BH1026" s="189"/>
      <c r="BI1026" s="190"/>
      <c r="BJ1026" s="190"/>
      <c r="BK1026" s="190"/>
      <c r="BL1026" s="190"/>
      <c r="BM1026" s="190"/>
      <c r="BN1026" s="190"/>
      <c r="BO1026" s="190"/>
      <c r="BP1026" s="190"/>
      <c r="BQ1026" s="190"/>
      <c r="BR1026" s="190"/>
      <c r="BS1026" s="190"/>
      <c r="BT1026" s="190"/>
      <c r="BU1026" s="190"/>
      <c r="BV1026" s="190"/>
      <c r="BW1026" s="190"/>
      <c r="BX1026" s="190"/>
      <c r="BY1026" s="190"/>
      <c r="BZ1026" s="190"/>
      <c r="CA1026" s="189"/>
      <c r="CB1026" s="15"/>
    </row>
    <row r="1027" spans="1:80" ht="15" x14ac:dyDescent="0.25">
      <c r="A1027" s="192"/>
      <c r="B1027" s="647"/>
      <c r="C1027" s="647"/>
      <c r="D1027" s="217"/>
      <c r="E1027" s="160"/>
      <c r="F1027" s="160"/>
      <c r="G1027" s="187"/>
      <c r="H1027" s="187"/>
      <c r="I1027" s="187"/>
      <c r="J1027" s="187"/>
      <c r="K1027" s="187"/>
      <c r="L1027" s="647"/>
      <c r="M1027" s="646">
        <v>34150</v>
      </c>
      <c r="N1027" s="585">
        <v>2.08</v>
      </c>
      <c r="O1027" s="585">
        <v>1.1809999999999999E-2</v>
      </c>
      <c r="P1027" s="175">
        <v>0</v>
      </c>
      <c r="Q1027" s="175">
        <v>0</v>
      </c>
      <c r="R1027" s="175">
        <v>0</v>
      </c>
      <c r="S1027" s="175">
        <v>2.5999999999999998E-4</v>
      </c>
      <c r="T1027" s="175">
        <v>1.4499999999999999E-3</v>
      </c>
      <c r="U1027" s="175">
        <v>3.2200000000000002E-3</v>
      </c>
      <c r="V1027" s="706">
        <v>6.8900000000000003E-3</v>
      </c>
      <c r="W1027" s="717"/>
      <c r="X1027" s="713"/>
      <c r="Y1027" s="718"/>
      <c r="Z1027" s="709">
        <v>11</v>
      </c>
      <c r="AA1027" s="175"/>
      <c r="AB1027" s="200"/>
      <c r="AC1027" s="205">
        <v>5.2999999999999999E-2</v>
      </c>
      <c r="AD1027" s="175">
        <v>5.32</v>
      </c>
      <c r="AE1027" s="175">
        <v>0.32</v>
      </c>
      <c r="AF1027" s="170">
        <f t="shared" si="18"/>
        <v>1.7024000000000001</v>
      </c>
      <c r="AG1027" s="175">
        <v>0.97</v>
      </c>
      <c r="AH1027" s="334"/>
      <c r="AI1027" s="188"/>
      <c r="AJ1027" s="188"/>
      <c r="AK1027" s="188"/>
      <c r="AL1027" s="189"/>
      <c r="AM1027" s="189"/>
      <c r="AN1027" s="189"/>
      <c r="AO1027" s="189"/>
      <c r="AP1027" s="189"/>
      <c r="AQ1027" s="189"/>
      <c r="AR1027" s="189"/>
      <c r="AS1027" s="189"/>
      <c r="AT1027" s="189"/>
      <c r="AU1027" s="190"/>
      <c r="AV1027" s="190"/>
      <c r="AW1027" s="190"/>
      <c r="AX1027" s="190"/>
      <c r="AY1027" s="190"/>
      <c r="AZ1027" s="189"/>
      <c r="BA1027" s="189"/>
      <c r="BB1027" s="189"/>
      <c r="BC1027" s="189"/>
      <c r="BD1027" s="189"/>
      <c r="BE1027" s="189"/>
      <c r="BF1027" s="189"/>
      <c r="BG1027" s="189"/>
      <c r="BH1027" s="189"/>
      <c r="BI1027" s="190"/>
      <c r="BJ1027" s="190"/>
      <c r="BK1027" s="190"/>
      <c r="BL1027" s="190"/>
      <c r="BM1027" s="190"/>
      <c r="BN1027" s="190"/>
      <c r="BO1027" s="190"/>
      <c r="BP1027" s="190"/>
      <c r="BQ1027" s="190"/>
      <c r="BR1027" s="190"/>
      <c r="BS1027" s="190"/>
      <c r="BT1027" s="190"/>
      <c r="BU1027" s="190"/>
      <c r="BV1027" s="190"/>
      <c r="BW1027" s="190"/>
      <c r="BX1027" s="190"/>
      <c r="BY1027" s="190"/>
      <c r="BZ1027" s="190"/>
      <c r="CA1027" s="189"/>
      <c r="CB1027" s="15"/>
    </row>
    <row r="1028" spans="1:80" ht="15" x14ac:dyDescent="0.25">
      <c r="A1028" s="206"/>
      <c r="B1028" s="649"/>
      <c r="C1028" s="649"/>
      <c r="D1028" s="696"/>
      <c r="E1028" s="209"/>
      <c r="F1028" s="209"/>
      <c r="G1028" s="198"/>
      <c r="H1028" s="198"/>
      <c r="I1028" s="198"/>
      <c r="J1028" s="198"/>
      <c r="K1028" s="198"/>
      <c r="L1028" s="649"/>
      <c r="M1028" s="651">
        <v>34151</v>
      </c>
      <c r="N1028" s="589">
        <v>1.95</v>
      </c>
      <c r="O1028" s="589">
        <v>6.8999999999999997E-4</v>
      </c>
      <c r="P1028" s="193">
        <v>0</v>
      </c>
      <c r="Q1028" s="193">
        <v>0</v>
      </c>
      <c r="R1028" s="193">
        <v>0</v>
      </c>
      <c r="S1028" s="193">
        <v>1.2999999999999999E-4</v>
      </c>
      <c r="T1028" s="193">
        <v>5.0000000000000002E-5</v>
      </c>
      <c r="U1028" s="193">
        <v>9.0000000000000006E-5</v>
      </c>
      <c r="V1028" s="707">
        <v>4.2000000000000002E-4</v>
      </c>
      <c r="W1028" s="719"/>
      <c r="X1028" s="720"/>
      <c r="Y1028" s="721"/>
      <c r="Z1028" s="710">
        <v>12</v>
      </c>
      <c r="AA1028" s="193"/>
      <c r="AB1028" s="203"/>
      <c r="AC1028" s="207">
        <v>5.0999999999999997E-2</v>
      </c>
      <c r="AD1028" s="193">
        <v>5.32</v>
      </c>
      <c r="AE1028" s="193">
        <v>0.34</v>
      </c>
      <c r="AF1028" s="208">
        <f t="shared" si="18"/>
        <v>1.8088000000000002</v>
      </c>
      <c r="AG1028" s="193">
        <v>1.03</v>
      </c>
      <c r="AH1028" s="334"/>
      <c r="AI1028" s="188"/>
      <c r="AJ1028" s="188"/>
      <c r="AK1028" s="188"/>
      <c r="AL1028" s="189"/>
      <c r="AM1028" s="189"/>
      <c r="AN1028" s="189"/>
      <c r="AO1028" s="189"/>
      <c r="AP1028" s="189"/>
      <c r="AQ1028" s="189"/>
      <c r="AR1028" s="189"/>
      <c r="AS1028" s="189"/>
      <c r="AT1028" s="189"/>
      <c r="AU1028" s="190"/>
      <c r="AV1028" s="190"/>
      <c r="AW1028" s="190"/>
      <c r="AX1028" s="190"/>
      <c r="AY1028" s="190"/>
      <c r="AZ1028" s="189"/>
      <c r="BA1028" s="189"/>
      <c r="BB1028" s="189"/>
      <c r="BC1028" s="189"/>
      <c r="BD1028" s="189"/>
      <c r="BE1028" s="189"/>
      <c r="BF1028" s="189"/>
      <c r="BG1028" s="189"/>
      <c r="BH1028" s="189"/>
      <c r="BI1028" s="190"/>
      <c r="BJ1028" s="190"/>
      <c r="BK1028" s="190"/>
      <c r="BL1028" s="190"/>
      <c r="BM1028" s="190"/>
      <c r="BN1028" s="190"/>
      <c r="BO1028" s="190"/>
      <c r="BP1028" s="190"/>
      <c r="BQ1028" s="190"/>
      <c r="BR1028" s="190"/>
      <c r="BS1028" s="190"/>
      <c r="BT1028" s="190"/>
      <c r="BU1028" s="190"/>
      <c r="BV1028" s="190"/>
      <c r="BW1028" s="190"/>
      <c r="BX1028" s="190"/>
      <c r="BY1028" s="190"/>
      <c r="BZ1028" s="190"/>
      <c r="CA1028" s="189"/>
      <c r="CB1028" s="15"/>
    </row>
    <row r="1029" spans="1:80" ht="15" x14ac:dyDescent="0.25">
      <c r="A1029" s="9" t="s">
        <v>52</v>
      </c>
      <c r="B1029" s="639" t="s">
        <v>53</v>
      </c>
      <c r="C1029" s="639"/>
      <c r="D1029" s="4">
        <f>VLOOKUP(E1029,'Quality Code'!D4:E24,2,TRUE)*VLOOKUP(MROUND(F1029,10),'Quality Code'!D28:E69,2,TRUE)*VLOOKUP(5,'Quality Code'!D73:E93,2,TRUE)</f>
        <v>2.25</v>
      </c>
      <c r="E1029" s="14">
        <v>0.75</v>
      </c>
      <c r="F1029" s="18">
        <v>60</v>
      </c>
      <c r="G1029" s="12">
        <v>27.5</v>
      </c>
      <c r="H1029" s="2" t="s">
        <v>231</v>
      </c>
      <c r="I1029" s="2"/>
      <c r="J1029" s="2"/>
      <c r="K1029" s="2"/>
      <c r="L1029" s="639"/>
      <c r="M1029" s="640">
        <v>1999</v>
      </c>
      <c r="N1029" s="579" t="s">
        <v>254</v>
      </c>
      <c r="O1029" s="579"/>
      <c r="P1029" s="11"/>
      <c r="Q1029" s="11"/>
      <c r="R1029" s="11"/>
      <c r="S1029" s="11"/>
      <c r="T1029" s="11"/>
      <c r="U1029" s="11"/>
      <c r="V1029" s="506"/>
      <c r="W1029" s="723"/>
      <c r="X1029" s="723"/>
      <c r="Y1029" s="723"/>
      <c r="Z1029" s="11"/>
      <c r="AA1029" s="11"/>
      <c r="AB1029" s="11"/>
      <c r="AC1029" s="85">
        <v>2.1000000000000001E-2</v>
      </c>
      <c r="AD1029" s="26"/>
      <c r="AE1029" s="26"/>
      <c r="AF1029" s="26"/>
      <c r="AG1029" s="26"/>
      <c r="AH1029" s="330"/>
      <c r="AI1029" s="123">
        <v>20</v>
      </c>
      <c r="AJ1029" s="123"/>
      <c r="AK1029" s="17"/>
      <c r="AL1029" s="17"/>
      <c r="AM1029" s="17"/>
      <c r="AN1029" s="17"/>
      <c r="AO1029" s="17"/>
      <c r="AP1029" s="17"/>
      <c r="AQ1029" s="17"/>
      <c r="AR1029" s="17"/>
      <c r="AS1029" s="17"/>
      <c r="AT1029" s="17"/>
      <c r="AU1029" s="18">
        <v>46</v>
      </c>
      <c r="AV1029" s="162">
        <v>1</v>
      </c>
      <c r="AW1029" s="162">
        <v>0.99299999999999999</v>
      </c>
      <c r="AX1029" s="162">
        <v>0.94499999999999995</v>
      </c>
      <c r="AY1029" s="162">
        <v>0.86799999999999999</v>
      </c>
      <c r="AZ1029" s="162">
        <v>0.62</v>
      </c>
      <c r="BA1029" s="162">
        <v>0.378</v>
      </c>
      <c r="BB1029" s="162">
        <v>0.21299999999999999</v>
      </c>
      <c r="BC1029" s="162">
        <v>0.13500000000000001</v>
      </c>
      <c r="BD1029" s="162">
        <v>0.105</v>
      </c>
      <c r="BE1029" s="162">
        <v>9.5000000000000001E-2</v>
      </c>
      <c r="BF1029" s="162"/>
      <c r="BG1029" s="162"/>
      <c r="BH1029" s="162"/>
      <c r="BI1029" s="4">
        <f>AU1029/AI1029</f>
        <v>2.2999999999999998</v>
      </c>
      <c r="BJ1029" s="2" t="s">
        <v>255</v>
      </c>
      <c r="BK1029" s="2" t="s">
        <v>55</v>
      </c>
      <c r="BL1029" s="12">
        <v>1.84</v>
      </c>
      <c r="BM1029" s="12">
        <v>2.14</v>
      </c>
      <c r="BN1029" s="12">
        <v>5.2</v>
      </c>
      <c r="BO1029" s="12">
        <v>0.4</v>
      </c>
      <c r="BP1029" s="12">
        <f>BO1029*BN1029</f>
        <v>2.08</v>
      </c>
      <c r="BQ1029" s="12">
        <f>BN1029/BO1029</f>
        <v>13</v>
      </c>
      <c r="BR1029" s="12" t="s">
        <v>276</v>
      </c>
      <c r="BS1029" s="12"/>
      <c r="BT1029" s="12"/>
      <c r="BU1029" s="2"/>
      <c r="BV1029" s="2"/>
      <c r="BW1029" s="2"/>
      <c r="BX1029" s="2"/>
      <c r="BY1029" s="2"/>
      <c r="BZ1029" s="2"/>
      <c r="CA1029" s="9"/>
      <c r="CB1029" s="5" t="s">
        <v>629</v>
      </c>
    </row>
    <row r="1030" spans="1:80" ht="15" x14ac:dyDescent="0.25">
      <c r="A1030" s="189"/>
      <c r="B1030" s="648"/>
      <c r="C1030" s="648"/>
      <c r="D1030" s="697"/>
      <c r="E1030" s="159"/>
      <c r="F1030" s="159"/>
      <c r="G1030" s="190"/>
      <c r="H1030" s="190"/>
      <c r="I1030" s="190"/>
      <c r="J1030" s="190"/>
      <c r="K1030" s="190"/>
      <c r="L1030" s="631"/>
      <c r="M1030" s="652">
        <v>36318.697916666664</v>
      </c>
      <c r="N1030" s="591">
        <v>2.1585916890923817</v>
      </c>
      <c r="O1030" s="592">
        <v>6.9600174753289478E-3</v>
      </c>
      <c r="P1030" s="187">
        <v>0</v>
      </c>
      <c r="Q1030" s="211">
        <v>0</v>
      </c>
      <c r="R1030" s="211">
        <v>1.3349695038377197E-3</v>
      </c>
      <c r="S1030" s="211">
        <v>4.7557737116228079E-4</v>
      </c>
      <c r="T1030" s="211">
        <v>5.1581174616228075E-4</v>
      </c>
      <c r="U1030" s="211">
        <v>6.7745511239035102E-4</v>
      </c>
      <c r="V1030" s="724">
        <v>3.9562037417763167E-3</v>
      </c>
      <c r="W1030" s="714"/>
      <c r="X1030" s="715"/>
      <c r="Y1030" s="716"/>
      <c r="Z1030" s="237">
        <v>35</v>
      </c>
      <c r="AA1030" s="187"/>
      <c r="AB1030" s="192" t="s">
        <v>253</v>
      </c>
      <c r="AC1030" s="187">
        <v>0</v>
      </c>
      <c r="AD1030" s="212">
        <v>5.15</v>
      </c>
      <c r="AE1030" s="212">
        <v>0</v>
      </c>
      <c r="AF1030" s="170">
        <f>AE1030*AD1030</f>
        <v>0</v>
      </c>
      <c r="AG1030" s="187">
        <v>0</v>
      </c>
      <c r="AH1030" s="335"/>
      <c r="AI1030" s="188"/>
      <c r="AJ1030" s="188"/>
      <c r="AK1030" s="188"/>
      <c r="AL1030" s="189"/>
      <c r="AM1030" s="189"/>
      <c r="AN1030" s="189"/>
      <c r="AO1030" s="189"/>
      <c r="AP1030" s="189"/>
      <c r="AQ1030" s="189"/>
      <c r="AR1030" s="189"/>
      <c r="AS1030" s="189"/>
      <c r="AT1030" s="189"/>
      <c r="AU1030" s="190"/>
      <c r="AV1030" s="190"/>
      <c r="AW1030" s="190"/>
      <c r="AX1030" s="190"/>
      <c r="AY1030" s="190"/>
      <c r="AZ1030" s="189"/>
      <c r="BA1030" s="189"/>
      <c r="BB1030" s="189"/>
      <c r="BC1030" s="189"/>
      <c r="BD1030" s="189"/>
      <c r="BE1030" s="189"/>
      <c r="BF1030" s="189"/>
      <c r="BG1030" s="189"/>
      <c r="BH1030" s="189"/>
      <c r="BI1030" s="190"/>
      <c r="BJ1030" s="190"/>
      <c r="BK1030" s="190"/>
      <c r="BL1030" s="190"/>
      <c r="BM1030" s="190"/>
      <c r="BN1030" s="190"/>
      <c r="BO1030" s="190"/>
      <c r="BP1030" s="190"/>
      <c r="BQ1030" s="190"/>
      <c r="BR1030" s="190"/>
      <c r="BS1030" s="190"/>
      <c r="BT1030" s="190"/>
      <c r="BU1030" s="190"/>
      <c r="BV1030" s="190"/>
      <c r="BW1030" s="190"/>
      <c r="BX1030" s="190"/>
      <c r="BY1030" s="190"/>
      <c r="BZ1030" s="190"/>
      <c r="CA1030" s="189"/>
      <c r="CB1030" s="192" t="s">
        <v>628</v>
      </c>
    </row>
    <row r="1031" spans="1:80" ht="15" x14ac:dyDescent="0.25">
      <c r="A1031" s="189"/>
      <c r="B1031" s="648"/>
      <c r="C1031" s="648"/>
      <c r="D1031" s="697"/>
      <c r="E1031" s="159"/>
      <c r="F1031" s="159"/>
      <c r="G1031" s="190"/>
      <c r="H1031" s="190"/>
      <c r="I1031" s="190"/>
      <c r="J1031" s="190"/>
      <c r="K1031" s="190"/>
      <c r="L1031" s="631"/>
      <c r="M1031" s="652">
        <v>36319.451388888891</v>
      </c>
      <c r="N1031" s="591">
        <v>2.3162789051904653</v>
      </c>
      <c r="O1031" s="592">
        <v>1.3352165570175439E-2</v>
      </c>
      <c r="P1031" s="187">
        <v>0</v>
      </c>
      <c r="Q1031" s="211">
        <v>0</v>
      </c>
      <c r="R1031" s="211">
        <v>2.795230263157895E-4</v>
      </c>
      <c r="S1031" s="211">
        <v>6.7445518092105268E-4</v>
      </c>
      <c r="T1031" s="211">
        <v>1.4533785635964915E-3</v>
      </c>
      <c r="U1031" s="211">
        <v>2.5340597587719311E-3</v>
      </c>
      <c r="V1031" s="724">
        <v>8.4107490405701778E-3</v>
      </c>
      <c r="W1031" s="717"/>
      <c r="X1031" s="713"/>
      <c r="Y1031" s="718"/>
      <c r="Z1031" s="237">
        <v>26</v>
      </c>
      <c r="AA1031" s="187"/>
      <c r="AB1031" s="192" t="s">
        <v>253</v>
      </c>
      <c r="AC1031" s="187">
        <v>0</v>
      </c>
      <c r="AD1031" s="212">
        <v>5.15</v>
      </c>
      <c r="AE1031" s="212">
        <v>0.42</v>
      </c>
      <c r="AF1031" s="170">
        <f t="shared" ref="AF1031:AF1089" si="19">AE1031*AD1031</f>
        <v>2.1630000000000003</v>
      </c>
      <c r="AG1031" s="186">
        <v>1.0049999999999999</v>
      </c>
      <c r="AH1031" s="336"/>
      <c r="AI1031" s="188"/>
      <c r="AJ1031" s="188"/>
      <c r="AK1031" s="188"/>
      <c r="AL1031" s="189"/>
      <c r="AM1031" s="189"/>
      <c r="AN1031" s="189"/>
      <c r="AO1031" s="189"/>
      <c r="AP1031" s="189"/>
      <c r="AQ1031" s="189"/>
      <c r="AR1031" s="189"/>
      <c r="AS1031" s="189"/>
      <c r="AT1031" s="189"/>
      <c r="AU1031" s="190"/>
      <c r="AV1031" s="190"/>
      <c r="AW1031" s="190"/>
      <c r="AX1031" s="190"/>
      <c r="AY1031" s="190"/>
      <c r="AZ1031" s="189"/>
      <c r="BA1031" s="189"/>
      <c r="BB1031" s="189"/>
      <c r="BC1031" s="189"/>
      <c r="BD1031" s="189"/>
      <c r="BE1031" s="189"/>
      <c r="BF1031" s="189"/>
      <c r="BG1031" s="189"/>
      <c r="BH1031" s="189"/>
      <c r="BI1031" s="190"/>
      <c r="BJ1031" s="190"/>
      <c r="BK1031" s="190"/>
      <c r="BL1031" s="190"/>
      <c r="BM1031" s="190"/>
      <c r="BN1031" s="190"/>
      <c r="BO1031" s="190"/>
      <c r="BP1031" s="190"/>
      <c r="BQ1031" s="190"/>
      <c r="BR1031" s="190"/>
      <c r="BS1031" s="190"/>
      <c r="BT1031" s="190"/>
      <c r="BU1031" s="190"/>
      <c r="BV1031" s="190"/>
      <c r="BW1031" s="190"/>
      <c r="BX1031" s="190"/>
      <c r="BY1031" s="190"/>
      <c r="BZ1031" s="190"/>
      <c r="CA1031" s="189"/>
      <c r="CB1031" s="192" t="s">
        <v>627</v>
      </c>
    </row>
    <row r="1032" spans="1:80" ht="15" x14ac:dyDescent="0.25">
      <c r="A1032" s="189"/>
      <c r="B1032" s="648"/>
      <c r="C1032" s="648"/>
      <c r="D1032" s="697"/>
      <c r="E1032" s="159"/>
      <c r="F1032" s="159"/>
      <c r="G1032" s="190"/>
      <c r="H1032" s="190"/>
      <c r="I1032" s="190"/>
      <c r="J1032" s="190"/>
      <c r="K1032" s="190"/>
      <c r="L1032" s="631"/>
      <c r="M1032" s="652">
        <v>36319.680555555555</v>
      </c>
      <c r="N1032" s="591">
        <v>2.2026689851982209</v>
      </c>
      <c r="O1032" s="592">
        <v>1.5637054550438602E-2</v>
      </c>
      <c r="P1032" s="187">
        <v>0</v>
      </c>
      <c r="Q1032" s="211">
        <v>0</v>
      </c>
      <c r="R1032" s="211">
        <v>1.2211485745614037E-3</v>
      </c>
      <c r="S1032" s="211">
        <v>2.1906558388157895E-3</v>
      </c>
      <c r="T1032" s="211">
        <v>2.0293654057017547E-3</v>
      </c>
      <c r="U1032" s="211">
        <v>3.2014562774122816E-3</v>
      </c>
      <c r="V1032" s="724">
        <v>6.9944284539473697E-3</v>
      </c>
      <c r="W1032" s="717"/>
      <c r="X1032" s="713"/>
      <c r="Y1032" s="718"/>
      <c r="Z1032" s="237">
        <v>30</v>
      </c>
      <c r="AA1032" s="187"/>
      <c r="AB1032" s="192" t="s">
        <v>253</v>
      </c>
      <c r="AC1032" s="187">
        <v>0</v>
      </c>
      <c r="AD1032" s="212">
        <v>5.15</v>
      </c>
      <c r="AE1032" s="212">
        <v>0.42</v>
      </c>
      <c r="AF1032" s="170">
        <f t="shared" si="19"/>
        <v>2.1630000000000003</v>
      </c>
      <c r="AG1032" s="186">
        <v>0.98199999999999998</v>
      </c>
      <c r="AH1032" s="336"/>
      <c r="AI1032" s="188"/>
      <c r="AJ1032" s="188"/>
      <c r="AK1032" s="188"/>
      <c r="AL1032" s="189"/>
      <c r="AM1032" s="189"/>
      <c r="AN1032" s="189"/>
      <c r="AO1032" s="189"/>
      <c r="AP1032" s="189"/>
      <c r="AQ1032" s="189"/>
      <c r="AR1032" s="189"/>
      <c r="AS1032" s="189"/>
      <c r="AT1032" s="189"/>
      <c r="AU1032" s="190"/>
      <c r="AV1032" s="190"/>
      <c r="AW1032" s="190"/>
      <c r="AX1032" s="190"/>
      <c r="AY1032" s="190"/>
      <c r="AZ1032" s="189"/>
      <c r="BA1032" s="189"/>
      <c r="BB1032" s="189"/>
      <c r="BC1032" s="189"/>
      <c r="BD1032" s="189"/>
      <c r="BE1032" s="189"/>
      <c r="BF1032" s="189"/>
      <c r="BG1032" s="189"/>
      <c r="BH1032" s="189"/>
      <c r="BI1032" s="190"/>
      <c r="BJ1032" s="190"/>
      <c r="BK1032" s="190"/>
      <c r="BL1032" s="190"/>
      <c r="BM1032" s="190"/>
      <c r="BN1032" s="190"/>
      <c r="BO1032" s="190"/>
      <c r="BP1032" s="190"/>
      <c r="BQ1032" s="190"/>
      <c r="BR1032" s="190"/>
      <c r="BS1032" s="190"/>
      <c r="BT1032" s="190"/>
      <c r="BU1032" s="190"/>
      <c r="BV1032" s="190"/>
      <c r="BW1032" s="190"/>
      <c r="BX1032" s="190"/>
      <c r="BY1032" s="190"/>
      <c r="BZ1032" s="190"/>
      <c r="CA1032" s="189"/>
      <c r="CB1032" s="192" t="s">
        <v>630</v>
      </c>
    </row>
    <row r="1033" spans="1:80" ht="15" x14ac:dyDescent="0.25">
      <c r="A1033" s="189"/>
      <c r="B1033" s="648"/>
      <c r="C1033" s="648"/>
      <c r="D1033" s="697"/>
      <c r="E1033" s="159"/>
      <c r="F1033" s="159"/>
      <c r="G1033" s="190"/>
      <c r="H1033" s="190"/>
      <c r="I1033" s="190"/>
      <c r="J1033" s="190"/>
      <c r="K1033" s="190"/>
      <c r="L1033" s="631"/>
      <c r="M1033" s="652">
        <v>36320.444444444445</v>
      </c>
      <c r="N1033" s="591">
        <v>1.929524699821799</v>
      </c>
      <c r="O1033" s="592">
        <v>2.9575794956140356E-3</v>
      </c>
      <c r="P1033" s="187">
        <v>0</v>
      </c>
      <c r="Q1033" s="211">
        <v>0</v>
      </c>
      <c r="R1033" s="211">
        <v>0</v>
      </c>
      <c r="S1033" s="211">
        <v>1.2987938596491227E-4</v>
      </c>
      <c r="T1033" s="211">
        <v>3.5046258223684213E-4</v>
      </c>
      <c r="U1033" s="211">
        <v>4.0799067982456145E-4</v>
      </c>
      <c r="V1033" s="724">
        <v>2.0692468475877195E-3</v>
      </c>
      <c r="W1033" s="717"/>
      <c r="X1033" s="713"/>
      <c r="Y1033" s="718"/>
      <c r="Z1033" s="237">
        <v>11</v>
      </c>
      <c r="AA1033" s="187"/>
      <c r="AB1033" s="192" t="s">
        <v>253</v>
      </c>
      <c r="AC1033" s="187">
        <v>0</v>
      </c>
      <c r="AD1033" s="212">
        <v>5.15</v>
      </c>
      <c r="AE1033" s="212">
        <v>0.44</v>
      </c>
      <c r="AF1033" s="170">
        <f t="shared" si="19"/>
        <v>2.266</v>
      </c>
      <c r="AG1033" s="186">
        <v>0.84599999999999997</v>
      </c>
      <c r="AH1033" s="336"/>
      <c r="AI1033" s="188"/>
      <c r="AJ1033" s="188"/>
      <c r="AK1033" s="188"/>
      <c r="AL1033" s="189"/>
      <c r="AM1033" s="189"/>
      <c r="AN1033" s="189"/>
      <c r="AO1033" s="189"/>
      <c r="AP1033" s="189"/>
      <c r="AQ1033" s="189"/>
      <c r="AR1033" s="189"/>
      <c r="AS1033" s="189"/>
      <c r="AT1033" s="189"/>
      <c r="AU1033" s="190"/>
      <c r="AV1033" s="190"/>
      <c r="AW1033" s="190"/>
      <c r="AX1033" s="190"/>
      <c r="AY1033" s="190"/>
      <c r="AZ1033" s="189"/>
      <c r="BA1033" s="189"/>
      <c r="BB1033" s="189"/>
      <c r="BC1033" s="189"/>
      <c r="BD1033" s="189"/>
      <c r="BE1033" s="189"/>
      <c r="BF1033" s="189"/>
      <c r="BG1033" s="189"/>
      <c r="BH1033" s="189"/>
      <c r="BI1033" s="190"/>
      <c r="BJ1033" s="190"/>
      <c r="BK1033" s="190"/>
      <c r="BL1033" s="190"/>
      <c r="BM1033" s="190"/>
      <c r="BN1033" s="190"/>
      <c r="BO1033" s="190"/>
      <c r="BP1033" s="190"/>
      <c r="BQ1033" s="190"/>
      <c r="BR1033" s="190"/>
      <c r="BS1033" s="190"/>
      <c r="BT1033" s="190"/>
      <c r="BU1033" s="190"/>
      <c r="BV1033" s="190"/>
      <c r="BW1033" s="190"/>
      <c r="BX1033" s="190"/>
      <c r="BY1033" s="190"/>
      <c r="BZ1033" s="190"/>
      <c r="CA1033" s="189"/>
      <c r="CB1033" s="485" t="s">
        <v>638</v>
      </c>
    </row>
    <row r="1034" spans="1:80" ht="15" x14ac:dyDescent="0.25">
      <c r="A1034" s="189"/>
      <c r="B1034" s="648"/>
      <c r="C1034" s="648"/>
      <c r="D1034" s="697"/>
      <c r="E1034" s="159"/>
      <c r="F1034" s="159"/>
      <c r="G1034" s="190"/>
      <c r="H1034" s="190"/>
      <c r="I1034" s="190"/>
      <c r="J1034" s="190"/>
      <c r="K1034" s="190"/>
      <c r="L1034" s="631"/>
      <c r="M1034" s="652">
        <v>36321.583333333336</v>
      </c>
      <c r="N1034" s="591">
        <v>1.6685749603933837</v>
      </c>
      <c r="O1034" s="592">
        <v>1.6255139802631578E-3</v>
      </c>
      <c r="P1034" s="187">
        <v>0</v>
      </c>
      <c r="Q1034" s="211">
        <v>0</v>
      </c>
      <c r="R1034" s="211">
        <v>0</v>
      </c>
      <c r="S1034" s="211">
        <v>7.8433388157894755E-5</v>
      </c>
      <c r="T1034" s="211">
        <v>7.195723684210527E-5</v>
      </c>
      <c r="U1034" s="211">
        <v>1.1441200657894738E-4</v>
      </c>
      <c r="V1034" s="724">
        <v>1.3607113486842108E-3</v>
      </c>
      <c r="W1034" s="717"/>
      <c r="X1034" s="713"/>
      <c r="Y1034" s="718"/>
      <c r="Z1034" s="237">
        <v>16</v>
      </c>
      <c r="AA1034" s="187"/>
      <c r="AB1034" s="192" t="s">
        <v>253</v>
      </c>
      <c r="AC1034" s="187">
        <v>0</v>
      </c>
      <c r="AD1034" s="212">
        <v>5.25</v>
      </c>
      <c r="AE1034" s="212">
        <v>0.41</v>
      </c>
      <c r="AF1034" s="170">
        <f t="shared" si="19"/>
        <v>2.1524999999999999</v>
      </c>
      <c r="AG1034" s="186">
        <v>0.78500000000000003</v>
      </c>
      <c r="AH1034" s="336"/>
      <c r="AI1034" s="188"/>
      <c r="AJ1034" s="188"/>
      <c r="AK1034" s="188"/>
      <c r="AL1034" s="189"/>
      <c r="AM1034" s="189"/>
      <c r="AN1034" s="189"/>
      <c r="AO1034" s="189"/>
      <c r="AP1034" s="189"/>
      <c r="AQ1034" s="189"/>
      <c r="AR1034" s="189"/>
      <c r="AS1034" s="189"/>
      <c r="AT1034" s="189"/>
      <c r="AU1034" s="190"/>
      <c r="AV1034" s="190"/>
      <c r="AW1034" s="190"/>
      <c r="AX1034" s="190"/>
      <c r="AY1034" s="190"/>
      <c r="AZ1034" s="189"/>
      <c r="BA1034" s="189"/>
      <c r="BB1034" s="189"/>
      <c r="BC1034" s="189"/>
      <c r="BD1034" s="189"/>
      <c r="BE1034" s="189"/>
      <c r="BF1034" s="189"/>
      <c r="BG1034" s="189"/>
      <c r="BH1034" s="189"/>
      <c r="BI1034" s="190"/>
      <c r="BJ1034" s="190"/>
      <c r="BK1034" s="190"/>
      <c r="BL1034" s="190"/>
      <c r="BM1034" s="190"/>
      <c r="BN1034" s="190"/>
      <c r="BO1034" s="190"/>
      <c r="BP1034" s="190"/>
      <c r="BQ1034" s="190"/>
      <c r="BR1034" s="190"/>
      <c r="BS1034" s="190"/>
      <c r="BT1034" s="190"/>
      <c r="BU1034" s="190"/>
      <c r="BV1034" s="190"/>
      <c r="BW1034" s="190"/>
      <c r="BX1034" s="190"/>
      <c r="BY1034" s="190"/>
      <c r="BZ1034" s="190"/>
      <c r="CA1034" s="189"/>
      <c r="CB1034" s="192"/>
    </row>
    <row r="1035" spans="1:80" ht="15" x14ac:dyDescent="0.25">
      <c r="A1035" s="189"/>
      <c r="B1035" s="648"/>
      <c r="C1035" s="648"/>
      <c r="D1035" s="697"/>
      <c r="E1035" s="159"/>
      <c r="F1035" s="159"/>
      <c r="G1035" s="190"/>
      <c r="H1035" s="190"/>
      <c r="I1035" s="190"/>
      <c r="J1035" s="190"/>
      <c r="K1035" s="190"/>
      <c r="L1035" s="631"/>
      <c r="M1035" s="652">
        <v>36322.541666666664</v>
      </c>
      <c r="N1035" s="591">
        <v>1.5998670727640885</v>
      </c>
      <c r="O1035" s="592">
        <v>1.3693804824561405E-3</v>
      </c>
      <c r="P1035" s="187">
        <v>0</v>
      </c>
      <c r="Q1035" s="211">
        <v>0</v>
      </c>
      <c r="R1035" s="211">
        <v>0</v>
      </c>
      <c r="S1035" s="211">
        <v>0</v>
      </c>
      <c r="T1035" s="211">
        <v>4.2351973684210538E-5</v>
      </c>
      <c r="U1035" s="211">
        <v>1.3517338267543861E-4</v>
      </c>
      <c r="V1035" s="724">
        <v>1.1918551260964914E-3</v>
      </c>
      <c r="W1035" s="717"/>
      <c r="X1035" s="713"/>
      <c r="Y1035" s="718"/>
      <c r="Z1035" s="237">
        <v>6</v>
      </c>
      <c r="AA1035" s="187"/>
      <c r="AB1035" s="192" t="s">
        <v>253</v>
      </c>
      <c r="AC1035" s="213">
        <v>2.0325779036827231E-2</v>
      </c>
      <c r="AD1035" s="212">
        <v>5.15</v>
      </c>
      <c r="AE1035" s="212">
        <v>0.42</v>
      </c>
      <c r="AF1035" s="170">
        <f t="shared" si="19"/>
        <v>2.1630000000000003</v>
      </c>
      <c r="AG1035" s="186">
        <v>0.78200000000000003</v>
      </c>
      <c r="AH1035" s="336"/>
      <c r="AI1035" s="188"/>
      <c r="AJ1035" s="188"/>
      <c r="AK1035" s="188"/>
      <c r="AL1035" s="189"/>
      <c r="AM1035" s="189"/>
      <c r="AN1035" s="189"/>
      <c r="AO1035" s="189"/>
      <c r="AP1035" s="189"/>
      <c r="AQ1035" s="189"/>
      <c r="AR1035" s="189"/>
      <c r="AS1035" s="189"/>
      <c r="AT1035" s="189"/>
      <c r="AU1035" s="190"/>
      <c r="AV1035" s="190"/>
      <c r="AW1035" s="190"/>
      <c r="AX1035" s="190"/>
      <c r="AY1035" s="190"/>
      <c r="AZ1035" s="189"/>
      <c r="BA1035" s="189"/>
      <c r="BB1035" s="189"/>
      <c r="BC1035" s="189"/>
      <c r="BD1035" s="189"/>
      <c r="BE1035" s="189"/>
      <c r="BF1035" s="189"/>
      <c r="BG1035" s="189"/>
      <c r="BH1035" s="189"/>
      <c r="BI1035" s="190"/>
      <c r="BJ1035" s="190"/>
      <c r="BK1035" s="190"/>
      <c r="BL1035" s="190"/>
      <c r="BM1035" s="190"/>
      <c r="BN1035" s="190"/>
      <c r="BO1035" s="190"/>
      <c r="BP1035" s="190"/>
      <c r="BQ1035" s="190"/>
      <c r="BR1035" s="190"/>
      <c r="BS1035" s="190"/>
      <c r="BT1035" s="190"/>
      <c r="BU1035" s="190"/>
      <c r="BV1035" s="190"/>
      <c r="BW1035" s="190"/>
      <c r="BX1035" s="190"/>
      <c r="BY1035" s="190"/>
      <c r="BZ1035" s="190"/>
      <c r="CA1035" s="189"/>
      <c r="CB1035" s="192"/>
    </row>
    <row r="1036" spans="1:80" ht="15" x14ac:dyDescent="0.25">
      <c r="A1036" s="189"/>
      <c r="B1036" s="648"/>
      <c r="C1036" s="648"/>
      <c r="D1036" s="697"/>
      <c r="E1036" s="159"/>
      <c r="F1036" s="159"/>
      <c r="G1036" s="190"/>
      <c r="H1036" s="190"/>
      <c r="I1036" s="190"/>
      <c r="J1036" s="190"/>
      <c r="K1036" s="190"/>
      <c r="L1036" s="631"/>
      <c r="M1036" s="652">
        <v>36322.756944444445</v>
      </c>
      <c r="N1036" s="591">
        <v>1.7398166685053424</v>
      </c>
      <c r="O1036" s="592">
        <v>2.1394805372807022E-3</v>
      </c>
      <c r="P1036" s="187">
        <v>0</v>
      </c>
      <c r="Q1036" s="211">
        <v>0</v>
      </c>
      <c r="R1036" s="211">
        <v>0</v>
      </c>
      <c r="S1036" s="211">
        <v>2.4458264802631579E-4</v>
      </c>
      <c r="T1036" s="211">
        <v>1.1858552631578948E-4</v>
      </c>
      <c r="U1036" s="211">
        <v>1.5987870065789476E-4</v>
      </c>
      <c r="V1036" s="724">
        <v>1.6164336622807021E-3</v>
      </c>
      <c r="W1036" s="717"/>
      <c r="X1036" s="713"/>
      <c r="Y1036" s="718"/>
      <c r="Z1036" s="237">
        <v>13</v>
      </c>
      <c r="AA1036" s="187"/>
      <c r="AB1036" s="192" t="s">
        <v>253</v>
      </c>
      <c r="AC1036" s="213">
        <v>2.0325779036826423E-2</v>
      </c>
      <c r="AD1036" s="212">
        <v>5.15</v>
      </c>
      <c r="AE1036" s="212">
        <v>0</v>
      </c>
      <c r="AF1036" s="170">
        <f t="shared" si="19"/>
        <v>0</v>
      </c>
      <c r="AG1036" s="187">
        <v>0</v>
      </c>
      <c r="AH1036" s="335"/>
      <c r="AI1036" s="188"/>
      <c r="AJ1036" s="188"/>
      <c r="AK1036" s="188"/>
      <c r="AL1036" s="189"/>
      <c r="AM1036" s="189"/>
      <c r="AN1036" s="189"/>
      <c r="AO1036" s="189"/>
      <c r="AP1036" s="189"/>
      <c r="AQ1036" s="189"/>
      <c r="AR1036" s="189"/>
      <c r="AS1036" s="189"/>
      <c r="AT1036" s="189"/>
      <c r="AU1036" s="190"/>
      <c r="AV1036" s="190"/>
      <c r="AW1036" s="190"/>
      <c r="AX1036" s="190"/>
      <c r="AY1036" s="190"/>
      <c r="AZ1036" s="189"/>
      <c r="BA1036" s="189"/>
      <c r="BB1036" s="189"/>
      <c r="BC1036" s="189"/>
      <c r="BD1036" s="189"/>
      <c r="BE1036" s="189"/>
      <c r="BF1036" s="189"/>
      <c r="BG1036" s="189"/>
      <c r="BH1036" s="189"/>
      <c r="BI1036" s="190"/>
      <c r="BJ1036" s="190"/>
      <c r="BK1036" s="190"/>
      <c r="BL1036" s="190"/>
      <c r="BM1036" s="190"/>
      <c r="BN1036" s="190"/>
      <c r="BO1036" s="190"/>
      <c r="BP1036" s="190"/>
      <c r="BQ1036" s="190"/>
      <c r="BR1036" s="190"/>
      <c r="BS1036" s="190"/>
      <c r="BT1036" s="190"/>
      <c r="BU1036" s="190"/>
      <c r="BV1036" s="190"/>
      <c r="BW1036" s="190"/>
      <c r="BX1036" s="190"/>
      <c r="BY1036" s="190"/>
      <c r="BZ1036" s="190"/>
      <c r="CA1036" s="189"/>
      <c r="CB1036" s="192"/>
    </row>
    <row r="1037" spans="1:80" ht="15" x14ac:dyDescent="0.25">
      <c r="A1037" s="189"/>
      <c r="B1037" s="648"/>
      <c r="C1037" s="648"/>
      <c r="D1037" s="697"/>
      <c r="E1037" s="159"/>
      <c r="F1037" s="159"/>
      <c r="G1037" s="190"/>
      <c r="H1037" s="190"/>
      <c r="I1037" s="190"/>
      <c r="J1037" s="190"/>
      <c r="K1037" s="190"/>
      <c r="L1037" s="631"/>
      <c r="M1037" s="652">
        <v>36325.538194444445</v>
      </c>
      <c r="N1037" s="591">
        <v>1.8902164784571094</v>
      </c>
      <c r="O1037" s="592">
        <v>3.0803728070175444E-3</v>
      </c>
      <c r="P1037" s="187">
        <v>0</v>
      </c>
      <c r="Q1037" s="211">
        <v>0</v>
      </c>
      <c r="R1037" s="211">
        <v>0</v>
      </c>
      <c r="S1037" s="211">
        <v>1.3363486842105264E-4</v>
      </c>
      <c r="T1037" s="211">
        <v>3.6633771929824569E-4</v>
      </c>
      <c r="U1037" s="211">
        <v>4.7574013157894744E-4</v>
      </c>
      <c r="V1037" s="724">
        <v>2.1046600877192988E-3</v>
      </c>
      <c r="W1037" s="717"/>
      <c r="X1037" s="713"/>
      <c r="Y1037" s="718"/>
      <c r="Z1037" s="237">
        <v>11</v>
      </c>
      <c r="AA1037" s="187"/>
      <c r="AB1037" s="192" t="s">
        <v>253</v>
      </c>
      <c r="AC1037" s="213">
        <v>2.1045325779035787E-2</v>
      </c>
      <c r="AD1037" s="212">
        <v>5.2</v>
      </c>
      <c r="AE1037" s="212">
        <v>0</v>
      </c>
      <c r="AF1037" s="170">
        <f t="shared" si="19"/>
        <v>0</v>
      </c>
      <c r="AG1037" s="187">
        <v>0</v>
      </c>
      <c r="AH1037" s="335"/>
      <c r="AI1037" s="188"/>
      <c r="AJ1037" s="188"/>
      <c r="AK1037" s="188"/>
      <c r="AL1037" s="189"/>
      <c r="AM1037" s="189"/>
      <c r="AN1037" s="189"/>
      <c r="AO1037" s="189"/>
      <c r="AP1037" s="189"/>
      <c r="AQ1037" s="189"/>
      <c r="AR1037" s="189"/>
      <c r="AS1037" s="189"/>
      <c r="AT1037" s="189"/>
      <c r="AU1037" s="190"/>
      <c r="AV1037" s="190"/>
      <c r="AW1037" s="190"/>
      <c r="AX1037" s="190"/>
      <c r="AY1037" s="190"/>
      <c r="AZ1037" s="189"/>
      <c r="BA1037" s="189"/>
      <c r="BB1037" s="189"/>
      <c r="BC1037" s="189"/>
      <c r="BD1037" s="189"/>
      <c r="BE1037" s="189"/>
      <c r="BF1037" s="189"/>
      <c r="BG1037" s="189"/>
      <c r="BH1037" s="189"/>
      <c r="BI1037" s="190"/>
      <c r="BJ1037" s="190"/>
      <c r="BK1037" s="190"/>
      <c r="BL1037" s="190"/>
      <c r="BM1037" s="190"/>
      <c r="BN1037" s="190"/>
      <c r="BO1037" s="190"/>
      <c r="BP1037" s="190"/>
      <c r="BQ1037" s="190"/>
      <c r="BR1037" s="190"/>
      <c r="BS1037" s="190"/>
      <c r="BT1037" s="190"/>
      <c r="BU1037" s="190"/>
      <c r="BV1037" s="190"/>
      <c r="BW1037" s="190"/>
      <c r="BX1037" s="190"/>
      <c r="BY1037" s="190"/>
      <c r="BZ1037" s="190"/>
      <c r="CA1037" s="189"/>
      <c r="CB1037" s="192"/>
    </row>
    <row r="1038" spans="1:80" ht="15" x14ac:dyDescent="0.25">
      <c r="A1038" s="189"/>
      <c r="B1038" s="648"/>
      <c r="C1038" s="648"/>
      <c r="D1038" s="697"/>
      <c r="E1038" s="159"/>
      <c r="F1038" s="159"/>
      <c r="G1038" s="190"/>
      <c r="H1038" s="190"/>
      <c r="I1038" s="190"/>
      <c r="J1038" s="190"/>
      <c r="K1038" s="190"/>
      <c r="L1038" s="631"/>
      <c r="M1038" s="652">
        <v>36325.708333333336</v>
      </c>
      <c r="N1038" s="591">
        <v>2.020558502166649</v>
      </c>
      <c r="O1038" s="592">
        <v>6.1725054824561419E-3</v>
      </c>
      <c r="P1038" s="187">
        <v>0</v>
      </c>
      <c r="Q1038" s="211">
        <v>0</v>
      </c>
      <c r="R1038" s="211">
        <v>4.1872258771929831E-4</v>
      </c>
      <c r="S1038" s="211">
        <v>4.3654057017543867E-4</v>
      </c>
      <c r="T1038" s="211">
        <v>5.3952850877192992E-4</v>
      </c>
      <c r="U1038" s="211">
        <v>6.293311403508772E-4</v>
      </c>
      <c r="V1038" s="724">
        <v>4.1483826754385965E-3</v>
      </c>
      <c r="W1038" s="717"/>
      <c r="X1038" s="713"/>
      <c r="Y1038" s="718"/>
      <c r="Z1038" s="237">
        <v>26</v>
      </c>
      <c r="AA1038" s="187"/>
      <c r="AB1038" s="192" t="s">
        <v>253</v>
      </c>
      <c r="AC1038" s="213">
        <v>2.0775495750707276E-2</v>
      </c>
      <c r="AD1038" s="212">
        <v>5.2</v>
      </c>
      <c r="AE1038" s="212">
        <v>0.44</v>
      </c>
      <c r="AF1038" s="170">
        <f t="shared" si="19"/>
        <v>2.2880000000000003</v>
      </c>
      <c r="AG1038" s="186">
        <v>0.93</v>
      </c>
      <c r="AH1038" s="336"/>
      <c r="AI1038" s="188"/>
      <c r="AJ1038" s="188"/>
      <c r="AK1038" s="188"/>
      <c r="AL1038" s="189"/>
      <c r="AM1038" s="189"/>
      <c r="AN1038" s="189"/>
      <c r="AO1038" s="189"/>
      <c r="AP1038" s="189"/>
      <c r="AQ1038" s="189"/>
      <c r="AR1038" s="189"/>
      <c r="AS1038" s="189"/>
      <c r="AT1038" s="189"/>
      <c r="AU1038" s="190"/>
      <c r="AV1038" s="190"/>
      <c r="AW1038" s="190"/>
      <c r="AX1038" s="190"/>
      <c r="AY1038" s="190"/>
      <c r="AZ1038" s="189"/>
      <c r="BA1038" s="189"/>
      <c r="BB1038" s="189"/>
      <c r="BC1038" s="189"/>
      <c r="BD1038" s="189"/>
      <c r="BE1038" s="189"/>
      <c r="BF1038" s="189"/>
      <c r="BG1038" s="189"/>
      <c r="BH1038" s="189"/>
      <c r="BI1038" s="190"/>
      <c r="BJ1038" s="190"/>
      <c r="BK1038" s="190"/>
      <c r="BL1038" s="190"/>
      <c r="BM1038" s="190"/>
      <c r="BN1038" s="190"/>
      <c r="BO1038" s="190"/>
      <c r="BP1038" s="190"/>
      <c r="BQ1038" s="190"/>
      <c r="BR1038" s="190"/>
      <c r="BS1038" s="190"/>
      <c r="BT1038" s="190"/>
      <c r="BU1038" s="190"/>
      <c r="BV1038" s="190"/>
      <c r="BW1038" s="190"/>
      <c r="BX1038" s="190"/>
      <c r="BY1038" s="190"/>
      <c r="BZ1038" s="190"/>
      <c r="CA1038" s="189"/>
      <c r="CB1038" s="192"/>
    </row>
    <row r="1039" spans="1:80" ht="15" x14ac:dyDescent="0.25">
      <c r="A1039" s="189"/>
      <c r="B1039" s="648"/>
      <c r="C1039" s="648"/>
      <c r="D1039" s="697"/>
      <c r="E1039" s="159"/>
      <c r="F1039" s="159"/>
      <c r="G1039" s="190"/>
      <c r="H1039" s="190"/>
      <c r="I1039" s="190"/>
      <c r="J1039" s="190"/>
      <c r="K1039" s="190"/>
      <c r="L1039" s="631"/>
      <c r="M1039" s="652">
        <v>36326.538194444445</v>
      </c>
      <c r="N1039" s="591">
        <v>2.0939045687398927</v>
      </c>
      <c r="O1039" s="592">
        <v>3.7579666940789486E-3</v>
      </c>
      <c r="P1039" s="187">
        <v>0</v>
      </c>
      <c r="Q1039" s="211">
        <v>0</v>
      </c>
      <c r="R1039" s="211">
        <v>0</v>
      </c>
      <c r="S1039" s="211">
        <v>0</v>
      </c>
      <c r="T1039" s="211">
        <v>1.9500411184210527E-4</v>
      </c>
      <c r="U1039" s="211">
        <v>2.737972861842106E-4</v>
      </c>
      <c r="V1039" s="724">
        <v>3.2891652960526322E-3</v>
      </c>
      <c r="W1039" s="717"/>
      <c r="X1039" s="713"/>
      <c r="Y1039" s="718"/>
      <c r="Z1039" s="237">
        <v>8</v>
      </c>
      <c r="AA1039" s="187"/>
      <c r="AB1039" s="192" t="s">
        <v>253</v>
      </c>
      <c r="AC1039" s="213">
        <v>2.0505665722378764E-2</v>
      </c>
      <c r="AD1039" s="212">
        <v>5.25</v>
      </c>
      <c r="AE1039" s="212">
        <v>0.45</v>
      </c>
      <c r="AF1039" s="170">
        <f t="shared" si="19"/>
        <v>2.3625000000000003</v>
      </c>
      <c r="AG1039" s="186">
        <v>0.93600000000000005</v>
      </c>
      <c r="AH1039" s="336"/>
      <c r="AI1039" s="188"/>
      <c r="AJ1039" s="188"/>
      <c r="AK1039" s="188"/>
      <c r="AL1039" s="189"/>
      <c r="AM1039" s="189"/>
      <c r="AN1039" s="189"/>
      <c r="AO1039" s="189"/>
      <c r="AP1039" s="189"/>
      <c r="AQ1039" s="189"/>
      <c r="AR1039" s="189"/>
      <c r="AS1039" s="189"/>
      <c r="AT1039" s="189"/>
      <c r="AU1039" s="190"/>
      <c r="AV1039" s="190"/>
      <c r="AW1039" s="190"/>
      <c r="AX1039" s="190"/>
      <c r="AY1039" s="190"/>
      <c r="AZ1039" s="189"/>
      <c r="BA1039" s="189"/>
      <c r="BB1039" s="189"/>
      <c r="BC1039" s="189"/>
      <c r="BD1039" s="189"/>
      <c r="BE1039" s="189"/>
      <c r="BF1039" s="189"/>
      <c r="BG1039" s="189"/>
      <c r="BH1039" s="189"/>
      <c r="BI1039" s="190"/>
      <c r="BJ1039" s="190"/>
      <c r="BK1039" s="190"/>
      <c r="BL1039" s="190"/>
      <c r="BM1039" s="190"/>
      <c r="BN1039" s="190"/>
      <c r="BO1039" s="190"/>
      <c r="BP1039" s="190"/>
      <c r="BQ1039" s="190"/>
      <c r="BR1039" s="190"/>
      <c r="BS1039" s="190"/>
      <c r="BT1039" s="190"/>
      <c r="BU1039" s="190"/>
      <c r="BV1039" s="190"/>
      <c r="BW1039" s="190"/>
      <c r="BX1039" s="190"/>
      <c r="BY1039" s="190"/>
      <c r="BZ1039" s="190"/>
      <c r="CA1039" s="189"/>
      <c r="CB1039" s="192"/>
    </row>
    <row r="1040" spans="1:80" ht="15" x14ac:dyDescent="0.25">
      <c r="A1040" s="189"/>
      <c r="B1040" s="648"/>
      <c r="C1040" s="648"/>
      <c r="D1040" s="697"/>
      <c r="E1040" s="159"/>
      <c r="F1040" s="159"/>
      <c r="G1040" s="190"/>
      <c r="H1040" s="190"/>
      <c r="I1040" s="190"/>
      <c r="J1040" s="190"/>
      <c r="K1040" s="190"/>
      <c r="L1040" s="631"/>
      <c r="M1040" s="652">
        <v>36326.770833333336</v>
      </c>
      <c r="N1040" s="591">
        <v>2.4107767483328448</v>
      </c>
      <c r="O1040" s="592">
        <v>9.109786184210527E-3</v>
      </c>
      <c r="P1040" s="187">
        <v>0</v>
      </c>
      <c r="Q1040" s="211">
        <v>0</v>
      </c>
      <c r="R1040" s="211">
        <v>1.0052425986842107E-3</v>
      </c>
      <c r="S1040" s="211">
        <v>6.6164679276315796E-4</v>
      </c>
      <c r="T1040" s="211">
        <v>8.0628083881578954E-4</v>
      </c>
      <c r="U1040" s="211">
        <v>1.5042660361842106E-3</v>
      </c>
      <c r="V1040" s="724">
        <v>5.1323499177631585E-3</v>
      </c>
      <c r="W1040" s="717"/>
      <c r="X1040" s="713"/>
      <c r="Y1040" s="718"/>
      <c r="Z1040" s="237">
        <v>30</v>
      </c>
      <c r="AA1040" s="187"/>
      <c r="AB1040" s="192" t="s">
        <v>253</v>
      </c>
      <c r="AC1040" s="213">
        <v>2.0505665722379569E-2</v>
      </c>
      <c r="AD1040" s="212">
        <v>5.25</v>
      </c>
      <c r="AE1040" s="212">
        <v>0.47</v>
      </c>
      <c r="AF1040" s="170">
        <f t="shared" si="19"/>
        <v>2.4674999999999998</v>
      </c>
      <c r="AG1040" s="186">
        <v>1.0029999999999999</v>
      </c>
      <c r="AH1040" s="336"/>
      <c r="AI1040" s="188"/>
      <c r="AJ1040" s="188"/>
      <c r="AK1040" s="188"/>
      <c r="AL1040" s="189"/>
      <c r="AM1040" s="189"/>
      <c r="AN1040" s="189"/>
      <c r="AO1040" s="189"/>
      <c r="AP1040" s="189"/>
      <c r="AQ1040" s="189"/>
      <c r="AR1040" s="189"/>
      <c r="AS1040" s="189"/>
      <c r="AT1040" s="189"/>
      <c r="AU1040" s="190"/>
      <c r="AV1040" s="190"/>
      <c r="AW1040" s="190"/>
      <c r="AX1040" s="190"/>
      <c r="AY1040" s="190"/>
      <c r="AZ1040" s="189"/>
      <c r="BA1040" s="189"/>
      <c r="BB1040" s="189"/>
      <c r="BC1040" s="189"/>
      <c r="BD1040" s="189"/>
      <c r="BE1040" s="189"/>
      <c r="BF1040" s="189"/>
      <c r="BG1040" s="189"/>
      <c r="BH1040" s="189"/>
      <c r="BI1040" s="190"/>
      <c r="BJ1040" s="190"/>
      <c r="BK1040" s="190"/>
      <c r="BL1040" s="190"/>
      <c r="BM1040" s="190"/>
      <c r="BN1040" s="190"/>
      <c r="BO1040" s="190"/>
      <c r="BP1040" s="190"/>
      <c r="BQ1040" s="190"/>
      <c r="BR1040" s="190"/>
      <c r="BS1040" s="190"/>
      <c r="BT1040" s="190"/>
      <c r="BU1040" s="190"/>
      <c r="BV1040" s="190"/>
      <c r="BW1040" s="190"/>
      <c r="BX1040" s="190"/>
      <c r="BY1040" s="190"/>
      <c r="BZ1040" s="190"/>
      <c r="CA1040" s="189"/>
      <c r="CB1040" s="192"/>
    </row>
    <row r="1041" spans="1:80" x14ac:dyDescent="0.2">
      <c r="A1041" s="189"/>
      <c r="B1041" s="648"/>
      <c r="C1041" s="648"/>
      <c r="D1041" s="697"/>
      <c r="E1041" s="159"/>
      <c r="F1041" s="159"/>
      <c r="G1041" s="190"/>
      <c r="H1041" s="190"/>
      <c r="I1041" s="190"/>
      <c r="J1041" s="190"/>
      <c r="K1041" s="190"/>
      <c r="L1041" s="629"/>
      <c r="M1041" s="652">
        <v>36327.444444444445</v>
      </c>
      <c r="N1041" s="591">
        <v>2.4107767483328448</v>
      </c>
      <c r="O1041" s="592">
        <v>1.0274414062500001E-2</v>
      </c>
      <c r="P1041" s="187">
        <v>0</v>
      </c>
      <c r="Q1041" s="211">
        <v>0</v>
      </c>
      <c r="R1041" s="211">
        <v>7.9908511513157902E-4</v>
      </c>
      <c r="S1041" s="211">
        <v>1.2542146381578948E-3</v>
      </c>
      <c r="T1041" s="211">
        <v>1.6524979440789473E-3</v>
      </c>
      <c r="U1041" s="211">
        <v>1.4276315789473689E-3</v>
      </c>
      <c r="V1041" s="724">
        <v>5.1409847861842118E-3</v>
      </c>
      <c r="W1041" s="717"/>
      <c r="X1041" s="713"/>
      <c r="Y1041" s="718"/>
      <c r="Z1041" s="237">
        <v>19</v>
      </c>
      <c r="AA1041" s="187"/>
      <c r="AB1041" s="192" t="s">
        <v>253</v>
      </c>
      <c r="AC1041" s="213">
        <v>2.068555240793191E-2</v>
      </c>
      <c r="AD1041" s="212">
        <v>5.25</v>
      </c>
      <c r="AE1041" s="212">
        <v>0</v>
      </c>
      <c r="AF1041" s="170">
        <f t="shared" si="19"/>
        <v>0</v>
      </c>
      <c r="AG1041" s="187">
        <v>0</v>
      </c>
      <c r="AH1041" s="335"/>
      <c r="AI1041" s="188"/>
      <c r="AJ1041" s="188"/>
      <c r="AK1041" s="188"/>
      <c r="AL1041" s="189"/>
      <c r="AM1041" s="189"/>
      <c r="AN1041" s="189"/>
      <c r="AO1041" s="189"/>
      <c r="AP1041" s="189"/>
      <c r="AQ1041" s="189"/>
      <c r="AR1041" s="189"/>
      <c r="AS1041" s="189"/>
      <c r="AT1041" s="189"/>
      <c r="AU1041" s="190"/>
      <c r="AV1041" s="190"/>
      <c r="AW1041" s="190"/>
      <c r="AX1041" s="190"/>
      <c r="AY1041" s="190"/>
      <c r="AZ1041" s="189"/>
      <c r="BA1041" s="189"/>
      <c r="BB1041" s="189"/>
      <c r="BC1041" s="189"/>
      <c r="BD1041" s="189"/>
      <c r="BE1041" s="189"/>
      <c r="BF1041" s="189"/>
      <c r="BG1041" s="189"/>
      <c r="BH1041" s="189"/>
      <c r="BI1041" s="190"/>
      <c r="BJ1041" s="190"/>
      <c r="BK1041" s="190"/>
      <c r="BL1041" s="190"/>
      <c r="BM1041" s="190"/>
      <c r="BN1041" s="190"/>
      <c r="BO1041" s="190"/>
      <c r="BP1041" s="190"/>
      <c r="BQ1041" s="190"/>
      <c r="BR1041" s="190"/>
      <c r="BS1041" s="190"/>
      <c r="BT1041" s="190"/>
      <c r="BU1041" s="190"/>
      <c r="BV1041" s="190"/>
      <c r="BW1041" s="190"/>
      <c r="BX1041" s="190"/>
      <c r="BY1041" s="190"/>
      <c r="BZ1041" s="190"/>
      <c r="CA1041" s="189"/>
      <c r="CB1041" s="192"/>
    </row>
    <row r="1042" spans="1:80" x14ac:dyDescent="0.2">
      <c r="A1042" s="189"/>
      <c r="B1042" s="648"/>
      <c r="C1042" s="648"/>
      <c r="D1042" s="697"/>
      <c r="E1042" s="159"/>
      <c r="F1042" s="159"/>
      <c r="G1042" s="190"/>
      <c r="H1042" s="190"/>
      <c r="I1042" s="190"/>
      <c r="J1042" s="190"/>
      <c r="K1042" s="190"/>
      <c r="L1042" s="629"/>
      <c r="M1042" s="652">
        <v>36327.739583333336</v>
      </c>
      <c r="N1042" s="591">
        <v>2.6486599459985904</v>
      </c>
      <c r="O1042" s="592">
        <v>1.3073550575657898E-2</v>
      </c>
      <c r="P1042" s="187">
        <v>0</v>
      </c>
      <c r="Q1042" s="211">
        <v>0</v>
      </c>
      <c r="R1042" s="211">
        <v>1.6571751644736846E-3</v>
      </c>
      <c r="S1042" s="211">
        <v>1.1657072368421054E-3</v>
      </c>
      <c r="T1042" s="211">
        <v>1.0509354440789475E-3</v>
      </c>
      <c r="U1042" s="211">
        <v>1.2110402960526314E-3</v>
      </c>
      <c r="V1042" s="724">
        <v>7.9886924342105273E-3</v>
      </c>
      <c r="W1042" s="717"/>
      <c r="X1042" s="713"/>
      <c r="Y1042" s="718"/>
      <c r="Z1042" s="237">
        <v>26</v>
      </c>
      <c r="AA1042" s="187"/>
      <c r="AB1042" s="192" t="s">
        <v>253</v>
      </c>
      <c r="AC1042" s="213">
        <v>2.0775495750707276E-2</v>
      </c>
      <c r="AD1042" s="212">
        <v>5.25</v>
      </c>
      <c r="AE1042" s="212">
        <v>0.48</v>
      </c>
      <c r="AF1042" s="170">
        <f t="shared" si="19"/>
        <v>2.52</v>
      </c>
      <c r="AG1042" s="186">
        <v>1.0900000000000001</v>
      </c>
      <c r="AH1042" s="336"/>
      <c r="AI1042" s="188"/>
      <c r="AJ1042" s="188"/>
      <c r="AK1042" s="188"/>
      <c r="AL1042" s="189"/>
      <c r="AM1042" s="189"/>
      <c r="AN1042" s="189"/>
      <c r="AO1042" s="189"/>
      <c r="AP1042" s="189"/>
      <c r="AQ1042" s="189"/>
      <c r="AR1042" s="189"/>
      <c r="AS1042" s="189"/>
      <c r="AT1042" s="189"/>
      <c r="AU1042" s="190"/>
      <c r="AV1042" s="190"/>
      <c r="AW1042" s="190"/>
      <c r="AX1042" s="190"/>
      <c r="AY1042" s="190"/>
      <c r="AZ1042" s="189"/>
      <c r="BA1042" s="189"/>
      <c r="BB1042" s="189"/>
      <c r="BC1042" s="189"/>
      <c r="BD1042" s="189"/>
      <c r="BE1042" s="189"/>
      <c r="BF1042" s="189"/>
      <c r="BG1042" s="189"/>
      <c r="BH1042" s="189"/>
      <c r="BI1042" s="190"/>
      <c r="BJ1042" s="190"/>
      <c r="BK1042" s="190"/>
      <c r="BL1042" s="190"/>
      <c r="BM1042" s="190"/>
      <c r="BN1042" s="190"/>
      <c r="BO1042" s="190"/>
      <c r="BP1042" s="190"/>
      <c r="BQ1042" s="190"/>
      <c r="BR1042" s="190"/>
      <c r="BS1042" s="190"/>
      <c r="BT1042" s="190"/>
      <c r="BU1042" s="190"/>
      <c r="BV1042" s="190"/>
      <c r="BW1042" s="190"/>
      <c r="BX1042" s="190"/>
      <c r="BY1042" s="190"/>
      <c r="BZ1042" s="190"/>
      <c r="CA1042" s="189"/>
      <c r="CB1042" s="192"/>
    </row>
    <row r="1043" spans="1:80" x14ac:dyDescent="0.2">
      <c r="A1043" s="189"/>
      <c r="B1043" s="648"/>
      <c r="C1043" s="648"/>
      <c r="D1043" s="697"/>
      <c r="E1043" s="159"/>
      <c r="F1043" s="159"/>
      <c r="G1043" s="190"/>
      <c r="H1043" s="190"/>
      <c r="I1043" s="190"/>
      <c r="J1043" s="190"/>
      <c r="K1043" s="190"/>
      <c r="L1043" s="629"/>
      <c r="M1043" s="652">
        <v>36328.423611111109</v>
      </c>
      <c r="N1043" s="591">
        <v>2.6748405143024607</v>
      </c>
      <c r="O1043" s="592">
        <v>1.0168996710526316E-2</v>
      </c>
      <c r="P1043" s="187">
        <v>0</v>
      </c>
      <c r="Q1043" s="211">
        <v>0</v>
      </c>
      <c r="R1043" s="211">
        <v>5.3284333881578952E-4</v>
      </c>
      <c r="S1043" s="211">
        <v>1.0347450657894738E-3</v>
      </c>
      <c r="T1043" s="211">
        <v>9.976870888157895E-4</v>
      </c>
      <c r="U1043" s="211">
        <v>1.3247327302631578E-3</v>
      </c>
      <c r="V1043" s="724">
        <v>6.2789884868421049E-3</v>
      </c>
      <c r="W1043" s="717"/>
      <c r="X1043" s="713"/>
      <c r="Y1043" s="718"/>
      <c r="Z1043" s="237">
        <v>35</v>
      </c>
      <c r="AA1043" s="187"/>
      <c r="AB1043" s="192" t="s">
        <v>253</v>
      </c>
      <c r="AC1043" s="213">
        <v>2.0865439093483446E-2</v>
      </c>
      <c r="AD1043" s="212">
        <v>5.25</v>
      </c>
      <c r="AE1043" s="212">
        <v>0.46</v>
      </c>
      <c r="AF1043" s="170">
        <f t="shared" si="19"/>
        <v>2.415</v>
      </c>
      <c r="AG1043" s="186">
        <v>1.0449999999999999</v>
      </c>
      <c r="AH1043" s="336"/>
      <c r="AI1043" s="188"/>
      <c r="AJ1043" s="188"/>
      <c r="AK1043" s="188"/>
      <c r="AL1043" s="189"/>
      <c r="AM1043" s="189"/>
      <c r="AN1043" s="189"/>
      <c r="AO1043" s="189"/>
      <c r="AP1043" s="189"/>
      <c r="AQ1043" s="189"/>
      <c r="AR1043" s="189"/>
      <c r="AS1043" s="189"/>
      <c r="AT1043" s="189"/>
      <c r="AU1043" s="190"/>
      <c r="AV1043" s="190"/>
      <c r="AW1043" s="190"/>
      <c r="AX1043" s="190"/>
      <c r="AY1043" s="190"/>
      <c r="AZ1043" s="189"/>
      <c r="BA1043" s="189"/>
      <c r="BB1043" s="189"/>
      <c r="BC1043" s="189"/>
      <c r="BD1043" s="189"/>
      <c r="BE1043" s="189"/>
      <c r="BF1043" s="189"/>
      <c r="BG1043" s="189"/>
      <c r="BH1043" s="189"/>
      <c r="BI1043" s="190"/>
      <c r="BJ1043" s="190"/>
      <c r="BK1043" s="190"/>
      <c r="BL1043" s="190"/>
      <c r="BM1043" s="190"/>
      <c r="BN1043" s="190"/>
      <c r="BO1043" s="190"/>
      <c r="BP1043" s="190"/>
      <c r="BQ1043" s="190"/>
      <c r="BR1043" s="190"/>
      <c r="BS1043" s="190"/>
      <c r="BT1043" s="190"/>
      <c r="BU1043" s="190"/>
      <c r="BV1043" s="190"/>
      <c r="BW1043" s="190"/>
      <c r="BX1043" s="190"/>
      <c r="BY1043" s="190"/>
      <c r="BZ1043" s="190"/>
      <c r="CA1043" s="189"/>
      <c r="CB1043" s="192"/>
    </row>
    <row r="1044" spans="1:80" x14ac:dyDescent="0.2">
      <c r="A1044" s="189"/>
      <c r="B1044" s="648"/>
      <c r="C1044" s="648"/>
      <c r="D1044" s="697"/>
      <c r="E1044" s="159"/>
      <c r="F1044" s="159"/>
      <c r="G1044" s="190"/>
      <c r="H1044" s="190"/>
      <c r="I1044" s="190"/>
      <c r="J1044" s="190"/>
      <c r="K1044" s="190"/>
      <c r="L1044" s="629"/>
      <c r="M1044" s="652">
        <v>36328.722222222219</v>
      </c>
      <c r="N1044" s="591">
        <v>2.7145303901494162</v>
      </c>
      <c r="O1044" s="592">
        <v>3.1621247944078952E-2</v>
      </c>
      <c r="P1044" s="187">
        <v>0</v>
      </c>
      <c r="Q1044" s="211">
        <v>5.0222553453947369E-3</v>
      </c>
      <c r="R1044" s="211">
        <v>1.5103824013157898E-3</v>
      </c>
      <c r="S1044" s="211">
        <v>4.2918893914473686E-3</v>
      </c>
      <c r="T1044" s="211">
        <v>4.286492598684211E-3</v>
      </c>
      <c r="U1044" s="211">
        <v>3.9741981907894736E-3</v>
      </c>
      <c r="V1044" s="724">
        <v>1.2536030016447368E-2</v>
      </c>
      <c r="W1044" s="717"/>
      <c r="X1044" s="713"/>
      <c r="Y1044" s="718"/>
      <c r="Z1044" s="237">
        <v>62</v>
      </c>
      <c r="AA1044" s="187"/>
      <c r="AB1044" s="192" t="s">
        <v>253</v>
      </c>
      <c r="AC1044" s="213">
        <v>2.1045325779035787E-2</v>
      </c>
      <c r="AD1044" s="212">
        <v>5.25</v>
      </c>
      <c r="AE1044" s="212">
        <v>0</v>
      </c>
      <c r="AF1044" s="170">
        <f t="shared" si="19"/>
        <v>0</v>
      </c>
      <c r="AG1044" s="187">
        <v>0</v>
      </c>
      <c r="AH1044" s="335"/>
      <c r="AI1044" s="188"/>
      <c r="AJ1044" s="188"/>
      <c r="AK1044" s="188"/>
      <c r="AL1044" s="189"/>
      <c r="AM1044" s="189"/>
      <c r="AN1044" s="189"/>
      <c r="AO1044" s="189"/>
      <c r="AP1044" s="189"/>
      <c r="AQ1044" s="189"/>
      <c r="AR1044" s="189"/>
      <c r="AS1044" s="189"/>
      <c r="AT1044" s="189"/>
      <c r="AU1044" s="190"/>
      <c r="AV1044" s="190"/>
      <c r="AW1044" s="190"/>
      <c r="AX1044" s="190"/>
      <c r="AY1044" s="190"/>
      <c r="AZ1044" s="189"/>
      <c r="BA1044" s="189"/>
      <c r="BB1044" s="189"/>
      <c r="BC1044" s="189"/>
      <c r="BD1044" s="189"/>
      <c r="BE1044" s="189"/>
      <c r="BF1044" s="189"/>
      <c r="BG1044" s="189"/>
      <c r="BH1044" s="189"/>
      <c r="BI1044" s="190"/>
      <c r="BJ1044" s="190"/>
      <c r="BK1044" s="190"/>
      <c r="BL1044" s="190"/>
      <c r="BM1044" s="190"/>
      <c r="BN1044" s="190"/>
      <c r="BO1044" s="190"/>
      <c r="BP1044" s="190"/>
      <c r="BQ1044" s="190"/>
      <c r="BR1044" s="190"/>
      <c r="BS1044" s="190"/>
      <c r="BT1044" s="190"/>
      <c r="BU1044" s="190"/>
      <c r="BV1044" s="190"/>
      <c r="BW1044" s="190"/>
      <c r="BX1044" s="190"/>
      <c r="BY1044" s="190"/>
      <c r="BZ1044" s="190"/>
      <c r="CA1044" s="189"/>
      <c r="CB1044" s="192"/>
    </row>
    <row r="1045" spans="1:80" x14ac:dyDescent="0.2">
      <c r="A1045" s="189"/>
      <c r="B1045" s="648"/>
      <c r="C1045" s="648"/>
      <c r="D1045" s="697"/>
      <c r="E1045" s="159"/>
      <c r="F1045" s="159"/>
      <c r="G1045" s="190"/>
      <c r="H1045" s="190"/>
      <c r="I1045" s="190"/>
      <c r="J1045" s="190"/>
      <c r="K1045" s="190"/>
      <c r="L1045" s="629"/>
      <c r="M1045" s="652">
        <v>36329.416666666664</v>
      </c>
      <c r="N1045" s="591">
        <v>2.508586092966596</v>
      </c>
      <c r="O1045" s="592">
        <v>6.8424136513157907E-3</v>
      </c>
      <c r="P1045" s="187">
        <v>0</v>
      </c>
      <c r="Q1045" s="211">
        <v>0</v>
      </c>
      <c r="R1045" s="211">
        <v>0</v>
      </c>
      <c r="S1045" s="211">
        <v>7.062602796052631E-4</v>
      </c>
      <c r="T1045" s="211">
        <v>8.6744449013157908E-4</v>
      </c>
      <c r="U1045" s="211">
        <v>1.1153371710526316E-3</v>
      </c>
      <c r="V1045" s="724">
        <v>4.1533717105263161E-3</v>
      </c>
      <c r="W1045" s="717"/>
      <c r="X1045" s="713"/>
      <c r="Y1045" s="718"/>
      <c r="Z1045" s="237">
        <v>16</v>
      </c>
      <c r="AA1045" s="187"/>
      <c r="AB1045" s="192" t="s">
        <v>253</v>
      </c>
      <c r="AC1045" s="213">
        <v>2.0325779036827231E-2</v>
      </c>
      <c r="AD1045" s="212">
        <v>5.25</v>
      </c>
      <c r="AE1045" s="212">
        <v>0.45</v>
      </c>
      <c r="AF1045" s="170">
        <f t="shared" si="19"/>
        <v>2.3625000000000003</v>
      </c>
      <c r="AG1045" s="186">
        <v>0.996</v>
      </c>
      <c r="AH1045" s="336"/>
      <c r="AI1045" s="188"/>
      <c r="AJ1045" s="188"/>
      <c r="AK1045" s="188"/>
      <c r="AL1045" s="189"/>
      <c r="AM1045" s="189"/>
      <c r="AN1045" s="189"/>
      <c r="AO1045" s="189"/>
      <c r="AP1045" s="189"/>
      <c r="AQ1045" s="189"/>
      <c r="AR1045" s="189"/>
      <c r="AS1045" s="189"/>
      <c r="AT1045" s="189"/>
      <c r="AU1045" s="190"/>
      <c r="AV1045" s="190"/>
      <c r="AW1045" s="190"/>
      <c r="AX1045" s="190"/>
      <c r="AY1045" s="190"/>
      <c r="AZ1045" s="189"/>
      <c r="BA1045" s="189"/>
      <c r="BB1045" s="189"/>
      <c r="BC1045" s="189"/>
      <c r="BD1045" s="189"/>
      <c r="BE1045" s="189"/>
      <c r="BF1045" s="189"/>
      <c r="BG1045" s="189"/>
      <c r="BH1045" s="189"/>
      <c r="BI1045" s="190"/>
      <c r="BJ1045" s="190"/>
      <c r="BK1045" s="190"/>
      <c r="BL1045" s="190"/>
      <c r="BM1045" s="190"/>
      <c r="BN1045" s="190"/>
      <c r="BO1045" s="190"/>
      <c r="BP1045" s="190"/>
      <c r="BQ1045" s="190"/>
      <c r="BR1045" s="190"/>
      <c r="BS1045" s="190"/>
      <c r="BT1045" s="190"/>
      <c r="BU1045" s="190"/>
      <c r="BV1045" s="190"/>
      <c r="BW1045" s="190"/>
      <c r="BX1045" s="190"/>
      <c r="BY1045" s="190"/>
      <c r="BZ1045" s="190"/>
      <c r="CA1045" s="189"/>
      <c r="CB1045" s="192"/>
    </row>
    <row r="1046" spans="1:80" x14ac:dyDescent="0.2">
      <c r="A1046" s="189"/>
      <c r="B1046" s="648"/>
      <c r="C1046" s="648"/>
      <c r="D1046" s="697"/>
      <c r="E1046" s="159"/>
      <c r="F1046" s="159"/>
      <c r="G1046" s="190"/>
      <c r="H1046" s="190"/>
      <c r="I1046" s="190"/>
      <c r="J1046" s="190"/>
      <c r="K1046" s="190"/>
      <c r="L1046" s="629"/>
      <c r="M1046" s="652">
        <v>36332.625</v>
      </c>
      <c r="N1046" s="591">
        <v>2.4107767483328448</v>
      </c>
      <c r="O1046" s="592">
        <v>1.0143092105263159E-2</v>
      </c>
      <c r="P1046" s="187">
        <v>0</v>
      </c>
      <c r="Q1046" s="211">
        <v>0</v>
      </c>
      <c r="R1046" s="211">
        <v>2.3127055921052637E-3</v>
      </c>
      <c r="S1046" s="211">
        <v>6.4005962171052638E-4</v>
      </c>
      <c r="T1046" s="211">
        <v>1.1872944078947371E-3</v>
      </c>
      <c r="U1046" s="211">
        <v>1.6586143092105264E-3</v>
      </c>
      <c r="V1046" s="724">
        <v>4.3444181743421051E-3</v>
      </c>
      <c r="W1046" s="717"/>
      <c r="X1046" s="713"/>
      <c r="Y1046" s="718"/>
      <c r="Z1046" s="237">
        <v>48</v>
      </c>
      <c r="AA1046" s="187"/>
      <c r="AB1046" s="192" t="s">
        <v>253</v>
      </c>
      <c r="AC1046" s="213">
        <v>2.1045325779035787E-2</v>
      </c>
      <c r="AD1046" s="212">
        <v>5.25</v>
      </c>
      <c r="AE1046" s="212">
        <v>0</v>
      </c>
      <c r="AF1046" s="170">
        <f t="shared" si="19"/>
        <v>0</v>
      </c>
      <c r="AG1046" s="187">
        <v>0</v>
      </c>
      <c r="AH1046" s="335"/>
      <c r="AI1046" s="188"/>
      <c r="AJ1046" s="188"/>
      <c r="AK1046" s="188"/>
      <c r="AL1046" s="189"/>
      <c r="AM1046" s="189"/>
      <c r="AN1046" s="189"/>
      <c r="AO1046" s="189"/>
      <c r="AP1046" s="189"/>
      <c r="AQ1046" s="189"/>
      <c r="AR1046" s="189"/>
      <c r="AS1046" s="189"/>
      <c r="AT1046" s="189"/>
      <c r="AU1046" s="190"/>
      <c r="AV1046" s="190"/>
      <c r="AW1046" s="190"/>
      <c r="AX1046" s="190"/>
      <c r="AY1046" s="190"/>
      <c r="AZ1046" s="189"/>
      <c r="BA1046" s="189"/>
      <c r="BB1046" s="189"/>
      <c r="BC1046" s="189"/>
      <c r="BD1046" s="189"/>
      <c r="BE1046" s="189"/>
      <c r="BF1046" s="189"/>
      <c r="BG1046" s="189"/>
      <c r="BH1046" s="189"/>
      <c r="BI1046" s="190"/>
      <c r="BJ1046" s="190"/>
      <c r="BK1046" s="190"/>
      <c r="BL1046" s="190"/>
      <c r="BM1046" s="190"/>
      <c r="BN1046" s="190"/>
      <c r="BO1046" s="190"/>
      <c r="BP1046" s="190"/>
      <c r="BQ1046" s="190"/>
      <c r="BR1046" s="190"/>
      <c r="BS1046" s="190"/>
      <c r="BT1046" s="190"/>
      <c r="BU1046" s="190"/>
      <c r="BV1046" s="190"/>
      <c r="BW1046" s="190"/>
      <c r="BX1046" s="190"/>
      <c r="BY1046" s="190"/>
      <c r="BZ1046" s="190"/>
      <c r="CA1046" s="189"/>
      <c r="CB1046" s="192"/>
    </row>
    <row r="1047" spans="1:80" x14ac:dyDescent="0.2">
      <c r="A1047" s="189"/>
      <c r="B1047" s="648"/>
      <c r="C1047" s="648"/>
      <c r="D1047" s="697"/>
      <c r="E1047" s="159"/>
      <c r="F1047" s="159"/>
      <c r="G1047" s="190"/>
      <c r="H1047" s="190"/>
      <c r="I1047" s="190"/>
      <c r="J1047" s="190"/>
      <c r="K1047" s="190"/>
      <c r="L1047" s="629"/>
      <c r="M1047" s="652">
        <v>36332.774305555555</v>
      </c>
      <c r="N1047" s="591">
        <v>2.4349148733914885</v>
      </c>
      <c r="O1047" s="592">
        <v>8.3006270559210539E-3</v>
      </c>
      <c r="P1047" s="187">
        <v>0</v>
      </c>
      <c r="Q1047" s="211">
        <v>0</v>
      </c>
      <c r="R1047" s="211">
        <v>5.1953125000000003E-4</v>
      </c>
      <c r="S1047" s="211">
        <v>1.4269120065789473E-3</v>
      </c>
      <c r="T1047" s="211">
        <v>1.5395250822368425E-3</v>
      </c>
      <c r="U1047" s="211">
        <v>1.3945312500000002E-3</v>
      </c>
      <c r="V1047" s="724">
        <v>3.4201274671052631E-3</v>
      </c>
      <c r="W1047" s="717"/>
      <c r="X1047" s="713"/>
      <c r="Y1047" s="718"/>
      <c r="Z1047" s="237">
        <v>24</v>
      </c>
      <c r="AA1047" s="187"/>
      <c r="AB1047" s="192" t="s">
        <v>253</v>
      </c>
      <c r="AC1047" s="213">
        <v>2.1225212464588129E-2</v>
      </c>
      <c r="AD1047" s="212">
        <v>5.25</v>
      </c>
      <c r="AE1047" s="212">
        <v>0.44</v>
      </c>
      <c r="AF1047" s="170">
        <f t="shared" si="19"/>
        <v>2.31</v>
      </c>
      <c r="AG1047" s="186">
        <v>0.94299999999999995</v>
      </c>
      <c r="AH1047" s="336"/>
      <c r="AI1047" s="188"/>
      <c r="AJ1047" s="188"/>
      <c r="AK1047" s="188"/>
      <c r="AL1047" s="189"/>
      <c r="AM1047" s="189"/>
      <c r="AN1047" s="189"/>
      <c r="AO1047" s="189"/>
      <c r="AP1047" s="189"/>
      <c r="AQ1047" s="189"/>
      <c r="AR1047" s="189"/>
      <c r="AS1047" s="189"/>
      <c r="AT1047" s="189"/>
      <c r="AU1047" s="190"/>
      <c r="AV1047" s="190"/>
      <c r="AW1047" s="190"/>
      <c r="AX1047" s="190"/>
      <c r="AY1047" s="190"/>
      <c r="AZ1047" s="189"/>
      <c r="BA1047" s="189"/>
      <c r="BB1047" s="189"/>
      <c r="BC1047" s="189"/>
      <c r="BD1047" s="189"/>
      <c r="BE1047" s="189"/>
      <c r="BF1047" s="189"/>
      <c r="BG1047" s="189"/>
      <c r="BH1047" s="189"/>
      <c r="BI1047" s="190"/>
      <c r="BJ1047" s="190"/>
      <c r="BK1047" s="190"/>
      <c r="BL1047" s="190"/>
      <c r="BM1047" s="190"/>
      <c r="BN1047" s="190"/>
      <c r="BO1047" s="190"/>
      <c r="BP1047" s="190"/>
      <c r="BQ1047" s="190"/>
      <c r="BR1047" s="190"/>
      <c r="BS1047" s="190"/>
      <c r="BT1047" s="190"/>
      <c r="BU1047" s="190"/>
      <c r="BV1047" s="190"/>
      <c r="BW1047" s="190"/>
      <c r="BX1047" s="190"/>
      <c r="BY1047" s="190"/>
      <c r="BZ1047" s="190"/>
      <c r="CA1047" s="189"/>
      <c r="CB1047" s="192"/>
    </row>
    <row r="1048" spans="1:80" x14ac:dyDescent="0.2">
      <c r="A1048" s="189"/>
      <c r="B1048" s="648"/>
      <c r="C1048" s="648"/>
      <c r="D1048" s="697"/>
      <c r="E1048" s="159"/>
      <c r="F1048" s="159"/>
      <c r="G1048" s="190"/>
      <c r="H1048" s="190"/>
      <c r="I1048" s="190"/>
      <c r="J1048" s="190"/>
      <c r="K1048" s="190"/>
      <c r="L1048" s="629"/>
      <c r="M1048" s="652">
        <v>36333.444444444445</v>
      </c>
      <c r="N1048" s="591">
        <v>2.3162789051904653</v>
      </c>
      <c r="O1048" s="592">
        <v>6.1778885690789483E-3</v>
      </c>
      <c r="P1048" s="187">
        <v>0</v>
      </c>
      <c r="Q1048" s="211">
        <v>0</v>
      </c>
      <c r="R1048" s="211">
        <v>9.8581414473684209E-4</v>
      </c>
      <c r="S1048" s="211">
        <v>8.4153988486842114E-4</v>
      </c>
      <c r="T1048" s="211">
        <v>9.4983552631578956E-4</v>
      </c>
      <c r="U1048" s="211">
        <v>8.2211143092105279E-4</v>
      </c>
      <c r="V1048" s="724">
        <v>2.5785875822368423E-3</v>
      </c>
      <c r="W1048" s="717"/>
      <c r="X1048" s="713"/>
      <c r="Y1048" s="718"/>
      <c r="Z1048" s="237">
        <v>25</v>
      </c>
      <c r="AA1048" s="187"/>
      <c r="AB1048" s="192" t="s">
        <v>253</v>
      </c>
      <c r="AC1048" s="213">
        <v>2.1225212464588129E-2</v>
      </c>
      <c r="AD1048" s="212">
        <v>5.25</v>
      </c>
      <c r="AE1048" s="212">
        <v>0.43</v>
      </c>
      <c r="AF1048" s="170">
        <f t="shared" si="19"/>
        <v>2.2574999999999998</v>
      </c>
      <c r="AG1048" s="186">
        <v>0.90200000000000002</v>
      </c>
      <c r="AH1048" s="336"/>
      <c r="AI1048" s="188"/>
      <c r="AJ1048" s="188"/>
      <c r="AK1048" s="188"/>
      <c r="AL1048" s="189"/>
      <c r="AM1048" s="189"/>
      <c r="AN1048" s="189"/>
      <c r="AO1048" s="189"/>
      <c r="AP1048" s="189"/>
      <c r="AQ1048" s="189"/>
      <c r="AR1048" s="189"/>
      <c r="AS1048" s="189"/>
      <c r="AT1048" s="189"/>
      <c r="AU1048" s="190"/>
      <c r="AV1048" s="190"/>
      <c r="AW1048" s="190"/>
      <c r="AX1048" s="190"/>
      <c r="AY1048" s="190"/>
      <c r="AZ1048" s="189"/>
      <c r="BA1048" s="189"/>
      <c r="BB1048" s="189"/>
      <c r="BC1048" s="189"/>
      <c r="BD1048" s="189"/>
      <c r="BE1048" s="189"/>
      <c r="BF1048" s="189"/>
      <c r="BG1048" s="189"/>
      <c r="BH1048" s="189"/>
      <c r="BI1048" s="190"/>
      <c r="BJ1048" s="190"/>
      <c r="BK1048" s="190"/>
      <c r="BL1048" s="190"/>
      <c r="BM1048" s="190"/>
      <c r="BN1048" s="190"/>
      <c r="BO1048" s="190"/>
      <c r="BP1048" s="190"/>
      <c r="BQ1048" s="190"/>
      <c r="BR1048" s="190"/>
      <c r="BS1048" s="190"/>
      <c r="BT1048" s="190"/>
      <c r="BU1048" s="190"/>
      <c r="BV1048" s="190"/>
      <c r="BW1048" s="190"/>
      <c r="BX1048" s="190"/>
      <c r="BY1048" s="190"/>
      <c r="BZ1048" s="190"/>
      <c r="CA1048" s="189"/>
      <c r="CB1048" s="192"/>
    </row>
    <row r="1049" spans="1:80" x14ac:dyDescent="0.2">
      <c r="A1049" s="189"/>
      <c r="B1049" s="648"/>
      <c r="C1049" s="648"/>
      <c r="D1049" s="697"/>
      <c r="E1049" s="159"/>
      <c r="F1049" s="159"/>
      <c r="G1049" s="190"/>
      <c r="H1049" s="190"/>
      <c r="I1049" s="190"/>
      <c r="J1049" s="190"/>
      <c r="K1049" s="190"/>
      <c r="L1049" s="629"/>
      <c r="M1049" s="652">
        <v>36333.729166666664</v>
      </c>
      <c r="N1049" s="591">
        <v>2.2702420421926677</v>
      </c>
      <c r="O1049" s="592">
        <v>3.1211451480263157E-3</v>
      </c>
      <c r="P1049" s="187">
        <v>0</v>
      </c>
      <c r="Q1049" s="211">
        <v>0</v>
      </c>
      <c r="R1049" s="211">
        <v>0</v>
      </c>
      <c r="S1049" s="211">
        <v>3.3424136513157898E-4</v>
      </c>
      <c r="T1049" s="211">
        <v>1.9392475328947371E-4</v>
      </c>
      <c r="U1049" s="211">
        <v>3.1301398026315792E-4</v>
      </c>
      <c r="V1049" s="724">
        <v>2.2799650493421052E-3</v>
      </c>
      <c r="W1049" s="717"/>
      <c r="X1049" s="713"/>
      <c r="Y1049" s="718"/>
      <c r="Z1049" s="237">
        <v>17</v>
      </c>
      <c r="AA1049" s="187"/>
      <c r="AB1049" s="192" t="s">
        <v>253</v>
      </c>
      <c r="AC1049" s="213">
        <v>2.1045325779035787E-2</v>
      </c>
      <c r="AD1049" s="212">
        <v>5.25</v>
      </c>
      <c r="AE1049" s="212">
        <v>0.43</v>
      </c>
      <c r="AF1049" s="170">
        <f t="shared" si="19"/>
        <v>2.2574999999999998</v>
      </c>
      <c r="AG1049" s="186">
        <v>0.91700000000000004</v>
      </c>
      <c r="AH1049" s="336"/>
      <c r="AI1049" s="188"/>
      <c r="AJ1049" s="188"/>
      <c r="AK1049" s="188"/>
      <c r="AL1049" s="189"/>
      <c r="AM1049" s="189"/>
      <c r="AN1049" s="189"/>
      <c r="AO1049" s="189"/>
      <c r="AP1049" s="189"/>
      <c r="AQ1049" s="189"/>
      <c r="AR1049" s="189"/>
      <c r="AS1049" s="189"/>
      <c r="AT1049" s="189"/>
      <c r="AU1049" s="190"/>
      <c r="AV1049" s="190"/>
      <c r="AW1049" s="190"/>
      <c r="AX1049" s="190"/>
      <c r="AY1049" s="190"/>
      <c r="AZ1049" s="189"/>
      <c r="BA1049" s="189"/>
      <c r="BB1049" s="189"/>
      <c r="BC1049" s="189"/>
      <c r="BD1049" s="189"/>
      <c r="BE1049" s="189"/>
      <c r="BF1049" s="189"/>
      <c r="BG1049" s="189"/>
      <c r="BH1049" s="189"/>
      <c r="BI1049" s="190"/>
      <c r="BJ1049" s="190"/>
      <c r="BK1049" s="190"/>
      <c r="BL1049" s="190"/>
      <c r="BM1049" s="190"/>
      <c r="BN1049" s="190"/>
      <c r="BO1049" s="190"/>
      <c r="BP1049" s="190"/>
      <c r="BQ1049" s="190"/>
      <c r="BR1049" s="190"/>
      <c r="BS1049" s="190"/>
      <c r="BT1049" s="190"/>
      <c r="BU1049" s="190"/>
      <c r="BV1049" s="190"/>
      <c r="BW1049" s="190"/>
      <c r="BX1049" s="190"/>
      <c r="BY1049" s="190"/>
      <c r="BZ1049" s="190"/>
      <c r="CA1049" s="189"/>
      <c r="CB1049" s="192"/>
    </row>
    <row r="1050" spans="1:80" x14ac:dyDescent="0.2">
      <c r="A1050" s="189"/>
      <c r="B1050" s="648"/>
      <c r="C1050" s="648"/>
      <c r="D1050" s="697"/>
      <c r="E1050" s="159"/>
      <c r="F1050" s="159"/>
      <c r="G1050" s="190"/>
      <c r="H1050" s="190"/>
      <c r="I1050" s="190"/>
      <c r="J1050" s="190"/>
      <c r="K1050" s="190"/>
      <c r="L1050" s="629"/>
      <c r="M1050" s="652">
        <v>36334.447916666664</v>
      </c>
      <c r="N1050" s="591">
        <v>2.0939045687398927</v>
      </c>
      <c r="O1050" s="592">
        <v>2.0151624177631583E-3</v>
      </c>
      <c r="P1050" s="187">
        <v>0</v>
      </c>
      <c r="Q1050" s="211">
        <v>0</v>
      </c>
      <c r="R1050" s="211">
        <v>0</v>
      </c>
      <c r="S1050" s="211">
        <v>0</v>
      </c>
      <c r="T1050" s="211">
        <v>1.8457031250000003E-4</v>
      </c>
      <c r="U1050" s="211">
        <v>2.3098273026315791E-4</v>
      </c>
      <c r="V1050" s="724">
        <v>1.5996093750000003E-3</v>
      </c>
      <c r="W1050" s="717"/>
      <c r="X1050" s="713"/>
      <c r="Y1050" s="718"/>
      <c r="Z1050" s="237">
        <v>9</v>
      </c>
      <c r="AA1050" s="187"/>
      <c r="AB1050" s="192" t="s">
        <v>253</v>
      </c>
      <c r="AC1050" s="213">
        <v>2.0865439093484251E-2</v>
      </c>
      <c r="AD1050" s="212">
        <v>5.25</v>
      </c>
      <c r="AE1050" s="212">
        <v>0</v>
      </c>
      <c r="AF1050" s="170">
        <f t="shared" si="19"/>
        <v>0</v>
      </c>
      <c r="AG1050" s="187">
        <v>0</v>
      </c>
      <c r="AH1050" s="335"/>
      <c r="AI1050" s="188"/>
      <c r="AJ1050" s="188"/>
      <c r="AK1050" s="188"/>
      <c r="AL1050" s="189"/>
      <c r="AM1050" s="189"/>
      <c r="AN1050" s="189"/>
      <c r="AO1050" s="189"/>
      <c r="AP1050" s="189"/>
      <c r="AQ1050" s="189"/>
      <c r="AR1050" s="189"/>
      <c r="AS1050" s="189"/>
      <c r="AT1050" s="189"/>
      <c r="AU1050" s="190"/>
      <c r="AV1050" s="190"/>
      <c r="AW1050" s="190"/>
      <c r="AX1050" s="190"/>
      <c r="AY1050" s="190"/>
      <c r="AZ1050" s="189"/>
      <c r="BA1050" s="189"/>
      <c r="BB1050" s="189"/>
      <c r="BC1050" s="189"/>
      <c r="BD1050" s="189"/>
      <c r="BE1050" s="189"/>
      <c r="BF1050" s="189"/>
      <c r="BG1050" s="189"/>
      <c r="BH1050" s="189"/>
      <c r="BI1050" s="190"/>
      <c r="BJ1050" s="190"/>
      <c r="BK1050" s="190"/>
      <c r="BL1050" s="190"/>
      <c r="BM1050" s="190"/>
      <c r="BN1050" s="190"/>
      <c r="BO1050" s="190"/>
      <c r="BP1050" s="190"/>
      <c r="BQ1050" s="190"/>
      <c r="BR1050" s="190"/>
      <c r="BS1050" s="190"/>
      <c r="BT1050" s="190"/>
      <c r="BU1050" s="190"/>
      <c r="BV1050" s="190"/>
      <c r="BW1050" s="190"/>
      <c r="BX1050" s="190"/>
      <c r="BY1050" s="190"/>
      <c r="BZ1050" s="190"/>
      <c r="CA1050" s="189"/>
      <c r="CB1050" s="192"/>
    </row>
    <row r="1051" spans="1:80" x14ac:dyDescent="0.2">
      <c r="A1051" s="189"/>
      <c r="B1051" s="648"/>
      <c r="C1051" s="648"/>
      <c r="D1051" s="697"/>
      <c r="E1051" s="159"/>
      <c r="F1051" s="159"/>
      <c r="G1051" s="190"/>
      <c r="H1051" s="190"/>
      <c r="I1051" s="190"/>
      <c r="J1051" s="190"/>
      <c r="K1051" s="190"/>
      <c r="L1051" s="629"/>
      <c r="M1051" s="652">
        <v>36334.725694444445</v>
      </c>
      <c r="N1051" s="591">
        <v>2.0621937821255747</v>
      </c>
      <c r="O1051" s="592">
        <v>2.6778885690789478E-3</v>
      </c>
      <c r="P1051" s="187">
        <v>0</v>
      </c>
      <c r="Q1051" s="211">
        <v>0</v>
      </c>
      <c r="R1051" s="211">
        <v>0</v>
      </c>
      <c r="S1051" s="211">
        <v>3.5007195723684212E-4</v>
      </c>
      <c r="T1051" s="211">
        <v>2.4393503289473688E-4</v>
      </c>
      <c r="U1051" s="211">
        <v>3.4107730263157899E-4</v>
      </c>
      <c r="V1051" s="724">
        <v>1.7428042763157896E-3</v>
      </c>
      <c r="W1051" s="717"/>
      <c r="X1051" s="713"/>
      <c r="Y1051" s="718"/>
      <c r="Z1051" s="237">
        <v>18</v>
      </c>
      <c r="AA1051" s="187"/>
      <c r="AB1051" s="192" t="s">
        <v>253</v>
      </c>
      <c r="AC1051" s="213">
        <v>2.0865439093484251E-2</v>
      </c>
      <c r="AD1051" s="212">
        <v>5.25</v>
      </c>
      <c r="AE1051" s="212">
        <v>0.41</v>
      </c>
      <c r="AF1051" s="170">
        <f t="shared" si="19"/>
        <v>2.1524999999999999</v>
      </c>
      <c r="AG1051" s="186">
        <v>0.86099999999999999</v>
      </c>
      <c r="AH1051" s="336"/>
      <c r="AI1051" s="188"/>
      <c r="AJ1051" s="188"/>
      <c r="AK1051" s="188"/>
      <c r="AL1051" s="189"/>
      <c r="AM1051" s="189"/>
      <c r="AN1051" s="189"/>
      <c r="AO1051" s="189"/>
      <c r="AP1051" s="189"/>
      <c r="AQ1051" s="189"/>
      <c r="AR1051" s="189"/>
      <c r="AS1051" s="189"/>
      <c r="AT1051" s="189"/>
      <c r="AU1051" s="190"/>
      <c r="AV1051" s="190"/>
      <c r="AW1051" s="190"/>
      <c r="AX1051" s="190"/>
      <c r="AY1051" s="190"/>
      <c r="AZ1051" s="189"/>
      <c r="BA1051" s="189"/>
      <c r="BB1051" s="189"/>
      <c r="BC1051" s="189"/>
      <c r="BD1051" s="189"/>
      <c r="BE1051" s="189"/>
      <c r="BF1051" s="189"/>
      <c r="BG1051" s="189"/>
      <c r="BH1051" s="189"/>
      <c r="BI1051" s="190"/>
      <c r="BJ1051" s="190"/>
      <c r="BK1051" s="190"/>
      <c r="BL1051" s="190"/>
      <c r="BM1051" s="190"/>
      <c r="BN1051" s="190"/>
      <c r="BO1051" s="190"/>
      <c r="BP1051" s="190"/>
      <c r="BQ1051" s="190"/>
      <c r="BR1051" s="190"/>
      <c r="BS1051" s="190"/>
      <c r="BT1051" s="190"/>
      <c r="BU1051" s="190"/>
      <c r="BV1051" s="190"/>
      <c r="BW1051" s="190"/>
      <c r="BX1051" s="190"/>
      <c r="BY1051" s="190"/>
      <c r="BZ1051" s="190"/>
      <c r="CA1051" s="189"/>
      <c r="CB1051" s="192"/>
    </row>
    <row r="1052" spans="1:80" x14ac:dyDescent="0.2">
      <c r="A1052" s="189"/>
      <c r="B1052" s="648"/>
      <c r="C1052" s="648"/>
      <c r="D1052" s="697"/>
      <c r="E1052" s="159"/>
      <c r="F1052" s="159"/>
      <c r="G1052" s="190"/>
      <c r="H1052" s="190"/>
      <c r="I1052" s="190"/>
      <c r="J1052" s="190"/>
      <c r="K1052" s="190"/>
      <c r="L1052" s="629"/>
      <c r="M1052" s="652">
        <v>36335.548611111109</v>
      </c>
      <c r="N1052" s="591">
        <v>1.9594673172652741</v>
      </c>
      <c r="O1052" s="592">
        <v>2.160608552631579E-3</v>
      </c>
      <c r="P1052" s="187">
        <v>0</v>
      </c>
      <c r="Q1052" s="211">
        <v>0</v>
      </c>
      <c r="R1052" s="211">
        <v>0</v>
      </c>
      <c r="S1052" s="211">
        <v>5.8514254385964902E-4</v>
      </c>
      <c r="T1052" s="211">
        <v>2.2985197368421056E-4</v>
      </c>
      <c r="U1052" s="211">
        <v>1.7853618421052631E-4</v>
      </c>
      <c r="V1052" s="724">
        <v>1.1670778508771932E-3</v>
      </c>
      <c r="W1052" s="717"/>
      <c r="X1052" s="713"/>
      <c r="Y1052" s="718"/>
      <c r="Z1052" s="237">
        <v>17</v>
      </c>
      <c r="AA1052" s="187"/>
      <c r="AB1052" s="192" t="s">
        <v>253</v>
      </c>
      <c r="AC1052" s="213">
        <v>2.068555240793191E-2</v>
      </c>
      <c r="AD1052" s="212">
        <v>5.2</v>
      </c>
      <c r="AE1052" s="212">
        <v>0.43</v>
      </c>
      <c r="AF1052" s="170">
        <f t="shared" si="19"/>
        <v>2.2360000000000002</v>
      </c>
      <c r="AG1052" s="186">
        <v>0.88500000000000001</v>
      </c>
      <c r="AH1052" s="336"/>
      <c r="AI1052" s="188"/>
      <c r="AJ1052" s="188"/>
      <c r="AK1052" s="188"/>
      <c r="AL1052" s="189"/>
      <c r="AM1052" s="189"/>
      <c r="AN1052" s="189"/>
      <c r="AO1052" s="189"/>
      <c r="AP1052" s="189"/>
      <c r="AQ1052" s="189"/>
      <c r="AR1052" s="189"/>
      <c r="AS1052" s="189"/>
      <c r="AT1052" s="189"/>
      <c r="AU1052" s="190"/>
      <c r="AV1052" s="190"/>
      <c r="AW1052" s="190"/>
      <c r="AX1052" s="190"/>
      <c r="AY1052" s="190"/>
      <c r="AZ1052" s="189"/>
      <c r="BA1052" s="189"/>
      <c r="BB1052" s="189"/>
      <c r="BC1052" s="189"/>
      <c r="BD1052" s="189"/>
      <c r="BE1052" s="189"/>
      <c r="BF1052" s="189"/>
      <c r="BG1052" s="189"/>
      <c r="BH1052" s="189"/>
      <c r="BI1052" s="190"/>
      <c r="BJ1052" s="190"/>
      <c r="BK1052" s="190"/>
      <c r="BL1052" s="190"/>
      <c r="BM1052" s="190"/>
      <c r="BN1052" s="190"/>
      <c r="BO1052" s="190"/>
      <c r="BP1052" s="190"/>
      <c r="BQ1052" s="190"/>
      <c r="BR1052" s="190"/>
      <c r="BS1052" s="190"/>
      <c r="BT1052" s="190"/>
      <c r="BU1052" s="190"/>
      <c r="BV1052" s="190"/>
      <c r="BW1052" s="190"/>
      <c r="BX1052" s="190"/>
      <c r="BY1052" s="190"/>
      <c r="BZ1052" s="190"/>
      <c r="CA1052" s="189"/>
      <c r="CB1052" s="192"/>
    </row>
    <row r="1053" spans="1:80" x14ac:dyDescent="0.2">
      <c r="A1053" s="189"/>
      <c r="B1053" s="648"/>
      <c r="C1053" s="648"/>
      <c r="D1053" s="697"/>
      <c r="E1053" s="159"/>
      <c r="F1053" s="159"/>
      <c r="G1053" s="190"/>
      <c r="H1053" s="190"/>
      <c r="I1053" s="190"/>
      <c r="J1053" s="190"/>
      <c r="K1053" s="190"/>
      <c r="L1053" s="629"/>
      <c r="M1053" s="652">
        <v>36335.736111111109</v>
      </c>
      <c r="N1053" s="591">
        <v>1.9594673172652741</v>
      </c>
      <c r="O1053" s="592">
        <v>1.4019188596491228E-3</v>
      </c>
      <c r="P1053" s="187">
        <v>0</v>
      </c>
      <c r="Q1053" s="211">
        <v>0</v>
      </c>
      <c r="R1053" s="211">
        <v>0</v>
      </c>
      <c r="S1053" s="211">
        <v>2.8152412280701756E-5</v>
      </c>
      <c r="T1053" s="211">
        <v>1.3363486842105264E-4</v>
      </c>
      <c r="U1053" s="211">
        <v>7.3766447368421074E-5</v>
      </c>
      <c r="V1053" s="724">
        <v>1.1663651315789475E-3</v>
      </c>
      <c r="W1053" s="717"/>
      <c r="X1053" s="713"/>
      <c r="Y1053" s="718"/>
      <c r="Z1053" s="237">
        <v>11</v>
      </c>
      <c r="AA1053" s="187"/>
      <c r="AB1053" s="192" t="s">
        <v>253</v>
      </c>
      <c r="AC1053" s="213">
        <v>2.0865439093484251E-2</v>
      </c>
      <c r="AD1053" s="212">
        <v>5.2</v>
      </c>
      <c r="AE1053" s="212">
        <v>0</v>
      </c>
      <c r="AF1053" s="170">
        <f t="shared" si="19"/>
        <v>0</v>
      </c>
      <c r="AG1053" s="187">
        <v>0</v>
      </c>
      <c r="AH1053" s="335"/>
      <c r="AI1053" s="188"/>
      <c r="AJ1053" s="188"/>
      <c r="AK1053" s="188"/>
      <c r="AL1053" s="189"/>
      <c r="AM1053" s="189"/>
      <c r="AN1053" s="189"/>
      <c r="AO1053" s="189"/>
      <c r="AP1053" s="189"/>
      <c r="AQ1053" s="189"/>
      <c r="AR1053" s="189"/>
      <c r="AS1053" s="189"/>
      <c r="AT1053" s="189"/>
      <c r="AU1053" s="190"/>
      <c r="AV1053" s="190"/>
      <c r="AW1053" s="190"/>
      <c r="AX1053" s="190"/>
      <c r="AY1053" s="190"/>
      <c r="AZ1053" s="189"/>
      <c r="BA1053" s="189"/>
      <c r="BB1053" s="189"/>
      <c r="BC1053" s="189"/>
      <c r="BD1053" s="189"/>
      <c r="BE1053" s="189"/>
      <c r="BF1053" s="189"/>
      <c r="BG1053" s="189"/>
      <c r="BH1053" s="189"/>
      <c r="BI1053" s="190"/>
      <c r="BJ1053" s="190"/>
      <c r="BK1053" s="190"/>
      <c r="BL1053" s="190"/>
      <c r="BM1053" s="190"/>
      <c r="BN1053" s="190"/>
      <c r="BO1053" s="190"/>
      <c r="BP1053" s="190"/>
      <c r="BQ1053" s="190"/>
      <c r="BR1053" s="190"/>
      <c r="BS1053" s="190"/>
      <c r="BT1053" s="190"/>
      <c r="BU1053" s="190"/>
      <c r="BV1053" s="190"/>
      <c r="BW1053" s="190"/>
      <c r="BX1053" s="190"/>
      <c r="BY1053" s="190"/>
      <c r="BZ1053" s="190"/>
      <c r="CA1053" s="189"/>
      <c r="CB1053" s="192"/>
    </row>
    <row r="1054" spans="1:80" x14ac:dyDescent="0.2">
      <c r="A1054" s="189"/>
      <c r="B1054" s="648"/>
      <c r="C1054" s="648"/>
      <c r="D1054" s="697"/>
      <c r="E1054" s="159"/>
      <c r="F1054" s="159"/>
      <c r="G1054" s="190"/>
      <c r="H1054" s="190"/>
      <c r="I1054" s="190"/>
      <c r="J1054" s="190"/>
      <c r="K1054" s="190"/>
      <c r="L1054" s="629"/>
      <c r="M1054" s="652">
        <v>36336.5625</v>
      </c>
      <c r="N1054" s="591">
        <v>1.8902164784571094</v>
      </c>
      <c r="O1054" s="592">
        <v>1.5881167763157897E-3</v>
      </c>
      <c r="P1054" s="187">
        <v>0</v>
      </c>
      <c r="Q1054" s="211">
        <v>0</v>
      </c>
      <c r="R1054" s="211">
        <v>0</v>
      </c>
      <c r="S1054" s="211">
        <v>1.2508223684210527E-4</v>
      </c>
      <c r="T1054" s="211">
        <v>1.5893640350877195E-4</v>
      </c>
      <c r="U1054" s="211">
        <v>2.0098684210526321E-4</v>
      </c>
      <c r="V1054" s="724">
        <v>1.1031112938596492E-3</v>
      </c>
      <c r="W1054" s="717"/>
      <c r="X1054" s="713"/>
      <c r="Y1054" s="718"/>
      <c r="Z1054" s="237">
        <v>16</v>
      </c>
      <c r="AA1054" s="187"/>
      <c r="AB1054" s="192" t="s">
        <v>253</v>
      </c>
      <c r="AC1054" s="213">
        <v>2.0865439093484251E-2</v>
      </c>
      <c r="AD1054" s="212">
        <v>5.2</v>
      </c>
      <c r="AE1054" s="212">
        <v>0.42</v>
      </c>
      <c r="AF1054" s="170">
        <f t="shared" si="19"/>
        <v>2.1840000000000002</v>
      </c>
      <c r="AG1054" s="186">
        <v>0.83399999999999996</v>
      </c>
      <c r="AH1054" s="336"/>
      <c r="AI1054" s="188"/>
      <c r="AJ1054" s="188"/>
      <c r="AK1054" s="188"/>
      <c r="AL1054" s="189"/>
      <c r="AM1054" s="189"/>
      <c r="AN1054" s="189"/>
      <c r="AO1054" s="189"/>
      <c r="AP1054" s="189"/>
      <c r="AQ1054" s="189"/>
      <c r="AR1054" s="189"/>
      <c r="AS1054" s="189"/>
      <c r="AT1054" s="189"/>
      <c r="AU1054" s="190"/>
      <c r="AV1054" s="190"/>
      <c r="AW1054" s="190"/>
      <c r="AX1054" s="190"/>
      <c r="AY1054" s="190"/>
      <c r="AZ1054" s="189"/>
      <c r="BA1054" s="189"/>
      <c r="BB1054" s="189"/>
      <c r="BC1054" s="189"/>
      <c r="BD1054" s="189"/>
      <c r="BE1054" s="189"/>
      <c r="BF1054" s="189"/>
      <c r="BG1054" s="189"/>
      <c r="BH1054" s="189"/>
      <c r="BI1054" s="190"/>
      <c r="BJ1054" s="190"/>
      <c r="BK1054" s="190"/>
      <c r="BL1054" s="190"/>
      <c r="BM1054" s="190"/>
      <c r="BN1054" s="190"/>
      <c r="BO1054" s="190"/>
      <c r="BP1054" s="190"/>
      <c r="BQ1054" s="190"/>
      <c r="BR1054" s="190"/>
      <c r="BS1054" s="190"/>
      <c r="BT1054" s="190"/>
      <c r="BU1054" s="190"/>
      <c r="BV1054" s="190"/>
      <c r="BW1054" s="190"/>
      <c r="BX1054" s="190"/>
      <c r="BY1054" s="190"/>
      <c r="BZ1054" s="190"/>
      <c r="CA1054" s="189"/>
      <c r="CB1054" s="192"/>
    </row>
    <row r="1055" spans="1:80" x14ac:dyDescent="0.2">
      <c r="A1055" s="189"/>
      <c r="B1055" s="648"/>
      <c r="C1055" s="648"/>
      <c r="D1055" s="697"/>
      <c r="E1055" s="159"/>
      <c r="F1055" s="159"/>
      <c r="G1055" s="190"/>
      <c r="H1055" s="190"/>
      <c r="I1055" s="190"/>
      <c r="J1055" s="190"/>
      <c r="K1055" s="190"/>
      <c r="L1055" s="629"/>
      <c r="M1055" s="652">
        <v>36336.770833333336</v>
      </c>
      <c r="N1055" s="591">
        <v>1.929524699821799</v>
      </c>
      <c r="O1055" s="592">
        <v>1.5033031798245616E-3</v>
      </c>
      <c r="P1055" s="187">
        <v>0</v>
      </c>
      <c r="Q1055" s="211">
        <v>0</v>
      </c>
      <c r="R1055" s="211">
        <v>0</v>
      </c>
      <c r="S1055" s="211">
        <v>1.2472587719298249E-4</v>
      </c>
      <c r="T1055" s="211">
        <v>1.1385690789473688E-4</v>
      </c>
      <c r="U1055" s="211">
        <v>2.0971765350877194E-4</v>
      </c>
      <c r="V1055" s="724">
        <v>1.0550027412280702E-3</v>
      </c>
      <c r="W1055" s="717"/>
      <c r="X1055" s="713"/>
      <c r="Y1055" s="718"/>
      <c r="Z1055" s="237">
        <v>14</v>
      </c>
      <c r="AA1055" s="187"/>
      <c r="AB1055" s="192" t="s">
        <v>253</v>
      </c>
      <c r="AC1055" s="213">
        <v>2.1225212464588934E-2</v>
      </c>
      <c r="AD1055" s="212">
        <v>5.2</v>
      </c>
      <c r="AE1055" s="212">
        <v>0</v>
      </c>
      <c r="AF1055" s="170">
        <f t="shared" si="19"/>
        <v>0</v>
      </c>
      <c r="AG1055" s="187">
        <v>0</v>
      </c>
      <c r="AH1055" s="335"/>
      <c r="AI1055" s="188"/>
      <c r="AJ1055" s="188"/>
      <c r="AK1055" s="188"/>
      <c r="AL1055" s="189"/>
      <c r="AM1055" s="189"/>
      <c r="AN1055" s="189"/>
      <c r="AO1055" s="189"/>
      <c r="AP1055" s="189"/>
      <c r="AQ1055" s="189"/>
      <c r="AR1055" s="189"/>
      <c r="AS1055" s="189"/>
      <c r="AT1055" s="189"/>
      <c r="AU1055" s="190"/>
      <c r="AV1055" s="190"/>
      <c r="AW1055" s="190"/>
      <c r="AX1055" s="190"/>
      <c r="AY1055" s="190"/>
      <c r="AZ1055" s="189"/>
      <c r="BA1055" s="189"/>
      <c r="BB1055" s="189"/>
      <c r="BC1055" s="189"/>
      <c r="BD1055" s="189"/>
      <c r="BE1055" s="189"/>
      <c r="BF1055" s="189"/>
      <c r="BG1055" s="189"/>
      <c r="BH1055" s="189"/>
      <c r="BI1055" s="190"/>
      <c r="BJ1055" s="190"/>
      <c r="BK1055" s="190"/>
      <c r="BL1055" s="190"/>
      <c r="BM1055" s="190"/>
      <c r="BN1055" s="190"/>
      <c r="BO1055" s="190"/>
      <c r="BP1055" s="190"/>
      <c r="BQ1055" s="190"/>
      <c r="BR1055" s="190"/>
      <c r="BS1055" s="190"/>
      <c r="BT1055" s="190"/>
      <c r="BU1055" s="190"/>
      <c r="BV1055" s="190"/>
      <c r="BW1055" s="190"/>
      <c r="BX1055" s="190"/>
      <c r="BY1055" s="190"/>
      <c r="BZ1055" s="190"/>
      <c r="CA1055" s="189"/>
      <c r="CB1055" s="192"/>
    </row>
    <row r="1056" spans="1:80" x14ac:dyDescent="0.2">
      <c r="A1056" s="189"/>
      <c r="B1056" s="648"/>
      <c r="C1056" s="648"/>
      <c r="D1056" s="697"/>
      <c r="E1056" s="159"/>
      <c r="F1056" s="159"/>
      <c r="G1056" s="190"/>
      <c r="H1056" s="190"/>
      <c r="I1056" s="190"/>
      <c r="J1056" s="190"/>
      <c r="K1056" s="190"/>
      <c r="L1056" s="629"/>
      <c r="M1056" s="652">
        <v>36339.645833333336</v>
      </c>
      <c r="N1056" s="591">
        <v>1.5664393848392899</v>
      </c>
      <c r="O1056" s="592">
        <v>1.5587290981359646E-3</v>
      </c>
      <c r="P1056" s="187">
        <v>0</v>
      </c>
      <c r="Q1056" s="211">
        <v>0</v>
      </c>
      <c r="R1056" s="211">
        <v>0</v>
      </c>
      <c r="S1056" s="211">
        <v>4.3569592927631583E-4</v>
      </c>
      <c r="T1056" s="211">
        <v>2.3611225328947375E-4</v>
      </c>
      <c r="U1056" s="211">
        <v>1.6640796326754389E-4</v>
      </c>
      <c r="V1056" s="724">
        <v>7.205129523026318E-4</v>
      </c>
      <c r="W1056" s="717"/>
      <c r="X1056" s="713"/>
      <c r="Y1056" s="718"/>
      <c r="Z1056" s="237">
        <v>17</v>
      </c>
      <c r="AA1056" s="187"/>
      <c r="AB1056" s="192" t="s">
        <v>253</v>
      </c>
      <c r="AC1056" s="213">
        <v>2.1225212464588129E-2</v>
      </c>
      <c r="AD1056" s="212">
        <v>5.15</v>
      </c>
      <c r="AE1056" s="212">
        <v>0.39</v>
      </c>
      <c r="AF1056" s="170">
        <f t="shared" si="19"/>
        <v>2.0085000000000002</v>
      </c>
      <c r="AG1056" s="186">
        <v>0.79</v>
      </c>
      <c r="AH1056" s="336"/>
      <c r="AI1056" s="188"/>
      <c r="AJ1056" s="188"/>
      <c r="AK1056" s="188"/>
      <c r="AL1056" s="189"/>
      <c r="AM1056" s="189"/>
      <c r="AN1056" s="189"/>
      <c r="AO1056" s="189"/>
      <c r="AP1056" s="189"/>
      <c r="AQ1056" s="189"/>
      <c r="AR1056" s="189"/>
      <c r="AS1056" s="189"/>
      <c r="AT1056" s="189"/>
      <c r="AU1056" s="190"/>
      <c r="AV1056" s="190"/>
      <c r="AW1056" s="190"/>
      <c r="AX1056" s="190"/>
      <c r="AY1056" s="190"/>
      <c r="AZ1056" s="189"/>
      <c r="BA1056" s="189"/>
      <c r="BB1056" s="189"/>
      <c r="BC1056" s="189"/>
      <c r="BD1056" s="189"/>
      <c r="BE1056" s="189"/>
      <c r="BF1056" s="189"/>
      <c r="BG1056" s="189"/>
      <c r="BH1056" s="189"/>
      <c r="BI1056" s="190"/>
      <c r="BJ1056" s="190"/>
      <c r="BK1056" s="190"/>
      <c r="BL1056" s="190"/>
      <c r="BM1056" s="190"/>
      <c r="BN1056" s="190"/>
      <c r="BO1056" s="190"/>
      <c r="BP1056" s="190"/>
      <c r="BQ1056" s="190"/>
      <c r="BR1056" s="190"/>
      <c r="BS1056" s="190"/>
      <c r="BT1056" s="190"/>
      <c r="BU1056" s="190"/>
      <c r="BV1056" s="190"/>
      <c r="BW1056" s="190"/>
      <c r="BX1056" s="190"/>
      <c r="BY1056" s="190"/>
      <c r="BZ1056" s="190"/>
      <c r="CA1056" s="189"/>
      <c r="CB1056" s="192"/>
    </row>
    <row r="1057" spans="1:80" x14ac:dyDescent="0.2">
      <c r="A1057" s="189"/>
      <c r="B1057" s="648"/>
      <c r="C1057" s="648"/>
      <c r="D1057" s="697"/>
      <c r="E1057" s="159"/>
      <c r="F1057" s="159"/>
      <c r="G1057" s="190"/>
      <c r="H1057" s="190"/>
      <c r="I1057" s="190"/>
      <c r="J1057" s="190"/>
      <c r="K1057" s="190"/>
      <c r="L1057" s="629"/>
      <c r="M1057" s="652">
        <v>36340.475694444445</v>
      </c>
      <c r="N1057" s="591">
        <v>1.5093910947366738</v>
      </c>
      <c r="O1057" s="592">
        <v>2.9035807291666669E-3</v>
      </c>
      <c r="P1057" s="187">
        <v>0</v>
      </c>
      <c r="Q1057" s="211">
        <v>0</v>
      </c>
      <c r="R1057" s="211">
        <v>0</v>
      </c>
      <c r="S1057" s="211">
        <v>4.6834224232456141E-4</v>
      </c>
      <c r="T1057" s="211">
        <v>6.142800849780703E-4</v>
      </c>
      <c r="U1057" s="211">
        <v>5.9186883223684222E-4</v>
      </c>
      <c r="V1057" s="724">
        <v>1.2290895696271931E-3</v>
      </c>
      <c r="W1057" s="717"/>
      <c r="X1057" s="713"/>
      <c r="Y1057" s="718"/>
      <c r="Z1057" s="237">
        <v>18</v>
      </c>
      <c r="AA1057" s="187"/>
      <c r="AB1057" s="192" t="s">
        <v>253</v>
      </c>
      <c r="AC1057" s="213">
        <v>2.1045325779036592E-2</v>
      </c>
      <c r="AD1057" s="212">
        <v>5.15</v>
      </c>
      <c r="AE1057" s="212">
        <v>0.39</v>
      </c>
      <c r="AF1057" s="170">
        <f t="shared" si="19"/>
        <v>2.0085000000000002</v>
      </c>
      <c r="AG1057" s="186">
        <v>0.74399999999999999</v>
      </c>
      <c r="AH1057" s="336"/>
      <c r="AI1057" s="188"/>
      <c r="AJ1057" s="188"/>
      <c r="AK1057" s="188"/>
      <c r="AL1057" s="189"/>
      <c r="AM1057" s="189"/>
      <c r="AN1057" s="189"/>
      <c r="AO1057" s="189"/>
      <c r="AP1057" s="189"/>
      <c r="AQ1057" s="189"/>
      <c r="AR1057" s="189"/>
      <c r="AS1057" s="189"/>
      <c r="AT1057" s="189"/>
      <c r="AU1057" s="190"/>
      <c r="AV1057" s="190"/>
      <c r="AW1057" s="190"/>
      <c r="AX1057" s="190"/>
      <c r="AY1057" s="190"/>
      <c r="AZ1057" s="189"/>
      <c r="BA1057" s="189"/>
      <c r="BB1057" s="189"/>
      <c r="BC1057" s="189"/>
      <c r="BD1057" s="189"/>
      <c r="BE1057" s="189"/>
      <c r="BF1057" s="189"/>
      <c r="BG1057" s="189"/>
      <c r="BH1057" s="189"/>
      <c r="BI1057" s="190"/>
      <c r="BJ1057" s="190"/>
      <c r="BK1057" s="190"/>
      <c r="BL1057" s="190"/>
      <c r="BM1057" s="190"/>
      <c r="BN1057" s="190"/>
      <c r="BO1057" s="190"/>
      <c r="BP1057" s="190"/>
      <c r="BQ1057" s="190"/>
      <c r="BR1057" s="190"/>
      <c r="BS1057" s="190"/>
      <c r="BT1057" s="190"/>
      <c r="BU1057" s="190"/>
      <c r="BV1057" s="190"/>
      <c r="BW1057" s="190"/>
      <c r="BX1057" s="190"/>
      <c r="BY1057" s="190"/>
      <c r="BZ1057" s="190"/>
      <c r="CA1057" s="189"/>
      <c r="CB1057" s="192"/>
    </row>
    <row r="1058" spans="1:80" x14ac:dyDescent="0.2">
      <c r="A1058" s="189"/>
      <c r="B1058" s="648"/>
      <c r="C1058" s="648"/>
      <c r="D1058" s="697"/>
      <c r="E1058" s="159"/>
      <c r="F1058" s="159"/>
      <c r="G1058" s="190"/>
      <c r="H1058" s="190"/>
      <c r="I1058" s="190"/>
      <c r="J1058" s="190"/>
      <c r="K1058" s="190"/>
      <c r="L1058" s="629"/>
      <c r="M1058" s="652">
        <v>36340.670138888891</v>
      </c>
      <c r="N1058" s="591">
        <v>1.4697493202725795</v>
      </c>
      <c r="O1058" s="592">
        <v>1.8987801535087722E-3</v>
      </c>
      <c r="P1058" s="187">
        <v>0</v>
      </c>
      <c r="Q1058" s="211">
        <v>0</v>
      </c>
      <c r="R1058" s="211">
        <v>0</v>
      </c>
      <c r="S1058" s="211">
        <v>3.5558011239035086E-4</v>
      </c>
      <c r="T1058" s="211">
        <v>3.3122772752192987E-4</v>
      </c>
      <c r="U1058" s="211">
        <v>3.2540433114035093E-4</v>
      </c>
      <c r="V1058" s="724">
        <v>8.8656798245614053E-4</v>
      </c>
      <c r="W1058" s="717"/>
      <c r="X1058" s="713"/>
      <c r="Y1058" s="718"/>
      <c r="Z1058" s="237">
        <v>15</v>
      </c>
      <c r="AA1058" s="187"/>
      <c r="AB1058" s="192" t="s">
        <v>253</v>
      </c>
      <c r="AC1058" s="213">
        <v>2.1225212464588934E-2</v>
      </c>
      <c r="AD1058" s="212">
        <v>5.15</v>
      </c>
      <c r="AE1058" s="212">
        <v>0</v>
      </c>
      <c r="AF1058" s="170">
        <f t="shared" si="19"/>
        <v>0</v>
      </c>
      <c r="AG1058" s="187">
        <v>0</v>
      </c>
      <c r="AH1058" s="335"/>
      <c r="AI1058" s="188"/>
      <c r="AJ1058" s="188"/>
      <c r="AK1058" s="188"/>
      <c r="AL1058" s="189"/>
      <c r="AM1058" s="189"/>
      <c r="AN1058" s="189"/>
      <c r="AO1058" s="189"/>
      <c r="AP1058" s="189"/>
      <c r="AQ1058" s="189"/>
      <c r="AR1058" s="189"/>
      <c r="AS1058" s="189"/>
      <c r="AT1058" s="189"/>
      <c r="AU1058" s="190"/>
      <c r="AV1058" s="190"/>
      <c r="AW1058" s="190"/>
      <c r="AX1058" s="190"/>
      <c r="AY1058" s="190"/>
      <c r="AZ1058" s="189"/>
      <c r="BA1058" s="189"/>
      <c r="BB1058" s="189"/>
      <c r="BC1058" s="189"/>
      <c r="BD1058" s="189"/>
      <c r="BE1058" s="189"/>
      <c r="BF1058" s="189"/>
      <c r="BG1058" s="189"/>
      <c r="BH1058" s="189"/>
      <c r="BI1058" s="190"/>
      <c r="BJ1058" s="190"/>
      <c r="BK1058" s="190"/>
      <c r="BL1058" s="190"/>
      <c r="BM1058" s="190"/>
      <c r="BN1058" s="190"/>
      <c r="BO1058" s="190"/>
      <c r="BP1058" s="190"/>
      <c r="BQ1058" s="190"/>
      <c r="BR1058" s="190"/>
      <c r="BS1058" s="190"/>
      <c r="BT1058" s="190"/>
      <c r="BU1058" s="190"/>
      <c r="BV1058" s="190"/>
      <c r="BW1058" s="190"/>
      <c r="BX1058" s="190"/>
      <c r="BY1058" s="190"/>
      <c r="BZ1058" s="190"/>
      <c r="CA1058" s="189"/>
      <c r="CB1058" s="192"/>
    </row>
    <row r="1059" spans="1:80" x14ac:dyDescent="0.2">
      <c r="A1059" s="189"/>
      <c r="B1059" s="648"/>
      <c r="C1059" s="648"/>
      <c r="D1059" s="697"/>
      <c r="E1059" s="159"/>
      <c r="F1059" s="159"/>
      <c r="G1059" s="190"/>
      <c r="H1059" s="190"/>
      <c r="I1059" s="190"/>
      <c r="J1059" s="190"/>
      <c r="K1059" s="190"/>
      <c r="L1059" s="629"/>
      <c r="M1059" s="652">
        <v>36341.461805555555</v>
      </c>
      <c r="N1059" s="591">
        <v>1.4081923983407449</v>
      </c>
      <c r="O1059" s="592">
        <v>2.3350054824561404E-3</v>
      </c>
      <c r="P1059" s="187">
        <v>0</v>
      </c>
      <c r="Q1059" s="211">
        <v>0</v>
      </c>
      <c r="R1059" s="211">
        <v>7.8527617872807025E-5</v>
      </c>
      <c r="S1059" s="211">
        <v>2.7987595942982461E-4</v>
      </c>
      <c r="T1059" s="211">
        <v>3.4181572094298248E-4</v>
      </c>
      <c r="U1059" s="211">
        <v>4.3075486567982474E-4</v>
      </c>
      <c r="V1059" s="724">
        <v>1.204031318530702E-3</v>
      </c>
      <c r="W1059" s="717"/>
      <c r="X1059" s="713"/>
      <c r="Y1059" s="718"/>
      <c r="Z1059" s="237">
        <v>16</v>
      </c>
      <c r="AA1059" s="187"/>
      <c r="AB1059" s="192" t="s">
        <v>253</v>
      </c>
      <c r="AC1059" s="213">
        <v>2.0865439093484251E-2</v>
      </c>
      <c r="AD1059" s="212">
        <v>5.15</v>
      </c>
      <c r="AE1059" s="212">
        <v>0.38</v>
      </c>
      <c r="AF1059" s="170">
        <f t="shared" si="19"/>
        <v>1.9570000000000001</v>
      </c>
      <c r="AG1059" s="186">
        <v>0.748</v>
      </c>
      <c r="AH1059" s="336"/>
      <c r="AI1059" s="188"/>
      <c r="AJ1059" s="188"/>
      <c r="AK1059" s="188"/>
      <c r="AL1059" s="189"/>
      <c r="AM1059" s="189"/>
      <c r="AN1059" s="189"/>
      <c r="AO1059" s="189"/>
      <c r="AP1059" s="189"/>
      <c r="AQ1059" s="189"/>
      <c r="AR1059" s="189"/>
      <c r="AS1059" s="189"/>
      <c r="AT1059" s="189"/>
      <c r="AU1059" s="190"/>
      <c r="AV1059" s="190"/>
      <c r="AW1059" s="190"/>
      <c r="AX1059" s="190"/>
      <c r="AY1059" s="190"/>
      <c r="AZ1059" s="189"/>
      <c r="BA1059" s="189"/>
      <c r="BB1059" s="189"/>
      <c r="BC1059" s="189"/>
      <c r="BD1059" s="189"/>
      <c r="BE1059" s="189"/>
      <c r="BF1059" s="189"/>
      <c r="BG1059" s="189"/>
      <c r="BH1059" s="189"/>
      <c r="BI1059" s="190"/>
      <c r="BJ1059" s="190"/>
      <c r="BK1059" s="190"/>
      <c r="BL1059" s="190"/>
      <c r="BM1059" s="190"/>
      <c r="BN1059" s="190"/>
      <c r="BO1059" s="190"/>
      <c r="BP1059" s="190"/>
      <c r="BQ1059" s="190"/>
      <c r="BR1059" s="190"/>
      <c r="BS1059" s="190"/>
      <c r="BT1059" s="190"/>
      <c r="BU1059" s="190"/>
      <c r="BV1059" s="190"/>
      <c r="BW1059" s="190"/>
      <c r="BX1059" s="190"/>
      <c r="BY1059" s="190"/>
      <c r="BZ1059" s="190"/>
      <c r="CA1059" s="189"/>
      <c r="CB1059" s="192"/>
    </row>
    <row r="1060" spans="1:80" x14ac:dyDescent="0.2">
      <c r="A1060" s="189"/>
      <c r="B1060" s="648"/>
      <c r="C1060" s="648"/>
      <c r="D1060" s="697"/>
      <c r="E1060" s="159"/>
      <c r="F1060" s="159"/>
      <c r="G1060" s="190"/>
      <c r="H1060" s="190"/>
      <c r="I1060" s="190"/>
      <c r="J1060" s="190"/>
      <c r="K1060" s="190"/>
      <c r="L1060" s="629"/>
      <c r="M1060" s="652">
        <v>36341.645833333336</v>
      </c>
      <c r="N1060" s="591">
        <v>1.4081923983407449</v>
      </c>
      <c r="O1060" s="592">
        <v>3.4453330592105272E-3</v>
      </c>
      <c r="P1060" s="187">
        <v>0</v>
      </c>
      <c r="Q1060" s="211">
        <v>0</v>
      </c>
      <c r="R1060" s="211">
        <v>0</v>
      </c>
      <c r="S1060" s="211">
        <v>3.7357970120614043E-4</v>
      </c>
      <c r="T1060" s="211">
        <v>6.4922046326754395E-4</v>
      </c>
      <c r="U1060" s="211">
        <v>7.3957134046052637E-4</v>
      </c>
      <c r="V1060" s="724">
        <v>1.6829615542763162E-3</v>
      </c>
      <c r="W1060" s="717"/>
      <c r="X1060" s="713"/>
      <c r="Y1060" s="718"/>
      <c r="Z1060" s="237">
        <v>17</v>
      </c>
      <c r="AA1060" s="187"/>
      <c r="AB1060" s="192" t="s">
        <v>253</v>
      </c>
      <c r="AC1060" s="213">
        <v>2.1045325779036592E-2</v>
      </c>
      <c r="AD1060" s="212">
        <v>5.15</v>
      </c>
      <c r="AE1060" s="212">
        <v>0</v>
      </c>
      <c r="AF1060" s="170">
        <f t="shared" si="19"/>
        <v>0</v>
      </c>
      <c r="AG1060" s="187">
        <v>0</v>
      </c>
      <c r="AH1060" s="335"/>
      <c r="AI1060" s="188"/>
      <c r="AJ1060" s="188"/>
      <c r="AK1060" s="188"/>
      <c r="AL1060" s="189"/>
      <c r="AM1060" s="189"/>
      <c r="AN1060" s="189"/>
      <c r="AO1060" s="189"/>
      <c r="AP1060" s="189"/>
      <c r="AQ1060" s="189"/>
      <c r="AR1060" s="189"/>
      <c r="AS1060" s="189"/>
      <c r="AT1060" s="189"/>
      <c r="AU1060" s="190"/>
      <c r="AV1060" s="190"/>
      <c r="AW1060" s="190"/>
      <c r="AX1060" s="190"/>
      <c r="AY1060" s="190"/>
      <c r="AZ1060" s="189"/>
      <c r="BA1060" s="189"/>
      <c r="BB1060" s="189"/>
      <c r="BC1060" s="189"/>
      <c r="BD1060" s="189"/>
      <c r="BE1060" s="189"/>
      <c r="BF1060" s="189"/>
      <c r="BG1060" s="189"/>
      <c r="BH1060" s="189"/>
      <c r="BI1060" s="190"/>
      <c r="BJ1060" s="190"/>
      <c r="BK1060" s="190"/>
      <c r="BL1060" s="190"/>
      <c r="BM1060" s="190"/>
      <c r="BN1060" s="190"/>
      <c r="BO1060" s="190"/>
      <c r="BP1060" s="190"/>
      <c r="BQ1060" s="190"/>
      <c r="BR1060" s="190"/>
      <c r="BS1060" s="190"/>
      <c r="BT1060" s="190"/>
      <c r="BU1060" s="190"/>
      <c r="BV1060" s="190"/>
      <c r="BW1060" s="190"/>
      <c r="BX1060" s="190"/>
      <c r="BY1060" s="190"/>
      <c r="BZ1060" s="190"/>
      <c r="CA1060" s="189"/>
      <c r="CB1060" s="192"/>
    </row>
    <row r="1061" spans="1:80" x14ac:dyDescent="0.2">
      <c r="A1061" s="189"/>
      <c r="B1061" s="648"/>
      <c r="C1061" s="648"/>
      <c r="D1061" s="697"/>
      <c r="E1061" s="159"/>
      <c r="F1061" s="159"/>
      <c r="G1061" s="190"/>
      <c r="H1061" s="190"/>
      <c r="I1061" s="190"/>
      <c r="J1061" s="190"/>
      <c r="K1061" s="190"/>
      <c r="L1061" s="629"/>
      <c r="M1061" s="652">
        <v>36342.472222222219</v>
      </c>
      <c r="N1061" s="591">
        <v>1.3782581558277254</v>
      </c>
      <c r="O1061" s="592">
        <v>7.0041118421052624E-4</v>
      </c>
      <c r="P1061" s="187">
        <v>0</v>
      </c>
      <c r="Q1061" s="211">
        <v>0</v>
      </c>
      <c r="R1061" s="211">
        <v>0</v>
      </c>
      <c r="S1061" s="211">
        <v>0</v>
      </c>
      <c r="T1061" s="211">
        <v>5.1202713815789472E-5</v>
      </c>
      <c r="U1061" s="211">
        <v>7.8114720394736856E-5</v>
      </c>
      <c r="V1061" s="724">
        <v>5.7109374999999999E-4</v>
      </c>
      <c r="W1061" s="717"/>
      <c r="X1061" s="713"/>
      <c r="Y1061" s="718"/>
      <c r="Z1061" s="237">
        <v>8</v>
      </c>
      <c r="AA1061" s="187"/>
      <c r="AB1061" s="192" t="s">
        <v>253</v>
      </c>
      <c r="AC1061" s="213">
        <v>2.0865439093484251E-2</v>
      </c>
      <c r="AD1061" s="212">
        <v>5.0999999999999996</v>
      </c>
      <c r="AE1061" s="212">
        <v>0.37</v>
      </c>
      <c r="AF1061" s="170">
        <f t="shared" si="19"/>
        <v>1.8869999999999998</v>
      </c>
      <c r="AG1061" s="186">
        <v>0.70299999999999996</v>
      </c>
      <c r="AH1061" s="336"/>
      <c r="AI1061" s="188"/>
      <c r="AJ1061" s="188"/>
      <c r="AK1061" s="188"/>
      <c r="AL1061" s="189"/>
      <c r="AM1061" s="189"/>
      <c r="AN1061" s="189"/>
      <c r="AO1061" s="189"/>
      <c r="AP1061" s="189"/>
      <c r="AQ1061" s="189"/>
      <c r="AR1061" s="189"/>
      <c r="AS1061" s="189"/>
      <c r="AT1061" s="189"/>
      <c r="AU1061" s="190"/>
      <c r="AV1061" s="190"/>
      <c r="AW1061" s="190"/>
      <c r="AX1061" s="190"/>
      <c r="AY1061" s="190"/>
      <c r="AZ1061" s="189"/>
      <c r="BA1061" s="189"/>
      <c r="BB1061" s="189"/>
      <c r="BC1061" s="189"/>
      <c r="BD1061" s="189"/>
      <c r="BE1061" s="189"/>
      <c r="BF1061" s="189"/>
      <c r="BG1061" s="189"/>
      <c r="BH1061" s="189"/>
      <c r="BI1061" s="190"/>
      <c r="BJ1061" s="190"/>
      <c r="BK1061" s="190"/>
      <c r="BL1061" s="190"/>
      <c r="BM1061" s="190"/>
      <c r="BN1061" s="190"/>
      <c r="BO1061" s="190"/>
      <c r="BP1061" s="190"/>
      <c r="BQ1061" s="190"/>
      <c r="BR1061" s="190"/>
      <c r="BS1061" s="190"/>
      <c r="BT1061" s="190"/>
      <c r="BU1061" s="190"/>
      <c r="BV1061" s="190"/>
      <c r="BW1061" s="190"/>
      <c r="BX1061" s="190"/>
      <c r="BY1061" s="190"/>
      <c r="BZ1061" s="190"/>
      <c r="CA1061" s="189"/>
      <c r="CB1061" s="192"/>
    </row>
    <row r="1062" spans="1:80" x14ac:dyDescent="0.2">
      <c r="A1062" s="189"/>
      <c r="B1062" s="648"/>
      <c r="C1062" s="648"/>
      <c r="D1062" s="697"/>
      <c r="E1062" s="159"/>
      <c r="F1062" s="159"/>
      <c r="G1062" s="190"/>
      <c r="H1062" s="190"/>
      <c r="I1062" s="190"/>
      <c r="J1062" s="190"/>
      <c r="K1062" s="190"/>
      <c r="L1062" s="629"/>
      <c r="M1062" s="652">
        <v>36342.65625</v>
      </c>
      <c r="N1062" s="591">
        <v>1.3488751116244124</v>
      </c>
      <c r="O1062" s="592">
        <v>2.663414884868421E-3</v>
      </c>
      <c r="P1062" s="187">
        <v>0</v>
      </c>
      <c r="Q1062" s="211">
        <v>0</v>
      </c>
      <c r="R1062" s="211">
        <v>5.5921052631578954E-4</v>
      </c>
      <c r="S1062" s="211">
        <v>3.987870065789474E-4</v>
      </c>
      <c r="T1062" s="211">
        <v>3.799136513157895E-4</v>
      </c>
      <c r="U1062" s="211">
        <v>3.2067228618421053E-4</v>
      </c>
      <c r="V1062" s="724">
        <v>1.0048314144736842E-3</v>
      </c>
      <c r="W1062" s="717"/>
      <c r="X1062" s="713"/>
      <c r="Y1062" s="718"/>
      <c r="Z1062" s="237">
        <v>28</v>
      </c>
      <c r="AA1062" s="187"/>
      <c r="AB1062" s="192" t="s">
        <v>253</v>
      </c>
      <c r="AC1062" s="213">
        <v>2.068555240793191E-2</v>
      </c>
      <c r="AD1062" s="212">
        <v>5.0999999999999996</v>
      </c>
      <c r="AE1062" s="212">
        <v>0</v>
      </c>
      <c r="AF1062" s="170">
        <f t="shared" si="19"/>
        <v>0</v>
      </c>
      <c r="AG1062" s="187">
        <v>0</v>
      </c>
      <c r="AH1062" s="335"/>
      <c r="AI1062" s="188"/>
      <c r="AJ1062" s="188"/>
      <c r="AK1062" s="188"/>
      <c r="AL1062" s="189"/>
      <c r="AM1062" s="189"/>
      <c r="AN1062" s="189"/>
      <c r="AO1062" s="189"/>
      <c r="AP1062" s="189"/>
      <c r="AQ1062" s="189"/>
      <c r="AR1062" s="189"/>
      <c r="AS1062" s="189"/>
      <c r="AT1062" s="189"/>
      <c r="AU1062" s="190"/>
      <c r="AV1062" s="190"/>
      <c r="AW1062" s="190"/>
      <c r="AX1062" s="190"/>
      <c r="AY1062" s="190"/>
      <c r="AZ1062" s="189"/>
      <c r="BA1062" s="189"/>
      <c r="BB1062" s="189"/>
      <c r="BC1062" s="189"/>
      <c r="BD1062" s="189"/>
      <c r="BE1062" s="189"/>
      <c r="BF1062" s="189"/>
      <c r="BG1062" s="189"/>
      <c r="BH1062" s="189"/>
      <c r="BI1062" s="190"/>
      <c r="BJ1062" s="190"/>
      <c r="BK1062" s="190"/>
      <c r="BL1062" s="190"/>
      <c r="BM1062" s="190"/>
      <c r="BN1062" s="190"/>
      <c r="BO1062" s="190"/>
      <c r="BP1062" s="190"/>
      <c r="BQ1062" s="190"/>
      <c r="BR1062" s="190"/>
      <c r="BS1062" s="190"/>
      <c r="BT1062" s="190"/>
      <c r="BU1062" s="190"/>
      <c r="BV1062" s="190"/>
      <c r="BW1062" s="190"/>
      <c r="BX1062" s="190"/>
      <c r="BY1062" s="190"/>
      <c r="BZ1062" s="190"/>
      <c r="CA1062" s="189"/>
      <c r="CB1062" s="192"/>
    </row>
    <row r="1063" spans="1:80" x14ac:dyDescent="0.2">
      <c r="A1063" s="189"/>
      <c r="B1063" s="648"/>
      <c r="C1063" s="648"/>
      <c r="D1063" s="697"/>
      <c r="E1063" s="159"/>
      <c r="F1063" s="159"/>
      <c r="G1063" s="190"/>
      <c r="H1063" s="190"/>
      <c r="I1063" s="190"/>
      <c r="J1063" s="190"/>
      <c r="K1063" s="190"/>
      <c r="L1063" s="629"/>
      <c r="M1063" s="652">
        <v>36343.465277777781</v>
      </c>
      <c r="N1063" s="591">
        <v>1.3200346926897266</v>
      </c>
      <c r="O1063" s="592">
        <v>6.8380962171052644E-4</v>
      </c>
      <c r="P1063" s="187">
        <v>0</v>
      </c>
      <c r="Q1063" s="211">
        <v>0</v>
      </c>
      <c r="R1063" s="211">
        <v>0</v>
      </c>
      <c r="S1063" s="211">
        <v>0</v>
      </c>
      <c r="T1063" s="211">
        <v>6.3085937500000005E-5</v>
      </c>
      <c r="U1063" s="211">
        <v>4.8930921052631578E-5</v>
      </c>
      <c r="V1063" s="724">
        <v>5.7179276315789474E-4</v>
      </c>
      <c r="W1063" s="717"/>
      <c r="X1063" s="713"/>
      <c r="Y1063" s="718"/>
      <c r="Z1063" s="237">
        <v>9</v>
      </c>
      <c r="AA1063" s="187"/>
      <c r="AB1063" s="192" t="s">
        <v>253</v>
      </c>
      <c r="AC1063" s="213">
        <v>2.0865439093484251E-2</v>
      </c>
      <c r="AD1063" s="212">
        <v>5.0999999999999996</v>
      </c>
      <c r="AE1063" s="212">
        <v>0.37</v>
      </c>
      <c r="AF1063" s="170">
        <f t="shared" si="19"/>
        <v>1.8869999999999998</v>
      </c>
      <c r="AG1063" s="186">
        <v>0.72</v>
      </c>
      <c r="AH1063" s="336"/>
      <c r="AI1063" s="188"/>
      <c r="AJ1063" s="188"/>
      <c r="AK1063" s="188"/>
      <c r="AL1063" s="189"/>
      <c r="AM1063" s="189"/>
      <c r="AN1063" s="189"/>
      <c r="AO1063" s="189"/>
      <c r="AP1063" s="189"/>
      <c r="AQ1063" s="189"/>
      <c r="AR1063" s="189"/>
      <c r="AS1063" s="189"/>
      <c r="AT1063" s="189"/>
      <c r="AU1063" s="190"/>
      <c r="AV1063" s="190"/>
      <c r="AW1063" s="190"/>
      <c r="AX1063" s="190"/>
      <c r="AY1063" s="190"/>
      <c r="AZ1063" s="189"/>
      <c r="BA1063" s="189"/>
      <c r="BB1063" s="189"/>
      <c r="BC1063" s="189"/>
      <c r="BD1063" s="189"/>
      <c r="BE1063" s="189"/>
      <c r="BF1063" s="189"/>
      <c r="BG1063" s="189"/>
      <c r="BH1063" s="189"/>
      <c r="BI1063" s="190"/>
      <c r="BJ1063" s="190"/>
      <c r="BK1063" s="190"/>
      <c r="BL1063" s="190"/>
      <c r="BM1063" s="190"/>
      <c r="BN1063" s="190"/>
      <c r="BO1063" s="190"/>
      <c r="BP1063" s="190"/>
      <c r="BQ1063" s="190"/>
      <c r="BR1063" s="190"/>
      <c r="BS1063" s="190"/>
      <c r="BT1063" s="190"/>
      <c r="BU1063" s="190"/>
      <c r="BV1063" s="190"/>
      <c r="BW1063" s="190"/>
      <c r="BX1063" s="190"/>
      <c r="BY1063" s="190"/>
      <c r="BZ1063" s="190"/>
      <c r="CA1063" s="189"/>
      <c r="CB1063" s="192"/>
    </row>
    <row r="1064" spans="1:80" x14ac:dyDescent="0.2">
      <c r="A1064" s="189"/>
      <c r="B1064" s="648"/>
      <c r="C1064" s="648"/>
      <c r="D1064" s="697"/>
      <c r="E1064" s="159"/>
      <c r="F1064" s="159"/>
      <c r="G1064" s="190"/>
      <c r="H1064" s="190"/>
      <c r="I1064" s="190"/>
      <c r="J1064" s="190"/>
      <c r="K1064" s="190"/>
      <c r="L1064" s="629"/>
      <c r="M1064" s="652">
        <v>36343.645833333336</v>
      </c>
      <c r="N1064" s="591">
        <v>1.3200346926897266</v>
      </c>
      <c r="O1064" s="592">
        <v>2.8830797697368417E-3</v>
      </c>
      <c r="P1064" s="187">
        <v>0</v>
      </c>
      <c r="Q1064" s="211">
        <v>0</v>
      </c>
      <c r="R1064" s="211">
        <v>1.5133634868421051E-4</v>
      </c>
      <c r="S1064" s="211">
        <v>8.9508634868421053E-4</v>
      </c>
      <c r="T1064" s="211">
        <v>4.9105674342105261E-4</v>
      </c>
      <c r="U1064" s="211">
        <v>3.8183593750000001E-4</v>
      </c>
      <c r="V1064" s="724">
        <v>9.6376439144736843E-4</v>
      </c>
      <c r="W1064" s="717"/>
      <c r="X1064" s="713"/>
      <c r="Y1064" s="718"/>
      <c r="Z1064" s="237">
        <v>22</v>
      </c>
      <c r="AA1064" s="187"/>
      <c r="AB1064" s="192" t="s">
        <v>253</v>
      </c>
      <c r="AC1064" s="213">
        <v>2.0865439093484251E-2</v>
      </c>
      <c r="AD1064" s="212">
        <v>5.0999999999999996</v>
      </c>
      <c r="AE1064" s="212">
        <v>0</v>
      </c>
      <c r="AF1064" s="170">
        <f t="shared" si="19"/>
        <v>0</v>
      </c>
      <c r="AG1064" s="187">
        <v>0</v>
      </c>
      <c r="AH1064" s="335"/>
      <c r="AI1064" s="188"/>
      <c r="AJ1064" s="188"/>
      <c r="AK1064" s="188"/>
      <c r="AL1064" s="189"/>
      <c r="AM1064" s="189"/>
      <c r="AN1064" s="189"/>
      <c r="AO1064" s="189"/>
      <c r="AP1064" s="189"/>
      <c r="AQ1064" s="189"/>
      <c r="AR1064" s="189"/>
      <c r="AS1064" s="189"/>
      <c r="AT1064" s="189"/>
      <c r="AU1064" s="190"/>
      <c r="AV1064" s="190"/>
      <c r="AW1064" s="190"/>
      <c r="AX1064" s="190"/>
      <c r="AY1064" s="190"/>
      <c r="AZ1064" s="189"/>
      <c r="BA1064" s="189"/>
      <c r="BB1064" s="189"/>
      <c r="BC1064" s="189"/>
      <c r="BD1064" s="189"/>
      <c r="BE1064" s="189"/>
      <c r="BF1064" s="189"/>
      <c r="BG1064" s="189"/>
      <c r="BH1064" s="189"/>
      <c r="BI1064" s="190"/>
      <c r="BJ1064" s="190"/>
      <c r="BK1064" s="190"/>
      <c r="BL1064" s="190"/>
      <c r="BM1064" s="190"/>
      <c r="BN1064" s="190"/>
      <c r="BO1064" s="190"/>
      <c r="BP1064" s="190"/>
      <c r="BQ1064" s="190"/>
      <c r="BR1064" s="190"/>
      <c r="BS1064" s="190"/>
      <c r="BT1064" s="190"/>
      <c r="BU1064" s="190"/>
      <c r="BV1064" s="190"/>
      <c r="BW1064" s="190"/>
      <c r="BX1064" s="190"/>
      <c r="BY1064" s="190"/>
      <c r="BZ1064" s="190"/>
      <c r="CA1064" s="189"/>
      <c r="CB1064" s="192"/>
    </row>
    <row r="1065" spans="1:80" x14ac:dyDescent="0.2">
      <c r="A1065" s="189"/>
      <c r="B1065" s="648"/>
      <c r="C1065" s="648"/>
      <c r="D1065" s="697"/>
      <c r="E1065" s="159"/>
      <c r="F1065" s="159"/>
      <c r="G1065" s="190"/>
      <c r="H1065" s="190"/>
      <c r="I1065" s="190"/>
      <c r="J1065" s="190"/>
      <c r="K1065" s="190"/>
      <c r="L1065" s="629"/>
      <c r="M1065" s="652">
        <v>36347.454861111109</v>
      </c>
      <c r="N1065" s="591">
        <v>1.2639479807808942</v>
      </c>
      <c r="O1065" s="592">
        <v>5.3789062500000007E-4</v>
      </c>
      <c r="P1065" s="187">
        <v>0</v>
      </c>
      <c r="Q1065" s="211">
        <v>0</v>
      </c>
      <c r="R1065" s="211">
        <v>0</v>
      </c>
      <c r="S1065" s="211">
        <v>3.9494243421052627E-5</v>
      </c>
      <c r="T1065" s="211">
        <v>1.1743421052631581E-4</v>
      </c>
      <c r="U1065" s="211">
        <v>5.1901726973684203E-5</v>
      </c>
      <c r="V1065" s="724">
        <v>3.2906044407894739E-4</v>
      </c>
      <c r="W1065" s="717"/>
      <c r="X1065" s="713"/>
      <c r="Y1065" s="718"/>
      <c r="Z1065" s="237">
        <v>13</v>
      </c>
      <c r="AA1065" s="187"/>
      <c r="AB1065" s="192" t="s">
        <v>253</v>
      </c>
      <c r="AC1065" s="213">
        <v>2.0685552407931105E-2</v>
      </c>
      <c r="AD1065" s="212">
        <v>5.0999999999999996</v>
      </c>
      <c r="AE1065" s="212">
        <v>0.36</v>
      </c>
      <c r="AF1065" s="170">
        <f t="shared" si="19"/>
        <v>1.8359999999999999</v>
      </c>
      <c r="AG1065" s="186">
        <v>0.68</v>
      </c>
      <c r="AH1065" s="336"/>
      <c r="AI1065" s="188"/>
      <c r="AJ1065" s="188"/>
      <c r="AK1065" s="188"/>
      <c r="AL1065" s="189"/>
      <c r="AM1065" s="189"/>
      <c r="AN1065" s="189"/>
      <c r="AO1065" s="189"/>
      <c r="AP1065" s="189"/>
      <c r="AQ1065" s="189"/>
      <c r="AR1065" s="189"/>
      <c r="AS1065" s="189"/>
      <c r="AT1065" s="189"/>
      <c r="AU1065" s="190"/>
      <c r="AV1065" s="190"/>
      <c r="AW1065" s="190"/>
      <c r="AX1065" s="190"/>
      <c r="AY1065" s="190"/>
      <c r="AZ1065" s="189"/>
      <c r="BA1065" s="189"/>
      <c r="BB1065" s="189"/>
      <c r="BC1065" s="189"/>
      <c r="BD1065" s="189"/>
      <c r="BE1065" s="189"/>
      <c r="BF1065" s="189"/>
      <c r="BG1065" s="189"/>
      <c r="BH1065" s="189"/>
      <c r="BI1065" s="190"/>
      <c r="BJ1065" s="190"/>
      <c r="BK1065" s="190"/>
      <c r="BL1065" s="190"/>
      <c r="BM1065" s="190"/>
      <c r="BN1065" s="190"/>
      <c r="BO1065" s="190"/>
      <c r="BP1065" s="190"/>
      <c r="BQ1065" s="190"/>
      <c r="BR1065" s="190"/>
      <c r="BS1065" s="190"/>
      <c r="BT1065" s="190"/>
      <c r="BU1065" s="190"/>
      <c r="BV1065" s="190"/>
      <c r="BW1065" s="190"/>
      <c r="BX1065" s="190"/>
      <c r="BY1065" s="190"/>
      <c r="BZ1065" s="190"/>
      <c r="CA1065" s="189"/>
      <c r="CB1065" s="192"/>
    </row>
    <row r="1066" spans="1:80" x14ac:dyDescent="0.2">
      <c r="A1066" s="189"/>
      <c r="B1066" s="648"/>
      <c r="C1066" s="648"/>
      <c r="D1066" s="697"/>
      <c r="E1066" s="159"/>
      <c r="F1066" s="159"/>
      <c r="G1066" s="190"/>
      <c r="H1066" s="190"/>
      <c r="I1066" s="190"/>
      <c r="J1066" s="190"/>
      <c r="K1066" s="190"/>
      <c r="L1066" s="629"/>
      <c r="M1066" s="652">
        <v>36347.704861111109</v>
      </c>
      <c r="N1066" s="591">
        <v>1.2366850808614298</v>
      </c>
      <c r="O1066" s="592">
        <v>7.9565172697368424E-4</v>
      </c>
      <c r="P1066" s="187">
        <v>0</v>
      </c>
      <c r="Q1066" s="211">
        <v>0</v>
      </c>
      <c r="R1066" s="211">
        <v>0</v>
      </c>
      <c r="S1066" s="211">
        <v>1.1900699013157895E-4</v>
      </c>
      <c r="T1066" s="211">
        <v>1.5098684210526316E-4</v>
      </c>
      <c r="U1066" s="211">
        <v>7.3396381578947381E-5</v>
      </c>
      <c r="V1066" s="724">
        <v>4.5226151315789473E-4</v>
      </c>
      <c r="W1066" s="717"/>
      <c r="X1066" s="713"/>
      <c r="Y1066" s="718"/>
      <c r="Z1066" s="237">
        <v>15</v>
      </c>
      <c r="AA1066" s="187"/>
      <c r="AB1066" s="192" t="s">
        <v>253</v>
      </c>
      <c r="AC1066" s="213">
        <v>2.0685552407931105E-2</v>
      </c>
      <c r="AD1066" s="212">
        <v>5.0999999999999996</v>
      </c>
      <c r="AE1066" s="212">
        <v>0</v>
      </c>
      <c r="AF1066" s="170">
        <f t="shared" si="19"/>
        <v>0</v>
      </c>
      <c r="AG1066" s="187">
        <v>0</v>
      </c>
      <c r="AH1066" s="335"/>
      <c r="AI1066" s="188"/>
      <c r="AJ1066" s="188"/>
      <c r="AK1066" s="188"/>
      <c r="AL1066" s="189"/>
      <c r="AM1066" s="189"/>
      <c r="AN1066" s="189"/>
      <c r="AO1066" s="189"/>
      <c r="AP1066" s="189"/>
      <c r="AQ1066" s="189"/>
      <c r="AR1066" s="189"/>
      <c r="AS1066" s="189"/>
      <c r="AT1066" s="189"/>
      <c r="AU1066" s="190"/>
      <c r="AV1066" s="190"/>
      <c r="AW1066" s="190"/>
      <c r="AX1066" s="190"/>
      <c r="AY1066" s="190"/>
      <c r="AZ1066" s="189"/>
      <c r="BA1066" s="189"/>
      <c r="BB1066" s="189"/>
      <c r="BC1066" s="189"/>
      <c r="BD1066" s="189"/>
      <c r="BE1066" s="189"/>
      <c r="BF1066" s="189"/>
      <c r="BG1066" s="189"/>
      <c r="BH1066" s="189"/>
      <c r="BI1066" s="190"/>
      <c r="BJ1066" s="190"/>
      <c r="BK1066" s="190"/>
      <c r="BL1066" s="190"/>
      <c r="BM1066" s="190"/>
      <c r="BN1066" s="190"/>
      <c r="BO1066" s="190"/>
      <c r="BP1066" s="190"/>
      <c r="BQ1066" s="190"/>
      <c r="BR1066" s="190"/>
      <c r="BS1066" s="190"/>
      <c r="BT1066" s="190"/>
      <c r="BU1066" s="190"/>
      <c r="BV1066" s="190"/>
      <c r="BW1066" s="190"/>
      <c r="BX1066" s="190"/>
      <c r="BY1066" s="190"/>
      <c r="BZ1066" s="190"/>
      <c r="CA1066" s="189"/>
      <c r="CB1066" s="192"/>
    </row>
    <row r="1067" spans="1:80" x14ac:dyDescent="0.2">
      <c r="A1067" s="189"/>
      <c r="B1067" s="648"/>
      <c r="C1067" s="648"/>
      <c r="D1067" s="697"/>
      <c r="E1067" s="159"/>
      <c r="F1067" s="159"/>
      <c r="G1067" s="190"/>
      <c r="H1067" s="190"/>
      <c r="I1067" s="190"/>
      <c r="J1067" s="190"/>
      <c r="K1067" s="190"/>
      <c r="L1067" s="629"/>
      <c r="M1067" s="652">
        <v>36348.520833333336</v>
      </c>
      <c r="N1067" s="591">
        <v>1.2099315902155392</v>
      </c>
      <c r="O1067" s="592">
        <v>7.3763363486842098E-4</v>
      </c>
      <c r="P1067" s="187">
        <v>0</v>
      </c>
      <c r="Q1067" s="211">
        <v>0</v>
      </c>
      <c r="R1067" s="211">
        <v>2.3521792763157897E-4</v>
      </c>
      <c r="S1067" s="211">
        <v>6.832853618421053E-5</v>
      </c>
      <c r="T1067" s="211">
        <v>8.1784539473684219E-5</v>
      </c>
      <c r="U1067" s="211">
        <v>3.5125411184210521E-5</v>
      </c>
      <c r="V1067" s="724">
        <v>3.1717722039473683E-4</v>
      </c>
      <c r="W1067" s="717"/>
      <c r="X1067" s="713"/>
      <c r="Y1067" s="718"/>
      <c r="Z1067" s="237">
        <v>23</v>
      </c>
      <c r="AA1067" s="187"/>
      <c r="AB1067" s="192" t="s">
        <v>253</v>
      </c>
      <c r="AC1067" s="213">
        <v>2.1045325779035787E-2</v>
      </c>
      <c r="AD1067" s="212">
        <v>5.0999999999999996</v>
      </c>
      <c r="AE1067" s="212">
        <v>0.36</v>
      </c>
      <c r="AF1067" s="170">
        <f t="shared" si="19"/>
        <v>1.8359999999999999</v>
      </c>
      <c r="AG1067" s="186">
        <v>0.67</v>
      </c>
      <c r="AH1067" s="336"/>
      <c r="AI1067" s="188"/>
      <c r="AJ1067" s="188"/>
      <c r="AK1067" s="188"/>
      <c r="AL1067" s="189"/>
      <c r="AM1067" s="189"/>
      <c r="AN1067" s="189"/>
      <c r="AO1067" s="189"/>
      <c r="AP1067" s="189"/>
      <c r="AQ1067" s="189"/>
      <c r="AR1067" s="189"/>
      <c r="AS1067" s="189"/>
      <c r="AT1067" s="189"/>
      <c r="AU1067" s="190"/>
      <c r="AV1067" s="190"/>
      <c r="AW1067" s="190"/>
      <c r="AX1067" s="190"/>
      <c r="AY1067" s="190"/>
      <c r="AZ1067" s="189"/>
      <c r="BA1067" s="189"/>
      <c r="BB1067" s="189"/>
      <c r="BC1067" s="189"/>
      <c r="BD1067" s="189"/>
      <c r="BE1067" s="189"/>
      <c r="BF1067" s="189"/>
      <c r="BG1067" s="189"/>
      <c r="BH1067" s="189"/>
      <c r="BI1067" s="190"/>
      <c r="BJ1067" s="190"/>
      <c r="BK1067" s="190"/>
      <c r="BL1067" s="190"/>
      <c r="BM1067" s="190"/>
      <c r="BN1067" s="190"/>
      <c r="BO1067" s="190"/>
      <c r="BP1067" s="190"/>
      <c r="BQ1067" s="190"/>
      <c r="BR1067" s="190"/>
      <c r="BS1067" s="190"/>
      <c r="BT1067" s="190"/>
      <c r="BU1067" s="190"/>
      <c r="BV1067" s="190"/>
      <c r="BW1067" s="190"/>
      <c r="BX1067" s="190"/>
      <c r="BY1067" s="190"/>
      <c r="BZ1067" s="190"/>
      <c r="CA1067" s="189"/>
      <c r="CB1067" s="192"/>
    </row>
    <row r="1068" spans="1:80" x14ac:dyDescent="0.2">
      <c r="A1068" s="189"/>
      <c r="B1068" s="648"/>
      <c r="C1068" s="648"/>
      <c r="D1068" s="697"/>
      <c r="E1068" s="159"/>
      <c r="F1068" s="159"/>
      <c r="G1068" s="190"/>
      <c r="H1068" s="190"/>
      <c r="I1068" s="190"/>
      <c r="J1068" s="190"/>
      <c r="K1068" s="190"/>
      <c r="L1068" s="629"/>
      <c r="M1068" s="652">
        <v>36348.666666666664</v>
      </c>
      <c r="N1068" s="591">
        <v>1.2099315902155392</v>
      </c>
      <c r="O1068" s="592">
        <v>4.786492598684211E-4</v>
      </c>
      <c r="P1068" s="187">
        <v>0</v>
      </c>
      <c r="Q1068" s="211">
        <v>0</v>
      </c>
      <c r="R1068" s="211">
        <v>0</v>
      </c>
      <c r="S1068" s="211">
        <v>7.706620065789473E-5</v>
      </c>
      <c r="T1068" s="211">
        <v>5.9416118421052635E-5</v>
      </c>
      <c r="U1068" s="211">
        <v>5.1552220394736848E-5</v>
      </c>
      <c r="V1068" s="724">
        <v>2.9061472039473683E-4</v>
      </c>
      <c r="W1068" s="717"/>
      <c r="X1068" s="713"/>
      <c r="Y1068" s="718"/>
      <c r="Z1068" s="237">
        <v>12</v>
      </c>
      <c r="AA1068" s="187"/>
      <c r="AB1068" s="192" t="s">
        <v>253</v>
      </c>
      <c r="AC1068" s="213">
        <v>2.1045325779035787E-2</v>
      </c>
      <c r="AD1068" s="212">
        <v>5.0999999999999996</v>
      </c>
      <c r="AE1068" s="212">
        <v>0</v>
      </c>
      <c r="AF1068" s="170">
        <f t="shared" si="19"/>
        <v>0</v>
      </c>
      <c r="AG1068" s="187">
        <v>0</v>
      </c>
      <c r="AH1068" s="335"/>
      <c r="AI1068" s="188"/>
      <c r="AJ1068" s="188"/>
      <c r="AK1068" s="188"/>
      <c r="AL1068" s="189"/>
      <c r="AM1068" s="189"/>
      <c r="AN1068" s="189"/>
      <c r="AO1068" s="189"/>
      <c r="AP1068" s="189"/>
      <c r="AQ1068" s="189"/>
      <c r="AR1068" s="189"/>
      <c r="AS1068" s="189"/>
      <c r="AT1068" s="189"/>
      <c r="AU1068" s="190"/>
      <c r="AV1068" s="190"/>
      <c r="AW1068" s="190"/>
      <c r="AX1068" s="190"/>
      <c r="AY1068" s="190"/>
      <c r="AZ1068" s="189"/>
      <c r="BA1068" s="189"/>
      <c r="BB1068" s="189"/>
      <c r="BC1068" s="189"/>
      <c r="BD1068" s="189"/>
      <c r="BE1068" s="189"/>
      <c r="BF1068" s="189"/>
      <c r="BG1068" s="189"/>
      <c r="BH1068" s="189"/>
      <c r="BI1068" s="190"/>
      <c r="BJ1068" s="190"/>
      <c r="BK1068" s="190"/>
      <c r="BL1068" s="190"/>
      <c r="BM1068" s="190"/>
      <c r="BN1068" s="190"/>
      <c r="BO1068" s="190"/>
      <c r="BP1068" s="190"/>
      <c r="BQ1068" s="190"/>
      <c r="BR1068" s="190"/>
      <c r="BS1068" s="190"/>
      <c r="BT1068" s="190"/>
      <c r="BU1068" s="190"/>
      <c r="BV1068" s="190"/>
      <c r="BW1068" s="190"/>
      <c r="BX1068" s="190"/>
      <c r="BY1068" s="190"/>
      <c r="BZ1068" s="190"/>
      <c r="CA1068" s="189"/>
      <c r="CB1068" s="192"/>
    </row>
    <row r="1069" spans="1:80" x14ac:dyDescent="0.2">
      <c r="A1069" s="189"/>
      <c r="B1069" s="648"/>
      <c r="C1069" s="648"/>
      <c r="D1069" s="697"/>
      <c r="E1069" s="159"/>
      <c r="F1069" s="159"/>
      <c r="G1069" s="190"/>
      <c r="H1069" s="190"/>
      <c r="I1069" s="190"/>
      <c r="J1069" s="190"/>
      <c r="K1069" s="190"/>
      <c r="L1069" s="629"/>
      <c r="M1069" s="652">
        <v>36349.444444444445</v>
      </c>
      <c r="N1069" s="591">
        <v>1.1836794686256866</v>
      </c>
      <c r="O1069" s="592">
        <v>3.8882606907894736E-4</v>
      </c>
      <c r="P1069" s="187">
        <v>0</v>
      </c>
      <c r="Q1069" s="211">
        <v>0</v>
      </c>
      <c r="R1069" s="211">
        <v>0</v>
      </c>
      <c r="S1069" s="211">
        <v>2.4989720394736842E-5</v>
      </c>
      <c r="T1069" s="211">
        <v>9.4366776315789475E-6</v>
      </c>
      <c r="U1069" s="211">
        <v>4.2465049342105265E-5</v>
      </c>
      <c r="V1069" s="724">
        <v>3.1193462171052631E-4</v>
      </c>
      <c r="W1069" s="717"/>
      <c r="X1069" s="713"/>
      <c r="Y1069" s="718"/>
      <c r="Z1069" s="237">
        <v>10</v>
      </c>
      <c r="AA1069" s="187"/>
      <c r="AB1069" s="192" t="s">
        <v>253</v>
      </c>
      <c r="AC1069" s="213">
        <v>2.1225212464588129E-2</v>
      </c>
      <c r="AD1069" s="212">
        <v>5.0999999999999996</v>
      </c>
      <c r="AE1069" s="212">
        <v>0.35</v>
      </c>
      <c r="AF1069" s="170">
        <f t="shared" si="19"/>
        <v>1.7849999999999997</v>
      </c>
      <c r="AG1069" s="186">
        <v>0.66800000000000004</v>
      </c>
      <c r="AH1069" s="336"/>
      <c r="AI1069" s="188"/>
      <c r="AJ1069" s="188"/>
      <c r="AK1069" s="188"/>
      <c r="AL1069" s="189"/>
      <c r="AM1069" s="189"/>
      <c r="AN1069" s="189"/>
      <c r="AO1069" s="189"/>
      <c r="AP1069" s="189"/>
      <c r="AQ1069" s="189"/>
      <c r="AR1069" s="189"/>
      <c r="AS1069" s="189"/>
      <c r="AT1069" s="189"/>
      <c r="AU1069" s="190"/>
      <c r="AV1069" s="190"/>
      <c r="AW1069" s="190"/>
      <c r="AX1069" s="190"/>
      <c r="AY1069" s="190"/>
      <c r="AZ1069" s="189"/>
      <c r="BA1069" s="189"/>
      <c r="BB1069" s="189"/>
      <c r="BC1069" s="189"/>
      <c r="BD1069" s="189"/>
      <c r="BE1069" s="189"/>
      <c r="BF1069" s="189"/>
      <c r="BG1069" s="189"/>
      <c r="BH1069" s="189"/>
      <c r="BI1069" s="190"/>
      <c r="BJ1069" s="190"/>
      <c r="BK1069" s="190"/>
      <c r="BL1069" s="190"/>
      <c r="BM1069" s="190"/>
      <c r="BN1069" s="190"/>
      <c r="BO1069" s="190"/>
      <c r="BP1069" s="190"/>
      <c r="BQ1069" s="190"/>
      <c r="BR1069" s="190"/>
      <c r="BS1069" s="190"/>
      <c r="BT1069" s="190"/>
      <c r="BU1069" s="190"/>
      <c r="BV1069" s="190"/>
      <c r="BW1069" s="190"/>
      <c r="BX1069" s="190"/>
      <c r="BY1069" s="190"/>
      <c r="BZ1069" s="190"/>
      <c r="CA1069" s="189"/>
      <c r="CB1069" s="192"/>
    </row>
    <row r="1070" spans="1:80" x14ac:dyDescent="0.2">
      <c r="A1070" s="189"/>
      <c r="B1070" s="648"/>
      <c r="C1070" s="648"/>
      <c r="D1070" s="697"/>
      <c r="E1070" s="159"/>
      <c r="F1070" s="159"/>
      <c r="G1070" s="190"/>
      <c r="H1070" s="190"/>
      <c r="I1070" s="190"/>
      <c r="J1070" s="190"/>
      <c r="K1070" s="190"/>
      <c r="L1070" s="629"/>
      <c r="M1070" s="652">
        <v>36349.638888888891</v>
      </c>
      <c r="N1070" s="591">
        <v>1.1579207793077941</v>
      </c>
      <c r="O1070" s="592">
        <v>7.0792557565789482E-4</v>
      </c>
      <c r="P1070" s="187">
        <v>0</v>
      </c>
      <c r="Q1070" s="211">
        <v>0</v>
      </c>
      <c r="R1070" s="211">
        <v>0</v>
      </c>
      <c r="S1070" s="211">
        <v>1.2267680921052631E-4</v>
      </c>
      <c r="T1070" s="211">
        <v>4.4212582236842096E-5</v>
      </c>
      <c r="U1070" s="211">
        <v>1.2302631578947368E-4</v>
      </c>
      <c r="V1070" s="724">
        <v>4.1800986842105268E-4</v>
      </c>
      <c r="W1070" s="717"/>
      <c r="X1070" s="713"/>
      <c r="Y1070" s="718"/>
      <c r="Z1070" s="237">
        <v>16</v>
      </c>
      <c r="AA1070" s="187"/>
      <c r="AB1070" s="192" t="s">
        <v>253</v>
      </c>
      <c r="AC1070" s="213">
        <v>2.1225212464588129E-2</v>
      </c>
      <c r="AD1070" s="212">
        <v>5.0999999999999996</v>
      </c>
      <c r="AE1070" s="212">
        <v>0</v>
      </c>
      <c r="AF1070" s="170">
        <f t="shared" si="19"/>
        <v>0</v>
      </c>
      <c r="AG1070" s="187">
        <v>0</v>
      </c>
      <c r="AH1070" s="335"/>
      <c r="AI1070" s="188"/>
      <c r="AJ1070" s="188"/>
      <c r="AK1070" s="188"/>
      <c r="AL1070" s="189"/>
      <c r="AM1070" s="189"/>
      <c r="AN1070" s="189"/>
      <c r="AO1070" s="189"/>
      <c r="AP1070" s="189"/>
      <c r="AQ1070" s="189"/>
      <c r="AR1070" s="189"/>
      <c r="AS1070" s="189"/>
      <c r="AT1070" s="189"/>
      <c r="AU1070" s="190"/>
      <c r="AV1070" s="190"/>
      <c r="AW1070" s="190"/>
      <c r="AX1070" s="190"/>
      <c r="AY1070" s="190"/>
      <c r="AZ1070" s="189"/>
      <c r="BA1070" s="189"/>
      <c r="BB1070" s="189"/>
      <c r="BC1070" s="189"/>
      <c r="BD1070" s="189"/>
      <c r="BE1070" s="189"/>
      <c r="BF1070" s="189"/>
      <c r="BG1070" s="189"/>
      <c r="BH1070" s="189"/>
      <c r="BI1070" s="190"/>
      <c r="BJ1070" s="190"/>
      <c r="BK1070" s="190"/>
      <c r="BL1070" s="190"/>
      <c r="BM1070" s="190"/>
      <c r="BN1070" s="190"/>
      <c r="BO1070" s="190"/>
      <c r="BP1070" s="190"/>
      <c r="BQ1070" s="190"/>
      <c r="BR1070" s="190"/>
      <c r="BS1070" s="190"/>
      <c r="BT1070" s="190"/>
      <c r="BU1070" s="190"/>
      <c r="BV1070" s="190"/>
      <c r="BW1070" s="190"/>
      <c r="BX1070" s="190"/>
      <c r="BY1070" s="190"/>
      <c r="BZ1070" s="190"/>
      <c r="CA1070" s="189"/>
      <c r="CB1070" s="192"/>
    </row>
    <row r="1071" spans="1:80" x14ac:dyDescent="0.2">
      <c r="A1071" s="189"/>
      <c r="B1071" s="648"/>
      <c r="C1071" s="648"/>
      <c r="D1071" s="697"/>
      <c r="E1071" s="159"/>
      <c r="F1071" s="159"/>
      <c r="G1071" s="190"/>
      <c r="H1071" s="190"/>
      <c r="I1071" s="190"/>
      <c r="J1071" s="190"/>
      <c r="K1071" s="190"/>
      <c r="L1071" s="629"/>
      <c r="M1071" s="652">
        <v>36350.458333333336</v>
      </c>
      <c r="N1071" s="591">
        <v>1.1579207793077941</v>
      </c>
      <c r="O1071" s="592">
        <v>4.6274671052631573E-4</v>
      </c>
      <c r="P1071" s="187">
        <v>0</v>
      </c>
      <c r="Q1071" s="211">
        <v>0</v>
      </c>
      <c r="R1071" s="211">
        <v>0</v>
      </c>
      <c r="S1071" s="211">
        <v>0</v>
      </c>
      <c r="T1071" s="211">
        <v>5.4523026315789472E-5</v>
      </c>
      <c r="U1071" s="211">
        <v>6.1687911184210529E-5</v>
      </c>
      <c r="V1071" s="724">
        <v>3.4653577302631573E-4</v>
      </c>
      <c r="W1071" s="717"/>
      <c r="X1071" s="713"/>
      <c r="Y1071" s="718"/>
      <c r="Z1071" s="237">
        <v>11</v>
      </c>
      <c r="AA1071" s="187"/>
      <c r="AB1071" s="192" t="s">
        <v>253</v>
      </c>
      <c r="AC1071" s="213">
        <v>2.1225212464588129E-2</v>
      </c>
      <c r="AD1071" s="212">
        <v>5.0999999999999996</v>
      </c>
      <c r="AE1071" s="212">
        <v>0.35</v>
      </c>
      <c r="AF1071" s="170">
        <f t="shared" si="19"/>
        <v>1.7849999999999997</v>
      </c>
      <c r="AG1071" s="186">
        <v>0.63800000000000001</v>
      </c>
      <c r="AH1071" s="336"/>
      <c r="AI1071" s="188"/>
      <c r="AJ1071" s="188"/>
      <c r="AK1071" s="188"/>
      <c r="AL1071" s="189"/>
      <c r="AM1071" s="189"/>
      <c r="AN1071" s="189"/>
      <c r="AO1071" s="189"/>
      <c r="AP1071" s="189"/>
      <c r="AQ1071" s="189"/>
      <c r="AR1071" s="189"/>
      <c r="AS1071" s="189"/>
      <c r="AT1071" s="189"/>
      <c r="AU1071" s="190"/>
      <c r="AV1071" s="190"/>
      <c r="AW1071" s="190"/>
      <c r="AX1071" s="190"/>
      <c r="AY1071" s="190"/>
      <c r="AZ1071" s="189"/>
      <c r="BA1071" s="189"/>
      <c r="BB1071" s="189"/>
      <c r="BC1071" s="189"/>
      <c r="BD1071" s="189"/>
      <c r="BE1071" s="189"/>
      <c r="BF1071" s="189"/>
      <c r="BG1071" s="189"/>
      <c r="BH1071" s="189"/>
      <c r="BI1071" s="190"/>
      <c r="BJ1071" s="190"/>
      <c r="BK1071" s="190"/>
      <c r="BL1071" s="190"/>
      <c r="BM1071" s="190"/>
      <c r="BN1071" s="190"/>
      <c r="BO1071" s="190"/>
      <c r="BP1071" s="190"/>
      <c r="BQ1071" s="190"/>
      <c r="BR1071" s="190"/>
      <c r="BS1071" s="190"/>
      <c r="BT1071" s="190"/>
      <c r="BU1071" s="190"/>
      <c r="BV1071" s="190"/>
      <c r="BW1071" s="190"/>
      <c r="BX1071" s="190"/>
      <c r="BY1071" s="190"/>
      <c r="BZ1071" s="190"/>
      <c r="CA1071" s="189"/>
      <c r="CB1071" s="192"/>
    </row>
    <row r="1072" spans="1:80" x14ac:dyDescent="0.2">
      <c r="A1072" s="189"/>
      <c r="B1072" s="648"/>
      <c r="C1072" s="648"/>
      <c r="D1072" s="697"/>
      <c r="E1072" s="159"/>
      <c r="F1072" s="159"/>
      <c r="G1072" s="190"/>
      <c r="H1072" s="190"/>
      <c r="I1072" s="190"/>
      <c r="J1072" s="190"/>
      <c r="K1072" s="190"/>
      <c r="L1072" s="629"/>
      <c r="M1072" s="652">
        <v>36350.649305555555</v>
      </c>
      <c r="N1072" s="591">
        <v>1.1579207793077941</v>
      </c>
      <c r="O1072" s="592">
        <v>9.4157072368421051E-4</v>
      </c>
      <c r="P1072" s="187">
        <v>0</v>
      </c>
      <c r="Q1072" s="211">
        <v>0</v>
      </c>
      <c r="R1072" s="211">
        <v>0</v>
      </c>
      <c r="S1072" s="211">
        <v>1.5273437500000001E-4</v>
      </c>
      <c r="T1072" s="211">
        <v>1.770250822368421E-4</v>
      </c>
      <c r="U1072" s="211">
        <v>1.5203536184210526E-4</v>
      </c>
      <c r="V1072" s="724">
        <v>4.5977590460526314E-4</v>
      </c>
      <c r="W1072" s="717"/>
      <c r="X1072" s="713"/>
      <c r="Y1072" s="718"/>
      <c r="Z1072" s="237">
        <v>14</v>
      </c>
      <c r="AA1072" s="187"/>
      <c r="AB1072" s="192" t="s">
        <v>253</v>
      </c>
      <c r="AC1072" s="213">
        <v>2.1225212464588129E-2</v>
      </c>
      <c r="AD1072" s="212">
        <v>5.0999999999999996</v>
      </c>
      <c r="AE1072" s="212">
        <v>0</v>
      </c>
      <c r="AF1072" s="170">
        <f t="shared" si="19"/>
        <v>0</v>
      </c>
      <c r="AG1072" s="187">
        <v>0</v>
      </c>
      <c r="AH1072" s="335"/>
      <c r="AI1072" s="188"/>
      <c r="AJ1072" s="188"/>
      <c r="AK1072" s="188"/>
      <c r="AL1072" s="189"/>
      <c r="AM1072" s="189"/>
      <c r="AN1072" s="189"/>
      <c r="AO1072" s="189"/>
      <c r="AP1072" s="189"/>
      <c r="AQ1072" s="189"/>
      <c r="AR1072" s="189"/>
      <c r="AS1072" s="189"/>
      <c r="AT1072" s="189"/>
      <c r="AU1072" s="190"/>
      <c r="AV1072" s="190"/>
      <c r="AW1072" s="190"/>
      <c r="AX1072" s="190"/>
      <c r="AY1072" s="190"/>
      <c r="AZ1072" s="189"/>
      <c r="BA1072" s="189"/>
      <c r="BB1072" s="189"/>
      <c r="BC1072" s="189"/>
      <c r="BD1072" s="189"/>
      <c r="BE1072" s="189"/>
      <c r="BF1072" s="189"/>
      <c r="BG1072" s="189"/>
      <c r="BH1072" s="189"/>
      <c r="BI1072" s="190"/>
      <c r="BJ1072" s="190"/>
      <c r="BK1072" s="190"/>
      <c r="BL1072" s="190"/>
      <c r="BM1072" s="190"/>
      <c r="BN1072" s="190"/>
      <c r="BO1072" s="190"/>
      <c r="BP1072" s="190"/>
      <c r="BQ1072" s="190"/>
      <c r="BR1072" s="190"/>
      <c r="BS1072" s="190"/>
      <c r="BT1072" s="190"/>
      <c r="BU1072" s="190"/>
      <c r="BV1072" s="190"/>
      <c r="BW1072" s="190"/>
      <c r="BX1072" s="190"/>
      <c r="BY1072" s="190"/>
      <c r="BZ1072" s="190"/>
      <c r="CA1072" s="189"/>
      <c r="CB1072" s="192"/>
    </row>
    <row r="1073" spans="1:80" x14ac:dyDescent="0.2">
      <c r="A1073" s="189"/>
      <c r="B1073" s="648"/>
      <c r="C1073" s="648"/>
      <c r="D1073" s="697"/>
      <c r="E1073" s="159"/>
      <c r="F1073" s="159"/>
      <c r="G1073" s="190"/>
      <c r="H1073" s="190"/>
      <c r="I1073" s="190"/>
      <c r="J1073" s="190"/>
      <c r="K1073" s="190"/>
      <c r="L1073" s="629"/>
      <c r="M1073" s="652">
        <v>36353.447916666664</v>
      </c>
      <c r="N1073" s="591">
        <v>1.0537710214427103</v>
      </c>
      <c r="O1073" s="592">
        <v>2.5915912828947368E-4</v>
      </c>
      <c r="P1073" s="187">
        <v>0</v>
      </c>
      <c r="Q1073" s="211">
        <v>0</v>
      </c>
      <c r="R1073" s="211">
        <v>0</v>
      </c>
      <c r="S1073" s="211">
        <v>1.2407483552631579E-5</v>
      </c>
      <c r="T1073" s="211">
        <v>4.5785361842105266E-5</v>
      </c>
      <c r="U1073" s="211">
        <v>2.131990131578947E-5</v>
      </c>
      <c r="V1073" s="724">
        <v>1.7964638157894739E-4</v>
      </c>
      <c r="W1073" s="717"/>
      <c r="X1073" s="713"/>
      <c r="Y1073" s="718"/>
      <c r="Z1073" s="237">
        <v>11</v>
      </c>
      <c r="AA1073" s="187"/>
      <c r="AB1073" s="192" t="s">
        <v>253</v>
      </c>
      <c r="AC1073" s="213">
        <v>2.1045325779036592E-2</v>
      </c>
      <c r="AD1073" s="212">
        <v>5.0999999999999996</v>
      </c>
      <c r="AE1073" s="212">
        <v>0.33</v>
      </c>
      <c r="AF1073" s="170">
        <f t="shared" si="19"/>
        <v>1.6830000000000001</v>
      </c>
      <c r="AG1073" s="186">
        <v>0.60199999999999998</v>
      </c>
      <c r="AH1073" s="336"/>
      <c r="AI1073" s="188"/>
      <c r="AJ1073" s="188"/>
      <c r="AK1073" s="188"/>
      <c r="AL1073" s="189"/>
      <c r="AM1073" s="189"/>
      <c r="AN1073" s="189"/>
      <c r="AO1073" s="189"/>
      <c r="AP1073" s="189"/>
      <c r="AQ1073" s="189"/>
      <c r="AR1073" s="189"/>
      <c r="AS1073" s="189"/>
      <c r="AT1073" s="189"/>
      <c r="AU1073" s="190"/>
      <c r="AV1073" s="190"/>
      <c r="AW1073" s="190"/>
      <c r="AX1073" s="190"/>
      <c r="AY1073" s="190"/>
      <c r="AZ1073" s="189"/>
      <c r="BA1073" s="189"/>
      <c r="BB1073" s="189"/>
      <c r="BC1073" s="189"/>
      <c r="BD1073" s="189"/>
      <c r="BE1073" s="189"/>
      <c r="BF1073" s="189"/>
      <c r="BG1073" s="189"/>
      <c r="BH1073" s="189"/>
      <c r="BI1073" s="190"/>
      <c r="BJ1073" s="190"/>
      <c r="BK1073" s="190"/>
      <c r="BL1073" s="190"/>
      <c r="BM1073" s="190"/>
      <c r="BN1073" s="190"/>
      <c r="BO1073" s="190"/>
      <c r="BP1073" s="190"/>
      <c r="BQ1073" s="190"/>
      <c r="BR1073" s="190"/>
      <c r="BS1073" s="190"/>
      <c r="BT1073" s="190"/>
      <c r="BU1073" s="190"/>
      <c r="BV1073" s="190"/>
      <c r="BW1073" s="190"/>
      <c r="BX1073" s="190"/>
      <c r="BY1073" s="190"/>
      <c r="BZ1073" s="190"/>
      <c r="CA1073" s="189"/>
      <c r="CB1073" s="192"/>
    </row>
    <row r="1074" spans="1:80" x14ac:dyDescent="0.2">
      <c r="A1074" s="189"/>
      <c r="B1074" s="648"/>
      <c r="C1074" s="648"/>
      <c r="D1074" s="697"/>
      <c r="E1074" s="159"/>
      <c r="F1074" s="159"/>
      <c r="G1074" s="190"/>
      <c r="H1074" s="190"/>
      <c r="I1074" s="190"/>
      <c r="J1074" s="190"/>
      <c r="K1074" s="190"/>
      <c r="L1074" s="629"/>
      <c r="M1074" s="652">
        <v>36353.583333333336</v>
      </c>
      <c r="N1074" s="591">
        <v>1.0362581409062128</v>
      </c>
      <c r="O1074" s="592">
        <v>2.0393708881578948E-4</v>
      </c>
      <c r="P1074" s="187">
        <v>0</v>
      </c>
      <c r="Q1074" s="211">
        <v>0</v>
      </c>
      <c r="R1074" s="211">
        <v>0</v>
      </c>
      <c r="S1074" s="211">
        <v>2.0096628289473682E-5</v>
      </c>
      <c r="T1074" s="211">
        <v>6.1163651315789473E-6</v>
      </c>
      <c r="U1074" s="211">
        <v>2.9708059210526314E-5</v>
      </c>
      <c r="V1074" s="724">
        <v>1.4801603618421052E-4</v>
      </c>
      <c r="W1074" s="717"/>
      <c r="X1074" s="713"/>
      <c r="Y1074" s="718"/>
      <c r="Z1074" s="237">
        <v>9</v>
      </c>
      <c r="AA1074" s="187"/>
      <c r="AB1074" s="192" t="s">
        <v>253</v>
      </c>
      <c r="AC1074" s="213">
        <v>2.1045325779036592E-2</v>
      </c>
      <c r="AD1074" s="212">
        <v>5.0999999999999996</v>
      </c>
      <c r="AE1074" s="212">
        <v>0</v>
      </c>
      <c r="AF1074" s="170">
        <f t="shared" si="19"/>
        <v>0</v>
      </c>
      <c r="AG1074" s="187">
        <v>0</v>
      </c>
      <c r="AH1074" s="335"/>
      <c r="AI1074" s="188"/>
      <c r="AJ1074" s="188"/>
      <c r="AK1074" s="188"/>
      <c r="AL1074" s="189"/>
      <c r="AM1074" s="189"/>
      <c r="AN1074" s="189"/>
      <c r="AO1074" s="189"/>
      <c r="AP1074" s="189"/>
      <c r="AQ1074" s="189"/>
      <c r="AR1074" s="189"/>
      <c r="AS1074" s="189"/>
      <c r="AT1074" s="189"/>
      <c r="AU1074" s="190"/>
      <c r="AV1074" s="190"/>
      <c r="AW1074" s="190"/>
      <c r="AX1074" s="190"/>
      <c r="AY1074" s="190"/>
      <c r="AZ1074" s="189"/>
      <c r="BA1074" s="189"/>
      <c r="BB1074" s="189"/>
      <c r="BC1074" s="189"/>
      <c r="BD1074" s="189"/>
      <c r="BE1074" s="189"/>
      <c r="BF1074" s="189"/>
      <c r="BG1074" s="189"/>
      <c r="BH1074" s="189"/>
      <c r="BI1074" s="190"/>
      <c r="BJ1074" s="190"/>
      <c r="BK1074" s="190"/>
      <c r="BL1074" s="190"/>
      <c r="BM1074" s="190"/>
      <c r="BN1074" s="190"/>
      <c r="BO1074" s="190"/>
      <c r="BP1074" s="190"/>
      <c r="BQ1074" s="190"/>
      <c r="BR1074" s="190"/>
      <c r="BS1074" s="190"/>
      <c r="BT1074" s="190"/>
      <c r="BU1074" s="190"/>
      <c r="BV1074" s="190"/>
      <c r="BW1074" s="190"/>
      <c r="BX1074" s="190"/>
      <c r="BY1074" s="190"/>
      <c r="BZ1074" s="190"/>
      <c r="CA1074" s="189"/>
      <c r="CB1074" s="192"/>
    </row>
    <row r="1075" spans="1:80" x14ac:dyDescent="0.2">
      <c r="A1075" s="189"/>
      <c r="B1075" s="648"/>
      <c r="C1075" s="648"/>
      <c r="D1075" s="697"/>
      <c r="E1075" s="159"/>
      <c r="F1075" s="159"/>
      <c r="G1075" s="190"/>
      <c r="H1075" s="190"/>
      <c r="I1075" s="190"/>
      <c r="J1075" s="190"/>
      <c r="K1075" s="190"/>
      <c r="L1075" s="629"/>
      <c r="M1075" s="652">
        <v>36354.354166666664</v>
      </c>
      <c r="N1075" s="591">
        <v>1.0132990365369481</v>
      </c>
      <c r="O1075" s="592">
        <v>3.4041940789473688E-4</v>
      </c>
      <c r="P1075" s="187">
        <v>0</v>
      </c>
      <c r="Q1075" s="211">
        <v>0</v>
      </c>
      <c r="R1075" s="211">
        <v>0</v>
      </c>
      <c r="S1075" s="211">
        <v>0</v>
      </c>
      <c r="T1075" s="211">
        <v>3.669819078947369E-5</v>
      </c>
      <c r="U1075" s="211">
        <v>2.5513980263157892E-5</v>
      </c>
      <c r="V1075" s="724">
        <v>2.7820723684210527E-4</v>
      </c>
      <c r="W1075" s="717"/>
      <c r="X1075" s="713"/>
      <c r="Y1075" s="718"/>
      <c r="Z1075" s="237">
        <v>9</v>
      </c>
      <c r="AA1075" s="187"/>
      <c r="AB1075" s="192" t="s">
        <v>253</v>
      </c>
      <c r="AC1075" s="213">
        <v>2.1045325779036592E-2</v>
      </c>
      <c r="AD1075" s="212">
        <v>5.0999999999999996</v>
      </c>
      <c r="AE1075" s="212">
        <v>0.33</v>
      </c>
      <c r="AF1075" s="170">
        <f t="shared" si="19"/>
        <v>1.6830000000000001</v>
      </c>
      <c r="AG1075" s="186">
        <v>0.58399999999999996</v>
      </c>
      <c r="AH1075" s="336"/>
      <c r="AI1075" s="188"/>
      <c r="AJ1075" s="188"/>
      <c r="AK1075" s="188"/>
      <c r="AL1075" s="189"/>
      <c r="AM1075" s="189"/>
      <c r="AN1075" s="189"/>
      <c r="AO1075" s="189"/>
      <c r="AP1075" s="189"/>
      <c r="AQ1075" s="189"/>
      <c r="AR1075" s="189"/>
      <c r="AS1075" s="189"/>
      <c r="AT1075" s="189"/>
      <c r="AU1075" s="190"/>
      <c r="AV1075" s="190"/>
      <c r="AW1075" s="190"/>
      <c r="AX1075" s="190"/>
      <c r="AY1075" s="190"/>
      <c r="AZ1075" s="189"/>
      <c r="BA1075" s="189"/>
      <c r="BB1075" s="189"/>
      <c r="BC1075" s="189"/>
      <c r="BD1075" s="189"/>
      <c r="BE1075" s="189"/>
      <c r="BF1075" s="189"/>
      <c r="BG1075" s="189"/>
      <c r="BH1075" s="189"/>
      <c r="BI1075" s="190"/>
      <c r="BJ1075" s="190"/>
      <c r="BK1075" s="190"/>
      <c r="BL1075" s="190"/>
      <c r="BM1075" s="190"/>
      <c r="BN1075" s="190"/>
      <c r="BO1075" s="190"/>
      <c r="BP1075" s="190"/>
      <c r="BQ1075" s="190"/>
      <c r="BR1075" s="190"/>
      <c r="BS1075" s="190"/>
      <c r="BT1075" s="190"/>
      <c r="BU1075" s="190"/>
      <c r="BV1075" s="190"/>
      <c r="BW1075" s="190"/>
      <c r="BX1075" s="190"/>
      <c r="BY1075" s="190"/>
      <c r="BZ1075" s="190"/>
      <c r="CA1075" s="189"/>
      <c r="CB1075" s="192"/>
    </row>
    <row r="1076" spans="1:80" x14ac:dyDescent="0.2">
      <c r="A1076" s="189"/>
      <c r="B1076" s="648"/>
      <c r="C1076" s="648"/>
      <c r="D1076" s="697"/>
      <c r="E1076" s="159"/>
      <c r="F1076" s="159"/>
      <c r="G1076" s="190"/>
      <c r="H1076" s="190"/>
      <c r="I1076" s="190"/>
      <c r="J1076" s="190"/>
      <c r="K1076" s="190"/>
      <c r="L1076" s="629"/>
      <c r="M1076" s="652">
        <v>36354.527777777781</v>
      </c>
      <c r="N1076" s="591">
        <v>1.0132990365369481</v>
      </c>
      <c r="O1076" s="592">
        <v>4.6851356907894742E-4</v>
      </c>
      <c r="P1076" s="187">
        <v>0</v>
      </c>
      <c r="Q1076" s="211">
        <v>0</v>
      </c>
      <c r="R1076" s="211">
        <v>0</v>
      </c>
      <c r="S1076" s="211">
        <v>6.1338404605263154E-5</v>
      </c>
      <c r="T1076" s="211">
        <v>6.1862664473684217E-5</v>
      </c>
      <c r="U1076" s="211">
        <v>3.7921463815789471E-5</v>
      </c>
      <c r="V1076" s="724">
        <v>3.0739103618421048E-4</v>
      </c>
      <c r="W1076" s="717"/>
      <c r="X1076" s="713"/>
      <c r="Y1076" s="718"/>
      <c r="Z1076" s="237">
        <v>14</v>
      </c>
      <c r="AA1076" s="187"/>
      <c r="AB1076" s="192" t="s">
        <v>253</v>
      </c>
      <c r="AC1076" s="213">
        <v>2.1045325779036592E-2</v>
      </c>
      <c r="AD1076" s="212">
        <v>5.0999999999999996</v>
      </c>
      <c r="AE1076" s="212">
        <v>0</v>
      </c>
      <c r="AF1076" s="170">
        <f t="shared" si="19"/>
        <v>0</v>
      </c>
      <c r="AG1076" s="187">
        <v>0</v>
      </c>
      <c r="AH1076" s="335"/>
      <c r="AI1076" s="188"/>
      <c r="AJ1076" s="188"/>
      <c r="AK1076" s="188"/>
      <c r="AL1076" s="189"/>
      <c r="AM1076" s="189"/>
      <c r="AN1076" s="189"/>
      <c r="AO1076" s="189"/>
      <c r="AP1076" s="189"/>
      <c r="AQ1076" s="189"/>
      <c r="AR1076" s="189"/>
      <c r="AS1076" s="189"/>
      <c r="AT1076" s="189"/>
      <c r="AU1076" s="190"/>
      <c r="AV1076" s="190"/>
      <c r="AW1076" s="190"/>
      <c r="AX1076" s="190"/>
      <c r="AY1076" s="190"/>
      <c r="AZ1076" s="189"/>
      <c r="BA1076" s="189"/>
      <c r="BB1076" s="189"/>
      <c r="BC1076" s="189"/>
      <c r="BD1076" s="189"/>
      <c r="BE1076" s="189"/>
      <c r="BF1076" s="189"/>
      <c r="BG1076" s="189"/>
      <c r="BH1076" s="189"/>
      <c r="BI1076" s="190"/>
      <c r="BJ1076" s="190"/>
      <c r="BK1076" s="190"/>
      <c r="BL1076" s="190"/>
      <c r="BM1076" s="190"/>
      <c r="BN1076" s="190"/>
      <c r="BO1076" s="190"/>
      <c r="BP1076" s="190"/>
      <c r="BQ1076" s="190"/>
      <c r="BR1076" s="190"/>
      <c r="BS1076" s="190"/>
      <c r="BT1076" s="190"/>
      <c r="BU1076" s="190"/>
      <c r="BV1076" s="190"/>
      <c r="BW1076" s="190"/>
      <c r="BX1076" s="190"/>
      <c r="BY1076" s="190"/>
      <c r="BZ1076" s="190"/>
      <c r="CA1076" s="189"/>
      <c r="CB1076" s="192"/>
    </row>
    <row r="1077" spans="1:80" x14ac:dyDescent="0.2">
      <c r="A1077" s="189"/>
      <c r="B1077" s="648"/>
      <c r="C1077" s="648"/>
      <c r="D1077" s="697"/>
      <c r="E1077" s="159"/>
      <c r="F1077" s="159"/>
      <c r="G1077" s="190"/>
      <c r="H1077" s="190"/>
      <c r="I1077" s="190"/>
      <c r="J1077" s="190"/>
      <c r="K1077" s="190"/>
      <c r="L1077" s="629"/>
      <c r="M1077" s="652">
        <v>36355.354166666664</v>
      </c>
      <c r="N1077" s="591">
        <v>0.96869573878650839</v>
      </c>
      <c r="O1077" s="592">
        <v>1.3854440789473684E-3</v>
      </c>
      <c r="P1077" s="187">
        <v>0</v>
      </c>
      <c r="Q1077" s="211">
        <v>0</v>
      </c>
      <c r="R1077" s="211">
        <v>0</v>
      </c>
      <c r="S1077" s="211">
        <v>5.9503495065789467E-4</v>
      </c>
      <c r="T1077" s="211">
        <v>3.323807565789474E-4</v>
      </c>
      <c r="U1077" s="211">
        <v>1.7650082236842106E-4</v>
      </c>
      <c r="V1077" s="724">
        <v>2.8152754934210528E-4</v>
      </c>
      <c r="W1077" s="717"/>
      <c r="X1077" s="713"/>
      <c r="Y1077" s="718"/>
      <c r="Z1077" s="237">
        <v>16</v>
      </c>
      <c r="AA1077" s="187"/>
      <c r="AB1077" s="192" t="s">
        <v>253</v>
      </c>
      <c r="AC1077" s="213">
        <v>2.1045325779036592E-2</v>
      </c>
      <c r="AD1077" s="212">
        <v>5.0999999999999996</v>
      </c>
      <c r="AE1077" s="212">
        <v>0.33</v>
      </c>
      <c r="AF1077" s="170">
        <f t="shared" si="19"/>
        <v>1.6830000000000001</v>
      </c>
      <c r="AG1077" s="186">
        <v>0.59099999999999997</v>
      </c>
      <c r="AH1077" s="336"/>
      <c r="AI1077" s="188"/>
      <c r="AJ1077" s="188"/>
      <c r="AK1077" s="188"/>
      <c r="AL1077" s="189"/>
      <c r="AM1077" s="189"/>
      <c r="AN1077" s="189"/>
      <c r="AO1077" s="189"/>
      <c r="AP1077" s="189"/>
      <c r="AQ1077" s="189"/>
      <c r="AR1077" s="189"/>
      <c r="AS1077" s="189"/>
      <c r="AT1077" s="189"/>
      <c r="AU1077" s="190"/>
      <c r="AV1077" s="190"/>
      <c r="AW1077" s="190"/>
      <c r="AX1077" s="190"/>
      <c r="AY1077" s="190"/>
      <c r="AZ1077" s="189"/>
      <c r="BA1077" s="189"/>
      <c r="BB1077" s="189"/>
      <c r="BC1077" s="189"/>
      <c r="BD1077" s="189"/>
      <c r="BE1077" s="189"/>
      <c r="BF1077" s="189"/>
      <c r="BG1077" s="189"/>
      <c r="BH1077" s="189"/>
      <c r="BI1077" s="190"/>
      <c r="BJ1077" s="190"/>
      <c r="BK1077" s="190"/>
      <c r="BL1077" s="190"/>
      <c r="BM1077" s="190"/>
      <c r="BN1077" s="190"/>
      <c r="BO1077" s="190"/>
      <c r="BP1077" s="190"/>
      <c r="BQ1077" s="190"/>
      <c r="BR1077" s="190"/>
      <c r="BS1077" s="190"/>
      <c r="BT1077" s="190"/>
      <c r="BU1077" s="190"/>
      <c r="BV1077" s="190"/>
      <c r="BW1077" s="190"/>
      <c r="BX1077" s="190"/>
      <c r="BY1077" s="190"/>
      <c r="BZ1077" s="190"/>
      <c r="CA1077" s="189"/>
      <c r="CB1077" s="192"/>
    </row>
    <row r="1078" spans="1:80" x14ac:dyDescent="0.2">
      <c r="A1078" s="189"/>
      <c r="B1078" s="648"/>
      <c r="C1078" s="648"/>
      <c r="D1078" s="697"/>
      <c r="E1078" s="159"/>
      <c r="F1078" s="159"/>
      <c r="G1078" s="190"/>
      <c r="H1078" s="190"/>
      <c r="I1078" s="190"/>
      <c r="J1078" s="190"/>
      <c r="K1078" s="190"/>
      <c r="L1078" s="629"/>
      <c r="M1078" s="652">
        <v>36356.361111111109</v>
      </c>
      <c r="N1078" s="591">
        <v>0.96869573878650839</v>
      </c>
      <c r="O1078" s="592">
        <v>1.3728618421052633E-3</v>
      </c>
      <c r="P1078" s="187">
        <v>0</v>
      </c>
      <c r="Q1078" s="211">
        <v>0</v>
      </c>
      <c r="R1078" s="211">
        <v>1.6531661184210529E-4</v>
      </c>
      <c r="S1078" s="211">
        <v>3.0442023026315784E-4</v>
      </c>
      <c r="T1078" s="211">
        <v>2.6772203947368422E-4</v>
      </c>
      <c r="U1078" s="211">
        <v>2.3958675986842108E-4</v>
      </c>
      <c r="V1078" s="724">
        <v>3.9581620065789466E-4</v>
      </c>
      <c r="W1078" s="717"/>
      <c r="X1078" s="713"/>
      <c r="Y1078" s="718"/>
      <c r="Z1078" s="725">
        <v>18</v>
      </c>
      <c r="AA1078" s="214"/>
      <c r="AB1078" s="192" t="s">
        <v>253</v>
      </c>
      <c r="AC1078" s="213">
        <v>2.1045325779036592E-2</v>
      </c>
      <c r="AD1078" s="212">
        <v>5.0999999999999996</v>
      </c>
      <c r="AE1078" s="212">
        <v>0.32</v>
      </c>
      <c r="AF1078" s="170">
        <f t="shared" si="19"/>
        <v>1.6319999999999999</v>
      </c>
      <c r="AG1078" s="186">
        <v>0.57999999999999996</v>
      </c>
      <c r="AH1078" s="336"/>
      <c r="AI1078" s="188"/>
      <c r="AJ1078" s="188"/>
      <c r="AK1078" s="188"/>
      <c r="AL1078" s="189"/>
      <c r="AM1078" s="189"/>
      <c r="AN1078" s="189"/>
      <c r="AO1078" s="189"/>
      <c r="AP1078" s="189"/>
      <c r="AQ1078" s="189"/>
      <c r="AR1078" s="189"/>
      <c r="AS1078" s="189"/>
      <c r="AT1078" s="189"/>
      <c r="AU1078" s="190"/>
      <c r="AV1078" s="190"/>
      <c r="AW1078" s="190"/>
      <c r="AX1078" s="190"/>
      <c r="AY1078" s="190"/>
      <c r="AZ1078" s="189"/>
      <c r="BA1078" s="189"/>
      <c r="BB1078" s="189"/>
      <c r="BC1078" s="189"/>
      <c r="BD1078" s="189"/>
      <c r="BE1078" s="189"/>
      <c r="BF1078" s="189"/>
      <c r="BG1078" s="189"/>
      <c r="BH1078" s="189"/>
      <c r="BI1078" s="190"/>
      <c r="BJ1078" s="190"/>
      <c r="BK1078" s="190"/>
      <c r="BL1078" s="190"/>
      <c r="BM1078" s="190"/>
      <c r="BN1078" s="190"/>
      <c r="BO1078" s="190"/>
      <c r="BP1078" s="190"/>
      <c r="BQ1078" s="190"/>
      <c r="BR1078" s="190"/>
      <c r="BS1078" s="190"/>
      <c r="BT1078" s="190"/>
      <c r="BU1078" s="190"/>
      <c r="BV1078" s="190"/>
      <c r="BW1078" s="190"/>
      <c r="BX1078" s="190"/>
      <c r="BY1078" s="190"/>
      <c r="BZ1078" s="190"/>
      <c r="CA1078" s="189"/>
      <c r="CB1078" s="192"/>
    </row>
    <row r="1079" spans="1:80" x14ac:dyDescent="0.2">
      <c r="A1079" s="189"/>
      <c r="B1079" s="648"/>
      <c r="C1079" s="648"/>
      <c r="D1079" s="697"/>
      <c r="E1079" s="159"/>
      <c r="F1079" s="159"/>
      <c r="G1079" s="190"/>
      <c r="H1079" s="190"/>
      <c r="I1079" s="190"/>
      <c r="J1079" s="190"/>
      <c r="K1079" s="190"/>
      <c r="L1079" s="629"/>
      <c r="M1079" s="652">
        <v>36357.361111111109</v>
      </c>
      <c r="N1079" s="591">
        <v>0.89982943002204352</v>
      </c>
      <c r="O1079" s="592">
        <v>1.6044099506578946E-3</v>
      </c>
      <c r="P1079" s="187">
        <v>0</v>
      </c>
      <c r="Q1079" s="211">
        <v>0</v>
      </c>
      <c r="R1079" s="211">
        <v>0</v>
      </c>
      <c r="S1079" s="211">
        <v>2.1879111842105264E-4</v>
      </c>
      <c r="T1079" s="211">
        <v>3.5859375000000003E-4</v>
      </c>
      <c r="U1079" s="211">
        <v>4.0070929276315792E-4</v>
      </c>
      <c r="V1079" s="724">
        <v>6.2631578947368414E-4</v>
      </c>
      <c r="W1079" s="717"/>
      <c r="X1079" s="713"/>
      <c r="Y1079" s="718"/>
      <c r="Z1079" s="237">
        <v>20</v>
      </c>
      <c r="AA1079" s="187"/>
      <c r="AB1079" s="192" t="s">
        <v>253</v>
      </c>
      <c r="AC1079" s="213">
        <v>2.1045325779036592E-2</v>
      </c>
      <c r="AD1079" s="212">
        <v>5.0999999999999996</v>
      </c>
      <c r="AE1079" s="212">
        <v>0.32</v>
      </c>
      <c r="AF1079" s="170">
        <f t="shared" si="19"/>
        <v>1.6319999999999999</v>
      </c>
      <c r="AG1079" s="186">
        <v>0.55600000000000005</v>
      </c>
      <c r="AH1079" s="336"/>
      <c r="AI1079" s="188"/>
      <c r="AJ1079" s="188"/>
      <c r="AK1079" s="188"/>
      <c r="AL1079" s="189"/>
      <c r="AM1079" s="189"/>
      <c r="AN1079" s="189"/>
      <c r="AO1079" s="189"/>
      <c r="AP1079" s="189"/>
      <c r="AQ1079" s="189"/>
      <c r="AR1079" s="189"/>
      <c r="AS1079" s="189"/>
      <c r="AT1079" s="189"/>
      <c r="AU1079" s="190"/>
      <c r="AV1079" s="190"/>
      <c r="AW1079" s="190"/>
      <c r="AX1079" s="190"/>
      <c r="AY1079" s="190"/>
      <c r="AZ1079" s="189"/>
      <c r="BA1079" s="189"/>
      <c r="BB1079" s="189"/>
      <c r="BC1079" s="189"/>
      <c r="BD1079" s="189"/>
      <c r="BE1079" s="189"/>
      <c r="BF1079" s="189"/>
      <c r="BG1079" s="189"/>
      <c r="BH1079" s="189"/>
      <c r="BI1079" s="190"/>
      <c r="BJ1079" s="190"/>
      <c r="BK1079" s="190"/>
      <c r="BL1079" s="190"/>
      <c r="BM1079" s="190"/>
      <c r="BN1079" s="190"/>
      <c r="BO1079" s="190"/>
      <c r="BP1079" s="190"/>
      <c r="BQ1079" s="190"/>
      <c r="BR1079" s="190"/>
      <c r="BS1079" s="190"/>
      <c r="BT1079" s="190"/>
      <c r="BU1079" s="190"/>
      <c r="BV1079" s="190"/>
      <c r="BW1079" s="190"/>
      <c r="BX1079" s="190"/>
      <c r="BY1079" s="190"/>
      <c r="BZ1079" s="190"/>
      <c r="CA1079" s="189"/>
      <c r="CB1079" s="192"/>
    </row>
    <row r="1080" spans="1:80" x14ac:dyDescent="0.2">
      <c r="A1080" s="189"/>
      <c r="B1080" s="648"/>
      <c r="C1080" s="648"/>
      <c r="D1080" s="697"/>
      <c r="E1080" s="159"/>
      <c r="F1080" s="159"/>
      <c r="G1080" s="190"/>
      <c r="H1080" s="190"/>
      <c r="I1080" s="190"/>
      <c r="J1080" s="190"/>
      <c r="K1080" s="190"/>
      <c r="L1080" s="629"/>
      <c r="M1080" s="652">
        <v>36360.361111111109</v>
      </c>
      <c r="N1080" s="591">
        <v>0.84490242342695765</v>
      </c>
      <c r="O1080" s="592">
        <v>6.7821751644736854E-4</v>
      </c>
      <c r="P1080" s="187">
        <v>0</v>
      </c>
      <c r="Q1080" s="211">
        <v>0</v>
      </c>
      <c r="R1080" s="211">
        <v>1.7003495065789475E-4</v>
      </c>
      <c r="S1080" s="211">
        <v>1.1498766447368421E-4</v>
      </c>
      <c r="T1080" s="211">
        <v>8.3007812500000006E-5</v>
      </c>
      <c r="U1080" s="211">
        <v>6.0639391447368416E-5</v>
      </c>
      <c r="V1080" s="724">
        <v>2.4954769736842101E-4</v>
      </c>
      <c r="W1080" s="717"/>
      <c r="X1080" s="713"/>
      <c r="Y1080" s="718"/>
      <c r="Z1080" s="237">
        <v>27</v>
      </c>
      <c r="AA1080" s="187"/>
      <c r="AB1080" s="192" t="s">
        <v>253</v>
      </c>
      <c r="AC1080" s="213">
        <v>2.0955382436259617E-2</v>
      </c>
      <c r="AD1080" s="212">
        <v>5.0999999999999996</v>
      </c>
      <c r="AE1080" s="212">
        <v>0.3</v>
      </c>
      <c r="AF1080" s="170">
        <f t="shared" si="19"/>
        <v>1.5299999999999998</v>
      </c>
      <c r="AG1080" s="186">
        <v>0.51100000000000001</v>
      </c>
      <c r="AH1080" s="336"/>
      <c r="AI1080" s="188"/>
      <c r="AJ1080" s="188"/>
      <c r="AK1080" s="188"/>
      <c r="AL1080" s="189"/>
      <c r="AM1080" s="189"/>
      <c r="AN1080" s="189"/>
      <c r="AO1080" s="189"/>
      <c r="AP1080" s="189"/>
      <c r="AQ1080" s="189"/>
      <c r="AR1080" s="189"/>
      <c r="AS1080" s="189"/>
      <c r="AT1080" s="189"/>
      <c r="AU1080" s="190"/>
      <c r="AV1080" s="190"/>
      <c r="AW1080" s="190"/>
      <c r="AX1080" s="190"/>
      <c r="AY1080" s="190"/>
      <c r="AZ1080" s="189"/>
      <c r="BA1080" s="189"/>
      <c r="BB1080" s="189"/>
      <c r="BC1080" s="189"/>
      <c r="BD1080" s="189"/>
      <c r="BE1080" s="189"/>
      <c r="BF1080" s="189"/>
      <c r="BG1080" s="189"/>
      <c r="BH1080" s="189"/>
      <c r="BI1080" s="190"/>
      <c r="BJ1080" s="190"/>
      <c r="BK1080" s="190"/>
      <c r="BL1080" s="190"/>
      <c r="BM1080" s="190"/>
      <c r="BN1080" s="190"/>
      <c r="BO1080" s="190"/>
      <c r="BP1080" s="190"/>
      <c r="BQ1080" s="190"/>
      <c r="BR1080" s="190"/>
      <c r="BS1080" s="190"/>
      <c r="BT1080" s="190"/>
      <c r="BU1080" s="190"/>
      <c r="BV1080" s="190"/>
      <c r="BW1080" s="190"/>
      <c r="BX1080" s="190"/>
      <c r="BY1080" s="190"/>
      <c r="BZ1080" s="190"/>
      <c r="CA1080" s="189"/>
      <c r="CB1080" s="192"/>
    </row>
    <row r="1081" spans="1:80" x14ac:dyDescent="0.2">
      <c r="A1081" s="189"/>
      <c r="B1081" s="648"/>
      <c r="C1081" s="648"/>
      <c r="D1081" s="697"/>
      <c r="E1081" s="159"/>
      <c r="F1081" s="159"/>
      <c r="G1081" s="190"/>
      <c r="H1081" s="190"/>
      <c r="I1081" s="190"/>
      <c r="J1081" s="190"/>
      <c r="K1081" s="190"/>
      <c r="L1081" s="629"/>
      <c r="M1081" s="652">
        <v>36360.555555555555</v>
      </c>
      <c r="N1081" s="591">
        <v>0.82566005733674797</v>
      </c>
      <c r="O1081" s="592">
        <v>9.0120271381578928E-4</v>
      </c>
      <c r="P1081" s="187">
        <v>0</v>
      </c>
      <c r="Q1081" s="211">
        <v>0</v>
      </c>
      <c r="R1081" s="211">
        <v>0</v>
      </c>
      <c r="S1081" s="211">
        <v>2.5706208881578948E-4</v>
      </c>
      <c r="T1081" s="211">
        <v>1.8646175986842108E-4</v>
      </c>
      <c r="U1081" s="211">
        <v>1.5815172697368422E-4</v>
      </c>
      <c r="V1081" s="724">
        <v>2.9952713815789475E-4</v>
      </c>
      <c r="W1081" s="717"/>
      <c r="X1081" s="713"/>
      <c r="Y1081" s="718"/>
      <c r="Z1081" s="237">
        <v>15</v>
      </c>
      <c r="AA1081" s="187"/>
      <c r="AB1081" s="192" t="s">
        <v>253</v>
      </c>
      <c r="AC1081" s="213">
        <v>2.1045325779035787E-2</v>
      </c>
      <c r="AD1081" s="212">
        <v>5.0999999999999996</v>
      </c>
      <c r="AE1081" s="212">
        <v>0</v>
      </c>
      <c r="AF1081" s="170">
        <f t="shared" si="19"/>
        <v>0</v>
      </c>
      <c r="AG1081" s="187">
        <v>0</v>
      </c>
      <c r="AH1081" s="335"/>
      <c r="AI1081" s="188"/>
      <c r="AJ1081" s="188"/>
      <c r="AK1081" s="188"/>
      <c r="AL1081" s="189"/>
      <c r="AM1081" s="189"/>
      <c r="AN1081" s="189"/>
      <c r="AO1081" s="189"/>
      <c r="AP1081" s="189"/>
      <c r="AQ1081" s="189"/>
      <c r="AR1081" s="189"/>
      <c r="AS1081" s="189"/>
      <c r="AT1081" s="189"/>
      <c r="AU1081" s="190"/>
      <c r="AV1081" s="190"/>
      <c r="AW1081" s="190"/>
      <c r="AX1081" s="190"/>
      <c r="AY1081" s="190"/>
      <c r="AZ1081" s="189"/>
      <c r="BA1081" s="189"/>
      <c r="BB1081" s="189"/>
      <c r="BC1081" s="189"/>
      <c r="BD1081" s="189"/>
      <c r="BE1081" s="189"/>
      <c r="BF1081" s="189"/>
      <c r="BG1081" s="189"/>
      <c r="BH1081" s="189"/>
      <c r="BI1081" s="190"/>
      <c r="BJ1081" s="190"/>
      <c r="BK1081" s="190"/>
      <c r="BL1081" s="190"/>
      <c r="BM1081" s="190"/>
      <c r="BN1081" s="190"/>
      <c r="BO1081" s="190"/>
      <c r="BP1081" s="190"/>
      <c r="BQ1081" s="190"/>
      <c r="BR1081" s="190"/>
      <c r="BS1081" s="190"/>
      <c r="BT1081" s="190"/>
      <c r="BU1081" s="190"/>
      <c r="BV1081" s="190"/>
      <c r="BW1081" s="190"/>
      <c r="BX1081" s="190"/>
      <c r="BY1081" s="190"/>
      <c r="BZ1081" s="190"/>
      <c r="CA1081" s="189"/>
      <c r="CB1081" s="192"/>
    </row>
    <row r="1082" spans="1:80" x14ac:dyDescent="0.2">
      <c r="A1082" s="189"/>
      <c r="B1082" s="648"/>
      <c r="C1082" s="648"/>
      <c r="D1082" s="697"/>
      <c r="E1082" s="159"/>
      <c r="F1082" s="159"/>
      <c r="G1082" s="190"/>
      <c r="H1082" s="190"/>
      <c r="I1082" s="190"/>
      <c r="J1082" s="190"/>
      <c r="K1082" s="190"/>
      <c r="L1082" s="629"/>
      <c r="M1082" s="652">
        <v>36361.357638888891</v>
      </c>
      <c r="N1082" s="591">
        <v>0.80679738563566117</v>
      </c>
      <c r="O1082" s="592">
        <v>3.7187500000000003E-4</v>
      </c>
      <c r="P1082" s="187">
        <v>0</v>
      </c>
      <c r="Q1082" s="211">
        <v>0</v>
      </c>
      <c r="R1082" s="211">
        <v>0</v>
      </c>
      <c r="S1082" s="211">
        <v>3.4251644736842102E-5</v>
      </c>
      <c r="T1082" s="211">
        <v>3.8445723684210528E-5</v>
      </c>
      <c r="U1082" s="211">
        <v>5.6794819078947366E-5</v>
      </c>
      <c r="V1082" s="724">
        <v>2.423828125E-4</v>
      </c>
      <c r="W1082" s="717"/>
      <c r="X1082" s="713"/>
      <c r="Y1082" s="718"/>
      <c r="Z1082" s="237">
        <v>12</v>
      </c>
      <c r="AA1082" s="187"/>
      <c r="AB1082" s="192" t="s">
        <v>253</v>
      </c>
      <c r="AC1082" s="213">
        <v>2.1045325779035787E-2</v>
      </c>
      <c r="AD1082" s="212">
        <v>5.0999999999999996</v>
      </c>
      <c r="AE1082" s="212">
        <v>0.3</v>
      </c>
      <c r="AF1082" s="170">
        <f t="shared" si="19"/>
        <v>1.5299999999999998</v>
      </c>
      <c r="AG1082" s="186">
        <v>0.52500000000000002</v>
      </c>
      <c r="AH1082" s="336"/>
      <c r="AI1082" s="188"/>
      <c r="AJ1082" s="188"/>
      <c r="AK1082" s="188"/>
      <c r="AL1082" s="189"/>
      <c r="AM1082" s="189"/>
      <c r="AN1082" s="189"/>
      <c r="AO1082" s="189"/>
      <c r="AP1082" s="189"/>
      <c r="AQ1082" s="189"/>
      <c r="AR1082" s="189"/>
      <c r="AS1082" s="189"/>
      <c r="AT1082" s="189"/>
      <c r="AU1082" s="190"/>
      <c r="AV1082" s="190"/>
      <c r="AW1082" s="190"/>
      <c r="AX1082" s="190"/>
      <c r="AY1082" s="190"/>
      <c r="AZ1082" s="189"/>
      <c r="BA1082" s="189"/>
      <c r="BB1082" s="189"/>
      <c r="BC1082" s="189"/>
      <c r="BD1082" s="189"/>
      <c r="BE1082" s="189"/>
      <c r="BF1082" s="189"/>
      <c r="BG1082" s="189"/>
      <c r="BH1082" s="189"/>
      <c r="BI1082" s="190"/>
      <c r="BJ1082" s="190"/>
      <c r="BK1082" s="190"/>
      <c r="BL1082" s="190"/>
      <c r="BM1082" s="190"/>
      <c r="BN1082" s="190"/>
      <c r="BO1082" s="190"/>
      <c r="BP1082" s="190"/>
      <c r="BQ1082" s="190"/>
      <c r="BR1082" s="190"/>
      <c r="BS1082" s="190"/>
      <c r="BT1082" s="190"/>
      <c r="BU1082" s="190"/>
      <c r="BV1082" s="190"/>
      <c r="BW1082" s="190"/>
      <c r="BX1082" s="190"/>
      <c r="BY1082" s="190"/>
      <c r="BZ1082" s="190"/>
      <c r="CA1082" s="189"/>
      <c r="CB1082" s="192"/>
    </row>
    <row r="1083" spans="1:80" x14ac:dyDescent="0.2">
      <c r="A1083" s="189"/>
      <c r="B1083" s="648"/>
      <c r="C1083" s="648"/>
      <c r="D1083" s="697"/>
      <c r="E1083" s="159"/>
      <c r="F1083" s="159"/>
      <c r="G1083" s="190"/>
      <c r="H1083" s="190"/>
      <c r="I1083" s="190"/>
      <c r="J1083" s="190"/>
      <c r="K1083" s="190"/>
      <c r="L1083" s="629"/>
      <c r="M1083" s="652">
        <v>36361.503472222219</v>
      </c>
      <c r="N1083" s="591">
        <v>0.80679738563566117</v>
      </c>
      <c r="O1083" s="592">
        <v>6.1303453947368419E-4</v>
      </c>
      <c r="P1083" s="187">
        <v>0</v>
      </c>
      <c r="Q1083" s="211">
        <v>0</v>
      </c>
      <c r="R1083" s="211">
        <v>0</v>
      </c>
      <c r="S1083" s="211">
        <v>7.8988486842105255E-5</v>
      </c>
      <c r="T1083" s="211">
        <v>9.8910361842105256E-5</v>
      </c>
      <c r="U1083" s="211">
        <v>1.2355057565789475E-4</v>
      </c>
      <c r="V1083" s="724">
        <v>3.1158511513157893E-4</v>
      </c>
      <c r="W1083" s="717"/>
      <c r="X1083" s="713"/>
      <c r="Y1083" s="718"/>
      <c r="Z1083" s="237">
        <v>20</v>
      </c>
      <c r="AA1083" s="187"/>
      <c r="AB1083" s="192" t="s">
        <v>253</v>
      </c>
      <c r="AC1083" s="213">
        <v>2.1045325779035787E-2</v>
      </c>
      <c r="AD1083" s="212">
        <v>5.0999999999999996</v>
      </c>
      <c r="AE1083" s="212">
        <v>0</v>
      </c>
      <c r="AF1083" s="170">
        <f t="shared" si="19"/>
        <v>0</v>
      </c>
      <c r="AG1083" s="187">
        <v>0</v>
      </c>
      <c r="AH1083" s="335"/>
      <c r="AI1083" s="188"/>
      <c r="AJ1083" s="188"/>
      <c r="AK1083" s="188"/>
      <c r="AL1083" s="189"/>
      <c r="AM1083" s="189"/>
      <c r="AN1083" s="189"/>
      <c r="AO1083" s="189"/>
      <c r="AP1083" s="189"/>
      <c r="AQ1083" s="189"/>
      <c r="AR1083" s="189"/>
      <c r="AS1083" s="189"/>
      <c r="AT1083" s="189"/>
      <c r="AU1083" s="190"/>
      <c r="AV1083" s="190"/>
      <c r="AW1083" s="190"/>
      <c r="AX1083" s="190"/>
      <c r="AY1083" s="190"/>
      <c r="AZ1083" s="189"/>
      <c r="BA1083" s="189"/>
      <c r="BB1083" s="189"/>
      <c r="BC1083" s="189"/>
      <c r="BD1083" s="189"/>
      <c r="BE1083" s="189"/>
      <c r="BF1083" s="189"/>
      <c r="BG1083" s="189"/>
      <c r="BH1083" s="189"/>
      <c r="BI1083" s="190"/>
      <c r="BJ1083" s="190"/>
      <c r="BK1083" s="190"/>
      <c r="BL1083" s="190"/>
      <c r="BM1083" s="190"/>
      <c r="BN1083" s="190"/>
      <c r="BO1083" s="190"/>
      <c r="BP1083" s="190"/>
      <c r="BQ1083" s="190"/>
      <c r="BR1083" s="190"/>
      <c r="BS1083" s="190"/>
      <c r="BT1083" s="190"/>
      <c r="BU1083" s="190"/>
      <c r="BV1083" s="190"/>
      <c r="BW1083" s="190"/>
      <c r="BX1083" s="190"/>
      <c r="BY1083" s="190"/>
      <c r="BZ1083" s="190"/>
      <c r="CA1083" s="189"/>
      <c r="CB1083" s="192"/>
    </row>
    <row r="1084" spans="1:80" x14ac:dyDescent="0.2">
      <c r="A1084" s="189"/>
      <c r="B1084" s="648"/>
      <c r="C1084" s="648"/>
      <c r="D1084" s="697"/>
      <c r="E1084" s="159"/>
      <c r="F1084" s="159"/>
      <c r="G1084" s="190"/>
      <c r="H1084" s="190"/>
      <c r="I1084" s="190"/>
      <c r="J1084" s="190"/>
      <c r="K1084" s="190"/>
      <c r="L1084" s="629"/>
      <c r="M1084" s="652">
        <v>36362.357638888891</v>
      </c>
      <c r="N1084" s="591">
        <v>0.77018589231966461</v>
      </c>
      <c r="O1084" s="592">
        <v>4.7358141447368431E-4</v>
      </c>
      <c r="P1084" s="187">
        <v>0</v>
      </c>
      <c r="Q1084" s="211">
        <v>0</v>
      </c>
      <c r="R1084" s="211">
        <v>0</v>
      </c>
      <c r="S1084" s="211">
        <v>2.9183799342105261E-5</v>
      </c>
      <c r="T1084" s="211">
        <v>8.6328125000000006E-5</v>
      </c>
      <c r="U1084" s="211">
        <v>7.549342105263158E-5</v>
      </c>
      <c r="V1084" s="724">
        <v>2.8257606907894736E-4</v>
      </c>
      <c r="W1084" s="717"/>
      <c r="X1084" s="713"/>
      <c r="Y1084" s="718"/>
      <c r="Z1084" s="237">
        <v>12</v>
      </c>
      <c r="AA1084" s="187"/>
      <c r="AB1084" s="192" t="s">
        <v>253</v>
      </c>
      <c r="AC1084" s="213">
        <v>2.1045325779035787E-2</v>
      </c>
      <c r="AD1084" s="212">
        <v>5.0999999999999996</v>
      </c>
      <c r="AE1084" s="212">
        <v>0.3</v>
      </c>
      <c r="AF1084" s="170">
        <f t="shared" si="19"/>
        <v>1.5299999999999998</v>
      </c>
      <c r="AG1084" s="186">
        <v>0.51100000000000001</v>
      </c>
      <c r="AH1084" s="336"/>
      <c r="AI1084" s="188"/>
      <c r="AJ1084" s="188"/>
      <c r="AK1084" s="188"/>
      <c r="AL1084" s="189"/>
      <c r="AM1084" s="189"/>
      <c r="AN1084" s="189"/>
      <c r="AO1084" s="189"/>
      <c r="AP1084" s="189"/>
      <c r="AQ1084" s="189"/>
      <c r="AR1084" s="189"/>
      <c r="AS1084" s="189"/>
      <c r="AT1084" s="189"/>
      <c r="AU1084" s="190"/>
      <c r="AV1084" s="190"/>
      <c r="AW1084" s="190"/>
      <c r="AX1084" s="190"/>
      <c r="AY1084" s="190"/>
      <c r="AZ1084" s="189"/>
      <c r="BA1084" s="189"/>
      <c r="BB1084" s="189"/>
      <c r="BC1084" s="189"/>
      <c r="BD1084" s="189"/>
      <c r="BE1084" s="189"/>
      <c r="BF1084" s="189"/>
      <c r="BG1084" s="189"/>
      <c r="BH1084" s="189"/>
      <c r="BI1084" s="190"/>
      <c r="BJ1084" s="190"/>
      <c r="BK1084" s="190"/>
      <c r="BL1084" s="190"/>
      <c r="BM1084" s="190"/>
      <c r="BN1084" s="190"/>
      <c r="BO1084" s="190"/>
      <c r="BP1084" s="190"/>
      <c r="BQ1084" s="190"/>
      <c r="BR1084" s="190"/>
      <c r="BS1084" s="190"/>
      <c r="BT1084" s="190"/>
      <c r="BU1084" s="190"/>
      <c r="BV1084" s="190"/>
      <c r="BW1084" s="190"/>
      <c r="BX1084" s="190"/>
      <c r="BY1084" s="190"/>
      <c r="BZ1084" s="190"/>
      <c r="CA1084" s="189"/>
      <c r="CB1084" s="192"/>
    </row>
    <row r="1085" spans="1:80" x14ac:dyDescent="0.2">
      <c r="A1085" s="189"/>
      <c r="B1085" s="648"/>
      <c r="C1085" s="648"/>
      <c r="D1085" s="697"/>
      <c r="E1085" s="159"/>
      <c r="F1085" s="159"/>
      <c r="G1085" s="190"/>
      <c r="H1085" s="190"/>
      <c r="I1085" s="190"/>
      <c r="J1085" s="190"/>
      <c r="K1085" s="190"/>
      <c r="L1085" s="629"/>
      <c r="M1085" s="652">
        <v>36362.527777777781</v>
      </c>
      <c r="N1085" s="591">
        <v>0.77018589231966461</v>
      </c>
      <c r="O1085" s="592">
        <v>3.1857524671052628E-4</v>
      </c>
      <c r="P1085" s="187">
        <v>0</v>
      </c>
      <c r="Q1085" s="211">
        <v>0</v>
      </c>
      <c r="R1085" s="211">
        <v>0</v>
      </c>
      <c r="S1085" s="211">
        <v>6.7629523026315792E-5</v>
      </c>
      <c r="T1085" s="211">
        <v>2.3766447368421058E-5</v>
      </c>
      <c r="U1085" s="211">
        <v>3.7571957236842116E-5</v>
      </c>
      <c r="V1085" s="724">
        <v>1.8960731907894735E-4</v>
      </c>
      <c r="W1085" s="717"/>
      <c r="X1085" s="713"/>
      <c r="Y1085" s="718"/>
      <c r="Z1085" s="237">
        <v>13</v>
      </c>
      <c r="AA1085" s="187"/>
      <c r="AB1085" s="192" t="s">
        <v>253</v>
      </c>
      <c r="AC1085" s="213">
        <v>2.1045325779035787E-2</v>
      </c>
      <c r="AD1085" s="212">
        <v>5.0999999999999996</v>
      </c>
      <c r="AE1085" s="212">
        <v>0</v>
      </c>
      <c r="AF1085" s="170">
        <f t="shared" si="19"/>
        <v>0</v>
      </c>
      <c r="AG1085" s="187">
        <v>0</v>
      </c>
      <c r="AH1085" s="335"/>
      <c r="AI1085" s="188"/>
      <c r="AJ1085" s="188"/>
      <c r="AK1085" s="188"/>
      <c r="AL1085" s="189"/>
      <c r="AM1085" s="189"/>
      <c r="AN1085" s="189"/>
      <c r="AO1085" s="189"/>
      <c r="AP1085" s="189"/>
      <c r="AQ1085" s="189"/>
      <c r="AR1085" s="189"/>
      <c r="AS1085" s="189"/>
      <c r="AT1085" s="189"/>
      <c r="AU1085" s="190"/>
      <c r="AV1085" s="190"/>
      <c r="AW1085" s="190"/>
      <c r="AX1085" s="190"/>
      <c r="AY1085" s="190"/>
      <c r="AZ1085" s="189"/>
      <c r="BA1085" s="189"/>
      <c r="BB1085" s="189"/>
      <c r="BC1085" s="189"/>
      <c r="BD1085" s="189"/>
      <c r="BE1085" s="189"/>
      <c r="BF1085" s="189"/>
      <c r="BG1085" s="189"/>
      <c r="BH1085" s="189"/>
      <c r="BI1085" s="190"/>
      <c r="BJ1085" s="190"/>
      <c r="BK1085" s="190"/>
      <c r="BL1085" s="190"/>
      <c r="BM1085" s="190"/>
      <c r="BN1085" s="190"/>
      <c r="BO1085" s="190"/>
      <c r="BP1085" s="190"/>
      <c r="BQ1085" s="190"/>
      <c r="BR1085" s="190"/>
      <c r="BS1085" s="190"/>
      <c r="BT1085" s="190"/>
      <c r="BU1085" s="190"/>
      <c r="BV1085" s="190"/>
      <c r="BW1085" s="190"/>
      <c r="BX1085" s="190"/>
      <c r="BY1085" s="190"/>
      <c r="BZ1085" s="190"/>
      <c r="CA1085" s="189"/>
      <c r="CB1085" s="192"/>
    </row>
    <row r="1086" spans="1:80" x14ac:dyDescent="0.2">
      <c r="A1086" s="189"/>
      <c r="B1086" s="648"/>
      <c r="C1086" s="648"/>
      <c r="D1086" s="697"/>
      <c r="E1086" s="159"/>
      <c r="F1086" s="159"/>
      <c r="G1086" s="190"/>
      <c r="H1086" s="190"/>
      <c r="I1086" s="190"/>
      <c r="J1086" s="190"/>
      <c r="K1086" s="190"/>
      <c r="L1086" s="629"/>
      <c r="M1086" s="652">
        <v>36363.368055555555</v>
      </c>
      <c r="N1086" s="591">
        <v>0.75683146773355336</v>
      </c>
      <c r="O1086" s="592">
        <v>2.9952713815789475E-4</v>
      </c>
      <c r="P1086" s="187">
        <v>0</v>
      </c>
      <c r="Q1086" s="211">
        <v>0</v>
      </c>
      <c r="R1086" s="211">
        <v>0</v>
      </c>
      <c r="S1086" s="211">
        <v>1.0659950657894735E-5</v>
      </c>
      <c r="T1086" s="211">
        <v>4.8930921052631578E-5</v>
      </c>
      <c r="U1086" s="211">
        <v>5.4523026315789472E-5</v>
      </c>
      <c r="V1086" s="724">
        <v>1.8541324013157892E-4</v>
      </c>
      <c r="W1086" s="717"/>
      <c r="X1086" s="713"/>
      <c r="Y1086" s="718"/>
      <c r="Z1086" s="237">
        <v>11</v>
      </c>
      <c r="AA1086" s="187"/>
      <c r="AB1086" s="192" t="s">
        <v>253</v>
      </c>
      <c r="AC1086" s="213">
        <v>2.0865439093483446E-2</v>
      </c>
      <c r="AD1086" s="212">
        <v>5.0999999999999996</v>
      </c>
      <c r="AE1086" s="212">
        <v>0.3</v>
      </c>
      <c r="AF1086" s="170">
        <f t="shared" si="19"/>
        <v>1.5299999999999998</v>
      </c>
      <c r="AG1086" s="186">
        <v>0.52300000000000002</v>
      </c>
      <c r="AH1086" s="336"/>
      <c r="AI1086" s="188"/>
      <c r="AJ1086" s="188"/>
      <c r="AK1086" s="188"/>
      <c r="AL1086" s="189"/>
      <c r="AM1086" s="189"/>
      <c r="AN1086" s="189"/>
      <c r="AO1086" s="189"/>
      <c r="AP1086" s="189"/>
      <c r="AQ1086" s="189"/>
      <c r="AR1086" s="189"/>
      <c r="AS1086" s="189"/>
      <c r="AT1086" s="189"/>
      <c r="AU1086" s="190"/>
      <c r="AV1086" s="190"/>
      <c r="AW1086" s="190"/>
      <c r="AX1086" s="190"/>
      <c r="AY1086" s="190"/>
      <c r="AZ1086" s="189"/>
      <c r="BA1086" s="189"/>
      <c r="BB1086" s="189"/>
      <c r="BC1086" s="189"/>
      <c r="BD1086" s="189"/>
      <c r="BE1086" s="189"/>
      <c r="BF1086" s="189"/>
      <c r="BG1086" s="189"/>
      <c r="BH1086" s="189"/>
      <c r="BI1086" s="190"/>
      <c r="BJ1086" s="190"/>
      <c r="BK1086" s="190"/>
      <c r="BL1086" s="190"/>
      <c r="BM1086" s="190"/>
      <c r="BN1086" s="190"/>
      <c r="BO1086" s="190"/>
      <c r="BP1086" s="190"/>
      <c r="BQ1086" s="190"/>
      <c r="BR1086" s="190"/>
      <c r="BS1086" s="190"/>
      <c r="BT1086" s="190"/>
      <c r="BU1086" s="190"/>
      <c r="BV1086" s="190"/>
      <c r="BW1086" s="190"/>
      <c r="BX1086" s="190"/>
      <c r="BY1086" s="190"/>
      <c r="BZ1086" s="190"/>
      <c r="CA1086" s="189"/>
      <c r="CB1086" s="192"/>
    </row>
    <row r="1087" spans="1:80" x14ac:dyDescent="0.2">
      <c r="A1087" s="189"/>
      <c r="B1087" s="648"/>
      <c r="C1087" s="648"/>
      <c r="D1087" s="697"/>
      <c r="E1087" s="159"/>
      <c r="F1087" s="159"/>
      <c r="G1087" s="190"/>
      <c r="H1087" s="190"/>
      <c r="I1087" s="190"/>
      <c r="J1087" s="190"/>
      <c r="K1087" s="190"/>
      <c r="L1087" s="629"/>
      <c r="M1087" s="652">
        <v>36363.548611111109</v>
      </c>
      <c r="N1087" s="591">
        <v>0.75683146773355336</v>
      </c>
      <c r="O1087" s="592">
        <v>1.7772409539473688E-4</v>
      </c>
      <c r="P1087" s="187">
        <v>0</v>
      </c>
      <c r="Q1087" s="211">
        <v>0</v>
      </c>
      <c r="R1087" s="211">
        <v>0</v>
      </c>
      <c r="S1087" s="211">
        <v>0</v>
      </c>
      <c r="T1087" s="211">
        <v>1.3980263157894737E-5</v>
      </c>
      <c r="U1087" s="211">
        <v>1.6776315789473686E-5</v>
      </c>
      <c r="V1087" s="724">
        <v>1.4696751644736842E-4</v>
      </c>
      <c r="W1087" s="717"/>
      <c r="X1087" s="713"/>
      <c r="Y1087" s="718"/>
      <c r="Z1087" s="237">
        <v>5</v>
      </c>
      <c r="AA1087" s="187"/>
      <c r="AB1087" s="192" t="s">
        <v>253</v>
      </c>
      <c r="AC1087" s="213">
        <v>2.0685552407931105E-2</v>
      </c>
      <c r="AD1087" s="212">
        <v>5.0999999999999996</v>
      </c>
      <c r="AE1087" s="212">
        <v>0</v>
      </c>
      <c r="AF1087" s="170">
        <f t="shared" si="19"/>
        <v>0</v>
      </c>
      <c r="AG1087" s="187">
        <v>0</v>
      </c>
      <c r="AH1087" s="335"/>
      <c r="AI1087" s="188"/>
      <c r="AJ1087" s="188"/>
      <c r="AK1087" s="188"/>
      <c r="AL1087" s="189"/>
      <c r="AM1087" s="189"/>
      <c r="AN1087" s="189"/>
      <c r="AO1087" s="189"/>
      <c r="AP1087" s="189"/>
      <c r="AQ1087" s="189"/>
      <c r="AR1087" s="189"/>
      <c r="AS1087" s="189"/>
      <c r="AT1087" s="189"/>
      <c r="AU1087" s="190"/>
      <c r="AV1087" s="190"/>
      <c r="AW1087" s="190"/>
      <c r="AX1087" s="190"/>
      <c r="AY1087" s="190"/>
      <c r="AZ1087" s="189"/>
      <c r="BA1087" s="189"/>
      <c r="BB1087" s="189"/>
      <c r="BC1087" s="189"/>
      <c r="BD1087" s="189"/>
      <c r="BE1087" s="189"/>
      <c r="BF1087" s="189"/>
      <c r="BG1087" s="189"/>
      <c r="BH1087" s="189"/>
      <c r="BI1087" s="190"/>
      <c r="BJ1087" s="190"/>
      <c r="BK1087" s="190"/>
      <c r="BL1087" s="190"/>
      <c r="BM1087" s="190"/>
      <c r="BN1087" s="190"/>
      <c r="BO1087" s="190"/>
      <c r="BP1087" s="190"/>
      <c r="BQ1087" s="190"/>
      <c r="BR1087" s="190"/>
      <c r="BS1087" s="190"/>
      <c r="BT1087" s="190"/>
      <c r="BU1087" s="190"/>
      <c r="BV1087" s="190"/>
      <c r="BW1087" s="190"/>
      <c r="BX1087" s="190"/>
      <c r="BY1087" s="190"/>
      <c r="BZ1087" s="190"/>
      <c r="CA1087" s="189"/>
      <c r="CB1087" s="192"/>
    </row>
    <row r="1088" spans="1:80" x14ac:dyDescent="0.2">
      <c r="A1088" s="189"/>
      <c r="B1088" s="648"/>
      <c r="C1088" s="648"/>
      <c r="D1088" s="697"/>
      <c r="E1088" s="159"/>
      <c r="F1088" s="159"/>
      <c r="G1088" s="190"/>
      <c r="H1088" s="190"/>
      <c r="I1088" s="190"/>
      <c r="J1088" s="190"/>
      <c r="K1088" s="190"/>
      <c r="L1088" s="629"/>
      <c r="M1088" s="652">
        <v>36364.361111111109</v>
      </c>
      <c r="N1088" s="591">
        <v>0.75242466831576016</v>
      </c>
      <c r="O1088" s="592">
        <v>4.4527138157894738E-4</v>
      </c>
      <c r="P1088" s="187">
        <v>0</v>
      </c>
      <c r="Q1088" s="211">
        <v>0</v>
      </c>
      <c r="R1088" s="211">
        <v>0</v>
      </c>
      <c r="S1088" s="211">
        <v>0</v>
      </c>
      <c r="T1088" s="211">
        <v>8.5104851973684219E-5</v>
      </c>
      <c r="U1088" s="211">
        <v>6.9726562500000019E-5</v>
      </c>
      <c r="V1088" s="724">
        <v>2.9043996710526314E-4</v>
      </c>
      <c r="W1088" s="717"/>
      <c r="X1088" s="713"/>
      <c r="Y1088" s="718"/>
      <c r="Z1088" s="237">
        <v>6</v>
      </c>
      <c r="AA1088" s="187"/>
      <c r="AB1088" s="192" t="s">
        <v>253</v>
      </c>
      <c r="AC1088" s="213">
        <v>2.0865439093484251E-2</v>
      </c>
      <c r="AD1088" s="212">
        <v>5.0999999999999996</v>
      </c>
      <c r="AE1088" s="212">
        <v>0.3</v>
      </c>
      <c r="AF1088" s="170">
        <f t="shared" si="19"/>
        <v>1.5299999999999998</v>
      </c>
      <c r="AG1088" s="186">
        <v>0.51100000000000001</v>
      </c>
      <c r="AH1088" s="336"/>
      <c r="AI1088" s="188"/>
      <c r="AJ1088" s="188"/>
      <c r="AK1088" s="188"/>
      <c r="AL1088" s="189"/>
      <c r="AM1088" s="189"/>
      <c r="AN1088" s="189"/>
      <c r="AO1088" s="189"/>
      <c r="AP1088" s="189"/>
      <c r="AQ1088" s="189"/>
      <c r="AR1088" s="189"/>
      <c r="AS1088" s="189"/>
      <c r="AT1088" s="189"/>
      <c r="AU1088" s="190"/>
      <c r="AV1088" s="190"/>
      <c r="AW1088" s="190"/>
      <c r="AX1088" s="190"/>
      <c r="AY1088" s="190"/>
      <c r="AZ1088" s="189"/>
      <c r="BA1088" s="189"/>
      <c r="BB1088" s="189"/>
      <c r="BC1088" s="189"/>
      <c r="BD1088" s="189"/>
      <c r="BE1088" s="189"/>
      <c r="BF1088" s="189"/>
      <c r="BG1088" s="189"/>
      <c r="BH1088" s="189"/>
      <c r="BI1088" s="190"/>
      <c r="BJ1088" s="190"/>
      <c r="BK1088" s="190"/>
      <c r="BL1088" s="190"/>
      <c r="BM1088" s="190"/>
      <c r="BN1088" s="190"/>
      <c r="BO1088" s="190"/>
      <c r="BP1088" s="190"/>
      <c r="BQ1088" s="190"/>
      <c r="BR1088" s="190"/>
      <c r="BS1088" s="190"/>
      <c r="BT1088" s="190"/>
      <c r="BU1088" s="190"/>
      <c r="BV1088" s="190"/>
      <c r="BW1088" s="190"/>
      <c r="BX1088" s="190"/>
      <c r="BY1088" s="190"/>
      <c r="BZ1088" s="190"/>
      <c r="CA1088" s="189"/>
      <c r="CB1088" s="192"/>
    </row>
    <row r="1089" spans="1:80" ht="15" x14ac:dyDescent="0.25">
      <c r="A1089" s="189"/>
      <c r="B1089" s="648"/>
      <c r="C1089" s="648"/>
      <c r="D1089" s="697"/>
      <c r="E1089" s="159"/>
      <c r="F1089" s="159"/>
      <c r="G1089" s="190"/>
      <c r="H1089" s="190"/>
      <c r="I1089" s="190"/>
      <c r="J1089" s="190"/>
      <c r="K1089" s="190"/>
      <c r="L1089" s="631"/>
      <c r="M1089" s="652">
        <v>36364.552083333336</v>
      </c>
      <c r="N1089" s="591">
        <v>0.73501833212493606</v>
      </c>
      <c r="O1089" s="592">
        <v>3.9406866776315789E-4</v>
      </c>
      <c r="P1089" s="187">
        <v>0</v>
      </c>
      <c r="Q1089" s="211">
        <v>0</v>
      </c>
      <c r="R1089" s="211">
        <v>0</v>
      </c>
      <c r="S1089" s="211">
        <v>2.0446134868421055E-5</v>
      </c>
      <c r="T1089" s="211">
        <v>4.6833881578947359E-5</v>
      </c>
      <c r="U1089" s="211">
        <v>9.8560855263157894E-5</v>
      </c>
      <c r="V1089" s="724">
        <v>2.2822779605263156E-4</v>
      </c>
      <c r="W1089" s="719"/>
      <c r="X1089" s="720"/>
      <c r="Y1089" s="721"/>
      <c r="Z1089" s="237">
        <v>9</v>
      </c>
      <c r="AA1089" s="187"/>
      <c r="AB1089" s="192" t="s">
        <v>253</v>
      </c>
      <c r="AC1089" s="213">
        <v>2.0865439093484251E-2</v>
      </c>
      <c r="AD1089" s="212">
        <v>5.0999999999999996</v>
      </c>
      <c r="AE1089" s="212">
        <v>0</v>
      </c>
      <c r="AF1089" s="170">
        <f t="shared" si="19"/>
        <v>0</v>
      </c>
      <c r="AG1089" s="187">
        <v>0</v>
      </c>
      <c r="AH1089" s="335"/>
      <c r="AI1089" s="188"/>
      <c r="AJ1089" s="188"/>
      <c r="AK1089" s="188"/>
      <c r="AL1089" s="189"/>
      <c r="AM1089" s="189"/>
      <c r="AN1089" s="189"/>
      <c r="AO1089" s="189"/>
      <c r="AP1089" s="189"/>
      <c r="AQ1089" s="189"/>
      <c r="AR1089" s="189"/>
      <c r="AS1089" s="189"/>
      <c r="AT1089" s="189"/>
      <c r="AU1089" s="190"/>
      <c r="AV1089" s="190"/>
      <c r="AW1089" s="190"/>
      <c r="AX1089" s="190"/>
      <c r="AY1089" s="190"/>
      <c r="AZ1089" s="189"/>
      <c r="BA1089" s="189"/>
      <c r="BB1089" s="189"/>
      <c r="BC1089" s="189"/>
      <c r="BD1089" s="189"/>
      <c r="BE1089" s="189"/>
      <c r="BF1089" s="189"/>
      <c r="BG1089" s="189"/>
      <c r="BH1089" s="189"/>
      <c r="BI1089" s="190"/>
      <c r="BJ1089" s="190"/>
      <c r="BK1089" s="190"/>
      <c r="BL1089" s="190"/>
      <c r="BM1089" s="190"/>
      <c r="BN1089" s="190"/>
      <c r="BO1089" s="190"/>
      <c r="BP1089" s="190"/>
      <c r="BQ1089" s="190"/>
      <c r="BR1089" s="190"/>
      <c r="BS1089" s="190"/>
      <c r="BT1089" s="190"/>
      <c r="BU1089" s="190"/>
      <c r="BV1089" s="190"/>
      <c r="BW1089" s="190"/>
      <c r="BX1089" s="190"/>
      <c r="BY1089" s="190"/>
      <c r="BZ1089" s="190"/>
      <c r="CA1089" s="189"/>
      <c r="CB1089" s="192"/>
    </row>
    <row r="1090" spans="1:80" ht="15" x14ac:dyDescent="0.25">
      <c r="A1090" s="9" t="s">
        <v>57</v>
      </c>
      <c r="B1090" s="639" t="s">
        <v>58</v>
      </c>
      <c r="C1090" s="639"/>
      <c r="D1090" s="4">
        <f>VLOOKUP(E1090,'Quality Code'!D4:E24,2,TRUE)*VLOOKUP(MROUND(F1090,10),'Quality Code'!D28:E69,2,TRUE)*VLOOKUP(4,'Quality Code'!D73:E93,2,TRUE)</f>
        <v>2</v>
      </c>
      <c r="E1090" s="14">
        <v>0.4</v>
      </c>
      <c r="F1090" s="18">
        <v>135</v>
      </c>
      <c r="G1090" s="12">
        <v>220</v>
      </c>
      <c r="H1090" s="2" t="s">
        <v>59</v>
      </c>
      <c r="I1090" s="2">
        <v>1</v>
      </c>
      <c r="J1090" s="2" t="s">
        <v>279</v>
      </c>
      <c r="K1090" s="2" t="s">
        <v>29</v>
      </c>
      <c r="L1090" s="639" t="s">
        <v>279</v>
      </c>
      <c r="M1090" s="640" t="s">
        <v>704</v>
      </c>
      <c r="N1090" s="579" t="s">
        <v>54</v>
      </c>
      <c r="O1090" s="579"/>
      <c r="P1090" s="11"/>
      <c r="Q1090" s="11"/>
      <c r="R1090" s="11"/>
      <c r="S1090" s="11"/>
      <c r="T1090" s="11"/>
      <c r="U1090" s="11"/>
      <c r="V1090" s="11"/>
      <c r="W1090" s="712"/>
      <c r="X1090" s="712"/>
      <c r="Y1090" s="712"/>
      <c r="Z1090" s="11"/>
      <c r="AA1090" s="11"/>
      <c r="AB1090" s="11"/>
      <c r="AC1090" s="85">
        <v>1.2999999999999999E-2</v>
      </c>
      <c r="AD1090" s="26"/>
      <c r="AE1090" s="26"/>
      <c r="AF1090" s="26"/>
      <c r="AG1090" s="26"/>
      <c r="AH1090" s="330"/>
      <c r="AI1090" s="123">
        <v>20</v>
      </c>
      <c r="AJ1090" s="123"/>
      <c r="AK1090" s="17"/>
      <c r="AL1090" s="17"/>
      <c r="AM1090" s="17"/>
      <c r="AN1090" s="17"/>
      <c r="AO1090" s="17"/>
      <c r="AP1090" s="17"/>
      <c r="AQ1090" s="17"/>
      <c r="AR1090" s="17"/>
      <c r="AS1090" s="17"/>
      <c r="AT1090" s="17"/>
      <c r="AU1090" s="18">
        <v>68</v>
      </c>
      <c r="AV1090" s="125"/>
      <c r="AW1090" s="125"/>
      <c r="AX1090" s="125"/>
      <c r="AY1090" s="144"/>
      <c r="AZ1090" s="125"/>
      <c r="BA1090" s="125"/>
      <c r="BB1090" s="125"/>
      <c r="BC1090" s="125"/>
      <c r="BD1090" s="125"/>
      <c r="BE1090" s="125"/>
      <c r="BF1090" s="125"/>
      <c r="BG1090" s="125"/>
      <c r="BH1090" s="125"/>
      <c r="BI1090" s="4">
        <f>AU1090/AI1090</f>
        <v>3.4</v>
      </c>
      <c r="BJ1090" s="2" t="s">
        <v>68</v>
      </c>
      <c r="BK1090" s="2" t="s">
        <v>55</v>
      </c>
      <c r="BL1090" s="12"/>
      <c r="BM1090" s="12">
        <v>21.9</v>
      </c>
      <c r="BN1090" s="12"/>
      <c r="BO1090" s="12"/>
      <c r="BP1090" s="12"/>
      <c r="BQ1090" s="12"/>
      <c r="BR1090" s="12"/>
      <c r="BS1090" s="12"/>
      <c r="BT1090" s="12"/>
      <c r="BU1090" s="2"/>
      <c r="BV1090" s="2"/>
      <c r="BW1090" s="2"/>
      <c r="BX1090" s="2"/>
      <c r="BY1090" s="2"/>
      <c r="BZ1090" s="2"/>
      <c r="CA1090" s="9"/>
      <c r="CB1090" s="5" t="s">
        <v>636</v>
      </c>
    </row>
    <row r="1091" spans="1:80" ht="15" x14ac:dyDescent="0.25">
      <c r="A1091" s="189"/>
      <c r="B1091" s="648"/>
      <c r="C1091" s="648"/>
      <c r="D1091" s="697"/>
      <c r="E1091" s="159"/>
      <c r="F1091" s="159"/>
      <c r="G1091" s="190"/>
      <c r="H1091" s="190"/>
      <c r="I1091" s="190"/>
      <c r="J1091" s="190"/>
      <c r="K1091" s="190"/>
      <c r="L1091" s="631"/>
      <c r="M1091" s="647" t="s">
        <v>705</v>
      </c>
      <c r="N1091" s="588">
        <v>1.69</v>
      </c>
      <c r="O1091" s="593">
        <v>2.0472222222222153E-6</v>
      </c>
      <c r="P1091" s="190"/>
      <c r="Q1091" s="190"/>
      <c r="R1091" s="190"/>
      <c r="S1091" s="190"/>
      <c r="T1091" s="190"/>
      <c r="U1091" s="190"/>
      <c r="V1091" s="190"/>
      <c r="W1091" s="190"/>
      <c r="X1091" s="190"/>
      <c r="Y1091" s="190"/>
      <c r="Z1091" s="190"/>
      <c r="AA1091" s="190"/>
      <c r="AB1091" s="189"/>
      <c r="AC1091" s="189"/>
      <c r="AD1091" s="189"/>
      <c r="AE1091" s="189"/>
      <c r="AF1091" s="190"/>
      <c r="AG1091" s="190"/>
      <c r="AH1091" s="337"/>
      <c r="AI1091" s="190"/>
      <c r="AJ1091" s="190"/>
      <c r="AK1091" s="190"/>
      <c r="AL1091" s="189"/>
      <c r="AM1091" s="189"/>
      <c r="AN1091" s="189"/>
      <c r="AO1091" s="189"/>
      <c r="AP1091" s="189"/>
      <c r="AQ1091" s="189"/>
      <c r="AR1091" s="189"/>
      <c r="AS1091" s="189"/>
      <c r="AT1091" s="189"/>
      <c r="AU1091" s="190"/>
      <c r="AV1091" s="190"/>
      <c r="AW1091" s="190"/>
      <c r="AX1091" s="190"/>
      <c r="AY1091" s="190"/>
      <c r="AZ1091" s="189"/>
      <c r="BA1091" s="189"/>
      <c r="BB1091" s="189"/>
      <c r="BC1091" s="189"/>
      <c r="BD1091" s="189"/>
      <c r="BE1091" s="189"/>
      <c r="BF1091" s="189"/>
      <c r="BG1091" s="189"/>
      <c r="BH1091" s="189"/>
      <c r="BI1091" s="190"/>
      <c r="BJ1091" s="190"/>
      <c r="BK1091" s="190"/>
      <c r="BL1091" s="190"/>
      <c r="BM1091" s="190"/>
      <c r="BN1091" s="190"/>
      <c r="BO1091" s="190"/>
      <c r="BP1091" s="190"/>
      <c r="BQ1091" s="190"/>
      <c r="BR1091" s="190"/>
      <c r="BS1091" s="190"/>
      <c r="BT1091" s="190"/>
      <c r="BU1091" s="190"/>
      <c r="BV1091" s="190"/>
      <c r="BW1091" s="190"/>
      <c r="BX1091" s="190"/>
      <c r="BY1091" s="190"/>
      <c r="BZ1091" s="190"/>
      <c r="CA1091" s="189"/>
      <c r="CB1091" s="192" t="s">
        <v>631</v>
      </c>
    </row>
    <row r="1092" spans="1:80" ht="15.75" x14ac:dyDescent="0.25">
      <c r="A1092" s="189"/>
      <c r="B1092" s="648"/>
      <c r="C1092" s="648"/>
      <c r="D1092" s="697"/>
      <c r="E1092" s="159"/>
      <c r="F1092" s="159"/>
      <c r="G1092" s="190"/>
      <c r="H1092" s="190"/>
      <c r="I1092" s="190"/>
      <c r="J1092" s="190"/>
      <c r="K1092" s="190"/>
      <c r="L1092" s="631"/>
      <c r="M1092" s="647" t="s">
        <v>706</v>
      </c>
      <c r="N1092" s="588">
        <v>6.85</v>
      </c>
      <c r="O1092" s="592">
        <v>1.0051111111112001E-4</v>
      </c>
      <c r="P1092" s="190"/>
      <c r="Q1092" s="190"/>
      <c r="R1092" s="190"/>
      <c r="S1092" s="190"/>
      <c r="T1092" s="190"/>
      <c r="U1092" s="190"/>
      <c r="V1092" s="190"/>
      <c r="W1092" s="190"/>
      <c r="X1092" s="190"/>
      <c r="Y1092" s="190"/>
      <c r="Z1092" s="190"/>
      <c r="AA1092" s="190"/>
      <c r="AB1092" s="189"/>
      <c r="AC1092" s="189"/>
      <c r="AD1092" s="189"/>
      <c r="AE1092" s="189"/>
      <c r="AF1092" s="190"/>
      <c r="AG1092" s="190"/>
      <c r="AH1092" s="337"/>
      <c r="AI1092" s="190"/>
      <c r="AJ1092" s="190"/>
      <c r="AK1092" s="190"/>
      <c r="AL1092" s="189"/>
      <c r="AM1092" s="189"/>
      <c r="AN1092" s="189"/>
      <c r="AO1092" s="189"/>
      <c r="AP1092" s="189"/>
      <c r="AQ1092" s="189"/>
      <c r="AR1092" s="189"/>
      <c r="AS1092" s="189"/>
      <c r="AT1092" s="189"/>
      <c r="AU1092" s="190"/>
      <c r="AV1092" s="190"/>
      <c r="AW1092" s="190"/>
      <c r="AX1092" s="190"/>
      <c r="AY1092" s="190"/>
      <c r="AZ1092" s="189"/>
      <c r="BA1092" s="189"/>
      <c r="BB1092" s="189"/>
      <c r="BC1092" s="189"/>
      <c r="BD1092" s="189"/>
      <c r="BE1092" s="189"/>
      <c r="BF1092" s="189"/>
      <c r="BG1092" s="189"/>
      <c r="BH1092" s="189"/>
      <c r="BI1092" s="190"/>
      <c r="BJ1092" s="190"/>
      <c r="BK1092" s="190"/>
      <c r="BL1092" s="190"/>
      <c r="BM1092" s="190"/>
      <c r="BN1092" s="190"/>
      <c r="BO1092" s="190"/>
      <c r="BP1092" s="190"/>
      <c r="BQ1092" s="190"/>
      <c r="BR1092" s="190"/>
      <c r="BS1092" s="190"/>
      <c r="BT1092" s="190"/>
      <c r="BU1092" s="190"/>
      <c r="BV1092" s="190"/>
      <c r="BW1092" s="190"/>
      <c r="BX1092" s="190"/>
      <c r="BY1092" s="190"/>
      <c r="BZ1092" s="190"/>
      <c r="CA1092" s="189"/>
      <c r="CB1092" s="192" t="s">
        <v>637</v>
      </c>
    </row>
    <row r="1093" spans="1:80" ht="15" x14ac:dyDescent="0.25">
      <c r="A1093" s="189"/>
      <c r="B1093" s="648"/>
      <c r="C1093" s="648"/>
      <c r="D1093" s="697"/>
      <c r="E1093" s="159"/>
      <c r="F1093" s="159"/>
      <c r="G1093" s="190"/>
      <c r="H1093" s="190"/>
      <c r="I1093" s="190"/>
      <c r="J1093" s="190"/>
      <c r="K1093" s="190"/>
      <c r="L1093" s="631"/>
      <c r="M1093" s="647" t="s">
        <v>707</v>
      </c>
      <c r="N1093" s="588">
        <v>8.41</v>
      </c>
      <c r="O1093" s="592">
        <v>3.1827499999999829E-4</v>
      </c>
      <c r="P1093" s="190"/>
      <c r="Q1093" s="190"/>
      <c r="R1093" s="190"/>
      <c r="S1093" s="190"/>
      <c r="T1093" s="190"/>
      <c r="U1093" s="190"/>
      <c r="V1093" s="190"/>
      <c r="W1093" s="190"/>
      <c r="X1093" s="190"/>
      <c r="Y1093" s="190"/>
      <c r="Z1093" s="190"/>
      <c r="AA1093" s="190"/>
      <c r="AB1093" s="189"/>
      <c r="AC1093" s="189"/>
      <c r="AD1093" s="189"/>
      <c r="AE1093" s="189"/>
      <c r="AF1093" s="190"/>
      <c r="AG1093" s="190"/>
      <c r="AH1093" s="337"/>
      <c r="AI1093" s="190"/>
      <c r="AJ1093" s="190"/>
      <c r="AK1093" s="190"/>
      <c r="AL1093" s="189"/>
      <c r="AM1093" s="189"/>
      <c r="AN1093" s="189"/>
      <c r="AO1093" s="189"/>
      <c r="AP1093" s="189"/>
      <c r="AQ1093" s="189"/>
      <c r="AR1093" s="189"/>
      <c r="AS1093" s="189"/>
      <c r="AT1093" s="189"/>
      <c r="AU1093" s="190"/>
      <c r="AV1093" s="190"/>
      <c r="AW1093" s="190"/>
      <c r="AX1093" s="190"/>
      <c r="AY1093" s="190"/>
      <c r="AZ1093" s="189"/>
      <c r="BA1093" s="189"/>
      <c r="BB1093" s="189"/>
      <c r="BC1093" s="189"/>
      <c r="BD1093" s="189"/>
      <c r="BE1093" s="189"/>
      <c r="BF1093" s="189"/>
      <c r="BG1093" s="189"/>
      <c r="BH1093" s="189"/>
      <c r="BI1093" s="190"/>
      <c r="BJ1093" s="190"/>
      <c r="BK1093" s="190"/>
      <c r="BL1093" s="190"/>
      <c r="BM1093" s="190"/>
      <c r="BN1093" s="190"/>
      <c r="BO1093" s="190"/>
      <c r="BP1093" s="190"/>
      <c r="BQ1093" s="190"/>
      <c r="BR1093" s="190"/>
      <c r="BS1093" s="190"/>
      <c r="BT1093" s="190"/>
      <c r="BU1093" s="190"/>
      <c r="BV1093" s="190"/>
      <c r="BW1093" s="190"/>
      <c r="BX1093" s="190"/>
      <c r="BY1093" s="190"/>
      <c r="BZ1093" s="190"/>
      <c r="CA1093" s="189"/>
      <c r="CB1093" s="485" t="s">
        <v>640</v>
      </c>
    </row>
    <row r="1094" spans="1:80" ht="15" x14ac:dyDescent="0.25">
      <c r="A1094" s="189"/>
      <c r="B1094" s="648"/>
      <c r="C1094" s="648"/>
      <c r="D1094" s="697"/>
      <c r="E1094" s="159"/>
      <c r="F1094" s="159"/>
      <c r="G1094" s="190"/>
      <c r="H1094" s="190"/>
      <c r="I1094" s="190"/>
      <c r="J1094" s="190"/>
      <c r="K1094" s="190"/>
      <c r="L1094" s="631"/>
      <c r="M1094" s="647" t="s">
        <v>708</v>
      </c>
      <c r="N1094" s="588">
        <v>8.99</v>
      </c>
      <c r="O1094" s="592">
        <v>8.5819444444444937E-5</v>
      </c>
      <c r="P1094" s="190"/>
      <c r="Q1094" s="190"/>
      <c r="R1094" s="190"/>
      <c r="S1094" s="190"/>
      <c r="T1094" s="190"/>
      <c r="U1094" s="190"/>
      <c r="V1094" s="190"/>
      <c r="W1094" s="190"/>
      <c r="X1094" s="190"/>
      <c r="Y1094" s="190"/>
      <c r="Z1094" s="190"/>
      <c r="AA1094" s="190"/>
      <c r="AB1094" s="189"/>
      <c r="AC1094" s="189"/>
      <c r="AD1094" s="189"/>
      <c r="AE1094" s="189"/>
      <c r="AF1094" s="190"/>
      <c r="AG1094" s="190"/>
      <c r="AH1094" s="337"/>
      <c r="AI1094" s="190"/>
      <c r="AJ1094" s="190"/>
      <c r="AK1094" s="190"/>
      <c r="AL1094" s="189"/>
      <c r="AM1094" s="189"/>
      <c r="AN1094" s="189"/>
      <c r="AO1094" s="189"/>
      <c r="AP1094" s="189"/>
      <c r="AQ1094" s="189"/>
      <c r="AR1094" s="189"/>
      <c r="AS1094" s="189"/>
      <c r="AT1094" s="189"/>
      <c r="AU1094" s="190"/>
      <c r="AV1094" s="190"/>
      <c r="AW1094" s="190"/>
      <c r="AX1094" s="190"/>
      <c r="AY1094" s="190"/>
      <c r="AZ1094" s="189"/>
      <c r="BA1094" s="189"/>
      <c r="BB1094" s="189"/>
      <c r="BC1094" s="189"/>
      <c r="BD1094" s="189"/>
      <c r="BE1094" s="189"/>
      <c r="BF1094" s="189"/>
      <c r="BG1094" s="189"/>
      <c r="BH1094" s="189"/>
      <c r="BI1094" s="190"/>
      <c r="BJ1094" s="190"/>
      <c r="BK1094" s="190"/>
      <c r="BL1094" s="190"/>
      <c r="BM1094" s="190"/>
      <c r="BN1094" s="190"/>
      <c r="BO1094" s="190"/>
      <c r="BP1094" s="190"/>
      <c r="BQ1094" s="190"/>
      <c r="BR1094" s="190"/>
      <c r="BS1094" s="190"/>
      <c r="BT1094" s="190"/>
      <c r="BU1094" s="190"/>
      <c r="BV1094" s="190"/>
      <c r="BW1094" s="190"/>
      <c r="BX1094" s="190"/>
      <c r="BY1094" s="190"/>
      <c r="BZ1094" s="190"/>
      <c r="CA1094" s="189"/>
      <c r="CB1094" s="192"/>
    </row>
    <row r="1095" spans="1:80" ht="15" x14ac:dyDescent="0.25">
      <c r="A1095" s="189"/>
      <c r="B1095" s="648"/>
      <c r="C1095" s="648"/>
      <c r="D1095" s="697"/>
      <c r="E1095" s="159"/>
      <c r="F1095" s="159"/>
      <c r="G1095" s="190"/>
      <c r="H1095" s="190"/>
      <c r="I1095" s="190"/>
      <c r="J1095" s="190"/>
      <c r="K1095" s="190"/>
      <c r="L1095" s="631"/>
      <c r="M1095" s="647" t="s">
        <v>709</v>
      </c>
      <c r="N1095" s="588">
        <v>10.48</v>
      </c>
      <c r="O1095" s="592">
        <v>1.8672777777776353E-4</v>
      </c>
      <c r="P1095" s="190"/>
      <c r="Q1095" s="190"/>
      <c r="R1095" s="190"/>
      <c r="S1095" s="190"/>
      <c r="T1095" s="190"/>
      <c r="U1095" s="190"/>
      <c r="V1095" s="190"/>
      <c r="W1095" s="190"/>
      <c r="X1095" s="190"/>
      <c r="Y1095" s="190"/>
      <c r="Z1095" s="190"/>
      <c r="AA1095" s="190"/>
      <c r="AB1095" s="189"/>
      <c r="AC1095" s="189"/>
      <c r="AD1095" s="189"/>
      <c r="AE1095" s="189"/>
      <c r="AF1095" s="190"/>
      <c r="AG1095" s="190"/>
      <c r="AH1095" s="337"/>
      <c r="AI1095" s="190"/>
      <c r="AJ1095" s="190"/>
      <c r="AK1095" s="190"/>
      <c r="AL1095" s="189"/>
      <c r="AM1095" s="189"/>
      <c r="AN1095" s="189"/>
      <c r="AO1095" s="189"/>
      <c r="AP1095" s="189"/>
      <c r="AQ1095" s="189"/>
      <c r="AR1095" s="189"/>
      <c r="AS1095" s="189"/>
      <c r="AT1095" s="189"/>
      <c r="AU1095" s="190"/>
      <c r="AV1095" s="190"/>
      <c r="AW1095" s="190"/>
      <c r="AX1095" s="190"/>
      <c r="AY1095" s="190"/>
      <c r="AZ1095" s="189"/>
      <c r="BA1095" s="189"/>
      <c r="BB1095" s="189"/>
      <c r="BC1095" s="189"/>
      <c r="BD1095" s="189"/>
      <c r="BE1095" s="189"/>
      <c r="BF1095" s="189"/>
      <c r="BG1095" s="189"/>
      <c r="BH1095" s="189"/>
      <c r="BI1095" s="190"/>
      <c r="BJ1095" s="190"/>
      <c r="BK1095" s="190"/>
      <c r="BL1095" s="190"/>
      <c r="BM1095" s="190"/>
      <c r="BN1095" s="190"/>
      <c r="BO1095" s="190"/>
      <c r="BP1095" s="190"/>
      <c r="BQ1095" s="190"/>
      <c r="BR1095" s="190"/>
      <c r="BS1095" s="190"/>
      <c r="BT1095" s="190"/>
      <c r="BU1095" s="190"/>
      <c r="BV1095" s="190"/>
      <c r="BW1095" s="190"/>
      <c r="BX1095" s="190"/>
      <c r="BY1095" s="190"/>
      <c r="BZ1095" s="190"/>
      <c r="CA1095" s="189"/>
      <c r="CB1095" s="192"/>
    </row>
    <row r="1096" spans="1:80" ht="15" x14ac:dyDescent="0.25">
      <c r="A1096" s="189"/>
      <c r="B1096" s="648"/>
      <c r="C1096" s="648"/>
      <c r="D1096" s="697"/>
      <c r="E1096" s="159"/>
      <c r="F1096" s="159"/>
      <c r="G1096" s="190"/>
      <c r="H1096" s="190"/>
      <c r="I1096" s="190"/>
      <c r="J1096" s="190"/>
      <c r="K1096" s="190"/>
      <c r="L1096" s="631"/>
      <c r="M1096" s="647" t="s">
        <v>710</v>
      </c>
      <c r="N1096" s="588">
        <v>12.12</v>
      </c>
      <c r="O1096" s="592">
        <v>4.510527777778022E-4</v>
      </c>
      <c r="P1096" s="190"/>
      <c r="Q1096" s="190"/>
      <c r="R1096" s="190"/>
      <c r="S1096" s="190"/>
      <c r="T1096" s="190"/>
      <c r="U1096" s="190"/>
      <c r="V1096" s="190"/>
      <c r="W1096" s="190"/>
      <c r="X1096" s="190"/>
      <c r="Y1096" s="190"/>
      <c r="Z1096" s="190"/>
      <c r="AA1096" s="190"/>
      <c r="AB1096" s="189"/>
      <c r="AC1096" s="189"/>
      <c r="AD1096" s="189"/>
      <c r="AE1096" s="189"/>
      <c r="AF1096" s="190"/>
      <c r="AG1096" s="190"/>
      <c r="AH1096" s="337"/>
      <c r="AI1096" s="190"/>
      <c r="AJ1096" s="190"/>
      <c r="AK1096" s="190"/>
      <c r="AL1096" s="189"/>
      <c r="AM1096" s="189"/>
      <c r="AN1096" s="189"/>
      <c r="AO1096" s="189"/>
      <c r="AP1096" s="189"/>
      <c r="AQ1096" s="189"/>
      <c r="AR1096" s="189"/>
      <c r="AS1096" s="189"/>
      <c r="AT1096" s="189"/>
      <c r="AU1096" s="190"/>
      <c r="AV1096" s="190"/>
      <c r="AW1096" s="190"/>
      <c r="AX1096" s="190"/>
      <c r="AY1096" s="190"/>
      <c r="AZ1096" s="189"/>
      <c r="BA1096" s="189"/>
      <c r="BB1096" s="189"/>
      <c r="BC1096" s="189"/>
      <c r="BD1096" s="189"/>
      <c r="BE1096" s="189"/>
      <c r="BF1096" s="189"/>
      <c r="BG1096" s="189"/>
      <c r="BH1096" s="189"/>
      <c r="BI1096" s="190"/>
      <c r="BJ1096" s="190"/>
      <c r="BK1096" s="190"/>
      <c r="BL1096" s="190"/>
      <c r="BM1096" s="190"/>
      <c r="BN1096" s="190"/>
      <c r="BO1096" s="190"/>
      <c r="BP1096" s="190"/>
      <c r="BQ1096" s="190"/>
      <c r="BR1096" s="190"/>
      <c r="BS1096" s="190"/>
      <c r="BT1096" s="190"/>
      <c r="BU1096" s="190"/>
      <c r="BV1096" s="190"/>
      <c r="BW1096" s="190"/>
      <c r="BX1096" s="190"/>
      <c r="BY1096" s="190"/>
      <c r="BZ1096" s="190"/>
      <c r="CA1096" s="189"/>
      <c r="CB1096" s="192"/>
    </row>
    <row r="1097" spans="1:80" ht="15" x14ac:dyDescent="0.25">
      <c r="A1097" s="189"/>
      <c r="B1097" s="648"/>
      <c r="C1097" s="648"/>
      <c r="D1097" s="697"/>
      <c r="E1097" s="159"/>
      <c r="F1097" s="159"/>
      <c r="G1097" s="190"/>
      <c r="H1097" s="190"/>
      <c r="I1097" s="190"/>
      <c r="J1097" s="190"/>
      <c r="K1097" s="190"/>
      <c r="L1097" s="631"/>
      <c r="M1097" s="647" t="s">
        <v>711</v>
      </c>
      <c r="N1097" s="588">
        <v>9.9700000000000006</v>
      </c>
      <c r="O1097" s="592">
        <v>1.0691388888888123E-4</v>
      </c>
      <c r="P1097" s="190"/>
      <c r="Q1097" s="190"/>
      <c r="R1097" s="190"/>
      <c r="S1097" s="190"/>
      <c r="T1097" s="190"/>
      <c r="U1097" s="190"/>
      <c r="V1097" s="190"/>
      <c r="W1097" s="190"/>
      <c r="X1097" s="190"/>
      <c r="Y1097" s="190"/>
      <c r="Z1097" s="190"/>
      <c r="AA1097" s="190"/>
      <c r="AB1097" s="189"/>
      <c r="AC1097" s="189"/>
      <c r="AD1097" s="189"/>
      <c r="AE1097" s="189"/>
      <c r="AF1097" s="190"/>
      <c r="AG1097" s="190"/>
      <c r="AH1097" s="337"/>
      <c r="AI1097" s="190"/>
      <c r="AJ1097" s="190"/>
      <c r="AK1097" s="190"/>
      <c r="AL1097" s="189"/>
      <c r="AM1097" s="189"/>
      <c r="AN1097" s="189"/>
      <c r="AO1097" s="189"/>
      <c r="AP1097" s="189"/>
      <c r="AQ1097" s="189"/>
      <c r="AR1097" s="189"/>
      <c r="AS1097" s="189"/>
      <c r="AT1097" s="189"/>
      <c r="AU1097" s="190"/>
      <c r="AV1097" s="190"/>
      <c r="AW1097" s="190"/>
      <c r="AX1097" s="190"/>
      <c r="AY1097" s="190"/>
      <c r="AZ1097" s="189"/>
      <c r="BA1097" s="189"/>
      <c r="BB1097" s="189"/>
      <c r="BC1097" s="189"/>
      <c r="BD1097" s="189"/>
      <c r="BE1097" s="189"/>
      <c r="BF1097" s="189"/>
      <c r="BG1097" s="189"/>
      <c r="BH1097" s="189"/>
      <c r="BI1097" s="190"/>
      <c r="BJ1097" s="190"/>
      <c r="BK1097" s="190"/>
      <c r="BL1097" s="190"/>
      <c r="BM1097" s="190"/>
      <c r="BN1097" s="190"/>
      <c r="BO1097" s="190"/>
      <c r="BP1097" s="190"/>
      <c r="BQ1097" s="190"/>
      <c r="BR1097" s="190"/>
      <c r="BS1097" s="190"/>
      <c r="BT1097" s="190"/>
      <c r="BU1097" s="190"/>
      <c r="BV1097" s="190"/>
      <c r="BW1097" s="190"/>
      <c r="BX1097" s="190"/>
      <c r="BY1097" s="190"/>
      <c r="BZ1097" s="190"/>
      <c r="CA1097" s="189"/>
      <c r="CB1097" s="192"/>
    </row>
    <row r="1098" spans="1:80" ht="15" x14ac:dyDescent="0.25">
      <c r="A1098" s="189"/>
      <c r="B1098" s="648"/>
      <c r="C1098" s="648"/>
      <c r="D1098" s="697"/>
      <c r="E1098" s="159"/>
      <c r="F1098" s="159"/>
      <c r="G1098" s="190"/>
      <c r="H1098" s="190"/>
      <c r="I1098" s="190"/>
      <c r="J1098" s="190"/>
      <c r="K1098" s="190"/>
      <c r="L1098" s="631"/>
      <c r="M1098" s="647" t="s">
        <v>712</v>
      </c>
      <c r="N1098" s="588">
        <v>9.67</v>
      </c>
      <c r="O1098" s="592">
        <v>5.1658333333329044E-5</v>
      </c>
      <c r="P1098" s="190"/>
      <c r="Q1098" s="190"/>
      <c r="R1098" s="190"/>
      <c r="S1098" s="190"/>
      <c r="T1098" s="190"/>
      <c r="U1098" s="190"/>
      <c r="V1098" s="190"/>
      <c r="W1098" s="190"/>
      <c r="X1098" s="190"/>
      <c r="Y1098" s="190"/>
      <c r="Z1098" s="190"/>
      <c r="AA1098" s="190"/>
      <c r="AB1098" s="189"/>
      <c r="AC1098" s="189"/>
      <c r="AD1098" s="189"/>
      <c r="AE1098" s="189"/>
      <c r="AF1098" s="190"/>
      <c r="AG1098" s="190"/>
      <c r="AH1098" s="337"/>
      <c r="AI1098" s="190"/>
      <c r="AJ1098" s="190"/>
      <c r="AK1098" s="190"/>
      <c r="AL1098" s="189"/>
      <c r="AM1098" s="189"/>
      <c r="AN1098" s="189"/>
      <c r="AO1098" s="189"/>
      <c r="AP1098" s="189"/>
      <c r="AQ1098" s="189"/>
      <c r="AR1098" s="189"/>
      <c r="AS1098" s="189"/>
      <c r="AT1098" s="189"/>
      <c r="AU1098" s="190"/>
      <c r="AV1098" s="190"/>
      <c r="AW1098" s="190"/>
      <c r="AX1098" s="190"/>
      <c r="AY1098" s="190"/>
      <c r="AZ1098" s="189"/>
      <c r="BA1098" s="189"/>
      <c r="BB1098" s="189"/>
      <c r="BC1098" s="189"/>
      <c r="BD1098" s="189"/>
      <c r="BE1098" s="189"/>
      <c r="BF1098" s="189"/>
      <c r="BG1098" s="189"/>
      <c r="BH1098" s="189"/>
      <c r="BI1098" s="190"/>
      <c r="BJ1098" s="190"/>
      <c r="BK1098" s="190"/>
      <c r="BL1098" s="190"/>
      <c r="BM1098" s="190"/>
      <c r="BN1098" s="190"/>
      <c r="BO1098" s="190"/>
      <c r="BP1098" s="190"/>
      <c r="BQ1098" s="190"/>
      <c r="BR1098" s="190"/>
      <c r="BS1098" s="190"/>
      <c r="BT1098" s="190"/>
      <c r="BU1098" s="190"/>
      <c r="BV1098" s="190"/>
      <c r="BW1098" s="190"/>
      <c r="BX1098" s="190"/>
      <c r="BY1098" s="190"/>
      <c r="BZ1098" s="190"/>
      <c r="CA1098" s="189"/>
      <c r="CB1098" s="192"/>
    </row>
    <row r="1099" spans="1:80" ht="15" x14ac:dyDescent="0.25">
      <c r="A1099" s="189"/>
      <c r="B1099" s="648"/>
      <c r="C1099" s="648"/>
      <c r="D1099" s="697"/>
      <c r="E1099" s="159"/>
      <c r="F1099" s="159"/>
      <c r="G1099" s="190"/>
      <c r="H1099" s="190"/>
      <c r="I1099" s="190"/>
      <c r="J1099" s="190"/>
      <c r="K1099" s="190"/>
      <c r="L1099" s="631"/>
      <c r="M1099" s="647" t="s">
        <v>713</v>
      </c>
      <c r="N1099" s="588">
        <v>10.19</v>
      </c>
      <c r="O1099" s="592">
        <v>7.173055555556205E-5</v>
      </c>
      <c r="P1099" s="190"/>
      <c r="Q1099" s="190"/>
      <c r="R1099" s="190"/>
      <c r="S1099" s="190"/>
      <c r="T1099" s="190"/>
      <c r="U1099" s="190"/>
      <c r="V1099" s="190"/>
      <c r="W1099" s="190"/>
      <c r="X1099" s="190"/>
      <c r="Y1099" s="190"/>
      <c r="Z1099" s="190"/>
      <c r="AA1099" s="190"/>
      <c r="AB1099" s="189"/>
      <c r="AC1099" s="189"/>
      <c r="AD1099" s="189"/>
      <c r="AE1099" s="189"/>
      <c r="AF1099" s="190"/>
      <c r="AG1099" s="190"/>
      <c r="AH1099" s="337"/>
      <c r="AI1099" s="190"/>
      <c r="AJ1099" s="190"/>
      <c r="AK1099" s="190"/>
      <c r="AL1099" s="189"/>
      <c r="AM1099" s="189"/>
      <c r="AN1099" s="189"/>
      <c r="AO1099" s="189"/>
      <c r="AP1099" s="189"/>
      <c r="AQ1099" s="189"/>
      <c r="AR1099" s="189"/>
      <c r="AS1099" s="189"/>
      <c r="AT1099" s="189"/>
      <c r="AU1099" s="190"/>
      <c r="AV1099" s="190"/>
      <c r="AW1099" s="190"/>
      <c r="AX1099" s="190"/>
      <c r="AY1099" s="190"/>
      <c r="AZ1099" s="189"/>
      <c r="BA1099" s="189"/>
      <c r="BB1099" s="189"/>
      <c r="BC1099" s="189"/>
      <c r="BD1099" s="189"/>
      <c r="BE1099" s="189"/>
      <c r="BF1099" s="189"/>
      <c r="BG1099" s="189"/>
      <c r="BH1099" s="189"/>
      <c r="BI1099" s="190"/>
      <c r="BJ1099" s="190"/>
      <c r="BK1099" s="190"/>
      <c r="BL1099" s="190"/>
      <c r="BM1099" s="190"/>
      <c r="BN1099" s="190"/>
      <c r="BO1099" s="190"/>
      <c r="BP1099" s="190"/>
      <c r="BQ1099" s="190"/>
      <c r="BR1099" s="190"/>
      <c r="BS1099" s="190"/>
      <c r="BT1099" s="190"/>
      <c r="BU1099" s="190"/>
      <c r="BV1099" s="190"/>
      <c r="BW1099" s="190"/>
      <c r="BX1099" s="190"/>
      <c r="BY1099" s="190"/>
      <c r="BZ1099" s="190"/>
      <c r="CA1099" s="189"/>
      <c r="CB1099" s="192"/>
    </row>
    <row r="1100" spans="1:80" ht="15" x14ac:dyDescent="0.25">
      <c r="A1100" s="189"/>
      <c r="B1100" s="648"/>
      <c r="C1100" s="648"/>
      <c r="D1100" s="697"/>
      <c r="E1100" s="159"/>
      <c r="F1100" s="159"/>
      <c r="G1100" s="190"/>
      <c r="H1100" s="190"/>
      <c r="I1100" s="190"/>
      <c r="J1100" s="190"/>
      <c r="K1100" s="190"/>
      <c r="L1100" s="631"/>
      <c r="M1100" s="647" t="s">
        <v>714</v>
      </c>
      <c r="N1100" s="588">
        <v>10.82</v>
      </c>
      <c r="O1100" s="592">
        <v>2.2766944444443918E-4</v>
      </c>
      <c r="P1100" s="190"/>
      <c r="Q1100" s="190"/>
      <c r="R1100" s="190"/>
      <c r="S1100" s="190"/>
      <c r="T1100" s="190"/>
      <c r="U1100" s="190"/>
      <c r="V1100" s="190"/>
      <c r="W1100" s="190"/>
      <c r="X1100" s="190"/>
      <c r="Y1100" s="190"/>
      <c r="Z1100" s="190"/>
      <c r="AA1100" s="190"/>
      <c r="AB1100" s="189"/>
      <c r="AC1100" s="189"/>
      <c r="AD1100" s="189"/>
      <c r="AE1100" s="189"/>
      <c r="AF1100" s="190"/>
      <c r="AG1100" s="190"/>
      <c r="AH1100" s="337"/>
      <c r="AI1100" s="190"/>
      <c r="AJ1100" s="190"/>
      <c r="AK1100" s="190"/>
      <c r="AL1100" s="189"/>
      <c r="AM1100" s="189"/>
      <c r="AN1100" s="189"/>
      <c r="AO1100" s="189"/>
      <c r="AP1100" s="189"/>
      <c r="AQ1100" s="189"/>
      <c r="AR1100" s="189"/>
      <c r="AS1100" s="189"/>
      <c r="AT1100" s="189"/>
      <c r="AU1100" s="190"/>
      <c r="AV1100" s="190"/>
      <c r="AW1100" s="190"/>
      <c r="AX1100" s="190"/>
      <c r="AY1100" s="190"/>
      <c r="AZ1100" s="189"/>
      <c r="BA1100" s="189"/>
      <c r="BB1100" s="189"/>
      <c r="BC1100" s="189"/>
      <c r="BD1100" s="189"/>
      <c r="BE1100" s="189"/>
      <c r="BF1100" s="189"/>
      <c r="BG1100" s="189"/>
      <c r="BH1100" s="189"/>
      <c r="BI1100" s="190"/>
      <c r="BJ1100" s="190"/>
      <c r="BK1100" s="190"/>
      <c r="BL1100" s="190"/>
      <c r="BM1100" s="190"/>
      <c r="BN1100" s="190"/>
      <c r="BO1100" s="190"/>
      <c r="BP1100" s="190"/>
      <c r="BQ1100" s="190"/>
      <c r="BR1100" s="190"/>
      <c r="BS1100" s="190"/>
      <c r="BT1100" s="190"/>
      <c r="BU1100" s="190"/>
      <c r="BV1100" s="190"/>
      <c r="BW1100" s="190"/>
      <c r="BX1100" s="190"/>
      <c r="BY1100" s="190"/>
      <c r="BZ1100" s="190"/>
      <c r="CA1100" s="189"/>
      <c r="CB1100" s="192"/>
    </row>
    <row r="1101" spans="1:80" ht="15" x14ac:dyDescent="0.25">
      <c r="A1101" s="189"/>
      <c r="B1101" s="648"/>
      <c r="C1101" s="648"/>
      <c r="D1101" s="697"/>
      <c r="E1101" s="159"/>
      <c r="F1101" s="159"/>
      <c r="G1101" s="190"/>
      <c r="H1101" s="190"/>
      <c r="I1101" s="190"/>
      <c r="J1101" s="190"/>
      <c r="K1101" s="190"/>
      <c r="L1101" s="631"/>
      <c r="M1101" s="647" t="s">
        <v>715</v>
      </c>
      <c r="N1101" s="588">
        <v>9.64</v>
      </c>
      <c r="O1101" s="592">
        <v>1.4608611111110642E-4</v>
      </c>
      <c r="P1101" s="190"/>
      <c r="Q1101" s="190"/>
      <c r="R1101" s="190"/>
      <c r="S1101" s="190"/>
      <c r="T1101" s="190"/>
      <c r="U1101" s="190"/>
      <c r="V1101" s="190"/>
      <c r="W1101" s="190"/>
      <c r="X1101" s="190"/>
      <c r="Y1101" s="190"/>
      <c r="Z1101" s="190"/>
      <c r="AA1101" s="190"/>
      <c r="AB1101" s="189"/>
      <c r="AC1101" s="189"/>
      <c r="AD1101" s="189"/>
      <c r="AE1101" s="189"/>
      <c r="AF1101" s="190"/>
      <c r="AG1101" s="190"/>
      <c r="AH1101" s="337"/>
      <c r="AI1101" s="190"/>
      <c r="AJ1101" s="190"/>
      <c r="AK1101" s="190"/>
      <c r="AL1101" s="189"/>
      <c r="AM1101" s="189"/>
      <c r="AN1101" s="189"/>
      <c r="AO1101" s="189"/>
      <c r="AP1101" s="189"/>
      <c r="AQ1101" s="189"/>
      <c r="AR1101" s="189"/>
      <c r="AS1101" s="189"/>
      <c r="AT1101" s="189"/>
      <c r="AU1101" s="190"/>
      <c r="AV1101" s="190"/>
      <c r="AW1101" s="190"/>
      <c r="AX1101" s="190"/>
      <c r="AY1101" s="190"/>
      <c r="AZ1101" s="189"/>
      <c r="BA1101" s="189"/>
      <c r="BB1101" s="189"/>
      <c r="BC1101" s="189"/>
      <c r="BD1101" s="189"/>
      <c r="BE1101" s="189"/>
      <c r="BF1101" s="189"/>
      <c r="BG1101" s="189"/>
      <c r="BH1101" s="189"/>
      <c r="BI1101" s="190"/>
      <c r="BJ1101" s="190"/>
      <c r="BK1101" s="190"/>
      <c r="BL1101" s="190"/>
      <c r="BM1101" s="190"/>
      <c r="BN1101" s="190"/>
      <c r="BO1101" s="190"/>
      <c r="BP1101" s="190"/>
      <c r="BQ1101" s="190"/>
      <c r="BR1101" s="190"/>
      <c r="BS1101" s="190"/>
      <c r="BT1101" s="190"/>
      <c r="BU1101" s="190"/>
      <c r="BV1101" s="190"/>
      <c r="BW1101" s="190"/>
      <c r="BX1101" s="190"/>
      <c r="BY1101" s="190"/>
      <c r="BZ1101" s="190"/>
      <c r="CA1101" s="189"/>
      <c r="CB1101" s="192"/>
    </row>
    <row r="1102" spans="1:80" ht="15" x14ac:dyDescent="0.25">
      <c r="A1102" s="189"/>
      <c r="B1102" s="648"/>
      <c r="C1102" s="648"/>
      <c r="D1102" s="697"/>
      <c r="E1102" s="159"/>
      <c r="F1102" s="159"/>
      <c r="G1102" s="190"/>
      <c r="H1102" s="190"/>
      <c r="I1102" s="190"/>
      <c r="J1102" s="190"/>
      <c r="K1102" s="190"/>
      <c r="L1102" s="631"/>
      <c r="M1102" s="647" t="s">
        <v>716</v>
      </c>
      <c r="N1102" s="588">
        <v>9.3699999999999992</v>
      </c>
      <c r="O1102" s="592">
        <v>8.2222222222214981E-5</v>
      </c>
      <c r="P1102" s="190"/>
      <c r="Q1102" s="190"/>
      <c r="R1102" s="190"/>
      <c r="S1102" s="190"/>
      <c r="T1102" s="190"/>
      <c r="U1102" s="190"/>
      <c r="V1102" s="190"/>
      <c r="W1102" s="190"/>
      <c r="X1102" s="190"/>
      <c r="Y1102" s="190"/>
      <c r="Z1102" s="190"/>
      <c r="AA1102" s="190"/>
      <c r="AB1102" s="189"/>
      <c r="AC1102" s="189"/>
      <c r="AD1102" s="189"/>
      <c r="AE1102" s="189"/>
      <c r="AF1102" s="190"/>
      <c r="AG1102" s="190"/>
      <c r="AH1102" s="337"/>
      <c r="AI1102" s="190"/>
      <c r="AJ1102" s="190"/>
      <c r="AK1102" s="190"/>
      <c r="AL1102" s="189"/>
      <c r="AM1102" s="189"/>
      <c r="AN1102" s="189"/>
      <c r="AO1102" s="189"/>
      <c r="AP1102" s="189"/>
      <c r="AQ1102" s="189"/>
      <c r="AR1102" s="189"/>
      <c r="AS1102" s="189"/>
      <c r="AT1102" s="189"/>
      <c r="AU1102" s="190"/>
      <c r="AV1102" s="190"/>
      <c r="AW1102" s="190"/>
      <c r="AX1102" s="190"/>
      <c r="AY1102" s="190"/>
      <c r="AZ1102" s="189"/>
      <c r="BA1102" s="189"/>
      <c r="BB1102" s="189"/>
      <c r="BC1102" s="189"/>
      <c r="BD1102" s="189"/>
      <c r="BE1102" s="189"/>
      <c r="BF1102" s="189"/>
      <c r="BG1102" s="189"/>
      <c r="BH1102" s="189"/>
      <c r="BI1102" s="190"/>
      <c r="BJ1102" s="190"/>
      <c r="BK1102" s="190"/>
      <c r="BL1102" s="190"/>
      <c r="BM1102" s="190"/>
      <c r="BN1102" s="190"/>
      <c r="BO1102" s="190"/>
      <c r="BP1102" s="190"/>
      <c r="BQ1102" s="190"/>
      <c r="BR1102" s="190"/>
      <c r="BS1102" s="190"/>
      <c r="BT1102" s="190"/>
      <c r="BU1102" s="190"/>
      <c r="BV1102" s="190"/>
      <c r="BW1102" s="190"/>
      <c r="BX1102" s="190"/>
      <c r="BY1102" s="190"/>
      <c r="BZ1102" s="190"/>
      <c r="CA1102" s="189"/>
      <c r="CB1102" s="192"/>
    </row>
    <row r="1103" spans="1:80" ht="15" x14ac:dyDescent="0.25">
      <c r="A1103" s="189"/>
      <c r="B1103" s="648"/>
      <c r="C1103" s="648"/>
      <c r="D1103" s="697"/>
      <c r="E1103" s="159"/>
      <c r="F1103" s="159"/>
      <c r="G1103" s="190"/>
      <c r="H1103" s="190"/>
      <c r="I1103" s="190"/>
      <c r="J1103" s="190"/>
      <c r="K1103" s="190"/>
      <c r="L1103" s="631"/>
      <c r="M1103" s="647" t="s">
        <v>717</v>
      </c>
      <c r="N1103" s="588">
        <v>10.68</v>
      </c>
      <c r="O1103" s="592">
        <v>1.138611111111107E-4</v>
      </c>
      <c r="P1103" s="190"/>
      <c r="Q1103" s="190"/>
      <c r="R1103" s="190"/>
      <c r="S1103" s="190"/>
      <c r="T1103" s="190"/>
      <c r="U1103" s="190"/>
      <c r="V1103" s="190"/>
      <c r="W1103" s="190"/>
      <c r="X1103" s="190"/>
      <c r="Y1103" s="190"/>
      <c r="Z1103" s="190"/>
      <c r="AA1103" s="190"/>
      <c r="AB1103" s="189"/>
      <c r="AC1103" s="189"/>
      <c r="AD1103" s="189"/>
      <c r="AE1103" s="189"/>
      <c r="AF1103" s="190"/>
      <c r="AG1103" s="190"/>
      <c r="AH1103" s="337"/>
      <c r="AI1103" s="190"/>
      <c r="AJ1103" s="190"/>
      <c r="AK1103" s="190"/>
      <c r="AL1103" s="189"/>
      <c r="AM1103" s="189"/>
      <c r="AN1103" s="189"/>
      <c r="AO1103" s="189"/>
      <c r="AP1103" s="189"/>
      <c r="AQ1103" s="189"/>
      <c r="AR1103" s="189"/>
      <c r="AS1103" s="189"/>
      <c r="AT1103" s="189"/>
      <c r="AU1103" s="190"/>
      <c r="AV1103" s="190"/>
      <c r="AW1103" s="190"/>
      <c r="AX1103" s="190"/>
      <c r="AY1103" s="190"/>
      <c r="AZ1103" s="189"/>
      <c r="BA1103" s="189"/>
      <c r="BB1103" s="189"/>
      <c r="BC1103" s="189"/>
      <c r="BD1103" s="189"/>
      <c r="BE1103" s="189"/>
      <c r="BF1103" s="189"/>
      <c r="BG1103" s="189"/>
      <c r="BH1103" s="189"/>
      <c r="BI1103" s="190"/>
      <c r="BJ1103" s="190"/>
      <c r="BK1103" s="190"/>
      <c r="BL1103" s="190"/>
      <c r="BM1103" s="190"/>
      <c r="BN1103" s="190"/>
      <c r="BO1103" s="190"/>
      <c r="BP1103" s="190"/>
      <c r="BQ1103" s="190"/>
      <c r="BR1103" s="190"/>
      <c r="BS1103" s="190"/>
      <c r="BT1103" s="190"/>
      <c r="BU1103" s="190"/>
      <c r="BV1103" s="190"/>
      <c r="BW1103" s="190"/>
      <c r="BX1103" s="190"/>
      <c r="BY1103" s="190"/>
      <c r="BZ1103" s="190"/>
      <c r="CA1103" s="189"/>
      <c r="CB1103" s="192"/>
    </row>
    <row r="1104" spans="1:80" ht="15" x14ac:dyDescent="0.25">
      <c r="A1104" s="189"/>
      <c r="B1104" s="648"/>
      <c r="C1104" s="648"/>
      <c r="D1104" s="697"/>
      <c r="E1104" s="159"/>
      <c r="F1104" s="159"/>
      <c r="G1104" s="190"/>
      <c r="H1104" s="190"/>
      <c r="I1104" s="190"/>
      <c r="J1104" s="190"/>
      <c r="K1104" s="190"/>
      <c r="L1104" s="631"/>
      <c r="M1104" s="647" t="s">
        <v>718</v>
      </c>
      <c r="N1104" s="588">
        <v>12.49</v>
      </c>
      <c r="O1104" s="592">
        <v>4.6193333333331785E-4</v>
      </c>
      <c r="P1104" s="190"/>
      <c r="Q1104" s="190"/>
      <c r="R1104" s="190"/>
      <c r="S1104" s="190"/>
      <c r="T1104" s="190"/>
      <c r="U1104" s="190"/>
      <c r="V1104" s="190"/>
      <c r="W1104" s="190"/>
      <c r="X1104" s="190"/>
      <c r="Y1104" s="190"/>
      <c r="Z1104" s="190"/>
      <c r="AA1104" s="190"/>
      <c r="AB1104" s="189"/>
      <c r="AC1104" s="189"/>
      <c r="AD1104" s="189"/>
      <c r="AE1104" s="189"/>
      <c r="AF1104" s="190"/>
      <c r="AG1104" s="190"/>
      <c r="AH1104" s="337"/>
      <c r="AI1104" s="190"/>
      <c r="AJ1104" s="190"/>
      <c r="AK1104" s="190"/>
      <c r="AL1104" s="189"/>
      <c r="AM1104" s="189"/>
      <c r="AN1104" s="189"/>
      <c r="AO1104" s="189"/>
      <c r="AP1104" s="189"/>
      <c r="AQ1104" s="189"/>
      <c r="AR1104" s="189"/>
      <c r="AS1104" s="189"/>
      <c r="AT1104" s="189"/>
      <c r="AU1104" s="190"/>
      <c r="AV1104" s="190"/>
      <c r="AW1104" s="190"/>
      <c r="AX1104" s="190"/>
      <c r="AY1104" s="190"/>
      <c r="AZ1104" s="189"/>
      <c r="BA1104" s="189"/>
      <c r="BB1104" s="189"/>
      <c r="BC1104" s="189"/>
      <c r="BD1104" s="189"/>
      <c r="BE1104" s="189"/>
      <c r="BF1104" s="189"/>
      <c r="BG1104" s="189"/>
      <c r="BH1104" s="189"/>
      <c r="BI1104" s="190"/>
      <c r="BJ1104" s="190"/>
      <c r="BK1104" s="190"/>
      <c r="BL1104" s="190"/>
      <c r="BM1104" s="190"/>
      <c r="BN1104" s="190"/>
      <c r="BO1104" s="190"/>
      <c r="BP1104" s="190"/>
      <c r="BQ1104" s="190"/>
      <c r="BR1104" s="190"/>
      <c r="BS1104" s="190"/>
      <c r="BT1104" s="190"/>
      <c r="BU1104" s="190"/>
      <c r="BV1104" s="190"/>
      <c r="BW1104" s="190"/>
      <c r="BX1104" s="190"/>
      <c r="BY1104" s="190"/>
      <c r="BZ1104" s="190"/>
      <c r="CA1104" s="189"/>
      <c r="CB1104" s="192"/>
    </row>
    <row r="1105" spans="1:80" x14ac:dyDescent="0.2">
      <c r="A1105" s="189"/>
      <c r="B1105" s="648"/>
      <c r="C1105" s="648"/>
      <c r="D1105" s="697"/>
      <c r="E1105" s="159"/>
      <c r="F1105" s="159"/>
      <c r="G1105" s="190"/>
      <c r="H1105" s="190"/>
      <c r="I1105" s="190"/>
      <c r="J1105" s="190"/>
      <c r="K1105" s="190"/>
      <c r="L1105" s="629"/>
      <c r="M1105" s="647" t="s">
        <v>719</v>
      </c>
      <c r="N1105" s="588">
        <v>12.26</v>
      </c>
      <c r="O1105" s="592">
        <v>3.6056388888888654E-4</v>
      </c>
      <c r="P1105" s="190"/>
      <c r="Q1105" s="190"/>
      <c r="R1105" s="190"/>
      <c r="S1105" s="190"/>
      <c r="T1105" s="190"/>
      <c r="U1105" s="190"/>
      <c r="V1105" s="190"/>
      <c r="W1105" s="190"/>
      <c r="X1105" s="190"/>
      <c r="Y1105" s="190"/>
      <c r="Z1105" s="190"/>
      <c r="AA1105" s="190"/>
      <c r="AB1105" s="189"/>
      <c r="AC1105" s="189"/>
      <c r="AD1105" s="189"/>
      <c r="AE1105" s="189"/>
      <c r="AF1105" s="190"/>
      <c r="AG1105" s="190"/>
      <c r="AH1105" s="337"/>
      <c r="AI1105" s="190"/>
      <c r="AJ1105" s="190"/>
      <c r="AK1105" s="190"/>
      <c r="AL1105" s="189"/>
      <c r="AM1105" s="189"/>
      <c r="AN1105" s="189"/>
      <c r="AO1105" s="189"/>
      <c r="AP1105" s="189"/>
      <c r="AQ1105" s="189"/>
      <c r="AR1105" s="189"/>
      <c r="AS1105" s="189"/>
      <c r="AT1105" s="189"/>
      <c r="AU1105" s="190"/>
      <c r="AV1105" s="190"/>
      <c r="AW1105" s="190"/>
      <c r="AX1105" s="190"/>
      <c r="AY1105" s="190"/>
      <c r="AZ1105" s="189"/>
      <c r="BA1105" s="189"/>
      <c r="BB1105" s="189"/>
      <c r="BC1105" s="189"/>
      <c r="BD1105" s="189"/>
      <c r="BE1105" s="189"/>
      <c r="BF1105" s="189"/>
      <c r="BG1105" s="189"/>
      <c r="BH1105" s="189"/>
      <c r="BI1105" s="190"/>
      <c r="BJ1105" s="190"/>
      <c r="BK1105" s="190"/>
      <c r="BL1105" s="190"/>
      <c r="BM1105" s="190"/>
      <c r="BN1105" s="190"/>
      <c r="BO1105" s="190"/>
      <c r="BP1105" s="190"/>
      <c r="BQ1105" s="190"/>
      <c r="BR1105" s="190"/>
      <c r="BS1105" s="190"/>
      <c r="BT1105" s="190"/>
      <c r="BU1105" s="190"/>
      <c r="BV1105" s="190"/>
      <c r="BW1105" s="190"/>
      <c r="BX1105" s="190"/>
      <c r="BY1105" s="190"/>
      <c r="BZ1105" s="190"/>
      <c r="CA1105" s="189"/>
      <c r="CB1105" s="192"/>
    </row>
    <row r="1106" spans="1:80" x14ac:dyDescent="0.2">
      <c r="A1106" s="189"/>
      <c r="B1106" s="648"/>
      <c r="C1106" s="648"/>
      <c r="D1106" s="697"/>
      <c r="E1106" s="159"/>
      <c r="F1106" s="159"/>
      <c r="G1106" s="190"/>
      <c r="H1106" s="190"/>
      <c r="I1106" s="190"/>
      <c r="J1106" s="190"/>
      <c r="K1106" s="190"/>
      <c r="L1106" s="629"/>
      <c r="M1106" s="647" t="s">
        <v>720</v>
      </c>
      <c r="N1106" s="588">
        <v>13.67</v>
      </c>
      <c r="O1106" s="592">
        <v>7.3317777777777784E-4</v>
      </c>
      <c r="P1106" s="190"/>
      <c r="Q1106" s="190"/>
      <c r="R1106" s="190"/>
      <c r="S1106" s="190"/>
      <c r="T1106" s="190"/>
      <c r="U1106" s="190"/>
      <c r="V1106" s="190"/>
      <c r="W1106" s="190"/>
      <c r="X1106" s="190"/>
      <c r="Y1106" s="190"/>
      <c r="Z1106" s="190"/>
      <c r="AA1106" s="190"/>
      <c r="AB1106" s="189"/>
      <c r="AC1106" s="189"/>
      <c r="AD1106" s="189"/>
      <c r="AE1106" s="189"/>
      <c r="AF1106" s="190"/>
      <c r="AG1106" s="190"/>
      <c r="AH1106" s="337"/>
      <c r="AI1106" s="190"/>
      <c r="AJ1106" s="190"/>
      <c r="AK1106" s="190"/>
      <c r="AL1106" s="189"/>
      <c r="AM1106" s="189"/>
      <c r="AN1106" s="189"/>
      <c r="AO1106" s="189"/>
      <c r="AP1106" s="189"/>
      <c r="AQ1106" s="189"/>
      <c r="AR1106" s="189"/>
      <c r="AS1106" s="189"/>
      <c r="AT1106" s="189"/>
      <c r="AU1106" s="190"/>
      <c r="AV1106" s="190"/>
      <c r="AW1106" s="190"/>
      <c r="AX1106" s="190"/>
      <c r="AY1106" s="190"/>
      <c r="AZ1106" s="189"/>
      <c r="BA1106" s="189"/>
      <c r="BB1106" s="189"/>
      <c r="BC1106" s="189"/>
      <c r="BD1106" s="189"/>
      <c r="BE1106" s="189"/>
      <c r="BF1106" s="189"/>
      <c r="BG1106" s="189"/>
      <c r="BH1106" s="189"/>
      <c r="BI1106" s="190"/>
      <c r="BJ1106" s="190"/>
      <c r="BK1106" s="190"/>
      <c r="BL1106" s="190"/>
      <c r="BM1106" s="190"/>
      <c r="BN1106" s="190"/>
      <c r="BO1106" s="190"/>
      <c r="BP1106" s="190"/>
      <c r="BQ1106" s="190"/>
      <c r="BR1106" s="190"/>
      <c r="BS1106" s="190"/>
      <c r="BT1106" s="190"/>
      <c r="BU1106" s="190"/>
      <c r="BV1106" s="190"/>
      <c r="BW1106" s="190"/>
      <c r="BX1106" s="190"/>
      <c r="BY1106" s="190"/>
      <c r="BZ1106" s="190"/>
      <c r="CA1106" s="189"/>
      <c r="CB1106" s="192"/>
    </row>
    <row r="1107" spans="1:80" x14ac:dyDescent="0.2">
      <c r="A1107" s="189"/>
      <c r="B1107" s="648"/>
      <c r="C1107" s="648"/>
      <c r="D1107" s="697"/>
      <c r="E1107" s="159"/>
      <c r="F1107" s="159"/>
      <c r="G1107" s="190"/>
      <c r="H1107" s="190"/>
      <c r="I1107" s="190"/>
      <c r="J1107" s="190"/>
      <c r="K1107" s="190"/>
      <c r="L1107" s="629"/>
      <c r="M1107" s="647" t="s">
        <v>721</v>
      </c>
      <c r="N1107" s="588">
        <v>14.51</v>
      </c>
      <c r="O1107" s="592">
        <v>1.5948138888887647E-3</v>
      </c>
      <c r="P1107" s="190"/>
      <c r="Q1107" s="190"/>
      <c r="R1107" s="190"/>
      <c r="S1107" s="190"/>
      <c r="T1107" s="190"/>
      <c r="U1107" s="190"/>
      <c r="V1107" s="190"/>
      <c r="W1107" s="190"/>
      <c r="X1107" s="190"/>
      <c r="Y1107" s="190"/>
      <c r="Z1107" s="190"/>
      <c r="AA1107" s="190"/>
      <c r="AB1107" s="189"/>
      <c r="AC1107" s="189"/>
      <c r="AD1107" s="189"/>
      <c r="AE1107" s="189"/>
      <c r="AF1107" s="190"/>
      <c r="AG1107" s="190"/>
      <c r="AH1107" s="337"/>
      <c r="AI1107" s="190"/>
      <c r="AJ1107" s="190"/>
      <c r="AK1107" s="190"/>
      <c r="AL1107" s="189"/>
      <c r="AM1107" s="189"/>
      <c r="AN1107" s="189"/>
      <c r="AO1107" s="189"/>
      <c r="AP1107" s="189"/>
      <c r="AQ1107" s="189"/>
      <c r="AR1107" s="189"/>
      <c r="AS1107" s="189"/>
      <c r="AT1107" s="189"/>
      <c r="AU1107" s="190"/>
      <c r="AV1107" s="190"/>
      <c r="AW1107" s="190"/>
      <c r="AX1107" s="190"/>
      <c r="AY1107" s="190"/>
      <c r="AZ1107" s="189"/>
      <c r="BA1107" s="189"/>
      <c r="BB1107" s="189"/>
      <c r="BC1107" s="189"/>
      <c r="BD1107" s="189"/>
      <c r="BE1107" s="189"/>
      <c r="BF1107" s="189"/>
      <c r="BG1107" s="189"/>
      <c r="BH1107" s="189"/>
      <c r="BI1107" s="190"/>
      <c r="BJ1107" s="190"/>
      <c r="BK1107" s="190"/>
      <c r="BL1107" s="190"/>
      <c r="BM1107" s="190"/>
      <c r="BN1107" s="190"/>
      <c r="BO1107" s="190"/>
      <c r="BP1107" s="190"/>
      <c r="BQ1107" s="190"/>
      <c r="BR1107" s="190"/>
      <c r="BS1107" s="190"/>
      <c r="BT1107" s="190"/>
      <c r="BU1107" s="190"/>
      <c r="BV1107" s="190"/>
      <c r="BW1107" s="190"/>
      <c r="BX1107" s="190"/>
      <c r="BY1107" s="190"/>
      <c r="BZ1107" s="190"/>
      <c r="CA1107" s="189"/>
      <c r="CB1107" s="192"/>
    </row>
    <row r="1108" spans="1:80" x14ac:dyDescent="0.2">
      <c r="A1108" s="189"/>
      <c r="B1108" s="648"/>
      <c r="C1108" s="648"/>
      <c r="D1108" s="697"/>
      <c r="E1108" s="159"/>
      <c r="F1108" s="159"/>
      <c r="G1108" s="190"/>
      <c r="H1108" s="190"/>
      <c r="I1108" s="190"/>
      <c r="J1108" s="190"/>
      <c r="K1108" s="190"/>
      <c r="L1108" s="629"/>
      <c r="M1108" s="647" t="s">
        <v>722</v>
      </c>
      <c r="N1108" s="588">
        <v>10.99</v>
      </c>
      <c r="O1108" s="592">
        <v>2.035083333333246E-4</v>
      </c>
      <c r="P1108" s="190"/>
      <c r="Q1108" s="190"/>
      <c r="R1108" s="190"/>
      <c r="S1108" s="190"/>
      <c r="T1108" s="190"/>
      <c r="U1108" s="190"/>
      <c r="V1108" s="190"/>
      <c r="W1108" s="190"/>
      <c r="X1108" s="190"/>
      <c r="Y1108" s="190"/>
      <c r="Z1108" s="190"/>
      <c r="AA1108" s="190"/>
      <c r="AB1108" s="189"/>
      <c r="AC1108" s="189"/>
      <c r="AD1108" s="189"/>
      <c r="AE1108" s="189"/>
      <c r="AF1108" s="190"/>
      <c r="AG1108" s="190"/>
      <c r="AH1108" s="337"/>
      <c r="AI1108" s="190"/>
      <c r="AJ1108" s="190"/>
      <c r="AK1108" s="190"/>
      <c r="AL1108" s="189"/>
      <c r="AM1108" s="189"/>
      <c r="AN1108" s="189"/>
      <c r="AO1108" s="189"/>
      <c r="AP1108" s="189"/>
      <c r="AQ1108" s="189"/>
      <c r="AR1108" s="189"/>
      <c r="AS1108" s="189"/>
      <c r="AT1108" s="189"/>
      <c r="AU1108" s="190"/>
      <c r="AV1108" s="190"/>
      <c r="AW1108" s="190"/>
      <c r="AX1108" s="190"/>
      <c r="AY1108" s="190"/>
      <c r="AZ1108" s="189"/>
      <c r="BA1108" s="189"/>
      <c r="BB1108" s="189"/>
      <c r="BC1108" s="189"/>
      <c r="BD1108" s="189"/>
      <c r="BE1108" s="189"/>
      <c r="BF1108" s="189"/>
      <c r="BG1108" s="189"/>
      <c r="BH1108" s="189"/>
      <c r="BI1108" s="190"/>
      <c r="BJ1108" s="190"/>
      <c r="BK1108" s="190"/>
      <c r="BL1108" s="190"/>
      <c r="BM1108" s="190"/>
      <c r="BN1108" s="190"/>
      <c r="BO1108" s="190"/>
      <c r="BP1108" s="190"/>
      <c r="BQ1108" s="190"/>
      <c r="BR1108" s="190"/>
      <c r="BS1108" s="190"/>
      <c r="BT1108" s="190"/>
      <c r="BU1108" s="190"/>
      <c r="BV1108" s="190"/>
      <c r="BW1108" s="190"/>
      <c r="BX1108" s="190"/>
      <c r="BY1108" s="190"/>
      <c r="BZ1108" s="190"/>
      <c r="CA1108" s="189"/>
      <c r="CB1108" s="192"/>
    </row>
    <row r="1109" spans="1:80" x14ac:dyDescent="0.2">
      <c r="A1109" s="189"/>
      <c r="B1109" s="648"/>
      <c r="C1109" s="648"/>
      <c r="D1109" s="697"/>
      <c r="E1109" s="159"/>
      <c r="F1109" s="159"/>
      <c r="G1109" s="190"/>
      <c r="H1109" s="190"/>
      <c r="I1109" s="190"/>
      <c r="J1109" s="190"/>
      <c r="K1109" s="190"/>
      <c r="L1109" s="629"/>
      <c r="M1109" s="647" t="s">
        <v>723</v>
      </c>
      <c r="N1109" s="588">
        <v>10.08</v>
      </c>
      <c r="O1109" s="593">
        <v>4.0444444444442825E-5</v>
      </c>
      <c r="P1109" s="190"/>
      <c r="Q1109" s="190"/>
      <c r="R1109" s="190"/>
      <c r="S1109" s="190"/>
      <c r="T1109" s="190"/>
      <c r="U1109" s="190"/>
      <c r="V1109" s="190"/>
      <c r="W1109" s="190"/>
      <c r="X1109" s="190"/>
      <c r="Y1109" s="190"/>
      <c r="Z1109" s="190"/>
      <c r="AA1109" s="190"/>
      <c r="AB1109" s="189"/>
      <c r="AC1109" s="189"/>
      <c r="AD1109" s="189"/>
      <c r="AE1109" s="189"/>
      <c r="AF1109" s="190"/>
      <c r="AG1109" s="190"/>
      <c r="AH1109" s="337"/>
      <c r="AI1109" s="190"/>
      <c r="AJ1109" s="190"/>
      <c r="AK1109" s="190"/>
      <c r="AL1109" s="189"/>
      <c r="AM1109" s="189"/>
      <c r="AN1109" s="189"/>
      <c r="AO1109" s="189"/>
      <c r="AP1109" s="189"/>
      <c r="AQ1109" s="189"/>
      <c r="AR1109" s="189"/>
      <c r="AS1109" s="189"/>
      <c r="AT1109" s="189"/>
      <c r="AU1109" s="190"/>
      <c r="AV1109" s="190"/>
      <c r="AW1109" s="190"/>
      <c r="AX1109" s="190"/>
      <c r="AY1109" s="190"/>
      <c r="AZ1109" s="189"/>
      <c r="BA1109" s="189"/>
      <c r="BB1109" s="189"/>
      <c r="BC1109" s="189"/>
      <c r="BD1109" s="189"/>
      <c r="BE1109" s="189"/>
      <c r="BF1109" s="189"/>
      <c r="BG1109" s="189"/>
      <c r="BH1109" s="189"/>
      <c r="BI1109" s="190"/>
      <c r="BJ1109" s="190"/>
      <c r="BK1109" s="190"/>
      <c r="BL1109" s="190"/>
      <c r="BM1109" s="190"/>
      <c r="BN1109" s="190"/>
      <c r="BO1109" s="190"/>
      <c r="BP1109" s="190"/>
      <c r="BQ1109" s="190"/>
      <c r="BR1109" s="190"/>
      <c r="BS1109" s="190"/>
      <c r="BT1109" s="190"/>
      <c r="BU1109" s="190"/>
      <c r="BV1109" s="190"/>
      <c r="BW1109" s="190"/>
      <c r="BX1109" s="190"/>
      <c r="BY1109" s="190"/>
      <c r="BZ1109" s="190"/>
      <c r="CA1109" s="189"/>
      <c r="CB1109" s="192"/>
    </row>
    <row r="1110" spans="1:80" x14ac:dyDescent="0.2">
      <c r="A1110" s="189"/>
      <c r="B1110" s="648"/>
      <c r="C1110" s="648"/>
      <c r="D1110" s="697"/>
      <c r="E1110" s="159"/>
      <c r="F1110" s="159"/>
      <c r="G1110" s="190"/>
      <c r="H1110" s="190"/>
      <c r="I1110" s="190"/>
      <c r="J1110" s="190"/>
      <c r="K1110" s="190"/>
      <c r="L1110" s="629"/>
      <c r="M1110" s="647" t="s">
        <v>724</v>
      </c>
      <c r="N1110" s="588">
        <v>8.61</v>
      </c>
      <c r="O1110" s="593">
        <v>1.6113888888888998E-5</v>
      </c>
      <c r="P1110" s="190"/>
      <c r="Q1110" s="190"/>
      <c r="R1110" s="190"/>
      <c r="S1110" s="190"/>
      <c r="T1110" s="190"/>
      <c r="U1110" s="190"/>
      <c r="V1110" s="190"/>
      <c r="W1110" s="190"/>
      <c r="X1110" s="190"/>
      <c r="Y1110" s="190"/>
      <c r="Z1110" s="190"/>
      <c r="AA1110" s="190"/>
      <c r="AB1110" s="189"/>
      <c r="AC1110" s="189"/>
      <c r="AD1110" s="189"/>
      <c r="AE1110" s="189"/>
      <c r="AF1110" s="190"/>
      <c r="AG1110" s="190"/>
      <c r="AH1110" s="337"/>
      <c r="AI1110" s="190"/>
      <c r="AJ1110" s="190"/>
      <c r="AK1110" s="190"/>
      <c r="AL1110" s="189"/>
      <c r="AM1110" s="189"/>
      <c r="AN1110" s="189"/>
      <c r="AO1110" s="189"/>
      <c r="AP1110" s="189"/>
      <c r="AQ1110" s="189"/>
      <c r="AR1110" s="189"/>
      <c r="AS1110" s="189"/>
      <c r="AT1110" s="189"/>
      <c r="AU1110" s="190"/>
      <c r="AV1110" s="190"/>
      <c r="AW1110" s="190"/>
      <c r="AX1110" s="190"/>
      <c r="AY1110" s="190"/>
      <c r="AZ1110" s="189"/>
      <c r="BA1110" s="189"/>
      <c r="BB1110" s="189"/>
      <c r="BC1110" s="189"/>
      <c r="BD1110" s="189"/>
      <c r="BE1110" s="189"/>
      <c r="BF1110" s="189"/>
      <c r="BG1110" s="189"/>
      <c r="BH1110" s="189"/>
      <c r="BI1110" s="190"/>
      <c r="BJ1110" s="190"/>
      <c r="BK1110" s="190"/>
      <c r="BL1110" s="190"/>
      <c r="BM1110" s="190"/>
      <c r="BN1110" s="190"/>
      <c r="BO1110" s="190"/>
      <c r="BP1110" s="190"/>
      <c r="BQ1110" s="190"/>
      <c r="BR1110" s="190"/>
      <c r="BS1110" s="190"/>
      <c r="BT1110" s="190"/>
      <c r="BU1110" s="190"/>
      <c r="BV1110" s="190"/>
      <c r="BW1110" s="190"/>
      <c r="BX1110" s="190"/>
      <c r="BY1110" s="190"/>
      <c r="BZ1110" s="190"/>
      <c r="CA1110" s="189"/>
      <c r="CB1110" s="192"/>
    </row>
    <row r="1111" spans="1:80" x14ac:dyDescent="0.2">
      <c r="A1111" s="189"/>
      <c r="B1111" s="648"/>
      <c r="C1111" s="648"/>
      <c r="D1111" s="697"/>
      <c r="E1111" s="159"/>
      <c r="F1111" s="159"/>
      <c r="G1111" s="190"/>
      <c r="H1111" s="190"/>
      <c r="I1111" s="190"/>
      <c r="J1111" s="190"/>
      <c r="K1111" s="190"/>
      <c r="L1111" s="629"/>
      <c r="M1111" s="647" t="s">
        <v>725</v>
      </c>
      <c r="N1111" s="588">
        <v>5.13</v>
      </c>
      <c r="O1111" s="593">
        <v>6.8916666666665273E-6</v>
      </c>
      <c r="P1111" s="190"/>
      <c r="Q1111" s="190"/>
      <c r="R1111" s="190"/>
      <c r="S1111" s="190"/>
      <c r="T1111" s="190"/>
      <c r="U1111" s="190"/>
      <c r="V1111" s="190"/>
      <c r="W1111" s="190"/>
      <c r="X1111" s="190"/>
      <c r="Y1111" s="190"/>
      <c r="Z1111" s="190"/>
      <c r="AA1111" s="190"/>
      <c r="AB1111" s="189"/>
      <c r="AC1111" s="189"/>
      <c r="AD1111" s="189"/>
      <c r="AE1111" s="189"/>
      <c r="AF1111" s="190"/>
      <c r="AG1111" s="190"/>
      <c r="AH1111" s="337"/>
      <c r="AI1111" s="190"/>
      <c r="AJ1111" s="190"/>
      <c r="AK1111" s="190"/>
      <c r="AL1111" s="189"/>
      <c r="AM1111" s="189"/>
      <c r="AN1111" s="189"/>
      <c r="AO1111" s="189"/>
      <c r="AP1111" s="189"/>
      <c r="AQ1111" s="189"/>
      <c r="AR1111" s="189"/>
      <c r="AS1111" s="189"/>
      <c r="AT1111" s="189"/>
      <c r="AU1111" s="190"/>
      <c r="AV1111" s="190"/>
      <c r="AW1111" s="190"/>
      <c r="AX1111" s="190"/>
      <c r="AY1111" s="190"/>
      <c r="AZ1111" s="189"/>
      <c r="BA1111" s="189"/>
      <c r="BB1111" s="189"/>
      <c r="BC1111" s="189"/>
      <c r="BD1111" s="189"/>
      <c r="BE1111" s="189"/>
      <c r="BF1111" s="189"/>
      <c r="BG1111" s="189"/>
      <c r="BH1111" s="189"/>
      <c r="BI1111" s="190"/>
      <c r="BJ1111" s="190"/>
      <c r="BK1111" s="190"/>
      <c r="BL1111" s="190"/>
      <c r="BM1111" s="190"/>
      <c r="BN1111" s="190"/>
      <c r="BO1111" s="190"/>
      <c r="BP1111" s="190"/>
      <c r="BQ1111" s="190"/>
      <c r="BR1111" s="190"/>
      <c r="BS1111" s="190"/>
      <c r="BT1111" s="190"/>
      <c r="BU1111" s="190"/>
      <c r="BV1111" s="190"/>
      <c r="BW1111" s="190"/>
      <c r="BX1111" s="190"/>
      <c r="BY1111" s="190"/>
      <c r="BZ1111" s="190"/>
      <c r="CA1111" s="189"/>
      <c r="CB1111" s="192"/>
    </row>
    <row r="1112" spans="1:80" x14ac:dyDescent="0.2">
      <c r="A1112" s="189"/>
      <c r="B1112" s="648"/>
      <c r="C1112" s="648"/>
      <c r="D1112" s="697"/>
      <c r="E1112" s="159"/>
      <c r="F1112" s="159"/>
      <c r="G1112" s="190"/>
      <c r="H1112" s="190"/>
      <c r="I1112" s="190"/>
      <c r="J1112" s="190"/>
      <c r="K1112" s="190"/>
      <c r="L1112" s="629"/>
      <c r="M1112" s="647" t="s">
        <v>726</v>
      </c>
      <c r="N1112" s="587">
        <v>4.2</v>
      </c>
      <c r="O1112" s="593">
        <v>4.428333333333333E-5</v>
      </c>
      <c r="P1112" s="648"/>
      <c r="Q1112" s="648"/>
      <c r="R1112" s="648"/>
      <c r="S1112" s="648"/>
      <c r="T1112" s="648"/>
      <c r="U1112" s="648"/>
      <c r="V1112" s="190"/>
      <c r="W1112" s="190"/>
      <c r="X1112" s="190"/>
      <c r="Y1112" s="190"/>
      <c r="Z1112" s="190"/>
      <c r="AA1112" s="190"/>
      <c r="AB1112" s="189"/>
      <c r="AC1112" s="189"/>
      <c r="AD1112" s="189"/>
      <c r="AE1112" s="189"/>
      <c r="AF1112" s="190"/>
      <c r="AG1112" s="190"/>
      <c r="AH1112" s="337"/>
      <c r="AI1112" s="190"/>
      <c r="AJ1112" s="190"/>
      <c r="AK1112" s="190"/>
      <c r="AL1112" s="189"/>
      <c r="AM1112" s="189"/>
      <c r="AN1112" s="189"/>
      <c r="AO1112" s="189"/>
      <c r="AP1112" s="189"/>
      <c r="AQ1112" s="189"/>
      <c r="AR1112" s="189"/>
      <c r="AS1112" s="189"/>
      <c r="AT1112" s="189"/>
      <c r="AU1112" s="190"/>
      <c r="AV1112" s="190"/>
      <c r="AW1112" s="190"/>
      <c r="AX1112" s="190"/>
      <c r="AY1112" s="190"/>
      <c r="AZ1112" s="189"/>
      <c r="BA1112" s="189"/>
      <c r="BB1112" s="189"/>
      <c r="BC1112" s="189"/>
      <c r="BD1112" s="189"/>
      <c r="BE1112" s="189"/>
      <c r="BF1112" s="189"/>
      <c r="BG1112" s="189"/>
      <c r="BH1112" s="189"/>
      <c r="BI1112" s="190"/>
      <c r="BJ1112" s="190"/>
      <c r="BK1112" s="190"/>
      <c r="BL1112" s="190"/>
      <c r="BM1112" s="190"/>
      <c r="BN1112" s="190"/>
      <c r="BO1112" s="190"/>
      <c r="BP1112" s="190"/>
      <c r="BQ1112" s="190"/>
      <c r="BR1112" s="190"/>
      <c r="BS1112" s="190"/>
      <c r="BT1112" s="190"/>
      <c r="BU1112" s="190"/>
      <c r="BV1112" s="190"/>
      <c r="BW1112" s="190"/>
      <c r="BX1112" s="190"/>
      <c r="BY1112" s="190"/>
      <c r="BZ1112" s="190"/>
      <c r="CA1112" s="189"/>
      <c r="CB1112" s="192"/>
    </row>
    <row r="1113" spans="1:80" x14ac:dyDescent="0.2">
      <c r="A1113" s="189"/>
      <c r="B1113" s="648"/>
      <c r="C1113" s="648"/>
      <c r="D1113" s="697"/>
      <c r="E1113" s="159"/>
      <c r="F1113" s="159"/>
      <c r="G1113" s="190"/>
      <c r="H1113" s="190"/>
      <c r="I1113" s="190"/>
      <c r="J1113" s="190"/>
      <c r="K1113" s="190"/>
      <c r="L1113" s="629"/>
      <c r="M1113" s="647" t="s">
        <v>727</v>
      </c>
      <c r="N1113" s="587">
        <v>5.42</v>
      </c>
      <c r="O1113" s="592">
        <v>6.3183333333333342E-5</v>
      </c>
      <c r="P1113" s="648"/>
      <c r="Q1113" s="648"/>
      <c r="R1113" s="648"/>
      <c r="S1113" s="648"/>
      <c r="T1113" s="648"/>
      <c r="U1113" s="648"/>
      <c r="V1113" s="190"/>
      <c r="W1113" s="190"/>
      <c r="X1113" s="190"/>
      <c r="Y1113" s="190"/>
      <c r="Z1113" s="190"/>
      <c r="AA1113" s="190"/>
      <c r="AB1113" s="189"/>
      <c r="AC1113" s="189"/>
      <c r="AD1113" s="189"/>
      <c r="AE1113" s="189"/>
      <c r="AF1113" s="190"/>
      <c r="AG1113" s="190"/>
      <c r="AH1113" s="337"/>
      <c r="AI1113" s="190"/>
      <c r="AJ1113" s="190"/>
      <c r="AK1113" s="190"/>
      <c r="AL1113" s="189"/>
      <c r="AM1113" s="189"/>
      <c r="AN1113" s="189"/>
      <c r="AO1113" s="189"/>
      <c r="AP1113" s="189"/>
      <c r="AQ1113" s="189"/>
      <c r="AR1113" s="189"/>
      <c r="AS1113" s="189"/>
      <c r="AT1113" s="189"/>
      <c r="AU1113" s="190"/>
      <c r="AV1113" s="190"/>
      <c r="AW1113" s="190"/>
      <c r="AX1113" s="190"/>
      <c r="AY1113" s="190"/>
      <c r="AZ1113" s="189"/>
      <c r="BA1113" s="189"/>
      <c r="BB1113" s="189"/>
      <c r="BC1113" s="189"/>
      <c r="BD1113" s="189"/>
      <c r="BE1113" s="189"/>
      <c r="BF1113" s="189"/>
      <c r="BG1113" s="189"/>
      <c r="BH1113" s="189"/>
      <c r="BI1113" s="190"/>
      <c r="BJ1113" s="190"/>
      <c r="BK1113" s="190"/>
      <c r="BL1113" s="190"/>
      <c r="BM1113" s="190"/>
      <c r="BN1113" s="190"/>
      <c r="BO1113" s="190"/>
      <c r="BP1113" s="190"/>
      <c r="BQ1113" s="190"/>
      <c r="BR1113" s="190"/>
      <c r="BS1113" s="190"/>
      <c r="BT1113" s="190"/>
      <c r="BU1113" s="190"/>
      <c r="BV1113" s="190"/>
      <c r="BW1113" s="190"/>
      <c r="BX1113" s="190"/>
      <c r="BY1113" s="190"/>
      <c r="BZ1113" s="190"/>
      <c r="CA1113" s="189"/>
      <c r="CB1113" s="192"/>
    </row>
    <row r="1114" spans="1:80" x14ac:dyDescent="0.2">
      <c r="A1114" s="189"/>
      <c r="B1114" s="648"/>
      <c r="C1114" s="648"/>
      <c r="D1114" s="697"/>
      <c r="E1114" s="159"/>
      <c r="F1114" s="159"/>
      <c r="G1114" s="190"/>
      <c r="H1114" s="190"/>
      <c r="I1114" s="190"/>
      <c r="J1114" s="190"/>
      <c r="K1114" s="190"/>
      <c r="L1114" s="629"/>
      <c r="M1114" s="647" t="s">
        <v>728</v>
      </c>
      <c r="N1114" s="587">
        <v>6.36</v>
      </c>
      <c r="O1114" s="592">
        <v>1.3154444444444445E-4</v>
      </c>
      <c r="P1114" s="648"/>
      <c r="Q1114" s="648"/>
      <c r="R1114" s="648"/>
      <c r="S1114" s="648"/>
      <c r="T1114" s="648"/>
      <c r="U1114" s="648"/>
      <c r="V1114" s="190"/>
      <c r="W1114" s="190"/>
      <c r="X1114" s="190"/>
      <c r="Y1114" s="190"/>
      <c r="Z1114" s="190"/>
      <c r="AA1114" s="190"/>
      <c r="AB1114" s="189"/>
      <c r="AC1114" s="189"/>
      <c r="AD1114" s="189"/>
      <c r="AE1114" s="189"/>
      <c r="AF1114" s="190"/>
      <c r="AG1114" s="190"/>
      <c r="AH1114" s="337"/>
      <c r="AI1114" s="190"/>
      <c r="AJ1114" s="190"/>
      <c r="AK1114" s="190"/>
      <c r="AL1114" s="189"/>
      <c r="AM1114" s="189"/>
      <c r="AN1114" s="189"/>
      <c r="AO1114" s="189"/>
      <c r="AP1114" s="189"/>
      <c r="AQ1114" s="189"/>
      <c r="AR1114" s="189"/>
      <c r="AS1114" s="189"/>
      <c r="AT1114" s="189"/>
      <c r="AU1114" s="190"/>
      <c r="AV1114" s="190"/>
      <c r="AW1114" s="190"/>
      <c r="AX1114" s="190"/>
      <c r="AY1114" s="190"/>
      <c r="AZ1114" s="189"/>
      <c r="BA1114" s="189"/>
      <c r="BB1114" s="189"/>
      <c r="BC1114" s="189"/>
      <c r="BD1114" s="189"/>
      <c r="BE1114" s="189"/>
      <c r="BF1114" s="189"/>
      <c r="BG1114" s="189"/>
      <c r="BH1114" s="189"/>
      <c r="BI1114" s="190"/>
      <c r="BJ1114" s="190"/>
      <c r="BK1114" s="190"/>
      <c r="BL1114" s="190"/>
      <c r="BM1114" s="190"/>
      <c r="BN1114" s="190"/>
      <c r="BO1114" s="190"/>
      <c r="BP1114" s="190"/>
      <c r="BQ1114" s="190"/>
      <c r="BR1114" s="190"/>
      <c r="BS1114" s="190"/>
      <c r="BT1114" s="190"/>
      <c r="BU1114" s="190"/>
      <c r="BV1114" s="190"/>
      <c r="BW1114" s="190"/>
      <c r="BX1114" s="190"/>
      <c r="BY1114" s="190"/>
      <c r="BZ1114" s="190"/>
      <c r="CA1114" s="189"/>
      <c r="CB1114" s="192"/>
    </row>
    <row r="1115" spans="1:80" x14ac:dyDescent="0.2">
      <c r="A1115" s="189"/>
      <c r="B1115" s="648"/>
      <c r="C1115" s="648"/>
      <c r="D1115" s="697"/>
      <c r="E1115" s="159"/>
      <c r="F1115" s="159"/>
      <c r="G1115" s="190"/>
      <c r="H1115" s="190"/>
      <c r="I1115" s="190"/>
      <c r="J1115" s="190"/>
      <c r="K1115" s="190"/>
      <c r="L1115" s="629"/>
      <c r="M1115" s="647" t="s">
        <v>729</v>
      </c>
      <c r="N1115" s="587">
        <v>9.56</v>
      </c>
      <c r="O1115" s="592">
        <v>3.7930194444444447E-3</v>
      </c>
      <c r="P1115" s="648"/>
      <c r="Q1115" s="648"/>
      <c r="R1115" s="648"/>
      <c r="S1115" s="648"/>
      <c r="T1115" s="648"/>
      <c r="U1115" s="648"/>
      <c r="V1115" s="190"/>
      <c r="W1115" s="190"/>
      <c r="X1115" s="190"/>
      <c r="Y1115" s="190"/>
      <c r="Z1115" s="190"/>
      <c r="AA1115" s="190"/>
      <c r="AB1115" s="189"/>
      <c r="AC1115" s="189"/>
      <c r="AD1115" s="189"/>
      <c r="AE1115" s="189"/>
      <c r="AF1115" s="190"/>
      <c r="AG1115" s="190"/>
      <c r="AH1115" s="337"/>
      <c r="AI1115" s="190"/>
      <c r="AJ1115" s="190"/>
      <c r="AK1115" s="190"/>
      <c r="AL1115" s="189"/>
      <c r="AM1115" s="189"/>
      <c r="AN1115" s="189"/>
      <c r="AO1115" s="189"/>
      <c r="AP1115" s="189"/>
      <c r="AQ1115" s="189"/>
      <c r="AR1115" s="189"/>
      <c r="AS1115" s="189"/>
      <c r="AT1115" s="189"/>
      <c r="AU1115" s="190"/>
      <c r="AV1115" s="190"/>
      <c r="AW1115" s="190"/>
      <c r="AX1115" s="190"/>
      <c r="AY1115" s="190"/>
      <c r="AZ1115" s="189"/>
      <c r="BA1115" s="189"/>
      <c r="BB1115" s="189"/>
      <c r="BC1115" s="189"/>
      <c r="BD1115" s="189"/>
      <c r="BE1115" s="189"/>
      <c r="BF1115" s="189"/>
      <c r="BG1115" s="189"/>
      <c r="BH1115" s="189"/>
      <c r="BI1115" s="190"/>
      <c r="BJ1115" s="190"/>
      <c r="BK1115" s="190"/>
      <c r="BL1115" s="190"/>
      <c r="BM1115" s="190"/>
      <c r="BN1115" s="190"/>
      <c r="BO1115" s="190"/>
      <c r="BP1115" s="190"/>
      <c r="BQ1115" s="190"/>
      <c r="BR1115" s="190"/>
      <c r="BS1115" s="190"/>
      <c r="BT1115" s="190"/>
      <c r="BU1115" s="190"/>
      <c r="BV1115" s="190"/>
      <c r="BW1115" s="190"/>
      <c r="BX1115" s="190"/>
      <c r="BY1115" s="190"/>
      <c r="BZ1115" s="190"/>
      <c r="CA1115" s="189"/>
      <c r="CB1115" s="192"/>
    </row>
    <row r="1116" spans="1:80" x14ac:dyDescent="0.2">
      <c r="A1116" s="189"/>
      <c r="B1116" s="648"/>
      <c r="C1116" s="648"/>
      <c r="D1116" s="697"/>
      <c r="E1116" s="159"/>
      <c r="F1116" s="159"/>
      <c r="G1116" s="190"/>
      <c r="H1116" s="190"/>
      <c r="I1116" s="190"/>
      <c r="J1116" s="190"/>
      <c r="K1116" s="190"/>
      <c r="L1116" s="629"/>
      <c r="M1116" s="647" t="s">
        <v>730</v>
      </c>
      <c r="N1116" s="587">
        <v>10.59</v>
      </c>
      <c r="O1116" s="592">
        <v>1.8817555555555555E-3</v>
      </c>
      <c r="P1116" s="648"/>
      <c r="Q1116" s="648"/>
      <c r="R1116" s="648"/>
      <c r="S1116" s="648"/>
      <c r="T1116" s="648"/>
      <c r="U1116" s="648"/>
      <c r="V1116" s="190"/>
      <c r="W1116" s="190"/>
      <c r="X1116" s="190"/>
      <c r="Y1116" s="190"/>
      <c r="Z1116" s="190"/>
      <c r="AA1116" s="190"/>
      <c r="AB1116" s="189"/>
      <c r="AC1116" s="189"/>
      <c r="AD1116" s="189"/>
      <c r="AE1116" s="189"/>
      <c r="AF1116" s="190"/>
      <c r="AG1116" s="190"/>
      <c r="AH1116" s="337"/>
      <c r="AI1116" s="190"/>
      <c r="AJ1116" s="190"/>
      <c r="AK1116" s="190"/>
      <c r="AL1116" s="189"/>
      <c r="AM1116" s="189"/>
      <c r="AN1116" s="189"/>
      <c r="AO1116" s="189"/>
      <c r="AP1116" s="189"/>
      <c r="AQ1116" s="189"/>
      <c r="AR1116" s="189"/>
      <c r="AS1116" s="189"/>
      <c r="AT1116" s="189"/>
      <c r="AU1116" s="190"/>
      <c r="AV1116" s="190"/>
      <c r="AW1116" s="190"/>
      <c r="AX1116" s="190"/>
      <c r="AY1116" s="190"/>
      <c r="AZ1116" s="189"/>
      <c r="BA1116" s="189"/>
      <c r="BB1116" s="189"/>
      <c r="BC1116" s="189"/>
      <c r="BD1116" s="189"/>
      <c r="BE1116" s="189"/>
      <c r="BF1116" s="189"/>
      <c r="BG1116" s="189"/>
      <c r="BH1116" s="189"/>
      <c r="BI1116" s="190"/>
      <c r="BJ1116" s="190"/>
      <c r="BK1116" s="190"/>
      <c r="BL1116" s="190"/>
      <c r="BM1116" s="190"/>
      <c r="BN1116" s="190"/>
      <c r="BO1116" s="190"/>
      <c r="BP1116" s="190"/>
      <c r="BQ1116" s="190"/>
      <c r="BR1116" s="190"/>
      <c r="BS1116" s="190"/>
      <c r="BT1116" s="190"/>
      <c r="BU1116" s="190"/>
      <c r="BV1116" s="190"/>
      <c r="BW1116" s="190"/>
      <c r="BX1116" s="190"/>
      <c r="BY1116" s="190"/>
      <c r="BZ1116" s="190"/>
      <c r="CA1116" s="189"/>
      <c r="CB1116" s="192"/>
    </row>
    <row r="1117" spans="1:80" x14ac:dyDescent="0.2">
      <c r="A1117" s="189"/>
      <c r="B1117" s="648"/>
      <c r="C1117" s="648"/>
      <c r="D1117" s="697"/>
      <c r="E1117" s="159"/>
      <c r="F1117" s="159"/>
      <c r="G1117" s="190"/>
      <c r="H1117" s="190"/>
      <c r="I1117" s="190"/>
      <c r="J1117" s="190"/>
      <c r="K1117" s="190"/>
      <c r="L1117" s="629"/>
      <c r="M1117" s="647" t="s">
        <v>731</v>
      </c>
      <c r="N1117" s="587">
        <v>11.21</v>
      </c>
      <c r="O1117" s="592">
        <v>8.9030555555555553E-4</v>
      </c>
      <c r="P1117" s="648"/>
      <c r="Q1117" s="648"/>
      <c r="R1117" s="648"/>
      <c r="S1117" s="648"/>
      <c r="T1117" s="648"/>
      <c r="U1117" s="648"/>
      <c r="V1117" s="190"/>
      <c r="W1117" s="190"/>
      <c r="X1117" s="190"/>
      <c r="Y1117" s="190"/>
      <c r="Z1117" s="190"/>
      <c r="AA1117" s="190"/>
      <c r="AB1117" s="189"/>
      <c r="AC1117" s="189"/>
      <c r="AD1117" s="189"/>
      <c r="AE1117" s="189"/>
      <c r="AF1117" s="190"/>
      <c r="AG1117" s="190"/>
      <c r="AH1117" s="337"/>
      <c r="AI1117" s="190"/>
      <c r="AJ1117" s="190"/>
      <c r="AK1117" s="190"/>
      <c r="AL1117" s="189"/>
      <c r="AM1117" s="189"/>
      <c r="AN1117" s="189"/>
      <c r="AO1117" s="189"/>
      <c r="AP1117" s="189"/>
      <c r="AQ1117" s="189"/>
      <c r="AR1117" s="189"/>
      <c r="AS1117" s="189"/>
      <c r="AT1117" s="189"/>
      <c r="AU1117" s="190"/>
      <c r="AV1117" s="190"/>
      <c r="AW1117" s="190"/>
      <c r="AX1117" s="190"/>
      <c r="AY1117" s="190"/>
      <c r="AZ1117" s="189"/>
      <c r="BA1117" s="189"/>
      <c r="BB1117" s="189"/>
      <c r="BC1117" s="189"/>
      <c r="BD1117" s="189"/>
      <c r="BE1117" s="189"/>
      <c r="BF1117" s="189"/>
      <c r="BG1117" s="189"/>
      <c r="BH1117" s="189"/>
      <c r="BI1117" s="190"/>
      <c r="BJ1117" s="190"/>
      <c r="BK1117" s="190"/>
      <c r="BL1117" s="190"/>
      <c r="BM1117" s="190"/>
      <c r="BN1117" s="190"/>
      <c r="BO1117" s="190"/>
      <c r="BP1117" s="190"/>
      <c r="BQ1117" s="190"/>
      <c r="BR1117" s="190"/>
      <c r="BS1117" s="190"/>
      <c r="BT1117" s="190"/>
      <c r="BU1117" s="190"/>
      <c r="BV1117" s="190"/>
      <c r="BW1117" s="190"/>
      <c r="BX1117" s="190"/>
      <c r="BY1117" s="190"/>
      <c r="BZ1117" s="190"/>
      <c r="CA1117" s="189"/>
      <c r="CB1117" s="192"/>
    </row>
    <row r="1118" spans="1:80" x14ac:dyDescent="0.2">
      <c r="A1118" s="189"/>
      <c r="B1118" s="648"/>
      <c r="C1118" s="648"/>
      <c r="D1118" s="697"/>
      <c r="E1118" s="159"/>
      <c r="F1118" s="159"/>
      <c r="G1118" s="190"/>
      <c r="H1118" s="190"/>
      <c r="I1118" s="190"/>
      <c r="J1118" s="190"/>
      <c r="K1118" s="190"/>
      <c r="L1118" s="629"/>
      <c r="M1118" s="647" t="s">
        <v>732</v>
      </c>
      <c r="N1118" s="587">
        <v>9.75</v>
      </c>
      <c r="O1118" s="592">
        <v>8.7734222222222221E-4</v>
      </c>
      <c r="P1118" s="648"/>
      <c r="Q1118" s="648"/>
      <c r="R1118" s="648"/>
      <c r="S1118" s="648"/>
      <c r="T1118" s="648"/>
      <c r="U1118" s="648"/>
      <c r="V1118" s="190"/>
      <c r="W1118" s="190"/>
      <c r="X1118" s="190"/>
      <c r="Y1118" s="190"/>
      <c r="Z1118" s="190"/>
      <c r="AA1118" s="190"/>
      <c r="AB1118" s="189"/>
      <c r="AC1118" s="189"/>
      <c r="AD1118" s="189"/>
      <c r="AE1118" s="189"/>
      <c r="AF1118" s="190"/>
      <c r="AG1118" s="190"/>
      <c r="AH1118" s="337"/>
      <c r="AI1118" s="190"/>
      <c r="AJ1118" s="190"/>
      <c r="AK1118" s="190"/>
      <c r="AL1118" s="189"/>
      <c r="AM1118" s="189"/>
      <c r="AN1118" s="189"/>
      <c r="AO1118" s="189"/>
      <c r="AP1118" s="189"/>
      <c r="AQ1118" s="189"/>
      <c r="AR1118" s="189"/>
      <c r="AS1118" s="189"/>
      <c r="AT1118" s="189"/>
      <c r="AU1118" s="190"/>
      <c r="AV1118" s="190"/>
      <c r="AW1118" s="190"/>
      <c r="AX1118" s="190"/>
      <c r="AY1118" s="190"/>
      <c r="AZ1118" s="189"/>
      <c r="BA1118" s="189"/>
      <c r="BB1118" s="189"/>
      <c r="BC1118" s="189"/>
      <c r="BD1118" s="189"/>
      <c r="BE1118" s="189"/>
      <c r="BF1118" s="189"/>
      <c r="BG1118" s="189"/>
      <c r="BH1118" s="189"/>
      <c r="BI1118" s="190"/>
      <c r="BJ1118" s="190"/>
      <c r="BK1118" s="190"/>
      <c r="BL1118" s="190"/>
      <c r="BM1118" s="190"/>
      <c r="BN1118" s="190"/>
      <c r="BO1118" s="190"/>
      <c r="BP1118" s="190"/>
      <c r="BQ1118" s="190"/>
      <c r="BR1118" s="190"/>
      <c r="BS1118" s="190"/>
      <c r="BT1118" s="190"/>
      <c r="BU1118" s="190"/>
      <c r="BV1118" s="190"/>
      <c r="BW1118" s="190"/>
      <c r="BX1118" s="190"/>
      <c r="BY1118" s="190"/>
      <c r="BZ1118" s="190"/>
      <c r="CA1118" s="189"/>
      <c r="CB1118" s="192"/>
    </row>
    <row r="1119" spans="1:80" x14ac:dyDescent="0.2">
      <c r="A1119" s="189"/>
      <c r="B1119" s="648"/>
      <c r="C1119" s="648"/>
      <c r="D1119" s="697"/>
      <c r="E1119" s="159"/>
      <c r="F1119" s="159"/>
      <c r="G1119" s="190"/>
      <c r="H1119" s="190"/>
      <c r="I1119" s="190"/>
      <c r="J1119" s="190"/>
      <c r="K1119" s="190"/>
      <c r="L1119" s="629"/>
      <c r="M1119" s="647" t="s">
        <v>733</v>
      </c>
      <c r="N1119" s="587">
        <v>11.74</v>
      </c>
      <c r="O1119" s="592">
        <v>2.4162569444444444E-3</v>
      </c>
      <c r="P1119" s="648"/>
      <c r="Q1119" s="648"/>
      <c r="R1119" s="648"/>
      <c r="S1119" s="648"/>
      <c r="T1119" s="648"/>
      <c r="U1119" s="648"/>
      <c r="V1119" s="190"/>
      <c r="W1119" s="190"/>
      <c r="X1119" s="190"/>
      <c r="Y1119" s="190"/>
      <c r="Z1119" s="190"/>
      <c r="AA1119" s="190"/>
      <c r="AB1119" s="189"/>
      <c r="AC1119" s="189"/>
      <c r="AD1119" s="189"/>
      <c r="AE1119" s="189"/>
      <c r="AF1119" s="190"/>
      <c r="AG1119" s="190"/>
      <c r="AH1119" s="337"/>
      <c r="AI1119" s="190"/>
      <c r="AJ1119" s="190"/>
      <c r="AK1119" s="190"/>
      <c r="AL1119" s="189"/>
      <c r="AM1119" s="189"/>
      <c r="AN1119" s="189"/>
      <c r="AO1119" s="189"/>
      <c r="AP1119" s="189"/>
      <c r="AQ1119" s="189"/>
      <c r="AR1119" s="189"/>
      <c r="AS1119" s="189"/>
      <c r="AT1119" s="189"/>
      <c r="AU1119" s="190"/>
      <c r="AV1119" s="190"/>
      <c r="AW1119" s="190"/>
      <c r="AX1119" s="190"/>
      <c r="AY1119" s="190"/>
      <c r="AZ1119" s="189"/>
      <c r="BA1119" s="189"/>
      <c r="BB1119" s="189"/>
      <c r="BC1119" s="189"/>
      <c r="BD1119" s="189"/>
      <c r="BE1119" s="189"/>
      <c r="BF1119" s="189"/>
      <c r="BG1119" s="189"/>
      <c r="BH1119" s="189"/>
      <c r="BI1119" s="190"/>
      <c r="BJ1119" s="190"/>
      <c r="BK1119" s="190"/>
      <c r="BL1119" s="190"/>
      <c r="BM1119" s="190"/>
      <c r="BN1119" s="190"/>
      <c r="BO1119" s="190"/>
      <c r="BP1119" s="190"/>
      <c r="BQ1119" s="190"/>
      <c r="BR1119" s="190"/>
      <c r="BS1119" s="190"/>
      <c r="BT1119" s="190"/>
      <c r="BU1119" s="190"/>
      <c r="BV1119" s="190"/>
      <c r="BW1119" s="190"/>
      <c r="BX1119" s="190"/>
      <c r="BY1119" s="190"/>
      <c r="BZ1119" s="190"/>
      <c r="CA1119" s="189"/>
      <c r="CB1119" s="192"/>
    </row>
    <row r="1120" spans="1:80" x14ac:dyDescent="0.2">
      <c r="A1120" s="189"/>
      <c r="B1120" s="648"/>
      <c r="C1120" s="648"/>
      <c r="D1120" s="697"/>
      <c r="E1120" s="159"/>
      <c r="F1120" s="159"/>
      <c r="G1120" s="190"/>
      <c r="H1120" s="190"/>
      <c r="I1120" s="190"/>
      <c r="J1120" s="190"/>
      <c r="K1120" s="190"/>
      <c r="L1120" s="629"/>
      <c r="M1120" s="647" t="s">
        <v>734</v>
      </c>
      <c r="N1120" s="587">
        <v>7.77</v>
      </c>
      <c r="O1120" s="592">
        <v>2.8396222222222225E-4</v>
      </c>
      <c r="P1120" s="648"/>
      <c r="Q1120" s="648"/>
      <c r="R1120" s="648"/>
      <c r="S1120" s="648"/>
      <c r="T1120" s="648"/>
      <c r="U1120" s="648"/>
      <c r="V1120" s="190"/>
      <c r="W1120" s="190"/>
      <c r="X1120" s="190"/>
      <c r="Y1120" s="190"/>
      <c r="Z1120" s="190"/>
      <c r="AA1120" s="190"/>
      <c r="AB1120" s="189"/>
      <c r="AC1120" s="189"/>
      <c r="AD1120" s="189"/>
      <c r="AE1120" s="189"/>
      <c r="AF1120" s="190"/>
      <c r="AG1120" s="190"/>
      <c r="AH1120" s="337"/>
      <c r="AI1120" s="190"/>
      <c r="AJ1120" s="190"/>
      <c r="AK1120" s="190"/>
      <c r="AL1120" s="189"/>
      <c r="AM1120" s="189"/>
      <c r="AN1120" s="189"/>
      <c r="AO1120" s="189"/>
      <c r="AP1120" s="189"/>
      <c r="AQ1120" s="189"/>
      <c r="AR1120" s="189"/>
      <c r="AS1120" s="189"/>
      <c r="AT1120" s="189"/>
      <c r="AU1120" s="190"/>
      <c r="AV1120" s="190"/>
      <c r="AW1120" s="190"/>
      <c r="AX1120" s="190"/>
      <c r="AY1120" s="190"/>
      <c r="AZ1120" s="189"/>
      <c r="BA1120" s="189"/>
      <c r="BB1120" s="189"/>
      <c r="BC1120" s="189"/>
      <c r="BD1120" s="189"/>
      <c r="BE1120" s="189"/>
      <c r="BF1120" s="189"/>
      <c r="BG1120" s="189"/>
      <c r="BH1120" s="189"/>
      <c r="BI1120" s="190"/>
      <c r="BJ1120" s="190"/>
      <c r="BK1120" s="190"/>
      <c r="BL1120" s="190"/>
      <c r="BM1120" s="190"/>
      <c r="BN1120" s="190"/>
      <c r="BO1120" s="190"/>
      <c r="BP1120" s="190"/>
      <c r="BQ1120" s="190"/>
      <c r="BR1120" s="190"/>
      <c r="BS1120" s="190"/>
      <c r="BT1120" s="190"/>
      <c r="BU1120" s="190"/>
      <c r="BV1120" s="190"/>
      <c r="BW1120" s="190"/>
      <c r="BX1120" s="190"/>
      <c r="BY1120" s="190"/>
      <c r="BZ1120" s="190"/>
      <c r="CA1120" s="189"/>
      <c r="CB1120" s="192"/>
    </row>
    <row r="1121" spans="1:80" x14ac:dyDescent="0.2">
      <c r="A1121" s="189"/>
      <c r="B1121" s="648"/>
      <c r="C1121" s="648"/>
      <c r="D1121" s="697"/>
      <c r="E1121" s="159"/>
      <c r="F1121" s="159"/>
      <c r="G1121" s="190"/>
      <c r="H1121" s="190"/>
      <c r="I1121" s="190"/>
      <c r="J1121" s="190"/>
      <c r="K1121" s="190"/>
      <c r="L1121" s="629"/>
      <c r="M1121" s="647" t="s">
        <v>735</v>
      </c>
      <c r="N1121" s="587">
        <v>9.56</v>
      </c>
      <c r="O1121" s="592">
        <v>3.5064833333333333E-4</v>
      </c>
      <c r="P1121" s="648"/>
      <c r="Q1121" s="648"/>
      <c r="R1121" s="648"/>
      <c r="S1121" s="648"/>
      <c r="T1121" s="648"/>
      <c r="U1121" s="648"/>
      <c r="V1121" s="190"/>
      <c r="W1121" s="190"/>
      <c r="X1121" s="190"/>
      <c r="Y1121" s="190"/>
      <c r="Z1121" s="190"/>
      <c r="AA1121" s="190"/>
      <c r="AB1121" s="189"/>
      <c r="AC1121" s="189"/>
      <c r="AD1121" s="189"/>
      <c r="AE1121" s="189"/>
      <c r="AF1121" s="190"/>
      <c r="AG1121" s="190"/>
      <c r="AH1121" s="337"/>
      <c r="AI1121" s="190"/>
      <c r="AJ1121" s="190"/>
      <c r="AK1121" s="190"/>
      <c r="AL1121" s="189"/>
      <c r="AM1121" s="189"/>
      <c r="AN1121" s="189"/>
      <c r="AO1121" s="189"/>
      <c r="AP1121" s="189"/>
      <c r="AQ1121" s="189"/>
      <c r="AR1121" s="189"/>
      <c r="AS1121" s="189"/>
      <c r="AT1121" s="189"/>
      <c r="AU1121" s="190"/>
      <c r="AV1121" s="190"/>
      <c r="AW1121" s="190"/>
      <c r="AX1121" s="190"/>
      <c r="AY1121" s="190"/>
      <c r="AZ1121" s="189"/>
      <c r="BA1121" s="189"/>
      <c r="BB1121" s="189"/>
      <c r="BC1121" s="189"/>
      <c r="BD1121" s="189"/>
      <c r="BE1121" s="189"/>
      <c r="BF1121" s="189"/>
      <c r="BG1121" s="189"/>
      <c r="BH1121" s="189"/>
      <c r="BI1121" s="190"/>
      <c r="BJ1121" s="190"/>
      <c r="BK1121" s="190"/>
      <c r="BL1121" s="190"/>
      <c r="BM1121" s="190"/>
      <c r="BN1121" s="190"/>
      <c r="BO1121" s="190"/>
      <c r="BP1121" s="190"/>
      <c r="BQ1121" s="190"/>
      <c r="BR1121" s="190"/>
      <c r="BS1121" s="190"/>
      <c r="BT1121" s="190"/>
      <c r="BU1121" s="190"/>
      <c r="BV1121" s="190"/>
      <c r="BW1121" s="190"/>
      <c r="BX1121" s="190"/>
      <c r="BY1121" s="190"/>
      <c r="BZ1121" s="190"/>
      <c r="CA1121" s="189"/>
      <c r="CB1121" s="192"/>
    </row>
    <row r="1122" spans="1:80" x14ac:dyDescent="0.2">
      <c r="A1122" s="189"/>
      <c r="B1122" s="648"/>
      <c r="C1122" s="648"/>
      <c r="D1122" s="697"/>
      <c r="E1122" s="159"/>
      <c r="F1122" s="159"/>
      <c r="G1122" s="190"/>
      <c r="H1122" s="190"/>
      <c r="I1122" s="190"/>
      <c r="J1122" s="190"/>
      <c r="K1122" s="190"/>
      <c r="L1122" s="629"/>
      <c r="M1122" s="647" t="s">
        <v>736</v>
      </c>
      <c r="N1122" s="587">
        <v>9.65</v>
      </c>
      <c r="O1122" s="592">
        <v>6.0413583333333333E-4</v>
      </c>
      <c r="P1122" s="648"/>
      <c r="Q1122" s="648"/>
      <c r="R1122" s="648"/>
      <c r="S1122" s="648"/>
      <c r="T1122" s="648"/>
      <c r="U1122" s="648"/>
      <c r="V1122" s="190"/>
      <c r="W1122" s="190"/>
      <c r="X1122" s="190"/>
      <c r="Y1122" s="190"/>
      <c r="Z1122" s="190"/>
      <c r="AA1122" s="190"/>
      <c r="AB1122" s="189"/>
      <c r="AC1122" s="189"/>
      <c r="AD1122" s="189"/>
      <c r="AE1122" s="189"/>
      <c r="AF1122" s="190"/>
      <c r="AG1122" s="190"/>
      <c r="AH1122" s="337"/>
      <c r="AI1122" s="190"/>
      <c r="AJ1122" s="190"/>
      <c r="AK1122" s="190"/>
      <c r="AL1122" s="189"/>
      <c r="AM1122" s="189"/>
      <c r="AN1122" s="189"/>
      <c r="AO1122" s="189"/>
      <c r="AP1122" s="189"/>
      <c r="AQ1122" s="189"/>
      <c r="AR1122" s="189"/>
      <c r="AS1122" s="189"/>
      <c r="AT1122" s="189"/>
      <c r="AU1122" s="190"/>
      <c r="AV1122" s="190"/>
      <c r="AW1122" s="190"/>
      <c r="AX1122" s="190"/>
      <c r="AY1122" s="190"/>
      <c r="AZ1122" s="189"/>
      <c r="BA1122" s="189"/>
      <c r="BB1122" s="189"/>
      <c r="BC1122" s="189"/>
      <c r="BD1122" s="189"/>
      <c r="BE1122" s="189"/>
      <c r="BF1122" s="189"/>
      <c r="BG1122" s="189"/>
      <c r="BH1122" s="189"/>
      <c r="BI1122" s="190"/>
      <c r="BJ1122" s="190"/>
      <c r="BK1122" s="190"/>
      <c r="BL1122" s="190"/>
      <c r="BM1122" s="190"/>
      <c r="BN1122" s="190"/>
      <c r="BO1122" s="190"/>
      <c r="BP1122" s="190"/>
      <c r="BQ1122" s="190"/>
      <c r="BR1122" s="190"/>
      <c r="BS1122" s="190"/>
      <c r="BT1122" s="190"/>
      <c r="BU1122" s="190"/>
      <c r="BV1122" s="190"/>
      <c r="BW1122" s="190"/>
      <c r="BX1122" s="190"/>
      <c r="BY1122" s="190"/>
      <c r="BZ1122" s="190"/>
      <c r="CA1122" s="189"/>
      <c r="CB1122" s="192"/>
    </row>
    <row r="1123" spans="1:80" x14ac:dyDescent="0.2">
      <c r="A1123" s="189"/>
      <c r="B1123" s="648"/>
      <c r="C1123" s="648"/>
      <c r="D1123" s="697"/>
      <c r="E1123" s="159"/>
      <c r="F1123" s="159"/>
      <c r="G1123" s="190"/>
      <c r="H1123" s="190"/>
      <c r="I1123" s="190"/>
      <c r="J1123" s="190"/>
      <c r="K1123" s="190"/>
      <c r="L1123" s="629"/>
      <c r="M1123" s="647" t="s">
        <v>737</v>
      </c>
      <c r="N1123" s="587">
        <v>12.89</v>
      </c>
      <c r="O1123" s="592">
        <v>1.0135555555555556E-4</v>
      </c>
      <c r="P1123" s="648"/>
      <c r="Q1123" s="648"/>
      <c r="R1123" s="648"/>
      <c r="S1123" s="648"/>
      <c r="T1123" s="648"/>
      <c r="U1123" s="648"/>
      <c r="V1123" s="190"/>
      <c r="W1123" s="190"/>
      <c r="X1123" s="190"/>
      <c r="Y1123" s="190"/>
      <c r="Z1123" s="190"/>
      <c r="AA1123" s="190"/>
      <c r="AB1123" s="189"/>
      <c r="AC1123" s="189"/>
      <c r="AD1123" s="189"/>
      <c r="AE1123" s="189"/>
      <c r="AF1123" s="190"/>
      <c r="AG1123" s="190"/>
      <c r="AH1123" s="337"/>
      <c r="AI1123" s="190"/>
      <c r="AJ1123" s="190"/>
      <c r="AK1123" s="190"/>
      <c r="AL1123" s="189"/>
      <c r="AM1123" s="189"/>
      <c r="AN1123" s="189"/>
      <c r="AO1123" s="189"/>
      <c r="AP1123" s="189"/>
      <c r="AQ1123" s="189"/>
      <c r="AR1123" s="189"/>
      <c r="AS1123" s="189"/>
      <c r="AT1123" s="189"/>
      <c r="AU1123" s="190"/>
      <c r="AV1123" s="190"/>
      <c r="AW1123" s="190"/>
      <c r="AX1123" s="190"/>
      <c r="AY1123" s="190"/>
      <c r="AZ1123" s="189"/>
      <c r="BA1123" s="189"/>
      <c r="BB1123" s="189"/>
      <c r="BC1123" s="189"/>
      <c r="BD1123" s="189"/>
      <c r="BE1123" s="189"/>
      <c r="BF1123" s="189"/>
      <c r="BG1123" s="189"/>
      <c r="BH1123" s="189"/>
      <c r="BI1123" s="190"/>
      <c r="BJ1123" s="190"/>
      <c r="BK1123" s="190"/>
      <c r="BL1123" s="190"/>
      <c r="BM1123" s="190"/>
      <c r="BN1123" s="190"/>
      <c r="BO1123" s="190"/>
      <c r="BP1123" s="190"/>
      <c r="BQ1123" s="190"/>
      <c r="BR1123" s="190"/>
      <c r="BS1123" s="190"/>
      <c r="BT1123" s="190"/>
      <c r="BU1123" s="190"/>
      <c r="BV1123" s="190"/>
      <c r="BW1123" s="190"/>
      <c r="BX1123" s="190"/>
      <c r="BY1123" s="190"/>
      <c r="BZ1123" s="190"/>
      <c r="CA1123" s="189"/>
      <c r="CB1123" s="192"/>
    </row>
    <row r="1124" spans="1:80" x14ac:dyDescent="0.2">
      <c r="A1124" s="189"/>
      <c r="B1124" s="648"/>
      <c r="C1124" s="648"/>
      <c r="D1124" s="697"/>
      <c r="E1124" s="159"/>
      <c r="F1124" s="159"/>
      <c r="G1124" s="190"/>
      <c r="H1124" s="190"/>
      <c r="I1124" s="190"/>
      <c r="J1124" s="190"/>
      <c r="K1124" s="190"/>
      <c r="L1124" s="629"/>
      <c r="M1124" s="647" t="s">
        <v>738</v>
      </c>
      <c r="N1124" s="587">
        <v>9.65</v>
      </c>
      <c r="O1124" s="592">
        <v>2.1545277777777778E-3</v>
      </c>
      <c r="P1124" s="648"/>
      <c r="Q1124" s="648"/>
      <c r="R1124" s="648"/>
      <c r="S1124" s="648"/>
      <c r="T1124" s="648"/>
      <c r="U1124" s="648"/>
      <c r="V1124" s="190"/>
      <c r="W1124" s="190"/>
      <c r="X1124" s="190"/>
      <c r="Y1124" s="190"/>
      <c r="Z1124" s="190"/>
      <c r="AA1124" s="190"/>
      <c r="AB1124" s="189"/>
      <c r="AC1124" s="189"/>
      <c r="AD1124" s="189"/>
      <c r="AE1124" s="189"/>
      <c r="AF1124" s="190"/>
      <c r="AG1124" s="190"/>
      <c r="AH1124" s="337"/>
      <c r="AI1124" s="190"/>
      <c r="AJ1124" s="190"/>
      <c r="AK1124" s="190"/>
      <c r="AL1124" s="189"/>
      <c r="AM1124" s="189"/>
      <c r="AN1124" s="189"/>
      <c r="AO1124" s="189"/>
      <c r="AP1124" s="189"/>
      <c r="AQ1124" s="189"/>
      <c r="AR1124" s="189"/>
      <c r="AS1124" s="189"/>
      <c r="AT1124" s="189"/>
      <c r="AU1124" s="190"/>
      <c r="AV1124" s="190"/>
      <c r="AW1124" s="190"/>
      <c r="AX1124" s="190"/>
      <c r="AY1124" s="190"/>
      <c r="AZ1124" s="189"/>
      <c r="BA1124" s="189"/>
      <c r="BB1124" s="189"/>
      <c r="BC1124" s="189"/>
      <c r="BD1124" s="189"/>
      <c r="BE1124" s="189"/>
      <c r="BF1124" s="189"/>
      <c r="BG1124" s="189"/>
      <c r="BH1124" s="189"/>
      <c r="BI1124" s="190"/>
      <c r="BJ1124" s="190"/>
      <c r="BK1124" s="190"/>
      <c r="BL1124" s="190"/>
      <c r="BM1124" s="190"/>
      <c r="BN1124" s="190"/>
      <c r="BO1124" s="190"/>
      <c r="BP1124" s="190"/>
      <c r="BQ1124" s="190"/>
      <c r="BR1124" s="190"/>
      <c r="BS1124" s="190"/>
      <c r="BT1124" s="190"/>
      <c r="BU1124" s="190"/>
      <c r="BV1124" s="190"/>
      <c r="BW1124" s="190"/>
      <c r="BX1124" s="190"/>
      <c r="BY1124" s="190"/>
      <c r="BZ1124" s="190"/>
      <c r="CA1124" s="189"/>
      <c r="CB1124" s="192"/>
    </row>
    <row r="1125" spans="1:80" x14ac:dyDescent="0.2">
      <c r="A1125" s="189"/>
      <c r="B1125" s="648"/>
      <c r="C1125" s="648"/>
      <c r="D1125" s="697"/>
      <c r="E1125" s="159"/>
      <c r="F1125" s="159"/>
      <c r="G1125" s="190"/>
      <c r="H1125" s="190"/>
      <c r="I1125" s="190"/>
      <c r="J1125" s="190"/>
      <c r="K1125" s="190"/>
      <c r="L1125" s="629"/>
      <c r="M1125" s="647" t="s">
        <v>739</v>
      </c>
      <c r="N1125" s="587">
        <v>9.56</v>
      </c>
      <c r="O1125" s="592">
        <v>2.1690427777777779E-3</v>
      </c>
      <c r="P1125" s="648"/>
      <c r="Q1125" s="648"/>
      <c r="R1125" s="648"/>
      <c r="S1125" s="648"/>
      <c r="T1125" s="648"/>
      <c r="U1125" s="648"/>
      <c r="V1125" s="190"/>
      <c r="W1125" s="190"/>
      <c r="X1125" s="190"/>
      <c r="Y1125" s="190"/>
      <c r="Z1125" s="190"/>
      <c r="AA1125" s="190"/>
      <c r="AB1125" s="189"/>
      <c r="AC1125" s="189"/>
      <c r="AD1125" s="189"/>
      <c r="AE1125" s="189"/>
      <c r="AF1125" s="190"/>
      <c r="AG1125" s="190"/>
      <c r="AH1125" s="337"/>
      <c r="AI1125" s="190"/>
      <c r="AJ1125" s="190"/>
      <c r="AK1125" s="190"/>
      <c r="AL1125" s="189"/>
      <c r="AM1125" s="189"/>
      <c r="AN1125" s="189"/>
      <c r="AO1125" s="189"/>
      <c r="AP1125" s="189"/>
      <c r="AQ1125" s="189"/>
      <c r="AR1125" s="189"/>
      <c r="AS1125" s="189"/>
      <c r="AT1125" s="189"/>
      <c r="AU1125" s="190"/>
      <c r="AV1125" s="190"/>
      <c r="AW1125" s="190"/>
      <c r="AX1125" s="190"/>
      <c r="AY1125" s="190"/>
      <c r="AZ1125" s="189"/>
      <c r="BA1125" s="189"/>
      <c r="BB1125" s="189"/>
      <c r="BC1125" s="189"/>
      <c r="BD1125" s="189"/>
      <c r="BE1125" s="189"/>
      <c r="BF1125" s="189"/>
      <c r="BG1125" s="189"/>
      <c r="BH1125" s="189"/>
      <c r="BI1125" s="190"/>
      <c r="BJ1125" s="190"/>
      <c r="BK1125" s="190"/>
      <c r="BL1125" s="190"/>
      <c r="BM1125" s="190"/>
      <c r="BN1125" s="190"/>
      <c r="BO1125" s="190"/>
      <c r="BP1125" s="190"/>
      <c r="BQ1125" s="190"/>
      <c r="BR1125" s="190"/>
      <c r="BS1125" s="190"/>
      <c r="BT1125" s="190"/>
      <c r="BU1125" s="190"/>
      <c r="BV1125" s="190"/>
      <c r="BW1125" s="190"/>
      <c r="BX1125" s="190"/>
      <c r="BY1125" s="190"/>
      <c r="BZ1125" s="190"/>
      <c r="CA1125" s="189"/>
      <c r="CB1125" s="192"/>
    </row>
    <row r="1126" spans="1:80" x14ac:dyDescent="0.2">
      <c r="A1126" s="189"/>
      <c r="B1126" s="648"/>
      <c r="C1126" s="648"/>
      <c r="D1126" s="697"/>
      <c r="E1126" s="159"/>
      <c r="F1126" s="159"/>
      <c r="G1126" s="190"/>
      <c r="H1126" s="190"/>
      <c r="I1126" s="190"/>
      <c r="J1126" s="190"/>
      <c r="K1126" s="190"/>
      <c r="L1126" s="629"/>
      <c r="M1126" s="647" t="s">
        <v>740</v>
      </c>
      <c r="N1126" s="587">
        <v>13.02</v>
      </c>
      <c r="O1126" s="592">
        <v>9.8825555555555556E-5</v>
      </c>
      <c r="P1126" s="648"/>
      <c r="Q1126" s="648"/>
      <c r="R1126" s="648"/>
      <c r="S1126" s="648"/>
      <c r="T1126" s="648"/>
      <c r="U1126" s="648"/>
      <c r="V1126" s="190"/>
      <c r="W1126" s="190"/>
      <c r="X1126" s="190"/>
      <c r="Y1126" s="190"/>
      <c r="Z1126" s="190"/>
      <c r="AA1126" s="190"/>
      <c r="AB1126" s="189"/>
      <c r="AC1126" s="189"/>
      <c r="AD1126" s="189"/>
      <c r="AE1126" s="189"/>
      <c r="AF1126" s="190"/>
      <c r="AG1126" s="190"/>
      <c r="AH1126" s="337"/>
      <c r="AI1126" s="190"/>
      <c r="AJ1126" s="190"/>
      <c r="AK1126" s="190"/>
      <c r="AL1126" s="189"/>
      <c r="AM1126" s="189"/>
      <c r="AN1126" s="189"/>
      <c r="AO1126" s="189"/>
      <c r="AP1126" s="189"/>
      <c r="AQ1126" s="189"/>
      <c r="AR1126" s="189"/>
      <c r="AS1126" s="189"/>
      <c r="AT1126" s="189"/>
      <c r="AU1126" s="190"/>
      <c r="AV1126" s="190"/>
      <c r="AW1126" s="190"/>
      <c r="AX1126" s="190"/>
      <c r="AY1126" s="190"/>
      <c r="AZ1126" s="189"/>
      <c r="BA1126" s="189"/>
      <c r="BB1126" s="189"/>
      <c r="BC1126" s="189"/>
      <c r="BD1126" s="189"/>
      <c r="BE1126" s="189"/>
      <c r="BF1126" s="189"/>
      <c r="BG1126" s="189"/>
      <c r="BH1126" s="189"/>
      <c r="BI1126" s="190"/>
      <c r="BJ1126" s="190"/>
      <c r="BK1126" s="190"/>
      <c r="BL1126" s="190"/>
      <c r="BM1126" s="190"/>
      <c r="BN1126" s="190"/>
      <c r="BO1126" s="190"/>
      <c r="BP1126" s="190"/>
      <c r="BQ1126" s="190"/>
      <c r="BR1126" s="190"/>
      <c r="BS1126" s="190"/>
      <c r="BT1126" s="190"/>
      <c r="BU1126" s="190"/>
      <c r="BV1126" s="190"/>
      <c r="BW1126" s="190"/>
      <c r="BX1126" s="190"/>
      <c r="BY1126" s="190"/>
      <c r="BZ1126" s="190"/>
      <c r="CA1126" s="189"/>
      <c r="CB1126" s="192"/>
    </row>
    <row r="1127" spans="1:80" x14ac:dyDescent="0.2">
      <c r="A1127" s="189"/>
      <c r="B1127" s="648"/>
      <c r="C1127" s="648"/>
      <c r="D1127" s="697"/>
      <c r="E1127" s="159"/>
      <c r="F1127" s="159"/>
      <c r="G1127" s="190"/>
      <c r="H1127" s="190"/>
      <c r="I1127" s="190"/>
      <c r="J1127" s="190"/>
      <c r="K1127" s="190"/>
      <c r="L1127" s="629"/>
      <c r="M1127" s="647" t="s">
        <v>741</v>
      </c>
      <c r="N1127" s="587">
        <v>13.22</v>
      </c>
      <c r="O1127" s="592">
        <v>1.0525505555555555E-3</v>
      </c>
      <c r="P1127" s="648"/>
      <c r="Q1127" s="648"/>
      <c r="R1127" s="648"/>
      <c r="S1127" s="648"/>
      <c r="T1127" s="648"/>
      <c r="U1127" s="648"/>
      <c r="V1127" s="190"/>
      <c r="W1127" s="190"/>
      <c r="X1127" s="190"/>
      <c r="Y1127" s="190"/>
      <c r="Z1127" s="190"/>
      <c r="AA1127" s="190"/>
      <c r="AB1127" s="189"/>
      <c r="AC1127" s="189"/>
      <c r="AD1127" s="189"/>
      <c r="AE1127" s="189"/>
      <c r="AF1127" s="190"/>
      <c r="AG1127" s="190"/>
      <c r="AH1127" s="337"/>
      <c r="AI1127" s="190"/>
      <c r="AJ1127" s="190"/>
      <c r="AK1127" s="190"/>
      <c r="AL1127" s="189"/>
      <c r="AM1127" s="189"/>
      <c r="AN1127" s="189"/>
      <c r="AO1127" s="189"/>
      <c r="AP1127" s="189"/>
      <c r="AQ1127" s="189"/>
      <c r="AR1127" s="189"/>
      <c r="AS1127" s="189"/>
      <c r="AT1127" s="189"/>
      <c r="AU1127" s="190"/>
      <c r="AV1127" s="190"/>
      <c r="AW1127" s="190"/>
      <c r="AX1127" s="190"/>
      <c r="AY1127" s="190"/>
      <c r="AZ1127" s="189"/>
      <c r="BA1127" s="189"/>
      <c r="BB1127" s="189"/>
      <c r="BC1127" s="189"/>
      <c r="BD1127" s="189"/>
      <c r="BE1127" s="189"/>
      <c r="BF1127" s="189"/>
      <c r="BG1127" s="189"/>
      <c r="BH1127" s="189"/>
      <c r="BI1127" s="190"/>
      <c r="BJ1127" s="190"/>
      <c r="BK1127" s="190"/>
      <c r="BL1127" s="190"/>
      <c r="BM1127" s="190"/>
      <c r="BN1127" s="190"/>
      <c r="BO1127" s="190"/>
      <c r="BP1127" s="190"/>
      <c r="BQ1127" s="190"/>
      <c r="BR1127" s="190"/>
      <c r="BS1127" s="190"/>
      <c r="BT1127" s="190"/>
      <c r="BU1127" s="190"/>
      <c r="BV1127" s="190"/>
      <c r="BW1127" s="190"/>
      <c r="BX1127" s="190"/>
      <c r="BY1127" s="190"/>
      <c r="BZ1127" s="190"/>
      <c r="CA1127" s="189"/>
      <c r="CB1127" s="192"/>
    </row>
    <row r="1128" spans="1:80" x14ac:dyDescent="0.2">
      <c r="A1128" s="189"/>
      <c r="B1128" s="648"/>
      <c r="C1128" s="648"/>
      <c r="D1128" s="697"/>
      <c r="E1128" s="159"/>
      <c r="F1128" s="159"/>
      <c r="G1128" s="190"/>
      <c r="H1128" s="190"/>
      <c r="I1128" s="190"/>
      <c r="J1128" s="190"/>
      <c r="K1128" s="190"/>
      <c r="L1128" s="629"/>
      <c r="M1128" s="647" t="s">
        <v>742</v>
      </c>
      <c r="N1128" s="587">
        <v>14.14</v>
      </c>
      <c r="O1128" s="592">
        <v>6.4214666666666666E-4</v>
      </c>
      <c r="P1128" s="648"/>
      <c r="Q1128" s="648"/>
      <c r="R1128" s="648"/>
      <c r="S1128" s="648"/>
      <c r="T1128" s="648"/>
      <c r="U1128" s="648"/>
      <c r="V1128" s="190"/>
      <c r="W1128" s="190"/>
      <c r="X1128" s="190"/>
      <c r="Y1128" s="190"/>
      <c r="Z1128" s="190"/>
      <c r="AA1128" s="190"/>
      <c r="AB1128" s="189"/>
      <c r="AC1128" s="189"/>
      <c r="AD1128" s="189"/>
      <c r="AE1128" s="189"/>
      <c r="AF1128" s="190"/>
      <c r="AG1128" s="190"/>
      <c r="AH1128" s="337"/>
      <c r="AI1128" s="190"/>
      <c r="AJ1128" s="190"/>
      <c r="AK1128" s="190"/>
      <c r="AL1128" s="189"/>
      <c r="AM1128" s="189"/>
      <c r="AN1128" s="189"/>
      <c r="AO1128" s="189"/>
      <c r="AP1128" s="189"/>
      <c r="AQ1128" s="189"/>
      <c r="AR1128" s="189"/>
      <c r="AS1128" s="189"/>
      <c r="AT1128" s="189"/>
      <c r="AU1128" s="190"/>
      <c r="AV1128" s="190"/>
      <c r="AW1128" s="190"/>
      <c r="AX1128" s="190"/>
      <c r="AY1128" s="190"/>
      <c r="AZ1128" s="189"/>
      <c r="BA1128" s="189"/>
      <c r="BB1128" s="189"/>
      <c r="BC1128" s="189"/>
      <c r="BD1128" s="189"/>
      <c r="BE1128" s="189"/>
      <c r="BF1128" s="189"/>
      <c r="BG1128" s="189"/>
      <c r="BH1128" s="189"/>
      <c r="BI1128" s="190"/>
      <c r="BJ1128" s="190"/>
      <c r="BK1128" s="190"/>
      <c r="BL1128" s="190"/>
      <c r="BM1128" s="190"/>
      <c r="BN1128" s="190"/>
      <c r="BO1128" s="190"/>
      <c r="BP1128" s="190"/>
      <c r="BQ1128" s="190"/>
      <c r="BR1128" s="190"/>
      <c r="BS1128" s="190"/>
      <c r="BT1128" s="190"/>
      <c r="BU1128" s="190"/>
      <c r="BV1128" s="190"/>
      <c r="BW1128" s="190"/>
      <c r="BX1128" s="190"/>
      <c r="BY1128" s="190"/>
      <c r="BZ1128" s="190"/>
      <c r="CA1128" s="189"/>
      <c r="CB1128" s="192"/>
    </row>
    <row r="1129" spans="1:80" x14ac:dyDescent="0.2">
      <c r="A1129" s="189"/>
      <c r="B1129" s="648"/>
      <c r="C1129" s="648"/>
      <c r="D1129" s="697"/>
      <c r="E1129" s="159"/>
      <c r="F1129" s="159"/>
      <c r="G1129" s="190"/>
      <c r="H1129" s="190"/>
      <c r="I1129" s="190"/>
      <c r="J1129" s="190"/>
      <c r="K1129" s="190"/>
      <c r="L1129" s="629"/>
      <c r="M1129" s="647" t="s">
        <v>743</v>
      </c>
      <c r="N1129" s="587">
        <v>15.04</v>
      </c>
      <c r="O1129" s="592">
        <v>2.4043127777777775E-3</v>
      </c>
      <c r="P1129" s="648"/>
      <c r="Q1129" s="648"/>
      <c r="R1129" s="648"/>
      <c r="S1129" s="648"/>
      <c r="T1129" s="648"/>
      <c r="U1129" s="648"/>
      <c r="V1129" s="190"/>
      <c r="W1129" s="190"/>
      <c r="X1129" s="190"/>
      <c r="Y1129" s="190"/>
      <c r="Z1129" s="190"/>
      <c r="AA1129" s="190"/>
      <c r="AB1129" s="189"/>
      <c r="AC1129" s="189"/>
      <c r="AD1129" s="189"/>
      <c r="AE1129" s="189"/>
      <c r="AF1129" s="190"/>
      <c r="AG1129" s="190"/>
      <c r="AH1129" s="337"/>
      <c r="AI1129" s="190"/>
      <c r="AJ1129" s="190"/>
      <c r="AK1129" s="190"/>
      <c r="AL1129" s="189"/>
      <c r="AM1129" s="189"/>
      <c r="AN1129" s="189"/>
      <c r="AO1129" s="189"/>
      <c r="AP1129" s="189"/>
      <c r="AQ1129" s="189"/>
      <c r="AR1129" s="189"/>
      <c r="AS1129" s="189"/>
      <c r="AT1129" s="189"/>
      <c r="AU1129" s="190"/>
      <c r="AV1129" s="190"/>
      <c r="AW1129" s="190"/>
      <c r="AX1129" s="190"/>
      <c r="AY1129" s="190"/>
      <c r="AZ1129" s="189"/>
      <c r="BA1129" s="189"/>
      <c r="BB1129" s="189"/>
      <c r="BC1129" s="189"/>
      <c r="BD1129" s="189"/>
      <c r="BE1129" s="189"/>
      <c r="BF1129" s="189"/>
      <c r="BG1129" s="189"/>
      <c r="BH1129" s="189"/>
      <c r="BI1129" s="190"/>
      <c r="BJ1129" s="190"/>
      <c r="BK1129" s="190"/>
      <c r="BL1129" s="190"/>
      <c r="BM1129" s="190"/>
      <c r="BN1129" s="190"/>
      <c r="BO1129" s="190"/>
      <c r="BP1129" s="190"/>
      <c r="BQ1129" s="190"/>
      <c r="BR1129" s="190"/>
      <c r="BS1129" s="190"/>
      <c r="BT1129" s="190"/>
      <c r="BU1129" s="190"/>
      <c r="BV1129" s="190"/>
      <c r="BW1129" s="190"/>
      <c r="BX1129" s="190"/>
      <c r="BY1129" s="190"/>
      <c r="BZ1129" s="190"/>
      <c r="CA1129" s="189"/>
      <c r="CB1129" s="192"/>
    </row>
    <row r="1130" spans="1:80" x14ac:dyDescent="0.2">
      <c r="A1130" s="189"/>
      <c r="B1130" s="648"/>
      <c r="C1130" s="648"/>
      <c r="D1130" s="697"/>
      <c r="E1130" s="159"/>
      <c r="F1130" s="159"/>
      <c r="G1130" s="190"/>
      <c r="H1130" s="190"/>
      <c r="I1130" s="190"/>
      <c r="J1130" s="190"/>
      <c r="K1130" s="190"/>
      <c r="L1130" s="629"/>
      <c r="M1130" s="647" t="s">
        <v>744</v>
      </c>
      <c r="N1130" s="587">
        <v>10.98</v>
      </c>
      <c r="O1130" s="592">
        <v>1.8394408333333335E-3</v>
      </c>
      <c r="P1130" s="648"/>
      <c r="Q1130" s="648"/>
      <c r="R1130" s="648"/>
      <c r="S1130" s="648"/>
      <c r="T1130" s="648"/>
      <c r="U1130" s="648"/>
      <c r="V1130" s="190"/>
      <c r="W1130" s="190"/>
      <c r="X1130" s="190"/>
      <c r="Y1130" s="190"/>
      <c r="Z1130" s="190"/>
      <c r="AA1130" s="190"/>
      <c r="AB1130" s="189"/>
      <c r="AC1130" s="189"/>
      <c r="AD1130" s="189"/>
      <c r="AE1130" s="189"/>
      <c r="AF1130" s="190"/>
      <c r="AG1130" s="190"/>
      <c r="AH1130" s="337"/>
      <c r="AI1130" s="190"/>
      <c r="AJ1130" s="190"/>
      <c r="AK1130" s="190"/>
      <c r="AL1130" s="189"/>
      <c r="AM1130" s="189"/>
      <c r="AN1130" s="189"/>
      <c r="AO1130" s="189"/>
      <c r="AP1130" s="189"/>
      <c r="AQ1130" s="189"/>
      <c r="AR1130" s="189"/>
      <c r="AS1130" s="189"/>
      <c r="AT1130" s="189"/>
      <c r="AU1130" s="190"/>
      <c r="AV1130" s="190"/>
      <c r="AW1130" s="190"/>
      <c r="AX1130" s="190"/>
      <c r="AY1130" s="190"/>
      <c r="AZ1130" s="189"/>
      <c r="BA1130" s="189"/>
      <c r="BB1130" s="189"/>
      <c r="BC1130" s="189"/>
      <c r="BD1130" s="189"/>
      <c r="BE1130" s="189"/>
      <c r="BF1130" s="189"/>
      <c r="BG1130" s="189"/>
      <c r="BH1130" s="189"/>
      <c r="BI1130" s="190"/>
      <c r="BJ1130" s="190"/>
      <c r="BK1130" s="190"/>
      <c r="BL1130" s="190"/>
      <c r="BM1130" s="190"/>
      <c r="BN1130" s="190"/>
      <c r="BO1130" s="190"/>
      <c r="BP1130" s="190"/>
      <c r="BQ1130" s="190"/>
      <c r="BR1130" s="190"/>
      <c r="BS1130" s="190"/>
      <c r="BT1130" s="190"/>
      <c r="BU1130" s="190"/>
      <c r="BV1130" s="190"/>
      <c r="BW1130" s="190"/>
      <c r="BX1130" s="190"/>
      <c r="BY1130" s="190"/>
      <c r="BZ1130" s="190"/>
      <c r="CA1130" s="189"/>
      <c r="CB1130" s="192"/>
    </row>
    <row r="1131" spans="1:80" x14ac:dyDescent="0.2">
      <c r="A1131" s="189"/>
      <c r="B1131" s="648"/>
      <c r="C1131" s="648"/>
      <c r="D1131" s="697"/>
      <c r="E1131" s="159"/>
      <c r="F1131" s="159"/>
      <c r="G1131" s="190"/>
      <c r="H1131" s="190"/>
      <c r="I1131" s="190"/>
      <c r="J1131" s="190"/>
      <c r="K1131" s="190"/>
      <c r="L1131" s="629"/>
      <c r="M1131" s="647" t="s">
        <v>745</v>
      </c>
      <c r="N1131" s="587">
        <v>7.38</v>
      </c>
      <c r="O1131" s="592">
        <v>1.9331172222222222E-3</v>
      </c>
      <c r="P1131" s="648"/>
      <c r="Q1131" s="648"/>
      <c r="R1131" s="648"/>
      <c r="S1131" s="648"/>
      <c r="T1131" s="648"/>
      <c r="U1131" s="648"/>
      <c r="V1131" s="190"/>
      <c r="W1131" s="190"/>
      <c r="X1131" s="190"/>
      <c r="Y1131" s="190"/>
      <c r="Z1131" s="190"/>
      <c r="AA1131" s="190"/>
      <c r="AB1131" s="189"/>
      <c r="AC1131" s="189"/>
      <c r="AD1131" s="189"/>
      <c r="AE1131" s="189"/>
      <c r="AF1131" s="190"/>
      <c r="AG1131" s="190"/>
      <c r="AH1131" s="337"/>
      <c r="AI1131" s="190"/>
      <c r="AJ1131" s="190"/>
      <c r="AK1131" s="190"/>
      <c r="AL1131" s="189"/>
      <c r="AM1131" s="189"/>
      <c r="AN1131" s="189"/>
      <c r="AO1131" s="189"/>
      <c r="AP1131" s="189"/>
      <c r="AQ1131" s="189"/>
      <c r="AR1131" s="189"/>
      <c r="AS1131" s="189"/>
      <c r="AT1131" s="189"/>
      <c r="AU1131" s="190"/>
      <c r="AV1131" s="190"/>
      <c r="AW1131" s="190"/>
      <c r="AX1131" s="190"/>
      <c r="AY1131" s="190"/>
      <c r="AZ1131" s="189"/>
      <c r="BA1131" s="189"/>
      <c r="BB1131" s="189"/>
      <c r="BC1131" s="189"/>
      <c r="BD1131" s="189"/>
      <c r="BE1131" s="189"/>
      <c r="BF1131" s="189"/>
      <c r="BG1131" s="189"/>
      <c r="BH1131" s="189"/>
      <c r="BI1131" s="190"/>
      <c r="BJ1131" s="190"/>
      <c r="BK1131" s="190"/>
      <c r="BL1131" s="190"/>
      <c r="BM1131" s="190"/>
      <c r="BN1131" s="190"/>
      <c r="BO1131" s="190"/>
      <c r="BP1131" s="190"/>
      <c r="BQ1131" s="190"/>
      <c r="BR1131" s="190"/>
      <c r="BS1131" s="190"/>
      <c r="BT1131" s="190"/>
      <c r="BU1131" s="190"/>
      <c r="BV1131" s="190"/>
      <c r="BW1131" s="190"/>
      <c r="BX1131" s="190"/>
      <c r="BY1131" s="190"/>
      <c r="BZ1131" s="190"/>
      <c r="CA1131" s="189"/>
      <c r="CB1131" s="192"/>
    </row>
    <row r="1132" spans="1:80" x14ac:dyDescent="0.2">
      <c r="A1132" s="189"/>
      <c r="B1132" s="648"/>
      <c r="C1132" s="648"/>
      <c r="D1132" s="697"/>
      <c r="E1132" s="159"/>
      <c r="F1132" s="159"/>
      <c r="G1132" s="190"/>
      <c r="H1132" s="190"/>
      <c r="I1132" s="190"/>
      <c r="J1132" s="190"/>
      <c r="K1132" s="190"/>
      <c r="L1132" s="629"/>
      <c r="M1132" s="647" t="s">
        <v>746</v>
      </c>
      <c r="N1132" s="587">
        <v>7.01</v>
      </c>
      <c r="O1132" s="592">
        <v>1.9654194444444443E-3</v>
      </c>
      <c r="P1132" s="648"/>
      <c r="Q1132" s="648"/>
      <c r="R1132" s="648"/>
      <c r="S1132" s="648"/>
      <c r="T1132" s="648"/>
      <c r="U1132" s="648"/>
      <c r="V1132" s="190"/>
      <c r="W1132" s="190"/>
      <c r="X1132" s="190"/>
      <c r="Y1132" s="190"/>
      <c r="Z1132" s="190"/>
      <c r="AA1132" s="190"/>
      <c r="AB1132" s="189"/>
      <c r="AC1132" s="189"/>
      <c r="AD1132" s="189"/>
      <c r="AE1132" s="189"/>
      <c r="AF1132" s="190"/>
      <c r="AG1132" s="190"/>
      <c r="AH1132" s="337"/>
      <c r="AI1132" s="190"/>
      <c r="AJ1132" s="190"/>
      <c r="AK1132" s="190"/>
      <c r="AL1132" s="189"/>
      <c r="AM1132" s="189"/>
      <c r="AN1132" s="189"/>
      <c r="AO1132" s="189"/>
      <c r="AP1132" s="189"/>
      <c r="AQ1132" s="189"/>
      <c r="AR1132" s="189"/>
      <c r="AS1132" s="189"/>
      <c r="AT1132" s="189"/>
      <c r="AU1132" s="190"/>
      <c r="AV1132" s="190"/>
      <c r="AW1132" s="190"/>
      <c r="AX1132" s="190"/>
      <c r="AY1132" s="190"/>
      <c r="AZ1132" s="189"/>
      <c r="BA1132" s="189"/>
      <c r="BB1132" s="189"/>
      <c r="BC1132" s="189"/>
      <c r="BD1132" s="189"/>
      <c r="BE1132" s="189"/>
      <c r="BF1132" s="189"/>
      <c r="BG1132" s="189"/>
      <c r="BH1132" s="189"/>
      <c r="BI1132" s="190"/>
      <c r="BJ1132" s="190"/>
      <c r="BK1132" s="190"/>
      <c r="BL1132" s="190"/>
      <c r="BM1132" s="190"/>
      <c r="BN1132" s="190"/>
      <c r="BO1132" s="190"/>
      <c r="BP1132" s="190"/>
      <c r="BQ1132" s="190"/>
      <c r="BR1132" s="190"/>
      <c r="BS1132" s="190"/>
      <c r="BT1132" s="190"/>
      <c r="BU1132" s="190"/>
      <c r="BV1132" s="190"/>
      <c r="BW1132" s="190"/>
      <c r="BX1132" s="190"/>
      <c r="BY1132" s="190"/>
      <c r="BZ1132" s="190"/>
      <c r="CA1132" s="189"/>
      <c r="CB1132" s="192"/>
    </row>
    <row r="1133" spans="1:80" x14ac:dyDescent="0.2">
      <c r="A1133" s="189"/>
      <c r="B1133" s="648"/>
      <c r="C1133" s="648"/>
      <c r="D1133" s="697"/>
      <c r="E1133" s="159"/>
      <c r="F1133" s="159"/>
      <c r="G1133" s="190"/>
      <c r="H1133" s="190"/>
      <c r="I1133" s="190"/>
      <c r="J1133" s="190"/>
      <c r="K1133" s="190"/>
      <c r="L1133" s="629"/>
      <c r="M1133" s="647" t="s">
        <v>747</v>
      </c>
      <c r="N1133" s="587">
        <v>6.66</v>
      </c>
      <c r="O1133" s="592">
        <v>2.844652777777778E-4</v>
      </c>
      <c r="P1133" s="648"/>
      <c r="Q1133" s="648"/>
      <c r="R1133" s="648"/>
      <c r="S1133" s="648"/>
      <c r="T1133" s="648"/>
      <c r="U1133" s="648"/>
      <c r="V1133" s="190"/>
      <c r="W1133" s="190"/>
      <c r="X1133" s="190"/>
      <c r="Y1133" s="190"/>
      <c r="Z1133" s="190"/>
      <c r="AA1133" s="190"/>
      <c r="AB1133" s="189"/>
      <c r="AC1133" s="189"/>
      <c r="AD1133" s="189"/>
      <c r="AE1133" s="189"/>
      <c r="AF1133" s="190"/>
      <c r="AG1133" s="190"/>
      <c r="AH1133" s="337"/>
      <c r="AI1133" s="190"/>
      <c r="AJ1133" s="190"/>
      <c r="AK1133" s="190"/>
      <c r="AL1133" s="189"/>
      <c r="AM1133" s="189"/>
      <c r="AN1133" s="189"/>
      <c r="AO1133" s="189"/>
      <c r="AP1133" s="189"/>
      <c r="AQ1133" s="189"/>
      <c r="AR1133" s="189"/>
      <c r="AS1133" s="189"/>
      <c r="AT1133" s="189"/>
      <c r="AU1133" s="190"/>
      <c r="AV1133" s="190"/>
      <c r="AW1133" s="190"/>
      <c r="AX1133" s="190"/>
      <c r="AY1133" s="190"/>
      <c r="AZ1133" s="189"/>
      <c r="BA1133" s="189"/>
      <c r="BB1133" s="189"/>
      <c r="BC1133" s="189"/>
      <c r="BD1133" s="189"/>
      <c r="BE1133" s="189"/>
      <c r="BF1133" s="189"/>
      <c r="BG1133" s="189"/>
      <c r="BH1133" s="189"/>
      <c r="BI1133" s="190"/>
      <c r="BJ1133" s="190"/>
      <c r="BK1133" s="190"/>
      <c r="BL1133" s="190"/>
      <c r="BM1133" s="190"/>
      <c r="BN1133" s="190"/>
      <c r="BO1133" s="190"/>
      <c r="BP1133" s="190"/>
      <c r="BQ1133" s="190"/>
      <c r="BR1133" s="190"/>
      <c r="BS1133" s="190"/>
      <c r="BT1133" s="190"/>
      <c r="BU1133" s="190"/>
      <c r="BV1133" s="190"/>
      <c r="BW1133" s="190"/>
      <c r="BX1133" s="190"/>
      <c r="BY1133" s="190"/>
      <c r="BZ1133" s="190"/>
      <c r="CA1133" s="189"/>
      <c r="CB1133" s="192"/>
    </row>
    <row r="1134" spans="1:80" x14ac:dyDescent="0.2">
      <c r="A1134" s="189"/>
      <c r="B1134" s="648"/>
      <c r="C1134" s="648"/>
      <c r="D1134" s="697"/>
      <c r="E1134" s="159"/>
      <c r="F1134" s="159"/>
      <c r="G1134" s="190"/>
      <c r="H1134" s="190"/>
      <c r="I1134" s="190"/>
      <c r="J1134" s="190"/>
      <c r="K1134" s="190"/>
      <c r="L1134" s="629"/>
      <c r="M1134" s="647" t="s">
        <v>748</v>
      </c>
      <c r="N1134" s="587">
        <v>5.2</v>
      </c>
      <c r="O1134" s="593">
        <v>4.6344444444444449E-6</v>
      </c>
      <c r="P1134" s="648"/>
      <c r="Q1134" s="648"/>
      <c r="R1134" s="648"/>
      <c r="S1134" s="648"/>
      <c r="T1134" s="648"/>
      <c r="U1134" s="648"/>
      <c r="V1134" s="190"/>
      <c r="W1134" s="190"/>
      <c r="X1134" s="190"/>
      <c r="Y1134" s="190"/>
      <c r="Z1134" s="190"/>
      <c r="AA1134" s="190"/>
      <c r="AB1134" s="189"/>
      <c r="AC1134" s="189"/>
      <c r="AD1134" s="189"/>
      <c r="AE1134" s="189"/>
      <c r="AF1134" s="190"/>
      <c r="AG1134" s="190"/>
      <c r="AH1134" s="337"/>
      <c r="AI1134" s="190"/>
      <c r="AJ1134" s="190"/>
      <c r="AK1134" s="190"/>
      <c r="AL1134" s="189"/>
      <c r="AM1134" s="189"/>
      <c r="AN1134" s="189"/>
      <c r="AO1134" s="189"/>
      <c r="AP1134" s="189"/>
      <c r="AQ1134" s="189"/>
      <c r="AR1134" s="189"/>
      <c r="AS1134" s="189"/>
      <c r="AT1134" s="189"/>
      <c r="AU1134" s="190"/>
      <c r="AV1134" s="190"/>
      <c r="AW1134" s="190"/>
      <c r="AX1134" s="190"/>
      <c r="AY1134" s="190"/>
      <c r="AZ1134" s="189"/>
      <c r="BA1134" s="189"/>
      <c r="BB1134" s="189"/>
      <c r="BC1134" s="189"/>
      <c r="BD1134" s="189"/>
      <c r="BE1134" s="189"/>
      <c r="BF1134" s="189"/>
      <c r="BG1134" s="189"/>
      <c r="BH1134" s="189"/>
      <c r="BI1134" s="190"/>
      <c r="BJ1134" s="190"/>
      <c r="BK1134" s="190"/>
      <c r="BL1134" s="190"/>
      <c r="BM1134" s="190"/>
      <c r="BN1134" s="190"/>
      <c r="BO1134" s="190"/>
      <c r="BP1134" s="190"/>
      <c r="BQ1134" s="190"/>
      <c r="BR1134" s="190"/>
      <c r="BS1134" s="190"/>
      <c r="BT1134" s="190"/>
      <c r="BU1134" s="190"/>
      <c r="BV1134" s="190"/>
      <c r="BW1134" s="190"/>
      <c r="BX1134" s="190"/>
      <c r="BY1134" s="190"/>
      <c r="BZ1134" s="190"/>
      <c r="CA1134" s="189"/>
      <c r="CB1134" s="192"/>
    </row>
    <row r="1135" spans="1:80" x14ac:dyDescent="0.2">
      <c r="A1135" s="189"/>
      <c r="B1135" s="648"/>
      <c r="C1135" s="648"/>
      <c r="D1135" s="697"/>
      <c r="E1135" s="159"/>
      <c r="F1135" s="159"/>
      <c r="G1135" s="190"/>
      <c r="H1135" s="190"/>
      <c r="I1135" s="190"/>
      <c r="J1135" s="190"/>
      <c r="K1135" s="190"/>
      <c r="L1135" s="629"/>
      <c r="M1135" s="647" t="s">
        <v>749</v>
      </c>
      <c r="N1135" s="587">
        <v>6.33</v>
      </c>
      <c r="O1135" s="593">
        <v>5.2288888888888895E-6</v>
      </c>
      <c r="P1135" s="648"/>
      <c r="Q1135" s="648"/>
      <c r="R1135" s="648"/>
      <c r="S1135" s="648"/>
      <c r="T1135" s="648"/>
      <c r="U1135" s="648"/>
      <c r="V1135" s="190"/>
      <c r="W1135" s="190"/>
      <c r="X1135" s="190"/>
      <c r="Y1135" s="190"/>
      <c r="Z1135" s="190"/>
      <c r="AA1135" s="190"/>
      <c r="AB1135" s="189"/>
      <c r="AC1135" s="189"/>
      <c r="AD1135" s="189"/>
      <c r="AE1135" s="189"/>
      <c r="AF1135" s="190"/>
      <c r="AG1135" s="190"/>
      <c r="AH1135" s="337"/>
      <c r="AI1135" s="190"/>
      <c r="AJ1135" s="190"/>
      <c r="AK1135" s="190"/>
      <c r="AL1135" s="189"/>
      <c r="AM1135" s="189"/>
      <c r="AN1135" s="189"/>
      <c r="AO1135" s="189"/>
      <c r="AP1135" s="189"/>
      <c r="AQ1135" s="189"/>
      <c r="AR1135" s="189"/>
      <c r="AS1135" s="189"/>
      <c r="AT1135" s="189"/>
      <c r="AU1135" s="190"/>
      <c r="AV1135" s="190"/>
      <c r="AW1135" s="190"/>
      <c r="AX1135" s="190"/>
      <c r="AY1135" s="190"/>
      <c r="AZ1135" s="189"/>
      <c r="BA1135" s="189"/>
      <c r="BB1135" s="189"/>
      <c r="BC1135" s="189"/>
      <c r="BD1135" s="189"/>
      <c r="BE1135" s="189"/>
      <c r="BF1135" s="189"/>
      <c r="BG1135" s="189"/>
      <c r="BH1135" s="189"/>
      <c r="BI1135" s="190"/>
      <c r="BJ1135" s="190"/>
      <c r="BK1135" s="190"/>
      <c r="BL1135" s="190"/>
      <c r="BM1135" s="190"/>
      <c r="BN1135" s="190"/>
      <c r="BO1135" s="190"/>
      <c r="BP1135" s="190"/>
      <c r="BQ1135" s="190"/>
      <c r="BR1135" s="190"/>
      <c r="BS1135" s="190"/>
      <c r="BT1135" s="190"/>
      <c r="BU1135" s="190"/>
      <c r="BV1135" s="190"/>
      <c r="BW1135" s="190"/>
      <c r="BX1135" s="190"/>
      <c r="BY1135" s="190"/>
      <c r="BZ1135" s="190"/>
      <c r="CA1135" s="189"/>
      <c r="CB1135" s="192"/>
    </row>
    <row r="1136" spans="1:80" x14ac:dyDescent="0.2">
      <c r="A1136" s="189"/>
      <c r="B1136" s="648"/>
      <c r="C1136" s="648"/>
      <c r="D1136" s="697"/>
      <c r="E1136" s="159"/>
      <c r="F1136" s="159"/>
      <c r="G1136" s="190"/>
      <c r="H1136" s="190"/>
      <c r="I1136" s="190"/>
      <c r="J1136" s="190"/>
      <c r="K1136" s="190"/>
      <c r="L1136" s="629"/>
      <c r="M1136" s="647" t="s">
        <v>750</v>
      </c>
      <c r="N1136" s="587">
        <v>5.71</v>
      </c>
      <c r="O1136" s="593">
        <v>1.2855555555555556E-6</v>
      </c>
      <c r="P1136" s="648"/>
      <c r="Q1136" s="648"/>
      <c r="R1136" s="648"/>
      <c r="S1136" s="648"/>
      <c r="T1136" s="648"/>
      <c r="U1136" s="648"/>
      <c r="V1136" s="190"/>
      <c r="W1136" s="190"/>
      <c r="X1136" s="190"/>
      <c r="Y1136" s="190"/>
      <c r="Z1136" s="190"/>
      <c r="AA1136" s="190"/>
      <c r="AB1136" s="189"/>
      <c r="AC1136" s="189"/>
      <c r="AD1136" s="189"/>
      <c r="AE1136" s="189"/>
      <c r="AF1136" s="190"/>
      <c r="AG1136" s="190"/>
      <c r="AH1136" s="337"/>
      <c r="AI1136" s="190"/>
      <c r="AJ1136" s="190"/>
      <c r="AK1136" s="190"/>
      <c r="AL1136" s="189"/>
      <c r="AM1136" s="189"/>
      <c r="AN1136" s="189"/>
      <c r="AO1136" s="189"/>
      <c r="AP1136" s="189"/>
      <c r="AQ1136" s="189"/>
      <c r="AR1136" s="189"/>
      <c r="AS1136" s="189"/>
      <c r="AT1136" s="189"/>
      <c r="AU1136" s="190"/>
      <c r="AV1136" s="190"/>
      <c r="AW1136" s="190"/>
      <c r="AX1136" s="190"/>
      <c r="AY1136" s="190"/>
      <c r="AZ1136" s="189"/>
      <c r="BA1136" s="189"/>
      <c r="BB1136" s="189"/>
      <c r="BC1136" s="189"/>
      <c r="BD1136" s="189"/>
      <c r="BE1136" s="189"/>
      <c r="BF1136" s="189"/>
      <c r="BG1136" s="189"/>
      <c r="BH1136" s="189"/>
      <c r="BI1136" s="190"/>
      <c r="BJ1136" s="190"/>
      <c r="BK1136" s="190"/>
      <c r="BL1136" s="190"/>
      <c r="BM1136" s="190"/>
      <c r="BN1136" s="190"/>
      <c r="BO1136" s="190"/>
      <c r="BP1136" s="190"/>
      <c r="BQ1136" s="190"/>
      <c r="BR1136" s="190"/>
      <c r="BS1136" s="190"/>
      <c r="BT1136" s="190"/>
      <c r="BU1136" s="190"/>
      <c r="BV1136" s="190"/>
      <c r="BW1136" s="190"/>
      <c r="BX1136" s="190"/>
      <c r="BY1136" s="190"/>
      <c r="BZ1136" s="190"/>
      <c r="CA1136" s="189"/>
      <c r="CB1136" s="192"/>
    </row>
    <row r="1137" spans="1:80" x14ac:dyDescent="0.2">
      <c r="A1137" s="189"/>
      <c r="B1137" s="648"/>
      <c r="C1137" s="648"/>
      <c r="D1137" s="697"/>
      <c r="E1137" s="159"/>
      <c r="F1137" s="159"/>
      <c r="G1137" s="190"/>
      <c r="H1137" s="190"/>
      <c r="I1137" s="190"/>
      <c r="J1137" s="190"/>
      <c r="K1137" s="190"/>
      <c r="L1137" s="629"/>
      <c r="M1137" s="647" t="s">
        <v>751</v>
      </c>
      <c r="N1137" s="587">
        <v>4.1900000000000004</v>
      </c>
      <c r="O1137" s="593">
        <v>2.8944444444444444E-7</v>
      </c>
      <c r="P1137" s="648"/>
      <c r="Q1137" s="648"/>
      <c r="R1137" s="648"/>
      <c r="S1137" s="648"/>
      <c r="T1137" s="648"/>
      <c r="U1137" s="648"/>
      <c r="V1137" s="190"/>
      <c r="W1137" s="190"/>
      <c r="X1137" s="190"/>
      <c r="Y1137" s="190"/>
      <c r="Z1137" s="190"/>
      <c r="AA1137" s="190"/>
      <c r="AB1137" s="189"/>
      <c r="AC1137" s="189"/>
      <c r="AD1137" s="189"/>
      <c r="AE1137" s="189"/>
      <c r="AF1137" s="190"/>
      <c r="AG1137" s="190"/>
      <c r="AH1137" s="337"/>
      <c r="AI1137" s="190"/>
      <c r="AJ1137" s="190"/>
      <c r="AK1137" s="190"/>
      <c r="AL1137" s="189"/>
      <c r="AM1137" s="189"/>
      <c r="AN1137" s="189"/>
      <c r="AO1137" s="189"/>
      <c r="AP1137" s="189"/>
      <c r="AQ1137" s="189"/>
      <c r="AR1137" s="189"/>
      <c r="AS1137" s="189"/>
      <c r="AT1137" s="189"/>
      <c r="AU1137" s="190"/>
      <c r="AV1137" s="190"/>
      <c r="AW1137" s="190"/>
      <c r="AX1137" s="190"/>
      <c r="AY1137" s="190"/>
      <c r="AZ1137" s="189"/>
      <c r="BA1137" s="189"/>
      <c r="BB1137" s="189"/>
      <c r="BC1137" s="189"/>
      <c r="BD1137" s="189"/>
      <c r="BE1137" s="189"/>
      <c r="BF1137" s="189"/>
      <c r="BG1137" s="189"/>
      <c r="BH1137" s="189"/>
      <c r="BI1137" s="190"/>
      <c r="BJ1137" s="190"/>
      <c r="BK1137" s="190"/>
      <c r="BL1137" s="190"/>
      <c r="BM1137" s="190"/>
      <c r="BN1137" s="190"/>
      <c r="BO1137" s="190"/>
      <c r="BP1137" s="190"/>
      <c r="BQ1137" s="190"/>
      <c r="BR1137" s="190"/>
      <c r="BS1137" s="190"/>
      <c r="BT1137" s="190"/>
      <c r="BU1137" s="190"/>
      <c r="BV1137" s="190"/>
      <c r="BW1137" s="190"/>
      <c r="BX1137" s="190"/>
      <c r="BY1137" s="190"/>
      <c r="BZ1137" s="190"/>
      <c r="CA1137" s="189"/>
      <c r="CB1137" s="192"/>
    </row>
    <row r="1138" spans="1:80" x14ac:dyDescent="0.2">
      <c r="A1138" s="189"/>
      <c r="B1138" s="648"/>
      <c r="C1138" s="648"/>
      <c r="D1138" s="697"/>
      <c r="E1138" s="159"/>
      <c r="F1138" s="159"/>
      <c r="G1138" s="190"/>
      <c r="H1138" s="190"/>
      <c r="I1138" s="190"/>
      <c r="J1138" s="190"/>
      <c r="K1138" s="190"/>
      <c r="L1138" s="629"/>
      <c r="M1138" s="647" t="s">
        <v>752</v>
      </c>
      <c r="N1138" s="587">
        <v>4.08</v>
      </c>
      <c r="O1138" s="593">
        <v>5.9250000000000004E-7</v>
      </c>
      <c r="P1138" s="648"/>
      <c r="Q1138" s="648"/>
      <c r="R1138" s="648"/>
      <c r="S1138" s="648"/>
      <c r="T1138" s="648"/>
      <c r="U1138" s="648"/>
      <c r="V1138" s="190"/>
      <c r="W1138" s="190"/>
      <c r="X1138" s="190"/>
      <c r="Y1138" s="190"/>
      <c r="Z1138" s="190"/>
      <c r="AA1138" s="190"/>
      <c r="AB1138" s="189"/>
      <c r="AC1138" s="189"/>
      <c r="AD1138" s="189"/>
      <c r="AE1138" s="189"/>
      <c r="AF1138" s="190"/>
      <c r="AG1138" s="190"/>
      <c r="AH1138" s="337"/>
      <c r="AI1138" s="190"/>
      <c r="AJ1138" s="190"/>
      <c r="AK1138" s="190"/>
      <c r="AL1138" s="189"/>
      <c r="AM1138" s="189"/>
      <c r="AN1138" s="189"/>
      <c r="AO1138" s="189"/>
      <c r="AP1138" s="189"/>
      <c r="AQ1138" s="189"/>
      <c r="AR1138" s="189"/>
      <c r="AS1138" s="189"/>
      <c r="AT1138" s="189"/>
      <c r="AU1138" s="190"/>
      <c r="AV1138" s="190"/>
      <c r="AW1138" s="190"/>
      <c r="AX1138" s="190"/>
      <c r="AY1138" s="190"/>
      <c r="AZ1138" s="189"/>
      <c r="BA1138" s="189"/>
      <c r="BB1138" s="189"/>
      <c r="BC1138" s="189"/>
      <c r="BD1138" s="189"/>
      <c r="BE1138" s="189"/>
      <c r="BF1138" s="189"/>
      <c r="BG1138" s="189"/>
      <c r="BH1138" s="189"/>
      <c r="BI1138" s="190"/>
      <c r="BJ1138" s="190"/>
      <c r="BK1138" s="190"/>
      <c r="BL1138" s="190"/>
      <c r="BM1138" s="190"/>
      <c r="BN1138" s="190"/>
      <c r="BO1138" s="190"/>
      <c r="BP1138" s="190"/>
      <c r="BQ1138" s="190"/>
      <c r="BR1138" s="190"/>
      <c r="BS1138" s="190"/>
      <c r="BT1138" s="190"/>
      <c r="BU1138" s="190"/>
      <c r="BV1138" s="190"/>
      <c r="BW1138" s="190"/>
      <c r="BX1138" s="190"/>
      <c r="BY1138" s="190"/>
      <c r="BZ1138" s="190"/>
      <c r="CA1138" s="189"/>
      <c r="CB1138" s="192"/>
    </row>
    <row r="1139" spans="1:80" x14ac:dyDescent="0.2">
      <c r="A1139" s="189"/>
      <c r="B1139" s="648"/>
      <c r="C1139" s="648"/>
      <c r="D1139" s="697"/>
      <c r="E1139" s="159"/>
      <c r="F1139" s="159"/>
      <c r="G1139" s="190"/>
      <c r="H1139" s="190"/>
      <c r="I1139" s="190"/>
      <c r="J1139" s="190"/>
      <c r="K1139" s="190"/>
      <c r="L1139" s="629"/>
      <c r="M1139" s="647" t="s">
        <v>753</v>
      </c>
      <c r="N1139" s="587">
        <v>3.98</v>
      </c>
      <c r="O1139" s="593">
        <v>2.6916666666666665E-7</v>
      </c>
      <c r="P1139" s="648"/>
      <c r="Q1139" s="648"/>
      <c r="R1139" s="648"/>
      <c r="S1139" s="648"/>
      <c r="T1139" s="648"/>
      <c r="U1139" s="648"/>
      <c r="V1139" s="190"/>
      <c r="W1139" s="190"/>
      <c r="X1139" s="190"/>
      <c r="Y1139" s="190"/>
      <c r="Z1139" s="190"/>
      <c r="AA1139" s="190"/>
      <c r="AB1139" s="189"/>
      <c r="AC1139" s="189"/>
      <c r="AD1139" s="189"/>
      <c r="AE1139" s="189"/>
      <c r="AF1139" s="190"/>
      <c r="AG1139" s="190"/>
      <c r="AH1139" s="337"/>
      <c r="AI1139" s="190"/>
      <c r="AJ1139" s="190"/>
      <c r="AK1139" s="190"/>
      <c r="AL1139" s="189"/>
      <c r="AM1139" s="189"/>
      <c r="AN1139" s="189"/>
      <c r="AO1139" s="189"/>
      <c r="AP1139" s="189"/>
      <c r="AQ1139" s="189"/>
      <c r="AR1139" s="189"/>
      <c r="AS1139" s="189"/>
      <c r="AT1139" s="189"/>
      <c r="AU1139" s="190"/>
      <c r="AV1139" s="190"/>
      <c r="AW1139" s="190"/>
      <c r="AX1139" s="190"/>
      <c r="AY1139" s="190"/>
      <c r="AZ1139" s="189"/>
      <c r="BA1139" s="189"/>
      <c r="BB1139" s="189"/>
      <c r="BC1139" s="189"/>
      <c r="BD1139" s="189"/>
      <c r="BE1139" s="189"/>
      <c r="BF1139" s="189"/>
      <c r="BG1139" s="189"/>
      <c r="BH1139" s="189"/>
      <c r="BI1139" s="190"/>
      <c r="BJ1139" s="190"/>
      <c r="BK1139" s="190"/>
      <c r="BL1139" s="190"/>
      <c r="BM1139" s="190"/>
      <c r="BN1139" s="190"/>
      <c r="BO1139" s="190"/>
      <c r="BP1139" s="190"/>
      <c r="BQ1139" s="190"/>
      <c r="BR1139" s="190"/>
      <c r="BS1139" s="190"/>
      <c r="BT1139" s="190"/>
      <c r="BU1139" s="190"/>
      <c r="BV1139" s="190"/>
      <c r="BW1139" s="190"/>
      <c r="BX1139" s="190"/>
      <c r="BY1139" s="190"/>
      <c r="BZ1139" s="190"/>
      <c r="CA1139" s="189"/>
      <c r="CB1139" s="192"/>
    </row>
    <row r="1140" spans="1:80" x14ac:dyDescent="0.2">
      <c r="A1140" s="189"/>
      <c r="B1140" s="648"/>
      <c r="C1140" s="648"/>
      <c r="D1140" s="697"/>
      <c r="E1140" s="159"/>
      <c r="F1140" s="159"/>
      <c r="G1140" s="190"/>
      <c r="H1140" s="190"/>
      <c r="I1140" s="190"/>
      <c r="J1140" s="190"/>
      <c r="K1140" s="190"/>
      <c r="L1140" s="629"/>
      <c r="M1140" s="647" t="s">
        <v>754</v>
      </c>
      <c r="N1140" s="587">
        <v>4.34</v>
      </c>
      <c r="O1140" s="593">
        <v>3.7833333333333335E-7</v>
      </c>
      <c r="P1140" s="648"/>
      <c r="Q1140" s="648"/>
      <c r="R1140" s="648"/>
      <c r="S1140" s="648"/>
      <c r="T1140" s="648"/>
      <c r="U1140" s="648"/>
      <c r="V1140" s="190"/>
      <c r="W1140" s="190"/>
      <c r="X1140" s="190"/>
      <c r="Y1140" s="190"/>
      <c r="Z1140" s="190"/>
      <c r="AA1140" s="190"/>
      <c r="AB1140" s="189"/>
      <c r="AC1140" s="189"/>
      <c r="AD1140" s="189"/>
      <c r="AE1140" s="189"/>
      <c r="AF1140" s="190"/>
      <c r="AG1140" s="190"/>
      <c r="AH1140" s="337"/>
      <c r="AI1140" s="190"/>
      <c r="AJ1140" s="190"/>
      <c r="AK1140" s="190"/>
      <c r="AL1140" s="189"/>
      <c r="AM1140" s="189"/>
      <c r="AN1140" s="189"/>
      <c r="AO1140" s="189"/>
      <c r="AP1140" s="189"/>
      <c r="AQ1140" s="189"/>
      <c r="AR1140" s="189"/>
      <c r="AS1140" s="189"/>
      <c r="AT1140" s="189"/>
      <c r="AU1140" s="190"/>
      <c r="AV1140" s="190"/>
      <c r="AW1140" s="190"/>
      <c r="AX1140" s="190"/>
      <c r="AY1140" s="190"/>
      <c r="AZ1140" s="189"/>
      <c r="BA1140" s="189"/>
      <c r="BB1140" s="189"/>
      <c r="BC1140" s="189"/>
      <c r="BD1140" s="189"/>
      <c r="BE1140" s="189"/>
      <c r="BF1140" s="189"/>
      <c r="BG1140" s="189"/>
      <c r="BH1140" s="189"/>
      <c r="BI1140" s="190"/>
      <c r="BJ1140" s="190"/>
      <c r="BK1140" s="190"/>
      <c r="BL1140" s="190"/>
      <c r="BM1140" s="190"/>
      <c r="BN1140" s="190"/>
      <c r="BO1140" s="190"/>
      <c r="BP1140" s="190"/>
      <c r="BQ1140" s="190"/>
      <c r="BR1140" s="190"/>
      <c r="BS1140" s="190"/>
      <c r="BT1140" s="190"/>
      <c r="BU1140" s="190"/>
      <c r="BV1140" s="190"/>
      <c r="BW1140" s="190"/>
      <c r="BX1140" s="190"/>
      <c r="BY1140" s="190"/>
      <c r="BZ1140" s="190"/>
      <c r="CA1140" s="189"/>
      <c r="CB1140" s="192"/>
    </row>
    <row r="1141" spans="1:80" x14ac:dyDescent="0.2">
      <c r="A1141" s="189"/>
      <c r="B1141" s="648"/>
      <c r="C1141" s="648"/>
      <c r="D1141" s="697"/>
      <c r="E1141" s="159"/>
      <c r="F1141" s="159"/>
      <c r="G1141" s="190"/>
      <c r="H1141" s="190"/>
      <c r="I1141" s="190"/>
      <c r="J1141" s="190"/>
      <c r="K1141" s="190"/>
      <c r="L1141" s="629"/>
      <c r="M1141" s="647" t="s">
        <v>755</v>
      </c>
      <c r="N1141" s="587">
        <v>4.34</v>
      </c>
      <c r="O1141" s="593">
        <v>5.5166666666666664E-7</v>
      </c>
      <c r="P1141" s="648"/>
      <c r="Q1141" s="648"/>
      <c r="R1141" s="648"/>
      <c r="S1141" s="648"/>
      <c r="T1141" s="648"/>
      <c r="U1141" s="648"/>
      <c r="V1141" s="190"/>
      <c r="W1141" s="190"/>
      <c r="X1141" s="190"/>
      <c r="Y1141" s="190"/>
      <c r="Z1141" s="190"/>
      <c r="AA1141" s="190"/>
      <c r="AB1141" s="189"/>
      <c r="AC1141" s="189"/>
      <c r="AD1141" s="189"/>
      <c r="AE1141" s="189"/>
      <c r="AF1141" s="190"/>
      <c r="AG1141" s="190"/>
      <c r="AH1141" s="337"/>
      <c r="AI1141" s="190"/>
      <c r="AJ1141" s="190"/>
      <c r="AK1141" s="190"/>
      <c r="AL1141" s="189"/>
      <c r="AM1141" s="189"/>
      <c r="AN1141" s="189"/>
      <c r="AO1141" s="189"/>
      <c r="AP1141" s="189"/>
      <c r="AQ1141" s="189"/>
      <c r="AR1141" s="189"/>
      <c r="AS1141" s="189"/>
      <c r="AT1141" s="189"/>
      <c r="AU1141" s="190"/>
      <c r="AV1141" s="190"/>
      <c r="AW1141" s="190"/>
      <c r="AX1141" s="190"/>
      <c r="AY1141" s="190"/>
      <c r="AZ1141" s="189"/>
      <c r="BA1141" s="189"/>
      <c r="BB1141" s="189"/>
      <c r="BC1141" s="189"/>
      <c r="BD1141" s="189"/>
      <c r="BE1141" s="189"/>
      <c r="BF1141" s="189"/>
      <c r="BG1141" s="189"/>
      <c r="BH1141" s="189"/>
      <c r="BI1141" s="190"/>
      <c r="BJ1141" s="190"/>
      <c r="BK1141" s="190"/>
      <c r="BL1141" s="190"/>
      <c r="BM1141" s="190"/>
      <c r="BN1141" s="190"/>
      <c r="BO1141" s="190"/>
      <c r="BP1141" s="190"/>
      <c r="BQ1141" s="190"/>
      <c r="BR1141" s="190"/>
      <c r="BS1141" s="190"/>
      <c r="BT1141" s="190"/>
      <c r="BU1141" s="190"/>
      <c r="BV1141" s="190"/>
      <c r="BW1141" s="190"/>
      <c r="BX1141" s="190"/>
      <c r="BY1141" s="190"/>
      <c r="BZ1141" s="190"/>
      <c r="CA1141" s="189"/>
      <c r="CB1141" s="192"/>
    </row>
    <row r="1142" spans="1:80" x14ac:dyDescent="0.2">
      <c r="A1142" s="189"/>
      <c r="B1142" s="648"/>
      <c r="C1142" s="648"/>
      <c r="D1142" s="697"/>
      <c r="E1142" s="159"/>
      <c r="F1142" s="159"/>
      <c r="G1142" s="190"/>
      <c r="H1142" s="190"/>
      <c r="I1142" s="190"/>
      <c r="J1142" s="190"/>
      <c r="K1142" s="190"/>
      <c r="L1142" s="629"/>
      <c r="M1142" s="647" t="s">
        <v>756</v>
      </c>
      <c r="N1142" s="587">
        <v>3.86</v>
      </c>
      <c r="O1142" s="593">
        <v>1.9472222222222222E-7</v>
      </c>
      <c r="P1142" s="648"/>
      <c r="Q1142" s="648"/>
      <c r="R1142" s="648"/>
      <c r="S1142" s="648"/>
      <c r="T1142" s="648"/>
      <c r="U1142" s="648"/>
      <c r="V1142" s="190"/>
      <c r="W1142" s="190"/>
      <c r="X1142" s="190"/>
      <c r="Y1142" s="190"/>
      <c r="Z1142" s="190"/>
      <c r="AA1142" s="190"/>
      <c r="AB1142" s="189"/>
      <c r="AC1142" s="189"/>
      <c r="AD1142" s="189"/>
      <c r="AE1142" s="189"/>
      <c r="AF1142" s="190"/>
      <c r="AG1142" s="190"/>
      <c r="AH1142" s="337"/>
      <c r="AI1142" s="190"/>
      <c r="AJ1142" s="190"/>
      <c r="AK1142" s="190"/>
      <c r="AL1142" s="189"/>
      <c r="AM1142" s="189"/>
      <c r="AN1142" s="189"/>
      <c r="AO1142" s="189"/>
      <c r="AP1142" s="189"/>
      <c r="AQ1142" s="189"/>
      <c r="AR1142" s="189"/>
      <c r="AS1142" s="189"/>
      <c r="AT1142" s="189"/>
      <c r="AU1142" s="190"/>
      <c r="AV1142" s="190"/>
      <c r="AW1142" s="190"/>
      <c r="AX1142" s="190"/>
      <c r="AY1142" s="190"/>
      <c r="AZ1142" s="189"/>
      <c r="BA1142" s="189"/>
      <c r="BB1142" s="189"/>
      <c r="BC1142" s="189"/>
      <c r="BD1142" s="189"/>
      <c r="BE1142" s="189"/>
      <c r="BF1142" s="189"/>
      <c r="BG1142" s="189"/>
      <c r="BH1142" s="189"/>
      <c r="BI1142" s="190"/>
      <c r="BJ1142" s="190"/>
      <c r="BK1142" s="190"/>
      <c r="BL1142" s="190"/>
      <c r="BM1142" s="190"/>
      <c r="BN1142" s="190"/>
      <c r="BO1142" s="190"/>
      <c r="BP1142" s="190"/>
      <c r="BQ1142" s="190"/>
      <c r="BR1142" s="190"/>
      <c r="BS1142" s="190"/>
      <c r="BT1142" s="190"/>
      <c r="BU1142" s="190"/>
      <c r="BV1142" s="190"/>
      <c r="BW1142" s="190"/>
      <c r="BX1142" s="190"/>
      <c r="BY1142" s="190"/>
      <c r="BZ1142" s="190"/>
      <c r="CA1142" s="189"/>
      <c r="CB1142" s="192"/>
    </row>
    <row r="1143" spans="1:80" x14ac:dyDescent="0.2">
      <c r="A1143" s="189"/>
      <c r="B1143" s="648"/>
      <c r="C1143" s="648"/>
      <c r="D1143" s="697"/>
      <c r="E1143" s="159"/>
      <c r="F1143" s="159"/>
      <c r="G1143" s="190"/>
      <c r="H1143" s="190"/>
      <c r="I1143" s="190"/>
      <c r="J1143" s="190"/>
      <c r="K1143" s="190"/>
      <c r="L1143" s="629"/>
      <c r="M1143" s="647" t="s">
        <v>757</v>
      </c>
      <c r="N1143" s="587">
        <v>3.96</v>
      </c>
      <c r="O1143" s="593">
        <v>3.9750000000000001E-7</v>
      </c>
      <c r="P1143" s="648"/>
      <c r="Q1143" s="648"/>
      <c r="R1143" s="648"/>
      <c r="S1143" s="648"/>
      <c r="T1143" s="648"/>
      <c r="U1143" s="648"/>
      <c r="V1143" s="190"/>
      <c r="W1143" s="190"/>
      <c r="X1143" s="190"/>
      <c r="Y1143" s="190"/>
      <c r="Z1143" s="190"/>
      <c r="AA1143" s="190"/>
      <c r="AB1143" s="189"/>
      <c r="AC1143" s="189"/>
      <c r="AD1143" s="189"/>
      <c r="AE1143" s="189"/>
      <c r="AF1143" s="190"/>
      <c r="AG1143" s="190"/>
      <c r="AH1143" s="337"/>
      <c r="AI1143" s="190"/>
      <c r="AJ1143" s="190"/>
      <c r="AK1143" s="190"/>
      <c r="AL1143" s="189"/>
      <c r="AM1143" s="189"/>
      <c r="AN1143" s="189"/>
      <c r="AO1143" s="189"/>
      <c r="AP1143" s="189"/>
      <c r="AQ1143" s="189"/>
      <c r="AR1143" s="189"/>
      <c r="AS1143" s="189"/>
      <c r="AT1143" s="189"/>
      <c r="AU1143" s="190"/>
      <c r="AV1143" s="190"/>
      <c r="AW1143" s="190"/>
      <c r="AX1143" s="190"/>
      <c r="AY1143" s="190"/>
      <c r="AZ1143" s="189"/>
      <c r="BA1143" s="189"/>
      <c r="BB1143" s="189"/>
      <c r="BC1143" s="189"/>
      <c r="BD1143" s="189"/>
      <c r="BE1143" s="189"/>
      <c r="BF1143" s="189"/>
      <c r="BG1143" s="189"/>
      <c r="BH1143" s="189"/>
      <c r="BI1143" s="190"/>
      <c r="BJ1143" s="190"/>
      <c r="BK1143" s="190"/>
      <c r="BL1143" s="190"/>
      <c r="BM1143" s="190"/>
      <c r="BN1143" s="190"/>
      <c r="BO1143" s="190"/>
      <c r="BP1143" s="190"/>
      <c r="BQ1143" s="190"/>
      <c r="BR1143" s="190"/>
      <c r="BS1143" s="190"/>
      <c r="BT1143" s="190"/>
      <c r="BU1143" s="190"/>
      <c r="BV1143" s="190"/>
      <c r="BW1143" s="190"/>
      <c r="BX1143" s="190"/>
      <c r="BY1143" s="190"/>
      <c r="BZ1143" s="190"/>
      <c r="CA1143" s="189"/>
      <c r="CB1143" s="192"/>
    </row>
    <row r="1144" spans="1:80" x14ac:dyDescent="0.2">
      <c r="A1144" s="189"/>
      <c r="B1144" s="648"/>
      <c r="C1144" s="648"/>
      <c r="D1144" s="697"/>
      <c r="E1144" s="159"/>
      <c r="F1144" s="159"/>
      <c r="G1144" s="190"/>
      <c r="H1144" s="190"/>
      <c r="I1144" s="190"/>
      <c r="J1144" s="190"/>
      <c r="K1144" s="190"/>
      <c r="L1144" s="629"/>
      <c r="M1144" s="647" t="s">
        <v>758</v>
      </c>
      <c r="N1144" s="587">
        <v>3.84</v>
      </c>
      <c r="O1144" s="593">
        <v>3.0361111111111109E-7</v>
      </c>
      <c r="P1144" s="648"/>
      <c r="Q1144" s="648"/>
      <c r="R1144" s="648"/>
      <c r="S1144" s="648"/>
      <c r="T1144" s="648"/>
      <c r="U1144" s="648"/>
      <c r="V1144" s="190"/>
      <c r="W1144" s="190"/>
      <c r="X1144" s="190"/>
      <c r="Y1144" s="190"/>
      <c r="Z1144" s="190"/>
      <c r="AA1144" s="190"/>
      <c r="AB1144" s="189"/>
      <c r="AC1144" s="189"/>
      <c r="AD1144" s="189"/>
      <c r="AE1144" s="189"/>
      <c r="AF1144" s="190"/>
      <c r="AG1144" s="190"/>
      <c r="AH1144" s="337"/>
      <c r="AI1144" s="190"/>
      <c r="AJ1144" s="190"/>
      <c r="AK1144" s="190"/>
      <c r="AL1144" s="189"/>
      <c r="AM1144" s="189"/>
      <c r="AN1144" s="189"/>
      <c r="AO1144" s="189"/>
      <c r="AP1144" s="189"/>
      <c r="AQ1144" s="189"/>
      <c r="AR1144" s="189"/>
      <c r="AS1144" s="189"/>
      <c r="AT1144" s="189"/>
      <c r="AU1144" s="190"/>
      <c r="AV1144" s="190"/>
      <c r="AW1144" s="190"/>
      <c r="AX1144" s="190"/>
      <c r="AY1144" s="190"/>
      <c r="AZ1144" s="189"/>
      <c r="BA1144" s="189"/>
      <c r="BB1144" s="189"/>
      <c r="BC1144" s="189"/>
      <c r="BD1144" s="189"/>
      <c r="BE1144" s="189"/>
      <c r="BF1144" s="189"/>
      <c r="BG1144" s="189"/>
      <c r="BH1144" s="189"/>
      <c r="BI1144" s="190"/>
      <c r="BJ1144" s="190"/>
      <c r="BK1144" s="190"/>
      <c r="BL1144" s="190"/>
      <c r="BM1144" s="190"/>
      <c r="BN1144" s="190"/>
      <c r="BO1144" s="190"/>
      <c r="BP1144" s="190"/>
      <c r="BQ1144" s="190"/>
      <c r="BR1144" s="190"/>
      <c r="BS1144" s="190"/>
      <c r="BT1144" s="190"/>
      <c r="BU1144" s="190"/>
      <c r="BV1144" s="190"/>
      <c r="BW1144" s="190"/>
      <c r="BX1144" s="190"/>
      <c r="BY1144" s="190"/>
      <c r="BZ1144" s="190"/>
      <c r="CA1144" s="189"/>
      <c r="CB1144" s="192"/>
    </row>
    <row r="1145" spans="1:80" x14ac:dyDescent="0.2">
      <c r="A1145" s="189"/>
      <c r="B1145" s="648"/>
      <c r="C1145" s="648"/>
      <c r="D1145" s="697"/>
      <c r="E1145" s="159"/>
      <c r="F1145" s="159"/>
      <c r="G1145" s="190"/>
      <c r="H1145" s="190"/>
      <c r="I1145" s="190"/>
      <c r="J1145" s="190"/>
      <c r="K1145" s="190"/>
      <c r="L1145" s="629"/>
      <c r="M1145" s="647" t="s">
        <v>759</v>
      </c>
      <c r="N1145" s="587">
        <v>8.6039999999999992</v>
      </c>
      <c r="O1145" s="593">
        <v>1.8794253361731399E-5</v>
      </c>
      <c r="P1145" s="648"/>
      <c r="Q1145" s="648"/>
      <c r="R1145" s="648"/>
      <c r="S1145" s="648"/>
      <c r="T1145" s="648"/>
      <c r="U1145" s="648"/>
      <c r="V1145" s="190"/>
      <c r="W1145" s="190"/>
      <c r="X1145" s="190"/>
      <c r="Y1145" s="190"/>
      <c r="Z1145" s="190"/>
      <c r="AA1145" s="190"/>
      <c r="AB1145" s="189"/>
      <c r="AC1145" s="189"/>
      <c r="AD1145" s="189"/>
      <c r="AE1145" s="189"/>
      <c r="AF1145" s="190"/>
      <c r="AG1145" s="190"/>
      <c r="AH1145" s="337"/>
      <c r="AI1145" s="190"/>
      <c r="AJ1145" s="190"/>
      <c r="AK1145" s="190"/>
      <c r="AL1145" s="189"/>
      <c r="AM1145" s="189"/>
      <c r="AN1145" s="189"/>
      <c r="AO1145" s="189"/>
      <c r="AP1145" s="189"/>
      <c r="AQ1145" s="189"/>
      <c r="AR1145" s="189"/>
      <c r="AS1145" s="189"/>
      <c r="AT1145" s="189"/>
      <c r="AU1145" s="190"/>
      <c r="AV1145" s="190"/>
      <c r="AW1145" s="190"/>
      <c r="AX1145" s="190"/>
      <c r="AY1145" s="190"/>
      <c r="AZ1145" s="189"/>
      <c r="BA1145" s="189"/>
      <c r="BB1145" s="189"/>
      <c r="BC1145" s="189"/>
      <c r="BD1145" s="189"/>
      <c r="BE1145" s="189"/>
      <c r="BF1145" s="189"/>
      <c r="BG1145" s="189"/>
      <c r="BH1145" s="189"/>
      <c r="BI1145" s="190"/>
      <c r="BJ1145" s="190"/>
      <c r="BK1145" s="190"/>
      <c r="BL1145" s="190"/>
      <c r="BM1145" s="190"/>
      <c r="BN1145" s="190"/>
      <c r="BO1145" s="190"/>
      <c r="BP1145" s="190"/>
      <c r="BQ1145" s="190"/>
      <c r="BR1145" s="190"/>
      <c r="BS1145" s="190"/>
      <c r="BT1145" s="190"/>
      <c r="BU1145" s="190"/>
      <c r="BV1145" s="190"/>
      <c r="BW1145" s="190"/>
      <c r="BX1145" s="190"/>
      <c r="BY1145" s="190"/>
      <c r="BZ1145" s="190"/>
      <c r="CA1145" s="189"/>
      <c r="CB1145" s="192"/>
    </row>
    <row r="1146" spans="1:80" x14ac:dyDescent="0.2">
      <c r="A1146" s="189"/>
      <c r="B1146" s="648"/>
      <c r="C1146" s="648"/>
      <c r="D1146" s="697"/>
      <c r="E1146" s="159"/>
      <c r="F1146" s="159"/>
      <c r="G1146" s="190"/>
      <c r="H1146" s="190"/>
      <c r="I1146" s="190"/>
      <c r="J1146" s="190"/>
      <c r="K1146" s="190"/>
      <c r="L1146" s="629"/>
      <c r="M1146" s="647" t="s">
        <v>760</v>
      </c>
      <c r="N1146" s="587">
        <v>9.9440000000000008</v>
      </c>
      <c r="O1146" s="593">
        <v>4.824075662903038E-6</v>
      </c>
      <c r="P1146" s="648"/>
      <c r="Q1146" s="648"/>
      <c r="R1146" s="648"/>
      <c r="S1146" s="648"/>
      <c r="T1146" s="648"/>
      <c r="U1146" s="648"/>
      <c r="V1146" s="190"/>
      <c r="W1146" s="190"/>
      <c r="X1146" s="190"/>
      <c r="Y1146" s="190"/>
      <c r="Z1146" s="190"/>
      <c r="AA1146" s="190"/>
      <c r="AB1146" s="189"/>
      <c r="AC1146" s="189"/>
      <c r="AD1146" s="189"/>
      <c r="AE1146" s="189"/>
      <c r="AF1146" s="190"/>
      <c r="AG1146" s="190"/>
      <c r="AH1146" s="337"/>
      <c r="AI1146" s="190"/>
      <c r="AJ1146" s="190"/>
      <c r="AK1146" s="190"/>
      <c r="AL1146" s="189"/>
      <c r="AM1146" s="189"/>
      <c r="AN1146" s="189"/>
      <c r="AO1146" s="189"/>
      <c r="AP1146" s="189"/>
      <c r="AQ1146" s="189"/>
      <c r="AR1146" s="189"/>
      <c r="AS1146" s="189"/>
      <c r="AT1146" s="189"/>
      <c r="AU1146" s="190"/>
      <c r="AV1146" s="190"/>
      <c r="AW1146" s="190"/>
      <c r="AX1146" s="190"/>
      <c r="AY1146" s="190"/>
      <c r="AZ1146" s="189"/>
      <c r="BA1146" s="189"/>
      <c r="BB1146" s="189"/>
      <c r="BC1146" s="189"/>
      <c r="BD1146" s="189"/>
      <c r="BE1146" s="189"/>
      <c r="BF1146" s="189"/>
      <c r="BG1146" s="189"/>
      <c r="BH1146" s="189"/>
      <c r="BI1146" s="190"/>
      <c r="BJ1146" s="190"/>
      <c r="BK1146" s="190"/>
      <c r="BL1146" s="190"/>
      <c r="BM1146" s="190"/>
      <c r="BN1146" s="190"/>
      <c r="BO1146" s="190"/>
      <c r="BP1146" s="190"/>
      <c r="BQ1146" s="190"/>
      <c r="BR1146" s="190"/>
      <c r="BS1146" s="190"/>
      <c r="BT1146" s="190"/>
      <c r="BU1146" s="190"/>
      <c r="BV1146" s="190"/>
      <c r="BW1146" s="190"/>
      <c r="BX1146" s="190"/>
      <c r="BY1146" s="190"/>
      <c r="BZ1146" s="190"/>
      <c r="CA1146" s="189"/>
      <c r="CB1146" s="192"/>
    </row>
    <row r="1147" spans="1:80" x14ac:dyDescent="0.2">
      <c r="A1147" s="189"/>
      <c r="B1147" s="648"/>
      <c r="C1147" s="648"/>
      <c r="D1147" s="697"/>
      <c r="E1147" s="159"/>
      <c r="F1147" s="159"/>
      <c r="G1147" s="190"/>
      <c r="H1147" s="190"/>
      <c r="I1147" s="190"/>
      <c r="J1147" s="190"/>
      <c r="K1147" s="190"/>
      <c r="L1147" s="629"/>
      <c r="M1147" s="647" t="s">
        <v>761</v>
      </c>
      <c r="N1147" s="587">
        <v>11.278</v>
      </c>
      <c r="O1147" s="593">
        <v>1.2505253197142429E-5</v>
      </c>
      <c r="P1147" s="190"/>
      <c r="Q1147" s="190"/>
      <c r="R1147" s="190"/>
      <c r="S1147" s="190"/>
      <c r="T1147" s="190"/>
      <c r="U1147" s="190"/>
      <c r="V1147" s="190"/>
      <c r="W1147" s="190"/>
      <c r="X1147" s="190"/>
      <c r="Y1147" s="190"/>
      <c r="Z1147" s="190"/>
      <c r="AA1147" s="190"/>
      <c r="AB1147" s="189"/>
      <c r="AC1147" s="189"/>
      <c r="AD1147" s="189"/>
      <c r="AE1147" s="189"/>
      <c r="AF1147" s="190"/>
      <c r="AG1147" s="190"/>
      <c r="AH1147" s="337"/>
      <c r="AI1147" s="190"/>
      <c r="AJ1147" s="190"/>
      <c r="AK1147" s="190"/>
      <c r="AL1147" s="189"/>
      <c r="AM1147" s="189"/>
      <c r="AN1147" s="189"/>
      <c r="AO1147" s="189"/>
      <c r="AP1147" s="189"/>
      <c r="AQ1147" s="189"/>
      <c r="AR1147" s="189"/>
      <c r="AS1147" s="189"/>
      <c r="AT1147" s="189"/>
      <c r="AU1147" s="190"/>
      <c r="AV1147" s="190"/>
      <c r="AW1147" s="190"/>
      <c r="AX1147" s="190"/>
      <c r="AY1147" s="190"/>
      <c r="AZ1147" s="189"/>
      <c r="BA1147" s="189"/>
      <c r="BB1147" s="189"/>
      <c r="BC1147" s="189"/>
      <c r="BD1147" s="189"/>
      <c r="BE1147" s="189"/>
      <c r="BF1147" s="189"/>
      <c r="BG1147" s="189"/>
      <c r="BH1147" s="189"/>
      <c r="BI1147" s="190"/>
      <c r="BJ1147" s="190"/>
      <c r="BK1147" s="190"/>
      <c r="BL1147" s="190"/>
      <c r="BM1147" s="190"/>
      <c r="BN1147" s="190"/>
      <c r="BO1147" s="190"/>
      <c r="BP1147" s="190"/>
      <c r="BQ1147" s="190"/>
      <c r="BR1147" s="190"/>
      <c r="BS1147" s="190"/>
      <c r="BT1147" s="190"/>
      <c r="BU1147" s="190"/>
      <c r="BV1147" s="190"/>
      <c r="BW1147" s="190"/>
      <c r="BX1147" s="190"/>
      <c r="BY1147" s="190"/>
      <c r="BZ1147" s="190"/>
      <c r="CA1147" s="189"/>
      <c r="CB1147" s="192"/>
    </row>
    <row r="1148" spans="1:80" x14ac:dyDescent="0.2">
      <c r="A1148" s="189"/>
      <c r="B1148" s="648"/>
      <c r="C1148" s="648"/>
      <c r="D1148" s="697"/>
      <c r="E1148" s="159"/>
      <c r="F1148" s="159"/>
      <c r="G1148" s="190"/>
      <c r="H1148" s="190"/>
      <c r="I1148" s="190"/>
      <c r="J1148" s="190"/>
      <c r="K1148" s="190"/>
      <c r="L1148" s="629"/>
      <c r="M1148" s="647" t="s">
        <v>762</v>
      </c>
      <c r="N1148" s="587">
        <v>12.611000000000001</v>
      </c>
      <c r="O1148" s="592">
        <v>8.5402050315723464E-5</v>
      </c>
      <c r="P1148" s="190"/>
      <c r="Q1148" s="190"/>
      <c r="R1148" s="190"/>
      <c r="S1148" s="190"/>
      <c r="T1148" s="190"/>
      <c r="U1148" s="190"/>
      <c r="V1148" s="190"/>
      <c r="W1148" s="190"/>
      <c r="X1148" s="190"/>
      <c r="Y1148" s="190"/>
      <c r="Z1148" s="190"/>
      <c r="AA1148" s="190"/>
      <c r="AB1148" s="189"/>
      <c r="AC1148" s="189"/>
      <c r="AD1148" s="189"/>
      <c r="AE1148" s="189"/>
      <c r="AF1148" s="190"/>
      <c r="AG1148" s="190"/>
      <c r="AH1148" s="337"/>
      <c r="AI1148" s="190"/>
      <c r="AJ1148" s="190"/>
      <c r="AK1148" s="190"/>
      <c r="AL1148" s="189"/>
      <c r="AM1148" s="189"/>
      <c r="AN1148" s="189"/>
      <c r="AO1148" s="189"/>
      <c r="AP1148" s="189"/>
      <c r="AQ1148" s="189"/>
      <c r="AR1148" s="189"/>
      <c r="AS1148" s="189"/>
      <c r="AT1148" s="189"/>
      <c r="AU1148" s="190"/>
      <c r="AV1148" s="190"/>
      <c r="AW1148" s="190"/>
      <c r="AX1148" s="190"/>
      <c r="AY1148" s="190"/>
      <c r="AZ1148" s="189"/>
      <c r="BA1148" s="189"/>
      <c r="BB1148" s="189"/>
      <c r="BC1148" s="189"/>
      <c r="BD1148" s="189"/>
      <c r="BE1148" s="189"/>
      <c r="BF1148" s="189"/>
      <c r="BG1148" s="189"/>
      <c r="BH1148" s="189"/>
      <c r="BI1148" s="190"/>
      <c r="BJ1148" s="190"/>
      <c r="BK1148" s="190"/>
      <c r="BL1148" s="190"/>
      <c r="BM1148" s="190"/>
      <c r="BN1148" s="190"/>
      <c r="BO1148" s="190"/>
      <c r="BP1148" s="190"/>
      <c r="BQ1148" s="190"/>
      <c r="BR1148" s="190"/>
      <c r="BS1148" s="190"/>
      <c r="BT1148" s="190"/>
      <c r="BU1148" s="190"/>
      <c r="BV1148" s="190"/>
      <c r="BW1148" s="190"/>
      <c r="BX1148" s="190"/>
      <c r="BY1148" s="190"/>
      <c r="BZ1148" s="190"/>
      <c r="CA1148" s="189"/>
      <c r="CB1148" s="192"/>
    </row>
    <row r="1149" spans="1:80" x14ac:dyDescent="0.2">
      <c r="A1149" s="189"/>
      <c r="B1149" s="648"/>
      <c r="C1149" s="648"/>
      <c r="D1149" s="697"/>
      <c r="E1149" s="159"/>
      <c r="F1149" s="159"/>
      <c r="G1149" s="190"/>
      <c r="H1149" s="190"/>
      <c r="I1149" s="190"/>
      <c r="J1149" s="190"/>
      <c r="K1149" s="190"/>
      <c r="L1149" s="629"/>
      <c r="M1149" s="647" t="s">
        <v>763</v>
      </c>
      <c r="N1149" s="587">
        <v>12.611000000000001</v>
      </c>
      <c r="O1149" s="592">
        <v>1.874997678110195E-4</v>
      </c>
      <c r="P1149" s="190"/>
      <c r="Q1149" s="190"/>
      <c r="R1149" s="190"/>
      <c r="S1149" s="190"/>
      <c r="T1149" s="190"/>
      <c r="U1149" s="190"/>
      <c r="V1149" s="190"/>
      <c r="W1149" s="190"/>
      <c r="X1149" s="190"/>
      <c r="Y1149" s="190"/>
      <c r="Z1149" s="190"/>
      <c r="AA1149" s="190"/>
      <c r="AB1149" s="189"/>
      <c r="AC1149" s="189"/>
      <c r="AD1149" s="189"/>
      <c r="AE1149" s="189"/>
      <c r="AF1149" s="190"/>
      <c r="AG1149" s="190"/>
      <c r="AH1149" s="337"/>
      <c r="AI1149" s="190"/>
      <c r="AJ1149" s="190"/>
      <c r="AK1149" s="190"/>
      <c r="AL1149" s="189"/>
      <c r="AM1149" s="189"/>
      <c r="AN1149" s="189"/>
      <c r="AO1149" s="189"/>
      <c r="AP1149" s="189"/>
      <c r="AQ1149" s="189"/>
      <c r="AR1149" s="189"/>
      <c r="AS1149" s="189"/>
      <c r="AT1149" s="189"/>
      <c r="AU1149" s="190"/>
      <c r="AV1149" s="190"/>
      <c r="AW1149" s="190"/>
      <c r="AX1149" s="190"/>
      <c r="AY1149" s="190"/>
      <c r="AZ1149" s="189"/>
      <c r="BA1149" s="189"/>
      <c r="BB1149" s="189"/>
      <c r="BC1149" s="189"/>
      <c r="BD1149" s="189"/>
      <c r="BE1149" s="189"/>
      <c r="BF1149" s="189"/>
      <c r="BG1149" s="189"/>
      <c r="BH1149" s="189"/>
      <c r="BI1149" s="190"/>
      <c r="BJ1149" s="190"/>
      <c r="BK1149" s="190"/>
      <c r="BL1149" s="190"/>
      <c r="BM1149" s="190"/>
      <c r="BN1149" s="190"/>
      <c r="BO1149" s="190"/>
      <c r="BP1149" s="190"/>
      <c r="BQ1149" s="190"/>
      <c r="BR1149" s="190"/>
      <c r="BS1149" s="190"/>
      <c r="BT1149" s="190"/>
      <c r="BU1149" s="190"/>
      <c r="BV1149" s="190"/>
      <c r="BW1149" s="190"/>
      <c r="BX1149" s="190"/>
      <c r="BY1149" s="190"/>
      <c r="BZ1149" s="190"/>
      <c r="CA1149" s="189"/>
      <c r="CB1149" s="192"/>
    </row>
    <row r="1150" spans="1:80" x14ac:dyDescent="0.2">
      <c r="A1150" s="189"/>
      <c r="B1150" s="648"/>
      <c r="C1150" s="648"/>
      <c r="D1150" s="697"/>
      <c r="E1150" s="159"/>
      <c r="F1150" s="159"/>
      <c r="G1150" s="190"/>
      <c r="H1150" s="190"/>
      <c r="I1150" s="190"/>
      <c r="J1150" s="190"/>
      <c r="K1150" s="190"/>
      <c r="L1150" s="629"/>
      <c r="M1150" s="647" t="s">
        <v>764</v>
      </c>
      <c r="N1150" s="587">
        <v>14.384</v>
      </c>
      <c r="O1150" s="592">
        <v>8.1539129290644676E-4</v>
      </c>
      <c r="P1150" s="190"/>
      <c r="Q1150" s="190"/>
      <c r="R1150" s="190"/>
      <c r="S1150" s="190"/>
      <c r="T1150" s="190"/>
      <c r="U1150" s="190"/>
      <c r="V1150" s="190"/>
      <c r="W1150" s="190"/>
      <c r="X1150" s="190"/>
      <c r="Y1150" s="190"/>
      <c r="Z1150" s="190"/>
      <c r="AA1150" s="190"/>
      <c r="AB1150" s="189"/>
      <c r="AC1150" s="189"/>
      <c r="AD1150" s="189"/>
      <c r="AE1150" s="189"/>
      <c r="AF1150" s="190"/>
      <c r="AG1150" s="190"/>
      <c r="AH1150" s="337"/>
      <c r="AI1150" s="190"/>
      <c r="AJ1150" s="190"/>
      <c r="AK1150" s="190"/>
      <c r="AL1150" s="189"/>
      <c r="AM1150" s="189"/>
      <c r="AN1150" s="189"/>
      <c r="AO1150" s="189"/>
      <c r="AP1150" s="189"/>
      <c r="AQ1150" s="189"/>
      <c r="AR1150" s="189"/>
      <c r="AS1150" s="189"/>
      <c r="AT1150" s="189"/>
      <c r="AU1150" s="190"/>
      <c r="AV1150" s="190"/>
      <c r="AW1150" s="190"/>
      <c r="AX1150" s="190"/>
      <c r="AY1150" s="190"/>
      <c r="AZ1150" s="189"/>
      <c r="BA1150" s="189"/>
      <c r="BB1150" s="189"/>
      <c r="BC1150" s="189"/>
      <c r="BD1150" s="189"/>
      <c r="BE1150" s="189"/>
      <c r="BF1150" s="189"/>
      <c r="BG1150" s="189"/>
      <c r="BH1150" s="189"/>
      <c r="BI1150" s="190"/>
      <c r="BJ1150" s="190"/>
      <c r="BK1150" s="190"/>
      <c r="BL1150" s="190"/>
      <c r="BM1150" s="190"/>
      <c r="BN1150" s="190"/>
      <c r="BO1150" s="190"/>
      <c r="BP1150" s="190"/>
      <c r="BQ1150" s="190"/>
      <c r="BR1150" s="190"/>
      <c r="BS1150" s="190"/>
      <c r="BT1150" s="190"/>
      <c r="BU1150" s="190"/>
      <c r="BV1150" s="190"/>
      <c r="BW1150" s="190"/>
      <c r="BX1150" s="190"/>
      <c r="BY1150" s="190"/>
      <c r="BZ1150" s="190"/>
      <c r="CA1150" s="189"/>
      <c r="CB1150" s="192"/>
    </row>
    <row r="1151" spans="1:80" x14ac:dyDescent="0.2">
      <c r="A1151" s="189"/>
      <c r="B1151" s="648"/>
      <c r="C1151" s="648"/>
      <c r="D1151" s="697"/>
      <c r="E1151" s="159"/>
      <c r="F1151" s="159"/>
      <c r="G1151" s="190"/>
      <c r="H1151" s="190"/>
      <c r="I1151" s="190"/>
      <c r="J1151" s="190"/>
      <c r="K1151" s="190"/>
      <c r="L1151" s="629"/>
      <c r="M1151" s="647" t="s">
        <v>765</v>
      </c>
      <c r="N1151" s="587">
        <v>14.394</v>
      </c>
      <c r="O1151" s="592">
        <v>4.1339829996864128E-4</v>
      </c>
      <c r="P1151" s="190"/>
      <c r="Q1151" s="190"/>
      <c r="R1151" s="190"/>
      <c r="S1151" s="190"/>
      <c r="T1151" s="190"/>
      <c r="U1151" s="190"/>
      <c r="V1151" s="190"/>
      <c r="W1151" s="190"/>
      <c r="X1151" s="190"/>
      <c r="Y1151" s="190"/>
      <c r="Z1151" s="190"/>
      <c r="AA1151" s="190"/>
      <c r="AB1151" s="189"/>
      <c r="AC1151" s="189"/>
      <c r="AD1151" s="189"/>
      <c r="AE1151" s="189"/>
      <c r="AF1151" s="190"/>
      <c r="AG1151" s="190"/>
      <c r="AH1151" s="337"/>
      <c r="AI1151" s="190"/>
      <c r="AJ1151" s="190"/>
      <c r="AK1151" s="190"/>
      <c r="AL1151" s="189"/>
      <c r="AM1151" s="189"/>
      <c r="AN1151" s="189"/>
      <c r="AO1151" s="189"/>
      <c r="AP1151" s="189"/>
      <c r="AQ1151" s="189"/>
      <c r="AR1151" s="189"/>
      <c r="AS1151" s="189"/>
      <c r="AT1151" s="189"/>
      <c r="AU1151" s="190"/>
      <c r="AV1151" s="190"/>
      <c r="AW1151" s="190"/>
      <c r="AX1151" s="190"/>
      <c r="AY1151" s="190"/>
      <c r="AZ1151" s="189"/>
      <c r="BA1151" s="189"/>
      <c r="BB1151" s="189"/>
      <c r="BC1151" s="189"/>
      <c r="BD1151" s="189"/>
      <c r="BE1151" s="189"/>
      <c r="BF1151" s="189"/>
      <c r="BG1151" s="189"/>
      <c r="BH1151" s="189"/>
      <c r="BI1151" s="190"/>
      <c r="BJ1151" s="190"/>
      <c r="BK1151" s="190"/>
      <c r="BL1151" s="190"/>
      <c r="BM1151" s="190"/>
      <c r="BN1151" s="190"/>
      <c r="BO1151" s="190"/>
      <c r="BP1151" s="190"/>
      <c r="BQ1151" s="190"/>
      <c r="BR1151" s="190"/>
      <c r="BS1151" s="190"/>
      <c r="BT1151" s="190"/>
      <c r="BU1151" s="190"/>
      <c r="BV1151" s="190"/>
      <c r="BW1151" s="190"/>
      <c r="BX1151" s="190"/>
      <c r="BY1151" s="190"/>
      <c r="BZ1151" s="190"/>
      <c r="CA1151" s="189"/>
      <c r="CB1151" s="192"/>
    </row>
    <row r="1152" spans="1:80" x14ac:dyDescent="0.2">
      <c r="A1152" s="189"/>
      <c r="B1152" s="648"/>
      <c r="C1152" s="648"/>
      <c r="D1152" s="697"/>
      <c r="E1152" s="159"/>
      <c r="F1152" s="159"/>
      <c r="G1152" s="190"/>
      <c r="H1152" s="190"/>
      <c r="I1152" s="190"/>
      <c r="J1152" s="190"/>
      <c r="K1152" s="190"/>
      <c r="L1152" s="629"/>
      <c r="M1152" s="647" t="s">
        <v>766</v>
      </c>
      <c r="N1152" s="587">
        <v>14.839</v>
      </c>
      <c r="O1152" s="592">
        <v>1.6973009898849271E-4</v>
      </c>
      <c r="P1152" s="190"/>
      <c r="Q1152" s="190"/>
      <c r="R1152" s="190"/>
      <c r="S1152" s="190"/>
      <c r="T1152" s="190"/>
      <c r="U1152" s="190"/>
      <c r="V1152" s="190"/>
      <c r="W1152" s="190"/>
      <c r="X1152" s="190"/>
      <c r="Y1152" s="190"/>
      <c r="Z1152" s="190"/>
      <c r="AA1152" s="190"/>
      <c r="AB1152" s="189"/>
      <c r="AC1152" s="189"/>
      <c r="AD1152" s="189"/>
      <c r="AE1152" s="189"/>
      <c r="AF1152" s="190"/>
      <c r="AG1152" s="190"/>
      <c r="AH1152" s="337"/>
      <c r="AI1152" s="190"/>
      <c r="AJ1152" s="190"/>
      <c r="AK1152" s="190"/>
      <c r="AL1152" s="189"/>
      <c r="AM1152" s="189"/>
      <c r="AN1152" s="189"/>
      <c r="AO1152" s="189"/>
      <c r="AP1152" s="189"/>
      <c r="AQ1152" s="189"/>
      <c r="AR1152" s="189"/>
      <c r="AS1152" s="189"/>
      <c r="AT1152" s="189"/>
      <c r="AU1152" s="190"/>
      <c r="AV1152" s="190"/>
      <c r="AW1152" s="190"/>
      <c r="AX1152" s="190"/>
      <c r="AY1152" s="190"/>
      <c r="AZ1152" s="189"/>
      <c r="BA1152" s="189"/>
      <c r="BB1152" s="189"/>
      <c r="BC1152" s="189"/>
      <c r="BD1152" s="189"/>
      <c r="BE1152" s="189"/>
      <c r="BF1152" s="189"/>
      <c r="BG1152" s="189"/>
      <c r="BH1152" s="189"/>
      <c r="BI1152" s="190"/>
      <c r="BJ1152" s="190"/>
      <c r="BK1152" s="190"/>
      <c r="BL1152" s="190"/>
      <c r="BM1152" s="190"/>
      <c r="BN1152" s="190"/>
      <c r="BO1152" s="190"/>
      <c r="BP1152" s="190"/>
      <c r="BQ1152" s="190"/>
      <c r="BR1152" s="190"/>
      <c r="BS1152" s="190"/>
      <c r="BT1152" s="190"/>
      <c r="BU1152" s="190"/>
      <c r="BV1152" s="190"/>
      <c r="BW1152" s="190"/>
      <c r="BX1152" s="190"/>
      <c r="BY1152" s="190"/>
      <c r="BZ1152" s="190"/>
      <c r="CA1152" s="189"/>
      <c r="CB1152" s="192"/>
    </row>
    <row r="1153" spans="1:80" x14ac:dyDescent="0.2">
      <c r="A1153" s="189"/>
      <c r="B1153" s="648"/>
      <c r="C1153" s="648"/>
      <c r="D1153" s="697"/>
      <c r="E1153" s="159"/>
      <c r="F1153" s="159"/>
      <c r="G1153" s="190"/>
      <c r="H1153" s="190"/>
      <c r="I1153" s="190"/>
      <c r="J1153" s="190"/>
      <c r="K1153" s="190"/>
      <c r="L1153" s="629"/>
      <c r="M1153" s="647" t="s">
        <v>767</v>
      </c>
      <c r="N1153" s="587">
        <v>16.614000000000001</v>
      </c>
      <c r="O1153" s="592">
        <v>9.9189822196976522E-4</v>
      </c>
      <c r="P1153" s="190"/>
      <c r="Q1153" s="190"/>
      <c r="R1153" s="190"/>
      <c r="S1153" s="190"/>
      <c r="T1153" s="190"/>
      <c r="U1153" s="190"/>
      <c r="V1153" s="190"/>
      <c r="W1153" s="190"/>
      <c r="X1153" s="190"/>
      <c r="Y1153" s="190"/>
      <c r="Z1153" s="190"/>
      <c r="AA1153" s="190"/>
      <c r="AB1153" s="189"/>
      <c r="AC1153" s="189"/>
      <c r="AD1153" s="189"/>
      <c r="AE1153" s="189"/>
      <c r="AF1153" s="190"/>
      <c r="AG1153" s="190"/>
      <c r="AH1153" s="337"/>
      <c r="AI1153" s="190"/>
      <c r="AJ1153" s="190"/>
      <c r="AK1153" s="190"/>
      <c r="AL1153" s="189"/>
      <c r="AM1153" s="189"/>
      <c r="AN1153" s="189"/>
      <c r="AO1153" s="189"/>
      <c r="AP1153" s="189"/>
      <c r="AQ1153" s="189"/>
      <c r="AR1153" s="189"/>
      <c r="AS1153" s="189"/>
      <c r="AT1153" s="189"/>
      <c r="AU1153" s="190"/>
      <c r="AV1153" s="190"/>
      <c r="AW1153" s="190"/>
      <c r="AX1153" s="190"/>
      <c r="AY1153" s="190"/>
      <c r="AZ1153" s="189"/>
      <c r="BA1153" s="189"/>
      <c r="BB1153" s="189"/>
      <c r="BC1153" s="189"/>
      <c r="BD1153" s="189"/>
      <c r="BE1153" s="189"/>
      <c r="BF1153" s="189"/>
      <c r="BG1153" s="189"/>
      <c r="BH1153" s="189"/>
      <c r="BI1153" s="190"/>
      <c r="BJ1153" s="190"/>
      <c r="BK1153" s="190"/>
      <c r="BL1153" s="190"/>
      <c r="BM1153" s="190"/>
      <c r="BN1153" s="190"/>
      <c r="BO1153" s="190"/>
      <c r="BP1153" s="190"/>
      <c r="BQ1153" s="190"/>
      <c r="BR1153" s="190"/>
      <c r="BS1153" s="190"/>
      <c r="BT1153" s="190"/>
      <c r="BU1153" s="190"/>
      <c r="BV1153" s="190"/>
      <c r="BW1153" s="190"/>
      <c r="BX1153" s="190"/>
      <c r="BY1153" s="190"/>
      <c r="BZ1153" s="190"/>
      <c r="CA1153" s="189"/>
      <c r="CB1153" s="192"/>
    </row>
    <row r="1154" spans="1:80" x14ac:dyDescent="0.2">
      <c r="A1154" s="189"/>
      <c r="B1154" s="648"/>
      <c r="C1154" s="648"/>
      <c r="D1154" s="697"/>
      <c r="E1154" s="159"/>
      <c r="F1154" s="159"/>
      <c r="G1154" s="190"/>
      <c r="H1154" s="190"/>
      <c r="I1154" s="190"/>
      <c r="J1154" s="190"/>
      <c r="K1154" s="190"/>
      <c r="L1154" s="629"/>
      <c r="M1154" s="647" t="s">
        <v>768</v>
      </c>
      <c r="N1154" s="587">
        <v>13.500999999999999</v>
      </c>
      <c r="O1154" s="593">
        <v>4.1689810129381744E-5</v>
      </c>
      <c r="P1154" s="190"/>
      <c r="Q1154" s="190"/>
      <c r="R1154" s="190"/>
      <c r="S1154" s="190"/>
      <c r="T1154" s="190"/>
      <c r="U1154" s="190"/>
      <c r="V1154" s="190"/>
      <c r="W1154" s="190"/>
      <c r="X1154" s="190"/>
      <c r="Y1154" s="190"/>
      <c r="Z1154" s="190"/>
      <c r="AA1154" s="190"/>
      <c r="AB1154" s="189"/>
      <c r="AC1154" s="189"/>
      <c r="AD1154" s="189"/>
      <c r="AE1154" s="189"/>
      <c r="AF1154" s="190"/>
      <c r="AG1154" s="190"/>
      <c r="AH1154" s="337"/>
      <c r="AI1154" s="190"/>
      <c r="AJ1154" s="190"/>
      <c r="AK1154" s="190"/>
      <c r="AL1154" s="189"/>
      <c r="AM1154" s="189"/>
      <c r="AN1154" s="189"/>
      <c r="AO1154" s="189"/>
      <c r="AP1154" s="189"/>
      <c r="AQ1154" s="189"/>
      <c r="AR1154" s="189"/>
      <c r="AS1154" s="189"/>
      <c r="AT1154" s="189"/>
      <c r="AU1154" s="190"/>
      <c r="AV1154" s="190"/>
      <c r="AW1154" s="190"/>
      <c r="AX1154" s="190"/>
      <c r="AY1154" s="190"/>
      <c r="AZ1154" s="189"/>
      <c r="BA1154" s="189"/>
      <c r="BB1154" s="189"/>
      <c r="BC1154" s="189"/>
      <c r="BD1154" s="189"/>
      <c r="BE1154" s="189"/>
      <c r="BF1154" s="189"/>
      <c r="BG1154" s="189"/>
      <c r="BH1154" s="189"/>
      <c r="BI1154" s="190"/>
      <c r="BJ1154" s="190"/>
      <c r="BK1154" s="190"/>
      <c r="BL1154" s="190"/>
      <c r="BM1154" s="190"/>
      <c r="BN1154" s="190"/>
      <c r="BO1154" s="190"/>
      <c r="BP1154" s="190"/>
      <c r="BQ1154" s="190"/>
      <c r="BR1154" s="190"/>
      <c r="BS1154" s="190"/>
      <c r="BT1154" s="190"/>
      <c r="BU1154" s="190"/>
      <c r="BV1154" s="190"/>
      <c r="BW1154" s="190"/>
      <c r="BX1154" s="190"/>
      <c r="BY1154" s="190"/>
      <c r="BZ1154" s="190"/>
      <c r="CA1154" s="189"/>
      <c r="CB1154" s="192"/>
    </row>
    <row r="1155" spans="1:80" x14ac:dyDescent="0.2">
      <c r="A1155" s="189"/>
      <c r="B1155" s="648"/>
      <c r="C1155" s="648"/>
      <c r="D1155" s="697"/>
      <c r="E1155" s="159"/>
      <c r="F1155" s="159"/>
      <c r="G1155" s="190"/>
      <c r="H1155" s="190"/>
      <c r="I1155" s="190"/>
      <c r="J1155" s="190"/>
      <c r="K1155" s="190"/>
      <c r="L1155" s="629"/>
      <c r="M1155" s="647" t="s">
        <v>769</v>
      </c>
      <c r="N1155" s="587">
        <v>12.167</v>
      </c>
      <c r="O1155" s="593">
        <v>7.5856525262485398E-6</v>
      </c>
      <c r="P1155" s="190"/>
      <c r="Q1155" s="190"/>
      <c r="R1155" s="190"/>
      <c r="S1155" s="190"/>
      <c r="T1155" s="190"/>
      <c r="U1155" s="190"/>
      <c r="V1155" s="190"/>
      <c r="W1155" s="190"/>
      <c r="X1155" s="190"/>
      <c r="Y1155" s="190"/>
      <c r="Z1155" s="190"/>
      <c r="AA1155" s="190"/>
      <c r="AB1155" s="189"/>
      <c r="AC1155" s="189"/>
      <c r="AD1155" s="189"/>
      <c r="AE1155" s="189"/>
      <c r="AF1155" s="190"/>
      <c r="AG1155" s="190"/>
      <c r="AH1155" s="337"/>
      <c r="AI1155" s="190"/>
      <c r="AJ1155" s="190"/>
      <c r="AK1155" s="190"/>
      <c r="AL1155" s="189"/>
      <c r="AM1155" s="189"/>
      <c r="AN1155" s="189"/>
      <c r="AO1155" s="189"/>
      <c r="AP1155" s="189"/>
      <c r="AQ1155" s="189"/>
      <c r="AR1155" s="189"/>
      <c r="AS1155" s="189"/>
      <c r="AT1155" s="189"/>
      <c r="AU1155" s="190"/>
      <c r="AV1155" s="190"/>
      <c r="AW1155" s="190"/>
      <c r="AX1155" s="190"/>
      <c r="AY1155" s="190"/>
      <c r="AZ1155" s="189"/>
      <c r="BA1155" s="189"/>
      <c r="BB1155" s="189"/>
      <c r="BC1155" s="189"/>
      <c r="BD1155" s="189"/>
      <c r="BE1155" s="189"/>
      <c r="BF1155" s="189"/>
      <c r="BG1155" s="189"/>
      <c r="BH1155" s="189"/>
      <c r="BI1155" s="190"/>
      <c r="BJ1155" s="190"/>
      <c r="BK1155" s="190"/>
      <c r="BL1155" s="190"/>
      <c r="BM1155" s="190"/>
      <c r="BN1155" s="190"/>
      <c r="BO1155" s="190"/>
      <c r="BP1155" s="190"/>
      <c r="BQ1155" s="190"/>
      <c r="BR1155" s="190"/>
      <c r="BS1155" s="190"/>
      <c r="BT1155" s="190"/>
      <c r="BU1155" s="190"/>
      <c r="BV1155" s="190"/>
      <c r="BW1155" s="190"/>
      <c r="BX1155" s="190"/>
      <c r="BY1155" s="190"/>
      <c r="BZ1155" s="190"/>
      <c r="CA1155" s="189"/>
      <c r="CB1155" s="192"/>
    </row>
    <row r="1156" spans="1:80" x14ac:dyDescent="0.2">
      <c r="A1156" s="189"/>
      <c r="B1156" s="648"/>
      <c r="C1156" s="648"/>
      <c r="D1156" s="697"/>
      <c r="E1156" s="159"/>
      <c r="F1156" s="159"/>
      <c r="G1156" s="190"/>
      <c r="H1156" s="190"/>
      <c r="I1156" s="190"/>
      <c r="J1156" s="190"/>
      <c r="K1156" s="190"/>
      <c r="L1156" s="629"/>
      <c r="M1156" s="647" t="s">
        <v>770</v>
      </c>
      <c r="N1156" s="587">
        <v>10.387</v>
      </c>
      <c r="O1156" s="593">
        <v>1.7376154992905443E-5</v>
      </c>
      <c r="P1156" s="190"/>
      <c r="Q1156" s="190"/>
      <c r="R1156" s="190"/>
      <c r="S1156" s="190"/>
      <c r="T1156" s="190"/>
      <c r="U1156" s="190"/>
      <c r="V1156" s="190"/>
      <c r="W1156" s="190"/>
      <c r="X1156" s="190"/>
      <c r="Y1156" s="190"/>
      <c r="Z1156" s="190"/>
      <c r="AA1156" s="190"/>
      <c r="AB1156" s="189"/>
      <c r="AC1156" s="189"/>
      <c r="AD1156" s="189"/>
      <c r="AE1156" s="189"/>
      <c r="AF1156" s="190"/>
      <c r="AG1156" s="190"/>
      <c r="AH1156" s="337"/>
      <c r="AI1156" s="190"/>
      <c r="AJ1156" s="190"/>
      <c r="AK1156" s="190"/>
      <c r="AL1156" s="189"/>
      <c r="AM1156" s="189"/>
      <c r="AN1156" s="189"/>
      <c r="AO1156" s="189"/>
      <c r="AP1156" s="189"/>
      <c r="AQ1156" s="189"/>
      <c r="AR1156" s="189"/>
      <c r="AS1156" s="189"/>
      <c r="AT1156" s="189"/>
      <c r="AU1156" s="190"/>
      <c r="AV1156" s="190"/>
      <c r="AW1156" s="190"/>
      <c r="AX1156" s="190"/>
      <c r="AY1156" s="190"/>
      <c r="AZ1156" s="189"/>
      <c r="BA1156" s="189"/>
      <c r="BB1156" s="189"/>
      <c r="BC1156" s="189"/>
      <c r="BD1156" s="189"/>
      <c r="BE1156" s="189"/>
      <c r="BF1156" s="189"/>
      <c r="BG1156" s="189"/>
      <c r="BH1156" s="189"/>
      <c r="BI1156" s="190"/>
      <c r="BJ1156" s="190"/>
      <c r="BK1156" s="190"/>
      <c r="BL1156" s="190"/>
      <c r="BM1156" s="190"/>
      <c r="BN1156" s="190"/>
      <c r="BO1156" s="190"/>
      <c r="BP1156" s="190"/>
      <c r="BQ1156" s="190"/>
      <c r="BR1156" s="190"/>
      <c r="BS1156" s="190"/>
      <c r="BT1156" s="190"/>
      <c r="BU1156" s="190"/>
      <c r="BV1156" s="190"/>
      <c r="BW1156" s="190"/>
      <c r="BX1156" s="190"/>
      <c r="BY1156" s="190"/>
      <c r="BZ1156" s="190"/>
      <c r="CA1156" s="189"/>
      <c r="CB1156" s="192"/>
    </row>
    <row r="1157" spans="1:80" x14ac:dyDescent="0.2">
      <c r="A1157" s="189"/>
      <c r="B1157" s="648"/>
      <c r="C1157" s="648"/>
      <c r="D1157" s="697"/>
      <c r="E1157" s="159"/>
      <c r="F1157" s="159"/>
      <c r="G1157" s="190"/>
      <c r="H1157" s="190"/>
      <c r="I1157" s="190"/>
      <c r="J1157" s="190"/>
      <c r="K1157" s="190"/>
      <c r="L1157" s="629"/>
      <c r="M1157" s="647" t="s">
        <v>771</v>
      </c>
      <c r="N1157" s="587">
        <v>10.387</v>
      </c>
      <c r="O1157" s="593">
        <v>1.0754212726670891E-5</v>
      </c>
      <c r="P1157" s="190"/>
      <c r="Q1157" s="190"/>
      <c r="R1157" s="190"/>
      <c r="S1157" s="190"/>
      <c r="T1157" s="190"/>
      <c r="U1157" s="190"/>
      <c r="V1157" s="190"/>
      <c r="W1157" s="190"/>
      <c r="X1157" s="190"/>
      <c r="Y1157" s="190"/>
      <c r="Z1157" s="190"/>
      <c r="AA1157" s="190"/>
      <c r="AB1157" s="189"/>
      <c r="AC1157" s="189"/>
      <c r="AD1157" s="189"/>
      <c r="AE1157" s="189"/>
      <c r="AF1157" s="190"/>
      <c r="AG1157" s="190"/>
      <c r="AH1157" s="337"/>
      <c r="AI1157" s="190"/>
      <c r="AJ1157" s="190"/>
      <c r="AK1157" s="190"/>
      <c r="AL1157" s="189"/>
      <c r="AM1157" s="189"/>
      <c r="AN1157" s="189"/>
      <c r="AO1157" s="189"/>
      <c r="AP1157" s="189"/>
      <c r="AQ1157" s="189"/>
      <c r="AR1157" s="189"/>
      <c r="AS1157" s="189"/>
      <c r="AT1157" s="189"/>
      <c r="AU1157" s="190"/>
      <c r="AV1157" s="190"/>
      <c r="AW1157" s="190"/>
      <c r="AX1157" s="190"/>
      <c r="AY1157" s="190"/>
      <c r="AZ1157" s="189"/>
      <c r="BA1157" s="189"/>
      <c r="BB1157" s="189"/>
      <c r="BC1157" s="189"/>
      <c r="BD1157" s="189"/>
      <c r="BE1157" s="189"/>
      <c r="BF1157" s="189"/>
      <c r="BG1157" s="189"/>
      <c r="BH1157" s="189"/>
      <c r="BI1157" s="190"/>
      <c r="BJ1157" s="190"/>
      <c r="BK1157" s="190"/>
      <c r="BL1157" s="190"/>
      <c r="BM1157" s="190"/>
      <c r="BN1157" s="190"/>
      <c r="BO1157" s="190"/>
      <c r="BP1157" s="190"/>
      <c r="BQ1157" s="190"/>
      <c r="BR1157" s="190"/>
      <c r="BS1157" s="190"/>
      <c r="BT1157" s="190"/>
      <c r="BU1157" s="190"/>
      <c r="BV1157" s="190"/>
      <c r="BW1157" s="190"/>
      <c r="BX1157" s="190"/>
      <c r="BY1157" s="190"/>
      <c r="BZ1157" s="190"/>
      <c r="CA1157" s="189"/>
      <c r="CB1157" s="192"/>
    </row>
    <row r="1158" spans="1:80" x14ac:dyDescent="0.2">
      <c r="A1158" s="189"/>
      <c r="B1158" s="648"/>
      <c r="C1158" s="648"/>
      <c r="D1158" s="697"/>
      <c r="E1158" s="159"/>
      <c r="F1158" s="159"/>
      <c r="G1158" s="190"/>
      <c r="H1158" s="190"/>
      <c r="I1158" s="190"/>
      <c r="J1158" s="190"/>
      <c r="K1158" s="190"/>
      <c r="L1158" s="629"/>
      <c r="M1158" s="647" t="s">
        <v>772</v>
      </c>
      <c r="N1158" s="587">
        <v>11.278</v>
      </c>
      <c r="O1158" s="592">
        <v>6.6183571953565672E-5</v>
      </c>
      <c r="P1158" s="190"/>
      <c r="Q1158" s="190"/>
      <c r="R1158" s="190"/>
      <c r="S1158" s="190"/>
      <c r="T1158" s="190"/>
      <c r="U1158" s="190"/>
      <c r="V1158" s="190"/>
      <c r="W1158" s="190"/>
      <c r="X1158" s="190"/>
      <c r="Y1158" s="190"/>
      <c r="Z1158" s="190"/>
      <c r="AA1158" s="190"/>
      <c r="AB1158" s="189"/>
      <c r="AC1158" s="189"/>
      <c r="AD1158" s="189"/>
      <c r="AE1158" s="189"/>
      <c r="AF1158" s="190"/>
      <c r="AG1158" s="190"/>
      <c r="AH1158" s="337"/>
      <c r="AI1158" s="190"/>
      <c r="AJ1158" s="190"/>
      <c r="AK1158" s="190"/>
      <c r="AL1158" s="189"/>
      <c r="AM1158" s="189"/>
      <c r="AN1158" s="189"/>
      <c r="AO1158" s="189"/>
      <c r="AP1158" s="189"/>
      <c r="AQ1158" s="189"/>
      <c r="AR1158" s="189"/>
      <c r="AS1158" s="189"/>
      <c r="AT1158" s="189"/>
      <c r="AU1158" s="190"/>
      <c r="AV1158" s="190"/>
      <c r="AW1158" s="190"/>
      <c r="AX1158" s="190"/>
      <c r="AY1158" s="190"/>
      <c r="AZ1158" s="189"/>
      <c r="BA1158" s="189"/>
      <c r="BB1158" s="189"/>
      <c r="BC1158" s="189"/>
      <c r="BD1158" s="189"/>
      <c r="BE1158" s="189"/>
      <c r="BF1158" s="189"/>
      <c r="BG1158" s="189"/>
      <c r="BH1158" s="189"/>
      <c r="BI1158" s="190"/>
      <c r="BJ1158" s="190"/>
      <c r="BK1158" s="190"/>
      <c r="BL1158" s="190"/>
      <c r="BM1158" s="190"/>
      <c r="BN1158" s="190"/>
      <c r="BO1158" s="190"/>
      <c r="BP1158" s="190"/>
      <c r="BQ1158" s="190"/>
      <c r="BR1158" s="190"/>
      <c r="BS1158" s="190"/>
      <c r="BT1158" s="190"/>
      <c r="BU1158" s="190"/>
      <c r="BV1158" s="190"/>
      <c r="BW1158" s="190"/>
      <c r="BX1158" s="190"/>
      <c r="BY1158" s="190"/>
      <c r="BZ1158" s="190"/>
      <c r="CA1158" s="189"/>
      <c r="CB1158" s="192"/>
    </row>
    <row r="1159" spans="1:80" x14ac:dyDescent="0.2">
      <c r="A1159" s="189"/>
      <c r="B1159" s="648"/>
      <c r="C1159" s="648"/>
      <c r="D1159" s="697"/>
      <c r="E1159" s="159"/>
      <c r="F1159" s="159"/>
      <c r="G1159" s="190"/>
      <c r="H1159" s="190"/>
      <c r="I1159" s="190"/>
      <c r="J1159" s="190"/>
      <c r="K1159" s="190"/>
      <c r="L1159" s="629"/>
      <c r="M1159" s="647" t="s">
        <v>773</v>
      </c>
      <c r="N1159" s="587">
        <v>12.167</v>
      </c>
      <c r="O1159" s="592">
        <v>7.1510412125871757E-5</v>
      </c>
      <c r="P1159" s="190"/>
      <c r="Q1159" s="190"/>
      <c r="R1159" s="190"/>
      <c r="S1159" s="190"/>
      <c r="T1159" s="190"/>
      <c r="U1159" s="190"/>
      <c r="V1159" s="190"/>
      <c r="W1159" s="190"/>
      <c r="X1159" s="190"/>
      <c r="Y1159" s="190"/>
      <c r="Z1159" s="190"/>
      <c r="AA1159" s="190"/>
      <c r="AB1159" s="189"/>
      <c r="AC1159" s="189"/>
      <c r="AD1159" s="189"/>
      <c r="AE1159" s="189"/>
      <c r="AF1159" s="190"/>
      <c r="AG1159" s="190"/>
      <c r="AH1159" s="337"/>
      <c r="AI1159" s="190"/>
      <c r="AJ1159" s="190"/>
      <c r="AK1159" s="190"/>
      <c r="AL1159" s="189"/>
      <c r="AM1159" s="189"/>
      <c r="AN1159" s="189"/>
      <c r="AO1159" s="189"/>
      <c r="AP1159" s="189"/>
      <c r="AQ1159" s="189"/>
      <c r="AR1159" s="189"/>
      <c r="AS1159" s="189"/>
      <c r="AT1159" s="189"/>
      <c r="AU1159" s="190"/>
      <c r="AV1159" s="190"/>
      <c r="AW1159" s="190"/>
      <c r="AX1159" s="190"/>
      <c r="AY1159" s="190"/>
      <c r="AZ1159" s="189"/>
      <c r="BA1159" s="189"/>
      <c r="BB1159" s="189"/>
      <c r="BC1159" s="189"/>
      <c r="BD1159" s="189"/>
      <c r="BE1159" s="189"/>
      <c r="BF1159" s="189"/>
      <c r="BG1159" s="189"/>
      <c r="BH1159" s="189"/>
      <c r="BI1159" s="190"/>
      <c r="BJ1159" s="190"/>
      <c r="BK1159" s="190"/>
      <c r="BL1159" s="190"/>
      <c r="BM1159" s="190"/>
      <c r="BN1159" s="190"/>
      <c r="BO1159" s="190"/>
      <c r="BP1159" s="190"/>
      <c r="BQ1159" s="190"/>
      <c r="BR1159" s="190"/>
      <c r="BS1159" s="190"/>
      <c r="BT1159" s="190"/>
      <c r="BU1159" s="190"/>
      <c r="BV1159" s="190"/>
      <c r="BW1159" s="190"/>
      <c r="BX1159" s="190"/>
      <c r="BY1159" s="190"/>
      <c r="BZ1159" s="190"/>
      <c r="CA1159" s="189"/>
      <c r="CB1159" s="192"/>
    </row>
    <row r="1160" spans="1:80" x14ac:dyDescent="0.2">
      <c r="A1160" s="189"/>
      <c r="B1160" s="648"/>
      <c r="C1160" s="648"/>
      <c r="D1160" s="697"/>
      <c r="E1160" s="159"/>
      <c r="F1160" s="159"/>
      <c r="G1160" s="190"/>
      <c r="H1160" s="190"/>
      <c r="I1160" s="190"/>
      <c r="J1160" s="190"/>
      <c r="K1160" s="190"/>
      <c r="L1160" s="629"/>
      <c r="M1160" s="647" t="s">
        <v>774</v>
      </c>
      <c r="N1160" s="587">
        <v>11.717000000000001</v>
      </c>
      <c r="O1160" s="593">
        <v>4.1125684561809864E-5</v>
      </c>
      <c r="P1160" s="190"/>
      <c r="Q1160" s="190"/>
      <c r="R1160" s="190"/>
      <c r="S1160" s="190"/>
      <c r="T1160" s="190"/>
      <c r="U1160" s="190"/>
      <c r="V1160" s="190"/>
      <c r="W1160" s="190"/>
      <c r="X1160" s="190"/>
      <c r="Y1160" s="190"/>
      <c r="Z1160" s="190"/>
      <c r="AA1160" s="190"/>
      <c r="AB1160" s="189"/>
      <c r="AC1160" s="189"/>
      <c r="AD1160" s="189"/>
      <c r="AE1160" s="189"/>
      <c r="AF1160" s="190"/>
      <c r="AG1160" s="190"/>
      <c r="AH1160" s="337"/>
      <c r="AI1160" s="190"/>
      <c r="AJ1160" s="190"/>
      <c r="AK1160" s="190"/>
      <c r="AL1160" s="189"/>
      <c r="AM1160" s="189"/>
      <c r="AN1160" s="189"/>
      <c r="AO1160" s="189"/>
      <c r="AP1160" s="189"/>
      <c r="AQ1160" s="189"/>
      <c r="AR1160" s="189"/>
      <c r="AS1160" s="189"/>
      <c r="AT1160" s="189"/>
      <c r="AU1160" s="190"/>
      <c r="AV1160" s="190"/>
      <c r="AW1160" s="190"/>
      <c r="AX1160" s="190"/>
      <c r="AY1160" s="190"/>
      <c r="AZ1160" s="189"/>
      <c r="BA1160" s="189"/>
      <c r="BB1160" s="189"/>
      <c r="BC1160" s="189"/>
      <c r="BD1160" s="189"/>
      <c r="BE1160" s="189"/>
      <c r="BF1160" s="189"/>
      <c r="BG1160" s="189"/>
      <c r="BH1160" s="189"/>
      <c r="BI1160" s="190"/>
      <c r="BJ1160" s="190"/>
      <c r="BK1160" s="190"/>
      <c r="BL1160" s="190"/>
      <c r="BM1160" s="190"/>
      <c r="BN1160" s="190"/>
      <c r="BO1160" s="190"/>
      <c r="BP1160" s="190"/>
      <c r="BQ1160" s="190"/>
      <c r="BR1160" s="190"/>
      <c r="BS1160" s="190"/>
      <c r="BT1160" s="190"/>
      <c r="BU1160" s="190"/>
      <c r="BV1160" s="190"/>
      <c r="BW1160" s="190"/>
      <c r="BX1160" s="190"/>
      <c r="BY1160" s="190"/>
      <c r="BZ1160" s="190"/>
      <c r="CA1160" s="189"/>
      <c r="CB1160" s="192"/>
    </row>
    <row r="1161" spans="1:80" x14ac:dyDescent="0.2">
      <c r="A1161" s="189"/>
      <c r="B1161" s="648"/>
      <c r="C1161" s="648"/>
      <c r="D1161" s="697"/>
      <c r="E1161" s="159"/>
      <c r="F1161" s="159"/>
      <c r="G1161" s="190"/>
      <c r="H1161" s="190"/>
      <c r="I1161" s="190"/>
      <c r="J1161" s="190"/>
      <c r="K1161" s="190"/>
      <c r="L1161" s="629"/>
      <c r="M1161" s="647" t="s">
        <v>774</v>
      </c>
      <c r="N1161" s="587">
        <v>12.167</v>
      </c>
      <c r="O1161" s="592">
        <v>5.7407373376327212E-5</v>
      </c>
      <c r="P1161" s="190"/>
      <c r="Q1161" s="190"/>
      <c r="R1161" s="190"/>
      <c r="S1161" s="190"/>
      <c r="T1161" s="190"/>
      <c r="U1161" s="190"/>
      <c r="V1161" s="190"/>
      <c r="W1161" s="190"/>
      <c r="X1161" s="190"/>
      <c r="Y1161" s="190"/>
      <c r="Z1161" s="190"/>
      <c r="AA1161" s="190"/>
      <c r="AB1161" s="189"/>
      <c r="AC1161" s="189"/>
      <c r="AD1161" s="189"/>
      <c r="AE1161" s="189"/>
      <c r="AF1161" s="190"/>
      <c r="AG1161" s="190"/>
      <c r="AH1161" s="337"/>
      <c r="AI1161" s="190"/>
      <c r="AJ1161" s="190"/>
      <c r="AK1161" s="190"/>
      <c r="AL1161" s="189"/>
      <c r="AM1161" s="189"/>
      <c r="AN1161" s="189"/>
      <c r="AO1161" s="189"/>
      <c r="AP1161" s="189"/>
      <c r="AQ1161" s="189"/>
      <c r="AR1161" s="189"/>
      <c r="AS1161" s="189"/>
      <c r="AT1161" s="189"/>
      <c r="AU1161" s="190"/>
      <c r="AV1161" s="190"/>
      <c r="AW1161" s="190"/>
      <c r="AX1161" s="190"/>
      <c r="AY1161" s="190"/>
      <c r="AZ1161" s="189"/>
      <c r="BA1161" s="189"/>
      <c r="BB1161" s="189"/>
      <c r="BC1161" s="189"/>
      <c r="BD1161" s="189"/>
      <c r="BE1161" s="189"/>
      <c r="BF1161" s="189"/>
      <c r="BG1161" s="189"/>
      <c r="BH1161" s="189"/>
      <c r="BI1161" s="190"/>
      <c r="BJ1161" s="190"/>
      <c r="BK1161" s="190"/>
      <c r="BL1161" s="190"/>
      <c r="BM1161" s="190"/>
      <c r="BN1161" s="190"/>
      <c r="BO1161" s="190"/>
      <c r="BP1161" s="190"/>
      <c r="BQ1161" s="190"/>
      <c r="BR1161" s="190"/>
      <c r="BS1161" s="190"/>
      <c r="BT1161" s="190"/>
      <c r="BU1161" s="190"/>
      <c r="BV1161" s="190"/>
      <c r="BW1161" s="190"/>
      <c r="BX1161" s="190"/>
      <c r="BY1161" s="190"/>
      <c r="BZ1161" s="190"/>
      <c r="CA1161" s="189"/>
      <c r="CB1161" s="192"/>
    </row>
    <row r="1162" spans="1:80" x14ac:dyDescent="0.2">
      <c r="A1162" s="189"/>
      <c r="B1162" s="648"/>
      <c r="C1162" s="648"/>
      <c r="D1162" s="697"/>
      <c r="E1162" s="159"/>
      <c r="F1162" s="159"/>
      <c r="G1162" s="190"/>
      <c r="H1162" s="190"/>
      <c r="I1162" s="190"/>
      <c r="J1162" s="190"/>
      <c r="K1162" s="190"/>
      <c r="L1162" s="629"/>
      <c r="M1162" s="647" t="s">
        <v>774</v>
      </c>
      <c r="N1162" s="587">
        <v>12.167</v>
      </c>
      <c r="O1162" s="593">
        <v>1.960278584216284E-5</v>
      </c>
      <c r="P1162" s="190"/>
      <c r="Q1162" s="190"/>
      <c r="R1162" s="190"/>
      <c r="S1162" s="190"/>
      <c r="T1162" s="190"/>
      <c r="U1162" s="190"/>
      <c r="V1162" s="190"/>
      <c r="W1162" s="190"/>
      <c r="X1162" s="190"/>
      <c r="Y1162" s="190"/>
      <c r="Z1162" s="190"/>
      <c r="AA1162" s="190"/>
      <c r="AB1162" s="189"/>
      <c r="AC1162" s="189"/>
      <c r="AD1162" s="189"/>
      <c r="AE1162" s="189"/>
      <c r="AF1162" s="190"/>
      <c r="AG1162" s="190"/>
      <c r="AH1162" s="337"/>
      <c r="AI1162" s="190"/>
      <c r="AJ1162" s="190"/>
      <c r="AK1162" s="190"/>
      <c r="AL1162" s="189"/>
      <c r="AM1162" s="189"/>
      <c r="AN1162" s="189"/>
      <c r="AO1162" s="189"/>
      <c r="AP1162" s="189"/>
      <c r="AQ1162" s="189"/>
      <c r="AR1162" s="189"/>
      <c r="AS1162" s="189"/>
      <c r="AT1162" s="189"/>
      <c r="AU1162" s="190"/>
      <c r="AV1162" s="190"/>
      <c r="AW1162" s="190"/>
      <c r="AX1162" s="190"/>
      <c r="AY1162" s="190"/>
      <c r="AZ1162" s="189"/>
      <c r="BA1162" s="189"/>
      <c r="BB1162" s="189"/>
      <c r="BC1162" s="189"/>
      <c r="BD1162" s="189"/>
      <c r="BE1162" s="189"/>
      <c r="BF1162" s="189"/>
      <c r="BG1162" s="189"/>
      <c r="BH1162" s="189"/>
      <c r="BI1162" s="190"/>
      <c r="BJ1162" s="190"/>
      <c r="BK1162" s="190"/>
      <c r="BL1162" s="190"/>
      <c r="BM1162" s="190"/>
      <c r="BN1162" s="190"/>
      <c r="BO1162" s="190"/>
      <c r="BP1162" s="190"/>
      <c r="BQ1162" s="190"/>
      <c r="BR1162" s="190"/>
      <c r="BS1162" s="190"/>
      <c r="BT1162" s="190"/>
      <c r="BU1162" s="190"/>
      <c r="BV1162" s="190"/>
      <c r="BW1162" s="190"/>
      <c r="BX1162" s="190"/>
      <c r="BY1162" s="190"/>
      <c r="BZ1162" s="190"/>
      <c r="CA1162" s="189"/>
      <c r="CB1162" s="192"/>
    </row>
    <row r="1163" spans="1:80" x14ac:dyDescent="0.2">
      <c r="A1163" s="189"/>
      <c r="B1163" s="648"/>
      <c r="C1163" s="648"/>
      <c r="D1163" s="697"/>
      <c r="E1163" s="159"/>
      <c r="F1163" s="159"/>
      <c r="G1163" s="190"/>
      <c r="H1163" s="190"/>
      <c r="I1163" s="190"/>
      <c r="J1163" s="190"/>
      <c r="K1163" s="190"/>
      <c r="L1163" s="629"/>
      <c r="M1163" s="647" t="s">
        <v>775</v>
      </c>
      <c r="N1163" s="587">
        <v>13.500999999999999</v>
      </c>
      <c r="O1163" s="592">
        <v>6.4436310757747529E-5</v>
      </c>
      <c r="P1163" s="190"/>
      <c r="Q1163" s="190"/>
      <c r="R1163" s="190"/>
      <c r="S1163" s="190"/>
      <c r="T1163" s="190"/>
      <c r="U1163" s="190"/>
      <c r="V1163" s="190"/>
      <c r="W1163" s="190"/>
      <c r="X1163" s="190"/>
      <c r="Y1163" s="190"/>
      <c r="Z1163" s="190"/>
      <c r="AA1163" s="190"/>
      <c r="AB1163" s="189"/>
      <c r="AC1163" s="189"/>
      <c r="AD1163" s="189"/>
      <c r="AE1163" s="189"/>
      <c r="AF1163" s="190"/>
      <c r="AG1163" s="190"/>
      <c r="AH1163" s="337"/>
      <c r="AI1163" s="190"/>
      <c r="AJ1163" s="190"/>
      <c r="AK1163" s="190"/>
      <c r="AL1163" s="189"/>
      <c r="AM1163" s="189"/>
      <c r="AN1163" s="189"/>
      <c r="AO1163" s="189"/>
      <c r="AP1163" s="189"/>
      <c r="AQ1163" s="189"/>
      <c r="AR1163" s="189"/>
      <c r="AS1163" s="189"/>
      <c r="AT1163" s="189"/>
      <c r="AU1163" s="190"/>
      <c r="AV1163" s="190"/>
      <c r="AW1163" s="190"/>
      <c r="AX1163" s="190"/>
      <c r="AY1163" s="190"/>
      <c r="AZ1163" s="189"/>
      <c r="BA1163" s="189"/>
      <c r="BB1163" s="189"/>
      <c r="BC1163" s="189"/>
      <c r="BD1163" s="189"/>
      <c r="BE1163" s="189"/>
      <c r="BF1163" s="189"/>
      <c r="BG1163" s="189"/>
      <c r="BH1163" s="189"/>
      <c r="BI1163" s="190"/>
      <c r="BJ1163" s="190"/>
      <c r="BK1163" s="190"/>
      <c r="BL1163" s="190"/>
      <c r="BM1163" s="190"/>
      <c r="BN1163" s="190"/>
      <c r="BO1163" s="190"/>
      <c r="BP1163" s="190"/>
      <c r="BQ1163" s="190"/>
      <c r="BR1163" s="190"/>
      <c r="BS1163" s="190"/>
      <c r="BT1163" s="190"/>
      <c r="BU1163" s="190"/>
      <c r="BV1163" s="190"/>
      <c r="BW1163" s="190"/>
      <c r="BX1163" s="190"/>
      <c r="BY1163" s="190"/>
      <c r="BZ1163" s="190"/>
      <c r="CA1163" s="189"/>
      <c r="CB1163" s="192"/>
    </row>
    <row r="1164" spans="1:80" x14ac:dyDescent="0.2">
      <c r="A1164" s="189"/>
      <c r="B1164" s="648"/>
      <c r="C1164" s="648"/>
      <c r="D1164" s="697"/>
      <c r="E1164" s="159"/>
      <c r="F1164" s="159"/>
      <c r="G1164" s="190"/>
      <c r="H1164" s="190"/>
      <c r="I1164" s="190"/>
      <c r="J1164" s="190"/>
      <c r="K1164" s="190"/>
      <c r="L1164" s="629"/>
      <c r="M1164" s="647" t="s">
        <v>776</v>
      </c>
      <c r="N1164" s="587">
        <v>13.500999999999999</v>
      </c>
      <c r="O1164" s="593">
        <v>4.5329628999609131E-5</v>
      </c>
      <c r="P1164" s="190"/>
      <c r="Q1164" s="190"/>
      <c r="R1164" s="190"/>
      <c r="S1164" s="190"/>
      <c r="T1164" s="190"/>
      <c r="U1164" s="190"/>
      <c r="V1164" s="190"/>
      <c r="W1164" s="190"/>
      <c r="X1164" s="190"/>
      <c r="Y1164" s="190"/>
      <c r="Z1164" s="190"/>
      <c r="AA1164" s="190"/>
      <c r="AB1164" s="189"/>
      <c r="AC1164" s="189"/>
      <c r="AD1164" s="189"/>
      <c r="AE1164" s="189"/>
      <c r="AF1164" s="190"/>
      <c r="AG1164" s="190"/>
      <c r="AH1164" s="337"/>
      <c r="AI1164" s="190"/>
      <c r="AJ1164" s="190"/>
      <c r="AK1164" s="190"/>
      <c r="AL1164" s="189"/>
      <c r="AM1164" s="189"/>
      <c r="AN1164" s="189"/>
      <c r="AO1164" s="189"/>
      <c r="AP1164" s="189"/>
      <c r="AQ1164" s="189"/>
      <c r="AR1164" s="189"/>
      <c r="AS1164" s="189"/>
      <c r="AT1164" s="189"/>
      <c r="AU1164" s="190"/>
      <c r="AV1164" s="190"/>
      <c r="AW1164" s="190"/>
      <c r="AX1164" s="190"/>
      <c r="AY1164" s="190"/>
      <c r="AZ1164" s="189"/>
      <c r="BA1164" s="189"/>
      <c r="BB1164" s="189"/>
      <c r="BC1164" s="189"/>
      <c r="BD1164" s="189"/>
      <c r="BE1164" s="189"/>
      <c r="BF1164" s="189"/>
      <c r="BG1164" s="189"/>
      <c r="BH1164" s="189"/>
      <c r="BI1164" s="190"/>
      <c r="BJ1164" s="190"/>
      <c r="BK1164" s="190"/>
      <c r="BL1164" s="190"/>
      <c r="BM1164" s="190"/>
      <c r="BN1164" s="190"/>
      <c r="BO1164" s="190"/>
      <c r="BP1164" s="190"/>
      <c r="BQ1164" s="190"/>
      <c r="BR1164" s="190"/>
      <c r="BS1164" s="190"/>
      <c r="BT1164" s="190"/>
      <c r="BU1164" s="190"/>
      <c r="BV1164" s="190"/>
      <c r="BW1164" s="190"/>
      <c r="BX1164" s="190"/>
      <c r="BY1164" s="190"/>
      <c r="BZ1164" s="190"/>
      <c r="CA1164" s="189"/>
      <c r="CB1164" s="192"/>
    </row>
    <row r="1165" spans="1:80" x14ac:dyDescent="0.2">
      <c r="A1165" s="189"/>
      <c r="B1165" s="648"/>
      <c r="C1165" s="648"/>
      <c r="D1165" s="697"/>
      <c r="E1165" s="159"/>
      <c r="F1165" s="159"/>
      <c r="G1165" s="190"/>
      <c r="H1165" s="190"/>
      <c r="I1165" s="190"/>
      <c r="J1165" s="190"/>
      <c r="K1165" s="190"/>
      <c r="L1165" s="629"/>
      <c r="M1165" s="647" t="s">
        <v>777</v>
      </c>
      <c r="N1165" s="587">
        <v>12.167</v>
      </c>
      <c r="O1165" s="593">
        <v>1.280833383610729E-5</v>
      </c>
      <c r="P1165" s="190"/>
      <c r="Q1165" s="190"/>
      <c r="R1165" s="190"/>
      <c r="S1165" s="190"/>
      <c r="T1165" s="190"/>
      <c r="U1165" s="190"/>
      <c r="V1165" s="190"/>
      <c r="W1165" s="190"/>
      <c r="X1165" s="190"/>
      <c r="Y1165" s="190"/>
      <c r="Z1165" s="190"/>
      <c r="AA1165" s="190"/>
      <c r="AB1165" s="189"/>
      <c r="AC1165" s="189"/>
      <c r="AD1165" s="189"/>
      <c r="AE1165" s="189"/>
      <c r="AF1165" s="190"/>
      <c r="AG1165" s="190"/>
      <c r="AH1165" s="337"/>
      <c r="AI1165" s="190"/>
      <c r="AJ1165" s="190"/>
      <c r="AK1165" s="190"/>
      <c r="AL1165" s="189"/>
      <c r="AM1165" s="189"/>
      <c r="AN1165" s="189"/>
      <c r="AO1165" s="189"/>
      <c r="AP1165" s="189"/>
      <c r="AQ1165" s="189"/>
      <c r="AR1165" s="189"/>
      <c r="AS1165" s="189"/>
      <c r="AT1165" s="189"/>
      <c r="AU1165" s="190"/>
      <c r="AV1165" s="190"/>
      <c r="AW1165" s="190"/>
      <c r="AX1165" s="190"/>
      <c r="AY1165" s="190"/>
      <c r="AZ1165" s="189"/>
      <c r="BA1165" s="189"/>
      <c r="BB1165" s="189"/>
      <c r="BC1165" s="189"/>
      <c r="BD1165" s="189"/>
      <c r="BE1165" s="189"/>
      <c r="BF1165" s="189"/>
      <c r="BG1165" s="189"/>
      <c r="BH1165" s="189"/>
      <c r="BI1165" s="190"/>
      <c r="BJ1165" s="190"/>
      <c r="BK1165" s="190"/>
      <c r="BL1165" s="190"/>
      <c r="BM1165" s="190"/>
      <c r="BN1165" s="190"/>
      <c r="BO1165" s="190"/>
      <c r="BP1165" s="190"/>
      <c r="BQ1165" s="190"/>
      <c r="BR1165" s="190"/>
      <c r="BS1165" s="190"/>
      <c r="BT1165" s="190"/>
      <c r="BU1165" s="190"/>
      <c r="BV1165" s="190"/>
      <c r="BW1165" s="190"/>
      <c r="BX1165" s="190"/>
      <c r="BY1165" s="190"/>
      <c r="BZ1165" s="190"/>
      <c r="CA1165" s="189"/>
      <c r="CB1165" s="192"/>
    </row>
    <row r="1166" spans="1:80" x14ac:dyDescent="0.2">
      <c r="A1166" s="189"/>
      <c r="B1166" s="648"/>
      <c r="C1166" s="648"/>
      <c r="D1166" s="697"/>
      <c r="E1166" s="159"/>
      <c r="F1166" s="159"/>
      <c r="G1166" s="190"/>
      <c r="H1166" s="190"/>
      <c r="I1166" s="190"/>
      <c r="J1166" s="190"/>
      <c r="K1166" s="190"/>
      <c r="L1166" s="629"/>
      <c r="M1166" s="647" t="s">
        <v>778</v>
      </c>
      <c r="N1166" s="587">
        <v>10.829000000000001</v>
      </c>
      <c r="O1166" s="593">
        <v>1.3191102226501428E-5</v>
      </c>
      <c r="P1166" s="190"/>
      <c r="Q1166" s="190"/>
      <c r="R1166" s="190"/>
      <c r="S1166" s="190"/>
      <c r="T1166" s="190"/>
      <c r="U1166" s="190"/>
      <c r="V1166" s="190"/>
      <c r="W1166" s="190"/>
      <c r="X1166" s="190"/>
      <c r="Y1166" s="190"/>
      <c r="Z1166" s="190"/>
      <c r="AA1166" s="190"/>
      <c r="AB1166" s="189"/>
      <c r="AC1166" s="189"/>
      <c r="AD1166" s="189"/>
      <c r="AE1166" s="189"/>
      <c r="AF1166" s="190"/>
      <c r="AG1166" s="190"/>
      <c r="AH1166" s="337"/>
      <c r="AI1166" s="190"/>
      <c r="AJ1166" s="190"/>
      <c r="AK1166" s="190"/>
      <c r="AL1166" s="189"/>
      <c r="AM1166" s="189"/>
      <c r="AN1166" s="189"/>
      <c r="AO1166" s="189"/>
      <c r="AP1166" s="189"/>
      <c r="AQ1166" s="189"/>
      <c r="AR1166" s="189"/>
      <c r="AS1166" s="189"/>
      <c r="AT1166" s="189"/>
      <c r="AU1166" s="190"/>
      <c r="AV1166" s="190"/>
      <c r="AW1166" s="190"/>
      <c r="AX1166" s="190"/>
      <c r="AY1166" s="190"/>
      <c r="AZ1166" s="189"/>
      <c r="BA1166" s="189"/>
      <c r="BB1166" s="189"/>
      <c r="BC1166" s="189"/>
      <c r="BD1166" s="189"/>
      <c r="BE1166" s="189"/>
      <c r="BF1166" s="189"/>
      <c r="BG1166" s="189"/>
      <c r="BH1166" s="189"/>
      <c r="BI1166" s="190"/>
      <c r="BJ1166" s="190"/>
      <c r="BK1166" s="190"/>
      <c r="BL1166" s="190"/>
      <c r="BM1166" s="190"/>
      <c r="BN1166" s="190"/>
      <c r="BO1166" s="190"/>
      <c r="BP1166" s="190"/>
      <c r="BQ1166" s="190"/>
      <c r="BR1166" s="190"/>
      <c r="BS1166" s="190"/>
      <c r="BT1166" s="190"/>
      <c r="BU1166" s="190"/>
      <c r="BV1166" s="190"/>
      <c r="BW1166" s="190"/>
      <c r="BX1166" s="190"/>
      <c r="BY1166" s="190"/>
      <c r="BZ1166" s="190"/>
      <c r="CA1166" s="189"/>
      <c r="CB1166" s="192"/>
    </row>
    <row r="1167" spans="1:80" x14ac:dyDescent="0.2">
      <c r="A1167" s="189"/>
      <c r="B1167" s="648"/>
      <c r="C1167" s="648"/>
      <c r="D1167" s="697"/>
      <c r="E1167" s="159"/>
      <c r="F1167" s="159"/>
      <c r="G1167" s="190"/>
      <c r="H1167" s="190"/>
      <c r="I1167" s="190"/>
      <c r="J1167" s="190"/>
      <c r="K1167" s="190"/>
      <c r="L1167" s="629"/>
      <c r="M1167" s="647" t="s">
        <v>778</v>
      </c>
      <c r="N1167" s="587">
        <v>9.9440000000000008</v>
      </c>
      <c r="O1167" s="593">
        <v>2.4133095806345232E-6</v>
      </c>
      <c r="P1167" s="190"/>
      <c r="Q1167" s="190"/>
      <c r="R1167" s="190"/>
      <c r="S1167" s="190"/>
      <c r="T1167" s="190"/>
      <c r="U1167" s="190"/>
      <c r="V1167" s="190"/>
      <c r="W1167" s="190"/>
      <c r="X1167" s="190"/>
      <c r="Y1167" s="190"/>
      <c r="Z1167" s="190"/>
      <c r="AA1167" s="190"/>
      <c r="AB1167" s="189"/>
      <c r="AC1167" s="189"/>
      <c r="AD1167" s="189"/>
      <c r="AE1167" s="189"/>
      <c r="AF1167" s="190"/>
      <c r="AG1167" s="190"/>
      <c r="AH1167" s="337"/>
      <c r="AI1167" s="190"/>
      <c r="AJ1167" s="190"/>
      <c r="AK1167" s="190"/>
      <c r="AL1167" s="189"/>
      <c r="AM1167" s="189"/>
      <c r="AN1167" s="189"/>
      <c r="AO1167" s="189"/>
      <c r="AP1167" s="189"/>
      <c r="AQ1167" s="189"/>
      <c r="AR1167" s="189"/>
      <c r="AS1167" s="189"/>
      <c r="AT1167" s="189"/>
      <c r="AU1167" s="190"/>
      <c r="AV1167" s="190"/>
      <c r="AW1167" s="190"/>
      <c r="AX1167" s="190"/>
      <c r="AY1167" s="190"/>
      <c r="AZ1167" s="189"/>
      <c r="BA1167" s="189"/>
      <c r="BB1167" s="189"/>
      <c r="BC1167" s="189"/>
      <c r="BD1167" s="189"/>
      <c r="BE1167" s="189"/>
      <c r="BF1167" s="189"/>
      <c r="BG1167" s="189"/>
      <c r="BH1167" s="189"/>
      <c r="BI1167" s="190"/>
      <c r="BJ1167" s="190"/>
      <c r="BK1167" s="190"/>
      <c r="BL1167" s="190"/>
      <c r="BM1167" s="190"/>
      <c r="BN1167" s="190"/>
      <c r="BO1167" s="190"/>
      <c r="BP1167" s="190"/>
      <c r="BQ1167" s="190"/>
      <c r="BR1167" s="190"/>
      <c r="BS1167" s="190"/>
      <c r="BT1167" s="190"/>
      <c r="BU1167" s="190"/>
      <c r="BV1167" s="190"/>
      <c r="BW1167" s="190"/>
      <c r="BX1167" s="190"/>
      <c r="BY1167" s="190"/>
      <c r="BZ1167" s="190"/>
      <c r="CA1167" s="189"/>
      <c r="CB1167" s="192"/>
    </row>
    <row r="1168" spans="1:80" x14ac:dyDescent="0.2">
      <c r="A1168" s="189"/>
      <c r="B1168" s="648"/>
      <c r="C1168" s="648"/>
      <c r="D1168" s="697"/>
      <c r="E1168" s="159"/>
      <c r="F1168" s="159"/>
      <c r="G1168" s="190"/>
      <c r="H1168" s="190"/>
      <c r="I1168" s="190"/>
      <c r="J1168" s="190"/>
      <c r="K1168" s="190"/>
      <c r="L1168" s="629"/>
      <c r="M1168" s="647" t="s">
        <v>779</v>
      </c>
      <c r="N1168" s="587">
        <v>8.6039999999999992</v>
      </c>
      <c r="O1168" s="593">
        <v>6.5856481472222188E-7</v>
      </c>
      <c r="P1168" s="190"/>
      <c r="Q1168" s="190"/>
      <c r="R1168" s="190"/>
      <c r="S1168" s="190"/>
      <c r="T1168" s="190"/>
      <c r="U1168" s="190"/>
      <c r="V1168" s="190"/>
      <c r="W1168" s="190"/>
      <c r="X1168" s="190"/>
      <c r="Y1168" s="190"/>
      <c r="Z1168" s="190"/>
      <c r="AA1168" s="190"/>
      <c r="AB1168" s="189"/>
      <c r="AC1168" s="189"/>
      <c r="AD1168" s="189"/>
      <c r="AE1168" s="189"/>
      <c r="AF1168" s="190"/>
      <c r="AG1168" s="190"/>
      <c r="AH1168" s="337"/>
      <c r="AI1168" s="190"/>
      <c r="AJ1168" s="190"/>
      <c r="AK1168" s="190"/>
      <c r="AL1168" s="189"/>
      <c r="AM1168" s="189"/>
      <c r="AN1168" s="189"/>
      <c r="AO1168" s="189"/>
      <c r="AP1168" s="189"/>
      <c r="AQ1168" s="189"/>
      <c r="AR1168" s="189"/>
      <c r="AS1168" s="189"/>
      <c r="AT1168" s="189"/>
      <c r="AU1168" s="190"/>
      <c r="AV1168" s="190"/>
      <c r="AW1168" s="190"/>
      <c r="AX1168" s="190"/>
      <c r="AY1168" s="190"/>
      <c r="AZ1168" s="189"/>
      <c r="BA1168" s="189"/>
      <c r="BB1168" s="189"/>
      <c r="BC1168" s="189"/>
      <c r="BD1168" s="189"/>
      <c r="BE1168" s="189"/>
      <c r="BF1168" s="189"/>
      <c r="BG1168" s="189"/>
      <c r="BH1168" s="189"/>
      <c r="BI1168" s="190"/>
      <c r="BJ1168" s="190"/>
      <c r="BK1168" s="190"/>
      <c r="BL1168" s="190"/>
      <c r="BM1168" s="190"/>
      <c r="BN1168" s="190"/>
      <c r="BO1168" s="190"/>
      <c r="BP1168" s="190"/>
      <c r="BQ1168" s="190"/>
      <c r="BR1168" s="190"/>
      <c r="BS1168" s="190"/>
      <c r="BT1168" s="190"/>
      <c r="BU1168" s="190"/>
      <c r="BV1168" s="190"/>
      <c r="BW1168" s="190"/>
      <c r="BX1168" s="190"/>
      <c r="BY1168" s="190"/>
      <c r="BZ1168" s="190"/>
      <c r="CA1168" s="189"/>
      <c r="CB1168" s="192"/>
    </row>
    <row r="1169" spans="1:80" x14ac:dyDescent="0.2">
      <c r="A1169" s="189"/>
      <c r="B1169" s="648"/>
      <c r="C1169" s="648"/>
      <c r="D1169" s="697"/>
      <c r="E1169" s="159"/>
      <c r="F1169" s="159"/>
      <c r="G1169" s="190"/>
      <c r="H1169" s="190"/>
      <c r="I1169" s="190"/>
      <c r="J1169" s="190"/>
      <c r="K1169" s="190"/>
      <c r="L1169" s="629"/>
      <c r="M1169" s="647" t="s">
        <v>762</v>
      </c>
      <c r="N1169" s="587">
        <v>9.0570000000000004</v>
      </c>
      <c r="O1169" s="593">
        <v>7.5451420943055174E-7</v>
      </c>
      <c r="P1169" s="190"/>
      <c r="Q1169" s="190"/>
      <c r="R1169" s="190"/>
      <c r="S1169" s="190"/>
      <c r="T1169" s="190"/>
      <c r="U1169" s="190"/>
      <c r="V1169" s="190"/>
      <c r="W1169" s="190"/>
      <c r="X1169" s="190"/>
      <c r="Y1169" s="190"/>
      <c r="Z1169" s="190"/>
      <c r="AA1169" s="190"/>
      <c r="AB1169" s="189"/>
      <c r="AC1169" s="189"/>
      <c r="AD1169" s="189"/>
      <c r="AE1169" s="189"/>
      <c r="AF1169" s="190"/>
      <c r="AG1169" s="190"/>
      <c r="AH1169" s="337"/>
      <c r="AI1169" s="190"/>
      <c r="AJ1169" s="190"/>
      <c r="AK1169" s="190"/>
      <c r="AL1169" s="189"/>
      <c r="AM1169" s="189"/>
      <c r="AN1169" s="189"/>
      <c r="AO1169" s="189"/>
      <c r="AP1169" s="189"/>
      <c r="AQ1169" s="189"/>
      <c r="AR1169" s="189"/>
      <c r="AS1169" s="189"/>
      <c r="AT1169" s="189"/>
      <c r="AU1169" s="190"/>
      <c r="AV1169" s="190"/>
      <c r="AW1169" s="190"/>
      <c r="AX1169" s="190"/>
      <c r="AY1169" s="190"/>
      <c r="AZ1169" s="189"/>
      <c r="BA1169" s="189"/>
      <c r="BB1169" s="189"/>
      <c r="BC1169" s="189"/>
      <c r="BD1169" s="189"/>
      <c r="BE1169" s="189"/>
      <c r="BF1169" s="189"/>
      <c r="BG1169" s="189"/>
      <c r="BH1169" s="189"/>
      <c r="BI1169" s="190"/>
      <c r="BJ1169" s="190"/>
      <c r="BK1169" s="190"/>
      <c r="BL1169" s="190"/>
      <c r="BM1169" s="190"/>
      <c r="BN1169" s="190"/>
      <c r="BO1169" s="190"/>
      <c r="BP1169" s="190"/>
      <c r="BQ1169" s="190"/>
      <c r="BR1169" s="190"/>
      <c r="BS1169" s="190"/>
      <c r="BT1169" s="190"/>
      <c r="BU1169" s="190"/>
      <c r="BV1169" s="190"/>
      <c r="BW1169" s="190"/>
      <c r="BX1169" s="190"/>
      <c r="BY1169" s="190"/>
      <c r="BZ1169" s="190"/>
      <c r="CA1169" s="189"/>
      <c r="CB1169" s="192"/>
    </row>
    <row r="1170" spans="1:80" x14ac:dyDescent="0.2">
      <c r="A1170" s="189"/>
      <c r="B1170" s="648"/>
      <c r="C1170" s="648"/>
      <c r="D1170" s="697"/>
      <c r="E1170" s="159"/>
      <c r="F1170" s="159"/>
      <c r="G1170" s="190"/>
      <c r="H1170" s="190"/>
      <c r="I1170" s="190"/>
      <c r="J1170" s="190"/>
      <c r="K1170" s="190"/>
      <c r="L1170" s="629"/>
      <c r="M1170" s="647" t="s">
        <v>780</v>
      </c>
      <c r="N1170" s="587">
        <v>9.0570000000000004</v>
      </c>
      <c r="O1170" s="593">
        <v>8.8819450488814263E-7</v>
      </c>
      <c r="P1170" s="190"/>
      <c r="Q1170" s="190"/>
      <c r="R1170" s="190"/>
      <c r="S1170" s="190"/>
      <c r="T1170" s="190"/>
      <c r="U1170" s="190"/>
      <c r="V1170" s="190"/>
      <c r="W1170" s="190"/>
      <c r="X1170" s="190"/>
      <c r="Y1170" s="190"/>
      <c r="Z1170" s="190"/>
      <c r="AA1170" s="190"/>
      <c r="AB1170" s="189"/>
      <c r="AC1170" s="189"/>
      <c r="AD1170" s="189"/>
      <c r="AE1170" s="189"/>
      <c r="AF1170" s="190"/>
      <c r="AG1170" s="190"/>
      <c r="AH1170" s="337"/>
      <c r="AI1170" s="190"/>
      <c r="AJ1170" s="190"/>
      <c r="AK1170" s="190"/>
      <c r="AL1170" s="189"/>
      <c r="AM1170" s="189"/>
      <c r="AN1170" s="189"/>
      <c r="AO1170" s="189"/>
      <c r="AP1170" s="189"/>
      <c r="AQ1170" s="189"/>
      <c r="AR1170" s="189"/>
      <c r="AS1170" s="189"/>
      <c r="AT1170" s="189"/>
      <c r="AU1170" s="190"/>
      <c r="AV1170" s="190"/>
      <c r="AW1170" s="190"/>
      <c r="AX1170" s="190"/>
      <c r="AY1170" s="190"/>
      <c r="AZ1170" s="189"/>
      <c r="BA1170" s="189"/>
      <c r="BB1170" s="189"/>
      <c r="BC1170" s="189"/>
      <c r="BD1170" s="189"/>
      <c r="BE1170" s="189"/>
      <c r="BF1170" s="189"/>
      <c r="BG1170" s="189"/>
      <c r="BH1170" s="189"/>
      <c r="BI1170" s="190"/>
      <c r="BJ1170" s="190"/>
      <c r="BK1170" s="190"/>
      <c r="BL1170" s="190"/>
      <c r="BM1170" s="190"/>
      <c r="BN1170" s="190"/>
      <c r="BO1170" s="190"/>
      <c r="BP1170" s="190"/>
      <c r="BQ1170" s="190"/>
      <c r="BR1170" s="190"/>
      <c r="BS1170" s="190"/>
      <c r="BT1170" s="190"/>
      <c r="BU1170" s="190"/>
      <c r="BV1170" s="190"/>
      <c r="BW1170" s="190"/>
      <c r="BX1170" s="190"/>
      <c r="BY1170" s="190"/>
      <c r="BZ1170" s="190"/>
      <c r="CA1170" s="189"/>
      <c r="CB1170" s="192"/>
    </row>
    <row r="1171" spans="1:80" x14ac:dyDescent="0.2">
      <c r="A1171" s="189"/>
      <c r="B1171" s="648"/>
      <c r="C1171" s="648"/>
      <c r="D1171" s="697"/>
      <c r="E1171" s="159"/>
      <c r="F1171" s="159"/>
      <c r="G1171" s="190"/>
      <c r="H1171" s="190"/>
      <c r="I1171" s="190"/>
      <c r="J1171" s="190"/>
      <c r="K1171" s="190"/>
      <c r="L1171" s="629"/>
      <c r="M1171" s="647" t="s">
        <v>781</v>
      </c>
      <c r="N1171" s="587">
        <v>9.0570000000000004</v>
      </c>
      <c r="O1171" s="593">
        <v>2.7025458692998241E-6</v>
      </c>
      <c r="P1171" s="190"/>
      <c r="Q1171" s="190"/>
      <c r="R1171" s="190"/>
      <c r="S1171" s="190"/>
      <c r="T1171" s="190"/>
      <c r="U1171" s="190"/>
      <c r="V1171" s="190"/>
      <c r="W1171" s="190"/>
      <c r="X1171" s="190"/>
      <c r="Y1171" s="190"/>
      <c r="Z1171" s="190"/>
      <c r="AA1171" s="190"/>
      <c r="AB1171" s="189"/>
      <c r="AC1171" s="189"/>
      <c r="AD1171" s="189"/>
      <c r="AE1171" s="189"/>
      <c r="AF1171" s="190"/>
      <c r="AG1171" s="190"/>
      <c r="AH1171" s="337"/>
      <c r="AI1171" s="190"/>
      <c r="AJ1171" s="190"/>
      <c r="AK1171" s="190"/>
      <c r="AL1171" s="189"/>
      <c r="AM1171" s="189"/>
      <c r="AN1171" s="189"/>
      <c r="AO1171" s="189"/>
      <c r="AP1171" s="189"/>
      <c r="AQ1171" s="189"/>
      <c r="AR1171" s="189"/>
      <c r="AS1171" s="189"/>
      <c r="AT1171" s="189"/>
      <c r="AU1171" s="190"/>
      <c r="AV1171" s="190"/>
      <c r="AW1171" s="190"/>
      <c r="AX1171" s="190"/>
      <c r="AY1171" s="190"/>
      <c r="AZ1171" s="189"/>
      <c r="BA1171" s="189"/>
      <c r="BB1171" s="189"/>
      <c r="BC1171" s="189"/>
      <c r="BD1171" s="189"/>
      <c r="BE1171" s="189"/>
      <c r="BF1171" s="189"/>
      <c r="BG1171" s="189"/>
      <c r="BH1171" s="189"/>
      <c r="BI1171" s="190"/>
      <c r="BJ1171" s="190"/>
      <c r="BK1171" s="190"/>
      <c r="BL1171" s="190"/>
      <c r="BM1171" s="190"/>
      <c r="BN1171" s="190"/>
      <c r="BO1171" s="190"/>
      <c r="BP1171" s="190"/>
      <c r="BQ1171" s="190"/>
      <c r="BR1171" s="190"/>
      <c r="BS1171" s="190"/>
      <c r="BT1171" s="190"/>
      <c r="BU1171" s="190"/>
      <c r="BV1171" s="190"/>
      <c r="BW1171" s="190"/>
      <c r="BX1171" s="190"/>
      <c r="BY1171" s="190"/>
      <c r="BZ1171" s="190"/>
      <c r="CA1171" s="189"/>
      <c r="CB1171" s="192"/>
    </row>
    <row r="1172" spans="1:80" x14ac:dyDescent="0.2">
      <c r="A1172" s="189"/>
      <c r="B1172" s="648"/>
      <c r="C1172" s="648"/>
      <c r="D1172" s="697"/>
      <c r="E1172" s="159"/>
      <c r="F1172" s="159"/>
      <c r="G1172" s="190"/>
      <c r="H1172" s="190"/>
      <c r="I1172" s="190"/>
      <c r="J1172" s="190"/>
      <c r="K1172" s="190"/>
      <c r="L1172" s="629"/>
      <c r="M1172" s="647" t="s">
        <v>763</v>
      </c>
      <c r="N1172" s="587">
        <v>9.4949999999999992</v>
      </c>
      <c r="O1172" s="593">
        <v>3.3119217452885202E-6</v>
      </c>
      <c r="P1172" s="190"/>
      <c r="Q1172" s="190"/>
      <c r="R1172" s="190"/>
      <c r="S1172" s="190"/>
      <c r="T1172" s="190"/>
      <c r="U1172" s="190"/>
      <c r="V1172" s="190"/>
      <c r="W1172" s="190"/>
      <c r="X1172" s="190"/>
      <c r="Y1172" s="190"/>
      <c r="Z1172" s="190"/>
      <c r="AA1172" s="190"/>
      <c r="AB1172" s="189"/>
      <c r="AC1172" s="189"/>
      <c r="AD1172" s="189"/>
      <c r="AE1172" s="189"/>
      <c r="AF1172" s="190"/>
      <c r="AG1172" s="190"/>
      <c r="AH1172" s="337"/>
      <c r="AI1172" s="190"/>
      <c r="AJ1172" s="190"/>
      <c r="AK1172" s="190"/>
      <c r="AL1172" s="189"/>
      <c r="AM1172" s="189"/>
      <c r="AN1172" s="189"/>
      <c r="AO1172" s="189"/>
      <c r="AP1172" s="189"/>
      <c r="AQ1172" s="189"/>
      <c r="AR1172" s="189"/>
      <c r="AS1172" s="189"/>
      <c r="AT1172" s="189"/>
      <c r="AU1172" s="190"/>
      <c r="AV1172" s="190"/>
      <c r="AW1172" s="190"/>
      <c r="AX1172" s="190"/>
      <c r="AY1172" s="190"/>
      <c r="AZ1172" s="189"/>
      <c r="BA1172" s="189"/>
      <c r="BB1172" s="189"/>
      <c r="BC1172" s="189"/>
      <c r="BD1172" s="189"/>
      <c r="BE1172" s="189"/>
      <c r="BF1172" s="189"/>
      <c r="BG1172" s="189"/>
      <c r="BH1172" s="189"/>
      <c r="BI1172" s="190"/>
      <c r="BJ1172" s="190"/>
      <c r="BK1172" s="190"/>
      <c r="BL1172" s="190"/>
      <c r="BM1172" s="190"/>
      <c r="BN1172" s="190"/>
      <c r="BO1172" s="190"/>
      <c r="BP1172" s="190"/>
      <c r="BQ1172" s="190"/>
      <c r="BR1172" s="190"/>
      <c r="BS1172" s="190"/>
      <c r="BT1172" s="190"/>
      <c r="BU1172" s="190"/>
      <c r="BV1172" s="190"/>
      <c r="BW1172" s="190"/>
      <c r="BX1172" s="190"/>
      <c r="BY1172" s="190"/>
      <c r="BZ1172" s="190"/>
      <c r="CA1172" s="189"/>
      <c r="CB1172" s="192"/>
    </row>
    <row r="1173" spans="1:80" x14ac:dyDescent="0.2">
      <c r="A1173" s="189"/>
      <c r="B1173" s="648"/>
      <c r="C1173" s="648"/>
      <c r="D1173" s="697"/>
      <c r="E1173" s="159"/>
      <c r="F1173" s="159"/>
      <c r="G1173" s="190"/>
      <c r="H1173" s="190"/>
      <c r="I1173" s="190"/>
      <c r="J1173" s="190"/>
      <c r="K1173" s="190"/>
      <c r="L1173" s="629"/>
      <c r="M1173" s="647" t="s">
        <v>763</v>
      </c>
      <c r="N1173" s="587">
        <v>10.387</v>
      </c>
      <c r="O1173" s="593">
        <v>2.5034716803773734E-5</v>
      </c>
      <c r="P1173" s="190"/>
      <c r="Q1173" s="190"/>
      <c r="R1173" s="190"/>
      <c r="S1173" s="190"/>
      <c r="T1173" s="190"/>
      <c r="U1173" s="190"/>
      <c r="V1173" s="190"/>
      <c r="W1173" s="190"/>
      <c r="X1173" s="190"/>
      <c r="Y1173" s="190"/>
      <c r="Z1173" s="190"/>
      <c r="AA1173" s="190"/>
      <c r="AB1173" s="189"/>
      <c r="AC1173" s="189"/>
      <c r="AD1173" s="189"/>
      <c r="AE1173" s="189"/>
      <c r="AF1173" s="190"/>
      <c r="AG1173" s="190"/>
      <c r="AH1173" s="337"/>
      <c r="AI1173" s="190"/>
      <c r="AJ1173" s="190"/>
      <c r="AK1173" s="190"/>
      <c r="AL1173" s="189"/>
      <c r="AM1173" s="189"/>
      <c r="AN1173" s="189"/>
      <c r="AO1173" s="189"/>
      <c r="AP1173" s="189"/>
      <c r="AQ1173" s="189"/>
      <c r="AR1173" s="189"/>
      <c r="AS1173" s="189"/>
      <c r="AT1173" s="189"/>
      <c r="AU1173" s="190"/>
      <c r="AV1173" s="190"/>
      <c r="AW1173" s="190"/>
      <c r="AX1173" s="190"/>
      <c r="AY1173" s="190"/>
      <c r="AZ1173" s="189"/>
      <c r="BA1173" s="189"/>
      <c r="BB1173" s="189"/>
      <c r="BC1173" s="189"/>
      <c r="BD1173" s="189"/>
      <c r="BE1173" s="189"/>
      <c r="BF1173" s="189"/>
      <c r="BG1173" s="189"/>
      <c r="BH1173" s="189"/>
      <c r="BI1173" s="190"/>
      <c r="BJ1173" s="190"/>
      <c r="BK1173" s="190"/>
      <c r="BL1173" s="190"/>
      <c r="BM1173" s="190"/>
      <c r="BN1173" s="190"/>
      <c r="BO1173" s="190"/>
      <c r="BP1173" s="190"/>
      <c r="BQ1173" s="190"/>
      <c r="BR1173" s="190"/>
      <c r="BS1173" s="190"/>
      <c r="BT1173" s="190"/>
      <c r="BU1173" s="190"/>
      <c r="BV1173" s="190"/>
      <c r="BW1173" s="190"/>
      <c r="BX1173" s="190"/>
      <c r="BY1173" s="190"/>
      <c r="BZ1173" s="190"/>
      <c r="CA1173" s="189"/>
      <c r="CB1173" s="192"/>
    </row>
    <row r="1174" spans="1:80" x14ac:dyDescent="0.2">
      <c r="A1174" s="189"/>
      <c r="B1174" s="648"/>
      <c r="C1174" s="648"/>
      <c r="D1174" s="697"/>
      <c r="E1174" s="159"/>
      <c r="F1174" s="159"/>
      <c r="G1174" s="190"/>
      <c r="H1174" s="190"/>
      <c r="I1174" s="190"/>
      <c r="J1174" s="190"/>
      <c r="K1174" s="190"/>
      <c r="L1174" s="629"/>
      <c r="M1174" s="647" t="s">
        <v>764</v>
      </c>
      <c r="N1174" s="587">
        <v>11.278</v>
      </c>
      <c r="O1174" s="592">
        <v>1.1974090474007553E-4</v>
      </c>
      <c r="P1174" s="190"/>
      <c r="Q1174" s="190"/>
      <c r="R1174" s="190"/>
      <c r="S1174" s="190"/>
      <c r="T1174" s="190"/>
      <c r="U1174" s="190"/>
      <c r="V1174" s="190"/>
      <c r="W1174" s="190"/>
      <c r="X1174" s="190"/>
      <c r="Y1174" s="190"/>
      <c r="Z1174" s="190"/>
      <c r="AA1174" s="190"/>
      <c r="AB1174" s="189"/>
      <c r="AC1174" s="189"/>
      <c r="AD1174" s="189"/>
      <c r="AE1174" s="189"/>
      <c r="AF1174" s="190"/>
      <c r="AG1174" s="190"/>
      <c r="AH1174" s="337"/>
      <c r="AI1174" s="190"/>
      <c r="AJ1174" s="190"/>
      <c r="AK1174" s="190"/>
      <c r="AL1174" s="189"/>
      <c r="AM1174" s="189"/>
      <c r="AN1174" s="189"/>
      <c r="AO1174" s="189"/>
      <c r="AP1174" s="189"/>
      <c r="AQ1174" s="189"/>
      <c r="AR1174" s="189"/>
      <c r="AS1174" s="189"/>
      <c r="AT1174" s="189"/>
      <c r="AU1174" s="190"/>
      <c r="AV1174" s="190"/>
      <c r="AW1174" s="190"/>
      <c r="AX1174" s="190"/>
      <c r="AY1174" s="190"/>
      <c r="AZ1174" s="189"/>
      <c r="BA1174" s="189"/>
      <c r="BB1174" s="189"/>
      <c r="BC1174" s="189"/>
      <c r="BD1174" s="189"/>
      <c r="BE1174" s="189"/>
      <c r="BF1174" s="189"/>
      <c r="BG1174" s="189"/>
      <c r="BH1174" s="189"/>
      <c r="BI1174" s="190"/>
      <c r="BJ1174" s="190"/>
      <c r="BK1174" s="190"/>
      <c r="BL1174" s="190"/>
      <c r="BM1174" s="190"/>
      <c r="BN1174" s="190"/>
      <c r="BO1174" s="190"/>
      <c r="BP1174" s="190"/>
      <c r="BQ1174" s="190"/>
      <c r="BR1174" s="190"/>
      <c r="BS1174" s="190"/>
      <c r="BT1174" s="190"/>
      <c r="BU1174" s="190"/>
      <c r="BV1174" s="190"/>
      <c r="BW1174" s="190"/>
      <c r="BX1174" s="190"/>
      <c r="BY1174" s="190"/>
      <c r="BZ1174" s="190"/>
      <c r="CA1174" s="189"/>
      <c r="CB1174" s="192"/>
    </row>
    <row r="1175" spans="1:80" x14ac:dyDescent="0.2">
      <c r="A1175" s="189"/>
      <c r="B1175" s="648"/>
      <c r="C1175" s="648"/>
      <c r="D1175" s="697"/>
      <c r="E1175" s="159"/>
      <c r="F1175" s="159"/>
      <c r="G1175" s="190"/>
      <c r="H1175" s="190"/>
      <c r="I1175" s="190"/>
      <c r="J1175" s="190"/>
      <c r="K1175" s="190"/>
      <c r="L1175" s="629"/>
      <c r="M1175" s="647" t="s">
        <v>782</v>
      </c>
      <c r="N1175" s="587">
        <v>13.057</v>
      </c>
      <c r="O1175" s="592">
        <v>9.2638857559849903E-5</v>
      </c>
      <c r="P1175" s="190"/>
      <c r="Q1175" s="190"/>
      <c r="R1175" s="190"/>
      <c r="S1175" s="190"/>
      <c r="T1175" s="190"/>
      <c r="U1175" s="190"/>
      <c r="V1175" s="190"/>
      <c r="W1175" s="190"/>
      <c r="X1175" s="190"/>
      <c r="Y1175" s="190"/>
      <c r="Z1175" s="190"/>
      <c r="AA1175" s="190"/>
      <c r="AB1175" s="189"/>
      <c r="AC1175" s="189"/>
      <c r="AD1175" s="189"/>
      <c r="AE1175" s="189"/>
      <c r="AF1175" s="190"/>
      <c r="AG1175" s="190"/>
      <c r="AH1175" s="337"/>
      <c r="AI1175" s="190"/>
      <c r="AJ1175" s="190"/>
      <c r="AK1175" s="190"/>
      <c r="AL1175" s="189"/>
      <c r="AM1175" s="189"/>
      <c r="AN1175" s="189"/>
      <c r="AO1175" s="189"/>
      <c r="AP1175" s="189"/>
      <c r="AQ1175" s="189"/>
      <c r="AR1175" s="189"/>
      <c r="AS1175" s="189"/>
      <c r="AT1175" s="189"/>
      <c r="AU1175" s="190"/>
      <c r="AV1175" s="190"/>
      <c r="AW1175" s="190"/>
      <c r="AX1175" s="190"/>
      <c r="AY1175" s="190"/>
      <c r="AZ1175" s="189"/>
      <c r="BA1175" s="189"/>
      <c r="BB1175" s="189"/>
      <c r="BC1175" s="189"/>
      <c r="BD1175" s="189"/>
      <c r="BE1175" s="189"/>
      <c r="BF1175" s="189"/>
      <c r="BG1175" s="189"/>
      <c r="BH1175" s="189"/>
      <c r="BI1175" s="190"/>
      <c r="BJ1175" s="190"/>
      <c r="BK1175" s="190"/>
      <c r="BL1175" s="190"/>
      <c r="BM1175" s="190"/>
      <c r="BN1175" s="190"/>
      <c r="BO1175" s="190"/>
      <c r="BP1175" s="190"/>
      <c r="BQ1175" s="190"/>
      <c r="BR1175" s="190"/>
      <c r="BS1175" s="190"/>
      <c r="BT1175" s="190"/>
      <c r="BU1175" s="190"/>
      <c r="BV1175" s="190"/>
      <c r="BW1175" s="190"/>
      <c r="BX1175" s="190"/>
      <c r="BY1175" s="190"/>
      <c r="BZ1175" s="190"/>
      <c r="CA1175" s="189"/>
      <c r="CB1175" s="192"/>
    </row>
    <row r="1176" spans="1:80" x14ac:dyDescent="0.2">
      <c r="A1176" s="189"/>
      <c r="B1176" s="648"/>
      <c r="C1176" s="648"/>
      <c r="D1176" s="697"/>
      <c r="E1176" s="159"/>
      <c r="F1176" s="159"/>
      <c r="G1176" s="190"/>
      <c r="H1176" s="190"/>
      <c r="I1176" s="190"/>
      <c r="J1176" s="190"/>
      <c r="K1176" s="190"/>
      <c r="L1176" s="629"/>
      <c r="M1176" s="647" t="s">
        <v>783</v>
      </c>
      <c r="N1176" s="587">
        <v>11.724</v>
      </c>
      <c r="O1176" s="593">
        <v>2.3455554241873172E-6</v>
      </c>
      <c r="P1176" s="190"/>
      <c r="Q1176" s="190"/>
      <c r="R1176" s="190"/>
      <c r="S1176" s="190"/>
      <c r="T1176" s="190"/>
      <c r="U1176" s="190"/>
      <c r="V1176" s="190"/>
      <c r="W1176" s="190"/>
      <c r="X1176" s="190"/>
      <c r="Y1176" s="190"/>
      <c r="Z1176" s="190"/>
      <c r="AA1176" s="190"/>
      <c r="AB1176" s="189"/>
      <c r="AC1176" s="189"/>
      <c r="AD1176" s="189"/>
      <c r="AE1176" s="189"/>
      <c r="AF1176" s="190"/>
      <c r="AG1176" s="190"/>
      <c r="AH1176" s="337"/>
      <c r="AI1176" s="190"/>
      <c r="AJ1176" s="190"/>
      <c r="AK1176" s="190"/>
      <c r="AL1176" s="189"/>
      <c r="AM1176" s="189"/>
      <c r="AN1176" s="189"/>
      <c r="AO1176" s="189"/>
      <c r="AP1176" s="189"/>
      <c r="AQ1176" s="189"/>
      <c r="AR1176" s="189"/>
      <c r="AS1176" s="189"/>
      <c r="AT1176" s="189"/>
      <c r="AU1176" s="190"/>
      <c r="AV1176" s="190"/>
      <c r="AW1176" s="190"/>
      <c r="AX1176" s="190"/>
      <c r="AY1176" s="190"/>
      <c r="AZ1176" s="189"/>
      <c r="BA1176" s="189"/>
      <c r="BB1176" s="189"/>
      <c r="BC1176" s="189"/>
      <c r="BD1176" s="189"/>
      <c r="BE1176" s="189"/>
      <c r="BF1176" s="189"/>
      <c r="BG1176" s="189"/>
      <c r="BH1176" s="189"/>
      <c r="BI1176" s="190"/>
      <c r="BJ1176" s="190"/>
      <c r="BK1176" s="190"/>
      <c r="BL1176" s="190"/>
      <c r="BM1176" s="190"/>
      <c r="BN1176" s="190"/>
      <c r="BO1176" s="190"/>
      <c r="BP1176" s="190"/>
      <c r="BQ1176" s="190"/>
      <c r="BR1176" s="190"/>
      <c r="BS1176" s="190"/>
      <c r="BT1176" s="190"/>
      <c r="BU1176" s="190"/>
      <c r="BV1176" s="190"/>
      <c r="BW1176" s="190"/>
      <c r="BX1176" s="190"/>
      <c r="BY1176" s="190"/>
      <c r="BZ1176" s="190"/>
      <c r="CA1176" s="189"/>
      <c r="CB1176" s="192"/>
    </row>
    <row r="1177" spans="1:80" x14ac:dyDescent="0.2">
      <c r="A1177" s="189"/>
      <c r="B1177" s="648"/>
      <c r="C1177" s="648"/>
      <c r="D1177" s="697"/>
      <c r="E1177" s="159"/>
      <c r="F1177" s="159"/>
      <c r="G1177" s="190"/>
      <c r="H1177" s="190"/>
      <c r="I1177" s="190"/>
      <c r="J1177" s="190"/>
      <c r="K1177" s="190"/>
      <c r="L1177" s="629"/>
      <c r="M1177" s="647" t="s">
        <v>784</v>
      </c>
      <c r="N1177" s="587">
        <v>8.6896042928630184</v>
      </c>
      <c r="O1177" s="593">
        <v>3.6759166666666665E-5</v>
      </c>
      <c r="P1177" s="190"/>
      <c r="Q1177" s="190"/>
      <c r="R1177" s="190"/>
      <c r="S1177" s="190"/>
      <c r="T1177" s="190"/>
      <c r="U1177" s="190"/>
      <c r="V1177" s="190"/>
      <c r="W1177" s="190"/>
      <c r="X1177" s="190"/>
      <c r="Y1177" s="190"/>
      <c r="Z1177" s="190"/>
      <c r="AA1177" s="190"/>
      <c r="AB1177" s="189"/>
      <c r="AC1177" s="189"/>
      <c r="AD1177" s="189"/>
      <c r="AE1177" s="189"/>
      <c r="AF1177" s="190"/>
      <c r="AG1177" s="190"/>
      <c r="AH1177" s="337"/>
      <c r="AI1177" s="190"/>
      <c r="AJ1177" s="190"/>
      <c r="AK1177" s="190"/>
      <c r="AL1177" s="189"/>
      <c r="AM1177" s="189"/>
      <c r="AN1177" s="189"/>
      <c r="AO1177" s="189"/>
      <c r="AP1177" s="189"/>
      <c r="AQ1177" s="189"/>
      <c r="AR1177" s="189"/>
      <c r="AS1177" s="189"/>
      <c r="AT1177" s="189"/>
      <c r="AU1177" s="190"/>
      <c r="AV1177" s="190"/>
      <c r="AW1177" s="190"/>
      <c r="AX1177" s="190"/>
      <c r="AY1177" s="190"/>
      <c r="AZ1177" s="189"/>
      <c r="BA1177" s="189"/>
      <c r="BB1177" s="189"/>
      <c r="BC1177" s="189"/>
      <c r="BD1177" s="189"/>
      <c r="BE1177" s="189"/>
      <c r="BF1177" s="189"/>
      <c r="BG1177" s="189"/>
      <c r="BH1177" s="189"/>
      <c r="BI1177" s="190"/>
      <c r="BJ1177" s="190"/>
      <c r="BK1177" s="190"/>
      <c r="BL1177" s="190"/>
      <c r="BM1177" s="190"/>
      <c r="BN1177" s="190"/>
      <c r="BO1177" s="190"/>
      <c r="BP1177" s="190"/>
      <c r="BQ1177" s="190"/>
      <c r="BR1177" s="190"/>
      <c r="BS1177" s="190"/>
      <c r="BT1177" s="190"/>
      <c r="BU1177" s="190"/>
      <c r="BV1177" s="190"/>
      <c r="BW1177" s="190"/>
      <c r="BX1177" s="190"/>
      <c r="BY1177" s="190"/>
      <c r="BZ1177" s="190"/>
      <c r="CA1177" s="189"/>
      <c r="CB1177" s="192"/>
    </row>
    <row r="1178" spans="1:80" x14ac:dyDescent="0.2">
      <c r="A1178" s="189"/>
      <c r="B1178" s="648"/>
      <c r="C1178" s="648"/>
      <c r="D1178" s="697"/>
      <c r="E1178" s="159"/>
      <c r="F1178" s="159"/>
      <c r="G1178" s="190"/>
      <c r="H1178" s="190"/>
      <c r="I1178" s="190"/>
      <c r="J1178" s="190"/>
      <c r="K1178" s="190"/>
      <c r="L1178" s="629"/>
      <c r="M1178" s="647" t="s">
        <v>785</v>
      </c>
      <c r="N1178" s="587">
        <v>10.18591388054117</v>
      </c>
      <c r="O1178" s="593">
        <v>2.8088333333333333E-5</v>
      </c>
      <c r="P1178" s="190"/>
      <c r="Q1178" s="190"/>
      <c r="R1178" s="190"/>
      <c r="S1178" s="190"/>
      <c r="T1178" s="190"/>
      <c r="U1178" s="190"/>
      <c r="V1178" s="190"/>
      <c r="W1178" s="190"/>
      <c r="X1178" s="190"/>
      <c r="Y1178" s="190"/>
      <c r="Z1178" s="190"/>
      <c r="AA1178" s="190"/>
      <c r="AB1178" s="189"/>
      <c r="AC1178" s="189"/>
      <c r="AD1178" s="189"/>
      <c r="AE1178" s="189"/>
      <c r="AF1178" s="190"/>
      <c r="AG1178" s="190"/>
      <c r="AH1178" s="337"/>
      <c r="AI1178" s="190"/>
      <c r="AJ1178" s="190"/>
      <c r="AK1178" s="190"/>
      <c r="AL1178" s="189"/>
      <c r="AM1178" s="189"/>
      <c r="AN1178" s="189"/>
      <c r="AO1178" s="189"/>
      <c r="AP1178" s="189"/>
      <c r="AQ1178" s="189"/>
      <c r="AR1178" s="189"/>
      <c r="AS1178" s="189"/>
      <c r="AT1178" s="189"/>
      <c r="AU1178" s="190"/>
      <c r="AV1178" s="190"/>
      <c r="AW1178" s="190"/>
      <c r="AX1178" s="190"/>
      <c r="AY1178" s="190"/>
      <c r="AZ1178" s="189"/>
      <c r="BA1178" s="189"/>
      <c r="BB1178" s="189"/>
      <c r="BC1178" s="189"/>
      <c r="BD1178" s="189"/>
      <c r="BE1178" s="189"/>
      <c r="BF1178" s="189"/>
      <c r="BG1178" s="189"/>
      <c r="BH1178" s="189"/>
      <c r="BI1178" s="190"/>
      <c r="BJ1178" s="190"/>
      <c r="BK1178" s="190"/>
      <c r="BL1178" s="190"/>
      <c r="BM1178" s="190"/>
      <c r="BN1178" s="190"/>
      <c r="BO1178" s="190"/>
      <c r="BP1178" s="190"/>
      <c r="BQ1178" s="190"/>
      <c r="BR1178" s="190"/>
      <c r="BS1178" s="190"/>
      <c r="BT1178" s="190"/>
      <c r="BU1178" s="190"/>
      <c r="BV1178" s="190"/>
      <c r="BW1178" s="190"/>
      <c r="BX1178" s="190"/>
      <c r="BY1178" s="190"/>
      <c r="BZ1178" s="190"/>
      <c r="CA1178" s="189"/>
      <c r="CB1178" s="192"/>
    </row>
    <row r="1179" spans="1:80" x14ac:dyDescent="0.2">
      <c r="A1179" s="189"/>
      <c r="B1179" s="648"/>
      <c r="C1179" s="648"/>
      <c r="D1179" s="697"/>
      <c r="E1179" s="159"/>
      <c r="F1179" s="159"/>
      <c r="G1179" s="190"/>
      <c r="H1179" s="190"/>
      <c r="I1179" s="190"/>
      <c r="J1179" s="190"/>
      <c r="K1179" s="190"/>
      <c r="L1179" s="629"/>
      <c r="M1179" s="647" t="s">
        <v>786</v>
      </c>
      <c r="N1179" s="587">
        <v>11.939881044642732</v>
      </c>
      <c r="O1179" s="593">
        <v>4.6959444444444445E-5</v>
      </c>
      <c r="P1179" s="190"/>
      <c r="Q1179" s="190"/>
      <c r="R1179" s="190"/>
      <c r="S1179" s="190"/>
      <c r="T1179" s="190"/>
      <c r="U1179" s="190"/>
      <c r="V1179" s="190"/>
      <c r="W1179" s="190"/>
      <c r="X1179" s="190"/>
      <c r="Y1179" s="190"/>
      <c r="Z1179" s="190"/>
      <c r="AA1179" s="190"/>
      <c r="AB1179" s="189"/>
      <c r="AC1179" s="189"/>
      <c r="AD1179" s="189"/>
      <c r="AE1179" s="189"/>
      <c r="AF1179" s="190"/>
      <c r="AG1179" s="190"/>
      <c r="AH1179" s="337"/>
      <c r="AI1179" s="190"/>
      <c r="AJ1179" s="190"/>
      <c r="AK1179" s="190"/>
      <c r="AL1179" s="189"/>
      <c r="AM1179" s="189"/>
      <c r="AN1179" s="189"/>
      <c r="AO1179" s="189"/>
      <c r="AP1179" s="189"/>
      <c r="AQ1179" s="189"/>
      <c r="AR1179" s="189"/>
      <c r="AS1179" s="189"/>
      <c r="AT1179" s="189"/>
      <c r="AU1179" s="190"/>
      <c r="AV1179" s="190"/>
      <c r="AW1179" s="190"/>
      <c r="AX1179" s="190"/>
      <c r="AY1179" s="190"/>
      <c r="AZ1179" s="189"/>
      <c r="BA1179" s="189"/>
      <c r="BB1179" s="189"/>
      <c r="BC1179" s="189"/>
      <c r="BD1179" s="189"/>
      <c r="BE1179" s="189"/>
      <c r="BF1179" s="189"/>
      <c r="BG1179" s="189"/>
      <c r="BH1179" s="189"/>
      <c r="BI1179" s="190"/>
      <c r="BJ1179" s="190"/>
      <c r="BK1179" s="190"/>
      <c r="BL1179" s="190"/>
      <c r="BM1179" s="190"/>
      <c r="BN1179" s="190"/>
      <c r="BO1179" s="190"/>
      <c r="BP1179" s="190"/>
      <c r="BQ1179" s="190"/>
      <c r="BR1179" s="190"/>
      <c r="BS1179" s="190"/>
      <c r="BT1179" s="190"/>
      <c r="BU1179" s="190"/>
      <c r="BV1179" s="190"/>
      <c r="BW1179" s="190"/>
      <c r="BX1179" s="190"/>
      <c r="BY1179" s="190"/>
      <c r="BZ1179" s="190"/>
      <c r="CA1179" s="189"/>
      <c r="CB1179" s="192"/>
    </row>
    <row r="1180" spans="1:80" x14ac:dyDescent="0.2">
      <c r="A1180" s="189"/>
      <c r="B1180" s="648"/>
      <c r="C1180" s="648"/>
      <c r="D1180" s="697"/>
      <c r="E1180" s="159"/>
      <c r="F1180" s="159"/>
      <c r="G1180" s="190"/>
      <c r="H1180" s="190"/>
      <c r="I1180" s="190"/>
      <c r="J1180" s="190"/>
      <c r="K1180" s="190"/>
      <c r="L1180" s="629"/>
      <c r="M1180" s="647" t="s">
        <v>787</v>
      </c>
      <c r="N1180" s="587">
        <v>13.99587322572618</v>
      </c>
      <c r="O1180" s="592">
        <v>5.3637499999999996E-4</v>
      </c>
      <c r="P1180" s="190"/>
      <c r="Q1180" s="190"/>
      <c r="R1180" s="190"/>
      <c r="S1180" s="190"/>
      <c r="T1180" s="190"/>
      <c r="U1180" s="190"/>
      <c r="V1180" s="190"/>
      <c r="W1180" s="190"/>
      <c r="X1180" s="190"/>
      <c r="Y1180" s="190"/>
      <c r="Z1180" s="190"/>
      <c r="AA1180" s="190"/>
      <c r="AB1180" s="189"/>
      <c r="AC1180" s="189"/>
      <c r="AD1180" s="189"/>
      <c r="AE1180" s="189"/>
      <c r="AF1180" s="190"/>
      <c r="AG1180" s="190"/>
      <c r="AH1180" s="337"/>
      <c r="AI1180" s="190"/>
      <c r="AJ1180" s="190"/>
      <c r="AK1180" s="190"/>
      <c r="AL1180" s="189"/>
      <c r="AM1180" s="189"/>
      <c r="AN1180" s="189"/>
      <c r="AO1180" s="189"/>
      <c r="AP1180" s="189"/>
      <c r="AQ1180" s="189"/>
      <c r="AR1180" s="189"/>
      <c r="AS1180" s="189"/>
      <c r="AT1180" s="189"/>
      <c r="AU1180" s="190"/>
      <c r="AV1180" s="190"/>
      <c r="AW1180" s="190"/>
      <c r="AX1180" s="190"/>
      <c r="AY1180" s="190"/>
      <c r="AZ1180" s="189"/>
      <c r="BA1180" s="189"/>
      <c r="BB1180" s="189"/>
      <c r="BC1180" s="189"/>
      <c r="BD1180" s="189"/>
      <c r="BE1180" s="189"/>
      <c r="BF1180" s="189"/>
      <c r="BG1180" s="189"/>
      <c r="BH1180" s="189"/>
      <c r="BI1180" s="190"/>
      <c r="BJ1180" s="190"/>
      <c r="BK1180" s="190"/>
      <c r="BL1180" s="190"/>
      <c r="BM1180" s="190"/>
      <c r="BN1180" s="190"/>
      <c r="BO1180" s="190"/>
      <c r="BP1180" s="190"/>
      <c r="BQ1180" s="190"/>
      <c r="BR1180" s="190"/>
      <c r="BS1180" s="190"/>
      <c r="BT1180" s="190"/>
      <c r="BU1180" s="190"/>
      <c r="BV1180" s="190"/>
      <c r="BW1180" s="190"/>
      <c r="BX1180" s="190"/>
      <c r="BY1180" s="190"/>
      <c r="BZ1180" s="190"/>
      <c r="CA1180" s="189"/>
      <c r="CB1180" s="192"/>
    </row>
    <row r="1181" spans="1:80" x14ac:dyDescent="0.2">
      <c r="A1181" s="189"/>
      <c r="B1181" s="648"/>
      <c r="C1181" s="648"/>
      <c r="D1181" s="697"/>
      <c r="E1181" s="159"/>
      <c r="F1181" s="159"/>
      <c r="G1181" s="190"/>
      <c r="H1181" s="190"/>
      <c r="I1181" s="190"/>
      <c r="J1181" s="190"/>
      <c r="K1181" s="190"/>
      <c r="L1181" s="629"/>
      <c r="M1181" s="647" t="s">
        <v>788</v>
      </c>
      <c r="N1181" s="587">
        <v>13.99587322572618</v>
      </c>
      <c r="O1181" s="592">
        <v>1.1374950000000001E-3</v>
      </c>
      <c r="P1181" s="190"/>
      <c r="Q1181" s="190"/>
      <c r="R1181" s="190"/>
      <c r="S1181" s="190"/>
      <c r="T1181" s="190"/>
      <c r="U1181" s="190"/>
      <c r="V1181" s="190"/>
      <c r="W1181" s="190"/>
      <c r="X1181" s="190"/>
      <c r="Y1181" s="190"/>
      <c r="Z1181" s="190"/>
      <c r="AA1181" s="190"/>
      <c r="AB1181" s="189"/>
      <c r="AC1181" s="189"/>
      <c r="AD1181" s="189"/>
      <c r="AE1181" s="189"/>
      <c r="AF1181" s="190"/>
      <c r="AG1181" s="190"/>
      <c r="AH1181" s="337"/>
      <c r="AI1181" s="190"/>
      <c r="AJ1181" s="190"/>
      <c r="AK1181" s="190"/>
      <c r="AL1181" s="189"/>
      <c r="AM1181" s="189"/>
      <c r="AN1181" s="189"/>
      <c r="AO1181" s="189"/>
      <c r="AP1181" s="189"/>
      <c r="AQ1181" s="189"/>
      <c r="AR1181" s="189"/>
      <c r="AS1181" s="189"/>
      <c r="AT1181" s="189"/>
      <c r="AU1181" s="190"/>
      <c r="AV1181" s="190"/>
      <c r="AW1181" s="190"/>
      <c r="AX1181" s="190"/>
      <c r="AY1181" s="190"/>
      <c r="AZ1181" s="189"/>
      <c r="BA1181" s="189"/>
      <c r="BB1181" s="189"/>
      <c r="BC1181" s="189"/>
      <c r="BD1181" s="189"/>
      <c r="BE1181" s="189"/>
      <c r="BF1181" s="189"/>
      <c r="BG1181" s="189"/>
      <c r="BH1181" s="189"/>
      <c r="BI1181" s="190"/>
      <c r="BJ1181" s="190"/>
      <c r="BK1181" s="190"/>
      <c r="BL1181" s="190"/>
      <c r="BM1181" s="190"/>
      <c r="BN1181" s="190"/>
      <c r="BO1181" s="190"/>
      <c r="BP1181" s="190"/>
      <c r="BQ1181" s="190"/>
      <c r="BR1181" s="190"/>
      <c r="BS1181" s="190"/>
      <c r="BT1181" s="190"/>
      <c r="BU1181" s="190"/>
      <c r="BV1181" s="190"/>
      <c r="BW1181" s="190"/>
      <c r="BX1181" s="190"/>
      <c r="BY1181" s="190"/>
      <c r="BZ1181" s="190"/>
      <c r="CA1181" s="189"/>
      <c r="CB1181" s="192"/>
    </row>
    <row r="1182" spans="1:80" x14ac:dyDescent="0.2">
      <c r="A1182" s="189"/>
      <c r="B1182" s="648"/>
      <c r="C1182" s="648"/>
      <c r="D1182" s="697"/>
      <c r="E1182" s="159"/>
      <c r="F1182" s="159"/>
      <c r="G1182" s="190"/>
      <c r="H1182" s="190"/>
      <c r="I1182" s="190"/>
      <c r="J1182" s="190"/>
      <c r="K1182" s="190"/>
      <c r="L1182" s="629"/>
      <c r="M1182" s="647" t="s">
        <v>789</v>
      </c>
      <c r="N1182" s="587">
        <v>17.298163592151017</v>
      </c>
      <c r="O1182" s="592">
        <v>7.9398138888888889E-4</v>
      </c>
      <c r="P1182" s="190"/>
      <c r="Q1182" s="190"/>
      <c r="R1182" s="190"/>
      <c r="S1182" s="190"/>
      <c r="T1182" s="190"/>
      <c r="U1182" s="190"/>
      <c r="V1182" s="190"/>
      <c r="W1182" s="190"/>
      <c r="X1182" s="190"/>
      <c r="Y1182" s="190"/>
      <c r="Z1182" s="190"/>
      <c r="AA1182" s="190"/>
      <c r="AB1182" s="189"/>
      <c r="AC1182" s="189"/>
      <c r="AD1182" s="189"/>
      <c r="AE1182" s="189"/>
      <c r="AF1182" s="190"/>
      <c r="AG1182" s="190"/>
      <c r="AH1182" s="337"/>
      <c r="AI1182" s="190"/>
      <c r="AJ1182" s="190"/>
      <c r="AK1182" s="190"/>
      <c r="AL1182" s="189"/>
      <c r="AM1182" s="189"/>
      <c r="AN1182" s="189"/>
      <c r="AO1182" s="189"/>
      <c r="AP1182" s="189"/>
      <c r="AQ1182" s="189"/>
      <c r="AR1182" s="189"/>
      <c r="AS1182" s="189"/>
      <c r="AT1182" s="189"/>
      <c r="AU1182" s="190"/>
      <c r="AV1182" s="190"/>
      <c r="AW1182" s="190"/>
      <c r="AX1182" s="190"/>
      <c r="AY1182" s="190"/>
      <c r="AZ1182" s="189"/>
      <c r="BA1182" s="189"/>
      <c r="BB1182" s="189"/>
      <c r="BC1182" s="189"/>
      <c r="BD1182" s="189"/>
      <c r="BE1182" s="189"/>
      <c r="BF1182" s="189"/>
      <c r="BG1182" s="189"/>
      <c r="BH1182" s="189"/>
      <c r="BI1182" s="190"/>
      <c r="BJ1182" s="190"/>
      <c r="BK1182" s="190"/>
      <c r="BL1182" s="190"/>
      <c r="BM1182" s="190"/>
      <c r="BN1182" s="190"/>
      <c r="BO1182" s="190"/>
      <c r="BP1182" s="190"/>
      <c r="BQ1182" s="190"/>
      <c r="BR1182" s="190"/>
      <c r="BS1182" s="190"/>
      <c r="BT1182" s="190"/>
      <c r="BU1182" s="190"/>
      <c r="BV1182" s="190"/>
      <c r="BW1182" s="190"/>
      <c r="BX1182" s="190"/>
      <c r="BY1182" s="190"/>
      <c r="BZ1182" s="190"/>
      <c r="CA1182" s="189"/>
      <c r="CB1182" s="192"/>
    </row>
    <row r="1183" spans="1:80" x14ac:dyDescent="0.2">
      <c r="A1183" s="189"/>
      <c r="B1183" s="648"/>
      <c r="C1183" s="648"/>
      <c r="D1183" s="697"/>
      <c r="E1183" s="159"/>
      <c r="F1183" s="159"/>
      <c r="G1183" s="190"/>
      <c r="H1183" s="190"/>
      <c r="I1183" s="190"/>
      <c r="J1183" s="190"/>
      <c r="K1183" s="190"/>
      <c r="L1183" s="629"/>
      <c r="M1183" s="647" t="s">
        <v>790</v>
      </c>
      <c r="N1183" s="587">
        <v>14.757065332758954</v>
      </c>
      <c r="O1183" s="592">
        <v>3.5811111111111113E-3</v>
      </c>
      <c r="P1183" s="190"/>
      <c r="Q1183" s="190"/>
      <c r="R1183" s="190"/>
      <c r="S1183" s="190"/>
      <c r="T1183" s="190"/>
      <c r="U1183" s="190"/>
      <c r="V1183" s="190"/>
      <c r="W1183" s="190"/>
      <c r="X1183" s="190"/>
      <c r="Y1183" s="190"/>
      <c r="Z1183" s="190"/>
      <c r="AA1183" s="190"/>
      <c r="AB1183" s="189"/>
      <c r="AC1183" s="189"/>
      <c r="AD1183" s="189"/>
      <c r="AE1183" s="189"/>
      <c r="AF1183" s="190"/>
      <c r="AG1183" s="190"/>
      <c r="AH1183" s="337"/>
      <c r="AI1183" s="190"/>
      <c r="AJ1183" s="190"/>
      <c r="AK1183" s="190"/>
      <c r="AL1183" s="189"/>
      <c r="AM1183" s="189"/>
      <c r="AN1183" s="189"/>
      <c r="AO1183" s="189"/>
      <c r="AP1183" s="189"/>
      <c r="AQ1183" s="189"/>
      <c r="AR1183" s="189"/>
      <c r="AS1183" s="189"/>
      <c r="AT1183" s="189"/>
      <c r="AU1183" s="190"/>
      <c r="AV1183" s="190"/>
      <c r="AW1183" s="190"/>
      <c r="AX1183" s="190"/>
      <c r="AY1183" s="190"/>
      <c r="AZ1183" s="189"/>
      <c r="BA1183" s="189"/>
      <c r="BB1183" s="189"/>
      <c r="BC1183" s="189"/>
      <c r="BD1183" s="189"/>
      <c r="BE1183" s="189"/>
      <c r="BF1183" s="189"/>
      <c r="BG1183" s="189"/>
      <c r="BH1183" s="189"/>
      <c r="BI1183" s="190"/>
      <c r="BJ1183" s="190"/>
      <c r="BK1183" s="190"/>
      <c r="BL1183" s="190"/>
      <c r="BM1183" s="190"/>
      <c r="BN1183" s="190"/>
      <c r="BO1183" s="190"/>
      <c r="BP1183" s="190"/>
      <c r="BQ1183" s="190"/>
      <c r="BR1183" s="190"/>
      <c r="BS1183" s="190"/>
      <c r="BT1183" s="190"/>
      <c r="BU1183" s="190"/>
      <c r="BV1183" s="190"/>
      <c r="BW1183" s="190"/>
      <c r="BX1183" s="190"/>
      <c r="BY1183" s="190"/>
      <c r="BZ1183" s="190"/>
      <c r="CA1183" s="189"/>
      <c r="CB1183" s="192"/>
    </row>
    <row r="1184" spans="1:80" x14ac:dyDescent="0.2">
      <c r="A1184" s="189"/>
      <c r="B1184" s="648"/>
      <c r="C1184" s="648"/>
      <c r="D1184" s="697"/>
      <c r="E1184" s="159"/>
      <c r="F1184" s="159"/>
      <c r="G1184" s="190"/>
      <c r="H1184" s="190"/>
      <c r="I1184" s="190"/>
      <c r="J1184" s="190"/>
      <c r="K1184" s="190"/>
      <c r="L1184" s="629"/>
      <c r="M1184" s="647" t="s">
        <v>791</v>
      </c>
      <c r="N1184" s="587">
        <v>13.99587322572618</v>
      </c>
      <c r="O1184" s="592">
        <v>1.3273147222222221E-3</v>
      </c>
      <c r="P1184" s="190"/>
      <c r="Q1184" s="190"/>
      <c r="R1184" s="190"/>
      <c r="S1184" s="190"/>
      <c r="T1184" s="190"/>
      <c r="U1184" s="190"/>
      <c r="V1184" s="190"/>
      <c r="W1184" s="190"/>
      <c r="X1184" s="190"/>
      <c r="Y1184" s="190"/>
      <c r="Z1184" s="190"/>
      <c r="AA1184" s="190"/>
      <c r="AB1184" s="189"/>
      <c r="AC1184" s="189"/>
      <c r="AD1184" s="189"/>
      <c r="AE1184" s="189"/>
      <c r="AF1184" s="190"/>
      <c r="AG1184" s="190"/>
      <c r="AH1184" s="337"/>
      <c r="AI1184" s="190"/>
      <c r="AJ1184" s="190"/>
      <c r="AK1184" s="190"/>
      <c r="AL1184" s="189"/>
      <c r="AM1184" s="189"/>
      <c r="AN1184" s="189"/>
      <c r="AO1184" s="189"/>
      <c r="AP1184" s="189"/>
      <c r="AQ1184" s="189"/>
      <c r="AR1184" s="189"/>
      <c r="AS1184" s="189"/>
      <c r="AT1184" s="189"/>
      <c r="AU1184" s="190"/>
      <c r="AV1184" s="190"/>
      <c r="AW1184" s="190"/>
      <c r="AX1184" s="190"/>
      <c r="AY1184" s="190"/>
      <c r="AZ1184" s="189"/>
      <c r="BA1184" s="189"/>
      <c r="BB1184" s="189"/>
      <c r="BC1184" s="189"/>
      <c r="BD1184" s="189"/>
      <c r="BE1184" s="189"/>
      <c r="BF1184" s="189"/>
      <c r="BG1184" s="189"/>
      <c r="BH1184" s="189"/>
      <c r="BI1184" s="190"/>
      <c r="BJ1184" s="190"/>
      <c r="BK1184" s="190"/>
      <c r="BL1184" s="190"/>
      <c r="BM1184" s="190"/>
      <c r="BN1184" s="190"/>
      <c r="BO1184" s="190"/>
      <c r="BP1184" s="190"/>
      <c r="BQ1184" s="190"/>
      <c r="BR1184" s="190"/>
      <c r="BS1184" s="190"/>
      <c r="BT1184" s="190"/>
      <c r="BU1184" s="190"/>
      <c r="BV1184" s="190"/>
      <c r="BW1184" s="190"/>
      <c r="BX1184" s="190"/>
      <c r="BY1184" s="190"/>
      <c r="BZ1184" s="190"/>
      <c r="CA1184" s="189"/>
      <c r="CB1184" s="192"/>
    </row>
    <row r="1185" spans="1:80" x14ac:dyDescent="0.2">
      <c r="A1185" s="189"/>
      <c r="B1185" s="648"/>
      <c r="C1185" s="648"/>
      <c r="D1185" s="697"/>
      <c r="E1185" s="159"/>
      <c r="F1185" s="159"/>
      <c r="G1185" s="190"/>
      <c r="H1185" s="190"/>
      <c r="I1185" s="190"/>
      <c r="J1185" s="190"/>
      <c r="K1185" s="190"/>
      <c r="L1185" s="629"/>
      <c r="M1185" s="647" t="s">
        <v>792</v>
      </c>
      <c r="N1185" s="587">
        <v>13.273944577297399</v>
      </c>
      <c r="O1185" s="592">
        <v>4.1157277777777781E-4</v>
      </c>
      <c r="P1185" s="190"/>
      <c r="Q1185" s="190"/>
      <c r="R1185" s="190"/>
      <c r="S1185" s="190"/>
      <c r="T1185" s="190"/>
      <c r="U1185" s="190"/>
      <c r="V1185" s="190"/>
      <c r="W1185" s="190"/>
      <c r="X1185" s="190"/>
      <c r="Y1185" s="190"/>
      <c r="Z1185" s="190"/>
      <c r="AA1185" s="190"/>
      <c r="AB1185" s="189"/>
      <c r="AC1185" s="189"/>
      <c r="AD1185" s="189"/>
      <c r="AE1185" s="189"/>
      <c r="AF1185" s="190"/>
      <c r="AG1185" s="190"/>
      <c r="AH1185" s="337"/>
      <c r="AI1185" s="190"/>
      <c r="AJ1185" s="190"/>
      <c r="AK1185" s="190"/>
      <c r="AL1185" s="189"/>
      <c r="AM1185" s="189"/>
      <c r="AN1185" s="189"/>
      <c r="AO1185" s="189"/>
      <c r="AP1185" s="189"/>
      <c r="AQ1185" s="189"/>
      <c r="AR1185" s="189"/>
      <c r="AS1185" s="189"/>
      <c r="AT1185" s="189"/>
      <c r="AU1185" s="190"/>
      <c r="AV1185" s="190"/>
      <c r="AW1185" s="190"/>
      <c r="AX1185" s="190"/>
      <c r="AY1185" s="190"/>
      <c r="AZ1185" s="189"/>
      <c r="BA1185" s="189"/>
      <c r="BB1185" s="189"/>
      <c r="BC1185" s="189"/>
      <c r="BD1185" s="189"/>
      <c r="BE1185" s="189"/>
      <c r="BF1185" s="189"/>
      <c r="BG1185" s="189"/>
      <c r="BH1185" s="189"/>
      <c r="BI1185" s="190"/>
      <c r="BJ1185" s="190"/>
      <c r="BK1185" s="190"/>
      <c r="BL1185" s="190"/>
      <c r="BM1185" s="190"/>
      <c r="BN1185" s="190"/>
      <c r="BO1185" s="190"/>
      <c r="BP1185" s="190"/>
      <c r="BQ1185" s="190"/>
      <c r="BR1185" s="190"/>
      <c r="BS1185" s="190"/>
      <c r="BT1185" s="190"/>
      <c r="BU1185" s="190"/>
      <c r="BV1185" s="190"/>
      <c r="BW1185" s="190"/>
      <c r="BX1185" s="190"/>
      <c r="BY1185" s="190"/>
      <c r="BZ1185" s="190"/>
      <c r="CA1185" s="189"/>
      <c r="CB1185" s="192"/>
    </row>
    <row r="1186" spans="1:80" x14ac:dyDescent="0.2">
      <c r="A1186" s="189"/>
      <c r="B1186" s="648"/>
      <c r="C1186" s="648"/>
      <c r="D1186" s="697"/>
      <c r="E1186" s="159"/>
      <c r="F1186" s="159"/>
      <c r="G1186" s="190"/>
      <c r="H1186" s="190"/>
      <c r="I1186" s="190"/>
      <c r="J1186" s="190"/>
      <c r="K1186" s="190"/>
      <c r="L1186" s="629"/>
      <c r="M1186" s="647" t="s">
        <v>793</v>
      </c>
      <c r="N1186" s="587">
        <v>11.939881044642732</v>
      </c>
      <c r="O1186" s="592">
        <v>9.5679055555555556E-4</v>
      </c>
      <c r="P1186" s="190"/>
      <c r="Q1186" s="190"/>
      <c r="R1186" s="190"/>
      <c r="S1186" s="190"/>
      <c r="T1186" s="190"/>
      <c r="U1186" s="190"/>
      <c r="V1186" s="190"/>
      <c r="W1186" s="190"/>
      <c r="X1186" s="190"/>
      <c r="Y1186" s="190"/>
      <c r="Z1186" s="190"/>
      <c r="AA1186" s="190"/>
      <c r="AB1186" s="189"/>
      <c r="AC1186" s="189"/>
      <c r="AD1186" s="189"/>
      <c r="AE1186" s="189"/>
      <c r="AF1186" s="190"/>
      <c r="AG1186" s="190"/>
      <c r="AH1186" s="337"/>
      <c r="AI1186" s="190"/>
      <c r="AJ1186" s="190"/>
      <c r="AK1186" s="190"/>
      <c r="AL1186" s="189"/>
      <c r="AM1186" s="189"/>
      <c r="AN1186" s="189"/>
      <c r="AO1186" s="189"/>
      <c r="AP1186" s="189"/>
      <c r="AQ1186" s="189"/>
      <c r="AR1186" s="189"/>
      <c r="AS1186" s="189"/>
      <c r="AT1186" s="189"/>
      <c r="AU1186" s="190"/>
      <c r="AV1186" s="190"/>
      <c r="AW1186" s="190"/>
      <c r="AX1186" s="190"/>
      <c r="AY1186" s="190"/>
      <c r="AZ1186" s="189"/>
      <c r="BA1186" s="189"/>
      <c r="BB1186" s="189"/>
      <c r="BC1186" s="189"/>
      <c r="BD1186" s="189"/>
      <c r="BE1186" s="189"/>
      <c r="BF1186" s="189"/>
      <c r="BG1186" s="189"/>
      <c r="BH1186" s="189"/>
      <c r="BI1186" s="190"/>
      <c r="BJ1186" s="190"/>
      <c r="BK1186" s="190"/>
      <c r="BL1186" s="190"/>
      <c r="BM1186" s="190"/>
      <c r="BN1186" s="190"/>
      <c r="BO1186" s="190"/>
      <c r="BP1186" s="190"/>
      <c r="BQ1186" s="190"/>
      <c r="BR1186" s="190"/>
      <c r="BS1186" s="190"/>
      <c r="BT1186" s="190"/>
      <c r="BU1186" s="190"/>
      <c r="BV1186" s="190"/>
      <c r="BW1186" s="190"/>
      <c r="BX1186" s="190"/>
      <c r="BY1186" s="190"/>
      <c r="BZ1186" s="190"/>
      <c r="CA1186" s="189"/>
      <c r="CB1186" s="192"/>
    </row>
    <row r="1187" spans="1:80" x14ac:dyDescent="0.2">
      <c r="A1187" s="189"/>
      <c r="B1187" s="648"/>
      <c r="C1187" s="648"/>
      <c r="D1187" s="697"/>
      <c r="E1187" s="159"/>
      <c r="F1187" s="159"/>
      <c r="G1187" s="190"/>
      <c r="H1187" s="190"/>
      <c r="I1187" s="190"/>
      <c r="J1187" s="190"/>
      <c r="K1187" s="190"/>
      <c r="L1187" s="629"/>
      <c r="M1187" s="647" t="s">
        <v>794</v>
      </c>
      <c r="N1187" s="587">
        <v>11.324003632355574</v>
      </c>
      <c r="O1187" s="592">
        <v>4.0301166666666669E-4</v>
      </c>
      <c r="P1187" s="190"/>
      <c r="Q1187" s="190"/>
      <c r="R1187" s="190"/>
      <c r="S1187" s="190"/>
      <c r="T1187" s="190"/>
      <c r="U1187" s="190"/>
      <c r="V1187" s="190"/>
      <c r="W1187" s="190"/>
      <c r="X1187" s="190"/>
      <c r="Y1187" s="190"/>
      <c r="Z1187" s="190"/>
      <c r="AA1187" s="190"/>
      <c r="AB1187" s="189"/>
      <c r="AC1187" s="189"/>
      <c r="AD1187" s="189"/>
      <c r="AE1187" s="189"/>
      <c r="AF1187" s="190"/>
      <c r="AG1187" s="190"/>
      <c r="AH1187" s="337"/>
      <c r="AI1187" s="190"/>
      <c r="AJ1187" s="190"/>
      <c r="AK1187" s="190"/>
      <c r="AL1187" s="189"/>
      <c r="AM1187" s="189"/>
      <c r="AN1187" s="189"/>
      <c r="AO1187" s="189"/>
      <c r="AP1187" s="189"/>
      <c r="AQ1187" s="189"/>
      <c r="AR1187" s="189"/>
      <c r="AS1187" s="189"/>
      <c r="AT1187" s="189"/>
      <c r="AU1187" s="190"/>
      <c r="AV1187" s="190"/>
      <c r="AW1187" s="190"/>
      <c r="AX1187" s="190"/>
      <c r="AY1187" s="190"/>
      <c r="AZ1187" s="189"/>
      <c r="BA1187" s="189"/>
      <c r="BB1187" s="189"/>
      <c r="BC1187" s="189"/>
      <c r="BD1187" s="189"/>
      <c r="BE1187" s="189"/>
      <c r="BF1187" s="189"/>
      <c r="BG1187" s="189"/>
      <c r="BH1187" s="189"/>
      <c r="BI1187" s="190"/>
      <c r="BJ1187" s="190"/>
      <c r="BK1187" s="190"/>
      <c r="BL1187" s="190"/>
      <c r="BM1187" s="190"/>
      <c r="BN1187" s="190"/>
      <c r="BO1187" s="190"/>
      <c r="BP1187" s="190"/>
      <c r="BQ1187" s="190"/>
      <c r="BR1187" s="190"/>
      <c r="BS1187" s="190"/>
      <c r="BT1187" s="190"/>
      <c r="BU1187" s="190"/>
      <c r="BV1187" s="190"/>
      <c r="BW1187" s="190"/>
      <c r="BX1187" s="190"/>
      <c r="BY1187" s="190"/>
      <c r="BZ1187" s="190"/>
      <c r="CA1187" s="189"/>
      <c r="CB1187" s="192"/>
    </row>
    <row r="1188" spans="1:80" x14ac:dyDescent="0.2">
      <c r="A1188" s="189"/>
      <c r="B1188" s="648"/>
      <c r="C1188" s="648"/>
      <c r="D1188" s="697"/>
      <c r="E1188" s="159"/>
      <c r="F1188" s="159"/>
      <c r="G1188" s="190"/>
      <c r="H1188" s="190"/>
      <c r="I1188" s="190"/>
      <c r="J1188" s="190"/>
      <c r="K1188" s="190"/>
      <c r="L1188" s="629"/>
      <c r="M1188" s="647" t="s">
        <v>795</v>
      </c>
      <c r="N1188" s="587">
        <v>10.73989412341245</v>
      </c>
      <c r="O1188" s="592">
        <v>1.2136972222222222E-4</v>
      </c>
      <c r="P1188" s="190"/>
      <c r="Q1188" s="190"/>
      <c r="R1188" s="190"/>
      <c r="S1188" s="190"/>
      <c r="T1188" s="190"/>
      <c r="U1188" s="190"/>
      <c r="V1188" s="190"/>
      <c r="W1188" s="190"/>
      <c r="X1188" s="190"/>
      <c r="Y1188" s="190"/>
      <c r="Z1188" s="190"/>
      <c r="AA1188" s="190"/>
      <c r="AB1188" s="189"/>
      <c r="AC1188" s="189"/>
      <c r="AD1188" s="189"/>
      <c r="AE1188" s="189"/>
      <c r="AF1188" s="190"/>
      <c r="AG1188" s="190"/>
      <c r="AH1188" s="337"/>
      <c r="AI1188" s="190"/>
      <c r="AJ1188" s="190"/>
      <c r="AK1188" s="190"/>
      <c r="AL1188" s="189"/>
      <c r="AM1188" s="189"/>
      <c r="AN1188" s="189"/>
      <c r="AO1188" s="189"/>
      <c r="AP1188" s="189"/>
      <c r="AQ1188" s="189"/>
      <c r="AR1188" s="189"/>
      <c r="AS1188" s="189"/>
      <c r="AT1188" s="189"/>
      <c r="AU1188" s="190"/>
      <c r="AV1188" s="190"/>
      <c r="AW1188" s="190"/>
      <c r="AX1188" s="190"/>
      <c r="AY1188" s="190"/>
      <c r="AZ1188" s="189"/>
      <c r="BA1188" s="189"/>
      <c r="BB1188" s="189"/>
      <c r="BC1188" s="189"/>
      <c r="BD1188" s="189"/>
      <c r="BE1188" s="189"/>
      <c r="BF1188" s="189"/>
      <c r="BG1188" s="189"/>
      <c r="BH1188" s="189"/>
      <c r="BI1188" s="190"/>
      <c r="BJ1188" s="190"/>
      <c r="BK1188" s="190"/>
      <c r="BL1188" s="190"/>
      <c r="BM1188" s="190"/>
      <c r="BN1188" s="190"/>
      <c r="BO1188" s="190"/>
      <c r="BP1188" s="190"/>
      <c r="BQ1188" s="190"/>
      <c r="BR1188" s="190"/>
      <c r="BS1188" s="190"/>
      <c r="BT1188" s="190"/>
      <c r="BU1188" s="190"/>
      <c r="BV1188" s="190"/>
      <c r="BW1188" s="190"/>
      <c r="BX1188" s="190"/>
      <c r="BY1188" s="190"/>
      <c r="BZ1188" s="190"/>
      <c r="CA1188" s="189"/>
      <c r="CB1188" s="192"/>
    </row>
    <row r="1189" spans="1:80" x14ac:dyDescent="0.2">
      <c r="A1189" s="189"/>
      <c r="B1189" s="648"/>
      <c r="C1189" s="648"/>
      <c r="D1189" s="697"/>
      <c r="E1189" s="159"/>
      <c r="F1189" s="159"/>
      <c r="G1189" s="190"/>
      <c r="H1189" s="190"/>
      <c r="I1189" s="190"/>
      <c r="J1189" s="190"/>
      <c r="K1189" s="190"/>
      <c r="L1189" s="629"/>
      <c r="M1189" s="647" t="s">
        <v>796</v>
      </c>
      <c r="N1189" s="587">
        <v>13.273944577297399</v>
      </c>
      <c r="O1189" s="592">
        <v>6.2136833333333334E-4</v>
      </c>
      <c r="P1189" s="190"/>
      <c r="Q1189" s="190"/>
      <c r="R1189" s="190"/>
      <c r="S1189" s="190"/>
      <c r="T1189" s="190"/>
      <c r="U1189" s="190"/>
      <c r="V1189" s="190"/>
      <c r="W1189" s="190"/>
      <c r="X1189" s="190"/>
      <c r="Y1189" s="190"/>
      <c r="Z1189" s="190"/>
      <c r="AA1189" s="190"/>
      <c r="AB1189" s="189"/>
      <c r="AC1189" s="189"/>
      <c r="AD1189" s="189"/>
      <c r="AE1189" s="189"/>
      <c r="AF1189" s="190"/>
      <c r="AG1189" s="190"/>
      <c r="AH1189" s="337"/>
      <c r="AI1189" s="190"/>
      <c r="AJ1189" s="190"/>
      <c r="AK1189" s="190"/>
      <c r="AL1189" s="189"/>
      <c r="AM1189" s="189"/>
      <c r="AN1189" s="189"/>
      <c r="AO1189" s="189"/>
      <c r="AP1189" s="189"/>
      <c r="AQ1189" s="189"/>
      <c r="AR1189" s="189"/>
      <c r="AS1189" s="189"/>
      <c r="AT1189" s="189"/>
      <c r="AU1189" s="190"/>
      <c r="AV1189" s="190"/>
      <c r="AW1189" s="190"/>
      <c r="AX1189" s="190"/>
      <c r="AY1189" s="190"/>
      <c r="AZ1189" s="189"/>
      <c r="BA1189" s="189"/>
      <c r="BB1189" s="189"/>
      <c r="BC1189" s="189"/>
      <c r="BD1189" s="189"/>
      <c r="BE1189" s="189"/>
      <c r="BF1189" s="189"/>
      <c r="BG1189" s="189"/>
      <c r="BH1189" s="189"/>
      <c r="BI1189" s="190"/>
      <c r="BJ1189" s="190"/>
      <c r="BK1189" s="190"/>
      <c r="BL1189" s="190"/>
      <c r="BM1189" s="190"/>
      <c r="BN1189" s="190"/>
      <c r="BO1189" s="190"/>
      <c r="BP1189" s="190"/>
      <c r="BQ1189" s="190"/>
      <c r="BR1189" s="190"/>
      <c r="BS1189" s="190"/>
      <c r="BT1189" s="190"/>
      <c r="BU1189" s="190"/>
      <c r="BV1189" s="190"/>
      <c r="BW1189" s="190"/>
      <c r="BX1189" s="190"/>
      <c r="BY1189" s="190"/>
      <c r="BZ1189" s="190"/>
      <c r="CA1189" s="189"/>
      <c r="CB1189" s="192"/>
    </row>
    <row r="1190" spans="1:80" x14ac:dyDescent="0.2">
      <c r="A1190" s="189"/>
      <c r="B1190" s="648"/>
      <c r="C1190" s="648"/>
      <c r="D1190" s="697"/>
      <c r="E1190" s="159"/>
      <c r="F1190" s="159"/>
      <c r="G1190" s="190"/>
      <c r="H1190" s="190"/>
      <c r="I1190" s="190"/>
      <c r="J1190" s="190"/>
      <c r="K1190" s="190"/>
      <c r="L1190" s="629"/>
      <c r="M1190" s="647" t="s">
        <v>797</v>
      </c>
      <c r="N1190" s="587">
        <v>10.73989412341245</v>
      </c>
      <c r="O1190" s="592"/>
      <c r="P1190" s="190"/>
      <c r="Q1190" s="190"/>
      <c r="R1190" s="190"/>
      <c r="S1190" s="190"/>
      <c r="T1190" s="190"/>
      <c r="U1190" s="190"/>
      <c r="V1190" s="190"/>
      <c r="W1190" s="190"/>
      <c r="X1190" s="190"/>
      <c r="Y1190" s="190"/>
      <c r="Z1190" s="190"/>
      <c r="AA1190" s="190"/>
      <c r="AB1190" s="189"/>
      <c r="AC1190" s="189"/>
      <c r="AD1190" s="189"/>
      <c r="AE1190" s="189"/>
      <c r="AF1190" s="190"/>
      <c r="AG1190" s="190"/>
      <c r="AH1190" s="337"/>
      <c r="AI1190" s="190"/>
      <c r="AJ1190" s="190"/>
      <c r="AK1190" s="190"/>
      <c r="AL1190" s="189"/>
      <c r="AM1190" s="189"/>
      <c r="AN1190" s="189"/>
      <c r="AO1190" s="189"/>
      <c r="AP1190" s="189"/>
      <c r="AQ1190" s="189"/>
      <c r="AR1190" s="189"/>
      <c r="AS1190" s="189"/>
      <c r="AT1190" s="189"/>
      <c r="AU1190" s="190"/>
      <c r="AV1190" s="190"/>
      <c r="AW1190" s="190"/>
      <c r="AX1190" s="190"/>
      <c r="AY1190" s="190"/>
      <c r="AZ1190" s="189"/>
      <c r="BA1190" s="189"/>
      <c r="BB1190" s="189"/>
      <c r="BC1190" s="189"/>
      <c r="BD1190" s="189"/>
      <c r="BE1190" s="189"/>
      <c r="BF1190" s="189"/>
      <c r="BG1190" s="189"/>
      <c r="BH1190" s="189"/>
      <c r="BI1190" s="190"/>
      <c r="BJ1190" s="190"/>
      <c r="BK1190" s="190"/>
      <c r="BL1190" s="190"/>
      <c r="BM1190" s="190"/>
      <c r="BN1190" s="190"/>
      <c r="BO1190" s="190"/>
      <c r="BP1190" s="190"/>
      <c r="BQ1190" s="190"/>
      <c r="BR1190" s="190"/>
      <c r="BS1190" s="190"/>
      <c r="BT1190" s="190"/>
      <c r="BU1190" s="190"/>
      <c r="BV1190" s="190"/>
      <c r="BW1190" s="190"/>
      <c r="BX1190" s="190"/>
      <c r="BY1190" s="190"/>
      <c r="BZ1190" s="190"/>
      <c r="CA1190" s="189"/>
      <c r="CB1190" s="192"/>
    </row>
    <row r="1191" spans="1:80" x14ac:dyDescent="0.2">
      <c r="A1191" s="189"/>
      <c r="B1191" s="648"/>
      <c r="C1191" s="648"/>
      <c r="D1191" s="697"/>
      <c r="E1191" s="159"/>
      <c r="F1191" s="159"/>
      <c r="G1191" s="190"/>
      <c r="H1191" s="190"/>
      <c r="I1191" s="190"/>
      <c r="J1191" s="190"/>
      <c r="K1191" s="190"/>
      <c r="L1191" s="629"/>
      <c r="M1191" s="647" t="s">
        <v>798</v>
      </c>
      <c r="N1191" s="587">
        <v>10.73989412341245</v>
      </c>
      <c r="O1191" s="592">
        <v>2.8407083333333331E-4</v>
      </c>
      <c r="P1191" s="190"/>
      <c r="Q1191" s="190"/>
      <c r="R1191" s="190"/>
      <c r="S1191" s="190"/>
      <c r="T1191" s="190"/>
      <c r="U1191" s="190"/>
      <c r="V1191" s="190"/>
      <c r="W1191" s="190"/>
      <c r="X1191" s="190"/>
      <c r="Y1191" s="190"/>
      <c r="Z1191" s="190"/>
      <c r="AA1191" s="190"/>
      <c r="AB1191" s="189"/>
      <c r="AC1191" s="189"/>
      <c r="AD1191" s="189"/>
      <c r="AE1191" s="189"/>
      <c r="AF1191" s="190"/>
      <c r="AG1191" s="190"/>
      <c r="AH1191" s="337"/>
      <c r="AI1191" s="190"/>
      <c r="AJ1191" s="190"/>
      <c r="AK1191" s="190"/>
      <c r="AL1191" s="189"/>
      <c r="AM1191" s="189"/>
      <c r="AN1191" s="189"/>
      <c r="AO1191" s="189"/>
      <c r="AP1191" s="189"/>
      <c r="AQ1191" s="189"/>
      <c r="AR1191" s="189"/>
      <c r="AS1191" s="189"/>
      <c r="AT1191" s="189"/>
      <c r="AU1191" s="190"/>
      <c r="AV1191" s="190"/>
      <c r="AW1191" s="190"/>
      <c r="AX1191" s="190"/>
      <c r="AY1191" s="190"/>
      <c r="AZ1191" s="189"/>
      <c r="BA1191" s="189"/>
      <c r="BB1191" s="189"/>
      <c r="BC1191" s="189"/>
      <c r="BD1191" s="189"/>
      <c r="BE1191" s="189"/>
      <c r="BF1191" s="189"/>
      <c r="BG1191" s="189"/>
      <c r="BH1191" s="189"/>
      <c r="BI1191" s="190"/>
      <c r="BJ1191" s="190"/>
      <c r="BK1191" s="190"/>
      <c r="BL1191" s="190"/>
      <c r="BM1191" s="190"/>
      <c r="BN1191" s="190"/>
      <c r="BO1191" s="190"/>
      <c r="BP1191" s="190"/>
      <c r="BQ1191" s="190"/>
      <c r="BR1191" s="190"/>
      <c r="BS1191" s="190"/>
      <c r="BT1191" s="190"/>
      <c r="BU1191" s="190"/>
      <c r="BV1191" s="190"/>
      <c r="BW1191" s="190"/>
      <c r="BX1191" s="190"/>
      <c r="BY1191" s="190"/>
      <c r="BZ1191" s="190"/>
      <c r="CA1191" s="189"/>
      <c r="CB1191" s="192"/>
    </row>
    <row r="1192" spans="1:80" x14ac:dyDescent="0.2">
      <c r="A1192" s="189"/>
      <c r="B1192" s="648"/>
      <c r="C1192" s="648"/>
      <c r="D1192" s="697"/>
      <c r="E1192" s="159"/>
      <c r="F1192" s="159"/>
      <c r="G1192" s="190"/>
      <c r="H1192" s="190"/>
      <c r="I1192" s="190"/>
      <c r="J1192" s="190"/>
      <c r="K1192" s="190"/>
      <c r="L1192" s="629"/>
      <c r="M1192" s="647" t="s">
        <v>799</v>
      </c>
      <c r="N1192" s="587">
        <v>10.73989412341245</v>
      </c>
      <c r="O1192" s="592">
        <v>1.5366916666666666E-4</v>
      </c>
      <c r="P1192" s="190"/>
      <c r="Q1192" s="190"/>
      <c r="R1192" s="190"/>
      <c r="S1192" s="190"/>
      <c r="T1192" s="190"/>
      <c r="U1192" s="190"/>
      <c r="V1192" s="190"/>
      <c r="W1192" s="190"/>
      <c r="X1192" s="190"/>
      <c r="Y1192" s="190"/>
      <c r="Z1192" s="190"/>
      <c r="AA1192" s="190"/>
      <c r="AB1192" s="189"/>
      <c r="AC1192" s="189"/>
      <c r="AD1192" s="189"/>
      <c r="AE1192" s="189"/>
      <c r="AF1192" s="190"/>
      <c r="AG1192" s="190"/>
      <c r="AH1192" s="337"/>
      <c r="AI1192" s="190"/>
      <c r="AJ1192" s="190"/>
      <c r="AK1192" s="190"/>
      <c r="AL1192" s="189"/>
      <c r="AM1192" s="189"/>
      <c r="AN1192" s="189"/>
      <c r="AO1192" s="189"/>
      <c r="AP1192" s="189"/>
      <c r="AQ1192" s="189"/>
      <c r="AR1192" s="189"/>
      <c r="AS1192" s="189"/>
      <c r="AT1192" s="189"/>
      <c r="AU1192" s="190"/>
      <c r="AV1192" s="190"/>
      <c r="AW1192" s="190"/>
      <c r="AX1192" s="190"/>
      <c r="AY1192" s="190"/>
      <c r="AZ1192" s="189"/>
      <c r="BA1192" s="189"/>
      <c r="BB1192" s="189"/>
      <c r="BC1192" s="189"/>
      <c r="BD1192" s="189"/>
      <c r="BE1192" s="189"/>
      <c r="BF1192" s="189"/>
      <c r="BG1192" s="189"/>
      <c r="BH1192" s="189"/>
      <c r="BI1192" s="190"/>
      <c r="BJ1192" s="190"/>
      <c r="BK1192" s="190"/>
      <c r="BL1192" s="190"/>
      <c r="BM1192" s="190"/>
      <c r="BN1192" s="190"/>
      <c r="BO1192" s="190"/>
      <c r="BP1192" s="190"/>
      <c r="BQ1192" s="190"/>
      <c r="BR1192" s="190"/>
      <c r="BS1192" s="190"/>
      <c r="BT1192" s="190"/>
      <c r="BU1192" s="190"/>
      <c r="BV1192" s="190"/>
      <c r="BW1192" s="190"/>
      <c r="BX1192" s="190"/>
      <c r="BY1192" s="190"/>
      <c r="BZ1192" s="190"/>
      <c r="CA1192" s="189"/>
      <c r="CB1192" s="192"/>
    </row>
    <row r="1193" spans="1:80" x14ac:dyDescent="0.2">
      <c r="A1193" s="189"/>
      <c r="B1193" s="648"/>
      <c r="C1193" s="648"/>
      <c r="D1193" s="697"/>
      <c r="E1193" s="159"/>
      <c r="F1193" s="159"/>
      <c r="G1193" s="190"/>
      <c r="H1193" s="190"/>
      <c r="I1193" s="190"/>
      <c r="J1193" s="190"/>
      <c r="K1193" s="190"/>
      <c r="L1193" s="629"/>
      <c r="M1193" s="647" t="s">
        <v>800</v>
      </c>
      <c r="N1193" s="587">
        <v>11.939881044642732</v>
      </c>
      <c r="O1193" s="592">
        <v>1.7618749999999999E-4</v>
      </c>
      <c r="P1193" s="190"/>
      <c r="Q1193" s="190"/>
      <c r="R1193" s="190"/>
      <c r="S1193" s="190"/>
      <c r="T1193" s="190"/>
      <c r="U1193" s="190"/>
      <c r="V1193" s="190"/>
      <c r="W1193" s="190"/>
      <c r="X1193" s="190"/>
      <c r="Y1193" s="190"/>
      <c r="Z1193" s="190"/>
      <c r="AA1193" s="190"/>
      <c r="AB1193" s="189"/>
      <c r="AC1193" s="189"/>
      <c r="AD1193" s="189"/>
      <c r="AE1193" s="189"/>
      <c r="AF1193" s="190"/>
      <c r="AG1193" s="190"/>
      <c r="AH1193" s="337"/>
      <c r="AI1193" s="190"/>
      <c r="AJ1193" s="190"/>
      <c r="AK1193" s="190"/>
      <c r="AL1193" s="189"/>
      <c r="AM1193" s="189"/>
      <c r="AN1193" s="189"/>
      <c r="AO1193" s="189"/>
      <c r="AP1193" s="189"/>
      <c r="AQ1193" s="189"/>
      <c r="AR1193" s="189"/>
      <c r="AS1193" s="189"/>
      <c r="AT1193" s="189"/>
      <c r="AU1193" s="190"/>
      <c r="AV1193" s="190"/>
      <c r="AW1193" s="190"/>
      <c r="AX1193" s="190"/>
      <c r="AY1193" s="190"/>
      <c r="AZ1193" s="189"/>
      <c r="BA1193" s="189"/>
      <c r="BB1193" s="189"/>
      <c r="BC1193" s="189"/>
      <c r="BD1193" s="189"/>
      <c r="BE1193" s="189"/>
      <c r="BF1193" s="189"/>
      <c r="BG1193" s="189"/>
      <c r="BH1193" s="189"/>
      <c r="BI1193" s="190"/>
      <c r="BJ1193" s="190"/>
      <c r="BK1193" s="190"/>
      <c r="BL1193" s="190"/>
      <c r="BM1193" s="190"/>
      <c r="BN1193" s="190"/>
      <c r="BO1193" s="190"/>
      <c r="BP1193" s="190"/>
      <c r="BQ1193" s="190"/>
      <c r="BR1193" s="190"/>
      <c r="BS1193" s="190"/>
      <c r="BT1193" s="190"/>
      <c r="BU1193" s="190"/>
      <c r="BV1193" s="190"/>
      <c r="BW1193" s="190"/>
      <c r="BX1193" s="190"/>
      <c r="BY1193" s="190"/>
      <c r="BZ1193" s="190"/>
      <c r="CA1193" s="189"/>
      <c r="CB1193" s="192"/>
    </row>
    <row r="1194" spans="1:80" x14ac:dyDescent="0.2">
      <c r="A1194" s="189"/>
      <c r="B1194" s="648"/>
      <c r="C1194" s="648"/>
      <c r="D1194" s="697"/>
      <c r="E1194" s="159"/>
      <c r="F1194" s="159"/>
      <c r="G1194" s="190"/>
      <c r="H1194" s="190"/>
      <c r="I1194" s="190"/>
      <c r="J1194" s="190"/>
      <c r="K1194" s="190"/>
      <c r="L1194" s="629"/>
      <c r="M1194" s="647" t="s">
        <v>801</v>
      </c>
      <c r="N1194" s="587">
        <v>11.939881044642732</v>
      </c>
      <c r="O1194" s="592">
        <v>1.0918111111111111E-4</v>
      </c>
      <c r="P1194" s="190"/>
      <c r="Q1194" s="190"/>
      <c r="R1194" s="190"/>
      <c r="S1194" s="190"/>
      <c r="T1194" s="190"/>
      <c r="U1194" s="190"/>
      <c r="V1194" s="190"/>
      <c r="W1194" s="190"/>
      <c r="X1194" s="190"/>
      <c r="Y1194" s="190"/>
      <c r="Z1194" s="190"/>
      <c r="AA1194" s="190"/>
      <c r="AB1194" s="189"/>
      <c r="AC1194" s="189"/>
      <c r="AD1194" s="189"/>
      <c r="AE1194" s="189"/>
      <c r="AF1194" s="190"/>
      <c r="AG1194" s="190"/>
      <c r="AH1194" s="337"/>
      <c r="AI1194" s="190"/>
      <c r="AJ1194" s="190"/>
      <c r="AK1194" s="190"/>
      <c r="AL1194" s="189"/>
      <c r="AM1194" s="189"/>
      <c r="AN1194" s="189"/>
      <c r="AO1194" s="189"/>
      <c r="AP1194" s="189"/>
      <c r="AQ1194" s="189"/>
      <c r="AR1194" s="189"/>
      <c r="AS1194" s="189"/>
      <c r="AT1194" s="189"/>
      <c r="AU1194" s="190"/>
      <c r="AV1194" s="190"/>
      <c r="AW1194" s="190"/>
      <c r="AX1194" s="190"/>
      <c r="AY1194" s="190"/>
      <c r="AZ1194" s="189"/>
      <c r="BA1194" s="189"/>
      <c r="BB1194" s="189"/>
      <c r="BC1194" s="189"/>
      <c r="BD1194" s="189"/>
      <c r="BE1194" s="189"/>
      <c r="BF1194" s="189"/>
      <c r="BG1194" s="189"/>
      <c r="BH1194" s="189"/>
      <c r="BI1194" s="190"/>
      <c r="BJ1194" s="190"/>
      <c r="BK1194" s="190"/>
      <c r="BL1194" s="190"/>
      <c r="BM1194" s="190"/>
      <c r="BN1194" s="190"/>
      <c r="BO1194" s="190"/>
      <c r="BP1194" s="190"/>
      <c r="BQ1194" s="190"/>
      <c r="BR1194" s="190"/>
      <c r="BS1194" s="190"/>
      <c r="BT1194" s="190"/>
      <c r="BU1194" s="190"/>
      <c r="BV1194" s="190"/>
      <c r="BW1194" s="190"/>
      <c r="BX1194" s="190"/>
      <c r="BY1194" s="190"/>
      <c r="BZ1194" s="190"/>
      <c r="CA1194" s="189"/>
      <c r="CB1194" s="192"/>
    </row>
    <row r="1195" spans="1:80" x14ac:dyDescent="0.2">
      <c r="A1195" s="189"/>
      <c r="B1195" s="648"/>
      <c r="C1195" s="648"/>
      <c r="D1195" s="697"/>
      <c r="E1195" s="159"/>
      <c r="F1195" s="159"/>
      <c r="G1195" s="190"/>
      <c r="H1195" s="190"/>
      <c r="I1195" s="190"/>
      <c r="J1195" s="190"/>
      <c r="K1195" s="190"/>
      <c r="L1195" s="629"/>
      <c r="M1195" s="647" t="s">
        <v>802</v>
      </c>
      <c r="N1195" s="587">
        <v>13.273944577297399</v>
      </c>
      <c r="O1195" s="592">
        <v>1.1501749999999999E-4</v>
      </c>
      <c r="P1195" s="190"/>
      <c r="Q1195" s="190"/>
      <c r="R1195" s="190"/>
      <c r="S1195" s="190"/>
      <c r="T1195" s="190"/>
      <c r="U1195" s="190"/>
      <c r="V1195" s="190"/>
      <c r="W1195" s="190"/>
      <c r="X1195" s="190"/>
      <c r="Y1195" s="190"/>
      <c r="Z1195" s="190"/>
      <c r="AA1195" s="190"/>
      <c r="AB1195" s="189"/>
      <c r="AC1195" s="189"/>
      <c r="AD1195" s="189"/>
      <c r="AE1195" s="189"/>
      <c r="AF1195" s="190"/>
      <c r="AG1195" s="190"/>
      <c r="AH1195" s="337"/>
      <c r="AI1195" s="190"/>
      <c r="AJ1195" s="190"/>
      <c r="AK1195" s="190"/>
      <c r="AL1195" s="189"/>
      <c r="AM1195" s="189"/>
      <c r="AN1195" s="189"/>
      <c r="AO1195" s="189"/>
      <c r="AP1195" s="189"/>
      <c r="AQ1195" s="189"/>
      <c r="AR1195" s="189"/>
      <c r="AS1195" s="189"/>
      <c r="AT1195" s="189"/>
      <c r="AU1195" s="190"/>
      <c r="AV1195" s="190"/>
      <c r="AW1195" s="190"/>
      <c r="AX1195" s="190"/>
      <c r="AY1195" s="190"/>
      <c r="AZ1195" s="189"/>
      <c r="BA1195" s="189"/>
      <c r="BB1195" s="189"/>
      <c r="BC1195" s="189"/>
      <c r="BD1195" s="189"/>
      <c r="BE1195" s="189"/>
      <c r="BF1195" s="189"/>
      <c r="BG1195" s="189"/>
      <c r="BH1195" s="189"/>
      <c r="BI1195" s="190"/>
      <c r="BJ1195" s="190"/>
      <c r="BK1195" s="190"/>
      <c r="BL1195" s="190"/>
      <c r="BM1195" s="190"/>
      <c r="BN1195" s="190"/>
      <c r="BO1195" s="190"/>
      <c r="BP1195" s="190"/>
      <c r="BQ1195" s="190"/>
      <c r="BR1195" s="190"/>
      <c r="BS1195" s="190"/>
      <c r="BT1195" s="190"/>
      <c r="BU1195" s="190"/>
      <c r="BV1195" s="190"/>
      <c r="BW1195" s="190"/>
      <c r="BX1195" s="190"/>
      <c r="BY1195" s="190"/>
      <c r="BZ1195" s="190"/>
      <c r="CA1195" s="189"/>
      <c r="CB1195" s="192"/>
    </row>
    <row r="1196" spans="1:80" x14ac:dyDescent="0.2">
      <c r="A1196" s="189"/>
      <c r="B1196" s="648"/>
      <c r="C1196" s="648"/>
      <c r="D1196" s="697"/>
      <c r="E1196" s="159"/>
      <c r="F1196" s="159"/>
      <c r="G1196" s="190"/>
      <c r="H1196" s="190"/>
      <c r="I1196" s="190"/>
      <c r="J1196" s="190"/>
      <c r="K1196" s="190"/>
      <c r="L1196" s="629"/>
      <c r="M1196" s="647" t="s">
        <v>803</v>
      </c>
      <c r="N1196" s="587">
        <v>13.273944577297399</v>
      </c>
      <c r="O1196" s="592">
        <v>1.5805944444444444E-4</v>
      </c>
      <c r="P1196" s="190"/>
      <c r="Q1196" s="190"/>
      <c r="R1196" s="190"/>
      <c r="S1196" s="190"/>
      <c r="T1196" s="190"/>
      <c r="U1196" s="190"/>
      <c r="V1196" s="190"/>
      <c r="W1196" s="190"/>
      <c r="X1196" s="190"/>
      <c r="Y1196" s="190"/>
      <c r="Z1196" s="190"/>
      <c r="AA1196" s="190"/>
      <c r="AB1196" s="189"/>
      <c r="AC1196" s="189"/>
      <c r="AD1196" s="189"/>
      <c r="AE1196" s="189"/>
      <c r="AF1196" s="190"/>
      <c r="AG1196" s="190"/>
      <c r="AH1196" s="337"/>
      <c r="AI1196" s="190"/>
      <c r="AJ1196" s="190"/>
      <c r="AK1196" s="190"/>
      <c r="AL1196" s="189"/>
      <c r="AM1196" s="189"/>
      <c r="AN1196" s="189"/>
      <c r="AO1196" s="189"/>
      <c r="AP1196" s="189"/>
      <c r="AQ1196" s="189"/>
      <c r="AR1196" s="189"/>
      <c r="AS1196" s="189"/>
      <c r="AT1196" s="189"/>
      <c r="AU1196" s="190"/>
      <c r="AV1196" s="190"/>
      <c r="AW1196" s="190"/>
      <c r="AX1196" s="190"/>
      <c r="AY1196" s="190"/>
      <c r="AZ1196" s="189"/>
      <c r="BA1196" s="189"/>
      <c r="BB1196" s="189"/>
      <c r="BC1196" s="189"/>
      <c r="BD1196" s="189"/>
      <c r="BE1196" s="189"/>
      <c r="BF1196" s="189"/>
      <c r="BG1196" s="189"/>
      <c r="BH1196" s="189"/>
      <c r="BI1196" s="190"/>
      <c r="BJ1196" s="190"/>
      <c r="BK1196" s="190"/>
      <c r="BL1196" s="190"/>
      <c r="BM1196" s="190"/>
      <c r="BN1196" s="190"/>
      <c r="BO1196" s="190"/>
      <c r="BP1196" s="190"/>
      <c r="BQ1196" s="190"/>
      <c r="BR1196" s="190"/>
      <c r="BS1196" s="190"/>
      <c r="BT1196" s="190"/>
      <c r="BU1196" s="190"/>
      <c r="BV1196" s="190"/>
      <c r="BW1196" s="190"/>
      <c r="BX1196" s="190"/>
      <c r="BY1196" s="190"/>
      <c r="BZ1196" s="190"/>
      <c r="CA1196" s="189"/>
      <c r="CB1196" s="192"/>
    </row>
    <row r="1197" spans="1:80" x14ac:dyDescent="0.2">
      <c r="A1197" s="189"/>
      <c r="B1197" s="648"/>
      <c r="C1197" s="648"/>
      <c r="D1197" s="697"/>
      <c r="E1197" s="159"/>
      <c r="F1197" s="159"/>
      <c r="G1197" s="190"/>
      <c r="H1197" s="190"/>
      <c r="I1197" s="190"/>
      <c r="J1197" s="190"/>
      <c r="K1197" s="190"/>
      <c r="L1197" s="629"/>
      <c r="M1197" s="647" t="s">
        <v>804</v>
      </c>
      <c r="N1197" s="587">
        <v>13.273944577297399</v>
      </c>
      <c r="O1197" s="592">
        <v>5.0291722222222226E-4</v>
      </c>
      <c r="P1197" s="190"/>
      <c r="Q1197" s="190"/>
      <c r="R1197" s="190"/>
      <c r="S1197" s="190"/>
      <c r="T1197" s="190"/>
      <c r="U1197" s="190"/>
      <c r="V1197" s="190"/>
      <c r="W1197" s="190"/>
      <c r="X1197" s="190"/>
      <c r="Y1197" s="190"/>
      <c r="Z1197" s="190"/>
      <c r="AA1197" s="190"/>
      <c r="AB1197" s="189"/>
      <c r="AC1197" s="189"/>
      <c r="AD1197" s="189"/>
      <c r="AE1197" s="189"/>
      <c r="AF1197" s="190"/>
      <c r="AG1197" s="190"/>
      <c r="AH1197" s="337"/>
      <c r="AI1197" s="190"/>
      <c r="AJ1197" s="190"/>
      <c r="AK1197" s="190"/>
      <c r="AL1197" s="189"/>
      <c r="AM1197" s="189"/>
      <c r="AN1197" s="189"/>
      <c r="AO1197" s="189"/>
      <c r="AP1197" s="189"/>
      <c r="AQ1197" s="189"/>
      <c r="AR1197" s="189"/>
      <c r="AS1197" s="189"/>
      <c r="AT1197" s="189"/>
      <c r="AU1197" s="190"/>
      <c r="AV1197" s="190"/>
      <c r="AW1197" s="190"/>
      <c r="AX1197" s="190"/>
      <c r="AY1197" s="190"/>
      <c r="AZ1197" s="189"/>
      <c r="BA1197" s="189"/>
      <c r="BB1197" s="189"/>
      <c r="BC1197" s="189"/>
      <c r="BD1197" s="189"/>
      <c r="BE1197" s="189"/>
      <c r="BF1197" s="189"/>
      <c r="BG1197" s="189"/>
      <c r="BH1197" s="189"/>
      <c r="BI1197" s="190"/>
      <c r="BJ1197" s="190"/>
      <c r="BK1197" s="190"/>
      <c r="BL1197" s="190"/>
      <c r="BM1197" s="190"/>
      <c r="BN1197" s="190"/>
      <c r="BO1197" s="190"/>
      <c r="BP1197" s="190"/>
      <c r="BQ1197" s="190"/>
      <c r="BR1197" s="190"/>
      <c r="BS1197" s="190"/>
      <c r="BT1197" s="190"/>
      <c r="BU1197" s="190"/>
      <c r="BV1197" s="190"/>
      <c r="BW1197" s="190"/>
      <c r="BX1197" s="190"/>
      <c r="BY1197" s="190"/>
      <c r="BZ1197" s="190"/>
      <c r="CA1197" s="189"/>
      <c r="CB1197" s="192"/>
    </row>
    <row r="1198" spans="1:80" x14ac:dyDescent="0.2">
      <c r="A1198" s="189"/>
      <c r="B1198" s="648"/>
      <c r="C1198" s="648"/>
      <c r="D1198" s="697"/>
      <c r="E1198" s="159"/>
      <c r="F1198" s="159"/>
      <c r="G1198" s="190"/>
      <c r="H1198" s="190"/>
      <c r="I1198" s="190"/>
      <c r="J1198" s="190"/>
      <c r="K1198" s="190"/>
      <c r="L1198" s="629"/>
      <c r="M1198" s="647" t="s">
        <v>805</v>
      </c>
      <c r="N1198" s="587">
        <v>13.273944577297399</v>
      </c>
      <c r="O1198" s="592">
        <v>6.1700333333333335E-4</v>
      </c>
      <c r="P1198" s="190"/>
      <c r="Q1198" s="190"/>
      <c r="R1198" s="190"/>
      <c r="S1198" s="190"/>
      <c r="T1198" s="190"/>
      <c r="U1198" s="190"/>
      <c r="V1198" s="190"/>
      <c r="W1198" s="190"/>
      <c r="X1198" s="190"/>
      <c r="Y1198" s="190"/>
      <c r="Z1198" s="190"/>
      <c r="AA1198" s="190"/>
      <c r="AB1198" s="189"/>
      <c r="AC1198" s="189"/>
      <c r="AD1198" s="189"/>
      <c r="AE1198" s="189"/>
      <c r="AF1198" s="190"/>
      <c r="AG1198" s="190"/>
      <c r="AH1198" s="337"/>
      <c r="AI1198" s="190"/>
      <c r="AJ1198" s="190"/>
      <c r="AK1198" s="190"/>
      <c r="AL1198" s="189"/>
      <c r="AM1198" s="189"/>
      <c r="AN1198" s="189"/>
      <c r="AO1198" s="189"/>
      <c r="AP1198" s="189"/>
      <c r="AQ1198" s="189"/>
      <c r="AR1198" s="189"/>
      <c r="AS1198" s="189"/>
      <c r="AT1198" s="189"/>
      <c r="AU1198" s="190"/>
      <c r="AV1198" s="190"/>
      <c r="AW1198" s="190"/>
      <c r="AX1198" s="190"/>
      <c r="AY1198" s="190"/>
      <c r="AZ1198" s="189"/>
      <c r="BA1198" s="189"/>
      <c r="BB1198" s="189"/>
      <c r="BC1198" s="189"/>
      <c r="BD1198" s="189"/>
      <c r="BE1198" s="189"/>
      <c r="BF1198" s="189"/>
      <c r="BG1198" s="189"/>
      <c r="BH1198" s="189"/>
      <c r="BI1198" s="190"/>
      <c r="BJ1198" s="190"/>
      <c r="BK1198" s="190"/>
      <c r="BL1198" s="190"/>
      <c r="BM1198" s="190"/>
      <c r="BN1198" s="190"/>
      <c r="BO1198" s="190"/>
      <c r="BP1198" s="190"/>
      <c r="BQ1198" s="190"/>
      <c r="BR1198" s="190"/>
      <c r="BS1198" s="190"/>
      <c r="BT1198" s="190"/>
      <c r="BU1198" s="190"/>
      <c r="BV1198" s="190"/>
      <c r="BW1198" s="190"/>
      <c r="BX1198" s="190"/>
      <c r="BY1198" s="190"/>
      <c r="BZ1198" s="190"/>
      <c r="CA1198" s="189"/>
      <c r="CB1198" s="192"/>
    </row>
    <row r="1199" spans="1:80" x14ac:dyDescent="0.2">
      <c r="A1199" s="189"/>
      <c r="B1199" s="648"/>
      <c r="C1199" s="648"/>
      <c r="D1199" s="697"/>
      <c r="E1199" s="159"/>
      <c r="F1199" s="159"/>
      <c r="G1199" s="190"/>
      <c r="H1199" s="190"/>
      <c r="I1199" s="190"/>
      <c r="J1199" s="190"/>
      <c r="K1199" s="190"/>
      <c r="L1199" s="629"/>
      <c r="M1199" s="647" t="s">
        <v>806</v>
      </c>
      <c r="N1199" s="587">
        <v>15.559656316050749</v>
      </c>
      <c r="O1199" s="592">
        <v>1.1203702777777779E-3</v>
      </c>
      <c r="P1199" s="190"/>
      <c r="Q1199" s="190"/>
      <c r="R1199" s="190"/>
      <c r="S1199" s="190"/>
      <c r="T1199" s="190"/>
      <c r="U1199" s="190"/>
      <c r="V1199" s="190"/>
      <c r="W1199" s="190"/>
      <c r="X1199" s="190"/>
      <c r="Y1199" s="190"/>
      <c r="Z1199" s="190"/>
      <c r="AA1199" s="190"/>
      <c r="AB1199" s="189"/>
      <c r="AC1199" s="189"/>
      <c r="AD1199" s="189"/>
      <c r="AE1199" s="189"/>
      <c r="AF1199" s="190"/>
      <c r="AG1199" s="190"/>
      <c r="AH1199" s="337"/>
      <c r="AI1199" s="190"/>
      <c r="AJ1199" s="190"/>
      <c r="AK1199" s="190"/>
      <c r="AL1199" s="189"/>
      <c r="AM1199" s="189"/>
      <c r="AN1199" s="189"/>
      <c r="AO1199" s="189"/>
      <c r="AP1199" s="189"/>
      <c r="AQ1199" s="189"/>
      <c r="AR1199" s="189"/>
      <c r="AS1199" s="189"/>
      <c r="AT1199" s="189"/>
      <c r="AU1199" s="190"/>
      <c r="AV1199" s="190"/>
      <c r="AW1199" s="190"/>
      <c r="AX1199" s="190"/>
      <c r="AY1199" s="190"/>
      <c r="AZ1199" s="189"/>
      <c r="BA1199" s="189"/>
      <c r="BB1199" s="189"/>
      <c r="BC1199" s="189"/>
      <c r="BD1199" s="189"/>
      <c r="BE1199" s="189"/>
      <c r="BF1199" s="189"/>
      <c r="BG1199" s="189"/>
      <c r="BH1199" s="189"/>
      <c r="BI1199" s="190"/>
      <c r="BJ1199" s="190"/>
      <c r="BK1199" s="190"/>
      <c r="BL1199" s="190"/>
      <c r="BM1199" s="190"/>
      <c r="BN1199" s="190"/>
      <c r="BO1199" s="190"/>
      <c r="BP1199" s="190"/>
      <c r="BQ1199" s="190"/>
      <c r="BR1199" s="190"/>
      <c r="BS1199" s="190"/>
      <c r="BT1199" s="190"/>
      <c r="BU1199" s="190"/>
      <c r="BV1199" s="190"/>
      <c r="BW1199" s="190"/>
      <c r="BX1199" s="190"/>
      <c r="BY1199" s="190"/>
      <c r="BZ1199" s="190"/>
      <c r="CA1199" s="189"/>
      <c r="CB1199" s="192"/>
    </row>
    <row r="1200" spans="1:80" x14ac:dyDescent="0.2">
      <c r="A1200" s="189"/>
      <c r="B1200" s="648"/>
      <c r="C1200" s="648"/>
      <c r="D1200" s="697"/>
      <c r="E1200" s="159"/>
      <c r="F1200" s="159"/>
      <c r="G1200" s="190"/>
      <c r="H1200" s="190"/>
      <c r="I1200" s="190"/>
      <c r="J1200" s="190"/>
      <c r="K1200" s="190"/>
      <c r="L1200" s="629"/>
      <c r="M1200" s="647" t="s">
        <v>807</v>
      </c>
      <c r="N1200" s="587">
        <v>14.757065332758954</v>
      </c>
      <c r="O1200" s="592">
        <v>1.8292333333333334E-3</v>
      </c>
      <c r="P1200" s="190"/>
      <c r="Q1200" s="190"/>
      <c r="R1200" s="190"/>
      <c r="S1200" s="190"/>
      <c r="T1200" s="190"/>
      <c r="U1200" s="190"/>
      <c r="V1200" s="190"/>
      <c r="W1200" s="190"/>
      <c r="X1200" s="190"/>
      <c r="Y1200" s="190"/>
      <c r="Z1200" s="190"/>
      <c r="AA1200" s="190"/>
      <c r="AB1200" s="189"/>
      <c r="AC1200" s="189"/>
      <c r="AD1200" s="189"/>
      <c r="AE1200" s="189"/>
      <c r="AF1200" s="190"/>
      <c r="AG1200" s="190"/>
      <c r="AH1200" s="337"/>
      <c r="AI1200" s="190"/>
      <c r="AJ1200" s="190"/>
      <c r="AK1200" s="190"/>
      <c r="AL1200" s="189"/>
      <c r="AM1200" s="189"/>
      <c r="AN1200" s="189"/>
      <c r="AO1200" s="189"/>
      <c r="AP1200" s="189"/>
      <c r="AQ1200" s="189"/>
      <c r="AR1200" s="189"/>
      <c r="AS1200" s="189"/>
      <c r="AT1200" s="189"/>
      <c r="AU1200" s="190"/>
      <c r="AV1200" s="190"/>
      <c r="AW1200" s="190"/>
      <c r="AX1200" s="190"/>
      <c r="AY1200" s="190"/>
      <c r="AZ1200" s="189"/>
      <c r="BA1200" s="189"/>
      <c r="BB1200" s="189"/>
      <c r="BC1200" s="189"/>
      <c r="BD1200" s="189"/>
      <c r="BE1200" s="189"/>
      <c r="BF1200" s="189"/>
      <c r="BG1200" s="189"/>
      <c r="BH1200" s="189"/>
      <c r="BI1200" s="190"/>
      <c r="BJ1200" s="190"/>
      <c r="BK1200" s="190"/>
      <c r="BL1200" s="190"/>
      <c r="BM1200" s="190"/>
      <c r="BN1200" s="190"/>
      <c r="BO1200" s="190"/>
      <c r="BP1200" s="190"/>
      <c r="BQ1200" s="190"/>
      <c r="BR1200" s="190"/>
      <c r="BS1200" s="190"/>
      <c r="BT1200" s="190"/>
      <c r="BU1200" s="190"/>
      <c r="BV1200" s="190"/>
      <c r="BW1200" s="190"/>
      <c r="BX1200" s="190"/>
      <c r="BY1200" s="190"/>
      <c r="BZ1200" s="190"/>
      <c r="CA1200" s="189"/>
      <c r="CB1200" s="192"/>
    </row>
    <row r="1201" spans="1:80" x14ac:dyDescent="0.2">
      <c r="A1201" s="189"/>
      <c r="B1201" s="648"/>
      <c r="C1201" s="648"/>
      <c r="D1201" s="697"/>
      <c r="E1201" s="159"/>
      <c r="F1201" s="159"/>
      <c r="G1201" s="190"/>
      <c r="H1201" s="190"/>
      <c r="I1201" s="190"/>
      <c r="J1201" s="190"/>
      <c r="K1201" s="190"/>
      <c r="L1201" s="629"/>
      <c r="M1201" s="647" t="s">
        <v>808</v>
      </c>
      <c r="N1201" s="587">
        <v>12.58925411794168</v>
      </c>
      <c r="O1201" s="592">
        <v>7.4138638888888888E-4</v>
      </c>
      <c r="P1201" s="190"/>
      <c r="Q1201" s="190"/>
      <c r="R1201" s="190"/>
      <c r="S1201" s="190"/>
      <c r="T1201" s="190"/>
      <c r="U1201" s="190"/>
      <c r="V1201" s="190"/>
      <c r="W1201" s="190"/>
      <c r="X1201" s="190"/>
      <c r="Y1201" s="190"/>
      <c r="Z1201" s="190"/>
      <c r="AA1201" s="190"/>
      <c r="AB1201" s="189"/>
      <c r="AC1201" s="189"/>
      <c r="AD1201" s="189"/>
      <c r="AE1201" s="189"/>
      <c r="AF1201" s="190"/>
      <c r="AG1201" s="190"/>
      <c r="AH1201" s="337"/>
      <c r="AI1201" s="190"/>
      <c r="AJ1201" s="190"/>
      <c r="AK1201" s="190"/>
      <c r="AL1201" s="189"/>
      <c r="AM1201" s="189"/>
      <c r="AN1201" s="189"/>
      <c r="AO1201" s="189"/>
      <c r="AP1201" s="189"/>
      <c r="AQ1201" s="189"/>
      <c r="AR1201" s="189"/>
      <c r="AS1201" s="189"/>
      <c r="AT1201" s="189"/>
      <c r="AU1201" s="190"/>
      <c r="AV1201" s="190"/>
      <c r="AW1201" s="190"/>
      <c r="AX1201" s="190"/>
      <c r="AY1201" s="190"/>
      <c r="AZ1201" s="189"/>
      <c r="BA1201" s="189"/>
      <c r="BB1201" s="189"/>
      <c r="BC1201" s="189"/>
      <c r="BD1201" s="189"/>
      <c r="BE1201" s="189"/>
      <c r="BF1201" s="189"/>
      <c r="BG1201" s="189"/>
      <c r="BH1201" s="189"/>
      <c r="BI1201" s="190"/>
      <c r="BJ1201" s="190"/>
      <c r="BK1201" s="190"/>
      <c r="BL1201" s="190"/>
      <c r="BM1201" s="190"/>
      <c r="BN1201" s="190"/>
      <c r="BO1201" s="190"/>
      <c r="BP1201" s="190"/>
      <c r="BQ1201" s="190"/>
      <c r="BR1201" s="190"/>
      <c r="BS1201" s="190"/>
      <c r="BT1201" s="190"/>
      <c r="BU1201" s="190"/>
      <c r="BV1201" s="190"/>
      <c r="BW1201" s="190"/>
      <c r="BX1201" s="190"/>
      <c r="BY1201" s="190"/>
      <c r="BZ1201" s="190"/>
      <c r="CA1201" s="189"/>
      <c r="CB1201" s="192"/>
    </row>
    <row r="1202" spans="1:80" x14ac:dyDescent="0.2">
      <c r="A1202" s="189"/>
      <c r="B1202" s="648"/>
      <c r="C1202" s="648"/>
      <c r="D1202" s="697"/>
      <c r="E1202" s="159"/>
      <c r="F1202" s="159"/>
      <c r="G1202" s="190"/>
      <c r="H1202" s="190"/>
      <c r="I1202" s="190"/>
      <c r="J1202" s="190"/>
      <c r="K1202" s="190"/>
      <c r="L1202" s="629"/>
      <c r="M1202" s="647" t="s">
        <v>809</v>
      </c>
      <c r="N1202" s="587">
        <v>15.559656316050749</v>
      </c>
      <c r="O1202" s="592">
        <v>2.3960972222222224E-4</v>
      </c>
      <c r="P1202" s="190"/>
      <c r="Q1202" s="190"/>
      <c r="R1202" s="190"/>
      <c r="S1202" s="190"/>
      <c r="T1202" s="190"/>
      <c r="U1202" s="190"/>
      <c r="V1202" s="190"/>
      <c r="W1202" s="190"/>
      <c r="X1202" s="190"/>
      <c r="Y1202" s="190"/>
      <c r="Z1202" s="190"/>
      <c r="AA1202" s="190"/>
      <c r="AB1202" s="189"/>
      <c r="AC1202" s="189"/>
      <c r="AD1202" s="189"/>
      <c r="AE1202" s="189"/>
      <c r="AF1202" s="190"/>
      <c r="AG1202" s="190"/>
      <c r="AH1202" s="337"/>
      <c r="AI1202" s="190"/>
      <c r="AJ1202" s="190"/>
      <c r="AK1202" s="190"/>
      <c r="AL1202" s="189"/>
      <c r="AM1202" s="189"/>
      <c r="AN1202" s="189"/>
      <c r="AO1202" s="189"/>
      <c r="AP1202" s="189"/>
      <c r="AQ1202" s="189"/>
      <c r="AR1202" s="189"/>
      <c r="AS1202" s="189"/>
      <c r="AT1202" s="189"/>
      <c r="AU1202" s="190"/>
      <c r="AV1202" s="190"/>
      <c r="AW1202" s="190"/>
      <c r="AX1202" s="190"/>
      <c r="AY1202" s="190"/>
      <c r="AZ1202" s="189"/>
      <c r="BA1202" s="189"/>
      <c r="BB1202" s="189"/>
      <c r="BC1202" s="189"/>
      <c r="BD1202" s="189"/>
      <c r="BE1202" s="189"/>
      <c r="BF1202" s="189"/>
      <c r="BG1202" s="189"/>
      <c r="BH1202" s="189"/>
      <c r="BI1202" s="190"/>
      <c r="BJ1202" s="190"/>
      <c r="BK1202" s="190"/>
      <c r="BL1202" s="190"/>
      <c r="BM1202" s="190"/>
      <c r="BN1202" s="190"/>
      <c r="BO1202" s="190"/>
      <c r="BP1202" s="190"/>
      <c r="BQ1202" s="190"/>
      <c r="BR1202" s="190"/>
      <c r="BS1202" s="190"/>
      <c r="BT1202" s="190"/>
      <c r="BU1202" s="190"/>
      <c r="BV1202" s="190"/>
      <c r="BW1202" s="190"/>
      <c r="BX1202" s="190"/>
      <c r="BY1202" s="190"/>
      <c r="BZ1202" s="190"/>
      <c r="CA1202" s="189"/>
      <c r="CB1202" s="192"/>
    </row>
    <row r="1203" spans="1:80" x14ac:dyDescent="0.2">
      <c r="A1203" s="189"/>
      <c r="B1203" s="648"/>
      <c r="C1203" s="648"/>
      <c r="D1203" s="697"/>
      <c r="E1203" s="159"/>
      <c r="F1203" s="159"/>
      <c r="G1203" s="190"/>
      <c r="H1203" s="190"/>
      <c r="I1203" s="190"/>
      <c r="J1203" s="190"/>
      <c r="K1203" s="190"/>
      <c r="L1203" s="629"/>
      <c r="M1203" s="647" t="s">
        <v>810</v>
      </c>
      <c r="N1203" s="587">
        <v>15.559656316050749</v>
      </c>
      <c r="O1203" s="592">
        <v>4.1328972222222225E-4</v>
      </c>
      <c r="P1203" s="190"/>
      <c r="Q1203" s="190"/>
      <c r="R1203" s="190"/>
      <c r="S1203" s="190"/>
      <c r="T1203" s="190"/>
      <c r="U1203" s="190"/>
      <c r="V1203" s="190"/>
      <c r="W1203" s="190"/>
      <c r="X1203" s="190"/>
      <c r="Y1203" s="190"/>
      <c r="Z1203" s="190"/>
      <c r="AA1203" s="190"/>
      <c r="AB1203" s="189"/>
      <c r="AC1203" s="189"/>
      <c r="AD1203" s="189"/>
      <c r="AE1203" s="189"/>
      <c r="AF1203" s="190"/>
      <c r="AG1203" s="190"/>
      <c r="AH1203" s="337"/>
      <c r="AI1203" s="190"/>
      <c r="AJ1203" s="190"/>
      <c r="AK1203" s="190"/>
      <c r="AL1203" s="189"/>
      <c r="AM1203" s="189"/>
      <c r="AN1203" s="189"/>
      <c r="AO1203" s="189"/>
      <c r="AP1203" s="189"/>
      <c r="AQ1203" s="189"/>
      <c r="AR1203" s="189"/>
      <c r="AS1203" s="189"/>
      <c r="AT1203" s="189"/>
      <c r="AU1203" s="190"/>
      <c r="AV1203" s="190"/>
      <c r="AW1203" s="190"/>
      <c r="AX1203" s="190"/>
      <c r="AY1203" s="190"/>
      <c r="AZ1203" s="189"/>
      <c r="BA1203" s="189"/>
      <c r="BB1203" s="189"/>
      <c r="BC1203" s="189"/>
      <c r="BD1203" s="189"/>
      <c r="BE1203" s="189"/>
      <c r="BF1203" s="189"/>
      <c r="BG1203" s="189"/>
      <c r="BH1203" s="189"/>
      <c r="BI1203" s="190"/>
      <c r="BJ1203" s="190"/>
      <c r="BK1203" s="190"/>
      <c r="BL1203" s="190"/>
      <c r="BM1203" s="190"/>
      <c r="BN1203" s="190"/>
      <c r="BO1203" s="190"/>
      <c r="BP1203" s="190"/>
      <c r="BQ1203" s="190"/>
      <c r="BR1203" s="190"/>
      <c r="BS1203" s="190"/>
      <c r="BT1203" s="190"/>
      <c r="BU1203" s="190"/>
      <c r="BV1203" s="190"/>
      <c r="BW1203" s="190"/>
      <c r="BX1203" s="190"/>
      <c r="BY1203" s="190"/>
      <c r="BZ1203" s="190"/>
      <c r="CA1203" s="189"/>
      <c r="CB1203" s="192"/>
    </row>
    <row r="1204" spans="1:80" x14ac:dyDescent="0.2">
      <c r="A1204" s="189"/>
      <c r="B1204" s="648"/>
      <c r="C1204" s="648"/>
      <c r="D1204" s="697"/>
      <c r="E1204" s="159"/>
      <c r="F1204" s="159"/>
      <c r="G1204" s="190"/>
      <c r="H1204" s="190"/>
      <c r="I1204" s="190"/>
      <c r="J1204" s="190"/>
      <c r="K1204" s="190"/>
      <c r="L1204" s="629"/>
      <c r="M1204" s="647" t="s">
        <v>811</v>
      </c>
      <c r="N1204" s="587">
        <v>13.273944577297399</v>
      </c>
      <c r="O1204" s="592">
        <v>1.222688888888889E-4</v>
      </c>
      <c r="P1204" s="190"/>
      <c r="Q1204" s="190"/>
      <c r="R1204" s="190"/>
      <c r="S1204" s="190"/>
      <c r="T1204" s="190"/>
      <c r="U1204" s="190"/>
      <c r="V1204" s="190"/>
      <c r="W1204" s="190"/>
      <c r="X1204" s="190"/>
      <c r="Y1204" s="190"/>
      <c r="Z1204" s="190"/>
      <c r="AA1204" s="190"/>
      <c r="AB1204" s="189"/>
      <c r="AC1204" s="189"/>
      <c r="AD1204" s="189"/>
      <c r="AE1204" s="189"/>
      <c r="AF1204" s="190"/>
      <c r="AG1204" s="190"/>
      <c r="AH1204" s="337"/>
      <c r="AI1204" s="190"/>
      <c r="AJ1204" s="190"/>
      <c r="AK1204" s="190"/>
      <c r="AL1204" s="189"/>
      <c r="AM1204" s="189"/>
      <c r="AN1204" s="189"/>
      <c r="AO1204" s="189"/>
      <c r="AP1204" s="189"/>
      <c r="AQ1204" s="189"/>
      <c r="AR1204" s="189"/>
      <c r="AS1204" s="189"/>
      <c r="AT1204" s="189"/>
      <c r="AU1204" s="190"/>
      <c r="AV1204" s="190"/>
      <c r="AW1204" s="190"/>
      <c r="AX1204" s="190"/>
      <c r="AY1204" s="190"/>
      <c r="AZ1204" s="189"/>
      <c r="BA1204" s="189"/>
      <c r="BB1204" s="189"/>
      <c r="BC1204" s="189"/>
      <c r="BD1204" s="189"/>
      <c r="BE1204" s="189"/>
      <c r="BF1204" s="189"/>
      <c r="BG1204" s="189"/>
      <c r="BH1204" s="189"/>
      <c r="BI1204" s="190"/>
      <c r="BJ1204" s="190"/>
      <c r="BK1204" s="190"/>
      <c r="BL1204" s="190"/>
      <c r="BM1204" s="190"/>
      <c r="BN1204" s="190"/>
      <c r="BO1204" s="190"/>
      <c r="BP1204" s="190"/>
      <c r="BQ1204" s="190"/>
      <c r="BR1204" s="190"/>
      <c r="BS1204" s="190"/>
      <c r="BT1204" s="190"/>
      <c r="BU1204" s="190"/>
      <c r="BV1204" s="190"/>
      <c r="BW1204" s="190"/>
      <c r="BX1204" s="190"/>
      <c r="BY1204" s="190"/>
      <c r="BZ1204" s="190"/>
      <c r="CA1204" s="189"/>
      <c r="CB1204" s="192"/>
    </row>
    <row r="1205" spans="1:80" x14ac:dyDescent="0.2">
      <c r="A1205" s="189"/>
      <c r="B1205" s="648"/>
      <c r="C1205" s="648"/>
      <c r="D1205" s="697"/>
      <c r="E1205" s="159"/>
      <c r="F1205" s="159"/>
      <c r="G1205" s="190"/>
      <c r="H1205" s="190"/>
      <c r="I1205" s="190"/>
      <c r="J1205" s="190"/>
      <c r="K1205" s="190"/>
      <c r="L1205" s="629"/>
      <c r="M1205" s="647" t="s">
        <v>812</v>
      </c>
      <c r="N1205" s="587">
        <v>12.58925411794168</v>
      </c>
      <c r="O1205" s="592">
        <v>8.9298888888888884E-5</v>
      </c>
      <c r="P1205" s="190"/>
      <c r="Q1205" s="190"/>
      <c r="R1205" s="190"/>
      <c r="S1205" s="190"/>
      <c r="T1205" s="190"/>
      <c r="U1205" s="190"/>
      <c r="V1205" s="190"/>
      <c r="W1205" s="190"/>
      <c r="X1205" s="190"/>
      <c r="Y1205" s="190"/>
      <c r="Z1205" s="190"/>
      <c r="AA1205" s="190"/>
      <c r="AB1205" s="189"/>
      <c r="AC1205" s="189"/>
      <c r="AD1205" s="189"/>
      <c r="AE1205" s="189"/>
      <c r="AF1205" s="190"/>
      <c r="AG1205" s="190"/>
      <c r="AH1205" s="337"/>
      <c r="AI1205" s="190"/>
      <c r="AJ1205" s="190"/>
      <c r="AK1205" s="190"/>
      <c r="AL1205" s="189"/>
      <c r="AM1205" s="189"/>
      <c r="AN1205" s="189"/>
      <c r="AO1205" s="189"/>
      <c r="AP1205" s="189"/>
      <c r="AQ1205" s="189"/>
      <c r="AR1205" s="189"/>
      <c r="AS1205" s="189"/>
      <c r="AT1205" s="189"/>
      <c r="AU1205" s="190"/>
      <c r="AV1205" s="190"/>
      <c r="AW1205" s="190"/>
      <c r="AX1205" s="190"/>
      <c r="AY1205" s="190"/>
      <c r="AZ1205" s="189"/>
      <c r="BA1205" s="189"/>
      <c r="BB1205" s="189"/>
      <c r="BC1205" s="189"/>
      <c r="BD1205" s="189"/>
      <c r="BE1205" s="189"/>
      <c r="BF1205" s="189"/>
      <c r="BG1205" s="189"/>
      <c r="BH1205" s="189"/>
      <c r="BI1205" s="190"/>
      <c r="BJ1205" s="190"/>
      <c r="BK1205" s="190"/>
      <c r="BL1205" s="190"/>
      <c r="BM1205" s="190"/>
      <c r="BN1205" s="190"/>
      <c r="BO1205" s="190"/>
      <c r="BP1205" s="190"/>
      <c r="BQ1205" s="190"/>
      <c r="BR1205" s="190"/>
      <c r="BS1205" s="190"/>
      <c r="BT1205" s="190"/>
      <c r="BU1205" s="190"/>
      <c r="BV1205" s="190"/>
      <c r="BW1205" s="190"/>
      <c r="BX1205" s="190"/>
      <c r="BY1205" s="190"/>
      <c r="BZ1205" s="190"/>
      <c r="CA1205" s="189"/>
      <c r="CB1205" s="192"/>
    </row>
    <row r="1206" spans="1:80" x14ac:dyDescent="0.2">
      <c r="A1206" s="189"/>
      <c r="B1206" s="648"/>
      <c r="C1206" s="648"/>
      <c r="D1206" s="697"/>
      <c r="E1206" s="159"/>
      <c r="F1206" s="159"/>
      <c r="G1206" s="190"/>
      <c r="H1206" s="190"/>
      <c r="I1206" s="190"/>
      <c r="J1206" s="190"/>
      <c r="K1206" s="190"/>
      <c r="L1206" s="629"/>
      <c r="M1206" s="647" t="s">
        <v>813</v>
      </c>
      <c r="N1206" s="587">
        <v>11.324003632355574</v>
      </c>
      <c r="O1206" s="592"/>
      <c r="P1206" s="190"/>
      <c r="Q1206" s="190"/>
      <c r="R1206" s="190"/>
      <c r="S1206" s="190"/>
      <c r="T1206" s="190"/>
      <c r="U1206" s="190"/>
      <c r="V1206" s="190"/>
      <c r="W1206" s="190"/>
      <c r="X1206" s="190"/>
      <c r="Y1206" s="190"/>
      <c r="Z1206" s="190"/>
      <c r="AA1206" s="190"/>
      <c r="AB1206" s="189"/>
      <c r="AC1206" s="189"/>
      <c r="AD1206" s="189"/>
      <c r="AE1206" s="189"/>
      <c r="AF1206" s="190"/>
      <c r="AG1206" s="190"/>
      <c r="AH1206" s="337"/>
      <c r="AI1206" s="190"/>
      <c r="AJ1206" s="190"/>
      <c r="AK1206" s="190"/>
      <c r="AL1206" s="189"/>
      <c r="AM1206" s="189"/>
      <c r="AN1206" s="189"/>
      <c r="AO1206" s="189"/>
      <c r="AP1206" s="189"/>
      <c r="AQ1206" s="189"/>
      <c r="AR1206" s="189"/>
      <c r="AS1206" s="189"/>
      <c r="AT1206" s="189"/>
      <c r="AU1206" s="190"/>
      <c r="AV1206" s="190"/>
      <c r="AW1206" s="190"/>
      <c r="AX1206" s="190"/>
      <c r="AY1206" s="190"/>
      <c r="AZ1206" s="189"/>
      <c r="BA1206" s="189"/>
      <c r="BB1206" s="189"/>
      <c r="BC1206" s="189"/>
      <c r="BD1206" s="189"/>
      <c r="BE1206" s="189"/>
      <c r="BF1206" s="189"/>
      <c r="BG1206" s="189"/>
      <c r="BH1206" s="189"/>
      <c r="BI1206" s="190"/>
      <c r="BJ1206" s="190"/>
      <c r="BK1206" s="190"/>
      <c r="BL1206" s="190"/>
      <c r="BM1206" s="190"/>
      <c r="BN1206" s="190"/>
      <c r="BO1206" s="190"/>
      <c r="BP1206" s="190"/>
      <c r="BQ1206" s="190"/>
      <c r="BR1206" s="190"/>
      <c r="BS1206" s="190"/>
      <c r="BT1206" s="190"/>
      <c r="BU1206" s="190"/>
      <c r="BV1206" s="190"/>
      <c r="BW1206" s="190"/>
      <c r="BX1206" s="190"/>
      <c r="BY1206" s="190"/>
      <c r="BZ1206" s="190"/>
      <c r="CA1206" s="189"/>
      <c r="CB1206" s="192"/>
    </row>
    <row r="1207" spans="1:80" x14ac:dyDescent="0.2">
      <c r="A1207" s="189"/>
      <c r="B1207" s="648"/>
      <c r="C1207" s="648"/>
      <c r="D1207" s="697"/>
      <c r="E1207" s="159"/>
      <c r="F1207" s="159"/>
      <c r="G1207" s="190"/>
      <c r="H1207" s="190"/>
      <c r="I1207" s="190"/>
      <c r="J1207" s="190"/>
      <c r="K1207" s="190"/>
      <c r="L1207" s="629"/>
      <c r="M1207" s="647" t="s">
        <v>814</v>
      </c>
      <c r="N1207" s="587">
        <v>10.18591388054117</v>
      </c>
      <c r="O1207" s="593">
        <v>8.3030555555555545E-6</v>
      </c>
      <c r="P1207" s="190"/>
      <c r="Q1207" s="190"/>
      <c r="R1207" s="190"/>
      <c r="S1207" s="190"/>
      <c r="T1207" s="190"/>
      <c r="U1207" s="190"/>
      <c r="V1207" s="190"/>
      <c r="W1207" s="190"/>
      <c r="X1207" s="190"/>
      <c r="Y1207" s="190"/>
      <c r="Z1207" s="190"/>
      <c r="AA1207" s="190"/>
      <c r="AB1207" s="189"/>
      <c r="AC1207" s="189"/>
      <c r="AD1207" s="189"/>
      <c r="AE1207" s="189"/>
      <c r="AF1207" s="190"/>
      <c r="AG1207" s="190"/>
      <c r="AH1207" s="337"/>
      <c r="AI1207" s="190"/>
      <c r="AJ1207" s="190"/>
      <c r="AK1207" s="190"/>
      <c r="AL1207" s="189"/>
      <c r="AM1207" s="189"/>
      <c r="AN1207" s="189"/>
      <c r="AO1207" s="189"/>
      <c r="AP1207" s="189"/>
      <c r="AQ1207" s="189"/>
      <c r="AR1207" s="189"/>
      <c r="AS1207" s="189"/>
      <c r="AT1207" s="189"/>
      <c r="AU1207" s="190"/>
      <c r="AV1207" s="190"/>
      <c r="AW1207" s="190"/>
      <c r="AX1207" s="190"/>
      <c r="AY1207" s="190"/>
      <c r="AZ1207" s="189"/>
      <c r="BA1207" s="189"/>
      <c r="BB1207" s="189"/>
      <c r="BC1207" s="189"/>
      <c r="BD1207" s="189"/>
      <c r="BE1207" s="189"/>
      <c r="BF1207" s="189"/>
      <c r="BG1207" s="189"/>
      <c r="BH1207" s="189"/>
      <c r="BI1207" s="190"/>
      <c r="BJ1207" s="190"/>
      <c r="BK1207" s="190"/>
      <c r="BL1207" s="190"/>
      <c r="BM1207" s="190"/>
      <c r="BN1207" s="190"/>
      <c r="BO1207" s="190"/>
      <c r="BP1207" s="190"/>
      <c r="BQ1207" s="190"/>
      <c r="BR1207" s="190"/>
      <c r="BS1207" s="190"/>
      <c r="BT1207" s="190"/>
      <c r="BU1207" s="190"/>
      <c r="BV1207" s="190"/>
      <c r="BW1207" s="190"/>
      <c r="BX1207" s="190"/>
      <c r="BY1207" s="190"/>
      <c r="BZ1207" s="190"/>
      <c r="CA1207" s="189"/>
      <c r="CB1207" s="192"/>
    </row>
    <row r="1208" spans="1:80" x14ac:dyDescent="0.2">
      <c r="A1208" s="189"/>
      <c r="B1208" s="648"/>
      <c r="C1208" s="648"/>
      <c r="D1208" s="697"/>
      <c r="E1208" s="159"/>
      <c r="F1208" s="159"/>
      <c r="G1208" s="190"/>
      <c r="H1208" s="190"/>
      <c r="I1208" s="190"/>
      <c r="J1208" s="190"/>
      <c r="K1208" s="190"/>
      <c r="L1208" s="629"/>
      <c r="M1208" s="647" t="s">
        <v>815</v>
      </c>
      <c r="N1208" s="587">
        <v>8.6896042928630184</v>
      </c>
      <c r="O1208" s="592"/>
      <c r="P1208" s="190"/>
      <c r="Q1208" s="190"/>
      <c r="R1208" s="190"/>
      <c r="S1208" s="190"/>
      <c r="T1208" s="190"/>
      <c r="U1208" s="190"/>
      <c r="V1208" s="190"/>
      <c r="W1208" s="190"/>
      <c r="X1208" s="190"/>
      <c r="Y1208" s="190"/>
      <c r="Z1208" s="190"/>
      <c r="AA1208" s="190"/>
      <c r="AB1208" s="189"/>
      <c r="AC1208" s="189"/>
      <c r="AD1208" s="189"/>
      <c r="AE1208" s="189"/>
      <c r="AF1208" s="190"/>
      <c r="AG1208" s="190"/>
      <c r="AH1208" s="337"/>
      <c r="AI1208" s="190"/>
      <c r="AJ1208" s="190"/>
      <c r="AK1208" s="190"/>
      <c r="AL1208" s="189"/>
      <c r="AM1208" s="189"/>
      <c r="AN1208" s="189"/>
      <c r="AO1208" s="189"/>
      <c r="AP1208" s="189"/>
      <c r="AQ1208" s="189"/>
      <c r="AR1208" s="189"/>
      <c r="AS1208" s="189"/>
      <c r="AT1208" s="189"/>
      <c r="AU1208" s="190"/>
      <c r="AV1208" s="190"/>
      <c r="AW1208" s="190"/>
      <c r="AX1208" s="190"/>
      <c r="AY1208" s="190"/>
      <c r="AZ1208" s="189"/>
      <c r="BA1208" s="189"/>
      <c r="BB1208" s="189"/>
      <c r="BC1208" s="189"/>
      <c r="BD1208" s="189"/>
      <c r="BE1208" s="189"/>
      <c r="BF1208" s="189"/>
      <c r="BG1208" s="189"/>
      <c r="BH1208" s="189"/>
      <c r="BI1208" s="190"/>
      <c r="BJ1208" s="190"/>
      <c r="BK1208" s="190"/>
      <c r="BL1208" s="190"/>
      <c r="BM1208" s="190"/>
      <c r="BN1208" s="190"/>
      <c r="BO1208" s="190"/>
      <c r="BP1208" s="190"/>
      <c r="BQ1208" s="190"/>
      <c r="BR1208" s="190"/>
      <c r="BS1208" s="190"/>
      <c r="BT1208" s="190"/>
      <c r="BU1208" s="190"/>
      <c r="BV1208" s="190"/>
      <c r="BW1208" s="190"/>
      <c r="BX1208" s="190"/>
      <c r="BY1208" s="190"/>
      <c r="BZ1208" s="190"/>
      <c r="CA1208" s="189"/>
      <c r="CB1208" s="192"/>
    </row>
    <row r="1209" spans="1:80" x14ac:dyDescent="0.2">
      <c r="A1209" s="189"/>
      <c r="B1209" s="648"/>
      <c r="C1209" s="648"/>
      <c r="D1209" s="697"/>
      <c r="E1209" s="159"/>
      <c r="F1209" s="159"/>
      <c r="G1209" s="190"/>
      <c r="H1209" s="190"/>
      <c r="I1209" s="190"/>
      <c r="J1209" s="190"/>
      <c r="K1209" s="190"/>
      <c r="L1209" s="629"/>
      <c r="M1209" s="647" t="s">
        <v>816</v>
      </c>
      <c r="N1209" s="587">
        <v>8.2413811501300263</v>
      </c>
      <c r="O1209" s="592"/>
      <c r="P1209" s="190"/>
      <c r="Q1209" s="190"/>
      <c r="R1209" s="190"/>
      <c r="S1209" s="190"/>
      <c r="T1209" s="190"/>
      <c r="U1209" s="190"/>
      <c r="V1209" s="190"/>
      <c r="W1209" s="190"/>
      <c r="X1209" s="190"/>
      <c r="Y1209" s="190"/>
      <c r="Z1209" s="190"/>
      <c r="AA1209" s="190"/>
      <c r="AB1209" s="189"/>
      <c r="AC1209" s="189"/>
      <c r="AD1209" s="189"/>
      <c r="AE1209" s="189"/>
      <c r="AF1209" s="190"/>
      <c r="AG1209" s="190"/>
      <c r="AH1209" s="337"/>
      <c r="AI1209" s="190"/>
      <c r="AJ1209" s="190"/>
      <c r="AK1209" s="190"/>
      <c r="AL1209" s="189"/>
      <c r="AM1209" s="189"/>
      <c r="AN1209" s="189"/>
      <c r="AO1209" s="189"/>
      <c r="AP1209" s="189"/>
      <c r="AQ1209" s="189"/>
      <c r="AR1209" s="189"/>
      <c r="AS1209" s="189"/>
      <c r="AT1209" s="189"/>
      <c r="AU1209" s="190"/>
      <c r="AV1209" s="190"/>
      <c r="AW1209" s="190"/>
      <c r="AX1209" s="190"/>
      <c r="AY1209" s="190"/>
      <c r="AZ1209" s="189"/>
      <c r="BA1209" s="189"/>
      <c r="BB1209" s="189"/>
      <c r="BC1209" s="189"/>
      <c r="BD1209" s="189"/>
      <c r="BE1209" s="189"/>
      <c r="BF1209" s="189"/>
      <c r="BG1209" s="189"/>
      <c r="BH1209" s="189"/>
      <c r="BI1209" s="190"/>
      <c r="BJ1209" s="190"/>
      <c r="BK1209" s="190"/>
      <c r="BL1209" s="190"/>
      <c r="BM1209" s="190"/>
      <c r="BN1209" s="190"/>
      <c r="BO1209" s="190"/>
      <c r="BP1209" s="190"/>
      <c r="BQ1209" s="190"/>
      <c r="BR1209" s="190"/>
      <c r="BS1209" s="190"/>
      <c r="BT1209" s="190"/>
      <c r="BU1209" s="190"/>
      <c r="BV1209" s="190"/>
      <c r="BW1209" s="190"/>
      <c r="BX1209" s="190"/>
      <c r="BY1209" s="190"/>
      <c r="BZ1209" s="190"/>
      <c r="CA1209" s="189"/>
      <c r="CB1209" s="192"/>
    </row>
    <row r="1210" spans="1:80" x14ac:dyDescent="0.2">
      <c r="A1210" s="189"/>
      <c r="B1210" s="648"/>
      <c r="C1210" s="648"/>
      <c r="D1210" s="697"/>
      <c r="E1210" s="159"/>
      <c r="F1210" s="159"/>
      <c r="G1210" s="190"/>
      <c r="H1210" s="190"/>
      <c r="I1210" s="190"/>
      <c r="J1210" s="190"/>
      <c r="K1210" s="190"/>
      <c r="L1210" s="629"/>
      <c r="M1210" s="647" t="s">
        <v>817</v>
      </c>
      <c r="N1210" s="587">
        <v>9.1622049012199991</v>
      </c>
      <c r="O1210" s="592"/>
      <c r="P1210" s="190"/>
      <c r="Q1210" s="190"/>
      <c r="R1210" s="190"/>
      <c r="S1210" s="190"/>
      <c r="T1210" s="190"/>
      <c r="U1210" s="190"/>
      <c r="V1210" s="190"/>
      <c r="W1210" s="190"/>
      <c r="X1210" s="190"/>
      <c r="Y1210" s="190"/>
      <c r="Z1210" s="190"/>
      <c r="AA1210" s="190"/>
      <c r="AB1210" s="189"/>
      <c r="AC1210" s="189"/>
      <c r="AD1210" s="189"/>
      <c r="AE1210" s="189"/>
      <c r="AF1210" s="190"/>
      <c r="AG1210" s="190"/>
      <c r="AH1210" s="337"/>
      <c r="AI1210" s="190"/>
      <c r="AJ1210" s="190"/>
      <c r="AK1210" s="190"/>
      <c r="AL1210" s="189"/>
      <c r="AM1210" s="189"/>
      <c r="AN1210" s="189"/>
      <c r="AO1210" s="189"/>
      <c r="AP1210" s="189"/>
      <c r="AQ1210" s="189"/>
      <c r="AR1210" s="189"/>
      <c r="AS1210" s="189"/>
      <c r="AT1210" s="189"/>
      <c r="AU1210" s="190"/>
      <c r="AV1210" s="190"/>
      <c r="AW1210" s="190"/>
      <c r="AX1210" s="190"/>
      <c r="AY1210" s="190"/>
      <c r="AZ1210" s="189"/>
      <c r="BA1210" s="189"/>
      <c r="BB1210" s="189"/>
      <c r="BC1210" s="189"/>
      <c r="BD1210" s="189"/>
      <c r="BE1210" s="189"/>
      <c r="BF1210" s="189"/>
      <c r="BG1210" s="189"/>
      <c r="BH1210" s="189"/>
      <c r="BI1210" s="190"/>
      <c r="BJ1210" s="190"/>
      <c r="BK1210" s="190"/>
      <c r="BL1210" s="190"/>
      <c r="BM1210" s="190"/>
      <c r="BN1210" s="190"/>
      <c r="BO1210" s="190"/>
      <c r="BP1210" s="190"/>
      <c r="BQ1210" s="190"/>
      <c r="BR1210" s="190"/>
      <c r="BS1210" s="190"/>
      <c r="BT1210" s="190"/>
      <c r="BU1210" s="190"/>
      <c r="BV1210" s="190"/>
      <c r="BW1210" s="190"/>
      <c r="BX1210" s="190"/>
      <c r="BY1210" s="190"/>
      <c r="BZ1210" s="190"/>
      <c r="CA1210" s="189"/>
      <c r="CB1210" s="192"/>
    </row>
    <row r="1211" spans="1:80" x14ac:dyDescent="0.2">
      <c r="A1211" s="189"/>
      <c r="B1211" s="648"/>
      <c r="C1211" s="648"/>
      <c r="D1211" s="697"/>
      <c r="E1211" s="159"/>
      <c r="F1211" s="159"/>
      <c r="G1211" s="190"/>
      <c r="H1211" s="190"/>
      <c r="I1211" s="190"/>
      <c r="J1211" s="190"/>
      <c r="K1211" s="190"/>
      <c r="L1211" s="629"/>
      <c r="M1211" s="647" t="s">
        <v>818</v>
      </c>
      <c r="N1211" s="587">
        <v>9.1622049012199991</v>
      </c>
      <c r="O1211" s="593">
        <v>6.8613888888888887E-6</v>
      </c>
      <c r="P1211" s="190"/>
      <c r="Q1211" s="190"/>
      <c r="R1211" s="190"/>
      <c r="S1211" s="190"/>
      <c r="T1211" s="190"/>
      <c r="U1211" s="190"/>
      <c r="V1211" s="190"/>
      <c r="W1211" s="190"/>
      <c r="X1211" s="190"/>
      <c r="Y1211" s="190"/>
      <c r="Z1211" s="190"/>
      <c r="AA1211" s="190"/>
      <c r="AB1211" s="189"/>
      <c r="AC1211" s="189"/>
      <c r="AD1211" s="189"/>
      <c r="AE1211" s="189"/>
      <c r="AF1211" s="190"/>
      <c r="AG1211" s="190"/>
      <c r="AH1211" s="337"/>
      <c r="AI1211" s="190"/>
      <c r="AJ1211" s="190"/>
      <c r="AK1211" s="190"/>
      <c r="AL1211" s="189"/>
      <c r="AM1211" s="189"/>
      <c r="AN1211" s="189"/>
      <c r="AO1211" s="189"/>
      <c r="AP1211" s="189"/>
      <c r="AQ1211" s="189"/>
      <c r="AR1211" s="189"/>
      <c r="AS1211" s="189"/>
      <c r="AT1211" s="189"/>
      <c r="AU1211" s="190"/>
      <c r="AV1211" s="190"/>
      <c r="AW1211" s="190"/>
      <c r="AX1211" s="190"/>
      <c r="AY1211" s="190"/>
      <c r="AZ1211" s="189"/>
      <c r="BA1211" s="189"/>
      <c r="BB1211" s="189"/>
      <c r="BC1211" s="189"/>
      <c r="BD1211" s="189"/>
      <c r="BE1211" s="189"/>
      <c r="BF1211" s="189"/>
      <c r="BG1211" s="189"/>
      <c r="BH1211" s="189"/>
      <c r="BI1211" s="190"/>
      <c r="BJ1211" s="190"/>
      <c r="BK1211" s="190"/>
      <c r="BL1211" s="190"/>
      <c r="BM1211" s="190"/>
      <c r="BN1211" s="190"/>
      <c r="BO1211" s="190"/>
      <c r="BP1211" s="190"/>
      <c r="BQ1211" s="190"/>
      <c r="BR1211" s="190"/>
      <c r="BS1211" s="190"/>
      <c r="BT1211" s="190"/>
      <c r="BU1211" s="190"/>
      <c r="BV1211" s="190"/>
      <c r="BW1211" s="190"/>
      <c r="BX1211" s="190"/>
      <c r="BY1211" s="190"/>
      <c r="BZ1211" s="190"/>
      <c r="CA1211" s="189"/>
      <c r="CB1211" s="192"/>
    </row>
    <row r="1212" spans="1:80" x14ac:dyDescent="0.2">
      <c r="A1212" s="189"/>
      <c r="B1212" s="648"/>
      <c r="C1212" s="648"/>
      <c r="D1212" s="697"/>
      <c r="E1212" s="159"/>
      <c r="F1212" s="159"/>
      <c r="G1212" s="190"/>
      <c r="H1212" s="190"/>
      <c r="I1212" s="190"/>
      <c r="J1212" s="190"/>
      <c r="K1212" s="190"/>
      <c r="L1212" s="629"/>
      <c r="M1212" s="647" t="s">
        <v>819</v>
      </c>
      <c r="N1212" s="587">
        <v>8.6896042928630184</v>
      </c>
      <c r="O1212" s="592"/>
      <c r="P1212" s="190"/>
      <c r="Q1212" s="190"/>
      <c r="R1212" s="190"/>
      <c r="S1212" s="190"/>
      <c r="T1212" s="190"/>
      <c r="U1212" s="190"/>
      <c r="V1212" s="190"/>
      <c r="W1212" s="190"/>
      <c r="X1212" s="190"/>
      <c r="Y1212" s="190"/>
      <c r="Z1212" s="190"/>
      <c r="AA1212" s="190"/>
      <c r="AB1212" s="189"/>
      <c r="AC1212" s="189"/>
      <c r="AD1212" s="189"/>
      <c r="AE1212" s="189"/>
      <c r="AF1212" s="190"/>
      <c r="AG1212" s="190"/>
      <c r="AH1212" s="337"/>
      <c r="AI1212" s="190"/>
      <c r="AJ1212" s="190"/>
      <c r="AK1212" s="190"/>
      <c r="AL1212" s="189"/>
      <c r="AM1212" s="189"/>
      <c r="AN1212" s="189"/>
      <c r="AO1212" s="189"/>
      <c r="AP1212" s="189"/>
      <c r="AQ1212" s="189"/>
      <c r="AR1212" s="189"/>
      <c r="AS1212" s="189"/>
      <c r="AT1212" s="189"/>
      <c r="AU1212" s="190"/>
      <c r="AV1212" s="190"/>
      <c r="AW1212" s="190"/>
      <c r="AX1212" s="190"/>
      <c r="AY1212" s="190"/>
      <c r="AZ1212" s="189"/>
      <c r="BA1212" s="189"/>
      <c r="BB1212" s="189"/>
      <c r="BC1212" s="189"/>
      <c r="BD1212" s="189"/>
      <c r="BE1212" s="189"/>
      <c r="BF1212" s="189"/>
      <c r="BG1212" s="189"/>
      <c r="BH1212" s="189"/>
      <c r="BI1212" s="190"/>
      <c r="BJ1212" s="190"/>
      <c r="BK1212" s="190"/>
      <c r="BL1212" s="190"/>
      <c r="BM1212" s="190"/>
      <c r="BN1212" s="190"/>
      <c r="BO1212" s="190"/>
      <c r="BP1212" s="190"/>
      <c r="BQ1212" s="190"/>
      <c r="BR1212" s="190"/>
      <c r="BS1212" s="190"/>
      <c r="BT1212" s="190"/>
      <c r="BU1212" s="190"/>
      <c r="BV1212" s="190"/>
      <c r="BW1212" s="190"/>
      <c r="BX1212" s="190"/>
      <c r="BY1212" s="190"/>
      <c r="BZ1212" s="190"/>
      <c r="CA1212" s="189"/>
      <c r="CB1212" s="192"/>
    </row>
    <row r="1213" spans="1:80" x14ac:dyDescent="0.2">
      <c r="A1213" s="189"/>
      <c r="B1213" s="648"/>
      <c r="C1213" s="648"/>
      <c r="D1213" s="697"/>
      <c r="E1213" s="159"/>
      <c r="F1213" s="159"/>
      <c r="G1213" s="190"/>
      <c r="H1213" s="190"/>
      <c r="I1213" s="190"/>
      <c r="J1213" s="190"/>
      <c r="K1213" s="190"/>
      <c r="L1213" s="629"/>
      <c r="M1213" s="647" t="s">
        <v>820</v>
      </c>
      <c r="N1213" s="587">
        <v>9.1622049012199991</v>
      </c>
      <c r="O1213" s="593">
        <v>1.0587222222222222E-5</v>
      </c>
      <c r="P1213" s="190"/>
      <c r="Q1213" s="190"/>
      <c r="R1213" s="190"/>
      <c r="S1213" s="190"/>
      <c r="T1213" s="190"/>
      <c r="U1213" s="190"/>
      <c r="V1213" s="190"/>
      <c r="W1213" s="190"/>
      <c r="X1213" s="190"/>
      <c r="Y1213" s="190"/>
      <c r="Z1213" s="190"/>
      <c r="AA1213" s="190"/>
      <c r="AB1213" s="189"/>
      <c r="AC1213" s="189"/>
      <c r="AD1213" s="189"/>
      <c r="AE1213" s="189"/>
      <c r="AF1213" s="190"/>
      <c r="AG1213" s="190"/>
      <c r="AH1213" s="337"/>
      <c r="AI1213" s="190"/>
      <c r="AJ1213" s="190"/>
      <c r="AK1213" s="190"/>
      <c r="AL1213" s="189"/>
      <c r="AM1213" s="189"/>
      <c r="AN1213" s="189"/>
      <c r="AO1213" s="189"/>
      <c r="AP1213" s="189"/>
      <c r="AQ1213" s="189"/>
      <c r="AR1213" s="189"/>
      <c r="AS1213" s="189"/>
      <c r="AT1213" s="189"/>
      <c r="AU1213" s="190"/>
      <c r="AV1213" s="190"/>
      <c r="AW1213" s="190"/>
      <c r="AX1213" s="190"/>
      <c r="AY1213" s="190"/>
      <c r="AZ1213" s="189"/>
      <c r="BA1213" s="189"/>
      <c r="BB1213" s="189"/>
      <c r="BC1213" s="189"/>
      <c r="BD1213" s="189"/>
      <c r="BE1213" s="189"/>
      <c r="BF1213" s="189"/>
      <c r="BG1213" s="189"/>
      <c r="BH1213" s="189"/>
      <c r="BI1213" s="190"/>
      <c r="BJ1213" s="190"/>
      <c r="BK1213" s="190"/>
      <c r="BL1213" s="190"/>
      <c r="BM1213" s="190"/>
      <c r="BN1213" s="190"/>
      <c r="BO1213" s="190"/>
      <c r="BP1213" s="190"/>
      <c r="BQ1213" s="190"/>
      <c r="BR1213" s="190"/>
      <c r="BS1213" s="190"/>
      <c r="BT1213" s="190"/>
      <c r="BU1213" s="190"/>
      <c r="BV1213" s="190"/>
      <c r="BW1213" s="190"/>
      <c r="BX1213" s="190"/>
      <c r="BY1213" s="190"/>
      <c r="BZ1213" s="190"/>
      <c r="CA1213" s="189"/>
      <c r="CB1213" s="192"/>
    </row>
    <row r="1214" spans="1:80" x14ac:dyDescent="0.2">
      <c r="A1214" s="189"/>
      <c r="B1214" s="648"/>
      <c r="C1214" s="648"/>
      <c r="D1214" s="697"/>
      <c r="E1214" s="159"/>
      <c r="F1214" s="159"/>
      <c r="G1214" s="190"/>
      <c r="H1214" s="190"/>
      <c r="I1214" s="190"/>
      <c r="J1214" s="190"/>
      <c r="K1214" s="190"/>
      <c r="L1214" s="629"/>
      <c r="M1214" s="647" t="s">
        <v>821</v>
      </c>
      <c r="N1214" s="587">
        <v>9.1622049012199991</v>
      </c>
      <c r="O1214" s="592"/>
      <c r="P1214" s="190"/>
      <c r="Q1214" s="190"/>
      <c r="R1214" s="190"/>
      <c r="S1214" s="190"/>
      <c r="T1214" s="190"/>
      <c r="U1214" s="190"/>
      <c r="V1214" s="190"/>
      <c r="W1214" s="190"/>
      <c r="X1214" s="190"/>
      <c r="Y1214" s="190"/>
      <c r="Z1214" s="190"/>
      <c r="AA1214" s="190"/>
      <c r="AB1214" s="189"/>
      <c r="AC1214" s="189"/>
      <c r="AD1214" s="189"/>
      <c r="AE1214" s="189"/>
      <c r="AF1214" s="190"/>
      <c r="AG1214" s="190"/>
      <c r="AH1214" s="337"/>
      <c r="AI1214" s="190"/>
      <c r="AJ1214" s="190"/>
      <c r="AK1214" s="190"/>
      <c r="AL1214" s="189"/>
      <c r="AM1214" s="189"/>
      <c r="AN1214" s="189"/>
      <c r="AO1214" s="189"/>
      <c r="AP1214" s="189"/>
      <c r="AQ1214" s="189"/>
      <c r="AR1214" s="189"/>
      <c r="AS1214" s="189"/>
      <c r="AT1214" s="189"/>
      <c r="AU1214" s="190"/>
      <c r="AV1214" s="190"/>
      <c r="AW1214" s="190"/>
      <c r="AX1214" s="190"/>
      <c r="AY1214" s="190"/>
      <c r="AZ1214" s="189"/>
      <c r="BA1214" s="189"/>
      <c r="BB1214" s="189"/>
      <c r="BC1214" s="189"/>
      <c r="BD1214" s="189"/>
      <c r="BE1214" s="189"/>
      <c r="BF1214" s="189"/>
      <c r="BG1214" s="189"/>
      <c r="BH1214" s="189"/>
      <c r="BI1214" s="190"/>
      <c r="BJ1214" s="190"/>
      <c r="BK1214" s="190"/>
      <c r="BL1214" s="190"/>
      <c r="BM1214" s="190"/>
      <c r="BN1214" s="190"/>
      <c r="BO1214" s="190"/>
      <c r="BP1214" s="190"/>
      <c r="BQ1214" s="190"/>
      <c r="BR1214" s="190"/>
      <c r="BS1214" s="190"/>
      <c r="BT1214" s="190"/>
      <c r="BU1214" s="190"/>
      <c r="BV1214" s="190"/>
      <c r="BW1214" s="190"/>
      <c r="BX1214" s="190"/>
      <c r="BY1214" s="190"/>
      <c r="BZ1214" s="190"/>
      <c r="CA1214" s="189"/>
      <c r="CB1214" s="192"/>
    </row>
    <row r="1215" spans="1:80" x14ac:dyDescent="0.2">
      <c r="A1215" s="189"/>
      <c r="B1215" s="648"/>
      <c r="C1215" s="648"/>
      <c r="D1215" s="697"/>
      <c r="E1215" s="159"/>
      <c r="F1215" s="159"/>
      <c r="G1215" s="190"/>
      <c r="H1215" s="190"/>
      <c r="I1215" s="190"/>
      <c r="J1215" s="190"/>
      <c r="K1215" s="190"/>
      <c r="L1215" s="629"/>
      <c r="M1215" s="647" t="s">
        <v>822</v>
      </c>
      <c r="N1215" s="587">
        <v>9.1622049012199991</v>
      </c>
      <c r="O1215" s="593">
        <v>1.6687222222222223E-5</v>
      </c>
      <c r="P1215" s="190"/>
      <c r="Q1215" s="190"/>
      <c r="R1215" s="190"/>
      <c r="S1215" s="190"/>
      <c r="T1215" s="190"/>
      <c r="U1215" s="190"/>
      <c r="V1215" s="190"/>
      <c r="W1215" s="190"/>
      <c r="X1215" s="190"/>
      <c r="Y1215" s="190"/>
      <c r="Z1215" s="190"/>
      <c r="AA1215" s="190"/>
      <c r="AB1215" s="189"/>
      <c r="AC1215" s="189"/>
      <c r="AD1215" s="189"/>
      <c r="AE1215" s="189"/>
      <c r="AF1215" s="190"/>
      <c r="AG1215" s="190"/>
      <c r="AH1215" s="337"/>
      <c r="AI1215" s="190"/>
      <c r="AJ1215" s="190"/>
      <c r="AK1215" s="190"/>
      <c r="AL1215" s="189"/>
      <c r="AM1215" s="189"/>
      <c r="AN1215" s="189"/>
      <c r="AO1215" s="189"/>
      <c r="AP1215" s="189"/>
      <c r="AQ1215" s="189"/>
      <c r="AR1215" s="189"/>
      <c r="AS1215" s="189"/>
      <c r="AT1215" s="189"/>
      <c r="AU1215" s="190"/>
      <c r="AV1215" s="190"/>
      <c r="AW1215" s="190"/>
      <c r="AX1215" s="190"/>
      <c r="AY1215" s="190"/>
      <c r="AZ1215" s="189"/>
      <c r="BA1215" s="189"/>
      <c r="BB1215" s="189"/>
      <c r="BC1215" s="189"/>
      <c r="BD1215" s="189"/>
      <c r="BE1215" s="189"/>
      <c r="BF1215" s="189"/>
      <c r="BG1215" s="189"/>
      <c r="BH1215" s="189"/>
      <c r="BI1215" s="190"/>
      <c r="BJ1215" s="190"/>
      <c r="BK1215" s="190"/>
      <c r="BL1215" s="190"/>
      <c r="BM1215" s="190"/>
      <c r="BN1215" s="190"/>
      <c r="BO1215" s="190"/>
      <c r="BP1215" s="190"/>
      <c r="BQ1215" s="190"/>
      <c r="BR1215" s="190"/>
      <c r="BS1215" s="190"/>
      <c r="BT1215" s="190"/>
      <c r="BU1215" s="190"/>
      <c r="BV1215" s="190"/>
      <c r="BW1215" s="190"/>
      <c r="BX1215" s="190"/>
      <c r="BY1215" s="190"/>
      <c r="BZ1215" s="190"/>
      <c r="CA1215" s="189"/>
      <c r="CB1215" s="192"/>
    </row>
    <row r="1216" spans="1:80" x14ac:dyDescent="0.2">
      <c r="A1216" s="189"/>
      <c r="B1216" s="648"/>
      <c r="C1216" s="648"/>
      <c r="D1216" s="697"/>
      <c r="E1216" s="159"/>
      <c r="F1216" s="159"/>
      <c r="G1216" s="190"/>
      <c r="H1216" s="190"/>
      <c r="I1216" s="190"/>
      <c r="J1216" s="190"/>
      <c r="K1216" s="190"/>
      <c r="L1216" s="629"/>
      <c r="M1216" s="647" t="s">
        <v>823</v>
      </c>
      <c r="N1216" s="587">
        <v>9.6605087898981381</v>
      </c>
      <c r="O1216" s="593">
        <v>3.5961111111111112E-6</v>
      </c>
      <c r="P1216" s="190"/>
      <c r="Q1216" s="190"/>
      <c r="R1216" s="190"/>
      <c r="S1216" s="190"/>
      <c r="T1216" s="190"/>
      <c r="U1216" s="190"/>
      <c r="V1216" s="190"/>
      <c r="W1216" s="190"/>
      <c r="X1216" s="190"/>
      <c r="Y1216" s="190"/>
      <c r="Z1216" s="190"/>
      <c r="AA1216" s="190"/>
      <c r="AB1216" s="189"/>
      <c r="AC1216" s="189"/>
      <c r="AD1216" s="189"/>
      <c r="AE1216" s="189"/>
      <c r="AF1216" s="190"/>
      <c r="AG1216" s="190"/>
      <c r="AH1216" s="337"/>
      <c r="AI1216" s="190"/>
      <c r="AJ1216" s="190"/>
      <c r="AK1216" s="190"/>
      <c r="AL1216" s="189"/>
      <c r="AM1216" s="189"/>
      <c r="AN1216" s="189"/>
      <c r="AO1216" s="189"/>
      <c r="AP1216" s="189"/>
      <c r="AQ1216" s="189"/>
      <c r="AR1216" s="189"/>
      <c r="AS1216" s="189"/>
      <c r="AT1216" s="189"/>
      <c r="AU1216" s="190"/>
      <c r="AV1216" s="190"/>
      <c r="AW1216" s="190"/>
      <c r="AX1216" s="190"/>
      <c r="AY1216" s="190"/>
      <c r="AZ1216" s="189"/>
      <c r="BA1216" s="189"/>
      <c r="BB1216" s="189"/>
      <c r="BC1216" s="189"/>
      <c r="BD1216" s="189"/>
      <c r="BE1216" s="189"/>
      <c r="BF1216" s="189"/>
      <c r="BG1216" s="189"/>
      <c r="BH1216" s="189"/>
      <c r="BI1216" s="190"/>
      <c r="BJ1216" s="190"/>
      <c r="BK1216" s="190"/>
      <c r="BL1216" s="190"/>
      <c r="BM1216" s="190"/>
      <c r="BN1216" s="190"/>
      <c r="BO1216" s="190"/>
      <c r="BP1216" s="190"/>
      <c r="BQ1216" s="190"/>
      <c r="BR1216" s="190"/>
      <c r="BS1216" s="190"/>
      <c r="BT1216" s="190"/>
      <c r="BU1216" s="190"/>
      <c r="BV1216" s="190"/>
      <c r="BW1216" s="190"/>
      <c r="BX1216" s="190"/>
      <c r="BY1216" s="190"/>
      <c r="BZ1216" s="190"/>
      <c r="CA1216" s="189"/>
      <c r="CB1216" s="192"/>
    </row>
    <row r="1217" spans="1:80" ht="15" x14ac:dyDescent="0.25">
      <c r="A1217" s="189"/>
      <c r="B1217" s="648"/>
      <c r="C1217" s="648"/>
      <c r="D1217" s="697"/>
      <c r="E1217" s="159"/>
      <c r="F1217" s="159"/>
      <c r="G1217" s="190"/>
      <c r="H1217" s="190"/>
      <c r="I1217" s="190"/>
      <c r="J1217" s="190"/>
      <c r="K1217" s="190"/>
      <c r="L1217" s="631"/>
      <c r="M1217" s="647" t="s">
        <v>824</v>
      </c>
      <c r="N1217" s="587">
        <v>9.6605087898981381</v>
      </c>
      <c r="O1217" s="592">
        <v>5.9312222222222222E-5</v>
      </c>
      <c r="P1217" s="190"/>
      <c r="Q1217" s="190"/>
      <c r="R1217" s="190"/>
      <c r="S1217" s="190"/>
      <c r="T1217" s="190"/>
      <c r="U1217" s="190"/>
      <c r="V1217" s="190"/>
      <c r="W1217" s="190"/>
      <c r="X1217" s="190"/>
      <c r="Y1217" s="190"/>
      <c r="Z1217" s="190"/>
      <c r="AA1217" s="190"/>
      <c r="AB1217" s="189"/>
      <c r="AC1217" s="189"/>
      <c r="AD1217" s="189"/>
      <c r="AE1217" s="189"/>
      <c r="AF1217" s="190"/>
      <c r="AG1217" s="190"/>
      <c r="AH1217" s="337"/>
      <c r="AI1217" s="190"/>
      <c r="AJ1217" s="190"/>
      <c r="AK1217" s="190"/>
      <c r="AL1217" s="189"/>
      <c r="AM1217" s="189"/>
      <c r="AN1217" s="189"/>
      <c r="AO1217" s="189"/>
      <c r="AP1217" s="189"/>
      <c r="AQ1217" s="189"/>
      <c r="AR1217" s="189"/>
      <c r="AS1217" s="189"/>
      <c r="AT1217" s="189"/>
      <c r="AU1217" s="190"/>
      <c r="AV1217" s="190"/>
      <c r="AW1217" s="190"/>
      <c r="AX1217" s="190"/>
      <c r="AY1217" s="190"/>
      <c r="AZ1217" s="189"/>
      <c r="BA1217" s="189"/>
      <c r="BB1217" s="189"/>
      <c r="BC1217" s="189"/>
      <c r="BD1217" s="189"/>
      <c r="BE1217" s="189"/>
      <c r="BF1217" s="189"/>
      <c r="BG1217" s="189"/>
      <c r="BH1217" s="189"/>
      <c r="BI1217" s="190"/>
      <c r="BJ1217" s="190"/>
      <c r="BK1217" s="190"/>
      <c r="BL1217" s="190"/>
      <c r="BM1217" s="190"/>
      <c r="BN1217" s="190"/>
      <c r="BO1217" s="190"/>
      <c r="BP1217" s="190"/>
      <c r="BQ1217" s="190"/>
      <c r="BR1217" s="190"/>
      <c r="BS1217" s="190"/>
      <c r="BT1217" s="190"/>
      <c r="BU1217" s="190"/>
      <c r="BV1217" s="190"/>
      <c r="BW1217" s="190"/>
      <c r="BX1217" s="190"/>
      <c r="BY1217" s="190"/>
      <c r="BZ1217" s="190"/>
      <c r="CA1217" s="189"/>
      <c r="CB1217" s="192"/>
    </row>
    <row r="1218" spans="1:80" ht="15" x14ac:dyDescent="0.25">
      <c r="A1218" s="189"/>
      <c r="B1218" s="648"/>
      <c r="C1218" s="648"/>
      <c r="D1218" s="697"/>
      <c r="E1218" s="159"/>
      <c r="F1218" s="159"/>
      <c r="G1218" s="190"/>
      <c r="H1218" s="190"/>
      <c r="I1218" s="190"/>
      <c r="J1218" s="190"/>
      <c r="K1218" s="190"/>
      <c r="L1218" s="631"/>
      <c r="M1218" s="647" t="s">
        <v>825</v>
      </c>
      <c r="N1218" s="587">
        <v>10.73989412341245</v>
      </c>
      <c r="O1218" s="593">
        <v>2.2322500000000002E-5</v>
      </c>
      <c r="P1218" s="190"/>
      <c r="Q1218" s="190"/>
      <c r="R1218" s="190"/>
      <c r="S1218" s="190"/>
      <c r="T1218" s="190"/>
      <c r="U1218" s="190"/>
      <c r="V1218" s="190"/>
      <c r="W1218" s="190"/>
      <c r="X1218" s="190"/>
      <c r="Y1218" s="190"/>
      <c r="Z1218" s="190"/>
      <c r="AA1218" s="190"/>
      <c r="AB1218" s="189"/>
      <c r="AC1218" s="189"/>
      <c r="AD1218" s="189"/>
      <c r="AE1218" s="189"/>
      <c r="AF1218" s="190"/>
      <c r="AG1218" s="190"/>
      <c r="AH1218" s="337"/>
      <c r="AI1218" s="190"/>
      <c r="AJ1218" s="190"/>
      <c r="AK1218" s="190"/>
      <c r="AL1218" s="189"/>
      <c r="AM1218" s="189"/>
      <c r="AN1218" s="189"/>
      <c r="AO1218" s="189"/>
      <c r="AP1218" s="189"/>
      <c r="AQ1218" s="189"/>
      <c r="AR1218" s="189"/>
      <c r="AS1218" s="189"/>
      <c r="AT1218" s="189"/>
      <c r="AU1218" s="190"/>
      <c r="AV1218" s="190"/>
      <c r="AW1218" s="190"/>
      <c r="AX1218" s="190"/>
      <c r="AY1218" s="190"/>
      <c r="AZ1218" s="189"/>
      <c r="BA1218" s="189"/>
      <c r="BB1218" s="189"/>
      <c r="BC1218" s="189"/>
      <c r="BD1218" s="189"/>
      <c r="BE1218" s="189"/>
      <c r="BF1218" s="189"/>
      <c r="BG1218" s="189"/>
      <c r="BH1218" s="189"/>
      <c r="BI1218" s="190"/>
      <c r="BJ1218" s="190"/>
      <c r="BK1218" s="190"/>
      <c r="BL1218" s="190"/>
      <c r="BM1218" s="190"/>
      <c r="BN1218" s="190"/>
      <c r="BO1218" s="190"/>
      <c r="BP1218" s="190"/>
      <c r="BQ1218" s="190"/>
      <c r="BR1218" s="190"/>
      <c r="BS1218" s="190"/>
      <c r="BT1218" s="190"/>
      <c r="BU1218" s="190"/>
      <c r="BV1218" s="190"/>
      <c r="BW1218" s="190"/>
      <c r="BX1218" s="190"/>
      <c r="BY1218" s="190"/>
      <c r="BZ1218" s="190"/>
      <c r="CA1218" s="189"/>
      <c r="CB1218" s="192"/>
    </row>
    <row r="1219" spans="1:80" ht="15" x14ac:dyDescent="0.25">
      <c r="A1219" s="189"/>
      <c r="B1219" s="648"/>
      <c r="C1219" s="648"/>
      <c r="D1219" s="697"/>
      <c r="E1219" s="159"/>
      <c r="F1219" s="159"/>
      <c r="G1219" s="190"/>
      <c r="H1219" s="190"/>
      <c r="I1219" s="190"/>
      <c r="J1219" s="190"/>
      <c r="K1219" s="190"/>
      <c r="L1219" s="631"/>
      <c r="M1219" s="647" t="s">
        <v>826</v>
      </c>
      <c r="N1219" s="587">
        <v>10.73989412341245</v>
      </c>
      <c r="O1219" s="592">
        <v>4.1276138888888891E-4</v>
      </c>
      <c r="P1219" s="190"/>
      <c r="Q1219" s="190"/>
      <c r="R1219" s="190"/>
      <c r="S1219" s="190"/>
      <c r="T1219" s="190"/>
      <c r="U1219" s="190"/>
      <c r="V1219" s="190"/>
      <c r="W1219" s="190"/>
      <c r="X1219" s="190"/>
      <c r="Y1219" s="190"/>
      <c r="Z1219" s="190"/>
      <c r="AA1219" s="190"/>
      <c r="AB1219" s="189"/>
      <c r="AC1219" s="189"/>
      <c r="AD1219" s="189"/>
      <c r="AE1219" s="189"/>
      <c r="AF1219" s="190"/>
      <c r="AG1219" s="190"/>
      <c r="AH1219" s="337"/>
      <c r="AI1219" s="190"/>
      <c r="AJ1219" s="190"/>
      <c r="AK1219" s="190"/>
      <c r="AL1219" s="189"/>
      <c r="AM1219" s="189"/>
      <c r="AN1219" s="189"/>
      <c r="AO1219" s="189"/>
      <c r="AP1219" s="189"/>
      <c r="AQ1219" s="189"/>
      <c r="AR1219" s="189"/>
      <c r="AS1219" s="189"/>
      <c r="AT1219" s="189"/>
      <c r="AU1219" s="190"/>
      <c r="AV1219" s="190"/>
      <c r="AW1219" s="190"/>
      <c r="AX1219" s="190"/>
      <c r="AY1219" s="190"/>
      <c r="AZ1219" s="189"/>
      <c r="BA1219" s="189"/>
      <c r="BB1219" s="189"/>
      <c r="BC1219" s="189"/>
      <c r="BD1219" s="189"/>
      <c r="BE1219" s="189"/>
      <c r="BF1219" s="189"/>
      <c r="BG1219" s="189"/>
      <c r="BH1219" s="189"/>
      <c r="BI1219" s="190"/>
      <c r="BJ1219" s="190"/>
      <c r="BK1219" s="190"/>
      <c r="BL1219" s="190"/>
      <c r="BM1219" s="190"/>
      <c r="BN1219" s="190"/>
      <c r="BO1219" s="190"/>
      <c r="BP1219" s="190"/>
      <c r="BQ1219" s="190"/>
      <c r="BR1219" s="190"/>
      <c r="BS1219" s="190"/>
      <c r="BT1219" s="190"/>
      <c r="BU1219" s="190"/>
      <c r="BV1219" s="190"/>
      <c r="BW1219" s="190"/>
      <c r="BX1219" s="190"/>
      <c r="BY1219" s="190"/>
      <c r="BZ1219" s="190"/>
      <c r="CA1219" s="189"/>
      <c r="CB1219" s="192"/>
    </row>
    <row r="1220" spans="1:80" ht="15" x14ac:dyDescent="0.25">
      <c r="A1220" s="189"/>
      <c r="B1220" s="648"/>
      <c r="C1220" s="648"/>
      <c r="D1220" s="697"/>
      <c r="E1220" s="159"/>
      <c r="F1220" s="159"/>
      <c r="G1220" s="190"/>
      <c r="H1220" s="190"/>
      <c r="I1220" s="190"/>
      <c r="J1220" s="190"/>
      <c r="K1220" s="190"/>
      <c r="L1220" s="631"/>
      <c r="M1220" s="647" t="s">
        <v>827</v>
      </c>
      <c r="N1220" s="587">
        <v>11.939881044642732</v>
      </c>
      <c r="O1220" s="592">
        <v>5.0305E-4</v>
      </c>
      <c r="P1220" s="190"/>
      <c r="Q1220" s="190"/>
      <c r="R1220" s="190"/>
      <c r="S1220" s="190"/>
      <c r="T1220" s="190"/>
      <c r="U1220" s="190"/>
      <c r="V1220" s="190"/>
      <c r="W1220" s="190"/>
      <c r="X1220" s="190"/>
      <c r="Y1220" s="190"/>
      <c r="Z1220" s="190"/>
      <c r="AA1220" s="190"/>
      <c r="AB1220" s="189"/>
      <c r="AC1220" s="189"/>
      <c r="AD1220" s="189"/>
      <c r="AE1220" s="189"/>
      <c r="AF1220" s="190"/>
      <c r="AG1220" s="190"/>
      <c r="AH1220" s="337"/>
      <c r="AI1220" s="190"/>
      <c r="AJ1220" s="190"/>
      <c r="AK1220" s="190"/>
      <c r="AL1220" s="189"/>
      <c r="AM1220" s="189"/>
      <c r="AN1220" s="189"/>
      <c r="AO1220" s="189"/>
      <c r="AP1220" s="189"/>
      <c r="AQ1220" s="189"/>
      <c r="AR1220" s="189"/>
      <c r="AS1220" s="189"/>
      <c r="AT1220" s="189"/>
      <c r="AU1220" s="190"/>
      <c r="AV1220" s="190"/>
      <c r="AW1220" s="190"/>
      <c r="AX1220" s="190"/>
      <c r="AY1220" s="190"/>
      <c r="AZ1220" s="189"/>
      <c r="BA1220" s="189"/>
      <c r="BB1220" s="189"/>
      <c r="BC1220" s="189"/>
      <c r="BD1220" s="189"/>
      <c r="BE1220" s="189"/>
      <c r="BF1220" s="189"/>
      <c r="BG1220" s="189"/>
      <c r="BH1220" s="189"/>
      <c r="BI1220" s="190"/>
      <c r="BJ1220" s="190"/>
      <c r="BK1220" s="190"/>
      <c r="BL1220" s="190"/>
      <c r="BM1220" s="190"/>
      <c r="BN1220" s="190"/>
      <c r="BO1220" s="190"/>
      <c r="BP1220" s="190"/>
      <c r="BQ1220" s="190"/>
      <c r="BR1220" s="190"/>
      <c r="BS1220" s="190"/>
      <c r="BT1220" s="190"/>
      <c r="BU1220" s="190"/>
      <c r="BV1220" s="190"/>
      <c r="BW1220" s="190"/>
      <c r="BX1220" s="190"/>
      <c r="BY1220" s="190"/>
      <c r="BZ1220" s="190"/>
      <c r="CA1220" s="189"/>
      <c r="CB1220" s="192"/>
    </row>
    <row r="1221" spans="1:80" ht="15" x14ac:dyDescent="0.25">
      <c r="A1221" s="189"/>
      <c r="B1221" s="648"/>
      <c r="C1221" s="648"/>
      <c r="D1221" s="697"/>
      <c r="E1221" s="159"/>
      <c r="F1221" s="159"/>
      <c r="G1221" s="190"/>
      <c r="H1221" s="190"/>
      <c r="I1221" s="190"/>
      <c r="J1221" s="190"/>
      <c r="K1221" s="190"/>
      <c r="L1221" s="631"/>
      <c r="M1221" s="647" t="s">
        <v>828</v>
      </c>
      <c r="N1221" s="587">
        <v>11.939881044642732</v>
      </c>
      <c r="O1221" s="592">
        <v>1.5206725E-3</v>
      </c>
      <c r="P1221" s="190"/>
      <c r="Q1221" s="190"/>
      <c r="R1221" s="190"/>
      <c r="S1221" s="190"/>
      <c r="T1221" s="190"/>
      <c r="U1221" s="190"/>
      <c r="V1221" s="190"/>
      <c r="W1221" s="190"/>
      <c r="X1221" s="190"/>
      <c r="Y1221" s="190"/>
      <c r="Z1221" s="190"/>
      <c r="AA1221" s="190"/>
      <c r="AB1221" s="189"/>
      <c r="AC1221" s="189"/>
      <c r="AD1221" s="189"/>
      <c r="AE1221" s="189"/>
      <c r="AF1221" s="190"/>
      <c r="AG1221" s="190"/>
      <c r="AH1221" s="337"/>
      <c r="AI1221" s="190"/>
      <c r="AJ1221" s="190"/>
      <c r="AK1221" s="190"/>
      <c r="AL1221" s="189"/>
      <c r="AM1221" s="189"/>
      <c r="AN1221" s="189"/>
      <c r="AO1221" s="189"/>
      <c r="AP1221" s="189"/>
      <c r="AQ1221" s="189"/>
      <c r="AR1221" s="189"/>
      <c r="AS1221" s="189"/>
      <c r="AT1221" s="189"/>
      <c r="AU1221" s="190"/>
      <c r="AV1221" s="190"/>
      <c r="AW1221" s="190"/>
      <c r="AX1221" s="190"/>
      <c r="AY1221" s="190"/>
      <c r="AZ1221" s="189"/>
      <c r="BA1221" s="189"/>
      <c r="BB1221" s="189"/>
      <c r="BC1221" s="189"/>
      <c r="BD1221" s="189"/>
      <c r="BE1221" s="189"/>
      <c r="BF1221" s="189"/>
      <c r="BG1221" s="189"/>
      <c r="BH1221" s="189"/>
      <c r="BI1221" s="190"/>
      <c r="BJ1221" s="190"/>
      <c r="BK1221" s="190"/>
      <c r="BL1221" s="190"/>
      <c r="BM1221" s="190"/>
      <c r="BN1221" s="190"/>
      <c r="BO1221" s="190"/>
      <c r="BP1221" s="190"/>
      <c r="BQ1221" s="190"/>
      <c r="BR1221" s="190"/>
      <c r="BS1221" s="190"/>
      <c r="BT1221" s="190"/>
      <c r="BU1221" s="190"/>
      <c r="BV1221" s="190"/>
      <c r="BW1221" s="190"/>
      <c r="BX1221" s="190"/>
      <c r="BY1221" s="190"/>
      <c r="BZ1221" s="190"/>
      <c r="CA1221" s="189"/>
      <c r="CB1221" s="192"/>
    </row>
    <row r="1222" spans="1:80" ht="15" x14ac:dyDescent="0.25">
      <c r="A1222" s="189"/>
      <c r="B1222" s="648"/>
      <c r="C1222" s="648"/>
      <c r="D1222" s="697"/>
      <c r="E1222" s="159"/>
      <c r="F1222" s="159"/>
      <c r="G1222" s="190"/>
      <c r="H1222" s="190"/>
      <c r="I1222" s="190"/>
      <c r="J1222" s="190"/>
      <c r="K1222" s="190"/>
      <c r="L1222" s="631"/>
      <c r="M1222" s="647" t="s">
        <v>829</v>
      </c>
      <c r="N1222" s="587">
        <v>11.939881044642732</v>
      </c>
      <c r="O1222" s="592">
        <v>4.8778805555555556E-4</v>
      </c>
      <c r="P1222" s="190"/>
      <c r="Q1222" s="190"/>
      <c r="R1222" s="190"/>
      <c r="S1222" s="190"/>
      <c r="T1222" s="190"/>
      <c r="U1222" s="190"/>
      <c r="V1222" s="190"/>
      <c r="W1222" s="190"/>
      <c r="X1222" s="190"/>
      <c r="Y1222" s="190"/>
      <c r="Z1222" s="190"/>
      <c r="AA1222" s="190"/>
      <c r="AB1222" s="189"/>
      <c r="AC1222" s="189"/>
      <c r="AD1222" s="189"/>
      <c r="AE1222" s="189"/>
      <c r="AF1222" s="190"/>
      <c r="AG1222" s="190"/>
      <c r="AH1222" s="337"/>
      <c r="AI1222" s="190"/>
      <c r="AJ1222" s="190"/>
      <c r="AK1222" s="190"/>
      <c r="AL1222" s="189"/>
      <c r="AM1222" s="189"/>
      <c r="AN1222" s="189"/>
      <c r="AO1222" s="189"/>
      <c r="AP1222" s="189"/>
      <c r="AQ1222" s="189"/>
      <c r="AR1222" s="189"/>
      <c r="AS1222" s="189"/>
      <c r="AT1222" s="189"/>
      <c r="AU1222" s="190"/>
      <c r="AV1222" s="190"/>
      <c r="AW1222" s="190"/>
      <c r="AX1222" s="190"/>
      <c r="AY1222" s="190"/>
      <c r="AZ1222" s="189"/>
      <c r="BA1222" s="189"/>
      <c r="BB1222" s="189"/>
      <c r="BC1222" s="189"/>
      <c r="BD1222" s="189"/>
      <c r="BE1222" s="189"/>
      <c r="BF1222" s="189"/>
      <c r="BG1222" s="189"/>
      <c r="BH1222" s="189"/>
      <c r="BI1222" s="190"/>
      <c r="BJ1222" s="190"/>
      <c r="BK1222" s="190"/>
      <c r="BL1222" s="190"/>
      <c r="BM1222" s="190"/>
      <c r="BN1222" s="190"/>
      <c r="BO1222" s="190"/>
      <c r="BP1222" s="190"/>
      <c r="BQ1222" s="190"/>
      <c r="BR1222" s="190"/>
      <c r="BS1222" s="190"/>
      <c r="BT1222" s="190"/>
      <c r="BU1222" s="190"/>
      <c r="BV1222" s="190"/>
      <c r="BW1222" s="190"/>
      <c r="BX1222" s="190"/>
      <c r="BY1222" s="190"/>
      <c r="BZ1222" s="190"/>
      <c r="CA1222" s="189"/>
      <c r="CB1222" s="192"/>
    </row>
    <row r="1223" spans="1:80" ht="15" x14ac:dyDescent="0.25">
      <c r="A1223" s="189"/>
      <c r="B1223" s="648"/>
      <c r="C1223" s="648"/>
      <c r="D1223" s="697"/>
      <c r="E1223" s="159"/>
      <c r="F1223" s="159"/>
      <c r="G1223" s="190"/>
      <c r="H1223" s="190"/>
      <c r="I1223" s="190"/>
      <c r="J1223" s="190"/>
      <c r="K1223" s="190"/>
      <c r="L1223" s="631"/>
      <c r="M1223" s="647" t="s">
        <v>830</v>
      </c>
      <c r="N1223" s="587">
        <v>12.58925411794168</v>
      </c>
      <c r="O1223" s="592">
        <v>1.5830277777777779E-4</v>
      </c>
      <c r="P1223" s="190"/>
      <c r="Q1223" s="190"/>
      <c r="R1223" s="190"/>
      <c r="S1223" s="190"/>
      <c r="T1223" s="190"/>
      <c r="U1223" s="190"/>
      <c r="V1223" s="190"/>
      <c r="W1223" s="190"/>
      <c r="X1223" s="190"/>
      <c r="Y1223" s="190"/>
      <c r="Z1223" s="190"/>
      <c r="AA1223" s="190"/>
      <c r="AB1223" s="189"/>
      <c r="AC1223" s="189"/>
      <c r="AD1223" s="189"/>
      <c r="AE1223" s="189"/>
      <c r="AF1223" s="190"/>
      <c r="AG1223" s="190"/>
      <c r="AH1223" s="337"/>
      <c r="AI1223" s="190"/>
      <c r="AJ1223" s="190"/>
      <c r="AK1223" s="190"/>
      <c r="AL1223" s="189"/>
      <c r="AM1223" s="189"/>
      <c r="AN1223" s="189"/>
      <c r="AO1223" s="189"/>
      <c r="AP1223" s="189"/>
      <c r="AQ1223" s="189"/>
      <c r="AR1223" s="189"/>
      <c r="AS1223" s="189"/>
      <c r="AT1223" s="189"/>
      <c r="AU1223" s="190"/>
      <c r="AV1223" s="190"/>
      <c r="AW1223" s="190"/>
      <c r="AX1223" s="190"/>
      <c r="AY1223" s="190"/>
      <c r="AZ1223" s="189"/>
      <c r="BA1223" s="189"/>
      <c r="BB1223" s="189"/>
      <c r="BC1223" s="189"/>
      <c r="BD1223" s="189"/>
      <c r="BE1223" s="189"/>
      <c r="BF1223" s="189"/>
      <c r="BG1223" s="189"/>
      <c r="BH1223" s="189"/>
      <c r="BI1223" s="190"/>
      <c r="BJ1223" s="190"/>
      <c r="BK1223" s="190"/>
      <c r="BL1223" s="190"/>
      <c r="BM1223" s="190"/>
      <c r="BN1223" s="190"/>
      <c r="BO1223" s="190"/>
      <c r="BP1223" s="190"/>
      <c r="BQ1223" s="190"/>
      <c r="BR1223" s="190"/>
      <c r="BS1223" s="190"/>
      <c r="BT1223" s="190"/>
      <c r="BU1223" s="190"/>
      <c r="BV1223" s="190"/>
      <c r="BW1223" s="190"/>
      <c r="BX1223" s="190"/>
      <c r="BY1223" s="190"/>
      <c r="BZ1223" s="190"/>
      <c r="CA1223" s="189"/>
      <c r="CB1223" s="192"/>
    </row>
    <row r="1224" spans="1:80" ht="15" x14ac:dyDescent="0.25">
      <c r="A1224" s="189"/>
      <c r="B1224" s="648"/>
      <c r="C1224" s="648"/>
      <c r="D1224" s="697"/>
      <c r="E1224" s="159"/>
      <c r="F1224" s="159"/>
      <c r="G1224" s="190"/>
      <c r="H1224" s="190"/>
      <c r="I1224" s="190"/>
      <c r="J1224" s="190"/>
      <c r="K1224" s="190"/>
      <c r="L1224" s="631"/>
      <c r="M1224" s="647" t="s">
        <v>831</v>
      </c>
      <c r="N1224" s="587">
        <v>12.58925411794168</v>
      </c>
      <c r="O1224" s="593">
        <v>4.9548333333333335E-5</v>
      </c>
      <c r="P1224" s="190"/>
      <c r="Q1224" s="190"/>
      <c r="R1224" s="190"/>
      <c r="S1224" s="190"/>
      <c r="T1224" s="190"/>
      <c r="U1224" s="190"/>
      <c r="V1224" s="190"/>
      <c r="W1224" s="190"/>
      <c r="X1224" s="190"/>
      <c r="Y1224" s="190"/>
      <c r="Z1224" s="190"/>
      <c r="AA1224" s="190"/>
      <c r="AB1224" s="189"/>
      <c r="AC1224" s="189"/>
      <c r="AD1224" s="189"/>
      <c r="AE1224" s="189"/>
      <c r="AF1224" s="190"/>
      <c r="AG1224" s="190"/>
      <c r="AH1224" s="337"/>
      <c r="AI1224" s="190"/>
      <c r="AJ1224" s="190"/>
      <c r="AK1224" s="190"/>
      <c r="AL1224" s="189"/>
      <c r="AM1224" s="189"/>
      <c r="AN1224" s="189"/>
      <c r="AO1224" s="189"/>
      <c r="AP1224" s="189"/>
      <c r="AQ1224" s="189"/>
      <c r="AR1224" s="189"/>
      <c r="AS1224" s="189"/>
      <c r="AT1224" s="189"/>
      <c r="AU1224" s="190"/>
      <c r="AV1224" s="190"/>
      <c r="AW1224" s="190"/>
      <c r="AX1224" s="190"/>
      <c r="AY1224" s="190"/>
      <c r="AZ1224" s="189"/>
      <c r="BA1224" s="189"/>
      <c r="BB1224" s="189"/>
      <c r="BC1224" s="189"/>
      <c r="BD1224" s="189"/>
      <c r="BE1224" s="189"/>
      <c r="BF1224" s="189"/>
      <c r="BG1224" s="189"/>
      <c r="BH1224" s="189"/>
      <c r="BI1224" s="190"/>
      <c r="BJ1224" s="190"/>
      <c r="BK1224" s="190"/>
      <c r="BL1224" s="190"/>
      <c r="BM1224" s="190"/>
      <c r="BN1224" s="190"/>
      <c r="BO1224" s="190"/>
      <c r="BP1224" s="190"/>
      <c r="BQ1224" s="190"/>
      <c r="BR1224" s="190"/>
      <c r="BS1224" s="190"/>
      <c r="BT1224" s="190"/>
      <c r="BU1224" s="190"/>
      <c r="BV1224" s="190"/>
      <c r="BW1224" s="190"/>
      <c r="BX1224" s="190"/>
      <c r="BY1224" s="190"/>
      <c r="BZ1224" s="190"/>
      <c r="CA1224" s="189"/>
      <c r="CB1224" s="192"/>
    </row>
    <row r="1225" spans="1:80" ht="15" x14ac:dyDescent="0.25">
      <c r="A1225" s="189"/>
      <c r="B1225" s="648"/>
      <c r="C1225" s="648"/>
      <c r="D1225" s="697"/>
      <c r="E1225" s="159"/>
      <c r="F1225" s="159"/>
      <c r="G1225" s="190"/>
      <c r="H1225" s="190"/>
      <c r="I1225" s="190"/>
      <c r="J1225" s="190"/>
      <c r="K1225" s="190"/>
      <c r="L1225" s="631"/>
      <c r="M1225" s="647" t="s">
        <v>832</v>
      </c>
      <c r="N1225" s="587">
        <v>8.6896042928630184</v>
      </c>
      <c r="O1225" s="593">
        <v>6.373055555555556E-6</v>
      </c>
      <c r="P1225" s="190"/>
      <c r="Q1225" s="190"/>
      <c r="R1225" s="190"/>
      <c r="S1225" s="190"/>
      <c r="T1225" s="190"/>
      <c r="U1225" s="190"/>
      <c r="V1225" s="190"/>
      <c r="W1225" s="190"/>
      <c r="X1225" s="190"/>
      <c r="Y1225" s="190"/>
      <c r="Z1225" s="190"/>
      <c r="AA1225" s="190"/>
      <c r="AB1225" s="189"/>
      <c r="AC1225" s="189"/>
      <c r="AD1225" s="189"/>
      <c r="AE1225" s="189"/>
      <c r="AF1225" s="190"/>
      <c r="AG1225" s="190"/>
      <c r="AH1225" s="337"/>
      <c r="AI1225" s="190"/>
      <c r="AJ1225" s="190"/>
      <c r="AK1225" s="190"/>
      <c r="AL1225" s="189"/>
      <c r="AM1225" s="189"/>
      <c r="AN1225" s="189"/>
      <c r="AO1225" s="189"/>
      <c r="AP1225" s="189"/>
      <c r="AQ1225" s="189"/>
      <c r="AR1225" s="189"/>
      <c r="AS1225" s="189"/>
      <c r="AT1225" s="189"/>
      <c r="AU1225" s="190"/>
      <c r="AV1225" s="190"/>
      <c r="AW1225" s="190"/>
      <c r="AX1225" s="190"/>
      <c r="AY1225" s="190"/>
      <c r="AZ1225" s="189"/>
      <c r="BA1225" s="189"/>
      <c r="BB1225" s="189"/>
      <c r="BC1225" s="189"/>
      <c r="BD1225" s="189"/>
      <c r="BE1225" s="189"/>
      <c r="BF1225" s="189"/>
      <c r="BG1225" s="189"/>
      <c r="BH1225" s="189"/>
      <c r="BI1225" s="190"/>
      <c r="BJ1225" s="190"/>
      <c r="BK1225" s="190"/>
      <c r="BL1225" s="190"/>
      <c r="BM1225" s="190"/>
      <c r="BN1225" s="190"/>
      <c r="BO1225" s="190"/>
      <c r="BP1225" s="190"/>
      <c r="BQ1225" s="190"/>
      <c r="BR1225" s="190"/>
      <c r="BS1225" s="190"/>
      <c r="BT1225" s="190"/>
      <c r="BU1225" s="190"/>
      <c r="BV1225" s="190"/>
      <c r="BW1225" s="190"/>
      <c r="BX1225" s="190"/>
      <c r="BY1225" s="190"/>
      <c r="BZ1225" s="190"/>
      <c r="CA1225" s="189"/>
      <c r="CB1225" s="192"/>
    </row>
    <row r="1226" spans="1:80" ht="15" x14ac:dyDescent="0.25">
      <c r="A1226" s="9" t="s">
        <v>60</v>
      </c>
      <c r="B1226" s="639" t="s">
        <v>34</v>
      </c>
      <c r="C1226" s="639"/>
      <c r="D1226" s="4">
        <f>VLOOKUP(E1226,'Quality Code'!D4:E24,2,TRUE)*VLOOKUP(MROUND(F1226,10),'Quality Code'!D28:E69,2,TRUE)*VLOOKUP(3,'Quality Code'!D73:E93,2,TRUE)</f>
        <v>2.2000000000000002</v>
      </c>
      <c r="E1226" s="14">
        <v>0.55000000000000004</v>
      </c>
      <c r="F1226" s="18">
        <v>76</v>
      </c>
      <c r="G1226" s="12">
        <v>46.5</v>
      </c>
      <c r="H1226" s="2" t="s">
        <v>231</v>
      </c>
      <c r="I1226" s="2"/>
      <c r="J1226" s="2"/>
      <c r="K1226" s="2"/>
      <c r="L1226" s="639"/>
      <c r="M1226" s="640" t="s">
        <v>833</v>
      </c>
      <c r="N1226" s="579"/>
      <c r="O1226" s="579"/>
      <c r="P1226" s="11"/>
      <c r="Q1226" s="11"/>
      <c r="R1226" s="11"/>
      <c r="S1226" s="11"/>
      <c r="T1226" s="11"/>
      <c r="U1226" s="11"/>
      <c r="V1226" s="11"/>
      <c r="W1226" s="11"/>
      <c r="X1226" s="11"/>
      <c r="Y1226" s="11"/>
      <c r="Z1226" s="11"/>
      <c r="AA1226" s="11"/>
      <c r="AB1226" s="11"/>
      <c r="AC1226" s="85">
        <v>2.5000000000000001E-2</v>
      </c>
      <c r="AD1226" s="26"/>
      <c r="AE1226" s="26"/>
      <c r="AF1226" s="26"/>
      <c r="AG1226" s="26"/>
      <c r="AH1226" s="330"/>
      <c r="AI1226" s="85">
        <v>20</v>
      </c>
      <c r="AJ1226" s="85"/>
      <c r="AK1226" s="17"/>
      <c r="AL1226" s="17"/>
      <c r="AM1226" s="17"/>
      <c r="AN1226" s="17"/>
      <c r="AO1226" s="17"/>
      <c r="AP1226" s="17"/>
      <c r="AQ1226" s="17"/>
      <c r="AR1226" s="17"/>
      <c r="AS1226" s="17"/>
      <c r="AT1226" s="17"/>
      <c r="AU1226" s="18">
        <v>68</v>
      </c>
      <c r="AV1226" s="18"/>
      <c r="AW1226" s="18"/>
      <c r="AX1226" s="18"/>
      <c r="AY1226" s="144"/>
      <c r="AZ1226" s="17"/>
      <c r="BA1226" s="17"/>
      <c r="BB1226" s="17"/>
      <c r="BC1226" s="17"/>
      <c r="BD1226" s="17"/>
      <c r="BE1226" s="17"/>
      <c r="BF1226" s="17"/>
      <c r="BG1226" s="17"/>
      <c r="BH1226" s="17"/>
      <c r="BI1226" s="4">
        <f>AU1226/AI1226</f>
        <v>3.4</v>
      </c>
      <c r="BJ1226" s="2" t="s">
        <v>246</v>
      </c>
      <c r="BK1226" s="2" t="s">
        <v>55</v>
      </c>
      <c r="BL1226" s="12">
        <v>1.92</v>
      </c>
      <c r="BM1226" s="12"/>
      <c r="BN1226" s="12">
        <v>5.4</v>
      </c>
      <c r="BO1226" s="12">
        <v>0.27</v>
      </c>
      <c r="BP1226" s="12">
        <f>BN1226*BO1226</f>
        <v>1.4580000000000002</v>
      </c>
      <c r="BQ1226" s="12">
        <f>BN1226/BO1226</f>
        <v>20</v>
      </c>
      <c r="BR1226" s="12" t="s">
        <v>276</v>
      </c>
      <c r="BS1226" s="12"/>
      <c r="BT1226" s="12"/>
      <c r="BU1226" s="2"/>
      <c r="BV1226" s="2"/>
      <c r="BW1226" s="2"/>
      <c r="BX1226" s="2"/>
      <c r="BY1226" s="2"/>
      <c r="BZ1226" s="2"/>
      <c r="CA1226" s="9"/>
      <c r="CB1226" s="5" t="s">
        <v>632</v>
      </c>
    </row>
    <row r="1227" spans="1:80" x14ac:dyDescent="0.2">
      <c r="A1227" s="152"/>
      <c r="B1227" s="683"/>
      <c r="C1227" s="683"/>
      <c r="D1227" s="698"/>
      <c r="E1227" s="215"/>
      <c r="F1227" s="215"/>
      <c r="G1227" s="153"/>
      <c r="H1227" s="153"/>
      <c r="I1227" s="153"/>
      <c r="J1227" s="153"/>
      <c r="K1227" s="153"/>
      <c r="L1227" s="653"/>
      <c r="M1227" s="654">
        <v>35934</v>
      </c>
      <c r="N1227" s="587">
        <v>1.0363500000000001</v>
      </c>
      <c r="O1227" s="592">
        <v>3.7299999999999998E-3</v>
      </c>
      <c r="P1227" s="190"/>
      <c r="Q1227" s="190"/>
      <c r="R1227" s="190"/>
      <c r="S1227" s="190"/>
      <c r="T1227" s="190"/>
      <c r="U1227" s="190"/>
      <c r="V1227" s="190"/>
      <c r="W1227" s="190"/>
      <c r="X1227" s="190"/>
      <c r="Y1227" s="190"/>
      <c r="Z1227" s="190"/>
      <c r="AA1227" s="190"/>
      <c r="AB1227" s="189"/>
      <c r="AC1227" s="152"/>
      <c r="AD1227" s="189"/>
      <c r="AE1227" s="189"/>
      <c r="AF1227" s="190"/>
      <c r="AG1227" s="190"/>
      <c r="AH1227" s="337"/>
      <c r="AI1227" s="190"/>
      <c r="AJ1227" s="190"/>
      <c r="AK1227" s="190"/>
      <c r="AL1227" s="189"/>
      <c r="AM1227" s="189"/>
      <c r="AN1227" s="189"/>
      <c r="AO1227" s="189"/>
      <c r="AP1227" s="189"/>
      <c r="AQ1227" s="189"/>
      <c r="AR1227" s="189"/>
      <c r="AS1227" s="189"/>
      <c r="AT1227" s="189"/>
      <c r="AU1227" s="190"/>
      <c r="AV1227" s="190"/>
      <c r="AW1227" s="190"/>
      <c r="AX1227" s="190"/>
      <c r="AY1227" s="190"/>
      <c r="AZ1227" s="189"/>
      <c r="BA1227" s="189"/>
      <c r="BB1227" s="189"/>
      <c r="BC1227" s="189"/>
      <c r="BD1227" s="189"/>
      <c r="BE1227" s="189"/>
      <c r="BF1227" s="189"/>
      <c r="BG1227" s="189"/>
      <c r="BH1227" s="189"/>
      <c r="BI1227" s="190"/>
      <c r="BJ1227" s="190"/>
      <c r="BK1227" s="190"/>
      <c r="BL1227" s="190"/>
      <c r="BM1227" s="190"/>
      <c r="BN1227" s="190"/>
      <c r="BO1227" s="190"/>
      <c r="BP1227" s="190"/>
      <c r="BQ1227" s="190"/>
      <c r="BR1227" s="190"/>
      <c r="BS1227" s="190"/>
      <c r="BT1227" s="190"/>
      <c r="BU1227" s="190"/>
      <c r="BV1227" s="190"/>
      <c r="BW1227" s="190"/>
      <c r="BX1227" s="190"/>
      <c r="BY1227" s="190"/>
      <c r="BZ1227" s="190"/>
      <c r="CA1227" s="189"/>
      <c r="CB1227" s="192" t="s">
        <v>633</v>
      </c>
    </row>
    <row r="1228" spans="1:80" ht="15" x14ac:dyDescent="0.2">
      <c r="A1228" s="152"/>
      <c r="B1228" s="683"/>
      <c r="C1228" s="683"/>
      <c r="D1228" s="698"/>
      <c r="E1228" s="215"/>
      <c r="F1228" s="215"/>
      <c r="G1228" s="153"/>
      <c r="H1228" s="153"/>
      <c r="I1228" s="153"/>
      <c r="J1228" s="153"/>
      <c r="K1228" s="153"/>
      <c r="L1228" s="653"/>
      <c r="M1228" s="654">
        <v>35934</v>
      </c>
      <c r="N1228" s="587">
        <v>1.3187800000000001</v>
      </c>
      <c r="O1228" s="592">
        <v>1.18E-2</v>
      </c>
      <c r="P1228" s="190"/>
      <c r="Q1228" s="190"/>
      <c r="R1228" s="190"/>
      <c r="S1228" s="190"/>
      <c r="T1228" s="190"/>
      <c r="U1228" s="190"/>
      <c r="V1228" s="190"/>
      <c r="W1228" s="190"/>
      <c r="X1228" s="190"/>
      <c r="Y1228" s="190"/>
      <c r="Z1228" s="190"/>
      <c r="AA1228" s="190"/>
      <c r="AB1228" s="189"/>
      <c r="AC1228" s="152"/>
      <c r="AD1228" s="189"/>
      <c r="AE1228" s="189"/>
      <c r="AF1228" s="190"/>
      <c r="AG1228" s="190"/>
      <c r="AH1228" s="337"/>
      <c r="AI1228" s="190"/>
      <c r="AJ1228" s="190"/>
      <c r="AK1228" s="190"/>
      <c r="AL1228" s="189"/>
      <c r="AM1228" s="189"/>
      <c r="AN1228" s="189"/>
      <c r="AO1228" s="189"/>
      <c r="AP1228" s="189"/>
      <c r="AQ1228" s="189"/>
      <c r="AR1228" s="189"/>
      <c r="AS1228" s="189"/>
      <c r="AT1228" s="189"/>
      <c r="AU1228" s="190"/>
      <c r="AV1228" s="190"/>
      <c r="AW1228" s="190"/>
      <c r="AX1228" s="190"/>
      <c r="AY1228" s="190"/>
      <c r="AZ1228" s="189"/>
      <c r="BA1228" s="189"/>
      <c r="BB1228" s="189"/>
      <c r="BC1228" s="189"/>
      <c r="BD1228" s="189"/>
      <c r="BE1228" s="189"/>
      <c r="BF1228" s="189"/>
      <c r="BG1228" s="189"/>
      <c r="BH1228" s="189"/>
      <c r="BI1228" s="190"/>
      <c r="BJ1228" s="190"/>
      <c r="BK1228" s="190"/>
      <c r="BL1228" s="190"/>
      <c r="BM1228" s="190"/>
      <c r="BN1228" s="190"/>
      <c r="BO1228" s="190"/>
      <c r="BP1228" s="190"/>
      <c r="BQ1228" s="190"/>
      <c r="BR1228" s="190"/>
      <c r="BS1228" s="190"/>
      <c r="BT1228" s="190"/>
      <c r="BU1228" s="190"/>
      <c r="BV1228" s="190"/>
      <c r="BW1228" s="190"/>
      <c r="BX1228" s="190"/>
      <c r="BY1228" s="190"/>
      <c r="BZ1228" s="190"/>
      <c r="CA1228" s="189"/>
      <c r="CB1228" s="192" t="s">
        <v>638</v>
      </c>
    </row>
    <row r="1229" spans="1:80" x14ac:dyDescent="0.2">
      <c r="A1229" s="152"/>
      <c r="B1229" s="683"/>
      <c r="C1229" s="683"/>
      <c r="D1229" s="698"/>
      <c r="E1229" s="215"/>
      <c r="F1229" s="215"/>
      <c r="G1229" s="153"/>
      <c r="H1229" s="153"/>
      <c r="I1229" s="153"/>
      <c r="J1229" s="153"/>
      <c r="K1229" s="153"/>
      <c r="L1229" s="653"/>
      <c r="M1229" s="654">
        <v>35935</v>
      </c>
      <c r="N1229" s="587">
        <v>1.1200000000000001</v>
      </c>
      <c r="O1229" s="592">
        <v>1.507E-2</v>
      </c>
      <c r="P1229" s="190"/>
      <c r="Q1229" s="190"/>
      <c r="R1229" s="190"/>
      <c r="S1229" s="190"/>
      <c r="T1229" s="190"/>
      <c r="U1229" s="190"/>
      <c r="V1229" s="190"/>
      <c r="W1229" s="190"/>
      <c r="X1229" s="190"/>
      <c r="Y1229" s="190"/>
      <c r="Z1229" s="190"/>
      <c r="AA1229" s="190"/>
      <c r="AB1229" s="189"/>
      <c r="AC1229" s="152"/>
      <c r="AD1229" s="189"/>
      <c r="AE1229" s="189"/>
      <c r="AF1229" s="190"/>
      <c r="AG1229" s="190"/>
      <c r="AH1229" s="337"/>
      <c r="AI1229" s="190"/>
      <c r="AJ1229" s="190"/>
      <c r="AK1229" s="190"/>
      <c r="AL1229" s="189"/>
      <c r="AM1229" s="189"/>
      <c r="AN1229" s="189"/>
      <c r="AO1229" s="189"/>
      <c r="AP1229" s="189"/>
      <c r="AQ1229" s="189"/>
      <c r="AR1229" s="189"/>
      <c r="AS1229" s="189"/>
      <c r="AT1229" s="189"/>
      <c r="AU1229" s="190"/>
      <c r="AV1229" s="190"/>
      <c r="AW1229" s="190"/>
      <c r="AX1229" s="190"/>
      <c r="AY1229" s="190"/>
      <c r="AZ1229" s="189"/>
      <c r="BA1229" s="189"/>
      <c r="BB1229" s="189"/>
      <c r="BC1229" s="189"/>
      <c r="BD1229" s="189"/>
      <c r="BE1229" s="189"/>
      <c r="BF1229" s="189"/>
      <c r="BG1229" s="189"/>
      <c r="BH1229" s="189"/>
      <c r="BI1229" s="190"/>
      <c r="BJ1229" s="190"/>
      <c r="BK1229" s="190"/>
      <c r="BL1229" s="190"/>
      <c r="BM1229" s="190"/>
      <c r="BN1229" s="190"/>
      <c r="BO1229" s="190"/>
      <c r="BP1229" s="190"/>
      <c r="BQ1229" s="190"/>
      <c r="BR1229" s="190"/>
      <c r="BS1229" s="190"/>
      <c r="BT1229" s="190"/>
      <c r="BU1229" s="190"/>
      <c r="BV1229" s="190"/>
      <c r="BW1229" s="190"/>
      <c r="BX1229" s="190"/>
      <c r="BY1229" s="190"/>
      <c r="BZ1229" s="190"/>
      <c r="CA1229" s="189"/>
      <c r="CB1229" s="192"/>
    </row>
    <row r="1230" spans="1:80" x14ac:dyDescent="0.2">
      <c r="A1230" s="152"/>
      <c r="B1230" s="683"/>
      <c r="C1230" s="683"/>
      <c r="D1230" s="698"/>
      <c r="E1230" s="215"/>
      <c r="F1230" s="215"/>
      <c r="G1230" s="153"/>
      <c r="H1230" s="153"/>
      <c r="I1230" s="153"/>
      <c r="J1230" s="153"/>
      <c r="K1230" s="153"/>
      <c r="L1230" s="653"/>
      <c r="M1230" s="654">
        <v>35935</v>
      </c>
      <c r="N1230" s="587">
        <v>1.2859499999999999</v>
      </c>
      <c r="O1230" s="592">
        <v>1.49E-2</v>
      </c>
      <c r="P1230" s="190"/>
      <c r="Q1230" s="190"/>
      <c r="R1230" s="190"/>
      <c r="S1230" s="190"/>
      <c r="T1230" s="190"/>
      <c r="U1230" s="190"/>
      <c r="V1230" s="190"/>
      <c r="W1230" s="190"/>
      <c r="X1230" s="190"/>
      <c r="Y1230" s="190"/>
      <c r="Z1230" s="190"/>
      <c r="AA1230" s="190"/>
      <c r="AB1230" s="189"/>
      <c r="AC1230" s="152"/>
      <c r="AD1230" s="189"/>
      <c r="AE1230" s="189"/>
      <c r="AF1230" s="190"/>
      <c r="AG1230" s="190"/>
      <c r="AH1230" s="337"/>
      <c r="AI1230" s="190"/>
      <c r="AJ1230" s="190"/>
      <c r="AK1230" s="190"/>
      <c r="AL1230" s="189"/>
      <c r="AM1230" s="189"/>
      <c r="AN1230" s="189"/>
      <c r="AO1230" s="189"/>
      <c r="AP1230" s="189"/>
      <c r="AQ1230" s="189"/>
      <c r="AR1230" s="189"/>
      <c r="AS1230" s="189"/>
      <c r="AT1230" s="189"/>
      <c r="AU1230" s="190"/>
      <c r="AV1230" s="190"/>
      <c r="AW1230" s="190"/>
      <c r="AX1230" s="190"/>
      <c r="AY1230" s="190"/>
      <c r="AZ1230" s="189"/>
      <c r="BA1230" s="189"/>
      <c r="BB1230" s="189"/>
      <c r="BC1230" s="189"/>
      <c r="BD1230" s="189"/>
      <c r="BE1230" s="189"/>
      <c r="BF1230" s="189"/>
      <c r="BG1230" s="189"/>
      <c r="BH1230" s="189"/>
      <c r="BI1230" s="190"/>
      <c r="BJ1230" s="190"/>
      <c r="BK1230" s="190"/>
      <c r="BL1230" s="190"/>
      <c r="BM1230" s="190"/>
      <c r="BN1230" s="190"/>
      <c r="BO1230" s="190"/>
      <c r="BP1230" s="190"/>
      <c r="BQ1230" s="190"/>
      <c r="BR1230" s="190"/>
      <c r="BS1230" s="190"/>
      <c r="BT1230" s="190"/>
      <c r="BU1230" s="190"/>
      <c r="BV1230" s="190"/>
      <c r="BW1230" s="190"/>
      <c r="BX1230" s="190"/>
      <c r="BY1230" s="190"/>
      <c r="BZ1230" s="190"/>
      <c r="CA1230" s="189"/>
      <c r="CB1230" s="192"/>
    </row>
    <row r="1231" spans="1:80" x14ac:dyDescent="0.2">
      <c r="A1231" s="152"/>
      <c r="B1231" s="683"/>
      <c r="C1231" s="683"/>
      <c r="D1231" s="698"/>
      <c r="E1231" s="215"/>
      <c r="F1231" s="215"/>
      <c r="G1231" s="153"/>
      <c r="H1231" s="153"/>
      <c r="I1231" s="153"/>
      <c r="J1231" s="153"/>
      <c r="K1231" s="153"/>
      <c r="L1231" s="653"/>
      <c r="M1231" s="654">
        <v>35936</v>
      </c>
      <c r="N1231" s="587">
        <v>1.57864</v>
      </c>
      <c r="O1231" s="592">
        <v>2.0549999999999999E-2</v>
      </c>
      <c r="P1231" s="190"/>
      <c r="Q1231" s="190"/>
      <c r="R1231" s="190"/>
      <c r="S1231" s="190"/>
      <c r="T1231" s="190"/>
      <c r="U1231" s="190"/>
      <c r="V1231" s="190"/>
      <c r="W1231" s="190"/>
      <c r="X1231" s="190"/>
      <c r="Y1231" s="190"/>
      <c r="Z1231" s="190"/>
      <c r="AA1231" s="190"/>
      <c r="AB1231" s="189"/>
      <c r="AC1231" s="152"/>
      <c r="AD1231" s="189"/>
      <c r="AE1231" s="189"/>
      <c r="AF1231" s="190"/>
      <c r="AG1231" s="190"/>
      <c r="AH1231" s="337"/>
      <c r="AI1231" s="190"/>
      <c r="AJ1231" s="190"/>
      <c r="AK1231" s="190"/>
      <c r="AL1231" s="189"/>
      <c r="AM1231" s="189"/>
      <c r="AN1231" s="189"/>
      <c r="AO1231" s="189"/>
      <c r="AP1231" s="189"/>
      <c r="AQ1231" s="189"/>
      <c r="AR1231" s="189"/>
      <c r="AS1231" s="189"/>
      <c r="AT1231" s="189"/>
      <c r="AU1231" s="190"/>
      <c r="AV1231" s="190"/>
      <c r="AW1231" s="190"/>
      <c r="AX1231" s="190"/>
      <c r="AY1231" s="190"/>
      <c r="AZ1231" s="189"/>
      <c r="BA1231" s="189"/>
      <c r="BB1231" s="189"/>
      <c r="BC1231" s="189"/>
      <c r="BD1231" s="189"/>
      <c r="BE1231" s="189"/>
      <c r="BF1231" s="189"/>
      <c r="BG1231" s="189"/>
      <c r="BH1231" s="189"/>
      <c r="BI1231" s="190"/>
      <c r="BJ1231" s="190"/>
      <c r="BK1231" s="190"/>
      <c r="BL1231" s="190"/>
      <c r="BM1231" s="190"/>
      <c r="BN1231" s="190"/>
      <c r="BO1231" s="190"/>
      <c r="BP1231" s="190"/>
      <c r="BQ1231" s="190"/>
      <c r="BR1231" s="190"/>
      <c r="BS1231" s="190"/>
      <c r="BT1231" s="190"/>
      <c r="BU1231" s="190"/>
      <c r="BV1231" s="190"/>
      <c r="BW1231" s="190"/>
      <c r="BX1231" s="190"/>
      <c r="BY1231" s="190"/>
      <c r="BZ1231" s="190"/>
      <c r="CA1231" s="189"/>
      <c r="CB1231" s="192"/>
    </row>
    <row r="1232" spans="1:80" x14ac:dyDescent="0.2">
      <c r="A1232" s="152"/>
      <c r="B1232" s="683"/>
      <c r="C1232" s="683"/>
      <c r="D1232" s="698"/>
      <c r="E1232" s="215"/>
      <c r="F1232" s="215"/>
      <c r="G1232" s="153"/>
      <c r="H1232" s="153"/>
      <c r="I1232" s="153"/>
      <c r="J1232" s="153"/>
      <c r="K1232" s="153"/>
      <c r="L1232" s="653"/>
      <c r="M1232" s="654">
        <v>35937</v>
      </c>
      <c r="N1232" s="587">
        <v>1.4377200000000001</v>
      </c>
      <c r="O1232" s="592">
        <v>2.0410000000000001E-2</v>
      </c>
      <c r="P1232" s="190"/>
      <c r="Q1232" s="190"/>
      <c r="R1232" s="190"/>
      <c r="S1232" s="190"/>
      <c r="T1232" s="190"/>
      <c r="U1232" s="190"/>
      <c r="V1232" s="190"/>
      <c r="W1232" s="190"/>
      <c r="X1232" s="190"/>
      <c r="Y1232" s="190"/>
      <c r="Z1232" s="190"/>
      <c r="AA1232" s="190"/>
      <c r="AB1232" s="189"/>
      <c r="AC1232" s="152"/>
      <c r="AD1232" s="189"/>
      <c r="AE1232" s="189"/>
      <c r="AF1232" s="190"/>
      <c r="AG1232" s="190"/>
      <c r="AH1232" s="337"/>
      <c r="AI1232" s="190"/>
      <c r="AJ1232" s="190"/>
      <c r="AK1232" s="190"/>
      <c r="AL1232" s="189"/>
      <c r="AM1232" s="189"/>
      <c r="AN1232" s="189"/>
      <c r="AO1232" s="189"/>
      <c r="AP1232" s="189"/>
      <c r="AQ1232" s="189"/>
      <c r="AR1232" s="189"/>
      <c r="AS1232" s="189"/>
      <c r="AT1232" s="189"/>
      <c r="AU1232" s="190"/>
      <c r="AV1232" s="190"/>
      <c r="AW1232" s="190"/>
      <c r="AX1232" s="190"/>
      <c r="AY1232" s="190"/>
      <c r="AZ1232" s="189"/>
      <c r="BA1232" s="189"/>
      <c r="BB1232" s="189"/>
      <c r="BC1232" s="189"/>
      <c r="BD1232" s="189"/>
      <c r="BE1232" s="189"/>
      <c r="BF1232" s="189"/>
      <c r="BG1232" s="189"/>
      <c r="BH1232" s="189"/>
      <c r="BI1232" s="190"/>
      <c r="BJ1232" s="190"/>
      <c r="BK1232" s="190"/>
      <c r="BL1232" s="190"/>
      <c r="BM1232" s="190"/>
      <c r="BN1232" s="190"/>
      <c r="BO1232" s="190"/>
      <c r="BP1232" s="190"/>
      <c r="BQ1232" s="190"/>
      <c r="BR1232" s="190"/>
      <c r="BS1232" s="190"/>
      <c r="BT1232" s="190"/>
      <c r="BU1232" s="190"/>
      <c r="BV1232" s="190"/>
      <c r="BW1232" s="190"/>
      <c r="BX1232" s="190"/>
      <c r="BY1232" s="190"/>
      <c r="BZ1232" s="190"/>
      <c r="CA1232" s="189"/>
      <c r="CB1232" s="192"/>
    </row>
    <row r="1233" spans="1:80" x14ac:dyDescent="0.2">
      <c r="A1233" s="152"/>
      <c r="B1233" s="683"/>
      <c r="C1233" s="683"/>
      <c r="D1233" s="698"/>
      <c r="E1233" s="215"/>
      <c r="F1233" s="215"/>
      <c r="G1233" s="153"/>
      <c r="H1233" s="153"/>
      <c r="I1233" s="153"/>
      <c r="J1233" s="153"/>
      <c r="K1233" s="153"/>
      <c r="L1233" s="653"/>
      <c r="M1233" s="654">
        <v>35938</v>
      </c>
      <c r="N1233" s="587">
        <v>1.29477</v>
      </c>
      <c r="O1233" s="592">
        <v>7.77E-3</v>
      </c>
      <c r="P1233" s="190"/>
      <c r="Q1233" s="190"/>
      <c r="R1233" s="190"/>
      <c r="S1233" s="190"/>
      <c r="T1233" s="190"/>
      <c r="U1233" s="190"/>
      <c r="V1233" s="190"/>
      <c r="W1233" s="190"/>
      <c r="X1233" s="190"/>
      <c r="Y1233" s="190"/>
      <c r="Z1233" s="190"/>
      <c r="AA1233" s="190"/>
      <c r="AB1233" s="189"/>
      <c r="AC1233" s="152"/>
      <c r="AD1233" s="189"/>
      <c r="AE1233" s="189"/>
      <c r="AF1233" s="190"/>
      <c r="AG1233" s="190"/>
      <c r="AH1233" s="337"/>
      <c r="AI1233" s="190"/>
      <c r="AJ1233" s="190"/>
      <c r="AK1233" s="190"/>
      <c r="AL1233" s="189"/>
      <c r="AM1233" s="189"/>
      <c r="AN1233" s="189"/>
      <c r="AO1233" s="189"/>
      <c r="AP1233" s="189"/>
      <c r="AQ1233" s="189"/>
      <c r="AR1233" s="189"/>
      <c r="AS1233" s="189"/>
      <c r="AT1233" s="189"/>
      <c r="AU1233" s="190"/>
      <c r="AV1233" s="190"/>
      <c r="AW1233" s="190"/>
      <c r="AX1233" s="190"/>
      <c r="AY1233" s="190"/>
      <c r="AZ1233" s="189"/>
      <c r="BA1233" s="189"/>
      <c r="BB1233" s="189"/>
      <c r="BC1233" s="189"/>
      <c r="BD1233" s="189"/>
      <c r="BE1233" s="189"/>
      <c r="BF1233" s="189"/>
      <c r="BG1233" s="189"/>
      <c r="BH1233" s="189"/>
      <c r="BI1233" s="190"/>
      <c r="BJ1233" s="190"/>
      <c r="BK1233" s="190"/>
      <c r="BL1233" s="190"/>
      <c r="BM1233" s="190"/>
      <c r="BN1233" s="190"/>
      <c r="BO1233" s="190"/>
      <c r="BP1233" s="190"/>
      <c r="BQ1233" s="190"/>
      <c r="BR1233" s="190"/>
      <c r="BS1233" s="190"/>
      <c r="BT1233" s="190"/>
      <c r="BU1233" s="190"/>
      <c r="BV1233" s="190"/>
      <c r="BW1233" s="190"/>
      <c r="BX1233" s="190"/>
      <c r="BY1233" s="190"/>
      <c r="BZ1233" s="190"/>
      <c r="CA1233" s="189"/>
      <c r="CB1233" s="192"/>
    </row>
    <row r="1234" spans="1:80" x14ac:dyDescent="0.2">
      <c r="A1234" s="152"/>
      <c r="B1234" s="683"/>
      <c r="C1234" s="683"/>
      <c r="D1234" s="698"/>
      <c r="E1234" s="215"/>
      <c r="F1234" s="215"/>
      <c r="G1234" s="153"/>
      <c r="H1234" s="153"/>
      <c r="I1234" s="153"/>
      <c r="J1234" s="153"/>
      <c r="K1234" s="153"/>
      <c r="L1234" s="653"/>
      <c r="M1234" s="654">
        <v>35939</v>
      </c>
      <c r="N1234" s="587">
        <v>1.1640699999999999</v>
      </c>
      <c r="O1234" s="592">
        <v>3.8600000000000001E-3</v>
      </c>
      <c r="P1234" s="190"/>
      <c r="Q1234" s="190"/>
      <c r="R1234" s="190"/>
      <c r="S1234" s="190"/>
      <c r="T1234" s="190"/>
      <c r="U1234" s="190"/>
      <c r="V1234" s="190"/>
      <c r="W1234" s="190"/>
      <c r="X1234" s="190"/>
      <c r="Y1234" s="190"/>
      <c r="Z1234" s="190"/>
      <c r="AA1234" s="190"/>
      <c r="AB1234" s="189"/>
      <c r="AC1234" s="152"/>
      <c r="AD1234" s="189"/>
      <c r="AE1234" s="189"/>
      <c r="AF1234" s="190"/>
      <c r="AG1234" s="190"/>
      <c r="AH1234" s="337"/>
      <c r="AI1234" s="190"/>
      <c r="AJ1234" s="190"/>
      <c r="AK1234" s="190"/>
      <c r="AL1234" s="189"/>
      <c r="AM1234" s="189"/>
      <c r="AN1234" s="189"/>
      <c r="AO1234" s="189"/>
      <c r="AP1234" s="189"/>
      <c r="AQ1234" s="189"/>
      <c r="AR1234" s="189"/>
      <c r="AS1234" s="189"/>
      <c r="AT1234" s="189"/>
      <c r="AU1234" s="190"/>
      <c r="AV1234" s="190"/>
      <c r="AW1234" s="190"/>
      <c r="AX1234" s="190"/>
      <c r="AY1234" s="190"/>
      <c r="AZ1234" s="189"/>
      <c r="BA1234" s="189"/>
      <c r="BB1234" s="189"/>
      <c r="BC1234" s="189"/>
      <c r="BD1234" s="189"/>
      <c r="BE1234" s="189"/>
      <c r="BF1234" s="189"/>
      <c r="BG1234" s="189"/>
      <c r="BH1234" s="189"/>
      <c r="BI1234" s="190"/>
      <c r="BJ1234" s="190"/>
      <c r="BK1234" s="190"/>
      <c r="BL1234" s="190"/>
      <c r="BM1234" s="190"/>
      <c r="BN1234" s="190"/>
      <c r="BO1234" s="190"/>
      <c r="BP1234" s="190"/>
      <c r="BQ1234" s="190"/>
      <c r="BR1234" s="190"/>
      <c r="BS1234" s="190"/>
      <c r="BT1234" s="190"/>
      <c r="BU1234" s="190"/>
      <c r="BV1234" s="190"/>
      <c r="BW1234" s="190"/>
      <c r="BX1234" s="190"/>
      <c r="BY1234" s="190"/>
      <c r="BZ1234" s="190"/>
      <c r="CA1234" s="189"/>
      <c r="CB1234" s="192"/>
    </row>
    <row r="1235" spans="1:80" x14ac:dyDescent="0.2">
      <c r="A1235" s="152"/>
      <c r="B1235" s="683"/>
      <c r="C1235" s="683"/>
      <c r="D1235" s="698"/>
      <c r="E1235" s="215"/>
      <c r="F1235" s="215"/>
      <c r="G1235" s="153"/>
      <c r="H1235" s="153"/>
      <c r="I1235" s="153"/>
      <c r="J1235" s="153"/>
      <c r="K1235" s="153"/>
      <c r="L1235" s="653"/>
      <c r="M1235" s="654">
        <v>35941</v>
      </c>
      <c r="N1235" s="587">
        <v>1.19062</v>
      </c>
      <c r="O1235" s="592">
        <v>5.8300000000000001E-3</v>
      </c>
      <c r="P1235" s="190"/>
      <c r="Q1235" s="190"/>
      <c r="R1235" s="190"/>
      <c r="S1235" s="190"/>
      <c r="T1235" s="190"/>
      <c r="U1235" s="190"/>
      <c r="V1235" s="190"/>
      <c r="W1235" s="190"/>
      <c r="X1235" s="190"/>
      <c r="Y1235" s="190"/>
      <c r="Z1235" s="190"/>
      <c r="AA1235" s="190"/>
      <c r="AB1235" s="189"/>
      <c r="AC1235" s="152"/>
      <c r="AD1235" s="189"/>
      <c r="AE1235" s="189"/>
      <c r="AF1235" s="190"/>
      <c r="AG1235" s="190"/>
      <c r="AH1235" s="337"/>
      <c r="AI1235" s="190"/>
      <c r="AJ1235" s="190"/>
      <c r="AK1235" s="190"/>
      <c r="AL1235" s="189"/>
      <c r="AM1235" s="189"/>
      <c r="AN1235" s="189"/>
      <c r="AO1235" s="189"/>
      <c r="AP1235" s="189"/>
      <c r="AQ1235" s="189"/>
      <c r="AR1235" s="189"/>
      <c r="AS1235" s="189"/>
      <c r="AT1235" s="189"/>
      <c r="AU1235" s="190"/>
      <c r="AV1235" s="190"/>
      <c r="AW1235" s="190"/>
      <c r="AX1235" s="190"/>
      <c r="AY1235" s="190"/>
      <c r="AZ1235" s="189"/>
      <c r="BA1235" s="189"/>
      <c r="BB1235" s="189"/>
      <c r="BC1235" s="189"/>
      <c r="BD1235" s="189"/>
      <c r="BE1235" s="189"/>
      <c r="BF1235" s="189"/>
      <c r="BG1235" s="189"/>
      <c r="BH1235" s="189"/>
      <c r="BI1235" s="190"/>
      <c r="BJ1235" s="190"/>
      <c r="BK1235" s="190"/>
      <c r="BL1235" s="190"/>
      <c r="BM1235" s="190"/>
      <c r="BN1235" s="190"/>
      <c r="BO1235" s="190"/>
      <c r="BP1235" s="190"/>
      <c r="BQ1235" s="190"/>
      <c r="BR1235" s="190"/>
      <c r="BS1235" s="190"/>
      <c r="BT1235" s="190"/>
      <c r="BU1235" s="190"/>
      <c r="BV1235" s="190"/>
      <c r="BW1235" s="190"/>
      <c r="BX1235" s="190"/>
      <c r="BY1235" s="190"/>
      <c r="BZ1235" s="190"/>
      <c r="CA1235" s="189"/>
      <c r="CB1235" s="192"/>
    </row>
    <row r="1236" spans="1:80" x14ac:dyDescent="0.2">
      <c r="A1236" s="152"/>
      <c r="B1236" s="683"/>
      <c r="C1236" s="683"/>
      <c r="D1236" s="698"/>
      <c r="E1236" s="215"/>
      <c r="F1236" s="215"/>
      <c r="G1236" s="153"/>
      <c r="H1236" s="153"/>
      <c r="I1236" s="153"/>
      <c r="J1236" s="153"/>
      <c r="K1236" s="153"/>
      <c r="L1236" s="653"/>
      <c r="M1236" s="654">
        <v>35941</v>
      </c>
      <c r="N1236" s="587">
        <v>1.3335699999999999</v>
      </c>
      <c r="O1236" s="592">
        <v>1.009E-2</v>
      </c>
      <c r="P1236" s="190"/>
      <c r="Q1236" s="190"/>
      <c r="R1236" s="190"/>
      <c r="S1236" s="190"/>
      <c r="T1236" s="190"/>
      <c r="U1236" s="190"/>
      <c r="V1236" s="190"/>
      <c r="W1236" s="190"/>
      <c r="X1236" s="190"/>
      <c r="Y1236" s="190"/>
      <c r="Z1236" s="190"/>
      <c r="AA1236" s="190"/>
      <c r="AB1236" s="189"/>
      <c r="AC1236" s="152"/>
      <c r="AD1236" s="189"/>
      <c r="AE1236" s="189"/>
      <c r="AF1236" s="190"/>
      <c r="AG1236" s="190"/>
      <c r="AH1236" s="337"/>
      <c r="AI1236" s="190"/>
      <c r="AJ1236" s="190"/>
      <c r="AK1236" s="190"/>
      <c r="AL1236" s="189"/>
      <c r="AM1236" s="189"/>
      <c r="AN1236" s="189"/>
      <c r="AO1236" s="189"/>
      <c r="AP1236" s="189"/>
      <c r="AQ1236" s="189"/>
      <c r="AR1236" s="189"/>
      <c r="AS1236" s="189"/>
      <c r="AT1236" s="189"/>
      <c r="AU1236" s="190"/>
      <c r="AV1236" s="190"/>
      <c r="AW1236" s="190"/>
      <c r="AX1236" s="190"/>
      <c r="AY1236" s="190"/>
      <c r="AZ1236" s="189"/>
      <c r="BA1236" s="189"/>
      <c r="BB1236" s="189"/>
      <c r="BC1236" s="189"/>
      <c r="BD1236" s="189"/>
      <c r="BE1236" s="189"/>
      <c r="BF1236" s="189"/>
      <c r="BG1236" s="189"/>
      <c r="BH1236" s="189"/>
      <c r="BI1236" s="190"/>
      <c r="BJ1236" s="190"/>
      <c r="BK1236" s="190"/>
      <c r="BL1236" s="190"/>
      <c r="BM1236" s="190"/>
      <c r="BN1236" s="190"/>
      <c r="BO1236" s="190"/>
      <c r="BP1236" s="190"/>
      <c r="BQ1236" s="190"/>
      <c r="BR1236" s="190"/>
      <c r="BS1236" s="190"/>
      <c r="BT1236" s="190"/>
      <c r="BU1236" s="190"/>
      <c r="BV1236" s="190"/>
      <c r="BW1236" s="190"/>
      <c r="BX1236" s="190"/>
      <c r="BY1236" s="190"/>
      <c r="BZ1236" s="190"/>
      <c r="CA1236" s="189"/>
      <c r="CB1236" s="192"/>
    </row>
    <row r="1237" spans="1:80" x14ac:dyDescent="0.2">
      <c r="A1237" s="152"/>
      <c r="B1237" s="683"/>
      <c r="C1237" s="683"/>
      <c r="D1237" s="698"/>
      <c r="E1237" s="215"/>
      <c r="F1237" s="215"/>
      <c r="G1237" s="153"/>
      <c r="H1237" s="153"/>
      <c r="I1237" s="153"/>
      <c r="J1237" s="153"/>
      <c r="K1237" s="153"/>
      <c r="L1237" s="653"/>
      <c r="M1237" s="654">
        <v>35942</v>
      </c>
      <c r="N1237" s="587">
        <v>1.35399</v>
      </c>
      <c r="O1237" s="592">
        <v>1.6629999999999999E-2</v>
      </c>
      <c r="P1237" s="190"/>
      <c r="Q1237" s="190"/>
      <c r="R1237" s="190"/>
      <c r="S1237" s="190"/>
      <c r="T1237" s="190"/>
      <c r="U1237" s="190"/>
      <c r="V1237" s="190"/>
      <c r="W1237" s="190"/>
      <c r="X1237" s="190"/>
      <c r="Y1237" s="190"/>
      <c r="Z1237" s="190"/>
      <c r="AA1237" s="190"/>
      <c r="AB1237" s="189"/>
      <c r="AC1237" s="152"/>
      <c r="AD1237" s="189"/>
      <c r="AE1237" s="189"/>
      <c r="AF1237" s="190"/>
      <c r="AG1237" s="190"/>
      <c r="AH1237" s="337"/>
      <c r="AI1237" s="190"/>
      <c r="AJ1237" s="190"/>
      <c r="AK1237" s="190"/>
      <c r="AL1237" s="189"/>
      <c r="AM1237" s="189"/>
      <c r="AN1237" s="189"/>
      <c r="AO1237" s="189"/>
      <c r="AP1237" s="189"/>
      <c r="AQ1237" s="189"/>
      <c r="AR1237" s="189"/>
      <c r="AS1237" s="189"/>
      <c r="AT1237" s="189"/>
      <c r="AU1237" s="190"/>
      <c r="AV1237" s="190"/>
      <c r="AW1237" s="190"/>
      <c r="AX1237" s="190"/>
      <c r="AY1237" s="190"/>
      <c r="AZ1237" s="189"/>
      <c r="BA1237" s="189"/>
      <c r="BB1237" s="189"/>
      <c r="BC1237" s="189"/>
      <c r="BD1237" s="189"/>
      <c r="BE1237" s="189"/>
      <c r="BF1237" s="189"/>
      <c r="BG1237" s="189"/>
      <c r="BH1237" s="189"/>
      <c r="BI1237" s="190"/>
      <c r="BJ1237" s="190"/>
      <c r="BK1237" s="190"/>
      <c r="BL1237" s="190"/>
      <c r="BM1237" s="190"/>
      <c r="BN1237" s="190"/>
      <c r="BO1237" s="190"/>
      <c r="BP1237" s="190"/>
      <c r="BQ1237" s="190"/>
      <c r="BR1237" s="190"/>
      <c r="BS1237" s="190"/>
      <c r="BT1237" s="190"/>
      <c r="BU1237" s="190"/>
      <c r="BV1237" s="190"/>
      <c r="BW1237" s="190"/>
      <c r="BX1237" s="190"/>
      <c r="BY1237" s="190"/>
      <c r="BZ1237" s="190"/>
      <c r="CA1237" s="189"/>
      <c r="CB1237" s="192"/>
    </row>
    <row r="1238" spans="1:80" x14ac:dyDescent="0.2">
      <c r="A1238" s="152"/>
      <c r="B1238" s="683"/>
      <c r="C1238" s="683"/>
      <c r="D1238" s="698"/>
      <c r="E1238" s="215"/>
      <c r="F1238" s="215"/>
      <c r="G1238" s="153"/>
      <c r="H1238" s="153"/>
      <c r="I1238" s="153"/>
      <c r="J1238" s="153"/>
      <c r="K1238" s="153"/>
      <c r="L1238" s="653"/>
      <c r="M1238" s="654">
        <v>35943</v>
      </c>
      <c r="N1238" s="587">
        <v>1.2825200000000001</v>
      </c>
      <c r="O1238" s="592">
        <v>1.5959999999999998E-2</v>
      </c>
      <c r="P1238" s="190"/>
      <c r="Q1238" s="190"/>
      <c r="R1238" s="190"/>
      <c r="S1238" s="190"/>
      <c r="T1238" s="190"/>
      <c r="U1238" s="190"/>
      <c r="V1238" s="190"/>
      <c r="W1238" s="190"/>
      <c r="X1238" s="190"/>
      <c r="Y1238" s="190"/>
      <c r="Z1238" s="190"/>
      <c r="AA1238" s="190"/>
      <c r="AB1238" s="189"/>
      <c r="AC1238" s="152"/>
      <c r="AD1238" s="189"/>
      <c r="AE1238" s="189"/>
      <c r="AF1238" s="190"/>
      <c r="AG1238" s="190"/>
      <c r="AH1238" s="337"/>
      <c r="AI1238" s="190"/>
      <c r="AJ1238" s="190"/>
      <c r="AK1238" s="190"/>
      <c r="AL1238" s="189"/>
      <c r="AM1238" s="189"/>
      <c r="AN1238" s="189"/>
      <c r="AO1238" s="189"/>
      <c r="AP1238" s="189"/>
      <c r="AQ1238" s="189"/>
      <c r="AR1238" s="189"/>
      <c r="AS1238" s="189"/>
      <c r="AT1238" s="189"/>
      <c r="AU1238" s="190"/>
      <c r="AV1238" s="190"/>
      <c r="AW1238" s="190"/>
      <c r="AX1238" s="190"/>
      <c r="AY1238" s="190"/>
      <c r="AZ1238" s="189"/>
      <c r="BA1238" s="189"/>
      <c r="BB1238" s="189"/>
      <c r="BC1238" s="189"/>
      <c r="BD1238" s="189"/>
      <c r="BE1238" s="189"/>
      <c r="BF1238" s="189"/>
      <c r="BG1238" s="189"/>
      <c r="BH1238" s="189"/>
      <c r="BI1238" s="190"/>
      <c r="BJ1238" s="190"/>
      <c r="BK1238" s="190"/>
      <c r="BL1238" s="190"/>
      <c r="BM1238" s="190"/>
      <c r="BN1238" s="190"/>
      <c r="BO1238" s="190"/>
      <c r="BP1238" s="190"/>
      <c r="BQ1238" s="190"/>
      <c r="BR1238" s="190"/>
      <c r="BS1238" s="190"/>
      <c r="BT1238" s="190"/>
      <c r="BU1238" s="190"/>
      <c r="BV1238" s="190"/>
      <c r="BW1238" s="190"/>
      <c r="BX1238" s="190"/>
      <c r="BY1238" s="190"/>
      <c r="BZ1238" s="190"/>
      <c r="CA1238" s="189"/>
      <c r="CB1238" s="192"/>
    </row>
    <row r="1239" spans="1:80" x14ac:dyDescent="0.2">
      <c r="A1239" s="152"/>
      <c r="B1239" s="683"/>
      <c r="C1239" s="683"/>
      <c r="D1239" s="698"/>
      <c r="E1239" s="215"/>
      <c r="F1239" s="215"/>
      <c r="G1239" s="153"/>
      <c r="H1239" s="153"/>
      <c r="I1239" s="153"/>
      <c r="J1239" s="153"/>
      <c r="K1239" s="153"/>
      <c r="L1239" s="653"/>
      <c r="M1239" s="654">
        <v>35943</v>
      </c>
      <c r="N1239" s="587">
        <v>1.5684199999999999</v>
      </c>
      <c r="O1239" s="592">
        <v>3.2669999999999998E-2</v>
      </c>
      <c r="P1239" s="190"/>
      <c r="Q1239" s="190"/>
      <c r="R1239" s="190"/>
      <c r="S1239" s="190"/>
      <c r="T1239" s="190"/>
      <c r="U1239" s="190"/>
      <c r="V1239" s="190"/>
      <c r="W1239" s="190"/>
      <c r="X1239" s="190"/>
      <c r="Y1239" s="190"/>
      <c r="Z1239" s="190"/>
      <c r="AA1239" s="190"/>
      <c r="AB1239" s="189"/>
      <c r="AC1239" s="152"/>
      <c r="AD1239" s="189"/>
      <c r="AE1239" s="189"/>
      <c r="AF1239" s="190"/>
      <c r="AG1239" s="190"/>
      <c r="AH1239" s="337"/>
      <c r="AI1239" s="190"/>
      <c r="AJ1239" s="190"/>
      <c r="AK1239" s="190"/>
      <c r="AL1239" s="189"/>
      <c r="AM1239" s="189"/>
      <c r="AN1239" s="189"/>
      <c r="AO1239" s="189"/>
      <c r="AP1239" s="189"/>
      <c r="AQ1239" s="189"/>
      <c r="AR1239" s="189"/>
      <c r="AS1239" s="189"/>
      <c r="AT1239" s="189"/>
      <c r="AU1239" s="190"/>
      <c r="AV1239" s="190"/>
      <c r="AW1239" s="190"/>
      <c r="AX1239" s="190"/>
      <c r="AY1239" s="190"/>
      <c r="AZ1239" s="189"/>
      <c r="BA1239" s="189"/>
      <c r="BB1239" s="189"/>
      <c r="BC1239" s="189"/>
      <c r="BD1239" s="189"/>
      <c r="BE1239" s="189"/>
      <c r="BF1239" s="189"/>
      <c r="BG1239" s="189"/>
      <c r="BH1239" s="189"/>
      <c r="BI1239" s="190"/>
      <c r="BJ1239" s="190"/>
      <c r="BK1239" s="190"/>
      <c r="BL1239" s="190"/>
      <c r="BM1239" s="190"/>
      <c r="BN1239" s="190"/>
      <c r="BO1239" s="190"/>
      <c r="BP1239" s="190"/>
      <c r="BQ1239" s="190"/>
      <c r="BR1239" s="190"/>
      <c r="BS1239" s="190"/>
      <c r="BT1239" s="190"/>
      <c r="BU1239" s="190"/>
      <c r="BV1239" s="190"/>
      <c r="BW1239" s="190"/>
      <c r="BX1239" s="190"/>
      <c r="BY1239" s="190"/>
      <c r="BZ1239" s="190"/>
      <c r="CA1239" s="189"/>
      <c r="CB1239" s="192"/>
    </row>
    <row r="1240" spans="1:80" x14ac:dyDescent="0.2">
      <c r="A1240" s="152"/>
      <c r="B1240" s="683"/>
      <c r="C1240" s="683"/>
      <c r="D1240" s="698"/>
      <c r="E1240" s="215"/>
      <c r="F1240" s="215"/>
      <c r="G1240" s="153"/>
      <c r="H1240" s="153"/>
      <c r="I1240" s="153"/>
      <c r="J1240" s="153"/>
      <c r="K1240" s="153"/>
      <c r="L1240" s="653"/>
      <c r="M1240" s="654">
        <v>35944</v>
      </c>
      <c r="N1240" s="587">
        <v>1.38463</v>
      </c>
      <c r="O1240" s="592">
        <v>1.4919999999999999E-2</v>
      </c>
      <c r="P1240" s="190"/>
      <c r="Q1240" s="190"/>
      <c r="R1240" s="190"/>
      <c r="S1240" s="190"/>
      <c r="T1240" s="190"/>
      <c r="U1240" s="190"/>
      <c r="V1240" s="190"/>
      <c r="W1240" s="190"/>
      <c r="X1240" s="190"/>
      <c r="Y1240" s="190"/>
      <c r="Z1240" s="190"/>
      <c r="AA1240" s="190"/>
      <c r="AB1240" s="189"/>
      <c r="AC1240" s="152"/>
      <c r="AD1240" s="189"/>
      <c r="AE1240" s="189"/>
      <c r="AF1240" s="190"/>
      <c r="AG1240" s="190"/>
      <c r="AH1240" s="337"/>
      <c r="AI1240" s="190"/>
      <c r="AJ1240" s="190"/>
      <c r="AK1240" s="190"/>
      <c r="AL1240" s="189"/>
      <c r="AM1240" s="189"/>
      <c r="AN1240" s="189"/>
      <c r="AO1240" s="189"/>
      <c r="AP1240" s="189"/>
      <c r="AQ1240" s="189"/>
      <c r="AR1240" s="189"/>
      <c r="AS1240" s="189"/>
      <c r="AT1240" s="189"/>
      <c r="AU1240" s="190"/>
      <c r="AV1240" s="190"/>
      <c r="AW1240" s="190"/>
      <c r="AX1240" s="190"/>
      <c r="AY1240" s="190"/>
      <c r="AZ1240" s="189"/>
      <c r="BA1240" s="189"/>
      <c r="BB1240" s="189"/>
      <c r="BC1240" s="189"/>
      <c r="BD1240" s="189"/>
      <c r="BE1240" s="189"/>
      <c r="BF1240" s="189"/>
      <c r="BG1240" s="189"/>
      <c r="BH1240" s="189"/>
      <c r="BI1240" s="190"/>
      <c r="BJ1240" s="190"/>
      <c r="BK1240" s="190"/>
      <c r="BL1240" s="190"/>
      <c r="BM1240" s="190"/>
      <c r="BN1240" s="190"/>
      <c r="BO1240" s="190"/>
      <c r="BP1240" s="190"/>
      <c r="BQ1240" s="190"/>
      <c r="BR1240" s="190"/>
      <c r="BS1240" s="190"/>
      <c r="BT1240" s="190"/>
      <c r="BU1240" s="190"/>
      <c r="BV1240" s="190"/>
      <c r="BW1240" s="190"/>
      <c r="BX1240" s="190"/>
      <c r="BY1240" s="190"/>
      <c r="BZ1240" s="190"/>
      <c r="CA1240" s="189"/>
      <c r="CB1240" s="192"/>
    </row>
    <row r="1241" spans="1:80" x14ac:dyDescent="0.2">
      <c r="A1241" s="152"/>
      <c r="B1241" s="683"/>
      <c r="C1241" s="683"/>
      <c r="D1241" s="698"/>
      <c r="E1241" s="215"/>
      <c r="F1241" s="215"/>
      <c r="G1241" s="153"/>
      <c r="H1241" s="153"/>
      <c r="I1241" s="153"/>
      <c r="J1241" s="153"/>
      <c r="K1241" s="153"/>
      <c r="L1241" s="653"/>
      <c r="M1241" s="654">
        <v>35947</v>
      </c>
      <c r="N1241" s="587">
        <v>1.3233600000000001</v>
      </c>
      <c r="O1241" s="592">
        <v>1.984E-2</v>
      </c>
      <c r="P1241" s="190"/>
      <c r="Q1241" s="190"/>
      <c r="R1241" s="190"/>
      <c r="S1241" s="190"/>
      <c r="T1241" s="190"/>
      <c r="U1241" s="190"/>
      <c r="V1241" s="190"/>
      <c r="W1241" s="190"/>
      <c r="X1241" s="190"/>
      <c r="Y1241" s="190"/>
      <c r="Z1241" s="190"/>
      <c r="AA1241" s="190"/>
      <c r="AB1241" s="189"/>
      <c r="AC1241" s="152"/>
      <c r="AD1241" s="189"/>
      <c r="AE1241" s="189"/>
      <c r="AF1241" s="190"/>
      <c r="AG1241" s="190"/>
      <c r="AH1241" s="337"/>
      <c r="AI1241" s="190"/>
      <c r="AJ1241" s="190"/>
      <c r="AK1241" s="190"/>
      <c r="AL1241" s="189"/>
      <c r="AM1241" s="189"/>
      <c r="AN1241" s="189"/>
      <c r="AO1241" s="189"/>
      <c r="AP1241" s="189"/>
      <c r="AQ1241" s="189"/>
      <c r="AR1241" s="189"/>
      <c r="AS1241" s="189"/>
      <c r="AT1241" s="189"/>
      <c r="AU1241" s="190"/>
      <c r="AV1241" s="190"/>
      <c r="AW1241" s="190"/>
      <c r="AX1241" s="190"/>
      <c r="AY1241" s="190"/>
      <c r="AZ1241" s="189"/>
      <c r="BA1241" s="189"/>
      <c r="BB1241" s="189"/>
      <c r="BC1241" s="189"/>
      <c r="BD1241" s="189"/>
      <c r="BE1241" s="189"/>
      <c r="BF1241" s="189"/>
      <c r="BG1241" s="189"/>
      <c r="BH1241" s="189"/>
      <c r="BI1241" s="190"/>
      <c r="BJ1241" s="190"/>
      <c r="BK1241" s="190"/>
      <c r="BL1241" s="190"/>
      <c r="BM1241" s="190"/>
      <c r="BN1241" s="190"/>
      <c r="BO1241" s="190"/>
      <c r="BP1241" s="190"/>
      <c r="BQ1241" s="190"/>
      <c r="BR1241" s="190"/>
      <c r="BS1241" s="190"/>
      <c r="BT1241" s="190"/>
      <c r="BU1241" s="190"/>
      <c r="BV1241" s="190"/>
      <c r="BW1241" s="190"/>
      <c r="BX1241" s="190"/>
      <c r="BY1241" s="190"/>
      <c r="BZ1241" s="190"/>
      <c r="CA1241" s="189"/>
      <c r="CB1241" s="192"/>
    </row>
    <row r="1242" spans="1:80" x14ac:dyDescent="0.2">
      <c r="A1242" s="152"/>
      <c r="B1242" s="683"/>
      <c r="C1242" s="683"/>
      <c r="D1242" s="698"/>
      <c r="E1242" s="215"/>
      <c r="F1242" s="215"/>
      <c r="G1242" s="153"/>
      <c r="H1242" s="153"/>
      <c r="I1242" s="153"/>
      <c r="J1242" s="153"/>
      <c r="K1242" s="153"/>
      <c r="L1242" s="653"/>
      <c r="M1242" s="654">
        <v>35947</v>
      </c>
      <c r="N1242" s="587">
        <v>1.60927</v>
      </c>
      <c r="O1242" s="592">
        <v>2.8809999999999999E-2</v>
      </c>
      <c r="P1242" s="190"/>
      <c r="Q1242" s="190"/>
      <c r="R1242" s="190"/>
      <c r="S1242" s="190"/>
      <c r="T1242" s="190"/>
      <c r="U1242" s="190"/>
      <c r="V1242" s="190"/>
      <c r="W1242" s="190"/>
      <c r="X1242" s="190"/>
      <c r="Y1242" s="190"/>
      <c r="Z1242" s="190"/>
      <c r="AA1242" s="190"/>
      <c r="AB1242" s="189"/>
      <c r="AC1242" s="152"/>
      <c r="AD1242" s="189"/>
      <c r="AE1242" s="189"/>
      <c r="AF1242" s="190"/>
      <c r="AG1242" s="190"/>
      <c r="AH1242" s="337"/>
      <c r="AI1242" s="190"/>
      <c r="AJ1242" s="190"/>
      <c r="AK1242" s="190"/>
      <c r="AL1242" s="189"/>
      <c r="AM1242" s="189"/>
      <c r="AN1242" s="189"/>
      <c r="AO1242" s="189"/>
      <c r="AP1242" s="189"/>
      <c r="AQ1242" s="189"/>
      <c r="AR1242" s="189"/>
      <c r="AS1242" s="189"/>
      <c r="AT1242" s="189"/>
      <c r="AU1242" s="190"/>
      <c r="AV1242" s="190"/>
      <c r="AW1242" s="190"/>
      <c r="AX1242" s="190"/>
      <c r="AY1242" s="190"/>
      <c r="AZ1242" s="189"/>
      <c r="BA1242" s="189"/>
      <c r="BB1242" s="189"/>
      <c r="BC1242" s="189"/>
      <c r="BD1242" s="189"/>
      <c r="BE1242" s="189"/>
      <c r="BF1242" s="189"/>
      <c r="BG1242" s="189"/>
      <c r="BH1242" s="189"/>
      <c r="BI1242" s="190"/>
      <c r="BJ1242" s="190"/>
      <c r="BK1242" s="190"/>
      <c r="BL1242" s="190"/>
      <c r="BM1242" s="190"/>
      <c r="BN1242" s="190"/>
      <c r="BO1242" s="190"/>
      <c r="BP1242" s="190"/>
      <c r="BQ1242" s="190"/>
      <c r="BR1242" s="190"/>
      <c r="BS1242" s="190"/>
      <c r="BT1242" s="190"/>
      <c r="BU1242" s="190"/>
      <c r="BV1242" s="190"/>
      <c r="BW1242" s="190"/>
      <c r="BX1242" s="190"/>
      <c r="BY1242" s="190"/>
      <c r="BZ1242" s="190"/>
      <c r="CA1242" s="189"/>
      <c r="CB1242" s="192"/>
    </row>
    <row r="1243" spans="1:80" x14ac:dyDescent="0.2">
      <c r="A1243" s="152"/>
      <c r="B1243" s="683"/>
      <c r="C1243" s="683"/>
      <c r="D1243" s="698"/>
      <c r="E1243" s="215"/>
      <c r="F1243" s="215"/>
      <c r="G1243" s="153"/>
      <c r="H1243" s="153"/>
      <c r="I1243" s="153"/>
      <c r="J1243" s="153"/>
      <c r="K1243" s="153"/>
      <c r="L1243" s="653"/>
      <c r="M1243" s="654">
        <v>35948</v>
      </c>
      <c r="N1243" s="587">
        <v>1.3233600000000001</v>
      </c>
      <c r="O1243" s="592">
        <v>1.0460000000000001E-2</v>
      </c>
      <c r="P1243" s="190"/>
      <c r="Q1243" s="190"/>
      <c r="R1243" s="190"/>
      <c r="S1243" s="190"/>
      <c r="T1243" s="190"/>
      <c r="U1243" s="190"/>
      <c r="V1243" s="190"/>
      <c r="W1243" s="190"/>
      <c r="X1243" s="190"/>
      <c r="Y1243" s="190"/>
      <c r="Z1243" s="190"/>
      <c r="AA1243" s="190"/>
      <c r="AB1243" s="189"/>
      <c r="AC1243" s="152"/>
      <c r="AD1243" s="189"/>
      <c r="AE1243" s="189"/>
      <c r="AF1243" s="190"/>
      <c r="AG1243" s="190"/>
      <c r="AH1243" s="337"/>
      <c r="AI1243" s="190"/>
      <c r="AJ1243" s="190"/>
      <c r="AK1243" s="190"/>
      <c r="AL1243" s="189"/>
      <c r="AM1243" s="189"/>
      <c r="AN1243" s="189"/>
      <c r="AO1243" s="189"/>
      <c r="AP1243" s="189"/>
      <c r="AQ1243" s="189"/>
      <c r="AR1243" s="189"/>
      <c r="AS1243" s="189"/>
      <c r="AT1243" s="189"/>
      <c r="AU1243" s="190"/>
      <c r="AV1243" s="190"/>
      <c r="AW1243" s="190"/>
      <c r="AX1243" s="190"/>
      <c r="AY1243" s="190"/>
      <c r="AZ1243" s="189"/>
      <c r="BA1243" s="189"/>
      <c r="BB1243" s="189"/>
      <c r="BC1243" s="189"/>
      <c r="BD1243" s="189"/>
      <c r="BE1243" s="189"/>
      <c r="BF1243" s="189"/>
      <c r="BG1243" s="189"/>
      <c r="BH1243" s="189"/>
      <c r="BI1243" s="190"/>
      <c r="BJ1243" s="190"/>
      <c r="BK1243" s="190"/>
      <c r="BL1243" s="190"/>
      <c r="BM1243" s="190"/>
      <c r="BN1243" s="190"/>
      <c r="BO1243" s="190"/>
      <c r="BP1243" s="190"/>
      <c r="BQ1243" s="190"/>
      <c r="BR1243" s="190"/>
      <c r="BS1243" s="190"/>
      <c r="BT1243" s="190"/>
      <c r="BU1243" s="190"/>
      <c r="BV1243" s="190"/>
      <c r="BW1243" s="190"/>
      <c r="BX1243" s="190"/>
      <c r="BY1243" s="190"/>
      <c r="BZ1243" s="190"/>
      <c r="CA1243" s="189"/>
      <c r="CB1243" s="192"/>
    </row>
    <row r="1244" spans="1:80" x14ac:dyDescent="0.2">
      <c r="A1244" s="152"/>
      <c r="B1244" s="683"/>
      <c r="C1244" s="683"/>
      <c r="D1244" s="698"/>
      <c r="E1244" s="215"/>
      <c r="F1244" s="215"/>
      <c r="G1244" s="153"/>
      <c r="H1244" s="153"/>
      <c r="I1244" s="153"/>
      <c r="J1244" s="153"/>
      <c r="K1244" s="153"/>
      <c r="L1244" s="653"/>
      <c r="M1244" s="654">
        <v>35948</v>
      </c>
      <c r="N1244" s="587">
        <v>1.69096</v>
      </c>
      <c r="O1244" s="592">
        <v>2.2159999999999999E-2</v>
      </c>
      <c r="P1244" s="190"/>
      <c r="Q1244" s="190"/>
      <c r="R1244" s="190"/>
      <c r="S1244" s="190"/>
      <c r="T1244" s="190"/>
      <c r="U1244" s="190"/>
      <c r="V1244" s="190"/>
      <c r="W1244" s="190"/>
      <c r="X1244" s="190"/>
      <c r="Y1244" s="190"/>
      <c r="Z1244" s="190"/>
      <c r="AA1244" s="190"/>
      <c r="AB1244" s="189"/>
      <c r="AC1244" s="152"/>
      <c r="AD1244" s="189"/>
      <c r="AE1244" s="189"/>
      <c r="AF1244" s="190"/>
      <c r="AG1244" s="190"/>
      <c r="AH1244" s="337"/>
      <c r="AI1244" s="190"/>
      <c r="AJ1244" s="190"/>
      <c r="AK1244" s="190"/>
      <c r="AL1244" s="189"/>
      <c r="AM1244" s="189"/>
      <c r="AN1244" s="189"/>
      <c r="AO1244" s="189"/>
      <c r="AP1244" s="189"/>
      <c r="AQ1244" s="189"/>
      <c r="AR1244" s="189"/>
      <c r="AS1244" s="189"/>
      <c r="AT1244" s="189"/>
      <c r="AU1244" s="190"/>
      <c r="AV1244" s="190"/>
      <c r="AW1244" s="190"/>
      <c r="AX1244" s="190"/>
      <c r="AY1244" s="190"/>
      <c r="AZ1244" s="189"/>
      <c r="BA1244" s="189"/>
      <c r="BB1244" s="189"/>
      <c r="BC1244" s="189"/>
      <c r="BD1244" s="189"/>
      <c r="BE1244" s="189"/>
      <c r="BF1244" s="189"/>
      <c r="BG1244" s="189"/>
      <c r="BH1244" s="189"/>
      <c r="BI1244" s="190"/>
      <c r="BJ1244" s="190"/>
      <c r="BK1244" s="190"/>
      <c r="BL1244" s="190"/>
      <c r="BM1244" s="190"/>
      <c r="BN1244" s="190"/>
      <c r="BO1244" s="190"/>
      <c r="BP1244" s="190"/>
      <c r="BQ1244" s="190"/>
      <c r="BR1244" s="190"/>
      <c r="BS1244" s="190"/>
      <c r="BT1244" s="190"/>
      <c r="BU1244" s="190"/>
      <c r="BV1244" s="190"/>
      <c r="BW1244" s="190"/>
      <c r="BX1244" s="190"/>
      <c r="BY1244" s="190"/>
      <c r="BZ1244" s="190"/>
      <c r="CA1244" s="189"/>
      <c r="CB1244" s="192"/>
    </row>
    <row r="1245" spans="1:80" x14ac:dyDescent="0.2">
      <c r="A1245" s="152"/>
      <c r="B1245" s="683"/>
      <c r="C1245" s="683"/>
      <c r="D1245" s="698"/>
      <c r="E1245" s="215"/>
      <c r="F1245" s="215"/>
      <c r="G1245" s="153"/>
      <c r="H1245" s="153"/>
      <c r="I1245" s="153"/>
      <c r="J1245" s="153"/>
      <c r="K1245" s="153"/>
      <c r="L1245" s="653"/>
      <c r="M1245" s="654">
        <v>35949</v>
      </c>
      <c r="N1245" s="587">
        <v>1.3948400000000001</v>
      </c>
      <c r="O1245" s="592">
        <v>2.087E-2</v>
      </c>
      <c r="P1245" s="190"/>
      <c r="Q1245" s="190"/>
      <c r="R1245" s="190"/>
      <c r="S1245" s="190"/>
      <c r="T1245" s="190"/>
      <c r="U1245" s="190"/>
      <c r="V1245" s="190"/>
      <c r="W1245" s="190"/>
      <c r="X1245" s="190"/>
      <c r="Y1245" s="190"/>
      <c r="Z1245" s="190"/>
      <c r="AA1245" s="190"/>
      <c r="AB1245" s="189"/>
      <c r="AC1245" s="152"/>
      <c r="AD1245" s="189"/>
      <c r="AE1245" s="189"/>
      <c r="AF1245" s="190"/>
      <c r="AG1245" s="190"/>
      <c r="AH1245" s="337"/>
      <c r="AI1245" s="190"/>
      <c r="AJ1245" s="190"/>
      <c r="AK1245" s="190"/>
      <c r="AL1245" s="189"/>
      <c r="AM1245" s="189"/>
      <c r="AN1245" s="189"/>
      <c r="AO1245" s="189"/>
      <c r="AP1245" s="189"/>
      <c r="AQ1245" s="189"/>
      <c r="AR1245" s="189"/>
      <c r="AS1245" s="189"/>
      <c r="AT1245" s="189"/>
      <c r="AU1245" s="190"/>
      <c r="AV1245" s="190"/>
      <c r="AW1245" s="190"/>
      <c r="AX1245" s="190"/>
      <c r="AY1245" s="190"/>
      <c r="AZ1245" s="189"/>
      <c r="BA1245" s="189"/>
      <c r="BB1245" s="189"/>
      <c r="BC1245" s="189"/>
      <c r="BD1245" s="189"/>
      <c r="BE1245" s="189"/>
      <c r="BF1245" s="189"/>
      <c r="BG1245" s="189"/>
      <c r="BH1245" s="189"/>
      <c r="BI1245" s="190"/>
      <c r="BJ1245" s="190"/>
      <c r="BK1245" s="190"/>
      <c r="BL1245" s="190"/>
      <c r="BM1245" s="190"/>
      <c r="BN1245" s="190"/>
      <c r="BO1245" s="190"/>
      <c r="BP1245" s="190"/>
      <c r="BQ1245" s="190"/>
      <c r="BR1245" s="190"/>
      <c r="BS1245" s="190"/>
      <c r="BT1245" s="190"/>
      <c r="BU1245" s="190"/>
      <c r="BV1245" s="190"/>
      <c r="BW1245" s="190"/>
      <c r="BX1245" s="190"/>
      <c r="BY1245" s="190"/>
      <c r="BZ1245" s="190"/>
      <c r="CA1245" s="189"/>
      <c r="CB1245" s="192"/>
    </row>
    <row r="1246" spans="1:80" x14ac:dyDescent="0.2">
      <c r="A1246" s="152"/>
      <c r="B1246" s="683"/>
      <c r="C1246" s="683"/>
      <c r="D1246" s="698"/>
      <c r="E1246" s="215"/>
      <c r="F1246" s="215"/>
      <c r="G1246" s="153"/>
      <c r="H1246" s="153"/>
      <c r="I1246" s="153"/>
      <c r="J1246" s="153"/>
      <c r="K1246" s="153"/>
      <c r="L1246" s="653"/>
      <c r="M1246" s="654">
        <v>35949</v>
      </c>
      <c r="N1246" s="587">
        <v>1.69096</v>
      </c>
      <c r="O1246" s="592">
        <v>3.8080000000000003E-2</v>
      </c>
      <c r="P1246" s="190"/>
      <c r="Q1246" s="190"/>
      <c r="R1246" s="190"/>
      <c r="S1246" s="190"/>
      <c r="T1246" s="190"/>
      <c r="U1246" s="190"/>
      <c r="V1246" s="190"/>
      <c r="W1246" s="190"/>
      <c r="X1246" s="190"/>
      <c r="Y1246" s="190"/>
      <c r="Z1246" s="190"/>
      <c r="AA1246" s="190"/>
      <c r="AB1246" s="189"/>
      <c r="AC1246" s="152"/>
      <c r="AD1246" s="189"/>
      <c r="AE1246" s="189"/>
      <c r="AF1246" s="190"/>
      <c r="AG1246" s="190"/>
      <c r="AH1246" s="337"/>
      <c r="AI1246" s="190"/>
      <c r="AJ1246" s="190"/>
      <c r="AK1246" s="190"/>
      <c r="AL1246" s="189"/>
      <c r="AM1246" s="189"/>
      <c r="AN1246" s="189"/>
      <c r="AO1246" s="189"/>
      <c r="AP1246" s="189"/>
      <c r="AQ1246" s="189"/>
      <c r="AR1246" s="189"/>
      <c r="AS1246" s="189"/>
      <c r="AT1246" s="189"/>
      <c r="AU1246" s="190"/>
      <c r="AV1246" s="190"/>
      <c r="AW1246" s="190"/>
      <c r="AX1246" s="190"/>
      <c r="AY1246" s="190"/>
      <c r="AZ1246" s="189"/>
      <c r="BA1246" s="189"/>
      <c r="BB1246" s="189"/>
      <c r="BC1246" s="189"/>
      <c r="BD1246" s="189"/>
      <c r="BE1246" s="189"/>
      <c r="BF1246" s="189"/>
      <c r="BG1246" s="189"/>
      <c r="BH1246" s="189"/>
      <c r="BI1246" s="190"/>
      <c r="BJ1246" s="190"/>
      <c r="BK1246" s="190"/>
      <c r="BL1246" s="190"/>
      <c r="BM1246" s="190"/>
      <c r="BN1246" s="190"/>
      <c r="BO1246" s="190"/>
      <c r="BP1246" s="190"/>
      <c r="BQ1246" s="190"/>
      <c r="BR1246" s="190"/>
      <c r="BS1246" s="190"/>
      <c r="BT1246" s="190"/>
      <c r="BU1246" s="190"/>
      <c r="BV1246" s="190"/>
      <c r="BW1246" s="190"/>
      <c r="BX1246" s="190"/>
      <c r="BY1246" s="190"/>
      <c r="BZ1246" s="190"/>
      <c r="CA1246" s="189"/>
      <c r="CB1246" s="192"/>
    </row>
    <row r="1247" spans="1:80" x14ac:dyDescent="0.2">
      <c r="A1247" s="152"/>
      <c r="B1247" s="683"/>
      <c r="C1247" s="683"/>
      <c r="D1247" s="698"/>
      <c r="E1247" s="215"/>
      <c r="F1247" s="215"/>
      <c r="G1247" s="153"/>
      <c r="H1247" s="153"/>
      <c r="I1247" s="153"/>
      <c r="J1247" s="153"/>
      <c r="K1247" s="153"/>
      <c r="L1247" s="653"/>
      <c r="M1247" s="654">
        <v>35950</v>
      </c>
      <c r="N1247" s="587">
        <v>1.2825200000000001</v>
      </c>
      <c r="O1247" s="592">
        <v>7.7400000000000004E-3</v>
      </c>
      <c r="P1247" s="190"/>
      <c r="Q1247" s="190"/>
      <c r="R1247" s="190"/>
      <c r="S1247" s="190"/>
      <c r="T1247" s="190"/>
      <c r="U1247" s="190"/>
      <c r="V1247" s="190"/>
      <c r="W1247" s="190"/>
      <c r="X1247" s="190"/>
      <c r="Y1247" s="190"/>
      <c r="Z1247" s="190"/>
      <c r="AA1247" s="190"/>
      <c r="AB1247" s="189"/>
      <c r="AC1247" s="152"/>
      <c r="AD1247" s="189"/>
      <c r="AE1247" s="189"/>
      <c r="AF1247" s="190"/>
      <c r="AG1247" s="190"/>
      <c r="AH1247" s="337"/>
      <c r="AI1247" s="190"/>
      <c r="AJ1247" s="190"/>
      <c r="AK1247" s="190"/>
      <c r="AL1247" s="189"/>
      <c r="AM1247" s="189"/>
      <c r="AN1247" s="189"/>
      <c r="AO1247" s="189"/>
      <c r="AP1247" s="189"/>
      <c r="AQ1247" s="189"/>
      <c r="AR1247" s="189"/>
      <c r="AS1247" s="189"/>
      <c r="AT1247" s="189"/>
      <c r="AU1247" s="190"/>
      <c r="AV1247" s="190"/>
      <c r="AW1247" s="190"/>
      <c r="AX1247" s="190"/>
      <c r="AY1247" s="190"/>
      <c r="AZ1247" s="189"/>
      <c r="BA1247" s="189"/>
      <c r="BB1247" s="189"/>
      <c r="BC1247" s="189"/>
      <c r="BD1247" s="189"/>
      <c r="BE1247" s="189"/>
      <c r="BF1247" s="189"/>
      <c r="BG1247" s="189"/>
      <c r="BH1247" s="189"/>
      <c r="BI1247" s="190"/>
      <c r="BJ1247" s="190"/>
      <c r="BK1247" s="190"/>
      <c r="BL1247" s="190"/>
      <c r="BM1247" s="190"/>
      <c r="BN1247" s="190"/>
      <c r="BO1247" s="190"/>
      <c r="BP1247" s="190"/>
      <c r="BQ1247" s="190"/>
      <c r="BR1247" s="190"/>
      <c r="BS1247" s="190"/>
      <c r="BT1247" s="190"/>
      <c r="BU1247" s="190"/>
      <c r="BV1247" s="190"/>
      <c r="BW1247" s="190"/>
      <c r="BX1247" s="190"/>
      <c r="BY1247" s="190"/>
      <c r="BZ1247" s="190"/>
      <c r="CA1247" s="189"/>
      <c r="CB1247" s="192"/>
    </row>
    <row r="1248" spans="1:80" x14ac:dyDescent="0.2">
      <c r="A1248" s="152"/>
      <c r="B1248" s="683"/>
      <c r="C1248" s="683"/>
      <c r="D1248" s="698"/>
      <c r="E1248" s="215"/>
      <c r="F1248" s="215"/>
      <c r="G1248" s="153"/>
      <c r="H1248" s="153"/>
      <c r="I1248" s="153"/>
      <c r="J1248" s="153"/>
      <c r="K1248" s="153"/>
      <c r="L1248" s="653"/>
      <c r="M1248" s="654">
        <v>35950</v>
      </c>
      <c r="N1248" s="587">
        <v>1.2008300000000001</v>
      </c>
      <c r="O1248" s="592">
        <v>1.146E-2</v>
      </c>
      <c r="P1248" s="190"/>
      <c r="Q1248" s="190"/>
      <c r="R1248" s="190"/>
      <c r="S1248" s="190"/>
      <c r="T1248" s="190"/>
      <c r="U1248" s="190"/>
      <c r="V1248" s="190"/>
      <c r="W1248" s="190"/>
      <c r="X1248" s="190"/>
      <c r="Y1248" s="190"/>
      <c r="Z1248" s="190"/>
      <c r="AA1248" s="190"/>
      <c r="AB1248" s="189"/>
      <c r="AC1248" s="152"/>
      <c r="AD1248" s="189"/>
      <c r="AE1248" s="189"/>
      <c r="AF1248" s="190"/>
      <c r="AG1248" s="190"/>
      <c r="AH1248" s="337"/>
      <c r="AI1248" s="190"/>
      <c r="AJ1248" s="190"/>
      <c r="AK1248" s="190"/>
      <c r="AL1248" s="189"/>
      <c r="AM1248" s="189"/>
      <c r="AN1248" s="189"/>
      <c r="AO1248" s="189"/>
      <c r="AP1248" s="189"/>
      <c r="AQ1248" s="189"/>
      <c r="AR1248" s="189"/>
      <c r="AS1248" s="189"/>
      <c r="AT1248" s="189"/>
      <c r="AU1248" s="190"/>
      <c r="AV1248" s="190"/>
      <c r="AW1248" s="190"/>
      <c r="AX1248" s="190"/>
      <c r="AY1248" s="190"/>
      <c r="AZ1248" s="189"/>
      <c r="BA1248" s="189"/>
      <c r="BB1248" s="189"/>
      <c r="BC1248" s="189"/>
      <c r="BD1248" s="189"/>
      <c r="BE1248" s="189"/>
      <c r="BF1248" s="189"/>
      <c r="BG1248" s="189"/>
      <c r="BH1248" s="189"/>
      <c r="BI1248" s="190"/>
      <c r="BJ1248" s="190"/>
      <c r="BK1248" s="190"/>
      <c r="BL1248" s="190"/>
      <c r="BM1248" s="190"/>
      <c r="BN1248" s="190"/>
      <c r="BO1248" s="190"/>
      <c r="BP1248" s="190"/>
      <c r="BQ1248" s="190"/>
      <c r="BR1248" s="190"/>
      <c r="BS1248" s="190"/>
      <c r="BT1248" s="190"/>
      <c r="BU1248" s="190"/>
      <c r="BV1248" s="190"/>
      <c r="BW1248" s="190"/>
      <c r="BX1248" s="190"/>
      <c r="BY1248" s="190"/>
      <c r="BZ1248" s="190"/>
      <c r="CA1248" s="189"/>
      <c r="CB1248" s="192"/>
    </row>
    <row r="1249" spans="1:80" x14ac:dyDescent="0.2">
      <c r="A1249" s="152"/>
      <c r="B1249" s="683"/>
      <c r="C1249" s="683"/>
      <c r="D1249" s="698"/>
      <c r="E1249" s="215"/>
      <c r="F1249" s="215"/>
      <c r="G1249" s="153"/>
      <c r="H1249" s="153"/>
      <c r="I1249" s="153"/>
      <c r="J1249" s="153"/>
      <c r="K1249" s="153"/>
      <c r="L1249" s="653"/>
      <c r="M1249" s="654">
        <v>35951</v>
      </c>
      <c r="N1249" s="587">
        <v>0.95576000000000005</v>
      </c>
      <c r="O1249" s="592">
        <v>5.5799999999999999E-3</v>
      </c>
      <c r="P1249" s="190"/>
      <c r="Q1249" s="190"/>
      <c r="R1249" s="190"/>
      <c r="S1249" s="190"/>
      <c r="T1249" s="190"/>
      <c r="U1249" s="190"/>
      <c r="V1249" s="190"/>
      <c r="W1249" s="190"/>
      <c r="X1249" s="190"/>
      <c r="Y1249" s="190"/>
      <c r="Z1249" s="190"/>
      <c r="AA1249" s="190"/>
      <c r="AB1249" s="189"/>
      <c r="AC1249" s="152"/>
      <c r="AD1249" s="189"/>
      <c r="AE1249" s="189"/>
      <c r="AF1249" s="190"/>
      <c r="AG1249" s="190"/>
      <c r="AH1249" s="337"/>
      <c r="AI1249" s="190"/>
      <c r="AJ1249" s="190"/>
      <c r="AK1249" s="190"/>
      <c r="AL1249" s="189"/>
      <c r="AM1249" s="189"/>
      <c r="AN1249" s="189"/>
      <c r="AO1249" s="189"/>
      <c r="AP1249" s="189"/>
      <c r="AQ1249" s="189"/>
      <c r="AR1249" s="189"/>
      <c r="AS1249" s="189"/>
      <c r="AT1249" s="189"/>
      <c r="AU1249" s="190"/>
      <c r="AV1249" s="190"/>
      <c r="AW1249" s="190"/>
      <c r="AX1249" s="190"/>
      <c r="AY1249" s="190"/>
      <c r="AZ1249" s="189"/>
      <c r="BA1249" s="189"/>
      <c r="BB1249" s="189"/>
      <c r="BC1249" s="189"/>
      <c r="BD1249" s="189"/>
      <c r="BE1249" s="189"/>
      <c r="BF1249" s="189"/>
      <c r="BG1249" s="189"/>
      <c r="BH1249" s="189"/>
      <c r="BI1249" s="190"/>
      <c r="BJ1249" s="190"/>
      <c r="BK1249" s="190"/>
      <c r="BL1249" s="190"/>
      <c r="BM1249" s="190"/>
      <c r="BN1249" s="190"/>
      <c r="BO1249" s="190"/>
      <c r="BP1249" s="190"/>
      <c r="BQ1249" s="190"/>
      <c r="BR1249" s="190"/>
      <c r="BS1249" s="190"/>
      <c r="BT1249" s="190"/>
      <c r="BU1249" s="190"/>
      <c r="BV1249" s="190"/>
      <c r="BW1249" s="190"/>
      <c r="BX1249" s="190"/>
      <c r="BY1249" s="190"/>
      <c r="BZ1249" s="190"/>
      <c r="CA1249" s="189"/>
      <c r="CB1249" s="192"/>
    </row>
    <row r="1250" spans="1:80" x14ac:dyDescent="0.2">
      <c r="A1250" s="152"/>
      <c r="B1250" s="683"/>
      <c r="C1250" s="683"/>
      <c r="D1250" s="698"/>
      <c r="E1250" s="215"/>
      <c r="F1250" s="215"/>
      <c r="G1250" s="153"/>
      <c r="H1250" s="153"/>
      <c r="I1250" s="153"/>
      <c r="J1250" s="153"/>
      <c r="K1250" s="153"/>
      <c r="L1250" s="653"/>
      <c r="M1250" s="654">
        <v>35951</v>
      </c>
      <c r="N1250" s="587">
        <v>0.95576000000000005</v>
      </c>
      <c r="O1250" s="592">
        <v>4.8300000000000001E-3</v>
      </c>
      <c r="P1250" s="190"/>
      <c r="Q1250" s="190"/>
      <c r="R1250" s="190"/>
      <c r="S1250" s="190"/>
      <c r="T1250" s="190"/>
      <c r="U1250" s="190"/>
      <c r="V1250" s="190"/>
      <c r="W1250" s="190"/>
      <c r="X1250" s="190"/>
      <c r="Y1250" s="190"/>
      <c r="Z1250" s="190"/>
      <c r="AA1250" s="190"/>
      <c r="AB1250" s="189"/>
      <c r="AC1250" s="152"/>
      <c r="AD1250" s="189"/>
      <c r="AE1250" s="189"/>
      <c r="AF1250" s="190"/>
      <c r="AG1250" s="190"/>
      <c r="AH1250" s="337"/>
      <c r="AI1250" s="190"/>
      <c r="AJ1250" s="190"/>
      <c r="AK1250" s="190"/>
      <c r="AL1250" s="189"/>
      <c r="AM1250" s="189"/>
      <c r="AN1250" s="189"/>
      <c r="AO1250" s="189"/>
      <c r="AP1250" s="189"/>
      <c r="AQ1250" s="189"/>
      <c r="AR1250" s="189"/>
      <c r="AS1250" s="189"/>
      <c r="AT1250" s="189"/>
      <c r="AU1250" s="190"/>
      <c r="AV1250" s="190"/>
      <c r="AW1250" s="190"/>
      <c r="AX1250" s="190"/>
      <c r="AY1250" s="190"/>
      <c r="AZ1250" s="189"/>
      <c r="BA1250" s="189"/>
      <c r="BB1250" s="189"/>
      <c r="BC1250" s="189"/>
      <c r="BD1250" s="189"/>
      <c r="BE1250" s="189"/>
      <c r="BF1250" s="189"/>
      <c r="BG1250" s="189"/>
      <c r="BH1250" s="189"/>
      <c r="BI1250" s="190"/>
      <c r="BJ1250" s="190"/>
      <c r="BK1250" s="190"/>
      <c r="BL1250" s="190"/>
      <c r="BM1250" s="190"/>
      <c r="BN1250" s="190"/>
      <c r="BO1250" s="190"/>
      <c r="BP1250" s="190"/>
      <c r="BQ1250" s="190"/>
      <c r="BR1250" s="190"/>
      <c r="BS1250" s="190"/>
      <c r="BT1250" s="190"/>
      <c r="BU1250" s="190"/>
      <c r="BV1250" s="190"/>
      <c r="BW1250" s="190"/>
      <c r="BX1250" s="190"/>
      <c r="BY1250" s="190"/>
      <c r="BZ1250" s="190"/>
      <c r="CA1250" s="189"/>
      <c r="CB1250" s="192"/>
    </row>
    <row r="1251" spans="1:80" x14ac:dyDescent="0.2">
      <c r="A1251" s="152"/>
      <c r="B1251" s="683"/>
      <c r="C1251" s="683"/>
      <c r="D1251" s="698"/>
      <c r="E1251" s="215"/>
      <c r="F1251" s="215"/>
      <c r="G1251" s="153"/>
      <c r="H1251" s="153"/>
      <c r="I1251" s="153"/>
      <c r="J1251" s="153"/>
      <c r="K1251" s="153"/>
      <c r="L1251" s="653"/>
      <c r="M1251" s="654">
        <v>35954</v>
      </c>
      <c r="N1251" s="587">
        <v>0.79239000000000004</v>
      </c>
      <c r="O1251" s="592">
        <v>5.4999999999999997E-3</v>
      </c>
      <c r="P1251" s="190"/>
      <c r="Q1251" s="190"/>
      <c r="R1251" s="190"/>
      <c r="S1251" s="190"/>
      <c r="T1251" s="190"/>
      <c r="U1251" s="190"/>
      <c r="V1251" s="190"/>
      <c r="W1251" s="190"/>
      <c r="X1251" s="190"/>
      <c r="Y1251" s="190"/>
      <c r="Z1251" s="190"/>
      <c r="AA1251" s="190"/>
      <c r="AB1251" s="189"/>
      <c r="AC1251" s="152"/>
      <c r="AD1251" s="189"/>
      <c r="AE1251" s="189"/>
      <c r="AF1251" s="190"/>
      <c r="AG1251" s="190"/>
      <c r="AH1251" s="337"/>
      <c r="AI1251" s="190"/>
      <c r="AJ1251" s="190"/>
      <c r="AK1251" s="190"/>
      <c r="AL1251" s="189"/>
      <c r="AM1251" s="189"/>
      <c r="AN1251" s="189"/>
      <c r="AO1251" s="189"/>
      <c r="AP1251" s="189"/>
      <c r="AQ1251" s="189"/>
      <c r="AR1251" s="189"/>
      <c r="AS1251" s="189"/>
      <c r="AT1251" s="189"/>
      <c r="AU1251" s="190"/>
      <c r="AV1251" s="190"/>
      <c r="AW1251" s="190"/>
      <c r="AX1251" s="190"/>
      <c r="AY1251" s="190"/>
      <c r="AZ1251" s="189"/>
      <c r="BA1251" s="189"/>
      <c r="BB1251" s="189"/>
      <c r="BC1251" s="189"/>
      <c r="BD1251" s="189"/>
      <c r="BE1251" s="189"/>
      <c r="BF1251" s="189"/>
      <c r="BG1251" s="189"/>
      <c r="BH1251" s="189"/>
      <c r="BI1251" s="190"/>
      <c r="BJ1251" s="190"/>
      <c r="BK1251" s="190"/>
      <c r="BL1251" s="190"/>
      <c r="BM1251" s="190"/>
      <c r="BN1251" s="190"/>
      <c r="BO1251" s="190"/>
      <c r="BP1251" s="190"/>
      <c r="BQ1251" s="190"/>
      <c r="BR1251" s="190"/>
      <c r="BS1251" s="190"/>
      <c r="BT1251" s="190"/>
      <c r="BU1251" s="190"/>
      <c r="BV1251" s="190"/>
      <c r="BW1251" s="190"/>
      <c r="BX1251" s="190"/>
      <c r="BY1251" s="190"/>
      <c r="BZ1251" s="190"/>
      <c r="CA1251" s="189"/>
      <c r="CB1251" s="192"/>
    </row>
    <row r="1252" spans="1:80" x14ac:dyDescent="0.2">
      <c r="A1252" s="152"/>
      <c r="B1252" s="683"/>
      <c r="C1252" s="683"/>
      <c r="D1252" s="698"/>
      <c r="E1252" s="215"/>
      <c r="F1252" s="215"/>
      <c r="G1252" s="153"/>
      <c r="H1252" s="153"/>
      <c r="I1252" s="153"/>
      <c r="J1252" s="153"/>
      <c r="K1252" s="153"/>
      <c r="L1252" s="653"/>
      <c r="M1252" s="654">
        <v>35955</v>
      </c>
      <c r="N1252" s="587">
        <v>0.75153999999999999</v>
      </c>
      <c r="O1252" s="592">
        <v>3.5999999999999999E-3</v>
      </c>
      <c r="P1252" s="190"/>
      <c r="Q1252" s="190"/>
      <c r="R1252" s="190"/>
      <c r="S1252" s="190"/>
      <c r="T1252" s="190"/>
      <c r="U1252" s="190"/>
      <c r="V1252" s="190"/>
      <c r="W1252" s="190"/>
      <c r="X1252" s="190"/>
      <c r="Y1252" s="190"/>
      <c r="Z1252" s="190"/>
      <c r="AA1252" s="190"/>
      <c r="AB1252" s="189"/>
      <c r="AC1252" s="152"/>
      <c r="AD1252" s="189"/>
      <c r="AE1252" s="189"/>
      <c r="AF1252" s="190"/>
      <c r="AG1252" s="190"/>
      <c r="AH1252" s="337"/>
      <c r="AI1252" s="190"/>
      <c r="AJ1252" s="190"/>
      <c r="AK1252" s="190"/>
      <c r="AL1252" s="189"/>
      <c r="AM1252" s="189"/>
      <c r="AN1252" s="189"/>
      <c r="AO1252" s="189"/>
      <c r="AP1252" s="189"/>
      <c r="AQ1252" s="189"/>
      <c r="AR1252" s="189"/>
      <c r="AS1252" s="189"/>
      <c r="AT1252" s="189"/>
      <c r="AU1252" s="190"/>
      <c r="AV1252" s="190"/>
      <c r="AW1252" s="190"/>
      <c r="AX1252" s="190"/>
      <c r="AY1252" s="190"/>
      <c r="AZ1252" s="189"/>
      <c r="BA1252" s="189"/>
      <c r="BB1252" s="189"/>
      <c r="BC1252" s="189"/>
      <c r="BD1252" s="189"/>
      <c r="BE1252" s="189"/>
      <c r="BF1252" s="189"/>
      <c r="BG1252" s="189"/>
      <c r="BH1252" s="189"/>
      <c r="BI1252" s="190"/>
      <c r="BJ1252" s="190"/>
      <c r="BK1252" s="190"/>
      <c r="BL1252" s="190"/>
      <c r="BM1252" s="190"/>
      <c r="BN1252" s="190"/>
      <c r="BO1252" s="190"/>
      <c r="BP1252" s="190"/>
      <c r="BQ1252" s="190"/>
      <c r="BR1252" s="190"/>
      <c r="BS1252" s="190"/>
      <c r="BT1252" s="190"/>
      <c r="BU1252" s="190"/>
      <c r="BV1252" s="190"/>
      <c r="BW1252" s="190"/>
      <c r="BX1252" s="190"/>
      <c r="BY1252" s="190"/>
      <c r="BZ1252" s="190"/>
      <c r="CA1252" s="189"/>
      <c r="CB1252" s="192"/>
    </row>
    <row r="1253" spans="1:80" x14ac:dyDescent="0.2">
      <c r="A1253" s="152"/>
      <c r="B1253" s="683"/>
      <c r="C1253" s="683"/>
      <c r="D1253" s="698"/>
      <c r="E1253" s="215"/>
      <c r="F1253" s="215"/>
      <c r="G1253" s="153"/>
      <c r="H1253" s="153"/>
      <c r="I1253" s="153"/>
      <c r="J1253" s="153"/>
      <c r="K1253" s="153"/>
      <c r="L1253" s="653"/>
      <c r="M1253" s="654">
        <v>35956</v>
      </c>
      <c r="N1253" s="587">
        <v>0.75153999999999999</v>
      </c>
      <c r="O1253" s="592">
        <v>1.81E-3</v>
      </c>
      <c r="P1253" s="190"/>
      <c r="Q1253" s="190"/>
      <c r="R1253" s="190"/>
      <c r="S1253" s="190"/>
      <c r="T1253" s="190"/>
      <c r="U1253" s="190"/>
      <c r="V1253" s="190"/>
      <c r="W1253" s="190"/>
      <c r="X1253" s="190"/>
      <c r="Y1253" s="190"/>
      <c r="Z1253" s="190"/>
      <c r="AA1253" s="190"/>
      <c r="AB1253" s="189"/>
      <c r="AC1253" s="152"/>
      <c r="AD1253" s="189"/>
      <c r="AE1253" s="189"/>
      <c r="AF1253" s="190"/>
      <c r="AG1253" s="190"/>
      <c r="AH1253" s="337"/>
      <c r="AI1253" s="190"/>
      <c r="AJ1253" s="190"/>
      <c r="AK1253" s="190"/>
      <c r="AL1253" s="189"/>
      <c r="AM1253" s="189"/>
      <c r="AN1253" s="189"/>
      <c r="AO1253" s="189"/>
      <c r="AP1253" s="189"/>
      <c r="AQ1253" s="189"/>
      <c r="AR1253" s="189"/>
      <c r="AS1253" s="189"/>
      <c r="AT1253" s="189"/>
      <c r="AU1253" s="190"/>
      <c r="AV1253" s="190"/>
      <c r="AW1253" s="190"/>
      <c r="AX1253" s="190"/>
      <c r="AY1253" s="190"/>
      <c r="AZ1253" s="189"/>
      <c r="BA1253" s="189"/>
      <c r="BB1253" s="189"/>
      <c r="BC1253" s="189"/>
      <c r="BD1253" s="189"/>
      <c r="BE1253" s="189"/>
      <c r="BF1253" s="189"/>
      <c r="BG1253" s="189"/>
      <c r="BH1253" s="189"/>
      <c r="BI1253" s="190"/>
      <c r="BJ1253" s="190"/>
      <c r="BK1253" s="190"/>
      <c r="BL1253" s="190"/>
      <c r="BM1253" s="190"/>
      <c r="BN1253" s="190"/>
      <c r="BO1253" s="190"/>
      <c r="BP1253" s="190"/>
      <c r="BQ1253" s="190"/>
      <c r="BR1253" s="190"/>
      <c r="BS1253" s="190"/>
      <c r="BT1253" s="190"/>
      <c r="BU1253" s="190"/>
      <c r="BV1253" s="190"/>
      <c r="BW1253" s="190"/>
      <c r="BX1253" s="190"/>
      <c r="BY1253" s="190"/>
      <c r="BZ1253" s="190"/>
      <c r="CA1253" s="189"/>
      <c r="CB1253" s="192"/>
    </row>
    <row r="1254" spans="1:80" x14ac:dyDescent="0.2">
      <c r="A1254" s="152"/>
      <c r="B1254" s="683"/>
      <c r="C1254" s="683"/>
      <c r="D1254" s="698"/>
      <c r="E1254" s="215"/>
      <c r="F1254" s="215"/>
      <c r="G1254" s="153"/>
      <c r="H1254" s="153"/>
      <c r="I1254" s="153"/>
      <c r="J1254" s="153"/>
      <c r="K1254" s="153"/>
      <c r="L1254" s="653"/>
      <c r="M1254" s="654">
        <v>35956</v>
      </c>
      <c r="N1254" s="587">
        <v>0.79239000000000004</v>
      </c>
      <c r="O1254" s="592">
        <v>4.7099999999999998E-3</v>
      </c>
      <c r="P1254" s="190"/>
      <c r="Q1254" s="190"/>
      <c r="R1254" s="190"/>
      <c r="S1254" s="190"/>
      <c r="T1254" s="190"/>
      <c r="U1254" s="190"/>
      <c r="V1254" s="190"/>
      <c r="W1254" s="190"/>
      <c r="X1254" s="190"/>
      <c r="Y1254" s="190"/>
      <c r="Z1254" s="190"/>
      <c r="AA1254" s="190"/>
      <c r="AB1254" s="189"/>
      <c r="AC1254" s="152"/>
      <c r="AD1254" s="189"/>
      <c r="AE1254" s="189"/>
      <c r="AF1254" s="190"/>
      <c r="AG1254" s="190"/>
      <c r="AH1254" s="337"/>
      <c r="AI1254" s="190"/>
      <c r="AJ1254" s="190"/>
      <c r="AK1254" s="190"/>
      <c r="AL1254" s="189"/>
      <c r="AM1254" s="189"/>
      <c r="AN1254" s="189"/>
      <c r="AO1254" s="189"/>
      <c r="AP1254" s="189"/>
      <c r="AQ1254" s="189"/>
      <c r="AR1254" s="189"/>
      <c r="AS1254" s="189"/>
      <c r="AT1254" s="189"/>
      <c r="AU1254" s="190"/>
      <c r="AV1254" s="190"/>
      <c r="AW1254" s="190"/>
      <c r="AX1254" s="190"/>
      <c r="AY1254" s="190"/>
      <c r="AZ1254" s="189"/>
      <c r="BA1254" s="189"/>
      <c r="BB1254" s="189"/>
      <c r="BC1254" s="189"/>
      <c r="BD1254" s="189"/>
      <c r="BE1254" s="189"/>
      <c r="BF1254" s="189"/>
      <c r="BG1254" s="189"/>
      <c r="BH1254" s="189"/>
      <c r="BI1254" s="190"/>
      <c r="BJ1254" s="190"/>
      <c r="BK1254" s="190"/>
      <c r="BL1254" s="190"/>
      <c r="BM1254" s="190"/>
      <c r="BN1254" s="190"/>
      <c r="BO1254" s="190"/>
      <c r="BP1254" s="190"/>
      <c r="BQ1254" s="190"/>
      <c r="BR1254" s="190"/>
      <c r="BS1254" s="190"/>
      <c r="BT1254" s="190"/>
      <c r="BU1254" s="190"/>
      <c r="BV1254" s="190"/>
      <c r="BW1254" s="190"/>
      <c r="BX1254" s="190"/>
      <c r="BY1254" s="190"/>
      <c r="BZ1254" s="190"/>
      <c r="CA1254" s="189"/>
      <c r="CB1254" s="192"/>
    </row>
    <row r="1255" spans="1:80" x14ac:dyDescent="0.2">
      <c r="A1255" s="152"/>
      <c r="B1255" s="683"/>
      <c r="C1255" s="683"/>
      <c r="D1255" s="698"/>
      <c r="E1255" s="215"/>
      <c r="F1255" s="215"/>
      <c r="G1255" s="153"/>
      <c r="H1255" s="153"/>
      <c r="I1255" s="153"/>
      <c r="J1255" s="153"/>
      <c r="K1255" s="153"/>
      <c r="L1255" s="653"/>
      <c r="M1255" s="654">
        <v>35957</v>
      </c>
      <c r="N1255" s="587">
        <v>0.7107</v>
      </c>
      <c r="O1255" s="592">
        <v>3.1700000000000001E-3</v>
      </c>
      <c r="P1255" s="190"/>
      <c r="Q1255" s="190"/>
      <c r="R1255" s="190"/>
      <c r="S1255" s="190"/>
      <c r="T1255" s="190"/>
      <c r="U1255" s="190"/>
      <c r="V1255" s="190"/>
      <c r="W1255" s="190"/>
      <c r="X1255" s="190"/>
      <c r="Y1255" s="190"/>
      <c r="Z1255" s="190"/>
      <c r="AA1255" s="190"/>
      <c r="AB1255" s="189"/>
      <c r="AC1255" s="152"/>
      <c r="AD1255" s="189"/>
      <c r="AE1255" s="189"/>
      <c r="AF1255" s="190"/>
      <c r="AG1255" s="190"/>
      <c r="AH1255" s="337"/>
      <c r="AI1255" s="190"/>
      <c r="AJ1255" s="190"/>
      <c r="AK1255" s="190"/>
      <c r="AL1255" s="189"/>
      <c r="AM1255" s="189"/>
      <c r="AN1255" s="189"/>
      <c r="AO1255" s="189"/>
      <c r="AP1255" s="189"/>
      <c r="AQ1255" s="189"/>
      <c r="AR1255" s="189"/>
      <c r="AS1255" s="189"/>
      <c r="AT1255" s="189"/>
      <c r="AU1255" s="190"/>
      <c r="AV1255" s="190"/>
      <c r="AW1255" s="190"/>
      <c r="AX1255" s="190"/>
      <c r="AY1255" s="190"/>
      <c r="AZ1255" s="189"/>
      <c r="BA1255" s="189"/>
      <c r="BB1255" s="189"/>
      <c r="BC1255" s="189"/>
      <c r="BD1255" s="189"/>
      <c r="BE1255" s="189"/>
      <c r="BF1255" s="189"/>
      <c r="BG1255" s="189"/>
      <c r="BH1255" s="189"/>
      <c r="BI1255" s="190"/>
      <c r="BJ1255" s="190"/>
      <c r="BK1255" s="190"/>
      <c r="BL1255" s="190"/>
      <c r="BM1255" s="190"/>
      <c r="BN1255" s="190"/>
      <c r="BO1255" s="190"/>
      <c r="BP1255" s="190"/>
      <c r="BQ1255" s="190"/>
      <c r="BR1255" s="190"/>
      <c r="BS1255" s="190"/>
      <c r="BT1255" s="190"/>
      <c r="BU1255" s="190"/>
      <c r="BV1255" s="190"/>
      <c r="BW1255" s="190"/>
      <c r="BX1255" s="190"/>
      <c r="BY1255" s="190"/>
      <c r="BZ1255" s="190"/>
      <c r="CA1255" s="189"/>
      <c r="CB1255" s="192"/>
    </row>
    <row r="1256" spans="1:80" x14ac:dyDescent="0.2">
      <c r="A1256" s="152"/>
      <c r="B1256" s="683"/>
      <c r="C1256" s="683"/>
      <c r="D1256" s="698"/>
      <c r="E1256" s="215"/>
      <c r="F1256" s="215"/>
      <c r="G1256" s="153"/>
      <c r="H1256" s="153"/>
      <c r="I1256" s="153"/>
      <c r="J1256" s="153"/>
      <c r="K1256" s="153"/>
      <c r="L1256" s="653"/>
      <c r="M1256" s="654">
        <v>35957</v>
      </c>
      <c r="N1256" s="587">
        <v>0.81281000000000003</v>
      </c>
      <c r="O1256" s="592">
        <v>4.9899999999999996E-3</v>
      </c>
      <c r="P1256" s="190"/>
      <c r="Q1256" s="190"/>
      <c r="R1256" s="190"/>
      <c r="S1256" s="190"/>
      <c r="T1256" s="190"/>
      <c r="U1256" s="190"/>
      <c r="V1256" s="190"/>
      <c r="W1256" s="190"/>
      <c r="X1256" s="190"/>
      <c r="Y1256" s="190"/>
      <c r="Z1256" s="190"/>
      <c r="AA1256" s="190"/>
      <c r="AB1256" s="189"/>
      <c r="AC1256" s="152"/>
      <c r="AD1256" s="189"/>
      <c r="AE1256" s="189"/>
      <c r="AF1256" s="190"/>
      <c r="AG1256" s="190"/>
      <c r="AH1256" s="337"/>
      <c r="AI1256" s="190"/>
      <c r="AJ1256" s="190"/>
      <c r="AK1256" s="190"/>
      <c r="AL1256" s="189"/>
      <c r="AM1256" s="189"/>
      <c r="AN1256" s="189"/>
      <c r="AO1256" s="189"/>
      <c r="AP1256" s="189"/>
      <c r="AQ1256" s="189"/>
      <c r="AR1256" s="189"/>
      <c r="AS1256" s="189"/>
      <c r="AT1256" s="189"/>
      <c r="AU1256" s="190"/>
      <c r="AV1256" s="190"/>
      <c r="AW1256" s="190"/>
      <c r="AX1256" s="190"/>
      <c r="AY1256" s="190"/>
      <c r="AZ1256" s="189"/>
      <c r="BA1256" s="189"/>
      <c r="BB1256" s="189"/>
      <c r="BC1256" s="189"/>
      <c r="BD1256" s="189"/>
      <c r="BE1256" s="189"/>
      <c r="BF1256" s="189"/>
      <c r="BG1256" s="189"/>
      <c r="BH1256" s="189"/>
      <c r="BI1256" s="190"/>
      <c r="BJ1256" s="190"/>
      <c r="BK1256" s="190"/>
      <c r="BL1256" s="190"/>
      <c r="BM1256" s="190"/>
      <c r="BN1256" s="190"/>
      <c r="BO1256" s="190"/>
      <c r="BP1256" s="190"/>
      <c r="BQ1256" s="190"/>
      <c r="BR1256" s="190"/>
      <c r="BS1256" s="190"/>
      <c r="BT1256" s="190"/>
      <c r="BU1256" s="190"/>
      <c r="BV1256" s="190"/>
      <c r="BW1256" s="190"/>
      <c r="BX1256" s="190"/>
      <c r="BY1256" s="190"/>
      <c r="BZ1256" s="190"/>
      <c r="CA1256" s="189"/>
      <c r="CB1256" s="192"/>
    </row>
    <row r="1257" spans="1:80" x14ac:dyDescent="0.2">
      <c r="A1257" s="152"/>
      <c r="B1257" s="683"/>
      <c r="C1257" s="683"/>
      <c r="D1257" s="698"/>
      <c r="E1257" s="215"/>
      <c r="F1257" s="215"/>
      <c r="G1257" s="153"/>
      <c r="H1257" s="153"/>
      <c r="I1257" s="153"/>
      <c r="J1257" s="153"/>
      <c r="K1257" s="153"/>
      <c r="L1257" s="653"/>
      <c r="M1257" s="654">
        <v>35958</v>
      </c>
      <c r="N1257" s="587">
        <v>0.7107</v>
      </c>
      <c r="O1257" s="592">
        <v>5.3E-3</v>
      </c>
      <c r="P1257" s="190"/>
      <c r="Q1257" s="190"/>
      <c r="R1257" s="190"/>
      <c r="S1257" s="190"/>
      <c r="T1257" s="190"/>
      <c r="U1257" s="190"/>
      <c r="V1257" s="190"/>
      <c r="W1257" s="190"/>
      <c r="X1257" s="190"/>
      <c r="Y1257" s="190"/>
      <c r="Z1257" s="190"/>
      <c r="AA1257" s="190"/>
      <c r="AB1257" s="189"/>
      <c r="AC1257" s="152"/>
      <c r="AD1257" s="189"/>
      <c r="AE1257" s="189"/>
      <c r="AF1257" s="190"/>
      <c r="AG1257" s="190"/>
      <c r="AH1257" s="337"/>
      <c r="AI1257" s="190"/>
      <c r="AJ1257" s="190"/>
      <c r="AK1257" s="190"/>
      <c r="AL1257" s="189"/>
      <c r="AM1257" s="189"/>
      <c r="AN1257" s="189"/>
      <c r="AO1257" s="189"/>
      <c r="AP1257" s="189"/>
      <c r="AQ1257" s="189"/>
      <c r="AR1257" s="189"/>
      <c r="AS1257" s="189"/>
      <c r="AT1257" s="189"/>
      <c r="AU1257" s="190"/>
      <c r="AV1257" s="190"/>
      <c r="AW1257" s="190"/>
      <c r="AX1257" s="190"/>
      <c r="AY1257" s="190"/>
      <c r="AZ1257" s="189"/>
      <c r="BA1257" s="189"/>
      <c r="BB1257" s="189"/>
      <c r="BC1257" s="189"/>
      <c r="BD1257" s="189"/>
      <c r="BE1257" s="189"/>
      <c r="BF1257" s="189"/>
      <c r="BG1257" s="189"/>
      <c r="BH1257" s="189"/>
      <c r="BI1257" s="190"/>
      <c r="BJ1257" s="190"/>
      <c r="BK1257" s="190"/>
      <c r="BL1257" s="190"/>
      <c r="BM1257" s="190"/>
      <c r="BN1257" s="190"/>
      <c r="BO1257" s="190"/>
      <c r="BP1257" s="190"/>
      <c r="BQ1257" s="190"/>
      <c r="BR1257" s="190"/>
      <c r="BS1257" s="190"/>
      <c r="BT1257" s="190"/>
      <c r="BU1257" s="190"/>
      <c r="BV1257" s="190"/>
      <c r="BW1257" s="190"/>
      <c r="BX1257" s="190"/>
      <c r="BY1257" s="190"/>
      <c r="BZ1257" s="190"/>
      <c r="CA1257" s="189"/>
      <c r="CB1257" s="192"/>
    </row>
    <row r="1258" spans="1:80" x14ac:dyDescent="0.2">
      <c r="A1258" s="152"/>
      <c r="B1258" s="683"/>
      <c r="C1258" s="683"/>
      <c r="D1258" s="698"/>
      <c r="E1258" s="215"/>
      <c r="F1258" s="215"/>
      <c r="G1258" s="153"/>
      <c r="H1258" s="153"/>
      <c r="I1258" s="153"/>
      <c r="J1258" s="153"/>
      <c r="K1258" s="153"/>
      <c r="L1258" s="653"/>
      <c r="M1258" s="654">
        <v>35958</v>
      </c>
      <c r="N1258" s="587">
        <v>0.87407999999999997</v>
      </c>
      <c r="O1258" s="592">
        <v>3.0799999999999998E-3</v>
      </c>
      <c r="P1258" s="190"/>
      <c r="Q1258" s="190"/>
      <c r="R1258" s="190"/>
      <c r="S1258" s="190"/>
      <c r="T1258" s="190"/>
      <c r="U1258" s="190"/>
      <c r="V1258" s="190"/>
      <c r="W1258" s="190"/>
      <c r="X1258" s="190"/>
      <c r="Y1258" s="190"/>
      <c r="Z1258" s="190"/>
      <c r="AA1258" s="190"/>
      <c r="AB1258" s="189"/>
      <c r="AC1258" s="152"/>
      <c r="AD1258" s="189"/>
      <c r="AE1258" s="189"/>
      <c r="AF1258" s="190"/>
      <c r="AG1258" s="190"/>
      <c r="AH1258" s="337"/>
      <c r="AI1258" s="190"/>
      <c r="AJ1258" s="190"/>
      <c r="AK1258" s="190"/>
      <c r="AL1258" s="189"/>
      <c r="AM1258" s="189"/>
      <c r="AN1258" s="189"/>
      <c r="AO1258" s="189"/>
      <c r="AP1258" s="189"/>
      <c r="AQ1258" s="189"/>
      <c r="AR1258" s="189"/>
      <c r="AS1258" s="189"/>
      <c r="AT1258" s="189"/>
      <c r="AU1258" s="190"/>
      <c r="AV1258" s="190"/>
      <c r="AW1258" s="190"/>
      <c r="AX1258" s="190"/>
      <c r="AY1258" s="190"/>
      <c r="AZ1258" s="189"/>
      <c r="BA1258" s="189"/>
      <c r="BB1258" s="189"/>
      <c r="BC1258" s="189"/>
      <c r="BD1258" s="189"/>
      <c r="BE1258" s="189"/>
      <c r="BF1258" s="189"/>
      <c r="BG1258" s="189"/>
      <c r="BH1258" s="189"/>
      <c r="BI1258" s="190"/>
      <c r="BJ1258" s="190"/>
      <c r="BK1258" s="190"/>
      <c r="BL1258" s="190"/>
      <c r="BM1258" s="190"/>
      <c r="BN1258" s="190"/>
      <c r="BO1258" s="190"/>
      <c r="BP1258" s="190"/>
      <c r="BQ1258" s="190"/>
      <c r="BR1258" s="190"/>
      <c r="BS1258" s="190"/>
      <c r="BT1258" s="190"/>
      <c r="BU1258" s="190"/>
      <c r="BV1258" s="190"/>
      <c r="BW1258" s="190"/>
      <c r="BX1258" s="190"/>
      <c r="BY1258" s="190"/>
      <c r="BZ1258" s="190"/>
      <c r="CA1258" s="189"/>
      <c r="CB1258" s="192"/>
    </row>
    <row r="1259" spans="1:80" x14ac:dyDescent="0.2">
      <c r="A1259" s="152"/>
      <c r="B1259" s="683"/>
      <c r="C1259" s="683"/>
      <c r="D1259" s="698"/>
      <c r="E1259" s="215"/>
      <c r="F1259" s="215"/>
      <c r="G1259" s="153"/>
      <c r="H1259" s="153"/>
      <c r="I1259" s="153"/>
      <c r="J1259" s="153"/>
      <c r="K1259" s="153"/>
      <c r="L1259" s="653"/>
      <c r="M1259" s="654">
        <v>35961</v>
      </c>
      <c r="N1259" s="587">
        <v>0.69028</v>
      </c>
      <c r="O1259" s="592">
        <v>5.5599999999999998E-3</v>
      </c>
      <c r="P1259" s="190"/>
      <c r="Q1259" s="190"/>
      <c r="R1259" s="190"/>
      <c r="S1259" s="190"/>
      <c r="T1259" s="190"/>
      <c r="U1259" s="190"/>
      <c r="V1259" s="190"/>
      <c r="W1259" s="190"/>
      <c r="X1259" s="190"/>
      <c r="Y1259" s="190"/>
      <c r="Z1259" s="190"/>
      <c r="AA1259" s="190"/>
      <c r="AB1259" s="189"/>
      <c r="AC1259" s="152"/>
      <c r="AD1259" s="189"/>
      <c r="AE1259" s="189"/>
      <c r="AF1259" s="190"/>
      <c r="AG1259" s="190"/>
      <c r="AH1259" s="337"/>
      <c r="AI1259" s="190"/>
      <c r="AJ1259" s="190"/>
      <c r="AK1259" s="190"/>
      <c r="AL1259" s="189"/>
      <c r="AM1259" s="189"/>
      <c r="AN1259" s="189"/>
      <c r="AO1259" s="189"/>
      <c r="AP1259" s="189"/>
      <c r="AQ1259" s="189"/>
      <c r="AR1259" s="189"/>
      <c r="AS1259" s="189"/>
      <c r="AT1259" s="189"/>
      <c r="AU1259" s="190"/>
      <c r="AV1259" s="190"/>
      <c r="AW1259" s="190"/>
      <c r="AX1259" s="190"/>
      <c r="AY1259" s="190"/>
      <c r="AZ1259" s="189"/>
      <c r="BA1259" s="189"/>
      <c r="BB1259" s="189"/>
      <c r="BC1259" s="189"/>
      <c r="BD1259" s="189"/>
      <c r="BE1259" s="189"/>
      <c r="BF1259" s="189"/>
      <c r="BG1259" s="189"/>
      <c r="BH1259" s="189"/>
      <c r="BI1259" s="190"/>
      <c r="BJ1259" s="190"/>
      <c r="BK1259" s="190"/>
      <c r="BL1259" s="190"/>
      <c r="BM1259" s="190"/>
      <c r="BN1259" s="190"/>
      <c r="BO1259" s="190"/>
      <c r="BP1259" s="190"/>
      <c r="BQ1259" s="190"/>
      <c r="BR1259" s="190"/>
      <c r="BS1259" s="190"/>
      <c r="BT1259" s="190"/>
      <c r="BU1259" s="190"/>
      <c r="BV1259" s="190"/>
      <c r="BW1259" s="190"/>
      <c r="BX1259" s="190"/>
      <c r="BY1259" s="190"/>
      <c r="BZ1259" s="190"/>
      <c r="CA1259" s="189"/>
      <c r="CB1259" s="192"/>
    </row>
    <row r="1260" spans="1:80" x14ac:dyDescent="0.2">
      <c r="A1260" s="152"/>
      <c r="B1260" s="683"/>
      <c r="C1260" s="683"/>
      <c r="D1260" s="698"/>
      <c r="E1260" s="215"/>
      <c r="F1260" s="215"/>
      <c r="G1260" s="153"/>
      <c r="H1260" s="153"/>
      <c r="I1260" s="153"/>
      <c r="J1260" s="153"/>
      <c r="K1260" s="153"/>
      <c r="L1260" s="653"/>
      <c r="M1260" s="654">
        <v>35961</v>
      </c>
      <c r="N1260" s="587">
        <v>0.76175999999999999</v>
      </c>
      <c r="O1260" s="592">
        <v>1.65E-3</v>
      </c>
      <c r="P1260" s="190"/>
      <c r="Q1260" s="190"/>
      <c r="R1260" s="190"/>
      <c r="S1260" s="190"/>
      <c r="T1260" s="190"/>
      <c r="U1260" s="190"/>
      <c r="V1260" s="190"/>
      <c r="W1260" s="190"/>
      <c r="X1260" s="190"/>
      <c r="Y1260" s="190"/>
      <c r="Z1260" s="190"/>
      <c r="AA1260" s="190"/>
      <c r="AB1260" s="189"/>
      <c r="AC1260" s="152"/>
      <c r="AD1260" s="189"/>
      <c r="AE1260" s="189"/>
      <c r="AF1260" s="190"/>
      <c r="AG1260" s="190"/>
      <c r="AH1260" s="337"/>
      <c r="AI1260" s="190"/>
      <c r="AJ1260" s="190"/>
      <c r="AK1260" s="190"/>
      <c r="AL1260" s="189"/>
      <c r="AM1260" s="189"/>
      <c r="AN1260" s="189"/>
      <c r="AO1260" s="189"/>
      <c r="AP1260" s="189"/>
      <c r="AQ1260" s="189"/>
      <c r="AR1260" s="189"/>
      <c r="AS1260" s="189"/>
      <c r="AT1260" s="189"/>
      <c r="AU1260" s="190"/>
      <c r="AV1260" s="190"/>
      <c r="AW1260" s="190"/>
      <c r="AX1260" s="190"/>
      <c r="AY1260" s="190"/>
      <c r="AZ1260" s="189"/>
      <c r="BA1260" s="189"/>
      <c r="BB1260" s="189"/>
      <c r="BC1260" s="189"/>
      <c r="BD1260" s="189"/>
      <c r="BE1260" s="189"/>
      <c r="BF1260" s="189"/>
      <c r="BG1260" s="189"/>
      <c r="BH1260" s="189"/>
      <c r="BI1260" s="190"/>
      <c r="BJ1260" s="190"/>
      <c r="BK1260" s="190"/>
      <c r="BL1260" s="190"/>
      <c r="BM1260" s="190"/>
      <c r="BN1260" s="190"/>
      <c r="BO1260" s="190"/>
      <c r="BP1260" s="190"/>
      <c r="BQ1260" s="190"/>
      <c r="BR1260" s="190"/>
      <c r="BS1260" s="190"/>
      <c r="BT1260" s="190"/>
      <c r="BU1260" s="190"/>
      <c r="BV1260" s="190"/>
      <c r="BW1260" s="190"/>
      <c r="BX1260" s="190"/>
      <c r="BY1260" s="190"/>
      <c r="BZ1260" s="190"/>
      <c r="CA1260" s="189"/>
      <c r="CB1260" s="192"/>
    </row>
    <row r="1261" spans="1:80" x14ac:dyDescent="0.2">
      <c r="A1261" s="152"/>
      <c r="B1261" s="683"/>
      <c r="C1261" s="683"/>
      <c r="D1261" s="698"/>
      <c r="E1261" s="215"/>
      <c r="F1261" s="215"/>
      <c r="G1261" s="153"/>
      <c r="H1261" s="153"/>
      <c r="I1261" s="153"/>
      <c r="J1261" s="153"/>
      <c r="K1261" s="153"/>
      <c r="L1261" s="653"/>
      <c r="M1261" s="654">
        <v>35962</v>
      </c>
      <c r="N1261" s="587">
        <v>0.66986000000000001</v>
      </c>
      <c r="O1261" s="592">
        <v>1.89E-3</v>
      </c>
      <c r="P1261" s="190"/>
      <c r="Q1261" s="190"/>
      <c r="R1261" s="190"/>
      <c r="S1261" s="190"/>
      <c r="T1261" s="190"/>
      <c r="U1261" s="190"/>
      <c r="V1261" s="190"/>
      <c r="W1261" s="190"/>
      <c r="X1261" s="190"/>
      <c r="Y1261" s="190"/>
      <c r="Z1261" s="190"/>
      <c r="AA1261" s="190"/>
      <c r="AB1261" s="189"/>
      <c r="AC1261" s="152"/>
      <c r="AD1261" s="189"/>
      <c r="AE1261" s="189"/>
      <c r="AF1261" s="190"/>
      <c r="AG1261" s="190"/>
      <c r="AH1261" s="337"/>
      <c r="AI1261" s="190"/>
      <c r="AJ1261" s="190"/>
      <c r="AK1261" s="190"/>
      <c r="AL1261" s="189"/>
      <c r="AM1261" s="189"/>
      <c r="AN1261" s="189"/>
      <c r="AO1261" s="189"/>
      <c r="AP1261" s="189"/>
      <c r="AQ1261" s="189"/>
      <c r="AR1261" s="189"/>
      <c r="AS1261" s="189"/>
      <c r="AT1261" s="189"/>
      <c r="AU1261" s="190"/>
      <c r="AV1261" s="190"/>
      <c r="AW1261" s="190"/>
      <c r="AX1261" s="190"/>
      <c r="AY1261" s="190"/>
      <c r="AZ1261" s="189"/>
      <c r="BA1261" s="189"/>
      <c r="BB1261" s="189"/>
      <c r="BC1261" s="189"/>
      <c r="BD1261" s="189"/>
      <c r="BE1261" s="189"/>
      <c r="BF1261" s="189"/>
      <c r="BG1261" s="189"/>
      <c r="BH1261" s="189"/>
      <c r="BI1261" s="190"/>
      <c r="BJ1261" s="190"/>
      <c r="BK1261" s="190"/>
      <c r="BL1261" s="190"/>
      <c r="BM1261" s="190"/>
      <c r="BN1261" s="190"/>
      <c r="BO1261" s="190"/>
      <c r="BP1261" s="190"/>
      <c r="BQ1261" s="190"/>
      <c r="BR1261" s="190"/>
      <c r="BS1261" s="190"/>
      <c r="BT1261" s="190"/>
      <c r="BU1261" s="190"/>
      <c r="BV1261" s="190"/>
      <c r="BW1261" s="190"/>
      <c r="BX1261" s="190"/>
      <c r="BY1261" s="190"/>
      <c r="BZ1261" s="190"/>
      <c r="CA1261" s="189"/>
      <c r="CB1261" s="192"/>
    </row>
    <row r="1262" spans="1:80" x14ac:dyDescent="0.2">
      <c r="A1262" s="152"/>
      <c r="B1262" s="683"/>
      <c r="C1262" s="683"/>
      <c r="D1262" s="698"/>
      <c r="E1262" s="215"/>
      <c r="F1262" s="215"/>
      <c r="G1262" s="153"/>
      <c r="H1262" s="153"/>
      <c r="I1262" s="153"/>
      <c r="J1262" s="153"/>
      <c r="K1262" s="153"/>
      <c r="L1262" s="653"/>
      <c r="M1262" s="654">
        <v>35962</v>
      </c>
      <c r="N1262" s="587">
        <v>0.69028</v>
      </c>
      <c r="O1262" s="592">
        <v>1.1999999999999999E-3</v>
      </c>
      <c r="P1262" s="190"/>
      <c r="Q1262" s="190"/>
      <c r="R1262" s="190"/>
      <c r="S1262" s="190"/>
      <c r="T1262" s="190"/>
      <c r="U1262" s="190"/>
      <c r="V1262" s="190"/>
      <c r="W1262" s="190"/>
      <c r="X1262" s="190"/>
      <c r="Y1262" s="190"/>
      <c r="Z1262" s="190"/>
      <c r="AA1262" s="190"/>
      <c r="AB1262" s="189"/>
      <c r="AC1262" s="152"/>
      <c r="AD1262" s="189"/>
      <c r="AE1262" s="189"/>
      <c r="AF1262" s="190"/>
      <c r="AG1262" s="190"/>
      <c r="AH1262" s="337"/>
      <c r="AI1262" s="190"/>
      <c r="AJ1262" s="190"/>
      <c r="AK1262" s="190"/>
      <c r="AL1262" s="189"/>
      <c r="AM1262" s="189"/>
      <c r="AN1262" s="189"/>
      <c r="AO1262" s="189"/>
      <c r="AP1262" s="189"/>
      <c r="AQ1262" s="189"/>
      <c r="AR1262" s="189"/>
      <c r="AS1262" s="189"/>
      <c r="AT1262" s="189"/>
      <c r="AU1262" s="190"/>
      <c r="AV1262" s="190"/>
      <c r="AW1262" s="190"/>
      <c r="AX1262" s="190"/>
      <c r="AY1262" s="190"/>
      <c r="AZ1262" s="189"/>
      <c r="BA1262" s="189"/>
      <c r="BB1262" s="189"/>
      <c r="BC1262" s="189"/>
      <c r="BD1262" s="189"/>
      <c r="BE1262" s="189"/>
      <c r="BF1262" s="189"/>
      <c r="BG1262" s="189"/>
      <c r="BH1262" s="189"/>
      <c r="BI1262" s="190"/>
      <c r="BJ1262" s="190"/>
      <c r="BK1262" s="190"/>
      <c r="BL1262" s="190"/>
      <c r="BM1262" s="190"/>
      <c r="BN1262" s="190"/>
      <c r="BO1262" s="190"/>
      <c r="BP1262" s="190"/>
      <c r="BQ1262" s="190"/>
      <c r="BR1262" s="190"/>
      <c r="BS1262" s="190"/>
      <c r="BT1262" s="190"/>
      <c r="BU1262" s="190"/>
      <c r="BV1262" s="190"/>
      <c r="BW1262" s="190"/>
      <c r="BX1262" s="190"/>
      <c r="BY1262" s="190"/>
      <c r="BZ1262" s="190"/>
      <c r="CA1262" s="189"/>
      <c r="CB1262" s="192"/>
    </row>
    <row r="1263" spans="1:80" x14ac:dyDescent="0.2">
      <c r="A1263" s="152"/>
      <c r="B1263" s="683"/>
      <c r="C1263" s="683"/>
      <c r="D1263" s="698"/>
      <c r="E1263" s="215"/>
      <c r="F1263" s="215"/>
      <c r="G1263" s="153"/>
      <c r="H1263" s="153"/>
      <c r="I1263" s="153"/>
      <c r="J1263" s="153"/>
      <c r="K1263" s="153"/>
      <c r="L1263" s="653"/>
      <c r="M1263" s="654">
        <v>35963</v>
      </c>
      <c r="N1263" s="587">
        <v>0.64942999999999995</v>
      </c>
      <c r="O1263" s="592">
        <v>2.8400000000000001E-3</v>
      </c>
      <c r="P1263" s="190"/>
      <c r="Q1263" s="190"/>
      <c r="R1263" s="190"/>
      <c r="S1263" s="190"/>
      <c r="T1263" s="190"/>
      <c r="U1263" s="190"/>
      <c r="V1263" s="190"/>
      <c r="W1263" s="190"/>
      <c r="X1263" s="190"/>
      <c r="Y1263" s="190"/>
      <c r="Z1263" s="190"/>
      <c r="AA1263" s="190"/>
      <c r="AB1263" s="189"/>
      <c r="AC1263" s="152"/>
      <c r="AD1263" s="189"/>
      <c r="AE1263" s="189"/>
      <c r="AF1263" s="190"/>
      <c r="AG1263" s="190"/>
      <c r="AH1263" s="337"/>
      <c r="AI1263" s="190"/>
      <c r="AJ1263" s="190"/>
      <c r="AK1263" s="190"/>
      <c r="AL1263" s="189"/>
      <c r="AM1263" s="189"/>
      <c r="AN1263" s="189"/>
      <c r="AO1263" s="189"/>
      <c r="AP1263" s="189"/>
      <c r="AQ1263" s="189"/>
      <c r="AR1263" s="189"/>
      <c r="AS1263" s="189"/>
      <c r="AT1263" s="189"/>
      <c r="AU1263" s="190"/>
      <c r="AV1263" s="190"/>
      <c r="AW1263" s="190"/>
      <c r="AX1263" s="190"/>
      <c r="AY1263" s="190"/>
      <c r="AZ1263" s="189"/>
      <c r="BA1263" s="189"/>
      <c r="BB1263" s="189"/>
      <c r="BC1263" s="189"/>
      <c r="BD1263" s="189"/>
      <c r="BE1263" s="189"/>
      <c r="BF1263" s="189"/>
      <c r="BG1263" s="189"/>
      <c r="BH1263" s="189"/>
      <c r="BI1263" s="190"/>
      <c r="BJ1263" s="190"/>
      <c r="BK1263" s="190"/>
      <c r="BL1263" s="190"/>
      <c r="BM1263" s="190"/>
      <c r="BN1263" s="190"/>
      <c r="BO1263" s="190"/>
      <c r="BP1263" s="190"/>
      <c r="BQ1263" s="190"/>
      <c r="BR1263" s="190"/>
      <c r="BS1263" s="190"/>
      <c r="BT1263" s="190"/>
      <c r="BU1263" s="190"/>
      <c r="BV1263" s="190"/>
      <c r="BW1263" s="190"/>
      <c r="BX1263" s="190"/>
      <c r="BY1263" s="190"/>
      <c r="BZ1263" s="190"/>
      <c r="CA1263" s="189"/>
      <c r="CB1263" s="192"/>
    </row>
    <row r="1264" spans="1:80" x14ac:dyDescent="0.2">
      <c r="A1264" s="152"/>
      <c r="B1264" s="683"/>
      <c r="C1264" s="683"/>
      <c r="D1264" s="698"/>
      <c r="E1264" s="215"/>
      <c r="F1264" s="215"/>
      <c r="G1264" s="153"/>
      <c r="H1264" s="153"/>
      <c r="I1264" s="153"/>
      <c r="J1264" s="153"/>
      <c r="K1264" s="153"/>
      <c r="L1264" s="653"/>
      <c r="M1264" s="654">
        <v>35963</v>
      </c>
      <c r="N1264" s="587">
        <v>0.64942999999999995</v>
      </c>
      <c r="O1264" s="592">
        <v>1.49E-3</v>
      </c>
      <c r="P1264" s="190"/>
      <c r="Q1264" s="190"/>
      <c r="R1264" s="190"/>
      <c r="S1264" s="190"/>
      <c r="T1264" s="190"/>
      <c r="U1264" s="190"/>
      <c r="V1264" s="190"/>
      <c r="W1264" s="190"/>
      <c r="X1264" s="190"/>
      <c r="Y1264" s="190"/>
      <c r="Z1264" s="190"/>
      <c r="AA1264" s="190"/>
      <c r="AB1264" s="189"/>
      <c r="AC1264" s="152"/>
      <c r="AD1264" s="189"/>
      <c r="AE1264" s="189"/>
      <c r="AF1264" s="190"/>
      <c r="AG1264" s="190"/>
      <c r="AH1264" s="337"/>
      <c r="AI1264" s="190"/>
      <c r="AJ1264" s="190"/>
      <c r="AK1264" s="190"/>
      <c r="AL1264" s="189"/>
      <c r="AM1264" s="189"/>
      <c r="AN1264" s="189"/>
      <c r="AO1264" s="189"/>
      <c r="AP1264" s="189"/>
      <c r="AQ1264" s="189"/>
      <c r="AR1264" s="189"/>
      <c r="AS1264" s="189"/>
      <c r="AT1264" s="189"/>
      <c r="AU1264" s="190"/>
      <c r="AV1264" s="190"/>
      <c r="AW1264" s="190"/>
      <c r="AX1264" s="190"/>
      <c r="AY1264" s="190"/>
      <c r="AZ1264" s="189"/>
      <c r="BA1264" s="189"/>
      <c r="BB1264" s="189"/>
      <c r="BC1264" s="189"/>
      <c r="BD1264" s="189"/>
      <c r="BE1264" s="189"/>
      <c r="BF1264" s="189"/>
      <c r="BG1264" s="189"/>
      <c r="BH1264" s="189"/>
      <c r="BI1264" s="190"/>
      <c r="BJ1264" s="190"/>
      <c r="BK1264" s="190"/>
      <c r="BL1264" s="190"/>
      <c r="BM1264" s="190"/>
      <c r="BN1264" s="190"/>
      <c r="BO1264" s="190"/>
      <c r="BP1264" s="190"/>
      <c r="BQ1264" s="190"/>
      <c r="BR1264" s="190"/>
      <c r="BS1264" s="190"/>
      <c r="BT1264" s="190"/>
      <c r="BU1264" s="190"/>
      <c r="BV1264" s="190"/>
      <c r="BW1264" s="190"/>
      <c r="BX1264" s="190"/>
      <c r="BY1264" s="190"/>
      <c r="BZ1264" s="190"/>
      <c r="CA1264" s="189"/>
      <c r="CB1264" s="192"/>
    </row>
    <row r="1265" spans="1:80" x14ac:dyDescent="0.2">
      <c r="A1265" s="152"/>
      <c r="B1265" s="683"/>
      <c r="C1265" s="683"/>
      <c r="D1265" s="698"/>
      <c r="E1265" s="215"/>
      <c r="F1265" s="215"/>
      <c r="G1265" s="153"/>
      <c r="H1265" s="153"/>
      <c r="I1265" s="153"/>
      <c r="J1265" s="153"/>
      <c r="K1265" s="153"/>
      <c r="L1265" s="653"/>
      <c r="M1265" s="654">
        <v>35964</v>
      </c>
      <c r="N1265" s="587">
        <v>0.58816999999999997</v>
      </c>
      <c r="O1265" s="592">
        <v>2.0899999999999998E-3</v>
      </c>
      <c r="P1265" s="190"/>
      <c r="Q1265" s="190"/>
      <c r="R1265" s="190"/>
      <c r="S1265" s="190"/>
      <c r="T1265" s="190"/>
      <c r="U1265" s="190"/>
      <c r="V1265" s="190"/>
      <c r="W1265" s="190"/>
      <c r="X1265" s="190"/>
      <c r="Y1265" s="190"/>
      <c r="Z1265" s="190"/>
      <c r="AA1265" s="190"/>
      <c r="AB1265" s="189"/>
      <c r="AC1265" s="152"/>
      <c r="AD1265" s="189"/>
      <c r="AE1265" s="189"/>
      <c r="AF1265" s="190"/>
      <c r="AG1265" s="190"/>
      <c r="AH1265" s="337"/>
      <c r="AI1265" s="190"/>
      <c r="AJ1265" s="190"/>
      <c r="AK1265" s="190"/>
      <c r="AL1265" s="189"/>
      <c r="AM1265" s="189"/>
      <c r="AN1265" s="189"/>
      <c r="AO1265" s="189"/>
      <c r="AP1265" s="189"/>
      <c r="AQ1265" s="189"/>
      <c r="AR1265" s="189"/>
      <c r="AS1265" s="189"/>
      <c r="AT1265" s="189"/>
      <c r="AU1265" s="190"/>
      <c r="AV1265" s="190"/>
      <c r="AW1265" s="190"/>
      <c r="AX1265" s="190"/>
      <c r="AY1265" s="190"/>
      <c r="AZ1265" s="189"/>
      <c r="BA1265" s="189"/>
      <c r="BB1265" s="189"/>
      <c r="BC1265" s="189"/>
      <c r="BD1265" s="189"/>
      <c r="BE1265" s="189"/>
      <c r="BF1265" s="189"/>
      <c r="BG1265" s="189"/>
      <c r="BH1265" s="189"/>
      <c r="BI1265" s="190"/>
      <c r="BJ1265" s="190"/>
      <c r="BK1265" s="190"/>
      <c r="BL1265" s="190"/>
      <c r="BM1265" s="190"/>
      <c r="BN1265" s="190"/>
      <c r="BO1265" s="190"/>
      <c r="BP1265" s="190"/>
      <c r="BQ1265" s="190"/>
      <c r="BR1265" s="190"/>
      <c r="BS1265" s="190"/>
      <c r="BT1265" s="190"/>
      <c r="BU1265" s="190"/>
      <c r="BV1265" s="190"/>
      <c r="BW1265" s="190"/>
      <c r="BX1265" s="190"/>
      <c r="BY1265" s="190"/>
      <c r="BZ1265" s="190"/>
      <c r="CA1265" s="189"/>
      <c r="CB1265" s="192"/>
    </row>
    <row r="1266" spans="1:80" x14ac:dyDescent="0.2">
      <c r="A1266" s="152"/>
      <c r="B1266" s="683"/>
      <c r="C1266" s="683"/>
      <c r="D1266" s="698"/>
      <c r="E1266" s="215"/>
      <c r="F1266" s="215"/>
      <c r="G1266" s="153"/>
      <c r="H1266" s="153"/>
      <c r="I1266" s="153"/>
      <c r="J1266" s="153"/>
      <c r="K1266" s="153"/>
      <c r="L1266" s="653"/>
      <c r="M1266" s="654">
        <v>35964</v>
      </c>
      <c r="N1266" s="587">
        <v>0.64942999999999995</v>
      </c>
      <c r="O1266" s="592">
        <v>1.1199999999999999E-3</v>
      </c>
      <c r="P1266" s="190"/>
      <c r="Q1266" s="190"/>
      <c r="R1266" s="190"/>
      <c r="S1266" s="190"/>
      <c r="T1266" s="190"/>
      <c r="U1266" s="190"/>
      <c r="V1266" s="190"/>
      <c r="W1266" s="190"/>
      <c r="X1266" s="190"/>
      <c r="Y1266" s="190"/>
      <c r="Z1266" s="190"/>
      <c r="AA1266" s="190"/>
      <c r="AB1266" s="189"/>
      <c r="AC1266" s="152"/>
      <c r="AD1266" s="189"/>
      <c r="AE1266" s="189"/>
      <c r="AF1266" s="190"/>
      <c r="AG1266" s="190"/>
      <c r="AH1266" s="337"/>
      <c r="AI1266" s="190"/>
      <c r="AJ1266" s="190"/>
      <c r="AK1266" s="190"/>
      <c r="AL1266" s="189"/>
      <c r="AM1266" s="189"/>
      <c r="AN1266" s="189"/>
      <c r="AO1266" s="189"/>
      <c r="AP1266" s="189"/>
      <c r="AQ1266" s="189"/>
      <c r="AR1266" s="189"/>
      <c r="AS1266" s="189"/>
      <c r="AT1266" s="189"/>
      <c r="AU1266" s="190"/>
      <c r="AV1266" s="190"/>
      <c r="AW1266" s="190"/>
      <c r="AX1266" s="190"/>
      <c r="AY1266" s="190"/>
      <c r="AZ1266" s="189"/>
      <c r="BA1266" s="189"/>
      <c r="BB1266" s="189"/>
      <c r="BC1266" s="189"/>
      <c r="BD1266" s="189"/>
      <c r="BE1266" s="189"/>
      <c r="BF1266" s="189"/>
      <c r="BG1266" s="189"/>
      <c r="BH1266" s="189"/>
      <c r="BI1266" s="190"/>
      <c r="BJ1266" s="190"/>
      <c r="BK1266" s="190"/>
      <c r="BL1266" s="190"/>
      <c r="BM1266" s="190"/>
      <c r="BN1266" s="190"/>
      <c r="BO1266" s="190"/>
      <c r="BP1266" s="190"/>
      <c r="BQ1266" s="190"/>
      <c r="BR1266" s="190"/>
      <c r="BS1266" s="190"/>
      <c r="BT1266" s="190"/>
      <c r="BU1266" s="190"/>
      <c r="BV1266" s="190"/>
      <c r="BW1266" s="190"/>
      <c r="BX1266" s="190"/>
      <c r="BY1266" s="190"/>
      <c r="BZ1266" s="190"/>
      <c r="CA1266" s="189"/>
      <c r="CB1266" s="192"/>
    </row>
    <row r="1267" spans="1:80" x14ac:dyDescent="0.2">
      <c r="A1267" s="152"/>
      <c r="B1267" s="683"/>
      <c r="C1267" s="683"/>
      <c r="D1267" s="698"/>
      <c r="E1267" s="215"/>
      <c r="F1267" s="215"/>
      <c r="G1267" s="153"/>
      <c r="H1267" s="153"/>
      <c r="I1267" s="153"/>
      <c r="J1267" s="153"/>
      <c r="K1267" s="153"/>
      <c r="L1267" s="653"/>
      <c r="M1267" s="654">
        <v>35968</v>
      </c>
      <c r="N1267" s="587">
        <v>0.66986000000000001</v>
      </c>
      <c r="O1267" s="592">
        <v>2.6800000000000001E-3</v>
      </c>
      <c r="P1267" s="190"/>
      <c r="Q1267" s="190"/>
      <c r="R1267" s="190"/>
      <c r="S1267" s="190"/>
      <c r="T1267" s="190"/>
      <c r="U1267" s="190"/>
      <c r="V1267" s="190"/>
      <c r="W1267" s="190"/>
      <c r="X1267" s="190"/>
      <c r="Y1267" s="190"/>
      <c r="Z1267" s="190"/>
      <c r="AA1267" s="190"/>
      <c r="AB1267" s="189"/>
      <c r="AC1267" s="152"/>
      <c r="AD1267" s="189"/>
      <c r="AE1267" s="189"/>
      <c r="AF1267" s="190"/>
      <c r="AG1267" s="190"/>
      <c r="AH1267" s="337"/>
      <c r="AI1267" s="190"/>
      <c r="AJ1267" s="190"/>
      <c r="AK1267" s="190"/>
      <c r="AL1267" s="189"/>
      <c r="AM1267" s="189"/>
      <c r="AN1267" s="189"/>
      <c r="AO1267" s="189"/>
      <c r="AP1267" s="189"/>
      <c r="AQ1267" s="189"/>
      <c r="AR1267" s="189"/>
      <c r="AS1267" s="189"/>
      <c r="AT1267" s="189"/>
      <c r="AU1267" s="190"/>
      <c r="AV1267" s="190"/>
      <c r="AW1267" s="190"/>
      <c r="AX1267" s="190"/>
      <c r="AY1267" s="190"/>
      <c r="AZ1267" s="189"/>
      <c r="BA1267" s="189"/>
      <c r="BB1267" s="189"/>
      <c r="BC1267" s="189"/>
      <c r="BD1267" s="189"/>
      <c r="BE1267" s="189"/>
      <c r="BF1267" s="189"/>
      <c r="BG1267" s="189"/>
      <c r="BH1267" s="189"/>
      <c r="BI1267" s="190"/>
      <c r="BJ1267" s="190"/>
      <c r="BK1267" s="190"/>
      <c r="BL1267" s="190"/>
      <c r="BM1267" s="190"/>
      <c r="BN1267" s="190"/>
      <c r="BO1267" s="190"/>
      <c r="BP1267" s="190"/>
      <c r="BQ1267" s="190"/>
      <c r="BR1267" s="190"/>
      <c r="BS1267" s="190"/>
      <c r="BT1267" s="190"/>
      <c r="BU1267" s="190"/>
      <c r="BV1267" s="190"/>
      <c r="BW1267" s="190"/>
      <c r="BX1267" s="190"/>
      <c r="BY1267" s="190"/>
      <c r="BZ1267" s="190"/>
      <c r="CA1267" s="189"/>
      <c r="CB1267" s="192"/>
    </row>
    <row r="1268" spans="1:80" x14ac:dyDescent="0.2">
      <c r="A1268" s="152"/>
      <c r="B1268" s="683"/>
      <c r="C1268" s="683"/>
      <c r="D1268" s="698"/>
      <c r="E1268" s="215"/>
      <c r="F1268" s="215"/>
      <c r="G1268" s="153"/>
      <c r="H1268" s="153"/>
      <c r="I1268" s="153"/>
      <c r="J1268" s="153"/>
      <c r="K1268" s="153"/>
      <c r="L1268" s="653"/>
      <c r="M1268" s="654">
        <v>35968</v>
      </c>
      <c r="N1268" s="587">
        <v>0.85365000000000002</v>
      </c>
      <c r="O1268" s="592">
        <v>4.2599999999999999E-3</v>
      </c>
      <c r="P1268" s="190"/>
      <c r="Q1268" s="190"/>
      <c r="R1268" s="190"/>
      <c r="S1268" s="190"/>
      <c r="T1268" s="190"/>
      <c r="U1268" s="190"/>
      <c r="V1268" s="190"/>
      <c r="W1268" s="190"/>
      <c r="X1268" s="190"/>
      <c r="Y1268" s="190"/>
      <c r="Z1268" s="190"/>
      <c r="AA1268" s="190"/>
      <c r="AB1268" s="189"/>
      <c r="AC1268" s="152"/>
      <c r="AD1268" s="189"/>
      <c r="AE1268" s="189"/>
      <c r="AF1268" s="190"/>
      <c r="AG1268" s="190"/>
      <c r="AH1268" s="337"/>
      <c r="AI1268" s="190"/>
      <c r="AJ1268" s="190"/>
      <c r="AK1268" s="190"/>
      <c r="AL1268" s="189"/>
      <c r="AM1268" s="189"/>
      <c r="AN1268" s="189"/>
      <c r="AO1268" s="189"/>
      <c r="AP1268" s="189"/>
      <c r="AQ1268" s="189"/>
      <c r="AR1268" s="189"/>
      <c r="AS1268" s="189"/>
      <c r="AT1268" s="189"/>
      <c r="AU1268" s="190"/>
      <c r="AV1268" s="190"/>
      <c r="AW1268" s="190"/>
      <c r="AX1268" s="190"/>
      <c r="AY1268" s="190"/>
      <c r="AZ1268" s="189"/>
      <c r="BA1268" s="189"/>
      <c r="BB1268" s="189"/>
      <c r="BC1268" s="189"/>
      <c r="BD1268" s="189"/>
      <c r="BE1268" s="189"/>
      <c r="BF1268" s="189"/>
      <c r="BG1268" s="189"/>
      <c r="BH1268" s="189"/>
      <c r="BI1268" s="190"/>
      <c r="BJ1268" s="190"/>
      <c r="BK1268" s="190"/>
      <c r="BL1268" s="190"/>
      <c r="BM1268" s="190"/>
      <c r="BN1268" s="190"/>
      <c r="BO1268" s="190"/>
      <c r="BP1268" s="190"/>
      <c r="BQ1268" s="190"/>
      <c r="BR1268" s="190"/>
      <c r="BS1268" s="190"/>
      <c r="BT1268" s="190"/>
      <c r="BU1268" s="190"/>
      <c r="BV1268" s="190"/>
      <c r="BW1268" s="190"/>
      <c r="BX1268" s="190"/>
      <c r="BY1268" s="190"/>
      <c r="BZ1268" s="190"/>
      <c r="CA1268" s="189"/>
      <c r="CB1268" s="192"/>
    </row>
    <row r="1269" spans="1:80" x14ac:dyDescent="0.2">
      <c r="A1269" s="152"/>
      <c r="B1269" s="683"/>
      <c r="C1269" s="683"/>
      <c r="D1269" s="698"/>
      <c r="E1269" s="215"/>
      <c r="F1269" s="215"/>
      <c r="G1269" s="153"/>
      <c r="H1269" s="153"/>
      <c r="I1269" s="153"/>
      <c r="J1269" s="153"/>
      <c r="K1269" s="153"/>
      <c r="L1269" s="653"/>
      <c r="M1269" s="654">
        <v>35969</v>
      </c>
      <c r="N1269" s="587">
        <v>0.7107</v>
      </c>
      <c r="O1269" s="592">
        <v>5.64E-3</v>
      </c>
      <c r="P1269" s="190"/>
      <c r="Q1269" s="190"/>
      <c r="R1269" s="190"/>
      <c r="S1269" s="190"/>
      <c r="T1269" s="190"/>
      <c r="U1269" s="190"/>
      <c r="V1269" s="190"/>
      <c r="W1269" s="190"/>
      <c r="X1269" s="190"/>
      <c r="Y1269" s="190"/>
      <c r="Z1269" s="190"/>
      <c r="AA1269" s="190"/>
      <c r="AB1269" s="189"/>
      <c r="AC1269" s="152"/>
      <c r="AD1269" s="189"/>
      <c r="AE1269" s="189"/>
      <c r="AF1269" s="190"/>
      <c r="AG1269" s="190"/>
      <c r="AH1269" s="337"/>
      <c r="AI1269" s="190"/>
      <c r="AJ1269" s="190"/>
      <c r="AK1269" s="190"/>
      <c r="AL1269" s="189"/>
      <c r="AM1269" s="189"/>
      <c r="AN1269" s="189"/>
      <c r="AO1269" s="189"/>
      <c r="AP1269" s="189"/>
      <c r="AQ1269" s="189"/>
      <c r="AR1269" s="189"/>
      <c r="AS1269" s="189"/>
      <c r="AT1269" s="189"/>
      <c r="AU1269" s="190"/>
      <c r="AV1269" s="190"/>
      <c r="AW1269" s="190"/>
      <c r="AX1269" s="190"/>
      <c r="AY1269" s="190"/>
      <c r="AZ1269" s="189"/>
      <c r="BA1269" s="189"/>
      <c r="BB1269" s="189"/>
      <c r="BC1269" s="189"/>
      <c r="BD1269" s="189"/>
      <c r="BE1269" s="189"/>
      <c r="BF1269" s="189"/>
      <c r="BG1269" s="189"/>
      <c r="BH1269" s="189"/>
      <c r="BI1269" s="190"/>
      <c r="BJ1269" s="190"/>
      <c r="BK1269" s="190"/>
      <c r="BL1269" s="190"/>
      <c r="BM1269" s="190"/>
      <c r="BN1269" s="190"/>
      <c r="BO1269" s="190"/>
      <c r="BP1269" s="190"/>
      <c r="BQ1269" s="190"/>
      <c r="BR1269" s="190"/>
      <c r="BS1269" s="190"/>
      <c r="BT1269" s="190"/>
      <c r="BU1269" s="190"/>
      <c r="BV1269" s="190"/>
      <c r="BW1269" s="190"/>
      <c r="BX1269" s="190"/>
      <c r="BY1269" s="190"/>
      <c r="BZ1269" s="190"/>
      <c r="CA1269" s="189"/>
      <c r="CB1269" s="192"/>
    </row>
    <row r="1270" spans="1:80" x14ac:dyDescent="0.2">
      <c r="A1270" s="152"/>
      <c r="B1270" s="683"/>
      <c r="C1270" s="683"/>
      <c r="D1270" s="698"/>
      <c r="E1270" s="215"/>
      <c r="F1270" s="215"/>
      <c r="G1270" s="153"/>
      <c r="H1270" s="153"/>
      <c r="I1270" s="153"/>
      <c r="J1270" s="153"/>
      <c r="K1270" s="153"/>
      <c r="L1270" s="653"/>
      <c r="M1270" s="654">
        <v>35970</v>
      </c>
      <c r="N1270" s="587">
        <v>0.56774999999999998</v>
      </c>
      <c r="O1270" s="592">
        <v>8.0000000000000004E-4</v>
      </c>
      <c r="P1270" s="190"/>
      <c r="Q1270" s="190"/>
      <c r="R1270" s="190"/>
      <c r="S1270" s="190"/>
      <c r="T1270" s="190"/>
      <c r="U1270" s="190"/>
      <c r="V1270" s="190"/>
      <c r="W1270" s="190"/>
      <c r="X1270" s="190"/>
      <c r="Y1270" s="190"/>
      <c r="Z1270" s="190"/>
      <c r="AA1270" s="190"/>
      <c r="AB1270" s="189"/>
      <c r="AC1270" s="152"/>
      <c r="AD1270" s="189"/>
      <c r="AE1270" s="189"/>
      <c r="AF1270" s="190"/>
      <c r="AG1270" s="190"/>
      <c r="AH1270" s="337"/>
      <c r="AI1270" s="190"/>
      <c r="AJ1270" s="190"/>
      <c r="AK1270" s="190"/>
      <c r="AL1270" s="189"/>
      <c r="AM1270" s="189"/>
      <c r="AN1270" s="189"/>
      <c r="AO1270" s="189"/>
      <c r="AP1270" s="189"/>
      <c r="AQ1270" s="189"/>
      <c r="AR1270" s="189"/>
      <c r="AS1270" s="189"/>
      <c r="AT1270" s="189"/>
      <c r="AU1270" s="190"/>
      <c r="AV1270" s="190"/>
      <c r="AW1270" s="190"/>
      <c r="AX1270" s="190"/>
      <c r="AY1270" s="190"/>
      <c r="AZ1270" s="189"/>
      <c r="BA1270" s="189"/>
      <c r="BB1270" s="189"/>
      <c r="BC1270" s="189"/>
      <c r="BD1270" s="189"/>
      <c r="BE1270" s="189"/>
      <c r="BF1270" s="189"/>
      <c r="BG1270" s="189"/>
      <c r="BH1270" s="189"/>
      <c r="BI1270" s="190"/>
      <c r="BJ1270" s="190"/>
      <c r="BK1270" s="190"/>
      <c r="BL1270" s="190"/>
      <c r="BM1270" s="190"/>
      <c r="BN1270" s="190"/>
      <c r="BO1270" s="190"/>
      <c r="BP1270" s="190"/>
      <c r="BQ1270" s="190"/>
      <c r="BR1270" s="190"/>
      <c r="BS1270" s="190"/>
      <c r="BT1270" s="190"/>
      <c r="BU1270" s="190"/>
      <c r="BV1270" s="190"/>
      <c r="BW1270" s="190"/>
      <c r="BX1270" s="190"/>
      <c r="BY1270" s="190"/>
      <c r="BZ1270" s="190"/>
      <c r="CA1270" s="189"/>
      <c r="CB1270" s="192"/>
    </row>
    <row r="1271" spans="1:80" x14ac:dyDescent="0.2">
      <c r="A1271" s="152"/>
      <c r="B1271" s="683"/>
      <c r="C1271" s="683"/>
      <c r="D1271" s="698"/>
      <c r="E1271" s="215"/>
      <c r="F1271" s="215"/>
      <c r="G1271" s="153"/>
      <c r="H1271" s="153"/>
      <c r="I1271" s="153"/>
      <c r="J1271" s="153"/>
      <c r="K1271" s="153"/>
      <c r="L1271" s="653"/>
      <c r="M1271" s="654">
        <v>35970</v>
      </c>
      <c r="N1271" s="587">
        <v>0.60858999999999996</v>
      </c>
      <c r="O1271" s="592">
        <v>9.3999999999999997E-4</v>
      </c>
      <c r="P1271" s="190"/>
      <c r="Q1271" s="190"/>
      <c r="R1271" s="190"/>
      <c r="S1271" s="190"/>
      <c r="T1271" s="190"/>
      <c r="U1271" s="190"/>
      <c r="V1271" s="190"/>
      <c r="W1271" s="190"/>
      <c r="X1271" s="190"/>
      <c r="Y1271" s="190"/>
      <c r="Z1271" s="190"/>
      <c r="AA1271" s="190"/>
      <c r="AB1271" s="189"/>
      <c r="AC1271" s="152"/>
      <c r="AD1271" s="189"/>
      <c r="AE1271" s="189"/>
      <c r="AF1271" s="190"/>
      <c r="AG1271" s="190"/>
      <c r="AH1271" s="337"/>
      <c r="AI1271" s="190"/>
      <c r="AJ1271" s="190"/>
      <c r="AK1271" s="190"/>
      <c r="AL1271" s="189"/>
      <c r="AM1271" s="189"/>
      <c r="AN1271" s="189"/>
      <c r="AO1271" s="189"/>
      <c r="AP1271" s="189"/>
      <c r="AQ1271" s="189"/>
      <c r="AR1271" s="189"/>
      <c r="AS1271" s="189"/>
      <c r="AT1271" s="189"/>
      <c r="AU1271" s="190"/>
      <c r="AV1271" s="190"/>
      <c r="AW1271" s="190"/>
      <c r="AX1271" s="190"/>
      <c r="AY1271" s="190"/>
      <c r="AZ1271" s="189"/>
      <c r="BA1271" s="189"/>
      <c r="BB1271" s="189"/>
      <c r="BC1271" s="189"/>
      <c r="BD1271" s="189"/>
      <c r="BE1271" s="189"/>
      <c r="BF1271" s="189"/>
      <c r="BG1271" s="189"/>
      <c r="BH1271" s="189"/>
      <c r="BI1271" s="190"/>
      <c r="BJ1271" s="190"/>
      <c r="BK1271" s="190"/>
      <c r="BL1271" s="190"/>
      <c r="BM1271" s="190"/>
      <c r="BN1271" s="190"/>
      <c r="BO1271" s="190"/>
      <c r="BP1271" s="190"/>
      <c r="BQ1271" s="190"/>
      <c r="BR1271" s="190"/>
      <c r="BS1271" s="190"/>
      <c r="BT1271" s="190"/>
      <c r="BU1271" s="190"/>
      <c r="BV1271" s="190"/>
      <c r="BW1271" s="190"/>
      <c r="BX1271" s="190"/>
      <c r="BY1271" s="190"/>
      <c r="BZ1271" s="190"/>
      <c r="CA1271" s="189"/>
      <c r="CB1271" s="192"/>
    </row>
    <row r="1272" spans="1:80" x14ac:dyDescent="0.2">
      <c r="A1272" s="152"/>
      <c r="B1272" s="683"/>
      <c r="C1272" s="683"/>
      <c r="D1272" s="698"/>
      <c r="E1272" s="215"/>
      <c r="F1272" s="215"/>
      <c r="G1272" s="153"/>
      <c r="H1272" s="153"/>
      <c r="I1272" s="153"/>
      <c r="J1272" s="153"/>
      <c r="K1272" s="153"/>
      <c r="L1272" s="653"/>
      <c r="M1272" s="654">
        <v>36291</v>
      </c>
      <c r="N1272" s="587">
        <v>0.69389999999999996</v>
      </c>
      <c r="O1272" s="592">
        <v>9.2000000000000003E-4</v>
      </c>
      <c r="P1272" s="190"/>
      <c r="Q1272" s="190"/>
      <c r="R1272" s="190"/>
      <c r="S1272" s="190"/>
      <c r="T1272" s="190"/>
      <c r="U1272" s="190"/>
      <c r="V1272" s="190"/>
      <c r="W1272" s="190"/>
      <c r="X1272" s="190"/>
      <c r="Y1272" s="190"/>
      <c r="Z1272" s="190"/>
      <c r="AA1272" s="190"/>
      <c r="AB1272" s="189"/>
      <c r="AC1272" s="152"/>
      <c r="AD1272" s="189"/>
      <c r="AE1272" s="189"/>
      <c r="AF1272" s="190"/>
      <c r="AG1272" s="190"/>
      <c r="AH1272" s="337"/>
      <c r="AI1272" s="190"/>
      <c r="AJ1272" s="190"/>
      <c r="AK1272" s="190"/>
      <c r="AL1272" s="189"/>
      <c r="AM1272" s="189"/>
      <c r="AN1272" s="189"/>
      <c r="AO1272" s="189"/>
      <c r="AP1272" s="189"/>
      <c r="AQ1272" s="189"/>
      <c r="AR1272" s="189"/>
      <c r="AS1272" s="189"/>
      <c r="AT1272" s="189"/>
      <c r="AU1272" s="190"/>
      <c r="AV1272" s="190"/>
      <c r="AW1272" s="190"/>
      <c r="AX1272" s="190"/>
      <c r="AY1272" s="190"/>
      <c r="AZ1272" s="189"/>
      <c r="BA1272" s="189"/>
      <c r="BB1272" s="189"/>
      <c r="BC1272" s="189"/>
      <c r="BD1272" s="189"/>
      <c r="BE1272" s="189"/>
      <c r="BF1272" s="189"/>
      <c r="BG1272" s="189"/>
      <c r="BH1272" s="189"/>
      <c r="BI1272" s="190"/>
      <c r="BJ1272" s="190"/>
      <c r="BK1272" s="190"/>
      <c r="BL1272" s="190"/>
      <c r="BM1272" s="190"/>
      <c r="BN1272" s="190"/>
      <c r="BO1272" s="190"/>
      <c r="BP1272" s="190"/>
      <c r="BQ1272" s="190"/>
      <c r="BR1272" s="190"/>
      <c r="BS1272" s="190"/>
      <c r="BT1272" s="190"/>
      <c r="BU1272" s="190"/>
      <c r="BV1272" s="190"/>
      <c r="BW1272" s="190"/>
      <c r="BX1272" s="190"/>
      <c r="BY1272" s="190"/>
      <c r="BZ1272" s="190"/>
      <c r="CA1272" s="189"/>
      <c r="CB1272" s="192"/>
    </row>
    <row r="1273" spans="1:80" x14ac:dyDescent="0.2">
      <c r="A1273" s="152"/>
      <c r="B1273" s="683"/>
      <c r="C1273" s="683"/>
      <c r="D1273" s="698"/>
      <c r="E1273" s="215"/>
      <c r="F1273" s="215"/>
      <c r="G1273" s="153"/>
      <c r="H1273" s="153"/>
      <c r="I1273" s="153"/>
      <c r="J1273" s="153"/>
      <c r="K1273" s="153"/>
      <c r="L1273" s="653"/>
      <c r="M1273" s="654">
        <v>36293</v>
      </c>
      <c r="N1273" s="587">
        <v>0.56120000000000003</v>
      </c>
      <c r="O1273" s="592">
        <v>7.3999999999999999E-4</v>
      </c>
      <c r="P1273" s="190"/>
      <c r="Q1273" s="190"/>
      <c r="R1273" s="190"/>
      <c r="S1273" s="190"/>
      <c r="T1273" s="190"/>
      <c r="U1273" s="190"/>
      <c r="V1273" s="190"/>
      <c r="W1273" s="190"/>
      <c r="X1273" s="190"/>
      <c r="Y1273" s="190"/>
      <c r="Z1273" s="190"/>
      <c r="AA1273" s="190"/>
      <c r="AB1273" s="189"/>
      <c r="AC1273" s="152"/>
      <c r="AD1273" s="189"/>
      <c r="AE1273" s="189"/>
      <c r="AF1273" s="190"/>
      <c r="AG1273" s="190"/>
      <c r="AH1273" s="337"/>
      <c r="AI1273" s="190"/>
      <c r="AJ1273" s="190"/>
      <c r="AK1273" s="190"/>
      <c r="AL1273" s="189"/>
      <c r="AM1273" s="189"/>
      <c r="AN1273" s="189"/>
      <c r="AO1273" s="189"/>
      <c r="AP1273" s="189"/>
      <c r="AQ1273" s="189"/>
      <c r="AR1273" s="189"/>
      <c r="AS1273" s="189"/>
      <c r="AT1273" s="189"/>
      <c r="AU1273" s="190"/>
      <c r="AV1273" s="190"/>
      <c r="AW1273" s="190"/>
      <c r="AX1273" s="190"/>
      <c r="AY1273" s="190"/>
      <c r="AZ1273" s="189"/>
      <c r="BA1273" s="189"/>
      <c r="BB1273" s="189"/>
      <c r="BC1273" s="189"/>
      <c r="BD1273" s="189"/>
      <c r="BE1273" s="189"/>
      <c r="BF1273" s="189"/>
      <c r="BG1273" s="189"/>
      <c r="BH1273" s="189"/>
      <c r="BI1273" s="190"/>
      <c r="BJ1273" s="190"/>
      <c r="BK1273" s="190"/>
      <c r="BL1273" s="190"/>
      <c r="BM1273" s="190"/>
      <c r="BN1273" s="190"/>
      <c r="BO1273" s="190"/>
      <c r="BP1273" s="190"/>
      <c r="BQ1273" s="190"/>
      <c r="BR1273" s="190"/>
      <c r="BS1273" s="190"/>
      <c r="BT1273" s="190"/>
      <c r="BU1273" s="190"/>
      <c r="BV1273" s="190"/>
      <c r="BW1273" s="190"/>
      <c r="BX1273" s="190"/>
      <c r="BY1273" s="190"/>
      <c r="BZ1273" s="190"/>
      <c r="CA1273" s="189"/>
      <c r="CB1273" s="192"/>
    </row>
    <row r="1274" spans="1:80" x14ac:dyDescent="0.2">
      <c r="A1274" s="152"/>
      <c r="B1274" s="683"/>
      <c r="C1274" s="683"/>
      <c r="D1274" s="698"/>
      <c r="E1274" s="215"/>
      <c r="F1274" s="215"/>
      <c r="G1274" s="153"/>
      <c r="H1274" s="153"/>
      <c r="I1274" s="153"/>
      <c r="J1274" s="153"/>
      <c r="K1274" s="153"/>
      <c r="L1274" s="653"/>
      <c r="M1274" s="654">
        <v>36297</v>
      </c>
      <c r="N1274" s="587">
        <v>0.64780000000000004</v>
      </c>
      <c r="O1274" s="592">
        <v>1.8500000000000001E-3</v>
      </c>
      <c r="P1274" s="190"/>
      <c r="Q1274" s="190"/>
      <c r="R1274" s="190"/>
      <c r="S1274" s="190"/>
      <c r="T1274" s="190"/>
      <c r="U1274" s="190"/>
      <c r="V1274" s="190"/>
      <c r="W1274" s="190"/>
      <c r="X1274" s="190"/>
      <c r="Y1274" s="190"/>
      <c r="Z1274" s="190"/>
      <c r="AA1274" s="190"/>
      <c r="AB1274" s="189"/>
      <c r="AC1274" s="152"/>
      <c r="AD1274" s="189"/>
      <c r="AE1274" s="189"/>
      <c r="AF1274" s="190"/>
      <c r="AG1274" s="190"/>
      <c r="AH1274" s="337"/>
      <c r="AI1274" s="190"/>
      <c r="AJ1274" s="190"/>
      <c r="AK1274" s="190"/>
      <c r="AL1274" s="189"/>
      <c r="AM1274" s="189"/>
      <c r="AN1274" s="189"/>
      <c r="AO1274" s="189"/>
      <c r="AP1274" s="189"/>
      <c r="AQ1274" s="189"/>
      <c r="AR1274" s="189"/>
      <c r="AS1274" s="189"/>
      <c r="AT1274" s="189"/>
      <c r="AU1274" s="190"/>
      <c r="AV1274" s="190"/>
      <c r="AW1274" s="190"/>
      <c r="AX1274" s="190"/>
      <c r="AY1274" s="190"/>
      <c r="AZ1274" s="189"/>
      <c r="BA1274" s="189"/>
      <c r="BB1274" s="189"/>
      <c r="BC1274" s="189"/>
      <c r="BD1274" s="189"/>
      <c r="BE1274" s="189"/>
      <c r="BF1274" s="189"/>
      <c r="BG1274" s="189"/>
      <c r="BH1274" s="189"/>
      <c r="BI1274" s="190"/>
      <c r="BJ1274" s="190"/>
      <c r="BK1274" s="190"/>
      <c r="BL1274" s="190"/>
      <c r="BM1274" s="190"/>
      <c r="BN1274" s="190"/>
      <c r="BO1274" s="190"/>
      <c r="BP1274" s="190"/>
      <c r="BQ1274" s="190"/>
      <c r="BR1274" s="190"/>
      <c r="BS1274" s="190"/>
      <c r="BT1274" s="190"/>
      <c r="BU1274" s="190"/>
      <c r="BV1274" s="190"/>
      <c r="BW1274" s="190"/>
      <c r="BX1274" s="190"/>
      <c r="BY1274" s="190"/>
      <c r="BZ1274" s="190"/>
      <c r="CA1274" s="189"/>
      <c r="CB1274" s="192"/>
    </row>
    <row r="1275" spans="1:80" x14ac:dyDescent="0.2">
      <c r="A1275" s="152"/>
      <c r="B1275" s="683"/>
      <c r="C1275" s="683"/>
      <c r="D1275" s="698"/>
      <c r="E1275" s="215"/>
      <c r="F1275" s="215"/>
      <c r="G1275" s="153"/>
      <c r="H1275" s="153"/>
      <c r="I1275" s="153"/>
      <c r="J1275" s="153"/>
      <c r="K1275" s="153"/>
      <c r="L1275" s="653"/>
      <c r="M1275" s="654">
        <v>36300</v>
      </c>
      <c r="N1275" s="587">
        <v>0.91583999999999999</v>
      </c>
      <c r="O1275" s="592">
        <v>5.7499999999999999E-3</v>
      </c>
      <c r="P1275" s="190"/>
      <c r="Q1275" s="190"/>
      <c r="R1275" s="190"/>
      <c r="S1275" s="190"/>
      <c r="T1275" s="190"/>
      <c r="U1275" s="190"/>
      <c r="V1275" s="190"/>
      <c r="W1275" s="190"/>
      <c r="X1275" s="190"/>
      <c r="Y1275" s="190"/>
      <c r="Z1275" s="190"/>
      <c r="AA1275" s="190"/>
      <c r="AB1275" s="189"/>
      <c r="AC1275" s="152"/>
      <c r="AD1275" s="189"/>
      <c r="AE1275" s="189"/>
      <c r="AF1275" s="190"/>
      <c r="AG1275" s="190"/>
      <c r="AH1275" s="337"/>
      <c r="AI1275" s="190"/>
      <c r="AJ1275" s="190"/>
      <c r="AK1275" s="190"/>
      <c r="AL1275" s="189"/>
      <c r="AM1275" s="189"/>
      <c r="AN1275" s="189"/>
      <c r="AO1275" s="189"/>
      <c r="AP1275" s="189"/>
      <c r="AQ1275" s="189"/>
      <c r="AR1275" s="189"/>
      <c r="AS1275" s="189"/>
      <c r="AT1275" s="189"/>
      <c r="AU1275" s="190"/>
      <c r="AV1275" s="190"/>
      <c r="AW1275" s="190"/>
      <c r="AX1275" s="190"/>
      <c r="AY1275" s="190"/>
      <c r="AZ1275" s="189"/>
      <c r="BA1275" s="189"/>
      <c r="BB1275" s="189"/>
      <c r="BC1275" s="189"/>
      <c r="BD1275" s="189"/>
      <c r="BE1275" s="189"/>
      <c r="BF1275" s="189"/>
      <c r="BG1275" s="189"/>
      <c r="BH1275" s="189"/>
      <c r="BI1275" s="190"/>
      <c r="BJ1275" s="190"/>
      <c r="BK1275" s="190"/>
      <c r="BL1275" s="190"/>
      <c r="BM1275" s="190"/>
      <c r="BN1275" s="190"/>
      <c r="BO1275" s="190"/>
      <c r="BP1275" s="190"/>
      <c r="BQ1275" s="190"/>
      <c r="BR1275" s="190"/>
      <c r="BS1275" s="190"/>
      <c r="BT1275" s="190"/>
      <c r="BU1275" s="190"/>
      <c r="BV1275" s="190"/>
      <c r="BW1275" s="190"/>
      <c r="BX1275" s="190"/>
      <c r="BY1275" s="190"/>
      <c r="BZ1275" s="190"/>
      <c r="CA1275" s="189"/>
      <c r="CB1275" s="192"/>
    </row>
    <row r="1276" spans="1:80" x14ac:dyDescent="0.2">
      <c r="A1276" s="152"/>
      <c r="B1276" s="683"/>
      <c r="C1276" s="683"/>
      <c r="D1276" s="698"/>
      <c r="E1276" s="215"/>
      <c r="F1276" s="215"/>
      <c r="G1276" s="153"/>
      <c r="H1276" s="153"/>
      <c r="I1276" s="153"/>
      <c r="J1276" s="153"/>
      <c r="K1276" s="153"/>
      <c r="L1276" s="653"/>
      <c r="M1276" s="654">
        <v>36301</v>
      </c>
      <c r="N1276" s="587">
        <v>0.99158000000000002</v>
      </c>
      <c r="O1276" s="592">
        <v>8.8199999999999997E-3</v>
      </c>
      <c r="P1276" s="190"/>
      <c r="Q1276" s="190"/>
      <c r="R1276" s="190"/>
      <c r="S1276" s="190"/>
      <c r="T1276" s="190"/>
      <c r="U1276" s="190"/>
      <c r="V1276" s="190"/>
      <c r="W1276" s="190"/>
      <c r="X1276" s="190"/>
      <c r="Y1276" s="190"/>
      <c r="Z1276" s="190"/>
      <c r="AA1276" s="190"/>
      <c r="AB1276" s="189"/>
      <c r="AC1276" s="152"/>
      <c r="AD1276" s="189"/>
      <c r="AE1276" s="189"/>
      <c r="AF1276" s="190"/>
      <c r="AG1276" s="190"/>
      <c r="AH1276" s="337"/>
      <c r="AI1276" s="190"/>
      <c r="AJ1276" s="190"/>
      <c r="AK1276" s="190"/>
      <c r="AL1276" s="189"/>
      <c r="AM1276" s="189"/>
      <c r="AN1276" s="189"/>
      <c r="AO1276" s="189"/>
      <c r="AP1276" s="189"/>
      <c r="AQ1276" s="189"/>
      <c r="AR1276" s="189"/>
      <c r="AS1276" s="189"/>
      <c r="AT1276" s="189"/>
      <c r="AU1276" s="190"/>
      <c r="AV1276" s="190"/>
      <c r="AW1276" s="190"/>
      <c r="AX1276" s="190"/>
      <c r="AY1276" s="190"/>
      <c r="AZ1276" s="189"/>
      <c r="BA1276" s="189"/>
      <c r="BB1276" s="189"/>
      <c r="BC1276" s="189"/>
      <c r="BD1276" s="189"/>
      <c r="BE1276" s="189"/>
      <c r="BF1276" s="189"/>
      <c r="BG1276" s="189"/>
      <c r="BH1276" s="189"/>
      <c r="BI1276" s="190"/>
      <c r="BJ1276" s="190"/>
      <c r="BK1276" s="190"/>
      <c r="BL1276" s="190"/>
      <c r="BM1276" s="190"/>
      <c r="BN1276" s="190"/>
      <c r="BO1276" s="190"/>
      <c r="BP1276" s="190"/>
      <c r="BQ1276" s="190"/>
      <c r="BR1276" s="190"/>
      <c r="BS1276" s="190"/>
      <c r="BT1276" s="190"/>
      <c r="BU1276" s="190"/>
      <c r="BV1276" s="190"/>
      <c r="BW1276" s="190"/>
      <c r="BX1276" s="190"/>
      <c r="BY1276" s="190"/>
      <c r="BZ1276" s="190"/>
      <c r="CA1276" s="189"/>
      <c r="CB1276" s="192"/>
    </row>
    <row r="1277" spans="1:80" x14ac:dyDescent="0.2">
      <c r="A1277" s="152"/>
      <c r="B1277" s="683"/>
      <c r="C1277" s="683"/>
      <c r="D1277" s="698"/>
      <c r="E1277" s="215"/>
      <c r="F1277" s="215"/>
      <c r="G1277" s="153"/>
      <c r="H1277" s="153"/>
      <c r="I1277" s="153"/>
      <c r="J1277" s="153"/>
      <c r="K1277" s="153"/>
      <c r="L1277" s="653"/>
      <c r="M1277" s="654">
        <v>36301</v>
      </c>
      <c r="N1277" s="587">
        <v>1.7314400000000001</v>
      </c>
      <c r="O1277" s="592">
        <v>2.9929999999999998E-2</v>
      </c>
      <c r="P1277" s="190"/>
      <c r="Q1277" s="190"/>
      <c r="R1277" s="190"/>
      <c r="S1277" s="190"/>
      <c r="T1277" s="190"/>
      <c r="U1277" s="190"/>
      <c r="V1277" s="190"/>
      <c r="W1277" s="190"/>
      <c r="X1277" s="190"/>
      <c r="Y1277" s="190"/>
      <c r="Z1277" s="190"/>
      <c r="AA1277" s="190"/>
      <c r="AB1277" s="189"/>
      <c r="AC1277" s="152"/>
      <c r="AD1277" s="189"/>
      <c r="AE1277" s="189"/>
      <c r="AF1277" s="190"/>
      <c r="AG1277" s="190"/>
      <c r="AH1277" s="337"/>
      <c r="AI1277" s="190"/>
      <c r="AJ1277" s="190"/>
      <c r="AK1277" s="190"/>
      <c r="AL1277" s="189"/>
      <c r="AM1277" s="189"/>
      <c r="AN1277" s="189"/>
      <c r="AO1277" s="189"/>
      <c r="AP1277" s="189"/>
      <c r="AQ1277" s="189"/>
      <c r="AR1277" s="189"/>
      <c r="AS1277" s="189"/>
      <c r="AT1277" s="189"/>
      <c r="AU1277" s="190"/>
      <c r="AV1277" s="190"/>
      <c r="AW1277" s="190"/>
      <c r="AX1277" s="190"/>
      <c r="AY1277" s="190"/>
      <c r="AZ1277" s="189"/>
      <c r="BA1277" s="189"/>
      <c r="BB1277" s="189"/>
      <c r="BC1277" s="189"/>
      <c r="BD1277" s="189"/>
      <c r="BE1277" s="189"/>
      <c r="BF1277" s="189"/>
      <c r="BG1277" s="189"/>
      <c r="BH1277" s="189"/>
      <c r="BI1277" s="190"/>
      <c r="BJ1277" s="190"/>
      <c r="BK1277" s="190"/>
      <c r="BL1277" s="190"/>
      <c r="BM1277" s="190"/>
      <c r="BN1277" s="190"/>
      <c r="BO1277" s="190"/>
      <c r="BP1277" s="190"/>
      <c r="BQ1277" s="190"/>
      <c r="BR1277" s="190"/>
      <c r="BS1277" s="190"/>
      <c r="BT1277" s="190"/>
      <c r="BU1277" s="190"/>
      <c r="BV1277" s="190"/>
      <c r="BW1277" s="190"/>
      <c r="BX1277" s="190"/>
      <c r="BY1277" s="190"/>
      <c r="BZ1277" s="190"/>
      <c r="CA1277" s="189"/>
      <c r="CB1277" s="192"/>
    </row>
    <row r="1278" spans="1:80" x14ac:dyDescent="0.2">
      <c r="A1278" s="152"/>
      <c r="B1278" s="683"/>
      <c r="C1278" s="683"/>
      <c r="D1278" s="698"/>
      <c r="E1278" s="215"/>
      <c r="F1278" s="215"/>
      <c r="G1278" s="153"/>
      <c r="H1278" s="153"/>
      <c r="I1278" s="153"/>
      <c r="J1278" s="153"/>
      <c r="K1278" s="153"/>
      <c r="L1278" s="653"/>
      <c r="M1278" s="654">
        <v>36302</v>
      </c>
      <c r="N1278" s="587">
        <v>1.7585500000000001</v>
      </c>
      <c r="O1278" s="592">
        <v>2.547E-2</v>
      </c>
      <c r="P1278" s="190"/>
      <c r="Q1278" s="190"/>
      <c r="R1278" s="190"/>
      <c r="S1278" s="190"/>
      <c r="T1278" s="190"/>
      <c r="U1278" s="190"/>
      <c r="V1278" s="190"/>
      <c r="W1278" s="190"/>
      <c r="X1278" s="190"/>
      <c r="Y1278" s="190"/>
      <c r="Z1278" s="190"/>
      <c r="AA1278" s="190"/>
      <c r="AB1278" s="189"/>
      <c r="AC1278" s="152"/>
      <c r="AD1278" s="189"/>
      <c r="AE1278" s="189"/>
      <c r="AF1278" s="190"/>
      <c r="AG1278" s="190"/>
      <c r="AH1278" s="337"/>
      <c r="AI1278" s="190"/>
      <c r="AJ1278" s="190"/>
      <c r="AK1278" s="190"/>
      <c r="AL1278" s="189"/>
      <c r="AM1278" s="189"/>
      <c r="AN1278" s="189"/>
      <c r="AO1278" s="189"/>
      <c r="AP1278" s="189"/>
      <c r="AQ1278" s="189"/>
      <c r="AR1278" s="189"/>
      <c r="AS1278" s="189"/>
      <c r="AT1278" s="189"/>
      <c r="AU1278" s="190"/>
      <c r="AV1278" s="190"/>
      <c r="AW1278" s="190"/>
      <c r="AX1278" s="190"/>
      <c r="AY1278" s="190"/>
      <c r="AZ1278" s="189"/>
      <c r="BA1278" s="189"/>
      <c r="BB1278" s="189"/>
      <c r="BC1278" s="189"/>
      <c r="BD1278" s="189"/>
      <c r="BE1278" s="189"/>
      <c r="BF1278" s="189"/>
      <c r="BG1278" s="189"/>
      <c r="BH1278" s="189"/>
      <c r="BI1278" s="190"/>
      <c r="BJ1278" s="190"/>
      <c r="BK1278" s="190"/>
      <c r="BL1278" s="190"/>
      <c r="BM1278" s="190"/>
      <c r="BN1278" s="190"/>
      <c r="BO1278" s="190"/>
      <c r="BP1278" s="190"/>
      <c r="BQ1278" s="190"/>
      <c r="BR1278" s="190"/>
      <c r="BS1278" s="190"/>
      <c r="BT1278" s="190"/>
      <c r="BU1278" s="190"/>
      <c r="BV1278" s="190"/>
      <c r="BW1278" s="190"/>
      <c r="BX1278" s="190"/>
      <c r="BY1278" s="190"/>
      <c r="BZ1278" s="190"/>
      <c r="CA1278" s="189"/>
      <c r="CB1278" s="192"/>
    </row>
    <row r="1279" spans="1:80" x14ac:dyDescent="0.2">
      <c r="A1279" s="152"/>
      <c r="B1279" s="683"/>
      <c r="C1279" s="683"/>
      <c r="D1279" s="698"/>
      <c r="E1279" s="215"/>
      <c r="F1279" s="215"/>
      <c r="G1279" s="153"/>
      <c r="H1279" s="153"/>
      <c r="I1279" s="153"/>
      <c r="J1279" s="153"/>
      <c r="K1279" s="153"/>
      <c r="L1279" s="653"/>
      <c r="M1279" s="654">
        <v>36303</v>
      </c>
      <c r="N1279" s="587">
        <v>1.62547</v>
      </c>
      <c r="O1279" s="592">
        <v>1.9369999999999998E-2</v>
      </c>
      <c r="P1279" s="190"/>
      <c r="Q1279" s="190"/>
      <c r="R1279" s="190"/>
      <c r="S1279" s="190"/>
      <c r="T1279" s="190"/>
      <c r="U1279" s="190"/>
      <c r="V1279" s="190"/>
      <c r="W1279" s="190"/>
      <c r="X1279" s="190"/>
      <c r="Y1279" s="190"/>
      <c r="Z1279" s="190"/>
      <c r="AA1279" s="190"/>
      <c r="AB1279" s="189"/>
      <c r="AC1279" s="152"/>
      <c r="AD1279" s="189"/>
      <c r="AE1279" s="189"/>
      <c r="AF1279" s="190"/>
      <c r="AG1279" s="190"/>
      <c r="AH1279" s="337"/>
      <c r="AI1279" s="190"/>
      <c r="AJ1279" s="190"/>
      <c r="AK1279" s="190"/>
      <c r="AL1279" s="189"/>
      <c r="AM1279" s="189"/>
      <c r="AN1279" s="189"/>
      <c r="AO1279" s="189"/>
      <c r="AP1279" s="189"/>
      <c r="AQ1279" s="189"/>
      <c r="AR1279" s="189"/>
      <c r="AS1279" s="189"/>
      <c r="AT1279" s="189"/>
      <c r="AU1279" s="190"/>
      <c r="AV1279" s="190"/>
      <c r="AW1279" s="190"/>
      <c r="AX1279" s="190"/>
      <c r="AY1279" s="190"/>
      <c r="AZ1279" s="189"/>
      <c r="BA1279" s="189"/>
      <c r="BB1279" s="189"/>
      <c r="BC1279" s="189"/>
      <c r="BD1279" s="189"/>
      <c r="BE1279" s="189"/>
      <c r="BF1279" s="189"/>
      <c r="BG1279" s="189"/>
      <c r="BH1279" s="189"/>
      <c r="BI1279" s="190"/>
      <c r="BJ1279" s="190"/>
      <c r="BK1279" s="190"/>
      <c r="BL1279" s="190"/>
      <c r="BM1279" s="190"/>
      <c r="BN1279" s="190"/>
      <c r="BO1279" s="190"/>
      <c r="BP1279" s="190"/>
      <c r="BQ1279" s="190"/>
      <c r="BR1279" s="190"/>
      <c r="BS1279" s="190"/>
      <c r="BT1279" s="190"/>
      <c r="BU1279" s="190"/>
      <c r="BV1279" s="190"/>
      <c r="BW1279" s="190"/>
      <c r="BX1279" s="190"/>
      <c r="BY1279" s="190"/>
      <c r="BZ1279" s="190"/>
      <c r="CA1279" s="189"/>
      <c r="CB1279" s="192"/>
    </row>
    <row r="1280" spans="1:80" x14ac:dyDescent="0.2">
      <c r="A1280" s="152"/>
      <c r="B1280" s="683"/>
      <c r="C1280" s="683"/>
      <c r="D1280" s="698"/>
      <c r="E1280" s="215"/>
      <c r="F1280" s="215"/>
      <c r="G1280" s="153"/>
      <c r="H1280" s="153"/>
      <c r="I1280" s="153"/>
      <c r="J1280" s="153"/>
      <c r="K1280" s="153"/>
      <c r="L1280" s="653"/>
      <c r="M1280" s="654">
        <v>36303</v>
      </c>
      <c r="N1280" s="587">
        <v>1.8135399999999999</v>
      </c>
      <c r="O1280" s="592">
        <v>1.7680000000000001E-2</v>
      </c>
      <c r="P1280" s="190"/>
      <c r="Q1280" s="190"/>
      <c r="R1280" s="190"/>
      <c r="S1280" s="190"/>
      <c r="T1280" s="190"/>
      <c r="U1280" s="190"/>
      <c r="V1280" s="190"/>
      <c r="W1280" s="190"/>
      <c r="X1280" s="190"/>
      <c r="Y1280" s="190"/>
      <c r="Z1280" s="190"/>
      <c r="AA1280" s="190"/>
      <c r="AB1280" s="189"/>
      <c r="AC1280" s="152"/>
      <c r="AD1280" s="189"/>
      <c r="AE1280" s="189"/>
      <c r="AF1280" s="190"/>
      <c r="AG1280" s="190"/>
      <c r="AH1280" s="337"/>
      <c r="AI1280" s="190"/>
      <c r="AJ1280" s="190"/>
      <c r="AK1280" s="190"/>
      <c r="AL1280" s="189"/>
      <c r="AM1280" s="189"/>
      <c r="AN1280" s="189"/>
      <c r="AO1280" s="189"/>
      <c r="AP1280" s="189"/>
      <c r="AQ1280" s="189"/>
      <c r="AR1280" s="189"/>
      <c r="AS1280" s="189"/>
      <c r="AT1280" s="189"/>
      <c r="AU1280" s="190"/>
      <c r="AV1280" s="190"/>
      <c r="AW1280" s="190"/>
      <c r="AX1280" s="190"/>
      <c r="AY1280" s="190"/>
      <c r="AZ1280" s="189"/>
      <c r="BA1280" s="189"/>
      <c r="BB1280" s="189"/>
      <c r="BC1280" s="189"/>
      <c r="BD1280" s="189"/>
      <c r="BE1280" s="189"/>
      <c r="BF1280" s="189"/>
      <c r="BG1280" s="189"/>
      <c r="BH1280" s="189"/>
      <c r="BI1280" s="190"/>
      <c r="BJ1280" s="190"/>
      <c r="BK1280" s="190"/>
      <c r="BL1280" s="190"/>
      <c r="BM1280" s="190"/>
      <c r="BN1280" s="190"/>
      <c r="BO1280" s="190"/>
      <c r="BP1280" s="190"/>
      <c r="BQ1280" s="190"/>
      <c r="BR1280" s="190"/>
      <c r="BS1280" s="190"/>
      <c r="BT1280" s="190"/>
      <c r="BU1280" s="190"/>
      <c r="BV1280" s="190"/>
      <c r="BW1280" s="190"/>
      <c r="BX1280" s="190"/>
      <c r="BY1280" s="190"/>
      <c r="BZ1280" s="190"/>
      <c r="CA1280" s="189"/>
      <c r="CB1280" s="192"/>
    </row>
    <row r="1281" spans="1:80" x14ac:dyDescent="0.2">
      <c r="A1281" s="152"/>
      <c r="B1281" s="683"/>
      <c r="C1281" s="683"/>
      <c r="D1281" s="698"/>
      <c r="E1281" s="215"/>
      <c r="F1281" s="215"/>
      <c r="G1281" s="153"/>
      <c r="H1281" s="153"/>
      <c r="I1281" s="153"/>
      <c r="J1281" s="153"/>
      <c r="K1281" s="153"/>
      <c r="L1281" s="653"/>
      <c r="M1281" s="654">
        <v>36304</v>
      </c>
      <c r="N1281" s="587">
        <v>1.9845600000000001</v>
      </c>
      <c r="O1281" s="592">
        <v>5.355E-2</v>
      </c>
      <c r="P1281" s="190"/>
      <c r="Q1281" s="190"/>
      <c r="R1281" s="190"/>
      <c r="S1281" s="190"/>
      <c r="T1281" s="190"/>
      <c r="U1281" s="190"/>
      <c r="V1281" s="190"/>
      <c r="W1281" s="190"/>
      <c r="X1281" s="190"/>
      <c r="Y1281" s="190"/>
      <c r="Z1281" s="190"/>
      <c r="AA1281" s="190"/>
      <c r="AB1281" s="189"/>
      <c r="AC1281" s="152"/>
      <c r="AD1281" s="189"/>
      <c r="AE1281" s="189"/>
      <c r="AF1281" s="190"/>
      <c r="AG1281" s="190"/>
      <c r="AH1281" s="337"/>
      <c r="AI1281" s="190"/>
      <c r="AJ1281" s="190"/>
      <c r="AK1281" s="190"/>
      <c r="AL1281" s="189"/>
      <c r="AM1281" s="189"/>
      <c r="AN1281" s="189"/>
      <c r="AO1281" s="189"/>
      <c r="AP1281" s="189"/>
      <c r="AQ1281" s="189"/>
      <c r="AR1281" s="189"/>
      <c r="AS1281" s="189"/>
      <c r="AT1281" s="189"/>
      <c r="AU1281" s="190"/>
      <c r="AV1281" s="190"/>
      <c r="AW1281" s="190"/>
      <c r="AX1281" s="190"/>
      <c r="AY1281" s="190"/>
      <c r="AZ1281" s="189"/>
      <c r="BA1281" s="189"/>
      <c r="BB1281" s="189"/>
      <c r="BC1281" s="189"/>
      <c r="BD1281" s="189"/>
      <c r="BE1281" s="189"/>
      <c r="BF1281" s="189"/>
      <c r="BG1281" s="189"/>
      <c r="BH1281" s="189"/>
      <c r="BI1281" s="190"/>
      <c r="BJ1281" s="190"/>
      <c r="BK1281" s="190"/>
      <c r="BL1281" s="190"/>
      <c r="BM1281" s="190"/>
      <c r="BN1281" s="190"/>
      <c r="BO1281" s="190"/>
      <c r="BP1281" s="190"/>
      <c r="BQ1281" s="190"/>
      <c r="BR1281" s="190"/>
      <c r="BS1281" s="190"/>
      <c r="BT1281" s="190"/>
      <c r="BU1281" s="190"/>
      <c r="BV1281" s="190"/>
      <c r="BW1281" s="190"/>
      <c r="BX1281" s="190"/>
      <c r="BY1281" s="190"/>
      <c r="BZ1281" s="190"/>
      <c r="CA1281" s="189"/>
      <c r="CB1281" s="192"/>
    </row>
    <row r="1282" spans="1:80" x14ac:dyDescent="0.2">
      <c r="A1282" s="152"/>
      <c r="B1282" s="683"/>
      <c r="C1282" s="683"/>
      <c r="D1282" s="698"/>
      <c r="E1282" s="215"/>
      <c r="F1282" s="215"/>
      <c r="G1282" s="153"/>
      <c r="H1282" s="153"/>
      <c r="I1282" s="153"/>
      <c r="J1282" s="153"/>
      <c r="K1282" s="153"/>
      <c r="L1282" s="653"/>
      <c r="M1282" s="654">
        <v>36304</v>
      </c>
      <c r="N1282" s="587">
        <v>2.1036999999999999</v>
      </c>
      <c r="O1282" s="592">
        <v>6.7339999999999997E-2</v>
      </c>
      <c r="P1282" s="190"/>
      <c r="Q1282" s="190"/>
      <c r="R1282" s="190"/>
      <c r="S1282" s="190"/>
      <c r="T1282" s="190"/>
      <c r="U1282" s="190"/>
      <c r="V1282" s="190"/>
      <c r="W1282" s="190"/>
      <c r="X1282" s="190"/>
      <c r="Y1282" s="190"/>
      <c r="Z1282" s="190"/>
      <c r="AA1282" s="190"/>
      <c r="AB1282" s="189"/>
      <c r="AC1282" s="152"/>
      <c r="AD1282" s="189"/>
      <c r="AE1282" s="189"/>
      <c r="AF1282" s="190"/>
      <c r="AG1282" s="190"/>
      <c r="AH1282" s="337"/>
      <c r="AI1282" s="190"/>
      <c r="AJ1282" s="190"/>
      <c r="AK1282" s="190"/>
      <c r="AL1282" s="189"/>
      <c r="AM1282" s="189"/>
      <c r="AN1282" s="189"/>
      <c r="AO1282" s="189"/>
      <c r="AP1282" s="189"/>
      <c r="AQ1282" s="189"/>
      <c r="AR1282" s="189"/>
      <c r="AS1282" s="189"/>
      <c r="AT1282" s="189"/>
      <c r="AU1282" s="190"/>
      <c r="AV1282" s="190"/>
      <c r="AW1282" s="190"/>
      <c r="AX1282" s="190"/>
      <c r="AY1282" s="190"/>
      <c r="AZ1282" s="189"/>
      <c r="BA1282" s="189"/>
      <c r="BB1282" s="189"/>
      <c r="BC1282" s="189"/>
      <c r="BD1282" s="189"/>
      <c r="BE1282" s="189"/>
      <c r="BF1282" s="189"/>
      <c r="BG1282" s="189"/>
      <c r="BH1282" s="189"/>
      <c r="BI1282" s="190"/>
      <c r="BJ1282" s="190"/>
      <c r="BK1282" s="190"/>
      <c r="BL1282" s="190"/>
      <c r="BM1282" s="190"/>
      <c r="BN1282" s="190"/>
      <c r="BO1282" s="190"/>
      <c r="BP1282" s="190"/>
      <c r="BQ1282" s="190"/>
      <c r="BR1282" s="190"/>
      <c r="BS1282" s="190"/>
      <c r="BT1282" s="190"/>
      <c r="BU1282" s="190"/>
      <c r="BV1282" s="190"/>
      <c r="BW1282" s="190"/>
      <c r="BX1282" s="190"/>
      <c r="BY1282" s="190"/>
      <c r="BZ1282" s="190"/>
      <c r="CA1282" s="189"/>
      <c r="CB1282" s="192"/>
    </row>
    <row r="1283" spans="1:80" x14ac:dyDescent="0.2">
      <c r="A1283" s="152"/>
      <c r="B1283" s="683"/>
      <c r="C1283" s="683"/>
      <c r="D1283" s="698"/>
      <c r="E1283" s="215"/>
      <c r="F1283" s="215"/>
      <c r="G1283" s="153"/>
      <c r="H1283" s="153"/>
      <c r="I1283" s="153"/>
      <c r="J1283" s="153"/>
      <c r="K1283" s="153"/>
      <c r="L1283" s="653"/>
      <c r="M1283" s="654">
        <v>36305</v>
      </c>
      <c r="N1283" s="587">
        <v>1.62547</v>
      </c>
      <c r="O1283" s="592">
        <v>2.2970000000000001E-2</v>
      </c>
      <c r="P1283" s="190"/>
      <c r="Q1283" s="190"/>
      <c r="R1283" s="190"/>
      <c r="S1283" s="190"/>
      <c r="T1283" s="190"/>
      <c r="U1283" s="190"/>
      <c r="V1283" s="190"/>
      <c r="W1283" s="190"/>
      <c r="X1283" s="190"/>
      <c r="Y1283" s="190"/>
      <c r="Z1283" s="190"/>
      <c r="AA1283" s="190"/>
      <c r="AB1283" s="189"/>
      <c r="AC1283" s="152"/>
      <c r="AD1283" s="189"/>
      <c r="AE1283" s="189"/>
      <c r="AF1283" s="190"/>
      <c r="AG1283" s="190"/>
      <c r="AH1283" s="337"/>
      <c r="AI1283" s="190"/>
      <c r="AJ1283" s="190"/>
      <c r="AK1283" s="190"/>
      <c r="AL1283" s="189"/>
      <c r="AM1283" s="189"/>
      <c r="AN1283" s="189"/>
      <c r="AO1283" s="189"/>
      <c r="AP1283" s="189"/>
      <c r="AQ1283" s="189"/>
      <c r="AR1283" s="189"/>
      <c r="AS1283" s="189"/>
      <c r="AT1283" s="189"/>
      <c r="AU1283" s="190"/>
      <c r="AV1283" s="190"/>
      <c r="AW1283" s="190"/>
      <c r="AX1283" s="190"/>
      <c r="AY1283" s="190"/>
      <c r="AZ1283" s="189"/>
      <c r="BA1283" s="189"/>
      <c r="BB1283" s="189"/>
      <c r="BC1283" s="189"/>
      <c r="BD1283" s="189"/>
      <c r="BE1283" s="189"/>
      <c r="BF1283" s="189"/>
      <c r="BG1283" s="189"/>
      <c r="BH1283" s="189"/>
      <c r="BI1283" s="190"/>
      <c r="BJ1283" s="190"/>
      <c r="BK1283" s="190"/>
      <c r="BL1283" s="190"/>
      <c r="BM1283" s="190"/>
      <c r="BN1283" s="190"/>
      <c r="BO1283" s="190"/>
      <c r="BP1283" s="190"/>
      <c r="BQ1283" s="190"/>
      <c r="BR1283" s="190"/>
      <c r="BS1283" s="190"/>
      <c r="BT1283" s="190"/>
      <c r="BU1283" s="190"/>
      <c r="BV1283" s="190"/>
      <c r="BW1283" s="190"/>
      <c r="BX1283" s="190"/>
      <c r="BY1283" s="190"/>
      <c r="BZ1283" s="190"/>
      <c r="CA1283" s="189"/>
      <c r="CB1283" s="192"/>
    </row>
    <row r="1284" spans="1:80" x14ac:dyDescent="0.2">
      <c r="A1284" s="152"/>
      <c r="B1284" s="683"/>
      <c r="C1284" s="683"/>
      <c r="D1284" s="698"/>
      <c r="E1284" s="215"/>
      <c r="F1284" s="215"/>
      <c r="G1284" s="153"/>
      <c r="H1284" s="153"/>
      <c r="I1284" s="153"/>
      <c r="J1284" s="153"/>
      <c r="K1284" s="153"/>
      <c r="L1284" s="653"/>
      <c r="M1284" s="654">
        <v>36305</v>
      </c>
      <c r="N1284" s="587">
        <v>1.52345</v>
      </c>
      <c r="O1284" s="592">
        <v>7.4000000000000003E-3</v>
      </c>
      <c r="P1284" s="190"/>
      <c r="Q1284" s="190"/>
      <c r="R1284" s="190"/>
      <c r="S1284" s="190"/>
      <c r="T1284" s="190"/>
      <c r="U1284" s="190"/>
      <c r="V1284" s="190"/>
      <c r="W1284" s="190"/>
      <c r="X1284" s="190"/>
      <c r="Y1284" s="190"/>
      <c r="Z1284" s="190"/>
      <c r="AA1284" s="190"/>
      <c r="AB1284" s="189"/>
      <c r="AC1284" s="152"/>
      <c r="AD1284" s="189"/>
      <c r="AE1284" s="189"/>
      <c r="AF1284" s="190"/>
      <c r="AG1284" s="190"/>
      <c r="AH1284" s="337"/>
      <c r="AI1284" s="190"/>
      <c r="AJ1284" s="190"/>
      <c r="AK1284" s="190"/>
      <c r="AL1284" s="189"/>
      <c r="AM1284" s="189"/>
      <c r="AN1284" s="189"/>
      <c r="AO1284" s="189"/>
      <c r="AP1284" s="189"/>
      <c r="AQ1284" s="189"/>
      <c r="AR1284" s="189"/>
      <c r="AS1284" s="189"/>
      <c r="AT1284" s="189"/>
      <c r="AU1284" s="190"/>
      <c r="AV1284" s="190"/>
      <c r="AW1284" s="190"/>
      <c r="AX1284" s="190"/>
      <c r="AY1284" s="190"/>
      <c r="AZ1284" s="189"/>
      <c r="BA1284" s="189"/>
      <c r="BB1284" s="189"/>
      <c r="BC1284" s="189"/>
      <c r="BD1284" s="189"/>
      <c r="BE1284" s="189"/>
      <c r="BF1284" s="189"/>
      <c r="BG1284" s="189"/>
      <c r="BH1284" s="189"/>
      <c r="BI1284" s="190"/>
      <c r="BJ1284" s="190"/>
      <c r="BK1284" s="190"/>
      <c r="BL1284" s="190"/>
      <c r="BM1284" s="190"/>
      <c r="BN1284" s="190"/>
      <c r="BO1284" s="190"/>
      <c r="BP1284" s="190"/>
      <c r="BQ1284" s="190"/>
      <c r="BR1284" s="190"/>
      <c r="BS1284" s="190"/>
      <c r="BT1284" s="190"/>
      <c r="BU1284" s="190"/>
      <c r="BV1284" s="190"/>
      <c r="BW1284" s="190"/>
      <c r="BX1284" s="190"/>
      <c r="BY1284" s="190"/>
      <c r="BZ1284" s="190"/>
      <c r="CA1284" s="189"/>
      <c r="CB1284" s="192"/>
    </row>
    <row r="1285" spans="1:80" x14ac:dyDescent="0.2">
      <c r="A1285" s="152"/>
      <c r="B1285" s="683"/>
      <c r="C1285" s="683"/>
      <c r="D1285" s="698"/>
      <c r="E1285" s="215"/>
      <c r="F1285" s="215"/>
      <c r="G1285" s="153"/>
      <c r="H1285" s="153"/>
      <c r="I1285" s="153"/>
      <c r="J1285" s="153"/>
      <c r="K1285" s="153"/>
      <c r="L1285" s="653"/>
      <c r="M1285" s="654">
        <v>36305</v>
      </c>
      <c r="N1285" s="587">
        <v>1.4739</v>
      </c>
      <c r="O1285" s="592">
        <v>5.3899999999999998E-3</v>
      </c>
      <c r="P1285" s="190"/>
      <c r="Q1285" s="190"/>
      <c r="R1285" s="190"/>
      <c r="S1285" s="190"/>
      <c r="T1285" s="190"/>
      <c r="U1285" s="190"/>
      <c r="V1285" s="190"/>
      <c r="W1285" s="190"/>
      <c r="X1285" s="190"/>
      <c r="Y1285" s="190"/>
      <c r="Z1285" s="190"/>
      <c r="AA1285" s="190"/>
      <c r="AB1285" s="189"/>
      <c r="AC1285" s="152"/>
      <c r="AD1285" s="189"/>
      <c r="AE1285" s="189"/>
      <c r="AF1285" s="190"/>
      <c r="AG1285" s="190"/>
      <c r="AH1285" s="337"/>
      <c r="AI1285" s="190"/>
      <c r="AJ1285" s="190"/>
      <c r="AK1285" s="190"/>
      <c r="AL1285" s="189"/>
      <c r="AM1285" s="189"/>
      <c r="AN1285" s="189"/>
      <c r="AO1285" s="189"/>
      <c r="AP1285" s="189"/>
      <c r="AQ1285" s="189"/>
      <c r="AR1285" s="189"/>
      <c r="AS1285" s="189"/>
      <c r="AT1285" s="189"/>
      <c r="AU1285" s="190"/>
      <c r="AV1285" s="190"/>
      <c r="AW1285" s="190"/>
      <c r="AX1285" s="190"/>
      <c r="AY1285" s="190"/>
      <c r="AZ1285" s="189"/>
      <c r="BA1285" s="189"/>
      <c r="BB1285" s="189"/>
      <c r="BC1285" s="189"/>
      <c r="BD1285" s="189"/>
      <c r="BE1285" s="189"/>
      <c r="BF1285" s="189"/>
      <c r="BG1285" s="189"/>
      <c r="BH1285" s="189"/>
      <c r="BI1285" s="190"/>
      <c r="BJ1285" s="190"/>
      <c r="BK1285" s="190"/>
      <c r="BL1285" s="190"/>
      <c r="BM1285" s="190"/>
      <c r="BN1285" s="190"/>
      <c r="BO1285" s="190"/>
      <c r="BP1285" s="190"/>
      <c r="BQ1285" s="190"/>
      <c r="BR1285" s="190"/>
      <c r="BS1285" s="190"/>
      <c r="BT1285" s="190"/>
      <c r="BU1285" s="190"/>
      <c r="BV1285" s="190"/>
      <c r="BW1285" s="190"/>
      <c r="BX1285" s="190"/>
      <c r="BY1285" s="190"/>
      <c r="BZ1285" s="190"/>
      <c r="CA1285" s="189"/>
      <c r="CB1285" s="192"/>
    </row>
    <row r="1286" spans="1:80" x14ac:dyDescent="0.2">
      <c r="A1286" s="152"/>
      <c r="B1286" s="683"/>
      <c r="C1286" s="683"/>
      <c r="D1286" s="698"/>
      <c r="E1286" s="215"/>
      <c r="F1286" s="215"/>
      <c r="G1286" s="153"/>
      <c r="H1286" s="153"/>
      <c r="I1286" s="153"/>
      <c r="J1286" s="153"/>
      <c r="K1286" s="153"/>
      <c r="L1286" s="653"/>
      <c r="M1286" s="654">
        <v>36306</v>
      </c>
      <c r="N1286" s="587">
        <v>1.24061</v>
      </c>
      <c r="O1286" s="592">
        <v>6.3400000000000001E-3</v>
      </c>
      <c r="P1286" s="190"/>
      <c r="Q1286" s="190"/>
      <c r="R1286" s="190"/>
      <c r="S1286" s="190"/>
      <c r="T1286" s="190"/>
      <c r="U1286" s="190"/>
      <c r="V1286" s="190"/>
      <c r="W1286" s="190"/>
      <c r="X1286" s="190"/>
      <c r="Y1286" s="190"/>
      <c r="Z1286" s="190"/>
      <c r="AA1286" s="190"/>
      <c r="AB1286" s="189"/>
      <c r="AC1286" s="152"/>
      <c r="AD1286" s="189"/>
      <c r="AE1286" s="189"/>
      <c r="AF1286" s="190"/>
      <c r="AG1286" s="190"/>
      <c r="AH1286" s="337"/>
      <c r="AI1286" s="190"/>
      <c r="AJ1286" s="190"/>
      <c r="AK1286" s="190"/>
      <c r="AL1286" s="189"/>
      <c r="AM1286" s="189"/>
      <c r="AN1286" s="189"/>
      <c r="AO1286" s="189"/>
      <c r="AP1286" s="189"/>
      <c r="AQ1286" s="189"/>
      <c r="AR1286" s="189"/>
      <c r="AS1286" s="189"/>
      <c r="AT1286" s="189"/>
      <c r="AU1286" s="190"/>
      <c r="AV1286" s="190"/>
      <c r="AW1286" s="190"/>
      <c r="AX1286" s="190"/>
      <c r="AY1286" s="190"/>
      <c r="AZ1286" s="189"/>
      <c r="BA1286" s="189"/>
      <c r="BB1286" s="189"/>
      <c r="BC1286" s="189"/>
      <c r="BD1286" s="189"/>
      <c r="BE1286" s="189"/>
      <c r="BF1286" s="189"/>
      <c r="BG1286" s="189"/>
      <c r="BH1286" s="189"/>
      <c r="BI1286" s="190"/>
      <c r="BJ1286" s="190"/>
      <c r="BK1286" s="190"/>
      <c r="BL1286" s="190"/>
      <c r="BM1286" s="190"/>
      <c r="BN1286" s="190"/>
      <c r="BO1286" s="190"/>
      <c r="BP1286" s="190"/>
      <c r="BQ1286" s="190"/>
      <c r="BR1286" s="190"/>
      <c r="BS1286" s="190"/>
      <c r="BT1286" s="190"/>
      <c r="BU1286" s="190"/>
      <c r="BV1286" s="190"/>
      <c r="BW1286" s="190"/>
      <c r="BX1286" s="190"/>
      <c r="BY1286" s="190"/>
      <c r="BZ1286" s="190"/>
      <c r="CA1286" s="189"/>
      <c r="CB1286" s="192"/>
    </row>
    <row r="1287" spans="1:80" x14ac:dyDescent="0.2">
      <c r="A1287" s="152"/>
      <c r="B1287" s="683"/>
      <c r="C1287" s="683"/>
      <c r="D1287" s="698"/>
      <c r="E1287" s="215"/>
      <c r="F1287" s="215"/>
      <c r="G1287" s="153"/>
      <c r="H1287" s="153"/>
      <c r="I1287" s="153"/>
      <c r="J1287" s="153"/>
      <c r="K1287" s="153"/>
      <c r="L1287" s="653"/>
      <c r="M1287" s="654">
        <v>36306</v>
      </c>
      <c r="N1287" s="587">
        <v>1.33107</v>
      </c>
      <c r="O1287" s="592">
        <v>9.1900000000000003E-3</v>
      </c>
      <c r="P1287" s="190"/>
      <c r="Q1287" s="190"/>
      <c r="R1287" s="190"/>
      <c r="S1287" s="190"/>
      <c r="T1287" s="190"/>
      <c r="U1287" s="190"/>
      <c r="V1287" s="190"/>
      <c r="W1287" s="190"/>
      <c r="X1287" s="190"/>
      <c r="Y1287" s="190"/>
      <c r="Z1287" s="190"/>
      <c r="AA1287" s="190"/>
      <c r="AB1287" s="189"/>
      <c r="AC1287" s="152"/>
      <c r="AD1287" s="189"/>
      <c r="AE1287" s="189"/>
      <c r="AF1287" s="190"/>
      <c r="AG1287" s="190"/>
      <c r="AH1287" s="337"/>
      <c r="AI1287" s="190"/>
      <c r="AJ1287" s="190"/>
      <c r="AK1287" s="190"/>
      <c r="AL1287" s="189"/>
      <c r="AM1287" s="189"/>
      <c r="AN1287" s="189"/>
      <c r="AO1287" s="189"/>
      <c r="AP1287" s="189"/>
      <c r="AQ1287" s="189"/>
      <c r="AR1287" s="189"/>
      <c r="AS1287" s="189"/>
      <c r="AT1287" s="189"/>
      <c r="AU1287" s="190"/>
      <c r="AV1287" s="190"/>
      <c r="AW1287" s="190"/>
      <c r="AX1287" s="190"/>
      <c r="AY1287" s="190"/>
      <c r="AZ1287" s="189"/>
      <c r="BA1287" s="189"/>
      <c r="BB1287" s="189"/>
      <c r="BC1287" s="189"/>
      <c r="BD1287" s="189"/>
      <c r="BE1287" s="189"/>
      <c r="BF1287" s="189"/>
      <c r="BG1287" s="189"/>
      <c r="BH1287" s="189"/>
      <c r="BI1287" s="190"/>
      <c r="BJ1287" s="190"/>
      <c r="BK1287" s="190"/>
      <c r="BL1287" s="190"/>
      <c r="BM1287" s="190"/>
      <c r="BN1287" s="190"/>
      <c r="BO1287" s="190"/>
      <c r="BP1287" s="190"/>
      <c r="BQ1287" s="190"/>
      <c r="BR1287" s="190"/>
      <c r="BS1287" s="190"/>
      <c r="BT1287" s="190"/>
      <c r="BU1287" s="190"/>
      <c r="BV1287" s="190"/>
      <c r="BW1287" s="190"/>
      <c r="BX1287" s="190"/>
      <c r="BY1287" s="190"/>
      <c r="BZ1287" s="190"/>
      <c r="CA1287" s="189"/>
      <c r="CB1287" s="192"/>
    </row>
    <row r="1288" spans="1:80" x14ac:dyDescent="0.2">
      <c r="A1288" s="152"/>
      <c r="B1288" s="683"/>
      <c r="C1288" s="683"/>
      <c r="D1288" s="698"/>
      <c r="E1288" s="215"/>
      <c r="F1288" s="215"/>
      <c r="G1288" s="153"/>
      <c r="H1288" s="153"/>
      <c r="I1288" s="153"/>
      <c r="J1288" s="153"/>
      <c r="K1288" s="153"/>
      <c r="L1288" s="653"/>
      <c r="M1288" s="654">
        <v>36307</v>
      </c>
      <c r="N1288" s="587">
        <v>1.2185900000000001</v>
      </c>
      <c r="O1288" s="592">
        <v>1.6310000000000002E-2</v>
      </c>
      <c r="P1288" s="190"/>
      <c r="Q1288" s="190"/>
      <c r="R1288" s="190"/>
      <c r="S1288" s="190"/>
      <c r="T1288" s="190"/>
      <c r="U1288" s="190"/>
      <c r="V1288" s="190"/>
      <c r="W1288" s="190"/>
      <c r="X1288" s="190"/>
      <c r="Y1288" s="190"/>
      <c r="Z1288" s="190"/>
      <c r="AA1288" s="190"/>
      <c r="AB1288" s="189"/>
      <c r="AC1288" s="152"/>
      <c r="AD1288" s="189"/>
      <c r="AE1288" s="189"/>
      <c r="AF1288" s="190"/>
      <c r="AG1288" s="190"/>
      <c r="AH1288" s="337"/>
      <c r="AI1288" s="190"/>
      <c r="AJ1288" s="190"/>
      <c r="AK1288" s="190"/>
      <c r="AL1288" s="189"/>
      <c r="AM1288" s="189"/>
      <c r="AN1288" s="189"/>
      <c r="AO1288" s="189"/>
      <c r="AP1288" s="189"/>
      <c r="AQ1288" s="189"/>
      <c r="AR1288" s="189"/>
      <c r="AS1288" s="189"/>
      <c r="AT1288" s="189"/>
      <c r="AU1288" s="190"/>
      <c r="AV1288" s="190"/>
      <c r="AW1288" s="190"/>
      <c r="AX1288" s="190"/>
      <c r="AY1288" s="190"/>
      <c r="AZ1288" s="189"/>
      <c r="BA1288" s="189"/>
      <c r="BB1288" s="189"/>
      <c r="BC1288" s="189"/>
      <c r="BD1288" s="189"/>
      <c r="BE1288" s="189"/>
      <c r="BF1288" s="189"/>
      <c r="BG1288" s="189"/>
      <c r="BH1288" s="189"/>
      <c r="BI1288" s="190"/>
      <c r="BJ1288" s="190"/>
      <c r="BK1288" s="190"/>
      <c r="BL1288" s="190"/>
      <c r="BM1288" s="190"/>
      <c r="BN1288" s="190"/>
      <c r="BO1288" s="190"/>
      <c r="BP1288" s="190"/>
      <c r="BQ1288" s="190"/>
      <c r="BR1288" s="190"/>
      <c r="BS1288" s="190"/>
      <c r="BT1288" s="190"/>
      <c r="BU1288" s="190"/>
      <c r="BV1288" s="190"/>
      <c r="BW1288" s="190"/>
      <c r="BX1288" s="190"/>
      <c r="BY1288" s="190"/>
      <c r="BZ1288" s="190"/>
      <c r="CA1288" s="189"/>
      <c r="CB1288" s="192"/>
    </row>
    <row r="1289" spans="1:80" x14ac:dyDescent="0.2">
      <c r="A1289" s="152"/>
      <c r="B1289" s="683"/>
      <c r="C1289" s="683"/>
      <c r="D1289" s="698"/>
      <c r="E1289" s="215"/>
      <c r="F1289" s="215"/>
      <c r="G1289" s="153"/>
      <c r="H1289" s="153"/>
      <c r="I1289" s="153"/>
      <c r="J1289" s="153"/>
      <c r="K1289" s="153"/>
      <c r="L1289" s="653"/>
      <c r="M1289" s="654">
        <v>36308</v>
      </c>
      <c r="N1289" s="587">
        <v>1.2185900000000001</v>
      </c>
      <c r="O1289" s="592">
        <v>1.3559999999999999E-2</v>
      </c>
      <c r="P1289" s="190"/>
      <c r="Q1289" s="190"/>
      <c r="R1289" s="190"/>
      <c r="S1289" s="190"/>
      <c r="T1289" s="190"/>
      <c r="U1289" s="190"/>
      <c r="V1289" s="190"/>
      <c r="W1289" s="190"/>
      <c r="X1289" s="190"/>
      <c r="Y1289" s="190"/>
      <c r="Z1289" s="190"/>
      <c r="AA1289" s="190"/>
      <c r="AB1289" s="189"/>
      <c r="AC1289" s="152"/>
      <c r="AD1289" s="189"/>
      <c r="AE1289" s="189"/>
      <c r="AF1289" s="190"/>
      <c r="AG1289" s="190"/>
      <c r="AH1289" s="337"/>
      <c r="AI1289" s="190"/>
      <c r="AJ1289" s="190"/>
      <c r="AK1289" s="190"/>
      <c r="AL1289" s="189"/>
      <c r="AM1289" s="189"/>
      <c r="AN1289" s="189"/>
      <c r="AO1289" s="189"/>
      <c r="AP1289" s="189"/>
      <c r="AQ1289" s="189"/>
      <c r="AR1289" s="189"/>
      <c r="AS1289" s="189"/>
      <c r="AT1289" s="189"/>
      <c r="AU1289" s="190"/>
      <c r="AV1289" s="190"/>
      <c r="AW1289" s="190"/>
      <c r="AX1289" s="190"/>
      <c r="AY1289" s="190"/>
      <c r="AZ1289" s="189"/>
      <c r="BA1289" s="189"/>
      <c r="BB1289" s="189"/>
      <c r="BC1289" s="189"/>
      <c r="BD1289" s="189"/>
      <c r="BE1289" s="189"/>
      <c r="BF1289" s="189"/>
      <c r="BG1289" s="189"/>
      <c r="BH1289" s="189"/>
      <c r="BI1289" s="190"/>
      <c r="BJ1289" s="190"/>
      <c r="BK1289" s="190"/>
      <c r="BL1289" s="190"/>
      <c r="BM1289" s="190"/>
      <c r="BN1289" s="190"/>
      <c r="BO1289" s="190"/>
      <c r="BP1289" s="190"/>
      <c r="BQ1289" s="190"/>
      <c r="BR1289" s="190"/>
      <c r="BS1289" s="190"/>
      <c r="BT1289" s="190"/>
      <c r="BU1289" s="190"/>
      <c r="BV1289" s="190"/>
      <c r="BW1289" s="190"/>
      <c r="BX1289" s="190"/>
      <c r="BY1289" s="190"/>
      <c r="BZ1289" s="190"/>
      <c r="CA1289" s="189"/>
      <c r="CB1289" s="192"/>
    </row>
    <row r="1290" spans="1:80" x14ac:dyDescent="0.2">
      <c r="A1290" s="152"/>
      <c r="B1290" s="683"/>
      <c r="C1290" s="683"/>
      <c r="D1290" s="698"/>
      <c r="E1290" s="215"/>
      <c r="F1290" s="215"/>
      <c r="G1290" s="153"/>
      <c r="H1290" s="153"/>
      <c r="I1290" s="153"/>
      <c r="J1290" s="153"/>
      <c r="K1290" s="153"/>
      <c r="L1290" s="653"/>
      <c r="M1290" s="654">
        <v>36312</v>
      </c>
      <c r="N1290" s="587">
        <v>1.33107</v>
      </c>
      <c r="O1290" s="592">
        <v>1.554E-2</v>
      </c>
      <c r="P1290" s="190"/>
      <c r="Q1290" s="190"/>
      <c r="R1290" s="190"/>
      <c r="S1290" s="190"/>
      <c r="T1290" s="190"/>
      <c r="U1290" s="190"/>
      <c r="V1290" s="190"/>
      <c r="W1290" s="190"/>
      <c r="X1290" s="190"/>
      <c r="Y1290" s="190"/>
      <c r="Z1290" s="190"/>
      <c r="AA1290" s="190"/>
      <c r="AB1290" s="189"/>
      <c r="AC1290" s="152"/>
      <c r="AD1290" s="189"/>
      <c r="AE1290" s="189"/>
      <c r="AF1290" s="190"/>
      <c r="AG1290" s="190"/>
      <c r="AH1290" s="337"/>
      <c r="AI1290" s="190"/>
      <c r="AJ1290" s="190"/>
      <c r="AK1290" s="190"/>
      <c r="AL1290" s="189"/>
      <c r="AM1290" s="189"/>
      <c r="AN1290" s="189"/>
      <c r="AO1290" s="189"/>
      <c r="AP1290" s="189"/>
      <c r="AQ1290" s="189"/>
      <c r="AR1290" s="189"/>
      <c r="AS1290" s="189"/>
      <c r="AT1290" s="189"/>
      <c r="AU1290" s="190"/>
      <c r="AV1290" s="190"/>
      <c r="AW1290" s="190"/>
      <c r="AX1290" s="190"/>
      <c r="AY1290" s="190"/>
      <c r="AZ1290" s="189"/>
      <c r="BA1290" s="189"/>
      <c r="BB1290" s="189"/>
      <c r="BC1290" s="189"/>
      <c r="BD1290" s="189"/>
      <c r="BE1290" s="189"/>
      <c r="BF1290" s="189"/>
      <c r="BG1290" s="189"/>
      <c r="BH1290" s="189"/>
      <c r="BI1290" s="190"/>
      <c r="BJ1290" s="190"/>
      <c r="BK1290" s="190"/>
      <c r="BL1290" s="190"/>
      <c r="BM1290" s="190"/>
      <c r="BN1290" s="190"/>
      <c r="BO1290" s="190"/>
      <c r="BP1290" s="190"/>
      <c r="BQ1290" s="190"/>
      <c r="BR1290" s="190"/>
      <c r="BS1290" s="190"/>
      <c r="BT1290" s="190"/>
      <c r="BU1290" s="190"/>
      <c r="BV1290" s="190"/>
      <c r="BW1290" s="190"/>
      <c r="BX1290" s="190"/>
      <c r="BY1290" s="190"/>
      <c r="BZ1290" s="190"/>
      <c r="CA1290" s="189"/>
      <c r="CB1290" s="192"/>
    </row>
    <row r="1291" spans="1:80" x14ac:dyDescent="0.2">
      <c r="A1291" s="152"/>
      <c r="B1291" s="683"/>
      <c r="C1291" s="683"/>
      <c r="D1291" s="698"/>
      <c r="E1291" s="215"/>
      <c r="F1291" s="215"/>
      <c r="G1291" s="153"/>
      <c r="H1291" s="153"/>
      <c r="I1291" s="153"/>
      <c r="J1291" s="153"/>
      <c r="K1291" s="153"/>
      <c r="L1291" s="653"/>
      <c r="M1291" s="654">
        <v>36312</v>
      </c>
      <c r="N1291" s="587">
        <v>1.4495</v>
      </c>
      <c r="O1291" s="592">
        <v>1.1379999999999999E-2</v>
      </c>
      <c r="P1291" s="190"/>
      <c r="Q1291" s="190"/>
      <c r="R1291" s="190"/>
      <c r="S1291" s="190"/>
      <c r="T1291" s="190"/>
      <c r="U1291" s="190"/>
      <c r="V1291" s="190"/>
      <c r="W1291" s="190"/>
      <c r="X1291" s="190"/>
      <c r="Y1291" s="190"/>
      <c r="Z1291" s="190"/>
      <c r="AA1291" s="190"/>
      <c r="AB1291" s="189"/>
      <c r="AC1291" s="152"/>
      <c r="AD1291" s="189"/>
      <c r="AE1291" s="189"/>
      <c r="AF1291" s="190"/>
      <c r="AG1291" s="190"/>
      <c r="AH1291" s="337"/>
      <c r="AI1291" s="190"/>
      <c r="AJ1291" s="190"/>
      <c r="AK1291" s="190"/>
      <c r="AL1291" s="189"/>
      <c r="AM1291" s="189"/>
      <c r="AN1291" s="189"/>
      <c r="AO1291" s="189"/>
      <c r="AP1291" s="189"/>
      <c r="AQ1291" s="189"/>
      <c r="AR1291" s="189"/>
      <c r="AS1291" s="189"/>
      <c r="AT1291" s="189"/>
      <c r="AU1291" s="190"/>
      <c r="AV1291" s="190"/>
      <c r="AW1291" s="190"/>
      <c r="AX1291" s="190"/>
      <c r="AY1291" s="190"/>
      <c r="AZ1291" s="189"/>
      <c r="BA1291" s="189"/>
      <c r="BB1291" s="189"/>
      <c r="BC1291" s="189"/>
      <c r="BD1291" s="189"/>
      <c r="BE1291" s="189"/>
      <c r="BF1291" s="189"/>
      <c r="BG1291" s="189"/>
      <c r="BH1291" s="189"/>
      <c r="BI1291" s="190"/>
      <c r="BJ1291" s="190"/>
      <c r="BK1291" s="190"/>
      <c r="BL1291" s="190"/>
      <c r="BM1291" s="190"/>
      <c r="BN1291" s="190"/>
      <c r="BO1291" s="190"/>
      <c r="BP1291" s="190"/>
      <c r="BQ1291" s="190"/>
      <c r="BR1291" s="190"/>
      <c r="BS1291" s="190"/>
      <c r="BT1291" s="190"/>
      <c r="BU1291" s="190"/>
      <c r="BV1291" s="190"/>
      <c r="BW1291" s="190"/>
      <c r="BX1291" s="190"/>
      <c r="BY1291" s="190"/>
      <c r="BZ1291" s="190"/>
      <c r="CA1291" s="189"/>
      <c r="CB1291" s="192"/>
    </row>
    <row r="1292" spans="1:80" x14ac:dyDescent="0.2">
      <c r="A1292" s="152"/>
      <c r="B1292" s="683"/>
      <c r="C1292" s="683"/>
      <c r="D1292" s="698"/>
      <c r="E1292" s="215"/>
      <c r="F1292" s="215"/>
      <c r="G1292" s="153"/>
      <c r="H1292" s="153"/>
      <c r="I1292" s="153"/>
      <c r="J1292" s="153"/>
      <c r="K1292" s="153"/>
      <c r="L1292" s="653"/>
      <c r="M1292" s="654">
        <v>36313</v>
      </c>
      <c r="N1292" s="587">
        <v>1.62547</v>
      </c>
      <c r="O1292" s="592">
        <v>1.332E-2</v>
      </c>
      <c r="P1292" s="190"/>
      <c r="Q1292" s="190"/>
      <c r="R1292" s="190"/>
      <c r="S1292" s="190"/>
      <c r="T1292" s="190"/>
      <c r="U1292" s="190"/>
      <c r="V1292" s="190"/>
      <c r="W1292" s="190"/>
      <c r="X1292" s="190"/>
      <c r="Y1292" s="190"/>
      <c r="Z1292" s="190"/>
      <c r="AA1292" s="190"/>
      <c r="AB1292" s="189"/>
      <c r="AC1292" s="152"/>
      <c r="AD1292" s="189"/>
      <c r="AE1292" s="189"/>
      <c r="AF1292" s="190"/>
      <c r="AG1292" s="190"/>
      <c r="AH1292" s="337"/>
      <c r="AI1292" s="190"/>
      <c r="AJ1292" s="190"/>
      <c r="AK1292" s="190"/>
      <c r="AL1292" s="189"/>
      <c r="AM1292" s="189"/>
      <c r="AN1292" s="189"/>
      <c r="AO1292" s="189"/>
      <c r="AP1292" s="189"/>
      <c r="AQ1292" s="189"/>
      <c r="AR1292" s="189"/>
      <c r="AS1292" s="189"/>
      <c r="AT1292" s="189"/>
      <c r="AU1292" s="190"/>
      <c r="AV1292" s="190"/>
      <c r="AW1292" s="190"/>
      <c r="AX1292" s="190"/>
      <c r="AY1292" s="190"/>
      <c r="AZ1292" s="189"/>
      <c r="BA1292" s="189"/>
      <c r="BB1292" s="189"/>
      <c r="BC1292" s="189"/>
      <c r="BD1292" s="189"/>
      <c r="BE1292" s="189"/>
      <c r="BF1292" s="189"/>
      <c r="BG1292" s="189"/>
      <c r="BH1292" s="189"/>
      <c r="BI1292" s="190"/>
      <c r="BJ1292" s="190"/>
      <c r="BK1292" s="190"/>
      <c r="BL1292" s="190"/>
      <c r="BM1292" s="190"/>
      <c r="BN1292" s="190"/>
      <c r="BO1292" s="190"/>
      <c r="BP1292" s="190"/>
      <c r="BQ1292" s="190"/>
      <c r="BR1292" s="190"/>
      <c r="BS1292" s="190"/>
      <c r="BT1292" s="190"/>
      <c r="BU1292" s="190"/>
      <c r="BV1292" s="190"/>
      <c r="BW1292" s="190"/>
      <c r="BX1292" s="190"/>
      <c r="BY1292" s="190"/>
      <c r="BZ1292" s="190"/>
      <c r="CA1292" s="189"/>
      <c r="CB1292" s="192"/>
    </row>
    <row r="1293" spans="1:80" x14ac:dyDescent="0.2">
      <c r="A1293" s="152"/>
      <c r="B1293" s="683"/>
      <c r="C1293" s="683"/>
      <c r="D1293" s="698"/>
      <c r="E1293" s="215"/>
      <c r="F1293" s="215"/>
      <c r="G1293" s="153"/>
      <c r="H1293" s="153"/>
      <c r="I1293" s="153"/>
      <c r="J1293" s="153"/>
      <c r="K1293" s="153"/>
      <c r="L1293" s="653"/>
      <c r="M1293" s="654">
        <v>36314</v>
      </c>
      <c r="N1293" s="587">
        <v>1.52345</v>
      </c>
      <c r="O1293" s="592">
        <v>3.9699999999999996E-3</v>
      </c>
      <c r="P1293" s="190"/>
      <c r="Q1293" s="190"/>
      <c r="R1293" s="190"/>
      <c r="S1293" s="190"/>
      <c r="T1293" s="190"/>
      <c r="U1293" s="190"/>
      <c r="V1293" s="190"/>
      <c r="W1293" s="190"/>
      <c r="X1293" s="190"/>
      <c r="Y1293" s="190"/>
      <c r="Z1293" s="190"/>
      <c r="AA1293" s="190"/>
      <c r="AB1293" s="189"/>
      <c r="AC1293" s="152"/>
      <c r="AD1293" s="189"/>
      <c r="AE1293" s="189"/>
      <c r="AF1293" s="190"/>
      <c r="AG1293" s="190"/>
      <c r="AH1293" s="337"/>
      <c r="AI1293" s="190"/>
      <c r="AJ1293" s="190"/>
      <c r="AK1293" s="190"/>
      <c r="AL1293" s="189"/>
      <c r="AM1293" s="189"/>
      <c r="AN1293" s="189"/>
      <c r="AO1293" s="189"/>
      <c r="AP1293" s="189"/>
      <c r="AQ1293" s="189"/>
      <c r="AR1293" s="189"/>
      <c r="AS1293" s="189"/>
      <c r="AT1293" s="189"/>
      <c r="AU1293" s="190"/>
      <c r="AV1293" s="190"/>
      <c r="AW1293" s="190"/>
      <c r="AX1293" s="190"/>
      <c r="AY1293" s="190"/>
      <c r="AZ1293" s="189"/>
      <c r="BA1293" s="189"/>
      <c r="BB1293" s="189"/>
      <c r="BC1293" s="189"/>
      <c r="BD1293" s="189"/>
      <c r="BE1293" s="189"/>
      <c r="BF1293" s="189"/>
      <c r="BG1293" s="189"/>
      <c r="BH1293" s="189"/>
      <c r="BI1293" s="190"/>
      <c r="BJ1293" s="190"/>
      <c r="BK1293" s="190"/>
      <c r="BL1293" s="190"/>
      <c r="BM1293" s="190"/>
      <c r="BN1293" s="190"/>
      <c r="BO1293" s="190"/>
      <c r="BP1293" s="190"/>
      <c r="BQ1293" s="190"/>
      <c r="BR1293" s="190"/>
      <c r="BS1293" s="190"/>
      <c r="BT1293" s="190"/>
      <c r="BU1293" s="190"/>
      <c r="BV1293" s="190"/>
      <c r="BW1293" s="190"/>
      <c r="BX1293" s="190"/>
      <c r="BY1293" s="190"/>
      <c r="BZ1293" s="190"/>
      <c r="CA1293" s="189"/>
      <c r="CB1293" s="192"/>
    </row>
    <row r="1294" spans="1:80" x14ac:dyDescent="0.2">
      <c r="A1294" s="152"/>
      <c r="B1294" s="683"/>
      <c r="C1294" s="683"/>
      <c r="D1294" s="698"/>
      <c r="E1294" s="215"/>
      <c r="F1294" s="215"/>
      <c r="G1294" s="153"/>
      <c r="H1294" s="153"/>
      <c r="I1294" s="153"/>
      <c r="J1294" s="153"/>
      <c r="K1294" s="153"/>
      <c r="L1294" s="653"/>
      <c r="M1294" s="654">
        <v>36314</v>
      </c>
      <c r="N1294" s="587">
        <v>1.7314400000000001</v>
      </c>
      <c r="O1294" s="592">
        <v>5.9500000000000004E-3</v>
      </c>
      <c r="P1294" s="190"/>
      <c r="Q1294" s="190"/>
      <c r="R1294" s="190"/>
      <c r="S1294" s="190"/>
      <c r="T1294" s="190"/>
      <c r="U1294" s="190"/>
      <c r="V1294" s="190"/>
      <c r="W1294" s="190"/>
      <c r="X1294" s="190"/>
      <c r="Y1294" s="190"/>
      <c r="Z1294" s="190"/>
      <c r="AA1294" s="190"/>
      <c r="AB1294" s="189"/>
      <c r="AC1294" s="152"/>
      <c r="AD1294" s="189"/>
      <c r="AE1294" s="189"/>
      <c r="AF1294" s="190"/>
      <c r="AG1294" s="190"/>
      <c r="AH1294" s="337"/>
      <c r="AI1294" s="190"/>
      <c r="AJ1294" s="190"/>
      <c r="AK1294" s="190"/>
      <c r="AL1294" s="189"/>
      <c r="AM1294" s="189"/>
      <c r="AN1294" s="189"/>
      <c r="AO1294" s="189"/>
      <c r="AP1294" s="189"/>
      <c r="AQ1294" s="189"/>
      <c r="AR1294" s="189"/>
      <c r="AS1294" s="189"/>
      <c r="AT1294" s="189"/>
      <c r="AU1294" s="190"/>
      <c r="AV1294" s="190"/>
      <c r="AW1294" s="190"/>
      <c r="AX1294" s="190"/>
      <c r="AY1294" s="190"/>
      <c r="AZ1294" s="189"/>
      <c r="BA1294" s="189"/>
      <c r="BB1294" s="189"/>
      <c r="BC1294" s="189"/>
      <c r="BD1294" s="189"/>
      <c r="BE1294" s="189"/>
      <c r="BF1294" s="189"/>
      <c r="BG1294" s="189"/>
      <c r="BH1294" s="189"/>
      <c r="BI1294" s="190"/>
      <c r="BJ1294" s="190"/>
      <c r="BK1294" s="190"/>
      <c r="BL1294" s="190"/>
      <c r="BM1294" s="190"/>
      <c r="BN1294" s="190"/>
      <c r="BO1294" s="190"/>
      <c r="BP1294" s="190"/>
      <c r="BQ1294" s="190"/>
      <c r="BR1294" s="190"/>
      <c r="BS1294" s="190"/>
      <c r="BT1294" s="190"/>
      <c r="BU1294" s="190"/>
      <c r="BV1294" s="190"/>
      <c r="BW1294" s="190"/>
      <c r="BX1294" s="190"/>
      <c r="BY1294" s="190"/>
      <c r="BZ1294" s="190"/>
      <c r="CA1294" s="189"/>
      <c r="CB1294" s="192"/>
    </row>
    <row r="1295" spans="1:80" x14ac:dyDescent="0.2">
      <c r="A1295" s="152"/>
      <c r="B1295" s="683"/>
      <c r="C1295" s="683"/>
      <c r="D1295" s="698"/>
      <c r="E1295" s="215"/>
      <c r="F1295" s="215"/>
      <c r="G1295" s="153"/>
      <c r="H1295" s="153"/>
      <c r="I1295" s="153"/>
      <c r="J1295" s="153"/>
      <c r="K1295" s="153"/>
      <c r="L1295" s="653"/>
      <c r="M1295" s="654">
        <v>36318</v>
      </c>
      <c r="N1295" s="587">
        <v>1.1752400000000001</v>
      </c>
      <c r="O1295" s="592">
        <v>6.3600000000000002E-3</v>
      </c>
      <c r="P1295" s="190"/>
      <c r="Q1295" s="190"/>
      <c r="R1295" s="190"/>
      <c r="S1295" s="190"/>
      <c r="T1295" s="190"/>
      <c r="U1295" s="190"/>
      <c r="V1295" s="190"/>
      <c r="W1295" s="190"/>
      <c r="X1295" s="190"/>
      <c r="Y1295" s="190"/>
      <c r="Z1295" s="190"/>
      <c r="AA1295" s="190"/>
      <c r="AB1295" s="189"/>
      <c r="AC1295" s="152"/>
      <c r="AD1295" s="189"/>
      <c r="AE1295" s="189"/>
      <c r="AF1295" s="190"/>
      <c r="AG1295" s="190"/>
      <c r="AH1295" s="337"/>
      <c r="AI1295" s="190"/>
      <c r="AJ1295" s="190"/>
      <c r="AK1295" s="190"/>
      <c r="AL1295" s="189"/>
      <c r="AM1295" s="189"/>
      <c r="AN1295" s="189"/>
      <c r="AO1295" s="189"/>
      <c r="AP1295" s="189"/>
      <c r="AQ1295" s="189"/>
      <c r="AR1295" s="189"/>
      <c r="AS1295" s="189"/>
      <c r="AT1295" s="189"/>
      <c r="AU1295" s="190"/>
      <c r="AV1295" s="190"/>
      <c r="AW1295" s="190"/>
      <c r="AX1295" s="190"/>
      <c r="AY1295" s="190"/>
      <c r="AZ1295" s="189"/>
      <c r="BA1295" s="189"/>
      <c r="BB1295" s="189"/>
      <c r="BC1295" s="189"/>
      <c r="BD1295" s="189"/>
      <c r="BE1295" s="189"/>
      <c r="BF1295" s="189"/>
      <c r="BG1295" s="189"/>
      <c r="BH1295" s="189"/>
      <c r="BI1295" s="190"/>
      <c r="BJ1295" s="190"/>
      <c r="BK1295" s="190"/>
      <c r="BL1295" s="190"/>
      <c r="BM1295" s="190"/>
      <c r="BN1295" s="190"/>
      <c r="BO1295" s="190"/>
      <c r="BP1295" s="190"/>
      <c r="BQ1295" s="190"/>
      <c r="BR1295" s="190"/>
      <c r="BS1295" s="190"/>
      <c r="BT1295" s="190"/>
      <c r="BU1295" s="190"/>
      <c r="BV1295" s="190"/>
      <c r="BW1295" s="190"/>
      <c r="BX1295" s="190"/>
      <c r="BY1295" s="190"/>
      <c r="BZ1295" s="190"/>
      <c r="CA1295" s="189"/>
      <c r="CB1295" s="192"/>
    </row>
    <row r="1296" spans="1:80" x14ac:dyDescent="0.2">
      <c r="A1296" s="152"/>
      <c r="B1296" s="683"/>
      <c r="C1296" s="683"/>
      <c r="D1296" s="698"/>
      <c r="E1296" s="215"/>
      <c r="F1296" s="215"/>
      <c r="G1296" s="153"/>
      <c r="H1296" s="153"/>
      <c r="I1296" s="153"/>
      <c r="J1296" s="153"/>
      <c r="K1296" s="153"/>
      <c r="L1296" s="653"/>
      <c r="M1296" s="654">
        <v>36319</v>
      </c>
      <c r="N1296" s="587">
        <v>1.15391</v>
      </c>
      <c r="O1296" s="592">
        <v>9.8200000000000006E-3</v>
      </c>
      <c r="P1296" s="190"/>
      <c r="Q1296" s="190"/>
      <c r="R1296" s="190"/>
      <c r="S1296" s="190"/>
      <c r="T1296" s="190"/>
      <c r="U1296" s="190"/>
      <c r="V1296" s="190"/>
      <c r="W1296" s="190"/>
      <c r="X1296" s="190"/>
      <c r="Y1296" s="190"/>
      <c r="Z1296" s="190"/>
      <c r="AA1296" s="190"/>
      <c r="AB1296" s="189"/>
      <c r="AC1296" s="152"/>
      <c r="AD1296" s="189"/>
      <c r="AE1296" s="189"/>
      <c r="AF1296" s="190"/>
      <c r="AG1296" s="190"/>
      <c r="AH1296" s="337"/>
      <c r="AI1296" s="190"/>
      <c r="AJ1296" s="190"/>
      <c r="AK1296" s="190"/>
      <c r="AL1296" s="189"/>
      <c r="AM1296" s="189"/>
      <c r="AN1296" s="189"/>
      <c r="AO1296" s="189"/>
      <c r="AP1296" s="189"/>
      <c r="AQ1296" s="189"/>
      <c r="AR1296" s="189"/>
      <c r="AS1296" s="189"/>
      <c r="AT1296" s="189"/>
      <c r="AU1296" s="190"/>
      <c r="AV1296" s="190"/>
      <c r="AW1296" s="190"/>
      <c r="AX1296" s="190"/>
      <c r="AY1296" s="190"/>
      <c r="AZ1296" s="189"/>
      <c r="BA1296" s="189"/>
      <c r="BB1296" s="189"/>
      <c r="BC1296" s="189"/>
      <c r="BD1296" s="189"/>
      <c r="BE1296" s="189"/>
      <c r="BF1296" s="189"/>
      <c r="BG1296" s="189"/>
      <c r="BH1296" s="189"/>
      <c r="BI1296" s="190"/>
      <c r="BJ1296" s="190"/>
      <c r="BK1296" s="190"/>
      <c r="BL1296" s="190"/>
      <c r="BM1296" s="190"/>
      <c r="BN1296" s="190"/>
      <c r="BO1296" s="190"/>
      <c r="BP1296" s="190"/>
      <c r="BQ1296" s="190"/>
      <c r="BR1296" s="190"/>
      <c r="BS1296" s="190"/>
      <c r="BT1296" s="190"/>
      <c r="BU1296" s="190"/>
      <c r="BV1296" s="190"/>
      <c r="BW1296" s="190"/>
      <c r="BX1296" s="190"/>
      <c r="BY1296" s="190"/>
      <c r="BZ1296" s="190"/>
      <c r="CA1296" s="189"/>
      <c r="CB1296" s="192"/>
    </row>
    <row r="1297" spans="1:80" x14ac:dyDescent="0.2">
      <c r="A1297" s="152"/>
      <c r="B1297" s="683"/>
      <c r="C1297" s="683"/>
      <c r="D1297" s="698"/>
      <c r="E1297" s="215"/>
      <c r="F1297" s="215"/>
      <c r="G1297" s="153"/>
      <c r="H1297" s="153"/>
      <c r="I1297" s="153"/>
      <c r="J1297" s="153"/>
      <c r="K1297" s="153"/>
      <c r="L1297" s="653"/>
      <c r="M1297" s="654">
        <v>36319</v>
      </c>
      <c r="N1297" s="587">
        <v>1.5485800000000001</v>
      </c>
      <c r="O1297" s="592">
        <v>1.107E-2</v>
      </c>
      <c r="P1297" s="190"/>
      <c r="Q1297" s="190"/>
      <c r="R1297" s="190"/>
      <c r="S1297" s="190"/>
      <c r="T1297" s="190"/>
      <c r="U1297" s="190"/>
      <c r="V1297" s="190"/>
      <c r="W1297" s="190"/>
      <c r="X1297" s="190"/>
      <c r="Y1297" s="190"/>
      <c r="Z1297" s="190"/>
      <c r="AA1297" s="190"/>
      <c r="AB1297" s="189"/>
      <c r="AC1297" s="152"/>
      <c r="AD1297" s="189"/>
      <c r="AE1297" s="189"/>
      <c r="AF1297" s="190"/>
      <c r="AG1297" s="190"/>
      <c r="AH1297" s="337"/>
      <c r="AI1297" s="190"/>
      <c r="AJ1297" s="190"/>
      <c r="AK1297" s="190"/>
      <c r="AL1297" s="189"/>
      <c r="AM1297" s="189"/>
      <c r="AN1297" s="189"/>
      <c r="AO1297" s="189"/>
      <c r="AP1297" s="189"/>
      <c r="AQ1297" s="189"/>
      <c r="AR1297" s="189"/>
      <c r="AS1297" s="189"/>
      <c r="AT1297" s="189"/>
      <c r="AU1297" s="190"/>
      <c r="AV1297" s="190"/>
      <c r="AW1297" s="190"/>
      <c r="AX1297" s="190"/>
      <c r="AY1297" s="190"/>
      <c r="AZ1297" s="189"/>
      <c r="BA1297" s="189"/>
      <c r="BB1297" s="189"/>
      <c r="BC1297" s="189"/>
      <c r="BD1297" s="189"/>
      <c r="BE1297" s="189"/>
      <c r="BF1297" s="189"/>
      <c r="BG1297" s="189"/>
      <c r="BH1297" s="189"/>
      <c r="BI1297" s="190"/>
      <c r="BJ1297" s="190"/>
      <c r="BK1297" s="190"/>
      <c r="BL1297" s="190"/>
      <c r="BM1297" s="190"/>
      <c r="BN1297" s="190"/>
      <c r="BO1297" s="190"/>
      <c r="BP1297" s="190"/>
      <c r="BQ1297" s="190"/>
      <c r="BR1297" s="190"/>
      <c r="BS1297" s="190"/>
      <c r="BT1297" s="190"/>
      <c r="BU1297" s="190"/>
      <c r="BV1297" s="190"/>
      <c r="BW1297" s="190"/>
      <c r="BX1297" s="190"/>
      <c r="BY1297" s="190"/>
      <c r="BZ1297" s="190"/>
      <c r="CA1297" s="189"/>
      <c r="CB1297" s="192"/>
    </row>
    <row r="1298" spans="1:80" x14ac:dyDescent="0.2">
      <c r="A1298" s="152"/>
      <c r="B1298" s="683"/>
      <c r="C1298" s="683"/>
      <c r="D1298" s="698"/>
      <c r="E1298" s="215"/>
      <c r="F1298" s="215"/>
      <c r="G1298" s="153"/>
      <c r="H1298" s="153"/>
      <c r="I1298" s="153"/>
      <c r="J1298" s="153"/>
      <c r="K1298" s="153"/>
      <c r="L1298" s="653"/>
      <c r="M1298" s="654">
        <v>36364</v>
      </c>
      <c r="N1298" s="587">
        <v>0.39823999999999998</v>
      </c>
      <c r="O1298" s="592">
        <v>2.31E-3</v>
      </c>
      <c r="P1298" s="190"/>
      <c r="Q1298" s="190"/>
      <c r="R1298" s="190"/>
      <c r="S1298" s="190"/>
      <c r="T1298" s="190"/>
      <c r="U1298" s="190"/>
      <c r="V1298" s="190"/>
      <c r="W1298" s="190"/>
      <c r="X1298" s="190"/>
      <c r="Y1298" s="190"/>
      <c r="Z1298" s="190"/>
      <c r="AA1298" s="190"/>
      <c r="AB1298" s="189"/>
      <c r="AC1298" s="152"/>
      <c r="AD1298" s="189"/>
      <c r="AE1298" s="189"/>
      <c r="AF1298" s="190"/>
      <c r="AG1298" s="190"/>
      <c r="AH1298" s="337"/>
      <c r="AI1298" s="190"/>
      <c r="AJ1298" s="190"/>
      <c r="AK1298" s="190"/>
      <c r="AL1298" s="189"/>
      <c r="AM1298" s="189"/>
      <c r="AN1298" s="189"/>
      <c r="AO1298" s="189"/>
      <c r="AP1298" s="189"/>
      <c r="AQ1298" s="189"/>
      <c r="AR1298" s="189"/>
      <c r="AS1298" s="189"/>
      <c r="AT1298" s="189"/>
      <c r="AU1298" s="190"/>
      <c r="AV1298" s="190"/>
      <c r="AW1298" s="190"/>
      <c r="AX1298" s="190"/>
      <c r="AY1298" s="190"/>
      <c r="AZ1298" s="189"/>
      <c r="BA1298" s="189"/>
      <c r="BB1298" s="189"/>
      <c r="BC1298" s="189"/>
      <c r="BD1298" s="189"/>
      <c r="BE1298" s="189"/>
      <c r="BF1298" s="189"/>
      <c r="BG1298" s="189"/>
      <c r="BH1298" s="189"/>
      <c r="BI1298" s="190"/>
      <c r="BJ1298" s="190"/>
      <c r="BK1298" s="190"/>
      <c r="BL1298" s="190"/>
      <c r="BM1298" s="190"/>
      <c r="BN1298" s="190"/>
      <c r="BO1298" s="190"/>
      <c r="BP1298" s="190"/>
      <c r="BQ1298" s="190"/>
      <c r="BR1298" s="190"/>
      <c r="BS1298" s="190"/>
      <c r="BT1298" s="190"/>
      <c r="BU1298" s="190"/>
      <c r="BV1298" s="190"/>
      <c r="BW1298" s="190"/>
      <c r="BX1298" s="190"/>
      <c r="BY1298" s="190"/>
      <c r="BZ1298" s="190"/>
      <c r="CA1298" s="189"/>
      <c r="CB1298" s="192"/>
    </row>
    <row r="1299" spans="1:80" x14ac:dyDescent="0.2">
      <c r="A1299" s="152"/>
      <c r="B1299" s="683"/>
      <c r="C1299" s="683"/>
      <c r="D1299" s="698"/>
      <c r="E1299" s="215"/>
      <c r="F1299" s="215"/>
      <c r="G1299" s="153"/>
      <c r="H1299" s="153"/>
      <c r="I1299" s="153"/>
      <c r="J1299" s="153"/>
      <c r="K1299" s="153"/>
      <c r="L1299" s="653"/>
      <c r="M1299" s="654">
        <v>36369</v>
      </c>
      <c r="N1299" s="587">
        <v>0.38707000000000003</v>
      </c>
      <c r="O1299" s="592">
        <v>1.1999999999999999E-3</v>
      </c>
      <c r="P1299" s="190"/>
      <c r="Q1299" s="190"/>
      <c r="R1299" s="190"/>
      <c r="S1299" s="190"/>
      <c r="T1299" s="190"/>
      <c r="U1299" s="190"/>
      <c r="V1299" s="190"/>
      <c r="W1299" s="190"/>
      <c r="X1299" s="190"/>
      <c r="Y1299" s="190"/>
      <c r="Z1299" s="190"/>
      <c r="AA1299" s="190"/>
      <c r="AB1299" s="189"/>
      <c r="AC1299" s="152"/>
      <c r="AD1299" s="189"/>
      <c r="AE1299" s="189"/>
      <c r="AF1299" s="190"/>
      <c r="AG1299" s="190"/>
      <c r="AH1299" s="337"/>
      <c r="AI1299" s="190"/>
      <c r="AJ1299" s="190"/>
      <c r="AK1299" s="190"/>
      <c r="AL1299" s="189"/>
      <c r="AM1299" s="189"/>
      <c r="AN1299" s="189"/>
      <c r="AO1299" s="189"/>
      <c r="AP1299" s="189"/>
      <c r="AQ1299" s="189"/>
      <c r="AR1299" s="189"/>
      <c r="AS1299" s="189"/>
      <c r="AT1299" s="189"/>
      <c r="AU1299" s="190"/>
      <c r="AV1299" s="190"/>
      <c r="AW1299" s="190"/>
      <c r="AX1299" s="190"/>
      <c r="AY1299" s="190"/>
      <c r="AZ1299" s="189"/>
      <c r="BA1299" s="189"/>
      <c r="BB1299" s="189"/>
      <c r="BC1299" s="189"/>
      <c r="BD1299" s="189"/>
      <c r="BE1299" s="189"/>
      <c r="BF1299" s="189"/>
      <c r="BG1299" s="189"/>
      <c r="BH1299" s="189"/>
      <c r="BI1299" s="190"/>
      <c r="BJ1299" s="190"/>
      <c r="BK1299" s="190"/>
      <c r="BL1299" s="190"/>
      <c r="BM1299" s="190"/>
      <c r="BN1299" s="190"/>
      <c r="BO1299" s="190"/>
      <c r="BP1299" s="190"/>
      <c r="BQ1299" s="190"/>
      <c r="BR1299" s="190"/>
      <c r="BS1299" s="190"/>
      <c r="BT1299" s="190"/>
      <c r="BU1299" s="190"/>
      <c r="BV1299" s="190"/>
      <c r="BW1299" s="190"/>
      <c r="BX1299" s="190"/>
      <c r="BY1299" s="190"/>
      <c r="BZ1299" s="190"/>
      <c r="CA1299" s="189"/>
      <c r="CB1299" s="192"/>
    </row>
    <row r="1300" spans="1:80" x14ac:dyDescent="0.2">
      <c r="A1300" s="152"/>
      <c r="B1300" s="683"/>
      <c r="C1300" s="683"/>
      <c r="D1300" s="698"/>
      <c r="E1300" s="215"/>
      <c r="F1300" s="215"/>
      <c r="G1300" s="153"/>
      <c r="H1300" s="153"/>
      <c r="I1300" s="153"/>
      <c r="J1300" s="153"/>
      <c r="K1300" s="153"/>
      <c r="L1300" s="653"/>
      <c r="M1300" s="654">
        <v>36369</v>
      </c>
      <c r="N1300" s="587">
        <v>0.38707000000000003</v>
      </c>
      <c r="O1300" s="592">
        <v>1.1100000000000001E-3</v>
      </c>
      <c r="P1300" s="190"/>
      <c r="Q1300" s="190"/>
      <c r="R1300" s="190"/>
      <c r="S1300" s="190"/>
      <c r="T1300" s="190"/>
      <c r="U1300" s="190"/>
      <c r="V1300" s="190"/>
      <c r="W1300" s="190"/>
      <c r="X1300" s="190"/>
      <c r="Y1300" s="190"/>
      <c r="Z1300" s="190"/>
      <c r="AA1300" s="190"/>
      <c r="AB1300" s="189"/>
      <c r="AC1300" s="152"/>
      <c r="AD1300" s="189"/>
      <c r="AE1300" s="189"/>
      <c r="AF1300" s="190"/>
      <c r="AG1300" s="190"/>
      <c r="AH1300" s="337"/>
      <c r="AI1300" s="190"/>
      <c r="AJ1300" s="190"/>
      <c r="AK1300" s="190"/>
      <c r="AL1300" s="189"/>
      <c r="AM1300" s="189"/>
      <c r="AN1300" s="189"/>
      <c r="AO1300" s="189"/>
      <c r="AP1300" s="189"/>
      <c r="AQ1300" s="189"/>
      <c r="AR1300" s="189"/>
      <c r="AS1300" s="189"/>
      <c r="AT1300" s="189"/>
      <c r="AU1300" s="190"/>
      <c r="AV1300" s="190"/>
      <c r="AW1300" s="190"/>
      <c r="AX1300" s="190"/>
      <c r="AY1300" s="190"/>
      <c r="AZ1300" s="189"/>
      <c r="BA1300" s="189"/>
      <c r="BB1300" s="189"/>
      <c r="BC1300" s="189"/>
      <c r="BD1300" s="189"/>
      <c r="BE1300" s="189"/>
      <c r="BF1300" s="189"/>
      <c r="BG1300" s="189"/>
      <c r="BH1300" s="189"/>
      <c r="BI1300" s="190"/>
      <c r="BJ1300" s="190"/>
      <c r="BK1300" s="190"/>
      <c r="BL1300" s="190"/>
      <c r="BM1300" s="190"/>
      <c r="BN1300" s="190"/>
      <c r="BO1300" s="190"/>
      <c r="BP1300" s="190"/>
      <c r="BQ1300" s="190"/>
      <c r="BR1300" s="190"/>
      <c r="BS1300" s="190"/>
      <c r="BT1300" s="190"/>
      <c r="BU1300" s="190"/>
      <c r="BV1300" s="190"/>
      <c r="BW1300" s="190"/>
      <c r="BX1300" s="190"/>
      <c r="BY1300" s="190"/>
      <c r="BZ1300" s="190"/>
      <c r="CA1300" s="189"/>
      <c r="CB1300" s="192"/>
    </row>
    <row r="1301" spans="1:80" x14ac:dyDescent="0.2">
      <c r="A1301" s="152"/>
      <c r="B1301" s="683"/>
      <c r="C1301" s="683"/>
      <c r="D1301" s="698"/>
      <c r="E1301" s="215"/>
      <c r="F1301" s="215"/>
      <c r="G1301" s="153"/>
      <c r="H1301" s="153"/>
      <c r="I1301" s="153"/>
      <c r="J1301" s="153"/>
      <c r="K1301" s="153"/>
      <c r="L1301" s="653"/>
      <c r="M1301" s="654">
        <v>36376</v>
      </c>
      <c r="N1301" s="587">
        <v>0.38707000000000003</v>
      </c>
      <c r="O1301" s="592">
        <v>6.9999999999999994E-5</v>
      </c>
      <c r="P1301" s="190"/>
      <c r="Q1301" s="190"/>
      <c r="R1301" s="190"/>
      <c r="S1301" s="190"/>
      <c r="T1301" s="190"/>
      <c r="U1301" s="190"/>
      <c r="V1301" s="190"/>
      <c r="W1301" s="190"/>
      <c r="X1301" s="190"/>
      <c r="Y1301" s="190"/>
      <c r="Z1301" s="190"/>
      <c r="AA1301" s="190"/>
      <c r="AB1301" s="189"/>
      <c r="AC1301" s="152"/>
      <c r="AD1301" s="189"/>
      <c r="AE1301" s="189"/>
      <c r="AF1301" s="190"/>
      <c r="AG1301" s="190"/>
      <c r="AH1301" s="337"/>
      <c r="AI1301" s="190"/>
      <c r="AJ1301" s="190"/>
      <c r="AK1301" s="190"/>
      <c r="AL1301" s="189"/>
      <c r="AM1301" s="189"/>
      <c r="AN1301" s="189"/>
      <c r="AO1301" s="189"/>
      <c r="AP1301" s="189"/>
      <c r="AQ1301" s="189"/>
      <c r="AR1301" s="189"/>
      <c r="AS1301" s="189"/>
      <c r="AT1301" s="189"/>
      <c r="AU1301" s="190"/>
      <c r="AV1301" s="190"/>
      <c r="AW1301" s="190"/>
      <c r="AX1301" s="190"/>
      <c r="AY1301" s="190"/>
      <c r="AZ1301" s="189"/>
      <c r="BA1301" s="189"/>
      <c r="BB1301" s="189"/>
      <c r="BC1301" s="189"/>
      <c r="BD1301" s="189"/>
      <c r="BE1301" s="189"/>
      <c r="BF1301" s="189"/>
      <c r="BG1301" s="189"/>
      <c r="BH1301" s="189"/>
      <c r="BI1301" s="190"/>
      <c r="BJ1301" s="190"/>
      <c r="BK1301" s="190"/>
      <c r="BL1301" s="190"/>
      <c r="BM1301" s="190"/>
      <c r="BN1301" s="190"/>
      <c r="BO1301" s="190"/>
      <c r="BP1301" s="190"/>
      <c r="BQ1301" s="190"/>
      <c r="BR1301" s="190"/>
      <c r="BS1301" s="190"/>
      <c r="BT1301" s="190"/>
      <c r="BU1301" s="190"/>
      <c r="BV1301" s="190"/>
      <c r="BW1301" s="190"/>
      <c r="BX1301" s="190"/>
      <c r="BY1301" s="190"/>
      <c r="BZ1301" s="190"/>
      <c r="CA1301" s="189"/>
      <c r="CB1301" s="192"/>
    </row>
    <row r="1302" spans="1:80" x14ac:dyDescent="0.2">
      <c r="A1302" s="152"/>
      <c r="B1302" s="683"/>
      <c r="C1302" s="683"/>
      <c r="D1302" s="698"/>
      <c r="E1302" s="215"/>
      <c r="F1302" s="215"/>
      <c r="G1302" s="153"/>
      <c r="H1302" s="153"/>
      <c r="I1302" s="153"/>
      <c r="J1302" s="153"/>
      <c r="K1302" s="153"/>
      <c r="L1302" s="653"/>
      <c r="M1302" s="654">
        <v>36377</v>
      </c>
      <c r="N1302" s="587">
        <v>1.0110699999999999</v>
      </c>
      <c r="O1302" s="592">
        <v>1.085E-2</v>
      </c>
      <c r="P1302" s="190"/>
      <c r="Q1302" s="190"/>
      <c r="R1302" s="190"/>
      <c r="S1302" s="190"/>
      <c r="T1302" s="190"/>
      <c r="U1302" s="190"/>
      <c r="V1302" s="190"/>
      <c r="W1302" s="190"/>
      <c r="X1302" s="190"/>
      <c r="Y1302" s="190"/>
      <c r="Z1302" s="190"/>
      <c r="AA1302" s="190"/>
      <c r="AB1302" s="189"/>
      <c r="AC1302" s="152"/>
      <c r="AD1302" s="189"/>
      <c r="AE1302" s="189"/>
      <c r="AF1302" s="190"/>
      <c r="AG1302" s="190"/>
      <c r="AH1302" s="337"/>
      <c r="AI1302" s="190"/>
      <c r="AJ1302" s="190"/>
      <c r="AK1302" s="190"/>
      <c r="AL1302" s="189"/>
      <c r="AM1302" s="189"/>
      <c r="AN1302" s="189"/>
      <c r="AO1302" s="189"/>
      <c r="AP1302" s="189"/>
      <c r="AQ1302" s="189"/>
      <c r="AR1302" s="189"/>
      <c r="AS1302" s="189"/>
      <c r="AT1302" s="189"/>
      <c r="AU1302" s="190"/>
      <c r="AV1302" s="190"/>
      <c r="AW1302" s="190"/>
      <c r="AX1302" s="190"/>
      <c r="AY1302" s="190"/>
      <c r="AZ1302" s="189"/>
      <c r="BA1302" s="189"/>
      <c r="BB1302" s="189"/>
      <c r="BC1302" s="189"/>
      <c r="BD1302" s="189"/>
      <c r="BE1302" s="189"/>
      <c r="BF1302" s="189"/>
      <c r="BG1302" s="189"/>
      <c r="BH1302" s="189"/>
      <c r="BI1302" s="190"/>
      <c r="BJ1302" s="190"/>
      <c r="BK1302" s="190"/>
      <c r="BL1302" s="190"/>
      <c r="BM1302" s="190"/>
      <c r="BN1302" s="190"/>
      <c r="BO1302" s="190"/>
      <c r="BP1302" s="190"/>
      <c r="BQ1302" s="190"/>
      <c r="BR1302" s="190"/>
      <c r="BS1302" s="190"/>
      <c r="BT1302" s="190"/>
      <c r="BU1302" s="190"/>
      <c r="BV1302" s="190"/>
      <c r="BW1302" s="190"/>
      <c r="BX1302" s="190"/>
      <c r="BY1302" s="190"/>
      <c r="BZ1302" s="190"/>
      <c r="CA1302" s="189"/>
      <c r="CB1302" s="192"/>
    </row>
    <row r="1303" spans="1:80" ht="15" x14ac:dyDescent="0.25">
      <c r="A1303" s="9" t="s">
        <v>61</v>
      </c>
      <c r="B1303" s="639" t="s">
        <v>53</v>
      </c>
      <c r="C1303" s="639"/>
      <c r="D1303" s="4">
        <f>VLOOKUP(E1303,'Quality Code'!D4:E24,2,TRUE)*VLOOKUP(MROUND(F1303,10),'Quality Code'!D28:E69,2,TRUE)*VLOOKUP(6,'Quality Code'!D73:E93,2,TRUE)</f>
        <v>4.5</v>
      </c>
      <c r="E1303" s="14">
        <v>0.9</v>
      </c>
      <c r="F1303" s="18">
        <v>123</v>
      </c>
      <c r="G1303" s="12">
        <f>2.59*21.1</f>
        <v>54.649000000000001</v>
      </c>
      <c r="H1303" s="2" t="s">
        <v>231</v>
      </c>
      <c r="I1303" s="2">
        <v>20</v>
      </c>
      <c r="J1303" s="2" t="s">
        <v>280</v>
      </c>
      <c r="K1303" s="329" t="s">
        <v>297</v>
      </c>
      <c r="L1303" s="639" t="s">
        <v>834</v>
      </c>
      <c r="M1303" s="640" t="s">
        <v>835</v>
      </c>
      <c r="N1303" s="579" t="s">
        <v>286</v>
      </c>
      <c r="O1303" s="579"/>
      <c r="P1303" s="17"/>
      <c r="Q1303" s="17"/>
      <c r="R1303" s="17"/>
      <c r="S1303" s="17"/>
      <c r="T1303" s="17"/>
      <c r="U1303" s="17"/>
      <c r="V1303" s="17"/>
      <c r="W1303" s="17"/>
      <c r="X1303" s="17"/>
      <c r="Y1303" s="17"/>
      <c r="Z1303" s="11"/>
      <c r="AA1303" s="11"/>
      <c r="AB1303" s="11"/>
      <c r="AC1303" s="126">
        <v>0.02</v>
      </c>
      <c r="AD1303" s="26"/>
      <c r="AE1303" s="26"/>
      <c r="AF1303" s="26"/>
      <c r="AG1303" s="26"/>
      <c r="AH1303" s="330"/>
      <c r="AI1303" s="123">
        <v>17.5</v>
      </c>
      <c r="AJ1303" s="123"/>
      <c r="AK1303" s="17" t="s">
        <v>237</v>
      </c>
      <c r="AL1303" s="17" t="s">
        <v>238</v>
      </c>
      <c r="AM1303" s="17" t="s">
        <v>239</v>
      </c>
      <c r="AN1303" s="17" t="s">
        <v>240</v>
      </c>
      <c r="AO1303" s="17" t="s">
        <v>241</v>
      </c>
      <c r="AP1303" s="17" t="s">
        <v>242</v>
      </c>
      <c r="AQ1303" s="17" t="s">
        <v>243</v>
      </c>
      <c r="AR1303" s="17"/>
      <c r="AS1303" s="17"/>
      <c r="AT1303" s="17"/>
      <c r="AU1303" s="18">
        <v>57.8</v>
      </c>
      <c r="AV1303" s="18"/>
      <c r="AW1303" s="18"/>
      <c r="AX1303" s="18"/>
      <c r="AY1303" s="17" t="s">
        <v>237</v>
      </c>
      <c r="AZ1303" s="17" t="s">
        <v>238</v>
      </c>
      <c r="BA1303" s="17" t="s">
        <v>239</v>
      </c>
      <c r="BB1303" s="17" t="s">
        <v>240</v>
      </c>
      <c r="BC1303" s="17" t="s">
        <v>241</v>
      </c>
      <c r="BD1303" s="17" t="s">
        <v>242</v>
      </c>
      <c r="BE1303" s="17" t="s">
        <v>243</v>
      </c>
      <c r="BF1303" s="17"/>
      <c r="BG1303" s="17"/>
      <c r="BH1303" s="17"/>
      <c r="BI1303" s="4">
        <f>AU1303/AI1303</f>
        <v>3.3028571428571425</v>
      </c>
      <c r="BJ1303" s="2" t="s">
        <v>244</v>
      </c>
      <c r="BK1303" s="2" t="s">
        <v>245</v>
      </c>
      <c r="BL1303" s="12">
        <f>210*0.028317</f>
        <v>5.9465699999999995</v>
      </c>
      <c r="BM1303" s="12">
        <f>229*0.028317</f>
        <v>6.4845929999999994</v>
      </c>
      <c r="BN1303" s="12">
        <f>32*0.3048</f>
        <v>9.7536000000000005</v>
      </c>
      <c r="BO1303" s="12">
        <f>1.4*0.3048</f>
        <v>0.42671999999999999</v>
      </c>
      <c r="BP1303" s="12">
        <f>BO1303*BN1303</f>
        <v>4.1620561919999997</v>
      </c>
      <c r="BQ1303" s="12">
        <f>BN1303/BO1303</f>
        <v>22.857142857142858</v>
      </c>
      <c r="BR1303" s="12" t="s">
        <v>276</v>
      </c>
      <c r="BS1303" s="12" t="s">
        <v>598</v>
      </c>
      <c r="BT1303" s="12"/>
      <c r="BU1303" s="2"/>
      <c r="BV1303" s="2"/>
      <c r="BW1303" s="2"/>
      <c r="BX1303" s="2"/>
      <c r="BY1303" s="2"/>
      <c r="BZ1303" s="2"/>
      <c r="CA1303" s="9"/>
      <c r="CB1303" s="5" t="s">
        <v>635</v>
      </c>
    </row>
    <row r="1304" spans="1:80" x14ac:dyDescent="0.2">
      <c r="A1304" s="152"/>
      <c r="B1304" s="683"/>
      <c r="C1304" s="683"/>
      <c r="D1304" s="698"/>
      <c r="E1304" s="215"/>
      <c r="F1304" s="215"/>
      <c r="G1304" s="153"/>
      <c r="H1304" s="153"/>
      <c r="I1304" s="153"/>
      <c r="J1304" s="153"/>
      <c r="K1304" s="153"/>
      <c r="L1304" s="653"/>
      <c r="M1304" s="654">
        <v>31175</v>
      </c>
      <c r="N1304" s="587">
        <v>3.9364503979999999</v>
      </c>
      <c r="O1304" s="592">
        <v>4.9769674E-2</v>
      </c>
      <c r="P1304" s="216"/>
      <c r="Q1304" s="216"/>
      <c r="R1304" s="216">
        <v>6.7000000000000004E-2</v>
      </c>
      <c r="S1304" s="216">
        <v>5.0999999999999997E-2</v>
      </c>
      <c r="T1304" s="216">
        <v>7.3999999999999996E-2</v>
      </c>
      <c r="U1304" s="216">
        <v>8.5999999999999993E-2</v>
      </c>
      <c r="V1304" s="216">
        <v>0.15</v>
      </c>
      <c r="W1304" s="216">
        <v>0.18</v>
      </c>
      <c r="X1304" s="216">
        <v>0.27700000000000002</v>
      </c>
      <c r="Y1304" s="216">
        <v>0.115</v>
      </c>
      <c r="Z1304" s="216"/>
      <c r="AA1304" s="186">
        <f>AVERAGE(0.76,3.52)</f>
        <v>2.14</v>
      </c>
      <c r="AB1304" s="192"/>
      <c r="AC1304" s="152"/>
      <c r="AD1304" s="186">
        <f>27*(0.3048)</f>
        <v>8.2295999999999996</v>
      </c>
      <c r="AE1304" s="186">
        <f>1.21*(0.3048)</f>
        <v>0.36880800000000002</v>
      </c>
      <c r="AF1304" s="186">
        <f>32.8*(0.3048^2)</f>
        <v>3.047219712</v>
      </c>
      <c r="AG1304" s="186">
        <f>4.24*(0.3048)</f>
        <v>1.2923520000000002</v>
      </c>
      <c r="AH1304" s="336"/>
      <c r="AI1304" s="188"/>
      <c r="AJ1304" s="188"/>
      <c r="AK1304" s="217">
        <f>AVERAGE(2.8,2.5,2.9,2.8,2.2,3.9)</f>
        <v>2.8499999999999996</v>
      </c>
      <c r="AL1304" s="217">
        <f>AVERAGE(5.2,5,5.7,6.3,3.8,8.1)</f>
        <v>5.6833333333333336</v>
      </c>
      <c r="AM1304" s="217">
        <f>AVERAGE(9.5,9.5,10.1,12,5.9,13.1)</f>
        <v>10.016666666666667</v>
      </c>
      <c r="AN1304" s="217">
        <f>AVERAGE(17,18,19,21,10,20)</f>
        <v>17.5</v>
      </c>
      <c r="AO1304" s="217">
        <f>AVERAGE(24,29,30,34,15,27)</f>
        <v>26.5</v>
      </c>
      <c r="AP1304" s="217">
        <f>AVERAGE(39,48,47,52,25,41)</f>
        <v>42</v>
      </c>
      <c r="AQ1304" s="217">
        <f>AVERAGE(45,55,57,59,31,46)</f>
        <v>48.833333333333336</v>
      </c>
      <c r="AR1304" s="550"/>
      <c r="AS1304" s="550"/>
      <c r="AT1304" s="550"/>
      <c r="AU1304" s="191"/>
      <c r="AV1304" s="191"/>
      <c r="AW1304" s="191"/>
      <c r="AX1304" s="191"/>
      <c r="AY1304" s="217">
        <f>AVERAGE(10,48,24,28,28,36,30,25,32)</f>
        <v>29</v>
      </c>
      <c r="AZ1304" s="217">
        <f>AVERAGE(21,65,39,29,30,40,35,27,35)</f>
        <v>35.666666666666664</v>
      </c>
      <c r="BA1304" s="217">
        <f>AVERAGE(32,78,56,31,33,42,43,31,40)</f>
        <v>42.888888888888886</v>
      </c>
      <c r="BB1304" s="217">
        <f>AVERAGE(55,99,89,38,39,46,67,35,52)</f>
        <v>57.777777777777779</v>
      </c>
      <c r="BC1304" s="217">
        <f>AVERAGE(85,155,134,53,46,58,75,39,67)</f>
        <v>79.111111111111114</v>
      </c>
      <c r="BD1304" s="217">
        <f>AVERAGE(140,220,208,78,62,69,89,56,88)</f>
        <v>112.22222222222223</v>
      </c>
      <c r="BE1304" s="217">
        <f>AVERAGE(175,270,250,90,65,71,120,74,98)</f>
        <v>134.77777777777777</v>
      </c>
      <c r="BF1304" s="550"/>
      <c r="BG1304" s="550"/>
      <c r="BH1304" s="550"/>
      <c r="BI1304" s="190"/>
      <c r="BJ1304" s="190"/>
      <c r="BK1304" s="190"/>
      <c r="BL1304" s="190"/>
      <c r="BM1304" s="190"/>
      <c r="BN1304" s="190"/>
      <c r="BO1304" s="190"/>
      <c r="BP1304" s="190"/>
      <c r="BQ1304" s="190"/>
      <c r="BR1304" s="190"/>
      <c r="BS1304" s="190"/>
      <c r="BT1304" s="190"/>
      <c r="BU1304" s="190"/>
      <c r="BV1304" s="190"/>
      <c r="BW1304" s="190"/>
      <c r="BX1304" s="190"/>
      <c r="BY1304" s="190"/>
      <c r="BZ1304" s="190"/>
      <c r="CA1304" s="189"/>
      <c r="CB1304" s="192" t="s">
        <v>634</v>
      </c>
    </row>
    <row r="1305" spans="1:80" x14ac:dyDescent="0.2">
      <c r="A1305" s="152"/>
      <c r="B1305" s="683"/>
      <c r="C1305" s="683"/>
      <c r="D1305" s="698"/>
      <c r="E1305" s="215"/>
      <c r="F1305" s="215"/>
      <c r="G1305" s="153"/>
      <c r="H1305" s="153"/>
      <c r="I1305" s="153"/>
      <c r="J1305" s="153"/>
      <c r="K1305" s="153"/>
      <c r="L1305" s="653"/>
      <c r="M1305" s="654">
        <v>31182</v>
      </c>
      <c r="N1305" s="587">
        <v>2.9452578520000001</v>
      </c>
      <c r="O1305" s="592">
        <v>9.3239389999999998E-3</v>
      </c>
      <c r="P1305" s="216"/>
      <c r="Q1305" s="216"/>
      <c r="R1305" s="216">
        <v>0.15</v>
      </c>
      <c r="S1305" s="216">
        <v>8.9999999999999993E-3</v>
      </c>
      <c r="T1305" s="216">
        <v>7.4999999999999997E-2</v>
      </c>
      <c r="U1305" s="216">
        <v>7.4999999999999997E-2</v>
      </c>
      <c r="V1305" s="216">
        <v>0.16800000000000001</v>
      </c>
      <c r="W1305" s="216">
        <v>0.17799999999999999</v>
      </c>
      <c r="X1305" s="216">
        <v>0.224</v>
      </c>
      <c r="Y1305" s="216">
        <v>0.121</v>
      </c>
      <c r="Z1305" s="216"/>
      <c r="AA1305" s="186">
        <f>AVERAGE(0.92,4.51)</f>
        <v>2.7149999999999999</v>
      </c>
      <c r="AB1305" s="192"/>
      <c r="AC1305" s="152"/>
      <c r="AD1305" s="186">
        <f>30*(0.3048)</f>
        <v>9.1440000000000001</v>
      </c>
      <c r="AE1305" s="186">
        <f>1.07*(0.3048)</f>
        <v>0.32613600000000004</v>
      </c>
      <c r="AF1305" s="186">
        <f>32*(0.3048^2)</f>
        <v>2.9728972800000002</v>
      </c>
      <c r="AG1305" s="186">
        <f>3.26*(0.3048)</f>
        <v>0.99364799999999998</v>
      </c>
      <c r="AH1305" s="336"/>
      <c r="AI1305" s="188"/>
      <c r="AJ1305" s="188"/>
      <c r="AK1305" s="190"/>
      <c r="AL1305" s="189"/>
      <c r="AM1305" s="189"/>
      <c r="AN1305" s="189"/>
      <c r="AO1305" s="189"/>
      <c r="AP1305" s="189"/>
      <c r="AQ1305" s="189"/>
      <c r="AR1305" s="189"/>
      <c r="AS1305" s="189"/>
      <c r="AT1305" s="189"/>
      <c r="AU1305" s="191"/>
      <c r="AV1305" s="191"/>
      <c r="AW1305" s="191"/>
      <c r="AX1305" s="191"/>
      <c r="AY1305" s="191"/>
      <c r="AZ1305" s="189"/>
      <c r="BA1305" s="189"/>
      <c r="BB1305" s="189"/>
      <c r="BC1305" s="189"/>
      <c r="BD1305" s="189"/>
      <c r="BE1305" s="189"/>
      <c r="BF1305" s="189"/>
      <c r="BG1305" s="189"/>
      <c r="BH1305" s="189"/>
      <c r="BI1305" s="190"/>
      <c r="BJ1305" s="190"/>
      <c r="BK1305" s="190"/>
      <c r="BL1305" s="190"/>
      <c r="BM1305" s="190"/>
      <c r="BN1305" s="190"/>
      <c r="BO1305" s="190"/>
      <c r="BP1305" s="190"/>
      <c r="BQ1305" s="190"/>
      <c r="BR1305" s="190"/>
      <c r="BS1305" s="190"/>
      <c r="BT1305" s="190"/>
      <c r="BU1305" s="190"/>
      <c r="BV1305" s="190"/>
      <c r="BW1305" s="190"/>
      <c r="BX1305" s="190"/>
      <c r="BY1305" s="190"/>
      <c r="BZ1305" s="190"/>
      <c r="CA1305" s="189"/>
      <c r="CB1305" s="192" t="s">
        <v>633</v>
      </c>
    </row>
    <row r="1306" spans="1:80" x14ac:dyDescent="0.2">
      <c r="A1306" s="152"/>
      <c r="B1306" s="683"/>
      <c r="C1306" s="683"/>
      <c r="D1306" s="698"/>
      <c r="E1306" s="215"/>
      <c r="F1306" s="215"/>
      <c r="G1306" s="153"/>
      <c r="H1306" s="153"/>
      <c r="I1306" s="153"/>
      <c r="J1306" s="153"/>
      <c r="K1306" s="153"/>
      <c r="L1306" s="653"/>
      <c r="M1306" s="654">
        <v>31192</v>
      </c>
      <c r="N1306" s="587">
        <v>3.6532525279999999</v>
      </c>
      <c r="O1306" s="592">
        <v>1.6484892000000001E-2</v>
      </c>
      <c r="P1306" s="216"/>
      <c r="Q1306" s="216"/>
      <c r="R1306" s="216"/>
      <c r="S1306" s="216">
        <v>7.0999999999999994E-2</v>
      </c>
      <c r="T1306" s="216">
        <v>9.5000000000000001E-2</v>
      </c>
      <c r="U1306" s="216">
        <v>0.12</v>
      </c>
      <c r="V1306" s="216">
        <v>0.21</v>
      </c>
      <c r="W1306" s="216">
        <v>0.22</v>
      </c>
      <c r="X1306" s="216">
        <v>0.20300000000000001</v>
      </c>
      <c r="Y1306" s="216">
        <v>8.1000000000000003E-2</v>
      </c>
      <c r="Z1306" s="216"/>
      <c r="AA1306" s="186">
        <f>AVERAGE(1.05,1.56)</f>
        <v>1.3050000000000002</v>
      </c>
      <c r="AB1306" s="192"/>
      <c r="AC1306" s="152"/>
      <c r="AD1306" s="186"/>
      <c r="AE1306" s="186"/>
      <c r="AF1306" s="186"/>
      <c r="AG1306" s="186"/>
      <c r="AH1306" s="336"/>
      <c r="AI1306" s="188"/>
      <c r="AJ1306" s="188"/>
      <c r="AK1306" s="190"/>
      <c r="AL1306" s="189"/>
      <c r="AM1306" s="189"/>
      <c r="AN1306" s="189"/>
      <c r="AO1306" s="189"/>
      <c r="AP1306" s="189"/>
      <c r="AQ1306" s="189"/>
      <c r="AR1306" s="189"/>
      <c r="AS1306" s="189"/>
      <c r="AT1306" s="189"/>
      <c r="AU1306" s="191"/>
      <c r="AV1306" s="191"/>
      <c r="AW1306" s="191"/>
      <c r="AX1306" s="191"/>
      <c r="AY1306" s="191"/>
      <c r="AZ1306" s="189"/>
      <c r="BA1306" s="189"/>
      <c r="BB1306" s="189"/>
      <c r="BC1306" s="189"/>
      <c r="BD1306" s="189"/>
      <c r="BE1306" s="189"/>
      <c r="BF1306" s="189"/>
      <c r="BG1306" s="189"/>
      <c r="BH1306" s="189"/>
      <c r="BI1306" s="190"/>
      <c r="BJ1306" s="190"/>
      <c r="BK1306" s="190"/>
      <c r="BL1306" s="190"/>
      <c r="BM1306" s="190"/>
      <c r="BN1306" s="190"/>
      <c r="BO1306" s="190"/>
      <c r="BP1306" s="190"/>
      <c r="BQ1306" s="190"/>
      <c r="BR1306" s="190"/>
      <c r="BS1306" s="190"/>
      <c r="BT1306" s="190"/>
      <c r="BU1306" s="190"/>
      <c r="BV1306" s="190"/>
      <c r="BW1306" s="190"/>
      <c r="BX1306" s="190"/>
      <c r="BY1306" s="190"/>
      <c r="BZ1306" s="190"/>
      <c r="CA1306" s="189"/>
      <c r="CB1306" s="192" t="s">
        <v>630</v>
      </c>
    </row>
    <row r="1307" spans="1:80" ht="15" x14ac:dyDescent="0.2">
      <c r="A1307" s="152"/>
      <c r="B1307" s="683"/>
      <c r="C1307" s="683"/>
      <c r="D1307" s="698"/>
      <c r="E1307" s="215"/>
      <c r="F1307" s="215"/>
      <c r="G1307" s="153"/>
      <c r="H1307" s="153"/>
      <c r="I1307" s="153"/>
      <c r="J1307" s="153"/>
      <c r="K1307" s="153"/>
      <c r="L1307" s="653"/>
      <c r="M1307" s="654">
        <v>31197</v>
      </c>
      <c r="N1307" s="587">
        <v>2.831978704</v>
      </c>
      <c r="O1307" s="592">
        <v>1.3103913999999999E-2</v>
      </c>
      <c r="P1307" s="216"/>
      <c r="Q1307" s="216"/>
      <c r="R1307" s="216"/>
      <c r="S1307" s="216">
        <v>0.13500000000000001</v>
      </c>
      <c r="T1307" s="216">
        <v>9.7000000000000003E-2</v>
      </c>
      <c r="U1307" s="216">
        <v>0.19500000000000001</v>
      </c>
      <c r="V1307" s="216">
        <v>0.25600000000000001</v>
      </c>
      <c r="W1307" s="216">
        <v>0.183</v>
      </c>
      <c r="X1307" s="216">
        <v>0.10100000000000001</v>
      </c>
      <c r="Y1307" s="216">
        <v>3.3000000000000002E-2</v>
      </c>
      <c r="Z1307" s="216"/>
      <c r="AA1307" s="186">
        <f>AVERAGE(1.65,3.96)</f>
        <v>2.8049999999999997</v>
      </c>
      <c r="AB1307" s="192"/>
      <c r="AC1307" s="152"/>
      <c r="AD1307" s="186">
        <f>29*(0.3048)</f>
        <v>8.8391999999999999</v>
      </c>
      <c r="AE1307" s="186">
        <f>1.07*(0.3048)</f>
        <v>0.32613600000000004</v>
      </c>
      <c r="AF1307" s="186">
        <f>31*(0.3048^2)</f>
        <v>2.8799942400000003</v>
      </c>
      <c r="AG1307" s="186">
        <f>3.22*(0.3048)</f>
        <v>0.98145600000000011</v>
      </c>
      <c r="AH1307" s="336"/>
      <c r="AI1307" s="188"/>
      <c r="AJ1307" s="188"/>
      <c r="AK1307" s="190"/>
      <c r="AL1307" s="189"/>
      <c r="AM1307" s="189"/>
      <c r="AN1307" s="189"/>
      <c r="AO1307" s="189"/>
      <c r="AP1307" s="189"/>
      <c r="AQ1307" s="189"/>
      <c r="AR1307" s="189"/>
      <c r="AS1307" s="189"/>
      <c r="AT1307" s="189"/>
      <c r="AU1307" s="191"/>
      <c r="AV1307" s="191"/>
      <c r="AW1307" s="191"/>
      <c r="AX1307" s="191"/>
      <c r="AY1307" s="191"/>
      <c r="AZ1307" s="189"/>
      <c r="BA1307" s="189"/>
      <c r="BB1307" s="189"/>
      <c r="BC1307" s="189"/>
      <c r="BD1307" s="189"/>
      <c r="BE1307" s="189"/>
      <c r="BF1307" s="189"/>
      <c r="BG1307" s="189"/>
      <c r="BH1307" s="189"/>
      <c r="BI1307" s="190"/>
      <c r="BJ1307" s="190"/>
      <c r="BK1307" s="190"/>
      <c r="BL1307" s="190"/>
      <c r="BM1307" s="190"/>
      <c r="BN1307" s="190"/>
      <c r="BO1307" s="190"/>
      <c r="BP1307" s="190"/>
      <c r="BQ1307" s="190"/>
      <c r="BR1307" s="190"/>
      <c r="BS1307" s="190"/>
      <c r="BT1307" s="190"/>
      <c r="BU1307" s="190"/>
      <c r="BV1307" s="190"/>
      <c r="BW1307" s="190"/>
      <c r="BX1307" s="190"/>
      <c r="BY1307" s="190"/>
      <c r="BZ1307" s="190"/>
      <c r="CA1307" s="189"/>
      <c r="CB1307" s="192" t="s">
        <v>638</v>
      </c>
    </row>
    <row r="1308" spans="1:80" ht="15" x14ac:dyDescent="0.2">
      <c r="A1308" s="152"/>
      <c r="B1308" s="683"/>
      <c r="C1308" s="683"/>
      <c r="D1308" s="698"/>
      <c r="E1308" s="215"/>
      <c r="F1308" s="215"/>
      <c r="G1308" s="153"/>
      <c r="H1308" s="153"/>
      <c r="I1308" s="153"/>
      <c r="J1308" s="153"/>
      <c r="K1308" s="153"/>
      <c r="L1308" s="653"/>
      <c r="M1308" s="654">
        <v>31203</v>
      </c>
      <c r="N1308" s="587">
        <v>1.925745518</v>
      </c>
      <c r="O1308" s="592">
        <v>3.6014760000000002E-3</v>
      </c>
      <c r="P1308" s="216"/>
      <c r="Q1308" s="216"/>
      <c r="R1308" s="216"/>
      <c r="S1308" s="216">
        <v>0.10100000000000001</v>
      </c>
      <c r="T1308" s="216">
        <v>0.20499999999999999</v>
      </c>
      <c r="U1308" s="216">
        <v>0.24</v>
      </c>
      <c r="V1308" s="216">
        <v>0.183</v>
      </c>
      <c r="W1308" s="216">
        <v>0.13900000000000001</v>
      </c>
      <c r="X1308" s="216">
        <v>0.10100000000000001</v>
      </c>
      <c r="Y1308" s="216">
        <v>3.1E-2</v>
      </c>
      <c r="Z1308" s="216"/>
      <c r="AA1308" s="186">
        <f>AVERAGE(2.27,2.31)</f>
        <v>2.29</v>
      </c>
      <c r="AB1308" s="192"/>
      <c r="AC1308" s="152"/>
      <c r="AD1308" s="186">
        <f>22*(0.3048)</f>
        <v>6.7056000000000004</v>
      </c>
      <c r="AE1308" s="186">
        <f>1.16*(0.3048)</f>
        <v>0.35356799999999999</v>
      </c>
      <c r="AF1308" s="186">
        <f>25.6*(0.3048^2)</f>
        <v>2.3783178240000002</v>
      </c>
      <c r="AG1308" s="186">
        <f>2.66*(0.3048)</f>
        <v>0.81076800000000004</v>
      </c>
      <c r="AH1308" s="336"/>
      <c r="AI1308" s="188"/>
      <c r="AJ1308" s="188"/>
      <c r="AK1308" s="190"/>
      <c r="AL1308" s="189"/>
      <c r="AM1308" s="189"/>
      <c r="AN1308" s="189"/>
      <c r="AO1308" s="189"/>
      <c r="AP1308" s="189"/>
      <c r="AQ1308" s="189"/>
      <c r="AR1308" s="189"/>
      <c r="AS1308" s="189"/>
      <c r="AT1308" s="189"/>
      <c r="AU1308" s="191"/>
      <c r="AV1308" s="191"/>
      <c r="AW1308" s="191"/>
      <c r="AX1308" s="191"/>
      <c r="AY1308" s="191"/>
      <c r="AZ1308" s="189"/>
      <c r="BA1308" s="189"/>
      <c r="BB1308" s="189"/>
      <c r="BC1308" s="189"/>
      <c r="BD1308" s="189"/>
      <c r="BE1308" s="189"/>
      <c r="BF1308" s="189"/>
      <c r="BG1308" s="189"/>
      <c r="BH1308" s="189"/>
      <c r="BI1308" s="190"/>
      <c r="BJ1308" s="190"/>
      <c r="BK1308" s="190"/>
      <c r="BL1308" s="190"/>
      <c r="BM1308" s="190"/>
      <c r="BN1308" s="190"/>
      <c r="BO1308" s="190"/>
      <c r="BP1308" s="190"/>
      <c r="BQ1308" s="190"/>
      <c r="BR1308" s="190"/>
      <c r="BS1308" s="190"/>
      <c r="BT1308" s="190"/>
      <c r="BU1308" s="190"/>
      <c r="BV1308" s="190"/>
      <c r="BW1308" s="190"/>
      <c r="BX1308" s="190"/>
      <c r="BY1308" s="190"/>
      <c r="BZ1308" s="190"/>
      <c r="CA1308" s="189"/>
      <c r="CB1308" s="192" t="s">
        <v>640</v>
      </c>
    </row>
    <row r="1309" spans="1:80" x14ac:dyDescent="0.2">
      <c r="A1309" s="152"/>
      <c r="B1309" s="683"/>
      <c r="C1309" s="683"/>
      <c r="D1309" s="698"/>
      <c r="E1309" s="215"/>
      <c r="F1309" s="215"/>
      <c r="G1309" s="153"/>
      <c r="H1309" s="153"/>
      <c r="I1309" s="153"/>
      <c r="J1309" s="153"/>
      <c r="K1309" s="153"/>
      <c r="L1309" s="653"/>
      <c r="M1309" s="654">
        <v>31211</v>
      </c>
      <c r="N1309" s="587">
        <v>1.585908074</v>
      </c>
      <c r="O1309" s="592">
        <v>9.6546870000000003E-3</v>
      </c>
      <c r="P1309" s="216"/>
      <c r="Q1309" s="216"/>
      <c r="R1309" s="216"/>
      <c r="S1309" s="216">
        <v>0.24099999999999999</v>
      </c>
      <c r="T1309" s="216">
        <v>0.25</v>
      </c>
      <c r="U1309" s="216">
        <v>0.23699999999999999</v>
      </c>
      <c r="V1309" s="216">
        <v>0.01</v>
      </c>
      <c r="W1309" s="216">
        <v>3.4000000000000002E-2</v>
      </c>
      <c r="X1309" s="216">
        <v>7.0000000000000007E-2</v>
      </c>
      <c r="Y1309" s="216">
        <v>0.158</v>
      </c>
      <c r="Z1309" s="216"/>
      <c r="AA1309" s="186">
        <f>AVERAGE(3.89,3.54)</f>
        <v>3.7149999999999999</v>
      </c>
      <c r="AB1309" s="192"/>
      <c r="AC1309" s="152"/>
      <c r="AD1309" s="186">
        <f>26*(0.3048)</f>
        <v>7.9248000000000003</v>
      </c>
      <c r="AE1309" s="186">
        <f>0.75*(0.3048)</f>
        <v>0.22860000000000003</v>
      </c>
      <c r="AF1309" s="186">
        <f>19.5*(0.3048^2)</f>
        <v>1.8116092800000001</v>
      </c>
      <c r="AG1309" s="186">
        <f>2.84*(0.3048)</f>
        <v>0.86563199999999996</v>
      </c>
      <c r="AH1309" s="336"/>
      <c r="AI1309" s="188"/>
      <c r="AJ1309" s="188"/>
      <c r="AK1309" s="190"/>
      <c r="AL1309" s="189"/>
      <c r="AM1309" s="189"/>
      <c r="AN1309" s="189"/>
      <c r="AO1309" s="189"/>
      <c r="AP1309" s="189"/>
      <c r="AQ1309" s="189"/>
      <c r="AR1309" s="189"/>
      <c r="AS1309" s="189"/>
      <c r="AT1309" s="189"/>
      <c r="AU1309" s="191"/>
      <c r="AV1309" s="191"/>
      <c r="AW1309" s="191"/>
      <c r="AX1309" s="191"/>
      <c r="AY1309" s="191"/>
      <c r="AZ1309" s="189"/>
      <c r="BA1309" s="189"/>
      <c r="BB1309" s="189"/>
      <c r="BC1309" s="189"/>
      <c r="BD1309" s="189"/>
      <c r="BE1309" s="189"/>
      <c r="BF1309" s="189"/>
      <c r="BG1309" s="189"/>
      <c r="BH1309" s="189"/>
      <c r="BI1309" s="190"/>
      <c r="BJ1309" s="190"/>
      <c r="BK1309" s="190"/>
      <c r="BL1309" s="190"/>
      <c r="BM1309" s="190"/>
      <c r="BN1309" s="190"/>
      <c r="BO1309" s="190"/>
      <c r="BP1309" s="190"/>
      <c r="BQ1309" s="190"/>
      <c r="BR1309" s="190"/>
      <c r="BS1309" s="190"/>
      <c r="BT1309" s="190"/>
      <c r="BU1309" s="190"/>
      <c r="BV1309" s="190"/>
      <c r="BW1309" s="190"/>
      <c r="BX1309" s="190"/>
      <c r="BY1309" s="190"/>
      <c r="BZ1309" s="190"/>
      <c r="CA1309" s="189"/>
      <c r="CB1309" s="192"/>
    </row>
    <row r="1310" spans="1:80" x14ac:dyDescent="0.2">
      <c r="A1310" s="152"/>
      <c r="B1310" s="683"/>
      <c r="C1310" s="683"/>
      <c r="D1310" s="698"/>
      <c r="E1310" s="215"/>
      <c r="F1310" s="215"/>
      <c r="G1310" s="153"/>
      <c r="H1310" s="153"/>
      <c r="I1310" s="153"/>
      <c r="J1310" s="153"/>
      <c r="K1310" s="153"/>
      <c r="L1310" s="653"/>
      <c r="M1310" s="654">
        <v>31217</v>
      </c>
      <c r="N1310" s="587">
        <v>1.24607063</v>
      </c>
      <c r="O1310" s="592">
        <v>9.6074400000000003E-4</v>
      </c>
      <c r="P1310" s="216"/>
      <c r="Q1310" s="216"/>
      <c r="R1310" s="216"/>
      <c r="S1310" s="216"/>
      <c r="T1310" s="216">
        <v>7.1999999999999995E-2</v>
      </c>
      <c r="U1310" s="216">
        <v>0.311</v>
      </c>
      <c r="V1310" s="216">
        <v>1.4E-2</v>
      </c>
      <c r="W1310" s="216">
        <v>8.5999999999999993E-2</v>
      </c>
      <c r="X1310" s="216">
        <v>0.20599999999999999</v>
      </c>
      <c r="Y1310" s="216">
        <v>0.311</v>
      </c>
      <c r="Z1310" s="216"/>
      <c r="AA1310" s="186">
        <f>AVERAGE(1.55,1.2)</f>
        <v>1.375</v>
      </c>
      <c r="AB1310" s="192"/>
      <c r="AC1310" s="152"/>
      <c r="AD1310" s="186">
        <f>22*(0.3048)</f>
        <v>6.7056000000000004</v>
      </c>
      <c r="AE1310" s="186">
        <f>0.98*(0.3048)</f>
        <v>0.29870400000000003</v>
      </c>
      <c r="AF1310" s="186">
        <f>21.6*(0.3048^2)</f>
        <v>2.0067056640000001</v>
      </c>
      <c r="AG1310" s="186">
        <f>2.02*(0.3048)</f>
        <v>0.61569600000000002</v>
      </c>
      <c r="AH1310" s="336"/>
      <c r="AI1310" s="188"/>
      <c r="AJ1310" s="188"/>
      <c r="AK1310" s="190"/>
      <c r="AL1310" s="189"/>
      <c r="AM1310" s="189"/>
      <c r="AN1310" s="189"/>
      <c r="AO1310" s="189"/>
      <c r="AP1310" s="189"/>
      <c r="AQ1310" s="189"/>
      <c r="AR1310" s="189"/>
      <c r="AS1310" s="189"/>
      <c r="AT1310" s="189"/>
      <c r="AU1310" s="191"/>
      <c r="AV1310" s="191"/>
      <c r="AW1310" s="191"/>
      <c r="AX1310" s="191"/>
      <c r="AY1310" s="191"/>
      <c r="AZ1310" s="189"/>
      <c r="BA1310" s="189"/>
      <c r="BB1310" s="189"/>
      <c r="BC1310" s="189"/>
      <c r="BD1310" s="189"/>
      <c r="BE1310" s="189"/>
      <c r="BF1310" s="189"/>
      <c r="BG1310" s="189"/>
      <c r="BH1310" s="189"/>
      <c r="BI1310" s="190"/>
      <c r="BJ1310" s="190"/>
      <c r="BK1310" s="190"/>
      <c r="BL1310" s="190"/>
      <c r="BM1310" s="190"/>
      <c r="BN1310" s="190"/>
      <c r="BO1310" s="190"/>
      <c r="BP1310" s="190"/>
      <c r="BQ1310" s="190"/>
      <c r="BR1310" s="190"/>
      <c r="BS1310" s="190"/>
      <c r="BT1310" s="190"/>
      <c r="BU1310" s="190"/>
      <c r="BV1310" s="190"/>
      <c r="BW1310" s="190"/>
      <c r="BX1310" s="190"/>
      <c r="BY1310" s="190"/>
      <c r="BZ1310" s="190"/>
      <c r="CA1310" s="189"/>
      <c r="CB1310" s="192"/>
    </row>
    <row r="1311" spans="1:80" x14ac:dyDescent="0.2">
      <c r="A1311" s="152"/>
      <c r="B1311" s="683"/>
      <c r="C1311" s="683"/>
      <c r="D1311" s="698"/>
      <c r="E1311" s="215"/>
      <c r="F1311" s="215"/>
      <c r="G1311" s="153"/>
      <c r="H1311" s="153"/>
      <c r="I1311" s="153"/>
      <c r="J1311" s="153"/>
      <c r="K1311" s="153"/>
      <c r="L1311" s="653"/>
      <c r="M1311" s="654">
        <v>31225</v>
      </c>
      <c r="N1311" s="587">
        <v>0.82127382400000004</v>
      </c>
      <c r="O1311" s="592">
        <v>1.2074900000000001E-4</v>
      </c>
      <c r="P1311" s="216"/>
      <c r="Q1311" s="216"/>
      <c r="R1311" s="216"/>
      <c r="S1311" s="216"/>
      <c r="T1311" s="216"/>
      <c r="U1311" s="216">
        <v>0.26700000000000002</v>
      </c>
      <c r="V1311" s="216">
        <v>0.13300000000000001</v>
      </c>
      <c r="W1311" s="216">
        <v>0.2</v>
      </c>
      <c r="X1311" s="216">
        <v>0.2</v>
      </c>
      <c r="Y1311" s="216">
        <v>0.2</v>
      </c>
      <c r="Z1311" s="216"/>
      <c r="AA1311" s="186">
        <f>AVERAGE(0.89,0.84)</f>
        <v>0.86499999999999999</v>
      </c>
      <c r="AB1311" s="192"/>
      <c r="AC1311" s="152"/>
      <c r="AD1311" s="186">
        <f>21*(0.3048)</f>
        <v>6.4008000000000003</v>
      </c>
      <c r="AE1311" s="186">
        <f>0.81*(0.3048)</f>
        <v>0.24688800000000002</v>
      </c>
      <c r="AF1311" s="186">
        <f>17*(0.3048^2)</f>
        <v>1.57935168</v>
      </c>
      <c r="AG1311" s="186">
        <f>1.62*(0.3048)</f>
        <v>0.49377600000000005</v>
      </c>
      <c r="AH1311" s="336"/>
      <c r="AI1311" s="188"/>
      <c r="AJ1311" s="188"/>
      <c r="AK1311" s="190"/>
      <c r="AL1311" s="189"/>
      <c r="AM1311" s="189"/>
      <c r="AN1311" s="189"/>
      <c r="AO1311" s="189"/>
      <c r="AP1311" s="189"/>
      <c r="AQ1311" s="189"/>
      <c r="AR1311" s="189"/>
      <c r="AS1311" s="189"/>
      <c r="AT1311" s="189"/>
      <c r="AU1311" s="191"/>
      <c r="AV1311" s="191"/>
      <c r="AW1311" s="191"/>
      <c r="AX1311" s="191"/>
      <c r="AY1311" s="191"/>
      <c r="AZ1311" s="189"/>
      <c r="BA1311" s="189"/>
      <c r="BB1311" s="189"/>
      <c r="BC1311" s="189"/>
      <c r="BD1311" s="189"/>
      <c r="BE1311" s="189"/>
      <c r="BF1311" s="189"/>
      <c r="BG1311" s="189"/>
      <c r="BH1311" s="189"/>
      <c r="BI1311" s="190"/>
      <c r="BJ1311" s="190"/>
      <c r="BK1311" s="190"/>
      <c r="BL1311" s="190"/>
      <c r="BM1311" s="190"/>
      <c r="BN1311" s="190"/>
      <c r="BO1311" s="190"/>
      <c r="BP1311" s="190"/>
      <c r="BQ1311" s="190"/>
      <c r="BR1311" s="190"/>
      <c r="BS1311" s="190"/>
      <c r="BT1311" s="190"/>
      <c r="BU1311" s="190"/>
      <c r="BV1311" s="190"/>
      <c r="BW1311" s="190"/>
      <c r="BX1311" s="190"/>
      <c r="BY1311" s="190"/>
      <c r="BZ1311" s="190"/>
      <c r="CA1311" s="189"/>
      <c r="CB1311" s="192"/>
    </row>
    <row r="1312" spans="1:80" x14ac:dyDescent="0.2">
      <c r="A1312" s="152"/>
      <c r="B1312" s="683"/>
      <c r="C1312" s="683"/>
      <c r="D1312" s="698"/>
      <c r="E1312" s="215"/>
      <c r="F1312" s="215"/>
      <c r="G1312" s="153"/>
      <c r="H1312" s="153"/>
      <c r="I1312" s="153"/>
      <c r="J1312" s="153"/>
      <c r="K1312" s="153"/>
      <c r="L1312" s="653"/>
      <c r="M1312" s="654">
        <v>31230</v>
      </c>
      <c r="N1312" s="587">
        <v>0.70799467599999999</v>
      </c>
      <c r="O1312" s="592">
        <v>1.88999E-4</v>
      </c>
      <c r="P1312" s="216"/>
      <c r="Q1312" s="216"/>
      <c r="R1312" s="216"/>
      <c r="S1312" s="216"/>
      <c r="T1312" s="216"/>
      <c r="U1312" s="216">
        <v>0.42299999999999999</v>
      </c>
      <c r="V1312" s="216">
        <v>3.9E-2</v>
      </c>
      <c r="W1312" s="216">
        <v>0.192</v>
      </c>
      <c r="X1312" s="216">
        <v>0.154</v>
      </c>
      <c r="Y1312" s="216">
        <v>0.192</v>
      </c>
      <c r="Z1312" s="216"/>
      <c r="AA1312" s="186">
        <f>AVERAGE(1.52,0.38)</f>
        <v>0.95</v>
      </c>
      <c r="AB1312" s="192"/>
      <c r="AC1312" s="152"/>
      <c r="AD1312" s="186">
        <f>21*(0.3048)</f>
        <v>6.4008000000000003</v>
      </c>
      <c r="AE1312" s="186">
        <f>0.75*(0.3048)</f>
        <v>0.22860000000000003</v>
      </c>
      <c r="AF1312" s="186">
        <f>15.8*(0.3048^2)</f>
        <v>1.4678680320000002</v>
      </c>
      <c r="AG1312" s="186">
        <f>1.56*(0.3048)</f>
        <v>0.47548800000000002</v>
      </c>
      <c r="AH1312" s="336"/>
      <c r="AI1312" s="188"/>
      <c r="AJ1312" s="188"/>
      <c r="AK1312" s="190"/>
      <c r="AL1312" s="189"/>
      <c r="AM1312" s="189"/>
      <c r="AN1312" s="189"/>
      <c r="AO1312" s="189"/>
      <c r="AP1312" s="189"/>
      <c r="AQ1312" s="189"/>
      <c r="AR1312" s="189"/>
      <c r="AS1312" s="189"/>
      <c r="AT1312" s="189"/>
      <c r="AU1312" s="191"/>
      <c r="AV1312" s="191"/>
      <c r="AW1312" s="191"/>
      <c r="AX1312" s="191"/>
      <c r="AY1312" s="191"/>
      <c r="AZ1312" s="189"/>
      <c r="BA1312" s="189"/>
      <c r="BB1312" s="189"/>
      <c r="BC1312" s="189"/>
      <c r="BD1312" s="189"/>
      <c r="BE1312" s="189"/>
      <c r="BF1312" s="189"/>
      <c r="BG1312" s="189"/>
      <c r="BH1312" s="189"/>
      <c r="BI1312" s="190"/>
      <c r="BJ1312" s="190"/>
      <c r="BK1312" s="190"/>
      <c r="BL1312" s="190"/>
      <c r="BM1312" s="190"/>
      <c r="BN1312" s="190"/>
      <c r="BO1312" s="190"/>
      <c r="BP1312" s="190"/>
      <c r="BQ1312" s="190"/>
      <c r="BR1312" s="190"/>
      <c r="BS1312" s="190"/>
      <c r="BT1312" s="190"/>
      <c r="BU1312" s="190"/>
      <c r="BV1312" s="190"/>
      <c r="BW1312" s="190"/>
      <c r="BX1312" s="190"/>
      <c r="BY1312" s="190"/>
      <c r="BZ1312" s="190"/>
      <c r="CA1312" s="189"/>
      <c r="CB1312" s="192"/>
    </row>
    <row r="1313" spans="1:80" x14ac:dyDescent="0.2">
      <c r="A1313" s="152"/>
      <c r="B1313" s="683"/>
      <c r="C1313" s="683"/>
      <c r="D1313" s="698"/>
      <c r="E1313" s="215"/>
      <c r="F1313" s="215"/>
      <c r="G1313" s="153"/>
      <c r="H1313" s="153"/>
      <c r="I1313" s="153"/>
      <c r="J1313" s="153"/>
      <c r="K1313" s="153"/>
      <c r="L1313" s="653"/>
      <c r="M1313" s="654">
        <v>31239</v>
      </c>
      <c r="N1313" s="587">
        <v>0.67967488899999995</v>
      </c>
      <c r="O1313" s="592">
        <v>4.1579729999999997E-3</v>
      </c>
      <c r="P1313" s="216"/>
      <c r="Q1313" s="216"/>
      <c r="R1313" s="216">
        <v>0.443</v>
      </c>
      <c r="S1313" s="216">
        <v>1.2E-2</v>
      </c>
      <c r="T1313" s="216">
        <v>0.104</v>
      </c>
      <c r="U1313" s="216">
        <v>0.13200000000000001</v>
      </c>
      <c r="V1313" s="216">
        <v>0.153</v>
      </c>
      <c r="W1313" s="216">
        <v>9.4E-2</v>
      </c>
      <c r="X1313" s="216">
        <v>4.1000000000000002E-2</v>
      </c>
      <c r="Y1313" s="216">
        <v>2.1000000000000001E-2</v>
      </c>
      <c r="Z1313" s="509"/>
      <c r="AA1313" s="186">
        <f>AVERAGE(5.93,2.33)</f>
        <v>4.13</v>
      </c>
      <c r="AB1313" s="192"/>
      <c r="AC1313" s="152"/>
      <c r="AD1313" s="186">
        <f>20*(0.3048)</f>
        <v>6.0960000000000001</v>
      </c>
      <c r="AE1313" s="186">
        <f>0.69*(0.3048)</f>
        <v>0.210312</v>
      </c>
      <c r="AF1313" s="186">
        <f>13.7*(0.3048^2)</f>
        <v>1.272771648</v>
      </c>
      <c r="AG1313" s="186">
        <f>1.74*(0.3048)</f>
        <v>0.53035200000000005</v>
      </c>
      <c r="AH1313" s="336"/>
      <c r="AI1313" s="188"/>
      <c r="AJ1313" s="188"/>
      <c r="AK1313" s="190"/>
      <c r="AL1313" s="189"/>
      <c r="AM1313" s="189"/>
      <c r="AN1313" s="189"/>
      <c r="AO1313" s="189"/>
      <c r="AP1313" s="189"/>
      <c r="AQ1313" s="189"/>
      <c r="AR1313" s="189"/>
      <c r="AS1313" s="189"/>
      <c r="AT1313" s="189"/>
      <c r="AU1313" s="191"/>
      <c r="AV1313" s="191"/>
      <c r="AW1313" s="191"/>
      <c r="AX1313" s="191"/>
      <c r="AY1313" s="191"/>
      <c r="AZ1313" s="189"/>
      <c r="BA1313" s="189"/>
      <c r="BB1313" s="189"/>
      <c r="BC1313" s="189"/>
      <c r="BD1313" s="189"/>
      <c r="BE1313" s="189"/>
      <c r="BF1313" s="189"/>
      <c r="BG1313" s="189"/>
      <c r="BH1313" s="189"/>
      <c r="BI1313" s="190"/>
      <c r="BJ1313" s="190"/>
      <c r="BK1313" s="190"/>
      <c r="BL1313" s="190"/>
      <c r="BM1313" s="190"/>
      <c r="BN1313" s="190"/>
      <c r="BO1313" s="190"/>
      <c r="BP1313" s="190"/>
      <c r="BQ1313" s="190"/>
      <c r="BR1313" s="190"/>
      <c r="BS1313" s="190"/>
      <c r="BT1313" s="190"/>
      <c r="BU1313" s="190"/>
      <c r="BV1313" s="190"/>
      <c r="BW1313" s="190"/>
      <c r="BX1313" s="190"/>
      <c r="BY1313" s="190"/>
      <c r="BZ1313" s="190"/>
      <c r="CA1313" s="189"/>
      <c r="CB1313" s="192"/>
    </row>
    <row r="1314" spans="1:80" x14ac:dyDescent="0.2">
      <c r="A1314" s="152"/>
      <c r="B1314" s="683"/>
      <c r="C1314" s="683"/>
      <c r="D1314" s="698"/>
      <c r="E1314" s="215"/>
      <c r="F1314" s="215"/>
      <c r="G1314" s="153"/>
      <c r="H1314" s="153"/>
      <c r="I1314" s="153"/>
      <c r="J1314" s="153"/>
      <c r="K1314" s="153"/>
      <c r="L1314" s="653"/>
      <c r="M1314" s="654">
        <v>31546</v>
      </c>
      <c r="N1314" s="587">
        <v>2.0107048789999999</v>
      </c>
      <c r="O1314" s="592">
        <v>6.6254570000000004E-3</v>
      </c>
      <c r="P1314" s="216"/>
      <c r="Q1314" s="216"/>
      <c r="R1314" s="216"/>
      <c r="S1314" s="216"/>
      <c r="T1314" s="216"/>
      <c r="U1314" s="216"/>
      <c r="V1314" s="216" t="s">
        <v>29</v>
      </c>
      <c r="W1314" s="216" t="s">
        <v>29</v>
      </c>
      <c r="X1314" s="216" t="s">
        <v>29</v>
      </c>
      <c r="Y1314" s="216" t="s">
        <v>29</v>
      </c>
      <c r="Z1314" s="216"/>
      <c r="AA1314" s="186">
        <f>AVERAGE(2.98,1.9)</f>
        <v>2.44</v>
      </c>
      <c r="AB1314" s="192"/>
      <c r="AC1314" s="152"/>
      <c r="AD1314" s="186">
        <f>22*(0.3048)</f>
        <v>6.7056000000000004</v>
      </c>
      <c r="AE1314" s="186">
        <f>1.14*(0.3048)</f>
        <v>0.347472</v>
      </c>
      <c r="AF1314" s="186">
        <f t="shared" ref="AF1314:AF1322" si="20">(AE1314*AD1314)*(0.3048^2)</f>
        <v>0.21646484901833934</v>
      </c>
      <c r="AG1314" s="186">
        <f>2.83*(0.3048)</f>
        <v>0.86258400000000002</v>
      </c>
      <c r="AH1314" s="336"/>
      <c r="AI1314" s="188"/>
      <c r="AJ1314" s="188"/>
      <c r="AK1314" s="190"/>
      <c r="AL1314" s="189"/>
      <c r="AM1314" s="189"/>
      <c r="AN1314" s="189"/>
      <c r="AO1314" s="189"/>
      <c r="AP1314" s="189"/>
      <c r="AQ1314" s="189"/>
      <c r="AR1314" s="189"/>
      <c r="AS1314" s="189"/>
      <c r="AT1314" s="189"/>
      <c r="AU1314" s="191"/>
      <c r="AV1314" s="191"/>
      <c r="AW1314" s="191"/>
      <c r="AX1314" s="191"/>
      <c r="AY1314" s="191"/>
      <c r="AZ1314" s="189"/>
      <c r="BA1314" s="189"/>
      <c r="BB1314" s="189"/>
      <c r="BC1314" s="189"/>
      <c r="BD1314" s="189"/>
      <c r="BE1314" s="189"/>
      <c r="BF1314" s="189"/>
      <c r="BG1314" s="189"/>
      <c r="BH1314" s="189"/>
      <c r="BI1314" s="190"/>
      <c r="BJ1314" s="190"/>
      <c r="BK1314" s="190"/>
      <c r="BL1314" s="190"/>
      <c r="BM1314" s="190"/>
      <c r="BN1314" s="190"/>
      <c r="BO1314" s="190"/>
      <c r="BP1314" s="190"/>
      <c r="BQ1314" s="190"/>
      <c r="BR1314" s="190"/>
      <c r="BS1314" s="190"/>
      <c r="BT1314" s="190"/>
      <c r="BU1314" s="190"/>
      <c r="BV1314" s="190"/>
      <c r="BW1314" s="190"/>
      <c r="BX1314" s="190"/>
      <c r="BY1314" s="190"/>
      <c r="BZ1314" s="190"/>
      <c r="CA1314" s="189"/>
      <c r="CB1314" s="192"/>
    </row>
    <row r="1315" spans="1:80" x14ac:dyDescent="0.2">
      <c r="A1315" s="152"/>
      <c r="B1315" s="683"/>
      <c r="C1315" s="683"/>
      <c r="D1315" s="698"/>
      <c r="E1315" s="215"/>
      <c r="F1315" s="215"/>
      <c r="G1315" s="153"/>
      <c r="H1315" s="153"/>
      <c r="I1315" s="153"/>
      <c r="J1315" s="153"/>
      <c r="K1315" s="153"/>
      <c r="L1315" s="653"/>
      <c r="M1315" s="654">
        <v>31560</v>
      </c>
      <c r="N1315" s="587">
        <v>8.4392965360000005</v>
      </c>
      <c r="O1315" s="592">
        <v>0.34019776400000001</v>
      </c>
      <c r="P1315" s="216"/>
      <c r="Q1315" s="216">
        <v>8.7999999999999995E-2</v>
      </c>
      <c r="R1315" s="216">
        <v>0.29399999999999998</v>
      </c>
      <c r="S1315" s="216">
        <v>0.28000000000000003</v>
      </c>
      <c r="T1315" s="216">
        <v>0.14299999999999999</v>
      </c>
      <c r="U1315" s="216">
        <v>7.0000000000000007E-2</v>
      </c>
      <c r="V1315" s="216">
        <v>4.5999999999999999E-2</v>
      </c>
      <c r="W1315" s="216">
        <v>0.03</v>
      </c>
      <c r="X1315" s="216">
        <v>3.2000000000000001E-2</v>
      </c>
      <c r="Y1315" s="216">
        <v>1.7000000000000001E-2</v>
      </c>
      <c r="Z1315" s="216"/>
      <c r="AA1315" s="186">
        <f>AVERAGE(12,28.7)</f>
        <v>20.350000000000001</v>
      </c>
      <c r="AB1315" s="192"/>
      <c r="AC1315" s="152"/>
      <c r="AD1315" s="186">
        <f>23*(0.3048)</f>
        <v>7.0104000000000006</v>
      </c>
      <c r="AE1315" s="186">
        <f>2.21*(0.3048)</f>
        <v>0.67360799999999998</v>
      </c>
      <c r="AF1315" s="186">
        <f t="shared" si="20"/>
        <v>0.4387124511803106</v>
      </c>
      <c r="AG1315" s="186">
        <f>5.88*(0.3048)</f>
        <v>1.792224</v>
      </c>
      <c r="AH1315" s="336"/>
      <c r="AI1315" s="188"/>
      <c r="AJ1315" s="188"/>
      <c r="AK1315" s="190"/>
      <c r="AL1315" s="189"/>
      <c r="AM1315" s="189"/>
      <c r="AN1315" s="189"/>
      <c r="AO1315" s="189"/>
      <c r="AP1315" s="189"/>
      <c r="AQ1315" s="189"/>
      <c r="AR1315" s="189"/>
      <c r="AS1315" s="189"/>
      <c r="AT1315" s="189"/>
      <c r="AU1315" s="191"/>
      <c r="AV1315" s="191"/>
      <c r="AW1315" s="191"/>
      <c r="AX1315" s="191"/>
      <c r="AY1315" s="191"/>
      <c r="AZ1315" s="189"/>
      <c r="BA1315" s="189"/>
      <c r="BB1315" s="189"/>
      <c r="BC1315" s="189"/>
      <c r="BD1315" s="189"/>
      <c r="BE1315" s="189"/>
      <c r="BF1315" s="189"/>
      <c r="BG1315" s="189"/>
      <c r="BH1315" s="189"/>
      <c r="BI1315" s="190"/>
      <c r="BJ1315" s="190"/>
      <c r="BK1315" s="190"/>
      <c r="BL1315" s="190"/>
      <c r="BM1315" s="190"/>
      <c r="BN1315" s="190"/>
      <c r="BO1315" s="190"/>
      <c r="BP1315" s="190"/>
      <c r="BQ1315" s="190"/>
      <c r="BR1315" s="190"/>
      <c r="BS1315" s="190"/>
      <c r="BT1315" s="190"/>
      <c r="BU1315" s="190"/>
      <c r="BV1315" s="190"/>
      <c r="BW1315" s="190"/>
      <c r="BX1315" s="190"/>
      <c r="BY1315" s="190"/>
      <c r="BZ1315" s="190"/>
      <c r="CA1315" s="189"/>
      <c r="CB1315" s="192"/>
    </row>
    <row r="1316" spans="1:80" x14ac:dyDescent="0.2">
      <c r="A1316" s="152"/>
      <c r="B1316" s="683"/>
      <c r="C1316" s="683"/>
      <c r="D1316" s="698"/>
      <c r="E1316" s="215"/>
      <c r="F1316" s="215"/>
      <c r="G1316" s="153"/>
      <c r="H1316" s="153"/>
      <c r="I1316" s="153"/>
      <c r="J1316" s="153"/>
      <c r="K1316" s="153"/>
      <c r="L1316" s="653"/>
      <c r="M1316" s="654">
        <v>31566</v>
      </c>
      <c r="N1316" s="587">
        <v>11.412874179999999</v>
      </c>
      <c r="O1316" s="592">
        <v>0.29924803700000002</v>
      </c>
      <c r="P1316" s="216">
        <v>0.16700000000000001</v>
      </c>
      <c r="Q1316" s="216">
        <v>0.22500000000000001</v>
      </c>
      <c r="R1316" s="216">
        <v>0.34100000000000003</v>
      </c>
      <c r="S1316" s="216">
        <v>0.11799999999999999</v>
      </c>
      <c r="T1316" s="216">
        <v>3.9E-2</v>
      </c>
      <c r="U1316" s="216">
        <v>2.8000000000000001E-2</v>
      </c>
      <c r="V1316" s="216">
        <v>2.5000000000000001E-2</v>
      </c>
      <c r="W1316" s="216">
        <v>2.1000000000000001E-2</v>
      </c>
      <c r="X1316" s="216">
        <v>2.7E-2</v>
      </c>
      <c r="Y1316" s="216">
        <v>8.9999999999999993E-3</v>
      </c>
      <c r="Z1316" s="216"/>
      <c r="AA1316" s="191">
        <f>AVERAGE(25.9,5.05)</f>
        <v>15.475</v>
      </c>
      <c r="AB1316" s="192"/>
      <c r="AC1316" s="152"/>
      <c r="AD1316" s="186">
        <f>23*(0.3048)</f>
        <v>7.0104000000000006</v>
      </c>
      <c r="AE1316" s="186">
        <f>2.57*(0.3048)</f>
        <v>0.78333600000000003</v>
      </c>
      <c r="AF1316" s="186">
        <f t="shared" si="20"/>
        <v>0.51017692286579108</v>
      </c>
      <c r="AG1316" s="186">
        <f>6.83*(0.3048)</f>
        <v>2.0817840000000003</v>
      </c>
      <c r="AH1316" s="336"/>
      <c r="AI1316" s="188"/>
      <c r="AJ1316" s="188"/>
      <c r="AK1316" s="190"/>
      <c r="AL1316" s="189"/>
      <c r="AM1316" s="189"/>
      <c r="AN1316" s="189"/>
      <c r="AO1316" s="189"/>
      <c r="AP1316" s="189"/>
      <c r="AQ1316" s="189"/>
      <c r="AR1316" s="189"/>
      <c r="AS1316" s="189"/>
      <c r="AT1316" s="189"/>
      <c r="AU1316" s="191"/>
      <c r="AV1316" s="191"/>
      <c r="AW1316" s="191"/>
      <c r="AX1316" s="191"/>
      <c r="AY1316" s="191"/>
      <c r="AZ1316" s="189"/>
      <c r="BA1316" s="189"/>
      <c r="BB1316" s="189"/>
      <c r="BC1316" s="189"/>
      <c r="BD1316" s="189"/>
      <c r="BE1316" s="189"/>
      <c r="BF1316" s="189"/>
      <c r="BG1316" s="189"/>
      <c r="BH1316" s="189"/>
      <c r="BI1316" s="190"/>
      <c r="BJ1316" s="190"/>
      <c r="BK1316" s="190"/>
      <c r="BL1316" s="190"/>
      <c r="BM1316" s="190"/>
      <c r="BN1316" s="190"/>
      <c r="BO1316" s="190"/>
      <c r="BP1316" s="190"/>
      <c r="BQ1316" s="190"/>
      <c r="BR1316" s="190"/>
      <c r="BS1316" s="190"/>
      <c r="BT1316" s="190"/>
      <c r="BU1316" s="190"/>
      <c r="BV1316" s="190"/>
      <c r="BW1316" s="190"/>
      <c r="BX1316" s="190"/>
      <c r="BY1316" s="190"/>
      <c r="BZ1316" s="190"/>
      <c r="CA1316" s="189"/>
      <c r="CB1316" s="192"/>
    </row>
    <row r="1317" spans="1:80" x14ac:dyDescent="0.2">
      <c r="A1317" s="152"/>
      <c r="B1317" s="683"/>
      <c r="C1317" s="683"/>
      <c r="D1317" s="698"/>
      <c r="E1317" s="215"/>
      <c r="F1317" s="215"/>
      <c r="G1317" s="153"/>
      <c r="H1317" s="153"/>
      <c r="I1317" s="153"/>
      <c r="J1317" s="153"/>
      <c r="K1317" s="153"/>
      <c r="L1317" s="653"/>
      <c r="M1317" s="654">
        <v>31575</v>
      </c>
      <c r="N1317" s="587">
        <v>7.0799467590000003</v>
      </c>
      <c r="O1317" s="592">
        <v>1.0998678E-2</v>
      </c>
      <c r="P1317" s="216"/>
      <c r="Q1317" s="216"/>
      <c r="R1317" s="216">
        <v>0.16600000000000001</v>
      </c>
      <c r="S1317" s="216">
        <v>0.23300000000000001</v>
      </c>
      <c r="T1317" s="216">
        <v>0.11</v>
      </c>
      <c r="U1317" s="216">
        <v>0.10100000000000001</v>
      </c>
      <c r="V1317" s="216">
        <v>8.2000000000000003E-2</v>
      </c>
      <c r="W1317" s="216">
        <v>8.1000000000000003E-2</v>
      </c>
      <c r="X1317" s="216">
        <v>0.16</v>
      </c>
      <c r="Y1317" s="216">
        <v>6.7000000000000004E-2</v>
      </c>
      <c r="Z1317" s="216"/>
      <c r="AA1317" s="186">
        <f>AVERAGE(4.23,11.7)</f>
        <v>7.9649999999999999</v>
      </c>
      <c r="AB1317" s="192"/>
      <c r="AC1317" s="152"/>
      <c r="AD1317" s="186">
        <f>23*(0.3048)</f>
        <v>7.0104000000000006</v>
      </c>
      <c r="AE1317" s="186">
        <f>2.23*(0.3048)</f>
        <v>0.67970399999999997</v>
      </c>
      <c r="AF1317" s="186">
        <f t="shared" si="20"/>
        <v>0.44268269960728168</v>
      </c>
      <c r="AG1317" s="186">
        <f>4.86*(0.3048)</f>
        <v>1.4813280000000002</v>
      </c>
      <c r="AH1317" s="336"/>
      <c r="AI1317" s="188"/>
      <c r="AJ1317" s="188"/>
      <c r="AK1317" s="190"/>
      <c r="AL1317" s="189"/>
      <c r="AM1317" s="189"/>
      <c r="AN1317" s="189"/>
      <c r="AO1317" s="189"/>
      <c r="AP1317" s="189"/>
      <c r="AQ1317" s="189"/>
      <c r="AR1317" s="189"/>
      <c r="AS1317" s="189"/>
      <c r="AT1317" s="189"/>
      <c r="AU1317" s="191"/>
      <c r="AV1317" s="191"/>
      <c r="AW1317" s="191"/>
      <c r="AX1317" s="191"/>
      <c r="AY1317" s="191"/>
      <c r="AZ1317" s="189"/>
      <c r="BA1317" s="189"/>
      <c r="BB1317" s="189"/>
      <c r="BC1317" s="189"/>
      <c r="BD1317" s="189"/>
      <c r="BE1317" s="189"/>
      <c r="BF1317" s="189"/>
      <c r="BG1317" s="189"/>
      <c r="BH1317" s="189"/>
      <c r="BI1317" s="190"/>
      <c r="BJ1317" s="190"/>
      <c r="BK1317" s="190"/>
      <c r="BL1317" s="190"/>
      <c r="BM1317" s="190"/>
      <c r="BN1317" s="190"/>
      <c r="BO1317" s="190"/>
      <c r="BP1317" s="190"/>
      <c r="BQ1317" s="190"/>
      <c r="BR1317" s="190"/>
      <c r="BS1317" s="190"/>
      <c r="BT1317" s="190"/>
      <c r="BU1317" s="190"/>
      <c r="BV1317" s="190"/>
      <c r="BW1317" s="190"/>
      <c r="BX1317" s="190"/>
      <c r="BY1317" s="190"/>
      <c r="BZ1317" s="190"/>
      <c r="CA1317" s="189"/>
      <c r="CB1317" s="192"/>
    </row>
    <row r="1318" spans="1:80" x14ac:dyDescent="0.2">
      <c r="A1318" s="152"/>
      <c r="B1318" s="683"/>
      <c r="C1318" s="683"/>
      <c r="D1318" s="698"/>
      <c r="E1318" s="215"/>
      <c r="F1318" s="215"/>
      <c r="G1318" s="153"/>
      <c r="H1318" s="153"/>
      <c r="I1318" s="153"/>
      <c r="J1318" s="153"/>
      <c r="K1318" s="153"/>
      <c r="L1318" s="653"/>
      <c r="M1318" s="654">
        <v>31581</v>
      </c>
      <c r="N1318" s="587">
        <v>5.0975616659999998</v>
      </c>
      <c r="O1318" s="592">
        <v>5.9954609999999997E-3</v>
      </c>
      <c r="P1318" s="216"/>
      <c r="Q1318" s="216"/>
      <c r="R1318" s="216"/>
      <c r="S1318" s="216">
        <v>0.123</v>
      </c>
      <c r="T1318" s="216">
        <v>6.8000000000000005E-2</v>
      </c>
      <c r="U1318" s="216">
        <v>0.13700000000000001</v>
      </c>
      <c r="V1318" s="216">
        <v>0.19500000000000001</v>
      </c>
      <c r="W1318" s="216">
        <v>0.24199999999999999</v>
      </c>
      <c r="X1318" s="216">
        <v>0.22500000000000001</v>
      </c>
      <c r="Y1318" s="216">
        <v>0.01</v>
      </c>
      <c r="Z1318" s="216"/>
      <c r="AA1318" s="186">
        <f>AVERAGE(1.08,0.83)</f>
        <v>0.95500000000000007</v>
      </c>
      <c r="AB1318" s="192"/>
      <c r="AC1318" s="152"/>
      <c r="AD1318" s="186">
        <f>23*(0.3048)</f>
        <v>7.0104000000000006</v>
      </c>
      <c r="AE1318" s="186">
        <f>1.99*(0.3048)</f>
        <v>0.60655199999999998</v>
      </c>
      <c r="AF1318" s="186">
        <f t="shared" si="20"/>
        <v>0.39503971848362807</v>
      </c>
      <c r="AG1318" s="186">
        <f>3.94*(0.3048)</f>
        <v>1.200912</v>
      </c>
      <c r="AH1318" s="336"/>
      <c r="AI1318" s="188"/>
      <c r="AJ1318" s="188"/>
      <c r="AK1318" s="190"/>
      <c r="AL1318" s="189"/>
      <c r="AM1318" s="189"/>
      <c r="AN1318" s="189"/>
      <c r="AO1318" s="189"/>
      <c r="AP1318" s="189"/>
      <c r="AQ1318" s="189"/>
      <c r="AR1318" s="189"/>
      <c r="AS1318" s="189"/>
      <c r="AT1318" s="189"/>
      <c r="AU1318" s="191"/>
      <c r="AV1318" s="191"/>
      <c r="AW1318" s="191"/>
      <c r="AX1318" s="191"/>
      <c r="AY1318" s="191"/>
      <c r="AZ1318" s="189"/>
      <c r="BA1318" s="189"/>
      <c r="BB1318" s="189"/>
      <c r="BC1318" s="189"/>
      <c r="BD1318" s="189"/>
      <c r="BE1318" s="189"/>
      <c r="BF1318" s="189"/>
      <c r="BG1318" s="189"/>
      <c r="BH1318" s="189"/>
      <c r="BI1318" s="190"/>
      <c r="BJ1318" s="190"/>
      <c r="BK1318" s="190"/>
      <c r="BL1318" s="190"/>
      <c r="BM1318" s="190"/>
      <c r="BN1318" s="190"/>
      <c r="BO1318" s="190"/>
      <c r="BP1318" s="190"/>
      <c r="BQ1318" s="190"/>
      <c r="BR1318" s="190"/>
      <c r="BS1318" s="190"/>
      <c r="BT1318" s="190"/>
      <c r="BU1318" s="190"/>
      <c r="BV1318" s="190"/>
      <c r="BW1318" s="190"/>
      <c r="BX1318" s="190"/>
      <c r="BY1318" s="190"/>
      <c r="BZ1318" s="190"/>
      <c r="CA1318" s="189"/>
      <c r="CB1318" s="192"/>
    </row>
    <row r="1319" spans="1:80" x14ac:dyDescent="0.2">
      <c r="A1319" s="152"/>
      <c r="B1319" s="683"/>
      <c r="C1319" s="683"/>
      <c r="D1319" s="698"/>
      <c r="E1319" s="215"/>
      <c r="F1319" s="215"/>
      <c r="G1319" s="153"/>
      <c r="H1319" s="153"/>
      <c r="I1319" s="153"/>
      <c r="J1319" s="153"/>
      <c r="K1319" s="153"/>
      <c r="L1319" s="653"/>
      <c r="M1319" s="654">
        <v>31589</v>
      </c>
      <c r="N1319" s="587">
        <v>2.9452578520000001</v>
      </c>
      <c r="O1319" s="592">
        <v>4.6724690000000003E-3</v>
      </c>
      <c r="P1319" s="216"/>
      <c r="Q1319" s="216"/>
      <c r="R1319" s="216"/>
      <c r="S1319" s="216">
        <v>5.2999999999999999E-2</v>
      </c>
      <c r="T1319" s="216">
        <v>0.218</v>
      </c>
      <c r="U1319" s="216">
        <v>0.3</v>
      </c>
      <c r="V1319" s="216">
        <v>0.22</v>
      </c>
      <c r="W1319" s="216">
        <v>0.13200000000000001</v>
      </c>
      <c r="X1319" s="216">
        <v>7.0999999999999994E-2</v>
      </c>
      <c r="Y1319" s="216">
        <v>6.0000000000000001E-3</v>
      </c>
      <c r="Z1319" s="216"/>
      <c r="AA1319" s="186">
        <f>AVERAGE(2.34,3.92)</f>
        <v>3.13</v>
      </c>
      <c r="AB1319" s="192"/>
      <c r="AC1319" s="152"/>
      <c r="AD1319" s="186">
        <f>27.5*(0.3048)</f>
        <v>8.3819999999999997</v>
      </c>
      <c r="AE1319" s="186">
        <f>1.15*(0.3048)</f>
        <v>0.35052</v>
      </c>
      <c r="AF1319" s="186">
        <f t="shared" si="20"/>
        <v>0.27295457935426559</v>
      </c>
      <c r="AG1319" s="186">
        <f>3.27*(0.3048)</f>
        <v>0.99669600000000003</v>
      </c>
      <c r="AH1319" s="336"/>
      <c r="AI1319" s="188"/>
      <c r="AJ1319" s="188"/>
      <c r="AK1319" s="190"/>
      <c r="AL1319" s="189"/>
      <c r="AM1319" s="189"/>
      <c r="AN1319" s="189"/>
      <c r="AO1319" s="189"/>
      <c r="AP1319" s="189"/>
      <c r="AQ1319" s="189"/>
      <c r="AR1319" s="189"/>
      <c r="AS1319" s="189"/>
      <c r="AT1319" s="189"/>
      <c r="AU1319" s="191"/>
      <c r="AV1319" s="191"/>
      <c r="AW1319" s="191"/>
      <c r="AX1319" s="191"/>
      <c r="AY1319" s="191"/>
      <c r="AZ1319" s="189"/>
      <c r="BA1319" s="189"/>
      <c r="BB1319" s="189"/>
      <c r="BC1319" s="189"/>
      <c r="BD1319" s="189"/>
      <c r="BE1319" s="189"/>
      <c r="BF1319" s="189"/>
      <c r="BG1319" s="189"/>
      <c r="BH1319" s="189"/>
      <c r="BI1319" s="190"/>
      <c r="BJ1319" s="190"/>
      <c r="BK1319" s="190"/>
      <c r="BL1319" s="190"/>
      <c r="BM1319" s="190"/>
      <c r="BN1319" s="190"/>
      <c r="BO1319" s="190"/>
      <c r="BP1319" s="190"/>
      <c r="BQ1319" s="190"/>
      <c r="BR1319" s="190"/>
      <c r="BS1319" s="190"/>
      <c r="BT1319" s="190"/>
      <c r="BU1319" s="190"/>
      <c r="BV1319" s="190"/>
      <c r="BW1319" s="190"/>
      <c r="BX1319" s="190"/>
      <c r="BY1319" s="190"/>
      <c r="BZ1319" s="190"/>
      <c r="CA1319" s="189"/>
      <c r="CB1319" s="192"/>
    </row>
    <row r="1320" spans="1:80" x14ac:dyDescent="0.2">
      <c r="A1320" s="152"/>
      <c r="B1320" s="683"/>
      <c r="C1320" s="683"/>
      <c r="D1320" s="698"/>
      <c r="E1320" s="215"/>
      <c r="F1320" s="215"/>
      <c r="G1320" s="153"/>
      <c r="H1320" s="153"/>
      <c r="I1320" s="153"/>
      <c r="J1320" s="153"/>
      <c r="K1320" s="153"/>
      <c r="L1320" s="653"/>
      <c r="M1320" s="654">
        <v>31595</v>
      </c>
      <c r="N1320" s="587">
        <v>2.3505423240000001</v>
      </c>
      <c r="O1320" s="592">
        <v>7.6964490000000002E-3</v>
      </c>
      <c r="P1320" s="216"/>
      <c r="Q1320" s="216"/>
      <c r="R1320" s="216">
        <v>7.2999999999999995E-2</v>
      </c>
      <c r="S1320" s="216">
        <v>0.185</v>
      </c>
      <c r="T1320" s="216">
        <v>0.252</v>
      </c>
      <c r="U1320" s="216">
        <v>0.23799999999999999</v>
      </c>
      <c r="V1320" s="216">
        <v>0.14899999999999999</v>
      </c>
      <c r="W1320" s="216">
        <v>7.0000000000000007E-2</v>
      </c>
      <c r="X1320" s="216">
        <v>2.5999999999999999E-2</v>
      </c>
      <c r="Y1320" s="216">
        <v>7.0000000000000001E-3</v>
      </c>
      <c r="Z1320" s="216"/>
      <c r="AA1320" s="186">
        <f>AVERAGE(4.1,1.72)</f>
        <v>2.9099999999999997</v>
      </c>
      <c r="AB1320" s="192"/>
      <c r="AC1320" s="152"/>
      <c r="AD1320" s="186">
        <f>22*(0.3048)</f>
        <v>6.7056000000000004</v>
      </c>
      <c r="AE1320" s="186">
        <f>1.23*(0.3048)</f>
        <v>0.37490400000000002</v>
      </c>
      <c r="AF1320" s="186">
        <f t="shared" si="20"/>
        <v>0.23355417920399774</v>
      </c>
      <c r="AG1320" s="186">
        <f>3.06*(0.3048)</f>
        <v>0.93268800000000007</v>
      </c>
      <c r="AH1320" s="336"/>
      <c r="AI1320" s="188"/>
      <c r="AJ1320" s="188"/>
      <c r="AK1320" s="190"/>
      <c r="AL1320" s="189"/>
      <c r="AM1320" s="189"/>
      <c r="AN1320" s="189"/>
      <c r="AO1320" s="189"/>
      <c r="AP1320" s="189"/>
      <c r="AQ1320" s="189"/>
      <c r="AR1320" s="189"/>
      <c r="AS1320" s="189"/>
      <c r="AT1320" s="189"/>
      <c r="AU1320" s="191"/>
      <c r="AV1320" s="191"/>
      <c r="AW1320" s="191"/>
      <c r="AX1320" s="191"/>
      <c r="AY1320" s="191"/>
      <c r="AZ1320" s="189"/>
      <c r="BA1320" s="189"/>
      <c r="BB1320" s="189"/>
      <c r="BC1320" s="189"/>
      <c r="BD1320" s="189"/>
      <c r="BE1320" s="189"/>
      <c r="BF1320" s="189"/>
      <c r="BG1320" s="189"/>
      <c r="BH1320" s="189"/>
      <c r="BI1320" s="190"/>
      <c r="BJ1320" s="190"/>
      <c r="BK1320" s="190"/>
      <c r="BL1320" s="190"/>
      <c r="BM1320" s="190"/>
      <c r="BN1320" s="190"/>
      <c r="BO1320" s="190"/>
      <c r="BP1320" s="190"/>
      <c r="BQ1320" s="190"/>
      <c r="BR1320" s="190"/>
      <c r="BS1320" s="190"/>
      <c r="BT1320" s="190"/>
      <c r="BU1320" s="190"/>
      <c r="BV1320" s="190"/>
      <c r="BW1320" s="190"/>
      <c r="BX1320" s="190"/>
      <c r="BY1320" s="190"/>
      <c r="BZ1320" s="190"/>
      <c r="CA1320" s="189"/>
      <c r="CB1320" s="192"/>
    </row>
    <row r="1321" spans="1:80" x14ac:dyDescent="0.2">
      <c r="A1321" s="152"/>
      <c r="B1321" s="683"/>
      <c r="C1321" s="683"/>
      <c r="D1321" s="698"/>
      <c r="E1321" s="215"/>
      <c r="F1321" s="215"/>
      <c r="G1321" s="153"/>
      <c r="H1321" s="153"/>
      <c r="I1321" s="153"/>
      <c r="J1321" s="153"/>
      <c r="K1321" s="153"/>
      <c r="L1321" s="653"/>
      <c r="M1321" s="654">
        <v>31603</v>
      </c>
      <c r="N1321" s="587">
        <v>1.614227861</v>
      </c>
      <c r="O1321" s="592">
        <v>7.6124500000000002E-4</v>
      </c>
      <c r="P1321" s="216"/>
      <c r="Q1321" s="216"/>
      <c r="R1321" s="216"/>
      <c r="S1321" s="216">
        <v>0.14599999999999999</v>
      </c>
      <c r="T1321" s="216">
        <v>0.155</v>
      </c>
      <c r="U1321" s="216">
        <v>0.122</v>
      </c>
      <c r="V1321" s="216">
        <v>0.22800000000000001</v>
      </c>
      <c r="W1321" s="216">
        <v>0.21099999999999999</v>
      </c>
      <c r="X1321" s="216">
        <v>0.122</v>
      </c>
      <c r="Y1321" s="216">
        <v>1.6E-2</v>
      </c>
      <c r="Z1321" s="216"/>
      <c r="AA1321" s="186">
        <f>AVERAGE(1.59,3.05)</f>
        <v>2.3199999999999998</v>
      </c>
      <c r="AB1321" s="192"/>
      <c r="AC1321" s="152"/>
      <c r="AD1321" s="186">
        <f>28*(0.3048)</f>
        <v>8.5343999999999998</v>
      </c>
      <c r="AE1321" s="186">
        <f>0.86*(0.3048)</f>
        <v>0.26212800000000003</v>
      </c>
      <c r="AF1321" s="186">
        <f t="shared" si="20"/>
        <v>0.20783387417709775</v>
      </c>
      <c r="AG1321" s="186">
        <f>2.34*(0.3048)</f>
        <v>0.71323199999999998</v>
      </c>
      <c r="AH1321" s="336"/>
      <c r="AI1321" s="188"/>
      <c r="AJ1321" s="188"/>
      <c r="AK1321" s="190"/>
      <c r="AL1321" s="189"/>
      <c r="AM1321" s="189"/>
      <c r="AN1321" s="189"/>
      <c r="AO1321" s="189"/>
      <c r="AP1321" s="189"/>
      <c r="AQ1321" s="189"/>
      <c r="AR1321" s="189"/>
      <c r="AS1321" s="189"/>
      <c r="AT1321" s="189"/>
      <c r="AU1321" s="191"/>
      <c r="AV1321" s="191"/>
      <c r="AW1321" s="191"/>
      <c r="AX1321" s="191"/>
      <c r="AY1321" s="191"/>
      <c r="AZ1321" s="189"/>
      <c r="BA1321" s="189"/>
      <c r="BB1321" s="189"/>
      <c r="BC1321" s="189"/>
      <c r="BD1321" s="189"/>
      <c r="BE1321" s="189"/>
      <c r="BF1321" s="189"/>
      <c r="BG1321" s="189"/>
      <c r="BH1321" s="189"/>
      <c r="BI1321" s="190"/>
      <c r="BJ1321" s="190"/>
      <c r="BK1321" s="190"/>
      <c r="BL1321" s="190"/>
      <c r="BM1321" s="190"/>
      <c r="BN1321" s="190"/>
      <c r="BO1321" s="190"/>
      <c r="BP1321" s="190"/>
      <c r="BQ1321" s="190"/>
      <c r="BR1321" s="190"/>
      <c r="BS1321" s="190"/>
      <c r="BT1321" s="190"/>
      <c r="BU1321" s="190"/>
      <c r="BV1321" s="190"/>
      <c r="BW1321" s="190"/>
      <c r="BX1321" s="190"/>
      <c r="BY1321" s="190"/>
      <c r="BZ1321" s="190"/>
      <c r="CA1321" s="189"/>
      <c r="CB1321" s="192"/>
    </row>
    <row r="1322" spans="1:80" x14ac:dyDescent="0.2">
      <c r="A1322" s="152"/>
      <c r="B1322" s="683"/>
      <c r="C1322" s="683"/>
      <c r="D1322" s="698"/>
      <c r="E1322" s="215"/>
      <c r="F1322" s="215"/>
      <c r="G1322" s="153"/>
      <c r="H1322" s="153"/>
      <c r="I1322" s="153"/>
      <c r="J1322" s="153"/>
      <c r="K1322" s="153"/>
      <c r="L1322" s="653"/>
      <c r="M1322" s="654">
        <v>31609</v>
      </c>
      <c r="N1322" s="587">
        <v>1.302710204</v>
      </c>
      <c r="O1322" s="592">
        <v>1.055243E-3</v>
      </c>
      <c r="P1322" s="216"/>
      <c r="Q1322" s="216"/>
      <c r="R1322" s="216"/>
      <c r="S1322" s="216">
        <v>7.4999999999999997E-2</v>
      </c>
      <c r="T1322" s="216">
        <v>0.28299999999999997</v>
      </c>
      <c r="U1322" s="216">
        <v>0.33600000000000002</v>
      </c>
      <c r="V1322" s="216">
        <v>0.17199999999999999</v>
      </c>
      <c r="W1322" s="216">
        <v>6.7000000000000004E-2</v>
      </c>
      <c r="X1322" s="216">
        <v>5.1999999999999998E-2</v>
      </c>
      <c r="Y1322" s="216">
        <v>1.4999999999999999E-2</v>
      </c>
      <c r="Z1322" s="216"/>
      <c r="AA1322" s="186">
        <f>AVERAGE(2.99,2.63)</f>
        <v>2.81</v>
      </c>
      <c r="AB1322" s="192"/>
      <c r="AC1322" s="152"/>
      <c r="AD1322" s="186">
        <f>23*(0.3048)</f>
        <v>7.0104000000000006</v>
      </c>
      <c r="AE1322" s="186">
        <f>0.89*(0.3048)</f>
        <v>0.27127200000000001</v>
      </c>
      <c r="AF1322" s="186">
        <f t="shared" si="20"/>
        <v>0.17667605500021558</v>
      </c>
      <c r="AG1322" s="186">
        <f>2.22*(0.3048)</f>
        <v>0.67665600000000015</v>
      </c>
      <c r="AH1322" s="336"/>
      <c r="AI1322" s="188"/>
      <c r="AJ1322" s="188"/>
      <c r="AK1322" s="190"/>
      <c r="AL1322" s="189"/>
      <c r="AM1322" s="189"/>
      <c r="AN1322" s="189"/>
      <c r="AO1322" s="189"/>
      <c r="AP1322" s="189"/>
      <c r="AQ1322" s="189"/>
      <c r="AR1322" s="189"/>
      <c r="AS1322" s="189"/>
      <c r="AT1322" s="189"/>
      <c r="AU1322" s="191"/>
      <c r="AV1322" s="191"/>
      <c r="AW1322" s="191"/>
      <c r="AX1322" s="191"/>
      <c r="AY1322" s="191"/>
      <c r="AZ1322" s="189"/>
      <c r="BA1322" s="189"/>
      <c r="BB1322" s="189"/>
      <c r="BC1322" s="189"/>
      <c r="BD1322" s="189"/>
      <c r="BE1322" s="189"/>
      <c r="BF1322" s="189"/>
      <c r="BG1322" s="189"/>
      <c r="BH1322" s="189"/>
      <c r="BI1322" s="190"/>
      <c r="BJ1322" s="190"/>
      <c r="BK1322" s="190"/>
      <c r="BL1322" s="190"/>
      <c r="BM1322" s="190"/>
      <c r="BN1322" s="190"/>
      <c r="BO1322" s="190"/>
      <c r="BP1322" s="190"/>
      <c r="BQ1322" s="190"/>
      <c r="BR1322" s="190"/>
      <c r="BS1322" s="190"/>
      <c r="BT1322" s="190"/>
      <c r="BU1322" s="190"/>
      <c r="BV1322" s="190"/>
      <c r="BW1322" s="190"/>
      <c r="BX1322" s="190"/>
      <c r="BY1322" s="190"/>
      <c r="BZ1322" s="190"/>
      <c r="CA1322" s="189"/>
      <c r="CB1322" s="192"/>
    </row>
    <row r="1323" spans="1:80" x14ac:dyDescent="0.2">
      <c r="A1323" s="152"/>
      <c r="B1323" s="683"/>
      <c r="C1323" s="683"/>
      <c r="D1323" s="698"/>
      <c r="E1323" s="215"/>
      <c r="F1323" s="215"/>
      <c r="G1323" s="153"/>
      <c r="H1323" s="153"/>
      <c r="I1323" s="153"/>
      <c r="J1323" s="153"/>
      <c r="K1323" s="153"/>
      <c r="L1323" s="653"/>
      <c r="M1323" s="654">
        <v>31910</v>
      </c>
      <c r="N1323" s="587">
        <v>1.755826796</v>
      </c>
      <c r="O1323" s="592">
        <v>7.3552019999999999E-3</v>
      </c>
      <c r="P1323" s="216"/>
      <c r="Q1323" s="216"/>
      <c r="R1323" s="216"/>
      <c r="S1323" s="216">
        <v>2.1999999999999999E-2</v>
      </c>
      <c r="T1323" s="216">
        <v>0.125</v>
      </c>
      <c r="U1323" s="216">
        <v>0.20899999999999999</v>
      </c>
      <c r="V1323" s="216">
        <v>0.29599999999999999</v>
      </c>
      <c r="W1323" s="216">
        <v>0.19900000000000001</v>
      </c>
      <c r="X1323" s="216">
        <v>9.8000000000000004E-2</v>
      </c>
      <c r="Y1323" s="216">
        <v>5.0999999999999997E-2</v>
      </c>
      <c r="Z1323" s="216"/>
      <c r="AA1323" s="186">
        <f>AVERAGE(1.43,2.09)</f>
        <v>1.7599999999999998</v>
      </c>
      <c r="AB1323" s="192"/>
      <c r="AC1323" s="152"/>
      <c r="AD1323" s="186">
        <f>28*(0.3048)</f>
        <v>8.5343999999999998</v>
      </c>
      <c r="AE1323" s="186">
        <f>0.81*(0.3048)</f>
        <v>0.24688800000000002</v>
      </c>
      <c r="AF1323" s="186">
        <f>22.6*(0.3048^2)</f>
        <v>2.0996087040000004</v>
      </c>
      <c r="AG1323" s="186">
        <f>2.75*(0.3048)</f>
        <v>0.83820000000000006</v>
      </c>
      <c r="AH1323" s="336"/>
      <c r="AI1323" s="188"/>
      <c r="AJ1323" s="188"/>
      <c r="AK1323" s="190"/>
      <c r="AL1323" s="189"/>
      <c r="AM1323" s="189"/>
      <c r="AN1323" s="189"/>
      <c r="AO1323" s="189"/>
      <c r="AP1323" s="189"/>
      <c r="AQ1323" s="189"/>
      <c r="AR1323" s="189"/>
      <c r="AS1323" s="189"/>
      <c r="AT1323" s="189"/>
      <c r="AU1323" s="191"/>
      <c r="AV1323" s="191"/>
      <c r="AW1323" s="191"/>
      <c r="AX1323" s="191"/>
      <c r="AY1323" s="191"/>
      <c r="AZ1323" s="189"/>
      <c r="BA1323" s="189"/>
      <c r="BB1323" s="189"/>
      <c r="BC1323" s="189"/>
      <c r="BD1323" s="189"/>
      <c r="BE1323" s="189"/>
      <c r="BF1323" s="189"/>
      <c r="BG1323" s="189"/>
      <c r="BH1323" s="189"/>
      <c r="BI1323" s="190"/>
      <c r="BJ1323" s="190"/>
      <c r="BK1323" s="190"/>
      <c r="BL1323" s="190"/>
      <c r="BM1323" s="190"/>
      <c r="BN1323" s="190"/>
      <c r="BO1323" s="190"/>
      <c r="BP1323" s="190"/>
      <c r="BQ1323" s="190"/>
      <c r="BR1323" s="190"/>
      <c r="BS1323" s="190"/>
      <c r="BT1323" s="190"/>
      <c r="BU1323" s="190"/>
      <c r="BV1323" s="190"/>
      <c r="BW1323" s="190"/>
      <c r="BX1323" s="190"/>
      <c r="BY1323" s="190"/>
      <c r="BZ1323" s="190"/>
      <c r="CA1323" s="189"/>
      <c r="CB1323" s="192"/>
    </row>
    <row r="1324" spans="1:80" x14ac:dyDescent="0.2">
      <c r="A1324" s="152"/>
      <c r="B1324" s="683"/>
      <c r="C1324" s="683"/>
      <c r="D1324" s="698"/>
      <c r="E1324" s="215"/>
      <c r="F1324" s="215"/>
      <c r="G1324" s="153"/>
      <c r="H1324" s="153"/>
      <c r="I1324" s="153"/>
      <c r="J1324" s="153"/>
      <c r="K1324" s="153"/>
      <c r="L1324" s="653"/>
      <c r="M1324" s="654">
        <v>31919</v>
      </c>
      <c r="N1324" s="587">
        <v>1.869105944</v>
      </c>
      <c r="O1324" s="592">
        <v>1.0872679E-2</v>
      </c>
      <c r="P1324" s="216"/>
      <c r="Q1324" s="216"/>
      <c r="R1324" s="216">
        <v>4.3999999999999997E-2</v>
      </c>
      <c r="S1324" s="216">
        <v>0.17</v>
      </c>
      <c r="T1324" s="216">
        <v>0.30099999999999999</v>
      </c>
      <c r="U1324" s="216">
        <v>0.221</v>
      </c>
      <c r="V1324" s="216">
        <v>0.13900000000000001</v>
      </c>
      <c r="W1324" s="216">
        <v>6.5000000000000002E-2</v>
      </c>
      <c r="X1324" s="216">
        <v>3.2000000000000001E-2</v>
      </c>
      <c r="Y1324" s="216">
        <v>2.8000000000000001E-2</v>
      </c>
      <c r="Z1324" s="216"/>
      <c r="AA1324" s="186">
        <f>AVERAGE(4.13,2.2)</f>
        <v>3.165</v>
      </c>
      <c r="AB1324" s="192"/>
      <c r="AC1324" s="152"/>
      <c r="AD1324" s="186">
        <f>29*(0.3048)</f>
        <v>8.8391999999999999</v>
      </c>
      <c r="AE1324" s="186">
        <f>0.77*(0.3048)</f>
        <v>0.23469600000000002</v>
      </c>
      <c r="AF1324" s="186">
        <f>22.4*(0.3048^2)</f>
        <v>2.0810280959999998</v>
      </c>
      <c r="AG1324" s="186">
        <f>2.94*(0.3048)</f>
        <v>0.89611200000000002</v>
      </c>
      <c r="AH1324" s="336"/>
      <c r="AI1324" s="188"/>
      <c r="AJ1324" s="188"/>
      <c r="AK1324" s="190"/>
      <c r="AL1324" s="189"/>
      <c r="AM1324" s="189"/>
      <c r="AN1324" s="189"/>
      <c r="AO1324" s="189"/>
      <c r="AP1324" s="189"/>
      <c r="AQ1324" s="189"/>
      <c r="AR1324" s="189"/>
      <c r="AS1324" s="189"/>
      <c r="AT1324" s="189"/>
      <c r="AU1324" s="191"/>
      <c r="AV1324" s="191"/>
      <c r="AW1324" s="191"/>
      <c r="AX1324" s="191"/>
      <c r="AY1324" s="191"/>
      <c r="AZ1324" s="189"/>
      <c r="BA1324" s="189"/>
      <c r="BB1324" s="189"/>
      <c r="BC1324" s="189"/>
      <c r="BD1324" s="189"/>
      <c r="BE1324" s="189"/>
      <c r="BF1324" s="189"/>
      <c r="BG1324" s="189"/>
      <c r="BH1324" s="189"/>
      <c r="BI1324" s="190"/>
      <c r="BJ1324" s="190"/>
      <c r="BK1324" s="190"/>
      <c r="BL1324" s="190"/>
      <c r="BM1324" s="190"/>
      <c r="BN1324" s="190"/>
      <c r="BO1324" s="190"/>
      <c r="BP1324" s="190"/>
      <c r="BQ1324" s="190"/>
      <c r="BR1324" s="190"/>
      <c r="BS1324" s="190"/>
      <c r="BT1324" s="190"/>
      <c r="BU1324" s="190"/>
      <c r="BV1324" s="190"/>
      <c r="BW1324" s="190"/>
      <c r="BX1324" s="190"/>
      <c r="BY1324" s="190"/>
      <c r="BZ1324" s="190"/>
      <c r="CA1324" s="189"/>
      <c r="CB1324" s="192"/>
    </row>
    <row r="1325" spans="1:80" x14ac:dyDescent="0.2">
      <c r="A1325" s="152"/>
      <c r="B1325" s="683"/>
      <c r="C1325" s="683"/>
      <c r="D1325" s="698"/>
      <c r="E1325" s="215"/>
      <c r="F1325" s="215"/>
      <c r="G1325" s="153"/>
      <c r="H1325" s="153"/>
      <c r="I1325" s="153"/>
      <c r="J1325" s="153"/>
      <c r="K1325" s="153"/>
      <c r="L1325" s="653"/>
      <c r="M1325" s="654">
        <v>31925</v>
      </c>
      <c r="N1325" s="587">
        <v>3.0018974260000002</v>
      </c>
      <c r="O1325" s="592">
        <v>5.1502162999999997E-2</v>
      </c>
      <c r="P1325" s="216"/>
      <c r="Q1325" s="216"/>
      <c r="R1325" s="216">
        <v>0.1</v>
      </c>
      <c r="S1325" s="216">
        <v>0.159</v>
      </c>
      <c r="T1325" s="216">
        <v>0.17899999999999999</v>
      </c>
      <c r="U1325" s="216">
        <v>0.182</v>
      </c>
      <c r="V1325" s="216">
        <v>0.187</v>
      </c>
      <c r="W1325" s="216">
        <v>0.123</v>
      </c>
      <c r="X1325" s="216">
        <v>0.05</v>
      </c>
      <c r="Y1325" s="216">
        <v>0.02</v>
      </c>
      <c r="Z1325" s="216"/>
      <c r="AA1325" s="186">
        <f>AVERAGE(3.17,2.26)</f>
        <v>2.7149999999999999</v>
      </c>
      <c r="AB1325" s="192"/>
      <c r="AC1325" s="152"/>
      <c r="AD1325" s="186">
        <f>30*(0.3048)</f>
        <v>9.1440000000000001</v>
      </c>
      <c r="AE1325" s="186">
        <f>1.03*(0.3048)</f>
        <v>0.313944</v>
      </c>
      <c r="AF1325" s="186">
        <f>31*(0.3048^2)</f>
        <v>2.8799942400000003</v>
      </c>
      <c r="AG1325" s="186">
        <f>3.43*(0.3048)</f>
        <v>1.0454640000000002</v>
      </c>
      <c r="AH1325" s="336"/>
      <c r="AI1325" s="188"/>
      <c r="AJ1325" s="188"/>
      <c r="AK1325" s="190"/>
      <c r="AL1325" s="189"/>
      <c r="AM1325" s="189"/>
      <c r="AN1325" s="189"/>
      <c r="AO1325" s="189"/>
      <c r="AP1325" s="189"/>
      <c r="AQ1325" s="189"/>
      <c r="AR1325" s="189"/>
      <c r="AS1325" s="189"/>
      <c r="AT1325" s="189"/>
      <c r="AU1325" s="191"/>
      <c r="AV1325" s="191"/>
      <c r="AW1325" s="191"/>
      <c r="AX1325" s="191"/>
      <c r="AY1325" s="191"/>
      <c r="AZ1325" s="189"/>
      <c r="BA1325" s="189"/>
      <c r="BB1325" s="189"/>
      <c r="BC1325" s="189"/>
      <c r="BD1325" s="189"/>
      <c r="BE1325" s="189"/>
      <c r="BF1325" s="189"/>
      <c r="BG1325" s="189"/>
      <c r="BH1325" s="189"/>
      <c r="BI1325" s="190"/>
      <c r="BJ1325" s="190"/>
      <c r="BK1325" s="190"/>
      <c r="BL1325" s="190"/>
      <c r="BM1325" s="190"/>
      <c r="BN1325" s="190"/>
      <c r="BO1325" s="190"/>
      <c r="BP1325" s="190"/>
      <c r="BQ1325" s="190"/>
      <c r="BR1325" s="190"/>
      <c r="BS1325" s="190"/>
      <c r="BT1325" s="190"/>
      <c r="BU1325" s="190"/>
      <c r="BV1325" s="190"/>
      <c r="BW1325" s="190"/>
      <c r="BX1325" s="190"/>
      <c r="BY1325" s="190"/>
      <c r="BZ1325" s="190"/>
      <c r="CA1325" s="189"/>
      <c r="CB1325" s="192"/>
    </row>
    <row r="1326" spans="1:80" x14ac:dyDescent="0.2">
      <c r="A1326" s="152"/>
      <c r="B1326" s="683"/>
      <c r="C1326" s="683"/>
      <c r="D1326" s="698"/>
      <c r="E1326" s="215"/>
      <c r="F1326" s="215"/>
      <c r="G1326" s="153"/>
      <c r="H1326" s="153"/>
      <c r="I1326" s="153"/>
      <c r="J1326" s="153"/>
      <c r="K1326" s="153"/>
      <c r="L1326" s="653"/>
      <c r="M1326" s="654">
        <v>31931</v>
      </c>
      <c r="N1326" s="587">
        <v>2.0956642410000001</v>
      </c>
      <c r="O1326" s="592">
        <v>9.0614409999999999E-3</v>
      </c>
      <c r="P1326" s="216"/>
      <c r="Q1326" s="216"/>
      <c r="R1326" s="216">
        <v>3.2000000000000001E-2</v>
      </c>
      <c r="S1326" s="216">
        <v>0.19400000000000001</v>
      </c>
      <c r="T1326" s="216">
        <v>0.26400000000000001</v>
      </c>
      <c r="U1326" s="216">
        <v>0.218</v>
      </c>
      <c r="V1326" s="216">
        <v>0.14899999999999999</v>
      </c>
      <c r="W1326" s="216">
        <v>7.4999999999999997E-2</v>
      </c>
      <c r="X1326" s="216">
        <v>4.3999999999999997E-2</v>
      </c>
      <c r="Y1326" s="216">
        <v>2.4E-2</v>
      </c>
      <c r="Z1326" s="216"/>
      <c r="AA1326" s="186">
        <f>AVERAGE(3.88,1.38)</f>
        <v>2.63</v>
      </c>
      <c r="AB1326" s="192"/>
      <c r="AC1326" s="152"/>
      <c r="AD1326" s="186">
        <f>27*(0.3048)</f>
        <v>8.2295999999999996</v>
      </c>
      <c r="AE1326" s="186">
        <f>0.93*(0.3048)</f>
        <v>0.28346400000000005</v>
      </c>
      <c r="AF1326" s="186">
        <f>25*(0.3048^2)</f>
        <v>2.3225760000000002</v>
      </c>
      <c r="AG1326" s="186">
        <f>2.94*(0.3048)</f>
        <v>0.89611200000000002</v>
      </c>
      <c r="AH1326" s="336"/>
      <c r="AI1326" s="188"/>
      <c r="AJ1326" s="188"/>
      <c r="AK1326" s="190"/>
      <c r="AL1326" s="189"/>
      <c r="AM1326" s="189"/>
      <c r="AN1326" s="189"/>
      <c r="AO1326" s="189"/>
      <c r="AP1326" s="189"/>
      <c r="AQ1326" s="189"/>
      <c r="AR1326" s="189"/>
      <c r="AS1326" s="189"/>
      <c r="AT1326" s="189"/>
      <c r="AU1326" s="191"/>
      <c r="AV1326" s="191"/>
      <c r="AW1326" s="191"/>
      <c r="AX1326" s="191"/>
      <c r="AY1326" s="191"/>
      <c r="AZ1326" s="189"/>
      <c r="BA1326" s="189"/>
      <c r="BB1326" s="189"/>
      <c r="BC1326" s="189"/>
      <c r="BD1326" s="189"/>
      <c r="BE1326" s="189"/>
      <c r="BF1326" s="189"/>
      <c r="BG1326" s="189"/>
      <c r="BH1326" s="189"/>
      <c r="BI1326" s="190"/>
      <c r="BJ1326" s="190"/>
      <c r="BK1326" s="190"/>
      <c r="BL1326" s="190"/>
      <c r="BM1326" s="190"/>
      <c r="BN1326" s="190"/>
      <c r="BO1326" s="190"/>
      <c r="BP1326" s="190"/>
      <c r="BQ1326" s="190"/>
      <c r="BR1326" s="190"/>
      <c r="BS1326" s="190"/>
      <c r="BT1326" s="190"/>
      <c r="BU1326" s="190"/>
      <c r="BV1326" s="190"/>
      <c r="BW1326" s="190"/>
      <c r="BX1326" s="190"/>
      <c r="BY1326" s="190"/>
      <c r="BZ1326" s="190"/>
      <c r="CA1326" s="189"/>
      <c r="CB1326" s="192"/>
    </row>
    <row r="1327" spans="1:80" x14ac:dyDescent="0.2">
      <c r="A1327" s="152"/>
      <c r="B1327" s="683"/>
      <c r="C1327" s="683"/>
      <c r="D1327" s="698"/>
      <c r="E1327" s="215"/>
      <c r="F1327" s="215"/>
      <c r="G1327" s="153"/>
      <c r="H1327" s="153"/>
      <c r="I1327" s="153"/>
      <c r="J1327" s="153"/>
      <c r="K1327" s="153"/>
      <c r="L1327" s="653"/>
      <c r="M1327" s="654">
        <v>32275</v>
      </c>
      <c r="N1327" s="587">
        <v>1.925745518</v>
      </c>
      <c r="O1327" s="592">
        <v>5.6542129999999999E-3</v>
      </c>
      <c r="P1327" s="216"/>
      <c r="Q1327" s="216"/>
      <c r="R1327" s="216"/>
      <c r="S1327" s="216">
        <v>4.3999999999999997E-2</v>
      </c>
      <c r="T1327" s="216">
        <v>0.16500000000000001</v>
      </c>
      <c r="U1327" s="216">
        <v>0.14199999999999999</v>
      </c>
      <c r="V1327" s="216">
        <v>0.19600000000000001</v>
      </c>
      <c r="W1327" s="216">
        <v>0.18099999999999999</v>
      </c>
      <c r="X1327" s="216">
        <v>0.17499999999999999</v>
      </c>
      <c r="Y1327" s="216">
        <v>9.7000000000000003E-2</v>
      </c>
      <c r="Z1327" s="216"/>
      <c r="AA1327" s="186">
        <v>1.1000000000000001</v>
      </c>
      <c r="AB1327" s="192"/>
      <c r="AC1327" s="152"/>
      <c r="AD1327" s="186">
        <f>22*(0.3048)</f>
        <v>6.7056000000000004</v>
      </c>
      <c r="AE1327" s="186">
        <f>1.21*(0.3048)</f>
        <v>0.36880800000000002</v>
      </c>
      <c r="AF1327" s="186">
        <f>26.7*(0.3048^2)</f>
        <v>2.480511168</v>
      </c>
      <c r="AG1327" s="186">
        <f>2.53*(0.3048)</f>
        <v>0.77114399999999994</v>
      </c>
      <c r="AH1327" s="336"/>
      <c r="AI1327" s="188"/>
      <c r="AJ1327" s="188"/>
      <c r="AK1327" s="190"/>
      <c r="AL1327" s="189"/>
      <c r="AM1327" s="189"/>
      <c r="AN1327" s="189"/>
      <c r="AO1327" s="189"/>
      <c r="AP1327" s="189"/>
      <c r="AQ1327" s="189"/>
      <c r="AR1327" s="189"/>
      <c r="AS1327" s="189"/>
      <c r="AT1327" s="189"/>
      <c r="AU1327" s="191"/>
      <c r="AV1327" s="191"/>
      <c r="AW1327" s="191"/>
      <c r="AX1327" s="191"/>
      <c r="AY1327" s="191"/>
      <c r="AZ1327" s="189"/>
      <c r="BA1327" s="189"/>
      <c r="BB1327" s="189"/>
      <c r="BC1327" s="189"/>
      <c r="BD1327" s="189"/>
      <c r="BE1327" s="189"/>
      <c r="BF1327" s="189"/>
      <c r="BG1327" s="189"/>
      <c r="BH1327" s="189"/>
      <c r="BI1327" s="190"/>
      <c r="BJ1327" s="190"/>
      <c r="BK1327" s="190"/>
      <c r="BL1327" s="190"/>
      <c r="BM1327" s="190"/>
      <c r="BN1327" s="190"/>
      <c r="BO1327" s="190"/>
      <c r="BP1327" s="190"/>
      <c r="BQ1327" s="190"/>
      <c r="BR1327" s="190"/>
      <c r="BS1327" s="190"/>
      <c r="BT1327" s="190"/>
      <c r="BU1327" s="190"/>
      <c r="BV1327" s="190"/>
      <c r="BW1327" s="190"/>
      <c r="BX1327" s="190"/>
      <c r="BY1327" s="190"/>
      <c r="BZ1327" s="190"/>
      <c r="CA1327" s="189"/>
      <c r="CB1327" s="192"/>
    </row>
    <row r="1328" spans="1:80" x14ac:dyDescent="0.2">
      <c r="A1328" s="152"/>
      <c r="B1328" s="683"/>
      <c r="C1328" s="683"/>
      <c r="D1328" s="698"/>
      <c r="E1328" s="215"/>
      <c r="F1328" s="215"/>
      <c r="G1328" s="153"/>
      <c r="H1328" s="153"/>
      <c r="I1328" s="153"/>
      <c r="J1328" s="153"/>
      <c r="K1328" s="153"/>
      <c r="L1328" s="653"/>
      <c r="M1328" s="654">
        <v>32281</v>
      </c>
      <c r="N1328" s="587">
        <v>4.4178867769999997</v>
      </c>
      <c r="O1328" s="592">
        <v>1.6211893000000002E-2</v>
      </c>
      <c r="P1328" s="216"/>
      <c r="Q1328" s="216"/>
      <c r="R1328" s="216"/>
      <c r="S1328" s="216">
        <v>0.108</v>
      </c>
      <c r="T1328" s="216">
        <v>8.6999999999999994E-2</v>
      </c>
      <c r="U1328" s="216">
        <v>9.0999999999999998E-2</v>
      </c>
      <c r="V1328" s="216">
        <v>0.16200000000000001</v>
      </c>
      <c r="W1328" s="216">
        <v>0.17899999999999999</v>
      </c>
      <c r="X1328" s="216">
        <v>0.254</v>
      </c>
      <c r="Y1328" s="216">
        <v>0.11899999999999999</v>
      </c>
      <c r="Z1328" s="216"/>
      <c r="AA1328" s="186">
        <f>AVERAGE(0.82,1.65)</f>
        <v>1.2349999999999999</v>
      </c>
      <c r="AB1328" s="192"/>
      <c r="AC1328" s="152"/>
      <c r="AD1328" s="186">
        <f>23*(0.3048)</f>
        <v>7.0104000000000006</v>
      </c>
      <c r="AE1328" s="186">
        <f>1.6*(0.3048)</f>
        <v>0.48768000000000006</v>
      </c>
      <c r="AF1328" s="186">
        <f>36.8*(0.3048^2)</f>
        <v>3.4188318720000002</v>
      </c>
      <c r="AG1328" s="186">
        <f>4.24*(0.3048)</f>
        <v>1.2923520000000002</v>
      </c>
      <c r="AH1328" s="336"/>
      <c r="AI1328" s="188"/>
      <c r="AJ1328" s="188"/>
      <c r="AK1328" s="190"/>
      <c r="AL1328" s="189"/>
      <c r="AM1328" s="189"/>
      <c r="AN1328" s="189"/>
      <c r="AO1328" s="189"/>
      <c r="AP1328" s="189"/>
      <c r="AQ1328" s="189"/>
      <c r="AR1328" s="189"/>
      <c r="AS1328" s="189"/>
      <c r="AT1328" s="189"/>
      <c r="AU1328" s="191"/>
      <c r="AV1328" s="191"/>
      <c r="AW1328" s="191"/>
      <c r="AX1328" s="191"/>
      <c r="AY1328" s="191"/>
      <c r="AZ1328" s="189"/>
      <c r="BA1328" s="189"/>
      <c r="BB1328" s="189"/>
      <c r="BC1328" s="189"/>
      <c r="BD1328" s="189"/>
      <c r="BE1328" s="189"/>
      <c r="BF1328" s="189"/>
      <c r="BG1328" s="189"/>
      <c r="BH1328" s="189"/>
      <c r="BI1328" s="190"/>
      <c r="BJ1328" s="190"/>
      <c r="BK1328" s="190"/>
      <c r="BL1328" s="190"/>
      <c r="BM1328" s="190"/>
      <c r="BN1328" s="190"/>
      <c r="BO1328" s="190"/>
      <c r="BP1328" s="190"/>
      <c r="BQ1328" s="190"/>
      <c r="BR1328" s="190"/>
      <c r="BS1328" s="190"/>
      <c r="BT1328" s="190"/>
      <c r="BU1328" s="190"/>
      <c r="BV1328" s="190"/>
      <c r="BW1328" s="190"/>
      <c r="BX1328" s="190"/>
      <c r="BY1328" s="190"/>
      <c r="BZ1328" s="190"/>
      <c r="CA1328" s="189"/>
      <c r="CB1328" s="192"/>
    </row>
    <row r="1329" spans="1:80" x14ac:dyDescent="0.2">
      <c r="A1329" s="152"/>
      <c r="B1329" s="683"/>
      <c r="C1329" s="683"/>
      <c r="D1329" s="698"/>
      <c r="E1329" s="215"/>
      <c r="F1329" s="215"/>
      <c r="G1329" s="153"/>
      <c r="H1329" s="153"/>
      <c r="I1329" s="153"/>
      <c r="J1329" s="153"/>
      <c r="K1329" s="153"/>
      <c r="L1329" s="653"/>
      <c r="M1329" s="654">
        <v>32290</v>
      </c>
      <c r="N1329" s="587">
        <v>4.2196482680000003</v>
      </c>
      <c r="O1329" s="592">
        <v>1.0762429E-2</v>
      </c>
      <c r="P1329" s="216"/>
      <c r="Q1329" s="216"/>
      <c r="R1329" s="216">
        <v>0.28599999999999998</v>
      </c>
      <c r="S1329" s="216">
        <v>0.128</v>
      </c>
      <c r="T1329" s="216">
        <v>9.1999999999999998E-2</v>
      </c>
      <c r="U1329" s="216">
        <v>0.128</v>
      </c>
      <c r="V1329" s="216">
        <v>0.13400000000000001</v>
      </c>
      <c r="W1329" s="216">
        <v>0.104</v>
      </c>
      <c r="X1329" s="216">
        <v>8.5999999999999993E-2</v>
      </c>
      <c r="Y1329" s="216">
        <v>4.2000000000000003E-2</v>
      </c>
      <c r="Z1329" s="216"/>
      <c r="AA1329" s="186">
        <f>AVERAGE(4.18,0.68)</f>
        <v>2.4299999999999997</v>
      </c>
      <c r="AB1329" s="192"/>
      <c r="AC1329" s="152"/>
      <c r="AD1329" s="186">
        <f>22*(0.3048)</f>
        <v>6.7056000000000004</v>
      </c>
      <c r="AE1329" s="186">
        <f>1.62*(0.3048)</f>
        <v>0.49377600000000005</v>
      </c>
      <c r="AF1329" s="186">
        <f>35.6*(0.3048^2)</f>
        <v>3.3073482240000005</v>
      </c>
      <c r="AG1329" s="186">
        <f>3.62*(0.3048)</f>
        <v>1.1033760000000001</v>
      </c>
      <c r="AH1329" s="336"/>
      <c r="AI1329" s="188"/>
      <c r="AJ1329" s="188"/>
      <c r="AK1329" s="190"/>
      <c r="AL1329" s="189"/>
      <c r="AM1329" s="189"/>
      <c r="AN1329" s="189"/>
      <c r="AO1329" s="189"/>
      <c r="AP1329" s="189"/>
      <c r="AQ1329" s="189"/>
      <c r="AR1329" s="189"/>
      <c r="AS1329" s="189"/>
      <c r="AT1329" s="189"/>
      <c r="AU1329" s="191"/>
      <c r="AV1329" s="191"/>
      <c r="AW1329" s="191"/>
      <c r="AX1329" s="191"/>
      <c r="AY1329" s="191"/>
      <c r="AZ1329" s="189"/>
      <c r="BA1329" s="189"/>
      <c r="BB1329" s="189"/>
      <c r="BC1329" s="189"/>
      <c r="BD1329" s="189"/>
      <c r="BE1329" s="189"/>
      <c r="BF1329" s="189"/>
      <c r="BG1329" s="189"/>
      <c r="BH1329" s="189"/>
      <c r="BI1329" s="190"/>
      <c r="BJ1329" s="190"/>
      <c r="BK1329" s="190"/>
      <c r="BL1329" s="190"/>
      <c r="BM1329" s="190"/>
      <c r="BN1329" s="190"/>
      <c r="BO1329" s="190"/>
      <c r="BP1329" s="190"/>
      <c r="BQ1329" s="190"/>
      <c r="BR1329" s="190"/>
      <c r="BS1329" s="190"/>
      <c r="BT1329" s="190"/>
      <c r="BU1329" s="190"/>
      <c r="BV1329" s="190"/>
      <c r="BW1329" s="190"/>
      <c r="BX1329" s="190"/>
      <c r="BY1329" s="190"/>
      <c r="BZ1329" s="190"/>
      <c r="CA1329" s="189"/>
      <c r="CB1329" s="192"/>
    </row>
    <row r="1330" spans="1:80" x14ac:dyDescent="0.2">
      <c r="A1330" s="152"/>
      <c r="B1330" s="683"/>
      <c r="C1330" s="683"/>
      <c r="D1330" s="698"/>
      <c r="E1330" s="215"/>
      <c r="F1330" s="215"/>
      <c r="G1330" s="153"/>
      <c r="H1330" s="153"/>
      <c r="I1330" s="153"/>
      <c r="J1330" s="153"/>
      <c r="K1330" s="153"/>
      <c r="L1330" s="653"/>
      <c r="M1330" s="654">
        <v>32297</v>
      </c>
      <c r="N1330" s="587">
        <v>2.1239840280000002</v>
      </c>
      <c r="O1330" s="592">
        <v>1.1182427E-2</v>
      </c>
      <c r="P1330" s="216"/>
      <c r="Q1330" s="216"/>
      <c r="R1330" s="216">
        <v>0.23400000000000001</v>
      </c>
      <c r="S1330" s="216">
        <v>0.33</v>
      </c>
      <c r="T1330" s="216">
        <v>0.129</v>
      </c>
      <c r="U1330" s="216">
        <v>9.1999999999999998E-2</v>
      </c>
      <c r="V1330" s="216">
        <v>8.5000000000000006E-2</v>
      </c>
      <c r="W1330" s="216">
        <v>6.2E-2</v>
      </c>
      <c r="X1330" s="216">
        <v>4.8000000000000001E-2</v>
      </c>
      <c r="Y1330" s="216">
        <v>0.02</v>
      </c>
      <c r="Z1330" s="216"/>
      <c r="AA1330" s="186">
        <f>AVERAGE(9.07,5.98)</f>
        <v>7.5250000000000004</v>
      </c>
      <c r="AB1330" s="192"/>
      <c r="AC1330" s="152"/>
      <c r="AD1330" s="186">
        <f>28*(0.3048)</f>
        <v>8.5343999999999998</v>
      </c>
      <c r="AE1330" s="186">
        <f>0.86*(0.3048)</f>
        <v>0.26212800000000003</v>
      </c>
      <c r="AF1330" s="186">
        <f>24.2*(0.3048^2)</f>
        <v>2.248253568</v>
      </c>
      <c r="AG1330" s="186">
        <f>3.1*(0.3048)</f>
        <v>0.94488000000000005</v>
      </c>
      <c r="AH1330" s="336"/>
      <c r="AI1330" s="188"/>
      <c r="AJ1330" s="188"/>
      <c r="AK1330" s="190"/>
      <c r="AL1330" s="189"/>
      <c r="AM1330" s="189"/>
      <c r="AN1330" s="189"/>
      <c r="AO1330" s="189"/>
      <c r="AP1330" s="189"/>
      <c r="AQ1330" s="189"/>
      <c r="AR1330" s="189"/>
      <c r="AS1330" s="189"/>
      <c r="AT1330" s="189"/>
      <c r="AU1330" s="191"/>
      <c r="AV1330" s="191"/>
      <c r="AW1330" s="191"/>
      <c r="AX1330" s="191"/>
      <c r="AY1330" s="191"/>
      <c r="AZ1330" s="189"/>
      <c r="BA1330" s="189"/>
      <c r="BB1330" s="189"/>
      <c r="BC1330" s="189"/>
      <c r="BD1330" s="189"/>
      <c r="BE1330" s="189"/>
      <c r="BF1330" s="189"/>
      <c r="BG1330" s="189"/>
      <c r="BH1330" s="189"/>
      <c r="BI1330" s="190"/>
      <c r="BJ1330" s="190"/>
      <c r="BK1330" s="190"/>
      <c r="BL1330" s="190"/>
      <c r="BM1330" s="190"/>
      <c r="BN1330" s="190"/>
      <c r="BO1330" s="190"/>
      <c r="BP1330" s="190"/>
      <c r="BQ1330" s="190"/>
      <c r="BR1330" s="190"/>
      <c r="BS1330" s="190"/>
      <c r="BT1330" s="190"/>
      <c r="BU1330" s="190"/>
      <c r="BV1330" s="190"/>
      <c r="BW1330" s="190"/>
      <c r="BX1330" s="190"/>
      <c r="BY1330" s="190"/>
      <c r="BZ1330" s="190"/>
      <c r="CA1330" s="189"/>
      <c r="CB1330" s="192"/>
    </row>
    <row r="1331" spans="1:80" x14ac:dyDescent="0.2">
      <c r="A1331" s="152"/>
      <c r="B1331" s="683"/>
      <c r="C1331" s="683"/>
      <c r="D1331" s="698"/>
      <c r="E1331" s="215"/>
      <c r="F1331" s="215"/>
      <c r="G1331" s="153"/>
      <c r="H1331" s="153"/>
      <c r="I1331" s="153"/>
      <c r="J1331" s="153"/>
      <c r="K1331" s="153"/>
      <c r="L1331" s="653"/>
      <c r="M1331" s="654">
        <v>32304</v>
      </c>
      <c r="N1331" s="587">
        <v>1.6708674349999999</v>
      </c>
      <c r="O1331" s="592">
        <v>9.7124400000000001E-4</v>
      </c>
      <c r="P1331" s="216"/>
      <c r="Q1331" s="216"/>
      <c r="R1331" s="216"/>
      <c r="S1331" s="216"/>
      <c r="T1331" s="216">
        <v>0.26300000000000001</v>
      </c>
      <c r="U1331" s="216">
        <v>0.20200000000000001</v>
      </c>
      <c r="V1331" s="216">
        <v>0.28299999999999997</v>
      </c>
      <c r="W1331" s="216">
        <v>0.14099999999999999</v>
      </c>
      <c r="X1331" s="216">
        <v>7.0999999999999994E-2</v>
      </c>
      <c r="Y1331" s="216">
        <v>0.04</v>
      </c>
      <c r="Z1331" s="216"/>
      <c r="AA1331" s="186">
        <f>AVERAGE(1.85,1.74)</f>
        <v>1.7949999999999999</v>
      </c>
      <c r="AB1331" s="192"/>
      <c r="AC1331" s="152"/>
      <c r="AD1331" s="186">
        <f>22*(0.3048)</f>
        <v>6.7056000000000004</v>
      </c>
      <c r="AE1331" s="186">
        <f>1.3*(0.3048)</f>
        <v>0.39624000000000004</v>
      </c>
      <c r="AF1331" s="186">
        <f>28.7*(0.3048^2)</f>
        <v>2.6663172479999999</v>
      </c>
      <c r="AG1331" s="186">
        <f>2.06*(0.3048)</f>
        <v>0.627888</v>
      </c>
      <c r="AH1331" s="336"/>
      <c r="AI1331" s="188"/>
      <c r="AJ1331" s="188"/>
      <c r="AK1331" s="190"/>
      <c r="AL1331" s="189"/>
      <c r="AM1331" s="189"/>
      <c r="AN1331" s="189"/>
      <c r="AO1331" s="189"/>
      <c r="AP1331" s="189"/>
      <c r="AQ1331" s="189"/>
      <c r="AR1331" s="189"/>
      <c r="AS1331" s="189"/>
      <c r="AT1331" s="189"/>
      <c r="AU1331" s="191"/>
      <c r="AV1331" s="191"/>
      <c r="AW1331" s="191"/>
      <c r="AX1331" s="191"/>
      <c r="AY1331" s="191"/>
      <c r="AZ1331" s="189"/>
      <c r="BA1331" s="189"/>
      <c r="BB1331" s="189"/>
      <c r="BC1331" s="189"/>
      <c r="BD1331" s="189"/>
      <c r="BE1331" s="189"/>
      <c r="BF1331" s="189"/>
      <c r="BG1331" s="189"/>
      <c r="BH1331" s="189"/>
      <c r="BI1331" s="190"/>
      <c r="BJ1331" s="190"/>
      <c r="BK1331" s="190"/>
      <c r="BL1331" s="190"/>
      <c r="BM1331" s="190"/>
      <c r="BN1331" s="190"/>
      <c r="BO1331" s="190"/>
      <c r="BP1331" s="190"/>
      <c r="BQ1331" s="190"/>
      <c r="BR1331" s="190"/>
      <c r="BS1331" s="190"/>
      <c r="BT1331" s="190"/>
      <c r="BU1331" s="190"/>
      <c r="BV1331" s="190"/>
      <c r="BW1331" s="190"/>
      <c r="BX1331" s="190"/>
      <c r="BY1331" s="190"/>
      <c r="BZ1331" s="190"/>
      <c r="CA1331" s="189"/>
      <c r="CB1331" s="192"/>
    </row>
    <row r="1332" spans="1:80" x14ac:dyDescent="0.2">
      <c r="A1332" s="152"/>
      <c r="B1332" s="683"/>
      <c r="C1332" s="683"/>
      <c r="D1332" s="698"/>
      <c r="E1332" s="215"/>
      <c r="F1332" s="215"/>
      <c r="G1332" s="153"/>
      <c r="H1332" s="153"/>
      <c r="I1332" s="153"/>
      <c r="J1332" s="153"/>
      <c r="K1332" s="153"/>
      <c r="L1332" s="653"/>
      <c r="M1332" s="654">
        <v>32309</v>
      </c>
      <c r="N1332" s="587">
        <v>1.3593497779999999</v>
      </c>
      <c r="O1332" s="592">
        <v>1.0919930000000001E-3</v>
      </c>
      <c r="P1332" s="216"/>
      <c r="Q1332" s="216"/>
      <c r="R1332" s="216"/>
      <c r="S1332" s="216"/>
      <c r="T1332" s="216">
        <v>7.4999999999999997E-2</v>
      </c>
      <c r="U1332" s="216">
        <v>7.4999999999999997E-2</v>
      </c>
      <c r="V1332" s="216">
        <v>0.183</v>
      </c>
      <c r="W1332" s="216">
        <v>0.30099999999999999</v>
      </c>
      <c r="X1332" s="216">
        <v>0.28999999999999998</v>
      </c>
      <c r="Y1332" s="216">
        <v>7.5999999999999998E-2</v>
      </c>
      <c r="Z1332" s="216"/>
      <c r="AA1332" s="186">
        <f>AVERAGE(0.68,1.78)</f>
        <v>1.23</v>
      </c>
      <c r="AB1332" s="192"/>
      <c r="AC1332" s="152"/>
      <c r="AD1332" s="186">
        <f>22*(0.3048)</f>
        <v>6.7056000000000004</v>
      </c>
      <c r="AE1332" s="186">
        <f>1.1*(0.3048)</f>
        <v>0.33528000000000002</v>
      </c>
      <c r="AF1332" s="186">
        <f>24.2*(0.3048^2)</f>
        <v>2.248253568</v>
      </c>
      <c r="AG1332" s="186">
        <f>1.96*(0.3048)</f>
        <v>0.59740800000000005</v>
      </c>
      <c r="AH1332" s="336"/>
      <c r="AI1332" s="188"/>
      <c r="AJ1332" s="188"/>
      <c r="AK1332" s="190"/>
      <c r="AL1332" s="189"/>
      <c r="AM1332" s="189"/>
      <c r="AN1332" s="189"/>
      <c r="AO1332" s="189"/>
      <c r="AP1332" s="189"/>
      <c r="AQ1332" s="189"/>
      <c r="AR1332" s="189"/>
      <c r="AS1332" s="189"/>
      <c r="AT1332" s="189"/>
      <c r="AU1332" s="191"/>
      <c r="AV1332" s="191"/>
      <c r="AW1332" s="191"/>
      <c r="AX1332" s="191"/>
      <c r="AY1332" s="191"/>
      <c r="AZ1332" s="189"/>
      <c r="BA1332" s="189"/>
      <c r="BB1332" s="189"/>
      <c r="BC1332" s="189"/>
      <c r="BD1332" s="189"/>
      <c r="BE1332" s="189"/>
      <c r="BF1332" s="189"/>
      <c r="BG1332" s="189"/>
      <c r="BH1332" s="189"/>
      <c r="BI1332" s="190"/>
      <c r="BJ1332" s="190"/>
      <c r="BK1332" s="190"/>
      <c r="BL1332" s="190"/>
      <c r="BM1332" s="190"/>
      <c r="BN1332" s="190"/>
      <c r="BO1332" s="190"/>
      <c r="BP1332" s="190"/>
      <c r="BQ1332" s="190"/>
      <c r="BR1332" s="190"/>
      <c r="BS1332" s="190"/>
      <c r="BT1332" s="190"/>
      <c r="BU1332" s="190"/>
      <c r="BV1332" s="190"/>
      <c r="BW1332" s="190"/>
      <c r="BX1332" s="190"/>
      <c r="BY1332" s="190"/>
      <c r="BZ1332" s="190"/>
      <c r="CA1332" s="189"/>
      <c r="CB1332" s="192"/>
    </row>
    <row r="1333" spans="1:80" x14ac:dyDescent="0.2">
      <c r="A1333" s="152"/>
      <c r="B1333" s="683"/>
      <c r="C1333" s="683"/>
      <c r="D1333" s="698"/>
      <c r="E1333" s="215"/>
      <c r="F1333" s="215"/>
      <c r="G1333" s="153"/>
      <c r="H1333" s="153"/>
      <c r="I1333" s="153"/>
      <c r="J1333" s="153"/>
      <c r="K1333" s="153"/>
      <c r="L1333" s="653"/>
      <c r="M1333" s="654">
        <v>32316</v>
      </c>
      <c r="N1333" s="587">
        <v>1.161111268</v>
      </c>
      <c r="O1333" s="592">
        <v>4.5149699999999998E-4</v>
      </c>
      <c r="P1333" s="216"/>
      <c r="Q1333" s="216"/>
      <c r="R1333" s="216"/>
      <c r="S1333" s="216"/>
      <c r="T1333" s="216"/>
      <c r="U1333" s="216">
        <v>0.41199999999999998</v>
      </c>
      <c r="V1333" s="216">
        <v>0.29399999999999998</v>
      </c>
      <c r="W1333" s="216">
        <v>0.14699999999999999</v>
      </c>
      <c r="X1333" s="216">
        <v>0.11799999999999999</v>
      </c>
      <c r="Y1333" s="216">
        <v>2.9000000000000001E-2</v>
      </c>
      <c r="Z1333" s="216"/>
      <c r="AA1333" s="186">
        <f>AVERAGE(1.64,1.32)</f>
        <v>1.48</v>
      </c>
      <c r="AB1333" s="192"/>
      <c r="AC1333" s="152"/>
      <c r="AD1333" s="186">
        <f>21*(0.3048)</f>
        <v>6.4008000000000003</v>
      </c>
      <c r="AE1333" s="186">
        <f>1.06*(0.3048)</f>
        <v>0.32308800000000004</v>
      </c>
      <c r="AF1333" s="186">
        <f>22.2*(0.3048^2)</f>
        <v>2.0624474880000001</v>
      </c>
      <c r="AG1333" s="186">
        <f>1.82*(0.3048)</f>
        <v>0.55473600000000001</v>
      </c>
      <c r="AH1333" s="336"/>
      <c r="AI1333" s="188"/>
      <c r="AJ1333" s="188"/>
      <c r="AK1333" s="190"/>
      <c r="AL1333" s="189"/>
      <c r="AM1333" s="189"/>
      <c r="AN1333" s="189"/>
      <c r="AO1333" s="189"/>
      <c r="AP1333" s="189"/>
      <c r="AQ1333" s="189"/>
      <c r="AR1333" s="189"/>
      <c r="AS1333" s="189"/>
      <c r="AT1333" s="189"/>
      <c r="AU1333" s="191"/>
      <c r="AV1333" s="191"/>
      <c r="AW1333" s="191"/>
      <c r="AX1333" s="191"/>
      <c r="AY1333" s="191"/>
      <c r="AZ1333" s="189"/>
      <c r="BA1333" s="189"/>
      <c r="BB1333" s="189"/>
      <c r="BC1333" s="189"/>
      <c r="BD1333" s="189"/>
      <c r="BE1333" s="189"/>
      <c r="BF1333" s="189"/>
      <c r="BG1333" s="189"/>
      <c r="BH1333" s="189"/>
      <c r="BI1333" s="190"/>
      <c r="BJ1333" s="190"/>
      <c r="BK1333" s="190"/>
      <c r="BL1333" s="190"/>
      <c r="BM1333" s="190"/>
      <c r="BN1333" s="190"/>
      <c r="BO1333" s="190"/>
      <c r="BP1333" s="190"/>
      <c r="BQ1333" s="190"/>
      <c r="BR1333" s="190"/>
      <c r="BS1333" s="190"/>
      <c r="BT1333" s="190"/>
      <c r="BU1333" s="190"/>
      <c r="BV1333" s="190"/>
      <c r="BW1333" s="190"/>
      <c r="BX1333" s="190"/>
      <c r="BY1333" s="190"/>
      <c r="BZ1333" s="190"/>
      <c r="CA1333" s="189"/>
      <c r="CB1333" s="192"/>
    </row>
    <row r="1334" spans="1:80" x14ac:dyDescent="0.2">
      <c r="A1334" s="152"/>
      <c r="B1334" s="683"/>
      <c r="C1334" s="683"/>
      <c r="D1334" s="698"/>
      <c r="E1334" s="215"/>
      <c r="F1334" s="215"/>
      <c r="G1334" s="153"/>
      <c r="H1334" s="153"/>
      <c r="I1334" s="153"/>
      <c r="J1334" s="153"/>
      <c r="K1334" s="153"/>
      <c r="L1334" s="653"/>
      <c r="M1334" s="654">
        <v>32633</v>
      </c>
      <c r="N1334" s="587">
        <v>2.3788621110000001</v>
      </c>
      <c r="O1334" s="592">
        <v>9.7701860000000001E-3</v>
      </c>
      <c r="P1334" s="216"/>
      <c r="Q1334" s="216"/>
      <c r="R1334" s="216"/>
      <c r="S1334" s="216">
        <v>1.6E-2</v>
      </c>
      <c r="T1334" s="216">
        <v>0.21299999999999999</v>
      </c>
      <c r="U1334" s="216">
        <v>0.25700000000000001</v>
      </c>
      <c r="V1334" s="216">
        <v>0.27400000000000002</v>
      </c>
      <c r="W1334" s="216">
        <v>0.13100000000000001</v>
      </c>
      <c r="X1334" s="216">
        <v>8.8999999999999996E-2</v>
      </c>
      <c r="Y1334" s="216">
        <v>0.02</v>
      </c>
      <c r="Z1334" s="216"/>
      <c r="AA1334" s="186">
        <v>1.9450000000000001</v>
      </c>
      <c r="AB1334" s="192"/>
      <c r="AC1334" s="152"/>
      <c r="AD1334" s="186">
        <f>22*(0.3048)</f>
        <v>6.7056000000000004</v>
      </c>
      <c r="AE1334" s="186">
        <f>1.37*(0.3048)</f>
        <v>0.41757600000000006</v>
      </c>
      <c r="AF1334" s="186">
        <f>30.1*(0.3048^2)</f>
        <v>2.7963815040000002</v>
      </c>
      <c r="AG1334" s="186">
        <f>2.78*(0.3048)</f>
        <v>0.84734399999999999</v>
      </c>
      <c r="AH1334" s="336"/>
      <c r="AI1334" s="188"/>
      <c r="AJ1334" s="188"/>
      <c r="AK1334" s="190"/>
      <c r="AL1334" s="189"/>
      <c r="AM1334" s="189"/>
      <c r="AN1334" s="189"/>
      <c r="AO1334" s="189"/>
      <c r="AP1334" s="189"/>
      <c r="AQ1334" s="189"/>
      <c r="AR1334" s="189"/>
      <c r="AS1334" s="189"/>
      <c r="AT1334" s="189"/>
      <c r="AU1334" s="191"/>
      <c r="AV1334" s="191"/>
      <c r="AW1334" s="191"/>
      <c r="AX1334" s="191"/>
      <c r="AY1334" s="191"/>
      <c r="AZ1334" s="189"/>
      <c r="BA1334" s="189"/>
      <c r="BB1334" s="189"/>
      <c r="BC1334" s="189"/>
      <c r="BD1334" s="189"/>
      <c r="BE1334" s="189"/>
      <c r="BF1334" s="189"/>
      <c r="BG1334" s="189"/>
      <c r="BH1334" s="189"/>
      <c r="BI1334" s="190"/>
      <c r="BJ1334" s="190"/>
      <c r="BK1334" s="190"/>
      <c r="BL1334" s="190"/>
      <c r="BM1334" s="190"/>
      <c r="BN1334" s="190"/>
      <c r="BO1334" s="190"/>
      <c r="BP1334" s="190"/>
      <c r="BQ1334" s="190"/>
      <c r="BR1334" s="190"/>
      <c r="BS1334" s="190"/>
      <c r="BT1334" s="190"/>
      <c r="BU1334" s="190"/>
      <c r="BV1334" s="190"/>
      <c r="BW1334" s="190"/>
      <c r="BX1334" s="190"/>
      <c r="BY1334" s="190"/>
      <c r="BZ1334" s="190"/>
      <c r="CA1334" s="189"/>
      <c r="CB1334" s="192"/>
    </row>
    <row r="1335" spans="1:80" x14ac:dyDescent="0.2">
      <c r="A1335" s="152"/>
      <c r="B1335" s="683"/>
      <c r="C1335" s="683"/>
      <c r="D1335" s="698"/>
      <c r="E1335" s="215"/>
      <c r="F1335" s="215"/>
      <c r="G1335" s="153"/>
      <c r="H1335" s="153"/>
      <c r="I1335" s="153"/>
      <c r="J1335" s="153"/>
      <c r="K1335" s="153"/>
      <c r="L1335" s="653"/>
      <c r="M1335" s="654">
        <v>32637</v>
      </c>
      <c r="N1335" s="587">
        <v>4.8993231570000004</v>
      </c>
      <c r="O1335" s="592">
        <v>6.0269604999999997E-2</v>
      </c>
      <c r="P1335" s="216"/>
      <c r="Q1335" s="216">
        <v>0.161</v>
      </c>
      <c r="R1335" s="216">
        <v>0.21099999999999999</v>
      </c>
      <c r="S1335" s="216">
        <v>3.1E-2</v>
      </c>
      <c r="T1335" s="216">
        <v>3.5999999999999997E-2</v>
      </c>
      <c r="U1335" s="216">
        <v>5.2999999999999999E-2</v>
      </c>
      <c r="V1335" s="216">
        <v>0.114</v>
      </c>
      <c r="W1335" s="216">
        <v>0.16200000000000001</v>
      </c>
      <c r="X1335" s="216">
        <v>0.20200000000000001</v>
      </c>
      <c r="Y1335" s="216">
        <v>0.03</v>
      </c>
      <c r="Z1335" s="216"/>
      <c r="AA1335" s="186">
        <f>AVERAGE(1.91,1.67)</f>
        <v>1.79</v>
      </c>
      <c r="AB1335" s="192"/>
      <c r="AC1335" s="152"/>
      <c r="AD1335" s="186">
        <f>33*(0.3048)</f>
        <v>10.058400000000001</v>
      </c>
      <c r="AE1335" s="186">
        <f>1.32*(0.3048)</f>
        <v>0.40233600000000003</v>
      </c>
      <c r="AF1335" s="186">
        <f>43.7*(0.3048^2)</f>
        <v>4.0598628480000007</v>
      </c>
      <c r="AG1335" s="186">
        <f>3.96*(0.3048)</f>
        <v>1.2070080000000001</v>
      </c>
      <c r="AH1335" s="336"/>
      <c r="AI1335" s="188"/>
      <c r="AJ1335" s="188"/>
      <c r="AK1335" s="190"/>
      <c r="AL1335" s="189"/>
      <c r="AM1335" s="189"/>
      <c r="AN1335" s="189"/>
      <c r="AO1335" s="189"/>
      <c r="AP1335" s="189"/>
      <c r="AQ1335" s="189"/>
      <c r="AR1335" s="189"/>
      <c r="AS1335" s="189"/>
      <c r="AT1335" s="189"/>
      <c r="AU1335" s="191"/>
      <c r="AV1335" s="191"/>
      <c r="AW1335" s="191"/>
      <c r="AX1335" s="191"/>
      <c r="AY1335" s="191"/>
      <c r="AZ1335" s="189"/>
      <c r="BA1335" s="189"/>
      <c r="BB1335" s="189"/>
      <c r="BC1335" s="189"/>
      <c r="BD1335" s="189"/>
      <c r="BE1335" s="189"/>
      <c r="BF1335" s="189"/>
      <c r="BG1335" s="189"/>
      <c r="BH1335" s="189"/>
      <c r="BI1335" s="190"/>
      <c r="BJ1335" s="190"/>
      <c r="BK1335" s="190"/>
      <c r="BL1335" s="190"/>
      <c r="BM1335" s="190"/>
      <c r="BN1335" s="190"/>
      <c r="BO1335" s="190"/>
      <c r="BP1335" s="190"/>
      <c r="BQ1335" s="190"/>
      <c r="BR1335" s="190"/>
      <c r="BS1335" s="190"/>
      <c r="BT1335" s="190"/>
      <c r="BU1335" s="190"/>
      <c r="BV1335" s="190"/>
      <c r="BW1335" s="190"/>
      <c r="BX1335" s="190"/>
      <c r="BY1335" s="190"/>
      <c r="BZ1335" s="190"/>
      <c r="CA1335" s="189"/>
      <c r="CB1335" s="192"/>
    </row>
    <row r="1336" spans="1:80" x14ac:dyDescent="0.2">
      <c r="A1336" s="152"/>
      <c r="B1336" s="683"/>
      <c r="C1336" s="683"/>
      <c r="D1336" s="698"/>
      <c r="E1336" s="215"/>
      <c r="F1336" s="215"/>
      <c r="G1336" s="153"/>
      <c r="H1336" s="153"/>
      <c r="I1336" s="153"/>
      <c r="J1336" s="153"/>
      <c r="K1336" s="153"/>
      <c r="L1336" s="653"/>
      <c r="M1336" s="654">
        <v>32646</v>
      </c>
      <c r="N1336" s="587">
        <v>4.3612472029999996</v>
      </c>
      <c r="O1336" s="592">
        <v>6.2264592000000001E-2</v>
      </c>
      <c r="P1336" s="216"/>
      <c r="Q1336" s="216">
        <v>0.38800000000000001</v>
      </c>
      <c r="R1336" s="216">
        <v>6.3E-2</v>
      </c>
      <c r="S1336" s="216">
        <v>0.122</v>
      </c>
      <c r="T1336" s="216">
        <v>0.14699999999999999</v>
      </c>
      <c r="U1336" s="216">
        <v>0.14599999999999999</v>
      </c>
      <c r="V1336" s="216">
        <v>8.8999999999999996E-2</v>
      </c>
      <c r="W1336" s="216">
        <v>0.03</v>
      </c>
      <c r="X1336" s="216">
        <v>8.9999999999999993E-3</v>
      </c>
      <c r="Y1336" s="216">
        <v>6.0000000000000001E-3</v>
      </c>
      <c r="Z1336" s="216"/>
      <c r="AA1336" s="186">
        <f>AVERAGE(12.1,2.64)</f>
        <v>7.37</v>
      </c>
      <c r="AB1336" s="192"/>
      <c r="AC1336" s="152"/>
      <c r="AD1336" s="186">
        <f>32*(0.3048)</f>
        <v>9.7536000000000005</v>
      </c>
      <c r="AE1336" s="186">
        <f>1.25*(0.3048)</f>
        <v>0.38100000000000001</v>
      </c>
      <c r="AF1336" s="186">
        <f>40.1*(0.3048^2)</f>
        <v>3.7254119040000004</v>
      </c>
      <c r="AG1336" s="186">
        <f>3.84*(0.3048)</f>
        <v>1.1704319999999999</v>
      </c>
      <c r="AH1336" s="336"/>
      <c r="AI1336" s="188"/>
      <c r="AJ1336" s="188"/>
      <c r="AK1336" s="190"/>
      <c r="AL1336" s="189"/>
      <c r="AM1336" s="189"/>
      <c r="AN1336" s="189"/>
      <c r="AO1336" s="189"/>
      <c r="AP1336" s="189"/>
      <c r="AQ1336" s="189"/>
      <c r="AR1336" s="189"/>
      <c r="AS1336" s="189"/>
      <c r="AT1336" s="189"/>
      <c r="AU1336" s="191"/>
      <c r="AV1336" s="191"/>
      <c r="AW1336" s="191"/>
      <c r="AX1336" s="191"/>
      <c r="AY1336" s="191"/>
      <c r="AZ1336" s="189"/>
      <c r="BA1336" s="189"/>
      <c r="BB1336" s="189"/>
      <c r="BC1336" s="189"/>
      <c r="BD1336" s="189"/>
      <c r="BE1336" s="189"/>
      <c r="BF1336" s="189"/>
      <c r="BG1336" s="189"/>
      <c r="BH1336" s="189"/>
      <c r="BI1336" s="190"/>
      <c r="BJ1336" s="190"/>
      <c r="BK1336" s="190"/>
      <c r="BL1336" s="190"/>
      <c r="BM1336" s="190"/>
      <c r="BN1336" s="190"/>
      <c r="BO1336" s="190"/>
      <c r="BP1336" s="190"/>
      <c r="BQ1336" s="190"/>
      <c r="BR1336" s="190"/>
      <c r="BS1336" s="190"/>
      <c r="BT1336" s="190"/>
      <c r="BU1336" s="190"/>
      <c r="BV1336" s="190"/>
      <c r="BW1336" s="190"/>
      <c r="BX1336" s="190"/>
      <c r="BY1336" s="190"/>
      <c r="BZ1336" s="190"/>
      <c r="CA1336" s="189"/>
      <c r="CB1336" s="192"/>
    </row>
    <row r="1337" spans="1:80" x14ac:dyDescent="0.2">
      <c r="A1337" s="152"/>
      <c r="B1337" s="683"/>
      <c r="C1337" s="683"/>
      <c r="D1337" s="698"/>
      <c r="E1337" s="215"/>
      <c r="F1337" s="215"/>
      <c r="G1337" s="153"/>
      <c r="H1337" s="153"/>
      <c r="I1337" s="153"/>
      <c r="J1337" s="153"/>
      <c r="K1337" s="153"/>
      <c r="L1337" s="653"/>
      <c r="M1337" s="654">
        <v>32653</v>
      </c>
      <c r="N1337" s="587">
        <v>3.8798108240000002</v>
      </c>
      <c r="O1337" s="592">
        <v>4.0897231999999999E-2</v>
      </c>
      <c r="P1337" s="216"/>
      <c r="Q1337" s="216"/>
      <c r="R1337" s="216">
        <v>0.10100000000000001</v>
      </c>
      <c r="S1337" s="216">
        <v>0.185</v>
      </c>
      <c r="T1337" s="216">
        <v>0.21299999999999999</v>
      </c>
      <c r="U1337" s="216">
        <v>0.22700000000000001</v>
      </c>
      <c r="V1337" s="216">
        <v>0.17199999999999999</v>
      </c>
      <c r="W1337" s="216">
        <v>7.0999999999999994E-2</v>
      </c>
      <c r="X1337" s="216">
        <v>2.3E-2</v>
      </c>
      <c r="Y1337" s="216">
        <v>8.0000000000000002E-3</v>
      </c>
      <c r="Z1337" s="216"/>
      <c r="AA1337" s="186">
        <v>3.99</v>
      </c>
      <c r="AB1337" s="192"/>
      <c r="AC1337" s="152"/>
      <c r="AD1337" s="186">
        <f>31*(0.3048)</f>
        <v>9.4488000000000003</v>
      </c>
      <c r="AE1337" s="186">
        <f>1.3*(0.3048)</f>
        <v>0.39624000000000004</v>
      </c>
      <c r="AF1337" s="186">
        <f>40.2*(0.3048^2)</f>
        <v>3.7347022080000003</v>
      </c>
      <c r="AG1337" s="186">
        <f>3.41*(0.3048)</f>
        <v>1.0393680000000001</v>
      </c>
      <c r="AH1337" s="336"/>
      <c r="AI1337" s="188"/>
      <c r="AJ1337" s="188"/>
      <c r="AK1337" s="190"/>
      <c r="AL1337" s="189"/>
      <c r="AM1337" s="189"/>
      <c r="AN1337" s="189"/>
      <c r="AO1337" s="189"/>
      <c r="AP1337" s="189"/>
      <c r="AQ1337" s="189"/>
      <c r="AR1337" s="189"/>
      <c r="AS1337" s="189"/>
      <c r="AT1337" s="189"/>
      <c r="AU1337" s="191"/>
      <c r="AV1337" s="191"/>
      <c r="AW1337" s="191"/>
      <c r="AX1337" s="191"/>
      <c r="AY1337" s="191"/>
      <c r="AZ1337" s="189"/>
      <c r="BA1337" s="189"/>
      <c r="BB1337" s="189"/>
      <c r="BC1337" s="189"/>
      <c r="BD1337" s="189"/>
      <c r="BE1337" s="189"/>
      <c r="BF1337" s="189"/>
      <c r="BG1337" s="189"/>
      <c r="BH1337" s="189"/>
      <c r="BI1337" s="190"/>
      <c r="BJ1337" s="190"/>
      <c r="BK1337" s="190"/>
      <c r="BL1337" s="190"/>
      <c r="BM1337" s="190"/>
      <c r="BN1337" s="190"/>
      <c r="BO1337" s="190"/>
      <c r="BP1337" s="190"/>
      <c r="BQ1337" s="190"/>
      <c r="BR1337" s="190"/>
      <c r="BS1337" s="190"/>
      <c r="BT1337" s="190"/>
      <c r="BU1337" s="190"/>
      <c r="BV1337" s="190"/>
      <c r="BW1337" s="190"/>
      <c r="BX1337" s="190"/>
      <c r="BY1337" s="190"/>
      <c r="BZ1337" s="190"/>
      <c r="CA1337" s="189"/>
      <c r="CB1337" s="192"/>
    </row>
    <row r="1338" spans="1:80" x14ac:dyDescent="0.2">
      <c r="A1338" s="152"/>
      <c r="B1338" s="683"/>
      <c r="C1338" s="683"/>
      <c r="D1338" s="698"/>
      <c r="E1338" s="215"/>
      <c r="F1338" s="215"/>
      <c r="G1338" s="153"/>
      <c r="H1338" s="153"/>
      <c r="I1338" s="153"/>
      <c r="J1338" s="153"/>
      <c r="K1338" s="153"/>
      <c r="L1338" s="653"/>
      <c r="M1338" s="654">
        <v>32661</v>
      </c>
      <c r="N1338" s="587">
        <v>3.3700546569999998</v>
      </c>
      <c r="O1338" s="592">
        <v>4.3102219999999998E-3</v>
      </c>
      <c r="P1338" s="216"/>
      <c r="Q1338" s="216"/>
      <c r="R1338" s="216"/>
      <c r="S1338" s="216"/>
      <c r="T1338" s="216"/>
      <c r="U1338" s="216"/>
      <c r="V1338" s="216"/>
      <c r="W1338" s="216"/>
      <c r="X1338" s="216"/>
      <c r="Y1338" s="216"/>
      <c r="Z1338" s="216"/>
      <c r="AA1338" s="186"/>
      <c r="AB1338" s="192"/>
      <c r="AC1338" s="152"/>
      <c r="AD1338" s="186">
        <f>30*(0.3048)</f>
        <v>9.1440000000000001</v>
      </c>
      <c r="AE1338" s="186">
        <f>1.24*(0.3048)</f>
        <v>0.37795200000000001</v>
      </c>
      <c r="AF1338" s="186">
        <f>37.1*(0.3048^2)</f>
        <v>3.4467027840000002</v>
      </c>
      <c r="AG1338" s="186">
        <f>3.21*(0.3048)</f>
        <v>0.97840800000000006</v>
      </c>
      <c r="AH1338" s="336"/>
      <c r="AI1338" s="188"/>
      <c r="AJ1338" s="188"/>
      <c r="AK1338" s="190"/>
      <c r="AL1338" s="189"/>
      <c r="AM1338" s="189"/>
      <c r="AN1338" s="189"/>
      <c r="AO1338" s="189"/>
      <c r="AP1338" s="189"/>
      <c r="AQ1338" s="189"/>
      <c r="AR1338" s="189"/>
      <c r="AS1338" s="189"/>
      <c r="AT1338" s="189"/>
      <c r="AU1338" s="191"/>
      <c r="AV1338" s="191"/>
      <c r="AW1338" s="191"/>
      <c r="AX1338" s="191"/>
      <c r="AY1338" s="191"/>
      <c r="AZ1338" s="189"/>
      <c r="BA1338" s="189"/>
      <c r="BB1338" s="189"/>
      <c r="BC1338" s="189"/>
      <c r="BD1338" s="189"/>
      <c r="BE1338" s="189"/>
      <c r="BF1338" s="189"/>
      <c r="BG1338" s="189"/>
      <c r="BH1338" s="189"/>
      <c r="BI1338" s="190"/>
      <c r="BJ1338" s="190"/>
      <c r="BK1338" s="190"/>
      <c r="BL1338" s="190"/>
      <c r="BM1338" s="190"/>
      <c r="BN1338" s="190"/>
      <c r="BO1338" s="190"/>
      <c r="BP1338" s="190"/>
      <c r="BQ1338" s="190"/>
      <c r="BR1338" s="190"/>
      <c r="BS1338" s="190"/>
      <c r="BT1338" s="190"/>
      <c r="BU1338" s="190"/>
      <c r="BV1338" s="190"/>
      <c r="BW1338" s="190"/>
      <c r="BX1338" s="190"/>
      <c r="BY1338" s="190"/>
      <c r="BZ1338" s="190"/>
      <c r="CA1338" s="189"/>
      <c r="CB1338" s="192"/>
    </row>
    <row r="1339" spans="1:80" x14ac:dyDescent="0.2">
      <c r="A1339" s="152"/>
      <c r="B1339" s="683"/>
      <c r="C1339" s="683"/>
      <c r="D1339" s="698"/>
      <c r="E1339" s="215"/>
      <c r="F1339" s="215"/>
      <c r="G1339" s="153"/>
      <c r="H1339" s="153"/>
      <c r="I1339" s="153"/>
      <c r="J1339" s="153"/>
      <c r="K1339" s="153"/>
      <c r="L1339" s="653"/>
      <c r="M1339" s="654">
        <v>32666</v>
      </c>
      <c r="N1339" s="587">
        <v>4.7010846480000001</v>
      </c>
      <c r="O1339" s="592">
        <v>3.05548E-2</v>
      </c>
      <c r="P1339" s="216"/>
      <c r="Q1339" s="216"/>
      <c r="R1339" s="216">
        <v>0.12</v>
      </c>
      <c r="S1339" s="216">
        <v>0.16800000000000001</v>
      </c>
      <c r="T1339" s="216">
        <v>0.17499999999999999</v>
      </c>
      <c r="U1339" s="216">
        <v>0.17899999999999999</v>
      </c>
      <c r="V1339" s="216">
        <v>0.16</v>
      </c>
      <c r="W1339" s="216">
        <v>0.105</v>
      </c>
      <c r="X1339" s="216">
        <v>6.8000000000000005E-2</v>
      </c>
      <c r="Y1339" s="216">
        <v>2.5000000000000001E-2</v>
      </c>
      <c r="Z1339" s="216"/>
      <c r="AA1339" s="186">
        <f>AVERAGE(3.47,1.55)</f>
        <v>2.5100000000000002</v>
      </c>
      <c r="AB1339" s="192"/>
      <c r="AC1339" s="152"/>
      <c r="AD1339" s="186">
        <f>30*(0.3048)</f>
        <v>9.1440000000000001</v>
      </c>
      <c r="AE1339" s="186">
        <f>1.33*(0.3048)</f>
        <v>0.40538400000000002</v>
      </c>
      <c r="AF1339" s="186">
        <f>40*(0.3048^2)</f>
        <v>3.7161216000000001</v>
      </c>
      <c r="AG1339" s="186">
        <f>4.15*(0.3048)</f>
        <v>1.2649200000000003</v>
      </c>
      <c r="AH1339" s="336"/>
      <c r="AI1339" s="188"/>
      <c r="AJ1339" s="188"/>
      <c r="AK1339" s="190"/>
      <c r="AL1339" s="189"/>
      <c r="AM1339" s="189"/>
      <c r="AN1339" s="189"/>
      <c r="AO1339" s="189"/>
      <c r="AP1339" s="189"/>
      <c r="AQ1339" s="189"/>
      <c r="AR1339" s="189"/>
      <c r="AS1339" s="189"/>
      <c r="AT1339" s="189"/>
      <c r="AU1339" s="191"/>
      <c r="AV1339" s="191"/>
      <c r="AW1339" s="191"/>
      <c r="AX1339" s="191"/>
      <c r="AY1339" s="191"/>
      <c r="AZ1339" s="189"/>
      <c r="BA1339" s="189"/>
      <c r="BB1339" s="189"/>
      <c r="BC1339" s="189"/>
      <c r="BD1339" s="189"/>
      <c r="BE1339" s="189"/>
      <c r="BF1339" s="189"/>
      <c r="BG1339" s="189"/>
      <c r="BH1339" s="189"/>
      <c r="BI1339" s="190"/>
      <c r="BJ1339" s="190"/>
      <c r="BK1339" s="190"/>
      <c r="BL1339" s="190"/>
      <c r="BM1339" s="190"/>
      <c r="BN1339" s="190"/>
      <c r="BO1339" s="190"/>
      <c r="BP1339" s="190"/>
      <c r="BQ1339" s="190"/>
      <c r="BR1339" s="190"/>
      <c r="BS1339" s="190"/>
      <c r="BT1339" s="190"/>
      <c r="BU1339" s="190"/>
      <c r="BV1339" s="190"/>
      <c r="BW1339" s="190"/>
      <c r="BX1339" s="190"/>
      <c r="BY1339" s="190"/>
      <c r="BZ1339" s="190"/>
      <c r="CA1339" s="189"/>
      <c r="CB1339" s="192"/>
    </row>
    <row r="1340" spans="1:80" x14ac:dyDescent="0.2">
      <c r="A1340" s="152"/>
      <c r="B1340" s="683"/>
      <c r="C1340" s="683"/>
      <c r="D1340" s="698"/>
      <c r="E1340" s="215"/>
      <c r="F1340" s="215"/>
      <c r="G1340" s="153"/>
      <c r="H1340" s="153"/>
      <c r="I1340" s="153"/>
      <c r="J1340" s="153"/>
      <c r="K1340" s="153"/>
      <c r="L1340" s="653"/>
      <c r="M1340" s="654">
        <v>32674</v>
      </c>
      <c r="N1340" s="587">
        <v>3.455014018</v>
      </c>
      <c r="O1340" s="592">
        <v>3.8534749999999999E-3</v>
      </c>
      <c r="P1340" s="216"/>
      <c r="Q1340" s="216"/>
      <c r="R1340" s="216"/>
      <c r="S1340" s="216"/>
      <c r="T1340" s="216"/>
      <c r="U1340" s="216">
        <v>0.105</v>
      </c>
      <c r="V1340" s="216">
        <v>0.28399999999999997</v>
      </c>
      <c r="W1340" s="216">
        <v>0.27600000000000002</v>
      </c>
      <c r="X1340" s="216">
        <v>0.26100000000000001</v>
      </c>
      <c r="Y1340" s="216">
        <v>7.3999999999999996E-2</v>
      </c>
      <c r="Z1340" s="216"/>
      <c r="AA1340" s="186">
        <f>AVERAGE(0.76,1.72)</f>
        <v>1.24</v>
      </c>
      <c r="AB1340" s="192"/>
      <c r="AC1340" s="152"/>
      <c r="AD1340" s="186">
        <f>30*(0.3048)</f>
        <v>9.1440000000000001</v>
      </c>
      <c r="AE1340" s="186">
        <f>1.08*(0.3048)</f>
        <v>0.32918400000000003</v>
      </c>
      <c r="AF1340" s="186">
        <f>32.4*(0.3048^2)</f>
        <v>3.0100584960000001</v>
      </c>
      <c r="AG1340" s="186">
        <f>3.77*(0.3048)</f>
        <v>1.1490960000000001</v>
      </c>
      <c r="AH1340" s="336"/>
      <c r="AI1340" s="188"/>
      <c r="AJ1340" s="188"/>
      <c r="AK1340" s="190"/>
      <c r="AL1340" s="189"/>
      <c r="AM1340" s="189"/>
      <c r="AN1340" s="189"/>
      <c r="AO1340" s="189"/>
      <c r="AP1340" s="189"/>
      <c r="AQ1340" s="189"/>
      <c r="AR1340" s="189"/>
      <c r="AS1340" s="189"/>
      <c r="AT1340" s="189"/>
      <c r="AU1340" s="191"/>
      <c r="AV1340" s="191"/>
      <c r="AW1340" s="191"/>
      <c r="AX1340" s="191"/>
      <c r="AY1340" s="191"/>
      <c r="AZ1340" s="189"/>
      <c r="BA1340" s="189"/>
      <c r="BB1340" s="189"/>
      <c r="BC1340" s="189"/>
      <c r="BD1340" s="189"/>
      <c r="BE1340" s="189"/>
      <c r="BF1340" s="189"/>
      <c r="BG1340" s="189"/>
      <c r="BH1340" s="189"/>
      <c r="BI1340" s="190"/>
      <c r="BJ1340" s="190"/>
      <c r="BK1340" s="190"/>
      <c r="BL1340" s="190"/>
      <c r="BM1340" s="190"/>
      <c r="BN1340" s="190"/>
      <c r="BO1340" s="190"/>
      <c r="BP1340" s="190"/>
      <c r="BQ1340" s="190"/>
      <c r="BR1340" s="190"/>
      <c r="BS1340" s="190"/>
      <c r="BT1340" s="190"/>
      <c r="BU1340" s="190"/>
      <c r="BV1340" s="190"/>
      <c r="BW1340" s="190"/>
      <c r="BX1340" s="190"/>
      <c r="BY1340" s="190"/>
      <c r="BZ1340" s="190"/>
      <c r="CA1340" s="189"/>
      <c r="CB1340" s="192"/>
    </row>
    <row r="1341" spans="1:80" x14ac:dyDescent="0.2">
      <c r="A1341" s="152"/>
      <c r="B1341" s="683"/>
      <c r="C1341" s="683"/>
      <c r="D1341" s="698"/>
      <c r="E1341" s="215"/>
      <c r="F1341" s="215"/>
      <c r="G1341" s="153"/>
      <c r="H1341" s="153"/>
      <c r="I1341" s="153"/>
      <c r="J1341" s="153"/>
      <c r="K1341" s="153"/>
      <c r="L1341" s="653"/>
      <c r="M1341" s="654">
        <v>32680</v>
      </c>
      <c r="N1341" s="587">
        <v>2.2089433889999999</v>
      </c>
      <c r="O1341" s="592">
        <v>1.46999E-3</v>
      </c>
      <c r="P1341" s="216"/>
      <c r="Q1341" s="216"/>
      <c r="R1341" s="216"/>
      <c r="S1341" s="216"/>
      <c r="T1341" s="216"/>
      <c r="U1341" s="216"/>
      <c r="V1341" s="216"/>
      <c r="W1341" s="216"/>
      <c r="X1341" s="216"/>
      <c r="Y1341" s="216"/>
      <c r="Z1341" s="216"/>
      <c r="AA1341" s="186"/>
      <c r="AB1341" s="192"/>
      <c r="AC1341" s="152"/>
      <c r="AD1341" s="186">
        <f>30*(0.3048)</f>
        <v>9.1440000000000001</v>
      </c>
      <c r="AE1341" s="186">
        <f>0.89*(0.3048)</f>
        <v>0.27127200000000001</v>
      </c>
      <c r="AF1341" s="186">
        <f>26.8*(0.3048^2)</f>
        <v>2.4898014720000003</v>
      </c>
      <c r="AG1341" s="186">
        <f>2.93*(0.3048)</f>
        <v>0.89306400000000008</v>
      </c>
      <c r="AH1341" s="336"/>
      <c r="AI1341" s="188"/>
      <c r="AJ1341" s="188"/>
      <c r="AK1341" s="190"/>
      <c r="AL1341" s="189"/>
      <c r="AM1341" s="189"/>
      <c r="AN1341" s="189"/>
      <c r="AO1341" s="189"/>
      <c r="AP1341" s="189"/>
      <c r="AQ1341" s="189"/>
      <c r="AR1341" s="189"/>
      <c r="AS1341" s="189"/>
      <c r="AT1341" s="189"/>
      <c r="AU1341" s="191"/>
      <c r="AV1341" s="191"/>
      <c r="AW1341" s="191"/>
      <c r="AX1341" s="191"/>
      <c r="AY1341" s="191"/>
      <c r="AZ1341" s="189"/>
      <c r="BA1341" s="189"/>
      <c r="BB1341" s="189"/>
      <c r="BC1341" s="189"/>
      <c r="BD1341" s="189"/>
      <c r="BE1341" s="189"/>
      <c r="BF1341" s="189"/>
      <c r="BG1341" s="189"/>
      <c r="BH1341" s="189"/>
      <c r="BI1341" s="190"/>
      <c r="BJ1341" s="190"/>
      <c r="BK1341" s="190"/>
      <c r="BL1341" s="190"/>
      <c r="BM1341" s="190"/>
      <c r="BN1341" s="190"/>
      <c r="BO1341" s="190"/>
      <c r="BP1341" s="190"/>
      <c r="BQ1341" s="190"/>
      <c r="BR1341" s="190"/>
      <c r="BS1341" s="190"/>
      <c r="BT1341" s="190"/>
      <c r="BU1341" s="190"/>
      <c r="BV1341" s="190"/>
      <c r="BW1341" s="190"/>
      <c r="BX1341" s="190"/>
      <c r="BY1341" s="190"/>
      <c r="BZ1341" s="190"/>
      <c r="CA1341" s="189"/>
      <c r="CB1341" s="192"/>
    </row>
    <row r="1342" spans="1:80" x14ac:dyDescent="0.2">
      <c r="A1342" s="152"/>
      <c r="B1342" s="683"/>
      <c r="C1342" s="683"/>
      <c r="D1342" s="698"/>
      <c r="E1342" s="215"/>
      <c r="F1342" s="215"/>
      <c r="G1342" s="153"/>
      <c r="H1342" s="153"/>
      <c r="I1342" s="153"/>
      <c r="J1342" s="153"/>
      <c r="K1342" s="153"/>
      <c r="L1342" s="653"/>
      <c r="M1342" s="654">
        <v>32688</v>
      </c>
      <c r="N1342" s="587">
        <v>1.4726289260000001</v>
      </c>
      <c r="O1342" s="592">
        <v>1.2599900000000001E-4</v>
      </c>
      <c r="P1342" s="216"/>
      <c r="Q1342" s="216"/>
      <c r="R1342" s="216"/>
      <c r="S1342" s="216"/>
      <c r="T1342" s="216"/>
      <c r="U1342" s="216"/>
      <c r="V1342" s="216"/>
      <c r="W1342" s="216"/>
      <c r="X1342" s="216"/>
      <c r="Y1342" s="216"/>
      <c r="Z1342" s="216"/>
      <c r="AA1342" s="186"/>
      <c r="AB1342" s="192"/>
      <c r="AC1342" s="152"/>
      <c r="AD1342" s="186">
        <f>29*(0.3048)</f>
        <v>8.8391999999999999</v>
      </c>
      <c r="AE1342" s="186">
        <f>0.8*(0.3048)</f>
        <v>0.24384000000000003</v>
      </c>
      <c r="AF1342" s="186">
        <f>23.1*(0.3048^2)</f>
        <v>2.1460602240000002</v>
      </c>
      <c r="AG1342" s="186">
        <f>2.26*(0.3048)</f>
        <v>0.68884800000000002</v>
      </c>
      <c r="AH1342" s="336"/>
      <c r="AI1342" s="188"/>
      <c r="AJ1342" s="188"/>
      <c r="AK1342" s="190"/>
      <c r="AL1342" s="189"/>
      <c r="AM1342" s="189"/>
      <c r="AN1342" s="189"/>
      <c r="AO1342" s="189"/>
      <c r="AP1342" s="189"/>
      <c r="AQ1342" s="189"/>
      <c r="AR1342" s="189"/>
      <c r="AS1342" s="189"/>
      <c r="AT1342" s="189"/>
      <c r="AU1342" s="191"/>
      <c r="AV1342" s="191"/>
      <c r="AW1342" s="191"/>
      <c r="AX1342" s="191"/>
      <c r="AY1342" s="191"/>
      <c r="AZ1342" s="189"/>
      <c r="BA1342" s="189"/>
      <c r="BB1342" s="189"/>
      <c r="BC1342" s="189"/>
      <c r="BD1342" s="189"/>
      <c r="BE1342" s="189"/>
      <c r="BF1342" s="189"/>
      <c r="BG1342" s="189"/>
      <c r="BH1342" s="189"/>
      <c r="BI1342" s="190"/>
      <c r="BJ1342" s="190"/>
      <c r="BK1342" s="190"/>
      <c r="BL1342" s="190"/>
      <c r="BM1342" s="190"/>
      <c r="BN1342" s="190"/>
      <c r="BO1342" s="190"/>
      <c r="BP1342" s="190"/>
      <c r="BQ1342" s="190"/>
      <c r="BR1342" s="190"/>
      <c r="BS1342" s="190"/>
      <c r="BT1342" s="190"/>
      <c r="BU1342" s="190"/>
      <c r="BV1342" s="190"/>
      <c r="BW1342" s="190"/>
      <c r="BX1342" s="190"/>
      <c r="BY1342" s="190"/>
      <c r="BZ1342" s="190"/>
      <c r="CA1342" s="189"/>
      <c r="CB1342" s="192"/>
    </row>
    <row r="1343" spans="1:80" x14ac:dyDescent="0.2">
      <c r="A1343" s="152"/>
      <c r="B1343" s="683"/>
      <c r="C1343" s="683"/>
      <c r="D1343" s="698"/>
      <c r="E1343" s="215"/>
      <c r="F1343" s="215"/>
      <c r="G1343" s="153"/>
      <c r="H1343" s="153"/>
      <c r="I1343" s="153"/>
      <c r="J1343" s="153"/>
      <c r="K1343" s="153"/>
      <c r="L1343" s="653"/>
      <c r="M1343" s="654">
        <v>32694</v>
      </c>
      <c r="N1343" s="587">
        <v>1.274390417</v>
      </c>
      <c r="O1343" s="592">
        <v>1.2074900000000001E-4</v>
      </c>
      <c r="P1343" s="216"/>
      <c r="Q1343" s="216"/>
      <c r="R1343" s="216"/>
      <c r="S1343" s="216"/>
      <c r="T1343" s="216"/>
      <c r="U1343" s="216"/>
      <c r="V1343" s="216"/>
      <c r="W1343" s="216"/>
      <c r="X1343" s="216"/>
      <c r="Y1343" s="216"/>
      <c r="Z1343" s="216"/>
      <c r="AA1343" s="186"/>
      <c r="AB1343" s="192"/>
      <c r="AC1343" s="152"/>
      <c r="AD1343" s="186">
        <f>28*(0.3048)</f>
        <v>8.5343999999999998</v>
      </c>
      <c r="AE1343" s="186">
        <f>0.76*(0.3048)</f>
        <v>0.23164800000000002</v>
      </c>
      <c r="AF1343" s="186">
        <f>21.4*(0.3048^2)</f>
        <v>1.9881250559999999</v>
      </c>
      <c r="AG1343" s="186">
        <f>2.09*(0.3048)</f>
        <v>0.63703200000000004</v>
      </c>
      <c r="AH1343" s="336"/>
      <c r="AI1343" s="188"/>
      <c r="AJ1343" s="188"/>
      <c r="AK1343" s="190"/>
      <c r="AL1343" s="189"/>
      <c r="AM1343" s="189"/>
      <c r="AN1343" s="189"/>
      <c r="AO1343" s="189"/>
      <c r="AP1343" s="189"/>
      <c r="AQ1343" s="189"/>
      <c r="AR1343" s="189"/>
      <c r="AS1343" s="189"/>
      <c r="AT1343" s="189"/>
      <c r="AU1343" s="191"/>
      <c r="AV1343" s="191"/>
      <c r="AW1343" s="191"/>
      <c r="AX1343" s="191"/>
      <c r="AY1343" s="191"/>
      <c r="AZ1343" s="189"/>
      <c r="BA1343" s="189"/>
      <c r="BB1343" s="189"/>
      <c r="BC1343" s="189"/>
      <c r="BD1343" s="189"/>
      <c r="BE1343" s="189"/>
      <c r="BF1343" s="189"/>
      <c r="BG1343" s="189"/>
      <c r="BH1343" s="189"/>
      <c r="BI1343" s="190"/>
      <c r="BJ1343" s="190"/>
      <c r="BK1343" s="190"/>
      <c r="BL1343" s="190"/>
      <c r="BM1343" s="190"/>
      <c r="BN1343" s="190"/>
      <c r="BO1343" s="190"/>
      <c r="BP1343" s="190"/>
      <c r="BQ1343" s="190"/>
      <c r="BR1343" s="190"/>
      <c r="BS1343" s="190"/>
      <c r="BT1343" s="190"/>
      <c r="BU1343" s="190"/>
      <c r="BV1343" s="190"/>
      <c r="BW1343" s="190"/>
      <c r="BX1343" s="190"/>
      <c r="BY1343" s="190"/>
      <c r="BZ1343" s="190"/>
      <c r="CA1343" s="189"/>
      <c r="CB1343" s="192"/>
    </row>
    <row r="1344" spans="1:80" x14ac:dyDescent="0.2">
      <c r="A1344" s="152"/>
      <c r="B1344" s="683"/>
      <c r="C1344" s="683"/>
      <c r="D1344" s="698"/>
      <c r="E1344" s="215"/>
      <c r="F1344" s="215"/>
      <c r="G1344" s="153"/>
      <c r="H1344" s="153"/>
      <c r="I1344" s="153"/>
      <c r="J1344" s="153"/>
      <c r="K1344" s="153"/>
      <c r="L1344" s="653"/>
      <c r="M1344" s="654">
        <v>32990</v>
      </c>
      <c r="N1344" s="587">
        <v>1.5292684999999999</v>
      </c>
      <c r="O1344" s="592">
        <v>2.6879819999999998E-3</v>
      </c>
      <c r="P1344" s="216"/>
      <c r="Q1344" s="216"/>
      <c r="R1344" s="216"/>
      <c r="S1344" s="216"/>
      <c r="T1344" s="216"/>
      <c r="U1344" s="216"/>
      <c r="V1344" s="216"/>
      <c r="W1344" s="216"/>
      <c r="X1344" s="216"/>
      <c r="Y1344" s="216"/>
      <c r="Z1344" s="216"/>
      <c r="AA1344" s="186"/>
      <c r="AB1344" s="192"/>
      <c r="AC1344" s="152"/>
      <c r="AD1344" s="186">
        <f>28*(0.3048)</f>
        <v>8.5343999999999998</v>
      </c>
      <c r="AE1344" s="186">
        <f>0.8*(0.3048)</f>
        <v>0.24384000000000003</v>
      </c>
      <c r="AF1344" s="186">
        <f>22.5*(0.3048^2)</f>
        <v>2.0903184000000001</v>
      </c>
      <c r="AG1344" s="186">
        <f>2.34*(0.3048)</f>
        <v>0.71323199999999998</v>
      </c>
      <c r="AH1344" s="336"/>
      <c r="AI1344" s="188"/>
      <c r="AJ1344" s="188"/>
      <c r="AK1344" s="190"/>
      <c r="AL1344" s="189"/>
      <c r="AM1344" s="189"/>
      <c r="AN1344" s="189"/>
      <c r="AO1344" s="189"/>
      <c r="AP1344" s="189"/>
      <c r="AQ1344" s="189"/>
      <c r="AR1344" s="189"/>
      <c r="AS1344" s="189"/>
      <c r="AT1344" s="189"/>
      <c r="AU1344" s="191"/>
      <c r="AV1344" s="191"/>
      <c r="AW1344" s="191"/>
      <c r="AX1344" s="191"/>
      <c r="AY1344" s="191"/>
      <c r="AZ1344" s="189"/>
      <c r="BA1344" s="189"/>
      <c r="BB1344" s="189"/>
      <c r="BC1344" s="189"/>
      <c r="BD1344" s="189"/>
      <c r="BE1344" s="189"/>
      <c r="BF1344" s="189"/>
      <c r="BG1344" s="189"/>
      <c r="BH1344" s="189"/>
      <c r="BI1344" s="190"/>
      <c r="BJ1344" s="190"/>
      <c r="BK1344" s="190"/>
      <c r="BL1344" s="190"/>
      <c r="BM1344" s="190"/>
      <c r="BN1344" s="190"/>
      <c r="BO1344" s="190"/>
      <c r="BP1344" s="190"/>
      <c r="BQ1344" s="190"/>
      <c r="BR1344" s="190"/>
      <c r="BS1344" s="190"/>
      <c r="BT1344" s="190"/>
      <c r="BU1344" s="190"/>
      <c r="BV1344" s="190"/>
      <c r="BW1344" s="190"/>
      <c r="BX1344" s="190"/>
      <c r="BY1344" s="190"/>
      <c r="BZ1344" s="190"/>
      <c r="CA1344" s="189"/>
      <c r="CB1344" s="192"/>
    </row>
    <row r="1345" spans="1:80" x14ac:dyDescent="0.2">
      <c r="A1345" s="152"/>
      <c r="B1345" s="683"/>
      <c r="C1345" s="683"/>
      <c r="D1345" s="698"/>
      <c r="E1345" s="215"/>
      <c r="F1345" s="215"/>
      <c r="G1345" s="153"/>
      <c r="H1345" s="153"/>
      <c r="I1345" s="153"/>
      <c r="J1345" s="153"/>
      <c r="K1345" s="153"/>
      <c r="L1345" s="653"/>
      <c r="M1345" s="654">
        <v>33003</v>
      </c>
      <c r="N1345" s="587">
        <v>1.9540653050000001</v>
      </c>
      <c r="O1345" s="592">
        <v>5.4337140000000001E-3</v>
      </c>
      <c r="P1345" s="216"/>
      <c r="Q1345" s="216"/>
      <c r="R1345" s="216"/>
      <c r="S1345" s="216"/>
      <c r="T1345" s="216"/>
      <c r="U1345" s="216"/>
      <c r="V1345" s="216"/>
      <c r="W1345" s="216"/>
      <c r="X1345" s="216"/>
      <c r="Y1345" s="216"/>
      <c r="Z1345" s="216"/>
      <c r="AA1345" s="186">
        <v>1.17</v>
      </c>
      <c r="AB1345" s="192"/>
      <c r="AC1345" s="152"/>
      <c r="AD1345" s="186">
        <f>28*(0.3048)</f>
        <v>8.5343999999999998</v>
      </c>
      <c r="AE1345" s="186">
        <f>0.96*(0.3048)</f>
        <v>0.29260799999999998</v>
      </c>
      <c r="AF1345" s="186">
        <f>26.8*(0.3048^2)</f>
        <v>2.4898014720000003</v>
      </c>
      <c r="AG1345" s="186">
        <f>2.55*(0.3048)</f>
        <v>0.77723999999999993</v>
      </c>
      <c r="AH1345" s="336"/>
      <c r="AI1345" s="188"/>
      <c r="AJ1345" s="188"/>
      <c r="AK1345" s="190"/>
      <c r="AL1345" s="189"/>
      <c r="AM1345" s="189"/>
      <c r="AN1345" s="189"/>
      <c r="AO1345" s="189"/>
      <c r="AP1345" s="189"/>
      <c r="AQ1345" s="189"/>
      <c r="AR1345" s="189"/>
      <c r="AS1345" s="189"/>
      <c r="AT1345" s="189"/>
      <c r="AU1345" s="191"/>
      <c r="AV1345" s="191"/>
      <c r="AW1345" s="191"/>
      <c r="AX1345" s="191"/>
      <c r="AY1345" s="191"/>
      <c r="AZ1345" s="189"/>
      <c r="BA1345" s="189"/>
      <c r="BB1345" s="189"/>
      <c r="BC1345" s="189"/>
      <c r="BD1345" s="189"/>
      <c r="BE1345" s="189"/>
      <c r="BF1345" s="189"/>
      <c r="BG1345" s="189"/>
      <c r="BH1345" s="189"/>
      <c r="BI1345" s="190"/>
      <c r="BJ1345" s="190"/>
      <c r="BK1345" s="190"/>
      <c r="BL1345" s="190"/>
      <c r="BM1345" s="190"/>
      <c r="BN1345" s="190"/>
      <c r="BO1345" s="190"/>
      <c r="BP1345" s="190"/>
      <c r="BQ1345" s="190"/>
      <c r="BR1345" s="190"/>
      <c r="BS1345" s="190"/>
      <c r="BT1345" s="190"/>
      <c r="BU1345" s="190"/>
      <c r="BV1345" s="190"/>
      <c r="BW1345" s="190"/>
      <c r="BX1345" s="190"/>
      <c r="BY1345" s="190"/>
      <c r="BZ1345" s="190"/>
      <c r="CA1345" s="189"/>
      <c r="CB1345" s="192"/>
    </row>
    <row r="1346" spans="1:80" x14ac:dyDescent="0.2">
      <c r="A1346" s="152"/>
      <c r="B1346" s="683"/>
      <c r="C1346" s="683"/>
      <c r="D1346" s="698"/>
      <c r="E1346" s="215"/>
      <c r="F1346" s="215"/>
      <c r="G1346" s="153"/>
      <c r="H1346" s="153"/>
      <c r="I1346" s="153"/>
      <c r="J1346" s="153"/>
      <c r="K1346" s="153"/>
      <c r="L1346" s="653"/>
      <c r="M1346" s="654">
        <v>33011</v>
      </c>
      <c r="N1346" s="587">
        <v>1.557588287</v>
      </c>
      <c r="O1346" s="592">
        <v>5.6699599999999995E-4</v>
      </c>
      <c r="P1346" s="216"/>
      <c r="Q1346" s="216"/>
      <c r="R1346" s="216"/>
      <c r="S1346" s="216"/>
      <c r="T1346" s="216"/>
      <c r="U1346" s="216"/>
      <c r="V1346" s="216"/>
      <c r="W1346" s="216"/>
      <c r="X1346" s="216"/>
      <c r="Y1346" s="216"/>
      <c r="Z1346" s="216"/>
      <c r="AA1346" s="186"/>
      <c r="AB1346" s="192"/>
      <c r="AC1346" s="152"/>
      <c r="AD1346" s="186">
        <f>28*(0.3048)</f>
        <v>8.5343999999999998</v>
      </c>
      <c r="AE1346" s="186">
        <f>0.81*(0.3048)</f>
        <v>0.24688800000000002</v>
      </c>
      <c r="AF1346" s="186">
        <f>22.6*(0.3048^2)</f>
        <v>2.0996087040000004</v>
      </c>
      <c r="AG1346" s="186">
        <f>2.53*(0.3048)</f>
        <v>0.77114399999999994</v>
      </c>
      <c r="AH1346" s="336"/>
      <c r="AI1346" s="188"/>
      <c r="AJ1346" s="188"/>
      <c r="AK1346" s="190"/>
      <c r="AL1346" s="189"/>
      <c r="AM1346" s="189"/>
      <c r="AN1346" s="189"/>
      <c r="AO1346" s="189"/>
      <c r="AP1346" s="189"/>
      <c r="AQ1346" s="189"/>
      <c r="AR1346" s="189"/>
      <c r="AS1346" s="189"/>
      <c r="AT1346" s="189"/>
      <c r="AU1346" s="191"/>
      <c r="AV1346" s="191"/>
      <c r="AW1346" s="191"/>
      <c r="AX1346" s="191"/>
      <c r="AY1346" s="191"/>
      <c r="AZ1346" s="189"/>
      <c r="BA1346" s="189"/>
      <c r="BB1346" s="189"/>
      <c r="BC1346" s="189"/>
      <c r="BD1346" s="189"/>
      <c r="BE1346" s="189"/>
      <c r="BF1346" s="189"/>
      <c r="BG1346" s="189"/>
      <c r="BH1346" s="189"/>
      <c r="BI1346" s="190"/>
      <c r="BJ1346" s="190"/>
      <c r="BK1346" s="190"/>
      <c r="BL1346" s="190"/>
      <c r="BM1346" s="190"/>
      <c r="BN1346" s="190"/>
      <c r="BO1346" s="190"/>
      <c r="BP1346" s="190"/>
      <c r="BQ1346" s="190"/>
      <c r="BR1346" s="190"/>
      <c r="BS1346" s="190"/>
      <c r="BT1346" s="190"/>
      <c r="BU1346" s="190"/>
      <c r="BV1346" s="190"/>
      <c r="BW1346" s="190"/>
      <c r="BX1346" s="190"/>
      <c r="BY1346" s="190"/>
      <c r="BZ1346" s="190"/>
      <c r="CA1346" s="189"/>
      <c r="CB1346" s="192"/>
    </row>
    <row r="1347" spans="1:80" x14ac:dyDescent="0.2">
      <c r="A1347" s="152"/>
      <c r="B1347" s="683"/>
      <c r="C1347" s="683"/>
      <c r="D1347" s="698"/>
      <c r="E1347" s="215"/>
      <c r="F1347" s="215"/>
      <c r="G1347" s="153"/>
      <c r="H1347" s="153"/>
      <c r="I1347" s="153"/>
      <c r="J1347" s="153"/>
      <c r="K1347" s="153"/>
      <c r="L1347" s="653"/>
      <c r="M1347" s="654">
        <v>33018</v>
      </c>
      <c r="N1347" s="587">
        <v>2.0390246670000001</v>
      </c>
      <c r="O1347" s="592">
        <v>2.3624850000000001E-3</v>
      </c>
      <c r="P1347" s="216"/>
      <c r="Q1347" s="216"/>
      <c r="R1347" s="216"/>
      <c r="S1347" s="216"/>
      <c r="T1347" s="216"/>
      <c r="U1347" s="216"/>
      <c r="V1347" s="216"/>
      <c r="W1347" s="216"/>
      <c r="X1347" s="216"/>
      <c r="Y1347" s="216"/>
      <c r="Z1347" s="216"/>
      <c r="AA1347" s="186"/>
      <c r="AB1347" s="192"/>
      <c r="AC1347" s="152"/>
      <c r="AD1347" s="186">
        <f>30*(0.3048)</f>
        <v>9.1440000000000001</v>
      </c>
      <c r="AE1347" s="186">
        <f>0.91*(0.3048)</f>
        <v>0.277368</v>
      </c>
      <c r="AF1347" s="186">
        <f>27.2*(0.3048^2)</f>
        <v>2.5269626880000002</v>
      </c>
      <c r="AG1347" s="186">
        <f>2.66*(0.3048)</f>
        <v>0.81076800000000004</v>
      </c>
      <c r="AH1347" s="336"/>
      <c r="AI1347" s="188"/>
      <c r="AJ1347" s="188"/>
      <c r="AK1347" s="190"/>
      <c r="AL1347" s="189"/>
      <c r="AM1347" s="189"/>
      <c r="AN1347" s="189"/>
      <c r="AO1347" s="189"/>
      <c r="AP1347" s="189"/>
      <c r="AQ1347" s="189"/>
      <c r="AR1347" s="189"/>
      <c r="AS1347" s="189"/>
      <c r="AT1347" s="189"/>
      <c r="AU1347" s="191"/>
      <c r="AV1347" s="191"/>
      <c r="AW1347" s="191"/>
      <c r="AX1347" s="191"/>
      <c r="AY1347" s="191"/>
      <c r="AZ1347" s="189"/>
      <c r="BA1347" s="189"/>
      <c r="BB1347" s="189"/>
      <c r="BC1347" s="189"/>
      <c r="BD1347" s="189"/>
      <c r="BE1347" s="189"/>
      <c r="BF1347" s="189"/>
      <c r="BG1347" s="189"/>
      <c r="BH1347" s="189"/>
      <c r="BI1347" s="190"/>
      <c r="BJ1347" s="190"/>
      <c r="BK1347" s="190"/>
      <c r="BL1347" s="190"/>
      <c r="BM1347" s="190"/>
      <c r="BN1347" s="190"/>
      <c r="BO1347" s="190"/>
      <c r="BP1347" s="190"/>
      <c r="BQ1347" s="190"/>
      <c r="BR1347" s="190"/>
      <c r="BS1347" s="190"/>
      <c r="BT1347" s="190"/>
      <c r="BU1347" s="190"/>
      <c r="BV1347" s="190"/>
      <c r="BW1347" s="190"/>
      <c r="BX1347" s="190"/>
      <c r="BY1347" s="190"/>
      <c r="BZ1347" s="190"/>
      <c r="CA1347" s="189"/>
      <c r="CB1347" s="192"/>
    </row>
    <row r="1348" spans="1:80" x14ac:dyDescent="0.2">
      <c r="A1348" s="152"/>
      <c r="B1348" s="683"/>
      <c r="C1348" s="683"/>
      <c r="D1348" s="698"/>
      <c r="E1348" s="215"/>
      <c r="F1348" s="215"/>
      <c r="G1348" s="153"/>
      <c r="H1348" s="153"/>
      <c r="I1348" s="153"/>
      <c r="J1348" s="153"/>
      <c r="K1348" s="153"/>
      <c r="L1348" s="653"/>
      <c r="M1348" s="654">
        <v>33024</v>
      </c>
      <c r="N1348" s="587">
        <v>2.2655829629999999</v>
      </c>
      <c r="O1348" s="592">
        <v>5.6384629999999998E-3</v>
      </c>
      <c r="P1348" s="216"/>
      <c r="Q1348" s="216"/>
      <c r="R1348" s="216"/>
      <c r="S1348" s="216"/>
      <c r="T1348" s="216"/>
      <c r="U1348" s="216"/>
      <c r="V1348" s="216"/>
      <c r="W1348" s="216"/>
      <c r="X1348" s="216"/>
      <c r="Y1348" s="216"/>
      <c r="Z1348" s="216"/>
      <c r="AA1348" s="186"/>
      <c r="AB1348" s="192"/>
      <c r="AC1348" s="152"/>
      <c r="AD1348" s="186">
        <f>30*(0.3048)</f>
        <v>9.1440000000000001</v>
      </c>
      <c r="AE1348" s="186">
        <f>1.03*(0.3048)</f>
        <v>0.313944</v>
      </c>
      <c r="AF1348" s="186">
        <f>31*(0.3048^2)</f>
        <v>2.8799942400000003</v>
      </c>
      <c r="AG1348" s="186">
        <f>2.57*(0.3048)</f>
        <v>0.78333600000000003</v>
      </c>
      <c r="AH1348" s="336"/>
      <c r="AI1348" s="188"/>
      <c r="AJ1348" s="188"/>
      <c r="AK1348" s="190"/>
      <c r="AL1348" s="189"/>
      <c r="AM1348" s="189"/>
      <c r="AN1348" s="189"/>
      <c r="AO1348" s="189"/>
      <c r="AP1348" s="189"/>
      <c r="AQ1348" s="189"/>
      <c r="AR1348" s="189"/>
      <c r="AS1348" s="189"/>
      <c r="AT1348" s="189"/>
      <c r="AU1348" s="191"/>
      <c r="AV1348" s="191"/>
      <c r="AW1348" s="191"/>
      <c r="AX1348" s="191"/>
      <c r="AY1348" s="191"/>
      <c r="AZ1348" s="189"/>
      <c r="BA1348" s="189"/>
      <c r="BB1348" s="189"/>
      <c r="BC1348" s="189"/>
      <c r="BD1348" s="189"/>
      <c r="BE1348" s="189"/>
      <c r="BF1348" s="189"/>
      <c r="BG1348" s="189"/>
      <c r="BH1348" s="189"/>
      <c r="BI1348" s="190"/>
      <c r="BJ1348" s="190"/>
      <c r="BK1348" s="190"/>
      <c r="BL1348" s="190"/>
      <c r="BM1348" s="190"/>
      <c r="BN1348" s="190"/>
      <c r="BO1348" s="190"/>
      <c r="BP1348" s="190"/>
      <c r="BQ1348" s="190"/>
      <c r="BR1348" s="190"/>
      <c r="BS1348" s="190"/>
      <c r="BT1348" s="190"/>
      <c r="BU1348" s="190"/>
      <c r="BV1348" s="190"/>
      <c r="BW1348" s="190"/>
      <c r="BX1348" s="190"/>
      <c r="BY1348" s="190"/>
      <c r="BZ1348" s="190"/>
      <c r="CA1348" s="189"/>
      <c r="CB1348" s="192"/>
    </row>
    <row r="1349" spans="1:80" x14ac:dyDescent="0.2">
      <c r="A1349" s="152"/>
      <c r="B1349" s="683"/>
      <c r="C1349" s="683"/>
      <c r="D1349" s="698"/>
      <c r="E1349" s="215"/>
      <c r="F1349" s="215"/>
      <c r="G1349" s="153"/>
      <c r="H1349" s="153"/>
      <c r="I1349" s="153"/>
      <c r="J1349" s="153"/>
      <c r="K1349" s="153"/>
      <c r="L1349" s="653"/>
      <c r="M1349" s="654">
        <v>33029</v>
      </c>
      <c r="N1349" s="587">
        <v>2.0390246670000001</v>
      </c>
      <c r="O1349" s="592">
        <v>6.2317090000000002E-3</v>
      </c>
      <c r="P1349" s="216"/>
      <c r="Q1349" s="216"/>
      <c r="R1349" s="216"/>
      <c r="S1349" s="216"/>
      <c r="T1349" s="216"/>
      <c r="U1349" s="216"/>
      <c r="V1349" s="216"/>
      <c r="W1349" s="216"/>
      <c r="X1349" s="216"/>
      <c r="Y1349" s="216"/>
      <c r="Z1349" s="216"/>
      <c r="AA1349" s="186"/>
      <c r="AB1349" s="192"/>
      <c r="AC1349" s="152"/>
      <c r="AD1349" s="186">
        <f>30*(0.3048)</f>
        <v>9.1440000000000001</v>
      </c>
      <c r="AE1349" s="186">
        <f>0.87*(0.3048)</f>
        <v>0.26517600000000002</v>
      </c>
      <c r="AF1349" s="186">
        <f>26.2*(0.3048^2)</f>
        <v>2.4340596480000003</v>
      </c>
      <c r="AG1349" s="186">
        <f>2.77*(0.3048)</f>
        <v>0.84429600000000005</v>
      </c>
      <c r="AH1349" s="336"/>
      <c r="AI1349" s="188"/>
      <c r="AJ1349" s="188"/>
      <c r="AK1349" s="190"/>
      <c r="AL1349" s="189"/>
      <c r="AM1349" s="189"/>
      <c r="AN1349" s="189"/>
      <c r="AO1349" s="189"/>
      <c r="AP1349" s="189"/>
      <c r="AQ1349" s="189"/>
      <c r="AR1349" s="189"/>
      <c r="AS1349" s="189"/>
      <c r="AT1349" s="189"/>
      <c r="AU1349" s="191"/>
      <c r="AV1349" s="191"/>
      <c r="AW1349" s="191"/>
      <c r="AX1349" s="191"/>
      <c r="AY1349" s="191"/>
      <c r="AZ1349" s="189"/>
      <c r="BA1349" s="189"/>
      <c r="BB1349" s="189"/>
      <c r="BC1349" s="189"/>
      <c r="BD1349" s="189"/>
      <c r="BE1349" s="189"/>
      <c r="BF1349" s="189"/>
      <c r="BG1349" s="189"/>
      <c r="BH1349" s="189"/>
      <c r="BI1349" s="190"/>
      <c r="BJ1349" s="190"/>
      <c r="BK1349" s="190"/>
      <c r="BL1349" s="190"/>
      <c r="BM1349" s="190"/>
      <c r="BN1349" s="190"/>
      <c r="BO1349" s="190"/>
      <c r="BP1349" s="190"/>
      <c r="BQ1349" s="190"/>
      <c r="BR1349" s="190"/>
      <c r="BS1349" s="190"/>
      <c r="BT1349" s="190"/>
      <c r="BU1349" s="190"/>
      <c r="BV1349" s="190"/>
      <c r="BW1349" s="190"/>
      <c r="BX1349" s="190"/>
      <c r="BY1349" s="190"/>
      <c r="BZ1349" s="190"/>
      <c r="CA1349" s="189"/>
      <c r="CB1349" s="192"/>
    </row>
    <row r="1350" spans="1:80" x14ac:dyDescent="0.2">
      <c r="A1350" s="152"/>
      <c r="B1350" s="683"/>
      <c r="C1350" s="683"/>
      <c r="D1350" s="698"/>
      <c r="E1350" s="215"/>
      <c r="F1350" s="215"/>
      <c r="G1350" s="153"/>
      <c r="H1350" s="153"/>
      <c r="I1350" s="153"/>
      <c r="J1350" s="153"/>
      <c r="K1350" s="153"/>
      <c r="L1350" s="653"/>
      <c r="M1350" s="654">
        <v>33038</v>
      </c>
      <c r="N1350" s="587">
        <v>1.7841465830000001</v>
      </c>
      <c r="O1350" s="592">
        <v>2.488484E-3</v>
      </c>
      <c r="P1350" s="216"/>
      <c r="Q1350" s="216"/>
      <c r="R1350" s="216"/>
      <c r="S1350" s="216"/>
      <c r="T1350" s="216"/>
      <c r="U1350" s="216"/>
      <c r="V1350" s="216"/>
      <c r="W1350" s="216"/>
      <c r="X1350" s="216"/>
      <c r="Y1350" s="216"/>
      <c r="Z1350" s="216"/>
      <c r="AA1350" s="186"/>
      <c r="AB1350" s="192"/>
      <c r="AC1350" s="152"/>
      <c r="AD1350" s="186">
        <f>28*(0.3048)</f>
        <v>8.5343999999999998</v>
      </c>
      <c r="AE1350" s="186">
        <f>0.93*(0.3048)</f>
        <v>0.28346400000000005</v>
      </c>
      <c r="AF1350" s="186">
        <f>26*(0.3048^2)</f>
        <v>2.4154790400000001</v>
      </c>
      <c r="AG1350" s="186">
        <f>2.42*(0.3048)</f>
        <v>0.73761600000000005</v>
      </c>
      <c r="AH1350" s="336"/>
      <c r="AI1350" s="188"/>
      <c r="AJ1350" s="188"/>
      <c r="AK1350" s="190"/>
      <c r="AL1350" s="189"/>
      <c r="AM1350" s="189"/>
      <c r="AN1350" s="189"/>
      <c r="AO1350" s="189"/>
      <c r="AP1350" s="189"/>
      <c r="AQ1350" s="189"/>
      <c r="AR1350" s="189"/>
      <c r="AS1350" s="189"/>
      <c r="AT1350" s="189"/>
      <c r="AU1350" s="191"/>
      <c r="AV1350" s="191"/>
      <c r="AW1350" s="191"/>
      <c r="AX1350" s="191"/>
      <c r="AY1350" s="191"/>
      <c r="AZ1350" s="189"/>
      <c r="BA1350" s="189"/>
      <c r="BB1350" s="189"/>
      <c r="BC1350" s="189"/>
      <c r="BD1350" s="189"/>
      <c r="BE1350" s="189"/>
      <c r="BF1350" s="189"/>
      <c r="BG1350" s="189"/>
      <c r="BH1350" s="189"/>
      <c r="BI1350" s="190"/>
      <c r="BJ1350" s="190"/>
      <c r="BK1350" s="190"/>
      <c r="BL1350" s="190"/>
      <c r="BM1350" s="190"/>
      <c r="BN1350" s="190"/>
      <c r="BO1350" s="190"/>
      <c r="BP1350" s="190"/>
      <c r="BQ1350" s="190"/>
      <c r="BR1350" s="190"/>
      <c r="BS1350" s="190"/>
      <c r="BT1350" s="190"/>
      <c r="BU1350" s="190"/>
      <c r="BV1350" s="190"/>
      <c r="BW1350" s="190"/>
      <c r="BX1350" s="190"/>
      <c r="BY1350" s="190"/>
      <c r="BZ1350" s="190"/>
      <c r="CA1350" s="189"/>
      <c r="CB1350" s="192"/>
    </row>
    <row r="1351" spans="1:80" x14ac:dyDescent="0.2">
      <c r="A1351" s="152"/>
      <c r="B1351" s="683"/>
      <c r="C1351" s="683"/>
      <c r="D1351" s="698"/>
      <c r="E1351" s="215"/>
      <c r="F1351" s="215"/>
      <c r="G1351" s="153"/>
      <c r="H1351" s="153"/>
      <c r="I1351" s="153"/>
      <c r="J1351" s="153"/>
      <c r="K1351" s="153"/>
      <c r="L1351" s="653"/>
      <c r="M1351" s="654">
        <v>33044</v>
      </c>
      <c r="N1351" s="587">
        <v>1.727507009</v>
      </c>
      <c r="O1351" s="592">
        <v>3.4387279999999998E-3</v>
      </c>
      <c r="P1351" s="216"/>
      <c r="Q1351" s="216"/>
      <c r="R1351" s="216"/>
      <c r="S1351" s="216"/>
      <c r="T1351" s="216"/>
      <c r="U1351" s="216"/>
      <c r="V1351" s="216"/>
      <c r="W1351" s="216"/>
      <c r="X1351" s="216"/>
      <c r="Y1351" s="216"/>
      <c r="Z1351" s="216"/>
      <c r="AA1351" s="186"/>
      <c r="AB1351" s="192"/>
      <c r="AC1351" s="152"/>
      <c r="AD1351" s="186">
        <f>28*(0.3048)</f>
        <v>8.5343999999999998</v>
      </c>
      <c r="AE1351" s="186">
        <f>0.9*(0.3048)</f>
        <v>0.27432000000000001</v>
      </c>
      <c r="AF1351" s="186">
        <f>25.3*(0.3048^2)</f>
        <v>2.3504469120000002</v>
      </c>
      <c r="AG1351" s="186">
        <f>2.42*(0.3048)</f>
        <v>0.73761600000000005</v>
      </c>
      <c r="AH1351" s="336"/>
      <c r="AI1351" s="188"/>
      <c r="AJ1351" s="188"/>
      <c r="AK1351" s="190"/>
      <c r="AL1351" s="189"/>
      <c r="AM1351" s="189"/>
      <c r="AN1351" s="189"/>
      <c r="AO1351" s="189"/>
      <c r="AP1351" s="189"/>
      <c r="AQ1351" s="189"/>
      <c r="AR1351" s="189"/>
      <c r="AS1351" s="189"/>
      <c r="AT1351" s="189"/>
      <c r="AU1351" s="191"/>
      <c r="AV1351" s="191"/>
      <c r="AW1351" s="191"/>
      <c r="AX1351" s="191"/>
      <c r="AY1351" s="191"/>
      <c r="AZ1351" s="189"/>
      <c r="BA1351" s="189"/>
      <c r="BB1351" s="189"/>
      <c r="BC1351" s="189"/>
      <c r="BD1351" s="189"/>
      <c r="BE1351" s="189"/>
      <c r="BF1351" s="189"/>
      <c r="BG1351" s="189"/>
      <c r="BH1351" s="189"/>
      <c r="BI1351" s="190"/>
      <c r="BJ1351" s="190"/>
      <c r="BK1351" s="190"/>
      <c r="BL1351" s="190"/>
      <c r="BM1351" s="190"/>
      <c r="BN1351" s="190"/>
      <c r="BO1351" s="190"/>
      <c r="BP1351" s="190"/>
      <c r="BQ1351" s="190"/>
      <c r="BR1351" s="190"/>
      <c r="BS1351" s="190"/>
      <c r="BT1351" s="190"/>
      <c r="BU1351" s="190"/>
      <c r="BV1351" s="190"/>
      <c r="BW1351" s="190"/>
      <c r="BX1351" s="190"/>
      <c r="BY1351" s="190"/>
      <c r="BZ1351" s="190"/>
      <c r="CA1351" s="189"/>
      <c r="CB1351" s="192"/>
    </row>
    <row r="1352" spans="1:80" x14ac:dyDescent="0.2">
      <c r="A1352" s="152"/>
      <c r="B1352" s="683"/>
      <c r="C1352" s="683"/>
      <c r="D1352" s="698"/>
      <c r="E1352" s="215"/>
      <c r="F1352" s="215"/>
      <c r="G1352" s="153"/>
      <c r="H1352" s="153"/>
      <c r="I1352" s="153"/>
      <c r="J1352" s="153"/>
      <c r="K1352" s="153"/>
      <c r="L1352" s="653"/>
      <c r="M1352" s="654">
        <v>33052</v>
      </c>
      <c r="N1352" s="587">
        <v>1.4726289260000001</v>
      </c>
      <c r="O1352" s="592">
        <v>3.4544770000000001E-3</v>
      </c>
      <c r="P1352" s="216"/>
      <c r="Q1352" s="216"/>
      <c r="R1352" s="216"/>
      <c r="S1352" s="216"/>
      <c r="T1352" s="216"/>
      <c r="U1352" s="216"/>
      <c r="V1352" s="216"/>
      <c r="W1352" s="216"/>
      <c r="X1352" s="216"/>
      <c r="Y1352" s="216"/>
      <c r="Z1352" s="216"/>
      <c r="AA1352" s="186"/>
      <c r="AB1352" s="192"/>
      <c r="AC1352" s="152"/>
      <c r="AD1352" s="186"/>
      <c r="AE1352" s="186"/>
      <c r="AF1352" s="186"/>
      <c r="AG1352" s="186"/>
      <c r="AH1352" s="336"/>
      <c r="AI1352" s="188"/>
      <c r="AJ1352" s="188"/>
      <c r="AK1352" s="190"/>
      <c r="AL1352" s="189"/>
      <c r="AM1352" s="189"/>
      <c r="AN1352" s="189"/>
      <c r="AO1352" s="189"/>
      <c r="AP1352" s="189"/>
      <c r="AQ1352" s="189"/>
      <c r="AR1352" s="189"/>
      <c r="AS1352" s="189"/>
      <c r="AT1352" s="189"/>
      <c r="AU1352" s="191"/>
      <c r="AV1352" s="191"/>
      <c r="AW1352" s="191"/>
      <c r="AX1352" s="191"/>
      <c r="AY1352" s="191"/>
      <c r="AZ1352" s="189"/>
      <c r="BA1352" s="189"/>
      <c r="BB1352" s="189"/>
      <c r="BC1352" s="189"/>
      <c r="BD1352" s="189"/>
      <c r="BE1352" s="189"/>
      <c r="BF1352" s="189"/>
      <c r="BG1352" s="189"/>
      <c r="BH1352" s="189"/>
      <c r="BI1352" s="190"/>
      <c r="BJ1352" s="190"/>
      <c r="BK1352" s="190"/>
      <c r="BL1352" s="190"/>
      <c r="BM1352" s="190"/>
      <c r="BN1352" s="190"/>
      <c r="BO1352" s="190"/>
      <c r="BP1352" s="190"/>
      <c r="BQ1352" s="190"/>
      <c r="BR1352" s="190"/>
      <c r="BS1352" s="190"/>
      <c r="BT1352" s="190"/>
      <c r="BU1352" s="190"/>
      <c r="BV1352" s="190"/>
      <c r="BW1352" s="190"/>
      <c r="BX1352" s="190"/>
      <c r="BY1352" s="190"/>
      <c r="BZ1352" s="190"/>
      <c r="CA1352" s="189"/>
      <c r="CB1352" s="192"/>
    </row>
    <row r="1353" spans="1:80" x14ac:dyDescent="0.2">
      <c r="A1353" s="152"/>
      <c r="B1353" s="683"/>
      <c r="C1353" s="683"/>
      <c r="D1353" s="698"/>
      <c r="E1353" s="215"/>
      <c r="F1353" s="215"/>
      <c r="G1353" s="153"/>
      <c r="H1353" s="153"/>
      <c r="I1353" s="153"/>
      <c r="J1353" s="153"/>
      <c r="K1353" s="153"/>
      <c r="L1353" s="653"/>
      <c r="M1353" s="654">
        <v>33059</v>
      </c>
      <c r="N1353" s="587">
        <v>0.96287275900000002</v>
      </c>
      <c r="O1353" s="592">
        <v>8.7674400000000005E-4</v>
      </c>
      <c r="P1353" s="216"/>
      <c r="Q1353" s="216"/>
      <c r="R1353" s="216"/>
      <c r="S1353" s="216"/>
      <c r="T1353" s="216"/>
      <c r="U1353" s="216"/>
      <c r="V1353" s="216"/>
      <c r="W1353" s="216"/>
      <c r="X1353" s="216"/>
      <c r="Y1353" s="216"/>
      <c r="Z1353" s="216"/>
      <c r="AA1353" s="186"/>
      <c r="AB1353" s="192"/>
      <c r="AC1353" s="152"/>
      <c r="AD1353" s="186">
        <f>26*(0.3048)</f>
        <v>7.9248000000000003</v>
      </c>
      <c r="AE1353" s="186">
        <f>0.74*(0.3048)</f>
        <v>0.225552</v>
      </c>
      <c r="AF1353" s="186">
        <f>19.2*(0.3048^2)</f>
        <v>1.7837383680000001</v>
      </c>
      <c r="AG1353" s="186">
        <f>1.79*(0.3048)</f>
        <v>0.54559200000000008</v>
      </c>
      <c r="AH1353" s="336"/>
      <c r="AI1353" s="188"/>
      <c r="AJ1353" s="188"/>
      <c r="AK1353" s="190"/>
      <c r="AL1353" s="189"/>
      <c r="AM1353" s="189"/>
      <c r="AN1353" s="189"/>
      <c r="AO1353" s="189"/>
      <c r="AP1353" s="189"/>
      <c r="AQ1353" s="189"/>
      <c r="AR1353" s="189"/>
      <c r="AS1353" s="189"/>
      <c r="AT1353" s="189"/>
      <c r="AU1353" s="191"/>
      <c r="AV1353" s="191"/>
      <c r="AW1353" s="191"/>
      <c r="AX1353" s="191"/>
      <c r="AY1353" s="191"/>
      <c r="AZ1353" s="189"/>
      <c r="BA1353" s="189"/>
      <c r="BB1353" s="189"/>
      <c r="BC1353" s="189"/>
      <c r="BD1353" s="189"/>
      <c r="BE1353" s="189"/>
      <c r="BF1353" s="189"/>
      <c r="BG1353" s="189"/>
      <c r="BH1353" s="189"/>
      <c r="BI1353" s="190"/>
      <c r="BJ1353" s="190"/>
      <c r="BK1353" s="190"/>
      <c r="BL1353" s="190"/>
      <c r="BM1353" s="190"/>
      <c r="BN1353" s="190"/>
      <c r="BO1353" s="190"/>
      <c r="BP1353" s="190"/>
      <c r="BQ1353" s="190"/>
      <c r="BR1353" s="190"/>
      <c r="BS1353" s="190"/>
      <c r="BT1353" s="190"/>
      <c r="BU1353" s="190"/>
      <c r="BV1353" s="190"/>
      <c r="BW1353" s="190"/>
      <c r="BX1353" s="190"/>
      <c r="BY1353" s="190"/>
      <c r="BZ1353" s="190"/>
      <c r="CA1353" s="189"/>
      <c r="CB1353" s="192"/>
    </row>
    <row r="1354" spans="1:80" x14ac:dyDescent="0.2">
      <c r="A1354" s="152"/>
      <c r="B1354" s="683"/>
      <c r="C1354" s="683"/>
      <c r="D1354" s="698"/>
      <c r="E1354" s="215"/>
      <c r="F1354" s="215"/>
      <c r="G1354" s="153"/>
      <c r="H1354" s="153"/>
      <c r="I1354" s="153"/>
      <c r="J1354" s="153"/>
      <c r="K1354" s="153"/>
      <c r="L1354" s="653"/>
      <c r="M1354" s="654">
        <v>33379</v>
      </c>
      <c r="N1354" s="587">
        <v>2.6620599810000001</v>
      </c>
      <c r="O1354" s="592">
        <v>5.3024699999999997E-4</v>
      </c>
      <c r="P1354" s="216"/>
      <c r="Q1354" s="216"/>
      <c r="R1354" s="216"/>
      <c r="S1354" s="216"/>
      <c r="T1354" s="216"/>
      <c r="U1354" s="216"/>
      <c r="V1354" s="216"/>
      <c r="W1354" s="216"/>
      <c r="X1354" s="216"/>
      <c r="Y1354" s="216"/>
      <c r="Z1354" s="216"/>
      <c r="AA1354" s="186"/>
      <c r="AB1354" s="192"/>
      <c r="AC1354" s="152"/>
      <c r="AD1354" s="186"/>
      <c r="AE1354" s="186"/>
      <c r="AF1354" s="186"/>
      <c r="AG1354" s="186"/>
      <c r="AH1354" s="336"/>
      <c r="AI1354" s="188"/>
      <c r="AJ1354" s="188"/>
      <c r="AK1354" s="190"/>
      <c r="AL1354" s="189"/>
      <c r="AM1354" s="189"/>
      <c r="AN1354" s="189"/>
      <c r="AO1354" s="189"/>
      <c r="AP1354" s="189"/>
      <c r="AQ1354" s="189"/>
      <c r="AR1354" s="189"/>
      <c r="AS1354" s="189"/>
      <c r="AT1354" s="189"/>
      <c r="AU1354" s="191"/>
      <c r="AV1354" s="191"/>
      <c r="AW1354" s="191"/>
      <c r="AX1354" s="191"/>
      <c r="AY1354" s="191"/>
      <c r="AZ1354" s="189"/>
      <c r="BA1354" s="189"/>
      <c r="BB1354" s="189"/>
      <c r="BC1354" s="189"/>
      <c r="BD1354" s="189"/>
      <c r="BE1354" s="189"/>
      <c r="BF1354" s="189"/>
      <c r="BG1354" s="189"/>
      <c r="BH1354" s="189"/>
      <c r="BI1354" s="190"/>
      <c r="BJ1354" s="190"/>
      <c r="BK1354" s="190"/>
      <c r="BL1354" s="190"/>
      <c r="BM1354" s="190"/>
      <c r="BN1354" s="190"/>
      <c r="BO1354" s="190"/>
      <c r="BP1354" s="190"/>
      <c r="BQ1354" s="190"/>
      <c r="BR1354" s="190"/>
      <c r="BS1354" s="190"/>
      <c r="BT1354" s="190"/>
      <c r="BU1354" s="190"/>
      <c r="BV1354" s="190"/>
      <c r="BW1354" s="190"/>
      <c r="BX1354" s="190"/>
      <c r="BY1354" s="190"/>
      <c r="BZ1354" s="190"/>
      <c r="CA1354" s="189"/>
      <c r="CB1354" s="192"/>
    </row>
    <row r="1355" spans="1:80" x14ac:dyDescent="0.2">
      <c r="A1355" s="152"/>
      <c r="B1355" s="683"/>
      <c r="C1355" s="683"/>
      <c r="D1355" s="698"/>
      <c r="E1355" s="215"/>
      <c r="F1355" s="215"/>
      <c r="G1355" s="153"/>
      <c r="H1355" s="153"/>
      <c r="I1355" s="153"/>
      <c r="J1355" s="153"/>
      <c r="K1355" s="153"/>
      <c r="L1355" s="653"/>
      <c r="M1355" s="654">
        <v>33379</v>
      </c>
      <c r="N1355" s="587">
        <v>2.6620599810000001</v>
      </c>
      <c r="O1355" s="592">
        <v>1.2809919999999999E-3</v>
      </c>
      <c r="P1355" s="216"/>
      <c r="Q1355" s="216"/>
      <c r="R1355" s="216"/>
      <c r="S1355" s="216"/>
      <c r="T1355" s="216"/>
      <c r="U1355" s="216"/>
      <c r="V1355" s="216"/>
      <c r="W1355" s="216"/>
      <c r="X1355" s="216"/>
      <c r="Y1355" s="216"/>
      <c r="Z1355" s="216"/>
      <c r="AA1355" s="186"/>
      <c r="AB1355" s="192"/>
      <c r="AC1355" s="152"/>
      <c r="AD1355" s="186"/>
      <c r="AE1355" s="186"/>
      <c r="AF1355" s="186"/>
      <c r="AG1355" s="186"/>
      <c r="AH1355" s="336"/>
      <c r="AI1355" s="188"/>
      <c r="AJ1355" s="188"/>
      <c r="AK1355" s="190"/>
      <c r="AL1355" s="189"/>
      <c r="AM1355" s="189"/>
      <c r="AN1355" s="189"/>
      <c r="AO1355" s="189"/>
      <c r="AP1355" s="189"/>
      <c r="AQ1355" s="189"/>
      <c r="AR1355" s="189"/>
      <c r="AS1355" s="189"/>
      <c r="AT1355" s="189"/>
      <c r="AU1355" s="191"/>
      <c r="AV1355" s="191"/>
      <c r="AW1355" s="191"/>
      <c r="AX1355" s="191"/>
      <c r="AY1355" s="191"/>
      <c r="AZ1355" s="189"/>
      <c r="BA1355" s="189"/>
      <c r="BB1355" s="189"/>
      <c r="BC1355" s="189"/>
      <c r="BD1355" s="189"/>
      <c r="BE1355" s="189"/>
      <c r="BF1355" s="189"/>
      <c r="BG1355" s="189"/>
      <c r="BH1355" s="189"/>
      <c r="BI1355" s="190"/>
      <c r="BJ1355" s="190"/>
      <c r="BK1355" s="190"/>
      <c r="BL1355" s="190"/>
      <c r="BM1355" s="190"/>
      <c r="BN1355" s="190"/>
      <c r="BO1355" s="190"/>
      <c r="BP1355" s="190"/>
      <c r="BQ1355" s="190"/>
      <c r="BR1355" s="190"/>
      <c r="BS1355" s="190"/>
      <c r="BT1355" s="190"/>
      <c r="BU1355" s="190"/>
      <c r="BV1355" s="190"/>
      <c r="BW1355" s="190"/>
      <c r="BX1355" s="190"/>
      <c r="BY1355" s="190"/>
      <c r="BZ1355" s="190"/>
      <c r="CA1355" s="189"/>
      <c r="CB1355" s="192"/>
    </row>
    <row r="1356" spans="1:80" x14ac:dyDescent="0.2">
      <c r="A1356" s="152"/>
      <c r="B1356" s="683"/>
      <c r="C1356" s="683"/>
      <c r="D1356" s="698"/>
      <c r="E1356" s="215"/>
      <c r="F1356" s="215"/>
      <c r="G1356" s="153"/>
      <c r="H1356" s="153"/>
      <c r="I1356" s="153"/>
      <c r="J1356" s="153"/>
      <c r="K1356" s="153"/>
      <c r="L1356" s="653"/>
      <c r="M1356" s="654">
        <v>33387</v>
      </c>
      <c r="N1356" s="587">
        <v>2.831978704</v>
      </c>
      <c r="O1356" s="592">
        <v>5.5124600000000003E-4</v>
      </c>
      <c r="P1356" s="216"/>
      <c r="Q1356" s="216"/>
      <c r="R1356" s="216"/>
      <c r="S1356" s="216"/>
      <c r="T1356" s="216">
        <v>6.2E-2</v>
      </c>
      <c r="U1356" s="216">
        <v>0.156</v>
      </c>
      <c r="V1356" s="216">
        <v>0.188</v>
      </c>
      <c r="W1356" s="216">
        <v>0.219</v>
      </c>
      <c r="X1356" s="216">
        <v>0.25</v>
      </c>
      <c r="Y1356" s="216">
        <v>0.125</v>
      </c>
      <c r="Z1356" s="216"/>
      <c r="AA1356" s="186">
        <f>AVERAGE(0.74,1.03)</f>
        <v>0.88500000000000001</v>
      </c>
      <c r="AB1356" s="192"/>
      <c r="AC1356" s="152"/>
      <c r="AD1356" s="186">
        <f>30*(0.3048)</f>
        <v>9.1440000000000001</v>
      </c>
      <c r="AE1356" s="186">
        <f>0.94*(0.3048)</f>
        <v>0.28651199999999999</v>
      </c>
      <c r="AF1356" s="186">
        <f>28.3*(0.3048^2)</f>
        <v>2.629156032</v>
      </c>
      <c r="AG1356" s="186">
        <f>3.54*(0.3048)</f>
        <v>1.0789920000000002</v>
      </c>
      <c r="AH1356" s="336"/>
      <c r="AI1356" s="188"/>
      <c r="AJ1356" s="188"/>
      <c r="AK1356" s="190"/>
      <c r="AL1356" s="189"/>
      <c r="AM1356" s="189"/>
      <c r="AN1356" s="189"/>
      <c r="AO1356" s="189"/>
      <c r="AP1356" s="189"/>
      <c r="AQ1356" s="189"/>
      <c r="AR1356" s="189"/>
      <c r="AS1356" s="189"/>
      <c r="AT1356" s="189"/>
      <c r="AU1356" s="191"/>
      <c r="AV1356" s="191"/>
      <c r="AW1356" s="191"/>
      <c r="AX1356" s="191"/>
      <c r="AY1356" s="191"/>
      <c r="AZ1356" s="189"/>
      <c r="BA1356" s="189"/>
      <c r="BB1356" s="189"/>
      <c r="BC1356" s="189"/>
      <c r="BD1356" s="189"/>
      <c r="BE1356" s="189"/>
      <c r="BF1356" s="189"/>
      <c r="BG1356" s="189"/>
      <c r="BH1356" s="189"/>
      <c r="BI1356" s="190"/>
      <c r="BJ1356" s="190"/>
      <c r="BK1356" s="190"/>
      <c r="BL1356" s="190"/>
      <c r="BM1356" s="190"/>
      <c r="BN1356" s="190"/>
      <c r="BO1356" s="190"/>
      <c r="BP1356" s="190"/>
      <c r="BQ1356" s="190"/>
      <c r="BR1356" s="190"/>
      <c r="BS1356" s="190"/>
      <c r="BT1356" s="190"/>
      <c r="BU1356" s="190"/>
      <c r="BV1356" s="190"/>
      <c r="BW1356" s="190"/>
      <c r="BX1356" s="190"/>
      <c r="BY1356" s="190"/>
      <c r="BZ1356" s="190"/>
      <c r="CA1356" s="189"/>
      <c r="CB1356" s="192"/>
    </row>
    <row r="1357" spans="1:80" x14ac:dyDescent="0.2">
      <c r="A1357" s="152"/>
      <c r="B1357" s="683"/>
      <c r="C1357" s="683"/>
      <c r="D1357" s="698"/>
      <c r="E1357" s="215"/>
      <c r="F1357" s="215"/>
      <c r="G1357" s="153"/>
      <c r="H1357" s="153"/>
      <c r="I1357" s="153"/>
      <c r="J1357" s="153"/>
      <c r="K1357" s="153"/>
      <c r="L1357" s="653"/>
      <c r="M1357" s="654">
        <v>33390</v>
      </c>
      <c r="N1357" s="587">
        <v>2.4355016850000002</v>
      </c>
      <c r="O1357" s="592">
        <v>7.6124500000000002E-4</v>
      </c>
      <c r="P1357" s="216"/>
      <c r="Q1357" s="216"/>
      <c r="R1357" s="216"/>
      <c r="S1357" s="216"/>
      <c r="T1357" s="216">
        <v>2.1999999999999999E-2</v>
      </c>
      <c r="U1357" s="216">
        <v>6.5000000000000002E-2</v>
      </c>
      <c r="V1357" s="216">
        <v>0.23899999999999999</v>
      </c>
      <c r="W1357" s="216">
        <v>0.26100000000000001</v>
      </c>
      <c r="X1357" s="216">
        <v>0.34799999999999998</v>
      </c>
      <c r="Y1357" s="216">
        <v>6.5000000000000002E-2</v>
      </c>
      <c r="Z1357" s="216"/>
      <c r="AA1357" s="186">
        <f>AVERAGE(0.63,0.79)</f>
        <v>0.71</v>
      </c>
      <c r="AB1357" s="192"/>
      <c r="AC1357" s="152"/>
      <c r="AD1357" s="186">
        <f>29.8*(0.3048)</f>
        <v>9.0830400000000004</v>
      </c>
      <c r="AE1357" s="186">
        <f>1.06*(0.3048)</f>
        <v>0.32308800000000004</v>
      </c>
      <c r="AF1357" s="186">
        <f>31.6*(0.3048^2)</f>
        <v>2.9357360640000003</v>
      </c>
      <c r="AG1357" s="186">
        <f>2.72*(0.3048)</f>
        <v>0.82905600000000013</v>
      </c>
      <c r="AH1357" s="336"/>
      <c r="AI1357" s="188"/>
      <c r="AJ1357" s="188"/>
      <c r="AK1357" s="190"/>
      <c r="AL1357" s="189"/>
      <c r="AM1357" s="189"/>
      <c r="AN1357" s="189"/>
      <c r="AO1357" s="189"/>
      <c r="AP1357" s="189"/>
      <c r="AQ1357" s="189"/>
      <c r="AR1357" s="189"/>
      <c r="AS1357" s="189"/>
      <c r="AT1357" s="189"/>
      <c r="AU1357" s="191"/>
      <c r="AV1357" s="191"/>
      <c r="AW1357" s="191"/>
      <c r="AX1357" s="191"/>
      <c r="AY1357" s="191"/>
      <c r="AZ1357" s="189"/>
      <c r="BA1357" s="189"/>
      <c r="BB1357" s="189"/>
      <c r="BC1357" s="189"/>
      <c r="BD1357" s="189"/>
      <c r="BE1357" s="189"/>
      <c r="BF1357" s="189"/>
      <c r="BG1357" s="189"/>
      <c r="BH1357" s="189"/>
      <c r="BI1357" s="190"/>
      <c r="BJ1357" s="190"/>
      <c r="BK1357" s="190"/>
      <c r="BL1357" s="190"/>
      <c r="BM1357" s="190"/>
      <c r="BN1357" s="190"/>
      <c r="BO1357" s="190"/>
      <c r="BP1357" s="190"/>
      <c r="BQ1357" s="190"/>
      <c r="BR1357" s="190"/>
      <c r="BS1357" s="190"/>
      <c r="BT1357" s="190"/>
      <c r="BU1357" s="190"/>
      <c r="BV1357" s="190"/>
      <c r="BW1357" s="190"/>
      <c r="BX1357" s="190"/>
      <c r="BY1357" s="190"/>
      <c r="BZ1357" s="190"/>
      <c r="CA1357" s="189"/>
      <c r="CB1357" s="192"/>
    </row>
    <row r="1358" spans="1:80" x14ac:dyDescent="0.2">
      <c r="A1358" s="152"/>
      <c r="B1358" s="683"/>
      <c r="C1358" s="683"/>
      <c r="D1358" s="698"/>
      <c r="E1358" s="215"/>
      <c r="F1358" s="215"/>
      <c r="G1358" s="153"/>
      <c r="H1358" s="153"/>
      <c r="I1358" s="153"/>
      <c r="J1358" s="153"/>
      <c r="K1358" s="153"/>
      <c r="L1358" s="653"/>
      <c r="M1358" s="654">
        <v>33390</v>
      </c>
      <c r="N1358" s="587">
        <v>2.4355016850000002</v>
      </c>
      <c r="O1358" s="592">
        <v>7.2974499999999996E-4</v>
      </c>
      <c r="P1358" s="216"/>
      <c r="Q1358" s="216"/>
      <c r="R1358" s="216"/>
      <c r="S1358" s="216"/>
      <c r="T1358" s="216"/>
      <c r="U1358" s="216">
        <v>8.7999999999999995E-2</v>
      </c>
      <c r="V1358" s="216">
        <v>0.20599999999999999</v>
      </c>
      <c r="W1358" s="216">
        <v>0.23499999999999999</v>
      </c>
      <c r="X1358" s="216">
        <v>0.38200000000000001</v>
      </c>
      <c r="Y1358" s="216">
        <v>8.8999999999999996E-2</v>
      </c>
      <c r="Z1358" s="216"/>
      <c r="AA1358" s="186">
        <f>AVERAGE(0.54,0.85)</f>
        <v>0.69500000000000006</v>
      </c>
      <c r="AB1358" s="192"/>
      <c r="AC1358" s="152"/>
      <c r="AD1358" s="186">
        <f>29.8*(0.3048)</f>
        <v>9.0830400000000004</v>
      </c>
      <c r="AE1358" s="186">
        <f>1.05*(0.3048)</f>
        <v>0.32004000000000005</v>
      </c>
      <c r="AF1358" s="186">
        <f>31.4*(0.3048^2)</f>
        <v>2.9171554560000001</v>
      </c>
      <c r="AG1358" s="186">
        <f>2.73*(0.3048)</f>
        <v>0.83210400000000007</v>
      </c>
      <c r="AH1358" s="336"/>
      <c r="AI1358" s="188"/>
      <c r="AJ1358" s="188"/>
      <c r="AK1358" s="190"/>
      <c r="AL1358" s="189"/>
      <c r="AM1358" s="189"/>
      <c r="AN1358" s="189"/>
      <c r="AO1358" s="189"/>
      <c r="AP1358" s="189"/>
      <c r="AQ1358" s="189"/>
      <c r="AR1358" s="189"/>
      <c r="AS1358" s="189"/>
      <c r="AT1358" s="189"/>
      <c r="AU1358" s="191"/>
      <c r="AV1358" s="191"/>
      <c r="AW1358" s="191"/>
      <c r="AX1358" s="191"/>
      <c r="AY1358" s="191"/>
      <c r="AZ1358" s="189"/>
      <c r="BA1358" s="189"/>
      <c r="BB1358" s="189"/>
      <c r="BC1358" s="189"/>
      <c r="BD1358" s="189"/>
      <c r="BE1358" s="189"/>
      <c r="BF1358" s="189"/>
      <c r="BG1358" s="189"/>
      <c r="BH1358" s="189"/>
      <c r="BI1358" s="190"/>
      <c r="BJ1358" s="190"/>
      <c r="BK1358" s="190"/>
      <c r="BL1358" s="190"/>
      <c r="BM1358" s="190"/>
      <c r="BN1358" s="190"/>
      <c r="BO1358" s="190"/>
      <c r="BP1358" s="190"/>
      <c r="BQ1358" s="190"/>
      <c r="BR1358" s="190"/>
      <c r="BS1358" s="190"/>
      <c r="BT1358" s="190"/>
      <c r="BU1358" s="190"/>
      <c r="BV1358" s="190"/>
      <c r="BW1358" s="190"/>
      <c r="BX1358" s="190"/>
      <c r="BY1358" s="190"/>
      <c r="BZ1358" s="190"/>
      <c r="CA1358" s="189"/>
      <c r="CB1358" s="192"/>
    </row>
    <row r="1359" spans="1:80" x14ac:dyDescent="0.2">
      <c r="A1359" s="152"/>
      <c r="B1359" s="683"/>
      <c r="C1359" s="683"/>
      <c r="D1359" s="698"/>
      <c r="E1359" s="215"/>
      <c r="F1359" s="215"/>
      <c r="G1359" s="153"/>
      <c r="H1359" s="153"/>
      <c r="I1359" s="153"/>
      <c r="J1359" s="153"/>
      <c r="K1359" s="153"/>
      <c r="L1359" s="653"/>
      <c r="M1359" s="654">
        <v>33390</v>
      </c>
      <c r="N1359" s="587">
        <v>2.3788621110000001</v>
      </c>
      <c r="O1359" s="592">
        <v>1.7534880000000001E-3</v>
      </c>
      <c r="P1359" s="216"/>
      <c r="Q1359" s="216"/>
      <c r="R1359" s="216"/>
      <c r="S1359" s="216"/>
      <c r="T1359" s="216"/>
      <c r="U1359" s="216">
        <v>5.5E-2</v>
      </c>
      <c r="V1359" s="216">
        <v>0.215</v>
      </c>
      <c r="W1359" s="216">
        <v>0.27</v>
      </c>
      <c r="X1359" s="216">
        <v>0.35599999999999998</v>
      </c>
      <c r="Y1359" s="216">
        <v>0.104</v>
      </c>
      <c r="Z1359" s="216"/>
      <c r="AA1359" s="186">
        <f>AVERAGE(0.55,0.79)</f>
        <v>0.67</v>
      </c>
      <c r="AB1359" s="192"/>
      <c r="AC1359" s="152"/>
      <c r="AD1359" s="186">
        <f>30*(0.3048)</f>
        <v>9.1440000000000001</v>
      </c>
      <c r="AE1359" s="186">
        <f>1.1*(0.3048)</f>
        <v>0.33528000000000002</v>
      </c>
      <c r="AF1359" s="186">
        <f>33*(0.3048^2)</f>
        <v>3.0658003200000001</v>
      </c>
      <c r="AG1359" s="186">
        <f>2.65*(0.3048)</f>
        <v>0.80771999999999999</v>
      </c>
      <c r="AH1359" s="336"/>
      <c r="AI1359" s="188"/>
      <c r="AJ1359" s="188"/>
      <c r="AK1359" s="190"/>
      <c r="AL1359" s="189"/>
      <c r="AM1359" s="189"/>
      <c r="AN1359" s="189"/>
      <c r="AO1359" s="189"/>
      <c r="AP1359" s="189"/>
      <c r="AQ1359" s="189"/>
      <c r="AR1359" s="189"/>
      <c r="AS1359" s="189"/>
      <c r="AT1359" s="189"/>
      <c r="AU1359" s="191"/>
      <c r="AV1359" s="191"/>
      <c r="AW1359" s="191"/>
      <c r="AX1359" s="191"/>
      <c r="AY1359" s="191"/>
      <c r="AZ1359" s="189"/>
      <c r="BA1359" s="189"/>
      <c r="BB1359" s="189"/>
      <c r="BC1359" s="189"/>
      <c r="BD1359" s="189"/>
      <c r="BE1359" s="189"/>
      <c r="BF1359" s="189"/>
      <c r="BG1359" s="189"/>
      <c r="BH1359" s="189"/>
      <c r="BI1359" s="190"/>
      <c r="BJ1359" s="190"/>
      <c r="BK1359" s="190"/>
      <c r="BL1359" s="190"/>
      <c r="BM1359" s="190"/>
      <c r="BN1359" s="190"/>
      <c r="BO1359" s="190"/>
      <c r="BP1359" s="190"/>
      <c r="BQ1359" s="190"/>
      <c r="BR1359" s="190"/>
      <c r="BS1359" s="190"/>
      <c r="BT1359" s="190"/>
      <c r="BU1359" s="190"/>
      <c r="BV1359" s="190"/>
      <c r="BW1359" s="190"/>
      <c r="BX1359" s="190"/>
      <c r="BY1359" s="190"/>
      <c r="BZ1359" s="190"/>
      <c r="CA1359" s="189"/>
      <c r="CB1359" s="192"/>
    </row>
    <row r="1360" spans="1:80" x14ac:dyDescent="0.2">
      <c r="A1360" s="152"/>
      <c r="B1360" s="683"/>
      <c r="C1360" s="683"/>
      <c r="D1360" s="698"/>
      <c r="E1360" s="215"/>
      <c r="F1360" s="215"/>
      <c r="G1360" s="153"/>
      <c r="H1360" s="153"/>
      <c r="I1360" s="153"/>
      <c r="J1360" s="153"/>
      <c r="K1360" s="153"/>
      <c r="L1360" s="653"/>
      <c r="M1360" s="654">
        <v>33392</v>
      </c>
      <c r="N1360" s="587">
        <v>3.143496361</v>
      </c>
      <c r="O1360" s="592">
        <v>6.6044570000000002E-3</v>
      </c>
      <c r="P1360" s="216"/>
      <c r="Q1360" s="216"/>
      <c r="R1360" s="216"/>
      <c r="S1360" s="216"/>
      <c r="T1360" s="216">
        <v>1.0999999999999999E-2</v>
      </c>
      <c r="U1360" s="216">
        <v>6.8000000000000005E-2</v>
      </c>
      <c r="V1360" s="216">
        <v>0.19400000000000001</v>
      </c>
      <c r="W1360" s="216">
        <v>0.28000000000000003</v>
      </c>
      <c r="X1360" s="216">
        <v>0.35599999999999998</v>
      </c>
      <c r="Y1360" s="216">
        <v>9.0999999999999998E-2</v>
      </c>
      <c r="Z1360" s="216"/>
      <c r="AA1360" s="186">
        <f>AVERAGE(0.57,1.12)</f>
        <v>0.84499999999999997</v>
      </c>
      <c r="AB1360" s="192"/>
      <c r="AC1360" s="152"/>
      <c r="AD1360" s="186">
        <f>30.8*(0.3048)</f>
        <v>9.3878400000000006</v>
      </c>
      <c r="AE1360" s="186">
        <f>1.33*(0.3048)</f>
        <v>0.40538400000000002</v>
      </c>
      <c r="AF1360" s="186">
        <f>40.9*(0.3048^2)</f>
        <v>3.7997343360000002</v>
      </c>
      <c r="AG1360" s="186">
        <f>2.72*(0.3048)</f>
        <v>0.82905600000000013</v>
      </c>
      <c r="AH1360" s="336"/>
      <c r="AI1360" s="188"/>
      <c r="AJ1360" s="188"/>
      <c r="AK1360" s="190"/>
      <c r="AL1360" s="189"/>
      <c r="AM1360" s="189"/>
      <c r="AN1360" s="189"/>
      <c r="AO1360" s="189"/>
      <c r="AP1360" s="189"/>
      <c r="AQ1360" s="189"/>
      <c r="AR1360" s="189"/>
      <c r="AS1360" s="189"/>
      <c r="AT1360" s="189"/>
      <c r="AU1360" s="191"/>
      <c r="AV1360" s="191"/>
      <c r="AW1360" s="191"/>
      <c r="AX1360" s="191"/>
      <c r="AY1360" s="191"/>
      <c r="AZ1360" s="189"/>
      <c r="BA1360" s="189"/>
      <c r="BB1360" s="189"/>
      <c r="BC1360" s="189"/>
      <c r="BD1360" s="189"/>
      <c r="BE1360" s="189"/>
      <c r="BF1360" s="189"/>
      <c r="BG1360" s="189"/>
      <c r="BH1360" s="189"/>
      <c r="BI1360" s="190"/>
      <c r="BJ1360" s="190"/>
      <c r="BK1360" s="190"/>
      <c r="BL1360" s="190"/>
      <c r="BM1360" s="190"/>
      <c r="BN1360" s="190"/>
      <c r="BO1360" s="190"/>
      <c r="BP1360" s="190"/>
      <c r="BQ1360" s="190"/>
      <c r="BR1360" s="190"/>
      <c r="BS1360" s="190"/>
      <c r="BT1360" s="190"/>
      <c r="BU1360" s="190"/>
      <c r="BV1360" s="190"/>
      <c r="BW1360" s="190"/>
      <c r="BX1360" s="190"/>
      <c r="BY1360" s="190"/>
      <c r="BZ1360" s="190"/>
      <c r="CA1360" s="189"/>
      <c r="CB1360" s="192"/>
    </row>
    <row r="1361" spans="1:80" x14ac:dyDescent="0.2">
      <c r="A1361" s="152"/>
      <c r="B1361" s="683"/>
      <c r="C1361" s="683"/>
      <c r="D1361" s="698"/>
      <c r="E1361" s="215"/>
      <c r="F1361" s="215"/>
      <c r="G1361" s="153"/>
      <c r="H1361" s="153"/>
      <c r="I1361" s="153"/>
      <c r="J1361" s="153"/>
      <c r="K1361" s="153"/>
      <c r="L1361" s="653"/>
      <c r="M1361" s="654">
        <v>33392</v>
      </c>
      <c r="N1361" s="587">
        <v>4.2196482680000003</v>
      </c>
      <c r="O1361" s="592">
        <v>6.4942070000000001E-3</v>
      </c>
      <c r="P1361" s="216"/>
      <c r="Q1361" s="216"/>
      <c r="R1361" s="216"/>
      <c r="S1361" s="216"/>
      <c r="T1361" s="216">
        <v>2.8000000000000001E-2</v>
      </c>
      <c r="U1361" s="216">
        <v>7.2999999999999995E-2</v>
      </c>
      <c r="V1361" s="216">
        <v>0.19700000000000001</v>
      </c>
      <c r="W1361" s="216">
        <v>0.25800000000000001</v>
      </c>
      <c r="X1361" s="216">
        <v>0.33800000000000002</v>
      </c>
      <c r="Y1361" s="216">
        <v>0.106</v>
      </c>
      <c r="Z1361" s="216"/>
      <c r="AA1361" s="186">
        <f>AVERAGE(0.58,0.67)</f>
        <v>0.625</v>
      </c>
      <c r="AB1361" s="192"/>
      <c r="AC1361" s="152"/>
      <c r="AD1361" s="186">
        <f>30.8*(0.3048)</f>
        <v>9.3878400000000006</v>
      </c>
      <c r="AE1361" s="186">
        <f>1.32*(0.3048)</f>
        <v>0.40233600000000003</v>
      </c>
      <c r="AF1361" s="186">
        <f>40.8*(0.3048^2)</f>
        <v>3.7904440319999999</v>
      </c>
      <c r="AG1361" s="186">
        <f>3.66*(0.3048)</f>
        <v>1.1155680000000001</v>
      </c>
      <c r="AH1361" s="336"/>
      <c r="AI1361" s="188"/>
      <c r="AJ1361" s="188"/>
      <c r="AK1361" s="190"/>
      <c r="AL1361" s="189"/>
      <c r="AM1361" s="189"/>
      <c r="AN1361" s="189"/>
      <c r="AO1361" s="189"/>
      <c r="AP1361" s="189"/>
      <c r="AQ1361" s="189"/>
      <c r="AR1361" s="189"/>
      <c r="AS1361" s="189"/>
      <c r="AT1361" s="189"/>
      <c r="AU1361" s="191"/>
      <c r="AV1361" s="191"/>
      <c r="AW1361" s="191"/>
      <c r="AX1361" s="191"/>
      <c r="AY1361" s="191"/>
      <c r="AZ1361" s="189"/>
      <c r="BA1361" s="189"/>
      <c r="BB1361" s="189"/>
      <c r="BC1361" s="189"/>
      <c r="BD1361" s="189"/>
      <c r="BE1361" s="189"/>
      <c r="BF1361" s="189"/>
      <c r="BG1361" s="189"/>
      <c r="BH1361" s="189"/>
      <c r="BI1361" s="190"/>
      <c r="BJ1361" s="190"/>
      <c r="BK1361" s="190"/>
      <c r="BL1361" s="190"/>
      <c r="BM1361" s="190"/>
      <c r="BN1361" s="190"/>
      <c r="BO1361" s="190"/>
      <c r="BP1361" s="190"/>
      <c r="BQ1361" s="190"/>
      <c r="BR1361" s="190"/>
      <c r="BS1361" s="190"/>
      <c r="BT1361" s="190"/>
      <c r="BU1361" s="190"/>
      <c r="BV1361" s="190"/>
      <c r="BW1361" s="190"/>
      <c r="BX1361" s="190"/>
      <c r="BY1361" s="190"/>
      <c r="BZ1361" s="190"/>
      <c r="CA1361" s="189"/>
      <c r="CB1361" s="192"/>
    </row>
    <row r="1362" spans="1:80" x14ac:dyDescent="0.2">
      <c r="A1362" s="152"/>
      <c r="B1362" s="683"/>
      <c r="C1362" s="683"/>
      <c r="D1362" s="698"/>
      <c r="E1362" s="215"/>
      <c r="F1362" s="215"/>
      <c r="G1362" s="153"/>
      <c r="H1362" s="153"/>
      <c r="I1362" s="153"/>
      <c r="J1362" s="153"/>
      <c r="K1362" s="153"/>
      <c r="L1362" s="653"/>
      <c r="M1362" s="654">
        <v>33392</v>
      </c>
      <c r="N1362" s="587">
        <v>3.9647701849999999</v>
      </c>
      <c r="O1362" s="592">
        <v>1.2074921000000001E-2</v>
      </c>
      <c r="P1362" s="216"/>
      <c r="Q1362" s="216"/>
      <c r="R1362" s="216">
        <v>9.8000000000000004E-2</v>
      </c>
      <c r="S1362" s="216">
        <v>3.7999999999999999E-2</v>
      </c>
      <c r="T1362" s="216">
        <v>3.2000000000000001E-2</v>
      </c>
      <c r="U1362" s="216">
        <v>5.8999999999999997E-2</v>
      </c>
      <c r="V1362" s="216">
        <v>0.16200000000000001</v>
      </c>
      <c r="W1362" s="216">
        <v>0.22700000000000001</v>
      </c>
      <c r="X1362" s="216">
        <v>0.29399999999999998</v>
      </c>
      <c r="Y1362" s="216">
        <v>0.09</v>
      </c>
      <c r="Z1362" s="216"/>
      <c r="AA1362" s="186">
        <f>AVERAGE(0.71,0.76)</f>
        <v>0.73499999999999999</v>
      </c>
      <c r="AB1362" s="192"/>
      <c r="AC1362" s="152"/>
      <c r="AD1362" s="186">
        <f>31.2*(0.3048)</f>
        <v>9.50976</v>
      </c>
      <c r="AE1362" s="186">
        <f>1.35*(0.3048)</f>
        <v>0.41148000000000007</v>
      </c>
      <c r="AF1362" s="186">
        <f>42.2*(0.3048^2)</f>
        <v>3.9205082880000006</v>
      </c>
      <c r="AG1362" s="186">
        <f>3.32*(0.3048)</f>
        <v>1.0119359999999999</v>
      </c>
      <c r="AH1362" s="336"/>
      <c r="AI1362" s="188"/>
      <c r="AJ1362" s="188"/>
      <c r="AK1362" s="190"/>
      <c r="AL1362" s="189"/>
      <c r="AM1362" s="189"/>
      <c r="AN1362" s="189"/>
      <c r="AO1362" s="189"/>
      <c r="AP1362" s="189"/>
      <c r="AQ1362" s="189"/>
      <c r="AR1362" s="189"/>
      <c r="AS1362" s="189"/>
      <c r="AT1362" s="189"/>
      <c r="AU1362" s="191"/>
      <c r="AV1362" s="191"/>
      <c r="AW1362" s="191"/>
      <c r="AX1362" s="191"/>
      <c r="AY1362" s="191"/>
      <c r="AZ1362" s="189"/>
      <c r="BA1362" s="189"/>
      <c r="BB1362" s="189"/>
      <c r="BC1362" s="189"/>
      <c r="BD1362" s="189"/>
      <c r="BE1362" s="189"/>
      <c r="BF1362" s="189"/>
      <c r="BG1362" s="189"/>
      <c r="BH1362" s="189"/>
      <c r="BI1362" s="190"/>
      <c r="BJ1362" s="190"/>
      <c r="BK1362" s="190"/>
      <c r="BL1362" s="190"/>
      <c r="BM1362" s="190"/>
      <c r="BN1362" s="190"/>
      <c r="BO1362" s="190"/>
      <c r="BP1362" s="190"/>
      <c r="BQ1362" s="190"/>
      <c r="BR1362" s="190"/>
      <c r="BS1362" s="190"/>
      <c r="BT1362" s="190"/>
      <c r="BU1362" s="190"/>
      <c r="BV1362" s="190"/>
      <c r="BW1362" s="190"/>
      <c r="BX1362" s="190"/>
      <c r="BY1362" s="190"/>
      <c r="BZ1362" s="190"/>
      <c r="CA1362" s="189"/>
      <c r="CB1362" s="192"/>
    </row>
    <row r="1363" spans="1:80" x14ac:dyDescent="0.2">
      <c r="A1363" s="152"/>
      <c r="B1363" s="683"/>
      <c r="C1363" s="683"/>
      <c r="D1363" s="698"/>
      <c r="E1363" s="215"/>
      <c r="F1363" s="215"/>
      <c r="G1363" s="153"/>
      <c r="H1363" s="153"/>
      <c r="I1363" s="153"/>
      <c r="J1363" s="153"/>
      <c r="K1363" s="153"/>
      <c r="L1363" s="653"/>
      <c r="M1363" s="654">
        <v>33393</v>
      </c>
      <c r="N1363" s="587">
        <v>5.1825210269999999</v>
      </c>
      <c r="O1363" s="592">
        <v>2.6459825999999999E-2</v>
      </c>
      <c r="P1363" s="216"/>
      <c r="Q1363" s="216"/>
      <c r="R1363" s="216"/>
      <c r="S1363" s="216">
        <v>5.1999999999999998E-2</v>
      </c>
      <c r="T1363" s="216">
        <v>0.128</v>
      </c>
      <c r="U1363" s="216">
        <v>0.156</v>
      </c>
      <c r="V1363" s="216">
        <v>0.27900000000000003</v>
      </c>
      <c r="W1363" s="216">
        <v>0.217</v>
      </c>
      <c r="X1363" s="216">
        <v>0.13600000000000001</v>
      </c>
      <c r="Y1363" s="216">
        <v>3.2000000000000001E-2</v>
      </c>
      <c r="Z1363" s="216"/>
      <c r="AA1363" s="186">
        <f>AVERAGE(1.33,5.06)</f>
        <v>3.1949999999999998</v>
      </c>
      <c r="AB1363" s="192"/>
      <c r="AC1363" s="152"/>
      <c r="AD1363" s="186">
        <f>31.6*(0.3048)</f>
        <v>9.6316800000000011</v>
      </c>
      <c r="AE1363" s="186">
        <f>1.4*(0.3048)</f>
        <v>0.42671999999999999</v>
      </c>
      <c r="AF1363" s="186">
        <f>44.2*(0.3048^2)</f>
        <v>4.1063143680000005</v>
      </c>
      <c r="AG1363" s="186">
        <f>4.24*(0.3048)</f>
        <v>1.2923520000000002</v>
      </c>
      <c r="AH1363" s="336"/>
      <c r="AI1363" s="188"/>
      <c r="AJ1363" s="188"/>
      <c r="AK1363" s="190"/>
      <c r="AL1363" s="189"/>
      <c r="AM1363" s="189"/>
      <c r="AN1363" s="189"/>
      <c r="AO1363" s="189"/>
      <c r="AP1363" s="189"/>
      <c r="AQ1363" s="189"/>
      <c r="AR1363" s="189"/>
      <c r="AS1363" s="189"/>
      <c r="AT1363" s="189"/>
      <c r="AU1363" s="191"/>
      <c r="AV1363" s="191"/>
      <c r="AW1363" s="191"/>
      <c r="AX1363" s="191"/>
      <c r="AY1363" s="191"/>
      <c r="AZ1363" s="189"/>
      <c r="BA1363" s="189"/>
      <c r="BB1363" s="189"/>
      <c r="BC1363" s="189"/>
      <c r="BD1363" s="189"/>
      <c r="BE1363" s="189"/>
      <c r="BF1363" s="189"/>
      <c r="BG1363" s="189"/>
      <c r="BH1363" s="189"/>
      <c r="BI1363" s="190"/>
      <c r="BJ1363" s="190"/>
      <c r="BK1363" s="190"/>
      <c r="BL1363" s="190"/>
      <c r="BM1363" s="190"/>
      <c r="BN1363" s="190"/>
      <c r="BO1363" s="190"/>
      <c r="BP1363" s="190"/>
      <c r="BQ1363" s="190"/>
      <c r="BR1363" s="190"/>
      <c r="BS1363" s="190"/>
      <c r="BT1363" s="190"/>
      <c r="BU1363" s="190"/>
      <c r="BV1363" s="190"/>
      <c r="BW1363" s="190"/>
      <c r="BX1363" s="190"/>
      <c r="BY1363" s="190"/>
      <c r="BZ1363" s="190"/>
      <c r="CA1363" s="189"/>
      <c r="CB1363" s="192"/>
    </row>
    <row r="1364" spans="1:80" x14ac:dyDescent="0.2">
      <c r="A1364" s="152"/>
      <c r="B1364" s="683"/>
      <c r="C1364" s="683"/>
      <c r="D1364" s="698"/>
      <c r="E1364" s="215"/>
      <c r="F1364" s="215"/>
      <c r="G1364" s="153"/>
      <c r="H1364" s="153"/>
      <c r="I1364" s="153"/>
      <c r="J1364" s="153"/>
      <c r="K1364" s="153"/>
      <c r="L1364" s="653"/>
      <c r="M1364" s="654">
        <v>33393</v>
      </c>
      <c r="N1364" s="587">
        <v>5.3807595370000003</v>
      </c>
      <c r="O1364" s="592">
        <v>2.1209860000000001E-2</v>
      </c>
      <c r="P1364" s="216"/>
      <c r="Q1364" s="216"/>
      <c r="R1364" s="216"/>
      <c r="S1364" s="216">
        <v>3.3000000000000002E-2</v>
      </c>
      <c r="T1364" s="216">
        <v>0.126</v>
      </c>
      <c r="U1364" s="216">
        <v>0.154</v>
      </c>
      <c r="V1364" s="216">
        <v>0.26</v>
      </c>
      <c r="W1364" s="216">
        <v>0.20100000000000001</v>
      </c>
      <c r="X1364" s="216">
        <v>0.17699999999999999</v>
      </c>
      <c r="Y1364" s="216">
        <v>4.9000000000000002E-2</v>
      </c>
      <c r="Z1364" s="216"/>
      <c r="AA1364" s="186">
        <f>AVERAGE(1.21,1.09)</f>
        <v>1.1499999999999999</v>
      </c>
      <c r="AB1364" s="192"/>
      <c r="AC1364" s="152"/>
      <c r="AD1364" s="186">
        <f>31.6*(0.3048)</f>
        <v>9.6316800000000011</v>
      </c>
      <c r="AE1364" s="186">
        <f>1.37*(0.3048)</f>
        <v>0.41757600000000006</v>
      </c>
      <c r="AF1364" s="186">
        <f>43.3*(0.3048^2)</f>
        <v>4.0227016320000004</v>
      </c>
      <c r="AG1364" s="186">
        <f>4.4*(0.3048)</f>
        <v>1.3411200000000001</v>
      </c>
      <c r="AH1364" s="336"/>
      <c r="AI1364" s="188"/>
      <c r="AJ1364" s="188"/>
      <c r="AK1364" s="190"/>
      <c r="AL1364" s="189"/>
      <c r="AM1364" s="189"/>
      <c r="AN1364" s="189"/>
      <c r="AO1364" s="189"/>
      <c r="AP1364" s="189"/>
      <c r="AQ1364" s="189"/>
      <c r="AR1364" s="189"/>
      <c r="AS1364" s="189"/>
      <c r="AT1364" s="189"/>
      <c r="AU1364" s="191"/>
      <c r="AV1364" s="191"/>
      <c r="AW1364" s="191"/>
      <c r="AX1364" s="191"/>
      <c r="AY1364" s="191"/>
      <c r="AZ1364" s="189"/>
      <c r="BA1364" s="189"/>
      <c r="BB1364" s="189"/>
      <c r="BC1364" s="189"/>
      <c r="BD1364" s="189"/>
      <c r="BE1364" s="189"/>
      <c r="BF1364" s="189"/>
      <c r="BG1364" s="189"/>
      <c r="BH1364" s="189"/>
      <c r="BI1364" s="190"/>
      <c r="BJ1364" s="190"/>
      <c r="BK1364" s="190"/>
      <c r="BL1364" s="190"/>
      <c r="BM1364" s="190"/>
      <c r="BN1364" s="190"/>
      <c r="BO1364" s="190"/>
      <c r="BP1364" s="190"/>
      <c r="BQ1364" s="190"/>
      <c r="BR1364" s="190"/>
      <c r="BS1364" s="190"/>
      <c r="BT1364" s="190"/>
      <c r="BU1364" s="190"/>
      <c r="BV1364" s="190"/>
      <c r="BW1364" s="190"/>
      <c r="BX1364" s="190"/>
      <c r="BY1364" s="190"/>
      <c r="BZ1364" s="190"/>
      <c r="CA1364" s="189"/>
      <c r="CB1364" s="192"/>
    </row>
    <row r="1365" spans="1:80" x14ac:dyDescent="0.2">
      <c r="A1365" s="152"/>
      <c r="B1365" s="683"/>
      <c r="C1365" s="683"/>
      <c r="D1365" s="698"/>
      <c r="E1365" s="215"/>
      <c r="F1365" s="215"/>
      <c r="G1365" s="153"/>
      <c r="H1365" s="153"/>
      <c r="I1365" s="153"/>
      <c r="J1365" s="153"/>
      <c r="K1365" s="153"/>
      <c r="L1365" s="653"/>
      <c r="M1365" s="655">
        <v>33400</v>
      </c>
      <c r="N1365" s="582">
        <v>4.049729546</v>
      </c>
      <c r="O1365" s="584">
        <v>4.2997219999999997E-3</v>
      </c>
      <c r="P1365" s="216"/>
      <c r="Q1365" s="216"/>
      <c r="R1365" s="216"/>
      <c r="S1365" s="216"/>
      <c r="T1365" s="216">
        <v>4.8000000000000001E-2</v>
      </c>
      <c r="U1365" s="216">
        <v>0.111</v>
      </c>
      <c r="V1365" s="216">
        <v>0.25800000000000001</v>
      </c>
      <c r="W1365" s="216">
        <v>0.29099999999999998</v>
      </c>
      <c r="X1365" s="216">
        <v>0.23100000000000001</v>
      </c>
      <c r="Y1365" s="216">
        <v>6.0999999999999999E-2</v>
      </c>
      <c r="Z1365" s="216"/>
      <c r="AA1365" s="186">
        <f>AVERAGE(0.83,0.91)</f>
        <v>0.87</v>
      </c>
      <c r="AB1365" s="192"/>
      <c r="AC1365" s="152"/>
      <c r="AD1365" s="186">
        <f>30.6*(0.3048)</f>
        <v>9.3268800000000009</v>
      </c>
      <c r="AE1365" s="186">
        <f>1.22*(0.3048)</f>
        <v>0.37185600000000002</v>
      </c>
      <c r="AF1365" s="186">
        <f>37.4*(0.3048^2)</f>
        <v>3.4745736960000002</v>
      </c>
      <c r="AG1365" s="186">
        <f>3.83*(0.3048)</f>
        <v>1.167384</v>
      </c>
      <c r="AH1365" s="336"/>
      <c r="AI1365" s="188"/>
      <c r="AJ1365" s="188"/>
      <c r="AK1365" s="190"/>
      <c r="AL1365" s="189"/>
      <c r="AM1365" s="189"/>
      <c r="AN1365" s="189"/>
      <c r="AO1365" s="189"/>
      <c r="AP1365" s="189"/>
      <c r="AQ1365" s="189"/>
      <c r="AR1365" s="189"/>
      <c r="AS1365" s="189"/>
      <c r="AT1365" s="189"/>
      <c r="AU1365" s="191"/>
      <c r="AV1365" s="191"/>
      <c r="AW1365" s="191"/>
      <c r="AX1365" s="191"/>
      <c r="AY1365" s="191"/>
      <c r="AZ1365" s="189"/>
      <c r="BA1365" s="189"/>
      <c r="BB1365" s="189"/>
      <c r="BC1365" s="189"/>
      <c r="BD1365" s="189"/>
      <c r="BE1365" s="189"/>
      <c r="BF1365" s="189"/>
      <c r="BG1365" s="189"/>
      <c r="BH1365" s="189"/>
      <c r="BI1365" s="190"/>
      <c r="BJ1365" s="190"/>
      <c r="BK1365" s="190"/>
      <c r="BL1365" s="190"/>
      <c r="BM1365" s="190"/>
      <c r="BN1365" s="190"/>
      <c r="BO1365" s="190"/>
      <c r="BP1365" s="190"/>
      <c r="BQ1365" s="190"/>
      <c r="BR1365" s="190"/>
      <c r="BS1365" s="190"/>
      <c r="BT1365" s="190"/>
      <c r="BU1365" s="190"/>
      <c r="BV1365" s="190"/>
      <c r="BW1365" s="190"/>
      <c r="BX1365" s="190"/>
      <c r="BY1365" s="190"/>
      <c r="BZ1365" s="190"/>
      <c r="CA1365" s="189"/>
      <c r="CB1365" s="192"/>
    </row>
    <row r="1366" spans="1:80" x14ac:dyDescent="0.2">
      <c r="A1366" s="152"/>
      <c r="B1366" s="683"/>
      <c r="C1366" s="683"/>
      <c r="D1366" s="698"/>
      <c r="E1366" s="215"/>
      <c r="F1366" s="215"/>
      <c r="G1366" s="153"/>
      <c r="H1366" s="153"/>
      <c r="I1366" s="153"/>
      <c r="J1366" s="153"/>
      <c r="K1366" s="153"/>
      <c r="L1366" s="653"/>
      <c r="M1366" s="655">
        <v>33400</v>
      </c>
      <c r="N1366" s="582">
        <v>4.049729546</v>
      </c>
      <c r="O1366" s="584">
        <v>5.8642119999999997E-3</v>
      </c>
      <c r="P1366" s="216"/>
      <c r="Q1366" s="216"/>
      <c r="R1366" s="216"/>
      <c r="S1366" s="216">
        <v>0.111</v>
      </c>
      <c r="T1366" s="216">
        <v>0.107</v>
      </c>
      <c r="U1366" s="216">
        <v>0.17299999999999999</v>
      </c>
      <c r="V1366" s="216">
        <v>0.315</v>
      </c>
      <c r="W1366" s="216">
        <v>0.17699999999999999</v>
      </c>
      <c r="X1366" s="216">
        <v>9.4E-2</v>
      </c>
      <c r="Y1366" s="216">
        <v>2.3E-2</v>
      </c>
      <c r="Z1366" s="216"/>
      <c r="AA1366" s="186">
        <f>AVERAGE(1.58,0.95)</f>
        <v>1.2650000000000001</v>
      </c>
      <c r="AB1366" s="192"/>
      <c r="AC1366" s="152"/>
      <c r="AD1366" s="186">
        <v>9.33</v>
      </c>
      <c r="AE1366" s="186">
        <f>1.22*(0.3048)</f>
        <v>0.37185600000000002</v>
      </c>
      <c r="AF1366" s="186">
        <f>37.4*(0.3048^2)</f>
        <v>3.4745736960000002</v>
      </c>
      <c r="AG1366" s="186">
        <f>3.83*(0.3048)</f>
        <v>1.167384</v>
      </c>
      <c r="AH1366" s="336"/>
      <c r="AI1366" s="188"/>
      <c r="AJ1366" s="188"/>
      <c r="AK1366" s="190"/>
      <c r="AL1366" s="189"/>
      <c r="AM1366" s="189"/>
      <c r="AN1366" s="189"/>
      <c r="AO1366" s="189"/>
      <c r="AP1366" s="189"/>
      <c r="AQ1366" s="189"/>
      <c r="AR1366" s="189"/>
      <c r="AS1366" s="189"/>
      <c r="AT1366" s="189"/>
      <c r="AU1366" s="191"/>
      <c r="AV1366" s="191"/>
      <c r="AW1366" s="191"/>
      <c r="AX1366" s="191"/>
      <c r="AY1366" s="191"/>
      <c r="AZ1366" s="189"/>
      <c r="BA1366" s="189"/>
      <c r="BB1366" s="189"/>
      <c r="BC1366" s="189"/>
      <c r="BD1366" s="189"/>
      <c r="BE1366" s="189"/>
      <c r="BF1366" s="189"/>
      <c r="BG1366" s="189"/>
      <c r="BH1366" s="189"/>
      <c r="BI1366" s="190"/>
      <c r="BJ1366" s="190"/>
      <c r="BK1366" s="190"/>
      <c r="BL1366" s="190"/>
      <c r="BM1366" s="190"/>
      <c r="BN1366" s="190"/>
      <c r="BO1366" s="190"/>
      <c r="BP1366" s="190"/>
      <c r="BQ1366" s="190"/>
      <c r="BR1366" s="190"/>
      <c r="BS1366" s="190"/>
      <c r="BT1366" s="190"/>
      <c r="BU1366" s="190"/>
      <c r="BV1366" s="190"/>
      <c r="BW1366" s="190"/>
      <c r="BX1366" s="190"/>
      <c r="BY1366" s="190"/>
      <c r="BZ1366" s="190"/>
      <c r="CA1366" s="189"/>
      <c r="CB1366" s="192"/>
    </row>
    <row r="1367" spans="1:80" x14ac:dyDescent="0.2">
      <c r="A1367" s="152"/>
      <c r="B1367" s="683"/>
      <c r="C1367" s="683"/>
      <c r="D1367" s="698"/>
      <c r="E1367" s="215"/>
      <c r="F1367" s="215"/>
      <c r="G1367" s="153"/>
      <c r="H1367" s="153"/>
      <c r="I1367" s="153"/>
      <c r="J1367" s="153"/>
      <c r="K1367" s="153"/>
      <c r="L1367" s="653"/>
      <c r="M1367" s="654">
        <v>33400</v>
      </c>
      <c r="N1367" s="587">
        <v>4.0780493330000001</v>
      </c>
      <c r="O1367" s="592">
        <v>5.0872169999999998E-3</v>
      </c>
      <c r="P1367" s="216"/>
      <c r="Q1367" s="216"/>
      <c r="R1367" s="216"/>
      <c r="S1367" s="216">
        <v>0.17100000000000001</v>
      </c>
      <c r="T1367" s="216">
        <v>0.128</v>
      </c>
      <c r="U1367" s="216">
        <v>0.10199999999999999</v>
      </c>
      <c r="V1367" s="216">
        <v>0.17699999999999999</v>
      </c>
      <c r="W1367" s="216">
        <v>0.193</v>
      </c>
      <c r="X1367" s="216">
        <v>0.183</v>
      </c>
      <c r="Y1367" s="216">
        <v>4.5999999999999999E-2</v>
      </c>
      <c r="Z1367" s="216"/>
      <c r="AA1367" s="186">
        <f>AVERAGE(1.36,0.9)</f>
        <v>1.1300000000000001</v>
      </c>
      <c r="AB1367" s="192"/>
      <c r="AC1367" s="152"/>
      <c r="AD1367" s="186">
        <f>30.6*(0.3048)</f>
        <v>9.3268800000000009</v>
      </c>
      <c r="AE1367" s="186">
        <f>1.25*(0.3048)</f>
        <v>0.38100000000000001</v>
      </c>
      <c r="AF1367" s="186">
        <f>38.3*(0.3048^2)</f>
        <v>3.5581864319999998</v>
      </c>
      <c r="AG1367" s="186">
        <f>3.76*(0.3048)</f>
        <v>1.146048</v>
      </c>
      <c r="AH1367" s="336"/>
      <c r="AI1367" s="188"/>
      <c r="AJ1367" s="188"/>
      <c r="AK1367" s="190"/>
      <c r="AL1367" s="189"/>
      <c r="AM1367" s="189"/>
      <c r="AN1367" s="189"/>
      <c r="AO1367" s="189"/>
      <c r="AP1367" s="189"/>
      <c r="AQ1367" s="189"/>
      <c r="AR1367" s="189"/>
      <c r="AS1367" s="189"/>
      <c r="AT1367" s="189"/>
      <c r="AU1367" s="191"/>
      <c r="AV1367" s="191"/>
      <c r="AW1367" s="191"/>
      <c r="AX1367" s="191"/>
      <c r="AY1367" s="191"/>
      <c r="AZ1367" s="189"/>
      <c r="BA1367" s="189"/>
      <c r="BB1367" s="189"/>
      <c r="BC1367" s="189"/>
      <c r="BD1367" s="189"/>
      <c r="BE1367" s="189"/>
      <c r="BF1367" s="189"/>
      <c r="BG1367" s="189"/>
      <c r="BH1367" s="189"/>
      <c r="BI1367" s="190"/>
      <c r="BJ1367" s="190"/>
      <c r="BK1367" s="190"/>
      <c r="BL1367" s="190"/>
      <c r="BM1367" s="190"/>
      <c r="BN1367" s="190"/>
      <c r="BO1367" s="190"/>
      <c r="BP1367" s="190"/>
      <c r="BQ1367" s="190"/>
      <c r="BR1367" s="190"/>
      <c r="BS1367" s="190"/>
      <c r="BT1367" s="190"/>
      <c r="BU1367" s="190"/>
      <c r="BV1367" s="190"/>
      <c r="BW1367" s="190"/>
      <c r="BX1367" s="190"/>
      <c r="BY1367" s="190"/>
      <c r="BZ1367" s="190"/>
      <c r="CA1367" s="189"/>
      <c r="CB1367" s="192"/>
    </row>
    <row r="1368" spans="1:80" x14ac:dyDescent="0.2">
      <c r="A1368" s="152"/>
      <c r="B1368" s="683"/>
      <c r="C1368" s="683"/>
      <c r="D1368" s="698"/>
      <c r="E1368" s="215"/>
      <c r="F1368" s="215"/>
      <c r="G1368" s="153"/>
      <c r="H1368" s="153"/>
      <c r="I1368" s="153"/>
      <c r="J1368" s="153"/>
      <c r="K1368" s="153"/>
      <c r="L1368" s="653"/>
      <c r="M1368" s="654">
        <v>33400</v>
      </c>
      <c r="N1368" s="587">
        <v>4.4745263519999998</v>
      </c>
      <c r="O1368" s="592">
        <v>4.6094700000000001E-3</v>
      </c>
      <c r="P1368" s="216"/>
      <c r="Q1368" s="216"/>
      <c r="R1368" s="216">
        <v>0.22700000000000001</v>
      </c>
      <c r="S1368" s="216">
        <v>0</v>
      </c>
      <c r="T1368" s="216">
        <v>3.3000000000000002E-2</v>
      </c>
      <c r="U1368" s="216">
        <v>6.5000000000000002E-2</v>
      </c>
      <c r="V1368" s="216">
        <v>0.191</v>
      </c>
      <c r="W1368" s="216">
        <v>0.23100000000000001</v>
      </c>
      <c r="X1368" s="216">
        <v>0.19900000000000001</v>
      </c>
      <c r="Y1368" s="216">
        <v>5.3999999999999999E-2</v>
      </c>
      <c r="Z1368" s="216"/>
      <c r="AA1368" s="186">
        <f>AVERAGE(1.06,0.64)</f>
        <v>0.85000000000000009</v>
      </c>
      <c r="AB1368" s="192"/>
      <c r="AC1368" s="152"/>
      <c r="AD1368" s="186">
        <f>30.8*(0.3048)</f>
        <v>9.3878400000000006</v>
      </c>
      <c r="AE1368" s="186">
        <f>1.29*(0.3048)</f>
        <v>0.39319200000000004</v>
      </c>
      <c r="AF1368" s="186">
        <f>39.8*(0.3048^2)</f>
        <v>3.697540992</v>
      </c>
      <c r="AG1368" s="186">
        <f>3.96*(0.3048)</f>
        <v>1.2070080000000001</v>
      </c>
      <c r="AH1368" s="336"/>
      <c r="AI1368" s="188"/>
      <c r="AJ1368" s="188"/>
      <c r="AK1368" s="190"/>
      <c r="AL1368" s="189"/>
      <c r="AM1368" s="189"/>
      <c r="AN1368" s="189"/>
      <c r="AO1368" s="189"/>
      <c r="AP1368" s="189"/>
      <c r="AQ1368" s="189"/>
      <c r="AR1368" s="189"/>
      <c r="AS1368" s="189"/>
      <c r="AT1368" s="189"/>
      <c r="AU1368" s="191"/>
      <c r="AV1368" s="191"/>
      <c r="AW1368" s="191"/>
      <c r="AX1368" s="191"/>
      <c r="AY1368" s="191"/>
      <c r="AZ1368" s="189"/>
      <c r="BA1368" s="189"/>
      <c r="BB1368" s="189"/>
      <c r="BC1368" s="189"/>
      <c r="BD1368" s="189"/>
      <c r="BE1368" s="189"/>
      <c r="BF1368" s="189"/>
      <c r="BG1368" s="189"/>
      <c r="BH1368" s="189"/>
      <c r="BI1368" s="190"/>
      <c r="BJ1368" s="190"/>
      <c r="BK1368" s="190"/>
      <c r="BL1368" s="190"/>
      <c r="BM1368" s="190"/>
      <c r="BN1368" s="190"/>
      <c r="BO1368" s="190"/>
      <c r="BP1368" s="190"/>
      <c r="BQ1368" s="190"/>
      <c r="BR1368" s="190"/>
      <c r="BS1368" s="190"/>
      <c r="BT1368" s="190"/>
      <c r="BU1368" s="190"/>
      <c r="BV1368" s="190"/>
      <c r="BW1368" s="190"/>
      <c r="BX1368" s="190"/>
      <c r="BY1368" s="190"/>
      <c r="BZ1368" s="190"/>
      <c r="CA1368" s="189"/>
      <c r="CB1368" s="192"/>
    </row>
    <row r="1369" spans="1:80" x14ac:dyDescent="0.2">
      <c r="A1369" s="152"/>
      <c r="B1369" s="683"/>
      <c r="C1369" s="683"/>
      <c r="D1369" s="698"/>
      <c r="E1369" s="215"/>
      <c r="F1369" s="215"/>
      <c r="G1369" s="153"/>
      <c r="H1369" s="153"/>
      <c r="I1369" s="153"/>
      <c r="J1369" s="153"/>
      <c r="K1369" s="153"/>
      <c r="L1369" s="653"/>
      <c r="M1369" s="654">
        <v>33401</v>
      </c>
      <c r="N1369" s="587">
        <v>4.2479680550000003</v>
      </c>
      <c r="O1369" s="592">
        <v>9.5391880000000005E-3</v>
      </c>
      <c r="P1369" s="216"/>
      <c r="Q1369" s="216"/>
      <c r="R1369" s="216"/>
      <c r="S1369" s="216">
        <v>0.02</v>
      </c>
      <c r="T1369" s="216">
        <v>8.5000000000000006E-2</v>
      </c>
      <c r="U1369" s="216">
        <v>0.20200000000000001</v>
      </c>
      <c r="V1369" s="216">
        <v>0.33600000000000002</v>
      </c>
      <c r="W1369" s="216">
        <v>0.20899999999999999</v>
      </c>
      <c r="X1369" s="216">
        <v>0.11700000000000001</v>
      </c>
      <c r="Y1369" s="216">
        <v>3.1E-2</v>
      </c>
      <c r="Z1369" s="216"/>
      <c r="AA1369" s="186">
        <f>AVERAGE(1.34,1.28)</f>
        <v>1.31</v>
      </c>
      <c r="AB1369" s="192"/>
      <c r="AC1369" s="152"/>
      <c r="AD1369" s="186">
        <f>30.6*(0.3048)</f>
        <v>9.3268800000000009</v>
      </c>
      <c r="AE1369" s="186">
        <f>1.26*(0.3048)</f>
        <v>0.384048</v>
      </c>
      <c r="AF1369" s="186">
        <f>38.5*(0.3048^2)</f>
        <v>3.5767670400000005</v>
      </c>
      <c r="AG1369" s="186">
        <f>3.89*(0.3048)</f>
        <v>1.1856720000000001</v>
      </c>
      <c r="AH1369" s="336"/>
      <c r="AI1369" s="188"/>
      <c r="AJ1369" s="188"/>
      <c r="AK1369" s="190"/>
      <c r="AL1369" s="189"/>
      <c r="AM1369" s="189"/>
      <c r="AN1369" s="189"/>
      <c r="AO1369" s="189"/>
      <c r="AP1369" s="189"/>
      <c r="AQ1369" s="189"/>
      <c r="AR1369" s="189"/>
      <c r="AS1369" s="189"/>
      <c r="AT1369" s="189"/>
      <c r="AU1369" s="191"/>
      <c r="AV1369" s="191"/>
      <c r="AW1369" s="191"/>
      <c r="AX1369" s="191"/>
      <c r="AY1369" s="191"/>
      <c r="AZ1369" s="189"/>
      <c r="BA1369" s="189"/>
      <c r="BB1369" s="189"/>
      <c r="BC1369" s="189"/>
      <c r="BD1369" s="189"/>
      <c r="BE1369" s="189"/>
      <c r="BF1369" s="189"/>
      <c r="BG1369" s="189"/>
      <c r="BH1369" s="189"/>
      <c r="BI1369" s="190"/>
      <c r="BJ1369" s="190"/>
      <c r="BK1369" s="190"/>
      <c r="BL1369" s="190"/>
      <c r="BM1369" s="190"/>
      <c r="BN1369" s="190"/>
      <c r="BO1369" s="190"/>
      <c r="BP1369" s="190"/>
      <c r="BQ1369" s="190"/>
      <c r="BR1369" s="190"/>
      <c r="BS1369" s="190"/>
      <c r="BT1369" s="190"/>
      <c r="BU1369" s="190"/>
      <c r="BV1369" s="190"/>
      <c r="BW1369" s="190"/>
      <c r="BX1369" s="190"/>
      <c r="BY1369" s="190"/>
      <c r="BZ1369" s="190"/>
      <c r="CA1369" s="189"/>
      <c r="CB1369" s="192"/>
    </row>
    <row r="1370" spans="1:80" x14ac:dyDescent="0.2">
      <c r="A1370" s="152"/>
      <c r="B1370" s="683"/>
      <c r="C1370" s="683"/>
      <c r="D1370" s="698"/>
      <c r="E1370" s="215"/>
      <c r="F1370" s="215"/>
      <c r="G1370" s="153"/>
      <c r="H1370" s="153"/>
      <c r="I1370" s="153"/>
      <c r="J1370" s="153"/>
      <c r="K1370" s="153"/>
      <c r="L1370" s="653"/>
      <c r="M1370" s="654">
        <v>33401</v>
      </c>
      <c r="N1370" s="587">
        <v>3.9364503979999999</v>
      </c>
      <c r="O1370" s="592">
        <v>8.5889439999999994E-3</v>
      </c>
      <c r="P1370" s="216"/>
      <c r="Q1370" s="216"/>
      <c r="R1370" s="216">
        <v>0.45800000000000002</v>
      </c>
      <c r="S1370" s="216">
        <v>0.104</v>
      </c>
      <c r="T1370" s="216">
        <v>9.7000000000000003E-2</v>
      </c>
      <c r="U1370" s="216">
        <v>5.8999999999999997E-2</v>
      </c>
      <c r="V1370" s="216">
        <v>0.10100000000000001</v>
      </c>
      <c r="W1370" s="216">
        <v>9.6000000000000002E-2</v>
      </c>
      <c r="X1370" s="216">
        <v>6.6000000000000003E-2</v>
      </c>
      <c r="Y1370" s="216">
        <v>1.9E-2</v>
      </c>
      <c r="Z1370" s="216"/>
      <c r="AA1370" s="186">
        <f>AVERAGE(12.1,1.06)</f>
        <v>6.58</v>
      </c>
      <c r="AB1370" s="192"/>
      <c r="AC1370" s="152"/>
      <c r="AD1370" s="186">
        <f>30.6*(0.3048)</f>
        <v>9.3268800000000009</v>
      </c>
      <c r="AE1370" s="186">
        <f>1.25*(0.3048)</f>
        <v>0.38100000000000001</v>
      </c>
      <c r="AF1370" s="186">
        <f>38.3*(0.3048^2)</f>
        <v>3.5581864319999998</v>
      </c>
      <c r="AG1370" s="186">
        <f>3.64*(0.3048)</f>
        <v>1.109472</v>
      </c>
      <c r="AH1370" s="336"/>
      <c r="AI1370" s="188"/>
      <c r="AJ1370" s="188"/>
      <c r="AK1370" s="190"/>
      <c r="AL1370" s="189"/>
      <c r="AM1370" s="189"/>
      <c r="AN1370" s="189"/>
      <c r="AO1370" s="189"/>
      <c r="AP1370" s="189"/>
      <c r="AQ1370" s="189"/>
      <c r="AR1370" s="189"/>
      <c r="AS1370" s="189"/>
      <c r="AT1370" s="189"/>
      <c r="AU1370" s="191"/>
      <c r="AV1370" s="191"/>
      <c r="AW1370" s="191"/>
      <c r="AX1370" s="191"/>
      <c r="AY1370" s="191"/>
      <c r="AZ1370" s="189"/>
      <c r="BA1370" s="189"/>
      <c r="BB1370" s="189"/>
      <c r="BC1370" s="189"/>
      <c r="BD1370" s="189"/>
      <c r="BE1370" s="189"/>
      <c r="BF1370" s="189"/>
      <c r="BG1370" s="189"/>
      <c r="BH1370" s="189"/>
      <c r="BI1370" s="190"/>
      <c r="BJ1370" s="190"/>
      <c r="BK1370" s="190"/>
      <c r="BL1370" s="190"/>
      <c r="BM1370" s="190"/>
      <c r="BN1370" s="190"/>
      <c r="BO1370" s="190"/>
      <c r="BP1370" s="190"/>
      <c r="BQ1370" s="190"/>
      <c r="BR1370" s="190"/>
      <c r="BS1370" s="190"/>
      <c r="BT1370" s="190"/>
      <c r="BU1370" s="190"/>
      <c r="BV1370" s="190"/>
      <c r="BW1370" s="190"/>
      <c r="BX1370" s="190"/>
      <c r="BY1370" s="190"/>
      <c r="BZ1370" s="190"/>
      <c r="CA1370" s="189"/>
      <c r="CB1370" s="192"/>
    </row>
    <row r="1371" spans="1:80" x14ac:dyDescent="0.2">
      <c r="A1371" s="152"/>
      <c r="B1371" s="683"/>
      <c r="C1371" s="683"/>
      <c r="D1371" s="698"/>
      <c r="E1371" s="215"/>
      <c r="F1371" s="215"/>
      <c r="G1371" s="153"/>
      <c r="H1371" s="153"/>
      <c r="I1371" s="153"/>
      <c r="J1371" s="153"/>
      <c r="K1371" s="153"/>
      <c r="L1371" s="653"/>
      <c r="M1371" s="654">
        <v>33401</v>
      </c>
      <c r="N1371" s="587">
        <v>4.1913284810000002</v>
      </c>
      <c r="O1371" s="592">
        <v>4.9979669999999999E-3</v>
      </c>
      <c r="P1371" s="216"/>
      <c r="Q1371" s="216"/>
      <c r="R1371" s="216"/>
      <c r="S1371" s="216"/>
      <c r="T1371" s="216">
        <v>4.5999999999999999E-2</v>
      </c>
      <c r="U1371" s="216">
        <v>7.5999999999999998E-2</v>
      </c>
      <c r="V1371" s="216">
        <v>0.27300000000000002</v>
      </c>
      <c r="W1371" s="216">
        <v>0.28000000000000003</v>
      </c>
      <c r="X1371" s="216">
        <v>0.246</v>
      </c>
      <c r="Y1371" s="216">
        <v>7.9000000000000001E-2</v>
      </c>
      <c r="Z1371" s="216"/>
      <c r="AA1371" s="186">
        <f>AVERAGE(0.77,1.13)</f>
        <v>0.95</v>
      </c>
      <c r="AB1371" s="192"/>
      <c r="AC1371" s="152"/>
      <c r="AD1371" s="186">
        <f>30.6*(0.3048)</f>
        <v>9.3268800000000009</v>
      </c>
      <c r="AE1371" s="186">
        <f>1.25*(0.3048)</f>
        <v>0.38100000000000001</v>
      </c>
      <c r="AF1371" s="186">
        <f>38.2*(0.3048^2)</f>
        <v>3.5488961280000004</v>
      </c>
      <c r="AG1371" s="186">
        <f>3.88*(0.3048)</f>
        <v>1.1826240000000001</v>
      </c>
      <c r="AH1371" s="336"/>
      <c r="AI1371" s="188"/>
      <c r="AJ1371" s="188"/>
      <c r="AK1371" s="190"/>
      <c r="AL1371" s="189"/>
      <c r="AM1371" s="189"/>
      <c r="AN1371" s="189"/>
      <c r="AO1371" s="189"/>
      <c r="AP1371" s="189"/>
      <c r="AQ1371" s="189"/>
      <c r="AR1371" s="189"/>
      <c r="AS1371" s="189"/>
      <c r="AT1371" s="189"/>
      <c r="AU1371" s="191"/>
      <c r="AV1371" s="191"/>
      <c r="AW1371" s="191"/>
      <c r="AX1371" s="191"/>
      <c r="AY1371" s="191"/>
      <c r="AZ1371" s="189"/>
      <c r="BA1371" s="189"/>
      <c r="BB1371" s="189"/>
      <c r="BC1371" s="189"/>
      <c r="BD1371" s="189"/>
      <c r="BE1371" s="189"/>
      <c r="BF1371" s="189"/>
      <c r="BG1371" s="189"/>
      <c r="BH1371" s="189"/>
      <c r="BI1371" s="190"/>
      <c r="BJ1371" s="190"/>
      <c r="BK1371" s="190"/>
      <c r="BL1371" s="190"/>
      <c r="BM1371" s="190"/>
      <c r="BN1371" s="190"/>
      <c r="BO1371" s="190"/>
      <c r="BP1371" s="190"/>
      <c r="BQ1371" s="190"/>
      <c r="BR1371" s="190"/>
      <c r="BS1371" s="190"/>
      <c r="BT1371" s="190"/>
      <c r="BU1371" s="190"/>
      <c r="BV1371" s="190"/>
      <c r="BW1371" s="190"/>
      <c r="BX1371" s="190"/>
      <c r="BY1371" s="190"/>
      <c r="BZ1371" s="190"/>
      <c r="CA1371" s="189"/>
      <c r="CB1371" s="192"/>
    </row>
    <row r="1372" spans="1:80" x14ac:dyDescent="0.2">
      <c r="A1372" s="152"/>
      <c r="B1372" s="683"/>
      <c r="C1372" s="683"/>
      <c r="D1372" s="698"/>
      <c r="E1372" s="215"/>
      <c r="F1372" s="215"/>
      <c r="G1372" s="153"/>
      <c r="H1372" s="153"/>
      <c r="I1372" s="153"/>
      <c r="J1372" s="153"/>
      <c r="K1372" s="153"/>
      <c r="L1372" s="653"/>
      <c r="M1372" s="654">
        <v>33401</v>
      </c>
      <c r="N1372" s="587">
        <v>4.3612472029999996</v>
      </c>
      <c r="O1372" s="592">
        <v>7.1557030000000002E-3</v>
      </c>
      <c r="P1372" s="216"/>
      <c r="Q1372" s="216"/>
      <c r="R1372" s="216"/>
      <c r="S1372" s="216">
        <v>7.4999999999999997E-2</v>
      </c>
      <c r="T1372" s="216">
        <v>0.153</v>
      </c>
      <c r="U1372" s="216">
        <v>0.16300000000000001</v>
      </c>
      <c r="V1372" s="216">
        <v>0.23799999999999999</v>
      </c>
      <c r="W1372" s="216">
        <v>0.20200000000000001</v>
      </c>
      <c r="X1372" s="216">
        <v>0.13400000000000001</v>
      </c>
      <c r="Y1372" s="216">
        <v>3.5000000000000003E-2</v>
      </c>
      <c r="Z1372" s="216"/>
      <c r="AA1372" s="186">
        <f>AVERAGE(1.46,0.79)</f>
        <v>1.125</v>
      </c>
      <c r="AB1372" s="192"/>
      <c r="AC1372" s="152"/>
      <c r="AD1372" s="186">
        <f>30.6*(0.3048)</f>
        <v>9.3268800000000009</v>
      </c>
      <c r="AE1372" s="186">
        <f>1.3*(0.3048)</f>
        <v>0.39624000000000004</v>
      </c>
      <c r="AF1372" s="186">
        <f>39.8*(0.3048^2)</f>
        <v>3.697540992</v>
      </c>
      <c r="AG1372" s="186">
        <f>3.88*(0.3048)</f>
        <v>1.1826240000000001</v>
      </c>
      <c r="AH1372" s="336"/>
      <c r="AI1372" s="188"/>
      <c r="AJ1372" s="188"/>
      <c r="AK1372" s="190"/>
      <c r="AL1372" s="189"/>
      <c r="AM1372" s="189"/>
      <c r="AN1372" s="189"/>
      <c r="AO1372" s="189"/>
      <c r="AP1372" s="189"/>
      <c r="AQ1372" s="189"/>
      <c r="AR1372" s="189"/>
      <c r="AS1372" s="189"/>
      <c r="AT1372" s="189"/>
      <c r="AU1372" s="191"/>
      <c r="AV1372" s="191"/>
      <c r="AW1372" s="191"/>
      <c r="AX1372" s="191"/>
      <c r="AY1372" s="191"/>
      <c r="AZ1372" s="189"/>
      <c r="BA1372" s="189"/>
      <c r="BB1372" s="189"/>
      <c r="BC1372" s="189"/>
      <c r="BD1372" s="189"/>
      <c r="BE1372" s="189"/>
      <c r="BF1372" s="189"/>
      <c r="BG1372" s="189"/>
      <c r="BH1372" s="189"/>
      <c r="BI1372" s="190"/>
      <c r="BJ1372" s="190"/>
      <c r="BK1372" s="190"/>
      <c r="BL1372" s="190"/>
      <c r="BM1372" s="190"/>
      <c r="BN1372" s="190"/>
      <c r="BO1372" s="190"/>
      <c r="BP1372" s="190"/>
      <c r="BQ1372" s="190"/>
      <c r="BR1372" s="190"/>
      <c r="BS1372" s="190"/>
      <c r="BT1372" s="190"/>
      <c r="BU1372" s="190"/>
      <c r="BV1372" s="190"/>
      <c r="BW1372" s="190"/>
      <c r="BX1372" s="190"/>
      <c r="BY1372" s="190"/>
      <c r="BZ1372" s="190"/>
      <c r="CA1372" s="189"/>
      <c r="CB1372" s="192"/>
    </row>
    <row r="1373" spans="1:80" x14ac:dyDescent="0.2">
      <c r="A1373" s="152"/>
      <c r="B1373" s="683"/>
      <c r="C1373" s="683"/>
      <c r="D1373" s="698"/>
      <c r="E1373" s="215"/>
      <c r="F1373" s="215"/>
      <c r="G1373" s="153"/>
      <c r="H1373" s="153"/>
      <c r="I1373" s="153"/>
      <c r="J1373" s="153"/>
      <c r="K1373" s="153"/>
      <c r="L1373" s="653"/>
      <c r="M1373" s="654">
        <v>33401</v>
      </c>
      <c r="N1373" s="587">
        <v>4.5028461389999999</v>
      </c>
      <c r="O1373" s="592">
        <v>6.3157090000000001E-3</v>
      </c>
      <c r="P1373" s="216"/>
      <c r="Q1373" s="216"/>
      <c r="R1373" s="216"/>
      <c r="S1373" s="216"/>
      <c r="T1373" s="216">
        <v>5.2999999999999999E-2</v>
      </c>
      <c r="U1373" s="216">
        <v>9.6000000000000002E-2</v>
      </c>
      <c r="V1373" s="216">
        <v>0.25600000000000001</v>
      </c>
      <c r="W1373" s="216">
        <v>0.28399999999999997</v>
      </c>
      <c r="X1373" s="216">
        <v>0.248</v>
      </c>
      <c r="Y1373" s="216">
        <v>6.3E-2</v>
      </c>
      <c r="Z1373" s="216"/>
      <c r="AA1373" s="186">
        <f>AVERAGE(0.8,0.6)</f>
        <v>0.7</v>
      </c>
      <c r="AB1373" s="192"/>
      <c r="AC1373" s="152"/>
      <c r="AD1373" s="186">
        <f>30.8*(0.3048)</f>
        <v>9.3878400000000006</v>
      </c>
      <c r="AE1373" s="186">
        <f>1.34*(0.3048)</f>
        <v>0.40843200000000002</v>
      </c>
      <c r="AF1373" s="186">
        <f>41.3*(0.3048^2)</f>
        <v>3.8368955520000001</v>
      </c>
      <c r="AG1373" s="186">
        <f>3.84*(0.3048)</f>
        <v>1.1704319999999999</v>
      </c>
      <c r="AH1373" s="336"/>
      <c r="AI1373" s="188"/>
      <c r="AJ1373" s="188"/>
      <c r="AK1373" s="190"/>
      <c r="AL1373" s="189"/>
      <c r="AM1373" s="189"/>
      <c r="AN1373" s="189"/>
      <c r="AO1373" s="189"/>
      <c r="AP1373" s="189"/>
      <c r="AQ1373" s="189"/>
      <c r="AR1373" s="189"/>
      <c r="AS1373" s="189"/>
      <c r="AT1373" s="189"/>
      <c r="AU1373" s="191"/>
      <c r="AV1373" s="191"/>
      <c r="AW1373" s="191"/>
      <c r="AX1373" s="191"/>
      <c r="AY1373" s="191"/>
      <c r="AZ1373" s="189"/>
      <c r="BA1373" s="189"/>
      <c r="BB1373" s="189"/>
      <c r="BC1373" s="189"/>
      <c r="BD1373" s="189"/>
      <c r="BE1373" s="189"/>
      <c r="BF1373" s="189"/>
      <c r="BG1373" s="189"/>
      <c r="BH1373" s="189"/>
      <c r="BI1373" s="190"/>
      <c r="BJ1373" s="190"/>
      <c r="BK1373" s="190"/>
      <c r="BL1373" s="190"/>
      <c r="BM1373" s="190"/>
      <c r="BN1373" s="190"/>
      <c r="BO1373" s="190"/>
      <c r="BP1373" s="190"/>
      <c r="BQ1373" s="190"/>
      <c r="BR1373" s="190"/>
      <c r="BS1373" s="190"/>
      <c r="BT1373" s="190"/>
      <c r="BU1373" s="190"/>
      <c r="BV1373" s="190"/>
      <c r="BW1373" s="190"/>
      <c r="BX1373" s="190"/>
      <c r="BY1373" s="190"/>
      <c r="BZ1373" s="190"/>
      <c r="CA1373" s="189"/>
      <c r="CB1373" s="192"/>
    </row>
    <row r="1374" spans="1:80" x14ac:dyDescent="0.2">
      <c r="A1374" s="152"/>
      <c r="B1374" s="683"/>
      <c r="C1374" s="683"/>
      <c r="D1374" s="698"/>
      <c r="E1374" s="215"/>
      <c r="F1374" s="215"/>
      <c r="G1374" s="153"/>
      <c r="H1374" s="153"/>
      <c r="I1374" s="153"/>
      <c r="J1374" s="153"/>
      <c r="K1374" s="153"/>
      <c r="L1374" s="653"/>
      <c r="M1374" s="654">
        <v>33401</v>
      </c>
      <c r="N1374" s="587">
        <v>4.7010846480000001</v>
      </c>
      <c r="O1374" s="592">
        <v>7.502201E-3</v>
      </c>
      <c r="P1374" s="216"/>
      <c r="Q1374" s="216"/>
      <c r="R1374" s="216">
        <v>9.9000000000000005E-2</v>
      </c>
      <c r="S1374" s="216">
        <v>0.113</v>
      </c>
      <c r="T1374" s="216">
        <v>9.7000000000000003E-2</v>
      </c>
      <c r="U1374" s="216">
        <v>9.6000000000000002E-2</v>
      </c>
      <c r="V1374" s="216">
        <v>0.189</v>
      </c>
      <c r="W1374" s="216">
        <v>0.18099999999999999</v>
      </c>
      <c r="X1374" s="216">
        <v>0.16800000000000001</v>
      </c>
      <c r="Y1374" s="216">
        <v>5.7000000000000002E-2</v>
      </c>
      <c r="Z1374" s="216"/>
      <c r="AA1374" s="186">
        <f>AVERAGE(1.41,0.69)</f>
        <v>1.0499999999999998</v>
      </c>
      <c r="AB1374" s="192"/>
      <c r="AC1374" s="152"/>
      <c r="AD1374" s="186">
        <f>31*(0.3048)</f>
        <v>9.4488000000000003</v>
      </c>
      <c r="AE1374" s="186">
        <f>1.34*(0.3048)</f>
        <v>0.40843200000000002</v>
      </c>
      <c r="AF1374" s="186">
        <f>41.6*(0.3048^2)</f>
        <v>3.8647664640000006</v>
      </c>
      <c r="AG1374" s="186">
        <f>3.99*(0.3048)</f>
        <v>1.2161520000000001</v>
      </c>
      <c r="AH1374" s="336"/>
      <c r="AI1374" s="188"/>
      <c r="AJ1374" s="188"/>
      <c r="AK1374" s="190"/>
      <c r="AL1374" s="189"/>
      <c r="AM1374" s="189"/>
      <c r="AN1374" s="189"/>
      <c r="AO1374" s="189"/>
      <c r="AP1374" s="189"/>
      <c r="AQ1374" s="189"/>
      <c r="AR1374" s="189"/>
      <c r="AS1374" s="189"/>
      <c r="AT1374" s="189"/>
      <c r="AU1374" s="191"/>
      <c r="AV1374" s="191"/>
      <c r="AW1374" s="191"/>
      <c r="AX1374" s="191"/>
      <c r="AY1374" s="191"/>
      <c r="AZ1374" s="189"/>
      <c r="BA1374" s="189"/>
      <c r="BB1374" s="189"/>
      <c r="BC1374" s="189"/>
      <c r="BD1374" s="189"/>
      <c r="BE1374" s="189"/>
      <c r="BF1374" s="189"/>
      <c r="BG1374" s="189"/>
      <c r="BH1374" s="189"/>
      <c r="BI1374" s="190"/>
      <c r="BJ1374" s="190"/>
      <c r="BK1374" s="190"/>
      <c r="BL1374" s="190"/>
      <c r="BM1374" s="190"/>
      <c r="BN1374" s="190"/>
      <c r="BO1374" s="190"/>
      <c r="BP1374" s="190"/>
      <c r="BQ1374" s="190"/>
      <c r="BR1374" s="190"/>
      <c r="BS1374" s="190"/>
      <c r="BT1374" s="190"/>
      <c r="BU1374" s="190"/>
      <c r="BV1374" s="190"/>
      <c r="BW1374" s="190"/>
      <c r="BX1374" s="190"/>
      <c r="BY1374" s="190"/>
      <c r="BZ1374" s="190"/>
      <c r="CA1374" s="189"/>
      <c r="CB1374" s="192"/>
    </row>
    <row r="1375" spans="1:80" x14ac:dyDescent="0.2">
      <c r="A1375" s="152"/>
      <c r="B1375" s="683"/>
      <c r="C1375" s="683"/>
      <c r="D1375" s="698"/>
      <c r="E1375" s="215"/>
      <c r="F1375" s="215"/>
      <c r="G1375" s="153"/>
      <c r="H1375" s="153"/>
      <c r="I1375" s="153"/>
      <c r="J1375" s="153"/>
      <c r="K1375" s="153"/>
      <c r="L1375" s="653"/>
      <c r="M1375" s="654">
        <v>33402</v>
      </c>
      <c r="N1375" s="587">
        <v>4.4178867769999997</v>
      </c>
      <c r="O1375" s="592">
        <v>4.8982180000000002E-3</v>
      </c>
      <c r="P1375" s="216"/>
      <c r="Q1375" s="216"/>
      <c r="R1375" s="216"/>
      <c r="S1375" s="216"/>
      <c r="T1375" s="216">
        <v>8.2000000000000003E-2</v>
      </c>
      <c r="U1375" s="216">
        <v>8.6999999999999994E-2</v>
      </c>
      <c r="V1375" s="216">
        <v>0.21199999999999999</v>
      </c>
      <c r="W1375" s="216">
        <v>0.27700000000000002</v>
      </c>
      <c r="X1375" s="216">
        <v>0.26600000000000001</v>
      </c>
      <c r="Y1375" s="216">
        <v>7.5999999999999998E-2</v>
      </c>
      <c r="Z1375" s="216"/>
      <c r="AA1375" s="186">
        <f>AVERAGE(0.74,1.04)</f>
        <v>0.89</v>
      </c>
      <c r="AB1375" s="192"/>
      <c r="AC1375" s="152"/>
      <c r="AD1375" s="186">
        <f>30.8*(0.3048)</f>
        <v>9.3878400000000006</v>
      </c>
      <c r="AE1375" s="186">
        <f>1.28*(0.3048)</f>
        <v>0.39014400000000005</v>
      </c>
      <c r="AF1375" s="186">
        <f>39.5*(0.3048^2)</f>
        <v>3.6696700800000004</v>
      </c>
      <c r="AG1375" s="186">
        <f>3.94*(0.3048)</f>
        <v>1.200912</v>
      </c>
      <c r="AH1375" s="336"/>
      <c r="AI1375" s="188"/>
      <c r="AJ1375" s="188"/>
      <c r="AK1375" s="190"/>
      <c r="AL1375" s="189"/>
      <c r="AM1375" s="189"/>
      <c r="AN1375" s="189"/>
      <c r="AO1375" s="189"/>
      <c r="AP1375" s="189"/>
      <c r="AQ1375" s="189"/>
      <c r="AR1375" s="189"/>
      <c r="AS1375" s="189"/>
      <c r="AT1375" s="189"/>
      <c r="AU1375" s="191"/>
      <c r="AV1375" s="191"/>
      <c r="AW1375" s="191"/>
      <c r="AX1375" s="191"/>
      <c r="AY1375" s="191"/>
      <c r="AZ1375" s="189"/>
      <c r="BA1375" s="189"/>
      <c r="BB1375" s="189"/>
      <c r="BC1375" s="189"/>
      <c r="BD1375" s="189"/>
      <c r="BE1375" s="189"/>
      <c r="BF1375" s="189"/>
      <c r="BG1375" s="189"/>
      <c r="BH1375" s="189"/>
      <c r="BI1375" s="190"/>
      <c r="BJ1375" s="190"/>
      <c r="BK1375" s="190"/>
      <c r="BL1375" s="190"/>
      <c r="BM1375" s="190"/>
      <c r="BN1375" s="190"/>
      <c r="BO1375" s="190"/>
      <c r="BP1375" s="190"/>
      <c r="BQ1375" s="190"/>
      <c r="BR1375" s="190"/>
      <c r="BS1375" s="190"/>
      <c r="BT1375" s="190"/>
      <c r="BU1375" s="190"/>
      <c r="BV1375" s="190"/>
      <c r="BW1375" s="190"/>
      <c r="BX1375" s="190"/>
      <c r="BY1375" s="190"/>
      <c r="BZ1375" s="190"/>
      <c r="CA1375" s="189"/>
      <c r="CB1375" s="192"/>
    </row>
    <row r="1376" spans="1:80" x14ac:dyDescent="0.2">
      <c r="A1376" s="152"/>
      <c r="B1376" s="683"/>
      <c r="C1376" s="683"/>
      <c r="D1376" s="698"/>
      <c r="E1376" s="215"/>
      <c r="F1376" s="215"/>
      <c r="G1376" s="153"/>
      <c r="H1376" s="153"/>
      <c r="I1376" s="153"/>
      <c r="J1376" s="153"/>
      <c r="K1376" s="153"/>
      <c r="L1376" s="653"/>
      <c r="M1376" s="654">
        <v>33402</v>
      </c>
      <c r="N1376" s="587">
        <v>4.3046076290000004</v>
      </c>
      <c r="O1376" s="592">
        <v>3.1552289999999998E-3</v>
      </c>
      <c r="P1376" s="216"/>
      <c r="Q1376" s="216"/>
      <c r="R1376" s="216"/>
      <c r="S1376" s="216"/>
      <c r="T1376" s="216">
        <v>2.8000000000000001E-2</v>
      </c>
      <c r="U1376" s="216">
        <v>8.7999999999999995E-2</v>
      </c>
      <c r="V1376" s="216">
        <v>0.27</v>
      </c>
      <c r="W1376" s="216">
        <v>0.29099999999999998</v>
      </c>
      <c r="X1376" s="216">
        <v>0.249</v>
      </c>
      <c r="Y1376" s="216">
        <v>7.3999999999999996E-2</v>
      </c>
      <c r="Z1376" s="216"/>
      <c r="AA1376" s="186">
        <f>AVERAGE(0.77,0.6)</f>
        <v>0.68500000000000005</v>
      </c>
      <c r="AB1376" s="192"/>
      <c r="AC1376" s="152"/>
      <c r="AD1376" s="186">
        <f>30.8*(0.3048)</f>
        <v>9.3878400000000006</v>
      </c>
      <c r="AE1376" s="186">
        <f>1.31*(0.3048)</f>
        <v>0.39928800000000003</v>
      </c>
      <c r="AF1376" s="186">
        <f>40.4*(0.3048^2)</f>
        <v>3.753282816</v>
      </c>
      <c r="AG1376" s="186">
        <f>3.76*(0.3048)</f>
        <v>1.146048</v>
      </c>
      <c r="AH1376" s="336"/>
      <c r="AI1376" s="188"/>
      <c r="AJ1376" s="188"/>
      <c r="AK1376" s="190"/>
      <c r="AL1376" s="189"/>
      <c r="AM1376" s="189"/>
      <c r="AN1376" s="189"/>
      <c r="AO1376" s="189"/>
      <c r="AP1376" s="189"/>
      <c r="AQ1376" s="189"/>
      <c r="AR1376" s="189"/>
      <c r="AS1376" s="189"/>
      <c r="AT1376" s="189"/>
      <c r="AU1376" s="191"/>
      <c r="AV1376" s="191"/>
      <c r="AW1376" s="191"/>
      <c r="AX1376" s="191"/>
      <c r="AY1376" s="191"/>
      <c r="AZ1376" s="189"/>
      <c r="BA1376" s="189"/>
      <c r="BB1376" s="189"/>
      <c r="BC1376" s="189"/>
      <c r="BD1376" s="189"/>
      <c r="BE1376" s="189"/>
      <c r="BF1376" s="189"/>
      <c r="BG1376" s="189"/>
      <c r="BH1376" s="189"/>
      <c r="BI1376" s="190"/>
      <c r="BJ1376" s="190"/>
      <c r="BK1376" s="190"/>
      <c r="BL1376" s="190"/>
      <c r="BM1376" s="190"/>
      <c r="BN1376" s="190"/>
      <c r="BO1376" s="190"/>
      <c r="BP1376" s="190"/>
      <c r="BQ1376" s="190"/>
      <c r="BR1376" s="190"/>
      <c r="BS1376" s="190"/>
      <c r="BT1376" s="190"/>
      <c r="BU1376" s="190"/>
      <c r="BV1376" s="190"/>
      <c r="BW1376" s="190"/>
      <c r="BX1376" s="190"/>
      <c r="BY1376" s="190"/>
      <c r="BZ1376" s="190"/>
      <c r="CA1376" s="189"/>
      <c r="CB1376" s="192"/>
    </row>
    <row r="1377" spans="1:80" x14ac:dyDescent="0.2">
      <c r="A1377" s="152"/>
      <c r="B1377" s="683"/>
      <c r="C1377" s="683"/>
      <c r="D1377" s="698"/>
      <c r="E1377" s="215"/>
      <c r="F1377" s="215"/>
      <c r="G1377" s="153"/>
      <c r="H1377" s="153"/>
      <c r="I1377" s="153"/>
      <c r="J1377" s="153"/>
      <c r="K1377" s="153"/>
      <c r="L1377" s="653"/>
      <c r="M1377" s="654">
        <v>33402</v>
      </c>
      <c r="N1377" s="587">
        <v>4.1346889070000001</v>
      </c>
      <c r="O1377" s="592">
        <v>9.2661889999999993E-3</v>
      </c>
      <c r="P1377" s="216"/>
      <c r="Q1377" s="216"/>
      <c r="R1377" s="216"/>
      <c r="S1377" s="216"/>
      <c r="T1377" s="216">
        <v>5.2999999999999999E-2</v>
      </c>
      <c r="U1377" s="216">
        <v>0.112</v>
      </c>
      <c r="V1377" s="216">
        <v>0.28399999999999997</v>
      </c>
      <c r="W1377" s="216">
        <v>0.27500000000000002</v>
      </c>
      <c r="X1377" s="216">
        <v>0.21099999999999999</v>
      </c>
      <c r="Y1377" s="216">
        <v>6.5000000000000002E-2</v>
      </c>
      <c r="Z1377" s="216"/>
      <c r="AA1377" s="186">
        <f>AVERAGE(0.88,1.46)</f>
        <v>1.17</v>
      </c>
      <c r="AB1377" s="192"/>
      <c r="AC1377" s="152"/>
      <c r="AD1377" s="186">
        <f>30.6*(0.3048)</f>
        <v>9.3268800000000009</v>
      </c>
      <c r="AE1377" s="186">
        <f>1.28*(0.3048)</f>
        <v>0.39014400000000005</v>
      </c>
      <c r="AF1377" s="186">
        <f>39.2*(0.3048^2)</f>
        <v>3.6417991680000004</v>
      </c>
      <c r="AG1377" s="186">
        <f>3.73*(0.3048)</f>
        <v>1.1369040000000001</v>
      </c>
      <c r="AH1377" s="336"/>
      <c r="AI1377" s="188"/>
      <c r="AJ1377" s="188"/>
      <c r="AK1377" s="190"/>
      <c r="AL1377" s="189"/>
      <c r="AM1377" s="189"/>
      <c r="AN1377" s="189"/>
      <c r="AO1377" s="189"/>
      <c r="AP1377" s="189"/>
      <c r="AQ1377" s="189"/>
      <c r="AR1377" s="189"/>
      <c r="AS1377" s="189"/>
      <c r="AT1377" s="189"/>
      <c r="AU1377" s="191"/>
      <c r="AV1377" s="191"/>
      <c r="AW1377" s="191"/>
      <c r="AX1377" s="191"/>
      <c r="AY1377" s="191"/>
      <c r="AZ1377" s="189"/>
      <c r="BA1377" s="189"/>
      <c r="BB1377" s="189"/>
      <c r="BC1377" s="189"/>
      <c r="BD1377" s="189"/>
      <c r="BE1377" s="189"/>
      <c r="BF1377" s="189"/>
      <c r="BG1377" s="189"/>
      <c r="BH1377" s="189"/>
      <c r="BI1377" s="190"/>
      <c r="BJ1377" s="190"/>
      <c r="BK1377" s="190"/>
      <c r="BL1377" s="190"/>
      <c r="BM1377" s="190"/>
      <c r="BN1377" s="190"/>
      <c r="BO1377" s="190"/>
      <c r="BP1377" s="190"/>
      <c r="BQ1377" s="190"/>
      <c r="BR1377" s="190"/>
      <c r="BS1377" s="190"/>
      <c r="BT1377" s="190"/>
      <c r="BU1377" s="190"/>
      <c r="BV1377" s="190"/>
      <c r="BW1377" s="190"/>
      <c r="BX1377" s="190"/>
      <c r="BY1377" s="190"/>
      <c r="BZ1377" s="190"/>
      <c r="CA1377" s="189"/>
      <c r="CB1377" s="192"/>
    </row>
    <row r="1378" spans="1:80" x14ac:dyDescent="0.2">
      <c r="A1378" s="152"/>
      <c r="B1378" s="683"/>
      <c r="C1378" s="683"/>
      <c r="D1378" s="698"/>
      <c r="E1378" s="215"/>
      <c r="F1378" s="215"/>
      <c r="G1378" s="153"/>
      <c r="H1378" s="153"/>
      <c r="I1378" s="153"/>
      <c r="J1378" s="153"/>
      <c r="K1378" s="153"/>
      <c r="L1378" s="653"/>
      <c r="M1378" s="654">
        <v>33760</v>
      </c>
      <c r="N1378" s="587">
        <v>0.73631446300000003</v>
      </c>
      <c r="O1378" s="592">
        <v>3.6749799999999998E-5</v>
      </c>
      <c r="P1378" s="216"/>
      <c r="Q1378" s="216"/>
      <c r="R1378" s="216"/>
      <c r="S1378" s="216"/>
      <c r="T1378" s="216"/>
      <c r="U1378" s="216">
        <v>3.2000000000000001E-2</v>
      </c>
      <c r="V1378" s="216">
        <v>0.26400000000000001</v>
      </c>
      <c r="W1378" s="216">
        <v>0.372</v>
      </c>
      <c r="X1378" s="216">
        <v>0.20699999999999999</v>
      </c>
      <c r="Y1378" s="216">
        <v>0.125</v>
      </c>
      <c r="Z1378" s="216"/>
      <c r="AA1378" s="186">
        <f>AVERAGE(0.68,0.41)</f>
        <v>0.54500000000000004</v>
      </c>
      <c r="AB1378" s="192"/>
      <c r="AC1378" s="152"/>
      <c r="AD1378" s="186">
        <f>25.6*(0.3048)</f>
        <v>7.8028800000000009</v>
      </c>
      <c r="AE1378" s="186">
        <f>0.66*(0.3048)</f>
        <v>0.20116800000000001</v>
      </c>
      <c r="AF1378" s="186">
        <f>16.8*(0.3048^2)</f>
        <v>1.5607710720000001</v>
      </c>
      <c r="AG1378" s="186">
        <f>1.52*(0.3048)</f>
        <v>0.46329600000000004</v>
      </c>
      <c r="AH1378" s="336"/>
      <c r="AI1378" s="188"/>
      <c r="AJ1378" s="188"/>
      <c r="AK1378" s="190"/>
      <c r="AL1378" s="189"/>
      <c r="AM1378" s="189"/>
      <c r="AN1378" s="189"/>
      <c r="AO1378" s="189"/>
      <c r="AP1378" s="189"/>
      <c r="AQ1378" s="189"/>
      <c r="AR1378" s="189"/>
      <c r="AS1378" s="189"/>
      <c r="AT1378" s="189"/>
      <c r="AU1378" s="191"/>
      <c r="AV1378" s="191"/>
      <c r="AW1378" s="191"/>
      <c r="AX1378" s="191"/>
      <c r="AY1378" s="191"/>
      <c r="AZ1378" s="189"/>
      <c r="BA1378" s="189"/>
      <c r="BB1378" s="189"/>
      <c r="BC1378" s="189"/>
      <c r="BD1378" s="189"/>
      <c r="BE1378" s="189"/>
      <c r="BF1378" s="189"/>
      <c r="BG1378" s="189"/>
      <c r="BH1378" s="189"/>
      <c r="BI1378" s="190"/>
      <c r="BJ1378" s="190"/>
      <c r="BK1378" s="190"/>
      <c r="BL1378" s="190"/>
      <c r="BM1378" s="190"/>
      <c r="BN1378" s="190"/>
      <c r="BO1378" s="190"/>
      <c r="BP1378" s="190"/>
      <c r="BQ1378" s="190"/>
      <c r="BR1378" s="190"/>
      <c r="BS1378" s="190"/>
      <c r="BT1378" s="190"/>
      <c r="BU1378" s="190"/>
      <c r="BV1378" s="190"/>
      <c r="BW1378" s="190"/>
      <c r="BX1378" s="190"/>
      <c r="BY1378" s="190"/>
      <c r="BZ1378" s="190"/>
      <c r="CA1378" s="189"/>
      <c r="CB1378" s="192"/>
    </row>
    <row r="1379" spans="1:80" x14ac:dyDescent="0.2">
      <c r="A1379" s="152"/>
      <c r="B1379" s="683"/>
      <c r="C1379" s="683"/>
      <c r="D1379" s="698"/>
      <c r="E1379" s="215"/>
      <c r="F1379" s="215"/>
      <c r="G1379" s="153"/>
      <c r="H1379" s="153"/>
      <c r="I1379" s="153"/>
      <c r="J1379" s="153"/>
      <c r="K1379" s="153"/>
      <c r="L1379" s="653"/>
      <c r="M1379" s="654">
        <v>33761</v>
      </c>
      <c r="N1379" s="587">
        <v>0.73631446300000003</v>
      </c>
      <c r="O1379" s="592">
        <v>1.2074900000000001E-4</v>
      </c>
      <c r="P1379" s="216"/>
      <c r="Q1379" s="216"/>
      <c r="R1379" s="216"/>
      <c r="S1379" s="216"/>
      <c r="T1379" s="216"/>
      <c r="U1379" s="216">
        <v>4.5999999999999999E-2</v>
      </c>
      <c r="V1379" s="216">
        <v>0.24</v>
      </c>
      <c r="W1379" s="216">
        <v>0.35299999999999998</v>
      </c>
      <c r="X1379" s="216">
        <v>0.23300000000000001</v>
      </c>
      <c r="Y1379" s="216">
        <v>0.128</v>
      </c>
      <c r="Z1379" s="216"/>
      <c r="AA1379" s="186">
        <f>AVERAGE(0.65,1.01)</f>
        <v>0.83000000000000007</v>
      </c>
      <c r="AB1379" s="192"/>
      <c r="AC1379" s="152"/>
      <c r="AD1379" s="186">
        <f>25.6*(0.3048)</f>
        <v>7.8028800000000009</v>
      </c>
      <c r="AE1379" s="186">
        <f>0.64*(0.3048)</f>
        <v>0.19507200000000002</v>
      </c>
      <c r="AF1379" s="186">
        <f>16.4*(0.3048^2)</f>
        <v>1.523609856</v>
      </c>
      <c r="AG1379" s="186">
        <f>1.53*(0.3048)</f>
        <v>0.46634400000000004</v>
      </c>
      <c r="AH1379" s="336"/>
      <c r="AI1379" s="188"/>
      <c r="AJ1379" s="188"/>
      <c r="AK1379" s="190"/>
      <c r="AL1379" s="189"/>
      <c r="AM1379" s="189"/>
      <c r="AN1379" s="189"/>
      <c r="AO1379" s="189"/>
      <c r="AP1379" s="189"/>
      <c r="AQ1379" s="189"/>
      <c r="AR1379" s="189"/>
      <c r="AS1379" s="189"/>
      <c r="AT1379" s="189"/>
      <c r="AU1379" s="191"/>
      <c r="AV1379" s="191"/>
      <c r="AW1379" s="191"/>
      <c r="AX1379" s="191"/>
      <c r="AY1379" s="191"/>
      <c r="AZ1379" s="189"/>
      <c r="BA1379" s="189"/>
      <c r="BB1379" s="189"/>
      <c r="BC1379" s="189"/>
      <c r="BD1379" s="189"/>
      <c r="BE1379" s="189"/>
      <c r="BF1379" s="189"/>
      <c r="BG1379" s="189"/>
      <c r="BH1379" s="189"/>
      <c r="BI1379" s="190"/>
      <c r="BJ1379" s="190"/>
      <c r="BK1379" s="190"/>
      <c r="BL1379" s="190"/>
      <c r="BM1379" s="190"/>
      <c r="BN1379" s="190"/>
      <c r="BO1379" s="190"/>
      <c r="BP1379" s="190"/>
      <c r="BQ1379" s="190"/>
      <c r="BR1379" s="190"/>
      <c r="BS1379" s="190"/>
      <c r="BT1379" s="190"/>
      <c r="BU1379" s="190"/>
      <c r="BV1379" s="190"/>
      <c r="BW1379" s="190"/>
      <c r="BX1379" s="190"/>
      <c r="BY1379" s="190"/>
      <c r="BZ1379" s="190"/>
      <c r="CA1379" s="189"/>
      <c r="CB1379" s="192"/>
    </row>
    <row r="1380" spans="1:80" x14ac:dyDescent="0.2">
      <c r="A1380" s="152"/>
      <c r="B1380" s="683"/>
      <c r="C1380" s="683"/>
      <c r="D1380" s="698"/>
      <c r="E1380" s="215"/>
      <c r="F1380" s="215"/>
      <c r="G1380" s="153"/>
      <c r="H1380" s="153"/>
      <c r="I1380" s="153"/>
      <c r="J1380" s="153"/>
      <c r="K1380" s="153"/>
      <c r="L1380" s="653"/>
      <c r="M1380" s="654">
        <v>33762</v>
      </c>
      <c r="N1380" s="587">
        <v>0.70799467599999999</v>
      </c>
      <c r="O1380" s="592">
        <v>2.4674799999999998E-4</v>
      </c>
      <c r="P1380" s="216"/>
      <c r="Q1380" s="216"/>
      <c r="R1380" s="216"/>
      <c r="S1380" s="216"/>
      <c r="T1380" s="216">
        <v>3.9E-2</v>
      </c>
      <c r="U1380" s="216">
        <v>9.0999999999999998E-2</v>
      </c>
      <c r="V1380" s="216">
        <v>0.246</v>
      </c>
      <c r="W1380" s="216">
        <v>0.36199999999999999</v>
      </c>
      <c r="X1380" s="216">
        <v>0.20499999999999999</v>
      </c>
      <c r="Y1380" s="216">
        <v>5.7000000000000002E-2</v>
      </c>
      <c r="Z1380" s="216"/>
      <c r="AA1380" s="186">
        <f>AVERAGE(0.8,0.68)</f>
        <v>0.74</v>
      </c>
      <c r="AB1380" s="192"/>
      <c r="AC1380" s="152"/>
      <c r="AD1380" s="186">
        <f>25.3*(0.3048)</f>
        <v>7.7114400000000005</v>
      </c>
      <c r="AE1380" s="186">
        <f>0.65*(0.3048)</f>
        <v>0.19812000000000002</v>
      </c>
      <c r="AF1380" s="186">
        <f>16.5*(0.3048^2)</f>
        <v>1.5329001600000001</v>
      </c>
      <c r="AG1380" s="186">
        <f>1.52*(0.3048)</f>
        <v>0.46329600000000004</v>
      </c>
      <c r="AH1380" s="336"/>
      <c r="AI1380" s="188"/>
      <c r="AJ1380" s="188"/>
      <c r="AK1380" s="190"/>
      <c r="AL1380" s="189"/>
      <c r="AM1380" s="189"/>
      <c r="AN1380" s="189"/>
      <c r="AO1380" s="189"/>
      <c r="AP1380" s="189"/>
      <c r="AQ1380" s="189"/>
      <c r="AR1380" s="189"/>
      <c r="AS1380" s="189"/>
      <c r="AT1380" s="189"/>
      <c r="AU1380" s="191"/>
      <c r="AV1380" s="191"/>
      <c r="AW1380" s="191"/>
      <c r="AX1380" s="191"/>
      <c r="AY1380" s="191"/>
      <c r="AZ1380" s="189"/>
      <c r="BA1380" s="189"/>
      <c r="BB1380" s="189"/>
      <c r="BC1380" s="189"/>
      <c r="BD1380" s="189"/>
      <c r="BE1380" s="189"/>
      <c r="BF1380" s="189"/>
      <c r="BG1380" s="189"/>
      <c r="BH1380" s="189"/>
      <c r="BI1380" s="190"/>
      <c r="BJ1380" s="190"/>
      <c r="BK1380" s="190"/>
      <c r="BL1380" s="190"/>
      <c r="BM1380" s="190"/>
      <c r="BN1380" s="190"/>
      <c r="BO1380" s="190"/>
      <c r="BP1380" s="190"/>
      <c r="BQ1380" s="190"/>
      <c r="BR1380" s="190"/>
      <c r="BS1380" s="190"/>
      <c r="BT1380" s="190"/>
      <c r="BU1380" s="190"/>
      <c r="BV1380" s="190"/>
      <c r="BW1380" s="190"/>
      <c r="BX1380" s="190"/>
      <c r="BY1380" s="190"/>
      <c r="BZ1380" s="190"/>
      <c r="CA1380" s="189"/>
      <c r="CB1380" s="192"/>
    </row>
    <row r="1381" spans="1:80" x14ac:dyDescent="0.2">
      <c r="A1381" s="152"/>
      <c r="B1381" s="683"/>
      <c r="C1381" s="683"/>
      <c r="D1381" s="698"/>
      <c r="E1381" s="215"/>
      <c r="F1381" s="215"/>
      <c r="G1381" s="153"/>
      <c r="H1381" s="153"/>
      <c r="I1381" s="153"/>
      <c r="J1381" s="153"/>
      <c r="K1381" s="153"/>
      <c r="L1381" s="653"/>
      <c r="M1381" s="654">
        <v>33763</v>
      </c>
      <c r="N1381" s="587">
        <v>0.70799467599999999</v>
      </c>
      <c r="O1381" s="592">
        <v>5.77496E-5</v>
      </c>
      <c r="P1381" s="216"/>
      <c r="Q1381" s="216"/>
      <c r="R1381" s="216"/>
      <c r="S1381" s="216"/>
      <c r="T1381" s="216"/>
      <c r="U1381" s="216">
        <v>0.10299999999999999</v>
      </c>
      <c r="V1381" s="216">
        <v>0.16900000000000001</v>
      </c>
      <c r="W1381" s="216">
        <v>0.253</v>
      </c>
      <c r="X1381" s="216">
        <v>0.30599999999999999</v>
      </c>
      <c r="Y1381" s="216">
        <v>0.16900000000000001</v>
      </c>
      <c r="Z1381" s="216"/>
      <c r="AA1381" s="186">
        <f>AVERAGE(0.53,0.38)</f>
        <v>0.45500000000000002</v>
      </c>
      <c r="AB1381" s="192"/>
      <c r="AC1381" s="152"/>
      <c r="AD1381" s="186">
        <f>25.3*(0.3048)</f>
        <v>7.7114400000000005</v>
      </c>
      <c r="AE1381" s="186">
        <f>0.66*(0.3048)</f>
        <v>0.20116800000000001</v>
      </c>
      <c r="AF1381" s="186">
        <f>16.8*(0.3048^2)</f>
        <v>1.5607710720000001</v>
      </c>
      <c r="AG1381" s="186">
        <f>1.51*(0.3048)</f>
        <v>0.46024800000000005</v>
      </c>
      <c r="AH1381" s="336"/>
      <c r="AI1381" s="188"/>
      <c r="AJ1381" s="188"/>
      <c r="AK1381" s="190"/>
      <c r="AL1381" s="189"/>
      <c r="AM1381" s="189"/>
      <c r="AN1381" s="189"/>
      <c r="AO1381" s="189"/>
      <c r="AP1381" s="189"/>
      <c r="AQ1381" s="189"/>
      <c r="AR1381" s="189"/>
      <c r="AS1381" s="189"/>
      <c r="AT1381" s="189"/>
      <c r="AU1381" s="191"/>
      <c r="AV1381" s="191"/>
      <c r="AW1381" s="191"/>
      <c r="AX1381" s="191"/>
      <c r="AY1381" s="191"/>
      <c r="AZ1381" s="189"/>
      <c r="BA1381" s="189"/>
      <c r="BB1381" s="189"/>
      <c r="BC1381" s="189"/>
      <c r="BD1381" s="189"/>
      <c r="BE1381" s="189"/>
      <c r="BF1381" s="189"/>
      <c r="BG1381" s="189"/>
      <c r="BH1381" s="189"/>
      <c r="BI1381" s="190"/>
      <c r="BJ1381" s="190"/>
      <c r="BK1381" s="190"/>
      <c r="BL1381" s="190"/>
      <c r="BM1381" s="190"/>
      <c r="BN1381" s="190"/>
      <c r="BO1381" s="190"/>
      <c r="BP1381" s="190"/>
      <c r="BQ1381" s="190"/>
      <c r="BR1381" s="190"/>
      <c r="BS1381" s="190"/>
      <c r="BT1381" s="190"/>
      <c r="BU1381" s="190"/>
      <c r="BV1381" s="190"/>
      <c r="BW1381" s="190"/>
      <c r="BX1381" s="190"/>
      <c r="BY1381" s="190"/>
      <c r="BZ1381" s="190"/>
      <c r="CA1381" s="189"/>
      <c r="CB1381" s="192"/>
    </row>
    <row r="1382" spans="1:80" x14ac:dyDescent="0.2">
      <c r="A1382" s="152"/>
      <c r="B1382" s="683"/>
      <c r="C1382" s="683"/>
      <c r="D1382" s="698"/>
      <c r="E1382" s="215"/>
      <c r="F1382" s="215"/>
      <c r="G1382" s="153"/>
      <c r="H1382" s="153"/>
      <c r="I1382" s="153"/>
      <c r="J1382" s="153"/>
      <c r="K1382" s="153"/>
      <c r="L1382" s="653"/>
      <c r="M1382" s="655">
        <v>34115</v>
      </c>
      <c r="N1382" s="587">
        <v>5.5506782589999997</v>
      </c>
      <c r="O1382" s="592">
        <v>4.2839718999999998E-2</v>
      </c>
      <c r="P1382" s="216"/>
      <c r="Q1382" s="216"/>
      <c r="R1382" s="216">
        <v>0.45100000000000001</v>
      </c>
      <c r="S1382" s="216">
        <v>4.3999999999999997E-2</v>
      </c>
      <c r="T1382" s="216">
        <v>9.4E-2</v>
      </c>
      <c r="U1382" s="216">
        <v>9.2999999999999999E-2</v>
      </c>
      <c r="V1382" s="216">
        <v>0.14299999999999999</v>
      </c>
      <c r="W1382" s="216">
        <v>9.0999999999999998E-2</v>
      </c>
      <c r="X1382" s="216">
        <v>6.3E-2</v>
      </c>
      <c r="Y1382" s="216">
        <v>2.1000000000000001E-2</v>
      </c>
      <c r="Z1382" s="216"/>
      <c r="AA1382" s="186">
        <f>AVERAGE(7.71,4.69)</f>
        <v>6.2</v>
      </c>
      <c r="AB1382" s="192"/>
      <c r="AC1382" s="152"/>
      <c r="AD1382" s="186"/>
      <c r="AE1382" s="186"/>
      <c r="AF1382" s="186"/>
      <c r="AG1382" s="186"/>
      <c r="AH1382" s="336"/>
      <c r="AI1382" s="188"/>
      <c r="AJ1382" s="188"/>
      <c r="AK1382" s="190"/>
      <c r="AL1382" s="189"/>
      <c r="AM1382" s="189"/>
      <c r="AN1382" s="189"/>
      <c r="AO1382" s="189"/>
      <c r="AP1382" s="189"/>
      <c r="AQ1382" s="189"/>
      <c r="AR1382" s="189"/>
      <c r="AS1382" s="189"/>
      <c r="AT1382" s="189"/>
      <c r="AU1382" s="191"/>
      <c r="AV1382" s="191"/>
      <c r="AW1382" s="191"/>
      <c r="AX1382" s="191"/>
      <c r="AY1382" s="191"/>
      <c r="AZ1382" s="189"/>
      <c r="BA1382" s="189"/>
      <c r="BB1382" s="189"/>
      <c r="BC1382" s="189"/>
      <c r="BD1382" s="189"/>
      <c r="BE1382" s="189"/>
      <c r="BF1382" s="189"/>
      <c r="BG1382" s="189"/>
      <c r="BH1382" s="189"/>
      <c r="BI1382" s="190"/>
      <c r="BJ1382" s="190"/>
      <c r="BK1382" s="190"/>
      <c r="BL1382" s="190"/>
      <c r="BM1382" s="190"/>
      <c r="BN1382" s="190"/>
      <c r="BO1382" s="190"/>
      <c r="BP1382" s="190"/>
      <c r="BQ1382" s="190"/>
      <c r="BR1382" s="190"/>
      <c r="BS1382" s="190"/>
      <c r="BT1382" s="190"/>
      <c r="BU1382" s="190"/>
      <c r="BV1382" s="190"/>
      <c r="BW1382" s="190"/>
      <c r="BX1382" s="190"/>
      <c r="BY1382" s="190"/>
      <c r="BZ1382" s="190"/>
      <c r="CA1382" s="189"/>
      <c r="CB1382" s="192"/>
    </row>
    <row r="1383" spans="1:80" x14ac:dyDescent="0.2">
      <c r="A1383" s="152"/>
      <c r="B1383" s="683"/>
      <c r="C1383" s="683"/>
      <c r="D1383" s="698"/>
      <c r="E1383" s="215"/>
      <c r="F1383" s="215"/>
      <c r="G1383" s="153"/>
      <c r="H1383" s="153"/>
      <c r="I1383" s="153"/>
      <c r="J1383" s="153"/>
      <c r="K1383" s="153"/>
      <c r="L1383" s="653"/>
      <c r="M1383" s="655">
        <v>34115</v>
      </c>
      <c r="N1383" s="587">
        <v>5.1542012399999999</v>
      </c>
      <c r="O1383" s="592">
        <v>7.7436991999999996E-2</v>
      </c>
      <c r="P1383" s="216"/>
      <c r="Q1383" s="216">
        <v>0.33400000000000002</v>
      </c>
      <c r="R1383" s="216">
        <v>0.04</v>
      </c>
      <c r="S1383" s="216">
        <v>0.151</v>
      </c>
      <c r="T1383" s="216">
        <v>0.14299999999999999</v>
      </c>
      <c r="U1383" s="216">
        <v>0.121</v>
      </c>
      <c r="V1383" s="216">
        <v>0.124</v>
      </c>
      <c r="W1383" s="216">
        <v>5.3999999999999999E-2</v>
      </c>
      <c r="X1383" s="216">
        <v>2.5000000000000001E-2</v>
      </c>
      <c r="Y1383" s="216">
        <v>8.0000000000000002E-3</v>
      </c>
      <c r="Z1383" s="216"/>
      <c r="AA1383" s="186">
        <f>AVERAGE(8.96,6.2)</f>
        <v>7.58</v>
      </c>
      <c r="AB1383" s="192"/>
      <c r="AC1383" s="152"/>
      <c r="AD1383" s="186"/>
      <c r="AE1383" s="186"/>
      <c r="AF1383" s="186"/>
      <c r="AG1383" s="186"/>
      <c r="AH1383" s="336"/>
      <c r="AI1383" s="188"/>
      <c r="AJ1383" s="188"/>
      <c r="AK1383" s="190"/>
      <c r="AL1383" s="189"/>
      <c r="AM1383" s="189"/>
      <c r="AN1383" s="189"/>
      <c r="AO1383" s="189"/>
      <c r="AP1383" s="189"/>
      <c r="AQ1383" s="189"/>
      <c r="AR1383" s="189"/>
      <c r="AS1383" s="189"/>
      <c r="AT1383" s="189"/>
      <c r="AU1383" s="191"/>
      <c r="AV1383" s="191"/>
      <c r="AW1383" s="191"/>
      <c r="AX1383" s="191"/>
      <c r="AY1383" s="191"/>
      <c r="AZ1383" s="189"/>
      <c r="BA1383" s="189"/>
      <c r="BB1383" s="189"/>
      <c r="BC1383" s="189"/>
      <c r="BD1383" s="189"/>
      <c r="BE1383" s="189"/>
      <c r="BF1383" s="189"/>
      <c r="BG1383" s="189"/>
      <c r="BH1383" s="189"/>
      <c r="BI1383" s="190"/>
      <c r="BJ1383" s="190"/>
      <c r="BK1383" s="190"/>
      <c r="BL1383" s="190"/>
      <c r="BM1383" s="190"/>
      <c r="BN1383" s="190"/>
      <c r="BO1383" s="190"/>
      <c r="BP1383" s="190"/>
      <c r="BQ1383" s="190"/>
      <c r="BR1383" s="190"/>
      <c r="BS1383" s="190"/>
      <c r="BT1383" s="190"/>
      <c r="BU1383" s="190"/>
      <c r="BV1383" s="190"/>
      <c r="BW1383" s="190"/>
      <c r="BX1383" s="190"/>
      <c r="BY1383" s="190"/>
      <c r="BZ1383" s="190"/>
      <c r="CA1383" s="189"/>
      <c r="CB1383" s="192"/>
    </row>
    <row r="1384" spans="1:80" x14ac:dyDescent="0.2">
      <c r="A1384" s="152"/>
      <c r="B1384" s="683"/>
      <c r="C1384" s="683"/>
      <c r="D1384" s="698"/>
      <c r="E1384" s="215"/>
      <c r="F1384" s="215"/>
      <c r="G1384" s="153"/>
      <c r="H1384" s="153"/>
      <c r="I1384" s="153"/>
      <c r="J1384" s="153"/>
      <c r="K1384" s="153"/>
      <c r="L1384" s="653"/>
      <c r="M1384" s="655">
        <v>34116</v>
      </c>
      <c r="N1384" s="587">
        <v>6.1453937869999997</v>
      </c>
      <c r="O1384" s="592">
        <v>2.1682357999999999E-2</v>
      </c>
      <c r="P1384" s="216"/>
      <c r="Q1384" s="216"/>
      <c r="R1384" s="216">
        <v>4.5999999999999999E-2</v>
      </c>
      <c r="S1384" s="216">
        <v>1.2999999999999999E-2</v>
      </c>
      <c r="T1384" s="216">
        <v>3.1E-2</v>
      </c>
      <c r="U1384" s="216">
        <v>9.4E-2</v>
      </c>
      <c r="V1384" s="508">
        <v>0.22900000000000001</v>
      </c>
      <c r="W1384" s="508">
        <v>0.25600000000000001</v>
      </c>
      <c r="X1384" s="508">
        <v>0.251</v>
      </c>
      <c r="Y1384" s="508">
        <v>0.08</v>
      </c>
      <c r="Z1384" s="216"/>
      <c r="AA1384" s="186">
        <f>AVERAGE(0.79,0.75)</f>
        <v>0.77</v>
      </c>
      <c r="AB1384" s="192"/>
      <c r="AC1384" s="152"/>
      <c r="AD1384" s="186"/>
      <c r="AE1384" s="186"/>
      <c r="AF1384" s="186"/>
      <c r="AG1384" s="186"/>
      <c r="AH1384" s="336"/>
      <c r="AI1384" s="188"/>
      <c r="AJ1384" s="188"/>
      <c r="AK1384" s="190"/>
      <c r="AL1384" s="189"/>
      <c r="AM1384" s="189"/>
      <c r="AN1384" s="189"/>
      <c r="AO1384" s="189"/>
      <c r="AP1384" s="189"/>
      <c r="AQ1384" s="189"/>
      <c r="AR1384" s="189"/>
      <c r="AS1384" s="189"/>
      <c r="AT1384" s="189"/>
      <c r="AU1384" s="191"/>
      <c r="AV1384" s="191"/>
      <c r="AW1384" s="191"/>
      <c r="AX1384" s="191"/>
      <c r="AY1384" s="191"/>
      <c r="AZ1384" s="189"/>
      <c r="BA1384" s="189"/>
      <c r="BB1384" s="189"/>
      <c r="BC1384" s="189"/>
      <c r="BD1384" s="189"/>
      <c r="BE1384" s="189"/>
      <c r="BF1384" s="189"/>
      <c r="BG1384" s="189"/>
      <c r="BH1384" s="189"/>
      <c r="BI1384" s="190"/>
      <c r="BJ1384" s="190"/>
      <c r="BK1384" s="190"/>
      <c r="BL1384" s="190"/>
      <c r="BM1384" s="190"/>
      <c r="BN1384" s="190"/>
      <c r="BO1384" s="190"/>
      <c r="BP1384" s="190"/>
      <c r="BQ1384" s="190"/>
      <c r="BR1384" s="190"/>
      <c r="BS1384" s="190"/>
      <c r="BT1384" s="190"/>
      <c r="BU1384" s="190"/>
      <c r="BV1384" s="190"/>
      <c r="BW1384" s="190"/>
      <c r="BX1384" s="190"/>
      <c r="BY1384" s="190"/>
      <c r="BZ1384" s="190"/>
      <c r="CA1384" s="189"/>
      <c r="CB1384" s="192"/>
    </row>
    <row r="1385" spans="1:80" x14ac:dyDescent="0.2">
      <c r="A1385" s="152"/>
      <c r="B1385" s="683"/>
      <c r="C1385" s="683"/>
      <c r="D1385" s="698"/>
      <c r="E1385" s="215"/>
      <c r="F1385" s="215"/>
      <c r="G1385" s="153"/>
      <c r="H1385" s="153"/>
      <c r="I1385" s="153"/>
      <c r="J1385" s="153"/>
      <c r="K1385" s="153"/>
      <c r="L1385" s="653"/>
      <c r="M1385" s="655">
        <v>34116</v>
      </c>
      <c r="N1385" s="587">
        <v>6.2586729349999999</v>
      </c>
      <c r="O1385" s="592">
        <v>2.4779837999999998E-2</v>
      </c>
      <c r="P1385" s="216"/>
      <c r="Q1385" s="216"/>
      <c r="R1385" s="216"/>
      <c r="S1385" s="216">
        <v>7.0000000000000007E-2</v>
      </c>
      <c r="T1385" s="216">
        <v>9.7000000000000003E-2</v>
      </c>
      <c r="U1385" s="216">
        <v>0.14599999999999999</v>
      </c>
      <c r="V1385" s="216">
        <v>0.27600000000000002</v>
      </c>
      <c r="W1385" s="216">
        <v>0.21199999999999999</v>
      </c>
      <c r="X1385" s="216">
        <v>0.151</v>
      </c>
      <c r="Y1385" s="216">
        <v>4.8000000000000001E-2</v>
      </c>
      <c r="Z1385" s="216"/>
      <c r="AA1385" s="186">
        <f>AVERAGE(1.25,0.98)</f>
        <v>1.115</v>
      </c>
      <c r="AB1385" s="192"/>
      <c r="AC1385" s="152"/>
      <c r="AD1385" s="186"/>
      <c r="AE1385" s="186"/>
      <c r="AF1385" s="186"/>
      <c r="AG1385" s="186"/>
      <c r="AH1385" s="336"/>
      <c r="AI1385" s="188"/>
      <c r="AJ1385" s="188"/>
      <c r="AK1385" s="190"/>
      <c r="AL1385" s="189"/>
      <c r="AM1385" s="189"/>
      <c r="AN1385" s="189"/>
      <c r="AO1385" s="189"/>
      <c r="AP1385" s="189"/>
      <c r="AQ1385" s="189"/>
      <c r="AR1385" s="189"/>
      <c r="AS1385" s="189"/>
      <c r="AT1385" s="189"/>
      <c r="AU1385" s="191"/>
      <c r="AV1385" s="191"/>
      <c r="AW1385" s="191"/>
      <c r="AX1385" s="191"/>
      <c r="AY1385" s="191"/>
      <c r="AZ1385" s="189"/>
      <c r="BA1385" s="189"/>
      <c r="BB1385" s="189"/>
      <c r="BC1385" s="189"/>
      <c r="BD1385" s="189"/>
      <c r="BE1385" s="189"/>
      <c r="BF1385" s="189"/>
      <c r="BG1385" s="189"/>
      <c r="BH1385" s="189"/>
      <c r="BI1385" s="190"/>
      <c r="BJ1385" s="190"/>
      <c r="BK1385" s="190"/>
      <c r="BL1385" s="190"/>
      <c r="BM1385" s="190"/>
      <c r="BN1385" s="190"/>
      <c r="BO1385" s="190"/>
      <c r="BP1385" s="190"/>
      <c r="BQ1385" s="190"/>
      <c r="BR1385" s="190"/>
      <c r="BS1385" s="190"/>
      <c r="BT1385" s="190"/>
      <c r="BU1385" s="190"/>
      <c r="BV1385" s="190"/>
      <c r="BW1385" s="190"/>
      <c r="BX1385" s="190"/>
      <c r="BY1385" s="190"/>
      <c r="BZ1385" s="190"/>
      <c r="CA1385" s="189"/>
      <c r="CB1385" s="192"/>
    </row>
    <row r="1386" spans="1:80" x14ac:dyDescent="0.2">
      <c r="A1386" s="152"/>
      <c r="B1386" s="683"/>
      <c r="C1386" s="683"/>
      <c r="D1386" s="698"/>
      <c r="E1386" s="215"/>
      <c r="F1386" s="215"/>
      <c r="G1386" s="153"/>
      <c r="H1386" s="153"/>
      <c r="I1386" s="153"/>
      <c r="J1386" s="153"/>
      <c r="K1386" s="153"/>
      <c r="L1386" s="653"/>
      <c r="M1386" s="655">
        <v>34117</v>
      </c>
      <c r="N1386" s="587">
        <v>6.1170739999999997</v>
      </c>
      <c r="O1386" s="592">
        <v>7.7909489999999998E-2</v>
      </c>
      <c r="P1386" s="216"/>
      <c r="Q1386" s="216">
        <v>0.30199999999999999</v>
      </c>
      <c r="R1386" s="216">
        <v>0.41799999999999998</v>
      </c>
      <c r="S1386" s="216">
        <v>0.127</v>
      </c>
      <c r="T1386" s="216">
        <v>1.0999999999999999E-2</v>
      </c>
      <c r="U1386" s="216">
        <v>1.2999999999999999E-2</v>
      </c>
      <c r="V1386" s="216">
        <v>2.9000000000000001E-2</v>
      </c>
      <c r="W1386" s="216">
        <v>4.4999999999999998E-2</v>
      </c>
      <c r="X1386" s="216">
        <v>4.1000000000000002E-2</v>
      </c>
      <c r="Y1386" s="216">
        <v>1.4E-2</v>
      </c>
      <c r="Z1386" s="216"/>
      <c r="AA1386" s="186">
        <f>AVERAGE(24.6,34.9)</f>
        <v>29.75</v>
      </c>
      <c r="AB1386" s="192"/>
      <c r="AC1386" s="152"/>
      <c r="AD1386" s="186"/>
      <c r="AE1386" s="186"/>
      <c r="AF1386" s="186"/>
      <c r="AG1386" s="186"/>
      <c r="AH1386" s="336"/>
      <c r="AI1386" s="188"/>
      <c r="AJ1386" s="188"/>
      <c r="AK1386" s="190"/>
      <c r="AL1386" s="189"/>
      <c r="AM1386" s="189"/>
      <c r="AN1386" s="189"/>
      <c r="AO1386" s="189"/>
      <c r="AP1386" s="189"/>
      <c r="AQ1386" s="189"/>
      <c r="AR1386" s="189"/>
      <c r="AS1386" s="189"/>
      <c r="AT1386" s="189"/>
      <c r="AU1386" s="191"/>
      <c r="AV1386" s="191"/>
      <c r="AW1386" s="191"/>
      <c r="AX1386" s="191"/>
      <c r="AY1386" s="191"/>
      <c r="AZ1386" s="189"/>
      <c r="BA1386" s="189"/>
      <c r="BB1386" s="189"/>
      <c r="BC1386" s="189"/>
      <c r="BD1386" s="189"/>
      <c r="BE1386" s="189"/>
      <c r="BF1386" s="189"/>
      <c r="BG1386" s="189"/>
      <c r="BH1386" s="189"/>
      <c r="BI1386" s="190"/>
      <c r="BJ1386" s="190"/>
      <c r="BK1386" s="190"/>
      <c r="BL1386" s="190"/>
      <c r="BM1386" s="190"/>
      <c r="BN1386" s="190"/>
      <c r="BO1386" s="190"/>
      <c r="BP1386" s="190"/>
      <c r="BQ1386" s="190"/>
      <c r="BR1386" s="190"/>
      <c r="BS1386" s="190"/>
      <c r="BT1386" s="190"/>
      <c r="BU1386" s="190"/>
      <c r="BV1386" s="190"/>
      <c r="BW1386" s="190"/>
      <c r="BX1386" s="190"/>
      <c r="BY1386" s="190"/>
      <c r="BZ1386" s="190"/>
      <c r="CA1386" s="189"/>
      <c r="CB1386" s="192"/>
    </row>
    <row r="1387" spans="1:80" x14ac:dyDescent="0.2">
      <c r="A1387" s="152"/>
      <c r="B1387" s="683"/>
      <c r="C1387" s="683"/>
      <c r="D1387" s="698"/>
      <c r="E1387" s="215"/>
      <c r="F1387" s="215"/>
      <c r="G1387" s="153"/>
      <c r="H1387" s="153"/>
      <c r="I1387" s="153"/>
      <c r="J1387" s="153"/>
      <c r="K1387" s="153"/>
      <c r="L1387" s="653"/>
      <c r="M1387" s="655">
        <v>34117</v>
      </c>
      <c r="N1387" s="587">
        <v>6.7401093139999997</v>
      </c>
      <c r="O1387" s="592">
        <v>3.6539759999999998E-2</v>
      </c>
      <c r="P1387" s="216"/>
      <c r="Q1387" s="216"/>
      <c r="R1387" s="216">
        <v>0.157</v>
      </c>
      <c r="S1387" s="216">
        <v>5.1999999999999998E-2</v>
      </c>
      <c r="T1387" s="216">
        <v>0.114</v>
      </c>
      <c r="U1387" s="216">
        <v>0.109</v>
      </c>
      <c r="V1387" s="216">
        <v>0.218</v>
      </c>
      <c r="W1387" s="216">
        <v>0.16500000000000001</v>
      </c>
      <c r="X1387" s="216">
        <v>0.14299999999999999</v>
      </c>
      <c r="Y1387" s="216">
        <v>4.2000000000000003E-2</v>
      </c>
      <c r="Z1387" s="216"/>
      <c r="AA1387" s="186">
        <f>AVERAGE(1.62,1.03)</f>
        <v>1.3250000000000002</v>
      </c>
      <c r="AB1387" s="192"/>
      <c r="AC1387" s="152"/>
      <c r="AD1387" s="186"/>
      <c r="AE1387" s="186"/>
      <c r="AF1387" s="186"/>
      <c r="AG1387" s="186"/>
      <c r="AH1387" s="336"/>
      <c r="AI1387" s="188"/>
      <c r="AJ1387" s="188"/>
      <c r="AK1387" s="190"/>
      <c r="AL1387" s="189"/>
      <c r="AM1387" s="189"/>
      <c r="AN1387" s="189"/>
      <c r="AO1387" s="189"/>
      <c r="AP1387" s="189"/>
      <c r="AQ1387" s="189"/>
      <c r="AR1387" s="189"/>
      <c r="AS1387" s="189"/>
      <c r="AT1387" s="189"/>
      <c r="AU1387" s="191"/>
      <c r="AV1387" s="191"/>
      <c r="AW1387" s="191"/>
      <c r="AX1387" s="191"/>
      <c r="AY1387" s="191"/>
      <c r="AZ1387" s="189"/>
      <c r="BA1387" s="189"/>
      <c r="BB1387" s="189"/>
      <c r="BC1387" s="189"/>
      <c r="BD1387" s="189"/>
      <c r="BE1387" s="189"/>
      <c r="BF1387" s="189"/>
      <c r="BG1387" s="189"/>
      <c r="BH1387" s="189"/>
      <c r="BI1387" s="190"/>
      <c r="BJ1387" s="190"/>
      <c r="BK1387" s="190"/>
      <c r="BL1387" s="190"/>
      <c r="BM1387" s="190"/>
      <c r="BN1387" s="190"/>
      <c r="BO1387" s="190"/>
      <c r="BP1387" s="190"/>
      <c r="BQ1387" s="190"/>
      <c r="BR1387" s="190"/>
      <c r="BS1387" s="190"/>
      <c r="BT1387" s="190"/>
      <c r="BU1387" s="190"/>
      <c r="BV1387" s="190"/>
      <c r="BW1387" s="190"/>
      <c r="BX1387" s="190"/>
      <c r="BY1387" s="190"/>
      <c r="BZ1387" s="190"/>
      <c r="CA1387" s="189"/>
      <c r="CB1387" s="192"/>
    </row>
    <row r="1388" spans="1:80" x14ac:dyDescent="0.2">
      <c r="A1388" s="152"/>
      <c r="B1388" s="683"/>
      <c r="C1388" s="683"/>
      <c r="D1388" s="698"/>
      <c r="E1388" s="215"/>
      <c r="F1388" s="215"/>
      <c r="G1388" s="153"/>
      <c r="H1388" s="153"/>
      <c r="I1388" s="153"/>
      <c r="J1388" s="153"/>
      <c r="K1388" s="153"/>
      <c r="L1388" s="653"/>
      <c r="M1388" s="655">
        <v>34126</v>
      </c>
      <c r="N1388" s="587">
        <v>4.3895669899999996</v>
      </c>
      <c r="O1388" s="592">
        <v>1.7744880000000001E-3</v>
      </c>
      <c r="P1388" s="216"/>
      <c r="Q1388" s="216"/>
      <c r="R1388" s="216"/>
      <c r="S1388" s="216"/>
      <c r="T1388" s="216"/>
      <c r="U1388" s="216">
        <v>0.36799999999999999</v>
      </c>
      <c r="V1388" s="216">
        <v>0.27900000000000003</v>
      </c>
      <c r="W1388" s="216">
        <v>0.20599999999999999</v>
      </c>
      <c r="X1388" s="216">
        <v>0.13200000000000001</v>
      </c>
      <c r="Y1388" s="216">
        <v>1.4999999999999999E-2</v>
      </c>
      <c r="Z1388" s="216"/>
      <c r="AA1388" s="186">
        <f>AVERAGE(1.44,0.82)</f>
        <v>1.1299999999999999</v>
      </c>
      <c r="AB1388" s="192"/>
      <c r="AC1388" s="152"/>
      <c r="AD1388" s="186"/>
      <c r="AE1388" s="186"/>
      <c r="AF1388" s="186"/>
      <c r="AG1388" s="186"/>
      <c r="AH1388" s="336"/>
      <c r="AI1388" s="188"/>
      <c r="AJ1388" s="188"/>
      <c r="AK1388" s="190"/>
      <c r="AL1388" s="189"/>
      <c r="AM1388" s="189"/>
      <c r="AN1388" s="189"/>
      <c r="AO1388" s="189"/>
      <c r="AP1388" s="189"/>
      <c r="AQ1388" s="189"/>
      <c r="AR1388" s="189"/>
      <c r="AS1388" s="189"/>
      <c r="AT1388" s="189"/>
      <c r="AU1388" s="191"/>
      <c r="AV1388" s="191"/>
      <c r="AW1388" s="191"/>
      <c r="AX1388" s="191"/>
      <c r="AY1388" s="191"/>
      <c r="AZ1388" s="189"/>
      <c r="BA1388" s="189"/>
      <c r="BB1388" s="189"/>
      <c r="BC1388" s="189"/>
      <c r="BD1388" s="189"/>
      <c r="BE1388" s="189"/>
      <c r="BF1388" s="189"/>
      <c r="BG1388" s="189"/>
      <c r="BH1388" s="189"/>
      <c r="BI1388" s="190"/>
      <c r="BJ1388" s="190"/>
      <c r="BK1388" s="190"/>
      <c r="BL1388" s="190"/>
      <c r="BM1388" s="190"/>
      <c r="BN1388" s="190"/>
      <c r="BO1388" s="190"/>
      <c r="BP1388" s="190"/>
      <c r="BQ1388" s="190"/>
      <c r="BR1388" s="190"/>
      <c r="BS1388" s="190"/>
      <c r="BT1388" s="190"/>
      <c r="BU1388" s="190"/>
      <c r="BV1388" s="190"/>
      <c r="BW1388" s="190"/>
      <c r="BX1388" s="190"/>
      <c r="BY1388" s="190"/>
      <c r="BZ1388" s="190"/>
      <c r="CA1388" s="189"/>
      <c r="CB1388" s="192"/>
    </row>
    <row r="1389" spans="1:80" x14ac:dyDescent="0.2">
      <c r="A1389" s="152"/>
      <c r="B1389" s="683"/>
      <c r="C1389" s="683"/>
      <c r="D1389" s="698"/>
      <c r="E1389" s="215"/>
      <c r="F1389" s="215"/>
      <c r="G1389" s="153"/>
      <c r="H1389" s="153"/>
      <c r="I1389" s="153"/>
      <c r="J1389" s="153"/>
      <c r="K1389" s="153"/>
      <c r="L1389" s="653"/>
      <c r="M1389" s="655">
        <v>34127</v>
      </c>
      <c r="N1389" s="587">
        <v>4.3329274160000004</v>
      </c>
      <c r="O1389" s="592">
        <v>1.2867665E-2</v>
      </c>
      <c r="P1389" s="216"/>
      <c r="Q1389" s="216"/>
      <c r="R1389" s="216"/>
      <c r="S1389" s="216"/>
      <c r="T1389" s="216"/>
      <c r="U1389" s="216">
        <v>0.2</v>
      </c>
      <c r="V1389" s="216">
        <v>0.09</v>
      </c>
      <c r="W1389" s="216">
        <v>0.222</v>
      </c>
      <c r="X1389" s="216">
        <v>0.222</v>
      </c>
      <c r="Y1389" s="216">
        <v>0.26600000000000001</v>
      </c>
      <c r="Z1389" s="216"/>
      <c r="AA1389" s="186">
        <f>AVERAGE(0.52,1.93)</f>
        <v>1.2250000000000001</v>
      </c>
      <c r="AB1389" s="192"/>
      <c r="AC1389" s="152"/>
      <c r="AD1389" s="186"/>
      <c r="AE1389" s="186"/>
      <c r="AF1389" s="186"/>
      <c r="AG1389" s="186"/>
      <c r="AH1389" s="336"/>
      <c r="AI1389" s="188"/>
      <c r="AJ1389" s="188"/>
      <c r="AK1389" s="190"/>
      <c r="AL1389" s="189"/>
      <c r="AM1389" s="189"/>
      <c r="AN1389" s="189"/>
      <c r="AO1389" s="189"/>
      <c r="AP1389" s="189"/>
      <c r="AQ1389" s="189"/>
      <c r="AR1389" s="189"/>
      <c r="AS1389" s="189"/>
      <c r="AT1389" s="189"/>
      <c r="AU1389" s="191"/>
      <c r="AV1389" s="191"/>
      <c r="AW1389" s="191"/>
      <c r="AX1389" s="191"/>
      <c r="AY1389" s="191"/>
      <c r="AZ1389" s="189"/>
      <c r="BA1389" s="189"/>
      <c r="BB1389" s="189"/>
      <c r="BC1389" s="189"/>
      <c r="BD1389" s="189"/>
      <c r="BE1389" s="189"/>
      <c r="BF1389" s="189"/>
      <c r="BG1389" s="189"/>
      <c r="BH1389" s="189"/>
      <c r="BI1389" s="190"/>
      <c r="BJ1389" s="190"/>
      <c r="BK1389" s="190"/>
      <c r="BL1389" s="190"/>
      <c r="BM1389" s="190"/>
      <c r="BN1389" s="190"/>
      <c r="BO1389" s="190"/>
      <c r="BP1389" s="190"/>
      <c r="BQ1389" s="190"/>
      <c r="BR1389" s="190"/>
      <c r="BS1389" s="190"/>
      <c r="BT1389" s="190"/>
      <c r="BU1389" s="190"/>
      <c r="BV1389" s="190"/>
      <c r="BW1389" s="190"/>
      <c r="BX1389" s="190"/>
      <c r="BY1389" s="190"/>
      <c r="BZ1389" s="190"/>
      <c r="CA1389" s="189"/>
      <c r="CB1389" s="192"/>
    </row>
    <row r="1390" spans="1:80" x14ac:dyDescent="0.2">
      <c r="A1390" s="152"/>
      <c r="B1390" s="683"/>
      <c r="C1390" s="683"/>
      <c r="D1390" s="698"/>
      <c r="E1390" s="215"/>
      <c r="F1390" s="215"/>
      <c r="G1390" s="153"/>
      <c r="H1390" s="153"/>
      <c r="I1390" s="153"/>
      <c r="J1390" s="153"/>
      <c r="K1390" s="153"/>
      <c r="L1390" s="653"/>
      <c r="M1390" s="655">
        <v>34128</v>
      </c>
      <c r="N1390" s="587">
        <v>3.8798108240000002</v>
      </c>
      <c r="O1390" s="592">
        <v>1.1812420000000001E-3</v>
      </c>
      <c r="P1390" s="216"/>
      <c r="Q1390" s="216"/>
      <c r="R1390" s="216"/>
      <c r="S1390" s="216"/>
      <c r="T1390" s="216"/>
      <c r="U1390" s="216">
        <v>0.106</v>
      </c>
      <c r="V1390" s="216">
        <v>0.31900000000000001</v>
      </c>
      <c r="W1390" s="216">
        <v>0.29799999999999999</v>
      </c>
      <c r="X1390" s="216">
        <v>0.23400000000000001</v>
      </c>
      <c r="Y1390" s="216">
        <v>4.2999999999999997E-2</v>
      </c>
      <c r="Z1390" s="216"/>
      <c r="AA1390" s="186">
        <f>AVERAGE(0.85,0.68)</f>
        <v>0.76500000000000001</v>
      </c>
      <c r="AB1390" s="192"/>
      <c r="AC1390" s="152"/>
      <c r="AD1390" s="186"/>
      <c r="AE1390" s="186"/>
      <c r="AF1390" s="186"/>
      <c r="AG1390" s="186"/>
      <c r="AH1390" s="336"/>
      <c r="AI1390" s="188"/>
      <c r="AJ1390" s="188"/>
      <c r="AK1390" s="190"/>
      <c r="AL1390" s="189"/>
      <c r="AM1390" s="189"/>
      <c r="AN1390" s="189"/>
      <c r="AO1390" s="189"/>
      <c r="AP1390" s="189"/>
      <c r="AQ1390" s="189"/>
      <c r="AR1390" s="189"/>
      <c r="AS1390" s="189"/>
      <c r="AT1390" s="189"/>
      <c r="AU1390" s="191"/>
      <c r="AV1390" s="191"/>
      <c r="AW1390" s="191"/>
      <c r="AX1390" s="191"/>
      <c r="AY1390" s="191"/>
      <c r="AZ1390" s="189"/>
      <c r="BA1390" s="189"/>
      <c r="BB1390" s="189"/>
      <c r="BC1390" s="189"/>
      <c r="BD1390" s="189"/>
      <c r="BE1390" s="189"/>
      <c r="BF1390" s="189"/>
      <c r="BG1390" s="189"/>
      <c r="BH1390" s="189"/>
      <c r="BI1390" s="190"/>
      <c r="BJ1390" s="190"/>
      <c r="BK1390" s="190"/>
      <c r="BL1390" s="190"/>
      <c r="BM1390" s="190"/>
      <c r="BN1390" s="190"/>
      <c r="BO1390" s="190"/>
      <c r="BP1390" s="190"/>
      <c r="BQ1390" s="190"/>
      <c r="BR1390" s="190"/>
      <c r="BS1390" s="190"/>
      <c r="BT1390" s="190"/>
      <c r="BU1390" s="190"/>
      <c r="BV1390" s="190"/>
      <c r="BW1390" s="190"/>
      <c r="BX1390" s="190"/>
      <c r="BY1390" s="190"/>
      <c r="BZ1390" s="190"/>
      <c r="CA1390" s="189"/>
      <c r="CB1390" s="192"/>
    </row>
    <row r="1391" spans="1:80" x14ac:dyDescent="0.2">
      <c r="A1391" s="152"/>
      <c r="B1391" s="683"/>
      <c r="C1391" s="683"/>
      <c r="D1391" s="698"/>
      <c r="E1391" s="215"/>
      <c r="F1391" s="215"/>
      <c r="G1391" s="153"/>
      <c r="H1391" s="153"/>
      <c r="I1391" s="153"/>
      <c r="J1391" s="153"/>
      <c r="K1391" s="153"/>
      <c r="L1391" s="653"/>
      <c r="M1391" s="655">
        <v>34128</v>
      </c>
      <c r="N1391" s="587">
        <v>3.7948514630000001</v>
      </c>
      <c r="O1391" s="592">
        <v>1.060493E-3</v>
      </c>
      <c r="P1391" s="216"/>
      <c r="Q1391" s="216"/>
      <c r="R1391" s="216"/>
      <c r="S1391" s="216"/>
      <c r="T1391" s="216"/>
      <c r="U1391" s="216">
        <v>8.6999999999999994E-2</v>
      </c>
      <c r="V1391" s="216">
        <v>0.34799999999999998</v>
      </c>
      <c r="W1391" s="216">
        <v>0.217</v>
      </c>
      <c r="X1391" s="216">
        <v>0.26100000000000001</v>
      </c>
      <c r="Y1391" s="216">
        <v>8.6999999999999994E-2</v>
      </c>
      <c r="Z1391" s="216"/>
      <c r="AA1391" s="186">
        <v>0.86</v>
      </c>
      <c r="AB1391" s="192"/>
      <c r="AC1391" s="152"/>
      <c r="AD1391" s="186"/>
      <c r="AE1391" s="186"/>
      <c r="AF1391" s="186"/>
      <c r="AG1391" s="186"/>
      <c r="AH1391" s="336"/>
      <c r="AI1391" s="188"/>
      <c r="AJ1391" s="188"/>
      <c r="AK1391" s="190"/>
      <c r="AL1391" s="189"/>
      <c r="AM1391" s="189"/>
      <c r="AN1391" s="189"/>
      <c r="AO1391" s="189"/>
      <c r="AP1391" s="189"/>
      <c r="AQ1391" s="189"/>
      <c r="AR1391" s="189"/>
      <c r="AS1391" s="189"/>
      <c r="AT1391" s="189"/>
      <c r="AU1391" s="191"/>
      <c r="AV1391" s="191"/>
      <c r="AW1391" s="191"/>
      <c r="AX1391" s="191"/>
      <c r="AY1391" s="191"/>
      <c r="AZ1391" s="189"/>
      <c r="BA1391" s="189"/>
      <c r="BB1391" s="189"/>
      <c r="BC1391" s="189"/>
      <c r="BD1391" s="189"/>
      <c r="BE1391" s="189"/>
      <c r="BF1391" s="189"/>
      <c r="BG1391" s="189"/>
      <c r="BH1391" s="189"/>
      <c r="BI1391" s="190"/>
      <c r="BJ1391" s="190"/>
      <c r="BK1391" s="190"/>
      <c r="BL1391" s="190"/>
      <c r="BM1391" s="190"/>
      <c r="BN1391" s="190"/>
      <c r="BO1391" s="190"/>
      <c r="BP1391" s="190"/>
      <c r="BQ1391" s="190"/>
      <c r="BR1391" s="190"/>
      <c r="BS1391" s="190"/>
      <c r="BT1391" s="190"/>
      <c r="BU1391" s="190"/>
      <c r="BV1391" s="190"/>
      <c r="BW1391" s="190"/>
      <c r="BX1391" s="190"/>
      <c r="BY1391" s="190"/>
      <c r="BZ1391" s="190"/>
      <c r="CA1391" s="189"/>
      <c r="CB1391" s="192"/>
    </row>
    <row r="1392" spans="1:80" x14ac:dyDescent="0.2">
      <c r="A1392" s="152"/>
      <c r="B1392" s="683"/>
      <c r="C1392" s="683"/>
      <c r="D1392" s="698"/>
      <c r="E1392" s="215"/>
      <c r="F1392" s="215"/>
      <c r="G1392" s="153"/>
      <c r="H1392" s="153"/>
      <c r="I1392" s="153"/>
      <c r="J1392" s="153"/>
      <c r="K1392" s="153"/>
      <c r="L1392" s="653"/>
      <c r="M1392" s="655">
        <v>34129</v>
      </c>
      <c r="N1392" s="587">
        <v>3.7665316760000001</v>
      </c>
      <c r="O1392" s="592">
        <v>8.4524399999999999E-4</v>
      </c>
      <c r="P1392" s="216"/>
      <c r="Q1392" s="216"/>
      <c r="R1392" s="216"/>
      <c r="S1392" s="216"/>
      <c r="T1392" s="216"/>
      <c r="U1392" s="216">
        <v>0.1</v>
      </c>
      <c r="V1392" s="216">
        <v>0.25</v>
      </c>
      <c r="W1392" s="216">
        <v>0.2</v>
      </c>
      <c r="X1392" s="216">
        <v>0.35</v>
      </c>
      <c r="Y1392" s="216">
        <v>0.1</v>
      </c>
      <c r="Z1392" s="216"/>
      <c r="AA1392" s="186">
        <f>AVERAGE(0.59,1.17)</f>
        <v>0.87999999999999989</v>
      </c>
      <c r="AB1392" s="192"/>
      <c r="AC1392" s="152"/>
      <c r="AD1392" s="186"/>
      <c r="AE1392" s="186"/>
      <c r="AF1392" s="186"/>
      <c r="AG1392" s="186"/>
      <c r="AH1392" s="336"/>
      <c r="AI1392" s="188"/>
      <c r="AJ1392" s="188"/>
      <c r="AK1392" s="190"/>
      <c r="AL1392" s="189"/>
      <c r="AM1392" s="189"/>
      <c r="AN1392" s="189"/>
      <c r="AO1392" s="189"/>
      <c r="AP1392" s="189"/>
      <c r="AQ1392" s="189"/>
      <c r="AR1392" s="189"/>
      <c r="AS1392" s="189"/>
      <c r="AT1392" s="189"/>
      <c r="AU1392" s="191"/>
      <c r="AV1392" s="191"/>
      <c r="AW1392" s="191"/>
      <c r="AX1392" s="191"/>
      <c r="AY1392" s="191"/>
      <c r="AZ1392" s="189"/>
      <c r="BA1392" s="189"/>
      <c r="BB1392" s="189"/>
      <c r="BC1392" s="189"/>
      <c r="BD1392" s="189"/>
      <c r="BE1392" s="189"/>
      <c r="BF1392" s="189"/>
      <c r="BG1392" s="189"/>
      <c r="BH1392" s="189"/>
      <c r="BI1392" s="190"/>
      <c r="BJ1392" s="190"/>
      <c r="BK1392" s="190"/>
      <c r="BL1392" s="190"/>
      <c r="BM1392" s="190"/>
      <c r="BN1392" s="190"/>
      <c r="BO1392" s="190"/>
      <c r="BP1392" s="190"/>
      <c r="BQ1392" s="190"/>
      <c r="BR1392" s="190"/>
      <c r="BS1392" s="190"/>
      <c r="BT1392" s="190"/>
      <c r="BU1392" s="190"/>
      <c r="BV1392" s="190"/>
      <c r="BW1392" s="190"/>
      <c r="BX1392" s="190"/>
      <c r="BY1392" s="190"/>
      <c r="BZ1392" s="190"/>
      <c r="CA1392" s="189"/>
      <c r="CB1392" s="192"/>
    </row>
    <row r="1393" spans="1:80" x14ac:dyDescent="0.2">
      <c r="A1393" s="152"/>
      <c r="B1393" s="683"/>
      <c r="C1393" s="683"/>
      <c r="D1393" s="698"/>
      <c r="E1393" s="215"/>
      <c r="F1393" s="215"/>
      <c r="G1393" s="153"/>
      <c r="H1393" s="153"/>
      <c r="I1393" s="153"/>
      <c r="J1393" s="153"/>
      <c r="K1393" s="153"/>
      <c r="L1393" s="653"/>
      <c r="M1393" s="655">
        <v>34129</v>
      </c>
      <c r="N1393" s="587">
        <v>3.5399733790000001</v>
      </c>
      <c r="O1393" s="592">
        <v>7.9799500000000002E-4</v>
      </c>
      <c r="P1393" s="216"/>
      <c r="Q1393" s="216"/>
      <c r="R1393" s="216"/>
      <c r="S1393" s="216"/>
      <c r="T1393" s="216"/>
      <c r="U1393" s="216">
        <v>0.12</v>
      </c>
      <c r="V1393" s="216">
        <v>0.38</v>
      </c>
      <c r="W1393" s="216">
        <v>0.25</v>
      </c>
      <c r="X1393" s="216">
        <v>0.19</v>
      </c>
      <c r="Y1393" s="216">
        <v>0.06</v>
      </c>
      <c r="Z1393" s="216"/>
      <c r="AA1393" s="186">
        <f>AVERAGE(0.52,1.21)</f>
        <v>0.86499999999999999</v>
      </c>
      <c r="AB1393" s="192"/>
      <c r="AC1393" s="152"/>
      <c r="AD1393" s="186"/>
      <c r="AE1393" s="186"/>
      <c r="AF1393" s="186"/>
      <c r="AG1393" s="186"/>
      <c r="AH1393" s="336"/>
      <c r="AI1393" s="188"/>
      <c r="AJ1393" s="188"/>
      <c r="AK1393" s="190"/>
      <c r="AL1393" s="189"/>
      <c r="AM1393" s="189"/>
      <c r="AN1393" s="189"/>
      <c r="AO1393" s="189"/>
      <c r="AP1393" s="189"/>
      <c r="AQ1393" s="189"/>
      <c r="AR1393" s="189"/>
      <c r="AS1393" s="189"/>
      <c r="AT1393" s="189"/>
      <c r="AU1393" s="191"/>
      <c r="AV1393" s="191"/>
      <c r="AW1393" s="191"/>
      <c r="AX1393" s="191"/>
      <c r="AY1393" s="191"/>
      <c r="AZ1393" s="189"/>
      <c r="BA1393" s="189"/>
      <c r="BB1393" s="189"/>
      <c r="BC1393" s="189"/>
      <c r="BD1393" s="189"/>
      <c r="BE1393" s="189"/>
      <c r="BF1393" s="189"/>
      <c r="BG1393" s="189"/>
      <c r="BH1393" s="189"/>
      <c r="BI1393" s="190"/>
      <c r="BJ1393" s="190"/>
      <c r="BK1393" s="190"/>
      <c r="BL1393" s="190"/>
      <c r="BM1393" s="190"/>
      <c r="BN1393" s="190"/>
      <c r="BO1393" s="190"/>
      <c r="BP1393" s="190"/>
      <c r="BQ1393" s="190"/>
      <c r="BR1393" s="190"/>
      <c r="BS1393" s="190"/>
      <c r="BT1393" s="190"/>
      <c r="BU1393" s="190"/>
      <c r="BV1393" s="190"/>
      <c r="BW1393" s="190"/>
      <c r="BX1393" s="190"/>
      <c r="BY1393" s="190"/>
      <c r="BZ1393" s="190"/>
      <c r="CA1393" s="189"/>
      <c r="CB1393" s="192"/>
    </row>
    <row r="1394" spans="1:80" x14ac:dyDescent="0.2">
      <c r="A1394" s="152"/>
      <c r="B1394" s="683"/>
      <c r="C1394" s="683"/>
      <c r="D1394" s="698"/>
      <c r="E1394" s="215"/>
      <c r="F1394" s="215"/>
      <c r="G1394" s="153"/>
      <c r="H1394" s="153"/>
      <c r="I1394" s="153"/>
      <c r="J1394" s="153"/>
      <c r="K1394" s="153"/>
      <c r="L1394" s="653"/>
      <c r="M1394" s="655">
        <v>35570</v>
      </c>
      <c r="N1394" s="587">
        <v>7.8781488350000002</v>
      </c>
      <c r="O1394" s="592">
        <v>0.72261670499999997</v>
      </c>
      <c r="P1394" s="216"/>
      <c r="Q1394" s="216">
        <v>0.17299999999999999</v>
      </c>
      <c r="R1394" s="216">
        <v>0.11700000000000001</v>
      </c>
      <c r="S1394" s="216">
        <v>0.22500000000000001</v>
      </c>
      <c r="T1394" s="216">
        <v>0.17799999999999999</v>
      </c>
      <c r="U1394" s="216">
        <v>0.13</v>
      </c>
      <c r="V1394" s="216">
        <v>8.2000000000000003E-2</v>
      </c>
      <c r="W1394" s="216">
        <v>4.8000000000000001E-2</v>
      </c>
      <c r="X1394" s="216">
        <v>3.6999999999999998E-2</v>
      </c>
      <c r="Y1394" s="216">
        <v>8.9999999999999993E-3</v>
      </c>
      <c r="Z1394" s="216"/>
      <c r="AA1394" s="186">
        <f>AVERAGE(8.54,4.45)</f>
        <v>6.4949999999999992</v>
      </c>
      <c r="AB1394" s="192"/>
      <c r="AC1394" s="152"/>
      <c r="AD1394" s="186"/>
      <c r="AE1394" s="186"/>
      <c r="AF1394" s="186"/>
      <c r="AG1394" s="186"/>
      <c r="AH1394" s="336"/>
      <c r="AI1394" s="188"/>
      <c r="AJ1394" s="188"/>
      <c r="AK1394" s="190"/>
      <c r="AL1394" s="189"/>
      <c r="AM1394" s="189"/>
      <c r="AN1394" s="189"/>
      <c r="AO1394" s="189"/>
      <c r="AP1394" s="189"/>
      <c r="AQ1394" s="189"/>
      <c r="AR1394" s="189"/>
      <c r="AS1394" s="189"/>
      <c r="AT1394" s="189"/>
      <c r="AU1394" s="191"/>
      <c r="AV1394" s="191"/>
      <c r="AW1394" s="191"/>
      <c r="AX1394" s="191"/>
      <c r="AY1394" s="191"/>
      <c r="AZ1394" s="189"/>
      <c r="BA1394" s="189"/>
      <c r="BB1394" s="189"/>
      <c r="BC1394" s="189"/>
      <c r="BD1394" s="189"/>
      <c r="BE1394" s="189"/>
      <c r="BF1394" s="189"/>
      <c r="BG1394" s="189"/>
      <c r="BH1394" s="189"/>
      <c r="BI1394" s="190"/>
      <c r="BJ1394" s="190"/>
      <c r="BK1394" s="190"/>
      <c r="BL1394" s="190"/>
      <c r="BM1394" s="190"/>
      <c r="BN1394" s="190"/>
      <c r="BO1394" s="190"/>
      <c r="BP1394" s="190"/>
      <c r="BQ1394" s="190"/>
      <c r="BR1394" s="190"/>
      <c r="BS1394" s="190"/>
      <c r="BT1394" s="190"/>
      <c r="BU1394" s="190"/>
      <c r="BV1394" s="190"/>
      <c r="BW1394" s="190"/>
      <c r="BX1394" s="190"/>
      <c r="BY1394" s="190"/>
      <c r="BZ1394" s="190"/>
      <c r="CA1394" s="189"/>
      <c r="CB1394" s="192"/>
    </row>
    <row r="1395" spans="1:80" x14ac:dyDescent="0.2">
      <c r="A1395" s="152"/>
      <c r="B1395" s="683"/>
      <c r="C1395" s="683"/>
      <c r="D1395" s="698"/>
      <c r="E1395" s="215"/>
      <c r="F1395" s="215"/>
      <c r="G1395" s="153"/>
      <c r="H1395" s="153"/>
      <c r="I1395" s="153"/>
      <c r="J1395" s="153"/>
      <c r="K1395" s="153"/>
      <c r="L1395" s="653"/>
      <c r="M1395" s="655">
        <v>35571</v>
      </c>
      <c r="N1395" s="587">
        <v>8.1744976620000003</v>
      </c>
      <c r="O1395" s="592">
        <v>0.26577040400000002</v>
      </c>
      <c r="P1395" s="216"/>
      <c r="Q1395" s="216">
        <v>0.14499999999999999</v>
      </c>
      <c r="R1395" s="216">
        <v>7.1999999999999995E-2</v>
      </c>
      <c r="S1395" s="216">
        <v>0.113</v>
      </c>
      <c r="T1395" s="216">
        <v>0.159</v>
      </c>
      <c r="U1395" s="216">
        <v>0.17199999999999999</v>
      </c>
      <c r="V1395" s="216">
        <v>0.14699999999999999</v>
      </c>
      <c r="W1395" s="216">
        <v>0.10199999999999999</v>
      </c>
      <c r="X1395" s="216">
        <v>7.3999999999999996E-2</v>
      </c>
      <c r="Y1395" s="216">
        <v>1.4999999999999999E-2</v>
      </c>
      <c r="Z1395" s="216"/>
      <c r="AA1395" s="186">
        <f>AVERAGE(3.88,13.7)</f>
        <v>8.7899999999999991</v>
      </c>
      <c r="AB1395" s="192"/>
      <c r="AC1395" s="152"/>
      <c r="AD1395" s="186">
        <f>32.8*(0.3048)</f>
        <v>9.9974399999999992</v>
      </c>
      <c r="AE1395" s="186">
        <f>1.66*(0.3048)</f>
        <v>0.50596799999999997</v>
      </c>
      <c r="AF1395" s="186">
        <f>54.3*(0.3048^2)</f>
        <v>5.0446350720000002</v>
      </c>
      <c r="AG1395" s="186">
        <f>5.32*(0.3048)</f>
        <v>1.6215360000000001</v>
      </c>
      <c r="AH1395" s="336"/>
      <c r="AI1395" s="188"/>
      <c r="AJ1395" s="188"/>
      <c r="AK1395" s="190"/>
      <c r="AL1395" s="189"/>
      <c r="AM1395" s="189"/>
      <c r="AN1395" s="189"/>
      <c r="AO1395" s="189"/>
      <c r="AP1395" s="189"/>
      <c r="AQ1395" s="189"/>
      <c r="AR1395" s="189"/>
      <c r="AS1395" s="189"/>
      <c r="AT1395" s="189"/>
      <c r="AU1395" s="191"/>
      <c r="AV1395" s="191"/>
      <c r="AW1395" s="191"/>
      <c r="AX1395" s="191"/>
      <c r="AY1395" s="191"/>
      <c r="AZ1395" s="189"/>
      <c r="BA1395" s="189"/>
      <c r="BB1395" s="189"/>
      <c r="BC1395" s="189"/>
      <c r="BD1395" s="189"/>
      <c r="BE1395" s="189"/>
      <c r="BF1395" s="189"/>
      <c r="BG1395" s="189"/>
      <c r="BH1395" s="189"/>
      <c r="BI1395" s="190"/>
      <c r="BJ1395" s="190"/>
      <c r="BK1395" s="190"/>
      <c r="BL1395" s="190"/>
      <c r="BM1395" s="190"/>
      <c r="BN1395" s="190"/>
      <c r="BO1395" s="190"/>
      <c r="BP1395" s="190"/>
      <c r="BQ1395" s="190"/>
      <c r="BR1395" s="190"/>
      <c r="BS1395" s="190"/>
      <c r="BT1395" s="190"/>
      <c r="BU1395" s="190"/>
      <c r="BV1395" s="190"/>
      <c r="BW1395" s="190"/>
      <c r="BX1395" s="190"/>
      <c r="BY1395" s="190"/>
      <c r="BZ1395" s="190"/>
      <c r="CA1395" s="189"/>
      <c r="CB1395" s="192"/>
    </row>
    <row r="1396" spans="1:80" x14ac:dyDescent="0.2">
      <c r="A1396" s="152"/>
      <c r="B1396" s="683"/>
      <c r="C1396" s="683"/>
      <c r="D1396" s="698"/>
      <c r="E1396" s="215"/>
      <c r="F1396" s="215"/>
      <c r="G1396" s="153"/>
      <c r="H1396" s="153"/>
      <c r="I1396" s="153"/>
      <c r="J1396" s="153"/>
      <c r="K1396" s="153"/>
      <c r="L1396" s="653"/>
      <c r="M1396" s="655">
        <v>35571</v>
      </c>
      <c r="N1396" s="587">
        <v>9.7985613550000004</v>
      </c>
      <c r="O1396" s="592">
        <v>0.65202403099999995</v>
      </c>
      <c r="P1396" s="216"/>
      <c r="Q1396" s="216">
        <v>0.22600000000000001</v>
      </c>
      <c r="R1396" s="216">
        <v>0.32200000000000001</v>
      </c>
      <c r="S1396" s="216">
        <v>0.14699999999999999</v>
      </c>
      <c r="T1396" s="216">
        <v>6.9000000000000006E-2</v>
      </c>
      <c r="U1396" s="216">
        <v>6.7000000000000004E-2</v>
      </c>
      <c r="V1396" s="216">
        <v>6.3E-2</v>
      </c>
      <c r="W1396" s="216">
        <v>4.8000000000000001E-2</v>
      </c>
      <c r="X1396" s="216">
        <v>4.9000000000000002E-2</v>
      </c>
      <c r="Y1396" s="216">
        <v>0.01</v>
      </c>
      <c r="Z1396" s="216"/>
      <c r="AA1396" s="186">
        <f>AVERAGE(18.3,13.2)</f>
        <v>15.75</v>
      </c>
      <c r="AB1396" s="192"/>
      <c r="AC1396" s="152"/>
      <c r="AD1396" s="186"/>
      <c r="AE1396" s="186"/>
      <c r="AF1396" s="186"/>
      <c r="AG1396" s="186"/>
      <c r="AH1396" s="336"/>
      <c r="AI1396" s="188"/>
      <c r="AJ1396" s="188"/>
      <c r="AK1396" s="190"/>
      <c r="AL1396" s="189"/>
      <c r="AM1396" s="189"/>
      <c r="AN1396" s="189"/>
      <c r="AO1396" s="189"/>
      <c r="AP1396" s="189"/>
      <c r="AQ1396" s="189"/>
      <c r="AR1396" s="189"/>
      <c r="AS1396" s="189"/>
      <c r="AT1396" s="189"/>
      <c r="AU1396" s="191"/>
      <c r="AV1396" s="191"/>
      <c r="AW1396" s="191"/>
      <c r="AX1396" s="191"/>
      <c r="AY1396" s="191"/>
      <c r="AZ1396" s="189"/>
      <c r="BA1396" s="189"/>
      <c r="BB1396" s="189"/>
      <c r="BC1396" s="189"/>
      <c r="BD1396" s="189"/>
      <c r="BE1396" s="189"/>
      <c r="BF1396" s="189"/>
      <c r="BG1396" s="189"/>
      <c r="BH1396" s="189"/>
      <c r="BI1396" s="190"/>
      <c r="BJ1396" s="190"/>
      <c r="BK1396" s="190"/>
      <c r="BL1396" s="190"/>
      <c r="BM1396" s="190"/>
      <c r="BN1396" s="190"/>
      <c r="BO1396" s="190"/>
      <c r="BP1396" s="190"/>
      <c r="BQ1396" s="190"/>
      <c r="BR1396" s="190"/>
      <c r="BS1396" s="190"/>
      <c r="BT1396" s="190"/>
      <c r="BU1396" s="190"/>
      <c r="BV1396" s="190"/>
      <c r="BW1396" s="190"/>
      <c r="BX1396" s="190"/>
      <c r="BY1396" s="190"/>
      <c r="BZ1396" s="190"/>
      <c r="CA1396" s="189"/>
      <c r="CB1396" s="192"/>
    </row>
    <row r="1397" spans="1:80" x14ac:dyDescent="0.2">
      <c r="A1397" s="152"/>
      <c r="B1397" s="683"/>
      <c r="C1397" s="683"/>
      <c r="D1397" s="698"/>
      <c r="E1397" s="215"/>
      <c r="F1397" s="215"/>
      <c r="G1397" s="153"/>
      <c r="H1397" s="153"/>
      <c r="I1397" s="153"/>
      <c r="J1397" s="153"/>
      <c r="K1397" s="153"/>
      <c r="L1397" s="653"/>
      <c r="M1397" s="655">
        <v>35572</v>
      </c>
      <c r="N1397" s="587">
        <v>8.5458700820000004</v>
      </c>
      <c r="O1397" s="592">
        <v>0.49454614800000002</v>
      </c>
      <c r="P1397" s="216"/>
      <c r="Q1397" s="216">
        <v>0.124</v>
      </c>
      <c r="R1397" s="216">
        <v>0.33</v>
      </c>
      <c r="S1397" s="216">
        <v>0.222</v>
      </c>
      <c r="T1397" s="216">
        <v>8.8999999999999996E-2</v>
      </c>
      <c r="U1397" s="216">
        <v>7.2999999999999995E-2</v>
      </c>
      <c r="V1397" s="216">
        <v>6.4000000000000001E-2</v>
      </c>
      <c r="W1397" s="216">
        <v>4.4999999999999998E-2</v>
      </c>
      <c r="X1397" s="216">
        <v>4.2000000000000003E-2</v>
      </c>
      <c r="Y1397" s="216">
        <v>1.0999999999999999E-2</v>
      </c>
      <c r="Z1397" s="216"/>
      <c r="AA1397" s="186">
        <f>AVERAGE(14.4,13.3)</f>
        <v>13.850000000000001</v>
      </c>
      <c r="AB1397" s="192"/>
      <c r="AC1397" s="152"/>
      <c r="AD1397" s="186">
        <f>32.8*(0.3048)</f>
        <v>9.9974399999999992</v>
      </c>
      <c r="AE1397" s="186">
        <f>1.77*(0.3048)</f>
        <v>0.53949600000000009</v>
      </c>
      <c r="AF1397" s="186">
        <f>58.1*(0.3048^2)</f>
        <v>5.3976666240000002</v>
      </c>
      <c r="AG1397" s="186">
        <f>5.61*(0.3048)</f>
        <v>1.7099280000000001</v>
      </c>
      <c r="AH1397" s="336"/>
      <c r="AI1397" s="188"/>
      <c r="AJ1397" s="188"/>
      <c r="AK1397" s="190"/>
      <c r="AL1397" s="189"/>
      <c r="AM1397" s="189"/>
      <c r="AN1397" s="189"/>
      <c r="AO1397" s="189"/>
      <c r="AP1397" s="189"/>
      <c r="AQ1397" s="189"/>
      <c r="AR1397" s="189"/>
      <c r="AS1397" s="189"/>
      <c r="AT1397" s="189"/>
      <c r="AU1397" s="191"/>
      <c r="AV1397" s="191"/>
      <c r="AW1397" s="191"/>
      <c r="AX1397" s="191"/>
      <c r="AY1397" s="191"/>
      <c r="AZ1397" s="189"/>
      <c r="BA1397" s="189"/>
      <c r="BB1397" s="189"/>
      <c r="BC1397" s="189"/>
      <c r="BD1397" s="189"/>
      <c r="BE1397" s="189"/>
      <c r="BF1397" s="189"/>
      <c r="BG1397" s="189"/>
      <c r="BH1397" s="189"/>
      <c r="BI1397" s="190"/>
      <c r="BJ1397" s="190"/>
      <c r="BK1397" s="190"/>
      <c r="BL1397" s="190"/>
      <c r="BM1397" s="190"/>
      <c r="BN1397" s="190"/>
      <c r="BO1397" s="190"/>
      <c r="BP1397" s="190"/>
      <c r="BQ1397" s="190"/>
      <c r="BR1397" s="190"/>
      <c r="BS1397" s="190"/>
      <c r="BT1397" s="190"/>
      <c r="BU1397" s="190"/>
      <c r="BV1397" s="190"/>
      <c r="BW1397" s="190"/>
      <c r="BX1397" s="190"/>
      <c r="BY1397" s="190"/>
      <c r="BZ1397" s="190"/>
      <c r="CA1397" s="189"/>
      <c r="CB1397" s="192"/>
    </row>
    <row r="1398" spans="1:80" x14ac:dyDescent="0.2">
      <c r="A1398" s="152"/>
      <c r="B1398" s="683"/>
      <c r="C1398" s="683"/>
      <c r="D1398" s="698"/>
      <c r="E1398" s="215"/>
      <c r="F1398" s="215"/>
      <c r="G1398" s="153"/>
      <c r="H1398" s="153"/>
      <c r="I1398" s="153"/>
      <c r="J1398" s="153"/>
      <c r="K1398" s="153"/>
      <c r="L1398" s="653"/>
      <c r="M1398" s="655">
        <v>35572</v>
      </c>
      <c r="N1398" s="587">
        <v>9.231999235</v>
      </c>
      <c r="O1398" s="592">
        <v>0.36537948100000001</v>
      </c>
      <c r="P1398" s="216"/>
      <c r="Q1398" s="216">
        <v>0.192</v>
      </c>
      <c r="R1398" s="216">
        <v>0.16800000000000001</v>
      </c>
      <c r="S1398" s="216">
        <v>0.158</v>
      </c>
      <c r="T1398" s="216">
        <v>0.126</v>
      </c>
      <c r="U1398" s="216">
        <v>0.129</v>
      </c>
      <c r="V1398" s="216">
        <v>9.5000000000000001E-2</v>
      </c>
      <c r="W1398" s="216">
        <v>0.06</v>
      </c>
      <c r="X1398" s="216">
        <v>5.8000000000000003E-2</v>
      </c>
      <c r="Y1398" s="216">
        <v>1.4999999999999999E-2</v>
      </c>
      <c r="Z1398" s="216"/>
      <c r="AA1398" s="186">
        <f>AVERAGE(8.9,4.5)</f>
        <v>6.7</v>
      </c>
      <c r="AB1398" s="192"/>
      <c r="AC1398" s="152"/>
      <c r="AD1398" s="186"/>
      <c r="AE1398" s="186"/>
      <c r="AF1398" s="186"/>
      <c r="AG1398" s="186"/>
      <c r="AH1398" s="336"/>
      <c r="AI1398" s="188"/>
      <c r="AJ1398" s="188"/>
      <c r="AK1398" s="190"/>
      <c r="AL1398" s="189"/>
      <c r="AM1398" s="189"/>
      <c r="AN1398" s="189"/>
      <c r="AO1398" s="189"/>
      <c r="AP1398" s="189"/>
      <c r="AQ1398" s="189"/>
      <c r="AR1398" s="189"/>
      <c r="AS1398" s="189"/>
      <c r="AT1398" s="189"/>
      <c r="AU1398" s="191"/>
      <c r="AV1398" s="191"/>
      <c r="AW1398" s="191"/>
      <c r="AX1398" s="191"/>
      <c r="AY1398" s="191"/>
      <c r="AZ1398" s="189"/>
      <c r="BA1398" s="189"/>
      <c r="BB1398" s="189"/>
      <c r="BC1398" s="189"/>
      <c r="BD1398" s="189"/>
      <c r="BE1398" s="189"/>
      <c r="BF1398" s="189"/>
      <c r="BG1398" s="189"/>
      <c r="BH1398" s="189"/>
      <c r="BI1398" s="190"/>
      <c r="BJ1398" s="190"/>
      <c r="BK1398" s="190"/>
      <c r="BL1398" s="190"/>
      <c r="BM1398" s="190"/>
      <c r="BN1398" s="190"/>
      <c r="BO1398" s="190"/>
      <c r="BP1398" s="190"/>
      <c r="BQ1398" s="190"/>
      <c r="BR1398" s="190"/>
      <c r="BS1398" s="190"/>
      <c r="BT1398" s="190"/>
      <c r="BU1398" s="190"/>
      <c r="BV1398" s="190"/>
      <c r="BW1398" s="190"/>
      <c r="BX1398" s="190"/>
      <c r="BY1398" s="190"/>
      <c r="BZ1398" s="190"/>
      <c r="CA1398" s="189"/>
      <c r="CB1398" s="192"/>
    </row>
    <row r="1399" spans="1:80" x14ac:dyDescent="0.2">
      <c r="A1399" s="152"/>
      <c r="B1399" s="683"/>
      <c r="C1399" s="683"/>
      <c r="D1399" s="698"/>
      <c r="E1399" s="215"/>
      <c r="F1399" s="215"/>
      <c r="G1399" s="153"/>
      <c r="H1399" s="153"/>
      <c r="I1399" s="153"/>
      <c r="J1399" s="153"/>
      <c r="K1399" s="153"/>
      <c r="L1399" s="653"/>
      <c r="M1399" s="655">
        <v>35578</v>
      </c>
      <c r="N1399" s="587">
        <v>6.1861520570000001</v>
      </c>
      <c r="O1399" s="592">
        <v>7.7934837000000007E-2</v>
      </c>
      <c r="P1399" s="216"/>
      <c r="Q1399" s="216"/>
      <c r="R1399" s="216">
        <v>0.11700000000000001</v>
      </c>
      <c r="S1399" s="216">
        <v>0.10199999999999999</v>
      </c>
      <c r="T1399" s="216">
        <v>7.0999999999999994E-2</v>
      </c>
      <c r="U1399" s="216">
        <v>0.106</v>
      </c>
      <c r="V1399" s="216">
        <v>0.13600000000000001</v>
      </c>
      <c r="W1399" s="216">
        <v>0.17399999999999999</v>
      </c>
      <c r="X1399" s="216">
        <v>0.23899999999999999</v>
      </c>
      <c r="Y1399" s="216">
        <v>5.5E-2</v>
      </c>
      <c r="Z1399" s="216"/>
      <c r="AA1399" s="186">
        <f>AVERAGE(1.24,3.53)</f>
        <v>2.3849999999999998</v>
      </c>
      <c r="AB1399" s="192"/>
      <c r="AC1399" s="152"/>
      <c r="AD1399" s="186">
        <f>30.2*(0.3048)</f>
        <v>9.2049599999999998</v>
      </c>
      <c r="AE1399" s="186">
        <f>1.59*(0.3048)</f>
        <v>0.48463200000000006</v>
      </c>
      <c r="AF1399" s="186">
        <f>48.1*(0.3048^2)</f>
        <v>4.4686362240000008</v>
      </c>
      <c r="AG1399" s="186">
        <f>4.59*(0.3048)</f>
        <v>1.3990320000000001</v>
      </c>
      <c r="AH1399" s="336"/>
      <c r="AI1399" s="188"/>
      <c r="AJ1399" s="188"/>
      <c r="AK1399" s="190"/>
      <c r="AL1399" s="189"/>
      <c r="AM1399" s="189"/>
      <c r="AN1399" s="189"/>
      <c r="AO1399" s="189"/>
      <c r="AP1399" s="189"/>
      <c r="AQ1399" s="189"/>
      <c r="AR1399" s="189"/>
      <c r="AS1399" s="189"/>
      <c r="AT1399" s="189"/>
      <c r="AU1399" s="191"/>
      <c r="AV1399" s="191"/>
      <c r="AW1399" s="191"/>
      <c r="AX1399" s="191"/>
      <c r="AY1399" s="191"/>
      <c r="AZ1399" s="189"/>
      <c r="BA1399" s="189"/>
      <c r="BB1399" s="189"/>
      <c r="BC1399" s="189"/>
      <c r="BD1399" s="189"/>
      <c r="BE1399" s="189"/>
      <c r="BF1399" s="189"/>
      <c r="BG1399" s="189"/>
      <c r="BH1399" s="189"/>
      <c r="BI1399" s="190"/>
      <c r="BJ1399" s="190"/>
      <c r="BK1399" s="190"/>
      <c r="BL1399" s="190"/>
      <c r="BM1399" s="190"/>
      <c r="BN1399" s="190"/>
      <c r="BO1399" s="190"/>
      <c r="BP1399" s="190"/>
      <c r="BQ1399" s="190"/>
      <c r="BR1399" s="190"/>
      <c r="BS1399" s="190"/>
      <c r="BT1399" s="190"/>
      <c r="BU1399" s="190"/>
      <c r="BV1399" s="190"/>
      <c r="BW1399" s="190"/>
      <c r="BX1399" s="190"/>
      <c r="BY1399" s="190"/>
      <c r="BZ1399" s="190"/>
      <c r="CA1399" s="189"/>
      <c r="CB1399" s="192"/>
    </row>
    <row r="1400" spans="1:80" x14ac:dyDescent="0.2">
      <c r="A1400" s="152"/>
      <c r="B1400" s="683"/>
      <c r="C1400" s="683"/>
      <c r="D1400" s="698"/>
      <c r="E1400" s="215"/>
      <c r="F1400" s="215"/>
      <c r="G1400" s="153"/>
      <c r="H1400" s="153"/>
      <c r="I1400" s="153"/>
      <c r="J1400" s="153"/>
      <c r="K1400" s="153"/>
      <c r="L1400" s="653"/>
      <c r="M1400" s="655">
        <v>35579</v>
      </c>
      <c r="N1400" s="587">
        <v>6.8675483560000004</v>
      </c>
      <c r="O1400" s="592">
        <v>0.43791671700000001</v>
      </c>
      <c r="P1400" s="216"/>
      <c r="Q1400" s="216">
        <v>0.11799999999999999</v>
      </c>
      <c r="R1400" s="216">
        <v>0.22600000000000001</v>
      </c>
      <c r="S1400" s="216">
        <v>0.111</v>
      </c>
      <c r="T1400" s="216">
        <v>9.8000000000000004E-2</v>
      </c>
      <c r="U1400" s="216">
        <v>0.13300000000000001</v>
      </c>
      <c r="V1400" s="216">
        <v>0.14899999999999999</v>
      </c>
      <c r="W1400" s="216">
        <v>0.10199999999999999</v>
      </c>
      <c r="X1400" s="216">
        <v>5.3999999999999999E-2</v>
      </c>
      <c r="Y1400" s="216">
        <v>0.01</v>
      </c>
      <c r="Z1400" s="216"/>
      <c r="AA1400" s="186">
        <f>AVERAGE(6.15,8.94)</f>
        <v>7.5449999999999999</v>
      </c>
      <c r="AB1400" s="192"/>
      <c r="AC1400" s="152"/>
      <c r="AD1400" s="186">
        <f>30.5*(0.3048)</f>
        <v>9.2964000000000002</v>
      </c>
      <c r="AE1400" s="186">
        <f>1.61*(0.3048)</f>
        <v>0.49072800000000005</v>
      </c>
      <c r="AF1400" s="186">
        <f>49.2*(0.3048^2)</f>
        <v>4.5708295680000006</v>
      </c>
      <c r="AG1400" s="186">
        <f>5.32*(0.3048)</f>
        <v>1.6215360000000001</v>
      </c>
      <c r="AH1400" s="336"/>
      <c r="AI1400" s="188"/>
      <c r="AJ1400" s="188"/>
      <c r="AK1400" s="190"/>
      <c r="AL1400" s="189"/>
      <c r="AM1400" s="189"/>
      <c r="AN1400" s="189"/>
      <c r="AO1400" s="189"/>
      <c r="AP1400" s="189"/>
      <c r="AQ1400" s="189"/>
      <c r="AR1400" s="189"/>
      <c r="AS1400" s="189"/>
      <c r="AT1400" s="189"/>
      <c r="AU1400" s="191"/>
      <c r="AV1400" s="191"/>
      <c r="AW1400" s="191"/>
      <c r="AX1400" s="191"/>
      <c r="AY1400" s="191"/>
      <c r="AZ1400" s="189"/>
      <c r="BA1400" s="189"/>
      <c r="BB1400" s="189"/>
      <c r="BC1400" s="189"/>
      <c r="BD1400" s="189"/>
      <c r="BE1400" s="189"/>
      <c r="BF1400" s="189"/>
      <c r="BG1400" s="189"/>
      <c r="BH1400" s="189"/>
      <c r="BI1400" s="190"/>
      <c r="BJ1400" s="190"/>
      <c r="BK1400" s="190"/>
      <c r="BL1400" s="190"/>
      <c r="BM1400" s="190"/>
      <c r="BN1400" s="190"/>
      <c r="BO1400" s="190"/>
      <c r="BP1400" s="190"/>
      <c r="BQ1400" s="190"/>
      <c r="BR1400" s="190"/>
      <c r="BS1400" s="190"/>
      <c r="BT1400" s="190"/>
      <c r="BU1400" s="190"/>
      <c r="BV1400" s="190"/>
      <c r="BW1400" s="190"/>
      <c r="BX1400" s="190"/>
      <c r="BY1400" s="190"/>
      <c r="BZ1400" s="190"/>
      <c r="CA1400" s="189"/>
      <c r="CB1400" s="192"/>
    </row>
    <row r="1401" spans="1:80" x14ac:dyDescent="0.2">
      <c r="A1401" s="152"/>
      <c r="B1401" s="683"/>
      <c r="C1401" s="683"/>
      <c r="D1401" s="698"/>
      <c r="E1401" s="215"/>
      <c r="F1401" s="215"/>
      <c r="G1401" s="153"/>
      <c r="H1401" s="153"/>
      <c r="I1401" s="153"/>
      <c r="J1401" s="153"/>
      <c r="K1401" s="153"/>
      <c r="L1401" s="653"/>
      <c r="M1401" s="655">
        <v>35579</v>
      </c>
      <c r="N1401" s="587">
        <v>7.0777705229999999</v>
      </c>
      <c r="O1401" s="592">
        <v>0.45816567000000002</v>
      </c>
      <c r="P1401" s="216"/>
      <c r="Q1401" s="216"/>
      <c r="R1401" s="216">
        <v>7.1999999999999995E-2</v>
      </c>
      <c r="S1401" s="216">
        <v>0.1</v>
      </c>
      <c r="T1401" s="216">
        <v>0.13400000000000001</v>
      </c>
      <c r="U1401" s="216">
        <v>0.185</v>
      </c>
      <c r="V1401" s="216">
        <v>0.187</v>
      </c>
      <c r="W1401" s="216">
        <v>0.16400000000000001</v>
      </c>
      <c r="X1401" s="216">
        <v>0.13400000000000001</v>
      </c>
      <c r="Y1401" s="216">
        <v>2.3E-2</v>
      </c>
      <c r="Z1401" s="216"/>
      <c r="AA1401" s="186">
        <f>AVERAGE(1.96,12.2)</f>
        <v>7.08</v>
      </c>
      <c r="AB1401" s="192"/>
      <c r="AC1401" s="152"/>
      <c r="AD1401" s="186">
        <f>30.8*(0.3048)</f>
        <v>9.3878400000000006</v>
      </c>
      <c r="AE1401" s="186">
        <f>1.64*(0.3048)</f>
        <v>0.49987199999999998</v>
      </c>
      <c r="AF1401" s="186">
        <f>50.6*(0.3048^2)</f>
        <v>4.7008938240000004</v>
      </c>
      <c r="AG1401" s="186">
        <f>4.95*(0.3048)</f>
        <v>1.5087600000000001</v>
      </c>
      <c r="AH1401" s="336"/>
      <c r="AI1401" s="188"/>
      <c r="AJ1401" s="188"/>
      <c r="AK1401" s="190"/>
      <c r="AL1401" s="189"/>
      <c r="AM1401" s="189"/>
      <c r="AN1401" s="189"/>
      <c r="AO1401" s="189"/>
      <c r="AP1401" s="189"/>
      <c r="AQ1401" s="189"/>
      <c r="AR1401" s="189"/>
      <c r="AS1401" s="189"/>
      <c r="AT1401" s="189"/>
      <c r="AU1401" s="191"/>
      <c r="AV1401" s="191"/>
      <c r="AW1401" s="191"/>
      <c r="AX1401" s="191"/>
      <c r="AY1401" s="191"/>
      <c r="AZ1401" s="189"/>
      <c r="BA1401" s="189"/>
      <c r="BB1401" s="189"/>
      <c r="BC1401" s="189"/>
      <c r="BD1401" s="189"/>
      <c r="BE1401" s="189"/>
      <c r="BF1401" s="189"/>
      <c r="BG1401" s="189"/>
      <c r="BH1401" s="189"/>
      <c r="BI1401" s="190"/>
      <c r="BJ1401" s="190"/>
      <c r="BK1401" s="190"/>
      <c r="BL1401" s="190"/>
      <c r="BM1401" s="190"/>
      <c r="BN1401" s="190"/>
      <c r="BO1401" s="190"/>
      <c r="BP1401" s="190"/>
      <c r="BQ1401" s="190"/>
      <c r="BR1401" s="190"/>
      <c r="BS1401" s="190"/>
      <c r="BT1401" s="190"/>
      <c r="BU1401" s="190"/>
      <c r="BV1401" s="190"/>
      <c r="BW1401" s="190"/>
      <c r="BX1401" s="190"/>
      <c r="BY1401" s="190"/>
      <c r="BZ1401" s="190"/>
      <c r="CA1401" s="189"/>
      <c r="CB1401" s="192"/>
    </row>
    <row r="1402" spans="1:80" x14ac:dyDescent="0.2">
      <c r="A1402" s="152"/>
      <c r="B1402" s="683"/>
      <c r="C1402" s="683"/>
      <c r="D1402" s="698"/>
      <c r="E1402" s="215"/>
      <c r="F1402" s="215"/>
      <c r="G1402" s="153"/>
      <c r="H1402" s="153"/>
      <c r="I1402" s="153"/>
      <c r="J1402" s="153"/>
      <c r="K1402" s="153"/>
      <c r="L1402" s="653"/>
      <c r="M1402" s="655">
        <v>35580</v>
      </c>
      <c r="N1402" s="587">
        <v>7.4942170810000004</v>
      </c>
      <c r="O1402" s="592">
        <v>5.5203661000000001E-2</v>
      </c>
      <c r="P1402" s="216"/>
      <c r="Q1402" s="216"/>
      <c r="R1402" s="216">
        <v>6.4000000000000001E-2</v>
      </c>
      <c r="S1402" s="216">
        <v>5.7000000000000002E-2</v>
      </c>
      <c r="T1402" s="216">
        <v>0.106</v>
      </c>
      <c r="U1402" s="216">
        <v>0.19500000000000001</v>
      </c>
      <c r="V1402" s="216">
        <v>0.224</v>
      </c>
      <c r="W1402" s="216">
        <v>0.17899999999999999</v>
      </c>
      <c r="X1402" s="216">
        <v>0.153</v>
      </c>
      <c r="Y1402" s="216">
        <v>2.3E-2</v>
      </c>
      <c r="Z1402" s="216"/>
      <c r="AA1402" s="186">
        <f>AVERAGE(1.65,1.16)</f>
        <v>1.4049999999999998</v>
      </c>
      <c r="AB1402" s="192"/>
      <c r="AC1402" s="152"/>
      <c r="AD1402" s="186">
        <f>31.5*(0.3048)</f>
        <v>9.6012000000000004</v>
      </c>
      <c r="AE1402" s="186">
        <f>1.59*(0.3048)</f>
        <v>0.48463200000000006</v>
      </c>
      <c r="AF1402" s="186">
        <f>50.2*(0.3048^2)</f>
        <v>4.663732608000001</v>
      </c>
      <c r="AG1402" s="186">
        <f>4.95*(0.3048)</f>
        <v>1.5087600000000001</v>
      </c>
      <c r="AH1402" s="336"/>
      <c r="AI1402" s="188"/>
      <c r="AJ1402" s="188"/>
      <c r="AK1402" s="190"/>
      <c r="AL1402" s="189"/>
      <c r="AM1402" s="189"/>
      <c r="AN1402" s="189"/>
      <c r="AO1402" s="189"/>
      <c r="AP1402" s="189"/>
      <c r="AQ1402" s="189"/>
      <c r="AR1402" s="189"/>
      <c r="AS1402" s="189"/>
      <c r="AT1402" s="189"/>
      <c r="AU1402" s="191"/>
      <c r="AV1402" s="191"/>
      <c r="AW1402" s="191"/>
      <c r="AX1402" s="191"/>
      <c r="AY1402" s="191"/>
      <c r="AZ1402" s="189"/>
      <c r="BA1402" s="189"/>
      <c r="BB1402" s="189"/>
      <c r="BC1402" s="189"/>
      <c r="BD1402" s="189"/>
      <c r="BE1402" s="189"/>
      <c r="BF1402" s="189"/>
      <c r="BG1402" s="189"/>
      <c r="BH1402" s="189"/>
      <c r="BI1402" s="190"/>
      <c r="BJ1402" s="190"/>
      <c r="BK1402" s="190"/>
      <c r="BL1402" s="190"/>
      <c r="BM1402" s="190"/>
      <c r="BN1402" s="190"/>
      <c r="BO1402" s="190"/>
      <c r="BP1402" s="190"/>
      <c r="BQ1402" s="190"/>
      <c r="BR1402" s="190"/>
      <c r="BS1402" s="190"/>
      <c r="BT1402" s="190"/>
      <c r="BU1402" s="190"/>
      <c r="BV1402" s="190"/>
      <c r="BW1402" s="190"/>
      <c r="BX1402" s="190"/>
      <c r="BY1402" s="190"/>
      <c r="BZ1402" s="190"/>
      <c r="CA1402" s="189"/>
      <c r="CB1402" s="192"/>
    </row>
    <row r="1403" spans="1:80" x14ac:dyDescent="0.2">
      <c r="A1403" s="152"/>
      <c r="B1403" s="683"/>
      <c r="C1403" s="683"/>
      <c r="D1403" s="698"/>
      <c r="E1403" s="215"/>
      <c r="F1403" s="215"/>
      <c r="G1403" s="153"/>
      <c r="H1403" s="153"/>
      <c r="I1403" s="153"/>
      <c r="J1403" s="153"/>
      <c r="K1403" s="153"/>
      <c r="L1403" s="653"/>
      <c r="M1403" s="655">
        <v>35580</v>
      </c>
      <c r="N1403" s="587">
        <v>7.4468510219999997</v>
      </c>
      <c r="O1403" s="592">
        <v>8.5345537999999999E-2</v>
      </c>
      <c r="P1403" s="216"/>
      <c r="Q1403" s="216">
        <v>0.19900000000000001</v>
      </c>
      <c r="R1403" s="216">
        <v>8.4000000000000005E-2</v>
      </c>
      <c r="S1403" s="216">
        <v>0.11</v>
      </c>
      <c r="T1403" s="216">
        <v>9.6000000000000002E-2</v>
      </c>
      <c r="U1403" s="216">
        <v>0.13300000000000001</v>
      </c>
      <c r="V1403" s="216">
        <v>0.14599999999999999</v>
      </c>
      <c r="W1403" s="216">
        <v>0.106</v>
      </c>
      <c r="X1403" s="216">
        <v>0.10100000000000001</v>
      </c>
      <c r="Y1403" s="216">
        <v>2.5000000000000001E-2</v>
      </c>
      <c r="Z1403" s="216"/>
      <c r="AA1403" s="186">
        <f>AVERAGE(3.83,1.56)</f>
        <v>2.6950000000000003</v>
      </c>
      <c r="AB1403" s="192"/>
      <c r="AC1403" s="152"/>
      <c r="AD1403" s="186">
        <f>31.5*(0.3048)</f>
        <v>9.6012000000000004</v>
      </c>
      <c r="AE1403" s="186">
        <f>1.64*(0.3048)</f>
        <v>0.49987199999999998</v>
      </c>
      <c r="AF1403" s="186">
        <f>51.7*(0.3048^2)</f>
        <v>4.8030871680000002</v>
      </c>
      <c r="AG1403" s="186">
        <f>5.54*(0.3048)</f>
        <v>1.6885920000000001</v>
      </c>
      <c r="AH1403" s="336"/>
      <c r="AI1403" s="188"/>
      <c r="AJ1403" s="188"/>
      <c r="AK1403" s="190"/>
      <c r="AL1403" s="189"/>
      <c r="AM1403" s="189"/>
      <c r="AN1403" s="189"/>
      <c r="AO1403" s="189"/>
      <c r="AP1403" s="189"/>
      <c r="AQ1403" s="189"/>
      <c r="AR1403" s="189"/>
      <c r="AS1403" s="189"/>
      <c r="AT1403" s="189"/>
      <c r="AU1403" s="191"/>
      <c r="AV1403" s="191"/>
      <c r="AW1403" s="191"/>
      <c r="AX1403" s="191"/>
      <c r="AY1403" s="191"/>
      <c r="AZ1403" s="189"/>
      <c r="BA1403" s="189"/>
      <c r="BB1403" s="189"/>
      <c r="BC1403" s="189"/>
      <c r="BD1403" s="189"/>
      <c r="BE1403" s="189"/>
      <c r="BF1403" s="189"/>
      <c r="BG1403" s="189"/>
      <c r="BH1403" s="189"/>
      <c r="BI1403" s="190"/>
      <c r="BJ1403" s="190"/>
      <c r="BK1403" s="190"/>
      <c r="BL1403" s="190"/>
      <c r="BM1403" s="190"/>
      <c r="BN1403" s="190"/>
      <c r="BO1403" s="190"/>
      <c r="BP1403" s="190"/>
      <c r="BQ1403" s="190"/>
      <c r="BR1403" s="190"/>
      <c r="BS1403" s="190"/>
      <c r="BT1403" s="190"/>
      <c r="BU1403" s="190"/>
      <c r="BV1403" s="190"/>
      <c r="BW1403" s="190"/>
      <c r="BX1403" s="190"/>
      <c r="BY1403" s="190"/>
      <c r="BZ1403" s="190"/>
      <c r="CA1403" s="189"/>
      <c r="CB1403" s="192"/>
    </row>
    <row r="1404" spans="1:80" x14ac:dyDescent="0.2">
      <c r="A1404" s="152"/>
      <c r="B1404" s="683"/>
      <c r="C1404" s="683"/>
      <c r="D1404" s="698"/>
      <c r="E1404" s="215"/>
      <c r="F1404" s="215"/>
      <c r="G1404" s="153"/>
      <c r="H1404" s="153"/>
      <c r="I1404" s="153"/>
      <c r="J1404" s="153"/>
      <c r="K1404" s="153"/>
      <c r="L1404" s="653"/>
      <c r="M1404" s="655">
        <v>35580</v>
      </c>
      <c r="N1404" s="587">
        <v>8.8640933420000003</v>
      </c>
      <c r="O1404" s="592">
        <v>0.243215294</v>
      </c>
      <c r="P1404" s="216"/>
      <c r="Q1404" s="216">
        <v>0.114</v>
      </c>
      <c r="R1404" s="216">
        <v>0.1</v>
      </c>
      <c r="S1404" s="216">
        <v>0.10199999999999999</v>
      </c>
      <c r="T1404" s="216">
        <v>8.6999999999999994E-2</v>
      </c>
      <c r="U1404" s="216">
        <v>0.13200000000000001</v>
      </c>
      <c r="V1404" s="216">
        <v>0.17499999999999999</v>
      </c>
      <c r="W1404" s="216">
        <v>0.14699999999999999</v>
      </c>
      <c r="X1404" s="216">
        <v>0.115</v>
      </c>
      <c r="Y1404" s="216">
        <v>2.8000000000000001E-2</v>
      </c>
      <c r="Z1404" s="216"/>
      <c r="AA1404" s="186">
        <f>AVERAGE(2.52,6.77)</f>
        <v>4.6449999999999996</v>
      </c>
      <c r="AB1404" s="192"/>
      <c r="AC1404" s="152"/>
      <c r="AD1404" s="186">
        <f>32.2*(0.3048)</f>
        <v>9.8145600000000019</v>
      </c>
      <c r="AE1404" s="186">
        <f>1.72*(0.3048)</f>
        <v>0.52425600000000006</v>
      </c>
      <c r="AF1404" s="186">
        <f>55.2*(0.3048^2)</f>
        <v>5.1282478080000002</v>
      </c>
      <c r="AG1404" s="186">
        <f>5.71*(0.3048)</f>
        <v>1.7404080000000002</v>
      </c>
      <c r="AH1404" s="336"/>
      <c r="AI1404" s="188"/>
      <c r="AJ1404" s="188"/>
      <c r="AK1404" s="190"/>
      <c r="AL1404" s="189"/>
      <c r="AM1404" s="189"/>
      <c r="AN1404" s="189"/>
      <c r="AO1404" s="189"/>
      <c r="AP1404" s="189"/>
      <c r="AQ1404" s="189"/>
      <c r="AR1404" s="189"/>
      <c r="AS1404" s="189"/>
      <c r="AT1404" s="189"/>
      <c r="AU1404" s="191"/>
      <c r="AV1404" s="191"/>
      <c r="AW1404" s="191"/>
      <c r="AX1404" s="191"/>
      <c r="AY1404" s="191"/>
      <c r="AZ1404" s="189"/>
      <c r="BA1404" s="189"/>
      <c r="BB1404" s="189"/>
      <c r="BC1404" s="189"/>
      <c r="BD1404" s="189"/>
      <c r="BE1404" s="189"/>
      <c r="BF1404" s="189"/>
      <c r="BG1404" s="189"/>
      <c r="BH1404" s="189"/>
      <c r="BI1404" s="190"/>
      <c r="BJ1404" s="190"/>
      <c r="BK1404" s="190"/>
      <c r="BL1404" s="190"/>
      <c r="BM1404" s="190"/>
      <c r="BN1404" s="190"/>
      <c r="BO1404" s="190"/>
      <c r="BP1404" s="190"/>
      <c r="BQ1404" s="190"/>
      <c r="BR1404" s="190"/>
      <c r="BS1404" s="190"/>
      <c r="BT1404" s="190"/>
      <c r="BU1404" s="190"/>
      <c r="BV1404" s="190"/>
      <c r="BW1404" s="190"/>
      <c r="BX1404" s="190"/>
      <c r="BY1404" s="190"/>
      <c r="BZ1404" s="190"/>
      <c r="CA1404" s="189"/>
      <c r="CB1404" s="192"/>
    </row>
    <row r="1405" spans="1:80" x14ac:dyDescent="0.2">
      <c r="A1405" s="152"/>
      <c r="B1405" s="683"/>
      <c r="C1405" s="683"/>
      <c r="D1405" s="698"/>
      <c r="E1405" s="215"/>
      <c r="F1405" s="215"/>
      <c r="G1405" s="153"/>
      <c r="H1405" s="153"/>
      <c r="I1405" s="153"/>
      <c r="J1405" s="153"/>
      <c r="K1405" s="153"/>
      <c r="L1405" s="653"/>
      <c r="M1405" s="655">
        <v>35581</v>
      </c>
      <c r="N1405" s="587">
        <v>7.7804940570000003</v>
      </c>
      <c r="O1405" s="592">
        <v>8.7982551000000006E-2</v>
      </c>
      <c r="P1405" s="216"/>
      <c r="Q1405" s="216"/>
      <c r="R1405" s="216"/>
      <c r="S1405" s="216">
        <v>0.2</v>
      </c>
      <c r="T1405" s="216">
        <v>0.17699999999999999</v>
      </c>
      <c r="U1405" s="216">
        <v>0.219</v>
      </c>
      <c r="V1405" s="216">
        <v>0.17</v>
      </c>
      <c r="W1405" s="216">
        <v>0.127</v>
      </c>
      <c r="X1405" s="216">
        <v>8.3000000000000004E-2</v>
      </c>
      <c r="Y1405" s="216">
        <v>2.4E-2</v>
      </c>
      <c r="Z1405" s="216"/>
      <c r="AA1405" s="186">
        <f>AVERAGE(2.87,2.5)</f>
        <v>2.6850000000000001</v>
      </c>
      <c r="AB1405" s="192"/>
      <c r="AC1405" s="152"/>
      <c r="AD1405" s="186">
        <f>31.8*(0.3048)</f>
        <v>9.6926400000000008</v>
      </c>
      <c r="AE1405" s="186">
        <f>1.68*(0.3048)</f>
        <v>0.51206399999999996</v>
      </c>
      <c r="AF1405" s="186">
        <f>53.4*(0.3048^2)</f>
        <v>4.9610223360000001</v>
      </c>
      <c r="AG1405" s="186">
        <f>5.22*(0.3048)</f>
        <v>1.591056</v>
      </c>
      <c r="AH1405" s="336"/>
      <c r="AI1405" s="188"/>
      <c r="AJ1405" s="188"/>
      <c r="AK1405" s="190"/>
      <c r="AL1405" s="189"/>
      <c r="AM1405" s="189"/>
      <c r="AN1405" s="189"/>
      <c r="AO1405" s="189"/>
      <c r="AP1405" s="189"/>
      <c r="AQ1405" s="189"/>
      <c r="AR1405" s="189"/>
      <c r="AS1405" s="189"/>
      <c r="AT1405" s="189"/>
      <c r="AU1405" s="191"/>
      <c r="AV1405" s="191"/>
      <c r="AW1405" s="191"/>
      <c r="AX1405" s="191"/>
      <c r="AY1405" s="191"/>
      <c r="AZ1405" s="189"/>
      <c r="BA1405" s="189"/>
      <c r="BB1405" s="189"/>
      <c r="BC1405" s="189"/>
      <c r="BD1405" s="189"/>
      <c r="BE1405" s="189"/>
      <c r="BF1405" s="189"/>
      <c r="BG1405" s="189"/>
      <c r="BH1405" s="189"/>
      <c r="BI1405" s="190"/>
      <c r="BJ1405" s="190"/>
      <c r="BK1405" s="190"/>
      <c r="BL1405" s="190"/>
      <c r="BM1405" s="190"/>
      <c r="BN1405" s="190"/>
      <c r="BO1405" s="190"/>
      <c r="BP1405" s="190"/>
      <c r="BQ1405" s="190"/>
      <c r="BR1405" s="190"/>
      <c r="BS1405" s="190"/>
      <c r="BT1405" s="190"/>
      <c r="BU1405" s="190"/>
      <c r="BV1405" s="190"/>
      <c r="BW1405" s="190"/>
      <c r="BX1405" s="190"/>
      <c r="BY1405" s="190"/>
      <c r="BZ1405" s="190"/>
      <c r="CA1405" s="189"/>
      <c r="CB1405" s="192"/>
    </row>
    <row r="1406" spans="1:80" x14ac:dyDescent="0.2">
      <c r="A1406" s="152"/>
      <c r="B1406" s="683"/>
      <c r="C1406" s="683"/>
      <c r="D1406" s="698"/>
      <c r="E1406" s="215"/>
      <c r="F1406" s="215"/>
      <c r="G1406" s="153"/>
      <c r="H1406" s="153"/>
      <c r="I1406" s="153"/>
      <c r="J1406" s="153"/>
      <c r="K1406" s="153"/>
      <c r="L1406" s="653"/>
      <c r="M1406" s="655">
        <v>35581</v>
      </c>
      <c r="N1406" s="587">
        <v>8.1246115969999995</v>
      </c>
      <c r="O1406" s="592">
        <v>0.14124713999999999</v>
      </c>
      <c r="P1406" s="216"/>
      <c r="Q1406" s="216">
        <v>0.245</v>
      </c>
      <c r="R1406" s="216">
        <v>2.3E-2</v>
      </c>
      <c r="S1406" s="216">
        <v>9.9000000000000005E-2</v>
      </c>
      <c r="T1406" s="216">
        <v>0.1</v>
      </c>
      <c r="U1406" s="216">
        <v>0.14000000000000001</v>
      </c>
      <c r="V1406" s="216">
        <v>0.14000000000000001</v>
      </c>
      <c r="W1406" s="216">
        <v>0.114</v>
      </c>
      <c r="X1406" s="216">
        <v>0.11700000000000001</v>
      </c>
      <c r="Y1406" s="216">
        <v>2.1999999999999999E-2</v>
      </c>
      <c r="Z1406" s="216"/>
      <c r="AA1406" s="186">
        <f>AVERAGE(3.52,2.49)</f>
        <v>3.0049999999999999</v>
      </c>
      <c r="AB1406" s="192"/>
      <c r="AC1406" s="152"/>
      <c r="AD1406" s="186"/>
      <c r="AE1406" s="186"/>
      <c r="AF1406" s="186"/>
      <c r="AG1406" s="186"/>
      <c r="AH1406" s="336"/>
      <c r="AI1406" s="188"/>
      <c r="AJ1406" s="188"/>
      <c r="AK1406" s="190"/>
      <c r="AL1406" s="189"/>
      <c r="AM1406" s="189"/>
      <c r="AN1406" s="189"/>
      <c r="AO1406" s="189"/>
      <c r="AP1406" s="189"/>
      <c r="AQ1406" s="189"/>
      <c r="AR1406" s="189"/>
      <c r="AS1406" s="189"/>
      <c r="AT1406" s="189"/>
      <c r="AU1406" s="191"/>
      <c r="AV1406" s="191"/>
      <c r="AW1406" s="191"/>
      <c r="AX1406" s="191"/>
      <c r="AY1406" s="191"/>
      <c r="AZ1406" s="189"/>
      <c r="BA1406" s="189"/>
      <c r="BB1406" s="189"/>
      <c r="BC1406" s="189"/>
      <c r="BD1406" s="189"/>
      <c r="BE1406" s="189"/>
      <c r="BF1406" s="189"/>
      <c r="BG1406" s="189"/>
      <c r="BH1406" s="189"/>
      <c r="BI1406" s="190"/>
      <c r="BJ1406" s="190"/>
      <c r="BK1406" s="190"/>
      <c r="BL1406" s="190"/>
      <c r="BM1406" s="190"/>
      <c r="BN1406" s="190"/>
      <c r="BO1406" s="190"/>
      <c r="BP1406" s="190"/>
      <c r="BQ1406" s="190"/>
      <c r="BR1406" s="190"/>
      <c r="BS1406" s="190"/>
      <c r="BT1406" s="190"/>
      <c r="BU1406" s="190"/>
      <c r="BV1406" s="190"/>
      <c r="BW1406" s="190"/>
      <c r="BX1406" s="190"/>
      <c r="BY1406" s="190"/>
      <c r="BZ1406" s="190"/>
      <c r="CA1406" s="189"/>
      <c r="CB1406" s="192"/>
    </row>
    <row r="1407" spans="1:80" x14ac:dyDescent="0.2">
      <c r="A1407" s="152"/>
      <c r="B1407" s="683"/>
      <c r="C1407" s="683"/>
      <c r="D1407" s="698"/>
      <c r="E1407" s="215"/>
      <c r="F1407" s="215"/>
      <c r="G1407" s="153"/>
      <c r="H1407" s="153"/>
      <c r="I1407" s="153"/>
      <c r="J1407" s="153"/>
      <c r="K1407" s="153"/>
      <c r="L1407" s="653"/>
      <c r="M1407" s="655">
        <v>35581</v>
      </c>
      <c r="N1407" s="587">
        <v>9.4208532750000007</v>
      </c>
      <c r="O1407" s="592">
        <v>0.24983791</v>
      </c>
      <c r="P1407" s="216"/>
      <c r="Q1407" s="216"/>
      <c r="R1407" s="216">
        <v>0.311</v>
      </c>
      <c r="S1407" s="216">
        <v>0.17599999999999999</v>
      </c>
      <c r="T1407" s="216">
        <v>0.105</v>
      </c>
      <c r="U1407" s="216">
        <v>9.1999999999999998E-2</v>
      </c>
      <c r="V1407" s="216">
        <v>9.2999999999999999E-2</v>
      </c>
      <c r="W1407" s="216">
        <v>9.2999999999999999E-2</v>
      </c>
      <c r="X1407" s="216">
        <v>0.10199999999999999</v>
      </c>
      <c r="Y1407" s="216">
        <v>2.8000000000000001E-2</v>
      </c>
      <c r="Z1407" s="216"/>
      <c r="AA1407" s="186">
        <f>AVERAGE(7.49,2.45)</f>
        <v>4.9700000000000006</v>
      </c>
      <c r="AB1407" s="192"/>
      <c r="AC1407" s="152"/>
      <c r="AD1407" s="186"/>
      <c r="AE1407" s="186"/>
      <c r="AF1407" s="186"/>
      <c r="AG1407" s="186"/>
      <c r="AH1407" s="336"/>
      <c r="AI1407" s="188"/>
      <c r="AJ1407" s="188"/>
      <c r="AK1407" s="190"/>
      <c r="AL1407" s="189"/>
      <c r="AM1407" s="189"/>
      <c r="AN1407" s="189"/>
      <c r="AO1407" s="189"/>
      <c r="AP1407" s="189"/>
      <c r="AQ1407" s="189"/>
      <c r="AR1407" s="189"/>
      <c r="AS1407" s="189"/>
      <c r="AT1407" s="189"/>
      <c r="AU1407" s="191"/>
      <c r="AV1407" s="191"/>
      <c r="AW1407" s="191"/>
      <c r="AX1407" s="191"/>
      <c r="AY1407" s="191"/>
      <c r="AZ1407" s="189"/>
      <c r="BA1407" s="189"/>
      <c r="BB1407" s="189"/>
      <c r="BC1407" s="189"/>
      <c r="BD1407" s="189"/>
      <c r="BE1407" s="189"/>
      <c r="BF1407" s="189"/>
      <c r="BG1407" s="189"/>
      <c r="BH1407" s="189"/>
      <c r="BI1407" s="190"/>
      <c r="BJ1407" s="190"/>
      <c r="BK1407" s="190"/>
      <c r="BL1407" s="190"/>
      <c r="BM1407" s="190"/>
      <c r="BN1407" s="190"/>
      <c r="BO1407" s="190"/>
      <c r="BP1407" s="190"/>
      <c r="BQ1407" s="190"/>
      <c r="BR1407" s="190"/>
      <c r="BS1407" s="190"/>
      <c r="BT1407" s="190"/>
      <c r="BU1407" s="190"/>
      <c r="BV1407" s="190"/>
      <c r="BW1407" s="190"/>
      <c r="BX1407" s="190"/>
      <c r="BY1407" s="190"/>
      <c r="BZ1407" s="190"/>
      <c r="CA1407" s="189"/>
      <c r="CB1407" s="192"/>
    </row>
    <row r="1408" spans="1:80" x14ac:dyDescent="0.2">
      <c r="A1408" s="152"/>
      <c r="B1408" s="683"/>
      <c r="C1408" s="683"/>
      <c r="D1408" s="698"/>
      <c r="E1408" s="215"/>
      <c r="F1408" s="215"/>
      <c r="G1408" s="153"/>
      <c r="H1408" s="153"/>
      <c r="I1408" s="153"/>
      <c r="J1408" s="153"/>
      <c r="K1408" s="153"/>
      <c r="L1408" s="653"/>
      <c r="M1408" s="655">
        <v>35582</v>
      </c>
      <c r="N1408" s="587">
        <v>10.302172130000001</v>
      </c>
      <c r="O1408" s="592">
        <v>0.20013552600000001</v>
      </c>
      <c r="P1408" s="216"/>
      <c r="Q1408" s="216"/>
      <c r="R1408" s="216">
        <v>0.20599999999999999</v>
      </c>
      <c r="S1408" s="216">
        <v>0.08</v>
      </c>
      <c r="T1408" s="216">
        <v>0.123</v>
      </c>
      <c r="U1408" s="216">
        <v>0.14199999999999999</v>
      </c>
      <c r="V1408" s="216">
        <v>0.13</v>
      </c>
      <c r="W1408" s="216">
        <v>0.11899999999999999</v>
      </c>
      <c r="X1408" s="216">
        <v>0.16800000000000001</v>
      </c>
      <c r="Y1408" s="216">
        <v>3.2000000000000001E-2</v>
      </c>
      <c r="Z1408" s="216"/>
      <c r="AA1408" s="186">
        <f>AVERAGE(2.71,7.36)</f>
        <v>5.0350000000000001</v>
      </c>
      <c r="AB1408" s="192"/>
      <c r="AC1408" s="152"/>
      <c r="AD1408" s="186">
        <f>34.4*(0.3048)</f>
        <v>10.48512</v>
      </c>
      <c r="AE1408" s="186">
        <f>1.8*(0.3048)</f>
        <v>0.54864000000000002</v>
      </c>
      <c r="AF1408" s="186">
        <f>62.1*(0.3048^2)</f>
        <v>5.7692787840000008</v>
      </c>
      <c r="AG1408" s="186">
        <f>5.87*(0.3048)</f>
        <v>1.7891760000000001</v>
      </c>
      <c r="AH1408" s="336"/>
      <c r="AI1408" s="188"/>
      <c r="AJ1408" s="188"/>
      <c r="AK1408" s="190"/>
      <c r="AL1408" s="189"/>
      <c r="AM1408" s="189"/>
      <c r="AN1408" s="189"/>
      <c r="AO1408" s="189"/>
      <c r="AP1408" s="189"/>
      <c r="AQ1408" s="189"/>
      <c r="AR1408" s="189"/>
      <c r="AS1408" s="189"/>
      <c r="AT1408" s="189"/>
      <c r="AU1408" s="191"/>
      <c r="AV1408" s="191"/>
      <c r="AW1408" s="191"/>
      <c r="AX1408" s="191"/>
      <c r="AY1408" s="191"/>
      <c r="AZ1408" s="189"/>
      <c r="BA1408" s="189"/>
      <c r="BB1408" s="189"/>
      <c r="BC1408" s="189"/>
      <c r="BD1408" s="189"/>
      <c r="BE1408" s="189"/>
      <c r="BF1408" s="189"/>
      <c r="BG1408" s="189"/>
      <c r="BH1408" s="189"/>
      <c r="BI1408" s="190"/>
      <c r="BJ1408" s="190"/>
      <c r="BK1408" s="190"/>
      <c r="BL1408" s="190"/>
      <c r="BM1408" s="190"/>
      <c r="BN1408" s="190"/>
      <c r="BO1408" s="190"/>
      <c r="BP1408" s="190"/>
      <c r="BQ1408" s="190"/>
      <c r="BR1408" s="190"/>
      <c r="BS1408" s="190"/>
      <c r="BT1408" s="190"/>
      <c r="BU1408" s="190"/>
      <c r="BV1408" s="190"/>
      <c r="BW1408" s="190"/>
      <c r="BX1408" s="190"/>
      <c r="BY1408" s="190"/>
      <c r="BZ1408" s="190"/>
      <c r="CA1408" s="189"/>
      <c r="CB1408" s="192"/>
    </row>
    <row r="1409" spans="1:80" x14ac:dyDescent="0.2">
      <c r="A1409" s="152"/>
      <c r="B1409" s="683"/>
      <c r="C1409" s="683"/>
      <c r="D1409" s="698"/>
      <c r="E1409" s="215"/>
      <c r="F1409" s="215"/>
      <c r="G1409" s="153"/>
      <c r="H1409" s="153"/>
      <c r="I1409" s="153"/>
      <c r="J1409" s="153"/>
      <c r="K1409" s="153"/>
      <c r="L1409" s="653"/>
      <c r="M1409" s="655">
        <v>35582</v>
      </c>
      <c r="N1409" s="587">
        <v>10.050366739999999</v>
      </c>
      <c r="O1409" s="592">
        <v>0.18308561400000001</v>
      </c>
      <c r="P1409" s="216"/>
      <c r="Q1409" s="216">
        <v>0.106</v>
      </c>
      <c r="R1409" s="216">
        <v>0.114</v>
      </c>
      <c r="S1409" s="216">
        <v>9.4E-2</v>
      </c>
      <c r="T1409" s="216">
        <v>0.14399999999999999</v>
      </c>
      <c r="U1409" s="216">
        <v>0.14099999999999999</v>
      </c>
      <c r="V1409" s="216">
        <v>0.107</v>
      </c>
      <c r="W1409" s="216">
        <v>0.11</v>
      </c>
      <c r="X1409" s="216">
        <v>0.15</v>
      </c>
      <c r="Y1409" s="216">
        <v>3.2000000000000001E-2</v>
      </c>
      <c r="Z1409" s="216"/>
      <c r="AA1409" s="186">
        <f>AVERAGE(3.42,2.82)</f>
        <v>3.12</v>
      </c>
      <c r="AB1409" s="192"/>
      <c r="AC1409" s="152"/>
      <c r="AD1409" s="186"/>
      <c r="AE1409" s="186"/>
      <c r="AF1409" s="186"/>
      <c r="AG1409" s="186"/>
      <c r="AH1409" s="336"/>
      <c r="AI1409" s="188"/>
      <c r="AJ1409" s="188"/>
      <c r="AK1409" s="190"/>
      <c r="AL1409" s="189"/>
      <c r="AM1409" s="189"/>
      <c r="AN1409" s="189"/>
      <c r="AO1409" s="189"/>
      <c r="AP1409" s="189"/>
      <c r="AQ1409" s="189"/>
      <c r="AR1409" s="189"/>
      <c r="AS1409" s="189"/>
      <c r="AT1409" s="189"/>
      <c r="AU1409" s="191"/>
      <c r="AV1409" s="191"/>
      <c r="AW1409" s="191"/>
      <c r="AX1409" s="191"/>
      <c r="AY1409" s="191"/>
      <c r="AZ1409" s="189"/>
      <c r="BA1409" s="189"/>
      <c r="BB1409" s="189"/>
      <c r="BC1409" s="189"/>
      <c r="BD1409" s="189"/>
      <c r="BE1409" s="189"/>
      <c r="BF1409" s="189"/>
      <c r="BG1409" s="189"/>
      <c r="BH1409" s="189"/>
      <c r="BI1409" s="190"/>
      <c r="BJ1409" s="190"/>
      <c r="BK1409" s="190"/>
      <c r="BL1409" s="190"/>
      <c r="BM1409" s="190"/>
      <c r="BN1409" s="190"/>
      <c r="BO1409" s="190"/>
      <c r="BP1409" s="190"/>
      <c r="BQ1409" s="190"/>
      <c r="BR1409" s="190"/>
      <c r="BS1409" s="190"/>
      <c r="BT1409" s="190"/>
      <c r="BU1409" s="190"/>
      <c r="BV1409" s="190"/>
      <c r="BW1409" s="190"/>
      <c r="BX1409" s="190"/>
      <c r="BY1409" s="190"/>
      <c r="BZ1409" s="190"/>
      <c r="CA1409" s="189"/>
      <c r="CB1409" s="192"/>
    </row>
    <row r="1410" spans="1:80" x14ac:dyDescent="0.2">
      <c r="A1410" s="152"/>
      <c r="B1410" s="683"/>
      <c r="C1410" s="683"/>
      <c r="D1410" s="698"/>
      <c r="E1410" s="215"/>
      <c r="F1410" s="215"/>
      <c r="G1410" s="153"/>
      <c r="H1410" s="153"/>
      <c r="I1410" s="153"/>
      <c r="J1410" s="153"/>
      <c r="K1410" s="153"/>
      <c r="L1410" s="653"/>
      <c r="M1410" s="655">
        <v>35582</v>
      </c>
      <c r="N1410" s="587">
        <v>9.8615127010000005</v>
      </c>
      <c r="O1410" s="592">
        <v>0.13966867699999999</v>
      </c>
      <c r="P1410" s="216"/>
      <c r="Q1410" s="216">
        <v>6.5000000000000002E-2</v>
      </c>
      <c r="R1410" s="216">
        <v>0.183</v>
      </c>
      <c r="S1410" s="216">
        <v>0.14499999999999999</v>
      </c>
      <c r="T1410" s="216">
        <v>0.104</v>
      </c>
      <c r="U1410" s="216">
        <v>9.2999999999999999E-2</v>
      </c>
      <c r="V1410" s="216">
        <v>0.10100000000000001</v>
      </c>
      <c r="W1410" s="216">
        <v>0.122</v>
      </c>
      <c r="X1410" s="216">
        <v>0.153</v>
      </c>
      <c r="Y1410" s="216">
        <v>3.4000000000000002E-2</v>
      </c>
      <c r="Z1410" s="216"/>
      <c r="AA1410" s="186">
        <f>AVERAGE(3.95,1.52)</f>
        <v>2.7350000000000003</v>
      </c>
      <c r="AB1410" s="192"/>
      <c r="AC1410" s="152"/>
      <c r="AD1410" s="186"/>
      <c r="AE1410" s="186"/>
      <c r="AF1410" s="186"/>
      <c r="AG1410" s="186"/>
      <c r="AH1410" s="336"/>
      <c r="AI1410" s="188"/>
      <c r="AJ1410" s="188"/>
      <c r="AK1410" s="190"/>
      <c r="AL1410" s="189"/>
      <c r="AM1410" s="189"/>
      <c r="AN1410" s="189"/>
      <c r="AO1410" s="189"/>
      <c r="AP1410" s="189"/>
      <c r="AQ1410" s="189"/>
      <c r="AR1410" s="189"/>
      <c r="AS1410" s="189"/>
      <c r="AT1410" s="189"/>
      <c r="AU1410" s="191"/>
      <c r="AV1410" s="191"/>
      <c r="AW1410" s="191"/>
      <c r="AX1410" s="191"/>
      <c r="AY1410" s="191"/>
      <c r="AZ1410" s="189"/>
      <c r="BA1410" s="189"/>
      <c r="BB1410" s="189"/>
      <c r="BC1410" s="189"/>
      <c r="BD1410" s="189"/>
      <c r="BE1410" s="189"/>
      <c r="BF1410" s="189"/>
      <c r="BG1410" s="189"/>
      <c r="BH1410" s="189"/>
      <c r="BI1410" s="190"/>
      <c r="BJ1410" s="190"/>
      <c r="BK1410" s="190"/>
      <c r="BL1410" s="190"/>
      <c r="BM1410" s="190"/>
      <c r="BN1410" s="190"/>
      <c r="BO1410" s="190"/>
      <c r="BP1410" s="190"/>
      <c r="BQ1410" s="190"/>
      <c r="BR1410" s="190"/>
      <c r="BS1410" s="190"/>
      <c r="BT1410" s="190"/>
      <c r="BU1410" s="190"/>
      <c r="BV1410" s="190"/>
      <c r="BW1410" s="190"/>
      <c r="BX1410" s="190"/>
      <c r="BY1410" s="190"/>
      <c r="BZ1410" s="190"/>
      <c r="CA1410" s="189"/>
      <c r="CB1410" s="192"/>
    </row>
    <row r="1411" spans="1:80" x14ac:dyDescent="0.2">
      <c r="A1411" s="152"/>
      <c r="B1411" s="683"/>
      <c r="C1411" s="683"/>
      <c r="D1411" s="698"/>
      <c r="E1411" s="215"/>
      <c r="F1411" s="215"/>
      <c r="G1411" s="153"/>
      <c r="H1411" s="153"/>
      <c r="I1411" s="153"/>
      <c r="J1411" s="153"/>
      <c r="K1411" s="153"/>
      <c r="L1411" s="653"/>
      <c r="M1411" s="655">
        <v>35585</v>
      </c>
      <c r="N1411" s="587">
        <v>11.243112630000001</v>
      </c>
      <c r="O1411" s="592">
        <v>0.914400557</v>
      </c>
      <c r="P1411" s="216"/>
      <c r="Q1411" s="216">
        <v>0.109</v>
      </c>
      <c r="R1411" s="216">
        <v>0.16600000000000001</v>
      </c>
      <c r="S1411" s="216">
        <v>0.20200000000000001</v>
      </c>
      <c r="T1411" s="216">
        <v>0.159</v>
      </c>
      <c r="U1411" s="216">
        <v>0.109</v>
      </c>
      <c r="V1411" s="216">
        <v>8.5000000000000006E-2</v>
      </c>
      <c r="W1411" s="216">
        <v>6.8000000000000005E-2</v>
      </c>
      <c r="X1411" s="216">
        <v>7.8E-2</v>
      </c>
      <c r="Y1411" s="216">
        <v>2.5000000000000001E-2</v>
      </c>
      <c r="Z1411" s="216"/>
      <c r="AA1411" s="186">
        <f>AVERAGE(7.4,6.75)</f>
        <v>7.0750000000000002</v>
      </c>
      <c r="AB1411" s="192"/>
      <c r="AC1411" s="152"/>
      <c r="AD1411" s="186">
        <f>35.1*(0.3048)</f>
        <v>10.698480000000002</v>
      </c>
      <c r="AE1411" s="186">
        <f>1.89*(0.3048)</f>
        <v>0.57607200000000003</v>
      </c>
      <c r="AF1411" s="186">
        <f>66.5*(0.3048^2)</f>
        <v>6.17805216</v>
      </c>
      <c r="AG1411" s="186">
        <f>6.04*(0.3048)</f>
        <v>1.8409920000000002</v>
      </c>
      <c r="AH1411" s="336"/>
      <c r="AI1411" s="188"/>
      <c r="AJ1411" s="188"/>
      <c r="AK1411" s="190"/>
      <c r="AL1411" s="189"/>
      <c r="AM1411" s="189"/>
      <c r="AN1411" s="189"/>
      <c r="AO1411" s="189"/>
      <c r="AP1411" s="189"/>
      <c r="AQ1411" s="189"/>
      <c r="AR1411" s="189"/>
      <c r="AS1411" s="189"/>
      <c r="AT1411" s="189"/>
      <c r="AU1411" s="191"/>
      <c r="AV1411" s="191"/>
      <c r="AW1411" s="191"/>
      <c r="AX1411" s="191"/>
      <c r="AY1411" s="191"/>
      <c r="AZ1411" s="189"/>
      <c r="BA1411" s="189"/>
      <c r="BB1411" s="189"/>
      <c r="BC1411" s="189"/>
      <c r="BD1411" s="189"/>
      <c r="BE1411" s="189"/>
      <c r="BF1411" s="189"/>
      <c r="BG1411" s="189"/>
      <c r="BH1411" s="189"/>
      <c r="BI1411" s="190"/>
      <c r="BJ1411" s="190"/>
      <c r="BK1411" s="190"/>
      <c r="BL1411" s="190"/>
      <c r="BM1411" s="190"/>
      <c r="BN1411" s="190"/>
      <c r="BO1411" s="190"/>
      <c r="BP1411" s="190"/>
      <c r="BQ1411" s="190"/>
      <c r="BR1411" s="190"/>
      <c r="BS1411" s="190"/>
      <c r="BT1411" s="190"/>
      <c r="BU1411" s="190"/>
      <c r="BV1411" s="190"/>
      <c r="BW1411" s="190"/>
      <c r="BX1411" s="190"/>
      <c r="BY1411" s="190"/>
      <c r="BZ1411" s="190"/>
      <c r="CA1411" s="189"/>
      <c r="CB1411" s="192"/>
    </row>
    <row r="1412" spans="1:80" x14ac:dyDescent="0.2">
      <c r="A1412" s="152"/>
      <c r="B1412" s="683"/>
      <c r="C1412" s="683"/>
      <c r="D1412" s="698"/>
      <c r="E1412" s="215"/>
      <c r="F1412" s="215"/>
      <c r="G1412" s="153"/>
      <c r="H1412" s="153"/>
      <c r="I1412" s="153"/>
      <c r="J1412" s="153"/>
      <c r="K1412" s="153"/>
      <c r="L1412" s="653"/>
      <c r="M1412" s="655">
        <v>35586</v>
      </c>
      <c r="N1412" s="587">
        <v>9.9496445869999999</v>
      </c>
      <c r="O1412" s="592">
        <v>0.83518543899999997</v>
      </c>
      <c r="P1412" s="216"/>
      <c r="Q1412" s="216">
        <v>0.11</v>
      </c>
      <c r="R1412" s="216">
        <v>0.153</v>
      </c>
      <c r="S1412" s="216">
        <v>0.13300000000000001</v>
      </c>
      <c r="T1412" s="216">
        <v>0.14799999999999999</v>
      </c>
      <c r="U1412" s="216">
        <v>0.14699999999999999</v>
      </c>
      <c r="V1412" s="216">
        <v>0.111</v>
      </c>
      <c r="W1412" s="216">
        <v>9.0999999999999998E-2</v>
      </c>
      <c r="X1412" s="216">
        <v>8.5000000000000006E-2</v>
      </c>
      <c r="Y1412" s="216">
        <v>2.3E-2</v>
      </c>
      <c r="Z1412" s="216"/>
      <c r="AA1412" s="186">
        <f>AVERAGE(5.2,7.19)</f>
        <v>6.1950000000000003</v>
      </c>
      <c r="AB1412" s="192"/>
      <c r="AC1412" s="152"/>
      <c r="AD1412" s="186"/>
      <c r="AE1412" s="186"/>
      <c r="AF1412" s="186"/>
      <c r="AG1412" s="186"/>
      <c r="AH1412" s="336"/>
      <c r="AI1412" s="188"/>
      <c r="AJ1412" s="188"/>
      <c r="AK1412" s="190"/>
      <c r="AL1412" s="189"/>
      <c r="AM1412" s="189"/>
      <c r="AN1412" s="189"/>
      <c r="AO1412" s="189"/>
      <c r="AP1412" s="189"/>
      <c r="AQ1412" s="189"/>
      <c r="AR1412" s="189"/>
      <c r="AS1412" s="189"/>
      <c r="AT1412" s="189"/>
      <c r="AU1412" s="191"/>
      <c r="AV1412" s="191"/>
      <c r="AW1412" s="191"/>
      <c r="AX1412" s="191"/>
      <c r="AY1412" s="191"/>
      <c r="AZ1412" s="189"/>
      <c r="BA1412" s="189"/>
      <c r="BB1412" s="189"/>
      <c r="BC1412" s="189"/>
      <c r="BD1412" s="189"/>
      <c r="BE1412" s="189"/>
      <c r="BF1412" s="189"/>
      <c r="BG1412" s="189"/>
      <c r="BH1412" s="189"/>
      <c r="BI1412" s="190"/>
      <c r="BJ1412" s="190"/>
      <c r="BK1412" s="190"/>
      <c r="BL1412" s="190"/>
      <c r="BM1412" s="190"/>
      <c r="BN1412" s="190"/>
      <c r="BO1412" s="190"/>
      <c r="BP1412" s="190"/>
      <c r="BQ1412" s="190"/>
      <c r="BR1412" s="190"/>
      <c r="BS1412" s="190"/>
      <c r="BT1412" s="190"/>
      <c r="BU1412" s="190"/>
      <c r="BV1412" s="190"/>
      <c r="BW1412" s="190"/>
      <c r="BX1412" s="190"/>
      <c r="BY1412" s="190"/>
      <c r="BZ1412" s="190"/>
      <c r="CA1412" s="189"/>
      <c r="CB1412" s="192"/>
    </row>
    <row r="1413" spans="1:80" x14ac:dyDescent="0.2">
      <c r="A1413" s="152"/>
      <c r="B1413" s="683"/>
      <c r="C1413" s="683"/>
      <c r="D1413" s="698"/>
      <c r="E1413" s="215"/>
      <c r="F1413" s="215"/>
      <c r="G1413" s="153"/>
      <c r="H1413" s="153"/>
      <c r="I1413" s="153"/>
      <c r="J1413" s="153"/>
      <c r="K1413" s="153"/>
      <c r="L1413" s="653"/>
      <c r="M1413" s="655">
        <v>35586</v>
      </c>
      <c r="N1413" s="587">
        <v>10.0251862</v>
      </c>
      <c r="O1413" s="592">
        <v>1.006038947</v>
      </c>
      <c r="P1413" s="216"/>
      <c r="Q1413" s="216">
        <v>0.155</v>
      </c>
      <c r="R1413" s="216">
        <v>0.20899999999999999</v>
      </c>
      <c r="S1413" s="216">
        <v>0.14499999999999999</v>
      </c>
      <c r="T1413" s="216">
        <v>0.10199999999999999</v>
      </c>
      <c r="U1413" s="216">
        <v>0.10199999999999999</v>
      </c>
      <c r="V1413" s="216">
        <v>9.8000000000000004E-2</v>
      </c>
      <c r="W1413" s="216">
        <v>8.5999999999999993E-2</v>
      </c>
      <c r="X1413" s="216">
        <v>8.3000000000000004E-2</v>
      </c>
      <c r="Y1413" s="216">
        <v>2.1999999999999999E-2</v>
      </c>
      <c r="Z1413" s="216"/>
      <c r="AA1413" s="186">
        <f>AVERAGE(8.45,7.47)</f>
        <v>7.9599999999999991</v>
      </c>
      <c r="AB1413" s="192"/>
      <c r="AC1413" s="152"/>
      <c r="AD1413" s="186"/>
      <c r="AE1413" s="186"/>
      <c r="AF1413" s="186"/>
      <c r="AG1413" s="186"/>
      <c r="AH1413" s="336"/>
      <c r="AI1413" s="188"/>
      <c r="AJ1413" s="188"/>
      <c r="AK1413" s="190"/>
      <c r="AL1413" s="189"/>
      <c r="AM1413" s="189"/>
      <c r="AN1413" s="189"/>
      <c r="AO1413" s="189"/>
      <c r="AP1413" s="189"/>
      <c r="AQ1413" s="189"/>
      <c r="AR1413" s="189"/>
      <c r="AS1413" s="189"/>
      <c r="AT1413" s="189"/>
      <c r="AU1413" s="191"/>
      <c r="AV1413" s="191"/>
      <c r="AW1413" s="191"/>
      <c r="AX1413" s="191"/>
      <c r="AY1413" s="191"/>
      <c r="AZ1413" s="189"/>
      <c r="BA1413" s="189"/>
      <c r="BB1413" s="189"/>
      <c r="BC1413" s="189"/>
      <c r="BD1413" s="189"/>
      <c r="BE1413" s="189"/>
      <c r="BF1413" s="189"/>
      <c r="BG1413" s="189"/>
      <c r="BH1413" s="189"/>
      <c r="BI1413" s="190"/>
      <c r="BJ1413" s="190"/>
      <c r="BK1413" s="190"/>
      <c r="BL1413" s="190"/>
      <c r="BM1413" s="190"/>
      <c r="BN1413" s="190"/>
      <c r="BO1413" s="190"/>
      <c r="BP1413" s="190"/>
      <c r="BQ1413" s="190"/>
      <c r="BR1413" s="190"/>
      <c r="BS1413" s="190"/>
      <c r="BT1413" s="190"/>
      <c r="BU1413" s="190"/>
      <c r="BV1413" s="190"/>
      <c r="BW1413" s="190"/>
      <c r="BX1413" s="190"/>
      <c r="BY1413" s="190"/>
      <c r="BZ1413" s="190"/>
      <c r="CA1413" s="189"/>
      <c r="CB1413" s="192"/>
    </row>
    <row r="1414" spans="1:80" x14ac:dyDescent="0.2">
      <c r="A1414" s="152"/>
      <c r="B1414" s="683"/>
      <c r="C1414" s="683"/>
      <c r="D1414" s="698"/>
      <c r="E1414" s="215"/>
      <c r="F1414" s="215"/>
      <c r="G1414" s="153"/>
      <c r="H1414" s="153"/>
      <c r="I1414" s="153"/>
      <c r="J1414" s="153"/>
      <c r="K1414" s="153"/>
      <c r="L1414" s="653"/>
      <c r="M1414" s="655">
        <v>35586</v>
      </c>
      <c r="N1414" s="587">
        <v>11.158310439999999</v>
      </c>
      <c r="O1414" s="592">
        <v>1.0781946689999999</v>
      </c>
      <c r="P1414" s="216"/>
      <c r="Q1414" s="216">
        <v>0.16700000000000001</v>
      </c>
      <c r="R1414" s="216">
        <v>0.11799999999999999</v>
      </c>
      <c r="S1414" s="216">
        <v>9.7000000000000003E-2</v>
      </c>
      <c r="T1414" s="216">
        <v>0.109</v>
      </c>
      <c r="U1414" s="216">
        <v>0.11799999999999999</v>
      </c>
      <c r="V1414" s="216">
        <v>0.109</v>
      </c>
      <c r="W1414" s="216">
        <v>0.11600000000000001</v>
      </c>
      <c r="X1414" s="216">
        <v>0.13500000000000001</v>
      </c>
      <c r="Y1414" s="216">
        <v>3.1E-2</v>
      </c>
      <c r="Z1414" s="216"/>
      <c r="AA1414" s="186">
        <f>AVERAGE(3.84,17.1)</f>
        <v>10.47</v>
      </c>
      <c r="AB1414" s="192"/>
      <c r="AC1414" s="152"/>
      <c r="AD1414" s="186"/>
      <c r="AE1414" s="186"/>
      <c r="AF1414" s="186"/>
      <c r="AG1414" s="186"/>
      <c r="AH1414" s="336"/>
      <c r="AI1414" s="188"/>
      <c r="AJ1414" s="188"/>
      <c r="AK1414" s="190"/>
      <c r="AL1414" s="189"/>
      <c r="AM1414" s="189"/>
      <c r="AN1414" s="189"/>
      <c r="AO1414" s="189"/>
      <c r="AP1414" s="189"/>
      <c r="AQ1414" s="189"/>
      <c r="AR1414" s="189"/>
      <c r="AS1414" s="189"/>
      <c r="AT1414" s="189"/>
      <c r="AU1414" s="191"/>
      <c r="AV1414" s="191"/>
      <c r="AW1414" s="191"/>
      <c r="AX1414" s="191"/>
      <c r="AY1414" s="191"/>
      <c r="AZ1414" s="189"/>
      <c r="BA1414" s="189"/>
      <c r="BB1414" s="189"/>
      <c r="BC1414" s="189"/>
      <c r="BD1414" s="189"/>
      <c r="BE1414" s="189"/>
      <c r="BF1414" s="189"/>
      <c r="BG1414" s="189"/>
      <c r="BH1414" s="189"/>
      <c r="BI1414" s="190"/>
      <c r="BJ1414" s="190"/>
      <c r="BK1414" s="190"/>
      <c r="BL1414" s="190"/>
      <c r="BM1414" s="190"/>
      <c r="BN1414" s="190"/>
      <c r="BO1414" s="190"/>
      <c r="BP1414" s="190"/>
      <c r="BQ1414" s="190"/>
      <c r="BR1414" s="190"/>
      <c r="BS1414" s="190"/>
      <c r="BT1414" s="190"/>
      <c r="BU1414" s="190"/>
      <c r="BV1414" s="190"/>
      <c r="BW1414" s="190"/>
      <c r="BX1414" s="190"/>
      <c r="BY1414" s="190"/>
      <c r="BZ1414" s="190"/>
      <c r="CA1414" s="189"/>
      <c r="CB1414" s="192"/>
    </row>
    <row r="1415" spans="1:80" x14ac:dyDescent="0.2">
      <c r="A1415" s="152"/>
      <c r="B1415" s="683"/>
      <c r="C1415" s="683"/>
      <c r="D1415" s="698"/>
      <c r="E1415" s="215"/>
      <c r="F1415" s="215"/>
      <c r="G1415" s="153"/>
      <c r="H1415" s="153"/>
      <c r="I1415" s="153"/>
      <c r="J1415" s="153"/>
      <c r="K1415" s="153"/>
      <c r="L1415" s="653"/>
      <c r="M1415" s="655">
        <v>35586</v>
      </c>
      <c r="N1415" s="587">
        <v>11.56119906</v>
      </c>
      <c r="O1415" s="592">
        <v>1.429622891</v>
      </c>
      <c r="P1415" s="216">
        <v>6.5000000000000002E-2</v>
      </c>
      <c r="Q1415" s="216">
        <v>0.28299999999999997</v>
      </c>
      <c r="R1415" s="216">
        <v>0.18</v>
      </c>
      <c r="S1415" s="216">
        <v>8.3000000000000004E-2</v>
      </c>
      <c r="T1415" s="216">
        <v>7.2999999999999995E-2</v>
      </c>
      <c r="U1415" s="216">
        <v>7.6999999999999999E-2</v>
      </c>
      <c r="V1415" s="216">
        <v>7.8E-2</v>
      </c>
      <c r="W1415" s="216">
        <v>7.3999999999999996E-2</v>
      </c>
      <c r="X1415" s="216">
        <v>7.1999999999999995E-2</v>
      </c>
      <c r="Y1415" s="216">
        <v>1.7000000000000001E-2</v>
      </c>
      <c r="Z1415" s="216"/>
      <c r="AA1415" s="186">
        <f>AVERAGE(18.4,2.44)</f>
        <v>10.42</v>
      </c>
      <c r="AB1415" s="192"/>
      <c r="AC1415" s="152"/>
      <c r="AD1415" s="186"/>
      <c r="AE1415" s="186"/>
      <c r="AF1415" s="186"/>
      <c r="AG1415" s="186"/>
      <c r="AH1415" s="336"/>
      <c r="AI1415" s="188"/>
      <c r="AJ1415" s="188"/>
      <c r="AK1415" s="190"/>
      <c r="AL1415" s="189"/>
      <c r="AM1415" s="189"/>
      <c r="AN1415" s="189"/>
      <c r="AO1415" s="189"/>
      <c r="AP1415" s="189"/>
      <c r="AQ1415" s="189"/>
      <c r="AR1415" s="189"/>
      <c r="AS1415" s="189"/>
      <c r="AT1415" s="189"/>
      <c r="AU1415" s="191"/>
      <c r="AV1415" s="191"/>
      <c r="AW1415" s="191"/>
      <c r="AX1415" s="191"/>
      <c r="AY1415" s="191"/>
      <c r="AZ1415" s="189"/>
      <c r="BA1415" s="189"/>
      <c r="BB1415" s="189"/>
      <c r="BC1415" s="189"/>
      <c r="BD1415" s="189"/>
      <c r="BE1415" s="189"/>
      <c r="BF1415" s="189"/>
      <c r="BG1415" s="189"/>
      <c r="BH1415" s="189"/>
      <c r="BI1415" s="190"/>
      <c r="BJ1415" s="190"/>
      <c r="BK1415" s="190"/>
      <c r="BL1415" s="190"/>
      <c r="BM1415" s="190"/>
      <c r="BN1415" s="190"/>
      <c r="BO1415" s="190"/>
      <c r="BP1415" s="190"/>
      <c r="BQ1415" s="190"/>
      <c r="BR1415" s="190"/>
      <c r="BS1415" s="190"/>
      <c r="BT1415" s="190"/>
      <c r="BU1415" s="190"/>
      <c r="BV1415" s="190"/>
      <c r="BW1415" s="190"/>
      <c r="BX1415" s="190"/>
      <c r="BY1415" s="190"/>
      <c r="BZ1415" s="190"/>
      <c r="CA1415" s="189"/>
      <c r="CB1415" s="192"/>
    </row>
    <row r="1416" spans="1:80" x14ac:dyDescent="0.2">
      <c r="A1416" s="152"/>
      <c r="B1416" s="683"/>
      <c r="C1416" s="683"/>
      <c r="D1416" s="698"/>
      <c r="E1416" s="215"/>
      <c r="F1416" s="215"/>
      <c r="G1416" s="153"/>
      <c r="H1416" s="153"/>
      <c r="I1416" s="153"/>
      <c r="J1416" s="153"/>
      <c r="K1416" s="153"/>
      <c r="L1416" s="653"/>
      <c r="M1416" s="655">
        <v>35587</v>
      </c>
      <c r="N1416" s="587">
        <v>9.7230197389999997</v>
      </c>
      <c r="O1416" s="592">
        <v>0.56078810300000004</v>
      </c>
      <c r="P1416" s="216"/>
      <c r="Q1416" s="216"/>
      <c r="R1416" s="216">
        <v>7.8E-2</v>
      </c>
      <c r="S1416" s="216">
        <v>0.112</v>
      </c>
      <c r="T1416" s="216">
        <v>0.12</v>
      </c>
      <c r="U1416" s="216">
        <v>0.16400000000000001</v>
      </c>
      <c r="V1416" s="216">
        <v>0.16200000000000001</v>
      </c>
      <c r="W1416" s="216">
        <v>0.14299999999999999</v>
      </c>
      <c r="X1416" s="216">
        <v>0.183</v>
      </c>
      <c r="Y1416" s="216">
        <v>3.6999999999999998E-2</v>
      </c>
      <c r="Z1416" s="216"/>
      <c r="AA1416" s="186">
        <f>AVERAGE(1.85,2.06)</f>
        <v>1.9550000000000001</v>
      </c>
      <c r="AB1416" s="192"/>
      <c r="AC1416" s="152"/>
      <c r="AD1416" s="186"/>
      <c r="AE1416" s="186"/>
      <c r="AF1416" s="186"/>
      <c r="AG1416" s="186"/>
      <c r="AH1416" s="336"/>
      <c r="AI1416" s="188"/>
      <c r="AJ1416" s="188"/>
      <c r="AK1416" s="190"/>
      <c r="AL1416" s="189"/>
      <c r="AM1416" s="189"/>
      <c r="AN1416" s="189"/>
      <c r="AO1416" s="189"/>
      <c r="AP1416" s="189"/>
      <c r="AQ1416" s="189"/>
      <c r="AR1416" s="189"/>
      <c r="AS1416" s="189"/>
      <c r="AT1416" s="189"/>
      <c r="AU1416" s="191"/>
      <c r="AV1416" s="191"/>
      <c r="AW1416" s="191"/>
      <c r="AX1416" s="191"/>
      <c r="AY1416" s="191"/>
      <c r="AZ1416" s="189"/>
      <c r="BA1416" s="189"/>
      <c r="BB1416" s="189"/>
      <c r="BC1416" s="189"/>
      <c r="BD1416" s="189"/>
      <c r="BE1416" s="189"/>
      <c r="BF1416" s="189"/>
      <c r="BG1416" s="189"/>
      <c r="BH1416" s="189"/>
      <c r="BI1416" s="190"/>
      <c r="BJ1416" s="190"/>
      <c r="BK1416" s="190"/>
      <c r="BL1416" s="190"/>
      <c r="BM1416" s="190"/>
      <c r="BN1416" s="190"/>
      <c r="BO1416" s="190"/>
      <c r="BP1416" s="190"/>
      <c r="BQ1416" s="190"/>
      <c r="BR1416" s="190"/>
      <c r="BS1416" s="190"/>
      <c r="BT1416" s="190"/>
      <c r="BU1416" s="190"/>
      <c r="BV1416" s="190"/>
      <c r="BW1416" s="190"/>
      <c r="BX1416" s="190"/>
      <c r="BY1416" s="190"/>
      <c r="BZ1416" s="190"/>
      <c r="CA1416" s="189"/>
      <c r="CB1416" s="192"/>
    </row>
    <row r="1417" spans="1:80" x14ac:dyDescent="0.2">
      <c r="A1417" s="152"/>
      <c r="B1417" s="683"/>
      <c r="C1417" s="683"/>
      <c r="D1417" s="698"/>
      <c r="E1417" s="215"/>
      <c r="F1417" s="215"/>
      <c r="G1417" s="153"/>
      <c r="H1417" s="153"/>
      <c r="I1417" s="153"/>
      <c r="J1417" s="153"/>
      <c r="K1417" s="153"/>
      <c r="L1417" s="653"/>
      <c r="M1417" s="655">
        <v>35587</v>
      </c>
      <c r="N1417" s="587">
        <v>9.2949505820000002</v>
      </c>
      <c r="O1417" s="592">
        <v>0.63104500399999996</v>
      </c>
      <c r="P1417" s="216"/>
      <c r="Q1417" s="216">
        <v>0.11600000000000001</v>
      </c>
      <c r="R1417" s="216">
        <v>5.3999999999999999E-2</v>
      </c>
      <c r="S1417" s="216">
        <v>7.0999999999999994E-2</v>
      </c>
      <c r="T1417" s="216">
        <v>7.8E-2</v>
      </c>
      <c r="U1417" s="216">
        <v>0.108</v>
      </c>
      <c r="V1417" s="216">
        <v>0.14299999999999999</v>
      </c>
      <c r="W1417" s="216">
        <v>0.16600000000000001</v>
      </c>
      <c r="X1417" s="216">
        <v>0.22600000000000001</v>
      </c>
      <c r="Y1417" s="216">
        <v>3.7999999999999999E-2</v>
      </c>
      <c r="Z1417" s="216"/>
      <c r="AA1417" s="186">
        <f>AVERAGE(1.49,4.73)</f>
        <v>3.1100000000000003</v>
      </c>
      <c r="AB1417" s="192"/>
      <c r="AC1417" s="152"/>
      <c r="AD1417" s="186"/>
      <c r="AE1417" s="186"/>
      <c r="AF1417" s="186"/>
      <c r="AG1417" s="186"/>
      <c r="AH1417" s="336"/>
      <c r="AI1417" s="188"/>
      <c r="AJ1417" s="188"/>
      <c r="AK1417" s="190"/>
      <c r="AL1417" s="189"/>
      <c r="AM1417" s="189"/>
      <c r="AN1417" s="189"/>
      <c r="AO1417" s="189"/>
      <c r="AP1417" s="189"/>
      <c r="AQ1417" s="189"/>
      <c r="AR1417" s="189"/>
      <c r="AS1417" s="189"/>
      <c r="AT1417" s="189"/>
      <c r="AU1417" s="191"/>
      <c r="AV1417" s="191"/>
      <c r="AW1417" s="191"/>
      <c r="AX1417" s="191"/>
      <c r="AY1417" s="191"/>
      <c r="AZ1417" s="189"/>
      <c r="BA1417" s="189"/>
      <c r="BB1417" s="189"/>
      <c r="BC1417" s="189"/>
      <c r="BD1417" s="189"/>
      <c r="BE1417" s="189"/>
      <c r="BF1417" s="189"/>
      <c r="BG1417" s="189"/>
      <c r="BH1417" s="189"/>
      <c r="BI1417" s="190"/>
      <c r="BJ1417" s="190"/>
      <c r="BK1417" s="190"/>
      <c r="BL1417" s="190"/>
      <c r="BM1417" s="190"/>
      <c r="BN1417" s="190"/>
      <c r="BO1417" s="190"/>
      <c r="BP1417" s="190"/>
      <c r="BQ1417" s="190"/>
      <c r="BR1417" s="190"/>
      <c r="BS1417" s="190"/>
      <c r="BT1417" s="190"/>
      <c r="BU1417" s="190"/>
      <c r="BV1417" s="190"/>
      <c r="BW1417" s="190"/>
      <c r="BX1417" s="190"/>
      <c r="BY1417" s="190"/>
      <c r="BZ1417" s="190"/>
      <c r="CA1417" s="189"/>
      <c r="CB1417" s="192"/>
    </row>
    <row r="1418" spans="1:80" x14ac:dyDescent="0.2">
      <c r="A1418" s="152"/>
      <c r="B1418" s="683"/>
      <c r="C1418" s="683"/>
      <c r="D1418" s="698"/>
      <c r="E1418" s="215"/>
      <c r="F1418" s="215"/>
      <c r="G1418" s="153"/>
      <c r="H1418" s="153"/>
      <c r="I1418" s="153"/>
      <c r="J1418" s="153"/>
      <c r="K1418" s="153"/>
      <c r="L1418" s="653"/>
      <c r="M1418" s="655">
        <v>35591</v>
      </c>
      <c r="N1418" s="587">
        <v>7.2333414359999999</v>
      </c>
      <c r="O1418" s="592">
        <v>0.43038357300000002</v>
      </c>
      <c r="P1418" s="216"/>
      <c r="Q1418" s="216">
        <v>0.19700000000000001</v>
      </c>
      <c r="R1418" s="216">
        <v>0.218</v>
      </c>
      <c r="S1418" s="216">
        <v>0.13400000000000001</v>
      </c>
      <c r="T1418" s="216">
        <v>8.6999999999999994E-2</v>
      </c>
      <c r="U1418" s="216">
        <v>9.1999999999999998E-2</v>
      </c>
      <c r="V1418" s="216">
        <v>0.10299999999999999</v>
      </c>
      <c r="W1418" s="216">
        <v>8.2000000000000003E-2</v>
      </c>
      <c r="X1418" s="216">
        <v>6.9000000000000006E-2</v>
      </c>
      <c r="Y1418" s="216">
        <v>1.7000000000000001E-2</v>
      </c>
      <c r="Z1418" s="216"/>
      <c r="AA1418" s="186">
        <f>AVERAGE(10.9,5.18)</f>
        <v>8.0399999999999991</v>
      </c>
      <c r="AB1418" s="192"/>
      <c r="AC1418" s="152"/>
      <c r="AD1418" s="186"/>
      <c r="AE1418" s="186"/>
      <c r="AF1418" s="186"/>
      <c r="AG1418" s="186"/>
      <c r="AH1418" s="336"/>
      <c r="AI1418" s="188"/>
      <c r="AJ1418" s="188"/>
      <c r="AK1418" s="190"/>
      <c r="AL1418" s="189"/>
      <c r="AM1418" s="189"/>
      <c r="AN1418" s="189"/>
      <c r="AO1418" s="189"/>
      <c r="AP1418" s="189"/>
      <c r="AQ1418" s="189"/>
      <c r="AR1418" s="189"/>
      <c r="AS1418" s="189"/>
      <c r="AT1418" s="189"/>
      <c r="AU1418" s="191"/>
      <c r="AV1418" s="191"/>
      <c r="AW1418" s="191"/>
      <c r="AX1418" s="191"/>
      <c r="AY1418" s="191"/>
      <c r="AZ1418" s="189"/>
      <c r="BA1418" s="189"/>
      <c r="BB1418" s="189"/>
      <c r="BC1418" s="189"/>
      <c r="BD1418" s="189"/>
      <c r="BE1418" s="189"/>
      <c r="BF1418" s="189"/>
      <c r="BG1418" s="189"/>
      <c r="BH1418" s="189"/>
      <c r="BI1418" s="190"/>
      <c r="BJ1418" s="190"/>
      <c r="BK1418" s="190"/>
      <c r="BL1418" s="190"/>
      <c r="BM1418" s="190"/>
      <c r="BN1418" s="190"/>
      <c r="BO1418" s="190"/>
      <c r="BP1418" s="190"/>
      <c r="BQ1418" s="190"/>
      <c r="BR1418" s="190"/>
      <c r="BS1418" s="190"/>
      <c r="BT1418" s="190"/>
      <c r="BU1418" s="190"/>
      <c r="BV1418" s="190"/>
      <c r="BW1418" s="190"/>
      <c r="BX1418" s="190"/>
      <c r="BY1418" s="190"/>
      <c r="BZ1418" s="190"/>
      <c r="CA1418" s="189"/>
      <c r="CB1418" s="192"/>
    </row>
    <row r="1419" spans="1:80" x14ac:dyDescent="0.2">
      <c r="A1419" s="152"/>
      <c r="B1419" s="683"/>
      <c r="C1419" s="683"/>
      <c r="D1419" s="698"/>
      <c r="E1419" s="215"/>
      <c r="F1419" s="215"/>
      <c r="G1419" s="153"/>
      <c r="H1419" s="153"/>
      <c r="I1419" s="153"/>
      <c r="J1419" s="153"/>
      <c r="K1419" s="153"/>
      <c r="L1419" s="653"/>
      <c r="M1419" s="655">
        <v>35592</v>
      </c>
      <c r="N1419" s="587">
        <v>6.1367502119999999</v>
      </c>
      <c r="O1419" s="592">
        <v>0.490224728</v>
      </c>
      <c r="P1419" s="216"/>
      <c r="Q1419" s="216">
        <v>2.7E-2</v>
      </c>
      <c r="R1419" s="216">
        <v>0.184</v>
      </c>
      <c r="S1419" s="216">
        <v>0.316</v>
      </c>
      <c r="T1419" s="216">
        <v>0.217</v>
      </c>
      <c r="U1419" s="216">
        <v>8.6999999999999994E-2</v>
      </c>
      <c r="V1419" s="216">
        <v>5.6000000000000001E-2</v>
      </c>
      <c r="W1419" s="216" t="s">
        <v>667</v>
      </c>
      <c r="X1419" s="216">
        <v>4.7E-2</v>
      </c>
      <c r="Y1419" s="216">
        <v>1.0999999999999999E-2</v>
      </c>
      <c r="Z1419" s="216"/>
      <c r="AA1419" s="186">
        <f>AVERAGE(8.68,7.75)</f>
        <v>8.2149999999999999</v>
      </c>
      <c r="AB1419" s="192"/>
      <c r="AC1419" s="152"/>
      <c r="AD1419" s="186"/>
      <c r="AE1419" s="186"/>
      <c r="AF1419" s="186"/>
      <c r="AG1419" s="186"/>
      <c r="AH1419" s="336"/>
      <c r="AI1419" s="188"/>
      <c r="AJ1419" s="188"/>
      <c r="AK1419" s="190"/>
      <c r="AL1419" s="189"/>
      <c r="AM1419" s="189"/>
      <c r="AN1419" s="189"/>
      <c r="AO1419" s="189"/>
      <c r="AP1419" s="189"/>
      <c r="AQ1419" s="189"/>
      <c r="AR1419" s="189"/>
      <c r="AS1419" s="189"/>
      <c r="AT1419" s="189"/>
      <c r="AU1419" s="191"/>
      <c r="AV1419" s="191"/>
      <c r="AW1419" s="191"/>
      <c r="AX1419" s="191"/>
      <c r="AY1419" s="191"/>
      <c r="AZ1419" s="189"/>
      <c r="BA1419" s="189"/>
      <c r="BB1419" s="189"/>
      <c r="BC1419" s="189"/>
      <c r="BD1419" s="189"/>
      <c r="BE1419" s="189"/>
      <c r="BF1419" s="189"/>
      <c r="BG1419" s="189"/>
      <c r="BH1419" s="189"/>
      <c r="BI1419" s="190"/>
      <c r="BJ1419" s="190"/>
      <c r="BK1419" s="190"/>
      <c r="BL1419" s="190"/>
      <c r="BM1419" s="190"/>
      <c r="BN1419" s="190"/>
      <c r="BO1419" s="190"/>
      <c r="BP1419" s="190"/>
      <c r="BQ1419" s="190"/>
      <c r="BR1419" s="190"/>
      <c r="BS1419" s="190"/>
      <c r="BT1419" s="190"/>
      <c r="BU1419" s="190"/>
      <c r="BV1419" s="190"/>
      <c r="BW1419" s="190"/>
      <c r="BX1419" s="190"/>
      <c r="BY1419" s="190"/>
      <c r="BZ1419" s="190"/>
      <c r="CA1419" s="189"/>
      <c r="CB1419" s="192"/>
    </row>
    <row r="1420" spans="1:80" x14ac:dyDescent="0.2">
      <c r="A1420" s="152"/>
      <c r="B1420" s="683"/>
      <c r="C1420" s="683"/>
      <c r="D1420" s="698"/>
      <c r="E1420" s="215"/>
      <c r="F1420" s="215"/>
      <c r="G1420" s="153"/>
      <c r="H1420" s="153"/>
      <c r="I1420" s="153"/>
      <c r="J1420" s="153"/>
      <c r="K1420" s="153"/>
      <c r="L1420" s="653"/>
      <c r="M1420" s="655">
        <v>35592</v>
      </c>
      <c r="N1420" s="587">
        <v>6.1367502119999999</v>
      </c>
      <c r="O1420" s="592">
        <v>0.56757351700000003</v>
      </c>
      <c r="P1420" s="216"/>
      <c r="Q1420" s="216"/>
      <c r="R1420" s="216">
        <v>0.19400000000000001</v>
      </c>
      <c r="S1420" s="216">
        <v>0.21199999999999999</v>
      </c>
      <c r="T1420" s="216">
        <v>0.154</v>
      </c>
      <c r="U1420" s="216">
        <v>0.13200000000000001</v>
      </c>
      <c r="V1420" s="216">
        <v>0.13100000000000001</v>
      </c>
      <c r="W1420" s="216">
        <v>0.104</v>
      </c>
      <c r="X1420" s="216">
        <v>6.3E-2</v>
      </c>
      <c r="Y1420" s="216">
        <v>1.0999999999999999E-2</v>
      </c>
      <c r="Z1420" s="216"/>
      <c r="AA1420" s="186">
        <f>AVERAGE(5.56,10.5)</f>
        <v>8.0299999999999994</v>
      </c>
      <c r="AB1420" s="192"/>
      <c r="AC1420" s="152"/>
      <c r="AD1420" s="186"/>
      <c r="AE1420" s="186"/>
      <c r="AF1420" s="186"/>
      <c r="AG1420" s="186"/>
      <c r="AH1420" s="336"/>
      <c r="AI1420" s="188"/>
      <c r="AJ1420" s="188"/>
      <c r="AK1420" s="190"/>
      <c r="AL1420" s="189"/>
      <c r="AM1420" s="189"/>
      <c r="AN1420" s="189"/>
      <c r="AO1420" s="189"/>
      <c r="AP1420" s="189"/>
      <c r="AQ1420" s="189"/>
      <c r="AR1420" s="189"/>
      <c r="AS1420" s="189"/>
      <c r="AT1420" s="189"/>
      <c r="AU1420" s="191"/>
      <c r="AV1420" s="191"/>
      <c r="AW1420" s="191"/>
      <c r="AX1420" s="191"/>
      <c r="AY1420" s="191"/>
      <c r="AZ1420" s="189"/>
      <c r="BA1420" s="189"/>
      <c r="BB1420" s="189"/>
      <c r="BC1420" s="189"/>
      <c r="BD1420" s="189"/>
      <c r="BE1420" s="189"/>
      <c r="BF1420" s="189"/>
      <c r="BG1420" s="189"/>
      <c r="BH1420" s="189"/>
      <c r="BI1420" s="190"/>
      <c r="BJ1420" s="190"/>
      <c r="BK1420" s="190"/>
      <c r="BL1420" s="190"/>
      <c r="BM1420" s="190"/>
      <c r="BN1420" s="190"/>
      <c r="BO1420" s="190"/>
      <c r="BP1420" s="190"/>
      <c r="BQ1420" s="190"/>
      <c r="BR1420" s="190"/>
      <c r="BS1420" s="190"/>
      <c r="BT1420" s="190"/>
      <c r="BU1420" s="190"/>
      <c r="BV1420" s="190"/>
      <c r="BW1420" s="190"/>
      <c r="BX1420" s="190"/>
      <c r="BY1420" s="190"/>
      <c r="BZ1420" s="190"/>
      <c r="CA1420" s="189"/>
      <c r="CB1420" s="192"/>
    </row>
    <row r="1421" spans="1:80" x14ac:dyDescent="0.2">
      <c r="A1421" s="152"/>
      <c r="B1421" s="683"/>
      <c r="C1421" s="683"/>
      <c r="D1421" s="698"/>
      <c r="E1421" s="215"/>
      <c r="F1421" s="215"/>
      <c r="G1421" s="153"/>
      <c r="H1421" s="153"/>
      <c r="I1421" s="153"/>
      <c r="J1421" s="153"/>
      <c r="K1421" s="153"/>
      <c r="L1421" s="653"/>
      <c r="M1421" s="655">
        <v>35592</v>
      </c>
      <c r="N1421" s="587">
        <v>6.0388617719999997</v>
      </c>
      <c r="O1421" s="592">
        <v>0.58711560200000001</v>
      </c>
      <c r="P1421" s="216"/>
      <c r="Q1421" s="216">
        <v>3.9E-2</v>
      </c>
      <c r="R1421" s="216">
        <v>7.9000000000000001E-2</v>
      </c>
      <c r="S1421" s="216">
        <v>0.111</v>
      </c>
      <c r="T1421" s="216">
        <v>0.14199999999999999</v>
      </c>
      <c r="U1421" s="216">
        <v>0.20399999999999999</v>
      </c>
      <c r="V1421" s="216">
        <v>0.20300000000000001</v>
      </c>
      <c r="W1421" s="216">
        <v>0.13400000000000001</v>
      </c>
      <c r="X1421" s="216">
        <v>7.2999999999999995E-2</v>
      </c>
      <c r="Y1421" s="216">
        <v>1.4999999999999999E-2</v>
      </c>
      <c r="Z1421" s="216"/>
      <c r="AA1421" s="186">
        <f>AVERAGE(2.73,4.15)</f>
        <v>3.4400000000000004</v>
      </c>
      <c r="AB1421" s="192"/>
      <c r="AC1421" s="152"/>
      <c r="AD1421" s="186"/>
      <c r="AE1421" s="186"/>
      <c r="AF1421" s="186"/>
      <c r="AG1421" s="186"/>
      <c r="AH1421" s="336"/>
      <c r="AI1421" s="188"/>
      <c r="AJ1421" s="188"/>
      <c r="AK1421" s="190"/>
      <c r="AL1421" s="189"/>
      <c r="AM1421" s="189"/>
      <c r="AN1421" s="189"/>
      <c r="AO1421" s="189"/>
      <c r="AP1421" s="189"/>
      <c r="AQ1421" s="189"/>
      <c r="AR1421" s="189"/>
      <c r="AS1421" s="189"/>
      <c r="AT1421" s="189"/>
      <c r="AU1421" s="191"/>
      <c r="AV1421" s="191"/>
      <c r="AW1421" s="191"/>
      <c r="AX1421" s="191"/>
      <c r="AY1421" s="191"/>
      <c r="AZ1421" s="189"/>
      <c r="BA1421" s="189"/>
      <c r="BB1421" s="189"/>
      <c r="BC1421" s="189"/>
      <c r="BD1421" s="189"/>
      <c r="BE1421" s="189"/>
      <c r="BF1421" s="189"/>
      <c r="BG1421" s="189"/>
      <c r="BH1421" s="189"/>
      <c r="BI1421" s="190"/>
      <c r="BJ1421" s="190"/>
      <c r="BK1421" s="190"/>
      <c r="BL1421" s="190"/>
      <c r="BM1421" s="190"/>
      <c r="BN1421" s="190"/>
      <c r="BO1421" s="190"/>
      <c r="BP1421" s="190"/>
      <c r="BQ1421" s="190"/>
      <c r="BR1421" s="190"/>
      <c r="BS1421" s="190"/>
      <c r="BT1421" s="190"/>
      <c r="BU1421" s="190"/>
      <c r="BV1421" s="190"/>
      <c r="BW1421" s="190"/>
      <c r="BX1421" s="190"/>
      <c r="BY1421" s="190"/>
      <c r="BZ1421" s="190"/>
      <c r="CA1421" s="189"/>
      <c r="CB1421" s="192"/>
    </row>
    <row r="1422" spans="1:80" x14ac:dyDescent="0.2">
      <c r="A1422" s="152"/>
      <c r="B1422" s="683"/>
      <c r="C1422" s="683"/>
      <c r="D1422" s="698"/>
      <c r="E1422" s="215"/>
      <c r="F1422" s="215"/>
      <c r="G1422" s="153"/>
      <c r="H1422" s="153"/>
      <c r="I1422" s="153"/>
      <c r="J1422" s="153"/>
      <c r="K1422" s="153"/>
      <c r="L1422" s="653"/>
      <c r="M1422" s="655">
        <v>35593</v>
      </c>
      <c r="N1422" s="587">
        <v>5.6424969579999997</v>
      </c>
      <c r="O1422" s="592">
        <v>0.10946700099999999</v>
      </c>
      <c r="P1422" s="216"/>
      <c r="Q1422" s="216"/>
      <c r="R1422" s="216">
        <v>1.7999999999999999E-2</v>
      </c>
      <c r="S1422" s="216">
        <v>4.5999999999999999E-2</v>
      </c>
      <c r="T1422" s="216">
        <v>0.10299999999999999</v>
      </c>
      <c r="U1422" s="216">
        <v>0.18099999999999999</v>
      </c>
      <c r="V1422" s="216">
        <v>0.26800000000000002</v>
      </c>
      <c r="W1422" s="216">
        <v>0.221</v>
      </c>
      <c r="X1422" s="216">
        <v>0.13700000000000001</v>
      </c>
      <c r="Y1422" s="216">
        <v>2.5999999999999999E-2</v>
      </c>
      <c r="Z1422" s="216"/>
      <c r="AA1422" s="186">
        <f>AVERAGE(1.43,2.84)</f>
        <v>2.1349999999999998</v>
      </c>
      <c r="AB1422" s="192"/>
      <c r="AC1422" s="152"/>
      <c r="AD1422" s="186"/>
      <c r="AE1422" s="186"/>
      <c r="AF1422" s="186"/>
      <c r="AG1422" s="186"/>
      <c r="AH1422" s="336"/>
      <c r="AI1422" s="188"/>
      <c r="AJ1422" s="188"/>
      <c r="AK1422" s="190"/>
      <c r="AL1422" s="189"/>
      <c r="AM1422" s="189"/>
      <c r="AN1422" s="189"/>
      <c r="AO1422" s="189"/>
      <c r="AP1422" s="189"/>
      <c r="AQ1422" s="189"/>
      <c r="AR1422" s="189"/>
      <c r="AS1422" s="189"/>
      <c r="AT1422" s="189"/>
      <c r="AU1422" s="191"/>
      <c r="AV1422" s="191"/>
      <c r="AW1422" s="191"/>
      <c r="AX1422" s="191"/>
      <c r="AY1422" s="191"/>
      <c r="AZ1422" s="189"/>
      <c r="BA1422" s="189"/>
      <c r="BB1422" s="189"/>
      <c r="BC1422" s="189"/>
      <c r="BD1422" s="189"/>
      <c r="BE1422" s="189"/>
      <c r="BF1422" s="189"/>
      <c r="BG1422" s="189"/>
      <c r="BH1422" s="189"/>
      <c r="BI1422" s="190"/>
      <c r="BJ1422" s="190"/>
      <c r="BK1422" s="190"/>
      <c r="BL1422" s="190"/>
      <c r="BM1422" s="190"/>
      <c r="BN1422" s="190"/>
      <c r="BO1422" s="190"/>
      <c r="BP1422" s="190"/>
      <c r="BQ1422" s="190"/>
      <c r="BR1422" s="190"/>
      <c r="BS1422" s="190"/>
      <c r="BT1422" s="190"/>
      <c r="BU1422" s="190"/>
      <c r="BV1422" s="190"/>
      <c r="BW1422" s="190"/>
      <c r="BX1422" s="190"/>
      <c r="BY1422" s="190"/>
      <c r="BZ1422" s="190"/>
      <c r="CA1422" s="189"/>
      <c r="CB1422" s="192"/>
    </row>
    <row r="1423" spans="1:80" x14ac:dyDescent="0.2">
      <c r="A1423" s="152"/>
      <c r="B1423" s="683"/>
      <c r="C1423" s="683"/>
      <c r="D1423" s="698"/>
      <c r="E1423" s="215"/>
      <c r="F1423" s="215"/>
      <c r="G1423" s="153"/>
      <c r="H1423" s="153"/>
      <c r="I1423" s="153"/>
      <c r="J1423" s="153"/>
      <c r="K1423" s="153"/>
      <c r="L1423" s="653"/>
      <c r="M1423" s="655">
        <v>35593</v>
      </c>
      <c r="N1423" s="587">
        <v>5.5041950929999999</v>
      </c>
      <c r="O1423" s="592">
        <v>8.8562657000000003E-2</v>
      </c>
      <c r="P1423" s="216"/>
      <c r="Q1423" s="216"/>
      <c r="R1423" s="216">
        <v>0.152</v>
      </c>
      <c r="S1423" s="216">
        <v>0.13600000000000001</v>
      </c>
      <c r="T1423" s="216">
        <v>0.13</v>
      </c>
      <c r="U1423" s="216">
        <v>0.14799999999999999</v>
      </c>
      <c r="V1423" s="216">
        <v>0.182</v>
      </c>
      <c r="W1423" s="216">
        <v>0.14099999999999999</v>
      </c>
      <c r="X1423" s="216">
        <v>8.8999999999999996E-2</v>
      </c>
      <c r="Y1423" s="216">
        <v>2.1999999999999999E-2</v>
      </c>
      <c r="Z1423" s="216"/>
      <c r="AA1423" s="186">
        <f>AVERAGE(2.9,3.72)</f>
        <v>3.31</v>
      </c>
      <c r="AB1423" s="192"/>
      <c r="AC1423" s="152"/>
      <c r="AD1423" s="186">
        <f>28.9*(0.3048)</f>
        <v>8.8087199999999992</v>
      </c>
      <c r="AE1423" s="186">
        <f>1.3*(0.3048)</f>
        <v>0.39624000000000004</v>
      </c>
      <c r="AF1423" s="186">
        <f>37.6*(0.3048^2)</f>
        <v>3.4931543040000004</v>
      </c>
      <c r="AG1423" s="186">
        <f>5.18*(0.3048)</f>
        <v>1.578864</v>
      </c>
      <c r="AH1423" s="336"/>
      <c r="AI1423" s="188"/>
      <c r="AJ1423" s="188"/>
      <c r="AK1423" s="190"/>
      <c r="AL1423" s="189"/>
      <c r="AM1423" s="189"/>
      <c r="AN1423" s="189"/>
      <c r="AO1423" s="189"/>
      <c r="AP1423" s="189"/>
      <c r="AQ1423" s="189"/>
      <c r="AR1423" s="189"/>
      <c r="AS1423" s="189"/>
      <c r="AT1423" s="189"/>
      <c r="AU1423" s="191"/>
      <c r="AV1423" s="191"/>
      <c r="AW1423" s="191"/>
      <c r="AX1423" s="191"/>
      <c r="AY1423" s="191"/>
      <c r="AZ1423" s="189"/>
      <c r="BA1423" s="189"/>
      <c r="BB1423" s="189"/>
      <c r="BC1423" s="189"/>
      <c r="BD1423" s="189"/>
      <c r="BE1423" s="189"/>
      <c r="BF1423" s="189"/>
      <c r="BG1423" s="189"/>
      <c r="BH1423" s="189"/>
      <c r="BI1423" s="190"/>
      <c r="BJ1423" s="190"/>
      <c r="BK1423" s="190"/>
      <c r="BL1423" s="190"/>
      <c r="BM1423" s="190"/>
      <c r="BN1423" s="190"/>
      <c r="BO1423" s="190"/>
      <c r="BP1423" s="190"/>
      <c r="BQ1423" s="190"/>
      <c r="BR1423" s="190"/>
      <c r="BS1423" s="190"/>
      <c r="BT1423" s="190"/>
      <c r="BU1423" s="190"/>
      <c r="BV1423" s="190"/>
      <c r="BW1423" s="190"/>
      <c r="BX1423" s="190"/>
      <c r="BY1423" s="190"/>
      <c r="BZ1423" s="190"/>
      <c r="CA1423" s="189"/>
      <c r="CB1423" s="192"/>
    </row>
    <row r="1424" spans="1:80" x14ac:dyDescent="0.2">
      <c r="A1424" s="152"/>
      <c r="B1424" s="683"/>
      <c r="C1424" s="683"/>
      <c r="D1424" s="698"/>
      <c r="E1424" s="215"/>
      <c r="F1424" s="215"/>
      <c r="G1424" s="153"/>
      <c r="H1424" s="153"/>
      <c r="I1424" s="153"/>
      <c r="J1424" s="153"/>
      <c r="K1424" s="153"/>
      <c r="L1424" s="653"/>
      <c r="M1424" s="655">
        <v>35593</v>
      </c>
      <c r="N1424" s="587">
        <v>5.6889511500000003</v>
      </c>
      <c r="O1424" s="592">
        <v>0.11115789500000001</v>
      </c>
      <c r="P1424" s="216"/>
      <c r="Q1424" s="216">
        <v>0.46600000000000003</v>
      </c>
      <c r="R1424" s="216">
        <v>2.7E-2</v>
      </c>
      <c r="S1424" s="216">
        <v>2.4E-2</v>
      </c>
      <c r="T1424" s="216">
        <v>2.3E-2</v>
      </c>
      <c r="U1424" s="216">
        <v>6.4000000000000001E-2</v>
      </c>
      <c r="V1424" s="216">
        <v>0.125</v>
      </c>
      <c r="W1424" s="216">
        <v>0.14099999999999999</v>
      </c>
      <c r="X1424" s="216">
        <v>0.111</v>
      </c>
      <c r="Y1424" s="216">
        <v>0.02</v>
      </c>
      <c r="Z1424" s="216"/>
      <c r="AA1424" s="186">
        <f>AVERAGE(13.7,3.19)</f>
        <v>8.4450000000000003</v>
      </c>
      <c r="AB1424" s="192"/>
      <c r="AC1424" s="152"/>
      <c r="AD1424" s="186"/>
      <c r="AE1424" s="186"/>
      <c r="AF1424" s="186"/>
      <c r="AG1424" s="186"/>
      <c r="AH1424" s="336"/>
      <c r="AI1424" s="188"/>
      <c r="AJ1424" s="188"/>
      <c r="AK1424" s="190"/>
      <c r="AL1424" s="189"/>
      <c r="AM1424" s="189"/>
      <c r="AN1424" s="189"/>
      <c r="AO1424" s="189"/>
      <c r="AP1424" s="189"/>
      <c r="AQ1424" s="189"/>
      <c r="AR1424" s="189"/>
      <c r="AS1424" s="189"/>
      <c r="AT1424" s="189"/>
      <c r="AU1424" s="191"/>
      <c r="AV1424" s="191"/>
      <c r="AW1424" s="191"/>
      <c r="AX1424" s="191"/>
      <c r="AY1424" s="191"/>
      <c r="AZ1424" s="189"/>
      <c r="BA1424" s="189"/>
      <c r="BB1424" s="189"/>
      <c r="BC1424" s="189"/>
      <c r="BD1424" s="189"/>
      <c r="BE1424" s="189"/>
      <c r="BF1424" s="189"/>
      <c r="BG1424" s="189"/>
      <c r="BH1424" s="189"/>
      <c r="BI1424" s="190"/>
      <c r="BJ1424" s="190"/>
      <c r="BK1424" s="190"/>
      <c r="BL1424" s="190"/>
      <c r="BM1424" s="190"/>
      <c r="BN1424" s="190"/>
      <c r="BO1424" s="190"/>
      <c r="BP1424" s="190"/>
      <c r="BQ1424" s="190"/>
      <c r="BR1424" s="190"/>
      <c r="BS1424" s="190"/>
      <c r="BT1424" s="190"/>
      <c r="BU1424" s="190"/>
      <c r="BV1424" s="190"/>
      <c r="BW1424" s="190"/>
      <c r="BX1424" s="190"/>
      <c r="BY1424" s="190"/>
      <c r="BZ1424" s="190"/>
      <c r="CA1424" s="189"/>
      <c r="CB1424" s="192"/>
    </row>
    <row r="1425" spans="1:80" x14ac:dyDescent="0.2">
      <c r="A1425" s="152"/>
      <c r="B1425" s="683"/>
      <c r="C1425" s="683"/>
      <c r="D1425" s="698"/>
      <c r="E1425" s="215"/>
      <c r="F1425" s="215"/>
      <c r="G1425" s="153"/>
      <c r="H1425" s="153"/>
      <c r="I1425" s="153"/>
      <c r="J1425" s="153"/>
      <c r="K1425" s="153"/>
      <c r="L1425" s="653"/>
      <c r="M1425" s="655">
        <v>35594</v>
      </c>
      <c r="N1425" s="587">
        <v>5.0893967240000002</v>
      </c>
      <c r="O1425" s="592">
        <v>5.8051796000000003E-2</v>
      </c>
      <c r="P1425" s="216"/>
      <c r="Q1425" s="216"/>
      <c r="R1425" s="216">
        <v>7.8E-2</v>
      </c>
      <c r="S1425" s="216">
        <v>0.13800000000000001</v>
      </c>
      <c r="T1425" s="216">
        <v>0.10199999999999999</v>
      </c>
      <c r="U1425" s="216">
        <v>0.17499999999999999</v>
      </c>
      <c r="V1425" s="216">
        <v>0.20200000000000001</v>
      </c>
      <c r="W1425" s="216">
        <v>0.159</v>
      </c>
      <c r="X1425" s="216">
        <v>0.122</v>
      </c>
      <c r="Y1425" s="216">
        <v>2.4E-2</v>
      </c>
      <c r="Z1425" s="216"/>
      <c r="AA1425" s="186">
        <f>AVERAGE(3.55,1.96)</f>
        <v>2.7549999999999999</v>
      </c>
      <c r="AB1425" s="192"/>
      <c r="AC1425" s="152"/>
      <c r="AD1425" s="186"/>
      <c r="AE1425" s="186"/>
      <c r="AF1425" s="186"/>
      <c r="AG1425" s="186"/>
      <c r="AH1425" s="336"/>
      <c r="AI1425" s="188"/>
      <c r="AJ1425" s="188"/>
      <c r="AK1425" s="190"/>
      <c r="AL1425" s="189"/>
      <c r="AM1425" s="189"/>
      <c r="AN1425" s="189"/>
      <c r="AO1425" s="189"/>
      <c r="AP1425" s="189"/>
      <c r="AQ1425" s="189"/>
      <c r="AR1425" s="189"/>
      <c r="AS1425" s="189"/>
      <c r="AT1425" s="189"/>
      <c r="AU1425" s="191"/>
      <c r="AV1425" s="191"/>
      <c r="AW1425" s="191"/>
      <c r="AX1425" s="191"/>
      <c r="AY1425" s="191"/>
      <c r="AZ1425" s="189"/>
      <c r="BA1425" s="189"/>
      <c r="BB1425" s="189"/>
      <c r="BC1425" s="189"/>
      <c r="BD1425" s="189"/>
      <c r="BE1425" s="189"/>
      <c r="BF1425" s="189"/>
      <c r="BG1425" s="189"/>
      <c r="BH1425" s="189"/>
      <c r="BI1425" s="190"/>
      <c r="BJ1425" s="190"/>
      <c r="BK1425" s="190"/>
      <c r="BL1425" s="190"/>
      <c r="BM1425" s="190"/>
      <c r="BN1425" s="190"/>
      <c r="BO1425" s="190"/>
      <c r="BP1425" s="190"/>
      <c r="BQ1425" s="190"/>
      <c r="BR1425" s="190"/>
      <c r="BS1425" s="190"/>
      <c r="BT1425" s="190"/>
      <c r="BU1425" s="190"/>
      <c r="BV1425" s="190"/>
      <c r="BW1425" s="190"/>
      <c r="BX1425" s="190"/>
      <c r="BY1425" s="190"/>
      <c r="BZ1425" s="190"/>
      <c r="CA1425" s="189"/>
      <c r="CB1425" s="192"/>
    </row>
    <row r="1426" spans="1:80" ht="15" thickBot="1" x14ac:dyDescent="0.25">
      <c r="A1426" s="152"/>
      <c r="B1426" s="683"/>
      <c r="C1426" s="683"/>
      <c r="D1426" s="698"/>
      <c r="E1426" s="215"/>
      <c r="F1426" s="215"/>
      <c r="G1426" s="153"/>
      <c r="H1426" s="153"/>
      <c r="I1426" s="153"/>
      <c r="J1426" s="153"/>
      <c r="K1426" s="153"/>
      <c r="L1426" s="653"/>
      <c r="M1426" s="655">
        <v>35594</v>
      </c>
      <c r="N1426" s="587">
        <v>4.9184800439999998</v>
      </c>
      <c r="O1426" s="592">
        <v>4.9870300999999999E-2</v>
      </c>
      <c r="P1426" s="216"/>
      <c r="Q1426" s="216"/>
      <c r="R1426" s="216">
        <v>0.21199999999999999</v>
      </c>
      <c r="S1426" s="216">
        <v>6.6000000000000003E-2</v>
      </c>
      <c r="T1426" s="216">
        <v>9.7000000000000003E-2</v>
      </c>
      <c r="U1426" s="216">
        <v>0.128</v>
      </c>
      <c r="V1426" s="216">
        <v>0.17799999999999999</v>
      </c>
      <c r="W1426" s="216">
        <v>0.16300000000000001</v>
      </c>
      <c r="X1426" s="216">
        <v>0.129</v>
      </c>
      <c r="Y1426" s="216">
        <v>2.7E-2</v>
      </c>
      <c r="Z1426" s="216"/>
      <c r="AA1426" s="186">
        <f>AVERAGE(2.05,3.33)</f>
        <v>2.69</v>
      </c>
      <c r="AB1426" s="192"/>
      <c r="AC1426" s="152"/>
      <c r="AD1426" s="186">
        <f>28.2*(0.3048)</f>
        <v>8.5953599999999994</v>
      </c>
      <c r="AE1426" s="186">
        <f>1.28*(0.3048)</f>
        <v>0.39014400000000005</v>
      </c>
      <c r="AF1426" s="186">
        <f>36*(0.3048^2)</f>
        <v>3.3445094400000004</v>
      </c>
      <c r="AG1426" s="186">
        <f>4.79*(0.3048)</f>
        <v>1.4599920000000002</v>
      </c>
      <c r="AH1426" s="336"/>
      <c r="AI1426" s="188"/>
      <c r="AJ1426" s="188"/>
      <c r="AK1426" s="190"/>
      <c r="AL1426" s="189"/>
      <c r="AM1426" s="189"/>
      <c r="AN1426" s="189"/>
      <c r="AO1426" s="189"/>
      <c r="AP1426" s="189"/>
      <c r="AQ1426" s="189"/>
      <c r="AR1426" s="189"/>
      <c r="AS1426" s="189"/>
      <c r="AT1426" s="189"/>
      <c r="AU1426" s="191"/>
      <c r="AV1426" s="191"/>
      <c r="AW1426" s="191"/>
      <c r="AX1426" s="191"/>
      <c r="AY1426" s="191"/>
      <c r="AZ1426" s="189"/>
      <c r="BA1426" s="189"/>
      <c r="BB1426" s="189"/>
      <c r="BC1426" s="189"/>
      <c r="BD1426" s="189"/>
      <c r="BE1426" s="189"/>
      <c r="BF1426" s="189"/>
      <c r="BG1426" s="189"/>
      <c r="BH1426" s="189"/>
      <c r="BI1426" s="190"/>
      <c r="BJ1426" s="190"/>
      <c r="BK1426" s="190"/>
      <c r="BL1426" s="190"/>
      <c r="BM1426" s="190"/>
      <c r="BN1426" s="190"/>
      <c r="BO1426" s="190"/>
      <c r="BP1426" s="190"/>
      <c r="BQ1426" s="190"/>
      <c r="BR1426" s="190"/>
      <c r="BS1426" s="190"/>
      <c r="BT1426" s="190"/>
      <c r="BU1426" s="190"/>
      <c r="BV1426" s="190"/>
      <c r="BW1426" s="190"/>
      <c r="BX1426" s="190"/>
      <c r="BY1426" s="190"/>
      <c r="BZ1426" s="190"/>
      <c r="CA1426" s="189"/>
      <c r="CB1426" s="192"/>
    </row>
    <row r="1427" spans="1:80" ht="15.75" thickBot="1" x14ac:dyDescent="0.3">
      <c r="A1427" s="9" t="s">
        <v>65</v>
      </c>
      <c r="B1427" s="639" t="s">
        <v>66</v>
      </c>
      <c r="C1427" s="639"/>
      <c r="D1427" s="4">
        <f>VLOOKUP(E1427,'Quality Code'!D4:E24,2,TRUE)*VLOOKUP(MROUND(F1427,10),'Quality Code'!D28:E69,2,TRUE)*VLOOKUP(4,'Quality Code'!D73:E93,2,TRUE)</f>
        <v>4.5</v>
      </c>
      <c r="E1427" s="14">
        <v>0.9</v>
      </c>
      <c r="F1427" s="18">
        <v>100</v>
      </c>
      <c r="G1427" s="12">
        <f>137.5*2.59</f>
        <v>356.125</v>
      </c>
      <c r="H1427" s="2" t="s">
        <v>231</v>
      </c>
      <c r="I1427" s="10"/>
      <c r="J1427" s="10" t="s">
        <v>283</v>
      </c>
      <c r="K1427" s="10"/>
      <c r="L1427" s="640" t="s">
        <v>284</v>
      </c>
      <c r="M1427" s="640" t="s">
        <v>836</v>
      </c>
      <c r="N1427" s="579" t="s">
        <v>285</v>
      </c>
      <c r="O1427" s="579"/>
      <c r="P1427" s="10" t="s">
        <v>64</v>
      </c>
      <c r="Q1427" s="10" t="s">
        <v>64</v>
      </c>
      <c r="R1427" s="10" t="s">
        <v>64</v>
      </c>
      <c r="S1427" s="10" t="s">
        <v>64</v>
      </c>
      <c r="T1427" s="10" t="s">
        <v>64</v>
      </c>
      <c r="U1427" s="10" t="s">
        <v>64</v>
      </c>
      <c r="V1427" s="10"/>
      <c r="W1427" s="10"/>
      <c r="X1427" s="10"/>
      <c r="Y1427" s="10"/>
      <c r="Z1427" s="11"/>
      <c r="AA1427" s="11"/>
      <c r="AB1427" s="11"/>
      <c r="AC1427" s="85">
        <v>9.1000000000000004E-3</v>
      </c>
      <c r="AD1427" s="26">
        <v>12.76</v>
      </c>
      <c r="AE1427" s="26"/>
      <c r="AF1427" s="26"/>
      <c r="AG1427" s="26"/>
      <c r="AH1427" s="338" t="s">
        <v>298</v>
      </c>
      <c r="AI1427" s="123">
        <v>25</v>
      </c>
      <c r="AJ1427" s="555">
        <v>1</v>
      </c>
      <c r="AK1427" s="17">
        <v>0.84299999999999997</v>
      </c>
      <c r="AL1427" s="17">
        <v>0.747</v>
      </c>
      <c r="AM1427" s="17">
        <v>0.55900000000000005</v>
      </c>
      <c r="AN1427" s="17">
        <v>0.38800000000000001</v>
      </c>
      <c r="AO1427" s="17">
        <v>0.251</v>
      </c>
      <c r="AP1427" s="17">
        <v>0.16</v>
      </c>
      <c r="AQ1427" s="17">
        <v>8.5000000000000006E-2</v>
      </c>
      <c r="AR1427" s="17">
        <v>3.363E-2</v>
      </c>
      <c r="AS1427" s="147">
        <v>9.3600000000000003E-3</v>
      </c>
      <c r="AT1427" s="17">
        <v>0</v>
      </c>
      <c r="AU1427" s="18">
        <v>155</v>
      </c>
      <c r="AV1427" s="17">
        <v>1</v>
      </c>
      <c r="AW1427" s="17">
        <v>1</v>
      </c>
      <c r="AX1427" s="17">
        <v>1</v>
      </c>
      <c r="AY1427" s="17">
        <v>0.24595</v>
      </c>
      <c r="AZ1427" s="17">
        <v>0.16100999999999999</v>
      </c>
      <c r="BA1427" s="17">
        <v>6.1060000000000003E-2</v>
      </c>
      <c r="BB1427" s="17">
        <v>2.7650000000000001E-2</v>
      </c>
      <c r="BC1427" s="17">
        <v>1.3010000000000001E-2</v>
      </c>
      <c r="BD1427" s="147">
        <v>6.79E-3</v>
      </c>
      <c r="BE1427" s="147">
        <v>2.6099999999999999E-3</v>
      </c>
      <c r="BF1427" s="147">
        <v>7.9000000000000001E-4</v>
      </c>
      <c r="BG1427" s="17" t="s">
        <v>29</v>
      </c>
      <c r="BH1427" s="17" t="s">
        <v>29</v>
      </c>
      <c r="BI1427" s="4">
        <f>AU1427/AI1427</f>
        <v>6.2</v>
      </c>
      <c r="BJ1427" s="2" t="s">
        <v>68</v>
      </c>
      <c r="BK1427" s="2" t="s">
        <v>68</v>
      </c>
      <c r="BL1427" s="12">
        <f>772*0.028317</f>
        <v>21.860723999999998</v>
      </c>
      <c r="BM1427" s="12"/>
      <c r="BN1427" s="12">
        <v>12.755879999999999</v>
      </c>
      <c r="BO1427" s="12">
        <f>0.3048*2.91</f>
        <v>0.88696800000000009</v>
      </c>
      <c r="BP1427" s="12">
        <f>BO1427*BN1427</f>
        <v>11.314057371840001</v>
      </c>
      <c r="BQ1427" s="12">
        <f>BN1427/BO1427</f>
        <v>14.381443298969071</v>
      </c>
      <c r="BR1427" s="12" t="s">
        <v>29</v>
      </c>
      <c r="BS1427" s="12"/>
      <c r="BT1427" s="12">
        <v>1.0049999999999999</v>
      </c>
      <c r="BU1427" s="2"/>
      <c r="BV1427" s="2"/>
      <c r="BW1427" s="2"/>
      <c r="BX1427" s="2"/>
      <c r="BY1427" s="2" t="s">
        <v>236</v>
      </c>
      <c r="BZ1427" s="2" t="s">
        <v>235</v>
      </c>
      <c r="CA1427" s="9"/>
      <c r="CB1427" s="9" t="s">
        <v>224</v>
      </c>
    </row>
    <row r="1428" spans="1:80" ht="15" x14ac:dyDescent="0.2">
      <c r="A1428" s="152"/>
      <c r="B1428" s="683"/>
      <c r="C1428" s="683"/>
      <c r="D1428" s="698"/>
      <c r="E1428" s="215"/>
      <c r="F1428" s="215"/>
      <c r="G1428" s="153"/>
      <c r="H1428" s="153"/>
      <c r="I1428" s="150">
        <v>20</v>
      </c>
      <c r="J1428" s="150">
        <v>30</v>
      </c>
      <c r="K1428" s="150">
        <v>1</v>
      </c>
      <c r="L1428" s="656">
        <v>10</v>
      </c>
      <c r="M1428" s="654">
        <v>36299</v>
      </c>
      <c r="N1428" s="596">
        <v>9.5994630000000001</v>
      </c>
      <c r="O1428" s="594">
        <v>8.8850339777874193E-3</v>
      </c>
      <c r="P1428" s="114">
        <v>0</v>
      </c>
      <c r="Q1428" s="114">
        <v>0</v>
      </c>
      <c r="R1428" s="114">
        <v>0</v>
      </c>
      <c r="S1428" s="114">
        <v>3.6111285561765995E-2</v>
      </c>
      <c r="T1428" s="114">
        <v>5.218865791622182E-2</v>
      </c>
      <c r="U1428" s="114">
        <v>0.10541355272247692</v>
      </c>
      <c r="V1428" s="496">
        <v>0.22150348552408466</v>
      </c>
      <c r="W1428" s="496">
        <v>0.39122652766438487</v>
      </c>
      <c r="X1428" s="496">
        <v>0.18212648370281984</v>
      </c>
      <c r="Y1428" s="496">
        <v>1.1430006908245931E-2</v>
      </c>
      <c r="Z1428" s="20">
        <v>10</v>
      </c>
      <c r="AA1428" s="105"/>
      <c r="AB1428" s="21" t="s">
        <v>67</v>
      </c>
      <c r="AC1428" s="103"/>
      <c r="AD1428" s="186">
        <v>12.755880000000001</v>
      </c>
      <c r="AE1428" s="186">
        <v>0.65532000000000001</v>
      </c>
      <c r="AF1428" s="186">
        <v>8.3478647760999998</v>
      </c>
      <c r="AG1428" s="186">
        <v>1.222248</v>
      </c>
      <c r="AH1428" s="336"/>
      <c r="AI1428" s="218"/>
      <c r="AJ1428" s="218"/>
      <c r="AK1428" s="443" t="s">
        <v>576</v>
      </c>
      <c r="AL1428" s="152"/>
      <c r="AM1428" s="152"/>
      <c r="AN1428" s="152"/>
      <c r="AO1428" s="152"/>
      <c r="AP1428" s="152"/>
      <c r="AQ1428" s="152"/>
      <c r="AR1428" s="152"/>
      <c r="AS1428" s="152"/>
      <c r="AT1428" s="152"/>
      <c r="AU1428" s="150">
        <v>119</v>
      </c>
      <c r="AV1428" s="219">
        <v>1</v>
      </c>
      <c r="AW1428" s="219">
        <v>0.95199999999999996</v>
      </c>
      <c r="AX1428" s="219">
        <v>0.8498</v>
      </c>
      <c r="AY1428" s="219">
        <v>0.53449999999999998</v>
      </c>
      <c r="AZ1428" s="219">
        <v>0.32729999999999998</v>
      </c>
      <c r="BA1428" s="219">
        <v>0.19220000000000001</v>
      </c>
      <c r="BB1428" s="219">
        <v>0.1321</v>
      </c>
      <c r="BC1428" s="219">
        <v>9.01E-2</v>
      </c>
      <c r="BD1428" s="219">
        <v>7.8100000000000003E-2</v>
      </c>
      <c r="BE1428" s="219">
        <v>6.9099999999999995E-2</v>
      </c>
      <c r="BF1428" s="219"/>
      <c r="BG1428" s="219"/>
      <c r="BH1428" s="219"/>
      <c r="BI1428" s="220">
        <f>AU1428/AI1427</f>
        <v>4.76</v>
      </c>
      <c r="BJ1428" s="150" t="s">
        <v>68</v>
      </c>
      <c r="BK1428" s="150" t="s">
        <v>55</v>
      </c>
      <c r="BL1428" s="153"/>
      <c r="BM1428" s="153"/>
      <c r="BN1428" s="153"/>
      <c r="BO1428" s="153"/>
      <c r="BP1428" s="153"/>
      <c r="BQ1428" s="153"/>
      <c r="BR1428" s="153"/>
      <c r="BS1428" s="153"/>
      <c r="BT1428" s="153"/>
      <c r="BU1428" s="153"/>
      <c r="BV1428" s="153"/>
      <c r="BW1428" s="153"/>
      <c r="BX1428" s="153"/>
      <c r="BY1428" s="153" t="s">
        <v>620</v>
      </c>
      <c r="BZ1428" s="153"/>
      <c r="CA1428" s="189"/>
      <c r="CB1428" s="486" t="s">
        <v>638</v>
      </c>
    </row>
    <row r="1429" spans="1:80" ht="15" x14ac:dyDescent="0.2">
      <c r="A1429" s="152"/>
      <c r="B1429" s="683"/>
      <c r="C1429" s="683"/>
      <c r="D1429" s="698"/>
      <c r="E1429" s="215"/>
      <c r="F1429" s="215"/>
      <c r="G1429" s="153"/>
      <c r="H1429" s="153"/>
      <c r="I1429" s="150">
        <v>20</v>
      </c>
      <c r="J1429" s="150">
        <v>30</v>
      </c>
      <c r="K1429" s="150">
        <v>1</v>
      </c>
      <c r="L1429" s="656">
        <v>10</v>
      </c>
      <c r="M1429" s="654">
        <v>36299</v>
      </c>
      <c r="N1429" s="596">
        <v>9.5994630000000001</v>
      </c>
      <c r="O1429" s="594">
        <v>4.8788171878029564E-2</v>
      </c>
      <c r="P1429" s="114">
        <v>0</v>
      </c>
      <c r="Q1429" s="114">
        <v>0</v>
      </c>
      <c r="R1429" s="114">
        <v>0</v>
      </c>
      <c r="S1429" s="114">
        <v>0.15119976210627448</v>
      </c>
      <c r="T1429" s="114">
        <v>0.15139991307729264</v>
      </c>
      <c r="U1429" s="114">
        <v>0.16344328293341268</v>
      </c>
      <c r="V1429" s="496">
        <v>0.19556465448223809</v>
      </c>
      <c r="W1429" s="496">
        <v>0.24308049500194442</v>
      </c>
      <c r="X1429" s="496">
        <v>9.1937918887389378E-2</v>
      </c>
      <c r="Y1429" s="496">
        <v>3.3739735114486371E-3</v>
      </c>
      <c r="Z1429" s="22">
        <v>12</v>
      </c>
      <c r="AA1429" s="106"/>
      <c r="AB1429" s="21" t="s">
        <v>67</v>
      </c>
      <c r="AC1429" s="103"/>
      <c r="AD1429" s="186">
        <v>12.755880000000001</v>
      </c>
      <c r="AE1429" s="186">
        <v>0.65532000000000001</v>
      </c>
      <c r="AF1429" s="186">
        <v>8.3478647760999998</v>
      </c>
      <c r="AG1429" s="186">
        <v>1.222248</v>
      </c>
      <c r="AH1429" s="336"/>
      <c r="AI1429" s="218"/>
      <c r="AJ1429" s="218"/>
      <c r="AK1429" s="153"/>
      <c r="AL1429" s="152"/>
      <c r="AM1429" s="152"/>
      <c r="AN1429" s="152"/>
      <c r="AO1429" s="152"/>
      <c r="AP1429" s="152"/>
      <c r="AQ1429" s="152"/>
      <c r="AR1429" s="152"/>
      <c r="AS1429" s="152"/>
      <c r="AT1429" s="152"/>
      <c r="AU1429" s="153"/>
      <c r="AV1429" s="479"/>
      <c r="AW1429" s="479"/>
      <c r="AX1429" s="442"/>
      <c r="AY1429" s="153"/>
      <c r="AZ1429" s="152"/>
      <c r="BA1429" s="152"/>
      <c r="BB1429" s="152"/>
      <c r="BC1429" s="152"/>
      <c r="BD1429" s="152"/>
      <c r="BE1429" s="152"/>
      <c r="BF1429" s="152"/>
      <c r="BG1429" s="152"/>
      <c r="BH1429" s="152"/>
      <c r="BI1429" s="153"/>
      <c r="BJ1429" s="153"/>
      <c r="BK1429" s="153"/>
      <c r="BL1429" s="153"/>
      <c r="BM1429" s="153"/>
      <c r="BN1429" s="153"/>
      <c r="BO1429" s="153"/>
      <c r="BP1429" s="153"/>
      <c r="BQ1429" s="153"/>
      <c r="BR1429" s="153"/>
      <c r="BS1429" s="153"/>
      <c r="BT1429" s="153"/>
      <c r="BU1429" s="153"/>
      <c r="BV1429" s="153"/>
      <c r="BW1429" s="153"/>
      <c r="BX1429" s="153"/>
      <c r="BY1429" s="153"/>
      <c r="BZ1429" s="153"/>
      <c r="CA1429" s="189"/>
      <c r="CB1429" s="486" t="s">
        <v>639</v>
      </c>
    </row>
    <row r="1430" spans="1:80" ht="15" x14ac:dyDescent="0.2">
      <c r="A1430" s="152"/>
      <c r="B1430" s="683"/>
      <c r="C1430" s="683"/>
      <c r="D1430" s="698"/>
      <c r="E1430" s="215"/>
      <c r="F1430" s="215"/>
      <c r="G1430" s="153"/>
      <c r="H1430" s="153"/>
      <c r="I1430" s="150">
        <v>20</v>
      </c>
      <c r="J1430" s="150">
        <v>30</v>
      </c>
      <c r="K1430" s="150">
        <v>1</v>
      </c>
      <c r="L1430" s="656">
        <v>10</v>
      </c>
      <c r="M1430" s="654">
        <v>36300</v>
      </c>
      <c r="N1430" s="596">
        <v>10.76046</v>
      </c>
      <c r="O1430" s="594">
        <v>2.6765027933087434E-2</v>
      </c>
      <c r="P1430" s="114">
        <v>0</v>
      </c>
      <c r="Q1430" s="114">
        <v>0</v>
      </c>
      <c r="R1430" s="114">
        <v>0</v>
      </c>
      <c r="S1430" s="114">
        <v>9.6839427928115729E-2</v>
      </c>
      <c r="T1430" s="114">
        <v>7.4948922153191835E-2</v>
      </c>
      <c r="U1430" s="114">
        <v>0.13728474335987989</v>
      </c>
      <c r="V1430" s="496">
        <v>0.23262310803485803</v>
      </c>
      <c r="W1430" s="496">
        <v>0.2992119417921027</v>
      </c>
      <c r="X1430" s="496">
        <v>0.15261852145269564</v>
      </c>
      <c r="Y1430" s="496">
        <v>6.4733352791560683E-3</v>
      </c>
      <c r="Z1430" s="20">
        <v>15</v>
      </c>
      <c r="AA1430" s="105"/>
      <c r="AB1430" s="21" t="s">
        <v>67</v>
      </c>
      <c r="AC1430" s="103"/>
      <c r="AD1430" s="186">
        <v>12.755880000000001</v>
      </c>
      <c r="AE1430" s="186">
        <v>0.65836800000000006</v>
      </c>
      <c r="AF1430" s="186">
        <v>8.3924234249999969</v>
      </c>
      <c r="AG1430" s="186">
        <v>1.231392</v>
      </c>
      <c r="AH1430" s="336"/>
      <c r="AI1430" s="218"/>
      <c r="AJ1430" s="218"/>
      <c r="AK1430" s="153"/>
      <c r="AL1430" s="152"/>
      <c r="AM1430" s="152"/>
      <c r="AN1430" s="152"/>
      <c r="AO1430" s="152"/>
      <c r="AP1430" s="152"/>
      <c r="AQ1430" s="152"/>
      <c r="AR1430" s="152"/>
      <c r="AS1430" s="152"/>
      <c r="AT1430" s="152"/>
      <c r="AU1430" s="153"/>
      <c r="AV1430" s="479"/>
      <c r="AW1430" s="479"/>
      <c r="AX1430" s="442"/>
      <c r="AY1430" s="153"/>
      <c r="AZ1430" s="152"/>
      <c r="BA1430" s="152"/>
      <c r="BB1430" s="152"/>
      <c r="BC1430" s="152"/>
      <c r="BD1430" s="152"/>
      <c r="BE1430" s="152"/>
      <c r="BF1430" s="152"/>
      <c r="BG1430" s="152"/>
      <c r="BH1430" s="152"/>
      <c r="BI1430" s="153"/>
      <c r="BJ1430" s="153"/>
      <c r="BK1430" s="153"/>
      <c r="BL1430" s="153"/>
      <c r="BM1430" s="153"/>
      <c r="BN1430" s="153"/>
      <c r="BO1430" s="153"/>
      <c r="BP1430" s="153"/>
      <c r="BQ1430" s="153"/>
      <c r="BR1430" s="153"/>
      <c r="BS1430" s="153"/>
      <c r="BT1430" s="153"/>
      <c r="BU1430" s="153"/>
      <c r="BV1430" s="153"/>
      <c r="BW1430" s="153"/>
      <c r="BX1430" s="153"/>
      <c r="BY1430" s="153"/>
      <c r="BZ1430" s="153"/>
      <c r="CA1430" s="189"/>
      <c r="CB1430" s="486" t="s">
        <v>640</v>
      </c>
    </row>
    <row r="1431" spans="1:80" x14ac:dyDescent="0.2">
      <c r="A1431" s="152"/>
      <c r="B1431" s="683"/>
      <c r="C1431" s="683"/>
      <c r="D1431" s="698"/>
      <c r="E1431" s="215"/>
      <c r="F1431" s="215"/>
      <c r="G1431" s="153"/>
      <c r="H1431" s="153"/>
      <c r="I1431" s="150">
        <v>20</v>
      </c>
      <c r="J1431" s="150">
        <v>30</v>
      </c>
      <c r="K1431" s="150">
        <v>1</v>
      </c>
      <c r="L1431" s="656">
        <v>10</v>
      </c>
      <c r="M1431" s="654">
        <v>36300</v>
      </c>
      <c r="N1431" s="596">
        <v>10.873728</v>
      </c>
      <c r="O1431" s="594">
        <v>6.9106904827232751E-2</v>
      </c>
      <c r="P1431" s="114">
        <v>0</v>
      </c>
      <c r="Q1431" s="114">
        <v>0</v>
      </c>
      <c r="R1431" s="114">
        <v>0.17640646763156298</v>
      </c>
      <c r="S1431" s="114">
        <v>0.16124669452350665</v>
      </c>
      <c r="T1431" s="114">
        <v>7.1337733906619016E-2</v>
      </c>
      <c r="U1431" s="114">
        <v>0.1169583560427138</v>
      </c>
      <c r="V1431" s="496">
        <v>0.18987060699650779</v>
      </c>
      <c r="W1431" s="496">
        <v>0.20242637114192857</v>
      </c>
      <c r="X1431" s="496">
        <v>7.6545751831890024E-2</v>
      </c>
      <c r="Y1431" s="496">
        <v>5.2080179252709993E-3</v>
      </c>
      <c r="Z1431" s="20">
        <v>28</v>
      </c>
      <c r="AA1431" s="105"/>
      <c r="AB1431" s="21" t="s">
        <v>67</v>
      </c>
      <c r="AC1431" s="103"/>
      <c r="AD1431" s="186">
        <v>12.755880000000001</v>
      </c>
      <c r="AE1431" s="186">
        <v>0.65836800000000006</v>
      </c>
      <c r="AF1431" s="186">
        <v>8.3924234249999969</v>
      </c>
      <c r="AG1431" s="186">
        <v>1.231392</v>
      </c>
      <c r="AH1431" s="336"/>
      <c r="AI1431" s="218"/>
      <c r="AJ1431" s="218"/>
      <c r="AK1431" s="153"/>
      <c r="AL1431" s="152"/>
      <c r="AM1431" s="152"/>
      <c r="AN1431" s="152"/>
      <c r="AO1431" s="152"/>
      <c r="AP1431" s="152"/>
      <c r="AQ1431" s="152"/>
      <c r="AR1431" s="152"/>
      <c r="AS1431" s="152"/>
      <c r="AT1431" s="152"/>
      <c r="AU1431" s="153"/>
      <c r="AV1431" s="479"/>
      <c r="AW1431" s="479"/>
      <c r="AX1431" s="442"/>
      <c r="AY1431" s="153"/>
      <c r="AZ1431" s="152"/>
      <c r="BA1431" s="152"/>
      <c r="BB1431" s="152"/>
      <c r="BC1431" s="152"/>
      <c r="BD1431" s="152"/>
      <c r="BE1431" s="152"/>
      <c r="BF1431" s="152"/>
      <c r="BG1431" s="152"/>
      <c r="BH1431" s="152"/>
      <c r="BI1431" s="153"/>
      <c r="BJ1431" s="153"/>
      <c r="BK1431" s="153"/>
      <c r="BL1431" s="153"/>
      <c r="BM1431" s="153"/>
      <c r="BN1431" s="153"/>
      <c r="BO1431" s="153"/>
      <c r="BP1431" s="153"/>
      <c r="BQ1431" s="153"/>
      <c r="BR1431" s="153"/>
      <c r="BS1431" s="153"/>
      <c r="BT1431" s="153"/>
      <c r="BU1431" s="153"/>
      <c r="BV1431" s="153"/>
      <c r="BW1431" s="153"/>
      <c r="BX1431" s="153"/>
      <c r="BY1431" s="153"/>
      <c r="BZ1431" s="153"/>
      <c r="CA1431" s="189"/>
      <c r="CB1431" s="152"/>
    </row>
    <row r="1432" spans="1:80" x14ac:dyDescent="0.2">
      <c r="A1432" s="152"/>
      <c r="B1432" s="683"/>
      <c r="C1432" s="683"/>
      <c r="D1432" s="698"/>
      <c r="E1432" s="215"/>
      <c r="F1432" s="215"/>
      <c r="G1432" s="153"/>
      <c r="H1432" s="153"/>
      <c r="I1432" s="150">
        <v>20</v>
      </c>
      <c r="J1432" s="150">
        <v>30</v>
      </c>
      <c r="K1432" s="150">
        <v>1</v>
      </c>
      <c r="L1432" s="656">
        <v>10</v>
      </c>
      <c r="M1432" s="654">
        <v>36301</v>
      </c>
      <c r="N1432" s="596">
        <v>12.969185999999999</v>
      </c>
      <c r="O1432" s="594">
        <v>0.11486297142017043</v>
      </c>
      <c r="P1432" s="114">
        <v>0</v>
      </c>
      <c r="Q1432" s="114">
        <v>0</v>
      </c>
      <c r="R1432" s="114">
        <v>0</v>
      </c>
      <c r="S1432" s="114">
        <v>7.8017245535838484E-2</v>
      </c>
      <c r="T1432" s="114">
        <v>7.3851429582380321E-2</v>
      </c>
      <c r="U1432" s="114">
        <v>0.14450493273230444</v>
      </c>
      <c r="V1432" s="496">
        <v>0.30816481260723183</v>
      </c>
      <c r="W1432" s="496">
        <v>0.29081013382404558</v>
      </c>
      <c r="X1432" s="496">
        <v>9.9630770030723126E-2</v>
      </c>
      <c r="Y1432" s="496">
        <v>5.0206756874763558E-3</v>
      </c>
      <c r="Z1432" s="20">
        <v>20</v>
      </c>
      <c r="AA1432" s="105"/>
      <c r="AB1432" s="21" t="s">
        <v>67</v>
      </c>
      <c r="AC1432" s="103"/>
      <c r="AD1432" s="186">
        <v>12.77112</v>
      </c>
      <c r="AE1432" s="186">
        <v>0.72542399999999996</v>
      </c>
      <c r="AF1432" s="186">
        <v>9.2414597500000006</v>
      </c>
      <c r="AG1432" s="186">
        <v>1.3167360000000001</v>
      </c>
      <c r="AH1432" s="336"/>
      <c r="AI1432" s="218"/>
      <c r="AJ1432" s="218"/>
      <c r="AK1432" s="153"/>
      <c r="AL1432" s="152"/>
      <c r="AM1432" s="152"/>
      <c r="AN1432" s="152"/>
      <c r="AO1432" s="152"/>
      <c r="AP1432" s="152"/>
      <c r="AQ1432" s="152"/>
      <c r="AR1432" s="152"/>
      <c r="AS1432" s="152"/>
      <c r="AT1432" s="152"/>
      <c r="AU1432" s="153"/>
      <c r="AV1432" s="479"/>
      <c r="AW1432" s="479"/>
      <c r="AX1432" s="442"/>
      <c r="AY1432" s="153"/>
      <c r="AZ1432" s="152"/>
      <c r="BA1432" s="152"/>
      <c r="BB1432" s="152"/>
      <c r="BC1432" s="152"/>
      <c r="BD1432" s="152"/>
      <c r="BE1432" s="152"/>
      <c r="BF1432" s="152"/>
      <c r="BG1432" s="152"/>
      <c r="BH1432" s="152"/>
      <c r="BI1432" s="153"/>
      <c r="BJ1432" s="153"/>
      <c r="BK1432" s="153"/>
      <c r="BL1432" s="153"/>
      <c r="BM1432" s="153"/>
      <c r="BN1432" s="153"/>
      <c r="BO1432" s="153"/>
      <c r="BP1432" s="153"/>
      <c r="BQ1432" s="153"/>
      <c r="BR1432" s="153"/>
      <c r="BS1432" s="153"/>
      <c r="BT1432" s="153"/>
      <c r="BU1432" s="153"/>
      <c r="BV1432" s="153"/>
      <c r="BW1432" s="153"/>
      <c r="BX1432" s="153"/>
      <c r="BY1432" s="153"/>
      <c r="BZ1432" s="153"/>
      <c r="CA1432" s="189"/>
      <c r="CB1432" s="152"/>
    </row>
    <row r="1433" spans="1:80" x14ac:dyDescent="0.2">
      <c r="A1433" s="152"/>
      <c r="B1433" s="683"/>
      <c r="C1433" s="683"/>
      <c r="D1433" s="698"/>
      <c r="E1433" s="215"/>
      <c r="F1433" s="215"/>
      <c r="G1433" s="153"/>
      <c r="H1433" s="153"/>
      <c r="I1433" s="150">
        <v>20</v>
      </c>
      <c r="J1433" s="150">
        <v>30</v>
      </c>
      <c r="K1433" s="150">
        <v>1</v>
      </c>
      <c r="L1433" s="656">
        <v>10</v>
      </c>
      <c r="M1433" s="654">
        <v>36301</v>
      </c>
      <c r="N1433" s="596">
        <v>13.110771</v>
      </c>
      <c r="O1433" s="594">
        <v>3.9165047235420712E-2</v>
      </c>
      <c r="P1433" s="114">
        <v>0</v>
      </c>
      <c r="Q1433" s="114">
        <v>0</v>
      </c>
      <c r="R1433" s="114">
        <v>0</v>
      </c>
      <c r="S1433" s="114">
        <v>7.766976442311121E-3</v>
      </c>
      <c r="T1433" s="114">
        <v>4.0988809562866865E-2</v>
      </c>
      <c r="U1433" s="114">
        <v>9.9487194117353378E-2</v>
      </c>
      <c r="V1433" s="496">
        <v>0.2450841244142673</v>
      </c>
      <c r="W1433" s="496">
        <v>0.37134563401778775</v>
      </c>
      <c r="X1433" s="496">
        <v>0.22412255989273158</v>
      </c>
      <c r="Y1433" s="496">
        <v>1.1204701552682068E-2</v>
      </c>
      <c r="Z1433" s="20">
        <v>12</v>
      </c>
      <c r="AA1433" s="105"/>
      <c r="AB1433" s="21" t="s">
        <v>67</v>
      </c>
      <c r="AC1433" s="103"/>
      <c r="AD1433" s="186">
        <v>12.77112</v>
      </c>
      <c r="AE1433" s="186">
        <v>0.72542399999999996</v>
      </c>
      <c r="AF1433" s="186">
        <v>9.2414597500000006</v>
      </c>
      <c r="AG1433" s="186">
        <v>1.3167360000000001</v>
      </c>
      <c r="AH1433" s="336"/>
      <c r="AI1433" s="218"/>
      <c r="AJ1433" s="218"/>
      <c r="AK1433" s="153"/>
      <c r="AL1433" s="152"/>
      <c r="AM1433" s="152"/>
      <c r="AN1433" s="152"/>
      <c r="AO1433" s="152"/>
      <c r="AP1433" s="152"/>
      <c r="AQ1433" s="152"/>
      <c r="AR1433" s="152"/>
      <c r="AS1433" s="152"/>
      <c r="AT1433" s="152"/>
      <c r="AU1433" s="153"/>
      <c r="AV1433" s="479"/>
      <c r="AW1433" s="479"/>
      <c r="AX1433" s="442"/>
      <c r="AY1433" s="153"/>
      <c r="AZ1433" s="152"/>
      <c r="BA1433" s="152"/>
      <c r="BB1433" s="152"/>
      <c r="BC1433" s="152"/>
      <c r="BD1433" s="152"/>
      <c r="BE1433" s="152"/>
      <c r="BF1433" s="152"/>
      <c r="BG1433" s="152"/>
      <c r="BH1433" s="152"/>
      <c r="BI1433" s="153"/>
      <c r="BJ1433" s="153"/>
      <c r="BK1433" s="153"/>
      <c r="BL1433" s="153"/>
      <c r="BM1433" s="153"/>
      <c r="BN1433" s="153"/>
      <c r="BO1433" s="153"/>
      <c r="BP1433" s="153"/>
      <c r="BQ1433" s="153"/>
      <c r="BR1433" s="153"/>
      <c r="BS1433" s="153"/>
      <c r="BT1433" s="153"/>
      <c r="BU1433" s="153"/>
      <c r="BV1433" s="153"/>
      <c r="BW1433" s="153"/>
      <c r="BX1433" s="153"/>
      <c r="BY1433" s="153"/>
      <c r="BZ1433" s="153"/>
      <c r="CA1433" s="189"/>
      <c r="CB1433" s="152"/>
    </row>
    <row r="1434" spans="1:80" x14ac:dyDescent="0.2">
      <c r="A1434" s="152"/>
      <c r="B1434" s="683"/>
      <c r="C1434" s="683"/>
      <c r="D1434" s="698"/>
      <c r="E1434" s="215"/>
      <c r="F1434" s="215"/>
      <c r="G1434" s="153"/>
      <c r="H1434" s="153"/>
      <c r="I1434" s="150">
        <v>20</v>
      </c>
      <c r="J1434" s="150">
        <v>30</v>
      </c>
      <c r="K1434" s="150">
        <v>1</v>
      </c>
      <c r="L1434" s="656">
        <v>10</v>
      </c>
      <c r="M1434" s="654">
        <v>36306</v>
      </c>
      <c r="N1434" s="596">
        <v>28.883339999999997</v>
      </c>
      <c r="O1434" s="594">
        <v>1.0180354689606141</v>
      </c>
      <c r="P1434" s="114">
        <v>0</v>
      </c>
      <c r="Q1434" s="114">
        <v>6.8168128985419713E-2</v>
      </c>
      <c r="R1434" s="114">
        <v>0.13357320428027761</v>
      </c>
      <c r="S1434" s="114">
        <v>0.13249212865556922</v>
      </c>
      <c r="T1434" s="114">
        <v>9.8674217298891642E-2</v>
      </c>
      <c r="U1434" s="114">
        <v>0.1600106801693631</v>
      </c>
      <c r="V1434" s="496">
        <v>0.20970858483514337</v>
      </c>
      <c r="W1434" s="496">
        <v>0.14288233669256972</v>
      </c>
      <c r="X1434" s="496">
        <v>5.1486028435335653E-2</v>
      </c>
      <c r="Y1434" s="496">
        <v>3.0046906474299768E-3</v>
      </c>
      <c r="Z1434" s="20">
        <v>44</v>
      </c>
      <c r="AA1434" s="105"/>
      <c r="AB1434" s="21" t="s">
        <v>67</v>
      </c>
      <c r="AC1434" s="103"/>
      <c r="AD1434" s="186">
        <v>12.77112</v>
      </c>
      <c r="AE1434" s="186">
        <v>1.0119359999999999</v>
      </c>
      <c r="AF1434" s="186">
        <v>12.904855124999999</v>
      </c>
      <c r="AG1434" s="186">
        <v>2.1579840000000003</v>
      </c>
      <c r="AH1434" s="336"/>
      <c r="AI1434" s="218"/>
      <c r="AJ1434" s="218"/>
      <c r="AK1434" s="153"/>
      <c r="AL1434" s="152"/>
      <c r="AM1434" s="152"/>
      <c r="AN1434" s="152"/>
      <c r="AO1434" s="152"/>
      <c r="AP1434" s="152"/>
      <c r="AQ1434" s="152"/>
      <c r="AR1434" s="152"/>
      <c r="AS1434" s="152"/>
      <c r="AT1434" s="152"/>
      <c r="AU1434" s="153"/>
      <c r="AV1434" s="479"/>
      <c r="AW1434" s="479"/>
      <c r="AX1434" s="442"/>
      <c r="AY1434" s="153"/>
      <c r="AZ1434" s="152"/>
      <c r="BA1434" s="152"/>
      <c r="BB1434" s="152"/>
      <c r="BC1434" s="152"/>
      <c r="BD1434" s="152"/>
      <c r="BE1434" s="152"/>
      <c r="BF1434" s="152"/>
      <c r="BG1434" s="152"/>
      <c r="BH1434" s="152"/>
      <c r="BI1434" s="153"/>
      <c r="BJ1434" s="153"/>
      <c r="BK1434" s="153"/>
      <c r="BL1434" s="153"/>
      <c r="BM1434" s="153"/>
      <c r="BN1434" s="153"/>
      <c r="BO1434" s="153"/>
      <c r="BP1434" s="153"/>
      <c r="BQ1434" s="153"/>
      <c r="BR1434" s="153"/>
      <c r="BS1434" s="153"/>
      <c r="BT1434" s="153"/>
      <c r="BU1434" s="153"/>
      <c r="BV1434" s="153"/>
      <c r="BW1434" s="153"/>
      <c r="BX1434" s="153"/>
      <c r="BY1434" s="153"/>
      <c r="BZ1434" s="153"/>
      <c r="CA1434" s="189"/>
      <c r="CB1434" s="152"/>
    </row>
    <row r="1435" spans="1:80" x14ac:dyDescent="0.2">
      <c r="A1435" s="152"/>
      <c r="B1435" s="683"/>
      <c r="C1435" s="683"/>
      <c r="D1435" s="698"/>
      <c r="E1435" s="215"/>
      <c r="F1435" s="215"/>
      <c r="G1435" s="153"/>
      <c r="H1435" s="153"/>
      <c r="I1435" s="150">
        <v>20</v>
      </c>
      <c r="J1435" s="150">
        <v>30</v>
      </c>
      <c r="K1435" s="150">
        <v>1</v>
      </c>
      <c r="L1435" s="656">
        <v>10</v>
      </c>
      <c r="M1435" s="654">
        <v>36306</v>
      </c>
      <c r="N1435" s="596">
        <v>28.883339999999997</v>
      </c>
      <c r="O1435" s="594">
        <v>0.67800167041410986</v>
      </c>
      <c r="P1435" s="114">
        <v>0</v>
      </c>
      <c r="Q1435" s="114">
        <v>0</v>
      </c>
      <c r="R1435" s="114">
        <v>6.6001607135857177E-2</v>
      </c>
      <c r="S1435" s="114">
        <v>7.8876452472907962E-2</v>
      </c>
      <c r="T1435" s="114">
        <v>9.6089605694731392E-2</v>
      </c>
      <c r="U1435" s="114">
        <v>0.17533273376283856</v>
      </c>
      <c r="V1435" s="496">
        <v>0.27019813913041313</v>
      </c>
      <c r="W1435" s="496">
        <v>0.21781051042954644</v>
      </c>
      <c r="X1435" s="496">
        <v>9.0664009250348829E-2</v>
      </c>
      <c r="Y1435" s="496">
        <v>5.0269421233565233E-3</v>
      </c>
      <c r="Z1435" s="20">
        <v>30.5</v>
      </c>
      <c r="AA1435" s="105"/>
      <c r="AB1435" s="21" t="s">
        <v>67</v>
      </c>
      <c r="AC1435" s="103"/>
      <c r="AD1435" s="186">
        <v>12.77112</v>
      </c>
      <c r="AE1435" s="186">
        <v>1.0119359999999999</v>
      </c>
      <c r="AF1435" s="186">
        <v>12.904855124999999</v>
      </c>
      <c r="AG1435" s="186">
        <v>2.1579840000000003</v>
      </c>
      <c r="AH1435" s="336"/>
      <c r="AI1435" s="218"/>
      <c r="AJ1435" s="218"/>
      <c r="AK1435" s="153"/>
      <c r="AL1435" s="152"/>
      <c r="AM1435" s="152"/>
      <c r="AN1435" s="152"/>
      <c r="AO1435" s="152"/>
      <c r="AP1435" s="152"/>
      <c r="AQ1435" s="152"/>
      <c r="AR1435" s="152"/>
      <c r="AS1435" s="152"/>
      <c r="AT1435" s="152"/>
      <c r="AU1435" s="153"/>
      <c r="AV1435" s="479"/>
      <c r="AW1435" s="479"/>
      <c r="AX1435" s="442"/>
      <c r="AY1435" s="153"/>
      <c r="AZ1435" s="152"/>
      <c r="BA1435" s="152"/>
      <c r="BB1435" s="152"/>
      <c r="BC1435" s="152"/>
      <c r="BD1435" s="152"/>
      <c r="BE1435" s="152"/>
      <c r="BF1435" s="152"/>
      <c r="BG1435" s="152"/>
      <c r="BH1435" s="152"/>
      <c r="BI1435" s="153"/>
      <c r="BJ1435" s="153"/>
      <c r="BK1435" s="153"/>
      <c r="BL1435" s="153"/>
      <c r="BM1435" s="153"/>
      <c r="BN1435" s="153"/>
      <c r="BO1435" s="153"/>
      <c r="BP1435" s="153"/>
      <c r="BQ1435" s="153"/>
      <c r="BR1435" s="153"/>
      <c r="BS1435" s="153"/>
      <c r="BT1435" s="153"/>
      <c r="BU1435" s="153"/>
      <c r="BV1435" s="153"/>
      <c r="BW1435" s="153"/>
      <c r="BX1435" s="153"/>
      <c r="BY1435" s="153"/>
      <c r="BZ1435" s="153"/>
      <c r="CA1435" s="189"/>
      <c r="CB1435" s="152"/>
    </row>
    <row r="1436" spans="1:80" x14ac:dyDescent="0.2">
      <c r="A1436" s="152"/>
      <c r="B1436" s="683"/>
      <c r="C1436" s="683"/>
      <c r="D1436" s="698"/>
      <c r="E1436" s="215"/>
      <c r="F1436" s="215"/>
      <c r="G1436" s="153"/>
      <c r="H1436" s="153"/>
      <c r="I1436" s="150">
        <v>20</v>
      </c>
      <c r="J1436" s="150">
        <v>30</v>
      </c>
      <c r="K1436" s="150">
        <v>1</v>
      </c>
      <c r="L1436" s="656">
        <v>10</v>
      </c>
      <c r="M1436" s="654">
        <v>36307</v>
      </c>
      <c r="N1436" s="596">
        <v>27.071051999999998</v>
      </c>
      <c r="O1436" s="594">
        <v>0.97330301166026911</v>
      </c>
      <c r="P1436" s="114">
        <v>0</v>
      </c>
      <c r="Q1436" s="114">
        <v>0.21546741726879595</v>
      </c>
      <c r="R1436" s="114">
        <v>0.19068250823495972</v>
      </c>
      <c r="S1436" s="114">
        <v>0.11412365768069675</v>
      </c>
      <c r="T1436" s="114">
        <v>9.2102512820040741E-2</v>
      </c>
      <c r="U1436" s="114">
        <v>0.12546833157106554</v>
      </c>
      <c r="V1436" s="496">
        <v>0.14431666075429816</v>
      </c>
      <c r="W1436" s="496">
        <v>8.2256401710512267E-2</v>
      </c>
      <c r="X1436" s="496">
        <v>3.3710546788111827E-2</v>
      </c>
      <c r="Y1436" s="496">
        <v>1.8719631715190684E-3</v>
      </c>
      <c r="Z1436" s="20">
        <v>55</v>
      </c>
      <c r="AA1436" s="105"/>
      <c r="AB1436" s="21" t="s">
        <v>67</v>
      </c>
      <c r="AC1436" s="103"/>
      <c r="AD1436" s="186">
        <v>12.77112</v>
      </c>
      <c r="AE1436" s="186">
        <v>0.97536000000000012</v>
      </c>
      <c r="AF1436" s="186">
        <v>12.460444749999999</v>
      </c>
      <c r="AG1436" s="186">
        <v>2.1305520000000002</v>
      </c>
      <c r="AH1436" s="336"/>
      <c r="AI1436" s="218"/>
      <c r="AJ1436" s="218"/>
      <c r="AK1436" s="153"/>
      <c r="AL1436" s="152"/>
      <c r="AM1436" s="152"/>
      <c r="AN1436" s="152"/>
      <c r="AO1436" s="152"/>
      <c r="AP1436" s="152"/>
      <c r="AQ1436" s="152"/>
      <c r="AR1436" s="152"/>
      <c r="AS1436" s="152"/>
      <c r="AT1436" s="152"/>
      <c r="AU1436" s="153"/>
      <c r="AV1436" s="479"/>
      <c r="AW1436" s="479"/>
      <c r="AX1436" s="442"/>
      <c r="AY1436" s="153"/>
      <c r="AZ1436" s="152"/>
      <c r="BA1436" s="152"/>
      <c r="BB1436" s="152"/>
      <c r="BC1436" s="152"/>
      <c r="BD1436" s="152"/>
      <c r="BE1436" s="152"/>
      <c r="BF1436" s="152"/>
      <c r="BG1436" s="152"/>
      <c r="BH1436" s="152"/>
      <c r="BI1436" s="153"/>
      <c r="BJ1436" s="153"/>
      <c r="BK1436" s="153"/>
      <c r="BL1436" s="153"/>
      <c r="BM1436" s="153"/>
      <c r="BN1436" s="153"/>
      <c r="BO1436" s="153"/>
      <c r="BP1436" s="153"/>
      <c r="BQ1436" s="153"/>
      <c r="BR1436" s="153"/>
      <c r="BS1436" s="153"/>
      <c r="BT1436" s="153"/>
      <c r="BU1436" s="153"/>
      <c r="BV1436" s="153"/>
      <c r="BW1436" s="153"/>
      <c r="BX1436" s="153"/>
      <c r="BY1436" s="153"/>
      <c r="BZ1436" s="153"/>
      <c r="CA1436" s="189"/>
      <c r="CB1436" s="152"/>
    </row>
    <row r="1437" spans="1:80" x14ac:dyDescent="0.2">
      <c r="A1437" s="152"/>
      <c r="B1437" s="683"/>
      <c r="C1437" s="683"/>
      <c r="D1437" s="698"/>
      <c r="E1437" s="215"/>
      <c r="F1437" s="215"/>
      <c r="G1437" s="153"/>
      <c r="H1437" s="153"/>
      <c r="I1437" s="150">
        <v>20</v>
      </c>
      <c r="J1437" s="150">
        <v>30</v>
      </c>
      <c r="K1437" s="150">
        <v>1</v>
      </c>
      <c r="L1437" s="656">
        <v>10</v>
      </c>
      <c r="M1437" s="654">
        <v>36307</v>
      </c>
      <c r="N1437" s="596">
        <v>27.495806999999999</v>
      </c>
      <c r="O1437" s="594">
        <v>1.2114001344608631</v>
      </c>
      <c r="P1437" s="114">
        <v>0</v>
      </c>
      <c r="Q1437" s="114">
        <v>0.20707419916033803</v>
      </c>
      <c r="R1437" s="114">
        <v>0.217946384377324</v>
      </c>
      <c r="S1437" s="114">
        <v>0.14286028316402283</v>
      </c>
      <c r="T1437" s="114">
        <v>8.8702273791520139E-2</v>
      </c>
      <c r="U1437" s="114">
        <v>0.10587292301539122</v>
      </c>
      <c r="V1437" s="496">
        <v>0.12569983238050511</v>
      </c>
      <c r="W1437" s="496">
        <v>7.8531199051751682E-2</v>
      </c>
      <c r="X1437" s="496">
        <v>3.1294165196517246E-2</v>
      </c>
      <c r="Y1437" s="496">
        <v>2.0187398626297752E-3</v>
      </c>
      <c r="Z1437" s="20">
        <v>51</v>
      </c>
      <c r="AA1437" s="105"/>
      <c r="AB1437" s="21" t="s">
        <v>67</v>
      </c>
      <c r="AC1437" s="103"/>
      <c r="AD1437" s="186">
        <v>12.77112</v>
      </c>
      <c r="AE1437" s="186">
        <v>0.97536000000000012</v>
      </c>
      <c r="AF1437" s="186">
        <v>12.460444749999999</v>
      </c>
      <c r="AG1437" s="186">
        <v>2.1305520000000002</v>
      </c>
      <c r="AH1437" s="336"/>
      <c r="AI1437" s="218"/>
      <c r="AJ1437" s="218"/>
      <c r="AK1437" s="153"/>
      <c r="AL1437" s="152"/>
      <c r="AM1437" s="152"/>
      <c r="AN1437" s="152"/>
      <c r="AO1437" s="152"/>
      <c r="AP1437" s="152"/>
      <c r="AQ1437" s="152"/>
      <c r="AR1437" s="152"/>
      <c r="AS1437" s="152"/>
      <c r="AT1437" s="152"/>
      <c r="AU1437" s="153"/>
      <c r="AV1437" s="479"/>
      <c r="AW1437" s="479"/>
      <c r="AX1437" s="442"/>
      <c r="AY1437" s="153"/>
      <c r="AZ1437" s="152"/>
      <c r="BA1437" s="152"/>
      <c r="BB1437" s="152"/>
      <c r="BC1437" s="152"/>
      <c r="BD1437" s="152"/>
      <c r="BE1437" s="152"/>
      <c r="BF1437" s="152"/>
      <c r="BG1437" s="152"/>
      <c r="BH1437" s="152"/>
      <c r="BI1437" s="153"/>
      <c r="BJ1437" s="153"/>
      <c r="BK1437" s="153"/>
      <c r="BL1437" s="153"/>
      <c r="BM1437" s="153"/>
      <c r="BN1437" s="153"/>
      <c r="BO1437" s="153"/>
      <c r="BP1437" s="153"/>
      <c r="BQ1437" s="153"/>
      <c r="BR1437" s="153"/>
      <c r="BS1437" s="153"/>
      <c r="BT1437" s="153"/>
      <c r="BU1437" s="153"/>
      <c r="BV1437" s="153"/>
      <c r="BW1437" s="153"/>
      <c r="BX1437" s="153"/>
      <c r="BY1437" s="153"/>
      <c r="BZ1437" s="153"/>
      <c r="CA1437" s="189"/>
      <c r="CB1437" s="152"/>
    </row>
    <row r="1438" spans="1:80" x14ac:dyDescent="0.2">
      <c r="A1438" s="152"/>
      <c r="B1438" s="683"/>
      <c r="C1438" s="683"/>
      <c r="D1438" s="698"/>
      <c r="E1438" s="215"/>
      <c r="F1438" s="215"/>
      <c r="G1438" s="153"/>
      <c r="H1438" s="153"/>
      <c r="I1438" s="150">
        <v>20</v>
      </c>
      <c r="J1438" s="150">
        <v>30</v>
      </c>
      <c r="K1438" s="150">
        <v>1</v>
      </c>
      <c r="L1438" s="656">
        <v>10</v>
      </c>
      <c r="M1438" s="654">
        <v>36308</v>
      </c>
      <c r="N1438" s="596">
        <v>26.419760999999998</v>
      </c>
      <c r="O1438" s="594">
        <v>0.61691154586426844</v>
      </c>
      <c r="P1438" s="114">
        <v>0</v>
      </c>
      <c r="Q1438" s="114">
        <v>4.2864524276076718E-2</v>
      </c>
      <c r="R1438" s="114">
        <v>0.16850940858056748</v>
      </c>
      <c r="S1438" s="114">
        <v>0.15990755954352401</v>
      </c>
      <c r="T1438" s="114">
        <v>0.13332413754576303</v>
      </c>
      <c r="U1438" s="114">
        <v>0.17161602304504192</v>
      </c>
      <c r="V1438" s="496">
        <v>0.16294323872249014</v>
      </c>
      <c r="W1438" s="496">
        <v>0.10781395470291855</v>
      </c>
      <c r="X1438" s="496">
        <v>5.0342303532287865E-2</v>
      </c>
      <c r="Y1438" s="496">
        <v>2.6788500513303844E-3</v>
      </c>
      <c r="Z1438" s="20">
        <v>40</v>
      </c>
      <c r="AA1438" s="105"/>
      <c r="AB1438" s="21" t="s">
        <v>67</v>
      </c>
      <c r="AC1438" s="103"/>
      <c r="AD1438" s="186">
        <v>12.755880000000001</v>
      </c>
      <c r="AE1438" s="186">
        <v>0.95707200000000003</v>
      </c>
      <c r="AF1438" s="186">
        <v>12.208685749999999</v>
      </c>
      <c r="AG1438" s="186">
        <v>2.0238719999999999</v>
      </c>
      <c r="AH1438" s="336"/>
      <c r="AI1438" s="218"/>
      <c r="AJ1438" s="218"/>
      <c r="AK1438" s="153"/>
      <c r="AL1438" s="152"/>
      <c r="AM1438" s="152"/>
      <c r="AN1438" s="152"/>
      <c r="AO1438" s="152"/>
      <c r="AP1438" s="152"/>
      <c r="AQ1438" s="152"/>
      <c r="AR1438" s="152"/>
      <c r="AS1438" s="152"/>
      <c r="AT1438" s="152"/>
      <c r="AU1438" s="153"/>
      <c r="AV1438" s="479"/>
      <c r="AW1438" s="479"/>
      <c r="AX1438" s="442"/>
      <c r="AY1438" s="153"/>
      <c r="AZ1438" s="152"/>
      <c r="BA1438" s="152"/>
      <c r="BB1438" s="152"/>
      <c r="BC1438" s="152"/>
      <c r="BD1438" s="152"/>
      <c r="BE1438" s="152"/>
      <c r="BF1438" s="152"/>
      <c r="BG1438" s="152"/>
      <c r="BH1438" s="152"/>
      <c r="BI1438" s="153"/>
      <c r="BJ1438" s="153"/>
      <c r="BK1438" s="153"/>
      <c r="BL1438" s="153"/>
      <c r="BM1438" s="153"/>
      <c r="BN1438" s="153"/>
      <c r="BO1438" s="153"/>
      <c r="BP1438" s="153"/>
      <c r="BQ1438" s="153"/>
      <c r="BR1438" s="153"/>
      <c r="BS1438" s="153"/>
      <c r="BT1438" s="153"/>
      <c r="BU1438" s="153"/>
      <c r="BV1438" s="153"/>
      <c r="BW1438" s="153"/>
      <c r="BX1438" s="153"/>
      <c r="BY1438" s="153"/>
      <c r="BZ1438" s="153"/>
      <c r="CA1438" s="189"/>
      <c r="CB1438" s="152"/>
    </row>
    <row r="1439" spans="1:80" x14ac:dyDescent="0.2">
      <c r="A1439" s="152"/>
      <c r="B1439" s="683"/>
      <c r="C1439" s="683"/>
      <c r="D1439" s="698"/>
      <c r="E1439" s="215"/>
      <c r="F1439" s="215"/>
      <c r="G1439" s="153"/>
      <c r="H1439" s="153"/>
      <c r="I1439" s="150">
        <v>20</v>
      </c>
      <c r="J1439" s="150">
        <v>30</v>
      </c>
      <c r="K1439" s="150">
        <v>1</v>
      </c>
      <c r="L1439" s="656">
        <v>10</v>
      </c>
      <c r="M1439" s="654">
        <v>36308</v>
      </c>
      <c r="N1439" s="596">
        <v>26.646296999999997</v>
      </c>
      <c r="O1439" s="594">
        <v>0.26243698504706603</v>
      </c>
      <c r="P1439" s="114">
        <v>0</v>
      </c>
      <c r="Q1439" s="114">
        <v>0</v>
      </c>
      <c r="R1439" s="114">
        <v>7.6926809481172254E-2</v>
      </c>
      <c r="S1439" s="114">
        <v>5.6011137152087359E-2</v>
      </c>
      <c r="T1439" s="114">
        <v>7.395541046928894E-2</v>
      </c>
      <c r="U1439" s="114">
        <v>0.15247157291030575</v>
      </c>
      <c r="V1439" s="496">
        <v>0.25508222900885213</v>
      </c>
      <c r="W1439" s="496">
        <v>0.2492363219304895</v>
      </c>
      <c r="X1439" s="496">
        <v>0.12923599129542898</v>
      </c>
      <c r="Y1439" s="496">
        <v>7.0805277523750118E-3</v>
      </c>
      <c r="Z1439" s="20">
        <v>28</v>
      </c>
      <c r="AA1439" s="105"/>
      <c r="AB1439" s="21" t="s">
        <v>67</v>
      </c>
      <c r="AC1439" s="103"/>
      <c r="AD1439" s="186">
        <v>12.755880000000001</v>
      </c>
      <c r="AE1439" s="186">
        <v>0.95707200000000003</v>
      </c>
      <c r="AF1439" s="186">
        <v>12.208685749999999</v>
      </c>
      <c r="AG1439" s="186">
        <v>2.0238719999999999</v>
      </c>
      <c r="AH1439" s="336"/>
      <c r="AI1439" s="218"/>
      <c r="AJ1439" s="218"/>
      <c r="AK1439" s="153"/>
      <c r="AL1439" s="152"/>
      <c r="AM1439" s="152"/>
      <c r="AN1439" s="152"/>
      <c r="AO1439" s="152"/>
      <c r="AP1439" s="152"/>
      <c r="AQ1439" s="152"/>
      <c r="AR1439" s="152"/>
      <c r="AS1439" s="152"/>
      <c r="AT1439" s="152"/>
      <c r="AU1439" s="153"/>
      <c r="AV1439" s="479"/>
      <c r="AW1439" s="479"/>
      <c r="AX1439" s="442"/>
      <c r="AY1439" s="153"/>
      <c r="AZ1439" s="152"/>
      <c r="BA1439" s="152"/>
      <c r="BB1439" s="152"/>
      <c r="BC1439" s="152"/>
      <c r="BD1439" s="152"/>
      <c r="BE1439" s="152"/>
      <c r="BF1439" s="152"/>
      <c r="BG1439" s="152"/>
      <c r="BH1439" s="152"/>
      <c r="BI1439" s="153"/>
      <c r="BJ1439" s="153"/>
      <c r="BK1439" s="153"/>
      <c r="BL1439" s="153"/>
      <c r="BM1439" s="153"/>
      <c r="BN1439" s="153"/>
      <c r="BO1439" s="153"/>
      <c r="BP1439" s="153"/>
      <c r="BQ1439" s="153"/>
      <c r="BR1439" s="153"/>
      <c r="BS1439" s="153"/>
      <c r="BT1439" s="153"/>
      <c r="BU1439" s="153"/>
      <c r="BV1439" s="153"/>
      <c r="BW1439" s="153"/>
      <c r="BX1439" s="153"/>
      <c r="BY1439" s="153"/>
      <c r="BZ1439" s="153"/>
      <c r="CA1439" s="189"/>
      <c r="CB1439" s="152"/>
    </row>
    <row r="1440" spans="1:80" x14ac:dyDescent="0.2">
      <c r="A1440" s="152"/>
      <c r="B1440" s="683"/>
      <c r="C1440" s="683"/>
      <c r="D1440" s="698"/>
      <c r="E1440" s="215"/>
      <c r="F1440" s="215"/>
      <c r="G1440" s="153"/>
      <c r="H1440" s="153"/>
      <c r="I1440" s="150">
        <v>20</v>
      </c>
      <c r="J1440" s="150">
        <v>30</v>
      </c>
      <c r="K1440" s="150">
        <v>1</v>
      </c>
      <c r="L1440" s="656">
        <v>10</v>
      </c>
      <c r="M1440" s="654">
        <v>36309</v>
      </c>
      <c r="N1440" s="596">
        <v>28.317</v>
      </c>
      <c r="O1440" s="594">
        <v>0.44487718873709597</v>
      </c>
      <c r="P1440" s="114">
        <v>0</v>
      </c>
      <c r="Q1440" s="114">
        <v>6.4457384317039138E-2</v>
      </c>
      <c r="R1440" s="114">
        <v>3.1883765505723589E-2</v>
      </c>
      <c r="S1440" s="114">
        <v>6.8966516378135764E-2</v>
      </c>
      <c r="T1440" s="114">
        <v>9.4121076457494027E-2</v>
      </c>
      <c r="U1440" s="114">
        <v>0.18430750234770352</v>
      </c>
      <c r="V1440" s="496">
        <v>0.28345746310150555</v>
      </c>
      <c r="W1440" s="496">
        <v>0.19355404156143344</v>
      </c>
      <c r="X1440" s="496">
        <v>7.7226224971032195E-2</v>
      </c>
      <c r="Y1440" s="496">
        <v>2.0260253599328026E-3</v>
      </c>
      <c r="Z1440" s="20">
        <v>48</v>
      </c>
      <c r="AA1440" s="105"/>
      <c r="AB1440" s="21" t="s">
        <v>67</v>
      </c>
      <c r="AC1440" s="103"/>
      <c r="AD1440" s="186">
        <v>12.755880000000001</v>
      </c>
      <c r="AE1440" s="186">
        <v>1.042416</v>
      </c>
      <c r="AF1440" s="186">
        <v>13.315357000000001</v>
      </c>
      <c r="AG1440" s="186">
        <v>2.1000719999999999</v>
      </c>
      <c r="AH1440" s="336"/>
      <c r="AI1440" s="218"/>
      <c r="AJ1440" s="218"/>
      <c r="AK1440" s="153"/>
      <c r="AL1440" s="152"/>
      <c r="AM1440" s="152"/>
      <c r="AN1440" s="152"/>
      <c r="AO1440" s="152"/>
      <c r="AP1440" s="152"/>
      <c r="AQ1440" s="152"/>
      <c r="AR1440" s="152"/>
      <c r="AS1440" s="152"/>
      <c r="AT1440" s="152"/>
      <c r="AU1440" s="153"/>
      <c r="AV1440" s="479"/>
      <c r="AW1440" s="479"/>
      <c r="AX1440" s="442"/>
      <c r="AY1440" s="153"/>
      <c r="AZ1440" s="152"/>
      <c r="BA1440" s="152"/>
      <c r="BB1440" s="152"/>
      <c r="BC1440" s="152"/>
      <c r="BD1440" s="152"/>
      <c r="BE1440" s="152"/>
      <c r="BF1440" s="152"/>
      <c r="BG1440" s="152"/>
      <c r="BH1440" s="152"/>
      <c r="BI1440" s="153"/>
      <c r="BJ1440" s="153"/>
      <c r="BK1440" s="153"/>
      <c r="BL1440" s="153"/>
      <c r="BM1440" s="153"/>
      <c r="BN1440" s="153"/>
      <c r="BO1440" s="153"/>
      <c r="BP1440" s="153"/>
      <c r="BQ1440" s="153"/>
      <c r="BR1440" s="153"/>
      <c r="BS1440" s="153"/>
      <c r="BT1440" s="153"/>
      <c r="BU1440" s="153"/>
      <c r="BV1440" s="153"/>
      <c r="BW1440" s="153"/>
      <c r="BX1440" s="153"/>
      <c r="BY1440" s="153"/>
      <c r="BZ1440" s="153"/>
      <c r="CA1440" s="189"/>
      <c r="CB1440" s="152"/>
    </row>
    <row r="1441" spans="1:80" x14ac:dyDescent="0.2">
      <c r="A1441" s="152"/>
      <c r="B1441" s="683"/>
      <c r="C1441" s="683"/>
      <c r="D1441" s="698"/>
      <c r="E1441" s="215"/>
      <c r="F1441" s="215"/>
      <c r="G1441" s="153"/>
      <c r="H1441" s="153"/>
      <c r="I1441" s="150">
        <v>20</v>
      </c>
      <c r="J1441" s="150">
        <v>30</v>
      </c>
      <c r="K1441" s="150">
        <v>1</v>
      </c>
      <c r="L1441" s="656">
        <v>10</v>
      </c>
      <c r="M1441" s="654">
        <v>36309</v>
      </c>
      <c r="N1441" s="596">
        <v>28.317</v>
      </c>
      <c r="O1441" s="594">
        <v>0.64818645019343901</v>
      </c>
      <c r="P1441" s="114">
        <v>0</v>
      </c>
      <c r="Q1441" s="114">
        <v>3.8695810333291406E-2</v>
      </c>
      <c r="R1441" s="114">
        <v>0.12352529087261364</v>
      </c>
      <c r="S1441" s="114">
        <v>0.10331652229477123</v>
      </c>
      <c r="T1441" s="114">
        <v>0.11676320877766361</v>
      </c>
      <c r="U1441" s="114">
        <v>0.16274557908622905</v>
      </c>
      <c r="V1441" s="496">
        <v>0.20949587179375284</v>
      </c>
      <c r="W1441" s="496">
        <v>0.16715186464134024</v>
      </c>
      <c r="X1441" s="496">
        <v>7.4416112008430069E-2</v>
      </c>
      <c r="Y1441" s="496">
        <v>3.8897401919076734E-3</v>
      </c>
      <c r="Z1441" s="20">
        <v>43</v>
      </c>
      <c r="AA1441" s="105"/>
      <c r="AB1441" s="21" t="s">
        <v>67</v>
      </c>
      <c r="AC1441" s="103"/>
      <c r="AD1441" s="186">
        <v>12.755880000000001</v>
      </c>
      <c r="AE1441" s="186">
        <v>1.042416</v>
      </c>
      <c r="AF1441" s="186">
        <v>13.315357000000001</v>
      </c>
      <c r="AG1441" s="186">
        <v>2.1000719999999999</v>
      </c>
      <c r="AH1441" s="336"/>
      <c r="AI1441" s="218"/>
      <c r="AJ1441" s="218"/>
      <c r="AK1441" s="153"/>
      <c r="AL1441" s="152"/>
      <c r="AM1441" s="152"/>
      <c r="AN1441" s="152"/>
      <c r="AO1441" s="152"/>
      <c r="AP1441" s="152"/>
      <c r="AQ1441" s="152"/>
      <c r="AR1441" s="152"/>
      <c r="AS1441" s="152"/>
      <c r="AT1441" s="152"/>
      <c r="AU1441" s="153"/>
      <c r="AV1441" s="479"/>
      <c r="AW1441" s="479"/>
      <c r="AX1441" s="442"/>
      <c r="AY1441" s="153"/>
      <c r="AZ1441" s="152"/>
      <c r="BA1441" s="152"/>
      <c r="BB1441" s="152"/>
      <c r="BC1441" s="152"/>
      <c r="BD1441" s="152"/>
      <c r="BE1441" s="152"/>
      <c r="BF1441" s="152"/>
      <c r="BG1441" s="152"/>
      <c r="BH1441" s="152"/>
      <c r="BI1441" s="153"/>
      <c r="BJ1441" s="153"/>
      <c r="BK1441" s="153"/>
      <c r="BL1441" s="153"/>
      <c r="BM1441" s="153"/>
      <c r="BN1441" s="153"/>
      <c r="BO1441" s="153"/>
      <c r="BP1441" s="153"/>
      <c r="BQ1441" s="153"/>
      <c r="BR1441" s="153"/>
      <c r="BS1441" s="153"/>
      <c r="BT1441" s="153"/>
      <c r="BU1441" s="153"/>
      <c r="BV1441" s="153"/>
      <c r="BW1441" s="153"/>
      <c r="BX1441" s="153"/>
      <c r="BY1441" s="153"/>
      <c r="BZ1441" s="153"/>
      <c r="CA1441" s="189"/>
      <c r="CB1441" s="152"/>
    </row>
    <row r="1442" spans="1:80" x14ac:dyDescent="0.2">
      <c r="A1442" s="152"/>
      <c r="B1442" s="683"/>
      <c r="C1442" s="683"/>
      <c r="D1442" s="698"/>
      <c r="E1442" s="215"/>
      <c r="F1442" s="215"/>
      <c r="G1442" s="153"/>
      <c r="H1442" s="153"/>
      <c r="I1442" s="150">
        <v>20</v>
      </c>
      <c r="J1442" s="150">
        <v>30</v>
      </c>
      <c r="K1442" s="150">
        <v>1</v>
      </c>
      <c r="L1442" s="656">
        <v>10</v>
      </c>
      <c r="M1442" s="654">
        <v>36310</v>
      </c>
      <c r="N1442" s="596">
        <v>28.118780999999998</v>
      </c>
      <c r="O1442" s="594">
        <v>0.72780740107521846</v>
      </c>
      <c r="P1442" s="114">
        <v>0</v>
      </c>
      <c r="Q1442" s="114">
        <v>0.15464063645458406</v>
      </c>
      <c r="R1442" s="114">
        <v>0.14950767135263343</v>
      </c>
      <c r="S1442" s="114">
        <v>0.11179436987915306</v>
      </c>
      <c r="T1442" s="114">
        <v>9.5969963649987916E-2</v>
      </c>
      <c r="U1442" s="114">
        <v>0.1372782170587914</v>
      </c>
      <c r="V1442" s="496">
        <v>0.17248811947206114</v>
      </c>
      <c r="W1442" s="496">
        <v>0.12623490724961459</v>
      </c>
      <c r="X1442" s="496">
        <v>4.9663470088993106E-2</v>
      </c>
      <c r="Y1442" s="496">
        <v>2.4226447941811994E-3</v>
      </c>
      <c r="Z1442" s="20">
        <v>43</v>
      </c>
      <c r="AA1442" s="105"/>
      <c r="AB1442" s="21" t="s">
        <v>67</v>
      </c>
      <c r="AC1442" s="103"/>
      <c r="AD1442" s="186">
        <v>12.755880000000001</v>
      </c>
      <c r="AE1442" s="186">
        <v>1.0454640000000002</v>
      </c>
      <c r="AF1442" s="186">
        <v>13.316286</v>
      </c>
      <c r="AG1442" s="186">
        <v>2.1793200000000001</v>
      </c>
      <c r="AH1442" s="336"/>
      <c r="AI1442" s="218"/>
      <c r="AJ1442" s="218"/>
      <c r="AK1442" s="153"/>
      <c r="AL1442" s="152"/>
      <c r="AM1442" s="152"/>
      <c r="AN1442" s="152"/>
      <c r="AO1442" s="152"/>
      <c r="AP1442" s="152"/>
      <c r="AQ1442" s="152"/>
      <c r="AR1442" s="152"/>
      <c r="AS1442" s="152"/>
      <c r="AT1442" s="152"/>
      <c r="AU1442" s="153"/>
      <c r="AV1442" s="479"/>
      <c r="AW1442" s="479"/>
      <c r="AX1442" s="442"/>
      <c r="AY1442" s="153"/>
      <c r="AZ1442" s="152"/>
      <c r="BA1442" s="152"/>
      <c r="BB1442" s="152"/>
      <c r="BC1442" s="152"/>
      <c r="BD1442" s="152"/>
      <c r="BE1442" s="152"/>
      <c r="BF1442" s="152"/>
      <c r="BG1442" s="152"/>
      <c r="BH1442" s="152"/>
      <c r="BI1442" s="153"/>
      <c r="BJ1442" s="153"/>
      <c r="BK1442" s="153"/>
      <c r="BL1442" s="153"/>
      <c r="BM1442" s="153"/>
      <c r="BN1442" s="153"/>
      <c r="BO1442" s="153"/>
      <c r="BP1442" s="153"/>
      <c r="BQ1442" s="153"/>
      <c r="BR1442" s="153"/>
      <c r="BS1442" s="153"/>
      <c r="BT1442" s="153"/>
      <c r="BU1442" s="153"/>
      <c r="BV1442" s="153"/>
      <c r="BW1442" s="153"/>
      <c r="BX1442" s="153"/>
      <c r="BY1442" s="153"/>
      <c r="BZ1442" s="153"/>
      <c r="CA1442" s="189"/>
      <c r="CB1442" s="152"/>
    </row>
    <row r="1443" spans="1:80" x14ac:dyDescent="0.2">
      <c r="A1443" s="152"/>
      <c r="B1443" s="683"/>
      <c r="C1443" s="683"/>
      <c r="D1443" s="698"/>
      <c r="E1443" s="215"/>
      <c r="F1443" s="215"/>
      <c r="G1443" s="153"/>
      <c r="H1443" s="153"/>
      <c r="I1443" s="150">
        <v>20</v>
      </c>
      <c r="J1443" s="150">
        <v>30</v>
      </c>
      <c r="K1443" s="150">
        <v>1</v>
      </c>
      <c r="L1443" s="656">
        <v>10</v>
      </c>
      <c r="M1443" s="654">
        <v>36310</v>
      </c>
      <c r="N1443" s="596">
        <v>27.920561999999997</v>
      </c>
      <c r="O1443" s="594">
        <v>0.7673272623989924</v>
      </c>
      <c r="P1443" s="114">
        <v>0.14305832088172235</v>
      </c>
      <c r="Q1443" s="114">
        <v>3.7163530251164929E-2</v>
      </c>
      <c r="R1443" s="114">
        <v>0.10550937489759357</v>
      </c>
      <c r="S1443" s="114">
        <v>9.5608553757399656E-2</v>
      </c>
      <c r="T1443" s="114">
        <v>9.2383423991938052E-2</v>
      </c>
      <c r="U1443" s="114">
        <v>0.12844972658764855</v>
      </c>
      <c r="V1443" s="496">
        <v>0.19451000382736264</v>
      </c>
      <c r="W1443" s="496">
        <v>0.14743273297621376</v>
      </c>
      <c r="X1443" s="496">
        <v>5.3022257058353638E-2</v>
      </c>
      <c r="Y1443" s="496">
        <v>2.8620757706026225E-3</v>
      </c>
      <c r="Z1443" s="20">
        <v>74</v>
      </c>
      <c r="AA1443" s="105"/>
      <c r="AB1443" s="21" t="s">
        <v>67</v>
      </c>
      <c r="AC1443" s="103"/>
      <c r="AD1443" s="186">
        <v>12.755880000000001</v>
      </c>
      <c r="AE1443" s="186">
        <v>1.0454640000000002</v>
      </c>
      <c r="AF1443" s="186">
        <v>13.316286</v>
      </c>
      <c r="AG1443" s="186">
        <v>2.1793200000000001</v>
      </c>
      <c r="AH1443" s="336"/>
      <c r="AI1443" s="218"/>
      <c r="AJ1443" s="218"/>
      <c r="AK1443" s="153"/>
      <c r="AL1443" s="152"/>
      <c r="AM1443" s="152"/>
      <c r="AN1443" s="152"/>
      <c r="AO1443" s="152"/>
      <c r="AP1443" s="152"/>
      <c r="AQ1443" s="152"/>
      <c r="AR1443" s="152"/>
      <c r="AS1443" s="152"/>
      <c r="AT1443" s="152"/>
      <c r="AU1443" s="153"/>
      <c r="AV1443" s="479"/>
      <c r="AW1443" s="479"/>
      <c r="AX1443" s="442"/>
      <c r="AY1443" s="153"/>
      <c r="AZ1443" s="152"/>
      <c r="BA1443" s="152"/>
      <c r="BB1443" s="152"/>
      <c r="BC1443" s="152"/>
      <c r="BD1443" s="152"/>
      <c r="BE1443" s="152"/>
      <c r="BF1443" s="152"/>
      <c r="BG1443" s="152"/>
      <c r="BH1443" s="152"/>
      <c r="BI1443" s="153"/>
      <c r="BJ1443" s="153"/>
      <c r="BK1443" s="153"/>
      <c r="BL1443" s="153"/>
      <c r="BM1443" s="153"/>
      <c r="BN1443" s="153"/>
      <c r="BO1443" s="153"/>
      <c r="BP1443" s="153"/>
      <c r="BQ1443" s="153"/>
      <c r="BR1443" s="153"/>
      <c r="BS1443" s="153"/>
      <c r="BT1443" s="153"/>
      <c r="BU1443" s="153"/>
      <c r="BV1443" s="153"/>
      <c r="BW1443" s="153"/>
      <c r="BX1443" s="153"/>
      <c r="BY1443" s="153"/>
      <c r="BZ1443" s="153"/>
      <c r="CA1443" s="189"/>
      <c r="CB1443" s="152"/>
    </row>
    <row r="1444" spans="1:80" x14ac:dyDescent="0.2">
      <c r="A1444" s="152"/>
      <c r="B1444" s="683"/>
      <c r="C1444" s="683"/>
      <c r="D1444" s="698"/>
      <c r="E1444" s="215"/>
      <c r="F1444" s="215"/>
      <c r="G1444" s="153"/>
      <c r="H1444" s="153"/>
      <c r="I1444" s="150">
        <v>20</v>
      </c>
      <c r="J1444" s="150">
        <v>30</v>
      </c>
      <c r="K1444" s="150">
        <v>1</v>
      </c>
      <c r="L1444" s="656">
        <v>10</v>
      </c>
      <c r="M1444" s="654">
        <v>36311</v>
      </c>
      <c r="N1444" s="596">
        <v>23.389841999999998</v>
      </c>
      <c r="O1444" s="594">
        <v>0.45323886943279851</v>
      </c>
      <c r="P1444" s="114">
        <v>0</v>
      </c>
      <c r="Q1444" s="114">
        <v>0</v>
      </c>
      <c r="R1444" s="114">
        <v>0.23519061784552295</v>
      </c>
      <c r="S1444" s="114">
        <v>0.14731192387942549</v>
      </c>
      <c r="T1444" s="114">
        <v>0.11145500370903338</v>
      </c>
      <c r="U1444" s="114">
        <v>0.1466840430455405</v>
      </c>
      <c r="V1444" s="496">
        <v>0.19168444574143387</v>
      </c>
      <c r="W1444" s="496">
        <v>0.11871122504046024</v>
      </c>
      <c r="X1444" s="496">
        <v>4.6637873441681105E-2</v>
      </c>
      <c r="Y1444" s="496">
        <v>2.324867296902536E-3</v>
      </c>
      <c r="Z1444" s="20">
        <v>35</v>
      </c>
      <c r="AA1444" s="105"/>
      <c r="AB1444" s="21" t="s">
        <v>67</v>
      </c>
      <c r="AC1444" s="103"/>
      <c r="AD1444" s="186">
        <v>12.755880000000001</v>
      </c>
      <c r="AE1444" s="186">
        <v>0.92354400000000003</v>
      </c>
      <c r="AF1444" s="186">
        <v>11.795513</v>
      </c>
      <c r="AG1444" s="186">
        <v>1.972056</v>
      </c>
      <c r="AH1444" s="336"/>
      <c r="AI1444" s="218"/>
      <c r="AJ1444" s="218"/>
      <c r="AK1444" s="153"/>
      <c r="AL1444" s="152"/>
      <c r="AM1444" s="152"/>
      <c r="AN1444" s="152"/>
      <c r="AO1444" s="152"/>
      <c r="AP1444" s="152"/>
      <c r="AQ1444" s="152"/>
      <c r="AR1444" s="152"/>
      <c r="AS1444" s="152"/>
      <c r="AT1444" s="152"/>
      <c r="AU1444" s="153"/>
      <c r="AV1444" s="479"/>
      <c r="AW1444" s="479"/>
      <c r="AX1444" s="442"/>
      <c r="AY1444" s="153"/>
      <c r="AZ1444" s="152"/>
      <c r="BA1444" s="152"/>
      <c r="BB1444" s="152"/>
      <c r="BC1444" s="152"/>
      <c r="BD1444" s="152"/>
      <c r="BE1444" s="152"/>
      <c r="BF1444" s="152"/>
      <c r="BG1444" s="152"/>
      <c r="BH1444" s="152"/>
      <c r="BI1444" s="153"/>
      <c r="BJ1444" s="153"/>
      <c r="BK1444" s="153"/>
      <c r="BL1444" s="153"/>
      <c r="BM1444" s="153"/>
      <c r="BN1444" s="153"/>
      <c r="BO1444" s="153"/>
      <c r="BP1444" s="153"/>
      <c r="BQ1444" s="153"/>
      <c r="BR1444" s="153"/>
      <c r="BS1444" s="153"/>
      <c r="BT1444" s="153"/>
      <c r="BU1444" s="153"/>
      <c r="BV1444" s="153"/>
      <c r="BW1444" s="153"/>
      <c r="BX1444" s="153"/>
      <c r="BY1444" s="153"/>
      <c r="BZ1444" s="153"/>
      <c r="CA1444" s="189"/>
      <c r="CB1444" s="152"/>
    </row>
    <row r="1445" spans="1:80" x14ac:dyDescent="0.2">
      <c r="A1445" s="152"/>
      <c r="B1445" s="683"/>
      <c r="C1445" s="683"/>
      <c r="D1445" s="698"/>
      <c r="E1445" s="215"/>
      <c r="F1445" s="215"/>
      <c r="G1445" s="153"/>
      <c r="H1445" s="153"/>
      <c r="I1445" s="150">
        <v>20</v>
      </c>
      <c r="J1445" s="150">
        <v>30</v>
      </c>
      <c r="K1445" s="150">
        <v>1</v>
      </c>
      <c r="L1445" s="656">
        <v>10</v>
      </c>
      <c r="M1445" s="654">
        <v>36311</v>
      </c>
      <c r="N1445" s="596">
        <v>23.389841999999998</v>
      </c>
      <c r="O1445" s="594">
        <v>0.39211085744077551</v>
      </c>
      <c r="P1445" s="114">
        <v>0</v>
      </c>
      <c r="Q1445" s="114">
        <v>0.19584958781615025</v>
      </c>
      <c r="R1445" s="114">
        <v>0.22949089031187259</v>
      </c>
      <c r="S1445" s="114">
        <v>0.1270656472014827</v>
      </c>
      <c r="T1445" s="114">
        <v>6.8876439965861375E-2</v>
      </c>
      <c r="U1445" s="114">
        <v>8.7326502861675259E-2</v>
      </c>
      <c r="V1445" s="496">
        <v>0.13922020493593831</v>
      </c>
      <c r="W1445" s="496">
        <v>0.10061151365332301</v>
      </c>
      <c r="X1445" s="496">
        <v>4.7907718807010981E-2</v>
      </c>
      <c r="Y1445" s="496">
        <v>3.6514944466855292E-3</v>
      </c>
      <c r="Z1445" s="20">
        <v>50</v>
      </c>
      <c r="AA1445" s="105"/>
      <c r="AB1445" s="21" t="s">
        <v>67</v>
      </c>
      <c r="AC1445" s="103"/>
      <c r="AD1445" s="186">
        <v>12.755880000000001</v>
      </c>
      <c r="AE1445" s="186">
        <v>0.92354400000000003</v>
      </c>
      <c r="AF1445" s="186">
        <v>11.795513</v>
      </c>
      <c r="AG1445" s="186">
        <v>1.972056</v>
      </c>
      <c r="AH1445" s="336"/>
      <c r="AI1445" s="218"/>
      <c r="AJ1445" s="218"/>
      <c r="AK1445" s="153"/>
      <c r="AL1445" s="152"/>
      <c r="AM1445" s="152"/>
      <c r="AN1445" s="152"/>
      <c r="AO1445" s="152"/>
      <c r="AP1445" s="152"/>
      <c r="AQ1445" s="152"/>
      <c r="AR1445" s="152"/>
      <c r="AS1445" s="152"/>
      <c r="AT1445" s="152"/>
      <c r="AU1445" s="153"/>
      <c r="AV1445" s="479"/>
      <c r="AW1445" s="479"/>
      <c r="AX1445" s="442"/>
      <c r="AY1445" s="153"/>
      <c r="AZ1445" s="152"/>
      <c r="BA1445" s="152"/>
      <c r="BB1445" s="152"/>
      <c r="BC1445" s="152"/>
      <c r="BD1445" s="152"/>
      <c r="BE1445" s="152"/>
      <c r="BF1445" s="152"/>
      <c r="BG1445" s="152"/>
      <c r="BH1445" s="152"/>
      <c r="BI1445" s="153"/>
      <c r="BJ1445" s="153"/>
      <c r="BK1445" s="153"/>
      <c r="BL1445" s="153"/>
      <c r="BM1445" s="153"/>
      <c r="BN1445" s="153"/>
      <c r="BO1445" s="153"/>
      <c r="BP1445" s="153"/>
      <c r="BQ1445" s="153"/>
      <c r="BR1445" s="153"/>
      <c r="BS1445" s="153"/>
      <c r="BT1445" s="153"/>
      <c r="BU1445" s="153"/>
      <c r="BV1445" s="153"/>
      <c r="BW1445" s="153"/>
      <c r="BX1445" s="153"/>
      <c r="BY1445" s="153"/>
      <c r="BZ1445" s="153"/>
      <c r="CA1445" s="189"/>
      <c r="CB1445" s="152"/>
    </row>
    <row r="1446" spans="1:80" x14ac:dyDescent="0.2">
      <c r="A1446" s="152"/>
      <c r="B1446" s="683"/>
      <c r="C1446" s="683"/>
      <c r="D1446" s="698"/>
      <c r="E1446" s="215"/>
      <c r="F1446" s="215"/>
      <c r="G1446" s="153"/>
      <c r="H1446" s="153"/>
      <c r="I1446" s="150">
        <v>20</v>
      </c>
      <c r="J1446" s="150">
        <v>30</v>
      </c>
      <c r="K1446" s="150">
        <v>1</v>
      </c>
      <c r="L1446" s="656">
        <v>10</v>
      </c>
      <c r="M1446" s="654">
        <v>36312</v>
      </c>
      <c r="N1446" s="596">
        <v>21.662504999999999</v>
      </c>
      <c r="O1446" s="594">
        <v>0.10878639632803401</v>
      </c>
      <c r="P1446" s="114">
        <v>0</v>
      </c>
      <c r="Q1446" s="114">
        <v>0</v>
      </c>
      <c r="R1446" s="114">
        <v>2.2332280284389897E-2</v>
      </c>
      <c r="S1446" s="114">
        <v>4.4515810352707276E-2</v>
      </c>
      <c r="T1446" s="114">
        <v>6.9317344223900887E-2</v>
      </c>
      <c r="U1446" s="114">
        <v>0.14750353538229063</v>
      </c>
      <c r="V1446" s="496">
        <v>0.31506937145852665</v>
      </c>
      <c r="W1446" s="496">
        <v>0.28208683216923464</v>
      </c>
      <c r="X1446" s="496">
        <v>0.11448073094830315</v>
      </c>
      <c r="Y1446" s="496">
        <v>4.6940951806468791E-3</v>
      </c>
      <c r="Z1446" s="20">
        <v>29</v>
      </c>
      <c r="AA1446" s="105"/>
      <c r="AB1446" s="21" t="s">
        <v>67</v>
      </c>
      <c r="AC1446" s="103"/>
      <c r="AD1446" s="186">
        <v>12.755880000000001</v>
      </c>
      <c r="AE1446" s="186">
        <v>0.91135200000000016</v>
      </c>
      <c r="AF1446" s="186">
        <v>11.63270575</v>
      </c>
      <c r="AG1446" s="186">
        <v>1.9476720000000001</v>
      </c>
      <c r="AH1446" s="336"/>
      <c r="AI1446" s="218"/>
      <c r="AJ1446" s="218"/>
      <c r="AK1446" s="153"/>
      <c r="AL1446" s="152"/>
      <c r="AM1446" s="152"/>
      <c r="AN1446" s="152"/>
      <c r="AO1446" s="152"/>
      <c r="AP1446" s="152"/>
      <c r="AQ1446" s="152"/>
      <c r="AR1446" s="152"/>
      <c r="AS1446" s="152"/>
      <c r="AT1446" s="152"/>
      <c r="AU1446" s="153"/>
      <c r="AV1446" s="479"/>
      <c r="AW1446" s="479"/>
      <c r="AX1446" s="442"/>
      <c r="AY1446" s="153"/>
      <c r="AZ1446" s="152"/>
      <c r="BA1446" s="152"/>
      <c r="BB1446" s="152"/>
      <c r="BC1446" s="152"/>
      <c r="BD1446" s="152"/>
      <c r="BE1446" s="152"/>
      <c r="BF1446" s="152"/>
      <c r="BG1446" s="152"/>
      <c r="BH1446" s="152"/>
      <c r="BI1446" s="153"/>
      <c r="BJ1446" s="153"/>
      <c r="BK1446" s="153"/>
      <c r="BL1446" s="153"/>
      <c r="BM1446" s="153"/>
      <c r="BN1446" s="153"/>
      <c r="BO1446" s="153"/>
      <c r="BP1446" s="153"/>
      <c r="BQ1446" s="153"/>
      <c r="BR1446" s="153"/>
      <c r="BS1446" s="153"/>
      <c r="BT1446" s="153"/>
      <c r="BU1446" s="153"/>
      <c r="BV1446" s="153"/>
      <c r="BW1446" s="153"/>
      <c r="BX1446" s="153"/>
      <c r="BY1446" s="153"/>
      <c r="BZ1446" s="153"/>
      <c r="CA1446" s="189"/>
      <c r="CB1446" s="152"/>
    </row>
    <row r="1447" spans="1:80" x14ac:dyDescent="0.2">
      <c r="A1447" s="152"/>
      <c r="B1447" s="683"/>
      <c r="C1447" s="683"/>
      <c r="D1447" s="698"/>
      <c r="E1447" s="215"/>
      <c r="F1447" s="215"/>
      <c r="G1447" s="153"/>
      <c r="H1447" s="153"/>
      <c r="I1447" s="150">
        <v>20</v>
      </c>
      <c r="J1447" s="150">
        <v>30</v>
      </c>
      <c r="K1447" s="150">
        <v>1</v>
      </c>
      <c r="L1447" s="656">
        <v>10</v>
      </c>
      <c r="M1447" s="654">
        <v>36312</v>
      </c>
      <c r="N1447" s="596">
        <v>21.662504999999999</v>
      </c>
      <c r="O1447" s="594">
        <v>0.10794278403014305</v>
      </c>
      <c r="P1447" s="114">
        <v>0</v>
      </c>
      <c r="Q1447" s="114">
        <v>0</v>
      </c>
      <c r="R1447" s="114">
        <v>0.10325938757538608</v>
      </c>
      <c r="S1447" s="114">
        <v>2.8190059388712652E-2</v>
      </c>
      <c r="T1447" s="114">
        <v>4.5307252649772527E-2</v>
      </c>
      <c r="U1447" s="114">
        <v>0.11077854603756039</v>
      </c>
      <c r="V1447" s="496">
        <v>0.25238639133380214</v>
      </c>
      <c r="W1447" s="496">
        <v>0.29062913471651108</v>
      </c>
      <c r="X1447" s="496">
        <v>0.16029783011628315</v>
      </c>
      <c r="Y1447" s="496">
        <v>9.1513981819718541E-3</v>
      </c>
      <c r="Z1447" s="20">
        <v>25.5</v>
      </c>
      <c r="AA1447" s="105"/>
      <c r="AB1447" s="21" t="s">
        <v>67</v>
      </c>
      <c r="AC1447" s="103"/>
      <c r="AD1447" s="186">
        <v>12.755880000000001</v>
      </c>
      <c r="AE1447" s="186">
        <v>0.91135200000000016</v>
      </c>
      <c r="AF1447" s="186">
        <v>11.63270575</v>
      </c>
      <c r="AG1447" s="186">
        <v>1.9476720000000001</v>
      </c>
      <c r="AH1447" s="336"/>
      <c r="AI1447" s="218"/>
      <c r="AJ1447" s="218"/>
      <c r="AK1447" s="153"/>
      <c r="AL1447" s="152"/>
      <c r="AM1447" s="152"/>
      <c r="AN1447" s="152"/>
      <c r="AO1447" s="152"/>
      <c r="AP1447" s="152"/>
      <c r="AQ1447" s="152"/>
      <c r="AR1447" s="152"/>
      <c r="AS1447" s="152"/>
      <c r="AT1447" s="152"/>
      <c r="AU1447" s="153"/>
      <c r="AV1447" s="479"/>
      <c r="AW1447" s="479"/>
      <c r="AX1447" s="442"/>
      <c r="AY1447" s="153"/>
      <c r="AZ1447" s="152"/>
      <c r="BA1447" s="152"/>
      <c r="BB1447" s="152"/>
      <c r="BC1447" s="152"/>
      <c r="BD1447" s="152"/>
      <c r="BE1447" s="152"/>
      <c r="BF1447" s="152"/>
      <c r="BG1447" s="152"/>
      <c r="BH1447" s="152"/>
      <c r="BI1447" s="153"/>
      <c r="BJ1447" s="153"/>
      <c r="BK1447" s="153"/>
      <c r="BL1447" s="153"/>
      <c r="BM1447" s="153"/>
      <c r="BN1447" s="153"/>
      <c r="BO1447" s="153"/>
      <c r="BP1447" s="153"/>
      <c r="BQ1447" s="153"/>
      <c r="BR1447" s="153"/>
      <c r="BS1447" s="153"/>
      <c r="BT1447" s="153"/>
      <c r="BU1447" s="153"/>
      <c r="BV1447" s="153"/>
      <c r="BW1447" s="153"/>
      <c r="BX1447" s="153"/>
      <c r="BY1447" s="153"/>
      <c r="BZ1447" s="153"/>
      <c r="CA1447" s="189"/>
      <c r="CB1447" s="152"/>
    </row>
    <row r="1448" spans="1:80" x14ac:dyDescent="0.2">
      <c r="A1448" s="152"/>
      <c r="B1448" s="683"/>
      <c r="C1448" s="683"/>
      <c r="D1448" s="698"/>
      <c r="E1448" s="215"/>
      <c r="F1448" s="215"/>
      <c r="G1448" s="153"/>
      <c r="H1448" s="153"/>
      <c r="I1448" s="150">
        <v>20</v>
      </c>
      <c r="J1448" s="150">
        <v>30</v>
      </c>
      <c r="K1448" s="150">
        <v>1</v>
      </c>
      <c r="L1448" s="656">
        <v>10</v>
      </c>
      <c r="M1448" s="654">
        <v>36313</v>
      </c>
      <c r="N1448" s="596">
        <v>22.427063999999998</v>
      </c>
      <c r="O1448" s="594">
        <v>0.16551157556725127</v>
      </c>
      <c r="P1448" s="114">
        <v>0</v>
      </c>
      <c r="Q1448" s="114">
        <v>0</v>
      </c>
      <c r="R1448" s="114">
        <v>8.1136965317393561E-2</v>
      </c>
      <c r="S1448" s="114">
        <v>3.6739454409502693E-2</v>
      </c>
      <c r="T1448" s="114">
        <v>7.1835368188160456E-2</v>
      </c>
      <c r="U1448" s="114">
        <v>0.13891711116710789</v>
      </c>
      <c r="V1448" s="496">
        <v>0.26976555561928611</v>
      </c>
      <c r="W1448" s="496">
        <v>0.27244556235066258</v>
      </c>
      <c r="X1448" s="496">
        <v>0.12437192214122017</v>
      </c>
      <c r="Y1448" s="496">
        <v>4.7880608066665142E-3</v>
      </c>
      <c r="Z1448" s="20">
        <v>27.5</v>
      </c>
      <c r="AA1448" s="105"/>
      <c r="AB1448" s="21" t="s">
        <v>67</v>
      </c>
      <c r="AC1448" s="103"/>
      <c r="AD1448" s="186">
        <v>12.755880000000001</v>
      </c>
      <c r="AE1448" s="186">
        <v>0.89306400000000008</v>
      </c>
      <c r="AF1448" s="186">
        <v>11.400850575</v>
      </c>
      <c r="AG1448" s="186">
        <v>1.9202399999999999</v>
      </c>
      <c r="AH1448" s="336"/>
      <c r="AI1448" s="218"/>
      <c r="AJ1448" s="218"/>
      <c r="AK1448" s="153"/>
      <c r="AL1448" s="152"/>
      <c r="AM1448" s="152"/>
      <c r="AN1448" s="152"/>
      <c r="AO1448" s="152"/>
      <c r="AP1448" s="152"/>
      <c r="AQ1448" s="152"/>
      <c r="AR1448" s="152"/>
      <c r="AS1448" s="152"/>
      <c r="AT1448" s="152"/>
      <c r="AU1448" s="153"/>
      <c r="AV1448" s="479"/>
      <c r="AW1448" s="479"/>
      <c r="AX1448" s="442"/>
      <c r="AY1448" s="153"/>
      <c r="AZ1448" s="152"/>
      <c r="BA1448" s="152"/>
      <c r="BB1448" s="152"/>
      <c r="BC1448" s="152"/>
      <c r="BD1448" s="152"/>
      <c r="BE1448" s="152"/>
      <c r="BF1448" s="152"/>
      <c r="BG1448" s="152"/>
      <c r="BH1448" s="152"/>
      <c r="BI1448" s="153"/>
      <c r="BJ1448" s="153"/>
      <c r="BK1448" s="153"/>
      <c r="BL1448" s="153"/>
      <c r="BM1448" s="153"/>
      <c r="BN1448" s="153"/>
      <c r="BO1448" s="153"/>
      <c r="BP1448" s="153"/>
      <c r="BQ1448" s="153"/>
      <c r="BR1448" s="153"/>
      <c r="BS1448" s="153"/>
      <c r="BT1448" s="153"/>
      <c r="BU1448" s="153"/>
      <c r="BV1448" s="153"/>
      <c r="BW1448" s="153"/>
      <c r="BX1448" s="153"/>
      <c r="BY1448" s="153"/>
      <c r="BZ1448" s="153"/>
      <c r="CA1448" s="189"/>
      <c r="CB1448" s="152"/>
    </row>
    <row r="1449" spans="1:80" x14ac:dyDescent="0.2">
      <c r="A1449" s="152"/>
      <c r="B1449" s="683"/>
      <c r="C1449" s="683"/>
      <c r="D1449" s="698"/>
      <c r="E1449" s="215"/>
      <c r="F1449" s="215"/>
      <c r="G1449" s="153"/>
      <c r="H1449" s="153"/>
      <c r="I1449" s="150">
        <v>20</v>
      </c>
      <c r="J1449" s="150">
        <v>30</v>
      </c>
      <c r="K1449" s="150">
        <v>1</v>
      </c>
      <c r="L1449" s="656">
        <v>10</v>
      </c>
      <c r="M1449" s="654">
        <v>36313</v>
      </c>
      <c r="N1449" s="596">
        <v>22.625283</v>
      </c>
      <c r="O1449" s="594">
        <v>0.21846078929659932</v>
      </c>
      <c r="P1449" s="114">
        <v>0</v>
      </c>
      <c r="Q1449" s="114">
        <v>0</v>
      </c>
      <c r="R1449" s="114">
        <v>6.1029592585455844E-2</v>
      </c>
      <c r="S1449" s="114">
        <v>7.7294955365466406E-2</v>
      </c>
      <c r="T1449" s="114">
        <v>7.8628265568224831E-2</v>
      </c>
      <c r="U1449" s="114">
        <v>0.1804694106817914</v>
      </c>
      <c r="V1449" s="496">
        <v>0.27065685664516176</v>
      </c>
      <c r="W1449" s="496">
        <v>0.22411749857772587</v>
      </c>
      <c r="X1449" s="496">
        <v>0.10168176593304386</v>
      </c>
      <c r="Y1449" s="496">
        <v>6.1216546431301115E-3</v>
      </c>
      <c r="Z1449" s="20">
        <v>21.5</v>
      </c>
      <c r="AA1449" s="105"/>
      <c r="AB1449" s="21" t="s">
        <v>67</v>
      </c>
      <c r="AC1449" s="103"/>
      <c r="AD1449" s="186">
        <v>12.755880000000001</v>
      </c>
      <c r="AE1449" s="186">
        <v>0.89306400000000008</v>
      </c>
      <c r="AF1449" s="186">
        <v>11.400850575</v>
      </c>
      <c r="AG1449" s="186">
        <v>1.9202399999999999</v>
      </c>
      <c r="AH1449" s="336"/>
      <c r="AI1449" s="218"/>
      <c r="AJ1449" s="218"/>
      <c r="AK1449" s="153"/>
      <c r="AL1449" s="152"/>
      <c r="AM1449" s="152"/>
      <c r="AN1449" s="152"/>
      <c r="AO1449" s="152"/>
      <c r="AP1449" s="152"/>
      <c r="AQ1449" s="152"/>
      <c r="AR1449" s="152"/>
      <c r="AS1449" s="152"/>
      <c r="AT1449" s="152"/>
      <c r="AU1449" s="153"/>
      <c r="AV1449" s="479"/>
      <c r="AW1449" s="479"/>
      <c r="AX1449" s="442"/>
      <c r="AY1449" s="153"/>
      <c r="AZ1449" s="152"/>
      <c r="BA1449" s="152"/>
      <c r="BB1449" s="152"/>
      <c r="BC1449" s="152"/>
      <c r="BD1449" s="152"/>
      <c r="BE1449" s="152"/>
      <c r="BF1449" s="152"/>
      <c r="BG1449" s="152"/>
      <c r="BH1449" s="152"/>
      <c r="BI1449" s="153"/>
      <c r="BJ1449" s="153"/>
      <c r="BK1449" s="153"/>
      <c r="BL1449" s="153"/>
      <c r="BM1449" s="153"/>
      <c r="BN1449" s="153"/>
      <c r="BO1449" s="153"/>
      <c r="BP1449" s="153"/>
      <c r="BQ1449" s="153"/>
      <c r="BR1449" s="153"/>
      <c r="BS1449" s="153"/>
      <c r="BT1449" s="153"/>
      <c r="BU1449" s="153"/>
      <c r="BV1449" s="153"/>
      <c r="BW1449" s="153"/>
      <c r="BX1449" s="153"/>
      <c r="BY1449" s="153"/>
      <c r="BZ1449" s="153"/>
      <c r="CA1449" s="189"/>
      <c r="CB1449" s="152"/>
    </row>
    <row r="1450" spans="1:80" x14ac:dyDescent="0.2">
      <c r="A1450" s="152"/>
      <c r="B1450" s="683"/>
      <c r="C1450" s="683"/>
      <c r="D1450" s="698"/>
      <c r="E1450" s="215"/>
      <c r="F1450" s="215"/>
      <c r="G1450" s="153"/>
      <c r="H1450" s="153"/>
      <c r="I1450" s="150">
        <v>20</v>
      </c>
      <c r="J1450" s="150">
        <v>30</v>
      </c>
      <c r="K1450" s="150">
        <v>1</v>
      </c>
      <c r="L1450" s="656">
        <v>10</v>
      </c>
      <c r="M1450" s="654">
        <v>36314</v>
      </c>
      <c r="N1450" s="596">
        <v>24.380936999999999</v>
      </c>
      <c r="O1450" s="594">
        <v>0.48322355280363416</v>
      </c>
      <c r="P1450" s="114">
        <v>0</v>
      </c>
      <c r="Q1450" s="114">
        <v>9.4810341134346665E-2</v>
      </c>
      <c r="R1450" s="114">
        <v>8.3632409191341031E-2</v>
      </c>
      <c r="S1450" s="114">
        <v>7.7477618152475336E-2</v>
      </c>
      <c r="T1450" s="114">
        <v>7.4111536374183898E-2</v>
      </c>
      <c r="U1450" s="114">
        <v>0.15575201037940045</v>
      </c>
      <c r="V1450" s="496">
        <v>0.25736460164280461</v>
      </c>
      <c r="W1450" s="496">
        <v>0.18915665451274064</v>
      </c>
      <c r="X1450" s="496">
        <v>6.5044099769680841E-2</v>
      </c>
      <c r="Y1450" s="496">
        <v>2.6507288430264717E-3</v>
      </c>
      <c r="Z1450" s="20">
        <v>36</v>
      </c>
      <c r="AA1450" s="105"/>
      <c r="AB1450" s="21" t="s">
        <v>67</v>
      </c>
      <c r="AC1450" s="103"/>
      <c r="AD1450" s="186">
        <v>12.755880000000001</v>
      </c>
      <c r="AE1450" s="186">
        <v>0.941832</v>
      </c>
      <c r="AF1450" s="186">
        <v>12.02335025</v>
      </c>
      <c r="AG1450" s="186">
        <v>2.0482559999999999</v>
      </c>
      <c r="AH1450" s="336"/>
      <c r="AI1450" s="218"/>
      <c r="AJ1450" s="218"/>
      <c r="AK1450" s="153"/>
      <c r="AL1450" s="152"/>
      <c r="AM1450" s="152"/>
      <c r="AN1450" s="152"/>
      <c r="AO1450" s="152"/>
      <c r="AP1450" s="152"/>
      <c r="AQ1450" s="152"/>
      <c r="AR1450" s="152"/>
      <c r="AS1450" s="152"/>
      <c r="AT1450" s="152"/>
      <c r="AU1450" s="153"/>
      <c r="AV1450" s="479"/>
      <c r="AW1450" s="479"/>
      <c r="AX1450" s="442"/>
      <c r="AY1450" s="153"/>
      <c r="AZ1450" s="152"/>
      <c r="BA1450" s="152"/>
      <c r="BB1450" s="152"/>
      <c r="BC1450" s="152"/>
      <c r="BD1450" s="152"/>
      <c r="BE1450" s="152"/>
      <c r="BF1450" s="152"/>
      <c r="BG1450" s="152"/>
      <c r="BH1450" s="152"/>
      <c r="BI1450" s="153"/>
      <c r="BJ1450" s="153"/>
      <c r="BK1450" s="153"/>
      <c r="BL1450" s="153"/>
      <c r="BM1450" s="153"/>
      <c r="BN1450" s="153"/>
      <c r="BO1450" s="153"/>
      <c r="BP1450" s="153"/>
      <c r="BQ1450" s="153"/>
      <c r="BR1450" s="153"/>
      <c r="BS1450" s="153"/>
      <c r="BT1450" s="153"/>
      <c r="BU1450" s="153"/>
      <c r="BV1450" s="153"/>
      <c r="BW1450" s="153"/>
      <c r="BX1450" s="153"/>
      <c r="BY1450" s="153"/>
      <c r="BZ1450" s="153"/>
      <c r="CA1450" s="189"/>
      <c r="CB1450" s="152"/>
    </row>
    <row r="1451" spans="1:80" x14ac:dyDescent="0.2">
      <c r="A1451" s="152"/>
      <c r="B1451" s="683"/>
      <c r="C1451" s="683"/>
      <c r="D1451" s="698"/>
      <c r="E1451" s="215"/>
      <c r="F1451" s="215"/>
      <c r="G1451" s="153"/>
      <c r="H1451" s="153"/>
      <c r="I1451" s="150">
        <v>20</v>
      </c>
      <c r="J1451" s="150">
        <v>30</v>
      </c>
      <c r="K1451" s="150">
        <v>1</v>
      </c>
      <c r="L1451" s="656">
        <v>10</v>
      </c>
      <c r="M1451" s="654">
        <v>36314</v>
      </c>
      <c r="N1451" s="596">
        <v>24.380936999999999</v>
      </c>
      <c r="O1451" s="594">
        <v>0.42523253867948158</v>
      </c>
      <c r="P1451" s="114">
        <v>0</v>
      </c>
      <c r="Q1451" s="114">
        <v>6.4134908435066376E-2</v>
      </c>
      <c r="R1451" s="114">
        <v>0.15016426080341322</v>
      </c>
      <c r="S1451" s="114">
        <v>0.10285205367039392</v>
      </c>
      <c r="T1451" s="114">
        <v>7.4488349408011106E-2</v>
      </c>
      <c r="U1451" s="114">
        <v>0.13696329550711106</v>
      </c>
      <c r="V1451" s="496">
        <v>0.23257932410769111</v>
      </c>
      <c r="W1451" s="496">
        <v>0.16914393460507202</v>
      </c>
      <c r="X1451" s="496">
        <v>6.5566196361896478E-2</v>
      </c>
      <c r="Y1451" s="496">
        <v>4.1076771013446147E-3</v>
      </c>
      <c r="Z1451" s="20">
        <v>37</v>
      </c>
      <c r="AA1451" s="105"/>
      <c r="AB1451" s="21" t="s">
        <v>67</v>
      </c>
      <c r="AC1451" s="103"/>
      <c r="AD1451" s="186">
        <v>12.755880000000001</v>
      </c>
      <c r="AE1451" s="186">
        <v>0.941832</v>
      </c>
      <c r="AF1451" s="186">
        <v>12.02335025</v>
      </c>
      <c r="AG1451" s="186">
        <v>2.0482559999999999</v>
      </c>
      <c r="AH1451" s="336"/>
      <c r="AI1451" s="218"/>
      <c r="AJ1451" s="218"/>
      <c r="AK1451" s="153"/>
      <c r="AL1451" s="152"/>
      <c r="AM1451" s="152"/>
      <c r="AN1451" s="152"/>
      <c r="AO1451" s="152"/>
      <c r="AP1451" s="152"/>
      <c r="AQ1451" s="152"/>
      <c r="AR1451" s="152"/>
      <c r="AS1451" s="152"/>
      <c r="AT1451" s="152"/>
      <c r="AU1451" s="153"/>
      <c r="AV1451" s="479"/>
      <c r="AW1451" s="479"/>
      <c r="AX1451" s="442"/>
      <c r="AY1451" s="153"/>
      <c r="AZ1451" s="152"/>
      <c r="BA1451" s="152"/>
      <c r="BB1451" s="152"/>
      <c r="BC1451" s="152"/>
      <c r="BD1451" s="152"/>
      <c r="BE1451" s="152"/>
      <c r="BF1451" s="152"/>
      <c r="BG1451" s="152"/>
      <c r="BH1451" s="152"/>
      <c r="BI1451" s="153"/>
      <c r="BJ1451" s="153"/>
      <c r="BK1451" s="153"/>
      <c r="BL1451" s="153"/>
      <c r="BM1451" s="153"/>
      <c r="BN1451" s="153"/>
      <c r="BO1451" s="153"/>
      <c r="BP1451" s="153"/>
      <c r="BQ1451" s="153"/>
      <c r="BR1451" s="153"/>
      <c r="BS1451" s="153"/>
      <c r="BT1451" s="153"/>
      <c r="BU1451" s="153"/>
      <c r="BV1451" s="153"/>
      <c r="BW1451" s="153"/>
      <c r="BX1451" s="153"/>
      <c r="BY1451" s="153"/>
      <c r="BZ1451" s="153"/>
      <c r="CA1451" s="189"/>
      <c r="CB1451" s="152"/>
    </row>
    <row r="1452" spans="1:80" x14ac:dyDescent="0.2">
      <c r="A1452" s="152"/>
      <c r="B1452" s="683"/>
      <c r="C1452" s="683"/>
      <c r="D1452" s="698"/>
      <c r="E1452" s="215"/>
      <c r="F1452" s="215"/>
      <c r="G1452" s="153"/>
      <c r="H1452" s="153"/>
      <c r="I1452" s="150">
        <v>20</v>
      </c>
      <c r="J1452" s="150">
        <v>30</v>
      </c>
      <c r="K1452" s="150">
        <v>1</v>
      </c>
      <c r="L1452" s="656">
        <v>10</v>
      </c>
      <c r="M1452" s="654">
        <v>36316</v>
      </c>
      <c r="N1452" s="596">
        <v>19.991802</v>
      </c>
      <c r="O1452" s="594">
        <v>0.16647037853168395</v>
      </c>
      <c r="P1452" s="114">
        <v>0</v>
      </c>
      <c r="Q1452" s="114">
        <v>0</v>
      </c>
      <c r="R1452" s="114">
        <v>0</v>
      </c>
      <c r="S1452" s="114">
        <v>6.1871591000738885E-2</v>
      </c>
      <c r="T1452" s="114">
        <v>7.7278818497970289E-2</v>
      </c>
      <c r="U1452" s="114">
        <v>0.17696473682700609</v>
      </c>
      <c r="V1452" s="496">
        <v>0.33233846126587169</v>
      </c>
      <c r="W1452" s="496">
        <v>0.25947172283725323</v>
      </c>
      <c r="X1452" s="496">
        <v>8.8227036876944206E-2</v>
      </c>
      <c r="Y1452" s="496">
        <v>3.8476326942156348E-3</v>
      </c>
      <c r="Z1452" s="20">
        <v>13</v>
      </c>
      <c r="AA1452" s="105"/>
      <c r="AB1452" s="21" t="s">
        <v>67</v>
      </c>
      <c r="AC1452" s="103"/>
      <c r="AD1452" s="186">
        <v>12.755880000000001</v>
      </c>
      <c r="AE1452" s="186">
        <v>0.85953599999999997</v>
      </c>
      <c r="AF1452" s="186">
        <v>10.976831749999999</v>
      </c>
      <c r="AG1452" s="186">
        <v>1.8562320000000001</v>
      </c>
      <c r="AH1452" s="336"/>
      <c r="AI1452" s="218"/>
      <c r="AJ1452" s="218"/>
      <c r="AK1452" s="153"/>
      <c r="AL1452" s="152"/>
      <c r="AM1452" s="152"/>
      <c r="AN1452" s="152"/>
      <c r="AO1452" s="152"/>
      <c r="AP1452" s="152"/>
      <c r="AQ1452" s="152"/>
      <c r="AR1452" s="152"/>
      <c r="AS1452" s="152"/>
      <c r="AT1452" s="152"/>
      <c r="AU1452" s="153"/>
      <c r="AV1452" s="479"/>
      <c r="AW1452" s="479"/>
      <c r="AX1452" s="442"/>
      <c r="AY1452" s="153"/>
      <c r="AZ1452" s="152"/>
      <c r="BA1452" s="152"/>
      <c r="BB1452" s="152"/>
      <c r="BC1452" s="152"/>
      <c r="BD1452" s="152"/>
      <c r="BE1452" s="152"/>
      <c r="BF1452" s="152"/>
      <c r="BG1452" s="152"/>
      <c r="BH1452" s="152"/>
      <c r="BI1452" s="153"/>
      <c r="BJ1452" s="153"/>
      <c r="BK1452" s="153"/>
      <c r="BL1452" s="153"/>
      <c r="BM1452" s="153"/>
      <c r="BN1452" s="153"/>
      <c r="BO1452" s="153"/>
      <c r="BP1452" s="153"/>
      <c r="BQ1452" s="153"/>
      <c r="BR1452" s="153"/>
      <c r="BS1452" s="153"/>
      <c r="BT1452" s="153"/>
      <c r="BU1452" s="153"/>
      <c r="BV1452" s="153"/>
      <c r="BW1452" s="153"/>
      <c r="BX1452" s="153"/>
      <c r="BY1452" s="153"/>
      <c r="BZ1452" s="153"/>
      <c r="CA1452" s="189"/>
      <c r="CB1452" s="152"/>
    </row>
    <row r="1453" spans="1:80" x14ac:dyDescent="0.2">
      <c r="A1453" s="152"/>
      <c r="B1453" s="683"/>
      <c r="C1453" s="683"/>
      <c r="D1453" s="698"/>
      <c r="E1453" s="215"/>
      <c r="F1453" s="215"/>
      <c r="G1453" s="153"/>
      <c r="H1453" s="153"/>
      <c r="I1453" s="150">
        <v>20</v>
      </c>
      <c r="J1453" s="150">
        <v>30</v>
      </c>
      <c r="K1453" s="150">
        <v>1</v>
      </c>
      <c r="L1453" s="656">
        <v>10</v>
      </c>
      <c r="M1453" s="654">
        <v>36316</v>
      </c>
      <c r="N1453" s="596">
        <v>19.991802</v>
      </c>
      <c r="O1453" s="594">
        <v>0.13079904987300237</v>
      </c>
      <c r="P1453" s="114">
        <v>0</v>
      </c>
      <c r="Q1453" s="114">
        <v>0</v>
      </c>
      <c r="R1453" s="114">
        <v>8.5393177419265401E-2</v>
      </c>
      <c r="S1453" s="114">
        <v>4.399337220875324E-2</v>
      </c>
      <c r="T1453" s="114">
        <v>6.9236016516578652E-2</v>
      </c>
      <c r="U1453" s="114">
        <v>0.16762902457222892</v>
      </c>
      <c r="V1453" s="496">
        <v>0.29643815945691021</v>
      </c>
      <c r="W1453" s="496">
        <v>0.23998504310240018</v>
      </c>
      <c r="X1453" s="496">
        <v>9.183155444656281E-2</v>
      </c>
      <c r="Y1453" s="496">
        <v>5.4936522773007109E-3</v>
      </c>
      <c r="Z1453" s="20">
        <v>29</v>
      </c>
      <c r="AA1453" s="105"/>
      <c r="AB1453" s="21" t="s">
        <v>67</v>
      </c>
      <c r="AC1453" s="103"/>
      <c r="AD1453" s="186">
        <v>12.755880000000001</v>
      </c>
      <c r="AE1453" s="186">
        <v>0.85953599999999997</v>
      </c>
      <c r="AF1453" s="186">
        <v>10.976831749999999</v>
      </c>
      <c r="AG1453" s="186">
        <v>1.8562320000000001</v>
      </c>
      <c r="AH1453" s="336"/>
      <c r="AI1453" s="218"/>
      <c r="AJ1453" s="218"/>
      <c r="AK1453" s="153"/>
      <c r="AL1453" s="152"/>
      <c r="AM1453" s="152"/>
      <c r="AN1453" s="152"/>
      <c r="AO1453" s="152"/>
      <c r="AP1453" s="152"/>
      <c r="AQ1453" s="152"/>
      <c r="AR1453" s="152"/>
      <c r="AS1453" s="152"/>
      <c r="AT1453" s="152"/>
      <c r="AU1453" s="153"/>
      <c r="AV1453" s="479"/>
      <c r="AW1453" s="479"/>
      <c r="AX1453" s="442"/>
      <c r="AY1453" s="153"/>
      <c r="AZ1453" s="152"/>
      <c r="BA1453" s="152"/>
      <c r="BB1453" s="152"/>
      <c r="BC1453" s="152"/>
      <c r="BD1453" s="152"/>
      <c r="BE1453" s="152"/>
      <c r="BF1453" s="152"/>
      <c r="BG1453" s="152"/>
      <c r="BH1453" s="152"/>
      <c r="BI1453" s="153"/>
      <c r="BJ1453" s="153"/>
      <c r="BK1453" s="153"/>
      <c r="BL1453" s="153"/>
      <c r="BM1453" s="153"/>
      <c r="BN1453" s="153"/>
      <c r="BO1453" s="153"/>
      <c r="BP1453" s="153"/>
      <c r="BQ1453" s="153"/>
      <c r="BR1453" s="153"/>
      <c r="BS1453" s="153"/>
      <c r="BT1453" s="153"/>
      <c r="BU1453" s="153"/>
      <c r="BV1453" s="153"/>
      <c r="BW1453" s="153"/>
      <c r="BX1453" s="153"/>
      <c r="BY1453" s="153"/>
      <c r="BZ1453" s="153"/>
      <c r="CA1453" s="189"/>
      <c r="CB1453" s="152"/>
    </row>
    <row r="1454" spans="1:80" x14ac:dyDescent="0.2">
      <c r="A1454" s="152"/>
      <c r="B1454" s="683"/>
      <c r="C1454" s="683"/>
      <c r="D1454" s="698"/>
      <c r="E1454" s="215"/>
      <c r="F1454" s="215"/>
      <c r="G1454" s="153"/>
      <c r="H1454" s="153"/>
      <c r="I1454" s="150">
        <v>20</v>
      </c>
      <c r="J1454" s="150">
        <v>30</v>
      </c>
      <c r="K1454" s="150">
        <v>1</v>
      </c>
      <c r="L1454" s="656">
        <v>10</v>
      </c>
      <c r="M1454" s="654">
        <v>36318</v>
      </c>
      <c r="N1454" s="596">
        <v>18.915755999999998</v>
      </c>
      <c r="O1454" s="594">
        <v>0.20411946611140389</v>
      </c>
      <c r="P1454" s="114">
        <v>0</v>
      </c>
      <c r="Q1454" s="114">
        <v>0</v>
      </c>
      <c r="R1454" s="114">
        <v>7.2948603317665284E-2</v>
      </c>
      <c r="S1454" s="114">
        <v>9.5962199608831303E-2</v>
      </c>
      <c r="T1454" s="114">
        <v>0.146115902092157</v>
      </c>
      <c r="U1454" s="114">
        <v>0.21432154768989914</v>
      </c>
      <c r="V1454" s="496">
        <v>0.24901203107907754</v>
      </c>
      <c r="W1454" s="496">
        <v>0.16189040629052742</v>
      </c>
      <c r="X1454" s="496">
        <v>5.7411258026977725E-2</v>
      </c>
      <c r="Y1454" s="496">
        <v>2.3380518948646215E-3</v>
      </c>
      <c r="Z1454" s="20">
        <v>30</v>
      </c>
      <c r="AA1454" s="105"/>
      <c r="AB1454" s="21" t="s">
        <v>67</v>
      </c>
      <c r="AC1454" s="103"/>
      <c r="AD1454" s="186">
        <v>12.755880000000001</v>
      </c>
      <c r="AE1454" s="186">
        <v>0.86563199999999996</v>
      </c>
      <c r="AF1454" s="186">
        <v>11.040236</v>
      </c>
      <c r="AG1454" s="186">
        <v>1.725168</v>
      </c>
      <c r="AH1454" s="336"/>
      <c r="AI1454" s="218"/>
      <c r="AJ1454" s="218"/>
      <c r="AK1454" s="153"/>
      <c r="AL1454" s="152"/>
      <c r="AM1454" s="152"/>
      <c r="AN1454" s="152"/>
      <c r="AO1454" s="152"/>
      <c r="AP1454" s="152"/>
      <c r="AQ1454" s="152"/>
      <c r="AR1454" s="152"/>
      <c r="AS1454" s="152"/>
      <c r="AT1454" s="152"/>
      <c r="AU1454" s="153"/>
      <c r="AV1454" s="479"/>
      <c r="AW1454" s="479"/>
      <c r="AX1454" s="442"/>
      <c r="AY1454" s="153"/>
      <c r="AZ1454" s="152"/>
      <c r="BA1454" s="152"/>
      <c r="BB1454" s="152"/>
      <c r="BC1454" s="152"/>
      <c r="BD1454" s="152"/>
      <c r="BE1454" s="152"/>
      <c r="BF1454" s="152"/>
      <c r="BG1454" s="152"/>
      <c r="BH1454" s="152"/>
      <c r="BI1454" s="153"/>
      <c r="BJ1454" s="153"/>
      <c r="BK1454" s="153"/>
      <c r="BL1454" s="153"/>
      <c r="BM1454" s="153"/>
      <c r="BN1454" s="153"/>
      <c r="BO1454" s="153"/>
      <c r="BP1454" s="153"/>
      <c r="BQ1454" s="153"/>
      <c r="BR1454" s="153"/>
      <c r="BS1454" s="153"/>
      <c r="BT1454" s="153"/>
      <c r="BU1454" s="153"/>
      <c r="BV1454" s="153"/>
      <c r="BW1454" s="153"/>
      <c r="BX1454" s="153"/>
      <c r="BY1454" s="153"/>
      <c r="BZ1454" s="153"/>
      <c r="CA1454" s="189"/>
      <c r="CB1454" s="152"/>
    </row>
    <row r="1455" spans="1:80" x14ac:dyDescent="0.2">
      <c r="A1455" s="152"/>
      <c r="B1455" s="683"/>
      <c r="C1455" s="683"/>
      <c r="D1455" s="698"/>
      <c r="E1455" s="215"/>
      <c r="F1455" s="215"/>
      <c r="G1455" s="153"/>
      <c r="H1455" s="153"/>
      <c r="I1455" s="150">
        <v>20</v>
      </c>
      <c r="J1455" s="150">
        <v>30</v>
      </c>
      <c r="K1455" s="150">
        <v>1</v>
      </c>
      <c r="L1455" s="656">
        <v>10</v>
      </c>
      <c r="M1455" s="654">
        <v>36318</v>
      </c>
      <c r="N1455" s="596">
        <v>18.915755999999998</v>
      </c>
      <c r="O1455" s="594">
        <v>0.15930158643866388</v>
      </c>
      <c r="P1455" s="114">
        <v>0</v>
      </c>
      <c r="Q1455" s="114">
        <v>0</v>
      </c>
      <c r="R1455" s="114">
        <v>0</v>
      </c>
      <c r="S1455" s="114">
        <v>3.4541011858425633E-2</v>
      </c>
      <c r="T1455" s="114">
        <v>9.3802963904544082E-2</v>
      </c>
      <c r="U1455" s="114">
        <v>0.23428410690100382</v>
      </c>
      <c r="V1455" s="496">
        <v>0.35536787224417687</v>
      </c>
      <c r="W1455" s="496">
        <v>0.21596181319635468</v>
      </c>
      <c r="X1455" s="496">
        <v>6.2850304899289819E-2</v>
      </c>
      <c r="Y1455" s="496">
        <v>3.191926996205182E-3</v>
      </c>
      <c r="Z1455" s="187"/>
      <c r="AA1455" s="150"/>
      <c r="AB1455" s="21" t="s">
        <v>67</v>
      </c>
      <c r="AC1455" s="103"/>
      <c r="AD1455" s="186">
        <v>12.755880000000001</v>
      </c>
      <c r="AE1455" s="186">
        <v>0.86563199999999996</v>
      </c>
      <c r="AF1455" s="186">
        <v>11.040236</v>
      </c>
      <c r="AG1455" s="186">
        <v>1.725168</v>
      </c>
      <c r="AH1455" s="336"/>
      <c r="AI1455" s="218"/>
      <c r="AJ1455" s="218"/>
      <c r="AK1455" s="153"/>
      <c r="AL1455" s="152"/>
      <c r="AM1455" s="152"/>
      <c r="AN1455" s="152"/>
      <c r="AO1455" s="152"/>
      <c r="AP1455" s="152"/>
      <c r="AQ1455" s="152"/>
      <c r="AR1455" s="152"/>
      <c r="AS1455" s="152"/>
      <c r="AT1455" s="152"/>
      <c r="AU1455" s="153"/>
      <c r="AV1455" s="479"/>
      <c r="AW1455" s="479"/>
      <c r="AX1455" s="442"/>
      <c r="AY1455" s="153"/>
      <c r="AZ1455" s="152"/>
      <c r="BA1455" s="152"/>
      <c r="BB1455" s="152"/>
      <c r="BC1455" s="152"/>
      <c r="BD1455" s="152"/>
      <c r="BE1455" s="152"/>
      <c r="BF1455" s="152"/>
      <c r="BG1455" s="152"/>
      <c r="BH1455" s="152"/>
      <c r="BI1455" s="153"/>
      <c r="BJ1455" s="153"/>
      <c r="BK1455" s="153"/>
      <c r="BL1455" s="153"/>
      <c r="BM1455" s="153"/>
      <c r="BN1455" s="153"/>
      <c r="BO1455" s="153"/>
      <c r="BP1455" s="153"/>
      <c r="BQ1455" s="153"/>
      <c r="BR1455" s="153"/>
      <c r="BS1455" s="153"/>
      <c r="BT1455" s="153"/>
      <c r="BU1455" s="153"/>
      <c r="BV1455" s="153"/>
      <c r="BW1455" s="153"/>
      <c r="BX1455" s="153"/>
      <c r="BY1455" s="153"/>
      <c r="BZ1455" s="153"/>
      <c r="CA1455" s="189"/>
      <c r="CB1455" s="152"/>
    </row>
    <row r="1456" spans="1:80" x14ac:dyDescent="0.2">
      <c r="A1456" s="152"/>
      <c r="B1456" s="683"/>
      <c r="C1456" s="683"/>
      <c r="D1456" s="698"/>
      <c r="E1456" s="215"/>
      <c r="F1456" s="215"/>
      <c r="G1456" s="153"/>
      <c r="H1456" s="153"/>
      <c r="I1456" s="150">
        <v>20</v>
      </c>
      <c r="J1456" s="150">
        <v>30</v>
      </c>
      <c r="K1456" s="150">
        <v>1</v>
      </c>
      <c r="L1456" s="656">
        <v>10</v>
      </c>
      <c r="M1456" s="654">
        <v>36319</v>
      </c>
      <c r="N1456" s="596">
        <v>17.386637999999998</v>
      </c>
      <c r="O1456" s="594">
        <v>0.18353175666590782</v>
      </c>
      <c r="P1456" s="114">
        <v>0</v>
      </c>
      <c r="Q1456" s="114">
        <v>0</v>
      </c>
      <c r="R1456" s="114">
        <v>9.3753622095523431E-2</v>
      </c>
      <c r="S1456" s="114">
        <v>0.10954365781141534</v>
      </c>
      <c r="T1456" s="114">
        <v>0.11644524269156835</v>
      </c>
      <c r="U1456" s="114">
        <v>0.20875014003141207</v>
      </c>
      <c r="V1456" s="496">
        <v>0.27741378365144559</v>
      </c>
      <c r="W1456" s="496">
        <v>0.14609117948537753</v>
      </c>
      <c r="X1456" s="496">
        <v>4.5563967734827709E-2</v>
      </c>
      <c r="Y1456" s="496">
        <v>2.4384064984301129E-3</v>
      </c>
      <c r="Z1456" s="187">
        <v>26</v>
      </c>
      <c r="AA1456" s="150"/>
      <c r="AB1456" s="21" t="s">
        <v>67</v>
      </c>
      <c r="AC1456" s="103"/>
      <c r="AD1456" s="186">
        <v>12.755880000000001</v>
      </c>
      <c r="AE1456" s="186">
        <v>0.82600800000000008</v>
      </c>
      <c r="AF1456" s="186">
        <v>10.5260345</v>
      </c>
      <c r="AG1456" s="186">
        <v>1.5971520000000001</v>
      </c>
      <c r="AH1456" s="336"/>
      <c r="AI1456" s="218"/>
      <c r="AJ1456" s="218"/>
      <c r="AK1456" s="153"/>
      <c r="AL1456" s="152"/>
      <c r="AM1456" s="152"/>
      <c r="AN1456" s="152"/>
      <c r="AO1456" s="152"/>
      <c r="AP1456" s="152"/>
      <c r="AQ1456" s="152"/>
      <c r="AR1456" s="152"/>
      <c r="AS1456" s="152"/>
      <c r="AT1456" s="152"/>
      <c r="AU1456" s="153"/>
      <c r="AV1456" s="479"/>
      <c r="AW1456" s="479"/>
      <c r="AX1456" s="442"/>
      <c r="AY1456" s="153"/>
      <c r="AZ1456" s="152"/>
      <c r="BA1456" s="152"/>
      <c r="BB1456" s="152"/>
      <c r="BC1456" s="152"/>
      <c r="BD1456" s="152"/>
      <c r="BE1456" s="152"/>
      <c r="BF1456" s="152"/>
      <c r="BG1456" s="152"/>
      <c r="BH1456" s="152"/>
      <c r="BI1456" s="153"/>
      <c r="BJ1456" s="153"/>
      <c r="BK1456" s="153"/>
      <c r="BL1456" s="153"/>
      <c r="BM1456" s="153"/>
      <c r="BN1456" s="153"/>
      <c r="BO1456" s="153"/>
      <c r="BP1456" s="153"/>
      <c r="BQ1456" s="153"/>
      <c r="BR1456" s="153"/>
      <c r="BS1456" s="153"/>
      <c r="BT1456" s="153"/>
      <c r="BU1456" s="153"/>
      <c r="BV1456" s="153"/>
      <c r="BW1456" s="153"/>
      <c r="BX1456" s="153"/>
      <c r="BY1456" s="153"/>
      <c r="BZ1456" s="153"/>
      <c r="CA1456" s="189"/>
      <c r="CB1456" s="152"/>
    </row>
    <row r="1457" spans="1:80" x14ac:dyDescent="0.2">
      <c r="A1457" s="152"/>
      <c r="B1457" s="683"/>
      <c r="C1457" s="683"/>
      <c r="D1457" s="698"/>
      <c r="E1457" s="215"/>
      <c r="F1457" s="215"/>
      <c r="G1457" s="153"/>
      <c r="H1457" s="153"/>
      <c r="I1457" s="150">
        <v>20</v>
      </c>
      <c r="J1457" s="150">
        <v>30</v>
      </c>
      <c r="K1457" s="150">
        <v>1</v>
      </c>
      <c r="L1457" s="656">
        <v>10</v>
      </c>
      <c r="M1457" s="654">
        <v>36319</v>
      </c>
      <c r="N1457" s="596">
        <v>17.386637999999998</v>
      </c>
      <c r="O1457" s="594">
        <v>0.11704998570737504</v>
      </c>
      <c r="P1457" s="114">
        <v>0</v>
      </c>
      <c r="Q1457" s="114">
        <v>0</v>
      </c>
      <c r="R1457" s="114">
        <v>0</v>
      </c>
      <c r="S1457" s="114">
        <v>5.1702603364685566E-2</v>
      </c>
      <c r="T1457" s="114">
        <v>0.10009677403976794</v>
      </c>
      <c r="U1457" s="114">
        <v>0.24877602292066914</v>
      </c>
      <c r="V1457" s="496">
        <v>0.33313152211739694</v>
      </c>
      <c r="W1457" s="496">
        <v>0.19025156483145589</v>
      </c>
      <c r="X1457" s="496">
        <v>7.1958410998870168E-2</v>
      </c>
      <c r="Y1457" s="496">
        <v>4.0831017271544144E-3</v>
      </c>
      <c r="Z1457" s="187">
        <v>17</v>
      </c>
      <c r="AA1457" s="150"/>
      <c r="AB1457" s="21" t="s">
        <v>67</v>
      </c>
      <c r="AC1457" s="103"/>
      <c r="AD1457" s="186">
        <v>12.755880000000001</v>
      </c>
      <c r="AE1457" s="186">
        <v>0.82600800000000008</v>
      </c>
      <c r="AF1457" s="186">
        <v>10.5260345</v>
      </c>
      <c r="AG1457" s="186">
        <v>1.5971520000000001</v>
      </c>
      <c r="AH1457" s="336"/>
      <c r="AI1457" s="218"/>
      <c r="AJ1457" s="218"/>
      <c r="AK1457" s="153"/>
      <c r="AL1457" s="152"/>
      <c r="AM1457" s="152"/>
      <c r="AN1457" s="152"/>
      <c r="AO1457" s="152"/>
      <c r="AP1457" s="152"/>
      <c r="AQ1457" s="152"/>
      <c r="AR1457" s="152"/>
      <c r="AS1457" s="152"/>
      <c r="AT1457" s="152"/>
      <c r="AU1457" s="153"/>
      <c r="AV1457" s="479"/>
      <c r="AW1457" s="479"/>
      <c r="AX1457" s="442"/>
      <c r="AY1457" s="153"/>
      <c r="AZ1457" s="152"/>
      <c r="BA1457" s="152"/>
      <c r="BB1457" s="152"/>
      <c r="BC1457" s="152"/>
      <c r="BD1457" s="152"/>
      <c r="BE1457" s="152"/>
      <c r="BF1457" s="152"/>
      <c r="BG1457" s="152"/>
      <c r="BH1457" s="152"/>
      <c r="BI1457" s="153"/>
      <c r="BJ1457" s="153"/>
      <c r="BK1457" s="153"/>
      <c r="BL1457" s="153"/>
      <c r="BM1457" s="153"/>
      <c r="BN1457" s="153"/>
      <c r="BO1457" s="153"/>
      <c r="BP1457" s="153"/>
      <c r="BQ1457" s="153"/>
      <c r="BR1457" s="153"/>
      <c r="BS1457" s="153"/>
      <c r="BT1457" s="153"/>
      <c r="BU1457" s="153"/>
      <c r="BV1457" s="153"/>
      <c r="BW1457" s="153"/>
      <c r="BX1457" s="153"/>
      <c r="BY1457" s="153"/>
      <c r="BZ1457" s="153"/>
      <c r="CA1457" s="189"/>
      <c r="CB1457" s="152"/>
    </row>
    <row r="1458" spans="1:80" x14ac:dyDescent="0.2">
      <c r="A1458" s="152"/>
      <c r="B1458" s="683"/>
      <c r="C1458" s="683"/>
      <c r="D1458" s="698"/>
      <c r="E1458" s="215"/>
      <c r="F1458" s="215"/>
      <c r="G1458" s="153"/>
      <c r="H1458" s="153"/>
      <c r="I1458" s="150">
        <v>20</v>
      </c>
      <c r="J1458" s="150">
        <v>30</v>
      </c>
      <c r="K1458" s="150">
        <v>1</v>
      </c>
      <c r="L1458" s="656">
        <v>10</v>
      </c>
      <c r="M1458" s="654">
        <v>36320</v>
      </c>
      <c r="N1458" s="596">
        <v>15.574349999999999</v>
      </c>
      <c r="O1458" s="594">
        <v>5.3926793865183016E-2</v>
      </c>
      <c r="P1458" s="114">
        <v>0</v>
      </c>
      <c r="Q1458" s="114">
        <v>0</v>
      </c>
      <c r="R1458" s="114">
        <v>0</v>
      </c>
      <c r="S1458" s="114">
        <v>4.3050195047753065E-2</v>
      </c>
      <c r="T1458" s="114">
        <v>0.11130656126155024</v>
      </c>
      <c r="U1458" s="114">
        <v>0.23706321202777228</v>
      </c>
      <c r="V1458" s="496">
        <v>0.31005866953633476</v>
      </c>
      <c r="W1458" s="496">
        <v>0.20713347060832132</v>
      </c>
      <c r="X1458" s="496">
        <v>8.7957741378061505E-2</v>
      </c>
      <c r="Y1458" s="496">
        <v>3.4301501402067406E-3</v>
      </c>
      <c r="Z1458" s="187">
        <v>15</v>
      </c>
      <c r="AA1458" s="150"/>
      <c r="AB1458" s="21" t="s">
        <v>67</v>
      </c>
      <c r="AC1458" s="103"/>
      <c r="AD1458" s="186">
        <v>12.755880000000001</v>
      </c>
      <c r="AE1458" s="186">
        <v>0.78028800000000009</v>
      </c>
      <c r="AF1458" s="186">
        <v>9.9628282499999994</v>
      </c>
      <c r="AG1458" s="186">
        <v>1.5880080000000001</v>
      </c>
      <c r="AH1458" s="336"/>
      <c r="AI1458" s="218"/>
      <c r="AJ1458" s="218"/>
      <c r="AK1458" s="153"/>
      <c r="AL1458" s="152"/>
      <c r="AM1458" s="152"/>
      <c r="AN1458" s="152"/>
      <c r="AO1458" s="152"/>
      <c r="AP1458" s="152"/>
      <c r="AQ1458" s="152"/>
      <c r="AR1458" s="152"/>
      <c r="AS1458" s="152"/>
      <c r="AT1458" s="152"/>
      <c r="AU1458" s="153"/>
      <c r="AV1458" s="479"/>
      <c r="AW1458" s="479"/>
      <c r="AX1458" s="442"/>
      <c r="AY1458" s="153"/>
      <c r="AZ1458" s="152"/>
      <c r="BA1458" s="152"/>
      <c r="BB1458" s="152"/>
      <c r="BC1458" s="152"/>
      <c r="BD1458" s="152"/>
      <c r="BE1458" s="152"/>
      <c r="BF1458" s="152"/>
      <c r="BG1458" s="152"/>
      <c r="BH1458" s="152"/>
      <c r="BI1458" s="153"/>
      <c r="BJ1458" s="153"/>
      <c r="BK1458" s="153"/>
      <c r="BL1458" s="153"/>
      <c r="BM1458" s="153"/>
      <c r="BN1458" s="153"/>
      <c r="BO1458" s="153"/>
      <c r="BP1458" s="153"/>
      <c r="BQ1458" s="153"/>
      <c r="BR1458" s="153"/>
      <c r="BS1458" s="153"/>
      <c r="BT1458" s="153"/>
      <c r="BU1458" s="153"/>
      <c r="BV1458" s="153"/>
      <c r="BW1458" s="153"/>
      <c r="BX1458" s="153"/>
      <c r="BY1458" s="153"/>
      <c r="BZ1458" s="153"/>
      <c r="CA1458" s="189"/>
      <c r="CB1458" s="152"/>
    </row>
    <row r="1459" spans="1:80" x14ac:dyDescent="0.2">
      <c r="A1459" s="152"/>
      <c r="B1459" s="683"/>
      <c r="C1459" s="683"/>
      <c r="D1459" s="698"/>
      <c r="E1459" s="215"/>
      <c r="F1459" s="215"/>
      <c r="G1459" s="153"/>
      <c r="H1459" s="153"/>
      <c r="I1459" s="150">
        <v>20</v>
      </c>
      <c r="J1459" s="150">
        <v>30</v>
      </c>
      <c r="K1459" s="150">
        <v>1</v>
      </c>
      <c r="L1459" s="656">
        <v>10</v>
      </c>
      <c r="M1459" s="654">
        <v>36320</v>
      </c>
      <c r="N1459" s="596">
        <v>15.574349999999999</v>
      </c>
      <c r="O1459" s="594">
        <v>6.6237947834405134E-2</v>
      </c>
      <c r="P1459" s="114">
        <v>0</v>
      </c>
      <c r="Q1459" s="114">
        <v>0</v>
      </c>
      <c r="R1459" s="114">
        <v>0</v>
      </c>
      <c r="S1459" s="114">
        <v>0.13890620524657554</v>
      </c>
      <c r="T1459" s="114">
        <v>0.10183983960372686</v>
      </c>
      <c r="U1459" s="114">
        <v>0.18786329250416994</v>
      </c>
      <c r="V1459" s="496">
        <v>0.30572591107441915</v>
      </c>
      <c r="W1459" s="496">
        <v>0.18806547268040369</v>
      </c>
      <c r="X1459" s="496">
        <v>7.2018263609253119E-2</v>
      </c>
      <c r="Y1459" s="496">
        <v>5.5810152814516536E-3</v>
      </c>
      <c r="Z1459" s="187">
        <v>16</v>
      </c>
      <c r="AA1459" s="150"/>
      <c r="AB1459" s="21" t="s">
        <v>67</v>
      </c>
      <c r="AC1459" s="103"/>
      <c r="AD1459" s="186">
        <v>12.755880000000001</v>
      </c>
      <c r="AE1459" s="186">
        <v>0.78028800000000009</v>
      </c>
      <c r="AF1459" s="186">
        <v>9.9628282499999994</v>
      </c>
      <c r="AG1459" s="186">
        <v>1.5880080000000001</v>
      </c>
      <c r="AH1459" s="336"/>
      <c r="AI1459" s="218"/>
      <c r="AJ1459" s="218"/>
      <c r="AK1459" s="153"/>
      <c r="AL1459" s="152"/>
      <c r="AM1459" s="152"/>
      <c r="AN1459" s="152"/>
      <c r="AO1459" s="152"/>
      <c r="AP1459" s="152"/>
      <c r="AQ1459" s="152"/>
      <c r="AR1459" s="152"/>
      <c r="AS1459" s="152"/>
      <c r="AT1459" s="152"/>
      <c r="AU1459" s="153"/>
      <c r="AV1459" s="479"/>
      <c r="AW1459" s="479"/>
      <c r="AX1459" s="442"/>
      <c r="AY1459" s="153"/>
      <c r="AZ1459" s="152"/>
      <c r="BA1459" s="152"/>
      <c r="BB1459" s="152"/>
      <c r="BC1459" s="152"/>
      <c r="BD1459" s="152"/>
      <c r="BE1459" s="152"/>
      <c r="BF1459" s="152"/>
      <c r="BG1459" s="152"/>
      <c r="BH1459" s="152"/>
      <c r="BI1459" s="153"/>
      <c r="BJ1459" s="153"/>
      <c r="BK1459" s="153"/>
      <c r="BL1459" s="153"/>
      <c r="BM1459" s="153"/>
      <c r="BN1459" s="153"/>
      <c r="BO1459" s="153"/>
      <c r="BP1459" s="153"/>
      <c r="BQ1459" s="153"/>
      <c r="BR1459" s="153"/>
      <c r="BS1459" s="153"/>
      <c r="BT1459" s="153"/>
      <c r="BU1459" s="153"/>
      <c r="BV1459" s="153"/>
      <c r="BW1459" s="153"/>
      <c r="BX1459" s="153"/>
      <c r="BY1459" s="153"/>
      <c r="BZ1459" s="153"/>
      <c r="CA1459" s="189"/>
      <c r="CB1459" s="152"/>
    </row>
    <row r="1460" spans="1:80" x14ac:dyDescent="0.2">
      <c r="A1460" s="152"/>
      <c r="B1460" s="683"/>
      <c r="C1460" s="683"/>
      <c r="D1460" s="698"/>
      <c r="E1460" s="215"/>
      <c r="F1460" s="215"/>
      <c r="G1460" s="153"/>
      <c r="H1460" s="153"/>
      <c r="I1460" s="150">
        <v>20</v>
      </c>
      <c r="J1460" s="150">
        <v>30</v>
      </c>
      <c r="K1460" s="150">
        <v>1</v>
      </c>
      <c r="L1460" s="656">
        <v>10</v>
      </c>
      <c r="M1460" s="654">
        <v>36325</v>
      </c>
      <c r="N1460" s="596">
        <v>18.745853999999998</v>
      </c>
      <c r="O1460" s="594">
        <v>0.13749880471547754</v>
      </c>
      <c r="P1460" s="114">
        <v>0</v>
      </c>
      <c r="Q1460" s="114">
        <v>0</v>
      </c>
      <c r="R1460" s="114">
        <v>5.7667061881626493E-2</v>
      </c>
      <c r="S1460" s="114">
        <v>2.5624394324608179E-2</v>
      </c>
      <c r="T1460" s="114">
        <v>4.1683773888298858E-2</v>
      </c>
      <c r="U1460" s="114">
        <v>0.14428666192011408</v>
      </c>
      <c r="V1460" s="496">
        <v>0.33968288833729643</v>
      </c>
      <c r="W1460" s="496">
        <v>0.26520798529276235</v>
      </c>
      <c r="X1460" s="496">
        <v>0.11838102235575614</v>
      </c>
      <c r="Y1460" s="496">
        <v>7.4662119995375052E-3</v>
      </c>
      <c r="Z1460" s="187">
        <v>23</v>
      </c>
      <c r="AA1460" s="150"/>
      <c r="AB1460" s="21" t="s">
        <v>67</v>
      </c>
      <c r="AC1460" s="103"/>
      <c r="AD1460" s="186">
        <v>12.755880000000001</v>
      </c>
      <c r="AE1460" s="186">
        <v>0.83515200000000012</v>
      </c>
      <c r="AF1460" s="186">
        <v>10.634030749999999</v>
      </c>
      <c r="AG1460" s="186">
        <v>1.6855440000000002</v>
      </c>
      <c r="AH1460" s="336"/>
      <c r="AI1460" s="218"/>
      <c r="AJ1460" s="218"/>
      <c r="AK1460" s="153"/>
      <c r="AL1460" s="152"/>
      <c r="AM1460" s="152"/>
      <c r="AN1460" s="152"/>
      <c r="AO1460" s="152"/>
      <c r="AP1460" s="152"/>
      <c r="AQ1460" s="152"/>
      <c r="AR1460" s="152"/>
      <c r="AS1460" s="152"/>
      <c r="AT1460" s="152"/>
      <c r="AU1460" s="153"/>
      <c r="AV1460" s="479"/>
      <c r="AW1460" s="479"/>
      <c r="AX1460" s="442"/>
      <c r="AY1460" s="153"/>
      <c r="AZ1460" s="152"/>
      <c r="BA1460" s="152"/>
      <c r="BB1460" s="152"/>
      <c r="BC1460" s="152"/>
      <c r="BD1460" s="152"/>
      <c r="BE1460" s="152"/>
      <c r="BF1460" s="152"/>
      <c r="BG1460" s="152"/>
      <c r="BH1460" s="152"/>
      <c r="BI1460" s="153"/>
      <c r="BJ1460" s="153"/>
      <c r="BK1460" s="153"/>
      <c r="BL1460" s="153"/>
      <c r="BM1460" s="153"/>
      <c r="BN1460" s="153"/>
      <c r="BO1460" s="153"/>
      <c r="BP1460" s="153"/>
      <c r="BQ1460" s="153"/>
      <c r="BR1460" s="153"/>
      <c r="BS1460" s="153"/>
      <c r="BT1460" s="153"/>
      <c r="BU1460" s="153"/>
      <c r="BV1460" s="153"/>
      <c r="BW1460" s="153"/>
      <c r="BX1460" s="153"/>
      <c r="BY1460" s="153"/>
      <c r="BZ1460" s="153"/>
      <c r="CA1460" s="189"/>
      <c r="CB1460" s="152"/>
    </row>
    <row r="1461" spans="1:80" x14ac:dyDescent="0.2">
      <c r="A1461" s="152"/>
      <c r="B1461" s="683"/>
      <c r="C1461" s="683"/>
      <c r="D1461" s="698"/>
      <c r="E1461" s="215"/>
      <c r="F1461" s="215"/>
      <c r="G1461" s="153"/>
      <c r="H1461" s="153"/>
      <c r="I1461" s="150">
        <v>20</v>
      </c>
      <c r="J1461" s="150">
        <v>30</v>
      </c>
      <c r="K1461" s="150">
        <v>1</v>
      </c>
      <c r="L1461" s="656">
        <v>10</v>
      </c>
      <c r="M1461" s="654">
        <v>36325</v>
      </c>
      <c r="N1461" s="596">
        <v>18.915755999999998</v>
      </c>
      <c r="O1461" s="594">
        <v>0.10904826572737934</v>
      </c>
      <c r="P1461" s="114">
        <v>0</v>
      </c>
      <c r="Q1461" s="114">
        <v>0</v>
      </c>
      <c r="R1461" s="114">
        <v>4.4758400835094435E-2</v>
      </c>
      <c r="S1461" s="114">
        <v>1.0576839433650419E-2</v>
      </c>
      <c r="T1461" s="114">
        <v>4.9294621521079482E-2</v>
      </c>
      <c r="U1461" s="114">
        <v>0.13800549565822534</v>
      </c>
      <c r="V1461" s="496">
        <v>0.2928459220066828</v>
      </c>
      <c r="W1461" s="496">
        <v>0.28992923188709852</v>
      </c>
      <c r="X1461" s="496">
        <v>0.16452946624570811</v>
      </c>
      <c r="Y1461" s="496">
        <v>1.0060022412460921E-2</v>
      </c>
      <c r="Z1461" s="187">
        <v>20</v>
      </c>
      <c r="AA1461" s="150"/>
      <c r="AB1461" s="21" t="s">
        <v>67</v>
      </c>
      <c r="AC1461" s="103"/>
      <c r="AD1461" s="186">
        <v>12.755880000000001</v>
      </c>
      <c r="AE1461" s="186">
        <v>0.83515200000000012</v>
      </c>
      <c r="AF1461" s="186">
        <v>10.634030749999999</v>
      </c>
      <c r="AG1461" s="186">
        <v>1.6855440000000002</v>
      </c>
      <c r="AH1461" s="336"/>
      <c r="AI1461" s="218"/>
      <c r="AJ1461" s="218"/>
      <c r="AK1461" s="153"/>
      <c r="AL1461" s="152"/>
      <c r="AM1461" s="152"/>
      <c r="AN1461" s="152"/>
      <c r="AO1461" s="152"/>
      <c r="AP1461" s="152"/>
      <c r="AQ1461" s="152"/>
      <c r="AR1461" s="152"/>
      <c r="AS1461" s="152"/>
      <c r="AT1461" s="152"/>
      <c r="AU1461" s="153"/>
      <c r="AV1461" s="479"/>
      <c r="AW1461" s="479"/>
      <c r="AX1461" s="442"/>
      <c r="AY1461" s="153"/>
      <c r="AZ1461" s="152"/>
      <c r="BA1461" s="152"/>
      <c r="BB1461" s="152"/>
      <c r="BC1461" s="152"/>
      <c r="BD1461" s="152"/>
      <c r="BE1461" s="152"/>
      <c r="BF1461" s="152"/>
      <c r="BG1461" s="152"/>
      <c r="BH1461" s="152"/>
      <c r="BI1461" s="153"/>
      <c r="BJ1461" s="153"/>
      <c r="BK1461" s="153"/>
      <c r="BL1461" s="153"/>
      <c r="BM1461" s="153"/>
      <c r="BN1461" s="153"/>
      <c r="BO1461" s="153"/>
      <c r="BP1461" s="153"/>
      <c r="BQ1461" s="153"/>
      <c r="BR1461" s="153"/>
      <c r="BS1461" s="153"/>
      <c r="BT1461" s="153"/>
      <c r="BU1461" s="153"/>
      <c r="BV1461" s="153"/>
      <c r="BW1461" s="153"/>
      <c r="BX1461" s="153"/>
      <c r="BY1461" s="153"/>
      <c r="BZ1461" s="153"/>
      <c r="CA1461" s="189"/>
      <c r="CB1461" s="152"/>
    </row>
    <row r="1462" spans="1:80" x14ac:dyDescent="0.2">
      <c r="A1462" s="152"/>
      <c r="B1462" s="683"/>
      <c r="C1462" s="683"/>
      <c r="D1462" s="698"/>
      <c r="E1462" s="215"/>
      <c r="F1462" s="215"/>
      <c r="G1462" s="153"/>
      <c r="H1462" s="153"/>
      <c r="I1462" s="150">
        <v>20</v>
      </c>
      <c r="J1462" s="150">
        <v>30</v>
      </c>
      <c r="K1462" s="150">
        <v>1</v>
      </c>
      <c r="L1462" s="656">
        <v>10</v>
      </c>
      <c r="M1462" s="654">
        <v>36326</v>
      </c>
      <c r="N1462" s="596">
        <v>22.625283</v>
      </c>
      <c r="O1462" s="594">
        <v>0.53939913052407817</v>
      </c>
      <c r="P1462" s="114">
        <v>0</v>
      </c>
      <c r="Q1462" s="114">
        <v>0.10508810016659564</v>
      </c>
      <c r="R1462" s="114">
        <v>4.6939730718701354E-2</v>
      </c>
      <c r="S1462" s="114">
        <v>8.5919103798165086E-2</v>
      </c>
      <c r="T1462" s="114">
        <v>0.10676396493275093</v>
      </c>
      <c r="U1462" s="114">
        <v>0.17955540687187632</v>
      </c>
      <c r="V1462" s="496">
        <v>0.23935643196991485</v>
      </c>
      <c r="W1462" s="496">
        <v>0.16694017606789779</v>
      </c>
      <c r="X1462" s="496">
        <v>6.5929106854809891E-2</v>
      </c>
      <c r="Y1462" s="496">
        <v>3.5079786192881417E-3</v>
      </c>
      <c r="Z1462" s="187">
        <v>59</v>
      </c>
      <c r="AA1462" s="150"/>
      <c r="AB1462" s="21" t="s">
        <v>67</v>
      </c>
      <c r="AC1462" s="103"/>
      <c r="AD1462" s="186">
        <v>12.755880000000001</v>
      </c>
      <c r="AE1462" s="186">
        <v>0.91135200000000016</v>
      </c>
      <c r="AF1462" s="186">
        <v>11.605300249999999</v>
      </c>
      <c r="AG1462" s="186">
        <v>1.9598640000000001</v>
      </c>
      <c r="AH1462" s="336"/>
      <c r="AI1462" s="218"/>
      <c r="AJ1462" s="218"/>
      <c r="AK1462" s="153"/>
      <c r="AL1462" s="152"/>
      <c r="AM1462" s="152"/>
      <c r="AN1462" s="152"/>
      <c r="AO1462" s="152"/>
      <c r="AP1462" s="152"/>
      <c r="AQ1462" s="152"/>
      <c r="AR1462" s="152"/>
      <c r="AS1462" s="152"/>
      <c r="AT1462" s="152"/>
      <c r="AU1462" s="153"/>
      <c r="AV1462" s="479"/>
      <c r="AW1462" s="479"/>
      <c r="AX1462" s="442"/>
      <c r="AY1462" s="153"/>
      <c r="AZ1462" s="152"/>
      <c r="BA1462" s="152"/>
      <c r="BB1462" s="152"/>
      <c r="BC1462" s="152"/>
      <c r="BD1462" s="152"/>
      <c r="BE1462" s="152"/>
      <c r="BF1462" s="152"/>
      <c r="BG1462" s="152"/>
      <c r="BH1462" s="152"/>
      <c r="BI1462" s="153"/>
      <c r="BJ1462" s="153"/>
      <c r="BK1462" s="153"/>
      <c r="BL1462" s="153"/>
      <c r="BM1462" s="153"/>
      <c r="BN1462" s="153"/>
      <c r="BO1462" s="153"/>
      <c r="BP1462" s="153"/>
      <c r="BQ1462" s="153"/>
      <c r="BR1462" s="153"/>
      <c r="BS1462" s="153"/>
      <c r="BT1462" s="153"/>
      <c r="BU1462" s="153"/>
      <c r="BV1462" s="153"/>
      <c r="BW1462" s="153"/>
      <c r="BX1462" s="153"/>
      <c r="BY1462" s="153"/>
      <c r="BZ1462" s="153"/>
      <c r="CA1462" s="189"/>
      <c r="CB1462" s="152"/>
    </row>
    <row r="1463" spans="1:80" x14ac:dyDescent="0.2">
      <c r="A1463" s="152"/>
      <c r="B1463" s="683"/>
      <c r="C1463" s="683"/>
      <c r="D1463" s="698"/>
      <c r="E1463" s="215"/>
      <c r="F1463" s="215"/>
      <c r="G1463" s="153"/>
      <c r="H1463" s="153"/>
      <c r="I1463" s="150">
        <v>20</v>
      </c>
      <c r="J1463" s="150">
        <v>30</v>
      </c>
      <c r="K1463" s="150">
        <v>1</v>
      </c>
      <c r="L1463" s="656">
        <v>10</v>
      </c>
      <c r="M1463" s="654">
        <v>36326</v>
      </c>
      <c r="N1463" s="596">
        <v>22.625283</v>
      </c>
      <c r="O1463" s="594">
        <v>0.62327225995272029</v>
      </c>
      <c r="P1463" s="114">
        <v>0</v>
      </c>
      <c r="Q1463" s="114">
        <v>0.10992184993748796</v>
      </c>
      <c r="R1463" s="114">
        <v>7.105931024852033E-2</v>
      </c>
      <c r="S1463" s="114">
        <v>0.10170322652629608</v>
      </c>
      <c r="T1463" s="114">
        <v>9.3645752593755016E-2</v>
      </c>
      <c r="U1463" s="114">
        <v>0.1416767852513677</v>
      </c>
      <c r="V1463" s="496">
        <v>0.22779680364500443</v>
      </c>
      <c r="W1463" s="496">
        <v>0.18101822946124493</v>
      </c>
      <c r="X1463" s="496">
        <v>6.8834008590066539E-2</v>
      </c>
      <c r="Y1463" s="496">
        <v>4.3440337462569492E-3</v>
      </c>
      <c r="Z1463" s="187">
        <v>70</v>
      </c>
      <c r="AA1463" s="150"/>
      <c r="AB1463" s="21" t="s">
        <v>67</v>
      </c>
      <c r="AC1463" s="103"/>
      <c r="AD1463" s="186">
        <v>12.755880000000001</v>
      </c>
      <c r="AE1463" s="186">
        <v>0.91135200000000016</v>
      </c>
      <c r="AF1463" s="186">
        <v>11.605300249999999</v>
      </c>
      <c r="AG1463" s="186">
        <v>1.9598640000000001</v>
      </c>
      <c r="AH1463" s="336"/>
      <c r="AI1463" s="218"/>
      <c r="AJ1463" s="218"/>
      <c r="AK1463" s="153"/>
      <c r="AL1463" s="152"/>
      <c r="AM1463" s="152"/>
      <c r="AN1463" s="152"/>
      <c r="AO1463" s="152"/>
      <c r="AP1463" s="152"/>
      <c r="AQ1463" s="152"/>
      <c r="AR1463" s="152"/>
      <c r="AS1463" s="152"/>
      <c r="AT1463" s="152"/>
      <c r="AU1463" s="153"/>
      <c r="AV1463" s="479"/>
      <c r="AW1463" s="479"/>
      <c r="AX1463" s="442"/>
      <c r="AY1463" s="153"/>
      <c r="AZ1463" s="152"/>
      <c r="BA1463" s="152"/>
      <c r="BB1463" s="152"/>
      <c r="BC1463" s="152"/>
      <c r="BD1463" s="152"/>
      <c r="BE1463" s="152"/>
      <c r="BF1463" s="152"/>
      <c r="BG1463" s="152"/>
      <c r="BH1463" s="152"/>
      <c r="BI1463" s="153"/>
      <c r="BJ1463" s="153"/>
      <c r="BK1463" s="153"/>
      <c r="BL1463" s="153"/>
      <c r="BM1463" s="153"/>
      <c r="BN1463" s="153"/>
      <c r="BO1463" s="153"/>
      <c r="BP1463" s="153"/>
      <c r="BQ1463" s="153"/>
      <c r="BR1463" s="153"/>
      <c r="BS1463" s="153"/>
      <c r="BT1463" s="153"/>
      <c r="BU1463" s="153"/>
      <c r="BV1463" s="153"/>
      <c r="BW1463" s="153"/>
      <c r="BX1463" s="153"/>
      <c r="BY1463" s="153"/>
      <c r="BZ1463" s="153"/>
      <c r="CA1463" s="189"/>
      <c r="CB1463" s="152"/>
    </row>
    <row r="1464" spans="1:80" x14ac:dyDescent="0.2">
      <c r="A1464" s="152"/>
      <c r="B1464" s="683"/>
      <c r="C1464" s="683"/>
      <c r="D1464" s="698"/>
      <c r="E1464" s="215"/>
      <c r="F1464" s="215"/>
      <c r="G1464" s="153"/>
      <c r="H1464" s="153"/>
      <c r="I1464" s="150">
        <v>20</v>
      </c>
      <c r="J1464" s="150">
        <v>30</v>
      </c>
      <c r="K1464" s="150">
        <v>1</v>
      </c>
      <c r="L1464" s="656">
        <v>10</v>
      </c>
      <c r="M1464" s="654">
        <v>36327</v>
      </c>
      <c r="N1464" s="596">
        <v>28.317</v>
      </c>
      <c r="O1464" s="594">
        <v>1.2394410147435375</v>
      </c>
      <c r="P1464" s="114">
        <v>0.11635495188877781</v>
      </c>
      <c r="Q1464" s="114">
        <v>3.4780428741216979E-2</v>
      </c>
      <c r="R1464" s="114">
        <v>9.150600017857817E-2</v>
      </c>
      <c r="S1464" s="114">
        <v>9.3090714555240955E-2</v>
      </c>
      <c r="T1464" s="114">
        <v>9.4977064907007178E-2</v>
      </c>
      <c r="U1464" s="114">
        <v>0.15014896387404028</v>
      </c>
      <c r="V1464" s="496">
        <v>0.2079926471297798</v>
      </c>
      <c r="W1464" s="496">
        <v>0.1515069234778364</v>
      </c>
      <c r="X1464" s="496">
        <v>5.5849011466852234E-2</v>
      </c>
      <c r="Y1464" s="496">
        <v>3.7932937806702326E-3</v>
      </c>
      <c r="Z1464" s="187">
        <v>79</v>
      </c>
      <c r="AA1464" s="150"/>
      <c r="AB1464" s="21" t="s">
        <v>67</v>
      </c>
      <c r="AC1464" s="103"/>
      <c r="AD1464" s="186">
        <v>12.755880000000001</v>
      </c>
      <c r="AE1464" s="186">
        <v>1.0149840000000001</v>
      </c>
      <c r="AF1464" s="186">
        <v>12.954904999999998</v>
      </c>
      <c r="AG1464" s="186">
        <v>2.2311360000000002</v>
      </c>
      <c r="AH1464" s="336"/>
      <c r="AI1464" s="218"/>
      <c r="AJ1464" s="218"/>
      <c r="AK1464" s="153"/>
      <c r="AL1464" s="152"/>
      <c r="AM1464" s="152"/>
      <c r="AN1464" s="152"/>
      <c r="AO1464" s="152"/>
      <c r="AP1464" s="152"/>
      <c r="AQ1464" s="152"/>
      <c r="AR1464" s="152"/>
      <c r="AS1464" s="152"/>
      <c r="AT1464" s="152"/>
      <c r="AU1464" s="153"/>
      <c r="AV1464" s="479"/>
      <c r="AW1464" s="479"/>
      <c r="AX1464" s="442"/>
      <c r="AY1464" s="153"/>
      <c r="AZ1464" s="152"/>
      <c r="BA1464" s="152"/>
      <c r="BB1464" s="152"/>
      <c r="BC1464" s="152"/>
      <c r="BD1464" s="152"/>
      <c r="BE1464" s="152"/>
      <c r="BF1464" s="152"/>
      <c r="BG1464" s="152"/>
      <c r="BH1464" s="152"/>
      <c r="BI1464" s="153"/>
      <c r="BJ1464" s="153"/>
      <c r="BK1464" s="153"/>
      <c r="BL1464" s="153"/>
      <c r="BM1464" s="153"/>
      <c r="BN1464" s="153"/>
      <c r="BO1464" s="153"/>
      <c r="BP1464" s="153"/>
      <c r="BQ1464" s="153"/>
      <c r="BR1464" s="153"/>
      <c r="BS1464" s="153"/>
      <c r="BT1464" s="153"/>
      <c r="BU1464" s="153"/>
      <c r="BV1464" s="153"/>
      <c r="BW1464" s="153"/>
      <c r="BX1464" s="153"/>
      <c r="BY1464" s="153"/>
      <c r="BZ1464" s="153"/>
      <c r="CA1464" s="189"/>
      <c r="CB1464" s="152"/>
    </row>
    <row r="1465" spans="1:80" x14ac:dyDescent="0.2">
      <c r="A1465" s="152"/>
      <c r="B1465" s="683"/>
      <c r="C1465" s="683"/>
      <c r="D1465" s="698"/>
      <c r="E1465" s="215"/>
      <c r="F1465" s="215"/>
      <c r="G1465" s="153"/>
      <c r="H1465" s="153"/>
      <c r="I1465" s="150">
        <v>20</v>
      </c>
      <c r="J1465" s="150">
        <v>30</v>
      </c>
      <c r="K1465" s="150">
        <v>1</v>
      </c>
      <c r="L1465" s="656">
        <v>10</v>
      </c>
      <c r="M1465" s="654">
        <v>36327</v>
      </c>
      <c r="N1465" s="596">
        <v>28.317</v>
      </c>
      <c r="O1465" s="594">
        <v>2.0267611380642321</v>
      </c>
      <c r="P1465" s="114">
        <v>0</v>
      </c>
      <c r="Q1465" s="114">
        <v>0.15433670665145621</v>
      </c>
      <c r="R1465" s="114">
        <v>0.2484259882850057</v>
      </c>
      <c r="S1465" s="114">
        <v>0.1930310097595388</v>
      </c>
      <c r="T1465" s="114">
        <v>0.10447971173991424</v>
      </c>
      <c r="U1465" s="114">
        <v>9.2792252860087132E-2</v>
      </c>
      <c r="V1465" s="496">
        <v>0.11136834244892482</v>
      </c>
      <c r="W1465" s="496">
        <v>7.0732457449247832E-2</v>
      </c>
      <c r="X1465" s="496">
        <v>2.2960487707223899E-2</v>
      </c>
      <c r="Y1465" s="496">
        <v>1.8730430986014979E-3</v>
      </c>
      <c r="Z1465" s="187">
        <v>59</v>
      </c>
      <c r="AA1465" s="150"/>
      <c r="AB1465" s="21" t="s">
        <v>67</v>
      </c>
      <c r="AC1465" s="103"/>
      <c r="AD1465" s="186">
        <v>12.755880000000001</v>
      </c>
      <c r="AE1465" s="186">
        <v>1.0149840000000001</v>
      </c>
      <c r="AF1465" s="186">
        <v>12.954904999999998</v>
      </c>
      <c r="AG1465" s="186">
        <v>2.2311360000000002</v>
      </c>
      <c r="AH1465" s="336"/>
      <c r="AI1465" s="218"/>
      <c r="AJ1465" s="218"/>
      <c r="AK1465" s="153"/>
      <c r="AL1465" s="152"/>
      <c r="AM1465" s="152"/>
      <c r="AN1465" s="152"/>
      <c r="AO1465" s="152"/>
      <c r="AP1465" s="152"/>
      <c r="AQ1465" s="152"/>
      <c r="AR1465" s="152"/>
      <c r="AS1465" s="152"/>
      <c r="AT1465" s="152"/>
      <c r="AU1465" s="153"/>
      <c r="AV1465" s="479"/>
      <c r="AW1465" s="479"/>
      <c r="AX1465" s="442"/>
      <c r="AY1465" s="153"/>
      <c r="AZ1465" s="152"/>
      <c r="BA1465" s="152"/>
      <c r="BB1465" s="152"/>
      <c r="BC1465" s="152"/>
      <c r="BD1465" s="152"/>
      <c r="BE1465" s="152"/>
      <c r="BF1465" s="152"/>
      <c r="BG1465" s="152"/>
      <c r="BH1465" s="152"/>
      <c r="BI1465" s="153"/>
      <c r="BJ1465" s="153"/>
      <c r="BK1465" s="153"/>
      <c r="BL1465" s="153"/>
      <c r="BM1465" s="153"/>
      <c r="BN1465" s="153"/>
      <c r="BO1465" s="153"/>
      <c r="BP1465" s="153"/>
      <c r="BQ1465" s="153"/>
      <c r="BR1465" s="153"/>
      <c r="BS1465" s="153"/>
      <c r="BT1465" s="153"/>
      <c r="BU1465" s="153"/>
      <c r="BV1465" s="153"/>
      <c r="BW1465" s="153"/>
      <c r="BX1465" s="153"/>
      <c r="BY1465" s="153"/>
      <c r="BZ1465" s="153"/>
      <c r="CA1465" s="189"/>
      <c r="CB1465" s="152"/>
    </row>
    <row r="1466" spans="1:80" x14ac:dyDescent="0.2">
      <c r="A1466" s="152"/>
      <c r="B1466" s="683"/>
      <c r="C1466" s="683"/>
      <c r="D1466" s="698"/>
      <c r="E1466" s="215"/>
      <c r="F1466" s="215"/>
      <c r="G1466" s="153"/>
      <c r="H1466" s="153"/>
      <c r="I1466" s="150">
        <v>20</v>
      </c>
      <c r="J1466" s="150">
        <v>30</v>
      </c>
      <c r="K1466" s="150">
        <v>1</v>
      </c>
      <c r="L1466" s="656">
        <v>10</v>
      </c>
      <c r="M1466" s="654">
        <v>36328</v>
      </c>
      <c r="N1466" s="596">
        <v>30.86553</v>
      </c>
      <c r="O1466" s="594">
        <v>3.8926330174384307</v>
      </c>
      <c r="P1466" s="114">
        <v>0</v>
      </c>
      <c r="Q1466" s="114">
        <v>0.16598230439146427</v>
      </c>
      <c r="R1466" s="114">
        <v>0.23021640975273475</v>
      </c>
      <c r="S1466" s="114">
        <v>0.21786700520715685</v>
      </c>
      <c r="T1466" s="114">
        <v>0.12165202748235265</v>
      </c>
      <c r="U1466" s="114">
        <v>9.6852813153779374E-2</v>
      </c>
      <c r="V1466" s="496">
        <v>8.9719978758350513E-2</v>
      </c>
      <c r="W1466" s="496">
        <v>5.7751089766730102E-2</v>
      </c>
      <c r="X1466" s="496">
        <v>1.8129381621852399E-2</v>
      </c>
      <c r="Y1466" s="496">
        <v>1.8289898655790737E-3</v>
      </c>
      <c r="Z1466" s="187">
        <v>70</v>
      </c>
      <c r="AA1466" s="150"/>
      <c r="AB1466" s="21" t="s">
        <v>67</v>
      </c>
      <c r="AC1466" s="103"/>
      <c r="AD1466" s="186">
        <v>12.755880000000001</v>
      </c>
      <c r="AE1466" s="186">
        <v>1.0576560000000002</v>
      </c>
      <c r="AF1466" s="186">
        <v>13.506498749999999</v>
      </c>
      <c r="AG1466" s="186">
        <v>2.3073360000000003</v>
      </c>
      <c r="AH1466" s="336"/>
      <c r="AI1466" s="218"/>
      <c r="AJ1466" s="218"/>
      <c r="AK1466" s="153"/>
      <c r="AL1466" s="152"/>
      <c r="AM1466" s="152"/>
      <c r="AN1466" s="152"/>
      <c r="AO1466" s="152"/>
      <c r="AP1466" s="152"/>
      <c r="AQ1466" s="152"/>
      <c r="AR1466" s="152"/>
      <c r="AS1466" s="152"/>
      <c r="AT1466" s="152"/>
      <c r="AU1466" s="153"/>
      <c r="AV1466" s="479"/>
      <c r="AW1466" s="479"/>
      <c r="AX1466" s="442"/>
      <c r="AY1466" s="153"/>
      <c r="AZ1466" s="152"/>
      <c r="BA1466" s="152"/>
      <c r="BB1466" s="152"/>
      <c r="BC1466" s="152"/>
      <c r="BD1466" s="152"/>
      <c r="BE1466" s="152"/>
      <c r="BF1466" s="152"/>
      <c r="BG1466" s="152"/>
      <c r="BH1466" s="152"/>
      <c r="BI1466" s="153"/>
      <c r="BJ1466" s="153"/>
      <c r="BK1466" s="153"/>
      <c r="BL1466" s="153"/>
      <c r="BM1466" s="153"/>
      <c r="BN1466" s="153"/>
      <c r="BO1466" s="153"/>
      <c r="BP1466" s="153"/>
      <c r="BQ1466" s="153"/>
      <c r="BR1466" s="153"/>
      <c r="BS1466" s="153"/>
      <c r="BT1466" s="153"/>
      <c r="BU1466" s="153"/>
      <c r="BV1466" s="153"/>
      <c r="BW1466" s="153"/>
      <c r="BX1466" s="153"/>
      <c r="BY1466" s="153"/>
      <c r="BZ1466" s="153"/>
      <c r="CA1466" s="189"/>
      <c r="CB1466" s="152"/>
    </row>
    <row r="1467" spans="1:80" x14ac:dyDescent="0.2">
      <c r="A1467" s="152"/>
      <c r="B1467" s="683"/>
      <c r="C1467" s="683"/>
      <c r="D1467" s="698"/>
      <c r="E1467" s="215"/>
      <c r="F1467" s="215"/>
      <c r="G1467" s="153"/>
      <c r="H1467" s="153"/>
      <c r="I1467" s="150">
        <v>20</v>
      </c>
      <c r="J1467" s="150">
        <v>30</v>
      </c>
      <c r="K1467" s="150">
        <v>1</v>
      </c>
      <c r="L1467" s="656">
        <v>10</v>
      </c>
      <c r="M1467" s="654">
        <v>36328</v>
      </c>
      <c r="N1467" s="596">
        <v>30.86553</v>
      </c>
      <c r="O1467" s="594">
        <v>1.2745172811272318</v>
      </c>
      <c r="P1467" s="114">
        <v>4.9488171542508654E-2</v>
      </c>
      <c r="Q1467" s="114">
        <v>0.11538556739088031</v>
      </c>
      <c r="R1467" s="114">
        <v>0.11570954887397367</v>
      </c>
      <c r="S1467" s="114">
        <v>0.1085250405799712</v>
      </c>
      <c r="T1467" s="114">
        <v>8.568434602189029E-2</v>
      </c>
      <c r="U1467" s="114">
        <v>0.13431298303968719</v>
      </c>
      <c r="V1467" s="496">
        <v>0.19101288168171565</v>
      </c>
      <c r="W1467" s="496">
        <v>0.14064074032309201</v>
      </c>
      <c r="X1467" s="496">
        <v>5.4794282213839064E-2</v>
      </c>
      <c r="Y1467" s="496">
        <v>4.4464383324418991E-3</v>
      </c>
      <c r="Z1467" s="187">
        <v>55</v>
      </c>
      <c r="AA1467" s="150"/>
      <c r="AB1467" s="21" t="s">
        <v>67</v>
      </c>
      <c r="AC1467" s="103"/>
      <c r="AD1467" s="186">
        <v>12.755880000000001</v>
      </c>
      <c r="AE1467" s="186">
        <v>1.0576560000000002</v>
      </c>
      <c r="AF1467" s="186">
        <v>13.506498749999999</v>
      </c>
      <c r="AG1467" s="186">
        <v>2.3073360000000003</v>
      </c>
      <c r="AH1467" s="336"/>
      <c r="AI1467" s="218"/>
      <c r="AJ1467" s="218"/>
      <c r="AK1467" s="153"/>
      <c r="AL1467" s="152"/>
      <c r="AM1467" s="152"/>
      <c r="AN1467" s="152"/>
      <c r="AO1467" s="152"/>
      <c r="AP1467" s="152"/>
      <c r="AQ1467" s="152"/>
      <c r="AR1467" s="152"/>
      <c r="AS1467" s="152"/>
      <c r="AT1467" s="152"/>
      <c r="AU1467" s="153"/>
      <c r="AV1467" s="479"/>
      <c r="AW1467" s="479"/>
      <c r="AX1467" s="442"/>
      <c r="AY1467" s="153"/>
      <c r="AZ1467" s="152"/>
      <c r="BA1467" s="152"/>
      <c r="BB1467" s="152"/>
      <c r="BC1467" s="152"/>
      <c r="BD1467" s="152"/>
      <c r="BE1467" s="152"/>
      <c r="BF1467" s="152"/>
      <c r="BG1467" s="152"/>
      <c r="BH1467" s="152"/>
      <c r="BI1467" s="153"/>
      <c r="BJ1467" s="153"/>
      <c r="BK1467" s="153"/>
      <c r="BL1467" s="153"/>
      <c r="BM1467" s="153"/>
      <c r="BN1467" s="153"/>
      <c r="BO1467" s="153"/>
      <c r="BP1467" s="153"/>
      <c r="BQ1467" s="153"/>
      <c r="BR1467" s="153"/>
      <c r="BS1467" s="153"/>
      <c r="BT1467" s="153"/>
      <c r="BU1467" s="153"/>
      <c r="BV1467" s="153"/>
      <c r="BW1467" s="153"/>
      <c r="BX1467" s="153"/>
      <c r="BY1467" s="153"/>
      <c r="BZ1467" s="153"/>
      <c r="CA1467" s="189"/>
      <c r="CB1467" s="152"/>
    </row>
    <row r="1468" spans="1:80" x14ac:dyDescent="0.2">
      <c r="A1468" s="152"/>
      <c r="B1468" s="683"/>
      <c r="C1468" s="683"/>
      <c r="D1468" s="698"/>
      <c r="E1468" s="215"/>
      <c r="F1468" s="215"/>
      <c r="G1468" s="153"/>
      <c r="H1468" s="153"/>
      <c r="I1468" s="150">
        <v>20</v>
      </c>
      <c r="J1468" s="150">
        <v>30</v>
      </c>
      <c r="K1468" s="150">
        <v>1</v>
      </c>
      <c r="L1468" s="656">
        <v>10</v>
      </c>
      <c r="M1468" s="654">
        <v>36329</v>
      </c>
      <c r="N1468" s="596">
        <v>29.166509999999999</v>
      </c>
      <c r="O1468" s="594">
        <v>0.54952323413081761</v>
      </c>
      <c r="P1468" s="114">
        <v>0</v>
      </c>
      <c r="Q1468" s="114">
        <v>0</v>
      </c>
      <c r="R1468" s="114">
        <v>0.16952531573019505</v>
      </c>
      <c r="S1468" s="114">
        <v>0.1123822361092503</v>
      </c>
      <c r="T1468" s="114">
        <v>0.10826468501439593</v>
      </c>
      <c r="U1468" s="114">
        <v>0.16868251242348012</v>
      </c>
      <c r="V1468" s="496">
        <v>0.22152825362396772</v>
      </c>
      <c r="W1468" s="496">
        <v>0.14957336703271865</v>
      </c>
      <c r="X1468" s="496">
        <v>6.6796970763369656E-2</v>
      </c>
      <c r="Y1468" s="496">
        <v>3.2466593026227635E-3</v>
      </c>
      <c r="Z1468" s="187">
        <v>33</v>
      </c>
      <c r="AA1468" s="150"/>
      <c r="AB1468" s="21" t="s">
        <v>67</v>
      </c>
      <c r="AC1468" s="103"/>
      <c r="AD1468" s="186">
        <v>12.755880000000001</v>
      </c>
      <c r="AE1468" s="186">
        <v>1.0332720000000002</v>
      </c>
      <c r="AF1468" s="186">
        <v>13.17391675</v>
      </c>
      <c r="AG1468" s="186">
        <v>2.3073360000000003</v>
      </c>
      <c r="AH1468" s="336"/>
      <c r="AI1468" s="218"/>
      <c r="AJ1468" s="218"/>
      <c r="AK1468" s="153"/>
      <c r="AL1468" s="152"/>
      <c r="AM1468" s="152"/>
      <c r="AN1468" s="152"/>
      <c r="AO1468" s="152"/>
      <c r="AP1468" s="152"/>
      <c r="AQ1468" s="152"/>
      <c r="AR1468" s="152"/>
      <c r="AS1468" s="152"/>
      <c r="AT1468" s="152"/>
      <c r="AU1468" s="153"/>
      <c r="AV1468" s="479"/>
      <c r="AW1468" s="479"/>
      <c r="AX1468" s="442"/>
      <c r="AY1468" s="153"/>
      <c r="AZ1468" s="152"/>
      <c r="BA1468" s="152"/>
      <c r="BB1468" s="152"/>
      <c r="BC1468" s="152"/>
      <c r="BD1468" s="152"/>
      <c r="BE1468" s="152"/>
      <c r="BF1468" s="152"/>
      <c r="BG1468" s="152"/>
      <c r="BH1468" s="152"/>
      <c r="BI1468" s="153"/>
      <c r="BJ1468" s="153"/>
      <c r="BK1468" s="153"/>
      <c r="BL1468" s="153"/>
      <c r="BM1468" s="153"/>
      <c r="BN1468" s="153"/>
      <c r="BO1468" s="153"/>
      <c r="BP1468" s="153"/>
      <c r="BQ1468" s="153"/>
      <c r="BR1468" s="153"/>
      <c r="BS1468" s="153"/>
      <c r="BT1468" s="153"/>
      <c r="BU1468" s="153"/>
      <c r="BV1468" s="153"/>
      <c r="BW1468" s="153"/>
      <c r="BX1468" s="153"/>
      <c r="BY1468" s="153"/>
      <c r="BZ1468" s="153"/>
      <c r="CA1468" s="189"/>
      <c r="CB1468" s="152"/>
    </row>
    <row r="1469" spans="1:80" x14ac:dyDescent="0.2">
      <c r="A1469" s="152"/>
      <c r="B1469" s="683"/>
      <c r="C1469" s="683"/>
      <c r="D1469" s="698"/>
      <c r="E1469" s="215"/>
      <c r="F1469" s="215"/>
      <c r="G1469" s="153"/>
      <c r="H1469" s="153"/>
      <c r="I1469" s="150">
        <v>20</v>
      </c>
      <c r="J1469" s="150">
        <v>30</v>
      </c>
      <c r="K1469" s="150">
        <v>1</v>
      </c>
      <c r="L1469" s="656">
        <v>10</v>
      </c>
      <c r="M1469" s="654">
        <v>36329</v>
      </c>
      <c r="N1469" s="596">
        <v>28.883339999999997</v>
      </c>
      <c r="O1469" s="594">
        <v>0.86892926418584993</v>
      </c>
      <c r="P1469" s="114">
        <v>0</v>
      </c>
      <c r="Q1469" s="114">
        <v>3.0885149158893413E-2</v>
      </c>
      <c r="R1469" s="114">
        <v>0.15236438122850288</v>
      </c>
      <c r="S1469" s="114">
        <v>0.16605222724829319</v>
      </c>
      <c r="T1469" s="114">
        <v>0.13582209112905189</v>
      </c>
      <c r="U1469" s="114">
        <v>0.16446465639961155</v>
      </c>
      <c r="V1469" s="496">
        <v>0.18725675903074254</v>
      </c>
      <c r="W1469" s="496">
        <v>0.11877472919958774</v>
      </c>
      <c r="X1469" s="496">
        <v>4.2061859726101242E-2</v>
      </c>
      <c r="Y1469" s="496">
        <v>2.3181468792156088E-3</v>
      </c>
      <c r="Z1469" s="187">
        <v>37</v>
      </c>
      <c r="AA1469" s="150"/>
      <c r="AB1469" s="21" t="s">
        <v>67</v>
      </c>
      <c r="AC1469" s="103"/>
      <c r="AD1469" s="186">
        <v>12.755880000000001</v>
      </c>
      <c r="AE1469" s="186">
        <v>1.0332720000000002</v>
      </c>
      <c r="AF1469" s="186">
        <v>13.17391675</v>
      </c>
      <c r="AG1469" s="186">
        <v>2.3073360000000003</v>
      </c>
      <c r="AH1469" s="336"/>
      <c r="AI1469" s="218"/>
      <c r="AJ1469" s="218"/>
      <c r="AK1469" s="153"/>
      <c r="AL1469" s="152"/>
      <c r="AM1469" s="152"/>
      <c r="AN1469" s="152"/>
      <c r="AO1469" s="152"/>
      <c r="AP1469" s="152"/>
      <c r="AQ1469" s="152"/>
      <c r="AR1469" s="152"/>
      <c r="AS1469" s="152"/>
      <c r="AT1469" s="152"/>
      <c r="AU1469" s="153"/>
      <c r="AV1469" s="479"/>
      <c r="AW1469" s="479"/>
      <c r="AX1469" s="442"/>
      <c r="AY1469" s="153"/>
      <c r="AZ1469" s="152"/>
      <c r="BA1469" s="152"/>
      <c r="BB1469" s="152"/>
      <c r="BC1469" s="152"/>
      <c r="BD1469" s="152"/>
      <c r="BE1469" s="152"/>
      <c r="BF1469" s="152"/>
      <c r="BG1469" s="152"/>
      <c r="BH1469" s="152"/>
      <c r="BI1469" s="153"/>
      <c r="BJ1469" s="153"/>
      <c r="BK1469" s="153"/>
      <c r="BL1469" s="153"/>
      <c r="BM1469" s="153"/>
      <c r="BN1469" s="153"/>
      <c r="BO1469" s="153"/>
      <c r="BP1469" s="153"/>
      <c r="BQ1469" s="153"/>
      <c r="BR1469" s="153"/>
      <c r="BS1469" s="153"/>
      <c r="BT1469" s="153"/>
      <c r="BU1469" s="153"/>
      <c r="BV1469" s="153"/>
      <c r="BW1469" s="153"/>
      <c r="BX1469" s="153"/>
      <c r="BY1469" s="153"/>
      <c r="BZ1469" s="153"/>
      <c r="CA1469" s="189"/>
      <c r="CB1469" s="152"/>
    </row>
    <row r="1470" spans="1:80" x14ac:dyDescent="0.2">
      <c r="A1470" s="152"/>
      <c r="B1470" s="683"/>
      <c r="C1470" s="683"/>
      <c r="D1470" s="698"/>
      <c r="E1470" s="215"/>
      <c r="F1470" s="215"/>
      <c r="G1470" s="153"/>
      <c r="H1470" s="153"/>
      <c r="I1470" s="150">
        <v>20</v>
      </c>
      <c r="J1470" s="150">
        <v>30</v>
      </c>
      <c r="K1470" s="150">
        <v>1</v>
      </c>
      <c r="L1470" s="656">
        <v>10</v>
      </c>
      <c r="M1470" s="654">
        <v>36330</v>
      </c>
      <c r="N1470" s="596">
        <v>28.883339999999997</v>
      </c>
      <c r="O1470" s="594">
        <v>0.65951411348598654</v>
      </c>
      <c r="P1470" s="114">
        <v>0</v>
      </c>
      <c r="Q1470" s="114">
        <v>2.9621170421815609E-2</v>
      </c>
      <c r="R1470" s="114">
        <v>0.10806523827838901</v>
      </c>
      <c r="S1470" s="114">
        <v>0.10807666032353881</v>
      </c>
      <c r="T1470" s="114">
        <v>0.1175413053656308</v>
      </c>
      <c r="U1470" s="114">
        <v>0.18477242481034081</v>
      </c>
      <c r="V1470" s="496">
        <v>0.2372399652469421</v>
      </c>
      <c r="W1470" s="496">
        <v>0.15582094296652524</v>
      </c>
      <c r="X1470" s="496">
        <v>5.5586966574163788E-2</v>
      </c>
      <c r="Y1470" s="496">
        <v>3.2753260126536453E-3</v>
      </c>
      <c r="Z1470" s="187">
        <v>38</v>
      </c>
      <c r="AA1470" s="150"/>
      <c r="AB1470" s="21" t="s">
        <v>67</v>
      </c>
      <c r="AC1470" s="103"/>
      <c r="AD1470" s="186">
        <v>12.755880000000001</v>
      </c>
      <c r="AE1470" s="186">
        <v>1.02108</v>
      </c>
      <c r="AF1470" s="186">
        <v>13.017148000000001</v>
      </c>
      <c r="AG1470" s="186">
        <v>2.2463760000000002</v>
      </c>
      <c r="AH1470" s="336"/>
      <c r="AI1470" s="218"/>
      <c r="AJ1470" s="218"/>
      <c r="AK1470" s="153"/>
      <c r="AL1470" s="152"/>
      <c r="AM1470" s="152"/>
      <c r="AN1470" s="152"/>
      <c r="AO1470" s="152"/>
      <c r="AP1470" s="152"/>
      <c r="AQ1470" s="152"/>
      <c r="AR1470" s="152"/>
      <c r="AS1470" s="152"/>
      <c r="AT1470" s="152"/>
      <c r="AU1470" s="153"/>
      <c r="AV1470" s="479"/>
      <c r="AW1470" s="479"/>
      <c r="AX1470" s="442"/>
      <c r="AY1470" s="153"/>
      <c r="AZ1470" s="152"/>
      <c r="BA1470" s="152"/>
      <c r="BB1470" s="152"/>
      <c r="BC1470" s="152"/>
      <c r="BD1470" s="152"/>
      <c r="BE1470" s="152"/>
      <c r="BF1470" s="152"/>
      <c r="BG1470" s="152"/>
      <c r="BH1470" s="152"/>
      <c r="BI1470" s="153"/>
      <c r="BJ1470" s="153"/>
      <c r="BK1470" s="153"/>
      <c r="BL1470" s="153"/>
      <c r="BM1470" s="153"/>
      <c r="BN1470" s="153"/>
      <c r="BO1470" s="153"/>
      <c r="BP1470" s="153"/>
      <c r="BQ1470" s="153"/>
      <c r="BR1470" s="153"/>
      <c r="BS1470" s="153"/>
      <c r="BT1470" s="153"/>
      <c r="BU1470" s="153"/>
      <c r="BV1470" s="153"/>
      <c r="BW1470" s="153"/>
      <c r="BX1470" s="153"/>
      <c r="BY1470" s="153"/>
      <c r="BZ1470" s="153"/>
      <c r="CA1470" s="189"/>
      <c r="CB1470" s="152"/>
    </row>
    <row r="1471" spans="1:80" x14ac:dyDescent="0.2">
      <c r="A1471" s="152"/>
      <c r="B1471" s="683"/>
      <c r="C1471" s="683"/>
      <c r="D1471" s="698"/>
      <c r="E1471" s="215"/>
      <c r="F1471" s="215"/>
      <c r="G1471" s="153"/>
      <c r="H1471" s="153"/>
      <c r="I1471" s="150">
        <v>20</v>
      </c>
      <c r="J1471" s="150">
        <v>30</v>
      </c>
      <c r="K1471" s="150">
        <v>1</v>
      </c>
      <c r="L1471" s="656">
        <v>10</v>
      </c>
      <c r="M1471" s="654">
        <v>36330</v>
      </c>
      <c r="N1471" s="596">
        <v>28.883339999999997</v>
      </c>
      <c r="O1471" s="594">
        <v>1.111716464211143</v>
      </c>
      <c r="P1471" s="114">
        <v>0</v>
      </c>
      <c r="Q1471" s="114">
        <v>0.14422859133684099</v>
      </c>
      <c r="R1471" s="114">
        <v>0.15449298908466907</v>
      </c>
      <c r="S1471" s="114">
        <v>0.13231536490433735</v>
      </c>
      <c r="T1471" s="114">
        <v>0.1075452901436862</v>
      </c>
      <c r="U1471" s="114">
        <v>0.15605341800417813</v>
      </c>
      <c r="V1471" s="496">
        <v>0.16998777039221</v>
      </c>
      <c r="W1471" s="496">
        <v>9.8305156786298045E-2</v>
      </c>
      <c r="X1471" s="496">
        <v>3.4732034170439893E-2</v>
      </c>
      <c r="Y1471" s="496">
        <v>2.3393851773403111E-3</v>
      </c>
      <c r="Z1471" s="187">
        <v>65</v>
      </c>
      <c r="AA1471" s="150"/>
      <c r="AB1471" s="21" t="s">
        <v>67</v>
      </c>
      <c r="AC1471" s="103"/>
      <c r="AD1471" s="186">
        <v>12.755880000000001</v>
      </c>
      <c r="AE1471" s="186">
        <v>1.02108</v>
      </c>
      <c r="AF1471" s="186">
        <v>13.017148000000001</v>
      </c>
      <c r="AG1471" s="186">
        <v>2.2463760000000002</v>
      </c>
      <c r="AH1471" s="336"/>
      <c r="AI1471" s="218"/>
      <c r="AJ1471" s="218"/>
      <c r="AK1471" s="153"/>
      <c r="AL1471" s="152"/>
      <c r="AM1471" s="152"/>
      <c r="AN1471" s="152"/>
      <c r="AO1471" s="152"/>
      <c r="AP1471" s="152"/>
      <c r="AQ1471" s="152"/>
      <c r="AR1471" s="152"/>
      <c r="AS1471" s="152"/>
      <c r="AT1471" s="152"/>
      <c r="AU1471" s="153"/>
      <c r="AV1471" s="479"/>
      <c r="AW1471" s="479"/>
      <c r="AX1471" s="442"/>
      <c r="AY1471" s="153"/>
      <c r="AZ1471" s="152"/>
      <c r="BA1471" s="152"/>
      <c r="BB1471" s="152"/>
      <c r="BC1471" s="152"/>
      <c r="BD1471" s="152"/>
      <c r="BE1471" s="152"/>
      <c r="BF1471" s="152"/>
      <c r="BG1471" s="152"/>
      <c r="BH1471" s="152"/>
      <c r="BI1471" s="153"/>
      <c r="BJ1471" s="153"/>
      <c r="BK1471" s="153"/>
      <c r="BL1471" s="153"/>
      <c r="BM1471" s="153"/>
      <c r="BN1471" s="153"/>
      <c r="BO1471" s="153"/>
      <c r="BP1471" s="153"/>
      <c r="BQ1471" s="153"/>
      <c r="BR1471" s="153"/>
      <c r="BS1471" s="153"/>
      <c r="BT1471" s="153"/>
      <c r="BU1471" s="153"/>
      <c r="BV1471" s="153"/>
      <c r="BW1471" s="153"/>
      <c r="BX1471" s="153"/>
      <c r="BY1471" s="153"/>
      <c r="BZ1471" s="153"/>
      <c r="CA1471" s="189"/>
      <c r="CB1471" s="152"/>
    </row>
    <row r="1472" spans="1:80" x14ac:dyDescent="0.2">
      <c r="A1472" s="152"/>
      <c r="B1472" s="683"/>
      <c r="C1472" s="683"/>
      <c r="D1472" s="698"/>
      <c r="E1472" s="215"/>
      <c r="F1472" s="215"/>
      <c r="G1472" s="153"/>
      <c r="H1472" s="153"/>
      <c r="I1472" s="150">
        <v>20</v>
      </c>
      <c r="J1472" s="150">
        <v>30</v>
      </c>
      <c r="K1472" s="150">
        <v>1</v>
      </c>
      <c r="L1472" s="656">
        <v>10</v>
      </c>
      <c r="M1472" s="657">
        <v>36332</v>
      </c>
      <c r="N1472" s="596">
        <v>26.023322999999998</v>
      </c>
      <c r="O1472" s="594">
        <v>0.28606072660873472</v>
      </c>
      <c r="P1472" s="114">
        <v>0</v>
      </c>
      <c r="Q1472" s="114">
        <v>0.10226202762492001</v>
      </c>
      <c r="R1472" s="114">
        <v>3.3755734631363686E-2</v>
      </c>
      <c r="S1472" s="114">
        <v>0.11742821293314613</v>
      </c>
      <c r="T1472" s="114">
        <v>0.12886868583767938</v>
      </c>
      <c r="U1472" s="114">
        <v>0.17591979636336183</v>
      </c>
      <c r="V1472" s="496">
        <v>0.22348151517566536</v>
      </c>
      <c r="W1472" s="496">
        <v>0.15167879719737248</v>
      </c>
      <c r="X1472" s="496">
        <v>6.4080736190472956E-2</v>
      </c>
      <c r="Y1472" s="496">
        <v>2.5244940460180448E-3</v>
      </c>
      <c r="Z1472" s="187">
        <v>44</v>
      </c>
      <c r="AA1472" s="150"/>
      <c r="AB1472" s="21" t="s">
        <v>67</v>
      </c>
      <c r="AC1472" s="103"/>
      <c r="AD1472" s="186">
        <v>12.755880000000001</v>
      </c>
      <c r="AE1472" s="221"/>
      <c r="AF1472" s="221"/>
      <c r="AG1472" s="221"/>
      <c r="AH1472" s="339"/>
      <c r="AI1472" s="218"/>
      <c r="AJ1472" s="218"/>
      <c r="AK1472" s="153"/>
      <c r="AL1472" s="152"/>
      <c r="AM1472" s="152"/>
      <c r="AN1472" s="152"/>
      <c r="AO1472" s="152"/>
      <c r="AP1472" s="152"/>
      <c r="AQ1472" s="152"/>
      <c r="AR1472" s="152"/>
      <c r="AS1472" s="152"/>
      <c r="AT1472" s="152"/>
      <c r="AU1472" s="153"/>
      <c r="AV1472" s="479"/>
      <c r="AW1472" s="479"/>
      <c r="AX1472" s="442"/>
      <c r="AY1472" s="153"/>
      <c r="AZ1472" s="152"/>
      <c r="BA1472" s="152"/>
      <c r="BB1472" s="152"/>
      <c r="BC1472" s="152"/>
      <c r="BD1472" s="152"/>
      <c r="BE1472" s="152"/>
      <c r="BF1472" s="152"/>
      <c r="BG1472" s="152"/>
      <c r="BH1472" s="152"/>
      <c r="BI1472" s="153"/>
      <c r="BJ1472" s="153"/>
      <c r="BK1472" s="153"/>
      <c r="BL1472" s="153"/>
      <c r="BM1472" s="153"/>
      <c r="BN1472" s="153"/>
      <c r="BO1472" s="153"/>
      <c r="BP1472" s="153"/>
      <c r="BQ1472" s="153"/>
      <c r="BR1472" s="153"/>
      <c r="BS1472" s="153"/>
      <c r="BT1472" s="153"/>
      <c r="BU1472" s="153"/>
      <c r="BV1472" s="153"/>
      <c r="BW1472" s="153"/>
      <c r="BX1472" s="153"/>
      <c r="BY1472" s="153"/>
      <c r="BZ1472" s="153"/>
      <c r="CA1472" s="189"/>
      <c r="CB1472" s="152"/>
    </row>
    <row r="1473" spans="1:81" x14ac:dyDescent="0.2">
      <c r="A1473" s="152"/>
      <c r="B1473" s="683"/>
      <c r="C1473" s="683"/>
      <c r="D1473" s="698"/>
      <c r="E1473" s="215"/>
      <c r="F1473" s="215"/>
      <c r="G1473" s="153"/>
      <c r="H1473" s="153"/>
      <c r="I1473" s="150">
        <v>20</v>
      </c>
      <c r="J1473" s="150">
        <v>30</v>
      </c>
      <c r="K1473" s="150">
        <v>1</v>
      </c>
      <c r="L1473" s="656">
        <v>10</v>
      </c>
      <c r="M1473" s="657">
        <v>36332</v>
      </c>
      <c r="N1473" s="596">
        <v>26.023322999999998</v>
      </c>
      <c r="O1473" s="594">
        <v>0.34653095344433726</v>
      </c>
      <c r="P1473" s="114">
        <v>0</v>
      </c>
      <c r="Q1473" s="114">
        <v>0</v>
      </c>
      <c r="R1473" s="114">
        <v>0.10638088615584747</v>
      </c>
      <c r="S1473" s="114">
        <v>0.16881011428363388</v>
      </c>
      <c r="T1473" s="114">
        <v>0.12583265494056911</v>
      </c>
      <c r="U1473" s="114">
        <v>0.16835119424194134</v>
      </c>
      <c r="V1473" s="496">
        <v>0.22532280048601691</v>
      </c>
      <c r="W1473" s="496">
        <v>0.14896927204476315</v>
      </c>
      <c r="X1473" s="496">
        <v>5.339420885266552E-2</v>
      </c>
      <c r="Y1473" s="496">
        <v>2.9388689945624596E-3</v>
      </c>
      <c r="Z1473" s="187">
        <v>29</v>
      </c>
      <c r="AA1473" s="150"/>
      <c r="AB1473" s="21" t="s">
        <v>67</v>
      </c>
      <c r="AC1473" s="103"/>
      <c r="AD1473" s="186">
        <v>12.755880000000001</v>
      </c>
      <c r="AE1473" s="221"/>
      <c r="AF1473" s="221"/>
      <c r="AG1473" s="221"/>
      <c r="AH1473" s="339"/>
      <c r="AI1473" s="218"/>
      <c r="AJ1473" s="218"/>
      <c r="AK1473" s="153"/>
      <c r="AL1473" s="152"/>
      <c r="AM1473" s="152"/>
      <c r="AN1473" s="152"/>
      <c r="AO1473" s="152"/>
      <c r="AP1473" s="152"/>
      <c r="AQ1473" s="152"/>
      <c r="AR1473" s="152"/>
      <c r="AS1473" s="152"/>
      <c r="AT1473" s="152"/>
      <c r="AU1473" s="153"/>
      <c r="AV1473" s="479"/>
      <c r="AW1473" s="479"/>
      <c r="AX1473" s="442"/>
      <c r="AY1473" s="153"/>
      <c r="AZ1473" s="152"/>
      <c r="BA1473" s="152"/>
      <c r="BB1473" s="152"/>
      <c r="BC1473" s="152"/>
      <c r="BD1473" s="152"/>
      <c r="BE1473" s="152"/>
      <c r="BF1473" s="152"/>
      <c r="BG1473" s="152"/>
      <c r="BH1473" s="152"/>
      <c r="BI1473" s="153"/>
      <c r="BJ1473" s="153"/>
      <c r="BK1473" s="153"/>
      <c r="BL1473" s="153"/>
      <c r="BM1473" s="153"/>
      <c r="BN1473" s="153"/>
      <c r="BO1473" s="153"/>
      <c r="BP1473" s="153"/>
      <c r="BQ1473" s="153"/>
      <c r="BR1473" s="153"/>
      <c r="BS1473" s="153"/>
      <c r="BT1473" s="153"/>
      <c r="BU1473" s="153"/>
      <c r="BV1473" s="153"/>
      <c r="BW1473" s="153"/>
      <c r="BX1473" s="153"/>
      <c r="BY1473" s="153"/>
      <c r="BZ1473" s="153"/>
      <c r="CA1473" s="189"/>
      <c r="CB1473" s="152"/>
    </row>
    <row r="1474" spans="1:81" x14ac:dyDescent="0.2">
      <c r="A1474" s="152"/>
      <c r="B1474" s="683"/>
      <c r="C1474" s="683"/>
      <c r="D1474" s="698"/>
      <c r="E1474" s="215"/>
      <c r="F1474" s="215"/>
      <c r="G1474" s="153"/>
      <c r="H1474" s="153"/>
      <c r="I1474" s="150">
        <v>20</v>
      </c>
      <c r="J1474" s="150">
        <v>30</v>
      </c>
      <c r="K1474" s="150">
        <v>1</v>
      </c>
      <c r="L1474" s="656">
        <v>10</v>
      </c>
      <c r="M1474" s="657">
        <v>36332</v>
      </c>
      <c r="N1474" s="596">
        <v>26.023322999999998</v>
      </c>
      <c r="O1474" s="594">
        <v>0.31154910614078901</v>
      </c>
      <c r="P1474" s="114">
        <v>0</v>
      </c>
      <c r="Q1474" s="114">
        <v>0</v>
      </c>
      <c r="R1474" s="114">
        <v>4.1407282876039793E-2</v>
      </c>
      <c r="S1474" s="114">
        <v>8.2756356629995087E-2</v>
      </c>
      <c r="T1474" s="114">
        <v>0.1215675126610667</v>
      </c>
      <c r="U1474" s="114">
        <v>0.22416780677214151</v>
      </c>
      <c r="V1474" s="496">
        <v>0.32135127911867234</v>
      </c>
      <c r="W1474" s="496">
        <v>0.16856727076861813</v>
      </c>
      <c r="X1474" s="496">
        <v>3.848754697615385E-2</v>
      </c>
      <c r="Y1474" s="496">
        <v>1.6949441973125061E-3</v>
      </c>
      <c r="Z1474" s="187">
        <v>32</v>
      </c>
      <c r="AA1474" s="150"/>
      <c r="AB1474" s="21" t="s">
        <v>67</v>
      </c>
      <c r="AC1474" s="103"/>
      <c r="AD1474" s="186">
        <v>12.755880000000001</v>
      </c>
      <c r="AE1474" s="221"/>
      <c r="AF1474" s="221"/>
      <c r="AG1474" s="221"/>
      <c r="AH1474" s="339"/>
      <c r="AI1474" s="218"/>
      <c r="AJ1474" s="218"/>
      <c r="AK1474" s="153"/>
      <c r="AL1474" s="152"/>
      <c r="AM1474" s="152"/>
      <c r="AN1474" s="152"/>
      <c r="AO1474" s="152"/>
      <c r="AP1474" s="152"/>
      <c r="AQ1474" s="152"/>
      <c r="AR1474" s="152"/>
      <c r="AS1474" s="152"/>
      <c r="AT1474" s="152"/>
      <c r="AU1474" s="153"/>
      <c r="AV1474" s="479"/>
      <c r="AW1474" s="479"/>
      <c r="AX1474" s="442"/>
      <c r="AY1474" s="153"/>
      <c r="AZ1474" s="152"/>
      <c r="BA1474" s="152"/>
      <c r="BB1474" s="152"/>
      <c r="BC1474" s="152"/>
      <c r="BD1474" s="152"/>
      <c r="BE1474" s="152"/>
      <c r="BF1474" s="152"/>
      <c r="BG1474" s="152"/>
      <c r="BH1474" s="152"/>
      <c r="BI1474" s="153"/>
      <c r="BJ1474" s="153"/>
      <c r="BK1474" s="153"/>
      <c r="BL1474" s="153"/>
      <c r="BM1474" s="153"/>
      <c r="BN1474" s="153"/>
      <c r="BO1474" s="153"/>
      <c r="BP1474" s="153"/>
      <c r="BQ1474" s="153"/>
      <c r="BR1474" s="153"/>
      <c r="BS1474" s="153"/>
      <c r="BT1474" s="153"/>
      <c r="BU1474" s="153"/>
      <c r="BV1474" s="153"/>
      <c r="BW1474" s="153"/>
      <c r="BX1474" s="153"/>
      <c r="BY1474" s="153"/>
      <c r="BZ1474" s="153"/>
      <c r="CA1474" s="189"/>
      <c r="CB1474" s="152"/>
    </row>
    <row r="1475" spans="1:81" x14ac:dyDescent="0.2">
      <c r="A1475" s="152"/>
      <c r="B1475" s="683"/>
      <c r="C1475" s="683"/>
      <c r="D1475" s="698"/>
      <c r="E1475" s="215"/>
      <c r="F1475" s="215"/>
      <c r="G1475" s="153"/>
      <c r="H1475" s="153"/>
      <c r="I1475" s="150">
        <v>20</v>
      </c>
      <c r="J1475" s="150">
        <v>30</v>
      </c>
      <c r="K1475" s="150">
        <v>1</v>
      </c>
      <c r="L1475" s="656">
        <v>10</v>
      </c>
      <c r="M1475" s="657">
        <v>36332</v>
      </c>
      <c r="N1475" s="596">
        <v>26.023322999999998</v>
      </c>
      <c r="O1475" s="594">
        <v>0.28071591982035043</v>
      </c>
      <c r="P1475" s="114">
        <v>0</v>
      </c>
      <c r="Q1475" s="114">
        <v>0</v>
      </c>
      <c r="R1475" s="114">
        <v>0.14238469811635629</v>
      </c>
      <c r="S1475" s="114">
        <v>7.3870477888925049E-2</v>
      </c>
      <c r="T1475" s="114">
        <v>7.3878826542594728E-2</v>
      </c>
      <c r="U1475" s="114">
        <v>0.17421168205107057</v>
      </c>
      <c r="V1475" s="496">
        <v>0.22914337529496584</v>
      </c>
      <c r="W1475" s="496">
        <v>0.22687561972643736</v>
      </c>
      <c r="X1475" s="496">
        <v>7.3196193768468532E-2</v>
      </c>
      <c r="Y1475" s="496">
        <v>6.4391266111816399E-3</v>
      </c>
      <c r="Z1475" s="187">
        <v>33</v>
      </c>
      <c r="AA1475" s="150"/>
      <c r="AB1475" s="21" t="s">
        <v>67</v>
      </c>
      <c r="AC1475" s="103"/>
      <c r="AD1475" s="186">
        <v>12.755880000000001</v>
      </c>
      <c r="AE1475" s="221"/>
      <c r="AF1475" s="221"/>
      <c r="AG1475" s="221"/>
      <c r="AH1475" s="339"/>
      <c r="AI1475" s="218"/>
      <c r="AJ1475" s="218"/>
      <c r="AK1475" s="153"/>
      <c r="AL1475" s="152"/>
      <c r="AM1475" s="152"/>
      <c r="AN1475" s="152"/>
      <c r="AO1475" s="152"/>
      <c r="AP1475" s="152"/>
      <c r="AQ1475" s="152"/>
      <c r="AR1475" s="152"/>
      <c r="AS1475" s="152"/>
      <c r="AT1475" s="152"/>
      <c r="AU1475" s="153"/>
      <c r="AV1475" s="479"/>
      <c r="AW1475" s="479"/>
      <c r="AX1475" s="442"/>
      <c r="AY1475" s="153"/>
      <c r="AZ1475" s="152"/>
      <c r="BA1475" s="152"/>
      <c r="BB1475" s="152"/>
      <c r="BC1475" s="152"/>
      <c r="BD1475" s="152"/>
      <c r="BE1475" s="152"/>
      <c r="BF1475" s="152"/>
      <c r="BG1475" s="152"/>
      <c r="BH1475" s="152"/>
      <c r="BI1475" s="153"/>
      <c r="BJ1475" s="153"/>
      <c r="BK1475" s="153"/>
      <c r="BL1475" s="153"/>
      <c r="BM1475" s="153"/>
      <c r="BN1475" s="153"/>
      <c r="BO1475" s="153"/>
      <c r="BP1475" s="153"/>
      <c r="BQ1475" s="153"/>
      <c r="BR1475" s="153"/>
      <c r="BS1475" s="153"/>
      <c r="BT1475" s="153"/>
      <c r="BU1475" s="153"/>
      <c r="BV1475" s="153"/>
      <c r="BW1475" s="153"/>
      <c r="BX1475" s="153"/>
      <c r="BY1475" s="153"/>
      <c r="BZ1475" s="153"/>
      <c r="CA1475" s="189"/>
      <c r="CB1475" s="152"/>
    </row>
    <row r="1476" spans="1:81" x14ac:dyDescent="0.2">
      <c r="A1476" s="152"/>
      <c r="B1476" s="683"/>
      <c r="C1476" s="683"/>
      <c r="D1476" s="698"/>
      <c r="E1476" s="215"/>
      <c r="F1476" s="215"/>
      <c r="G1476" s="153"/>
      <c r="H1476" s="153"/>
      <c r="I1476" s="150">
        <v>20</v>
      </c>
      <c r="J1476" s="150">
        <v>30</v>
      </c>
      <c r="K1476" s="150">
        <v>1</v>
      </c>
      <c r="L1476" s="656">
        <v>10</v>
      </c>
      <c r="M1476" s="654">
        <v>36333</v>
      </c>
      <c r="N1476" s="596">
        <v>22.030625999999998</v>
      </c>
      <c r="O1476" s="594">
        <v>0.31123519352310175</v>
      </c>
      <c r="P1476" s="114">
        <v>0</v>
      </c>
      <c r="Q1476" s="114">
        <v>0.21229212251638799</v>
      </c>
      <c r="R1476" s="114">
        <v>7.5930156462737999E-2</v>
      </c>
      <c r="S1476" s="114">
        <v>9.4474566303530669E-2</v>
      </c>
      <c r="T1476" s="114">
        <v>0.10282927697768292</v>
      </c>
      <c r="U1476" s="114">
        <v>0.17606745960410339</v>
      </c>
      <c r="V1476" s="496">
        <v>0.2007567663942485</v>
      </c>
      <c r="W1476" s="496">
        <v>0.10058005989230352</v>
      </c>
      <c r="X1476" s="496">
        <v>3.5031595771403849E-2</v>
      </c>
      <c r="Y1476" s="496">
        <v>2.0379960776011124E-3</v>
      </c>
      <c r="Z1476" s="187">
        <v>58</v>
      </c>
      <c r="AA1476" s="150"/>
      <c r="AB1476" s="21" t="s">
        <v>67</v>
      </c>
      <c r="AC1476" s="103"/>
      <c r="AD1476" s="186">
        <v>12.755880000000001</v>
      </c>
      <c r="AE1476" s="186">
        <v>0.9144000000000001</v>
      </c>
      <c r="AF1476" s="186">
        <v>11.681246</v>
      </c>
      <c r="AG1476" s="186">
        <v>2.0269200000000001</v>
      </c>
      <c r="AH1476" s="336"/>
      <c r="AI1476" s="218"/>
      <c r="AJ1476" s="218"/>
      <c r="AK1476" s="153"/>
      <c r="AL1476" s="152"/>
      <c r="AM1476" s="152"/>
      <c r="AN1476" s="152"/>
      <c r="AO1476" s="152"/>
      <c r="AP1476" s="152"/>
      <c r="AQ1476" s="152"/>
      <c r="AR1476" s="152"/>
      <c r="AS1476" s="152"/>
      <c r="AT1476" s="152"/>
      <c r="AU1476" s="153"/>
      <c r="AV1476" s="479"/>
      <c r="AW1476" s="479"/>
      <c r="AX1476" s="442"/>
      <c r="AY1476" s="153"/>
      <c r="AZ1476" s="152"/>
      <c r="BA1476" s="152"/>
      <c r="BB1476" s="152"/>
      <c r="BC1476" s="152"/>
      <c r="BD1476" s="152"/>
      <c r="BE1476" s="152"/>
      <c r="BF1476" s="152"/>
      <c r="BG1476" s="152"/>
      <c r="BH1476" s="152"/>
      <c r="BI1476" s="153"/>
      <c r="BJ1476" s="153"/>
      <c r="BK1476" s="153"/>
      <c r="BL1476" s="153"/>
      <c r="BM1476" s="153"/>
      <c r="BN1476" s="153"/>
      <c r="BO1476" s="153"/>
      <c r="BP1476" s="153"/>
      <c r="BQ1476" s="153"/>
      <c r="BR1476" s="153"/>
      <c r="BS1476" s="153"/>
      <c r="BT1476" s="153"/>
      <c r="BU1476" s="153"/>
      <c r="BV1476" s="153"/>
      <c r="BW1476" s="153"/>
      <c r="BX1476" s="153"/>
      <c r="BY1476" s="153"/>
      <c r="BZ1476" s="153"/>
      <c r="CA1476" s="189"/>
      <c r="CB1476" s="152"/>
    </row>
    <row r="1477" spans="1:81" x14ac:dyDescent="0.2">
      <c r="A1477" s="152"/>
      <c r="B1477" s="683"/>
      <c r="C1477" s="683"/>
      <c r="D1477" s="698"/>
      <c r="E1477" s="215"/>
      <c r="F1477" s="215"/>
      <c r="G1477" s="153"/>
      <c r="H1477" s="153"/>
      <c r="I1477" s="150">
        <v>20</v>
      </c>
      <c r="J1477" s="150">
        <v>30</v>
      </c>
      <c r="K1477" s="150">
        <v>1</v>
      </c>
      <c r="L1477" s="656">
        <v>10</v>
      </c>
      <c r="M1477" s="654">
        <v>36333</v>
      </c>
      <c r="N1477" s="596">
        <v>22.030625999999998</v>
      </c>
      <c r="O1477" s="594">
        <v>0.33080811760198325</v>
      </c>
      <c r="P1477" s="114">
        <v>0</v>
      </c>
      <c r="Q1477" s="114">
        <v>0</v>
      </c>
      <c r="R1477" s="114">
        <v>0.24552746887144966</v>
      </c>
      <c r="S1477" s="114">
        <v>0.15977165328045967</v>
      </c>
      <c r="T1477" s="114">
        <v>0.10466460183754775</v>
      </c>
      <c r="U1477" s="114">
        <v>0.13889912051070613</v>
      </c>
      <c r="V1477" s="496">
        <v>0.19306326304735527</v>
      </c>
      <c r="W1477" s="496">
        <v>0.11527617858592641</v>
      </c>
      <c r="X1477" s="496">
        <v>4.0124167354387376E-2</v>
      </c>
      <c r="Y1477" s="496">
        <v>2.6735465121676795E-3</v>
      </c>
      <c r="Z1477" s="187">
        <v>33</v>
      </c>
      <c r="AA1477" s="150"/>
      <c r="AB1477" s="21" t="s">
        <v>67</v>
      </c>
      <c r="AC1477" s="103"/>
      <c r="AD1477" s="186">
        <v>12.755880000000001</v>
      </c>
      <c r="AE1477" s="186">
        <v>0.9144000000000001</v>
      </c>
      <c r="AF1477" s="186">
        <v>11.681246</v>
      </c>
      <c r="AG1477" s="186">
        <v>2.0269200000000001</v>
      </c>
      <c r="AH1477" s="336"/>
      <c r="AI1477" s="218"/>
      <c r="AJ1477" s="218"/>
      <c r="AK1477" s="153"/>
      <c r="AL1477" s="152"/>
      <c r="AM1477" s="152"/>
      <c r="AN1477" s="152"/>
      <c r="AO1477" s="152"/>
      <c r="AP1477" s="152"/>
      <c r="AQ1477" s="152"/>
      <c r="AR1477" s="152"/>
      <c r="AS1477" s="152"/>
      <c r="AT1477" s="152"/>
      <c r="AU1477" s="153"/>
      <c r="AV1477" s="479"/>
      <c r="AW1477" s="479"/>
      <c r="AX1477" s="442"/>
      <c r="AY1477" s="153"/>
      <c r="AZ1477" s="152"/>
      <c r="BA1477" s="152"/>
      <c r="BB1477" s="152"/>
      <c r="BC1477" s="152"/>
      <c r="BD1477" s="152"/>
      <c r="BE1477" s="152"/>
      <c r="BF1477" s="152"/>
      <c r="BG1477" s="152"/>
      <c r="BH1477" s="152"/>
      <c r="BI1477" s="153"/>
      <c r="BJ1477" s="153"/>
      <c r="BK1477" s="153"/>
      <c r="BL1477" s="153"/>
      <c r="BM1477" s="153"/>
      <c r="BN1477" s="153"/>
      <c r="BO1477" s="153"/>
      <c r="BP1477" s="153"/>
      <c r="BQ1477" s="153"/>
      <c r="BR1477" s="153"/>
      <c r="BS1477" s="153"/>
      <c r="BT1477" s="153"/>
      <c r="BU1477" s="153"/>
      <c r="BV1477" s="153"/>
      <c r="BW1477" s="153"/>
      <c r="BX1477" s="153"/>
      <c r="BY1477" s="153"/>
      <c r="BZ1477" s="153"/>
      <c r="CA1477" s="189"/>
      <c r="CB1477" s="152"/>
    </row>
    <row r="1478" spans="1:81" x14ac:dyDescent="0.2">
      <c r="A1478" s="152"/>
      <c r="B1478" s="683"/>
      <c r="C1478" s="683"/>
      <c r="D1478" s="698"/>
      <c r="E1478" s="215"/>
      <c r="F1478" s="215"/>
      <c r="G1478" s="153"/>
      <c r="H1478" s="153"/>
      <c r="I1478" s="150">
        <v>20</v>
      </c>
      <c r="J1478" s="150">
        <v>30</v>
      </c>
      <c r="K1478" s="150">
        <v>1</v>
      </c>
      <c r="L1478" s="656">
        <v>10</v>
      </c>
      <c r="M1478" s="654">
        <v>36334</v>
      </c>
      <c r="N1478" s="596">
        <v>21.096164999999999</v>
      </c>
      <c r="O1478" s="594">
        <v>0.24131303766877679</v>
      </c>
      <c r="P1478" s="114">
        <v>0</v>
      </c>
      <c r="Q1478" s="114">
        <v>0.33644680196876264</v>
      </c>
      <c r="R1478" s="114">
        <v>0.10822950217283805</v>
      </c>
      <c r="S1478" s="114">
        <v>7.6270524509537238E-2</v>
      </c>
      <c r="T1478" s="114">
        <v>6.4078663592834137E-2</v>
      </c>
      <c r="U1478" s="114">
        <v>0.11268077429510517</v>
      </c>
      <c r="V1478" s="496">
        <v>0.16931552848256837</v>
      </c>
      <c r="W1478" s="496">
        <v>9.7180567627664388E-2</v>
      </c>
      <c r="X1478" s="496">
        <v>3.4016441419102844E-2</v>
      </c>
      <c r="Y1478" s="496">
        <v>1.7811959315872322E-3</v>
      </c>
      <c r="Z1478" s="187">
        <v>50</v>
      </c>
      <c r="AA1478" s="150"/>
      <c r="AB1478" s="21" t="s">
        <v>67</v>
      </c>
      <c r="AC1478" s="103"/>
      <c r="AD1478" s="186">
        <v>12.755880000000001</v>
      </c>
      <c r="AE1478" s="186">
        <v>0.86563199999999996</v>
      </c>
      <c r="AF1478" s="186">
        <v>11.034545874999999</v>
      </c>
      <c r="AG1478" s="186">
        <v>2.0055840000000003</v>
      </c>
      <c r="AH1478" s="336"/>
      <c r="AI1478" s="218"/>
      <c r="AJ1478" s="218"/>
      <c r="AK1478" s="153"/>
      <c r="AL1478" s="152"/>
      <c r="AM1478" s="152"/>
      <c r="AN1478" s="152"/>
      <c r="AO1478" s="152"/>
      <c r="AP1478" s="152"/>
      <c r="AQ1478" s="152"/>
      <c r="AR1478" s="152"/>
      <c r="AS1478" s="152"/>
      <c r="AT1478" s="152"/>
      <c r="AU1478" s="153"/>
      <c r="AV1478" s="479"/>
      <c r="AW1478" s="479"/>
      <c r="AX1478" s="442"/>
      <c r="AY1478" s="153"/>
      <c r="AZ1478" s="152"/>
      <c r="BA1478" s="152"/>
      <c r="BB1478" s="152"/>
      <c r="BC1478" s="152"/>
      <c r="BD1478" s="152"/>
      <c r="BE1478" s="152"/>
      <c r="BF1478" s="152"/>
      <c r="BG1478" s="152"/>
      <c r="BH1478" s="152"/>
      <c r="BI1478" s="153"/>
      <c r="BJ1478" s="153"/>
      <c r="BK1478" s="153"/>
      <c r="BL1478" s="153"/>
      <c r="BM1478" s="153"/>
      <c r="BN1478" s="153"/>
      <c r="BO1478" s="153"/>
      <c r="BP1478" s="153"/>
      <c r="BQ1478" s="153"/>
      <c r="BR1478" s="153"/>
      <c r="BS1478" s="153"/>
      <c r="BT1478" s="153"/>
      <c r="BU1478" s="153"/>
      <c r="BV1478" s="153"/>
      <c r="BW1478" s="153"/>
      <c r="BX1478" s="153"/>
      <c r="BY1478" s="153"/>
      <c r="BZ1478" s="153"/>
      <c r="CA1478" s="189"/>
      <c r="CB1478" s="152"/>
    </row>
    <row r="1479" spans="1:81" x14ac:dyDescent="0.2">
      <c r="A1479" s="152"/>
      <c r="B1479" s="683"/>
      <c r="C1479" s="683"/>
      <c r="D1479" s="698"/>
      <c r="E1479" s="215"/>
      <c r="F1479" s="215"/>
      <c r="G1479" s="153"/>
      <c r="H1479" s="153"/>
      <c r="I1479" s="150">
        <v>20</v>
      </c>
      <c r="J1479" s="150">
        <v>30</v>
      </c>
      <c r="K1479" s="150">
        <v>1</v>
      </c>
      <c r="L1479" s="656">
        <v>10</v>
      </c>
      <c r="M1479" s="654">
        <v>36337</v>
      </c>
      <c r="N1479" s="596">
        <v>17.896343999999999</v>
      </c>
      <c r="O1479" s="594">
        <v>8.9468324776329183E-2</v>
      </c>
      <c r="P1479" s="114">
        <v>0</v>
      </c>
      <c r="Q1479" s="114">
        <v>0.17528650502845566</v>
      </c>
      <c r="R1479" s="114">
        <v>0.23335152412879082</v>
      </c>
      <c r="S1479" s="114">
        <v>6.3073204958291107E-2</v>
      </c>
      <c r="T1479" s="114">
        <v>8.0508302798783807E-2</v>
      </c>
      <c r="U1479" s="114">
        <v>0.15043268106338195</v>
      </c>
      <c r="V1479" s="496">
        <v>0.16192406642239029</v>
      </c>
      <c r="W1479" s="496">
        <v>8.7870897325953087E-2</v>
      </c>
      <c r="X1479" s="496">
        <v>4.3545645903172996E-2</v>
      </c>
      <c r="Y1479" s="496">
        <v>4.0071723707803854E-3</v>
      </c>
      <c r="Z1479" s="187">
        <v>32</v>
      </c>
      <c r="AA1479" s="150"/>
      <c r="AB1479" s="21" t="s">
        <v>67</v>
      </c>
      <c r="AC1479" s="103"/>
      <c r="AD1479" s="186">
        <v>12.755880000000001</v>
      </c>
      <c r="AE1479" s="186">
        <v>0.81686400000000003</v>
      </c>
      <c r="AF1479" s="186">
        <v>10.423263875</v>
      </c>
      <c r="AG1479" s="186">
        <v>1.7739360000000002</v>
      </c>
      <c r="AH1479" s="336"/>
      <c r="AI1479" s="218"/>
      <c r="AJ1479" s="218"/>
      <c r="AK1479" s="153"/>
      <c r="AL1479" s="152"/>
      <c r="AM1479" s="152"/>
      <c r="AN1479" s="152"/>
      <c r="AO1479" s="152"/>
      <c r="AP1479" s="152"/>
      <c r="AQ1479" s="152"/>
      <c r="AR1479" s="152"/>
      <c r="AS1479" s="152"/>
      <c r="AT1479" s="152"/>
      <c r="AU1479" s="153"/>
      <c r="AV1479" s="479"/>
      <c r="AW1479" s="479"/>
      <c r="AX1479" s="442"/>
      <c r="AY1479" s="153"/>
      <c r="AZ1479" s="152"/>
      <c r="BA1479" s="152"/>
      <c r="BB1479" s="152"/>
      <c r="BC1479" s="152"/>
      <c r="BD1479" s="152"/>
      <c r="BE1479" s="152"/>
      <c r="BF1479" s="152"/>
      <c r="BG1479" s="152"/>
      <c r="BH1479" s="152"/>
      <c r="BI1479" s="153"/>
      <c r="BJ1479" s="153"/>
      <c r="BK1479" s="153"/>
      <c r="BL1479" s="153"/>
      <c r="BM1479" s="153"/>
      <c r="BN1479" s="153"/>
      <c r="BO1479" s="153"/>
      <c r="BP1479" s="153"/>
      <c r="BQ1479" s="153"/>
      <c r="BR1479" s="153"/>
      <c r="BS1479" s="153"/>
      <c r="BT1479" s="153"/>
      <c r="BU1479" s="153"/>
      <c r="BV1479" s="153"/>
      <c r="BW1479" s="153"/>
      <c r="BX1479" s="153"/>
      <c r="BY1479" s="153"/>
      <c r="BZ1479" s="153"/>
      <c r="CA1479" s="189"/>
      <c r="CB1479" s="152"/>
    </row>
    <row r="1480" spans="1:81" x14ac:dyDescent="0.2">
      <c r="A1480" s="152"/>
      <c r="B1480" s="683"/>
      <c r="C1480" s="683"/>
      <c r="D1480" s="698"/>
      <c r="E1480" s="215"/>
      <c r="F1480" s="215"/>
      <c r="G1480" s="153"/>
      <c r="H1480" s="153"/>
      <c r="I1480" s="150">
        <v>20</v>
      </c>
      <c r="J1480" s="150">
        <v>30</v>
      </c>
      <c r="K1480" s="150">
        <v>1</v>
      </c>
      <c r="L1480" s="656">
        <v>10</v>
      </c>
      <c r="M1480" s="654">
        <v>36337</v>
      </c>
      <c r="N1480" s="596">
        <v>17.556539999999998</v>
      </c>
      <c r="O1480" s="594">
        <v>6.032844884917888E-2</v>
      </c>
      <c r="P1480" s="114">
        <v>0</v>
      </c>
      <c r="Q1480" s="114">
        <v>0</v>
      </c>
      <c r="R1480" s="114">
        <v>0</v>
      </c>
      <c r="S1480" s="114">
        <v>5.0066826680725714E-2</v>
      </c>
      <c r="T1480" s="114">
        <v>0.10452247827554791</v>
      </c>
      <c r="U1480" s="114">
        <v>0.21920076214788811</v>
      </c>
      <c r="V1480" s="496">
        <v>0.31472823045724246</v>
      </c>
      <c r="W1480" s="496">
        <v>0.21701791140030802</v>
      </c>
      <c r="X1480" s="496">
        <v>8.9441384445338556E-2</v>
      </c>
      <c r="Y1480" s="496">
        <v>5.0224065929492081E-3</v>
      </c>
      <c r="Z1480" s="187">
        <v>11</v>
      </c>
      <c r="AA1480" s="150"/>
      <c r="AB1480" s="21" t="s">
        <v>67</v>
      </c>
      <c r="AC1480" s="103"/>
      <c r="AD1480" s="186">
        <v>12.755880000000001</v>
      </c>
      <c r="AE1480" s="186">
        <v>0.81686400000000003</v>
      </c>
      <c r="AF1480" s="186">
        <v>10.423263875</v>
      </c>
      <c r="AG1480" s="186">
        <v>1.7739360000000002</v>
      </c>
      <c r="AH1480" s="336"/>
      <c r="AI1480" s="218"/>
      <c r="AJ1480" s="218"/>
      <c r="AK1480" s="153"/>
      <c r="AL1480" s="152"/>
      <c r="AM1480" s="152"/>
      <c r="AN1480" s="152"/>
      <c r="AO1480" s="152"/>
      <c r="AP1480" s="152"/>
      <c r="AQ1480" s="152"/>
      <c r="AR1480" s="152"/>
      <c r="AS1480" s="152"/>
      <c r="AT1480" s="152"/>
      <c r="AU1480" s="153"/>
      <c r="AV1480" s="479"/>
      <c r="AW1480" s="479"/>
      <c r="AX1480" s="442"/>
      <c r="AY1480" s="153"/>
      <c r="AZ1480" s="152"/>
      <c r="BA1480" s="152"/>
      <c r="BB1480" s="152"/>
      <c r="BC1480" s="152"/>
      <c r="BD1480" s="152"/>
      <c r="BE1480" s="152"/>
      <c r="BF1480" s="152"/>
      <c r="BG1480" s="152"/>
      <c r="BH1480" s="152"/>
      <c r="BI1480" s="153"/>
      <c r="BJ1480" s="153"/>
      <c r="BK1480" s="153"/>
      <c r="BL1480" s="153"/>
      <c r="BM1480" s="153"/>
      <c r="BN1480" s="153"/>
      <c r="BO1480" s="153"/>
      <c r="BP1480" s="153"/>
      <c r="BQ1480" s="153"/>
      <c r="BR1480" s="153"/>
      <c r="BS1480" s="153"/>
      <c r="BT1480" s="153"/>
      <c r="BU1480" s="153"/>
      <c r="BV1480" s="153"/>
      <c r="BW1480" s="153"/>
      <c r="BX1480" s="153"/>
      <c r="BY1480" s="153"/>
      <c r="BZ1480" s="153"/>
      <c r="CA1480" s="189"/>
      <c r="CB1480" s="152"/>
    </row>
    <row r="1481" spans="1:81" x14ac:dyDescent="0.2">
      <c r="A1481" s="152"/>
      <c r="B1481" s="683"/>
      <c r="C1481" s="683"/>
      <c r="D1481" s="698"/>
      <c r="E1481" s="215"/>
      <c r="F1481" s="215"/>
      <c r="G1481" s="153"/>
      <c r="H1481" s="153"/>
      <c r="I1481" s="150">
        <v>20</v>
      </c>
      <c r="J1481" s="150">
        <v>30</v>
      </c>
      <c r="K1481" s="150">
        <v>1</v>
      </c>
      <c r="L1481" s="656">
        <v>10</v>
      </c>
      <c r="M1481" s="654">
        <v>36676</v>
      </c>
      <c r="N1481" s="596">
        <v>13.563842999999999</v>
      </c>
      <c r="O1481" s="594">
        <v>2.1362471946593822E-2</v>
      </c>
      <c r="P1481" s="114">
        <v>0</v>
      </c>
      <c r="Q1481" s="114">
        <v>0</v>
      </c>
      <c r="R1481" s="114">
        <v>0</v>
      </c>
      <c r="S1481" s="114">
        <v>0</v>
      </c>
      <c r="T1481" s="114">
        <v>2.3887263608818307E-2</v>
      </c>
      <c r="U1481" s="114">
        <v>0.11512642357120467</v>
      </c>
      <c r="V1481" s="496">
        <v>0.32086511336328494</v>
      </c>
      <c r="W1481" s="496">
        <v>0.35739473409257128</v>
      </c>
      <c r="X1481" s="496">
        <v>0.1715599205934594</v>
      </c>
      <c r="Y1481" s="496">
        <v>1.1166544770661374E-2</v>
      </c>
      <c r="Z1481" s="187">
        <v>7</v>
      </c>
      <c r="AA1481" s="150"/>
      <c r="AB1481" s="21" t="s">
        <v>67</v>
      </c>
      <c r="AC1481" s="103"/>
      <c r="AD1481" s="186">
        <v>12.755880000000001</v>
      </c>
      <c r="AE1481" s="186">
        <v>0.67665600000000015</v>
      </c>
      <c r="AF1481" s="186">
        <v>8.6406290000000006</v>
      </c>
      <c r="AG1481" s="186">
        <v>1.5697200000000002</v>
      </c>
      <c r="AH1481" s="336"/>
      <c r="AI1481" s="218"/>
      <c r="AJ1481" s="218"/>
      <c r="AK1481" s="153"/>
      <c r="AL1481" s="152"/>
      <c r="AM1481" s="152"/>
      <c r="AN1481" s="152"/>
      <c r="AO1481" s="152"/>
      <c r="AP1481" s="152"/>
      <c r="AQ1481" s="152"/>
      <c r="AR1481" s="152"/>
      <c r="AS1481" s="152"/>
      <c r="AT1481" s="152"/>
      <c r="AU1481" s="153"/>
      <c r="AV1481" s="479"/>
      <c r="AW1481" s="479"/>
      <c r="AX1481" s="442"/>
      <c r="AY1481" s="153"/>
      <c r="AZ1481" s="152"/>
      <c r="BA1481" s="152"/>
      <c r="BB1481" s="152"/>
      <c r="BC1481" s="152"/>
      <c r="BD1481" s="152"/>
      <c r="BE1481" s="152"/>
      <c r="BF1481" s="152"/>
      <c r="BG1481" s="152"/>
      <c r="BH1481" s="152"/>
      <c r="BI1481" s="153"/>
      <c r="BJ1481" s="153"/>
      <c r="BK1481" s="153"/>
      <c r="BL1481" s="153"/>
      <c r="BM1481" s="153"/>
      <c r="BN1481" s="153"/>
      <c r="BO1481" s="153"/>
      <c r="BP1481" s="153"/>
      <c r="BQ1481" s="153"/>
      <c r="BR1481" s="153"/>
      <c r="BS1481" s="153"/>
      <c r="BT1481" s="153"/>
      <c r="BU1481" s="153"/>
      <c r="BV1481" s="153"/>
      <c r="BW1481" s="153"/>
      <c r="BX1481" s="153"/>
      <c r="BY1481" s="153"/>
      <c r="BZ1481" s="153"/>
      <c r="CA1481" s="189"/>
      <c r="CB1481" s="152"/>
    </row>
    <row r="1482" spans="1:81" x14ac:dyDescent="0.2">
      <c r="A1482" s="152"/>
      <c r="B1482" s="683"/>
      <c r="C1482" s="683"/>
      <c r="D1482" s="698"/>
      <c r="E1482" s="215"/>
      <c r="F1482" s="215"/>
      <c r="G1482" s="153"/>
      <c r="H1482" s="153"/>
      <c r="I1482" s="150">
        <v>20</v>
      </c>
      <c r="J1482" s="150">
        <v>30</v>
      </c>
      <c r="K1482" s="150">
        <v>1</v>
      </c>
      <c r="L1482" s="656">
        <v>10</v>
      </c>
      <c r="M1482" s="654">
        <v>36676</v>
      </c>
      <c r="N1482" s="596">
        <v>13.563842999999999</v>
      </c>
      <c r="O1482" s="594">
        <v>3.2081093919797271E-2</v>
      </c>
      <c r="P1482" s="114">
        <v>0</v>
      </c>
      <c r="Q1482" s="114">
        <v>0</v>
      </c>
      <c r="R1482" s="114">
        <v>0</v>
      </c>
      <c r="S1482" s="114">
        <v>0</v>
      </c>
      <c r="T1482" s="114">
        <v>6.8217000330475008E-2</v>
      </c>
      <c r="U1482" s="114">
        <v>0.16134138068982309</v>
      </c>
      <c r="V1482" s="496">
        <v>0.33612787643713138</v>
      </c>
      <c r="W1482" s="496">
        <v>0.30086271372167045</v>
      </c>
      <c r="X1482" s="496">
        <v>0.12520654688396846</v>
      </c>
      <c r="Y1482" s="496">
        <v>8.2444819369314505E-3</v>
      </c>
      <c r="Z1482" s="187">
        <v>8</v>
      </c>
      <c r="AA1482" s="150"/>
      <c r="AB1482" s="21" t="s">
        <v>67</v>
      </c>
      <c r="AC1482" s="103"/>
      <c r="AD1482" s="186">
        <v>12.755880000000001</v>
      </c>
      <c r="AE1482" s="186">
        <v>0.67665600000000015</v>
      </c>
      <c r="AF1482" s="186">
        <v>8.6406290000000006</v>
      </c>
      <c r="AG1482" s="186">
        <v>1.5697200000000002</v>
      </c>
      <c r="AH1482" s="336"/>
      <c r="AI1482" s="218"/>
      <c r="AJ1482" s="218"/>
      <c r="AK1482" s="153"/>
      <c r="AL1482" s="152"/>
      <c r="AM1482" s="152"/>
      <c r="AN1482" s="152"/>
      <c r="AO1482" s="152"/>
      <c r="AP1482" s="152"/>
      <c r="AQ1482" s="152"/>
      <c r="AR1482" s="152"/>
      <c r="AS1482" s="152"/>
      <c r="AT1482" s="152"/>
      <c r="AU1482" s="153"/>
      <c r="AV1482" s="479"/>
      <c r="AW1482" s="479"/>
      <c r="AX1482" s="442"/>
      <c r="AY1482" s="153"/>
      <c r="AZ1482" s="152"/>
      <c r="BA1482" s="152"/>
      <c r="BB1482" s="152"/>
      <c r="BC1482" s="152"/>
      <c r="BD1482" s="152"/>
      <c r="BE1482" s="152"/>
      <c r="BF1482" s="152"/>
      <c r="BG1482" s="152"/>
      <c r="BH1482" s="152"/>
      <c r="BI1482" s="153"/>
      <c r="BJ1482" s="153"/>
      <c r="BK1482" s="153"/>
      <c r="BL1482" s="153"/>
      <c r="BM1482" s="153"/>
      <c r="BN1482" s="153"/>
      <c r="BO1482" s="153"/>
      <c r="BP1482" s="153"/>
      <c r="BQ1482" s="153"/>
      <c r="BR1482" s="153"/>
      <c r="BS1482" s="153"/>
      <c r="BT1482" s="153"/>
      <c r="BU1482" s="153"/>
      <c r="BV1482" s="153"/>
      <c r="BW1482" s="153"/>
      <c r="BX1482" s="153"/>
      <c r="BY1482" s="153"/>
      <c r="BZ1482" s="153"/>
      <c r="CA1482" s="189"/>
      <c r="CB1482" s="152"/>
      <c r="CC1482" s="127"/>
    </row>
    <row r="1483" spans="1:81" x14ac:dyDescent="0.2">
      <c r="A1483" s="152"/>
      <c r="B1483" s="683"/>
      <c r="C1483" s="683"/>
      <c r="D1483" s="698"/>
      <c r="E1483" s="215"/>
      <c r="F1483" s="215"/>
      <c r="G1483" s="153"/>
      <c r="H1483" s="153"/>
      <c r="I1483" s="150">
        <v>20</v>
      </c>
      <c r="J1483" s="150">
        <v>30</v>
      </c>
      <c r="K1483" s="150">
        <v>1</v>
      </c>
      <c r="L1483" s="656">
        <v>10</v>
      </c>
      <c r="M1483" s="654">
        <v>36677</v>
      </c>
      <c r="N1483" s="596">
        <v>12.544430999999999</v>
      </c>
      <c r="O1483" s="594">
        <v>5.3668718865828205E-2</v>
      </c>
      <c r="P1483" s="114">
        <v>0</v>
      </c>
      <c r="Q1483" s="114">
        <v>0</v>
      </c>
      <c r="R1483" s="114">
        <v>0</v>
      </c>
      <c r="S1483" s="114">
        <v>5.1840029943699607E-2</v>
      </c>
      <c r="T1483" s="114">
        <v>6.4113827646976249E-2</v>
      </c>
      <c r="U1483" s="114">
        <v>0.20234351037892298</v>
      </c>
      <c r="V1483" s="496">
        <v>0.31753837836151821</v>
      </c>
      <c r="W1483" s="496">
        <v>0.26683683282993953</v>
      </c>
      <c r="X1483" s="496">
        <v>9.2768284631500164E-2</v>
      </c>
      <c r="Y1483" s="496">
        <v>4.5591362074432979E-3</v>
      </c>
      <c r="Z1483" s="187">
        <v>20</v>
      </c>
      <c r="AA1483" s="150"/>
      <c r="AB1483" s="21" t="s">
        <v>67</v>
      </c>
      <c r="AC1483" s="103"/>
      <c r="AD1483" s="186">
        <v>12.755880000000001</v>
      </c>
      <c r="AE1483" s="186">
        <v>0.64008000000000009</v>
      </c>
      <c r="AF1483" s="186">
        <v>8.1566200000000002</v>
      </c>
      <c r="AG1483" s="186">
        <v>1.4813280000000002</v>
      </c>
      <c r="AH1483" s="336"/>
      <c r="AI1483" s="218"/>
      <c r="AJ1483" s="218"/>
      <c r="AK1483" s="153"/>
      <c r="AL1483" s="152"/>
      <c r="AM1483" s="152"/>
      <c r="AN1483" s="152"/>
      <c r="AO1483" s="152"/>
      <c r="AP1483" s="152"/>
      <c r="AQ1483" s="152"/>
      <c r="AR1483" s="152"/>
      <c r="AS1483" s="152"/>
      <c r="AT1483" s="152"/>
      <c r="AU1483" s="153"/>
      <c r="AV1483" s="479"/>
      <c r="AW1483" s="479"/>
      <c r="AX1483" s="442"/>
      <c r="AY1483" s="153"/>
      <c r="AZ1483" s="152"/>
      <c r="BA1483" s="152"/>
      <c r="BB1483" s="152"/>
      <c r="BC1483" s="152"/>
      <c r="BD1483" s="152"/>
      <c r="BE1483" s="152"/>
      <c r="BF1483" s="152"/>
      <c r="BG1483" s="152"/>
      <c r="BH1483" s="152"/>
      <c r="BI1483" s="153"/>
      <c r="BJ1483" s="153"/>
      <c r="BK1483" s="153"/>
      <c r="BL1483" s="153"/>
      <c r="BM1483" s="153"/>
      <c r="BN1483" s="153"/>
      <c r="BO1483" s="153"/>
      <c r="BP1483" s="153"/>
      <c r="BQ1483" s="153"/>
      <c r="BR1483" s="153"/>
      <c r="BS1483" s="153"/>
      <c r="BT1483" s="153"/>
      <c r="BU1483" s="153"/>
      <c r="BV1483" s="153"/>
      <c r="BW1483" s="153"/>
      <c r="BX1483" s="153"/>
      <c r="BY1483" s="153"/>
      <c r="BZ1483" s="153"/>
      <c r="CA1483" s="189"/>
      <c r="CB1483" s="152"/>
      <c r="CC1483" s="127"/>
    </row>
    <row r="1484" spans="1:81" x14ac:dyDescent="0.2">
      <c r="A1484" s="152"/>
      <c r="B1484" s="683"/>
      <c r="C1484" s="683"/>
      <c r="D1484" s="698"/>
      <c r="E1484" s="215"/>
      <c r="F1484" s="215"/>
      <c r="G1484" s="153"/>
      <c r="H1484" s="153"/>
      <c r="I1484" s="150">
        <v>20</v>
      </c>
      <c r="J1484" s="150">
        <v>30</v>
      </c>
      <c r="K1484" s="150">
        <v>1</v>
      </c>
      <c r="L1484" s="656">
        <v>10</v>
      </c>
      <c r="M1484" s="654">
        <v>36677</v>
      </c>
      <c r="N1484" s="596">
        <v>12.544430999999999</v>
      </c>
      <c r="O1484" s="594">
        <v>4.1494832896262913E-2</v>
      </c>
      <c r="P1484" s="114">
        <v>0</v>
      </c>
      <c r="Q1484" s="114">
        <v>0</v>
      </c>
      <c r="R1484" s="114">
        <v>0</v>
      </c>
      <c r="S1484" s="114">
        <v>7.8519703886987591E-2</v>
      </c>
      <c r="T1484" s="114">
        <v>0.14671848420259939</v>
      </c>
      <c r="U1484" s="114">
        <v>0.2355456642035407</v>
      </c>
      <c r="V1484" s="496">
        <v>0.29338990230422179</v>
      </c>
      <c r="W1484" s="496">
        <v>0.17676010408332052</v>
      </c>
      <c r="X1484" s="496">
        <v>6.439314986518925E-2</v>
      </c>
      <c r="Y1484" s="496">
        <v>4.6729914541408079E-3</v>
      </c>
      <c r="Z1484" s="187">
        <v>10</v>
      </c>
      <c r="AA1484" s="150"/>
      <c r="AB1484" s="21" t="s">
        <v>67</v>
      </c>
      <c r="AC1484" s="103"/>
      <c r="AD1484" s="186">
        <v>12.755880000000001</v>
      </c>
      <c r="AE1484" s="186">
        <v>0.64008000000000009</v>
      </c>
      <c r="AF1484" s="186">
        <v>8.1566200000000002</v>
      </c>
      <c r="AG1484" s="186">
        <v>1.4813280000000002</v>
      </c>
      <c r="AH1484" s="336"/>
      <c r="AI1484" s="218"/>
      <c r="AJ1484" s="218"/>
      <c r="AK1484" s="153"/>
      <c r="AL1484" s="152"/>
      <c r="AM1484" s="152"/>
      <c r="AN1484" s="152"/>
      <c r="AO1484" s="152"/>
      <c r="AP1484" s="152"/>
      <c r="AQ1484" s="152"/>
      <c r="AR1484" s="152"/>
      <c r="AS1484" s="152"/>
      <c r="AT1484" s="152"/>
      <c r="AU1484" s="153"/>
      <c r="AV1484" s="479"/>
      <c r="AW1484" s="479"/>
      <c r="AX1484" s="442"/>
      <c r="AY1484" s="153"/>
      <c r="AZ1484" s="152"/>
      <c r="BA1484" s="152"/>
      <c r="BB1484" s="152"/>
      <c r="BC1484" s="152"/>
      <c r="BD1484" s="152"/>
      <c r="BE1484" s="152"/>
      <c r="BF1484" s="152"/>
      <c r="BG1484" s="152"/>
      <c r="BH1484" s="152"/>
      <c r="BI1484" s="153"/>
      <c r="BJ1484" s="153"/>
      <c r="BK1484" s="153"/>
      <c r="BL1484" s="153"/>
      <c r="BM1484" s="153"/>
      <c r="BN1484" s="153"/>
      <c r="BO1484" s="153"/>
      <c r="BP1484" s="153"/>
      <c r="BQ1484" s="153"/>
      <c r="BR1484" s="153"/>
      <c r="BS1484" s="153"/>
      <c r="BT1484" s="153"/>
      <c r="BU1484" s="153"/>
      <c r="BV1484" s="153"/>
      <c r="BW1484" s="153"/>
      <c r="BX1484" s="153"/>
      <c r="BY1484" s="153"/>
      <c r="BZ1484" s="153"/>
      <c r="CA1484" s="189"/>
      <c r="CB1484" s="152"/>
      <c r="CC1484" s="127"/>
    </row>
    <row r="1485" spans="1:81" x14ac:dyDescent="0.2">
      <c r="A1485" s="152"/>
      <c r="B1485" s="683"/>
      <c r="C1485" s="683"/>
      <c r="D1485" s="698"/>
      <c r="E1485" s="215"/>
      <c r="F1485" s="215"/>
      <c r="G1485" s="153"/>
      <c r="H1485" s="153"/>
      <c r="I1485" s="150">
        <v>20</v>
      </c>
      <c r="J1485" s="150">
        <v>30</v>
      </c>
      <c r="K1485" s="150">
        <v>1</v>
      </c>
      <c r="L1485" s="656">
        <v>10</v>
      </c>
      <c r="M1485" s="654">
        <v>36677</v>
      </c>
      <c r="N1485" s="596">
        <v>12.261260999999999</v>
      </c>
      <c r="O1485" s="594">
        <v>2.1670487945823786E-2</v>
      </c>
      <c r="P1485" s="114">
        <v>0</v>
      </c>
      <c r="Q1485" s="114">
        <v>0</v>
      </c>
      <c r="R1485" s="114">
        <v>0</v>
      </c>
      <c r="S1485" s="114">
        <v>8.7161396642290636E-3</v>
      </c>
      <c r="T1485" s="114">
        <v>1.3389638479761041E-2</v>
      </c>
      <c r="U1485" s="114">
        <v>9.0959419095684377E-2</v>
      </c>
      <c r="V1485" s="496">
        <v>0.33605417653723335</v>
      </c>
      <c r="W1485" s="496">
        <v>0.39172417344731675</v>
      </c>
      <c r="X1485" s="496">
        <v>0.15194664744051906</v>
      </c>
      <c r="Y1485" s="496">
        <v>7.2098053352559468E-3</v>
      </c>
      <c r="Z1485" s="187">
        <v>7</v>
      </c>
      <c r="AA1485" s="150"/>
      <c r="AB1485" s="21" t="s">
        <v>67</v>
      </c>
      <c r="AC1485" s="103"/>
      <c r="AD1485" s="186">
        <v>12.755880000000001</v>
      </c>
      <c r="AE1485" s="186">
        <v>0.64008000000000009</v>
      </c>
      <c r="AF1485" s="186">
        <v>8.1566200000000002</v>
      </c>
      <c r="AG1485" s="186">
        <v>1.4813280000000002</v>
      </c>
      <c r="AH1485" s="336"/>
      <c r="AI1485" s="218"/>
      <c r="AJ1485" s="218"/>
      <c r="AK1485" s="153"/>
      <c r="AL1485" s="152"/>
      <c r="AM1485" s="152"/>
      <c r="AN1485" s="152"/>
      <c r="AO1485" s="152"/>
      <c r="AP1485" s="152"/>
      <c r="AQ1485" s="152"/>
      <c r="AR1485" s="152"/>
      <c r="AS1485" s="152"/>
      <c r="AT1485" s="152"/>
      <c r="AU1485" s="153"/>
      <c r="AV1485" s="479"/>
      <c r="AW1485" s="479"/>
      <c r="AX1485" s="442"/>
      <c r="AY1485" s="153"/>
      <c r="AZ1485" s="152"/>
      <c r="BA1485" s="152"/>
      <c r="BB1485" s="152"/>
      <c r="BC1485" s="152"/>
      <c r="BD1485" s="152"/>
      <c r="BE1485" s="152"/>
      <c r="BF1485" s="152"/>
      <c r="BG1485" s="152"/>
      <c r="BH1485" s="152"/>
      <c r="BI1485" s="153"/>
      <c r="BJ1485" s="153"/>
      <c r="BK1485" s="153"/>
      <c r="BL1485" s="153"/>
      <c r="BM1485" s="153"/>
      <c r="BN1485" s="153"/>
      <c r="BO1485" s="153"/>
      <c r="BP1485" s="153"/>
      <c r="BQ1485" s="153"/>
      <c r="BR1485" s="153"/>
      <c r="BS1485" s="153"/>
      <c r="BT1485" s="153"/>
      <c r="BU1485" s="153"/>
      <c r="BV1485" s="153"/>
      <c r="BW1485" s="153"/>
      <c r="BX1485" s="153"/>
      <c r="BY1485" s="153"/>
      <c r="BZ1485" s="153"/>
      <c r="CA1485" s="189"/>
      <c r="CB1485" s="152"/>
      <c r="CC1485" s="127"/>
    </row>
    <row r="1486" spans="1:81" x14ac:dyDescent="0.2">
      <c r="A1486" s="152"/>
      <c r="B1486" s="683"/>
      <c r="C1486" s="683"/>
      <c r="D1486" s="698"/>
      <c r="E1486" s="215"/>
      <c r="F1486" s="215"/>
      <c r="G1486" s="153"/>
      <c r="H1486" s="153"/>
      <c r="I1486" s="150">
        <v>20</v>
      </c>
      <c r="J1486" s="150">
        <v>30</v>
      </c>
      <c r="K1486" s="150">
        <v>1</v>
      </c>
      <c r="L1486" s="656">
        <v>10</v>
      </c>
      <c r="M1486" s="654">
        <v>36677</v>
      </c>
      <c r="N1486" s="596">
        <v>12.261260999999999</v>
      </c>
      <c r="O1486" s="594">
        <v>0.11049711272375723</v>
      </c>
      <c r="P1486" s="114">
        <v>0</v>
      </c>
      <c r="Q1486" s="114">
        <v>0</v>
      </c>
      <c r="R1486" s="114">
        <v>0.17645380472519673</v>
      </c>
      <c r="S1486" s="114">
        <v>9.1165947475930875E-2</v>
      </c>
      <c r="T1486" s="114">
        <v>8.0705067832858218E-2</v>
      </c>
      <c r="U1486" s="114">
        <v>0.20325870414370009</v>
      </c>
      <c r="V1486" s="496">
        <v>0.22903847270652214</v>
      </c>
      <c r="W1486" s="496">
        <v>0.16242264175716517</v>
      </c>
      <c r="X1486" s="496">
        <v>5.3640098271164789E-2</v>
      </c>
      <c r="Y1486" s="496">
        <v>3.3152630874618417E-3</v>
      </c>
      <c r="Z1486" s="187">
        <v>31</v>
      </c>
      <c r="AA1486" s="150"/>
      <c r="AB1486" s="21" t="s">
        <v>67</v>
      </c>
      <c r="AC1486" s="103"/>
      <c r="AD1486" s="186">
        <v>12.755880000000001</v>
      </c>
      <c r="AE1486" s="186">
        <v>0.64008000000000009</v>
      </c>
      <c r="AF1486" s="186">
        <v>8.1566200000000002</v>
      </c>
      <c r="AG1486" s="186">
        <v>1.4813280000000002</v>
      </c>
      <c r="AH1486" s="336"/>
      <c r="AI1486" s="218"/>
      <c r="AJ1486" s="218"/>
      <c r="AK1486" s="153"/>
      <c r="AL1486" s="152"/>
      <c r="AM1486" s="152"/>
      <c r="AN1486" s="152"/>
      <c r="AO1486" s="152"/>
      <c r="AP1486" s="152"/>
      <c r="AQ1486" s="152"/>
      <c r="AR1486" s="152"/>
      <c r="AS1486" s="152"/>
      <c r="AT1486" s="152"/>
      <c r="AU1486" s="153"/>
      <c r="AV1486" s="479"/>
      <c r="AW1486" s="479"/>
      <c r="AX1486" s="442"/>
      <c r="AY1486" s="153"/>
      <c r="AZ1486" s="152"/>
      <c r="BA1486" s="152"/>
      <c r="BB1486" s="152"/>
      <c r="BC1486" s="152"/>
      <c r="BD1486" s="152"/>
      <c r="BE1486" s="152"/>
      <c r="BF1486" s="152"/>
      <c r="BG1486" s="152"/>
      <c r="BH1486" s="152"/>
      <c r="BI1486" s="153"/>
      <c r="BJ1486" s="153"/>
      <c r="BK1486" s="153"/>
      <c r="BL1486" s="153"/>
      <c r="BM1486" s="153"/>
      <c r="BN1486" s="153"/>
      <c r="BO1486" s="153"/>
      <c r="BP1486" s="153"/>
      <c r="BQ1486" s="153"/>
      <c r="BR1486" s="153"/>
      <c r="BS1486" s="153"/>
      <c r="BT1486" s="153"/>
      <c r="BU1486" s="153"/>
      <c r="BV1486" s="153"/>
      <c r="BW1486" s="153"/>
      <c r="BX1486" s="153"/>
      <c r="BY1486" s="153"/>
      <c r="BZ1486" s="153"/>
      <c r="CA1486" s="189"/>
      <c r="CB1486" s="152"/>
      <c r="CC1486" s="127"/>
    </row>
    <row r="1487" spans="1:81" x14ac:dyDescent="0.2">
      <c r="A1487" s="152"/>
      <c r="B1487" s="683"/>
      <c r="C1487" s="683"/>
      <c r="D1487" s="698"/>
      <c r="E1487" s="215"/>
      <c r="F1487" s="215"/>
      <c r="G1487" s="153"/>
      <c r="H1487" s="153"/>
      <c r="I1487" s="150">
        <v>20</v>
      </c>
      <c r="J1487" s="150">
        <v>30</v>
      </c>
      <c r="K1487" s="150">
        <v>1</v>
      </c>
      <c r="L1487" s="656">
        <v>10</v>
      </c>
      <c r="M1487" s="657">
        <v>36678</v>
      </c>
      <c r="N1487" s="596">
        <v>11.694920999999999</v>
      </c>
      <c r="O1487" s="594">
        <v>1.7051363957371592E-2</v>
      </c>
      <c r="P1487" s="114">
        <v>0</v>
      </c>
      <c r="Q1487" s="114">
        <v>0</v>
      </c>
      <c r="R1487" s="114">
        <v>0</v>
      </c>
      <c r="S1487" s="114">
        <v>0</v>
      </c>
      <c r="T1487" s="114">
        <v>2.2563649453498268E-2</v>
      </c>
      <c r="U1487" s="114">
        <v>8.5738595457817923E-2</v>
      </c>
      <c r="V1487" s="496">
        <v>0.28683159892663135</v>
      </c>
      <c r="W1487" s="496">
        <v>0.41151253354277112</v>
      </c>
      <c r="X1487" s="496">
        <v>0.18412526997840176</v>
      </c>
      <c r="Y1487" s="496">
        <v>9.228352640879638E-3</v>
      </c>
      <c r="Z1487" s="187">
        <v>7</v>
      </c>
      <c r="AA1487" s="150"/>
      <c r="AB1487" s="21" t="s">
        <v>67</v>
      </c>
      <c r="AC1487" s="103"/>
      <c r="AD1487" s="186">
        <v>12.755880000000001</v>
      </c>
      <c r="AE1487" s="221"/>
      <c r="AF1487" s="221"/>
      <c r="AG1487" s="221"/>
      <c r="AH1487" s="339"/>
      <c r="AI1487" s="218"/>
      <c r="AJ1487" s="218"/>
      <c r="AK1487" s="153"/>
      <c r="AL1487" s="152"/>
      <c r="AM1487" s="152"/>
      <c r="AN1487" s="152"/>
      <c r="AO1487" s="152"/>
      <c r="AP1487" s="152"/>
      <c r="AQ1487" s="152"/>
      <c r="AR1487" s="152"/>
      <c r="AS1487" s="152"/>
      <c r="AT1487" s="152"/>
      <c r="AU1487" s="153"/>
      <c r="AV1487" s="479"/>
      <c r="AW1487" s="479"/>
      <c r="AX1487" s="442"/>
      <c r="AY1487" s="153"/>
      <c r="AZ1487" s="152"/>
      <c r="BA1487" s="152"/>
      <c r="BB1487" s="152"/>
      <c r="BC1487" s="152"/>
      <c r="BD1487" s="152"/>
      <c r="BE1487" s="152"/>
      <c r="BF1487" s="152"/>
      <c r="BG1487" s="152"/>
      <c r="BH1487" s="152"/>
      <c r="BI1487" s="153"/>
      <c r="BJ1487" s="153"/>
      <c r="BK1487" s="153"/>
      <c r="BL1487" s="153"/>
      <c r="BM1487" s="153"/>
      <c r="BN1487" s="153"/>
      <c r="BO1487" s="153"/>
      <c r="BP1487" s="153"/>
      <c r="BQ1487" s="153"/>
      <c r="BR1487" s="153"/>
      <c r="BS1487" s="153"/>
      <c r="BT1487" s="153"/>
      <c r="BU1487" s="153"/>
      <c r="BV1487" s="153"/>
      <c r="BW1487" s="153"/>
      <c r="BX1487" s="153"/>
      <c r="BY1487" s="153"/>
      <c r="BZ1487" s="153"/>
      <c r="CA1487" s="189"/>
      <c r="CB1487" s="152"/>
      <c r="CC1487" s="127"/>
    </row>
    <row r="1488" spans="1:81" x14ac:dyDescent="0.2">
      <c r="A1488" s="152"/>
      <c r="B1488" s="683"/>
      <c r="C1488" s="683"/>
      <c r="D1488" s="698"/>
      <c r="E1488" s="215"/>
      <c r="F1488" s="215"/>
      <c r="G1488" s="153"/>
      <c r="H1488" s="153"/>
      <c r="I1488" s="150">
        <v>20</v>
      </c>
      <c r="J1488" s="150">
        <v>30</v>
      </c>
      <c r="K1488" s="150">
        <v>1</v>
      </c>
      <c r="L1488" s="656">
        <v>10</v>
      </c>
      <c r="M1488" s="657">
        <v>36678</v>
      </c>
      <c r="N1488" s="596">
        <v>11.553336</v>
      </c>
      <c r="O1488" s="594">
        <v>1.3782599965543501E-2</v>
      </c>
      <c r="P1488" s="114">
        <v>0</v>
      </c>
      <c r="Q1488" s="114">
        <v>0</v>
      </c>
      <c r="R1488" s="114">
        <v>0</v>
      </c>
      <c r="S1488" s="114">
        <v>0</v>
      </c>
      <c r="T1488" s="114">
        <v>4.4939271255060732E-2</v>
      </c>
      <c r="U1488" s="114">
        <v>0.148582995951417</v>
      </c>
      <c r="V1488" s="496">
        <v>0.3168016194331984</v>
      </c>
      <c r="W1488" s="496">
        <v>0.33522267206477735</v>
      </c>
      <c r="X1488" s="496">
        <v>0.14534412955465584</v>
      </c>
      <c r="Y1488" s="496">
        <v>9.1093117408906875E-3</v>
      </c>
      <c r="Z1488" s="187">
        <v>6</v>
      </c>
      <c r="AA1488" s="150"/>
      <c r="AB1488" s="21" t="s">
        <v>67</v>
      </c>
      <c r="AC1488" s="103"/>
      <c r="AD1488" s="186">
        <v>12.755880000000001</v>
      </c>
      <c r="AE1488" s="221"/>
      <c r="AF1488" s="221"/>
      <c r="AG1488" s="221"/>
      <c r="AH1488" s="339"/>
      <c r="AI1488" s="218"/>
      <c r="AJ1488" s="218"/>
      <c r="AK1488" s="153"/>
      <c r="AL1488" s="152"/>
      <c r="AM1488" s="152"/>
      <c r="AN1488" s="152"/>
      <c r="AO1488" s="152"/>
      <c r="AP1488" s="152"/>
      <c r="AQ1488" s="152"/>
      <c r="AR1488" s="152"/>
      <c r="AS1488" s="152"/>
      <c r="AT1488" s="152"/>
      <c r="AU1488" s="153"/>
      <c r="AV1488" s="479"/>
      <c r="AW1488" s="479"/>
      <c r="AX1488" s="442"/>
      <c r="AY1488" s="153"/>
      <c r="AZ1488" s="152"/>
      <c r="BA1488" s="152"/>
      <c r="BB1488" s="152"/>
      <c r="BC1488" s="152"/>
      <c r="BD1488" s="152"/>
      <c r="BE1488" s="152"/>
      <c r="BF1488" s="152"/>
      <c r="BG1488" s="152"/>
      <c r="BH1488" s="152"/>
      <c r="BI1488" s="153"/>
      <c r="BJ1488" s="153"/>
      <c r="BK1488" s="153"/>
      <c r="BL1488" s="153"/>
      <c r="BM1488" s="153"/>
      <c r="BN1488" s="153"/>
      <c r="BO1488" s="153"/>
      <c r="BP1488" s="153"/>
      <c r="BQ1488" s="153"/>
      <c r="BR1488" s="153"/>
      <c r="BS1488" s="153"/>
      <c r="BT1488" s="153"/>
      <c r="BU1488" s="153"/>
      <c r="BV1488" s="153"/>
      <c r="BW1488" s="153"/>
      <c r="BX1488" s="153"/>
      <c r="BY1488" s="153"/>
      <c r="BZ1488" s="153"/>
      <c r="CA1488" s="189"/>
      <c r="CB1488" s="152"/>
      <c r="CC1488" s="127"/>
    </row>
    <row r="1489" spans="1:81" x14ac:dyDescent="0.2">
      <c r="A1489" s="152"/>
      <c r="B1489" s="683"/>
      <c r="C1489" s="683"/>
      <c r="D1489" s="698"/>
      <c r="E1489" s="215"/>
      <c r="F1489" s="215"/>
      <c r="G1489" s="153"/>
      <c r="H1489" s="153"/>
      <c r="I1489" s="150">
        <v>20</v>
      </c>
      <c r="J1489" s="150">
        <v>30</v>
      </c>
      <c r="K1489" s="150">
        <v>1</v>
      </c>
      <c r="L1489" s="656">
        <v>10</v>
      </c>
      <c r="M1489" s="657">
        <v>36678</v>
      </c>
      <c r="N1489" s="596">
        <v>11.553336</v>
      </c>
      <c r="O1489" s="594">
        <v>2.3471711941320715E-2</v>
      </c>
      <c r="P1489" s="114">
        <v>0</v>
      </c>
      <c r="Q1489" s="114">
        <v>0</v>
      </c>
      <c r="R1489" s="114">
        <v>0.49935812095853938</v>
      </c>
      <c r="S1489" s="114">
        <v>0</v>
      </c>
      <c r="T1489" s="114">
        <v>1.4668124762267023E-2</v>
      </c>
      <c r="U1489" s="114">
        <v>7.5183054393305457E-2</v>
      </c>
      <c r="V1489" s="496">
        <v>0.1681485355648536</v>
      </c>
      <c r="W1489" s="496">
        <v>0.16524819322936485</v>
      </c>
      <c r="X1489" s="496">
        <v>7.2841384556865743E-2</v>
      </c>
      <c r="Y1489" s="496">
        <v>4.5525865348041089E-3</v>
      </c>
      <c r="Z1489" s="187">
        <v>24</v>
      </c>
      <c r="AA1489" s="150"/>
      <c r="AB1489" s="21" t="s">
        <v>67</v>
      </c>
      <c r="AC1489" s="103"/>
      <c r="AD1489" s="186">
        <v>12.755880000000001</v>
      </c>
      <c r="AE1489" s="221"/>
      <c r="AF1489" s="221"/>
      <c r="AG1489" s="221"/>
      <c r="AH1489" s="339"/>
      <c r="AI1489" s="218"/>
      <c r="AJ1489" s="218"/>
      <c r="AK1489" s="153"/>
      <c r="AL1489" s="152"/>
      <c r="AM1489" s="152"/>
      <c r="AN1489" s="152"/>
      <c r="AO1489" s="152"/>
      <c r="AP1489" s="152"/>
      <c r="AQ1489" s="152"/>
      <c r="AR1489" s="152"/>
      <c r="AS1489" s="152"/>
      <c r="AT1489" s="152"/>
      <c r="AU1489" s="153"/>
      <c r="AV1489" s="479"/>
      <c r="AW1489" s="479"/>
      <c r="AX1489" s="442"/>
      <c r="AY1489" s="153"/>
      <c r="AZ1489" s="152"/>
      <c r="BA1489" s="152"/>
      <c r="BB1489" s="152"/>
      <c r="BC1489" s="152"/>
      <c r="BD1489" s="152"/>
      <c r="BE1489" s="152"/>
      <c r="BF1489" s="152"/>
      <c r="BG1489" s="152"/>
      <c r="BH1489" s="152"/>
      <c r="BI1489" s="153"/>
      <c r="BJ1489" s="153"/>
      <c r="BK1489" s="153"/>
      <c r="BL1489" s="153"/>
      <c r="BM1489" s="153"/>
      <c r="BN1489" s="153"/>
      <c r="BO1489" s="153"/>
      <c r="BP1489" s="153"/>
      <c r="BQ1489" s="153"/>
      <c r="BR1489" s="153"/>
      <c r="BS1489" s="153"/>
      <c r="BT1489" s="153"/>
      <c r="BU1489" s="153"/>
      <c r="BV1489" s="153"/>
      <c r="BW1489" s="153"/>
      <c r="BX1489" s="153"/>
      <c r="BY1489" s="153"/>
      <c r="BZ1489" s="153"/>
      <c r="CA1489" s="189"/>
      <c r="CB1489" s="152"/>
      <c r="CC1489" s="127"/>
    </row>
    <row r="1490" spans="1:81" x14ac:dyDescent="0.2">
      <c r="A1490" s="152"/>
      <c r="B1490" s="683"/>
      <c r="C1490" s="683"/>
      <c r="D1490" s="698"/>
      <c r="E1490" s="215"/>
      <c r="F1490" s="215"/>
      <c r="G1490" s="153"/>
      <c r="H1490" s="153"/>
      <c r="I1490" s="150">
        <v>20</v>
      </c>
      <c r="J1490" s="150">
        <v>30</v>
      </c>
      <c r="K1490" s="150">
        <v>1</v>
      </c>
      <c r="L1490" s="656">
        <v>10</v>
      </c>
      <c r="M1490" s="657">
        <v>36678</v>
      </c>
      <c r="N1490" s="596">
        <v>11.694920999999999</v>
      </c>
      <c r="O1490" s="594">
        <v>0.10454129973864675</v>
      </c>
      <c r="P1490" s="114">
        <v>0</v>
      </c>
      <c r="Q1490" s="114">
        <v>0</v>
      </c>
      <c r="R1490" s="114">
        <v>0.15092073658927144</v>
      </c>
      <c r="S1490" s="114">
        <v>7.1070189484921276E-2</v>
      </c>
      <c r="T1490" s="114">
        <v>8.3453429410194832E-2</v>
      </c>
      <c r="U1490" s="114">
        <v>0.17894315452361892</v>
      </c>
      <c r="V1490" s="496">
        <v>0.27953029089938619</v>
      </c>
      <c r="W1490" s="496">
        <v>0.17982385908726978</v>
      </c>
      <c r="X1490" s="496">
        <v>5.3669602348545509E-2</v>
      </c>
      <c r="Y1490" s="496">
        <v>2.5887376567921005E-3</v>
      </c>
      <c r="Z1490" s="187">
        <v>28</v>
      </c>
      <c r="AA1490" s="150"/>
      <c r="AB1490" s="21" t="s">
        <v>67</v>
      </c>
      <c r="AC1490" s="103"/>
      <c r="AD1490" s="186">
        <v>12.755880000000001</v>
      </c>
      <c r="AE1490" s="221"/>
      <c r="AF1490" s="221"/>
      <c r="AG1490" s="221"/>
      <c r="AH1490" s="339"/>
      <c r="AI1490" s="218"/>
      <c r="AJ1490" s="218"/>
      <c r="AK1490" s="153"/>
      <c r="AL1490" s="152"/>
      <c r="AM1490" s="152"/>
      <c r="AN1490" s="152"/>
      <c r="AO1490" s="152"/>
      <c r="AP1490" s="152"/>
      <c r="AQ1490" s="152"/>
      <c r="AR1490" s="152"/>
      <c r="AS1490" s="152"/>
      <c r="AT1490" s="152"/>
      <c r="AU1490" s="153"/>
      <c r="AV1490" s="479"/>
      <c r="AW1490" s="479"/>
      <c r="AX1490" s="442"/>
      <c r="AY1490" s="153"/>
      <c r="AZ1490" s="152"/>
      <c r="BA1490" s="152"/>
      <c r="BB1490" s="152"/>
      <c r="BC1490" s="152"/>
      <c r="BD1490" s="152"/>
      <c r="BE1490" s="152"/>
      <c r="BF1490" s="152"/>
      <c r="BG1490" s="152"/>
      <c r="BH1490" s="152"/>
      <c r="BI1490" s="153"/>
      <c r="BJ1490" s="153"/>
      <c r="BK1490" s="153"/>
      <c r="BL1490" s="153"/>
      <c r="BM1490" s="153"/>
      <c r="BN1490" s="153"/>
      <c r="BO1490" s="153"/>
      <c r="BP1490" s="153"/>
      <c r="BQ1490" s="153"/>
      <c r="BR1490" s="153"/>
      <c r="BS1490" s="153"/>
      <c r="BT1490" s="153"/>
      <c r="BU1490" s="153"/>
      <c r="BV1490" s="153"/>
      <c r="BW1490" s="153"/>
      <c r="BX1490" s="153"/>
      <c r="BY1490" s="153"/>
      <c r="BZ1490" s="153"/>
      <c r="CA1490" s="189"/>
      <c r="CB1490" s="152"/>
      <c r="CC1490" s="127"/>
    </row>
    <row r="1491" spans="1:81" x14ac:dyDescent="0.2">
      <c r="A1491" s="152"/>
      <c r="B1491" s="683"/>
      <c r="C1491" s="683"/>
      <c r="D1491" s="698"/>
      <c r="E1491" s="215"/>
      <c r="F1491" s="215"/>
      <c r="G1491" s="153"/>
      <c r="H1491" s="153"/>
      <c r="I1491" s="150">
        <v>20</v>
      </c>
      <c r="J1491" s="150">
        <v>30</v>
      </c>
      <c r="K1491" s="150">
        <v>1</v>
      </c>
      <c r="L1491" s="656">
        <v>10</v>
      </c>
      <c r="M1491" s="654">
        <v>36679</v>
      </c>
      <c r="N1491" s="596">
        <v>10.364022</v>
      </c>
      <c r="O1491" s="594">
        <v>8.0112059799719842E-3</v>
      </c>
      <c r="P1491" s="114">
        <v>0</v>
      </c>
      <c r="Q1491" s="114">
        <v>0</v>
      </c>
      <c r="R1491" s="114">
        <v>0</v>
      </c>
      <c r="S1491" s="114">
        <v>0</v>
      </c>
      <c r="T1491" s="114">
        <v>3.0229156509019993E-2</v>
      </c>
      <c r="U1491" s="114">
        <v>0.14512084697360172</v>
      </c>
      <c r="V1491" s="496">
        <v>0.29912237932715752</v>
      </c>
      <c r="W1491" s="496">
        <v>0.3405307515497667</v>
      </c>
      <c r="X1491" s="496">
        <v>0.17576791808873721</v>
      </c>
      <c r="Y1491" s="496">
        <v>9.2289475517169338E-3</v>
      </c>
      <c r="Z1491" s="187">
        <v>7</v>
      </c>
      <c r="AA1491" s="150"/>
      <c r="AB1491" s="21" t="s">
        <v>67</v>
      </c>
      <c r="AC1491" s="103"/>
      <c r="AD1491" s="186">
        <v>12.755880000000001</v>
      </c>
      <c r="AE1491" s="186">
        <v>0.59131200000000006</v>
      </c>
      <c r="AF1491" s="186">
        <v>7.5564859999999996</v>
      </c>
      <c r="AG1491" s="186">
        <v>1.5057120000000002</v>
      </c>
      <c r="AH1491" s="336"/>
      <c r="AI1491" s="218"/>
      <c r="AJ1491" s="218"/>
      <c r="AK1491" s="153"/>
      <c r="AL1491" s="152"/>
      <c r="AM1491" s="152"/>
      <c r="AN1491" s="152"/>
      <c r="AO1491" s="152"/>
      <c r="AP1491" s="152"/>
      <c r="AQ1491" s="152"/>
      <c r="AR1491" s="152"/>
      <c r="AS1491" s="152"/>
      <c r="AT1491" s="152"/>
      <c r="AU1491" s="153"/>
      <c r="AV1491" s="479"/>
      <c r="AW1491" s="479"/>
      <c r="AX1491" s="442"/>
      <c r="AY1491" s="153"/>
      <c r="AZ1491" s="152"/>
      <c r="BA1491" s="152"/>
      <c r="BB1491" s="152"/>
      <c r="BC1491" s="152"/>
      <c r="BD1491" s="152"/>
      <c r="BE1491" s="152"/>
      <c r="BF1491" s="152"/>
      <c r="BG1491" s="152"/>
      <c r="BH1491" s="152"/>
      <c r="BI1491" s="153"/>
      <c r="BJ1491" s="153"/>
      <c r="BK1491" s="153"/>
      <c r="BL1491" s="153"/>
      <c r="BM1491" s="153"/>
      <c r="BN1491" s="153"/>
      <c r="BO1491" s="153"/>
      <c r="BP1491" s="153"/>
      <c r="BQ1491" s="153"/>
      <c r="BR1491" s="153"/>
      <c r="BS1491" s="153"/>
      <c r="BT1491" s="153"/>
      <c r="BU1491" s="153"/>
      <c r="BV1491" s="153"/>
      <c r="BW1491" s="153"/>
      <c r="BX1491" s="153"/>
      <c r="BY1491" s="153"/>
      <c r="BZ1491" s="153"/>
      <c r="CA1491" s="189"/>
      <c r="CB1491" s="152"/>
      <c r="CC1491" s="127"/>
    </row>
    <row r="1492" spans="1:81" x14ac:dyDescent="0.2">
      <c r="A1492" s="152"/>
      <c r="B1492" s="683"/>
      <c r="C1492" s="683"/>
      <c r="D1492" s="698"/>
      <c r="E1492" s="215"/>
      <c r="F1492" s="215"/>
      <c r="G1492" s="153"/>
      <c r="H1492" s="153"/>
      <c r="I1492" s="150">
        <v>20</v>
      </c>
      <c r="J1492" s="150">
        <v>30</v>
      </c>
      <c r="K1492" s="150">
        <v>1</v>
      </c>
      <c r="L1492" s="656">
        <v>10</v>
      </c>
      <c r="M1492" s="654">
        <v>36679</v>
      </c>
      <c r="N1492" s="596">
        <v>10.364022</v>
      </c>
      <c r="O1492" s="594">
        <v>1.4118794964703014E-2</v>
      </c>
      <c r="P1492" s="114">
        <v>0</v>
      </c>
      <c r="Q1492" s="114">
        <v>0</v>
      </c>
      <c r="R1492" s="114">
        <v>0</v>
      </c>
      <c r="S1492" s="114">
        <v>1.6302736883707144E-2</v>
      </c>
      <c r="T1492" s="114">
        <v>9.5287026973619196E-2</v>
      </c>
      <c r="U1492" s="114">
        <v>0.17077363896848138</v>
      </c>
      <c r="V1492" s="496">
        <v>0.32686493429503011</v>
      </c>
      <c r="W1492" s="496">
        <v>0.26351151072028456</v>
      </c>
      <c r="X1492" s="496">
        <v>0.12085762276454895</v>
      </c>
      <c r="Y1492" s="496">
        <v>6.4025293943286241E-3</v>
      </c>
      <c r="Z1492" s="187">
        <v>10</v>
      </c>
      <c r="AA1492" s="150"/>
      <c r="AB1492" s="21" t="s">
        <v>67</v>
      </c>
      <c r="AC1492" s="103"/>
      <c r="AD1492" s="186">
        <v>12.755880000000001</v>
      </c>
      <c r="AE1492" s="186">
        <v>0.59131200000000006</v>
      </c>
      <c r="AF1492" s="186">
        <v>7.5564859999999996</v>
      </c>
      <c r="AG1492" s="186">
        <v>1.5057120000000002</v>
      </c>
      <c r="AH1492" s="336"/>
      <c r="AI1492" s="218"/>
      <c r="AJ1492" s="218"/>
      <c r="AK1492" s="153"/>
      <c r="AL1492" s="152"/>
      <c r="AM1492" s="152"/>
      <c r="AN1492" s="152"/>
      <c r="AO1492" s="152"/>
      <c r="AP1492" s="152"/>
      <c r="AQ1492" s="152"/>
      <c r="AR1492" s="152"/>
      <c r="AS1492" s="152"/>
      <c r="AT1492" s="152"/>
      <c r="AU1492" s="153"/>
      <c r="AV1492" s="479"/>
      <c r="AW1492" s="479"/>
      <c r="AX1492" s="442"/>
      <c r="AY1492" s="153"/>
      <c r="AZ1492" s="152"/>
      <c r="BA1492" s="152"/>
      <c r="BB1492" s="152"/>
      <c r="BC1492" s="152"/>
      <c r="BD1492" s="152"/>
      <c r="BE1492" s="152"/>
      <c r="BF1492" s="152"/>
      <c r="BG1492" s="152"/>
      <c r="BH1492" s="152"/>
      <c r="BI1492" s="153"/>
      <c r="BJ1492" s="153"/>
      <c r="BK1492" s="153"/>
      <c r="BL1492" s="153"/>
      <c r="BM1492" s="153"/>
      <c r="BN1492" s="153"/>
      <c r="BO1492" s="153"/>
      <c r="BP1492" s="153"/>
      <c r="BQ1492" s="153"/>
      <c r="BR1492" s="153"/>
      <c r="BS1492" s="153"/>
      <c r="BT1492" s="153"/>
      <c r="BU1492" s="153"/>
      <c r="BV1492" s="153"/>
      <c r="BW1492" s="153"/>
      <c r="BX1492" s="153"/>
      <c r="BY1492" s="153"/>
      <c r="BZ1492" s="153"/>
      <c r="CA1492" s="189"/>
      <c r="CB1492" s="152"/>
      <c r="CC1492" s="127"/>
    </row>
    <row r="1493" spans="1:81" x14ac:dyDescent="0.2">
      <c r="A1493" s="152"/>
      <c r="B1493" s="683"/>
      <c r="C1493" s="683"/>
      <c r="D1493" s="698"/>
      <c r="E1493" s="215"/>
      <c r="F1493" s="215"/>
      <c r="G1493" s="153"/>
      <c r="H1493" s="153"/>
      <c r="I1493" s="150">
        <v>20</v>
      </c>
      <c r="J1493" s="150">
        <v>30</v>
      </c>
      <c r="K1493" s="150">
        <v>1</v>
      </c>
      <c r="L1493" s="656">
        <v>10</v>
      </c>
      <c r="M1493" s="654">
        <v>36679</v>
      </c>
      <c r="N1493" s="596">
        <v>10.222436999999999</v>
      </c>
      <c r="O1493" s="594">
        <v>1.3166009967084976E-2</v>
      </c>
      <c r="P1493" s="114">
        <v>0</v>
      </c>
      <c r="Q1493" s="114">
        <v>0</v>
      </c>
      <c r="R1493" s="114">
        <v>0</v>
      </c>
      <c r="S1493" s="114">
        <v>0.16762025852934945</v>
      </c>
      <c r="T1493" s="114">
        <v>6.463233735961009E-2</v>
      </c>
      <c r="U1493" s="114">
        <v>0.15024369569824114</v>
      </c>
      <c r="V1493" s="496">
        <v>0.29709684255138802</v>
      </c>
      <c r="W1493" s="496">
        <v>0.21763085399449034</v>
      </c>
      <c r="X1493" s="496">
        <v>9.6842551388005932E-2</v>
      </c>
      <c r="Y1493" s="496">
        <v>5.9334604789150246E-3</v>
      </c>
      <c r="Z1493" s="187">
        <v>17</v>
      </c>
      <c r="AA1493" s="150"/>
      <c r="AB1493" s="21" t="s">
        <v>67</v>
      </c>
      <c r="AC1493" s="103"/>
      <c r="AD1493" s="186">
        <v>12.755880000000001</v>
      </c>
      <c r="AE1493" s="186">
        <v>0.59131200000000006</v>
      </c>
      <c r="AF1493" s="186">
        <v>7.5564859999999996</v>
      </c>
      <c r="AG1493" s="186">
        <v>1.5057120000000002</v>
      </c>
      <c r="AH1493" s="336"/>
      <c r="AI1493" s="218"/>
      <c r="AJ1493" s="218"/>
      <c r="AK1493" s="153"/>
      <c r="AL1493" s="152"/>
      <c r="AM1493" s="152"/>
      <c r="AN1493" s="152"/>
      <c r="AO1493" s="152"/>
      <c r="AP1493" s="152"/>
      <c r="AQ1493" s="152"/>
      <c r="AR1493" s="152"/>
      <c r="AS1493" s="152"/>
      <c r="AT1493" s="152"/>
      <c r="AU1493" s="153"/>
      <c r="AV1493" s="479"/>
      <c r="AW1493" s="479"/>
      <c r="AX1493" s="442"/>
      <c r="AY1493" s="153"/>
      <c r="AZ1493" s="152"/>
      <c r="BA1493" s="152"/>
      <c r="BB1493" s="152"/>
      <c r="BC1493" s="152"/>
      <c r="BD1493" s="152"/>
      <c r="BE1493" s="152"/>
      <c r="BF1493" s="152"/>
      <c r="BG1493" s="152"/>
      <c r="BH1493" s="152"/>
      <c r="BI1493" s="153"/>
      <c r="BJ1493" s="153"/>
      <c r="BK1493" s="153"/>
      <c r="BL1493" s="153"/>
      <c r="BM1493" s="153"/>
      <c r="BN1493" s="153"/>
      <c r="BO1493" s="153"/>
      <c r="BP1493" s="153"/>
      <c r="BQ1493" s="153"/>
      <c r="BR1493" s="153"/>
      <c r="BS1493" s="153"/>
      <c r="BT1493" s="153"/>
      <c r="BU1493" s="153"/>
      <c r="BV1493" s="153"/>
      <c r="BW1493" s="153"/>
      <c r="BX1493" s="153"/>
      <c r="BY1493" s="153"/>
      <c r="BZ1493" s="153"/>
      <c r="CA1493" s="189"/>
      <c r="CB1493" s="152"/>
      <c r="CC1493" s="127"/>
    </row>
    <row r="1494" spans="1:81" x14ac:dyDescent="0.2">
      <c r="A1494" s="152"/>
      <c r="B1494" s="683"/>
      <c r="C1494" s="683"/>
      <c r="D1494" s="698"/>
      <c r="E1494" s="215"/>
      <c r="F1494" s="215"/>
      <c r="G1494" s="153"/>
      <c r="H1494" s="153"/>
      <c r="I1494" s="150">
        <v>20</v>
      </c>
      <c r="J1494" s="150">
        <v>30</v>
      </c>
      <c r="K1494" s="150">
        <v>1</v>
      </c>
      <c r="L1494" s="656">
        <v>10</v>
      </c>
      <c r="M1494" s="654">
        <v>36679</v>
      </c>
      <c r="N1494" s="596">
        <v>10.364022</v>
      </c>
      <c r="O1494" s="594">
        <v>1.9227284951931788E-2</v>
      </c>
      <c r="P1494" s="114">
        <v>0</v>
      </c>
      <c r="Q1494" s="114">
        <v>0</v>
      </c>
      <c r="R1494" s="114">
        <v>0</v>
      </c>
      <c r="S1494" s="114">
        <v>4.9524776899078568E-2</v>
      </c>
      <c r="T1494" s="114">
        <v>9.4319088732496559E-2</v>
      </c>
      <c r="U1494" s="114">
        <v>0.28133207574548358</v>
      </c>
      <c r="V1494" s="496">
        <v>0.36029891895813682</v>
      </c>
      <c r="W1494" s="496">
        <v>0.15060581876224333</v>
      </c>
      <c r="X1494" s="496">
        <v>5.8869621998113623E-2</v>
      </c>
      <c r="Y1494" s="496">
        <v>5.0496989044475082E-3</v>
      </c>
      <c r="Z1494" s="187">
        <v>7</v>
      </c>
      <c r="AA1494" s="150"/>
      <c r="AB1494" s="21" t="s">
        <v>67</v>
      </c>
      <c r="AC1494" s="103"/>
      <c r="AD1494" s="186">
        <v>12.755880000000001</v>
      </c>
      <c r="AE1494" s="186">
        <v>0.59131200000000006</v>
      </c>
      <c r="AF1494" s="186">
        <v>7.5564859999999996</v>
      </c>
      <c r="AG1494" s="186">
        <v>1.5057120000000002</v>
      </c>
      <c r="AH1494" s="336"/>
      <c r="AI1494" s="218"/>
      <c r="AJ1494" s="218"/>
      <c r="AK1494" s="153"/>
      <c r="AL1494" s="152"/>
      <c r="AM1494" s="152"/>
      <c r="AN1494" s="152"/>
      <c r="AO1494" s="152"/>
      <c r="AP1494" s="152"/>
      <c r="AQ1494" s="152"/>
      <c r="AR1494" s="152"/>
      <c r="AS1494" s="152"/>
      <c r="AT1494" s="152"/>
      <c r="AU1494" s="153"/>
      <c r="AV1494" s="479"/>
      <c r="AW1494" s="479"/>
      <c r="AX1494" s="442"/>
      <c r="AY1494" s="153"/>
      <c r="AZ1494" s="152"/>
      <c r="BA1494" s="152"/>
      <c r="BB1494" s="152"/>
      <c r="BC1494" s="152"/>
      <c r="BD1494" s="152"/>
      <c r="BE1494" s="152"/>
      <c r="BF1494" s="152"/>
      <c r="BG1494" s="152"/>
      <c r="BH1494" s="152"/>
      <c r="BI1494" s="153"/>
      <c r="BJ1494" s="153"/>
      <c r="BK1494" s="153"/>
      <c r="BL1494" s="153"/>
      <c r="BM1494" s="153"/>
      <c r="BN1494" s="153"/>
      <c r="BO1494" s="153"/>
      <c r="BP1494" s="153"/>
      <c r="BQ1494" s="153"/>
      <c r="BR1494" s="153"/>
      <c r="BS1494" s="153"/>
      <c r="BT1494" s="153"/>
      <c r="BU1494" s="153"/>
      <c r="BV1494" s="153"/>
      <c r="BW1494" s="153"/>
      <c r="BX1494" s="153"/>
      <c r="BY1494" s="153"/>
      <c r="BZ1494" s="153"/>
      <c r="CA1494" s="189"/>
      <c r="CB1494" s="152"/>
      <c r="CC1494" s="127"/>
    </row>
    <row r="1495" spans="1:81" x14ac:dyDescent="0.2">
      <c r="A1495" s="152"/>
      <c r="B1495" s="683"/>
      <c r="C1495" s="683"/>
      <c r="D1495" s="698"/>
      <c r="E1495" s="215"/>
      <c r="F1495" s="215"/>
      <c r="G1495" s="153"/>
      <c r="H1495" s="153"/>
      <c r="I1495" s="150">
        <v>20</v>
      </c>
      <c r="J1495" s="150">
        <v>30</v>
      </c>
      <c r="K1495" s="150">
        <v>1</v>
      </c>
      <c r="L1495" s="656">
        <v>10</v>
      </c>
      <c r="M1495" s="654">
        <v>36680</v>
      </c>
      <c r="N1495" s="596">
        <v>11.411750999999999</v>
      </c>
      <c r="O1495" s="594">
        <v>1.5021359962446601E-2</v>
      </c>
      <c r="P1495" s="114">
        <v>0</v>
      </c>
      <c r="Q1495" s="114">
        <v>0</v>
      </c>
      <c r="R1495" s="114">
        <v>0</v>
      </c>
      <c r="S1495" s="114">
        <v>1.5416047548291232E-2</v>
      </c>
      <c r="T1495" s="114">
        <v>5.5720653789004454E-2</v>
      </c>
      <c r="U1495" s="114">
        <v>0.16846210995542346</v>
      </c>
      <c r="V1495" s="496">
        <v>0.36069836552748891</v>
      </c>
      <c r="W1495" s="496">
        <v>0.29067607726597322</v>
      </c>
      <c r="X1495" s="496">
        <v>0.10178306092124814</v>
      </c>
      <c r="Y1495" s="496">
        <v>7.2436849925705789E-3</v>
      </c>
      <c r="Z1495" s="187">
        <v>11</v>
      </c>
      <c r="AA1495" s="150"/>
      <c r="AB1495" s="21" t="s">
        <v>67</v>
      </c>
      <c r="AC1495" s="103"/>
      <c r="AD1495" s="186">
        <v>12.755880000000001</v>
      </c>
      <c r="AE1495" s="186">
        <v>0.61569600000000002</v>
      </c>
      <c r="AF1495" s="186">
        <v>7.8472629999999999</v>
      </c>
      <c r="AG1495" s="186">
        <v>1.4173200000000001</v>
      </c>
      <c r="AH1495" s="336"/>
      <c r="AI1495" s="218"/>
      <c r="AJ1495" s="218"/>
      <c r="AK1495" s="153"/>
      <c r="AL1495" s="152"/>
      <c r="AM1495" s="152"/>
      <c r="AN1495" s="152"/>
      <c r="AO1495" s="152"/>
      <c r="AP1495" s="152"/>
      <c r="AQ1495" s="152"/>
      <c r="AR1495" s="152"/>
      <c r="AS1495" s="152"/>
      <c r="AT1495" s="152"/>
      <c r="AU1495" s="153"/>
      <c r="AV1495" s="479"/>
      <c r="AW1495" s="479"/>
      <c r="AX1495" s="442"/>
      <c r="AY1495" s="153"/>
      <c r="AZ1495" s="152"/>
      <c r="BA1495" s="152"/>
      <c r="BB1495" s="152"/>
      <c r="BC1495" s="152"/>
      <c r="BD1495" s="152"/>
      <c r="BE1495" s="152"/>
      <c r="BF1495" s="152"/>
      <c r="BG1495" s="152"/>
      <c r="BH1495" s="152"/>
      <c r="BI1495" s="153"/>
      <c r="BJ1495" s="153"/>
      <c r="BK1495" s="153"/>
      <c r="BL1495" s="153"/>
      <c r="BM1495" s="153"/>
      <c r="BN1495" s="153"/>
      <c r="BO1495" s="153"/>
      <c r="BP1495" s="153"/>
      <c r="BQ1495" s="153"/>
      <c r="BR1495" s="153"/>
      <c r="BS1495" s="153"/>
      <c r="BT1495" s="153"/>
      <c r="BU1495" s="153"/>
      <c r="BV1495" s="153"/>
      <c r="BW1495" s="153"/>
      <c r="BX1495" s="153"/>
      <c r="BY1495" s="153"/>
      <c r="BZ1495" s="153"/>
      <c r="CA1495" s="189"/>
      <c r="CB1495" s="152"/>
      <c r="CC1495" s="127"/>
    </row>
    <row r="1496" spans="1:81" x14ac:dyDescent="0.2">
      <c r="A1496" s="152"/>
      <c r="B1496" s="683"/>
      <c r="C1496" s="683"/>
      <c r="D1496" s="698"/>
      <c r="E1496" s="215"/>
      <c r="F1496" s="215"/>
      <c r="G1496" s="153"/>
      <c r="H1496" s="153"/>
      <c r="I1496" s="150">
        <v>20</v>
      </c>
      <c r="J1496" s="150">
        <v>30</v>
      </c>
      <c r="K1496" s="150">
        <v>1</v>
      </c>
      <c r="L1496" s="656">
        <v>10</v>
      </c>
      <c r="M1496" s="654">
        <v>36680</v>
      </c>
      <c r="N1496" s="596">
        <v>11.298482999999999</v>
      </c>
      <c r="O1496" s="594">
        <v>5.7270329856824169E-2</v>
      </c>
      <c r="P1496" s="114">
        <v>0</v>
      </c>
      <c r="Q1496" s="114">
        <v>0</v>
      </c>
      <c r="R1496" s="114">
        <v>0.41262727139864575</v>
      </c>
      <c r="S1496" s="114">
        <v>7.7020509572757856E-2</v>
      </c>
      <c r="T1496" s="114">
        <v>8.8420129585424098E-2</v>
      </c>
      <c r="U1496" s="114">
        <v>0.11458079602474791</v>
      </c>
      <c r="V1496" s="496">
        <v>0.16607395138110786</v>
      </c>
      <c r="W1496" s="496">
        <v>0.10673746772543483</v>
      </c>
      <c r="X1496" s="496">
        <v>3.1860476445656948E-2</v>
      </c>
      <c r="Y1496" s="496">
        <v>2.6793978662249729E-3</v>
      </c>
      <c r="Z1496" s="187">
        <v>38</v>
      </c>
      <c r="AA1496" s="150"/>
      <c r="AB1496" s="21" t="s">
        <v>67</v>
      </c>
      <c r="AC1496" s="103"/>
      <c r="AD1496" s="186">
        <v>12.755880000000001</v>
      </c>
      <c r="AE1496" s="186">
        <v>0.61569600000000002</v>
      </c>
      <c r="AF1496" s="186">
        <v>7.8472629999999999</v>
      </c>
      <c r="AG1496" s="186">
        <v>1.4173200000000001</v>
      </c>
      <c r="AH1496" s="336"/>
      <c r="AI1496" s="218"/>
      <c r="AJ1496" s="218"/>
      <c r="AK1496" s="153"/>
      <c r="AL1496" s="152"/>
      <c r="AM1496" s="152"/>
      <c r="AN1496" s="152"/>
      <c r="AO1496" s="152"/>
      <c r="AP1496" s="152"/>
      <c r="AQ1496" s="152"/>
      <c r="AR1496" s="152"/>
      <c r="AS1496" s="152"/>
      <c r="AT1496" s="152"/>
      <c r="AU1496" s="153"/>
      <c r="AV1496" s="479"/>
      <c r="AW1496" s="479"/>
      <c r="AX1496" s="442"/>
      <c r="AY1496" s="153"/>
      <c r="AZ1496" s="152"/>
      <c r="BA1496" s="152"/>
      <c r="BB1496" s="152"/>
      <c r="BC1496" s="152"/>
      <c r="BD1496" s="152"/>
      <c r="BE1496" s="152"/>
      <c r="BF1496" s="152"/>
      <c r="BG1496" s="152"/>
      <c r="BH1496" s="152"/>
      <c r="BI1496" s="153"/>
      <c r="BJ1496" s="153"/>
      <c r="BK1496" s="153"/>
      <c r="BL1496" s="153"/>
      <c r="BM1496" s="153"/>
      <c r="BN1496" s="153"/>
      <c r="BO1496" s="153"/>
      <c r="BP1496" s="153"/>
      <c r="BQ1496" s="153"/>
      <c r="BR1496" s="153"/>
      <c r="BS1496" s="153"/>
      <c r="BT1496" s="153"/>
      <c r="BU1496" s="153"/>
      <c r="BV1496" s="153"/>
      <c r="BW1496" s="153"/>
      <c r="BX1496" s="153"/>
      <c r="BY1496" s="153"/>
      <c r="BZ1496" s="153"/>
      <c r="CA1496" s="189"/>
      <c r="CB1496" s="152"/>
      <c r="CC1496" s="127"/>
    </row>
    <row r="1497" spans="1:81" x14ac:dyDescent="0.2">
      <c r="A1497" s="152"/>
      <c r="B1497" s="683"/>
      <c r="C1497" s="683"/>
      <c r="D1497" s="698"/>
      <c r="E1497" s="215"/>
      <c r="F1497" s="215"/>
      <c r="G1497" s="153"/>
      <c r="H1497" s="153"/>
      <c r="I1497" s="150">
        <v>20</v>
      </c>
      <c r="J1497" s="150">
        <v>30</v>
      </c>
      <c r="K1497" s="150">
        <v>1</v>
      </c>
      <c r="L1497" s="656">
        <v>10</v>
      </c>
      <c r="M1497" s="654">
        <v>36680</v>
      </c>
      <c r="N1497" s="596">
        <v>11.156898</v>
      </c>
      <c r="O1497" s="594">
        <v>5.3615429865961428E-3</v>
      </c>
      <c r="P1497" s="114">
        <v>0</v>
      </c>
      <c r="Q1497" s="114">
        <v>0</v>
      </c>
      <c r="R1497" s="114">
        <v>0</v>
      </c>
      <c r="S1497" s="114">
        <v>0</v>
      </c>
      <c r="T1497" s="114">
        <v>3.8663683197169174E-2</v>
      </c>
      <c r="U1497" s="114">
        <v>0.13040537024509549</v>
      </c>
      <c r="V1497" s="496">
        <v>0.29125253681636049</v>
      </c>
      <c r="W1497" s="496">
        <v>0.33288234375813081</v>
      </c>
      <c r="X1497" s="496">
        <v>0.19097673934537129</v>
      </c>
      <c r="Y1497" s="496">
        <v>1.5819326637872718E-2</v>
      </c>
      <c r="Z1497" s="187">
        <v>4</v>
      </c>
      <c r="AA1497" s="150"/>
      <c r="AB1497" s="21" t="s">
        <v>67</v>
      </c>
      <c r="AC1497" s="103"/>
      <c r="AD1497" s="186">
        <v>12.755880000000001</v>
      </c>
      <c r="AE1497" s="186">
        <v>0.61569600000000002</v>
      </c>
      <c r="AF1497" s="186">
        <v>7.8472629999999999</v>
      </c>
      <c r="AG1497" s="186">
        <v>1.4173200000000001</v>
      </c>
      <c r="AH1497" s="336"/>
      <c r="AI1497" s="218"/>
      <c r="AJ1497" s="218"/>
      <c r="AK1497" s="153"/>
      <c r="AL1497" s="152"/>
      <c r="AM1497" s="152"/>
      <c r="AN1497" s="152"/>
      <c r="AO1497" s="152"/>
      <c r="AP1497" s="152"/>
      <c r="AQ1497" s="152"/>
      <c r="AR1497" s="152"/>
      <c r="AS1497" s="152"/>
      <c r="AT1497" s="152"/>
      <c r="AU1497" s="153"/>
      <c r="AV1497" s="479"/>
      <c r="AW1497" s="479"/>
      <c r="AX1497" s="442"/>
      <c r="AY1497" s="153"/>
      <c r="AZ1497" s="152"/>
      <c r="BA1497" s="152"/>
      <c r="BB1497" s="152"/>
      <c r="BC1497" s="152"/>
      <c r="BD1497" s="152"/>
      <c r="BE1497" s="152"/>
      <c r="BF1497" s="152"/>
      <c r="BG1497" s="152"/>
      <c r="BH1497" s="152"/>
      <c r="BI1497" s="153"/>
      <c r="BJ1497" s="153"/>
      <c r="BK1497" s="153"/>
      <c r="BL1497" s="153"/>
      <c r="BM1497" s="153"/>
      <c r="BN1497" s="153"/>
      <c r="BO1497" s="153"/>
      <c r="BP1497" s="153"/>
      <c r="BQ1497" s="153"/>
      <c r="BR1497" s="153"/>
      <c r="BS1497" s="153"/>
      <c r="BT1497" s="153"/>
      <c r="BU1497" s="153"/>
      <c r="BV1497" s="153"/>
      <c r="BW1497" s="153"/>
      <c r="BX1497" s="153"/>
      <c r="BY1497" s="153"/>
      <c r="BZ1497" s="153"/>
      <c r="CA1497" s="189"/>
      <c r="CB1497" s="152"/>
      <c r="CC1497" s="127"/>
    </row>
    <row r="1498" spans="1:81" x14ac:dyDescent="0.2">
      <c r="A1498" s="152"/>
      <c r="B1498" s="683"/>
      <c r="C1498" s="683"/>
      <c r="D1498" s="698"/>
      <c r="E1498" s="215"/>
      <c r="F1498" s="215"/>
      <c r="G1498" s="153"/>
      <c r="H1498" s="153"/>
      <c r="I1498" s="150">
        <v>20</v>
      </c>
      <c r="J1498" s="150">
        <v>30</v>
      </c>
      <c r="K1498" s="150">
        <v>1</v>
      </c>
      <c r="L1498" s="656">
        <v>10</v>
      </c>
      <c r="M1498" s="654">
        <v>36680</v>
      </c>
      <c r="N1498" s="596">
        <v>11.156898</v>
      </c>
      <c r="O1498" s="594">
        <v>6.1631099845922245E-3</v>
      </c>
      <c r="P1498" s="114">
        <v>0</v>
      </c>
      <c r="Q1498" s="114">
        <v>0</v>
      </c>
      <c r="R1498" s="114">
        <v>0</v>
      </c>
      <c r="S1498" s="114">
        <v>0</v>
      </c>
      <c r="T1498" s="114">
        <v>2.7614305115436853E-2</v>
      </c>
      <c r="U1498" s="114">
        <v>0.15934812132186513</v>
      </c>
      <c r="V1498" s="496">
        <v>0.30828429153463105</v>
      </c>
      <c r="W1498" s="496">
        <v>0.33635129017655052</v>
      </c>
      <c r="X1498" s="496">
        <v>0.15527387958352198</v>
      </c>
      <c r="Y1498" s="496">
        <v>1.312811226799457E-2</v>
      </c>
      <c r="Z1498" s="187">
        <v>7</v>
      </c>
      <c r="AA1498" s="150"/>
      <c r="AB1498" s="21" t="s">
        <v>67</v>
      </c>
      <c r="AC1498" s="103"/>
      <c r="AD1498" s="186">
        <v>12.755880000000001</v>
      </c>
      <c r="AE1498" s="186">
        <v>0.61569600000000002</v>
      </c>
      <c r="AF1498" s="186">
        <v>7.8472629999999999</v>
      </c>
      <c r="AG1498" s="186">
        <v>1.4173200000000001</v>
      </c>
      <c r="AH1498" s="336"/>
      <c r="AI1498" s="218"/>
      <c r="AJ1498" s="218"/>
      <c r="AK1498" s="153"/>
      <c r="AL1498" s="152"/>
      <c r="AM1498" s="152"/>
      <c r="AN1498" s="152"/>
      <c r="AO1498" s="152"/>
      <c r="AP1498" s="152"/>
      <c r="AQ1498" s="152"/>
      <c r="AR1498" s="152"/>
      <c r="AS1498" s="152"/>
      <c r="AT1498" s="152"/>
      <c r="AU1498" s="153"/>
      <c r="AV1498" s="479"/>
      <c r="AW1498" s="479"/>
      <c r="AX1498" s="442"/>
      <c r="AY1498" s="153"/>
      <c r="AZ1498" s="152"/>
      <c r="BA1498" s="152"/>
      <c r="BB1498" s="152"/>
      <c r="BC1498" s="152"/>
      <c r="BD1498" s="152"/>
      <c r="BE1498" s="152"/>
      <c r="BF1498" s="152"/>
      <c r="BG1498" s="152"/>
      <c r="BH1498" s="152"/>
      <c r="BI1498" s="153"/>
      <c r="BJ1498" s="153"/>
      <c r="BK1498" s="153"/>
      <c r="BL1498" s="153"/>
      <c r="BM1498" s="153"/>
      <c r="BN1498" s="153"/>
      <c r="BO1498" s="153"/>
      <c r="BP1498" s="153"/>
      <c r="BQ1498" s="153"/>
      <c r="BR1498" s="153"/>
      <c r="BS1498" s="153"/>
      <c r="BT1498" s="153"/>
      <c r="BU1498" s="153"/>
      <c r="BV1498" s="153"/>
      <c r="BW1498" s="153"/>
      <c r="BX1498" s="153"/>
      <c r="BY1498" s="153"/>
      <c r="BZ1498" s="153"/>
      <c r="CA1498" s="189"/>
      <c r="CB1498" s="152"/>
      <c r="CC1498" s="127"/>
    </row>
    <row r="1499" spans="1:81" x14ac:dyDescent="0.2">
      <c r="A1499" s="152"/>
      <c r="B1499" s="683"/>
      <c r="C1499" s="683"/>
      <c r="D1499" s="698"/>
      <c r="E1499" s="215"/>
      <c r="F1499" s="215"/>
      <c r="G1499" s="153"/>
      <c r="H1499" s="153"/>
      <c r="I1499" s="150">
        <v>20</v>
      </c>
      <c r="J1499" s="150">
        <v>30</v>
      </c>
      <c r="K1499" s="150">
        <v>1</v>
      </c>
      <c r="L1499" s="656">
        <v>10</v>
      </c>
      <c r="M1499" s="654">
        <v>36685</v>
      </c>
      <c r="N1499" s="596">
        <v>12.544430999999999</v>
      </c>
      <c r="O1499" s="594">
        <v>2.0726630948183423E-2</v>
      </c>
      <c r="P1499" s="114">
        <v>0</v>
      </c>
      <c r="Q1499" s="114">
        <v>0</v>
      </c>
      <c r="R1499" s="114">
        <v>0</v>
      </c>
      <c r="S1499" s="114">
        <v>8.3430925170617454E-2</v>
      </c>
      <c r="T1499" s="114">
        <v>7.2298725248690937E-2</v>
      </c>
      <c r="U1499" s="114">
        <v>0.1728654309520925</v>
      </c>
      <c r="V1499" s="496">
        <v>0.3193474134797884</v>
      </c>
      <c r="W1499" s="496">
        <v>0.24043936518192463</v>
      </c>
      <c r="X1499" s="496">
        <v>0.1046992152270188</v>
      </c>
      <c r="Y1499" s="496">
        <v>6.918924739867275E-3</v>
      </c>
      <c r="Z1499" s="187">
        <v>13</v>
      </c>
      <c r="AA1499" s="150"/>
      <c r="AB1499" s="21" t="s">
        <v>67</v>
      </c>
      <c r="AC1499" s="103"/>
      <c r="AD1499" s="186">
        <v>12.755880000000001</v>
      </c>
      <c r="AE1499" s="186">
        <v>0.627888</v>
      </c>
      <c r="AF1499" s="186">
        <v>8.0024060000000006</v>
      </c>
      <c r="AG1499" s="186">
        <v>1.5087600000000001</v>
      </c>
      <c r="AH1499" s="336"/>
      <c r="AI1499" s="218"/>
      <c r="AJ1499" s="218"/>
      <c r="AK1499" s="153"/>
      <c r="AL1499" s="152"/>
      <c r="AM1499" s="152"/>
      <c r="AN1499" s="152"/>
      <c r="AO1499" s="152"/>
      <c r="AP1499" s="152"/>
      <c r="AQ1499" s="152"/>
      <c r="AR1499" s="152"/>
      <c r="AS1499" s="152"/>
      <c r="AT1499" s="152"/>
      <c r="AU1499" s="153"/>
      <c r="AV1499" s="479"/>
      <c r="AW1499" s="479"/>
      <c r="AX1499" s="442"/>
      <c r="AY1499" s="153"/>
      <c r="AZ1499" s="152"/>
      <c r="BA1499" s="152"/>
      <c r="BB1499" s="152"/>
      <c r="BC1499" s="152"/>
      <c r="BD1499" s="152"/>
      <c r="BE1499" s="152"/>
      <c r="BF1499" s="152"/>
      <c r="BG1499" s="152"/>
      <c r="BH1499" s="152"/>
      <c r="BI1499" s="153"/>
      <c r="BJ1499" s="153"/>
      <c r="BK1499" s="153"/>
      <c r="BL1499" s="153"/>
      <c r="BM1499" s="153"/>
      <c r="BN1499" s="153"/>
      <c r="BO1499" s="153"/>
      <c r="BP1499" s="153"/>
      <c r="BQ1499" s="153"/>
      <c r="BR1499" s="153"/>
      <c r="BS1499" s="153"/>
      <c r="BT1499" s="153"/>
      <c r="BU1499" s="153"/>
      <c r="BV1499" s="153"/>
      <c r="BW1499" s="153"/>
      <c r="BX1499" s="153"/>
      <c r="BY1499" s="153"/>
      <c r="BZ1499" s="153"/>
      <c r="CA1499" s="189"/>
      <c r="CB1499" s="152"/>
      <c r="CC1499" s="127"/>
    </row>
    <row r="1500" spans="1:81" x14ac:dyDescent="0.2">
      <c r="A1500" s="152"/>
      <c r="B1500" s="683"/>
      <c r="C1500" s="683"/>
      <c r="D1500" s="698"/>
      <c r="E1500" s="215"/>
      <c r="F1500" s="215"/>
      <c r="G1500" s="153"/>
      <c r="H1500" s="153"/>
      <c r="I1500" s="150">
        <v>20</v>
      </c>
      <c r="J1500" s="150">
        <v>30</v>
      </c>
      <c r="K1500" s="150">
        <v>1</v>
      </c>
      <c r="L1500" s="656">
        <v>10</v>
      </c>
      <c r="M1500" s="654">
        <v>36685</v>
      </c>
      <c r="N1500" s="596">
        <v>12.544430999999999</v>
      </c>
      <c r="O1500" s="594">
        <v>2.373397194066507E-2</v>
      </c>
      <c r="P1500" s="114">
        <v>0</v>
      </c>
      <c r="Q1500" s="114">
        <v>0</v>
      </c>
      <c r="R1500" s="114">
        <v>0</v>
      </c>
      <c r="S1500" s="114">
        <v>4.3565147881694646E-2</v>
      </c>
      <c r="T1500" s="114">
        <v>5.7789062867353171E-2</v>
      </c>
      <c r="U1500" s="114">
        <v>0.127192363756054</v>
      </c>
      <c r="V1500" s="496">
        <v>0.34559411294493819</v>
      </c>
      <c r="W1500" s="496">
        <v>0.30633140546386423</v>
      </c>
      <c r="X1500" s="496">
        <v>0.11292142756383129</v>
      </c>
      <c r="Y1500" s="496">
        <v>6.6064795222645425E-3</v>
      </c>
      <c r="Z1500" s="187">
        <v>11</v>
      </c>
      <c r="AA1500" s="150"/>
      <c r="AB1500" s="21" t="s">
        <v>67</v>
      </c>
      <c r="AC1500" s="103"/>
      <c r="AD1500" s="186">
        <v>12.755880000000001</v>
      </c>
      <c r="AE1500" s="186">
        <v>0.627888</v>
      </c>
      <c r="AF1500" s="186">
        <v>8.0024060000000006</v>
      </c>
      <c r="AG1500" s="186">
        <v>1.5087600000000001</v>
      </c>
      <c r="AH1500" s="336"/>
      <c r="AI1500" s="218"/>
      <c r="AJ1500" s="218"/>
      <c r="AK1500" s="153"/>
      <c r="AL1500" s="152"/>
      <c r="AM1500" s="152"/>
      <c r="AN1500" s="152"/>
      <c r="AO1500" s="152"/>
      <c r="AP1500" s="152"/>
      <c r="AQ1500" s="152"/>
      <c r="AR1500" s="152"/>
      <c r="AS1500" s="152"/>
      <c r="AT1500" s="152"/>
      <c r="AU1500" s="153"/>
      <c r="AV1500" s="479"/>
      <c r="AW1500" s="479"/>
      <c r="AX1500" s="442"/>
      <c r="AY1500" s="153"/>
      <c r="AZ1500" s="152"/>
      <c r="BA1500" s="152"/>
      <c r="BB1500" s="152"/>
      <c r="BC1500" s="152"/>
      <c r="BD1500" s="152"/>
      <c r="BE1500" s="152"/>
      <c r="BF1500" s="152"/>
      <c r="BG1500" s="152"/>
      <c r="BH1500" s="152"/>
      <c r="BI1500" s="153"/>
      <c r="BJ1500" s="153"/>
      <c r="BK1500" s="153"/>
      <c r="BL1500" s="153"/>
      <c r="BM1500" s="153"/>
      <c r="BN1500" s="153"/>
      <c r="BO1500" s="153"/>
      <c r="BP1500" s="153"/>
      <c r="BQ1500" s="153"/>
      <c r="BR1500" s="153"/>
      <c r="BS1500" s="153"/>
      <c r="BT1500" s="153"/>
      <c r="BU1500" s="153"/>
      <c r="BV1500" s="153"/>
      <c r="BW1500" s="153"/>
      <c r="BX1500" s="153"/>
      <c r="BY1500" s="153"/>
      <c r="BZ1500" s="153"/>
      <c r="CA1500" s="189"/>
      <c r="CB1500" s="152"/>
      <c r="CC1500" s="127"/>
    </row>
    <row r="1501" spans="1:81" x14ac:dyDescent="0.2">
      <c r="A1501" s="152"/>
      <c r="B1501" s="683"/>
      <c r="C1501" s="683"/>
      <c r="D1501" s="698"/>
      <c r="E1501" s="215"/>
      <c r="F1501" s="215"/>
      <c r="G1501" s="153"/>
      <c r="H1501" s="153"/>
      <c r="I1501" s="150">
        <v>20</v>
      </c>
      <c r="J1501" s="150">
        <v>30</v>
      </c>
      <c r="K1501" s="150">
        <v>1</v>
      </c>
      <c r="L1501" s="656">
        <v>10</v>
      </c>
      <c r="M1501" s="654">
        <v>36686</v>
      </c>
      <c r="N1501" s="596">
        <v>12.119676</v>
      </c>
      <c r="O1501" s="594">
        <v>5.4979739862550649E-2</v>
      </c>
      <c r="P1501" s="114">
        <v>0</v>
      </c>
      <c r="Q1501" s="114">
        <v>0</v>
      </c>
      <c r="R1501" s="114">
        <v>0.13325890591697961</v>
      </c>
      <c r="S1501" s="114">
        <v>1.1671572110017252E-2</v>
      </c>
      <c r="T1501" s="114">
        <v>3.1665482594133765E-2</v>
      </c>
      <c r="U1501" s="114">
        <v>0.15462295747488075</v>
      </c>
      <c r="V1501" s="496">
        <v>0.33431442200345068</v>
      </c>
      <c r="W1501" s="496">
        <v>0.2541865421698975</v>
      </c>
      <c r="X1501" s="496">
        <v>7.8250279102811321E-2</v>
      </c>
      <c r="Y1501" s="496">
        <v>2.0298386278290877E-3</v>
      </c>
      <c r="Z1501" s="187">
        <v>20</v>
      </c>
      <c r="AA1501" s="150"/>
      <c r="AB1501" s="21" t="s">
        <v>67</v>
      </c>
      <c r="AC1501" s="103"/>
      <c r="AD1501" s="186">
        <v>12.755880000000001</v>
      </c>
      <c r="AE1501" s="186">
        <v>0.63093599999999994</v>
      </c>
      <c r="AF1501" s="186">
        <v>8.0525719999999996</v>
      </c>
      <c r="AG1501" s="186">
        <v>1.5514320000000001</v>
      </c>
      <c r="AH1501" s="336"/>
      <c r="AI1501" s="218"/>
      <c r="AJ1501" s="218"/>
      <c r="AK1501" s="153"/>
      <c r="AL1501" s="152"/>
      <c r="AM1501" s="152"/>
      <c r="AN1501" s="152"/>
      <c r="AO1501" s="152"/>
      <c r="AP1501" s="152"/>
      <c r="AQ1501" s="152"/>
      <c r="AR1501" s="152"/>
      <c r="AS1501" s="152"/>
      <c r="AT1501" s="152"/>
      <c r="AU1501" s="153"/>
      <c r="AV1501" s="479"/>
      <c r="AW1501" s="479"/>
      <c r="AX1501" s="442"/>
      <c r="AY1501" s="153"/>
      <c r="AZ1501" s="152"/>
      <c r="BA1501" s="152"/>
      <c r="BB1501" s="152"/>
      <c r="BC1501" s="152"/>
      <c r="BD1501" s="152"/>
      <c r="BE1501" s="152"/>
      <c r="BF1501" s="152"/>
      <c r="BG1501" s="152"/>
      <c r="BH1501" s="152"/>
      <c r="BI1501" s="153"/>
      <c r="BJ1501" s="153"/>
      <c r="BK1501" s="153"/>
      <c r="BL1501" s="153"/>
      <c r="BM1501" s="153"/>
      <c r="BN1501" s="153"/>
      <c r="BO1501" s="153"/>
      <c r="BP1501" s="153"/>
      <c r="BQ1501" s="153"/>
      <c r="BR1501" s="153"/>
      <c r="BS1501" s="153"/>
      <c r="BT1501" s="153"/>
      <c r="BU1501" s="153"/>
      <c r="BV1501" s="153"/>
      <c r="BW1501" s="153"/>
      <c r="BX1501" s="153"/>
      <c r="BY1501" s="153"/>
      <c r="BZ1501" s="153"/>
      <c r="CA1501" s="189"/>
      <c r="CB1501" s="152"/>
      <c r="CC1501" s="127"/>
    </row>
    <row r="1502" spans="1:81" x14ac:dyDescent="0.2">
      <c r="A1502" s="152"/>
      <c r="B1502" s="683"/>
      <c r="C1502" s="683"/>
      <c r="D1502" s="698"/>
      <c r="E1502" s="215"/>
      <c r="F1502" s="215"/>
      <c r="G1502" s="153"/>
      <c r="H1502" s="153"/>
      <c r="I1502" s="150">
        <v>20</v>
      </c>
      <c r="J1502" s="150">
        <v>30</v>
      </c>
      <c r="K1502" s="150">
        <v>1</v>
      </c>
      <c r="L1502" s="656">
        <v>10</v>
      </c>
      <c r="M1502" s="654">
        <v>36686</v>
      </c>
      <c r="N1502" s="596">
        <v>12.119676</v>
      </c>
      <c r="O1502" s="594">
        <v>4.2258455894353855E-2</v>
      </c>
      <c r="P1502" s="114">
        <v>0</v>
      </c>
      <c r="Q1502" s="114">
        <v>0</v>
      </c>
      <c r="R1502" s="114">
        <v>5.335261184175779E-2</v>
      </c>
      <c r="S1502" s="114">
        <v>4.3422859557386576E-2</v>
      </c>
      <c r="T1502" s="114">
        <v>8.7261659536259459E-2</v>
      </c>
      <c r="U1502" s="114">
        <v>0.20546796598531666</v>
      </c>
      <c r="V1502" s="496">
        <v>0.31776527755770356</v>
      </c>
      <c r="W1502" s="496">
        <v>0.214645064173665</v>
      </c>
      <c r="X1502" s="496">
        <v>7.351581894047432E-2</v>
      </c>
      <c r="Y1502" s="496">
        <v>4.5687424074367508E-3</v>
      </c>
      <c r="Z1502" s="187">
        <v>19</v>
      </c>
      <c r="AA1502" s="150"/>
      <c r="AB1502" s="21" t="s">
        <v>67</v>
      </c>
      <c r="AC1502" s="103"/>
      <c r="AD1502" s="186">
        <v>12.755880000000001</v>
      </c>
      <c r="AE1502" s="186">
        <v>0.63093599999999994</v>
      </c>
      <c r="AF1502" s="186">
        <v>8.0525719999999996</v>
      </c>
      <c r="AG1502" s="186">
        <v>1.5514320000000001</v>
      </c>
      <c r="AH1502" s="336"/>
      <c r="AI1502" s="218"/>
      <c r="AJ1502" s="218"/>
      <c r="AK1502" s="153"/>
      <c r="AL1502" s="152"/>
      <c r="AM1502" s="152"/>
      <c r="AN1502" s="152"/>
      <c r="AO1502" s="152"/>
      <c r="AP1502" s="152"/>
      <c r="AQ1502" s="152"/>
      <c r="AR1502" s="152"/>
      <c r="AS1502" s="152"/>
      <c r="AT1502" s="152"/>
      <c r="AU1502" s="153"/>
      <c r="AV1502" s="479"/>
      <c r="AW1502" s="479"/>
      <c r="AX1502" s="442"/>
      <c r="AY1502" s="153"/>
      <c r="AZ1502" s="152"/>
      <c r="BA1502" s="152"/>
      <c r="BB1502" s="152"/>
      <c r="BC1502" s="152"/>
      <c r="BD1502" s="152"/>
      <c r="BE1502" s="152"/>
      <c r="BF1502" s="152"/>
      <c r="BG1502" s="152"/>
      <c r="BH1502" s="152"/>
      <c r="BI1502" s="153"/>
      <c r="BJ1502" s="153"/>
      <c r="BK1502" s="153"/>
      <c r="BL1502" s="153"/>
      <c r="BM1502" s="153"/>
      <c r="BN1502" s="153"/>
      <c r="BO1502" s="153"/>
      <c r="BP1502" s="153"/>
      <c r="BQ1502" s="153"/>
      <c r="BR1502" s="153"/>
      <c r="BS1502" s="153"/>
      <c r="BT1502" s="153"/>
      <c r="BU1502" s="153"/>
      <c r="BV1502" s="153"/>
      <c r="BW1502" s="153"/>
      <c r="BX1502" s="153"/>
      <c r="BY1502" s="153"/>
      <c r="BZ1502" s="153"/>
      <c r="CA1502" s="189"/>
      <c r="CB1502" s="152"/>
      <c r="CC1502" s="127"/>
    </row>
    <row r="1503" spans="1:81" x14ac:dyDescent="0.2">
      <c r="A1503" s="152"/>
      <c r="B1503" s="683"/>
      <c r="C1503" s="683"/>
      <c r="D1503" s="698"/>
      <c r="E1503" s="215"/>
      <c r="F1503" s="215"/>
      <c r="G1503" s="153"/>
      <c r="H1503" s="153"/>
      <c r="I1503" s="150">
        <v>20</v>
      </c>
      <c r="J1503" s="150">
        <v>30</v>
      </c>
      <c r="K1503" s="150">
        <v>1</v>
      </c>
      <c r="L1503" s="656">
        <v>10</v>
      </c>
      <c r="M1503" s="654">
        <v>36686</v>
      </c>
      <c r="N1503" s="596">
        <v>11.978090999999999</v>
      </c>
      <c r="O1503" s="594">
        <v>1.967173195082067E-2</v>
      </c>
      <c r="P1503" s="114">
        <v>0</v>
      </c>
      <c r="Q1503" s="114">
        <v>0</v>
      </c>
      <c r="R1503" s="114">
        <v>0</v>
      </c>
      <c r="S1503" s="114">
        <v>1.9714074998581722E-2</v>
      </c>
      <c r="T1503" s="114">
        <v>0.10849832643104328</v>
      </c>
      <c r="U1503" s="114">
        <v>0.2239462188687808</v>
      </c>
      <c r="V1503" s="496">
        <v>0.32899812787201449</v>
      </c>
      <c r="W1503" s="496">
        <v>0.21930844726839507</v>
      </c>
      <c r="X1503" s="496">
        <v>9.305327055085949E-2</v>
      </c>
      <c r="Y1503" s="496">
        <v>6.4815340103250704E-3</v>
      </c>
      <c r="Z1503" s="187">
        <v>9</v>
      </c>
      <c r="AA1503" s="150"/>
      <c r="AB1503" s="21" t="s">
        <v>67</v>
      </c>
      <c r="AC1503" s="103"/>
      <c r="AD1503" s="186">
        <v>12.755880000000001</v>
      </c>
      <c r="AE1503" s="186">
        <v>0.63093599999999994</v>
      </c>
      <c r="AF1503" s="186">
        <v>8.0525719999999996</v>
      </c>
      <c r="AG1503" s="186">
        <v>1.5514320000000001</v>
      </c>
      <c r="AH1503" s="336"/>
      <c r="AI1503" s="218"/>
      <c r="AJ1503" s="218"/>
      <c r="AK1503" s="153"/>
      <c r="AL1503" s="152"/>
      <c r="AM1503" s="152"/>
      <c r="AN1503" s="152"/>
      <c r="AO1503" s="152"/>
      <c r="AP1503" s="152"/>
      <c r="AQ1503" s="152"/>
      <c r="AR1503" s="152"/>
      <c r="AS1503" s="152"/>
      <c r="AT1503" s="152"/>
      <c r="AU1503" s="153"/>
      <c r="AV1503" s="479"/>
      <c r="AW1503" s="479"/>
      <c r="AX1503" s="442"/>
      <c r="AY1503" s="153"/>
      <c r="AZ1503" s="152"/>
      <c r="BA1503" s="152"/>
      <c r="BB1503" s="152"/>
      <c r="BC1503" s="152"/>
      <c r="BD1503" s="152"/>
      <c r="BE1503" s="152"/>
      <c r="BF1503" s="152"/>
      <c r="BG1503" s="152"/>
      <c r="BH1503" s="152"/>
      <c r="BI1503" s="153"/>
      <c r="BJ1503" s="153"/>
      <c r="BK1503" s="153"/>
      <c r="BL1503" s="153"/>
      <c r="BM1503" s="153"/>
      <c r="BN1503" s="153"/>
      <c r="BO1503" s="153"/>
      <c r="BP1503" s="153"/>
      <c r="BQ1503" s="153"/>
      <c r="BR1503" s="153"/>
      <c r="BS1503" s="153"/>
      <c r="BT1503" s="153"/>
      <c r="BU1503" s="153"/>
      <c r="BV1503" s="153"/>
      <c r="BW1503" s="153"/>
      <c r="BX1503" s="153"/>
      <c r="BY1503" s="153"/>
      <c r="BZ1503" s="153"/>
      <c r="CA1503" s="189"/>
      <c r="CB1503" s="152"/>
      <c r="CC1503" s="127"/>
    </row>
    <row r="1504" spans="1:81" x14ac:dyDescent="0.2">
      <c r="A1504" s="152"/>
      <c r="B1504" s="683"/>
      <c r="C1504" s="683"/>
      <c r="D1504" s="698"/>
      <c r="E1504" s="215"/>
      <c r="F1504" s="215"/>
      <c r="G1504" s="153"/>
      <c r="H1504" s="153"/>
      <c r="I1504" s="150">
        <v>20</v>
      </c>
      <c r="J1504" s="150">
        <v>30</v>
      </c>
      <c r="K1504" s="150">
        <v>1</v>
      </c>
      <c r="L1504" s="656">
        <v>10</v>
      </c>
      <c r="M1504" s="654">
        <v>36686</v>
      </c>
      <c r="N1504" s="596">
        <v>11.978090999999999</v>
      </c>
      <c r="O1504" s="594">
        <v>3.6129104909677232E-2</v>
      </c>
      <c r="P1504" s="114">
        <v>0</v>
      </c>
      <c r="Q1504" s="114">
        <v>0</v>
      </c>
      <c r="R1504" s="114">
        <v>0</v>
      </c>
      <c r="S1504" s="114">
        <v>6.369357890266035E-2</v>
      </c>
      <c r="T1504" s="114">
        <v>8.3841074944978555E-2</v>
      </c>
      <c r="U1504" s="114">
        <v>0.28287578670991165</v>
      </c>
      <c r="V1504" s="496">
        <v>0.32947990269894595</v>
      </c>
      <c r="W1504" s="496">
        <v>0.1823081972276922</v>
      </c>
      <c r="X1504" s="496">
        <v>5.5253098575234576E-2</v>
      </c>
      <c r="Y1504" s="496">
        <v>2.5483609405768572E-3</v>
      </c>
      <c r="Z1504" s="187">
        <v>17</v>
      </c>
      <c r="AA1504" s="150"/>
      <c r="AB1504" s="21" t="s">
        <v>67</v>
      </c>
      <c r="AC1504" s="103"/>
      <c r="AD1504" s="186">
        <v>12.755880000000001</v>
      </c>
      <c r="AE1504" s="186">
        <v>0.63093599999999994</v>
      </c>
      <c r="AF1504" s="186">
        <v>8.0525719999999996</v>
      </c>
      <c r="AG1504" s="186">
        <v>1.5514320000000001</v>
      </c>
      <c r="AH1504" s="336"/>
      <c r="AI1504" s="218"/>
      <c r="AJ1504" s="218"/>
      <c r="AK1504" s="153"/>
      <c r="AL1504" s="152"/>
      <c r="AM1504" s="152"/>
      <c r="AN1504" s="152"/>
      <c r="AO1504" s="152"/>
      <c r="AP1504" s="152"/>
      <c r="AQ1504" s="152"/>
      <c r="AR1504" s="152"/>
      <c r="AS1504" s="152"/>
      <c r="AT1504" s="152"/>
      <c r="AU1504" s="153"/>
      <c r="AV1504" s="479"/>
      <c r="AW1504" s="479"/>
      <c r="AX1504" s="442"/>
      <c r="AY1504" s="153"/>
      <c r="AZ1504" s="152"/>
      <c r="BA1504" s="152"/>
      <c r="BB1504" s="152"/>
      <c r="BC1504" s="152"/>
      <c r="BD1504" s="152"/>
      <c r="BE1504" s="152"/>
      <c r="BF1504" s="152"/>
      <c r="BG1504" s="152"/>
      <c r="BH1504" s="152"/>
      <c r="BI1504" s="153"/>
      <c r="BJ1504" s="153"/>
      <c r="BK1504" s="153"/>
      <c r="BL1504" s="153"/>
      <c r="BM1504" s="153"/>
      <c r="BN1504" s="153"/>
      <c r="BO1504" s="153"/>
      <c r="BP1504" s="153"/>
      <c r="BQ1504" s="153"/>
      <c r="BR1504" s="153"/>
      <c r="BS1504" s="153"/>
      <c r="BT1504" s="153"/>
      <c r="BU1504" s="153"/>
      <c r="BV1504" s="153"/>
      <c r="BW1504" s="153"/>
      <c r="BX1504" s="153"/>
      <c r="BY1504" s="153"/>
      <c r="BZ1504" s="153"/>
      <c r="CA1504" s="189"/>
      <c r="CB1504" s="152"/>
      <c r="CC1504" s="127"/>
    </row>
    <row r="1505" spans="1:81" x14ac:dyDescent="0.2">
      <c r="A1505" s="152"/>
      <c r="B1505" s="683"/>
      <c r="C1505" s="683"/>
      <c r="D1505" s="698"/>
      <c r="E1505" s="215"/>
      <c r="F1505" s="215"/>
      <c r="G1505" s="153"/>
      <c r="H1505" s="153"/>
      <c r="I1505" s="150">
        <v>20</v>
      </c>
      <c r="J1505" s="150">
        <v>30</v>
      </c>
      <c r="K1505" s="150">
        <v>1</v>
      </c>
      <c r="L1505" s="656">
        <v>10</v>
      </c>
      <c r="M1505" s="654">
        <v>36687</v>
      </c>
      <c r="N1505" s="596">
        <v>10.364022</v>
      </c>
      <c r="O1505" s="594">
        <v>2.4572924938567688E-2</v>
      </c>
      <c r="P1505" s="114">
        <v>0</v>
      </c>
      <c r="Q1505" s="114">
        <v>0</v>
      </c>
      <c r="R1505" s="114">
        <v>5.0388873119500438E-2</v>
      </c>
      <c r="S1505" s="114">
        <v>0</v>
      </c>
      <c r="T1505" s="114">
        <v>7.8365029804144198E-2</v>
      </c>
      <c r="U1505" s="114">
        <v>0.26648878796480274</v>
      </c>
      <c r="V1505" s="496">
        <v>0.32349701958558053</v>
      </c>
      <c r="W1505" s="496">
        <v>0.19948907181379505</v>
      </c>
      <c r="X1505" s="496">
        <v>7.8467215441385185E-2</v>
      </c>
      <c r="Y1505" s="496">
        <v>3.3040022707919391E-3</v>
      </c>
      <c r="Z1505" s="187">
        <v>20</v>
      </c>
      <c r="AA1505" s="150"/>
      <c r="AB1505" s="21" t="s">
        <v>67</v>
      </c>
      <c r="AC1505" s="103"/>
      <c r="AD1505" s="186">
        <v>12.755880000000001</v>
      </c>
      <c r="AE1505" s="186">
        <v>0.57607200000000003</v>
      </c>
      <c r="AF1505" s="186">
        <v>7.3363129999999996</v>
      </c>
      <c r="AG1505" s="186">
        <v>1.4173200000000001</v>
      </c>
      <c r="AH1505" s="336"/>
      <c r="AI1505" s="218"/>
      <c r="AJ1505" s="218"/>
      <c r="AK1505" s="153"/>
      <c r="AL1505" s="152"/>
      <c r="AM1505" s="152"/>
      <c r="AN1505" s="152"/>
      <c r="AO1505" s="152"/>
      <c r="AP1505" s="152"/>
      <c r="AQ1505" s="152"/>
      <c r="AR1505" s="152"/>
      <c r="AS1505" s="152"/>
      <c r="AT1505" s="152"/>
      <c r="AU1505" s="153"/>
      <c r="AV1505" s="479"/>
      <c r="AW1505" s="479"/>
      <c r="AX1505" s="442"/>
      <c r="AY1505" s="153"/>
      <c r="AZ1505" s="152"/>
      <c r="BA1505" s="152"/>
      <c r="BB1505" s="152"/>
      <c r="BC1505" s="152"/>
      <c r="BD1505" s="152"/>
      <c r="BE1505" s="152"/>
      <c r="BF1505" s="152"/>
      <c r="BG1505" s="152"/>
      <c r="BH1505" s="152"/>
      <c r="BI1505" s="153"/>
      <c r="BJ1505" s="153"/>
      <c r="BK1505" s="153"/>
      <c r="BL1505" s="153"/>
      <c r="BM1505" s="153"/>
      <c r="BN1505" s="153"/>
      <c r="BO1505" s="153"/>
      <c r="BP1505" s="153"/>
      <c r="BQ1505" s="153"/>
      <c r="BR1505" s="153"/>
      <c r="BS1505" s="153"/>
      <c r="BT1505" s="153"/>
      <c r="BU1505" s="153"/>
      <c r="BV1505" s="153"/>
      <c r="BW1505" s="153"/>
      <c r="BX1505" s="153"/>
      <c r="BY1505" s="153"/>
      <c r="BZ1505" s="153"/>
      <c r="CA1505" s="189"/>
      <c r="CB1505" s="152"/>
      <c r="CC1505" s="127"/>
    </row>
    <row r="1506" spans="1:81" x14ac:dyDescent="0.2">
      <c r="A1506" s="152"/>
      <c r="B1506" s="683"/>
      <c r="C1506" s="683"/>
      <c r="D1506" s="698"/>
      <c r="E1506" s="215"/>
      <c r="F1506" s="215"/>
      <c r="G1506" s="153"/>
      <c r="H1506" s="153"/>
      <c r="I1506" s="150">
        <v>20</v>
      </c>
      <c r="J1506" s="150">
        <v>30</v>
      </c>
      <c r="K1506" s="150">
        <v>1</v>
      </c>
      <c r="L1506" s="656">
        <v>10</v>
      </c>
      <c r="M1506" s="654">
        <v>36687</v>
      </c>
      <c r="N1506" s="596">
        <v>10.364022</v>
      </c>
      <c r="O1506" s="594">
        <v>1.5022475962443811E-2</v>
      </c>
      <c r="P1506" s="114">
        <v>0</v>
      </c>
      <c r="Q1506" s="114">
        <v>0</v>
      </c>
      <c r="R1506" s="114">
        <v>0.15574622984919398</v>
      </c>
      <c r="S1506" s="114">
        <v>2.0633682490156749E-2</v>
      </c>
      <c r="T1506" s="114">
        <v>4.7229032018423593E-2</v>
      </c>
      <c r="U1506" s="114">
        <v>0.17697422182601591</v>
      </c>
      <c r="V1506" s="496">
        <v>0.3257001708639774</v>
      </c>
      <c r="W1506" s="496">
        <v>0.1865017457841171</v>
      </c>
      <c r="X1506" s="496">
        <v>8.0993239729589203E-2</v>
      </c>
      <c r="Y1506" s="496">
        <v>6.2216774385261122E-3</v>
      </c>
      <c r="Z1506" s="187">
        <v>14</v>
      </c>
      <c r="AA1506" s="150"/>
      <c r="AB1506" s="21" t="s">
        <v>67</v>
      </c>
      <c r="AC1506" s="103"/>
      <c r="AD1506" s="186">
        <v>12.755880000000001</v>
      </c>
      <c r="AE1506" s="186">
        <v>0.57607200000000003</v>
      </c>
      <c r="AF1506" s="186">
        <v>7.3363129999999996</v>
      </c>
      <c r="AG1506" s="186">
        <v>1.4173200000000001</v>
      </c>
      <c r="AH1506" s="336"/>
      <c r="AI1506" s="218"/>
      <c r="AJ1506" s="218"/>
      <c r="AK1506" s="153"/>
      <c r="AL1506" s="152"/>
      <c r="AM1506" s="152"/>
      <c r="AN1506" s="152"/>
      <c r="AO1506" s="152"/>
      <c r="AP1506" s="152"/>
      <c r="AQ1506" s="152"/>
      <c r="AR1506" s="152"/>
      <c r="AS1506" s="152"/>
      <c r="AT1506" s="152"/>
      <c r="AU1506" s="153"/>
      <c r="AV1506" s="479"/>
      <c r="AW1506" s="479"/>
      <c r="AX1506" s="442"/>
      <c r="AY1506" s="153"/>
      <c r="AZ1506" s="152"/>
      <c r="BA1506" s="152"/>
      <c r="BB1506" s="152"/>
      <c r="BC1506" s="152"/>
      <c r="BD1506" s="152"/>
      <c r="BE1506" s="152"/>
      <c r="BF1506" s="152"/>
      <c r="BG1506" s="152"/>
      <c r="BH1506" s="152"/>
      <c r="BI1506" s="153"/>
      <c r="BJ1506" s="153"/>
      <c r="BK1506" s="153"/>
      <c r="BL1506" s="153"/>
      <c r="BM1506" s="153"/>
      <c r="BN1506" s="153"/>
      <c r="BO1506" s="153"/>
      <c r="BP1506" s="153"/>
      <c r="BQ1506" s="153"/>
      <c r="BR1506" s="153"/>
      <c r="BS1506" s="153"/>
      <c r="BT1506" s="153"/>
      <c r="BU1506" s="153"/>
      <c r="BV1506" s="153"/>
      <c r="BW1506" s="153"/>
      <c r="BX1506" s="153"/>
      <c r="BY1506" s="153"/>
      <c r="BZ1506" s="153"/>
      <c r="CA1506" s="189"/>
      <c r="CB1506" s="152"/>
      <c r="CC1506" s="127"/>
    </row>
    <row r="1507" spans="1:81" x14ac:dyDescent="0.2">
      <c r="A1507" s="152"/>
      <c r="B1507" s="683"/>
      <c r="C1507" s="683"/>
      <c r="D1507" s="698"/>
      <c r="E1507" s="215"/>
      <c r="F1507" s="215"/>
      <c r="G1507" s="153"/>
      <c r="H1507" s="153"/>
      <c r="I1507" s="150">
        <v>20</v>
      </c>
      <c r="J1507" s="150">
        <v>30</v>
      </c>
      <c r="K1507" s="150">
        <v>1</v>
      </c>
      <c r="L1507" s="656">
        <v>10</v>
      </c>
      <c r="M1507" s="654">
        <v>36688</v>
      </c>
      <c r="N1507" s="596">
        <v>9.4861949999999986</v>
      </c>
      <c r="O1507" s="594">
        <v>2.6881649932795879E-2</v>
      </c>
      <c r="P1507" s="114">
        <v>0</v>
      </c>
      <c r="Q1507" s="114">
        <v>0.55713544369486245</v>
      </c>
      <c r="R1507" s="114">
        <v>0</v>
      </c>
      <c r="S1507" s="114">
        <v>7.9709392838609228E-2</v>
      </c>
      <c r="T1507" s="114">
        <v>2.5220550077841204E-2</v>
      </c>
      <c r="U1507" s="114">
        <v>6.7566165023352359E-2</v>
      </c>
      <c r="V1507" s="496">
        <v>0.14603009859885832</v>
      </c>
      <c r="W1507" s="496">
        <v>8.8012454592631018E-2</v>
      </c>
      <c r="X1507" s="496">
        <v>3.321224701608718E-2</v>
      </c>
      <c r="Y1507" s="496">
        <v>3.113648157758173E-3</v>
      </c>
      <c r="Z1507" s="187">
        <v>35</v>
      </c>
      <c r="AA1507" s="150"/>
      <c r="AB1507" s="21" t="s">
        <v>67</v>
      </c>
      <c r="AC1507" s="103"/>
      <c r="AD1507" s="186">
        <v>12.755880000000001</v>
      </c>
      <c r="AE1507" s="186">
        <v>0.53339999999999999</v>
      </c>
      <c r="AF1507" s="186">
        <v>6.790989999999999</v>
      </c>
      <c r="AG1507" s="186">
        <v>1.414272</v>
      </c>
      <c r="AH1507" s="336"/>
      <c r="AI1507" s="218"/>
      <c r="AJ1507" s="218"/>
      <c r="AK1507" s="153"/>
      <c r="AL1507" s="152"/>
      <c r="AM1507" s="152"/>
      <c r="AN1507" s="152"/>
      <c r="AO1507" s="152"/>
      <c r="AP1507" s="152"/>
      <c r="AQ1507" s="152"/>
      <c r="AR1507" s="152"/>
      <c r="AS1507" s="152"/>
      <c r="AT1507" s="152"/>
      <c r="AU1507" s="153"/>
      <c r="AV1507" s="479"/>
      <c r="AW1507" s="479"/>
      <c r="AX1507" s="442"/>
      <c r="AY1507" s="153"/>
      <c r="AZ1507" s="152"/>
      <c r="BA1507" s="152"/>
      <c r="BB1507" s="152"/>
      <c r="BC1507" s="152"/>
      <c r="BD1507" s="152"/>
      <c r="BE1507" s="152"/>
      <c r="BF1507" s="152"/>
      <c r="BG1507" s="152"/>
      <c r="BH1507" s="152"/>
      <c r="BI1507" s="153"/>
      <c r="BJ1507" s="153"/>
      <c r="BK1507" s="153"/>
      <c r="BL1507" s="153"/>
      <c r="BM1507" s="153"/>
      <c r="BN1507" s="153"/>
      <c r="BO1507" s="153"/>
      <c r="BP1507" s="153"/>
      <c r="BQ1507" s="153"/>
      <c r="BR1507" s="153"/>
      <c r="BS1507" s="153"/>
      <c r="BT1507" s="153"/>
      <c r="BU1507" s="153"/>
      <c r="BV1507" s="153"/>
      <c r="BW1507" s="153"/>
      <c r="BX1507" s="153"/>
      <c r="BY1507" s="153"/>
      <c r="BZ1507" s="153"/>
      <c r="CA1507" s="189"/>
      <c r="CB1507" s="152"/>
      <c r="CC1507" s="127"/>
    </row>
    <row r="1508" spans="1:81" x14ac:dyDescent="0.2">
      <c r="A1508" s="152"/>
      <c r="B1508" s="683"/>
      <c r="C1508" s="683"/>
      <c r="D1508" s="698"/>
      <c r="E1508" s="215"/>
      <c r="F1508" s="215"/>
      <c r="G1508" s="153"/>
      <c r="H1508" s="153"/>
      <c r="I1508" s="150">
        <v>20</v>
      </c>
      <c r="J1508" s="150">
        <v>30</v>
      </c>
      <c r="K1508" s="150">
        <v>1</v>
      </c>
      <c r="L1508" s="656">
        <v>10</v>
      </c>
      <c r="M1508" s="654">
        <v>36688</v>
      </c>
      <c r="N1508" s="596">
        <v>9.3446099999999994</v>
      </c>
      <c r="O1508" s="594">
        <v>3.2358419919103951E-3</v>
      </c>
      <c r="P1508" s="114">
        <v>0</v>
      </c>
      <c r="Q1508" s="114">
        <v>0</v>
      </c>
      <c r="R1508" s="114">
        <v>0</v>
      </c>
      <c r="S1508" s="114">
        <v>0</v>
      </c>
      <c r="T1508" s="114">
        <v>1.8968787722021038E-2</v>
      </c>
      <c r="U1508" s="114">
        <v>9.8896361441627861E-2</v>
      </c>
      <c r="V1508" s="496">
        <v>0.34290394895671666</v>
      </c>
      <c r="W1508" s="496">
        <v>0.33643731677875494</v>
      </c>
      <c r="X1508" s="496">
        <v>0.18520434557682361</v>
      </c>
      <c r="Y1508" s="496">
        <v>1.7589239524055871E-2</v>
      </c>
      <c r="Z1508" s="187">
        <v>5</v>
      </c>
      <c r="AA1508" s="150"/>
      <c r="AB1508" s="21" t="s">
        <v>67</v>
      </c>
      <c r="AC1508" s="103"/>
      <c r="AD1508" s="186">
        <v>12.755880000000001</v>
      </c>
      <c r="AE1508" s="186">
        <v>0.53339999999999999</v>
      </c>
      <c r="AF1508" s="186">
        <v>6.790989999999999</v>
      </c>
      <c r="AG1508" s="186">
        <v>1.414272</v>
      </c>
      <c r="AH1508" s="336"/>
      <c r="AI1508" s="218"/>
      <c r="AJ1508" s="218"/>
      <c r="AK1508" s="153"/>
      <c r="AL1508" s="152"/>
      <c r="AM1508" s="152"/>
      <c r="AN1508" s="152"/>
      <c r="AO1508" s="152"/>
      <c r="AP1508" s="152"/>
      <c r="AQ1508" s="152"/>
      <c r="AR1508" s="152"/>
      <c r="AS1508" s="152"/>
      <c r="AT1508" s="152"/>
      <c r="AU1508" s="153"/>
      <c r="AV1508" s="479"/>
      <c r="AW1508" s="479"/>
      <c r="AX1508" s="442"/>
      <c r="AY1508" s="153"/>
      <c r="AZ1508" s="152"/>
      <c r="BA1508" s="152"/>
      <c r="BB1508" s="152"/>
      <c r="BC1508" s="152"/>
      <c r="BD1508" s="152"/>
      <c r="BE1508" s="152"/>
      <c r="BF1508" s="152"/>
      <c r="BG1508" s="152"/>
      <c r="BH1508" s="152"/>
      <c r="BI1508" s="153"/>
      <c r="BJ1508" s="153"/>
      <c r="BK1508" s="153"/>
      <c r="BL1508" s="153"/>
      <c r="BM1508" s="153"/>
      <c r="BN1508" s="153"/>
      <c r="BO1508" s="153"/>
      <c r="BP1508" s="153"/>
      <c r="BQ1508" s="153"/>
      <c r="BR1508" s="153"/>
      <c r="BS1508" s="153"/>
      <c r="BT1508" s="153"/>
      <c r="BU1508" s="153"/>
      <c r="BV1508" s="153"/>
      <c r="BW1508" s="153"/>
      <c r="BX1508" s="153"/>
      <c r="BY1508" s="153"/>
      <c r="BZ1508" s="153"/>
      <c r="CA1508" s="189"/>
      <c r="CB1508" s="152"/>
      <c r="CC1508" s="127"/>
    </row>
    <row r="1509" spans="1:81" x14ac:dyDescent="0.2">
      <c r="A1509" s="152"/>
      <c r="B1509" s="683"/>
      <c r="C1509" s="683"/>
      <c r="D1509" s="698"/>
      <c r="E1509" s="215"/>
      <c r="F1509" s="215"/>
      <c r="G1509" s="153"/>
      <c r="H1509" s="153"/>
      <c r="I1509" s="150">
        <v>20</v>
      </c>
      <c r="J1509" s="150">
        <v>30</v>
      </c>
      <c r="K1509" s="150">
        <v>1</v>
      </c>
      <c r="L1509" s="656">
        <v>10</v>
      </c>
      <c r="M1509" s="654">
        <v>36690</v>
      </c>
      <c r="N1509" s="596">
        <v>8.495099999999999</v>
      </c>
      <c r="O1509" s="594">
        <v>3.6401129908997182E-3</v>
      </c>
      <c r="P1509" s="114">
        <v>0</v>
      </c>
      <c r="Q1509" s="114">
        <v>0</v>
      </c>
      <c r="R1509" s="114">
        <v>0</v>
      </c>
      <c r="S1509" s="114">
        <v>5.2502490994098254E-2</v>
      </c>
      <c r="T1509" s="114">
        <v>1.2569939449681917E-2</v>
      </c>
      <c r="U1509" s="114">
        <v>0.10508162796045067</v>
      </c>
      <c r="V1509" s="496">
        <v>0.26925730052885721</v>
      </c>
      <c r="W1509" s="496">
        <v>0.31785084693799343</v>
      </c>
      <c r="X1509" s="496">
        <v>0.22418946884341223</v>
      </c>
      <c r="Y1509" s="496">
        <v>1.8548325285506245E-2</v>
      </c>
      <c r="Z1509" s="187">
        <v>9</v>
      </c>
      <c r="AA1509" s="150"/>
      <c r="AB1509" s="21" t="s">
        <v>67</v>
      </c>
      <c r="AC1509" s="103"/>
      <c r="AD1509" s="186">
        <v>12.755880000000001</v>
      </c>
      <c r="AE1509" s="186">
        <v>0.50901600000000002</v>
      </c>
      <c r="AF1509" s="186">
        <v>6.5057869999999998</v>
      </c>
      <c r="AG1509" s="186">
        <v>1.3746480000000001</v>
      </c>
      <c r="AH1509" s="336"/>
      <c r="AI1509" s="218"/>
      <c r="AJ1509" s="218"/>
      <c r="AK1509" s="153"/>
      <c r="AL1509" s="152"/>
      <c r="AM1509" s="152"/>
      <c r="AN1509" s="152"/>
      <c r="AO1509" s="152"/>
      <c r="AP1509" s="152"/>
      <c r="AQ1509" s="152"/>
      <c r="AR1509" s="152"/>
      <c r="AS1509" s="152"/>
      <c r="AT1509" s="152"/>
      <c r="AU1509" s="153"/>
      <c r="AV1509" s="479"/>
      <c r="AW1509" s="479"/>
      <c r="AX1509" s="442"/>
      <c r="AY1509" s="153"/>
      <c r="AZ1509" s="152"/>
      <c r="BA1509" s="152"/>
      <c r="BB1509" s="152"/>
      <c r="BC1509" s="152"/>
      <c r="BD1509" s="152"/>
      <c r="BE1509" s="152"/>
      <c r="BF1509" s="152"/>
      <c r="BG1509" s="152"/>
      <c r="BH1509" s="152"/>
      <c r="BI1509" s="153"/>
      <c r="BJ1509" s="153"/>
      <c r="BK1509" s="153"/>
      <c r="BL1509" s="153"/>
      <c r="BM1509" s="153"/>
      <c r="BN1509" s="153"/>
      <c r="BO1509" s="153"/>
      <c r="BP1509" s="153"/>
      <c r="BQ1509" s="153"/>
      <c r="BR1509" s="153"/>
      <c r="BS1509" s="153"/>
      <c r="BT1509" s="153"/>
      <c r="BU1509" s="153"/>
      <c r="BV1509" s="153"/>
      <c r="BW1509" s="153"/>
      <c r="BX1509" s="153"/>
      <c r="BY1509" s="153"/>
      <c r="BZ1509" s="153"/>
      <c r="CA1509" s="189"/>
      <c r="CB1509" s="152"/>
      <c r="CC1509" s="127"/>
    </row>
    <row r="1510" spans="1:81" x14ac:dyDescent="0.2">
      <c r="A1510" s="152"/>
      <c r="B1510" s="683"/>
      <c r="C1510" s="683"/>
      <c r="D1510" s="698"/>
      <c r="E1510" s="215"/>
      <c r="F1510" s="215"/>
      <c r="G1510" s="153"/>
      <c r="H1510" s="153"/>
      <c r="I1510" s="150">
        <v>20</v>
      </c>
      <c r="J1510" s="150">
        <v>30</v>
      </c>
      <c r="K1510" s="150">
        <v>1</v>
      </c>
      <c r="L1510" s="656">
        <v>10</v>
      </c>
      <c r="M1510" s="654">
        <v>36690</v>
      </c>
      <c r="N1510" s="596">
        <v>8.495099999999999</v>
      </c>
      <c r="O1510" s="594">
        <v>1.9661687950845781E-2</v>
      </c>
      <c r="P1510" s="114">
        <v>0</v>
      </c>
      <c r="Q1510" s="114">
        <v>0</v>
      </c>
      <c r="R1510" s="114">
        <v>0</v>
      </c>
      <c r="S1510" s="114">
        <v>1.7340220229310931E-2</v>
      </c>
      <c r="T1510" s="114">
        <v>4.9111703939153137E-2</v>
      </c>
      <c r="U1510" s="114">
        <v>0.21075036894085597</v>
      </c>
      <c r="V1510" s="496">
        <v>0.39231184016346915</v>
      </c>
      <c r="W1510" s="496">
        <v>0.25078045181064823</v>
      </c>
      <c r="X1510" s="496">
        <v>7.5420024974457947E-2</v>
      </c>
      <c r="Y1510" s="496">
        <v>4.2853899421046657E-3</v>
      </c>
      <c r="Z1510" s="187">
        <v>10</v>
      </c>
      <c r="AA1510" s="150"/>
      <c r="AB1510" s="21" t="s">
        <v>67</v>
      </c>
      <c r="AC1510" s="103"/>
      <c r="AD1510" s="186">
        <v>12.755880000000001</v>
      </c>
      <c r="AE1510" s="186">
        <v>0.50901600000000002</v>
      </c>
      <c r="AF1510" s="186">
        <v>6.5057869999999998</v>
      </c>
      <c r="AG1510" s="186">
        <v>1.3746480000000001</v>
      </c>
      <c r="AH1510" s="336"/>
      <c r="AI1510" s="218"/>
      <c r="AJ1510" s="218"/>
      <c r="AK1510" s="153"/>
      <c r="AL1510" s="152"/>
      <c r="AM1510" s="152"/>
      <c r="AN1510" s="152"/>
      <c r="AO1510" s="152"/>
      <c r="AP1510" s="152"/>
      <c r="AQ1510" s="152"/>
      <c r="AR1510" s="152"/>
      <c r="AS1510" s="152"/>
      <c r="AT1510" s="152"/>
      <c r="AU1510" s="153"/>
      <c r="AV1510" s="479"/>
      <c r="AW1510" s="479"/>
      <c r="AX1510" s="442"/>
      <c r="AY1510" s="153"/>
      <c r="AZ1510" s="152"/>
      <c r="BA1510" s="152"/>
      <c r="BB1510" s="152"/>
      <c r="BC1510" s="152"/>
      <c r="BD1510" s="152"/>
      <c r="BE1510" s="152"/>
      <c r="BF1510" s="152"/>
      <c r="BG1510" s="152"/>
      <c r="BH1510" s="152"/>
      <c r="BI1510" s="153"/>
      <c r="BJ1510" s="153"/>
      <c r="BK1510" s="153"/>
      <c r="BL1510" s="153"/>
      <c r="BM1510" s="153"/>
      <c r="BN1510" s="153"/>
      <c r="BO1510" s="153"/>
      <c r="BP1510" s="153"/>
      <c r="BQ1510" s="153"/>
      <c r="BR1510" s="153"/>
      <c r="BS1510" s="153"/>
      <c r="BT1510" s="153"/>
      <c r="BU1510" s="153"/>
      <c r="BV1510" s="153"/>
      <c r="BW1510" s="153"/>
      <c r="BX1510" s="153"/>
      <c r="BY1510" s="153"/>
      <c r="BZ1510" s="153"/>
      <c r="CA1510" s="189"/>
      <c r="CB1510" s="152"/>
      <c r="CC1510" s="127"/>
    </row>
    <row r="1511" spans="1:81" x14ac:dyDescent="0.2">
      <c r="A1511" s="152"/>
      <c r="B1511" s="683"/>
      <c r="C1511" s="683"/>
      <c r="D1511" s="698"/>
      <c r="E1511" s="215"/>
      <c r="F1511" s="215"/>
      <c r="G1511" s="153"/>
      <c r="H1511" s="153"/>
      <c r="I1511" s="150">
        <v>20</v>
      </c>
      <c r="J1511" s="150">
        <v>30</v>
      </c>
      <c r="K1511" s="150">
        <v>1</v>
      </c>
      <c r="L1511" s="656">
        <v>10</v>
      </c>
      <c r="M1511" s="654">
        <v>36691</v>
      </c>
      <c r="N1511" s="596">
        <v>8.495099999999999</v>
      </c>
      <c r="O1511" s="594">
        <v>6.3305099841737249E-3</v>
      </c>
      <c r="P1511" s="114">
        <v>0</v>
      </c>
      <c r="Q1511" s="114">
        <v>0</v>
      </c>
      <c r="R1511" s="114">
        <v>0</v>
      </c>
      <c r="S1511" s="114">
        <v>0</v>
      </c>
      <c r="T1511" s="114">
        <v>5.3768179814896434E-2</v>
      </c>
      <c r="U1511" s="114">
        <v>0.2172763331864257</v>
      </c>
      <c r="V1511" s="496">
        <v>0.33715293080652275</v>
      </c>
      <c r="W1511" s="496">
        <v>0.27457029528426624</v>
      </c>
      <c r="X1511" s="496">
        <v>0.11018069634200088</v>
      </c>
      <c r="Y1511" s="496">
        <v>7.0515645658880566E-3</v>
      </c>
      <c r="Z1511" s="187">
        <v>6</v>
      </c>
      <c r="AA1511" s="150"/>
      <c r="AB1511" s="21" t="s">
        <v>67</v>
      </c>
      <c r="AC1511" s="103"/>
      <c r="AD1511" s="186">
        <v>12.755880000000001</v>
      </c>
      <c r="AE1511" s="186">
        <v>0.48768000000000006</v>
      </c>
      <c r="AF1511" s="186">
        <v>6.2345189999999997</v>
      </c>
      <c r="AG1511" s="186">
        <v>1.3411200000000001</v>
      </c>
      <c r="AH1511" s="336"/>
      <c r="AI1511" s="218"/>
      <c r="AJ1511" s="218"/>
      <c r="AK1511" s="153"/>
      <c r="AL1511" s="152"/>
      <c r="AM1511" s="152"/>
      <c r="AN1511" s="152"/>
      <c r="AO1511" s="152"/>
      <c r="AP1511" s="152"/>
      <c r="AQ1511" s="152"/>
      <c r="AR1511" s="152"/>
      <c r="AS1511" s="152"/>
      <c r="AT1511" s="152"/>
      <c r="AU1511" s="153"/>
      <c r="AV1511" s="479"/>
      <c r="AW1511" s="479"/>
      <c r="AX1511" s="442"/>
      <c r="AY1511" s="153"/>
      <c r="AZ1511" s="152"/>
      <c r="BA1511" s="152"/>
      <c r="BB1511" s="152"/>
      <c r="BC1511" s="152"/>
      <c r="BD1511" s="152"/>
      <c r="BE1511" s="152"/>
      <c r="BF1511" s="152"/>
      <c r="BG1511" s="152"/>
      <c r="BH1511" s="152"/>
      <c r="BI1511" s="153"/>
      <c r="BJ1511" s="153"/>
      <c r="BK1511" s="153"/>
      <c r="BL1511" s="153"/>
      <c r="BM1511" s="153"/>
      <c r="BN1511" s="153"/>
      <c r="BO1511" s="153"/>
      <c r="BP1511" s="153"/>
      <c r="BQ1511" s="153"/>
      <c r="BR1511" s="153"/>
      <c r="BS1511" s="153"/>
      <c r="BT1511" s="153"/>
      <c r="BU1511" s="153"/>
      <c r="BV1511" s="153"/>
      <c r="BW1511" s="153"/>
      <c r="BX1511" s="153"/>
      <c r="BY1511" s="153"/>
      <c r="BZ1511" s="153"/>
      <c r="CA1511" s="189"/>
      <c r="CB1511" s="152"/>
      <c r="CC1511" s="127"/>
    </row>
    <row r="1512" spans="1:81" x14ac:dyDescent="0.2">
      <c r="A1512" s="152"/>
      <c r="B1512" s="683"/>
      <c r="C1512" s="683"/>
      <c r="D1512" s="698"/>
      <c r="E1512" s="215"/>
      <c r="F1512" s="215"/>
      <c r="G1512" s="153"/>
      <c r="H1512" s="153"/>
      <c r="I1512" s="150">
        <v>20</v>
      </c>
      <c r="J1512" s="150">
        <v>30</v>
      </c>
      <c r="K1512" s="150">
        <v>1</v>
      </c>
      <c r="L1512" s="656">
        <v>10</v>
      </c>
      <c r="M1512" s="654">
        <v>36691</v>
      </c>
      <c r="N1512" s="596">
        <v>8.495099999999999</v>
      </c>
      <c r="O1512" s="594">
        <v>9.444149976389626E-3</v>
      </c>
      <c r="P1512" s="114">
        <v>0</v>
      </c>
      <c r="Q1512" s="114">
        <v>0</v>
      </c>
      <c r="R1512" s="114">
        <v>0</v>
      </c>
      <c r="S1512" s="114">
        <v>0</v>
      </c>
      <c r="T1512" s="114">
        <v>0.12082717872968979</v>
      </c>
      <c r="U1512" s="114">
        <v>0.14652880354505168</v>
      </c>
      <c r="V1512" s="496">
        <v>0.33855243722304279</v>
      </c>
      <c r="W1512" s="496">
        <v>0.28892171344165429</v>
      </c>
      <c r="X1512" s="496">
        <v>9.719350073855243E-2</v>
      </c>
      <c r="Y1512" s="496">
        <v>7.9763663220088626E-3</v>
      </c>
      <c r="Z1512" s="187">
        <v>9</v>
      </c>
      <c r="AA1512" s="150"/>
      <c r="AB1512" s="21" t="s">
        <v>67</v>
      </c>
      <c r="AC1512" s="103"/>
      <c r="AD1512" s="186">
        <v>12.755880000000001</v>
      </c>
      <c r="AE1512" s="186">
        <v>0.48768000000000006</v>
      </c>
      <c r="AF1512" s="186">
        <v>6.2345189999999997</v>
      </c>
      <c r="AG1512" s="186">
        <v>1.3411200000000001</v>
      </c>
      <c r="AH1512" s="336"/>
      <c r="AI1512" s="218"/>
      <c r="AJ1512" s="218"/>
      <c r="AK1512" s="153"/>
      <c r="AL1512" s="152"/>
      <c r="AM1512" s="152"/>
      <c r="AN1512" s="152"/>
      <c r="AO1512" s="152"/>
      <c r="AP1512" s="152"/>
      <c r="AQ1512" s="152"/>
      <c r="AR1512" s="152"/>
      <c r="AS1512" s="152"/>
      <c r="AT1512" s="152"/>
      <c r="AU1512" s="153"/>
      <c r="AV1512" s="479"/>
      <c r="AW1512" s="479"/>
      <c r="AX1512" s="442"/>
      <c r="AY1512" s="153"/>
      <c r="AZ1512" s="152"/>
      <c r="BA1512" s="152"/>
      <c r="BB1512" s="152"/>
      <c r="BC1512" s="152"/>
      <c r="BD1512" s="152"/>
      <c r="BE1512" s="152"/>
      <c r="BF1512" s="152"/>
      <c r="BG1512" s="152"/>
      <c r="BH1512" s="152"/>
      <c r="BI1512" s="153"/>
      <c r="BJ1512" s="153"/>
      <c r="BK1512" s="153"/>
      <c r="BL1512" s="153"/>
      <c r="BM1512" s="153"/>
      <c r="BN1512" s="153"/>
      <c r="BO1512" s="153"/>
      <c r="BP1512" s="153"/>
      <c r="BQ1512" s="153"/>
      <c r="BR1512" s="153"/>
      <c r="BS1512" s="153"/>
      <c r="BT1512" s="153"/>
      <c r="BU1512" s="153"/>
      <c r="BV1512" s="153"/>
      <c r="BW1512" s="153"/>
      <c r="BX1512" s="153"/>
      <c r="BY1512" s="153"/>
      <c r="BZ1512" s="153"/>
      <c r="CA1512" s="189"/>
      <c r="CB1512" s="152"/>
      <c r="CC1512" s="127"/>
    </row>
    <row r="1513" spans="1:81" x14ac:dyDescent="0.2">
      <c r="A1513" s="152"/>
      <c r="B1513" s="683"/>
      <c r="C1513" s="683"/>
      <c r="D1513" s="698"/>
      <c r="E1513" s="215"/>
      <c r="F1513" s="215"/>
      <c r="G1513" s="153"/>
      <c r="H1513" s="153"/>
      <c r="I1513" s="150">
        <v>20</v>
      </c>
      <c r="J1513" s="150">
        <v>30</v>
      </c>
      <c r="K1513" s="150">
        <v>1</v>
      </c>
      <c r="L1513" s="656">
        <v>10</v>
      </c>
      <c r="M1513" s="654">
        <v>36691</v>
      </c>
      <c r="N1513" s="596">
        <v>8.3818319999999993</v>
      </c>
      <c r="O1513" s="594">
        <v>7.7218829806952917E-3</v>
      </c>
      <c r="P1513" s="114">
        <v>0</v>
      </c>
      <c r="Q1513" s="114">
        <v>0</v>
      </c>
      <c r="R1513" s="114">
        <v>0</v>
      </c>
      <c r="S1513" s="114">
        <v>0</v>
      </c>
      <c r="T1513" s="114">
        <v>3.1072731871228821E-2</v>
      </c>
      <c r="U1513" s="114">
        <v>0.21685876359432027</v>
      </c>
      <c r="V1513" s="496">
        <v>0.42204718719514406</v>
      </c>
      <c r="W1513" s="496">
        <v>0.24818441305054739</v>
      </c>
      <c r="X1513" s="496">
        <v>7.4755211908805158E-2</v>
      </c>
      <c r="Y1513" s="496">
        <v>7.0816923799544747E-3</v>
      </c>
      <c r="Z1513" s="187">
        <v>3</v>
      </c>
      <c r="AA1513" s="150"/>
      <c r="AB1513" s="21" t="s">
        <v>67</v>
      </c>
      <c r="AC1513" s="103"/>
      <c r="AD1513" s="186">
        <v>12.755880000000001</v>
      </c>
      <c r="AE1513" s="186">
        <v>0.48768000000000006</v>
      </c>
      <c r="AF1513" s="186">
        <v>6.2345189999999997</v>
      </c>
      <c r="AG1513" s="186">
        <v>1.3411200000000001</v>
      </c>
      <c r="AH1513" s="336"/>
      <c r="AI1513" s="218"/>
      <c r="AJ1513" s="218"/>
      <c r="AK1513" s="153"/>
      <c r="AL1513" s="152"/>
      <c r="AM1513" s="152"/>
      <c r="AN1513" s="152"/>
      <c r="AO1513" s="152"/>
      <c r="AP1513" s="152"/>
      <c r="AQ1513" s="152"/>
      <c r="AR1513" s="152"/>
      <c r="AS1513" s="152"/>
      <c r="AT1513" s="152"/>
      <c r="AU1513" s="153"/>
      <c r="AV1513" s="479"/>
      <c r="AW1513" s="479"/>
      <c r="AX1513" s="442"/>
      <c r="AY1513" s="153"/>
      <c r="AZ1513" s="152"/>
      <c r="BA1513" s="152"/>
      <c r="BB1513" s="152"/>
      <c r="BC1513" s="152"/>
      <c r="BD1513" s="152"/>
      <c r="BE1513" s="152"/>
      <c r="BF1513" s="152"/>
      <c r="BG1513" s="152"/>
      <c r="BH1513" s="152"/>
      <c r="BI1513" s="153"/>
      <c r="BJ1513" s="153"/>
      <c r="BK1513" s="153"/>
      <c r="BL1513" s="153"/>
      <c r="BM1513" s="153"/>
      <c r="BN1513" s="153"/>
      <c r="BO1513" s="153"/>
      <c r="BP1513" s="153"/>
      <c r="BQ1513" s="153"/>
      <c r="BR1513" s="153"/>
      <c r="BS1513" s="153"/>
      <c r="BT1513" s="153"/>
      <c r="BU1513" s="153"/>
      <c r="BV1513" s="153"/>
      <c r="BW1513" s="153"/>
      <c r="BX1513" s="153"/>
      <c r="BY1513" s="153"/>
      <c r="BZ1513" s="153"/>
      <c r="CA1513" s="189"/>
      <c r="CB1513" s="152"/>
      <c r="CC1513" s="127"/>
    </row>
    <row r="1514" spans="1:81" x14ac:dyDescent="0.2">
      <c r="A1514" s="152"/>
      <c r="B1514" s="683"/>
      <c r="C1514" s="683"/>
      <c r="D1514" s="698"/>
      <c r="E1514" s="215"/>
      <c r="F1514" s="215"/>
      <c r="G1514" s="153"/>
      <c r="H1514" s="153"/>
      <c r="I1514" s="150">
        <v>20</v>
      </c>
      <c r="J1514" s="150">
        <v>30</v>
      </c>
      <c r="K1514" s="150">
        <v>1</v>
      </c>
      <c r="L1514" s="656">
        <v>10</v>
      </c>
      <c r="M1514" s="654">
        <v>36691</v>
      </c>
      <c r="N1514" s="596">
        <v>8.3818319999999993</v>
      </c>
      <c r="O1514" s="594">
        <v>1.8243251954391873E-2</v>
      </c>
      <c r="P1514" s="114">
        <v>0</v>
      </c>
      <c r="Q1514" s="114">
        <v>0</v>
      </c>
      <c r="R1514" s="114">
        <v>0</v>
      </c>
      <c r="S1514" s="114">
        <v>0.10267939071389245</v>
      </c>
      <c r="T1514" s="114">
        <v>9.1469382761362905E-2</v>
      </c>
      <c r="U1514" s="114">
        <v>0.20207071633938947</v>
      </c>
      <c r="V1514" s="496">
        <v>0.3267419098305499</v>
      </c>
      <c r="W1514" s="496">
        <v>0.20410472869639687</v>
      </c>
      <c r="X1514" s="496">
        <v>6.799412736281886E-2</v>
      </c>
      <c r="Y1514" s="496">
        <v>4.9397442955894048E-3</v>
      </c>
      <c r="Z1514" s="187">
        <v>12</v>
      </c>
      <c r="AA1514" s="150"/>
      <c r="AB1514" s="21" t="s">
        <v>67</v>
      </c>
      <c r="AC1514" s="103"/>
      <c r="AD1514" s="186">
        <v>12.755880000000001</v>
      </c>
      <c r="AE1514" s="186">
        <v>0.48768000000000006</v>
      </c>
      <c r="AF1514" s="186">
        <v>6.2345189999999997</v>
      </c>
      <c r="AG1514" s="186">
        <v>1.3411200000000001</v>
      </c>
      <c r="AH1514" s="336"/>
      <c r="AI1514" s="218"/>
      <c r="AJ1514" s="218"/>
      <c r="AK1514" s="153"/>
      <c r="AL1514" s="152"/>
      <c r="AM1514" s="152"/>
      <c r="AN1514" s="152"/>
      <c r="AO1514" s="152"/>
      <c r="AP1514" s="152"/>
      <c r="AQ1514" s="152"/>
      <c r="AR1514" s="152"/>
      <c r="AS1514" s="152"/>
      <c r="AT1514" s="152"/>
      <c r="AU1514" s="153"/>
      <c r="AV1514" s="479"/>
      <c r="AW1514" s="479"/>
      <c r="AX1514" s="442"/>
      <c r="AY1514" s="153"/>
      <c r="AZ1514" s="152"/>
      <c r="BA1514" s="152"/>
      <c r="BB1514" s="152"/>
      <c r="BC1514" s="152"/>
      <c r="BD1514" s="152"/>
      <c r="BE1514" s="152"/>
      <c r="BF1514" s="152"/>
      <c r="BG1514" s="152"/>
      <c r="BH1514" s="152"/>
      <c r="BI1514" s="153"/>
      <c r="BJ1514" s="153"/>
      <c r="BK1514" s="153"/>
      <c r="BL1514" s="153"/>
      <c r="BM1514" s="153"/>
      <c r="BN1514" s="153"/>
      <c r="BO1514" s="153"/>
      <c r="BP1514" s="153"/>
      <c r="BQ1514" s="153"/>
      <c r="BR1514" s="153"/>
      <c r="BS1514" s="153"/>
      <c r="BT1514" s="153"/>
      <c r="BU1514" s="153"/>
      <c r="BV1514" s="153"/>
      <c r="BW1514" s="153"/>
      <c r="BX1514" s="153"/>
      <c r="BY1514" s="153"/>
      <c r="BZ1514" s="153"/>
      <c r="CA1514" s="189"/>
      <c r="CB1514" s="152"/>
      <c r="CC1514" s="127"/>
    </row>
    <row r="1515" spans="1:81" x14ac:dyDescent="0.2">
      <c r="A1515" s="152"/>
      <c r="B1515" s="683"/>
      <c r="C1515" s="683"/>
      <c r="D1515" s="698"/>
      <c r="E1515" s="215"/>
      <c r="F1515" s="215"/>
      <c r="G1515" s="153"/>
      <c r="H1515" s="153"/>
      <c r="I1515" s="150">
        <v>20</v>
      </c>
      <c r="J1515" s="150">
        <v>30</v>
      </c>
      <c r="K1515" s="150">
        <v>1</v>
      </c>
      <c r="L1515" s="656">
        <v>10</v>
      </c>
      <c r="M1515" s="654">
        <v>36691</v>
      </c>
      <c r="N1515" s="596">
        <v>8.1552959999999999</v>
      </c>
      <c r="O1515" s="594">
        <v>1.6370045959074889E-2</v>
      </c>
      <c r="P1515" s="114">
        <v>0</v>
      </c>
      <c r="Q1515" s="114">
        <v>0</v>
      </c>
      <c r="R1515" s="114">
        <v>0</v>
      </c>
      <c r="S1515" s="114">
        <v>0</v>
      </c>
      <c r="T1515" s="114">
        <v>0.10193612162116099</v>
      </c>
      <c r="U1515" s="114">
        <v>0.22519344172887479</v>
      </c>
      <c r="V1515" s="496">
        <v>0.36413062003613184</v>
      </c>
      <c r="W1515" s="496">
        <v>0.22746020383815657</v>
      </c>
      <c r="X1515" s="496">
        <v>7.5774619081705685E-2</v>
      </c>
      <c r="Y1515" s="496">
        <v>5.5049936939700721E-3</v>
      </c>
      <c r="Z1515" s="187">
        <v>3</v>
      </c>
      <c r="AA1515" s="150"/>
      <c r="AB1515" s="21" t="s">
        <v>67</v>
      </c>
      <c r="AC1515" s="103"/>
      <c r="AD1515" s="186">
        <v>12.755880000000001</v>
      </c>
      <c r="AE1515" s="186">
        <v>0.48768000000000006</v>
      </c>
      <c r="AF1515" s="186">
        <v>6.2345189999999997</v>
      </c>
      <c r="AG1515" s="186">
        <v>1.3411200000000001</v>
      </c>
      <c r="AH1515" s="336"/>
      <c r="AI1515" s="218"/>
      <c r="AJ1515" s="218"/>
      <c r="AK1515" s="153"/>
      <c r="AL1515" s="152"/>
      <c r="AM1515" s="152"/>
      <c r="AN1515" s="152"/>
      <c r="AO1515" s="152"/>
      <c r="AP1515" s="152"/>
      <c r="AQ1515" s="152"/>
      <c r="AR1515" s="152"/>
      <c r="AS1515" s="152"/>
      <c r="AT1515" s="152"/>
      <c r="AU1515" s="153"/>
      <c r="AV1515" s="479"/>
      <c r="AW1515" s="479"/>
      <c r="AX1515" s="442"/>
      <c r="AY1515" s="153"/>
      <c r="AZ1515" s="152"/>
      <c r="BA1515" s="152"/>
      <c r="BB1515" s="152"/>
      <c r="BC1515" s="152"/>
      <c r="BD1515" s="152"/>
      <c r="BE1515" s="152"/>
      <c r="BF1515" s="152"/>
      <c r="BG1515" s="152"/>
      <c r="BH1515" s="152"/>
      <c r="BI1515" s="153"/>
      <c r="BJ1515" s="153"/>
      <c r="BK1515" s="153"/>
      <c r="BL1515" s="153"/>
      <c r="BM1515" s="153"/>
      <c r="BN1515" s="153"/>
      <c r="BO1515" s="153"/>
      <c r="BP1515" s="153"/>
      <c r="BQ1515" s="153"/>
      <c r="BR1515" s="153"/>
      <c r="BS1515" s="153"/>
      <c r="BT1515" s="153"/>
      <c r="BU1515" s="153"/>
      <c r="BV1515" s="153"/>
      <c r="BW1515" s="153"/>
      <c r="BX1515" s="153"/>
      <c r="BY1515" s="153"/>
      <c r="BZ1515" s="153"/>
      <c r="CA1515" s="189"/>
      <c r="CB1515" s="152"/>
      <c r="CC1515" s="127"/>
    </row>
    <row r="1516" spans="1:81" x14ac:dyDescent="0.2">
      <c r="A1516" s="152"/>
      <c r="B1516" s="683"/>
      <c r="C1516" s="683"/>
      <c r="D1516" s="698"/>
      <c r="E1516" s="215"/>
      <c r="F1516" s="215"/>
      <c r="G1516" s="153"/>
      <c r="H1516" s="153"/>
      <c r="I1516" s="150">
        <v>20</v>
      </c>
      <c r="J1516" s="150">
        <v>30</v>
      </c>
      <c r="K1516" s="150">
        <v>1</v>
      </c>
      <c r="L1516" s="656">
        <v>10</v>
      </c>
      <c r="M1516" s="654">
        <v>36696</v>
      </c>
      <c r="N1516" s="596">
        <v>6.937665</v>
      </c>
      <c r="O1516" s="594">
        <v>3.4623899913440253E-3</v>
      </c>
      <c r="P1516" s="114">
        <v>0</v>
      </c>
      <c r="Q1516" s="114">
        <v>0</v>
      </c>
      <c r="R1516" s="114">
        <v>0</v>
      </c>
      <c r="S1516" s="114">
        <v>0</v>
      </c>
      <c r="T1516" s="114">
        <v>1.53102336825141E-2</v>
      </c>
      <c r="U1516" s="114">
        <v>0.14826752618855762</v>
      </c>
      <c r="V1516" s="496">
        <v>0.33763094278807415</v>
      </c>
      <c r="W1516" s="496">
        <v>0.34004834810636581</v>
      </c>
      <c r="X1516" s="496">
        <v>0.14585012087026589</v>
      </c>
      <c r="Y1516" s="496">
        <v>1.2892828364222403E-2</v>
      </c>
      <c r="Z1516" s="187">
        <v>5</v>
      </c>
      <c r="AA1516" s="150"/>
      <c r="AB1516" s="21" t="s">
        <v>67</v>
      </c>
      <c r="AC1516" s="103"/>
      <c r="AD1516" s="186">
        <v>12.755880000000001</v>
      </c>
      <c r="AE1516" s="186">
        <v>0.43891200000000002</v>
      </c>
      <c r="AF1516" s="186">
        <v>5.6093020000000005</v>
      </c>
      <c r="AG1516" s="186">
        <v>1.2862560000000001</v>
      </c>
      <c r="AH1516" s="336"/>
      <c r="AI1516" s="218"/>
      <c r="AJ1516" s="218"/>
      <c r="AK1516" s="153"/>
      <c r="AL1516" s="152"/>
      <c r="AM1516" s="152"/>
      <c r="AN1516" s="152"/>
      <c r="AO1516" s="152"/>
      <c r="AP1516" s="152"/>
      <c r="AQ1516" s="152"/>
      <c r="AR1516" s="152"/>
      <c r="AS1516" s="152"/>
      <c r="AT1516" s="152"/>
      <c r="AU1516" s="153"/>
      <c r="AV1516" s="479"/>
      <c r="AW1516" s="479"/>
      <c r="AX1516" s="442"/>
      <c r="AY1516" s="153"/>
      <c r="AZ1516" s="152"/>
      <c r="BA1516" s="152"/>
      <c r="BB1516" s="152"/>
      <c r="BC1516" s="152"/>
      <c r="BD1516" s="152"/>
      <c r="BE1516" s="152"/>
      <c r="BF1516" s="152"/>
      <c r="BG1516" s="152"/>
      <c r="BH1516" s="152"/>
      <c r="BI1516" s="153"/>
      <c r="BJ1516" s="153"/>
      <c r="BK1516" s="153"/>
      <c r="BL1516" s="153"/>
      <c r="BM1516" s="153"/>
      <c r="BN1516" s="153"/>
      <c r="BO1516" s="153"/>
      <c r="BP1516" s="153"/>
      <c r="BQ1516" s="153"/>
      <c r="BR1516" s="153"/>
      <c r="BS1516" s="153"/>
      <c r="BT1516" s="153"/>
      <c r="BU1516" s="153"/>
      <c r="BV1516" s="153"/>
      <c r="BW1516" s="153"/>
      <c r="BX1516" s="153"/>
      <c r="BY1516" s="153"/>
      <c r="BZ1516" s="153"/>
      <c r="CA1516" s="189"/>
      <c r="CB1516" s="152"/>
      <c r="CC1516" s="127"/>
    </row>
    <row r="1517" spans="1:81" x14ac:dyDescent="0.2">
      <c r="A1517" s="152"/>
      <c r="B1517" s="683"/>
      <c r="C1517" s="683"/>
      <c r="D1517" s="698"/>
      <c r="E1517" s="215"/>
      <c r="F1517" s="215"/>
      <c r="G1517" s="153"/>
      <c r="H1517" s="153"/>
      <c r="I1517" s="150">
        <v>20</v>
      </c>
      <c r="J1517" s="150">
        <v>30</v>
      </c>
      <c r="K1517" s="150">
        <v>1</v>
      </c>
      <c r="L1517" s="656">
        <v>10</v>
      </c>
      <c r="M1517" s="654">
        <v>36696</v>
      </c>
      <c r="N1517" s="596">
        <v>6.937665</v>
      </c>
      <c r="O1517" s="594">
        <v>1.7800199955499503E-3</v>
      </c>
      <c r="P1517" s="114">
        <v>0</v>
      </c>
      <c r="Q1517" s="114">
        <v>0</v>
      </c>
      <c r="R1517" s="114">
        <v>0</v>
      </c>
      <c r="S1517" s="114">
        <v>0</v>
      </c>
      <c r="T1517" s="114">
        <v>0</v>
      </c>
      <c r="U1517" s="114">
        <v>8.6206896551724144E-2</v>
      </c>
      <c r="V1517" s="496">
        <v>0.29780564263322873</v>
      </c>
      <c r="W1517" s="496">
        <v>0.34796238244514105</v>
      </c>
      <c r="X1517" s="496">
        <v>0.2476489028213166</v>
      </c>
      <c r="Y1517" s="496">
        <v>2.037617554858934E-2</v>
      </c>
      <c r="Z1517" s="187">
        <v>4</v>
      </c>
      <c r="AA1517" s="150"/>
      <c r="AB1517" s="21" t="s">
        <v>67</v>
      </c>
      <c r="AC1517" s="103"/>
      <c r="AD1517" s="186">
        <v>12.755880000000001</v>
      </c>
      <c r="AE1517" s="186">
        <v>0.43891200000000002</v>
      </c>
      <c r="AF1517" s="186">
        <v>5.6093020000000005</v>
      </c>
      <c r="AG1517" s="186">
        <v>1.2862560000000001</v>
      </c>
      <c r="AH1517" s="336"/>
      <c r="AI1517" s="218"/>
      <c r="AJ1517" s="218"/>
      <c r="AK1517" s="153"/>
      <c r="AL1517" s="152"/>
      <c r="AM1517" s="152"/>
      <c r="AN1517" s="152"/>
      <c r="AO1517" s="152"/>
      <c r="AP1517" s="152"/>
      <c r="AQ1517" s="152"/>
      <c r="AR1517" s="152"/>
      <c r="AS1517" s="152"/>
      <c r="AT1517" s="152"/>
      <c r="AU1517" s="153"/>
      <c r="AV1517" s="479"/>
      <c r="AW1517" s="479"/>
      <c r="AX1517" s="442"/>
      <c r="AY1517" s="153"/>
      <c r="AZ1517" s="152"/>
      <c r="BA1517" s="152"/>
      <c r="BB1517" s="152"/>
      <c r="BC1517" s="152"/>
      <c r="BD1517" s="152"/>
      <c r="BE1517" s="152"/>
      <c r="BF1517" s="152"/>
      <c r="BG1517" s="152"/>
      <c r="BH1517" s="152"/>
      <c r="BI1517" s="153"/>
      <c r="BJ1517" s="153"/>
      <c r="BK1517" s="153"/>
      <c r="BL1517" s="153"/>
      <c r="BM1517" s="153"/>
      <c r="BN1517" s="153"/>
      <c r="BO1517" s="153"/>
      <c r="BP1517" s="153"/>
      <c r="BQ1517" s="153"/>
      <c r="BR1517" s="153"/>
      <c r="BS1517" s="153"/>
      <c r="BT1517" s="153"/>
      <c r="BU1517" s="153"/>
      <c r="BV1517" s="153"/>
      <c r="BW1517" s="153"/>
      <c r="BX1517" s="153"/>
      <c r="BY1517" s="153"/>
      <c r="BZ1517" s="153"/>
      <c r="CA1517" s="189"/>
      <c r="CB1517" s="152"/>
      <c r="CC1517" s="127"/>
    </row>
    <row r="1518" spans="1:81" x14ac:dyDescent="0.2">
      <c r="A1518" s="152"/>
      <c r="B1518" s="683"/>
      <c r="C1518" s="683"/>
      <c r="D1518" s="698"/>
      <c r="E1518" s="215"/>
      <c r="F1518" s="215"/>
      <c r="G1518" s="153"/>
      <c r="H1518" s="153"/>
      <c r="I1518" s="150">
        <v>20</v>
      </c>
      <c r="J1518" s="150">
        <v>30</v>
      </c>
      <c r="K1518" s="150">
        <v>1</v>
      </c>
      <c r="L1518" s="656">
        <v>10</v>
      </c>
      <c r="M1518" s="654">
        <v>36697</v>
      </c>
      <c r="N1518" s="596">
        <v>6.5129099999999998</v>
      </c>
      <c r="O1518" s="594">
        <v>1.7511155956222109E-2</v>
      </c>
      <c r="P1518" s="114">
        <v>0</v>
      </c>
      <c r="Q1518" s="114">
        <v>0</v>
      </c>
      <c r="R1518" s="114">
        <v>0.11393473965967753</v>
      </c>
      <c r="S1518" s="114">
        <v>0.10603212032375248</v>
      </c>
      <c r="T1518" s="114">
        <v>8.3280224332419869E-2</v>
      </c>
      <c r="U1518" s="114">
        <v>0.18394302466382004</v>
      </c>
      <c r="V1518" s="496">
        <v>0.29158434771525071</v>
      </c>
      <c r="W1518" s="496">
        <v>0.16824931489388825</v>
      </c>
      <c r="X1518" s="496">
        <v>4.9582563252820087E-2</v>
      </c>
      <c r="Y1518" s="496">
        <v>3.3936651583710404E-3</v>
      </c>
      <c r="Z1518" s="187">
        <v>8</v>
      </c>
      <c r="AA1518" s="150"/>
      <c r="AB1518" s="21" t="s">
        <v>67</v>
      </c>
      <c r="AC1518" s="103"/>
      <c r="AD1518" s="186">
        <v>12.755880000000001</v>
      </c>
      <c r="AE1518" s="186">
        <v>0.36880800000000002</v>
      </c>
      <c r="AF1518" s="186">
        <v>4.6998110000000004</v>
      </c>
      <c r="AG1518" s="186">
        <v>1.2832080000000001</v>
      </c>
      <c r="AH1518" s="336"/>
      <c r="AI1518" s="218"/>
      <c r="AJ1518" s="218"/>
      <c r="AK1518" s="153"/>
      <c r="AL1518" s="152"/>
      <c r="AM1518" s="152"/>
      <c r="AN1518" s="152"/>
      <c r="AO1518" s="152"/>
      <c r="AP1518" s="152"/>
      <c r="AQ1518" s="152"/>
      <c r="AR1518" s="152"/>
      <c r="AS1518" s="152"/>
      <c r="AT1518" s="152"/>
      <c r="AU1518" s="153"/>
      <c r="AV1518" s="479"/>
      <c r="AW1518" s="479"/>
      <c r="AX1518" s="442"/>
      <c r="AY1518" s="153"/>
      <c r="AZ1518" s="152"/>
      <c r="BA1518" s="152"/>
      <c r="BB1518" s="152"/>
      <c r="BC1518" s="152"/>
      <c r="BD1518" s="152"/>
      <c r="BE1518" s="152"/>
      <c r="BF1518" s="152"/>
      <c r="BG1518" s="152"/>
      <c r="BH1518" s="152"/>
      <c r="BI1518" s="153"/>
      <c r="BJ1518" s="153"/>
      <c r="BK1518" s="153"/>
      <c r="BL1518" s="153"/>
      <c r="BM1518" s="153"/>
      <c r="BN1518" s="153"/>
      <c r="BO1518" s="153"/>
      <c r="BP1518" s="153"/>
      <c r="BQ1518" s="153"/>
      <c r="BR1518" s="153"/>
      <c r="BS1518" s="153"/>
      <c r="BT1518" s="153"/>
      <c r="BU1518" s="153"/>
      <c r="BV1518" s="153"/>
      <c r="BW1518" s="153"/>
      <c r="BX1518" s="153"/>
      <c r="BY1518" s="153"/>
      <c r="BZ1518" s="153"/>
      <c r="CA1518" s="189"/>
      <c r="CB1518" s="152"/>
      <c r="CC1518" s="127"/>
    </row>
    <row r="1519" spans="1:81" x14ac:dyDescent="0.2">
      <c r="A1519" s="152"/>
      <c r="B1519" s="683"/>
      <c r="C1519" s="683"/>
      <c r="D1519" s="698"/>
      <c r="E1519" s="215"/>
      <c r="F1519" s="215"/>
      <c r="G1519" s="153"/>
      <c r="H1519" s="153"/>
      <c r="I1519" s="150">
        <v>20</v>
      </c>
      <c r="J1519" s="150">
        <v>30</v>
      </c>
      <c r="K1519" s="150">
        <v>1</v>
      </c>
      <c r="L1519" s="656">
        <v>10</v>
      </c>
      <c r="M1519" s="654">
        <v>36697</v>
      </c>
      <c r="N1519" s="596">
        <v>6.4279589999999995</v>
      </c>
      <c r="O1519" s="594">
        <v>2.9345219926636954E-3</v>
      </c>
      <c r="P1519" s="114">
        <v>0</v>
      </c>
      <c r="Q1519" s="114">
        <v>0</v>
      </c>
      <c r="R1519" s="114">
        <v>0</v>
      </c>
      <c r="S1519" s="114">
        <v>0</v>
      </c>
      <c r="T1519" s="114">
        <v>0.14546491728465488</v>
      </c>
      <c r="U1519" s="114">
        <v>0.23958927552766682</v>
      </c>
      <c r="V1519" s="496">
        <v>0.23093744057805665</v>
      </c>
      <c r="W1519" s="496">
        <v>0.21296824491348165</v>
      </c>
      <c r="X1519" s="496">
        <v>0.1559231793116562</v>
      </c>
      <c r="Y1519" s="496">
        <v>1.511694238448374E-2</v>
      </c>
      <c r="Z1519" s="187">
        <v>5</v>
      </c>
      <c r="AA1519" s="150"/>
      <c r="AB1519" s="21" t="s">
        <v>67</v>
      </c>
      <c r="AC1519" s="103"/>
      <c r="AD1519" s="186">
        <v>12.755880000000001</v>
      </c>
      <c r="AE1519" s="186">
        <v>0.36880800000000002</v>
      </c>
      <c r="AF1519" s="186">
        <v>4.6998110000000004</v>
      </c>
      <c r="AG1519" s="186">
        <v>1.2832080000000001</v>
      </c>
      <c r="AH1519" s="336"/>
      <c r="AI1519" s="218"/>
      <c r="AJ1519" s="218"/>
      <c r="AK1519" s="153"/>
      <c r="AL1519" s="152"/>
      <c r="AM1519" s="152"/>
      <c r="AN1519" s="152"/>
      <c r="AO1519" s="152"/>
      <c r="AP1519" s="152"/>
      <c r="AQ1519" s="152"/>
      <c r="AR1519" s="152"/>
      <c r="AS1519" s="152"/>
      <c r="AT1519" s="152"/>
      <c r="AU1519" s="153"/>
      <c r="AV1519" s="479"/>
      <c r="AW1519" s="479"/>
      <c r="AX1519" s="442"/>
      <c r="AY1519" s="153"/>
      <c r="AZ1519" s="152"/>
      <c r="BA1519" s="152"/>
      <c r="BB1519" s="152"/>
      <c r="BC1519" s="152"/>
      <c r="BD1519" s="152"/>
      <c r="BE1519" s="152"/>
      <c r="BF1519" s="152"/>
      <c r="BG1519" s="152"/>
      <c r="BH1519" s="152"/>
      <c r="BI1519" s="153"/>
      <c r="BJ1519" s="153"/>
      <c r="BK1519" s="153"/>
      <c r="BL1519" s="153"/>
      <c r="BM1519" s="153"/>
      <c r="BN1519" s="153"/>
      <c r="BO1519" s="153"/>
      <c r="BP1519" s="153"/>
      <c r="BQ1519" s="153"/>
      <c r="BR1519" s="153"/>
      <c r="BS1519" s="153"/>
      <c r="BT1519" s="153"/>
      <c r="BU1519" s="153"/>
      <c r="BV1519" s="153"/>
      <c r="BW1519" s="153"/>
      <c r="BX1519" s="153"/>
      <c r="BY1519" s="153"/>
      <c r="BZ1519" s="153"/>
      <c r="CA1519" s="189"/>
      <c r="CB1519" s="152"/>
      <c r="CC1519" s="127"/>
    </row>
    <row r="1520" spans="1:81" x14ac:dyDescent="0.2">
      <c r="A1520" s="152"/>
      <c r="B1520" s="683"/>
      <c r="C1520" s="683"/>
      <c r="D1520" s="698"/>
      <c r="E1520" s="215"/>
      <c r="F1520" s="215"/>
      <c r="G1520" s="153"/>
      <c r="H1520" s="153"/>
      <c r="I1520" s="150">
        <v>20</v>
      </c>
      <c r="J1520" s="150">
        <v>30</v>
      </c>
      <c r="K1520" s="150">
        <v>1</v>
      </c>
      <c r="L1520" s="656">
        <v>10</v>
      </c>
      <c r="M1520" s="654">
        <v>36697</v>
      </c>
      <c r="N1520" s="596">
        <v>6.4279589999999995</v>
      </c>
      <c r="O1520" s="594">
        <v>1.3489649966275878E-2</v>
      </c>
      <c r="P1520" s="114">
        <v>0</v>
      </c>
      <c r="Q1520" s="114">
        <v>0.76504653567735248</v>
      </c>
      <c r="R1520" s="114">
        <v>0</v>
      </c>
      <c r="S1520" s="114">
        <v>6.1840744570837644E-2</v>
      </c>
      <c r="T1520" s="114">
        <v>4.095139607032057E-2</v>
      </c>
      <c r="U1520" s="114">
        <v>0</v>
      </c>
      <c r="V1520" s="496">
        <v>5.9152016546018607E-2</v>
      </c>
      <c r="W1520" s="496">
        <v>4.7983453981385725E-2</v>
      </c>
      <c r="X1520" s="496">
        <v>2.1923474663908992E-2</v>
      </c>
      <c r="Y1520" s="496">
        <v>3.1023784901758004E-3</v>
      </c>
      <c r="Z1520" s="187">
        <v>30</v>
      </c>
      <c r="AA1520" s="150"/>
      <c r="AB1520" s="21" t="s">
        <v>67</v>
      </c>
      <c r="AC1520" s="103"/>
      <c r="AD1520" s="186">
        <v>12.755880000000001</v>
      </c>
      <c r="AE1520" s="186">
        <v>0.36880800000000002</v>
      </c>
      <c r="AF1520" s="186">
        <v>4.6998110000000004</v>
      </c>
      <c r="AG1520" s="186">
        <v>1.2832080000000001</v>
      </c>
      <c r="AH1520" s="336"/>
      <c r="AI1520" s="218"/>
      <c r="AJ1520" s="218"/>
      <c r="AK1520" s="153"/>
      <c r="AL1520" s="152"/>
      <c r="AM1520" s="152"/>
      <c r="AN1520" s="152"/>
      <c r="AO1520" s="152"/>
      <c r="AP1520" s="152"/>
      <c r="AQ1520" s="152"/>
      <c r="AR1520" s="152"/>
      <c r="AS1520" s="152"/>
      <c r="AT1520" s="152"/>
      <c r="AU1520" s="153"/>
      <c r="AV1520" s="479"/>
      <c r="AW1520" s="479"/>
      <c r="AX1520" s="442"/>
      <c r="AY1520" s="153"/>
      <c r="AZ1520" s="152"/>
      <c r="BA1520" s="152"/>
      <c r="BB1520" s="152"/>
      <c r="BC1520" s="152"/>
      <c r="BD1520" s="152"/>
      <c r="BE1520" s="152"/>
      <c r="BF1520" s="152"/>
      <c r="BG1520" s="152"/>
      <c r="BH1520" s="152"/>
      <c r="BI1520" s="153"/>
      <c r="BJ1520" s="153"/>
      <c r="BK1520" s="153"/>
      <c r="BL1520" s="153"/>
      <c r="BM1520" s="153"/>
      <c r="BN1520" s="153"/>
      <c r="BO1520" s="153"/>
      <c r="BP1520" s="153"/>
      <c r="BQ1520" s="153"/>
      <c r="BR1520" s="153"/>
      <c r="BS1520" s="153"/>
      <c r="BT1520" s="153"/>
      <c r="BU1520" s="153"/>
      <c r="BV1520" s="153"/>
      <c r="BW1520" s="153"/>
      <c r="BX1520" s="153"/>
      <c r="BY1520" s="153"/>
      <c r="BZ1520" s="153"/>
      <c r="CA1520" s="189"/>
      <c r="CB1520" s="152"/>
      <c r="CC1520" s="127"/>
    </row>
    <row r="1521" spans="1:81" x14ac:dyDescent="0.2">
      <c r="A1521" s="152"/>
      <c r="B1521" s="683"/>
      <c r="C1521" s="683"/>
      <c r="D1521" s="698"/>
      <c r="E1521" s="215"/>
      <c r="F1521" s="215"/>
      <c r="G1521" s="153"/>
      <c r="H1521" s="153"/>
      <c r="I1521" s="150">
        <v>20</v>
      </c>
      <c r="J1521" s="150">
        <v>30</v>
      </c>
      <c r="K1521" s="150">
        <v>1</v>
      </c>
      <c r="L1521" s="656">
        <v>10</v>
      </c>
      <c r="M1521" s="654">
        <v>36697</v>
      </c>
      <c r="N1521" s="596">
        <v>6.4279589999999995</v>
      </c>
      <c r="O1521" s="594">
        <v>1.9354229951614423E-2</v>
      </c>
      <c r="P1521" s="114">
        <v>0</v>
      </c>
      <c r="Q1521" s="114">
        <v>0.59838546922300706</v>
      </c>
      <c r="R1521" s="114">
        <v>0</v>
      </c>
      <c r="S1521" s="114">
        <v>1.5280380567968863E-2</v>
      </c>
      <c r="T1521" s="114">
        <v>5.0454086781029271E-2</v>
      </c>
      <c r="U1521" s="114">
        <v>0.10782759117774257</v>
      </c>
      <c r="V1521" s="496">
        <v>0.14588438806400461</v>
      </c>
      <c r="W1521" s="496">
        <v>6.0689058670895205E-2</v>
      </c>
      <c r="X1521" s="496">
        <v>1.9316707510451205E-2</v>
      </c>
      <c r="Y1521" s="496">
        <v>2.1623180049012542E-3</v>
      </c>
      <c r="Z1521" s="187">
        <v>44</v>
      </c>
      <c r="AA1521" s="150"/>
      <c r="AB1521" s="21" t="s">
        <v>67</v>
      </c>
      <c r="AC1521" s="103"/>
      <c r="AD1521" s="186">
        <v>12.755880000000001</v>
      </c>
      <c r="AE1521" s="186">
        <v>0.36880800000000002</v>
      </c>
      <c r="AF1521" s="186">
        <v>4.6998110000000004</v>
      </c>
      <c r="AG1521" s="186">
        <v>1.2832080000000001</v>
      </c>
      <c r="AH1521" s="336"/>
      <c r="AI1521" s="218"/>
      <c r="AJ1521" s="218"/>
      <c r="AK1521" s="153"/>
      <c r="AL1521" s="152"/>
      <c r="AM1521" s="152"/>
      <c r="AN1521" s="152"/>
      <c r="AO1521" s="152"/>
      <c r="AP1521" s="152"/>
      <c r="AQ1521" s="152"/>
      <c r="AR1521" s="152"/>
      <c r="AS1521" s="152"/>
      <c r="AT1521" s="152"/>
      <c r="AU1521" s="153"/>
      <c r="AV1521" s="479"/>
      <c r="AW1521" s="479"/>
      <c r="AX1521" s="442"/>
      <c r="AY1521" s="153"/>
      <c r="AZ1521" s="152"/>
      <c r="BA1521" s="152"/>
      <c r="BB1521" s="152"/>
      <c r="BC1521" s="152"/>
      <c r="BD1521" s="152"/>
      <c r="BE1521" s="152"/>
      <c r="BF1521" s="152"/>
      <c r="BG1521" s="152"/>
      <c r="BH1521" s="152"/>
      <c r="BI1521" s="153"/>
      <c r="BJ1521" s="153"/>
      <c r="BK1521" s="153"/>
      <c r="BL1521" s="153"/>
      <c r="BM1521" s="153"/>
      <c r="BN1521" s="153"/>
      <c r="BO1521" s="153"/>
      <c r="BP1521" s="153"/>
      <c r="BQ1521" s="153"/>
      <c r="BR1521" s="153"/>
      <c r="BS1521" s="153"/>
      <c r="BT1521" s="153"/>
      <c r="BU1521" s="153"/>
      <c r="BV1521" s="153"/>
      <c r="BW1521" s="153"/>
      <c r="BX1521" s="153"/>
      <c r="BY1521" s="153"/>
      <c r="BZ1521" s="153"/>
      <c r="CA1521" s="189"/>
      <c r="CB1521" s="152"/>
      <c r="CC1521" s="127"/>
    </row>
    <row r="1522" spans="1:81" x14ac:dyDescent="0.2">
      <c r="A1522" s="152"/>
      <c r="B1522" s="683"/>
      <c r="C1522" s="683"/>
      <c r="D1522" s="698"/>
      <c r="E1522" s="215"/>
      <c r="F1522" s="215"/>
      <c r="G1522" s="153"/>
      <c r="H1522" s="153"/>
      <c r="I1522" s="150">
        <v>20</v>
      </c>
      <c r="J1522" s="150">
        <v>30</v>
      </c>
      <c r="K1522" s="150">
        <v>1</v>
      </c>
      <c r="L1522" s="656">
        <v>10</v>
      </c>
      <c r="M1522" s="654">
        <v>36697</v>
      </c>
      <c r="N1522" s="596">
        <v>6.2297399999999996</v>
      </c>
      <c r="O1522" s="594">
        <v>2.6449199933876997E-3</v>
      </c>
      <c r="P1522" s="114">
        <v>0</v>
      </c>
      <c r="Q1522" s="114">
        <v>0</v>
      </c>
      <c r="R1522" s="114">
        <v>0</v>
      </c>
      <c r="S1522" s="114">
        <v>9.1772151898734181E-2</v>
      </c>
      <c r="T1522" s="114">
        <v>3.0590717299578064E-2</v>
      </c>
      <c r="U1522" s="114">
        <v>0.21202531645569622</v>
      </c>
      <c r="V1522" s="496">
        <v>0.38291139240506333</v>
      </c>
      <c r="W1522" s="496">
        <v>0.19409282700421943</v>
      </c>
      <c r="X1522" s="496">
        <v>7.805907172995781E-2</v>
      </c>
      <c r="Y1522" s="496">
        <v>1.0548523206751058E-2</v>
      </c>
      <c r="Z1522" s="187">
        <v>10</v>
      </c>
      <c r="AA1522" s="150"/>
      <c r="AB1522" s="21" t="s">
        <v>67</v>
      </c>
      <c r="AC1522" s="103"/>
      <c r="AD1522" s="186">
        <v>12.755880000000001</v>
      </c>
      <c r="AE1522" s="186">
        <v>0.36880800000000002</v>
      </c>
      <c r="AF1522" s="186">
        <v>4.6998110000000004</v>
      </c>
      <c r="AG1522" s="186">
        <v>1.2832080000000001</v>
      </c>
      <c r="AH1522" s="336"/>
      <c r="AI1522" s="218"/>
      <c r="AJ1522" s="218"/>
      <c r="AK1522" s="153"/>
      <c r="AL1522" s="152"/>
      <c r="AM1522" s="152"/>
      <c r="AN1522" s="152"/>
      <c r="AO1522" s="152"/>
      <c r="AP1522" s="152"/>
      <c r="AQ1522" s="152"/>
      <c r="AR1522" s="152"/>
      <c r="AS1522" s="152"/>
      <c r="AT1522" s="152"/>
      <c r="AU1522" s="153"/>
      <c r="AV1522" s="479"/>
      <c r="AW1522" s="479"/>
      <c r="AX1522" s="442"/>
      <c r="AY1522" s="153"/>
      <c r="AZ1522" s="152"/>
      <c r="BA1522" s="152"/>
      <c r="BB1522" s="152"/>
      <c r="BC1522" s="152"/>
      <c r="BD1522" s="152"/>
      <c r="BE1522" s="152"/>
      <c r="BF1522" s="152"/>
      <c r="BG1522" s="152"/>
      <c r="BH1522" s="152"/>
      <c r="BI1522" s="153"/>
      <c r="BJ1522" s="153"/>
      <c r="BK1522" s="153"/>
      <c r="BL1522" s="153"/>
      <c r="BM1522" s="153"/>
      <c r="BN1522" s="153"/>
      <c r="BO1522" s="153"/>
      <c r="BP1522" s="153"/>
      <c r="BQ1522" s="153"/>
      <c r="BR1522" s="153"/>
      <c r="BS1522" s="153"/>
      <c r="BT1522" s="153"/>
      <c r="BU1522" s="153"/>
      <c r="BV1522" s="153"/>
      <c r="BW1522" s="153"/>
      <c r="BX1522" s="153"/>
      <c r="BY1522" s="153"/>
      <c r="BZ1522" s="153"/>
      <c r="CA1522" s="189"/>
      <c r="CB1522" s="152"/>
      <c r="CC1522" s="127"/>
    </row>
    <row r="1523" spans="1:81" x14ac:dyDescent="0.2">
      <c r="A1523" s="152"/>
      <c r="B1523" s="683"/>
      <c r="C1523" s="683"/>
      <c r="D1523" s="698"/>
      <c r="E1523" s="215"/>
      <c r="F1523" s="215"/>
      <c r="G1523" s="153"/>
      <c r="H1523" s="153"/>
      <c r="I1523" s="150">
        <v>20</v>
      </c>
      <c r="J1523" s="150">
        <v>30</v>
      </c>
      <c r="K1523" s="150">
        <v>1</v>
      </c>
      <c r="L1523" s="656">
        <v>10</v>
      </c>
      <c r="M1523" s="654">
        <v>36697</v>
      </c>
      <c r="N1523" s="596">
        <v>6.2297399999999996</v>
      </c>
      <c r="O1523" s="594">
        <v>4.8545999878635E-4</v>
      </c>
      <c r="P1523" s="114">
        <v>0</v>
      </c>
      <c r="Q1523" s="114">
        <v>0</v>
      </c>
      <c r="R1523" s="114">
        <v>0</v>
      </c>
      <c r="S1523" s="114">
        <v>0</v>
      </c>
      <c r="T1523" s="114">
        <v>0</v>
      </c>
      <c r="U1523" s="114">
        <v>0</v>
      </c>
      <c r="V1523" s="496">
        <v>0.3850574712643679</v>
      </c>
      <c r="W1523" s="496">
        <v>0.27011494252873564</v>
      </c>
      <c r="X1523" s="496">
        <v>0.29310344827586204</v>
      </c>
      <c r="Y1523" s="496">
        <v>5.1724137931034482E-2</v>
      </c>
      <c r="Z1523" s="187">
        <v>4</v>
      </c>
      <c r="AA1523" s="150"/>
      <c r="AB1523" s="21" t="s">
        <v>67</v>
      </c>
      <c r="AC1523" s="103"/>
      <c r="AD1523" s="186">
        <v>12.755880000000001</v>
      </c>
      <c r="AE1523" s="186">
        <v>0.36880800000000002</v>
      </c>
      <c r="AF1523" s="186">
        <v>4.6998110000000004</v>
      </c>
      <c r="AG1523" s="186">
        <v>1.2832080000000001</v>
      </c>
      <c r="AH1523" s="336"/>
      <c r="AI1523" s="218"/>
      <c r="AJ1523" s="218"/>
      <c r="AK1523" s="153"/>
      <c r="AL1523" s="152"/>
      <c r="AM1523" s="152"/>
      <c r="AN1523" s="152"/>
      <c r="AO1523" s="152"/>
      <c r="AP1523" s="152"/>
      <c r="AQ1523" s="152"/>
      <c r="AR1523" s="152"/>
      <c r="AS1523" s="152"/>
      <c r="AT1523" s="152"/>
      <c r="AU1523" s="153"/>
      <c r="AV1523" s="479"/>
      <c r="AW1523" s="479"/>
      <c r="AX1523" s="442"/>
      <c r="AY1523" s="153"/>
      <c r="AZ1523" s="152"/>
      <c r="BA1523" s="152"/>
      <c r="BB1523" s="152"/>
      <c r="BC1523" s="152"/>
      <c r="BD1523" s="152"/>
      <c r="BE1523" s="152"/>
      <c r="BF1523" s="152"/>
      <c r="BG1523" s="152"/>
      <c r="BH1523" s="152"/>
      <c r="BI1523" s="153"/>
      <c r="BJ1523" s="153"/>
      <c r="BK1523" s="153"/>
      <c r="BL1523" s="153"/>
      <c r="BM1523" s="153"/>
      <c r="BN1523" s="153"/>
      <c r="BO1523" s="153"/>
      <c r="BP1523" s="153"/>
      <c r="BQ1523" s="153"/>
      <c r="BR1523" s="153"/>
      <c r="BS1523" s="153"/>
      <c r="BT1523" s="153"/>
      <c r="BU1523" s="153"/>
      <c r="BV1523" s="153"/>
      <c r="BW1523" s="153"/>
      <c r="BX1523" s="153"/>
      <c r="BY1523" s="153"/>
      <c r="BZ1523" s="153"/>
      <c r="CA1523" s="189"/>
      <c r="CB1523" s="152"/>
    </row>
    <row r="1524" spans="1:81" x14ac:dyDescent="0.2">
      <c r="A1524" s="152"/>
      <c r="B1524" s="683"/>
      <c r="C1524" s="683"/>
      <c r="D1524" s="698"/>
      <c r="E1524" s="215"/>
      <c r="F1524" s="215"/>
      <c r="G1524" s="153"/>
      <c r="H1524" s="153"/>
      <c r="I1524" s="150">
        <v>20</v>
      </c>
      <c r="J1524" s="150">
        <v>30</v>
      </c>
      <c r="K1524" s="150">
        <v>1</v>
      </c>
      <c r="L1524" s="656">
        <v>10</v>
      </c>
      <c r="M1524" s="654">
        <v>36698</v>
      </c>
      <c r="N1524" s="596">
        <v>6.1164719999999999</v>
      </c>
      <c r="O1524" s="594">
        <v>2.4328799939177998E-3</v>
      </c>
      <c r="P1524" s="114">
        <v>0</v>
      </c>
      <c r="Q1524" s="114">
        <v>0</v>
      </c>
      <c r="R1524" s="114">
        <v>0</v>
      </c>
      <c r="S1524" s="114">
        <v>0</v>
      </c>
      <c r="T1524" s="114">
        <v>3.9564220183486244E-2</v>
      </c>
      <c r="U1524" s="114">
        <v>0.17041284403669729</v>
      </c>
      <c r="V1524" s="496">
        <v>0.37201834862385325</v>
      </c>
      <c r="W1524" s="496">
        <v>0.29151376146788999</v>
      </c>
      <c r="X1524" s="496">
        <v>0.11490825688073397</v>
      </c>
      <c r="Y1524" s="496">
        <v>1.1582568807339454E-2</v>
      </c>
      <c r="Z1524" s="187">
        <v>3</v>
      </c>
      <c r="AA1524" s="150"/>
      <c r="AB1524" s="21" t="s">
        <v>67</v>
      </c>
      <c r="AC1524" s="103"/>
      <c r="AD1524" s="186">
        <v>12.755880000000001</v>
      </c>
      <c r="AE1524" s="186">
        <v>0.35661599999999999</v>
      </c>
      <c r="AF1524" s="186">
        <v>4.5511710000000001</v>
      </c>
      <c r="AG1524" s="186">
        <v>1.2740640000000001</v>
      </c>
      <c r="AH1524" s="336"/>
      <c r="AI1524" s="218"/>
      <c r="AJ1524" s="218"/>
      <c r="AK1524" s="153"/>
      <c r="AL1524" s="152"/>
      <c r="AM1524" s="152"/>
      <c r="AN1524" s="152"/>
      <c r="AO1524" s="152"/>
      <c r="AP1524" s="152"/>
      <c r="AQ1524" s="152"/>
      <c r="AR1524" s="152"/>
      <c r="AS1524" s="152"/>
      <c r="AT1524" s="152"/>
      <c r="AU1524" s="153"/>
      <c r="AV1524" s="479"/>
      <c r="AW1524" s="479"/>
      <c r="AX1524" s="442"/>
      <c r="AY1524" s="153"/>
      <c r="AZ1524" s="152"/>
      <c r="BA1524" s="152"/>
      <c r="BB1524" s="152"/>
      <c r="BC1524" s="152"/>
      <c r="BD1524" s="152"/>
      <c r="BE1524" s="152"/>
      <c r="BF1524" s="152"/>
      <c r="BG1524" s="152"/>
      <c r="BH1524" s="152"/>
      <c r="BI1524" s="153"/>
      <c r="BJ1524" s="153"/>
      <c r="BK1524" s="153"/>
      <c r="BL1524" s="153"/>
      <c r="BM1524" s="153"/>
      <c r="BN1524" s="153"/>
      <c r="BO1524" s="153"/>
      <c r="BP1524" s="153"/>
      <c r="BQ1524" s="153"/>
      <c r="BR1524" s="153"/>
      <c r="BS1524" s="153"/>
      <c r="BT1524" s="153"/>
      <c r="BU1524" s="153"/>
      <c r="BV1524" s="153"/>
      <c r="BW1524" s="153"/>
      <c r="BX1524" s="153"/>
      <c r="BY1524" s="153"/>
      <c r="BZ1524" s="153"/>
      <c r="CA1524" s="189"/>
      <c r="CB1524" s="152"/>
    </row>
    <row r="1525" spans="1:81" x14ac:dyDescent="0.2">
      <c r="A1525" s="152"/>
      <c r="B1525" s="683"/>
      <c r="C1525" s="683"/>
      <c r="D1525" s="698"/>
      <c r="E1525" s="215"/>
      <c r="F1525" s="215"/>
      <c r="G1525" s="153"/>
      <c r="H1525" s="153"/>
      <c r="I1525" s="150">
        <v>20</v>
      </c>
      <c r="J1525" s="150">
        <v>30</v>
      </c>
      <c r="K1525" s="150">
        <v>1</v>
      </c>
      <c r="L1525" s="656">
        <v>10</v>
      </c>
      <c r="M1525" s="654">
        <v>36698</v>
      </c>
      <c r="N1525" s="596">
        <v>6.1164719999999999</v>
      </c>
      <c r="O1525" s="594">
        <v>2.7174599932063498E-3</v>
      </c>
      <c r="P1525" s="114">
        <v>0</v>
      </c>
      <c r="Q1525" s="114">
        <v>0</v>
      </c>
      <c r="R1525" s="114">
        <v>0</v>
      </c>
      <c r="S1525" s="114">
        <v>0</v>
      </c>
      <c r="T1525" s="114">
        <v>0</v>
      </c>
      <c r="U1525" s="114">
        <v>0.16149897330595483</v>
      </c>
      <c r="V1525" s="496">
        <v>0.40698151950718686</v>
      </c>
      <c r="W1525" s="496">
        <v>0.31848049281314172</v>
      </c>
      <c r="X1525" s="496">
        <v>0.10123203285420945</v>
      </c>
      <c r="Y1525" s="496">
        <v>1.1806981519507188E-2</v>
      </c>
      <c r="Z1525" s="187">
        <v>4</v>
      </c>
      <c r="AA1525" s="150"/>
      <c r="AB1525" s="21" t="s">
        <v>67</v>
      </c>
      <c r="AC1525" s="103"/>
      <c r="AD1525" s="186">
        <v>12.755880000000001</v>
      </c>
      <c r="AE1525" s="186">
        <v>0.35661599999999999</v>
      </c>
      <c r="AF1525" s="186">
        <v>4.5511710000000001</v>
      </c>
      <c r="AG1525" s="186">
        <v>1.2740640000000001</v>
      </c>
      <c r="AH1525" s="336"/>
      <c r="AI1525" s="218"/>
      <c r="AJ1525" s="218"/>
      <c r="AK1525" s="153"/>
      <c r="AL1525" s="152"/>
      <c r="AM1525" s="152"/>
      <c r="AN1525" s="152"/>
      <c r="AO1525" s="152"/>
      <c r="AP1525" s="152"/>
      <c r="AQ1525" s="152"/>
      <c r="AR1525" s="152"/>
      <c r="AS1525" s="152"/>
      <c r="AT1525" s="152"/>
      <c r="AU1525" s="153"/>
      <c r="AV1525" s="479"/>
      <c r="AW1525" s="479"/>
      <c r="AX1525" s="442"/>
      <c r="AY1525" s="153"/>
      <c r="AZ1525" s="152"/>
      <c r="BA1525" s="152"/>
      <c r="BB1525" s="152"/>
      <c r="BC1525" s="152"/>
      <c r="BD1525" s="152"/>
      <c r="BE1525" s="152"/>
      <c r="BF1525" s="152"/>
      <c r="BG1525" s="152"/>
      <c r="BH1525" s="152"/>
      <c r="BI1525" s="153"/>
      <c r="BJ1525" s="153"/>
      <c r="BK1525" s="153"/>
      <c r="BL1525" s="153"/>
      <c r="BM1525" s="153"/>
      <c r="BN1525" s="153"/>
      <c r="BO1525" s="153"/>
      <c r="BP1525" s="153"/>
      <c r="BQ1525" s="153"/>
      <c r="BR1525" s="153"/>
      <c r="BS1525" s="153"/>
      <c r="BT1525" s="153"/>
      <c r="BU1525" s="153"/>
      <c r="BV1525" s="153"/>
      <c r="BW1525" s="153"/>
      <c r="BX1525" s="153"/>
      <c r="BY1525" s="153"/>
      <c r="BZ1525" s="153"/>
      <c r="CA1525" s="189"/>
      <c r="CB1525" s="152"/>
    </row>
    <row r="1526" spans="1:81" x14ac:dyDescent="0.2">
      <c r="A1526" s="152"/>
      <c r="B1526" s="683"/>
      <c r="C1526" s="683"/>
      <c r="D1526" s="698"/>
      <c r="E1526" s="215"/>
      <c r="F1526" s="215"/>
      <c r="G1526" s="153"/>
      <c r="H1526" s="153"/>
      <c r="I1526" s="150">
        <v>20</v>
      </c>
      <c r="J1526" s="150">
        <v>30</v>
      </c>
      <c r="K1526" s="150">
        <v>1</v>
      </c>
      <c r="L1526" s="656">
        <v>10</v>
      </c>
      <c r="M1526" s="654">
        <v>36698</v>
      </c>
      <c r="N1526" s="596">
        <v>6.0315209999999997</v>
      </c>
      <c r="O1526" s="594">
        <v>1.7816939955457652E-3</v>
      </c>
      <c r="P1526" s="114">
        <v>0</v>
      </c>
      <c r="Q1526" s="114">
        <v>0</v>
      </c>
      <c r="R1526" s="114">
        <v>0</v>
      </c>
      <c r="S1526" s="114">
        <v>0</v>
      </c>
      <c r="T1526" s="114">
        <v>3.5703100532414656E-2</v>
      </c>
      <c r="U1526" s="114">
        <v>0.14202943939868462</v>
      </c>
      <c r="V1526" s="496">
        <v>0.36689633573441893</v>
      </c>
      <c r="W1526" s="496">
        <v>0.30817413091136858</v>
      </c>
      <c r="X1526" s="496">
        <v>0.13263388662699654</v>
      </c>
      <c r="Y1526" s="496">
        <v>1.4563106796116504E-2</v>
      </c>
      <c r="Z1526" s="187">
        <v>2</v>
      </c>
      <c r="AA1526" s="150"/>
      <c r="AB1526" s="21" t="s">
        <v>67</v>
      </c>
      <c r="AC1526" s="103"/>
      <c r="AD1526" s="186">
        <v>12.755880000000001</v>
      </c>
      <c r="AE1526" s="186">
        <v>0.35661599999999999</v>
      </c>
      <c r="AF1526" s="186">
        <v>4.5511710000000001</v>
      </c>
      <c r="AG1526" s="186">
        <v>1.2740640000000001</v>
      </c>
      <c r="AH1526" s="336"/>
      <c r="AI1526" s="218"/>
      <c r="AJ1526" s="218"/>
      <c r="AK1526" s="153"/>
      <c r="AL1526" s="152"/>
      <c r="AM1526" s="152"/>
      <c r="AN1526" s="152"/>
      <c r="AO1526" s="152"/>
      <c r="AP1526" s="152"/>
      <c r="AQ1526" s="152"/>
      <c r="AR1526" s="152"/>
      <c r="AS1526" s="152"/>
      <c r="AT1526" s="152"/>
      <c r="AU1526" s="153"/>
      <c r="AV1526" s="479"/>
      <c r="AW1526" s="479"/>
      <c r="AX1526" s="442"/>
      <c r="AY1526" s="153"/>
      <c r="AZ1526" s="152"/>
      <c r="BA1526" s="152"/>
      <c r="BB1526" s="152"/>
      <c r="BC1526" s="152"/>
      <c r="BD1526" s="152"/>
      <c r="BE1526" s="152"/>
      <c r="BF1526" s="152"/>
      <c r="BG1526" s="152"/>
      <c r="BH1526" s="152"/>
      <c r="BI1526" s="153"/>
      <c r="BJ1526" s="153"/>
      <c r="BK1526" s="153"/>
      <c r="BL1526" s="153"/>
      <c r="BM1526" s="153"/>
      <c r="BN1526" s="153"/>
      <c r="BO1526" s="153"/>
      <c r="BP1526" s="153"/>
      <c r="BQ1526" s="153"/>
      <c r="BR1526" s="153"/>
      <c r="BS1526" s="153"/>
      <c r="BT1526" s="153"/>
      <c r="BU1526" s="153"/>
      <c r="BV1526" s="153"/>
      <c r="BW1526" s="153"/>
      <c r="BX1526" s="153"/>
      <c r="BY1526" s="153"/>
      <c r="BZ1526" s="153"/>
      <c r="CA1526" s="189"/>
      <c r="CB1526" s="152"/>
    </row>
    <row r="1527" spans="1:81" ht="15" thickBot="1" x14ac:dyDescent="0.25">
      <c r="A1527" s="152"/>
      <c r="B1527" s="683"/>
      <c r="C1527" s="683"/>
      <c r="D1527" s="698"/>
      <c r="E1527" s="215"/>
      <c r="F1527" s="215"/>
      <c r="G1527" s="153"/>
      <c r="H1527" s="153"/>
      <c r="I1527" s="150">
        <v>20</v>
      </c>
      <c r="J1527" s="150">
        <v>30</v>
      </c>
      <c r="K1527" s="150">
        <v>1</v>
      </c>
      <c r="L1527" s="656">
        <v>10</v>
      </c>
      <c r="M1527" s="654">
        <v>36698</v>
      </c>
      <c r="N1527" s="596">
        <v>6.0315209999999997</v>
      </c>
      <c r="O1527" s="594">
        <v>1.9823507950441233E-2</v>
      </c>
      <c r="P1527" s="114">
        <v>0</v>
      </c>
      <c r="Q1527" s="114">
        <v>0</v>
      </c>
      <c r="R1527" s="114">
        <v>0</v>
      </c>
      <c r="S1527" s="114">
        <v>0</v>
      </c>
      <c r="T1527" s="114">
        <v>3.0062489444350617E-2</v>
      </c>
      <c r="U1527" s="114">
        <v>0.25320891741259921</v>
      </c>
      <c r="V1527" s="496">
        <v>0.43977650171705229</v>
      </c>
      <c r="W1527" s="496">
        <v>0.21487079885154534</v>
      </c>
      <c r="X1527" s="496">
        <v>5.7999774812813154E-2</v>
      </c>
      <c r="Y1527" s="496">
        <v>4.0815177616393625E-3</v>
      </c>
      <c r="Z1527" s="187">
        <v>7</v>
      </c>
      <c r="AA1527" s="150"/>
      <c r="AB1527" s="21" t="s">
        <v>67</v>
      </c>
      <c r="AC1527" s="104"/>
      <c r="AD1527" s="186">
        <v>12.755880000000001</v>
      </c>
      <c r="AE1527" s="186">
        <v>0.35661599999999999</v>
      </c>
      <c r="AF1527" s="186">
        <v>4.5511710000000001</v>
      </c>
      <c r="AG1527" s="186">
        <v>1.2740640000000001</v>
      </c>
      <c r="AH1527" s="336"/>
      <c r="AI1527" s="218"/>
      <c r="AJ1527" s="218"/>
      <c r="AK1527" s="153"/>
      <c r="AL1527" s="152"/>
      <c r="AM1527" s="152"/>
      <c r="AN1527" s="152"/>
      <c r="AO1527" s="152"/>
      <c r="AP1527" s="152"/>
      <c r="AQ1527" s="152"/>
      <c r="AR1527" s="152"/>
      <c r="AS1527" s="152"/>
      <c r="AT1527" s="152"/>
      <c r="AU1527" s="153"/>
      <c r="AV1527" s="479"/>
      <c r="AW1527" s="479"/>
      <c r="AX1527" s="442"/>
      <c r="AY1527" s="153"/>
      <c r="AZ1527" s="152"/>
      <c r="BA1527" s="152"/>
      <c r="BB1527" s="152"/>
      <c r="BC1527" s="152"/>
      <c r="BD1527" s="152"/>
      <c r="BE1527" s="152"/>
      <c r="BF1527" s="152"/>
      <c r="BG1527" s="152"/>
      <c r="BH1527" s="152"/>
      <c r="BI1527" s="153"/>
      <c r="BJ1527" s="153"/>
      <c r="BK1527" s="153"/>
      <c r="BL1527" s="153"/>
      <c r="BM1527" s="153"/>
      <c r="BN1527" s="153"/>
      <c r="BO1527" s="153"/>
      <c r="BP1527" s="153"/>
      <c r="BQ1527" s="153"/>
      <c r="BR1527" s="153"/>
      <c r="BS1527" s="153"/>
      <c r="BT1527" s="153"/>
      <c r="BU1527" s="153"/>
      <c r="BV1527" s="153"/>
      <c r="BW1527" s="153"/>
      <c r="BX1527" s="153"/>
      <c r="BY1527" s="153"/>
      <c r="BZ1527" s="153"/>
      <c r="CA1527" s="189"/>
      <c r="CB1527" s="152"/>
    </row>
    <row r="1528" spans="1:81" ht="15" x14ac:dyDescent="0.25">
      <c r="A1528" s="9" t="s">
        <v>70</v>
      </c>
      <c r="B1528" s="639" t="s">
        <v>66</v>
      </c>
      <c r="C1528" s="639" t="s">
        <v>602</v>
      </c>
      <c r="D1528" s="4">
        <f>VLOOKUP(E1528,'Quality Code'!D4:E24,2,TRUE)*VLOOKUP(MROUND(F1528,10),'Quality Code'!D28:E69,2,TRUE)*VLOOKUP(5,'Quality Code'!D73:E93,2,TRUE)</f>
        <v>3.6</v>
      </c>
      <c r="E1528" s="14">
        <v>0.8</v>
      </c>
      <c r="F1528" s="18">
        <v>88</v>
      </c>
      <c r="G1528" s="12">
        <f>17.8*2.59</f>
        <v>46.101999999999997</v>
      </c>
      <c r="H1528" s="2" t="s">
        <v>231</v>
      </c>
      <c r="I1528" s="10"/>
      <c r="J1528" s="10" t="s">
        <v>283</v>
      </c>
      <c r="K1528" s="10"/>
      <c r="L1528" s="640" t="s">
        <v>284</v>
      </c>
      <c r="M1528" s="640" t="s">
        <v>837</v>
      </c>
      <c r="N1528" s="579" t="s">
        <v>285</v>
      </c>
      <c r="O1528" s="579"/>
      <c r="P1528" s="11"/>
      <c r="Q1528" s="11"/>
      <c r="R1528" s="11"/>
      <c r="S1528" s="11"/>
      <c r="T1528" s="11"/>
      <c r="U1528" s="11"/>
      <c r="V1528" s="10"/>
      <c r="W1528" s="10"/>
      <c r="X1528" s="10"/>
      <c r="Y1528" s="10"/>
      <c r="Z1528" s="11"/>
      <c r="AA1528" s="11"/>
      <c r="AB1528" s="11"/>
      <c r="AC1528" s="85">
        <v>2.9899999999999999E-2</v>
      </c>
      <c r="AD1528" s="26"/>
      <c r="AE1528" s="26"/>
      <c r="AF1528" s="26"/>
      <c r="AG1528" s="26"/>
      <c r="AH1528" s="330" t="s">
        <v>298</v>
      </c>
      <c r="AI1528" s="123">
        <v>24.6</v>
      </c>
      <c r="AJ1528" s="123"/>
      <c r="AK1528" s="17">
        <v>0.88919999999999999</v>
      </c>
      <c r="AL1528" s="17">
        <v>0.74670000000000003</v>
      </c>
      <c r="AM1528" s="17">
        <v>0.56389999999999996</v>
      </c>
      <c r="AN1528" s="17">
        <v>0.38829999999999998</v>
      </c>
      <c r="AO1528" s="17">
        <v>0.28339999999999999</v>
      </c>
      <c r="AP1528" s="17">
        <v>0.22720000000000001</v>
      </c>
      <c r="AQ1528" s="17">
        <v>0.16869999999999999</v>
      </c>
      <c r="AR1528" s="17">
        <v>0.1019</v>
      </c>
      <c r="AS1528" s="17">
        <v>4.24E-2</v>
      </c>
      <c r="AT1528" s="17">
        <v>1.21E-2</v>
      </c>
      <c r="AU1528" s="18">
        <v>149</v>
      </c>
      <c r="AV1528" s="17">
        <v>1</v>
      </c>
      <c r="AW1528" s="17">
        <v>1</v>
      </c>
      <c r="AX1528" s="17">
        <v>1</v>
      </c>
      <c r="AY1528" s="17">
        <v>0.39040000000000002</v>
      </c>
      <c r="AZ1528" s="17">
        <v>0.13650000000000001</v>
      </c>
      <c r="BA1528" s="17">
        <v>3.4000000000000002E-2</v>
      </c>
      <c r="BB1528" s="17">
        <v>5.8999999999999999E-3</v>
      </c>
      <c r="BC1528" s="17">
        <v>0.16</v>
      </c>
      <c r="BD1528" s="17">
        <v>1.1000000000000001E-3</v>
      </c>
      <c r="BE1528" s="17">
        <v>8.9999999999999998E-4</v>
      </c>
      <c r="BF1528" s="17">
        <v>6.9999999999999999E-4</v>
      </c>
      <c r="BG1528" s="17">
        <v>4.0000000000000002E-4</v>
      </c>
      <c r="BH1528" s="17">
        <v>1E-4</v>
      </c>
      <c r="BI1528" s="4">
        <f>AU1528/AI1528</f>
        <v>6.0569105691056908</v>
      </c>
      <c r="BJ1528" s="2" t="s">
        <v>68</v>
      </c>
      <c r="BK1528" s="2" t="s">
        <v>68</v>
      </c>
      <c r="BL1528" s="12"/>
      <c r="BM1528" s="12">
        <f>167*0.028317</f>
        <v>4.7289389999999996</v>
      </c>
      <c r="BN1528" s="12">
        <f>(6.915*(BM1528/0.028317)^0.23)*0.3048</f>
        <v>6.8396193999416486</v>
      </c>
      <c r="BO1528" s="12">
        <f>(0.272*(BM1528/0.028317)^0.373)*0.3048</f>
        <v>0.55931582915800593</v>
      </c>
      <c r="BP1528" s="12">
        <f>BO1528*BN1528</f>
        <v>3.8255073958035459</v>
      </c>
      <c r="BQ1528" s="12">
        <f>BN1528/BO1528</f>
        <v>12.228546097538509</v>
      </c>
      <c r="BR1528" s="12" t="s">
        <v>276</v>
      </c>
      <c r="BS1528" s="18">
        <v>3</v>
      </c>
      <c r="BT1528" s="12"/>
      <c r="BU1528" s="2"/>
      <c r="BV1528" s="2"/>
      <c r="BW1528" s="2"/>
      <c r="BX1528" s="2"/>
      <c r="BY1528" s="2" t="s">
        <v>86</v>
      </c>
      <c r="BZ1528" s="2"/>
      <c r="CA1528" s="381"/>
      <c r="CB1528" s="9" t="s">
        <v>224</v>
      </c>
    </row>
    <row r="1529" spans="1:81" s="87" customFormat="1" ht="15" x14ac:dyDescent="0.2">
      <c r="A1529" s="152"/>
      <c r="B1529" s="683"/>
      <c r="C1529" s="683"/>
      <c r="D1529" s="698"/>
      <c r="E1529" s="215"/>
      <c r="F1529" s="215"/>
      <c r="G1529" s="153"/>
      <c r="H1529" s="153"/>
      <c r="I1529" s="163">
        <v>10</v>
      </c>
      <c r="J1529" s="163">
        <v>240</v>
      </c>
      <c r="K1529" s="150">
        <v>1</v>
      </c>
      <c r="L1529" s="658">
        <v>40</v>
      </c>
      <c r="M1529" s="659">
        <v>32972</v>
      </c>
      <c r="N1529" s="598">
        <v>1.0477289999999999</v>
      </c>
      <c r="O1529" s="599">
        <v>5.6385000000000003E-3</v>
      </c>
      <c r="P1529" s="154"/>
      <c r="Q1529" s="93"/>
      <c r="R1529" s="93">
        <v>2.8</v>
      </c>
      <c r="S1529" s="93">
        <v>6.1</v>
      </c>
      <c r="T1529" s="93">
        <v>9</v>
      </c>
      <c r="U1529" s="93">
        <v>33.6</v>
      </c>
      <c r="V1529" s="497">
        <v>33.299999999999997</v>
      </c>
      <c r="W1529" s="497">
        <v>11.6</v>
      </c>
      <c r="X1529" s="497">
        <v>3</v>
      </c>
      <c r="Y1529" s="497">
        <v>0.6</v>
      </c>
      <c r="Z1529" s="93"/>
      <c r="AA1529" s="93"/>
      <c r="AB1529" s="95"/>
      <c r="AC1529" s="94"/>
      <c r="AD1529" s="223"/>
      <c r="AE1529" s="223"/>
      <c r="AF1529" s="223"/>
      <c r="AG1529" s="223"/>
      <c r="AH1529" s="340" t="s">
        <v>299</v>
      </c>
      <c r="AI1529" s="225"/>
      <c r="AJ1529" s="225"/>
      <c r="AK1529" s="152"/>
      <c r="AL1529" s="152"/>
      <c r="AM1529" s="152"/>
      <c r="AN1529" s="152"/>
      <c r="AO1529" s="152"/>
      <c r="AP1529" s="152"/>
      <c r="AQ1529" s="152"/>
      <c r="AR1529" s="152"/>
      <c r="AS1529" s="152"/>
      <c r="AT1529" s="152"/>
      <c r="AU1529" s="150">
        <v>101</v>
      </c>
      <c r="AV1529" s="219">
        <v>1</v>
      </c>
      <c r="AW1529" s="219">
        <v>0.9859</v>
      </c>
      <c r="AX1529" s="219">
        <v>0.82820000000000005</v>
      </c>
      <c r="AY1529" s="219">
        <v>0.58350000000000002</v>
      </c>
      <c r="AZ1529" s="219">
        <v>0.32</v>
      </c>
      <c r="BA1529" s="219">
        <v>0.2424</v>
      </c>
      <c r="BB1529" s="219">
        <v>0.19289999999999999</v>
      </c>
      <c r="BC1529" s="219">
        <v>0.1459</v>
      </c>
      <c r="BD1529" s="219">
        <v>0.1153</v>
      </c>
      <c r="BE1529" s="219">
        <v>8.9399999999999993E-2</v>
      </c>
      <c r="BF1529" s="219"/>
      <c r="BG1529" s="219"/>
      <c r="BH1529" s="219"/>
      <c r="BI1529" s="220">
        <f>AU1529/AI1528</f>
        <v>4.1056910569105689</v>
      </c>
      <c r="BJ1529" s="150" t="s">
        <v>68</v>
      </c>
      <c r="BK1529" s="150" t="s">
        <v>175</v>
      </c>
      <c r="BL1529" s="153"/>
      <c r="BM1529" s="153"/>
      <c r="BN1529" s="153"/>
      <c r="BO1529" s="153"/>
      <c r="BP1529" s="153"/>
      <c r="BQ1529" s="153"/>
      <c r="BR1529" s="153"/>
      <c r="BS1529" s="153"/>
      <c r="BT1529" s="153"/>
      <c r="BU1529" s="153"/>
      <c r="BV1529" s="153"/>
      <c r="BW1529" s="153"/>
      <c r="BX1529" s="153"/>
      <c r="BY1529" s="153"/>
      <c r="BZ1529" s="153"/>
      <c r="CA1529" s="152"/>
      <c r="CB1529" s="154" t="s">
        <v>597</v>
      </c>
    </row>
    <row r="1530" spans="1:81" s="87" customFormat="1" ht="15" x14ac:dyDescent="0.2">
      <c r="A1530" s="152"/>
      <c r="B1530" s="683"/>
      <c r="C1530" s="683"/>
      <c r="D1530" s="698"/>
      <c r="E1530" s="215"/>
      <c r="F1530" s="215"/>
      <c r="G1530" s="153"/>
      <c r="H1530" s="153"/>
      <c r="I1530" s="163">
        <v>12</v>
      </c>
      <c r="J1530" s="163">
        <v>360</v>
      </c>
      <c r="K1530" s="150">
        <v>1</v>
      </c>
      <c r="L1530" s="658">
        <v>72</v>
      </c>
      <c r="M1530" s="659">
        <v>32974</v>
      </c>
      <c r="N1530" s="598">
        <v>1.1326799999999999</v>
      </c>
      <c r="O1530" s="599">
        <v>4.1475000000000001E-3</v>
      </c>
      <c r="P1530" s="154"/>
      <c r="Q1530" s="93"/>
      <c r="R1530" s="93"/>
      <c r="S1530" s="93">
        <v>6.5</v>
      </c>
      <c r="T1530" s="93">
        <v>14.3</v>
      </c>
      <c r="U1530" s="93">
        <v>24.7</v>
      </c>
      <c r="V1530" s="497">
        <v>31.1</v>
      </c>
      <c r="W1530" s="497">
        <v>17.7</v>
      </c>
      <c r="X1530" s="497">
        <v>5.4</v>
      </c>
      <c r="Y1530" s="497">
        <v>0.2</v>
      </c>
      <c r="Z1530" s="93"/>
      <c r="AA1530" s="93"/>
      <c r="AB1530" s="95"/>
      <c r="AC1530" s="94"/>
      <c r="AD1530" s="223"/>
      <c r="AE1530" s="223"/>
      <c r="AF1530" s="223"/>
      <c r="AG1530" s="223"/>
      <c r="AH1530" s="340" t="s">
        <v>300</v>
      </c>
      <c r="AI1530" s="225"/>
      <c r="AJ1530" s="225"/>
      <c r="AK1530" s="152"/>
      <c r="AL1530" s="152"/>
      <c r="AM1530" s="152"/>
      <c r="AN1530" s="152"/>
      <c r="AO1530" s="152"/>
      <c r="AP1530" s="152"/>
      <c r="AQ1530" s="152"/>
      <c r="AR1530" s="152"/>
      <c r="AS1530" s="152"/>
      <c r="AT1530" s="152"/>
      <c r="AU1530" s="153"/>
      <c r="AV1530" s="479"/>
      <c r="AW1530" s="479"/>
      <c r="AX1530" s="442"/>
      <c r="AY1530" s="153"/>
      <c r="AZ1530" s="152"/>
      <c r="BA1530" s="152"/>
      <c r="BB1530" s="152"/>
      <c r="BC1530" s="152"/>
      <c r="BD1530" s="152"/>
      <c r="BE1530" s="152"/>
      <c r="BF1530" s="152"/>
      <c r="BG1530" s="152"/>
      <c r="BH1530" s="152"/>
      <c r="BI1530" s="153"/>
      <c r="BJ1530" s="153"/>
      <c r="BK1530" s="153"/>
      <c r="BL1530" s="153"/>
      <c r="BM1530" s="153"/>
      <c r="BN1530" s="153"/>
      <c r="BO1530" s="153"/>
      <c r="BP1530" s="153"/>
      <c r="BQ1530" s="153"/>
      <c r="BR1530" s="153"/>
      <c r="BS1530" s="153"/>
      <c r="BT1530" s="153"/>
      <c r="BU1530" s="153"/>
      <c r="BV1530" s="153"/>
      <c r="BW1530" s="153"/>
      <c r="BX1530" s="153"/>
      <c r="BY1530" s="153"/>
      <c r="BZ1530" s="153"/>
      <c r="CA1530" s="152"/>
      <c r="CB1530" s="486" t="s">
        <v>638</v>
      </c>
    </row>
    <row r="1531" spans="1:81" s="87" customFormat="1" ht="15" x14ac:dyDescent="0.2">
      <c r="A1531" s="152"/>
      <c r="B1531" s="683"/>
      <c r="C1531" s="683"/>
      <c r="D1531" s="698"/>
      <c r="E1531" s="215"/>
      <c r="F1531" s="215"/>
      <c r="G1531" s="153"/>
      <c r="H1531" s="153"/>
      <c r="I1531" s="163">
        <v>10</v>
      </c>
      <c r="J1531" s="163">
        <v>240</v>
      </c>
      <c r="K1531" s="150">
        <v>1</v>
      </c>
      <c r="L1531" s="658">
        <v>40</v>
      </c>
      <c r="M1531" s="659">
        <v>32976</v>
      </c>
      <c r="N1531" s="598">
        <v>1.2176309999999999</v>
      </c>
      <c r="O1531" s="599">
        <v>5.3760000000000006E-3</v>
      </c>
      <c r="P1531" s="154"/>
      <c r="Q1531" s="93"/>
      <c r="R1531" s="93"/>
      <c r="S1531" s="93">
        <v>0.4</v>
      </c>
      <c r="T1531" s="93">
        <v>5.8</v>
      </c>
      <c r="U1531" s="93">
        <v>20.2</v>
      </c>
      <c r="V1531" s="497">
        <v>51.7</v>
      </c>
      <c r="W1531" s="497">
        <v>19.899999999999999</v>
      </c>
      <c r="X1531" s="497">
        <v>1.8</v>
      </c>
      <c r="Y1531" s="497">
        <v>0.1</v>
      </c>
      <c r="Z1531" s="93"/>
      <c r="AA1531" s="93"/>
      <c r="AB1531" s="95"/>
      <c r="AC1531" s="94"/>
      <c r="AD1531" s="223"/>
      <c r="AE1531" s="223"/>
      <c r="AF1531" s="223"/>
      <c r="AG1531" s="223"/>
      <c r="AH1531" s="340" t="s">
        <v>307</v>
      </c>
      <c r="AI1531" s="225"/>
      <c r="AJ1531" s="225"/>
      <c r="AK1531" s="152"/>
      <c r="AL1531" s="152"/>
      <c r="AM1531" s="152"/>
      <c r="AN1531" s="152"/>
      <c r="AO1531" s="152"/>
      <c r="AP1531" s="152"/>
      <c r="AQ1531" s="152"/>
      <c r="AR1531" s="152"/>
      <c r="AS1531" s="152"/>
      <c r="AT1531" s="152"/>
      <c r="AU1531" s="153"/>
      <c r="AV1531" s="479"/>
      <c r="AW1531" s="479"/>
      <c r="AX1531" s="442"/>
      <c r="AY1531" s="153"/>
      <c r="AZ1531" s="152"/>
      <c r="BA1531" s="152"/>
      <c r="BB1531" s="152"/>
      <c r="BC1531" s="152"/>
      <c r="BD1531" s="152"/>
      <c r="BE1531" s="152"/>
      <c r="BF1531" s="152"/>
      <c r="BG1531" s="152"/>
      <c r="BH1531" s="152"/>
      <c r="BI1531" s="153"/>
      <c r="BJ1531" s="153"/>
      <c r="BK1531" s="153"/>
      <c r="BL1531" s="153"/>
      <c r="BM1531" s="153"/>
      <c r="BN1531" s="153"/>
      <c r="BO1531" s="153"/>
      <c r="BP1531" s="153"/>
      <c r="BQ1531" s="153"/>
      <c r="BR1531" s="153"/>
      <c r="BS1531" s="153"/>
      <c r="BT1531" s="153"/>
      <c r="BU1531" s="153"/>
      <c r="BV1531" s="153"/>
      <c r="BW1531" s="153"/>
      <c r="BX1531" s="153"/>
      <c r="BY1531" s="153"/>
      <c r="BZ1531" s="153"/>
      <c r="CA1531" s="152"/>
      <c r="CB1531" s="486" t="s">
        <v>639</v>
      </c>
    </row>
    <row r="1532" spans="1:81" s="87" customFormat="1" ht="15" x14ac:dyDescent="0.2">
      <c r="A1532" s="152"/>
      <c r="B1532" s="683"/>
      <c r="C1532" s="683"/>
      <c r="D1532" s="698"/>
      <c r="E1532" s="215"/>
      <c r="F1532" s="215"/>
      <c r="G1532" s="153"/>
      <c r="H1532" s="153"/>
      <c r="I1532" s="163">
        <v>11</v>
      </c>
      <c r="J1532" s="163">
        <v>240</v>
      </c>
      <c r="K1532" s="150">
        <v>1</v>
      </c>
      <c r="L1532" s="658">
        <v>44</v>
      </c>
      <c r="M1532" s="659">
        <v>32979</v>
      </c>
      <c r="N1532" s="598">
        <v>1.8972389999999999</v>
      </c>
      <c r="O1532" s="599">
        <v>6.3420000000000004E-3</v>
      </c>
      <c r="P1532" s="154"/>
      <c r="Q1532" s="93"/>
      <c r="R1532" s="93"/>
      <c r="S1532" s="93">
        <v>9.3000000000000007</v>
      </c>
      <c r="T1532" s="93">
        <v>10.4</v>
      </c>
      <c r="U1532" s="93">
        <v>18.600000000000001</v>
      </c>
      <c r="V1532" s="497">
        <v>29.9</v>
      </c>
      <c r="W1532" s="497">
        <v>22.6</v>
      </c>
      <c r="X1532" s="497">
        <v>8.6</v>
      </c>
      <c r="Y1532" s="497">
        <v>0.5</v>
      </c>
      <c r="Z1532" s="93"/>
      <c r="AA1532" s="93"/>
      <c r="AB1532" s="95"/>
      <c r="AC1532" s="94"/>
      <c r="AD1532" s="223">
        <v>5.7911999999999999</v>
      </c>
      <c r="AE1532" s="223">
        <v>0.36880800000000002</v>
      </c>
      <c r="AF1532" s="223">
        <v>2.1366999999999998</v>
      </c>
      <c r="AG1532" s="223">
        <f>2.93*(0.3048)</f>
        <v>0.89306400000000008</v>
      </c>
      <c r="AH1532" s="341"/>
      <c r="AI1532" s="226"/>
      <c r="AJ1532" s="226"/>
      <c r="AK1532" s="227"/>
      <c r="AL1532" s="227"/>
      <c r="AM1532" s="152"/>
      <c r="AN1532" s="152"/>
      <c r="AO1532" s="152"/>
      <c r="AP1532" s="152"/>
      <c r="AQ1532" s="152"/>
      <c r="AR1532" s="152"/>
      <c r="AS1532" s="152"/>
      <c r="AT1532" s="152"/>
      <c r="AU1532" s="153"/>
      <c r="AV1532" s="479"/>
      <c r="AW1532" s="479"/>
      <c r="AX1532" s="442"/>
      <c r="AY1532" s="153"/>
      <c r="AZ1532" s="152"/>
      <c r="BA1532" s="152"/>
      <c r="BB1532" s="152"/>
      <c r="BC1532" s="152"/>
      <c r="BD1532" s="152"/>
      <c r="BE1532" s="152"/>
      <c r="BF1532" s="152"/>
      <c r="BG1532" s="152"/>
      <c r="BH1532" s="152"/>
      <c r="BI1532" s="153"/>
      <c r="BJ1532" s="153"/>
      <c r="BK1532" s="153"/>
      <c r="BL1532" s="153"/>
      <c r="BM1532" s="153"/>
      <c r="BN1532" s="153"/>
      <c r="BO1532" s="153"/>
      <c r="BP1532" s="153"/>
      <c r="BQ1532" s="153"/>
      <c r="BR1532" s="153"/>
      <c r="BS1532" s="153"/>
      <c r="BT1532" s="153"/>
      <c r="BU1532" s="153"/>
      <c r="BV1532" s="153"/>
      <c r="BW1532" s="153"/>
      <c r="BX1532" s="153"/>
      <c r="BY1532" s="153"/>
      <c r="BZ1532" s="153"/>
      <c r="CA1532" s="152"/>
      <c r="CB1532" s="486" t="s">
        <v>640</v>
      </c>
    </row>
    <row r="1533" spans="1:81" s="87" customFormat="1" x14ac:dyDescent="0.2">
      <c r="A1533" s="152"/>
      <c r="B1533" s="683"/>
      <c r="C1533" s="683"/>
      <c r="D1533" s="698"/>
      <c r="E1533" s="215"/>
      <c r="F1533" s="215"/>
      <c r="G1533" s="153"/>
      <c r="H1533" s="153"/>
      <c r="I1533" s="163">
        <v>12</v>
      </c>
      <c r="J1533" s="163">
        <v>120</v>
      </c>
      <c r="K1533" s="150">
        <v>1</v>
      </c>
      <c r="L1533" s="658">
        <v>24</v>
      </c>
      <c r="M1533" s="659">
        <v>32981</v>
      </c>
      <c r="N1533" s="598">
        <v>2.6051639999999998</v>
      </c>
      <c r="O1533" s="599">
        <v>2.6670000000000003E-2</v>
      </c>
      <c r="P1533" s="154"/>
      <c r="Q1533" s="93"/>
      <c r="R1533" s="93"/>
      <c r="S1533" s="93">
        <v>1.7</v>
      </c>
      <c r="T1533" s="93">
        <v>11.2</v>
      </c>
      <c r="U1533" s="93">
        <v>31.6</v>
      </c>
      <c r="V1533" s="497">
        <v>31.6</v>
      </c>
      <c r="W1533" s="497">
        <v>19</v>
      </c>
      <c r="X1533" s="497">
        <v>4.7</v>
      </c>
      <c r="Y1533" s="497">
        <v>0.2</v>
      </c>
      <c r="Z1533" s="93"/>
      <c r="AA1533" s="93"/>
      <c r="AB1533" s="95"/>
      <c r="AC1533" s="94"/>
      <c r="AD1533" s="223"/>
      <c r="AE1533" s="223"/>
      <c r="AF1533" s="223"/>
      <c r="AG1533" s="223"/>
      <c r="AH1533" s="341"/>
      <c r="AI1533" s="226"/>
      <c r="AJ1533" s="226"/>
      <c r="AK1533" s="227"/>
      <c r="AL1533" s="227"/>
      <c r="AM1533" s="152"/>
      <c r="AN1533" s="152"/>
      <c r="AO1533" s="152"/>
      <c r="AP1533" s="152"/>
      <c r="AQ1533" s="152"/>
      <c r="AR1533" s="152"/>
      <c r="AS1533" s="152"/>
      <c r="AT1533" s="152"/>
      <c r="AU1533" s="153"/>
      <c r="AV1533" s="479"/>
      <c r="AW1533" s="479"/>
      <c r="AX1533" s="442"/>
      <c r="AY1533" s="153"/>
      <c r="AZ1533" s="152"/>
      <c r="BA1533" s="152"/>
      <c r="BB1533" s="152"/>
      <c r="BC1533" s="152"/>
      <c r="BD1533" s="152"/>
      <c r="BE1533" s="152"/>
      <c r="BF1533" s="152"/>
      <c r="BG1533" s="152"/>
      <c r="BH1533" s="152"/>
      <c r="BI1533" s="153"/>
      <c r="BJ1533" s="153"/>
      <c r="BK1533" s="153"/>
      <c r="BL1533" s="153"/>
      <c r="BM1533" s="153"/>
      <c r="BN1533" s="153"/>
      <c r="BO1533" s="153"/>
      <c r="BP1533" s="153"/>
      <c r="BQ1533" s="153"/>
      <c r="BR1533" s="153"/>
      <c r="BS1533" s="153"/>
      <c r="BT1533" s="153"/>
      <c r="BU1533" s="153"/>
      <c r="BV1533" s="153"/>
      <c r="BW1533" s="153"/>
      <c r="BX1533" s="153"/>
      <c r="BY1533" s="153"/>
      <c r="BZ1533" s="153"/>
      <c r="CA1533" s="152"/>
      <c r="CB1533" s="152"/>
    </row>
    <row r="1534" spans="1:81" s="87" customFormat="1" x14ac:dyDescent="0.2">
      <c r="A1534" s="152"/>
      <c r="B1534" s="683"/>
      <c r="C1534" s="683"/>
      <c r="D1534" s="698"/>
      <c r="E1534" s="215"/>
      <c r="F1534" s="215"/>
      <c r="G1534" s="153"/>
      <c r="H1534" s="153"/>
      <c r="I1534" s="163">
        <v>12</v>
      </c>
      <c r="J1534" s="163">
        <v>120</v>
      </c>
      <c r="K1534" s="150">
        <v>1</v>
      </c>
      <c r="L1534" s="658">
        <v>24</v>
      </c>
      <c r="M1534" s="659">
        <v>32983</v>
      </c>
      <c r="N1534" s="598">
        <v>2.520213</v>
      </c>
      <c r="O1534" s="599">
        <v>3.7590000000000005E-2</v>
      </c>
      <c r="P1534" s="154"/>
      <c r="Q1534" s="93"/>
      <c r="R1534" s="93">
        <v>1</v>
      </c>
      <c r="S1534" s="93">
        <v>4.5999999999999996</v>
      </c>
      <c r="T1534" s="93">
        <v>12</v>
      </c>
      <c r="U1534" s="93">
        <v>28.8</v>
      </c>
      <c r="V1534" s="497">
        <v>34.4</v>
      </c>
      <c r="W1534" s="497">
        <v>15.2</v>
      </c>
      <c r="X1534" s="497">
        <v>3.8</v>
      </c>
      <c r="Y1534" s="497">
        <v>0.2</v>
      </c>
      <c r="Z1534" s="93"/>
      <c r="AA1534" s="93"/>
      <c r="AB1534" s="95"/>
      <c r="AC1534" s="94"/>
      <c r="AD1534" s="223"/>
      <c r="AE1534" s="223"/>
      <c r="AF1534" s="223"/>
      <c r="AG1534" s="223"/>
      <c r="AH1534" s="341"/>
      <c r="AI1534" s="226"/>
      <c r="AJ1534" s="226"/>
      <c r="AK1534" s="227"/>
      <c r="AL1534" s="227"/>
      <c r="AM1534" s="152"/>
      <c r="AN1534" s="152"/>
      <c r="AO1534" s="152"/>
      <c r="AP1534" s="152"/>
      <c r="AQ1534" s="152"/>
      <c r="AR1534" s="152"/>
      <c r="AS1534" s="152"/>
      <c r="AT1534" s="152"/>
      <c r="AU1534" s="153"/>
      <c r="AV1534" s="479"/>
      <c r="AW1534" s="479"/>
      <c r="AX1534" s="442"/>
      <c r="AY1534" s="153"/>
      <c r="AZ1534" s="152"/>
      <c r="BA1534" s="152"/>
      <c r="BB1534" s="152"/>
      <c r="BC1534" s="152"/>
      <c r="BD1534" s="152"/>
      <c r="BE1534" s="152"/>
      <c r="BF1534" s="152"/>
      <c r="BG1534" s="152"/>
      <c r="BH1534" s="152"/>
      <c r="BI1534" s="153"/>
      <c r="BJ1534" s="153"/>
      <c r="BK1534" s="153"/>
      <c r="BL1534" s="153"/>
      <c r="BM1534" s="153"/>
      <c r="BN1534" s="153"/>
      <c r="BO1534" s="153"/>
      <c r="BP1534" s="153"/>
      <c r="BQ1534" s="153"/>
      <c r="BR1534" s="153"/>
      <c r="BS1534" s="153"/>
      <c r="BT1534" s="153"/>
      <c r="BU1534" s="153"/>
      <c r="BV1534" s="153"/>
      <c r="BW1534" s="153"/>
      <c r="BX1534" s="153"/>
      <c r="BY1534" s="153"/>
      <c r="BZ1534" s="153"/>
      <c r="CA1534" s="152"/>
      <c r="CB1534" s="152"/>
    </row>
    <row r="1535" spans="1:81" s="87" customFormat="1" x14ac:dyDescent="0.2">
      <c r="A1535" s="152"/>
      <c r="B1535" s="683"/>
      <c r="C1535" s="683"/>
      <c r="D1535" s="698"/>
      <c r="E1535" s="215"/>
      <c r="F1535" s="215"/>
      <c r="G1535" s="153"/>
      <c r="H1535" s="153"/>
      <c r="I1535" s="163">
        <v>11</v>
      </c>
      <c r="J1535" s="163">
        <v>120</v>
      </c>
      <c r="K1535" s="150">
        <v>1</v>
      </c>
      <c r="L1535" s="658">
        <v>22</v>
      </c>
      <c r="M1535" s="659">
        <v>32986</v>
      </c>
      <c r="N1535" s="598">
        <v>3.1431869999999997</v>
      </c>
      <c r="O1535" s="599">
        <v>4.9455000000000006E-2</v>
      </c>
      <c r="P1535" s="154"/>
      <c r="Q1535" s="93"/>
      <c r="R1535" s="93"/>
      <c r="S1535" s="93">
        <v>0.3</v>
      </c>
      <c r="T1535" s="93">
        <v>2.5</v>
      </c>
      <c r="U1535" s="93">
        <v>18.600000000000001</v>
      </c>
      <c r="V1535" s="497">
        <v>47.5</v>
      </c>
      <c r="W1535" s="497">
        <v>25.9</v>
      </c>
      <c r="X1535" s="497">
        <v>4.9000000000000004</v>
      </c>
      <c r="Y1535" s="497">
        <v>0.2</v>
      </c>
      <c r="Z1535" s="93"/>
      <c r="AA1535" s="93"/>
      <c r="AB1535" s="95"/>
      <c r="AC1535" s="94"/>
      <c r="AD1535" s="223"/>
      <c r="AE1535" s="223"/>
      <c r="AF1535" s="223"/>
      <c r="AG1535" s="223"/>
      <c r="AH1535" s="341"/>
      <c r="AI1535" s="226"/>
      <c r="AJ1535" s="226"/>
      <c r="AK1535" s="227"/>
      <c r="AL1535" s="227"/>
      <c r="AM1535" s="152"/>
      <c r="AN1535" s="228"/>
      <c r="AO1535" s="152"/>
      <c r="AP1535" s="152"/>
      <c r="AQ1535" s="152"/>
      <c r="AR1535" s="152"/>
      <c r="AS1535" s="152"/>
      <c r="AT1535" s="152"/>
      <c r="AU1535" s="153"/>
      <c r="AV1535" s="479"/>
      <c r="AW1535" s="479"/>
      <c r="AX1535" s="442"/>
      <c r="AY1535" s="153"/>
      <c r="AZ1535" s="152"/>
      <c r="BA1535" s="152"/>
      <c r="BB1535" s="152"/>
      <c r="BC1535" s="152"/>
      <c r="BD1535" s="152"/>
      <c r="BE1535" s="152"/>
      <c r="BF1535" s="152"/>
      <c r="BG1535" s="152"/>
      <c r="BH1535" s="152"/>
      <c r="BI1535" s="153"/>
      <c r="BJ1535" s="153"/>
      <c r="BK1535" s="153"/>
      <c r="BL1535" s="153"/>
      <c r="BM1535" s="153"/>
      <c r="BN1535" s="153"/>
      <c r="BO1535" s="153"/>
      <c r="BP1535" s="153"/>
      <c r="BQ1535" s="153"/>
      <c r="BR1535" s="153"/>
      <c r="BS1535" s="153"/>
      <c r="BT1535" s="153"/>
      <c r="BU1535" s="153"/>
      <c r="BV1535" s="153"/>
      <c r="BW1535" s="153"/>
      <c r="BX1535" s="153"/>
      <c r="BY1535" s="153"/>
      <c r="BZ1535" s="153"/>
      <c r="CA1535" s="152"/>
      <c r="CB1535" s="152"/>
    </row>
    <row r="1536" spans="1:81" s="87" customFormat="1" x14ac:dyDescent="0.2">
      <c r="A1536" s="152"/>
      <c r="B1536" s="683"/>
      <c r="C1536" s="683"/>
      <c r="D1536" s="698"/>
      <c r="E1536" s="215"/>
      <c r="F1536" s="215"/>
      <c r="G1536" s="153"/>
      <c r="H1536" s="153"/>
      <c r="I1536" s="163">
        <v>11</v>
      </c>
      <c r="J1536" s="163">
        <v>120</v>
      </c>
      <c r="K1536" s="150">
        <v>1</v>
      </c>
      <c r="L1536" s="658">
        <v>22</v>
      </c>
      <c r="M1536" s="659">
        <v>32987</v>
      </c>
      <c r="N1536" s="598">
        <v>2.860017</v>
      </c>
      <c r="O1536" s="599">
        <v>1.1864999999999999E-2</v>
      </c>
      <c r="P1536" s="154"/>
      <c r="Q1536" s="93"/>
      <c r="R1536" s="93">
        <v>4.7</v>
      </c>
      <c r="S1536" s="93">
        <v>8.1</v>
      </c>
      <c r="T1536" s="93">
        <v>11.2</v>
      </c>
      <c r="U1536" s="93">
        <v>26.3</v>
      </c>
      <c r="V1536" s="497">
        <v>32.799999999999997</v>
      </c>
      <c r="W1536" s="497">
        <v>13.4</v>
      </c>
      <c r="X1536" s="497">
        <v>3.3</v>
      </c>
      <c r="Y1536" s="497">
        <v>0.3</v>
      </c>
      <c r="Z1536" s="93"/>
      <c r="AA1536" s="93"/>
      <c r="AB1536" s="95"/>
      <c r="AC1536" s="94"/>
      <c r="AD1536" s="223"/>
      <c r="AE1536" s="223"/>
      <c r="AF1536" s="223"/>
      <c r="AG1536" s="223"/>
      <c r="AH1536" s="341"/>
      <c r="AI1536" s="226"/>
      <c r="AJ1536" s="226"/>
      <c r="AK1536" s="227"/>
      <c r="AL1536" s="227"/>
      <c r="AM1536" s="152"/>
      <c r="AN1536" s="152"/>
      <c r="AO1536" s="152"/>
      <c r="AP1536" s="152"/>
      <c r="AQ1536" s="152"/>
      <c r="AR1536" s="152"/>
      <c r="AS1536" s="152"/>
      <c r="AT1536" s="152"/>
      <c r="AU1536" s="153"/>
      <c r="AV1536" s="479"/>
      <c r="AW1536" s="479"/>
      <c r="AX1536" s="442"/>
      <c r="AY1536" s="153"/>
      <c r="AZ1536" s="152"/>
      <c r="BA1536" s="152"/>
      <c r="BB1536" s="152"/>
      <c r="BC1536" s="152"/>
      <c r="BD1536" s="152"/>
      <c r="BE1536" s="152"/>
      <c r="BF1536" s="152"/>
      <c r="BG1536" s="152"/>
      <c r="BH1536" s="152"/>
      <c r="BI1536" s="153"/>
      <c r="BJ1536" s="153"/>
      <c r="BK1536" s="153"/>
      <c r="BL1536" s="153"/>
      <c r="BM1536" s="153"/>
      <c r="BN1536" s="153"/>
      <c r="BO1536" s="153"/>
      <c r="BP1536" s="153"/>
      <c r="BQ1536" s="153"/>
      <c r="BR1536" s="153"/>
      <c r="BS1536" s="153"/>
      <c r="BT1536" s="153"/>
      <c r="BU1536" s="153"/>
      <c r="BV1536" s="153"/>
      <c r="BW1536" s="153"/>
      <c r="BX1536" s="153"/>
      <c r="BY1536" s="153"/>
      <c r="BZ1536" s="153"/>
      <c r="CA1536" s="152"/>
      <c r="CB1536" s="152"/>
    </row>
    <row r="1537" spans="1:80" s="87" customFormat="1" x14ac:dyDescent="0.2">
      <c r="A1537" s="152"/>
      <c r="B1537" s="683"/>
      <c r="C1537" s="683"/>
      <c r="D1537" s="698"/>
      <c r="E1537" s="215"/>
      <c r="F1537" s="215"/>
      <c r="G1537" s="153"/>
      <c r="H1537" s="153"/>
      <c r="I1537" s="163">
        <v>12</v>
      </c>
      <c r="J1537" s="163">
        <v>180</v>
      </c>
      <c r="K1537" s="150">
        <v>1</v>
      </c>
      <c r="L1537" s="658">
        <v>36</v>
      </c>
      <c r="M1537" s="659">
        <v>32989</v>
      </c>
      <c r="N1537" s="598">
        <v>2.2370429999999999</v>
      </c>
      <c r="O1537" s="599">
        <v>6.5100000000000002E-3</v>
      </c>
      <c r="P1537" s="154"/>
      <c r="Q1537" s="93"/>
      <c r="R1537" s="93"/>
      <c r="S1537" s="93"/>
      <c r="T1537" s="93">
        <v>6.6</v>
      </c>
      <c r="U1537" s="93">
        <v>25.1</v>
      </c>
      <c r="V1537" s="497">
        <v>36.4</v>
      </c>
      <c r="W1537" s="497">
        <v>25.3</v>
      </c>
      <c r="X1537" s="497">
        <v>6.3</v>
      </c>
      <c r="Y1537" s="497">
        <v>0.4</v>
      </c>
      <c r="Z1537" s="93"/>
      <c r="AA1537" s="93"/>
      <c r="AB1537" s="95"/>
      <c r="AC1537" s="94"/>
      <c r="AD1537" s="223">
        <v>8.8391999999999999</v>
      </c>
      <c r="AE1537" s="223">
        <v>0.32308800000000004</v>
      </c>
      <c r="AF1537" s="223">
        <v>2.8613200000000001</v>
      </c>
      <c r="AG1537" s="223">
        <f>2.55*(0.3048)</f>
        <v>0.77723999999999993</v>
      </c>
      <c r="AH1537" s="341"/>
      <c r="AI1537" s="226"/>
      <c r="AJ1537" s="226"/>
      <c r="AK1537" s="227"/>
      <c r="AL1537" s="227"/>
      <c r="AM1537" s="152"/>
      <c r="AN1537" s="152"/>
      <c r="AO1537" s="152"/>
      <c r="AP1537" s="152"/>
      <c r="AQ1537" s="152"/>
      <c r="AR1537" s="152"/>
      <c r="AS1537" s="152"/>
      <c r="AT1537" s="152"/>
      <c r="AU1537" s="153"/>
      <c r="AV1537" s="479"/>
      <c r="AW1537" s="479"/>
      <c r="AX1537" s="442"/>
      <c r="AY1537" s="153"/>
      <c r="AZ1537" s="152"/>
      <c r="BA1537" s="152"/>
      <c r="BB1537" s="152"/>
      <c r="BC1537" s="152"/>
      <c r="BD1537" s="152"/>
      <c r="BE1537" s="152"/>
      <c r="BF1537" s="152"/>
      <c r="BG1537" s="152"/>
      <c r="BH1537" s="152"/>
      <c r="BI1537" s="153"/>
      <c r="BJ1537" s="153"/>
      <c r="BK1537" s="153"/>
      <c r="BL1537" s="153"/>
      <c r="BM1537" s="153"/>
      <c r="BN1537" s="153"/>
      <c r="BO1537" s="153"/>
      <c r="BP1537" s="153"/>
      <c r="BQ1537" s="153"/>
      <c r="BR1537" s="153"/>
      <c r="BS1537" s="153"/>
      <c r="BT1537" s="153"/>
      <c r="BU1537" s="153"/>
      <c r="BV1537" s="153"/>
      <c r="BW1537" s="153"/>
      <c r="BX1537" s="153"/>
      <c r="BY1537" s="153"/>
      <c r="BZ1537" s="153"/>
      <c r="CA1537" s="152"/>
      <c r="CB1537" s="152"/>
    </row>
    <row r="1538" spans="1:80" s="87" customFormat="1" x14ac:dyDescent="0.2">
      <c r="A1538" s="152"/>
      <c r="B1538" s="683"/>
      <c r="C1538" s="683"/>
      <c r="D1538" s="698"/>
      <c r="E1538" s="215"/>
      <c r="F1538" s="215"/>
      <c r="G1538" s="153"/>
      <c r="H1538" s="153"/>
      <c r="I1538" s="163">
        <v>11</v>
      </c>
      <c r="J1538" s="163">
        <v>300</v>
      </c>
      <c r="K1538" s="150">
        <v>1</v>
      </c>
      <c r="L1538" s="658">
        <v>55</v>
      </c>
      <c r="M1538" s="659">
        <v>32995</v>
      </c>
      <c r="N1538" s="598">
        <v>1.6423859999999999</v>
      </c>
      <c r="O1538" s="599">
        <v>4.6935000000000006E-3</v>
      </c>
      <c r="P1538" s="154"/>
      <c r="Q1538" s="93"/>
      <c r="R1538" s="93">
        <v>4.5999999999999996</v>
      </c>
      <c r="S1538" s="93">
        <v>7.5</v>
      </c>
      <c r="T1538" s="93">
        <v>5.3</v>
      </c>
      <c r="U1538" s="93">
        <v>16.100000000000001</v>
      </c>
      <c r="V1538" s="497">
        <v>35.200000000000003</v>
      </c>
      <c r="W1538" s="497">
        <v>25.5</v>
      </c>
      <c r="X1538" s="497">
        <v>5.6</v>
      </c>
      <c r="Y1538" s="497">
        <v>0.1</v>
      </c>
      <c r="Z1538" s="93"/>
      <c r="AA1538" s="93"/>
      <c r="AB1538" s="95"/>
      <c r="AC1538" s="94"/>
      <c r="AD1538" s="223"/>
      <c r="AE1538" s="223"/>
      <c r="AF1538" s="223"/>
      <c r="AG1538" s="223"/>
      <c r="AH1538" s="341"/>
      <c r="AI1538" s="226"/>
      <c r="AJ1538" s="226"/>
      <c r="AK1538" s="227"/>
      <c r="AL1538" s="227"/>
      <c r="AM1538" s="152"/>
      <c r="AN1538" s="152"/>
      <c r="AO1538" s="152"/>
      <c r="AP1538" s="152"/>
      <c r="AQ1538" s="152"/>
      <c r="AR1538" s="152"/>
      <c r="AS1538" s="152"/>
      <c r="AT1538" s="152"/>
      <c r="AU1538" s="153"/>
      <c r="AV1538" s="479"/>
      <c r="AW1538" s="479"/>
      <c r="AX1538" s="442"/>
      <c r="AY1538" s="153"/>
      <c r="AZ1538" s="152"/>
      <c r="BA1538" s="152"/>
      <c r="BB1538" s="152"/>
      <c r="BC1538" s="152"/>
      <c r="BD1538" s="152"/>
      <c r="BE1538" s="152"/>
      <c r="BF1538" s="152"/>
      <c r="BG1538" s="152"/>
      <c r="BH1538" s="152"/>
      <c r="BI1538" s="153"/>
      <c r="BJ1538" s="153"/>
      <c r="BK1538" s="153"/>
      <c r="BL1538" s="153"/>
      <c r="BM1538" s="153"/>
      <c r="BN1538" s="153"/>
      <c r="BO1538" s="153"/>
      <c r="BP1538" s="153"/>
      <c r="BQ1538" s="153"/>
      <c r="BR1538" s="153"/>
      <c r="BS1538" s="153"/>
      <c r="BT1538" s="153"/>
      <c r="BU1538" s="153"/>
      <c r="BV1538" s="153"/>
      <c r="BW1538" s="153"/>
      <c r="BX1538" s="153"/>
      <c r="BY1538" s="153"/>
      <c r="BZ1538" s="153"/>
      <c r="CA1538" s="152"/>
      <c r="CB1538" s="152"/>
    </row>
    <row r="1539" spans="1:80" s="87" customFormat="1" x14ac:dyDescent="0.2">
      <c r="A1539" s="152"/>
      <c r="B1539" s="683"/>
      <c r="C1539" s="683"/>
      <c r="D1539" s="698"/>
      <c r="E1539" s="215"/>
      <c r="F1539" s="215"/>
      <c r="G1539" s="153"/>
      <c r="H1539" s="153"/>
      <c r="I1539" s="163">
        <v>11</v>
      </c>
      <c r="J1539" s="163">
        <v>360</v>
      </c>
      <c r="K1539" s="150">
        <v>1</v>
      </c>
      <c r="L1539" s="658">
        <v>66</v>
      </c>
      <c r="M1539" s="659">
        <v>32997</v>
      </c>
      <c r="N1539" s="598">
        <v>1.6707029999999998</v>
      </c>
      <c r="O1539" s="599">
        <v>2.1315000000000001E-3</v>
      </c>
      <c r="P1539" s="154"/>
      <c r="Q1539" s="93"/>
      <c r="R1539" s="93"/>
      <c r="S1539" s="93">
        <v>5.6</v>
      </c>
      <c r="T1539" s="93">
        <v>2.5</v>
      </c>
      <c r="U1539" s="93">
        <v>7.8</v>
      </c>
      <c r="V1539" s="497">
        <v>33.299999999999997</v>
      </c>
      <c r="W1539" s="497">
        <v>40.6</v>
      </c>
      <c r="X1539" s="497">
        <v>9.9</v>
      </c>
      <c r="Y1539" s="497">
        <v>0.2</v>
      </c>
      <c r="Z1539" s="93"/>
      <c r="AA1539" s="93"/>
      <c r="AB1539" s="95"/>
      <c r="AC1539" s="94"/>
      <c r="AD1539" s="223"/>
      <c r="AE1539" s="223"/>
      <c r="AF1539" s="223"/>
      <c r="AG1539" s="223"/>
      <c r="AH1539" s="341"/>
      <c r="AI1539" s="226"/>
      <c r="AJ1539" s="226"/>
      <c r="AK1539" s="227"/>
      <c r="AL1539" s="227"/>
      <c r="AM1539" s="152"/>
      <c r="AN1539" s="152"/>
      <c r="AO1539" s="152"/>
      <c r="AP1539" s="152"/>
      <c r="AQ1539" s="152"/>
      <c r="AR1539" s="152"/>
      <c r="AS1539" s="152"/>
      <c r="AT1539" s="152"/>
      <c r="AU1539" s="153"/>
      <c r="AV1539" s="479"/>
      <c r="AW1539" s="479"/>
      <c r="AX1539" s="442"/>
      <c r="AY1539" s="153"/>
      <c r="AZ1539" s="152"/>
      <c r="BA1539" s="152"/>
      <c r="BB1539" s="152"/>
      <c r="BC1539" s="152"/>
      <c r="BD1539" s="152"/>
      <c r="BE1539" s="152"/>
      <c r="BF1539" s="152"/>
      <c r="BG1539" s="152"/>
      <c r="BH1539" s="152"/>
      <c r="BI1539" s="153"/>
      <c r="BJ1539" s="153"/>
      <c r="BK1539" s="153"/>
      <c r="BL1539" s="153"/>
      <c r="BM1539" s="153"/>
      <c r="BN1539" s="153"/>
      <c r="BO1539" s="153"/>
      <c r="BP1539" s="153"/>
      <c r="BQ1539" s="153"/>
      <c r="BR1539" s="153"/>
      <c r="BS1539" s="153"/>
      <c r="BT1539" s="153"/>
      <c r="BU1539" s="153"/>
      <c r="BV1539" s="153"/>
      <c r="BW1539" s="153"/>
      <c r="BX1539" s="153"/>
      <c r="BY1539" s="153"/>
      <c r="BZ1539" s="153"/>
      <c r="CA1539" s="152"/>
      <c r="CB1539" s="152"/>
    </row>
    <row r="1540" spans="1:80" s="87" customFormat="1" x14ac:dyDescent="0.2">
      <c r="A1540" s="152"/>
      <c r="B1540" s="683"/>
      <c r="C1540" s="683"/>
      <c r="D1540" s="698"/>
      <c r="E1540" s="215"/>
      <c r="F1540" s="215"/>
      <c r="G1540" s="153"/>
      <c r="H1540" s="153"/>
      <c r="I1540" s="163">
        <v>11</v>
      </c>
      <c r="J1540" s="163">
        <v>360</v>
      </c>
      <c r="K1540" s="150">
        <v>1</v>
      </c>
      <c r="L1540" s="658">
        <v>66</v>
      </c>
      <c r="M1540" s="659">
        <v>33000</v>
      </c>
      <c r="N1540" s="598">
        <v>2.3219939999999997</v>
      </c>
      <c r="O1540" s="599">
        <v>5.4810000000000006E-3</v>
      </c>
      <c r="P1540" s="154"/>
      <c r="Q1540" s="93"/>
      <c r="R1540" s="93"/>
      <c r="S1540" s="93">
        <v>2.6</v>
      </c>
      <c r="T1540" s="93">
        <v>8.1999999999999993</v>
      </c>
      <c r="U1540" s="93">
        <v>26</v>
      </c>
      <c r="V1540" s="497">
        <v>36.5</v>
      </c>
      <c r="W1540" s="497">
        <v>21.2</v>
      </c>
      <c r="X1540" s="497">
        <v>5.3</v>
      </c>
      <c r="Y1540" s="497">
        <v>0.2</v>
      </c>
      <c r="Z1540" s="93"/>
      <c r="AA1540" s="93"/>
      <c r="AB1540" s="95"/>
      <c r="AC1540" s="94"/>
      <c r="AD1540" s="223"/>
      <c r="AE1540" s="223"/>
      <c r="AF1540" s="223"/>
      <c r="AG1540" s="223"/>
      <c r="AH1540" s="341"/>
      <c r="AI1540" s="226"/>
      <c r="AJ1540" s="226"/>
      <c r="AK1540" s="227"/>
      <c r="AL1540" s="227"/>
      <c r="AM1540" s="152"/>
      <c r="AN1540" s="152"/>
      <c r="AO1540" s="152"/>
      <c r="AP1540" s="152"/>
      <c r="AQ1540" s="152"/>
      <c r="AR1540" s="152"/>
      <c r="AS1540" s="152"/>
      <c r="AT1540" s="152"/>
      <c r="AU1540" s="153"/>
      <c r="AV1540" s="479"/>
      <c r="AW1540" s="479"/>
      <c r="AX1540" s="442"/>
      <c r="AY1540" s="153"/>
      <c r="AZ1540" s="152"/>
      <c r="BA1540" s="152"/>
      <c r="BB1540" s="152"/>
      <c r="BC1540" s="152"/>
      <c r="BD1540" s="152"/>
      <c r="BE1540" s="152"/>
      <c r="BF1540" s="152"/>
      <c r="BG1540" s="152"/>
      <c r="BH1540" s="152"/>
      <c r="BI1540" s="153"/>
      <c r="BJ1540" s="153"/>
      <c r="BK1540" s="153"/>
      <c r="BL1540" s="153"/>
      <c r="BM1540" s="153"/>
      <c r="BN1540" s="153"/>
      <c r="BO1540" s="153"/>
      <c r="BP1540" s="153"/>
      <c r="BQ1540" s="153"/>
      <c r="BR1540" s="153"/>
      <c r="BS1540" s="153"/>
      <c r="BT1540" s="153"/>
      <c r="BU1540" s="153"/>
      <c r="BV1540" s="153"/>
      <c r="BW1540" s="153"/>
      <c r="BX1540" s="153"/>
      <c r="BY1540" s="153"/>
      <c r="BZ1540" s="153"/>
      <c r="CA1540" s="152"/>
      <c r="CB1540" s="152"/>
    </row>
    <row r="1541" spans="1:80" s="87" customFormat="1" x14ac:dyDescent="0.2">
      <c r="A1541" s="152"/>
      <c r="B1541" s="683"/>
      <c r="C1541" s="683"/>
      <c r="D1541" s="698"/>
      <c r="E1541" s="215"/>
      <c r="F1541" s="215"/>
      <c r="G1541" s="153"/>
      <c r="H1541" s="153"/>
      <c r="I1541" s="163">
        <v>10</v>
      </c>
      <c r="J1541" s="163">
        <v>360</v>
      </c>
      <c r="K1541" s="150">
        <v>1</v>
      </c>
      <c r="L1541" s="658">
        <v>60</v>
      </c>
      <c r="M1541" s="659">
        <v>33008</v>
      </c>
      <c r="N1541" s="598">
        <v>1.69902</v>
      </c>
      <c r="O1541" s="599">
        <v>1.0185000000000001E-3</v>
      </c>
      <c r="P1541" s="154"/>
      <c r="Q1541" s="93"/>
      <c r="R1541" s="93"/>
      <c r="S1541" s="93" t="s">
        <v>71</v>
      </c>
      <c r="T1541" s="93">
        <v>13.6</v>
      </c>
      <c r="U1541" s="93">
        <v>32.200000000000003</v>
      </c>
      <c r="V1541" s="497">
        <v>24.4</v>
      </c>
      <c r="W1541" s="497">
        <v>21.7</v>
      </c>
      <c r="X1541" s="497">
        <v>7.8</v>
      </c>
      <c r="Y1541" s="497">
        <v>0.2</v>
      </c>
      <c r="Z1541" s="93"/>
      <c r="AA1541" s="93"/>
      <c r="AB1541" s="95"/>
      <c r="AC1541" s="94"/>
      <c r="AD1541" s="223"/>
      <c r="AE1541" s="223"/>
      <c r="AF1541" s="223"/>
      <c r="AG1541" s="223"/>
      <c r="AH1541" s="341"/>
      <c r="AI1541" s="226"/>
      <c r="AJ1541" s="226"/>
      <c r="AK1541" s="227"/>
      <c r="AL1541" s="227"/>
      <c r="AM1541" s="152"/>
      <c r="AN1541" s="152"/>
      <c r="AO1541" s="152"/>
      <c r="AP1541" s="152"/>
      <c r="AQ1541" s="152"/>
      <c r="AR1541" s="152"/>
      <c r="AS1541" s="152"/>
      <c r="AT1541" s="152"/>
      <c r="AU1541" s="153"/>
      <c r="AV1541" s="479"/>
      <c r="AW1541" s="479"/>
      <c r="AX1541" s="442"/>
      <c r="AY1541" s="153"/>
      <c r="AZ1541" s="152"/>
      <c r="BA1541" s="152"/>
      <c r="BB1541" s="152"/>
      <c r="BC1541" s="152"/>
      <c r="BD1541" s="152"/>
      <c r="BE1541" s="152"/>
      <c r="BF1541" s="152"/>
      <c r="BG1541" s="152"/>
      <c r="BH1541" s="152"/>
      <c r="BI1541" s="153"/>
      <c r="BJ1541" s="153"/>
      <c r="BK1541" s="153"/>
      <c r="BL1541" s="153"/>
      <c r="BM1541" s="153"/>
      <c r="BN1541" s="153"/>
      <c r="BO1541" s="153"/>
      <c r="BP1541" s="153"/>
      <c r="BQ1541" s="153"/>
      <c r="BR1541" s="153"/>
      <c r="BS1541" s="153"/>
      <c r="BT1541" s="153"/>
      <c r="BU1541" s="153"/>
      <c r="BV1541" s="153"/>
      <c r="BW1541" s="153"/>
      <c r="BX1541" s="153"/>
      <c r="BY1541" s="153"/>
      <c r="BZ1541" s="153"/>
      <c r="CA1541" s="152"/>
      <c r="CB1541" s="152"/>
    </row>
    <row r="1542" spans="1:80" s="87" customFormat="1" x14ac:dyDescent="0.2">
      <c r="A1542" s="152"/>
      <c r="B1542" s="683"/>
      <c r="C1542" s="683"/>
      <c r="D1542" s="698"/>
      <c r="E1542" s="215"/>
      <c r="F1542" s="215"/>
      <c r="G1542" s="153"/>
      <c r="H1542" s="153"/>
      <c r="I1542" s="163">
        <v>11</v>
      </c>
      <c r="J1542" s="163">
        <v>360</v>
      </c>
      <c r="K1542" s="150">
        <v>1</v>
      </c>
      <c r="L1542" s="658">
        <v>66</v>
      </c>
      <c r="M1542" s="659">
        <v>33015</v>
      </c>
      <c r="N1542" s="598">
        <v>1.9255559999999998</v>
      </c>
      <c r="O1542" s="599">
        <v>3.4020000000000005E-3</v>
      </c>
      <c r="P1542" s="154"/>
      <c r="Q1542" s="93"/>
      <c r="R1542" s="93"/>
      <c r="S1542" s="93" t="s">
        <v>71</v>
      </c>
      <c r="T1542" s="93">
        <v>6.2</v>
      </c>
      <c r="U1542" s="93">
        <v>24.2</v>
      </c>
      <c r="V1542" s="497">
        <v>38.9</v>
      </c>
      <c r="W1542" s="497">
        <v>24.7</v>
      </c>
      <c r="X1542" s="497">
        <v>5.8</v>
      </c>
      <c r="Y1542" s="497">
        <v>0.2</v>
      </c>
      <c r="Z1542" s="93"/>
      <c r="AA1542" s="93"/>
      <c r="AB1542" s="95"/>
      <c r="AC1542" s="94"/>
      <c r="AD1542" s="223">
        <v>5.7911999999999999</v>
      </c>
      <c r="AE1542" s="223">
        <v>0.41757600000000006</v>
      </c>
      <c r="AF1542" s="223">
        <v>2.4154</v>
      </c>
      <c r="AG1542" s="223">
        <f>2.63*(0.3048)</f>
        <v>0.801624</v>
      </c>
      <c r="AH1542" s="341"/>
      <c r="AI1542" s="226"/>
      <c r="AJ1542" s="226"/>
      <c r="AK1542" s="227"/>
      <c r="AL1542" s="227"/>
      <c r="AM1542" s="152"/>
      <c r="AN1542" s="152"/>
      <c r="AO1542" s="152"/>
      <c r="AP1542" s="152"/>
      <c r="AQ1542" s="152"/>
      <c r="AR1542" s="152"/>
      <c r="AS1542" s="152"/>
      <c r="AT1542" s="152"/>
      <c r="AU1542" s="153"/>
      <c r="AV1542" s="479"/>
      <c r="AW1542" s="479"/>
      <c r="AX1542" s="442"/>
      <c r="AY1542" s="153"/>
      <c r="AZ1542" s="152"/>
      <c r="BA1542" s="152"/>
      <c r="BB1542" s="152"/>
      <c r="BC1542" s="152"/>
      <c r="BD1542" s="152"/>
      <c r="BE1542" s="152"/>
      <c r="BF1542" s="152"/>
      <c r="BG1542" s="152"/>
      <c r="BH1542" s="152"/>
      <c r="BI1542" s="153"/>
      <c r="BJ1542" s="153"/>
      <c r="BK1542" s="153"/>
      <c r="BL1542" s="153"/>
      <c r="BM1542" s="153"/>
      <c r="BN1542" s="153"/>
      <c r="BO1542" s="153"/>
      <c r="BP1542" s="153"/>
      <c r="BQ1542" s="153"/>
      <c r="BR1542" s="153"/>
      <c r="BS1542" s="153"/>
      <c r="BT1542" s="153"/>
      <c r="BU1542" s="153"/>
      <c r="BV1542" s="153"/>
      <c r="BW1542" s="153"/>
      <c r="BX1542" s="153"/>
      <c r="BY1542" s="153"/>
      <c r="BZ1542" s="153"/>
      <c r="CA1542" s="152"/>
      <c r="CB1542" s="152"/>
    </row>
    <row r="1543" spans="1:80" s="87" customFormat="1" x14ac:dyDescent="0.2">
      <c r="A1543" s="152"/>
      <c r="B1543" s="683"/>
      <c r="C1543" s="683"/>
      <c r="D1543" s="698"/>
      <c r="E1543" s="215"/>
      <c r="F1543" s="215"/>
      <c r="G1543" s="153"/>
      <c r="H1543" s="153"/>
      <c r="I1543" s="163">
        <v>14</v>
      </c>
      <c r="J1543" s="163">
        <v>120</v>
      </c>
      <c r="K1543" s="150">
        <v>1</v>
      </c>
      <c r="L1543" s="658">
        <v>28</v>
      </c>
      <c r="M1543" s="659">
        <v>33022</v>
      </c>
      <c r="N1543" s="598">
        <v>3.539625</v>
      </c>
      <c r="O1543" s="599">
        <v>4.0005000000000006E-2</v>
      </c>
      <c r="P1543" s="154"/>
      <c r="Q1543" s="93"/>
      <c r="R1543" s="93"/>
      <c r="S1543" s="93">
        <v>0.8</v>
      </c>
      <c r="T1543" s="93">
        <v>5.0999999999999996</v>
      </c>
      <c r="U1543" s="93">
        <v>13.6</v>
      </c>
      <c r="V1543" s="497">
        <v>25.3</v>
      </c>
      <c r="W1543" s="497">
        <v>33.9</v>
      </c>
      <c r="X1543" s="497">
        <v>18.899999999999999</v>
      </c>
      <c r="Y1543" s="497">
        <v>2.4</v>
      </c>
      <c r="Z1543" s="93"/>
      <c r="AA1543" s="93"/>
      <c r="AB1543" s="95"/>
      <c r="AC1543" s="94"/>
      <c r="AD1543" s="223">
        <v>10.058400000000001</v>
      </c>
      <c r="AE1543" s="223">
        <v>0.40538400000000002</v>
      </c>
      <c r="AF1543" s="223">
        <v>4.0876000000000001</v>
      </c>
      <c r="AG1543" s="223">
        <f>2.86*(0.3048)</f>
        <v>0.87172800000000006</v>
      </c>
      <c r="AH1543" s="341"/>
      <c r="AI1543" s="226"/>
      <c r="AJ1543" s="226"/>
      <c r="AK1543" s="227"/>
      <c r="AL1543" s="227"/>
      <c r="AM1543" s="152"/>
      <c r="AN1543" s="152"/>
      <c r="AO1543" s="152"/>
      <c r="AP1543" s="152"/>
      <c r="AQ1543" s="152"/>
      <c r="AR1543" s="152"/>
      <c r="AS1543" s="152"/>
      <c r="AT1543" s="152"/>
      <c r="AU1543" s="153"/>
      <c r="AV1543" s="479"/>
      <c r="AW1543" s="479"/>
      <c r="AX1543" s="442"/>
      <c r="AY1543" s="153"/>
      <c r="AZ1543" s="152"/>
      <c r="BA1543" s="152"/>
      <c r="BB1543" s="152"/>
      <c r="BC1543" s="152"/>
      <c r="BD1543" s="152"/>
      <c r="BE1543" s="152"/>
      <c r="BF1543" s="152"/>
      <c r="BG1543" s="152"/>
      <c r="BH1543" s="152"/>
      <c r="BI1543" s="153"/>
      <c r="BJ1543" s="153"/>
      <c r="BK1543" s="153"/>
      <c r="BL1543" s="153"/>
      <c r="BM1543" s="153"/>
      <c r="BN1543" s="153"/>
      <c r="BO1543" s="153"/>
      <c r="BP1543" s="153"/>
      <c r="BQ1543" s="153"/>
      <c r="BR1543" s="153"/>
      <c r="BS1543" s="153"/>
      <c r="BT1543" s="153"/>
      <c r="BU1543" s="153"/>
      <c r="BV1543" s="153"/>
      <c r="BW1543" s="153"/>
      <c r="BX1543" s="153"/>
      <c r="BY1543" s="153"/>
      <c r="BZ1543" s="153"/>
      <c r="CA1543" s="152"/>
      <c r="CB1543" s="152"/>
    </row>
    <row r="1544" spans="1:80" s="87" customFormat="1" x14ac:dyDescent="0.2">
      <c r="A1544" s="152"/>
      <c r="B1544" s="683"/>
      <c r="C1544" s="683"/>
      <c r="D1544" s="698"/>
      <c r="E1544" s="215"/>
      <c r="F1544" s="215"/>
      <c r="G1544" s="153"/>
      <c r="H1544" s="153"/>
      <c r="I1544" s="163">
        <v>10</v>
      </c>
      <c r="J1544" s="163">
        <v>70</v>
      </c>
      <c r="K1544" s="150">
        <v>1</v>
      </c>
      <c r="L1544" s="658">
        <v>11.666666666666666</v>
      </c>
      <c r="M1544" s="659">
        <v>33025</v>
      </c>
      <c r="N1544" s="598">
        <v>2.6617979999999997</v>
      </c>
      <c r="O1544" s="599">
        <v>5.2815000000000008E-2</v>
      </c>
      <c r="P1544" s="154"/>
      <c r="Q1544" s="93"/>
      <c r="R1544" s="93"/>
      <c r="S1544" s="93">
        <v>1</v>
      </c>
      <c r="T1544" s="93">
        <v>7.8</v>
      </c>
      <c r="U1544" s="93">
        <v>12.8</v>
      </c>
      <c r="V1544" s="497">
        <v>33.200000000000003</v>
      </c>
      <c r="W1544" s="497">
        <v>34</v>
      </c>
      <c r="X1544" s="497">
        <v>10.199999999999999</v>
      </c>
      <c r="Y1544" s="497">
        <v>1</v>
      </c>
      <c r="Z1544" s="93"/>
      <c r="AA1544" s="93"/>
      <c r="AB1544" s="95"/>
      <c r="AC1544" s="94"/>
      <c r="AD1544" s="223"/>
      <c r="AE1544" s="223"/>
      <c r="AF1544" s="223"/>
      <c r="AG1544" s="223"/>
      <c r="AH1544" s="341"/>
      <c r="AI1544" s="226"/>
      <c r="AJ1544" s="226"/>
      <c r="AK1544" s="227"/>
      <c r="AL1544" s="227"/>
      <c r="AM1544" s="152"/>
      <c r="AN1544" s="152"/>
      <c r="AO1544" s="152"/>
      <c r="AP1544" s="152"/>
      <c r="AQ1544" s="152"/>
      <c r="AR1544" s="152"/>
      <c r="AS1544" s="152"/>
      <c r="AT1544" s="152"/>
      <c r="AU1544" s="153"/>
      <c r="AV1544" s="479"/>
      <c r="AW1544" s="479"/>
      <c r="AX1544" s="442"/>
      <c r="AY1544" s="153"/>
      <c r="AZ1544" s="152"/>
      <c r="BA1544" s="152"/>
      <c r="BB1544" s="152"/>
      <c r="BC1544" s="152"/>
      <c r="BD1544" s="152"/>
      <c r="BE1544" s="152"/>
      <c r="BF1544" s="152"/>
      <c r="BG1544" s="152"/>
      <c r="BH1544" s="152"/>
      <c r="BI1544" s="153"/>
      <c r="BJ1544" s="153"/>
      <c r="BK1544" s="153"/>
      <c r="BL1544" s="153"/>
      <c r="BM1544" s="153"/>
      <c r="BN1544" s="153"/>
      <c r="BO1544" s="153"/>
      <c r="BP1544" s="153"/>
      <c r="BQ1544" s="153"/>
      <c r="BR1544" s="153"/>
      <c r="BS1544" s="153"/>
      <c r="BT1544" s="153"/>
      <c r="BU1544" s="153"/>
      <c r="BV1544" s="153"/>
      <c r="BW1544" s="153"/>
      <c r="BX1544" s="153"/>
      <c r="BY1544" s="153"/>
      <c r="BZ1544" s="153"/>
      <c r="CA1544" s="152"/>
      <c r="CB1544" s="152"/>
    </row>
    <row r="1545" spans="1:80" s="87" customFormat="1" x14ac:dyDescent="0.2">
      <c r="A1545" s="152"/>
      <c r="B1545" s="683"/>
      <c r="C1545" s="683"/>
      <c r="D1545" s="698"/>
      <c r="E1545" s="215"/>
      <c r="F1545" s="215"/>
      <c r="G1545" s="153"/>
      <c r="H1545" s="153"/>
      <c r="I1545" s="163">
        <v>15</v>
      </c>
      <c r="J1545" s="163">
        <v>120</v>
      </c>
      <c r="K1545" s="150">
        <v>1</v>
      </c>
      <c r="L1545" s="658">
        <v>30</v>
      </c>
      <c r="M1545" s="659">
        <v>33030</v>
      </c>
      <c r="N1545" s="598">
        <v>2.378628</v>
      </c>
      <c r="O1545" s="599">
        <v>1.3755000000000002E-2</v>
      </c>
      <c r="P1545" s="154"/>
      <c r="Q1545" s="93">
        <v>44.6</v>
      </c>
      <c r="R1545" s="93"/>
      <c r="S1545" s="93">
        <v>3.2</v>
      </c>
      <c r="T1545" s="93">
        <v>2.1</v>
      </c>
      <c r="U1545" s="93">
        <v>7.6</v>
      </c>
      <c r="V1545" s="497">
        <v>17.100000000000001</v>
      </c>
      <c r="W1545" s="497">
        <v>17.399999999999999</v>
      </c>
      <c r="X1545" s="497">
        <v>7.8</v>
      </c>
      <c r="Y1545" s="497">
        <v>0.2</v>
      </c>
      <c r="Z1545" s="93"/>
      <c r="AA1545" s="93"/>
      <c r="AB1545" s="95"/>
      <c r="AC1545" s="94"/>
      <c r="AD1545" s="223"/>
      <c r="AE1545" s="223"/>
      <c r="AF1545" s="223"/>
      <c r="AG1545" s="223"/>
      <c r="AH1545" s="341"/>
      <c r="AI1545" s="226"/>
      <c r="AJ1545" s="226"/>
      <c r="AK1545" s="227"/>
      <c r="AL1545" s="227"/>
      <c r="AM1545" s="152"/>
      <c r="AN1545" s="152"/>
      <c r="AO1545" s="152"/>
      <c r="AP1545" s="152"/>
      <c r="AQ1545" s="152"/>
      <c r="AR1545" s="152"/>
      <c r="AS1545" s="152"/>
      <c r="AT1545" s="152"/>
      <c r="AU1545" s="153"/>
      <c r="AV1545" s="479"/>
      <c r="AW1545" s="479"/>
      <c r="AX1545" s="442"/>
      <c r="AY1545" s="153"/>
      <c r="AZ1545" s="152"/>
      <c r="BA1545" s="152"/>
      <c r="BB1545" s="152"/>
      <c r="BC1545" s="152"/>
      <c r="BD1545" s="152"/>
      <c r="BE1545" s="152"/>
      <c r="BF1545" s="152"/>
      <c r="BG1545" s="152"/>
      <c r="BH1545" s="152"/>
      <c r="BI1545" s="153"/>
      <c r="BJ1545" s="153"/>
      <c r="BK1545" s="153"/>
      <c r="BL1545" s="153"/>
      <c r="BM1545" s="153"/>
      <c r="BN1545" s="153"/>
      <c r="BO1545" s="153"/>
      <c r="BP1545" s="153"/>
      <c r="BQ1545" s="153"/>
      <c r="BR1545" s="153"/>
      <c r="BS1545" s="153"/>
      <c r="BT1545" s="153"/>
      <c r="BU1545" s="153"/>
      <c r="BV1545" s="153"/>
      <c r="BW1545" s="153"/>
      <c r="BX1545" s="153"/>
      <c r="BY1545" s="153"/>
      <c r="BZ1545" s="153"/>
      <c r="CA1545" s="152"/>
      <c r="CB1545" s="152"/>
    </row>
    <row r="1546" spans="1:80" s="87" customFormat="1" x14ac:dyDescent="0.2">
      <c r="A1546" s="152"/>
      <c r="B1546" s="683"/>
      <c r="C1546" s="683"/>
      <c r="D1546" s="698"/>
      <c r="E1546" s="215"/>
      <c r="F1546" s="215"/>
      <c r="G1546" s="153"/>
      <c r="H1546" s="153"/>
      <c r="I1546" s="163">
        <v>10</v>
      </c>
      <c r="J1546" s="163">
        <v>360</v>
      </c>
      <c r="K1546" s="150">
        <v>1</v>
      </c>
      <c r="L1546" s="658">
        <v>60</v>
      </c>
      <c r="M1546" s="659">
        <v>33330</v>
      </c>
      <c r="N1546" s="598">
        <v>0.33980399999999999</v>
      </c>
      <c r="O1546" s="599">
        <v>1.953E-4</v>
      </c>
      <c r="P1546" s="154"/>
      <c r="Q1546" s="93"/>
      <c r="R1546" s="93"/>
      <c r="S1546" s="93"/>
      <c r="T1546" s="93">
        <v>30.6</v>
      </c>
      <c r="U1546" s="93">
        <v>9.5</v>
      </c>
      <c r="V1546" s="497">
        <v>16.3</v>
      </c>
      <c r="W1546" s="497">
        <v>24.7</v>
      </c>
      <c r="X1546" s="497">
        <v>17.399999999999999</v>
      </c>
      <c r="Y1546" s="497">
        <v>1.4</v>
      </c>
      <c r="Z1546" s="93"/>
      <c r="AA1546" s="93"/>
      <c r="AB1546" s="95"/>
      <c r="AC1546" s="94"/>
      <c r="AD1546" s="223">
        <v>3.6576000000000004</v>
      </c>
      <c r="AE1546" s="223">
        <v>0.192024</v>
      </c>
      <c r="AF1546" s="223">
        <v>0.70696899999999996</v>
      </c>
      <c r="AG1546" s="223">
        <f>1.5*(0.3048)</f>
        <v>0.45720000000000005</v>
      </c>
      <c r="AH1546" s="341"/>
      <c r="AI1546" s="226"/>
      <c r="AJ1546" s="226"/>
      <c r="AK1546" s="227"/>
      <c r="AL1546" s="227"/>
      <c r="AM1546" s="152"/>
      <c r="AN1546" s="152"/>
      <c r="AO1546" s="152"/>
      <c r="AP1546" s="152"/>
      <c r="AQ1546" s="152"/>
      <c r="AR1546" s="152"/>
      <c r="AS1546" s="152"/>
      <c r="AT1546" s="152"/>
      <c r="AU1546" s="153"/>
      <c r="AV1546" s="479"/>
      <c r="AW1546" s="479"/>
      <c r="AX1546" s="442"/>
      <c r="AY1546" s="153"/>
      <c r="AZ1546" s="152"/>
      <c r="BA1546" s="152"/>
      <c r="BB1546" s="152"/>
      <c r="BC1546" s="152"/>
      <c r="BD1546" s="152"/>
      <c r="BE1546" s="152"/>
      <c r="BF1546" s="152"/>
      <c r="BG1546" s="152"/>
      <c r="BH1546" s="152"/>
      <c r="BI1546" s="153"/>
      <c r="BJ1546" s="153"/>
      <c r="BK1546" s="153"/>
      <c r="BL1546" s="153"/>
      <c r="BM1546" s="153"/>
      <c r="BN1546" s="153"/>
      <c r="BO1546" s="153"/>
      <c r="BP1546" s="153"/>
      <c r="BQ1546" s="153"/>
      <c r="BR1546" s="153"/>
      <c r="BS1546" s="153"/>
      <c r="BT1546" s="153"/>
      <c r="BU1546" s="153"/>
      <c r="BV1546" s="153"/>
      <c r="BW1546" s="153"/>
      <c r="BX1546" s="153"/>
      <c r="BY1546" s="153"/>
      <c r="BZ1546" s="153"/>
      <c r="CA1546" s="152"/>
      <c r="CB1546" s="152"/>
    </row>
    <row r="1547" spans="1:80" s="87" customFormat="1" x14ac:dyDescent="0.2">
      <c r="A1547" s="152"/>
      <c r="B1547" s="683"/>
      <c r="C1547" s="683"/>
      <c r="D1547" s="698"/>
      <c r="E1547" s="215"/>
      <c r="F1547" s="215"/>
      <c r="G1547" s="153"/>
      <c r="H1547" s="153"/>
      <c r="I1547" s="163">
        <v>11</v>
      </c>
      <c r="J1547" s="163">
        <v>360</v>
      </c>
      <c r="K1547" s="150">
        <v>1</v>
      </c>
      <c r="L1547" s="658">
        <v>66</v>
      </c>
      <c r="M1547" s="659">
        <v>33336</v>
      </c>
      <c r="N1547" s="598">
        <v>0.45307199999999997</v>
      </c>
      <c r="O1547" s="599">
        <v>1.0920000000000001E-3</v>
      </c>
      <c r="P1547" s="154"/>
      <c r="Q1547" s="93"/>
      <c r="R1547" s="93"/>
      <c r="S1547" s="93"/>
      <c r="T1547" s="93">
        <v>3.1</v>
      </c>
      <c r="U1547" s="93">
        <v>11</v>
      </c>
      <c r="V1547" s="497">
        <v>26.3</v>
      </c>
      <c r="W1547" s="497">
        <v>37.4</v>
      </c>
      <c r="X1547" s="497">
        <v>21.4</v>
      </c>
      <c r="Y1547" s="497">
        <v>0.7</v>
      </c>
      <c r="Z1547" s="93"/>
      <c r="AA1547" s="93"/>
      <c r="AB1547" s="95"/>
      <c r="AC1547" s="94"/>
      <c r="AD1547" s="223">
        <v>3.9624000000000001</v>
      </c>
      <c r="AE1547" s="223">
        <v>0.25908000000000003</v>
      </c>
      <c r="AF1547" s="223">
        <v>1.0219</v>
      </c>
      <c r="AG1547" s="223">
        <f>1.47*(0.3048)</f>
        <v>0.44805600000000001</v>
      </c>
      <c r="AH1547" s="341"/>
      <c r="AI1547" s="226"/>
      <c r="AJ1547" s="226"/>
      <c r="AK1547" s="227"/>
      <c r="AL1547" s="227"/>
      <c r="AM1547" s="152"/>
      <c r="AN1547" s="152"/>
      <c r="AO1547" s="152"/>
      <c r="AP1547" s="152"/>
      <c r="AQ1547" s="152"/>
      <c r="AR1547" s="152"/>
      <c r="AS1547" s="152"/>
      <c r="AT1547" s="152"/>
      <c r="AU1547" s="153"/>
      <c r="AV1547" s="479"/>
      <c r="AW1547" s="479"/>
      <c r="AX1547" s="442"/>
      <c r="AY1547" s="153"/>
      <c r="AZ1547" s="152"/>
      <c r="BA1547" s="152"/>
      <c r="BB1547" s="152"/>
      <c r="BC1547" s="152"/>
      <c r="BD1547" s="152"/>
      <c r="BE1547" s="152"/>
      <c r="BF1547" s="152"/>
      <c r="BG1547" s="152"/>
      <c r="BH1547" s="152"/>
      <c r="BI1547" s="153"/>
      <c r="BJ1547" s="153"/>
      <c r="BK1547" s="153"/>
      <c r="BL1547" s="153"/>
      <c r="BM1547" s="153"/>
      <c r="BN1547" s="153"/>
      <c r="BO1547" s="153"/>
      <c r="BP1547" s="153"/>
      <c r="BQ1547" s="153"/>
      <c r="BR1547" s="153"/>
      <c r="BS1547" s="153"/>
      <c r="BT1547" s="153"/>
      <c r="BU1547" s="153"/>
      <c r="BV1547" s="153"/>
      <c r="BW1547" s="153"/>
      <c r="BX1547" s="153"/>
      <c r="BY1547" s="153"/>
      <c r="BZ1547" s="153"/>
      <c r="CA1547" s="152"/>
      <c r="CB1547" s="152"/>
    </row>
    <row r="1548" spans="1:80" s="87" customFormat="1" x14ac:dyDescent="0.2">
      <c r="A1548" s="152"/>
      <c r="B1548" s="683"/>
      <c r="C1548" s="683"/>
      <c r="D1548" s="698"/>
      <c r="E1548" s="215"/>
      <c r="F1548" s="215"/>
      <c r="G1548" s="153"/>
      <c r="H1548" s="153"/>
      <c r="I1548" s="163">
        <v>11</v>
      </c>
      <c r="J1548" s="163">
        <v>360</v>
      </c>
      <c r="K1548" s="150">
        <v>1</v>
      </c>
      <c r="L1548" s="658">
        <v>66</v>
      </c>
      <c r="M1548" s="659">
        <v>33343</v>
      </c>
      <c r="N1548" s="598">
        <v>0.39643799999999996</v>
      </c>
      <c r="O1548" s="599">
        <v>8.305500000000001E-4</v>
      </c>
      <c r="P1548" s="154"/>
      <c r="Q1548" s="93"/>
      <c r="R1548" s="93"/>
      <c r="S1548" s="93">
        <v>19.8</v>
      </c>
      <c r="T1548" s="93">
        <v>14</v>
      </c>
      <c r="U1548" s="93">
        <v>16.8</v>
      </c>
      <c r="V1548" s="497">
        <v>31.1</v>
      </c>
      <c r="W1548" s="497">
        <v>12.9</v>
      </c>
      <c r="X1548" s="497">
        <v>5</v>
      </c>
      <c r="Y1548" s="497">
        <v>0.5</v>
      </c>
      <c r="Z1548" s="93"/>
      <c r="AA1548" s="93"/>
      <c r="AB1548" s="95"/>
      <c r="AC1548" s="94"/>
      <c r="AD1548" s="223">
        <v>3.7795200000000002</v>
      </c>
      <c r="AE1548" s="223">
        <v>0.24688800000000002</v>
      </c>
      <c r="AF1548" s="223">
        <v>0.93828999999999996</v>
      </c>
      <c r="AG1548" s="223">
        <f>1.39*(0.3048)</f>
        <v>0.42367199999999999</v>
      </c>
      <c r="AH1548" s="341"/>
      <c r="AI1548" s="226"/>
      <c r="AJ1548" s="226"/>
      <c r="AK1548" s="227"/>
      <c r="AL1548" s="227"/>
      <c r="AM1548" s="152"/>
      <c r="AN1548" s="152"/>
      <c r="AO1548" s="152"/>
      <c r="AP1548" s="152"/>
      <c r="AQ1548" s="152"/>
      <c r="AR1548" s="152"/>
      <c r="AS1548" s="152"/>
      <c r="AT1548" s="152"/>
      <c r="AU1548" s="153"/>
      <c r="AV1548" s="479"/>
      <c r="AW1548" s="479"/>
      <c r="AX1548" s="442"/>
      <c r="AY1548" s="153"/>
      <c r="AZ1548" s="152"/>
      <c r="BA1548" s="152"/>
      <c r="BB1548" s="152"/>
      <c r="BC1548" s="152"/>
      <c r="BD1548" s="152"/>
      <c r="BE1548" s="152"/>
      <c r="BF1548" s="152"/>
      <c r="BG1548" s="152"/>
      <c r="BH1548" s="152"/>
      <c r="BI1548" s="153"/>
      <c r="BJ1548" s="153"/>
      <c r="BK1548" s="153"/>
      <c r="BL1548" s="153"/>
      <c r="BM1548" s="153"/>
      <c r="BN1548" s="153"/>
      <c r="BO1548" s="153"/>
      <c r="BP1548" s="153"/>
      <c r="BQ1548" s="153"/>
      <c r="BR1548" s="153"/>
      <c r="BS1548" s="153"/>
      <c r="BT1548" s="153"/>
      <c r="BU1548" s="153"/>
      <c r="BV1548" s="153"/>
      <c r="BW1548" s="153"/>
      <c r="BX1548" s="153"/>
      <c r="BY1548" s="153"/>
      <c r="BZ1548" s="153"/>
      <c r="CA1548" s="152"/>
      <c r="CB1548" s="152"/>
    </row>
    <row r="1549" spans="1:80" s="87" customFormat="1" x14ac:dyDescent="0.2">
      <c r="A1549" s="152"/>
      <c r="B1549" s="683"/>
      <c r="C1549" s="683"/>
      <c r="D1549" s="698"/>
      <c r="E1549" s="215"/>
      <c r="F1549" s="215"/>
      <c r="G1549" s="153"/>
      <c r="H1549" s="153"/>
      <c r="I1549" s="163">
        <v>11</v>
      </c>
      <c r="J1549" s="163">
        <v>360</v>
      </c>
      <c r="K1549" s="150">
        <v>1</v>
      </c>
      <c r="L1549" s="658">
        <v>66</v>
      </c>
      <c r="M1549" s="659">
        <v>33351</v>
      </c>
      <c r="N1549" s="598">
        <v>0.53802299999999992</v>
      </c>
      <c r="O1549" s="599">
        <v>4.2945E-4</v>
      </c>
      <c r="P1549" s="154"/>
      <c r="Q1549" s="93"/>
      <c r="R1549" s="93"/>
      <c r="S1549" s="93">
        <v>10.1</v>
      </c>
      <c r="T1549" s="93">
        <v>4.8</v>
      </c>
      <c r="U1549" s="93">
        <v>12.2</v>
      </c>
      <c r="V1549" s="497">
        <v>34.200000000000003</v>
      </c>
      <c r="W1549" s="497">
        <v>28.6</v>
      </c>
      <c r="X1549" s="497">
        <v>9.6</v>
      </c>
      <c r="Y1549" s="497">
        <v>0.4</v>
      </c>
      <c r="Z1549" s="93"/>
      <c r="AA1549" s="93"/>
      <c r="AB1549" s="95"/>
      <c r="AC1549" s="94"/>
      <c r="AD1549" s="223">
        <v>4.6634400000000005</v>
      </c>
      <c r="AE1549" s="223">
        <v>0.23164800000000002</v>
      </c>
      <c r="AF1549" s="223">
        <v>1.08693</v>
      </c>
      <c r="AG1549" s="223">
        <f>1.65*(0.3048)</f>
        <v>0.50292000000000003</v>
      </c>
      <c r="AH1549" s="341"/>
      <c r="AI1549" s="226"/>
      <c r="AJ1549" s="226"/>
      <c r="AK1549" s="227"/>
      <c r="AL1549" s="227"/>
      <c r="AM1549" s="152"/>
      <c r="AN1549" s="152"/>
      <c r="AO1549" s="152"/>
      <c r="AP1549" s="152"/>
      <c r="AQ1549" s="152"/>
      <c r="AR1549" s="152"/>
      <c r="AS1549" s="152"/>
      <c r="AT1549" s="152"/>
      <c r="AU1549" s="153"/>
      <c r="AV1549" s="479"/>
      <c r="AW1549" s="479"/>
      <c r="AX1549" s="442"/>
      <c r="AY1549" s="153"/>
      <c r="AZ1549" s="152"/>
      <c r="BA1549" s="152"/>
      <c r="BB1549" s="152"/>
      <c r="BC1549" s="152"/>
      <c r="BD1549" s="152"/>
      <c r="BE1549" s="152"/>
      <c r="BF1549" s="152"/>
      <c r="BG1549" s="152"/>
      <c r="BH1549" s="152"/>
      <c r="BI1549" s="153"/>
      <c r="BJ1549" s="153"/>
      <c r="BK1549" s="153"/>
      <c r="BL1549" s="153"/>
      <c r="BM1549" s="153"/>
      <c r="BN1549" s="153"/>
      <c r="BO1549" s="153"/>
      <c r="BP1549" s="153"/>
      <c r="BQ1549" s="153"/>
      <c r="BR1549" s="153"/>
      <c r="BS1549" s="153"/>
      <c r="BT1549" s="153"/>
      <c r="BU1549" s="153"/>
      <c r="BV1549" s="153"/>
      <c r="BW1549" s="153"/>
      <c r="BX1549" s="153"/>
      <c r="BY1549" s="153"/>
      <c r="BZ1549" s="153"/>
      <c r="CA1549" s="152"/>
      <c r="CB1549" s="152"/>
    </row>
    <row r="1550" spans="1:80" s="87" customFormat="1" x14ac:dyDescent="0.2">
      <c r="A1550" s="152"/>
      <c r="B1550" s="683"/>
      <c r="C1550" s="683"/>
      <c r="D1550" s="698"/>
      <c r="E1550" s="215"/>
      <c r="F1550" s="215"/>
      <c r="G1550" s="153"/>
      <c r="H1550" s="153"/>
      <c r="I1550" s="163">
        <v>11</v>
      </c>
      <c r="J1550" s="163">
        <v>360</v>
      </c>
      <c r="K1550" s="150">
        <v>1</v>
      </c>
      <c r="L1550" s="658">
        <v>66</v>
      </c>
      <c r="M1550" s="659">
        <v>33357</v>
      </c>
      <c r="N1550" s="598">
        <v>0.56633999999999995</v>
      </c>
      <c r="O1550" s="599">
        <v>6.0899999999999996E-5</v>
      </c>
      <c r="P1550" s="154"/>
      <c r="Q1550" s="93"/>
      <c r="R1550" s="93"/>
      <c r="S1550" s="93"/>
      <c r="T1550" s="93"/>
      <c r="U1550" s="93">
        <v>4.9000000000000004</v>
      </c>
      <c r="V1550" s="497">
        <v>17.600000000000001</v>
      </c>
      <c r="W1550" s="497">
        <v>45.3</v>
      </c>
      <c r="X1550" s="497">
        <v>31.3</v>
      </c>
      <c r="Y1550" s="497">
        <v>1</v>
      </c>
      <c r="Z1550" s="93"/>
      <c r="AA1550" s="93"/>
      <c r="AB1550" s="95"/>
      <c r="AC1550" s="94"/>
      <c r="AD1550" s="223"/>
      <c r="AE1550" s="223"/>
      <c r="AF1550" s="223"/>
      <c r="AG1550" s="223"/>
      <c r="AH1550" s="341"/>
      <c r="AI1550" s="226"/>
      <c r="AJ1550" s="226"/>
      <c r="AK1550" s="227"/>
      <c r="AL1550" s="227"/>
      <c r="AM1550" s="152"/>
      <c r="AN1550" s="152"/>
      <c r="AO1550" s="152"/>
      <c r="AP1550" s="152"/>
      <c r="AQ1550" s="152"/>
      <c r="AR1550" s="152"/>
      <c r="AS1550" s="152"/>
      <c r="AT1550" s="152"/>
      <c r="AU1550" s="153"/>
      <c r="AV1550" s="479"/>
      <c r="AW1550" s="479"/>
      <c r="AX1550" s="442"/>
      <c r="AY1550" s="153"/>
      <c r="AZ1550" s="152"/>
      <c r="BA1550" s="152"/>
      <c r="BB1550" s="152"/>
      <c r="BC1550" s="152"/>
      <c r="BD1550" s="152"/>
      <c r="BE1550" s="152"/>
      <c r="BF1550" s="152"/>
      <c r="BG1550" s="152"/>
      <c r="BH1550" s="152"/>
      <c r="BI1550" s="153"/>
      <c r="BJ1550" s="153"/>
      <c r="BK1550" s="153"/>
      <c r="BL1550" s="153"/>
      <c r="BM1550" s="153"/>
      <c r="BN1550" s="153"/>
      <c r="BO1550" s="153"/>
      <c r="BP1550" s="153"/>
      <c r="BQ1550" s="153"/>
      <c r="BR1550" s="153"/>
      <c r="BS1550" s="153"/>
      <c r="BT1550" s="153"/>
      <c r="BU1550" s="153"/>
      <c r="BV1550" s="153"/>
      <c r="BW1550" s="153"/>
      <c r="BX1550" s="153"/>
      <c r="BY1550" s="153"/>
      <c r="BZ1550" s="153"/>
      <c r="CA1550" s="152"/>
      <c r="CB1550" s="152"/>
    </row>
    <row r="1551" spans="1:80" s="87" customFormat="1" x14ac:dyDescent="0.2">
      <c r="A1551" s="152"/>
      <c r="B1551" s="683"/>
      <c r="C1551" s="683"/>
      <c r="D1551" s="698"/>
      <c r="E1551" s="215"/>
      <c r="F1551" s="215"/>
      <c r="G1551" s="153"/>
      <c r="H1551" s="153"/>
      <c r="I1551" s="163">
        <v>11</v>
      </c>
      <c r="J1551" s="163">
        <v>300</v>
      </c>
      <c r="K1551" s="150">
        <v>1</v>
      </c>
      <c r="L1551" s="658">
        <v>55</v>
      </c>
      <c r="M1551" s="659">
        <v>33359</v>
      </c>
      <c r="N1551" s="598">
        <v>0.50970599999999999</v>
      </c>
      <c r="O1551" s="599">
        <v>5.6175000000000007E-4</v>
      </c>
      <c r="P1551" s="154"/>
      <c r="Q1551" s="93"/>
      <c r="R1551" s="93"/>
      <c r="S1551" s="93">
        <v>12.7</v>
      </c>
      <c r="T1551" s="93">
        <v>16</v>
      </c>
      <c r="U1551" s="93">
        <v>24.2</v>
      </c>
      <c r="V1551" s="497">
        <v>27.2</v>
      </c>
      <c r="W1551" s="497">
        <v>15</v>
      </c>
      <c r="X1551" s="497">
        <v>4.7</v>
      </c>
      <c r="Y1551" s="497">
        <v>0.3</v>
      </c>
      <c r="Z1551" s="93"/>
      <c r="AA1551" s="93"/>
      <c r="AB1551" s="95"/>
      <c r="AC1551" s="94"/>
      <c r="AD1551" s="223">
        <v>3.9624000000000001</v>
      </c>
      <c r="AE1551" s="223">
        <v>0.23164800000000002</v>
      </c>
      <c r="AF1551" s="223">
        <v>0.917852</v>
      </c>
      <c r="AG1551" s="223">
        <f>1.86*(0.3048)</f>
        <v>0.5669280000000001</v>
      </c>
      <c r="AH1551" s="341"/>
      <c r="AI1551" s="226"/>
      <c r="AJ1551" s="226"/>
      <c r="AK1551" s="227"/>
      <c r="AL1551" s="227"/>
      <c r="AM1551" s="152"/>
      <c r="AN1551" s="152"/>
      <c r="AO1551" s="152"/>
      <c r="AP1551" s="152"/>
      <c r="AQ1551" s="152"/>
      <c r="AR1551" s="152"/>
      <c r="AS1551" s="152"/>
      <c r="AT1551" s="152"/>
      <c r="AU1551" s="153"/>
      <c r="AV1551" s="479"/>
      <c r="AW1551" s="479"/>
      <c r="AX1551" s="442"/>
      <c r="AY1551" s="153"/>
      <c r="AZ1551" s="152"/>
      <c r="BA1551" s="152"/>
      <c r="BB1551" s="152"/>
      <c r="BC1551" s="152"/>
      <c r="BD1551" s="152"/>
      <c r="BE1551" s="152"/>
      <c r="BF1551" s="152"/>
      <c r="BG1551" s="152"/>
      <c r="BH1551" s="152"/>
      <c r="BI1551" s="153"/>
      <c r="BJ1551" s="153"/>
      <c r="BK1551" s="153"/>
      <c r="BL1551" s="153"/>
      <c r="BM1551" s="153"/>
      <c r="BN1551" s="153"/>
      <c r="BO1551" s="153"/>
      <c r="BP1551" s="153"/>
      <c r="BQ1551" s="153"/>
      <c r="BR1551" s="153"/>
      <c r="BS1551" s="153"/>
      <c r="BT1551" s="153"/>
      <c r="BU1551" s="153"/>
      <c r="BV1551" s="153"/>
      <c r="BW1551" s="153"/>
      <c r="BX1551" s="153"/>
      <c r="BY1551" s="153"/>
      <c r="BZ1551" s="153"/>
      <c r="CA1551" s="152"/>
      <c r="CB1551" s="152"/>
    </row>
    <row r="1552" spans="1:80" s="87" customFormat="1" x14ac:dyDescent="0.2">
      <c r="A1552" s="152"/>
      <c r="B1552" s="683"/>
      <c r="C1552" s="683"/>
      <c r="D1552" s="698"/>
      <c r="E1552" s="215"/>
      <c r="F1552" s="215"/>
      <c r="G1552" s="153"/>
      <c r="H1552" s="153"/>
      <c r="I1552" s="163">
        <v>11</v>
      </c>
      <c r="J1552" s="163">
        <v>240</v>
      </c>
      <c r="K1552" s="150">
        <v>1</v>
      </c>
      <c r="L1552" s="658">
        <v>44</v>
      </c>
      <c r="M1552" s="659">
        <v>33364</v>
      </c>
      <c r="N1552" s="598">
        <v>0.67960799999999999</v>
      </c>
      <c r="O1552" s="599">
        <v>3.1815000000000001E-4</v>
      </c>
      <c r="P1552" s="154"/>
      <c r="Q1552" s="93"/>
      <c r="R1552" s="93"/>
      <c r="S1552" s="93"/>
      <c r="T1552" s="93"/>
      <c r="U1552" s="93">
        <v>19.8</v>
      </c>
      <c r="V1552" s="497">
        <v>32.700000000000003</v>
      </c>
      <c r="W1552" s="497">
        <v>28.6</v>
      </c>
      <c r="X1552" s="497">
        <v>15.4</v>
      </c>
      <c r="Y1552" s="497">
        <v>3.5</v>
      </c>
      <c r="Z1552" s="93"/>
      <c r="AA1552" s="93"/>
      <c r="AB1552" s="95"/>
      <c r="AC1552" s="94"/>
      <c r="AD1552" s="223"/>
      <c r="AE1552" s="223"/>
      <c r="AF1552" s="223"/>
      <c r="AG1552" s="223"/>
      <c r="AH1552" s="341"/>
      <c r="AI1552" s="226"/>
      <c r="AJ1552" s="226"/>
      <c r="AK1552" s="227"/>
      <c r="AL1552" s="227"/>
      <c r="AM1552" s="152"/>
      <c r="AN1552" s="152"/>
      <c r="AO1552" s="152"/>
      <c r="AP1552" s="152"/>
      <c r="AQ1552" s="152"/>
      <c r="AR1552" s="152"/>
      <c r="AS1552" s="152"/>
      <c r="AT1552" s="152"/>
      <c r="AU1552" s="153"/>
      <c r="AV1552" s="479"/>
      <c r="AW1552" s="479"/>
      <c r="AX1552" s="442"/>
      <c r="AY1552" s="153"/>
      <c r="AZ1552" s="152"/>
      <c r="BA1552" s="152"/>
      <c r="BB1552" s="152"/>
      <c r="BC1552" s="152"/>
      <c r="BD1552" s="152"/>
      <c r="BE1552" s="152"/>
      <c r="BF1552" s="152"/>
      <c r="BG1552" s="152"/>
      <c r="BH1552" s="152"/>
      <c r="BI1552" s="153"/>
      <c r="BJ1552" s="153"/>
      <c r="BK1552" s="153"/>
      <c r="BL1552" s="153"/>
      <c r="BM1552" s="153"/>
      <c r="BN1552" s="153"/>
      <c r="BO1552" s="153"/>
      <c r="BP1552" s="153"/>
      <c r="BQ1552" s="153"/>
      <c r="BR1552" s="153"/>
      <c r="BS1552" s="153"/>
      <c r="BT1552" s="153"/>
      <c r="BU1552" s="153"/>
      <c r="BV1552" s="153"/>
      <c r="BW1552" s="153"/>
      <c r="BX1552" s="153"/>
      <c r="BY1552" s="153"/>
      <c r="BZ1552" s="153"/>
      <c r="CA1552" s="152"/>
      <c r="CB1552" s="152"/>
    </row>
    <row r="1553" spans="1:80" s="87" customFormat="1" x14ac:dyDescent="0.2">
      <c r="A1553" s="152"/>
      <c r="B1553" s="683"/>
      <c r="C1553" s="683"/>
      <c r="D1553" s="698"/>
      <c r="E1553" s="215"/>
      <c r="F1553" s="215"/>
      <c r="G1553" s="153"/>
      <c r="H1553" s="153"/>
      <c r="I1553" s="163">
        <v>10</v>
      </c>
      <c r="J1553" s="163">
        <v>360</v>
      </c>
      <c r="K1553" s="150">
        <v>1</v>
      </c>
      <c r="L1553" s="658">
        <v>60</v>
      </c>
      <c r="M1553" s="659">
        <v>33365</v>
      </c>
      <c r="N1553" s="598">
        <v>0.79287599999999991</v>
      </c>
      <c r="O1553" s="599">
        <v>1.5015E-3</v>
      </c>
      <c r="P1553" s="154"/>
      <c r="Q1553" s="93"/>
      <c r="R1553" s="93"/>
      <c r="S1553" s="93"/>
      <c r="T1553" s="93">
        <v>0.7</v>
      </c>
      <c r="U1553" s="93">
        <v>14.5</v>
      </c>
      <c r="V1553" s="497">
        <v>25.7</v>
      </c>
      <c r="W1553" s="497">
        <v>34.1</v>
      </c>
      <c r="X1553" s="497">
        <v>20.6</v>
      </c>
      <c r="Y1553" s="497">
        <v>4.4000000000000004</v>
      </c>
      <c r="Z1553" s="93"/>
      <c r="AA1553" s="93"/>
      <c r="AB1553" s="95"/>
      <c r="AC1553" s="94"/>
      <c r="AD1553" s="223">
        <v>5.8826400000000003</v>
      </c>
      <c r="AE1553" s="223">
        <v>0.39928800000000003</v>
      </c>
      <c r="AF1553" s="223">
        <v>2.3410799999999998</v>
      </c>
      <c r="AG1553" s="223">
        <f>1.12*(0.3048)</f>
        <v>0.34137600000000007</v>
      </c>
      <c r="AH1553" s="341"/>
      <c r="AI1553" s="226"/>
      <c r="AJ1553" s="226"/>
      <c r="AK1553" s="227"/>
      <c r="AL1553" s="227"/>
      <c r="AM1553" s="152"/>
      <c r="AN1553" s="152"/>
      <c r="AO1553" s="152"/>
      <c r="AP1553" s="152"/>
      <c r="AQ1553" s="152"/>
      <c r="AR1553" s="152"/>
      <c r="AS1553" s="152"/>
      <c r="AT1553" s="152"/>
      <c r="AU1553" s="153"/>
      <c r="AV1553" s="479"/>
      <c r="AW1553" s="479"/>
      <c r="AX1553" s="442"/>
      <c r="AY1553" s="153"/>
      <c r="AZ1553" s="152"/>
      <c r="BA1553" s="152"/>
      <c r="BB1553" s="152"/>
      <c r="BC1553" s="152"/>
      <c r="BD1553" s="152"/>
      <c r="BE1553" s="152"/>
      <c r="BF1553" s="152"/>
      <c r="BG1553" s="152"/>
      <c r="BH1553" s="152"/>
      <c r="BI1553" s="153"/>
      <c r="BJ1553" s="153"/>
      <c r="BK1553" s="153"/>
      <c r="BL1553" s="153"/>
      <c r="BM1553" s="153"/>
      <c r="BN1553" s="153"/>
      <c r="BO1553" s="153"/>
      <c r="BP1553" s="153"/>
      <c r="BQ1553" s="153"/>
      <c r="BR1553" s="153"/>
      <c r="BS1553" s="153"/>
      <c r="BT1553" s="153"/>
      <c r="BU1553" s="153"/>
      <c r="BV1553" s="153"/>
      <c r="BW1553" s="153"/>
      <c r="BX1553" s="153"/>
      <c r="BY1553" s="153"/>
      <c r="BZ1553" s="153"/>
      <c r="CA1553" s="152"/>
      <c r="CB1553" s="152"/>
    </row>
    <row r="1554" spans="1:80" s="87" customFormat="1" x14ac:dyDescent="0.2">
      <c r="A1554" s="152"/>
      <c r="B1554" s="683"/>
      <c r="C1554" s="683"/>
      <c r="D1554" s="698"/>
      <c r="E1554" s="215"/>
      <c r="F1554" s="215"/>
      <c r="G1554" s="153"/>
      <c r="H1554" s="153"/>
      <c r="I1554" s="163">
        <v>10</v>
      </c>
      <c r="J1554" s="163">
        <v>180</v>
      </c>
      <c r="K1554" s="150">
        <v>1</v>
      </c>
      <c r="L1554" s="658">
        <v>30</v>
      </c>
      <c r="M1554" s="659">
        <v>33366</v>
      </c>
      <c r="N1554" s="598">
        <v>3.4829909999999997</v>
      </c>
      <c r="O1554" s="599">
        <v>3.7484999999999997E-2</v>
      </c>
      <c r="P1554" s="154"/>
      <c r="Q1554" s="93"/>
      <c r="R1554" s="93"/>
      <c r="S1554" s="93">
        <v>0.9</v>
      </c>
      <c r="T1554" s="93">
        <v>3.4</v>
      </c>
      <c r="U1554" s="93">
        <v>21.4</v>
      </c>
      <c r="V1554" s="497">
        <v>32.6</v>
      </c>
      <c r="W1554" s="497">
        <v>26.1</v>
      </c>
      <c r="X1554" s="497">
        <v>14</v>
      </c>
      <c r="Y1554" s="497">
        <v>1.5</v>
      </c>
      <c r="Z1554" s="93"/>
      <c r="AA1554" s="93"/>
      <c r="AB1554" s="95"/>
      <c r="AC1554" s="94"/>
      <c r="AD1554" s="223"/>
      <c r="AE1554" s="223"/>
      <c r="AF1554" s="223"/>
      <c r="AG1554" s="223"/>
      <c r="AH1554" s="341"/>
      <c r="AI1554" s="226"/>
      <c r="AJ1554" s="226"/>
      <c r="AK1554" s="227"/>
      <c r="AL1554" s="227"/>
      <c r="AM1554" s="152"/>
      <c r="AN1554" s="152"/>
      <c r="AO1554" s="152"/>
      <c r="AP1554" s="152"/>
      <c r="AQ1554" s="152"/>
      <c r="AR1554" s="152"/>
      <c r="AS1554" s="152"/>
      <c r="AT1554" s="152"/>
      <c r="AU1554" s="153"/>
      <c r="AV1554" s="479"/>
      <c r="AW1554" s="479"/>
      <c r="AX1554" s="442"/>
      <c r="AY1554" s="153"/>
      <c r="AZ1554" s="152"/>
      <c r="BA1554" s="152"/>
      <c r="BB1554" s="152"/>
      <c r="BC1554" s="152"/>
      <c r="BD1554" s="152"/>
      <c r="BE1554" s="152"/>
      <c r="BF1554" s="152"/>
      <c r="BG1554" s="152"/>
      <c r="BH1554" s="152"/>
      <c r="BI1554" s="153"/>
      <c r="BJ1554" s="153"/>
      <c r="BK1554" s="153"/>
      <c r="BL1554" s="153"/>
      <c r="BM1554" s="153"/>
      <c r="BN1554" s="153"/>
      <c r="BO1554" s="153"/>
      <c r="BP1554" s="153"/>
      <c r="BQ1554" s="153"/>
      <c r="BR1554" s="153"/>
      <c r="BS1554" s="153"/>
      <c r="BT1554" s="153"/>
      <c r="BU1554" s="153"/>
      <c r="BV1554" s="153"/>
      <c r="BW1554" s="153"/>
      <c r="BX1554" s="153"/>
      <c r="BY1554" s="153"/>
      <c r="BZ1554" s="153"/>
      <c r="CA1554" s="152"/>
      <c r="CB1554" s="152"/>
    </row>
    <row r="1555" spans="1:80" s="87" customFormat="1" x14ac:dyDescent="0.2">
      <c r="A1555" s="152"/>
      <c r="B1555" s="683"/>
      <c r="C1555" s="683"/>
      <c r="D1555" s="698"/>
      <c r="E1555" s="215"/>
      <c r="F1555" s="215"/>
      <c r="G1555" s="153"/>
      <c r="H1555" s="153"/>
      <c r="I1555" s="163">
        <v>10</v>
      </c>
      <c r="J1555" s="163">
        <v>240</v>
      </c>
      <c r="K1555" s="150">
        <v>1</v>
      </c>
      <c r="L1555" s="658">
        <v>40</v>
      </c>
      <c r="M1555" s="659">
        <v>33371</v>
      </c>
      <c r="N1555" s="598">
        <v>1.3875329999999999</v>
      </c>
      <c r="O1555" s="599">
        <v>1.1445000000000001E-3</v>
      </c>
      <c r="P1555" s="154"/>
      <c r="Q1555" s="93"/>
      <c r="R1555" s="93"/>
      <c r="S1555" s="93">
        <v>17</v>
      </c>
      <c r="T1555" s="93">
        <v>4.5999999999999996</v>
      </c>
      <c r="U1555" s="93">
        <v>9.3000000000000007</v>
      </c>
      <c r="V1555" s="497">
        <v>20</v>
      </c>
      <c r="W1555" s="497">
        <v>28.4</v>
      </c>
      <c r="X1555" s="497">
        <v>20</v>
      </c>
      <c r="Y1555" s="497">
        <v>0.7</v>
      </c>
      <c r="Z1555" s="93"/>
      <c r="AA1555" s="93"/>
      <c r="AB1555" s="95"/>
      <c r="AC1555" s="94"/>
      <c r="AD1555" s="223"/>
      <c r="AE1555" s="223"/>
      <c r="AF1555" s="223"/>
      <c r="AG1555" s="223"/>
      <c r="AH1555" s="341"/>
      <c r="AI1555" s="226"/>
      <c r="AJ1555" s="226"/>
      <c r="AK1555" s="227"/>
      <c r="AL1555" s="227"/>
      <c r="AM1555" s="152"/>
      <c r="AN1555" s="152"/>
      <c r="AO1555" s="152"/>
      <c r="AP1555" s="152"/>
      <c r="AQ1555" s="152"/>
      <c r="AR1555" s="152"/>
      <c r="AS1555" s="152"/>
      <c r="AT1555" s="152"/>
      <c r="AU1555" s="153"/>
      <c r="AV1555" s="479"/>
      <c r="AW1555" s="479"/>
      <c r="AX1555" s="442"/>
      <c r="AY1555" s="153"/>
      <c r="AZ1555" s="152"/>
      <c r="BA1555" s="152"/>
      <c r="BB1555" s="152"/>
      <c r="BC1555" s="152"/>
      <c r="BD1555" s="152"/>
      <c r="BE1555" s="152"/>
      <c r="BF1555" s="152"/>
      <c r="BG1555" s="152"/>
      <c r="BH1555" s="152"/>
      <c r="BI1555" s="153"/>
      <c r="BJ1555" s="153"/>
      <c r="BK1555" s="153"/>
      <c r="BL1555" s="153"/>
      <c r="BM1555" s="153"/>
      <c r="BN1555" s="153"/>
      <c r="BO1555" s="153"/>
      <c r="BP1555" s="153"/>
      <c r="BQ1555" s="153"/>
      <c r="BR1555" s="153"/>
      <c r="BS1555" s="153"/>
      <c r="BT1555" s="153"/>
      <c r="BU1555" s="153"/>
      <c r="BV1555" s="153"/>
      <c r="BW1555" s="153"/>
      <c r="BX1555" s="153"/>
      <c r="BY1555" s="153"/>
      <c r="BZ1555" s="153"/>
      <c r="CA1555" s="152"/>
      <c r="CB1555" s="152"/>
    </row>
    <row r="1556" spans="1:80" s="87" customFormat="1" x14ac:dyDescent="0.2">
      <c r="A1556" s="152"/>
      <c r="B1556" s="683"/>
      <c r="C1556" s="683"/>
      <c r="D1556" s="698"/>
      <c r="E1556" s="215"/>
      <c r="F1556" s="215"/>
      <c r="G1556" s="153"/>
      <c r="H1556" s="153"/>
      <c r="I1556" s="163">
        <v>11</v>
      </c>
      <c r="J1556" s="163">
        <v>360</v>
      </c>
      <c r="K1556" s="150">
        <v>1</v>
      </c>
      <c r="L1556" s="658">
        <v>66</v>
      </c>
      <c r="M1556" s="659">
        <v>33374</v>
      </c>
      <c r="N1556" s="598">
        <v>1.868922</v>
      </c>
      <c r="O1556" s="599">
        <v>5.3235000000000001E-3</v>
      </c>
      <c r="P1556" s="154"/>
      <c r="Q1556" s="93"/>
      <c r="R1556" s="93"/>
      <c r="S1556" s="93">
        <v>3.5</v>
      </c>
      <c r="T1556" s="93">
        <v>9.1999999999999993</v>
      </c>
      <c r="U1556" s="93">
        <v>17.600000000000001</v>
      </c>
      <c r="V1556" s="497">
        <v>30.4</v>
      </c>
      <c r="W1556" s="497">
        <v>26</v>
      </c>
      <c r="X1556" s="497">
        <v>13</v>
      </c>
      <c r="Y1556" s="497">
        <v>0.3</v>
      </c>
      <c r="Z1556" s="93"/>
      <c r="AA1556" s="93"/>
      <c r="AB1556" s="95"/>
      <c r="AC1556" s="94"/>
      <c r="AD1556" s="223">
        <v>5.7911999999999999</v>
      </c>
      <c r="AE1556" s="223">
        <v>0.36880800000000002</v>
      </c>
      <c r="AF1556" s="223">
        <v>2.1366999999999998</v>
      </c>
      <c r="AG1556" s="223">
        <f>2.93*(0.3048)</f>
        <v>0.89306400000000008</v>
      </c>
      <c r="AH1556" s="341"/>
      <c r="AI1556" s="226"/>
      <c r="AJ1556" s="226"/>
      <c r="AK1556" s="227"/>
      <c r="AL1556" s="227"/>
      <c r="AM1556" s="152"/>
      <c r="AN1556" s="152"/>
      <c r="AO1556" s="152"/>
      <c r="AP1556" s="152"/>
      <c r="AQ1556" s="152"/>
      <c r="AR1556" s="152"/>
      <c r="AS1556" s="152"/>
      <c r="AT1556" s="152"/>
      <c r="AU1556" s="153"/>
      <c r="AV1556" s="479"/>
      <c r="AW1556" s="479"/>
      <c r="AX1556" s="442"/>
      <c r="AY1556" s="153"/>
      <c r="AZ1556" s="152"/>
      <c r="BA1556" s="152"/>
      <c r="BB1556" s="152"/>
      <c r="BC1556" s="152"/>
      <c r="BD1556" s="152"/>
      <c r="BE1556" s="152"/>
      <c r="BF1556" s="152"/>
      <c r="BG1556" s="152"/>
      <c r="BH1556" s="152"/>
      <c r="BI1556" s="153"/>
      <c r="BJ1556" s="153"/>
      <c r="BK1556" s="153"/>
      <c r="BL1556" s="153"/>
      <c r="BM1556" s="153"/>
      <c r="BN1556" s="153"/>
      <c r="BO1556" s="153"/>
      <c r="BP1556" s="153"/>
      <c r="BQ1556" s="153"/>
      <c r="BR1556" s="153"/>
      <c r="BS1556" s="153"/>
      <c r="BT1556" s="153"/>
      <c r="BU1556" s="153"/>
      <c r="BV1556" s="153"/>
      <c r="BW1556" s="153"/>
      <c r="BX1556" s="153"/>
      <c r="BY1556" s="153"/>
      <c r="BZ1556" s="153"/>
      <c r="CA1556" s="152"/>
      <c r="CB1556" s="152"/>
    </row>
    <row r="1557" spans="1:80" s="87" customFormat="1" x14ac:dyDescent="0.2">
      <c r="A1557" s="152"/>
      <c r="B1557" s="683"/>
      <c r="C1557" s="683"/>
      <c r="D1557" s="698"/>
      <c r="E1557" s="215"/>
      <c r="F1557" s="215"/>
      <c r="G1557" s="153"/>
      <c r="H1557" s="153"/>
      <c r="I1557" s="163">
        <v>10</v>
      </c>
      <c r="J1557" s="163">
        <v>240</v>
      </c>
      <c r="K1557" s="150">
        <v>1</v>
      </c>
      <c r="L1557" s="658">
        <v>40</v>
      </c>
      <c r="M1557" s="659">
        <v>33378</v>
      </c>
      <c r="N1557" s="598">
        <v>2.4352619999999998</v>
      </c>
      <c r="O1557" s="599">
        <v>3.2445000000000002E-2</v>
      </c>
      <c r="P1557" s="154"/>
      <c r="Q1557" s="93"/>
      <c r="R1557" s="93"/>
      <c r="S1557" s="93">
        <v>1.6</v>
      </c>
      <c r="T1557" s="93">
        <v>2.5</v>
      </c>
      <c r="U1557" s="93">
        <v>29.2</v>
      </c>
      <c r="V1557" s="497">
        <v>46.9</v>
      </c>
      <c r="W1557" s="497">
        <v>15.9</v>
      </c>
      <c r="X1557" s="497">
        <v>3.7</v>
      </c>
      <c r="Y1557" s="497">
        <v>0.2</v>
      </c>
      <c r="Z1557" s="93"/>
      <c r="AA1557" s="93"/>
      <c r="AB1557" s="95"/>
      <c r="AC1557" s="94"/>
      <c r="AD1557" s="223"/>
      <c r="AE1557" s="223"/>
      <c r="AF1557" s="223"/>
      <c r="AG1557" s="223"/>
      <c r="AH1557" s="341"/>
      <c r="AI1557" s="226"/>
      <c r="AJ1557" s="226"/>
      <c r="AK1557" s="227"/>
      <c r="AL1557" s="227"/>
      <c r="AM1557" s="152"/>
      <c r="AN1557" s="152"/>
      <c r="AO1557" s="152"/>
      <c r="AP1557" s="152"/>
      <c r="AQ1557" s="152"/>
      <c r="AR1557" s="152"/>
      <c r="AS1557" s="152"/>
      <c r="AT1557" s="152"/>
      <c r="AU1557" s="153"/>
      <c r="AV1557" s="479"/>
      <c r="AW1557" s="479"/>
      <c r="AX1557" s="442"/>
      <c r="AY1557" s="153"/>
      <c r="AZ1557" s="152"/>
      <c r="BA1557" s="152"/>
      <c r="BB1557" s="152"/>
      <c r="BC1557" s="152"/>
      <c r="BD1557" s="152"/>
      <c r="BE1557" s="152"/>
      <c r="BF1557" s="152"/>
      <c r="BG1557" s="152"/>
      <c r="BH1557" s="152"/>
      <c r="BI1557" s="153"/>
      <c r="BJ1557" s="153"/>
      <c r="BK1557" s="153"/>
      <c r="BL1557" s="153"/>
      <c r="BM1557" s="153"/>
      <c r="BN1557" s="153"/>
      <c r="BO1557" s="153"/>
      <c r="BP1557" s="153"/>
      <c r="BQ1557" s="153"/>
      <c r="BR1557" s="153"/>
      <c r="BS1557" s="153"/>
      <c r="BT1557" s="153"/>
      <c r="BU1557" s="153"/>
      <c r="BV1557" s="153"/>
      <c r="BW1557" s="153"/>
      <c r="BX1557" s="153"/>
      <c r="BY1557" s="153"/>
      <c r="BZ1557" s="153"/>
      <c r="CA1557" s="152"/>
      <c r="CB1557" s="152"/>
    </row>
    <row r="1558" spans="1:80" s="87" customFormat="1" x14ac:dyDescent="0.2">
      <c r="A1558" s="152"/>
      <c r="B1558" s="683"/>
      <c r="C1558" s="683"/>
      <c r="D1558" s="698"/>
      <c r="E1558" s="215"/>
      <c r="F1558" s="215"/>
      <c r="G1558" s="153"/>
      <c r="H1558" s="153"/>
      <c r="I1558" s="163">
        <v>10</v>
      </c>
      <c r="J1558" s="163">
        <v>360</v>
      </c>
      <c r="K1558" s="150">
        <v>1</v>
      </c>
      <c r="L1558" s="658">
        <v>60</v>
      </c>
      <c r="M1558" s="659">
        <v>33379</v>
      </c>
      <c r="N1558" s="598">
        <v>2.4069449999999999</v>
      </c>
      <c r="O1558" s="599">
        <v>7.2030000000000011E-3</v>
      </c>
      <c r="P1558" s="154"/>
      <c r="Q1558" s="93"/>
      <c r="R1558" s="93"/>
      <c r="S1558" s="93">
        <v>2.5</v>
      </c>
      <c r="T1558" s="93">
        <v>6.6</v>
      </c>
      <c r="U1558" s="93">
        <v>29.5</v>
      </c>
      <c r="V1558" s="497">
        <v>29.9</v>
      </c>
      <c r="W1558" s="497">
        <v>20.3</v>
      </c>
      <c r="X1558" s="497">
        <v>10.8</v>
      </c>
      <c r="Y1558" s="497">
        <v>0.4</v>
      </c>
      <c r="Z1558" s="93"/>
      <c r="AA1558" s="93"/>
      <c r="AB1558" s="95"/>
      <c r="AC1558" s="94"/>
      <c r="AD1558" s="223"/>
      <c r="AE1558" s="223"/>
      <c r="AF1558" s="223"/>
      <c r="AG1558" s="223"/>
      <c r="AH1558" s="341"/>
      <c r="AI1558" s="226"/>
      <c r="AJ1558" s="226"/>
      <c r="AK1558" s="227"/>
      <c r="AL1558" s="227"/>
      <c r="AM1558" s="152"/>
      <c r="AN1558" s="152"/>
      <c r="AO1558" s="152"/>
      <c r="AP1558" s="152"/>
      <c r="AQ1558" s="152"/>
      <c r="AR1558" s="152"/>
      <c r="AS1558" s="152"/>
      <c r="AT1558" s="152"/>
      <c r="AU1558" s="153"/>
      <c r="AV1558" s="479"/>
      <c r="AW1558" s="479"/>
      <c r="AX1558" s="442"/>
      <c r="AY1558" s="153"/>
      <c r="AZ1558" s="152"/>
      <c r="BA1558" s="152"/>
      <c r="BB1558" s="152"/>
      <c r="BC1558" s="152"/>
      <c r="BD1558" s="152"/>
      <c r="BE1558" s="152"/>
      <c r="BF1558" s="152"/>
      <c r="BG1558" s="152"/>
      <c r="BH1558" s="152"/>
      <c r="BI1558" s="153"/>
      <c r="BJ1558" s="153"/>
      <c r="BK1558" s="153"/>
      <c r="BL1558" s="153"/>
      <c r="BM1558" s="153"/>
      <c r="BN1558" s="153"/>
      <c r="BO1558" s="153"/>
      <c r="BP1558" s="153"/>
      <c r="BQ1558" s="153"/>
      <c r="BR1558" s="153"/>
      <c r="BS1558" s="153"/>
      <c r="BT1558" s="153"/>
      <c r="BU1558" s="153"/>
      <c r="BV1558" s="153"/>
      <c r="BW1558" s="153"/>
      <c r="BX1558" s="153"/>
      <c r="BY1558" s="153"/>
      <c r="BZ1558" s="153"/>
      <c r="CA1558" s="152"/>
      <c r="CB1558" s="152"/>
    </row>
    <row r="1559" spans="1:80" s="87" customFormat="1" x14ac:dyDescent="0.2">
      <c r="A1559" s="152"/>
      <c r="B1559" s="683"/>
      <c r="C1559" s="683"/>
      <c r="D1559" s="698"/>
      <c r="E1559" s="215"/>
      <c r="F1559" s="215"/>
      <c r="G1559" s="153"/>
      <c r="H1559" s="153"/>
      <c r="I1559" s="163">
        <v>10</v>
      </c>
      <c r="J1559" s="163">
        <v>240</v>
      </c>
      <c r="K1559" s="150">
        <v>1</v>
      </c>
      <c r="L1559" s="658">
        <v>40</v>
      </c>
      <c r="M1559" s="659">
        <v>33380</v>
      </c>
      <c r="N1559" s="598">
        <v>2.8316999999999997</v>
      </c>
      <c r="O1559" s="599">
        <v>1.7010000000000001E-2</v>
      </c>
      <c r="P1559" s="154"/>
      <c r="Q1559" s="93"/>
      <c r="R1559" s="93"/>
      <c r="S1559" s="93"/>
      <c r="T1559" s="93">
        <v>1.7</v>
      </c>
      <c r="U1559" s="93">
        <v>15.3</v>
      </c>
      <c r="V1559" s="497">
        <v>50</v>
      </c>
      <c r="W1559" s="497">
        <v>26.5</v>
      </c>
      <c r="X1559" s="497">
        <v>6.2</v>
      </c>
      <c r="Y1559" s="497">
        <v>0.2</v>
      </c>
      <c r="Z1559" s="93"/>
      <c r="AA1559" s="93"/>
      <c r="AB1559" s="95"/>
      <c r="AC1559" s="94"/>
      <c r="AD1559" s="223"/>
      <c r="AE1559" s="223"/>
      <c r="AF1559" s="223"/>
      <c r="AG1559" s="223"/>
      <c r="AH1559" s="341"/>
      <c r="AI1559" s="226"/>
      <c r="AJ1559" s="226"/>
      <c r="AK1559" s="227"/>
      <c r="AL1559" s="227"/>
      <c r="AM1559" s="152"/>
      <c r="AN1559" s="152"/>
      <c r="AO1559" s="152"/>
      <c r="AP1559" s="152"/>
      <c r="AQ1559" s="152"/>
      <c r="AR1559" s="152"/>
      <c r="AS1559" s="152"/>
      <c r="AT1559" s="152"/>
      <c r="AU1559" s="153"/>
      <c r="AV1559" s="479"/>
      <c r="AW1559" s="479"/>
      <c r="AX1559" s="442"/>
      <c r="AY1559" s="153"/>
      <c r="AZ1559" s="152"/>
      <c r="BA1559" s="152"/>
      <c r="BB1559" s="152"/>
      <c r="BC1559" s="152"/>
      <c r="BD1559" s="152"/>
      <c r="BE1559" s="152"/>
      <c r="BF1559" s="152"/>
      <c r="BG1559" s="152"/>
      <c r="BH1559" s="152"/>
      <c r="BI1559" s="153"/>
      <c r="BJ1559" s="153"/>
      <c r="BK1559" s="153"/>
      <c r="BL1559" s="153"/>
      <c r="BM1559" s="153"/>
      <c r="BN1559" s="153"/>
      <c r="BO1559" s="153"/>
      <c r="BP1559" s="153"/>
      <c r="BQ1559" s="153"/>
      <c r="BR1559" s="153"/>
      <c r="BS1559" s="153"/>
      <c r="BT1559" s="153"/>
      <c r="BU1559" s="153"/>
      <c r="BV1559" s="153"/>
      <c r="BW1559" s="153"/>
      <c r="BX1559" s="153"/>
      <c r="BY1559" s="153"/>
      <c r="BZ1559" s="153"/>
      <c r="CA1559" s="152"/>
      <c r="CB1559" s="152"/>
    </row>
    <row r="1560" spans="1:80" s="87" customFormat="1" x14ac:dyDescent="0.2">
      <c r="A1560" s="152"/>
      <c r="B1560" s="683"/>
      <c r="C1560" s="683"/>
      <c r="D1560" s="698"/>
      <c r="E1560" s="215"/>
      <c r="F1560" s="215"/>
      <c r="G1560" s="153"/>
      <c r="H1560" s="153"/>
      <c r="I1560" s="163">
        <v>10</v>
      </c>
      <c r="J1560" s="163">
        <v>240</v>
      </c>
      <c r="K1560" s="150">
        <v>1</v>
      </c>
      <c r="L1560" s="658">
        <v>40</v>
      </c>
      <c r="M1560" s="659">
        <v>33381</v>
      </c>
      <c r="N1560" s="598">
        <v>3.3130889999999997</v>
      </c>
      <c r="O1560" s="599">
        <v>1.5015000000000001E-2</v>
      </c>
      <c r="P1560" s="154"/>
      <c r="Q1560" s="93"/>
      <c r="R1560" s="93"/>
      <c r="S1560" s="93">
        <v>3.5</v>
      </c>
      <c r="T1560" s="93">
        <v>2.9</v>
      </c>
      <c r="U1560" s="93">
        <v>10</v>
      </c>
      <c r="V1560" s="497">
        <v>26.7</v>
      </c>
      <c r="W1560" s="497">
        <v>43.1</v>
      </c>
      <c r="X1560" s="497">
        <v>13.1</v>
      </c>
      <c r="Y1560" s="497">
        <v>0.6</v>
      </c>
      <c r="Z1560" s="93"/>
      <c r="AA1560" s="93"/>
      <c r="AB1560" s="95"/>
      <c r="AC1560" s="94"/>
      <c r="AD1560" s="223">
        <v>10.058400000000001</v>
      </c>
      <c r="AE1560" s="223">
        <v>0.40538400000000002</v>
      </c>
      <c r="AF1560" s="223">
        <v>4.0876000000000001</v>
      </c>
      <c r="AG1560" s="223">
        <f>2.86*(0.3048)</f>
        <v>0.87172800000000006</v>
      </c>
      <c r="AH1560" s="341"/>
      <c r="AI1560" s="226"/>
      <c r="AJ1560" s="226"/>
      <c r="AK1560" s="227"/>
      <c r="AL1560" s="227"/>
      <c r="AM1560" s="152"/>
      <c r="AN1560" s="152"/>
      <c r="AO1560" s="152"/>
      <c r="AP1560" s="152"/>
      <c r="AQ1560" s="152"/>
      <c r="AR1560" s="152"/>
      <c r="AS1560" s="152"/>
      <c r="AT1560" s="152"/>
      <c r="AU1560" s="153"/>
      <c r="AV1560" s="479"/>
      <c r="AW1560" s="479"/>
      <c r="AX1560" s="442"/>
      <c r="AY1560" s="153"/>
      <c r="AZ1560" s="152"/>
      <c r="BA1560" s="152"/>
      <c r="BB1560" s="152"/>
      <c r="BC1560" s="152"/>
      <c r="BD1560" s="152"/>
      <c r="BE1560" s="152"/>
      <c r="BF1560" s="152"/>
      <c r="BG1560" s="152"/>
      <c r="BH1560" s="152"/>
      <c r="BI1560" s="153"/>
      <c r="BJ1560" s="153"/>
      <c r="BK1560" s="153"/>
      <c r="BL1560" s="153"/>
      <c r="BM1560" s="153"/>
      <c r="BN1560" s="153"/>
      <c r="BO1560" s="153"/>
      <c r="BP1560" s="153"/>
      <c r="BQ1560" s="153"/>
      <c r="BR1560" s="153"/>
      <c r="BS1560" s="153"/>
      <c r="BT1560" s="153"/>
      <c r="BU1560" s="153"/>
      <c r="BV1560" s="153"/>
      <c r="BW1560" s="153"/>
      <c r="BX1560" s="153"/>
      <c r="BY1560" s="153"/>
      <c r="BZ1560" s="153"/>
      <c r="CA1560" s="152"/>
      <c r="CB1560" s="152"/>
    </row>
    <row r="1561" spans="1:80" s="87" customFormat="1" x14ac:dyDescent="0.2">
      <c r="A1561" s="152"/>
      <c r="B1561" s="683"/>
      <c r="C1561" s="683"/>
      <c r="D1561" s="698"/>
      <c r="E1561" s="215"/>
      <c r="F1561" s="215"/>
      <c r="G1561" s="153"/>
      <c r="H1561" s="153"/>
      <c r="I1561" s="163">
        <v>10</v>
      </c>
      <c r="J1561" s="163">
        <v>360</v>
      </c>
      <c r="K1561" s="150">
        <v>1</v>
      </c>
      <c r="L1561" s="658">
        <v>60</v>
      </c>
      <c r="M1561" s="659">
        <v>33386</v>
      </c>
      <c r="N1561" s="598">
        <v>2.9449679999999998</v>
      </c>
      <c r="O1561" s="599">
        <v>1.6695000000000002E-3</v>
      </c>
      <c r="P1561" s="154"/>
      <c r="Q1561" s="93"/>
      <c r="R1561" s="93"/>
      <c r="S1561" s="93"/>
      <c r="T1561" s="93">
        <v>3</v>
      </c>
      <c r="U1561" s="93">
        <v>15.5</v>
      </c>
      <c r="V1561" s="497">
        <v>19</v>
      </c>
      <c r="W1561" s="497">
        <v>30.1</v>
      </c>
      <c r="X1561" s="497">
        <v>30.8</v>
      </c>
      <c r="Y1561" s="497">
        <v>1.5</v>
      </c>
      <c r="Z1561" s="93"/>
      <c r="AA1561" s="93"/>
      <c r="AB1561" s="95"/>
      <c r="AC1561" s="94"/>
      <c r="AD1561" s="223"/>
      <c r="AE1561" s="223"/>
      <c r="AF1561" s="223"/>
      <c r="AG1561" s="223"/>
      <c r="AH1561" s="341"/>
      <c r="AI1561" s="226"/>
      <c r="AJ1561" s="226"/>
      <c r="AK1561" s="227"/>
      <c r="AL1561" s="227"/>
      <c r="AM1561" s="152"/>
      <c r="AN1561" s="152"/>
      <c r="AO1561" s="152"/>
      <c r="AP1561" s="152"/>
      <c r="AQ1561" s="152"/>
      <c r="AR1561" s="152"/>
      <c r="AS1561" s="152"/>
      <c r="AT1561" s="152"/>
      <c r="AU1561" s="153"/>
      <c r="AV1561" s="479"/>
      <c r="AW1561" s="479"/>
      <c r="AX1561" s="442"/>
      <c r="AY1561" s="153"/>
      <c r="AZ1561" s="152"/>
      <c r="BA1561" s="152"/>
      <c r="BB1561" s="152"/>
      <c r="BC1561" s="152"/>
      <c r="BD1561" s="152"/>
      <c r="BE1561" s="152"/>
      <c r="BF1561" s="152"/>
      <c r="BG1561" s="152"/>
      <c r="BH1561" s="152"/>
      <c r="BI1561" s="153"/>
      <c r="BJ1561" s="153"/>
      <c r="BK1561" s="153"/>
      <c r="BL1561" s="153"/>
      <c r="BM1561" s="153"/>
      <c r="BN1561" s="153"/>
      <c r="BO1561" s="153"/>
      <c r="BP1561" s="153"/>
      <c r="BQ1561" s="153"/>
      <c r="BR1561" s="153"/>
      <c r="BS1561" s="153"/>
      <c r="BT1561" s="153"/>
      <c r="BU1561" s="153"/>
      <c r="BV1561" s="153"/>
      <c r="BW1561" s="153"/>
      <c r="BX1561" s="153"/>
      <c r="BY1561" s="153"/>
      <c r="BZ1561" s="153"/>
      <c r="CA1561" s="152"/>
      <c r="CB1561" s="152"/>
    </row>
    <row r="1562" spans="1:80" s="87" customFormat="1" x14ac:dyDescent="0.2">
      <c r="A1562" s="152"/>
      <c r="B1562" s="683"/>
      <c r="C1562" s="683"/>
      <c r="D1562" s="698"/>
      <c r="E1562" s="215"/>
      <c r="F1562" s="215"/>
      <c r="G1562" s="153"/>
      <c r="H1562" s="153"/>
      <c r="I1562" s="163">
        <v>10</v>
      </c>
      <c r="J1562" s="163">
        <v>360</v>
      </c>
      <c r="K1562" s="150">
        <v>1</v>
      </c>
      <c r="L1562" s="658">
        <v>60</v>
      </c>
      <c r="M1562" s="659">
        <v>33387</v>
      </c>
      <c r="N1562" s="598">
        <v>2.7750659999999998</v>
      </c>
      <c r="O1562" s="599">
        <v>1.9425E-3</v>
      </c>
      <c r="P1562" s="154"/>
      <c r="Q1562" s="93"/>
      <c r="R1562" s="93"/>
      <c r="S1562" s="93" t="s">
        <v>71</v>
      </c>
      <c r="T1562" s="93">
        <v>5.4</v>
      </c>
      <c r="U1562" s="93">
        <v>19</v>
      </c>
      <c r="V1562" s="497">
        <v>21.1</v>
      </c>
      <c r="W1562" s="497">
        <v>29.8</v>
      </c>
      <c r="X1562" s="497">
        <v>23.8</v>
      </c>
      <c r="Y1562" s="497">
        <v>0.9</v>
      </c>
      <c r="Z1562" s="93"/>
      <c r="AA1562" s="93"/>
      <c r="AB1562" s="95"/>
      <c r="AC1562" s="94"/>
      <c r="AD1562" s="223"/>
      <c r="AE1562" s="223"/>
      <c r="AF1562" s="223"/>
      <c r="AG1562" s="223"/>
      <c r="AH1562" s="341"/>
      <c r="AI1562" s="226"/>
      <c r="AJ1562" s="226"/>
      <c r="AK1562" s="227"/>
      <c r="AL1562" s="227"/>
      <c r="AM1562" s="152"/>
      <c r="AN1562" s="152"/>
      <c r="AO1562" s="152"/>
      <c r="AP1562" s="152"/>
      <c r="AQ1562" s="152"/>
      <c r="AR1562" s="152"/>
      <c r="AS1562" s="152"/>
      <c r="AT1562" s="152"/>
      <c r="AU1562" s="153"/>
      <c r="AV1562" s="479"/>
      <c r="AW1562" s="479"/>
      <c r="AX1562" s="442"/>
      <c r="AY1562" s="153"/>
      <c r="AZ1562" s="152"/>
      <c r="BA1562" s="152"/>
      <c r="BB1562" s="152"/>
      <c r="BC1562" s="152"/>
      <c r="BD1562" s="152"/>
      <c r="BE1562" s="152"/>
      <c r="BF1562" s="152"/>
      <c r="BG1562" s="152"/>
      <c r="BH1562" s="152"/>
      <c r="BI1562" s="153"/>
      <c r="BJ1562" s="153"/>
      <c r="BK1562" s="153"/>
      <c r="BL1562" s="153"/>
      <c r="BM1562" s="153"/>
      <c r="BN1562" s="153"/>
      <c r="BO1562" s="153"/>
      <c r="BP1562" s="153"/>
      <c r="BQ1562" s="153"/>
      <c r="BR1562" s="153"/>
      <c r="BS1562" s="153"/>
      <c r="BT1562" s="153"/>
      <c r="BU1562" s="153"/>
      <c r="BV1562" s="153"/>
      <c r="BW1562" s="153"/>
      <c r="BX1562" s="153"/>
      <c r="BY1562" s="153"/>
      <c r="BZ1562" s="153"/>
      <c r="CA1562" s="152"/>
      <c r="CB1562" s="152"/>
    </row>
    <row r="1563" spans="1:80" s="87" customFormat="1" x14ac:dyDescent="0.2">
      <c r="A1563" s="152"/>
      <c r="B1563" s="683"/>
      <c r="C1563" s="683"/>
      <c r="D1563" s="698"/>
      <c r="E1563" s="215"/>
      <c r="F1563" s="215"/>
      <c r="G1563" s="153"/>
      <c r="H1563" s="153"/>
      <c r="I1563" s="163">
        <v>10</v>
      </c>
      <c r="J1563" s="163">
        <v>360</v>
      </c>
      <c r="K1563" s="150">
        <v>1</v>
      </c>
      <c r="L1563" s="658">
        <v>60</v>
      </c>
      <c r="M1563" s="659">
        <v>33388</v>
      </c>
      <c r="N1563" s="598">
        <v>2.9449679999999998</v>
      </c>
      <c r="O1563" s="599">
        <v>2.9295000000000002E-3</v>
      </c>
      <c r="P1563" s="154"/>
      <c r="Q1563" s="93"/>
      <c r="R1563" s="93"/>
      <c r="S1563" s="93"/>
      <c r="T1563" s="93">
        <v>9</v>
      </c>
      <c r="U1563" s="93">
        <v>23.4</v>
      </c>
      <c r="V1563" s="497">
        <v>19</v>
      </c>
      <c r="W1563" s="497">
        <v>32.299999999999997</v>
      </c>
      <c r="X1563" s="497">
        <v>15.5</v>
      </c>
      <c r="Y1563" s="497">
        <v>0.8</v>
      </c>
      <c r="Z1563" s="93"/>
      <c r="AA1563" s="93"/>
      <c r="AB1563" s="95"/>
      <c r="AC1563" s="94"/>
      <c r="AD1563" s="223"/>
      <c r="AE1563" s="223"/>
      <c r="AF1563" s="223"/>
      <c r="AG1563" s="223"/>
      <c r="AH1563" s="341"/>
      <c r="AI1563" s="226"/>
      <c r="AJ1563" s="226"/>
      <c r="AK1563" s="227"/>
      <c r="AL1563" s="227"/>
      <c r="AM1563" s="152"/>
      <c r="AN1563" s="152"/>
      <c r="AO1563" s="152"/>
      <c r="AP1563" s="152"/>
      <c r="AQ1563" s="152"/>
      <c r="AR1563" s="152"/>
      <c r="AS1563" s="152"/>
      <c r="AT1563" s="152"/>
      <c r="AU1563" s="153"/>
      <c r="AV1563" s="479"/>
      <c r="AW1563" s="479"/>
      <c r="AX1563" s="442"/>
      <c r="AY1563" s="153"/>
      <c r="AZ1563" s="152"/>
      <c r="BA1563" s="152"/>
      <c r="BB1563" s="152"/>
      <c r="BC1563" s="152"/>
      <c r="BD1563" s="152"/>
      <c r="BE1563" s="152"/>
      <c r="BF1563" s="152"/>
      <c r="BG1563" s="152"/>
      <c r="BH1563" s="152"/>
      <c r="BI1563" s="153"/>
      <c r="BJ1563" s="153"/>
      <c r="BK1563" s="153"/>
      <c r="BL1563" s="153"/>
      <c r="BM1563" s="153"/>
      <c r="BN1563" s="153"/>
      <c r="BO1563" s="153"/>
      <c r="BP1563" s="153"/>
      <c r="BQ1563" s="153"/>
      <c r="BR1563" s="153"/>
      <c r="BS1563" s="153"/>
      <c r="BT1563" s="153"/>
      <c r="BU1563" s="153"/>
      <c r="BV1563" s="153"/>
      <c r="BW1563" s="153"/>
      <c r="BX1563" s="153"/>
      <c r="BY1563" s="153"/>
      <c r="BZ1563" s="153"/>
      <c r="CA1563" s="152"/>
      <c r="CB1563" s="152"/>
    </row>
    <row r="1564" spans="1:80" s="87" customFormat="1" x14ac:dyDescent="0.2">
      <c r="A1564" s="152"/>
      <c r="B1564" s="683"/>
      <c r="C1564" s="683"/>
      <c r="D1564" s="698"/>
      <c r="E1564" s="215"/>
      <c r="F1564" s="215"/>
      <c r="G1564" s="153"/>
      <c r="H1564" s="153"/>
      <c r="I1564" s="163">
        <v>10</v>
      </c>
      <c r="J1564" s="163">
        <v>180</v>
      </c>
      <c r="K1564" s="150">
        <v>1</v>
      </c>
      <c r="L1564" s="658">
        <v>30</v>
      </c>
      <c r="M1564" s="659">
        <v>33393</v>
      </c>
      <c r="N1564" s="598">
        <v>3.7944779999999998</v>
      </c>
      <c r="O1564" s="599">
        <v>1.197E-2</v>
      </c>
      <c r="P1564" s="154"/>
      <c r="Q1564" s="93"/>
      <c r="R1564" s="93"/>
      <c r="S1564" s="93">
        <v>3.7</v>
      </c>
      <c r="T1564" s="93">
        <v>10.7</v>
      </c>
      <c r="U1564" s="93">
        <v>21.3</v>
      </c>
      <c r="V1564" s="497">
        <v>23.2</v>
      </c>
      <c r="W1564" s="497">
        <v>25.8</v>
      </c>
      <c r="X1564" s="497">
        <v>14.9</v>
      </c>
      <c r="Y1564" s="497">
        <v>0.4</v>
      </c>
      <c r="Z1564" s="93"/>
      <c r="AA1564" s="93"/>
      <c r="AB1564" s="95"/>
      <c r="AC1564" s="94"/>
      <c r="AD1564" s="223"/>
      <c r="AE1564" s="223"/>
      <c r="AF1564" s="223"/>
      <c r="AG1564" s="223"/>
      <c r="AH1564" s="341"/>
      <c r="AI1564" s="226"/>
      <c r="AJ1564" s="226"/>
      <c r="AK1564" s="227"/>
      <c r="AL1564" s="227"/>
      <c r="AM1564" s="152"/>
      <c r="AN1564" s="152"/>
      <c r="AO1564" s="152"/>
      <c r="AP1564" s="152"/>
      <c r="AQ1564" s="152"/>
      <c r="AR1564" s="152"/>
      <c r="AS1564" s="152"/>
      <c r="AT1564" s="152"/>
      <c r="AU1564" s="153"/>
      <c r="AV1564" s="479"/>
      <c r="AW1564" s="479"/>
      <c r="AX1564" s="442"/>
      <c r="AY1564" s="153"/>
      <c r="AZ1564" s="152"/>
      <c r="BA1564" s="152"/>
      <c r="BB1564" s="152"/>
      <c r="BC1564" s="152"/>
      <c r="BD1564" s="152"/>
      <c r="BE1564" s="152"/>
      <c r="BF1564" s="152"/>
      <c r="BG1564" s="152"/>
      <c r="BH1564" s="152"/>
      <c r="BI1564" s="153"/>
      <c r="BJ1564" s="153"/>
      <c r="BK1564" s="153"/>
      <c r="BL1564" s="153"/>
      <c r="BM1564" s="153"/>
      <c r="BN1564" s="153"/>
      <c r="BO1564" s="153"/>
      <c r="BP1564" s="153"/>
      <c r="BQ1564" s="153"/>
      <c r="BR1564" s="153"/>
      <c r="BS1564" s="153"/>
      <c r="BT1564" s="153"/>
      <c r="BU1564" s="153"/>
      <c r="BV1564" s="153"/>
      <c r="BW1564" s="153"/>
      <c r="BX1564" s="153"/>
      <c r="BY1564" s="153"/>
      <c r="BZ1564" s="153"/>
      <c r="CA1564" s="152"/>
      <c r="CB1564" s="152"/>
    </row>
    <row r="1565" spans="1:80" s="87" customFormat="1" x14ac:dyDescent="0.2">
      <c r="A1565" s="152"/>
      <c r="B1565" s="683"/>
      <c r="C1565" s="683"/>
      <c r="D1565" s="698"/>
      <c r="E1565" s="215"/>
      <c r="F1565" s="215"/>
      <c r="G1565" s="153"/>
      <c r="H1565" s="153"/>
      <c r="I1565" s="163">
        <v>10</v>
      </c>
      <c r="J1565" s="163">
        <v>240</v>
      </c>
      <c r="K1565" s="150">
        <v>1</v>
      </c>
      <c r="L1565" s="658">
        <v>40</v>
      </c>
      <c r="M1565" s="659">
        <v>33401</v>
      </c>
      <c r="N1565" s="598">
        <v>3.9643799999999998</v>
      </c>
      <c r="O1565" s="599">
        <v>5.9430000000000004E-2</v>
      </c>
      <c r="P1565" s="154"/>
      <c r="Q1565" s="93"/>
      <c r="R1565" s="93"/>
      <c r="S1565" s="93">
        <v>5.7</v>
      </c>
      <c r="T1565" s="93">
        <v>7.7</v>
      </c>
      <c r="U1565" s="93">
        <v>32.5</v>
      </c>
      <c r="V1565" s="497">
        <v>30.4</v>
      </c>
      <c r="W1565" s="497">
        <v>17</v>
      </c>
      <c r="X1565" s="497">
        <v>6.3</v>
      </c>
      <c r="Y1565" s="497">
        <v>0.4</v>
      </c>
      <c r="Z1565" s="93"/>
      <c r="AA1565" s="93"/>
      <c r="AB1565" s="95"/>
      <c r="AC1565" s="94"/>
      <c r="AD1565" s="223"/>
      <c r="AE1565" s="223"/>
      <c r="AF1565" s="223"/>
      <c r="AG1565" s="223"/>
      <c r="AH1565" s="341"/>
      <c r="AI1565" s="226"/>
      <c r="AJ1565" s="226"/>
      <c r="AK1565" s="227"/>
      <c r="AL1565" s="227"/>
      <c r="AM1565" s="152"/>
      <c r="AN1565" s="152"/>
      <c r="AO1565" s="152"/>
      <c r="AP1565" s="152"/>
      <c r="AQ1565" s="152"/>
      <c r="AR1565" s="152"/>
      <c r="AS1565" s="152"/>
      <c r="AT1565" s="152"/>
      <c r="AU1565" s="153"/>
      <c r="AV1565" s="479"/>
      <c r="AW1565" s="479"/>
      <c r="AX1565" s="442"/>
      <c r="AY1565" s="153"/>
      <c r="AZ1565" s="152"/>
      <c r="BA1565" s="152"/>
      <c r="BB1565" s="152"/>
      <c r="BC1565" s="152"/>
      <c r="BD1565" s="152"/>
      <c r="BE1565" s="152"/>
      <c r="BF1565" s="152"/>
      <c r="BG1565" s="152"/>
      <c r="BH1565" s="152"/>
      <c r="BI1565" s="153"/>
      <c r="BJ1565" s="153"/>
      <c r="BK1565" s="153"/>
      <c r="BL1565" s="153"/>
      <c r="BM1565" s="153"/>
      <c r="BN1565" s="153"/>
      <c r="BO1565" s="153"/>
      <c r="BP1565" s="153"/>
      <c r="BQ1565" s="153"/>
      <c r="BR1565" s="153"/>
      <c r="BS1565" s="153"/>
      <c r="BT1565" s="153"/>
      <c r="BU1565" s="153"/>
      <c r="BV1565" s="153"/>
      <c r="BW1565" s="153"/>
      <c r="BX1565" s="153"/>
      <c r="BY1565" s="153"/>
      <c r="BZ1565" s="153"/>
      <c r="CA1565" s="152"/>
      <c r="CB1565" s="152"/>
    </row>
    <row r="1566" spans="1:80" s="87" customFormat="1" x14ac:dyDescent="0.2">
      <c r="A1566" s="152"/>
      <c r="B1566" s="683"/>
      <c r="C1566" s="683"/>
      <c r="D1566" s="698"/>
      <c r="E1566" s="215"/>
      <c r="F1566" s="215"/>
      <c r="G1566" s="153"/>
      <c r="H1566" s="153"/>
      <c r="I1566" s="163">
        <v>11</v>
      </c>
      <c r="J1566" s="163">
        <v>360</v>
      </c>
      <c r="K1566" s="150">
        <v>1</v>
      </c>
      <c r="L1566" s="658">
        <v>66</v>
      </c>
      <c r="M1566" s="659">
        <v>33694</v>
      </c>
      <c r="N1566" s="598">
        <v>0.48138899999999996</v>
      </c>
      <c r="O1566" s="599">
        <v>2.5725000000000005E-4</v>
      </c>
      <c r="P1566" s="154"/>
      <c r="Q1566" s="93"/>
      <c r="R1566" s="93"/>
      <c r="S1566" s="93" t="s">
        <v>71</v>
      </c>
      <c r="T1566" s="93" t="s">
        <v>71</v>
      </c>
      <c r="U1566" s="93">
        <v>3.7</v>
      </c>
      <c r="V1566" s="497">
        <v>27.6</v>
      </c>
      <c r="W1566" s="497">
        <v>40.5</v>
      </c>
      <c r="X1566" s="497">
        <v>26.7</v>
      </c>
      <c r="Y1566" s="497">
        <v>1.5</v>
      </c>
      <c r="Z1566" s="93"/>
      <c r="AA1566" s="93"/>
      <c r="AB1566" s="95"/>
      <c r="AC1566" s="94"/>
      <c r="AD1566" s="223">
        <v>4.2671999999999999</v>
      </c>
      <c r="AE1566" s="223">
        <v>0.27127200000000001</v>
      </c>
      <c r="AF1566" s="223">
        <v>1.1519600000000001</v>
      </c>
      <c r="AG1566" s="223">
        <f>1.37*(0.3048)</f>
        <v>0.41757600000000006</v>
      </c>
      <c r="AH1566" s="341"/>
      <c r="AI1566" s="226"/>
      <c r="AJ1566" s="226"/>
      <c r="AK1566" s="227"/>
      <c r="AL1566" s="227"/>
      <c r="AM1566" s="152"/>
      <c r="AN1566" s="152"/>
      <c r="AO1566" s="152"/>
      <c r="AP1566" s="152"/>
      <c r="AQ1566" s="152"/>
      <c r="AR1566" s="152"/>
      <c r="AS1566" s="152"/>
      <c r="AT1566" s="152"/>
      <c r="AU1566" s="153"/>
      <c r="AV1566" s="479"/>
      <c r="AW1566" s="479"/>
      <c r="AX1566" s="442"/>
      <c r="AY1566" s="153"/>
      <c r="AZ1566" s="152"/>
      <c r="BA1566" s="152"/>
      <c r="BB1566" s="152"/>
      <c r="BC1566" s="152"/>
      <c r="BD1566" s="152"/>
      <c r="BE1566" s="152"/>
      <c r="BF1566" s="152"/>
      <c r="BG1566" s="152"/>
      <c r="BH1566" s="152"/>
      <c r="BI1566" s="153"/>
      <c r="BJ1566" s="153"/>
      <c r="BK1566" s="153"/>
      <c r="BL1566" s="153"/>
      <c r="BM1566" s="153"/>
      <c r="BN1566" s="153"/>
      <c r="BO1566" s="153"/>
      <c r="BP1566" s="153"/>
      <c r="BQ1566" s="153"/>
      <c r="BR1566" s="153"/>
      <c r="BS1566" s="153"/>
      <c r="BT1566" s="153"/>
      <c r="BU1566" s="153"/>
      <c r="BV1566" s="153"/>
      <c r="BW1566" s="153"/>
      <c r="BX1566" s="153"/>
      <c r="BY1566" s="153"/>
      <c r="BZ1566" s="153"/>
      <c r="CA1566" s="152"/>
      <c r="CB1566" s="152"/>
    </row>
    <row r="1567" spans="1:80" s="87" customFormat="1" x14ac:dyDescent="0.2">
      <c r="A1567" s="152"/>
      <c r="B1567" s="683"/>
      <c r="C1567" s="683"/>
      <c r="D1567" s="698"/>
      <c r="E1567" s="215"/>
      <c r="F1567" s="215"/>
      <c r="G1567" s="153"/>
      <c r="H1567" s="153"/>
      <c r="I1567" s="163">
        <v>10</v>
      </c>
      <c r="J1567" s="163">
        <v>240</v>
      </c>
      <c r="K1567" s="150">
        <v>1</v>
      </c>
      <c r="L1567" s="658">
        <v>40</v>
      </c>
      <c r="M1567" s="659">
        <v>33701</v>
      </c>
      <c r="N1567" s="598">
        <v>0.79287599999999991</v>
      </c>
      <c r="O1567" s="599">
        <v>8.2425000000000016E-3</v>
      </c>
      <c r="P1567" s="154"/>
      <c r="Q1567" s="93"/>
      <c r="R1567" s="93"/>
      <c r="S1567" s="93">
        <v>3.7</v>
      </c>
      <c r="T1567" s="93">
        <v>13.7</v>
      </c>
      <c r="U1567" s="93">
        <v>31.4</v>
      </c>
      <c r="V1567" s="497">
        <v>31.9</v>
      </c>
      <c r="W1567" s="497">
        <v>14.8</v>
      </c>
      <c r="X1567" s="497">
        <v>4.4000000000000004</v>
      </c>
      <c r="Y1567" s="497">
        <v>0.1</v>
      </c>
      <c r="Z1567" s="93"/>
      <c r="AA1567" s="93"/>
      <c r="AB1567" s="95"/>
      <c r="AC1567" s="94"/>
      <c r="AD1567" s="223">
        <v>5.8826400000000003</v>
      </c>
      <c r="AE1567" s="223">
        <v>0.39928800000000003</v>
      </c>
      <c r="AF1567" s="223">
        <v>2.3410799999999998</v>
      </c>
      <c r="AG1567" s="223">
        <f>1.12*(0.3048)</f>
        <v>0.34137600000000007</v>
      </c>
      <c r="AH1567" s="341"/>
      <c r="AI1567" s="226"/>
      <c r="AJ1567" s="226"/>
      <c r="AK1567" s="227"/>
      <c r="AL1567" s="227"/>
      <c r="AM1567" s="152"/>
      <c r="AN1567" s="152"/>
      <c r="AO1567" s="152"/>
      <c r="AP1567" s="152"/>
      <c r="AQ1567" s="152"/>
      <c r="AR1567" s="152"/>
      <c r="AS1567" s="152"/>
      <c r="AT1567" s="152"/>
      <c r="AU1567" s="153"/>
      <c r="AV1567" s="479"/>
      <c r="AW1567" s="479"/>
      <c r="AX1567" s="442"/>
      <c r="AY1567" s="153"/>
      <c r="AZ1567" s="152"/>
      <c r="BA1567" s="152"/>
      <c r="BB1567" s="152"/>
      <c r="BC1567" s="152"/>
      <c r="BD1567" s="152"/>
      <c r="BE1567" s="152"/>
      <c r="BF1567" s="152"/>
      <c r="BG1567" s="152"/>
      <c r="BH1567" s="152"/>
      <c r="BI1567" s="153"/>
      <c r="BJ1567" s="153"/>
      <c r="BK1567" s="153"/>
      <c r="BL1567" s="153"/>
      <c r="BM1567" s="153"/>
      <c r="BN1567" s="153"/>
      <c r="BO1567" s="153"/>
      <c r="BP1567" s="153"/>
      <c r="BQ1567" s="153"/>
      <c r="BR1567" s="153"/>
      <c r="BS1567" s="153"/>
      <c r="BT1567" s="153"/>
      <c r="BU1567" s="153"/>
      <c r="BV1567" s="153"/>
      <c r="BW1567" s="153"/>
      <c r="BX1567" s="153"/>
      <c r="BY1567" s="153"/>
      <c r="BZ1567" s="153"/>
      <c r="CA1567" s="152"/>
      <c r="CB1567" s="152"/>
    </row>
    <row r="1568" spans="1:80" s="87" customFormat="1" x14ac:dyDescent="0.2">
      <c r="A1568" s="152"/>
      <c r="B1568" s="683"/>
      <c r="C1568" s="683"/>
      <c r="D1568" s="698"/>
      <c r="E1568" s="215"/>
      <c r="F1568" s="215"/>
      <c r="G1568" s="153"/>
      <c r="H1568" s="153"/>
      <c r="I1568" s="163">
        <v>11</v>
      </c>
      <c r="J1568" s="163">
        <v>240</v>
      </c>
      <c r="K1568" s="150">
        <v>1</v>
      </c>
      <c r="L1568" s="658">
        <v>44</v>
      </c>
      <c r="M1568" s="659">
        <v>33708</v>
      </c>
      <c r="N1568" s="598">
        <v>1.5574349999999999</v>
      </c>
      <c r="O1568" s="599">
        <v>6.0899999999999999E-3</v>
      </c>
      <c r="P1568" s="154"/>
      <c r="Q1568" s="93"/>
      <c r="R1568" s="93"/>
      <c r="S1568" s="93">
        <v>1.5</v>
      </c>
      <c r="T1568" s="93">
        <v>11.1</v>
      </c>
      <c r="U1568" s="93">
        <v>26.8</v>
      </c>
      <c r="V1568" s="497">
        <v>33.5</v>
      </c>
      <c r="W1568" s="497">
        <v>19.2</v>
      </c>
      <c r="X1568" s="497">
        <v>7.8</v>
      </c>
      <c r="Y1568" s="497">
        <v>0.1</v>
      </c>
      <c r="Z1568" s="93"/>
      <c r="AA1568" s="93"/>
      <c r="AB1568" s="95"/>
      <c r="AC1568" s="94"/>
      <c r="AD1568" s="223"/>
      <c r="AE1568" s="223"/>
      <c r="AF1568" s="223"/>
      <c r="AG1568" s="223"/>
      <c r="AH1568" s="341"/>
      <c r="AI1568" s="226"/>
      <c r="AJ1568" s="226"/>
      <c r="AK1568" s="227"/>
      <c r="AL1568" s="227"/>
      <c r="AM1568" s="152"/>
      <c r="AN1568" s="152"/>
      <c r="AO1568" s="152"/>
      <c r="AP1568" s="152"/>
      <c r="AQ1568" s="152"/>
      <c r="AR1568" s="152"/>
      <c r="AS1568" s="152"/>
      <c r="AT1568" s="152"/>
      <c r="AU1568" s="153"/>
      <c r="AV1568" s="479"/>
      <c r="AW1568" s="479"/>
      <c r="AX1568" s="442"/>
      <c r="AY1568" s="153"/>
      <c r="AZ1568" s="152"/>
      <c r="BA1568" s="152"/>
      <c r="BB1568" s="152"/>
      <c r="BC1568" s="152"/>
      <c r="BD1568" s="152"/>
      <c r="BE1568" s="152"/>
      <c r="BF1568" s="152"/>
      <c r="BG1568" s="152"/>
      <c r="BH1568" s="152"/>
      <c r="BI1568" s="153"/>
      <c r="BJ1568" s="153"/>
      <c r="BK1568" s="153"/>
      <c r="BL1568" s="153"/>
      <c r="BM1568" s="153"/>
      <c r="BN1568" s="153"/>
      <c r="BO1568" s="153"/>
      <c r="BP1568" s="153"/>
      <c r="BQ1568" s="153"/>
      <c r="BR1568" s="153"/>
      <c r="BS1568" s="153"/>
      <c r="BT1568" s="153"/>
      <c r="BU1568" s="153"/>
      <c r="BV1568" s="153"/>
      <c r="BW1568" s="153"/>
      <c r="BX1568" s="153"/>
      <c r="BY1568" s="153"/>
      <c r="BZ1568" s="153"/>
      <c r="CA1568" s="152"/>
      <c r="CB1568" s="152"/>
    </row>
    <row r="1569" spans="1:80" s="87" customFormat="1" x14ac:dyDescent="0.2">
      <c r="A1569" s="152"/>
      <c r="B1569" s="683"/>
      <c r="C1569" s="683"/>
      <c r="D1569" s="698"/>
      <c r="E1569" s="215"/>
      <c r="F1569" s="215"/>
      <c r="G1569" s="153"/>
      <c r="H1569" s="153"/>
      <c r="I1569" s="163">
        <v>10</v>
      </c>
      <c r="J1569" s="163">
        <v>240</v>
      </c>
      <c r="K1569" s="150">
        <v>1</v>
      </c>
      <c r="L1569" s="658">
        <v>40</v>
      </c>
      <c r="M1569" s="659">
        <v>33714</v>
      </c>
      <c r="N1569" s="598">
        <v>1.7273369999999999</v>
      </c>
      <c r="O1569" s="599">
        <v>9.408000000000001E-4</v>
      </c>
      <c r="P1569" s="154"/>
      <c r="Q1569" s="93"/>
      <c r="R1569" s="93"/>
      <c r="S1569" s="93" t="s">
        <v>71</v>
      </c>
      <c r="T1569" s="93">
        <v>5.4</v>
      </c>
      <c r="U1569" s="93">
        <v>10.9</v>
      </c>
      <c r="V1569" s="497">
        <v>31.1</v>
      </c>
      <c r="W1569" s="497">
        <v>36.4</v>
      </c>
      <c r="X1569" s="497">
        <v>15.1</v>
      </c>
      <c r="Y1569" s="497">
        <v>1</v>
      </c>
      <c r="Z1569" s="93"/>
      <c r="AA1569" s="93"/>
      <c r="AB1569" s="95"/>
      <c r="AC1569" s="94"/>
      <c r="AD1569" s="223"/>
      <c r="AE1569" s="223"/>
      <c r="AF1569" s="223"/>
      <c r="AG1569" s="223"/>
      <c r="AH1569" s="341"/>
      <c r="AI1569" s="226"/>
      <c r="AJ1569" s="226"/>
      <c r="AK1569" s="227"/>
      <c r="AL1569" s="227"/>
      <c r="AM1569" s="152"/>
      <c r="AN1569" s="152"/>
      <c r="AO1569" s="152"/>
      <c r="AP1569" s="152"/>
      <c r="AQ1569" s="152"/>
      <c r="AR1569" s="152"/>
      <c r="AS1569" s="152"/>
      <c r="AT1569" s="152"/>
      <c r="AU1569" s="153"/>
      <c r="AV1569" s="479"/>
      <c r="AW1569" s="479"/>
      <c r="AX1569" s="442"/>
      <c r="AY1569" s="153"/>
      <c r="AZ1569" s="152"/>
      <c r="BA1569" s="152"/>
      <c r="BB1569" s="152"/>
      <c r="BC1569" s="152"/>
      <c r="BD1569" s="152"/>
      <c r="BE1569" s="152"/>
      <c r="BF1569" s="152"/>
      <c r="BG1569" s="152"/>
      <c r="BH1569" s="152"/>
      <c r="BI1569" s="153"/>
      <c r="BJ1569" s="153"/>
      <c r="BK1569" s="153"/>
      <c r="BL1569" s="153"/>
      <c r="BM1569" s="153"/>
      <c r="BN1569" s="153"/>
      <c r="BO1569" s="153"/>
      <c r="BP1569" s="153"/>
      <c r="BQ1569" s="153"/>
      <c r="BR1569" s="153"/>
      <c r="BS1569" s="153"/>
      <c r="BT1569" s="153"/>
      <c r="BU1569" s="153"/>
      <c r="BV1569" s="153"/>
      <c r="BW1569" s="153"/>
      <c r="BX1569" s="153"/>
      <c r="BY1569" s="153"/>
      <c r="BZ1569" s="153"/>
      <c r="CA1569" s="152"/>
      <c r="CB1569" s="152"/>
    </row>
    <row r="1570" spans="1:80" s="87" customFormat="1" x14ac:dyDescent="0.2">
      <c r="A1570" s="152"/>
      <c r="B1570" s="683"/>
      <c r="C1570" s="683"/>
      <c r="D1570" s="698"/>
      <c r="E1570" s="215"/>
      <c r="F1570" s="215"/>
      <c r="G1570" s="153"/>
      <c r="H1570" s="153"/>
      <c r="I1570" s="163">
        <v>10</v>
      </c>
      <c r="J1570" s="163">
        <v>240</v>
      </c>
      <c r="K1570" s="150">
        <v>1</v>
      </c>
      <c r="L1570" s="658">
        <v>40</v>
      </c>
      <c r="M1570" s="659">
        <v>33716</v>
      </c>
      <c r="N1570" s="598">
        <v>1.6707029999999998</v>
      </c>
      <c r="O1570" s="599">
        <v>3.4755000000000003E-3</v>
      </c>
      <c r="P1570" s="154"/>
      <c r="Q1570" s="93"/>
      <c r="R1570" s="93"/>
      <c r="S1570" s="93" t="s">
        <v>71</v>
      </c>
      <c r="T1570" s="93">
        <v>2.9</v>
      </c>
      <c r="U1570" s="93">
        <v>14.9</v>
      </c>
      <c r="V1570" s="497">
        <v>40</v>
      </c>
      <c r="W1570" s="497">
        <v>33.1</v>
      </c>
      <c r="X1570" s="497">
        <v>8.6</v>
      </c>
      <c r="Y1570" s="497">
        <v>0.5</v>
      </c>
      <c r="Z1570" s="93"/>
      <c r="AA1570" s="93"/>
      <c r="AB1570" s="95"/>
      <c r="AC1570" s="94"/>
      <c r="AD1570" s="223"/>
      <c r="AE1570" s="223"/>
      <c r="AF1570" s="223"/>
      <c r="AG1570" s="223"/>
      <c r="AH1570" s="341"/>
      <c r="AI1570" s="226"/>
      <c r="AJ1570" s="226"/>
      <c r="AK1570" s="227"/>
      <c r="AL1570" s="227"/>
      <c r="AM1570" s="152"/>
      <c r="AN1570" s="152"/>
      <c r="AO1570" s="152"/>
      <c r="AP1570" s="152"/>
      <c r="AQ1570" s="152"/>
      <c r="AR1570" s="152"/>
      <c r="AS1570" s="152"/>
      <c r="AT1570" s="152"/>
      <c r="AU1570" s="153"/>
      <c r="AV1570" s="479"/>
      <c r="AW1570" s="479"/>
      <c r="AX1570" s="442"/>
      <c r="AY1570" s="153"/>
      <c r="AZ1570" s="152"/>
      <c r="BA1570" s="152"/>
      <c r="BB1570" s="152"/>
      <c r="BC1570" s="152"/>
      <c r="BD1570" s="152"/>
      <c r="BE1570" s="152"/>
      <c r="BF1570" s="152"/>
      <c r="BG1570" s="152"/>
      <c r="BH1570" s="152"/>
      <c r="BI1570" s="153"/>
      <c r="BJ1570" s="153"/>
      <c r="BK1570" s="153"/>
      <c r="BL1570" s="153"/>
      <c r="BM1570" s="153"/>
      <c r="BN1570" s="153"/>
      <c r="BO1570" s="153"/>
      <c r="BP1570" s="153"/>
      <c r="BQ1570" s="153"/>
      <c r="BR1570" s="153"/>
      <c r="BS1570" s="153"/>
      <c r="BT1570" s="153"/>
      <c r="BU1570" s="153"/>
      <c r="BV1570" s="153"/>
      <c r="BW1570" s="153"/>
      <c r="BX1570" s="153"/>
      <c r="BY1570" s="153"/>
      <c r="BZ1570" s="153"/>
      <c r="CA1570" s="152"/>
      <c r="CB1570" s="152"/>
    </row>
    <row r="1571" spans="1:80" s="87" customFormat="1" x14ac:dyDescent="0.2">
      <c r="A1571" s="152"/>
      <c r="B1571" s="683"/>
      <c r="C1571" s="683"/>
      <c r="D1571" s="698"/>
      <c r="E1571" s="215"/>
      <c r="F1571" s="215"/>
      <c r="G1571" s="153"/>
      <c r="H1571" s="153"/>
      <c r="I1571" s="163">
        <v>10</v>
      </c>
      <c r="J1571" s="163">
        <v>240</v>
      </c>
      <c r="K1571" s="150">
        <v>1</v>
      </c>
      <c r="L1571" s="658">
        <v>40</v>
      </c>
      <c r="M1571" s="659">
        <v>33721</v>
      </c>
      <c r="N1571" s="598">
        <v>1.783971</v>
      </c>
      <c r="O1571" s="599">
        <v>2.7510000000000004E-3</v>
      </c>
      <c r="P1571" s="154"/>
      <c r="Q1571" s="93"/>
      <c r="R1571" s="93" t="s">
        <v>71</v>
      </c>
      <c r="S1571" s="93" t="s">
        <v>71</v>
      </c>
      <c r="T1571" s="93" t="s">
        <v>71</v>
      </c>
      <c r="U1571" s="93">
        <v>6.6</v>
      </c>
      <c r="V1571" s="497">
        <v>29</v>
      </c>
      <c r="W1571" s="497">
        <v>41.9</v>
      </c>
      <c r="X1571" s="497">
        <v>21.2</v>
      </c>
      <c r="Y1571" s="497">
        <v>1.3</v>
      </c>
      <c r="Z1571" s="93"/>
      <c r="AA1571" s="93"/>
      <c r="AB1571" s="95"/>
      <c r="AC1571" s="94"/>
      <c r="AD1571" s="223"/>
      <c r="AE1571" s="223"/>
      <c r="AF1571" s="223"/>
      <c r="AG1571" s="223"/>
      <c r="AH1571" s="341"/>
      <c r="AI1571" s="226"/>
      <c r="AJ1571" s="226"/>
      <c r="AK1571" s="227"/>
      <c r="AL1571" s="227"/>
      <c r="AM1571" s="152"/>
      <c r="AN1571" s="152"/>
      <c r="AO1571" s="152"/>
      <c r="AP1571" s="152"/>
      <c r="AQ1571" s="152"/>
      <c r="AR1571" s="152"/>
      <c r="AS1571" s="152"/>
      <c r="AT1571" s="152"/>
      <c r="AU1571" s="153"/>
      <c r="AV1571" s="479"/>
      <c r="AW1571" s="479"/>
      <c r="AX1571" s="442"/>
      <c r="AY1571" s="153"/>
      <c r="AZ1571" s="152"/>
      <c r="BA1571" s="152"/>
      <c r="BB1571" s="152"/>
      <c r="BC1571" s="152"/>
      <c r="BD1571" s="152"/>
      <c r="BE1571" s="152"/>
      <c r="BF1571" s="152"/>
      <c r="BG1571" s="152"/>
      <c r="BH1571" s="152"/>
      <c r="BI1571" s="153"/>
      <c r="BJ1571" s="153"/>
      <c r="BK1571" s="153"/>
      <c r="BL1571" s="153"/>
      <c r="BM1571" s="153"/>
      <c r="BN1571" s="153"/>
      <c r="BO1571" s="153"/>
      <c r="BP1571" s="153"/>
      <c r="BQ1571" s="153"/>
      <c r="BR1571" s="153"/>
      <c r="BS1571" s="153"/>
      <c r="BT1571" s="153"/>
      <c r="BU1571" s="153"/>
      <c r="BV1571" s="153"/>
      <c r="BW1571" s="153"/>
      <c r="BX1571" s="153"/>
      <c r="BY1571" s="153"/>
      <c r="BZ1571" s="153"/>
      <c r="CA1571" s="152"/>
      <c r="CB1571" s="152"/>
    </row>
    <row r="1572" spans="1:80" s="87" customFormat="1" x14ac:dyDescent="0.2">
      <c r="A1572" s="152"/>
      <c r="B1572" s="683"/>
      <c r="C1572" s="683"/>
      <c r="D1572" s="698"/>
      <c r="E1572" s="215"/>
      <c r="F1572" s="215"/>
      <c r="G1572" s="153"/>
      <c r="H1572" s="153"/>
      <c r="I1572" s="163">
        <v>10</v>
      </c>
      <c r="J1572" s="163">
        <v>180</v>
      </c>
      <c r="K1572" s="150">
        <v>1</v>
      </c>
      <c r="L1572" s="658">
        <v>30</v>
      </c>
      <c r="M1572" s="659">
        <v>33722</v>
      </c>
      <c r="N1572" s="598">
        <v>2.010507</v>
      </c>
      <c r="O1572" s="599">
        <v>1.5645000000000001E-3</v>
      </c>
      <c r="P1572" s="154"/>
      <c r="Q1572" s="93"/>
      <c r="R1572" s="93" t="s">
        <v>71</v>
      </c>
      <c r="S1572" s="93" t="s">
        <v>71</v>
      </c>
      <c r="T1572" s="93">
        <v>2</v>
      </c>
      <c r="U1572" s="93">
        <v>15</v>
      </c>
      <c r="V1572" s="497">
        <v>27.3</v>
      </c>
      <c r="W1572" s="497">
        <v>34.299999999999997</v>
      </c>
      <c r="X1572" s="497">
        <v>19.600000000000001</v>
      </c>
      <c r="Y1572" s="497">
        <v>1.8</v>
      </c>
      <c r="Z1572" s="93"/>
      <c r="AA1572" s="93"/>
      <c r="AB1572" s="95"/>
      <c r="AC1572" s="94"/>
      <c r="AD1572" s="223"/>
      <c r="AE1572" s="223"/>
      <c r="AF1572" s="223"/>
      <c r="AG1572" s="223"/>
      <c r="AH1572" s="341"/>
      <c r="AI1572" s="226"/>
      <c r="AJ1572" s="226"/>
      <c r="AK1572" s="227"/>
      <c r="AL1572" s="227"/>
      <c r="AM1572" s="152"/>
      <c r="AN1572" s="152"/>
      <c r="AO1572" s="152"/>
      <c r="AP1572" s="152"/>
      <c r="AQ1572" s="152"/>
      <c r="AR1572" s="152"/>
      <c r="AS1572" s="152"/>
      <c r="AT1572" s="152"/>
      <c r="AU1572" s="153"/>
      <c r="AV1572" s="479"/>
      <c r="AW1572" s="479"/>
      <c r="AX1572" s="442"/>
      <c r="AY1572" s="153"/>
      <c r="AZ1572" s="152"/>
      <c r="BA1572" s="152"/>
      <c r="BB1572" s="152"/>
      <c r="BC1572" s="152"/>
      <c r="BD1572" s="152"/>
      <c r="BE1572" s="152"/>
      <c r="BF1572" s="152"/>
      <c r="BG1572" s="152"/>
      <c r="BH1572" s="152"/>
      <c r="BI1572" s="153"/>
      <c r="BJ1572" s="153"/>
      <c r="BK1572" s="153"/>
      <c r="BL1572" s="153"/>
      <c r="BM1572" s="153"/>
      <c r="BN1572" s="153"/>
      <c r="BO1572" s="153"/>
      <c r="BP1572" s="153"/>
      <c r="BQ1572" s="153"/>
      <c r="BR1572" s="153"/>
      <c r="BS1572" s="153"/>
      <c r="BT1572" s="153"/>
      <c r="BU1572" s="153"/>
      <c r="BV1572" s="153"/>
      <c r="BW1572" s="153"/>
      <c r="BX1572" s="153"/>
      <c r="BY1572" s="153"/>
      <c r="BZ1572" s="153"/>
      <c r="CA1572" s="152"/>
      <c r="CB1572" s="152"/>
    </row>
    <row r="1573" spans="1:80" s="87" customFormat="1" x14ac:dyDescent="0.2">
      <c r="A1573" s="152"/>
      <c r="B1573" s="683"/>
      <c r="C1573" s="683"/>
      <c r="D1573" s="698"/>
      <c r="E1573" s="215"/>
      <c r="F1573" s="215"/>
      <c r="G1573" s="153"/>
      <c r="H1573" s="153"/>
      <c r="I1573" s="163">
        <v>10</v>
      </c>
      <c r="J1573" s="163">
        <v>120</v>
      </c>
      <c r="K1573" s="150">
        <v>1</v>
      </c>
      <c r="L1573" s="658">
        <v>20</v>
      </c>
      <c r="M1573" s="659">
        <v>33728</v>
      </c>
      <c r="N1573" s="598">
        <v>2.4352619999999998</v>
      </c>
      <c r="O1573" s="599">
        <v>7.3920000000000001E-3</v>
      </c>
      <c r="P1573" s="154"/>
      <c r="Q1573" s="93"/>
      <c r="R1573" s="93" t="s">
        <v>71</v>
      </c>
      <c r="S1573" s="93" t="s">
        <v>71</v>
      </c>
      <c r="T1573" s="93">
        <v>1.6</v>
      </c>
      <c r="U1573" s="93">
        <v>23.5</v>
      </c>
      <c r="V1573" s="497">
        <v>38.6</v>
      </c>
      <c r="W1573" s="497">
        <v>25.8</v>
      </c>
      <c r="X1573" s="497">
        <v>10.1</v>
      </c>
      <c r="Y1573" s="497">
        <v>0.5</v>
      </c>
      <c r="Z1573" s="93"/>
      <c r="AA1573" s="93"/>
      <c r="AB1573" s="95"/>
      <c r="AC1573" s="94"/>
      <c r="AD1573" s="223"/>
      <c r="AE1573" s="223"/>
      <c r="AF1573" s="223"/>
      <c r="AG1573" s="223"/>
      <c r="AH1573" s="341"/>
      <c r="AI1573" s="226"/>
      <c r="AJ1573" s="226"/>
      <c r="AK1573" s="227"/>
      <c r="AL1573" s="227"/>
      <c r="AM1573" s="152"/>
      <c r="AN1573" s="152"/>
      <c r="AO1573" s="152"/>
      <c r="AP1573" s="152"/>
      <c r="AQ1573" s="152"/>
      <c r="AR1573" s="152"/>
      <c r="AS1573" s="152"/>
      <c r="AT1573" s="152"/>
      <c r="AU1573" s="153"/>
      <c r="AV1573" s="479"/>
      <c r="AW1573" s="479"/>
      <c r="AX1573" s="442"/>
      <c r="AY1573" s="153"/>
      <c r="AZ1573" s="152"/>
      <c r="BA1573" s="152"/>
      <c r="BB1573" s="152"/>
      <c r="BC1573" s="152"/>
      <c r="BD1573" s="152"/>
      <c r="BE1573" s="152"/>
      <c r="BF1573" s="152"/>
      <c r="BG1573" s="152"/>
      <c r="BH1573" s="152"/>
      <c r="BI1573" s="153"/>
      <c r="BJ1573" s="153"/>
      <c r="BK1573" s="153"/>
      <c r="BL1573" s="153"/>
      <c r="BM1573" s="153"/>
      <c r="BN1573" s="153"/>
      <c r="BO1573" s="153"/>
      <c r="BP1573" s="153"/>
      <c r="BQ1573" s="153"/>
      <c r="BR1573" s="153"/>
      <c r="BS1573" s="153"/>
      <c r="BT1573" s="153"/>
      <c r="BU1573" s="153"/>
      <c r="BV1573" s="153"/>
      <c r="BW1573" s="153"/>
      <c r="BX1573" s="153"/>
      <c r="BY1573" s="153"/>
      <c r="BZ1573" s="153"/>
      <c r="CA1573" s="152"/>
      <c r="CB1573" s="152"/>
    </row>
    <row r="1574" spans="1:80" s="87" customFormat="1" x14ac:dyDescent="0.2">
      <c r="A1574" s="152"/>
      <c r="B1574" s="683"/>
      <c r="C1574" s="683"/>
      <c r="D1574" s="698"/>
      <c r="E1574" s="215"/>
      <c r="F1574" s="215"/>
      <c r="G1574" s="153"/>
      <c r="H1574" s="153"/>
      <c r="I1574" s="163">
        <v>11</v>
      </c>
      <c r="J1574" s="163">
        <v>120</v>
      </c>
      <c r="K1574" s="150">
        <v>1</v>
      </c>
      <c r="L1574" s="658">
        <v>22</v>
      </c>
      <c r="M1574" s="659">
        <v>33730</v>
      </c>
      <c r="N1574" s="598">
        <v>3.3130889999999997</v>
      </c>
      <c r="O1574" s="599">
        <v>1.0605000000000002E-2</v>
      </c>
      <c r="P1574" s="154"/>
      <c r="Q1574" s="93"/>
      <c r="R1574" s="93" t="s">
        <v>71</v>
      </c>
      <c r="S1574" s="93" t="s">
        <v>71</v>
      </c>
      <c r="T1574" s="93">
        <v>5.5</v>
      </c>
      <c r="U1574" s="93">
        <v>20.2</v>
      </c>
      <c r="V1574" s="497">
        <v>37.200000000000003</v>
      </c>
      <c r="W1574" s="497">
        <v>26.9</v>
      </c>
      <c r="X1574" s="497">
        <v>9.5</v>
      </c>
      <c r="Y1574" s="497">
        <v>0.7</v>
      </c>
      <c r="Z1574" s="93"/>
      <c r="AA1574" s="93"/>
      <c r="AB1574" s="95"/>
      <c r="AC1574" s="94"/>
      <c r="AD1574" s="223"/>
      <c r="AE1574" s="223"/>
      <c r="AF1574" s="223"/>
      <c r="AG1574" s="223"/>
      <c r="AH1574" s="341"/>
      <c r="AI1574" s="226"/>
      <c r="AJ1574" s="226"/>
      <c r="AK1574" s="227"/>
      <c r="AL1574" s="227"/>
      <c r="AM1574" s="152"/>
      <c r="AN1574" s="152"/>
      <c r="AO1574" s="152"/>
      <c r="AP1574" s="152"/>
      <c r="AQ1574" s="152"/>
      <c r="AR1574" s="152"/>
      <c r="AS1574" s="152"/>
      <c r="AT1574" s="152"/>
      <c r="AU1574" s="153"/>
      <c r="AV1574" s="479"/>
      <c r="AW1574" s="479"/>
      <c r="AX1574" s="442"/>
      <c r="AY1574" s="153"/>
      <c r="AZ1574" s="152"/>
      <c r="BA1574" s="152"/>
      <c r="BB1574" s="152"/>
      <c r="BC1574" s="152"/>
      <c r="BD1574" s="152"/>
      <c r="BE1574" s="152"/>
      <c r="BF1574" s="152"/>
      <c r="BG1574" s="152"/>
      <c r="BH1574" s="152"/>
      <c r="BI1574" s="153"/>
      <c r="BJ1574" s="153"/>
      <c r="BK1574" s="153"/>
      <c r="BL1574" s="153"/>
      <c r="BM1574" s="153"/>
      <c r="BN1574" s="153"/>
      <c r="BO1574" s="153"/>
      <c r="BP1574" s="153"/>
      <c r="BQ1574" s="153"/>
      <c r="BR1574" s="153"/>
      <c r="BS1574" s="153"/>
      <c r="BT1574" s="153"/>
      <c r="BU1574" s="153"/>
      <c r="BV1574" s="153"/>
      <c r="BW1574" s="153"/>
      <c r="BX1574" s="153"/>
      <c r="BY1574" s="153"/>
      <c r="BZ1574" s="153"/>
      <c r="CA1574" s="152"/>
      <c r="CB1574" s="152"/>
    </row>
    <row r="1575" spans="1:80" s="87" customFormat="1" x14ac:dyDescent="0.2">
      <c r="A1575" s="152"/>
      <c r="B1575" s="683"/>
      <c r="C1575" s="683"/>
      <c r="D1575" s="698"/>
      <c r="E1575" s="215"/>
      <c r="F1575" s="215"/>
      <c r="G1575" s="153"/>
      <c r="H1575" s="153"/>
      <c r="I1575" s="163">
        <v>10</v>
      </c>
      <c r="J1575" s="163">
        <v>240</v>
      </c>
      <c r="K1575" s="150">
        <v>1</v>
      </c>
      <c r="L1575" s="658">
        <v>40</v>
      </c>
      <c r="M1575" s="659">
        <v>33735</v>
      </c>
      <c r="N1575" s="598">
        <v>2.4352619999999998</v>
      </c>
      <c r="O1575" s="599">
        <v>1.9845000000000002E-2</v>
      </c>
      <c r="P1575" s="154"/>
      <c r="Q1575" s="93"/>
      <c r="R1575" s="93">
        <v>6.1</v>
      </c>
      <c r="S1575" s="93">
        <v>7.3</v>
      </c>
      <c r="T1575" s="93">
        <v>9.4</v>
      </c>
      <c r="U1575" s="93">
        <v>20.5</v>
      </c>
      <c r="V1575" s="497">
        <v>31.2</v>
      </c>
      <c r="W1575" s="497">
        <v>19</v>
      </c>
      <c r="X1575" s="497">
        <v>6.3</v>
      </c>
      <c r="Y1575" s="497">
        <v>0.2</v>
      </c>
      <c r="Z1575" s="93"/>
      <c r="AA1575" s="93"/>
      <c r="AB1575" s="95"/>
      <c r="AC1575" s="94"/>
      <c r="AD1575" s="223"/>
      <c r="AE1575" s="223"/>
      <c r="AF1575" s="223"/>
      <c r="AG1575" s="223"/>
      <c r="AH1575" s="341"/>
      <c r="AI1575" s="226"/>
      <c r="AJ1575" s="226"/>
      <c r="AK1575" s="227"/>
      <c r="AL1575" s="227"/>
      <c r="AM1575" s="152"/>
      <c r="AN1575" s="152"/>
      <c r="AO1575" s="152"/>
      <c r="AP1575" s="152"/>
      <c r="AQ1575" s="152"/>
      <c r="AR1575" s="152"/>
      <c r="AS1575" s="152"/>
      <c r="AT1575" s="152"/>
      <c r="AU1575" s="153"/>
      <c r="AV1575" s="479"/>
      <c r="AW1575" s="479"/>
      <c r="AX1575" s="442"/>
      <c r="AY1575" s="153"/>
      <c r="AZ1575" s="152"/>
      <c r="BA1575" s="152"/>
      <c r="BB1575" s="152"/>
      <c r="BC1575" s="152"/>
      <c r="BD1575" s="152"/>
      <c r="BE1575" s="152"/>
      <c r="BF1575" s="152"/>
      <c r="BG1575" s="152"/>
      <c r="BH1575" s="152"/>
      <c r="BI1575" s="153"/>
      <c r="BJ1575" s="153"/>
      <c r="BK1575" s="153"/>
      <c r="BL1575" s="153"/>
      <c r="BM1575" s="153"/>
      <c r="BN1575" s="153"/>
      <c r="BO1575" s="153"/>
      <c r="BP1575" s="153"/>
      <c r="BQ1575" s="153"/>
      <c r="BR1575" s="153"/>
      <c r="BS1575" s="153"/>
      <c r="BT1575" s="153"/>
      <c r="BU1575" s="153"/>
      <c r="BV1575" s="153"/>
      <c r="BW1575" s="153"/>
      <c r="BX1575" s="153"/>
      <c r="BY1575" s="153"/>
      <c r="BZ1575" s="153"/>
      <c r="CA1575" s="152"/>
      <c r="CB1575" s="152"/>
    </row>
    <row r="1576" spans="1:80" s="87" customFormat="1" x14ac:dyDescent="0.2">
      <c r="A1576" s="152"/>
      <c r="B1576" s="683"/>
      <c r="C1576" s="683"/>
      <c r="D1576" s="698"/>
      <c r="E1576" s="215"/>
      <c r="F1576" s="215"/>
      <c r="G1576" s="153"/>
      <c r="H1576" s="153"/>
      <c r="I1576" s="163">
        <v>10</v>
      </c>
      <c r="J1576" s="163">
        <v>240</v>
      </c>
      <c r="K1576" s="150">
        <v>1</v>
      </c>
      <c r="L1576" s="658">
        <v>40</v>
      </c>
      <c r="M1576" s="659">
        <v>33736</v>
      </c>
      <c r="N1576" s="598">
        <v>2.350311</v>
      </c>
      <c r="O1576" s="599">
        <v>1.8585000000000001E-3</v>
      </c>
      <c r="P1576" s="154"/>
      <c r="Q1576" s="93"/>
      <c r="R1576" s="93" t="s">
        <v>71</v>
      </c>
      <c r="S1576" s="93" t="s">
        <v>71</v>
      </c>
      <c r="T1576" s="93" t="s">
        <v>71</v>
      </c>
      <c r="U1576" s="93"/>
      <c r="V1576" s="497">
        <v>36.5</v>
      </c>
      <c r="W1576" s="497">
        <v>44.5</v>
      </c>
      <c r="X1576" s="497">
        <v>17.3</v>
      </c>
      <c r="Y1576" s="497">
        <v>1.6</v>
      </c>
      <c r="Z1576" s="93"/>
      <c r="AA1576" s="93"/>
      <c r="AB1576" s="95"/>
      <c r="AC1576" s="94"/>
      <c r="AD1576" s="223"/>
      <c r="AE1576" s="223"/>
      <c r="AF1576" s="223"/>
      <c r="AG1576" s="223"/>
      <c r="AH1576" s="341"/>
      <c r="AI1576" s="226"/>
      <c r="AJ1576" s="226"/>
      <c r="AK1576" s="227"/>
      <c r="AL1576" s="227"/>
      <c r="AM1576" s="152"/>
      <c r="AN1576" s="152"/>
      <c r="AO1576" s="152"/>
      <c r="AP1576" s="152"/>
      <c r="AQ1576" s="152"/>
      <c r="AR1576" s="152"/>
      <c r="AS1576" s="152"/>
      <c r="AT1576" s="152"/>
      <c r="AU1576" s="153"/>
      <c r="AV1576" s="479"/>
      <c r="AW1576" s="479"/>
      <c r="AX1576" s="442"/>
      <c r="AY1576" s="153"/>
      <c r="AZ1576" s="152"/>
      <c r="BA1576" s="152"/>
      <c r="BB1576" s="152"/>
      <c r="BC1576" s="152"/>
      <c r="BD1576" s="152"/>
      <c r="BE1576" s="152"/>
      <c r="BF1576" s="152"/>
      <c r="BG1576" s="152"/>
      <c r="BH1576" s="152"/>
      <c r="BI1576" s="153"/>
      <c r="BJ1576" s="153"/>
      <c r="BK1576" s="153"/>
      <c r="BL1576" s="153"/>
      <c r="BM1576" s="153"/>
      <c r="BN1576" s="153"/>
      <c r="BO1576" s="153"/>
      <c r="BP1576" s="153"/>
      <c r="BQ1576" s="153"/>
      <c r="BR1576" s="153"/>
      <c r="BS1576" s="153"/>
      <c r="BT1576" s="153"/>
      <c r="BU1576" s="153"/>
      <c r="BV1576" s="153"/>
      <c r="BW1576" s="153"/>
      <c r="BX1576" s="153"/>
      <c r="BY1576" s="153"/>
      <c r="BZ1576" s="153"/>
      <c r="CA1576" s="152"/>
      <c r="CB1576" s="152"/>
    </row>
    <row r="1577" spans="1:80" s="87" customFormat="1" x14ac:dyDescent="0.2">
      <c r="A1577" s="152"/>
      <c r="B1577" s="683"/>
      <c r="C1577" s="683"/>
      <c r="D1577" s="698"/>
      <c r="E1577" s="215"/>
      <c r="F1577" s="215"/>
      <c r="G1577" s="153"/>
      <c r="H1577" s="153"/>
      <c r="I1577" s="163">
        <v>10</v>
      </c>
      <c r="J1577" s="163">
        <v>240</v>
      </c>
      <c r="K1577" s="150">
        <v>1</v>
      </c>
      <c r="L1577" s="658">
        <v>40</v>
      </c>
      <c r="M1577" s="659">
        <v>33737</v>
      </c>
      <c r="N1577" s="598">
        <v>2.0671409999999999</v>
      </c>
      <c r="O1577" s="599">
        <v>5.817000000000001E-3</v>
      </c>
      <c r="P1577" s="154"/>
      <c r="Q1577" s="93"/>
      <c r="R1577" s="93" t="s">
        <v>71</v>
      </c>
      <c r="S1577" s="93" t="s">
        <v>71</v>
      </c>
      <c r="T1577" s="93">
        <v>2.4</v>
      </c>
      <c r="U1577" s="93">
        <v>21.9</v>
      </c>
      <c r="V1577" s="497">
        <v>40.9</v>
      </c>
      <c r="W1577" s="497">
        <v>24.2</v>
      </c>
      <c r="X1577" s="497">
        <v>10.199999999999999</v>
      </c>
      <c r="Y1577" s="497">
        <v>0.4</v>
      </c>
      <c r="Z1577" s="93"/>
      <c r="AA1577" s="93"/>
      <c r="AB1577" s="95"/>
      <c r="AC1577" s="94"/>
      <c r="AD1577" s="223">
        <v>5.4102000000000006</v>
      </c>
      <c r="AE1577" s="223">
        <v>0.51206399999999996</v>
      </c>
      <c r="AF1577" s="223">
        <v>2.7777099999999999</v>
      </c>
      <c r="AG1577" s="223">
        <f>2.3*(0.3048)</f>
        <v>0.70104</v>
      </c>
      <c r="AH1577" s="341"/>
      <c r="AI1577" s="226"/>
      <c r="AJ1577" s="226"/>
      <c r="AK1577" s="227"/>
      <c r="AL1577" s="227"/>
      <c r="AM1577" s="152"/>
      <c r="AN1577" s="152"/>
      <c r="AO1577" s="152"/>
      <c r="AP1577" s="152"/>
      <c r="AQ1577" s="152"/>
      <c r="AR1577" s="152"/>
      <c r="AS1577" s="152"/>
      <c r="AT1577" s="152"/>
      <c r="AU1577" s="153"/>
      <c r="AV1577" s="479"/>
      <c r="AW1577" s="479"/>
      <c r="AX1577" s="442"/>
      <c r="AY1577" s="153"/>
      <c r="AZ1577" s="152"/>
      <c r="BA1577" s="152"/>
      <c r="BB1577" s="152"/>
      <c r="BC1577" s="152"/>
      <c r="BD1577" s="152"/>
      <c r="BE1577" s="152"/>
      <c r="BF1577" s="152"/>
      <c r="BG1577" s="152"/>
      <c r="BH1577" s="152"/>
      <c r="BI1577" s="153"/>
      <c r="BJ1577" s="153"/>
      <c r="BK1577" s="153"/>
      <c r="BL1577" s="153"/>
      <c r="BM1577" s="153"/>
      <c r="BN1577" s="153"/>
      <c r="BO1577" s="153"/>
      <c r="BP1577" s="153"/>
      <c r="BQ1577" s="153"/>
      <c r="BR1577" s="153"/>
      <c r="BS1577" s="153"/>
      <c r="BT1577" s="153"/>
      <c r="BU1577" s="153"/>
      <c r="BV1577" s="153"/>
      <c r="BW1577" s="153"/>
      <c r="BX1577" s="153"/>
      <c r="BY1577" s="153"/>
      <c r="BZ1577" s="153"/>
      <c r="CA1577" s="152"/>
      <c r="CB1577" s="152"/>
    </row>
    <row r="1578" spans="1:80" s="87" customFormat="1" x14ac:dyDescent="0.2">
      <c r="A1578" s="152"/>
      <c r="B1578" s="683"/>
      <c r="C1578" s="683"/>
      <c r="D1578" s="698"/>
      <c r="E1578" s="215"/>
      <c r="F1578" s="215"/>
      <c r="G1578" s="153"/>
      <c r="H1578" s="153"/>
      <c r="I1578" s="163">
        <v>10</v>
      </c>
      <c r="J1578" s="163">
        <v>240</v>
      </c>
      <c r="K1578" s="150">
        <v>1</v>
      </c>
      <c r="L1578" s="658">
        <v>40</v>
      </c>
      <c r="M1578" s="659">
        <v>33738</v>
      </c>
      <c r="N1578" s="598">
        <v>2.0671409999999999</v>
      </c>
      <c r="O1578" s="599">
        <v>2.8035000000000004E-3</v>
      </c>
      <c r="P1578" s="154"/>
      <c r="Q1578" s="93"/>
      <c r="R1578" s="93"/>
      <c r="S1578" s="93"/>
      <c r="T1578" s="93">
        <v>1.8</v>
      </c>
      <c r="U1578" s="93">
        <v>9.1</v>
      </c>
      <c r="V1578" s="497">
        <v>33.1</v>
      </c>
      <c r="W1578" s="497">
        <v>39.700000000000003</v>
      </c>
      <c r="X1578" s="497">
        <v>15.9</v>
      </c>
      <c r="Y1578" s="497">
        <v>0.4</v>
      </c>
      <c r="Z1578" s="93"/>
      <c r="AA1578" s="93"/>
      <c r="AB1578" s="95"/>
      <c r="AC1578" s="94"/>
      <c r="AD1578" s="223">
        <v>5.4102000000000006</v>
      </c>
      <c r="AE1578" s="223">
        <v>0.51206399999999996</v>
      </c>
      <c r="AF1578" s="223">
        <v>2.7777099999999999</v>
      </c>
      <c r="AG1578" s="223">
        <f>2.3*(0.3048)</f>
        <v>0.70104</v>
      </c>
      <c r="AH1578" s="341"/>
      <c r="AI1578" s="226"/>
      <c r="AJ1578" s="226"/>
      <c r="AK1578" s="227"/>
      <c r="AL1578" s="227"/>
      <c r="AM1578" s="152"/>
      <c r="AN1578" s="152"/>
      <c r="AO1578" s="152"/>
      <c r="AP1578" s="152"/>
      <c r="AQ1578" s="152"/>
      <c r="AR1578" s="152"/>
      <c r="AS1578" s="152"/>
      <c r="AT1578" s="152"/>
      <c r="AU1578" s="153"/>
      <c r="AV1578" s="479"/>
      <c r="AW1578" s="479"/>
      <c r="AX1578" s="442"/>
      <c r="AY1578" s="153"/>
      <c r="AZ1578" s="152"/>
      <c r="BA1578" s="152"/>
      <c r="BB1578" s="152"/>
      <c r="BC1578" s="152"/>
      <c r="BD1578" s="152"/>
      <c r="BE1578" s="152"/>
      <c r="BF1578" s="152"/>
      <c r="BG1578" s="152"/>
      <c r="BH1578" s="152"/>
      <c r="BI1578" s="153"/>
      <c r="BJ1578" s="153"/>
      <c r="BK1578" s="153"/>
      <c r="BL1578" s="153"/>
      <c r="BM1578" s="153"/>
      <c r="BN1578" s="153"/>
      <c r="BO1578" s="153"/>
      <c r="BP1578" s="153"/>
      <c r="BQ1578" s="153"/>
      <c r="BR1578" s="153"/>
      <c r="BS1578" s="153"/>
      <c r="BT1578" s="153"/>
      <c r="BU1578" s="153"/>
      <c r="BV1578" s="153"/>
      <c r="BW1578" s="153"/>
      <c r="BX1578" s="153"/>
      <c r="BY1578" s="153"/>
      <c r="BZ1578" s="153"/>
      <c r="CA1578" s="152"/>
      <c r="CB1578" s="152"/>
    </row>
    <row r="1579" spans="1:80" s="87" customFormat="1" x14ac:dyDescent="0.2">
      <c r="A1579" s="152"/>
      <c r="B1579" s="683"/>
      <c r="C1579" s="683"/>
      <c r="D1579" s="698"/>
      <c r="E1579" s="215"/>
      <c r="F1579" s="215"/>
      <c r="G1579" s="153"/>
      <c r="H1579" s="153"/>
      <c r="I1579" s="163">
        <v>11</v>
      </c>
      <c r="J1579" s="163">
        <v>240</v>
      </c>
      <c r="K1579" s="150">
        <v>1</v>
      </c>
      <c r="L1579" s="658">
        <v>44</v>
      </c>
      <c r="M1579" s="659">
        <v>33742</v>
      </c>
      <c r="N1579" s="598">
        <v>2.4352619999999998</v>
      </c>
      <c r="O1579" s="599">
        <v>3.9900000000000005E-3</v>
      </c>
      <c r="P1579" s="154"/>
      <c r="Q1579" s="93"/>
      <c r="R1579" s="93" t="s">
        <v>71</v>
      </c>
      <c r="S1579" s="93" t="s">
        <v>71</v>
      </c>
      <c r="T1579" s="93">
        <v>2.2000000000000002</v>
      </c>
      <c r="U1579" s="93">
        <v>14</v>
      </c>
      <c r="V1579" s="497">
        <v>38.799999999999997</v>
      </c>
      <c r="W1579" s="497">
        <v>33.200000000000003</v>
      </c>
      <c r="X1579" s="497">
        <v>11.2</v>
      </c>
      <c r="Y1579" s="497">
        <v>0.6</v>
      </c>
      <c r="Z1579" s="93"/>
      <c r="AA1579" s="93"/>
      <c r="AB1579" s="95"/>
      <c r="AC1579" s="94"/>
      <c r="AD1579" s="223"/>
      <c r="AE1579" s="223"/>
      <c r="AF1579" s="223"/>
      <c r="AG1579" s="223"/>
      <c r="AH1579" s="341"/>
      <c r="AI1579" s="226"/>
      <c r="AJ1579" s="226"/>
      <c r="AK1579" s="227"/>
      <c r="AL1579" s="227"/>
      <c r="AM1579" s="152"/>
      <c r="AN1579" s="152"/>
      <c r="AO1579" s="152"/>
      <c r="AP1579" s="152"/>
      <c r="AQ1579" s="152"/>
      <c r="AR1579" s="152"/>
      <c r="AS1579" s="152"/>
      <c r="AT1579" s="152"/>
      <c r="AU1579" s="153"/>
      <c r="AV1579" s="479"/>
      <c r="AW1579" s="479"/>
      <c r="AX1579" s="442"/>
      <c r="AY1579" s="153"/>
      <c r="AZ1579" s="152"/>
      <c r="BA1579" s="152"/>
      <c r="BB1579" s="152"/>
      <c r="BC1579" s="152"/>
      <c r="BD1579" s="152"/>
      <c r="BE1579" s="152"/>
      <c r="BF1579" s="152"/>
      <c r="BG1579" s="152"/>
      <c r="BH1579" s="152"/>
      <c r="BI1579" s="153"/>
      <c r="BJ1579" s="153"/>
      <c r="BK1579" s="153"/>
      <c r="BL1579" s="153"/>
      <c r="BM1579" s="153"/>
      <c r="BN1579" s="153"/>
      <c r="BO1579" s="153"/>
      <c r="BP1579" s="153"/>
      <c r="BQ1579" s="153"/>
      <c r="BR1579" s="153"/>
      <c r="BS1579" s="153"/>
      <c r="BT1579" s="153"/>
      <c r="BU1579" s="153"/>
      <c r="BV1579" s="153"/>
      <c r="BW1579" s="153"/>
      <c r="BX1579" s="153"/>
      <c r="BY1579" s="153"/>
      <c r="BZ1579" s="153"/>
      <c r="CA1579" s="152"/>
      <c r="CB1579" s="152"/>
    </row>
    <row r="1580" spans="1:80" s="87" customFormat="1" x14ac:dyDescent="0.2">
      <c r="A1580" s="152"/>
      <c r="B1580" s="683"/>
      <c r="C1580" s="683"/>
      <c r="D1580" s="698"/>
      <c r="E1580" s="215"/>
      <c r="F1580" s="215"/>
      <c r="G1580" s="153"/>
      <c r="H1580" s="153"/>
      <c r="I1580" s="163">
        <v>10</v>
      </c>
      <c r="J1580" s="163">
        <v>240</v>
      </c>
      <c r="K1580" s="150">
        <v>1</v>
      </c>
      <c r="L1580" s="658">
        <v>40</v>
      </c>
      <c r="M1580" s="659">
        <v>33744</v>
      </c>
      <c r="N1580" s="598">
        <v>2.7750659999999998</v>
      </c>
      <c r="O1580" s="599">
        <v>2.604E-3</v>
      </c>
      <c r="P1580" s="154"/>
      <c r="Q1580" s="93"/>
      <c r="R1580" s="93" t="s">
        <v>71</v>
      </c>
      <c r="S1580" s="93" t="s">
        <v>71</v>
      </c>
      <c r="T1580" s="93" t="s">
        <v>71</v>
      </c>
      <c r="U1580" s="93">
        <v>9.9</v>
      </c>
      <c r="V1580" s="497">
        <v>31.3</v>
      </c>
      <c r="W1580" s="497">
        <v>40.6</v>
      </c>
      <c r="X1580" s="497">
        <v>17.2</v>
      </c>
      <c r="Y1580" s="497">
        <v>1</v>
      </c>
      <c r="Z1580" s="93"/>
      <c r="AA1580" s="93"/>
      <c r="AB1580" s="95"/>
      <c r="AC1580" s="94"/>
      <c r="AD1580" s="223"/>
      <c r="AE1580" s="223"/>
      <c r="AF1580" s="223"/>
      <c r="AG1580" s="223"/>
      <c r="AH1580" s="341"/>
      <c r="AI1580" s="226"/>
      <c r="AJ1580" s="226"/>
      <c r="AK1580" s="227"/>
      <c r="AL1580" s="227"/>
      <c r="AM1580" s="152"/>
      <c r="AN1580" s="152"/>
      <c r="AO1580" s="152"/>
      <c r="AP1580" s="152"/>
      <c r="AQ1580" s="152"/>
      <c r="AR1580" s="152"/>
      <c r="AS1580" s="152"/>
      <c r="AT1580" s="152"/>
      <c r="AU1580" s="153"/>
      <c r="AV1580" s="479"/>
      <c r="AW1580" s="479"/>
      <c r="AX1580" s="442"/>
      <c r="AY1580" s="153"/>
      <c r="AZ1580" s="152"/>
      <c r="BA1580" s="152"/>
      <c r="BB1580" s="152"/>
      <c r="BC1580" s="152"/>
      <c r="BD1580" s="152"/>
      <c r="BE1580" s="152"/>
      <c r="BF1580" s="152"/>
      <c r="BG1580" s="152"/>
      <c r="BH1580" s="152"/>
      <c r="BI1580" s="153"/>
      <c r="BJ1580" s="153"/>
      <c r="BK1580" s="153"/>
      <c r="BL1580" s="153"/>
      <c r="BM1580" s="153"/>
      <c r="BN1580" s="153"/>
      <c r="BO1580" s="153"/>
      <c r="BP1580" s="153"/>
      <c r="BQ1580" s="153"/>
      <c r="BR1580" s="153"/>
      <c r="BS1580" s="153"/>
      <c r="BT1580" s="153"/>
      <c r="BU1580" s="153"/>
      <c r="BV1580" s="153"/>
      <c r="BW1580" s="153"/>
      <c r="BX1580" s="153"/>
      <c r="BY1580" s="153"/>
      <c r="BZ1580" s="153"/>
      <c r="CA1580" s="152"/>
      <c r="CB1580" s="152"/>
    </row>
    <row r="1581" spans="1:80" s="87" customFormat="1" x14ac:dyDescent="0.2">
      <c r="A1581" s="152"/>
      <c r="B1581" s="683"/>
      <c r="C1581" s="683"/>
      <c r="D1581" s="698"/>
      <c r="E1581" s="215"/>
      <c r="F1581" s="215"/>
      <c r="G1581" s="153"/>
      <c r="H1581" s="153"/>
      <c r="I1581" s="163">
        <v>10</v>
      </c>
      <c r="J1581" s="163">
        <v>240</v>
      </c>
      <c r="K1581" s="150">
        <v>1</v>
      </c>
      <c r="L1581" s="658">
        <v>40</v>
      </c>
      <c r="M1581" s="659">
        <v>33745</v>
      </c>
      <c r="N1581" s="598">
        <v>2.54853</v>
      </c>
      <c r="O1581" s="599">
        <v>4.4099999999999999E-3</v>
      </c>
      <c r="P1581" s="154"/>
      <c r="Q1581" s="93"/>
      <c r="R1581" s="93" t="s">
        <v>71</v>
      </c>
      <c r="S1581" s="93" t="s">
        <v>71</v>
      </c>
      <c r="T1581" s="93">
        <v>1</v>
      </c>
      <c r="U1581" s="93">
        <v>8.3000000000000007</v>
      </c>
      <c r="V1581" s="497">
        <v>33.200000000000003</v>
      </c>
      <c r="W1581" s="497">
        <v>41.3</v>
      </c>
      <c r="X1581" s="497">
        <v>15.5</v>
      </c>
      <c r="Y1581" s="497">
        <v>0.7</v>
      </c>
      <c r="Z1581" s="93"/>
      <c r="AA1581" s="93"/>
      <c r="AB1581" s="95"/>
      <c r="AC1581" s="94"/>
      <c r="AD1581" s="223"/>
      <c r="AE1581" s="223"/>
      <c r="AF1581" s="223"/>
      <c r="AG1581" s="223"/>
      <c r="AH1581" s="341"/>
      <c r="AI1581" s="226"/>
      <c r="AJ1581" s="226"/>
      <c r="AK1581" s="227"/>
      <c r="AL1581" s="227"/>
      <c r="AM1581" s="152"/>
      <c r="AN1581" s="152"/>
      <c r="AO1581" s="152"/>
      <c r="AP1581" s="152"/>
      <c r="AQ1581" s="152"/>
      <c r="AR1581" s="152"/>
      <c r="AS1581" s="152"/>
      <c r="AT1581" s="152"/>
      <c r="AU1581" s="153"/>
      <c r="AV1581" s="479"/>
      <c r="AW1581" s="479"/>
      <c r="AX1581" s="442"/>
      <c r="AY1581" s="153"/>
      <c r="AZ1581" s="152"/>
      <c r="BA1581" s="152"/>
      <c r="BB1581" s="152"/>
      <c r="BC1581" s="152"/>
      <c r="BD1581" s="152"/>
      <c r="BE1581" s="152"/>
      <c r="BF1581" s="152"/>
      <c r="BG1581" s="152"/>
      <c r="BH1581" s="152"/>
      <c r="BI1581" s="153"/>
      <c r="BJ1581" s="153"/>
      <c r="BK1581" s="153"/>
      <c r="BL1581" s="153"/>
      <c r="BM1581" s="153"/>
      <c r="BN1581" s="153"/>
      <c r="BO1581" s="153"/>
      <c r="BP1581" s="153"/>
      <c r="BQ1581" s="153"/>
      <c r="BR1581" s="153"/>
      <c r="BS1581" s="153"/>
      <c r="BT1581" s="153"/>
      <c r="BU1581" s="153"/>
      <c r="BV1581" s="153"/>
      <c r="BW1581" s="153"/>
      <c r="BX1581" s="153"/>
      <c r="BY1581" s="153"/>
      <c r="BZ1581" s="153"/>
      <c r="CA1581" s="152"/>
      <c r="CB1581" s="152"/>
    </row>
    <row r="1582" spans="1:80" s="87" customFormat="1" x14ac:dyDescent="0.2">
      <c r="A1582" s="152"/>
      <c r="B1582" s="683"/>
      <c r="C1582" s="683"/>
      <c r="D1582" s="698"/>
      <c r="E1582" s="215"/>
      <c r="F1582" s="215"/>
      <c r="G1582" s="153"/>
      <c r="H1582" s="153"/>
      <c r="I1582" s="163">
        <v>10</v>
      </c>
      <c r="J1582" s="163">
        <v>240</v>
      </c>
      <c r="K1582" s="150">
        <v>1</v>
      </c>
      <c r="L1582" s="658">
        <v>40</v>
      </c>
      <c r="M1582" s="659">
        <v>33750</v>
      </c>
      <c r="N1582" s="598">
        <v>2.378628</v>
      </c>
      <c r="O1582" s="599">
        <v>5.4810000000000006E-3</v>
      </c>
      <c r="P1582" s="154"/>
      <c r="Q1582" s="93"/>
      <c r="R1582" s="93" t="s">
        <v>71</v>
      </c>
      <c r="S1582" s="93">
        <v>7.8</v>
      </c>
      <c r="T1582" s="93" t="s">
        <v>71</v>
      </c>
      <c r="U1582" s="93">
        <v>8.4</v>
      </c>
      <c r="V1582" s="497">
        <v>32.4</v>
      </c>
      <c r="W1582" s="497">
        <v>36.1</v>
      </c>
      <c r="X1582" s="497">
        <v>14.7</v>
      </c>
      <c r="Y1582" s="497">
        <v>0.6</v>
      </c>
      <c r="Z1582" s="93"/>
      <c r="AA1582" s="93"/>
      <c r="AB1582" s="95"/>
      <c r="AC1582" s="94"/>
      <c r="AD1582" s="223"/>
      <c r="AE1582" s="223"/>
      <c r="AF1582" s="223"/>
      <c r="AG1582" s="223"/>
      <c r="AH1582" s="341"/>
      <c r="AI1582" s="226"/>
      <c r="AJ1582" s="226"/>
      <c r="AK1582" s="227"/>
      <c r="AL1582" s="227"/>
      <c r="AM1582" s="152"/>
      <c r="AN1582" s="152"/>
      <c r="AO1582" s="152"/>
      <c r="AP1582" s="152"/>
      <c r="AQ1582" s="152"/>
      <c r="AR1582" s="152"/>
      <c r="AS1582" s="152"/>
      <c r="AT1582" s="152"/>
      <c r="AU1582" s="153"/>
      <c r="AV1582" s="479"/>
      <c r="AW1582" s="479"/>
      <c r="AX1582" s="442"/>
      <c r="AY1582" s="153"/>
      <c r="AZ1582" s="152"/>
      <c r="BA1582" s="152"/>
      <c r="BB1582" s="152"/>
      <c r="BC1582" s="152"/>
      <c r="BD1582" s="152"/>
      <c r="BE1582" s="152"/>
      <c r="BF1582" s="152"/>
      <c r="BG1582" s="152"/>
      <c r="BH1582" s="152"/>
      <c r="BI1582" s="153"/>
      <c r="BJ1582" s="153"/>
      <c r="BK1582" s="153"/>
      <c r="BL1582" s="153"/>
      <c r="BM1582" s="153"/>
      <c r="BN1582" s="153"/>
      <c r="BO1582" s="153"/>
      <c r="BP1582" s="153"/>
      <c r="BQ1582" s="153"/>
      <c r="BR1582" s="153"/>
      <c r="BS1582" s="153"/>
      <c r="BT1582" s="153"/>
      <c r="BU1582" s="153"/>
      <c r="BV1582" s="153"/>
      <c r="BW1582" s="153"/>
      <c r="BX1582" s="153"/>
      <c r="BY1582" s="153"/>
      <c r="BZ1582" s="153"/>
      <c r="CA1582" s="152"/>
      <c r="CB1582" s="152"/>
    </row>
    <row r="1583" spans="1:80" s="87" customFormat="1" x14ac:dyDescent="0.2">
      <c r="A1583" s="152"/>
      <c r="B1583" s="683"/>
      <c r="C1583" s="683"/>
      <c r="D1583" s="698"/>
      <c r="E1583" s="215"/>
      <c r="F1583" s="215"/>
      <c r="G1583" s="153"/>
      <c r="H1583" s="153"/>
      <c r="I1583" s="163">
        <v>10</v>
      </c>
      <c r="J1583" s="163">
        <v>180</v>
      </c>
      <c r="K1583" s="150">
        <v>1</v>
      </c>
      <c r="L1583" s="658">
        <v>30</v>
      </c>
      <c r="M1583" s="659">
        <v>33752</v>
      </c>
      <c r="N1583" s="598">
        <v>1.953873</v>
      </c>
      <c r="O1583" s="599">
        <v>7.980000000000001E-3</v>
      </c>
      <c r="P1583" s="154"/>
      <c r="Q1583" s="93"/>
      <c r="R1583" s="93" t="s">
        <v>71</v>
      </c>
      <c r="S1583" s="93" t="s">
        <v>71</v>
      </c>
      <c r="T1583" s="93">
        <v>5.9</v>
      </c>
      <c r="U1583" s="93">
        <v>37.5</v>
      </c>
      <c r="V1583" s="497">
        <v>30.8</v>
      </c>
      <c r="W1583" s="497">
        <v>19.8</v>
      </c>
      <c r="X1583" s="497">
        <v>5.8</v>
      </c>
      <c r="Y1583" s="497">
        <v>0.3</v>
      </c>
      <c r="Z1583" s="93"/>
      <c r="AA1583" s="93"/>
      <c r="AB1583" s="95"/>
      <c r="AC1583" s="94"/>
      <c r="AD1583" s="223">
        <v>5.4102000000000006</v>
      </c>
      <c r="AE1583" s="223">
        <v>0.51206399999999996</v>
      </c>
      <c r="AF1583" s="223">
        <v>2.7777099999999999</v>
      </c>
      <c r="AG1583" s="223">
        <f>2.3*(0.3048)</f>
        <v>0.70104</v>
      </c>
      <c r="AH1583" s="341"/>
      <c r="AI1583" s="226"/>
      <c r="AJ1583" s="226"/>
      <c r="AK1583" s="227"/>
      <c r="AL1583" s="227"/>
      <c r="AM1583" s="152"/>
      <c r="AN1583" s="152"/>
      <c r="AO1583" s="152"/>
      <c r="AP1583" s="152"/>
      <c r="AQ1583" s="152"/>
      <c r="AR1583" s="152"/>
      <c r="AS1583" s="152"/>
      <c r="AT1583" s="152"/>
      <c r="AU1583" s="153"/>
      <c r="AV1583" s="479"/>
      <c r="AW1583" s="479"/>
      <c r="AX1583" s="442"/>
      <c r="AY1583" s="153"/>
      <c r="AZ1583" s="152"/>
      <c r="BA1583" s="152"/>
      <c r="BB1583" s="152"/>
      <c r="BC1583" s="152"/>
      <c r="BD1583" s="152"/>
      <c r="BE1583" s="152"/>
      <c r="BF1583" s="152"/>
      <c r="BG1583" s="152"/>
      <c r="BH1583" s="152"/>
      <c r="BI1583" s="153"/>
      <c r="BJ1583" s="153"/>
      <c r="BK1583" s="153"/>
      <c r="BL1583" s="153"/>
      <c r="BM1583" s="153"/>
      <c r="BN1583" s="153"/>
      <c r="BO1583" s="153"/>
      <c r="BP1583" s="153"/>
      <c r="BQ1583" s="153"/>
      <c r="BR1583" s="153"/>
      <c r="BS1583" s="153"/>
      <c r="BT1583" s="153"/>
      <c r="BU1583" s="153"/>
      <c r="BV1583" s="153"/>
      <c r="BW1583" s="153"/>
      <c r="BX1583" s="153"/>
      <c r="BY1583" s="153"/>
      <c r="BZ1583" s="153"/>
      <c r="CA1583" s="152"/>
      <c r="CB1583" s="152"/>
    </row>
    <row r="1584" spans="1:80" s="87" customFormat="1" x14ac:dyDescent="0.2">
      <c r="A1584" s="152"/>
      <c r="B1584" s="683"/>
      <c r="C1584" s="683"/>
      <c r="D1584" s="698"/>
      <c r="E1584" s="215"/>
      <c r="F1584" s="215"/>
      <c r="G1584" s="153"/>
      <c r="H1584" s="153"/>
      <c r="I1584" s="163">
        <v>10</v>
      </c>
      <c r="J1584" s="163">
        <v>240</v>
      </c>
      <c r="K1584" s="150">
        <v>1</v>
      </c>
      <c r="L1584" s="658">
        <v>40</v>
      </c>
      <c r="M1584" s="659">
        <v>34079</v>
      </c>
      <c r="N1584" s="598">
        <v>0.62297399999999992</v>
      </c>
      <c r="O1584" s="601">
        <v>1.3860000000000001E-3</v>
      </c>
      <c r="P1584" s="154"/>
      <c r="Q1584" s="93"/>
      <c r="R1584" s="93" t="s">
        <v>71</v>
      </c>
      <c r="S1584" s="93" t="s">
        <v>71</v>
      </c>
      <c r="T1584" s="93">
        <v>1.7</v>
      </c>
      <c r="U1584" s="93">
        <v>10.9</v>
      </c>
      <c r="V1584" s="497">
        <v>37.200000000000003</v>
      </c>
      <c r="W1584" s="497">
        <v>43.7</v>
      </c>
      <c r="X1584" s="497">
        <v>6.5</v>
      </c>
      <c r="Y1584" s="497">
        <v>0</v>
      </c>
      <c r="Z1584" s="93"/>
      <c r="AA1584" s="93"/>
      <c r="AB1584" s="95"/>
      <c r="AC1584" s="94"/>
      <c r="AD1584" s="223">
        <v>3.9014400000000005</v>
      </c>
      <c r="AE1584" s="223">
        <v>0.30175200000000002</v>
      </c>
      <c r="AF1584" s="223">
        <v>1.1798299999999999</v>
      </c>
      <c r="AG1584" s="223">
        <f>1.72*(0.3048)</f>
        <v>0.52425600000000006</v>
      </c>
      <c r="AH1584" s="341"/>
      <c r="AI1584" s="226"/>
      <c r="AJ1584" s="226"/>
      <c r="AK1584" s="227"/>
      <c r="AL1584" s="227"/>
      <c r="AM1584" s="152"/>
      <c r="AN1584" s="152"/>
      <c r="AO1584" s="152"/>
      <c r="AP1584" s="152"/>
      <c r="AQ1584" s="152"/>
      <c r="AR1584" s="152"/>
      <c r="AS1584" s="152"/>
      <c r="AT1584" s="152"/>
      <c r="AU1584" s="153"/>
      <c r="AV1584" s="479"/>
      <c r="AW1584" s="479"/>
      <c r="AX1584" s="442"/>
      <c r="AY1584" s="153"/>
      <c r="AZ1584" s="152"/>
      <c r="BA1584" s="152"/>
      <c r="BB1584" s="152"/>
      <c r="BC1584" s="152"/>
      <c r="BD1584" s="152"/>
      <c r="BE1584" s="152"/>
      <c r="BF1584" s="152"/>
      <c r="BG1584" s="152"/>
      <c r="BH1584" s="152"/>
      <c r="BI1584" s="153"/>
      <c r="BJ1584" s="153"/>
      <c r="BK1584" s="153"/>
      <c r="BL1584" s="153"/>
      <c r="BM1584" s="153"/>
      <c r="BN1584" s="153"/>
      <c r="BO1584" s="153"/>
      <c r="BP1584" s="153"/>
      <c r="BQ1584" s="153"/>
      <c r="BR1584" s="153"/>
      <c r="BS1584" s="153"/>
      <c r="BT1584" s="153"/>
      <c r="BU1584" s="153"/>
      <c r="BV1584" s="153"/>
      <c r="BW1584" s="153"/>
      <c r="BX1584" s="153"/>
      <c r="BY1584" s="153"/>
      <c r="BZ1584" s="153"/>
      <c r="CA1584" s="152"/>
      <c r="CB1584" s="152"/>
    </row>
    <row r="1585" spans="1:80" s="87" customFormat="1" x14ac:dyDescent="0.2">
      <c r="A1585" s="152"/>
      <c r="B1585" s="683"/>
      <c r="C1585" s="683"/>
      <c r="D1585" s="698"/>
      <c r="E1585" s="215"/>
      <c r="F1585" s="215"/>
      <c r="G1585" s="153"/>
      <c r="H1585" s="153"/>
      <c r="I1585" s="163">
        <v>10</v>
      </c>
      <c r="J1585" s="163">
        <v>240</v>
      </c>
      <c r="K1585" s="150">
        <v>1</v>
      </c>
      <c r="L1585" s="658">
        <v>40</v>
      </c>
      <c r="M1585" s="659">
        <v>34080</v>
      </c>
      <c r="N1585" s="598">
        <v>0.59465699999999999</v>
      </c>
      <c r="O1585" s="601">
        <v>4.4310000000000004E-4</v>
      </c>
      <c r="P1585" s="154"/>
      <c r="Q1585" s="93"/>
      <c r="R1585" s="93" t="s">
        <v>71</v>
      </c>
      <c r="S1585" s="93" t="s">
        <v>71</v>
      </c>
      <c r="T1585" s="93">
        <v>8.6</v>
      </c>
      <c r="U1585" s="93">
        <v>51.1</v>
      </c>
      <c r="V1585" s="497">
        <v>37.4</v>
      </c>
      <c r="W1585" s="497">
        <v>2.9</v>
      </c>
      <c r="X1585" s="497">
        <v>0</v>
      </c>
      <c r="Y1585" s="497">
        <v>0</v>
      </c>
      <c r="Z1585" s="93"/>
      <c r="AA1585" s="93"/>
      <c r="AB1585" s="95"/>
      <c r="AC1585" s="94"/>
      <c r="AD1585" s="223">
        <v>3.9014400000000005</v>
      </c>
      <c r="AE1585" s="223">
        <v>0.30175200000000002</v>
      </c>
      <c r="AF1585" s="223">
        <v>1.1798299999999999</v>
      </c>
      <c r="AG1585" s="223">
        <f>1.72*(0.3048)</f>
        <v>0.52425600000000006</v>
      </c>
      <c r="AH1585" s="341"/>
      <c r="AI1585" s="226"/>
      <c r="AJ1585" s="226"/>
      <c r="AK1585" s="227"/>
      <c r="AL1585" s="227"/>
      <c r="AM1585" s="152"/>
      <c r="AN1585" s="152"/>
      <c r="AO1585" s="152"/>
      <c r="AP1585" s="152"/>
      <c r="AQ1585" s="152"/>
      <c r="AR1585" s="152"/>
      <c r="AS1585" s="152"/>
      <c r="AT1585" s="152"/>
      <c r="AU1585" s="153"/>
      <c r="AV1585" s="479"/>
      <c r="AW1585" s="479"/>
      <c r="AX1585" s="442"/>
      <c r="AY1585" s="153"/>
      <c r="AZ1585" s="152"/>
      <c r="BA1585" s="152"/>
      <c r="BB1585" s="152"/>
      <c r="BC1585" s="152"/>
      <c r="BD1585" s="152"/>
      <c r="BE1585" s="152"/>
      <c r="BF1585" s="152"/>
      <c r="BG1585" s="152"/>
      <c r="BH1585" s="152"/>
      <c r="BI1585" s="153"/>
      <c r="BJ1585" s="153"/>
      <c r="BK1585" s="153"/>
      <c r="BL1585" s="153"/>
      <c r="BM1585" s="153"/>
      <c r="BN1585" s="153"/>
      <c r="BO1585" s="153"/>
      <c r="BP1585" s="153"/>
      <c r="BQ1585" s="153"/>
      <c r="BR1585" s="153"/>
      <c r="BS1585" s="153"/>
      <c r="BT1585" s="153"/>
      <c r="BU1585" s="153"/>
      <c r="BV1585" s="153"/>
      <c r="BW1585" s="153"/>
      <c r="BX1585" s="153"/>
      <c r="BY1585" s="153"/>
      <c r="BZ1585" s="153"/>
      <c r="CA1585" s="152"/>
      <c r="CB1585" s="152"/>
    </row>
    <row r="1586" spans="1:80" s="87" customFormat="1" x14ac:dyDescent="0.2">
      <c r="A1586" s="152"/>
      <c r="B1586" s="683"/>
      <c r="C1586" s="683"/>
      <c r="D1586" s="698"/>
      <c r="E1586" s="215"/>
      <c r="F1586" s="215"/>
      <c r="G1586" s="153"/>
      <c r="H1586" s="153"/>
      <c r="I1586" s="163">
        <v>10</v>
      </c>
      <c r="J1586" s="163">
        <v>240</v>
      </c>
      <c r="K1586" s="150">
        <v>1</v>
      </c>
      <c r="L1586" s="658">
        <v>40</v>
      </c>
      <c r="M1586" s="659">
        <v>34086</v>
      </c>
      <c r="N1586" s="598">
        <v>0.73624199999999995</v>
      </c>
      <c r="O1586" s="601">
        <v>1.0709999999999999E-3</v>
      </c>
      <c r="P1586" s="154"/>
      <c r="Q1586" s="93"/>
      <c r="R1586" s="93" t="s">
        <v>71</v>
      </c>
      <c r="S1586" s="93" t="s">
        <v>71</v>
      </c>
      <c r="T1586" s="93" t="s">
        <v>71</v>
      </c>
      <c r="U1586" s="93">
        <v>3.4</v>
      </c>
      <c r="V1586" s="497">
        <v>25</v>
      </c>
      <c r="W1586" s="497">
        <v>53.4</v>
      </c>
      <c r="X1586" s="497">
        <v>16.3</v>
      </c>
      <c r="Y1586" s="497">
        <v>1.9</v>
      </c>
      <c r="Z1586" s="93"/>
      <c r="AA1586" s="93"/>
      <c r="AB1586" s="95"/>
      <c r="AC1586" s="94"/>
      <c r="AD1586" s="223"/>
      <c r="AE1586" s="223"/>
      <c r="AF1586" s="223"/>
      <c r="AG1586" s="223"/>
      <c r="AH1586" s="341"/>
      <c r="AI1586" s="226"/>
      <c r="AJ1586" s="226"/>
      <c r="AK1586" s="227"/>
      <c r="AL1586" s="227"/>
      <c r="AM1586" s="152"/>
      <c r="AN1586" s="152"/>
      <c r="AO1586" s="152"/>
      <c r="AP1586" s="152"/>
      <c r="AQ1586" s="152"/>
      <c r="AR1586" s="152"/>
      <c r="AS1586" s="152"/>
      <c r="AT1586" s="152"/>
      <c r="AU1586" s="153"/>
      <c r="AV1586" s="479"/>
      <c r="AW1586" s="479"/>
      <c r="AX1586" s="442"/>
      <c r="AY1586" s="153"/>
      <c r="AZ1586" s="152"/>
      <c r="BA1586" s="152"/>
      <c r="BB1586" s="152"/>
      <c r="BC1586" s="152"/>
      <c r="BD1586" s="152"/>
      <c r="BE1586" s="152"/>
      <c r="BF1586" s="152"/>
      <c r="BG1586" s="152"/>
      <c r="BH1586" s="152"/>
      <c r="BI1586" s="153"/>
      <c r="BJ1586" s="153"/>
      <c r="BK1586" s="153"/>
      <c r="BL1586" s="153"/>
      <c r="BM1586" s="153"/>
      <c r="BN1586" s="153"/>
      <c r="BO1586" s="153"/>
      <c r="BP1586" s="153"/>
      <c r="BQ1586" s="153"/>
      <c r="BR1586" s="153"/>
      <c r="BS1586" s="153"/>
      <c r="BT1586" s="153"/>
      <c r="BU1586" s="153"/>
      <c r="BV1586" s="153"/>
      <c r="BW1586" s="153"/>
      <c r="BX1586" s="153"/>
      <c r="BY1586" s="153"/>
      <c r="BZ1586" s="153"/>
      <c r="CA1586" s="152"/>
      <c r="CB1586" s="152"/>
    </row>
    <row r="1587" spans="1:80" s="87" customFormat="1" x14ac:dyDescent="0.2">
      <c r="A1587" s="152"/>
      <c r="B1587" s="683"/>
      <c r="C1587" s="683"/>
      <c r="D1587" s="698"/>
      <c r="E1587" s="215"/>
      <c r="F1587" s="215"/>
      <c r="G1587" s="153"/>
      <c r="H1587" s="153"/>
      <c r="I1587" s="163">
        <v>10</v>
      </c>
      <c r="J1587" s="163">
        <v>240</v>
      </c>
      <c r="K1587" s="150">
        <v>1</v>
      </c>
      <c r="L1587" s="658">
        <v>40</v>
      </c>
      <c r="M1587" s="659">
        <v>34095</v>
      </c>
      <c r="N1587" s="598">
        <v>1.3875329999999999</v>
      </c>
      <c r="O1587" s="601">
        <v>1.8270000000000001E-3</v>
      </c>
      <c r="P1587" s="154"/>
      <c r="Q1587" s="93"/>
      <c r="R1587" s="93" t="s">
        <v>71</v>
      </c>
      <c r="S1587" s="93" t="s">
        <v>71</v>
      </c>
      <c r="T1587" s="93">
        <v>6.3</v>
      </c>
      <c r="U1587" s="93">
        <v>45</v>
      </c>
      <c r="V1587" s="497">
        <v>26.2</v>
      </c>
      <c r="W1587" s="497">
        <v>15.6</v>
      </c>
      <c r="X1587" s="497">
        <v>6.7</v>
      </c>
      <c r="Y1587" s="497">
        <v>0.2</v>
      </c>
      <c r="Z1587" s="93"/>
      <c r="AA1587" s="93"/>
      <c r="AB1587" s="95"/>
      <c r="AC1587" s="94"/>
      <c r="AD1587" s="223"/>
      <c r="AE1587" s="223"/>
      <c r="AF1587" s="223"/>
      <c r="AG1587" s="223"/>
      <c r="AH1587" s="341"/>
      <c r="AI1587" s="226"/>
      <c r="AJ1587" s="226"/>
      <c r="AK1587" s="227"/>
      <c r="AL1587" s="227"/>
      <c r="AM1587" s="152"/>
      <c r="AN1587" s="152"/>
      <c r="AO1587" s="152"/>
      <c r="AP1587" s="152"/>
      <c r="AQ1587" s="152"/>
      <c r="AR1587" s="152"/>
      <c r="AS1587" s="152"/>
      <c r="AT1587" s="152"/>
      <c r="AU1587" s="153"/>
      <c r="AV1587" s="479"/>
      <c r="AW1587" s="479"/>
      <c r="AX1587" s="442"/>
      <c r="AY1587" s="153"/>
      <c r="AZ1587" s="152"/>
      <c r="BA1587" s="152"/>
      <c r="BB1587" s="152"/>
      <c r="BC1587" s="152"/>
      <c r="BD1587" s="152"/>
      <c r="BE1587" s="152"/>
      <c r="BF1587" s="152"/>
      <c r="BG1587" s="152"/>
      <c r="BH1587" s="152"/>
      <c r="BI1587" s="153"/>
      <c r="BJ1587" s="153"/>
      <c r="BK1587" s="153"/>
      <c r="BL1587" s="153"/>
      <c r="BM1587" s="153"/>
      <c r="BN1587" s="153"/>
      <c r="BO1587" s="153"/>
      <c r="BP1587" s="153"/>
      <c r="BQ1587" s="153"/>
      <c r="BR1587" s="153"/>
      <c r="BS1587" s="153"/>
      <c r="BT1587" s="153"/>
      <c r="BU1587" s="153"/>
      <c r="BV1587" s="153"/>
      <c r="BW1587" s="153"/>
      <c r="BX1587" s="153"/>
      <c r="BY1587" s="153"/>
      <c r="BZ1587" s="153"/>
      <c r="CA1587" s="152"/>
      <c r="CB1587" s="152"/>
    </row>
    <row r="1588" spans="1:80" s="87" customFormat="1" x14ac:dyDescent="0.2">
      <c r="A1588" s="152"/>
      <c r="B1588" s="683"/>
      <c r="C1588" s="683"/>
      <c r="D1588" s="698"/>
      <c r="E1588" s="215"/>
      <c r="F1588" s="215"/>
      <c r="G1588" s="153"/>
      <c r="H1588" s="153"/>
      <c r="I1588" s="163">
        <v>10</v>
      </c>
      <c r="J1588" s="163">
        <v>120</v>
      </c>
      <c r="K1588" s="150">
        <v>1</v>
      </c>
      <c r="L1588" s="658">
        <v>20</v>
      </c>
      <c r="M1588" s="659">
        <v>34101</v>
      </c>
      <c r="N1588" s="598">
        <v>3.1715039999999997</v>
      </c>
      <c r="O1588" s="601">
        <v>4.3889999999999997E-3</v>
      </c>
      <c r="P1588" s="154"/>
      <c r="Q1588" s="93"/>
      <c r="R1588" s="93" t="s">
        <v>71</v>
      </c>
      <c r="S1588" s="93" t="s">
        <v>71</v>
      </c>
      <c r="T1588" s="93">
        <v>1.8</v>
      </c>
      <c r="U1588" s="93">
        <v>15.1</v>
      </c>
      <c r="V1588" s="497">
        <v>37.200000000000003</v>
      </c>
      <c r="W1588" s="497">
        <v>33.1</v>
      </c>
      <c r="X1588" s="497">
        <v>12.6</v>
      </c>
      <c r="Y1588" s="497">
        <v>0.3</v>
      </c>
      <c r="Z1588" s="93"/>
      <c r="AA1588" s="93"/>
      <c r="AB1588" s="95"/>
      <c r="AC1588" s="94"/>
      <c r="AD1588" s="223"/>
      <c r="AE1588" s="223"/>
      <c r="AF1588" s="223"/>
      <c r="AG1588" s="223"/>
      <c r="AH1588" s="341"/>
      <c r="AI1588" s="226"/>
      <c r="AJ1588" s="226"/>
      <c r="AK1588" s="227"/>
      <c r="AL1588" s="227"/>
      <c r="AM1588" s="152"/>
      <c r="AN1588" s="152"/>
      <c r="AO1588" s="152"/>
      <c r="AP1588" s="152"/>
      <c r="AQ1588" s="152"/>
      <c r="AR1588" s="152"/>
      <c r="AS1588" s="152"/>
      <c r="AT1588" s="152"/>
      <c r="AU1588" s="153"/>
      <c r="AV1588" s="479"/>
      <c r="AW1588" s="479"/>
      <c r="AX1588" s="442"/>
      <c r="AY1588" s="153"/>
      <c r="AZ1588" s="152"/>
      <c r="BA1588" s="152"/>
      <c r="BB1588" s="152"/>
      <c r="BC1588" s="152"/>
      <c r="BD1588" s="152"/>
      <c r="BE1588" s="152"/>
      <c r="BF1588" s="152"/>
      <c r="BG1588" s="152"/>
      <c r="BH1588" s="152"/>
      <c r="BI1588" s="153"/>
      <c r="BJ1588" s="153"/>
      <c r="BK1588" s="153"/>
      <c r="BL1588" s="153"/>
      <c r="BM1588" s="153"/>
      <c r="BN1588" s="153"/>
      <c r="BO1588" s="153"/>
      <c r="BP1588" s="153"/>
      <c r="BQ1588" s="153"/>
      <c r="BR1588" s="153"/>
      <c r="BS1588" s="153"/>
      <c r="BT1588" s="153"/>
      <c r="BU1588" s="153"/>
      <c r="BV1588" s="153"/>
      <c r="BW1588" s="153"/>
      <c r="BX1588" s="153"/>
      <c r="BY1588" s="153"/>
      <c r="BZ1588" s="153"/>
      <c r="CA1588" s="152"/>
      <c r="CB1588" s="152"/>
    </row>
    <row r="1589" spans="1:80" s="87" customFormat="1" x14ac:dyDescent="0.2">
      <c r="A1589" s="152"/>
      <c r="B1589" s="683"/>
      <c r="C1589" s="683"/>
      <c r="D1589" s="698"/>
      <c r="E1589" s="215"/>
      <c r="F1589" s="215"/>
      <c r="G1589" s="153"/>
      <c r="H1589" s="153"/>
      <c r="I1589" s="163">
        <v>10</v>
      </c>
      <c r="J1589" s="163">
        <v>180</v>
      </c>
      <c r="K1589" s="150">
        <v>1</v>
      </c>
      <c r="L1589" s="658">
        <v>30</v>
      </c>
      <c r="M1589" s="659">
        <v>34114</v>
      </c>
      <c r="N1589" s="598">
        <v>4.7006220000000001</v>
      </c>
      <c r="O1589" s="599">
        <v>5.9430000000000004E-2</v>
      </c>
      <c r="P1589" s="154"/>
      <c r="Q1589" s="93"/>
      <c r="R1589" s="93" t="s">
        <v>71</v>
      </c>
      <c r="S1589" s="93">
        <v>1.3</v>
      </c>
      <c r="T1589" s="93">
        <v>9.25</v>
      </c>
      <c r="U1589" s="93">
        <v>30.2</v>
      </c>
      <c r="V1589" s="497">
        <v>30.4</v>
      </c>
      <c r="W1589" s="497">
        <v>21.6</v>
      </c>
      <c r="X1589" s="497">
        <v>6.8</v>
      </c>
      <c r="Y1589" s="497">
        <v>0.4</v>
      </c>
      <c r="Z1589" s="93"/>
      <c r="AA1589" s="93"/>
      <c r="AB1589" s="95"/>
      <c r="AC1589" s="94"/>
      <c r="AD1589" s="223"/>
      <c r="AE1589" s="223"/>
      <c r="AF1589" s="223"/>
      <c r="AG1589" s="223"/>
      <c r="AH1589" s="341"/>
      <c r="AI1589" s="226"/>
      <c r="AJ1589" s="226"/>
      <c r="AK1589" s="227"/>
      <c r="AL1589" s="227"/>
      <c r="AM1589" s="152"/>
      <c r="AN1589" s="152"/>
      <c r="AO1589" s="152"/>
      <c r="AP1589" s="152"/>
      <c r="AQ1589" s="152"/>
      <c r="AR1589" s="152"/>
      <c r="AS1589" s="152"/>
      <c r="AT1589" s="152"/>
      <c r="AU1589" s="153"/>
      <c r="AV1589" s="479"/>
      <c r="AW1589" s="479"/>
      <c r="AX1589" s="442"/>
      <c r="AY1589" s="153"/>
      <c r="AZ1589" s="152"/>
      <c r="BA1589" s="152"/>
      <c r="BB1589" s="152"/>
      <c r="BC1589" s="152"/>
      <c r="BD1589" s="152"/>
      <c r="BE1589" s="152"/>
      <c r="BF1589" s="152"/>
      <c r="BG1589" s="152"/>
      <c r="BH1589" s="152"/>
      <c r="BI1589" s="153"/>
      <c r="BJ1589" s="153"/>
      <c r="BK1589" s="153"/>
      <c r="BL1589" s="153"/>
      <c r="BM1589" s="153"/>
      <c r="BN1589" s="153"/>
      <c r="BO1589" s="153"/>
      <c r="BP1589" s="153"/>
      <c r="BQ1589" s="153"/>
      <c r="BR1589" s="153"/>
      <c r="BS1589" s="153"/>
      <c r="BT1589" s="153"/>
      <c r="BU1589" s="153"/>
      <c r="BV1589" s="153"/>
      <c r="BW1589" s="153"/>
      <c r="BX1589" s="153"/>
      <c r="BY1589" s="153"/>
      <c r="BZ1589" s="153"/>
      <c r="CA1589" s="152"/>
      <c r="CB1589" s="152"/>
    </row>
    <row r="1590" spans="1:80" s="87" customFormat="1" x14ac:dyDescent="0.2">
      <c r="A1590" s="152"/>
      <c r="B1590" s="683"/>
      <c r="C1590" s="683"/>
      <c r="D1590" s="698"/>
      <c r="E1590" s="215"/>
      <c r="F1590" s="215"/>
      <c r="G1590" s="153"/>
      <c r="H1590" s="153"/>
      <c r="I1590" s="163">
        <v>10</v>
      </c>
      <c r="J1590" s="163">
        <v>120</v>
      </c>
      <c r="K1590" s="150">
        <v>1</v>
      </c>
      <c r="L1590" s="658">
        <v>20</v>
      </c>
      <c r="M1590" s="659">
        <v>34129</v>
      </c>
      <c r="N1590" s="598">
        <v>3.7661609999999999</v>
      </c>
      <c r="O1590" s="601">
        <v>1.533E-2</v>
      </c>
      <c r="P1590" s="154"/>
      <c r="Q1590" s="93"/>
      <c r="R1590" s="93" t="s">
        <v>71</v>
      </c>
      <c r="S1590" s="93">
        <v>0.9</v>
      </c>
      <c r="T1590" s="93">
        <v>4.5999999999999996</v>
      </c>
      <c r="U1590" s="93">
        <v>16.100000000000001</v>
      </c>
      <c r="V1590" s="497">
        <v>37.5</v>
      </c>
      <c r="W1590" s="497">
        <v>31.3</v>
      </c>
      <c r="X1590" s="497">
        <v>9.5</v>
      </c>
      <c r="Y1590" s="497">
        <v>0.1</v>
      </c>
      <c r="Z1590" s="93"/>
      <c r="AA1590" s="93"/>
      <c r="AB1590" s="95"/>
      <c r="AC1590" s="94"/>
      <c r="AD1590" s="223"/>
      <c r="AE1590" s="223"/>
      <c r="AF1590" s="223"/>
      <c r="AG1590" s="223"/>
      <c r="AH1590" s="341"/>
      <c r="AI1590" s="226"/>
      <c r="AJ1590" s="226"/>
      <c r="AK1590" s="227"/>
      <c r="AL1590" s="227"/>
      <c r="AM1590" s="152"/>
      <c r="AN1590" s="152"/>
      <c r="AO1590" s="152"/>
      <c r="AP1590" s="152"/>
      <c r="AQ1590" s="152"/>
      <c r="AR1590" s="152"/>
      <c r="AS1590" s="152"/>
      <c r="AT1590" s="152"/>
      <c r="AU1590" s="153"/>
      <c r="AV1590" s="479"/>
      <c r="AW1590" s="479"/>
      <c r="AX1590" s="442"/>
      <c r="AY1590" s="153"/>
      <c r="AZ1590" s="152"/>
      <c r="BA1590" s="152"/>
      <c r="BB1590" s="152"/>
      <c r="BC1590" s="152"/>
      <c r="BD1590" s="152"/>
      <c r="BE1590" s="152"/>
      <c r="BF1590" s="152"/>
      <c r="BG1590" s="152"/>
      <c r="BH1590" s="152"/>
      <c r="BI1590" s="153"/>
      <c r="BJ1590" s="153"/>
      <c r="BK1590" s="153"/>
      <c r="BL1590" s="153"/>
      <c r="BM1590" s="153"/>
      <c r="BN1590" s="153"/>
      <c r="BO1590" s="153"/>
      <c r="BP1590" s="153"/>
      <c r="BQ1590" s="153"/>
      <c r="BR1590" s="153"/>
      <c r="BS1590" s="153"/>
      <c r="BT1590" s="153"/>
      <c r="BU1590" s="153"/>
      <c r="BV1590" s="153"/>
      <c r="BW1590" s="153"/>
      <c r="BX1590" s="153"/>
      <c r="BY1590" s="153"/>
      <c r="BZ1590" s="153"/>
      <c r="CA1590" s="152"/>
      <c r="CB1590" s="152"/>
    </row>
    <row r="1591" spans="1:80" s="87" customFormat="1" x14ac:dyDescent="0.2">
      <c r="A1591" s="152"/>
      <c r="B1591" s="683"/>
      <c r="C1591" s="683"/>
      <c r="D1591" s="698"/>
      <c r="E1591" s="215"/>
      <c r="F1591" s="215"/>
      <c r="G1591" s="153"/>
      <c r="H1591" s="153"/>
      <c r="I1591" s="163">
        <v>10</v>
      </c>
      <c r="J1591" s="163">
        <v>120</v>
      </c>
      <c r="K1591" s="150">
        <v>1</v>
      </c>
      <c r="L1591" s="658">
        <v>20</v>
      </c>
      <c r="M1591" s="659">
        <v>34130</v>
      </c>
      <c r="N1591" s="598">
        <v>3.6245759999999998</v>
      </c>
      <c r="O1591" s="599">
        <v>2.6564999999999998E-2</v>
      </c>
      <c r="P1591" s="154"/>
      <c r="Q1591" s="93"/>
      <c r="R1591" s="93" t="s">
        <v>71</v>
      </c>
      <c r="S1591" s="93">
        <v>10.9</v>
      </c>
      <c r="T1591" s="93">
        <v>7.8</v>
      </c>
      <c r="U1591" s="93">
        <v>22.2</v>
      </c>
      <c r="V1591" s="497">
        <v>33.200000000000003</v>
      </c>
      <c r="W1591" s="497">
        <v>20.399999999999999</v>
      </c>
      <c r="X1591" s="497">
        <v>5.5</v>
      </c>
      <c r="Y1591" s="497">
        <v>0</v>
      </c>
      <c r="Z1591" s="93"/>
      <c r="AA1591" s="93"/>
      <c r="AB1591" s="95"/>
      <c r="AC1591" s="94"/>
      <c r="AD1591" s="223"/>
      <c r="AE1591" s="223"/>
      <c r="AF1591" s="223"/>
      <c r="AG1591" s="223"/>
      <c r="AH1591" s="341"/>
      <c r="AI1591" s="226"/>
      <c r="AJ1591" s="226"/>
      <c r="AK1591" s="227"/>
      <c r="AL1591" s="227"/>
      <c r="AM1591" s="152"/>
      <c r="AN1591" s="152"/>
      <c r="AO1591" s="152"/>
      <c r="AP1591" s="152"/>
      <c r="AQ1591" s="152"/>
      <c r="AR1591" s="152"/>
      <c r="AS1591" s="152"/>
      <c r="AT1591" s="152"/>
      <c r="AU1591" s="153"/>
      <c r="AV1591" s="479"/>
      <c r="AW1591" s="479"/>
      <c r="AX1591" s="442"/>
      <c r="AY1591" s="153"/>
      <c r="AZ1591" s="152"/>
      <c r="BA1591" s="152"/>
      <c r="BB1591" s="152"/>
      <c r="BC1591" s="152"/>
      <c r="BD1591" s="152"/>
      <c r="BE1591" s="152"/>
      <c r="BF1591" s="152"/>
      <c r="BG1591" s="152"/>
      <c r="BH1591" s="152"/>
      <c r="BI1591" s="153"/>
      <c r="BJ1591" s="153"/>
      <c r="BK1591" s="153"/>
      <c r="BL1591" s="153"/>
      <c r="BM1591" s="153"/>
      <c r="BN1591" s="153"/>
      <c r="BO1591" s="153"/>
      <c r="BP1591" s="153"/>
      <c r="BQ1591" s="153"/>
      <c r="BR1591" s="153"/>
      <c r="BS1591" s="153"/>
      <c r="BT1591" s="153"/>
      <c r="BU1591" s="153"/>
      <c r="BV1591" s="153"/>
      <c r="BW1591" s="153"/>
      <c r="BX1591" s="153"/>
      <c r="BY1591" s="153"/>
      <c r="BZ1591" s="153"/>
      <c r="CA1591" s="152"/>
      <c r="CB1591" s="152"/>
    </row>
    <row r="1592" spans="1:80" s="87" customFormat="1" x14ac:dyDescent="0.2">
      <c r="A1592" s="152"/>
      <c r="B1592" s="683"/>
      <c r="C1592" s="683"/>
      <c r="D1592" s="698"/>
      <c r="E1592" s="215"/>
      <c r="F1592" s="215"/>
      <c r="G1592" s="153"/>
      <c r="H1592" s="153"/>
      <c r="I1592" s="163">
        <v>10</v>
      </c>
      <c r="J1592" s="163">
        <v>120</v>
      </c>
      <c r="K1592" s="150">
        <v>1</v>
      </c>
      <c r="L1592" s="658">
        <v>20</v>
      </c>
      <c r="M1592" s="659">
        <v>34135</v>
      </c>
      <c r="N1592" s="598">
        <v>3.369723</v>
      </c>
      <c r="O1592" s="599">
        <v>3.4335000000000004E-2</v>
      </c>
      <c r="P1592" s="154"/>
      <c r="Q1592" s="93"/>
      <c r="R1592" s="93" t="s">
        <v>71</v>
      </c>
      <c r="S1592" s="93" t="s">
        <v>71</v>
      </c>
      <c r="T1592" s="93">
        <v>3.3</v>
      </c>
      <c r="U1592" s="93">
        <v>17.8</v>
      </c>
      <c r="V1592" s="497">
        <v>45.3</v>
      </c>
      <c r="W1592" s="497">
        <v>25.9</v>
      </c>
      <c r="X1592" s="497">
        <v>7.6</v>
      </c>
      <c r="Y1592" s="497">
        <v>0.1</v>
      </c>
      <c r="Z1592" s="93"/>
      <c r="AA1592" s="93"/>
      <c r="AB1592" s="95"/>
      <c r="AC1592" s="94"/>
      <c r="AD1592" s="223">
        <v>9.7536000000000005</v>
      </c>
      <c r="AE1592" s="223">
        <v>0.40538400000000002</v>
      </c>
      <c r="AF1592" s="223">
        <v>3.9575399999999998</v>
      </c>
      <c r="AG1592" s="223">
        <f>2.79*(0.3048)</f>
        <v>0.85039200000000004</v>
      </c>
      <c r="AH1592" s="341"/>
      <c r="AI1592" s="226"/>
      <c r="AJ1592" s="226"/>
      <c r="AK1592" s="227"/>
      <c r="AL1592" s="227"/>
      <c r="AM1592" s="152"/>
      <c r="AN1592" s="152"/>
      <c r="AO1592" s="152"/>
      <c r="AP1592" s="152"/>
      <c r="AQ1592" s="152"/>
      <c r="AR1592" s="152"/>
      <c r="AS1592" s="152"/>
      <c r="AT1592" s="152"/>
      <c r="AU1592" s="153"/>
      <c r="AV1592" s="479"/>
      <c r="AW1592" s="479"/>
      <c r="AX1592" s="442"/>
      <c r="AY1592" s="153"/>
      <c r="AZ1592" s="152"/>
      <c r="BA1592" s="152"/>
      <c r="BB1592" s="152"/>
      <c r="BC1592" s="152"/>
      <c r="BD1592" s="152"/>
      <c r="BE1592" s="152"/>
      <c r="BF1592" s="152"/>
      <c r="BG1592" s="152"/>
      <c r="BH1592" s="152"/>
      <c r="BI1592" s="153"/>
      <c r="BJ1592" s="153"/>
      <c r="BK1592" s="153"/>
      <c r="BL1592" s="153"/>
      <c r="BM1592" s="153"/>
      <c r="BN1592" s="153"/>
      <c r="BO1592" s="153"/>
      <c r="BP1592" s="153"/>
      <c r="BQ1592" s="153"/>
      <c r="BR1592" s="153"/>
      <c r="BS1592" s="153"/>
      <c r="BT1592" s="153"/>
      <c r="BU1592" s="153"/>
      <c r="BV1592" s="153"/>
      <c r="BW1592" s="153"/>
      <c r="BX1592" s="153"/>
      <c r="BY1592" s="153"/>
      <c r="BZ1592" s="153"/>
      <c r="CA1592" s="152"/>
      <c r="CB1592" s="152"/>
    </row>
    <row r="1593" spans="1:80" s="87" customFormat="1" x14ac:dyDescent="0.2">
      <c r="A1593" s="152"/>
      <c r="B1593" s="683"/>
      <c r="C1593" s="683"/>
      <c r="D1593" s="698"/>
      <c r="E1593" s="215"/>
      <c r="F1593" s="215"/>
      <c r="G1593" s="153"/>
      <c r="H1593" s="153"/>
      <c r="I1593" s="163">
        <v>10</v>
      </c>
      <c r="J1593" s="163">
        <v>120</v>
      </c>
      <c r="K1593" s="150">
        <v>1</v>
      </c>
      <c r="L1593" s="658">
        <v>20</v>
      </c>
      <c r="M1593" s="659">
        <v>34136</v>
      </c>
      <c r="N1593" s="598">
        <v>3.5679419999999999</v>
      </c>
      <c r="O1593" s="599">
        <v>6.2055000000000001E-3</v>
      </c>
      <c r="P1593" s="154"/>
      <c r="Q1593" s="93"/>
      <c r="R1593" s="93" t="s">
        <v>71</v>
      </c>
      <c r="S1593" s="93" t="s">
        <v>71</v>
      </c>
      <c r="T1593" s="93">
        <v>0.8</v>
      </c>
      <c r="U1593" s="93">
        <v>12.3</v>
      </c>
      <c r="V1593" s="497">
        <v>33.200000000000003</v>
      </c>
      <c r="W1593" s="497">
        <v>36.799999999999997</v>
      </c>
      <c r="X1593" s="497">
        <v>16.600000000000001</v>
      </c>
      <c r="Y1593" s="497">
        <v>0.2</v>
      </c>
      <c r="Z1593" s="93"/>
      <c r="AA1593" s="93"/>
      <c r="AB1593" s="95"/>
      <c r="AC1593" s="94"/>
      <c r="AD1593" s="223">
        <v>10.058400000000001</v>
      </c>
      <c r="AE1593" s="223">
        <v>0.40538400000000002</v>
      </c>
      <c r="AF1593" s="223">
        <v>4.0876000000000001</v>
      </c>
      <c r="AG1593" s="223">
        <f>2.86*(0.3048)</f>
        <v>0.87172800000000006</v>
      </c>
      <c r="AH1593" s="341"/>
      <c r="AI1593" s="226"/>
      <c r="AJ1593" s="226"/>
      <c r="AK1593" s="227"/>
      <c r="AL1593" s="227"/>
      <c r="AM1593" s="152"/>
      <c r="AN1593" s="152"/>
      <c r="AO1593" s="152"/>
      <c r="AP1593" s="152"/>
      <c r="AQ1593" s="152"/>
      <c r="AR1593" s="152"/>
      <c r="AS1593" s="152"/>
      <c r="AT1593" s="152"/>
      <c r="AU1593" s="153"/>
      <c r="AV1593" s="479"/>
      <c r="AW1593" s="479"/>
      <c r="AX1593" s="442"/>
      <c r="AY1593" s="153"/>
      <c r="AZ1593" s="152"/>
      <c r="BA1593" s="152"/>
      <c r="BB1593" s="152"/>
      <c r="BC1593" s="152"/>
      <c r="BD1593" s="152"/>
      <c r="BE1593" s="152"/>
      <c r="BF1593" s="152"/>
      <c r="BG1593" s="152"/>
      <c r="BH1593" s="152"/>
      <c r="BI1593" s="153"/>
      <c r="BJ1593" s="153"/>
      <c r="BK1593" s="153"/>
      <c r="BL1593" s="153"/>
      <c r="BM1593" s="153"/>
      <c r="BN1593" s="153"/>
      <c r="BO1593" s="153"/>
      <c r="BP1593" s="153"/>
      <c r="BQ1593" s="153"/>
      <c r="BR1593" s="153"/>
      <c r="BS1593" s="153"/>
      <c r="BT1593" s="153"/>
      <c r="BU1593" s="153"/>
      <c r="BV1593" s="153"/>
      <c r="BW1593" s="153"/>
      <c r="BX1593" s="153"/>
      <c r="BY1593" s="153"/>
      <c r="BZ1593" s="153"/>
      <c r="CA1593" s="152"/>
      <c r="CB1593" s="152"/>
    </row>
    <row r="1594" spans="1:80" s="87" customFormat="1" x14ac:dyDescent="0.2">
      <c r="A1594" s="152"/>
      <c r="B1594" s="683"/>
      <c r="C1594" s="683"/>
      <c r="D1594" s="698"/>
      <c r="E1594" s="215"/>
      <c r="F1594" s="215"/>
      <c r="G1594" s="153"/>
      <c r="H1594" s="153"/>
      <c r="I1594" s="163">
        <v>20</v>
      </c>
      <c r="J1594" s="163">
        <v>120</v>
      </c>
      <c r="K1594" s="150">
        <v>1</v>
      </c>
      <c r="L1594" s="658">
        <v>40</v>
      </c>
      <c r="M1594" s="659">
        <v>34136</v>
      </c>
      <c r="N1594" s="598">
        <v>3.539625</v>
      </c>
      <c r="O1594" s="601">
        <v>7.980000000000001E-3</v>
      </c>
      <c r="P1594" s="154"/>
      <c r="Q1594" s="93"/>
      <c r="R1594" s="93" t="s">
        <v>71</v>
      </c>
      <c r="S1594" s="93" t="s">
        <v>71</v>
      </c>
      <c r="T1594" s="93">
        <v>8</v>
      </c>
      <c r="U1594" s="93">
        <v>24.3</v>
      </c>
      <c r="V1594" s="497">
        <v>34.200000000000003</v>
      </c>
      <c r="W1594" s="497">
        <v>25.3</v>
      </c>
      <c r="X1594" s="497">
        <v>8.1</v>
      </c>
      <c r="Y1594" s="497">
        <v>0.1</v>
      </c>
      <c r="Z1594" s="93"/>
      <c r="AA1594" s="93"/>
      <c r="AB1594" s="95"/>
      <c r="AC1594" s="94"/>
      <c r="AD1594" s="223">
        <v>10.058400000000001</v>
      </c>
      <c r="AE1594" s="223">
        <v>0.40538400000000002</v>
      </c>
      <c r="AF1594" s="223">
        <v>4.0876000000000001</v>
      </c>
      <c r="AG1594" s="223">
        <f>2.86*(0.3048)</f>
        <v>0.87172800000000006</v>
      </c>
      <c r="AH1594" s="341"/>
      <c r="AI1594" s="226"/>
      <c r="AJ1594" s="226"/>
      <c r="AK1594" s="227"/>
      <c r="AL1594" s="227"/>
      <c r="AM1594" s="152"/>
      <c r="AN1594" s="152"/>
      <c r="AO1594" s="152"/>
      <c r="AP1594" s="152"/>
      <c r="AQ1594" s="152"/>
      <c r="AR1594" s="152"/>
      <c r="AS1594" s="152"/>
      <c r="AT1594" s="152"/>
      <c r="AU1594" s="153"/>
      <c r="AV1594" s="479"/>
      <c r="AW1594" s="479"/>
      <c r="AX1594" s="442"/>
      <c r="AY1594" s="153"/>
      <c r="AZ1594" s="152"/>
      <c r="BA1594" s="152"/>
      <c r="BB1594" s="152"/>
      <c r="BC1594" s="152"/>
      <c r="BD1594" s="152"/>
      <c r="BE1594" s="152"/>
      <c r="BF1594" s="152"/>
      <c r="BG1594" s="152"/>
      <c r="BH1594" s="152"/>
      <c r="BI1594" s="153"/>
      <c r="BJ1594" s="153"/>
      <c r="BK1594" s="153"/>
      <c r="BL1594" s="153"/>
      <c r="BM1594" s="153"/>
      <c r="BN1594" s="153"/>
      <c r="BO1594" s="153"/>
      <c r="BP1594" s="153"/>
      <c r="BQ1594" s="153"/>
      <c r="BR1594" s="153"/>
      <c r="BS1594" s="153"/>
      <c r="BT1594" s="153"/>
      <c r="BU1594" s="153"/>
      <c r="BV1594" s="153"/>
      <c r="BW1594" s="153"/>
      <c r="BX1594" s="153"/>
      <c r="BY1594" s="153"/>
      <c r="BZ1594" s="153"/>
      <c r="CA1594" s="152"/>
      <c r="CB1594" s="152"/>
    </row>
    <row r="1595" spans="1:80" s="87" customFormat="1" x14ac:dyDescent="0.2">
      <c r="A1595" s="152"/>
      <c r="B1595" s="683"/>
      <c r="C1595" s="683"/>
      <c r="D1595" s="698"/>
      <c r="E1595" s="215"/>
      <c r="F1595" s="215"/>
      <c r="G1595" s="153"/>
      <c r="H1595" s="153"/>
      <c r="I1595" s="163">
        <v>21</v>
      </c>
      <c r="J1595" s="163">
        <v>120</v>
      </c>
      <c r="K1595" s="150">
        <v>1</v>
      </c>
      <c r="L1595" s="658">
        <v>42</v>
      </c>
      <c r="M1595" s="659">
        <v>34435</v>
      </c>
      <c r="N1595" s="598">
        <v>0.36812099999999998</v>
      </c>
      <c r="O1595" s="601">
        <v>3.5070000000000001E-5</v>
      </c>
      <c r="P1595" s="154"/>
      <c r="Q1595" s="93"/>
      <c r="R1595" s="93" t="s">
        <v>71</v>
      </c>
      <c r="S1595" s="93" t="s">
        <v>71</v>
      </c>
      <c r="T1595" s="93" t="s">
        <v>71</v>
      </c>
      <c r="U1595" s="93"/>
      <c r="V1595" s="497">
        <v>49.1</v>
      </c>
      <c r="W1595" s="497">
        <v>38.799999999999997</v>
      </c>
      <c r="X1595" s="497">
        <v>7.8</v>
      </c>
      <c r="Y1595" s="497">
        <v>4.3</v>
      </c>
      <c r="Z1595" s="93"/>
      <c r="AA1595" s="93"/>
      <c r="AB1595" s="95"/>
      <c r="AC1595" s="94"/>
      <c r="AD1595" s="223">
        <v>4.2671999999999999</v>
      </c>
      <c r="AE1595" s="223">
        <v>0.20421600000000001</v>
      </c>
      <c r="AF1595" s="223">
        <v>0.86954399999999987</v>
      </c>
      <c r="AG1595" s="223">
        <f>1.39*(0.3048)</f>
        <v>0.42367199999999999</v>
      </c>
      <c r="AH1595" s="341"/>
      <c r="AI1595" s="226"/>
      <c r="AJ1595" s="226"/>
      <c r="AK1595" s="227"/>
      <c r="AL1595" s="227"/>
      <c r="AM1595" s="152"/>
      <c r="AN1595" s="152"/>
      <c r="AO1595" s="152"/>
      <c r="AP1595" s="152"/>
      <c r="AQ1595" s="152"/>
      <c r="AR1595" s="152"/>
      <c r="AS1595" s="152"/>
      <c r="AT1595" s="152"/>
      <c r="AU1595" s="153"/>
      <c r="AV1595" s="479"/>
      <c r="AW1595" s="479"/>
      <c r="AX1595" s="442"/>
      <c r="AY1595" s="153"/>
      <c r="AZ1595" s="152"/>
      <c r="BA1595" s="152"/>
      <c r="BB1595" s="152"/>
      <c r="BC1595" s="152"/>
      <c r="BD1595" s="152"/>
      <c r="BE1595" s="152"/>
      <c r="BF1595" s="152"/>
      <c r="BG1595" s="152"/>
      <c r="BH1595" s="152"/>
      <c r="BI1595" s="153"/>
      <c r="BJ1595" s="153"/>
      <c r="BK1595" s="153"/>
      <c r="BL1595" s="153"/>
      <c r="BM1595" s="153"/>
      <c r="BN1595" s="153"/>
      <c r="BO1595" s="153"/>
      <c r="BP1595" s="153"/>
      <c r="BQ1595" s="153"/>
      <c r="BR1595" s="153"/>
      <c r="BS1595" s="153"/>
      <c r="BT1595" s="153"/>
      <c r="BU1595" s="153"/>
      <c r="BV1595" s="153"/>
      <c r="BW1595" s="153"/>
      <c r="BX1595" s="153"/>
      <c r="BY1595" s="153"/>
      <c r="BZ1595" s="153"/>
      <c r="CA1595" s="152"/>
      <c r="CB1595" s="152"/>
    </row>
    <row r="1596" spans="1:80" s="87" customFormat="1" x14ac:dyDescent="0.2">
      <c r="A1596" s="152"/>
      <c r="B1596" s="683"/>
      <c r="C1596" s="683"/>
      <c r="D1596" s="698"/>
      <c r="E1596" s="215"/>
      <c r="F1596" s="215"/>
      <c r="G1596" s="153"/>
      <c r="H1596" s="153"/>
      <c r="I1596" s="163">
        <v>20</v>
      </c>
      <c r="J1596" s="163">
        <v>120</v>
      </c>
      <c r="K1596" s="150">
        <v>1</v>
      </c>
      <c r="L1596" s="658">
        <v>40</v>
      </c>
      <c r="M1596" s="659">
        <v>34442</v>
      </c>
      <c r="N1596" s="598">
        <v>0.70792499999999992</v>
      </c>
      <c r="O1596" s="601">
        <v>4.0005000000000005E-4</v>
      </c>
      <c r="P1596" s="154"/>
      <c r="Q1596" s="93"/>
      <c r="R1596" s="93" t="s">
        <v>71</v>
      </c>
      <c r="S1596" s="93" t="s">
        <v>71</v>
      </c>
      <c r="T1596" s="93">
        <v>2.2000000000000002</v>
      </c>
      <c r="U1596" s="93">
        <v>11.7</v>
      </c>
      <c r="V1596" s="497">
        <v>36.1</v>
      </c>
      <c r="W1596" s="497">
        <v>31.6</v>
      </c>
      <c r="X1596" s="497">
        <v>17.2</v>
      </c>
      <c r="Y1596" s="497">
        <v>1.3</v>
      </c>
      <c r="Z1596" s="93"/>
      <c r="AA1596" s="93"/>
      <c r="AB1596" s="95"/>
      <c r="AC1596" s="94"/>
      <c r="AD1596" s="223"/>
      <c r="AE1596" s="223"/>
      <c r="AF1596" s="223"/>
      <c r="AG1596" s="223"/>
      <c r="AH1596" s="341"/>
      <c r="AI1596" s="226"/>
      <c r="AJ1596" s="226"/>
      <c r="AK1596" s="227"/>
      <c r="AL1596" s="227"/>
      <c r="AM1596" s="152"/>
      <c r="AN1596" s="152"/>
      <c r="AO1596" s="152"/>
      <c r="AP1596" s="152"/>
      <c r="AQ1596" s="152"/>
      <c r="AR1596" s="152"/>
      <c r="AS1596" s="152"/>
      <c r="AT1596" s="152"/>
      <c r="AU1596" s="153"/>
      <c r="AV1596" s="479"/>
      <c r="AW1596" s="479"/>
      <c r="AX1596" s="442"/>
      <c r="AY1596" s="153"/>
      <c r="AZ1596" s="152"/>
      <c r="BA1596" s="152"/>
      <c r="BB1596" s="152"/>
      <c r="BC1596" s="152"/>
      <c r="BD1596" s="152"/>
      <c r="BE1596" s="152"/>
      <c r="BF1596" s="152"/>
      <c r="BG1596" s="152"/>
      <c r="BH1596" s="152"/>
      <c r="BI1596" s="153"/>
      <c r="BJ1596" s="153"/>
      <c r="BK1596" s="153"/>
      <c r="BL1596" s="153"/>
      <c r="BM1596" s="153"/>
      <c r="BN1596" s="153"/>
      <c r="BO1596" s="153"/>
      <c r="BP1596" s="153"/>
      <c r="BQ1596" s="153"/>
      <c r="BR1596" s="153"/>
      <c r="BS1596" s="153"/>
      <c r="BT1596" s="153"/>
      <c r="BU1596" s="153"/>
      <c r="BV1596" s="153"/>
      <c r="BW1596" s="153"/>
      <c r="BX1596" s="153"/>
      <c r="BY1596" s="153"/>
      <c r="BZ1596" s="153"/>
      <c r="CA1596" s="152"/>
      <c r="CB1596" s="152"/>
    </row>
    <row r="1597" spans="1:80" s="87" customFormat="1" x14ac:dyDescent="0.2">
      <c r="A1597" s="152"/>
      <c r="B1597" s="683"/>
      <c r="C1597" s="683"/>
      <c r="D1597" s="698"/>
      <c r="E1597" s="215"/>
      <c r="F1597" s="215"/>
      <c r="G1597" s="153"/>
      <c r="H1597" s="153"/>
      <c r="I1597" s="163">
        <v>21</v>
      </c>
      <c r="J1597" s="163">
        <v>240</v>
      </c>
      <c r="K1597" s="150">
        <v>1</v>
      </c>
      <c r="L1597" s="658">
        <v>84</v>
      </c>
      <c r="M1597" s="659">
        <v>34443</v>
      </c>
      <c r="N1597" s="598">
        <v>0.96277799999999991</v>
      </c>
      <c r="O1597" s="601">
        <v>8.3895000000000009E-4</v>
      </c>
      <c r="P1597" s="154"/>
      <c r="Q1597" s="93"/>
      <c r="R1597" s="93" t="s">
        <v>71</v>
      </c>
      <c r="S1597" s="93" t="s">
        <v>71</v>
      </c>
      <c r="T1597" s="93">
        <v>3</v>
      </c>
      <c r="U1597" s="93">
        <v>13.2</v>
      </c>
      <c r="V1597" s="497">
        <v>27.9</v>
      </c>
      <c r="W1597" s="497">
        <v>31.5</v>
      </c>
      <c r="X1597" s="497">
        <v>22.8</v>
      </c>
      <c r="Y1597" s="497">
        <v>1.6</v>
      </c>
      <c r="Z1597" s="93"/>
      <c r="AA1597" s="93"/>
      <c r="AB1597" s="95"/>
      <c r="AC1597" s="94"/>
      <c r="AD1597" s="223"/>
      <c r="AE1597" s="223"/>
      <c r="AF1597" s="223"/>
      <c r="AG1597" s="223"/>
      <c r="AH1597" s="341"/>
      <c r="AI1597" s="226"/>
      <c r="AJ1597" s="226"/>
      <c r="AK1597" s="227"/>
      <c r="AL1597" s="227"/>
      <c r="AM1597" s="152"/>
      <c r="AN1597" s="152"/>
      <c r="AO1597" s="152"/>
      <c r="AP1597" s="152"/>
      <c r="AQ1597" s="152"/>
      <c r="AR1597" s="152"/>
      <c r="AS1597" s="152"/>
      <c r="AT1597" s="152"/>
      <c r="AU1597" s="153"/>
      <c r="AV1597" s="479"/>
      <c r="AW1597" s="479"/>
      <c r="AX1597" s="442"/>
      <c r="AY1597" s="153"/>
      <c r="AZ1597" s="152"/>
      <c r="BA1597" s="152"/>
      <c r="BB1597" s="152"/>
      <c r="BC1597" s="152"/>
      <c r="BD1597" s="152"/>
      <c r="BE1597" s="152"/>
      <c r="BF1597" s="152"/>
      <c r="BG1597" s="152"/>
      <c r="BH1597" s="152"/>
      <c r="BI1597" s="153"/>
      <c r="BJ1597" s="153"/>
      <c r="BK1597" s="153"/>
      <c r="BL1597" s="153"/>
      <c r="BM1597" s="153"/>
      <c r="BN1597" s="153"/>
      <c r="BO1597" s="153"/>
      <c r="BP1597" s="153"/>
      <c r="BQ1597" s="153"/>
      <c r="BR1597" s="153"/>
      <c r="BS1597" s="153"/>
      <c r="BT1597" s="153"/>
      <c r="BU1597" s="153"/>
      <c r="BV1597" s="153"/>
      <c r="BW1597" s="153"/>
      <c r="BX1597" s="153"/>
      <c r="BY1597" s="153"/>
      <c r="BZ1597" s="153"/>
      <c r="CA1597" s="152"/>
      <c r="CB1597" s="152"/>
    </row>
    <row r="1598" spans="1:80" s="87" customFormat="1" x14ac:dyDescent="0.2">
      <c r="A1598" s="152"/>
      <c r="B1598" s="683"/>
      <c r="C1598" s="683"/>
      <c r="D1598" s="698"/>
      <c r="E1598" s="215"/>
      <c r="F1598" s="215"/>
      <c r="G1598" s="153"/>
      <c r="H1598" s="153"/>
      <c r="I1598" s="163">
        <v>20</v>
      </c>
      <c r="J1598" s="163">
        <v>120</v>
      </c>
      <c r="K1598" s="150">
        <v>1</v>
      </c>
      <c r="L1598" s="658">
        <v>40</v>
      </c>
      <c r="M1598" s="659">
        <v>34445</v>
      </c>
      <c r="N1598" s="598">
        <v>1.5857519999999998</v>
      </c>
      <c r="O1598" s="601">
        <v>5.4495000000000004E-3</v>
      </c>
      <c r="P1598" s="154"/>
      <c r="Q1598" s="93"/>
      <c r="R1598" s="93" t="s">
        <v>71</v>
      </c>
      <c r="S1598" s="93">
        <v>2</v>
      </c>
      <c r="T1598" s="93">
        <v>3.1</v>
      </c>
      <c r="U1598" s="93">
        <v>21</v>
      </c>
      <c r="V1598" s="497">
        <v>36.299999999999997</v>
      </c>
      <c r="W1598" s="497">
        <v>24.9</v>
      </c>
      <c r="X1598" s="497">
        <v>12</v>
      </c>
      <c r="Y1598" s="497">
        <v>0.7</v>
      </c>
      <c r="Z1598" s="93"/>
      <c r="AA1598" s="93"/>
      <c r="AB1598" s="95"/>
      <c r="AC1598" s="94"/>
      <c r="AD1598" s="223"/>
      <c r="AE1598" s="223"/>
      <c r="AF1598" s="223"/>
      <c r="AG1598" s="223"/>
      <c r="AH1598" s="341"/>
      <c r="AI1598" s="226"/>
      <c r="AJ1598" s="226"/>
      <c r="AK1598" s="227"/>
      <c r="AL1598" s="227"/>
      <c r="AM1598" s="152"/>
      <c r="AN1598" s="152"/>
      <c r="AO1598" s="152"/>
      <c r="AP1598" s="152"/>
      <c r="AQ1598" s="152"/>
      <c r="AR1598" s="152"/>
      <c r="AS1598" s="152"/>
      <c r="AT1598" s="152"/>
      <c r="AU1598" s="153"/>
      <c r="AV1598" s="479"/>
      <c r="AW1598" s="479"/>
      <c r="AX1598" s="442"/>
      <c r="AY1598" s="153"/>
      <c r="AZ1598" s="152"/>
      <c r="BA1598" s="152"/>
      <c r="BB1598" s="152"/>
      <c r="BC1598" s="152"/>
      <c r="BD1598" s="152"/>
      <c r="BE1598" s="152"/>
      <c r="BF1598" s="152"/>
      <c r="BG1598" s="152"/>
      <c r="BH1598" s="152"/>
      <c r="BI1598" s="153"/>
      <c r="BJ1598" s="153"/>
      <c r="BK1598" s="153"/>
      <c r="BL1598" s="153"/>
      <c r="BM1598" s="153"/>
      <c r="BN1598" s="153"/>
      <c r="BO1598" s="153"/>
      <c r="BP1598" s="153"/>
      <c r="BQ1598" s="153"/>
      <c r="BR1598" s="153"/>
      <c r="BS1598" s="153"/>
      <c r="BT1598" s="153"/>
      <c r="BU1598" s="153"/>
      <c r="BV1598" s="153"/>
      <c r="BW1598" s="153"/>
      <c r="BX1598" s="153"/>
      <c r="BY1598" s="153"/>
      <c r="BZ1598" s="153"/>
      <c r="CA1598" s="152"/>
      <c r="CB1598" s="152"/>
    </row>
    <row r="1599" spans="1:80" s="87" customFormat="1" x14ac:dyDescent="0.2">
      <c r="A1599" s="152"/>
      <c r="B1599" s="683"/>
      <c r="C1599" s="683"/>
      <c r="D1599" s="698"/>
      <c r="E1599" s="215"/>
      <c r="F1599" s="215"/>
      <c r="G1599" s="153"/>
      <c r="H1599" s="153"/>
      <c r="I1599" s="163">
        <v>20</v>
      </c>
      <c r="J1599" s="163">
        <v>240</v>
      </c>
      <c r="K1599" s="150">
        <v>1</v>
      </c>
      <c r="L1599" s="658">
        <v>80</v>
      </c>
      <c r="M1599" s="659">
        <v>34456</v>
      </c>
      <c r="N1599" s="598">
        <v>1.019412</v>
      </c>
      <c r="O1599" s="601">
        <v>1.9110000000000001E-4</v>
      </c>
      <c r="P1599" s="154"/>
      <c r="Q1599" s="93"/>
      <c r="R1599" s="93" t="s">
        <v>71</v>
      </c>
      <c r="S1599" s="93" t="s">
        <v>71</v>
      </c>
      <c r="T1599" s="93">
        <v>3.3</v>
      </c>
      <c r="U1599" s="93">
        <v>7.5</v>
      </c>
      <c r="V1599" s="497">
        <v>21.7</v>
      </c>
      <c r="W1599" s="497">
        <v>34.9</v>
      </c>
      <c r="X1599" s="497">
        <v>30</v>
      </c>
      <c r="Y1599" s="497">
        <v>2.7</v>
      </c>
      <c r="Z1599" s="93"/>
      <c r="AA1599" s="93"/>
      <c r="AB1599" s="95"/>
      <c r="AC1599" s="94"/>
      <c r="AD1599" s="223"/>
      <c r="AE1599" s="223"/>
      <c r="AF1599" s="223"/>
      <c r="AG1599" s="223"/>
      <c r="AH1599" s="341"/>
      <c r="AI1599" s="226"/>
      <c r="AJ1599" s="226"/>
      <c r="AK1599" s="227"/>
      <c r="AL1599" s="227"/>
      <c r="AM1599" s="152"/>
      <c r="AN1599" s="152"/>
      <c r="AO1599" s="152"/>
      <c r="AP1599" s="152"/>
      <c r="AQ1599" s="152"/>
      <c r="AR1599" s="152"/>
      <c r="AS1599" s="152"/>
      <c r="AT1599" s="152"/>
      <c r="AU1599" s="153"/>
      <c r="AV1599" s="479"/>
      <c r="AW1599" s="479"/>
      <c r="AX1599" s="442"/>
      <c r="AY1599" s="153"/>
      <c r="AZ1599" s="152"/>
      <c r="BA1599" s="152"/>
      <c r="BB1599" s="152"/>
      <c r="BC1599" s="152"/>
      <c r="BD1599" s="152"/>
      <c r="BE1599" s="152"/>
      <c r="BF1599" s="152"/>
      <c r="BG1599" s="152"/>
      <c r="BH1599" s="152"/>
      <c r="BI1599" s="153"/>
      <c r="BJ1599" s="153"/>
      <c r="BK1599" s="153"/>
      <c r="BL1599" s="153"/>
      <c r="BM1599" s="153"/>
      <c r="BN1599" s="153"/>
      <c r="BO1599" s="153"/>
      <c r="BP1599" s="153"/>
      <c r="BQ1599" s="153"/>
      <c r="BR1599" s="153"/>
      <c r="BS1599" s="153"/>
      <c r="BT1599" s="153"/>
      <c r="BU1599" s="153"/>
      <c r="BV1599" s="153"/>
      <c r="BW1599" s="153"/>
      <c r="BX1599" s="153"/>
      <c r="BY1599" s="153"/>
      <c r="BZ1599" s="153"/>
      <c r="CA1599" s="152"/>
      <c r="CB1599" s="152"/>
    </row>
    <row r="1600" spans="1:80" s="87" customFormat="1" x14ac:dyDescent="0.2">
      <c r="A1600" s="152"/>
      <c r="B1600" s="683"/>
      <c r="C1600" s="683"/>
      <c r="D1600" s="698"/>
      <c r="E1600" s="215"/>
      <c r="F1600" s="215"/>
      <c r="G1600" s="153"/>
      <c r="H1600" s="153"/>
      <c r="I1600" s="163">
        <v>20</v>
      </c>
      <c r="J1600" s="163">
        <v>240</v>
      </c>
      <c r="K1600" s="150">
        <v>1</v>
      </c>
      <c r="L1600" s="658">
        <v>80</v>
      </c>
      <c r="M1600" s="659">
        <v>34458</v>
      </c>
      <c r="N1600" s="598">
        <v>1.104363</v>
      </c>
      <c r="O1600" s="601">
        <v>2.4990000000000006E-4</v>
      </c>
      <c r="P1600" s="154"/>
      <c r="Q1600" s="93"/>
      <c r="R1600" s="93" t="s">
        <v>71</v>
      </c>
      <c r="S1600" s="93" t="s">
        <v>71</v>
      </c>
      <c r="T1600" s="93">
        <v>4.2</v>
      </c>
      <c r="U1600" s="93">
        <v>20.399999999999999</v>
      </c>
      <c r="V1600" s="497">
        <v>26.6</v>
      </c>
      <c r="W1600" s="497">
        <v>27.4</v>
      </c>
      <c r="X1600" s="497">
        <v>19.7</v>
      </c>
      <c r="Y1600" s="497">
        <v>1.6</v>
      </c>
      <c r="Z1600" s="93"/>
      <c r="AA1600" s="93"/>
      <c r="AB1600" s="95"/>
      <c r="AC1600" s="94"/>
      <c r="AD1600" s="223"/>
      <c r="AE1600" s="223"/>
      <c r="AF1600" s="223"/>
      <c r="AG1600" s="223"/>
      <c r="AH1600" s="341"/>
      <c r="AI1600" s="226"/>
      <c r="AJ1600" s="226"/>
      <c r="AK1600" s="227"/>
      <c r="AL1600" s="227"/>
      <c r="AM1600" s="152"/>
      <c r="AN1600" s="152"/>
      <c r="AO1600" s="152"/>
      <c r="AP1600" s="152"/>
      <c r="AQ1600" s="152"/>
      <c r="AR1600" s="152"/>
      <c r="AS1600" s="152"/>
      <c r="AT1600" s="152"/>
      <c r="AU1600" s="153"/>
      <c r="AV1600" s="479"/>
      <c r="AW1600" s="479"/>
      <c r="AX1600" s="442"/>
      <c r="AY1600" s="153"/>
      <c r="AZ1600" s="152"/>
      <c r="BA1600" s="152"/>
      <c r="BB1600" s="152"/>
      <c r="BC1600" s="152"/>
      <c r="BD1600" s="152"/>
      <c r="BE1600" s="152"/>
      <c r="BF1600" s="152"/>
      <c r="BG1600" s="152"/>
      <c r="BH1600" s="152"/>
      <c r="BI1600" s="153"/>
      <c r="BJ1600" s="153"/>
      <c r="BK1600" s="153"/>
      <c r="BL1600" s="153"/>
      <c r="BM1600" s="153"/>
      <c r="BN1600" s="153"/>
      <c r="BO1600" s="153"/>
      <c r="BP1600" s="153"/>
      <c r="BQ1600" s="153"/>
      <c r="BR1600" s="153"/>
      <c r="BS1600" s="153"/>
      <c r="BT1600" s="153"/>
      <c r="BU1600" s="153"/>
      <c r="BV1600" s="153"/>
      <c r="BW1600" s="153"/>
      <c r="BX1600" s="153"/>
      <c r="BY1600" s="153"/>
      <c r="BZ1600" s="153"/>
      <c r="CA1600" s="152"/>
      <c r="CB1600" s="152"/>
    </row>
    <row r="1601" spans="1:80" s="87" customFormat="1" x14ac:dyDescent="0.2">
      <c r="A1601" s="152"/>
      <c r="B1601" s="683"/>
      <c r="C1601" s="683"/>
      <c r="D1601" s="698"/>
      <c r="E1601" s="215"/>
      <c r="F1601" s="215"/>
      <c r="G1601" s="153"/>
      <c r="H1601" s="153"/>
      <c r="I1601" s="163">
        <v>20</v>
      </c>
      <c r="J1601" s="163">
        <v>240</v>
      </c>
      <c r="K1601" s="150">
        <v>1</v>
      </c>
      <c r="L1601" s="658">
        <v>80</v>
      </c>
      <c r="M1601" s="659">
        <v>34459</v>
      </c>
      <c r="N1601" s="598">
        <v>1.189314</v>
      </c>
      <c r="O1601" s="601">
        <v>5.1660000000000009E-4</v>
      </c>
      <c r="P1601" s="154"/>
      <c r="Q1601" s="93"/>
      <c r="R1601" s="93" t="s">
        <v>71</v>
      </c>
      <c r="S1601" s="93" t="s">
        <v>71</v>
      </c>
      <c r="T1601" s="93">
        <v>3.6</v>
      </c>
      <c r="U1601" s="93">
        <v>9.3000000000000007</v>
      </c>
      <c r="V1601" s="497">
        <v>31.7</v>
      </c>
      <c r="W1601" s="497">
        <v>39.1</v>
      </c>
      <c r="X1601" s="497">
        <v>15.8</v>
      </c>
      <c r="Y1601" s="497">
        <v>0.6</v>
      </c>
      <c r="Z1601" s="93"/>
      <c r="AA1601" s="93"/>
      <c r="AB1601" s="95"/>
      <c r="AC1601" s="94"/>
      <c r="AD1601" s="223"/>
      <c r="AE1601" s="223"/>
      <c r="AF1601" s="223"/>
      <c r="AG1601" s="223"/>
      <c r="AH1601" s="341"/>
      <c r="AI1601" s="226"/>
      <c r="AJ1601" s="226"/>
      <c r="AK1601" s="227"/>
      <c r="AL1601" s="227"/>
      <c r="AM1601" s="152"/>
      <c r="AN1601" s="152"/>
      <c r="AO1601" s="152"/>
      <c r="AP1601" s="152"/>
      <c r="AQ1601" s="152"/>
      <c r="AR1601" s="152"/>
      <c r="AS1601" s="152"/>
      <c r="AT1601" s="152"/>
      <c r="AU1601" s="153"/>
      <c r="AV1601" s="479"/>
      <c r="AW1601" s="479"/>
      <c r="AX1601" s="442"/>
      <c r="AY1601" s="153"/>
      <c r="AZ1601" s="152"/>
      <c r="BA1601" s="152"/>
      <c r="BB1601" s="152"/>
      <c r="BC1601" s="152"/>
      <c r="BD1601" s="152"/>
      <c r="BE1601" s="152"/>
      <c r="BF1601" s="152"/>
      <c r="BG1601" s="152"/>
      <c r="BH1601" s="152"/>
      <c r="BI1601" s="153"/>
      <c r="BJ1601" s="153"/>
      <c r="BK1601" s="153"/>
      <c r="BL1601" s="153"/>
      <c r="BM1601" s="153"/>
      <c r="BN1601" s="153"/>
      <c r="BO1601" s="153"/>
      <c r="BP1601" s="153"/>
      <c r="BQ1601" s="153"/>
      <c r="BR1601" s="153"/>
      <c r="BS1601" s="153"/>
      <c r="BT1601" s="153"/>
      <c r="BU1601" s="153"/>
      <c r="BV1601" s="153"/>
      <c r="BW1601" s="153"/>
      <c r="BX1601" s="153"/>
      <c r="BY1601" s="153"/>
      <c r="BZ1601" s="153"/>
      <c r="CA1601" s="152"/>
      <c r="CB1601" s="152"/>
    </row>
    <row r="1602" spans="1:80" s="87" customFormat="1" x14ac:dyDescent="0.2">
      <c r="A1602" s="152"/>
      <c r="B1602" s="683"/>
      <c r="C1602" s="683"/>
      <c r="D1602" s="698"/>
      <c r="E1602" s="215"/>
      <c r="F1602" s="215"/>
      <c r="G1602" s="153"/>
      <c r="H1602" s="153"/>
      <c r="I1602" s="163">
        <v>20</v>
      </c>
      <c r="J1602" s="163">
        <v>120</v>
      </c>
      <c r="K1602" s="150">
        <v>1</v>
      </c>
      <c r="L1602" s="658">
        <v>40</v>
      </c>
      <c r="M1602" s="659">
        <v>34463</v>
      </c>
      <c r="N1602" s="598">
        <v>3.3414059999999997</v>
      </c>
      <c r="O1602" s="601">
        <v>1.0122000000000001E-2</v>
      </c>
      <c r="P1602" s="154"/>
      <c r="Q1602" s="93"/>
      <c r="R1602" s="93" t="s">
        <v>71</v>
      </c>
      <c r="S1602" s="93" t="s">
        <v>71</v>
      </c>
      <c r="T1602" s="93">
        <v>6.1</v>
      </c>
      <c r="U1602" s="93">
        <v>22.9</v>
      </c>
      <c r="V1602" s="497">
        <v>34.799999999999997</v>
      </c>
      <c r="W1602" s="497">
        <v>25.1</v>
      </c>
      <c r="X1602" s="497">
        <v>10.6</v>
      </c>
      <c r="Y1602" s="497">
        <v>0.4</v>
      </c>
      <c r="Z1602" s="93"/>
      <c r="AA1602" s="93"/>
      <c r="AB1602" s="95"/>
      <c r="AC1602" s="94"/>
      <c r="AD1602" s="223">
        <v>9.7536000000000005</v>
      </c>
      <c r="AE1602" s="223">
        <v>0.40538400000000002</v>
      </c>
      <c r="AF1602" s="223">
        <v>3.9575399999999998</v>
      </c>
      <c r="AG1602" s="223">
        <f>2.79*(0.3048)</f>
        <v>0.85039200000000004</v>
      </c>
      <c r="AH1602" s="341"/>
      <c r="AI1602" s="226"/>
      <c r="AJ1602" s="226"/>
      <c r="AK1602" s="227"/>
      <c r="AL1602" s="227"/>
      <c r="AM1602" s="152"/>
      <c r="AN1602" s="152"/>
      <c r="AO1602" s="152"/>
      <c r="AP1602" s="152"/>
      <c r="AQ1602" s="152"/>
      <c r="AR1602" s="152"/>
      <c r="AS1602" s="152"/>
      <c r="AT1602" s="152"/>
      <c r="AU1602" s="153"/>
      <c r="AV1602" s="479"/>
      <c r="AW1602" s="479"/>
      <c r="AX1602" s="442"/>
      <c r="AY1602" s="153"/>
      <c r="AZ1602" s="152"/>
      <c r="BA1602" s="152"/>
      <c r="BB1602" s="152"/>
      <c r="BC1602" s="152"/>
      <c r="BD1602" s="152"/>
      <c r="BE1602" s="152"/>
      <c r="BF1602" s="152"/>
      <c r="BG1602" s="152"/>
      <c r="BH1602" s="152"/>
      <c r="BI1602" s="153"/>
      <c r="BJ1602" s="153"/>
      <c r="BK1602" s="153"/>
      <c r="BL1602" s="153"/>
      <c r="BM1602" s="153"/>
      <c r="BN1602" s="153"/>
      <c r="BO1602" s="153"/>
      <c r="BP1602" s="153"/>
      <c r="BQ1602" s="153"/>
      <c r="BR1602" s="153"/>
      <c r="BS1602" s="153"/>
      <c r="BT1602" s="153"/>
      <c r="BU1602" s="153"/>
      <c r="BV1602" s="153"/>
      <c r="BW1602" s="153"/>
      <c r="BX1602" s="153"/>
      <c r="BY1602" s="153"/>
      <c r="BZ1602" s="153"/>
      <c r="CA1602" s="152"/>
      <c r="CB1602" s="152"/>
    </row>
    <row r="1603" spans="1:80" s="87" customFormat="1" x14ac:dyDescent="0.2">
      <c r="A1603" s="152"/>
      <c r="B1603" s="683"/>
      <c r="C1603" s="683"/>
      <c r="D1603" s="698"/>
      <c r="E1603" s="215"/>
      <c r="F1603" s="215"/>
      <c r="G1603" s="153"/>
      <c r="H1603" s="153"/>
      <c r="I1603" s="163">
        <v>20</v>
      </c>
      <c r="J1603" s="163">
        <v>120</v>
      </c>
      <c r="K1603" s="150">
        <v>1</v>
      </c>
      <c r="L1603" s="658">
        <v>40</v>
      </c>
      <c r="M1603" s="659">
        <v>34465</v>
      </c>
      <c r="N1603" s="598">
        <v>3.2564549999999999</v>
      </c>
      <c r="O1603" s="601">
        <v>9.3135000000000006E-3</v>
      </c>
      <c r="P1603" s="154"/>
      <c r="Q1603" s="93"/>
      <c r="R1603" s="93" t="s">
        <v>71</v>
      </c>
      <c r="S1603" s="93">
        <v>1.5</v>
      </c>
      <c r="T1603" s="93">
        <v>7.6</v>
      </c>
      <c r="U1603" s="93">
        <v>26.4</v>
      </c>
      <c r="V1603" s="497">
        <v>37.200000000000003</v>
      </c>
      <c r="W1603" s="497">
        <v>20.399999999999999</v>
      </c>
      <c r="X1603" s="497">
        <v>6.6</v>
      </c>
      <c r="Y1603" s="497">
        <v>0.3</v>
      </c>
      <c r="Z1603" s="93"/>
      <c r="AA1603" s="93"/>
      <c r="AB1603" s="95"/>
      <c r="AC1603" s="94"/>
      <c r="AD1603" s="223"/>
      <c r="AE1603" s="223"/>
      <c r="AF1603" s="223"/>
      <c r="AG1603" s="223"/>
      <c r="AH1603" s="341"/>
      <c r="AI1603" s="226"/>
      <c r="AJ1603" s="226"/>
      <c r="AK1603" s="227"/>
      <c r="AL1603" s="227"/>
      <c r="AM1603" s="152"/>
      <c r="AN1603" s="152"/>
      <c r="AO1603" s="152"/>
      <c r="AP1603" s="152"/>
      <c r="AQ1603" s="152"/>
      <c r="AR1603" s="152"/>
      <c r="AS1603" s="152"/>
      <c r="AT1603" s="152"/>
      <c r="AU1603" s="153"/>
      <c r="AV1603" s="479"/>
      <c r="AW1603" s="479"/>
      <c r="AX1603" s="442"/>
      <c r="AY1603" s="153"/>
      <c r="AZ1603" s="152"/>
      <c r="BA1603" s="152"/>
      <c r="BB1603" s="152"/>
      <c r="BC1603" s="152"/>
      <c r="BD1603" s="152"/>
      <c r="BE1603" s="152"/>
      <c r="BF1603" s="152"/>
      <c r="BG1603" s="152"/>
      <c r="BH1603" s="152"/>
      <c r="BI1603" s="153"/>
      <c r="BJ1603" s="153"/>
      <c r="BK1603" s="153"/>
      <c r="BL1603" s="153"/>
      <c r="BM1603" s="153"/>
      <c r="BN1603" s="153"/>
      <c r="BO1603" s="153"/>
      <c r="BP1603" s="153"/>
      <c r="BQ1603" s="153"/>
      <c r="BR1603" s="153"/>
      <c r="BS1603" s="153"/>
      <c r="BT1603" s="153"/>
      <c r="BU1603" s="153"/>
      <c r="BV1603" s="153"/>
      <c r="BW1603" s="153"/>
      <c r="BX1603" s="153"/>
      <c r="BY1603" s="153"/>
      <c r="BZ1603" s="153"/>
      <c r="CA1603" s="152"/>
      <c r="CB1603" s="152"/>
    </row>
    <row r="1604" spans="1:80" s="87" customFormat="1" x14ac:dyDescent="0.2">
      <c r="A1604" s="152"/>
      <c r="B1604" s="683"/>
      <c r="C1604" s="683"/>
      <c r="D1604" s="698"/>
      <c r="E1604" s="215"/>
      <c r="F1604" s="215"/>
      <c r="G1604" s="153"/>
      <c r="H1604" s="153"/>
      <c r="I1604" s="163">
        <v>20</v>
      </c>
      <c r="J1604" s="163">
        <v>60</v>
      </c>
      <c r="K1604" s="150">
        <v>1</v>
      </c>
      <c r="L1604" s="658">
        <v>20</v>
      </c>
      <c r="M1604" s="659">
        <v>34471</v>
      </c>
      <c r="N1604" s="598">
        <v>1.8122879999999999</v>
      </c>
      <c r="O1604" s="601">
        <v>2.0790000000000001E-3</v>
      </c>
      <c r="P1604" s="154"/>
      <c r="Q1604" s="93"/>
      <c r="R1604" s="93" t="s">
        <v>71</v>
      </c>
      <c r="S1604" s="93" t="s">
        <v>71</v>
      </c>
      <c r="T1604" s="93" t="s">
        <v>71</v>
      </c>
      <c r="U1604" s="93">
        <v>12.8</v>
      </c>
      <c r="V1604" s="497">
        <v>31.5</v>
      </c>
      <c r="W1604" s="497">
        <v>34.700000000000003</v>
      </c>
      <c r="X1604" s="497">
        <v>20</v>
      </c>
      <c r="Y1604" s="497">
        <v>1</v>
      </c>
      <c r="Z1604" s="93"/>
      <c r="AA1604" s="93"/>
      <c r="AB1604" s="95"/>
      <c r="AC1604" s="94"/>
      <c r="AD1604" s="223"/>
      <c r="AE1604" s="223"/>
      <c r="AF1604" s="223"/>
      <c r="AG1604" s="223"/>
      <c r="AH1604" s="341"/>
      <c r="AI1604" s="226"/>
      <c r="AJ1604" s="226"/>
      <c r="AK1604" s="227"/>
      <c r="AL1604" s="227"/>
      <c r="AM1604" s="152"/>
      <c r="AN1604" s="152"/>
      <c r="AO1604" s="152"/>
      <c r="AP1604" s="152"/>
      <c r="AQ1604" s="152"/>
      <c r="AR1604" s="152"/>
      <c r="AS1604" s="152"/>
      <c r="AT1604" s="152"/>
      <c r="AU1604" s="153"/>
      <c r="AV1604" s="479"/>
      <c r="AW1604" s="479"/>
      <c r="AX1604" s="442"/>
      <c r="AY1604" s="153"/>
      <c r="AZ1604" s="152"/>
      <c r="BA1604" s="152"/>
      <c r="BB1604" s="152"/>
      <c r="BC1604" s="152"/>
      <c r="BD1604" s="152"/>
      <c r="BE1604" s="152"/>
      <c r="BF1604" s="152"/>
      <c r="BG1604" s="152"/>
      <c r="BH1604" s="152"/>
      <c r="BI1604" s="153"/>
      <c r="BJ1604" s="153"/>
      <c r="BK1604" s="153"/>
      <c r="BL1604" s="153"/>
      <c r="BM1604" s="153"/>
      <c r="BN1604" s="153"/>
      <c r="BO1604" s="153"/>
      <c r="BP1604" s="153"/>
      <c r="BQ1604" s="153"/>
      <c r="BR1604" s="153"/>
      <c r="BS1604" s="153"/>
      <c r="BT1604" s="153"/>
      <c r="BU1604" s="153"/>
      <c r="BV1604" s="153"/>
      <c r="BW1604" s="153"/>
      <c r="BX1604" s="153"/>
      <c r="BY1604" s="153"/>
      <c r="BZ1604" s="153"/>
      <c r="CA1604" s="152"/>
      <c r="CB1604" s="152"/>
    </row>
    <row r="1605" spans="1:80" s="87" customFormat="1" x14ac:dyDescent="0.2">
      <c r="A1605" s="152"/>
      <c r="B1605" s="683"/>
      <c r="C1605" s="683"/>
      <c r="D1605" s="698"/>
      <c r="E1605" s="215"/>
      <c r="F1605" s="215"/>
      <c r="G1605" s="153"/>
      <c r="H1605" s="153"/>
      <c r="I1605" s="163">
        <v>20</v>
      </c>
      <c r="J1605" s="163">
        <v>60</v>
      </c>
      <c r="K1605" s="150">
        <v>1</v>
      </c>
      <c r="L1605" s="658">
        <v>20</v>
      </c>
      <c r="M1605" s="659">
        <v>34471</v>
      </c>
      <c r="N1605" s="598">
        <v>1.8122879999999999</v>
      </c>
      <c r="O1605" s="601">
        <v>1.8165E-3</v>
      </c>
      <c r="P1605" s="154"/>
      <c r="Q1605" s="93"/>
      <c r="R1605" s="93"/>
      <c r="S1605" s="93"/>
      <c r="T1605" s="93">
        <v>1.2</v>
      </c>
      <c r="U1605" s="93">
        <v>17.5</v>
      </c>
      <c r="V1605" s="497">
        <v>36.700000000000003</v>
      </c>
      <c r="W1605" s="497">
        <v>30.4</v>
      </c>
      <c r="X1605" s="497">
        <v>13.5</v>
      </c>
      <c r="Y1605" s="497">
        <v>0.7</v>
      </c>
      <c r="Z1605" s="93"/>
      <c r="AA1605" s="93"/>
      <c r="AB1605" s="95"/>
      <c r="AC1605" s="94"/>
      <c r="AD1605" s="223"/>
      <c r="AE1605" s="223"/>
      <c r="AF1605" s="223"/>
      <c r="AG1605" s="223"/>
      <c r="AH1605" s="341"/>
      <c r="AI1605" s="226"/>
      <c r="AJ1605" s="226"/>
      <c r="AK1605" s="227"/>
      <c r="AL1605" s="227"/>
      <c r="AM1605" s="152"/>
      <c r="AN1605" s="152"/>
      <c r="AO1605" s="152"/>
      <c r="AP1605" s="152"/>
      <c r="AQ1605" s="152"/>
      <c r="AR1605" s="152"/>
      <c r="AS1605" s="152"/>
      <c r="AT1605" s="152"/>
      <c r="AU1605" s="153"/>
      <c r="AV1605" s="479"/>
      <c r="AW1605" s="479"/>
      <c r="AX1605" s="442"/>
      <c r="AY1605" s="153"/>
      <c r="AZ1605" s="152"/>
      <c r="BA1605" s="152"/>
      <c r="BB1605" s="152"/>
      <c r="BC1605" s="152"/>
      <c r="BD1605" s="152"/>
      <c r="BE1605" s="152"/>
      <c r="BF1605" s="152"/>
      <c r="BG1605" s="152"/>
      <c r="BH1605" s="152"/>
      <c r="BI1605" s="153"/>
      <c r="BJ1605" s="153"/>
      <c r="BK1605" s="153"/>
      <c r="BL1605" s="153"/>
      <c r="BM1605" s="153"/>
      <c r="BN1605" s="153"/>
      <c r="BO1605" s="153"/>
      <c r="BP1605" s="153"/>
      <c r="BQ1605" s="153"/>
      <c r="BR1605" s="153"/>
      <c r="BS1605" s="153"/>
      <c r="BT1605" s="153"/>
      <c r="BU1605" s="153"/>
      <c r="BV1605" s="153"/>
      <c r="BW1605" s="153"/>
      <c r="BX1605" s="153"/>
      <c r="BY1605" s="153"/>
      <c r="BZ1605" s="153"/>
      <c r="CA1605" s="152"/>
      <c r="CB1605" s="152"/>
    </row>
    <row r="1606" spans="1:80" s="87" customFormat="1" x14ac:dyDescent="0.2">
      <c r="A1606" s="152"/>
      <c r="B1606" s="683"/>
      <c r="C1606" s="683"/>
      <c r="D1606" s="698"/>
      <c r="E1606" s="215"/>
      <c r="F1606" s="215"/>
      <c r="G1606" s="153"/>
      <c r="H1606" s="153"/>
      <c r="I1606" s="163">
        <v>20</v>
      </c>
      <c r="J1606" s="163">
        <v>60</v>
      </c>
      <c r="K1606" s="150">
        <v>1</v>
      </c>
      <c r="L1606" s="658">
        <v>20</v>
      </c>
      <c r="M1606" s="659">
        <v>34472</v>
      </c>
      <c r="N1606" s="598">
        <v>1.614069</v>
      </c>
      <c r="O1606" s="601">
        <v>2.1000000000000003E-3</v>
      </c>
      <c r="P1606" s="154"/>
      <c r="Q1606" s="93"/>
      <c r="R1606" s="93"/>
      <c r="S1606" s="93"/>
      <c r="T1606" s="93">
        <v>1.1000000000000001</v>
      </c>
      <c r="U1606" s="93">
        <v>8.3000000000000007</v>
      </c>
      <c r="V1606" s="497">
        <v>39.4</v>
      </c>
      <c r="W1606" s="497">
        <v>38</v>
      </c>
      <c r="X1606" s="497">
        <v>12.5</v>
      </c>
      <c r="Y1606" s="497">
        <v>0.6</v>
      </c>
      <c r="Z1606" s="93"/>
      <c r="AA1606" s="93"/>
      <c r="AB1606" s="95"/>
      <c r="AC1606" s="94"/>
      <c r="AD1606" s="223"/>
      <c r="AE1606" s="223"/>
      <c r="AF1606" s="223"/>
      <c r="AG1606" s="223"/>
      <c r="AH1606" s="341"/>
      <c r="AI1606" s="226"/>
      <c r="AJ1606" s="226"/>
      <c r="AK1606" s="227"/>
      <c r="AL1606" s="227"/>
      <c r="AM1606" s="152"/>
      <c r="AN1606" s="152"/>
      <c r="AO1606" s="152"/>
      <c r="AP1606" s="152"/>
      <c r="AQ1606" s="152"/>
      <c r="AR1606" s="152"/>
      <c r="AS1606" s="152"/>
      <c r="AT1606" s="152"/>
      <c r="AU1606" s="153"/>
      <c r="AV1606" s="479"/>
      <c r="AW1606" s="479"/>
      <c r="AX1606" s="442"/>
      <c r="AY1606" s="153"/>
      <c r="AZ1606" s="152"/>
      <c r="BA1606" s="152"/>
      <c r="BB1606" s="152"/>
      <c r="BC1606" s="152"/>
      <c r="BD1606" s="152"/>
      <c r="BE1606" s="152"/>
      <c r="BF1606" s="152"/>
      <c r="BG1606" s="152"/>
      <c r="BH1606" s="152"/>
      <c r="BI1606" s="153"/>
      <c r="BJ1606" s="153"/>
      <c r="BK1606" s="153"/>
      <c r="BL1606" s="153"/>
      <c r="BM1606" s="153"/>
      <c r="BN1606" s="153"/>
      <c r="BO1606" s="153"/>
      <c r="BP1606" s="153"/>
      <c r="BQ1606" s="153"/>
      <c r="BR1606" s="153"/>
      <c r="BS1606" s="153"/>
      <c r="BT1606" s="153"/>
      <c r="BU1606" s="153"/>
      <c r="BV1606" s="153"/>
      <c r="BW1606" s="153"/>
      <c r="BX1606" s="153"/>
      <c r="BY1606" s="153"/>
      <c r="BZ1606" s="153"/>
      <c r="CA1606" s="152"/>
      <c r="CB1606" s="152"/>
    </row>
    <row r="1607" spans="1:80" s="87" customFormat="1" x14ac:dyDescent="0.2">
      <c r="A1607" s="152"/>
      <c r="B1607" s="683"/>
      <c r="C1607" s="683"/>
      <c r="D1607" s="698"/>
      <c r="E1607" s="215"/>
      <c r="F1607" s="215"/>
      <c r="G1607" s="153"/>
      <c r="H1607" s="153"/>
      <c r="I1607" s="163">
        <v>20</v>
      </c>
      <c r="J1607" s="163">
        <v>60</v>
      </c>
      <c r="K1607" s="150">
        <v>1</v>
      </c>
      <c r="L1607" s="658">
        <v>20</v>
      </c>
      <c r="M1607" s="659">
        <v>34472</v>
      </c>
      <c r="N1607" s="598">
        <v>1.614069</v>
      </c>
      <c r="O1607" s="601">
        <v>6.6780000000000008E-4</v>
      </c>
      <c r="P1607" s="154"/>
      <c r="Q1607" s="93"/>
      <c r="R1607" s="93"/>
      <c r="S1607" s="93"/>
      <c r="T1607" s="93" t="s">
        <v>71</v>
      </c>
      <c r="U1607" s="93">
        <v>21.8</v>
      </c>
      <c r="V1607" s="497">
        <v>40</v>
      </c>
      <c r="W1607" s="497">
        <v>26.6</v>
      </c>
      <c r="X1607" s="497">
        <v>10.9</v>
      </c>
      <c r="Y1607" s="497">
        <v>0.7</v>
      </c>
      <c r="Z1607" s="93"/>
      <c r="AA1607" s="93"/>
      <c r="AB1607" s="95"/>
      <c r="AC1607" s="94"/>
      <c r="AD1607" s="223"/>
      <c r="AE1607" s="223"/>
      <c r="AF1607" s="223"/>
      <c r="AG1607" s="223"/>
      <c r="AH1607" s="341"/>
      <c r="AI1607" s="226"/>
      <c r="AJ1607" s="226"/>
      <c r="AK1607" s="227"/>
      <c r="AL1607" s="227"/>
      <c r="AM1607" s="152"/>
      <c r="AN1607" s="152"/>
      <c r="AO1607" s="152"/>
      <c r="AP1607" s="152"/>
      <c r="AQ1607" s="152"/>
      <c r="AR1607" s="152"/>
      <c r="AS1607" s="152"/>
      <c r="AT1607" s="152"/>
      <c r="AU1607" s="153"/>
      <c r="AV1607" s="479"/>
      <c r="AW1607" s="479"/>
      <c r="AX1607" s="442"/>
      <c r="AY1607" s="153"/>
      <c r="AZ1607" s="152"/>
      <c r="BA1607" s="152"/>
      <c r="BB1607" s="152"/>
      <c r="BC1607" s="152"/>
      <c r="BD1607" s="152"/>
      <c r="BE1607" s="152"/>
      <c r="BF1607" s="152"/>
      <c r="BG1607" s="152"/>
      <c r="BH1607" s="152"/>
      <c r="BI1607" s="153"/>
      <c r="BJ1607" s="153"/>
      <c r="BK1607" s="153"/>
      <c r="BL1607" s="153"/>
      <c r="BM1607" s="153"/>
      <c r="BN1607" s="153"/>
      <c r="BO1607" s="153"/>
      <c r="BP1607" s="153"/>
      <c r="BQ1607" s="153"/>
      <c r="BR1607" s="153"/>
      <c r="BS1607" s="153"/>
      <c r="BT1607" s="153"/>
      <c r="BU1607" s="153"/>
      <c r="BV1607" s="153"/>
      <c r="BW1607" s="153"/>
      <c r="BX1607" s="153"/>
      <c r="BY1607" s="153"/>
      <c r="BZ1607" s="153"/>
      <c r="CA1607" s="152"/>
      <c r="CB1607" s="152"/>
    </row>
    <row r="1608" spans="1:80" s="87" customFormat="1" x14ac:dyDescent="0.2">
      <c r="A1608" s="152"/>
      <c r="B1608" s="683"/>
      <c r="C1608" s="683"/>
      <c r="D1608" s="698"/>
      <c r="E1608" s="215"/>
      <c r="F1608" s="215"/>
      <c r="G1608" s="153"/>
      <c r="H1608" s="153"/>
      <c r="I1608" s="163">
        <v>20</v>
      </c>
      <c r="J1608" s="163">
        <v>60</v>
      </c>
      <c r="K1608" s="150">
        <v>1</v>
      </c>
      <c r="L1608" s="658">
        <v>20</v>
      </c>
      <c r="M1608" s="659">
        <v>34473</v>
      </c>
      <c r="N1608" s="598">
        <v>1.529118</v>
      </c>
      <c r="O1608" s="601">
        <v>5.2290000000000001E-3</v>
      </c>
      <c r="P1608" s="154"/>
      <c r="Q1608" s="93"/>
      <c r="R1608" s="93"/>
      <c r="S1608" s="93"/>
      <c r="T1608" s="93" t="s">
        <v>71</v>
      </c>
      <c r="U1608" s="93">
        <v>11.6</v>
      </c>
      <c r="V1608" s="497">
        <v>43.3</v>
      </c>
      <c r="W1608" s="497">
        <v>37</v>
      </c>
      <c r="X1608" s="497">
        <v>8</v>
      </c>
      <c r="Y1608" s="497">
        <v>0.2</v>
      </c>
      <c r="Z1608" s="93"/>
      <c r="AA1608" s="93"/>
      <c r="AB1608" s="95"/>
      <c r="AC1608" s="94"/>
      <c r="AD1608" s="223"/>
      <c r="AE1608" s="223"/>
      <c r="AF1608" s="223"/>
      <c r="AG1608" s="223"/>
      <c r="AH1608" s="341"/>
      <c r="AI1608" s="226"/>
      <c r="AJ1608" s="226"/>
      <c r="AK1608" s="227"/>
      <c r="AL1608" s="227"/>
      <c r="AM1608" s="152"/>
      <c r="AN1608" s="152"/>
      <c r="AO1608" s="152"/>
      <c r="AP1608" s="152"/>
      <c r="AQ1608" s="152"/>
      <c r="AR1608" s="152"/>
      <c r="AS1608" s="152"/>
      <c r="AT1608" s="152"/>
      <c r="AU1608" s="153"/>
      <c r="AV1608" s="479"/>
      <c r="AW1608" s="479"/>
      <c r="AX1608" s="442"/>
      <c r="AY1608" s="153"/>
      <c r="AZ1608" s="152"/>
      <c r="BA1608" s="152"/>
      <c r="BB1608" s="152"/>
      <c r="BC1608" s="152"/>
      <c r="BD1608" s="152"/>
      <c r="BE1608" s="152"/>
      <c r="BF1608" s="152"/>
      <c r="BG1608" s="152"/>
      <c r="BH1608" s="152"/>
      <c r="BI1608" s="153"/>
      <c r="BJ1608" s="153"/>
      <c r="BK1608" s="153"/>
      <c r="BL1608" s="153"/>
      <c r="BM1608" s="153"/>
      <c r="BN1608" s="153"/>
      <c r="BO1608" s="153"/>
      <c r="BP1608" s="153"/>
      <c r="BQ1608" s="153"/>
      <c r="BR1608" s="153"/>
      <c r="BS1608" s="153"/>
      <c r="BT1608" s="153"/>
      <c r="BU1608" s="153"/>
      <c r="BV1608" s="153"/>
      <c r="BW1608" s="153"/>
      <c r="BX1608" s="153"/>
      <c r="BY1608" s="153"/>
      <c r="BZ1608" s="153"/>
      <c r="CA1608" s="152"/>
      <c r="CB1608" s="152"/>
    </row>
    <row r="1609" spans="1:80" s="87" customFormat="1" x14ac:dyDescent="0.2">
      <c r="A1609" s="152"/>
      <c r="B1609" s="683"/>
      <c r="C1609" s="683"/>
      <c r="D1609" s="698"/>
      <c r="E1609" s="215"/>
      <c r="F1609" s="215"/>
      <c r="G1609" s="153"/>
      <c r="H1609" s="153"/>
      <c r="I1609" s="163">
        <v>20</v>
      </c>
      <c r="J1609" s="163">
        <v>60</v>
      </c>
      <c r="K1609" s="150">
        <v>1</v>
      </c>
      <c r="L1609" s="658">
        <v>20</v>
      </c>
      <c r="M1609" s="659">
        <v>34473</v>
      </c>
      <c r="N1609" s="598">
        <v>1.529118</v>
      </c>
      <c r="O1609" s="601">
        <v>3.3600000000000001E-3</v>
      </c>
      <c r="P1609" s="154"/>
      <c r="Q1609" s="93"/>
      <c r="R1609" s="93"/>
      <c r="S1609" s="93"/>
      <c r="T1609" s="93">
        <v>4</v>
      </c>
      <c r="U1609" s="93">
        <v>20</v>
      </c>
      <c r="V1609" s="497">
        <v>40.299999999999997</v>
      </c>
      <c r="W1609" s="497">
        <v>26.3</v>
      </c>
      <c r="X1609" s="497">
        <v>9.1</v>
      </c>
      <c r="Y1609" s="497">
        <v>0.4</v>
      </c>
      <c r="Z1609" s="93"/>
      <c r="AA1609" s="93"/>
      <c r="AB1609" s="95"/>
      <c r="AC1609" s="94"/>
      <c r="AD1609" s="223"/>
      <c r="AE1609" s="223"/>
      <c r="AF1609" s="223"/>
      <c r="AG1609" s="223"/>
      <c r="AH1609" s="341"/>
      <c r="AI1609" s="226"/>
      <c r="AJ1609" s="226"/>
      <c r="AK1609" s="227"/>
      <c r="AL1609" s="227"/>
      <c r="AM1609" s="152"/>
      <c r="AN1609" s="152"/>
      <c r="AO1609" s="152"/>
      <c r="AP1609" s="152"/>
      <c r="AQ1609" s="152"/>
      <c r="AR1609" s="152"/>
      <c r="AS1609" s="152"/>
      <c r="AT1609" s="152"/>
      <c r="AU1609" s="153"/>
      <c r="AV1609" s="479"/>
      <c r="AW1609" s="479"/>
      <c r="AX1609" s="442"/>
      <c r="AY1609" s="153"/>
      <c r="AZ1609" s="152"/>
      <c r="BA1609" s="152"/>
      <c r="BB1609" s="152"/>
      <c r="BC1609" s="152"/>
      <c r="BD1609" s="152"/>
      <c r="BE1609" s="152"/>
      <c r="BF1609" s="152"/>
      <c r="BG1609" s="152"/>
      <c r="BH1609" s="152"/>
      <c r="BI1609" s="153"/>
      <c r="BJ1609" s="153"/>
      <c r="BK1609" s="153"/>
      <c r="BL1609" s="153"/>
      <c r="BM1609" s="153"/>
      <c r="BN1609" s="153"/>
      <c r="BO1609" s="153"/>
      <c r="BP1609" s="153"/>
      <c r="BQ1609" s="153"/>
      <c r="BR1609" s="153"/>
      <c r="BS1609" s="153"/>
      <c r="BT1609" s="153"/>
      <c r="BU1609" s="153"/>
      <c r="BV1609" s="153"/>
      <c r="BW1609" s="153"/>
      <c r="BX1609" s="153"/>
      <c r="BY1609" s="153"/>
      <c r="BZ1609" s="153"/>
      <c r="CA1609" s="152"/>
      <c r="CB1609" s="152"/>
    </row>
    <row r="1610" spans="1:80" s="87" customFormat="1" x14ac:dyDescent="0.2">
      <c r="A1610" s="152"/>
      <c r="B1610" s="683"/>
      <c r="C1610" s="683"/>
      <c r="D1610" s="698"/>
      <c r="E1610" s="215"/>
      <c r="F1610" s="215"/>
      <c r="G1610" s="153"/>
      <c r="H1610" s="153"/>
      <c r="I1610" s="163">
        <v>20</v>
      </c>
      <c r="J1610" s="163">
        <v>60</v>
      </c>
      <c r="K1610" s="150">
        <v>1</v>
      </c>
      <c r="L1610" s="658">
        <v>20</v>
      </c>
      <c r="M1610" s="659">
        <v>34478</v>
      </c>
      <c r="N1610" s="598">
        <v>1.5857519999999998</v>
      </c>
      <c r="O1610" s="601">
        <v>3.9690000000000003E-3</v>
      </c>
      <c r="P1610" s="154"/>
      <c r="Q1610" s="93"/>
      <c r="R1610" s="93"/>
      <c r="S1610" s="93"/>
      <c r="T1610" s="93">
        <v>4.2</v>
      </c>
      <c r="U1610" s="93">
        <v>25.5</v>
      </c>
      <c r="V1610" s="497">
        <v>41.1</v>
      </c>
      <c r="W1610" s="497">
        <v>22.8</v>
      </c>
      <c r="X1610" s="497">
        <v>6</v>
      </c>
      <c r="Y1610" s="497">
        <v>0.4</v>
      </c>
      <c r="Z1610" s="93"/>
      <c r="AA1610" s="93"/>
      <c r="AB1610" s="95"/>
      <c r="AC1610" s="94"/>
      <c r="AD1610" s="223"/>
      <c r="AE1610" s="223"/>
      <c r="AF1610" s="223"/>
      <c r="AG1610" s="223"/>
      <c r="AH1610" s="341"/>
      <c r="AI1610" s="226"/>
      <c r="AJ1610" s="226"/>
      <c r="AK1610" s="227"/>
      <c r="AL1610" s="227"/>
      <c r="AM1610" s="152"/>
      <c r="AN1610" s="152"/>
      <c r="AO1610" s="152"/>
      <c r="AP1610" s="152"/>
      <c r="AQ1610" s="152"/>
      <c r="AR1610" s="152"/>
      <c r="AS1610" s="152"/>
      <c r="AT1610" s="152"/>
      <c r="AU1610" s="153"/>
      <c r="AV1610" s="479"/>
      <c r="AW1610" s="479"/>
      <c r="AX1610" s="442"/>
      <c r="AY1610" s="153"/>
      <c r="AZ1610" s="152"/>
      <c r="BA1610" s="152"/>
      <c r="BB1610" s="152"/>
      <c r="BC1610" s="152"/>
      <c r="BD1610" s="152"/>
      <c r="BE1610" s="152"/>
      <c r="BF1610" s="152"/>
      <c r="BG1610" s="152"/>
      <c r="BH1610" s="152"/>
      <c r="BI1610" s="153"/>
      <c r="BJ1610" s="153"/>
      <c r="BK1610" s="153"/>
      <c r="BL1610" s="153"/>
      <c r="BM1610" s="153"/>
      <c r="BN1610" s="153"/>
      <c r="BO1610" s="153"/>
      <c r="BP1610" s="153"/>
      <c r="BQ1610" s="153"/>
      <c r="BR1610" s="153"/>
      <c r="BS1610" s="153"/>
      <c r="BT1610" s="153"/>
      <c r="BU1610" s="153"/>
      <c r="BV1610" s="153"/>
      <c r="BW1610" s="153"/>
      <c r="BX1610" s="153"/>
      <c r="BY1610" s="153"/>
      <c r="BZ1610" s="153"/>
      <c r="CA1610" s="152"/>
      <c r="CB1610" s="152"/>
    </row>
    <row r="1611" spans="1:80" s="87" customFormat="1" x14ac:dyDescent="0.2">
      <c r="A1611" s="152"/>
      <c r="B1611" s="683"/>
      <c r="C1611" s="683"/>
      <c r="D1611" s="698"/>
      <c r="E1611" s="215"/>
      <c r="F1611" s="215"/>
      <c r="G1611" s="153"/>
      <c r="H1611" s="153"/>
      <c r="I1611" s="163">
        <v>20</v>
      </c>
      <c r="J1611" s="163">
        <v>60</v>
      </c>
      <c r="K1611" s="150">
        <v>1</v>
      </c>
      <c r="L1611" s="658">
        <v>20</v>
      </c>
      <c r="M1611" s="659">
        <v>34478</v>
      </c>
      <c r="N1611" s="598">
        <v>1.5857519999999998</v>
      </c>
      <c r="O1611" s="601">
        <v>5.5230000000000003E-4</v>
      </c>
      <c r="P1611" s="154"/>
      <c r="Q1611" s="93"/>
      <c r="R1611" s="93"/>
      <c r="S1611" s="93"/>
      <c r="T1611" s="93">
        <v>6.8</v>
      </c>
      <c r="U1611" s="93">
        <v>15.1</v>
      </c>
      <c r="V1611" s="497">
        <v>35.200000000000003</v>
      </c>
      <c r="W1611" s="497">
        <v>29.8</v>
      </c>
      <c r="X1611" s="497">
        <v>12.2</v>
      </c>
      <c r="Y1611" s="497">
        <v>0.9</v>
      </c>
      <c r="Z1611" s="93"/>
      <c r="AA1611" s="93"/>
      <c r="AB1611" s="95"/>
      <c r="AC1611" s="94"/>
      <c r="AD1611" s="223"/>
      <c r="AE1611" s="223"/>
      <c r="AF1611" s="223"/>
      <c r="AG1611" s="223"/>
      <c r="AH1611" s="341"/>
      <c r="AI1611" s="226"/>
      <c r="AJ1611" s="226"/>
      <c r="AK1611" s="227"/>
      <c r="AL1611" s="227"/>
      <c r="AM1611" s="152"/>
      <c r="AN1611" s="152"/>
      <c r="AO1611" s="152"/>
      <c r="AP1611" s="152"/>
      <c r="AQ1611" s="152"/>
      <c r="AR1611" s="152"/>
      <c r="AS1611" s="152"/>
      <c r="AT1611" s="152"/>
      <c r="AU1611" s="153"/>
      <c r="AV1611" s="479"/>
      <c r="AW1611" s="479"/>
      <c r="AX1611" s="442"/>
      <c r="AY1611" s="153"/>
      <c r="AZ1611" s="152"/>
      <c r="BA1611" s="152"/>
      <c r="BB1611" s="152"/>
      <c r="BC1611" s="152"/>
      <c r="BD1611" s="152"/>
      <c r="BE1611" s="152"/>
      <c r="BF1611" s="152"/>
      <c r="BG1611" s="152"/>
      <c r="BH1611" s="152"/>
      <c r="BI1611" s="153"/>
      <c r="BJ1611" s="153"/>
      <c r="BK1611" s="153"/>
      <c r="BL1611" s="153"/>
      <c r="BM1611" s="153"/>
      <c r="BN1611" s="153"/>
      <c r="BO1611" s="153"/>
      <c r="BP1611" s="153"/>
      <c r="BQ1611" s="153"/>
      <c r="BR1611" s="153"/>
      <c r="BS1611" s="153"/>
      <c r="BT1611" s="153"/>
      <c r="BU1611" s="153"/>
      <c r="BV1611" s="153"/>
      <c r="BW1611" s="153"/>
      <c r="BX1611" s="153"/>
      <c r="BY1611" s="153"/>
      <c r="BZ1611" s="153"/>
      <c r="CA1611" s="152"/>
      <c r="CB1611" s="152"/>
    </row>
    <row r="1612" spans="1:80" s="87" customFormat="1" x14ac:dyDescent="0.2">
      <c r="A1612" s="152"/>
      <c r="B1612" s="683"/>
      <c r="C1612" s="683"/>
      <c r="D1612" s="698"/>
      <c r="E1612" s="215"/>
      <c r="F1612" s="215"/>
      <c r="G1612" s="153"/>
      <c r="H1612" s="153"/>
      <c r="I1612" s="163">
        <v>20</v>
      </c>
      <c r="J1612" s="163">
        <v>120</v>
      </c>
      <c r="K1612" s="150">
        <v>1</v>
      </c>
      <c r="L1612" s="658">
        <v>40</v>
      </c>
      <c r="M1612" s="659">
        <v>34479</v>
      </c>
      <c r="N1612" s="598">
        <v>1.7273369999999999</v>
      </c>
      <c r="O1612" s="601">
        <v>1.3965000000000002E-3</v>
      </c>
      <c r="P1612" s="154"/>
      <c r="Q1612" s="93"/>
      <c r="R1612" s="93"/>
      <c r="S1612" s="93"/>
      <c r="T1612" s="93">
        <v>6.8</v>
      </c>
      <c r="U1612" s="93">
        <v>24.5</v>
      </c>
      <c r="V1612" s="497">
        <v>37.200000000000003</v>
      </c>
      <c r="W1612" s="497">
        <v>22.5</v>
      </c>
      <c r="X1612" s="497">
        <v>8.6999999999999993</v>
      </c>
      <c r="Y1612" s="497">
        <v>0.4</v>
      </c>
      <c r="Z1612" s="93"/>
      <c r="AA1612" s="93"/>
      <c r="AB1612" s="95"/>
      <c r="AC1612" s="94"/>
      <c r="AD1612" s="223"/>
      <c r="AE1612" s="223"/>
      <c r="AF1612" s="223"/>
      <c r="AG1612" s="223"/>
      <c r="AH1612" s="341"/>
      <c r="AI1612" s="226"/>
      <c r="AJ1612" s="226"/>
      <c r="AK1612" s="227"/>
      <c r="AL1612" s="227"/>
      <c r="AM1612" s="152"/>
      <c r="AN1612" s="152"/>
      <c r="AO1612" s="152"/>
      <c r="AP1612" s="152"/>
      <c r="AQ1612" s="152"/>
      <c r="AR1612" s="152"/>
      <c r="AS1612" s="152"/>
      <c r="AT1612" s="152"/>
      <c r="AU1612" s="153"/>
      <c r="AV1612" s="479"/>
      <c r="AW1612" s="479"/>
      <c r="AX1612" s="442"/>
      <c r="AY1612" s="153"/>
      <c r="AZ1612" s="152"/>
      <c r="BA1612" s="152"/>
      <c r="BB1612" s="152"/>
      <c r="BC1612" s="152"/>
      <c r="BD1612" s="152"/>
      <c r="BE1612" s="152"/>
      <c r="BF1612" s="152"/>
      <c r="BG1612" s="152"/>
      <c r="BH1612" s="152"/>
      <c r="BI1612" s="153"/>
      <c r="BJ1612" s="153"/>
      <c r="BK1612" s="153"/>
      <c r="BL1612" s="153"/>
      <c r="BM1612" s="153"/>
      <c r="BN1612" s="153"/>
      <c r="BO1612" s="153"/>
      <c r="BP1612" s="153"/>
      <c r="BQ1612" s="153"/>
      <c r="BR1612" s="153"/>
      <c r="BS1612" s="153"/>
      <c r="BT1612" s="153"/>
      <c r="BU1612" s="153"/>
      <c r="BV1612" s="153"/>
      <c r="BW1612" s="153"/>
      <c r="BX1612" s="153"/>
      <c r="BY1612" s="153"/>
      <c r="BZ1612" s="153"/>
      <c r="CA1612" s="152"/>
      <c r="CB1612" s="152"/>
    </row>
    <row r="1613" spans="1:80" s="87" customFormat="1" x14ac:dyDescent="0.2">
      <c r="A1613" s="152"/>
      <c r="B1613" s="683"/>
      <c r="C1613" s="683"/>
      <c r="D1613" s="698"/>
      <c r="E1613" s="215"/>
      <c r="F1613" s="215"/>
      <c r="G1613" s="153"/>
      <c r="H1613" s="153"/>
      <c r="I1613" s="163">
        <v>20</v>
      </c>
      <c r="J1613" s="163">
        <v>60</v>
      </c>
      <c r="K1613" s="150">
        <v>1</v>
      </c>
      <c r="L1613" s="658">
        <v>20</v>
      </c>
      <c r="M1613" s="659">
        <v>34487</v>
      </c>
      <c r="N1613" s="598">
        <v>1.9821899999999999</v>
      </c>
      <c r="O1613" s="601">
        <v>1.4595000000000003E-3</v>
      </c>
      <c r="P1613" s="154"/>
      <c r="Q1613" s="93"/>
      <c r="R1613" s="93"/>
      <c r="S1613" s="93"/>
      <c r="T1613" s="93">
        <v>3.8</v>
      </c>
      <c r="U1613" s="93">
        <v>21.9</v>
      </c>
      <c r="V1613" s="497">
        <v>39.5</v>
      </c>
      <c r="W1613" s="497">
        <v>25.3</v>
      </c>
      <c r="X1613" s="497">
        <v>8.9</v>
      </c>
      <c r="Y1613" s="497">
        <v>0.6</v>
      </c>
      <c r="Z1613" s="93"/>
      <c r="AA1613" s="93"/>
      <c r="AB1613" s="95"/>
      <c r="AC1613" s="94"/>
      <c r="AD1613" s="223">
        <v>5.7911999999999999</v>
      </c>
      <c r="AE1613" s="223">
        <v>0.39624000000000004</v>
      </c>
      <c r="AF1613" s="223">
        <v>2.2946299999999997</v>
      </c>
      <c r="AG1613" s="223">
        <f>3*(0.3048)</f>
        <v>0.9144000000000001</v>
      </c>
      <c r="AH1613" s="341"/>
      <c r="AI1613" s="226"/>
      <c r="AJ1613" s="226"/>
      <c r="AK1613" s="227"/>
      <c r="AL1613" s="227"/>
      <c r="AM1613" s="152"/>
      <c r="AN1613" s="152"/>
      <c r="AO1613" s="152"/>
      <c r="AP1613" s="152"/>
      <c r="AQ1613" s="152"/>
      <c r="AR1613" s="152"/>
      <c r="AS1613" s="152"/>
      <c r="AT1613" s="152"/>
      <c r="AU1613" s="153"/>
      <c r="AV1613" s="479"/>
      <c r="AW1613" s="479"/>
      <c r="AX1613" s="442"/>
      <c r="AY1613" s="153"/>
      <c r="AZ1613" s="152"/>
      <c r="BA1613" s="152"/>
      <c r="BB1613" s="152"/>
      <c r="BC1613" s="152"/>
      <c r="BD1613" s="152"/>
      <c r="BE1613" s="152"/>
      <c r="BF1613" s="152"/>
      <c r="BG1613" s="152"/>
      <c r="BH1613" s="152"/>
      <c r="BI1613" s="153"/>
      <c r="BJ1613" s="153"/>
      <c r="BK1613" s="153"/>
      <c r="BL1613" s="153"/>
      <c r="BM1613" s="153"/>
      <c r="BN1613" s="153"/>
      <c r="BO1613" s="153"/>
      <c r="BP1613" s="153"/>
      <c r="BQ1613" s="153"/>
      <c r="BR1613" s="153"/>
      <c r="BS1613" s="153"/>
      <c r="BT1613" s="153"/>
      <c r="BU1613" s="153"/>
      <c r="BV1613" s="153"/>
      <c r="BW1613" s="153"/>
      <c r="BX1613" s="153"/>
      <c r="BY1613" s="153"/>
      <c r="BZ1613" s="153"/>
      <c r="CA1613" s="152"/>
      <c r="CB1613" s="152"/>
    </row>
    <row r="1614" spans="1:80" s="87" customFormat="1" x14ac:dyDescent="0.2">
      <c r="A1614" s="152"/>
      <c r="B1614" s="683"/>
      <c r="C1614" s="683"/>
      <c r="D1614" s="698"/>
      <c r="E1614" s="215"/>
      <c r="F1614" s="215"/>
      <c r="G1614" s="153"/>
      <c r="H1614" s="153"/>
      <c r="I1614" s="163">
        <v>20</v>
      </c>
      <c r="J1614" s="163">
        <v>60</v>
      </c>
      <c r="K1614" s="150">
        <v>1</v>
      </c>
      <c r="L1614" s="658">
        <v>20</v>
      </c>
      <c r="M1614" s="659">
        <v>34487</v>
      </c>
      <c r="N1614" s="598">
        <v>1.9821899999999999</v>
      </c>
      <c r="O1614" s="601">
        <v>1.2390000000000001E-3</v>
      </c>
      <c r="P1614" s="154"/>
      <c r="Q1614" s="93"/>
      <c r="R1614" s="93"/>
      <c r="S1614" s="93"/>
      <c r="T1614" s="93">
        <v>1.2</v>
      </c>
      <c r="U1614" s="93">
        <v>16.399999999999999</v>
      </c>
      <c r="V1614" s="497">
        <v>41.1</v>
      </c>
      <c r="W1614" s="497">
        <v>28.2</v>
      </c>
      <c r="X1614" s="497">
        <v>11.9</v>
      </c>
      <c r="Y1614" s="497">
        <v>1.2</v>
      </c>
      <c r="Z1614" s="93"/>
      <c r="AA1614" s="93"/>
      <c r="AB1614" s="95"/>
      <c r="AC1614" s="94"/>
      <c r="AD1614" s="223">
        <v>5.7911999999999999</v>
      </c>
      <c r="AE1614" s="223">
        <v>0.39624000000000004</v>
      </c>
      <c r="AF1614" s="223">
        <v>2.2946299999999997</v>
      </c>
      <c r="AG1614" s="223">
        <f>3*(0.3048)</f>
        <v>0.9144000000000001</v>
      </c>
      <c r="AH1614" s="341"/>
      <c r="AI1614" s="226"/>
      <c r="AJ1614" s="226"/>
      <c r="AK1614" s="227"/>
      <c r="AL1614" s="227"/>
      <c r="AM1614" s="152"/>
      <c r="AN1614" s="152"/>
      <c r="AO1614" s="152"/>
      <c r="AP1614" s="152"/>
      <c r="AQ1614" s="152"/>
      <c r="AR1614" s="152"/>
      <c r="AS1614" s="152"/>
      <c r="AT1614" s="152"/>
      <c r="AU1614" s="153"/>
      <c r="AV1614" s="479"/>
      <c r="AW1614" s="479"/>
      <c r="AX1614" s="442"/>
      <c r="AY1614" s="153"/>
      <c r="AZ1614" s="152"/>
      <c r="BA1614" s="152"/>
      <c r="BB1614" s="152"/>
      <c r="BC1614" s="152"/>
      <c r="BD1614" s="152"/>
      <c r="BE1614" s="152"/>
      <c r="BF1614" s="152"/>
      <c r="BG1614" s="152"/>
      <c r="BH1614" s="152"/>
      <c r="BI1614" s="153"/>
      <c r="BJ1614" s="153"/>
      <c r="BK1614" s="153"/>
      <c r="BL1614" s="153"/>
      <c r="BM1614" s="153"/>
      <c r="BN1614" s="153"/>
      <c r="BO1614" s="153"/>
      <c r="BP1614" s="153"/>
      <c r="BQ1614" s="153"/>
      <c r="BR1614" s="153"/>
      <c r="BS1614" s="153"/>
      <c r="BT1614" s="153"/>
      <c r="BU1614" s="153"/>
      <c r="BV1614" s="153"/>
      <c r="BW1614" s="153"/>
      <c r="BX1614" s="153"/>
      <c r="BY1614" s="153"/>
      <c r="BZ1614" s="153"/>
      <c r="CA1614" s="152"/>
      <c r="CB1614" s="152"/>
    </row>
    <row r="1615" spans="1:80" s="87" customFormat="1" x14ac:dyDescent="0.2">
      <c r="A1615" s="152"/>
      <c r="B1615" s="683"/>
      <c r="C1615" s="683"/>
      <c r="D1615" s="698"/>
      <c r="E1615" s="215"/>
      <c r="F1615" s="215"/>
      <c r="G1615" s="153"/>
      <c r="H1615" s="153"/>
      <c r="I1615" s="163">
        <v>20</v>
      </c>
      <c r="J1615" s="163">
        <v>240</v>
      </c>
      <c r="K1615" s="150">
        <v>1</v>
      </c>
      <c r="L1615" s="658">
        <v>80</v>
      </c>
      <c r="M1615" s="659">
        <v>34494</v>
      </c>
      <c r="N1615" s="598">
        <v>1.104363</v>
      </c>
      <c r="O1615" s="601">
        <v>3.3075000000000004E-4</v>
      </c>
      <c r="P1615" s="154"/>
      <c r="Q1615" s="93"/>
      <c r="R1615" s="93"/>
      <c r="S1615" s="93"/>
      <c r="T1615" s="93">
        <v>4.8</v>
      </c>
      <c r="U1615" s="93">
        <v>8.4</v>
      </c>
      <c r="V1615" s="497">
        <v>34.6</v>
      </c>
      <c r="W1615" s="497">
        <v>35</v>
      </c>
      <c r="X1615" s="497">
        <v>16.100000000000001</v>
      </c>
      <c r="Y1615" s="497">
        <v>1</v>
      </c>
      <c r="Z1615" s="93"/>
      <c r="AA1615" s="93"/>
      <c r="AB1615" s="95"/>
      <c r="AC1615" s="94"/>
      <c r="AD1615" s="223"/>
      <c r="AE1615" s="223"/>
      <c r="AF1615" s="223"/>
      <c r="AG1615" s="223"/>
      <c r="AH1615" s="341"/>
      <c r="AI1615" s="225"/>
      <c r="AJ1615" s="225"/>
      <c r="AK1615" s="152"/>
      <c r="AL1615" s="152"/>
      <c r="AM1615" s="152"/>
      <c r="AN1615" s="152"/>
      <c r="AO1615" s="152"/>
      <c r="AP1615" s="152"/>
      <c r="AQ1615" s="152"/>
      <c r="AR1615" s="152"/>
      <c r="AS1615" s="152"/>
      <c r="AT1615" s="152"/>
      <c r="AU1615" s="153"/>
      <c r="AV1615" s="479"/>
      <c r="AW1615" s="479"/>
      <c r="AX1615" s="442"/>
      <c r="AY1615" s="153"/>
      <c r="AZ1615" s="152"/>
      <c r="BA1615" s="152"/>
      <c r="BB1615" s="152"/>
      <c r="BC1615" s="152"/>
      <c r="BD1615" s="152"/>
      <c r="BE1615" s="152"/>
      <c r="BF1615" s="152"/>
      <c r="BG1615" s="152"/>
      <c r="BH1615" s="152"/>
      <c r="BI1615" s="153"/>
      <c r="BJ1615" s="153"/>
      <c r="BK1615" s="153"/>
      <c r="BL1615" s="153"/>
      <c r="BM1615" s="153"/>
      <c r="BN1615" s="153"/>
      <c r="BO1615" s="153"/>
      <c r="BP1615" s="153"/>
      <c r="BQ1615" s="153"/>
      <c r="BR1615" s="153"/>
      <c r="BS1615" s="153"/>
      <c r="BT1615" s="153"/>
      <c r="BU1615" s="153"/>
      <c r="BV1615" s="153"/>
      <c r="BW1615" s="153"/>
      <c r="BX1615" s="153"/>
      <c r="BY1615" s="153"/>
      <c r="BZ1615" s="153"/>
      <c r="CA1615" s="152"/>
      <c r="CB1615" s="152"/>
    </row>
    <row r="1616" spans="1:80" s="87" customFormat="1" x14ac:dyDescent="0.2">
      <c r="A1616" s="152"/>
      <c r="B1616" s="683"/>
      <c r="C1616" s="683"/>
      <c r="D1616" s="698"/>
      <c r="E1616" s="215"/>
      <c r="F1616" s="215"/>
      <c r="G1616" s="153"/>
      <c r="H1616" s="153"/>
      <c r="I1616" s="163">
        <v>20</v>
      </c>
      <c r="J1616" s="163">
        <v>120</v>
      </c>
      <c r="K1616" s="150">
        <v>1</v>
      </c>
      <c r="L1616" s="658">
        <v>40</v>
      </c>
      <c r="M1616" s="659">
        <v>34499</v>
      </c>
      <c r="N1616" s="598">
        <v>0.96277799999999991</v>
      </c>
      <c r="O1616" s="601">
        <v>2.5514999999999999E-4</v>
      </c>
      <c r="P1616" s="154"/>
      <c r="Q1616" s="93"/>
      <c r="R1616" s="93"/>
      <c r="S1616" s="93"/>
      <c r="T1616" s="93" t="s">
        <v>71</v>
      </c>
      <c r="U1616" s="93">
        <v>28.1</v>
      </c>
      <c r="V1616" s="497">
        <v>38.5</v>
      </c>
      <c r="W1616" s="497">
        <v>21.7</v>
      </c>
      <c r="X1616" s="497">
        <v>9.8000000000000007</v>
      </c>
      <c r="Y1616" s="497">
        <v>1.9</v>
      </c>
      <c r="Z1616" s="93"/>
      <c r="AA1616" s="93"/>
      <c r="AB1616" s="95"/>
      <c r="AC1616" s="95"/>
      <c r="AD1616" s="223"/>
      <c r="AE1616" s="223"/>
      <c r="AF1616" s="223"/>
      <c r="AG1616" s="223"/>
      <c r="AH1616" s="341"/>
      <c r="AI1616" s="225"/>
      <c r="AJ1616" s="225"/>
      <c r="AK1616" s="152"/>
      <c r="AL1616" s="152"/>
      <c r="AM1616" s="152"/>
      <c r="AN1616" s="152"/>
      <c r="AO1616" s="152"/>
      <c r="AP1616" s="152"/>
      <c r="AQ1616" s="152"/>
      <c r="AR1616" s="152"/>
      <c r="AS1616" s="152"/>
      <c r="AT1616" s="152"/>
      <c r="AU1616" s="153"/>
      <c r="AV1616" s="479"/>
      <c r="AW1616" s="479"/>
      <c r="AX1616" s="442"/>
      <c r="AY1616" s="153"/>
      <c r="AZ1616" s="152"/>
      <c r="BA1616" s="152"/>
      <c r="BB1616" s="152"/>
      <c r="BC1616" s="152"/>
      <c r="BD1616" s="152"/>
      <c r="BE1616" s="152"/>
      <c r="BF1616" s="152"/>
      <c r="BG1616" s="152"/>
      <c r="BH1616" s="152"/>
      <c r="BI1616" s="153"/>
      <c r="BJ1616" s="153"/>
      <c r="BK1616" s="153"/>
      <c r="BL1616" s="153"/>
      <c r="BM1616" s="153"/>
      <c r="BN1616" s="153"/>
      <c r="BO1616" s="153"/>
      <c r="BP1616" s="153"/>
      <c r="BQ1616" s="153"/>
      <c r="BR1616" s="153"/>
      <c r="BS1616" s="153"/>
      <c r="BT1616" s="153"/>
      <c r="BU1616" s="153"/>
      <c r="BV1616" s="153"/>
      <c r="BW1616" s="153"/>
      <c r="BX1616" s="153"/>
      <c r="BY1616" s="153"/>
      <c r="BZ1616" s="153"/>
      <c r="CA1616" s="152"/>
      <c r="CB1616" s="152"/>
    </row>
    <row r="1617" spans="1:80" ht="15.75" thickBot="1" x14ac:dyDescent="0.3">
      <c r="A1617" s="9" t="s">
        <v>174</v>
      </c>
      <c r="B1617" s="639" t="s">
        <v>66</v>
      </c>
      <c r="C1617" s="639"/>
      <c r="D1617" s="4">
        <f>VLOOKUP(E1617,'Quality Code'!D4:E24,2,TRUE)*VLOOKUP(MROUND(F1617,10),'Quality Code'!D28:E69,2,TRUE)*VLOOKUP(4,'Quality Code'!D73:E93,2,TRUE)</f>
        <v>3.4</v>
      </c>
      <c r="E1617" s="14">
        <v>0.85</v>
      </c>
      <c r="F1617" s="18">
        <v>82</v>
      </c>
      <c r="G1617" s="12">
        <f>831.6*(5280^2)*(1/(3.281^2))*(1/(1000^2))</f>
        <v>2153.6239137327107</v>
      </c>
      <c r="H1617" s="2" t="s">
        <v>231</v>
      </c>
      <c r="I1617" s="10"/>
      <c r="J1617" s="10" t="s">
        <v>283</v>
      </c>
      <c r="K1617" s="10"/>
      <c r="L1617" s="640" t="s">
        <v>284</v>
      </c>
      <c r="M1617" s="640" t="s">
        <v>838</v>
      </c>
      <c r="N1617" s="579" t="s">
        <v>285</v>
      </c>
      <c r="O1617" s="579"/>
      <c r="P1617" s="10" t="s">
        <v>64</v>
      </c>
      <c r="Q1617" s="10" t="s">
        <v>64</v>
      </c>
      <c r="R1617" s="10" t="s">
        <v>64</v>
      </c>
      <c r="S1617" s="10" t="s">
        <v>64</v>
      </c>
      <c r="T1617" s="10" t="s">
        <v>64</v>
      </c>
      <c r="U1617" s="10" t="s">
        <v>64</v>
      </c>
      <c r="V1617" s="137" t="s">
        <v>64</v>
      </c>
      <c r="W1617" s="137" t="s">
        <v>64</v>
      </c>
      <c r="X1617" s="137" t="s">
        <v>64</v>
      </c>
      <c r="Y1617" s="137" t="s">
        <v>64</v>
      </c>
      <c r="Z1617" s="11"/>
      <c r="AA1617" s="11"/>
      <c r="AB1617" s="11"/>
      <c r="AC1617" s="85">
        <v>3.8E-3</v>
      </c>
      <c r="AD1617" s="26"/>
      <c r="AE1617" s="26"/>
      <c r="AF1617" s="26"/>
      <c r="AG1617" s="26"/>
      <c r="AH1617" s="330" t="s">
        <v>301</v>
      </c>
      <c r="AI1617" s="123">
        <v>23</v>
      </c>
      <c r="AJ1617" s="123"/>
      <c r="AK1617" s="17">
        <v>0.91068000000000005</v>
      </c>
      <c r="AL1617" s="17">
        <v>0.78132216694268986</v>
      </c>
      <c r="AM1617" s="17">
        <v>0.5823510604810509</v>
      </c>
      <c r="AN1617" s="17">
        <v>0.40510072754989601</v>
      </c>
      <c r="AO1617" s="17">
        <v>0.30275636028304653</v>
      </c>
      <c r="AP1617" s="17">
        <v>0.25012806379278274</v>
      </c>
      <c r="AQ1617" s="17">
        <v>0.19048302755210025</v>
      </c>
      <c r="AR1617" s="17">
        <v>7.6810000000000003E-2</v>
      </c>
      <c r="AS1617" s="17">
        <v>1.7559999999999999E-2</v>
      </c>
      <c r="AT1617" s="17">
        <v>2.0899999999999998E-3</v>
      </c>
      <c r="AU1617" s="18">
        <v>60</v>
      </c>
      <c r="AV1617" s="17">
        <v>1</v>
      </c>
      <c r="AW1617" s="17">
        <v>0.99850000000000005</v>
      </c>
      <c r="AX1617" s="17">
        <v>0.99109999999999998</v>
      </c>
      <c r="AY1617" s="17">
        <v>0.82909999999999995</v>
      </c>
      <c r="AZ1617" s="17">
        <v>0.52005943536404164</v>
      </c>
      <c r="BA1617" s="17">
        <v>0.2689450222882615</v>
      </c>
      <c r="BB1617" s="17">
        <v>0.20356612184249628</v>
      </c>
      <c r="BC1617" s="17">
        <v>0.1842</v>
      </c>
      <c r="BD1617" s="17">
        <v>0.17979999999999999</v>
      </c>
      <c r="BE1617" s="17">
        <v>0.16939078751857356</v>
      </c>
      <c r="BF1617" s="17">
        <v>4.0099999999999997E-2</v>
      </c>
      <c r="BG1617" s="17">
        <v>1.5E-3</v>
      </c>
      <c r="BH1617" s="17"/>
      <c r="BI1617" s="4">
        <f>AU1617/AI1617</f>
        <v>2.6086956521739131</v>
      </c>
      <c r="BJ1617" s="2" t="s">
        <v>68</v>
      </c>
      <c r="BK1617" s="2" t="s">
        <v>175</v>
      </c>
      <c r="BL1617" s="12"/>
      <c r="BM1617" s="12">
        <v>167.04499999999999</v>
      </c>
      <c r="BN1617" s="12">
        <v>57.3</v>
      </c>
      <c r="BO1617" s="12">
        <v>1.4</v>
      </c>
      <c r="BP1617" s="12">
        <v>80</v>
      </c>
      <c r="BQ1617" s="12">
        <f>BN1617/BO1617</f>
        <v>40.928571428571431</v>
      </c>
      <c r="BR1617" s="12" t="s">
        <v>29</v>
      </c>
      <c r="BS1617" s="12"/>
      <c r="BT1617" s="12">
        <v>2.2599999999999998</v>
      </c>
      <c r="BU1617" s="2"/>
      <c r="BV1617" s="2"/>
      <c r="BW1617" s="2"/>
      <c r="BX1617" s="2"/>
      <c r="BY1617" s="2"/>
      <c r="BZ1617" s="2"/>
      <c r="CA1617" s="381"/>
      <c r="CB1617" s="9" t="s">
        <v>224</v>
      </c>
    </row>
    <row r="1618" spans="1:80" s="87" customFormat="1" ht="15.75" thickBot="1" x14ac:dyDescent="0.25">
      <c r="A1618" s="152"/>
      <c r="B1618" s="683"/>
      <c r="C1618" s="683"/>
      <c r="D1618" s="698"/>
      <c r="E1618" s="215"/>
      <c r="F1618" s="215"/>
      <c r="G1618" s="153"/>
      <c r="H1618" s="96"/>
      <c r="I1618" s="222">
        <v>20</v>
      </c>
      <c r="J1618" s="222">
        <v>60</v>
      </c>
      <c r="K1618" s="164">
        <v>1</v>
      </c>
      <c r="L1618" s="658">
        <v>20</v>
      </c>
      <c r="M1618" s="659">
        <v>34442</v>
      </c>
      <c r="N1618" s="600">
        <v>48.697846425604624</v>
      </c>
      <c r="O1618" s="602">
        <v>0.6244950353003359</v>
      </c>
      <c r="P1618" s="93"/>
      <c r="Q1618" s="93"/>
      <c r="R1618" s="93"/>
      <c r="S1618" s="93"/>
      <c r="T1618" s="93"/>
      <c r="U1618" s="93"/>
      <c r="V1618" s="498">
        <v>2.7</v>
      </c>
      <c r="W1618" s="499">
        <v>39</v>
      </c>
      <c r="X1618" s="498">
        <v>56.1</v>
      </c>
      <c r="Y1618" s="498">
        <v>2.2000000000000002</v>
      </c>
      <c r="Z1618" s="154"/>
      <c r="AA1618" s="154"/>
      <c r="AB1618" s="152"/>
      <c r="AC1618" s="152"/>
      <c r="AD1618" s="223"/>
      <c r="AE1618" s="223"/>
      <c r="AF1618" s="223"/>
      <c r="AG1618" s="223"/>
      <c r="AH1618" s="342" t="s">
        <v>302</v>
      </c>
      <c r="AI1618" s="218"/>
      <c r="AJ1618" s="218"/>
      <c r="AK1618" s="153"/>
      <c r="AL1618" s="152"/>
      <c r="AM1618" s="152"/>
      <c r="AN1618" s="152"/>
      <c r="AO1618" s="152"/>
      <c r="AP1618" s="152"/>
      <c r="AQ1618" s="152"/>
      <c r="AR1618" s="152"/>
      <c r="AS1618" s="152"/>
      <c r="AT1618" s="152"/>
      <c r="AU1618" s="153"/>
      <c r="AV1618" s="479"/>
      <c r="AW1618" s="479"/>
      <c r="AX1618" s="442"/>
      <c r="AY1618" s="153"/>
      <c r="AZ1618" s="152"/>
      <c r="BA1618" s="152"/>
      <c r="BB1618" s="152"/>
      <c r="BC1618" s="152"/>
      <c r="BD1618" s="152"/>
      <c r="BE1618" s="152"/>
      <c r="BF1618" s="152"/>
      <c r="BG1618" s="152"/>
      <c r="BH1618" s="152"/>
      <c r="BI1618" s="153"/>
      <c r="BJ1618" s="153"/>
      <c r="BK1618" s="153"/>
      <c r="BL1618" s="153"/>
      <c r="BM1618" s="153"/>
      <c r="BN1618" s="153"/>
      <c r="BO1618" s="153"/>
      <c r="BP1618" s="153"/>
      <c r="BQ1618" s="153"/>
      <c r="BR1618" s="153"/>
      <c r="BS1618" s="153"/>
      <c r="BT1618" s="153"/>
      <c r="BU1618" s="153"/>
      <c r="BV1618" s="153"/>
      <c r="BW1618" s="153"/>
      <c r="BX1618" s="153"/>
      <c r="BY1618" s="153"/>
      <c r="BZ1618" s="153"/>
      <c r="CA1618" s="152"/>
      <c r="CB1618" s="486" t="s">
        <v>638</v>
      </c>
    </row>
    <row r="1619" spans="1:80" s="87" customFormat="1" ht="15" x14ac:dyDescent="0.2">
      <c r="A1619" s="152"/>
      <c r="B1619" s="683"/>
      <c r="C1619" s="683"/>
      <c r="D1619" s="698"/>
      <c r="E1619" s="215"/>
      <c r="F1619" s="215"/>
      <c r="G1619" s="153"/>
      <c r="H1619" s="96"/>
      <c r="I1619" s="222">
        <v>20</v>
      </c>
      <c r="J1619" s="222">
        <v>60</v>
      </c>
      <c r="K1619" s="164">
        <v>1</v>
      </c>
      <c r="L1619" s="658">
        <v>20</v>
      </c>
      <c r="M1619" s="659">
        <v>34442</v>
      </c>
      <c r="N1619" s="600">
        <v>48.697846425604624</v>
      </c>
      <c r="O1619" s="602">
        <v>0.22775701287424019</v>
      </c>
      <c r="P1619" s="93"/>
      <c r="Q1619" s="93"/>
      <c r="R1619" s="93"/>
      <c r="S1619" s="93"/>
      <c r="T1619" s="93"/>
      <c r="U1619" s="93"/>
      <c r="V1619" s="498">
        <v>0.9</v>
      </c>
      <c r="W1619" s="498">
        <v>34.700000000000003</v>
      </c>
      <c r="X1619" s="498">
        <v>60.2</v>
      </c>
      <c r="Y1619" s="498">
        <v>4.2</v>
      </c>
      <c r="Z1619" s="154"/>
      <c r="AA1619" s="154"/>
      <c r="AB1619" s="152"/>
      <c r="AC1619" s="152"/>
      <c r="AD1619" s="223"/>
      <c r="AE1619" s="223"/>
      <c r="AF1619" s="223"/>
      <c r="AG1619" s="223"/>
      <c r="AH1619" s="341"/>
      <c r="AI1619" s="218"/>
      <c r="AJ1619" s="218"/>
      <c r="AK1619" s="153"/>
      <c r="AL1619" s="152"/>
      <c r="AM1619" s="152"/>
      <c r="AN1619" s="152"/>
      <c r="AO1619" s="152"/>
      <c r="AP1619" s="152"/>
      <c r="AQ1619" s="152"/>
      <c r="AR1619" s="152"/>
      <c r="AS1619" s="152"/>
      <c r="AT1619" s="152"/>
      <c r="AU1619" s="153"/>
      <c r="AV1619" s="479"/>
      <c r="AW1619" s="479"/>
      <c r="AX1619" s="442"/>
      <c r="AY1619" s="153"/>
      <c r="AZ1619" s="152"/>
      <c r="BA1619" s="152"/>
      <c r="BB1619" s="152"/>
      <c r="BC1619" s="152"/>
      <c r="BD1619" s="152"/>
      <c r="BE1619" s="152"/>
      <c r="BF1619" s="152"/>
      <c r="BG1619" s="152"/>
      <c r="BH1619" s="152"/>
      <c r="BI1619" s="153"/>
      <c r="BJ1619" s="153"/>
      <c r="BK1619" s="153"/>
      <c r="BL1619" s="153"/>
      <c r="BM1619" s="153"/>
      <c r="BN1619" s="153"/>
      <c r="BO1619" s="153"/>
      <c r="BP1619" s="153"/>
      <c r="BQ1619" s="153"/>
      <c r="BR1619" s="153"/>
      <c r="BS1619" s="153"/>
      <c r="BT1619" s="153"/>
      <c r="BU1619" s="153"/>
      <c r="BV1619" s="153"/>
      <c r="BW1619" s="153"/>
      <c r="BX1619" s="153"/>
      <c r="BY1619" s="153"/>
      <c r="BZ1619" s="153"/>
      <c r="CA1619" s="152"/>
      <c r="CB1619" s="486" t="s">
        <v>639</v>
      </c>
    </row>
    <row r="1620" spans="1:80" s="87" customFormat="1" ht="15" x14ac:dyDescent="0.2">
      <c r="A1620" s="152"/>
      <c r="B1620" s="683"/>
      <c r="C1620" s="683"/>
      <c r="D1620" s="698"/>
      <c r="E1620" s="215"/>
      <c r="F1620" s="215"/>
      <c r="G1620" s="153"/>
      <c r="H1620" s="96"/>
      <c r="I1620" s="222">
        <v>20</v>
      </c>
      <c r="J1620" s="222">
        <v>60</v>
      </c>
      <c r="K1620" s="164">
        <v>1</v>
      </c>
      <c r="L1620" s="658">
        <v>20</v>
      </c>
      <c r="M1620" s="659">
        <v>34445</v>
      </c>
      <c r="N1620" s="600">
        <v>66.534848314052837</v>
      </c>
      <c r="O1620" s="602">
        <v>0.17003058103975535</v>
      </c>
      <c r="P1620" s="93"/>
      <c r="Q1620" s="93"/>
      <c r="R1620" s="93"/>
      <c r="S1620" s="93"/>
      <c r="T1620" s="93"/>
      <c r="U1620" s="93">
        <v>1.7</v>
      </c>
      <c r="V1620" s="498">
        <v>11.6</v>
      </c>
      <c r="W1620" s="498">
        <v>28.9</v>
      </c>
      <c r="X1620" s="498">
        <v>49.5</v>
      </c>
      <c r="Y1620" s="498">
        <v>8.3000000000000007</v>
      </c>
      <c r="Z1620" s="154"/>
      <c r="AA1620" s="154"/>
      <c r="AB1620" s="152"/>
      <c r="AC1620" s="152"/>
      <c r="AD1620" s="223">
        <v>54.254400000000004</v>
      </c>
      <c r="AE1620" s="223">
        <v>0.86474157303370791</v>
      </c>
      <c r="AF1620" s="223">
        <v>46.911456530125832</v>
      </c>
      <c r="AG1620" s="223">
        <f>1.41732</f>
        <v>1.4173199999999999</v>
      </c>
      <c r="AH1620" s="341"/>
      <c r="AI1620" s="218"/>
      <c r="AJ1620" s="218"/>
      <c r="AK1620" s="153"/>
      <c r="AL1620" s="152"/>
      <c r="AM1620" s="152"/>
      <c r="AN1620" s="152"/>
      <c r="AO1620" s="152"/>
      <c r="AP1620" s="152"/>
      <c r="AQ1620" s="152"/>
      <c r="AR1620" s="152"/>
      <c r="AS1620" s="152"/>
      <c r="AT1620" s="152"/>
      <c r="AU1620" s="153"/>
      <c r="AV1620" s="479"/>
      <c r="AW1620" s="479"/>
      <c r="AX1620" s="442"/>
      <c r="AY1620" s="153"/>
      <c r="AZ1620" s="152"/>
      <c r="BA1620" s="152"/>
      <c r="BB1620" s="152"/>
      <c r="BC1620" s="152"/>
      <c r="BD1620" s="152"/>
      <c r="BE1620" s="152"/>
      <c r="BF1620" s="152"/>
      <c r="BG1620" s="152"/>
      <c r="BH1620" s="152"/>
      <c r="BI1620" s="153"/>
      <c r="BJ1620" s="153"/>
      <c r="BK1620" s="153"/>
      <c r="BL1620" s="153"/>
      <c r="BM1620" s="153"/>
      <c r="BN1620" s="153"/>
      <c r="BO1620" s="153"/>
      <c r="BP1620" s="153"/>
      <c r="BQ1620" s="153"/>
      <c r="BR1620" s="153"/>
      <c r="BS1620" s="153"/>
      <c r="BT1620" s="153"/>
      <c r="BU1620" s="153"/>
      <c r="BV1620" s="153"/>
      <c r="BW1620" s="153"/>
      <c r="BX1620" s="153"/>
      <c r="BY1620" s="153"/>
      <c r="BZ1620" s="153"/>
      <c r="CA1620" s="152"/>
      <c r="CB1620" s="486" t="s">
        <v>640</v>
      </c>
    </row>
    <row r="1621" spans="1:80" s="87" customFormat="1" x14ac:dyDescent="0.2">
      <c r="A1621" s="152"/>
      <c r="B1621" s="683"/>
      <c r="C1621" s="683"/>
      <c r="D1621" s="698"/>
      <c r="E1621" s="215"/>
      <c r="F1621" s="215"/>
      <c r="G1621" s="153"/>
      <c r="H1621" s="96"/>
      <c r="I1621" s="222">
        <v>20</v>
      </c>
      <c r="J1621" s="222">
        <v>60</v>
      </c>
      <c r="K1621" s="164">
        <v>1</v>
      </c>
      <c r="L1621" s="658">
        <v>20</v>
      </c>
      <c r="M1621" s="659">
        <v>34445</v>
      </c>
      <c r="N1621" s="600">
        <v>66.534848314052837</v>
      </c>
      <c r="O1621" s="602">
        <v>0.28338430173292561</v>
      </c>
      <c r="P1621" s="93"/>
      <c r="Q1621" s="93"/>
      <c r="R1621" s="93"/>
      <c r="S1621" s="93">
        <v>0.4</v>
      </c>
      <c r="T1621" s="93">
        <v>0.5</v>
      </c>
      <c r="U1621" s="93">
        <v>2.2999999999999998</v>
      </c>
      <c r="V1621" s="498">
        <v>20</v>
      </c>
      <c r="W1621" s="498">
        <v>28.6</v>
      </c>
      <c r="X1621" s="498">
        <v>42.1</v>
      </c>
      <c r="Y1621" s="498">
        <v>6.1</v>
      </c>
      <c r="Z1621" s="154"/>
      <c r="AA1621" s="154"/>
      <c r="AB1621" s="152"/>
      <c r="AC1621" s="152"/>
      <c r="AD1621" s="223"/>
      <c r="AE1621" s="223"/>
      <c r="AF1621" s="223"/>
      <c r="AG1621" s="223"/>
      <c r="AH1621" s="341"/>
      <c r="AI1621" s="218"/>
      <c r="AJ1621" s="218"/>
      <c r="AK1621" s="153"/>
      <c r="AL1621" s="152"/>
      <c r="AM1621" s="152"/>
      <c r="AN1621" s="152"/>
      <c r="AO1621" s="152"/>
      <c r="AP1621" s="152"/>
      <c r="AQ1621" s="152"/>
      <c r="AR1621" s="152"/>
      <c r="AS1621" s="152"/>
      <c r="AT1621" s="152"/>
      <c r="AU1621" s="153"/>
      <c r="AV1621" s="479"/>
      <c r="AW1621" s="479"/>
      <c r="AX1621" s="442"/>
      <c r="AY1621" s="153"/>
      <c r="AZ1621" s="97"/>
      <c r="BA1621" s="97"/>
      <c r="BB1621" s="97"/>
      <c r="BC1621" s="97"/>
      <c r="BD1621" s="97"/>
      <c r="BE1621" s="97"/>
      <c r="BF1621" s="97"/>
      <c r="BG1621" s="97"/>
      <c r="BH1621" s="97"/>
      <c r="BI1621" s="153"/>
      <c r="BJ1621" s="153"/>
      <c r="BK1621" s="153"/>
      <c r="BL1621" s="153"/>
      <c r="BM1621" s="153"/>
      <c r="BN1621" s="153"/>
      <c r="BO1621" s="153"/>
      <c r="BP1621" s="153"/>
      <c r="BQ1621" s="153"/>
      <c r="BR1621" s="153"/>
      <c r="BS1621" s="153"/>
      <c r="BT1621" s="153"/>
      <c r="BU1621" s="153"/>
      <c r="BV1621" s="153"/>
      <c r="BW1621" s="153"/>
      <c r="BX1621" s="153"/>
      <c r="BY1621" s="153"/>
      <c r="BZ1621" s="153"/>
      <c r="CA1621" s="152"/>
      <c r="CB1621" s="152"/>
    </row>
    <row r="1622" spans="1:80" s="87" customFormat="1" x14ac:dyDescent="0.2">
      <c r="A1622" s="152"/>
      <c r="B1622" s="683"/>
      <c r="C1622" s="683"/>
      <c r="D1622" s="698"/>
      <c r="E1622" s="215"/>
      <c r="F1622" s="215"/>
      <c r="G1622" s="153"/>
      <c r="H1622" s="96"/>
      <c r="I1622" s="222">
        <v>20</v>
      </c>
      <c r="J1622" s="222">
        <v>60</v>
      </c>
      <c r="K1622" s="164">
        <v>1</v>
      </c>
      <c r="L1622" s="658">
        <v>20</v>
      </c>
      <c r="M1622" s="659">
        <v>34449</v>
      </c>
      <c r="N1622" s="600">
        <v>54.926640735856381</v>
      </c>
      <c r="O1622" s="602">
        <v>0.21621172650734322</v>
      </c>
      <c r="P1622" s="93"/>
      <c r="Q1622" s="93"/>
      <c r="R1622" s="93"/>
      <c r="S1622" s="93"/>
      <c r="T1622" s="93">
        <v>0.4</v>
      </c>
      <c r="U1622" s="93">
        <v>1.8</v>
      </c>
      <c r="V1622" s="498">
        <v>16.3</v>
      </c>
      <c r="W1622" s="498">
        <v>39.200000000000003</v>
      </c>
      <c r="X1622" s="498">
        <v>39.4</v>
      </c>
      <c r="Y1622" s="498">
        <v>2.9</v>
      </c>
      <c r="Z1622" s="154"/>
      <c r="AA1622" s="154"/>
      <c r="AB1622" s="152"/>
      <c r="AC1622" s="152"/>
      <c r="AD1622" s="223"/>
      <c r="AE1622" s="223"/>
      <c r="AF1622" s="223"/>
      <c r="AG1622" s="223"/>
      <c r="AH1622" s="341"/>
      <c r="AI1622" s="218"/>
      <c r="AJ1622" s="218"/>
      <c r="AK1622" s="153"/>
      <c r="AL1622" s="152"/>
      <c r="AM1622" s="152"/>
      <c r="AN1622" s="152"/>
      <c r="AO1622" s="152"/>
      <c r="AP1622" s="152"/>
      <c r="AQ1622" s="152"/>
      <c r="AR1622" s="152"/>
      <c r="AS1622" s="152"/>
      <c r="AT1622" s="152"/>
      <c r="AU1622" s="153"/>
      <c r="AV1622" s="479"/>
      <c r="AW1622" s="479"/>
      <c r="AX1622" s="442"/>
      <c r="AY1622" s="153"/>
      <c r="AZ1622" s="152"/>
      <c r="BA1622" s="152"/>
      <c r="BB1622" s="152"/>
      <c r="BC1622" s="152"/>
      <c r="BD1622" s="152"/>
      <c r="BE1622" s="152"/>
      <c r="BF1622" s="152"/>
      <c r="BG1622" s="152"/>
      <c r="BH1622" s="152"/>
      <c r="BI1622" s="153"/>
      <c r="BJ1622" s="153"/>
      <c r="BK1622" s="153"/>
      <c r="BL1622" s="153"/>
      <c r="BM1622" s="153"/>
      <c r="BN1622" s="153"/>
      <c r="BO1622" s="153"/>
      <c r="BP1622" s="153"/>
      <c r="BQ1622" s="153"/>
      <c r="BR1622" s="153"/>
      <c r="BS1622" s="153"/>
      <c r="BT1622" s="153"/>
      <c r="BU1622" s="153"/>
      <c r="BV1622" s="153"/>
      <c r="BW1622" s="153"/>
      <c r="BX1622" s="153"/>
      <c r="BY1622" s="153"/>
      <c r="BZ1622" s="153"/>
      <c r="CA1622" s="152"/>
      <c r="CB1622" s="152"/>
    </row>
    <row r="1623" spans="1:80" s="87" customFormat="1" x14ac:dyDescent="0.2">
      <c r="A1623" s="152"/>
      <c r="B1623" s="683"/>
      <c r="C1623" s="683"/>
      <c r="D1623" s="698"/>
      <c r="E1623" s="215"/>
      <c r="F1623" s="215"/>
      <c r="G1623" s="153"/>
      <c r="H1623" s="96"/>
      <c r="I1623" s="222">
        <v>20</v>
      </c>
      <c r="J1623" s="222">
        <v>60</v>
      </c>
      <c r="K1623" s="164">
        <v>1</v>
      </c>
      <c r="L1623" s="658">
        <v>20</v>
      </c>
      <c r="M1623" s="659">
        <v>34449</v>
      </c>
      <c r="N1623" s="600">
        <v>54.926640735856381</v>
      </c>
      <c r="O1623" s="602">
        <v>0.28233473024502587</v>
      </c>
      <c r="P1623" s="93"/>
      <c r="Q1623" s="93"/>
      <c r="R1623" s="93"/>
      <c r="S1623" s="93"/>
      <c r="T1623" s="93"/>
      <c r="U1623" s="93">
        <v>0.8</v>
      </c>
      <c r="V1623" s="498">
        <v>12.1</v>
      </c>
      <c r="W1623" s="498">
        <v>52</v>
      </c>
      <c r="X1623" s="498">
        <v>34.4</v>
      </c>
      <c r="Y1623" s="498">
        <v>0.7</v>
      </c>
      <c r="Z1623" s="154"/>
      <c r="AA1623" s="154"/>
      <c r="AB1623" s="152"/>
      <c r="AC1623" s="152"/>
      <c r="AD1623" s="223"/>
      <c r="AE1623" s="223"/>
      <c r="AF1623" s="223"/>
      <c r="AG1623" s="223"/>
      <c r="AH1623" s="341"/>
      <c r="AI1623" s="218"/>
      <c r="AJ1623" s="218"/>
      <c r="AK1623" s="153"/>
      <c r="AL1623" s="228"/>
      <c r="AM1623" s="152"/>
      <c r="AN1623" s="152"/>
      <c r="AO1623" s="152"/>
      <c r="AP1623" s="152"/>
      <c r="AQ1623" s="152"/>
      <c r="AR1623" s="152"/>
      <c r="AS1623" s="152"/>
      <c r="AT1623" s="152"/>
      <c r="AU1623" s="153"/>
      <c r="AV1623" s="479"/>
      <c r="AW1623" s="479"/>
      <c r="AX1623" s="442"/>
      <c r="AY1623" s="153"/>
      <c r="AZ1623" s="152"/>
      <c r="BA1623" s="152"/>
      <c r="BB1623" s="152"/>
      <c r="BC1623" s="152"/>
      <c r="BD1623" s="152"/>
      <c r="BE1623" s="152"/>
      <c r="BF1623" s="152"/>
      <c r="BG1623" s="152"/>
      <c r="BH1623" s="152"/>
      <c r="BI1623" s="153"/>
      <c r="BJ1623" s="153"/>
      <c r="BK1623" s="153"/>
      <c r="BL1623" s="153"/>
      <c r="BM1623" s="153"/>
      <c r="BN1623" s="153"/>
      <c r="BO1623" s="153"/>
      <c r="BP1623" s="153"/>
      <c r="BQ1623" s="153"/>
      <c r="BR1623" s="153"/>
      <c r="BS1623" s="153"/>
      <c r="BT1623" s="153"/>
      <c r="BU1623" s="153"/>
      <c r="BV1623" s="153"/>
      <c r="BW1623" s="153"/>
      <c r="BX1623" s="153"/>
      <c r="BY1623" s="153"/>
      <c r="BZ1623" s="153"/>
      <c r="CA1623" s="152"/>
      <c r="CB1623" s="152"/>
    </row>
    <row r="1624" spans="1:80" s="87" customFormat="1" x14ac:dyDescent="0.2">
      <c r="A1624" s="152"/>
      <c r="B1624" s="683"/>
      <c r="C1624" s="683"/>
      <c r="D1624" s="698"/>
      <c r="E1624" s="215"/>
      <c r="F1624" s="215"/>
      <c r="G1624" s="153"/>
      <c r="H1624" s="96"/>
      <c r="I1624" s="222">
        <v>20</v>
      </c>
      <c r="J1624" s="222">
        <v>60</v>
      </c>
      <c r="K1624" s="164">
        <v>1</v>
      </c>
      <c r="L1624" s="658">
        <v>20</v>
      </c>
      <c r="M1624" s="659">
        <v>34450</v>
      </c>
      <c r="N1624" s="600">
        <v>49.830354482014037</v>
      </c>
      <c r="O1624" s="602">
        <v>0.32956544720051345</v>
      </c>
      <c r="P1624" s="93"/>
      <c r="Q1624" s="93"/>
      <c r="R1624" s="93"/>
      <c r="S1624" s="93"/>
      <c r="T1624" s="93">
        <v>0.3</v>
      </c>
      <c r="U1624" s="93">
        <v>4.3</v>
      </c>
      <c r="V1624" s="498">
        <v>22.8</v>
      </c>
      <c r="W1624" s="498">
        <v>39.9</v>
      </c>
      <c r="X1624" s="498">
        <v>32.200000000000003</v>
      </c>
      <c r="Y1624" s="498">
        <v>0.5</v>
      </c>
      <c r="Z1624" s="154"/>
      <c r="AA1624" s="154"/>
      <c r="AB1624" s="152"/>
      <c r="AC1624" s="152"/>
      <c r="AD1624" s="223"/>
      <c r="AE1624" s="223"/>
      <c r="AF1624" s="223"/>
      <c r="AG1624" s="223"/>
      <c r="AH1624" s="341"/>
      <c r="AI1624" s="218"/>
      <c r="AJ1624" s="218"/>
      <c r="AK1624" s="153"/>
      <c r="AL1624" s="152"/>
      <c r="AM1624" s="152"/>
      <c r="AN1624" s="152"/>
      <c r="AO1624" s="152"/>
      <c r="AP1624" s="152"/>
      <c r="AQ1624" s="152"/>
      <c r="AR1624" s="152"/>
      <c r="AS1624" s="152"/>
      <c r="AT1624" s="152"/>
      <c r="AU1624" s="153"/>
      <c r="AV1624" s="479"/>
      <c r="AW1624" s="479"/>
      <c r="AX1624" s="442"/>
      <c r="AY1624" s="153"/>
      <c r="AZ1624" s="152"/>
      <c r="BA1624" s="152"/>
      <c r="BB1624" s="152"/>
      <c r="BC1624" s="152"/>
      <c r="BD1624" s="152"/>
      <c r="BE1624" s="152"/>
      <c r="BF1624" s="152"/>
      <c r="BG1624" s="152"/>
      <c r="BH1624" s="152"/>
      <c r="BI1624" s="153"/>
      <c r="BJ1624" s="153"/>
      <c r="BK1624" s="153"/>
      <c r="BL1624" s="153"/>
      <c r="BM1624" s="153"/>
      <c r="BN1624" s="153"/>
      <c r="BO1624" s="153"/>
      <c r="BP1624" s="153"/>
      <c r="BQ1624" s="153"/>
      <c r="BR1624" s="153"/>
      <c r="BS1624" s="153"/>
      <c r="BT1624" s="153"/>
      <c r="BU1624" s="153"/>
      <c r="BV1624" s="153"/>
      <c r="BW1624" s="153"/>
      <c r="BX1624" s="153"/>
      <c r="BY1624" s="153"/>
      <c r="BZ1624" s="153"/>
      <c r="CA1624" s="152"/>
      <c r="CB1624" s="152"/>
    </row>
    <row r="1625" spans="1:80" s="87" customFormat="1" x14ac:dyDescent="0.2">
      <c r="A1625" s="152"/>
      <c r="B1625" s="683"/>
      <c r="C1625" s="683"/>
      <c r="D1625" s="698"/>
      <c r="E1625" s="215"/>
      <c r="F1625" s="215"/>
      <c r="G1625" s="153"/>
      <c r="H1625" s="96"/>
      <c r="I1625" s="222">
        <v>20</v>
      </c>
      <c r="J1625" s="222">
        <v>60</v>
      </c>
      <c r="K1625" s="164">
        <v>1</v>
      </c>
      <c r="L1625" s="658">
        <v>20</v>
      </c>
      <c r="M1625" s="659">
        <v>34450</v>
      </c>
      <c r="N1625" s="600">
        <v>49.830354482014037</v>
      </c>
      <c r="O1625" s="602">
        <v>0.17317929550345448</v>
      </c>
      <c r="P1625" s="93"/>
      <c r="Q1625" s="93"/>
      <c r="R1625" s="93"/>
      <c r="S1625" s="93"/>
      <c r="T1625" s="93">
        <v>0.1</v>
      </c>
      <c r="U1625" s="93">
        <v>2.4</v>
      </c>
      <c r="V1625" s="498">
        <v>21.8</v>
      </c>
      <c r="W1625" s="498">
        <v>42.1</v>
      </c>
      <c r="X1625" s="498">
        <v>33</v>
      </c>
      <c r="Y1625" s="498">
        <v>0.6</v>
      </c>
      <c r="Z1625" s="154"/>
      <c r="AA1625" s="154"/>
      <c r="AB1625" s="152"/>
      <c r="AC1625" s="152"/>
      <c r="AD1625" s="223"/>
      <c r="AE1625" s="223"/>
      <c r="AF1625" s="223"/>
      <c r="AG1625" s="223"/>
      <c r="AH1625" s="341"/>
      <c r="AI1625" s="218"/>
      <c r="AJ1625" s="218"/>
      <c r="AK1625" s="153"/>
      <c r="AL1625" s="152"/>
      <c r="AM1625" s="152"/>
      <c r="AN1625" s="152"/>
      <c r="AO1625" s="152"/>
      <c r="AP1625" s="152"/>
      <c r="AQ1625" s="152"/>
      <c r="AR1625" s="152"/>
      <c r="AS1625" s="152"/>
      <c r="AT1625" s="152"/>
      <c r="AU1625" s="153"/>
      <c r="AV1625" s="479"/>
      <c r="AW1625" s="479"/>
      <c r="AX1625" s="442"/>
      <c r="AY1625" s="153"/>
      <c r="AZ1625" s="98"/>
      <c r="BA1625" s="98"/>
      <c r="BB1625" s="98"/>
      <c r="BC1625" s="98"/>
      <c r="BD1625" s="98"/>
      <c r="BE1625" s="98"/>
      <c r="BF1625" s="98"/>
      <c r="BG1625" s="98"/>
      <c r="BH1625" s="98"/>
      <c r="BI1625" s="153"/>
      <c r="BJ1625" s="153"/>
      <c r="BK1625" s="153"/>
      <c r="BL1625" s="153"/>
      <c r="BM1625" s="153"/>
      <c r="BN1625" s="153"/>
      <c r="BO1625" s="153"/>
      <c r="BP1625" s="153"/>
      <c r="BQ1625" s="153"/>
      <c r="BR1625" s="153"/>
      <c r="BS1625" s="153"/>
      <c r="BT1625" s="153"/>
      <c r="BU1625" s="153"/>
      <c r="BV1625" s="153"/>
      <c r="BW1625" s="153"/>
      <c r="BX1625" s="153"/>
      <c r="BY1625" s="153"/>
      <c r="BZ1625" s="153"/>
      <c r="CA1625" s="152"/>
      <c r="CB1625" s="152"/>
    </row>
    <row r="1626" spans="1:80" s="87" customFormat="1" x14ac:dyDescent="0.2">
      <c r="A1626" s="152"/>
      <c r="B1626" s="683"/>
      <c r="C1626" s="683"/>
      <c r="D1626" s="698"/>
      <c r="E1626" s="215"/>
      <c r="F1626" s="215"/>
      <c r="G1626" s="153"/>
      <c r="H1626" s="96"/>
      <c r="I1626" s="222">
        <v>20</v>
      </c>
      <c r="J1626" s="222">
        <v>60</v>
      </c>
      <c r="K1626" s="164">
        <v>1</v>
      </c>
      <c r="L1626" s="658">
        <v>20</v>
      </c>
      <c r="M1626" s="659">
        <v>34456</v>
      </c>
      <c r="N1626" s="600">
        <v>36.806511833305819</v>
      </c>
      <c r="O1626" s="602">
        <v>2.235587269226413E-2</v>
      </c>
      <c r="P1626" s="93"/>
      <c r="Q1626" s="93"/>
      <c r="R1626" s="93"/>
      <c r="S1626" s="93"/>
      <c r="T1626" s="93">
        <v>4.5</v>
      </c>
      <c r="U1626" s="93">
        <v>1.8</v>
      </c>
      <c r="V1626" s="498">
        <v>10.3</v>
      </c>
      <c r="W1626" s="498">
        <v>37.6</v>
      </c>
      <c r="X1626" s="498">
        <v>43.9</v>
      </c>
      <c r="Y1626" s="498">
        <v>1.9</v>
      </c>
      <c r="Z1626" s="154"/>
      <c r="AA1626" s="154"/>
      <c r="AB1626" s="152"/>
      <c r="AC1626" s="152"/>
      <c r="AD1626" s="223"/>
      <c r="AE1626" s="223"/>
      <c r="AF1626" s="223"/>
      <c r="AG1626" s="223"/>
      <c r="AH1626" s="341"/>
      <c r="AI1626" s="218"/>
      <c r="AJ1626" s="218"/>
      <c r="AK1626" s="153"/>
      <c r="AL1626" s="152"/>
      <c r="AM1626" s="152"/>
      <c r="AN1626" s="152"/>
      <c r="AO1626" s="152"/>
      <c r="AP1626" s="152"/>
      <c r="AQ1626" s="152"/>
      <c r="AR1626" s="152"/>
      <c r="AS1626" s="152"/>
      <c r="AT1626" s="152"/>
      <c r="AU1626" s="153"/>
      <c r="AV1626" s="479"/>
      <c r="AW1626" s="479"/>
      <c r="AX1626" s="442"/>
      <c r="AY1626" s="153"/>
      <c r="AZ1626" s="98"/>
      <c r="BA1626" s="98"/>
      <c r="BB1626" s="98"/>
      <c r="BC1626" s="98"/>
      <c r="BD1626" s="98"/>
      <c r="BE1626" s="98"/>
      <c r="BF1626" s="98"/>
      <c r="BG1626" s="98"/>
      <c r="BH1626" s="98"/>
      <c r="BI1626" s="153"/>
      <c r="BJ1626" s="153"/>
      <c r="BK1626" s="153"/>
      <c r="BL1626" s="153"/>
      <c r="BM1626" s="153"/>
      <c r="BN1626" s="153"/>
      <c r="BO1626" s="153"/>
      <c r="BP1626" s="153"/>
      <c r="BQ1626" s="153"/>
      <c r="BR1626" s="153"/>
      <c r="BS1626" s="153"/>
      <c r="BT1626" s="153"/>
      <c r="BU1626" s="153"/>
      <c r="BV1626" s="153"/>
      <c r="BW1626" s="153"/>
      <c r="BX1626" s="153"/>
      <c r="BY1626" s="153"/>
      <c r="BZ1626" s="153"/>
      <c r="CA1626" s="152"/>
      <c r="CB1626" s="152"/>
    </row>
    <row r="1627" spans="1:80" s="87" customFormat="1" x14ac:dyDescent="0.2">
      <c r="A1627" s="152"/>
      <c r="B1627" s="683"/>
      <c r="C1627" s="683"/>
      <c r="D1627" s="698"/>
      <c r="E1627" s="215"/>
      <c r="F1627" s="215"/>
      <c r="G1627" s="153"/>
      <c r="H1627" s="96"/>
      <c r="I1627" s="222">
        <v>20</v>
      </c>
      <c r="J1627" s="222">
        <v>60</v>
      </c>
      <c r="K1627" s="164">
        <v>1</v>
      </c>
      <c r="L1627" s="658">
        <v>20</v>
      </c>
      <c r="M1627" s="659">
        <v>34456</v>
      </c>
      <c r="N1627" s="600">
        <v>36.806511833305819</v>
      </c>
      <c r="O1627" s="602">
        <v>6.9481632498961748E-2</v>
      </c>
      <c r="P1627" s="93"/>
      <c r="Q1627" s="93"/>
      <c r="R1627" s="93"/>
      <c r="S1627" s="93"/>
      <c r="T1627" s="93"/>
      <c r="U1627" s="93">
        <v>1.3</v>
      </c>
      <c r="V1627" s="498">
        <v>24.5</v>
      </c>
      <c r="W1627" s="498">
        <v>47.9</v>
      </c>
      <c r="X1627" s="498">
        <v>25.5</v>
      </c>
      <c r="Y1627" s="498">
        <v>0.8</v>
      </c>
      <c r="Z1627" s="154"/>
      <c r="AA1627" s="154"/>
      <c r="AB1627" s="152"/>
      <c r="AC1627" s="152"/>
      <c r="AD1627" s="223"/>
      <c r="AE1627" s="223"/>
      <c r="AF1627" s="223"/>
      <c r="AG1627" s="223"/>
      <c r="AH1627" s="341"/>
      <c r="AI1627" s="218"/>
      <c r="AJ1627" s="218"/>
      <c r="AK1627" s="153"/>
      <c r="AL1627" s="152"/>
      <c r="AM1627" s="152"/>
      <c r="AN1627" s="152"/>
      <c r="AO1627" s="152"/>
      <c r="AP1627" s="152"/>
      <c r="AQ1627" s="152"/>
      <c r="AR1627" s="152"/>
      <c r="AS1627" s="152"/>
      <c r="AT1627" s="152"/>
      <c r="AU1627" s="153"/>
      <c r="AV1627" s="479"/>
      <c r="AW1627" s="479"/>
      <c r="AX1627" s="442"/>
      <c r="AY1627" s="153"/>
      <c r="AZ1627" s="98"/>
      <c r="BA1627" s="98"/>
      <c r="BB1627" s="98"/>
      <c r="BC1627" s="98"/>
      <c r="BD1627" s="98"/>
      <c r="BE1627" s="98"/>
      <c r="BF1627" s="98"/>
      <c r="BG1627" s="98"/>
      <c r="BH1627" s="98"/>
      <c r="BI1627" s="153"/>
      <c r="BJ1627" s="153"/>
      <c r="BK1627" s="153"/>
      <c r="BL1627" s="153"/>
      <c r="BM1627" s="153"/>
      <c r="BN1627" s="153"/>
      <c r="BO1627" s="153"/>
      <c r="BP1627" s="153"/>
      <c r="BQ1627" s="153"/>
      <c r="BR1627" s="153"/>
      <c r="BS1627" s="153"/>
      <c r="BT1627" s="153"/>
      <c r="BU1627" s="153"/>
      <c r="BV1627" s="153"/>
      <c r="BW1627" s="153"/>
      <c r="BX1627" s="153"/>
      <c r="BY1627" s="153"/>
      <c r="BZ1627" s="153"/>
      <c r="CA1627" s="152"/>
      <c r="CB1627" s="152"/>
    </row>
    <row r="1628" spans="1:80" s="87" customFormat="1" x14ac:dyDescent="0.2">
      <c r="A1628" s="152"/>
      <c r="B1628" s="683"/>
      <c r="C1628" s="683"/>
      <c r="D1628" s="698"/>
      <c r="E1628" s="215"/>
      <c r="F1628" s="215"/>
      <c r="G1628" s="153"/>
      <c r="H1628" s="96"/>
      <c r="I1628" s="222">
        <v>20</v>
      </c>
      <c r="J1628" s="222">
        <v>60</v>
      </c>
      <c r="K1628" s="164">
        <v>1</v>
      </c>
      <c r="L1628" s="658">
        <v>20</v>
      </c>
      <c r="M1628" s="659">
        <v>34459</v>
      </c>
      <c r="N1628" s="600">
        <v>38.788400932022292</v>
      </c>
      <c r="O1628" s="602">
        <v>6.2659417827613542E-2</v>
      </c>
      <c r="P1628" s="93"/>
      <c r="Q1628" s="93"/>
      <c r="R1628" s="93"/>
      <c r="S1628" s="93"/>
      <c r="T1628" s="93"/>
      <c r="U1628" s="93">
        <v>6.3</v>
      </c>
      <c r="V1628" s="498">
        <v>52.7</v>
      </c>
      <c r="W1628" s="498">
        <v>26.4</v>
      </c>
      <c r="X1628" s="498">
        <v>14.1</v>
      </c>
      <c r="Y1628" s="498">
        <v>0.5</v>
      </c>
      <c r="Z1628" s="154"/>
      <c r="AA1628" s="154"/>
      <c r="AB1628" s="152"/>
      <c r="AC1628" s="152"/>
      <c r="AD1628" s="223"/>
      <c r="AE1628" s="223"/>
      <c r="AF1628" s="223"/>
      <c r="AG1628" s="223"/>
      <c r="AH1628" s="341"/>
      <c r="AI1628" s="218"/>
      <c r="AJ1628" s="218"/>
      <c r="AK1628" s="153"/>
      <c r="AL1628" s="152"/>
      <c r="AM1628" s="152"/>
      <c r="AN1628" s="152"/>
      <c r="AO1628" s="152"/>
      <c r="AP1628" s="152"/>
      <c r="AQ1628" s="152"/>
      <c r="AR1628" s="152"/>
      <c r="AS1628" s="152"/>
      <c r="AT1628" s="152"/>
      <c r="AU1628" s="153"/>
      <c r="AV1628" s="479"/>
      <c r="AW1628" s="479"/>
      <c r="AX1628" s="442"/>
      <c r="AY1628" s="153"/>
      <c r="AZ1628" s="152"/>
      <c r="BA1628" s="152"/>
      <c r="BB1628" s="152"/>
      <c r="BC1628" s="152"/>
      <c r="BD1628" s="152"/>
      <c r="BE1628" s="152"/>
      <c r="BF1628" s="152"/>
      <c r="BG1628" s="152"/>
      <c r="BH1628" s="152"/>
      <c r="BI1628" s="153"/>
      <c r="BJ1628" s="153"/>
      <c r="BK1628" s="153"/>
      <c r="BL1628" s="153"/>
      <c r="BM1628" s="153"/>
      <c r="BN1628" s="153"/>
      <c r="BO1628" s="153"/>
      <c r="BP1628" s="153"/>
      <c r="BQ1628" s="153"/>
      <c r="BR1628" s="153"/>
      <c r="BS1628" s="153"/>
      <c r="BT1628" s="153"/>
      <c r="BU1628" s="153"/>
      <c r="BV1628" s="153"/>
      <c r="BW1628" s="153"/>
      <c r="BX1628" s="153"/>
      <c r="BY1628" s="153"/>
      <c r="BZ1628" s="153"/>
      <c r="CA1628" s="152"/>
      <c r="CB1628" s="152"/>
    </row>
    <row r="1629" spans="1:80" s="87" customFormat="1" x14ac:dyDescent="0.2">
      <c r="A1629" s="152"/>
      <c r="B1629" s="683"/>
      <c r="C1629" s="683"/>
      <c r="D1629" s="698"/>
      <c r="E1629" s="215"/>
      <c r="F1629" s="215"/>
      <c r="G1629" s="153"/>
      <c r="H1629" s="96"/>
      <c r="I1629" s="222">
        <v>20</v>
      </c>
      <c r="J1629" s="222">
        <v>60</v>
      </c>
      <c r="K1629" s="164">
        <v>1</v>
      </c>
      <c r="L1629" s="658">
        <v>20</v>
      </c>
      <c r="M1629" s="659">
        <v>34459</v>
      </c>
      <c r="N1629" s="600">
        <v>38.788400932022292</v>
      </c>
      <c r="O1629" s="602">
        <v>0.11965114962056857</v>
      </c>
      <c r="P1629" s="93"/>
      <c r="Q1629" s="93"/>
      <c r="R1629" s="93"/>
      <c r="S1629" s="93"/>
      <c r="T1629" s="93"/>
      <c r="U1629" s="93">
        <v>2.9</v>
      </c>
      <c r="V1629" s="498">
        <v>31.9</v>
      </c>
      <c r="W1629" s="498">
        <v>41.5</v>
      </c>
      <c r="X1629" s="498">
        <v>23.3</v>
      </c>
      <c r="Y1629" s="498">
        <v>0.4</v>
      </c>
      <c r="Z1629" s="154"/>
      <c r="AA1629" s="154"/>
      <c r="AB1629" s="152"/>
      <c r="AC1629" s="152"/>
      <c r="AD1629" s="223"/>
      <c r="AE1629" s="223"/>
      <c r="AF1629" s="223"/>
      <c r="AG1629" s="223"/>
      <c r="AH1629" s="341"/>
      <c r="AI1629" s="218"/>
      <c r="AJ1629" s="218"/>
      <c r="AK1629" s="153"/>
      <c r="AL1629" s="152"/>
      <c r="AM1629" s="152"/>
      <c r="AN1629" s="152"/>
      <c r="AO1629" s="152"/>
      <c r="AP1629" s="152"/>
      <c r="AQ1629" s="152"/>
      <c r="AR1629" s="152"/>
      <c r="AS1629" s="152"/>
      <c r="AT1629" s="152"/>
      <c r="AU1629" s="153"/>
      <c r="AV1629" s="479"/>
      <c r="AW1629" s="479"/>
      <c r="AX1629" s="442"/>
      <c r="AY1629" s="153"/>
      <c r="AZ1629" s="152"/>
      <c r="BA1629" s="152"/>
      <c r="BB1629" s="152"/>
      <c r="BC1629" s="152"/>
      <c r="BD1629" s="152"/>
      <c r="BE1629" s="152"/>
      <c r="BF1629" s="152"/>
      <c r="BG1629" s="152"/>
      <c r="BH1629" s="152"/>
      <c r="BI1629" s="153"/>
      <c r="BJ1629" s="153"/>
      <c r="BK1629" s="153"/>
      <c r="BL1629" s="153"/>
      <c r="BM1629" s="153"/>
      <c r="BN1629" s="153"/>
      <c r="BO1629" s="153"/>
      <c r="BP1629" s="153"/>
      <c r="BQ1629" s="153"/>
      <c r="BR1629" s="153"/>
      <c r="BS1629" s="153"/>
      <c r="BT1629" s="153"/>
      <c r="BU1629" s="153"/>
      <c r="BV1629" s="153"/>
      <c r="BW1629" s="153"/>
      <c r="BX1629" s="153"/>
      <c r="BY1629" s="153"/>
      <c r="BZ1629" s="153"/>
      <c r="CA1629" s="152"/>
      <c r="CB1629" s="152"/>
    </row>
    <row r="1630" spans="1:80" s="87" customFormat="1" x14ac:dyDescent="0.2">
      <c r="A1630" s="152"/>
      <c r="B1630" s="683"/>
      <c r="C1630" s="683"/>
      <c r="D1630" s="698"/>
      <c r="E1630" s="215"/>
      <c r="F1630" s="215"/>
      <c r="G1630" s="153"/>
      <c r="H1630" s="96"/>
      <c r="I1630" s="222">
        <v>20</v>
      </c>
      <c r="J1630" s="222">
        <v>60</v>
      </c>
      <c r="K1630" s="164">
        <v>1</v>
      </c>
      <c r="L1630" s="658">
        <v>20</v>
      </c>
      <c r="M1630" s="659">
        <v>34463</v>
      </c>
      <c r="N1630" s="600">
        <v>64.26983220123401</v>
      </c>
      <c r="O1630" s="602">
        <v>0.63499075017933315</v>
      </c>
      <c r="P1630" s="93"/>
      <c r="Q1630" s="93"/>
      <c r="R1630" s="93"/>
      <c r="S1630" s="93"/>
      <c r="T1630" s="93">
        <v>0.2</v>
      </c>
      <c r="U1630" s="93">
        <v>4.5999999999999996</v>
      </c>
      <c r="V1630" s="498">
        <v>30.1</v>
      </c>
      <c r="W1630" s="498">
        <v>25.7</v>
      </c>
      <c r="X1630" s="498">
        <v>37.9</v>
      </c>
      <c r="Y1630" s="498">
        <v>1.5</v>
      </c>
      <c r="Z1630" s="154"/>
      <c r="AA1630" s="154"/>
      <c r="AB1630" s="152"/>
      <c r="AC1630" s="152"/>
      <c r="AD1630" s="223"/>
      <c r="AE1630" s="223"/>
      <c r="AF1630" s="223"/>
      <c r="AG1630" s="223"/>
      <c r="AH1630" s="341"/>
      <c r="AI1630" s="218"/>
      <c r="AJ1630" s="218"/>
      <c r="AK1630" s="153"/>
      <c r="AL1630" s="152"/>
      <c r="AM1630" s="152"/>
      <c r="AN1630" s="152"/>
      <c r="AO1630" s="152"/>
      <c r="AP1630" s="152"/>
      <c r="AQ1630" s="152"/>
      <c r="AR1630" s="152"/>
      <c r="AS1630" s="152"/>
      <c r="AT1630" s="152"/>
      <c r="AU1630" s="153"/>
      <c r="AV1630" s="479"/>
      <c r="AW1630" s="479"/>
      <c r="AX1630" s="442"/>
      <c r="AY1630" s="153"/>
      <c r="AZ1630" s="152"/>
      <c r="BA1630" s="152"/>
      <c r="BB1630" s="152"/>
      <c r="BC1630" s="152"/>
      <c r="BD1630" s="152"/>
      <c r="BE1630" s="152"/>
      <c r="BF1630" s="152"/>
      <c r="BG1630" s="152"/>
      <c r="BH1630" s="152"/>
      <c r="BI1630" s="153"/>
      <c r="BJ1630" s="153"/>
      <c r="BK1630" s="153"/>
      <c r="BL1630" s="153"/>
      <c r="BM1630" s="153"/>
      <c r="BN1630" s="153"/>
      <c r="BO1630" s="153"/>
      <c r="BP1630" s="153"/>
      <c r="BQ1630" s="153"/>
      <c r="BR1630" s="153"/>
      <c r="BS1630" s="153"/>
      <c r="BT1630" s="153"/>
      <c r="BU1630" s="153"/>
      <c r="BV1630" s="153"/>
      <c r="BW1630" s="153"/>
      <c r="BX1630" s="153"/>
      <c r="BY1630" s="153"/>
      <c r="BZ1630" s="153"/>
      <c r="CA1630" s="152"/>
      <c r="CB1630" s="152"/>
    </row>
    <row r="1631" spans="1:80" s="87" customFormat="1" x14ac:dyDescent="0.2">
      <c r="A1631" s="152"/>
      <c r="B1631" s="683"/>
      <c r="C1631" s="683"/>
      <c r="D1631" s="698"/>
      <c r="E1631" s="215"/>
      <c r="F1631" s="215"/>
      <c r="G1631" s="153"/>
      <c r="H1631" s="96"/>
      <c r="I1631" s="222">
        <v>20</v>
      </c>
      <c r="J1631" s="222">
        <v>60</v>
      </c>
      <c r="K1631" s="164">
        <v>1</v>
      </c>
      <c r="L1631" s="658">
        <v>20</v>
      </c>
      <c r="M1631" s="659">
        <v>34463</v>
      </c>
      <c r="N1631" s="600">
        <v>64.26983220123401</v>
      </c>
      <c r="O1631" s="602">
        <v>0.29912787405142144</v>
      </c>
      <c r="P1631" s="93"/>
      <c r="Q1631" s="93"/>
      <c r="R1631" s="93"/>
      <c r="S1631" s="93"/>
      <c r="T1631" s="93">
        <v>0.2</v>
      </c>
      <c r="U1631" s="93">
        <v>2.1</v>
      </c>
      <c r="V1631" s="498">
        <v>17.8</v>
      </c>
      <c r="W1631" s="498">
        <v>36.9</v>
      </c>
      <c r="X1631" s="498">
        <v>41.7</v>
      </c>
      <c r="Y1631" s="498">
        <v>1.3</v>
      </c>
      <c r="Z1631" s="154"/>
      <c r="AA1631" s="154"/>
      <c r="AB1631" s="152"/>
      <c r="AC1631" s="152"/>
      <c r="AD1631" s="223"/>
      <c r="AE1631" s="223"/>
      <c r="AF1631" s="223"/>
      <c r="AG1631" s="223"/>
      <c r="AH1631" s="341"/>
      <c r="AI1631" s="218"/>
      <c r="AJ1631" s="218"/>
      <c r="AK1631" s="153"/>
      <c r="AL1631" s="152"/>
      <c r="AM1631" s="152"/>
      <c r="AN1631" s="152"/>
      <c r="AO1631" s="152"/>
      <c r="AP1631" s="152"/>
      <c r="AQ1631" s="152"/>
      <c r="AR1631" s="152"/>
      <c r="AS1631" s="152"/>
      <c r="AT1631" s="152"/>
      <c r="AU1631" s="153"/>
      <c r="AV1631" s="479"/>
      <c r="AW1631" s="479"/>
      <c r="AX1631" s="442"/>
      <c r="AY1631" s="153"/>
      <c r="AZ1631" s="152"/>
      <c r="BA1631" s="152"/>
      <c r="BB1631" s="152"/>
      <c r="BC1631" s="152"/>
      <c r="BD1631" s="152"/>
      <c r="BE1631" s="152"/>
      <c r="BF1631" s="152"/>
      <c r="BG1631" s="152"/>
      <c r="BH1631" s="152"/>
      <c r="BI1631" s="153"/>
      <c r="BJ1631" s="153"/>
      <c r="BK1631" s="153"/>
      <c r="BL1631" s="153"/>
      <c r="BM1631" s="153"/>
      <c r="BN1631" s="153"/>
      <c r="BO1631" s="153"/>
      <c r="BP1631" s="153"/>
      <c r="BQ1631" s="153"/>
      <c r="BR1631" s="153"/>
      <c r="BS1631" s="153"/>
      <c r="BT1631" s="153"/>
      <c r="BU1631" s="153"/>
      <c r="BV1631" s="153"/>
      <c r="BW1631" s="153"/>
      <c r="BX1631" s="153"/>
      <c r="BY1631" s="153"/>
      <c r="BZ1631" s="153"/>
      <c r="CA1631" s="152"/>
      <c r="CB1631" s="152"/>
    </row>
    <row r="1632" spans="1:80" s="87" customFormat="1" x14ac:dyDescent="0.2">
      <c r="A1632" s="152"/>
      <c r="B1632" s="683"/>
      <c r="C1632" s="683"/>
      <c r="D1632" s="698"/>
      <c r="E1632" s="215"/>
      <c r="F1632" s="215"/>
      <c r="G1632" s="153"/>
      <c r="H1632" s="96"/>
      <c r="I1632" s="222">
        <v>20</v>
      </c>
      <c r="J1632" s="222">
        <v>60</v>
      </c>
      <c r="K1632" s="164">
        <v>1</v>
      </c>
      <c r="L1632" s="658">
        <v>20</v>
      </c>
      <c r="M1632" s="659">
        <v>34466</v>
      </c>
      <c r="N1632" s="600">
        <v>82.389961103784572</v>
      </c>
      <c r="O1632" s="602">
        <v>0.42612602408728811</v>
      </c>
      <c r="P1632" s="93"/>
      <c r="Q1632" s="93"/>
      <c r="R1632" s="93"/>
      <c r="S1632" s="93"/>
      <c r="T1632" s="93">
        <v>0.1</v>
      </c>
      <c r="U1632" s="93">
        <v>0.6</v>
      </c>
      <c r="V1632" s="498">
        <v>8.4</v>
      </c>
      <c r="W1632" s="498">
        <v>42.6</v>
      </c>
      <c r="X1632" s="498">
        <v>46.9</v>
      </c>
      <c r="Y1632" s="498">
        <v>1.4</v>
      </c>
      <c r="Z1632" s="93"/>
      <c r="AA1632" s="154"/>
      <c r="AB1632" s="152"/>
      <c r="AC1632" s="152"/>
      <c r="AD1632" s="223"/>
      <c r="AE1632" s="223"/>
      <c r="AF1632" s="223"/>
      <c r="AG1632" s="223"/>
      <c r="AH1632" s="341"/>
      <c r="AI1632" s="218"/>
      <c r="AJ1632" s="218"/>
      <c r="AK1632" s="153"/>
      <c r="AL1632" s="152"/>
      <c r="AM1632" s="152"/>
      <c r="AN1632" s="152"/>
      <c r="AO1632" s="152"/>
      <c r="AP1632" s="152"/>
      <c r="AQ1632" s="152"/>
      <c r="AR1632" s="152"/>
      <c r="AS1632" s="152"/>
      <c r="AT1632" s="152"/>
      <c r="AU1632" s="153"/>
      <c r="AV1632" s="479"/>
      <c r="AW1632" s="479"/>
      <c r="AX1632" s="442"/>
      <c r="AY1632" s="153"/>
      <c r="AZ1632" s="152"/>
      <c r="BA1632" s="152"/>
      <c r="BB1632" s="152"/>
      <c r="BC1632" s="152"/>
      <c r="BD1632" s="152"/>
      <c r="BE1632" s="152"/>
      <c r="BF1632" s="152"/>
      <c r="BG1632" s="152"/>
      <c r="BH1632" s="152"/>
      <c r="BI1632" s="153"/>
      <c r="BJ1632" s="153"/>
      <c r="BK1632" s="153"/>
      <c r="BL1632" s="153"/>
      <c r="BM1632" s="153"/>
      <c r="BN1632" s="153"/>
      <c r="BO1632" s="153"/>
      <c r="BP1632" s="153"/>
      <c r="BQ1632" s="153"/>
      <c r="BR1632" s="153"/>
      <c r="BS1632" s="153"/>
      <c r="BT1632" s="153"/>
      <c r="BU1632" s="153"/>
      <c r="BV1632" s="153"/>
      <c r="BW1632" s="153"/>
      <c r="BX1632" s="153"/>
      <c r="BY1632" s="153"/>
      <c r="BZ1632" s="153"/>
      <c r="CA1632" s="152"/>
      <c r="CB1632" s="152"/>
    </row>
    <row r="1633" spans="1:80" s="87" customFormat="1" x14ac:dyDescent="0.2">
      <c r="A1633" s="152"/>
      <c r="B1633" s="683"/>
      <c r="C1633" s="683"/>
      <c r="D1633" s="698"/>
      <c r="E1633" s="215"/>
      <c r="F1633" s="215"/>
      <c r="G1633" s="153"/>
      <c r="H1633" s="96"/>
      <c r="I1633" s="222">
        <v>20</v>
      </c>
      <c r="J1633" s="222">
        <v>60</v>
      </c>
      <c r="K1633" s="164">
        <v>1</v>
      </c>
      <c r="L1633" s="658">
        <v>20</v>
      </c>
      <c r="M1633" s="659">
        <v>34466</v>
      </c>
      <c r="N1633" s="600">
        <v>82.389961103784572</v>
      </c>
      <c r="O1633" s="602">
        <v>0.58671046173594577</v>
      </c>
      <c r="P1633" s="93"/>
      <c r="Q1633" s="93"/>
      <c r="R1633" s="93"/>
      <c r="S1633" s="93"/>
      <c r="T1633" s="93">
        <v>0.1</v>
      </c>
      <c r="U1633" s="93">
        <v>1.3</v>
      </c>
      <c r="V1633" s="498">
        <v>12.2</v>
      </c>
      <c r="W1633" s="498">
        <v>47.8</v>
      </c>
      <c r="X1633" s="498">
        <v>37.700000000000003</v>
      </c>
      <c r="Y1633" s="498">
        <v>0.9</v>
      </c>
      <c r="Z1633" s="93"/>
      <c r="AA1633" s="154"/>
      <c r="AB1633" s="152"/>
      <c r="AC1633" s="152"/>
      <c r="AD1633" s="223"/>
      <c r="AE1633" s="223"/>
      <c r="AF1633" s="223"/>
      <c r="AG1633" s="223"/>
      <c r="AH1633" s="341"/>
      <c r="AI1633" s="218"/>
      <c r="AJ1633" s="218"/>
      <c r="AK1633" s="153"/>
      <c r="AL1633" s="152"/>
      <c r="AM1633" s="152"/>
      <c r="AN1633" s="152"/>
      <c r="AO1633" s="152"/>
      <c r="AP1633" s="152"/>
      <c r="AQ1633" s="152"/>
      <c r="AR1633" s="152"/>
      <c r="AS1633" s="152"/>
      <c r="AT1633" s="152"/>
      <c r="AU1633" s="153"/>
      <c r="AV1633" s="479"/>
      <c r="AW1633" s="479"/>
      <c r="AX1633" s="442"/>
      <c r="AY1633" s="153"/>
      <c r="AZ1633" s="152"/>
      <c r="BA1633" s="152"/>
      <c r="BB1633" s="152"/>
      <c r="BC1633" s="152"/>
      <c r="BD1633" s="152"/>
      <c r="BE1633" s="152"/>
      <c r="BF1633" s="152"/>
      <c r="BG1633" s="152"/>
      <c r="BH1633" s="152"/>
      <c r="BI1633" s="153"/>
      <c r="BJ1633" s="153"/>
      <c r="BK1633" s="153"/>
      <c r="BL1633" s="153"/>
      <c r="BM1633" s="153"/>
      <c r="BN1633" s="153"/>
      <c r="BO1633" s="153"/>
      <c r="BP1633" s="153"/>
      <c r="BQ1633" s="153"/>
      <c r="BR1633" s="153"/>
      <c r="BS1633" s="153"/>
      <c r="BT1633" s="153"/>
      <c r="BU1633" s="153"/>
      <c r="BV1633" s="153"/>
      <c r="BW1633" s="153"/>
      <c r="BX1633" s="153"/>
      <c r="BY1633" s="153"/>
      <c r="BZ1633" s="153"/>
      <c r="CA1633" s="152"/>
      <c r="CB1633" s="152"/>
    </row>
    <row r="1634" spans="1:80" s="87" customFormat="1" x14ac:dyDescent="0.2">
      <c r="A1634" s="152"/>
      <c r="B1634" s="683"/>
      <c r="C1634" s="683"/>
      <c r="D1634" s="698"/>
      <c r="E1634" s="215"/>
      <c r="F1634" s="215"/>
      <c r="G1634" s="153"/>
      <c r="H1634" s="96"/>
      <c r="I1634" s="222">
        <v>20</v>
      </c>
      <c r="J1634" s="222">
        <v>60</v>
      </c>
      <c r="K1634" s="164">
        <v>1</v>
      </c>
      <c r="L1634" s="658">
        <v>20</v>
      </c>
      <c r="M1634" s="659">
        <v>34468</v>
      </c>
      <c r="N1634" s="600">
        <v>69.932372483281057</v>
      </c>
      <c r="O1634" s="602">
        <v>0.64548646505833052</v>
      </c>
      <c r="P1634" s="93"/>
      <c r="Q1634" s="93"/>
      <c r="R1634" s="93"/>
      <c r="S1634" s="93">
        <v>0.1</v>
      </c>
      <c r="T1634" s="93">
        <v>0.4</v>
      </c>
      <c r="U1634" s="93">
        <v>1.5</v>
      </c>
      <c r="V1634" s="498">
        <v>16.3</v>
      </c>
      <c r="W1634" s="498">
        <v>52.8</v>
      </c>
      <c r="X1634" s="498">
        <v>28.2</v>
      </c>
      <c r="Y1634" s="498">
        <v>0.7</v>
      </c>
      <c r="Z1634" s="93"/>
      <c r="AA1634" s="154"/>
      <c r="AB1634" s="152"/>
      <c r="AC1634" s="152"/>
      <c r="AD1634" s="223"/>
      <c r="AE1634" s="223"/>
      <c r="AF1634" s="223"/>
      <c r="AG1634" s="223"/>
      <c r="AH1634" s="341"/>
      <c r="AI1634" s="218"/>
      <c r="AJ1634" s="218"/>
      <c r="AK1634" s="153"/>
      <c r="AL1634" s="152"/>
      <c r="AM1634" s="152"/>
      <c r="AN1634" s="152"/>
      <c r="AO1634" s="152"/>
      <c r="AP1634" s="152"/>
      <c r="AQ1634" s="152"/>
      <c r="AR1634" s="152"/>
      <c r="AS1634" s="152"/>
      <c r="AT1634" s="152"/>
      <c r="AU1634" s="153"/>
      <c r="AV1634" s="479"/>
      <c r="AW1634" s="479"/>
      <c r="AX1634" s="442"/>
      <c r="AY1634" s="153"/>
      <c r="AZ1634" s="152"/>
      <c r="BA1634" s="152"/>
      <c r="BB1634" s="152"/>
      <c r="BC1634" s="152"/>
      <c r="BD1634" s="152"/>
      <c r="BE1634" s="152"/>
      <c r="BF1634" s="152"/>
      <c r="BG1634" s="152"/>
      <c r="BH1634" s="152"/>
      <c r="BI1634" s="153"/>
      <c r="BJ1634" s="153"/>
      <c r="BK1634" s="153"/>
      <c r="BL1634" s="153"/>
      <c r="BM1634" s="153"/>
      <c r="BN1634" s="153"/>
      <c r="BO1634" s="153"/>
      <c r="BP1634" s="153"/>
      <c r="BQ1634" s="153"/>
      <c r="BR1634" s="153"/>
      <c r="BS1634" s="153"/>
      <c r="BT1634" s="153"/>
      <c r="BU1634" s="153"/>
      <c r="BV1634" s="153"/>
      <c r="BW1634" s="153"/>
      <c r="BX1634" s="153"/>
      <c r="BY1634" s="153"/>
      <c r="BZ1634" s="153"/>
      <c r="CA1634" s="152"/>
      <c r="CB1634" s="152"/>
    </row>
    <row r="1635" spans="1:80" s="87" customFormat="1" x14ac:dyDescent="0.2">
      <c r="A1635" s="152"/>
      <c r="B1635" s="683"/>
      <c r="C1635" s="683"/>
      <c r="D1635" s="698"/>
      <c r="E1635" s="215"/>
      <c r="F1635" s="215"/>
      <c r="G1635" s="153"/>
      <c r="H1635" s="96"/>
      <c r="I1635" s="222">
        <v>20</v>
      </c>
      <c r="J1635" s="222">
        <v>60</v>
      </c>
      <c r="K1635" s="164">
        <v>1</v>
      </c>
      <c r="L1635" s="658">
        <v>20</v>
      </c>
      <c r="M1635" s="659">
        <v>34468</v>
      </c>
      <c r="N1635" s="600">
        <v>69.932372483281057</v>
      </c>
      <c r="O1635" s="602">
        <v>0.61714803488503789</v>
      </c>
      <c r="P1635" s="93"/>
      <c r="Q1635" s="93"/>
      <c r="R1635" s="93"/>
      <c r="S1635" s="93"/>
      <c r="T1635" s="93">
        <v>0.4</v>
      </c>
      <c r="U1635" s="93">
        <v>1.7</v>
      </c>
      <c r="V1635" s="498">
        <v>16.899999999999999</v>
      </c>
      <c r="W1635" s="498">
        <v>49.1</v>
      </c>
      <c r="X1635" s="498">
        <v>31.2</v>
      </c>
      <c r="Y1635" s="498">
        <v>0.7</v>
      </c>
      <c r="Z1635" s="93"/>
      <c r="AA1635" s="154"/>
      <c r="AB1635" s="152"/>
      <c r="AC1635" s="152"/>
      <c r="AD1635" s="223"/>
      <c r="AE1635" s="223"/>
      <c r="AF1635" s="223"/>
      <c r="AG1635" s="223"/>
      <c r="AH1635" s="341"/>
      <c r="AI1635" s="218"/>
      <c r="AJ1635" s="218"/>
      <c r="AK1635" s="153"/>
      <c r="AL1635" s="152"/>
      <c r="AM1635" s="152"/>
      <c r="AN1635" s="152"/>
      <c r="AO1635" s="152"/>
      <c r="AP1635" s="152"/>
      <c r="AQ1635" s="152"/>
      <c r="AR1635" s="152"/>
      <c r="AS1635" s="152"/>
      <c r="AT1635" s="152"/>
      <c r="AU1635" s="153"/>
      <c r="AV1635" s="479"/>
      <c r="AW1635" s="479"/>
      <c r="AX1635" s="442"/>
      <c r="AY1635" s="153"/>
      <c r="AZ1635" s="152"/>
      <c r="BA1635" s="152"/>
      <c r="BB1635" s="152"/>
      <c r="BC1635" s="152"/>
      <c r="BD1635" s="152"/>
      <c r="BE1635" s="152"/>
      <c r="BF1635" s="152"/>
      <c r="BG1635" s="152"/>
      <c r="BH1635" s="152"/>
      <c r="BI1635" s="153"/>
      <c r="BJ1635" s="153"/>
      <c r="BK1635" s="153"/>
      <c r="BL1635" s="153"/>
      <c r="BM1635" s="153"/>
      <c r="BN1635" s="153"/>
      <c r="BO1635" s="153"/>
      <c r="BP1635" s="153"/>
      <c r="BQ1635" s="153"/>
      <c r="BR1635" s="153"/>
      <c r="BS1635" s="153"/>
      <c r="BT1635" s="153"/>
      <c r="BU1635" s="153"/>
      <c r="BV1635" s="153"/>
      <c r="BW1635" s="153"/>
      <c r="BX1635" s="153"/>
      <c r="BY1635" s="153"/>
      <c r="BZ1635" s="153"/>
      <c r="CA1635" s="152"/>
      <c r="CB1635" s="152"/>
    </row>
    <row r="1636" spans="1:80" s="87" customFormat="1" x14ac:dyDescent="0.2">
      <c r="A1636" s="152"/>
      <c r="B1636" s="683"/>
      <c r="C1636" s="683"/>
      <c r="D1636" s="698"/>
      <c r="E1636" s="215"/>
      <c r="F1636" s="215"/>
      <c r="G1636" s="153"/>
      <c r="H1636" s="96"/>
      <c r="I1636" s="222">
        <v>20</v>
      </c>
      <c r="J1636" s="222">
        <v>60</v>
      </c>
      <c r="K1636" s="164">
        <v>1</v>
      </c>
      <c r="L1636" s="658">
        <v>20</v>
      </c>
      <c r="M1636" s="659">
        <v>34470</v>
      </c>
      <c r="N1636" s="600">
        <v>53.794132679446967</v>
      </c>
      <c r="O1636" s="602">
        <v>0.25399630007173329</v>
      </c>
      <c r="P1636" s="93"/>
      <c r="Q1636" s="93"/>
      <c r="R1636" s="93"/>
      <c r="S1636" s="93">
        <v>0.1</v>
      </c>
      <c r="T1636" s="93">
        <v>0.3</v>
      </c>
      <c r="U1636" s="93">
        <v>3.7</v>
      </c>
      <c r="V1636" s="498">
        <v>22.9</v>
      </c>
      <c r="W1636" s="498">
        <v>46.5</v>
      </c>
      <c r="X1636" s="498">
        <v>26</v>
      </c>
      <c r="Y1636" s="498">
        <v>0.5</v>
      </c>
      <c r="Z1636" s="93"/>
      <c r="AA1636" s="154"/>
      <c r="AB1636" s="152"/>
      <c r="AC1636" s="152"/>
      <c r="AD1636" s="223"/>
      <c r="AE1636" s="223"/>
      <c r="AF1636" s="223"/>
      <c r="AG1636" s="223"/>
      <c r="AH1636" s="341"/>
      <c r="AI1636" s="218"/>
      <c r="AJ1636" s="218"/>
      <c r="AK1636" s="153"/>
      <c r="AL1636" s="152"/>
      <c r="AM1636" s="152"/>
      <c r="AN1636" s="152"/>
      <c r="AO1636" s="152"/>
      <c r="AP1636" s="152"/>
      <c r="AQ1636" s="152"/>
      <c r="AR1636" s="152"/>
      <c r="AS1636" s="152"/>
      <c r="AT1636" s="152"/>
      <c r="AU1636" s="153"/>
      <c r="AV1636" s="479"/>
      <c r="AW1636" s="479"/>
      <c r="AX1636" s="442"/>
      <c r="AY1636" s="153"/>
      <c r="AZ1636" s="152"/>
      <c r="BA1636" s="152"/>
      <c r="BB1636" s="152"/>
      <c r="BC1636" s="152"/>
      <c r="BD1636" s="152"/>
      <c r="BE1636" s="152"/>
      <c r="BF1636" s="152"/>
      <c r="BG1636" s="152"/>
      <c r="BH1636" s="152"/>
      <c r="BI1636" s="153"/>
      <c r="BJ1636" s="153"/>
      <c r="BK1636" s="153"/>
      <c r="BL1636" s="153"/>
      <c r="BM1636" s="153"/>
      <c r="BN1636" s="153"/>
      <c r="BO1636" s="153"/>
      <c r="BP1636" s="153"/>
      <c r="BQ1636" s="153"/>
      <c r="BR1636" s="153"/>
      <c r="BS1636" s="153"/>
      <c r="BT1636" s="153"/>
      <c r="BU1636" s="153"/>
      <c r="BV1636" s="153"/>
      <c r="BW1636" s="153"/>
      <c r="BX1636" s="153"/>
      <c r="BY1636" s="153"/>
      <c r="BZ1636" s="153"/>
      <c r="CA1636" s="152"/>
      <c r="CB1636" s="152"/>
    </row>
    <row r="1637" spans="1:80" s="87" customFormat="1" x14ac:dyDescent="0.2">
      <c r="A1637" s="152"/>
      <c r="B1637" s="683"/>
      <c r="C1637" s="683"/>
      <c r="D1637" s="698"/>
      <c r="E1637" s="215"/>
      <c r="F1637" s="215"/>
      <c r="G1637" s="153"/>
      <c r="H1637" s="96"/>
      <c r="I1637" s="222">
        <v>20</v>
      </c>
      <c r="J1637" s="222">
        <v>60</v>
      </c>
      <c r="K1637" s="164">
        <v>1</v>
      </c>
      <c r="L1637" s="658">
        <v>20</v>
      </c>
      <c r="M1637" s="659">
        <v>34470</v>
      </c>
      <c r="N1637" s="600">
        <v>53.794132679446967</v>
      </c>
      <c r="O1637" s="602">
        <v>0.17842715294295311</v>
      </c>
      <c r="P1637" s="93"/>
      <c r="Q1637" s="93"/>
      <c r="R1637" s="93"/>
      <c r="S1637" s="93"/>
      <c r="T1637" s="93">
        <v>0</v>
      </c>
      <c r="U1637" s="93">
        <v>1.1000000000000001</v>
      </c>
      <c r="V1637" s="498">
        <v>15</v>
      </c>
      <c r="W1637" s="498">
        <v>53</v>
      </c>
      <c r="X1637" s="498">
        <v>30.2</v>
      </c>
      <c r="Y1637" s="498">
        <v>0.7</v>
      </c>
      <c r="Z1637" s="93"/>
      <c r="AA1637" s="154"/>
      <c r="AB1637" s="152"/>
      <c r="AC1637" s="152"/>
      <c r="AD1637" s="223"/>
      <c r="AE1637" s="223"/>
      <c r="AF1637" s="223"/>
      <c r="AG1637" s="223"/>
      <c r="AH1637" s="341"/>
      <c r="AI1637" s="218"/>
      <c r="AJ1637" s="218"/>
      <c r="AK1637" s="153"/>
      <c r="AL1637" s="152"/>
      <c r="AM1637" s="152"/>
      <c r="AN1637" s="152"/>
      <c r="AO1637" s="152"/>
      <c r="AP1637" s="152"/>
      <c r="AQ1637" s="152"/>
      <c r="AR1637" s="152"/>
      <c r="AS1637" s="152"/>
      <c r="AT1637" s="152"/>
      <c r="AU1637" s="153"/>
      <c r="AV1637" s="479"/>
      <c r="AW1637" s="479"/>
      <c r="AX1637" s="442"/>
      <c r="AY1637" s="153"/>
      <c r="AZ1637" s="152"/>
      <c r="BA1637" s="152"/>
      <c r="BB1637" s="152"/>
      <c r="BC1637" s="152"/>
      <c r="BD1637" s="152"/>
      <c r="BE1637" s="152"/>
      <c r="BF1637" s="152"/>
      <c r="BG1637" s="152"/>
      <c r="BH1637" s="152"/>
      <c r="BI1637" s="153"/>
      <c r="BJ1637" s="153"/>
      <c r="BK1637" s="153"/>
      <c r="BL1637" s="153"/>
      <c r="BM1637" s="153"/>
      <c r="BN1637" s="153"/>
      <c r="BO1637" s="153"/>
      <c r="BP1637" s="153"/>
      <c r="BQ1637" s="153"/>
      <c r="BR1637" s="153"/>
      <c r="BS1637" s="153"/>
      <c r="BT1637" s="153"/>
      <c r="BU1637" s="153"/>
      <c r="BV1637" s="153"/>
      <c r="BW1637" s="153"/>
      <c r="BX1637" s="153"/>
      <c r="BY1637" s="153"/>
      <c r="BZ1637" s="153"/>
      <c r="CA1637" s="152"/>
      <c r="CB1637" s="152"/>
    </row>
    <row r="1638" spans="1:80" s="87" customFormat="1" x14ac:dyDescent="0.2">
      <c r="A1638" s="152"/>
      <c r="B1638" s="683"/>
      <c r="C1638" s="683"/>
      <c r="D1638" s="698"/>
      <c r="E1638" s="215"/>
      <c r="F1638" s="215"/>
      <c r="G1638" s="153"/>
      <c r="H1638" s="96"/>
      <c r="I1638" s="222">
        <v>20</v>
      </c>
      <c r="J1638" s="222">
        <v>60</v>
      </c>
      <c r="K1638" s="164">
        <v>1</v>
      </c>
      <c r="L1638" s="658">
        <v>20</v>
      </c>
      <c r="M1638" s="659">
        <v>34473</v>
      </c>
      <c r="N1638" s="600">
        <v>43.884687185864635</v>
      </c>
      <c r="O1638" s="602">
        <v>0.21516215501944355</v>
      </c>
      <c r="P1638" s="93"/>
      <c r="Q1638" s="93"/>
      <c r="R1638" s="93">
        <v>8.1999999999999993</v>
      </c>
      <c r="S1638" s="93">
        <v>0</v>
      </c>
      <c r="T1638" s="93">
        <v>0.3</v>
      </c>
      <c r="U1638" s="93">
        <v>1.3</v>
      </c>
      <c r="V1638" s="498">
        <v>10.7</v>
      </c>
      <c r="W1638" s="498">
        <v>45.5</v>
      </c>
      <c r="X1638" s="498">
        <v>32</v>
      </c>
      <c r="Y1638" s="498">
        <v>2</v>
      </c>
      <c r="Z1638" s="93"/>
      <c r="AA1638" s="154"/>
      <c r="AB1638" s="152"/>
      <c r="AC1638" s="152"/>
      <c r="AD1638" s="223"/>
      <c r="AE1638" s="223"/>
      <c r="AF1638" s="223"/>
      <c r="AG1638" s="223"/>
      <c r="AH1638" s="341"/>
      <c r="AI1638" s="218"/>
      <c r="AJ1638" s="218"/>
      <c r="AK1638" s="153"/>
      <c r="AL1638" s="152"/>
      <c r="AM1638" s="152"/>
      <c r="AN1638" s="152"/>
      <c r="AO1638" s="152"/>
      <c r="AP1638" s="152"/>
      <c r="AQ1638" s="152"/>
      <c r="AR1638" s="152"/>
      <c r="AS1638" s="152"/>
      <c r="AT1638" s="152"/>
      <c r="AU1638" s="153"/>
      <c r="AV1638" s="479"/>
      <c r="AW1638" s="479"/>
      <c r="AX1638" s="442"/>
      <c r="AY1638" s="153"/>
      <c r="AZ1638" s="152"/>
      <c r="BA1638" s="152"/>
      <c r="BB1638" s="152"/>
      <c r="BC1638" s="152"/>
      <c r="BD1638" s="152"/>
      <c r="BE1638" s="152"/>
      <c r="BF1638" s="152"/>
      <c r="BG1638" s="152"/>
      <c r="BH1638" s="152"/>
      <c r="BI1638" s="153"/>
      <c r="BJ1638" s="153"/>
      <c r="BK1638" s="153"/>
      <c r="BL1638" s="153"/>
      <c r="BM1638" s="153"/>
      <c r="BN1638" s="153"/>
      <c r="BO1638" s="153"/>
      <c r="BP1638" s="153"/>
      <c r="BQ1638" s="153"/>
      <c r="BR1638" s="153"/>
      <c r="BS1638" s="153"/>
      <c r="BT1638" s="153"/>
      <c r="BU1638" s="153"/>
      <c r="BV1638" s="153"/>
      <c r="BW1638" s="153"/>
      <c r="BX1638" s="153"/>
      <c r="BY1638" s="153"/>
      <c r="BZ1638" s="153"/>
      <c r="CA1638" s="152"/>
      <c r="CB1638" s="152"/>
    </row>
    <row r="1639" spans="1:80" s="87" customFormat="1" x14ac:dyDescent="0.2">
      <c r="A1639" s="152"/>
      <c r="B1639" s="683"/>
      <c r="C1639" s="683"/>
      <c r="D1639" s="698"/>
      <c r="E1639" s="215"/>
      <c r="F1639" s="215"/>
      <c r="G1639" s="153"/>
      <c r="H1639" s="96"/>
      <c r="I1639" s="222">
        <v>20</v>
      </c>
      <c r="J1639" s="222">
        <v>60</v>
      </c>
      <c r="K1639" s="164">
        <v>1</v>
      </c>
      <c r="L1639" s="658">
        <v>20</v>
      </c>
      <c r="M1639" s="659">
        <v>34473</v>
      </c>
      <c r="N1639" s="600">
        <v>43.884687185864635</v>
      </c>
      <c r="O1639" s="602">
        <v>3.8939102201079767E-2</v>
      </c>
      <c r="P1639" s="93"/>
      <c r="Q1639" s="93"/>
      <c r="R1639" s="93"/>
      <c r="S1639" s="93"/>
      <c r="T1639" s="93"/>
      <c r="U1639" s="93">
        <v>5.0999999999999996</v>
      </c>
      <c r="V1639" s="498">
        <v>24.9</v>
      </c>
      <c r="W1639" s="498">
        <v>34.6</v>
      </c>
      <c r="X1639" s="498">
        <v>32.299999999999997</v>
      </c>
      <c r="Y1639" s="498">
        <v>3.1</v>
      </c>
      <c r="Z1639" s="93"/>
      <c r="AA1639" s="154"/>
      <c r="AB1639" s="152"/>
      <c r="AC1639" s="152"/>
      <c r="AD1639" s="223"/>
      <c r="AE1639" s="223"/>
      <c r="AF1639" s="223"/>
      <c r="AG1639" s="223"/>
      <c r="AH1639" s="341"/>
      <c r="AI1639" s="218"/>
      <c r="AJ1639" s="218"/>
      <c r="AK1639" s="153"/>
      <c r="AL1639" s="152"/>
      <c r="AM1639" s="152"/>
      <c r="AN1639" s="152"/>
      <c r="AO1639" s="152"/>
      <c r="AP1639" s="152"/>
      <c r="AQ1639" s="152"/>
      <c r="AR1639" s="152"/>
      <c r="AS1639" s="152"/>
      <c r="AT1639" s="152"/>
      <c r="AU1639" s="153"/>
      <c r="AV1639" s="479"/>
      <c r="AW1639" s="479"/>
      <c r="AX1639" s="442"/>
      <c r="AY1639" s="153"/>
      <c r="AZ1639" s="152"/>
      <c r="BA1639" s="152"/>
      <c r="BB1639" s="152"/>
      <c r="BC1639" s="152"/>
      <c r="BD1639" s="152"/>
      <c r="BE1639" s="152"/>
      <c r="BF1639" s="152"/>
      <c r="BG1639" s="152"/>
      <c r="BH1639" s="152"/>
      <c r="BI1639" s="153"/>
      <c r="BJ1639" s="153"/>
      <c r="BK1639" s="153"/>
      <c r="BL1639" s="153"/>
      <c r="BM1639" s="153"/>
      <c r="BN1639" s="153"/>
      <c r="BO1639" s="153"/>
      <c r="BP1639" s="153"/>
      <c r="BQ1639" s="153"/>
      <c r="BR1639" s="153"/>
      <c r="BS1639" s="153"/>
      <c r="BT1639" s="153"/>
      <c r="BU1639" s="153"/>
      <c r="BV1639" s="153"/>
      <c r="BW1639" s="153"/>
      <c r="BX1639" s="153"/>
      <c r="BY1639" s="153"/>
      <c r="BZ1639" s="153"/>
      <c r="CA1639" s="152"/>
      <c r="CB1639" s="152"/>
    </row>
    <row r="1640" spans="1:80" s="87" customFormat="1" x14ac:dyDescent="0.2">
      <c r="A1640" s="152"/>
      <c r="B1640" s="683"/>
      <c r="C1640" s="683"/>
      <c r="D1640" s="698"/>
      <c r="E1640" s="215"/>
      <c r="F1640" s="215"/>
      <c r="G1640" s="153"/>
      <c r="H1640" s="96"/>
      <c r="I1640" s="222">
        <v>20</v>
      </c>
      <c r="J1640" s="222">
        <v>60</v>
      </c>
      <c r="K1640" s="164">
        <v>1</v>
      </c>
      <c r="L1640" s="658">
        <v>20</v>
      </c>
      <c r="M1640" s="659">
        <v>34477</v>
      </c>
      <c r="N1640" s="600">
        <v>38.505273917919936</v>
      </c>
      <c r="O1640" s="602">
        <v>5.2583531543776194E-2</v>
      </c>
      <c r="P1640" s="93"/>
      <c r="Q1640" s="93"/>
      <c r="R1640" s="93"/>
      <c r="S1640" s="93"/>
      <c r="T1640" s="93"/>
      <c r="U1640" s="93">
        <v>2.1</v>
      </c>
      <c r="V1640" s="498">
        <v>18.3</v>
      </c>
      <c r="W1640" s="498">
        <v>50.9</v>
      </c>
      <c r="X1640" s="498">
        <v>26.5</v>
      </c>
      <c r="Y1640" s="498">
        <v>2.2000000000000002</v>
      </c>
      <c r="Z1640" s="93"/>
      <c r="AA1640" s="154"/>
      <c r="AB1640" s="152"/>
      <c r="AC1640" s="152"/>
      <c r="AD1640" s="223"/>
      <c r="AE1640" s="223"/>
      <c r="AF1640" s="223"/>
      <c r="AG1640" s="223"/>
      <c r="AH1640" s="341"/>
      <c r="AI1640" s="218"/>
      <c r="AJ1640" s="218"/>
      <c r="AK1640" s="153"/>
      <c r="AL1640" s="152"/>
      <c r="AM1640" s="152"/>
      <c r="AN1640" s="152"/>
      <c r="AO1640" s="152"/>
      <c r="AP1640" s="152"/>
      <c r="AQ1640" s="152"/>
      <c r="AR1640" s="152"/>
      <c r="AS1640" s="152"/>
      <c r="AT1640" s="152"/>
      <c r="AU1640" s="153"/>
      <c r="AV1640" s="479"/>
      <c r="AW1640" s="479"/>
      <c r="AX1640" s="442"/>
      <c r="AY1640" s="153"/>
      <c r="AZ1640" s="152"/>
      <c r="BA1640" s="152"/>
      <c r="BB1640" s="152"/>
      <c r="BC1640" s="152"/>
      <c r="BD1640" s="152"/>
      <c r="BE1640" s="152"/>
      <c r="BF1640" s="152"/>
      <c r="BG1640" s="152"/>
      <c r="BH1640" s="152"/>
      <c r="BI1640" s="153"/>
      <c r="BJ1640" s="153"/>
      <c r="BK1640" s="153"/>
      <c r="BL1640" s="153"/>
      <c r="BM1640" s="153"/>
      <c r="BN1640" s="153"/>
      <c r="BO1640" s="153"/>
      <c r="BP1640" s="153"/>
      <c r="BQ1640" s="153"/>
      <c r="BR1640" s="153"/>
      <c r="BS1640" s="153"/>
      <c r="BT1640" s="153"/>
      <c r="BU1640" s="153"/>
      <c r="BV1640" s="153"/>
      <c r="BW1640" s="153"/>
      <c r="BX1640" s="153"/>
      <c r="BY1640" s="153"/>
      <c r="BZ1640" s="153"/>
      <c r="CA1640" s="152"/>
      <c r="CB1640" s="152"/>
    </row>
    <row r="1641" spans="1:80" s="87" customFormat="1" x14ac:dyDescent="0.2">
      <c r="A1641" s="152"/>
      <c r="B1641" s="683"/>
      <c r="C1641" s="683"/>
      <c r="D1641" s="698"/>
      <c r="E1641" s="215"/>
      <c r="F1641" s="215"/>
      <c r="G1641" s="153"/>
      <c r="H1641" s="96"/>
      <c r="I1641" s="222">
        <v>20</v>
      </c>
      <c r="J1641" s="222">
        <v>60</v>
      </c>
      <c r="K1641" s="164">
        <v>1</v>
      </c>
      <c r="L1641" s="658">
        <v>20</v>
      </c>
      <c r="M1641" s="659">
        <v>34477</v>
      </c>
      <c r="N1641" s="600">
        <v>38.505273917919936</v>
      </c>
      <c r="O1641" s="602">
        <v>2.2985615585003963E-2</v>
      </c>
      <c r="P1641" s="93"/>
      <c r="Q1641" s="93"/>
      <c r="R1641" s="93"/>
      <c r="S1641" s="93"/>
      <c r="T1641" s="93"/>
      <c r="U1641" s="93">
        <v>3.1</v>
      </c>
      <c r="V1641" s="498">
        <v>20.9</v>
      </c>
      <c r="W1641" s="498">
        <v>41.5</v>
      </c>
      <c r="X1641" s="498">
        <v>31.4</v>
      </c>
      <c r="Y1641" s="498">
        <v>3.1</v>
      </c>
      <c r="Z1641" s="93"/>
      <c r="AA1641" s="154"/>
      <c r="AB1641" s="152"/>
      <c r="AC1641" s="152"/>
      <c r="AD1641" s="223"/>
      <c r="AE1641" s="223"/>
      <c r="AF1641" s="223"/>
      <c r="AG1641" s="223"/>
      <c r="AH1641" s="341"/>
      <c r="AI1641" s="218"/>
      <c r="AJ1641" s="218"/>
      <c r="AK1641" s="153"/>
      <c r="AL1641" s="152"/>
      <c r="AM1641" s="152"/>
      <c r="AN1641" s="152"/>
      <c r="AO1641" s="152"/>
      <c r="AP1641" s="152"/>
      <c r="AQ1641" s="152"/>
      <c r="AR1641" s="152"/>
      <c r="AS1641" s="152"/>
      <c r="AT1641" s="152"/>
      <c r="AU1641" s="153"/>
      <c r="AV1641" s="479"/>
      <c r="AW1641" s="479"/>
      <c r="AX1641" s="442"/>
      <c r="AY1641" s="153"/>
      <c r="AZ1641" s="152"/>
      <c r="BA1641" s="152"/>
      <c r="BB1641" s="152"/>
      <c r="BC1641" s="152"/>
      <c r="BD1641" s="152"/>
      <c r="BE1641" s="152"/>
      <c r="BF1641" s="152"/>
      <c r="BG1641" s="152"/>
      <c r="BH1641" s="152"/>
      <c r="BI1641" s="153"/>
      <c r="BJ1641" s="153"/>
      <c r="BK1641" s="153"/>
      <c r="BL1641" s="153"/>
      <c r="BM1641" s="153"/>
      <c r="BN1641" s="153"/>
      <c r="BO1641" s="153"/>
      <c r="BP1641" s="153"/>
      <c r="BQ1641" s="153"/>
      <c r="BR1641" s="153"/>
      <c r="BS1641" s="153"/>
      <c r="BT1641" s="153"/>
      <c r="BU1641" s="153"/>
      <c r="BV1641" s="153"/>
      <c r="BW1641" s="153"/>
      <c r="BX1641" s="153"/>
      <c r="BY1641" s="153"/>
      <c r="BZ1641" s="153"/>
      <c r="CA1641" s="152"/>
      <c r="CB1641" s="152"/>
    </row>
    <row r="1642" spans="1:80" s="87" customFormat="1" x14ac:dyDescent="0.2">
      <c r="A1642" s="152"/>
      <c r="B1642" s="683"/>
      <c r="C1642" s="683"/>
      <c r="D1642" s="698"/>
      <c r="E1642" s="215"/>
      <c r="F1642" s="215"/>
      <c r="G1642" s="153"/>
      <c r="H1642" s="96"/>
      <c r="I1642" s="222">
        <v>20</v>
      </c>
      <c r="J1642" s="222">
        <v>60</v>
      </c>
      <c r="K1642" s="164">
        <v>1</v>
      </c>
      <c r="L1642" s="658">
        <v>20</v>
      </c>
      <c r="M1642" s="659">
        <v>34480</v>
      </c>
      <c r="N1642" s="600">
        <v>50.113481496116385</v>
      </c>
      <c r="O1642" s="602">
        <v>6.5703175142522746E-2</v>
      </c>
      <c r="P1642" s="93"/>
      <c r="Q1642" s="93"/>
      <c r="R1642" s="93"/>
      <c r="S1642" s="93"/>
      <c r="T1642" s="93">
        <v>0.3</v>
      </c>
      <c r="U1642" s="93">
        <v>5.0999999999999996</v>
      </c>
      <c r="V1642" s="498">
        <v>28.1</v>
      </c>
      <c r="W1642" s="498">
        <v>37.9</v>
      </c>
      <c r="X1642" s="498">
        <v>27.8</v>
      </c>
      <c r="Y1642" s="498">
        <v>0.8</v>
      </c>
      <c r="Z1642" s="93"/>
      <c r="AA1642" s="154"/>
      <c r="AB1642" s="152"/>
      <c r="AC1642" s="152"/>
      <c r="AD1642" s="223"/>
      <c r="AE1642" s="223"/>
      <c r="AF1642" s="223"/>
      <c r="AG1642" s="223"/>
      <c r="AH1642" s="341"/>
      <c r="AI1642" s="218"/>
      <c r="AJ1642" s="218"/>
      <c r="AK1642" s="153"/>
      <c r="AL1642" s="152"/>
      <c r="AM1642" s="152"/>
      <c r="AN1642" s="152"/>
      <c r="AO1642" s="152"/>
      <c r="AP1642" s="152"/>
      <c r="AQ1642" s="152"/>
      <c r="AR1642" s="152"/>
      <c r="AS1642" s="152"/>
      <c r="AT1642" s="152"/>
      <c r="AU1642" s="153"/>
      <c r="AV1642" s="479"/>
      <c r="AW1642" s="479"/>
      <c r="AX1642" s="442"/>
      <c r="AY1642" s="153"/>
      <c r="AZ1642" s="152"/>
      <c r="BA1642" s="152"/>
      <c r="BB1642" s="152"/>
      <c r="BC1642" s="152"/>
      <c r="BD1642" s="152"/>
      <c r="BE1642" s="152"/>
      <c r="BF1642" s="152"/>
      <c r="BG1642" s="152"/>
      <c r="BH1642" s="152"/>
      <c r="BI1642" s="153"/>
      <c r="BJ1642" s="153"/>
      <c r="BK1642" s="153"/>
      <c r="BL1642" s="153"/>
      <c r="BM1642" s="153"/>
      <c r="BN1642" s="153"/>
      <c r="BO1642" s="153"/>
      <c r="BP1642" s="153"/>
      <c r="BQ1642" s="153"/>
      <c r="BR1642" s="153"/>
      <c r="BS1642" s="153"/>
      <c r="BT1642" s="153"/>
      <c r="BU1642" s="153"/>
      <c r="BV1642" s="153"/>
      <c r="BW1642" s="153"/>
      <c r="BX1642" s="153"/>
      <c r="BY1642" s="153"/>
      <c r="BZ1642" s="153"/>
      <c r="CA1642" s="152"/>
      <c r="CB1642" s="152"/>
    </row>
    <row r="1643" spans="1:80" s="87" customFormat="1" x14ac:dyDescent="0.2">
      <c r="A1643" s="152"/>
      <c r="B1643" s="683"/>
      <c r="C1643" s="683"/>
      <c r="D1643" s="698"/>
      <c r="E1643" s="215"/>
      <c r="F1643" s="215"/>
      <c r="G1643" s="153"/>
      <c r="H1643" s="96"/>
      <c r="I1643" s="222">
        <v>20</v>
      </c>
      <c r="J1643" s="222">
        <v>60</v>
      </c>
      <c r="K1643" s="164">
        <v>1</v>
      </c>
      <c r="L1643" s="658">
        <v>20</v>
      </c>
      <c r="M1643" s="659">
        <v>34480</v>
      </c>
      <c r="N1643" s="600">
        <v>50.113481496116385</v>
      </c>
      <c r="O1643" s="602">
        <v>8.9423490769056521E-2</v>
      </c>
      <c r="P1643" s="93"/>
      <c r="Q1643" s="93"/>
      <c r="R1643" s="93"/>
      <c r="S1643" s="93"/>
      <c r="T1643" s="93">
        <v>0.3</v>
      </c>
      <c r="U1643" s="93">
        <v>6.5</v>
      </c>
      <c r="V1643" s="498">
        <v>29.9</v>
      </c>
      <c r="W1643" s="498">
        <v>37.700000000000003</v>
      </c>
      <c r="X1643" s="498">
        <v>23.7</v>
      </c>
      <c r="Y1643" s="498">
        <v>1.9</v>
      </c>
      <c r="Z1643" s="93"/>
      <c r="AA1643" s="154"/>
      <c r="AB1643" s="152"/>
      <c r="AC1643" s="152"/>
      <c r="AD1643" s="223"/>
      <c r="AE1643" s="223"/>
      <c r="AF1643" s="223"/>
      <c r="AG1643" s="223"/>
      <c r="AH1643" s="341"/>
      <c r="AI1643" s="218"/>
      <c r="AJ1643" s="218"/>
      <c r="AK1643" s="153"/>
      <c r="AL1643" s="152"/>
      <c r="AM1643" s="152"/>
      <c r="AN1643" s="152"/>
      <c r="AO1643" s="152"/>
      <c r="AP1643" s="152"/>
      <c r="AQ1643" s="152"/>
      <c r="AR1643" s="152"/>
      <c r="AS1643" s="152"/>
      <c r="AT1643" s="152"/>
      <c r="AU1643" s="153"/>
      <c r="AV1643" s="479"/>
      <c r="AW1643" s="479"/>
      <c r="AX1643" s="442"/>
      <c r="AY1643" s="153"/>
      <c r="AZ1643" s="152"/>
      <c r="BA1643" s="152"/>
      <c r="BB1643" s="152"/>
      <c r="BC1643" s="152"/>
      <c r="BD1643" s="152"/>
      <c r="BE1643" s="152"/>
      <c r="BF1643" s="152"/>
      <c r="BG1643" s="152"/>
      <c r="BH1643" s="152"/>
      <c r="BI1643" s="153"/>
      <c r="BJ1643" s="153"/>
      <c r="BK1643" s="153"/>
      <c r="BL1643" s="153"/>
      <c r="BM1643" s="153"/>
      <c r="BN1643" s="153"/>
      <c r="BO1643" s="153"/>
      <c r="BP1643" s="153"/>
      <c r="BQ1643" s="153"/>
      <c r="BR1643" s="153"/>
      <c r="BS1643" s="153"/>
      <c r="BT1643" s="153"/>
      <c r="BU1643" s="153"/>
      <c r="BV1643" s="153"/>
      <c r="BW1643" s="153"/>
      <c r="BX1643" s="153"/>
      <c r="BY1643" s="153"/>
      <c r="BZ1643" s="153"/>
      <c r="CA1643" s="152"/>
      <c r="CB1643" s="152"/>
    </row>
    <row r="1644" spans="1:80" s="87" customFormat="1" x14ac:dyDescent="0.2">
      <c r="A1644" s="152"/>
      <c r="B1644" s="683"/>
      <c r="C1644" s="683"/>
      <c r="D1644" s="698"/>
      <c r="E1644" s="215"/>
      <c r="F1644" s="215"/>
      <c r="G1644" s="153"/>
      <c r="H1644" s="96"/>
      <c r="I1644" s="222">
        <v>20</v>
      </c>
      <c r="J1644" s="222">
        <v>60</v>
      </c>
      <c r="K1644" s="164">
        <v>1</v>
      </c>
      <c r="L1644" s="658">
        <v>20</v>
      </c>
      <c r="M1644" s="659">
        <v>34485</v>
      </c>
      <c r="N1644" s="600">
        <v>50.679735524321096</v>
      </c>
      <c r="O1644" s="602">
        <v>0.14589043681806169</v>
      </c>
      <c r="P1644" s="93"/>
      <c r="Q1644" s="93"/>
      <c r="R1644" s="93"/>
      <c r="S1644" s="93"/>
      <c r="T1644" s="93">
        <v>0.4</v>
      </c>
      <c r="U1644" s="93">
        <v>4.2</v>
      </c>
      <c r="V1644" s="498">
        <v>25.8</v>
      </c>
      <c r="W1644" s="498">
        <v>36.5</v>
      </c>
      <c r="X1644" s="498">
        <v>30.2</v>
      </c>
      <c r="Y1644" s="498">
        <v>2.9</v>
      </c>
      <c r="Z1644" s="93"/>
      <c r="AA1644" s="154"/>
      <c r="AB1644" s="152"/>
      <c r="AC1644" s="152"/>
      <c r="AD1644" s="223"/>
      <c r="AE1644" s="223"/>
      <c r="AF1644" s="223"/>
      <c r="AG1644" s="223"/>
      <c r="AH1644" s="341"/>
      <c r="AI1644" s="218"/>
      <c r="AJ1644" s="218"/>
      <c r="AK1644" s="153"/>
      <c r="AL1644" s="152"/>
      <c r="AM1644" s="152"/>
      <c r="AN1644" s="152"/>
      <c r="AO1644" s="152"/>
      <c r="AP1644" s="152"/>
      <c r="AQ1644" s="152"/>
      <c r="AR1644" s="152"/>
      <c r="AS1644" s="152"/>
      <c r="AT1644" s="152"/>
      <c r="AU1644" s="153"/>
      <c r="AV1644" s="479"/>
      <c r="AW1644" s="479"/>
      <c r="AX1644" s="442"/>
      <c r="AY1644" s="153"/>
      <c r="AZ1644" s="152"/>
      <c r="BA1644" s="152"/>
      <c r="BB1644" s="152"/>
      <c r="BC1644" s="152"/>
      <c r="BD1644" s="152"/>
      <c r="BE1644" s="152"/>
      <c r="BF1644" s="152"/>
      <c r="BG1644" s="152"/>
      <c r="BH1644" s="152"/>
      <c r="BI1644" s="153"/>
      <c r="BJ1644" s="153"/>
      <c r="BK1644" s="153"/>
      <c r="BL1644" s="153"/>
      <c r="BM1644" s="153"/>
      <c r="BN1644" s="153"/>
      <c r="BO1644" s="153"/>
      <c r="BP1644" s="153"/>
      <c r="BQ1644" s="153"/>
      <c r="BR1644" s="153"/>
      <c r="BS1644" s="153"/>
      <c r="BT1644" s="153"/>
      <c r="BU1644" s="153"/>
      <c r="BV1644" s="153"/>
      <c r="BW1644" s="153"/>
      <c r="BX1644" s="153"/>
      <c r="BY1644" s="153"/>
      <c r="BZ1644" s="153"/>
      <c r="CA1644" s="152"/>
      <c r="CB1644" s="152"/>
    </row>
    <row r="1645" spans="1:80" s="87" customFormat="1" x14ac:dyDescent="0.2">
      <c r="A1645" s="152"/>
      <c r="B1645" s="683"/>
      <c r="C1645" s="683"/>
      <c r="D1645" s="698"/>
      <c r="E1645" s="215"/>
      <c r="F1645" s="215"/>
      <c r="G1645" s="153"/>
      <c r="H1645" s="96"/>
      <c r="I1645" s="222">
        <v>20</v>
      </c>
      <c r="J1645" s="222">
        <v>60</v>
      </c>
      <c r="K1645" s="164">
        <v>1</v>
      </c>
      <c r="L1645" s="658">
        <v>20</v>
      </c>
      <c r="M1645" s="659">
        <v>34485</v>
      </c>
      <c r="N1645" s="600">
        <v>50.679735524321096</v>
      </c>
      <c r="O1645" s="602">
        <v>0.25189715709593385</v>
      </c>
      <c r="P1645" s="93"/>
      <c r="Q1645" s="93"/>
      <c r="R1645" s="93"/>
      <c r="S1645" s="93"/>
      <c r="T1645" s="93">
        <v>0.3</v>
      </c>
      <c r="U1645" s="93">
        <v>5.5</v>
      </c>
      <c r="V1645" s="498">
        <v>43.9</v>
      </c>
      <c r="W1645" s="498">
        <v>35.4</v>
      </c>
      <c r="X1645" s="498">
        <v>14.5</v>
      </c>
      <c r="Y1645" s="498">
        <v>0.4</v>
      </c>
      <c r="Z1645" s="93"/>
      <c r="AA1645" s="154"/>
      <c r="AB1645" s="152"/>
      <c r="AC1645" s="152"/>
      <c r="AD1645" s="223"/>
      <c r="AE1645" s="223"/>
      <c r="AF1645" s="223"/>
      <c r="AG1645" s="223"/>
      <c r="AH1645" s="341"/>
      <c r="AI1645" s="218"/>
      <c r="AJ1645" s="218"/>
      <c r="AK1645" s="153"/>
      <c r="AL1645" s="152"/>
      <c r="AM1645" s="152"/>
      <c r="AN1645" s="152"/>
      <c r="AO1645" s="152"/>
      <c r="AP1645" s="152"/>
      <c r="AQ1645" s="152"/>
      <c r="AR1645" s="152"/>
      <c r="AS1645" s="152"/>
      <c r="AT1645" s="152"/>
      <c r="AU1645" s="153"/>
      <c r="AV1645" s="479"/>
      <c r="AW1645" s="479"/>
      <c r="AX1645" s="442"/>
      <c r="AY1645" s="153"/>
      <c r="AZ1645" s="152"/>
      <c r="BA1645" s="152"/>
      <c r="BB1645" s="152"/>
      <c r="BC1645" s="152"/>
      <c r="BD1645" s="152"/>
      <c r="BE1645" s="152"/>
      <c r="BF1645" s="152"/>
      <c r="BG1645" s="152"/>
      <c r="BH1645" s="152"/>
      <c r="BI1645" s="153"/>
      <c r="BJ1645" s="153"/>
      <c r="BK1645" s="153"/>
      <c r="BL1645" s="153"/>
      <c r="BM1645" s="153"/>
      <c r="BN1645" s="153"/>
      <c r="BO1645" s="153"/>
      <c r="BP1645" s="153"/>
      <c r="BQ1645" s="153"/>
      <c r="BR1645" s="153"/>
      <c r="BS1645" s="153"/>
      <c r="BT1645" s="153"/>
      <c r="BU1645" s="153"/>
      <c r="BV1645" s="153"/>
      <c r="BW1645" s="153"/>
      <c r="BX1645" s="153"/>
      <c r="BY1645" s="153"/>
      <c r="BZ1645" s="153"/>
      <c r="CA1645" s="152"/>
      <c r="CB1645" s="152"/>
    </row>
    <row r="1646" spans="1:80" s="87" customFormat="1" x14ac:dyDescent="0.2">
      <c r="A1646" s="152"/>
      <c r="B1646" s="683"/>
      <c r="C1646" s="683"/>
      <c r="D1646" s="698"/>
      <c r="E1646" s="215"/>
      <c r="F1646" s="215"/>
      <c r="G1646" s="153"/>
      <c r="H1646" s="96"/>
      <c r="I1646" s="222">
        <v>20</v>
      </c>
      <c r="J1646" s="222">
        <v>60</v>
      </c>
      <c r="K1646" s="164">
        <v>1</v>
      </c>
      <c r="L1646" s="658">
        <v>20</v>
      </c>
      <c r="M1646" s="659">
        <v>34488</v>
      </c>
      <c r="N1646" s="600">
        <v>46.432830312785804</v>
      </c>
      <c r="O1646" s="602">
        <v>3.3061501868841311E-2</v>
      </c>
      <c r="P1646" s="93"/>
      <c r="Q1646" s="93"/>
      <c r="R1646" s="93"/>
      <c r="S1646" s="93"/>
      <c r="T1646" s="93"/>
      <c r="U1646" s="93">
        <v>2.5</v>
      </c>
      <c r="V1646" s="498">
        <v>22.6</v>
      </c>
      <c r="W1646" s="498">
        <v>26.8</v>
      </c>
      <c r="X1646" s="498">
        <v>42.1</v>
      </c>
      <c r="Y1646" s="498">
        <v>6</v>
      </c>
      <c r="Z1646" s="93"/>
      <c r="AA1646" s="154"/>
      <c r="AB1646" s="152"/>
      <c r="AC1646" s="152"/>
      <c r="AD1646" s="223"/>
      <c r="AE1646" s="223"/>
      <c r="AF1646" s="223"/>
      <c r="AG1646" s="223"/>
      <c r="AH1646" s="341"/>
      <c r="AI1646" s="218"/>
      <c r="AJ1646" s="218"/>
      <c r="AK1646" s="153"/>
      <c r="AL1646" s="152"/>
      <c r="AM1646" s="152"/>
      <c r="AN1646" s="152"/>
      <c r="AO1646" s="152"/>
      <c r="AP1646" s="152"/>
      <c r="AQ1646" s="152"/>
      <c r="AR1646" s="152"/>
      <c r="AS1646" s="152"/>
      <c r="AT1646" s="152"/>
      <c r="AU1646" s="153"/>
      <c r="AV1646" s="479"/>
      <c r="AW1646" s="479"/>
      <c r="AX1646" s="442"/>
      <c r="AY1646" s="153"/>
      <c r="AZ1646" s="152"/>
      <c r="BA1646" s="152"/>
      <c r="BB1646" s="152"/>
      <c r="BC1646" s="152"/>
      <c r="BD1646" s="152"/>
      <c r="BE1646" s="152"/>
      <c r="BF1646" s="152"/>
      <c r="BG1646" s="152"/>
      <c r="BH1646" s="152"/>
      <c r="BI1646" s="153"/>
      <c r="BJ1646" s="153"/>
      <c r="BK1646" s="153"/>
      <c r="BL1646" s="153"/>
      <c r="BM1646" s="153"/>
      <c r="BN1646" s="153"/>
      <c r="BO1646" s="153"/>
      <c r="BP1646" s="153"/>
      <c r="BQ1646" s="153"/>
      <c r="BR1646" s="153"/>
      <c r="BS1646" s="153"/>
      <c r="BT1646" s="153"/>
      <c r="BU1646" s="153"/>
      <c r="BV1646" s="153"/>
      <c r="BW1646" s="153"/>
      <c r="BX1646" s="153"/>
      <c r="BY1646" s="153"/>
      <c r="BZ1646" s="153"/>
      <c r="CA1646" s="152"/>
      <c r="CB1646" s="152"/>
    </row>
    <row r="1647" spans="1:80" s="87" customFormat="1" x14ac:dyDescent="0.2">
      <c r="A1647" s="152"/>
      <c r="B1647" s="683"/>
      <c r="C1647" s="683"/>
      <c r="D1647" s="698"/>
      <c r="E1647" s="215"/>
      <c r="F1647" s="215"/>
      <c r="G1647" s="153"/>
      <c r="H1647" s="96"/>
      <c r="I1647" s="222">
        <v>20</v>
      </c>
      <c r="J1647" s="222">
        <v>60</v>
      </c>
      <c r="K1647" s="164">
        <v>1</v>
      </c>
      <c r="L1647" s="658">
        <v>20</v>
      </c>
      <c r="M1647" s="659">
        <v>34488</v>
      </c>
      <c r="N1647" s="600">
        <v>46.432830312785804</v>
      </c>
      <c r="O1647" s="602">
        <v>3.4006116207951069E-2</v>
      </c>
      <c r="P1647" s="93"/>
      <c r="Q1647" s="93"/>
      <c r="R1647" s="93"/>
      <c r="S1647" s="93"/>
      <c r="T1647" s="93">
        <v>0.9</v>
      </c>
      <c r="U1647" s="93">
        <v>6.5</v>
      </c>
      <c r="V1647" s="498">
        <v>12.8</v>
      </c>
      <c r="W1647" s="498">
        <v>34.1</v>
      </c>
      <c r="X1647" s="498">
        <v>40</v>
      </c>
      <c r="Y1647" s="498">
        <v>5.7</v>
      </c>
      <c r="Z1647" s="93"/>
      <c r="AA1647" s="154"/>
      <c r="AB1647" s="152"/>
      <c r="AC1647" s="152"/>
      <c r="AD1647" s="223"/>
      <c r="AE1647" s="223"/>
      <c r="AF1647" s="223"/>
      <c r="AG1647" s="223"/>
      <c r="AH1647" s="341"/>
      <c r="AI1647" s="218"/>
      <c r="AJ1647" s="218"/>
      <c r="AK1647" s="153"/>
      <c r="AL1647" s="152"/>
      <c r="AM1647" s="152"/>
      <c r="AN1647" s="152"/>
      <c r="AO1647" s="152"/>
      <c r="AP1647" s="152"/>
      <c r="AQ1647" s="152"/>
      <c r="AR1647" s="152"/>
      <c r="AS1647" s="152"/>
      <c r="AT1647" s="152"/>
      <c r="AU1647" s="153"/>
      <c r="AV1647" s="479"/>
      <c r="AW1647" s="479"/>
      <c r="AX1647" s="442"/>
      <c r="AY1647" s="153"/>
      <c r="AZ1647" s="152"/>
      <c r="BA1647" s="152"/>
      <c r="BB1647" s="152"/>
      <c r="BC1647" s="152"/>
      <c r="BD1647" s="152"/>
      <c r="BE1647" s="152"/>
      <c r="BF1647" s="152"/>
      <c r="BG1647" s="152"/>
      <c r="BH1647" s="152"/>
      <c r="BI1647" s="153"/>
      <c r="BJ1647" s="153"/>
      <c r="BK1647" s="153"/>
      <c r="BL1647" s="153"/>
      <c r="BM1647" s="153"/>
      <c r="BN1647" s="153"/>
      <c r="BO1647" s="153"/>
      <c r="BP1647" s="153"/>
      <c r="BQ1647" s="153"/>
      <c r="BR1647" s="153"/>
      <c r="BS1647" s="153"/>
      <c r="BT1647" s="153"/>
      <c r="BU1647" s="153"/>
      <c r="BV1647" s="153"/>
      <c r="BW1647" s="153"/>
      <c r="BX1647" s="153"/>
      <c r="BY1647" s="153"/>
      <c r="BZ1647" s="153"/>
      <c r="CA1647" s="152"/>
      <c r="CB1647" s="152"/>
    </row>
    <row r="1648" spans="1:80" s="87" customFormat="1" x14ac:dyDescent="0.2">
      <c r="A1648" s="152"/>
      <c r="B1648" s="683"/>
      <c r="C1648" s="683"/>
      <c r="D1648" s="698"/>
      <c r="E1648" s="215"/>
      <c r="F1648" s="215"/>
      <c r="G1648" s="153"/>
      <c r="H1648" s="96"/>
      <c r="I1648" s="222">
        <v>20</v>
      </c>
      <c r="J1648" s="222">
        <v>60</v>
      </c>
      <c r="K1648" s="164">
        <v>1</v>
      </c>
      <c r="L1648" s="658">
        <v>20</v>
      </c>
      <c r="M1648" s="659">
        <v>34492</v>
      </c>
      <c r="N1648" s="600">
        <v>37.089638847408175</v>
      </c>
      <c r="O1648" s="602">
        <v>0.12279986408426777</v>
      </c>
      <c r="P1648" s="93"/>
      <c r="Q1648" s="93"/>
      <c r="R1648" s="93"/>
      <c r="S1648" s="93"/>
      <c r="T1648" s="93"/>
      <c r="U1648" s="93">
        <v>8.5</v>
      </c>
      <c r="V1648" s="498">
        <v>51.5</v>
      </c>
      <c r="W1648" s="498">
        <v>26</v>
      </c>
      <c r="X1648" s="498">
        <v>13.7</v>
      </c>
      <c r="Y1648" s="498">
        <v>0.3</v>
      </c>
      <c r="Z1648" s="93"/>
      <c r="AA1648" s="154"/>
      <c r="AB1648" s="152"/>
      <c r="AC1648" s="152"/>
      <c r="AD1648" s="223">
        <v>53.035200000000003</v>
      </c>
      <c r="AE1648" s="223">
        <v>0.61310344827586216</v>
      </c>
      <c r="AF1648" s="223">
        <v>32.512890664443646</v>
      </c>
      <c r="AG1648" s="223">
        <v>1.130808</v>
      </c>
      <c r="AH1648" s="341"/>
      <c r="AI1648" s="218"/>
      <c r="AJ1648" s="218"/>
      <c r="AK1648" s="153"/>
      <c r="AL1648" s="152"/>
      <c r="AM1648" s="152"/>
      <c r="AN1648" s="152"/>
      <c r="AO1648" s="152"/>
      <c r="AP1648" s="152"/>
      <c r="AQ1648" s="152"/>
      <c r="AR1648" s="152"/>
      <c r="AS1648" s="152"/>
      <c r="AT1648" s="152"/>
      <c r="AU1648" s="153"/>
      <c r="AV1648" s="479"/>
      <c r="AW1648" s="479"/>
      <c r="AX1648" s="442"/>
      <c r="AY1648" s="153"/>
      <c r="AZ1648" s="152"/>
      <c r="BA1648" s="152"/>
      <c r="BB1648" s="152"/>
      <c r="BC1648" s="152"/>
      <c r="BD1648" s="152"/>
      <c r="BE1648" s="152"/>
      <c r="BF1648" s="152"/>
      <c r="BG1648" s="152"/>
      <c r="BH1648" s="152"/>
      <c r="BI1648" s="153"/>
      <c r="BJ1648" s="153"/>
      <c r="BK1648" s="153"/>
      <c r="BL1648" s="153"/>
      <c r="BM1648" s="153"/>
      <c r="BN1648" s="153"/>
      <c r="BO1648" s="153"/>
      <c r="BP1648" s="153"/>
      <c r="BQ1648" s="153"/>
      <c r="BR1648" s="153"/>
      <c r="BS1648" s="153"/>
      <c r="BT1648" s="153"/>
      <c r="BU1648" s="153"/>
      <c r="BV1648" s="153"/>
      <c r="BW1648" s="153"/>
      <c r="BX1648" s="153"/>
      <c r="BY1648" s="153"/>
      <c r="BZ1648" s="153"/>
      <c r="CA1648" s="152"/>
      <c r="CB1648" s="152"/>
    </row>
    <row r="1649" spans="1:80" s="87" customFormat="1" x14ac:dyDescent="0.2">
      <c r="A1649" s="152"/>
      <c r="B1649" s="683"/>
      <c r="C1649" s="683"/>
      <c r="D1649" s="698"/>
      <c r="E1649" s="215"/>
      <c r="F1649" s="215"/>
      <c r="G1649" s="153"/>
      <c r="H1649" s="96"/>
      <c r="I1649" s="222">
        <v>20</v>
      </c>
      <c r="J1649" s="222">
        <v>60</v>
      </c>
      <c r="K1649" s="164">
        <v>1</v>
      </c>
      <c r="L1649" s="658">
        <v>20</v>
      </c>
      <c r="M1649" s="659">
        <v>34492</v>
      </c>
      <c r="N1649" s="600">
        <v>37.089638847408175</v>
      </c>
      <c r="O1649" s="602">
        <v>3.0752444595461927E-2</v>
      </c>
      <c r="P1649" s="93"/>
      <c r="Q1649" s="93"/>
      <c r="R1649" s="93"/>
      <c r="S1649" s="93"/>
      <c r="T1649" s="93"/>
      <c r="U1649" s="93">
        <v>3</v>
      </c>
      <c r="V1649" s="498">
        <v>23.9</v>
      </c>
      <c r="W1649" s="498">
        <v>33.9</v>
      </c>
      <c r="X1649" s="498">
        <v>37.9</v>
      </c>
      <c r="Y1649" s="498">
        <v>1.3</v>
      </c>
      <c r="Z1649" s="93"/>
      <c r="AA1649" s="154"/>
      <c r="AB1649" s="152"/>
      <c r="AC1649" s="152"/>
      <c r="AD1649" s="223">
        <v>53.035200000000003</v>
      </c>
      <c r="AE1649" s="223">
        <v>0.61310344827586216</v>
      </c>
      <c r="AF1649" s="223">
        <v>32.512890664443646</v>
      </c>
      <c r="AG1649" s="223">
        <v>1.130808</v>
      </c>
      <c r="AH1649" s="341"/>
      <c r="AI1649" s="218"/>
      <c r="AJ1649" s="218"/>
      <c r="AK1649" s="153"/>
      <c r="AL1649" s="152"/>
      <c r="AM1649" s="152"/>
      <c r="AN1649" s="152"/>
      <c r="AO1649" s="152"/>
      <c r="AP1649" s="152"/>
      <c r="AQ1649" s="152"/>
      <c r="AR1649" s="152"/>
      <c r="AS1649" s="152"/>
      <c r="AT1649" s="152"/>
      <c r="AU1649" s="153"/>
      <c r="AV1649" s="479"/>
      <c r="AW1649" s="479"/>
      <c r="AX1649" s="442"/>
      <c r="AY1649" s="153"/>
      <c r="AZ1649" s="152"/>
      <c r="BA1649" s="152"/>
      <c r="BB1649" s="152"/>
      <c r="BC1649" s="152"/>
      <c r="BD1649" s="152"/>
      <c r="BE1649" s="152"/>
      <c r="BF1649" s="152"/>
      <c r="BG1649" s="152"/>
      <c r="BH1649" s="152"/>
      <c r="BI1649" s="153"/>
      <c r="BJ1649" s="153"/>
      <c r="BK1649" s="153"/>
      <c r="BL1649" s="153"/>
      <c r="BM1649" s="153"/>
      <c r="BN1649" s="153"/>
      <c r="BO1649" s="153"/>
      <c r="BP1649" s="153"/>
      <c r="BQ1649" s="153"/>
      <c r="BR1649" s="153"/>
      <c r="BS1649" s="153"/>
      <c r="BT1649" s="153"/>
      <c r="BU1649" s="153"/>
      <c r="BV1649" s="153"/>
      <c r="BW1649" s="153"/>
      <c r="BX1649" s="153"/>
      <c r="BY1649" s="153"/>
      <c r="BZ1649" s="153"/>
      <c r="CA1649" s="152"/>
      <c r="CB1649" s="152"/>
    </row>
    <row r="1650" spans="1:80" s="87" customFormat="1" x14ac:dyDescent="0.2">
      <c r="A1650" s="152"/>
      <c r="B1650" s="683"/>
      <c r="C1650" s="683"/>
      <c r="D1650" s="698"/>
      <c r="E1650" s="215"/>
      <c r="F1650" s="215"/>
      <c r="G1650" s="153"/>
      <c r="H1650" s="96"/>
      <c r="I1650" s="222">
        <v>20</v>
      </c>
      <c r="J1650" s="222">
        <v>60</v>
      </c>
      <c r="K1650" s="164">
        <v>1</v>
      </c>
      <c r="L1650" s="658">
        <v>20</v>
      </c>
      <c r="M1650" s="659">
        <v>34498</v>
      </c>
      <c r="N1650" s="600">
        <v>33.692114678179948</v>
      </c>
      <c r="O1650" s="602">
        <v>1.7527843847925398E-2</v>
      </c>
      <c r="P1650" s="93"/>
      <c r="Q1650" s="93"/>
      <c r="R1650" s="93"/>
      <c r="S1650" s="93"/>
      <c r="T1650" s="93"/>
      <c r="U1650" s="93">
        <v>2</v>
      </c>
      <c r="V1650" s="498">
        <v>10.4</v>
      </c>
      <c r="W1650" s="498">
        <v>33.6</v>
      </c>
      <c r="X1650" s="498">
        <v>46.6</v>
      </c>
      <c r="Y1650" s="498">
        <v>7.4</v>
      </c>
      <c r="Z1650" s="93"/>
      <c r="AA1650" s="154"/>
      <c r="AB1650" s="152"/>
      <c r="AC1650" s="152"/>
      <c r="AD1650" s="223"/>
      <c r="AE1650" s="223"/>
      <c r="AF1650" s="223"/>
      <c r="AG1650" s="223"/>
      <c r="AH1650" s="341"/>
      <c r="AI1650" s="218"/>
      <c r="AJ1650" s="218"/>
      <c r="AK1650" s="153"/>
      <c r="AL1650" s="152"/>
      <c r="AM1650" s="152"/>
      <c r="AN1650" s="152"/>
      <c r="AO1650" s="152"/>
      <c r="AP1650" s="152"/>
      <c r="AQ1650" s="152"/>
      <c r="AR1650" s="152"/>
      <c r="AS1650" s="152"/>
      <c r="AT1650" s="152"/>
      <c r="AU1650" s="153"/>
      <c r="AV1650" s="479"/>
      <c r="AW1650" s="479"/>
      <c r="AX1650" s="442"/>
      <c r="AY1650" s="153"/>
      <c r="AZ1650" s="152"/>
      <c r="BA1650" s="152"/>
      <c r="BB1650" s="152"/>
      <c r="BC1650" s="152"/>
      <c r="BD1650" s="152"/>
      <c r="BE1650" s="152"/>
      <c r="BF1650" s="152"/>
      <c r="BG1650" s="152"/>
      <c r="BH1650" s="152"/>
      <c r="BI1650" s="153"/>
      <c r="BJ1650" s="153"/>
      <c r="BK1650" s="153"/>
      <c r="BL1650" s="153"/>
      <c r="BM1650" s="153"/>
      <c r="BN1650" s="153"/>
      <c r="BO1650" s="153"/>
      <c r="BP1650" s="153"/>
      <c r="BQ1650" s="153"/>
      <c r="BR1650" s="153"/>
      <c r="BS1650" s="153"/>
      <c r="BT1650" s="153"/>
      <c r="BU1650" s="153"/>
      <c r="BV1650" s="153"/>
      <c r="BW1650" s="153"/>
      <c r="BX1650" s="153"/>
      <c r="BY1650" s="153"/>
      <c r="BZ1650" s="153"/>
      <c r="CA1650" s="152"/>
      <c r="CB1650" s="152"/>
    </row>
    <row r="1651" spans="1:80" s="87" customFormat="1" x14ac:dyDescent="0.2">
      <c r="A1651" s="152"/>
      <c r="B1651" s="683"/>
      <c r="C1651" s="683"/>
      <c r="D1651" s="698"/>
      <c r="E1651" s="215"/>
      <c r="F1651" s="215"/>
      <c r="G1651" s="153"/>
      <c r="H1651" s="96"/>
      <c r="I1651" s="222">
        <v>20</v>
      </c>
      <c r="J1651" s="222">
        <v>60</v>
      </c>
      <c r="K1651" s="164">
        <v>1</v>
      </c>
      <c r="L1651" s="658">
        <v>20</v>
      </c>
      <c r="M1651" s="659">
        <v>34498</v>
      </c>
      <c r="N1651" s="600">
        <v>33.692114678179948</v>
      </c>
      <c r="O1651" s="602">
        <v>3.2116887529731568E-2</v>
      </c>
      <c r="P1651" s="93"/>
      <c r="Q1651" s="93"/>
      <c r="R1651" s="93"/>
      <c r="S1651" s="93"/>
      <c r="T1651" s="93">
        <v>1.6</v>
      </c>
      <c r="U1651" s="93">
        <v>8</v>
      </c>
      <c r="V1651" s="498">
        <v>23.7</v>
      </c>
      <c r="W1651" s="498">
        <v>28.1</v>
      </c>
      <c r="X1651" s="498">
        <v>34.200000000000003</v>
      </c>
      <c r="Y1651" s="498">
        <v>4.4000000000000004</v>
      </c>
      <c r="Z1651" s="93"/>
      <c r="AA1651" s="154"/>
      <c r="AB1651" s="152"/>
      <c r="AC1651" s="152"/>
      <c r="AD1651" s="223"/>
      <c r="AE1651" s="223"/>
      <c r="AF1651" s="223"/>
      <c r="AG1651" s="223"/>
      <c r="AH1651" s="341"/>
      <c r="AI1651" s="218"/>
      <c r="AJ1651" s="218"/>
      <c r="AK1651" s="153"/>
      <c r="AL1651" s="152"/>
      <c r="AM1651" s="152"/>
      <c r="AN1651" s="152"/>
      <c r="AO1651" s="152"/>
      <c r="AP1651" s="152"/>
      <c r="AQ1651" s="152"/>
      <c r="AR1651" s="152"/>
      <c r="AS1651" s="152"/>
      <c r="AT1651" s="152"/>
      <c r="AU1651" s="153"/>
      <c r="AV1651" s="479"/>
      <c r="AW1651" s="479"/>
      <c r="AX1651" s="442"/>
      <c r="AY1651" s="153"/>
      <c r="AZ1651" s="152"/>
      <c r="BA1651" s="152"/>
      <c r="BB1651" s="152"/>
      <c r="BC1651" s="152"/>
      <c r="BD1651" s="152"/>
      <c r="BE1651" s="152"/>
      <c r="BF1651" s="152"/>
      <c r="BG1651" s="152"/>
      <c r="BH1651" s="152"/>
      <c r="BI1651" s="153"/>
      <c r="BJ1651" s="153"/>
      <c r="BK1651" s="153"/>
      <c r="BL1651" s="153"/>
      <c r="BM1651" s="153"/>
      <c r="BN1651" s="153"/>
      <c r="BO1651" s="153"/>
      <c r="BP1651" s="153"/>
      <c r="BQ1651" s="153"/>
      <c r="BR1651" s="153"/>
      <c r="BS1651" s="153"/>
      <c r="BT1651" s="153"/>
      <c r="BU1651" s="153"/>
      <c r="BV1651" s="153"/>
      <c r="BW1651" s="153"/>
      <c r="BX1651" s="153"/>
      <c r="BY1651" s="153"/>
      <c r="BZ1651" s="153"/>
      <c r="CA1651" s="152"/>
      <c r="CB1651" s="152"/>
    </row>
    <row r="1652" spans="1:80" s="87" customFormat="1" x14ac:dyDescent="0.2">
      <c r="A1652" s="152"/>
      <c r="B1652" s="683"/>
      <c r="C1652" s="683"/>
      <c r="D1652" s="698"/>
      <c r="E1652" s="215"/>
      <c r="F1652" s="215"/>
      <c r="G1652" s="153"/>
      <c r="H1652" s="96"/>
      <c r="I1652" s="222">
        <v>20</v>
      </c>
      <c r="J1652" s="222">
        <v>60</v>
      </c>
      <c r="K1652" s="164">
        <v>1</v>
      </c>
      <c r="L1652" s="658">
        <v>20</v>
      </c>
      <c r="M1652" s="659">
        <v>34820</v>
      </c>
      <c r="N1652" s="600">
        <v>70.781753525588115</v>
      </c>
      <c r="O1652" s="602">
        <v>0.4061841658171933</v>
      </c>
      <c r="P1652" s="93"/>
      <c r="Q1652" s="93"/>
      <c r="R1652" s="93"/>
      <c r="S1652" s="93"/>
      <c r="T1652" s="93">
        <v>0.3</v>
      </c>
      <c r="U1652" s="93">
        <v>4.4000000000000004</v>
      </c>
      <c r="V1652" s="498">
        <v>39.5</v>
      </c>
      <c r="W1652" s="498">
        <v>42.1</v>
      </c>
      <c r="X1652" s="498">
        <v>13.2</v>
      </c>
      <c r="Y1652" s="498">
        <v>0.5</v>
      </c>
      <c r="Z1652" s="93">
        <v>7</v>
      </c>
      <c r="AA1652" s="154"/>
      <c r="AB1652" s="152"/>
      <c r="AC1652" s="152"/>
      <c r="AD1652" s="223"/>
      <c r="AE1652" s="223"/>
      <c r="AF1652" s="223"/>
      <c r="AG1652" s="223"/>
      <c r="AH1652" s="341"/>
      <c r="AI1652" s="218"/>
      <c r="AJ1652" s="218"/>
      <c r="AK1652" s="153"/>
      <c r="AL1652" s="152"/>
      <c r="AM1652" s="152"/>
      <c r="AN1652" s="152"/>
      <c r="AO1652" s="152"/>
      <c r="AP1652" s="152"/>
      <c r="AQ1652" s="152"/>
      <c r="AR1652" s="152"/>
      <c r="AS1652" s="152"/>
      <c r="AT1652" s="152"/>
      <c r="AU1652" s="153"/>
      <c r="AV1652" s="479"/>
      <c r="AW1652" s="479"/>
      <c r="AX1652" s="442"/>
      <c r="AY1652" s="153"/>
      <c r="AZ1652" s="152"/>
      <c r="BA1652" s="152"/>
      <c r="BB1652" s="152"/>
      <c r="BC1652" s="152"/>
      <c r="BD1652" s="152"/>
      <c r="BE1652" s="152"/>
      <c r="BF1652" s="152"/>
      <c r="BG1652" s="152"/>
      <c r="BH1652" s="152"/>
      <c r="BI1652" s="153"/>
      <c r="BJ1652" s="153"/>
      <c r="BK1652" s="153"/>
      <c r="BL1652" s="153"/>
      <c r="BM1652" s="153"/>
      <c r="BN1652" s="153"/>
      <c r="BO1652" s="153"/>
      <c r="BP1652" s="153"/>
      <c r="BQ1652" s="153"/>
      <c r="BR1652" s="153"/>
      <c r="BS1652" s="153"/>
      <c r="BT1652" s="153"/>
      <c r="BU1652" s="153"/>
      <c r="BV1652" s="153"/>
      <c r="BW1652" s="153"/>
      <c r="BX1652" s="153"/>
      <c r="BY1652" s="153"/>
      <c r="BZ1652" s="153"/>
      <c r="CA1652" s="152"/>
      <c r="CB1652" s="152"/>
    </row>
    <row r="1653" spans="1:80" s="87" customFormat="1" x14ac:dyDescent="0.2">
      <c r="A1653" s="152"/>
      <c r="B1653" s="683"/>
      <c r="C1653" s="683"/>
      <c r="D1653" s="698"/>
      <c r="E1653" s="215"/>
      <c r="F1653" s="215"/>
      <c r="G1653" s="153"/>
      <c r="H1653" s="96"/>
      <c r="I1653" s="222">
        <v>20</v>
      </c>
      <c r="J1653" s="222">
        <v>60</v>
      </c>
      <c r="K1653" s="164">
        <v>1</v>
      </c>
      <c r="L1653" s="658">
        <v>20</v>
      </c>
      <c r="M1653" s="659">
        <v>34820</v>
      </c>
      <c r="N1653" s="600">
        <v>70.781753525588115</v>
      </c>
      <c r="O1653" s="602">
        <v>0.6706761807679239</v>
      </c>
      <c r="P1653" s="93"/>
      <c r="Q1653" s="93"/>
      <c r="R1653" s="93"/>
      <c r="S1653" s="93">
        <v>0.1</v>
      </c>
      <c r="T1653" s="93">
        <v>1.6</v>
      </c>
      <c r="U1653" s="93">
        <v>28</v>
      </c>
      <c r="V1653" s="498">
        <v>45.2</v>
      </c>
      <c r="W1653" s="498">
        <v>18.7</v>
      </c>
      <c r="X1653" s="498">
        <v>6.1</v>
      </c>
      <c r="Y1653" s="498">
        <v>0.3</v>
      </c>
      <c r="Z1653" s="93">
        <v>9</v>
      </c>
      <c r="AA1653" s="154"/>
      <c r="AB1653" s="152"/>
      <c r="AC1653" s="152"/>
      <c r="AD1653" s="223"/>
      <c r="AE1653" s="223"/>
      <c r="AF1653" s="223"/>
      <c r="AG1653" s="223"/>
      <c r="AH1653" s="341"/>
      <c r="AI1653" s="218"/>
      <c r="AJ1653" s="218"/>
      <c r="AK1653" s="153"/>
      <c r="AL1653" s="152"/>
      <c r="AM1653" s="152"/>
      <c r="AN1653" s="152"/>
      <c r="AO1653" s="152"/>
      <c r="AP1653" s="152"/>
      <c r="AQ1653" s="152"/>
      <c r="AR1653" s="152"/>
      <c r="AS1653" s="152"/>
      <c r="AT1653" s="152"/>
      <c r="AU1653" s="153"/>
      <c r="AV1653" s="479"/>
      <c r="AW1653" s="479"/>
      <c r="AX1653" s="442"/>
      <c r="AY1653" s="153"/>
      <c r="AZ1653" s="152"/>
      <c r="BA1653" s="152"/>
      <c r="BB1653" s="152"/>
      <c r="BC1653" s="152"/>
      <c r="BD1653" s="152"/>
      <c r="BE1653" s="152"/>
      <c r="BF1653" s="152"/>
      <c r="BG1653" s="152"/>
      <c r="BH1653" s="152"/>
      <c r="BI1653" s="153"/>
      <c r="BJ1653" s="153"/>
      <c r="BK1653" s="153"/>
      <c r="BL1653" s="153"/>
      <c r="BM1653" s="153"/>
      <c r="BN1653" s="153"/>
      <c r="BO1653" s="153"/>
      <c r="BP1653" s="153"/>
      <c r="BQ1653" s="153"/>
      <c r="BR1653" s="153"/>
      <c r="BS1653" s="153"/>
      <c r="BT1653" s="153"/>
      <c r="BU1653" s="153"/>
      <c r="BV1653" s="153"/>
      <c r="BW1653" s="153"/>
      <c r="BX1653" s="153"/>
      <c r="BY1653" s="153"/>
      <c r="BZ1653" s="153"/>
      <c r="CA1653" s="152"/>
      <c r="CB1653" s="152"/>
    </row>
    <row r="1654" spans="1:80" s="87" customFormat="1" x14ac:dyDescent="0.2">
      <c r="A1654" s="152"/>
      <c r="B1654" s="683"/>
      <c r="C1654" s="683"/>
      <c r="D1654" s="698"/>
      <c r="E1654" s="215"/>
      <c r="F1654" s="215"/>
      <c r="G1654" s="153"/>
      <c r="H1654" s="96"/>
      <c r="I1654" s="222">
        <v>20</v>
      </c>
      <c r="J1654" s="222">
        <v>60</v>
      </c>
      <c r="K1654" s="164">
        <v>1</v>
      </c>
      <c r="L1654" s="658">
        <v>20</v>
      </c>
      <c r="M1654" s="659">
        <v>34823</v>
      </c>
      <c r="N1654" s="600">
        <v>77.293674849942221</v>
      </c>
      <c r="O1654" s="602">
        <v>0.31382187488201757</v>
      </c>
      <c r="P1654" s="93"/>
      <c r="Q1654" s="93"/>
      <c r="R1654" s="93"/>
      <c r="S1654" s="93"/>
      <c r="T1654" s="93">
        <v>0.5</v>
      </c>
      <c r="U1654" s="93">
        <v>4.2</v>
      </c>
      <c r="V1654" s="498">
        <v>26.2</v>
      </c>
      <c r="W1654" s="498">
        <v>51.7</v>
      </c>
      <c r="X1654" s="498">
        <v>16.8</v>
      </c>
      <c r="Y1654" s="498">
        <v>0.6</v>
      </c>
      <c r="Z1654" s="93">
        <v>5</v>
      </c>
      <c r="AA1654" s="154"/>
      <c r="AB1654" s="152"/>
      <c r="AC1654" s="152"/>
      <c r="AD1654" s="223"/>
      <c r="AE1654" s="223"/>
      <c r="AF1654" s="223"/>
      <c r="AG1654" s="223"/>
      <c r="AH1654" s="341"/>
      <c r="AI1654" s="218"/>
      <c r="AJ1654" s="218"/>
      <c r="AK1654" s="153"/>
      <c r="AL1654" s="152"/>
      <c r="AM1654" s="152"/>
      <c r="AN1654" s="152"/>
      <c r="AO1654" s="152"/>
      <c r="AP1654" s="152"/>
      <c r="AQ1654" s="152"/>
      <c r="AR1654" s="152"/>
      <c r="AS1654" s="152"/>
      <c r="AT1654" s="152"/>
      <c r="AU1654" s="153"/>
      <c r="AV1654" s="479"/>
      <c r="AW1654" s="479"/>
      <c r="AX1654" s="442"/>
      <c r="AY1654" s="153"/>
      <c r="AZ1654" s="152"/>
      <c r="BA1654" s="152"/>
      <c r="BB1654" s="152"/>
      <c r="BC1654" s="152"/>
      <c r="BD1654" s="152"/>
      <c r="BE1654" s="152"/>
      <c r="BF1654" s="152"/>
      <c r="BG1654" s="152"/>
      <c r="BH1654" s="152"/>
      <c r="BI1654" s="153"/>
      <c r="BJ1654" s="153"/>
      <c r="BK1654" s="153"/>
      <c r="BL1654" s="153"/>
      <c r="BM1654" s="153"/>
      <c r="BN1654" s="153"/>
      <c r="BO1654" s="153"/>
      <c r="BP1654" s="153"/>
      <c r="BQ1654" s="153"/>
      <c r="BR1654" s="153"/>
      <c r="BS1654" s="153"/>
      <c r="BT1654" s="153"/>
      <c r="BU1654" s="153"/>
      <c r="BV1654" s="153"/>
      <c r="BW1654" s="153"/>
      <c r="BX1654" s="153"/>
      <c r="BY1654" s="153"/>
      <c r="BZ1654" s="153"/>
      <c r="CA1654" s="152"/>
      <c r="CB1654" s="152"/>
    </row>
    <row r="1655" spans="1:80" s="87" customFormat="1" x14ac:dyDescent="0.2">
      <c r="A1655" s="152"/>
      <c r="B1655" s="683"/>
      <c r="C1655" s="683"/>
      <c r="D1655" s="698"/>
      <c r="E1655" s="215"/>
      <c r="F1655" s="215"/>
      <c r="G1655" s="153"/>
      <c r="H1655" s="96"/>
      <c r="I1655" s="222">
        <v>20</v>
      </c>
      <c r="J1655" s="222">
        <v>60</v>
      </c>
      <c r="K1655" s="164">
        <v>1</v>
      </c>
      <c r="L1655" s="658">
        <v>20</v>
      </c>
      <c r="M1655" s="659">
        <v>34823</v>
      </c>
      <c r="N1655" s="600">
        <v>77.293674849942221</v>
      </c>
      <c r="O1655" s="602">
        <v>0.29283044512402312</v>
      </c>
      <c r="P1655" s="93"/>
      <c r="Q1655" s="93"/>
      <c r="R1655" s="93"/>
      <c r="S1655" s="93"/>
      <c r="T1655" s="93">
        <v>0.4</v>
      </c>
      <c r="U1655" s="93">
        <v>2.7</v>
      </c>
      <c r="V1655" s="498">
        <v>25.4</v>
      </c>
      <c r="W1655" s="498">
        <v>55.1</v>
      </c>
      <c r="X1655" s="498">
        <v>15.9</v>
      </c>
      <c r="Y1655" s="498">
        <v>0.5</v>
      </c>
      <c r="Z1655" s="93">
        <v>7</v>
      </c>
      <c r="AA1655" s="154"/>
      <c r="AB1655" s="152"/>
      <c r="AC1655" s="152"/>
      <c r="AD1655" s="223"/>
      <c r="AE1655" s="223"/>
      <c r="AF1655" s="223"/>
      <c r="AG1655" s="223"/>
      <c r="AH1655" s="341"/>
      <c r="AI1655" s="218"/>
      <c r="AJ1655" s="218"/>
      <c r="AK1655" s="153"/>
      <c r="AL1655" s="152"/>
      <c r="AM1655" s="152"/>
      <c r="AN1655" s="152"/>
      <c r="AO1655" s="152"/>
      <c r="AP1655" s="152"/>
      <c r="AQ1655" s="152"/>
      <c r="AR1655" s="152"/>
      <c r="AS1655" s="152"/>
      <c r="AT1655" s="152"/>
      <c r="AU1655" s="153"/>
      <c r="AV1655" s="479"/>
      <c r="AW1655" s="479"/>
      <c r="AX1655" s="442"/>
      <c r="AY1655" s="153"/>
      <c r="AZ1655" s="152"/>
      <c r="BA1655" s="152"/>
      <c r="BB1655" s="152"/>
      <c r="BC1655" s="152"/>
      <c r="BD1655" s="152"/>
      <c r="BE1655" s="152"/>
      <c r="BF1655" s="152"/>
      <c r="BG1655" s="152"/>
      <c r="BH1655" s="152"/>
      <c r="BI1655" s="153"/>
      <c r="BJ1655" s="153"/>
      <c r="BK1655" s="153"/>
      <c r="BL1655" s="153"/>
      <c r="BM1655" s="153"/>
      <c r="BN1655" s="153"/>
      <c r="BO1655" s="153"/>
      <c r="BP1655" s="153"/>
      <c r="BQ1655" s="153"/>
      <c r="BR1655" s="153"/>
      <c r="BS1655" s="153"/>
      <c r="BT1655" s="153"/>
      <c r="BU1655" s="153"/>
      <c r="BV1655" s="153"/>
      <c r="BW1655" s="153"/>
      <c r="BX1655" s="153"/>
      <c r="BY1655" s="153"/>
      <c r="BZ1655" s="153"/>
      <c r="CA1655" s="152"/>
      <c r="CB1655" s="152"/>
    </row>
    <row r="1656" spans="1:80" s="87" customFormat="1" x14ac:dyDescent="0.2">
      <c r="A1656" s="152"/>
      <c r="B1656" s="683"/>
      <c r="C1656" s="683"/>
      <c r="D1656" s="698"/>
      <c r="E1656" s="215"/>
      <c r="F1656" s="215"/>
      <c r="G1656" s="153"/>
      <c r="H1656" s="96"/>
      <c r="I1656" s="222">
        <v>20</v>
      </c>
      <c r="J1656" s="222">
        <v>60</v>
      </c>
      <c r="K1656" s="164">
        <v>1</v>
      </c>
      <c r="L1656" s="658">
        <v>20</v>
      </c>
      <c r="M1656" s="659">
        <v>34827</v>
      </c>
      <c r="N1656" s="600">
        <v>110.98578952812217</v>
      </c>
      <c r="O1656" s="602">
        <v>1.4064257937856306</v>
      </c>
      <c r="P1656" s="93"/>
      <c r="Q1656" s="93"/>
      <c r="R1656" s="93">
        <v>0.3</v>
      </c>
      <c r="S1656" s="93">
        <v>0.3</v>
      </c>
      <c r="T1656" s="93">
        <v>0.8</v>
      </c>
      <c r="U1656" s="93">
        <v>4.4000000000000004</v>
      </c>
      <c r="V1656" s="498">
        <v>34.299999999999997</v>
      </c>
      <c r="W1656" s="498">
        <v>43.3</v>
      </c>
      <c r="X1656" s="498">
        <v>15.8</v>
      </c>
      <c r="Y1656" s="498">
        <v>0.8</v>
      </c>
      <c r="Z1656" s="93">
        <v>14</v>
      </c>
      <c r="AA1656" s="154"/>
      <c r="AB1656" s="152"/>
      <c r="AC1656" s="152"/>
      <c r="AD1656" s="223"/>
      <c r="AE1656" s="223"/>
      <c r="AF1656" s="223"/>
      <c r="AG1656" s="223"/>
      <c r="AH1656" s="341"/>
      <c r="AI1656" s="218"/>
      <c r="AJ1656" s="218"/>
      <c r="AK1656" s="153"/>
      <c r="AL1656" s="152"/>
      <c r="AM1656" s="152"/>
      <c r="AN1656" s="152"/>
      <c r="AO1656" s="152"/>
      <c r="AP1656" s="152"/>
      <c r="AQ1656" s="152"/>
      <c r="AR1656" s="152"/>
      <c r="AS1656" s="152"/>
      <c r="AT1656" s="152"/>
      <c r="AU1656" s="153"/>
      <c r="AV1656" s="479"/>
      <c r="AW1656" s="479"/>
      <c r="AX1656" s="442"/>
      <c r="AY1656" s="153"/>
      <c r="AZ1656" s="152"/>
      <c r="BA1656" s="152"/>
      <c r="BB1656" s="152"/>
      <c r="BC1656" s="152"/>
      <c r="BD1656" s="152"/>
      <c r="BE1656" s="152"/>
      <c r="BF1656" s="152"/>
      <c r="BG1656" s="152"/>
      <c r="BH1656" s="152"/>
      <c r="BI1656" s="153"/>
      <c r="BJ1656" s="153"/>
      <c r="BK1656" s="153"/>
      <c r="BL1656" s="153"/>
      <c r="BM1656" s="153"/>
      <c r="BN1656" s="153"/>
      <c r="BO1656" s="153"/>
      <c r="BP1656" s="153"/>
      <c r="BQ1656" s="153"/>
      <c r="BR1656" s="153"/>
      <c r="BS1656" s="153"/>
      <c r="BT1656" s="153"/>
      <c r="BU1656" s="153"/>
      <c r="BV1656" s="153"/>
      <c r="BW1656" s="153"/>
      <c r="BX1656" s="153"/>
      <c r="BY1656" s="153"/>
      <c r="BZ1656" s="153"/>
      <c r="CA1656" s="152"/>
      <c r="CB1656" s="152"/>
    </row>
    <row r="1657" spans="1:80" s="87" customFormat="1" x14ac:dyDescent="0.2">
      <c r="A1657" s="152"/>
      <c r="B1657" s="683"/>
      <c r="C1657" s="683"/>
      <c r="D1657" s="698"/>
      <c r="E1657" s="215"/>
      <c r="F1657" s="215"/>
      <c r="G1657" s="153"/>
      <c r="H1657" s="96"/>
      <c r="I1657" s="222">
        <v>20</v>
      </c>
      <c r="J1657" s="222">
        <v>60</v>
      </c>
      <c r="K1657" s="164">
        <v>1</v>
      </c>
      <c r="L1657" s="658">
        <v>20</v>
      </c>
      <c r="M1657" s="659">
        <v>34827</v>
      </c>
      <c r="N1657" s="600">
        <v>110.98578952812217</v>
      </c>
      <c r="O1657" s="602">
        <v>1.9626986823724848</v>
      </c>
      <c r="P1657" s="93"/>
      <c r="Q1657" s="93"/>
      <c r="R1657" s="93">
        <v>0.4</v>
      </c>
      <c r="S1657" s="93">
        <v>0.5</v>
      </c>
      <c r="T1657" s="93">
        <v>1.5</v>
      </c>
      <c r="U1657" s="93">
        <v>5.6</v>
      </c>
      <c r="V1657" s="498">
        <v>39</v>
      </c>
      <c r="W1657" s="498">
        <v>39.1</v>
      </c>
      <c r="X1657" s="498">
        <v>13.4</v>
      </c>
      <c r="Y1657" s="498">
        <v>0.5</v>
      </c>
      <c r="Z1657" s="93">
        <v>17</v>
      </c>
      <c r="AA1657" s="154"/>
      <c r="AB1657" s="152"/>
      <c r="AC1657" s="152"/>
      <c r="AD1657" s="223"/>
      <c r="AE1657" s="223"/>
      <c r="AF1657" s="223"/>
      <c r="AG1657" s="223"/>
      <c r="AH1657" s="341"/>
      <c r="AI1657" s="218"/>
      <c r="AJ1657" s="218"/>
      <c r="AK1657" s="153"/>
      <c r="AL1657" s="152"/>
      <c r="AM1657" s="152"/>
      <c r="AN1657" s="152"/>
      <c r="AO1657" s="152"/>
      <c r="AP1657" s="152"/>
      <c r="AQ1657" s="152"/>
      <c r="AR1657" s="152"/>
      <c r="AS1657" s="152"/>
      <c r="AT1657" s="152"/>
      <c r="AU1657" s="153"/>
      <c r="AV1657" s="479"/>
      <c r="AW1657" s="479"/>
      <c r="AX1657" s="442"/>
      <c r="AY1657" s="153"/>
      <c r="AZ1657" s="152"/>
      <c r="BA1657" s="152"/>
      <c r="BB1657" s="152"/>
      <c r="BC1657" s="152"/>
      <c r="BD1657" s="152"/>
      <c r="BE1657" s="152"/>
      <c r="BF1657" s="152"/>
      <c r="BG1657" s="152"/>
      <c r="BH1657" s="152"/>
      <c r="BI1657" s="153"/>
      <c r="BJ1657" s="153"/>
      <c r="BK1657" s="153"/>
      <c r="BL1657" s="153"/>
      <c r="BM1657" s="153"/>
      <c r="BN1657" s="153"/>
      <c r="BO1657" s="153"/>
      <c r="BP1657" s="153"/>
      <c r="BQ1657" s="153"/>
      <c r="BR1657" s="153"/>
      <c r="BS1657" s="153"/>
      <c r="BT1657" s="153"/>
      <c r="BU1657" s="153"/>
      <c r="BV1657" s="153"/>
      <c r="BW1657" s="153"/>
      <c r="BX1657" s="153"/>
      <c r="BY1657" s="153"/>
      <c r="BZ1657" s="153"/>
      <c r="CA1657" s="152"/>
      <c r="CB1657" s="152"/>
    </row>
    <row r="1658" spans="1:80" s="87" customFormat="1" x14ac:dyDescent="0.2">
      <c r="A1658" s="152"/>
      <c r="B1658" s="683"/>
      <c r="C1658" s="683"/>
      <c r="D1658" s="698"/>
      <c r="E1658" s="215"/>
      <c r="F1658" s="215"/>
      <c r="G1658" s="153"/>
      <c r="H1658" s="96"/>
      <c r="I1658" s="222">
        <v>20</v>
      </c>
      <c r="J1658" s="222">
        <v>60</v>
      </c>
      <c r="K1658" s="164">
        <v>1</v>
      </c>
      <c r="L1658" s="658">
        <v>20</v>
      </c>
      <c r="M1658" s="659">
        <v>34830</v>
      </c>
      <c r="N1658" s="600">
        <v>125.7083942614445</v>
      </c>
      <c r="O1658" s="602">
        <v>1.6898100955185562</v>
      </c>
      <c r="P1658" s="93"/>
      <c r="Q1658" s="93">
        <v>6.6</v>
      </c>
      <c r="R1658" s="93">
        <v>1.7</v>
      </c>
      <c r="S1658" s="93">
        <v>0.3</v>
      </c>
      <c r="T1658" s="93">
        <v>2.2000000000000002</v>
      </c>
      <c r="U1658" s="93">
        <v>4.5</v>
      </c>
      <c r="V1658" s="498">
        <v>26.3</v>
      </c>
      <c r="W1658" s="498">
        <v>39</v>
      </c>
      <c r="X1658" s="498">
        <v>18.2</v>
      </c>
      <c r="Y1658" s="498">
        <v>1.2</v>
      </c>
      <c r="Z1658" s="93">
        <v>30</v>
      </c>
      <c r="AA1658" s="154"/>
      <c r="AB1658" s="152"/>
      <c r="AC1658" s="152"/>
      <c r="AD1658" s="223"/>
      <c r="AE1658" s="223"/>
      <c r="AF1658" s="223"/>
      <c r="AG1658" s="223"/>
      <c r="AH1658" s="341"/>
      <c r="AI1658" s="218"/>
      <c r="AJ1658" s="218"/>
      <c r="AK1658" s="153"/>
      <c r="AL1658" s="152"/>
      <c r="AM1658" s="152"/>
      <c r="AN1658" s="152"/>
      <c r="AO1658" s="152"/>
      <c r="AP1658" s="152"/>
      <c r="AQ1658" s="152"/>
      <c r="AR1658" s="152"/>
      <c r="AS1658" s="152"/>
      <c r="AT1658" s="152"/>
      <c r="AU1658" s="153"/>
      <c r="AV1658" s="479"/>
      <c r="AW1658" s="479"/>
      <c r="AX1658" s="442"/>
      <c r="AY1658" s="153"/>
      <c r="AZ1658" s="152"/>
      <c r="BA1658" s="152"/>
      <c r="BB1658" s="152"/>
      <c r="BC1658" s="152"/>
      <c r="BD1658" s="152"/>
      <c r="BE1658" s="152"/>
      <c r="BF1658" s="152"/>
      <c r="BG1658" s="152"/>
      <c r="BH1658" s="152"/>
      <c r="BI1658" s="153"/>
      <c r="BJ1658" s="153"/>
      <c r="BK1658" s="153"/>
      <c r="BL1658" s="153"/>
      <c r="BM1658" s="153"/>
      <c r="BN1658" s="153"/>
      <c r="BO1658" s="153"/>
      <c r="BP1658" s="153"/>
      <c r="BQ1658" s="153"/>
      <c r="BR1658" s="153"/>
      <c r="BS1658" s="153"/>
      <c r="BT1658" s="153"/>
      <c r="BU1658" s="153"/>
      <c r="BV1658" s="153"/>
      <c r="BW1658" s="153"/>
      <c r="BX1658" s="153"/>
      <c r="BY1658" s="153"/>
      <c r="BZ1658" s="153"/>
      <c r="CA1658" s="152"/>
      <c r="CB1658" s="152"/>
    </row>
    <row r="1659" spans="1:80" s="87" customFormat="1" x14ac:dyDescent="0.2">
      <c r="A1659" s="152"/>
      <c r="B1659" s="683"/>
      <c r="C1659" s="683"/>
      <c r="D1659" s="698"/>
      <c r="E1659" s="215"/>
      <c r="F1659" s="215"/>
      <c r="G1659" s="153"/>
      <c r="H1659" s="96"/>
      <c r="I1659" s="222">
        <v>20</v>
      </c>
      <c r="J1659" s="222">
        <v>60</v>
      </c>
      <c r="K1659" s="164">
        <v>1</v>
      </c>
      <c r="L1659" s="658">
        <v>20</v>
      </c>
      <c r="M1659" s="659">
        <v>34830</v>
      </c>
      <c r="N1659" s="600">
        <v>125.7083942614445</v>
      </c>
      <c r="O1659" s="602">
        <v>1.6373315211235699</v>
      </c>
      <c r="P1659" s="93"/>
      <c r="Q1659" s="93"/>
      <c r="R1659" s="93">
        <v>1.8</v>
      </c>
      <c r="S1659" s="93">
        <v>1.4</v>
      </c>
      <c r="T1659" s="93">
        <v>1.1000000000000001</v>
      </c>
      <c r="U1659" s="93">
        <v>5</v>
      </c>
      <c r="V1659" s="498">
        <v>33.6</v>
      </c>
      <c r="W1659" s="498">
        <v>38.799999999999997</v>
      </c>
      <c r="X1659" s="498">
        <v>17.5</v>
      </c>
      <c r="Y1659" s="498">
        <v>0.8</v>
      </c>
      <c r="Z1659" s="93">
        <v>56</v>
      </c>
      <c r="AA1659" s="154"/>
      <c r="AB1659" s="152"/>
      <c r="AC1659" s="152"/>
      <c r="AD1659" s="223"/>
      <c r="AE1659" s="223"/>
      <c r="AF1659" s="223"/>
      <c r="AG1659" s="223"/>
      <c r="AH1659" s="341"/>
      <c r="AI1659" s="218"/>
      <c r="AJ1659" s="218"/>
      <c r="AK1659" s="153"/>
      <c r="AL1659" s="152"/>
      <c r="AM1659" s="152"/>
      <c r="AN1659" s="152"/>
      <c r="AO1659" s="152"/>
      <c r="AP1659" s="152"/>
      <c r="AQ1659" s="152"/>
      <c r="AR1659" s="152"/>
      <c r="AS1659" s="152"/>
      <c r="AT1659" s="152"/>
      <c r="AU1659" s="153"/>
      <c r="AV1659" s="479"/>
      <c r="AW1659" s="479"/>
      <c r="AX1659" s="442"/>
      <c r="AY1659" s="153"/>
      <c r="AZ1659" s="152"/>
      <c r="BA1659" s="152"/>
      <c r="BB1659" s="152"/>
      <c r="BC1659" s="152"/>
      <c r="BD1659" s="152"/>
      <c r="BE1659" s="152"/>
      <c r="BF1659" s="152"/>
      <c r="BG1659" s="152"/>
      <c r="BH1659" s="152"/>
      <c r="BI1659" s="153"/>
      <c r="BJ1659" s="153"/>
      <c r="BK1659" s="153"/>
      <c r="BL1659" s="153"/>
      <c r="BM1659" s="153"/>
      <c r="BN1659" s="153"/>
      <c r="BO1659" s="153"/>
      <c r="BP1659" s="153"/>
      <c r="BQ1659" s="153"/>
      <c r="BR1659" s="153"/>
      <c r="BS1659" s="153"/>
      <c r="BT1659" s="153"/>
      <c r="BU1659" s="153"/>
      <c r="BV1659" s="153"/>
      <c r="BW1659" s="153"/>
      <c r="BX1659" s="153"/>
      <c r="BY1659" s="153"/>
      <c r="BZ1659" s="153"/>
      <c r="CA1659" s="152"/>
      <c r="CB1659" s="152"/>
    </row>
    <row r="1660" spans="1:80" s="87" customFormat="1" x14ac:dyDescent="0.2">
      <c r="A1660" s="152"/>
      <c r="B1660" s="683"/>
      <c r="C1660" s="683"/>
      <c r="D1660" s="698"/>
      <c r="E1660" s="215"/>
      <c r="F1660" s="215"/>
      <c r="G1660" s="153"/>
      <c r="H1660" s="96"/>
      <c r="I1660" s="222">
        <v>20</v>
      </c>
      <c r="J1660" s="222">
        <v>45</v>
      </c>
      <c r="K1660" s="164">
        <v>1</v>
      </c>
      <c r="L1660" s="658">
        <v>15</v>
      </c>
      <c r="M1660" s="659">
        <v>34834</v>
      </c>
      <c r="N1660" s="600">
        <v>91.166898540957504</v>
      </c>
      <c r="O1660" s="602">
        <v>0.47650545550647483</v>
      </c>
      <c r="P1660" s="93"/>
      <c r="Q1660" s="93"/>
      <c r="R1660" s="93"/>
      <c r="S1660" s="93"/>
      <c r="T1660" s="93">
        <v>0.1</v>
      </c>
      <c r="U1660" s="93">
        <v>2.1</v>
      </c>
      <c r="V1660" s="498">
        <v>30.2</v>
      </c>
      <c r="W1660" s="498">
        <v>48.6</v>
      </c>
      <c r="X1660" s="498">
        <v>18.3</v>
      </c>
      <c r="Y1660" s="498">
        <v>0.7</v>
      </c>
      <c r="Z1660" s="93">
        <v>6</v>
      </c>
      <c r="AA1660" s="154"/>
      <c r="AB1660" s="152"/>
      <c r="AC1660" s="152"/>
      <c r="AD1660" s="223"/>
      <c r="AE1660" s="223"/>
      <c r="AF1660" s="223"/>
      <c r="AG1660" s="223"/>
      <c r="AH1660" s="341"/>
      <c r="AI1660" s="218"/>
      <c r="AJ1660" s="218"/>
      <c r="AK1660" s="153"/>
      <c r="AL1660" s="152"/>
      <c r="AM1660" s="152"/>
      <c r="AN1660" s="152"/>
      <c r="AO1660" s="152"/>
      <c r="AP1660" s="152"/>
      <c r="AQ1660" s="152"/>
      <c r="AR1660" s="152"/>
      <c r="AS1660" s="152"/>
      <c r="AT1660" s="152"/>
      <c r="AU1660" s="153"/>
      <c r="AV1660" s="479"/>
      <c r="AW1660" s="479"/>
      <c r="AX1660" s="442"/>
      <c r="AY1660" s="153"/>
      <c r="AZ1660" s="152"/>
      <c r="BA1660" s="152"/>
      <c r="BB1660" s="152"/>
      <c r="BC1660" s="152"/>
      <c r="BD1660" s="152"/>
      <c r="BE1660" s="152"/>
      <c r="BF1660" s="152"/>
      <c r="BG1660" s="152"/>
      <c r="BH1660" s="152"/>
      <c r="BI1660" s="153"/>
      <c r="BJ1660" s="153"/>
      <c r="BK1660" s="153"/>
      <c r="BL1660" s="153"/>
      <c r="BM1660" s="153"/>
      <c r="BN1660" s="153"/>
      <c r="BO1660" s="153"/>
      <c r="BP1660" s="153"/>
      <c r="BQ1660" s="153"/>
      <c r="BR1660" s="153"/>
      <c r="BS1660" s="153"/>
      <c r="BT1660" s="153"/>
      <c r="BU1660" s="153"/>
      <c r="BV1660" s="153"/>
      <c r="BW1660" s="153"/>
      <c r="BX1660" s="153"/>
      <c r="BY1660" s="153"/>
      <c r="BZ1660" s="153"/>
      <c r="CA1660" s="152"/>
      <c r="CB1660" s="152"/>
    </row>
    <row r="1661" spans="1:80" s="87" customFormat="1" x14ac:dyDescent="0.2">
      <c r="A1661" s="152"/>
      <c r="B1661" s="683"/>
      <c r="C1661" s="683"/>
      <c r="D1661" s="698"/>
      <c r="E1661" s="215"/>
      <c r="F1661" s="215"/>
      <c r="G1661" s="153"/>
      <c r="H1661" s="96"/>
      <c r="I1661" s="222">
        <v>20</v>
      </c>
      <c r="J1661" s="222">
        <v>45</v>
      </c>
      <c r="K1661" s="164">
        <v>1</v>
      </c>
      <c r="L1661" s="658">
        <v>15</v>
      </c>
      <c r="M1661" s="659">
        <v>34834</v>
      </c>
      <c r="N1661" s="600">
        <v>91.166898540957504</v>
      </c>
      <c r="O1661" s="602">
        <v>0.56886774644165072</v>
      </c>
      <c r="P1661" s="93"/>
      <c r="Q1661" s="93"/>
      <c r="R1661" s="93"/>
      <c r="S1661" s="93">
        <v>0.9</v>
      </c>
      <c r="T1661" s="93">
        <v>0.6</v>
      </c>
      <c r="U1661" s="93">
        <v>5.7</v>
      </c>
      <c r="V1661" s="498">
        <v>30.3</v>
      </c>
      <c r="W1661" s="498">
        <v>41.3</v>
      </c>
      <c r="X1661" s="498">
        <v>20.399999999999999</v>
      </c>
      <c r="Y1661" s="498">
        <v>0.8</v>
      </c>
      <c r="Z1661" s="93">
        <v>14</v>
      </c>
      <c r="AA1661" s="154"/>
      <c r="AB1661" s="152"/>
      <c r="AC1661" s="152"/>
      <c r="AD1661" s="223"/>
      <c r="AE1661" s="223"/>
      <c r="AF1661" s="223"/>
      <c r="AG1661" s="223"/>
      <c r="AH1661" s="341"/>
      <c r="AI1661" s="218"/>
      <c r="AJ1661" s="218"/>
      <c r="AK1661" s="153"/>
      <c r="AL1661" s="152"/>
      <c r="AM1661" s="152"/>
      <c r="AN1661" s="152"/>
      <c r="AO1661" s="152"/>
      <c r="AP1661" s="152"/>
      <c r="AQ1661" s="152"/>
      <c r="AR1661" s="152"/>
      <c r="AS1661" s="152"/>
      <c r="AT1661" s="152"/>
      <c r="AU1661" s="153"/>
      <c r="AV1661" s="479"/>
      <c r="AW1661" s="479"/>
      <c r="AX1661" s="442"/>
      <c r="AY1661" s="153"/>
      <c r="AZ1661" s="152"/>
      <c r="BA1661" s="152"/>
      <c r="BB1661" s="152"/>
      <c r="BC1661" s="152"/>
      <c r="BD1661" s="152"/>
      <c r="BE1661" s="152"/>
      <c r="BF1661" s="152"/>
      <c r="BG1661" s="152"/>
      <c r="BH1661" s="152"/>
      <c r="BI1661" s="153"/>
      <c r="BJ1661" s="153"/>
      <c r="BK1661" s="153"/>
      <c r="BL1661" s="153"/>
      <c r="BM1661" s="153"/>
      <c r="BN1661" s="153"/>
      <c r="BO1661" s="153"/>
      <c r="BP1661" s="153"/>
      <c r="BQ1661" s="153"/>
      <c r="BR1661" s="153"/>
      <c r="BS1661" s="153"/>
      <c r="BT1661" s="153"/>
      <c r="BU1661" s="153"/>
      <c r="BV1661" s="153"/>
      <c r="BW1661" s="153"/>
      <c r="BX1661" s="153"/>
      <c r="BY1661" s="153"/>
      <c r="BZ1661" s="153"/>
      <c r="CA1661" s="152"/>
      <c r="CB1661" s="152"/>
    </row>
    <row r="1662" spans="1:80" s="87" customFormat="1" x14ac:dyDescent="0.2">
      <c r="A1662" s="152"/>
      <c r="B1662" s="683"/>
      <c r="C1662" s="683"/>
      <c r="D1662" s="698"/>
      <c r="E1662" s="215"/>
      <c r="F1662" s="215"/>
      <c r="G1662" s="153"/>
      <c r="H1662" s="96"/>
      <c r="I1662" s="222">
        <v>20</v>
      </c>
      <c r="J1662" s="222">
        <v>15</v>
      </c>
      <c r="K1662" s="164">
        <v>1</v>
      </c>
      <c r="L1662" s="658">
        <v>5</v>
      </c>
      <c r="M1662" s="659">
        <v>34837</v>
      </c>
      <c r="N1662" s="600">
        <v>126.27464828964921</v>
      </c>
      <c r="O1662" s="602">
        <v>1.8262543889455207</v>
      </c>
      <c r="P1662" s="93"/>
      <c r="Q1662" s="93"/>
      <c r="R1662" s="93"/>
      <c r="S1662" s="93">
        <v>0.2</v>
      </c>
      <c r="T1662" s="93">
        <v>0.4</v>
      </c>
      <c r="U1662" s="93">
        <v>3.7</v>
      </c>
      <c r="V1662" s="498">
        <v>28.8</v>
      </c>
      <c r="W1662" s="498">
        <v>41.8</v>
      </c>
      <c r="X1662" s="498">
        <v>24.1</v>
      </c>
      <c r="Y1662" s="498">
        <v>1</v>
      </c>
      <c r="Z1662" s="93">
        <v>11</v>
      </c>
      <c r="AA1662" s="154"/>
      <c r="AB1662" s="152"/>
      <c r="AC1662" s="152"/>
      <c r="AD1662" s="223"/>
      <c r="AE1662" s="223"/>
      <c r="AF1662" s="223"/>
      <c r="AG1662" s="223"/>
      <c r="AH1662" s="341"/>
      <c r="AI1662" s="218"/>
      <c r="AJ1662" s="218"/>
      <c r="AK1662" s="153"/>
      <c r="AL1662" s="152"/>
      <c r="AM1662" s="152"/>
      <c r="AN1662" s="152"/>
      <c r="AO1662" s="152"/>
      <c r="AP1662" s="152"/>
      <c r="AQ1662" s="152"/>
      <c r="AR1662" s="152"/>
      <c r="AS1662" s="152"/>
      <c r="AT1662" s="152"/>
      <c r="AU1662" s="153"/>
      <c r="AV1662" s="479"/>
      <c r="AW1662" s="479"/>
      <c r="AX1662" s="442"/>
      <c r="AY1662" s="153"/>
      <c r="AZ1662" s="152"/>
      <c r="BA1662" s="152"/>
      <c r="BB1662" s="152"/>
      <c r="BC1662" s="152"/>
      <c r="BD1662" s="152"/>
      <c r="BE1662" s="152"/>
      <c r="BF1662" s="152"/>
      <c r="BG1662" s="152"/>
      <c r="BH1662" s="152"/>
      <c r="BI1662" s="153"/>
      <c r="BJ1662" s="153"/>
      <c r="BK1662" s="153"/>
      <c r="BL1662" s="153"/>
      <c r="BM1662" s="153"/>
      <c r="BN1662" s="153"/>
      <c r="BO1662" s="153"/>
      <c r="BP1662" s="153"/>
      <c r="BQ1662" s="153"/>
      <c r="BR1662" s="153"/>
      <c r="BS1662" s="153"/>
      <c r="BT1662" s="153"/>
      <c r="BU1662" s="153"/>
      <c r="BV1662" s="153"/>
      <c r="BW1662" s="153"/>
      <c r="BX1662" s="153"/>
      <c r="BY1662" s="153"/>
      <c r="BZ1662" s="153"/>
      <c r="CA1662" s="152"/>
      <c r="CB1662" s="152"/>
    </row>
    <row r="1663" spans="1:80" s="87" customFormat="1" x14ac:dyDescent="0.2">
      <c r="A1663" s="152"/>
      <c r="B1663" s="683"/>
      <c r="C1663" s="683"/>
      <c r="D1663" s="698"/>
      <c r="E1663" s="215"/>
      <c r="F1663" s="215"/>
      <c r="G1663" s="153"/>
      <c r="H1663" s="96"/>
      <c r="I1663" s="222">
        <v>20</v>
      </c>
      <c r="J1663" s="222">
        <v>15</v>
      </c>
      <c r="K1663" s="164">
        <v>1</v>
      </c>
      <c r="L1663" s="658">
        <v>5</v>
      </c>
      <c r="M1663" s="659">
        <v>34837</v>
      </c>
      <c r="N1663" s="600">
        <v>126.27464828964921</v>
      </c>
      <c r="O1663" s="602">
        <v>1.6898100955185562</v>
      </c>
      <c r="P1663" s="93"/>
      <c r="Q1663" s="93"/>
      <c r="R1663" s="93">
        <v>0.9</v>
      </c>
      <c r="S1663" s="93">
        <v>2.9</v>
      </c>
      <c r="T1663" s="93">
        <v>1.4</v>
      </c>
      <c r="U1663" s="93">
        <v>3.7</v>
      </c>
      <c r="V1663" s="498">
        <v>25</v>
      </c>
      <c r="W1663" s="498">
        <v>44.3</v>
      </c>
      <c r="X1663" s="498">
        <v>20.8</v>
      </c>
      <c r="Y1663" s="498">
        <v>1</v>
      </c>
      <c r="Z1663" s="93">
        <v>18</v>
      </c>
      <c r="AA1663" s="154"/>
      <c r="AB1663" s="152"/>
      <c r="AC1663" s="152"/>
      <c r="AD1663" s="223"/>
      <c r="AE1663" s="223"/>
      <c r="AF1663" s="223"/>
      <c r="AG1663" s="223"/>
      <c r="AH1663" s="341"/>
      <c r="AI1663" s="218"/>
      <c r="AJ1663" s="218"/>
      <c r="AK1663" s="153"/>
      <c r="AL1663" s="152"/>
      <c r="AM1663" s="152"/>
      <c r="AN1663" s="152"/>
      <c r="AO1663" s="152"/>
      <c r="AP1663" s="152"/>
      <c r="AQ1663" s="152"/>
      <c r="AR1663" s="152"/>
      <c r="AS1663" s="152"/>
      <c r="AT1663" s="152"/>
      <c r="AU1663" s="153"/>
      <c r="AV1663" s="479"/>
      <c r="AW1663" s="479"/>
      <c r="AX1663" s="442"/>
      <c r="AY1663" s="153"/>
      <c r="AZ1663" s="152"/>
      <c r="BA1663" s="152"/>
      <c r="BB1663" s="152"/>
      <c r="BC1663" s="152"/>
      <c r="BD1663" s="152"/>
      <c r="BE1663" s="152"/>
      <c r="BF1663" s="152"/>
      <c r="BG1663" s="152"/>
      <c r="BH1663" s="152"/>
      <c r="BI1663" s="153"/>
      <c r="BJ1663" s="153"/>
      <c r="BK1663" s="153"/>
      <c r="BL1663" s="153"/>
      <c r="BM1663" s="153"/>
      <c r="BN1663" s="153"/>
      <c r="BO1663" s="153"/>
      <c r="BP1663" s="153"/>
      <c r="BQ1663" s="153"/>
      <c r="BR1663" s="153"/>
      <c r="BS1663" s="153"/>
      <c r="BT1663" s="153"/>
      <c r="BU1663" s="153"/>
      <c r="BV1663" s="153"/>
      <c r="BW1663" s="153"/>
      <c r="BX1663" s="153"/>
      <c r="BY1663" s="153"/>
      <c r="BZ1663" s="153"/>
      <c r="CA1663" s="152"/>
      <c r="CB1663" s="152"/>
    </row>
    <row r="1664" spans="1:80" s="87" customFormat="1" x14ac:dyDescent="0.2">
      <c r="A1664" s="152"/>
      <c r="B1664" s="683"/>
      <c r="C1664" s="683"/>
      <c r="D1664" s="698"/>
      <c r="E1664" s="215"/>
      <c r="F1664" s="215"/>
      <c r="G1664" s="153"/>
      <c r="H1664" s="96"/>
      <c r="I1664" s="222">
        <v>20</v>
      </c>
      <c r="J1664" s="222">
        <v>15</v>
      </c>
      <c r="K1664" s="164">
        <v>1</v>
      </c>
      <c r="L1664" s="658">
        <v>5</v>
      </c>
      <c r="M1664" s="659">
        <v>34841</v>
      </c>
      <c r="N1664" s="600">
        <v>143.82852316399507</v>
      </c>
      <c r="O1664" s="602">
        <v>1.6688186657605617</v>
      </c>
      <c r="P1664" s="93"/>
      <c r="Q1664" s="93"/>
      <c r="R1664" s="93">
        <v>3.3</v>
      </c>
      <c r="S1664" s="93">
        <v>0.3</v>
      </c>
      <c r="T1664" s="93">
        <v>0.8</v>
      </c>
      <c r="U1664" s="93">
        <v>2.9</v>
      </c>
      <c r="V1664" s="498">
        <v>22.7</v>
      </c>
      <c r="W1664" s="498">
        <v>42</v>
      </c>
      <c r="X1664" s="498">
        <v>27.2</v>
      </c>
      <c r="Y1664" s="498">
        <v>0.8</v>
      </c>
      <c r="Z1664" s="93">
        <v>24</v>
      </c>
      <c r="AA1664" s="154"/>
      <c r="AB1664" s="152"/>
      <c r="AC1664" s="152"/>
      <c r="AD1664" s="223">
        <v>57.912000000000006</v>
      </c>
      <c r="AE1664" s="223">
        <v>1.3282863157894738</v>
      </c>
      <c r="AF1664" s="223">
        <v>76.916209914740975</v>
      </c>
      <c r="AG1664" s="223">
        <v>1.9110959999999999</v>
      </c>
      <c r="AH1664" s="341"/>
      <c r="AI1664" s="218"/>
      <c r="AJ1664" s="218"/>
      <c r="AK1664" s="153"/>
      <c r="AL1664" s="152"/>
      <c r="AM1664" s="152"/>
      <c r="AN1664" s="152"/>
      <c r="AO1664" s="152"/>
      <c r="AP1664" s="152"/>
      <c r="AQ1664" s="152"/>
      <c r="AR1664" s="152"/>
      <c r="AS1664" s="152"/>
      <c r="AT1664" s="152"/>
      <c r="AU1664" s="153"/>
      <c r="AV1664" s="479"/>
      <c r="AW1664" s="479"/>
      <c r="AX1664" s="442"/>
      <c r="AY1664" s="153"/>
      <c r="AZ1664" s="152"/>
      <c r="BA1664" s="152"/>
      <c r="BB1664" s="152"/>
      <c r="BC1664" s="152"/>
      <c r="BD1664" s="152"/>
      <c r="BE1664" s="152"/>
      <c r="BF1664" s="152"/>
      <c r="BG1664" s="152"/>
      <c r="BH1664" s="152"/>
      <c r="BI1664" s="153"/>
      <c r="BJ1664" s="153"/>
      <c r="BK1664" s="153"/>
      <c r="BL1664" s="153"/>
      <c r="BM1664" s="153"/>
      <c r="BN1664" s="153"/>
      <c r="BO1664" s="153"/>
      <c r="BP1664" s="153"/>
      <c r="BQ1664" s="153"/>
      <c r="BR1664" s="153"/>
      <c r="BS1664" s="153"/>
      <c r="BT1664" s="153"/>
      <c r="BU1664" s="153"/>
      <c r="BV1664" s="153"/>
      <c r="BW1664" s="153"/>
      <c r="BX1664" s="153"/>
      <c r="BY1664" s="153"/>
      <c r="BZ1664" s="153"/>
      <c r="CA1664" s="152"/>
      <c r="CB1664" s="152"/>
    </row>
    <row r="1665" spans="1:80" s="87" customFormat="1" x14ac:dyDescent="0.2">
      <c r="A1665" s="152"/>
      <c r="B1665" s="683"/>
      <c r="C1665" s="683"/>
      <c r="D1665" s="698"/>
      <c r="E1665" s="215"/>
      <c r="F1665" s="215"/>
      <c r="G1665" s="153"/>
      <c r="H1665" s="96"/>
      <c r="I1665" s="222">
        <v>20</v>
      </c>
      <c r="J1665" s="222">
        <v>15</v>
      </c>
      <c r="K1665" s="164">
        <v>1</v>
      </c>
      <c r="L1665" s="658">
        <v>5</v>
      </c>
      <c r="M1665" s="659">
        <v>34841</v>
      </c>
      <c r="N1665" s="600">
        <v>143.82852316399507</v>
      </c>
      <c r="O1665" s="602">
        <v>2.1936044097104239</v>
      </c>
      <c r="P1665" s="93"/>
      <c r="Q1665" s="93"/>
      <c r="R1665" s="93">
        <v>7.3</v>
      </c>
      <c r="S1665" s="93">
        <v>0.5</v>
      </c>
      <c r="T1665" s="93">
        <v>0.6</v>
      </c>
      <c r="U1665" s="93">
        <v>2.7</v>
      </c>
      <c r="V1665" s="498">
        <v>26.8</v>
      </c>
      <c r="W1665" s="498">
        <v>43.5</v>
      </c>
      <c r="X1665" s="498">
        <v>17.899999999999999</v>
      </c>
      <c r="Y1665" s="498">
        <v>0.7</v>
      </c>
      <c r="Z1665" s="93">
        <v>31</v>
      </c>
      <c r="AA1665" s="154"/>
      <c r="AB1665" s="152"/>
      <c r="AC1665" s="152"/>
      <c r="AD1665" s="223">
        <v>57.912000000000006</v>
      </c>
      <c r="AE1665" s="223">
        <v>1.3282863157894738</v>
      </c>
      <c r="AF1665" s="223">
        <v>76.916209914740975</v>
      </c>
      <c r="AG1665" s="223">
        <v>1.9110959999999999</v>
      </c>
      <c r="AH1665" s="341"/>
      <c r="AI1665" s="218"/>
      <c r="AJ1665" s="218"/>
      <c r="AK1665" s="153"/>
      <c r="AL1665" s="152"/>
      <c r="AM1665" s="152"/>
      <c r="AN1665" s="152"/>
      <c r="AO1665" s="152"/>
      <c r="AP1665" s="152"/>
      <c r="AQ1665" s="152"/>
      <c r="AR1665" s="152"/>
      <c r="AS1665" s="152"/>
      <c r="AT1665" s="152"/>
      <c r="AU1665" s="153"/>
      <c r="AV1665" s="479"/>
      <c r="AW1665" s="479"/>
      <c r="AX1665" s="442"/>
      <c r="AY1665" s="153"/>
      <c r="AZ1665" s="152"/>
      <c r="BA1665" s="152"/>
      <c r="BB1665" s="152"/>
      <c r="BC1665" s="152"/>
      <c r="BD1665" s="152"/>
      <c r="BE1665" s="152"/>
      <c r="BF1665" s="152"/>
      <c r="BG1665" s="152"/>
      <c r="BH1665" s="152"/>
      <c r="BI1665" s="153"/>
      <c r="BJ1665" s="153"/>
      <c r="BK1665" s="153"/>
      <c r="BL1665" s="153"/>
      <c r="BM1665" s="153"/>
      <c r="BN1665" s="153"/>
      <c r="BO1665" s="153"/>
      <c r="BP1665" s="153"/>
      <c r="BQ1665" s="153"/>
      <c r="BR1665" s="153"/>
      <c r="BS1665" s="153"/>
      <c r="BT1665" s="153"/>
      <c r="BU1665" s="153"/>
      <c r="BV1665" s="153"/>
      <c r="BW1665" s="153"/>
      <c r="BX1665" s="153"/>
      <c r="BY1665" s="153"/>
      <c r="BZ1665" s="153"/>
      <c r="CA1665" s="152"/>
      <c r="CB1665" s="152"/>
    </row>
    <row r="1666" spans="1:80" s="87" customFormat="1" x14ac:dyDescent="0.2">
      <c r="A1666" s="152"/>
      <c r="B1666" s="683"/>
      <c r="C1666" s="683"/>
      <c r="D1666" s="698"/>
      <c r="E1666" s="215"/>
      <c r="F1666" s="215"/>
      <c r="G1666" s="153"/>
      <c r="H1666" s="96"/>
      <c r="I1666" s="222">
        <v>20</v>
      </c>
      <c r="J1666" s="222">
        <v>15</v>
      </c>
      <c r="K1666" s="164">
        <v>1</v>
      </c>
      <c r="L1666" s="658">
        <v>5</v>
      </c>
      <c r="M1666" s="659">
        <v>34844</v>
      </c>
      <c r="N1666" s="600">
        <v>123.72650516272803</v>
      </c>
      <c r="O1666" s="602">
        <v>1.3749386491486388</v>
      </c>
      <c r="P1666" s="154"/>
      <c r="Q1666" s="154"/>
      <c r="R1666" s="93"/>
      <c r="S1666" s="93">
        <v>1.1000000000000001</v>
      </c>
      <c r="T1666" s="93">
        <v>1.6</v>
      </c>
      <c r="U1666" s="93">
        <v>4.5</v>
      </c>
      <c r="V1666" s="498">
        <v>26.5</v>
      </c>
      <c r="W1666" s="498">
        <v>43.2</v>
      </c>
      <c r="X1666" s="498">
        <v>22.6</v>
      </c>
      <c r="Y1666" s="498">
        <v>0.5</v>
      </c>
      <c r="Z1666" s="93">
        <v>12</v>
      </c>
      <c r="AA1666" s="154"/>
      <c r="AB1666" s="152"/>
      <c r="AC1666" s="152"/>
      <c r="AD1666" s="223"/>
      <c r="AE1666" s="223"/>
      <c r="AF1666" s="223"/>
      <c r="AG1666" s="223"/>
      <c r="AH1666" s="341"/>
      <c r="AI1666" s="218"/>
      <c r="AJ1666" s="218"/>
      <c r="AK1666" s="153"/>
      <c r="AL1666" s="152"/>
      <c r="AM1666" s="152"/>
      <c r="AN1666" s="152"/>
      <c r="AO1666" s="152"/>
      <c r="AP1666" s="152"/>
      <c r="AQ1666" s="152"/>
      <c r="AR1666" s="152"/>
      <c r="AS1666" s="152"/>
      <c r="AT1666" s="152"/>
      <c r="AU1666" s="153"/>
      <c r="AV1666" s="479"/>
      <c r="AW1666" s="479"/>
      <c r="AX1666" s="442"/>
      <c r="AY1666" s="153"/>
      <c r="AZ1666" s="152"/>
      <c r="BA1666" s="152"/>
      <c r="BB1666" s="152"/>
      <c r="BC1666" s="152"/>
      <c r="BD1666" s="152"/>
      <c r="BE1666" s="152"/>
      <c r="BF1666" s="152"/>
      <c r="BG1666" s="152"/>
      <c r="BH1666" s="152"/>
      <c r="BI1666" s="153"/>
      <c r="BJ1666" s="153"/>
      <c r="BK1666" s="153"/>
      <c r="BL1666" s="153"/>
      <c r="BM1666" s="153"/>
      <c r="BN1666" s="153"/>
      <c r="BO1666" s="153"/>
      <c r="BP1666" s="153"/>
      <c r="BQ1666" s="153"/>
      <c r="BR1666" s="153"/>
      <c r="BS1666" s="153"/>
      <c r="BT1666" s="153"/>
      <c r="BU1666" s="153"/>
      <c r="BV1666" s="153"/>
      <c r="BW1666" s="153"/>
      <c r="BX1666" s="153"/>
      <c r="BY1666" s="153"/>
      <c r="BZ1666" s="153"/>
      <c r="CA1666" s="152"/>
      <c r="CB1666" s="152"/>
    </row>
    <row r="1667" spans="1:80" s="87" customFormat="1" x14ac:dyDescent="0.2">
      <c r="A1667" s="152"/>
      <c r="B1667" s="683"/>
      <c r="C1667" s="683"/>
      <c r="D1667" s="698"/>
      <c r="E1667" s="215"/>
      <c r="F1667" s="215"/>
      <c r="G1667" s="153"/>
      <c r="H1667" s="96"/>
      <c r="I1667" s="222">
        <v>20</v>
      </c>
      <c r="J1667" s="222">
        <v>15</v>
      </c>
      <c r="K1667" s="164">
        <v>1</v>
      </c>
      <c r="L1667" s="658">
        <v>5</v>
      </c>
      <c r="M1667" s="659">
        <v>34844</v>
      </c>
      <c r="N1667" s="600">
        <v>123.72650516272803</v>
      </c>
      <c r="O1667" s="602">
        <v>2.4350058519273605</v>
      </c>
      <c r="P1667" s="154"/>
      <c r="Q1667" s="154"/>
      <c r="R1667" s="93">
        <v>2.2999999999999998</v>
      </c>
      <c r="S1667" s="93">
        <v>1.1000000000000001</v>
      </c>
      <c r="T1667" s="93">
        <v>1.2</v>
      </c>
      <c r="U1667" s="93">
        <v>9.6</v>
      </c>
      <c r="V1667" s="498">
        <v>40.5</v>
      </c>
      <c r="W1667" s="498">
        <v>32.5</v>
      </c>
      <c r="X1667" s="498">
        <v>12.4</v>
      </c>
      <c r="Y1667" s="498">
        <v>0.4</v>
      </c>
      <c r="Z1667" s="93">
        <v>27</v>
      </c>
      <c r="AA1667" s="154"/>
      <c r="AB1667" s="152"/>
      <c r="AC1667" s="152"/>
      <c r="AD1667" s="223"/>
      <c r="AE1667" s="223"/>
      <c r="AF1667" s="223"/>
      <c r="AG1667" s="223"/>
      <c r="AH1667" s="341"/>
      <c r="AI1667" s="218"/>
      <c r="AJ1667" s="218"/>
      <c r="AK1667" s="153"/>
      <c r="AL1667" s="152"/>
      <c r="AM1667" s="152"/>
      <c r="AN1667" s="152"/>
      <c r="AO1667" s="152"/>
      <c r="AP1667" s="152"/>
      <c r="AQ1667" s="152"/>
      <c r="AR1667" s="152"/>
      <c r="AS1667" s="152"/>
      <c r="AT1667" s="152"/>
      <c r="AU1667" s="153"/>
      <c r="AV1667" s="479"/>
      <c r="AW1667" s="479"/>
      <c r="AX1667" s="442"/>
      <c r="AY1667" s="153"/>
      <c r="AZ1667" s="152"/>
      <c r="BA1667" s="152"/>
      <c r="BB1667" s="152"/>
      <c r="BC1667" s="152"/>
      <c r="BD1667" s="152"/>
      <c r="BE1667" s="152"/>
      <c r="BF1667" s="152"/>
      <c r="BG1667" s="152"/>
      <c r="BH1667" s="152"/>
      <c r="BI1667" s="153"/>
      <c r="BJ1667" s="153"/>
      <c r="BK1667" s="153"/>
      <c r="BL1667" s="153"/>
      <c r="BM1667" s="153"/>
      <c r="BN1667" s="153"/>
      <c r="BO1667" s="153"/>
      <c r="BP1667" s="153"/>
      <c r="BQ1667" s="153"/>
      <c r="BR1667" s="153"/>
      <c r="BS1667" s="153"/>
      <c r="BT1667" s="153"/>
      <c r="BU1667" s="153"/>
      <c r="BV1667" s="153"/>
      <c r="BW1667" s="153"/>
      <c r="BX1667" s="153"/>
      <c r="BY1667" s="153"/>
      <c r="BZ1667" s="153"/>
      <c r="CA1667" s="152"/>
      <c r="CB1667" s="152"/>
    </row>
    <row r="1668" spans="1:80" s="87" customFormat="1" x14ac:dyDescent="0.2">
      <c r="A1668" s="152"/>
      <c r="B1668" s="683"/>
      <c r="C1668" s="683"/>
      <c r="D1668" s="698"/>
      <c r="E1668" s="215"/>
      <c r="F1668" s="215"/>
      <c r="G1668" s="153"/>
      <c r="H1668" s="96"/>
      <c r="I1668" s="222">
        <v>20</v>
      </c>
      <c r="J1668" s="222">
        <v>15</v>
      </c>
      <c r="K1668" s="164">
        <v>1</v>
      </c>
      <c r="L1668" s="658">
        <v>5</v>
      </c>
      <c r="M1668" s="659">
        <v>34849</v>
      </c>
      <c r="N1668" s="600">
        <v>137.5997288537433</v>
      </c>
      <c r="O1668" s="602">
        <v>2.0151772567674708</v>
      </c>
      <c r="P1668" s="154"/>
      <c r="Q1668" s="154"/>
      <c r="R1668" s="93"/>
      <c r="S1668" s="93">
        <v>2</v>
      </c>
      <c r="T1668" s="93">
        <v>1.3</v>
      </c>
      <c r="U1668" s="93">
        <v>4.5</v>
      </c>
      <c r="V1668" s="498">
        <v>23.3</v>
      </c>
      <c r="W1668" s="498">
        <v>40.799999999999997</v>
      </c>
      <c r="X1668" s="498">
        <v>27.4</v>
      </c>
      <c r="Y1668" s="498">
        <v>0.7</v>
      </c>
      <c r="Z1668" s="93">
        <v>14</v>
      </c>
      <c r="AA1668" s="154"/>
      <c r="AB1668" s="152"/>
      <c r="AC1668" s="152"/>
      <c r="AD1668" s="223"/>
      <c r="AE1668" s="223"/>
      <c r="AF1668" s="223"/>
      <c r="AG1668" s="223"/>
      <c r="AH1668" s="341"/>
      <c r="AI1668" s="218"/>
      <c r="AJ1668" s="218"/>
      <c r="AK1668" s="153"/>
      <c r="AL1668" s="152"/>
      <c r="AM1668" s="152"/>
      <c r="AN1668" s="152"/>
      <c r="AO1668" s="152"/>
      <c r="AP1668" s="152"/>
      <c r="AQ1668" s="152"/>
      <c r="AR1668" s="152"/>
      <c r="AS1668" s="152"/>
      <c r="AT1668" s="152"/>
      <c r="AU1668" s="153"/>
      <c r="AV1668" s="479"/>
      <c r="AW1668" s="479"/>
      <c r="AX1668" s="442"/>
      <c r="AY1668" s="153"/>
      <c r="AZ1668" s="152"/>
      <c r="BA1668" s="152"/>
      <c r="BB1668" s="152"/>
      <c r="BC1668" s="152"/>
      <c r="BD1668" s="152"/>
      <c r="BE1668" s="152"/>
      <c r="BF1668" s="152"/>
      <c r="BG1668" s="152"/>
      <c r="BH1668" s="152"/>
      <c r="BI1668" s="153"/>
      <c r="BJ1668" s="153"/>
      <c r="BK1668" s="153"/>
      <c r="BL1668" s="153"/>
      <c r="BM1668" s="153"/>
      <c r="BN1668" s="153"/>
      <c r="BO1668" s="153"/>
      <c r="BP1668" s="153"/>
      <c r="BQ1668" s="153"/>
      <c r="BR1668" s="153"/>
      <c r="BS1668" s="153"/>
      <c r="BT1668" s="153"/>
      <c r="BU1668" s="153"/>
      <c r="BV1668" s="153"/>
      <c r="BW1668" s="153"/>
      <c r="BX1668" s="153"/>
      <c r="BY1668" s="153"/>
      <c r="BZ1668" s="153"/>
      <c r="CA1668" s="152"/>
      <c r="CB1668" s="152"/>
    </row>
    <row r="1669" spans="1:80" s="87" customFormat="1" x14ac:dyDescent="0.2">
      <c r="A1669" s="152"/>
      <c r="B1669" s="683"/>
      <c r="C1669" s="683"/>
      <c r="D1669" s="698"/>
      <c r="E1669" s="215"/>
      <c r="F1669" s="215"/>
      <c r="G1669" s="153"/>
      <c r="H1669" s="96"/>
      <c r="I1669" s="222">
        <v>20</v>
      </c>
      <c r="J1669" s="222">
        <v>15</v>
      </c>
      <c r="K1669" s="164">
        <v>1</v>
      </c>
      <c r="L1669" s="658">
        <v>5</v>
      </c>
      <c r="M1669" s="659">
        <v>34849</v>
      </c>
      <c r="N1669" s="600">
        <v>137.5997288537433</v>
      </c>
      <c r="O1669" s="602">
        <v>1.8052629591875262</v>
      </c>
      <c r="P1669" s="154"/>
      <c r="Q1669" s="154"/>
      <c r="R1669" s="93"/>
      <c r="S1669" s="93">
        <v>2.2000000000000002</v>
      </c>
      <c r="T1669" s="93">
        <v>2.1</v>
      </c>
      <c r="U1669" s="93">
        <v>8.3000000000000007</v>
      </c>
      <c r="V1669" s="498">
        <v>31.1</v>
      </c>
      <c r="W1669" s="498">
        <v>35.9</v>
      </c>
      <c r="X1669" s="498">
        <v>18.600000000000001</v>
      </c>
      <c r="Y1669" s="498">
        <v>1.8</v>
      </c>
      <c r="Z1669" s="93">
        <v>15</v>
      </c>
      <c r="AA1669" s="154"/>
      <c r="AB1669" s="152"/>
      <c r="AC1669" s="152"/>
      <c r="AD1669" s="223"/>
      <c r="AE1669" s="223"/>
      <c r="AF1669" s="223"/>
      <c r="AG1669" s="223"/>
      <c r="AH1669" s="341"/>
      <c r="AI1669" s="218"/>
      <c r="AJ1669" s="218"/>
      <c r="AK1669" s="153"/>
      <c r="AL1669" s="152"/>
      <c r="AM1669" s="152"/>
      <c r="AN1669" s="152"/>
      <c r="AO1669" s="152"/>
      <c r="AP1669" s="152"/>
      <c r="AQ1669" s="152"/>
      <c r="AR1669" s="152"/>
      <c r="AS1669" s="152"/>
      <c r="AT1669" s="152"/>
      <c r="AU1669" s="153"/>
      <c r="AV1669" s="479"/>
      <c r="AW1669" s="479"/>
      <c r="AX1669" s="442"/>
      <c r="AY1669" s="153"/>
      <c r="AZ1669" s="152"/>
      <c r="BA1669" s="152"/>
      <c r="BB1669" s="152"/>
      <c r="BC1669" s="152"/>
      <c r="BD1669" s="152"/>
      <c r="BE1669" s="152"/>
      <c r="BF1669" s="152"/>
      <c r="BG1669" s="152"/>
      <c r="BH1669" s="152"/>
      <c r="BI1669" s="153"/>
      <c r="BJ1669" s="153"/>
      <c r="BK1669" s="153"/>
      <c r="BL1669" s="153"/>
      <c r="BM1669" s="153"/>
      <c r="BN1669" s="153"/>
      <c r="BO1669" s="153"/>
      <c r="BP1669" s="153"/>
      <c r="BQ1669" s="153"/>
      <c r="BR1669" s="153"/>
      <c r="BS1669" s="153"/>
      <c r="BT1669" s="153"/>
      <c r="BU1669" s="153"/>
      <c r="BV1669" s="153"/>
      <c r="BW1669" s="153"/>
      <c r="BX1669" s="153"/>
      <c r="BY1669" s="153"/>
      <c r="BZ1669" s="153"/>
      <c r="CA1669" s="152"/>
      <c r="CB1669" s="152"/>
    </row>
    <row r="1670" spans="1:80" s="87" customFormat="1" x14ac:dyDescent="0.2">
      <c r="A1670" s="152"/>
      <c r="B1670" s="683"/>
      <c r="C1670" s="683"/>
      <c r="D1670" s="698"/>
      <c r="E1670" s="215"/>
      <c r="F1670" s="215"/>
      <c r="G1670" s="153"/>
      <c r="H1670" s="96"/>
      <c r="I1670" s="222">
        <v>20</v>
      </c>
      <c r="J1670" s="222">
        <v>15</v>
      </c>
      <c r="K1670" s="164">
        <v>1</v>
      </c>
      <c r="L1670" s="658">
        <v>5</v>
      </c>
      <c r="M1670" s="659">
        <v>34852</v>
      </c>
      <c r="N1670" s="600">
        <v>161.66552505244326</v>
      </c>
      <c r="O1670" s="602">
        <v>3.3691244761581158</v>
      </c>
      <c r="P1670" s="154"/>
      <c r="Q1670" s="154"/>
      <c r="R1670" s="93">
        <v>2.8</v>
      </c>
      <c r="S1670" s="93">
        <v>0.7</v>
      </c>
      <c r="T1670" s="93">
        <v>0.9</v>
      </c>
      <c r="U1670" s="93">
        <v>4.0999999999999996</v>
      </c>
      <c r="V1670" s="498">
        <v>23.2</v>
      </c>
      <c r="W1670" s="498">
        <v>46.9</v>
      </c>
      <c r="X1670" s="498">
        <v>20.5</v>
      </c>
      <c r="Y1670" s="498">
        <v>0.9</v>
      </c>
      <c r="Z1670" s="93">
        <v>18</v>
      </c>
      <c r="AA1670" s="154"/>
      <c r="AB1670" s="152"/>
      <c r="AC1670" s="152"/>
      <c r="AD1670" s="223"/>
      <c r="AE1670" s="223"/>
      <c r="AF1670" s="223"/>
      <c r="AG1670" s="223"/>
      <c r="AH1670" s="341"/>
      <c r="AI1670" s="218"/>
      <c r="AJ1670" s="218"/>
      <c r="AK1670" s="153"/>
      <c r="AL1670" s="152"/>
      <c r="AM1670" s="152"/>
      <c r="AN1670" s="152"/>
      <c r="AO1670" s="152"/>
      <c r="AP1670" s="152"/>
      <c r="AQ1670" s="152"/>
      <c r="AR1670" s="152"/>
      <c r="AS1670" s="152"/>
      <c r="AT1670" s="152"/>
      <c r="AU1670" s="153"/>
      <c r="AV1670" s="479"/>
      <c r="AW1670" s="479"/>
      <c r="AX1670" s="442"/>
      <c r="AY1670" s="153"/>
      <c r="AZ1670" s="152"/>
      <c r="BA1670" s="152"/>
      <c r="BB1670" s="152"/>
      <c r="BC1670" s="152"/>
      <c r="BD1670" s="152"/>
      <c r="BE1670" s="152"/>
      <c r="BF1670" s="152"/>
      <c r="BG1670" s="152"/>
      <c r="BH1670" s="152"/>
      <c r="BI1670" s="153"/>
      <c r="BJ1670" s="153"/>
      <c r="BK1670" s="153"/>
      <c r="BL1670" s="153"/>
      <c r="BM1670" s="153"/>
      <c r="BN1670" s="153"/>
      <c r="BO1670" s="153"/>
      <c r="BP1670" s="153"/>
      <c r="BQ1670" s="153"/>
      <c r="BR1670" s="153"/>
      <c r="BS1670" s="153"/>
      <c r="BT1670" s="153"/>
      <c r="BU1670" s="153"/>
      <c r="BV1670" s="153"/>
      <c r="BW1670" s="153"/>
      <c r="BX1670" s="153"/>
      <c r="BY1670" s="153"/>
      <c r="BZ1670" s="153"/>
      <c r="CA1670" s="152"/>
      <c r="CB1670" s="152"/>
    </row>
    <row r="1671" spans="1:80" s="87" customFormat="1" x14ac:dyDescent="0.2">
      <c r="A1671" s="152"/>
      <c r="B1671" s="683"/>
      <c r="C1671" s="683"/>
      <c r="D1671" s="698"/>
      <c r="E1671" s="215"/>
      <c r="F1671" s="215"/>
      <c r="G1671" s="153"/>
      <c r="H1671" s="96"/>
      <c r="I1671" s="222">
        <v>20</v>
      </c>
      <c r="J1671" s="222">
        <v>15</v>
      </c>
      <c r="K1671" s="164">
        <v>1</v>
      </c>
      <c r="L1671" s="658">
        <v>5</v>
      </c>
      <c r="M1671" s="659">
        <v>34852</v>
      </c>
      <c r="N1671" s="600">
        <v>161.66552505244326</v>
      </c>
      <c r="O1671" s="602">
        <v>4.3872088194208478</v>
      </c>
      <c r="P1671" s="154"/>
      <c r="Q1671" s="154"/>
      <c r="R1671" s="93"/>
      <c r="S1671" s="93">
        <v>1.3</v>
      </c>
      <c r="T1671" s="93">
        <v>1.1000000000000001</v>
      </c>
      <c r="U1671" s="93">
        <v>5.2</v>
      </c>
      <c r="V1671" s="498">
        <v>29.9</v>
      </c>
      <c r="W1671" s="498">
        <v>44.9</v>
      </c>
      <c r="X1671" s="498">
        <v>17</v>
      </c>
      <c r="Y1671" s="498">
        <v>0.6</v>
      </c>
      <c r="Z1671" s="93">
        <v>27</v>
      </c>
      <c r="AA1671" s="154"/>
      <c r="AB1671" s="152"/>
      <c r="AC1671" s="152"/>
      <c r="AD1671" s="223"/>
      <c r="AE1671" s="223"/>
      <c r="AF1671" s="223"/>
      <c r="AG1671" s="223"/>
      <c r="AH1671" s="341"/>
      <c r="AI1671" s="218"/>
      <c r="AJ1671" s="218"/>
      <c r="AK1671" s="153"/>
      <c r="AL1671" s="152"/>
      <c r="AM1671" s="152"/>
      <c r="AN1671" s="152"/>
      <c r="AO1671" s="152"/>
      <c r="AP1671" s="152"/>
      <c r="AQ1671" s="152"/>
      <c r="AR1671" s="152"/>
      <c r="AS1671" s="152"/>
      <c r="AT1671" s="152"/>
      <c r="AU1671" s="153"/>
      <c r="AV1671" s="479"/>
      <c r="AW1671" s="479"/>
      <c r="AX1671" s="442"/>
      <c r="AY1671" s="153"/>
      <c r="AZ1671" s="152"/>
      <c r="BA1671" s="152"/>
      <c r="BB1671" s="152"/>
      <c r="BC1671" s="152"/>
      <c r="BD1671" s="152"/>
      <c r="BE1671" s="152"/>
      <c r="BF1671" s="152"/>
      <c r="BG1671" s="152"/>
      <c r="BH1671" s="152"/>
      <c r="BI1671" s="153"/>
      <c r="BJ1671" s="153"/>
      <c r="BK1671" s="153"/>
      <c r="BL1671" s="153"/>
      <c r="BM1671" s="153"/>
      <c r="BN1671" s="153"/>
      <c r="BO1671" s="153"/>
      <c r="BP1671" s="153"/>
      <c r="BQ1671" s="153"/>
      <c r="BR1671" s="153"/>
      <c r="BS1671" s="153"/>
      <c r="BT1671" s="153"/>
      <c r="BU1671" s="153"/>
      <c r="BV1671" s="153"/>
      <c r="BW1671" s="153"/>
      <c r="BX1671" s="153"/>
      <c r="BY1671" s="153"/>
      <c r="BZ1671" s="153"/>
      <c r="CA1671" s="152"/>
      <c r="CB1671" s="152"/>
    </row>
    <row r="1672" spans="1:80" s="87" customFormat="1" x14ac:dyDescent="0.2">
      <c r="A1672" s="152"/>
      <c r="B1672" s="683"/>
      <c r="C1672" s="683"/>
      <c r="D1672" s="698"/>
      <c r="E1672" s="215"/>
      <c r="F1672" s="215"/>
      <c r="G1672" s="153"/>
      <c r="H1672" s="96"/>
      <c r="I1672" s="222">
        <v>20</v>
      </c>
      <c r="J1672" s="222">
        <v>15</v>
      </c>
      <c r="K1672" s="164">
        <v>1</v>
      </c>
      <c r="L1672" s="658">
        <v>5</v>
      </c>
      <c r="M1672" s="659">
        <v>34854</v>
      </c>
      <c r="N1672" s="600">
        <v>176.10500277166324</v>
      </c>
      <c r="O1672" s="602">
        <v>1.3014686449956581</v>
      </c>
      <c r="P1672" s="154"/>
      <c r="Q1672" s="154"/>
      <c r="R1672" s="93"/>
      <c r="S1672" s="93"/>
      <c r="T1672" s="93">
        <v>0.8</v>
      </c>
      <c r="U1672" s="93">
        <v>4.9000000000000004</v>
      </c>
      <c r="V1672" s="498">
        <v>23.8</v>
      </c>
      <c r="W1672" s="498">
        <v>39.799999999999997</v>
      </c>
      <c r="X1672" s="498">
        <v>26.8</v>
      </c>
      <c r="Y1672" s="498">
        <v>3.9</v>
      </c>
      <c r="Z1672" s="93">
        <v>7</v>
      </c>
      <c r="AA1672" s="154"/>
      <c r="AB1672" s="152"/>
      <c r="AC1672" s="152"/>
      <c r="AD1672" s="223">
        <v>58.8264</v>
      </c>
      <c r="AE1672" s="223">
        <v>1.4813595854922281</v>
      </c>
      <c r="AF1672" s="223">
        <v>87.134546980708976</v>
      </c>
      <c r="AG1672" s="223">
        <v>1.984248</v>
      </c>
      <c r="AH1672" s="341"/>
      <c r="AI1672" s="218"/>
      <c r="AJ1672" s="218"/>
      <c r="AK1672" s="153"/>
      <c r="AL1672" s="152"/>
      <c r="AM1672" s="152"/>
      <c r="AN1672" s="152"/>
      <c r="AO1672" s="152"/>
      <c r="AP1672" s="152"/>
      <c r="AQ1672" s="152"/>
      <c r="AR1672" s="152"/>
      <c r="AS1672" s="152"/>
      <c r="AT1672" s="152"/>
      <c r="AU1672" s="153"/>
      <c r="AV1672" s="479"/>
      <c r="AW1672" s="479"/>
      <c r="AX1672" s="442"/>
      <c r="AY1672" s="153"/>
      <c r="AZ1672" s="152"/>
      <c r="BA1672" s="152"/>
      <c r="BB1672" s="152"/>
      <c r="BC1672" s="152"/>
      <c r="BD1672" s="152"/>
      <c r="BE1672" s="152"/>
      <c r="BF1672" s="152"/>
      <c r="BG1672" s="152"/>
      <c r="BH1672" s="152"/>
      <c r="BI1672" s="153"/>
      <c r="BJ1672" s="153"/>
      <c r="BK1672" s="153"/>
      <c r="BL1672" s="153"/>
      <c r="BM1672" s="153"/>
      <c r="BN1672" s="153"/>
      <c r="BO1672" s="153"/>
      <c r="BP1672" s="153"/>
      <c r="BQ1672" s="153"/>
      <c r="BR1672" s="153"/>
      <c r="BS1672" s="153"/>
      <c r="BT1672" s="153"/>
      <c r="BU1672" s="153"/>
      <c r="BV1672" s="153"/>
      <c r="BW1672" s="153"/>
      <c r="BX1672" s="153"/>
      <c r="BY1672" s="153"/>
      <c r="BZ1672" s="153"/>
      <c r="CA1672" s="152"/>
      <c r="CB1672" s="152"/>
    </row>
    <row r="1673" spans="1:80" s="87" customFormat="1" x14ac:dyDescent="0.2">
      <c r="A1673" s="152"/>
      <c r="B1673" s="683"/>
      <c r="C1673" s="683"/>
      <c r="D1673" s="698"/>
      <c r="E1673" s="215"/>
      <c r="F1673" s="215"/>
      <c r="G1673" s="153"/>
      <c r="H1673" s="96"/>
      <c r="I1673" s="222">
        <v>20</v>
      </c>
      <c r="J1673" s="222">
        <v>15</v>
      </c>
      <c r="K1673" s="164">
        <v>1</v>
      </c>
      <c r="L1673" s="658">
        <v>5</v>
      </c>
      <c r="M1673" s="659">
        <v>34854</v>
      </c>
      <c r="N1673" s="600">
        <v>176.10500277166324</v>
      </c>
      <c r="O1673" s="602">
        <v>2.6029372899913161</v>
      </c>
      <c r="P1673" s="154"/>
      <c r="Q1673" s="154"/>
      <c r="R1673" s="93">
        <v>1.5</v>
      </c>
      <c r="S1673" s="93">
        <v>0</v>
      </c>
      <c r="T1673" s="93">
        <v>0.9</v>
      </c>
      <c r="U1673" s="93">
        <v>2.6</v>
      </c>
      <c r="V1673" s="498">
        <v>19.3</v>
      </c>
      <c r="W1673" s="498">
        <v>45.5</v>
      </c>
      <c r="X1673" s="498">
        <v>29.4</v>
      </c>
      <c r="Y1673" s="498">
        <v>0.8</v>
      </c>
      <c r="Z1673" s="93">
        <v>22</v>
      </c>
      <c r="AA1673" s="154"/>
      <c r="AB1673" s="152"/>
      <c r="AC1673" s="152"/>
      <c r="AD1673" s="223">
        <v>58.8264</v>
      </c>
      <c r="AE1673" s="223">
        <v>1.4813595854922281</v>
      </c>
      <c r="AF1673" s="223">
        <v>87.134546980708976</v>
      </c>
      <c r="AG1673" s="223">
        <v>1.984248</v>
      </c>
      <c r="AH1673" s="341"/>
      <c r="AI1673" s="218"/>
      <c r="AJ1673" s="218"/>
      <c r="AK1673" s="153"/>
      <c r="AL1673" s="152"/>
      <c r="AM1673" s="152"/>
      <c r="AN1673" s="152"/>
      <c r="AO1673" s="152"/>
      <c r="AP1673" s="152"/>
      <c r="AQ1673" s="152"/>
      <c r="AR1673" s="152"/>
      <c r="AS1673" s="152"/>
      <c r="AT1673" s="152"/>
      <c r="AU1673" s="153"/>
      <c r="AV1673" s="479"/>
      <c r="AW1673" s="479"/>
      <c r="AX1673" s="442"/>
      <c r="AY1673" s="153"/>
      <c r="AZ1673" s="152"/>
      <c r="BA1673" s="152"/>
      <c r="BB1673" s="152"/>
      <c r="BC1673" s="152"/>
      <c r="BD1673" s="152"/>
      <c r="BE1673" s="152"/>
      <c r="BF1673" s="152"/>
      <c r="BG1673" s="152"/>
      <c r="BH1673" s="152"/>
      <c r="BI1673" s="153"/>
      <c r="BJ1673" s="153"/>
      <c r="BK1673" s="153"/>
      <c r="BL1673" s="153"/>
      <c r="BM1673" s="153"/>
      <c r="BN1673" s="153"/>
      <c r="BO1673" s="153"/>
      <c r="BP1673" s="153"/>
      <c r="BQ1673" s="153"/>
      <c r="BR1673" s="153"/>
      <c r="BS1673" s="153"/>
      <c r="BT1673" s="153"/>
      <c r="BU1673" s="153"/>
      <c r="BV1673" s="153"/>
      <c r="BW1673" s="153"/>
      <c r="BX1673" s="153"/>
      <c r="BY1673" s="153"/>
      <c r="BZ1673" s="153"/>
      <c r="CA1673" s="152"/>
      <c r="CB1673" s="152"/>
    </row>
    <row r="1674" spans="1:80" s="87" customFormat="1" x14ac:dyDescent="0.2">
      <c r="A1674" s="152"/>
      <c r="B1674" s="683"/>
      <c r="C1674" s="683"/>
      <c r="D1674" s="698"/>
      <c r="E1674" s="215"/>
      <c r="F1674" s="215"/>
      <c r="G1674" s="153"/>
      <c r="H1674" s="96"/>
      <c r="I1674" s="222">
        <v>20</v>
      </c>
      <c r="J1674" s="222">
        <v>15</v>
      </c>
      <c r="K1674" s="164">
        <v>1</v>
      </c>
      <c r="L1674" s="658">
        <v>5</v>
      </c>
      <c r="M1674" s="659">
        <v>34855</v>
      </c>
      <c r="N1674" s="600">
        <v>180.06878096909617</v>
      </c>
      <c r="O1674" s="602">
        <v>3.2851587571261374</v>
      </c>
      <c r="P1674" s="154"/>
      <c r="Q1674" s="154"/>
      <c r="R1674" s="93">
        <v>0.6</v>
      </c>
      <c r="S1674" s="93">
        <v>0</v>
      </c>
      <c r="T1674" s="93">
        <v>0.6</v>
      </c>
      <c r="U1674" s="93">
        <v>2</v>
      </c>
      <c r="V1674" s="498">
        <v>16.8</v>
      </c>
      <c r="W1674" s="498">
        <v>50.2</v>
      </c>
      <c r="X1674" s="498">
        <v>27.9</v>
      </c>
      <c r="Y1674" s="498">
        <v>1.9</v>
      </c>
      <c r="Z1674" s="93">
        <v>11</v>
      </c>
      <c r="AA1674" s="154"/>
      <c r="AB1674" s="152"/>
      <c r="AC1674" s="152"/>
      <c r="AD1674" s="223"/>
      <c r="AE1674" s="223"/>
      <c r="AF1674" s="223"/>
      <c r="AG1674" s="223"/>
      <c r="AH1674" s="341"/>
      <c r="AI1674" s="218"/>
      <c r="AJ1674" s="218"/>
      <c r="AK1674" s="153"/>
      <c r="AL1674" s="152"/>
      <c r="AM1674" s="152"/>
      <c r="AN1674" s="152"/>
      <c r="AO1674" s="152"/>
      <c r="AP1674" s="152"/>
      <c r="AQ1674" s="152"/>
      <c r="AR1674" s="152"/>
      <c r="AS1674" s="152"/>
      <c r="AT1674" s="152"/>
      <c r="AU1674" s="153"/>
      <c r="AV1674" s="479"/>
      <c r="AW1674" s="479"/>
      <c r="AX1674" s="442"/>
      <c r="AY1674" s="153"/>
      <c r="AZ1674" s="152"/>
      <c r="BA1674" s="152"/>
      <c r="BB1674" s="152"/>
      <c r="BC1674" s="152"/>
      <c r="BD1674" s="152"/>
      <c r="BE1674" s="152"/>
      <c r="BF1674" s="152"/>
      <c r="BG1674" s="152"/>
      <c r="BH1674" s="152"/>
      <c r="BI1674" s="153"/>
      <c r="BJ1674" s="153"/>
      <c r="BK1674" s="153"/>
      <c r="BL1674" s="153"/>
      <c r="BM1674" s="153"/>
      <c r="BN1674" s="153"/>
      <c r="BO1674" s="153"/>
      <c r="BP1674" s="153"/>
      <c r="BQ1674" s="153"/>
      <c r="BR1674" s="153"/>
      <c r="BS1674" s="153"/>
      <c r="BT1674" s="153"/>
      <c r="BU1674" s="153"/>
      <c r="BV1674" s="153"/>
      <c r="BW1674" s="153"/>
      <c r="BX1674" s="153"/>
      <c r="BY1674" s="153"/>
      <c r="BZ1674" s="153"/>
      <c r="CA1674" s="152"/>
      <c r="CB1674" s="152"/>
    </row>
    <row r="1675" spans="1:80" s="87" customFormat="1" x14ac:dyDescent="0.2">
      <c r="A1675" s="152"/>
      <c r="B1675" s="683"/>
      <c r="C1675" s="683"/>
      <c r="D1675" s="698"/>
      <c r="E1675" s="215"/>
      <c r="F1675" s="215"/>
      <c r="G1675" s="153"/>
      <c r="H1675" s="96"/>
      <c r="I1675" s="222">
        <v>20</v>
      </c>
      <c r="J1675" s="222">
        <v>15</v>
      </c>
      <c r="K1675" s="164">
        <v>1</v>
      </c>
      <c r="L1675" s="658">
        <v>5</v>
      </c>
      <c r="M1675" s="659">
        <v>34855</v>
      </c>
      <c r="N1675" s="600">
        <v>180.06878096909617</v>
      </c>
      <c r="O1675" s="602">
        <v>3.0857401744251902</v>
      </c>
      <c r="P1675" s="154"/>
      <c r="Q1675" s="154"/>
      <c r="R1675" s="93"/>
      <c r="S1675" s="93">
        <v>0.2</v>
      </c>
      <c r="T1675" s="93">
        <v>0.8</v>
      </c>
      <c r="U1675" s="93">
        <v>3.7</v>
      </c>
      <c r="V1675" s="498">
        <v>21.1</v>
      </c>
      <c r="W1675" s="498">
        <v>46</v>
      </c>
      <c r="X1675" s="498">
        <v>26.7</v>
      </c>
      <c r="Y1675" s="498">
        <v>1.5</v>
      </c>
      <c r="Z1675" s="93">
        <v>17</v>
      </c>
      <c r="AA1675" s="154"/>
      <c r="AB1675" s="152"/>
      <c r="AC1675" s="152"/>
      <c r="AD1675" s="223"/>
      <c r="AE1675" s="223"/>
      <c r="AF1675" s="223"/>
      <c r="AG1675" s="223"/>
      <c r="AH1675" s="341"/>
      <c r="AI1675" s="218"/>
      <c r="AJ1675" s="218"/>
      <c r="AK1675" s="153"/>
      <c r="AL1675" s="152"/>
      <c r="AM1675" s="152"/>
      <c r="AN1675" s="152"/>
      <c r="AO1675" s="152"/>
      <c r="AP1675" s="152"/>
      <c r="AQ1675" s="152"/>
      <c r="AR1675" s="152"/>
      <c r="AS1675" s="152"/>
      <c r="AT1675" s="152"/>
      <c r="AU1675" s="153"/>
      <c r="AV1675" s="479"/>
      <c r="AW1675" s="479"/>
      <c r="AX1675" s="442"/>
      <c r="AY1675" s="153"/>
      <c r="AZ1675" s="152"/>
      <c r="BA1675" s="152"/>
      <c r="BB1675" s="152"/>
      <c r="BC1675" s="152"/>
      <c r="BD1675" s="152"/>
      <c r="BE1675" s="152"/>
      <c r="BF1675" s="152"/>
      <c r="BG1675" s="152"/>
      <c r="BH1675" s="152"/>
      <c r="BI1675" s="153"/>
      <c r="BJ1675" s="153"/>
      <c r="BK1675" s="153"/>
      <c r="BL1675" s="153"/>
      <c r="BM1675" s="153"/>
      <c r="BN1675" s="153"/>
      <c r="BO1675" s="153"/>
      <c r="BP1675" s="153"/>
      <c r="BQ1675" s="153"/>
      <c r="BR1675" s="153"/>
      <c r="BS1675" s="153"/>
      <c r="BT1675" s="153"/>
      <c r="BU1675" s="153"/>
      <c r="BV1675" s="153"/>
      <c r="BW1675" s="153"/>
      <c r="BX1675" s="153"/>
      <c r="BY1675" s="153"/>
      <c r="BZ1675" s="153"/>
      <c r="CA1675" s="152"/>
      <c r="CB1675" s="152"/>
    </row>
    <row r="1676" spans="1:80" s="87" customFormat="1" x14ac:dyDescent="0.2">
      <c r="A1676" s="152"/>
      <c r="B1676" s="683"/>
      <c r="C1676" s="683"/>
      <c r="D1676" s="698"/>
      <c r="E1676" s="215"/>
      <c r="F1676" s="215"/>
      <c r="G1676" s="153"/>
      <c r="H1676" s="96"/>
      <c r="I1676" s="222">
        <v>20</v>
      </c>
      <c r="J1676" s="222">
        <v>15</v>
      </c>
      <c r="K1676" s="164">
        <v>1</v>
      </c>
      <c r="L1676" s="658">
        <v>5</v>
      </c>
      <c r="M1676" s="659">
        <v>34859</v>
      </c>
      <c r="N1676" s="600">
        <v>102.4919791050516</v>
      </c>
      <c r="O1676" s="602">
        <v>1.4169215086646278</v>
      </c>
      <c r="P1676" s="154"/>
      <c r="Q1676" s="154"/>
      <c r="R1676" s="93">
        <v>2.4</v>
      </c>
      <c r="S1676" s="93">
        <v>1.5</v>
      </c>
      <c r="T1676" s="93">
        <v>2.2999999999999998</v>
      </c>
      <c r="U1676" s="93">
        <v>7.9</v>
      </c>
      <c r="V1676" s="498">
        <v>28.3</v>
      </c>
      <c r="W1676" s="498">
        <v>32</v>
      </c>
      <c r="X1676" s="498">
        <v>24.6</v>
      </c>
      <c r="Y1676" s="498">
        <v>1</v>
      </c>
      <c r="Z1676" s="93">
        <v>11</v>
      </c>
      <c r="AA1676" s="154"/>
      <c r="AB1676" s="152"/>
      <c r="AC1676" s="152"/>
      <c r="AD1676" s="223"/>
      <c r="AE1676" s="223"/>
      <c r="AF1676" s="223"/>
      <c r="AG1676" s="223"/>
      <c r="AH1676" s="341"/>
      <c r="AI1676" s="218"/>
      <c r="AJ1676" s="218"/>
      <c r="AK1676" s="153"/>
      <c r="AL1676" s="152"/>
      <c r="AM1676" s="152"/>
      <c r="AN1676" s="152"/>
      <c r="AO1676" s="152"/>
      <c r="AP1676" s="152"/>
      <c r="AQ1676" s="152"/>
      <c r="AR1676" s="152"/>
      <c r="AS1676" s="152"/>
      <c r="AT1676" s="152"/>
      <c r="AU1676" s="153"/>
      <c r="AV1676" s="479"/>
      <c r="AW1676" s="479"/>
      <c r="AX1676" s="442"/>
      <c r="AY1676" s="153"/>
      <c r="AZ1676" s="152"/>
      <c r="BA1676" s="152"/>
      <c r="BB1676" s="152"/>
      <c r="BC1676" s="152"/>
      <c r="BD1676" s="152"/>
      <c r="BE1676" s="152"/>
      <c r="BF1676" s="152"/>
      <c r="BG1676" s="152"/>
      <c r="BH1676" s="152"/>
      <c r="BI1676" s="153"/>
      <c r="BJ1676" s="153"/>
      <c r="BK1676" s="153"/>
      <c r="BL1676" s="153"/>
      <c r="BM1676" s="153"/>
      <c r="BN1676" s="153"/>
      <c r="BO1676" s="153"/>
      <c r="BP1676" s="153"/>
      <c r="BQ1676" s="153"/>
      <c r="BR1676" s="153"/>
      <c r="BS1676" s="153"/>
      <c r="BT1676" s="153"/>
      <c r="BU1676" s="153"/>
      <c r="BV1676" s="153"/>
      <c r="BW1676" s="153"/>
      <c r="BX1676" s="153"/>
      <c r="BY1676" s="153"/>
      <c r="BZ1676" s="153"/>
      <c r="CA1676" s="152"/>
      <c r="CB1676" s="152"/>
    </row>
    <row r="1677" spans="1:80" s="87" customFormat="1" x14ac:dyDescent="0.2">
      <c r="A1677" s="152"/>
      <c r="B1677" s="683"/>
      <c r="C1677" s="683"/>
      <c r="D1677" s="698"/>
      <c r="E1677" s="215"/>
      <c r="F1677" s="215"/>
      <c r="G1677" s="153"/>
      <c r="H1677" s="96"/>
      <c r="I1677" s="222">
        <v>20</v>
      </c>
      <c r="J1677" s="222">
        <v>30</v>
      </c>
      <c r="K1677" s="164">
        <v>1</v>
      </c>
      <c r="L1677" s="658">
        <v>10</v>
      </c>
      <c r="M1677" s="659">
        <v>34859</v>
      </c>
      <c r="N1677" s="600">
        <v>102.4919791050516</v>
      </c>
      <c r="O1677" s="602">
        <v>0.71370861177181244</v>
      </c>
      <c r="P1677" s="154"/>
      <c r="Q1677" s="154"/>
      <c r="R1677" s="93"/>
      <c r="S1677" s="93">
        <v>0.1</v>
      </c>
      <c r="T1677" s="93">
        <v>1.3</v>
      </c>
      <c r="U1677" s="93">
        <v>4.7</v>
      </c>
      <c r="V1677" s="498">
        <v>18.600000000000001</v>
      </c>
      <c r="W1677" s="498">
        <v>42.3</v>
      </c>
      <c r="X1677" s="498">
        <v>32.299999999999997</v>
      </c>
      <c r="Y1677" s="498">
        <v>0.7</v>
      </c>
      <c r="Z1677" s="93">
        <v>19</v>
      </c>
      <c r="AA1677" s="154"/>
      <c r="AB1677" s="152"/>
      <c r="AC1677" s="152"/>
      <c r="AD1677" s="223"/>
      <c r="AE1677" s="223"/>
      <c r="AF1677" s="223"/>
      <c r="AG1677" s="223"/>
      <c r="AH1677" s="341"/>
      <c r="AI1677" s="218"/>
      <c r="AJ1677" s="218"/>
      <c r="AK1677" s="153"/>
      <c r="AL1677" s="152"/>
      <c r="AM1677" s="152"/>
      <c r="AN1677" s="152"/>
      <c r="AO1677" s="152"/>
      <c r="AP1677" s="152"/>
      <c r="AQ1677" s="152"/>
      <c r="AR1677" s="152"/>
      <c r="AS1677" s="152"/>
      <c r="AT1677" s="152"/>
      <c r="AU1677" s="153"/>
      <c r="AV1677" s="479"/>
      <c r="AW1677" s="479"/>
      <c r="AX1677" s="442"/>
      <c r="AY1677" s="153"/>
      <c r="AZ1677" s="152"/>
      <c r="BA1677" s="152"/>
      <c r="BB1677" s="152"/>
      <c r="BC1677" s="152"/>
      <c r="BD1677" s="152"/>
      <c r="BE1677" s="152"/>
      <c r="BF1677" s="152"/>
      <c r="BG1677" s="152"/>
      <c r="BH1677" s="152"/>
      <c r="BI1677" s="153"/>
      <c r="BJ1677" s="153"/>
      <c r="BK1677" s="153"/>
      <c r="BL1677" s="153"/>
      <c r="BM1677" s="153"/>
      <c r="BN1677" s="153"/>
      <c r="BO1677" s="153"/>
      <c r="BP1677" s="153"/>
      <c r="BQ1677" s="153"/>
      <c r="BR1677" s="153"/>
      <c r="BS1677" s="153"/>
      <c r="BT1677" s="153"/>
      <c r="BU1677" s="153"/>
      <c r="BV1677" s="153"/>
      <c r="BW1677" s="153"/>
      <c r="BX1677" s="153"/>
      <c r="BY1677" s="153"/>
      <c r="BZ1677" s="153"/>
      <c r="CA1677" s="152"/>
      <c r="CB1677" s="152"/>
    </row>
    <row r="1678" spans="1:80" s="87" customFormat="1" x14ac:dyDescent="0.2">
      <c r="A1678" s="152"/>
      <c r="B1678" s="683"/>
      <c r="C1678" s="683"/>
      <c r="D1678" s="698"/>
      <c r="E1678" s="215"/>
      <c r="F1678" s="215"/>
      <c r="G1678" s="153"/>
      <c r="H1678" s="96"/>
      <c r="I1678" s="222">
        <v>20</v>
      </c>
      <c r="J1678" s="222">
        <v>15</v>
      </c>
      <c r="K1678" s="164">
        <v>1</v>
      </c>
      <c r="L1678" s="658">
        <v>5</v>
      </c>
      <c r="M1678" s="659">
        <v>34866</v>
      </c>
      <c r="N1678" s="600">
        <v>124.29275919093274</v>
      </c>
      <c r="O1678" s="602">
        <v>1.3224600747536526</v>
      </c>
      <c r="P1678" s="154"/>
      <c r="Q1678" s="154"/>
      <c r="R1678" s="93"/>
      <c r="S1678" s="93"/>
      <c r="T1678" s="93">
        <v>0.3</v>
      </c>
      <c r="U1678" s="93">
        <v>2.2000000000000002</v>
      </c>
      <c r="V1678" s="498">
        <v>21.9</v>
      </c>
      <c r="W1678" s="498">
        <v>50.4</v>
      </c>
      <c r="X1678" s="498">
        <v>24.8</v>
      </c>
      <c r="Y1678" s="498">
        <v>0.4</v>
      </c>
      <c r="Z1678" s="93">
        <v>6</v>
      </c>
      <c r="AA1678" s="154"/>
      <c r="AB1678" s="152"/>
      <c r="AC1678" s="152"/>
      <c r="AD1678" s="223"/>
      <c r="AE1678" s="223"/>
      <c r="AF1678" s="223"/>
      <c r="AG1678" s="223"/>
      <c r="AH1678" s="341"/>
      <c r="AI1678" s="218"/>
      <c r="AJ1678" s="218"/>
      <c r="AK1678" s="153"/>
      <c r="AL1678" s="152"/>
      <c r="AM1678" s="152"/>
      <c r="AN1678" s="152"/>
      <c r="AO1678" s="152"/>
      <c r="AP1678" s="152"/>
      <c r="AQ1678" s="152"/>
      <c r="AR1678" s="152"/>
      <c r="AS1678" s="152"/>
      <c r="AT1678" s="152"/>
      <c r="AU1678" s="153"/>
      <c r="AV1678" s="479"/>
      <c r="AW1678" s="479"/>
      <c r="AX1678" s="442"/>
      <c r="AY1678" s="153"/>
      <c r="AZ1678" s="152"/>
      <c r="BA1678" s="152"/>
      <c r="BB1678" s="152"/>
      <c r="BC1678" s="152"/>
      <c r="BD1678" s="152"/>
      <c r="BE1678" s="152"/>
      <c r="BF1678" s="152"/>
      <c r="BG1678" s="152"/>
      <c r="BH1678" s="152"/>
      <c r="BI1678" s="153"/>
      <c r="BJ1678" s="153"/>
      <c r="BK1678" s="153"/>
      <c r="BL1678" s="153"/>
      <c r="BM1678" s="153"/>
      <c r="BN1678" s="153"/>
      <c r="BO1678" s="153"/>
      <c r="BP1678" s="153"/>
      <c r="BQ1678" s="153"/>
      <c r="BR1678" s="153"/>
      <c r="BS1678" s="153"/>
      <c r="BT1678" s="153"/>
      <c r="BU1678" s="153"/>
      <c r="BV1678" s="153"/>
      <c r="BW1678" s="153"/>
      <c r="BX1678" s="153"/>
      <c r="BY1678" s="153"/>
      <c r="BZ1678" s="153"/>
      <c r="CA1678" s="152"/>
      <c r="CB1678" s="152"/>
    </row>
    <row r="1679" spans="1:80" s="87" customFormat="1" x14ac:dyDescent="0.2">
      <c r="A1679" s="152"/>
      <c r="B1679" s="683"/>
      <c r="C1679" s="683"/>
      <c r="D1679" s="698"/>
      <c r="E1679" s="215"/>
      <c r="F1679" s="215"/>
      <c r="G1679" s="153"/>
      <c r="H1679" s="96"/>
      <c r="I1679" s="222">
        <v>20</v>
      </c>
      <c r="J1679" s="222">
        <v>15</v>
      </c>
      <c r="K1679" s="164">
        <v>1</v>
      </c>
      <c r="L1679" s="658">
        <v>5</v>
      </c>
      <c r="M1679" s="659">
        <v>34866</v>
      </c>
      <c r="N1679" s="600">
        <v>124.29275919093274</v>
      </c>
      <c r="O1679" s="602">
        <v>2.8233473024502582</v>
      </c>
      <c r="P1679" s="154"/>
      <c r="Q1679" s="154"/>
      <c r="R1679" s="93"/>
      <c r="S1679" s="93">
        <v>1.2</v>
      </c>
      <c r="T1679" s="93">
        <v>1.8</v>
      </c>
      <c r="U1679" s="93">
        <v>12.5</v>
      </c>
      <c r="V1679" s="498">
        <v>36.299999999999997</v>
      </c>
      <c r="W1679" s="498">
        <v>32</v>
      </c>
      <c r="X1679" s="498">
        <v>15.8</v>
      </c>
      <c r="Y1679" s="498">
        <v>0.4</v>
      </c>
      <c r="Z1679" s="93">
        <v>13</v>
      </c>
      <c r="AA1679" s="154"/>
      <c r="AB1679" s="152"/>
      <c r="AC1679" s="152"/>
      <c r="AD1679" s="223"/>
      <c r="AE1679" s="223"/>
      <c r="AF1679" s="223"/>
      <c r="AG1679" s="223"/>
      <c r="AH1679" s="341"/>
      <c r="AI1679" s="218"/>
      <c r="AJ1679" s="218"/>
      <c r="AK1679" s="153"/>
      <c r="AL1679" s="152"/>
      <c r="AM1679" s="152"/>
      <c r="AN1679" s="152"/>
      <c r="AO1679" s="152"/>
      <c r="AP1679" s="152"/>
      <c r="AQ1679" s="152"/>
      <c r="AR1679" s="152"/>
      <c r="AS1679" s="152"/>
      <c r="AT1679" s="152"/>
      <c r="AU1679" s="153"/>
      <c r="AV1679" s="479"/>
      <c r="AW1679" s="479"/>
      <c r="AX1679" s="442"/>
      <c r="AY1679" s="153"/>
      <c r="AZ1679" s="152"/>
      <c r="BA1679" s="152"/>
      <c r="BB1679" s="152"/>
      <c r="BC1679" s="152"/>
      <c r="BD1679" s="152"/>
      <c r="BE1679" s="152"/>
      <c r="BF1679" s="152"/>
      <c r="BG1679" s="152"/>
      <c r="BH1679" s="152"/>
      <c r="BI1679" s="153"/>
      <c r="BJ1679" s="153"/>
      <c r="BK1679" s="153"/>
      <c r="BL1679" s="153"/>
      <c r="BM1679" s="153"/>
      <c r="BN1679" s="153"/>
      <c r="BO1679" s="153"/>
      <c r="BP1679" s="153"/>
      <c r="BQ1679" s="153"/>
      <c r="BR1679" s="153"/>
      <c r="BS1679" s="153"/>
      <c r="BT1679" s="153"/>
      <c r="BU1679" s="153"/>
      <c r="BV1679" s="153"/>
      <c r="BW1679" s="153"/>
      <c r="BX1679" s="153"/>
      <c r="BY1679" s="153"/>
      <c r="BZ1679" s="153"/>
      <c r="CA1679" s="152"/>
      <c r="CB1679" s="152"/>
    </row>
    <row r="1680" spans="1:80" s="87" customFormat="1" x14ac:dyDescent="0.2">
      <c r="A1680" s="152"/>
      <c r="B1680" s="683"/>
      <c r="C1680" s="683"/>
      <c r="D1680" s="698"/>
      <c r="E1680" s="215"/>
      <c r="F1680" s="215"/>
      <c r="G1680" s="153"/>
      <c r="H1680" s="96"/>
      <c r="I1680" s="222">
        <v>20</v>
      </c>
      <c r="J1680" s="222">
        <v>15</v>
      </c>
      <c r="K1680" s="164">
        <v>1</v>
      </c>
      <c r="L1680" s="658">
        <v>5</v>
      </c>
      <c r="M1680" s="659">
        <v>34869</v>
      </c>
      <c r="N1680" s="600">
        <v>128.53966440246802</v>
      </c>
      <c r="O1680" s="602">
        <v>1.3014686449956581</v>
      </c>
      <c r="P1680" s="154"/>
      <c r="Q1680" s="154"/>
      <c r="R1680" s="93"/>
      <c r="S1680" s="93"/>
      <c r="T1680" s="93">
        <v>0.3</v>
      </c>
      <c r="U1680" s="93">
        <v>1.8</v>
      </c>
      <c r="V1680" s="498">
        <v>18.399999999999999</v>
      </c>
      <c r="W1680" s="498">
        <v>48</v>
      </c>
      <c r="X1680" s="498">
        <v>31.1</v>
      </c>
      <c r="Y1680" s="498">
        <v>0.4</v>
      </c>
      <c r="Z1680" s="93">
        <v>6</v>
      </c>
      <c r="AA1680" s="154"/>
      <c r="AB1680" s="152"/>
      <c r="AC1680" s="152"/>
      <c r="AD1680" s="223">
        <v>56.692800000000005</v>
      </c>
      <c r="AE1680" s="223">
        <v>1.2257548387096775</v>
      </c>
      <c r="AF1680" s="223">
        <v>69.484692048582417</v>
      </c>
      <c r="AG1680" s="223">
        <v>1.8501360000000002</v>
      </c>
      <c r="AH1680" s="341"/>
      <c r="AI1680" s="218"/>
      <c r="AJ1680" s="218"/>
      <c r="AK1680" s="153"/>
      <c r="AL1680" s="152"/>
      <c r="AM1680" s="152"/>
      <c r="AN1680" s="152"/>
      <c r="AO1680" s="152"/>
      <c r="AP1680" s="152"/>
      <c r="AQ1680" s="152"/>
      <c r="AR1680" s="152"/>
      <c r="AS1680" s="152"/>
      <c r="AT1680" s="152"/>
      <c r="AU1680" s="153"/>
      <c r="AV1680" s="479"/>
      <c r="AW1680" s="479"/>
      <c r="AX1680" s="442"/>
      <c r="AY1680" s="153"/>
      <c r="AZ1680" s="152"/>
      <c r="BA1680" s="152"/>
      <c r="BB1680" s="152"/>
      <c r="BC1680" s="152"/>
      <c r="BD1680" s="152"/>
      <c r="BE1680" s="152"/>
      <c r="BF1680" s="152"/>
      <c r="BG1680" s="152"/>
      <c r="BH1680" s="152"/>
      <c r="BI1680" s="153"/>
      <c r="BJ1680" s="153"/>
      <c r="BK1680" s="153"/>
      <c r="BL1680" s="153"/>
      <c r="BM1680" s="153"/>
      <c r="BN1680" s="153"/>
      <c r="BO1680" s="153"/>
      <c r="BP1680" s="153"/>
      <c r="BQ1680" s="153"/>
      <c r="BR1680" s="153"/>
      <c r="BS1680" s="153"/>
      <c r="BT1680" s="153"/>
      <c r="BU1680" s="153"/>
      <c r="BV1680" s="153"/>
      <c r="BW1680" s="153"/>
      <c r="BX1680" s="153"/>
      <c r="BY1680" s="153"/>
      <c r="BZ1680" s="153"/>
      <c r="CA1680" s="152"/>
      <c r="CB1680" s="152"/>
    </row>
    <row r="1681" spans="1:80" s="87" customFormat="1" x14ac:dyDescent="0.2">
      <c r="A1681" s="152"/>
      <c r="B1681" s="683"/>
      <c r="C1681" s="683"/>
      <c r="D1681" s="698"/>
      <c r="E1681" s="215"/>
      <c r="F1681" s="215"/>
      <c r="G1681" s="153"/>
      <c r="H1681" s="96"/>
      <c r="I1681" s="222">
        <v>20</v>
      </c>
      <c r="J1681" s="222">
        <v>15</v>
      </c>
      <c r="K1681" s="164">
        <v>1</v>
      </c>
      <c r="L1681" s="658">
        <v>5</v>
      </c>
      <c r="M1681" s="659">
        <v>34869</v>
      </c>
      <c r="N1681" s="600">
        <v>128.53966440246802</v>
      </c>
      <c r="O1681" s="602">
        <v>1.0705629176577189</v>
      </c>
      <c r="P1681" s="154"/>
      <c r="Q1681" s="154"/>
      <c r="R1681" s="93"/>
      <c r="S1681" s="93"/>
      <c r="T1681" s="93">
        <v>0.8</v>
      </c>
      <c r="U1681" s="93">
        <v>2.4</v>
      </c>
      <c r="V1681" s="498">
        <v>17.7</v>
      </c>
      <c r="W1681" s="498">
        <v>46.3</v>
      </c>
      <c r="X1681" s="498">
        <v>32</v>
      </c>
      <c r="Y1681" s="498">
        <v>0.8</v>
      </c>
      <c r="Z1681" s="93">
        <v>7</v>
      </c>
      <c r="AA1681" s="154"/>
      <c r="AB1681" s="152"/>
      <c r="AC1681" s="152"/>
      <c r="AD1681" s="223">
        <v>56.692800000000005</v>
      </c>
      <c r="AE1681" s="223">
        <v>1.2257548387096775</v>
      </c>
      <c r="AF1681" s="223">
        <v>69.484692048582417</v>
      </c>
      <c r="AG1681" s="223">
        <v>1.8501360000000002</v>
      </c>
      <c r="AH1681" s="341"/>
      <c r="AI1681" s="218"/>
      <c r="AJ1681" s="218"/>
      <c r="AK1681" s="153"/>
      <c r="AL1681" s="152"/>
      <c r="AM1681" s="152"/>
      <c r="AN1681" s="152"/>
      <c r="AO1681" s="152"/>
      <c r="AP1681" s="152"/>
      <c r="AQ1681" s="152"/>
      <c r="AR1681" s="152"/>
      <c r="AS1681" s="152"/>
      <c r="AT1681" s="152"/>
      <c r="AU1681" s="153"/>
      <c r="AV1681" s="479"/>
      <c r="AW1681" s="479"/>
      <c r="AX1681" s="442"/>
      <c r="AY1681" s="153"/>
      <c r="AZ1681" s="152"/>
      <c r="BA1681" s="152"/>
      <c r="BB1681" s="152"/>
      <c r="BC1681" s="152"/>
      <c r="BD1681" s="152"/>
      <c r="BE1681" s="152"/>
      <c r="BF1681" s="152"/>
      <c r="BG1681" s="152"/>
      <c r="BH1681" s="152"/>
      <c r="BI1681" s="153"/>
      <c r="BJ1681" s="153"/>
      <c r="BK1681" s="153"/>
      <c r="BL1681" s="153"/>
      <c r="BM1681" s="153"/>
      <c r="BN1681" s="153"/>
      <c r="BO1681" s="153"/>
      <c r="BP1681" s="153"/>
      <c r="BQ1681" s="153"/>
      <c r="BR1681" s="153"/>
      <c r="BS1681" s="153"/>
      <c r="BT1681" s="153"/>
      <c r="BU1681" s="153"/>
      <c r="BV1681" s="153"/>
      <c r="BW1681" s="153"/>
      <c r="BX1681" s="153"/>
      <c r="BY1681" s="153"/>
      <c r="BZ1681" s="153"/>
      <c r="CA1681" s="152"/>
      <c r="CB1681" s="152"/>
    </row>
    <row r="1682" spans="1:80" s="87" customFormat="1" x14ac:dyDescent="0.2">
      <c r="A1682" s="152"/>
      <c r="B1682" s="683"/>
      <c r="C1682" s="683"/>
      <c r="D1682" s="698"/>
      <c r="E1682" s="215"/>
      <c r="F1682" s="215"/>
      <c r="G1682" s="153"/>
      <c r="H1682" s="96"/>
      <c r="I1682" s="222">
        <v>20</v>
      </c>
      <c r="J1682" s="222">
        <v>30</v>
      </c>
      <c r="K1682" s="164">
        <v>1</v>
      </c>
      <c r="L1682" s="658">
        <v>10</v>
      </c>
      <c r="M1682" s="659">
        <v>34872</v>
      </c>
      <c r="N1682" s="600">
        <v>82.67308811788692</v>
      </c>
      <c r="O1682" s="602">
        <v>0.53213274436516023</v>
      </c>
      <c r="P1682" s="154"/>
      <c r="Q1682" s="154"/>
      <c r="R1682" s="93"/>
      <c r="S1682" s="93">
        <v>0.4</v>
      </c>
      <c r="T1682" s="93">
        <v>0.9</v>
      </c>
      <c r="U1682" s="93">
        <v>4.7</v>
      </c>
      <c r="V1682" s="498">
        <v>23.7</v>
      </c>
      <c r="W1682" s="498">
        <v>42.6</v>
      </c>
      <c r="X1682" s="498">
        <v>26.9</v>
      </c>
      <c r="Y1682" s="498">
        <v>0.8</v>
      </c>
      <c r="Z1682" s="93">
        <v>14</v>
      </c>
      <c r="AA1682" s="154"/>
      <c r="AB1682" s="152"/>
      <c r="AC1682" s="152"/>
      <c r="AD1682" s="223"/>
      <c r="AE1682" s="223"/>
      <c r="AF1682" s="223"/>
      <c r="AG1682" s="223"/>
      <c r="AH1682" s="341"/>
      <c r="AI1682" s="218"/>
      <c r="AJ1682" s="218"/>
      <c r="AK1682" s="153"/>
      <c r="AL1682" s="152"/>
      <c r="AM1682" s="152"/>
      <c r="AN1682" s="152"/>
      <c r="AO1682" s="152"/>
      <c r="AP1682" s="152"/>
      <c r="AQ1682" s="152"/>
      <c r="AR1682" s="152"/>
      <c r="AS1682" s="152"/>
      <c r="AT1682" s="152"/>
      <c r="AU1682" s="153"/>
      <c r="AV1682" s="479"/>
      <c r="AW1682" s="479"/>
      <c r="AX1682" s="442"/>
      <c r="AY1682" s="153"/>
      <c r="AZ1682" s="152"/>
      <c r="BA1682" s="152"/>
      <c r="BB1682" s="152"/>
      <c r="BC1682" s="152"/>
      <c r="BD1682" s="152"/>
      <c r="BE1682" s="152"/>
      <c r="BF1682" s="152"/>
      <c r="BG1682" s="152"/>
      <c r="BH1682" s="152"/>
      <c r="BI1682" s="153"/>
      <c r="BJ1682" s="153"/>
      <c r="BK1682" s="153"/>
      <c r="BL1682" s="153"/>
      <c r="BM1682" s="153"/>
      <c r="BN1682" s="153"/>
      <c r="BO1682" s="153"/>
      <c r="BP1682" s="153"/>
      <c r="BQ1682" s="153"/>
      <c r="BR1682" s="153"/>
      <c r="BS1682" s="153"/>
      <c r="BT1682" s="153"/>
      <c r="BU1682" s="153"/>
      <c r="BV1682" s="153"/>
      <c r="BW1682" s="153"/>
      <c r="BX1682" s="153"/>
      <c r="BY1682" s="153"/>
      <c r="BZ1682" s="153"/>
      <c r="CA1682" s="152"/>
      <c r="CB1682" s="152"/>
    </row>
    <row r="1683" spans="1:80" s="87" customFormat="1" x14ac:dyDescent="0.2">
      <c r="A1683" s="152"/>
      <c r="B1683" s="683"/>
      <c r="C1683" s="683"/>
      <c r="D1683" s="698"/>
      <c r="E1683" s="215"/>
      <c r="F1683" s="215"/>
      <c r="G1683" s="153"/>
      <c r="H1683" s="96"/>
      <c r="I1683" s="222">
        <v>20</v>
      </c>
      <c r="J1683" s="222">
        <v>30</v>
      </c>
      <c r="K1683" s="164">
        <v>1</v>
      </c>
      <c r="L1683" s="658">
        <v>10</v>
      </c>
      <c r="M1683" s="659">
        <v>34872</v>
      </c>
      <c r="N1683" s="600">
        <v>82.67308811788692</v>
      </c>
      <c r="O1683" s="602">
        <v>0.49644731377656959</v>
      </c>
      <c r="P1683" s="154"/>
      <c r="Q1683" s="154"/>
      <c r="R1683" s="93">
        <v>2</v>
      </c>
      <c r="S1683" s="93">
        <v>1.2</v>
      </c>
      <c r="T1683" s="93">
        <v>0.6</v>
      </c>
      <c r="U1683" s="93">
        <v>3.8</v>
      </c>
      <c r="V1683" s="498">
        <v>24.5</v>
      </c>
      <c r="W1683" s="498">
        <v>42.7</v>
      </c>
      <c r="X1683" s="498">
        <v>24.5</v>
      </c>
      <c r="Y1683" s="498">
        <v>0.7</v>
      </c>
      <c r="Z1683" s="93">
        <v>18</v>
      </c>
      <c r="AA1683" s="154"/>
      <c r="AB1683" s="152"/>
      <c r="AC1683" s="152"/>
      <c r="AD1683" s="223"/>
      <c r="AE1683" s="223"/>
      <c r="AF1683" s="223"/>
      <c r="AG1683" s="223"/>
      <c r="AH1683" s="341"/>
      <c r="AI1683" s="218"/>
      <c r="AJ1683" s="218"/>
      <c r="AK1683" s="153"/>
      <c r="AL1683" s="152"/>
      <c r="AM1683" s="152"/>
      <c r="AN1683" s="152"/>
      <c r="AO1683" s="152"/>
      <c r="AP1683" s="152"/>
      <c r="AQ1683" s="152"/>
      <c r="AR1683" s="152"/>
      <c r="AS1683" s="152"/>
      <c r="AT1683" s="152"/>
      <c r="AU1683" s="153"/>
      <c r="AV1683" s="479"/>
      <c r="AW1683" s="479"/>
      <c r="AX1683" s="442"/>
      <c r="AY1683" s="153"/>
      <c r="AZ1683" s="152"/>
      <c r="BA1683" s="152"/>
      <c r="BB1683" s="152"/>
      <c r="BC1683" s="152"/>
      <c r="BD1683" s="152"/>
      <c r="BE1683" s="152"/>
      <c r="BF1683" s="152"/>
      <c r="BG1683" s="152"/>
      <c r="BH1683" s="152"/>
      <c r="BI1683" s="153"/>
      <c r="BJ1683" s="153"/>
      <c r="BK1683" s="153"/>
      <c r="BL1683" s="153"/>
      <c r="BM1683" s="153"/>
      <c r="BN1683" s="153"/>
      <c r="BO1683" s="153"/>
      <c r="BP1683" s="153"/>
      <c r="BQ1683" s="153"/>
      <c r="BR1683" s="153"/>
      <c r="BS1683" s="153"/>
      <c r="BT1683" s="153"/>
      <c r="BU1683" s="153"/>
      <c r="BV1683" s="153"/>
      <c r="BW1683" s="153"/>
      <c r="BX1683" s="153"/>
      <c r="BY1683" s="153"/>
      <c r="BZ1683" s="153"/>
      <c r="CA1683" s="152"/>
      <c r="CB1683" s="152"/>
    </row>
    <row r="1684" spans="1:80" s="87" customFormat="1" x14ac:dyDescent="0.2">
      <c r="A1684" s="152"/>
      <c r="B1684" s="683"/>
      <c r="C1684" s="683"/>
      <c r="D1684" s="698"/>
      <c r="E1684" s="215"/>
      <c r="F1684" s="215"/>
      <c r="G1684" s="153"/>
      <c r="H1684" s="96"/>
      <c r="I1684" s="222">
        <v>20</v>
      </c>
      <c r="J1684" s="222">
        <v>15</v>
      </c>
      <c r="K1684" s="164">
        <v>1</v>
      </c>
      <c r="L1684" s="658">
        <v>5</v>
      </c>
      <c r="M1684" s="659">
        <v>34876</v>
      </c>
      <c r="N1684" s="600">
        <v>131.65406155759391</v>
      </c>
      <c r="O1684" s="602">
        <v>2.5609544304753271</v>
      </c>
      <c r="P1684" s="154"/>
      <c r="Q1684" s="154"/>
      <c r="R1684" s="93"/>
      <c r="S1684" s="93">
        <v>0.4</v>
      </c>
      <c r="T1684" s="93">
        <v>0.9</v>
      </c>
      <c r="U1684" s="93">
        <v>4.4000000000000004</v>
      </c>
      <c r="V1684" s="498">
        <v>22.3</v>
      </c>
      <c r="W1684" s="498">
        <v>44.2</v>
      </c>
      <c r="X1684" s="498">
        <v>27</v>
      </c>
      <c r="Y1684" s="498">
        <v>0.8</v>
      </c>
      <c r="Z1684" s="93">
        <v>7</v>
      </c>
      <c r="AA1684" s="154"/>
      <c r="AB1684" s="152"/>
      <c r="AC1684" s="152"/>
      <c r="AD1684" s="223"/>
      <c r="AE1684" s="223"/>
      <c r="AF1684" s="223"/>
      <c r="AG1684" s="223"/>
      <c r="AH1684" s="341"/>
      <c r="AI1684" s="218"/>
      <c r="AJ1684" s="218"/>
      <c r="AK1684" s="153"/>
      <c r="AL1684" s="152"/>
      <c r="AM1684" s="152"/>
      <c r="AN1684" s="152"/>
      <c r="AO1684" s="152"/>
      <c r="AP1684" s="152"/>
      <c r="AQ1684" s="152"/>
      <c r="AR1684" s="152"/>
      <c r="AS1684" s="152"/>
      <c r="AT1684" s="152"/>
      <c r="AU1684" s="153"/>
      <c r="AV1684" s="479"/>
      <c r="AW1684" s="479"/>
      <c r="AX1684" s="442"/>
      <c r="AY1684" s="153"/>
      <c r="AZ1684" s="152"/>
      <c r="BA1684" s="152"/>
      <c r="BB1684" s="152"/>
      <c r="BC1684" s="152"/>
      <c r="BD1684" s="152"/>
      <c r="BE1684" s="152"/>
      <c r="BF1684" s="152"/>
      <c r="BG1684" s="152"/>
      <c r="BH1684" s="152"/>
      <c r="BI1684" s="153"/>
      <c r="BJ1684" s="153"/>
      <c r="BK1684" s="153"/>
      <c r="BL1684" s="153"/>
      <c r="BM1684" s="153"/>
      <c r="BN1684" s="153"/>
      <c r="BO1684" s="153"/>
      <c r="BP1684" s="153"/>
      <c r="BQ1684" s="153"/>
      <c r="BR1684" s="153"/>
      <c r="BS1684" s="153"/>
      <c r="BT1684" s="153"/>
      <c r="BU1684" s="153"/>
      <c r="BV1684" s="153"/>
      <c r="BW1684" s="153"/>
      <c r="BX1684" s="153"/>
      <c r="BY1684" s="153"/>
      <c r="BZ1684" s="153"/>
      <c r="CA1684" s="152"/>
      <c r="CB1684" s="152"/>
    </row>
    <row r="1685" spans="1:80" s="87" customFormat="1" x14ac:dyDescent="0.2">
      <c r="A1685" s="152"/>
      <c r="B1685" s="683"/>
      <c r="C1685" s="683"/>
      <c r="D1685" s="698"/>
      <c r="E1685" s="215"/>
      <c r="F1685" s="215"/>
      <c r="G1685" s="153"/>
      <c r="H1685" s="96"/>
      <c r="I1685" s="222">
        <v>20</v>
      </c>
      <c r="J1685" s="222">
        <v>15</v>
      </c>
      <c r="K1685" s="164">
        <v>1</v>
      </c>
      <c r="L1685" s="658">
        <v>5</v>
      </c>
      <c r="M1685" s="659">
        <v>34876</v>
      </c>
      <c r="N1685" s="600">
        <v>131.65406155759391</v>
      </c>
      <c r="O1685" s="602">
        <v>2.2775701287424019</v>
      </c>
      <c r="P1685" s="154"/>
      <c r="Q1685" s="154"/>
      <c r="R1685" s="93"/>
      <c r="S1685" s="93"/>
      <c r="T1685" s="93">
        <v>0.6</v>
      </c>
      <c r="U1685" s="93">
        <v>2.7</v>
      </c>
      <c r="V1685" s="498">
        <v>19</v>
      </c>
      <c r="W1685" s="498">
        <v>44.2</v>
      </c>
      <c r="X1685" s="498">
        <v>32.5</v>
      </c>
      <c r="Y1685" s="498">
        <v>1</v>
      </c>
      <c r="Z1685" s="93">
        <v>12</v>
      </c>
      <c r="AA1685" s="154"/>
      <c r="AB1685" s="152"/>
      <c r="AC1685" s="152"/>
      <c r="AD1685" s="223"/>
      <c r="AE1685" s="223"/>
      <c r="AF1685" s="223"/>
      <c r="AG1685" s="223"/>
      <c r="AH1685" s="341"/>
      <c r="AI1685" s="218"/>
      <c r="AJ1685" s="218"/>
      <c r="AK1685" s="153"/>
      <c r="AL1685" s="152"/>
      <c r="AM1685" s="152"/>
      <c r="AN1685" s="152"/>
      <c r="AO1685" s="152"/>
      <c r="AP1685" s="152"/>
      <c r="AQ1685" s="152"/>
      <c r="AR1685" s="152"/>
      <c r="AS1685" s="152"/>
      <c r="AT1685" s="152"/>
      <c r="AU1685" s="153"/>
      <c r="AV1685" s="479"/>
      <c r="AW1685" s="479"/>
      <c r="AX1685" s="442"/>
      <c r="AY1685" s="153"/>
      <c r="AZ1685" s="152"/>
      <c r="BA1685" s="152"/>
      <c r="BB1685" s="152"/>
      <c r="BC1685" s="152"/>
      <c r="BD1685" s="152"/>
      <c r="BE1685" s="152"/>
      <c r="BF1685" s="152"/>
      <c r="BG1685" s="152"/>
      <c r="BH1685" s="152"/>
      <c r="BI1685" s="153"/>
      <c r="BJ1685" s="153"/>
      <c r="BK1685" s="153"/>
      <c r="BL1685" s="153"/>
      <c r="BM1685" s="153"/>
      <c r="BN1685" s="153"/>
      <c r="BO1685" s="153"/>
      <c r="BP1685" s="153"/>
      <c r="BQ1685" s="153"/>
      <c r="BR1685" s="153"/>
      <c r="BS1685" s="153"/>
      <c r="BT1685" s="153"/>
      <c r="BU1685" s="153"/>
      <c r="BV1685" s="153"/>
      <c r="BW1685" s="153"/>
      <c r="BX1685" s="153"/>
      <c r="BY1685" s="153"/>
      <c r="BZ1685" s="153"/>
      <c r="CA1685" s="152"/>
      <c r="CB1685" s="152"/>
    </row>
    <row r="1686" spans="1:80" s="87" customFormat="1" x14ac:dyDescent="0.2">
      <c r="A1686" s="152"/>
      <c r="B1686" s="683"/>
      <c r="C1686" s="683"/>
      <c r="D1686" s="698"/>
      <c r="E1686" s="215"/>
      <c r="F1686" s="215"/>
      <c r="G1686" s="153"/>
      <c r="H1686" s="96"/>
      <c r="I1686" s="222">
        <v>20</v>
      </c>
      <c r="J1686" s="222">
        <v>30</v>
      </c>
      <c r="K1686" s="164">
        <v>1</v>
      </c>
      <c r="L1686" s="658">
        <v>10</v>
      </c>
      <c r="M1686" s="659">
        <v>34879</v>
      </c>
      <c r="N1686" s="600">
        <v>114.3833136973504</v>
      </c>
      <c r="O1686" s="602">
        <v>1.1860157813266885</v>
      </c>
      <c r="P1686" s="154"/>
      <c r="Q1686" s="154"/>
      <c r="R1686" s="93"/>
      <c r="S1686" s="93">
        <v>0.1</v>
      </c>
      <c r="T1686" s="93">
        <v>1</v>
      </c>
      <c r="U1686" s="93">
        <v>6.1</v>
      </c>
      <c r="V1686" s="498">
        <v>28</v>
      </c>
      <c r="W1686" s="498">
        <v>44.4</v>
      </c>
      <c r="X1686" s="498">
        <v>20</v>
      </c>
      <c r="Y1686" s="498">
        <v>0.4</v>
      </c>
      <c r="Z1686" s="93">
        <v>7</v>
      </c>
      <c r="AA1686" s="154"/>
      <c r="AB1686" s="152"/>
      <c r="AC1686" s="152"/>
      <c r="AD1686" s="223"/>
      <c r="AE1686" s="223"/>
      <c r="AF1686" s="223"/>
      <c r="AG1686" s="223"/>
      <c r="AH1686" s="341"/>
      <c r="AI1686" s="218"/>
      <c r="AJ1686" s="218"/>
      <c r="AK1686" s="153"/>
      <c r="AL1686" s="152"/>
      <c r="AM1686" s="152"/>
      <c r="AN1686" s="152"/>
      <c r="AO1686" s="152"/>
      <c r="AP1686" s="152"/>
      <c r="AQ1686" s="152"/>
      <c r="AR1686" s="152"/>
      <c r="AS1686" s="152"/>
      <c r="AT1686" s="152"/>
      <c r="AU1686" s="153"/>
      <c r="AV1686" s="479"/>
      <c r="AW1686" s="479"/>
      <c r="AX1686" s="442"/>
      <c r="AY1686" s="153"/>
      <c r="AZ1686" s="152"/>
      <c r="BA1686" s="152"/>
      <c r="BB1686" s="152"/>
      <c r="BC1686" s="152"/>
      <c r="BD1686" s="152"/>
      <c r="BE1686" s="152"/>
      <c r="BF1686" s="152"/>
      <c r="BG1686" s="152"/>
      <c r="BH1686" s="152"/>
      <c r="BI1686" s="153"/>
      <c r="BJ1686" s="153"/>
      <c r="BK1686" s="153"/>
      <c r="BL1686" s="153"/>
      <c r="BM1686" s="153"/>
      <c r="BN1686" s="153"/>
      <c r="BO1686" s="153"/>
      <c r="BP1686" s="153"/>
      <c r="BQ1686" s="153"/>
      <c r="BR1686" s="153"/>
      <c r="BS1686" s="153"/>
      <c r="BT1686" s="153"/>
      <c r="BU1686" s="153"/>
      <c r="BV1686" s="153"/>
      <c r="BW1686" s="153"/>
      <c r="BX1686" s="153"/>
      <c r="BY1686" s="153"/>
      <c r="BZ1686" s="153"/>
      <c r="CA1686" s="152"/>
      <c r="CB1686" s="152"/>
    </row>
    <row r="1687" spans="1:80" s="87" customFormat="1" x14ac:dyDescent="0.2">
      <c r="A1687" s="152"/>
      <c r="B1687" s="683"/>
      <c r="C1687" s="683"/>
      <c r="D1687" s="698"/>
      <c r="E1687" s="215"/>
      <c r="F1687" s="215"/>
      <c r="G1687" s="153"/>
      <c r="H1687" s="96"/>
      <c r="I1687" s="222">
        <v>20</v>
      </c>
      <c r="J1687" s="222">
        <v>30</v>
      </c>
      <c r="K1687" s="164">
        <v>1</v>
      </c>
      <c r="L1687" s="658">
        <v>10</v>
      </c>
      <c r="M1687" s="659">
        <v>34879</v>
      </c>
      <c r="N1687" s="600">
        <v>114.3833136973504</v>
      </c>
      <c r="O1687" s="602">
        <v>1.0600672027787217</v>
      </c>
      <c r="P1687" s="154"/>
      <c r="Q1687" s="154"/>
      <c r="R1687" s="93"/>
      <c r="S1687" s="93"/>
      <c r="T1687" s="93">
        <v>1</v>
      </c>
      <c r="U1687" s="93">
        <v>4.4000000000000004</v>
      </c>
      <c r="V1687" s="498">
        <v>21.4</v>
      </c>
      <c r="W1687" s="498">
        <v>46.9</v>
      </c>
      <c r="X1687" s="498">
        <v>25.7</v>
      </c>
      <c r="Y1687" s="498">
        <v>0.6</v>
      </c>
      <c r="Z1687" s="93">
        <v>9</v>
      </c>
      <c r="AA1687" s="154"/>
      <c r="AB1687" s="152"/>
      <c r="AC1687" s="152"/>
      <c r="AD1687" s="223"/>
      <c r="AE1687" s="223"/>
      <c r="AF1687" s="223"/>
      <c r="AG1687" s="223"/>
      <c r="AH1687" s="341"/>
      <c r="AI1687" s="218"/>
      <c r="AJ1687" s="218"/>
      <c r="AK1687" s="153"/>
      <c r="AL1687" s="152"/>
      <c r="AM1687" s="152"/>
      <c r="AN1687" s="152"/>
      <c r="AO1687" s="152"/>
      <c r="AP1687" s="152"/>
      <c r="AQ1687" s="152"/>
      <c r="AR1687" s="152"/>
      <c r="AS1687" s="152"/>
      <c r="AT1687" s="152"/>
      <c r="AU1687" s="153"/>
      <c r="AV1687" s="479"/>
      <c r="AW1687" s="479"/>
      <c r="AX1687" s="442"/>
      <c r="AY1687" s="153"/>
      <c r="AZ1687" s="152"/>
      <c r="BA1687" s="152"/>
      <c r="BB1687" s="152"/>
      <c r="BC1687" s="152"/>
      <c r="BD1687" s="152"/>
      <c r="BE1687" s="152"/>
      <c r="BF1687" s="152"/>
      <c r="BG1687" s="152"/>
      <c r="BH1687" s="152"/>
      <c r="BI1687" s="153"/>
      <c r="BJ1687" s="153"/>
      <c r="BK1687" s="153"/>
      <c r="BL1687" s="153"/>
      <c r="BM1687" s="153"/>
      <c r="BN1687" s="153"/>
      <c r="BO1687" s="153"/>
      <c r="BP1687" s="153"/>
      <c r="BQ1687" s="153"/>
      <c r="BR1687" s="153"/>
      <c r="BS1687" s="153"/>
      <c r="BT1687" s="153"/>
      <c r="BU1687" s="153"/>
      <c r="BV1687" s="153"/>
      <c r="BW1687" s="153"/>
      <c r="BX1687" s="153"/>
      <c r="BY1687" s="153"/>
      <c r="BZ1687" s="153"/>
      <c r="CA1687" s="152"/>
      <c r="CB1687" s="152"/>
    </row>
    <row r="1688" spans="1:80" s="87" customFormat="1" x14ac:dyDescent="0.2">
      <c r="A1688" s="152"/>
      <c r="B1688" s="683"/>
      <c r="C1688" s="683"/>
      <c r="D1688" s="698"/>
      <c r="E1688" s="215"/>
      <c r="F1688" s="215"/>
      <c r="G1688" s="153"/>
      <c r="H1688" s="96"/>
      <c r="I1688" s="222">
        <v>20</v>
      </c>
      <c r="J1688" s="222">
        <v>10</v>
      </c>
      <c r="K1688" s="164">
        <v>1</v>
      </c>
      <c r="L1688" s="658">
        <v>3.3333333333333335</v>
      </c>
      <c r="M1688" s="659">
        <v>35200</v>
      </c>
      <c r="N1688" s="600">
        <v>269.8200444395419</v>
      </c>
      <c r="O1688" s="602">
        <v>1.8262543889455207</v>
      </c>
      <c r="P1688" s="154"/>
      <c r="Q1688" s="154"/>
      <c r="R1688" s="93">
        <v>8.9</v>
      </c>
      <c r="S1688" s="93">
        <v>2.2999999999999998</v>
      </c>
      <c r="T1688" s="93">
        <v>0.9</v>
      </c>
      <c r="U1688" s="93">
        <v>2.7</v>
      </c>
      <c r="V1688" s="499">
        <v>7.6</v>
      </c>
      <c r="W1688" s="499">
        <v>19.600000000000001</v>
      </c>
      <c r="X1688" s="499">
        <v>49.4</v>
      </c>
      <c r="Y1688" s="499">
        <v>8.6</v>
      </c>
      <c r="Z1688" s="93">
        <v>27</v>
      </c>
      <c r="AA1688" s="154"/>
      <c r="AB1688" s="152"/>
      <c r="AC1688" s="152"/>
      <c r="AD1688" s="223">
        <v>61.874400000000001</v>
      </c>
      <c r="AE1688" s="223">
        <v>1.8318029556650248</v>
      </c>
      <c r="AF1688" s="223">
        <v>113.33064745891785</v>
      </c>
      <c r="AG1688" s="223">
        <v>2.319528</v>
      </c>
      <c r="AH1688" s="341"/>
      <c r="AI1688" s="218"/>
      <c r="AJ1688" s="218"/>
      <c r="AK1688" s="153"/>
      <c r="AL1688" s="152"/>
      <c r="AM1688" s="152"/>
      <c r="AN1688" s="152"/>
      <c r="AO1688" s="152"/>
      <c r="AP1688" s="152"/>
      <c r="AQ1688" s="152"/>
      <c r="AR1688" s="152"/>
      <c r="AS1688" s="152"/>
      <c r="AT1688" s="152"/>
      <c r="AU1688" s="153"/>
      <c r="AV1688" s="479"/>
      <c r="AW1688" s="479"/>
      <c r="AX1688" s="442"/>
      <c r="AY1688" s="153"/>
      <c r="AZ1688" s="152"/>
      <c r="BA1688" s="152"/>
      <c r="BB1688" s="152"/>
      <c r="BC1688" s="152"/>
      <c r="BD1688" s="152"/>
      <c r="BE1688" s="152"/>
      <c r="BF1688" s="152"/>
      <c r="BG1688" s="152"/>
      <c r="BH1688" s="152"/>
      <c r="BI1688" s="153"/>
      <c r="BJ1688" s="153"/>
      <c r="BK1688" s="153"/>
      <c r="BL1688" s="153"/>
      <c r="BM1688" s="153"/>
      <c r="BN1688" s="153"/>
      <c r="BO1688" s="153"/>
      <c r="BP1688" s="153"/>
      <c r="BQ1688" s="153"/>
      <c r="BR1688" s="153"/>
      <c r="BS1688" s="153"/>
      <c r="BT1688" s="153"/>
      <c r="BU1688" s="153"/>
      <c r="BV1688" s="153"/>
      <c r="BW1688" s="153"/>
      <c r="BX1688" s="153"/>
      <c r="BY1688" s="153"/>
      <c r="BZ1688" s="153"/>
      <c r="CA1688" s="152"/>
      <c r="CB1688" s="152"/>
    </row>
    <row r="1689" spans="1:80" s="87" customFormat="1" x14ac:dyDescent="0.2">
      <c r="A1689" s="152"/>
      <c r="B1689" s="683"/>
      <c r="C1689" s="683"/>
      <c r="D1689" s="698"/>
      <c r="E1689" s="215"/>
      <c r="F1689" s="215"/>
      <c r="G1689" s="153"/>
      <c r="H1689" s="96"/>
      <c r="I1689" s="222">
        <v>20</v>
      </c>
      <c r="J1689" s="222">
        <v>10</v>
      </c>
      <c r="K1689" s="164">
        <v>1</v>
      </c>
      <c r="L1689" s="658">
        <v>3.3333333333333335</v>
      </c>
      <c r="M1689" s="659">
        <v>35200</v>
      </c>
      <c r="N1689" s="600">
        <v>269.8200444395419</v>
      </c>
      <c r="O1689" s="602">
        <v>1.7947672443085285</v>
      </c>
      <c r="P1689" s="154"/>
      <c r="Q1689" s="154"/>
      <c r="R1689" s="93">
        <v>7.4</v>
      </c>
      <c r="S1689" s="93">
        <v>0</v>
      </c>
      <c r="T1689" s="93">
        <v>1</v>
      </c>
      <c r="U1689" s="93">
        <v>2.7</v>
      </c>
      <c r="V1689" s="499">
        <v>4.9000000000000004</v>
      </c>
      <c r="W1689" s="499">
        <v>18</v>
      </c>
      <c r="X1689" s="499">
        <v>54.6</v>
      </c>
      <c r="Y1689" s="499">
        <v>11.4</v>
      </c>
      <c r="Z1689" s="93">
        <v>28</v>
      </c>
      <c r="AA1689" s="154"/>
      <c r="AB1689" s="152"/>
      <c r="AC1689" s="152"/>
      <c r="AD1689" s="223">
        <v>61.874400000000001</v>
      </c>
      <c r="AE1689" s="223">
        <v>1.8318029556650248</v>
      </c>
      <c r="AF1689" s="223">
        <v>113.33064745891785</v>
      </c>
      <c r="AG1689" s="223">
        <v>2.319528</v>
      </c>
      <c r="AH1689" s="341"/>
      <c r="AI1689" s="218"/>
      <c r="AJ1689" s="218"/>
      <c r="AK1689" s="153"/>
      <c r="AL1689" s="152"/>
      <c r="AM1689" s="152"/>
      <c r="AN1689" s="152"/>
      <c r="AO1689" s="152"/>
      <c r="AP1689" s="152"/>
      <c r="AQ1689" s="152"/>
      <c r="AR1689" s="152"/>
      <c r="AS1689" s="152"/>
      <c r="AT1689" s="152"/>
      <c r="AU1689" s="153"/>
      <c r="AV1689" s="479"/>
      <c r="AW1689" s="479"/>
      <c r="AX1689" s="442"/>
      <c r="AY1689" s="153"/>
      <c r="AZ1689" s="152"/>
      <c r="BA1689" s="152"/>
      <c r="BB1689" s="152"/>
      <c r="BC1689" s="152"/>
      <c r="BD1689" s="152"/>
      <c r="BE1689" s="152"/>
      <c r="BF1689" s="152"/>
      <c r="BG1689" s="152"/>
      <c r="BH1689" s="152"/>
      <c r="BI1689" s="153"/>
      <c r="BJ1689" s="153"/>
      <c r="BK1689" s="153"/>
      <c r="BL1689" s="153"/>
      <c r="BM1689" s="153"/>
      <c r="BN1689" s="153"/>
      <c r="BO1689" s="153"/>
      <c r="BP1689" s="153"/>
      <c r="BQ1689" s="153"/>
      <c r="BR1689" s="153"/>
      <c r="BS1689" s="153"/>
      <c r="BT1689" s="153"/>
      <c r="BU1689" s="153"/>
      <c r="BV1689" s="153"/>
      <c r="BW1689" s="153"/>
      <c r="BX1689" s="153"/>
      <c r="BY1689" s="153"/>
      <c r="BZ1689" s="153"/>
      <c r="CA1689" s="152"/>
      <c r="CB1689" s="152"/>
    </row>
    <row r="1690" spans="1:80" s="87" customFormat="1" x14ac:dyDescent="0.2">
      <c r="A1690" s="152"/>
      <c r="B1690" s="683"/>
      <c r="C1690" s="683"/>
      <c r="D1690" s="698"/>
      <c r="E1690" s="215"/>
      <c r="F1690" s="215"/>
      <c r="G1690" s="153"/>
      <c r="H1690" s="96"/>
      <c r="I1690" s="222">
        <v>20</v>
      </c>
      <c r="J1690" s="222">
        <v>10</v>
      </c>
      <c r="K1690" s="164">
        <v>1</v>
      </c>
      <c r="L1690" s="658">
        <v>3.3333333333333335</v>
      </c>
      <c r="M1690" s="659">
        <v>35207</v>
      </c>
      <c r="N1690" s="600">
        <v>160.81614401013621</v>
      </c>
      <c r="O1690" s="602">
        <v>0.98554762713784105</v>
      </c>
      <c r="P1690" s="154"/>
      <c r="Q1690" s="154"/>
      <c r="R1690" s="93">
        <v>35</v>
      </c>
      <c r="S1690" s="93">
        <v>0</v>
      </c>
      <c r="T1690" s="93">
        <v>0</v>
      </c>
      <c r="U1690" s="93">
        <v>0.3</v>
      </c>
      <c r="V1690" s="499">
        <v>4</v>
      </c>
      <c r="W1690" s="499">
        <v>12.7</v>
      </c>
      <c r="X1690" s="499">
        <v>32</v>
      </c>
      <c r="Y1690" s="499">
        <v>16</v>
      </c>
      <c r="Z1690" s="93">
        <v>26</v>
      </c>
      <c r="AA1690" s="154"/>
      <c r="AB1690" s="152"/>
      <c r="AC1690" s="152"/>
      <c r="AD1690" s="223">
        <v>58.216800000000006</v>
      </c>
      <c r="AE1690" s="223">
        <v>1.3293109947643982</v>
      </c>
      <c r="AF1690" s="223">
        <v>77.380679781375875</v>
      </c>
      <c r="AG1690" s="223">
        <v>2.0208240000000002</v>
      </c>
      <c r="AH1690" s="341"/>
      <c r="AI1690" s="218"/>
      <c r="AJ1690" s="218"/>
      <c r="AK1690" s="153"/>
      <c r="AL1690" s="152"/>
      <c r="AM1690" s="152"/>
      <c r="AN1690" s="152"/>
      <c r="AO1690" s="152"/>
      <c r="AP1690" s="152"/>
      <c r="AQ1690" s="152"/>
      <c r="AR1690" s="152"/>
      <c r="AS1690" s="152"/>
      <c r="AT1690" s="152"/>
      <c r="AU1690" s="153"/>
      <c r="AV1690" s="479"/>
      <c r="AW1690" s="479"/>
      <c r="AX1690" s="442"/>
      <c r="AY1690" s="153"/>
      <c r="AZ1690" s="152"/>
      <c r="BA1690" s="152"/>
      <c r="BB1690" s="152"/>
      <c r="BC1690" s="152"/>
      <c r="BD1690" s="152"/>
      <c r="BE1690" s="152"/>
      <c r="BF1690" s="152"/>
      <c r="BG1690" s="152"/>
      <c r="BH1690" s="152"/>
      <c r="BI1690" s="153"/>
      <c r="BJ1690" s="153"/>
      <c r="BK1690" s="153"/>
      <c r="BL1690" s="153"/>
      <c r="BM1690" s="153"/>
      <c r="BN1690" s="153"/>
      <c r="BO1690" s="153"/>
      <c r="BP1690" s="153"/>
      <c r="BQ1690" s="153"/>
      <c r="BR1690" s="153"/>
      <c r="BS1690" s="153"/>
      <c r="BT1690" s="153"/>
      <c r="BU1690" s="153"/>
      <c r="BV1690" s="153"/>
      <c r="BW1690" s="153"/>
      <c r="BX1690" s="153"/>
      <c r="BY1690" s="153"/>
      <c r="BZ1690" s="153"/>
      <c r="CA1690" s="152"/>
      <c r="CB1690" s="152"/>
    </row>
    <row r="1691" spans="1:80" s="87" customFormat="1" x14ac:dyDescent="0.2">
      <c r="A1691" s="152"/>
      <c r="B1691" s="683"/>
      <c r="C1691" s="683"/>
      <c r="D1691" s="698"/>
      <c r="E1691" s="215"/>
      <c r="F1691" s="215"/>
      <c r="G1691" s="153"/>
      <c r="H1691" s="96"/>
      <c r="I1691" s="222">
        <v>20</v>
      </c>
      <c r="J1691" s="222">
        <v>15</v>
      </c>
      <c r="K1691" s="164">
        <v>1</v>
      </c>
      <c r="L1691" s="658">
        <v>5</v>
      </c>
      <c r="M1691" s="659">
        <v>35207</v>
      </c>
      <c r="N1691" s="600">
        <v>160.81614401013621</v>
      </c>
      <c r="O1691" s="602">
        <v>1.5848529467285839</v>
      </c>
      <c r="P1691" s="154"/>
      <c r="Q1691" s="154"/>
      <c r="R1691" s="93">
        <v>18.600000000000001</v>
      </c>
      <c r="S1691" s="93">
        <v>2.2999999999999998</v>
      </c>
      <c r="T1691" s="93">
        <v>0.2</v>
      </c>
      <c r="U1691" s="93">
        <v>0.5</v>
      </c>
      <c r="V1691" s="499">
        <v>4.8</v>
      </c>
      <c r="W1691" s="499">
        <v>21.5</v>
      </c>
      <c r="X1691" s="498">
        <v>46.8</v>
      </c>
      <c r="Y1691" s="499">
        <v>5.3</v>
      </c>
      <c r="Z1691" s="93">
        <v>37</v>
      </c>
      <c r="AA1691" s="154"/>
      <c r="AB1691" s="152"/>
      <c r="AC1691" s="152"/>
      <c r="AD1691" s="223">
        <v>58.216800000000006</v>
      </c>
      <c r="AE1691" s="223">
        <v>1.3293109947643982</v>
      </c>
      <c r="AF1691" s="223">
        <v>77.380679781375875</v>
      </c>
      <c r="AG1691" s="223">
        <v>2.0208240000000002</v>
      </c>
      <c r="AH1691" s="341"/>
      <c r="AI1691" s="218"/>
      <c r="AJ1691" s="218"/>
      <c r="AK1691" s="153"/>
      <c r="AL1691" s="152"/>
      <c r="AM1691" s="152"/>
      <c r="AN1691" s="152"/>
      <c r="AO1691" s="152"/>
      <c r="AP1691" s="152"/>
      <c r="AQ1691" s="152"/>
      <c r="AR1691" s="152"/>
      <c r="AS1691" s="152"/>
      <c r="AT1691" s="152"/>
      <c r="AU1691" s="153"/>
      <c r="AV1691" s="479"/>
      <c r="AW1691" s="479"/>
      <c r="AX1691" s="442"/>
      <c r="AY1691" s="153"/>
      <c r="AZ1691" s="152"/>
      <c r="BA1691" s="152"/>
      <c r="BB1691" s="152"/>
      <c r="BC1691" s="152"/>
      <c r="BD1691" s="152"/>
      <c r="BE1691" s="152"/>
      <c r="BF1691" s="152"/>
      <c r="BG1691" s="152"/>
      <c r="BH1691" s="152"/>
      <c r="BI1691" s="153"/>
      <c r="BJ1691" s="153"/>
      <c r="BK1691" s="153"/>
      <c r="BL1691" s="153"/>
      <c r="BM1691" s="153"/>
      <c r="BN1691" s="153"/>
      <c r="BO1691" s="153"/>
      <c r="BP1691" s="153"/>
      <c r="BQ1691" s="153"/>
      <c r="BR1691" s="153"/>
      <c r="BS1691" s="153"/>
      <c r="BT1691" s="153"/>
      <c r="BU1691" s="153"/>
      <c r="BV1691" s="153"/>
      <c r="BW1691" s="153"/>
      <c r="BX1691" s="153"/>
      <c r="BY1691" s="153"/>
      <c r="BZ1691" s="153"/>
      <c r="CA1691" s="152"/>
      <c r="CB1691" s="152"/>
    </row>
    <row r="1692" spans="1:80" s="87" customFormat="1" x14ac:dyDescent="0.2">
      <c r="A1692" s="152"/>
      <c r="B1692" s="683"/>
      <c r="C1692" s="683"/>
      <c r="D1692" s="698"/>
      <c r="E1692" s="215"/>
      <c r="F1692" s="215"/>
      <c r="G1692" s="153"/>
      <c r="H1692" s="96"/>
      <c r="I1692" s="222">
        <v>20</v>
      </c>
      <c r="J1692" s="222">
        <v>15</v>
      </c>
      <c r="K1692" s="164">
        <v>1</v>
      </c>
      <c r="L1692" s="658">
        <v>5</v>
      </c>
      <c r="M1692" s="659">
        <v>35214</v>
      </c>
      <c r="N1692" s="600">
        <v>166.76181130628561</v>
      </c>
      <c r="O1692" s="602">
        <v>6.1609846339713821</v>
      </c>
      <c r="P1692" s="154"/>
      <c r="Q1692" s="154"/>
      <c r="R1692" s="93">
        <v>1.6</v>
      </c>
      <c r="S1692" s="93">
        <v>0.9</v>
      </c>
      <c r="T1692" s="93">
        <v>0.7</v>
      </c>
      <c r="U1692" s="93">
        <v>1.3</v>
      </c>
      <c r="V1692" s="499">
        <v>13</v>
      </c>
      <c r="W1692" s="499">
        <v>46.2</v>
      </c>
      <c r="X1692" s="499">
        <v>34.5</v>
      </c>
      <c r="Y1692" s="499">
        <v>1.8</v>
      </c>
      <c r="Z1692" s="93">
        <v>13</v>
      </c>
      <c r="AA1692" s="154"/>
      <c r="AB1692" s="152"/>
      <c r="AC1692" s="152"/>
      <c r="AD1692" s="223"/>
      <c r="AE1692" s="223"/>
      <c r="AF1692" s="223"/>
      <c r="AG1692" s="223"/>
      <c r="AH1692" s="341"/>
      <c r="AI1692" s="218"/>
      <c r="AJ1692" s="218"/>
      <c r="AK1692" s="153"/>
      <c r="AL1692" s="152"/>
      <c r="AM1692" s="152"/>
      <c r="AN1692" s="152"/>
      <c r="AO1692" s="152"/>
      <c r="AP1692" s="152"/>
      <c r="AQ1692" s="152"/>
      <c r="AR1692" s="152"/>
      <c r="AS1692" s="152"/>
      <c r="AT1692" s="152"/>
      <c r="AU1692" s="153"/>
      <c r="AV1692" s="479"/>
      <c r="AW1692" s="479"/>
      <c r="AX1692" s="442"/>
      <c r="AY1692" s="153"/>
      <c r="AZ1692" s="152"/>
      <c r="BA1692" s="152"/>
      <c r="BB1692" s="152"/>
      <c r="BC1692" s="152"/>
      <c r="BD1692" s="152"/>
      <c r="BE1692" s="152"/>
      <c r="BF1692" s="152"/>
      <c r="BG1692" s="152"/>
      <c r="BH1692" s="152"/>
      <c r="BI1692" s="153"/>
      <c r="BJ1692" s="153"/>
      <c r="BK1692" s="153"/>
      <c r="BL1692" s="153"/>
      <c r="BM1692" s="153"/>
      <c r="BN1692" s="153"/>
      <c r="BO1692" s="153"/>
      <c r="BP1692" s="153"/>
      <c r="BQ1692" s="153"/>
      <c r="BR1692" s="153"/>
      <c r="BS1692" s="153"/>
      <c r="BT1692" s="153"/>
      <c r="BU1692" s="153"/>
      <c r="BV1692" s="153"/>
      <c r="BW1692" s="153"/>
      <c r="BX1692" s="153"/>
      <c r="BY1692" s="153"/>
      <c r="BZ1692" s="153"/>
      <c r="CA1692" s="152"/>
      <c r="CB1692" s="152"/>
    </row>
    <row r="1693" spans="1:80" s="87" customFormat="1" x14ac:dyDescent="0.2">
      <c r="A1693" s="152"/>
      <c r="B1693" s="683"/>
      <c r="C1693" s="683"/>
      <c r="D1693" s="698"/>
      <c r="E1693" s="215"/>
      <c r="F1693" s="215"/>
      <c r="G1693" s="153"/>
      <c r="H1693" s="96"/>
      <c r="I1693" s="222">
        <v>20</v>
      </c>
      <c r="J1693" s="222">
        <v>10</v>
      </c>
      <c r="K1693" s="164">
        <v>1</v>
      </c>
      <c r="L1693" s="658">
        <v>3.3333333333333335</v>
      </c>
      <c r="M1693" s="659">
        <v>35214</v>
      </c>
      <c r="N1693" s="600">
        <v>166.76181130628561</v>
      </c>
      <c r="O1693" s="602">
        <v>9.5406048250084936</v>
      </c>
      <c r="P1693" s="154"/>
      <c r="Q1693" s="154"/>
      <c r="R1693" s="93"/>
      <c r="S1693" s="93">
        <v>0.5</v>
      </c>
      <c r="T1693" s="93">
        <v>0.7</v>
      </c>
      <c r="U1693" s="93">
        <v>2.2000000000000002</v>
      </c>
      <c r="V1693" s="499">
        <v>17.100000000000001</v>
      </c>
      <c r="W1693" s="499">
        <v>41.4</v>
      </c>
      <c r="X1693" s="499">
        <v>35.9</v>
      </c>
      <c r="Y1693" s="499">
        <v>2.2000000000000002</v>
      </c>
      <c r="Z1693" s="93">
        <v>30</v>
      </c>
      <c r="AA1693" s="154"/>
      <c r="AB1693" s="152"/>
      <c r="AC1693" s="152"/>
      <c r="AD1693" s="223"/>
      <c r="AE1693" s="223"/>
      <c r="AF1693" s="223"/>
      <c r="AG1693" s="223"/>
      <c r="AH1693" s="341"/>
      <c r="AI1693" s="218"/>
      <c r="AJ1693" s="218"/>
      <c r="AK1693" s="153"/>
      <c r="AL1693" s="152"/>
      <c r="AM1693" s="152"/>
      <c r="AN1693" s="152"/>
      <c r="AO1693" s="152"/>
      <c r="AP1693" s="152"/>
      <c r="AQ1693" s="152"/>
      <c r="AR1693" s="152"/>
      <c r="AS1693" s="152"/>
      <c r="AT1693" s="152"/>
      <c r="AU1693" s="153"/>
      <c r="AV1693" s="479"/>
      <c r="AW1693" s="479"/>
      <c r="AX1693" s="442"/>
      <c r="AY1693" s="153"/>
      <c r="AZ1693" s="152"/>
      <c r="BA1693" s="152"/>
      <c r="BB1693" s="152"/>
      <c r="BC1693" s="152"/>
      <c r="BD1693" s="152"/>
      <c r="BE1693" s="152"/>
      <c r="BF1693" s="152"/>
      <c r="BG1693" s="152"/>
      <c r="BH1693" s="152"/>
      <c r="BI1693" s="153"/>
      <c r="BJ1693" s="153"/>
      <c r="BK1693" s="153"/>
      <c r="BL1693" s="153"/>
      <c r="BM1693" s="153"/>
      <c r="BN1693" s="153"/>
      <c r="BO1693" s="153"/>
      <c r="BP1693" s="153"/>
      <c r="BQ1693" s="153"/>
      <c r="BR1693" s="153"/>
      <c r="BS1693" s="153"/>
      <c r="BT1693" s="153"/>
      <c r="BU1693" s="153"/>
      <c r="BV1693" s="153"/>
      <c r="BW1693" s="153"/>
      <c r="BX1693" s="153"/>
      <c r="BY1693" s="153"/>
      <c r="BZ1693" s="153"/>
      <c r="CA1693" s="152"/>
      <c r="CB1693" s="152"/>
    </row>
    <row r="1694" spans="1:80" s="87" customFormat="1" x14ac:dyDescent="0.2">
      <c r="A1694" s="152"/>
      <c r="B1694" s="683"/>
      <c r="C1694" s="683"/>
      <c r="D1694" s="698"/>
      <c r="E1694" s="215"/>
      <c r="F1694" s="215"/>
      <c r="G1694" s="153"/>
      <c r="H1694" s="96"/>
      <c r="I1694" s="222">
        <v>20</v>
      </c>
      <c r="J1694" s="222">
        <v>10</v>
      </c>
      <c r="K1694" s="164">
        <v>1</v>
      </c>
      <c r="L1694" s="658">
        <v>3.3333333333333335</v>
      </c>
      <c r="M1694" s="659">
        <v>35221</v>
      </c>
      <c r="N1694" s="600">
        <v>212.91151460496906</v>
      </c>
      <c r="O1694" s="602">
        <v>2.4874844263223466</v>
      </c>
      <c r="P1694" s="154"/>
      <c r="Q1694" s="154"/>
      <c r="R1694" s="93">
        <v>10.4</v>
      </c>
      <c r="S1694" s="93">
        <v>3.1</v>
      </c>
      <c r="T1694" s="93">
        <v>0.9</v>
      </c>
      <c r="U1694" s="93">
        <v>1.3</v>
      </c>
      <c r="V1694" s="499">
        <v>7.7</v>
      </c>
      <c r="W1694" s="499">
        <v>27.5</v>
      </c>
      <c r="X1694" s="499">
        <v>43.6</v>
      </c>
      <c r="Y1694" s="499">
        <v>5.5</v>
      </c>
      <c r="Z1694" s="93">
        <v>14</v>
      </c>
      <c r="AA1694" s="154"/>
      <c r="AB1694" s="152"/>
      <c r="AC1694" s="152"/>
      <c r="AD1694" s="223"/>
      <c r="AE1694" s="223"/>
      <c r="AF1694" s="223"/>
      <c r="AG1694" s="223"/>
      <c r="AH1694" s="341"/>
      <c r="AI1694" s="218"/>
      <c r="AJ1694" s="218"/>
      <c r="AK1694" s="153"/>
      <c r="AL1694" s="152"/>
      <c r="AM1694" s="152"/>
      <c r="AN1694" s="152"/>
      <c r="AO1694" s="152"/>
      <c r="AP1694" s="152"/>
      <c r="AQ1694" s="152"/>
      <c r="AR1694" s="152"/>
      <c r="AS1694" s="152"/>
      <c r="AT1694" s="152"/>
      <c r="AU1694" s="153"/>
      <c r="AV1694" s="479"/>
      <c r="AW1694" s="479"/>
      <c r="AX1694" s="442"/>
      <c r="AY1694" s="153"/>
      <c r="AZ1694" s="152"/>
      <c r="BA1694" s="152"/>
      <c r="BB1694" s="152"/>
      <c r="BC1694" s="152"/>
      <c r="BD1694" s="152"/>
      <c r="BE1694" s="152"/>
      <c r="BF1694" s="152"/>
      <c r="BG1694" s="152"/>
      <c r="BH1694" s="152"/>
      <c r="BI1694" s="153"/>
      <c r="BJ1694" s="153"/>
      <c r="BK1694" s="153"/>
      <c r="BL1694" s="153"/>
      <c r="BM1694" s="153"/>
      <c r="BN1694" s="153"/>
      <c r="BO1694" s="153"/>
      <c r="BP1694" s="153"/>
      <c r="BQ1694" s="153"/>
      <c r="BR1694" s="153"/>
      <c r="BS1694" s="153"/>
      <c r="BT1694" s="153"/>
      <c r="BU1694" s="153"/>
      <c r="BV1694" s="153"/>
      <c r="BW1694" s="153"/>
      <c r="BX1694" s="153"/>
      <c r="BY1694" s="153"/>
      <c r="BZ1694" s="153"/>
      <c r="CA1694" s="152"/>
      <c r="CB1694" s="152"/>
    </row>
    <row r="1695" spans="1:80" s="87" customFormat="1" x14ac:dyDescent="0.2">
      <c r="A1695" s="152"/>
      <c r="B1695" s="683"/>
      <c r="C1695" s="683"/>
      <c r="D1695" s="698"/>
      <c r="E1695" s="215"/>
      <c r="F1695" s="215"/>
      <c r="G1695" s="153"/>
      <c r="H1695" s="96"/>
      <c r="I1695" s="222">
        <v>20</v>
      </c>
      <c r="J1695" s="222">
        <v>10</v>
      </c>
      <c r="K1695" s="164">
        <v>1</v>
      </c>
      <c r="L1695" s="658">
        <v>3.3333333333333335</v>
      </c>
      <c r="M1695" s="659">
        <v>35221</v>
      </c>
      <c r="N1695" s="600">
        <v>212.91151460496906</v>
      </c>
      <c r="O1695" s="602">
        <v>3.5370559142220714</v>
      </c>
      <c r="P1695" s="154"/>
      <c r="Q1695" s="154"/>
      <c r="R1695" s="93"/>
      <c r="S1695" s="93">
        <v>0.8</v>
      </c>
      <c r="T1695" s="93">
        <v>0.3</v>
      </c>
      <c r="U1695" s="93">
        <v>0.8</v>
      </c>
      <c r="V1695" s="499">
        <v>9.4</v>
      </c>
      <c r="W1695" s="499">
        <v>31.6</v>
      </c>
      <c r="X1695" s="499">
        <v>50.9</v>
      </c>
      <c r="Y1695" s="499">
        <v>6.2</v>
      </c>
      <c r="Z1695" s="93">
        <v>28</v>
      </c>
      <c r="AA1695" s="154"/>
      <c r="AB1695" s="152"/>
      <c r="AC1695" s="152"/>
      <c r="AD1695" s="223"/>
      <c r="AE1695" s="223"/>
      <c r="AF1695" s="223"/>
      <c r="AG1695" s="223"/>
      <c r="AH1695" s="341"/>
      <c r="AI1695" s="218"/>
      <c r="AJ1695" s="218"/>
      <c r="AK1695" s="153"/>
      <c r="AL1695" s="152"/>
      <c r="AM1695" s="152"/>
      <c r="AN1695" s="152"/>
      <c r="AO1695" s="152"/>
      <c r="AP1695" s="152"/>
      <c r="AQ1695" s="152"/>
      <c r="AR1695" s="152"/>
      <c r="AS1695" s="152"/>
      <c r="AT1695" s="152"/>
      <c r="AU1695" s="153"/>
      <c r="AV1695" s="479"/>
      <c r="AW1695" s="479"/>
      <c r="AX1695" s="442"/>
      <c r="AY1695" s="153"/>
      <c r="AZ1695" s="152"/>
      <c r="BA1695" s="152"/>
      <c r="BB1695" s="152"/>
      <c r="BC1695" s="152"/>
      <c r="BD1695" s="152"/>
      <c r="BE1695" s="152"/>
      <c r="BF1695" s="152"/>
      <c r="BG1695" s="152"/>
      <c r="BH1695" s="152"/>
      <c r="BI1695" s="153"/>
      <c r="BJ1695" s="153"/>
      <c r="BK1695" s="153"/>
      <c r="BL1695" s="153"/>
      <c r="BM1695" s="153"/>
      <c r="BN1695" s="153"/>
      <c r="BO1695" s="153"/>
      <c r="BP1695" s="153"/>
      <c r="BQ1695" s="153"/>
      <c r="BR1695" s="153"/>
      <c r="BS1695" s="153"/>
      <c r="BT1695" s="153"/>
      <c r="BU1695" s="153"/>
      <c r="BV1695" s="153"/>
      <c r="BW1695" s="153"/>
      <c r="BX1695" s="153"/>
      <c r="BY1695" s="153"/>
      <c r="BZ1695" s="153"/>
      <c r="CA1695" s="152"/>
      <c r="CB1695" s="152"/>
    </row>
    <row r="1696" spans="1:80" s="87" customFormat="1" x14ac:dyDescent="0.2">
      <c r="A1696" s="152"/>
      <c r="B1696" s="683"/>
      <c r="C1696" s="683"/>
      <c r="D1696" s="698"/>
      <c r="E1696" s="215"/>
      <c r="F1696" s="215"/>
      <c r="G1696" s="153"/>
      <c r="H1696" s="96"/>
      <c r="I1696" s="222">
        <v>20</v>
      </c>
      <c r="J1696" s="222">
        <v>10</v>
      </c>
      <c r="K1696" s="164">
        <v>1</v>
      </c>
      <c r="L1696" s="658">
        <v>3.3333333333333335</v>
      </c>
      <c r="M1696" s="659">
        <v>35226</v>
      </c>
      <c r="N1696" s="600">
        <v>230.74851649341727</v>
      </c>
      <c r="O1696" s="602">
        <v>15.638615169705893</v>
      </c>
      <c r="P1696" s="93">
        <v>16.399999999999999</v>
      </c>
      <c r="Q1696" s="93">
        <v>28.5</v>
      </c>
      <c r="R1696" s="93">
        <v>5.9</v>
      </c>
      <c r="S1696" s="93">
        <v>1.2</v>
      </c>
      <c r="T1696" s="93">
        <v>0.7</v>
      </c>
      <c r="U1696" s="93">
        <v>1.5</v>
      </c>
      <c r="V1696" s="499">
        <v>7.1</v>
      </c>
      <c r="W1696" s="499">
        <v>19.5</v>
      </c>
      <c r="X1696" s="499">
        <v>18.2</v>
      </c>
      <c r="Y1696" s="499">
        <v>1</v>
      </c>
      <c r="Z1696" s="93">
        <v>23</v>
      </c>
      <c r="AA1696" s="154"/>
      <c r="AB1696" s="152"/>
      <c r="AC1696" s="152"/>
      <c r="AD1696" s="223">
        <v>62.788800000000002</v>
      </c>
      <c r="AE1696" s="223">
        <v>1.5387961165048545</v>
      </c>
      <c r="AF1696" s="223">
        <v>96.609732260061122</v>
      </c>
      <c r="AG1696" s="223">
        <v>2.1884640000000002</v>
      </c>
      <c r="AH1696" s="341"/>
      <c r="AI1696" s="218"/>
      <c r="AJ1696" s="218"/>
      <c r="AK1696" s="153"/>
      <c r="AL1696" s="152"/>
      <c r="AM1696" s="152"/>
      <c r="AN1696" s="152"/>
      <c r="AO1696" s="152"/>
      <c r="AP1696" s="152"/>
      <c r="AQ1696" s="152"/>
      <c r="AR1696" s="152"/>
      <c r="AS1696" s="152"/>
      <c r="AT1696" s="152"/>
      <c r="AU1696" s="153"/>
      <c r="AV1696" s="479"/>
      <c r="AW1696" s="479"/>
      <c r="AX1696" s="442"/>
      <c r="AY1696" s="153"/>
      <c r="AZ1696" s="152"/>
      <c r="BA1696" s="152"/>
      <c r="BB1696" s="152"/>
      <c r="BC1696" s="152"/>
      <c r="BD1696" s="152"/>
      <c r="BE1696" s="152"/>
      <c r="BF1696" s="152"/>
      <c r="BG1696" s="152"/>
      <c r="BH1696" s="152"/>
      <c r="BI1696" s="153"/>
      <c r="BJ1696" s="153"/>
      <c r="BK1696" s="153"/>
      <c r="BL1696" s="153"/>
      <c r="BM1696" s="153"/>
      <c r="BN1696" s="153"/>
      <c r="BO1696" s="153"/>
      <c r="BP1696" s="153"/>
      <c r="BQ1696" s="153"/>
      <c r="BR1696" s="153"/>
      <c r="BS1696" s="153"/>
      <c r="BT1696" s="153"/>
      <c r="BU1696" s="153"/>
      <c r="BV1696" s="153"/>
      <c r="BW1696" s="153"/>
      <c r="BX1696" s="153"/>
      <c r="BY1696" s="153"/>
      <c r="BZ1696" s="153"/>
      <c r="CA1696" s="152"/>
      <c r="CB1696" s="152"/>
    </row>
    <row r="1697" spans="1:80" s="87" customFormat="1" x14ac:dyDescent="0.2">
      <c r="A1697" s="152"/>
      <c r="B1697" s="683"/>
      <c r="C1697" s="683"/>
      <c r="D1697" s="698"/>
      <c r="E1697" s="215"/>
      <c r="F1697" s="215"/>
      <c r="G1697" s="153"/>
      <c r="H1697" s="96"/>
      <c r="I1697" s="222">
        <v>20</v>
      </c>
      <c r="J1697" s="222">
        <v>10</v>
      </c>
      <c r="K1697" s="164">
        <v>1</v>
      </c>
      <c r="L1697" s="658">
        <v>3.3333333333333335</v>
      </c>
      <c r="M1697" s="659">
        <v>35226</v>
      </c>
      <c r="N1697" s="600">
        <v>230.74851649341727</v>
      </c>
      <c r="O1697" s="602">
        <v>4.8910031336127151</v>
      </c>
      <c r="P1697" s="93"/>
      <c r="Q1697" s="93"/>
      <c r="R1697" s="93">
        <v>6.4</v>
      </c>
      <c r="S1697" s="93">
        <v>3.2</v>
      </c>
      <c r="T1697" s="93">
        <v>1.3</v>
      </c>
      <c r="U1697" s="93">
        <v>2</v>
      </c>
      <c r="V1697" s="499">
        <v>11</v>
      </c>
      <c r="W1697" s="499">
        <v>34.700000000000003</v>
      </c>
      <c r="X1697" s="499">
        <v>38.5</v>
      </c>
      <c r="Y1697" s="499">
        <v>2.9</v>
      </c>
      <c r="Z1697" s="93">
        <v>62</v>
      </c>
      <c r="AA1697" s="154"/>
      <c r="AB1697" s="152"/>
      <c r="AC1697" s="152"/>
      <c r="AD1697" s="223">
        <v>62.788800000000002</v>
      </c>
      <c r="AE1697" s="223">
        <v>1.5387961165048545</v>
      </c>
      <c r="AF1697" s="223">
        <v>96.609732260061122</v>
      </c>
      <c r="AG1697" s="223">
        <v>2.1884640000000002</v>
      </c>
      <c r="AH1697" s="341"/>
      <c r="AI1697" s="218"/>
      <c r="AJ1697" s="218"/>
      <c r="AK1697" s="153"/>
      <c r="AL1697" s="152"/>
      <c r="AM1697" s="152"/>
      <c r="AN1697" s="152"/>
      <c r="AO1697" s="152"/>
      <c r="AP1697" s="152"/>
      <c r="AQ1697" s="152"/>
      <c r="AR1697" s="152"/>
      <c r="AS1697" s="152"/>
      <c r="AT1697" s="152"/>
      <c r="AU1697" s="153"/>
      <c r="AV1697" s="479"/>
      <c r="AW1697" s="479"/>
      <c r="AX1697" s="442"/>
      <c r="AY1697" s="153"/>
      <c r="AZ1697" s="152"/>
      <c r="BA1697" s="152"/>
      <c r="BB1697" s="152"/>
      <c r="BC1697" s="152"/>
      <c r="BD1697" s="152"/>
      <c r="BE1697" s="152"/>
      <c r="BF1697" s="152"/>
      <c r="BG1697" s="152"/>
      <c r="BH1697" s="152"/>
      <c r="BI1697" s="153"/>
      <c r="BJ1697" s="153"/>
      <c r="BK1697" s="153"/>
      <c r="BL1697" s="153"/>
      <c r="BM1697" s="153"/>
      <c r="BN1697" s="153"/>
      <c r="BO1697" s="153"/>
      <c r="BP1697" s="153"/>
      <c r="BQ1697" s="153"/>
      <c r="BR1697" s="153"/>
      <c r="BS1697" s="153"/>
      <c r="BT1697" s="153"/>
      <c r="BU1697" s="153"/>
      <c r="BV1697" s="153"/>
      <c r="BW1697" s="153"/>
      <c r="BX1697" s="153"/>
      <c r="BY1697" s="153"/>
      <c r="BZ1697" s="153"/>
      <c r="CA1697" s="152"/>
      <c r="CB1697" s="152"/>
    </row>
    <row r="1698" spans="1:80" s="87" customFormat="1" x14ac:dyDescent="0.2">
      <c r="A1698" s="152"/>
      <c r="B1698" s="683"/>
      <c r="C1698" s="683"/>
      <c r="D1698" s="698"/>
      <c r="E1698" s="215"/>
      <c r="F1698" s="215"/>
      <c r="G1698" s="153"/>
      <c r="H1698" s="96"/>
      <c r="I1698" s="222">
        <v>20</v>
      </c>
      <c r="J1698" s="222">
        <v>10</v>
      </c>
      <c r="K1698" s="164">
        <v>1</v>
      </c>
      <c r="L1698" s="658">
        <v>3.3333333333333335</v>
      </c>
      <c r="M1698" s="659">
        <v>35567</v>
      </c>
      <c r="N1698" s="600">
        <v>291.62082452542307</v>
      </c>
      <c r="O1698" s="603">
        <v>19.941858270094762</v>
      </c>
      <c r="P1698" s="93"/>
      <c r="Q1698" s="93">
        <v>17.100000000000001</v>
      </c>
      <c r="R1698" s="93">
        <v>4.2</v>
      </c>
      <c r="S1698" s="93">
        <v>1.1000000000000001</v>
      </c>
      <c r="T1698" s="93">
        <v>1</v>
      </c>
      <c r="U1698" s="93">
        <v>1.7</v>
      </c>
      <c r="V1698" s="499">
        <v>11.1</v>
      </c>
      <c r="W1698" s="499">
        <v>52.7</v>
      </c>
      <c r="X1698" s="499">
        <v>10.5</v>
      </c>
      <c r="Y1698" s="499">
        <v>0.6</v>
      </c>
      <c r="Z1698" s="93">
        <v>48</v>
      </c>
      <c r="AA1698" s="154"/>
      <c r="AB1698" s="152"/>
      <c r="AC1698" s="152"/>
      <c r="AD1698" s="223">
        <v>63.093600000000002</v>
      </c>
      <c r="AE1698" s="223">
        <v>1.8700289855072463</v>
      </c>
      <c r="AF1698" s="223">
        <v>117.97534612526695</v>
      </c>
      <c r="AG1698" s="223">
        <v>2.4231600000000002</v>
      </c>
      <c r="AH1698" s="341"/>
      <c r="AI1698" s="218"/>
      <c r="AJ1698" s="218"/>
      <c r="AK1698" s="153"/>
      <c r="AL1698" s="152"/>
      <c r="AM1698" s="152"/>
      <c r="AN1698" s="152"/>
      <c r="AO1698" s="152"/>
      <c r="AP1698" s="152"/>
      <c r="AQ1698" s="152"/>
      <c r="AR1698" s="152"/>
      <c r="AS1698" s="152"/>
      <c r="AT1698" s="152"/>
      <c r="AU1698" s="153"/>
      <c r="AV1698" s="479"/>
      <c r="AW1698" s="479"/>
      <c r="AX1698" s="442"/>
      <c r="AY1698" s="153"/>
      <c r="AZ1698" s="152"/>
      <c r="BA1698" s="152"/>
      <c r="BB1698" s="152"/>
      <c r="BC1698" s="152"/>
      <c r="BD1698" s="152"/>
      <c r="BE1698" s="152"/>
      <c r="BF1698" s="152"/>
      <c r="BG1698" s="152"/>
      <c r="BH1698" s="152"/>
      <c r="BI1698" s="153"/>
      <c r="BJ1698" s="153"/>
      <c r="BK1698" s="153"/>
      <c r="BL1698" s="153"/>
      <c r="BM1698" s="153"/>
      <c r="BN1698" s="153"/>
      <c r="BO1698" s="153"/>
      <c r="BP1698" s="153"/>
      <c r="BQ1698" s="153"/>
      <c r="BR1698" s="153"/>
      <c r="BS1698" s="153"/>
      <c r="BT1698" s="153"/>
      <c r="BU1698" s="153"/>
      <c r="BV1698" s="153"/>
      <c r="BW1698" s="153"/>
      <c r="BX1698" s="153"/>
      <c r="BY1698" s="153"/>
      <c r="BZ1698" s="153"/>
      <c r="CA1698" s="152"/>
      <c r="CB1698" s="152"/>
    </row>
    <row r="1699" spans="1:80" s="87" customFormat="1" x14ac:dyDescent="0.2">
      <c r="A1699" s="152"/>
      <c r="B1699" s="683"/>
      <c r="C1699" s="683"/>
      <c r="D1699" s="698"/>
      <c r="E1699" s="215"/>
      <c r="F1699" s="215"/>
      <c r="G1699" s="153"/>
      <c r="H1699" s="152"/>
      <c r="I1699" s="222">
        <v>20</v>
      </c>
      <c r="J1699" s="222">
        <v>10</v>
      </c>
      <c r="K1699" s="164">
        <v>1</v>
      </c>
      <c r="L1699" s="658">
        <v>3.3333333333333335</v>
      </c>
      <c r="M1699" s="659">
        <v>35567</v>
      </c>
      <c r="N1699" s="600">
        <v>291.62082452542307</v>
      </c>
      <c r="O1699" s="603">
        <v>33.271416166421261</v>
      </c>
      <c r="P1699" s="93"/>
      <c r="Q1699" s="93">
        <v>4.5999999999999996</v>
      </c>
      <c r="R1699" s="93">
        <v>4.3</v>
      </c>
      <c r="S1699" s="93">
        <v>3.8</v>
      </c>
      <c r="T1699" s="93">
        <v>4.5</v>
      </c>
      <c r="U1699" s="93">
        <v>6.3</v>
      </c>
      <c r="V1699" s="499">
        <v>19.7</v>
      </c>
      <c r="W1699" s="499">
        <v>46.2</v>
      </c>
      <c r="X1699" s="499">
        <v>10</v>
      </c>
      <c r="Y1699" s="499">
        <v>0.6</v>
      </c>
      <c r="Z1699" s="93">
        <v>50</v>
      </c>
      <c r="AA1699" s="154"/>
      <c r="AB1699" s="152"/>
      <c r="AC1699" s="152"/>
      <c r="AD1699" s="223">
        <v>63.093600000000002</v>
      </c>
      <c r="AE1699" s="223">
        <v>1.8700289855072463</v>
      </c>
      <c r="AF1699" s="223">
        <v>117.97534612526695</v>
      </c>
      <c r="AG1699" s="223">
        <v>2.4231600000000002</v>
      </c>
      <c r="AH1699" s="341"/>
      <c r="AI1699" s="218"/>
      <c r="AJ1699" s="218"/>
      <c r="AK1699" s="153"/>
      <c r="AL1699" s="152"/>
      <c r="AM1699" s="152"/>
      <c r="AN1699" s="152"/>
      <c r="AO1699" s="152"/>
      <c r="AP1699" s="152"/>
      <c r="AQ1699" s="152"/>
      <c r="AR1699" s="152"/>
      <c r="AS1699" s="152"/>
      <c r="AT1699" s="152"/>
      <c r="AU1699" s="153"/>
      <c r="AV1699" s="479"/>
      <c r="AW1699" s="479"/>
      <c r="AX1699" s="442"/>
      <c r="AY1699" s="153"/>
      <c r="AZ1699" s="152"/>
      <c r="BA1699" s="152"/>
      <c r="BB1699" s="152"/>
      <c r="BC1699" s="152"/>
      <c r="BD1699" s="152"/>
      <c r="BE1699" s="152"/>
      <c r="BF1699" s="152"/>
      <c r="BG1699" s="152"/>
      <c r="BH1699" s="152"/>
      <c r="BI1699" s="153"/>
      <c r="BJ1699" s="153"/>
      <c r="BK1699" s="153"/>
      <c r="BL1699" s="153"/>
      <c r="BM1699" s="153"/>
      <c r="BN1699" s="153"/>
      <c r="BO1699" s="153"/>
      <c r="BP1699" s="153"/>
      <c r="BQ1699" s="153"/>
      <c r="BR1699" s="153"/>
      <c r="BS1699" s="153"/>
      <c r="BT1699" s="153"/>
      <c r="BU1699" s="153"/>
      <c r="BV1699" s="153"/>
      <c r="BW1699" s="153"/>
      <c r="BX1699" s="153"/>
      <c r="BY1699" s="153"/>
      <c r="BZ1699" s="153"/>
      <c r="CA1699" s="152"/>
      <c r="CB1699" s="152"/>
    </row>
    <row r="1700" spans="1:80" ht="15" x14ac:dyDescent="0.25">
      <c r="A1700" s="9" t="s">
        <v>176</v>
      </c>
      <c r="B1700" s="639" t="s">
        <v>66</v>
      </c>
      <c r="C1700" s="639"/>
      <c r="D1700" s="4">
        <f>VLOOKUP(E1700,'Quality Code'!D4:E24,2,TRUE)*VLOOKUP(MROUND(F1700,10),'Quality Code'!D28:E69,2,TRUE)*VLOOKUP(4,'Quality Code'!D73:E93,2,TRUE)</f>
        <v>1.3</v>
      </c>
      <c r="E1700" s="14">
        <v>0.65</v>
      </c>
      <c r="F1700" s="18">
        <v>35</v>
      </c>
      <c r="G1700" s="12">
        <v>27.97</v>
      </c>
      <c r="H1700" s="2" t="s">
        <v>231</v>
      </c>
      <c r="I1700" s="10"/>
      <c r="J1700" s="10" t="s">
        <v>283</v>
      </c>
      <c r="K1700" s="10"/>
      <c r="L1700" s="640" t="s">
        <v>284</v>
      </c>
      <c r="M1700" s="640" t="s">
        <v>839</v>
      </c>
      <c r="N1700" s="579" t="s">
        <v>296</v>
      </c>
      <c r="O1700" s="579"/>
      <c r="P1700" s="10" t="s">
        <v>64</v>
      </c>
      <c r="Q1700" s="10" t="s">
        <v>64</v>
      </c>
      <c r="R1700" s="10" t="s">
        <v>64</v>
      </c>
      <c r="S1700" s="10" t="s">
        <v>64</v>
      </c>
      <c r="T1700" s="10" t="s">
        <v>64</v>
      </c>
      <c r="U1700" s="10" t="s">
        <v>64</v>
      </c>
      <c r="V1700" s="10"/>
      <c r="W1700" s="141"/>
      <c r="X1700" s="141"/>
      <c r="Y1700" s="141"/>
      <c r="Z1700" s="11"/>
      <c r="AA1700" s="11"/>
      <c r="AB1700" s="11"/>
      <c r="AC1700" s="85">
        <v>1.11E-2</v>
      </c>
      <c r="AD1700" s="26"/>
      <c r="AE1700" s="26"/>
      <c r="AF1700" s="26"/>
      <c r="AG1700" s="26"/>
      <c r="AH1700" s="330" t="s">
        <v>303</v>
      </c>
      <c r="AI1700" s="123"/>
      <c r="AJ1700" s="123"/>
      <c r="AK1700" s="17"/>
      <c r="AL1700" s="17"/>
      <c r="AM1700" s="17"/>
      <c r="AN1700" s="17"/>
      <c r="AO1700" s="17"/>
      <c r="AP1700" s="17"/>
      <c r="AQ1700" s="17"/>
      <c r="AR1700" s="17"/>
      <c r="AS1700" s="17"/>
      <c r="AT1700" s="17"/>
      <c r="AU1700" s="18">
        <v>27</v>
      </c>
      <c r="AV1700" s="137">
        <v>1</v>
      </c>
      <c r="AW1700" s="137">
        <v>1</v>
      </c>
      <c r="AX1700" s="137">
        <v>1</v>
      </c>
      <c r="AY1700" s="137">
        <v>0.97</v>
      </c>
      <c r="AZ1700" s="17">
        <v>0.79</v>
      </c>
      <c r="BA1700" s="17">
        <v>0.64</v>
      </c>
      <c r="BB1700" s="17">
        <v>0.23</v>
      </c>
      <c r="BC1700" s="17">
        <v>0.03</v>
      </c>
      <c r="BD1700" s="17">
        <v>0.03</v>
      </c>
      <c r="BE1700" s="17">
        <v>0.02</v>
      </c>
      <c r="BF1700" s="17"/>
      <c r="BG1700" s="17"/>
      <c r="BH1700" s="17"/>
      <c r="BI1700" s="4"/>
      <c r="BJ1700" s="2"/>
      <c r="BK1700" s="2" t="s">
        <v>175</v>
      </c>
      <c r="BL1700" s="12"/>
      <c r="BM1700" s="12">
        <v>2.36</v>
      </c>
      <c r="BN1700" s="12">
        <v>6.55</v>
      </c>
      <c r="BO1700" s="12">
        <v>0.41</v>
      </c>
      <c r="BP1700" s="12">
        <v>2.68</v>
      </c>
      <c r="BQ1700" s="12">
        <f>BN1700/BO1700</f>
        <v>15.975609756097562</v>
      </c>
      <c r="BR1700" s="12" t="s">
        <v>378</v>
      </c>
      <c r="BS1700" s="12"/>
      <c r="BT1700" s="12"/>
      <c r="BU1700" s="2"/>
      <c r="BV1700" s="2"/>
      <c r="BW1700" s="2"/>
      <c r="BX1700" s="2"/>
      <c r="BY1700" s="2" t="s">
        <v>83</v>
      </c>
      <c r="BZ1700" s="2"/>
      <c r="CA1700" s="381"/>
      <c r="CB1700" s="9" t="s">
        <v>224</v>
      </c>
    </row>
    <row r="1701" spans="1:80" s="87" customFormat="1" ht="15" x14ac:dyDescent="0.2">
      <c r="A1701" s="152"/>
      <c r="B1701" s="683"/>
      <c r="C1701" s="683"/>
      <c r="D1701" s="698"/>
      <c r="E1701" s="215"/>
      <c r="F1701" s="215"/>
      <c r="G1701" s="153"/>
      <c r="H1701" s="153"/>
      <c r="I1701" s="298">
        <v>20</v>
      </c>
      <c r="J1701" s="150">
        <v>30</v>
      </c>
      <c r="K1701" s="150">
        <v>1</v>
      </c>
      <c r="L1701" s="656">
        <v>10</v>
      </c>
      <c r="M1701" s="659">
        <v>32203</v>
      </c>
      <c r="N1701" s="600">
        <v>0.20470083119600085</v>
      </c>
      <c r="O1701" s="604">
        <v>4.7335674104277566E-5</v>
      </c>
      <c r="P1701" s="154"/>
      <c r="Q1701" s="154"/>
      <c r="R1701" s="154"/>
      <c r="S1701" s="154"/>
      <c r="T1701" s="154"/>
      <c r="U1701" s="154"/>
      <c r="V1701" s="608" t="s">
        <v>29</v>
      </c>
      <c r="W1701" s="609"/>
      <c r="X1701" s="704"/>
      <c r="Y1701" s="236"/>
      <c r="Z1701" s="726"/>
      <c r="AA1701" s="154"/>
      <c r="AB1701" s="108" t="s">
        <v>177</v>
      </c>
      <c r="AC1701" s="152"/>
      <c r="AD1701" s="223"/>
      <c r="AE1701" s="223"/>
      <c r="AF1701" s="223"/>
      <c r="AG1701" s="223"/>
      <c r="AH1701" s="340" t="s">
        <v>304</v>
      </c>
      <c r="AI1701" s="218"/>
      <c r="AJ1701" s="218"/>
      <c r="AK1701" s="153"/>
      <c r="AL1701" s="152"/>
      <c r="AM1701" s="152"/>
      <c r="AN1701" s="152"/>
      <c r="AO1701" s="152"/>
      <c r="AP1701" s="152"/>
      <c r="AQ1701" s="152"/>
      <c r="AR1701" s="152"/>
      <c r="AS1701" s="152"/>
      <c r="AT1701" s="152"/>
      <c r="AU1701" s="153"/>
      <c r="AV1701" s="479"/>
      <c r="AW1701" s="479"/>
      <c r="AX1701" s="442"/>
      <c r="AY1701" s="153"/>
      <c r="AZ1701" s="152"/>
      <c r="BA1701" s="152"/>
      <c r="BB1701" s="152"/>
      <c r="BC1701" s="152"/>
      <c r="BD1701" s="152"/>
      <c r="BE1701" s="152"/>
      <c r="BF1701" s="152"/>
      <c r="BG1701" s="152"/>
      <c r="BH1701" s="152"/>
      <c r="BI1701" s="153"/>
      <c r="BJ1701" s="153"/>
      <c r="BK1701" s="153"/>
      <c r="BL1701" s="153"/>
      <c r="BM1701" s="153"/>
      <c r="BN1701" s="153"/>
      <c r="BO1701" s="153"/>
      <c r="BP1701" s="153"/>
      <c r="BQ1701" s="153"/>
      <c r="BR1701" s="153"/>
      <c r="BS1701" s="153"/>
      <c r="BT1701" s="153"/>
      <c r="BU1701" s="153"/>
      <c r="BV1701" s="153"/>
      <c r="BW1701" s="153"/>
      <c r="BX1701" s="153"/>
      <c r="BY1701" s="153"/>
      <c r="BZ1701" s="153"/>
      <c r="CA1701" s="152"/>
      <c r="CB1701" s="154" t="s">
        <v>597</v>
      </c>
    </row>
    <row r="1702" spans="1:80" s="87" customFormat="1" ht="15" x14ac:dyDescent="0.2">
      <c r="A1702" s="152"/>
      <c r="B1702" s="683"/>
      <c r="C1702" s="683"/>
      <c r="D1702" s="698"/>
      <c r="E1702" s="215"/>
      <c r="F1702" s="215"/>
      <c r="G1702" s="153"/>
      <c r="H1702" s="153"/>
      <c r="I1702" s="298">
        <v>20</v>
      </c>
      <c r="J1702" s="150">
        <v>30</v>
      </c>
      <c r="K1702" s="150">
        <v>1</v>
      </c>
      <c r="L1702" s="656">
        <v>10</v>
      </c>
      <c r="M1702" s="659">
        <v>32231</v>
      </c>
      <c r="N1702" s="600">
        <v>0.65119213243541074</v>
      </c>
      <c r="O1702" s="604">
        <v>2.6239287197493107E-3</v>
      </c>
      <c r="P1702" s="154"/>
      <c r="Q1702" s="154"/>
      <c r="R1702" s="154"/>
      <c r="S1702" s="154"/>
      <c r="T1702" s="154"/>
      <c r="U1702" s="154"/>
      <c r="V1702" s="608" t="s">
        <v>29</v>
      </c>
      <c r="W1702" s="239"/>
      <c r="X1702" s="660"/>
      <c r="Y1702" s="240"/>
      <c r="Z1702" s="726"/>
      <c r="AA1702" s="154"/>
      <c r="AB1702" s="108" t="s">
        <v>177</v>
      </c>
      <c r="AC1702" s="152"/>
      <c r="AD1702" s="223"/>
      <c r="AE1702" s="223"/>
      <c r="AF1702" s="223"/>
      <c r="AG1702" s="223"/>
      <c r="AH1702" s="340" t="s">
        <v>305</v>
      </c>
      <c r="AI1702" s="218"/>
      <c r="AJ1702" s="218"/>
      <c r="AK1702" s="153"/>
      <c r="AL1702" s="152"/>
      <c r="AM1702" s="152"/>
      <c r="AN1702" s="152"/>
      <c r="AO1702" s="152"/>
      <c r="AP1702" s="152"/>
      <c r="AQ1702" s="152"/>
      <c r="AR1702" s="152"/>
      <c r="AS1702" s="152"/>
      <c r="AT1702" s="152"/>
      <c r="AU1702" s="153"/>
      <c r="AV1702" s="479"/>
      <c r="AW1702" s="479"/>
      <c r="AX1702" s="442"/>
      <c r="AY1702" s="153"/>
      <c r="AZ1702" s="152"/>
      <c r="BA1702" s="152"/>
      <c r="BB1702" s="152"/>
      <c r="BC1702" s="152"/>
      <c r="BD1702" s="152"/>
      <c r="BE1702" s="152"/>
      <c r="BF1702" s="152"/>
      <c r="BG1702" s="152"/>
      <c r="BH1702" s="152"/>
      <c r="BI1702" s="153"/>
      <c r="BJ1702" s="153"/>
      <c r="BK1702" s="153"/>
      <c r="BL1702" s="153"/>
      <c r="BM1702" s="153"/>
      <c r="BN1702" s="153"/>
      <c r="BO1702" s="153"/>
      <c r="BP1702" s="153"/>
      <c r="BQ1702" s="153"/>
      <c r="BR1702" s="153"/>
      <c r="BS1702" s="153"/>
      <c r="BT1702" s="153"/>
      <c r="BU1702" s="153"/>
      <c r="BV1702" s="153"/>
      <c r="BW1702" s="153"/>
      <c r="BX1702" s="153"/>
      <c r="BY1702" s="153"/>
      <c r="BZ1702" s="153"/>
      <c r="CA1702" s="152"/>
      <c r="CB1702" s="486" t="s">
        <v>639</v>
      </c>
    </row>
    <row r="1703" spans="1:80" s="87" customFormat="1" ht="15" x14ac:dyDescent="0.2">
      <c r="A1703" s="152"/>
      <c r="B1703" s="683"/>
      <c r="C1703" s="683"/>
      <c r="D1703" s="698"/>
      <c r="E1703" s="215"/>
      <c r="F1703" s="215"/>
      <c r="G1703" s="153"/>
      <c r="H1703" s="153"/>
      <c r="I1703" s="298">
        <v>20</v>
      </c>
      <c r="J1703" s="150">
        <v>30</v>
      </c>
      <c r="K1703" s="150">
        <v>1</v>
      </c>
      <c r="L1703" s="656">
        <v>10</v>
      </c>
      <c r="M1703" s="659">
        <v>32247</v>
      </c>
      <c r="N1703" s="600">
        <v>0.8776937437172927</v>
      </c>
      <c r="O1703" s="604">
        <v>5.8461131876014647E-3</v>
      </c>
      <c r="P1703" s="154"/>
      <c r="Q1703" s="154"/>
      <c r="R1703" s="154"/>
      <c r="S1703" s="154"/>
      <c r="T1703" s="154"/>
      <c r="U1703" s="154"/>
      <c r="V1703" s="608" t="s">
        <v>29</v>
      </c>
      <c r="W1703" s="239"/>
      <c r="X1703" s="660"/>
      <c r="Y1703" s="240"/>
      <c r="Z1703" s="726"/>
      <c r="AA1703" s="154"/>
      <c r="AB1703" s="108" t="s">
        <v>177</v>
      </c>
      <c r="AC1703" s="152"/>
      <c r="AD1703" s="223"/>
      <c r="AE1703" s="223"/>
      <c r="AF1703" s="223"/>
      <c r="AG1703" s="223"/>
      <c r="AH1703" s="340" t="s">
        <v>306</v>
      </c>
      <c r="AI1703" s="218"/>
      <c r="AJ1703" s="218"/>
      <c r="AK1703" s="153"/>
      <c r="AL1703" s="152"/>
      <c r="AM1703" s="152"/>
      <c r="AN1703" s="152"/>
      <c r="AO1703" s="152"/>
      <c r="AP1703" s="152"/>
      <c r="AQ1703" s="152"/>
      <c r="AR1703" s="152"/>
      <c r="AS1703" s="152"/>
      <c r="AT1703" s="152"/>
      <c r="AU1703" s="153"/>
      <c r="AV1703" s="479"/>
      <c r="AW1703" s="479"/>
      <c r="AX1703" s="442"/>
      <c r="AY1703" s="153"/>
      <c r="AZ1703" s="152"/>
      <c r="BA1703" s="152"/>
      <c r="BB1703" s="152"/>
      <c r="BC1703" s="152"/>
      <c r="BD1703" s="152"/>
      <c r="BE1703" s="152"/>
      <c r="BF1703" s="152"/>
      <c r="BG1703" s="152"/>
      <c r="BH1703" s="152"/>
      <c r="BI1703" s="153"/>
      <c r="BJ1703" s="153"/>
      <c r="BK1703" s="153"/>
      <c r="BL1703" s="153"/>
      <c r="BM1703" s="153"/>
      <c r="BN1703" s="153"/>
      <c r="BO1703" s="153"/>
      <c r="BP1703" s="153"/>
      <c r="BQ1703" s="153"/>
      <c r="BR1703" s="153"/>
      <c r="BS1703" s="153"/>
      <c r="BT1703" s="153"/>
      <c r="BU1703" s="153"/>
      <c r="BV1703" s="153"/>
      <c r="BW1703" s="153"/>
      <c r="BX1703" s="153"/>
      <c r="BY1703" s="153"/>
      <c r="BZ1703" s="153"/>
      <c r="CA1703" s="152"/>
      <c r="CB1703" s="486" t="s">
        <v>640</v>
      </c>
    </row>
    <row r="1704" spans="1:80" s="87" customFormat="1" x14ac:dyDescent="0.2">
      <c r="A1704" s="152"/>
      <c r="B1704" s="683"/>
      <c r="C1704" s="683"/>
      <c r="D1704" s="698"/>
      <c r="E1704" s="215"/>
      <c r="F1704" s="215"/>
      <c r="G1704" s="153"/>
      <c r="H1704" s="153"/>
      <c r="I1704" s="298">
        <v>20</v>
      </c>
      <c r="J1704" s="150">
        <v>30</v>
      </c>
      <c r="K1704" s="150">
        <v>1</v>
      </c>
      <c r="L1704" s="656">
        <v>10</v>
      </c>
      <c r="M1704" s="659">
        <v>32259</v>
      </c>
      <c r="N1704" s="600">
        <v>0.36523384819203469</v>
      </c>
      <c r="O1704" s="604">
        <v>1.0705629176577189E-4</v>
      </c>
      <c r="P1704" s="154"/>
      <c r="Q1704" s="154"/>
      <c r="R1704" s="154"/>
      <c r="S1704" s="154"/>
      <c r="T1704" s="154"/>
      <c r="U1704" s="154"/>
      <c r="V1704" s="608" t="s">
        <v>29</v>
      </c>
      <c r="W1704" s="239"/>
      <c r="X1704" s="660"/>
      <c r="Y1704" s="240"/>
      <c r="Z1704" s="726"/>
      <c r="AA1704" s="154"/>
      <c r="AB1704" s="108" t="s">
        <v>177</v>
      </c>
      <c r="AC1704" s="152"/>
      <c r="AD1704" s="223"/>
      <c r="AE1704" s="223"/>
      <c r="AF1704" s="223"/>
      <c r="AG1704" s="223"/>
      <c r="AH1704" s="341"/>
      <c r="AI1704" s="218"/>
      <c r="AJ1704" s="218"/>
      <c r="AK1704" s="153"/>
      <c r="AL1704" s="152"/>
      <c r="AM1704" s="152"/>
      <c r="AN1704" s="152"/>
      <c r="AO1704" s="152"/>
      <c r="AP1704" s="152"/>
      <c r="AQ1704" s="152"/>
      <c r="AR1704" s="152"/>
      <c r="AS1704" s="152"/>
      <c r="AT1704" s="152"/>
      <c r="AU1704" s="153"/>
      <c r="AV1704" s="479"/>
      <c r="AW1704" s="479"/>
      <c r="AX1704" s="442"/>
      <c r="AY1704" s="153"/>
      <c r="AZ1704" s="152"/>
      <c r="BA1704" s="152"/>
      <c r="BB1704" s="152"/>
      <c r="BC1704" s="152"/>
      <c r="BD1704" s="152"/>
      <c r="BE1704" s="152"/>
      <c r="BF1704" s="152"/>
      <c r="BG1704" s="152"/>
      <c r="BH1704" s="152"/>
      <c r="BI1704" s="153"/>
      <c r="BJ1704" s="153"/>
      <c r="BK1704" s="153"/>
      <c r="BL1704" s="153"/>
      <c r="BM1704" s="153"/>
      <c r="BN1704" s="153"/>
      <c r="BO1704" s="153"/>
      <c r="BP1704" s="153"/>
      <c r="BQ1704" s="153"/>
      <c r="BR1704" s="153"/>
      <c r="BS1704" s="153"/>
      <c r="BT1704" s="153"/>
      <c r="BU1704" s="153"/>
      <c r="BV1704" s="153"/>
      <c r="BW1704" s="153"/>
      <c r="BX1704" s="153"/>
      <c r="BY1704" s="153"/>
      <c r="BZ1704" s="153"/>
      <c r="CA1704" s="152"/>
      <c r="CB1704" s="152"/>
    </row>
    <row r="1705" spans="1:80" s="87" customFormat="1" x14ac:dyDescent="0.2">
      <c r="A1705" s="152"/>
      <c r="B1705" s="683"/>
      <c r="C1705" s="683"/>
      <c r="D1705" s="698"/>
      <c r="E1705" s="215"/>
      <c r="F1705" s="215"/>
      <c r="G1705" s="153"/>
      <c r="H1705" s="153"/>
      <c r="I1705" s="298">
        <v>20</v>
      </c>
      <c r="J1705" s="150">
        <v>30</v>
      </c>
      <c r="K1705" s="150">
        <v>1</v>
      </c>
      <c r="L1705" s="656">
        <v>10</v>
      </c>
      <c r="M1705" s="659">
        <v>32275</v>
      </c>
      <c r="N1705" s="600">
        <v>0.28086199798953365</v>
      </c>
      <c r="O1705" s="604">
        <v>1.6583229508815646E-5</v>
      </c>
      <c r="P1705" s="154"/>
      <c r="Q1705" s="154"/>
      <c r="R1705" s="154"/>
      <c r="S1705" s="154"/>
      <c r="T1705" s="154"/>
      <c r="U1705" s="154"/>
      <c r="V1705" s="608" t="s">
        <v>29</v>
      </c>
      <c r="W1705" s="239"/>
      <c r="X1705" s="660"/>
      <c r="Y1705" s="240"/>
      <c r="Z1705" s="726"/>
      <c r="AA1705" s="154"/>
      <c r="AB1705" s="108" t="s">
        <v>177</v>
      </c>
      <c r="AC1705" s="152"/>
      <c r="AD1705" s="223"/>
      <c r="AE1705" s="223"/>
      <c r="AF1705" s="223"/>
      <c r="AG1705" s="223"/>
      <c r="AH1705" s="341"/>
      <c r="AI1705" s="218"/>
      <c r="AJ1705" s="218"/>
      <c r="AK1705" s="153"/>
      <c r="AL1705" s="152"/>
      <c r="AM1705" s="152"/>
      <c r="AN1705" s="152"/>
      <c r="AO1705" s="152"/>
      <c r="AP1705" s="152"/>
      <c r="AQ1705" s="152"/>
      <c r="AR1705" s="152"/>
      <c r="AS1705" s="152"/>
      <c r="AT1705" s="152"/>
      <c r="AU1705" s="153"/>
      <c r="AV1705" s="479"/>
      <c r="AW1705" s="479"/>
      <c r="AX1705" s="442"/>
      <c r="AY1705" s="153"/>
      <c r="AZ1705" s="152"/>
      <c r="BA1705" s="152"/>
      <c r="BB1705" s="152"/>
      <c r="BC1705" s="152"/>
      <c r="BD1705" s="152"/>
      <c r="BE1705" s="152"/>
      <c r="BF1705" s="152"/>
      <c r="BG1705" s="152"/>
      <c r="BH1705" s="152"/>
      <c r="BI1705" s="153"/>
      <c r="BJ1705" s="153"/>
      <c r="BK1705" s="153"/>
      <c r="BL1705" s="153"/>
      <c r="BM1705" s="153"/>
      <c r="BN1705" s="153"/>
      <c r="BO1705" s="153"/>
      <c r="BP1705" s="153"/>
      <c r="BQ1705" s="153"/>
      <c r="BR1705" s="153"/>
      <c r="BS1705" s="153"/>
      <c r="BT1705" s="153"/>
      <c r="BU1705" s="153"/>
      <c r="BV1705" s="153"/>
      <c r="BW1705" s="153"/>
      <c r="BX1705" s="153"/>
      <c r="BY1705" s="153"/>
      <c r="BZ1705" s="153"/>
      <c r="CA1705" s="152"/>
      <c r="CB1705" s="152"/>
    </row>
    <row r="1706" spans="1:80" s="87" customFormat="1" x14ac:dyDescent="0.2">
      <c r="A1706" s="152"/>
      <c r="B1706" s="683"/>
      <c r="C1706" s="683"/>
      <c r="D1706" s="698"/>
      <c r="E1706" s="215"/>
      <c r="F1706" s="215"/>
      <c r="G1706" s="153"/>
      <c r="H1706" s="153"/>
      <c r="I1706" s="298">
        <v>14</v>
      </c>
      <c r="J1706" s="150">
        <v>30</v>
      </c>
      <c r="K1706" s="150">
        <v>1</v>
      </c>
      <c r="L1706" s="656">
        <v>7</v>
      </c>
      <c r="M1706" s="659">
        <v>32286</v>
      </c>
      <c r="N1706" s="600">
        <v>0.18969509944857615</v>
      </c>
      <c r="O1706" s="604">
        <v>9.068297655453618E-6</v>
      </c>
      <c r="P1706" s="154"/>
      <c r="Q1706" s="154"/>
      <c r="R1706" s="154"/>
      <c r="S1706" s="154"/>
      <c r="T1706" s="154"/>
      <c r="U1706" s="154"/>
      <c r="V1706" s="608" t="s">
        <v>29</v>
      </c>
      <c r="W1706" s="239"/>
      <c r="X1706" s="660"/>
      <c r="Y1706" s="240"/>
      <c r="Z1706" s="726"/>
      <c r="AA1706" s="154"/>
      <c r="AB1706" s="108" t="s">
        <v>178</v>
      </c>
      <c r="AC1706" s="152"/>
      <c r="AD1706" s="223"/>
      <c r="AE1706" s="223"/>
      <c r="AF1706" s="223"/>
      <c r="AG1706" s="223"/>
      <c r="AH1706" s="341"/>
      <c r="AI1706" s="218"/>
      <c r="AJ1706" s="218"/>
      <c r="AK1706" s="153"/>
      <c r="AL1706" s="152"/>
      <c r="AM1706" s="152"/>
      <c r="AN1706" s="152"/>
      <c r="AO1706" s="152"/>
      <c r="AP1706" s="152"/>
      <c r="AQ1706" s="152"/>
      <c r="AR1706" s="152"/>
      <c r="AS1706" s="152"/>
      <c r="AT1706" s="152"/>
      <c r="AU1706" s="153"/>
      <c r="AV1706" s="479"/>
      <c r="AW1706" s="479"/>
      <c r="AX1706" s="442"/>
      <c r="AY1706" s="153"/>
      <c r="AZ1706" s="152"/>
      <c r="BA1706" s="152"/>
      <c r="BB1706" s="152"/>
      <c r="BC1706" s="152"/>
      <c r="BD1706" s="152"/>
      <c r="BE1706" s="152"/>
      <c r="BF1706" s="152"/>
      <c r="BG1706" s="152"/>
      <c r="BH1706" s="152"/>
      <c r="BI1706" s="153"/>
      <c r="BJ1706" s="153"/>
      <c r="BK1706" s="153"/>
      <c r="BL1706" s="153"/>
      <c r="BM1706" s="153"/>
      <c r="BN1706" s="153"/>
      <c r="BO1706" s="153"/>
      <c r="BP1706" s="153"/>
      <c r="BQ1706" s="153"/>
      <c r="BR1706" s="153"/>
      <c r="BS1706" s="153"/>
      <c r="BT1706" s="153"/>
      <c r="BU1706" s="153"/>
      <c r="BV1706" s="153"/>
      <c r="BW1706" s="153"/>
      <c r="BX1706" s="153"/>
      <c r="BY1706" s="153"/>
      <c r="BZ1706" s="153"/>
      <c r="CA1706" s="152"/>
      <c r="CB1706" s="152"/>
    </row>
    <row r="1707" spans="1:80" s="87" customFormat="1" x14ac:dyDescent="0.2">
      <c r="A1707" s="152"/>
      <c r="B1707" s="683"/>
      <c r="C1707" s="683"/>
      <c r="D1707" s="698"/>
      <c r="E1707" s="215"/>
      <c r="F1707" s="215"/>
      <c r="G1707" s="153"/>
      <c r="H1707" s="153"/>
      <c r="I1707" s="298">
        <v>20</v>
      </c>
      <c r="J1707" s="150">
        <v>30</v>
      </c>
      <c r="K1707" s="150">
        <v>1</v>
      </c>
      <c r="L1707" s="656">
        <v>10</v>
      </c>
      <c r="M1707" s="659">
        <v>32611</v>
      </c>
      <c r="N1707" s="600">
        <v>1.3505158572682214</v>
      </c>
      <c r="O1707" s="604">
        <v>1.4379129384226226E-3</v>
      </c>
      <c r="P1707" s="154"/>
      <c r="Q1707" s="154"/>
      <c r="R1707" s="154"/>
      <c r="S1707" s="154"/>
      <c r="T1707" s="154"/>
      <c r="U1707" s="154"/>
      <c r="V1707" s="608" t="s">
        <v>29</v>
      </c>
      <c r="W1707" s="239"/>
      <c r="X1707" s="660"/>
      <c r="Y1707" s="240"/>
      <c r="Z1707" s="726"/>
      <c r="AA1707" s="154"/>
      <c r="AB1707" s="108" t="s">
        <v>177</v>
      </c>
      <c r="AC1707" s="152"/>
      <c r="AD1707" s="223"/>
      <c r="AE1707" s="223"/>
      <c r="AF1707" s="223"/>
      <c r="AG1707" s="223"/>
      <c r="AH1707" s="341"/>
      <c r="AI1707" s="218"/>
      <c r="AJ1707" s="218"/>
      <c r="AK1707" s="153"/>
      <c r="AL1707" s="152"/>
      <c r="AM1707" s="152"/>
      <c r="AN1707" s="152"/>
      <c r="AO1707" s="152"/>
      <c r="AP1707" s="152"/>
      <c r="AQ1707" s="152"/>
      <c r="AR1707" s="152"/>
      <c r="AS1707" s="152"/>
      <c r="AT1707" s="152"/>
      <c r="AU1707" s="153"/>
      <c r="AV1707" s="479"/>
      <c r="AW1707" s="479"/>
      <c r="AX1707" s="442"/>
      <c r="AY1707" s="153"/>
      <c r="AZ1707" s="100"/>
      <c r="BA1707" s="100"/>
      <c r="BB1707" s="100"/>
      <c r="BC1707" s="100"/>
      <c r="BD1707" s="100"/>
      <c r="BE1707" s="100"/>
      <c r="BF1707" s="100"/>
      <c r="BG1707" s="100"/>
      <c r="BH1707" s="100"/>
      <c r="BI1707" s="153"/>
      <c r="BJ1707" s="153"/>
      <c r="BK1707" s="153"/>
      <c r="BL1707" s="153"/>
      <c r="BM1707" s="153"/>
      <c r="BN1707" s="153"/>
      <c r="BO1707" s="153"/>
      <c r="BP1707" s="153"/>
      <c r="BQ1707" s="153"/>
      <c r="BR1707" s="153"/>
      <c r="BS1707" s="153"/>
      <c r="BT1707" s="153"/>
      <c r="BU1707" s="153"/>
      <c r="BV1707" s="153"/>
      <c r="BW1707" s="153"/>
      <c r="BX1707" s="153"/>
      <c r="BY1707" s="153"/>
      <c r="BZ1707" s="153"/>
      <c r="CA1707" s="152"/>
      <c r="CB1707" s="152"/>
    </row>
    <row r="1708" spans="1:80" s="87" customFormat="1" x14ac:dyDescent="0.2">
      <c r="A1708" s="152"/>
      <c r="B1708" s="683"/>
      <c r="C1708" s="683"/>
      <c r="D1708" s="698"/>
      <c r="E1708" s="215"/>
      <c r="F1708" s="215"/>
      <c r="G1708" s="153"/>
      <c r="H1708" s="153"/>
      <c r="I1708" s="298">
        <v>10</v>
      </c>
      <c r="J1708" s="150">
        <v>60</v>
      </c>
      <c r="K1708" s="150">
        <v>1</v>
      </c>
      <c r="L1708" s="656">
        <v>10</v>
      </c>
      <c r="M1708" s="659">
        <v>32618</v>
      </c>
      <c r="N1708" s="600">
        <v>1.8969509944857617</v>
      </c>
      <c r="O1708" s="604">
        <v>8.4280590478347864E-3</v>
      </c>
      <c r="P1708" s="154"/>
      <c r="Q1708" s="154"/>
      <c r="R1708" s="154"/>
      <c r="S1708" s="154"/>
      <c r="T1708" s="154"/>
      <c r="U1708" s="154"/>
      <c r="V1708" s="608" t="s">
        <v>29</v>
      </c>
      <c r="W1708" s="239"/>
      <c r="X1708" s="660"/>
      <c r="Y1708" s="240"/>
      <c r="Z1708" s="726"/>
      <c r="AA1708" s="154"/>
      <c r="AB1708" s="108" t="s">
        <v>179</v>
      </c>
      <c r="AC1708" s="152"/>
      <c r="AD1708" s="223"/>
      <c r="AE1708" s="223"/>
      <c r="AF1708" s="223"/>
      <c r="AG1708" s="223"/>
      <c r="AH1708" s="341"/>
      <c r="AI1708" s="218"/>
      <c r="AJ1708" s="218"/>
      <c r="AK1708" s="153"/>
      <c r="AL1708" s="152"/>
      <c r="AM1708" s="152"/>
      <c r="AN1708" s="152"/>
      <c r="AO1708" s="152"/>
      <c r="AP1708" s="152"/>
      <c r="AQ1708" s="152"/>
      <c r="AR1708" s="152"/>
      <c r="AS1708" s="152"/>
      <c r="AT1708" s="152"/>
      <c r="AU1708" s="153"/>
      <c r="AV1708" s="479"/>
      <c r="AW1708" s="479"/>
      <c r="AX1708" s="442"/>
      <c r="AY1708" s="153"/>
      <c r="AZ1708" s="100"/>
      <c r="BA1708" s="100"/>
      <c r="BB1708" s="100"/>
      <c r="BC1708" s="100"/>
      <c r="BD1708" s="100"/>
      <c r="BE1708" s="100"/>
      <c r="BF1708" s="100"/>
      <c r="BG1708" s="100"/>
      <c r="BH1708" s="100"/>
      <c r="BI1708" s="153"/>
      <c r="BJ1708" s="153"/>
      <c r="BK1708" s="153"/>
      <c r="BL1708" s="153"/>
      <c r="BM1708" s="153"/>
      <c r="BN1708" s="153"/>
      <c r="BO1708" s="153"/>
      <c r="BP1708" s="153"/>
      <c r="BQ1708" s="153"/>
      <c r="BR1708" s="153"/>
      <c r="BS1708" s="153"/>
      <c r="BT1708" s="153"/>
      <c r="BU1708" s="153"/>
      <c r="BV1708" s="153"/>
      <c r="BW1708" s="153"/>
      <c r="BX1708" s="153"/>
      <c r="BY1708" s="153"/>
      <c r="BZ1708" s="153"/>
      <c r="CA1708" s="152"/>
      <c r="CB1708" s="152"/>
    </row>
    <row r="1709" spans="1:80" s="87" customFormat="1" x14ac:dyDescent="0.2">
      <c r="A1709" s="152"/>
      <c r="B1709" s="683"/>
      <c r="C1709" s="683"/>
      <c r="D1709" s="698"/>
      <c r="E1709" s="215"/>
      <c r="F1709" s="215"/>
      <c r="G1709" s="153"/>
      <c r="H1709" s="153"/>
      <c r="I1709" s="298">
        <v>10</v>
      </c>
      <c r="J1709" s="150">
        <v>60</v>
      </c>
      <c r="K1709" s="150">
        <v>1</v>
      </c>
      <c r="L1709" s="656">
        <v>10</v>
      </c>
      <c r="M1709" s="659">
        <v>32623</v>
      </c>
      <c r="N1709" s="600">
        <v>1.2146148904990921</v>
      </c>
      <c r="O1709" s="604">
        <v>6.7067618076792398E-3</v>
      </c>
      <c r="P1709" s="154"/>
      <c r="Q1709" s="154"/>
      <c r="R1709" s="154"/>
      <c r="S1709" s="154"/>
      <c r="T1709" s="154"/>
      <c r="U1709" s="154"/>
      <c r="V1709" s="608" t="s">
        <v>29</v>
      </c>
      <c r="W1709" s="239"/>
      <c r="X1709" s="660"/>
      <c r="Y1709" s="240"/>
      <c r="Z1709" s="726"/>
      <c r="AA1709" s="154"/>
      <c r="AB1709" s="108" t="s">
        <v>179</v>
      </c>
      <c r="AC1709" s="152"/>
      <c r="AD1709" s="223"/>
      <c r="AE1709" s="223"/>
      <c r="AF1709" s="223"/>
      <c r="AG1709" s="223"/>
      <c r="AH1709" s="341"/>
      <c r="AI1709" s="218"/>
      <c r="AJ1709" s="218"/>
      <c r="AK1709" s="153"/>
      <c r="AL1709" s="152"/>
      <c r="AM1709" s="152"/>
      <c r="AN1709" s="152"/>
      <c r="AO1709" s="152"/>
      <c r="AP1709" s="152"/>
      <c r="AQ1709" s="152"/>
      <c r="AR1709" s="152"/>
      <c r="AS1709" s="152"/>
      <c r="AT1709" s="152"/>
      <c r="AU1709" s="153"/>
      <c r="AV1709" s="479"/>
      <c r="AW1709" s="479"/>
      <c r="AX1709" s="442"/>
      <c r="AY1709" s="153"/>
      <c r="AZ1709" s="152"/>
      <c r="BA1709" s="152"/>
      <c r="BB1709" s="152"/>
      <c r="BC1709" s="152"/>
      <c r="BD1709" s="152"/>
      <c r="BE1709" s="152"/>
      <c r="BF1709" s="152"/>
      <c r="BG1709" s="152"/>
      <c r="BH1709" s="152"/>
      <c r="BI1709" s="153"/>
      <c r="BJ1709" s="153"/>
      <c r="BK1709" s="153"/>
      <c r="BL1709" s="153"/>
      <c r="BM1709" s="153"/>
      <c r="BN1709" s="153"/>
      <c r="BO1709" s="153"/>
      <c r="BP1709" s="153"/>
      <c r="BQ1709" s="153"/>
      <c r="BR1709" s="153"/>
      <c r="BS1709" s="153"/>
      <c r="BT1709" s="153"/>
      <c r="BU1709" s="153"/>
      <c r="BV1709" s="153"/>
      <c r="BW1709" s="153"/>
      <c r="BX1709" s="153"/>
      <c r="BY1709" s="153"/>
      <c r="BZ1709" s="153"/>
      <c r="CA1709" s="152"/>
      <c r="CB1709" s="152"/>
    </row>
    <row r="1710" spans="1:80" s="87" customFormat="1" x14ac:dyDescent="0.2">
      <c r="A1710" s="152"/>
      <c r="B1710" s="683"/>
      <c r="C1710" s="683"/>
      <c r="D1710" s="698"/>
      <c r="E1710" s="215"/>
      <c r="F1710" s="215"/>
      <c r="G1710" s="153"/>
      <c r="H1710" s="153"/>
      <c r="I1710" s="298">
        <v>10</v>
      </c>
      <c r="J1710" s="150">
        <v>60</v>
      </c>
      <c r="K1710" s="150">
        <v>1</v>
      </c>
      <c r="L1710" s="656">
        <v>10</v>
      </c>
      <c r="M1710" s="659">
        <v>32632</v>
      </c>
      <c r="N1710" s="600">
        <v>0.89185009442241026</v>
      </c>
      <c r="O1710" s="604">
        <v>6.0875146298184008E-4</v>
      </c>
      <c r="P1710" s="154"/>
      <c r="Q1710" s="154"/>
      <c r="R1710" s="154"/>
      <c r="S1710" s="154"/>
      <c r="T1710" s="154"/>
      <c r="U1710" s="154"/>
      <c r="V1710" s="608" t="s">
        <v>29</v>
      </c>
      <c r="W1710" s="239"/>
      <c r="X1710" s="660"/>
      <c r="Y1710" s="240"/>
      <c r="Z1710" s="726"/>
      <c r="AA1710" s="154"/>
      <c r="AB1710" s="108" t="s">
        <v>179</v>
      </c>
      <c r="AC1710" s="152"/>
      <c r="AD1710" s="223"/>
      <c r="AE1710" s="223"/>
      <c r="AF1710" s="223"/>
      <c r="AG1710" s="223"/>
      <c r="AH1710" s="341"/>
      <c r="AI1710" s="218"/>
      <c r="AJ1710" s="218"/>
      <c r="AK1710" s="153"/>
      <c r="AL1710" s="152"/>
      <c r="AM1710" s="152"/>
      <c r="AN1710" s="152"/>
      <c r="AO1710" s="152"/>
      <c r="AP1710" s="152"/>
      <c r="AQ1710" s="152"/>
      <c r="AR1710" s="152"/>
      <c r="AS1710" s="152"/>
      <c r="AT1710" s="152"/>
      <c r="AU1710" s="153"/>
      <c r="AV1710" s="479"/>
      <c r="AW1710" s="479"/>
      <c r="AX1710" s="442"/>
      <c r="AY1710" s="153"/>
      <c r="AZ1710" s="152"/>
      <c r="BA1710" s="152"/>
      <c r="BB1710" s="152"/>
      <c r="BC1710" s="152"/>
      <c r="BD1710" s="152"/>
      <c r="BE1710" s="152"/>
      <c r="BF1710" s="152"/>
      <c r="BG1710" s="152"/>
      <c r="BH1710" s="152"/>
      <c r="BI1710" s="153"/>
      <c r="BJ1710" s="153"/>
      <c r="BK1710" s="153"/>
      <c r="BL1710" s="153"/>
      <c r="BM1710" s="153"/>
      <c r="BN1710" s="153"/>
      <c r="BO1710" s="153"/>
      <c r="BP1710" s="153"/>
      <c r="BQ1710" s="153"/>
      <c r="BR1710" s="153"/>
      <c r="BS1710" s="153"/>
      <c r="BT1710" s="153"/>
      <c r="BU1710" s="153"/>
      <c r="BV1710" s="153"/>
      <c r="BW1710" s="153"/>
      <c r="BX1710" s="153"/>
      <c r="BY1710" s="153"/>
      <c r="BZ1710" s="153"/>
      <c r="CA1710" s="152"/>
      <c r="CB1710" s="152"/>
    </row>
    <row r="1711" spans="1:80" s="87" customFormat="1" x14ac:dyDescent="0.2">
      <c r="A1711" s="152"/>
      <c r="B1711" s="683"/>
      <c r="C1711" s="683"/>
      <c r="D1711" s="698"/>
      <c r="E1711" s="215"/>
      <c r="F1711" s="215"/>
      <c r="G1711" s="153"/>
      <c r="H1711" s="153"/>
      <c r="I1711" s="298">
        <v>10</v>
      </c>
      <c r="J1711" s="150">
        <v>60</v>
      </c>
      <c r="K1711" s="150">
        <v>1</v>
      </c>
      <c r="L1711" s="656">
        <v>10</v>
      </c>
      <c r="M1711" s="659">
        <v>32639</v>
      </c>
      <c r="N1711" s="600">
        <v>0.68516737412769302</v>
      </c>
      <c r="O1711" s="604">
        <v>4.7965416997017393E-4</v>
      </c>
      <c r="P1711" s="154"/>
      <c r="Q1711" s="154"/>
      <c r="R1711" s="154"/>
      <c r="S1711" s="154"/>
      <c r="T1711" s="154"/>
      <c r="U1711" s="154"/>
      <c r="V1711" s="608" t="s">
        <v>29</v>
      </c>
      <c r="W1711" s="239"/>
      <c r="X1711" s="660"/>
      <c r="Y1711" s="240"/>
      <c r="Z1711" s="726"/>
      <c r="AA1711" s="154"/>
      <c r="AB1711" s="108" t="s">
        <v>179</v>
      </c>
      <c r="AC1711" s="152"/>
      <c r="AD1711" s="223"/>
      <c r="AE1711" s="223"/>
      <c r="AF1711" s="223"/>
      <c r="AG1711" s="223"/>
      <c r="AH1711" s="341"/>
      <c r="AI1711" s="218"/>
      <c r="AJ1711" s="218"/>
      <c r="AK1711" s="153"/>
      <c r="AL1711" s="152"/>
      <c r="AM1711" s="152"/>
      <c r="AN1711" s="152"/>
      <c r="AO1711" s="152"/>
      <c r="AP1711" s="152"/>
      <c r="AQ1711" s="152"/>
      <c r="AR1711" s="152"/>
      <c r="AS1711" s="152"/>
      <c r="AT1711" s="152"/>
      <c r="AU1711" s="153"/>
      <c r="AV1711" s="479"/>
      <c r="AW1711" s="479"/>
      <c r="AX1711" s="442"/>
      <c r="AY1711" s="153"/>
      <c r="AZ1711" s="152"/>
      <c r="BA1711" s="152"/>
      <c r="BB1711" s="152"/>
      <c r="BC1711" s="152"/>
      <c r="BD1711" s="152"/>
      <c r="BE1711" s="152"/>
      <c r="BF1711" s="152"/>
      <c r="BG1711" s="152"/>
      <c r="BH1711" s="152"/>
      <c r="BI1711" s="153"/>
      <c r="BJ1711" s="153"/>
      <c r="BK1711" s="153"/>
      <c r="BL1711" s="153"/>
      <c r="BM1711" s="153"/>
      <c r="BN1711" s="153"/>
      <c r="BO1711" s="153"/>
      <c r="BP1711" s="153"/>
      <c r="BQ1711" s="153"/>
      <c r="BR1711" s="153"/>
      <c r="BS1711" s="153"/>
      <c r="BT1711" s="153"/>
      <c r="BU1711" s="153"/>
      <c r="BV1711" s="153"/>
      <c r="BW1711" s="153"/>
      <c r="BX1711" s="153"/>
      <c r="BY1711" s="153"/>
      <c r="BZ1711" s="153"/>
      <c r="CA1711" s="152"/>
      <c r="CB1711" s="152"/>
    </row>
    <row r="1712" spans="1:80" s="87" customFormat="1" x14ac:dyDescent="0.2">
      <c r="A1712" s="152"/>
      <c r="B1712" s="683"/>
      <c r="C1712" s="683"/>
      <c r="D1712" s="698"/>
      <c r="E1712" s="215"/>
      <c r="F1712" s="215"/>
      <c r="G1712" s="153"/>
      <c r="H1712" s="153"/>
      <c r="I1712" s="298">
        <v>10</v>
      </c>
      <c r="J1712" s="150">
        <v>60</v>
      </c>
      <c r="K1712" s="150">
        <v>1</v>
      </c>
      <c r="L1712" s="656">
        <v>10</v>
      </c>
      <c r="M1712" s="659">
        <v>32652</v>
      </c>
      <c r="N1712" s="600">
        <v>0.38222146903817583</v>
      </c>
      <c r="O1712" s="604">
        <v>2.0151772567674709E-3</v>
      </c>
      <c r="P1712" s="154"/>
      <c r="Q1712" s="154"/>
      <c r="R1712" s="154"/>
      <c r="S1712" s="154"/>
      <c r="T1712" s="154"/>
      <c r="U1712" s="154"/>
      <c r="V1712" s="608" t="s">
        <v>29</v>
      </c>
      <c r="W1712" s="239"/>
      <c r="X1712" s="660"/>
      <c r="Y1712" s="240"/>
      <c r="Z1712" s="726"/>
      <c r="AA1712" s="154"/>
      <c r="AB1712" s="108" t="s">
        <v>179</v>
      </c>
      <c r="AC1712" s="152"/>
      <c r="AD1712" s="223"/>
      <c r="AE1712" s="223"/>
      <c r="AF1712" s="223"/>
      <c r="AG1712" s="223"/>
      <c r="AH1712" s="341"/>
      <c r="AI1712" s="218"/>
      <c r="AJ1712" s="218"/>
      <c r="AK1712" s="153"/>
      <c r="AL1712" s="152"/>
      <c r="AM1712" s="152"/>
      <c r="AN1712" s="152"/>
      <c r="AO1712" s="152"/>
      <c r="AP1712" s="152"/>
      <c r="AQ1712" s="152"/>
      <c r="AR1712" s="152"/>
      <c r="AS1712" s="152"/>
      <c r="AT1712" s="152"/>
      <c r="AU1712" s="153"/>
      <c r="AV1712" s="479"/>
      <c r="AW1712" s="479"/>
      <c r="AX1712" s="442"/>
      <c r="AY1712" s="153"/>
      <c r="AZ1712" s="152"/>
      <c r="BA1712" s="152"/>
      <c r="BB1712" s="152"/>
      <c r="BC1712" s="152"/>
      <c r="BD1712" s="152"/>
      <c r="BE1712" s="152"/>
      <c r="BF1712" s="152"/>
      <c r="BG1712" s="152"/>
      <c r="BH1712" s="152"/>
      <c r="BI1712" s="153"/>
      <c r="BJ1712" s="153"/>
      <c r="BK1712" s="153"/>
      <c r="BL1712" s="153"/>
      <c r="BM1712" s="153"/>
      <c r="BN1712" s="153"/>
      <c r="BO1712" s="153"/>
      <c r="BP1712" s="153"/>
      <c r="BQ1712" s="153"/>
      <c r="BR1712" s="153"/>
      <c r="BS1712" s="153"/>
      <c r="BT1712" s="153"/>
      <c r="BU1712" s="153"/>
      <c r="BV1712" s="153"/>
      <c r="BW1712" s="153"/>
      <c r="BX1712" s="153"/>
      <c r="BY1712" s="153"/>
      <c r="BZ1712" s="153"/>
      <c r="CA1712" s="152"/>
      <c r="CB1712" s="152"/>
    </row>
    <row r="1713" spans="1:80" s="87" customFormat="1" x14ac:dyDescent="0.2">
      <c r="A1713" s="152"/>
      <c r="B1713" s="683"/>
      <c r="C1713" s="683"/>
      <c r="D1713" s="698"/>
      <c r="E1713" s="215"/>
      <c r="F1713" s="215"/>
      <c r="G1713" s="153"/>
      <c r="H1713" s="153"/>
      <c r="I1713" s="298">
        <v>10</v>
      </c>
      <c r="J1713" s="150">
        <v>60</v>
      </c>
      <c r="K1713" s="150">
        <v>1</v>
      </c>
      <c r="L1713" s="656">
        <v>10</v>
      </c>
      <c r="M1713" s="659">
        <v>32674</v>
      </c>
      <c r="N1713" s="600">
        <v>0.34541495720486998</v>
      </c>
      <c r="O1713" s="604">
        <v>8.3335976139238112E-5</v>
      </c>
      <c r="P1713" s="154"/>
      <c r="Q1713" s="154"/>
      <c r="R1713" s="154"/>
      <c r="S1713" s="154"/>
      <c r="T1713" s="154"/>
      <c r="U1713" s="154"/>
      <c r="V1713" s="608" t="s">
        <v>29</v>
      </c>
      <c r="W1713" s="239"/>
      <c r="X1713" s="660"/>
      <c r="Y1713" s="240"/>
      <c r="Z1713" s="726"/>
      <c r="AA1713" s="154"/>
      <c r="AB1713" s="108" t="s">
        <v>179</v>
      </c>
      <c r="AC1713" s="152"/>
      <c r="AD1713" s="223"/>
      <c r="AE1713" s="223"/>
      <c r="AF1713" s="223"/>
      <c r="AG1713" s="223"/>
      <c r="AH1713" s="341"/>
      <c r="AI1713" s="218"/>
      <c r="AJ1713" s="218"/>
      <c r="AK1713" s="153"/>
      <c r="AL1713" s="152"/>
      <c r="AM1713" s="152"/>
      <c r="AN1713" s="152"/>
      <c r="AO1713" s="152"/>
      <c r="AP1713" s="152"/>
      <c r="AQ1713" s="152"/>
      <c r="AR1713" s="152"/>
      <c r="AS1713" s="152"/>
      <c r="AT1713" s="152"/>
      <c r="AU1713" s="153"/>
      <c r="AV1713" s="479"/>
      <c r="AW1713" s="479"/>
      <c r="AX1713" s="442"/>
      <c r="AY1713" s="153"/>
      <c r="AZ1713" s="152"/>
      <c r="BA1713" s="152"/>
      <c r="BB1713" s="152"/>
      <c r="BC1713" s="152"/>
      <c r="BD1713" s="152"/>
      <c r="BE1713" s="152"/>
      <c r="BF1713" s="152"/>
      <c r="BG1713" s="152"/>
      <c r="BH1713" s="152"/>
      <c r="BI1713" s="153"/>
      <c r="BJ1713" s="153"/>
      <c r="BK1713" s="153"/>
      <c r="BL1713" s="153"/>
      <c r="BM1713" s="153"/>
      <c r="BN1713" s="153"/>
      <c r="BO1713" s="153"/>
      <c r="BP1713" s="153"/>
      <c r="BQ1713" s="153"/>
      <c r="BR1713" s="153"/>
      <c r="BS1713" s="153"/>
      <c r="BT1713" s="153"/>
      <c r="BU1713" s="153"/>
      <c r="BV1713" s="153"/>
      <c r="BW1713" s="153"/>
      <c r="BX1713" s="153"/>
      <c r="BY1713" s="153"/>
      <c r="BZ1713" s="153"/>
      <c r="CA1713" s="152"/>
      <c r="CB1713" s="152"/>
    </row>
    <row r="1714" spans="1:80" s="87" customFormat="1" x14ac:dyDescent="0.2">
      <c r="A1714" s="152"/>
      <c r="B1714" s="683"/>
      <c r="C1714" s="683"/>
      <c r="D1714" s="698"/>
      <c r="E1714" s="215"/>
      <c r="F1714" s="215"/>
      <c r="G1714" s="153"/>
      <c r="H1714" s="153"/>
      <c r="I1714" s="187">
        <v>10</v>
      </c>
      <c r="J1714" s="187">
        <v>60</v>
      </c>
      <c r="K1714" s="150">
        <v>1</v>
      </c>
      <c r="L1714" s="656">
        <v>10</v>
      </c>
      <c r="M1714" s="659">
        <v>32940</v>
      </c>
      <c r="N1714" s="600">
        <v>0.76161166793532808</v>
      </c>
      <c r="O1714" s="604">
        <v>4.397704534299845E-4</v>
      </c>
      <c r="P1714" s="154"/>
      <c r="Q1714" s="93"/>
      <c r="R1714" s="93"/>
      <c r="S1714" s="93"/>
      <c r="T1714" s="93"/>
      <c r="U1714" s="93"/>
      <c r="V1714" s="107">
        <v>100</v>
      </c>
      <c r="W1714" s="239"/>
      <c r="X1714" s="660"/>
      <c r="Y1714" s="240"/>
      <c r="Z1714" s="727"/>
      <c r="AA1714" s="110"/>
      <c r="AB1714" s="109" t="s">
        <v>180</v>
      </c>
      <c r="AC1714" s="152"/>
      <c r="AD1714" s="223"/>
      <c r="AE1714" s="223"/>
      <c r="AF1714" s="223"/>
      <c r="AG1714" s="223"/>
      <c r="AH1714" s="341"/>
      <c r="AI1714" s="218"/>
      <c r="AJ1714" s="218"/>
      <c r="AK1714" s="153"/>
      <c r="AL1714" s="152"/>
      <c r="AM1714" s="152"/>
      <c r="AN1714" s="152"/>
      <c r="AO1714" s="152"/>
      <c r="AP1714" s="152"/>
      <c r="AQ1714" s="152"/>
      <c r="AR1714" s="152"/>
      <c r="AS1714" s="152"/>
      <c r="AT1714" s="152"/>
      <c r="AU1714" s="153"/>
      <c r="AV1714" s="479"/>
      <c r="AW1714" s="479"/>
      <c r="AX1714" s="442"/>
      <c r="AY1714" s="153"/>
      <c r="AZ1714" s="152"/>
      <c r="BA1714" s="152"/>
      <c r="BB1714" s="152"/>
      <c r="BC1714" s="152"/>
      <c r="BD1714" s="152"/>
      <c r="BE1714" s="152"/>
      <c r="BF1714" s="152"/>
      <c r="BG1714" s="152"/>
      <c r="BH1714" s="152"/>
      <c r="BI1714" s="153"/>
      <c r="BJ1714" s="153"/>
      <c r="BK1714" s="153"/>
      <c r="BL1714" s="153"/>
      <c r="BM1714" s="153"/>
      <c r="BN1714" s="153"/>
      <c r="BO1714" s="153"/>
      <c r="BP1714" s="153"/>
      <c r="BQ1714" s="153"/>
      <c r="BR1714" s="153"/>
      <c r="BS1714" s="153"/>
      <c r="BT1714" s="153"/>
      <c r="BU1714" s="153"/>
      <c r="BV1714" s="153"/>
      <c r="BW1714" s="153"/>
      <c r="BX1714" s="153"/>
      <c r="BY1714" s="153"/>
      <c r="BZ1714" s="153"/>
      <c r="CA1714" s="152"/>
      <c r="CB1714" s="152"/>
    </row>
    <row r="1715" spans="1:80" s="87" customFormat="1" x14ac:dyDescent="0.2">
      <c r="A1715" s="152"/>
      <c r="B1715" s="683"/>
      <c r="C1715" s="683"/>
      <c r="D1715" s="698"/>
      <c r="E1715" s="215"/>
      <c r="F1715" s="215"/>
      <c r="G1715" s="153"/>
      <c r="H1715" s="153"/>
      <c r="I1715" s="187">
        <v>10</v>
      </c>
      <c r="J1715" s="187">
        <v>60</v>
      </c>
      <c r="K1715" s="150">
        <v>1</v>
      </c>
      <c r="L1715" s="656">
        <v>10</v>
      </c>
      <c r="M1715" s="659">
        <v>32948</v>
      </c>
      <c r="N1715" s="600">
        <v>0.41902798087148169</v>
      </c>
      <c r="O1715" s="604">
        <v>2.0991429757994487E-5</v>
      </c>
      <c r="P1715" s="154"/>
      <c r="Q1715" s="93"/>
      <c r="R1715" s="93"/>
      <c r="S1715" s="93"/>
      <c r="T1715" s="93"/>
      <c r="U1715" s="93"/>
      <c r="V1715" s="107">
        <v>100</v>
      </c>
      <c r="W1715" s="239"/>
      <c r="X1715" s="660"/>
      <c r="Y1715" s="240"/>
      <c r="Z1715" s="727"/>
      <c r="AA1715" s="110"/>
      <c r="AB1715" s="109" t="s">
        <v>180</v>
      </c>
      <c r="AC1715" s="152"/>
      <c r="AD1715" s="223"/>
      <c r="AE1715" s="223"/>
      <c r="AF1715" s="223"/>
      <c r="AG1715" s="223"/>
      <c r="AH1715" s="341"/>
      <c r="AI1715" s="218"/>
      <c r="AJ1715" s="218"/>
      <c r="AK1715" s="153"/>
      <c r="AL1715" s="152"/>
      <c r="AM1715" s="152"/>
      <c r="AN1715" s="152"/>
      <c r="AO1715" s="152"/>
      <c r="AP1715" s="152"/>
      <c r="AQ1715" s="152"/>
      <c r="AR1715" s="152"/>
      <c r="AS1715" s="152"/>
      <c r="AT1715" s="152"/>
      <c r="AU1715" s="153"/>
      <c r="AV1715" s="479"/>
      <c r="AW1715" s="479"/>
      <c r="AX1715" s="442"/>
      <c r="AY1715" s="153"/>
      <c r="AZ1715" s="152"/>
      <c r="BA1715" s="152"/>
      <c r="BB1715" s="152"/>
      <c r="BC1715" s="152"/>
      <c r="BD1715" s="152"/>
      <c r="BE1715" s="152"/>
      <c r="BF1715" s="152"/>
      <c r="BG1715" s="152"/>
      <c r="BH1715" s="152"/>
      <c r="BI1715" s="153"/>
      <c r="BJ1715" s="153"/>
      <c r="BK1715" s="153"/>
      <c r="BL1715" s="153"/>
      <c r="BM1715" s="153"/>
      <c r="BN1715" s="153"/>
      <c r="BO1715" s="153"/>
      <c r="BP1715" s="153"/>
      <c r="BQ1715" s="153"/>
      <c r="BR1715" s="153"/>
      <c r="BS1715" s="153"/>
      <c r="BT1715" s="153"/>
      <c r="BU1715" s="153"/>
      <c r="BV1715" s="153"/>
      <c r="BW1715" s="153"/>
      <c r="BX1715" s="153"/>
      <c r="BY1715" s="153"/>
      <c r="BZ1715" s="153"/>
      <c r="CA1715" s="152"/>
      <c r="CB1715" s="152"/>
    </row>
    <row r="1716" spans="1:80" s="87" customFormat="1" x14ac:dyDescent="0.2">
      <c r="A1716" s="152"/>
      <c r="B1716" s="683"/>
      <c r="C1716" s="683"/>
      <c r="D1716" s="698"/>
      <c r="E1716" s="215"/>
      <c r="F1716" s="215"/>
      <c r="G1716" s="153"/>
      <c r="H1716" s="153"/>
      <c r="I1716" s="187">
        <v>10</v>
      </c>
      <c r="J1716" s="187">
        <v>60</v>
      </c>
      <c r="K1716" s="150">
        <v>1</v>
      </c>
      <c r="L1716" s="656">
        <v>10</v>
      </c>
      <c r="M1716" s="659">
        <v>32965</v>
      </c>
      <c r="N1716" s="600">
        <v>1.3306969662810566</v>
      </c>
      <c r="O1716" s="604">
        <v>9.6298184014799691E-3</v>
      </c>
      <c r="P1716" s="154"/>
      <c r="Q1716" s="93"/>
      <c r="R1716" s="93"/>
      <c r="S1716" s="93">
        <v>17.948717948717949</v>
      </c>
      <c r="T1716" s="93">
        <v>10.121457489878543</v>
      </c>
      <c r="U1716" s="93">
        <v>7.6923076923076925</v>
      </c>
      <c r="V1716" s="107">
        <v>64.237516869095828</v>
      </c>
      <c r="W1716" s="239"/>
      <c r="X1716" s="660"/>
      <c r="Y1716" s="240"/>
      <c r="Z1716" s="727"/>
      <c r="AA1716" s="110"/>
      <c r="AB1716" s="109" t="s">
        <v>180</v>
      </c>
      <c r="AC1716" s="152"/>
      <c r="AD1716" s="223"/>
      <c r="AE1716" s="223"/>
      <c r="AF1716" s="223"/>
      <c r="AG1716" s="223"/>
      <c r="AH1716" s="341"/>
      <c r="AI1716" s="218"/>
      <c r="AJ1716" s="218"/>
      <c r="AK1716" s="153"/>
      <c r="AL1716" s="152"/>
      <c r="AM1716" s="152"/>
      <c r="AN1716" s="152"/>
      <c r="AO1716" s="152"/>
      <c r="AP1716" s="152"/>
      <c r="AQ1716" s="152"/>
      <c r="AR1716" s="152"/>
      <c r="AS1716" s="152"/>
      <c r="AT1716" s="152"/>
      <c r="AU1716" s="153"/>
      <c r="AV1716" s="479"/>
      <c r="AW1716" s="479"/>
      <c r="AX1716" s="442"/>
      <c r="AY1716" s="153"/>
      <c r="AZ1716" s="152"/>
      <c r="BA1716" s="152"/>
      <c r="BB1716" s="152"/>
      <c r="BC1716" s="152"/>
      <c r="BD1716" s="152"/>
      <c r="BE1716" s="152"/>
      <c r="BF1716" s="152"/>
      <c r="BG1716" s="152"/>
      <c r="BH1716" s="152"/>
      <c r="BI1716" s="153"/>
      <c r="BJ1716" s="153"/>
      <c r="BK1716" s="153"/>
      <c r="BL1716" s="153"/>
      <c r="BM1716" s="153"/>
      <c r="BN1716" s="153"/>
      <c r="BO1716" s="153"/>
      <c r="BP1716" s="153"/>
      <c r="BQ1716" s="153"/>
      <c r="BR1716" s="153"/>
      <c r="BS1716" s="153"/>
      <c r="BT1716" s="153"/>
      <c r="BU1716" s="153"/>
      <c r="BV1716" s="153"/>
      <c r="BW1716" s="153"/>
      <c r="BX1716" s="153"/>
      <c r="BY1716" s="153"/>
      <c r="BZ1716" s="153"/>
      <c r="CA1716" s="152"/>
      <c r="CB1716" s="152"/>
    </row>
    <row r="1717" spans="1:80" s="87" customFormat="1" x14ac:dyDescent="0.2">
      <c r="A1717" s="152"/>
      <c r="B1717" s="683"/>
      <c r="C1717" s="683"/>
      <c r="D1717" s="698"/>
      <c r="E1717" s="215"/>
      <c r="F1717" s="215"/>
      <c r="G1717" s="153"/>
      <c r="H1717" s="153"/>
      <c r="I1717" s="187">
        <v>20</v>
      </c>
      <c r="J1717" s="187">
        <v>30</v>
      </c>
      <c r="K1717" s="150">
        <v>1</v>
      </c>
      <c r="L1717" s="656">
        <v>10</v>
      </c>
      <c r="M1717" s="659">
        <v>32973</v>
      </c>
      <c r="N1717" s="600">
        <v>1.0702201133068923</v>
      </c>
      <c r="O1717" s="604">
        <v>1.396979650394533E-3</v>
      </c>
      <c r="P1717" s="154"/>
      <c r="Q1717" s="93"/>
      <c r="R1717" s="93"/>
      <c r="S1717" s="93"/>
      <c r="T1717" s="93"/>
      <c r="U1717" s="93">
        <v>3.1496062992125986</v>
      </c>
      <c r="V1717" s="107">
        <v>96.850393700787407</v>
      </c>
      <c r="W1717" s="239"/>
      <c r="X1717" s="660"/>
      <c r="Y1717" s="240"/>
      <c r="Z1717" s="727"/>
      <c r="AA1717" s="110"/>
      <c r="AB1717" s="109" t="s">
        <v>181</v>
      </c>
      <c r="AC1717" s="152"/>
      <c r="AD1717" s="223"/>
      <c r="AE1717" s="223"/>
      <c r="AF1717" s="223"/>
      <c r="AG1717" s="223"/>
      <c r="AH1717" s="341"/>
      <c r="AI1717" s="218"/>
      <c r="AJ1717" s="218"/>
      <c r="AK1717" s="153"/>
      <c r="AL1717" s="152"/>
      <c r="AM1717" s="152"/>
      <c r="AN1717" s="152"/>
      <c r="AO1717" s="152"/>
      <c r="AP1717" s="152"/>
      <c r="AQ1717" s="152"/>
      <c r="AR1717" s="152"/>
      <c r="AS1717" s="152"/>
      <c r="AT1717" s="152"/>
      <c r="AU1717" s="153"/>
      <c r="AV1717" s="479"/>
      <c r="AW1717" s="479"/>
      <c r="AX1717" s="442"/>
      <c r="AY1717" s="153"/>
      <c r="AZ1717" s="152"/>
      <c r="BA1717" s="152"/>
      <c r="BB1717" s="152"/>
      <c r="BC1717" s="152"/>
      <c r="BD1717" s="152"/>
      <c r="BE1717" s="152"/>
      <c r="BF1717" s="152"/>
      <c r="BG1717" s="152"/>
      <c r="BH1717" s="152"/>
      <c r="BI1717" s="153"/>
      <c r="BJ1717" s="153"/>
      <c r="BK1717" s="153"/>
      <c r="BL1717" s="153"/>
      <c r="BM1717" s="153"/>
      <c r="BN1717" s="153"/>
      <c r="BO1717" s="153"/>
      <c r="BP1717" s="153"/>
      <c r="BQ1717" s="153"/>
      <c r="BR1717" s="153"/>
      <c r="BS1717" s="153"/>
      <c r="BT1717" s="153"/>
      <c r="BU1717" s="153"/>
      <c r="BV1717" s="153"/>
      <c r="BW1717" s="153"/>
      <c r="BX1717" s="153"/>
      <c r="BY1717" s="153"/>
      <c r="BZ1717" s="153"/>
      <c r="CA1717" s="152"/>
      <c r="CB1717" s="152"/>
    </row>
    <row r="1718" spans="1:80" s="87" customFormat="1" x14ac:dyDescent="0.2">
      <c r="A1718" s="152"/>
      <c r="B1718" s="683"/>
      <c r="C1718" s="683"/>
      <c r="D1718" s="698"/>
      <c r="E1718" s="215"/>
      <c r="F1718" s="215"/>
      <c r="G1718" s="153"/>
      <c r="H1718" s="153"/>
      <c r="I1718" s="187">
        <v>20</v>
      </c>
      <c r="J1718" s="187">
        <v>30</v>
      </c>
      <c r="K1718" s="150">
        <v>1</v>
      </c>
      <c r="L1718" s="656">
        <v>10</v>
      </c>
      <c r="M1718" s="659">
        <v>32979</v>
      </c>
      <c r="N1718" s="600">
        <v>1.3420220468451507</v>
      </c>
      <c r="O1718" s="604">
        <v>5.0263978555517789E-3</v>
      </c>
      <c r="P1718" s="154"/>
      <c r="Q1718" s="93"/>
      <c r="R1718" s="93"/>
      <c r="S1718" s="93">
        <v>6.2972292191435768</v>
      </c>
      <c r="T1718" s="93">
        <v>1.7632241813602014</v>
      </c>
      <c r="U1718" s="93">
        <v>6.2972292191435768</v>
      </c>
      <c r="V1718" s="107">
        <v>85.642317380352637</v>
      </c>
      <c r="W1718" s="239"/>
      <c r="X1718" s="660"/>
      <c r="Y1718" s="240"/>
      <c r="Z1718" s="727"/>
      <c r="AA1718" s="110"/>
      <c r="AB1718" s="109" t="s">
        <v>181</v>
      </c>
      <c r="AC1718" s="152"/>
      <c r="AD1718" s="223"/>
      <c r="AE1718" s="223"/>
      <c r="AF1718" s="223"/>
      <c r="AG1718" s="223"/>
      <c r="AH1718" s="341"/>
      <c r="AI1718" s="218"/>
      <c r="AJ1718" s="218"/>
      <c r="AK1718" s="153"/>
      <c r="AL1718" s="152"/>
      <c r="AM1718" s="152"/>
      <c r="AN1718" s="152"/>
      <c r="AO1718" s="152"/>
      <c r="AP1718" s="152"/>
      <c r="AQ1718" s="152"/>
      <c r="AR1718" s="152"/>
      <c r="AS1718" s="152"/>
      <c r="AT1718" s="152"/>
      <c r="AU1718" s="153"/>
      <c r="AV1718" s="479"/>
      <c r="AW1718" s="479"/>
      <c r="AX1718" s="442"/>
      <c r="AY1718" s="153"/>
      <c r="AZ1718" s="152"/>
      <c r="BA1718" s="152"/>
      <c r="BB1718" s="152"/>
      <c r="BC1718" s="152"/>
      <c r="BD1718" s="152"/>
      <c r="BE1718" s="152"/>
      <c r="BF1718" s="152"/>
      <c r="BG1718" s="152"/>
      <c r="BH1718" s="152"/>
      <c r="BI1718" s="153"/>
      <c r="BJ1718" s="153"/>
      <c r="BK1718" s="153"/>
      <c r="BL1718" s="153"/>
      <c r="BM1718" s="153"/>
      <c r="BN1718" s="153"/>
      <c r="BO1718" s="153"/>
      <c r="BP1718" s="153"/>
      <c r="BQ1718" s="153"/>
      <c r="BR1718" s="153"/>
      <c r="BS1718" s="153"/>
      <c r="BT1718" s="153"/>
      <c r="BU1718" s="153"/>
      <c r="BV1718" s="153"/>
      <c r="BW1718" s="153"/>
      <c r="BX1718" s="153"/>
      <c r="BY1718" s="153"/>
      <c r="BZ1718" s="153"/>
      <c r="CA1718" s="152"/>
      <c r="CB1718" s="152"/>
    </row>
    <row r="1719" spans="1:80" s="87" customFormat="1" x14ac:dyDescent="0.2">
      <c r="A1719" s="152"/>
      <c r="B1719" s="683"/>
      <c r="C1719" s="683"/>
      <c r="D1719" s="698"/>
      <c r="E1719" s="215"/>
      <c r="F1719" s="215"/>
      <c r="G1719" s="153"/>
      <c r="H1719" s="153"/>
      <c r="I1719" s="187">
        <v>20</v>
      </c>
      <c r="J1719" s="187">
        <v>30</v>
      </c>
      <c r="K1719" s="150">
        <v>1</v>
      </c>
      <c r="L1719" s="656">
        <v>10</v>
      </c>
      <c r="M1719" s="659">
        <v>32989</v>
      </c>
      <c r="N1719" s="600">
        <v>0.80974326033272814</v>
      </c>
      <c r="O1719" s="604">
        <v>5.7264620379808961E-3</v>
      </c>
      <c r="P1719" s="154"/>
      <c r="Q1719" s="93"/>
      <c r="R1719" s="93"/>
      <c r="S1719" s="93"/>
      <c r="T1719" s="93">
        <v>1.6759776536312849</v>
      </c>
      <c r="U1719" s="93">
        <v>7.8212290502793289</v>
      </c>
      <c r="V1719" s="107">
        <v>90.502793296089379</v>
      </c>
      <c r="W1719" s="239"/>
      <c r="X1719" s="660"/>
      <c r="Y1719" s="240"/>
      <c r="Z1719" s="727"/>
      <c r="AA1719" s="110"/>
      <c r="AB1719" s="109" t="s">
        <v>181</v>
      </c>
      <c r="AC1719" s="152"/>
      <c r="AD1719" s="223"/>
      <c r="AE1719" s="223"/>
      <c r="AF1719" s="223"/>
      <c r="AG1719" s="223"/>
      <c r="AH1719" s="341"/>
      <c r="AI1719" s="218"/>
      <c r="AJ1719" s="218"/>
      <c r="AK1719" s="153"/>
      <c r="AL1719" s="152"/>
      <c r="AM1719" s="152"/>
      <c r="AN1719" s="152"/>
      <c r="AO1719" s="152"/>
      <c r="AP1719" s="152"/>
      <c r="AQ1719" s="152"/>
      <c r="AR1719" s="152"/>
      <c r="AS1719" s="152"/>
      <c r="AT1719" s="152"/>
      <c r="AU1719" s="153"/>
      <c r="AV1719" s="479"/>
      <c r="AW1719" s="479"/>
      <c r="AX1719" s="442"/>
      <c r="AY1719" s="153"/>
      <c r="AZ1719" s="152"/>
      <c r="BA1719" s="152"/>
      <c r="BB1719" s="152"/>
      <c r="BC1719" s="152"/>
      <c r="BD1719" s="152"/>
      <c r="BE1719" s="152"/>
      <c r="BF1719" s="152"/>
      <c r="BG1719" s="152"/>
      <c r="BH1719" s="152"/>
      <c r="BI1719" s="153"/>
      <c r="BJ1719" s="153"/>
      <c r="BK1719" s="153"/>
      <c r="BL1719" s="153"/>
      <c r="BM1719" s="153"/>
      <c r="BN1719" s="153"/>
      <c r="BO1719" s="153"/>
      <c r="BP1719" s="153"/>
      <c r="BQ1719" s="153"/>
      <c r="BR1719" s="153"/>
      <c r="BS1719" s="153"/>
      <c r="BT1719" s="153"/>
      <c r="BU1719" s="153"/>
      <c r="BV1719" s="153"/>
      <c r="BW1719" s="153"/>
      <c r="BX1719" s="153"/>
      <c r="BY1719" s="153"/>
      <c r="BZ1719" s="153"/>
      <c r="CA1719" s="152"/>
      <c r="CB1719" s="152"/>
    </row>
    <row r="1720" spans="1:80" s="87" customFormat="1" x14ac:dyDescent="0.2">
      <c r="A1720" s="152"/>
      <c r="B1720" s="683"/>
      <c r="C1720" s="683"/>
      <c r="D1720" s="698"/>
      <c r="E1720" s="215"/>
      <c r="F1720" s="215"/>
      <c r="G1720" s="153"/>
      <c r="H1720" s="153"/>
      <c r="I1720" s="187">
        <v>10</v>
      </c>
      <c r="J1720" s="187">
        <v>60</v>
      </c>
      <c r="K1720" s="150">
        <v>1</v>
      </c>
      <c r="L1720" s="656">
        <v>10</v>
      </c>
      <c r="M1720" s="659">
        <v>33004</v>
      </c>
      <c r="N1720" s="600">
        <v>0.44450941214069339</v>
      </c>
      <c r="O1720" s="604">
        <v>1.2384943557216749E-4</v>
      </c>
      <c r="P1720" s="154"/>
      <c r="Q1720" s="93"/>
      <c r="R1720" s="93"/>
      <c r="S1720" s="93"/>
      <c r="T1720" s="93"/>
      <c r="U1720" s="93"/>
      <c r="V1720" s="107">
        <v>100</v>
      </c>
      <c r="W1720" s="239"/>
      <c r="X1720" s="660"/>
      <c r="Y1720" s="240"/>
      <c r="Z1720" s="727"/>
      <c r="AA1720" s="110"/>
      <c r="AB1720" s="109" t="s">
        <v>180</v>
      </c>
      <c r="AC1720" s="152"/>
      <c r="AD1720" s="223"/>
      <c r="AE1720" s="223"/>
      <c r="AF1720" s="223"/>
      <c r="AG1720" s="223"/>
      <c r="AH1720" s="341"/>
      <c r="AI1720" s="218"/>
      <c r="AJ1720" s="218"/>
      <c r="AK1720" s="153"/>
      <c r="AL1720" s="152"/>
      <c r="AM1720" s="152"/>
      <c r="AN1720" s="152"/>
      <c r="AO1720" s="152"/>
      <c r="AP1720" s="152"/>
      <c r="AQ1720" s="152"/>
      <c r="AR1720" s="152"/>
      <c r="AS1720" s="152"/>
      <c r="AT1720" s="152"/>
      <c r="AU1720" s="153"/>
      <c r="AV1720" s="479"/>
      <c r="AW1720" s="479"/>
      <c r="AX1720" s="442"/>
      <c r="AY1720" s="153"/>
      <c r="AZ1720" s="152"/>
      <c r="BA1720" s="152"/>
      <c r="BB1720" s="152"/>
      <c r="BC1720" s="152"/>
      <c r="BD1720" s="152"/>
      <c r="BE1720" s="152"/>
      <c r="BF1720" s="152"/>
      <c r="BG1720" s="152"/>
      <c r="BH1720" s="152"/>
      <c r="BI1720" s="153"/>
      <c r="BJ1720" s="153"/>
      <c r="BK1720" s="153"/>
      <c r="BL1720" s="153"/>
      <c r="BM1720" s="153"/>
      <c r="BN1720" s="153"/>
      <c r="BO1720" s="153"/>
      <c r="BP1720" s="153"/>
      <c r="BQ1720" s="153"/>
      <c r="BR1720" s="153"/>
      <c r="BS1720" s="153"/>
      <c r="BT1720" s="153"/>
      <c r="BU1720" s="153"/>
      <c r="BV1720" s="153"/>
      <c r="BW1720" s="153"/>
      <c r="BX1720" s="153"/>
      <c r="BY1720" s="153"/>
      <c r="BZ1720" s="153"/>
      <c r="CA1720" s="152"/>
      <c r="CB1720" s="152"/>
    </row>
    <row r="1721" spans="1:80" s="87" customFormat="1" x14ac:dyDescent="0.2">
      <c r="A1721" s="152"/>
      <c r="B1721" s="683"/>
      <c r="C1721" s="683"/>
      <c r="D1721" s="698"/>
      <c r="E1721" s="215"/>
      <c r="F1721" s="215"/>
      <c r="G1721" s="153"/>
      <c r="H1721" s="153"/>
      <c r="I1721" s="187">
        <v>10</v>
      </c>
      <c r="J1721" s="187">
        <v>60</v>
      </c>
      <c r="K1721" s="150">
        <v>1</v>
      </c>
      <c r="L1721" s="656">
        <v>10</v>
      </c>
      <c r="M1721" s="659">
        <v>33015</v>
      </c>
      <c r="N1721" s="600">
        <v>0.37655892875612884</v>
      </c>
      <c r="O1721" s="604">
        <v>1.4484086533016194E-4</v>
      </c>
      <c r="P1721" s="154"/>
      <c r="Q1721" s="93"/>
      <c r="R1721" s="93"/>
      <c r="S1721" s="93"/>
      <c r="T1721" s="93"/>
      <c r="U1721" s="93"/>
      <c r="V1721" s="107">
        <v>100</v>
      </c>
      <c r="W1721" s="239"/>
      <c r="X1721" s="660"/>
      <c r="Y1721" s="240"/>
      <c r="Z1721" s="727"/>
      <c r="AA1721" s="110"/>
      <c r="AB1721" s="109" t="s">
        <v>180</v>
      </c>
      <c r="AC1721" s="152"/>
      <c r="AD1721" s="223"/>
      <c r="AE1721" s="223"/>
      <c r="AF1721" s="223"/>
      <c r="AG1721" s="223"/>
      <c r="AH1721" s="341"/>
      <c r="AI1721" s="218"/>
      <c r="AJ1721" s="218"/>
      <c r="AK1721" s="153"/>
      <c r="AL1721" s="152"/>
      <c r="AM1721" s="152"/>
      <c r="AN1721" s="152"/>
      <c r="AO1721" s="152"/>
      <c r="AP1721" s="152"/>
      <c r="AQ1721" s="152"/>
      <c r="AR1721" s="152"/>
      <c r="AS1721" s="152"/>
      <c r="AT1721" s="152"/>
      <c r="AU1721" s="153"/>
      <c r="AV1721" s="479"/>
      <c r="AW1721" s="479"/>
      <c r="AX1721" s="442"/>
      <c r="AY1721" s="153"/>
      <c r="AZ1721" s="152"/>
      <c r="BA1721" s="152"/>
      <c r="BB1721" s="152"/>
      <c r="BC1721" s="152"/>
      <c r="BD1721" s="152"/>
      <c r="BE1721" s="152"/>
      <c r="BF1721" s="152"/>
      <c r="BG1721" s="152"/>
      <c r="BH1721" s="152"/>
      <c r="BI1721" s="153"/>
      <c r="BJ1721" s="153"/>
      <c r="BK1721" s="153"/>
      <c r="BL1721" s="153"/>
      <c r="BM1721" s="153"/>
      <c r="BN1721" s="153"/>
      <c r="BO1721" s="153"/>
      <c r="BP1721" s="153"/>
      <c r="BQ1721" s="153"/>
      <c r="BR1721" s="153"/>
      <c r="BS1721" s="153"/>
      <c r="BT1721" s="153"/>
      <c r="BU1721" s="153"/>
      <c r="BV1721" s="153"/>
      <c r="BW1721" s="153"/>
      <c r="BX1721" s="153"/>
      <c r="BY1721" s="153"/>
      <c r="BZ1721" s="153"/>
      <c r="CA1721" s="152"/>
      <c r="CB1721" s="152"/>
    </row>
    <row r="1722" spans="1:80" s="87" customFormat="1" x14ac:dyDescent="0.2">
      <c r="A1722" s="152"/>
      <c r="B1722" s="683"/>
      <c r="C1722" s="683"/>
      <c r="D1722" s="698"/>
      <c r="E1722" s="215"/>
      <c r="F1722" s="215"/>
      <c r="G1722" s="153"/>
      <c r="H1722" s="153"/>
      <c r="I1722" s="187">
        <v>20</v>
      </c>
      <c r="J1722" s="187">
        <v>30</v>
      </c>
      <c r="K1722" s="150">
        <v>1</v>
      </c>
      <c r="L1722" s="656">
        <v>10</v>
      </c>
      <c r="M1722" s="659">
        <v>33029</v>
      </c>
      <c r="N1722" s="600">
        <v>1.8516506722293853</v>
      </c>
      <c r="O1722" s="604">
        <v>1.8262543889455206E-3</v>
      </c>
      <c r="P1722" s="154"/>
      <c r="Q1722" s="93"/>
      <c r="R1722" s="93"/>
      <c r="S1722" s="93"/>
      <c r="T1722" s="93"/>
      <c r="U1722" s="93">
        <v>7.2992700729927007</v>
      </c>
      <c r="V1722" s="107">
        <v>92.700729927007302</v>
      </c>
      <c r="W1722" s="239"/>
      <c r="X1722" s="660"/>
      <c r="Y1722" s="240"/>
      <c r="Z1722" s="727"/>
      <c r="AA1722" s="111"/>
      <c r="AB1722" s="109" t="s">
        <v>181</v>
      </c>
      <c r="AC1722" s="152"/>
      <c r="AD1722" s="223"/>
      <c r="AE1722" s="223"/>
      <c r="AF1722" s="223"/>
      <c r="AG1722" s="223"/>
      <c r="AH1722" s="341"/>
      <c r="AI1722" s="218"/>
      <c r="AJ1722" s="218"/>
      <c r="AK1722" s="153"/>
      <c r="AL1722" s="152"/>
      <c r="AM1722" s="152"/>
      <c r="AN1722" s="152"/>
      <c r="AO1722" s="152"/>
      <c r="AP1722" s="152"/>
      <c r="AQ1722" s="152"/>
      <c r="AR1722" s="152"/>
      <c r="AS1722" s="152"/>
      <c r="AT1722" s="152"/>
      <c r="AU1722" s="153"/>
      <c r="AV1722" s="479"/>
      <c r="AW1722" s="479"/>
      <c r="AX1722" s="442"/>
      <c r="AY1722" s="153"/>
      <c r="AZ1722" s="152"/>
      <c r="BA1722" s="152"/>
      <c r="BB1722" s="152"/>
      <c r="BC1722" s="152"/>
      <c r="BD1722" s="152"/>
      <c r="BE1722" s="152"/>
      <c r="BF1722" s="152"/>
      <c r="BG1722" s="152"/>
      <c r="BH1722" s="152"/>
      <c r="BI1722" s="153"/>
      <c r="BJ1722" s="153"/>
      <c r="BK1722" s="153"/>
      <c r="BL1722" s="153"/>
      <c r="BM1722" s="153"/>
      <c r="BN1722" s="153"/>
      <c r="BO1722" s="153"/>
      <c r="BP1722" s="153"/>
      <c r="BQ1722" s="153"/>
      <c r="BR1722" s="153"/>
      <c r="BS1722" s="153"/>
      <c r="BT1722" s="153"/>
      <c r="BU1722" s="153"/>
      <c r="BV1722" s="153"/>
      <c r="BW1722" s="153"/>
      <c r="BX1722" s="153"/>
      <c r="BY1722" s="153"/>
      <c r="BZ1722" s="153"/>
      <c r="CA1722" s="152"/>
      <c r="CB1722" s="152"/>
    </row>
    <row r="1723" spans="1:80" s="87" customFormat="1" x14ac:dyDescent="0.2">
      <c r="A1723" s="152"/>
      <c r="B1723" s="683"/>
      <c r="C1723" s="683"/>
      <c r="D1723" s="698"/>
      <c r="E1723" s="215"/>
      <c r="F1723" s="215"/>
      <c r="G1723" s="153"/>
      <c r="H1723" s="153"/>
      <c r="I1723" s="299">
        <v>20</v>
      </c>
      <c r="J1723" s="187">
        <v>30</v>
      </c>
      <c r="K1723" s="150">
        <v>1</v>
      </c>
      <c r="L1723" s="656">
        <v>10</v>
      </c>
      <c r="M1723" s="659">
        <v>33253</v>
      </c>
      <c r="N1723" s="600">
        <v>0.69649245469178711</v>
      </c>
      <c r="O1723" s="604">
        <v>1.4610035111564162E-3</v>
      </c>
      <c r="P1723" s="154"/>
      <c r="Q1723" s="93"/>
      <c r="R1723" s="93"/>
      <c r="S1723" s="93"/>
      <c r="T1723" s="93"/>
      <c r="U1723" s="93">
        <v>1.4598540145985401</v>
      </c>
      <c r="V1723" s="107">
        <v>98.540145985401466</v>
      </c>
      <c r="W1723" s="239"/>
      <c r="X1723" s="660"/>
      <c r="Y1723" s="240"/>
      <c r="Z1723" s="727"/>
      <c r="AA1723" s="111"/>
      <c r="AB1723" s="109" t="s">
        <v>181</v>
      </c>
      <c r="AC1723" s="152"/>
      <c r="AD1723" s="223"/>
      <c r="AE1723" s="223"/>
      <c r="AF1723" s="223"/>
      <c r="AG1723" s="223"/>
      <c r="AH1723" s="341"/>
      <c r="AI1723" s="218"/>
      <c r="AJ1723" s="218"/>
      <c r="AK1723" s="153"/>
      <c r="AL1723" s="152"/>
      <c r="AM1723" s="152"/>
      <c r="AN1723" s="152"/>
      <c r="AO1723" s="152"/>
      <c r="AP1723" s="152"/>
      <c r="AQ1723" s="152"/>
      <c r="AR1723" s="152"/>
      <c r="AS1723" s="152"/>
      <c r="AT1723" s="152"/>
      <c r="AU1723" s="153"/>
      <c r="AV1723" s="479"/>
      <c r="AW1723" s="479"/>
      <c r="AX1723" s="442"/>
      <c r="AY1723" s="153"/>
      <c r="AZ1723" s="152"/>
      <c r="BA1723" s="152"/>
      <c r="BB1723" s="152"/>
      <c r="BC1723" s="152"/>
      <c r="BD1723" s="152"/>
      <c r="BE1723" s="152"/>
      <c r="BF1723" s="152"/>
      <c r="BG1723" s="152"/>
      <c r="BH1723" s="152"/>
      <c r="BI1723" s="153"/>
      <c r="BJ1723" s="153"/>
      <c r="BK1723" s="153"/>
      <c r="BL1723" s="153"/>
      <c r="BM1723" s="153"/>
      <c r="BN1723" s="153"/>
      <c r="BO1723" s="153"/>
      <c r="BP1723" s="153"/>
      <c r="BQ1723" s="153"/>
      <c r="BR1723" s="153"/>
      <c r="BS1723" s="153"/>
      <c r="BT1723" s="153"/>
      <c r="BU1723" s="153"/>
      <c r="BV1723" s="153"/>
      <c r="BW1723" s="153"/>
      <c r="BX1723" s="153"/>
      <c r="BY1723" s="153"/>
      <c r="BZ1723" s="153"/>
      <c r="CA1723" s="152"/>
      <c r="CB1723" s="152"/>
    </row>
    <row r="1724" spans="1:80" s="87" customFormat="1" x14ac:dyDescent="0.2">
      <c r="A1724" s="152"/>
      <c r="B1724" s="683"/>
      <c r="C1724" s="683"/>
      <c r="D1724" s="698"/>
      <c r="E1724" s="215"/>
      <c r="F1724" s="215"/>
      <c r="G1724" s="153"/>
      <c r="H1724" s="153"/>
      <c r="I1724" s="299">
        <v>10</v>
      </c>
      <c r="J1724" s="187">
        <v>60</v>
      </c>
      <c r="K1724" s="150">
        <v>1</v>
      </c>
      <c r="L1724" s="656">
        <v>10</v>
      </c>
      <c r="M1724" s="659">
        <v>33343</v>
      </c>
      <c r="N1724" s="600">
        <v>0.73329896652509285</v>
      </c>
      <c r="O1724" s="604">
        <v>3.5370559142220716E-4</v>
      </c>
      <c r="P1724" s="154"/>
      <c r="Q1724" s="93"/>
      <c r="R1724" s="93"/>
      <c r="S1724" s="93"/>
      <c r="T1724" s="93"/>
      <c r="U1724" s="93"/>
      <c r="V1724" s="107">
        <v>100</v>
      </c>
      <c r="W1724" s="239"/>
      <c r="X1724" s="660"/>
      <c r="Y1724" s="240"/>
      <c r="Z1724" s="727">
        <v>2</v>
      </c>
      <c r="AA1724" s="111"/>
      <c r="AB1724" s="109" t="s">
        <v>180</v>
      </c>
      <c r="AC1724" s="152"/>
      <c r="AD1724" s="223"/>
      <c r="AE1724" s="223"/>
      <c r="AF1724" s="223"/>
      <c r="AG1724" s="223"/>
      <c r="AH1724" s="341"/>
      <c r="AI1724" s="218"/>
      <c r="AJ1724" s="218"/>
      <c r="AK1724" s="153"/>
      <c r="AL1724" s="152"/>
      <c r="AM1724" s="152"/>
      <c r="AN1724" s="152"/>
      <c r="AO1724" s="152"/>
      <c r="AP1724" s="152"/>
      <c r="AQ1724" s="152"/>
      <c r="AR1724" s="152"/>
      <c r="AS1724" s="152"/>
      <c r="AT1724" s="152"/>
      <c r="AU1724" s="153"/>
      <c r="AV1724" s="479"/>
      <c r="AW1724" s="479"/>
      <c r="AX1724" s="442"/>
      <c r="AY1724" s="153"/>
      <c r="AZ1724" s="152"/>
      <c r="BA1724" s="152"/>
      <c r="BB1724" s="152"/>
      <c r="BC1724" s="152"/>
      <c r="BD1724" s="152"/>
      <c r="BE1724" s="152"/>
      <c r="BF1724" s="152"/>
      <c r="BG1724" s="152"/>
      <c r="BH1724" s="152"/>
      <c r="BI1724" s="153"/>
      <c r="BJ1724" s="153"/>
      <c r="BK1724" s="153"/>
      <c r="BL1724" s="153"/>
      <c r="BM1724" s="153"/>
      <c r="BN1724" s="153"/>
      <c r="BO1724" s="153"/>
      <c r="BP1724" s="153"/>
      <c r="BQ1724" s="153"/>
      <c r="BR1724" s="153"/>
      <c r="BS1724" s="153"/>
      <c r="BT1724" s="153"/>
      <c r="BU1724" s="153"/>
      <c r="BV1724" s="153"/>
      <c r="BW1724" s="153"/>
      <c r="BX1724" s="153"/>
      <c r="BY1724" s="153"/>
      <c r="BZ1724" s="153"/>
      <c r="CA1724" s="152"/>
      <c r="CB1724" s="152"/>
    </row>
    <row r="1725" spans="1:80" s="87" customFormat="1" x14ac:dyDescent="0.2">
      <c r="A1725" s="152"/>
      <c r="B1725" s="683"/>
      <c r="C1725" s="683"/>
      <c r="D1725" s="698"/>
      <c r="E1725" s="215"/>
      <c r="F1725" s="215"/>
      <c r="G1725" s="153"/>
      <c r="H1725" s="153"/>
      <c r="I1725" s="299">
        <v>10</v>
      </c>
      <c r="J1725" s="187">
        <v>60</v>
      </c>
      <c r="K1725" s="150">
        <v>1</v>
      </c>
      <c r="L1725" s="656">
        <v>10</v>
      </c>
      <c r="M1725" s="659">
        <v>33352</v>
      </c>
      <c r="N1725" s="600">
        <v>1.0758826535889394</v>
      </c>
      <c r="O1725" s="604">
        <v>2.1726129799524294E-2</v>
      </c>
      <c r="P1725" s="154"/>
      <c r="Q1725" s="93">
        <v>74.687968047928109</v>
      </c>
      <c r="R1725" s="93">
        <v>0</v>
      </c>
      <c r="S1725" s="93">
        <v>1.3479780329505742</v>
      </c>
      <c r="T1725" s="93">
        <v>1.2481278082875686</v>
      </c>
      <c r="U1725" s="93">
        <v>2.8956565152271589</v>
      </c>
      <c r="V1725" s="107">
        <v>19.82026959560659</v>
      </c>
      <c r="W1725" s="239"/>
      <c r="X1725" s="660"/>
      <c r="Y1725" s="240"/>
      <c r="Z1725" s="727"/>
      <c r="AA1725" s="111"/>
      <c r="AB1725" s="109" t="s">
        <v>180</v>
      </c>
      <c r="AC1725" s="152"/>
      <c r="AD1725" s="223"/>
      <c r="AE1725" s="223"/>
      <c r="AF1725" s="223"/>
      <c r="AG1725" s="223"/>
      <c r="AH1725" s="341"/>
      <c r="AI1725" s="218"/>
      <c r="AJ1725" s="218"/>
      <c r="AK1725" s="153"/>
      <c r="AL1725" s="152"/>
      <c r="AM1725" s="152"/>
      <c r="AN1725" s="152"/>
      <c r="AO1725" s="152"/>
      <c r="AP1725" s="152"/>
      <c r="AQ1725" s="152"/>
      <c r="AR1725" s="152"/>
      <c r="AS1725" s="152"/>
      <c r="AT1725" s="152"/>
      <c r="AU1725" s="153"/>
      <c r="AV1725" s="479"/>
      <c r="AW1725" s="479"/>
      <c r="AX1725" s="442"/>
      <c r="AY1725" s="153"/>
      <c r="AZ1725" s="152"/>
      <c r="BA1725" s="152"/>
      <c r="BB1725" s="152"/>
      <c r="BC1725" s="152"/>
      <c r="BD1725" s="152"/>
      <c r="BE1725" s="152"/>
      <c r="BF1725" s="152"/>
      <c r="BG1725" s="152"/>
      <c r="BH1725" s="152"/>
      <c r="BI1725" s="153"/>
      <c r="BJ1725" s="153"/>
      <c r="BK1725" s="153"/>
      <c r="BL1725" s="153"/>
      <c r="BM1725" s="153"/>
      <c r="BN1725" s="153"/>
      <c r="BO1725" s="153"/>
      <c r="BP1725" s="153"/>
      <c r="BQ1725" s="153"/>
      <c r="BR1725" s="153"/>
      <c r="BS1725" s="153"/>
      <c r="BT1725" s="153"/>
      <c r="BU1725" s="153"/>
      <c r="BV1725" s="153"/>
      <c r="BW1725" s="153"/>
      <c r="BX1725" s="153"/>
      <c r="BY1725" s="153"/>
      <c r="BZ1725" s="153"/>
      <c r="CA1725" s="152"/>
      <c r="CB1725" s="152"/>
    </row>
    <row r="1726" spans="1:80" s="87" customFormat="1" x14ac:dyDescent="0.2">
      <c r="A1726" s="152"/>
      <c r="B1726" s="683"/>
      <c r="C1726" s="683"/>
      <c r="D1726" s="698"/>
      <c r="E1726" s="215"/>
      <c r="F1726" s="215"/>
      <c r="G1726" s="153"/>
      <c r="H1726" s="153"/>
      <c r="I1726" s="299">
        <v>20</v>
      </c>
      <c r="J1726" s="187">
        <v>60</v>
      </c>
      <c r="K1726" s="150">
        <v>1</v>
      </c>
      <c r="L1726" s="656">
        <v>20</v>
      </c>
      <c r="M1726" s="659">
        <v>33352</v>
      </c>
      <c r="N1726" s="600">
        <v>1.0758826535889394</v>
      </c>
      <c r="O1726" s="604">
        <v>6.5178389398572881E-3</v>
      </c>
      <c r="P1726" s="154"/>
      <c r="Q1726" s="93"/>
      <c r="R1726" s="93"/>
      <c r="S1726" s="93"/>
      <c r="T1726" s="93">
        <v>3.1666666666666665</v>
      </c>
      <c r="U1726" s="93">
        <v>7.166666666666667</v>
      </c>
      <c r="V1726" s="107">
        <v>89.666666666666671</v>
      </c>
      <c r="W1726" s="239"/>
      <c r="X1726" s="660"/>
      <c r="Y1726" s="240"/>
      <c r="Z1726" s="727">
        <v>8</v>
      </c>
      <c r="AA1726" s="99"/>
      <c r="AB1726" s="109" t="s">
        <v>181</v>
      </c>
      <c r="AC1726" s="152"/>
      <c r="AD1726" s="223"/>
      <c r="AE1726" s="223"/>
      <c r="AF1726" s="223"/>
      <c r="AG1726" s="223"/>
      <c r="AH1726" s="341"/>
      <c r="AI1726" s="218"/>
      <c r="AJ1726" s="218"/>
      <c r="AK1726" s="153"/>
      <c r="AL1726" s="152"/>
      <c r="AM1726" s="152"/>
      <c r="AN1726" s="152"/>
      <c r="AO1726" s="152"/>
      <c r="AP1726" s="152"/>
      <c r="AQ1726" s="152"/>
      <c r="AR1726" s="152"/>
      <c r="AS1726" s="152"/>
      <c r="AT1726" s="152"/>
      <c r="AU1726" s="153"/>
      <c r="AV1726" s="479"/>
      <c r="AW1726" s="479"/>
      <c r="AX1726" s="442"/>
      <c r="AY1726" s="153"/>
      <c r="AZ1726" s="152"/>
      <c r="BA1726" s="152"/>
      <c r="BB1726" s="152"/>
      <c r="BC1726" s="152"/>
      <c r="BD1726" s="152"/>
      <c r="BE1726" s="152"/>
      <c r="BF1726" s="152"/>
      <c r="BG1726" s="152"/>
      <c r="BH1726" s="152"/>
      <c r="BI1726" s="153"/>
      <c r="BJ1726" s="153"/>
      <c r="BK1726" s="153"/>
      <c r="BL1726" s="153"/>
      <c r="BM1726" s="153"/>
      <c r="BN1726" s="153"/>
      <c r="BO1726" s="153"/>
      <c r="BP1726" s="153"/>
      <c r="BQ1726" s="153"/>
      <c r="BR1726" s="153"/>
      <c r="BS1726" s="153"/>
      <c r="BT1726" s="153"/>
      <c r="BU1726" s="153"/>
      <c r="BV1726" s="153"/>
      <c r="BW1726" s="153"/>
      <c r="BX1726" s="153"/>
      <c r="BY1726" s="153"/>
      <c r="BZ1726" s="153"/>
      <c r="CA1726" s="152"/>
      <c r="CB1726" s="152"/>
    </row>
    <row r="1727" spans="1:80" s="87" customFormat="1" x14ac:dyDescent="0.2">
      <c r="A1727" s="152"/>
      <c r="B1727" s="683"/>
      <c r="C1727" s="683"/>
      <c r="D1727" s="698"/>
      <c r="E1727" s="215"/>
      <c r="F1727" s="215"/>
      <c r="G1727" s="153"/>
      <c r="H1727" s="153"/>
      <c r="I1727" s="299">
        <v>10</v>
      </c>
      <c r="J1727" s="187">
        <v>60</v>
      </c>
      <c r="K1727" s="150">
        <v>1</v>
      </c>
      <c r="L1727" s="656">
        <v>10</v>
      </c>
      <c r="M1727" s="659">
        <v>33364</v>
      </c>
      <c r="N1727" s="600">
        <v>0.53794132679446971</v>
      </c>
      <c r="O1727" s="604">
        <v>7.2934722694151842E-3</v>
      </c>
      <c r="P1727" s="154"/>
      <c r="Q1727" s="93"/>
      <c r="R1727" s="93"/>
      <c r="S1727" s="93"/>
      <c r="T1727" s="93">
        <v>5.5555555555555554</v>
      </c>
      <c r="U1727" s="93">
        <v>10.526315789473683</v>
      </c>
      <c r="V1727" s="107">
        <v>83.918128654970758</v>
      </c>
      <c r="W1727" s="239"/>
      <c r="X1727" s="660"/>
      <c r="Y1727" s="240"/>
      <c r="Z1727" s="727">
        <v>7</v>
      </c>
      <c r="AA1727" s="99"/>
      <c r="AB1727" s="109" t="s">
        <v>180</v>
      </c>
      <c r="AC1727" s="152"/>
      <c r="AD1727" s="223"/>
      <c r="AE1727" s="223"/>
      <c r="AF1727" s="223"/>
      <c r="AG1727" s="223"/>
      <c r="AH1727" s="341"/>
      <c r="AI1727" s="218"/>
      <c r="AJ1727" s="218"/>
      <c r="AK1727" s="153"/>
      <c r="AL1727" s="152"/>
      <c r="AM1727" s="152"/>
      <c r="AN1727" s="152"/>
      <c r="AO1727" s="152"/>
      <c r="AP1727" s="152"/>
      <c r="AQ1727" s="152"/>
      <c r="AR1727" s="152"/>
      <c r="AS1727" s="152"/>
      <c r="AT1727" s="152"/>
      <c r="AU1727" s="153"/>
      <c r="AV1727" s="479"/>
      <c r="AW1727" s="479"/>
      <c r="AX1727" s="442"/>
      <c r="AY1727" s="153"/>
      <c r="AZ1727" s="152"/>
      <c r="BA1727" s="152"/>
      <c r="BB1727" s="152"/>
      <c r="BC1727" s="152"/>
      <c r="BD1727" s="152"/>
      <c r="BE1727" s="152"/>
      <c r="BF1727" s="152"/>
      <c r="BG1727" s="152"/>
      <c r="BH1727" s="152"/>
      <c r="BI1727" s="153"/>
      <c r="BJ1727" s="153"/>
      <c r="BK1727" s="153"/>
      <c r="BL1727" s="153"/>
      <c r="BM1727" s="153"/>
      <c r="BN1727" s="153"/>
      <c r="BO1727" s="153"/>
      <c r="BP1727" s="153"/>
      <c r="BQ1727" s="153"/>
      <c r="BR1727" s="153"/>
      <c r="BS1727" s="153"/>
      <c r="BT1727" s="153"/>
      <c r="BU1727" s="153"/>
      <c r="BV1727" s="153"/>
      <c r="BW1727" s="153"/>
      <c r="BX1727" s="153"/>
      <c r="BY1727" s="153"/>
      <c r="BZ1727" s="153"/>
      <c r="CA1727" s="152"/>
      <c r="CB1727" s="152"/>
    </row>
    <row r="1728" spans="1:80" s="87" customFormat="1" x14ac:dyDescent="0.2">
      <c r="A1728" s="152"/>
      <c r="B1728" s="683"/>
      <c r="C1728" s="683"/>
      <c r="D1728" s="698"/>
      <c r="E1728" s="215"/>
      <c r="F1728" s="215"/>
      <c r="G1728" s="153"/>
      <c r="H1728" s="153"/>
      <c r="I1728" s="299">
        <v>10</v>
      </c>
      <c r="J1728" s="187">
        <v>60</v>
      </c>
      <c r="K1728" s="150">
        <v>1</v>
      </c>
      <c r="L1728" s="656">
        <v>10</v>
      </c>
      <c r="M1728" s="659">
        <v>33378</v>
      </c>
      <c r="N1728" s="600">
        <v>0.59456672961494017</v>
      </c>
      <c r="O1728" s="604">
        <v>8.7429304942047037E-4</v>
      </c>
      <c r="P1728" s="154"/>
      <c r="Q1728" s="93"/>
      <c r="R1728" s="93"/>
      <c r="S1728" s="93"/>
      <c r="T1728" s="93">
        <v>3.7037037037037037</v>
      </c>
      <c r="U1728" s="93">
        <v>2.4691358024691361</v>
      </c>
      <c r="V1728" s="107">
        <v>93.827160493827165</v>
      </c>
      <c r="W1728" s="239"/>
      <c r="X1728" s="660"/>
      <c r="Y1728" s="240"/>
      <c r="Z1728" s="727">
        <v>3</v>
      </c>
      <c r="AA1728" s="99"/>
      <c r="AB1728" s="109" t="s">
        <v>180</v>
      </c>
      <c r="AC1728" s="152"/>
      <c r="AD1728" s="223"/>
      <c r="AE1728" s="223"/>
      <c r="AF1728" s="223"/>
      <c r="AG1728" s="223"/>
      <c r="AH1728" s="341"/>
      <c r="AI1728" s="218"/>
      <c r="AJ1728" s="218"/>
      <c r="AK1728" s="153"/>
      <c r="AL1728" s="152"/>
      <c r="AM1728" s="152"/>
      <c r="AN1728" s="152"/>
      <c r="AO1728" s="152"/>
      <c r="AP1728" s="152"/>
      <c r="AQ1728" s="152"/>
      <c r="AR1728" s="152"/>
      <c r="AS1728" s="152"/>
      <c r="AT1728" s="152"/>
      <c r="AU1728" s="153"/>
      <c r="AV1728" s="479"/>
      <c r="AW1728" s="479"/>
      <c r="AX1728" s="442"/>
      <c r="AY1728" s="153"/>
      <c r="AZ1728" s="152"/>
      <c r="BA1728" s="152"/>
      <c r="BB1728" s="152"/>
      <c r="BC1728" s="152"/>
      <c r="BD1728" s="152"/>
      <c r="BE1728" s="152"/>
      <c r="BF1728" s="152"/>
      <c r="BG1728" s="152"/>
      <c r="BH1728" s="152"/>
      <c r="BI1728" s="153"/>
      <c r="BJ1728" s="153"/>
      <c r="BK1728" s="153"/>
      <c r="BL1728" s="153"/>
      <c r="BM1728" s="153"/>
      <c r="BN1728" s="153"/>
      <c r="BO1728" s="153"/>
      <c r="BP1728" s="153"/>
      <c r="BQ1728" s="153"/>
      <c r="BR1728" s="153"/>
      <c r="BS1728" s="153"/>
      <c r="BT1728" s="153"/>
      <c r="BU1728" s="153"/>
      <c r="BV1728" s="153"/>
      <c r="BW1728" s="153"/>
      <c r="BX1728" s="153"/>
      <c r="BY1728" s="153"/>
      <c r="BZ1728" s="153"/>
      <c r="CA1728" s="152"/>
      <c r="CB1728" s="152"/>
    </row>
    <row r="1729" spans="1:80" s="87" customFormat="1" x14ac:dyDescent="0.2">
      <c r="A1729" s="152"/>
      <c r="B1729" s="683"/>
      <c r="C1729" s="683"/>
      <c r="D1729" s="698"/>
      <c r="E1729" s="215"/>
      <c r="F1729" s="215"/>
      <c r="G1729" s="153"/>
      <c r="H1729" s="153"/>
      <c r="I1729" s="300">
        <v>10</v>
      </c>
      <c r="J1729" s="301">
        <v>60</v>
      </c>
      <c r="K1729" s="150">
        <v>1</v>
      </c>
      <c r="L1729" s="656">
        <v>10</v>
      </c>
      <c r="M1729" s="659">
        <v>33386</v>
      </c>
      <c r="N1729" s="600">
        <v>0.63703578173029307</v>
      </c>
      <c r="O1729" s="604">
        <v>2.158968550609733E-3</v>
      </c>
      <c r="P1729" s="154"/>
      <c r="Q1729" s="93"/>
      <c r="R1729" s="93"/>
      <c r="S1729" s="93"/>
      <c r="T1729" s="93"/>
      <c r="U1729" s="93">
        <v>12.5</v>
      </c>
      <c r="V1729" s="107">
        <v>87.5</v>
      </c>
      <c r="W1729" s="239"/>
      <c r="X1729" s="660"/>
      <c r="Y1729" s="240"/>
      <c r="Z1729" s="727">
        <v>6</v>
      </c>
      <c r="AA1729" s="99"/>
      <c r="AB1729" s="109" t="s">
        <v>180</v>
      </c>
      <c r="AC1729" s="152"/>
      <c r="AD1729" s="223"/>
      <c r="AE1729" s="223"/>
      <c r="AF1729" s="223"/>
      <c r="AG1729" s="223"/>
      <c r="AH1729" s="341"/>
      <c r="AI1729" s="218"/>
      <c r="AJ1729" s="218"/>
      <c r="AK1729" s="153"/>
      <c r="AL1729" s="152"/>
      <c r="AM1729" s="152"/>
      <c r="AN1729" s="152"/>
      <c r="AO1729" s="152"/>
      <c r="AP1729" s="152"/>
      <c r="AQ1729" s="152"/>
      <c r="AR1729" s="152"/>
      <c r="AS1729" s="152"/>
      <c r="AT1729" s="152"/>
      <c r="AU1729" s="153"/>
      <c r="AV1729" s="479"/>
      <c r="AW1729" s="479"/>
      <c r="AX1729" s="442"/>
      <c r="AY1729" s="153"/>
      <c r="AZ1729" s="152"/>
      <c r="BA1729" s="152"/>
      <c r="BB1729" s="152"/>
      <c r="BC1729" s="152"/>
      <c r="BD1729" s="152"/>
      <c r="BE1729" s="152"/>
      <c r="BF1729" s="152"/>
      <c r="BG1729" s="152"/>
      <c r="BH1729" s="152"/>
      <c r="BI1729" s="153"/>
      <c r="BJ1729" s="153"/>
      <c r="BK1729" s="153"/>
      <c r="BL1729" s="153"/>
      <c r="BM1729" s="153"/>
      <c r="BN1729" s="153"/>
      <c r="BO1729" s="153"/>
      <c r="BP1729" s="153"/>
      <c r="BQ1729" s="153"/>
      <c r="BR1729" s="153"/>
      <c r="BS1729" s="153"/>
      <c r="BT1729" s="153"/>
      <c r="BU1729" s="153"/>
      <c r="BV1729" s="153"/>
      <c r="BW1729" s="153"/>
      <c r="BX1729" s="153"/>
      <c r="BY1729" s="153"/>
      <c r="BZ1729" s="153"/>
      <c r="CA1729" s="152"/>
      <c r="CB1729" s="152"/>
    </row>
    <row r="1730" spans="1:80" s="87" customFormat="1" x14ac:dyDescent="0.2">
      <c r="A1730" s="152"/>
      <c r="B1730" s="683"/>
      <c r="C1730" s="683"/>
      <c r="D1730" s="698"/>
      <c r="E1730" s="215"/>
      <c r="F1730" s="215"/>
      <c r="G1730" s="153"/>
      <c r="H1730" s="153"/>
      <c r="I1730" s="300">
        <v>10</v>
      </c>
      <c r="J1730" s="301">
        <v>60</v>
      </c>
      <c r="K1730" s="150">
        <v>1</v>
      </c>
      <c r="L1730" s="656">
        <v>10</v>
      </c>
      <c r="M1730" s="659">
        <v>33666</v>
      </c>
      <c r="N1730" s="600">
        <v>0.64269832201234012</v>
      </c>
      <c r="O1730" s="604">
        <v>1.061746517159361E-2</v>
      </c>
      <c r="P1730" s="154"/>
      <c r="Q1730" s="93"/>
      <c r="R1730" s="93"/>
      <c r="S1730" s="93">
        <v>21.092278719397363</v>
      </c>
      <c r="T1730" s="93">
        <v>29.943502824858758</v>
      </c>
      <c r="U1730" s="93">
        <v>13.653483992467043</v>
      </c>
      <c r="V1730" s="107">
        <v>35.310734463276837</v>
      </c>
      <c r="W1730" s="239"/>
      <c r="X1730" s="660"/>
      <c r="Y1730" s="240"/>
      <c r="Z1730" s="727">
        <v>16</v>
      </c>
      <c r="AA1730" s="99"/>
      <c r="AB1730" s="109" t="s">
        <v>180</v>
      </c>
      <c r="AC1730" s="152"/>
      <c r="AD1730" s="91">
        <v>4.5717768972874122</v>
      </c>
      <c r="AE1730" s="91">
        <v>0.30925530834095299</v>
      </c>
      <c r="AF1730" s="91">
        <v>1.41384627403666</v>
      </c>
      <c r="AG1730" s="91">
        <v>0.51424980605493098</v>
      </c>
      <c r="AH1730" s="343"/>
      <c r="AI1730" s="218"/>
      <c r="AJ1730" s="218"/>
      <c r="AK1730" s="153"/>
      <c r="AL1730" s="152"/>
      <c r="AM1730" s="152"/>
      <c r="AN1730" s="152"/>
      <c r="AO1730" s="152"/>
      <c r="AP1730" s="152"/>
      <c r="AQ1730" s="152"/>
      <c r="AR1730" s="152"/>
      <c r="AS1730" s="152"/>
      <c r="AT1730" s="152"/>
      <c r="AU1730" s="153"/>
      <c r="AV1730" s="479"/>
      <c r="AW1730" s="479"/>
      <c r="AX1730" s="442"/>
      <c r="AY1730" s="153"/>
      <c r="AZ1730" s="152"/>
      <c r="BA1730" s="152"/>
      <c r="BB1730" s="152"/>
      <c r="BC1730" s="152"/>
      <c r="BD1730" s="152"/>
      <c r="BE1730" s="152"/>
      <c r="BF1730" s="152"/>
      <c r="BG1730" s="152"/>
      <c r="BH1730" s="152"/>
      <c r="BI1730" s="153"/>
      <c r="BJ1730" s="153"/>
      <c r="BK1730" s="153"/>
      <c r="BL1730" s="153"/>
      <c r="BM1730" s="153"/>
      <c r="BN1730" s="153"/>
      <c r="BO1730" s="153"/>
      <c r="BP1730" s="153"/>
      <c r="BQ1730" s="153"/>
      <c r="BR1730" s="153"/>
      <c r="BS1730" s="153"/>
      <c r="BT1730" s="153"/>
      <c r="BU1730" s="153"/>
      <c r="BV1730" s="153"/>
      <c r="BW1730" s="153"/>
      <c r="BX1730" s="153"/>
      <c r="BY1730" s="153"/>
      <c r="BZ1730" s="153"/>
      <c r="CA1730" s="152"/>
      <c r="CB1730" s="152"/>
    </row>
    <row r="1731" spans="1:80" s="87" customFormat="1" x14ac:dyDescent="0.2">
      <c r="A1731" s="152"/>
      <c r="B1731" s="683"/>
      <c r="C1731" s="683"/>
      <c r="D1731" s="698"/>
      <c r="E1731" s="215"/>
      <c r="F1731" s="215"/>
      <c r="G1731" s="153"/>
      <c r="H1731" s="153"/>
      <c r="I1731" s="299">
        <v>10</v>
      </c>
      <c r="J1731" s="302">
        <v>60</v>
      </c>
      <c r="K1731" s="150">
        <v>1</v>
      </c>
      <c r="L1731" s="656">
        <v>10</v>
      </c>
      <c r="M1731" s="659">
        <v>33679</v>
      </c>
      <c r="N1731" s="600">
        <v>0.39920908988431697</v>
      </c>
      <c r="O1731" s="604">
        <v>9.5930833994034787E-4</v>
      </c>
      <c r="P1731" s="154"/>
      <c r="Q1731" s="93"/>
      <c r="R1731" s="93">
        <v>26.388888888888886</v>
      </c>
      <c r="S1731" s="93">
        <v>15.277777777777777</v>
      </c>
      <c r="T1731" s="93">
        <v>9.2592592592592595</v>
      </c>
      <c r="U1731" s="93">
        <v>11.111111111111111</v>
      </c>
      <c r="V1731" s="107">
        <v>37.962962962962955</v>
      </c>
      <c r="W1731" s="239"/>
      <c r="X1731" s="660"/>
      <c r="Y1731" s="240"/>
      <c r="Z1731" s="727">
        <v>21</v>
      </c>
      <c r="AA1731" s="99"/>
      <c r="AB1731" s="109" t="s">
        <v>180</v>
      </c>
      <c r="AC1731" s="152"/>
      <c r="AD1731" s="91">
        <v>4.5717768972874122</v>
      </c>
      <c r="AE1731" s="91">
        <v>0.23691963832164986</v>
      </c>
      <c r="AF1731" s="91">
        <v>1.0831437289926085</v>
      </c>
      <c r="AG1731" s="91">
        <v>0.3677810231265517</v>
      </c>
      <c r="AH1731" s="343"/>
      <c r="AI1731" s="218"/>
      <c r="AJ1731" s="218"/>
      <c r="AK1731" s="153"/>
      <c r="AL1731" s="152"/>
      <c r="AM1731" s="152"/>
      <c r="AN1731" s="152"/>
      <c r="AO1731" s="152"/>
      <c r="AP1731" s="152"/>
      <c r="AQ1731" s="152"/>
      <c r="AR1731" s="152"/>
      <c r="AS1731" s="152"/>
      <c r="AT1731" s="152"/>
      <c r="AU1731" s="153"/>
      <c r="AV1731" s="479"/>
      <c r="AW1731" s="479"/>
      <c r="AX1731" s="442"/>
      <c r="AY1731" s="153"/>
      <c r="AZ1731" s="152"/>
      <c r="BA1731" s="152"/>
      <c r="BB1731" s="152"/>
      <c r="BC1731" s="152"/>
      <c r="BD1731" s="152"/>
      <c r="BE1731" s="152"/>
      <c r="BF1731" s="152"/>
      <c r="BG1731" s="152"/>
      <c r="BH1731" s="152"/>
      <c r="BI1731" s="153"/>
      <c r="BJ1731" s="153"/>
      <c r="BK1731" s="153"/>
      <c r="BL1731" s="153"/>
      <c r="BM1731" s="153"/>
      <c r="BN1731" s="153"/>
      <c r="BO1731" s="153"/>
      <c r="BP1731" s="153"/>
      <c r="BQ1731" s="153"/>
      <c r="BR1731" s="153"/>
      <c r="BS1731" s="153"/>
      <c r="BT1731" s="153"/>
      <c r="BU1731" s="153"/>
      <c r="BV1731" s="153"/>
      <c r="BW1731" s="153"/>
      <c r="BX1731" s="153"/>
      <c r="BY1731" s="153"/>
      <c r="BZ1731" s="153"/>
      <c r="CA1731" s="152"/>
      <c r="CB1731" s="152"/>
    </row>
    <row r="1732" spans="1:80" s="87" customFormat="1" x14ac:dyDescent="0.2">
      <c r="A1732" s="152"/>
      <c r="B1732" s="683"/>
      <c r="C1732" s="683"/>
      <c r="D1732" s="698"/>
      <c r="E1732" s="215"/>
      <c r="F1732" s="215"/>
      <c r="G1732" s="153"/>
      <c r="H1732" s="153"/>
      <c r="I1732" s="300">
        <v>10</v>
      </c>
      <c r="J1732" s="303">
        <v>60</v>
      </c>
      <c r="K1732" s="150">
        <v>1</v>
      </c>
      <c r="L1732" s="656">
        <v>10</v>
      </c>
      <c r="M1732" s="659">
        <v>34044</v>
      </c>
      <c r="N1732" s="600">
        <v>0.67667356370462239</v>
      </c>
      <c r="O1732" s="604">
        <v>1.9773926832030806E-3</v>
      </c>
      <c r="P1732" s="154"/>
      <c r="Q1732" s="93"/>
      <c r="R1732" s="93"/>
      <c r="S1732" s="93">
        <v>8.4656084656084669</v>
      </c>
      <c r="T1732" s="93">
        <v>17.460317460317462</v>
      </c>
      <c r="U1732" s="93">
        <v>12.169312169312169</v>
      </c>
      <c r="V1732" s="107">
        <v>61.904761904761912</v>
      </c>
      <c r="W1732" s="239"/>
      <c r="X1732" s="660"/>
      <c r="Y1732" s="240"/>
      <c r="Z1732" s="727">
        <v>13</v>
      </c>
      <c r="AA1732" s="99"/>
      <c r="AB1732" s="109" t="s">
        <v>180</v>
      </c>
      <c r="AC1732" s="152"/>
      <c r="AD1732" s="91">
        <v>4.7851264858274911</v>
      </c>
      <c r="AE1732" s="91">
        <v>0.30847360890826742</v>
      </c>
      <c r="AF1732" s="91">
        <v>1.4760852361657417</v>
      </c>
      <c r="AG1732" s="91">
        <v>0.45746540381919354</v>
      </c>
      <c r="AH1732" s="343"/>
      <c r="AI1732" s="218"/>
      <c r="AJ1732" s="218"/>
      <c r="AK1732" s="153"/>
      <c r="AL1732" s="152"/>
      <c r="AM1732" s="152"/>
      <c r="AN1732" s="152"/>
      <c r="AO1732" s="152"/>
      <c r="AP1732" s="152"/>
      <c r="AQ1732" s="152"/>
      <c r="AR1732" s="152"/>
      <c r="AS1732" s="152"/>
      <c r="AT1732" s="152"/>
      <c r="AU1732" s="153"/>
      <c r="AV1732" s="479"/>
      <c r="AW1732" s="479"/>
      <c r="AX1732" s="442"/>
      <c r="AY1732" s="153"/>
      <c r="AZ1732" s="152"/>
      <c r="BA1732" s="152"/>
      <c r="BB1732" s="152"/>
      <c r="BC1732" s="152"/>
      <c r="BD1732" s="152"/>
      <c r="BE1732" s="152"/>
      <c r="BF1732" s="152"/>
      <c r="BG1732" s="152"/>
      <c r="BH1732" s="152"/>
      <c r="BI1732" s="153"/>
      <c r="BJ1732" s="153"/>
      <c r="BK1732" s="153"/>
      <c r="BL1732" s="153"/>
      <c r="BM1732" s="153"/>
      <c r="BN1732" s="153"/>
      <c r="BO1732" s="153"/>
      <c r="BP1732" s="153"/>
      <c r="BQ1732" s="153"/>
      <c r="BR1732" s="153"/>
      <c r="BS1732" s="153"/>
      <c r="BT1732" s="153"/>
      <c r="BU1732" s="153"/>
      <c r="BV1732" s="153"/>
      <c r="BW1732" s="153"/>
      <c r="BX1732" s="153"/>
      <c r="BY1732" s="153"/>
      <c r="BZ1732" s="153"/>
      <c r="CA1732" s="152"/>
      <c r="CB1732" s="152"/>
    </row>
    <row r="1733" spans="1:80" s="87" customFormat="1" x14ac:dyDescent="0.2">
      <c r="A1733" s="152"/>
      <c r="B1733" s="683"/>
      <c r="C1733" s="683"/>
      <c r="D1733" s="698"/>
      <c r="E1733" s="215"/>
      <c r="F1733" s="215"/>
      <c r="G1733" s="153"/>
      <c r="H1733" s="153"/>
      <c r="I1733" s="300">
        <v>10</v>
      </c>
      <c r="J1733" s="303">
        <v>60</v>
      </c>
      <c r="K1733" s="150">
        <v>1</v>
      </c>
      <c r="L1733" s="656">
        <v>10</v>
      </c>
      <c r="M1733" s="659">
        <v>34066</v>
      </c>
      <c r="N1733" s="600">
        <v>1.1041953549991748</v>
      </c>
      <c r="O1733" s="604">
        <v>3.4545895830299499E-3</v>
      </c>
      <c r="P1733" s="154"/>
      <c r="Q1733" s="93"/>
      <c r="R1733" s="93">
        <v>18.827160493827162</v>
      </c>
      <c r="S1733" s="93">
        <v>7.7160493827160499</v>
      </c>
      <c r="T1733" s="93">
        <v>6.1728395061728394</v>
      </c>
      <c r="U1733" s="93">
        <v>15.4320987654321</v>
      </c>
      <c r="V1733" s="107">
        <v>51.851851851851855</v>
      </c>
      <c r="W1733" s="239"/>
      <c r="X1733" s="660"/>
      <c r="Y1733" s="240"/>
      <c r="Z1733" s="727">
        <v>18</v>
      </c>
      <c r="AA1733" s="99"/>
      <c r="AB1733" s="109" t="s">
        <v>180</v>
      </c>
      <c r="AC1733" s="152"/>
      <c r="AD1733" s="91">
        <v>4.8765620237732392</v>
      </c>
      <c r="AE1733" s="91">
        <v>0.38136238951539159</v>
      </c>
      <c r="AF1733" s="91">
        <v>1.8597373460061766</v>
      </c>
      <c r="AG1733" s="91">
        <v>0.5940417400338156</v>
      </c>
      <c r="AH1733" s="343"/>
      <c r="AI1733" s="218"/>
      <c r="AJ1733" s="218"/>
      <c r="AK1733" s="153"/>
      <c r="AL1733" s="152"/>
      <c r="AM1733" s="152"/>
      <c r="AN1733" s="152"/>
      <c r="AO1733" s="152"/>
      <c r="AP1733" s="152"/>
      <c r="AQ1733" s="152"/>
      <c r="AR1733" s="152"/>
      <c r="AS1733" s="152"/>
      <c r="AT1733" s="152"/>
      <c r="AU1733" s="153"/>
      <c r="AV1733" s="479"/>
      <c r="AW1733" s="479"/>
      <c r="AX1733" s="442"/>
      <c r="AY1733" s="153"/>
      <c r="AZ1733" s="152"/>
      <c r="BA1733" s="152"/>
      <c r="BB1733" s="152"/>
      <c r="BC1733" s="152"/>
      <c r="BD1733" s="152"/>
      <c r="BE1733" s="152"/>
      <c r="BF1733" s="152"/>
      <c r="BG1733" s="152"/>
      <c r="BH1733" s="152"/>
      <c r="BI1733" s="153"/>
      <c r="BJ1733" s="153"/>
      <c r="BK1733" s="153"/>
      <c r="BL1733" s="153"/>
      <c r="BM1733" s="153"/>
      <c r="BN1733" s="153"/>
      <c r="BO1733" s="153"/>
      <c r="BP1733" s="153"/>
      <c r="BQ1733" s="153"/>
      <c r="BR1733" s="153"/>
      <c r="BS1733" s="153"/>
      <c r="BT1733" s="153"/>
      <c r="BU1733" s="153"/>
      <c r="BV1733" s="153"/>
      <c r="BW1733" s="153"/>
      <c r="BX1733" s="153"/>
      <c r="BY1733" s="153"/>
      <c r="BZ1733" s="153"/>
      <c r="CA1733" s="152"/>
      <c r="CB1733" s="152"/>
    </row>
    <row r="1734" spans="1:80" s="87" customFormat="1" x14ac:dyDescent="0.2">
      <c r="A1734" s="152"/>
      <c r="B1734" s="683"/>
      <c r="C1734" s="683"/>
      <c r="D1734" s="698"/>
      <c r="E1734" s="215"/>
      <c r="F1734" s="215"/>
      <c r="G1734" s="153"/>
      <c r="H1734" s="153"/>
      <c r="I1734" s="300">
        <v>20</v>
      </c>
      <c r="J1734" s="303">
        <v>30</v>
      </c>
      <c r="K1734" s="150">
        <v>1</v>
      </c>
      <c r="L1734" s="656">
        <v>10</v>
      </c>
      <c r="M1734" s="659">
        <v>34094</v>
      </c>
      <c r="N1734" s="600">
        <v>1.8771321034985968</v>
      </c>
      <c r="O1734" s="604">
        <v>1.8244551235376921E-2</v>
      </c>
      <c r="P1734" s="154"/>
      <c r="Q1734" s="93"/>
      <c r="R1734" s="93">
        <v>17.422748191978961</v>
      </c>
      <c r="S1734" s="93">
        <v>19.526627218934912</v>
      </c>
      <c r="T1734" s="93">
        <v>13.412228796844181</v>
      </c>
      <c r="U1734" s="93">
        <v>10.322156476002631</v>
      </c>
      <c r="V1734" s="107">
        <v>39.316239316239319</v>
      </c>
      <c r="W1734" s="239"/>
      <c r="X1734" s="660"/>
      <c r="Y1734" s="240"/>
      <c r="Z1734" s="727">
        <v>25</v>
      </c>
      <c r="AA1734" s="99"/>
      <c r="AB1734" s="109" t="s">
        <v>181</v>
      </c>
      <c r="AC1734" s="152"/>
      <c r="AD1734" s="91">
        <v>5.4861322767448941</v>
      </c>
      <c r="AE1734" s="91">
        <v>0.42500592637745943</v>
      </c>
      <c r="AF1734" s="91">
        <v>2.3316387305072444</v>
      </c>
      <c r="AG1734" s="91">
        <v>0.80458416258768639</v>
      </c>
      <c r="AH1734" s="343"/>
      <c r="AI1734" s="218"/>
      <c r="AJ1734" s="218"/>
      <c r="AK1734" s="153"/>
      <c r="AL1734" s="152"/>
      <c r="AM1734" s="152"/>
      <c r="AN1734" s="152"/>
      <c r="AO1734" s="152"/>
      <c r="AP1734" s="152"/>
      <c r="AQ1734" s="152"/>
      <c r="AR1734" s="152"/>
      <c r="AS1734" s="152"/>
      <c r="AT1734" s="152"/>
      <c r="AU1734" s="153"/>
      <c r="AV1734" s="479"/>
      <c r="AW1734" s="479"/>
      <c r="AX1734" s="442"/>
      <c r="AY1734" s="153"/>
      <c r="AZ1734" s="152"/>
      <c r="BA1734" s="152"/>
      <c r="BB1734" s="152"/>
      <c r="BC1734" s="152"/>
      <c r="BD1734" s="152"/>
      <c r="BE1734" s="152"/>
      <c r="BF1734" s="152"/>
      <c r="BG1734" s="152"/>
      <c r="BH1734" s="152"/>
      <c r="BI1734" s="153"/>
      <c r="BJ1734" s="153"/>
      <c r="BK1734" s="153"/>
      <c r="BL1734" s="153"/>
      <c r="BM1734" s="153"/>
      <c r="BN1734" s="153"/>
      <c r="BO1734" s="153"/>
      <c r="BP1734" s="153"/>
      <c r="BQ1734" s="153"/>
      <c r="BR1734" s="153"/>
      <c r="BS1734" s="153"/>
      <c r="BT1734" s="153"/>
      <c r="BU1734" s="153"/>
      <c r="BV1734" s="153"/>
      <c r="BW1734" s="153"/>
      <c r="BX1734" s="153"/>
      <c r="BY1734" s="153"/>
      <c r="BZ1734" s="153"/>
      <c r="CA1734" s="152"/>
      <c r="CB1734" s="152"/>
    </row>
    <row r="1735" spans="1:80" s="87" customFormat="1" x14ac:dyDescent="0.2">
      <c r="A1735" s="152"/>
      <c r="B1735" s="683"/>
      <c r="C1735" s="683"/>
      <c r="D1735" s="698"/>
      <c r="E1735" s="215"/>
      <c r="F1735" s="215"/>
      <c r="G1735" s="153"/>
      <c r="H1735" s="153"/>
      <c r="I1735" s="300">
        <v>10</v>
      </c>
      <c r="J1735" s="302">
        <v>60</v>
      </c>
      <c r="K1735" s="150">
        <v>1</v>
      </c>
      <c r="L1735" s="656">
        <v>10</v>
      </c>
      <c r="M1735" s="659">
        <v>34773</v>
      </c>
      <c r="N1735" s="600">
        <v>1.6817744637679737</v>
      </c>
      <c r="O1735" s="604">
        <v>1.9510367769513762E-2</v>
      </c>
      <c r="P1735" s="154"/>
      <c r="Q1735" s="93"/>
      <c r="R1735" s="93"/>
      <c r="S1735" s="93">
        <v>8.3682008368200833</v>
      </c>
      <c r="T1735" s="93">
        <v>6.3956963538553495</v>
      </c>
      <c r="U1735" s="93">
        <v>13.986849970113568</v>
      </c>
      <c r="V1735" s="107">
        <v>71.249252839210996</v>
      </c>
      <c r="W1735" s="606"/>
      <c r="X1735" s="728"/>
      <c r="Y1735" s="729"/>
      <c r="Z1735" s="727">
        <v>15</v>
      </c>
      <c r="AA1735" s="99"/>
      <c r="AB1735" s="109" t="s">
        <v>180</v>
      </c>
      <c r="AC1735" s="152"/>
      <c r="AD1735" s="91">
        <v>5.3337397135019806</v>
      </c>
      <c r="AE1735" s="91">
        <v>0.39778813079635994</v>
      </c>
      <c r="AF1735" s="91">
        <v>2.1216983507882654</v>
      </c>
      <c r="AG1735" s="91">
        <v>0.7931886128860588</v>
      </c>
      <c r="AH1735" s="343"/>
      <c r="AI1735" s="218"/>
      <c r="AJ1735" s="218"/>
      <c r="AK1735" s="153"/>
      <c r="AL1735" s="152"/>
      <c r="AM1735" s="152"/>
      <c r="AN1735" s="152"/>
      <c r="AO1735" s="152"/>
      <c r="AP1735" s="152"/>
      <c r="AQ1735" s="152"/>
      <c r="AR1735" s="152"/>
      <c r="AS1735" s="152"/>
      <c r="AT1735" s="152"/>
      <c r="AU1735" s="153"/>
      <c r="AV1735" s="479"/>
      <c r="AW1735" s="479"/>
      <c r="AX1735" s="442"/>
      <c r="AY1735" s="153"/>
      <c r="AZ1735" s="152"/>
      <c r="BA1735" s="152"/>
      <c r="BB1735" s="152"/>
      <c r="BC1735" s="152"/>
      <c r="BD1735" s="152"/>
      <c r="BE1735" s="152"/>
      <c r="BF1735" s="152"/>
      <c r="BG1735" s="152"/>
      <c r="BH1735" s="152"/>
      <c r="BI1735" s="153"/>
      <c r="BJ1735" s="153"/>
      <c r="BK1735" s="153"/>
      <c r="BL1735" s="153"/>
      <c r="BM1735" s="153"/>
      <c r="BN1735" s="153"/>
      <c r="BO1735" s="153"/>
      <c r="BP1735" s="153"/>
      <c r="BQ1735" s="153"/>
      <c r="BR1735" s="153"/>
      <c r="BS1735" s="153"/>
      <c r="BT1735" s="153"/>
      <c r="BU1735" s="153"/>
      <c r="BV1735" s="153"/>
      <c r="BW1735" s="153"/>
      <c r="BX1735" s="153"/>
      <c r="BY1735" s="153"/>
      <c r="BZ1735" s="153"/>
      <c r="CA1735" s="152"/>
      <c r="CB1735" s="152"/>
    </row>
    <row r="1736" spans="1:80" ht="15" x14ac:dyDescent="0.25">
      <c r="A1736" s="9" t="s">
        <v>182</v>
      </c>
      <c r="B1736" s="639" t="s">
        <v>66</v>
      </c>
      <c r="C1736" s="639" t="s">
        <v>613</v>
      </c>
      <c r="D1736" s="4">
        <f>VLOOKUP(E1736,'Quality Code'!D4:E24,2,TRUE)*VLOOKUP(MROUND(F1736,10),'Quality Code'!D28:E69,2,TRUE)*VLOOKUP(5,'Quality Code'!D73:E93,2,TRUE)</f>
        <v>4.05</v>
      </c>
      <c r="E1736" s="14">
        <v>0.9</v>
      </c>
      <c r="F1736" s="18">
        <v>85</v>
      </c>
      <c r="G1736" s="12">
        <v>42.74</v>
      </c>
      <c r="H1736" s="2" t="s">
        <v>231</v>
      </c>
      <c r="I1736" s="10"/>
      <c r="J1736" s="10" t="s">
        <v>283</v>
      </c>
      <c r="K1736" s="10"/>
      <c r="L1736" s="640" t="s">
        <v>284</v>
      </c>
      <c r="M1736" s="640" t="s">
        <v>837</v>
      </c>
      <c r="N1736" s="579" t="s">
        <v>285</v>
      </c>
      <c r="O1736" s="579"/>
      <c r="P1736" s="10" t="s">
        <v>64</v>
      </c>
      <c r="Q1736" s="10" t="s">
        <v>64</v>
      </c>
      <c r="R1736" s="10" t="s">
        <v>64</v>
      </c>
      <c r="S1736" s="10" t="s">
        <v>64</v>
      </c>
      <c r="T1736" s="10" t="s">
        <v>64</v>
      </c>
      <c r="U1736" s="10" t="s">
        <v>64</v>
      </c>
      <c r="V1736" s="10"/>
      <c r="W1736" s="142"/>
      <c r="X1736" s="142"/>
      <c r="Y1736" s="142"/>
      <c r="Z1736" s="11"/>
      <c r="AA1736" s="11"/>
      <c r="AB1736" s="11"/>
      <c r="AC1736" s="85">
        <v>1.46E-2</v>
      </c>
      <c r="AD1736" s="26"/>
      <c r="AE1736" s="26"/>
      <c r="AF1736" s="26"/>
      <c r="AG1736" s="26"/>
      <c r="AH1736" s="330" t="s">
        <v>308</v>
      </c>
      <c r="AI1736" s="123">
        <v>22.16</v>
      </c>
      <c r="AJ1736" s="123"/>
      <c r="AK1736" s="17">
        <v>1</v>
      </c>
      <c r="AL1736" s="17">
        <v>0.75970443778332075</v>
      </c>
      <c r="AM1736" s="17">
        <v>0.59018386181377114</v>
      </c>
      <c r="AN1736" s="17">
        <v>0.42795810917090882</v>
      </c>
      <c r="AO1736" s="17">
        <v>0.3279735462843808</v>
      </c>
      <c r="AP1736" s="17">
        <v>0.2240480683179544</v>
      </c>
      <c r="AQ1736" s="17">
        <v>0.13056820201089878</v>
      </c>
      <c r="AR1736" s="17">
        <v>6.7000000000000004E-2</v>
      </c>
      <c r="AS1736" s="17">
        <v>2.4500000000000001E-2</v>
      </c>
      <c r="AT1736" s="17">
        <v>7.4000000000000003E-3</v>
      </c>
      <c r="AU1736" s="18">
        <v>100</v>
      </c>
      <c r="AV1736" s="147">
        <v>1</v>
      </c>
      <c r="AW1736" s="147">
        <v>1</v>
      </c>
      <c r="AX1736" s="147">
        <v>1</v>
      </c>
      <c r="AY1736" s="147">
        <v>0.688184991222346</v>
      </c>
      <c r="AZ1736" s="17">
        <v>0.15279265801319913</v>
      </c>
      <c r="BA1736" s="17">
        <v>2.8315697629762923E-2</v>
      </c>
      <c r="BB1736" s="17">
        <v>1.1377402792082148E-2</v>
      </c>
      <c r="BC1736" s="17">
        <v>6.8999999999999999E-3</v>
      </c>
      <c r="BD1736" s="17">
        <v>4.446979709943742E-3</v>
      </c>
      <c r="BE1736" s="17">
        <v>2.8328024763720518E-3</v>
      </c>
      <c r="BF1736" s="17">
        <v>2E-3</v>
      </c>
      <c r="BG1736" s="17">
        <v>1.1000000000000001E-3</v>
      </c>
      <c r="BH1736" s="17">
        <v>5.0000000000000001E-4</v>
      </c>
      <c r="BI1736" s="4">
        <f>AU1736/AI1736</f>
        <v>4.512635379061372</v>
      </c>
      <c r="BJ1736" s="2" t="s">
        <v>68</v>
      </c>
      <c r="BK1736" s="2" t="s">
        <v>68</v>
      </c>
      <c r="BL1736" s="12"/>
      <c r="BM1736" s="12">
        <v>6.43</v>
      </c>
      <c r="BN1736" s="12">
        <v>8.6863724999999992</v>
      </c>
      <c r="BO1736" s="12">
        <v>0.48551715789473676</v>
      </c>
      <c r="BP1736" s="12">
        <v>4.2173876000000003</v>
      </c>
      <c r="BQ1736" s="12">
        <f>BN1736/BO1736</f>
        <v>17.890969162995596</v>
      </c>
      <c r="BR1736" s="12" t="s">
        <v>276</v>
      </c>
      <c r="BS1736" s="18">
        <v>3</v>
      </c>
      <c r="BT1736" s="12"/>
      <c r="BU1736" s="2"/>
      <c r="BV1736" s="2"/>
      <c r="BW1736" s="2"/>
      <c r="BX1736" s="2"/>
      <c r="BY1736" s="2" t="s">
        <v>592</v>
      </c>
      <c r="BZ1736" s="2"/>
      <c r="CA1736" s="381"/>
      <c r="CB1736" s="9" t="s">
        <v>224</v>
      </c>
    </row>
    <row r="1737" spans="1:80" s="87" customFormat="1" ht="15" x14ac:dyDescent="0.2">
      <c r="A1737" s="152"/>
      <c r="B1737" s="683"/>
      <c r="C1737" s="683"/>
      <c r="D1737" s="698"/>
      <c r="E1737" s="215"/>
      <c r="F1737" s="215"/>
      <c r="G1737" s="153"/>
      <c r="H1737" s="153"/>
      <c r="I1737" s="163">
        <v>9</v>
      </c>
      <c r="J1737" s="163">
        <v>120</v>
      </c>
      <c r="K1737" s="150">
        <v>1</v>
      </c>
      <c r="L1737" s="656">
        <v>18</v>
      </c>
      <c r="M1737" s="661">
        <v>32966</v>
      </c>
      <c r="N1737" s="600">
        <v>1.3306969662810566</v>
      </c>
      <c r="O1737" s="117">
        <v>7.2000604069921085E-4</v>
      </c>
      <c r="P1737" s="101"/>
      <c r="Q1737" s="101"/>
      <c r="R1737" s="101"/>
      <c r="S1737" s="101">
        <v>0.3</v>
      </c>
      <c r="T1737" s="101">
        <v>15.6</v>
      </c>
      <c r="U1737" s="101">
        <v>31.1</v>
      </c>
      <c r="V1737" s="501">
        <v>20.7</v>
      </c>
      <c r="W1737" s="501">
        <v>20.100000000000001</v>
      </c>
      <c r="X1737" s="501">
        <v>11.2</v>
      </c>
      <c r="Y1737" s="500">
        <v>1</v>
      </c>
      <c r="Z1737" s="154"/>
      <c r="AA1737" s="154"/>
      <c r="AB1737" s="152"/>
      <c r="AC1737" s="152"/>
      <c r="AD1737" s="223"/>
      <c r="AE1737" s="223"/>
      <c r="AF1737" s="223"/>
      <c r="AG1737" s="223"/>
      <c r="AH1737" s="340" t="s">
        <v>309</v>
      </c>
      <c r="AI1737" s="218"/>
      <c r="AJ1737" s="218"/>
      <c r="AK1737" s="153"/>
      <c r="AL1737" s="152"/>
      <c r="AM1737" s="152"/>
      <c r="AN1737" s="152"/>
      <c r="AO1737" s="152"/>
      <c r="AP1737" s="152"/>
      <c r="AQ1737" s="152"/>
      <c r="AR1737" s="152"/>
      <c r="AS1737" s="152"/>
      <c r="AT1737" s="152"/>
      <c r="AU1737" s="222">
        <v>83</v>
      </c>
      <c r="AV1737" s="219">
        <v>0.99739999999999995</v>
      </c>
      <c r="AW1737" s="219">
        <v>0.99490000000000001</v>
      </c>
      <c r="AX1737" s="219">
        <v>0.94087403598971697</v>
      </c>
      <c r="AY1737" s="219">
        <v>0.70179999999999998</v>
      </c>
      <c r="AZ1737" s="219">
        <v>0.39331619537275098</v>
      </c>
      <c r="BA1737" s="219">
        <v>0.2853</v>
      </c>
      <c r="BB1737" s="219">
        <v>0.246786632390745</v>
      </c>
      <c r="BC1737" s="219">
        <v>0.2288</v>
      </c>
      <c r="BD1737" s="219">
        <v>0.1517</v>
      </c>
      <c r="BE1737" s="219">
        <v>8.7400000000000005E-2</v>
      </c>
      <c r="BF1737" s="219"/>
      <c r="BG1737" s="219"/>
      <c r="BH1737" s="219"/>
      <c r="BI1737" s="220">
        <f>AU1737/AI1736</f>
        <v>3.7454873646209386</v>
      </c>
      <c r="BJ1737" s="150" t="s">
        <v>68</v>
      </c>
      <c r="BK1737" s="150" t="s">
        <v>175</v>
      </c>
      <c r="BL1737" s="153"/>
      <c r="BM1737" s="153"/>
      <c r="BN1737" s="153"/>
      <c r="BO1737" s="153"/>
      <c r="BP1737" s="153"/>
      <c r="BQ1737" s="153"/>
      <c r="BR1737" s="153"/>
      <c r="BS1737" s="153"/>
      <c r="BT1737" s="153"/>
      <c r="BU1737" s="153"/>
      <c r="BV1737" s="153"/>
      <c r="BW1737" s="153"/>
      <c r="BX1737" s="153"/>
      <c r="BY1737" s="153"/>
      <c r="BZ1737" s="153"/>
      <c r="CA1737" s="152"/>
      <c r="CB1737" s="154" t="s">
        <v>597</v>
      </c>
    </row>
    <row r="1738" spans="1:80" s="87" customFormat="1" ht="15" x14ac:dyDescent="0.2">
      <c r="A1738" s="152"/>
      <c r="B1738" s="683"/>
      <c r="C1738" s="683"/>
      <c r="D1738" s="698"/>
      <c r="E1738" s="215"/>
      <c r="F1738" s="215"/>
      <c r="G1738" s="153"/>
      <c r="H1738" s="153"/>
      <c r="I1738" s="163">
        <v>11</v>
      </c>
      <c r="J1738" s="163">
        <v>360</v>
      </c>
      <c r="K1738" s="150">
        <v>1</v>
      </c>
      <c r="L1738" s="656">
        <v>66</v>
      </c>
      <c r="M1738" s="661">
        <v>32972</v>
      </c>
      <c r="N1738" s="600">
        <v>1.4439477719219975</v>
      </c>
      <c r="O1738" s="117">
        <v>5.2583531543776195E-3</v>
      </c>
      <c r="P1738" s="101"/>
      <c r="Q1738" s="101"/>
      <c r="R1738" s="101"/>
      <c r="S1738" s="101">
        <v>0.1</v>
      </c>
      <c r="T1738" s="101">
        <v>0.6</v>
      </c>
      <c r="U1738" s="101">
        <v>12</v>
      </c>
      <c r="V1738" s="500">
        <v>37.4</v>
      </c>
      <c r="W1738" s="500">
        <v>36.6</v>
      </c>
      <c r="X1738" s="500">
        <v>13</v>
      </c>
      <c r="Y1738" s="500">
        <v>0.3</v>
      </c>
      <c r="Z1738" s="154"/>
      <c r="AA1738" s="154"/>
      <c r="AB1738" s="152"/>
      <c r="AC1738" s="152"/>
      <c r="AD1738" s="223"/>
      <c r="AE1738" s="223"/>
      <c r="AF1738" s="223"/>
      <c r="AG1738" s="223"/>
      <c r="AH1738" s="340" t="s">
        <v>310</v>
      </c>
      <c r="AI1738" s="218"/>
      <c r="AJ1738" s="218"/>
      <c r="AK1738" s="153"/>
      <c r="AL1738" s="152"/>
      <c r="AM1738" s="152"/>
      <c r="AN1738" s="152"/>
      <c r="AO1738" s="152"/>
      <c r="AP1738" s="152"/>
      <c r="AQ1738" s="152"/>
      <c r="AR1738" s="152"/>
      <c r="AS1738" s="152"/>
      <c r="AT1738" s="152"/>
      <c r="AU1738" s="153"/>
      <c r="AV1738" s="479"/>
      <c r="AW1738" s="479"/>
      <c r="AX1738" s="442"/>
      <c r="AY1738" s="232"/>
      <c r="AZ1738" s="152"/>
      <c r="BA1738" s="152"/>
      <c r="BB1738" s="152"/>
      <c r="BC1738" s="152"/>
      <c r="BD1738" s="152"/>
      <c r="BE1738" s="152"/>
      <c r="BF1738" s="152"/>
      <c r="BG1738" s="152"/>
      <c r="BH1738" s="152"/>
      <c r="BI1738" s="153"/>
      <c r="BJ1738" s="153"/>
      <c r="BK1738" s="153"/>
      <c r="BL1738" s="153"/>
      <c r="BM1738" s="153"/>
      <c r="BN1738" s="153"/>
      <c r="BO1738" s="153"/>
      <c r="BP1738" s="153"/>
      <c r="BQ1738" s="153"/>
      <c r="BR1738" s="153"/>
      <c r="BS1738" s="153"/>
      <c r="BT1738" s="153"/>
      <c r="BU1738" s="153"/>
      <c r="BV1738" s="153"/>
      <c r="BW1738" s="153"/>
      <c r="BX1738" s="153"/>
      <c r="BY1738" s="153"/>
      <c r="BZ1738" s="153"/>
      <c r="CA1738" s="152"/>
      <c r="CB1738" s="486" t="s">
        <v>638</v>
      </c>
    </row>
    <row r="1739" spans="1:80" s="87" customFormat="1" ht="15" x14ac:dyDescent="0.2">
      <c r="A1739" s="152"/>
      <c r="B1739" s="683"/>
      <c r="C1739" s="683"/>
      <c r="D1739" s="698"/>
      <c r="E1739" s="215"/>
      <c r="F1739" s="215"/>
      <c r="G1739" s="153"/>
      <c r="H1739" s="153"/>
      <c r="I1739" s="163">
        <v>12</v>
      </c>
      <c r="J1739" s="163">
        <v>360</v>
      </c>
      <c r="K1739" s="150">
        <v>1</v>
      </c>
      <c r="L1739" s="656">
        <v>72</v>
      </c>
      <c r="M1739" s="661">
        <v>32975</v>
      </c>
      <c r="N1739" s="600">
        <v>2.3216415156392904</v>
      </c>
      <c r="O1739" s="117">
        <v>1.3854343640276361E-2</v>
      </c>
      <c r="P1739" s="101"/>
      <c r="Q1739" s="101"/>
      <c r="R1739" s="101"/>
      <c r="S1739" s="101">
        <v>0.5</v>
      </c>
      <c r="T1739" s="101">
        <v>6.3</v>
      </c>
      <c r="U1739" s="101">
        <v>22.5</v>
      </c>
      <c r="V1739" s="500">
        <v>31.8</v>
      </c>
      <c r="W1739" s="500">
        <v>27.1</v>
      </c>
      <c r="X1739" s="500">
        <v>11.5</v>
      </c>
      <c r="Y1739" s="500">
        <v>0.3</v>
      </c>
      <c r="Z1739" s="154"/>
      <c r="AA1739" s="154"/>
      <c r="AB1739" s="152"/>
      <c r="AC1739" s="152"/>
      <c r="AD1739" s="223"/>
      <c r="AE1739" s="223"/>
      <c r="AF1739" s="223"/>
      <c r="AG1739" s="223"/>
      <c r="AH1739" s="340" t="s">
        <v>311</v>
      </c>
      <c r="AI1739" s="218"/>
      <c r="AJ1739" s="218"/>
      <c r="AK1739" s="153"/>
      <c r="AL1739" s="90"/>
      <c r="AM1739" s="100"/>
      <c r="AN1739" s="100"/>
      <c r="AO1739" s="100"/>
      <c r="AP1739" s="100"/>
      <c r="AQ1739" s="100"/>
      <c r="AR1739" s="100"/>
      <c r="AS1739" s="100"/>
      <c r="AT1739" s="100"/>
      <c r="AU1739" s="153"/>
      <c r="AV1739" s="479"/>
      <c r="AW1739" s="479"/>
      <c r="AX1739" s="442"/>
      <c r="AY1739" s="232"/>
      <c r="AZ1739" s="152"/>
      <c r="BA1739" s="152"/>
      <c r="BB1739" s="152"/>
      <c r="BC1739" s="152"/>
      <c r="BD1739" s="152"/>
      <c r="BE1739" s="152"/>
      <c r="BF1739" s="152"/>
      <c r="BG1739" s="152"/>
      <c r="BH1739" s="152"/>
      <c r="BI1739" s="153"/>
      <c r="BJ1739" s="153"/>
      <c r="BK1739" s="153"/>
      <c r="BL1739" s="153"/>
      <c r="BM1739" s="153"/>
      <c r="BN1739" s="153"/>
      <c r="BO1739" s="153"/>
      <c r="BP1739" s="153"/>
      <c r="BQ1739" s="153"/>
      <c r="BR1739" s="153"/>
      <c r="BS1739" s="153"/>
      <c r="BT1739" s="153"/>
      <c r="BU1739" s="153"/>
      <c r="BV1739" s="153"/>
      <c r="BW1739" s="153"/>
      <c r="BX1739" s="153"/>
      <c r="BY1739" s="153"/>
      <c r="BZ1739" s="153"/>
      <c r="CA1739" s="152"/>
      <c r="CB1739" s="486" t="s">
        <v>639</v>
      </c>
    </row>
    <row r="1740" spans="1:80" s="87" customFormat="1" ht="15" x14ac:dyDescent="0.2">
      <c r="A1740" s="152"/>
      <c r="B1740" s="683"/>
      <c r="C1740" s="683"/>
      <c r="D1740" s="698"/>
      <c r="E1740" s="215"/>
      <c r="F1740" s="215"/>
      <c r="G1740" s="153"/>
      <c r="H1740" s="153"/>
      <c r="I1740" s="163">
        <v>12</v>
      </c>
      <c r="J1740" s="163">
        <v>360</v>
      </c>
      <c r="K1740" s="150">
        <v>1</v>
      </c>
      <c r="L1740" s="656">
        <v>72</v>
      </c>
      <c r="M1740" s="661">
        <v>32976</v>
      </c>
      <c r="N1740" s="600">
        <v>1.9535763973062321</v>
      </c>
      <c r="O1740" s="117">
        <v>4.4816702533318235E-3</v>
      </c>
      <c r="P1740" s="101"/>
      <c r="Q1740" s="101"/>
      <c r="R1740" s="101"/>
      <c r="S1740" s="101">
        <v>5.4</v>
      </c>
      <c r="T1740" s="101">
        <v>2.1</v>
      </c>
      <c r="U1740" s="101">
        <v>9.8000000000000007</v>
      </c>
      <c r="V1740" s="500">
        <v>27.2</v>
      </c>
      <c r="W1740" s="500">
        <v>38.1</v>
      </c>
      <c r="X1740" s="500">
        <v>16.899999999999999</v>
      </c>
      <c r="Y1740" s="500">
        <v>0.4</v>
      </c>
      <c r="Z1740" s="154"/>
      <c r="AA1740" s="154"/>
      <c r="AB1740" s="152"/>
      <c r="AC1740" s="152"/>
      <c r="AD1740" s="91">
        <v>7.3148430356598597</v>
      </c>
      <c r="AE1740" s="91">
        <v>0.31748450675607032</v>
      </c>
      <c r="AF1740" s="91">
        <v>2.3223500000000001</v>
      </c>
      <c r="AG1740" s="91">
        <v>0.55592807071014938</v>
      </c>
      <c r="AH1740" s="343"/>
      <c r="AI1740" s="218"/>
      <c r="AJ1740" s="218"/>
      <c r="AK1740" s="153"/>
      <c r="AL1740" s="90"/>
      <c r="AM1740" s="90"/>
      <c r="AN1740" s="90"/>
      <c r="AO1740" s="90"/>
      <c r="AP1740" s="90"/>
      <c r="AQ1740" s="90"/>
      <c r="AR1740" s="90"/>
      <c r="AS1740" s="90"/>
      <c r="AT1740" s="90"/>
      <c r="AU1740" s="153"/>
      <c r="AV1740" s="479"/>
      <c r="AW1740" s="479"/>
      <c r="AX1740" s="442"/>
      <c r="AY1740" s="232"/>
      <c r="AZ1740" s="152"/>
      <c r="BA1740" s="152"/>
      <c r="BB1740" s="152"/>
      <c r="BC1740" s="152"/>
      <c r="BD1740" s="152"/>
      <c r="BE1740" s="152"/>
      <c r="BF1740" s="152"/>
      <c r="BG1740" s="152"/>
      <c r="BH1740" s="152"/>
      <c r="BI1740" s="153"/>
      <c r="BJ1740" s="153"/>
      <c r="BK1740" s="153"/>
      <c r="BL1740" s="153"/>
      <c r="BM1740" s="153"/>
      <c r="BN1740" s="153"/>
      <c r="BO1740" s="153"/>
      <c r="BP1740" s="153"/>
      <c r="BQ1740" s="153"/>
      <c r="BR1740" s="153"/>
      <c r="BS1740" s="153"/>
      <c r="BT1740" s="153"/>
      <c r="BU1740" s="153"/>
      <c r="BV1740" s="153"/>
      <c r="BW1740" s="153"/>
      <c r="BX1740" s="153"/>
      <c r="BY1740" s="153"/>
      <c r="BZ1740" s="153"/>
      <c r="CA1740" s="152"/>
      <c r="CB1740" s="486" t="s">
        <v>640</v>
      </c>
    </row>
    <row r="1741" spans="1:80" s="87" customFormat="1" x14ac:dyDescent="0.2">
      <c r="A1741" s="152"/>
      <c r="B1741" s="683"/>
      <c r="C1741" s="683"/>
      <c r="D1741" s="698"/>
      <c r="E1741" s="215"/>
      <c r="F1741" s="215"/>
      <c r="G1741" s="153"/>
      <c r="H1741" s="153"/>
      <c r="I1741" s="163">
        <v>11</v>
      </c>
      <c r="J1741" s="163">
        <v>240</v>
      </c>
      <c r="K1741" s="150">
        <v>1</v>
      </c>
      <c r="L1741" s="656">
        <v>44</v>
      </c>
      <c r="M1741" s="661">
        <v>32979</v>
      </c>
      <c r="N1741" s="600">
        <v>2.8029574396132895</v>
      </c>
      <c r="O1741" s="117">
        <v>2.8443387322082531E-2</v>
      </c>
      <c r="P1741" s="101"/>
      <c r="Q1741" s="101"/>
      <c r="R1741" s="101">
        <v>2.6</v>
      </c>
      <c r="S1741" s="101">
        <v>0.4</v>
      </c>
      <c r="T1741" s="101">
        <v>9.8000000000000007</v>
      </c>
      <c r="U1741" s="101">
        <v>25.5</v>
      </c>
      <c r="V1741" s="500">
        <v>28</v>
      </c>
      <c r="W1741" s="500">
        <v>23.8</v>
      </c>
      <c r="X1741" s="500">
        <v>9.9</v>
      </c>
      <c r="Y1741" s="500">
        <v>0.1</v>
      </c>
      <c r="Z1741" s="154"/>
      <c r="AA1741" s="154"/>
      <c r="AB1741" s="152"/>
      <c r="AC1741" s="152"/>
      <c r="AD1741" s="223"/>
      <c r="AE1741" s="223"/>
      <c r="AF1741" s="223"/>
      <c r="AG1741" s="223"/>
      <c r="AH1741" s="341"/>
      <c r="AI1741" s="218"/>
      <c r="AJ1741" s="218"/>
      <c r="AK1741" s="153"/>
      <c r="AL1741" s="90"/>
      <c r="AM1741" s="90"/>
      <c r="AN1741" s="90"/>
      <c r="AO1741" s="90"/>
      <c r="AP1741" s="90"/>
      <c r="AQ1741" s="90"/>
      <c r="AR1741" s="90"/>
      <c r="AS1741" s="90"/>
      <c r="AT1741" s="90"/>
      <c r="AU1741" s="153"/>
      <c r="AV1741" s="479"/>
      <c r="AW1741" s="479"/>
      <c r="AX1741" s="442"/>
      <c r="AY1741" s="232"/>
      <c r="AZ1741" s="152"/>
      <c r="BA1741" s="152"/>
      <c r="BB1741" s="152"/>
      <c r="BC1741" s="152"/>
      <c r="BD1741" s="152"/>
      <c r="BE1741" s="152"/>
      <c r="BF1741" s="152"/>
      <c r="BG1741" s="152"/>
      <c r="BH1741" s="152"/>
      <c r="BI1741" s="153"/>
      <c r="BJ1741" s="153"/>
      <c r="BK1741" s="153"/>
      <c r="BL1741" s="153"/>
      <c r="BM1741" s="153"/>
      <c r="BN1741" s="153"/>
      <c r="BO1741" s="153"/>
      <c r="BP1741" s="153"/>
      <c r="BQ1741" s="153"/>
      <c r="BR1741" s="153"/>
      <c r="BS1741" s="153"/>
      <c r="BT1741" s="153"/>
      <c r="BU1741" s="153"/>
      <c r="BV1741" s="153"/>
      <c r="BW1741" s="153"/>
      <c r="BX1741" s="153"/>
      <c r="BY1741" s="153"/>
      <c r="BZ1741" s="153"/>
      <c r="CA1741" s="152"/>
      <c r="CB1741" s="152"/>
    </row>
    <row r="1742" spans="1:80" s="87" customFormat="1" x14ac:dyDescent="0.2">
      <c r="A1742" s="152"/>
      <c r="B1742" s="683"/>
      <c r="C1742" s="683"/>
      <c r="D1742" s="698"/>
      <c r="E1742" s="215"/>
      <c r="F1742" s="215"/>
      <c r="G1742" s="153"/>
      <c r="H1742" s="153"/>
      <c r="I1742" s="163">
        <v>11</v>
      </c>
      <c r="J1742" s="163">
        <v>240</v>
      </c>
      <c r="K1742" s="150">
        <v>1</v>
      </c>
      <c r="L1742" s="656">
        <v>44</v>
      </c>
      <c r="M1742" s="661">
        <v>32980</v>
      </c>
      <c r="N1742" s="600">
        <v>3.8505273917919935</v>
      </c>
      <c r="O1742" s="117">
        <v>5.6361988900215196E-2</v>
      </c>
      <c r="P1742" s="101"/>
      <c r="Q1742" s="101"/>
      <c r="R1742" s="101">
        <v>0.2</v>
      </c>
      <c r="S1742" s="101">
        <v>0.6</v>
      </c>
      <c r="T1742" s="101">
        <v>5</v>
      </c>
      <c r="U1742" s="101">
        <v>35.299999999999997</v>
      </c>
      <c r="V1742" s="500">
        <v>31.8</v>
      </c>
      <c r="W1742" s="500">
        <v>19.5</v>
      </c>
      <c r="X1742" s="500">
        <v>7.4</v>
      </c>
      <c r="Y1742" s="500">
        <v>0.3</v>
      </c>
      <c r="Z1742" s="154"/>
      <c r="AA1742" s="154"/>
      <c r="AB1742" s="152"/>
      <c r="AC1742" s="152"/>
      <c r="AD1742" s="223"/>
      <c r="AE1742" s="223"/>
      <c r="AF1742" s="223"/>
      <c r="AG1742" s="223"/>
      <c r="AH1742" s="341"/>
      <c r="AI1742" s="218"/>
      <c r="AJ1742" s="218"/>
      <c r="AK1742" s="153"/>
      <c r="AL1742" s="152"/>
      <c r="AM1742" s="152"/>
      <c r="AN1742" s="152"/>
      <c r="AO1742" s="152"/>
      <c r="AP1742" s="152"/>
      <c r="AQ1742" s="152"/>
      <c r="AR1742" s="152"/>
      <c r="AS1742" s="152"/>
      <c r="AT1742" s="152"/>
      <c r="AU1742" s="153"/>
      <c r="AV1742" s="479"/>
      <c r="AW1742" s="479"/>
      <c r="AX1742" s="442"/>
      <c r="AY1742" s="232"/>
      <c r="AZ1742" s="152"/>
      <c r="BA1742" s="152"/>
      <c r="BB1742" s="152"/>
      <c r="BC1742" s="152"/>
      <c r="BD1742" s="152"/>
      <c r="BE1742" s="152"/>
      <c r="BF1742" s="152"/>
      <c r="BG1742" s="152"/>
      <c r="BH1742" s="152"/>
      <c r="BI1742" s="153"/>
      <c r="BJ1742" s="153"/>
      <c r="BK1742" s="153"/>
      <c r="BL1742" s="153"/>
      <c r="BM1742" s="153"/>
      <c r="BN1742" s="153"/>
      <c r="BO1742" s="153"/>
      <c r="BP1742" s="153"/>
      <c r="BQ1742" s="153"/>
      <c r="BR1742" s="153"/>
      <c r="BS1742" s="153"/>
      <c r="BT1742" s="153"/>
      <c r="BU1742" s="153"/>
      <c r="BV1742" s="153"/>
      <c r="BW1742" s="153"/>
      <c r="BX1742" s="153"/>
      <c r="BY1742" s="153"/>
      <c r="BZ1742" s="153"/>
      <c r="CA1742" s="152"/>
      <c r="CB1742" s="152"/>
    </row>
    <row r="1743" spans="1:80" s="87" customFormat="1" x14ac:dyDescent="0.2">
      <c r="A1743" s="152"/>
      <c r="B1743" s="683"/>
      <c r="C1743" s="683"/>
      <c r="D1743" s="698"/>
      <c r="E1743" s="215"/>
      <c r="F1743" s="215"/>
      <c r="G1743" s="153"/>
      <c r="H1743" s="153"/>
      <c r="I1743" s="163">
        <v>12</v>
      </c>
      <c r="J1743" s="163">
        <v>120</v>
      </c>
      <c r="K1743" s="150">
        <v>1</v>
      </c>
      <c r="L1743" s="656">
        <v>24</v>
      </c>
      <c r="M1743" s="661">
        <v>32983</v>
      </c>
      <c r="N1743" s="600">
        <v>3.2842733635872889</v>
      </c>
      <c r="O1743" s="117">
        <v>5.4997545965945548E-2</v>
      </c>
      <c r="P1743" s="101"/>
      <c r="Q1743" s="101"/>
      <c r="R1743" s="101"/>
      <c r="S1743" s="101">
        <v>0.5</v>
      </c>
      <c r="T1743" s="101">
        <v>16</v>
      </c>
      <c r="U1743" s="101">
        <v>30.4</v>
      </c>
      <c r="V1743" s="500">
        <v>32</v>
      </c>
      <c r="W1743" s="500">
        <v>16.600000000000001</v>
      </c>
      <c r="X1743" s="500">
        <v>4.5</v>
      </c>
      <c r="Y1743" s="500">
        <v>0.1</v>
      </c>
      <c r="Z1743" s="154"/>
      <c r="AA1743" s="154"/>
      <c r="AB1743" s="152"/>
      <c r="AC1743" s="152"/>
      <c r="AD1743" s="223"/>
      <c r="AE1743" s="223"/>
      <c r="AF1743" s="223"/>
      <c r="AG1743" s="223"/>
      <c r="AH1743" s="341"/>
      <c r="AI1743" s="218"/>
      <c r="AJ1743" s="218"/>
      <c r="AK1743" s="153"/>
      <c r="AL1743" s="152"/>
      <c r="AM1743" s="152"/>
      <c r="AN1743" s="152"/>
      <c r="AO1743" s="152"/>
      <c r="AP1743" s="233"/>
      <c r="AQ1743" s="233"/>
      <c r="AR1743" s="233"/>
      <c r="AS1743" s="233"/>
      <c r="AT1743" s="233"/>
      <c r="AU1743" s="234"/>
      <c r="AV1743" s="234"/>
      <c r="AW1743" s="234"/>
      <c r="AX1743" s="234"/>
      <c r="AY1743" s="232"/>
      <c r="AZ1743" s="152"/>
      <c r="BA1743" s="152"/>
      <c r="BB1743" s="152"/>
      <c r="BC1743" s="152"/>
      <c r="BD1743" s="152"/>
      <c r="BE1743" s="152"/>
      <c r="BF1743" s="152"/>
      <c r="BG1743" s="152"/>
      <c r="BH1743" s="152"/>
      <c r="BI1743" s="152"/>
      <c r="BJ1743" s="152"/>
      <c r="BK1743" s="152"/>
      <c r="BL1743" s="152"/>
      <c r="BM1743" s="152"/>
      <c r="BN1743" s="152"/>
      <c r="BO1743" s="152"/>
      <c r="BP1743" s="152"/>
      <c r="BQ1743" s="152"/>
      <c r="BR1743" s="152"/>
      <c r="BS1743" s="152"/>
      <c r="BT1743" s="152"/>
      <c r="BU1743" s="152"/>
      <c r="BV1743" s="153"/>
      <c r="BW1743" s="153"/>
      <c r="BX1743" s="153"/>
      <c r="BY1743" s="153"/>
      <c r="BZ1743" s="153"/>
      <c r="CA1743" s="152"/>
      <c r="CB1743" s="152"/>
    </row>
    <row r="1744" spans="1:80" s="87" customFormat="1" x14ac:dyDescent="0.2">
      <c r="A1744" s="152"/>
      <c r="B1744" s="683"/>
      <c r="C1744" s="683"/>
      <c r="D1744" s="698"/>
      <c r="E1744" s="215"/>
      <c r="F1744" s="215"/>
      <c r="G1744" s="153"/>
      <c r="H1744" s="153"/>
      <c r="I1744" s="163">
        <v>12</v>
      </c>
      <c r="J1744" s="163">
        <v>120</v>
      </c>
      <c r="K1744" s="150">
        <v>1</v>
      </c>
      <c r="L1744" s="656">
        <v>24</v>
      </c>
      <c r="M1744" s="661">
        <v>32986</v>
      </c>
      <c r="N1744" s="600">
        <v>4.5017195242274042</v>
      </c>
      <c r="O1744" s="117">
        <v>2.8863215917242419E-2</v>
      </c>
      <c r="P1744" s="101"/>
      <c r="Q1744" s="101"/>
      <c r="R1744" s="101">
        <v>0.1</v>
      </c>
      <c r="S1744" s="101">
        <v>0.7</v>
      </c>
      <c r="T1744" s="101">
        <v>3.5</v>
      </c>
      <c r="U1744" s="101">
        <v>19.399999999999999</v>
      </c>
      <c r="V1744" s="500">
        <v>34.700000000000003</v>
      </c>
      <c r="W1744" s="500">
        <v>30.3</v>
      </c>
      <c r="X1744" s="500">
        <v>11.1</v>
      </c>
      <c r="Y1744" s="500">
        <v>0.2</v>
      </c>
      <c r="Z1744" s="154"/>
      <c r="AA1744" s="154"/>
      <c r="AB1744" s="152"/>
      <c r="AC1744" s="152"/>
      <c r="AD1744" s="223"/>
      <c r="AE1744" s="223"/>
      <c r="AF1744" s="223"/>
      <c r="AG1744" s="223"/>
      <c r="AH1744" s="341"/>
      <c r="AI1744" s="218"/>
      <c r="AJ1744" s="218"/>
      <c r="AK1744" s="153"/>
      <c r="AL1744" s="152"/>
      <c r="AM1744" s="152"/>
      <c r="AN1744" s="152"/>
      <c r="AO1744" s="152"/>
      <c r="AP1744" s="152"/>
      <c r="AQ1744" s="152"/>
      <c r="AR1744" s="152"/>
      <c r="AS1744" s="152"/>
      <c r="AT1744" s="152"/>
      <c r="AU1744" s="153"/>
      <c r="AV1744" s="479"/>
      <c r="AW1744" s="479"/>
      <c r="AX1744" s="442"/>
      <c r="AY1744" s="232"/>
      <c r="AZ1744" s="152"/>
      <c r="BA1744" s="152"/>
      <c r="BB1744" s="152"/>
      <c r="BC1744" s="152"/>
      <c r="BD1744" s="152"/>
      <c r="BE1744" s="152"/>
      <c r="BF1744" s="152"/>
      <c r="BG1744" s="152"/>
      <c r="BH1744" s="152"/>
      <c r="BI1744" s="152"/>
      <c r="BJ1744" s="152"/>
      <c r="BK1744" s="152"/>
      <c r="BL1744" s="152"/>
      <c r="BM1744" s="152"/>
      <c r="BN1744" s="152"/>
      <c r="BO1744" s="152"/>
      <c r="BP1744" s="152"/>
      <c r="BQ1744" s="152"/>
      <c r="BR1744" s="152"/>
      <c r="BS1744" s="152"/>
      <c r="BT1744" s="152"/>
      <c r="BU1744" s="152"/>
      <c r="BV1744" s="153"/>
      <c r="BW1744" s="153"/>
      <c r="BX1744" s="153"/>
      <c r="BY1744" s="153"/>
      <c r="BZ1744" s="153"/>
      <c r="CA1744" s="152"/>
      <c r="CB1744" s="152"/>
    </row>
    <row r="1745" spans="1:80" s="87" customFormat="1" x14ac:dyDescent="0.2">
      <c r="A1745" s="152"/>
      <c r="B1745" s="683"/>
      <c r="C1745" s="683"/>
      <c r="D1745" s="698"/>
      <c r="E1745" s="215"/>
      <c r="F1745" s="215"/>
      <c r="G1745" s="153"/>
      <c r="H1745" s="153"/>
      <c r="I1745" s="163">
        <v>14</v>
      </c>
      <c r="J1745" s="163">
        <v>120</v>
      </c>
      <c r="K1745" s="150">
        <v>1</v>
      </c>
      <c r="L1745" s="656">
        <v>28</v>
      </c>
      <c r="M1745" s="661">
        <v>32990</v>
      </c>
      <c r="N1745" s="600">
        <v>2.7463320367928192</v>
      </c>
      <c r="O1745" s="117">
        <v>1.5533658020915921E-2</v>
      </c>
      <c r="P1745" s="101"/>
      <c r="Q1745" s="101"/>
      <c r="R1745" s="101">
        <v>7.5</v>
      </c>
      <c r="S1745" s="101">
        <v>0.8</v>
      </c>
      <c r="T1745" s="101">
        <v>10.8</v>
      </c>
      <c r="U1745" s="101">
        <v>28.4</v>
      </c>
      <c r="V1745" s="500">
        <v>30</v>
      </c>
      <c r="W1745" s="500">
        <v>17</v>
      </c>
      <c r="X1745" s="500">
        <v>5.3</v>
      </c>
      <c r="Y1745" s="500">
        <v>0.2</v>
      </c>
      <c r="Z1745" s="154"/>
      <c r="AA1745" s="154"/>
      <c r="AB1745" s="152"/>
      <c r="AC1745" s="152"/>
      <c r="AD1745" s="223"/>
      <c r="AE1745" s="223"/>
      <c r="AF1745" s="223"/>
      <c r="AG1745" s="223"/>
      <c r="AH1745" s="341"/>
      <c r="AI1745" s="218"/>
      <c r="AJ1745" s="218"/>
      <c r="AK1745" s="153"/>
      <c r="AL1745" s="152"/>
      <c r="AM1745" s="152"/>
      <c r="AN1745" s="152"/>
      <c r="AO1745" s="152"/>
      <c r="AP1745" s="152"/>
      <c r="AQ1745" s="152"/>
      <c r="AR1745" s="152"/>
      <c r="AS1745" s="152"/>
      <c r="AT1745" s="152"/>
      <c r="AU1745" s="153"/>
      <c r="AV1745" s="479"/>
      <c r="AW1745" s="479"/>
      <c r="AX1745" s="442"/>
      <c r="AY1745" s="232"/>
      <c r="AZ1745" s="152"/>
      <c r="BA1745" s="152"/>
      <c r="BB1745" s="152"/>
      <c r="BC1745" s="152"/>
      <c r="BD1745" s="152"/>
      <c r="BE1745" s="152"/>
      <c r="BF1745" s="152"/>
      <c r="BG1745" s="152"/>
      <c r="BH1745" s="152"/>
      <c r="BI1745" s="152"/>
      <c r="BJ1745" s="152"/>
      <c r="BK1745" s="152"/>
      <c r="BL1745" s="152"/>
      <c r="BM1745" s="152"/>
      <c r="BN1745" s="152"/>
      <c r="BO1745" s="152"/>
      <c r="BP1745" s="152"/>
      <c r="BQ1745" s="152"/>
      <c r="BR1745" s="152"/>
      <c r="BS1745" s="152"/>
      <c r="BT1745" s="152"/>
      <c r="BU1745" s="152"/>
      <c r="BV1745" s="153"/>
      <c r="BW1745" s="153"/>
      <c r="BX1745" s="153"/>
      <c r="BY1745" s="153"/>
      <c r="BZ1745" s="153"/>
      <c r="CA1745" s="152"/>
      <c r="CB1745" s="152"/>
    </row>
    <row r="1746" spans="1:80" s="87" customFormat="1" x14ac:dyDescent="0.2">
      <c r="A1746" s="152"/>
      <c r="B1746" s="683"/>
      <c r="C1746" s="683"/>
      <c r="D1746" s="698"/>
      <c r="E1746" s="215"/>
      <c r="F1746" s="215"/>
      <c r="G1746" s="153"/>
      <c r="H1746" s="153"/>
      <c r="I1746" s="163">
        <v>11</v>
      </c>
      <c r="J1746" s="163">
        <v>300</v>
      </c>
      <c r="K1746" s="150">
        <v>1</v>
      </c>
      <c r="L1746" s="656">
        <v>55</v>
      </c>
      <c r="M1746" s="661">
        <v>32994</v>
      </c>
      <c r="N1746" s="600">
        <v>1.7270747860243501</v>
      </c>
      <c r="O1746" s="117">
        <v>4.8910031336127152E-3</v>
      </c>
      <c r="P1746" s="101"/>
      <c r="Q1746" s="101"/>
      <c r="R1746" s="101"/>
      <c r="S1746" s="101">
        <v>3.3</v>
      </c>
      <c r="T1746" s="101">
        <v>9.9</v>
      </c>
      <c r="U1746" s="101">
        <v>16.600000000000001</v>
      </c>
      <c r="V1746" s="500">
        <v>29</v>
      </c>
      <c r="W1746" s="500">
        <v>30.3</v>
      </c>
      <c r="X1746" s="500">
        <v>10.7</v>
      </c>
      <c r="Y1746" s="500">
        <v>0.2</v>
      </c>
      <c r="Z1746" s="154"/>
      <c r="AA1746" s="154"/>
      <c r="AB1746" s="152"/>
      <c r="AC1746" s="152"/>
      <c r="AD1746" s="223"/>
      <c r="AE1746" s="223"/>
      <c r="AF1746" s="223"/>
      <c r="AG1746" s="223"/>
      <c r="AH1746" s="341"/>
      <c r="AI1746" s="218"/>
      <c r="AJ1746" s="218"/>
      <c r="AK1746" s="153"/>
      <c r="AL1746" s="152"/>
      <c r="AM1746" s="152"/>
      <c r="AN1746" s="152"/>
      <c r="AO1746" s="152"/>
      <c r="AP1746" s="152"/>
      <c r="AQ1746" s="152"/>
      <c r="AR1746" s="152"/>
      <c r="AS1746" s="152"/>
      <c r="AT1746" s="152"/>
      <c r="AU1746" s="153"/>
      <c r="AV1746" s="479"/>
      <c r="AW1746" s="479"/>
      <c r="AX1746" s="442"/>
      <c r="AY1746" s="232"/>
      <c r="AZ1746" s="152"/>
      <c r="BA1746" s="152"/>
      <c r="BB1746" s="152"/>
      <c r="BC1746" s="152"/>
      <c r="BD1746" s="152"/>
      <c r="BE1746" s="152"/>
      <c r="BF1746" s="152"/>
      <c r="BG1746" s="152"/>
      <c r="BH1746" s="152"/>
      <c r="BI1746" s="152"/>
      <c r="BJ1746" s="152"/>
      <c r="BK1746" s="152"/>
      <c r="BL1746" s="152"/>
      <c r="BM1746" s="152"/>
      <c r="BN1746" s="152"/>
      <c r="BO1746" s="152"/>
      <c r="BP1746" s="152"/>
      <c r="BQ1746" s="152"/>
      <c r="BR1746" s="152"/>
      <c r="BS1746" s="152"/>
      <c r="BT1746" s="152"/>
      <c r="BU1746" s="152"/>
      <c r="BV1746" s="153"/>
      <c r="BW1746" s="153"/>
      <c r="BX1746" s="153"/>
      <c r="BY1746" s="153"/>
      <c r="BZ1746" s="153"/>
      <c r="CA1746" s="152"/>
      <c r="CB1746" s="152"/>
    </row>
    <row r="1747" spans="1:80" s="87" customFormat="1" x14ac:dyDescent="0.2">
      <c r="A1747" s="152"/>
      <c r="B1747" s="683"/>
      <c r="C1747" s="683"/>
      <c r="D1747" s="698"/>
      <c r="E1747" s="215"/>
      <c r="F1747" s="215"/>
      <c r="G1747" s="153"/>
      <c r="H1747" s="153"/>
      <c r="I1747" s="163">
        <v>11</v>
      </c>
      <c r="J1747" s="163">
        <v>360</v>
      </c>
      <c r="K1747" s="150">
        <v>1</v>
      </c>
      <c r="L1747" s="656">
        <v>66</v>
      </c>
      <c r="M1747" s="661">
        <v>32995</v>
      </c>
      <c r="N1747" s="600">
        <v>1.7553874874345854</v>
      </c>
      <c r="O1747" s="117">
        <v>4.3137388152678672E-3</v>
      </c>
      <c r="P1747" s="101"/>
      <c r="Q1747" s="101"/>
      <c r="R1747" s="101"/>
      <c r="S1747" s="101">
        <v>3.7</v>
      </c>
      <c r="T1747" s="101">
        <v>8.1999999999999993</v>
      </c>
      <c r="U1747" s="101">
        <v>16</v>
      </c>
      <c r="V1747" s="500">
        <v>29</v>
      </c>
      <c r="W1747" s="500">
        <v>29.1</v>
      </c>
      <c r="X1747" s="500">
        <v>13.7</v>
      </c>
      <c r="Y1747" s="500">
        <v>0.3</v>
      </c>
      <c r="Z1747" s="154"/>
      <c r="AA1747" s="154"/>
      <c r="AB1747" s="152"/>
      <c r="AC1747" s="152"/>
      <c r="AD1747" s="223"/>
      <c r="AE1747" s="223"/>
      <c r="AF1747" s="223"/>
      <c r="AG1747" s="223"/>
      <c r="AH1747" s="341"/>
      <c r="AI1747" s="218"/>
      <c r="AJ1747" s="218"/>
      <c r="AK1747" s="153"/>
      <c r="AL1747" s="152"/>
      <c r="AM1747" s="152"/>
      <c r="AN1747" s="152"/>
      <c r="AO1747" s="152"/>
      <c r="AP1747" s="152"/>
      <c r="AQ1747" s="152"/>
      <c r="AR1747" s="152"/>
      <c r="AS1747" s="152"/>
      <c r="AT1747" s="152"/>
      <c r="AU1747" s="153"/>
      <c r="AV1747" s="479"/>
      <c r="AW1747" s="479"/>
      <c r="AX1747" s="442"/>
      <c r="AY1747" s="232"/>
      <c r="AZ1747" s="152"/>
      <c r="BA1747" s="152"/>
      <c r="BB1747" s="152"/>
      <c r="BC1747" s="152"/>
      <c r="BD1747" s="152"/>
      <c r="BE1747" s="152"/>
      <c r="BF1747" s="152"/>
      <c r="BG1747" s="152"/>
      <c r="BH1747" s="152"/>
      <c r="BI1747" s="152"/>
      <c r="BJ1747" s="152"/>
      <c r="BK1747" s="152"/>
      <c r="BL1747" s="152"/>
      <c r="BM1747" s="152"/>
      <c r="BN1747" s="152"/>
      <c r="BO1747" s="152"/>
      <c r="BP1747" s="152"/>
      <c r="BQ1747" s="152"/>
      <c r="BR1747" s="152"/>
      <c r="BS1747" s="152"/>
      <c r="BT1747" s="152"/>
      <c r="BU1747" s="152"/>
      <c r="BV1747" s="153"/>
      <c r="BW1747" s="153"/>
      <c r="BX1747" s="153"/>
      <c r="BY1747" s="153"/>
      <c r="BZ1747" s="153"/>
      <c r="CA1747" s="152"/>
      <c r="CB1747" s="152"/>
    </row>
    <row r="1748" spans="1:80" s="87" customFormat="1" ht="15" x14ac:dyDescent="0.25">
      <c r="A1748" s="152"/>
      <c r="B1748" s="683"/>
      <c r="C1748" s="683"/>
      <c r="D1748" s="698"/>
      <c r="E1748" s="215"/>
      <c r="F1748" s="215"/>
      <c r="G1748" s="153"/>
      <c r="H1748" s="153"/>
      <c r="I1748" s="163">
        <v>12</v>
      </c>
      <c r="J1748" s="163">
        <v>300</v>
      </c>
      <c r="K1748" s="150">
        <v>1</v>
      </c>
      <c r="L1748" s="656">
        <v>60</v>
      </c>
      <c r="M1748" s="661">
        <v>32997</v>
      </c>
      <c r="N1748" s="600">
        <v>1.7553874874345854</v>
      </c>
      <c r="O1748" s="117">
        <v>2.7708687280552724E-3</v>
      </c>
      <c r="P1748" s="101"/>
      <c r="Q1748" s="101"/>
      <c r="R1748" s="101"/>
      <c r="S1748" s="101">
        <v>0.1</v>
      </c>
      <c r="T1748" s="101">
        <v>0.7</v>
      </c>
      <c r="U1748" s="101">
        <v>8.9</v>
      </c>
      <c r="V1748" s="500">
        <v>28</v>
      </c>
      <c r="W1748" s="500">
        <v>38.9</v>
      </c>
      <c r="X1748" s="500">
        <v>22.9</v>
      </c>
      <c r="Y1748" s="500">
        <v>0.4</v>
      </c>
      <c r="Z1748" s="154"/>
      <c r="AA1748" s="154"/>
      <c r="AB1748" s="152"/>
      <c r="AC1748" s="152"/>
      <c r="AD1748" s="223"/>
      <c r="AE1748" s="223"/>
      <c r="AF1748" s="223"/>
      <c r="AG1748" s="223"/>
      <c r="AH1748" s="341"/>
      <c r="AI1748" s="218"/>
      <c r="AJ1748" s="218"/>
      <c r="AK1748" s="153"/>
      <c r="AL1748" s="152"/>
      <c r="AM1748" s="152"/>
      <c r="AN1748" s="152"/>
      <c r="AO1748" s="152"/>
      <c r="AP1748" s="152"/>
      <c r="AQ1748" s="152"/>
      <c r="AR1748" s="152"/>
      <c r="AS1748" s="152"/>
      <c r="AT1748" s="152"/>
      <c r="AU1748" s="102"/>
      <c r="AV1748" s="102"/>
      <c r="AW1748" s="102"/>
      <c r="AX1748" s="102"/>
      <c r="AY1748" s="148"/>
      <c r="AZ1748" s="102"/>
      <c r="BA1748" s="90"/>
      <c r="BB1748" s="90"/>
      <c r="BC1748" s="90"/>
      <c r="BD1748" s="90"/>
      <c r="BE1748" s="152"/>
      <c r="BF1748" s="152"/>
      <c r="BG1748" s="152"/>
      <c r="BH1748" s="152"/>
      <c r="BI1748" s="152"/>
      <c r="BJ1748" s="152"/>
      <c r="BK1748" s="152"/>
      <c r="BL1748" s="152"/>
      <c r="BM1748" s="152"/>
      <c r="BN1748" s="152"/>
      <c r="BO1748" s="152"/>
      <c r="BP1748" s="152"/>
      <c r="BQ1748" s="152"/>
      <c r="BR1748" s="152"/>
      <c r="BS1748" s="152"/>
      <c r="BT1748" s="152"/>
      <c r="BU1748" s="152"/>
      <c r="BV1748" s="153"/>
      <c r="BW1748" s="153"/>
      <c r="BX1748" s="153"/>
      <c r="BY1748" s="153"/>
      <c r="BZ1748" s="153"/>
      <c r="CA1748" s="152"/>
      <c r="CB1748" s="152"/>
    </row>
    <row r="1749" spans="1:80" s="87" customFormat="1" x14ac:dyDescent="0.2">
      <c r="A1749" s="152"/>
      <c r="B1749" s="683"/>
      <c r="C1749" s="683"/>
      <c r="D1749" s="698"/>
      <c r="E1749" s="215"/>
      <c r="F1749" s="215"/>
      <c r="G1749" s="153"/>
      <c r="H1749" s="153"/>
      <c r="I1749" s="163">
        <v>12</v>
      </c>
      <c r="J1749" s="163">
        <v>360</v>
      </c>
      <c r="K1749" s="150">
        <v>1</v>
      </c>
      <c r="L1749" s="656">
        <v>72</v>
      </c>
      <c r="M1749" s="661">
        <v>33008</v>
      </c>
      <c r="N1749" s="600">
        <v>2.0102018001267026</v>
      </c>
      <c r="O1749" s="117">
        <v>4.2822516706308754E-3</v>
      </c>
      <c r="P1749" s="101"/>
      <c r="Q1749" s="101"/>
      <c r="R1749" s="101"/>
      <c r="S1749" s="101"/>
      <c r="T1749" s="101">
        <v>3.9</v>
      </c>
      <c r="U1749" s="101">
        <v>20.2</v>
      </c>
      <c r="V1749" s="500">
        <v>39.5</v>
      </c>
      <c r="W1749" s="500">
        <v>27.5</v>
      </c>
      <c r="X1749" s="500">
        <v>8.6999999999999993</v>
      </c>
      <c r="Y1749" s="500">
        <v>0.2</v>
      </c>
      <c r="Z1749" s="154"/>
      <c r="AA1749" s="154"/>
      <c r="AB1749" s="152"/>
      <c r="AC1749" s="152"/>
      <c r="AD1749" s="223"/>
      <c r="AE1749" s="223"/>
      <c r="AF1749" s="223"/>
      <c r="AG1749" s="223"/>
      <c r="AH1749" s="341"/>
      <c r="AI1749" s="218"/>
      <c r="AJ1749" s="218"/>
      <c r="AK1749" s="153"/>
      <c r="AL1749" s="152"/>
      <c r="AM1749" s="152"/>
      <c r="AN1749" s="152"/>
      <c r="AO1749" s="152"/>
      <c r="AP1749" s="152"/>
      <c r="AQ1749" s="152"/>
      <c r="AR1749" s="152"/>
      <c r="AS1749" s="152"/>
      <c r="AT1749" s="152"/>
      <c r="AU1749" s="100"/>
      <c r="AV1749" s="100"/>
      <c r="AW1749" s="100"/>
      <c r="AX1749" s="100"/>
      <c r="AY1749" s="149"/>
      <c r="AZ1749" s="100"/>
      <c r="BA1749" s="100"/>
      <c r="BB1749" s="100"/>
      <c r="BC1749" s="100"/>
      <c r="BD1749" s="100"/>
      <c r="BE1749" s="152"/>
      <c r="BF1749" s="152"/>
      <c r="BG1749" s="152"/>
      <c r="BH1749" s="152"/>
      <c r="BI1749" s="152"/>
      <c r="BJ1749" s="152"/>
      <c r="BK1749" s="152"/>
      <c r="BL1749" s="152"/>
      <c r="BM1749" s="152"/>
      <c r="BN1749" s="152"/>
      <c r="BO1749" s="152"/>
      <c r="BP1749" s="152"/>
      <c r="BQ1749" s="152"/>
      <c r="BR1749" s="152"/>
      <c r="BS1749" s="152"/>
      <c r="BT1749" s="152"/>
      <c r="BU1749" s="152"/>
      <c r="BV1749" s="153"/>
      <c r="BW1749" s="153"/>
      <c r="BX1749" s="153"/>
      <c r="BY1749" s="153"/>
      <c r="BZ1749" s="153"/>
      <c r="CA1749" s="152"/>
      <c r="CB1749" s="152"/>
    </row>
    <row r="1750" spans="1:80" s="87" customFormat="1" x14ac:dyDescent="0.2">
      <c r="A1750" s="152"/>
      <c r="B1750" s="683"/>
      <c r="C1750" s="683"/>
      <c r="D1750" s="698"/>
      <c r="E1750" s="215"/>
      <c r="F1750" s="215"/>
      <c r="G1750" s="153"/>
      <c r="H1750" s="153"/>
      <c r="I1750" s="163">
        <v>11</v>
      </c>
      <c r="J1750" s="163">
        <v>360</v>
      </c>
      <c r="K1750" s="150">
        <v>1</v>
      </c>
      <c r="L1750" s="656">
        <v>66</v>
      </c>
      <c r="M1750" s="661">
        <v>33015</v>
      </c>
      <c r="N1750" s="600">
        <v>1.8969509944857617</v>
      </c>
      <c r="O1750" s="117">
        <v>6.1294974893343892E-3</v>
      </c>
      <c r="P1750" s="101"/>
      <c r="Q1750" s="101"/>
      <c r="R1750" s="101"/>
      <c r="S1750" s="101">
        <v>3.1</v>
      </c>
      <c r="T1750" s="101">
        <v>7.9</v>
      </c>
      <c r="U1750" s="101">
        <v>24.4</v>
      </c>
      <c r="V1750" s="500">
        <v>30</v>
      </c>
      <c r="W1750" s="500">
        <v>24.9</v>
      </c>
      <c r="X1750" s="500">
        <v>9.6</v>
      </c>
      <c r="Y1750" s="500">
        <v>0.2</v>
      </c>
      <c r="Z1750" s="154"/>
      <c r="AA1750" s="154"/>
      <c r="AB1750" s="152"/>
      <c r="AC1750" s="152"/>
      <c r="AD1750" s="223"/>
      <c r="AE1750" s="223"/>
      <c r="AF1750" s="223"/>
      <c r="AG1750" s="223"/>
      <c r="AH1750" s="341"/>
      <c r="AI1750" s="218"/>
      <c r="AJ1750" s="218"/>
      <c r="AK1750" s="153"/>
      <c r="AL1750" s="152"/>
      <c r="AM1750" s="152"/>
      <c r="AN1750" s="152"/>
      <c r="AO1750" s="152"/>
      <c r="AP1750" s="152"/>
      <c r="AQ1750" s="152"/>
      <c r="AR1750" s="152"/>
      <c r="AS1750" s="152"/>
      <c r="AT1750" s="152"/>
      <c r="AU1750" s="153"/>
      <c r="AV1750" s="479"/>
      <c r="AW1750" s="479"/>
      <c r="AX1750" s="442"/>
      <c r="AY1750" s="232"/>
      <c r="AZ1750" s="152"/>
      <c r="BA1750" s="152"/>
      <c r="BB1750" s="152"/>
      <c r="BC1750" s="152"/>
      <c r="BD1750" s="152"/>
      <c r="BE1750" s="152"/>
      <c r="BF1750" s="152"/>
      <c r="BG1750" s="152"/>
      <c r="BH1750" s="152"/>
      <c r="BI1750" s="152"/>
      <c r="BJ1750" s="152"/>
      <c r="BK1750" s="152"/>
      <c r="BL1750" s="152"/>
      <c r="BM1750" s="152"/>
      <c r="BN1750" s="152"/>
      <c r="BO1750" s="152"/>
      <c r="BP1750" s="152"/>
      <c r="BQ1750" s="152"/>
      <c r="BR1750" s="152"/>
      <c r="BS1750" s="152"/>
      <c r="BT1750" s="152"/>
      <c r="BU1750" s="152"/>
      <c r="BV1750" s="153"/>
      <c r="BW1750" s="153"/>
      <c r="BX1750" s="153"/>
      <c r="BY1750" s="153"/>
      <c r="BZ1750" s="153"/>
      <c r="CA1750" s="152"/>
      <c r="CB1750" s="152"/>
    </row>
    <row r="1751" spans="1:80" s="87" customFormat="1" x14ac:dyDescent="0.2">
      <c r="A1751" s="152"/>
      <c r="B1751" s="683"/>
      <c r="C1751" s="683"/>
      <c r="D1751" s="698"/>
      <c r="E1751" s="215"/>
      <c r="F1751" s="215"/>
      <c r="G1751" s="153"/>
      <c r="H1751" s="153"/>
      <c r="I1751" s="163">
        <v>12</v>
      </c>
      <c r="J1751" s="163">
        <v>240</v>
      </c>
      <c r="K1751" s="150">
        <v>1</v>
      </c>
      <c r="L1751" s="656">
        <v>48</v>
      </c>
      <c r="M1751" s="661">
        <v>33022</v>
      </c>
      <c r="N1751" s="600">
        <v>3.0011463494849364</v>
      </c>
      <c r="O1751" s="117">
        <v>1.9102201079774981E-2</v>
      </c>
      <c r="P1751" s="101"/>
      <c r="Q1751" s="101"/>
      <c r="R1751" s="101"/>
      <c r="S1751" s="101">
        <v>0.1</v>
      </c>
      <c r="T1751" s="101">
        <v>6.6</v>
      </c>
      <c r="U1751" s="101">
        <v>44.8</v>
      </c>
      <c r="V1751" s="500">
        <v>20.2</v>
      </c>
      <c r="W1751" s="500">
        <v>18.100000000000001</v>
      </c>
      <c r="X1751" s="500">
        <v>9.6999999999999993</v>
      </c>
      <c r="Y1751" s="500">
        <v>0.5</v>
      </c>
      <c r="Z1751" s="154"/>
      <c r="AA1751" s="154"/>
      <c r="AB1751" s="152"/>
      <c r="AC1751" s="152"/>
      <c r="AD1751" s="223"/>
      <c r="AE1751" s="223"/>
      <c r="AF1751" s="223"/>
      <c r="AG1751" s="223"/>
      <c r="AH1751" s="341"/>
      <c r="AI1751" s="218"/>
      <c r="AJ1751" s="218"/>
      <c r="AK1751" s="153"/>
      <c r="AL1751" s="152"/>
      <c r="AM1751" s="152"/>
      <c r="AN1751" s="152"/>
      <c r="AO1751" s="152"/>
      <c r="AP1751" s="152"/>
      <c r="AQ1751" s="152"/>
      <c r="AR1751" s="152"/>
      <c r="AS1751" s="152"/>
      <c r="AT1751" s="152"/>
      <c r="AU1751" s="90"/>
      <c r="AV1751" s="90"/>
      <c r="AW1751" s="90"/>
      <c r="AX1751" s="90"/>
      <c r="AY1751" s="149"/>
      <c r="AZ1751" s="90"/>
      <c r="BA1751" s="90"/>
      <c r="BB1751" s="90"/>
      <c r="BC1751" s="90"/>
      <c r="BD1751" s="90"/>
      <c r="BE1751" s="152"/>
      <c r="BF1751" s="152"/>
      <c r="BG1751" s="152"/>
      <c r="BH1751" s="152"/>
      <c r="BI1751" s="152"/>
      <c r="BJ1751" s="152"/>
      <c r="BK1751" s="152"/>
      <c r="BL1751" s="152"/>
      <c r="BM1751" s="152"/>
      <c r="BN1751" s="152"/>
      <c r="BO1751" s="152"/>
      <c r="BP1751" s="152"/>
      <c r="BQ1751" s="152"/>
      <c r="BR1751" s="152"/>
      <c r="BS1751" s="152"/>
      <c r="BT1751" s="152"/>
      <c r="BU1751" s="152"/>
      <c r="BV1751" s="153"/>
      <c r="BW1751" s="153"/>
      <c r="BX1751" s="153"/>
      <c r="BY1751" s="153"/>
      <c r="BZ1751" s="153"/>
      <c r="CA1751" s="152"/>
      <c r="CB1751" s="152"/>
    </row>
    <row r="1752" spans="1:80" s="87" customFormat="1" x14ac:dyDescent="0.2">
      <c r="A1752" s="152"/>
      <c r="B1752" s="683"/>
      <c r="C1752" s="683"/>
      <c r="D1752" s="698"/>
      <c r="E1752" s="215"/>
      <c r="F1752" s="215"/>
      <c r="G1752" s="153"/>
      <c r="H1752" s="153"/>
      <c r="I1752" s="163">
        <v>10</v>
      </c>
      <c r="J1752" s="163">
        <v>240</v>
      </c>
      <c r="K1752" s="150">
        <v>1</v>
      </c>
      <c r="L1752" s="656">
        <v>40</v>
      </c>
      <c r="M1752" s="661">
        <v>33030</v>
      </c>
      <c r="N1752" s="600">
        <v>1.7270747860243501</v>
      </c>
      <c r="O1752" s="117">
        <v>1.0600672027787215E-2</v>
      </c>
      <c r="P1752" s="101"/>
      <c r="Q1752" s="101"/>
      <c r="R1752" s="101"/>
      <c r="S1752" s="101"/>
      <c r="T1752" s="101">
        <v>2.9</v>
      </c>
      <c r="U1752" s="101">
        <v>17.2</v>
      </c>
      <c r="V1752" s="500">
        <v>37.6</v>
      </c>
      <c r="W1752" s="500">
        <v>32.799999999999997</v>
      </c>
      <c r="X1752" s="500">
        <v>9.3000000000000007</v>
      </c>
      <c r="Y1752" s="500">
        <v>0.2</v>
      </c>
      <c r="Z1752" s="154"/>
      <c r="AA1752" s="154"/>
      <c r="AB1752" s="152"/>
      <c r="AC1752" s="152"/>
      <c r="AD1752" s="223"/>
      <c r="AE1752" s="223"/>
      <c r="AF1752" s="223"/>
      <c r="AG1752" s="223"/>
      <c r="AH1752" s="341"/>
      <c r="AI1752" s="218"/>
      <c r="AJ1752" s="218"/>
      <c r="AK1752" s="153"/>
      <c r="AL1752" s="152"/>
      <c r="AM1752" s="152"/>
      <c r="AN1752" s="152"/>
      <c r="AO1752" s="152"/>
      <c r="AP1752" s="152"/>
      <c r="AQ1752" s="152"/>
      <c r="AR1752" s="152"/>
      <c r="AS1752" s="152"/>
      <c r="AT1752" s="152"/>
      <c r="AU1752" s="153"/>
      <c r="AV1752" s="479"/>
      <c r="AW1752" s="479"/>
      <c r="AX1752" s="442"/>
      <c r="AY1752" s="232"/>
      <c r="AZ1752" s="152"/>
      <c r="BA1752" s="152"/>
      <c r="BB1752" s="152"/>
      <c r="BC1752" s="152"/>
      <c r="BD1752" s="152"/>
      <c r="BE1752" s="152"/>
      <c r="BF1752" s="152"/>
      <c r="BG1752" s="152"/>
      <c r="BH1752" s="152"/>
      <c r="BI1752" s="152"/>
      <c r="BJ1752" s="152"/>
      <c r="BK1752" s="152"/>
      <c r="BL1752" s="152"/>
      <c r="BM1752" s="152"/>
      <c r="BN1752" s="152"/>
      <c r="BO1752" s="152"/>
      <c r="BP1752" s="152"/>
      <c r="BQ1752" s="152"/>
      <c r="BR1752" s="152"/>
      <c r="BS1752" s="152"/>
      <c r="BT1752" s="152"/>
      <c r="BU1752" s="152"/>
      <c r="BV1752" s="153"/>
      <c r="BW1752" s="153"/>
      <c r="BX1752" s="153"/>
      <c r="BY1752" s="153"/>
      <c r="BZ1752" s="153"/>
      <c r="CA1752" s="152"/>
      <c r="CB1752" s="152"/>
    </row>
    <row r="1753" spans="1:80" s="87" customFormat="1" x14ac:dyDescent="0.2">
      <c r="A1753" s="152"/>
      <c r="B1753" s="683"/>
      <c r="C1753" s="683"/>
      <c r="D1753" s="698"/>
      <c r="E1753" s="215"/>
      <c r="F1753" s="215"/>
      <c r="G1753" s="153"/>
      <c r="H1753" s="153"/>
      <c r="I1753" s="304">
        <v>10</v>
      </c>
      <c r="J1753" s="304">
        <v>360</v>
      </c>
      <c r="K1753" s="150">
        <v>1</v>
      </c>
      <c r="L1753" s="656">
        <v>60</v>
      </c>
      <c r="M1753" s="661">
        <v>33332</v>
      </c>
      <c r="N1753" s="600">
        <v>0.45300322256376396</v>
      </c>
      <c r="O1753" s="117">
        <v>6.0875146298184008E-4</v>
      </c>
      <c r="P1753" s="101"/>
      <c r="Q1753" s="101"/>
      <c r="R1753" s="101"/>
      <c r="S1753" s="101"/>
      <c r="T1753" s="101"/>
      <c r="U1753" s="101">
        <v>14.4</v>
      </c>
      <c r="V1753" s="500">
        <v>35.1</v>
      </c>
      <c r="W1753" s="500">
        <v>31.5</v>
      </c>
      <c r="X1753" s="500">
        <v>18.3</v>
      </c>
      <c r="Y1753" s="500">
        <v>0.6</v>
      </c>
      <c r="Z1753" s="154"/>
      <c r="AA1753" s="154"/>
      <c r="AB1753" s="152"/>
      <c r="AC1753" s="152"/>
      <c r="AD1753" s="223"/>
      <c r="AE1753" s="223"/>
      <c r="AF1753" s="223"/>
      <c r="AG1753" s="223"/>
      <c r="AH1753" s="341"/>
      <c r="AI1753" s="218"/>
      <c r="AJ1753" s="218"/>
      <c r="AK1753" s="153"/>
      <c r="AL1753" s="152"/>
      <c r="AM1753" s="152"/>
      <c r="AN1753" s="152"/>
      <c r="AO1753" s="152"/>
      <c r="AP1753" s="152"/>
      <c r="AQ1753" s="152"/>
      <c r="AR1753" s="152"/>
      <c r="AS1753" s="152"/>
      <c r="AT1753" s="152"/>
      <c r="AU1753" s="153"/>
      <c r="AV1753" s="479"/>
      <c r="AW1753" s="479"/>
      <c r="AX1753" s="442"/>
      <c r="AY1753" s="232"/>
      <c r="AZ1753" s="152"/>
      <c r="BA1753" s="152"/>
      <c r="BB1753" s="152"/>
      <c r="BC1753" s="152"/>
      <c r="BD1753" s="152"/>
      <c r="BE1753" s="152"/>
      <c r="BF1753" s="152"/>
      <c r="BG1753" s="152"/>
      <c r="BH1753" s="152"/>
      <c r="BI1753" s="152"/>
      <c r="BJ1753" s="152"/>
      <c r="BK1753" s="152"/>
      <c r="BL1753" s="152"/>
      <c r="BM1753" s="152"/>
      <c r="BN1753" s="152"/>
      <c r="BO1753" s="152"/>
      <c r="BP1753" s="152"/>
      <c r="BQ1753" s="152"/>
      <c r="BR1753" s="152"/>
      <c r="BS1753" s="152"/>
      <c r="BT1753" s="152"/>
      <c r="BU1753" s="152"/>
      <c r="BV1753" s="153"/>
      <c r="BW1753" s="153"/>
      <c r="BX1753" s="153"/>
      <c r="BY1753" s="153"/>
      <c r="BZ1753" s="153"/>
      <c r="CA1753" s="152"/>
      <c r="CB1753" s="152"/>
    </row>
    <row r="1754" spans="1:80" s="87" customFormat="1" x14ac:dyDescent="0.2">
      <c r="A1754" s="152"/>
      <c r="B1754" s="683"/>
      <c r="C1754" s="683"/>
      <c r="D1754" s="698"/>
      <c r="E1754" s="215"/>
      <c r="F1754" s="215"/>
      <c r="G1754" s="153"/>
      <c r="H1754" s="153"/>
      <c r="I1754" s="304">
        <v>10</v>
      </c>
      <c r="J1754" s="304">
        <v>360</v>
      </c>
      <c r="K1754" s="150">
        <v>1</v>
      </c>
      <c r="L1754" s="656">
        <v>60</v>
      </c>
      <c r="M1754" s="661">
        <v>33339</v>
      </c>
      <c r="N1754" s="600">
        <v>0.42469052115352873</v>
      </c>
      <c r="O1754" s="117">
        <v>7.7458375806999658E-5</v>
      </c>
      <c r="P1754" s="101"/>
      <c r="Q1754" s="101"/>
      <c r="R1754" s="101"/>
      <c r="S1754" s="101"/>
      <c r="T1754" s="101"/>
      <c r="U1754" s="101">
        <v>29.5</v>
      </c>
      <c r="V1754" s="500">
        <v>21.1</v>
      </c>
      <c r="W1754" s="500">
        <v>27.2</v>
      </c>
      <c r="X1754" s="500">
        <v>20.2</v>
      </c>
      <c r="Y1754" s="500">
        <v>2.1</v>
      </c>
      <c r="Z1754" s="154"/>
      <c r="AA1754" s="154"/>
      <c r="AB1754" s="152"/>
      <c r="AC1754" s="152"/>
      <c r="AD1754" s="91">
        <v>6.4004876562023769</v>
      </c>
      <c r="AE1754" s="91">
        <v>0.19259517278413954</v>
      </c>
      <c r="AF1754" s="91">
        <v>1.23270338</v>
      </c>
      <c r="AG1754" s="91">
        <v>0.33992613956218892</v>
      </c>
      <c r="AH1754" s="343"/>
      <c r="AI1754" s="218"/>
      <c r="AJ1754" s="218"/>
      <c r="AK1754" s="153"/>
      <c r="AL1754" s="152"/>
      <c r="AM1754" s="152"/>
      <c r="AN1754" s="152"/>
      <c r="AO1754" s="152"/>
      <c r="AP1754" s="152"/>
      <c r="AQ1754" s="152"/>
      <c r="AR1754" s="152"/>
      <c r="AS1754" s="152"/>
      <c r="AT1754" s="152"/>
      <c r="AU1754" s="153"/>
      <c r="AV1754" s="479"/>
      <c r="AW1754" s="479"/>
      <c r="AX1754" s="442"/>
      <c r="AY1754" s="232"/>
      <c r="AZ1754" s="152"/>
      <c r="BA1754" s="152"/>
      <c r="BB1754" s="152"/>
      <c r="BC1754" s="152"/>
      <c r="BD1754" s="152"/>
      <c r="BE1754" s="152"/>
      <c r="BF1754" s="152"/>
      <c r="BG1754" s="152"/>
      <c r="BH1754" s="152"/>
      <c r="BI1754" s="152"/>
      <c r="BJ1754" s="152"/>
      <c r="BK1754" s="152"/>
      <c r="BL1754" s="152"/>
      <c r="BM1754" s="152"/>
      <c r="BN1754" s="152"/>
      <c r="BO1754" s="152"/>
      <c r="BP1754" s="152"/>
      <c r="BQ1754" s="152"/>
      <c r="BR1754" s="152"/>
      <c r="BS1754" s="152"/>
      <c r="BT1754" s="152"/>
      <c r="BU1754" s="152"/>
      <c r="BV1754" s="153"/>
      <c r="BW1754" s="153"/>
      <c r="BX1754" s="153"/>
      <c r="BY1754" s="153"/>
      <c r="BZ1754" s="153"/>
      <c r="CA1754" s="152"/>
      <c r="CB1754" s="152"/>
    </row>
    <row r="1755" spans="1:80" s="87" customFormat="1" x14ac:dyDescent="0.2">
      <c r="A1755" s="152"/>
      <c r="B1755" s="683"/>
      <c r="C1755" s="683"/>
      <c r="D1755" s="698"/>
      <c r="E1755" s="215"/>
      <c r="F1755" s="215"/>
      <c r="G1755" s="153"/>
      <c r="H1755" s="153"/>
      <c r="I1755" s="304">
        <v>12</v>
      </c>
      <c r="J1755" s="304">
        <v>360</v>
      </c>
      <c r="K1755" s="150">
        <v>1</v>
      </c>
      <c r="L1755" s="656">
        <v>72</v>
      </c>
      <c r="M1755" s="661">
        <v>33345</v>
      </c>
      <c r="N1755" s="600">
        <v>0.39637781974329345</v>
      </c>
      <c r="O1755" s="117">
        <v>1.4484086533016194E-4</v>
      </c>
      <c r="P1755" s="101"/>
      <c r="Q1755" s="101"/>
      <c r="R1755" s="101"/>
      <c r="S1755" s="101"/>
      <c r="T1755" s="101">
        <v>3.2</v>
      </c>
      <c r="U1755" s="101">
        <v>19.3</v>
      </c>
      <c r="V1755" s="500">
        <v>37.200000000000003</v>
      </c>
      <c r="W1755" s="500">
        <v>25.4</v>
      </c>
      <c r="X1755" s="500">
        <v>13.7</v>
      </c>
      <c r="Y1755" s="500">
        <v>1.3</v>
      </c>
      <c r="Z1755" s="154"/>
      <c r="AA1755" s="154"/>
      <c r="AB1755" s="152"/>
      <c r="AC1755" s="152"/>
      <c r="AD1755" s="223"/>
      <c r="AE1755" s="223"/>
      <c r="AF1755" s="223"/>
      <c r="AG1755" s="223"/>
      <c r="AH1755" s="341"/>
      <c r="AI1755" s="218"/>
      <c r="AJ1755" s="218"/>
      <c r="AK1755" s="153"/>
      <c r="AL1755" s="152"/>
      <c r="AM1755" s="152"/>
      <c r="AN1755" s="152"/>
      <c r="AO1755" s="152"/>
      <c r="AP1755" s="152"/>
      <c r="AQ1755" s="152"/>
      <c r="AR1755" s="152"/>
      <c r="AS1755" s="152"/>
      <c r="AT1755" s="152"/>
      <c r="AU1755" s="153"/>
      <c r="AV1755" s="479"/>
      <c r="AW1755" s="479"/>
      <c r="AX1755" s="442"/>
      <c r="AY1755" s="232"/>
      <c r="AZ1755" s="152"/>
      <c r="BA1755" s="152"/>
      <c r="BB1755" s="152"/>
      <c r="BC1755" s="152"/>
      <c r="BD1755" s="152"/>
      <c r="BE1755" s="152"/>
      <c r="BF1755" s="152"/>
      <c r="BG1755" s="152"/>
      <c r="BH1755" s="152"/>
      <c r="BI1755" s="152"/>
      <c r="BJ1755" s="152"/>
      <c r="BK1755" s="152"/>
      <c r="BL1755" s="152"/>
      <c r="BM1755" s="152"/>
      <c r="BN1755" s="152"/>
      <c r="BO1755" s="152"/>
      <c r="BP1755" s="152"/>
      <c r="BQ1755" s="152"/>
      <c r="BR1755" s="152"/>
      <c r="BS1755" s="152"/>
      <c r="BT1755" s="152"/>
      <c r="BU1755" s="152"/>
      <c r="BV1755" s="153"/>
      <c r="BW1755" s="153"/>
      <c r="BX1755" s="153"/>
      <c r="BY1755" s="153"/>
      <c r="BZ1755" s="153"/>
      <c r="CA1755" s="152"/>
      <c r="CB1755" s="152"/>
    </row>
    <row r="1756" spans="1:80" s="87" customFormat="1" x14ac:dyDescent="0.2">
      <c r="A1756" s="152"/>
      <c r="B1756" s="683"/>
      <c r="C1756" s="683"/>
      <c r="D1756" s="698"/>
      <c r="E1756" s="215"/>
      <c r="F1756" s="215"/>
      <c r="G1756" s="153"/>
      <c r="H1756" s="153"/>
      <c r="I1756" s="304">
        <v>10</v>
      </c>
      <c r="J1756" s="304">
        <v>360</v>
      </c>
      <c r="K1756" s="150">
        <v>1</v>
      </c>
      <c r="L1756" s="656">
        <v>60</v>
      </c>
      <c r="M1756" s="661">
        <v>33351</v>
      </c>
      <c r="N1756" s="600">
        <v>0.99094454935823362</v>
      </c>
      <c r="O1756" s="117">
        <v>1.7212972401555479E-3</v>
      </c>
      <c r="P1756" s="101"/>
      <c r="Q1756" s="101"/>
      <c r="R1756" s="101"/>
      <c r="S1756" s="101"/>
      <c r="T1756" s="101">
        <v>2.7</v>
      </c>
      <c r="U1756" s="101">
        <v>15.8</v>
      </c>
      <c r="V1756" s="500">
        <v>31.3</v>
      </c>
      <c r="W1756" s="500">
        <v>30.7</v>
      </c>
      <c r="X1756" s="500">
        <v>18.8</v>
      </c>
      <c r="Y1756" s="500">
        <v>0.7</v>
      </c>
      <c r="Z1756" s="154"/>
      <c r="AA1756" s="154"/>
      <c r="AB1756" s="152"/>
      <c r="AC1756" s="152"/>
      <c r="AD1756" s="223"/>
      <c r="AE1756" s="223"/>
      <c r="AF1756" s="223"/>
      <c r="AG1756" s="223"/>
      <c r="AH1756" s="341"/>
      <c r="AI1756" s="218"/>
      <c r="AJ1756" s="218"/>
      <c r="AK1756" s="153"/>
      <c r="AL1756" s="152"/>
      <c r="AM1756" s="152"/>
      <c r="AN1756" s="152"/>
      <c r="AO1756" s="152"/>
      <c r="AP1756" s="152"/>
      <c r="AQ1756" s="152"/>
      <c r="AR1756" s="152"/>
      <c r="AS1756" s="152"/>
      <c r="AT1756" s="152"/>
      <c r="AU1756" s="153"/>
      <c r="AV1756" s="479"/>
      <c r="AW1756" s="479"/>
      <c r="AX1756" s="442"/>
      <c r="AY1756" s="232"/>
      <c r="AZ1756" s="152"/>
      <c r="BA1756" s="152"/>
      <c r="BB1756" s="152"/>
      <c r="BC1756" s="152"/>
      <c r="BD1756" s="152"/>
      <c r="BE1756" s="152"/>
      <c r="BF1756" s="152"/>
      <c r="BG1756" s="152"/>
      <c r="BH1756" s="152"/>
      <c r="BI1756" s="152"/>
      <c r="BJ1756" s="152"/>
      <c r="BK1756" s="152"/>
      <c r="BL1756" s="152"/>
      <c r="BM1756" s="152"/>
      <c r="BN1756" s="152"/>
      <c r="BO1756" s="152"/>
      <c r="BP1756" s="152"/>
      <c r="BQ1756" s="152"/>
      <c r="BR1756" s="152"/>
      <c r="BS1756" s="152"/>
      <c r="BT1756" s="152"/>
      <c r="BU1756" s="152"/>
      <c r="BV1756" s="153"/>
      <c r="BW1756" s="153"/>
      <c r="BX1756" s="153"/>
      <c r="BY1756" s="153"/>
      <c r="BZ1756" s="153"/>
      <c r="CA1756" s="152"/>
      <c r="CB1756" s="152"/>
    </row>
    <row r="1757" spans="1:80" s="87" customFormat="1" x14ac:dyDescent="0.2">
      <c r="A1757" s="152"/>
      <c r="B1757" s="683"/>
      <c r="C1757" s="683"/>
      <c r="D1757" s="698"/>
      <c r="E1757" s="215"/>
      <c r="F1757" s="215"/>
      <c r="G1757" s="153"/>
      <c r="H1757" s="153"/>
      <c r="I1757" s="304">
        <v>10</v>
      </c>
      <c r="J1757" s="304">
        <v>360</v>
      </c>
      <c r="K1757" s="150">
        <v>1</v>
      </c>
      <c r="L1757" s="656">
        <v>60</v>
      </c>
      <c r="M1757" s="661">
        <v>33357</v>
      </c>
      <c r="N1757" s="600">
        <v>0.65119213243541074</v>
      </c>
      <c r="O1757" s="117">
        <v>8.3545890436818057E-4</v>
      </c>
      <c r="P1757" s="101"/>
      <c r="Q1757" s="101"/>
      <c r="R1757" s="101"/>
      <c r="S1757" s="101"/>
      <c r="T1757" s="101"/>
      <c r="U1757" s="101">
        <v>7.2</v>
      </c>
      <c r="V1757" s="500">
        <v>30.1</v>
      </c>
      <c r="W1757" s="500">
        <v>39.799999999999997</v>
      </c>
      <c r="X1757" s="500">
        <v>21.8</v>
      </c>
      <c r="Y1757" s="500">
        <v>1</v>
      </c>
      <c r="Z1757" s="154"/>
      <c r="AA1757" s="154"/>
      <c r="AB1757" s="152"/>
      <c r="AC1757" s="152"/>
      <c r="AD1757" s="223"/>
      <c r="AE1757" s="223"/>
      <c r="AF1757" s="223"/>
      <c r="AG1757" s="223"/>
      <c r="AH1757" s="341"/>
      <c r="AI1757" s="218"/>
      <c r="AJ1757" s="218"/>
      <c r="AK1757" s="153"/>
      <c r="AL1757" s="152"/>
      <c r="AM1757" s="152"/>
      <c r="AN1757" s="152"/>
      <c r="AO1757" s="152"/>
      <c r="AP1757" s="152"/>
      <c r="AQ1757" s="152"/>
      <c r="AR1757" s="152"/>
      <c r="AS1757" s="152"/>
      <c r="AT1757" s="152"/>
      <c r="AU1757" s="153"/>
      <c r="AV1757" s="479"/>
      <c r="AW1757" s="479"/>
      <c r="AX1757" s="442"/>
      <c r="AY1757" s="232"/>
      <c r="AZ1757" s="152"/>
      <c r="BA1757" s="152"/>
      <c r="BB1757" s="152"/>
      <c r="BC1757" s="152"/>
      <c r="BD1757" s="152"/>
      <c r="BE1757" s="152"/>
      <c r="BF1757" s="152"/>
      <c r="BG1757" s="152"/>
      <c r="BH1757" s="152"/>
      <c r="BI1757" s="152"/>
      <c r="BJ1757" s="152"/>
      <c r="BK1757" s="152"/>
      <c r="BL1757" s="152"/>
      <c r="BM1757" s="152"/>
      <c r="BN1757" s="152"/>
      <c r="BO1757" s="152"/>
      <c r="BP1757" s="152"/>
      <c r="BQ1757" s="152"/>
      <c r="BR1757" s="152"/>
      <c r="BS1757" s="152"/>
      <c r="BT1757" s="152"/>
      <c r="BU1757" s="152"/>
      <c r="BV1757" s="153"/>
      <c r="BW1757" s="153"/>
      <c r="BX1757" s="153"/>
      <c r="BY1757" s="153"/>
      <c r="BZ1757" s="153"/>
      <c r="CA1757" s="152"/>
      <c r="CB1757" s="152"/>
    </row>
    <row r="1758" spans="1:80" s="87" customFormat="1" x14ac:dyDescent="0.2">
      <c r="A1758" s="152"/>
      <c r="B1758" s="683"/>
      <c r="C1758" s="683"/>
      <c r="D1758" s="698"/>
      <c r="E1758" s="215"/>
      <c r="F1758" s="215"/>
      <c r="G1758" s="153"/>
      <c r="H1758" s="153"/>
      <c r="I1758" s="304">
        <v>12</v>
      </c>
      <c r="J1758" s="304">
        <v>300</v>
      </c>
      <c r="K1758" s="150">
        <v>1</v>
      </c>
      <c r="L1758" s="656">
        <v>60</v>
      </c>
      <c r="M1758" s="661">
        <v>33359</v>
      </c>
      <c r="N1758" s="600">
        <v>0.67950483384564597</v>
      </c>
      <c r="O1758" s="117">
        <v>1.9312115377354924E-4</v>
      </c>
      <c r="P1758" s="101"/>
      <c r="Q1758" s="101"/>
      <c r="R1758" s="101"/>
      <c r="S1758" s="101"/>
      <c r="T1758" s="101"/>
      <c r="U1758" s="101"/>
      <c r="V1758" s="500">
        <v>14.3</v>
      </c>
      <c r="W1758" s="500">
        <v>36.9</v>
      </c>
      <c r="X1758" s="500">
        <v>46.9</v>
      </c>
      <c r="Y1758" s="500">
        <v>1.9</v>
      </c>
      <c r="Z1758" s="154"/>
      <c r="AA1758" s="154"/>
      <c r="AB1758" s="152"/>
      <c r="AC1758" s="152"/>
      <c r="AD1758" s="223"/>
      <c r="AE1758" s="223"/>
      <c r="AF1758" s="223"/>
      <c r="AG1758" s="223"/>
      <c r="AH1758" s="341"/>
      <c r="AI1758" s="218"/>
      <c r="AJ1758" s="218"/>
      <c r="AK1758" s="153"/>
      <c r="AL1758" s="152"/>
      <c r="AM1758" s="152"/>
      <c r="AN1758" s="152"/>
      <c r="AO1758" s="152"/>
      <c r="AP1758" s="152"/>
      <c r="AQ1758" s="152"/>
      <c r="AR1758" s="152"/>
      <c r="AS1758" s="152"/>
      <c r="AT1758" s="152"/>
      <c r="AU1758" s="153"/>
      <c r="AV1758" s="479"/>
      <c r="AW1758" s="479"/>
      <c r="AX1758" s="442"/>
      <c r="AY1758" s="232"/>
      <c r="AZ1758" s="152"/>
      <c r="BA1758" s="152"/>
      <c r="BB1758" s="152"/>
      <c r="BC1758" s="152"/>
      <c r="BD1758" s="152"/>
      <c r="BE1758" s="152"/>
      <c r="BF1758" s="152"/>
      <c r="BG1758" s="152"/>
      <c r="BH1758" s="152"/>
      <c r="BI1758" s="152"/>
      <c r="BJ1758" s="152"/>
      <c r="BK1758" s="152"/>
      <c r="BL1758" s="152"/>
      <c r="BM1758" s="152"/>
      <c r="BN1758" s="152"/>
      <c r="BO1758" s="152"/>
      <c r="BP1758" s="152"/>
      <c r="BQ1758" s="152"/>
      <c r="BR1758" s="152"/>
      <c r="BS1758" s="152"/>
      <c r="BT1758" s="152"/>
      <c r="BU1758" s="152"/>
      <c r="BV1758" s="153"/>
      <c r="BW1758" s="153"/>
      <c r="BX1758" s="153"/>
      <c r="BY1758" s="153"/>
      <c r="BZ1758" s="153"/>
      <c r="CA1758" s="152"/>
      <c r="CB1758" s="152"/>
    </row>
    <row r="1759" spans="1:80" s="87" customFormat="1" x14ac:dyDescent="0.2">
      <c r="A1759" s="152"/>
      <c r="B1759" s="683"/>
      <c r="C1759" s="683"/>
      <c r="D1759" s="698"/>
      <c r="E1759" s="215"/>
      <c r="F1759" s="215"/>
      <c r="G1759" s="153"/>
      <c r="H1759" s="153"/>
      <c r="I1759" s="304">
        <v>11</v>
      </c>
      <c r="J1759" s="304">
        <v>360</v>
      </c>
      <c r="K1759" s="150">
        <v>1</v>
      </c>
      <c r="L1759" s="656">
        <v>66</v>
      </c>
      <c r="M1759" s="661">
        <v>33364</v>
      </c>
      <c r="N1759" s="600">
        <v>1.0475699521787041</v>
      </c>
      <c r="O1759" s="117">
        <v>3.568543058859063E-3</v>
      </c>
      <c r="P1759" s="101"/>
      <c r="Q1759" s="101"/>
      <c r="R1759" s="101"/>
      <c r="S1759" s="101"/>
      <c r="T1759" s="101">
        <v>5.2</v>
      </c>
      <c r="U1759" s="101">
        <v>28.6</v>
      </c>
      <c r="V1759" s="500">
        <v>32.4</v>
      </c>
      <c r="W1759" s="500">
        <v>25.5</v>
      </c>
      <c r="X1759" s="500">
        <v>7.8</v>
      </c>
      <c r="Y1759" s="500">
        <v>0.6</v>
      </c>
      <c r="Z1759" s="154"/>
      <c r="AA1759" s="154"/>
      <c r="AB1759" s="152"/>
      <c r="AC1759" s="152"/>
      <c r="AD1759" s="223"/>
      <c r="AE1759" s="223"/>
      <c r="AF1759" s="223"/>
      <c r="AG1759" s="223"/>
      <c r="AH1759" s="341"/>
      <c r="AI1759" s="218"/>
      <c r="AJ1759" s="218"/>
      <c r="AK1759" s="153"/>
      <c r="AL1759" s="152"/>
      <c r="AM1759" s="152"/>
      <c r="AN1759" s="152"/>
      <c r="AO1759" s="152"/>
      <c r="AP1759" s="152"/>
      <c r="AQ1759" s="152"/>
      <c r="AR1759" s="152"/>
      <c r="AS1759" s="152"/>
      <c r="AT1759" s="152"/>
      <c r="AU1759" s="153"/>
      <c r="AV1759" s="479"/>
      <c r="AW1759" s="479"/>
      <c r="AX1759" s="442"/>
      <c r="AY1759" s="232"/>
      <c r="AZ1759" s="152"/>
      <c r="BA1759" s="152"/>
      <c r="BB1759" s="152"/>
      <c r="BC1759" s="152"/>
      <c r="BD1759" s="152"/>
      <c r="BE1759" s="152"/>
      <c r="BF1759" s="152"/>
      <c r="BG1759" s="152"/>
      <c r="BH1759" s="152"/>
      <c r="BI1759" s="152"/>
      <c r="BJ1759" s="152"/>
      <c r="BK1759" s="152"/>
      <c r="BL1759" s="152"/>
      <c r="BM1759" s="152"/>
      <c r="BN1759" s="152"/>
      <c r="BO1759" s="152"/>
      <c r="BP1759" s="152"/>
      <c r="BQ1759" s="152"/>
      <c r="BR1759" s="152"/>
      <c r="BS1759" s="152"/>
      <c r="BT1759" s="152"/>
      <c r="BU1759" s="152"/>
      <c r="BV1759" s="153"/>
      <c r="BW1759" s="153"/>
      <c r="BX1759" s="153"/>
      <c r="BY1759" s="153"/>
      <c r="BZ1759" s="153"/>
      <c r="CA1759" s="152"/>
      <c r="CB1759" s="152"/>
    </row>
    <row r="1760" spans="1:80" s="87" customFormat="1" x14ac:dyDescent="0.2">
      <c r="A1760" s="152"/>
      <c r="B1760" s="683"/>
      <c r="C1760" s="683"/>
      <c r="D1760" s="698"/>
      <c r="E1760" s="215"/>
      <c r="F1760" s="215"/>
      <c r="G1760" s="153"/>
      <c r="H1760" s="153"/>
      <c r="I1760" s="304">
        <v>10</v>
      </c>
      <c r="J1760" s="304">
        <v>180</v>
      </c>
      <c r="K1760" s="150">
        <v>1</v>
      </c>
      <c r="L1760" s="656">
        <v>30</v>
      </c>
      <c r="M1760" s="661">
        <v>33366</v>
      </c>
      <c r="N1760" s="600">
        <v>3.086084453715642</v>
      </c>
      <c r="O1760" s="117">
        <v>8.9843319364216415E-3</v>
      </c>
      <c r="P1760" s="101"/>
      <c r="Q1760" s="101"/>
      <c r="R1760" s="101">
        <v>0.9</v>
      </c>
      <c r="S1760" s="101">
        <v>2.2999999999999998</v>
      </c>
      <c r="T1760" s="101">
        <v>10.7</v>
      </c>
      <c r="U1760" s="101">
        <v>22.1</v>
      </c>
      <c r="V1760" s="500">
        <v>20</v>
      </c>
      <c r="W1760" s="500">
        <v>25.2</v>
      </c>
      <c r="X1760" s="500">
        <v>18.5</v>
      </c>
      <c r="Y1760" s="500">
        <v>0.3</v>
      </c>
      <c r="Z1760" s="154"/>
      <c r="AA1760" s="154"/>
      <c r="AB1760" s="152"/>
      <c r="AC1760" s="152"/>
      <c r="AD1760" s="223"/>
      <c r="AE1760" s="223"/>
      <c r="AF1760" s="223"/>
      <c r="AG1760" s="223"/>
      <c r="AH1760" s="341"/>
      <c r="AI1760" s="218"/>
      <c r="AJ1760" s="218"/>
      <c r="AK1760" s="153"/>
      <c r="AL1760" s="152"/>
      <c r="AM1760" s="152"/>
      <c r="AN1760" s="152"/>
      <c r="AO1760" s="152"/>
      <c r="AP1760" s="152"/>
      <c r="AQ1760" s="152"/>
      <c r="AR1760" s="152"/>
      <c r="AS1760" s="152"/>
      <c r="AT1760" s="152"/>
      <c r="AU1760" s="153"/>
      <c r="AV1760" s="479"/>
      <c r="AW1760" s="479"/>
      <c r="AX1760" s="442"/>
      <c r="AY1760" s="232"/>
      <c r="AZ1760" s="152"/>
      <c r="BA1760" s="152"/>
      <c r="BB1760" s="152"/>
      <c r="BC1760" s="152"/>
      <c r="BD1760" s="152"/>
      <c r="BE1760" s="152"/>
      <c r="BF1760" s="152"/>
      <c r="BG1760" s="152"/>
      <c r="BH1760" s="152"/>
      <c r="BI1760" s="152"/>
      <c r="BJ1760" s="152"/>
      <c r="BK1760" s="152"/>
      <c r="BL1760" s="152"/>
      <c r="BM1760" s="152"/>
      <c r="BN1760" s="152"/>
      <c r="BO1760" s="152"/>
      <c r="BP1760" s="152"/>
      <c r="BQ1760" s="152"/>
      <c r="BR1760" s="152"/>
      <c r="BS1760" s="152"/>
      <c r="BT1760" s="152"/>
      <c r="BU1760" s="152"/>
      <c r="BV1760" s="153"/>
      <c r="BW1760" s="153"/>
      <c r="BX1760" s="153"/>
      <c r="BY1760" s="153"/>
      <c r="BZ1760" s="153"/>
      <c r="CA1760" s="152"/>
      <c r="CB1760" s="152"/>
    </row>
    <row r="1761" spans="1:80" s="87" customFormat="1" x14ac:dyDescent="0.2">
      <c r="A1761" s="152"/>
      <c r="B1761" s="683"/>
      <c r="C1761" s="683"/>
      <c r="D1761" s="698"/>
      <c r="E1761" s="215"/>
      <c r="F1761" s="215"/>
      <c r="G1761" s="153"/>
      <c r="H1761" s="153"/>
      <c r="I1761" s="304">
        <v>10</v>
      </c>
      <c r="J1761" s="304">
        <v>240</v>
      </c>
      <c r="K1761" s="150">
        <v>1</v>
      </c>
      <c r="L1761" s="656">
        <v>40</v>
      </c>
      <c r="M1761" s="661">
        <v>33367</v>
      </c>
      <c r="N1761" s="600">
        <v>2.2650161128188198</v>
      </c>
      <c r="O1761" s="117">
        <v>8.7639219239626989E-3</v>
      </c>
      <c r="P1761" s="101"/>
      <c r="Q1761" s="101"/>
      <c r="R1761" s="101"/>
      <c r="S1761" s="101"/>
      <c r="T1761" s="101">
        <v>3.5</v>
      </c>
      <c r="U1761" s="101">
        <v>14.6</v>
      </c>
      <c r="V1761" s="500">
        <v>32.6</v>
      </c>
      <c r="W1761" s="500">
        <v>29.5</v>
      </c>
      <c r="X1761" s="500">
        <v>18.899999999999999</v>
      </c>
      <c r="Y1761" s="500">
        <v>0.9</v>
      </c>
      <c r="Z1761" s="154"/>
      <c r="AA1761" s="154"/>
      <c r="AB1761" s="152"/>
      <c r="AC1761" s="152"/>
      <c r="AD1761" s="223"/>
      <c r="AE1761" s="223"/>
      <c r="AF1761" s="223"/>
      <c r="AG1761" s="223"/>
      <c r="AH1761" s="341"/>
      <c r="AI1761" s="218"/>
      <c r="AJ1761" s="218"/>
      <c r="AK1761" s="153"/>
      <c r="AL1761" s="152"/>
      <c r="AM1761" s="152"/>
      <c r="AN1761" s="152"/>
      <c r="AO1761" s="152"/>
      <c r="AP1761" s="152"/>
      <c r="AQ1761" s="152"/>
      <c r="AR1761" s="152"/>
      <c r="AS1761" s="152"/>
      <c r="AT1761" s="152"/>
      <c r="AU1761" s="153"/>
      <c r="AV1761" s="479"/>
      <c r="AW1761" s="479"/>
      <c r="AX1761" s="442"/>
      <c r="AY1761" s="232"/>
      <c r="AZ1761" s="152"/>
      <c r="BA1761" s="152"/>
      <c r="BB1761" s="152"/>
      <c r="BC1761" s="152"/>
      <c r="BD1761" s="152"/>
      <c r="BE1761" s="152"/>
      <c r="BF1761" s="152"/>
      <c r="BG1761" s="152"/>
      <c r="BH1761" s="152"/>
      <c r="BI1761" s="152"/>
      <c r="BJ1761" s="152"/>
      <c r="BK1761" s="152"/>
      <c r="BL1761" s="152"/>
      <c r="BM1761" s="152"/>
      <c r="BN1761" s="152"/>
      <c r="BO1761" s="152"/>
      <c r="BP1761" s="152"/>
      <c r="BQ1761" s="152"/>
      <c r="BR1761" s="152"/>
      <c r="BS1761" s="152"/>
      <c r="BT1761" s="152"/>
      <c r="BU1761" s="152"/>
      <c r="BV1761" s="153"/>
      <c r="BW1761" s="153"/>
      <c r="BX1761" s="153"/>
      <c r="BY1761" s="153"/>
      <c r="BZ1761" s="153"/>
      <c r="CA1761" s="152"/>
      <c r="CB1761" s="152"/>
    </row>
    <row r="1762" spans="1:80" s="87" customFormat="1" x14ac:dyDescent="0.2">
      <c r="A1762" s="152"/>
      <c r="B1762" s="683"/>
      <c r="C1762" s="683"/>
      <c r="D1762" s="698"/>
      <c r="E1762" s="215"/>
      <c r="F1762" s="215"/>
      <c r="G1762" s="153"/>
      <c r="H1762" s="153"/>
      <c r="I1762" s="304">
        <v>10</v>
      </c>
      <c r="J1762" s="304">
        <v>270</v>
      </c>
      <c r="K1762" s="150">
        <v>1</v>
      </c>
      <c r="L1762" s="656">
        <v>45</v>
      </c>
      <c r="M1762" s="661">
        <v>33371</v>
      </c>
      <c r="N1762" s="600">
        <v>1.5005731747424682</v>
      </c>
      <c r="O1762" s="117">
        <v>7.6198890021519994E-3</v>
      </c>
      <c r="P1762" s="101"/>
      <c r="Q1762" s="101"/>
      <c r="R1762" s="101"/>
      <c r="S1762" s="101"/>
      <c r="T1762" s="101">
        <v>7.5</v>
      </c>
      <c r="U1762" s="101">
        <v>24.5</v>
      </c>
      <c r="V1762" s="500">
        <v>35.6</v>
      </c>
      <c r="W1762" s="500">
        <v>23.8</v>
      </c>
      <c r="X1762" s="500">
        <v>8.3000000000000007</v>
      </c>
      <c r="Y1762" s="500">
        <v>0.4</v>
      </c>
      <c r="Z1762" s="154"/>
      <c r="AA1762" s="154"/>
      <c r="AB1762" s="152"/>
      <c r="AC1762" s="152"/>
      <c r="AD1762" s="223"/>
      <c r="AE1762" s="223"/>
      <c r="AF1762" s="223"/>
      <c r="AG1762" s="223"/>
      <c r="AH1762" s="341"/>
      <c r="AI1762" s="218"/>
      <c r="AJ1762" s="218"/>
      <c r="AK1762" s="153"/>
      <c r="AL1762" s="152"/>
      <c r="AM1762" s="152"/>
      <c r="AN1762" s="152"/>
      <c r="AO1762" s="152"/>
      <c r="AP1762" s="152"/>
      <c r="AQ1762" s="152"/>
      <c r="AR1762" s="152"/>
      <c r="AS1762" s="152"/>
      <c r="AT1762" s="152"/>
      <c r="AU1762" s="153"/>
      <c r="AV1762" s="479"/>
      <c r="AW1762" s="479"/>
      <c r="AX1762" s="442"/>
      <c r="AY1762" s="232"/>
      <c r="AZ1762" s="152"/>
      <c r="BA1762" s="152"/>
      <c r="BB1762" s="152"/>
      <c r="BC1762" s="152"/>
      <c r="BD1762" s="152"/>
      <c r="BE1762" s="152"/>
      <c r="BF1762" s="152"/>
      <c r="BG1762" s="152"/>
      <c r="BH1762" s="152"/>
      <c r="BI1762" s="152"/>
      <c r="BJ1762" s="152"/>
      <c r="BK1762" s="152"/>
      <c r="BL1762" s="152"/>
      <c r="BM1762" s="152"/>
      <c r="BN1762" s="152"/>
      <c r="BO1762" s="152"/>
      <c r="BP1762" s="152"/>
      <c r="BQ1762" s="152"/>
      <c r="BR1762" s="152"/>
      <c r="BS1762" s="152"/>
      <c r="BT1762" s="152"/>
      <c r="BU1762" s="152"/>
      <c r="BV1762" s="153"/>
      <c r="BW1762" s="153"/>
      <c r="BX1762" s="153"/>
      <c r="BY1762" s="153"/>
      <c r="BZ1762" s="153"/>
      <c r="CA1762" s="152"/>
      <c r="CB1762" s="152"/>
    </row>
    <row r="1763" spans="1:80" s="87" customFormat="1" x14ac:dyDescent="0.2">
      <c r="A1763" s="152"/>
      <c r="B1763" s="683"/>
      <c r="C1763" s="683"/>
      <c r="D1763" s="698"/>
      <c r="E1763" s="215"/>
      <c r="F1763" s="215"/>
      <c r="G1763" s="153"/>
      <c r="H1763" s="153"/>
      <c r="I1763" s="304">
        <v>10</v>
      </c>
      <c r="J1763" s="304">
        <v>360</v>
      </c>
      <c r="K1763" s="150">
        <v>1</v>
      </c>
      <c r="L1763" s="656">
        <v>60</v>
      </c>
      <c r="M1763" s="661">
        <v>33372</v>
      </c>
      <c r="N1763" s="600">
        <v>1.5855112789731738</v>
      </c>
      <c r="O1763" s="117">
        <v>5.3318231585306004E-3</v>
      </c>
      <c r="P1763" s="101"/>
      <c r="Q1763" s="101"/>
      <c r="R1763" s="101"/>
      <c r="S1763" s="101"/>
      <c r="T1763" s="101">
        <v>4</v>
      </c>
      <c r="U1763" s="101">
        <v>9.1</v>
      </c>
      <c r="V1763" s="500">
        <v>25.1</v>
      </c>
      <c r="W1763" s="500">
        <v>41.4</v>
      </c>
      <c r="X1763" s="500">
        <v>20.3</v>
      </c>
      <c r="Y1763" s="500">
        <v>0.1</v>
      </c>
      <c r="Z1763" s="154"/>
      <c r="AA1763" s="154"/>
      <c r="AB1763" s="152"/>
      <c r="AC1763" s="152"/>
      <c r="AD1763" s="223"/>
      <c r="AE1763" s="223"/>
      <c r="AF1763" s="223"/>
      <c r="AG1763" s="223"/>
      <c r="AH1763" s="341"/>
      <c r="AI1763" s="218"/>
      <c r="AJ1763" s="218"/>
      <c r="AK1763" s="153"/>
      <c r="AL1763" s="152"/>
      <c r="AM1763" s="152"/>
      <c r="AN1763" s="152"/>
      <c r="AO1763" s="152"/>
      <c r="AP1763" s="152"/>
      <c r="AQ1763" s="152"/>
      <c r="AR1763" s="152"/>
      <c r="AS1763" s="152"/>
      <c r="AT1763" s="152"/>
      <c r="AU1763" s="153"/>
      <c r="AV1763" s="479"/>
      <c r="AW1763" s="479"/>
      <c r="AX1763" s="442"/>
      <c r="AY1763" s="232"/>
      <c r="AZ1763" s="152"/>
      <c r="BA1763" s="152"/>
      <c r="BB1763" s="152"/>
      <c r="BC1763" s="152"/>
      <c r="BD1763" s="152"/>
      <c r="BE1763" s="152"/>
      <c r="BF1763" s="152"/>
      <c r="BG1763" s="152"/>
      <c r="BH1763" s="152"/>
      <c r="BI1763" s="152"/>
      <c r="BJ1763" s="152"/>
      <c r="BK1763" s="152"/>
      <c r="BL1763" s="152"/>
      <c r="BM1763" s="152"/>
      <c r="BN1763" s="152"/>
      <c r="BO1763" s="152"/>
      <c r="BP1763" s="152"/>
      <c r="BQ1763" s="152"/>
      <c r="BR1763" s="152"/>
      <c r="BS1763" s="152"/>
      <c r="BT1763" s="152"/>
      <c r="BU1763" s="152"/>
      <c r="BV1763" s="153"/>
      <c r="BW1763" s="153"/>
      <c r="BX1763" s="153"/>
      <c r="BY1763" s="153"/>
      <c r="BZ1763" s="153"/>
      <c r="CA1763" s="152"/>
      <c r="CB1763" s="152"/>
    </row>
    <row r="1764" spans="1:80" s="87" customFormat="1" x14ac:dyDescent="0.2">
      <c r="A1764" s="152"/>
      <c r="B1764" s="683"/>
      <c r="C1764" s="683"/>
      <c r="D1764" s="698"/>
      <c r="E1764" s="215"/>
      <c r="F1764" s="215"/>
      <c r="G1764" s="153"/>
      <c r="H1764" s="153"/>
      <c r="I1764" s="304">
        <v>10</v>
      </c>
      <c r="J1764" s="304">
        <v>360</v>
      </c>
      <c r="K1764" s="150">
        <v>1</v>
      </c>
      <c r="L1764" s="656">
        <v>60</v>
      </c>
      <c r="M1764" s="661">
        <v>33374</v>
      </c>
      <c r="N1764" s="600">
        <v>2.2650161128188198</v>
      </c>
      <c r="O1764" s="117">
        <v>2.193604409710424E-2</v>
      </c>
      <c r="P1764" s="101"/>
      <c r="Q1764" s="101"/>
      <c r="R1764" s="101"/>
      <c r="S1764" s="101">
        <v>0.2</v>
      </c>
      <c r="T1764" s="101">
        <v>3.6</v>
      </c>
      <c r="U1764" s="101">
        <v>21.3</v>
      </c>
      <c r="V1764" s="500">
        <v>38.9</v>
      </c>
      <c r="W1764" s="500">
        <v>26.3</v>
      </c>
      <c r="X1764" s="500">
        <v>9.1999999999999993</v>
      </c>
      <c r="Y1764" s="500">
        <v>0.5</v>
      </c>
      <c r="Z1764" s="154"/>
      <c r="AA1764" s="154"/>
      <c r="AB1764" s="152"/>
      <c r="AC1764" s="152"/>
      <c r="AD1764" s="223"/>
      <c r="AE1764" s="223"/>
      <c r="AF1764" s="223"/>
      <c r="AG1764" s="223"/>
      <c r="AH1764" s="341"/>
      <c r="AI1764" s="218"/>
      <c r="AJ1764" s="218"/>
      <c r="AK1764" s="153"/>
      <c r="AL1764" s="152"/>
      <c r="AM1764" s="152"/>
      <c r="AN1764" s="152"/>
      <c r="AO1764" s="152"/>
      <c r="AP1764" s="152"/>
      <c r="AQ1764" s="152"/>
      <c r="AR1764" s="152"/>
      <c r="AS1764" s="152"/>
      <c r="AT1764" s="152"/>
      <c r="AU1764" s="153"/>
      <c r="AV1764" s="479"/>
      <c r="AW1764" s="479"/>
      <c r="AX1764" s="442"/>
      <c r="AY1764" s="232"/>
      <c r="AZ1764" s="152"/>
      <c r="BA1764" s="152"/>
      <c r="BB1764" s="152"/>
      <c r="BC1764" s="152"/>
      <c r="BD1764" s="152"/>
      <c r="BE1764" s="152"/>
      <c r="BF1764" s="152"/>
      <c r="BG1764" s="152"/>
      <c r="BH1764" s="152"/>
      <c r="BI1764" s="153"/>
      <c r="BJ1764" s="153"/>
      <c r="BK1764" s="153"/>
      <c r="BL1764" s="153"/>
      <c r="BM1764" s="153"/>
      <c r="BN1764" s="153"/>
      <c r="BO1764" s="153"/>
      <c r="BP1764" s="153"/>
      <c r="BQ1764" s="153"/>
      <c r="BR1764" s="153"/>
      <c r="BS1764" s="153"/>
      <c r="BT1764" s="153"/>
      <c r="BU1764" s="153"/>
      <c r="BV1764" s="153"/>
      <c r="BW1764" s="153"/>
      <c r="BX1764" s="153"/>
      <c r="BY1764" s="153"/>
      <c r="BZ1764" s="153"/>
      <c r="CA1764" s="152"/>
      <c r="CB1764" s="152"/>
    </row>
    <row r="1765" spans="1:80" s="87" customFormat="1" x14ac:dyDescent="0.2">
      <c r="A1765" s="152"/>
      <c r="B1765" s="683"/>
      <c r="C1765" s="683"/>
      <c r="D1765" s="698"/>
      <c r="E1765" s="215"/>
      <c r="F1765" s="215"/>
      <c r="G1765" s="153"/>
      <c r="H1765" s="153"/>
      <c r="I1765" s="304">
        <v>10</v>
      </c>
      <c r="J1765" s="304">
        <v>360</v>
      </c>
      <c r="K1765" s="150">
        <v>1</v>
      </c>
      <c r="L1765" s="656">
        <v>60</v>
      </c>
      <c r="M1765" s="661">
        <v>33378</v>
      </c>
      <c r="N1765" s="600">
        <v>2.7180193353825839</v>
      </c>
      <c r="O1765" s="117">
        <v>1.2804772152376636E-2</v>
      </c>
      <c r="P1765" s="101"/>
      <c r="Q1765" s="101"/>
      <c r="R1765" s="101"/>
      <c r="S1765" s="101">
        <v>0.8</v>
      </c>
      <c r="T1765" s="101">
        <v>4.0999999999999996</v>
      </c>
      <c r="U1765" s="101">
        <v>13</v>
      </c>
      <c r="V1765" s="500">
        <v>28.7</v>
      </c>
      <c r="W1765" s="500">
        <v>33.9</v>
      </c>
      <c r="X1765" s="500">
        <v>19</v>
      </c>
      <c r="Y1765" s="500">
        <v>0.5</v>
      </c>
      <c r="Z1765" s="154"/>
      <c r="AA1765" s="154"/>
      <c r="AB1765" s="152"/>
      <c r="AC1765" s="152"/>
      <c r="AD1765" s="223"/>
      <c r="AE1765" s="223"/>
      <c r="AF1765" s="223"/>
      <c r="AG1765" s="223"/>
      <c r="AH1765" s="341"/>
      <c r="AI1765" s="218"/>
      <c r="AJ1765" s="218"/>
      <c r="AK1765" s="153"/>
      <c r="AL1765" s="152"/>
      <c r="AM1765" s="152"/>
      <c r="AN1765" s="152"/>
      <c r="AO1765" s="152"/>
      <c r="AP1765" s="152"/>
      <c r="AQ1765" s="152"/>
      <c r="AR1765" s="152"/>
      <c r="AS1765" s="152"/>
      <c r="AT1765" s="152"/>
      <c r="AU1765" s="153"/>
      <c r="AV1765" s="479"/>
      <c r="AW1765" s="479"/>
      <c r="AX1765" s="442"/>
      <c r="AY1765" s="232"/>
      <c r="AZ1765" s="152"/>
      <c r="BA1765" s="152"/>
      <c r="BB1765" s="152"/>
      <c r="BC1765" s="152"/>
      <c r="BD1765" s="152"/>
      <c r="BE1765" s="152"/>
      <c r="BF1765" s="152"/>
      <c r="BG1765" s="152"/>
      <c r="BH1765" s="152"/>
      <c r="BI1765" s="153"/>
      <c r="BJ1765" s="153"/>
      <c r="BK1765" s="153"/>
      <c r="BL1765" s="153"/>
      <c r="BM1765" s="153"/>
      <c r="BN1765" s="153"/>
      <c r="BO1765" s="153"/>
      <c r="BP1765" s="153"/>
      <c r="BQ1765" s="153"/>
      <c r="BR1765" s="153"/>
      <c r="BS1765" s="153"/>
      <c r="BT1765" s="153"/>
      <c r="BU1765" s="153"/>
      <c r="BV1765" s="153"/>
      <c r="BW1765" s="153"/>
      <c r="BX1765" s="153"/>
      <c r="BY1765" s="153"/>
      <c r="BZ1765" s="153"/>
      <c r="CA1765" s="152"/>
      <c r="CB1765" s="152"/>
    </row>
    <row r="1766" spans="1:80" s="87" customFormat="1" x14ac:dyDescent="0.2">
      <c r="A1766" s="152"/>
      <c r="B1766" s="683"/>
      <c r="C1766" s="683"/>
      <c r="D1766" s="698"/>
      <c r="E1766" s="215"/>
      <c r="F1766" s="215"/>
      <c r="G1766" s="153"/>
      <c r="H1766" s="153"/>
      <c r="I1766" s="304">
        <v>11</v>
      </c>
      <c r="J1766" s="304">
        <v>180</v>
      </c>
      <c r="K1766" s="150">
        <v>1</v>
      </c>
      <c r="L1766" s="656">
        <v>33</v>
      </c>
      <c r="M1766" s="661">
        <v>33380</v>
      </c>
      <c r="N1766" s="600">
        <v>4.246905211535287</v>
      </c>
      <c r="O1766" s="117">
        <v>9.6875448333144557E-2</v>
      </c>
      <c r="P1766" s="101"/>
      <c r="Q1766" s="101"/>
      <c r="R1766" s="101"/>
      <c r="S1766" s="101">
        <v>1.2</v>
      </c>
      <c r="T1766" s="101">
        <v>10.1</v>
      </c>
      <c r="U1766" s="101">
        <v>28.1</v>
      </c>
      <c r="V1766" s="500">
        <v>26.3</v>
      </c>
      <c r="W1766" s="500">
        <v>18.600000000000001</v>
      </c>
      <c r="X1766" s="500">
        <v>14.4</v>
      </c>
      <c r="Y1766" s="500">
        <v>1.4</v>
      </c>
      <c r="Z1766" s="154"/>
      <c r="AA1766" s="154"/>
      <c r="AB1766" s="152"/>
      <c r="AC1766" s="152"/>
      <c r="AD1766" s="223"/>
      <c r="AE1766" s="223"/>
      <c r="AF1766" s="223"/>
      <c r="AG1766" s="223"/>
      <c r="AH1766" s="341"/>
      <c r="AI1766" s="218"/>
      <c r="AJ1766" s="218"/>
      <c r="AK1766" s="153"/>
      <c r="AL1766" s="152"/>
      <c r="AM1766" s="152"/>
      <c r="AN1766" s="152"/>
      <c r="AO1766" s="152"/>
      <c r="AP1766" s="152"/>
      <c r="AQ1766" s="152"/>
      <c r="AR1766" s="152"/>
      <c r="AS1766" s="152"/>
      <c r="AT1766" s="152"/>
      <c r="AU1766" s="153"/>
      <c r="AV1766" s="479"/>
      <c r="AW1766" s="479"/>
      <c r="AX1766" s="442"/>
      <c r="AY1766" s="232"/>
      <c r="AZ1766" s="152"/>
      <c r="BA1766" s="152"/>
      <c r="BB1766" s="152"/>
      <c r="BC1766" s="152"/>
      <c r="BD1766" s="152"/>
      <c r="BE1766" s="152"/>
      <c r="BF1766" s="152"/>
      <c r="BG1766" s="152"/>
      <c r="BH1766" s="152"/>
      <c r="BI1766" s="153"/>
      <c r="BJ1766" s="153"/>
      <c r="BK1766" s="153"/>
      <c r="BL1766" s="153"/>
      <c r="BM1766" s="153"/>
      <c r="BN1766" s="153"/>
      <c r="BO1766" s="153"/>
      <c r="BP1766" s="153"/>
      <c r="BQ1766" s="153"/>
      <c r="BR1766" s="153"/>
      <c r="BS1766" s="153"/>
      <c r="BT1766" s="153"/>
      <c r="BU1766" s="153"/>
      <c r="BV1766" s="153"/>
      <c r="BW1766" s="153"/>
      <c r="BX1766" s="153"/>
      <c r="BY1766" s="153"/>
      <c r="BZ1766" s="153"/>
      <c r="CA1766" s="152"/>
      <c r="CB1766" s="152"/>
    </row>
    <row r="1767" spans="1:80" s="87" customFormat="1" x14ac:dyDescent="0.2">
      <c r="A1767" s="152"/>
      <c r="B1767" s="683"/>
      <c r="C1767" s="683"/>
      <c r="D1767" s="698"/>
      <c r="E1767" s="215"/>
      <c r="F1767" s="215"/>
      <c r="G1767" s="153"/>
      <c r="H1767" s="153"/>
      <c r="I1767" s="304">
        <v>11</v>
      </c>
      <c r="J1767" s="304">
        <v>180</v>
      </c>
      <c r="K1767" s="150">
        <v>1</v>
      </c>
      <c r="L1767" s="656">
        <v>33</v>
      </c>
      <c r="M1767" s="661">
        <v>33381</v>
      </c>
      <c r="N1767" s="600">
        <v>5.5492894764061083</v>
      </c>
      <c r="O1767" s="117">
        <v>2.907313021482236E-2</v>
      </c>
      <c r="P1767" s="101"/>
      <c r="Q1767" s="101"/>
      <c r="R1767" s="101"/>
      <c r="S1767" s="101">
        <v>0.6</v>
      </c>
      <c r="T1767" s="101">
        <v>6.9</v>
      </c>
      <c r="U1767" s="101">
        <v>21.7</v>
      </c>
      <c r="V1767" s="500">
        <v>31.1</v>
      </c>
      <c r="W1767" s="500">
        <v>25.2</v>
      </c>
      <c r="X1767" s="500">
        <v>13.4</v>
      </c>
      <c r="Y1767" s="500">
        <v>1</v>
      </c>
      <c r="Z1767" s="154"/>
      <c r="AA1767" s="154"/>
      <c r="AB1767" s="152"/>
      <c r="AC1767" s="152"/>
      <c r="AD1767" s="91">
        <v>10.36</v>
      </c>
      <c r="AE1767" s="91">
        <v>0.39</v>
      </c>
      <c r="AF1767" s="91">
        <v>4.0199999999999996</v>
      </c>
      <c r="AG1767" s="91">
        <v>1.02</v>
      </c>
      <c r="AH1767" s="343"/>
      <c r="AI1767" s="218"/>
      <c r="AJ1767" s="218"/>
      <c r="AK1767" s="153"/>
      <c r="AL1767" s="152"/>
      <c r="AM1767" s="152"/>
      <c r="AN1767" s="152"/>
      <c r="AO1767" s="152"/>
      <c r="AP1767" s="152"/>
      <c r="AQ1767" s="152"/>
      <c r="AR1767" s="152"/>
      <c r="AS1767" s="152"/>
      <c r="AT1767" s="152"/>
      <c r="AU1767" s="153"/>
      <c r="AV1767" s="479"/>
      <c r="AW1767" s="479"/>
      <c r="AX1767" s="442"/>
      <c r="AY1767" s="232"/>
      <c r="AZ1767" s="152"/>
      <c r="BA1767" s="152"/>
      <c r="BB1767" s="152"/>
      <c r="BC1767" s="152"/>
      <c r="BD1767" s="152"/>
      <c r="BE1767" s="152"/>
      <c r="BF1767" s="152"/>
      <c r="BG1767" s="152"/>
      <c r="BH1767" s="152"/>
      <c r="BI1767" s="153"/>
      <c r="BJ1767" s="153"/>
      <c r="BK1767" s="153"/>
      <c r="BL1767" s="153"/>
      <c r="BM1767" s="153"/>
      <c r="BN1767" s="153"/>
      <c r="BO1767" s="153"/>
      <c r="BP1767" s="153"/>
      <c r="BQ1767" s="153"/>
      <c r="BR1767" s="153"/>
      <c r="BS1767" s="153"/>
      <c r="BT1767" s="153"/>
      <c r="BU1767" s="153"/>
      <c r="BV1767" s="153"/>
      <c r="BW1767" s="153"/>
      <c r="BX1767" s="153"/>
      <c r="BY1767" s="153"/>
      <c r="BZ1767" s="153"/>
      <c r="CA1767" s="152"/>
      <c r="CB1767" s="152"/>
    </row>
    <row r="1768" spans="1:80" s="87" customFormat="1" x14ac:dyDescent="0.2">
      <c r="A1768" s="152"/>
      <c r="B1768" s="683"/>
      <c r="C1768" s="683"/>
      <c r="D1768" s="698"/>
      <c r="E1768" s="215"/>
      <c r="F1768" s="215"/>
      <c r="G1768" s="153"/>
      <c r="H1768" s="153"/>
      <c r="I1768" s="304">
        <v>10</v>
      </c>
      <c r="J1768" s="304">
        <v>360</v>
      </c>
      <c r="K1768" s="150">
        <v>1</v>
      </c>
      <c r="L1768" s="656">
        <v>60</v>
      </c>
      <c r="M1768" s="661">
        <v>33386</v>
      </c>
      <c r="N1768" s="600">
        <v>3.7089638847408173</v>
      </c>
      <c r="O1768" s="117">
        <v>1.0023407709442368E-2</v>
      </c>
      <c r="P1768" s="101"/>
      <c r="Q1768" s="101"/>
      <c r="R1768" s="101"/>
      <c r="S1768" s="101"/>
      <c r="T1768" s="101">
        <v>4.3</v>
      </c>
      <c r="U1768" s="101">
        <v>16.100000000000001</v>
      </c>
      <c r="V1768" s="500">
        <v>31</v>
      </c>
      <c r="W1768" s="500">
        <v>30.6</v>
      </c>
      <c r="X1768" s="500">
        <v>17.2</v>
      </c>
      <c r="Y1768" s="500">
        <v>0.9</v>
      </c>
      <c r="Z1768" s="154"/>
      <c r="AA1768" s="154"/>
      <c r="AB1768" s="152"/>
      <c r="AC1768" s="152"/>
      <c r="AD1768" s="223"/>
      <c r="AE1768" s="223"/>
      <c r="AF1768" s="223"/>
      <c r="AG1768" s="223"/>
      <c r="AH1768" s="341"/>
      <c r="AI1768" s="218"/>
      <c r="AJ1768" s="218"/>
      <c r="AK1768" s="153"/>
      <c r="AL1768" s="152"/>
      <c r="AM1768" s="152"/>
      <c r="AN1768" s="152"/>
      <c r="AO1768" s="152"/>
      <c r="AP1768" s="152"/>
      <c r="AQ1768" s="152"/>
      <c r="AR1768" s="152"/>
      <c r="AS1768" s="152"/>
      <c r="AT1768" s="152"/>
      <c r="AU1768" s="153"/>
      <c r="AV1768" s="479"/>
      <c r="AW1768" s="479"/>
      <c r="AX1768" s="442"/>
      <c r="AY1768" s="232"/>
      <c r="AZ1768" s="152"/>
      <c r="BA1768" s="152"/>
      <c r="BB1768" s="152"/>
      <c r="BC1768" s="152"/>
      <c r="BD1768" s="152"/>
      <c r="BE1768" s="152"/>
      <c r="BF1768" s="152"/>
      <c r="BG1768" s="152"/>
      <c r="BH1768" s="152"/>
      <c r="BI1768" s="153"/>
      <c r="BJ1768" s="153"/>
      <c r="BK1768" s="153"/>
      <c r="BL1768" s="153"/>
      <c r="BM1768" s="153"/>
      <c r="BN1768" s="153"/>
      <c r="BO1768" s="153"/>
      <c r="BP1768" s="153"/>
      <c r="BQ1768" s="153"/>
      <c r="BR1768" s="153"/>
      <c r="BS1768" s="153"/>
      <c r="BT1768" s="153"/>
      <c r="BU1768" s="153"/>
      <c r="BV1768" s="153"/>
      <c r="BW1768" s="153"/>
      <c r="BX1768" s="153"/>
      <c r="BY1768" s="153"/>
      <c r="BZ1768" s="153"/>
      <c r="CA1768" s="152"/>
      <c r="CB1768" s="152"/>
    </row>
    <row r="1769" spans="1:80" s="87" customFormat="1" x14ac:dyDescent="0.2">
      <c r="A1769" s="152"/>
      <c r="B1769" s="683"/>
      <c r="C1769" s="683"/>
      <c r="D1769" s="698"/>
      <c r="E1769" s="215"/>
      <c r="F1769" s="215"/>
      <c r="G1769" s="153"/>
      <c r="H1769" s="153"/>
      <c r="I1769" s="304">
        <v>10</v>
      </c>
      <c r="J1769" s="304">
        <v>300</v>
      </c>
      <c r="K1769" s="150">
        <v>1</v>
      </c>
      <c r="L1769" s="656">
        <v>50</v>
      </c>
      <c r="M1769" s="661">
        <v>33387</v>
      </c>
      <c r="N1769" s="600">
        <v>3.7089638847408173</v>
      </c>
      <c r="O1769" s="117">
        <v>1.3749386491486387E-2</v>
      </c>
      <c r="P1769" s="101"/>
      <c r="Q1769" s="101"/>
      <c r="R1769" s="101"/>
      <c r="S1769" s="101"/>
      <c r="T1769" s="101">
        <v>6.4</v>
      </c>
      <c r="U1769" s="101">
        <v>32.5</v>
      </c>
      <c r="V1769" s="500">
        <v>34.6</v>
      </c>
      <c r="W1769" s="500">
        <v>17.100000000000001</v>
      </c>
      <c r="X1769" s="500">
        <v>9</v>
      </c>
      <c r="Y1769" s="500">
        <v>0.4</v>
      </c>
      <c r="Z1769" s="154"/>
      <c r="AA1769" s="154"/>
      <c r="AB1769" s="152"/>
      <c r="AC1769" s="152"/>
      <c r="AD1769" s="223"/>
      <c r="AE1769" s="223"/>
      <c r="AF1769" s="223"/>
      <c r="AG1769" s="223"/>
      <c r="AH1769" s="341"/>
      <c r="AI1769" s="218"/>
      <c r="AJ1769" s="218"/>
      <c r="AK1769" s="153"/>
      <c r="AL1769" s="152"/>
      <c r="AM1769" s="152"/>
      <c r="AN1769" s="152"/>
      <c r="AO1769" s="152"/>
      <c r="AP1769" s="152"/>
      <c r="AQ1769" s="152"/>
      <c r="AR1769" s="152"/>
      <c r="AS1769" s="152"/>
      <c r="AT1769" s="152"/>
      <c r="AU1769" s="153"/>
      <c r="AV1769" s="479"/>
      <c r="AW1769" s="479"/>
      <c r="AX1769" s="442"/>
      <c r="AY1769" s="232"/>
      <c r="AZ1769" s="152"/>
      <c r="BA1769" s="152"/>
      <c r="BB1769" s="152"/>
      <c r="BC1769" s="152"/>
      <c r="BD1769" s="152"/>
      <c r="BE1769" s="152"/>
      <c r="BF1769" s="152"/>
      <c r="BG1769" s="152"/>
      <c r="BH1769" s="152"/>
      <c r="BI1769" s="153"/>
      <c r="BJ1769" s="153"/>
      <c r="BK1769" s="153"/>
      <c r="BL1769" s="153"/>
      <c r="BM1769" s="153"/>
      <c r="BN1769" s="153"/>
      <c r="BO1769" s="153"/>
      <c r="BP1769" s="153"/>
      <c r="BQ1769" s="153"/>
      <c r="BR1769" s="153"/>
      <c r="BS1769" s="153"/>
      <c r="BT1769" s="153"/>
      <c r="BU1769" s="153"/>
      <c r="BV1769" s="153"/>
      <c r="BW1769" s="153"/>
      <c r="BX1769" s="153"/>
      <c r="BY1769" s="153"/>
      <c r="BZ1769" s="153"/>
      <c r="CA1769" s="152"/>
      <c r="CB1769" s="152"/>
    </row>
    <row r="1770" spans="1:80" s="87" customFormat="1" x14ac:dyDescent="0.2">
      <c r="A1770" s="152"/>
      <c r="B1770" s="683"/>
      <c r="C1770" s="683"/>
      <c r="D1770" s="698"/>
      <c r="E1770" s="215"/>
      <c r="F1770" s="215"/>
      <c r="G1770" s="153"/>
      <c r="H1770" s="153"/>
      <c r="I1770" s="304">
        <v>10</v>
      </c>
      <c r="J1770" s="304">
        <v>270</v>
      </c>
      <c r="K1770" s="150">
        <v>1</v>
      </c>
      <c r="L1770" s="656">
        <v>45</v>
      </c>
      <c r="M1770" s="661">
        <v>33388</v>
      </c>
      <c r="N1770" s="600">
        <v>3.7089638847408173</v>
      </c>
      <c r="O1770" s="117">
        <v>8.1971533204968482E-3</v>
      </c>
      <c r="P1770" s="101"/>
      <c r="Q1770" s="101"/>
      <c r="R1770" s="101"/>
      <c r="S1770" s="101">
        <v>0.6</v>
      </c>
      <c r="T1770" s="101">
        <v>6.3</v>
      </c>
      <c r="U1770" s="101">
        <v>20.7</v>
      </c>
      <c r="V1770" s="500">
        <v>29.6</v>
      </c>
      <c r="W1770" s="500">
        <v>25.2</v>
      </c>
      <c r="X1770" s="500">
        <v>16.7</v>
      </c>
      <c r="Y1770" s="500">
        <v>0.9</v>
      </c>
      <c r="Z1770" s="154"/>
      <c r="AA1770" s="154"/>
      <c r="AB1770" s="152"/>
      <c r="AC1770" s="152"/>
      <c r="AD1770" s="223"/>
      <c r="AE1770" s="223"/>
      <c r="AF1770" s="223"/>
      <c r="AG1770" s="223"/>
      <c r="AH1770" s="341"/>
      <c r="AI1770" s="218"/>
      <c r="AJ1770" s="218"/>
      <c r="AK1770" s="153"/>
      <c r="AL1770" s="152"/>
      <c r="AM1770" s="152"/>
      <c r="AN1770" s="152"/>
      <c r="AO1770" s="152"/>
      <c r="AP1770" s="152"/>
      <c r="AQ1770" s="152"/>
      <c r="AR1770" s="152"/>
      <c r="AS1770" s="152"/>
      <c r="AT1770" s="152"/>
      <c r="AU1770" s="153"/>
      <c r="AV1770" s="479"/>
      <c r="AW1770" s="479"/>
      <c r="AX1770" s="442"/>
      <c r="AY1770" s="232"/>
      <c r="AZ1770" s="152"/>
      <c r="BA1770" s="152"/>
      <c r="BB1770" s="152"/>
      <c r="BC1770" s="152"/>
      <c r="BD1770" s="152"/>
      <c r="BE1770" s="152"/>
      <c r="BF1770" s="152"/>
      <c r="BG1770" s="152"/>
      <c r="BH1770" s="152"/>
      <c r="BI1770" s="153"/>
      <c r="BJ1770" s="153"/>
      <c r="BK1770" s="153"/>
      <c r="BL1770" s="153"/>
      <c r="BM1770" s="153"/>
      <c r="BN1770" s="153"/>
      <c r="BO1770" s="153"/>
      <c r="BP1770" s="153"/>
      <c r="BQ1770" s="153"/>
      <c r="BR1770" s="153"/>
      <c r="BS1770" s="153"/>
      <c r="BT1770" s="153"/>
      <c r="BU1770" s="153"/>
      <c r="BV1770" s="153"/>
      <c r="BW1770" s="153"/>
      <c r="BX1770" s="153"/>
      <c r="BY1770" s="153"/>
      <c r="BZ1770" s="153"/>
      <c r="CA1770" s="152"/>
      <c r="CB1770" s="152"/>
    </row>
    <row r="1771" spans="1:80" s="87" customFormat="1" x14ac:dyDescent="0.2">
      <c r="A1771" s="152"/>
      <c r="B1771" s="683"/>
      <c r="C1771" s="683"/>
      <c r="D1771" s="698"/>
      <c r="E1771" s="215"/>
      <c r="F1771" s="215"/>
      <c r="G1771" s="153"/>
      <c r="H1771" s="153"/>
      <c r="I1771" s="304">
        <v>10</v>
      </c>
      <c r="J1771" s="304">
        <v>240</v>
      </c>
      <c r="K1771" s="150">
        <v>1</v>
      </c>
      <c r="L1771" s="656">
        <v>40</v>
      </c>
      <c r="M1771" s="661">
        <v>33394</v>
      </c>
      <c r="N1771" s="600">
        <v>3.2842733635872889</v>
      </c>
      <c r="O1771" s="117">
        <v>6.4128817910673154E-3</v>
      </c>
      <c r="P1771" s="101"/>
      <c r="Q1771" s="101"/>
      <c r="R1771" s="101">
        <v>2</v>
      </c>
      <c r="S1771" s="101">
        <v>3.1</v>
      </c>
      <c r="T1771" s="101">
        <v>3.2</v>
      </c>
      <c r="U1771" s="101">
        <v>16</v>
      </c>
      <c r="V1771" s="500">
        <v>26.5</v>
      </c>
      <c r="W1771" s="500">
        <v>25.9</v>
      </c>
      <c r="X1771" s="500">
        <v>22.6</v>
      </c>
      <c r="Y1771" s="500">
        <v>0.8</v>
      </c>
      <c r="Z1771" s="154"/>
      <c r="AA1771" s="154"/>
      <c r="AB1771" s="152"/>
      <c r="AC1771" s="152"/>
      <c r="AD1771" s="223"/>
      <c r="AE1771" s="223"/>
      <c r="AF1771" s="223"/>
      <c r="AG1771" s="223"/>
      <c r="AH1771" s="341"/>
      <c r="AI1771" s="218"/>
      <c r="AJ1771" s="218"/>
      <c r="AK1771" s="153"/>
      <c r="AL1771" s="152"/>
      <c r="AM1771" s="152"/>
      <c r="AN1771" s="152"/>
      <c r="AO1771" s="152"/>
      <c r="AP1771" s="152"/>
      <c r="AQ1771" s="152"/>
      <c r="AR1771" s="152"/>
      <c r="AS1771" s="152"/>
      <c r="AT1771" s="152"/>
      <c r="AU1771" s="153"/>
      <c r="AV1771" s="479"/>
      <c r="AW1771" s="479"/>
      <c r="AX1771" s="442"/>
      <c r="AY1771" s="232"/>
      <c r="AZ1771" s="152"/>
      <c r="BA1771" s="152"/>
      <c r="BB1771" s="152"/>
      <c r="BC1771" s="152"/>
      <c r="BD1771" s="152"/>
      <c r="BE1771" s="152"/>
      <c r="BF1771" s="152"/>
      <c r="BG1771" s="152"/>
      <c r="BH1771" s="152"/>
      <c r="BI1771" s="153"/>
      <c r="BJ1771" s="153"/>
      <c r="BK1771" s="153"/>
      <c r="BL1771" s="153"/>
      <c r="BM1771" s="153"/>
      <c r="BN1771" s="153"/>
      <c r="BO1771" s="153"/>
      <c r="BP1771" s="153"/>
      <c r="BQ1771" s="153"/>
      <c r="BR1771" s="153"/>
      <c r="BS1771" s="153"/>
      <c r="BT1771" s="153"/>
      <c r="BU1771" s="153"/>
      <c r="BV1771" s="153"/>
      <c r="BW1771" s="153"/>
      <c r="BX1771" s="153"/>
      <c r="BY1771" s="153"/>
      <c r="BZ1771" s="153"/>
      <c r="CA1771" s="152"/>
      <c r="CB1771" s="152"/>
    </row>
    <row r="1772" spans="1:80" s="87" customFormat="1" x14ac:dyDescent="0.2">
      <c r="A1772" s="152"/>
      <c r="B1772" s="683"/>
      <c r="C1772" s="683"/>
      <c r="D1772" s="698"/>
      <c r="E1772" s="215"/>
      <c r="F1772" s="215"/>
      <c r="G1772" s="153"/>
      <c r="H1772" s="153"/>
      <c r="I1772" s="304">
        <v>10</v>
      </c>
      <c r="J1772" s="304">
        <v>360</v>
      </c>
      <c r="K1772" s="150">
        <v>1</v>
      </c>
      <c r="L1772" s="656">
        <v>60</v>
      </c>
      <c r="M1772" s="661">
        <v>33401</v>
      </c>
      <c r="N1772" s="600">
        <v>1.8969509944857617</v>
      </c>
      <c r="O1772" s="117">
        <v>3.3691244761581154E-3</v>
      </c>
      <c r="P1772" s="101"/>
      <c r="Q1772" s="101"/>
      <c r="R1772" s="101"/>
      <c r="S1772" s="101"/>
      <c r="T1772" s="101">
        <v>6.8</v>
      </c>
      <c r="U1772" s="101">
        <v>13.6</v>
      </c>
      <c r="V1772" s="500">
        <v>21.7</v>
      </c>
      <c r="W1772" s="500">
        <v>32.200000000000003</v>
      </c>
      <c r="X1772" s="500">
        <v>25</v>
      </c>
      <c r="Y1772" s="500">
        <v>0.7</v>
      </c>
      <c r="Z1772" s="154"/>
      <c r="AA1772" s="154"/>
      <c r="AB1772" s="152"/>
      <c r="AC1772" s="152"/>
      <c r="AD1772" s="223"/>
      <c r="AE1772" s="223"/>
      <c r="AF1772" s="223"/>
      <c r="AG1772" s="223"/>
      <c r="AH1772" s="341"/>
      <c r="AI1772" s="218"/>
      <c r="AJ1772" s="218"/>
      <c r="AK1772" s="153"/>
      <c r="AL1772" s="152"/>
      <c r="AM1772" s="152"/>
      <c r="AN1772" s="152"/>
      <c r="AO1772" s="152"/>
      <c r="AP1772" s="152"/>
      <c r="AQ1772" s="152"/>
      <c r="AR1772" s="152"/>
      <c r="AS1772" s="152"/>
      <c r="AT1772" s="152"/>
      <c r="AU1772" s="153"/>
      <c r="AV1772" s="479"/>
      <c r="AW1772" s="479"/>
      <c r="AX1772" s="442"/>
      <c r="AY1772" s="232"/>
      <c r="AZ1772" s="152"/>
      <c r="BA1772" s="152"/>
      <c r="BB1772" s="152"/>
      <c r="BC1772" s="152"/>
      <c r="BD1772" s="152"/>
      <c r="BE1772" s="152"/>
      <c r="BF1772" s="152"/>
      <c r="BG1772" s="152"/>
      <c r="BH1772" s="152"/>
      <c r="BI1772" s="153"/>
      <c r="BJ1772" s="153"/>
      <c r="BK1772" s="153"/>
      <c r="BL1772" s="153"/>
      <c r="BM1772" s="153"/>
      <c r="BN1772" s="153"/>
      <c r="BO1772" s="153"/>
      <c r="BP1772" s="153"/>
      <c r="BQ1772" s="153"/>
      <c r="BR1772" s="153"/>
      <c r="BS1772" s="153"/>
      <c r="BT1772" s="153"/>
      <c r="BU1772" s="153"/>
      <c r="BV1772" s="153"/>
      <c r="BW1772" s="153"/>
      <c r="BX1772" s="153"/>
      <c r="BY1772" s="153"/>
      <c r="BZ1772" s="153"/>
      <c r="CA1772" s="152"/>
      <c r="CB1772" s="152"/>
    </row>
    <row r="1773" spans="1:80" s="87" customFormat="1" x14ac:dyDescent="0.2">
      <c r="A1773" s="152"/>
      <c r="B1773" s="683"/>
      <c r="C1773" s="683"/>
      <c r="D1773" s="698"/>
      <c r="E1773" s="215"/>
      <c r="F1773" s="215"/>
      <c r="G1773" s="153"/>
      <c r="H1773" s="153"/>
      <c r="I1773" s="304">
        <v>11</v>
      </c>
      <c r="J1773" s="305">
        <v>360</v>
      </c>
      <c r="K1773" s="150">
        <v>1</v>
      </c>
      <c r="L1773" s="656">
        <v>66</v>
      </c>
      <c r="M1773" s="661">
        <v>33694</v>
      </c>
      <c r="N1773" s="600">
        <v>0.79275563948658689</v>
      </c>
      <c r="O1773" s="117">
        <v>2.2355872692264133E-4</v>
      </c>
      <c r="P1773" s="101"/>
      <c r="Q1773" s="101"/>
      <c r="R1773" s="101"/>
      <c r="S1773" s="101"/>
      <c r="T1773" s="101"/>
      <c r="U1773" s="101">
        <v>4.2</v>
      </c>
      <c r="V1773" s="500">
        <v>19.100000000000001</v>
      </c>
      <c r="W1773" s="500">
        <v>34.9</v>
      </c>
      <c r="X1773" s="500">
        <v>32.4</v>
      </c>
      <c r="Y1773" s="500">
        <v>9.5</v>
      </c>
      <c r="Z1773" s="154"/>
      <c r="AA1773" s="154"/>
      <c r="AB1773" s="152"/>
      <c r="AC1773" s="152"/>
      <c r="AD1773" s="223"/>
      <c r="AE1773" s="223"/>
      <c r="AF1773" s="223"/>
      <c r="AG1773" s="223"/>
      <c r="AH1773" s="341"/>
      <c r="AI1773" s="218"/>
      <c r="AJ1773" s="218"/>
      <c r="AK1773" s="153"/>
      <c r="AL1773" s="152"/>
      <c r="AM1773" s="152"/>
      <c r="AN1773" s="152"/>
      <c r="AO1773" s="152"/>
      <c r="AP1773" s="152"/>
      <c r="AQ1773" s="152"/>
      <c r="AR1773" s="152"/>
      <c r="AS1773" s="152"/>
      <c r="AT1773" s="152"/>
      <c r="AU1773" s="153"/>
      <c r="AV1773" s="479"/>
      <c r="AW1773" s="479"/>
      <c r="AX1773" s="442"/>
      <c r="AY1773" s="232"/>
      <c r="AZ1773" s="152"/>
      <c r="BA1773" s="152"/>
      <c r="BB1773" s="152"/>
      <c r="BC1773" s="152"/>
      <c r="BD1773" s="152"/>
      <c r="BE1773" s="152"/>
      <c r="BF1773" s="152"/>
      <c r="BG1773" s="152"/>
      <c r="BH1773" s="152"/>
      <c r="BI1773" s="153"/>
      <c r="BJ1773" s="153"/>
      <c r="BK1773" s="153"/>
      <c r="BL1773" s="153"/>
      <c r="BM1773" s="153"/>
      <c r="BN1773" s="153"/>
      <c r="BO1773" s="153"/>
      <c r="BP1773" s="153"/>
      <c r="BQ1773" s="153"/>
      <c r="BR1773" s="153"/>
      <c r="BS1773" s="153"/>
      <c r="BT1773" s="153"/>
      <c r="BU1773" s="153"/>
      <c r="BV1773" s="153"/>
      <c r="BW1773" s="153"/>
      <c r="BX1773" s="153"/>
      <c r="BY1773" s="153"/>
      <c r="BZ1773" s="153"/>
      <c r="CA1773" s="152"/>
      <c r="CB1773" s="152"/>
    </row>
    <row r="1774" spans="1:80" s="87" customFormat="1" x14ac:dyDescent="0.2">
      <c r="A1774" s="152"/>
      <c r="B1774" s="683"/>
      <c r="C1774" s="683"/>
      <c r="D1774" s="698"/>
      <c r="E1774" s="215"/>
      <c r="F1774" s="215"/>
      <c r="G1774" s="153"/>
      <c r="H1774" s="153"/>
      <c r="I1774" s="304">
        <v>10</v>
      </c>
      <c r="J1774" s="164">
        <v>360</v>
      </c>
      <c r="K1774" s="150">
        <v>1</v>
      </c>
      <c r="L1774" s="656">
        <v>60</v>
      </c>
      <c r="M1774" s="661">
        <v>33701</v>
      </c>
      <c r="N1774" s="600">
        <v>1.0758826535889394</v>
      </c>
      <c r="O1774" s="117">
        <v>9.0263147959376289E-3</v>
      </c>
      <c r="P1774" s="101"/>
      <c r="Q1774" s="101"/>
      <c r="R1774" s="101"/>
      <c r="S1774" s="101"/>
      <c r="T1774" s="101">
        <v>5.7</v>
      </c>
      <c r="U1774" s="101">
        <v>26.1</v>
      </c>
      <c r="V1774" s="500">
        <v>39</v>
      </c>
      <c r="W1774" s="500">
        <v>21.6</v>
      </c>
      <c r="X1774" s="500">
        <v>7.4</v>
      </c>
      <c r="Y1774" s="500">
        <v>0.2</v>
      </c>
      <c r="Z1774" s="154"/>
      <c r="AA1774" s="154"/>
      <c r="AB1774" s="152"/>
      <c r="AC1774" s="152"/>
      <c r="AD1774" s="223"/>
      <c r="AE1774" s="223"/>
      <c r="AF1774" s="223"/>
      <c r="AG1774" s="223"/>
      <c r="AH1774" s="341"/>
      <c r="AI1774" s="218"/>
      <c r="AJ1774" s="218"/>
      <c r="AK1774" s="153"/>
      <c r="AL1774" s="152"/>
      <c r="AM1774" s="152"/>
      <c r="AN1774" s="152"/>
      <c r="AO1774" s="152"/>
      <c r="AP1774" s="152"/>
      <c r="AQ1774" s="152"/>
      <c r="AR1774" s="152"/>
      <c r="AS1774" s="152"/>
      <c r="AT1774" s="152"/>
      <c r="AU1774" s="153"/>
      <c r="AV1774" s="479"/>
      <c r="AW1774" s="479"/>
      <c r="AX1774" s="442"/>
      <c r="AY1774" s="232"/>
      <c r="AZ1774" s="152"/>
      <c r="BA1774" s="152"/>
      <c r="BB1774" s="152"/>
      <c r="BC1774" s="152"/>
      <c r="BD1774" s="152"/>
      <c r="BE1774" s="152"/>
      <c r="BF1774" s="152"/>
      <c r="BG1774" s="152"/>
      <c r="BH1774" s="152"/>
      <c r="BI1774" s="153"/>
      <c r="BJ1774" s="153"/>
      <c r="BK1774" s="153"/>
      <c r="BL1774" s="153"/>
      <c r="BM1774" s="153"/>
      <c r="BN1774" s="153"/>
      <c r="BO1774" s="153"/>
      <c r="BP1774" s="153"/>
      <c r="BQ1774" s="153"/>
      <c r="BR1774" s="153"/>
      <c r="BS1774" s="153"/>
      <c r="BT1774" s="153"/>
      <c r="BU1774" s="153"/>
      <c r="BV1774" s="153"/>
      <c r="BW1774" s="153"/>
      <c r="BX1774" s="153"/>
      <c r="BY1774" s="153"/>
      <c r="BZ1774" s="153"/>
      <c r="CA1774" s="152"/>
      <c r="CB1774" s="152"/>
    </row>
    <row r="1775" spans="1:80" s="87" customFormat="1" x14ac:dyDescent="0.2">
      <c r="A1775" s="152"/>
      <c r="B1775" s="683"/>
      <c r="C1775" s="683"/>
      <c r="D1775" s="698"/>
      <c r="E1775" s="215"/>
      <c r="F1775" s="215"/>
      <c r="G1775" s="153"/>
      <c r="H1775" s="153"/>
      <c r="I1775" s="304">
        <v>10</v>
      </c>
      <c r="J1775" s="164">
        <v>180</v>
      </c>
      <c r="K1775" s="150">
        <v>1</v>
      </c>
      <c r="L1775" s="656">
        <v>30</v>
      </c>
      <c r="M1775" s="661">
        <v>33708</v>
      </c>
      <c r="N1775" s="600">
        <v>1.5855112789731738</v>
      </c>
      <c r="O1775" s="117">
        <v>6.6437875184052544E-3</v>
      </c>
      <c r="P1775" s="101"/>
      <c r="Q1775" s="101"/>
      <c r="R1775" s="101"/>
      <c r="S1775" s="101"/>
      <c r="T1775" s="101">
        <v>1.4</v>
      </c>
      <c r="U1775" s="101">
        <v>7.8</v>
      </c>
      <c r="V1775" s="500">
        <v>12.4</v>
      </c>
      <c r="W1775" s="500">
        <v>41.3</v>
      </c>
      <c r="X1775" s="500">
        <v>35.700000000000003</v>
      </c>
      <c r="Y1775" s="500">
        <v>1.4</v>
      </c>
      <c r="Z1775" s="154"/>
      <c r="AA1775" s="154"/>
      <c r="AB1775" s="152"/>
      <c r="AC1775" s="152"/>
      <c r="AD1775" s="223"/>
      <c r="AE1775" s="223"/>
      <c r="AF1775" s="223"/>
      <c r="AG1775" s="223"/>
      <c r="AH1775" s="341"/>
      <c r="AI1775" s="218"/>
      <c r="AJ1775" s="218"/>
      <c r="AK1775" s="153"/>
      <c r="AL1775" s="152"/>
      <c r="AM1775" s="152"/>
      <c r="AN1775" s="152"/>
      <c r="AO1775" s="152"/>
      <c r="AP1775" s="152"/>
      <c r="AQ1775" s="152"/>
      <c r="AR1775" s="152"/>
      <c r="AS1775" s="152"/>
      <c r="AT1775" s="152"/>
      <c r="AU1775" s="153"/>
      <c r="AV1775" s="479"/>
      <c r="AW1775" s="479"/>
      <c r="AX1775" s="442"/>
      <c r="AY1775" s="232"/>
      <c r="AZ1775" s="152"/>
      <c r="BA1775" s="152"/>
      <c r="BB1775" s="152"/>
      <c r="BC1775" s="152"/>
      <c r="BD1775" s="152"/>
      <c r="BE1775" s="152"/>
      <c r="BF1775" s="152"/>
      <c r="BG1775" s="152"/>
      <c r="BH1775" s="152"/>
      <c r="BI1775" s="153"/>
      <c r="BJ1775" s="153"/>
      <c r="BK1775" s="153"/>
      <c r="BL1775" s="153"/>
      <c r="BM1775" s="153"/>
      <c r="BN1775" s="153"/>
      <c r="BO1775" s="153"/>
      <c r="BP1775" s="153"/>
      <c r="BQ1775" s="153"/>
      <c r="BR1775" s="153"/>
      <c r="BS1775" s="153"/>
      <c r="BT1775" s="153"/>
      <c r="BU1775" s="153"/>
      <c r="BV1775" s="153"/>
      <c r="BW1775" s="153"/>
      <c r="BX1775" s="153"/>
      <c r="BY1775" s="153"/>
      <c r="BZ1775" s="153"/>
      <c r="CA1775" s="152"/>
      <c r="CB1775" s="152"/>
    </row>
    <row r="1776" spans="1:80" s="87" customFormat="1" x14ac:dyDescent="0.2">
      <c r="A1776" s="152"/>
      <c r="B1776" s="683"/>
      <c r="C1776" s="683"/>
      <c r="D1776" s="698"/>
      <c r="E1776" s="215"/>
      <c r="F1776" s="215"/>
      <c r="G1776" s="153"/>
      <c r="H1776" s="153"/>
      <c r="I1776" s="305">
        <v>10</v>
      </c>
      <c r="J1776" s="164">
        <v>240</v>
      </c>
      <c r="K1776" s="150">
        <v>1</v>
      </c>
      <c r="L1776" s="656">
        <v>40</v>
      </c>
      <c r="M1776" s="661">
        <v>33714</v>
      </c>
      <c r="N1776" s="600">
        <v>1.6704493832038796</v>
      </c>
      <c r="O1776" s="117">
        <v>7.8507947294899384E-3</v>
      </c>
      <c r="P1776" s="101"/>
      <c r="Q1776" s="101"/>
      <c r="R1776" s="101"/>
      <c r="S1776" s="101"/>
      <c r="T1776" s="101">
        <v>1.1000000000000001</v>
      </c>
      <c r="U1776" s="101">
        <v>14.2</v>
      </c>
      <c r="V1776" s="500">
        <v>37.799999999999997</v>
      </c>
      <c r="W1776" s="500">
        <v>32</v>
      </c>
      <c r="X1776" s="500">
        <v>14.3</v>
      </c>
      <c r="Y1776" s="500">
        <v>0.6</v>
      </c>
      <c r="Z1776" s="154"/>
      <c r="AA1776" s="154"/>
      <c r="AB1776" s="152"/>
      <c r="AC1776" s="152"/>
      <c r="AD1776" s="223"/>
      <c r="AE1776" s="223"/>
      <c r="AF1776" s="223"/>
      <c r="AG1776" s="223"/>
      <c r="AH1776" s="341"/>
      <c r="AI1776" s="218"/>
      <c r="AJ1776" s="218"/>
      <c r="AK1776" s="153"/>
      <c r="AL1776" s="152"/>
      <c r="AM1776" s="152"/>
      <c r="AN1776" s="152"/>
      <c r="AO1776" s="152"/>
      <c r="AP1776" s="152"/>
      <c r="AQ1776" s="152"/>
      <c r="AR1776" s="152"/>
      <c r="AS1776" s="152"/>
      <c r="AT1776" s="152"/>
      <c r="AU1776" s="153"/>
      <c r="AV1776" s="479"/>
      <c r="AW1776" s="479"/>
      <c r="AX1776" s="442"/>
      <c r="AY1776" s="232"/>
      <c r="AZ1776" s="152"/>
      <c r="BA1776" s="152"/>
      <c r="BB1776" s="152"/>
      <c r="BC1776" s="152"/>
      <c r="BD1776" s="152"/>
      <c r="BE1776" s="152"/>
      <c r="BF1776" s="152"/>
      <c r="BG1776" s="152"/>
      <c r="BH1776" s="152"/>
      <c r="BI1776" s="153"/>
      <c r="BJ1776" s="153"/>
      <c r="BK1776" s="153"/>
      <c r="BL1776" s="153"/>
      <c r="BM1776" s="153"/>
      <c r="BN1776" s="153"/>
      <c r="BO1776" s="153"/>
      <c r="BP1776" s="153"/>
      <c r="BQ1776" s="153"/>
      <c r="BR1776" s="153"/>
      <c r="BS1776" s="153"/>
      <c r="BT1776" s="153"/>
      <c r="BU1776" s="153"/>
      <c r="BV1776" s="153"/>
      <c r="BW1776" s="153"/>
      <c r="BX1776" s="153"/>
      <c r="BY1776" s="153"/>
      <c r="BZ1776" s="153"/>
      <c r="CA1776" s="152"/>
      <c r="CB1776" s="152"/>
    </row>
    <row r="1777" spans="1:80" s="87" customFormat="1" x14ac:dyDescent="0.2">
      <c r="A1777" s="152"/>
      <c r="B1777" s="683"/>
      <c r="C1777" s="683"/>
      <c r="D1777" s="698"/>
      <c r="E1777" s="215"/>
      <c r="F1777" s="215"/>
      <c r="G1777" s="153"/>
      <c r="H1777" s="153"/>
      <c r="I1777" s="305">
        <v>10</v>
      </c>
      <c r="J1777" s="164">
        <v>240</v>
      </c>
      <c r="K1777" s="150">
        <v>1</v>
      </c>
      <c r="L1777" s="656">
        <v>40</v>
      </c>
      <c r="M1777" s="661">
        <v>33717</v>
      </c>
      <c r="N1777" s="600">
        <v>1.5288858761527033</v>
      </c>
      <c r="O1777" s="117">
        <v>1.7003058103975536E-3</v>
      </c>
      <c r="P1777" s="101"/>
      <c r="Q1777" s="101"/>
      <c r="R1777" s="101"/>
      <c r="S1777" s="101"/>
      <c r="T1777" s="101">
        <v>3.7</v>
      </c>
      <c r="U1777" s="101">
        <v>18.100000000000001</v>
      </c>
      <c r="V1777" s="500">
        <v>32.1</v>
      </c>
      <c r="W1777" s="500">
        <v>25.7</v>
      </c>
      <c r="X1777" s="500">
        <v>19.399999999999999</v>
      </c>
      <c r="Y1777" s="500">
        <v>1</v>
      </c>
      <c r="Z1777" s="154"/>
      <c r="AA1777" s="154"/>
      <c r="AB1777" s="152"/>
      <c r="AC1777" s="152"/>
      <c r="AD1777" s="223"/>
      <c r="AE1777" s="223"/>
      <c r="AF1777" s="223"/>
      <c r="AG1777" s="223"/>
      <c r="AH1777" s="341"/>
      <c r="AI1777" s="218"/>
      <c r="AJ1777" s="218"/>
      <c r="AK1777" s="153"/>
      <c r="AL1777" s="152"/>
      <c r="AM1777" s="152"/>
      <c r="AN1777" s="152"/>
      <c r="AO1777" s="152"/>
      <c r="AP1777" s="152"/>
      <c r="AQ1777" s="152"/>
      <c r="AR1777" s="152"/>
      <c r="AS1777" s="152"/>
      <c r="AT1777" s="152"/>
      <c r="AU1777" s="153"/>
      <c r="AV1777" s="479"/>
      <c r="AW1777" s="479"/>
      <c r="AX1777" s="442"/>
      <c r="AY1777" s="232"/>
      <c r="AZ1777" s="152"/>
      <c r="BA1777" s="152"/>
      <c r="BB1777" s="152"/>
      <c r="BC1777" s="152"/>
      <c r="BD1777" s="152"/>
      <c r="BE1777" s="152"/>
      <c r="BF1777" s="152"/>
      <c r="BG1777" s="152"/>
      <c r="BH1777" s="152"/>
      <c r="BI1777" s="153"/>
      <c r="BJ1777" s="153"/>
      <c r="BK1777" s="153"/>
      <c r="BL1777" s="153"/>
      <c r="BM1777" s="153"/>
      <c r="BN1777" s="153"/>
      <c r="BO1777" s="153"/>
      <c r="BP1777" s="153"/>
      <c r="BQ1777" s="153"/>
      <c r="BR1777" s="153"/>
      <c r="BS1777" s="153"/>
      <c r="BT1777" s="153"/>
      <c r="BU1777" s="153"/>
      <c r="BV1777" s="153"/>
      <c r="BW1777" s="153"/>
      <c r="BX1777" s="153"/>
      <c r="BY1777" s="153"/>
      <c r="BZ1777" s="153"/>
      <c r="CA1777" s="152"/>
      <c r="CB1777" s="152"/>
    </row>
    <row r="1778" spans="1:80" s="87" customFormat="1" x14ac:dyDescent="0.2">
      <c r="A1778" s="152"/>
      <c r="B1778" s="683"/>
      <c r="C1778" s="683"/>
      <c r="D1778" s="698"/>
      <c r="E1778" s="215"/>
      <c r="F1778" s="215"/>
      <c r="G1778" s="153"/>
      <c r="H1778" s="153"/>
      <c r="I1778" s="305">
        <v>10</v>
      </c>
      <c r="J1778" s="164">
        <v>240</v>
      </c>
      <c r="K1778" s="150">
        <v>1</v>
      </c>
      <c r="L1778" s="656">
        <v>40</v>
      </c>
      <c r="M1778" s="661">
        <v>33721</v>
      </c>
      <c r="N1778" s="600">
        <v>2.1517653071778788</v>
      </c>
      <c r="O1778" s="117">
        <v>6.2449503530033609E-3</v>
      </c>
      <c r="P1778" s="101"/>
      <c r="Q1778" s="101"/>
      <c r="R1778" s="101"/>
      <c r="S1778" s="101"/>
      <c r="T1778" s="101"/>
      <c r="U1778" s="101">
        <v>8.3000000000000007</v>
      </c>
      <c r="V1778" s="500">
        <v>25</v>
      </c>
      <c r="W1778" s="500">
        <v>36.5</v>
      </c>
      <c r="X1778" s="500">
        <v>28.9</v>
      </c>
      <c r="Y1778" s="500">
        <v>1.3</v>
      </c>
      <c r="Z1778" s="154"/>
      <c r="AA1778" s="154"/>
      <c r="AB1778" s="152"/>
      <c r="AC1778" s="152"/>
      <c r="AD1778" s="223"/>
      <c r="AE1778" s="223"/>
      <c r="AF1778" s="223"/>
      <c r="AG1778" s="223"/>
      <c r="AH1778" s="341"/>
      <c r="AI1778" s="218"/>
      <c r="AJ1778" s="218"/>
      <c r="AK1778" s="153"/>
      <c r="AL1778" s="152"/>
      <c r="AM1778" s="152"/>
      <c r="AN1778" s="152"/>
      <c r="AO1778" s="152"/>
      <c r="AP1778" s="152"/>
      <c r="AQ1778" s="152"/>
      <c r="AR1778" s="152"/>
      <c r="AS1778" s="152"/>
      <c r="AT1778" s="152"/>
      <c r="AU1778" s="153"/>
      <c r="AV1778" s="479"/>
      <c r="AW1778" s="479"/>
      <c r="AX1778" s="442"/>
      <c r="AY1778" s="232"/>
      <c r="AZ1778" s="152"/>
      <c r="BA1778" s="152"/>
      <c r="BB1778" s="152"/>
      <c r="BC1778" s="152"/>
      <c r="BD1778" s="152"/>
      <c r="BE1778" s="152"/>
      <c r="BF1778" s="152"/>
      <c r="BG1778" s="152"/>
      <c r="BH1778" s="152"/>
      <c r="BI1778" s="153"/>
      <c r="BJ1778" s="153"/>
      <c r="BK1778" s="153"/>
      <c r="BL1778" s="153"/>
      <c r="BM1778" s="153"/>
      <c r="BN1778" s="153"/>
      <c r="BO1778" s="153"/>
      <c r="BP1778" s="153"/>
      <c r="BQ1778" s="153"/>
      <c r="BR1778" s="153"/>
      <c r="BS1778" s="153"/>
      <c r="BT1778" s="153"/>
      <c r="BU1778" s="153"/>
      <c r="BV1778" s="153"/>
      <c r="BW1778" s="153"/>
      <c r="BX1778" s="153"/>
      <c r="BY1778" s="153"/>
      <c r="BZ1778" s="153"/>
      <c r="CA1778" s="152"/>
      <c r="CB1778" s="152"/>
    </row>
    <row r="1779" spans="1:80" s="87" customFormat="1" x14ac:dyDescent="0.2">
      <c r="A1779" s="152"/>
      <c r="B1779" s="683"/>
      <c r="C1779" s="683"/>
      <c r="D1779" s="698"/>
      <c r="E1779" s="215"/>
      <c r="F1779" s="215"/>
      <c r="G1779" s="153"/>
      <c r="H1779" s="153"/>
      <c r="I1779" s="305">
        <v>11</v>
      </c>
      <c r="J1779" s="164">
        <v>180</v>
      </c>
      <c r="K1779" s="150">
        <v>1</v>
      </c>
      <c r="L1779" s="656">
        <v>33</v>
      </c>
      <c r="M1779" s="661">
        <v>33722</v>
      </c>
      <c r="N1779" s="600">
        <v>2.4915177241007016</v>
      </c>
      <c r="O1779" s="117">
        <v>1.9207158228564954E-2</v>
      </c>
      <c r="P1779" s="101"/>
      <c r="Q1779" s="101"/>
      <c r="R1779" s="101"/>
      <c r="S1779" s="101"/>
      <c r="T1779" s="101">
        <v>8.4</v>
      </c>
      <c r="U1779" s="101">
        <v>23.2</v>
      </c>
      <c r="V1779" s="500">
        <v>30.6</v>
      </c>
      <c r="W1779" s="500">
        <v>22</v>
      </c>
      <c r="X1779" s="500">
        <v>14.9</v>
      </c>
      <c r="Y1779" s="500">
        <v>0.9</v>
      </c>
      <c r="Z1779" s="154"/>
      <c r="AA1779" s="154"/>
      <c r="AB1779" s="152"/>
      <c r="AC1779" s="152"/>
      <c r="AD1779" s="223"/>
      <c r="AE1779" s="223"/>
      <c r="AF1779" s="223"/>
      <c r="AG1779" s="223"/>
      <c r="AH1779" s="341"/>
      <c r="AI1779" s="218"/>
      <c r="AJ1779" s="218"/>
      <c r="AK1779" s="153"/>
      <c r="AL1779" s="152"/>
      <c r="AM1779" s="152"/>
      <c r="AN1779" s="152"/>
      <c r="AO1779" s="152"/>
      <c r="AP1779" s="152"/>
      <c r="AQ1779" s="152"/>
      <c r="AR1779" s="152"/>
      <c r="AS1779" s="152"/>
      <c r="AT1779" s="152"/>
      <c r="AU1779" s="153"/>
      <c r="AV1779" s="479"/>
      <c r="AW1779" s="479"/>
      <c r="AX1779" s="442"/>
      <c r="AY1779" s="232"/>
      <c r="AZ1779" s="152"/>
      <c r="BA1779" s="152"/>
      <c r="BB1779" s="152"/>
      <c r="BC1779" s="152"/>
      <c r="BD1779" s="152"/>
      <c r="BE1779" s="152"/>
      <c r="BF1779" s="152"/>
      <c r="BG1779" s="152"/>
      <c r="BH1779" s="152"/>
      <c r="BI1779" s="153"/>
      <c r="BJ1779" s="153"/>
      <c r="BK1779" s="153"/>
      <c r="BL1779" s="153"/>
      <c r="BM1779" s="153"/>
      <c r="BN1779" s="153"/>
      <c r="BO1779" s="153"/>
      <c r="BP1779" s="153"/>
      <c r="BQ1779" s="153"/>
      <c r="BR1779" s="153"/>
      <c r="BS1779" s="153"/>
      <c r="BT1779" s="153"/>
      <c r="BU1779" s="153"/>
      <c r="BV1779" s="153"/>
      <c r="BW1779" s="153"/>
      <c r="BX1779" s="153"/>
      <c r="BY1779" s="153"/>
      <c r="BZ1779" s="153"/>
      <c r="CA1779" s="152"/>
      <c r="CB1779" s="152"/>
    </row>
    <row r="1780" spans="1:80" s="87" customFormat="1" x14ac:dyDescent="0.2">
      <c r="A1780" s="152"/>
      <c r="B1780" s="683"/>
      <c r="C1780" s="683"/>
      <c r="D1780" s="698"/>
      <c r="E1780" s="215"/>
      <c r="F1780" s="215"/>
      <c r="G1780" s="153"/>
      <c r="H1780" s="153"/>
      <c r="I1780" s="305">
        <v>11</v>
      </c>
      <c r="J1780" s="164">
        <v>120</v>
      </c>
      <c r="K1780" s="150">
        <v>1</v>
      </c>
      <c r="L1780" s="656">
        <v>22</v>
      </c>
      <c r="M1780" s="661">
        <v>33728</v>
      </c>
      <c r="N1780" s="600">
        <v>3.2276479607668183</v>
      </c>
      <c r="O1780" s="117">
        <v>6.717257522558237E-2</v>
      </c>
      <c r="P1780" s="101"/>
      <c r="Q1780" s="101"/>
      <c r="R1780" s="101">
        <v>1.1000000000000001</v>
      </c>
      <c r="S1780" s="101"/>
      <c r="T1780" s="101">
        <v>8.4</v>
      </c>
      <c r="U1780" s="101">
        <v>31.9</v>
      </c>
      <c r="V1780" s="500">
        <v>35.1</v>
      </c>
      <c r="W1780" s="500">
        <v>16.3</v>
      </c>
      <c r="X1780" s="500">
        <v>6.8</v>
      </c>
      <c r="Y1780" s="500">
        <v>0.4</v>
      </c>
      <c r="Z1780" s="154"/>
      <c r="AA1780" s="154"/>
      <c r="AB1780" s="152"/>
      <c r="AC1780" s="152"/>
      <c r="AD1780" s="223"/>
      <c r="AE1780" s="223"/>
      <c r="AF1780" s="223"/>
      <c r="AG1780" s="223"/>
      <c r="AH1780" s="341"/>
      <c r="AI1780" s="218"/>
      <c r="AJ1780" s="218"/>
      <c r="AK1780" s="153"/>
      <c r="AL1780" s="152"/>
      <c r="AM1780" s="152"/>
      <c r="AN1780" s="152"/>
      <c r="AO1780" s="152"/>
      <c r="AP1780" s="152"/>
      <c r="AQ1780" s="152"/>
      <c r="AR1780" s="152"/>
      <c r="AS1780" s="152"/>
      <c r="AT1780" s="152"/>
      <c r="AU1780" s="153"/>
      <c r="AV1780" s="479"/>
      <c r="AW1780" s="479"/>
      <c r="AX1780" s="442"/>
      <c r="AY1780" s="232"/>
      <c r="AZ1780" s="152"/>
      <c r="BA1780" s="152"/>
      <c r="BB1780" s="152"/>
      <c r="BC1780" s="152"/>
      <c r="BD1780" s="152"/>
      <c r="BE1780" s="152"/>
      <c r="BF1780" s="152"/>
      <c r="BG1780" s="152"/>
      <c r="BH1780" s="152"/>
      <c r="BI1780" s="153"/>
      <c r="BJ1780" s="153"/>
      <c r="BK1780" s="153"/>
      <c r="BL1780" s="153"/>
      <c r="BM1780" s="153"/>
      <c r="BN1780" s="153"/>
      <c r="BO1780" s="153"/>
      <c r="BP1780" s="153"/>
      <c r="BQ1780" s="153"/>
      <c r="BR1780" s="153"/>
      <c r="BS1780" s="153"/>
      <c r="BT1780" s="153"/>
      <c r="BU1780" s="153"/>
      <c r="BV1780" s="153"/>
      <c r="BW1780" s="153"/>
      <c r="BX1780" s="153"/>
      <c r="BY1780" s="153"/>
      <c r="BZ1780" s="153"/>
      <c r="CA1780" s="152"/>
      <c r="CB1780" s="152"/>
    </row>
    <row r="1781" spans="1:80" s="87" customFormat="1" x14ac:dyDescent="0.2">
      <c r="A1781" s="152"/>
      <c r="B1781" s="683"/>
      <c r="C1781" s="683"/>
      <c r="D1781" s="698"/>
      <c r="E1781" s="215"/>
      <c r="F1781" s="215"/>
      <c r="G1781" s="153"/>
      <c r="H1781" s="153"/>
      <c r="I1781" s="305">
        <v>11</v>
      </c>
      <c r="J1781" s="164">
        <v>120</v>
      </c>
      <c r="K1781" s="150">
        <v>1</v>
      </c>
      <c r="L1781" s="656">
        <v>22</v>
      </c>
      <c r="M1781" s="661">
        <v>33730</v>
      </c>
      <c r="N1781" s="600">
        <v>3.9354654960226996</v>
      </c>
      <c r="O1781" s="117">
        <v>7.7563332955789639E-3</v>
      </c>
      <c r="P1781" s="101"/>
      <c r="Q1781" s="101"/>
      <c r="R1781" s="101"/>
      <c r="S1781" s="101">
        <v>1.7</v>
      </c>
      <c r="T1781" s="101">
        <v>9</v>
      </c>
      <c r="U1781" s="101">
        <v>24.5</v>
      </c>
      <c r="V1781" s="500">
        <v>28.6</v>
      </c>
      <c r="W1781" s="500">
        <v>19.5</v>
      </c>
      <c r="X1781" s="500">
        <v>15.6</v>
      </c>
      <c r="Y1781" s="500">
        <v>1.1000000000000001</v>
      </c>
      <c r="Z1781" s="154"/>
      <c r="AA1781" s="154"/>
      <c r="AB1781" s="152"/>
      <c r="AC1781" s="152"/>
      <c r="AD1781" s="223"/>
      <c r="AE1781" s="223"/>
      <c r="AF1781" s="223"/>
      <c r="AG1781" s="223"/>
      <c r="AH1781" s="341"/>
      <c r="AI1781" s="218"/>
      <c r="AJ1781" s="218"/>
      <c r="AK1781" s="153"/>
      <c r="AL1781" s="152"/>
      <c r="AM1781" s="152"/>
      <c r="AN1781" s="152"/>
      <c r="AO1781" s="152"/>
      <c r="AP1781" s="152"/>
      <c r="AQ1781" s="152"/>
      <c r="AR1781" s="152"/>
      <c r="AS1781" s="152"/>
      <c r="AT1781" s="152"/>
      <c r="AU1781" s="153"/>
      <c r="AV1781" s="479"/>
      <c r="AW1781" s="479"/>
      <c r="AX1781" s="442"/>
      <c r="AY1781" s="232"/>
      <c r="AZ1781" s="152"/>
      <c r="BA1781" s="152"/>
      <c r="BB1781" s="152"/>
      <c r="BC1781" s="152"/>
      <c r="BD1781" s="152"/>
      <c r="BE1781" s="152"/>
      <c r="BF1781" s="152"/>
      <c r="BG1781" s="152"/>
      <c r="BH1781" s="152"/>
      <c r="BI1781" s="153"/>
      <c r="BJ1781" s="153"/>
      <c r="BK1781" s="153"/>
      <c r="BL1781" s="153"/>
      <c r="BM1781" s="153"/>
      <c r="BN1781" s="153"/>
      <c r="BO1781" s="153"/>
      <c r="BP1781" s="153"/>
      <c r="BQ1781" s="153"/>
      <c r="BR1781" s="153"/>
      <c r="BS1781" s="153"/>
      <c r="BT1781" s="153"/>
      <c r="BU1781" s="153"/>
      <c r="BV1781" s="153"/>
      <c r="BW1781" s="153"/>
      <c r="BX1781" s="153"/>
      <c r="BY1781" s="153"/>
      <c r="BZ1781" s="153"/>
      <c r="CA1781" s="152"/>
      <c r="CB1781" s="152"/>
    </row>
    <row r="1782" spans="1:80" s="87" customFormat="1" x14ac:dyDescent="0.2">
      <c r="A1782" s="152"/>
      <c r="B1782" s="683"/>
      <c r="C1782" s="683"/>
      <c r="D1782" s="698"/>
      <c r="E1782" s="215"/>
      <c r="F1782" s="215"/>
      <c r="G1782" s="153"/>
      <c r="H1782" s="153"/>
      <c r="I1782" s="305">
        <v>11</v>
      </c>
      <c r="J1782" s="164">
        <v>240</v>
      </c>
      <c r="K1782" s="150">
        <v>1</v>
      </c>
      <c r="L1782" s="656">
        <v>44</v>
      </c>
      <c r="M1782" s="661">
        <v>33735</v>
      </c>
      <c r="N1782" s="600">
        <v>2.4915177241007016</v>
      </c>
      <c r="O1782" s="117">
        <v>5.3738060180465886E-3</v>
      </c>
      <c r="P1782" s="101"/>
      <c r="Q1782" s="101"/>
      <c r="R1782" s="101"/>
      <c r="S1782" s="101"/>
      <c r="T1782" s="101"/>
      <c r="U1782" s="101">
        <v>12.8</v>
      </c>
      <c r="V1782" s="500">
        <v>26.1</v>
      </c>
      <c r="W1782" s="500">
        <v>27.9</v>
      </c>
      <c r="X1782" s="500">
        <v>32.200000000000003</v>
      </c>
      <c r="Y1782" s="500">
        <v>1.1000000000000001</v>
      </c>
      <c r="Z1782" s="154"/>
      <c r="AA1782" s="154"/>
      <c r="AB1782" s="152"/>
      <c r="AC1782" s="152"/>
      <c r="AD1782" s="223"/>
      <c r="AE1782" s="223"/>
      <c r="AF1782" s="223"/>
      <c r="AG1782" s="223"/>
      <c r="AH1782" s="341"/>
      <c r="AI1782" s="218"/>
      <c r="AJ1782" s="218"/>
      <c r="AK1782" s="153"/>
      <c r="AL1782" s="152"/>
      <c r="AM1782" s="152"/>
      <c r="AN1782" s="152"/>
      <c r="AO1782" s="152"/>
      <c r="AP1782" s="152"/>
      <c r="AQ1782" s="152"/>
      <c r="AR1782" s="152"/>
      <c r="AS1782" s="152"/>
      <c r="AT1782" s="152"/>
      <c r="AU1782" s="153"/>
      <c r="AV1782" s="479"/>
      <c r="AW1782" s="479"/>
      <c r="AX1782" s="442"/>
      <c r="AY1782" s="232"/>
      <c r="AZ1782" s="152"/>
      <c r="BA1782" s="152"/>
      <c r="BB1782" s="152"/>
      <c r="BC1782" s="152"/>
      <c r="BD1782" s="152"/>
      <c r="BE1782" s="152"/>
      <c r="BF1782" s="152"/>
      <c r="BG1782" s="152"/>
      <c r="BH1782" s="152"/>
      <c r="BI1782" s="153"/>
      <c r="BJ1782" s="153"/>
      <c r="BK1782" s="153"/>
      <c r="BL1782" s="153"/>
      <c r="BM1782" s="153"/>
      <c r="BN1782" s="153"/>
      <c r="BO1782" s="153"/>
      <c r="BP1782" s="153"/>
      <c r="BQ1782" s="153"/>
      <c r="BR1782" s="153"/>
      <c r="BS1782" s="153"/>
      <c r="BT1782" s="153"/>
      <c r="BU1782" s="153"/>
      <c r="BV1782" s="153"/>
      <c r="BW1782" s="153"/>
      <c r="BX1782" s="153"/>
      <c r="BY1782" s="153"/>
      <c r="BZ1782" s="153"/>
      <c r="CA1782" s="152"/>
      <c r="CB1782" s="152"/>
    </row>
    <row r="1783" spans="1:80" s="87" customFormat="1" x14ac:dyDescent="0.2">
      <c r="A1783" s="152"/>
      <c r="B1783" s="683"/>
      <c r="C1783" s="683"/>
      <c r="D1783" s="698"/>
      <c r="E1783" s="215"/>
      <c r="F1783" s="215"/>
      <c r="G1783" s="153"/>
      <c r="H1783" s="153"/>
      <c r="I1783" s="305">
        <v>11</v>
      </c>
      <c r="J1783" s="164">
        <v>240</v>
      </c>
      <c r="K1783" s="150">
        <v>1</v>
      </c>
      <c r="L1783" s="656">
        <v>44</v>
      </c>
      <c r="M1783" s="661">
        <v>33736</v>
      </c>
      <c r="N1783" s="600">
        <v>2.0951399043574082</v>
      </c>
      <c r="O1783" s="117">
        <v>3.3691244761581154E-3</v>
      </c>
      <c r="P1783" s="101"/>
      <c r="Q1783" s="101"/>
      <c r="R1783" s="101"/>
      <c r="S1783" s="101"/>
      <c r="T1783" s="101"/>
      <c r="U1783" s="101">
        <v>20.100000000000001</v>
      </c>
      <c r="V1783" s="500">
        <v>13.7</v>
      </c>
      <c r="W1783" s="500">
        <v>35.9</v>
      </c>
      <c r="X1783" s="500">
        <v>27.5</v>
      </c>
      <c r="Y1783" s="500">
        <v>2.8</v>
      </c>
      <c r="Z1783" s="154"/>
      <c r="AA1783" s="154"/>
      <c r="AB1783" s="152"/>
      <c r="AC1783" s="152"/>
      <c r="AD1783" s="223"/>
      <c r="AE1783" s="223"/>
      <c r="AF1783" s="223"/>
      <c r="AG1783" s="223"/>
      <c r="AH1783" s="341"/>
      <c r="AI1783" s="218"/>
      <c r="AJ1783" s="218"/>
      <c r="AK1783" s="153"/>
      <c r="AL1783" s="152"/>
      <c r="AM1783" s="152"/>
      <c r="AN1783" s="152"/>
      <c r="AO1783" s="152"/>
      <c r="AP1783" s="152"/>
      <c r="AQ1783" s="152"/>
      <c r="AR1783" s="152"/>
      <c r="AS1783" s="152"/>
      <c r="AT1783" s="152"/>
      <c r="AU1783" s="153"/>
      <c r="AV1783" s="479"/>
      <c r="AW1783" s="479"/>
      <c r="AX1783" s="442"/>
      <c r="AY1783" s="232"/>
      <c r="AZ1783" s="152"/>
      <c r="BA1783" s="152"/>
      <c r="BB1783" s="152"/>
      <c r="BC1783" s="152"/>
      <c r="BD1783" s="152"/>
      <c r="BE1783" s="152"/>
      <c r="BF1783" s="152"/>
      <c r="BG1783" s="152"/>
      <c r="BH1783" s="152"/>
      <c r="BI1783" s="153"/>
      <c r="BJ1783" s="153"/>
      <c r="BK1783" s="153"/>
      <c r="BL1783" s="153"/>
      <c r="BM1783" s="153"/>
      <c r="BN1783" s="153"/>
      <c r="BO1783" s="153"/>
      <c r="BP1783" s="153"/>
      <c r="BQ1783" s="153"/>
      <c r="BR1783" s="153"/>
      <c r="BS1783" s="153"/>
      <c r="BT1783" s="153"/>
      <c r="BU1783" s="153"/>
      <c r="BV1783" s="153"/>
      <c r="BW1783" s="153"/>
      <c r="BX1783" s="153"/>
      <c r="BY1783" s="153"/>
      <c r="BZ1783" s="153"/>
      <c r="CA1783" s="152"/>
      <c r="CB1783" s="152"/>
    </row>
    <row r="1784" spans="1:80" s="87" customFormat="1" x14ac:dyDescent="0.2">
      <c r="A1784" s="152"/>
      <c r="B1784" s="683"/>
      <c r="C1784" s="683"/>
      <c r="D1784" s="698"/>
      <c r="E1784" s="215"/>
      <c r="F1784" s="215"/>
      <c r="G1784" s="153"/>
      <c r="H1784" s="153"/>
      <c r="I1784" s="305">
        <v>10</v>
      </c>
      <c r="J1784" s="164">
        <v>240</v>
      </c>
      <c r="K1784" s="150">
        <v>1</v>
      </c>
      <c r="L1784" s="656">
        <v>40</v>
      </c>
      <c r="M1784" s="661">
        <v>33738</v>
      </c>
      <c r="N1784" s="600">
        <v>2.1517653071778788</v>
      </c>
      <c r="O1784" s="117">
        <v>3.8204402159549965E-3</v>
      </c>
      <c r="P1784" s="101"/>
      <c r="Q1784" s="101"/>
      <c r="R1784" s="101"/>
      <c r="S1784" s="101"/>
      <c r="T1784" s="101"/>
      <c r="U1784" s="101">
        <v>16.100000000000001</v>
      </c>
      <c r="V1784" s="500">
        <v>30.5</v>
      </c>
      <c r="W1784" s="500">
        <v>32.200000000000003</v>
      </c>
      <c r="X1784" s="500">
        <v>19.8</v>
      </c>
      <c r="Y1784" s="500">
        <v>1.4</v>
      </c>
      <c r="Z1784" s="154"/>
      <c r="AA1784" s="154"/>
      <c r="AB1784" s="152"/>
      <c r="AC1784" s="152"/>
      <c r="AD1784" s="223">
        <v>8.84</v>
      </c>
      <c r="AE1784" s="223">
        <v>0.26</v>
      </c>
      <c r="AF1784" s="223">
        <v>2.31</v>
      </c>
      <c r="AG1784" s="223">
        <v>0.85</v>
      </c>
      <c r="AH1784" s="341"/>
      <c r="AI1784" s="218"/>
      <c r="AJ1784" s="218"/>
      <c r="AK1784" s="153"/>
      <c r="AL1784" s="152"/>
      <c r="AM1784" s="152"/>
      <c r="AN1784" s="152"/>
      <c r="AO1784" s="152"/>
      <c r="AP1784" s="152"/>
      <c r="AQ1784" s="152"/>
      <c r="AR1784" s="152"/>
      <c r="AS1784" s="152"/>
      <c r="AT1784" s="152"/>
      <c r="AU1784" s="153"/>
      <c r="AV1784" s="479"/>
      <c r="AW1784" s="479"/>
      <c r="AX1784" s="442"/>
      <c r="AY1784" s="232"/>
      <c r="AZ1784" s="152"/>
      <c r="BA1784" s="152"/>
      <c r="BB1784" s="152"/>
      <c r="BC1784" s="152"/>
      <c r="BD1784" s="152"/>
      <c r="BE1784" s="152"/>
      <c r="BF1784" s="152"/>
      <c r="BG1784" s="152"/>
      <c r="BH1784" s="152"/>
      <c r="BI1784" s="153"/>
      <c r="BJ1784" s="153"/>
      <c r="BK1784" s="153"/>
      <c r="BL1784" s="153"/>
      <c r="BM1784" s="153"/>
      <c r="BN1784" s="153"/>
      <c r="BO1784" s="153"/>
      <c r="BP1784" s="153"/>
      <c r="BQ1784" s="153"/>
      <c r="BR1784" s="153"/>
      <c r="BS1784" s="153"/>
      <c r="BT1784" s="153"/>
      <c r="BU1784" s="153"/>
      <c r="BV1784" s="153"/>
      <c r="BW1784" s="153"/>
      <c r="BX1784" s="153"/>
      <c r="BY1784" s="153"/>
      <c r="BZ1784" s="153"/>
      <c r="CA1784" s="152"/>
      <c r="CB1784" s="152"/>
    </row>
    <row r="1785" spans="1:80" s="87" customFormat="1" x14ac:dyDescent="0.2">
      <c r="A1785" s="152"/>
      <c r="B1785" s="683"/>
      <c r="C1785" s="683"/>
      <c r="D1785" s="698"/>
      <c r="E1785" s="215"/>
      <c r="F1785" s="215"/>
      <c r="G1785" s="153"/>
      <c r="H1785" s="153"/>
      <c r="I1785" s="305">
        <v>10</v>
      </c>
      <c r="J1785" s="164">
        <v>240</v>
      </c>
      <c r="K1785" s="150">
        <v>1</v>
      </c>
      <c r="L1785" s="656">
        <v>40</v>
      </c>
      <c r="M1785" s="661">
        <v>33742</v>
      </c>
      <c r="N1785" s="600">
        <v>1.7553874874345854</v>
      </c>
      <c r="O1785" s="117">
        <v>3.1697058934571673E-3</v>
      </c>
      <c r="P1785" s="101"/>
      <c r="Q1785" s="101"/>
      <c r="R1785" s="101"/>
      <c r="S1785" s="101"/>
      <c r="T1785" s="101">
        <v>2.6</v>
      </c>
      <c r="U1785" s="101">
        <v>10.199999999999999</v>
      </c>
      <c r="V1785" s="500">
        <v>26.4</v>
      </c>
      <c r="W1785" s="500">
        <v>34.5</v>
      </c>
      <c r="X1785" s="500">
        <v>25.1</v>
      </c>
      <c r="Y1785" s="500">
        <v>1.2</v>
      </c>
      <c r="Z1785" s="154"/>
      <c r="AA1785" s="154"/>
      <c r="AB1785" s="152"/>
      <c r="AC1785" s="152"/>
      <c r="AD1785" s="223"/>
      <c r="AE1785" s="223"/>
      <c r="AF1785" s="223"/>
      <c r="AG1785" s="223"/>
      <c r="AH1785" s="341"/>
      <c r="AI1785" s="218"/>
      <c r="AJ1785" s="218"/>
      <c r="AK1785" s="153"/>
      <c r="AL1785" s="152"/>
      <c r="AM1785" s="152"/>
      <c r="AN1785" s="152"/>
      <c r="AO1785" s="152"/>
      <c r="AP1785" s="152"/>
      <c r="AQ1785" s="152"/>
      <c r="AR1785" s="152"/>
      <c r="AS1785" s="152"/>
      <c r="AT1785" s="152"/>
      <c r="AU1785" s="153"/>
      <c r="AV1785" s="479"/>
      <c r="AW1785" s="479"/>
      <c r="AX1785" s="442"/>
      <c r="AY1785" s="232"/>
      <c r="AZ1785" s="152"/>
      <c r="BA1785" s="152"/>
      <c r="BB1785" s="152"/>
      <c r="BC1785" s="152"/>
      <c r="BD1785" s="152"/>
      <c r="BE1785" s="152"/>
      <c r="BF1785" s="152"/>
      <c r="BG1785" s="152"/>
      <c r="BH1785" s="152"/>
      <c r="BI1785" s="153"/>
      <c r="BJ1785" s="153"/>
      <c r="BK1785" s="153"/>
      <c r="BL1785" s="153"/>
      <c r="BM1785" s="153"/>
      <c r="BN1785" s="153"/>
      <c r="BO1785" s="153"/>
      <c r="BP1785" s="153"/>
      <c r="BQ1785" s="153"/>
      <c r="BR1785" s="153"/>
      <c r="BS1785" s="153"/>
      <c r="BT1785" s="153"/>
      <c r="BU1785" s="153"/>
      <c r="BV1785" s="153"/>
      <c r="BW1785" s="153"/>
      <c r="BX1785" s="153"/>
      <c r="BY1785" s="153"/>
      <c r="BZ1785" s="153"/>
      <c r="CA1785" s="152"/>
      <c r="CB1785" s="152"/>
    </row>
    <row r="1786" spans="1:80" s="87" customFormat="1" x14ac:dyDescent="0.2">
      <c r="A1786" s="152"/>
      <c r="B1786" s="683"/>
      <c r="C1786" s="683"/>
      <c r="D1786" s="698"/>
      <c r="E1786" s="215"/>
      <c r="F1786" s="215"/>
      <c r="G1786" s="153"/>
      <c r="H1786" s="153"/>
      <c r="I1786" s="305">
        <v>10</v>
      </c>
      <c r="J1786" s="164">
        <v>240</v>
      </c>
      <c r="K1786" s="150">
        <v>1</v>
      </c>
      <c r="L1786" s="656">
        <v>40</v>
      </c>
      <c r="M1786" s="661">
        <v>33745</v>
      </c>
      <c r="N1786" s="600">
        <v>1.5288858761527033</v>
      </c>
      <c r="O1786" s="117">
        <v>1.9731943972514819E-3</v>
      </c>
      <c r="P1786" s="101"/>
      <c r="Q1786" s="101"/>
      <c r="R1786" s="101"/>
      <c r="S1786" s="101"/>
      <c r="T1786" s="101"/>
      <c r="U1786" s="101">
        <v>23.8</v>
      </c>
      <c r="V1786" s="500">
        <v>36.1</v>
      </c>
      <c r="W1786" s="500">
        <v>27.4</v>
      </c>
      <c r="X1786" s="500">
        <v>11.9</v>
      </c>
      <c r="Y1786" s="500">
        <v>0.7</v>
      </c>
      <c r="Z1786" s="154"/>
      <c r="AA1786" s="154"/>
      <c r="AB1786" s="152"/>
      <c r="AC1786" s="152"/>
      <c r="AD1786" s="223"/>
      <c r="AE1786" s="223"/>
      <c r="AF1786" s="223"/>
      <c r="AG1786" s="223"/>
      <c r="AH1786" s="341"/>
      <c r="AI1786" s="218"/>
      <c r="AJ1786" s="218"/>
      <c r="AK1786" s="153"/>
      <c r="AL1786" s="152"/>
      <c r="AM1786" s="152"/>
      <c r="AN1786" s="152"/>
      <c r="AO1786" s="152"/>
      <c r="AP1786" s="152"/>
      <c r="AQ1786" s="152"/>
      <c r="AR1786" s="152"/>
      <c r="AS1786" s="152"/>
      <c r="AT1786" s="152"/>
      <c r="AU1786" s="153"/>
      <c r="AV1786" s="479"/>
      <c r="AW1786" s="479"/>
      <c r="AX1786" s="442"/>
      <c r="AY1786" s="232"/>
      <c r="AZ1786" s="152"/>
      <c r="BA1786" s="152"/>
      <c r="BB1786" s="152"/>
      <c r="BC1786" s="152"/>
      <c r="BD1786" s="152"/>
      <c r="BE1786" s="152"/>
      <c r="BF1786" s="152"/>
      <c r="BG1786" s="152"/>
      <c r="BH1786" s="152"/>
      <c r="BI1786" s="153"/>
      <c r="BJ1786" s="153"/>
      <c r="BK1786" s="153"/>
      <c r="BL1786" s="153"/>
      <c r="BM1786" s="153"/>
      <c r="BN1786" s="153"/>
      <c r="BO1786" s="153"/>
      <c r="BP1786" s="153"/>
      <c r="BQ1786" s="153"/>
      <c r="BR1786" s="153"/>
      <c r="BS1786" s="153"/>
      <c r="BT1786" s="153"/>
      <c r="BU1786" s="153"/>
      <c r="BV1786" s="153"/>
      <c r="BW1786" s="153"/>
      <c r="BX1786" s="153"/>
      <c r="BY1786" s="153"/>
      <c r="BZ1786" s="153"/>
      <c r="CA1786" s="152"/>
      <c r="CB1786" s="152"/>
    </row>
    <row r="1787" spans="1:80" s="87" customFormat="1" x14ac:dyDescent="0.2">
      <c r="A1787" s="152"/>
      <c r="B1787" s="683"/>
      <c r="C1787" s="683"/>
      <c r="D1787" s="698"/>
      <c r="E1787" s="215"/>
      <c r="F1787" s="215"/>
      <c r="G1787" s="153"/>
      <c r="H1787" s="153"/>
      <c r="I1787" s="305">
        <v>10</v>
      </c>
      <c r="J1787" s="164">
        <v>180</v>
      </c>
      <c r="K1787" s="150">
        <v>1</v>
      </c>
      <c r="L1787" s="656">
        <v>30</v>
      </c>
      <c r="M1787" s="661">
        <v>33750</v>
      </c>
      <c r="N1787" s="600">
        <v>1.1041953549991748</v>
      </c>
      <c r="O1787" s="117">
        <v>2.0991429757994491E-3</v>
      </c>
      <c r="P1787" s="101"/>
      <c r="Q1787" s="101"/>
      <c r="R1787" s="101"/>
      <c r="S1787" s="101"/>
      <c r="T1787" s="101">
        <v>2.5</v>
      </c>
      <c r="U1787" s="101">
        <v>18</v>
      </c>
      <c r="V1787" s="500">
        <v>40.799999999999997</v>
      </c>
      <c r="W1787" s="500">
        <v>28.4</v>
      </c>
      <c r="X1787" s="500">
        <v>9.3000000000000007</v>
      </c>
      <c r="Y1787" s="500">
        <v>1</v>
      </c>
      <c r="Z1787" s="154"/>
      <c r="AA1787" s="154"/>
      <c r="AB1787" s="152"/>
      <c r="AC1787" s="152"/>
      <c r="AD1787" s="223"/>
      <c r="AE1787" s="223"/>
      <c r="AF1787" s="223"/>
      <c r="AG1787" s="223"/>
      <c r="AH1787" s="341"/>
      <c r="AI1787" s="218"/>
      <c r="AJ1787" s="218"/>
      <c r="AK1787" s="153"/>
      <c r="AL1787" s="152"/>
      <c r="AM1787" s="152"/>
      <c r="AN1787" s="152"/>
      <c r="AO1787" s="152"/>
      <c r="AP1787" s="152"/>
      <c r="AQ1787" s="152"/>
      <c r="AR1787" s="152"/>
      <c r="AS1787" s="152"/>
      <c r="AT1787" s="152"/>
      <c r="AU1787" s="153"/>
      <c r="AV1787" s="479"/>
      <c r="AW1787" s="479"/>
      <c r="AX1787" s="442"/>
      <c r="AY1787" s="232"/>
      <c r="AZ1787" s="152"/>
      <c r="BA1787" s="152"/>
      <c r="BB1787" s="152"/>
      <c r="BC1787" s="152"/>
      <c r="BD1787" s="152"/>
      <c r="BE1787" s="152"/>
      <c r="BF1787" s="152"/>
      <c r="BG1787" s="152"/>
      <c r="BH1787" s="152"/>
      <c r="BI1787" s="153"/>
      <c r="BJ1787" s="153"/>
      <c r="BK1787" s="153"/>
      <c r="BL1787" s="153"/>
      <c r="BM1787" s="153"/>
      <c r="BN1787" s="153"/>
      <c r="BO1787" s="153"/>
      <c r="BP1787" s="153"/>
      <c r="BQ1787" s="153"/>
      <c r="BR1787" s="153"/>
      <c r="BS1787" s="153"/>
      <c r="BT1787" s="153"/>
      <c r="BU1787" s="153"/>
      <c r="BV1787" s="153"/>
      <c r="BW1787" s="153"/>
      <c r="BX1787" s="153"/>
      <c r="BY1787" s="153"/>
      <c r="BZ1787" s="153"/>
      <c r="CA1787" s="152"/>
      <c r="CB1787" s="152"/>
    </row>
    <row r="1788" spans="1:80" s="87" customFormat="1" x14ac:dyDescent="0.2">
      <c r="A1788" s="152"/>
      <c r="B1788" s="683"/>
      <c r="C1788" s="683"/>
      <c r="D1788" s="698"/>
      <c r="E1788" s="215"/>
      <c r="F1788" s="215"/>
      <c r="G1788" s="153"/>
      <c r="H1788" s="153"/>
      <c r="I1788" s="305">
        <v>10</v>
      </c>
      <c r="J1788" s="164">
        <v>240</v>
      </c>
      <c r="K1788" s="150">
        <v>1</v>
      </c>
      <c r="L1788" s="656">
        <v>40</v>
      </c>
      <c r="M1788" s="661">
        <v>33752</v>
      </c>
      <c r="N1788" s="600">
        <v>0.99094454935823362</v>
      </c>
      <c r="O1788" s="117">
        <v>2.2460829841054104E-3</v>
      </c>
      <c r="P1788" s="101"/>
      <c r="Q1788" s="101"/>
      <c r="R1788" s="101"/>
      <c r="S1788" s="101"/>
      <c r="T1788" s="101">
        <v>2.8</v>
      </c>
      <c r="U1788" s="101">
        <v>14.8</v>
      </c>
      <c r="V1788" s="500">
        <v>30.9</v>
      </c>
      <c r="W1788" s="500">
        <v>34.299999999999997</v>
      </c>
      <c r="X1788" s="500">
        <v>16.399999999999999</v>
      </c>
      <c r="Y1788" s="500">
        <v>0.9</v>
      </c>
      <c r="Z1788" s="154"/>
      <c r="AA1788" s="154"/>
      <c r="AB1788" s="152"/>
      <c r="AC1788" s="152"/>
      <c r="AD1788" s="223"/>
      <c r="AE1788" s="223"/>
      <c r="AF1788" s="223"/>
      <c r="AG1788" s="223"/>
      <c r="AH1788" s="341"/>
      <c r="AI1788" s="218"/>
      <c r="AJ1788" s="218"/>
      <c r="AK1788" s="153"/>
      <c r="AL1788" s="152"/>
      <c r="AM1788" s="152"/>
      <c r="AN1788" s="152"/>
      <c r="AO1788" s="152"/>
      <c r="AP1788" s="152"/>
      <c r="AQ1788" s="152"/>
      <c r="AR1788" s="152"/>
      <c r="AS1788" s="152"/>
      <c r="AT1788" s="152"/>
      <c r="AU1788" s="153"/>
      <c r="AV1788" s="479"/>
      <c r="AW1788" s="479"/>
      <c r="AX1788" s="442"/>
      <c r="AY1788" s="232"/>
      <c r="AZ1788" s="152"/>
      <c r="BA1788" s="152"/>
      <c r="BB1788" s="152"/>
      <c r="BC1788" s="152"/>
      <c r="BD1788" s="152"/>
      <c r="BE1788" s="152"/>
      <c r="BF1788" s="152"/>
      <c r="BG1788" s="152"/>
      <c r="BH1788" s="152"/>
      <c r="BI1788" s="153"/>
      <c r="BJ1788" s="153"/>
      <c r="BK1788" s="153"/>
      <c r="BL1788" s="153"/>
      <c r="BM1788" s="153"/>
      <c r="BN1788" s="153"/>
      <c r="BO1788" s="153"/>
      <c r="BP1788" s="153"/>
      <c r="BQ1788" s="153"/>
      <c r="BR1788" s="153"/>
      <c r="BS1788" s="153"/>
      <c r="BT1788" s="153"/>
      <c r="BU1788" s="153"/>
      <c r="BV1788" s="153"/>
      <c r="BW1788" s="153"/>
      <c r="BX1788" s="153"/>
      <c r="BY1788" s="153"/>
      <c r="BZ1788" s="153"/>
      <c r="CA1788" s="152"/>
      <c r="CB1788" s="152"/>
    </row>
    <row r="1789" spans="1:80" s="87" customFormat="1" x14ac:dyDescent="0.2">
      <c r="A1789" s="152"/>
      <c r="B1789" s="683"/>
      <c r="C1789" s="683"/>
      <c r="D1789" s="698"/>
      <c r="E1789" s="215"/>
      <c r="F1789" s="215"/>
      <c r="G1789" s="153"/>
      <c r="H1789" s="153"/>
      <c r="I1789" s="305">
        <v>10</v>
      </c>
      <c r="J1789" s="164">
        <v>240</v>
      </c>
      <c r="K1789" s="150">
        <v>1</v>
      </c>
      <c r="L1789" s="656">
        <v>40</v>
      </c>
      <c r="M1789" s="661">
        <v>34079</v>
      </c>
      <c r="N1789" s="600">
        <v>0.48131592397399919</v>
      </c>
      <c r="O1789" s="117">
        <v>2.382527277532375E-4</v>
      </c>
      <c r="P1789" s="101"/>
      <c r="Q1789" s="101"/>
      <c r="R1789" s="101"/>
      <c r="S1789" s="101"/>
      <c r="T1789" s="101"/>
      <c r="U1789" s="101">
        <v>5.3</v>
      </c>
      <c r="V1789" s="500">
        <v>10.6</v>
      </c>
      <c r="W1789" s="500">
        <v>39.299999999999997</v>
      </c>
      <c r="X1789" s="500">
        <v>41.9</v>
      </c>
      <c r="Y1789" s="500">
        <v>2.9</v>
      </c>
      <c r="Z1789" s="154"/>
      <c r="AA1789" s="154"/>
      <c r="AB1789" s="152"/>
      <c r="AC1789" s="152"/>
      <c r="AD1789" s="223"/>
      <c r="AE1789" s="223"/>
      <c r="AF1789" s="223"/>
      <c r="AG1789" s="223"/>
      <c r="AH1789" s="341"/>
      <c r="AI1789" s="218"/>
      <c r="AJ1789" s="218"/>
      <c r="AK1789" s="153"/>
      <c r="AL1789" s="152"/>
      <c r="AM1789" s="152"/>
      <c r="AN1789" s="152"/>
      <c r="AO1789" s="152"/>
      <c r="AP1789" s="152"/>
      <c r="AQ1789" s="152"/>
      <c r="AR1789" s="152"/>
      <c r="AS1789" s="152"/>
      <c r="AT1789" s="152"/>
      <c r="AU1789" s="153"/>
      <c r="AV1789" s="479"/>
      <c r="AW1789" s="479"/>
      <c r="AX1789" s="442"/>
      <c r="AY1789" s="232"/>
      <c r="AZ1789" s="152"/>
      <c r="BA1789" s="152"/>
      <c r="BB1789" s="152"/>
      <c r="BC1789" s="152"/>
      <c r="BD1789" s="152"/>
      <c r="BE1789" s="152"/>
      <c r="BF1789" s="152"/>
      <c r="BG1789" s="152"/>
      <c r="BH1789" s="152"/>
      <c r="BI1789" s="153"/>
      <c r="BJ1789" s="153"/>
      <c r="BK1789" s="153"/>
      <c r="BL1789" s="153"/>
      <c r="BM1789" s="153"/>
      <c r="BN1789" s="153"/>
      <c r="BO1789" s="153"/>
      <c r="BP1789" s="153"/>
      <c r="BQ1789" s="153"/>
      <c r="BR1789" s="153"/>
      <c r="BS1789" s="153"/>
      <c r="BT1789" s="153"/>
      <c r="BU1789" s="153"/>
      <c r="BV1789" s="153"/>
      <c r="BW1789" s="153"/>
      <c r="BX1789" s="153"/>
      <c r="BY1789" s="153"/>
      <c r="BZ1789" s="153"/>
      <c r="CA1789" s="152"/>
      <c r="CB1789" s="152"/>
    </row>
    <row r="1790" spans="1:80" s="87" customFormat="1" x14ac:dyDescent="0.2">
      <c r="A1790" s="152"/>
      <c r="B1790" s="683"/>
      <c r="C1790" s="683"/>
      <c r="D1790" s="698"/>
      <c r="E1790" s="215"/>
      <c r="F1790" s="215"/>
      <c r="G1790" s="153"/>
      <c r="H1790" s="153"/>
      <c r="I1790" s="305">
        <v>10</v>
      </c>
      <c r="J1790" s="164">
        <v>240</v>
      </c>
      <c r="K1790" s="150">
        <v>1</v>
      </c>
      <c r="L1790" s="656">
        <v>40</v>
      </c>
      <c r="M1790" s="661">
        <v>34086</v>
      </c>
      <c r="N1790" s="600">
        <v>0.73613023666611643</v>
      </c>
      <c r="O1790" s="117">
        <v>1.1860157813266886E-3</v>
      </c>
      <c r="P1790" s="101"/>
      <c r="Q1790" s="101"/>
      <c r="R1790" s="101"/>
      <c r="S1790" s="101"/>
      <c r="T1790" s="101">
        <v>8.1</v>
      </c>
      <c r="U1790" s="101">
        <v>19.5</v>
      </c>
      <c r="V1790" s="500">
        <v>35.6</v>
      </c>
      <c r="W1790" s="500">
        <v>27.1</v>
      </c>
      <c r="X1790" s="500">
        <v>9.6999999999999993</v>
      </c>
      <c r="Y1790" s="500">
        <v>0</v>
      </c>
      <c r="Z1790" s="154"/>
      <c r="AA1790" s="154"/>
      <c r="AB1790" s="152"/>
      <c r="AC1790" s="152"/>
      <c r="AD1790" s="223"/>
      <c r="AE1790" s="223"/>
      <c r="AF1790" s="223"/>
      <c r="AG1790" s="223"/>
      <c r="AH1790" s="341"/>
      <c r="AI1790" s="218"/>
      <c r="AJ1790" s="218"/>
      <c r="AK1790" s="153"/>
      <c r="AL1790" s="152"/>
      <c r="AM1790" s="152"/>
      <c r="AN1790" s="152"/>
      <c r="AO1790" s="152"/>
      <c r="AP1790" s="152"/>
      <c r="AQ1790" s="152"/>
      <c r="AR1790" s="152"/>
      <c r="AS1790" s="152"/>
      <c r="AT1790" s="152"/>
      <c r="AU1790" s="153"/>
      <c r="AV1790" s="479"/>
      <c r="AW1790" s="479"/>
      <c r="AX1790" s="442"/>
      <c r="AY1790" s="232"/>
      <c r="AZ1790" s="152"/>
      <c r="BA1790" s="152"/>
      <c r="BB1790" s="152"/>
      <c r="BC1790" s="152"/>
      <c r="BD1790" s="152"/>
      <c r="BE1790" s="152"/>
      <c r="BF1790" s="152"/>
      <c r="BG1790" s="152"/>
      <c r="BH1790" s="152"/>
      <c r="BI1790" s="153"/>
      <c r="BJ1790" s="153"/>
      <c r="BK1790" s="153"/>
      <c r="BL1790" s="153"/>
      <c r="BM1790" s="153"/>
      <c r="BN1790" s="153"/>
      <c r="BO1790" s="153"/>
      <c r="BP1790" s="153"/>
      <c r="BQ1790" s="153"/>
      <c r="BR1790" s="153"/>
      <c r="BS1790" s="153"/>
      <c r="BT1790" s="153"/>
      <c r="BU1790" s="153"/>
      <c r="BV1790" s="153"/>
      <c r="BW1790" s="153"/>
      <c r="BX1790" s="153"/>
      <c r="BY1790" s="153"/>
      <c r="BZ1790" s="153"/>
      <c r="CA1790" s="152"/>
      <c r="CB1790" s="152"/>
    </row>
    <row r="1791" spans="1:80" s="87" customFormat="1" x14ac:dyDescent="0.2">
      <c r="A1791" s="152"/>
      <c r="B1791" s="683"/>
      <c r="C1791" s="683"/>
      <c r="D1791" s="698"/>
      <c r="E1791" s="215"/>
      <c r="F1791" s="215"/>
      <c r="G1791" s="153"/>
      <c r="H1791" s="153"/>
      <c r="I1791" s="305">
        <v>10</v>
      </c>
      <c r="J1791" s="164">
        <v>240</v>
      </c>
      <c r="K1791" s="150">
        <v>1</v>
      </c>
      <c r="L1791" s="656">
        <v>40</v>
      </c>
      <c r="M1791" s="661">
        <v>34095</v>
      </c>
      <c r="N1791" s="600">
        <v>1.4156350705117624</v>
      </c>
      <c r="O1791" s="117">
        <v>1.4798957979386112E-2</v>
      </c>
      <c r="P1791" s="101"/>
      <c r="Q1791" s="101"/>
      <c r="R1791" s="101"/>
      <c r="S1791" s="101"/>
      <c r="T1791" s="101">
        <v>0.6</v>
      </c>
      <c r="U1791" s="101">
        <v>9.1</v>
      </c>
      <c r="V1791" s="500">
        <v>30.3</v>
      </c>
      <c r="W1791" s="500">
        <v>41.2</v>
      </c>
      <c r="X1791" s="500">
        <v>17.8</v>
      </c>
      <c r="Y1791" s="500">
        <v>1</v>
      </c>
      <c r="Z1791" s="154"/>
      <c r="AA1791" s="154"/>
      <c r="AB1791" s="152"/>
      <c r="AC1791" s="152"/>
      <c r="AD1791" s="223"/>
      <c r="AE1791" s="223"/>
      <c r="AF1791" s="223"/>
      <c r="AG1791" s="223"/>
      <c r="AH1791" s="341"/>
      <c r="AI1791" s="218"/>
      <c r="AJ1791" s="218"/>
      <c r="AK1791" s="153"/>
      <c r="AL1791" s="152"/>
      <c r="AM1791" s="152"/>
      <c r="AN1791" s="152"/>
      <c r="AO1791" s="152"/>
      <c r="AP1791" s="152"/>
      <c r="AQ1791" s="152"/>
      <c r="AR1791" s="152"/>
      <c r="AS1791" s="152"/>
      <c r="AT1791" s="152"/>
      <c r="AU1791" s="153"/>
      <c r="AV1791" s="479"/>
      <c r="AW1791" s="479"/>
      <c r="AX1791" s="442"/>
      <c r="AY1791" s="232"/>
      <c r="AZ1791" s="152"/>
      <c r="BA1791" s="152"/>
      <c r="BB1791" s="152"/>
      <c r="BC1791" s="152"/>
      <c r="BD1791" s="152"/>
      <c r="BE1791" s="152"/>
      <c r="BF1791" s="152"/>
      <c r="BG1791" s="152"/>
      <c r="BH1791" s="152"/>
      <c r="BI1791" s="153"/>
      <c r="BJ1791" s="153"/>
      <c r="BK1791" s="153"/>
      <c r="BL1791" s="153"/>
      <c r="BM1791" s="153"/>
      <c r="BN1791" s="153"/>
      <c r="BO1791" s="153"/>
      <c r="BP1791" s="153"/>
      <c r="BQ1791" s="153"/>
      <c r="BR1791" s="153"/>
      <c r="BS1791" s="153"/>
      <c r="BT1791" s="153"/>
      <c r="BU1791" s="153"/>
      <c r="BV1791" s="153"/>
      <c r="BW1791" s="153"/>
      <c r="BX1791" s="153"/>
      <c r="BY1791" s="153"/>
      <c r="BZ1791" s="153"/>
      <c r="CA1791" s="152"/>
      <c r="CB1791" s="152"/>
    </row>
    <row r="1792" spans="1:80" s="87" customFormat="1" x14ac:dyDescent="0.2">
      <c r="A1792" s="152"/>
      <c r="B1792" s="683"/>
      <c r="C1792" s="683"/>
      <c r="D1792" s="698"/>
      <c r="E1792" s="215"/>
      <c r="F1792" s="215"/>
      <c r="G1792" s="153"/>
      <c r="H1792" s="153"/>
      <c r="I1792" s="305">
        <v>11</v>
      </c>
      <c r="J1792" s="164">
        <v>120</v>
      </c>
      <c r="K1792" s="150">
        <v>1</v>
      </c>
      <c r="L1792" s="656">
        <v>22</v>
      </c>
      <c r="M1792" s="661">
        <v>34101</v>
      </c>
      <c r="N1792" s="600">
        <v>3.765589287561288</v>
      </c>
      <c r="O1792" s="117">
        <v>2.2460829841054103E-2</v>
      </c>
      <c r="P1792" s="101"/>
      <c r="Q1792" s="101"/>
      <c r="R1792" s="101"/>
      <c r="S1792" s="101">
        <v>0.4</v>
      </c>
      <c r="T1792" s="101">
        <v>3.4</v>
      </c>
      <c r="U1792" s="101">
        <v>9.3000000000000007</v>
      </c>
      <c r="V1792" s="500">
        <v>22.1</v>
      </c>
      <c r="W1792" s="500">
        <v>32.5</v>
      </c>
      <c r="X1792" s="500">
        <v>28.9</v>
      </c>
      <c r="Y1792" s="500">
        <v>3.4</v>
      </c>
      <c r="Z1792" s="154"/>
      <c r="AA1792" s="154"/>
      <c r="AB1792" s="152"/>
      <c r="AC1792" s="152"/>
      <c r="AD1792" s="223"/>
      <c r="AE1792" s="223"/>
      <c r="AF1792" s="223"/>
      <c r="AG1792" s="223"/>
      <c r="AH1792" s="341"/>
      <c r="AI1792" s="218"/>
      <c r="AJ1792" s="218"/>
      <c r="AK1792" s="153"/>
      <c r="AL1792" s="152"/>
      <c r="AM1792" s="152"/>
      <c r="AN1792" s="152"/>
      <c r="AO1792" s="152"/>
      <c r="AP1792" s="152"/>
      <c r="AQ1792" s="152"/>
      <c r="AR1792" s="152"/>
      <c r="AS1792" s="152"/>
      <c r="AT1792" s="152"/>
      <c r="AU1792" s="153"/>
      <c r="AV1792" s="479"/>
      <c r="AW1792" s="479"/>
      <c r="AX1792" s="442"/>
      <c r="AY1792" s="232"/>
      <c r="AZ1792" s="152"/>
      <c r="BA1792" s="152"/>
      <c r="BB1792" s="152"/>
      <c r="BC1792" s="152"/>
      <c r="BD1792" s="152"/>
      <c r="BE1792" s="152"/>
      <c r="BF1792" s="152"/>
      <c r="BG1792" s="152"/>
      <c r="BH1792" s="152"/>
      <c r="BI1792" s="153"/>
      <c r="BJ1792" s="153"/>
      <c r="BK1792" s="153"/>
      <c r="BL1792" s="153"/>
      <c r="BM1792" s="153"/>
      <c r="BN1792" s="153"/>
      <c r="BO1792" s="153"/>
      <c r="BP1792" s="153"/>
      <c r="BQ1792" s="153"/>
      <c r="BR1792" s="153"/>
      <c r="BS1792" s="153"/>
      <c r="BT1792" s="153"/>
      <c r="BU1792" s="153"/>
      <c r="BV1792" s="153"/>
      <c r="BW1792" s="153"/>
      <c r="BX1792" s="153"/>
      <c r="BY1792" s="153"/>
      <c r="BZ1792" s="153"/>
      <c r="CA1792" s="152"/>
      <c r="CB1792" s="152"/>
    </row>
    <row r="1793" spans="1:80" s="87" customFormat="1" x14ac:dyDescent="0.2">
      <c r="A1793" s="152"/>
      <c r="B1793" s="683"/>
      <c r="C1793" s="683"/>
      <c r="D1793" s="698"/>
      <c r="E1793" s="215"/>
      <c r="F1793" s="215"/>
      <c r="G1793" s="153"/>
      <c r="H1793" s="153"/>
      <c r="I1793" s="305">
        <v>10</v>
      </c>
      <c r="J1793" s="164">
        <v>120</v>
      </c>
      <c r="K1793" s="150">
        <v>1</v>
      </c>
      <c r="L1793" s="656">
        <v>20</v>
      </c>
      <c r="M1793" s="661">
        <v>34114</v>
      </c>
      <c r="N1793" s="600">
        <v>6.25710701166199</v>
      </c>
      <c r="O1793" s="117">
        <v>2.5504587155963303E-2</v>
      </c>
      <c r="P1793" s="101"/>
      <c r="Q1793" s="101"/>
      <c r="R1793" s="101"/>
      <c r="S1793" s="101">
        <v>2.1</v>
      </c>
      <c r="T1793" s="101">
        <v>12.1</v>
      </c>
      <c r="U1793" s="101">
        <v>36.4</v>
      </c>
      <c r="V1793" s="500">
        <v>30.9</v>
      </c>
      <c r="W1793" s="500">
        <v>12.6</v>
      </c>
      <c r="X1793" s="500">
        <v>5.2</v>
      </c>
      <c r="Y1793" s="500">
        <v>0.6</v>
      </c>
      <c r="Z1793" s="154"/>
      <c r="AA1793" s="154"/>
      <c r="AB1793" s="152"/>
      <c r="AC1793" s="152"/>
      <c r="AD1793" s="223"/>
      <c r="AE1793" s="223"/>
      <c r="AF1793" s="223"/>
      <c r="AG1793" s="223"/>
      <c r="AH1793" s="341"/>
      <c r="AI1793" s="218"/>
      <c r="AJ1793" s="218"/>
      <c r="AK1793" s="153"/>
      <c r="AL1793" s="152"/>
      <c r="AM1793" s="152"/>
      <c r="AN1793" s="152"/>
      <c r="AO1793" s="152"/>
      <c r="AP1793" s="152"/>
      <c r="AQ1793" s="152"/>
      <c r="AR1793" s="152"/>
      <c r="AS1793" s="152"/>
      <c r="AT1793" s="152"/>
      <c r="AU1793" s="153"/>
      <c r="AV1793" s="479"/>
      <c r="AW1793" s="479"/>
      <c r="AX1793" s="442"/>
      <c r="AY1793" s="232"/>
      <c r="AZ1793" s="152"/>
      <c r="BA1793" s="152"/>
      <c r="BB1793" s="152"/>
      <c r="BC1793" s="152"/>
      <c r="BD1793" s="152"/>
      <c r="BE1793" s="152"/>
      <c r="BF1793" s="152"/>
      <c r="BG1793" s="152"/>
      <c r="BH1793" s="152"/>
      <c r="BI1793" s="153"/>
      <c r="BJ1793" s="153"/>
      <c r="BK1793" s="153"/>
      <c r="BL1793" s="153"/>
      <c r="BM1793" s="153"/>
      <c r="BN1793" s="153"/>
      <c r="BO1793" s="153"/>
      <c r="BP1793" s="153"/>
      <c r="BQ1793" s="153"/>
      <c r="BR1793" s="153"/>
      <c r="BS1793" s="153"/>
      <c r="BT1793" s="153"/>
      <c r="BU1793" s="153"/>
      <c r="BV1793" s="153"/>
      <c r="BW1793" s="153"/>
      <c r="BX1793" s="153"/>
      <c r="BY1793" s="153"/>
      <c r="BZ1793" s="153"/>
      <c r="CA1793" s="152"/>
      <c r="CB1793" s="152"/>
    </row>
    <row r="1794" spans="1:80" s="87" customFormat="1" x14ac:dyDescent="0.2">
      <c r="A1794" s="152"/>
      <c r="B1794" s="683"/>
      <c r="C1794" s="683"/>
      <c r="D1794" s="698"/>
      <c r="E1794" s="215"/>
      <c r="F1794" s="215"/>
      <c r="G1794" s="153"/>
      <c r="H1794" s="153"/>
      <c r="I1794" s="305">
        <v>10</v>
      </c>
      <c r="J1794" s="164">
        <v>120</v>
      </c>
      <c r="K1794" s="150">
        <v>1</v>
      </c>
      <c r="L1794" s="656">
        <v>20</v>
      </c>
      <c r="M1794" s="661">
        <v>34121</v>
      </c>
      <c r="N1794" s="600">
        <v>6.3703578173029305</v>
      </c>
      <c r="O1794" s="117">
        <v>6.1294974893343915E-2</v>
      </c>
      <c r="P1794" s="101"/>
      <c r="Q1794" s="101"/>
      <c r="R1794" s="101"/>
      <c r="S1794" s="101">
        <v>2.2000000000000002</v>
      </c>
      <c r="T1794" s="101">
        <v>9.9</v>
      </c>
      <c r="U1794" s="101">
        <v>30.6</v>
      </c>
      <c r="V1794" s="500">
        <v>31.4</v>
      </c>
      <c r="W1794" s="500">
        <v>16.7</v>
      </c>
      <c r="X1794" s="500">
        <v>8.6999999999999993</v>
      </c>
      <c r="Y1794" s="500">
        <v>0.5</v>
      </c>
      <c r="Z1794" s="154"/>
      <c r="AA1794" s="154"/>
      <c r="AB1794" s="152"/>
      <c r="AC1794" s="152"/>
      <c r="AD1794" s="223"/>
      <c r="AE1794" s="223"/>
      <c r="AF1794" s="223"/>
      <c r="AG1794" s="223"/>
      <c r="AH1794" s="341"/>
      <c r="AI1794" s="218"/>
      <c r="AJ1794" s="218"/>
      <c r="AK1794" s="153"/>
      <c r="AL1794" s="152"/>
      <c r="AM1794" s="152"/>
      <c r="AN1794" s="152"/>
      <c r="AO1794" s="152"/>
      <c r="AP1794" s="152"/>
      <c r="AQ1794" s="152"/>
      <c r="AR1794" s="152"/>
      <c r="AS1794" s="152"/>
      <c r="AT1794" s="152"/>
      <c r="AU1794" s="153"/>
      <c r="AV1794" s="479"/>
      <c r="AW1794" s="479"/>
      <c r="AX1794" s="442"/>
      <c r="AY1794" s="232"/>
      <c r="AZ1794" s="152"/>
      <c r="BA1794" s="152"/>
      <c r="BB1794" s="152"/>
      <c r="BC1794" s="152"/>
      <c r="BD1794" s="152"/>
      <c r="BE1794" s="152"/>
      <c r="BF1794" s="152"/>
      <c r="BG1794" s="152"/>
      <c r="BH1794" s="152"/>
      <c r="BI1794" s="153"/>
      <c r="BJ1794" s="153"/>
      <c r="BK1794" s="153"/>
      <c r="BL1794" s="153"/>
      <c r="BM1794" s="153"/>
      <c r="BN1794" s="153"/>
      <c r="BO1794" s="153"/>
      <c r="BP1794" s="153"/>
      <c r="BQ1794" s="153"/>
      <c r="BR1794" s="153"/>
      <c r="BS1794" s="153"/>
      <c r="BT1794" s="153"/>
      <c r="BU1794" s="153"/>
      <c r="BV1794" s="153"/>
      <c r="BW1794" s="153"/>
      <c r="BX1794" s="153"/>
      <c r="BY1794" s="153"/>
      <c r="BZ1794" s="153"/>
      <c r="CA1794" s="152"/>
      <c r="CB1794" s="152"/>
    </row>
    <row r="1795" spans="1:80" s="87" customFormat="1" x14ac:dyDescent="0.2">
      <c r="A1795" s="152"/>
      <c r="B1795" s="683"/>
      <c r="C1795" s="683"/>
      <c r="D1795" s="698"/>
      <c r="E1795" s="215"/>
      <c r="F1795" s="215"/>
      <c r="G1795" s="153"/>
      <c r="H1795" s="153"/>
      <c r="I1795" s="305">
        <v>10</v>
      </c>
      <c r="J1795" s="164">
        <v>120</v>
      </c>
      <c r="K1795" s="150">
        <v>1</v>
      </c>
      <c r="L1795" s="656">
        <v>20</v>
      </c>
      <c r="M1795" s="661">
        <v>34129</v>
      </c>
      <c r="N1795" s="600">
        <v>3.9354654960226996</v>
      </c>
      <c r="O1795" s="117">
        <v>2.4664929965643526E-2</v>
      </c>
      <c r="P1795" s="101"/>
      <c r="Q1795" s="101"/>
      <c r="R1795" s="101"/>
      <c r="S1795" s="101"/>
      <c r="T1795" s="101">
        <v>11.6</v>
      </c>
      <c r="U1795" s="101">
        <v>28.2</v>
      </c>
      <c r="V1795" s="500">
        <v>32.6</v>
      </c>
      <c r="W1795" s="500">
        <v>20</v>
      </c>
      <c r="X1795" s="500">
        <v>7.1</v>
      </c>
      <c r="Y1795" s="500">
        <v>0.5</v>
      </c>
      <c r="Z1795" s="154"/>
      <c r="AA1795" s="154"/>
      <c r="AB1795" s="152"/>
      <c r="AC1795" s="152"/>
      <c r="AD1795" s="223"/>
      <c r="AE1795" s="223"/>
      <c r="AF1795" s="223"/>
      <c r="AG1795" s="223"/>
      <c r="AH1795" s="341"/>
      <c r="AI1795" s="218"/>
      <c r="AJ1795" s="218"/>
      <c r="AK1795" s="153"/>
      <c r="AL1795" s="152"/>
      <c r="AM1795" s="152"/>
      <c r="AN1795" s="152"/>
      <c r="AO1795" s="152"/>
      <c r="AP1795" s="152"/>
      <c r="AQ1795" s="152"/>
      <c r="AR1795" s="152"/>
      <c r="AS1795" s="152"/>
      <c r="AT1795" s="152"/>
      <c r="AU1795" s="153"/>
      <c r="AV1795" s="479"/>
      <c r="AW1795" s="479"/>
      <c r="AX1795" s="442"/>
      <c r="AY1795" s="232"/>
      <c r="AZ1795" s="152"/>
      <c r="BA1795" s="152"/>
      <c r="BB1795" s="152"/>
      <c r="BC1795" s="152"/>
      <c r="BD1795" s="152"/>
      <c r="BE1795" s="152"/>
      <c r="BF1795" s="152"/>
      <c r="BG1795" s="152"/>
      <c r="BH1795" s="152"/>
      <c r="BI1795" s="153"/>
      <c r="BJ1795" s="153"/>
      <c r="BK1795" s="153"/>
      <c r="BL1795" s="153"/>
      <c r="BM1795" s="153"/>
      <c r="BN1795" s="153"/>
      <c r="BO1795" s="153"/>
      <c r="BP1795" s="153"/>
      <c r="BQ1795" s="153"/>
      <c r="BR1795" s="153"/>
      <c r="BS1795" s="153"/>
      <c r="BT1795" s="153"/>
      <c r="BU1795" s="153"/>
      <c r="BV1795" s="153"/>
      <c r="BW1795" s="153"/>
      <c r="BX1795" s="153"/>
      <c r="BY1795" s="153"/>
      <c r="BZ1795" s="153"/>
      <c r="CA1795" s="152"/>
      <c r="CB1795" s="152"/>
    </row>
    <row r="1796" spans="1:80" s="87" customFormat="1" x14ac:dyDescent="0.2">
      <c r="A1796" s="152"/>
      <c r="B1796" s="683"/>
      <c r="C1796" s="683"/>
      <c r="D1796" s="698"/>
      <c r="E1796" s="215"/>
      <c r="F1796" s="215"/>
      <c r="G1796" s="153"/>
      <c r="H1796" s="153"/>
      <c r="I1796" s="305">
        <v>11</v>
      </c>
      <c r="J1796" s="164">
        <v>120</v>
      </c>
      <c r="K1796" s="150">
        <v>1</v>
      </c>
      <c r="L1796" s="656">
        <v>22</v>
      </c>
      <c r="M1796" s="661">
        <v>34135</v>
      </c>
      <c r="N1796" s="600">
        <v>3.0011463494849364</v>
      </c>
      <c r="O1796" s="117">
        <v>5.8880960471174547E-3</v>
      </c>
      <c r="P1796" s="101"/>
      <c r="Q1796" s="101"/>
      <c r="R1796" s="101"/>
      <c r="S1796" s="101"/>
      <c r="T1796" s="101">
        <v>3.6</v>
      </c>
      <c r="U1796" s="101">
        <v>15.5</v>
      </c>
      <c r="V1796" s="500">
        <v>30.7</v>
      </c>
      <c r="W1796" s="500">
        <v>30.5</v>
      </c>
      <c r="X1796" s="500">
        <v>18.8</v>
      </c>
      <c r="Y1796" s="500">
        <v>0.9</v>
      </c>
      <c r="Z1796" s="154"/>
      <c r="AA1796" s="154"/>
      <c r="AB1796" s="152"/>
      <c r="AC1796" s="152"/>
      <c r="AD1796" s="223"/>
      <c r="AE1796" s="223"/>
      <c r="AF1796" s="223"/>
      <c r="AG1796" s="223"/>
      <c r="AH1796" s="341"/>
      <c r="AI1796" s="218"/>
      <c r="AJ1796" s="218"/>
      <c r="AK1796" s="153"/>
      <c r="AL1796" s="152"/>
      <c r="AM1796" s="152"/>
      <c r="AN1796" s="152"/>
      <c r="AO1796" s="152"/>
      <c r="AP1796" s="152"/>
      <c r="AQ1796" s="152"/>
      <c r="AR1796" s="152"/>
      <c r="AS1796" s="152"/>
      <c r="AT1796" s="152"/>
      <c r="AU1796" s="153"/>
      <c r="AV1796" s="479"/>
      <c r="AW1796" s="479"/>
      <c r="AX1796" s="442"/>
      <c r="AY1796" s="232"/>
      <c r="AZ1796" s="152"/>
      <c r="BA1796" s="152"/>
      <c r="BB1796" s="152"/>
      <c r="BC1796" s="152"/>
      <c r="BD1796" s="152"/>
      <c r="BE1796" s="152"/>
      <c r="BF1796" s="152"/>
      <c r="BG1796" s="152"/>
      <c r="BH1796" s="152"/>
      <c r="BI1796" s="153"/>
      <c r="BJ1796" s="153"/>
      <c r="BK1796" s="153"/>
      <c r="BL1796" s="153"/>
      <c r="BM1796" s="153"/>
      <c r="BN1796" s="153"/>
      <c r="BO1796" s="153"/>
      <c r="BP1796" s="153"/>
      <c r="BQ1796" s="153"/>
      <c r="BR1796" s="153"/>
      <c r="BS1796" s="153"/>
      <c r="BT1796" s="153"/>
      <c r="BU1796" s="153"/>
      <c r="BV1796" s="153"/>
      <c r="BW1796" s="153"/>
      <c r="BX1796" s="153"/>
      <c r="BY1796" s="153"/>
      <c r="BZ1796" s="153"/>
      <c r="CA1796" s="152"/>
      <c r="CB1796" s="152"/>
    </row>
    <row r="1797" spans="1:80" s="87" customFormat="1" x14ac:dyDescent="0.2">
      <c r="A1797" s="152"/>
      <c r="B1797" s="683"/>
      <c r="C1797" s="683"/>
      <c r="D1797" s="698"/>
      <c r="E1797" s="215"/>
      <c r="F1797" s="215"/>
      <c r="G1797" s="153"/>
      <c r="H1797" s="153"/>
      <c r="I1797" s="305">
        <v>11</v>
      </c>
      <c r="J1797" s="164">
        <v>120</v>
      </c>
      <c r="K1797" s="150">
        <v>1</v>
      </c>
      <c r="L1797" s="656">
        <v>22</v>
      </c>
      <c r="M1797" s="661">
        <v>34136</v>
      </c>
      <c r="N1797" s="600">
        <v>2.9445209466644657</v>
      </c>
      <c r="O1797" s="117">
        <v>1.6793143806395593E-2</v>
      </c>
      <c r="P1797" s="101"/>
      <c r="Q1797" s="101"/>
      <c r="R1797" s="101"/>
      <c r="S1797" s="101"/>
      <c r="T1797" s="101">
        <v>8.3000000000000007</v>
      </c>
      <c r="U1797" s="101">
        <v>35.6</v>
      </c>
      <c r="V1797" s="500">
        <v>29.4</v>
      </c>
      <c r="W1797" s="500">
        <v>17.8</v>
      </c>
      <c r="X1797" s="500">
        <v>8.3000000000000007</v>
      </c>
      <c r="Y1797" s="500">
        <v>0.5</v>
      </c>
      <c r="Z1797" s="154"/>
      <c r="AA1797" s="154"/>
      <c r="AB1797" s="152"/>
      <c r="AC1797" s="152"/>
      <c r="AD1797" s="223"/>
      <c r="AE1797" s="223"/>
      <c r="AF1797" s="223"/>
      <c r="AG1797" s="223"/>
      <c r="AH1797" s="341"/>
      <c r="AI1797" s="218"/>
      <c r="AJ1797" s="218"/>
      <c r="AK1797" s="153"/>
      <c r="AL1797" s="152"/>
      <c r="AM1797" s="152"/>
      <c r="AN1797" s="152"/>
      <c r="AO1797" s="152"/>
      <c r="AP1797" s="152"/>
      <c r="AQ1797" s="152"/>
      <c r="AR1797" s="152"/>
      <c r="AS1797" s="152"/>
      <c r="AT1797" s="152"/>
      <c r="AU1797" s="153"/>
      <c r="AV1797" s="479"/>
      <c r="AW1797" s="479"/>
      <c r="AX1797" s="442"/>
      <c r="AY1797" s="232"/>
      <c r="AZ1797" s="152"/>
      <c r="BA1797" s="152"/>
      <c r="BB1797" s="152"/>
      <c r="BC1797" s="152"/>
      <c r="BD1797" s="152"/>
      <c r="BE1797" s="152"/>
      <c r="BF1797" s="152"/>
      <c r="BG1797" s="152"/>
      <c r="BH1797" s="152"/>
      <c r="BI1797" s="153"/>
      <c r="BJ1797" s="153"/>
      <c r="BK1797" s="153"/>
      <c r="BL1797" s="153"/>
      <c r="BM1797" s="153"/>
      <c r="BN1797" s="153"/>
      <c r="BO1797" s="153"/>
      <c r="BP1797" s="153"/>
      <c r="BQ1797" s="153"/>
      <c r="BR1797" s="153"/>
      <c r="BS1797" s="153"/>
      <c r="BT1797" s="153"/>
      <c r="BU1797" s="153"/>
      <c r="BV1797" s="153"/>
      <c r="BW1797" s="153"/>
      <c r="BX1797" s="153"/>
      <c r="BY1797" s="153"/>
      <c r="BZ1797" s="153"/>
      <c r="CA1797" s="152"/>
      <c r="CB1797" s="152"/>
    </row>
    <row r="1798" spans="1:80" s="87" customFormat="1" x14ac:dyDescent="0.2">
      <c r="A1798" s="152"/>
      <c r="B1798" s="683"/>
      <c r="C1798" s="683"/>
      <c r="D1798" s="698"/>
      <c r="E1798" s="215"/>
      <c r="F1798" s="215"/>
      <c r="G1798" s="153"/>
      <c r="H1798" s="153"/>
      <c r="I1798" s="305">
        <v>11</v>
      </c>
      <c r="J1798" s="164">
        <v>120</v>
      </c>
      <c r="K1798" s="150">
        <v>1</v>
      </c>
      <c r="L1798" s="656">
        <v>22</v>
      </c>
      <c r="M1798" s="661">
        <v>34136</v>
      </c>
      <c r="N1798" s="600">
        <v>2.9445209466644657</v>
      </c>
      <c r="O1798" s="117">
        <v>8.3231018990448137E-3</v>
      </c>
      <c r="P1798" s="101"/>
      <c r="Q1798" s="101"/>
      <c r="R1798" s="101"/>
      <c r="S1798" s="101"/>
      <c r="T1798" s="101">
        <v>9.9</v>
      </c>
      <c r="U1798" s="101">
        <v>36.700000000000003</v>
      </c>
      <c r="V1798" s="500">
        <v>28.4</v>
      </c>
      <c r="W1798" s="500">
        <v>14.9</v>
      </c>
      <c r="X1798" s="500">
        <v>9.5</v>
      </c>
      <c r="Y1798" s="500">
        <v>0.5</v>
      </c>
      <c r="Z1798" s="154"/>
      <c r="AA1798" s="154"/>
      <c r="AB1798" s="152"/>
      <c r="AC1798" s="152"/>
      <c r="AD1798" s="223"/>
      <c r="AE1798" s="223"/>
      <c r="AF1798" s="223"/>
      <c r="AG1798" s="223"/>
      <c r="AH1798" s="341"/>
      <c r="AI1798" s="218"/>
      <c r="AJ1798" s="218"/>
      <c r="AK1798" s="153"/>
      <c r="AL1798" s="152"/>
      <c r="AM1798" s="152"/>
      <c r="AN1798" s="152"/>
      <c r="AO1798" s="152"/>
      <c r="AP1798" s="152"/>
      <c r="AQ1798" s="152"/>
      <c r="AR1798" s="152"/>
      <c r="AS1798" s="152"/>
      <c r="AT1798" s="152"/>
      <c r="AU1798" s="153"/>
      <c r="AV1798" s="479"/>
      <c r="AW1798" s="479"/>
      <c r="AX1798" s="442"/>
      <c r="AY1798" s="232"/>
      <c r="AZ1798" s="152"/>
      <c r="BA1798" s="152"/>
      <c r="BB1798" s="152"/>
      <c r="BC1798" s="152"/>
      <c r="BD1798" s="152"/>
      <c r="BE1798" s="152"/>
      <c r="BF1798" s="152"/>
      <c r="BG1798" s="152"/>
      <c r="BH1798" s="152"/>
      <c r="BI1798" s="153"/>
      <c r="BJ1798" s="153"/>
      <c r="BK1798" s="153"/>
      <c r="BL1798" s="153"/>
      <c r="BM1798" s="153"/>
      <c r="BN1798" s="153"/>
      <c r="BO1798" s="153"/>
      <c r="BP1798" s="153"/>
      <c r="BQ1798" s="153"/>
      <c r="BR1798" s="153"/>
      <c r="BS1798" s="153"/>
      <c r="BT1798" s="153"/>
      <c r="BU1798" s="153"/>
      <c r="BV1798" s="153"/>
      <c r="BW1798" s="153"/>
      <c r="BX1798" s="153"/>
      <c r="BY1798" s="153"/>
      <c r="BZ1798" s="153"/>
      <c r="CA1798" s="152"/>
      <c r="CB1798" s="152"/>
    </row>
    <row r="1799" spans="1:80" s="87" customFormat="1" x14ac:dyDescent="0.2">
      <c r="A1799" s="152"/>
      <c r="B1799" s="683"/>
      <c r="C1799" s="683"/>
      <c r="D1799" s="698"/>
      <c r="E1799" s="215"/>
      <c r="F1799" s="215"/>
      <c r="G1799" s="153"/>
      <c r="H1799" s="153"/>
      <c r="I1799" s="305">
        <v>10</v>
      </c>
      <c r="J1799" s="164">
        <v>240</v>
      </c>
      <c r="K1799" s="150">
        <v>1</v>
      </c>
      <c r="L1799" s="656">
        <v>40</v>
      </c>
      <c r="M1799" s="661">
        <v>34431</v>
      </c>
      <c r="N1799" s="600">
        <v>0.42469052115352873</v>
      </c>
      <c r="O1799" s="117">
        <v>6.2974289273983467E-5</v>
      </c>
      <c r="P1799" s="101"/>
      <c r="Q1799" s="101"/>
      <c r="R1799" s="101"/>
      <c r="S1799" s="101"/>
      <c r="T1799" s="101">
        <v>20.3</v>
      </c>
      <c r="U1799" s="101">
        <v>14.4</v>
      </c>
      <c r="V1799" s="500">
        <v>28.8</v>
      </c>
      <c r="W1799" s="500">
        <v>28.1</v>
      </c>
      <c r="X1799" s="500">
        <v>3.9</v>
      </c>
      <c r="Y1799" s="500">
        <v>4.5999999999999996</v>
      </c>
      <c r="Z1799" s="154"/>
      <c r="AA1799" s="154"/>
      <c r="AB1799" s="152"/>
      <c r="AC1799" s="152"/>
      <c r="AD1799" s="223"/>
      <c r="AE1799" s="223"/>
      <c r="AF1799" s="223"/>
      <c r="AG1799" s="223"/>
      <c r="AH1799" s="341"/>
      <c r="AI1799" s="218"/>
      <c r="AJ1799" s="218"/>
      <c r="AK1799" s="153"/>
      <c r="AL1799" s="152"/>
      <c r="AM1799" s="152"/>
      <c r="AN1799" s="152"/>
      <c r="AO1799" s="152"/>
      <c r="AP1799" s="152"/>
      <c r="AQ1799" s="152"/>
      <c r="AR1799" s="152"/>
      <c r="AS1799" s="152"/>
      <c r="AT1799" s="152"/>
      <c r="AU1799" s="153"/>
      <c r="AV1799" s="479"/>
      <c r="AW1799" s="479"/>
      <c r="AX1799" s="442"/>
      <c r="AY1799" s="232"/>
      <c r="AZ1799" s="152"/>
      <c r="BA1799" s="152"/>
      <c r="BB1799" s="152"/>
      <c r="BC1799" s="152"/>
      <c r="BD1799" s="152"/>
      <c r="BE1799" s="152"/>
      <c r="BF1799" s="152"/>
      <c r="BG1799" s="152"/>
      <c r="BH1799" s="152"/>
      <c r="BI1799" s="153"/>
      <c r="BJ1799" s="153"/>
      <c r="BK1799" s="153"/>
      <c r="BL1799" s="153"/>
      <c r="BM1799" s="153"/>
      <c r="BN1799" s="153"/>
      <c r="BO1799" s="153"/>
      <c r="BP1799" s="153"/>
      <c r="BQ1799" s="153"/>
      <c r="BR1799" s="153"/>
      <c r="BS1799" s="153"/>
      <c r="BT1799" s="153"/>
      <c r="BU1799" s="153"/>
      <c r="BV1799" s="153"/>
      <c r="BW1799" s="153"/>
      <c r="BX1799" s="153"/>
      <c r="BY1799" s="153"/>
      <c r="BZ1799" s="153"/>
      <c r="CA1799" s="152"/>
      <c r="CB1799" s="152"/>
    </row>
    <row r="1800" spans="1:80" s="87" customFormat="1" x14ac:dyDescent="0.2">
      <c r="A1800" s="152"/>
      <c r="B1800" s="683"/>
      <c r="C1800" s="683"/>
      <c r="D1800" s="698"/>
      <c r="E1800" s="215"/>
      <c r="F1800" s="215"/>
      <c r="G1800" s="153"/>
      <c r="H1800" s="153"/>
      <c r="I1800" s="305">
        <v>20</v>
      </c>
      <c r="J1800" s="164">
        <v>240</v>
      </c>
      <c r="K1800" s="150">
        <v>1</v>
      </c>
      <c r="L1800" s="656">
        <v>80</v>
      </c>
      <c r="M1800" s="661">
        <v>34437</v>
      </c>
      <c r="N1800" s="600">
        <v>0.45300322256376396</v>
      </c>
      <c r="O1800" s="117">
        <v>3.2431758976101478E-5</v>
      </c>
      <c r="P1800" s="101"/>
      <c r="Q1800" s="101"/>
      <c r="R1800" s="101"/>
      <c r="S1800" s="101"/>
      <c r="T1800" s="101"/>
      <c r="U1800" s="101"/>
      <c r="V1800" s="500">
        <v>58.5</v>
      </c>
      <c r="W1800" s="500">
        <v>16.3</v>
      </c>
      <c r="X1800" s="500">
        <v>15.6</v>
      </c>
      <c r="Y1800" s="500">
        <v>9.5</v>
      </c>
      <c r="Z1800" s="154"/>
      <c r="AA1800" s="154"/>
      <c r="AB1800" s="152"/>
      <c r="AC1800" s="152"/>
      <c r="AD1800" s="223"/>
      <c r="AE1800" s="223"/>
      <c r="AF1800" s="223"/>
      <c r="AG1800" s="223"/>
      <c r="AH1800" s="341"/>
      <c r="AI1800" s="218"/>
      <c r="AJ1800" s="218"/>
      <c r="AK1800" s="153"/>
      <c r="AL1800" s="152"/>
      <c r="AM1800" s="152"/>
      <c r="AN1800" s="152"/>
      <c r="AO1800" s="152"/>
      <c r="AP1800" s="152"/>
      <c r="AQ1800" s="152"/>
      <c r="AR1800" s="152"/>
      <c r="AS1800" s="152"/>
      <c r="AT1800" s="152"/>
      <c r="AU1800" s="153"/>
      <c r="AV1800" s="479"/>
      <c r="AW1800" s="479"/>
      <c r="AX1800" s="442"/>
      <c r="AY1800" s="232"/>
      <c r="AZ1800" s="152"/>
      <c r="BA1800" s="152"/>
      <c r="BB1800" s="152"/>
      <c r="BC1800" s="152"/>
      <c r="BD1800" s="152"/>
      <c r="BE1800" s="152"/>
      <c r="BF1800" s="152"/>
      <c r="BG1800" s="152"/>
      <c r="BH1800" s="152"/>
      <c r="BI1800" s="153"/>
      <c r="BJ1800" s="153"/>
      <c r="BK1800" s="153"/>
      <c r="BL1800" s="153"/>
      <c r="BM1800" s="153"/>
      <c r="BN1800" s="153"/>
      <c r="BO1800" s="153"/>
      <c r="BP1800" s="153"/>
      <c r="BQ1800" s="153"/>
      <c r="BR1800" s="153"/>
      <c r="BS1800" s="153"/>
      <c r="BT1800" s="153"/>
      <c r="BU1800" s="153"/>
      <c r="BV1800" s="153"/>
      <c r="BW1800" s="153"/>
      <c r="BX1800" s="153"/>
      <c r="BY1800" s="153"/>
      <c r="BZ1800" s="153"/>
      <c r="CA1800" s="152"/>
      <c r="CB1800" s="152"/>
    </row>
    <row r="1801" spans="1:80" s="87" customFormat="1" x14ac:dyDescent="0.2">
      <c r="A1801" s="152"/>
      <c r="B1801" s="683"/>
      <c r="C1801" s="683"/>
      <c r="D1801" s="698"/>
      <c r="E1801" s="215"/>
      <c r="F1801" s="215"/>
      <c r="G1801" s="153"/>
      <c r="H1801" s="153"/>
      <c r="I1801" s="305">
        <v>18</v>
      </c>
      <c r="J1801" s="164">
        <v>240</v>
      </c>
      <c r="K1801" s="150">
        <v>1</v>
      </c>
      <c r="L1801" s="656">
        <v>72</v>
      </c>
      <c r="M1801" s="661">
        <v>34438</v>
      </c>
      <c r="N1801" s="600">
        <v>0.42469052115352873</v>
      </c>
      <c r="O1801" s="117">
        <v>7.2105561218711059E-5</v>
      </c>
      <c r="P1801" s="101"/>
      <c r="Q1801" s="101"/>
      <c r="R1801" s="101"/>
      <c r="S1801" s="101"/>
      <c r="T1801" s="101"/>
      <c r="U1801" s="101">
        <v>6.7</v>
      </c>
      <c r="V1801" s="500">
        <v>23.4</v>
      </c>
      <c r="W1801" s="500">
        <v>50.2</v>
      </c>
      <c r="X1801" s="500">
        <v>15.7</v>
      </c>
      <c r="Y1801" s="500">
        <v>4</v>
      </c>
      <c r="Z1801" s="154"/>
      <c r="AA1801" s="154"/>
      <c r="AB1801" s="152"/>
      <c r="AC1801" s="152"/>
      <c r="AD1801" s="223"/>
      <c r="AE1801" s="223"/>
      <c r="AF1801" s="223"/>
      <c r="AG1801" s="223"/>
      <c r="AH1801" s="341"/>
      <c r="AI1801" s="218"/>
      <c r="AJ1801" s="218"/>
      <c r="AK1801" s="153"/>
      <c r="AL1801" s="152"/>
      <c r="AM1801" s="152"/>
      <c r="AN1801" s="152"/>
      <c r="AO1801" s="152"/>
      <c r="AP1801" s="152"/>
      <c r="AQ1801" s="152"/>
      <c r="AR1801" s="152"/>
      <c r="AS1801" s="152"/>
      <c r="AT1801" s="152"/>
      <c r="AU1801" s="153"/>
      <c r="AV1801" s="479"/>
      <c r="AW1801" s="479"/>
      <c r="AX1801" s="442"/>
      <c r="AY1801" s="232"/>
      <c r="AZ1801" s="152"/>
      <c r="BA1801" s="152"/>
      <c r="BB1801" s="152"/>
      <c r="BC1801" s="152"/>
      <c r="BD1801" s="152"/>
      <c r="BE1801" s="152"/>
      <c r="BF1801" s="152"/>
      <c r="BG1801" s="152"/>
      <c r="BH1801" s="152"/>
      <c r="BI1801" s="153"/>
      <c r="BJ1801" s="153"/>
      <c r="BK1801" s="153"/>
      <c r="BL1801" s="153"/>
      <c r="BM1801" s="153"/>
      <c r="BN1801" s="153"/>
      <c r="BO1801" s="153"/>
      <c r="BP1801" s="153"/>
      <c r="BQ1801" s="153"/>
      <c r="BR1801" s="153"/>
      <c r="BS1801" s="153"/>
      <c r="BT1801" s="153"/>
      <c r="BU1801" s="153"/>
      <c r="BV1801" s="153"/>
      <c r="BW1801" s="153"/>
      <c r="BX1801" s="153"/>
      <c r="BY1801" s="153"/>
      <c r="BZ1801" s="153"/>
      <c r="CA1801" s="152"/>
      <c r="CB1801" s="152"/>
    </row>
    <row r="1802" spans="1:80" s="87" customFormat="1" x14ac:dyDescent="0.2">
      <c r="A1802" s="152"/>
      <c r="B1802" s="683"/>
      <c r="C1802" s="683"/>
      <c r="D1802" s="698"/>
      <c r="E1802" s="215"/>
      <c r="F1802" s="215"/>
      <c r="G1802" s="153"/>
      <c r="H1802" s="153"/>
      <c r="I1802" s="305">
        <v>20</v>
      </c>
      <c r="J1802" s="164">
        <v>120</v>
      </c>
      <c r="K1802" s="150">
        <v>1</v>
      </c>
      <c r="L1802" s="656">
        <v>40</v>
      </c>
      <c r="M1802" s="661">
        <v>34443</v>
      </c>
      <c r="N1802" s="600">
        <v>1.6138239803834091</v>
      </c>
      <c r="O1802" s="117">
        <v>2.1411258353154377E-3</v>
      </c>
      <c r="P1802" s="101"/>
      <c r="Q1802" s="101"/>
      <c r="R1802" s="101"/>
      <c r="S1802" s="101"/>
      <c r="T1802" s="101">
        <v>3</v>
      </c>
      <c r="U1802" s="101">
        <v>17.3</v>
      </c>
      <c r="V1802" s="500">
        <v>32.6</v>
      </c>
      <c r="W1802" s="500">
        <v>30.2</v>
      </c>
      <c r="X1802" s="500">
        <v>15.4</v>
      </c>
      <c r="Y1802" s="500">
        <v>1.5</v>
      </c>
      <c r="Z1802" s="154"/>
      <c r="AA1802" s="154"/>
      <c r="AB1802" s="152"/>
      <c r="AC1802" s="152"/>
      <c r="AD1802" s="223"/>
      <c r="AE1802" s="223"/>
      <c r="AF1802" s="223"/>
      <c r="AG1802" s="223"/>
      <c r="AH1802" s="341"/>
      <c r="AI1802" s="218"/>
      <c r="AJ1802" s="218"/>
      <c r="AK1802" s="153"/>
      <c r="AL1802" s="152"/>
      <c r="AM1802" s="152"/>
      <c r="AN1802" s="152"/>
      <c r="AO1802" s="152"/>
      <c r="AP1802" s="152"/>
      <c r="AQ1802" s="152"/>
      <c r="AR1802" s="152"/>
      <c r="AS1802" s="152"/>
      <c r="AT1802" s="152"/>
      <c r="AU1802" s="153"/>
      <c r="AV1802" s="479"/>
      <c r="AW1802" s="479"/>
      <c r="AX1802" s="442"/>
      <c r="AY1802" s="232"/>
      <c r="AZ1802" s="152"/>
      <c r="BA1802" s="152"/>
      <c r="BB1802" s="152"/>
      <c r="BC1802" s="152"/>
      <c r="BD1802" s="152"/>
      <c r="BE1802" s="152"/>
      <c r="BF1802" s="152"/>
      <c r="BG1802" s="152"/>
      <c r="BH1802" s="152"/>
      <c r="BI1802" s="153"/>
      <c r="BJ1802" s="153"/>
      <c r="BK1802" s="153"/>
      <c r="BL1802" s="153"/>
      <c r="BM1802" s="153"/>
      <c r="BN1802" s="153"/>
      <c r="BO1802" s="153"/>
      <c r="BP1802" s="153"/>
      <c r="BQ1802" s="153"/>
      <c r="BR1802" s="153"/>
      <c r="BS1802" s="153"/>
      <c r="BT1802" s="153"/>
      <c r="BU1802" s="153"/>
      <c r="BV1802" s="153"/>
      <c r="BW1802" s="153"/>
      <c r="BX1802" s="153"/>
      <c r="BY1802" s="153"/>
      <c r="BZ1802" s="153"/>
      <c r="CA1802" s="152"/>
      <c r="CB1802" s="152"/>
    </row>
    <row r="1803" spans="1:80" s="87" customFormat="1" x14ac:dyDescent="0.2">
      <c r="A1803" s="152"/>
      <c r="B1803" s="683"/>
      <c r="C1803" s="683"/>
      <c r="D1803" s="698"/>
      <c r="E1803" s="215"/>
      <c r="F1803" s="215"/>
      <c r="G1803" s="153"/>
      <c r="H1803" s="153"/>
      <c r="I1803" s="305">
        <v>20</v>
      </c>
      <c r="J1803" s="164">
        <v>120</v>
      </c>
      <c r="K1803" s="150">
        <v>1</v>
      </c>
      <c r="L1803" s="656">
        <v>40</v>
      </c>
      <c r="M1803" s="661">
        <v>34445</v>
      </c>
      <c r="N1803" s="600">
        <v>2.406579619869996</v>
      </c>
      <c r="O1803" s="117">
        <v>2.6659115792653002E-3</v>
      </c>
      <c r="P1803" s="101"/>
      <c r="Q1803" s="101"/>
      <c r="R1803" s="101"/>
      <c r="S1803" s="101">
        <v>0.7</v>
      </c>
      <c r="T1803" s="101">
        <v>5</v>
      </c>
      <c r="U1803" s="101">
        <v>17.399999999999999</v>
      </c>
      <c r="V1803" s="500">
        <v>27.9</v>
      </c>
      <c r="W1803" s="500">
        <v>25.3</v>
      </c>
      <c r="X1803" s="500">
        <v>21.9</v>
      </c>
      <c r="Y1803" s="500">
        <v>1.8</v>
      </c>
      <c r="Z1803" s="154"/>
      <c r="AA1803" s="154"/>
      <c r="AB1803" s="152"/>
      <c r="AC1803" s="152"/>
      <c r="AD1803" s="223"/>
      <c r="AE1803" s="223"/>
      <c r="AF1803" s="223"/>
      <c r="AG1803" s="223"/>
      <c r="AH1803" s="341"/>
      <c r="AI1803" s="218"/>
      <c r="AJ1803" s="218"/>
      <c r="AK1803" s="153"/>
      <c r="AL1803" s="152"/>
      <c r="AM1803" s="152"/>
      <c r="AN1803" s="152"/>
      <c r="AO1803" s="152"/>
      <c r="AP1803" s="152"/>
      <c r="AQ1803" s="152"/>
      <c r="AR1803" s="152"/>
      <c r="AS1803" s="152"/>
      <c r="AT1803" s="152"/>
      <c r="AU1803" s="153"/>
      <c r="AV1803" s="479"/>
      <c r="AW1803" s="479"/>
      <c r="AX1803" s="442"/>
      <c r="AY1803" s="232"/>
      <c r="AZ1803" s="152"/>
      <c r="BA1803" s="152"/>
      <c r="BB1803" s="152"/>
      <c r="BC1803" s="152"/>
      <c r="BD1803" s="152"/>
      <c r="BE1803" s="152"/>
      <c r="BF1803" s="152"/>
      <c r="BG1803" s="152"/>
      <c r="BH1803" s="152"/>
      <c r="BI1803" s="153"/>
      <c r="BJ1803" s="153"/>
      <c r="BK1803" s="153"/>
      <c r="BL1803" s="153"/>
      <c r="BM1803" s="153"/>
      <c r="BN1803" s="153"/>
      <c r="BO1803" s="153"/>
      <c r="BP1803" s="153"/>
      <c r="BQ1803" s="153"/>
      <c r="BR1803" s="153"/>
      <c r="BS1803" s="153"/>
      <c r="BT1803" s="153"/>
      <c r="BU1803" s="153"/>
      <c r="BV1803" s="153"/>
      <c r="BW1803" s="153"/>
      <c r="BX1803" s="153"/>
      <c r="BY1803" s="153"/>
      <c r="BZ1803" s="153"/>
      <c r="CA1803" s="152"/>
      <c r="CB1803" s="152"/>
    </row>
    <row r="1804" spans="1:80" s="87" customFormat="1" x14ac:dyDescent="0.2">
      <c r="A1804" s="152"/>
      <c r="B1804" s="683"/>
      <c r="C1804" s="683"/>
      <c r="D1804" s="698"/>
      <c r="E1804" s="215"/>
      <c r="F1804" s="215"/>
      <c r="G1804" s="153"/>
      <c r="H1804" s="153"/>
      <c r="I1804" s="305">
        <v>21</v>
      </c>
      <c r="J1804" s="164">
        <v>120</v>
      </c>
      <c r="K1804" s="150">
        <v>1</v>
      </c>
      <c r="L1804" s="656">
        <v>42</v>
      </c>
      <c r="M1804" s="661">
        <v>34456</v>
      </c>
      <c r="N1804" s="600">
        <v>1.3590096676912919</v>
      </c>
      <c r="O1804" s="117">
        <v>3.2011930380941594E-4</v>
      </c>
      <c r="P1804" s="101"/>
      <c r="Q1804" s="101"/>
      <c r="R1804" s="101"/>
      <c r="S1804" s="101"/>
      <c r="T1804" s="101"/>
      <c r="U1804" s="101">
        <v>4.7</v>
      </c>
      <c r="V1804" s="500">
        <v>17.7</v>
      </c>
      <c r="W1804" s="500">
        <v>44.6</v>
      </c>
      <c r="X1804" s="500">
        <v>29.7</v>
      </c>
      <c r="Y1804" s="500">
        <v>3.3</v>
      </c>
      <c r="Z1804" s="154"/>
      <c r="AA1804" s="154"/>
      <c r="AB1804" s="152"/>
      <c r="AC1804" s="152"/>
      <c r="AD1804" s="223"/>
      <c r="AE1804" s="223"/>
      <c r="AF1804" s="223"/>
      <c r="AG1804" s="223"/>
      <c r="AH1804" s="341"/>
      <c r="AI1804" s="218"/>
      <c r="AJ1804" s="218"/>
      <c r="AK1804" s="153"/>
      <c r="AL1804" s="152"/>
      <c r="AM1804" s="152"/>
      <c r="AN1804" s="152"/>
      <c r="AO1804" s="152"/>
      <c r="AP1804" s="152"/>
      <c r="AQ1804" s="152"/>
      <c r="AR1804" s="152"/>
      <c r="AS1804" s="152"/>
      <c r="AT1804" s="152"/>
      <c r="AU1804" s="153"/>
      <c r="AV1804" s="479"/>
      <c r="AW1804" s="479"/>
      <c r="AX1804" s="442"/>
      <c r="AY1804" s="232"/>
      <c r="AZ1804" s="152"/>
      <c r="BA1804" s="152"/>
      <c r="BB1804" s="152"/>
      <c r="BC1804" s="152"/>
      <c r="BD1804" s="152"/>
      <c r="BE1804" s="152"/>
      <c r="BF1804" s="152"/>
      <c r="BG1804" s="152"/>
      <c r="BH1804" s="152"/>
      <c r="BI1804" s="153"/>
      <c r="BJ1804" s="153"/>
      <c r="BK1804" s="153"/>
      <c r="BL1804" s="153"/>
      <c r="BM1804" s="153"/>
      <c r="BN1804" s="153"/>
      <c r="BO1804" s="153"/>
      <c r="BP1804" s="153"/>
      <c r="BQ1804" s="153"/>
      <c r="BR1804" s="153"/>
      <c r="BS1804" s="153"/>
      <c r="BT1804" s="153"/>
      <c r="BU1804" s="153"/>
      <c r="BV1804" s="153"/>
      <c r="BW1804" s="153"/>
      <c r="BX1804" s="153"/>
      <c r="BY1804" s="153"/>
      <c r="BZ1804" s="153"/>
      <c r="CA1804" s="152"/>
      <c r="CB1804" s="152"/>
    </row>
    <row r="1805" spans="1:80" s="87" customFormat="1" x14ac:dyDescent="0.2">
      <c r="A1805" s="152"/>
      <c r="B1805" s="683"/>
      <c r="C1805" s="683"/>
      <c r="D1805" s="698"/>
      <c r="E1805" s="215"/>
      <c r="F1805" s="215"/>
      <c r="G1805" s="153"/>
      <c r="H1805" s="153"/>
      <c r="I1805" s="305">
        <v>20</v>
      </c>
      <c r="J1805" s="164">
        <v>120</v>
      </c>
      <c r="K1805" s="150">
        <v>1</v>
      </c>
      <c r="L1805" s="656">
        <v>40</v>
      </c>
      <c r="M1805" s="661">
        <v>34458</v>
      </c>
      <c r="N1805" s="600">
        <v>1.5571985775629387</v>
      </c>
      <c r="O1805" s="117">
        <v>1.8682372484615094E-3</v>
      </c>
      <c r="P1805" s="101"/>
      <c r="Q1805" s="101"/>
      <c r="R1805" s="101"/>
      <c r="S1805" s="101"/>
      <c r="T1805" s="101">
        <v>4.4000000000000004</v>
      </c>
      <c r="U1805" s="101">
        <v>7.8</v>
      </c>
      <c r="V1805" s="500">
        <v>31.4</v>
      </c>
      <c r="W1805" s="500">
        <v>34</v>
      </c>
      <c r="X1805" s="500">
        <v>20.5</v>
      </c>
      <c r="Y1805" s="500">
        <v>1.8</v>
      </c>
      <c r="Z1805" s="154"/>
      <c r="AA1805" s="154"/>
      <c r="AB1805" s="152"/>
      <c r="AC1805" s="152"/>
      <c r="AD1805" s="223"/>
      <c r="AE1805" s="223"/>
      <c r="AF1805" s="223"/>
      <c r="AG1805" s="223"/>
      <c r="AH1805" s="341"/>
      <c r="AI1805" s="218"/>
      <c r="AJ1805" s="218"/>
      <c r="AK1805" s="153"/>
      <c r="AL1805" s="152"/>
      <c r="AM1805" s="152"/>
      <c r="AN1805" s="152"/>
      <c r="AO1805" s="152"/>
      <c r="AP1805" s="152"/>
      <c r="AQ1805" s="152"/>
      <c r="AR1805" s="152"/>
      <c r="AS1805" s="152"/>
      <c r="AT1805" s="152"/>
      <c r="AU1805" s="153"/>
      <c r="AV1805" s="479"/>
      <c r="AW1805" s="479"/>
      <c r="AX1805" s="442"/>
      <c r="AY1805" s="232"/>
      <c r="AZ1805" s="152"/>
      <c r="BA1805" s="152"/>
      <c r="BB1805" s="152"/>
      <c r="BC1805" s="152"/>
      <c r="BD1805" s="152"/>
      <c r="BE1805" s="152"/>
      <c r="BF1805" s="152"/>
      <c r="BG1805" s="152"/>
      <c r="BH1805" s="152"/>
      <c r="BI1805" s="153"/>
      <c r="BJ1805" s="153"/>
      <c r="BK1805" s="153"/>
      <c r="BL1805" s="153"/>
      <c r="BM1805" s="153"/>
      <c r="BN1805" s="153"/>
      <c r="BO1805" s="153"/>
      <c r="BP1805" s="153"/>
      <c r="BQ1805" s="153"/>
      <c r="BR1805" s="153"/>
      <c r="BS1805" s="153"/>
      <c r="BT1805" s="153"/>
      <c r="BU1805" s="153"/>
      <c r="BV1805" s="153"/>
      <c r="BW1805" s="153"/>
      <c r="BX1805" s="153"/>
      <c r="BY1805" s="153"/>
      <c r="BZ1805" s="153"/>
      <c r="CA1805" s="152"/>
      <c r="CB1805" s="152"/>
    </row>
    <row r="1806" spans="1:80" s="87" customFormat="1" x14ac:dyDescent="0.2">
      <c r="A1806" s="152"/>
      <c r="B1806" s="683"/>
      <c r="C1806" s="683"/>
      <c r="D1806" s="698"/>
      <c r="E1806" s="215"/>
      <c r="F1806" s="215"/>
      <c r="G1806" s="153"/>
      <c r="H1806" s="153"/>
      <c r="I1806" s="305">
        <v>19</v>
      </c>
      <c r="J1806" s="164">
        <v>240</v>
      </c>
      <c r="K1806" s="150">
        <v>1</v>
      </c>
      <c r="L1806" s="656">
        <v>76</v>
      </c>
      <c r="M1806" s="661">
        <v>34459</v>
      </c>
      <c r="N1806" s="600">
        <v>1.7553874874345854</v>
      </c>
      <c r="O1806" s="117">
        <v>1.6898100955185563E-3</v>
      </c>
      <c r="P1806" s="101"/>
      <c r="Q1806" s="101"/>
      <c r="R1806" s="101"/>
      <c r="S1806" s="101"/>
      <c r="T1806" s="101">
        <v>3.4</v>
      </c>
      <c r="U1806" s="101">
        <v>20.9</v>
      </c>
      <c r="V1806" s="500">
        <v>35.6</v>
      </c>
      <c r="W1806" s="500">
        <v>26.8</v>
      </c>
      <c r="X1806" s="500">
        <v>11.8</v>
      </c>
      <c r="Y1806" s="500">
        <v>1.5</v>
      </c>
      <c r="Z1806" s="154"/>
      <c r="AA1806" s="154"/>
      <c r="AB1806" s="152"/>
      <c r="AC1806" s="152"/>
      <c r="AD1806" s="223"/>
      <c r="AE1806" s="223"/>
      <c r="AF1806" s="223"/>
      <c r="AG1806" s="223"/>
      <c r="AH1806" s="341"/>
      <c r="AI1806" s="218"/>
      <c r="AJ1806" s="218"/>
      <c r="AK1806" s="153"/>
      <c r="AL1806" s="152"/>
      <c r="AM1806" s="152"/>
      <c r="AN1806" s="152"/>
      <c r="AO1806" s="152"/>
      <c r="AP1806" s="152"/>
      <c r="AQ1806" s="152"/>
      <c r="AR1806" s="152"/>
      <c r="AS1806" s="152"/>
      <c r="AT1806" s="152"/>
      <c r="AU1806" s="153"/>
      <c r="AV1806" s="479"/>
      <c r="AW1806" s="479"/>
      <c r="AX1806" s="442"/>
      <c r="AY1806" s="232"/>
      <c r="AZ1806" s="152"/>
      <c r="BA1806" s="152"/>
      <c r="BB1806" s="152"/>
      <c r="BC1806" s="152"/>
      <c r="BD1806" s="152"/>
      <c r="BE1806" s="152"/>
      <c r="BF1806" s="152"/>
      <c r="BG1806" s="152"/>
      <c r="BH1806" s="152"/>
      <c r="BI1806" s="153"/>
      <c r="BJ1806" s="153"/>
      <c r="BK1806" s="153"/>
      <c r="BL1806" s="153"/>
      <c r="BM1806" s="153"/>
      <c r="BN1806" s="153"/>
      <c r="BO1806" s="153"/>
      <c r="BP1806" s="153"/>
      <c r="BQ1806" s="153"/>
      <c r="BR1806" s="153"/>
      <c r="BS1806" s="153"/>
      <c r="BT1806" s="153"/>
      <c r="BU1806" s="153"/>
      <c r="BV1806" s="153"/>
      <c r="BW1806" s="153"/>
      <c r="BX1806" s="153"/>
      <c r="BY1806" s="153"/>
      <c r="BZ1806" s="153"/>
      <c r="CA1806" s="152"/>
      <c r="CB1806" s="152"/>
    </row>
    <row r="1807" spans="1:80" s="87" customFormat="1" x14ac:dyDescent="0.2">
      <c r="A1807" s="152"/>
      <c r="B1807" s="683"/>
      <c r="C1807" s="683"/>
      <c r="D1807" s="698"/>
      <c r="E1807" s="215"/>
      <c r="F1807" s="215"/>
      <c r="G1807" s="153"/>
      <c r="H1807" s="153"/>
      <c r="I1807" s="305">
        <v>21</v>
      </c>
      <c r="J1807" s="164">
        <v>120</v>
      </c>
      <c r="K1807" s="150">
        <v>1</v>
      </c>
      <c r="L1807" s="656">
        <v>42</v>
      </c>
      <c r="M1807" s="661">
        <v>34463</v>
      </c>
      <c r="N1807" s="600">
        <v>3.8505273917919935</v>
      </c>
      <c r="O1807" s="117">
        <v>2.1726129799524294E-2</v>
      </c>
      <c r="P1807" s="101"/>
      <c r="Q1807" s="101"/>
      <c r="R1807" s="101"/>
      <c r="S1807" s="101"/>
      <c r="T1807" s="101">
        <v>5.9</v>
      </c>
      <c r="U1807" s="101">
        <v>24.5</v>
      </c>
      <c r="V1807" s="500">
        <v>33.5</v>
      </c>
      <c r="W1807" s="500">
        <v>24.1</v>
      </c>
      <c r="X1807" s="500">
        <v>11.5</v>
      </c>
      <c r="Y1807" s="500">
        <v>0.5</v>
      </c>
      <c r="Z1807" s="154"/>
      <c r="AA1807" s="154"/>
      <c r="AB1807" s="152"/>
      <c r="AC1807" s="152"/>
      <c r="AD1807" s="223"/>
      <c r="AE1807" s="223"/>
      <c r="AF1807" s="223"/>
      <c r="AG1807" s="223"/>
      <c r="AH1807" s="341"/>
      <c r="AI1807" s="218"/>
      <c r="AJ1807" s="218"/>
      <c r="AK1807" s="153"/>
      <c r="AL1807" s="152"/>
      <c r="AM1807" s="152"/>
      <c r="AN1807" s="152"/>
      <c r="AO1807" s="152"/>
      <c r="AP1807" s="152"/>
      <c r="AQ1807" s="152"/>
      <c r="AR1807" s="152"/>
      <c r="AS1807" s="152"/>
      <c r="AT1807" s="152"/>
      <c r="AU1807" s="153"/>
      <c r="AV1807" s="479"/>
      <c r="AW1807" s="479"/>
      <c r="AX1807" s="442"/>
      <c r="AY1807" s="232"/>
      <c r="AZ1807" s="152"/>
      <c r="BA1807" s="152"/>
      <c r="BB1807" s="152"/>
      <c r="BC1807" s="152"/>
      <c r="BD1807" s="152"/>
      <c r="BE1807" s="152"/>
      <c r="BF1807" s="152"/>
      <c r="BG1807" s="152"/>
      <c r="BH1807" s="152"/>
      <c r="BI1807" s="153"/>
      <c r="BJ1807" s="153"/>
      <c r="BK1807" s="153"/>
      <c r="BL1807" s="153"/>
      <c r="BM1807" s="153"/>
      <c r="BN1807" s="153"/>
      <c r="BO1807" s="153"/>
      <c r="BP1807" s="153"/>
      <c r="BQ1807" s="153"/>
      <c r="BR1807" s="153"/>
      <c r="BS1807" s="153"/>
      <c r="BT1807" s="153"/>
      <c r="BU1807" s="153"/>
      <c r="BV1807" s="153"/>
      <c r="BW1807" s="153"/>
      <c r="BX1807" s="153"/>
      <c r="BY1807" s="153"/>
      <c r="BZ1807" s="153"/>
      <c r="CA1807" s="152"/>
      <c r="CB1807" s="152"/>
    </row>
    <row r="1808" spans="1:80" s="87" customFormat="1" x14ac:dyDescent="0.2">
      <c r="A1808" s="152"/>
      <c r="B1808" s="683"/>
      <c r="C1808" s="683"/>
      <c r="D1808" s="698"/>
      <c r="E1808" s="215"/>
      <c r="F1808" s="215"/>
      <c r="G1808" s="153"/>
      <c r="H1808" s="153"/>
      <c r="I1808" s="305">
        <v>20</v>
      </c>
      <c r="J1808" s="164">
        <v>120</v>
      </c>
      <c r="K1808" s="150">
        <v>1</v>
      </c>
      <c r="L1808" s="656">
        <v>40</v>
      </c>
      <c r="M1808" s="661">
        <v>34464</v>
      </c>
      <c r="N1808" s="600">
        <v>4.5300322256376395</v>
      </c>
      <c r="O1808" s="117">
        <v>8.4280590478347857E-4</v>
      </c>
      <c r="P1808" s="101"/>
      <c r="Q1808" s="101"/>
      <c r="R1808" s="101"/>
      <c r="S1808" s="101"/>
      <c r="T1808" s="101">
        <v>1</v>
      </c>
      <c r="U1808" s="101">
        <v>3.1</v>
      </c>
      <c r="V1808" s="500">
        <v>17.2</v>
      </c>
      <c r="W1808" s="500">
        <v>34.299999999999997</v>
      </c>
      <c r="X1808" s="500">
        <v>38.1</v>
      </c>
      <c r="Y1808" s="500">
        <v>6.4</v>
      </c>
      <c r="Z1808" s="154"/>
      <c r="AA1808" s="154"/>
      <c r="AB1808" s="152"/>
      <c r="AC1808" s="152"/>
      <c r="AD1808" s="223"/>
      <c r="AE1808" s="223"/>
      <c r="AF1808" s="223"/>
      <c r="AG1808" s="223"/>
      <c r="AH1808" s="341"/>
      <c r="AI1808" s="218"/>
      <c r="AJ1808" s="218"/>
      <c r="AK1808" s="153"/>
      <c r="AL1808" s="152"/>
      <c r="AM1808" s="152"/>
      <c r="AN1808" s="152"/>
      <c r="AO1808" s="152"/>
      <c r="AP1808" s="152"/>
      <c r="AQ1808" s="152"/>
      <c r="AR1808" s="152"/>
      <c r="AS1808" s="152"/>
      <c r="AT1808" s="152"/>
      <c r="AU1808" s="153"/>
      <c r="AV1808" s="479"/>
      <c r="AW1808" s="479"/>
      <c r="AX1808" s="442"/>
      <c r="AY1808" s="232"/>
      <c r="AZ1808" s="152"/>
      <c r="BA1808" s="152"/>
      <c r="BB1808" s="152"/>
      <c r="BC1808" s="152"/>
      <c r="BD1808" s="152"/>
      <c r="BE1808" s="152"/>
      <c r="BF1808" s="152"/>
      <c r="BG1808" s="152"/>
      <c r="BH1808" s="152"/>
      <c r="BI1808" s="153"/>
      <c r="BJ1808" s="153"/>
      <c r="BK1808" s="153"/>
      <c r="BL1808" s="153"/>
      <c r="BM1808" s="153"/>
      <c r="BN1808" s="153"/>
      <c r="BO1808" s="153"/>
      <c r="BP1808" s="153"/>
      <c r="BQ1808" s="153"/>
      <c r="BR1808" s="153"/>
      <c r="BS1808" s="153"/>
      <c r="BT1808" s="153"/>
      <c r="BU1808" s="153"/>
      <c r="BV1808" s="153"/>
      <c r="BW1808" s="153"/>
      <c r="BX1808" s="153"/>
      <c r="BY1808" s="153"/>
      <c r="BZ1808" s="153"/>
      <c r="CA1808" s="152"/>
      <c r="CB1808" s="152"/>
    </row>
    <row r="1809" spans="1:80" s="87" customFormat="1" x14ac:dyDescent="0.2">
      <c r="A1809" s="152"/>
      <c r="B1809" s="683"/>
      <c r="C1809" s="683"/>
      <c r="D1809" s="698"/>
      <c r="E1809" s="215"/>
      <c r="F1809" s="215"/>
      <c r="G1809" s="153"/>
      <c r="H1809" s="153"/>
      <c r="I1809" s="305">
        <v>20</v>
      </c>
      <c r="J1809" s="164">
        <v>120</v>
      </c>
      <c r="K1809" s="150">
        <v>1</v>
      </c>
      <c r="L1809" s="656">
        <v>40</v>
      </c>
      <c r="M1809" s="661">
        <v>34465</v>
      </c>
      <c r="N1809" s="600">
        <v>3.4541495720487001</v>
      </c>
      <c r="O1809" s="117">
        <v>6.8537018159852007E-3</v>
      </c>
      <c r="P1809" s="101"/>
      <c r="Q1809" s="101"/>
      <c r="R1809" s="101"/>
      <c r="S1809" s="101">
        <v>1.9</v>
      </c>
      <c r="T1809" s="101">
        <v>4.0999999999999996</v>
      </c>
      <c r="U1809" s="101">
        <v>16.8</v>
      </c>
      <c r="V1809" s="500">
        <v>29.6</v>
      </c>
      <c r="W1809" s="500">
        <v>27</v>
      </c>
      <c r="X1809" s="500">
        <v>19.5</v>
      </c>
      <c r="Y1809" s="500">
        <v>1.1000000000000001</v>
      </c>
      <c r="Z1809" s="154"/>
      <c r="AA1809" s="154"/>
      <c r="AB1809" s="152"/>
      <c r="AC1809" s="152"/>
      <c r="AD1809" s="223"/>
      <c r="AE1809" s="223"/>
      <c r="AF1809" s="223"/>
      <c r="AG1809" s="223"/>
      <c r="AH1809" s="341"/>
      <c r="AI1809" s="218"/>
      <c r="AJ1809" s="218"/>
      <c r="AK1809" s="153"/>
      <c r="AL1809" s="152"/>
      <c r="AM1809" s="152"/>
      <c r="AN1809" s="152"/>
      <c r="AO1809" s="152"/>
      <c r="AP1809" s="152"/>
      <c r="AQ1809" s="152"/>
      <c r="AR1809" s="152"/>
      <c r="AS1809" s="152"/>
      <c r="AT1809" s="152"/>
      <c r="AU1809" s="153"/>
      <c r="AV1809" s="479"/>
      <c r="AW1809" s="479"/>
      <c r="AX1809" s="442"/>
      <c r="AY1809" s="232"/>
      <c r="AZ1809" s="152"/>
      <c r="BA1809" s="152"/>
      <c r="BB1809" s="152"/>
      <c r="BC1809" s="152"/>
      <c r="BD1809" s="152"/>
      <c r="BE1809" s="152"/>
      <c r="BF1809" s="152"/>
      <c r="BG1809" s="152"/>
      <c r="BH1809" s="152"/>
      <c r="BI1809" s="153"/>
      <c r="BJ1809" s="153"/>
      <c r="BK1809" s="153"/>
      <c r="BL1809" s="153"/>
      <c r="BM1809" s="153"/>
      <c r="BN1809" s="153"/>
      <c r="BO1809" s="153"/>
      <c r="BP1809" s="153"/>
      <c r="BQ1809" s="153"/>
      <c r="BR1809" s="153"/>
      <c r="BS1809" s="153"/>
      <c r="BT1809" s="153"/>
      <c r="BU1809" s="153"/>
      <c r="BV1809" s="153"/>
      <c r="BW1809" s="153"/>
      <c r="BX1809" s="153"/>
      <c r="BY1809" s="153"/>
      <c r="BZ1809" s="153"/>
      <c r="CA1809" s="152"/>
      <c r="CB1809" s="152"/>
    </row>
    <row r="1810" spans="1:80" s="87" customFormat="1" x14ac:dyDescent="0.2">
      <c r="A1810" s="152"/>
      <c r="B1810" s="683"/>
      <c r="C1810" s="683"/>
      <c r="D1810" s="698"/>
      <c r="E1810" s="215"/>
      <c r="F1810" s="215"/>
      <c r="G1810" s="153"/>
      <c r="H1810" s="153"/>
      <c r="I1810" s="305">
        <v>20</v>
      </c>
      <c r="J1810" s="164">
        <v>60</v>
      </c>
      <c r="K1810" s="150">
        <v>1</v>
      </c>
      <c r="L1810" s="656">
        <v>20</v>
      </c>
      <c r="M1810" s="661">
        <v>34471</v>
      </c>
      <c r="N1810" s="600">
        <v>1.8403255916652912</v>
      </c>
      <c r="O1810" s="117">
        <v>9.3306905274285496E-3</v>
      </c>
      <c r="P1810" s="101"/>
      <c r="Q1810" s="101"/>
      <c r="R1810" s="101"/>
      <c r="S1810" s="101"/>
      <c r="T1810" s="101">
        <v>11.2</v>
      </c>
      <c r="U1810" s="101">
        <v>36.299999999999997</v>
      </c>
      <c r="V1810" s="500">
        <v>34.799999999999997</v>
      </c>
      <c r="W1810" s="500">
        <v>13.1</v>
      </c>
      <c r="X1810" s="500">
        <v>4.4000000000000004</v>
      </c>
      <c r="Y1810" s="500">
        <v>0.3</v>
      </c>
      <c r="Z1810" s="154"/>
      <c r="AA1810" s="154"/>
      <c r="AB1810" s="152"/>
      <c r="AC1810" s="152"/>
      <c r="AD1810" s="223"/>
      <c r="AE1810" s="223"/>
      <c r="AF1810" s="223"/>
      <c r="AG1810" s="223"/>
      <c r="AH1810" s="341"/>
      <c r="AI1810" s="218"/>
      <c r="AJ1810" s="218"/>
      <c r="AK1810" s="153"/>
      <c r="AL1810" s="152"/>
      <c r="AM1810" s="152"/>
      <c r="AN1810" s="152"/>
      <c r="AO1810" s="152"/>
      <c r="AP1810" s="152"/>
      <c r="AQ1810" s="152"/>
      <c r="AR1810" s="152"/>
      <c r="AS1810" s="152"/>
      <c r="AT1810" s="152"/>
      <c r="AU1810" s="153"/>
      <c r="AV1810" s="479"/>
      <c r="AW1810" s="479"/>
      <c r="AX1810" s="442"/>
      <c r="AY1810" s="232"/>
      <c r="AZ1810" s="152"/>
      <c r="BA1810" s="152"/>
      <c r="BB1810" s="152"/>
      <c r="BC1810" s="152"/>
      <c r="BD1810" s="152"/>
      <c r="BE1810" s="152"/>
      <c r="BF1810" s="152"/>
      <c r="BG1810" s="152"/>
      <c r="BH1810" s="152"/>
      <c r="BI1810" s="153"/>
      <c r="BJ1810" s="153"/>
      <c r="BK1810" s="153"/>
      <c r="BL1810" s="153"/>
      <c r="BM1810" s="153"/>
      <c r="BN1810" s="153"/>
      <c r="BO1810" s="153"/>
      <c r="BP1810" s="153"/>
      <c r="BQ1810" s="153"/>
      <c r="BR1810" s="153"/>
      <c r="BS1810" s="153"/>
      <c r="BT1810" s="153"/>
      <c r="BU1810" s="153"/>
      <c r="BV1810" s="153"/>
      <c r="BW1810" s="153"/>
      <c r="BX1810" s="153"/>
      <c r="BY1810" s="153"/>
      <c r="BZ1810" s="153"/>
      <c r="CA1810" s="152"/>
      <c r="CB1810" s="152"/>
    </row>
    <row r="1811" spans="1:80" s="87" customFormat="1" x14ac:dyDescent="0.2">
      <c r="A1811" s="152"/>
      <c r="B1811" s="683"/>
      <c r="C1811" s="683"/>
      <c r="D1811" s="698"/>
      <c r="E1811" s="215"/>
      <c r="F1811" s="215"/>
      <c r="G1811" s="153"/>
      <c r="H1811" s="153"/>
      <c r="I1811" s="305">
        <v>20</v>
      </c>
      <c r="J1811" s="164">
        <v>60</v>
      </c>
      <c r="K1811" s="150">
        <v>1</v>
      </c>
      <c r="L1811" s="656">
        <v>20</v>
      </c>
      <c r="M1811" s="661">
        <v>34471</v>
      </c>
      <c r="N1811" s="600">
        <v>1.8403255916652912</v>
      </c>
      <c r="O1811" s="117">
        <v>1.5428700872125948E-3</v>
      </c>
      <c r="P1811" s="101"/>
      <c r="Q1811" s="101"/>
      <c r="R1811" s="101"/>
      <c r="S1811" s="101"/>
      <c r="T1811" s="101">
        <v>2.7</v>
      </c>
      <c r="U1811" s="101">
        <v>12.4</v>
      </c>
      <c r="V1811" s="500">
        <v>36.200000000000003</v>
      </c>
      <c r="W1811" s="500">
        <v>30.5</v>
      </c>
      <c r="X1811" s="500">
        <v>15.9</v>
      </c>
      <c r="Y1811" s="500">
        <v>2.2999999999999998</v>
      </c>
      <c r="Z1811" s="154"/>
      <c r="AA1811" s="154"/>
      <c r="AB1811" s="152"/>
      <c r="AC1811" s="152"/>
      <c r="AD1811" s="223"/>
      <c r="AE1811" s="223"/>
      <c r="AF1811" s="223"/>
      <c r="AG1811" s="223"/>
      <c r="AH1811" s="341"/>
      <c r="AI1811" s="218"/>
      <c r="AJ1811" s="218"/>
      <c r="AK1811" s="153"/>
      <c r="AL1811" s="152"/>
      <c r="AM1811" s="152"/>
      <c r="AN1811" s="152"/>
      <c r="AO1811" s="152"/>
      <c r="AP1811" s="152"/>
      <c r="AQ1811" s="152"/>
      <c r="AR1811" s="152"/>
      <c r="AS1811" s="152"/>
      <c r="AT1811" s="152"/>
      <c r="AU1811" s="153"/>
      <c r="AV1811" s="479"/>
      <c r="AW1811" s="479"/>
      <c r="AX1811" s="442"/>
      <c r="AY1811" s="232"/>
      <c r="AZ1811" s="152"/>
      <c r="BA1811" s="152"/>
      <c r="BB1811" s="152"/>
      <c r="BC1811" s="152"/>
      <c r="BD1811" s="152"/>
      <c r="BE1811" s="152"/>
      <c r="BF1811" s="152"/>
      <c r="BG1811" s="152"/>
      <c r="BH1811" s="152"/>
      <c r="BI1811" s="153"/>
      <c r="BJ1811" s="153"/>
      <c r="BK1811" s="153"/>
      <c r="BL1811" s="153"/>
      <c r="BM1811" s="153"/>
      <c r="BN1811" s="153"/>
      <c r="BO1811" s="153"/>
      <c r="BP1811" s="153"/>
      <c r="BQ1811" s="153"/>
      <c r="BR1811" s="153"/>
      <c r="BS1811" s="153"/>
      <c r="BT1811" s="153"/>
      <c r="BU1811" s="153"/>
      <c r="BV1811" s="153"/>
      <c r="BW1811" s="153"/>
      <c r="BX1811" s="153"/>
      <c r="BY1811" s="153"/>
      <c r="BZ1811" s="153"/>
      <c r="CA1811" s="152"/>
      <c r="CB1811" s="152"/>
    </row>
    <row r="1812" spans="1:80" s="87" customFormat="1" x14ac:dyDescent="0.2">
      <c r="A1812" s="152"/>
      <c r="B1812" s="683"/>
      <c r="C1812" s="683"/>
      <c r="D1812" s="698"/>
      <c r="E1812" s="215"/>
      <c r="F1812" s="215"/>
      <c r="G1812" s="153"/>
      <c r="H1812" s="153"/>
      <c r="I1812" s="305">
        <v>20</v>
      </c>
      <c r="J1812" s="164">
        <v>60</v>
      </c>
      <c r="K1812" s="150">
        <v>1</v>
      </c>
      <c r="L1812" s="656">
        <v>20</v>
      </c>
      <c r="M1812" s="661">
        <v>34472</v>
      </c>
      <c r="N1812" s="600">
        <v>1.4722604733322329</v>
      </c>
      <c r="O1812" s="117">
        <v>1.5008872276966059E-3</v>
      </c>
      <c r="P1812" s="101"/>
      <c r="Q1812" s="101"/>
      <c r="R1812" s="101"/>
      <c r="S1812" s="101"/>
      <c r="T1812" s="101"/>
      <c r="U1812" s="101">
        <v>12.1</v>
      </c>
      <c r="V1812" s="500">
        <v>38.1</v>
      </c>
      <c r="W1812" s="500">
        <v>30.3</v>
      </c>
      <c r="X1812" s="500">
        <v>17.5</v>
      </c>
      <c r="Y1812" s="500">
        <v>1.9</v>
      </c>
      <c r="Z1812" s="154"/>
      <c r="AA1812" s="154"/>
      <c r="AB1812" s="152"/>
      <c r="AC1812" s="152"/>
      <c r="AD1812" s="223"/>
      <c r="AE1812" s="223"/>
      <c r="AF1812" s="223"/>
      <c r="AG1812" s="223"/>
      <c r="AH1812" s="341"/>
      <c r="AI1812" s="218"/>
      <c r="AJ1812" s="218"/>
      <c r="AK1812" s="153"/>
      <c r="AL1812" s="152"/>
      <c r="AM1812" s="152"/>
      <c r="AN1812" s="152"/>
      <c r="AO1812" s="152"/>
      <c r="AP1812" s="152"/>
      <c r="AQ1812" s="152"/>
      <c r="AR1812" s="152"/>
      <c r="AS1812" s="152"/>
      <c r="AT1812" s="152"/>
      <c r="AU1812" s="153"/>
      <c r="AV1812" s="479"/>
      <c r="AW1812" s="479"/>
      <c r="AX1812" s="442"/>
      <c r="AY1812" s="232"/>
      <c r="AZ1812" s="152"/>
      <c r="BA1812" s="152"/>
      <c r="BB1812" s="152"/>
      <c r="BC1812" s="152"/>
      <c r="BD1812" s="152"/>
      <c r="BE1812" s="152"/>
      <c r="BF1812" s="152"/>
      <c r="BG1812" s="152"/>
      <c r="BH1812" s="152"/>
      <c r="BI1812" s="153"/>
      <c r="BJ1812" s="153"/>
      <c r="BK1812" s="153"/>
      <c r="BL1812" s="153"/>
      <c r="BM1812" s="153"/>
      <c r="BN1812" s="153"/>
      <c r="BO1812" s="153"/>
      <c r="BP1812" s="153"/>
      <c r="BQ1812" s="153"/>
      <c r="BR1812" s="153"/>
      <c r="BS1812" s="153"/>
      <c r="BT1812" s="153"/>
      <c r="BU1812" s="153"/>
      <c r="BV1812" s="153"/>
      <c r="BW1812" s="153"/>
      <c r="BX1812" s="153"/>
      <c r="BY1812" s="153"/>
      <c r="BZ1812" s="153"/>
      <c r="CA1812" s="152"/>
      <c r="CB1812" s="152"/>
    </row>
    <row r="1813" spans="1:80" s="87" customFormat="1" x14ac:dyDescent="0.2">
      <c r="A1813" s="152"/>
      <c r="B1813" s="683"/>
      <c r="C1813" s="683"/>
      <c r="D1813" s="698"/>
      <c r="E1813" s="215"/>
      <c r="F1813" s="215"/>
      <c r="G1813" s="153"/>
      <c r="H1813" s="153"/>
      <c r="I1813" s="305">
        <v>20</v>
      </c>
      <c r="J1813" s="164">
        <v>60</v>
      </c>
      <c r="K1813" s="150">
        <v>1</v>
      </c>
      <c r="L1813" s="656">
        <v>20</v>
      </c>
      <c r="M1813" s="661">
        <v>34472</v>
      </c>
      <c r="N1813" s="600">
        <v>1.4722604733322329</v>
      </c>
      <c r="O1813" s="117">
        <v>1.1125457771737077E-3</v>
      </c>
      <c r="P1813" s="101"/>
      <c r="Q1813" s="101"/>
      <c r="R1813" s="101"/>
      <c r="S1813" s="101"/>
      <c r="T1813" s="101"/>
      <c r="U1813" s="101">
        <v>7.9</v>
      </c>
      <c r="V1813" s="500">
        <v>30.4</v>
      </c>
      <c r="W1813" s="500">
        <v>32.5</v>
      </c>
      <c r="X1813" s="500">
        <v>26.7</v>
      </c>
      <c r="Y1813" s="500">
        <v>2.6</v>
      </c>
      <c r="Z1813" s="154"/>
      <c r="AA1813" s="154"/>
      <c r="AB1813" s="152"/>
      <c r="AC1813" s="152"/>
      <c r="AD1813" s="223"/>
      <c r="AE1813" s="223"/>
      <c r="AF1813" s="223"/>
      <c r="AG1813" s="223"/>
      <c r="AH1813" s="341"/>
      <c r="AI1813" s="218"/>
      <c r="AJ1813" s="218"/>
      <c r="AK1813" s="153"/>
      <c r="AL1813" s="152"/>
      <c r="AM1813" s="152"/>
      <c r="AN1813" s="152"/>
      <c r="AO1813" s="152"/>
      <c r="AP1813" s="152"/>
      <c r="AQ1813" s="152"/>
      <c r="AR1813" s="152"/>
      <c r="AS1813" s="152"/>
      <c r="AT1813" s="152"/>
      <c r="AU1813" s="153"/>
      <c r="AV1813" s="479"/>
      <c r="AW1813" s="479"/>
      <c r="AX1813" s="442"/>
      <c r="AY1813" s="232"/>
      <c r="AZ1813" s="152"/>
      <c r="BA1813" s="152"/>
      <c r="BB1813" s="152"/>
      <c r="BC1813" s="152"/>
      <c r="BD1813" s="152"/>
      <c r="BE1813" s="152"/>
      <c r="BF1813" s="152"/>
      <c r="BG1813" s="152"/>
      <c r="BH1813" s="152"/>
      <c r="BI1813" s="153"/>
      <c r="BJ1813" s="153"/>
      <c r="BK1813" s="153"/>
      <c r="BL1813" s="153"/>
      <c r="BM1813" s="153"/>
      <c r="BN1813" s="153"/>
      <c r="BO1813" s="153"/>
      <c r="BP1813" s="153"/>
      <c r="BQ1813" s="153"/>
      <c r="BR1813" s="153"/>
      <c r="BS1813" s="153"/>
      <c r="BT1813" s="153"/>
      <c r="BU1813" s="153"/>
      <c r="BV1813" s="153"/>
      <c r="BW1813" s="153"/>
      <c r="BX1813" s="153"/>
      <c r="BY1813" s="153"/>
      <c r="BZ1813" s="153"/>
      <c r="CA1813" s="152"/>
      <c r="CB1813" s="152"/>
    </row>
    <row r="1814" spans="1:80" s="87" customFormat="1" x14ac:dyDescent="0.2">
      <c r="A1814" s="152"/>
      <c r="B1814" s="683"/>
      <c r="C1814" s="683"/>
      <c r="D1814" s="698"/>
      <c r="E1814" s="215"/>
      <c r="F1814" s="215"/>
      <c r="G1814" s="153"/>
      <c r="H1814" s="153"/>
      <c r="I1814" s="305">
        <v>20</v>
      </c>
      <c r="J1814" s="164">
        <v>60</v>
      </c>
      <c r="K1814" s="150">
        <v>1</v>
      </c>
      <c r="L1814" s="656">
        <v>20</v>
      </c>
      <c r="M1814" s="661">
        <v>34473</v>
      </c>
      <c r="N1814" s="600">
        <v>1.4722604733322329</v>
      </c>
      <c r="O1814" s="117">
        <v>3.8939102201079774E-3</v>
      </c>
      <c r="P1814" s="101"/>
      <c r="Q1814" s="101"/>
      <c r="R1814" s="101"/>
      <c r="S1814" s="101"/>
      <c r="T1814" s="101">
        <v>1</v>
      </c>
      <c r="U1814" s="101">
        <v>16.899999999999999</v>
      </c>
      <c r="V1814" s="500">
        <v>39.4</v>
      </c>
      <c r="W1814" s="500">
        <v>30.1</v>
      </c>
      <c r="X1814" s="500">
        <v>11.7</v>
      </c>
      <c r="Y1814" s="500">
        <v>0.9</v>
      </c>
      <c r="Z1814" s="154"/>
      <c r="AA1814" s="154"/>
      <c r="AB1814" s="152"/>
      <c r="AC1814" s="152"/>
      <c r="AD1814" s="223"/>
      <c r="AE1814" s="223"/>
      <c r="AF1814" s="223"/>
      <c r="AG1814" s="223"/>
      <c r="AH1814" s="341"/>
      <c r="AI1814" s="218"/>
      <c r="AJ1814" s="218"/>
      <c r="AK1814" s="153"/>
      <c r="AL1814" s="152"/>
      <c r="AM1814" s="152"/>
      <c r="AN1814" s="152"/>
      <c r="AO1814" s="152"/>
      <c r="AP1814" s="152"/>
      <c r="AQ1814" s="152"/>
      <c r="AR1814" s="152"/>
      <c r="AS1814" s="152"/>
      <c r="AT1814" s="152"/>
      <c r="AU1814" s="153"/>
      <c r="AV1814" s="479"/>
      <c r="AW1814" s="479"/>
      <c r="AX1814" s="442"/>
      <c r="AY1814" s="232"/>
      <c r="AZ1814" s="152"/>
      <c r="BA1814" s="152"/>
      <c r="BB1814" s="152"/>
      <c r="BC1814" s="152"/>
      <c r="BD1814" s="152"/>
      <c r="BE1814" s="152"/>
      <c r="BF1814" s="152"/>
      <c r="BG1814" s="152"/>
      <c r="BH1814" s="152"/>
      <c r="BI1814" s="153"/>
      <c r="BJ1814" s="153"/>
      <c r="BK1814" s="153"/>
      <c r="BL1814" s="153"/>
      <c r="BM1814" s="153"/>
      <c r="BN1814" s="153"/>
      <c r="BO1814" s="153"/>
      <c r="BP1814" s="153"/>
      <c r="BQ1814" s="153"/>
      <c r="BR1814" s="153"/>
      <c r="BS1814" s="153"/>
      <c r="BT1814" s="153"/>
      <c r="BU1814" s="153"/>
      <c r="BV1814" s="153"/>
      <c r="BW1814" s="153"/>
      <c r="BX1814" s="153"/>
      <c r="BY1814" s="153"/>
      <c r="BZ1814" s="153"/>
      <c r="CA1814" s="152"/>
      <c r="CB1814" s="152"/>
    </row>
    <row r="1815" spans="1:80" s="87" customFormat="1" x14ac:dyDescent="0.2">
      <c r="A1815" s="152"/>
      <c r="B1815" s="683"/>
      <c r="C1815" s="683"/>
      <c r="D1815" s="698"/>
      <c r="E1815" s="215"/>
      <c r="F1815" s="215"/>
      <c r="G1815" s="153"/>
      <c r="H1815" s="153"/>
      <c r="I1815" s="305">
        <v>20</v>
      </c>
      <c r="J1815" s="164">
        <v>60</v>
      </c>
      <c r="K1815" s="150">
        <v>1</v>
      </c>
      <c r="L1815" s="656">
        <v>20</v>
      </c>
      <c r="M1815" s="661">
        <v>34473</v>
      </c>
      <c r="N1815" s="600">
        <v>1.4722604733322329</v>
      </c>
      <c r="O1815" s="117">
        <v>7.9137690187639203E-4</v>
      </c>
      <c r="P1815" s="101"/>
      <c r="Q1815" s="101"/>
      <c r="R1815" s="101"/>
      <c r="S1815" s="101"/>
      <c r="T1815" s="101">
        <v>14</v>
      </c>
      <c r="U1815" s="101">
        <v>12.4</v>
      </c>
      <c r="V1815" s="500">
        <v>29.4</v>
      </c>
      <c r="W1815" s="500">
        <v>27.4</v>
      </c>
      <c r="X1815" s="500">
        <v>15.2</v>
      </c>
      <c r="Y1815" s="500">
        <v>1.5</v>
      </c>
      <c r="Z1815" s="154"/>
      <c r="AA1815" s="154"/>
      <c r="AB1815" s="152"/>
      <c r="AC1815" s="152"/>
      <c r="AD1815" s="223"/>
      <c r="AE1815" s="223"/>
      <c r="AF1815" s="223"/>
      <c r="AG1815" s="223"/>
      <c r="AH1815" s="341"/>
      <c r="AI1815" s="218"/>
      <c r="AJ1815" s="218"/>
      <c r="AK1815" s="153"/>
      <c r="AL1815" s="152"/>
      <c r="AM1815" s="152"/>
      <c r="AN1815" s="152"/>
      <c r="AO1815" s="152"/>
      <c r="AP1815" s="152"/>
      <c r="AQ1815" s="152"/>
      <c r="AR1815" s="152"/>
      <c r="AS1815" s="152"/>
      <c r="AT1815" s="152"/>
      <c r="AU1815" s="153"/>
      <c r="AV1815" s="479"/>
      <c r="AW1815" s="479"/>
      <c r="AX1815" s="442"/>
      <c r="AY1815" s="232"/>
      <c r="AZ1815" s="152"/>
      <c r="BA1815" s="152"/>
      <c r="BB1815" s="152"/>
      <c r="BC1815" s="152"/>
      <c r="BD1815" s="152"/>
      <c r="BE1815" s="152"/>
      <c r="BF1815" s="152"/>
      <c r="BG1815" s="152"/>
      <c r="BH1815" s="152"/>
      <c r="BI1815" s="153"/>
      <c r="BJ1815" s="153"/>
      <c r="BK1815" s="153"/>
      <c r="BL1815" s="153"/>
      <c r="BM1815" s="153"/>
      <c r="BN1815" s="153"/>
      <c r="BO1815" s="153"/>
      <c r="BP1815" s="153"/>
      <c r="BQ1815" s="153"/>
      <c r="BR1815" s="153"/>
      <c r="BS1815" s="153"/>
      <c r="BT1815" s="153"/>
      <c r="BU1815" s="153"/>
      <c r="BV1815" s="153"/>
      <c r="BW1815" s="153"/>
      <c r="BX1815" s="153"/>
      <c r="BY1815" s="153"/>
      <c r="BZ1815" s="153"/>
      <c r="CA1815" s="152"/>
      <c r="CB1815" s="152"/>
    </row>
    <row r="1816" spans="1:80" s="87" customFormat="1" x14ac:dyDescent="0.2">
      <c r="A1816" s="152"/>
      <c r="B1816" s="683"/>
      <c r="C1816" s="683"/>
      <c r="D1816" s="698"/>
      <c r="E1816" s="215"/>
      <c r="F1816" s="215"/>
      <c r="G1816" s="153"/>
      <c r="H1816" s="153"/>
      <c r="I1816" s="305">
        <v>20</v>
      </c>
      <c r="J1816" s="164">
        <v>120</v>
      </c>
      <c r="K1816" s="150">
        <v>1</v>
      </c>
      <c r="L1816" s="656">
        <v>40</v>
      </c>
      <c r="M1816" s="661">
        <v>34477</v>
      </c>
      <c r="N1816" s="600">
        <v>1.4722604733322329</v>
      </c>
      <c r="O1816" s="117">
        <v>2.5294672858383357E-3</v>
      </c>
      <c r="P1816" s="101"/>
      <c r="Q1816" s="101"/>
      <c r="R1816" s="101"/>
      <c r="S1816" s="101"/>
      <c r="T1816" s="101">
        <v>2.9</v>
      </c>
      <c r="U1816" s="101">
        <v>13.6</v>
      </c>
      <c r="V1816" s="500">
        <v>36.9</v>
      </c>
      <c r="W1816" s="500">
        <v>30.8</v>
      </c>
      <c r="X1816" s="500">
        <v>14.8</v>
      </c>
      <c r="Y1816" s="500">
        <v>1</v>
      </c>
      <c r="Z1816" s="154"/>
      <c r="AA1816" s="154"/>
      <c r="AB1816" s="152"/>
      <c r="AC1816" s="152"/>
      <c r="AD1816" s="223"/>
      <c r="AE1816" s="223"/>
      <c r="AF1816" s="223"/>
      <c r="AG1816" s="223"/>
      <c r="AH1816" s="341"/>
      <c r="AI1816" s="218"/>
      <c r="AJ1816" s="218"/>
      <c r="AK1816" s="153"/>
      <c r="AL1816" s="152"/>
      <c r="AM1816" s="152"/>
      <c r="AN1816" s="152"/>
      <c r="AO1816" s="152"/>
      <c r="AP1816" s="152"/>
      <c r="AQ1816" s="152"/>
      <c r="AR1816" s="152"/>
      <c r="AS1816" s="152"/>
      <c r="AT1816" s="152"/>
      <c r="AU1816" s="153"/>
      <c r="AV1816" s="479"/>
      <c r="AW1816" s="479"/>
      <c r="AX1816" s="442"/>
      <c r="AY1816" s="232"/>
      <c r="AZ1816" s="152"/>
      <c r="BA1816" s="152"/>
      <c r="BB1816" s="152"/>
      <c r="BC1816" s="152"/>
      <c r="BD1816" s="152"/>
      <c r="BE1816" s="152"/>
      <c r="BF1816" s="152"/>
      <c r="BG1816" s="152"/>
      <c r="BH1816" s="152"/>
      <c r="BI1816" s="153"/>
      <c r="BJ1816" s="153"/>
      <c r="BK1816" s="153"/>
      <c r="BL1816" s="153"/>
      <c r="BM1816" s="153"/>
      <c r="BN1816" s="153"/>
      <c r="BO1816" s="153"/>
      <c r="BP1816" s="153"/>
      <c r="BQ1816" s="153"/>
      <c r="BR1816" s="153"/>
      <c r="BS1816" s="153"/>
      <c r="BT1816" s="153"/>
      <c r="BU1816" s="153"/>
      <c r="BV1816" s="153"/>
      <c r="BW1816" s="153"/>
      <c r="BX1816" s="153"/>
      <c r="BY1816" s="153"/>
      <c r="BZ1816" s="153"/>
      <c r="CA1816" s="152"/>
      <c r="CB1816" s="152"/>
    </row>
    <row r="1817" spans="1:80" s="87" customFormat="1" x14ac:dyDescent="0.2">
      <c r="A1817" s="152"/>
      <c r="B1817" s="683"/>
      <c r="C1817" s="683"/>
      <c r="D1817" s="698"/>
      <c r="E1817" s="215"/>
      <c r="F1817" s="215"/>
      <c r="G1817" s="153"/>
      <c r="H1817" s="153"/>
      <c r="I1817" s="305">
        <v>20</v>
      </c>
      <c r="J1817" s="164">
        <v>120</v>
      </c>
      <c r="K1817" s="150">
        <v>1</v>
      </c>
      <c r="L1817" s="656">
        <v>40</v>
      </c>
      <c r="M1817" s="661">
        <v>34478</v>
      </c>
      <c r="N1817" s="600">
        <v>1.4156350705117624</v>
      </c>
      <c r="O1817" s="117">
        <v>6.549326084494281E-4</v>
      </c>
      <c r="P1817" s="101"/>
      <c r="Q1817" s="101"/>
      <c r="R1817" s="101"/>
      <c r="S1817" s="101"/>
      <c r="T1817" s="101"/>
      <c r="U1817" s="101">
        <v>6.8</v>
      </c>
      <c r="V1817" s="500">
        <v>32.6</v>
      </c>
      <c r="W1817" s="500">
        <v>38.1</v>
      </c>
      <c r="X1817" s="500">
        <v>20.9</v>
      </c>
      <c r="Y1817" s="500">
        <v>1.7</v>
      </c>
      <c r="Z1817" s="154"/>
      <c r="AA1817" s="154"/>
      <c r="AB1817" s="152"/>
      <c r="AC1817" s="152"/>
      <c r="AD1817" s="223"/>
      <c r="AE1817" s="223"/>
      <c r="AF1817" s="223"/>
      <c r="AG1817" s="223"/>
      <c r="AH1817" s="341"/>
      <c r="AI1817" s="218"/>
      <c r="AJ1817" s="218"/>
      <c r="AK1817" s="153"/>
      <c r="AL1817" s="152"/>
      <c r="AM1817" s="152"/>
      <c r="AN1817" s="152"/>
      <c r="AO1817" s="152"/>
      <c r="AP1817" s="152"/>
      <c r="AQ1817" s="152"/>
      <c r="AR1817" s="152"/>
      <c r="AS1817" s="152"/>
      <c r="AT1817" s="152"/>
      <c r="AU1817" s="153"/>
      <c r="AV1817" s="479"/>
      <c r="AW1817" s="479"/>
      <c r="AX1817" s="442"/>
      <c r="AY1817" s="232"/>
      <c r="AZ1817" s="152"/>
      <c r="BA1817" s="152"/>
      <c r="BB1817" s="152"/>
      <c r="BC1817" s="152"/>
      <c r="BD1817" s="152"/>
      <c r="BE1817" s="152"/>
      <c r="BF1817" s="152"/>
      <c r="BG1817" s="152"/>
      <c r="BH1817" s="152"/>
      <c r="BI1817" s="153"/>
      <c r="BJ1817" s="153"/>
      <c r="BK1817" s="153"/>
      <c r="BL1817" s="153"/>
      <c r="BM1817" s="153"/>
      <c r="BN1817" s="153"/>
      <c r="BO1817" s="153"/>
      <c r="BP1817" s="153"/>
      <c r="BQ1817" s="153"/>
      <c r="BR1817" s="153"/>
      <c r="BS1817" s="153"/>
      <c r="BT1817" s="153"/>
      <c r="BU1817" s="153"/>
      <c r="BV1817" s="153"/>
      <c r="BW1817" s="153"/>
      <c r="BX1817" s="153"/>
      <c r="BY1817" s="153"/>
      <c r="BZ1817" s="153"/>
      <c r="CA1817" s="152"/>
      <c r="CB1817" s="152"/>
    </row>
    <row r="1818" spans="1:80" s="87" customFormat="1" x14ac:dyDescent="0.2">
      <c r="A1818" s="152"/>
      <c r="B1818" s="683"/>
      <c r="C1818" s="683"/>
      <c r="D1818" s="698"/>
      <c r="E1818" s="215"/>
      <c r="F1818" s="215"/>
      <c r="G1818" s="153"/>
      <c r="H1818" s="153"/>
      <c r="I1818" s="305">
        <v>20</v>
      </c>
      <c r="J1818" s="164">
        <v>120</v>
      </c>
      <c r="K1818" s="150">
        <v>1</v>
      </c>
      <c r="L1818" s="656">
        <v>40</v>
      </c>
      <c r="M1818" s="661">
        <v>34479</v>
      </c>
      <c r="N1818" s="600">
        <v>1.2740715634605861</v>
      </c>
      <c r="O1818" s="117">
        <v>6.3604032166723304E-4</v>
      </c>
      <c r="P1818" s="101"/>
      <c r="Q1818" s="101"/>
      <c r="R1818" s="101"/>
      <c r="S1818" s="101"/>
      <c r="T1818" s="101">
        <v>21.4</v>
      </c>
      <c r="U1818" s="101">
        <v>13.4</v>
      </c>
      <c r="V1818" s="500">
        <v>21.4</v>
      </c>
      <c r="W1818" s="500">
        <v>24</v>
      </c>
      <c r="X1818" s="500">
        <v>17.8</v>
      </c>
      <c r="Y1818" s="500">
        <v>2</v>
      </c>
      <c r="Z1818" s="154"/>
      <c r="AA1818" s="154"/>
      <c r="AB1818" s="152"/>
      <c r="AC1818" s="152"/>
      <c r="AD1818" s="223"/>
      <c r="AE1818" s="223"/>
      <c r="AF1818" s="223"/>
      <c r="AG1818" s="223"/>
      <c r="AH1818" s="341"/>
      <c r="AI1818" s="218"/>
      <c r="AJ1818" s="218"/>
      <c r="AK1818" s="153"/>
      <c r="AL1818" s="152"/>
      <c r="AM1818" s="152"/>
      <c r="AN1818" s="152"/>
      <c r="AO1818" s="152"/>
      <c r="AP1818" s="152"/>
      <c r="AQ1818" s="152"/>
      <c r="AR1818" s="152"/>
      <c r="AS1818" s="152"/>
      <c r="AT1818" s="152"/>
      <c r="AU1818" s="153"/>
      <c r="AV1818" s="479"/>
      <c r="AW1818" s="479"/>
      <c r="AX1818" s="442"/>
      <c r="AY1818" s="232"/>
      <c r="AZ1818" s="152"/>
      <c r="BA1818" s="152"/>
      <c r="BB1818" s="152"/>
      <c r="BC1818" s="152"/>
      <c r="BD1818" s="152"/>
      <c r="BE1818" s="152"/>
      <c r="BF1818" s="152"/>
      <c r="BG1818" s="152"/>
      <c r="BH1818" s="152"/>
      <c r="BI1818" s="153"/>
      <c r="BJ1818" s="153"/>
      <c r="BK1818" s="153"/>
      <c r="BL1818" s="153"/>
      <c r="BM1818" s="153"/>
      <c r="BN1818" s="153"/>
      <c r="BO1818" s="153"/>
      <c r="BP1818" s="153"/>
      <c r="BQ1818" s="153"/>
      <c r="BR1818" s="153"/>
      <c r="BS1818" s="153"/>
      <c r="BT1818" s="153"/>
      <c r="BU1818" s="153"/>
      <c r="BV1818" s="153"/>
      <c r="BW1818" s="153"/>
      <c r="BX1818" s="153"/>
      <c r="BY1818" s="153"/>
      <c r="BZ1818" s="153"/>
      <c r="CA1818" s="152"/>
      <c r="CB1818" s="152"/>
    </row>
    <row r="1819" spans="1:80" s="87" customFormat="1" x14ac:dyDescent="0.2">
      <c r="A1819" s="152"/>
      <c r="B1819" s="683"/>
      <c r="C1819" s="683"/>
      <c r="D1819" s="698"/>
      <c r="E1819" s="215"/>
      <c r="F1819" s="215"/>
      <c r="G1819" s="153"/>
      <c r="H1819" s="153"/>
      <c r="I1819" s="305">
        <v>20</v>
      </c>
      <c r="J1819" s="164">
        <v>240</v>
      </c>
      <c r="K1819" s="150">
        <v>1</v>
      </c>
      <c r="L1819" s="656">
        <v>80</v>
      </c>
      <c r="M1819" s="661">
        <v>34487</v>
      </c>
      <c r="N1819" s="600">
        <v>1.1041953549991748</v>
      </c>
      <c r="O1819" s="117">
        <v>2.0781515460414541E-4</v>
      </c>
      <c r="P1819" s="101"/>
      <c r="Q1819" s="101"/>
      <c r="R1819" s="101"/>
      <c r="S1819" s="101"/>
      <c r="T1819" s="101"/>
      <c r="U1819" s="101">
        <v>9</v>
      </c>
      <c r="V1819" s="500">
        <v>26.1</v>
      </c>
      <c r="W1819" s="500">
        <v>29.2</v>
      </c>
      <c r="X1819" s="500">
        <v>29.3</v>
      </c>
      <c r="Y1819" s="500">
        <v>6.4</v>
      </c>
      <c r="Z1819" s="154"/>
      <c r="AA1819" s="154"/>
      <c r="AB1819" s="152"/>
      <c r="AC1819" s="152"/>
      <c r="AD1819" s="223">
        <v>7.32</v>
      </c>
      <c r="AE1819" s="223">
        <v>0.24</v>
      </c>
      <c r="AF1819" s="223">
        <v>1.76</v>
      </c>
      <c r="AG1819" s="223">
        <v>0.63</v>
      </c>
      <c r="AH1819" s="341"/>
      <c r="AI1819" s="218"/>
      <c r="AJ1819" s="218"/>
      <c r="AK1819" s="153"/>
      <c r="AL1819" s="152"/>
      <c r="AM1819" s="152"/>
      <c r="AN1819" s="152"/>
      <c r="AO1819" s="152"/>
      <c r="AP1819" s="152"/>
      <c r="AQ1819" s="152"/>
      <c r="AR1819" s="152"/>
      <c r="AS1819" s="152"/>
      <c r="AT1819" s="152"/>
      <c r="AU1819" s="153"/>
      <c r="AV1819" s="479"/>
      <c r="AW1819" s="479"/>
      <c r="AX1819" s="442"/>
      <c r="AY1819" s="232"/>
      <c r="AZ1819" s="152"/>
      <c r="BA1819" s="152"/>
      <c r="BB1819" s="152"/>
      <c r="BC1819" s="152"/>
      <c r="BD1819" s="152"/>
      <c r="BE1819" s="152"/>
      <c r="BF1819" s="152"/>
      <c r="BG1819" s="152"/>
      <c r="BH1819" s="152"/>
      <c r="BI1819" s="153"/>
      <c r="BJ1819" s="153"/>
      <c r="BK1819" s="153"/>
      <c r="BL1819" s="153"/>
      <c r="BM1819" s="153"/>
      <c r="BN1819" s="153"/>
      <c r="BO1819" s="153"/>
      <c r="BP1819" s="153"/>
      <c r="BQ1819" s="153"/>
      <c r="BR1819" s="153"/>
      <c r="BS1819" s="153"/>
      <c r="BT1819" s="153"/>
      <c r="BU1819" s="153"/>
      <c r="BV1819" s="153"/>
      <c r="BW1819" s="153"/>
      <c r="BX1819" s="153"/>
      <c r="BY1819" s="153"/>
      <c r="BZ1819" s="153"/>
      <c r="CA1819" s="152"/>
      <c r="CB1819" s="152"/>
    </row>
    <row r="1820" spans="1:80" s="87" customFormat="1" x14ac:dyDescent="0.2">
      <c r="A1820" s="152"/>
      <c r="B1820" s="683"/>
      <c r="C1820" s="683"/>
      <c r="D1820" s="698"/>
      <c r="E1820" s="215"/>
      <c r="F1820" s="215"/>
      <c r="G1820" s="153"/>
      <c r="H1820" s="153"/>
      <c r="I1820" s="305">
        <v>20</v>
      </c>
      <c r="J1820" s="164">
        <v>240</v>
      </c>
      <c r="K1820" s="150">
        <v>1</v>
      </c>
      <c r="L1820" s="656">
        <v>80</v>
      </c>
      <c r="M1820" s="661">
        <v>34494</v>
      </c>
      <c r="N1820" s="600">
        <v>0.79275563948658689</v>
      </c>
      <c r="O1820" s="117">
        <v>1.2384943557216749E-4</v>
      </c>
      <c r="P1820" s="101"/>
      <c r="Q1820" s="101"/>
      <c r="R1820" s="101"/>
      <c r="S1820" s="101"/>
      <c r="T1820" s="101">
        <v>22</v>
      </c>
      <c r="U1820" s="101">
        <v>13.1</v>
      </c>
      <c r="V1820" s="500">
        <v>21.8</v>
      </c>
      <c r="W1820" s="500">
        <v>20.2</v>
      </c>
      <c r="X1820" s="500">
        <v>17.899999999999999</v>
      </c>
      <c r="Y1820" s="500">
        <v>5</v>
      </c>
      <c r="Z1820" s="154"/>
      <c r="AA1820" s="154"/>
      <c r="AB1820" s="152"/>
      <c r="AC1820" s="152"/>
      <c r="AD1820" s="223"/>
      <c r="AE1820" s="223"/>
      <c r="AF1820" s="223"/>
      <c r="AG1820" s="223"/>
      <c r="AH1820" s="341"/>
      <c r="AI1820" s="218"/>
      <c r="AJ1820" s="218"/>
      <c r="AK1820" s="153"/>
      <c r="AL1820" s="152"/>
      <c r="AM1820" s="152"/>
      <c r="AN1820" s="152"/>
      <c r="AO1820" s="152"/>
      <c r="AP1820" s="152"/>
      <c r="AQ1820" s="152"/>
      <c r="AR1820" s="152"/>
      <c r="AS1820" s="152"/>
      <c r="AT1820" s="152"/>
      <c r="AU1820" s="153"/>
      <c r="AV1820" s="479"/>
      <c r="AW1820" s="479"/>
      <c r="AX1820" s="442"/>
      <c r="AY1820" s="232"/>
      <c r="AZ1820" s="152"/>
      <c r="BA1820" s="152"/>
      <c r="BB1820" s="152"/>
      <c r="BC1820" s="152"/>
      <c r="BD1820" s="152"/>
      <c r="BE1820" s="152"/>
      <c r="BF1820" s="152"/>
      <c r="BG1820" s="152"/>
      <c r="BH1820" s="152"/>
      <c r="BI1820" s="153"/>
      <c r="BJ1820" s="153"/>
      <c r="BK1820" s="153"/>
      <c r="BL1820" s="153"/>
      <c r="BM1820" s="153"/>
      <c r="BN1820" s="153"/>
      <c r="BO1820" s="153"/>
      <c r="BP1820" s="153"/>
      <c r="BQ1820" s="153"/>
      <c r="BR1820" s="153"/>
      <c r="BS1820" s="153"/>
      <c r="BT1820" s="153"/>
      <c r="BU1820" s="153"/>
      <c r="BV1820" s="153"/>
      <c r="BW1820" s="153"/>
      <c r="BX1820" s="153"/>
      <c r="BY1820" s="153"/>
      <c r="BZ1820" s="153"/>
      <c r="CA1820" s="152"/>
      <c r="CB1820" s="152"/>
    </row>
    <row r="1821" spans="1:80" s="87" customFormat="1" x14ac:dyDescent="0.2">
      <c r="A1821" s="152"/>
      <c r="B1821" s="683"/>
      <c r="C1821" s="683"/>
      <c r="D1821" s="698"/>
      <c r="E1821" s="215"/>
      <c r="F1821" s="215"/>
      <c r="G1821" s="153"/>
      <c r="H1821" s="153"/>
      <c r="I1821" s="305">
        <v>20</v>
      </c>
      <c r="J1821" s="164">
        <v>120</v>
      </c>
      <c r="K1821" s="150">
        <v>1</v>
      </c>
      <c r="L1821" s="656">
        <v>40</v>
      </c>
      <c r="M1821" s="661">
        <v>34499</v>
      </c>
      <c r="N1821" s="600">
        <v>0.6228794310251754</v>
      </c>
      <c r="O1821" s="117">
        <v>4.009363083776947E-5</v>
      </c>
      <c r="P1821" s="101"/>
      <c r="Q1821" s="101"/>
      <c r="R1821" s="101"/>
      <c r="S1821" s="101"/>
      <c r="T1821" s="101"/>
      <c r="U1821" s="101"/>
      <c r="V1821" s="500">
        <v>38.799999999999997</v>
      </c>
      <c r="W1821" s="500">
        <v>27.1</v>
      </c>
      <c r="X1821" s="500">
        <v>25.9</v>
      </c>
      <c r="Y1821" s="500">
        <v>8.1999999999999993</v>
      </c>
      <c r="Z1821" s="154"/>
      <c r="AA1821" s="154"/>
      <c r="AB1821" s="152"/>
      <c r="AC1821" s="152"/>
      <c r="AD1821" s="223"/>
      <c r="AE1821" s="223"/>
      <c r="AF1821" s="223"/>
      <c r="AG1821" s="223"/>
      <c r="AH1821" s="341"/>
      <c r="AI1821" s="218"/>
      <c r="AJ1821" s="218"/>
      <c r="AK1821" s="153"/>
      <c r="AL1821" s="152"/>
      <c r="AM1821" s="152"/>
      <c r="AN1821" s="152"/>
      <c r="AO1821" s="152"/>
      <c r="AP1821" s="152"/>
      <c r="AQ1821" s="152"/>
      <c r="AR1821" s="152"/>
      <c r="AS1821" s="152"/>
      <c r="AT1821" s="152"/>
      <c r="AU1821" s="153"/>
      <c r="AV1821" s="479"/>
      <c r="AW1821" s="479"/>
      <c r="AX1821" s="442"/>
      <c r="AY1821" s="232"/>
      <c r="AZ1821" s="152"/>
      <c r="BA1821" s="152"/>
      <c r="BB1821" s="152"/>
      <c r="BC1821" s="152"/>
      <c r="BD1821" s="152"/>
      <c r="BE1821" s="152"/>
      <c r="BF1821" s="152"/>
      <c r="BG1821" s="152"/>
      <c r="BH1821" s="152"/>
      <c r="BI1821" s="153"/>
      <c r="BJ1821" s="153"/>
      <c r="BK1821" s="153"/>
      <c r="BL1821" s="153"/>
      <c r="BM1821" s="153"/>
      <c r="BN1821" s="153"/>
      <c r="BO1821" s="153"/>
      <c r="BP1821" s="153"/>
      <c r="BQ1821" s="153"/>
      <c r="BR1821" s="153"/>
      <c r="BS1821" s="153"/>
      <c r="BT1821" s="153"/>
      <c r="BU1821" s="153"/>
      <c r="BV1821" s="153"/>
      <c r="BW1821" s="153"/>
      <c r="BX1821" s="153"/>
      <c r="BY1821" s="153"/>
      <c r="BZ1821" s="153"/>
      <c r="CA1821" s="152"/>
      <c r="CB1821" s="152"/>
    </row>
    <row r="1822" spans="1:80" ht="15" x14ac:dyDescent="0.25">
      <c r="A1822" s="9" t="s">
        <v>183</v>
      </c>
      <c r="B1822" s="639" t="s">
        <v>66</v>
      </c>
      <c r="C1822" s="639"/>
      <c r="D1822" s="4">
        <f>VLOOKUP(E1822,'Quality Code'!D4:E24,2,TRUE)*VLOOKUP(MROUND(F1822,10),'Quality Code'!D28:E69,2,TRUE)*VLOOKUP(3,'Quality Code'!D73:E93,2,TRUE)</f>
        <v>3.75</v>
      </c>
      <c r="E1822" s="14">
        <v>0.75</v>
      </c>
      <c r="F1822" s="18">
        <v>137</v>
      </c>
      <c r="G1822" s="12">
        <v>1.29</v>
      </c>
      <c r="H1822" s="2" t="s">
        <v>231</v>
      </c>
      <c r="I1822" s="10"/>
      <c r="J1822" s="10" t="s">
        <v>283</v>
      </c>
      <c r="K1822" s="10"/>
      <c r="L1822" s="640" t="s">
        <v>284</v>
      </c>
      <c r="M1822" s="640" t="s">
        <v>840</v>
      </c>
      <c r="N1822" s="579" t="s">
        <v>282</v>
      </c>
      <c r="O1822" s="579"/>
      <c r="P1822" s="10" t="s">
        <v>64</v>
      </c>
      <c r="Q1822" s="10" t="s">
        <v>64</v>
      </c>
      <c r="R1822" s="10" t="s">
        <v>64</v>
      </c>
      <c r="S1822" s="10" t="s">
        <v>64</v>
      </c>
      <c r="T1822" s="10" t="s">
        <v>64</v>
      </c>
      <c r="U1822" s="10" t="s">
        <v>64</v>
      </c>
      <c r="V1822" s="10"/>
      <c r="W1822" s="10"/>
      <c r="X1822" s="10"/>
      <c r="Y1822" s="10"/>
      <c r="Z1822" s="11"/>
      <c r="AA1822" s="11"/>
      <c r="AB1822" s="11"/>
      <c r="AC1822" s="85">
        <v>7.1800000000000003E-2</v>
      </c>
      <c r="AD1822" s="26"/>
      <c r="AE1822" s="26"/>
      <c r="AF1822" s="26"/>
      <c r="AG1822" s="26"/>
      <c r="AH1822" s="330" t="s">
        <v>312</v>
      </c>
      <c r="AI1822" s="123"/>
      <c r="AJ1822" s="123"/>
      <c r="AK1822" s="17"/>
      <c r="AL1822" s="17"/>
      <c r="AM1822" s="17"/>
      <c r="AN1822" s="17"/>
      <c r="AO1822" s="17"/>
      <c r="AP1822" s="17"/>
      <c r="AQ1822" s="17"/>
      <c r="AR1822" s="17"/>
      <c r="AS1822" s="17"/>
      <c r="AT1822" s="17"/>
      <c r="AU1822" s="18">
        <v>22.8</v>
      </c>
      <c r="AV1822" s="147">
        <v>1</v>
      </c>
      <c r="AW1822" s="147">
        <v>1</v>
      </c>
      <c r="AX1822" s="147">
        <v>1</v>
      </c>
      <c r="AY1822" s="147">
        <v>1</v>
      </c>
      <c r="AZ1822" s="17">
        <v>0.98</v>
      </c>
      <c r="BA1822" s="17">
        <v>0.98</v>
      </c>
      <c r="BB1822" s="17">
        <v>0.95</v>
      </c>
      <c r="BC1822" s="17">
        <v>0.9</v>
      </c>
      <c r="BD1822" s="17">
        <v>0.56999999999999995</v>
      </c>
      <c r="BE1822" s="17">
        <v>0.26</v>
      </c>
      <c r="BF1822" s="17"/>
      <c r="BG1822" s="17"/>
      <c r="BH1822" s="17"/>
      <c r="BI1822" s="4"/>
      <c r="BJ1822" s="2"/>
      <c r="BK1822" s="2" t="s">
        <v>175</v>
      </c>
      <c r="BL1822" s="12"/>
      <c r="BM1822" s="12">
        <v>4.7800000000000002E-2</v>
      </c>
      <c r="BN1822" s="12">
        <v>0.69918826000000001</v>
      </c>
      <c r="BO1822" s="12">
        <v>0.16092912000000001</v>
      </c>
      <c r="BP1822" s="12">
        <v>0.11240174</v>
      </c>
      <c r="BQ1822" s="12">
        <v>4.3446969696969697</v>
      </c>
      <c r="BR1822" s="12" t="s">
        <v>276</v>
      </c>
      <c r="BS1822" s="12"/>
      <c r="BT1822" s="12"/>
      <c r="BU1822" s="2"/>
      <c r="BV1822" s="2"/>
      <c r="BW1822" s="2"/>
      <c r="BX1822" s="2"/>
      <c r="BY1822" s="2" t="s">
        <v>593</v>
      </c>
      <c r="BZ1822" s="2"/>
      <c r="CA1822" s="381"/>
      <c r="CB1822" s="9" t="s">
        <v>224</v>
      </c>
    </row>
    <row r="1823" spans="1:80" s="87" customFormat="1" ht="15" x14ac:dyDescent="0.2">
      <c r="A1823" s="152"/>
      <c r="B1823" s="683"/>
      <c r="C1823" s="683"/>
      <c r="D1823" s="698"/>
      <c r="E1823" s="215"/>
      <c r="F1823" s="215"/>
      <c r="G1823" s="153"/>
      <c r="H1823" s="153"/>
      <c r="I1823" s="187">
        <v>8</v>
      </c>
      <c r="J1823" s="150" t="e">
        <f>(#REF!/I1823)*(60)</f>
        <v>#REF!</v>
      </c>
      <c r="K1823" s="150">
        <v>1</v>
      </c>
      <c r="L1823" s="656">
        <v>8</v>
      </c>
      <c r="M1823" s="661">
        <v>27522</v>
      </c>
      <c r="N1823" s="112">
        <v>4.93490361E-2</v>
      </c>
      <c r="O1823" s="117">
        <v>6.2659329000000008E-4</v>
      </c>
      <c r="P1823" s="101"/>
      <c r="Q1823" s="101"/>
      <c r="R1823" s="101"/>
      <c r="S1823" s="101"/>
      <c r="T1823" s="101"/>
      <c r="U1823" s="101"/>
      <c r="V1823" s="101"/>
      <c r="W1823" s="101"/>
      <c r="X1823" s="101"/>
      <c r="Y1823" s="101"/>
      <c r="Z1823" s="110"/>
      <c r="AA1823" s="110"/>
      <c r="AB1823" s="90" t="s">
        <v>184</v>
      </c>
      <c r="AC1823" s="152"/>
      <c r="AD1823" s="223">
        <v>0.69917678999999999</v>
      </c>
      <c r="AE1823" s="223">
        <v>0.16336476</v>
      </c>
      <c r="AF1823" s="223">
        <v>0.11425962000000001</v>
      </c>
      <c r="AG1823" s="223">
        <v>0.431880345</v>
      </c>
      <c r="AH1823" s="340" t="s">
        <v>313</v>
      </c>
      <c r="AI1823" s="218"/>
      <c r="AJ1823" s="218"/>
      <c r="AK1823" s="153"/>
      <c r="AL1823" s="152"/>
      <c r="AM1823" s="152"/>
      <c r="AN1823" s="152"/>
      <c r="AO1823" s="152"/>
      <c r="AP1823" s="152"/>
      <c r="AQ1823" s="152"/>
      <c r="AR1823" s="152"/>
      <c r="AS1823" s="152"/>
      <c r="AT1823" s="152"/>
      <c r="AU1823" s="153"/>
      <c r="AV1823" s="479"/>
      <c r="AW1823" s="479"/>
      <c r="AX1823" s="442"/>
      <c r="AY1823" s="153"/>
      <c r="AZ1823" s="152"/>
      <c r="BA1823" s="152"/>
      <c r="BB1823" s="152"/>
      <c r="BC1823" s="152"/>
      <c r="BD1823" s="152"/>
      <c r="BE1823" s="152"/>
      <c r="BF1823" s="152"/>
      <c r="BG1823" s="152"/>
      <c r="BH1823" s="152"/>
      <c r="BI1823" s="153"/>
      <c r="BJ1823" s="153"/>
      <c r="BK1823" s="153"/>
      <c r="BL1823" s="153"/>
      <c r="BM1823" s="153"/>
      <c r="BN1823" s="153"/>
      <c r="BO1823" s="153"/>
      <c r="BP1823" s="153"/>
      <c r="BQ1823" s="153"/>
      <c r="BR1823" s="153"/>
      <c r="BS1823" s="153"/>
      <c r="BT1823" s="153"/>
      <c r="BU1823" s="153"/>
      <c r="BV1823" s="153"/>
      <c r="BW1823" s="153"/>
      <c r="BX1823" s="153"/>
      <c r="BY1823" s="153"/>
      <c r="BZ1823" s="153"/>
      <c r="CA1823" s="152"/>
      <c r="CB1823" s="154" t="s">
        <v>597</v>
      </c>
    </row>
    <row r="1824" spans="1:80" s="87" customFormat="1" ht="15" x14ac:dyDescent="0.2">
      <c r="A1824" s="152"/>
      <c r="B1824" s="683"/>
      <c r="C1824" s="683"/>
      <c r="D1824" s="698"/>
      <c r="E1824" s="215"/>
      <c r="F1824" s="215"/>
      <c r="G1824" s="153"/>
      <c r="H1824" s="153"/>
      <c r="I1824" s="187">
        <v>8</v>
      </c>
      <c r="J1824" s="150" t="e">
        <f>(#REF!/I1824)*(60)</f>
        <v>#REF!</v>
      </c>
      <c r="K1824" s="150">
        <v>1</v>
      </c>
      <c r="L1824" s="656">
        <v>4</v>
      </c>
      <c r="M1824" s="661">
        <v>27528</v>
      </c>
      <c r="N1824" s="112">
        <v>0.1151477509</v>
      </c>
      <c r="O1824" s="117">
        <v>9.1417547000000009E-3</v>
      </c>
      <c r="P1824" s="101"/>
      <c r="Q1824" s="101"/>
      <c r="R1824" s="101"/>
      <c r="S1824" s="101"/>
      <c r="T1824" s="101"/>
      <c r="U1824" s="101"/>
      <c r="V1824" s="101"/>
      <c r="W1824" s="101"/>
      <c r="X1824" s="101"/>
      <c r="Y1824" s="101"/>
      <c r="Z1824" s="110"/>
      <c r="AA1824" s="110"/>
      <c r="AB1824" s="90" t="s">
        <v>184</v>
      </c>
      <c r="AC1824" s="152"/>
      <c r="AD1824" s="223">
        <v>0.69917678999999999</v>
      </c>
      <c r="AE1824" s="223">
        <v>0.25845767999999997</v>
      </c>
      <c r="AF1824" s="223">
        <v>0.18114330000000001</v>
      </c>
      <c r="AG1824" s="223">
        <v>0.63761022000000001</v>
      </c>
      <c r="AH1824" s="341"/>
      <c r="AI1824" s="218"/>
      <c r="AJ1824" s="218"/>
      <c r="AK1824" s="153"/>
      <c r="AL1824" s="152"/>
      <c r="AM1824" s="152"/>
      <c r="AN1824" s="152"/>
      <c r="AO1824" s="152"/>
      <c r="AP1824" s="152"/>
      <c r="AQ1824" s="152"/>
      <c r="AR1824" s="152"/>
      <c r="AS1824" s="152"/>
      <c r="AT1824" s="152"/>
      <c r="AU1824" s="153"/>
      <c r="AV1824" s="479"/>
      <c r="AW1824" s="479"/>
      <c r="AX1824" s="442"/>
      <c r="AY1824" s="153"/>
      <c r="AZ1824" s="152"/>
      <c r="BA1824" s="152"/>
      <c r="BB1824" s="152"/>
      <c r="BC1824" s="152"/>
      <c r="BD1824" s="152"/>
      <c r="BE1824" s="152"/>
      <c r="BF1824" s="152"/>
      <c r="BG1824" s="152"/>
      <c r="BH1824" s="152"/>
      <c r="BI1824" s="153"/>
      <c r="BJ1824" s="153"/>
      <c r="BK1824" s="153"/>
      <c r="BL1824" s="153"/>
      <c r="BM1824" s="153"/>
      <c r="BN1824" s="153"/>
      <c r="BO1824" s="153"/>
      <c r="BP1824" s="153"/>
      <c r="BQ1824" s="153"/>
      <c r="BR1824" s="153"/>
      <c r="BS1824" s="153"/>
      <c r="BT1824" s="153"/>
      <c r="BU1824" s="153"/>
      <c r="BV1824" s="153"/>
      <c r="BW1824" s="153"/>
      <c r="BX1824" s="153"/>
      <c r="BY1824" s="153"/>
      <c r="BZ1824" s="153"/>
      <c r="CA1824" s="152"/>
      <c r="CB1824" s="486" t="s">
        <v>639</v>
      </c>
    </row>
    <row r="1825" spans="1:80" s="87" customFormat="1" x14ac:dyDescent="0.2">
      <c r="A1825" s="152"/>
      <c r="B1825" s="683"/>
      <c r="C1825" s="683"/>
      <c r="D1825" s="698"/>
      <c r="E1825" s="215"/>
      <c r="F1825" s="215"/>
      <c r="G1825" s="153"/>
      <c r="H1825" s="153"/>
      <c r="I1825" s="187">
        <v>8</v>
      </c>
      <c r="J1825" s="150" t="e">
        <f>(#REF!/I1825)*(60)</f>
        <v>#REF!</v>
      </c>
      <c r="K1825" s="150">
        <v>1</v>
      </c>
      <c r="L1825" s="656">
        <v>4</v>
      </c>
      <c r="M1825" s="661">
        <v>27528</v>
      </c>
      <c r="N1825" s="112">
        <v>0.1691966952</v>
      </c>
      <c r="O1825" s="117">
        <v>1.8157560999999999E-2</v>
      </c>
      <c r="P1825" s="101"/>
      <c r="Q1825" s="101"/>
      <c r="R1825" s="101"/>
      <c r="S1825" s="101"/>
      <c r="T1825" s="101"/>
      <c r="U1825" s="101"/>
      <c r="V1825" s="101"/>
      <c r="W1825" s="101"/>
      <c r="X1825" s="101"/>
      <c r="Y1825" s="101"/>
      <c r="Z1825" s="110"/>
      <c r="AA1825" s="110"/>
      <c r="AB1825" s="90" t="s">
        <v>184</v>
      </c>
      <c r="AC1825" s="152"/>
      <c r="AD1825" s="223">
        <v>0.69917678999999999</v>
      </c>
      <c r="AE1825" s="223">
        <v>0.29503187999999997</v>
      </c>
      <c r="AF1825" s="223">
        <v>0.20622468000000002</v>
      </c>
      <c r="AG1825" s="223">
        <v>0.82078600499999999</v>
      </c>
      <c r="AH1825" s="341"/>
      <c r="AI1825" s="218"/>
      <c r="AJ1825" s="218"/>
      <c r="AK1825" s="153"/>
      <c r="AL1825" s="152"/>
      <c r="AM1825" s="152"/>
      <c r="AN1825" s="152"/>
      <c r="AO1825" s="152"/>
      <c r="AP1825" s="152"/>
      <c r="AQ1825" s="152"/>
      <c r="AR1825" s="152"/>
      <c r="AS1825" s="152"/>
      <c r="AT1825" s="152"/>
      <c r="AU1825" s="153"/>
      <c r="AV1825" s="479"/>
      <c r="AW1825" s="479"/>
      <c r="AX1825" s="442"/>
      <c r="AY1825" s="153"/>
      <c r="AZ1825" s="152"/>
      <c r="BA1825" s="152"/>
      <c r="BB1825" s="152"/>
      <c r="BC1825" s="152"/>
      <c r="BD1825" s="152"/>
      <c r="BE1825" s="152"/>
      <c r="BF1825" s="152"/>
      <c r="BG1825" s="152"/>
      <c r="BH1825" s="152"/>
      <c r="BI1825" s="153"/>
      <c r="BJ1825" s="153"/>
      <c r="BK1825" s="153"/>
      <c r="BL1825" s="153"/>
      <c r="BM1825" s="153"/>
      <c r="BN1825" s="153"/>
      <c r="BO1825" s="153"/>
      <c r="BP1825" s="153"/>
      <c r="BQ1825" s="153"/>
      <c r="BR1825" s="153"/>
      <c r="BS1825" s="153"/>
      <c r="BT1825" s="153"/>
      <c r="BU1825" s="153"/>
      <c r="BV1825" s="153"/>
      <c r="BW1825" s="153"/>
      <c r="BX1825" s="153"/>
      <c r="BY1825" s="153"/>
      <c r="BZ1825" s="153"/>
      <c r="CA1825" s="152"/>
      <c r="CB1825" s="152"/>
    </row>
    <row r="1826" spans="1:80" s="87" customFormat="1" x14ac:dyDescent="0.2">
      <c r="A1826" s="152"/>
      <c r="B1826" s="683"/>
      <c r="C1826" s="683"/>
      <c r="D1826" s="698"/>
      <c r="E1826" s="215"/>
      <c r="F1826" s="215"/>
      <c r="G1826" s="153"/>
      <c r="H1826" s="153"/>
      <c r="I1826" s="187">
        <v>8</v>
      </c>
      <c r="J1826" s="150" t="e">
        <f>(#REF!/I1826)*(60)</f>
        <v>#REF!</v>
      </c>
      <c r="K1826" s="150">
        <v>1</v>
      </c>
      <c r="L1826" s="656">
        <v>4</v>
      </c>
      <c r="M1826" s="661">
        <v>27528</v>
      </c>
      <c r="N1826" s="112">
        <v>0.19966116039999998</v>
      </c>
      <c r="O1826" s="117">
        <v>1.5323722E-2</v>
      </c>
      <c r="P1826" s="101"/>
      <c r="Q1826" s="101"/>
      <c r="R1826" s="101"/>
      <c r="S1826" s="101"/>
      <c r="T1826" s="101"/>
      <c r="U1826" s="101"/>
      <c r="V1826" s="101"/>
      <c r="W1826" s="101"/>
      <c r="X1826" s="101"/>
      <c r="Y1826" s="101"/>
      <c r="Z1826" s="110"/>
      <c r="AA1826" s="110"/>
      <c r="AB1826" s="90" t="s">
        <v>184</v>
      </c>
      <c r="AC1826" s="152"/>
      <c r="AD1826" s="223">
        <v>0.69917678999999999</v>
      </c>
      <c r="AE1826" s="223">
        <v>0.32794866</v>
      </c>
      <c r="AF1826" s="223">
        <v>0.22944818000000003</v>
      </c>
      <c r="AG1826" s="223">
        <f>0.87046596</f>
        <v>0.87046595999999998</v>
      </c>
      <c r="AH1826" s="341"/>
      <c r="AI1826" s="218"/>
      <c r="AJ1826" s="218"/>
      <c r="AK1826" s="153"/>
      <c r="AL1826" s="152"/>
      <c r="AM1826" s="152"/>
      <c r="AN1826" s="152"/>
      <c r="AO1826" s="152"/>
      <c r="AP1826" s="152"/>
      <c r="AQ1826" s="152"/>
      <c r="AR1826" s="152"/>
      <c r="AS1826" s="152"/>
      <c r="AT1826" s="152"/>
      <c r="AU1826" s="153"/>
      <c r="AV1826" s="479"/>
      <c r="AW1826" s="479"/>
      <c r="AX1826" s="442"/>
      <c r="AY1826" s="153"/>
      <c r="AZ1826" s="90"/>
      <c r="BA1826" s="90"/>
      <c r="BB1826" s="90"/>
      <c r="BC1826" s="90"/>
      <c r="BD1826" s="90"/>
      <c r="BE1826" s="90"/>
      <c r="BF1826" s="90"/>
      <c r="BG1826" s="90"/>
      <c r="BH1826" s="90"/>
      <c r="BI1826" s="153"/>
      <c r="BJ1826" s="153"/>
      <c r="BK1826" s="153"/>
      <c r="BL1826" s="153"/>
      <c r="BM1826" s="153"/>
      <c r="BN1826" s="153"/>
      <c r="BO1826" s="153"/>
      <c r="BP1826" s="153"/>
      <c r="BQ1826" s="153"/>
      <c r="BR1826" s="153"/>
      <c r="BS1826" s="153"/>
      <c r="BT1826" s="153"/>
      <c r="BU1826" s="153"/>
      <c r="BV1826" s="153"/>
      <c r="BW1826" s="153"/>
      <c r="BX1826" s="153"/>
      <c r="BY1826" s="153"/>
      <c r="BZ1826" s="153"/>
      <c r="CA1826" s="152"/>
      <c r="CB1826" s="152"/>
    </row>
    <row r="1827" spans="1:80" s="87" customFormat="1" x14ac:dyDescent="0.2">
      <c r="A1827" s="152"/>
      <c r="B1827" s="683"/>
      <c r="C1827" s="683"/>
      <c r="D1827" s="698"/>
      <c r="E1827" s="215"/>
      <c r="F1827" s="215"/>
      <c r="G1827" s="153"/>
      <c r="H1827" s="153"/>
      <c r="I1827" s="187">
        <v>8</v>
      </c>
      <c r="J1827" s="150" t="e">
        <f>(#REF!/I1827)*(60)</f>
        <v>#REF!</v>
      </c>
      <c r="K1827" s="150">
        <v>1</v>
      </c>
      <c r="L1827" s="656">
        <v>4</v>
      </c>
      <c r="M1827" s="661">
        <v>27533</v>
      </c>
      <c r="N1827" s="112">
        <v>0.10370942009999999</v>
      </c>
      <c r="O1827" s="117">
        <v>1.1125442000000001E-2</v>
      </c>
      <c r="P1827" s="101"/>
      <c r="Q1827" s="101"/>
      <c r="R1827" s="101"/>
      <c r="S1827" s="101"/>
      <c r="T1827" s="101"/>
      <c r="U1827" s="101"/>
      <c r="V1827" s="101"/>
      <c r="W1827" s="101"/>
      <c r="X1827" s="101"/>
      <c r="Y1827" s="101"/>
      <c r="Z1827" s="110"/>
      <c r="AA1827" s="110"/>
      <c r="AB1827" s="90" t="s">
        <v>184</v>
      </c>
      <c r="AC1827" s="152"/>
      <c r="AD1827" s="223">
        <v>0.69917678999999999</v>
      </c>
      <c r="AE1827" s="223">
        <v>0.25906724999999997</v>
      </c>
      <c r="AF1827" s="223">
        <v>0.18114330000000001</v>
      </c>
      <c r="AG1827" s="223">
        <f>0.572691015</f>
        <v>0.57269101499999997</v>
      </c>
      <c r="AH1827" s="341"/>
      <c r="AI1827" s="218"/>
      <c r="AJ1827" s="218"/>
      <c r="AK1827" s="153"/>
      <c r="AL1827" s="152"/>
      <c r="AM1827" s="152"/>
      <c r="AN1827" s="152"/>
      <c r="AO1827" s="152"/>
      <c r="AP1827" s="152"/>
      <c r="AQ1827" s="152"/>
      <c r="AR1827" s="152"/>
      <c r="AS1827" s="152"/>
      <c r="AT1827" s="152"/>
      <c r="AU1827" s="153"/>
      <c r="AV1827" s="479"/>
      <c r="AW1827" s="479"/>
      <c r="AX1827" s="442"/>
      <c r="AY1827" s="153"/>
      <c r="AZ1827" s="152"/>
      <c r="BA1827" s="152"/>
      <c r="BB1827" s="152"/>
      <c r="BC1827" s="152"/>
      <c r="BD1827" s="152"/>
      <c r="BE1827" s="152"/>
      <c r="BF1827" s="152"/>
      <c r="BG1827" s="152"/>
      <c r="BH1827" s="152"/>
      <c r="BI1827" s="153"/>
      <c r="BJ1827" s="153"/>
      <c r="BK1827" s="153"/>
      <c r="BL1827" s="152"/>
      <c r="BM1827" s="152"/>
      <c r="BN1827" s="152"/>
      <c r="BO1827" s="152"/>
      <c r="BP1827" s="152"/>
      <c r="BQ1827" s="152"/>
      <c r="BR1827" s="152"/>
      <c r="BS1827" s="152"/>
      <c r="BT1827" s="152"/>
      <c r="BU1827" s="152"/>
      <c r="BV1827" s="152"/>
      <c r="BW1827" s="153"/>
      <c r="BX1827" s="153"/>
      <c r="BY1827" s="153"/>
      <c r="BZ1827" s="153"/>
      <c r="CA1827" s="152"/>
      <c r="CB1827" s="152"/>
    </row>
    <row r="1828" spans="1:80" s="87" customFormat="1" x14ac:dyDescent="0.2">
      <c r="A1828" s="152"/>
      <c r="B1828" s="683"/>
      <c r="C1828" s="683"/>
      <c r="D1828" s="698"/>
      <c r="E1828" s="215"/>
      <c r="F1828" s="215"/>
      <c r="G1828" s="153"/>
      <c r="H1828" s="153"/>
      <c r="I1828" s="187">
        <v>8</v>
      </c>
      <c r="J1828" s="150" t="e">
        <f>(#REF!/I1828)*(60)</f>
        <v>#REF!</v>
      </c>
      <c r="K1828" s="150">
        <v>1</v>
      </c>
      <c r="L1828" s="656">
        <v>4</v>
      </c>
      <c r="M1828" s="661">
        <v>27533</v>
      </c>
      <c r="N1828" s="112">
        <v>0.1013877787</v>
      </c>
      <c r="O1828" s="117">
        <v>1.5218765E-2</v>
      </c>
      <c r="P1828" s="101"/>
      <c r="Q1828" s="101"/>
      <c r="R1828" s="101"/>
      <c r="S1828" s="101"/>
      <c r="T1828" s="101"/>
      <c r="U1828" s="101"/>
      <c r="V1828" s="101"/>
      <c r="W1828" s="101"/>
      <c r="X1828" s="101"/>
      <c r="Y1828" s="101"/>
      <c r="Z1828" s="110"/>
      <c r="AA1828" s="110"/>
      <c r="AB1828" s="90" t="s">
        <v>184</v>
      </c>
      <c r="AC1828" s="152"/>
      <c r="AD1828" s="223">
        <v>0.69917678999999999</v>
      </c>
      <c r="AE1828" s="223">
        <v>0.24839977499999996</v>
      </c>
      <c r="AF1828" s="223">
        <v>0.17371178000000001</v>
      </c>
      <c r="AG1828" s="223">
        <f>0.583663275</f>
        <v>0.58366327500000004</v>
      </c>
      <c r="AH1828" s="341"/>
      <c r="AI1828" s="218"/>
      <c r="AJ1828" s="218"/>
      <c r="AK1828" s="153"/>
      <c r="AL1828" s="152"/>
      <c r="AM1828" s="152"/>
      <c r="AN1828" s="152"/>
      <c r="AO1828" s="152"/>
      <c r="AP1828" s="152"/>
      <c r="AQ1828" s="152"/>
      <c r="AR1828" s="152"/>
      <c r="AS1828" s="152"/>
      <c r="AT1828" s="152"/>
      <c r="AU1828" s="153"/>
      <c r="AV1828" s="479"/>
      <c r="AW1828" s="479"/>
      <c r="AX1828" s="442"/>
      <c r="AY1828" s="153"/>
      <c r="AZ1828" s="152"/>
      <c r="BA1828" s="152"/>
      <c r="BB1828" s="152"/>
      <c r="BC1828" s="152"/>
      <c r="BD1828" s="152"/>
      <c r="BE1828" s="152"/>
      <c r="BF1828" s="152"/>
      <c r="BG1828" s="152"/>
      <c r="BH1828" s="152"/>
      <c r="BI1828" s="153"/>
      <c r="BJ1828" s="153"/>
      <c r="BK1828" s="153"/>
      <c r="BL1828" s="152"/>
      <c r="BM1828" s="152"/>
      <c r="BN1828" s="152"/>
      <c r="BO1828" s="152"/>
      <c r="BP1828" s="152"/>
      <c r="BQ1828" s="152"/>
      <c r="BR1828" s="152"/>
      <c r="BS1828" s="152"/>
      <c r="BT1828" s="152"/>
      <c r="BU1828" s="152"/>
      <c r="BV1828" s="152"/>
      <c r="BW1828" s="153"/>
      <c r="BX1828" s="153"/>
      <c r="BY1828" s="153"/>
      <c r="BZ1828" s="153"/>
      <c r="CA1828" s="152"/>
      <c r="CB1828" s="152"/>
    </row>
    <row r="1829" spans="1:80" s="87" customFormat="1" x14ac:dyDescent="0.2">
      <c r="A1829" s="152"/>
      <c r="B1829" s="683"/>
      <c r="C1829" s="683"/>
      <c r="D1829" s="698"/>
      <c r="E1829" s="215"/>
      <c r="F1829" s="215"/>
      <c r="G1829" s="153"/>
      <c r="H1829" s="153"/>
      <c r="I1829" s="187">
        <v>8</v>
      </c>
      <c r="J1829" s="150" t="e">
        <f>(#REF!/I1829)*(60)</f>
        <v>#REF!</v>
      </c>
      <c r="K1829" s="150">
        <v>1</v>
      </c>
      <c r="L1829" s="656">
        <v>4</v>
      </c>
      <c r="M1829" s="661">
        <v>27535</v>
      </c>
      <c r="N1829" s="112">
        <v>6.7157724399999993E-2</v>
      </c>
      <c r="O1829" s="117">
        <v>1.9941830000000001E-3</v>
      </c>
      <c r="P1829" s="101"/>
      <c r="Q1829" s="101"/>
      <c r="R1829" s="101"/>
      <c r="S1829" s="101"/>
      <c r="T1829" s="101"/>
      <c r="U1829" s="101"/>
      <c r="V1829" s="101"/>
      <c r="W1829" s="101"/>
      <c r="X1829" s="101"/>
      <c r="Y1829" s="101"/>
      <c r="Z1829" s="110"/>
      <c r="AA1829" s="110"/>
      <c r="AB1829" s="90" t="s">
        <v>184</v>
      </c>
      <c r="AC1829" s="152"/>
      <c r="AD1829" s="223">
        <v>0.69917678999999999</v>
      </c>
      <c r="AE1829" s="223">
        <v>0.21213035999999996</v>
      </c>
      <c r="AF1829" s="223">
        <v>0.14863040000000002</v>
      </c>
      <c r="AG1829" s="223">
        <f>0.452605725</f>
        <v>0.45260572500000001</v>
      </c>
      <c r="AH1829" s="341"/>
      <c r="AI1829" s="218"/>
      <c r="AJ1829" s="218"/>
      <c r="AK1829" s="153"/>
      <c r="AL1829" s="152"/>
      <c r="AM1829" s="152"/>
      <c r="AN1829" s="152"/>
      <c r="AO1829" s="152"/>
      <c r="AP1829" s="152"/>
      <c r="AQ1829" s="152"/>
      <c r="AR1829" s="152"/>
      <c r="AS1829" s="152"/>
      <c r="AT1829" s="152"/>
      <c r="AU1829" s="153"/>
      <c r="AV1829" s="479"/>
      <c r="AW1829" s="479"/>
      <c r="AX1829" s="442"/>
      <c r="AY1829" s="153"/>
      <c r="AZ1829" s="152"/>
      <c r="BA1829" s="152"/>
      <c r="BB1829" s="152"/>
      <c r="BC1829" s="152"/>
      <c r="BD1829" s="152"/>
      <c r="BE1829" s="152"/>
      <c r="BF1829" s="152"/>
      <c r="BG1829" s="152"/>
      <c r="BH1829" s="152"/>
      <c r="BI1829" s="153"/>
      <c r="BJ1829" s="153"/>
      <c r="BK1829" s="153"/>
      <c r="BL1829" s="152"/>
      <c r="BM1829" s="152"/>
      <c r="BN1829" s="152"/>
      <c r="BO1829" s="152"/>
      <c r="BP1829" s="152"/>
      <c r="BQ1829" s="152"/>
      <c r="BR1829" s="152"/>
      <c r="BS1829" s="152"/>
      <c r="BT1829" s="152"/>
      <c r="BU1829" s="152"/>
      <c r="BV1829" s="152"/>
      <c r="BW1829" s="153"/>
      <c r="BX1829" s="153"/>
      <c r="BY1829" s="153"/>
      <c r="BZ1829" s="153"/>
      <c r="CA1829" s="152"/>
      <c r="CB1829" s="152"/>
    </row>
    <row r="1830" spans="1:80" s="87" customFormat="1" x14ac:dyDescent="0.2">
      <c r="A1830" s="152"/>
      <c r="B1830" s="683"/>
      <c r="C1830" s="683"/>
      <c r="D1830" s="698"/>
      <c r="E1830" s="215"/>
      <c r="F1830" s="215"/>
      <c r="G1830" s="153"/>
      <c r="H1830" s="153"/>
      <c r="I1830" s="187">
        <v>8</v>
      </c>
      <c r="J1830" s="150" t="e">
        <f>(#REF!/I1830)*(60)</f>
        <v>#REF!</v>
      </c>
      <c r="K1830" s="150">
        <v>1</v>
      </c>
      <c r="L1830" s="656">
        <v>4</v>
      </c>
      <c r="M1830" s="661">
        <v>27535</v>
      </c>
      <c r="N1830" s="112">
        <v>7.4179274000000003E-2</v>
      </c>
      <c r="O1830" s="117">
        <v>4.4711682000000003E-3</v>
      </c>
      <c r="P1830" s="101"/>
      <c r="Q1830" s="101"/>
      <c r="R1830" s="101"/>
      <c r="S1830" s="101"/>
      <c r="T1830" s="101"/>
      <c r="U1830" s="101"/>
      <c r="V1830" s="101"/>
      <c r="W1830" s="101"/>
      <c r="X1830" s="101"/>
      <c r="Y1830" s="101"/>
      <c r="Z1830" s="110"/>
      <c r="AA1830" s="110"/>
      <c r="AB1830" s="90" t="s">
        <v>184</v>
      </c>
      <c r="AC1830" s="152"/>
      <c r="AD1830" s="223">
        <v>0.69917678999999999</v>
      </c>
      <c r="AE1830" s="223">
        <v>0.22096912499999996</v>
      </c>
      <c r="AF1830" s="223">
        <v>0.15420403999999999</v>
      </c>
      <c r="AG1830" s="223">
        <f>0.480036375</f>
        <v>0.48003637500000002</v>
      </c>
      <c r="AH1830" s="341"/>
      <c r="AI1830" s="218"/>
      <c r="AJ1830" s="218"/>
      <c r="AK1830" s="153"/>
      <c r="AL1830" s="152"/>
      <c r="AM1830" s="152"/>
      <c r="AN1830" s="152"/>
      <c r="AO1830" s="152"/>
      <c r="AP1830" s="152"/>
      <c r="AQ1830" s="152"/>
      <c r="AR1830" s="152"/>
      <c r="AS1830" s="152"/>
      <c r="AT1830" s="152"/>
      <c r="AU1830" s="153"/>
      <c r="AV1830" s="479"/>
      <c r="AW1830" s="479"/>
      <c r="AX1830" s="442"/>
      <c r="AY1830" s="153"/>
      <c r="AZ1830" s="152"/>
      <c r="BA1830" s="152"/>
      <c r="BB1830" s="152"/>
      <c r="BC1830" s="152"/>
      <c r="BD1830" s="152"/>
      <c r="BE1830" s="152"/>
      <c r="BF1830" s="152"/>
      <c r="BG1830" s="152"/>
      <c r="BH1830" s="152"/>
      <c r="BI1830" s="153"/>
      <c r="BJ1830" s="153"/>
      <c r="BK1830" s="153"/>
      <c r="BL1830" s="152"/>
      <c r="BM1830" s="152"/>
      <c r="BN1830" s="152"/>
      <c r="BO1830" s="152"/>
      <c r="BP1830" s="152"/>
      <c r="BQ1830" s="152"/>
      <c r="BR1830" s="152"/>
      <c r="BS1830" s="152"/>
      <c r="BT1830" s="152"/>
      <c r="BU1830" s="152"/>
      <c r="BV1830" s="152"/>
      <c r="BW1830" s="153"/>
      <c r="BX1830" s="153"/>
      <c r="BY1830" s="153"/>
      <c r="BZ1830" s="153"/>
      <c r="CA1830" s="152"/>
      <c r="CB1830" s="152"/>
    </row>
    <row r="1831" spans="1:80" s="87" customFormat="1" x14ac:dyDescent="0.2">
      <c r="A1831" s="152"/>
      <c r="B1831" s="683"/>
      <c r="C1831" s="683"/>
      <c r="D1831" s="698"/>
      <c r="E1831" s="215"/>
      <c r="F1831" s="215"/>
      <c r="G1831" s="153"/>
      <c r="H1831" s="153"/>
      <c r="I1831" s="187">
        <v>8</v>
      </c>
      <c r="J1831" s="150" t="e">
        <f>(#REF!/I1831)*(60)</f>
        <v>#REF!</v>
      </c>
      <c r="K1831" s="150">
        <v>1</v>
      </c>
      <c r="L1831" s="656">
        <v>8</v>
      </c>
      <c r="M1831" s="661">
        <v>27543</v>
      </c>
      <c r="N1831" s="112">
        <v>4.48756295E-2</v>
      </c>
      <c r="O1831" s="117">
        <v>6.9166663000000005E-4</v>
      </c>
      <c r="P1831" s="101"/>
      <c r="Q1831" s="101"/>
      <c r="R1831" s="101"/>
      <c r="S1831" s="101"/>
      <c r="T1831" s="101"/>
      <c r="U1831" s="101"/>
      <c r="V1831" s="101"/>
      <c r="W1831" s="101"/>
      <c r="X1831" s="101"/>
      <c r="Y1831" s="101"/>
      <c r="Z1831" s="110"/>
      <c r="AA1831" s="110"/>
      <c r="AB1831" s="90" t="s">
        <v>184</v>
      </c>
      <c r="AC1831" s="152"/>
      <c r="AD1831" s="223">
        <v>0.69917678999999999</v>
      </c>
      <c r="AE1831" s="223">
        <v>0.15696427499999999</v>
      </c>
      <c r="AF1831" s="223">
        <v>0.10961492</v>
      </c>
      <c r="AG1831" s="223">
        <f>0.40902147</f>
        <v>0.40902147</v>
      </c>
      <c r="AH1831" s="341"/>
      <c r="AI1831" s="218"/>
      <c r="AJ1831" s="218"/>
      <c r="AK1831" s="153"/>
      <c r="AL1831" s="152"/>
      <c r="AM1831" s="152"/>
      <c r="AN1831" s="152"/>
      <c r="AO1831" s="152"/>
      <c r="AP1831" s="152"/>
      <c r="AQ1831" s="152"/>
      <c r="AR1831" s="152"/>
      <c r="AS1831" s="152"/>
      <c r="AT1831" s="152"/>
      <c r="AU1831" s="153"/>
      <c r="AV1831" s="479"/>
      <c r="AW1831" s="479"/>
      <c r="AX1831" s="442"/>
      <c r="AY1831" s="153"/>
      <c r="AZ1831" s="152"/>
      <c r="BA1831" s="152"/>
      <c r="BB1831" s="152"/>
      <c r="BC1831" s="152"/>
      <c r="BD1831" s="152"/>
      <c r="BE1831" s="152"/>
      <c r="BF1831" s="152"/>
      <c r="BG1831" s="152"/>
      <c r="BH1831" s="152"/>
      <c r="BI1831" s="153"/>
      <c r="BJ1831" s="153"/>
      <c r="BK1831" s="153"/>
      <c r="BL1831" s="152"/>
      <c r="BM1831" s="152"/>
      <c r="BN1831" s="152"/>
      <c r="BO1831" s="152"/>
      <c r="BP1831" s="152"/>
      <c r="BQ1831" s="152"/>
      <c r="BR1831" s="152"/>
      <c r="BS1831" s="152"/>
      <c r="BT1831" s="152"/>
      <c r="BU1831" s="152"/>
      <c r="BV1831" s="152"/>
      <c r="BW1831" s="153"/>
      <c r="BX1831" s="153"/>
      <c r="BY1831" s="153"/>
      <c r="BZ1831" s="153"/>
      <c r="CA1831" s="152"/>
      <c r="CB1831" s="152"/>
    </row>
    <row r="1832" spans="1:80" s="87" customFormat="1" x14ac:dyDescent="0.2">
      <c r="A1832" s="152"/>
      <c r="B1832" s="683"/>
      <c r="C1832" s="683"/>
      <c r="D1832" s="698"/>
      <c r="E1832" s="215"/>
      <c r="F1832" s="215"/>
      <c r="G1832" s="153"/>
      <c r="H1832" s="153"/>
      <c r="I1832" s="187">
        <v>8</v>
      </c>
      <c r="J1832" s="150" t="e">
        <f>(#REF!/I1832)*(60)</f>
        <v>#REF!</v>
      </c>
      <c r="K1832" s="150">
        <v>1</v>
      </c>
      <c r="L1832" s="656">
        <v>8</v>
      </c>
      <c r="M1832" s="661">
        <v>27544</v>
      </c>
      <c r="N1832" s="112">
        <v>4.3063616699999994E-2</v>
      </c>
      <c r="O1832" s="117">
        <v>9.9184365000000007E-4</v>
      </c>
      <c r="P1832" s="101"/>
      <c r="Q1832" s="101"/>
      <c r="R1832" s="101"/>
      <c r="S1832" s="101"/>
      <c r="T1832" s="101"/>
      <c r="U1832" s="101"/>
      <c r="V1832" s="101"/>
      <c r="W1832" s="101"/>
      <c r="X1832" s="101"/>
      <c r="Y1832" s="101"/>
      <c r="Z1832" s="110"/>
      <c r="AA1832" s="110"/>
      <c r="AB1832" s="90" t="s">
        <v>184</v>
      </c>
      <c r="AC1832" s="152"/>
      <c r="AD1832" s="223">
        <v>0.69917678999999999</v>
      </c>
      <c r="AE1832" s="223">
        <v>0.15574513499999998</v>
      </c>
      <c r="AF1832" s="223">
        <v>0.10868598</v>
      </c>
      <c r="AG1832" s="223">
        <f>0.395306145</f>
        <v>0.395306145</v>
      </c>
      <c r="AH1832" s="341"/>
      <c r="AI1832" s="218"/>
      <c r="AJ1832" s="218"/>
      <c r="AK1832" s="153"/>
      <c r="AL1832" s="152"/>
      <c r="AM1832" s="152"/>
      <c r="AN1832" s="152"/>
      <c r="AO1832" s="152"/>
      <c r="AP1832" s="152"/>
      <c r="AQ1832" s="152"/>
      <c r="AR1832" s="152"/>
      <c r="AS1832" s="152"/>
      <c r="AT1832" s="152"/>
      <c r="AU1832" s="153"/>
      <c r="AV1832" s="479"/>
      <c r="AW1832" s="479"/>
      <c r="AX1832" s="442"/>
      <c r="AY1832" s="153"/>
      <c r="AZ1832" s="152"/>
      <c r="BA1832" s="152"/>
      <c r="BB1832" s="152"/>
      <c r="BC1832" s="152"/>
      <c r="BD1832" s="152"/>
      <c r="BE1832" s="152"/>
      <c r="BF1832" s="152"/>
      <c r="BG1832" s="152"/>
      <c r="BH1832" s="152"/>
      <c r="BI1832" s="153"/>
      <c r="BJ1832" s="153"/>
      <c r="BK1832" s="153"/>
      <c r="BL1832" s="152"/>
      <c r="BM1832" s="152"/>
      <c r="BN1832" s="152"/>
      <c r="BO1832" s="152"/>
      <c r="BP1832" s="152"/>
      <c r="BQ1832" s="152"/>
      <c r="BR1832" s="152"/>
      <c r="BS1832" s="152"/>
      <c r="BT1832" s="152"/>
      <c r="BU1832" s="152"/>
      <c r="BV1832" s="152"/>
      <c r="BW1832" s="153"/>
      <c r="BX1832" s="153"/>
      <c r="BY1832" s="153"/>
      <c r="BZ1832" s="153"/>
      <c r="CA1832" s="152"/>
      <c r="CB1832" s="152"/>
    </row>
    <row r="1833" spans="1:80" s="87" customFormat="1" x14ac:dyDescent="0.2">
      <c r="A1833" s="152"/>
      <c r="B1833" s="683"/>
      <c r="C1833" s="683"/>
      <c r="D1833" s="698"/>
      <c r="E1833" s="215"/>
      <c r="F1833" s="215"/>
      <c r="G1833" s="153"/>
      <c r="H1833" s="153"/>
      <c r="I1833" s="187">
        <v>8</v>
      </c>
      <c r="J1833" s="150" t="e">
        <f>(#REF!/I1833)*(60)</f>
        <v>#REF!</v>
      </c>
      <c r="K1833" s="150">
        <v>1</v>
      </c>
      <c r="L1833" s="656">
        <v>8</v>
      </c>
      <c r="M1833" s="661">
        <v>27550</v>
      </c>
      <c r="N1833" s="112">
        <v>2.9700022299999997E-2</v>
      </c>
      <c r="O1833" s="117">
        <v>4.2087756999999995E-4</v>
      </c>
      <c r="P1833" s="101"/>
      <c r="Q1833" s="101"/>
      <c r="R1833" s="101"/>
      <c r="S1833" s="101"/>
      <c r="T1833" s="101"/>
      <c r="U1833" s="101"/>
      <c r="V1833" s="101"/>
      <c r="W1833" s="101"/>
      <c r="X1833" s="101"/>
      <c r="Y1833" s="101"/>
      <c r="Z1833" s="110"/>
      <c r="AA1833" s="110"/>
      <c r="AB1833" s="90" t="s">
        <v>184</v>
      </c>
      <c r="AC1833" s="152"/>
      <c r="AD1833" s="223">
        <v>0.69917678999999999</v>
      </c>
      <c r="AE1833" s="223">
        <v>0.13989631499999999</v>
      </c>
      <c r="AF1833" s="223">
        <v>9.7538700000000006E-2</v>
      </c>
      <c r="AG1833" s="223">
        <f>0.303870645</f>
        <v>0.30387064499999999</v>
      </c>
      <c r="AH1833" s="341"/>
      <c r="AI1833" s="218"/>
      <c r="AJ1833" s="218"/>
      <c r="AK1833" s="153"/>
      <c r="AL1833" s="152"/>
      <c r="AM1833" s="152"/>
      <c r="AN1833" s="152"/>
      <c r="AO1833" s="152"/>
      <c r="AP1833" s="152"/>
      <c r="AQ1833" s="152"/>
      <c r="AR1833" s="152"/>
      <c r="AS1833" s="152"/>
      <c r="AT1833" s="152"/>
      <c r="AU1833" s="153"/>
      <c r="AV1833" s="479"/>
      <c r="AW1833" s="479"/>
      <c r="AX1833" s="442"/>
      <c r="AY1833" s="153"/>
      <c r="AZ1833" s="152"/>
      <c r="BA1833" s="152"/>
      <c r="BB1833" s="152"/>
      <c r="BC1833" s="152"/>
      <c r="BD1833" s="152"/>
      <c r="BE1833" s="152"/>
      <c r="BF1833" s="152"/>
      <c r="BG1833" s="152"/>
      <c r="BH1833" s="152"/>
      <c r="BI1833" s="153"/>
      <c r="BJ1833" s="153"/>
      <c r="BK1833" s="153"/>
      <c r="BL1833" s="152"/>
      <c r="BM1833" s="152"/>
      <c r="BN1833" s="152"/>
      <c r="BO1833" s="152"/>
      <c r="BP1833" s="152"/>
      <c r="BQ1833" s="152"/>
      <c r="BR1833" s="152"/>
      <c r="BS1833" s="152"/>
      <c r="BT1833" s="152"/>
      <c r="BU1833" s="152"/>
      <c r="BV1833" s="152"/>
      <c r="BW1833" s="153"/>
      <c r="BX1833" s="153"/>
      <c r="BY1833" s="153"/>
      <c r="BZ1833" s="153"/>
      <c r="CA1833" s="152"/>
      <c r="CB1833" s="152"/>
    </row>
    <row r="1834" spans="1:80" s="87" customFormat="1" x14ac:dyDescent="0.2">
      <c r="A1834" s="152"/>
      <c r="B1834" s="683"/>
      <c r="C1834" s="683"/>
      <c r="D1834" s="698"/>
      <c r="E1834" s="215"/>
      <c r="F1834" s="215"/>
      <c r="G1834" s="153"/>
      <c r="H1834" s="153"/>
      <c r="I1834" s="187">
        <v>8</v>
      </c>
      <c r="J1834" s="150" t="e">
        <f>(#REF!/I1834)*(60)</f>
        <v>#REF!</v>
      </c>
      <c r="K1834" s="150">
        <v>1</v>
      </c>
      <c r="L1834" s="656">
        <v>8</v>
      </c>
      <c r="M1834" s="661">
        <v>27557</v>
      </c>
      <c r="N1834" s="112">
        <v>1.7893626400000001E-2</v>
      </c>
      <c r="O1834" s="117">
        <v>1.7632775999999999E-4</v>
      </c>
      <c r="P1834" s="101"/>
      <c r="Q1834" s="101"/>
      <c r="R1834" s="101"/>
      <c r="S1834" s="101"/>
      <c r="T1834" s="101"/>
      <c r="U1834" s="101"/>
      <c r="V1834" s="101"/>
      <c r="W1834" s="101"/>
      <c r="X1834" s="101"/>
      <c r="Y1834" s="101"/>
      <c r="Z1834" s="110"/>
      <c r="AA1834" s="110"/>
      <c r="AB1834" s="90" t="s">
        <v>184</v>
      </c>
      <c r="AC1834" s="152"/>
      <c r="AD1834" s="223">
        <v>0.69917678999999999</v>
      </c>
      <c r="AE1834" s="223">
        <v>0.11307523499999998</v>
      </c>
      <c r="AF1834" s="223">
        <v>7.89599E-2</v>
      </c>
      <c r="AG1834" s="223">
        <f>0.22615047</f>
        <v>0.22615046999999999</v>
      </c>
      <c r="AH1834" s="341"/>
      <c r="AI1834" s="218"/>
      <c r="AJ1834" s="218"/>
      <c r="AK1834" s="153"/>
      <c r="AL1834" s="152"/>
      <c r="AM1834" s="152"/>
      <c r="AN1834" s="152"/>
      <c r="AO1834" s="152"/>
      <c r="AP1834" s="152"/>
      <c r="AQ1834" s="152"/>
      <c r="AR1834" s="152"/>
      <c r="AS1834" s="152"/>
      <c r="AT1834" s="152"/>
      <c r="AU1834" s="153"/>
      <c r="AV1834" s="479"/>
      <c r="AW1834" s="479"/>
      <c r="AX1834" s="442"/>
      <c r="AY1834" s="153"/>
      <c r="AZ1834" s="152"/>
      <c r="BA1834" s="152"/>
      <c r="BB1834" s="152"/>
      <c r="BC1834" s="152"/>
      <c r="BD1834" s="152"/>
      <c r="BE1834" s="152"/>
      <c r="BF1834" s="152"/>
      <c r="BG1834" s="152"/>
      <c r="BH1834" s="152"/>
      <c r="BI1834" s="153"/>
      <c r="BJ1834" s="153"/>
      <c r="BK1834" s="153"/>
      <c r="BL1834" s="152"/>
      <c r="BM1834" s="152"/>
      <c r="BN1834" s="152"/>
      <c r="BO1834" s="152"/>
      <c r="BP1834" s="152"/>
      <c r="BQ1834" s="152"/>
      <c r="BR1834" s="152"/>
      <c r="BS1834" s="152"/>
      <c r="BT1834" s="152"/>
      <c r="BU1834" s="152"/>
      <c r="BV1834" s="152"/>
      <c r="BW1834" s="153"/>
      <c r="BX1834" s="153"/>
      <c r="BY1834" s="153"/>
      <c r="BZ1834" s="153"/>
      <c r="CA1834" s="152"/>
      <c r="CB1834" s="152"/>
    </row>
    <row r="1835" spans="1:80" s="87" customFormat="1" x14ac:dyDescent="0.2">
      <c r="A1835" s="152"/>
      <c r="B1835" s="683"/>
      <c r="C1835" s="683"/>
      <c r="D1835" s="698"/>
      <c r="E1835" s="215"/>
      <c r="F1835" s="215"/>
      <c r="G1835" s="153"/>
      <c r="H1835" s="153"/>
      <c r="I1835" s="187">
        <v>8</v>
      </c>
      <c r="J1835" s="150" t="e">
        <f>(#REF!/I1835)*(60)</f>
        <v>#REF!</v>
      </c>
      <c r="K1835" s="150">
        <v>1</v>
      </c>
      <c r="L1835" s="656">
        <v>8</v>
      </c>
      <c r="M1835" s="661">
        <v>27563</v>
      </c>
      <c r="N1835" s="112">
        <v>2.2678472700000001E-2</v>
      </c>
      <c r="O1835" s="117">
        <v>5.0799188000000002E-4</v>
      </c>
      <c r="P1835" s="101"/>
      <c r="Q1835" s="101"/>
      <c r="R1835" s="101"/>
      <c r="S1835" s="101"/>
      <c r="T1835" s="101"/>
      <c r="U1835" s="101"/>
      <c r="V1835" s="101"/>
      <c r="W1835" s="101"/>
      <c r="X1835" s="101"/>
      <c r="Y1835" s="101"/>
      <c r="Z1835" s="110"/>
      <c r="AA1835" s="110"/>
      <c r="AB1835" s="90" t="s">
        <v>184</v>
      </c>
      <c r="AC1835" s="152"/>
      <c r="AD1835" s="223">
        <v>0.69917678999999999</v>
      </c>
      <c r="AE1835" s="223">
        <v>0.11429437499999999</v>
      </c>
      <c r="AF1835" s="223">
        <v>7.9888840000000003E-2</v>
      </c>
      <c r="AG1835" s="223">
        <f>0.283754835</f>
        <v>0.28375483499999998</v>
      </c>
      <c r="AH1835" s="341"/>
      <c r="AI1835" s="218"/>
      <c r="AJ1835" s="218"/>
      <c r="AK1835" s="153"/>
      <c r="AL1835" s="152"/>
      <c r="AM1835" s="152"/>
      <c r="AN1835" s="152"/>
      <c r="AO1835" s="152"/>
      <c r="AP1835" s="152"/>
      <c r="AQ1835" s="152"/>
      <c r="AR1835" s="152"/>
      <c r="AS1835" s="152"/>
      <c r="AT1835" s="152"/>
      <c r="AU1835" s="153"/>
      <c r="AV1835" s="479"/>
      <c r="AW1835" s="479"/>
      <c r="AX1835" s="442"/>
      <c r="AY1835" s="153"/>
      <c r="AZ1835" s="152"/>
      <c r="BA1835" s="152"/>
      <c r="BB1835" s="152"/>
      <c r="BC1835" s="152"/>
      <c r="BD1835" s="152"/>
      <c r="BE1835" s="152"/>
      <c r="BF1835" s="152"/>
      <c r="BG1835" s="152"/>
      <c r="BH1835" s="152"/>
      <c r="BI1835" s="153"/>
      <c r="BJ1835" s="153"/>
      <c r="BK1835" s="153"/>
      <c r="BL1835" s="152"/>
      <c r="BM1835" s="152"/>
      <c r="BN1835" s="152"/>
      <c r="BO1835" s="152"/>
      <c r="BP1835" s="152"/>
      <c r="BQ1835" s="152"/>
      <c r="BR1835" s="152"/>
      <c r="BS1835" s="152"/>
      <c r="BT1835" s="152"/>
      <c r="BU1835" s="152"/>
      <c r="BV1835" s="152"/>
      <c r="BW1835" s="153"/>
      <c r="BX1835" s="153"/>
      <c r="BY1835" s="153"/>
      <c r="BZ1835" s="153"/>
      <c r="CA1835" s="152"/>
      <c r="CB1835" s="152"/>
    </row>
    <row r="1836" spans="1:80" s="87" customFormat="1" x14ac:dyDescent="0.2">
      <c r="A1836" s="152"/>
      <c r="B1836" s="683"/>
      <c r="C1836" s="683"/>
      <c r="D1836" s="698"/>
      <c r="E1836" s="215"/>
      <c r="F1836" s="215"/>
      <c r="G1836" s="153"/>
      <c r="H1836" s="153"/>
      <c r="I1836" s="187">
        <v>8</v>
      </c>
      <c r="J1836" s="150" t="e">
        <f>(#REF!/I1836)*(60)</f>
        <v>#REF!</v>
      </c>
      <c r="K1836" s="150">
        <v>1</v>
      </c>
      <c r="L1836" s="656">
        <v>8</v>
      </c>
      <c r="M1836" s="661">
        <v>27877</v>
      </c>
      <c r="N1836" s="112">
        <v>4.9745413899999993E-2</v>
      </c>
      <c r="O1836" s="117">
        <v>3.4006067999999999E-4</v>
      </c>
      <c r="P1836" s="101"/>
      <c r="Q1836" s="101"/>
      <c r="R1836" s="101"/>
      <c r="S1836" s="101"/>
      <c r="T1836" s="101"/>
      <c r="U1836" s="101"/>
      <c r="V1836" s="101"/>
      <c r="W1836" s="101"/>
      <c r="X1836" s="101"/>
      <c r="Y1836" s="101"/>
      <c r="Z1836" s="110"/>
      <c r="AA1836" s="110"/>
      <c r="AB1836" s="90" t="s">
        <v>184</v>
      </c>
      <c r="AC1836" s="152"/>
      <c r="AD1836" s="223">
        <v>0.69917678999999999</v>
      </c>
      <c r="AE1836" s="223">
        <v>0.15696427499999999</v>
      </c>
      <c r="AF1836" s="223">
        <v>0.10961492</v>
      </c>
      <c r="AG1836" s="223">
        <f>0.453215295</f>
        <v>0.45321529500000002</v>
      </c>
      <c r="AH1836" s="341"/>
      <c r="AI1836" s="218"/>
      <c r="AJ1836" s="218"/>
      <c r="AK1836" s="153"/>
      <c r="AL1836" s="152"/>
      <c r="AM1836" s="152"/>
      <c r="AN1836" s="152"/>
      <c r="AO1836" s="152"/>
      <c r="AP1836" s="152"/>
      <c r="AQ1836" s="152"/>
      <c r="AR1836" s="152"/>
      <c r="AS1836" s="152"/>
      <c r="AT1836" s="152"/>
      <c r="AU1836" s="153"/>
      <c r="AV1836" s="479"/>
      <c r="AW1836" s="479"/>
      <c r="AX1836" s="442"/>
      <c r="AY1836" s="153"/>
      <c r="AZ1836" s="152"/>
      <c r="BA1836" s="152"/>
      <c r="BB1836" s="152"/>
      <c r="BC1836" s="152"/>
      <c r="BD1836" s="152"/>
      <c r="BE1836" s="152"/>
      <c r="BF1836" s="152"/>
      <c r="BG1836" s="152"/>
      <c r="BH1836" s="152"/>
      <c r="BI1836" s="153"/>
      <c r="BJ1836" s="153"/>
      <c r="BK1836" s="153"/>
      <c r="BL1836" s="152"/>
      <c r="BM1836" s="152"/>
      <c r="BN1836" s="152"/>
      <c r="BO1836" s="152"/>
      <c r="BP1836" s="152"/>
      <c r="BQ1836" s="152"/>
      <c r="BR1836" s="152"/>
      <c r="BS1836" s="152"/>
      <c r="BT1836" s="152"/>
      <c r="BU1836" s="152"/>
      <c r="BV1836" s="152"/>
      <c r="BW1836" s="153"/>
      <c r="BX1836" s="153"/>
      <c r="BY1836" s="153"/>
      <c r="BZ1836" s="153"/>
      <c r="CA1836" s="152"/>
      <c r="CB1836" s="152"/>
    </row>
    <row r="1837" spans="1:80" s="87" customFormat="1" x14ac:dyDescent="0.2">
      <c r="A1837" s="152"/>
      <c r="B1837" s="683"/>
      <c r="C1837" s="683"/>
      <c r="D1837" s="698"/>
      <c r="E1837" s="215"/>
      <c r="F1837" s="215"/>
      <c r="G1837" s="153"/>
      <c r="H1837" s="153"/>
      <c r="I1837" s="187">
        <v>8</v>
      </c>
      <c r="J1837" s="150" t="e">
        <f>(#REF!/I1837)*(60)</f>
        <v>#REF!</v>
      </c>
      <c r="K1837" s="150">
        <v>1</v>
      </c>
      <c r="L1837" s="656">
        <v>8</v>
      </c>
      <c r="M1837" s="661">
        <v>27878</v>
      </c>
      <c r="N1837" s="112">
        <v>4.5356945400000001E-2</v>
      </c>
      <c r="O1837" s="117">
        <v>1.1020485E-3</v>
      </c>
      <c r="P1837" s="101"/>
      <c r="Q1837" s="101"/>
      <c r="R1837" s="101"/>
      <c r="S1837" s="101"/>
      <c r="T1837" s="101"/>
      <c r="U1837" s="101"/>
      <c r="V1837" s="101"/>
      <c r="W1837" s="101"/>
      <c r="X1837" s="101"/>
      <c r="Y1837" s="101"/>
      <c r="Z1837" s="110"/>
      <c r="AA1837" s="110"/>
      <c r="AB1837" s="90" t="s">
        <v>184</v>
      </c>
      <c r="AC1837" s="152"/>
      <c r="AD1837" s="223">
        <v>0.69917678999999999</v>
      </c>
      <c r="AE1837" s="223">
        <v>0.15330685499999999</v>
      </c>
      <c r="AF1837" s="223">
        <v>0.1068281</v>
      </c>
      <c r="AG1837" s="223">
        <f>0.42304158</f>
        <v>0.42304157999999997</v>
      </c>
      <c r="AH1837" s="341"/>
      <c r="AI1837" s="218"/>
      <c r="AJ1837" s="218"/>
      <c r="AK1837" s="153"/>
      <c r="AL1837" s="152"/>
      <c r="AM1837" s="152"/>
      <c r="AN1837" s="152"/>
      <c r="AO1837" s="152"/>
      <c r="AP1837" s="152"/>
      <c r="AQ1837" s="152"/>
      <c r="AR1837" s="152"/>
      <c r="AS1837" s="152"/>
      <c r="AT1837" s="152"/>
      <c r="AU1837" s="153"/>
      <c r="AV1837" s="479"/>
      <c r="AW1837" s="479"/>
      <c r="AX1837" s="442"/>
      <c r="AY1837" s="153"/>
      <c r="AZ1837" s="152"/>
      <c r="BA1837" s="152"/>
      <c r="BB1837" s="152"/>
      <c r="BC1837" s="152"/>
      <c r="BD1837" s="152"/>
      <c r="BE1837" s="152"/>
      <c r="BF1837" s="152"/>
      <c r="BG1837" s="152"/>
      <c r="BH1837" s="152"/>
      <c r="BI1837" s="153"/>
      <c r="BJ1837" s="153"/>
      <c r="BK1837" s="153"/>
      <c r="BL1837" s="152"/>
      <c r="BM1837" s="152"/>
      <c r="BN1837" s="152"/>
      <c r="BO1837" s="152"/>
      <c r="BP1837" s="152"/>
      <c r="BQ1837" s="152"/>
      <c r="BR1837" s="152"/>
      <c r="BS1837" s="152"/>
      <c r="BT1837" s="152"/>
      <c r="BU1837" s="152"/>
      <c r="BV1837" s="152"/>
      <c r="BW1837" s="153"/>
      <c r="BX1837" s="153"/>
      <c r="BY1837" s="153"/>
      <c r="BZ1837" s="153"/>
      <c r="CA1837" s="152"/>
      <c r="CB1837" s="152"/>
    </row>
    <row r="1838" spans="1:80" s="87" customFormat="1" x14ac:dyDescent="0.2">
      <c r="A1838" s="152"/>
      <c r="B1838" s="683"/>
      <c r="C1838" s="683"/>
      <c r="D1838" s="698"/>
      <c r="E1838" s="215"/>
      <c r="F1838" s="215"/>
      <c r="G1838" s="153"/>
      <c r="H1838" s="153"/>
      <c r="I1838" s="187">
        <v>8</v>
      </c>
      <c r="J1838" s="150" t="e">
        <f>(#REF!/I1838)*(60)</f>
        <v>#REF!</v>
      </c>
      <c r="K1838" s="150">
        <v>1</v>
      </c>
      <c r="L1838" s="656">
        <v>8</v>
      </c>
      <c r="M1838" s="661">
        <v>27879</v>
      </c>
      <c r="N1838" s="112">
        <v>4.7197270899999998E-2</v>
      </c>
      <c r="O1838" s="117">
        <v>1.1860141E-3</v>
      </c>
      <c r="P1838" s="101"/>
      <c r="Q1838" s="101"/>
      <c r="R1838" s="101"/>
      <c r="S1838" s="101"/>
      <c r="T1838" s="101"/>
      <c r="U1838" s="101"/>
      <c r="V1838" s="101"/>
      <c r="W1838" s="101"/>
      <c r="X1838" s="101"/>
      <c r="Y1838" s="101"/>
      <c r="Z1838" s="110"/>
      <c r="AA1838" s="110"/>
      <c r="AB1838" s="90" t="s">
        <v>184</v>
      </c>
      <c r="AC1838" s="152"/>
      <c r="AD1838" s="223">
        <v>0.69917678999999999</v>
      </c>
      <c r="AE1838" s="223">
        <v>0.16092647999999998</v>
      </c>
      <c r="AF1838" s="223">
        <v>0.11240174</v>
      </c>
      <c r="AG1838" s="223">
        <f>0.41938416</f>
        <v>0.41938416000000001</v>
      </c>
      <c r="AH1838" s="341"/>
      <c r="AI1838" s="218"/>
      <c r="AJ1838" s="218"/>
      <c r="AK1838" s="153"/>
      <c r="AL1838" s="152"/>
      <c r="AM1838" s="152"/>
      <c r="AN1838" s="152"/>
      <c r="AO1838" s="152"/>
      <c r="AP1838" s="152"/>
      <c r="AQ1838" s="152"/>
      <c r="AR1838" s="152"/>
      <c r="AS1838" s="152"/>
      <c r="AT1838" s="152"/>
      <c r="AU1838" s="153"/>
      <c r="AV1838" s="479"/>
      <c r="AW1838" s="479"/>
      <c r="AX1838" s="442"/>
      <c r="AY1838" s="153"/>
      <c r="AZ1838" s="152"/>
      <c r="BA1838" s="152"/>
      <c r="BB1838" s="152"/>
      <c r="BC1838" s="152"/>
      <c r="BD1838" s="152"/>
      <c r="BE1838" s="152"/>
      <c r="BF1838" s="152"/>
      <c r="BG1838" s="152"/>
      <c r="BH1838" s="152"/>
      <c r="BI1838" s="153"/>
      <c r="BJ1838" s="153"/>
      <c r="BK1838" s="153"/>
      <c r="BL1838" s="152"/>
      <c r="BM1838" s="152"/>
      <c r="BN1838" s="152"/>
      <c r="BO1838" s="152"/>
      <c r="BP1838" s="152"/>
      <c r="BQ1838" s="152"/>
      <c r="BR1838" s="152"/>
      <c r="BS1838" s="152"/>
      <c r="BT1838" s="152"/>
      <c r="BU1838" s="152"/>
      <c r="BV1838" s="152"/>
      <c r="BW1838" s="153"/>
      <c r="BX1838" s="153"/>
      <c r="BY1838" s="153"/>
      <c r="BZ1838" s="153"/>
      <c r="CA1838" s="152"/>
      <c r="CB1838" s="152"/>
    </row>
    <row r="1839" spans="1:80" s="87" customFormat="1" x14ac:dyDescent="0.2">
      <c r="A1839" s="152"/>
      <c r="B1839" s="683"/>
      <c r="C1839" s="683"/>
      <c r="D1839" s="698"/>
      <c r="E1839" s="215"/>
      <c r="F1839" s="215"/>
      <c r="G1839" s="153"/>
      <c r="H1839" s="153"/>
      <c r="I1839" s="187">
        <v>8</v>
      </c>
      <c r="J1839" s="150" t="e">
        <f>(#REF!/I1839)*(60)</f>
        <v>#REF!</v>
      </c>
      <c r="K1839" s="150">
        <v>1</v>
      </c>
      <c r="L1839" s="656">
        <v>8</v>
      </c>
      <c r="M1839" s="661">
        <v>27883</v>
      </c>
      <c r="N1839" s="112">
        <v>0.1176392685</v>
      </c>
      <c r="O1839" s="117">
        <v>7.4309555999999997E-3</v>
      </c>
      <c r="P1839" s="101"/>
      <c r="Q1839" s="101"/>
      <c r="R1839" s="101"/>
      <c r="S1839" s="101"/>
      <c r="T1839" s="101"/>
      <c r="U1839" s="101"/>
      <c r="V1839" s="101"/>
      <c r="W1839" s="101"/>
      <c r="X1839" s="101"/>
      <c r="Y1839" s="101"/>
      <c r="Z1839" s="110"/>
      <c r="AA1839" s="110"/>
      <c r="AB1839" s="90" t="s">
        <v>184</v>
      </c>
      <c r="AC1839" s="152"/>
      <c r="AD1839" s="223">
        <v>0.69917678999999999</v>
      </c>
      <c r="AE1839" s="223">
        <v>0.24809498999999996</v>
      </c>
      <c r="AF1839" s="223">
        <v>0.17371178000000001</v>
      </c>
      <c r="AG1839" s="223">
        <f>0.678146625</f>
        <v>0.678146625</v>
      </c>
      <c r="AH1839" s="341"/>
      <c r="AI1839" s="218"/>
      <c r="AJ1839" s="218"/>
      <c r="AK1839" s="153"/>
      <c r="AL1839" s="152"/>
      <c r="AM1839" s="152"/>
      <c r="AN1839" s="152"/>
      <c r="AO1839" s="152"/>
      <c r="AP1839" s="152"/>
      <c r="AQ1839" s="152"/>
      <c r="AR1839" s="152"/>
      <c r="AS1839" s="152"/>
      <c r="AT1839" s="152"/>
      <c r="AU1839" s="153"/>
      <c r="AV1839" s="479"/>
      <c r="AW1839" s="479"/>
      <c r="AX1839" s="442"/>
      <c r="AY1839" s="153"/>
      <c r="AZ1839" s="152"/>
      <c r="BA1839" s="152"/>
      <c r="BB1839" s="152"/>
      <c r="BC1839" s="152"/>
      <c r="BD1839" s="152"/>
      <c r="BE1839" s="152"/>
      <c r="BF1839" s="152"/>
      <c r="BG1839" s="152"/>
      <c r="BH1839" s="152"/>
      <c r="BI1839" s="153"/>
      <c r="BJ1839" s="153"/>
      <c r="BK1839" s="153"/>
      <c r="BL1839" s="152"/>
      <c r="BM1839" s="152"/>
      <c r="BN1839" s="152"/>
      <c r="BO1839" s="152"/>
      <c r="BP1839" s="152"/>
      <c r="BQ1839" s="152"/>
      <c r="BR1839" s="152"/>
      <c r="BS1839" s="152"/>
      <c r="BT1839" s="152"/>
      <c r="BU1839" s="152"/>
      <c r="BV1839" s="152"/>
      <c r="BW1839" s="153"/>
      <c r="BX1839" s="153"/>
      <c r="BY1839" s="153"/>
      <c r="BZ1839" s="153"/>
      <c r="CA1839" s="152"/>
      <c r="CB1839" s="152"/>
    </row>
    <row r="1840" spans="1:80" s="87" customFormat="1" x14ac:dyDescent="0.2">
      <c r="A1840" s="152"/>
      <c r="B1840" s="683"/>
      <c r="C1840" s="683"/>
      <c r="D1840" s="698"/>
      <c r="E1840" s="215"/>
      <c r="F1840" s="215"/>
      <c r="G1840" s="153"/>
      <c r="H1840" s="153"/>
      <c r="I1840" s="187">
        <v>8</v>
      </c>
      <c r="J1840" s="150" t="e">
        <f>(#REF!/I1840)*(60)</f>
        <v>#REF!</v>
      </c>
      <c r="K1840" s="150">
        <v>1</v>
      </c>
      <c r="L1840" s="656">
        <v>8</v>
      </c>
      <c r="M1840" s="661">
        <v>27884</v>
      </c>
      <c r="N1840" s="112">
        <v>0.1208669163</v>
      </c>
      <c r="O1840" s="117">
        <v>7.2210415999999994E-3</v>
      </c>
      <c r="P1840" s="101"/>
      <c r="Q1840" s="101"/>
      <c r="R1840" s="101"/>
      <c r="S1840" s="101"/>
      <c r="T1840" s="101"/>
      <c r="U1840" s="101"/>
      <c r="V1840" s="101"/>
      <c r="W1840" s="101"/>
      <c r="X1840" s="101"/>
      <c r="Y1840" s="101"/>
      <c r="Z1840" s="110"/>
      <c r="AA1840" s="110"/>
      <c r="AB1840" s="90" t="s">
        <v>184</v>
      </c>
      <c r="AC1840" s="152"/>
      <c r="AD1840" s="223">
        <v>0.69917678999999999</v>
      </c>
      <c r="AE1840" s="223">
        <v>0.24230407499999998</v>
      </c>
      <c r="AF1840" s="223">
        <v>0.16906708000000001</v>
      </c>
      <c r="AG1840" s="223">
        <f>0.713501685</f>
        <v>0.713501685</v>
      </c>
      <c r="AH1840" s="341"/>
      <c r="AI1840" s="218"/>
      <c r="AJ1840" s="218"/>
      <c r="AK1840" s="153"/>
      <c r="AL1840" s="152"/>
      <c r="AM1840" s="152"/>
      <c r="AN1840" s="152"/>
      <c r="AO1840" s="152"/>
      <c r="AP1840" s="152"/>
      <c r="AQ1840" s="152"/>
      <c r="AR1840" s="152"/>
      <c r="AS1840" s="152"/>
      <c r="AT1840" s="152"/>
      <c r="AU1840" s="153"/>
      <c r="AV1840" s="479"/>
      <c r="AW1840" s="479"/>
      <c r="AX1840" s="442"/>
      <c r="AY1840" s="153"/>
      <c r="AZ1840" s="152"/>
      <c r="BA1840" s="152"/>
      <c r="BB1840" s="152"/>
      <c r="BC1840" s="152"/>
      <c r="BD1840" s="152"/>
      <c r="BE1840" s="152"/>
      <c r="BF1840" s="152"/>
      <c r="BG1840" s="152"/>
      <c r="BH1840" s="152"/>
      <c r="BI1840" s="153"/>
      <c r="BJ1840" s="153"/>
      <c r="BK1840" s="153"/>
      <c r="BL1840" s="152"/>
      <c r="BM1840" s="152"/>
      <c r="BN1840" s="152"/>
      <c r="BO1840" s="152"/>
      <c r="BP1840" s="152"/>
      <c r="BQ1840" s="152"/>
      <c r="BR1840" s="152"/>
      <c r="BS1840" s="152"/>
      <c r="BT1840" s="152"/>
      <c r="BU1840" s="152"/>
      <c r="BV1840" s="152"/>
      <c r="BW1840" s="153"/>
      <c r="BX1840" s="153"/>
      <c r="BY1840" s="153"/>
      <c r="BZ1840" s="153"/>
      <c r="CA1840" s="152"/>
      <c r="CB1840" s="152"/>
    </row>
    <row r="1841" spans="1:80" s="87" customFormat="1" x14ac:dyDescent="0.2">
      <c r="A1841" s="152"/>
      <c r="B1841" s="683"/>
      <c r="C1841" s="683"/>
      <c r="D1841" s="698"/>
      <c r="E1841" s="215"/>
      <c r="F1841" s="215"/>
      <c r="G1841" s="153"/>
      <c r="H1841" s="153"/>
      <c r="I1841" s="187">
        <v>8</v>
      </c>
      <c r="J1841" s="150" t="e">
        <f>(#REF!/I1841)*(60)</f>
        <v>#REF!</v>
      </c>
      <c r="K1841" s="150">
        <v>1</v>
      </c>
      <c r="L1841" s="656">
        <v>8</v>
      </c>
      <c r="M1841" s="661">
        <v>27885</v>
      </c>
      <c r="N1841" s="112">
        <v>0.1021805343</v>
      </c>
      <c r="O1841" s="117">
        <v>5.9090790999999998E-3</v>
      </c>
      <c r="P1841" s="101"/>
      <c r="Q1841" s="101"/>
      <c r="R1841" s="101"/>
      <c r="S1841" s="101"/>
      <c r="T1841" s="101"/>
      <c r="U1841" s="101"/>
      <c r="V1841" s="101"/>
      <c r="W1841" s="101"/>
      <c r="X1841" s="101"/>
      <c r="Y1841" s="101"/>
      <c r="Z1841" s="110"/>
      <c r="AA1841" s="110"/>
      <c r="AB1841" s="90" t="s">
        <v>184</v>
      </c>
      <c r="AC1841" s="152"/>
      <c r="AD1841" s="223">
        <v>0.69917678999999999</v>
      </c>
      <c r="AE1841" s="223">
        <v>0.23498923499999999</v>
      </c>
      <c r="AF1841" s="223">
        <v>0.16442238000000001</v>
      </c>
      <c r="AG1841" s="223">
        <f>0.622066185</f>
        <v>0.62206618499999999</v>
      </c>
      <c r="AH1841" s="341"/>
      <c r="AI1841" s="218"/>
      <c r="AJ1841" s="218"/>
      <c r="AK1841" s="153"/>
      <c r="AL1841" s="152"/>
      <c r="AM1841" s="152"/>
      <c r="AN1841" s="152"/>
      <c r="AO1841" s="152"/>
      <c r="AP1841" s="152"/>
      <c r="AQ1841" s="152"/>
      <c r="AR1841" s="152"/>
      <c r="AS1841" s="152"/>
      <c r="AT1841" s="152"/>
      <c r="AU1841" s="153"/>
      <c r="AV1841" s="479"/>
      <c r="AW1841" s="479"/>
      <c r="AX1841" s="442"/>
      <c r="AY1841" s="153"/>
      <c r="AZ1841" s="152"/>
      <c r="BA1841" s="152"/>
      <c r="BB1841" s="152"/>
      <c r="BC1841" s="152"/>
      <c r="BD1841" s="152"/>
      <c r="BE1841" s="152"/>
      <c r="BF1841" s="152"/>
      <c r="BG1841" s="152"/>
      <c r="BH1841" s="152"/>
      <c r="BI1841" s="153"/>
      <c r="BJ1841" s="153"/>
      <c r="BK1841" s="153"/>
      <c r="BL1841" s="152"/>
      <c r="BM1841" s="152"/>
      <c r="BN1841" s="152"/>
      <c r="BO1841" s="152"/>
      <c r="BP1841" s="152"/>
      <c r="BQ1841" s="152"/>
      <c r="BR1841" s="152"/>
      <c r="BS1841" s="152"/>
      <c r="BT1841" s="152"/>
      <c r="BU1841" s="152"/>
      <c r="BV1841" s="152"/>
      <c r="BW1841" s="153"/>
      <c r="BX1841" s="153"/>
      <c r="BY1841" s="153"/>
      <c r="BZ1841" s="153"/>
      <c r="CA1841" s="152"/>
      <c r="CB1841" s="152"/>
    </row>
    <row r="1842" spans="1:80" s="87" customFormat="1" x14ac:dyDescent="0.2">
      <c r="A1842" s="152"/>
      <c r="B1842" s="683"/>
      <c r="C1842" s="683"/>
      <c r="D1842" s="698"/>
      <c r="E1842" s="215"/>
      <c r="F1842" s="215"/>
      <c r="G1842" s="153"/>
      <c r="H1842" s="153"/>
      <c r="I1842" s="187">
        <v>8</v>
      </c>
      <c r="J1842" s="150" t="e">
        <f>(#REF!/I1842)*(60)</f>
        <v>#REF!</v>
      </c>
      <c r="K1842" s="150">
        <v>1</v>
      </c>
      <c r="L1842" s="656">
        <v>8</v>
      </c>
      <c r="M1842" s="661">
        <v>27886</v>
      </c>
      <c r="N1842" s="112">
        <v>9.5611987899999987E-2</v>
      </c>
      <c r="O1842" s="117">
        <v>4.0303487999999998E-3</v>
      </c>
      <c r="P1842" s="101"/>
      <c r="Q1842" s="101"/>
      <c r="R1842" s="101"/>
      <c r="S1842" s="101"/>
      <c r="T1842" s="101"/>
      <c r="U1842" s="101"/>
      <c r="V1842" s="101"/>
      <c r="W1842" s="101"/>
      <c r="X1842" s="101"/>
      <c r="Y1842" s="101"/>
      <c r="Z1842" s="110"/>
      <c r="AA1842" s="110"/>
      <c r="AB1842" s="90" t="s">
        <v>184</v>
      </c>
      <c r="AC1842" s="152"/>
      <c r="AD1842" s="223">
        <v>0.69917678999999999</v>
      </c>
      <c r="AE1842" s="223">
        <v>0.22645525499999997</v>
      </c>
      <c r="AF1842" s="223">
        <v>0.1579198</v>
      </c>
      <c r="AG1842" s="223">
        <f>0.603779085</f>
        <v>0.60377908499999999</v>
      </c>
      <c r="AH1842" s="341"/>
      <c r="AI1842" s="218"/>
      <c r="AJ1842" s="218"/>
      <c r="AK1842" s="153"/>
      <c r="AL1842" s="152"/>
      <c r="AM1842" s="152"/>
      <c r="AN1842" s="152"/>
      <c r="AO1842" s="152"/>
      <c r="AP1842" s="152"/>
      <c r="AQ1842" s="152"/>
      <c r="AR1842" s="152"/>
      <c r="AS1842" s="152"/>
      <c r="AT1842" s="152"/>
      <c r="AU1842" s="153"/>
      <c r="AV1842" s="479"/>
      <c r="AW1842" s="479"/>
      <c r="AX1842" s="442"/>
      <c r="AY1842" s="153"/>
      <c r="AZ1842" s="152"/>
      <c r="BA1842" s="152"/>
      <c r="BB1842" s="152"/>
      <c r="BC1842" s="152"/>
      <c r="BD1842" s="152"/>
      <c r="BE1842" s="152"/>
      <c r="BF1842" s="152"/>
      <c r="BG1842" s="152"/>
      <c r="BH1842" s="152"/>
      <c r="BI1842" s="153"/>
      <c r="BJ1842" s="153"/>
      <c r="BK1842" s="153"/>
      <c r="BL1842" s="152"/>
      <c r="BM1842" s="152"/>
      <c r="BN1842" s="152"/>
      <c r="BO1842" s="152"/>
      <c r="BP1842" s="152"/>
      <c r="BQ1842" s="152"/>
      <c r="BR1842" s="152"/>
      <c r="BS1842" s="152"/>
      <c r="BT1842" s="152"/>
      <c r="BU1842" s="152"/>
      <c r="BV1842" s="152"/>
      <c r="BW1842" s="153"/>
      <c r="BX1842" s="153"/>
      <c r="BY1842" s="153"/>
      <c r="BZ1842" s="153"/>
      <c r="CA1842" s="152"/>
      <c r="CB1842" s="152"/>
    </row>
    <row r="1843" spans="1:80" s="87" customFormat="1" x14ac:dyDescent="0.2">
      <c r="A1843" s="152"/>
      <c r="B1843" s="683"/>
      <c r="C1843" s="683"/>
      <c r="D1843" s="698"/>
      <c r="E1843" s="215"/>
      <c r="F1843" s="215"/>
      <c r="G1843" s="153"/>
      <c r="H1843" s="153"/>
      <c r="I1843" s="187">
        <v>8</v>
      </c>
      <c r="J1843" s="150" t="e">
        <f>(#REF!/I1843)*(60)</f>
        <v>#REF!</v>
      </c>
      <c r="K1843" s="150">
        <v>1</v>
      </c>
      <c r="L1843" s="656">
        <v>8</v>
      </c>
      <c r="M1843" s="661">
        <v>27887</v>
      </c>
      <c r="N1843" s="112">
        <v>9.4451167199999991E-2</v>
      </c>
      <c r="O1843" s="117">
        <v>4.2507585000000001E-3</v>
      </c>
      <c r="P1843" s="101"/>
      <c r="Q1843" s="101"/>
      <c r="R1843" s="101"/>
      <c r="S1843" s="101"/>
      <c r="T1843" s="101"/>
      <c r="U1843" s="101"/>
      <c r="V1843" s="101"/>
      <c r="W1843" s="101"/>
      <c r="X1843" s="101"/>
      <c r="Y1843" s="101"/>
      <c r="Z1843" s="110"/>
      <c r="AA1843" s="110"/>
      <c r="AB1843" s="90" t="s">
        <v>184</v>
      </c>
      <c r="AC1843" s="152"/>
      <c r="AD1843" s="223">
        <v>0.69917678999999999</v>
      </c>
      <c r="AE1843" s="223">
        <v>0.22706482499999997</v>
      </c>
      <c r="AF1843" s="223">
        <v>0.15884874000000002</v>
      </c>
      <c r="AG1843" s="223">
        <f>0.59494032</f>
        <v>0.59494031999999997</v>
      </c>
      <c r="AH1843" s="341"/>
      <c r="AI1843" s="218"/>
      <c r="AJ1843" s="218"/>
      <c r="AK1843" s="153"/>
      <c r="AL1843" s="152"/>
      <c r="AM1843" s="152"/>
      <c r="AN1843" s="152"/>
      <c r="AO1843" s="152"/>
      <c r="AP1843" s="152"/>
      <c r="AQ1843" s="152"/>
      <c r="AR1843" s="152"/>
      <c r="AS1843" s="152"/>
      <c r="AT1843" s="152"/>
      <c r="AU1843" s="153"/>
      <c r="AV1843" s="479"/>
      <c r="AW1843" s="479"/>
      <c r="AX1843" s="442"/>
      <c r="AY1843" s="153"/>
      <c r="AZ1843" s="152"/>
      <c r="BA1843" s="152"/>
      <c r="BB1843" s="152"/>
      <c r="BC1843" s="152"/>
      <c r="BD1843" s="152"/>
      <c r="BE1843" s="152"/>
      <c r="BF1843" s="152"/>
      <c r="BG1843" s="152"/>
      <c r="BH1843" s="152"/>
      <c r="BI1843" s="153"/>
      <c r="BJ1843" s="153"/>
      <c r="BK1843" s="153"/>
      <c r="BL1843" s="152"/>
      <c r="BM1843" s="152"/>
      <c r="BN1843" s="152"/>
      <c r="BO1843" s="152"/>
      <c r="BP1843" s="152"/>
      <c r="BQ1843" s="152"/>
      <c r="BR1843" s="152"/>
      <c r="BS1843" s="152"/>
      <c r="BT1843" s="152"/>
      <c r="BU1843" s="152"/>
      <c r="BV1843" s="152"/>
      <c r="BW1843" s="153"/>
      <c r="BX1843" s="153"/>
      <c r="BY1843" s="153"/>
      <c r="BZ1843" s="153"/>
      <c r="CA1843" s="152"/>
      <c r="CB1843" s="152"/>
    </row>
    <row r="1844" spans="1:80" s="87" customFormat="1" x14ac:dyDescent="0.2">
      <c r="A1844" s="152"/>
      <c r="B1844" s="683"/>
      <c r="C1844" s="683"/>
      <c r="D1844" s="698"/>
      <c r="E1844" s="215"/>
      <c r="F1844" s="215"/>
      <c r="G1844" s="153"/>
      <c r="H1844" s="153"/>
      <c r="I1844" s="187">
        <v>8</v>
      </c>
      <c r="J1844" s="150" t="e">
        <f>(#REF!/I1844)*(60)</f>
        <v>#REF!</v>
      </c>
      <c r="K1844" s="150">
        <v>1</v>
      </c>
      <c r="L1844" s="656">
        <v>8</v>
      </c>
      <c r="M1844" s="661">
        <v>27890</v>
      </c>
      <c r="N1844" s="112">
        <v>9.9122762699999992E-2</v>
      </c>
      <c r="O1844" s="117">
        <v>7.4939298000000001E-3</v>
      </c>
      <c r="P1844" s="101"/>
      <c r="Q1844" s="101"/>
      <c r="R1844" s="101"/>
      <c r="S1844" s="101"/>
      <c r="T1844" s="101"/>
      <c r="U1844" s="101"/>
      <c r="V1844" s="101"/>
      <c r="W1844" s="101"/>
      <c r="X1844" s="101"/>
      <c r="Y1844" s="101"/>
      <c r="Z1844" s="110"/>
      <c r="AA1844" s="110"/>
      <c r="AB1844" s="90" t="s">
        <v>184</v>
      </c>
      <c r="AC1844" s="152"/>
      <c r="AD1844" s="223">
        <v>0.69917678999999999</v>
      </c>
      <c r="AE1844" s="223">
        <v>0.21761648999999997</v>
      </c>
      <c r="AF1844" s="223">
        <v>0.15234616000000001</v>
      </c>
      <c r="AG1844" s="223">
        <f>0.651325545</f>
        <v>0.65132554499999995</v>
      </c>
      <c r="AH1844" s="341"/>
      <c r="AI1844" s="218"/>
      <c r="AJ1844" s="218"/>
      <c r="AK1844" s="153"/>
      <c r="AL1844" s="152"/>
      <c r="AM1844" s="152"/>
      <c r="AN1844" s="152"/>
      <c r="AO1844" s="152"/>
      <c r="AP1844" s="152"/>
      <c r="AQ1844" s="152"/>
      <c r="AR1844" s="152"/>
      <c r="AS1844" s="152"/>
      <c r="AT1844" s="152"/>
      <c r="AU1844" s="153"/>
      <c r="AV1844" s="479"/>
      <c r="AW1844" s="479"/>
      <c r="AX1844" s="442"/>
      <c r="AY1844" s="153"/>
      <c r="AZ1844" s="152"/>
      <c r="BA1844" s="152"/>
      <c r="BB1844" s="152"/>
      <c r="BC1844" s="152"/>
      <c r="BD1844" s="152"/>
      <c r="BE1844" s="152"/>
      <c r="BF1844" s="152"/>
      <c r="BG1844" s="152"/>
      <c r="BH1844" s="152"/>
      <c r="BI1844" s="153"/>
      <c r="BJ1844" s="153"/>
      <c r="BK1844" s="153"/>
      <c r="BL1844" s="152"/>
      <c r="BM1844" s="152"/>
      <c r="BN1844" s="152"/>
      <c r="BO1844" s="152"/>
      <c r="BP1844" s="152"/>
      <c r="BQ1844" s="152"/>
      <c r="BR1844" s="152"/>
      <c r="BS1844" s="152"/>
      <c r="BT1844" s="152"/>
      <c r="BU1844" s="152"/>
      <c r="BV1844" s="152"/>
      <c r="BW1844" s="153"/>
      <c r="BX1844" s="153"/>
      <c r="BY1844" s="153"/>
      <c r="BZ1844" s="153"/>
      <c r="CA1844" s="152"/>
      <c r="CB1844" s="152"/>
    </row>
    <row r="1845" spans="1:80" s="87" customFormat="1" x14ac:dyDescent="0.2">
      <c r="A1845" s="152"/>
      <c r="B1845" s="683"/>
      <c r="C1845" s="683"/>
      <c r="D1845" s="698"/>
      <c r="E1845" s="215"/>
      <c r="F1845" s="215"/>
      <c r="G1845" s="153"/>
      <c r="H1845" s="153"/>
      <c r="I1845" s="187">
        <v>8</v>
      </c>
      <c r="J1845" s="150" t="e">
        <f>(#REF!/I1845)*(60)</f>
        <v>#REF!</v>
      </c>
      <c r="K1845" s="150">
        <v>1</v>
      </c>
      <c r="L1845" s="656">
        <v>8</v>
      </c>
      <c r="M1845" s="661">
        <v>27892</v>
      </c>
      <c r="N1845" s="112">
        <v>8.0691195000000007E-2</v>
      </c>
      <c r="O1845" s="117">
        <v>1.9522001999999999E-3</v>
      </c>
      <c r="P1845" s="101"/>
      <c r="Q1845" s="101"/>
      <c r="R1845" s="101"/>
      <c r="S1845" s="101"/>
      <c r="T1845" s="101"/>
      <c r="U1845" s="101"/>
      <c r="V1845" s="101"/>
      <c r="W1845" s="101"/>
      <c r="X1845" s="101"/>
      <c r="Y1845" s="101"/>
      <c r="Z1845" s="110"/>
      <c r="AA1845" s="110"/>
      <c r="AB1845" s="90" t="s">
        <v>184</v>
      </c>
      <c r="AC1845" s="152"/>
      <c r="AD1845" s="223"/>
      <c r="AE1845" s="223"/>
      <c r="AF1845" s="223"/>
      <c r="AG1845" s="223"/>
      <c r="AH1845" s="341"/>
      <c r="AI1845" s="218"/>
      <c r="AJ1845" s="218"/>
      <c r="AK1845" s="153"/>
      <c r="AL1845" s="152"/>
      <c r="AM1845" s="152"/>
      <c r="AN1845" s="152"/>
      <c r="AO1845" s="152"/>
      <c r="AP1845" s="152"/>
      <c r="AQ1845" s="152"/>
      <c r="AR1845" s="152"/>
      <c r="AS1845" s="152"/>
      <c r="AT1845" s="152"/>
      <c r="AU1845" s="153"/>
      <c r="AV1845" s="479"/>
      <c r="AW1845" s="479"/>
      <c r="AX1845" s="442"/>
      <c r="AY1845" s="153"/>
      <c r="AZ1845" s="152"/>
      <c r="BA1845" s="152"/>
      <c r="BB1845" s="152"/>
      <c r="BC1845" s="152"/>
      <c r="BD1845" s="152"/>
      <c r="BE1845" s="152"/>
      <c r="BF1845" s="152"/>
      <c r="BG1845" s="152"/>
      <c r="BH1845" s="152"/>
      <c r="BI1845" s="153"/>
      <c r="BJ1845" s="153"/>
      <c r="BK1845" s="153"/>
      <c r="BL1845" s="152"/>
      <c r="BM1845" s="152"/>
      <c r="BN1845" s="152"/>
      <c r="BO1845" s="152"/>
      <c r="BP1845" s="152"/>
      <c r="BQ1845" s="152"/>
      <c r="BR1845" s="152"/>
      <c r="BS1845" s="152"/>
      <c r="BT1845" s="152"/>
      <c r="BU1845" s="152"/>
      <c r="BV1845" s="152"/>
      <c r="BW1845" s="153"/>
      <c r="BX1845" s="153"/>
      <c r="BY1845" s="153"/>
      <c r="BZ1845" s="153"/>
      <c r="CA1845" s="152"/>
      <c r="CB1845" s="152"/>
    </row>
    <row r="1846" spans="1:80" s="87" customFormat="1" x14ac:dyDescent="0.2">
      <c r="A1846" s="152"/>
      <c r="B1846" s="683"/>
      <c r="C1846" s="683"/>
      <c r="D1846" s="698"/>
      <c r="E1846" s="215"/>
      <c r="F1846" s="215"/>
      <c r="G1846" s="153"/>
      <c r="H1846" s="153"/>
      <c r="I1846" s="187">
        <v>8</v>
      </c>
      <c r="J1846" s="150" t="e">
        <f>(#REF!/I1846)*(60)</f>
        <v>#REF!</v>
      </c>
      <c r="K1846" s="150">
        <v>1</v>
      </c>
      <c r="L1846" s="656">
        <v>8</v>
      </c>
      <c r="M1846" s="661">
        <v>27893</v>
      </c>
      <c r="N1846" s="112">
        <v>7.3613020000000001E-2</v>
      </c>
      <c r="O1846" s="117">
        <v>1.7317905000000001E-3</v>
      </c>
      <c r="P1846" s="101"/>
      <c r="Q1846" s="101"/>
      <c r="R1846" s="101"/>
      <c r="S1846" s="101"/>
      <c r="T1846" s="101"/>
      <c r="U1846" s="101"/>
      <c r="V1846" s="101"/>
      <c r="W1846" s="101"/>
      <c r="X1846" s="101"/>
      <c r="Y1846" s="101"/>
      <c r="Z1846" s="110"/>
      <c r="AA1846" s="110"/>
      <c r="AB1846" s="90" t="s">
        <v>184</v>
      </c>
      <c r="AC1846" s="152"/>
      <c r="AD1846" s="223"/>
      <c r="AE1846" s="223"/>
      <c r="AF1846" s="223"/>
      <c r="AG1846" s="223"/>
      <c r="AH1846" s="341"/>
      <c r="AI1846" s="218"/>
      <c r="AJ1846" s="218"/>
      <c r="AK1846" s="153"/>
      <c r="AL1846" s="152"/>
      <c r="AM1846" s="152"/>
      <c r="AN1846" s="152"/>
      <c r="AO1846" s="152"/>
      <c r="AP1846" s="152"/>
      <c r="AQ1846" s="152"/>
      <c r="AR1846" s="152"/>
      <c r="AS1846" s="152"/>
      <c r="AT1846" s="152"/>
      <c r="AU1846" s="153"/>
      <c r="AV1846" s="479"/>
      <c r="AW1846" s="479"/>
      <c r="AX1846" s="442"/>
      <c r="AY1846" s="153"/>
      <c r="AZ1846" s="152"/>
      <c r="BA1846" s="152"/>
      <c r="BB1846" s="152"/>
      <c r="BC1846" s="152"/>
      <c r="BD1846" s="152"/>
      <c r="BE1846" s="152"/>
      <c r="BF1846" s="152"/>
      <c r="BG1846" s="152"/>
      <c r="BH1846" s="152"/>
      <c r="BI1846" s="153"/>
      <c r="BJ1846" s="153"/>
      <c r="BK1846" s="153"/>
      <c r="BL1846" s="152"/>
      <c r="BM1846" s="152"/>
      <c r="BN1846" s="152"/>
      <c r="BO1846" s="152"/>
      <c r="BP1846" s="152"/>
      <c r="BQ1846" s="152"/>
      <c r="BR1846" s="152"/>
      <c r="BS1846" s="152"/>
      <c r="BT1846" s="152"/>
      <c r="BU1846" s="152"/>
      <c r="BV1846" s="152"/>
      <c r="BW1846" s="153"/>
      <c r="BX1846" s="153"/>
      <c r="BY1846" s="153"/>
      <c r="BZ1846" s="153"/>
      <c r="CA1846" s="152"/>
      <c r="CB1846" s="152"/>
    </row>
    <row r="1847" spans="1:80" s="87" customFormat="1" x14ac:dyDescent="0.2">
      <c r="A1847" s="152"/>
      <c r="B1847" s="683"/>
      <c r="C1847" s="683"/>
      <c r="D1847" s="698"/>
      <c r="E1847" s="215"/>
      <c r="F1847" s="215"/>
      <c r="G1847" s="153"/>
      <c r="H1847" s="153"/>
      <c r="I1847" s="187">
        <v>8</v>
      </c>
      <c r="J1847" s="150" t="e">
        <f>(#REF!/I1847)*(60)</f>
        <v>#REF!</v>
      </c>
      <c r="K1847" s="150">
        <v>1</v>
      </c>
      <c r="L1847" s="656">
        <v>8</v>
      </c>
      <c r="M1847" s="661">
        <v>27893</v>
      </c>
      <c r="N1847" s="112">
        <v>7.3754583499999998E-2</v>
      </c>
      <c r="O1847" s="117">
        <v>2.2040969999999999E-3</v>
      </c>
      <c r="P1847" s="101"/>
      <c r="Q1847" s="101"/>
      <c r="R1847" s="101"/>
      <c r="S1847" s="101"/>
      <c r="T1847" s="101"/>
      <c r="U1847" s="101"/>
      <c r="V1847" s="101"/>
      <c r="W1847" s="101"/>
      <c r="X1847" s="101"/>
      <c r="Y1847" s="101"/>
      <c r="Z1847" s="110"/>
      <c r="AA1847" s="110"/>
      <c r="AB1847" s="90" t="s">
        <v>184</v>
      </c>
      <c r="AC1847" s="152"/>
      <c r="AD1847" s="223"/>
      <c r="AE1847" s="223"/>
      <c r="AF1847" s="223"/>
      <c r="AG1847" s="223"/>
      <c r="AH1847" s="341"/>
      <c r="AI1847" s="218"/>
      <c r="AJ1847" s="218"/>
      <c r="AK1847" s="153"/>
      <c r="AL1847" s="152"/>
      <c r="AM1847" s="152"/>
      <c r="AN1847" s="152"/>
      <c r="AO1847" s="152"/>
      <c r="AP1847" s="152"/>
      <c r="AQ1847" s="152"/>
      <c r="AR1847" s="152"/>
      <c r="AS1847" s="152"/>
      <c r="AT1847" s="152"/>
      <c r="AU1847" s="153"/>
      <c r="AV1847" s="479"/>
      <c r="AW1847" s="479"/>
      <c r="AX1847" s="442"/>
      <c r="AY1847" s="153"/>
      <c r="AZ1847" s="152"/>
      <c r="BA1847" s="152"/>
      <c r="BB1847" s="152"/>
      <c r="BC1847" s="152"/>
      <c r="BD1847" s="152"/>
      <c r="BE1847" s="152"/>
      <c r="BF1847" s="152"/>
      <c r="BG1847" s="152"/>
      <c r="BH1847" s="152"/>
      <c r="BI1847" s="153"/>
      <c r="BJ1847" s="153"/>
      <c r="BK1847" s="153"/>
      <c r="BL1847" s="152"/>
      <c r="BM1847" s="152"/>
      <c r="BN1847" s="152"/>
      <c r="BO1847" s="152"/>
      <c r="BP1847" s="152"/>
      <c r="BQ1847" s="152"/>
      <c r="BR1847" s="152"/>
      <c r="BS1847" s="152"/>
      <c r="BT1847" s="152"/>
      <c r="BU1847" s="152"/>
      <c r="BV1847" s="152"/>
      <c r="BW1847" s="153"/>
      <c r="BX1847" s="153"/>
      <c r="BY1847" s="153"/>
      <c r="BZ1847" s="153"/>
      <c r="CA1847" s="152"/>
      <c r="CB1847" s="152"/>
    </row>
    <row r="1848" spans="1:80" s="87" customFormat="1" x14ac:dyDescent="0.2">
      <c r="A1848" s="152"/>
      <c r="B1848" s="683"/>
      <c r="C1848" s="683"/>
      <c r="D1848" s="698"/>
      <c r="E1848" s="215"/>
      <c r="F1848" s="215"/>
      <c r="G1848" s="153"/>
      <c r="H1848" s="153"/>
      <c r="I1848" s="187">
        <v>8</v>
      </c>
      <c r="J1848" s="150" t="e">
        <f>(#REF!/I1848)*(60)</f>
        <v>#REF!</v>
      </c>
      <c r="K1848" s="150">
        <v>1</v>
      </c>
      <c r="L1848" s="656">
        <v>7</v>
      </c>
      <c r="M1848" s="661">
        <v>27898</v>
      </c>
      <c r="N1848" s="112">
        <v>4.4705753299999998E-2</v>
      </c>
      <c r="O1848" s="117">
        <v>1.7422862000000001E-3</v>
      </c>
      <c r="P1848" s="101"/>
      <c r="Q1848" s="101"/>
      <c r="R1848" s="101"/>
      <c r="S1848" s="101"/>
      <c r="T1848" s="101"/>
      <c r="U1848" s="101"/>
      <c r="V1848" s="101"/>
      <c r="W1848" s="101"/>
      <c r="X1848" s="101"/>
      <c r="Y1848" s="101"/>
      <c r="Z1848" s="110"/>
      <c r="AA1848" s="110"/>
      <c r="AB1848" s="90" t="s">
        <v>184</v>
      </c>
      <c r="AC1848" s="152"/>
      <c r="AD1848" s="223"/>
      <c r="AE1848" s="223"/>
      <c r="AF1848" s="223"/>
      <c r="AG1848" s="223"/>
      <c r="AH1848" s="341"/>
      <c r="AI1848" s="218"/>
      <c r="AJ1848" s="218"/>
      <c r="AK1848" s="153"/>
      <c r="AL1848" s="152"/>
      <c r="AM1848" s="152"/>
      <c r="AN1848" s="152"/>
      <c r="AO1848" s="152"/>
      <c r="AP1848" s="152"/>
      <c r="AQ1848" s="152"/>
      <c r="AR1848" s="152"/>
      <c r="AS1848" s="152"/>
      <c r="AT1848" s="152"/>
      <c r="AU1848" s="153"/>
      <c r="AV1848" s="479"/>
      <c r="AW1848" s="479"/>
      <c r="AX1848" s="442"/>
      <c r="AY1848" s="153"/>
      <c r="AZ1848" s="152"/>
      <c r="BA1848" s="152"/>
      <c r="BB1848" s="152"/>
      <c r="BC1848" s="152"/>
      <c r="BD1848" s="152"/>
      <c r="BE1848" s="152"/>
      <c r="BF1848" s="152"/>
      <c r="BG1848" s="152"/>
      <c r="BH1848" s="152"/>
      <c r="BI1848" s="153"/>
      <c r="BJ1848" s="153"/>
      <c r="BK1848" s="153"/>
      <c r="BL1848" s="152"/>
      <c r="BM1848" s="152"/>
      <c r="BN1848" s="152"/>
      <c r="BO1848" s="152"/>
      <c r="BP1848" s="152"/>
      <c r="BQ1848" s="152"/>
      <c r="BR1848" s="152"/>
      <c r="BS1848" s="152"/>
      <c r="BT1848" s="152"/>
      <c r="BU1848" s="152"/>
      <c r="BV1848" s="152"/>
      <c r="BW1848" s="153"/>
      <c r="BX1848" s="153"/>
      <c r="BY1848" s="153"/>
      <c r="BZ1848" s="153"/>
      <c r="CA1848" s="152"/>
      <c r="CB1848" s="152"/>
    </row>
    <row r="1849" spans="1:80" s="87" customFormat="1" x14ac:dyDescent="0.2">
      <c r="A1849" s="152"/>
      <c r="B1849" s="683"/>
      <c r="C1849" s="683"/>
      <c r="D1849" s="698"/>
      <c r="E1849" s="215"/>
      <c r="F1849" s="215"/>
      <c r="G1849" s="153"/>
      <c r="H1849" s="153"/>
      <c r="I1849" s="187">
        <v>8</v>
      </c>
      <c r="J1849" s="150" t="e">
        <f>(#REF!/I1849)*(60)</f>
        <v>#REF!</v>
      </c>
      <c r="K1849" s="150">
        <v>1</v>
      </c>
      <c r="L1849" s="656">
        <v>8</v>
      </c>
      <c r="M1849" s="661">
        <v>28591</v>
      </c>
      <c r="N1849" s="112">
        <v>4.4337688200000003E-2</v>
      </c>
      <c r="O1849" s="117">
        <v>1.4903894E-4</v>
      </c>
      <c r="P1849" s="101"/>
      <c r="Q1849" s="101"/>
      <c r="R1849" s="101"/>
      <c r="S1849" s="101"/>
      <c r="T1849" s="101"/>
      <c r="U1849" s="101"/>
      <c r="V1849" s="101"/>
      <c r="W1849" s="101"/>
      <c r="X1849" s="101"/>
      <c r="Y1849" s="101"/>
      <c r="Z1849" s="110"/>
      <c r="AA1849" s="110"/>
      <c r="AB1849" s="90" t="s">
        <v>184</v>
      </c>
      <c r="AC1849" s="152"/>
      <c r="AD1849" s="223">
        <v>0.69917678999999999</v>
      </c>
      <c r="AE1849" s="223">
        <v>0.15574513499999998</v>
      </c>
      <c r="AF1849" s="223">
        <v>0.10868598</v>
      </c>
      <c r="AG1849" s="223">
        <f>0.406887975</f>
        <v>0.40688797500000001</v>
      </c>
      <c r="AH1849" s="341"/>
      <c r="AI1849" s="218"/>
      <c r="AJ1849" s="218"/>
      <c r="AK1849" s="153"/>
      <c r="AL1849" s="152"/>
      <c r="AM1849" s="152"/>
      <c r="AN1849" s="152"/>
      <c r="AO1849" s="152"/>
      <c r="AP1849" s="152"/>
      <c r="AQ1849" s="152"/>
      <c r="AR1849" s="152"/>
      <c r="AS1849" s="152"/>
      <c r="AT1849" s="152"/>
      <c r="AU1849" s="153"/>
      <c r="AV1849" s="479"/>
      <c r="AW1849" s="479"/>
      <c r="AX1849" s="442"/>
      <c r="AY1849" s="153"/>
      <c r="AZ1849" s="152"/>
      <c r="BA1849" s="152"/>
      <c r="BB1849" s="152"/>
      <c r="BC1849" s="152"/>
      <c r="BD1849" s="152"/>
      <c r="BE1849" s="152"/>
      <c r="BF1849" s="152"/>
      <c r="BG1849" s="152"/>
      <c r="BH1849" s="152"/>
      <c r="BI1849" s="153"/>
      <c r="BJ1849" s="153"/>
      <c r="BK1849" s="153"/>
      <c r="BL1849" s="152"/>
      <c r="BM1849" s="152"/>
      <c r="BN1849" s="152"/>
      <c r="BO1849" s="152"/>
      <c r="BP1849" s="152"/>
      <c r="BQ1849" s="152"/>
      <c r="BR1849" s="152"/>
      <c r="BS1849" s="152"/>
      <c r="BT1849" s="152"/>
      <c r="BU1849" s="152"/>
      <c r="BV1849" s="152"/>
      <c r="BW1849" s="153"/>
      <c r="BX1849" s="153"/>
      <c r="BY1849" s="153"/>
      <c r="BZ1849" s="153"/>
      <c r="CA1849" s="152"/>
      <c r="CB1849" s="152"/>
    </row>
    <row r="1850" spans="1:80" s="87" customFormat="1" x14ac:dyDescent="0.2">
      <c r="A1850" s="152"/>
      <c r="B1850" s="683"/>
      <c r="C1850" s="683"/>
      <c r="D1850" s="698"/>
      <c r="E1850" s="215"/>
      <c r="F1850" s="215"/>
      <c r="G1850" s="153"/>
      <c r="H1850" s="153"/>
      <c r="I1850" s="187">
        <v>8</v>
      </c>
      <c r="J1850" s="150" t="e">
        <f>(#REF!/I1850)*(60)</f>
        <v>#REF!</v>
      </c>
      <c r="K1850" s="150">
        <v>1</v>
      </c>
      <c r="L1850" s="656">
        <v>8</v>
      </c>
      <c r="M1850" s="661">
        <v>28592</v>
      </c>
      <c r="N1850" s="112">
        <v>4.4167812000000001E-2</v>
      </c>
      <c r="O1850" s="117">
        <v>3.7049821E-4</v>
      </c>
      <c r="P1850" s="101"/>
      <c r="Q1850" s="101"/>
      <c r="R1850" s="101"/>
      <c r="S1850" s="101"/>
      <c r="T1850" s="101"/>
      <c r="U1850" s="101"/>
      <c r="V1850" s="101"/>
      <c r="W1850" s="101"/>
      <c r="X1850" s="101"/>
      <c r="Y1850" s="101"/>
      <c r="Z1850" s="110"/>
      <c r="AA1850" s="110"/>
      <c r="AB1850" s="90" t="s">
        <v>184</v>
      </c>
      <c r="AC1850" s="152"/>
      <c r="AD1850" s="223">
        <v>0.69917678999999999</v>
      </c>
      <c r="AE1850" s="223">
        <v>0.153916425</v>
      </c>
      <c r="AF1850" s="223">
        <v>0.10775704</v>
      </c>
      <c r="AG1850" s="223">
        <f>0.410545395</f>
        <v>0.41054539499999998</v>
      </c>
      <c r="AH1850" s="341"/>
      <c r="AI1850" s="218"/>
      <c r="AJ1850" s="218"/>
      <c r="AK1850" s="153"/>
      <c r="AL1850" s="152"/>
      <c r="AM1850" s="152"/>
      <c r="AN1850" s="152"/>
      <c r="AO1850" s="152"/>
      <c r="AP1850" s="152"/>
      <c r="AQ1850" s="152"/>
      <c r="AR1850" s="152"/>
      <c r="AS1850" s="152"/>
      <c r="AT1850" s="152"/>
      <c r="AU1850" s="153"/>
      <c r="AV1850" s="479"/>
      <c r="AW1850" s="479"/>
      <c r="AX1850" s="442"/>
      <c r="AY1850" s="153"/>
      <c r="AZ1850" s="152"/>
      <c r="BA1850" s="152"/>
      <c r="BB1850" s="152"/>
      <c r="BC1850" s="152"/>
      <c r="BD1850" s="152"/>
      <c r="BE1850" s="152"/>
      <c r="BF1850" s="152"/>
      <c r="BG1850" s="152"/>
      <c r="BH1850" s="152"/>
      <c r="BI1850" s="153"/>
      <c r="BJ1850" s="153"/>
      <c r="BK1850" s="153"/>
      <c r="BL1850" s="152"/>
      <c r="BM1850" s="152"/>
      <c r="BN1850" s="152"/>
      <c r="BO1850" s="152"/>
      <c r="BP1850" s="152"/>
      <c r="BQ1850" s="152"/>
      <c r="BR1850" s="152"/>
      <c r="BS1850" s="152"/>
      <c r="BT1850" s="152"/>
      <c r="BU1850" s="152"/>
      <c r="BV1850" s="152"/>
      <c r="BW1850" s="153"/>
      <c r="BX1850" s="153"/>
      <c r="BY1850" s="153"/>
      <c r="BZ1850" s="153"/>
      <c r="CA1850" s="152"/>
      <c r="CB1850" s="152"/>
    </row>
    <row r="1851" spans="1:80" s="87" customFormat="1" x14ac:dyDescent="0.2">
      <c r="A1851" s="152"/>
      <c r="B1851" s="683"/>
      <c r="C1851" s="683"/>
      <c r="D1851" s="698"/>
      <c r="E1851" s="215"/>
      <c r="F1851" s="215"/>
      <c r="G1851" s="153"/>
      <c r="H1851" s="153"/>
      <c r="I1851" s="187">
        <v>8</v>
      </c>
      <c r="J1851" s="150" t="e">
        <f>(#REF!/I1851)*(60)</f>
        <v>#REF!</v>
      </c>
      <c r="K1851" s="150">
        <v>1</v>
      </c>
      <c r="L1851" s="656">
        <v>8</v>
      </c>
      <c r="M1851" s="661">
        <v>28593</v>
      </c>
      <c r="N1851" s="112">
        <v>4.3346743699999996E-2</v>
      </c>
      <c r="O1851" s="117">
        <v>3.4740766999999997E-4</v>
      </c>
      <c r="P1851" s="101"/>
      <c r="Q1851" s="101"/>
      <c r="R1851" s="101"/>
      <c r="S1851" s="101"/>
      <c r="T1851" s="101"/>
      <c r="U1851" s="101"/>
      <c r="V1851" s="101"/>
      <c r="W1851" s="101"/>
      <c r="X1851" s="101"/>
      <c r="Y1851" s="101"/>
      <c r="Z1851" s="110"/>
      <c r="AA1851" s="110"/>
      <c r="AB1851" s="90" t="s">
        <v>184</v>
      </c>
      <c r="AC1851" s="152"/>
      <c r="AD1851" s="223">
        <v>0.69917678999999999</v>
      </c>
      <c r="AE1851" s="223">
        <v>0.15269728499999999</v>
      </c>
      <c r="AF1851" s="223">
        <v>0.1068281</v>
      </c>
      <c r="AG1851" s="223">
        <f>0.405668835</f>
        <v>0.40566883500000001</v>
      </c>
      <c r="AH1851" s="341"/>
      <c r="AI1851" s="218"/>
      <c r="AJ1851" s="218"/>
      <c r="AK1851" s="153"/>
      <c r="AL1851" s="152"/>
      <c r="AM1851" s="152"/>
      <c r="AN1851" s="152"/>
      <c r="AO1851" s="152"/>
      <c r="AP1851" s="152"/>
      <c r="AQ1851" s="152"/>
      <c r="AR1851" s="152"/>
      <c r="AS1851" s="152"/>
      <c r="AT1851" s="152"/>
      <c r="AU1851" s="153"/>
      <c r="AV1851" s="479"/>
      <c r="AW1851" s="479"/>
      <c r="AX1851" s="442"/>
      <c r="AY1851" s="153"/>
      <c r="AZ1851" s="152"/>
      <c r="BA1851" s="152"/>
      <c r="BB1851" s="152"/>
      <c r="BC1851" s="152"/>
      <c r="BD1851" s="152"/>
      <c r="BE1851" s="152"/>
      <c r="BF1851" s="152"/>
      <c r="BG1851" s="152"/>
      <c r="BH1851" s="152"/>
      <c r="BI1851" s="153"/>
      <c r="BJ1851" s="153"/>
      <c r="BK1851" s="153"/>
      <c r="BL1851" s="152"/>
      <c r="BM1851" s="152"/>
      <c r="BN1851" s="152"/>
      <c r="BO1851" s="152"/>
      <c r="BP1851" s="152"/>
      <c r="BQ1851" s="152"/>
      <c r="BR1851" s="152"/>
      <c r="BS1851" s="152"/>
      <c r="BT1851" s="152"/>
      <c r="BU1851" s="152"/>
      <c r="BV1851" s="152"/>
      <c r="BW1851" s="153"/>
      <c r="BX1851" s="153"/>
      <c r="BY1851" s="153"/>
      <c r="BZ1851" s="153"/>
      <c r="CA1851" s="152"/>
      <c r="CB1851" s="152"/>
    </row>
    <row r="1852" spans="1:80" s="87" customFormat="1" x14ac:dyDescent="0.2">
      <c r="A1852" s="152"/>
      <c r="B1852" s="683"/>
      <c r="C1852" s="683"/>
      <c r="D1852" s="698"/>
      <c r="E1852" s="215"/>
      <c r="F1852" s="215"/>
      <c r="G1852" s="153"/>
      <c r="H1852" s="153"/>
      <c r="I1852" s="187">
        <v>8</v>
      </c>
      <c r="J1852" s="150" t="e">
        <f>(#REF!/I1852)*(60)</f>
        <v>#REF!</v>
      </c>
      <c r="K1852" s="150">
        <v>1</v>
      </c>
      <c r="L1852" s="656">
        <v>8</v>
      </c>
      <c r="M1852" s="661">
        <v>28594</v>
      </c>
      <c r="N1852" s="112">
        <v>4.0034157799999998E-2</v>
      </c>
      <c r="O1852" s="117">
        <v>1.3224581999999999E-3</v>
      </c>
      <c r="P1852" s="101"/>
      <c r="Q1852" s="101"/>
      <c r="R1852" s="101"/>
      <c r="S1852" s="101"/>
      <c r="T1852" s="101"/>
      <c r="U1852" s="101"/>
      <c r="V1852" s="101"/>
      <c r="W1852" s="101"/>
      <c r="X1852" s="101"/>
      <c r="Y1852" s="101"/>
      <c r="Z1852" s="110"/>
      <c r="AA1852" s="110"/>
      <c r="AB1852" s="90" t="s">
        <v>184</v>
      </c>
      <c r="AC1852" s="152"/>
      <c r="AD1852" s="223">
        <v>0.69917678999999999</v>
      </c>
      <c r="AE1852" s="223">
        <v>0.14873507999999999</v>
      </c>
      <c r="AF1852" s="223">
        <v>0.10404128000000001</v>
      </c>
      <c r="AG1852" s="223">
        <f>0.38524824</f>
        <v>0.38524824000000002</v>
      </c>
      <c r="AH1852" s="341"/>
      <c r="AI1852" s="218"/>
      <c r="AJ1852" s="218"/>
      <c r="AK1852" s="153"/>
      <c r="AL1852" s="152"/>
      <c r="AM1852" s="152"/>
      <c r="AN1852" s="152"/>
      <c r="AO1852" s="152"/>
      <c r="AP1852" s="152"/>
      <c r="AQ1852" s="152"/>
      <c r="AR1852" s="152"/>
      <c r="AS1852" s="152"/>
      <c r="AT1852" s="152"/>
      <c r="AU1852" s="153"/>
      <c r="AV1852" s="479"/>
      <c r="AW1852" s="479"/>
      <c r="AX1852" s="442"/>
      <c r="AY1852" s="153"/>
      <c r="AZ1852" s="152"/>
      <c r="BA1852" s="152"/>
      <c r="BB1852" s="152"/>
      <c r="BC1852" s="152"/>
      <c r="BD1852" s="152"/>
      <c r="BE1852" s="152"/>
      <c r="BF1852" s="152"/>
      <c r="BG1852" s="152"/>
      <c r="BH1852" s="152"/>
      <c r="BI1852" s="153"/>
      <c r="BJ1852" s="153"/>
      <c r="BK1852" s="153"/>
      <c r="BL1852" s="152"/>
      <c r="BM1852" s="152"/>
      <c r="BN1852" s="152"/>
      <c r="BO1852" s="152"/>
      <c r="BP1852" s="152"/>
      <c r="BQ1852" s="152"/>
      <c r="BR1852" s="152"/>
      <c r="BS1852" s="152"/>
      <c r="BT1852" s="152"/>
      <c r="BU1852" s="152"/>
      <c r="BV1852" s="152"/>
      <c r="BW1852" s="153"/>
      <c r="BX1852" s="153"/>
      <c r="BY1852" s="153"/>
      <c r="BZ1852" s="153"/>
      <c r="CA1852" s="152"/>
      <c r="CB1852" s="152"/>
    </row>
    <row r="1853" spans="1:80" s="87" customFormat="1" x14ac:dyDescent="0.2">
      <c r="A1853" s="152"/>
      <c r="B1853" s="683"/>
      <c r="C1853" s="683"/>
      <c r="D1853" s="698"/>
      <c r="E1853" s="215"/>
      <c r="F1853" s="215"/>
      <c r="G1853" s="153"/>
      <c r="H1853" s="153"/>
      <c r="I1853" s="187">
        <v>8</v>
      </c>
      <c r="J1853" s="150" t="e">
        <f>(#REF!/I1853)*(60)</f>
        <v>#REF!</v>
      </c>
      <c r="K1853" s="150">
        <v>1</v>
      </c>
      <c r="L1853" s="656">
        <v>8</v>
      </c>
      <c r="M1853" s="661">
        <v>28599</v>
      </c>
      <c r="N1853" s="112">
        <v>4.0713662599999999E-2</v>
      </c>
      <c r="O1853" s="117">
        <v>1.2489883E-3</v>
      </c>
      <c r="P1853" s="101"/>
      <c r="Q1853" s="101"/>
      <c r="R1853" s="101"/>
      <c r="S1853" s="101"/>
      <c r="T1853" s="101"/>
      <c r="U1853" s="101"/>
      <c r="V1853" s="101"/>
      <c r="W1853" s="101"/>
      <c r="X1853" s="101"/>
      <c r="Y1853" s="101"/>
      <c r="Z1853" s="110"/>
      <c r="AA1853" s="110"/>
      <c r="AB1853" s="90" t="s">
        <v>184</v>
      </c>
      <c r="AC1853" s="152"/>
      <c r="AD1853" s="223">
        <v>0.69917678999999999</v>
      </c>
      <c r="AE1853" s="223">
        <v>0.14782072499999999</v>
      </c>
      <c r="AF1853" s="223">
        <v>0.10311234000000001</v>
      </c>
      <c r="AG1853" s="223">
        <f>0.394087005</f>
        <v>0.39408700499999999</v>
      </c>
      <c r="AH1853" s="341"/>
      <c r="AI1853" s="218"/>
      <c r="AJ1853" s="218"/>
      <c r="AK1853" s="153"/>
      <c r="AL1853" s="152"/>
      <c r="AM1853" s="152"/>
      <c r="AN1853" s="152"/>
      <c r="AO1853" s="152"/>
      <c r="AP1853" s="152"/>
      <c r="AQ1853" s="152"/>
      <c r="AR1853" s="152"/>
      <c r="AS1853" s="152"/>
      <c r="AT1853" s="152"/>
      <c r="AU1853" s="153"/>
      <c r="AV1853" s="479"/>
      <c r="AW1853" s="479"/>
      <c r="AX1853" s="442"/>
      <c r="AY1853" s="153"/>
      <c r="AZ1853" s="152"/>
      <c r="BA1853" s="152"/>
      <c r="BB1853" s="152"/>
      <c r="BC1853" s="152"/>
      <c r="BD1853" s="152"/>
      <c r="BE1853" s="152"/>
      <c r="BF1853" s="152"/>
      <c r="BG1853" s="152"/>
      <c r="BH1853" s="152"/>
      <c r="BI1853" s="153"/>
      <c r="BJ1853" s="153"/>
      <c r="BK1853" s="153"/>
      <c r="BL1853" s="153"/>
      <c r="BM1853" s="153"/>
      <c r="BN1853" s="153"/>
      <c r="BO1853" s="153"/>
      <c r="BP1853" s="153"/>
      <c r="BQ1853" s="153"/>
      <c r="BR1853" s="153"/>
      <c r="BS1853" s="153"/>
      <c r="BT1853" s="153"/>
      <c r="BU1853" s="153"/>
      <c r="BV1853" s="153"/>
      <c r="BW1853" s="153"/>
      <c r="BX1853" s="153"/>
      <c r="BY1853" s="153"/>
      <c r="BZ1853" s="153"/>
      <c r="CA1853" s="152"/>
      <c r="CB1853" s="152"/>
    </row>
    <row r="1854" spans="1:80" s="87" customFormat="1" x14ac:dyDescent="0.2">
      <c r="A1854" s="152"/>
      <c r="B1854" s="683"/>
      <c r="C1854" s="683"/>
      <c r="D1854" s="698"/>
      <c r="E1854" s="215"/>
      <c r="F1854" s="215"/>
      <c r="G1854" s="153"/>
      <c r="H1854" s="153"/>
      <c r="I1854" s="187">
        <v>8</v>
      </c>
      <c r="J1854" s="150" t="e">
        <f>(#REF!/I1854)*(60)</f>
        <v>#REF!</v>
      </c>
      <c r="K1854" s="150">
        <v>1</v>
      </c>
      <c r="L1854" s="656">
        <v>8</v>
      </c>
      <c r="M1854" s="661">
        <v>28599</v>
      </c>
      <c r="N1854" s="112">
        <v>4.3006991299999998E-2</v>
      </c>
      <c r="O1854" s="117">
        <v>9.6140612E-4</v>
      </c>
      <c r="P1854" s="101"/>
      <c r="Q1854" s="101"/>
      <c r="R1854" s="101"/>
      <c r="S1854" s="101"/>
      <c r="T1854" s="101"/>
      <c r="U1854" s="101"/>
      <c r="V1854" s="101"/>
      <c r="W1854" s="101"/>
      <c r="X1854" s="101"/>
      <c r="Y1854" s="101"/>
      <c r="Z1854" s="110"/>
      <c r="AA1854" s="110"/>
      <c r="AB1854" s="90" t="s">
        <v>184</v>
      </c>
      <c r="AC1854" s="152"/>
      <c r="AD1854" s="223">
        <v>0.69917678999999999</v>
      </c>
      <c r="AE1854" s="223">
        <v>0.15513556499999998</v>
      </c>
      <c r="AF1854" s="223">
        <v>0.10868598</v>
      </c>
      <c r="AG1854" s="223">
        <f>0.396525285</f>
        <v>0.39652528500000001</v>
      </c>
      <c r="AH1854" s="341"/>
      <c r="AI1854" s="218"/>
      <c r="AJ1854" s="218"/>
      <c r="AK1854" s="153"/>
      <c r="AL1854" s="152"/>
      <c r="AM1854" s="152"/>
      <c r="AN1854" s="152"/>
      <c r="AO1854" s="152"/>
      <c r="AP1854" s="152"/>
      <c r="AQ1854" s="152"/>
      <c r="AR1854" s="152"/>
      <c r="AS1854" s="152"/>
      <c r="AT1854" s="152"/>
      <c r="AU1854" s="153"/>
      <c r="AV1854" s="479"/>
      <c r="AW1854" s="479"/>
      <c r="AX1854" s="442"/>
      <c r="AY1854" s="153"/>
      <c r="AZ1854" s="152"/>
      <c r="BA1854" s="152"/>
      <c r="BB1854" s="152"/>
      <c r="BC1854" s="152"/>
      <c r="BD1854" s="152"/>
      <c r="BE1854" s="152"/>
      <c r="BF1854" s="152"/>
      <c r="BG1854" s="152"/>
      <c r="BH1854" s="152"/>
      <c r="BI1854" s="153"/>
      <c r="BJ1854" s="153"/>
      <c r="BK1854" s="153"/>
      <c r="BL1854" s="153"/>
      <c r="BM1854" s="153"/>
      <c r="BN1854" s="153"/>
      <c r="BO1854" s="153"/>
      <c r="BP1854" s="153"/>
      <c r="BQ1854" s="153"/>
      <c r="BR1854" s="153"/>
      <c r="BS1854" s="153"/>
      <c r="BT1854" s="153"/>
      <c r="BU1854" s="153"/>
      <c r="BV1854" s="153"/>
      <c r="BW1854" s="153"/>
      <c r="BX1854" s="153"/>
      <c r="BY1854" s="153"/>
      <c r="BZ1854" s="153"/>
      <c r="CA1854" s="152"/>
      <c r="CB1854" s="152"/>
    </row>
    <row r="1855" spans="1:80" s="87" customFormat="1" x14ac:dyDescent="0.2">
      <c r="A1855" s="152"/>
      <c r="B1855" s="683"/>
      <c r="C1855" s="683"/>
      <c r="D1855" s="698"/>
      <c r="E1855" s="215"/>
      <c r="F1855" s="215"/>
      <c r="G1855" s="153"/>
      <c r="H1855" s="153"/>
      <c r="I1855" s="187">
        <v>8</v>
      </c>
      <c r="J1855" s="150" t="e">
        <f>(#REF!/I1855)*(60)</f>
        <v>#REF!</v>
      </c>
      <c r="K1855" s="150">
        <v>1</v>
      </c>
      <c r="L1855" s="656">
        <v>7</v>
      </c>
      <c r="M1855" s="661">
        <v>28600</v>
      </c>
      <c r="N1855" s="112">
        <v>4.0628724499999998E-2</v>
      </c>
      <c r="O1855" s="117">
        <v>4.9119875999999998E-4</v>
      </c>
      <c r="P1855" s="101"/>
      <c r="Q1855" s="101"/>
      <c r="R1855" s="101"/>
      <c r="S1855" s="101"/>
      <c r="T1855" s="101"/>
      <c r="U1855" s="101"/>
      <c r="V1855" s="101"/>
      <c r="W1855" s="101"/>
      <c r="X1855" s="101"/>
      <c r="Y1855" s="101"/>
      <c r="Z1855" s="110"/>
      <c r="AA1855" s="110"/>
      <c r="AB1855" s="90" t="s">
        <v>184</v>
      </c>
      <c r="AC1855" s="152"/>
      <c r="AD1855" s="223">
        <v>0.69917678999999999</v>
      </c>
      <c r="AE1855" s="223">
        <v>0.15086857499999998</v>
      </c>
      <c r="AF1855" s="223">
        <v>0.10589915999999999</v>
      </c>
      <c r="AG1855" s="223">
        <f>0.38524824</f>
        <v>0.38524824000000002</v>
      </c>
      <c r="AH1855" s="341"/>
      <c r="AI1855" s="218"/>
      <c r="AJ1855" s="218"/>
      <c r="AK1855" s="153"/>
      <c r="AL1855" s="152"/>
      <c r="AM1855" s="152"/>
      <c r="AN1855" s="152"/>
      <c r="AO1855" s="152"/>
      <c r="AP1855" s="152"/>
      <c r="AQ1855" s="152"/>
      <c r="AR1855" s="152"/>
      <c r="AS1855" s="152"/>
      <c r="AT1855" s="152"/>
      <c r="AU1855" s="153"/>
      <c r="AV1855" s="479"/>
      <c r="AW1855" s="479"/>
      <c r="AX1855" s="442"/>
      <c r="AY1855" s="153"/>
      <c r="AZ1855" s="152"/>
      <c r="BA1855" s="152"/>
      <c r="BB1855" s="152"/>
      <c r="BC1855" s="152"/>
      <c r="BD1855" s="152"/>
      <c r="BE1855" s="152"/>
      <c r="BF1855" s="152"/>
      <c r="BG1855" s="152"/>
      <c r="BH1855" s="152"/>
      <c r="BI1855" s="153"/>
      <c r="BJ1855" s="153"/>
      <c r="BK1855" s="153"/>
      <c r="BL1855" s="153"/>
      <c r="BM1855" s="153"/>
      <c r="BN1855" s="153"/>
      <c r="BO1855" s="153"/>
      <c r="BP1855" s="153"/>
      <c r="BQ1855" s="153"/>
      <c r="BR1855" s="153"/>
      <c r="BS1855" s="153"/>
      <c r="BT1855" s="153"/>
      <c r="BU1855" s="153"/>
      <c r="BV1855" s="153"/>
      <c r="BW1855" s="153"/>
      <c r="BX1855" s="153"/>
      <c r="BY1855" s="153"/>
      <c r="BZ1855" s="153"/>
      <c r="CA1855" s="152"/>
      <c r="CB1855" s="152"/>
    </row>
    <row r="1856" spans="1:80" s="87" customFormat="1" x14ac:dyDescent="0.2">
      <c r="A1856" s="152"/>
      <c r="B1856" s="683"/>
      <c r="C1856" s="683"/>
      <c r="D1856" s="698"/>
      <c r="E1856" s="215"/>
      <c r="F1856" s="215"/>
      <c r="G1856" s="153"/>
      <c r="H1856" s="153"/>
      <c r="I1856" s="187">
        <v>8</v>
      </c>
      <c r="J1856" s="150" t="e">
        <f>(#REF!/I1856)*(60)</f>
        <v>#REF!</v>
      </c>
      <c r="K1856" s="150">
        <v>1</v>
      </c>
      <c r="L1856" s="656">
        <v>8</v>
      </c>
      <c r="M1856" s="661">
        <v>28600</v>
      </c>
      <c r="N1856" s="112">
        <v>4.3459994499999995E-2</v>
      </c>
      <c r="O1856" s="117">
        <v>7.3784771000000001E-4</v>
      </c>
      <c r="P1856" s="101"/>
      <c r="Q1856" s="101"/>
      <c r="R1856" s="101"/>
      <c r="S1856" s="101"/>
      <c r="T1856" s="101"/>
      <c r="U1856" s="101"/>
      <c r="V1856" s="101"/>
      <c r="W1856" s="101"/>
      <c r="X1856" s="101"/>
      <c r="Y1856" s="101"/>
      <c r="Z1856" s="110"/>
      <c r="AA1856" s="110"/>
      <c r="AB1856" s="90" t="s">
        <v>184</v>
      </c>
      <c r="AC1856" s="152"/>
      <c r="AD1856" s="223">
        <v>0.69917678999999999</v>
      </c>
      <c r="AE1856" s="223">
        <v>0.15574513499999998</v>
      </c>
      <c r="AF1856" s="223">
        <v>0.10868598</v>
      </c>
      <c r="AG1856" s="223">
        <f>0.398963565</f>
        <v>0.39896356500000002</v>
      </c>
      <c r="AH1856" s="341"/>
      <c r="AI1856" s="218"/>
      <c r="AJ1856" s="218"/>
      <c r="AK1856" s="153"/>
      <c r="AL1856" s="152"/>
      <c r="AM1856" s="152"/>
      <c r="AN1856" s="152"/>
      <c r="AO1856" s="152"/>
      <c r="AP1856" s="152"/>
      <c r="AQ1856" s="152"/>
      <c r="AR1856" s="152"/>
      <c r="AS1856" s="152"/>
      <c r="AT1856" s="152"/>
      <c r="AU1856" s="153"/>
      <c r="AV1856" s="479"/>
      <c r="AW1856" s="479"/>
      <c r="AX1856" s="442"/>
      <c r="AY1856" s="153"/>
      <c r="AZ1856" s="152"/>
      <c r="BA1856" s="152"/>
      <c r="BB1856" s="152"/>
      <c r="BC1856" s="152"/>
      <c r="BD1856" s="152"/>
      <c r="BE1856" s="152"/>
      <c r="BF1856" s="152"/>
      <c r="BG1856" s="152"/>
      <c r="BH1856" s="152"/>
      <c r="BI1856" s="153"/>
      <c r="BJ1856" s="153"/>
      <c r="BK1856" s="153"/>
      <c r="BL1856" s="153"/>
      <c r="BM1856" s="153"/>
      <c r="BN1856" s="153"/>
      <c r="BO1856" s="153"/>
      <c r="BP1856" s="153"/>
      <c r="BQ1856" s="153"/>
      <c r="BR1856" s="153"/>
      <c r="BS1856" s="153"/>
      <c r="BT1856" s="153"/>
      <c r="BU1856" s="153"/>
      <c r="BV1856" s="153"/>
      <c r="BW1856" s="153"/>
      <c r="BX1856" s="153"/>
      <c r="BY1856" s="153"/>
      <c r="BZ1856" s="153"/>
      <c r="CA1856" s="152"/>
      <c r="CB1856" s="152"/>
    </row>
    <row r="1857" spans="1:80" s="87" customFormat="1" x14ac:dyDescent="0.2">
      <c r="A1857" s="152"/>
      <c r="B1857" s="683"/>
      <c r="C1857" s="683"/>
      <c r="D1857" s="698"/>
      <c r="E1857" s="215"/>
      <c r="F1857" s="215"/>
      <c r="G1857" s="153"/>
      <c r="H1857" s="153"/>
      <c r="I1857" s="187">
        <v>8</v>
      </c>
      <c r="J1857" s="150" t="e">
        <f>(#REF!/I1857)*(60)</f>
        <v>#REF!</v>
      </c>
      <c r="K1857" s="150">
        <v>1</v>
      </c>
      <c r="L1857" s="656">
        <v>8</v>
      </c>
      <c r="M1857" s="661">
        <v>28605</v>
      </c>
      <c r="N1857" s="112">
        <v>4.1619668999999998E-2</v>
      </c>
      <c r="O1857" s="117">
        <v>3.0227615999999999E-4</v>
      </c>
      <c r="P1857" s="101"/>
      <c r="Q1857" s="101"/>
      <c r="R1857" s="101"/>
      <c r="S1857" s="101"/>
      <c r="T1857" s="101"/>
      <c r="U1857" s="101"/>
      <c r="V1857" s="101"/>
      <c r="W1857" s="101"/>
      <c r="X1857" s="101"/>
      <c r="Y1857" s="101"/>
      <c r="Z1857" s="110"/>
      <c r="AA1857" s="110"/>
      <c r="AB1857" s="90" t="s">
        <v>184</v>
      </c>
      <c r="AC1857" s="152"/>
      <c r="AD1857" s="223">
        <v>0.69917678999999999</v>
      </c>
      <c r="AE1857" s="223">
        <v>0.15330685499999999</v>
      </c>
      <c r="AF1857" s="223">
        <v>0.1068281</v>
      </c>
      <c r="AG1857" s="223">
        <f>0.38890566</f>
        <v>0.38890565999999999</v>
      </c>
      <c r="AH1857" s="341"/>
      <c r="AI1857" s="218"/>
      <c r="AJ1857" s="218"/>
      <c r="AK1857" s="153"/>
      <c r="AL1857" s="152"/>
      <c r="AM1857" s="152"/>
      <c r="AN1857" s="152"/>
      <c r="AO1857" s="152"/>
      <c r="AP1857" s="152"/>
      <c r="AQ1857" s="152"/>
      <c r="AR1857" s="152"/>
      <c r="AS1857" s="152"/>
      <c r="AT1857" s="152"/>
      <c r="AU1857" s="153"/>
      <c r="AV1857" s="479"/>
      <c r="AW1857" s="479"/>
      <c r="AX1857" s="442"/>
      <c r="AY1857" s="153"/>
      <c r="AZ1857" s="152"/>
      <c r="BA1857" s="152"/>
      <c r="BB1857" s="152"/>
      <c r="BC1857" s="152"/>
      <c r="BD1857" s="152"/>
      <c r="BE1857" s="152"/>
      <c r="BF1857" s="152"/>
      <c r="BG1857" s="152"/>
      <c r="BH1857" s="152"/>
      <c r="BI1857" s="153"/>
      <c r="BJ1857" s="153"/>
      <c r="BK1857" s="153"/>
      <c r="BL1857" s="153"/>
      <c r="BM1857" s="153"/>
      <c r="BN1857" s="153"/>
      <c r="BO1857" s="153"/>
      <c r="BP1857" s="153"/>
      <c r="BQ1857" s="153"/>
      <c r="BR1857" s="153"/>
      <c r="BS1857" s="153"/>
      <c r="BT1857" s="153"/>
      <c r="BU1857" s="153"/>
      <c r="BV1857" s="153"/>
      <c r="BW1857" s="153"/>
      <c r="BX1857" s="153"/>
      <c r="BY1857" s="153"/>
      <c r="BZ1857" s="153"/>
      <c r="CA1857" s="152"/>
      <c r="CB1857" s="152"/>
    </row>
    <row r="1858" spans="1:80" s="87" customFormat="1" x14ac:dyDescent="0.2">
      <c r="A1858" s="152"/>
      <c r="B1858" s="683"/>
      <c r="C1858" s="683"/>
      <c r="D1858" s="698"/>
      <c r="E1858" s="215"/>
      <c r="F1858" s="215"/>
      <c r="G1858" s="153"/>
      <c r="H1858" s="153"/>
      <c r="I1858" s="187">
        <v>8</v>
      </c>
      <c r="J1858" s="150" t="e">
        <f>(#REF!/I1858)*(60)</f>
        <v>#REF!</v>
      </c>
      <c r="K1858" s="150">
        <v>1</v>
      </c>
      <c r="L1858" s="656">
        <v>8</v>
      </c>
      <c r="M1858" s="661">
        <v>28607</v>
      </c>
      <c r="N1858" s="112">
        <v>5.3511002999999994E-2</v>
      </c>
      <c r="O1858" s="117">
        <v>1.4798936999999999E-3</v>
      </c>
      <c r="P1858" s="101"/>
      <c r="Q1858" s="101"/>
      <c r="R1858" s="101"/>
      <c r="S1858" s="101"/>
      <c r="T1858" s="101"/>
      <c r="U1858" s="101"/>
      <c r="V1858" s="101"/>
      <c r="W1858" s="101"/>
      <c r="X1858" s="101"/>
      <c r="Y1858" s="101"/>
      <c r="Z1858" s="110"/>
      <c r="AA1858" s="110"/>
      <c r="AB1858" s="90" t="s">
        <v>184</v>
      </c>
      <c r="AC1858" s="152"/>
      <c r="AD1858" s="223">
        <v>0.69917678999999999</v>
      </c>
      <c r="AE1858" s="223">
        <v>0.18012793499999996</v>
      </c>
      <c r="AF1858" s="223">
        <v>0.12633584</v>
      </c>
      <c r="AG1858" s="223">
        <f>0.42487029</f>
        <v>0.42487028999999998</v>
      </c>
      <c r="AH1858" s="341"/>
      <c r="AI1858" s="218"/>
      <c r="AJ1858" s="218"/>
      <c r="AK1858" s="153"/>
      <c r="AL1858" s="152"/>
      <c r="AM1858" s="152"/>
      <c r="AN1858" s="152"/>
      <c r="AO1858" s="152"/>
      <c r="AP1858" s="152"/>
      <c r="AQ1858" s="152"/>
      <c r="AR1858" s="152"/>
      <c r="AS1858" s="152"/>
      <c r="AT1858" s="152"/>
      <c r="AU1858" s="153"/>
      <c r="AV1858" s="479"/>
      <c r="AW1858" s="479"/>
      <c r="AX1858" s="442"/>
      <c r="AY1858" s="153"/>
      <c r="AZ1858" s="152"/>
      <c r="BA1858" s="152"/>
      <c r="BB1858" s="152"/>
      <c r="BC1858" s="152"/>
      <c r="BD1858" s="152"/>
      <c r="BE1858" s="152"/>
      <c r="BF1858" s="152"/>
      <c r="BG1858" s="152"/>
      <c r="BH1858" s="152"/>
      <c r="BI1858" s="153"/>
      <c r="BJ1858" s="153"/>
      <c r="BK1858" s="153"/>
      <c r="BL1858" s="153"/>
      <c r="BM1858" s="153"/>
      <c r="BN1858" s="153"/>
      <c r="BO1858" s="153"/>
      <c r="BP1858" s="153"/>
      <c r="BQ1858" s="153"/>
      <c r="BR1858" s="153"/>
      <c r="BS1858" s="153"/>
      <c r="BT1858" s="153"/>
      <c r="BU1858" s="153"/>
      <c r="BV1858" s="153"/>
      <c r="BW1858" s="153"/>
      <c r="BX1858" s="153"/>
      <c r="BY1858" s="153"/>
      <c r="BZ1858" s="153"/>
      <c r="CA1858" s="152"/>
      <c r="CB1858" s="152"/>
    </row>
    <row r="1859" spans="1:80" s="87" customFormat="1" x14ac:dyDescent="0.2">
      <c r="A1859" s="152"/>
      <c r="B1859" s="683"/>
      <c r="C1859" s="683"/>
      <c r="D1859" s="698"/>
      <c r="E1859" s="215"/>
      <c r="F1859" s="215"/>
      <c r="G1859" s="153"/>
      <c r="H1859" s="153"/>
      <c r="I1859" s="187">
        <v>8</v>
      </c>
      <c r="J1859" s="150" t="e">
        <f>(#REF!/I1859)*(60)</f>
        <v>#REF!</v>
      </c>
      <c r="K1859" s="150">
        <v>1</v>
      </c>
      <c r="L1859" s="656">
        <v>7</v>
      </c>
      <c r="M1859" s="661">
        <v>28607</v>
      </c>
      <c r="N1859" s="112">
        <v>5.9201855700000007E-2</v>
      </c>
      <c r="O1859" s="117">
        <v>6.4443598000000005E-4</v>
      </c>
      <c r="P1859" s="101"/>
      <c r="Q1859" s="101"/>
      <c r="R1859" s="101"/>
      <c r="S1859" s="101"/>
      <c r="T1859" s="101"/>
      <c r="U1859" s="101"/>
      <c r="V1859" s="101"/>
      <c r="W1859" s="101"/>
      <c r="X1859" s="101"/>
      <c r="Y1859" s="101"/>
      <c r="Z1859" s="110"/>
      <c r="AA1859" s="110"/>
      <c r="AB1859" s="90" t="s">
        <v>184</v>
      </c>
      <c r="AC1859" s="152"/>
      <c r="AD1859" s="223">
        <v>0.69917678999999999</v>
      </c>
      <c r="AE1859" s="223">
        <v>0.18226142999999997</v>
      </c>
      <c r="AF1859" s="223">
        <v>0.12726478000000002</v>
      </c>
      <c r="AG1859" s="223">
        <f>0.46510191</f>
        <v>0.46510191000000001</v>
      </c>
      <c r="AH1859" s="341"/>
      <c r="AI1859" s="218"/>
      <c r="AJ1859" s="218"/>
      <c r="AK1859" s="153"/>
      <c r="AL1859" s="152"/>
      <c r="AM1859" s="152"/>
      <c r="AN1859" s="152"/>
      <c r="AO1859" s="152"/>
      <c r="AP1859" s="152"/>
      <c r="AQ1859" s="152"/>
      <c r="AR1859" s="152"/>
      <c r="AS1859" s="152"/>
      <c r="AT1859" s="152"/>
      <c r="AU1859" s="153"/>
      <c r="AV1859" s="479"/>
      <c r="AW1859" s="479"/>
      <c r="AX1859" s="442"/>
      <c r="AY1859" s="153"/>
      <c r="AZ1859" s="152"/>
      <c r="BA1859" s="152"/>
      <c r="BB1859" s="152"/>
      <c r="BC1859" s="152"/>
      <c r="BD1859" s="152"/>
      <c r="BE1859" s="152"/>
      <c r="BF1859" s="152"/>
      <c r="BG1859" s="152"/>
      <c r="BH1859" s="152"/>
      <c r="BI1859" s="153"/>
      <c r="BJ1859" s="153"/>
      <c r="BK1859" s="153"/>
      <c r="BL1859" s="153"/>
      <c r="BM1859" s="153"/>
      <c r="BN1859" s="153"/>
      <c r="BO1859" s="153"/>
      <c r="BP1859" s="153"/>
      <c r="BQ1859" s="153"/>
      <c r="BR1859" s="153"/>
      <c r="BS1859" s="153"/>
      <c r="BT1859" s="153"/>
      <c r="BU1859" s="153"/>
      <c r="BV1859" s="153"/>
      <c r="BW1859" s="153"/>
      <c r="BX1859" s="153"/>
      <c r="BY1859" s="153"/>
      <c r="BZ1859" s="153"/>
      <c r="CA1859" s="152"/>
      <c r="CB1859" s="152"/>
    </row>
    <row r="1860" spans="1:80" s="87" customFormat="1" x14ac:dyDescent="0.2">
      <c r="A1860" s="152"/>
      <c r="B1860" s="683"/>
      <c r="C1860" s="683"/>
      <c r="D1860" s="698"/>
      <c r="E1860" s="215"/>
      <c r="F1860" s="215"/>
      <c r="G1860" s="153"/>
      <c r="H1860" s="153"/>
      <c r="I1860" s="187">
        <v>8</v>
      </c>
      <c r="J1860" s="150" t="e">
        <f>(#REF!/I1860)*(60)</f>
        <v>#REF!</v>
      </c>
      <c r="K1860" s="150">
        <v>1</v>
      </c>
      <c r="L1860" s="656">
        <v>7</v>
      </c>
      <c r="M1860" s="661">
        <v>28608</v>
      </c>
      <c r="N1860" s="112">
        <v>5.2859810899999998E-2</v>
      </c>
      <c r="O1860" s="117">
        <v>5.0274402999999994E-4</v>
      </c>
      <c r="P1860" s="101"/>
      <c r="Q1860" s="101"/>
      <c r="R1860" s="101"/>
      <c r="S1860" s="101"/>
      <c r="T1860" s="101"/>
      <c r="U1860" s="101"/>
      <c r="V1860" s="101"/>
      <c r="W1860" s="101"/>
      <c r="X1860" s="101"/>
      <c r="Y1860" s="101"/>
      <c r="Z1860" s="110"/>
      <c r="AA1860" s="110"/>
      <c r="AB1860" s="90" t="s">
        <v>184</v>
      </c>
      <c r="AC1860" s="152"/>
      <c r="AD1860" s="223">
        <v>0.69917678999999999</v>
      </c>
      <c r="AE1860" s="223">
        <v>0.17616572999999996</v>
      </c>
      <c r="AF1860" s="223">
        <v>0.12354902000000001</v>
      </c>
      <c r="AG1860" s="223">
        <f>0.429442065</f>
        <v>0.42944206499999998</v>
      </c>
      <c r="AH1860" s="341"/>
      <c r="AI1860" s="218"/>
      <c r="AJ1860" s="218"/>
      <c r="AK1860" s="153"/>
      <c r="AL1860" s="152"/>
      <c r="AM1860" s="152"/>
      <c r="AN1860" s="152"/>
      <c r="AO1860" s="152"/>
      <c r="AP1860" s="152"/>
      <c r="AQ1860" s="152"/>
      <c r="AR1860" s="152"/>
      <c r="AS1860" s="152"/>
      <c r="AT1860" s="152"/>
      <c r="AU1860" s="153"/>
      <c r="AV1860" s="479"/>
      <c r="AW1860" s="479"/>
      <c r="AX1860" s="442"/>
      <c r="AY1860" s="153"/>
      <c r="AZ1860" s="152"/>
      <c r="BA1860" s="152"/>
      <c r="BB1860" s="152"/>
      <c r="BC1860" s="152"/>
      <c r="BD1860" s="152"/>
      <c r="BE1860" s="152"/>
      <c r="BF1860" s="152"/>
      <c r="BG1860" s="152"/>
      <c r="BH1860" s="152"/>
      <c r="BI1860" s="153"/>
      <c r="BJ1860" s="153"/>
      <c r="BK1860" s="153"/>
      <c r="BL1860" s="153"/>
      <c r="BM1860" s="153"/>
      <c r="BN1860" s="153"/>
      <c r="BO1860" s="153"/>
      <c r="BP1860" s="153"/>
      <c r="BQ1860" s="153"/>
      <c r="BR1860" s="153"/>
      <c r="BS1860" s="153"/>
      <c r="BT1860" s="153"/>
      <c r="BU1860" s="153"/>
      <c r="BV1860" s="153"/>
      <c r="BW1860" s="153"/>
      <c r="BX1860" s="153"/>
      <c r="BY1860" s="153"/>
      <c r="BZ1860" s="153"/>
      <c r="CA1860" s="152"/>
      <c r="CB1860" s="152"/>
    </row>
    <row r="1861" spans="1:80" s="87" customFormat="1" x14ac:dyDescent="0.2">
      <c r="A1861" s="152"/>
      <c r="B1861" s="683"/>
      <c r="C1861" s="683"/>
      <c r="D1861" s="698"/>
      <c r="E1861" s="215"/>
      <c r="F1861" s="215"/>
      <c r="G1861" s="153"/>
      <c r="H1861" s="153"/>
      <c r="I1861" s="187">
        <v>8</v>
      </c>
      <c r="J1861" s="150" t="e">
        <f>(#REF!/I1861)*(60)</f>
        <v>#REF!</v>
      </c>
      <c r="K1861" s="150">
        <v>1</v>
      </c>
      <c r="L1861" s="656">
        <v>8</v>
      </c>
      <c r="M1861" s="661">
        <v>28611</v>
      </c>
      <c r="N1861" s="112">
        <v>5.1698990200000003E-2</v>
      </c>
      <c r="O1861" s="117">
        <v>1.8892259999999999E-4</v>
      </c>
      <c r="P1861" s="101"/>
      <c r="Q1861" s="101"/>
      <c r="R1861" s="101"/>
      <c r="S1861" s="101"/>
      <c r="T1861" s="101"/>
      <c r="U1861" s="101"/>
      <c r="V1861" s="101"/>
      <c r="W1861" s="101"/>
      <c r="X1861" s="101"/>
      <c r="Y1861" s="101"/>
      <c r="Z1861" s="110"/>
      <c r="AA1861" s="110"/>
      <c r="AB1861" s="90" t="s">
        <v>184</v>
      </c>
      <c r="AC1861" s="152"/>
      <c r="AD1861" s="223">
        <v>0.69917678999999999</v>
      </c>
      <c r="AE1861" s="223">
        <v>0.17159395499999996</v>
      </c>
      <c r="AF1861" s="223">
        <v>0.11983326000000001</v>
      </c>
      <c r="AG1861" s="223">
        <f>0.431270775</f>
        <v>0.431270775</v>
      </c>
      <c r="AH1861" s="341"/>
      <c r="AI1861" s="218"/>
      <c r="AJ1861" s="218"/>
      <c r="AK1861" s="153"/>
      <c r="AL1861" s="152"/>
      <c r="AM1861" s="152"/>
      <c r="AN1861" s="152"/>
      <c r="AO1861" s="152"/>
      <c r="AP1861" s="152"/>
      <c r="AQ1861" s="152"/>
      <c r="AR1861" s="152"/>
      <c r="AS1861" s="152"/>
      <c r="AT1861" s="152"/>
      <c r="AU1861" s="153"/>
      <c r="AV1861" s="479"/>
      <c r="AW1861" s="479"/>
      <c r="AX1861" s="442"/>
      <c r="AY1861" s="153"/>
      <c r="AZ1861" s="152"/>
      <c r="BA1861" s="152"/>
      <c r="BB1861" s="152"/>
      <c r="BC1861" s="152"/>
      <c r="BD1861" s="152"/>
      <c r="BE1861" s="152"/>
      <c r="BF1861" s="152"/>
      <c r="BG1861" s="152"/>
      <c r="BH1861" s="152"/>
      <c r="BI1861" s="153"/>
      <c r="BJ1861" s="153"/>
      <c r="BK1861" s="153"/>
      <c r="BL1861" s="153"/>
      <c r="BM1861" s="153"/>
      <c r="BN1861" s="153"/>
      <c r="BO1861" s="153"/>
      <c r="BP1861" s="153"/>
      <c r="BQ1861" s="153"/>
      <c r="BR1861" s="153"/>
      <c r="BS1861" s="153"/>
      <c r="BT1861" s="153"/>
      <c r="BU1861" s="153"/>
      <c r="BV1861" s="153"/>
      <c r="BW1861" s="153"/>
      <c r="BX1861" s="153"/>
      <c r="BY1861" s="153"/>
      <c r="BZ1861" s="153"/>
      <c r="CA1861" s="152"/>
      <c r="CB1861" s="152"/>
    </row>
    <row r="1862" spans="1:80" s="87" customFormat="1" x14ac:dyDescent="0.2">
      <c r="A1862" s="152"/>
      <c r="B1862" s="683"/>
      <c r="C1862" s="683"/>
      <c r="D1862" s="698"/>
      <c r="E1862" s="215"/>
      <c r="F1862" s="215"/>
      <c r="G1862" s="153"/>
      <c r="H1862" s="153"/>
      <c r="I1862" s="187">
        <v>8</v>
      </c>
      <c r="J1862" s="150" t="e">
        <f>(#REF!/I1862)*(60)</f>
        <v>#REF!</v>
      </c>
      <c r="K1862" s="150">
        <v>1</v>
      </c>
      <c r="L1862" s="656">
        <v>8</v>
      </c>
      <c r="M1862" s="661">
        <v>28613</v>
      </c>
      <c r="N1862" s="112">
        <v>4.5725010499999996E-2</v>
      </c>
      <c r="O1862" s="117">
        <v>1.0810570999999999E-3</v>
      </c>
      <c r="P1862" s="101"/>
      <c r="Q1862" s="101"/>
      <c r="R1862" s="101"/>
      <c r="S1862" s="101"/>
      <c r="T1862" s="101"/>
      <c r="U1862" s="101"/>
      <c r="V1862" s="101"/>
      <c r="W1862" s="101"/>
      <c r="X1862" s="101"/>
      <c r="Y1862" s="101"/>
      <c r="Z1862" s="110"/>
      <c r="AA1862" s="110"/>
      <c r="AB1862" s="90" t="s">
        <v>184</v>
      </c>
      <c r="AC1862" s="152"/>
      <c r="AD1862" s="223">
        <v>0.69917678999999999</v>
      </c>
      <c r="AE1862" s="223">
        <v>0.16732696499999999</v>
      </c>
      <c r="AF1862" s="223">
        <v>0.11704644</v>
      </c>
      <c r="AG1862" s="223">
        <f>0.391039155</f>
        <v>0.39103915500000003</v>
      </c>
      <c r="AH1862" s="341"/>
      <c r="AI1862" s="218"/>
      <c r="AJ1862" s="218"/>
      <c r="AK1862" s="153"/>
      <c r="AL1862" s="152"/>
      <c r="AM1862" s="152"/>
      <c r="AN1862" s="152"/>
      <c r="AO1862" s="152"/>
      <c r="AP1862" s="152"/>
      <c r="AQ1862" s="152"/>
      <c r="AR1862" s="152"/>
      <c r="AS1862" s="152"/>
      <c r="AT1862" s="152"/>
      <c r="AU1862" s="153"/>
      <c r="AV1862" s="479"/>
      <c r="AW1862" s="479"/>
      <c r="AX1862" s="442"/>
      <c r="AY1862" s="153"/>
      <c r="AZ1862" s="152"/>
      <c r="BA1862" s="152"/>
      <c r="BB1862" s="152"/>
      <c r="BC1862" s="152"/>
      <c r="BD1862" s="152"/>
      <c r="BE1862" s="152"/>
      <c r="BF1862" s="152"/>
      <c r="BG1862" s="152"/>
      <c r="BH1862" s="152"/>
      <c r="BI1862" s="153"/>
      <c r="BJ1862" s="153"/>
      <c r="BK1862" s="153"/>
      <c r="BL1862" s="153"/>
      <c r="BM1862" s="153"/>
      <c r="BN1862" s="153"/>
      <c r="BO1862" s="153"/>
      <c r="BP1862" s="153"/>
      <c r="BQ1862" s="153"/>
      <c r="BR1862" s="153"/>
      <c r="BS1862" s="153"/>
      <c r="BT1862" s="153"/>
      <c r="BU1862" s="153"/>
      <c r="BV1862" s="153"/>
      <c r="BW1862" s="153"/>
      <c r="BX1862" s="153"/>
      <c r="BY1862" s="153"/>
      <c r="BZ1862" s="153"/>
      <c r="CA1862" s="152"/>
      <c r="CB1862" s="152"/>
    </row>
    <row r="1863" spans="1:80" s="87" customFormat="1" x14ac:dyDescent="0.2">
      <c r="A1863" s="152"/>
      <c r="B1863" s="683"/>
      <c r="C1863" s="683"/>
      <c r="D1863" s="698"/>
      <c r="E1863" s="215"/>
      <c r="F1863" s="215"/>
      <c r="G1863" s="153"/>
      <c r="H1863" s="153"/>
      <c r="I1863" s="187">
        <v>8</v>
      </c>
      <c r="J1863" s="150" t="e">
        <f>(#REF!/I1863)*(60)</f>
        <v>#REF!</v>
      </c>
      <c r="K1863" s="150">
        <v>1</v>
      </c>
      <c r="L1863" s="656">
        <v>7</v>
      </c>
      <c r="M1863" s="661">
        <v>28613</v>
      </c>
      <c r="N1863" s="112">
        <v>5.53230158E-2</v>
      </c>
      <c r="O1863" s="117">
        <v>1.2279969000000002E-3</v>
      </c>
      <c r="P1863" s="101"/>
      <c r="Q1863" s="101"/>
      <c r="R1863" s="101"/>
      <c r="S1863" s="101"/>
      <c r="T1863" s="101"/>
      <c r="U1863" s="101"/>
      <c r="V1863" s="101"/>
      <c r="W1863" s="101"/>
      <c r="X1863" s="101"/>
      <c r="Y1863" s="101"/>
      <c r="Z1863" s="110"/>
      <c r="AA1863" s="110"/>
      <c r="AB1863" s="90" t="s">
        <v>184</v>
      </c>
      <c r="AC1863" s="152"/>
      <c r="AD1863" s="223"/>
      <c r="AE1863" s="223"/>
      <c r="AF1863" s="223"/>
      <c r="AG1863" s="223"/>
      <c r="AH1863" s="341"/>
      <c r="AI1863" s="218"/>
      <c r="AJ1863" s="218"/>
      <c r="AK1863" s="153"/>
      <c r="AL1863" s="152"/>
      <c r="AM1863" s="152"/>
      <c r="AN1863" s="152"/>
      <c r="AO1863" s="152"/>
      <c r="AP1863" s="152"/>
      <c r="AQ1863" s="152"/>
      <c r="AR1863" s="152"/>
      <c r="AS1863" s="152"/>
      <c r="AT1863" s="152"/>
      <c r="AU1863" s="153"/>
      <c r="AV1863" s="479"/>
      <c r="AW1863" s="479"/>
      <c r="AX1863" s="442"/>
      <c r="AY1863" s="153"/>
      <c r="AZ1863" s="152"/>
      <c r="BA1863" s="152"/>
      <c r="BB1863" s="152"/>
      <c r="BC1863" s="152"/>
      <c r="BD1863" s="152"/>
      <c r="BE1863" s="152"/>
      <c r="BF1863" s="152"/>
      <c r="BG1863" s="152"/>
      <c r="BH1863" s="152"/>
      <c r="BI1863" s="153"/>
      <c r="BJ1863" s="153"/>
      <c r="BK1863" s="153"/>
      <c r="BL1863" s="153"/>
      <c r="BM1863" s="153"/>
      <c r="BN1863" s="153"/>
      <c r="BO1863" s="153"/>
      <c r="BP1863" s="153"/>
      <c r="BQ1863" s="153"/>
      <c r="BR1863" s="153"/>
      <c r="BS1863" s="153"/>
      <c r="BT1863" s="153"/>
      <c r="BU1863" s="153"/>
      <c r="BV1863" s="153"/>
      <c r="BW1863" s="153"/>
      <c r="BX1863" s="153"/>
      <c r="BY1863" s="153"/>
      <c r="BZ1863" s="153"/>
      <c r="CA1863" s="152"/>
      <c r="CB1863" s="152"/>
    </row>
    <row r="1864" spans="1:80" s="87" customFormat="1" x14ac:dyDescent="0.2">
      <c r="A1864" s="152"/>
      <c r="B1864" s="683"/>
      <c r="C1864" s="683"/>
      <c r="D1864" s="698"/>
      <c r="E1864" s="215"/>
      <c r="F1864" s="215"/>
      <c r="G1864" s="153"/>
      <c r="H1864" s="153"/>
      <c r="I1864" s="187">
        <v>8</v>
      </c>
      <c r="J1864" s="150" t="e">
        <f>(#REF!/I1864)*(60)</f>
        <v>#REF!</v>
      </c>
      <c r="K1864" s="150">
        <v>1</v>
      </c>
      <c r="L1864" s="656">
        <v>7</v>
      </c>
      <c r="M1864" s="661">
        <v>28614</v>
      </c>
      <c r="N1864" s="112">
        <v>5.2378495000000004E-2</v>
      </c>
      <c r="O1864" s="117">
        <v>1.6163378000000001E-3</v>
      </c>
      <c r="P1864" s="101"/>
      <c r="Q1864" s="101"/>
      <c r="R1864" s="101"/>
      <c r="S1864" s="101"/>
      <c r="T1864" s="101"/>
      <c r="U1864" s="101"/>
      <c r="V1864" s="101"/>
      <c r="W1864" s="101"/>
      <c r="X1864" s="101"/>
      <c r="Y1864" s="101"/>
      <c r="Z1864" s="110"/>
      <c r="AA1864" s="110"/>
      <c r="AB1864" s="90" t="s">
        <v>184</v>
      </c>
      <c r="AC1864" s="152"/>
      <c r="AD1864" s="223"/>
      <c r="AE1864" s="223"/>
      <c r="AF1864" s="223"/>
      <c r="AG1864" s="223"/>
      <c r="AH1864" s="341"/>
      <c r="AI1864" s="218"/>
      <c r="AJ1864" s="218"/>
      <c r="AK1864" s="153"/>
      <c r="AL1864" s="152"/>
      <c r="AM1864" s="152"/>
      <c r="AN1864" s="152"/>
      <c r="AO1864" s="152"/>
      <c r="AP1864" s="152"/>
      <c r="AQ1864" s="152"/>
      <c r="AR1864" s="152"/>
      <c r="AS1864" s="152"/>
      <c r="AT1864" s="152"/>
      <c r="AU1864" s="153"/>
      <c r="AV1864" s="479"/>
      <c r="AW1864" s="479"/>
      <c r="AX1864" s="442"/>
      <c r="AY1864" s="153"/>
      <c r="AZ1864" s="152"/>
      <c r="BA1864" s="152"/>
      <c r="BB1864" s="152"/>
      <c r="BC1864" s="152"/>
      <c r="BD1864" s="152"/>
      <c r="BE1864" s="152"/>
      <c r="BF1864" s="152"/>
      <c r="BG1864" s="152"/>
      <c r="BH1864" s="152"/>
      <c r="BI1864" s="153"/>
      <c r="BJ1864" s="153"/>
      <c r="BK1864" s="153"/>
      <c r="BL1864" s="153"/>
      <c r="BM1864" s="153"/>
      <c r="BN1864" s="153"/>
      <c r="BO1864" s="153"/>
      <c r="BP1864" s="153"/>
      <c r="BQ1864" s="153"/>
      <c r="BR1864" s="153"/>
      <c r="BS1864" s="153"/>
      <c r="BT1864" s="153"/>
      <c r="BU1864" s="153"/>
      <c r="BV1864" s="153"/>
      <c r="BW1864" s="153"/>
      <c r="BX1864" s="153"/>
      <c r="BY1864" s="153"/>
      <c r="BZ1864" s="153"/>
      <c r="CA1864" s="152"/>
      <c r="CB1864" s="152"/>
    </row>
    <row r="1865" spans="1:80" s="87" customFormat="1" x14ac:dyDescent="0.2">
      <c r="A1865" s="152"/>
      <c r="B1865" s="683"/>
      <c r="C1865" s="683"/>
      <c r="D1865" s="698"/>
      <c r="E1865" s="215"/>
      <c r="F1865" s="215"/>
      <c r="G1865" s="153"/>
      <c r="H1865" s="153"/>
      <c r="I1865" s="187">
        <v>8</v>
      </c>
      <c r="J1865" s="150" t="e">
        <f>(#REF!/I1865)*(60)</f>
        <v>#REF!</v>
      </c>
      <c r="K1865" s="150">
        <v>1</v>
      </c>
      <c r="L1865" s="656">
        <v>7</v>
      </c>
      <c r="M1865" s="661">
        <v>28946</v>
      </c>
      <c r="N1865" s="112">
        <v>1.2825653100000001E-2</v>
      </c>
      <c r="O1865" s="117">
        <v>5.5522253000000001E-4</v>
      </c>
      <c r="P1865" s="101"/>
      <c r="Q1865" s="101"/>
      <c r="R1865" s="101"/>
      <c r="S1865" s="101"/>
      <c r="T1865" s="101"/>
      <c r="U1865" s="101"/>
      <c r="V1865" s="101"/>
      <c r="W1865" s="101"/>
      <c r="X1865" s="101"/>
      <c r="Y1865" s="101"/>
      <c r="Z1865" s="110"/>
      <c r="AA1865" s="110"/>
      <c r="AB1865" s="90" t="s">
        <v>185</v>
      </c>
      <c r="AC1865" s="152"/>
      <c r="AD1865" s="223">
        <v>0.70801555499999991</v>
      </c>
      <c r="AE1865" s="223">
        <v>8.930200499999999E-2</v>
      </c>
      <c r="AF1865" s="223">
        <v>6.3167920000000002E-2</v>
      </c>
      <c r="AG1865" s="223">
        <f>0.20298681</f>
        <v>0.20298680999999999</v>
      </c>
      <c r="AH1865" s="341"/>
      <c r="AI1865" s="218"/>
      <c r="AJ1865" s="218"/>
      <c r="AK1865" s="153"/>
      <c r="AL1865" s="152"/>
      <c r="AM1865" s="152"/>
      <c r="AN1865" s="152"/>
      <c r="AO1865" s="152"/>
      <c r="AP1865" s="152"/>
      <c r="AQ1865" s="152"/>
      <c r="AR1865" s="152"/>
      <c r="AS1865" s="152"/>
      <c r="AT1865" s="152"/>
      <c r="AU1865" s="153"/>
      <c r="AV1865" s="479"/>
      <c r="AW1865" s="479"/>
      <c r="AX1865" s="442"/>
      <c r="AY1865" s="153"/>
      <c r="AZ1865" s="152"/>
      <c r="BA1865" s="152"/>
      <c r="BB1865" s="152"/>
      <c r="BC1865" s="152"/>
      <c r="BD1865" s="152"/>
      <c r="BE1865" s="152"/>
      <c r="BF1865" s="152"/>
      <c r="BG1865" s="152"/>
      <c r="BH1865" s="152"/>
      <c r="BI1865" s="153"/>
      <c r="BJ1865" s="153"/>
      <c r="BK1865" s="153"/>
      <c r="BL1865" s="153"/>
      <c r="BM1865" s="153"/>
      <c r="BN1865" s="153"/>
      <c r="BO1865" s="153"/>
      <c r="BP1865" s="153"/>
      <c r="BQ1865" s="153"/>
      <c r="BR1865" s="153"/>
      <c r="BS1865" s="153"/>
      <c r="BT1865" s="153"/>
      <c r="BU1865" s="153"/>
      <c r="BV1865" s="153"/>
      <c r="BW1865" s="153"/>
      <c r="BX1865" s="153"/>
      <c r="BY1865" s="153"/>
      <c r="BZ1865" s="153"/>
      <c r="CA1865" s="152"/>
      <c r="CB1865" s="152"/>
    </row>
    <row r="1866" spans="1:80" s="87" customFormat="1" x14ac:dyDescent="0.2">
      <c r="A1866" s="152"/>
      <c r="B1866" s="683"/>
      <c r="C1866" s="683"/>
      <c r="D1866" s="698"/>
      <c r="E1866" s="215"/>
      <c r="F1866" s="215"/>
      <c r="G1866" s="153"/>
      <c r="H1866" s="153"/>
      <c r="I1866" s="187">
        <v>8</v>
      </c>
      <c r="J1866" s="150" t="e">
        <f>(#REF!/I1866)*(60)</f>
        <v>#REF!</v>
      </c>
      <c r="K1866" s="150">
        <v>1</v>
      </c>
      <c r="L1866" s="656">
        <v>3</v>
      </c>
      <c r="M1866" s="661">
        <v>28949</v>
      </c>
      <c r="N1866" s="112">
        <v>1.24859007E-2</v>
      </c>
      <c r="O1866" s="117">
        <v>4.1248101000000005E-5</v>
      </c>
      <c r="P1866" s="101"/>
      <c r="Q1866" s="101"/>
      <c r="R1866" s="101"/>
      <c r="S1866" s="101"/>
      <c r="T1866" s="101"/>
      <c r="U1866" s="101"/>
      <c r="V1866" s="101"/>
      <c r="W1866" s="101"/>
      <c r="X1866" s="101"/>
      <c r="Y1866" s="101"/>
      <c r="Z1866" s="110"/>
      <c r="AA1866" s="110"/>
      <c r="AB1866" s="90" t="s">
        <v>185</v>
      </c>
      <c r="AC1866" s="152"/>
      <c r="AD1866" s="223">
        <v>0.70801555499999991</v>
      </c>
      <c r="AE1866" s="223">
        <v>8.6558939999999987E-2</v>
      </c>
      <c r="AF1866" s="223">
        <v>6.1310040000000003E-2</v>
      </c>
      <c r="AG1866" s="223">
        <f>0.20359638</f>
        <v>0.20359637999999999</v>
      </c>
      <c r="AH1866" s="341"/>
      <c r="AI1866" s="218"/>
      <c r="AJ1866" s="218"/>
      <c r="AK1866" s="153"/>
      <c r="AL1866" s="152"/>
      <c r="AM1866" s="152"/>
      <c r="AN1866" s="152"/>
      <c r="AO1866" s="152"/>
      <c r="AP1866" s="152"/>
      <c r="AQ1866" s="152"/>
      <c r="AR1866" s="152"/>
      <c r="AS1866" s="152"/>
      <c r="AT1866" s="152"/>
      <c r="AU1866" s="153"/>
      <c r="AV1866" s="479"/>
      <c r="AW1866" s="479"/>
      <c r="AX1866" s="442"/>
      <c r="AY1866" s="153"/>
      <c r="AZ1866" s="152"/>
      <c r="BA1866" s="152"/>
      <c r="BB1866" s="152"/>
      <c r="BC1866" s="152"/>
      <c r="BD1866" s="152"/>
      <c r="BE1866" s="152"/>
      <c r="BF1866" s="152"/>
      <c r="BG1866" s="152"/>
      <c r="BH1866" s="152"/>
      <c r="BI1866" s="153"/>
      <c r="BJ1866" s="153"/>
      <c r="BK1866" s="153"/>
      <c r="BL1866" s="153"/>
      <c r="BM1866" s="153"/>
      <c r="BN1866" s="153"/>
      <c r="BO1866" s="153"/>
      <c r="BP1866" s="153"/>
      <c r="BQ1866" s="153"/>
      <c r="BR1866" s="153"/>
      <c r="BS1866" s="153"/>
      <c r="BT1866" s="153"/>
      <c r="BU1866" s="153"/>
      <c r="BV1866" s="153"/>
      <c r="BW1866" s="153"/>
      <c r="BX1866" s="153"/>
      <c r="BY1866" s="153"/>
      <c r="BZ1866" s="153"/>
      <c r="CA1866" s="152"/>
      <c r="CB1866" s="152"/>
    </row>
    <row r="1867" spans="1:80" s="87" customFormat="1" x14ac:dyDescent="0.2">
      <c r="A1867" s="152"/>
      <c r="B1867" s="683"/>
      <c r="C1867" s="683"/>
      <c r="D1867" s="698"/>
      <c r="E1867" s="215"/>
      <c r="F1867" s="215"/>
      <c r="G1867" s="153"/>
      <c r="H1867" s="153"/>
      <c r="I1867" s="187">
        <v>8</v>
      </c>
      <c r="J1867" s="150" t="e">
        <f>(#REF!/I1867)*(60)</f>
        <v>#REF!</v>
      </c>
      <c r="K1867" s="150">
        <v>1</v>
      </c>
      <c r="L1867" s="656">
        <v>5.5</v>
      </c>
      <c r="M1867" s="661">
        <v>28951</v>
      </c>
      <c r="N1867" s="112">
        <v>1.20612102E-2</v>
      </c>
      <c r="O1867" s="117">
        <v>4.7860391999999998E-5</v>
      </c>
      <c r="P1867" s="101"/>
      <c r="Q1867" s="101"/>
      <c r="R1867" s="101"/>
      <c r="S1867" s="101"/>
      <c r="T1867" s="101"/>
      <c r="U1867" s="101"/>
      <c r="V1867" s="101"/>
      <c r="W1867" s="101"/>
      <c r="X1867" s="101"/>
      <c r="Y1867" s="101"/>
      <c r="Z1867" s="110"/>
      <c r="AA1867" s="110"/>
      <c r="AB1867" s="90" t="s">
        <v>185</v>
      </c>
      <c r="AC1867" s="152"/>
      <c r="AD1867" s="223">
        <v>0.70801555499999991</v>
      </c>
      <c r="AE1867" s="223">
        <v>8.8692434999999986E-2</v>
      </c>
      <c r="AF1867" s="223">
        <v>6.3167920000000002E-2</v>
      </c>
      <c r="AG1867" s="223">
        <f>0.19201455</f>
        <v>0.19201455000000001</v>
      </c>
      <c r="AH1867" s="341"/>
      <c r="AI1867" s="218"/>
      <c r="AJ1867" s="218"/>
      <c r="AK1867" s="153"/>
      <c r="AL1867" s="152"/>
      <c r="AM1867" s="152"/>
      <c r="AN1867" s="152"/>
      <c r="AO1867" s="152"/>
      <c r="AP1867" s="152"/>
      <c r="AQ1867" s="152"/>
      <c r="AR1867" s="152"/>
      <c r="AS1867" s="152"/>
      <c r="AT1867" s="152"/>
      <c r="AU1867" s="153"/>
      <c r="AV1867" s="479"/>
      <c r="AW1867" s="479"/>
      <c r="AX1867" s="442"/>
      <c r="AY1867" s="153"/>
      <c r="AZ1867" s="152"/>
      <c r="BA1867" s="152"/>
      <c r="BB1867" s="152"/>
      <c r="BC1867" s="152"/>
      <c r="BD1867" s="152"/>
      <c r="BE1867" s="152"/>
      <c r="BF1867" s="152"/>
      <c r="BG1867" s="152"/>
      <c r="BH1867" s="152"/>
      <c r="BI1867" s="153"/>
      <c r="BJ1867" s="153"/>
      <c r="BK1867" s="153"/>
      <c r="BL1867" s="153"/>
      <c r="BM1867" s="153"/>
      <c r="BN1867" s="153"/>
      <c r="BO1867" s="153"/>
      <c r="BP1867" s="153"/>
      <c r="BQ1867" s="153"/>
      <c r="BR1867" s="153"/>
      <c r="BS1867" s="153"/>
      <c r="BT1867" s="153"/>
      <c r="BU1867" s="153"/>
      <c r="BV1867" s="153"/>
      <c r="BW1867" s="153"/>
      <c r="BX1867" s="153"/>
      <c r="BY1867" s="153"/>
      <c r="BZ1867" s="153"/>
      <c r="CA1867" s="152"/>
      <c r="CB1867" s="152"/>
    </row>
    <row r="1868" spans="1:80" s="87" customFormat="1" x14ac:dyDescent="0.2">
      <c r="A1868" s="152"/>
      <c r="B1868" s="683"/>
      <c r="C1868" s="683"/>
      <c r="D1868" s="698"/>
      <c r="E1868" s="215"/>
      <c r="F1868" s="215"/>
      <c r="G1868" s="153"/>
      <c r="H1868" s="153"/>
      <c r="I1868" s="187">
        <v>8</v>
      </c>
      <c r="J1868" s="150" t="e">
        <f>(#REF!/I1868)*(60)</f>
        <v>#REF!</v>
      </c>
      <c r="K1868" s="150">
        <v>1</v>
      </c>
      <c r="L1868" s="656">
        <v>7</v>
      </c>
      <c r="M1868" s="661">
        <v>28953</v>
      </c>
      <c r="N1868" s="112">
        <v>2.10929615E-2</v>
      </c>
      <c r="O1868" s="117">
        <v>2.0361658000000001E-4</v>
      </c>
      <c r="P1868" s="101"/>
      <c r="Q1868" s="101"/>
      <c r="R1868" s="101"/>
      <c r="S1868" s="101"/>
      <c r="T1868" s="101"/>
      <c r="U1868" s="101"/>
      <c r="V1868" s="101"/>
      <c r="W1868" s="101"/>
      <c r="X1868" s="101"/>
      <c r="Y1868" s="101"/>
      <c r="Z1868" s="110"/>
      <c r="AA1868" s="110"/>
      <c r="AB1868" s="90" t="s">
        <v>185</v>
      </c>
      <c r="AC1868" s="152"/>
      <c r="AD1868" s="223">
        <v>0.70801555499999991</v>
      </c>
      <c r="AE1868" s="223">
        <v>0.10484603999999999</v>
      </c>
      <c r="AF1868" s="223">
        <v>7.4315200000000012E-2</v>
      </c>
      <c r="AG1868" s="223">
        <f>0.28405962</f>
        <v>0.28405962000000001</v>
      </c>
      <c r="AH1868" s="341"/>
      <c r="AI1868" s="218"/>
      <c r="AJ1868" s="218"/>
      <c r="AK1868" s="153"/>
      <c r="AL1868" s="152"/>
      <c r="AM1868" s="152"/>
      <c r="AN1868" s="152"/>
      <c r="AO1868" s="152"/>
      <c r="AP1868" s="152"/>
      <c r="AQ1868" s="152"/>
      <c r="AR1868" s="152"/>
      <c r="AS1868" s="152"/>
      <c r="AT1868" s="152"/>
      <c r="AU1868" s="153"/>
      <c r="AV1868" s="479"/>
      <c r="AW1868" s="479"/>
      <c r="AX1868" s="442"/>
      <c r="AY1868" s="153"/>
      <c r="AZ1868" s="152"/>
      <c r="BA1868" s="152"/>
      <c r="BB1868" s="152"/>
      <c r="BC1868" s="152"/>
      <c r="BD1868" s="152"/>
      <c r="BE1868" s="152"/>
      <c r="BF1868" s="152"/>
      <c r="BG1868" s="152"/>
      <c r="BH1868" s="152"/>
      <c r="BI1868" s="153"/>
      <c r="BJ1868" s="153"/>
      <c r="BK1868" s="153"/>
      <c r="BL1868" s="153"/>
      <c r="BM1868" s="153"/>
      <c r="BN1868" s="153"/>
      <c r="BO1868" s="153"/>
      <c r="BP1868" s="153"/>
      <c r="BQ1868" s="153"/>
      <c r="BR1868" s="153"/>
      <c r="BS1868" s="153"/>
      <c r="BT1868" s="153"/>
      <c r="BU1868" s="153"/>
      <c r="BV1868" s="153"/>
      <c r="BW1868" s="153"/>
      <c r="BX1868" s="153"/>
      <c r="BY1868" s="153"/>
      <c r="BZ1868" s="153"/>
      <c r="CA1868" s="152"/>
      <c r="CB1868" s="152"/>
    </row>
    <row r="1869" spans="1:80" s="87" customFormat="1" x14ac:dyDescent="0.2">
      <c r="A1869" s="152"/>
      <c r="B1869" s="683"/>
      <c r="C1869" s="683"/>
      <c r="D1869" s="698"/>
      <c r="E1869" s="215"/>
      <c r="F1869" s="215"/>
      <c r="G1869" s="153"/>
      <c r="H1869" s="153"/>
      <c r="I1869" s="187">
        <v>8</v>
      </c>
      <c r="J1869" s="150" t="e">
        <f>(#REF!/I1869)*(60)</f>
        <v>#REF!</v>
      </c>
      <c r="K1869" s="150">
        <v>1</v>
      </c>
      <c r="L1869" s="656">
        <v>8</v>
      </c>
      <c r="M1869" s="661">
        <v>28955</v>
      </c>
      <c r="N1869" s="112">
        <v>2.0186955099999997E-2</v>
      </c>
      <c r="O1869" s="117">
        <v>3.5055638000000002E-4</v>
      </c>
      <c r="P1869" s="101"/>
      <c r="Q1869" s="101"/>
      <c r="R1869" s="101"/>
      <c r="S1869" s="101"/>
      <c r="T1869" s="101"/>
      <c r="U1869" s="101"/>
      <c r="V1869" s="101"/>
      <c r="W1869" s="101"/>
      <c r="X1869" s="101"/>
      <c r="Y1869" s="101"/>
      <c r="Z1869" s="110"/>
      <c r="AA1869" s="110"/>
      <c r="AB1869" s="90" t="s">
        <v>185</v>
      </c>
      <c r="AC1869" s="152"/>
      <c r="AD1869" s="223">
        <v>0.70801555499999991</v>
      </c>
      <c r="AE1869" s="223">
        <v>0.10636996499999998</v>
      </c>
      <c r="AF1869" s="223">
        <v>7.5244140000000015E-2</v>
      </c>
      <c r="AG1869" s="223">
        <f>0.267906015</f>
        <v>0.267906015</v>
      </c>
      <c r="AH1869" s="341"/>
      <c r="AI1869" s="218"/>
      <c r="AJ1869" s="218"/>
      <c r="AK1869" s="153"/>
      <c r="AL1869" s="152"/>
      <c r="AM1869" s="152"/>
      <c r="AN1869" s="152"/>
      <c r="AO1869" s="152"/>
      <c r="AP1869" s="152"/>
      <c r="AQ1869" s="152"/>
      <c r="AR1869" s="152"/>
      <c r="AS1869" s="152"/>
      <c r="AT1869" s="152"/>
      <c r="AU1869" s="153"/>
      <c r="AV1869" s="479"/>
      <c r="AW1869" s="479"/>
      <c r="AX1869" s="442"/>
      <c r="AY1869" s="153"/>
      <c r="AZ1869" s="152"/>
      <c r="BA1869" s="152"/>
      <c r="BB1869" s="152"/>
      <c r="BC1869" s="152"/>
      <c r="BD1869" s="152"/>
      <c r="BE1869" s="152"/>
      <c r="BF1869" s="152"/>
      <c r="BG1869" s="152"/>
      <c r="BH1869" s="152"/>
      <c r="BI1869" s="153"/>
      <c r="BJ1869" s="153"/>
      <c r="BK1869" s="153"/>
      <c r="BL1869" s="153"/>
      <c r="BM1869" s="153"/>
      <c r="BN1869" s="153"/>
      <c r="BO1869" s="153"/>
      <c r="BP1869" s="153"/>
      <c r="BQ1869" s="153"/>
      <c r="BR1869" s="153"/>
      <c r="BS1869" s="153"/>
      <c r="BT1869" s="153"/>
      <c r="BU1869" s="153"/>
      <c r="BV1869" s="153"/>
      <c r="BW1869" s="153"/>
      <c r="BX1869" s="153"/>
      <c r="BY1869" s="153"/>
      <c r="BZ1869" s="153"/>
      <c r="CA1869" s="152"/>
      <c r="CB1869" s="152"/>
    </row>
    <row r="1870" spans="1:80" s="87" customFormat="1" x14ac:dyDescent="0.2">
      <c r="A1870" s="152"/>
      <c r="B1870" s="683"/>
      <c r="C1870" s="683"/>
      <c r="D1870" s="698"/>
      <c r="E1870" s="215"/>
      <c r="F1870" s="215"/>
      <c r="G1870" s="153"/>
      <c r="H1870" s="153"/>
      <c r="I1870" s="187">
        <v>8</v>
      </c>
      <c r="J1870" s="150" t="e">
        <f>(#REF!/I1870)*(60)</f>
        <v>#REF!</v>
      </c>
      <c r="K1870" s="150">
        <v>1</v>
      </c>
      <c r="L1870" s="656">
        <v>8</v>
      </c>
      <c r="M1870" s="661">
        <v>28957</v>
      </c>
      <c r="N1870" s="112">
        <v>1.7242434299999998E-2</v>
      </c>
      <c r="O1870" s="117">
        <v>1.679312E-4</v>
      </c>
      <c r="P1870" s="101"/>
      <c r="Q1870" s="101"/>
      <c r="R1870" s="101"/>
      <c r="S1870" s="101"/>
      <c r="T1870" s="101"/>
      <c r="U1870" s="101"/>
      <c r="V1870" s="101"/>
      <c r="W1870" s="101"/>
      <c r="X1870" s="101"/>
      <c r="Y1870" s="101"/>
      <c r="Z1870" s="110"/>
      <c r="AA1870" s="110"/>
      <c r="AB1870" s="90" t="s">
        <v>185</v>
      </c>
      <c r="AC1870" s="152"/>
      <c r="AD1870" s="223">
        <v>0.70801555499999991</v>
      </c>
      <c r="AE1870" s="223">
        <v>9.9359909999999996E-2</v>
      </c>
      <c r="AF1870" s="223">
        <v>7.0599439999999999E-2</v>
      </c>
      <c r="AG1870" s="223">
        <f>0.24504714</f>
        <v>0.24504714</v>
      </c>
      <c r="AH1870" s="341"/>
      <c r="AI1870" s="218"/>
      <c r="AJ1870" s="218"/>
      <c r="AK1870" s="153"/>
      <c r="AL1870" s="152"/>
      <c r="AM1870" s="152"/>
      <c r="AN1870" s="152"/>
      <c r="AO1870" s="152"/>
      <c r="AP1870" s="152"/>
      <c r="AQ1870" s="152"/>
      <c r="AR1870" s="152"/>
      <c r="AS1870" s="152"/>
      <c r="AT1870" s="152"/>
      <c r="AU1870" s="153"/>
      <c r="AV1870" s="479"/>
      <c r="AW1870" s="479"/>
      <c r="AX1870" s="442"/>
      <c r="AY1870" s="153"/>
      <c r="AZ1870" s="152"/>
      <c r="BA1870" s="152"/>
      <c r="BB1870" s="152"/>
      <c r="BC1870" s="152"/>
      <c r="BD1870" s="152"/>
      <c r="BE1870" s="152"/>
      <c r="BF1870" s="152"/>
      <c r="BG1870" s="152"/>
      <c r="BH1870" s="152"/>
      <c r="BI1870" s="153"/>
      <c r="BJ1870" s="153"/>
      <c r="BK1870" s="153"/>
      <c r="BL1870" s="153"/>
      <c r="BM1870" s="153"/>
      <c r="BN1870" s="153"/>
      <c r="BO1870" s="153"/>
      <c r="BP1870" s="153"/>
      <c r="BQ1870" s="153"/>
      <c r="BR1870" s="153"/>
      <c r="BS1870" s="153"/>
      <c r="BT1870" s="153"/>
      <c r="BU1870" s="153"/>
      <c r="BV1870" s="153"/>
      <c r="BW1870" s="153"/>
      <c r="BX1870" s="153"/>
      <c r="BY1870" s="153"/>
      <c r="BZ1870" s="153"/>
      <c r="CA1870" s="152"/>
      <c r="CB1870" s="152"/>
    </row>
    <row r="1871" spans="1:80" s="87" customFormat="1" x14ac:dyDescent="0.2">
      <c r="A1871" s="152"/>
      <c r="B1871" s="683"/>
      <c r="C1871" s="683"/>
      <c r="D1871" s="698"/>
      <c r="E1871" s="215"/>
      <c r="F1871" s="215"/>
      <c r="G1871" s="153"/>
      <c r="H1871" s="153"/>
      <c r="I1871" s="187">
        <v>8</v>
      </c>
      <c r="J1871" s="150" t="e">
        <f>(#REF!/I1871)*(60)</f>
        <v>#REF!</v>
      </c>
      <c r="K1871" s="150">
        <v>1</v>
      </c>
      <c r="L1871" s="656">
        <v>8</v>
      </c>
      <c r="M1871" s="661">
        <v>28959</v>
      </c>
      <c r="N1871" s="112">
        <v>1.35617833E-2</v>
      </c>
      <c r="O1871" s="117">
        <v>1.1020485000000001E-4</v>
      </c>
      <c r="P1871" s="101"/>
      <c r="Q1871" s="101"/>
      <c r="R1871" s="101"/>
      <c r="S1871" s="101"/>
      <c r="T1871" s="101"/>
      <c r="U1871" s="101"/>
      <c r="V1871" s="101"/>
      <c r="W1871" s="101"/>
      <c r="X1871" s="101"/>
      <c r="Y1871" s="101"/>
      <c r="Z1871" s="110"/>
      <c r="AA1871" s="110"/>
      <c r="AB1871" s="90" t="s">
        <v>185</v>
      </c>
      <c r="AC1871" s="152"/>
      <c r="AD1871" s="223">
        <v>0.70801555499999991</v>
      </c>
      <c r="AE1871" s="223">
        <v>9.5397704999999985E-2</v>
      </c>
      <c r="AF1871" s="223">
        <v>6.7812620000000004E-2</v>
      </c>
      <c r="AG1871" s="223">
        <f>0.200853315</f>
        <v>0.200853315</v>
      </c>
      <c r="AH1871" s="341"/>
      <c r="AI1871" s="218"/>
      <c r="AJ1871" s="218"/>
      <c r="AK1871" s="153"/>
      <c r="AL1871" s="152"/>
      <c r="AM1871" s="152"/>
      <c r="AN1871" s="152"/>
      <c r="AO1871" s="152"/>
      <c r="AP1871" s="152"/>
      <c r="AQ1871" s="152"/>
      <c r="AR1871" s="152"/>
      <c r="AS1871" s="152"/>
      <c r="AT1871" s="152"/>
      <c r="AU1871" s="153"/>
      <c r="AV1871" s="479"/>
      <c r="AW1871" s="479"/>
      <c r="AX1871" s="442"/>
      <c r="AY1871" s="153"/>
      <c r="AZ1871" s="152"/>
      <c r="BA1871" s="152"/>
      <c r="BB1871" s="152"/>
      <c r="BC1871" s="152"/>
      <c r="BD1871" s="152"/>
      <c r="BE1871" s="152"/>
      <c r="BF1871" s="152"/>
      <c r="BG1871" s="152"/>
      <c r="BH1871" s="152"/>
      <c r="BI1871" s="153"/>
      <c r="BJ1871" s="153"/>
      <c r="BK1871" s="153"/>
      <c r="BL1871" s="153"/>
      <c r="BM1871" s="153"/>
      <c r="BN1871" s="153"/>
      <c r="BO1871" s="153"/>
      <c r="BP1871" s="153"/>
      <c r="BQ1871" s="153"/>
      <c r="BR1871" s="153"/>
      <c r="BS1871" s="153"/>
      <c r="BT1871" s="153"/>
      <c r="BU1871" s="153"/>
      <c r="BV1871" s="153"/>
      <c r="BW1871" s="153"/>
      <c r="BX1871" s="153"/>
      <c r="BY1871" s="153"/>
      <c r="BZ1871" s="153"/>
      <c r="CA1871" s="152"/>
      <c r="CB1871" s="152"/>
    </row>
    <row r="1872" spans="1:80" s="87" customFormat="1" x14ac:dyDescent="0.2">
      <c r="A1872" s="152"/>
      <c r="B1872" s="683"/>
      <c r="C1872" s="683"/>
      <c r="D1872" s="698"/>
      <c r="E1872" s="215"/>
      <c r="F1872" s="215"/>
      <c r="G1872" s="153"/>
      <c r="H1872" s="153"/>
      <c r="I1872" s="187">
        <v>8</v>
      </c>
      <c r="J1872" s="150" t="e">
        <f>(#REF!/I1872)*(60)</f>
        <v>#REF!</v>
      </c>
      <c r="K1872" s="150">
        <v>1</v>
      </c>
      <c r="L1872" s="656">
        <v>8</v>
      </c>
      <c r="M1872" s="661">
        <v>28962</v>
      </c>
      <c r="N1872" s="112">
        <v>3.4654744799999998E-2</v>
      </c>
      <c r="O1872" s="117">
        <v>6.1504802000000001E-4</v>
      </c>
      <c r="P1872" s="101"/>
      <c r="Q1872" s="101"/>
      <c r="R1872" s="101"/>
      <c r="S1872" s="101"/>
      <c r="T1872" s="101"/>
      <c r="U1872" s="101"/>
      <c r="V1872" s="101"/>
      <c r="W1872" s="101"/>
      <c r="X1872" s="101"/>
      <c r="Y1872" s="101"/>
      <c r="Z1872" s="110"/>
      <c r="AA1872" s="110"/>
      <c r="AB1872" s="90" t="s">
        <v>185</v>
      </c>
      <c r="AC1872" s="152"/>
      <c r="AD1872" s="223">
        <v>0.70801555499999991</v>
      </c>
      <c r="AE1872" s="223">
        <v>0.131362335</v>
      </c>
      <c r="AF1872" s="223">
        <v>9.2894000000000004E-2</v>
      </c>
      <c r="AG1872" s="223">
        <f>0.372752055</f>
        <v>0.37275205500000003</v>
      </c>
      <c r="AH1872" s="341"/>
      <c r="AI1872" s="218"/>
      <c r="AJ1872" s="218"/>
      <c r="AK1872" s="153"/>
      <c r="AL1872" s="152"/>
      <c r="AM1872" s="152"/>
      <c r="AN1872" s="152"/>
      <c r="AO1872" s="152"/>
      <c r="AP1872" s="152"/>
      <c r="AQ1872" s="152"/>
      <c r="AR1872" s="152"/>
      <c r="AS1872" s="152"/>
      <c r="AT1872" s="152"/>
      <c r="AU1872" s="153"/>
      <c r="AV1872" s="479"/>
      <c r="AW1872" s="479"/>
      <c r="AX1872" s="442"/>
      <c r="AY1872" s="153"/>
      <c r="AZ1872" s="152"/>
      <c r="BA1872" s="152"/>
      <c r="BB1872" s="152"/>
      <c r="BC1872" s="152"/>
      <c r="BD1872" s="152"/>
      <c r="BE1872" s="152"/>
      <c r="BF1872" s="152"/>
      <c r="BG1872" s="152"/>
      <c r="BH1872" s="152"/>
      <c r="BI1872" s="153"/>
      <c r="BJ1872" s="153"/>
      <c r="BK1872" s="153"/>
      <c r="BL1872" s="153"/>
      <c r="BM1872" s="153"/>
      <c r="BN1872" s="153"/>
      <c r="BO1872" s="153"/>
      <c r="BP1872" s="153"/>
      <c r="BQ1872" s="153"/>
      <c r="BR1872" s="153"/>
      <c r="BS1872" s="153"/>
      <c r="BT1872" s="153"/>
      <c r="BU1872" s="153"/>
      <c r="BV1872" s="153"/>
      <c r="BW1872" s="153"/>
      <c r="BX1872" s="153"/>
      <c r="BY1872" s="153"/>
      <c r="BZ1872" s="153"/>
      <c r="CA1872" s="152"/>
      <c r="CB1872" s="152"/>
    </row>
    <row r="1873" spans="1:80" s="87" customFormat="1" x14ac:dyDescent="0.2">
      <c r="A1873" s="152"/>
      <c r="B1873" s="683"/>
      <c r="C1873" s="683"/>
      <c r="D1873" s="698"/>
      <c r="E1873" s="215"/>
      <c r="F1873" s="215"/>
      <c r="G1873" s="153"/>
      <c r="H1873" s="153"/>
      <c r="I1873" s="187">
        <v>8</v>
      </c>
      <c r="J1873" s="150" t="e">
        <f>(#REF!/I1873)*(60)</f>
        <v>#REF!</v>
      </c>
      <c r="K1873" s="150">
        <v>1</v>
      </c>
      <c r="L1873" s="656">
        <v>8</v>
      </c>
      <c r="M1873" s="661">
        <v>28964</v>
      </c>
      <c r="N1873" s="112">
        <v>2.3414602899999998E-2</v>
      </c>
      <c r="O1873" s="117">
        <v>8.3230900999999992E-5</v>
      </c>
      <c r="P1873" s="101"/>
      <c r="Q1873" s="101"/>
      <c r="R1873" s="101"/>
      <c r="S1873" s="101"/>
      <c r="T1873" s="101"/>
      <c r="U1873" s="101"/>
      <c r="V1873" s="101"/>
      <c r="W1873" s="101"/>
      <c r="X1873" s="101"/>
      <c r="Y1873" s="101"/>
      <c r="Z1873" s="110"/>
      <c r="AA1873" s="110"/>
      <c r="AB1873" s="90" t="s">
        <v>185</v>
      </c>
      <c r="AC1873" s="152"/>
      <c r="AD1873" s="223">
        <v>0.70801555499999991</v>
      </c>
      <c r="AE1873" s="223">
        <v>0.11063695499999998</v>
      </c>
      <c r="AF1873" s="223">
        <v>7.8030959999999996E-2</v>
      </c>
      <c r="AG1873" s="223">
        <f>0.298994085</f>
        <v>0.29899408500000002</v>
      </c>
      <c r="AH1873" s="341"/>
      <c r="AI1873" s="218"/>
      <c r="AJ1873" s="218"/>
      <c r="AK1873" s="153"/>
      <c r="AL1873" s="152"/>
      <c r="AM1873" s="152"/>
      <c r="AN1873" s="152"/>
      <c r="AO1873" s="152"/>
      <c r="AP1873" s="152"/>
      <c r="AQ1873" s="152"/>
      <c r="AR1873" s="152"/>
      <c r="AS1873" s="152"/>
      <c r="AT1873" s="152"/>
      <c r="AU1873" s="153"/>
      <c r="AV1873" s="479"/>
      <c r="AW1873" s="479"/>
      <c r="AX1873" s="442"/>
      <c r="AY1873" s="153"/>
      <c r="AZ1873" s="152"/>
      <c r="BA1873" s="152"/>
      <c r="BB1873" s="152"/>
      <c r="BC1873" s="152"/>
      <c r="BD1873" s="152"/>
      <c r="BE1873" s="152"/>
      <c r="BF1873" s="152"/>
      <c r="BG1873" s="152"/>
      <c r="BH1873" s="152"/>
      <c r="BI1873" s="153"/>
      <c r="BJ1873" s="153"/>
      <c r="BK1873" s="153"/>
      <c r="BL1873" s="153"/>
      <c r="BM1873" s="153"/>
      <c r="BN1873" s="153"/>
      <c r="BO1873" s="153"/>
      <c r="BP1873" s="153"/>
      <c r="BQ1873" s="153"/>
      <c r="BR1873" s="153"/>
      <c r="BS1873" s="153"/>
      <c r="BT1873" s="153"/>
      <c r="BU1873" s="153"/>
      <c r="BV1873" s="153"/>
      <c r="BW1873" s="153"/>
      <c r="BX1873" s="153"/>
      <c r="BY1873" s="153"/>
      <c r="BZ1873" s="153"/>
      <c r="CA1873" s="152"/>
      <c r="CB1873" s="152"/>
    </row>
    <row r="1874" spans="1:80" s="87" customFormat="1" x14ac:dyDescent="0.2">
      <c r="A1874" s="152"/>
      <c r="B1874" s="683"/>
      <c r="C1874" s="683"/>
      <c r="D1874" s="698"/>
      <c r="E1874" s="215"/>
      <c r="F1874" s="215"/>
      <c r="G1874" s="153"/>
      <c r="H1874" s="153"/>
      <c r="I1874" s="187">
        <v>8</v>
      </c>
      <c r="J1874" s="150" t="e">
        <f>(#REF!/I1874)*(60)</f>
        <v>#REF!</v>
      </c>
      <c r="K1874" s="150">
        <v>1</v>
      </c>
      <c r="L1874" s="656">
        <v>8</v>
      </c>
      <c r="M1874" s="661">
        <v>28967</v>
      </c>
      <c r="N1874" s="112">
        <v>2.27350981E-2</v>
      </c>
      <c r="O1874" s="117">
        <v>1.1230399E-4</v>
      </c>
      <c r="P1874" s="101"/>
      <c r="Q1874" s="101"/>
      <c r="R1874" s="101"/>
      <c r="S1874" s="101"/>
      <c r="T1874" s="101"/>
      <c r="U1874" s="101"/>
      <c r="V1874" s="101"/>
      <c r="W1874" s="101"/>
      <c r="X1874" s="101"/>
      <c r="Y1874" s="101"/>
      <c r="Z1874" s="110"/>
      <c r="AA1874" s="110"/>
      <c r="AB1874" s="90" t="s">
        <v>185</v>
      </c>
      <c r="AC1874" s="152"/>
      <c r="AD1874" s="223">
        <v>0.70801555499999991</v>
      </c>
      <c r="AE1874" s="223">
        <v>0.10636996499999998</v>
      </c>
      <c r="AF1874" s="223">
        <v>7.5244140000000015E-2</v>
      </c>
      <c r="AG1874" s="223">
        <f>0.30173715</f>
        <v>0.30173715000000001</v>
      </c>
      <c r="AH1874" s="341"/>
      <c r="AI1874" s="218"/>
      <c r="AJ1874" s="218"/>
      <c r="AK1874" s="153"/>
      <c r="AL1874" s="152"/>
      <c r="AM1874" s="152"/>
      <c r="AN1874" s="152"/>
      <c r="AO1874" s="152"/>
      <c r="AP1874" s="152"/>
      <c r="AQ1874" s="152"/>
      <c r="AR1874" s="152"/>
      <c r="AS1874" s="152"/>
      <c r="AT1874" s="152"/>
      <c r="AU1874" s="153"/>
      <c r="AV1874" s="479"/>
      <c r="AW1874" s="479"/>
      <c r="AX1874" s="442"/>
      <c r="AY1874" s="153"/>
      <c r="AZ1874" s="152"/>
      <c r="BA1874" s="152"/>
      <c r="BB1874" s="152"/>
      <c r="BC1874" s="152"/>
      <c r="BD1874" s="152"/>
      <c r="BE1874" s="152"/>
      <c r="BF1874" s="152"/>
      <c r="BG1874" s="152"/>
      <c r="BH1874" s="152"/>
      <c r="BI1874" s="153"/>
      <c r="BJ1874" s="153"/>
      <c r="BK1874" s="153"/>
      <c r="BL1874" s="153"/>
      <c r="BM1874" s="153"/>
      <c r="BN1874" s="153"/>
      <c r="BO1874" s="153"/>
      <c r="BP1874" s="153"/>
      <c r="BQ1874" s="153"/>
      <c r="BR1874" s="153"/>
      <c r="BS1874" s="153"/>
      <c r="BT1874" s="153"/>
      <c r="BU1874" s="153"/>
      <c r="BV1874" s="153"/>
      <c r="BW1874" s="153"/>
      <c r="BX1874" s="153"/>
      <c r="BY1874" s="153"/>
      <c r="BZ1874" s="153"/>
      <c r="CA1874" s="152"/>
      <c r="CB1874" s="152"/>
    </row>
    <row r="1875" spans="1:80" s="87" customFormat="1" x14ac:dyDescent="0.2">
      <c r="A1875" s="152"/>
      <c r="B1875" s="683"/>
      <c r="C1875" s="683"/>
      <c r="D1875" s="698"/>
      <c r="E1875" s="215"/>
      <c r="F1875" s="215"/>
      <c r="G1875" s="153"/>
      <c r="H1875" s="153"/>
      <c r="I1875" s="187">
        <v>8</v>
      </c>
      <c r="J1875" s="150" t="e">
        <f>(#REF!/I1875)*(60)</f>
        <v>#REF!</v>
      </c>
      <c r="K1875" s="150">
        <v>1</v>
      </c>
      <c r="L1875" s="656">
        <v>7</v>
      </c>
      <c r="M1875" s="661">
        <v>28969</v>
      </c>
      <c r="N1875" s="112">
        <v>2.6245872900000002E-2</v>
      </c>
      <c r="O1875" s="117">
        <v>2.6973949000000001E-4</v>
      </c>
      <c r="P1875" s="101"/>
      <c r="Q1875" s="101"/>
      <c r="R1875" s="101"/>
      <c r="S1875" s="101"/>
      <c r="T1875" s="101"/>
      <c r="U1875" s="101"/>
      <c r="V1875" s="101"/>
      <c r="W1875" s="101"/>
      <c r="X1875" s="101"/>
      <c r="Y1875" s="101"/>
      <c r="Z1875" s="110"/>
      <c r="AA1875" s="110"/>
      <c r="AB1875" s="90" t="s">
        <v>185</v>
      </c>
      <c r="AC1875" s="152"/>
      <c r="AD1875" s="223">
        <v>0.70801555499999991</v>
      </c>
      <c r="AE1875" s="223">
        <v>0.11124652499999999</v>
      </c>
      <c r="AF1875" s="223">
        <v>7.89599E-2</v>
      </c>
      <c r="AG1875" s="223">
        <f>0.333130005</f>
        <v>0.33313000500000001</v>
      </c>
      <c r="AH1875" s="341"/>
      <c r="AI1875" s="218"/>
      <c r="AJ1875" s="218"/>
      <c r="AK1875" s="153"/>
      <c r="AL1875" s="152"/>
      <c r="AM1875" s="152"/>
      <c r="AN1875" s="152"/>
      <c r="AO1875" s="152"/>
      <c r="AP1875" s="152"/>
      <c r="AQ1875" s="152"/>
      <c r="AR1875" s="152"/>
      <c r="AS1875" s="152"/>
      <c r="AT1875" s="152"/>
      <c r="AU1875" s="153"/>
      <c r="AV1875" s="479"/>
      <c r="AW1875" s="479"/>
      <c r="AX1875" s="442"/>
      <c r="AY1875" s="153"/>
      <c r="AZ1875" s="152"/>
      <c r="BA1875" s="152"/>
      <c r="BB1875" s="152"/>
      <c r="BC1875" s="152"/>
      <c r="BD1875" s="152"/>
      <c r="BE1875" s="152"/>
      <c r="BF1875" s="152"/>
      <c r="BG1875" s="152"/>
      <c r="BH1875" s="152"/>
      <c r="BI1875" s="153"/>
      <c r="BJ1875" s="153"/>
      <c r="BK1875" s="153"/>
      <c r="BL1875" s="153"/>
      <c r="BM1875" s="153"/>
      <c r="BN1875" s="153"/>
      <c r="BO1875" s="153"/>
      <c r="BP1875" s="153"/>
      <c r="BQ1875" s="153"/>
      <c r="BR1875" s="153"/>
      <c r="BS1875" s="153"/>
      <c r="BT1875" s="153"/>
      <c r="BU1875" s="153"/>
      <c r="BV1875" s="153"/>
      <c r="BW1875" s="153"/>
      <c r="BX1875" s="153"/>
      <c r="BY1875" s="153"/>
      <c r="BZ1875" s="153"/>
      <c r="CA1875" s="152"/>
      <c r="CB1875" s="152"/>
    </row>
    <row r="1876" spans="1:80" s="87" customFormat="1" x14ac:dyDescent="0.2">
      <c r="A1876" s="152"/>
      <c r="B1876" s="683"/>
      <c r="C1876" s="683"/>
      <c r="D1876" s="698"/>
      <c r="E1876" s="215"/>
      <c r="F1876" s="215"/>
      <c r="G1876" s="153"/>
      <c r="H1876" s="153"/>
      <c r="I1876" s="187">
        <v>8</v>
      </c>
      <c r="J1876" s="150" t="e">
        <f>(#REF!/I1876)*(60)</f>
        <v>#REF!</v>
      </c>
      <c r="K1876" s="150">
        <v>1</v>
      </c>
      <c r="L1876" s="656">
        <v>8</v>
      </c>
      <c r="M1876" s="661">
        <v>28969</v>
      </c>
      <c r="N1876" s="112">
        <v>2.6953690399999997E-2</v>
      </c>
      <c r="O1876" s="117">
        <v>7.5464083000000002E-5</v>
      </c>
      <c r="P1876" s="101"/>
      <c r="Q1876" s="101"/>
      <c r="R1876" s="101"/>
      <c r="S1876" s="101"/>
      <c r="T1876" s="101"/>
      <c r="U1876" s="101"/>
      <c r="V1876" s="101"/>
      <c r="W1876" s="101"/>
      <c r="X1876" s="101"/>
      <c r="Y1876" s="101"/>
      <c r="Z1876" s="110"/>
      <c r="AA1876" s="110"/>
      <c r="AB1876" s="90" t="s">
        <v>185</v>
      </c>
      <c r="AC1876" s="152"/>
      <c r="AD1876" s="223">
        <v>0.70801555499999991</v>
      </c>
      <c r="AE1876" s="223">
        <v>0.10758910499999999</v>
      </c>
      <c r="AF1876" s="223">
        <v>7.6173080000000004E-2</v>
      </c>
      <c r="AG1876" s="223">
        <f>0.353855385</f>
        <v>0.35385538500000002</v>
      </c>
      <c r="AH1876" s="341"/>
      <c r="AI1876" s="218"/>
      <c r="AJ1876" s="218"/>
      <c r="AK1876" s="153"/>
      <c r="AL1876" s="152"/>
      <c r="AM1876" s="152"/>
      <c r="AN1876" s="152"/>
      <c r="AO1876" s="152"/>
      <c r="AP1876" s="152"/>
      <c r="AQ1876" s="152"/>
      <c r="AR1876" s="152"/>
      <c r="AS1876" s="152"/>
      <c r="AT1876" s="152"/>
      <c r="AU1876" s="153"/>
      <c r="AV1876" s="479"/>
      <c r="AW1876" s="479"/>
      <c r="AX1876" s="442"/>
      <c r="AY1876" s="153"/>
      <c r="AZ1876" s="152"/>
      <c r="BA1876" s="152"/>
      <c r="BB1876" s="152"/>
      <c r="BC1876" s="152"/>
      <c r="BD1876" s="152"/>
      <c r="BE1876" s="152"/>
      <c r="BF1876" s="152"/>
      <c r="BG1876" s="152"/>
      <c r="BH1876" s="152"/>
      <c r="BI1876" s="153"/>
      <c r="BJ1876" s="153"/>
      <c r="BK1876" s="153"/>
      <c r="BL1876" s="153"/>
      <c r="BM1876" s="153"/>
      <c r="BN1876" s="153"/>
      <c r="BO1876" s="153"/>
      <c r="BP1876" s="153"/>
      <c r="BQ1876" s="153"/>
      <c r="BR1876" s="153"/>
      <c r="BS1876" s="153"/>
      <c r="BT1876" s="153"/>
      <c r="BU1876" s="153"/>
      <c r="BV1876" s="153"/>
      <c r="BW1876" s="153"/>
      <c r="BX1876" s="153"/>
      <c r="BY1876" s="153"/>
      <c r="BZ1876" s="153"/>
      <c r="CA1876" s="152"/>
      <c r="CB1876" s="152"/>
    </row>
    <row r="1877" spans="1:80" s="87" customFormat="1" x14ac:dyDescent="0.2">
      <c r="A1877" s="152"/>
      <c r="B1877" s="683"/>
      <c r="C1877" s="683"/>
      <c r="D1877" s="698"/>
      <c r="E1877" s="215"/>
      <c r="F1877" s="215"/>
      <c r="G1877" s="153"/>
      <c r="H1877" s="153"/>
      <c r="I1877" s="187">
        <v>8</v>
      </c>
      <c r="J1877" s="150" t="e">
        <f>(#REF!/I1877)*(60)</f>
        <v>#REF!</v>
      </c>
      <c r="K1877" s="150">
        <v>1</v>
      </c>
      <c r="L1877" s="656">
        <v>8</v>
      </c>
      <c r="M1877" s="661">
        <v>28973</v>
      </c>
      <c r="N1877" s="112">
        <v>3.3408985999999995E-2</v>
      </c>
      <c r="O1877" s="117">
        <v>9.5825741000000011E-4</v>
      </c>
      <c r="P1877" s="101"/>
      <c r="Q1877" s="101"/>
      <c r="R1877" s="101"/>
      <c r="S1877" s="101"/>
      <c r="T1877" s="101"/>
      <c r="U1877" s="101"/>
      <c r="V1877" s="101"/>
      <c r="W1877" s="101"/>
      <c r="X1877" s="101"/>
      <c r="Y1877" s="101"/>
      <c r="Z1877" s="110"/>
      <c r="AA1877" s="110"/>
      <c r="AB1877" s="90" t="s">
        <v>185</v>
      </c>
      <c r="AC1877" s="152"/>
      <c r="AD1877" s="223">
        <v>0.70801555499999991</v>
      </c>
      <c r="AE1877" s="223">
        <v>0.12496184999999999</v>
      </c>
      <c r="AF1877" s="223">
        <v>8.8249300000000003E-2</v>
      </c>
      <c r="AG1877" s="223">
        <f>0.377628615</f>
        <v>0.377628615</v>
      </c>
      <c r="AH1877" s="341"/>
      <c r="AI1877" s="218"/>
      <c r="AJ1877" s="218"/>
      <c r="AK1877" s="153"/>
      <c r="AL1877" s="152"/>
      <c r="AM1877" s="152"/>
      <c r="AN1877" s="152"/>
      <c r="AO1877" s="152"/>
      <c r="AP1877" s="152"/>
      <c r="AQ1877" s="152"/>
      <c r="AR1877" s="152"/>
      <c r="AS1877" s="152"/>
      <c r="AT1877" s="152"/>
      <c r="AU1877" s="153"/>
      <c r="AV1877" s="479"/>
      <c r="AW1877" s="479"/>
      <c r="AX1877" s="442"/>
      <c r="AY1877" s="153"/>
      <c r="AZ1877" s="152"/>
      <c r="BA1877" s="152"/>
      <c r="BB1877" s="152"/>
      <c r="BC1877" s="152"/>
      <c r="BD1877" s="152"/>
      <c r="BE1877" s="152"/>
      <c r="BF1877" s="152"/>
      <c r="BG1877" s="152"/>
      <c r="BH1877" s="152"/>
      <c r="BI1877" s="153"/>
      <c r="BJ1877" s="153"/>
      <c r="BK1877" s="153"/>
      <c r="BL1877" s="153"/>
      <c r="BM1877" s="153"/>
      <c r="BN1877" s="153"/>
      <c r="BO1877" s="153"/>
      <c r="BP1877" s="153"/>
      <c r="BQ1877" s="153"/>
      <c r="BR1877" s="153"/>
      <c r="BS1877" s="153"/>
      <c r="BT1877" s="153"/>
      <c r="BU1877" s="153"/>
      <c r="BV1877" s="153"/>
      <c r="BW1877" s="153"/>
      <c r="BX1877" s="153"/>
      <c r="BY1877" s="153"/>
      <c r="BZ1877" s="153"/>
      <c r="CA1877" s="152"/>
      <c r="CB1877" s="152"/>
    </row>
    <row r="1878" spans="1:80" s="87" customFormat="1" x14ac:dyDescent="0.2">
      <c r="A1878" s="152"/>
      <c r="B1878" s="683"/>
      <c r="C1878" s="683"/>
      <c r="D1878" s="698"/>
      <c r="E1878" s="215"/>
      <c r="F1878" s="215"/>
      <c r="G1878" s="153"/>
      <c r="H1878" s="153"/>
      <c r="I1878" s="187">
        <v>8</v>
      </c>
      <c r="J1878" s="150" t="e">
        <f>(#REF!/I1878)*(60)</f>
        <v>#REF!</v>
      </c>
      <c r="K1878" s="150">
        <v>1</v>
      </c>
      <c r="L1878" s="656">
        <v>7</v>
      </c>
      <c r="M1878" s="661">
        <v>28975</v>
      </c>
      <c r="N1878" s="112">
        <v>3.3012608199999995E-2</v>
      </c>
      <c r="O1878" s="117">
        <v>1.6793120000000001E-3</v>
      </c>
      <c r="P1878" s="101"/>
      <c r="Q1878" s="101"/>
      <c r="R1878" s="101"/>
      <c r="S1878" s="101"/>
      <c r="T1878" s="101"/>
      <c r="U1878" s="101"/>
      <c r="V1878" s="101"/>
      <c r="W1878" s="101"/>
      <c r="X1878" s="101"/>
      <c r="Y1878" s="101"/>
      <c r="Z1878" s="110"/>
      <c r="AA1878" s="110"/>
      <c r="AB1878" s="90" t="s">
        <v>185</v>
      </c>
      <c r="AC1878" s="152"/>
      <c r="AD1878" s="223">
        <v>0.70801555499999991</v>
      </c>
      <c r="AE1878" s="223">
        <v>0.12770491499999997</v>
      </c>
      <c r="AF1878" s="223">
        <v>9.0107179999999995E-2</v>
      </c>
      <c r="AG1878" s="223">
        <f>0.36513243</f>
        <v>0.36513243000000001</v>
      </c>
      <c r="AH1878" s="341"/>
      <c r="AI1878" s="218"/>
      <c r="AJ1878" s="218"/>
      <c r="AK1878" s="153"/>
      <c r="AL1878" s="152"/>
      <c r="AM1878" s="152"/>
      <c r="AN1878" s="152"/>
      <c r="AO1878" s="152"/>
      <c r="AP1878" s="152"/>
      <c r="AQ1878" s="152"/>
      <c r="AR1878" s="152"/>
      <c r="AS1878" s="152"/>
      <c r="AT1878" s="152"/>
      <c r="AU1878" s="153"/>
      <c r="AV1878" s="479"/>
      <c r="AW1878" s="479"/>
      <c r="AX1878" s="442"/>
      <c r="AY1878" s="153"/>
      <c r="AZ1878" s="152"/>
      <c r="BA1878" s="152"/>
      <c r="BB1878" s="152"/>
      <c r="BC1878" s="152"/>
      <c r="BD1878" s="152"/>
      <c r="BE1878" s="152"/>
      <c r="BF1878" s="152"/>
      <c r="BG1878" s="152"/>
      <c r="BH1878" s="152"/>
      <c r="BI1878" s="153"/>
      <c r="BJ1878" s="153"/>
      <c r="BK1878" s="153"/>
      <c r="BL1878" s="153"/>
      <c r="BM1878" s="153"/>
      <c r="BN1878" s="153"/>
      <c r="BO1878" s="153"/>
      <c r="BP1878" s="153"/>
      <c r="BQ1878" s="153"/>
      <c r="BR1878" s="153"/>
      <c r="BS1878" s="153"/>
      <c r="BT1878" s="153"/>
      <c r="BU1878" s="153"/>
      <c r="BV1878" s="153"/>
      <c r="BW1878" s="153"/>
      <c r="BX1878" s="153"/>
      <c r="BY1878" s="153"/>
      <c r="BZ1878" s="153"/>
      <c r="CA1878" s="152"/>
      <c r="CB1878" s="152"/>
    </row>
    <row r="1879" spans="1:80" s="87" customFormat="1" x14ac:dyDescent="0.2">
      <c r="A1879" s="152"/>
      <c r="B1879" s="683"/>
      <c r="C1879" s="683"/>
      <c r="D1879" s="698"/>
      <c r="E1879" s="215"/>
      <c r="F1879" s="215"/>
      <c r="G1879" s="153"/>
      <c r="H1879" s="153"/>
      <c r="I1879" s="187">
        <v>8</v>
      </c>
      <c r="J1879" s="150" t="e">
        <f>(#REF!/I1879)*(60)</f>
        <v>#REF!</v>
      </c>
      <c r="K1879" s="150">
        <v>1</v>
      </c>
      <c r="L1879" s="656">
        <v>8</v>
      </c>
      <c r="M1879" s="661">
        <v>28976</v>
      </c>
      <c r="N1879" s="112">
        <v>3.3861989199999998E-2</v>
      </c>
      <c r="O1879" s="117">
        <v>3.6525035999999999E-4</v>
      </c>
      <c r="P1879" s="101"/>
      <c r="Q1879" s="101"/>
      <c r="R1879" s="101"/>
      <c r="S1879" s="101"/>
      <c r="T1879" s="101"/>
      <c r="U1879" s="101"/>
      <c r="V1879" s="101"/>
      <c r="W1879" s="101"/>
      <c r="X1879" s="101"/>
      <c r="Y1879" s="101"/>
      <c r="Z1879" s="110"/>
      <c r="AA1879" s="110"/>
      <c r="AB1879" s="90" t="s">
        <v>185</v>
      </c>
      <c r="AC1879" s="152"/>
      <c r="AD1879" s="223">
        <v>0.70801555499999991</v>
      </c>
      <c r="AE1879" s="223">
        <v>0.13227668999999997</v>
      </c>
      <c r="AF1879" s="223">
        <v>9.3822940000000007E-2</v>
      </c>
      <c r="AG1879" s="223">
        <f>0.36147501</f>
        <v>0.36147500999999999</v>
      </c>
      <c r="AH1879" s="341"/>
      <c r="AI1879" s="218"/>
      <c r="AJ1879" s="218"/>
      <c r="AK1879" s="153"/>
      <c r="AL1879" s="152"/>
      <c r="AM1879" s="152"/>
      <c r="AN1879" s="152"/>
      <c r="AO1879" s="152"/>
      <c r="AP1879" s="152"/>
      <c r="AQ1879" s="152"/>
      <c r="AR1879" s="152"/>
      <c r="AS1879" s="152"/>
      <c r="AT1879" s="152"/>
      <c r="AU1879" s="153"/>
      <c r="AV1879" s="479"/>
      <c r="AW1879" s="479"/>
      <c r="AX1879" s="442"/>
      <c r="AY1879" s="153"/>
      <c r="AZ1879" s="152"/>
      <c r="BA1879" s="152"/>
      <c r="BB1879" s="152"/>
      <c r="BC1879" s="152"/>
      <c r="BD1879" s="152"/>
      <c r="BE1879" s="152"/>
      <c r="BF1879" s="152"/>
      <c r="BG1879" s="152"/>
      <c r="BH1879" s="152"/>
      <c r="BI1879" s="153"/>
      <c r="BJ1879" s="153"/>
      <c r="BK1879" s="153"/>
      <c r="BL1879" s="153"/>
      <c r="BM1879" s="153"/>
      <c r="BN1879" s="153"/>
      <c r="BO1879" s="153"/>
      <c r="BP1879" s="153"/>
      <c r="BQ1879" s="153"/>
      <c r="BR1879" s="153"/>
      <c r="BS1879" s="153"/>
      <c r="BT1879" s="153"/>
      <c r="BU1879" s="153"/>
      <c r="BV1879" s="153"/>
      <c r="BW1879" s="153"/>
      <c r="BX1879" s="153"/>
      <c r="BY1879" s="153"/>
      <c r="BZ1879" s="153"/>
      <c r="CA1879" s="152"/>
      <c r="CB1879" s="152"/>
    </row>
    <row r="1880" spans="1:80" s="87" customFormat="1" x14ac:dyDescent="0.2">
      <c r="A1880" s="152"/>
      <c r="B1880" s="683"/>
      <c r="C1880" s="683"/>
      <c r="D1880" s="698"/>
      <c r="E1880" s="215"/>
      <c r="F1880" s="215"/>
      <c r="G1880" s="153"/>
      <c r="H1880" s="153"/>
      <c r="I1880" s="187">
        <v>8</v>
      </c>
      <c r="J1880" s="150" t="e">
        <f>(#REF!/I1880)*(60)</f>
        <v>#REF!</v>
      </c>
      <c r="K1880" s="150">
        <v>1</v>
      </c>
      <c r="L1880" s="656">
        <v>7</v>
      </c>
      <c r="M1880" s="661">
        <v>28979</v>
      </c>
      <c r="N1880" s="112">
        <v>2.6812126899999997E-2</v>
      </c>
      <c r="O1880" s="117">
        <v>6.4128727000000002E-5</v>
      </c>
      <c r="P1880" s="101"/>
      <c r="Q1880" s="101"/>
      <c r="R1880" s="101"/>
      <c r="S1880" s="101"/>
      <c r="T1880" s="101"/>
      <c r="U1880" s="101"/>
      <c r="V1880" s="101"/>
      <c r="W1880" s="101"/>
      <c r="X1880" s="101"/>
      <c r="Y1880" s="101"/>
      <c r="Z1880" s="110"/>
      <c r="AA1880" s="110"/>
      <c r="AB1880" s="90" t="s">
        <v>185</v>
      </c>
      <c r="AC1880" s="152"/>
      <c r="AD1880" s="223">
        <v>0.70801555499999991</v>
      </c>
      <c r="AE1880" s="223">
        <v>0.11856136499999999</v>
      </c>
      <c r="AF1880" s="223">
        <v>8.3604600000000001E-2</v>
      </c>
      <c r="AG1880" s="223">
        <f>0.31941468</f>
        <v>0.31941468000000001</v>
      </c>
      <c r="AH1880" s="341"/>
      <c r="AI1880" s="218"/>
      <c r="AJ1880" s="218"/>
      <c r="AK1880" s="153"/>
      <c r="AL1880" s="152"/>
      <c r="AM1880" s="152"/>
      <c r="AN1880" s="152"/>
      <c r="AO1880" s="152"/>
      <c r="AP1880" s="152"/>
      <c r="AQ1880" s="152"/>
      <c r="AR1880" s="152"/>
      <c r="AS1880" s="152"/>
      <c r="AT1880" s="152"/>
      <c r="AU1880" s="153"/>
      <c r="AV1880" s="479"/>
      <c r="AW1880" s="479"/>
      <c r="AX1880" s="442"/>
      <c r="AY1880" s="153"/>
      <c r="AZ1880" s="152"/>
      <c r="BA1880" s="152"/>
      <c r="BB1880" s="152"/>
      <c r="BC1880" s="152"/>
      <c r="BD1880" s="152"/>
      <c r="BE1880" s="152"/>
      <c r="BF1880" s="152"/>
      <c r="BG1880" s="152"/>
      <c r="BH1880" s="152"/>
      <c r="BI1880" s="153"/>
      <c r="BJ1880" s="153"/>
      <c r="BK1880" s="153"/>
      <c r="BL1880" s="153"/>
      <c r="BM1880" s="153"/>
      <c r="BN1880" s="153"/>
      <c r="BO1880" s="153"/>
      <c r="BP1880" s="153"/>
      <c r="BQ1880" s="153"/>
      <c r="BR1880" s="153"/>
      <c r="BS1880" s="153"/>
      <c r="BT1880" s="153"/>
      <c r="BU1880" s="153"/>
      <c r="BV1880" s="153"/>
      <c r="BW1880" s="153"/>
      <c r="BX1880" s="153"/>
      <c r="BY1880" s="153"/>
      <c r="BZ1880" s="153"/>
      <c r="CA1880" s="152"/>
      <c r="CB1880" s="152"/>
    </row>
    <row r="1881" spans="1:80" s="87" customFormat="1" x14ac:dyDescent="0.2">
      <c r="A1881" s="152"/>
      <c r="B1881" s="683"/>
      <c r="C1881" s="683"/>
      <c r="D1881" s="698"/>
      <c r="E1881" s="215"/>
      <c r="F1881" s="215"/>
      <c r="G1881" s="153"/>
      <c r="H1881" s="153"/>
      <c r="I1881" s="187">
        <v>8</v>
      </c>
      <c r="J1881" s="150" t="e">
        <f>(#REF!/I1881)*(60)</f>
        <v>#REF!</v>
      </c>
      <c r="K1881" s="150">
        <v>1</v>
      </c>
      <c r="L1881" s="656">
        <v>8</v>
      </c>
      <c r="M1881" s="661">
        <v>28980</v>
      </c>
      <c r="N1881" s="112">
        <v>2.5481429999999999E-2</v>
      </c>
      <c r="O1881" s="117">
        <v>7.1580673999999993E-5</v>
      </c>
      <c r="P1881" s="101"/>
      <c r="Q1881" s="101"/>
      <c r="R1881" s="101"/>
      <c r="S1881" s="101"/>
      <c r="T1881" s="101"/>
      <c r="U1881" s="101"/>
      <c r="V1881" s="101"/>
      <c r="W1881" s="101"/>
      <c r="X1881" s="101"/>
      <c r="Y1881" s="101"/>
      <c r="Z1881" s="110"/>
      <c r="AA1881" s="110"/>
      <c r="AB1881" s="90" t="s">
        <v>185</v>
      </c>
      <c r="AC1881" s="152"/>
      <c r="AD1881" s="223">
        <v>0.70801555499999991</v>
      </c>
      <c r="AE1881" s="223">
        <v>0.11856136499999999</v>
      </c>
      <c r="AF1881" s="223">
        <v>8.3604600000000001E-2</v>
      </c>
      <c r="AG1881" s="223">
        <f>0.30356586</f>
        <v>0.30356586000000002</v>
      </c>
      <c r="AH1881" s="341"/>
      <c r="AI1881" s="218"/>
      <c r="AJ1881" s="218"/>
      <c r="AK1881" s="153"/>
      <c r="AL1881" s="152"/>
      <c r="AM1881" s="152"/>
      <c r="AN1881" s="152"/>
      <c r="AO1881" s="152"/>
      <c r="AP1881" s="152"/>
      <c r="AQ1881" s="152"/>
      <c r="AR1881" s="152"/>
      <c r="AS1881" s="152"/>
      <c r="AT1881" s="152"/>
      <c r="AU1881" s="153"/>
      <c r="AV1881" s="479"/>
      <c r="AW1881" s="479"/>
      <c r="AX1881" s="442"/>
      <c r="AY1881" s="153"/>
      <c r="AZ1881" s="152"/>
      <c r="BA1881" s="152"/>
      <c r="BB1881" s="152"/>
      <c r="BC1881" s="152"/>
      <c r="BD1881" s="152"/>
      <c r="BE1881" s="152"/>
      <c r="BF1881" s="152"/>
      <c r="BG1881" s="152"/>
      <c r="BH1881" s="152"/>
      <c r="BI1881" s="153"/>
      <c r="BJ1881" s="153"/>
      <c r="BK1881" s="153"/>
      <c r="BL1881" s="153"/>
      <c r="BM1881" s="153"/>
      <c r="BN1881" s="153"/>
      <c r="BO1881" s="153"/>
      <c r="BP1881" s="153"/>
      <c r="BQ1881" s="153"/>
      <c r="BR1881" s="153"/>
      <c r="BS1881" s="153"/>
      <c r="BT1881" s="153"/>
      <c r="BU1881" s="153"/>
      <c r="BV1881" s="153"/>
      <c r="BW1881" s="153"/>
      <c r="BX1881" s="153"/>
      <c r="BY1881" s="153"/>
      <c r="BZ1881" s="153"/>
      <c r="CA1881" s="152"/>
      <c r="CB1881" s="152"/>
    </row>
    <row r="1882" spans="1:80" s="87" customFormat="1" x14ac:dyDescent="0.2">
      <c r="A1882" s="152"/>
      <c r="B1882" s="683"/>
      <c r="C1882" s="683"/>
      <c r="D1882" s="698"/>
      <c r="E1882" s="215"/>
      <c r="F1882" s="215"/>
      <c r="G1882" s="153"/>
      <c r="H1882" s="153"/>
      <c r="I1882" s="187">
        <v>8</v>
      </c>
      <c r="J1882" s="150" t="e">
        <f>(#REF!/I1882)*(60)</f>
        <v>#REF!</v>
      </c>
      <c r="K1882" s="150">
        <v>1</v>
      </c>
      <c r="L1882" s="656">
        <v>8</v>
      </c>
      <c r="M1882" s="661">
        <v>29327</v>
      </c>
      <c r="N1882" s="112">
        <v>6.1608435200000006E-2</v>
      </c>
      <c r="O1882" s="117">
        <v>1.3539453E-2</v>
      </c>
      <c r="P1882" s="101"/>
      <c r="Q1882" s="101"/>
      <c r="R1882" s="101"/>
      <c r="S1882" s="101"/>
      <c r="T1882" s="101"/>
      <c r="U1882" s="101"/>
      <c r="V1882" s="101"/>
      <c r="W1882" s="101"/>
      <c r="X1882" s="101"/>
      <c r="Y1882" s="101"/>
      <c r="Z1882" s="110"/>
      <c r="AA1882" s="110"/>
      <c r="AB1882" s="90" t="s">
        <v>185</v>
      </c>
      <c r="AC1882" s="152"/>
      <c r="AD1882" s="223"/>
      <c r="AE1882" s="223"/>
      <c r="AF1882" s="223"/>
      <c r="AG1882" s="223"/>
      <c r="AH1882" s="341"/>
      <c r="AI1882" s="218"/>
      <c r="AJ1882" s="218"/>
      <c r="AK1882" s="153"/>
      <c r="AL1882" s="152"/>
      <c r="AM1882" s="152"/>
      <c r="AN1882" s="152"/>
      <c r="AO1882" s="152"/>
      <c r="AP1882" s="152"/>
      <c r="AQ1882" s="152"/>
      <c r="AR1882" s="152"/>
      <c r="AS1882" s="152"/>
      <c r="AT1882" s="152"/>
      <c r="AU1882" s="153"/>
      <c r="AV1882" s="479"/>
      <c r="AW1882" s="479"/>
      <c r="AX1882" s="442"/>
      <c r="AY1882" s="153"/>
      <c r="AZ1882" s="152"/>
      <c r="BA1882" s="152"/>
      <c r="BB1882" s="152"/>
      <c r="BC1882" s="152"/>
      <c r="BD1882" s="152"/>
      <c r="BE1882" s="152"/>
      <c r="BF1882" s="152"/>
      <c r="BG1882" s="152"/>
      <c r="BH1882" s="152"/>
      <c r="BI1882" s="153"/>
      <c r="BJ1882" s="153"/>
      <c r="BK1882" s="153"/>
      <c r="BL1882" s="153"/>
      <c r="BM1882" s="153"/>
      <c r="BN1882" s="153"/>
      <c r="BO1882" s="153"/>
      <c r="BP1882" s="153"/>
      <c r="BQ1882" s="153"/>
      <c r="BR1882" s="153"/>
      <c r="BS1882" s="153"/>
      <c r="BT1882" s="153"/>
      <c r="BU1882" s="153"/>
      <c r="BV1882" s="153"/>
      <c r="BW1882" s="153"/>
      <c r="BX1882" s="153"/>
      <c r="BY1882" s="153"/>
      <c r="BZ1882" s="153"/>
      <c r="CA1882" s="152"/>
      <c r="CB1882" s="152"/>
    </row>
    <row r="1883" spans="1:80" s="87" customFormat="1" x14ac:dyDescent="0.2">
      <c r="A1883" s="152"/>
      <c r="B1883" s="683"/>
      <c r="C1883" s="683"/>
      <c r="D1883" s="698"/>
      <c r="E1883" s="215"/>
      <c r="F1883" s="215"/>
      <c r="G1883" s="153"/>
      <c r="H1883" s="153"/>
      <c r="I1883" s="187">
        <v>8</v>
      </c>
      <c r="J1883" s="150" t="e">
        <f>(#REF!/I1883)*(60)</f>
        <v>#REF!</v>
      </c>
      <c r="K1883" s="150">
        <v>1</v>
      </c>
      <c r="L1883" s="656">
        <v>8</v>
      </c>
      <c r="M1883" s="661">
        <v>29329</v>
      </c>
      <c r="N1883" s="112">
        <v>7.5340094699999999E-2</v>
      </c>
      <c r="O1883" s="117">
        <v>1.9522001999999999E-3</v>
      </c>
      <c r="P1883" s="101"/>
      <c r="Q1883" s="101"/>
      <c r="R1883" s="101"/>
      <c r="S1883" s="101"/>
      <c r="T1883" s="101"/>
      <c r="U1883" s="101"/>
      <c r="V1883" s="101"/>
      <c r="W1883" s="101"/>
      <c r="X1883" s="101"/>
      <c r="Y1883" s="101"/>
      <c r="Z1883" s="110"/>
      <c r="AA1883" s="110"/>
      <c r="AB1883" s="90" t="s">
        <v>185</v>
      </c>
      <c r="AC1883" s="152"/>
      <c r="AD1883" s="223"/>
      <c r="AE1883" s="223"/>
      <c r="AF1883" s="223"/>
      <c r="AG1883" s="223"/>
      <c r="AH1883" s="341"/>
      <c r="AI1883" s="218"/>
      <c r="AJ1883" s="218"/>
      <c r="AK1883" s="153"/>
      <c r="AL1883" s="152"/>
      <c r="AM1883" s="152"/>
      <c r="AN1883" s="152"/>
      <c r="AO1883" s="152"/>
      <c r="AP1883" s="152"/>
      <c r="AQ1883" s="152"/>
      <c r="AR1883" s="152"/>
      <c r="AS1883" s="152"/>
      <c r="AT1883" s="152"/>
      <c r="AU1883" s="153"/>
      <c r="AV1883" s="479"/>
      <c r="AW1883" s="479"/>
      <c r="AX1883" s="442"/>
      <c r="AY1883" s="153"/>
      <c r="AZ1883" s="152"/>
      <c r="BA1883" s="152"/>
      <c r="BB1883" s="152"/>
      <c r="BC1883" s="152"/>
      <c r="BD1883" s="152"/>
      <c r="BE1883" s="152"/>
      <c r="BF1883" s="152"/>
      <c r="BG1883" s="152"/>
      <c r="BH1883" s="152"/>
      <c r="BI1883" s="153"/>
      <c r="BJ1883" s="153"/>
      <c r="BK1883" s="153"/>
      <c r="BL1883" s="153"/>
      <c r="BM1883" s="153"/>
      <c r="BN1883" s="153"/>
      <c r="BO1883" s="153"/>
      <c r="BP1883" s="153"/>
      <c r="BQ1883" s="153"/>
      <c r="BR1883" s="153"/>
      <c r="BS1883" s="153"/>
      <c r="BT1883" s="153"/>
      <c r="BU1883" s="153"/>
      <c r="BV1883" s="153"/>
      <c r="BW1883" s="153"/>
      <c r="BX1883" s="153"/>
      <c r="BY1883" s="153"/>
      <c r="BZ1883" s="153"/>
      <c r="CA1883" s="152"/>
      <c r="CB1883" s="152"/>
    </row>
    <row r="1884" spans="1:80" s="87" customFormat="1" x14ac:dyDescent="0.2">
      <c r="A1884" s="152"/>
      <c r="B1884" s="683"/>
      <c r="C1884" s="683"/>
      <c r="D1884" s="698"/>
      <c r="E1884" s="215"/>
      <c r="F1884" s="215"/>
      <c r="G1884" s="153"/>
      <c r="H1884" s="153"/>
      <c r="I1884" s="187">
        <v>8</v>
      </c>
      <c r="J1884" s="150" t="e">
        <f>(#REF!/I1884)*(60)</f>
        <v>#REF!</v>
      </c>
      <c r="K1884" s="150">
        <v>1</v>
      </c>
      <c r="L1884" s="656">
        <v>8</v>
      </c>
      <c r="M1884" s="661">
        <v>29330</v>
      </c>
      <c r="N1884" s="112">
        <v>0.1175543304</v>
      </c>
      <c r="O1884" s="117">
        <v>4.2717498999999999E-3</v>
      </c>
      <c r="P1884" s="101"/>
      <c r="Q1884" s="101"/>
      <c r="R1884" s="101"/>
      <c r="S1884" s="101"/>
      <c r="T1884" s="101"/>
      <c r="U1884" s="101"/>
      <c r="V1884" s="101"/>
      <c r="W1884" s="101"/>
      <c r="X1884" s="101"/>
      <c r="Y1884" s="101"/>
      <c r="Z1884" s="110"/>
      <c r="AA1884" s="110"/>
      <c r="AB1884" s="90" t="s">
        <v>185</v>
      </c>
      <c r="AC1884" s="152"/>
      <c r="AD1884" s="223"/>
      <c r="AE1884" s="223"/>
      <c r="AF1884" s="223"/>
      <c r="AG1884" s="223"/>
      <c r="AH1884" s="341"/>
      <c r="AI1884" s="218"/>
      <c r="AJ1884" s="218"/>
      <c r="AK1884" s="153"/>
      <c r="AL1884" s="152"/>
      <c r="AM1884" s="152"/>
      <c r="AN1884" s="152"/>
      <c r="AO1884" s="152"/>
      <c r="AP1884" s="152"/>
      <c r="AQ1884" s="152"/>
      <c r="AR1884" s="152"/>
      <c r="AS1884" s="152"/>
      <c r="AT1884" s="152"/>
      <c r="AU1884" s="153"/>
      <c r="AV1884" s="479"/>
      <c r="AW1884" s="479"/>
      <c r="AX1884" s="442"/>
      <c r="AY1884" s="153"/>
      <c r="AZ1884" s="152"/>
      <c r="BA1884" s="152"/>
      <c r="BB1884" s="152"/>
      <c r="BC1884" s="152"/>
      <c r="BD1884" s="152"/>
      <c r="BE1884" s="152"/>
      <c r="BF1884" s="152"/>
      <c r="BG1884" s="152"/>
      <c r="BH1884" s="152"/>
      <c r="BI1884" s="153"/>
      <c r="BJ1884" s="153"/>
      <c r="BK1884" s="153"/>
      <c r="BL1884" s="153"/>
      <c r="BM1884" s="153"/>
      <c r="BN1884" s="153"/>
      <c r="BO1884" s="153"/>
      <c r="BP1884" s="153"/>
      <c r="BQ1884" s="153"/>
      <c r="BR1884" s="153"/>
      <c r="BS1884" s="153"/>
      <c r="BT1884" s="153"/>
      <c r="BU1884" s="153"/>
      <c r="BV1884" s="153"/>
      <c r="BW1884" s="153"/>
      <c r="BX1884" s="153"/>
      <c r="BY1884" s="153"/>
      <c r="BZ1884" s="153"/>
      <c r="CA1884" s="152"/>
      <c r="CB1884" s="152"/>
    </row>
    <row r="1885" spans="1:80" s="87" customFormat="1" x14ac:dyDescent="0.2">
      <c r="A1885" s="152"/>
      <c r="B1885" s="683"/>
      <c r="C1885" s="683"/>
      <c r="D1885" s="698"/>
      <c r="E1885" s="215"/>
      <c r="F1885" s="215"/>
      <c r="G1885" s="153"/>
      <c r="H1885" s="153"/>
      <c r="I1885" s="187">
        <v>8</v>
      </c>
      <c r="J1885" s="150" t="e">
        <f>(#REF!/I1885)*(60)</f>
        <v>#REF!</v>
      </c>
      <c r="K1885" s="150">
        <v>1</v>
      </c>
      <c r="L1885" s="656">
        <v>8</v>
      </c>
      <c r="M1885" s="661">
        <v>29332</v>
      </c>
      <c r="N1885" s="112">
        <v>0.1286812215</v>
      </c>
      <c r="O1885" s="117">
        <v>7.2420329999999993E-3</v>
      </c>
      <c r="P1885" s="101"/>
      <c r="Q1885" s="101"/>
      <c r="R1885" s="101"/>
      <c r="S1885" s="101"/>
      <c r="T1885" s="101"/>
      <c r="U1885" s="101"/>
      <c r="V1885" s="101"/>
      <c r="W1885" s="101"/>
      <c r="X1885" s="101"/>
      <c r="Y1885" s="101"/>
      <c r="Z1885" s="110"/>
      <c r="AA1885" s="110"/>
      <c r="AB1885" s="90" t="s">
        <v>185</v>
      </c>
      <c r="AC1885" s="152"/>
      <c r="AD1885" s="223"/>
      <c r="AE1885" s="223"/>
      <c r="AF1885" s="223"/>
      <c r="AG1885" s="223"/>
      <c r="AH1885" s="341"/>
      <c r="AI1885" s="218"/>
      <c r="AJ1885" s="218"/>
      <c r="AK1885" s="153"/>
      <c r="AL1885" s="152"/>
      <c r="AM1885" s="152"/>
      <c r="AN1885" s="152"/>
      <c r="AO1885" s="152"/>
      <c r="AP1885" s="152"/>
      <c r="AQ1885" s="152"/>
      <c r="AR1885" s="152"/>
      <c r="AS1885" s="152"/>
      <c r="AT1885" s="152"/>
      <c r="AU1885" s="153"/>
      <c r="AV1885" s="479"/>
      <c r="AW1885" s="479"/>
      <c r="AX1885" s="442"/>
      <c r="AY1885" s="153"/>
      <c r="AZ1885" s="152"/>
      <c r="BA1885" s="152"/>
      <c r="BB1885" s="152"/>
      <c r="BC1885" s="152"/>
      <c r="BD1885" s="152"/>
      <c r="BE1885" s="152"/>
      <c r="BF1885" s="152"/>
      <c r="BG1885" s="152"/>
      <c r="BH1885" s="152"/>
      <c r="BI1885" s="153"/>
      <c r="BJ1885" s="153"/>
      <c r="BK1885" s="153"/>
      <c r="BL1885" s="153"/>
      <c r="BM1885" s="153"/>
      <c r="BN1885" s="153"/>
      <c r="BO1885" s="153"/>
      <c r="BP1885" s="153"/>
      <c r="BQ1885" s="153"/>
      <c r="BR1885" s="153"/>
      <c r="BS1885" s="153"/>
      <c r="BT1885" s="153"/>
      <c r="BU1885" s="153"/>
      <c r="BV1885" s="153"/>
      <c r="BW1885" s="153"/>
      <c r="BX1885" s="153"/>
      <c r="BY1885" s="153"/>
      <c r="BZ1885" s="153"/>
      <c r="CA1885" s="152"/>
      <c r="CB1885" s="152"/>
    </row>
    <row r="1886" spans="1:80" s="87" customFormat="1" x14ac:dyDescent="0.2">
      <c r="A1886" s="152"/>
      <c r="B1886" s="683"/>
      <c r="C1886" s="683"/>
      <c r="D1886" s="698"/>
      <c r="E1886" s="215"/>
      <c r="F1886" s="215"/>
      <c r="G1886" s="153"/>
      <c r="H1886" s="153"/>
      <c r="I1886" s="187">
        <v>8</v>
      </c>
      <c r="J1886" s="150" t="e">
        <f>(#REF!/I1886)*(60)</f>
        <v>#REF!</v>
      </c>
      <c r="K1886" s="150">
        <v>1</v>
      </c>
      <c r="L1886" s="656">
        <v>8</v>
      </c>
      <c r="M1886" s="661">
        <v>29333</v>
      </c>
      <c r="N1886" s="112">
        <v>0.128539658</v>
      </c>
      <c r="O1886" s="117">
        <v>4.1982800000000004E-3</v>
      </c>
      <c r="P1886" s="101"/>
      <c r="Q1886" s="101"/>
      <c r="R1886" s="101"/>
      <c r="S1886" s="101"/>
      <c r="T1886" s="101"/>
      <c r="U1886" s="101"/>
      <c r="V1886" s="101"/>
      <c r="W1886" s="101"/>
      <c r="X1886" s="101"/>
      <c r="Y1886" s="101"/>
      <c r="Z1886" s="110"/>
      <c r="AA1886" s="110"/>
      <c r="AB1886" s="90" t="s">
        <v>185</v>
      </c>
      <c r="AC1886" s="152"/>
      <c r="AD1886" s="223"/>
      <c r="AE1886" s="223"/>
      <c r="AF1886" s="223"/>
      <c r="AG1886" s="223"/>
      <c r="AH1886" s="341"/>
      <c r="AI1886" s="218"/>
      <c r="AJ1886" s="218"/>
      <c r="AK1886" s="153"/>
      <c r="AL1886" s="152"/>
      <c r="AM1886" s="152"/>
      <c r="AN1886" s="152"/>
      <c r="AO1886" s="152"/>
      <c r="AP1886" s="152"/>
      <c r="AQ1886" s="152"/>
      <c r="AR1886" s="152"/>
      <c r="AS1886" s="152"/>
      <c r="AT1886" s="152"/>
      <c r="AU1886" s="153"/>
      <c r="AV1886" s="479"/>
      <c r="AW1886" s="479"/>
      <c r="AX1886" s="442"/>
      <c r="AY1886" s="153"/>
      <c r="AZ1886" s="152"/>
      <c r="BA1886" s="152"/>
      <c r="BB1886" s="152"/>
      <c r="BC1886" s="152"/>
      <c r="BD1886" s="152"/>
      <c r="BE1886" s="152"/>
      <c r="BF1886" s="152"/>
      <c r="BG1886" s="152"/>
      <c r="BH1886" s="152"/>
      <c r="BI1886" s="153"/>
      <c r="BJ1886" s="153"/>
      <c r="BK1886" s="153"/>
      <c r="BL1886" s="153"/>
      <c r="BM1886" s="153"/>
      <c r="BN1886" s="153"/>
      <c r="BO1886" s="153"/>
      <c r="BP1886" s="153"/>
      <c r="BQ1886" s="153"/>
      <c r="BR1886" s="153"/>
      <c r="BS1886" s="153"/>
      <c r="BT1886" s="153"/>
      <c r="BU1886" s="153"/>
      <c r="BV1886" s="153"/>
      <c r="BW1886" s="153"/>
      <c r="BX1886" s="153"/>
      <c r="BY1886" s="153"/>
      <c r="BZ1886" s="153"/>
      <c r="CA1886" s="152"/>
      <c r="CB1886" s="152"/>
    </row>
    <row r="1887" spans="1:80" s="87" customFormat="1" x14ac:dyDescent="0.2">
      <c r="A1887" s="152"/>
      <c r="B1887" s="683"/>
      <c r="C1887" s="683"/>
      <c r="D1887" s="698"/>
      <c r="E1887" s="215"/>
      <c r="F1887" s="215"/>
      <c r="G1887" s="153"/>
      <c r="H1887" s="153"/>
      <c r="I1887" s="187">
        <v>8</v>
      </c>
      <c r="J1887" s="150" t="e">
        <f>(#REF!/I1887)*(60)</f>
        <v>#REF!</v>
      </c>
      <c r="K1887" s="150">
        <v>1</v>
      </c>
      <c r="L1887" s="656">
        <v>8</v>
      </c>
      <c r="M1887" s="661">
        <v>29335</v>
      </c>
      <c r="N1887" s="112">
        <v>0.1175543304</v>
      </c>
      <c r="O1887" s="117">
        <v>3.9044003999999998E-3</v>
      </c>
      <c r="P1887" s="101"/>
      <c r="Q1887" s="101"/>
      <c r="R1887" s="101"/>
      <c r="S1887" s="101"/>
      <c r="T1887" s="101"/>
      <c r="U1887" s="101"/>
      <c r="V1887" s="101"/>
      <c r="W1887" s="101"/>
      <c r="X1887" s="101"/>
      <c r="Y1887" s="101"/>
      <c r="Z1887" s="110"/>
      <c r="AA1887" s="110"/>
      <c r="AB1887" s="90" t="s">
        <v>185</v>
      </c>
      <c r="AC1887" s="152"/>
      <c r="AD1887" s="223"/>
      <c r="AE1887" s="223"/>
      <c r="AF1887" s="223"/>
      <c r="AG1887" s="223"/>
      <c r="AH1887" s="341"/>
      <c r="AI1887" s="218"/>
      <c r="AJ1887" s="218"/>
      <c r="AK1887" s="153"/>
      <c r="AL1887" s="152"/>
      <c r="AM1887" s="152"/>
      <c r="AN1887" s="152"/>
      <c r="AO1887" s="152"/>
      <c r="AP1887" s="152"/>
      <c r="AQ1887" s="152"/>
      <c r="AR1887" s="152"/>
      <c r="AS1887" s="152"/>
      <c r="AT1887" s="152"/>
      <c r="AU1887" s="153"/>
      <c r="AV1887" s="479"/>
      <c r="AW1887" s="479"/>
      <c r="AX1887" s="442"/>
      <c r="AY1887" s="153"/>
      <c r="AZ1887" s="152"/>
      <c r="BA1887" s="152"/>
      <c r="BB1887" s="152"/>
      <c r="BC1887" s="152"/>
      <c r="BD1887" s="152"/>
      <c r="BE1887" s="152"/>
      <c r="BF1887" s="152"/>
      <c r="BG1887" s="152"/>
      <c r="BH1887" s="152"/>
      <c r="BI1887" s="153"/>
      <c r="BJ1887" s="153"/>
      <c r="BK1887" s="153"/>
      <c r="BL1887" s="153"/>
      <c r="BM1887" s="153"/>
      <c r="BN1887" s="153"/>
      <c r="BO1887" s="153"/>
      <c r="BP1887" s="153"/>
      <c r="BQ1887" s="153"/>
      <c r="BR1887" s="153"/>
      <c r="BS1887" s="153"/>
      <c r="BT1887" s="153"/>
      <c r="BU1887" s="153"/>
      <c r="BV1887" s="153"/>
      <c r="BW1887" s="153"/>
      <c r="BX1887" s="153"/>
      <c r="BY1887" s="153"/>
      <c r="BZ1887" s="153"/>
      <c r="CA1887" s="152"/>
      <c r="CB1887" s="152"/>
    </row>
    <row r="1888" spans="1:80" s="87" customFormat="1" x14ac:dyDescent="0.2">
      <c r="A1888" s="152"/>
      <c r="B1888" s="683"/>
      <c r="C1888" s="683"/>
      <c r="D1888" s="698"/>
      <c r="E1888" s="215"/>
      <c r="F1888" s="215"/>
      <c r="G1888" s="153"/>
      <c r="H1888" s="153"/>
      <c r="I1888" s="187">
        <v>8</v>
      </c>
      <c r="J1888" s="150" t="e">
        <f>(#REF!/I1888)*(60)</f>
        <v>#REF!</v>
      </c>
      <c r="K1888" s="150">
        <v>1</v>
      </c>
      <c r="L1888" s="656">
        <v>8</v>
      </c>
      <c r="M1888" s="661">
        <v>29336</v>
      </c>
      <c r="N1888" s="112">
        <v>0.10246366130000001</v>
      </c>
      <c r="O1888" s="117">
        <v>2.6344207E-3</v>
      </c>
      <c r="P1888" s="101"/>
      <c r="Q1888" s="101"/>
      <c r="R1888" s="101"/>
      <c r="S1888" s="101"/>
      <c r="T1888" s="101"/>
      <c r="U1888" s="101"/>
      <c r="V1888" s="101"/>
      <c r="W1888" s="101"/>
      <c r="X1888" s="101"/>
      <c r="Y1888" s="101"/>
      <c r="Z1888" s="110"/>
      <c r="AA1888" s="110"/>
      <c r="AB1888" s="90" t="s">
        <v>185</v>
      </c>
      <c r="AC1888" s="152"/>
      <c r="AD1888" s="223"/>
      <c r="AE1888" s="223"/>
      <c r="AF1888" s="223"/>
      <c r="AG1888" s="223"/>
      <c r="AH1888" s="341"/>
      <c r="AI1888" s="218"/>
      <c r="AJ1888" s="218"/>
      <c r="AK1888" s="153"/>
      <c r="AL1888" s="152"/>
      <c r="AM1888" s="152"/>
      <c r="AN1888" s="152"/>
      <c r="AO1888" s="152"/>
      <c r="AP1888" s="152"/>
      <c r="AQ1888" s="152"/>
      <c r="AR1888" s="152"/>
      <c r="AS1888" s="152"/>
      <c r="AT1888" s="152"/>
      <c r="AU1888" s="153"/>
      <c r="AV1888" s="479"/>
      <c r="AW1888" s="479"/>
      <c r="AX1888" s="442"/>
      <c r="AY1888" s="153"/>
      <c r="AZ1888" s="152"/>
      <c r="BA1888" s="152"/>
      <c r="BB1888" s="152"/>
      <c r="BC1888" s="152"/>
      <c r="BD1888" s="152"/>
      <c r="BE1888" s="152"/>
      <c r="BF1888" s="152"/>
      <c r="BG1888" s="152"/>
      <c r="BH1888" s="152"/>
      <c r="BI1888" s="153"/>
      <c r="BJ1888" s="153"/>
      <c r="BK1888" s="153"/>
      <c r="BL1888" s="153"/>
      <c r="BM1888" s="153"/>
      <c r="BN1888" s="153"/>
      <c r="BO1888" s="153"/>
      <c r="BP1888" s="153"/>
      <c r="BQ1888" s="153"/>
      <c r="BR1888" s="153"/>
      <c r="BS1888" s="153"/>
      <c r="BT1888" s="153"/>
      <c r="BU1888" s="153"/>
      <c r="BV1888" s="153"/>
      <c r="BW1888" s="153"/>
      <c r="BX1888" s="153"/>
      <c r="BY1888" s="153"/>
      <c r="BZ1888" s="153"/>
      <c r="CA1888" s="152"/>
      <c r="CB1888" s="152"/>
    </row>
    <row r="1889" spans="1:80" s="87" customFormat="1" x14ac:dyDescent="0.2">
      <c r="A1889" s="152"/>
      <c r="B1889" s="683"/>
      <c r="C1889" s="683"/>
      <c r="D1889" s="698"/>
      <c r="E1889" s="215"/>
      <c r="F1889" s="215"/>
      <c r="G1889" s="153"/>
      <c r="H1889" s="153"/>
      <c r="I1889" s="187">
        <v>8</v>
      </c>
      <c r="J1889" s="150" t="e">
        <f>(#REF!/I1889)*(60)</f>
        <v>#REF!</v>
      </c>
      <c r="K1889" s="150">
        <v>1</v>
      </c>
      <c r="L1889" s="656">
        <v>8</v>
      </c>
      <c r="M1889" s="661">
        <v>29338</v>
      </c>
      <c r="N1889" s="112">
        <v>8.134238710000001E-2</v>
      </c>
      <c r="O1889" s="117">
        <v>2.0466615000000001E-3</v>
      </c>
      <c r="P1889" s="101"/>
      <c r="Q1889" s="101"/>
      <c r="R1889" s="101"/>
      <c r="S1889" s="101"/>
      <c r="T1889" s="101"/>
      <c r="U1889" s="101"/>
      <c r="V1889" s="101"/>
      <c r="W1889" s="101"/>
      <c r="X1889" s="101"/>
      <c r="Y1889" s="101"/>
      <c r="Z1889" s="110"/>
      <c r="AA1889" s="110"/>
      <c r="AB1889" s="90" t="s">
        <v>185</v>
      </c>
      <c r="AC1889" s="152"/>
      <c r="AD1889" s="223"/>
      <c r="AE1889" s="223"/>
      <c r="AF1889" s="223"/>
      <c r="AG1889" s="223"/>
      <c r="AH1889" s="341"/>
      <c r="AI1889" s="218"/>
      <c r="AJ1889" s="218"/>
      <c r="AK1889" s="153"/>
      <c r="AL1889" s="152"/>
      <c r="AM1889" s="152"/>
      <c r="AN1889" s="152"/>
      <c r="AO1889" s="152"/>
      <c r="AP1889" s="152"/>
      <c r="AQ1889" s="152"/>
      <c r="AR1889" s="152"/>
      <c r="AS1889" s="152"/>
      <c r="AT1889" s="152"/>
      <c r="AU1889" s="153"/>
      <c r="AV1889" s="479"/>
      <c r="AW1889" s="479"/>
      <c r="AX1889" s="442"/>
      <c r="AY1889" s="153"/>
      <c r="AZ1889" s="152"/>
      <c r="BA1889" s="152"/>
      <c r="BB1889" s="152"/>
      <c r="BC1889" s="152"/>
      <c r="BD1889" s="152"/>
      <c r="BE1889" s="152"/>
      <c r="BF1889" s="152"/>
      <c r="BG1889" s="152"/>
      <c r="BH1889" s="152"/>
      <c r="BI1889" s="153"/>
      <c r="BJ1889" s="153"/>
      <c r="BK1889" s="153"/>
      <c r="BL1889" s="153"/>
      <c r="BM1889" s="153"/>
      <c r="BN1889" s="153"/>
      <c r="BO1889" s="153"/>
      <c r="BP1889" s="153"/>
      <c r="BQ1889" s="153"/>
      <c r="BR1889" s="153"/>
      <c r="BS1889" s="153"/>
      <c r="BT1889" s="153"/>
      <c r="BU1889" s="153"/>
      <c r="BV1889" s="153"/>
      <c r="BW1889" s="153"/>
      <c r="BX1889" s="153"/>
      <c r="BY1889" s="153"/>
      <c r="BZ1889" s="153"/>
      <c r="CA1889" s="152"/>
      <c r="CB1889" s="152"/>
    </row>
    <row r="1890" spans="1:80" s="87" customFormat="1" x14ac:dyDescent="0.2">
      <c r="A1890" s="152"/>
      <c r="B1890" s="683"/>
      <c r="C1890" s="683"/>
      <c r="D1890" s="698"/>
      <c r="E1890" s="215"/>
      <c r="F1890" s="215"/>
      <c r="G1890" s="153"/>
      <c r="H1890" s="153"/>
      <c r="I1890" s="187">
        <v>8</v>
      </c>
      <c r="J1890" s="150" t="e">
        <f>(#REF!/I1890)*(60)</f>
        <v>#REF!</v>
      </c>
      <c r="K1890" s="150">
        <v>1</v>
      </c>
      <c r="L1890" s="656">
        <v>8</v>
      </c>
      <c r="M1890" s="661">
        <v>29340</v>
      </c>
      <c r="N1890" s="112">
        <v>8.82506859E-2</v>
      </c>
      <c r="O1890" s="117">
        <v>1.3959281000000001E-3</v>
      </c>
      <c r="P1890" s="101"/>
      <c r="Q1890" s="101"/>
      <c r="R1890" s="101"/>
      <c r="S1890" s="101"/>
      <c r="T1890" s="101"/>
      <c r="U1890" s="101"/>
      <c r="V1890" s="101"/>
      <c r="W1890" s="101"/>
      <c r="X1890" s="101"/>
      <c r="Y1890" s="101"/>
      <c r="Z1890" s="110"/>
      <c r="AA1890" s="110"/>
      <c r="AB1890" s="90" t="s">
        <v>185</v>
      </c>
      <c r="AC1890" s="152"/>
      <c r="AD1890" s="223"/>
      <c r="AE1890" s="223"/>
      <c r="AF1890" s="223"/>
      <c r="AG1890" s="223"/>
      <c r="AH1890" s="341"/>
      <c r="AI1890" s="218"/>
      <c r="AJ1890" s="218"/>
      <c r="AK1890" s="153"/>
      <c r="AL1890" s="152"/>
      <c r="AM1890" s="152"/>
      <c r="AN1890" s="152"/>
      <c r="AO1890" s="152"/>
      <c r="AP1890" s="152"/>
      <c r="AQ1890" s="152"/>
      <c r="AR1890" s="152"/>
      <c r="AS1890" s="152"/>
      <c r="AT1890" s="152"/>
      <c r="AU1890" s="153"/>
      <c r="AV1890" s="479"/>
      <c r="AW1890" s="479"/>
      <c r="AX1890" s="442"/>
      <c r="AY1890" s="153"/>
      <c r="AZ1890" s="152"/>
      <c r="BA1890" s="152"/>
      <c r="BB1890" s="152"/>
      <c r="BC1890" s="152"/>
      <c r="BD1890" s="152"/>
      <c r="BE1890" s="152"/>
      <c r="BF1890" s="152"/>
      <c r="BG1890" s="152"/>
      <c r="BH1890" s="152"/>
      <c r="BI1890" s="153"/>
      <c r="BJ1890" s="153"/>
      <c r="BK1890" s="153"/>
      <c r="BL1890" s="153"/>
      <c r="BM1890" s="153"/>
      <c r="BN1890" s="153"/>
      <c r="BO1890" s="153"/>
      <c r="BP1890" s="153"/>
      <c r="BQ1890" s="153"/>
      <c r="BR1890" s="153"/>
      <c r="BS1890" s="153"/>
      <c r="BT1890" s="153"/>
      <c r="BU1890" s="153"/>
      <c r="BV1890" s="153"/>
      <c r="BW1890" s="153"/>
      <c r="BX1890" s="153"/>
      <c r="BY1890" s="153"/>
      <c r="BZ1890" s="153"/>
      <c r="CA1890" s="152"/>
      <c r="CB1890" s="152"/>
    </row>
    <row r="1891" spans="1:80" s="87" customFormat="1" x14ac:dyDescent="0.2">
      <c r="A1891" s="152"/>
      <c r="B1891" s="683"/>
      <c r="C1891" s="683"/>
      <c r="D1891" s="698"/>
      <c r="E1891" s="215"/>
      <c r="F1891" s="215"/>
      <c r="G1891" s="153"/>
      <c r="H1891" s="153"/>
      <c r="I1891" s="187">
        <v>8</v>
      </c>
      <c r="J1891" s="150" t="e">
        <f>(#REF!/I1891)*(60)</f>
        <v>#REF!</v>
      </c>
      <c r="K1891" s="150">
        <v>1</v>
      </c>
      <c r="L1891" s="656">
        <v>8</v>
      </c>
      <c r="M1891" s="661">
        <v>29343</v>
      </c>
      <c r="N1891" s="112">
        <v>5.9060292199999996E-2</v>
      </c>
      <c r="O1891" s="117">
        <v>1.00233935E-3</v>
      </c>
      <c r="P1891" s="101"/>
      <c r="Q1891" s="101"/>
      <c r="R1891" s="101"/>
      <c r="S1891" s="101"/>
      <c r="T1891" s="101"/>
      <c r="U1891" s="101"/>
      <c r="V1891" s="101"/>
      <c r="W1891" s="101"/>
      <c r="X1891" s="101"/>
      <c r="Y1891" s="101"/>
      <c r="Z1891" s="110"/>
      <c r="AA1891" s="110"/>
      <c r="AB1891" s="90" t="s">
        <v>185</v>
      </c>
      <c r="AC1891" s="152"/>
      <c r="AD1891" s="223"/>
      <c r="AE1891" s="223"/>
      <c r="AF1891" s="223"/>
      <c r="AG1891" s="223"/>
      <c r="AH1891" s="341"/>
      <c r="AI1891" s="218"/>
      <c r="AJ1891" s="218"/>
      <c r="AK1891" s="153"/>
      <c r="AL1891" s="152"/>
      <c r="AM1891" s="152"/>
      <c r="AN1891" s="152"/>
      <c r="AO1891" s="152"/>
      <c r="AP1891" s="152"/>
      <c r="AQ1891" s="152"/>
      <c r="AR1891" s="152"/>
      <c r="AS1891" s="152"/>
      <c r="AT1891" s="152"/>
      <c r="AU1891" s="153"/>
      <c r="AV1891" s="479"/>
      <c r="AW1891" s="479"/>
      <c r="AX1891" s="442"/>
      <c r="AY1891" s="153"/>
      <c r="AZ1891" s="152"/>
      <c r="BA1891" s="152"/>
      <c r="BB1891" s="152"/>
      <c r="BC1891" s="152"/>
      <c r="BD1891" s="152"/>
      <c r="BE1891" s="152"/>
      <c r="BF1891" s="152"/>
      <c r="BG1891" s="152"/>
      <c r="BH1891" s="152"/>
      <c r="BI1891" s="153"/>
      <c r="BJ1891" s="153"/>
      <c r="BK1891" s="153"/>
      <c r="BL1891" s="153"/>
      <c r="BM1891" s="153"/>
      <c r="BN1891" s="153"/>
      <c r="BO1891" s="153"/>
      <c r="BP1891" s="153"/>
      <c r="BQ1891" s="153"/>
      <c r="BR1891" s="153"/>
      <c r="BS1891" s="153"/>
      <c r="BT1891" s="153"/>
      <c r="BU1891" s="153"/>
      <c r="BV1891" s="153"/>
      <c r="BW1891" s="153"/>
      <c r="BX1891" s="153"/>
      <c r="BY1891" s="153"/>
      <c r="BZ1891" s="153"/>
      <c r="CA1891" s="152"/>
      <c r="CB1891" s="152"/>
    </row>
    <row r="1892" spans="1:80" s="87" customFormat="1" x14ac:dyDescent="0.2">
      <c r="A1892" s="152"/>
      <c r="B1892" s="683"/>
      <c r="C1892" s="683"/>
      <c r="D1892" s="698"/>
      <c r="E1892" s="215"/>
      <c r="F1892" s="215"/>
      <c r="G1892" s="153"/>
      <c r="H1892" s="153"/>
      <c r="I1892" s="187">
        <v>8</v>
      </c>
      <c r="J1892" s="150" t="e">
        <f>(#REF!/I1892)*(60)</f>
        <v>#REF!</v>
      </c>
      <c r="K1892" s="150">
        <v>1</v>
      </c>
      <c r="L1892" s="656">
        <v>8</v>
      </c>
      <c r="M1892" s="661">
        <v>29346</v>
      </c>
      <c r="N1892" s="112">
        <v>4.3714808799999998E-2</v>
      </c>
      <c r="O1892" s="117">
        <v>1.9731916000000002E-3</v>
      </c>
      <c r="P1892" s="101"/>
      <c r="Q1892" s="101"/>
      <c r="R1892" s="101"/>
      <c r="S1892" s="101"/>
      <c r="T1892" s="101"/>
      <c r="U1892" s="101"/>
      <c r="V1892" s="101"/>
      <c r="W1892" s="101"/>
      <c r="X1892" s="101"/>
      <c r="Y1892" s="101"/>
      <c r="Z1892" s="110"/>
      <c r="AA1892" s="110"/>
      <c r="AB1892" s="90" t="s">
        <v>185</v>
      </c>
      <c r="AC1892" s="152"/>
      <c r="AD1892" s="223"/>
      <c r="AE1892" s="223"/>
      <c r="AF1892" s="223"/>
      <c r="AG1892" s="223"/>
      <c r="AH1892" s="341"/>
      <c r="AI1892" s="218"/>
      <c r="AJ1892" s="218"/>
      <c r="AK1892" s="153"/>
      <c r="AL1892" s="152"/>
      <c r="AM1892" s="152"/>
      <c r="AN1892" s="152"/>
      <c r="AO1892" s="152"/>
      <c r="AP1892" s="152"/>
      <c r="AQ1892" s="152"/>
      <c r="AR1892" s="152"/>
      <c r="AS1892" s="152"/>
      <c r="AT1892" s="152"/>
      <c r="AU1892" s="153"/>
      <c r="AV1892" s="479"/>
      <c r="AW1892" s="479"/>
      <c r="AX1892" s="442"/>
      <c r="AY1892" s="153"/>
      <c r="AZ1892" s="152"/>
      <c r="BA1892" s="152"/>
      <c r="BB1892" s="152"/>
      <c r="BC1892" s="152"/>
      <c r="BD1892" s="152"/>
      <c r="BE1892" s="152"/>
      <c r="BF1892" s="152"/>
      <c r="BG1892" s="152"/>
      <c r="BH1892" s="152"/>
      <c r="BI1892" s="153"/>
      <c r="BJ1892" s="153"/>
      <c r="BK1892" s="153"/>
      <c r="BL1892" s="153"/>
      <c r="BM1892" s="153"/>
      <c r="BN1892" s="153"/>
      <c r="BO1892" s="153"/>
      <c r="BP1892" s="153"/>
      <c r="BQ1892" s="153"/>
      <c r="BR1892" s="153"/>
      <c r="BS1892" s="153"/>
      <c r="BT1892" s="153"/>
      <c r="BU1892" s="153"/>
      <c r="BV1892" s="153"/>
      <c r="BW1892" s="153"/>
      <c r="BX1892" s="153"/>
      <c r="BY1892" s="153"/>
      <c r="BZ1892" s="153"/>
      <c r="CA1892" s="152"/>
      <c r="CB1892" s="152"/>
    </row>
    <row r="1893" spans="1:80" s="87" customFormat="1" x14ac:dyDescent="0.2">
      <c r="A1893" s="152"/>
      <c r="B1893" s="683"/>
      <c r="C1893" s="683"/>
      <c r="D1893" s="698"/>
      <c r="E1893" s="215"/>
      <c r="F1893" s="215"/>
      <c r="G1893" s="153"/>
      <c r="H1893" s="153"/>
      <c r="I1893" s="187">
        <v>8</v>
      </c>
      <c r="J1893" s="150" t="e">
        <f>(#REF!/I1893)*(60)</f>
        <v>#REF!</v>
      </c>
      <c r="K1893" s="150">
        <v>1</v>
      </c>
      <c r="L1893" s="656">
        <v>8</v>
      </c>
      <c r="M1893" s="661">
        <v>29348</v>
      </c>
      <c r="N1893" s="112">
        <v>4.8584593199999998E-2</v>
      </c>
      <c r="O1893" s="117">
        <v>1.3749367E-3</v>
      </c>
      <c r="P1893" s="101"/>
      <c r="Q1893" s="101"/>
      <c r="R1893" s="101"/>
      <c r="S1893" s="101"/>
      <c r="T1893" s="101"/>
      <c r="U1893" s="101"/>
      <c r="V1893" s="101"/>
      <c r="W1893" s="101"/>
      <c r="X1893" s="101"/>
      <c r="Y1893" s="101"/>
      <c r="Z1893" s="110"/>
      <c r="AA1893" s="110"/>
      <c r="AB1893" s="90" t="s">
        <v>185</v>
      </c>
      <c r="AC1893" s="152"/>
      <c r="AD1893" s="223"/>
      <c r="AE1893" s="223"/>
      <c r="AF1893" s="223"/>
      <c r="AG1893" s="223"/>
      <c r="AH1893" s="341"/>
      <c r="AI1893" s="218"/>
      <c r="AJ1893" s="218"/>
      <c r="AK1893" s="153"/>
      <c r="AL1893" s="152"/>
      <c r="AM1893" s="152"/>
      <c r="AN1893" s="152"/>
      <c r="AO1893" s="152"/>
      <c r="AP1893" s="152"/>
      <c r="AQ1893" s="152"/>
      <c r="AR1893" s="152"/>
      <c r="AS1893" s="152"/>
      <c r="AT1893" s="152"/>
      <c r="AU1893" s="153"/>
      <c r="AV1893" s="479"/>
      <c r="AW1893" s="479"/>
      <c r="AX1893" s="442"/>
      <c r="AY1893" s="153"/>
      <c r="AZ1893" s="152"/>
      <c r="BA1893" s="152"/>
      <c r="BB1893" s="152"/>
      <c r="BC1893" s="152"/>
      <c r="BD1893" s="152"/>
      <c r="BE1893" s="152"/>
      <c r="BF1893" s="152"/>
      <c r="BG1893" s="152"/>
      <c r="BH1893" s="152"/>
      <c r="BI1893" s="153"/>
      <c r="BJ1893" s="153"/>
      <c r="BK1893" s="153"/>
      <c r="BL1893" s="153"/>
      <c r="BM1893" s="153"/>
      <c r="BN1893" s="153"/>
      <c r="BO1893" s="153"/>
      <c r="BP1893" s="153"/>
      <c r="BQ1893" s="153"/>
      <c r="BR1893" s="153"/>
      <c r="BS1893" s="153"/>
      <c r="BT1893" s="153"/>
      <c r="BU1893" s="153"/>
      <c r="BV1893" s="153"/>
      <c r="BW1893" s="153"/>
      <c r="BX1893" s="153"/>
      <c r="BY1893" s="153"/>
      <c r="BZ1893" s="153"/>
      <c r="CA1893" s="152"/>
      <c r="CB1893" s="152"/>
    </row>
    <row r="1894" spans="1:80" s="87" customFormat="1" x14ac:dyDescent="0.2">
      <c r="A1894" s="152"/>
      <c r="B1894" s="683"/>
      <c r="C1894" s="683"/>
      <c r="D1894" s="698"/>
      <c r="E1894" s="215"/>
      <c r="F1894" s="215"/>
      <c r="G1894" s="153"/>
      <c r="H1894" s="153"/>
      <c r="I1894" s="187">
        <v>8</v>
      </c>
      <c r="J1894" s="150" t="e">
        <f>(#REF!/I1894)*(60)</f>
        <v>#REF!</v>
      </c>
      <c r="K1894" s="150">
        <v>1</v>
      </c>
      <c r="L1894" s="656">
        <v>8</v>
      </c>
      <c r="M1894" s="661">
        <v>29349</v>
      </c>
      <c r="N1894" s="112">
        <v>4.2950365899999995E-2</v>
      </c>
      <c r="O1894" s="117">
        <v>9.6140612E-4</v>
      </c>
      <c r="P1894" s="101"/>
      <c r="Q1894" s="101"/>
      <c r="R1894" s="101"/>
      <c r="S1894" s="101"/>
      <c r="T1894" s="101"/>
      <c r="U1894" s="101"/>
      <c r="V1894" s="101"/>
      <c r="W1894" s="101"/>
      <c r="X1894" s="101"/>
      <c r="Y1894" s="101"/>
      <c r="Z1894" s="110"/>
      <c r="AA1894" s="110"/>
      <c r="AB1894" s="90" t="s">
        <v>185</v>
      </c>
      <c r="AC1894" s="152"/>
      <c r="AD1894" s="223"/>
      <c r="AE1894" s="223"/>
      <c r="AF1894" s="223"/>
      <c r="AG1894" s="223"/>
      <c r="AH1894" s="341"/>
      <c r="AI1894" s="218"/>
      <c r="AJ1894" s="218"/>
      <c r="AK1894" s="153"/>
      <c r="AL1894" s="152"/>
      <c r="AM1894" s="152"/>
      <c r="AN1894" s="152"/>
      <c r="AO1894" s="152"/>
      <c r="AP1894" s="152"/>
      <c r="AQ1894" s="152"/>
      <c r="AR1894" s="152"/>
      <c r="AS1894" s="152"/>
      <c r="AT1894" s="152"/>
      <c r="AU1894" s="153"/>
      <c r="AV1894" s="479"/>
      <c r="AW1894" s="479"/>
      <c r="AX1894" s="442"/>
      <c r="AY1894" s="153"/>
      <c r="AZ1894" s="152"/>
      <c r="BA1894" s="152"/>
      <c r="BB1894" s="152"/>
      <c r="BC1894" s="152"/>
      <c r="BD1894" s="152"/>
      <c r="BE1894" s="152"/>
      <c r="BF1894" s="152"/>
      <c r="BG1894" s="152"/>
      <c r="BH1894" s="152"/>
      <c r="BI1894" s="153"/>
      <c r="BJ1894" s="153"/>
      <c r="BK1894" s="153"/>
      <c r="BL1894" s="153"/>
      <c r="BM1894" s="153"/>
      <c r="BN1894" s="153"/>
      <c r="BO1894" s="153"/>
      <c r="BP1894" s="153"/>
      <c r="BQ1894" s="153"/>
      <c r="BR1894" s="153"/>
      <c r="BS1894" s="153"/>
      <c r="BT1894" s="153"/>
      <c r="BU1894" s="153"/>
      <c r="BV1894" s="153"/>
      <c r="BW1894" s="153"/>
      <c r="BX1894" s="153"/>
      <c r="BY1894" s="153"/>
      <c r="BZ1894" s="153"/>
      <c r="CA1894" s="152"/>
      <c r="CB1894" s="152"/>
    </row>
    <row r="1895" spans="1:80" s="87" customFormat="1" x14ac:dyDescent="0.2">
      <c r="A1895" s="152"/>
      <c r="B1895" s="683"/>
      <c r="C1895" s="683"/>
      <c r="D1895" s="698"/>
      <c r="E1895" s="215"/>
      <c r="F1895" s="215"/>
      <c r="G1895" s="153"/>
      <c r="H1895" s="153"/>
      <c r="I1895" s="187">
        <v>8</v>
      </c>
      <c r="J1895" s="150" t="e">
        <f>(#REF!/I1895)*(60)</f>
        <v>#REF!</v>
      </c>
      <c r="K1895" s="150">
        <v>1</v>
      </c>
      <c r="L1895" s="656">
        <v>6</v>
      </c>
      <c r="M1895" s="661">
        <v>29674</v>
      </c>
      <c r="N1895" s="112">
        <v>3.0266276299999999E-2</v>
      </c>
      <c r="O1895" s="117">
        <v>7.3050071999999997E-4</v>
      </c>
      <c r="P1895" s="101"/>
      <c r="Q1895" s="101"/>
      <c r="R1895" s="101"/>
      <c r="S1895" s="101"/>
      <c r="T1895" s="101"/>
      <c r="U1895" s="101"/>
      <c r="V1895" s="101"/>
      <c r="W1895" s="101"/>
      <c r="X1895" s="101"/>
      <c r="Y1895" s="101"/>
      <c r="Z1895" s="110"/>
      <c r="AA1895" s="110"/>
      <c r="AB1895" s="90" t="s">
        <v>185</v>
      </c>
      <c r="AC1895" s="152"/>
      <c r="AD1895" s="223">
        <v>0.70801555499999991</v>
      </c>
      <c r="AE1895" s="223">
        <v>0.12618098999999999</v>
      </c>
      <c r="AF1895" s="223">
        <v>8.9178240000000006E-2</v>
      </c>
      <c r="AG1895" s="223">
        <f>0.33892092</f>
        <v>0.33892092000000001</v>
      </c>
      <c r="AH1895" s="341"/>
      <c r="AI1895" s="218"/>
      <c r="AJ1895" s="218"/>
      <c r="AK1895" s="153"/>
      <c r="AL1895" s="152"/>
      <c r="AM1895" s="152"/>
      <c r="AN1895" s="152"/>
      <c r="AO1895" s="152"/>
      <c r="AP1895" s="152"/>
      <c r="AQ1895" s="152"/>
      <c r="AR1895" s="152"/>
      <c r="AS1895" s="152"/>
      <c r="AT1895" s="152"/>
      <c r="AU1895" s="153"/>
      <c r="AV1895" s="479"/>
      <c r="AW1895" s="479"/>
      <c r="AX1895" s="442"/>
      <c r="AY1895" s="153"/>
      <c r="AZ1895" s="152"/>
      <c r="BA1895" s="152"/>
      <c r="BB1895" s="152"/>
      <c r="BC1895" s="152"/>
      <c r="BD1895" s="152"/>
      <c r="BE1895" s="152"/>
      <c r="BF1895" s="152"/>
      <c r="BG1895" s="152"/>
      <c r="BH1895" s="152"/>
      <c r="BI1895" s="153"/>
      <c r="BJ1895" s="153"/>
      <c r="BK1895" s="153"/>
      <c r="BL1895" s="153"/>
      <c r="BM1895" s="153"/>
      <c r="BN1895" s="153"/>
      <c r="BO1895" s="153"/>
      <c r="BP1895" s="153"/>
      <c r="BQ1895" s="153"/>
      <c r="BR1895" s="153"/>
      <c r="BS1895" s="153"/>
      <c r="BT1895" s="153"/>
      <c r="BU1895" s="153"/>
      <c r="BV1895" s="153"/>
      <c r="BW1895" s="153"/>
      <c r="BX1895" s="153"/>
      <c r="BY1895" s="153"/>
      <c r="BZ1895" s="153"/>
      <c r="CA1895" s="152"/>
      <c r="CB1895" s="152"/>
    </row>
    <row r="1896" spans="1:80" s="87" customFormat="1" x14ac:dyDescent="0.2">
      <c r="A1896" s="152"/>
      <c r="B1896" s="683"/>
      <c r="C1896" s="683"/>
      <c r="D1896" s="698"/>
      <c r="E1896" s="215"/>
      <c r="F1896" s="215"/>
      <c r="G1896" s="153"/>
      <c r="H1896" s="153"/>
      <c r="I1896" s="187">
        <v>8</v>
      </c>
      <c r="J1896" s="150" t="e">
        <f>(#REF!/I1896)*(60)</f>
        <v>#REF!</v>
      </c>
      <c r="K1896" s="150">
        <v>1</v>
      </c>
      <c r="L1896" s="656">
        <v>7</v>
      </c>
      <c r="M1896" s="661">
        <v>29676</v>
      </c>
      <c r="N1896" s="112">
        <v>2.82560746E-2</v>
      </c>
      <c r="O1896" s="117">
        <v>6.5283254000000001E-4</v>
      </c>
      <c r="P1896" s="101"/>
      <c r="Q1896" s="101"/>
      <c r="R1896" s="101"/>
      <c r="S1896" s="101"/>
      <c r="T1896" s="101"/>
      <c r="U1896" s="101"/>
      <c r="V1896" s="101"/>
      <c r="W1896" s="101"/>
      <c r="X1896" s="101"/>
      <c r="Y1896" s="101"/>
      <c r="Z1896" s="110"/>
      <c r="AA1896" s="110"/>
      <c r="AB1896" s="90" t="s">
        <v>185</v>
      </c>
      <c r="AC1896" s="152"/>
      <c r="AD1896" s="223">
        <v>0.70801555499999991</v>
      </c>
      <c r="AE1896" s="223">
        <v>0.12130442999999999</v>
      </c>
      <c r="AF1896" s="223">
        <v>8.5462480000000007E-2</v>
      </c>
      <c r="AG1896" s="223">
        <f>0.329472585</f>
        <v>0.32947258499999998</v>
      </c>
      <c r="AH1896" s="341"/>
      <c r="AI1896" s="218"/>
      <c r="AJ1896" s="218"/>
      <c r="AK1896" s="153"/>
      <c r="AL1896" s="152"/>
      <c r="AM1896" s="152"/>
      <c r="AN1896" s="152"/>
      <c r="AO1896" s="152"/>
      <c r="AP1896" s="152"/>
      <c r="AQ1896" s="152"/>
      <c r="AR1896" s="152"/>
      <c r="AS1896" s="152"/>
      <c r="AT1896" s="152"/>
      <c r="AU1896" s="153"/>
      <c r="AV1896" s="479"/>
      <c r="AW1896" s="479"/>
      <c r="AX1896" s="442"/>
      <c r="AY1896" s="153"/>
      <c r="AZ1896" s="152"/>
      <c r="BA1896" s="152"/>
      <c r="BB1896" s="152"/>
      <c r="BC1896" s="152"/>
      <c r="BD1896" s="152"/>
      <c r="BE1896" s="152"/>
      <c r="BF1896" s="152"/>
      <c r="BG1896" s="152"/>
      <c r="BH1896" s="152"/>
      <c r="BI1896" s="153"/>
      <c r="BJ1896" s="153"/>
      <c r="BK1896" s="153"/>
      <c r="BL1896" s="153"/>
      <c r="BM1896" s="153"/>
      <c r="BN1896" s="153"/>
      <c r="BO1896" s="153"/>
      <c r="BP1896" s="153"/>
      <c r="BQ1896" s="153"/>
      <c r="BR1896" s="153"/>
      <c r="BS1896" s="153"/>
      <c r="BT1896" s="153"/>
      <c r="BU1896" s="153"/>
      <c r="BV1896" s="153"/>
      <c r="BW1896" s="153"/>
      <c r="BX1896" s="153"/>
      <c r="BY1896" s="153"/>
      <c r="BZ1896" s="153"/>
      <c r="CA1896" s="152"/>
      <c r="CB1896" s="152"/>
    </row>
    <row r="1897" spans="1:80" s="87" customFormat="1" x14ac:dyDescent="0.2">
      <c r="A1897" s="152"/>
      <c r="B1897" s="683"/>
      <c r="C1897" s="683"/>
      <c r="D1897" s="698"/>
      <c r="E1897" s="215"/>
      <c r="F1897" s="215"/>
      <c r="G1897" s="153"/>
      <c r="H1897" s="153"/>
      <c r="I1897" s="187">
        <v>8</v>
      </c>
      <c r="J1897" s="150" t="e">
        <f>(#REF!/I1897)*(60)</f>
        <v>#REF!</v>
      </c>
      <c r="K1897" s="150">
        <v>1</v>
      </c>
      <c r="L1897" s="656">
        <v>7</v>
      </c>
      <c r="M1897" s="661">
        <v>29678</v>
      </c>
      <c r="N1897" s="112">
        <v>2.81145111E-2</v>
      </c>
      <c r="O1897" s="117">
        <v>2.1411228000000002E-4</v>
      </c>
      <c r="P1897" s="101"/>
      <c r="Q1897" s="101"/>
      <c r="R1897" s="101"/>
      <c r="S1897" s="101"/>
      <c r="T1897" s="101"/>
      <c r="U1897" s="101"/>
      <c r="V1897" s="101"/>
      <c r="W1897" s="101"/>
      <c r="X1897" s="101"/>
      <c r="Y1897" s="101"/>
      <c r="Z1897" s="110"/>
      <c r="AA1897" s="110"/>
      <c r="AB1897" s="90" t="s">
        <v>185</v>
      </c>
      <c r="AC1897" s="152"/>
      <c r="AD1897" s="223">
        <v>0.70801555499999991</v>
      </c>
      <c r="AE1897" s="223">
        <v>0.11764701</v>
      </c>
      <c r="AF1897" s="223">
        <v>8.3604600000000001E-2</v>
      </c>
      <c r="AG1897" s="223">
        <f>0.337396995</f>
        <v>0.33739699499999998</v>
      </c>
      <c r="AH1897" s="341"/>
      <c r="AI1897" s="218"/>
      <c r="AJ1897" s="218"/>
      <c r="AK1897" s="153"/>
      <c r="AL1897" s="152"/>
      <c r="AM1897" s="152"/>
      <c r="AN1897" s="152"/>
      <c r="AO1897" s="152"/>
      <c r="AP1897" s="152"/>
      <c r="AQ1897" s="152"/>
      <c r="AR1897" s="152"/>
      <c r="AS1897" s="152"/>
      <c r="AT1897" s="152"/>
      <c r="AU1897" s="153"/>
      <c r="AV1897" s="479"/>
      <c r="AW1897" s="479"/>
      <c r="AX1897" s="442"/>
      <c r="AY1897" s="153"/>
      <c r="AZ1897" s="152"/>
      <c r="BA1897" s="152"/>
      <c r="BB1897" s="152"/>
      <c r="BC1897" s="152"/>
      <c r="BD1897" s="152"/>
      <c r="BE1897" s="152"/>
      <c r="BF1897" s="152"/>
      <c r="BG1897" s="152"/>
      <c r="BH1897" s="152"/>
      <c r="BI1897" s="153"/>
      <c r="BJ1897" s="153"/>
      <c r="BK1897" s="153"/>
      <c r="BL1897" s="153"/>
      <c r="BM1897" s="153"/>
      <c r="BN1897" s="153"/>
      <c r="BO1897" s="153"/>
      <c r="BP1897" s="153"/>
      <c r="BQ1897" s="153"/>
      <c r="BR1897" s="153"/>
      <c r="BS1897" s="153"/>
      <c r="BT1897" s="153"/>
      <c r="BU1897" s="153"/>
      <c r="BV1897" s="153"/>
      <c r="BW1897" s="153"/>
      <c r="BX1897" s="153"/>
      <c r="BY1897" s="153"/>
      <c r="BZ1897" s="153"/>
      <c r="CA1897" s="152"/>
      <c r="CB1897" s="152"/>
    </row>
    <row r="1898" spans="1:80" s="87" customFormat="1" x14ac:dyDescent="0.2">
      <c r="A1898" s="152"/>
      <c r="B1898" s="683"/>
      <c r="C1898" s="683"/>
      <c r="D1898" s="698"/>
      <c r="E1898" s="215"/>
      <c r="F1898" s="215"/>
      <c r="G1898" s="153"/>
      <c r="H1898" s="153"/>
      <c r="I1898" s="187">
        <v>8</v>
      </c>
      <c r="J1898" s="150" t="e">
        <f>(#REF!/I1898)*(60)</f>
        <v>#REF!</v>
      </c>
      <c r="K1898" s="150">
        <v>1</v>
      </c>
      <c r="L1898" s="656">
        <v>7</v>
      </c>
      <c r="M1898" s="661">
        <v>29680</v>
      </c>
      <c r="N1898" s="112">
        <v>2.54248046E-2</v>
      </c>
      <c r="O1898" s="117">
        <v>1.4169194999999999E-4</v>
      </c>
      <c r="P1898" s="101"/>
      <c r="Q1898" s="101"/>
      <c r="R1898" s="101"/>
      <c r="S1898" s="101"/>
      <c r="T1898" s="101"/>
      <c r="U1898" s="101"/>
      <c r="V1898" s="101"/>
      <c r="W1898" s="101"/>
      <c r="X1898" s="101"/>
      <c r="Y1898" s="101"/>
      <c r="Z1898" s="110"/>
      <c r="AA1898" s="110"/>
      <c r="AB1898" s="90" t="s">
        <v>185</v>
      </c>
      <c r="AC1898" s="152"/>
      <c r="AD1898" s="223">
        <v>0.70801555499999991</v>
      </c>
      <c r="AE1898" s="223">
        <v>0.11825657999999999</v>
      </c>
      <c r="AF1898" s="223">
        <v>8.3604600000000001E-2</v>
      </c>
      <c r="AG1898" s="223">
        <f>0.303870645</f>
        <v>0.30387064499999999</v>
      </c>
      <c r="AH1898" s="341"/>
      <c r="AI1898" s="218"/>
      <c r="AJ1898" s="218"/>
      <c r="AK1898" s="153"/>
      <c r="AL1898" s="152"/>
      <c r="AM1898" s="152"/>
      <c r="AN1898" s="152"/>
      <c r="AO1898" s="152"/>
      <c r="AP1898" s="152"/>
      <c r="AQ1898" s="152"/>
      <c r="AR1898" s="152"/>
      <c r="AS1898" s="152"/>
      <c r="AT1898" s="152"/>
      <c r="AU1898" s="153"/>
      <c r="AV1898" s="479"/>
      <c r="AW1898" s="479"/>
      <c r="AX1898" s="442"/>
      <c r="AY1898" s="153"/>
      <c r="AZ1898" s="152"/>
      <c r="BA1898" s="152"/>
      <c r="BB1898" s="152"/>
      <c r="BC1898" s="152"/>
      <c r="BD1898" s="152"/>
      <c r="BE1898" s="152"/>
      <c r="BF1898" s="152"/>
      <c r="BG1898" s="152"/>
      <c r="BH1898" s="152"/>
      <c r="BI1898" s="153"/>
      <c r="BJ1898" s="153"/>
      <c r="BK1898" s="153"/>
      <c r="BL1898" s="153"/>
      <c r="BM1898" s="153"/>
      <c r="BN1898" s="153"/>
      <c r="BO1898" s="153"/>
      <c r="BP1898" s="153"/>
      <c r="BQ1898" s="153"/>
      <c r="BR1898" s="153"/>
      <c r="BS1898" s="153"/>
      <c r="BT1898" s="153"/>
      <c r="BU1898" s="153"/>
      <c r="BV1898" s="153"/>
      <c r="BW1898" s="153"/>
      <c r="BX1898" s="153"/>
      <c r="BY1898" s="153"/>
      <c r="BZ1898" s="153"/>
      <c r="CA1898" s="152"/>
      <c r="CB1898" s="152"/>
    </row>
    <row r="1899" spans="1:80" s="87" customFormat="1" x14ac:dyDescent="0.2">
      <c r="A1899" s="152"/>
      <c r="B1899" s="683"/>
      <c r="C1899" s="683"/>
      <c r="D1899" s="698"/>
      <c r="E1899" s="215"/>
      <c r="F1899" s="215"/>
      <c r="G1899" s="153"/>
      <c r="H1899" s="153"/>
      <c r="I1899" s="187">
        <v>8</v>
      </c>
      <c r="J1899" s="150" t="e">
        <f>(#REF!/I1899)*(60)</f>
        <v>#REF!</v>
      </c>
      <c r="K1899" s="150">
        <v>1</v>
      </c>
      <c r="L1899" s="656">
        <v>8</v>
      </c>
      <c r="M1899" s="661">
        <v>29682</v>
      </c>
      <c r="N1899" s="112">
        <v>2.6189247500000002E-2</v>
      </c>
      <c r="O1899" s="117">
        <v>2.9807788000000001E-4</v>
      </c>
      <c r="P1899" s="101"/>
      <c r="Q1899" s="101"/>
      <c r="R1899" s="101"/>
      <c r="S1899" s="101"/>
      <c r="T1899" s="101"/>
      <c r="U1899" s="101"/>
      <c r="V1899" s="101"/>
      <c r="W1899" s="101"/>
      <c r="X1899" s="101"/>
      <c r="Y1899" s="101"/>
      <c r="Z1899" s="110"/>
      <c r="AA1899" s="110"/>
      <c r="AB1899" s="90" t="s">
        <v>185</v>
      </c>
      <c r="AC1899" s="152"/>
      <c r="AD1899" s="223">
        <v>0.70801555499999991</v>
      </c>
      <c r="AE1899" s="223">
        <v>0.11734222499999999</v>
      </c>
      <c r="AF1899" s="223">
        <v>8.2675660000000012E-2</v>
      </c>
      <c r="AG1899" s="223">
        <f>0.315452475</f>
        <v>0.31545247500000001</v>
      </c>
      <c r="AH1899" s="341"/>
      <c r="AI1899" s="218"/>
      <c r="AJ1899" s="218"/>
      <c r="AK1899" s="153"/>
      <c r="AL1899" s="152"/>
      <c r="AM1899" s="152"/>
      <c r="AN1899" s="152"/>
      <c r="AO1899" s="152"/>
      <c r="AP1899" s="152"/>
      <c r="AQ1899" s="152"/>
      <c r="AR1899" s="152"/>
      <c r="AS1899" s="152"/>
      <c r="AT1899" s="152"/>
      <c r="AU1899" s="153"/>
      <c r="AV1899" s="479"/>
      <c r="AW1899" s="479"/>
      <c r="AX1899" s="442"/>
      <c r="AY1899" s="153"/>
      <c r="AZ1899" s="152"/>
      <c r="BA1899" s="152"/>
      <c r="BB1899" s="152"/>
      <c r="BC1899" s="152"/>
      <c r="BD1899" s="152"/>
      <c r="BE1899" s="152"/>
      <c r="BF1899" s="152"/>
      <c r="BG1899" s="152"/>
      <c r="BH1899" s="152"/>
      <c r="BI1899" s="153"/>
      <c r="BJ1899" s="153"/>
      <c r="BK1899" s="153"/>
      <c r="BL1899" s="153"/>
      <c r="BM1899" s="153"/>
      <c r="BN1899" s="153"/>
      <c r="BO1899" s="153"/>
      <c r="BP1899" s="153"/>
      <c r="BQ1899" s="153"/>
      <c r="BR1899" s="153"/>
      <c r="BS1899" s="153"/>
      <c r="BT1899" s="153"/>
      <c r="BU1899" s="153"/>
      <c r="BV1899" s="153"/>
      <c r="BW1899" s="153"/>
      <c r="BX1899" s="153"/>
      <c r="BY1899" s="153"/>
      <c r="BZ1899" s="153"/>
      <c r="CA1899" s="152"/>
      <c r="CB1899" s="152"/>
    </row>
    <row r="1900" spans="1:80" s="87" customFormat="1" x14ac:dyDescent="0.2">
      <c r="A1900" s="152"/>
      <c r="B1900" s="683"/>
      <c r="C1900" s="683"/>
      <c r="D1900" s="698"/>
      <c r="E1900" s="215"/>
      <c r="F1900" s="215"/>
      <c r="G1900" s="153"/>
      <c r="H1900" s="153"/>
      <c r="I1900" s="187">
        <v>8</v>
      </c>
      <c r="J1900" s="150" t="e">
        <f>(#REF!/I1900)*(60)</f>
        <v>#REF!</v>
      </c>
      <c r="K1900" s="150">
        <v>1</v>
      </c>
      <c r="L1900" s="656">
        <v>7</v>
      </c>
      <c r="M1900" s="661">
        <v>29684</v>
      </c>
      <c r="N1900" s="112">
        <v>2.4065794999999997E-2</v>
      </c>
      <c r="O1900" s="117">
        <v>2.8758218000000002E-4</v>
      </c>
      <c r="P1900" s="101"/>
      <c r="Q1900" s="101"/>
      <c r="R1900" s="101"/>
      <c r="S1900" s="101"/>
      <c r="T1900" s="101"/>
      <c r="U1900" s="101"/>
      <c r="V1900" s="101"/>
      <c r="W1900" s="101"/>
      <c r="X1900" s="101"/>
      <c r="Y1900" s="101"/>
      <c r="Z1900" s="110"/>
      <c r="AA1900" s="110"/>
      <c r="AB1900" s="90" t="s">
        <v>185</v>
      </c>
      <c r="AC1900" s="152"/>
      <c r="AD1900" s="223">
        <v>0.70801555499999991</v>
      </c>
      <c r="AE1900" s="223">
        <v>0.11581829999999999</v>
      </c>
      <c r="AF1900" s="223">
        <v>8.1746720000000009E-2</v>
      </c>
      <c r="AG1900" s="223">
        <f>0.293507955</f>
        <v>0.29350795499999999</v>
      </c>
      <c r="AH1900" s="341"/>
      <c r="AI1900" s="218"/>
      <c r="AJ1900" s="218"/>
      <c r="AK1900" s="153"/>
      <c r="AL1900" s="152"/>
      <c r="AM1900" s="152"/>
      <c r="AN1900" s="152"/>
      <c r="AO1900" s="152"/>
      <c r="AP1900" s="152"/>
      <c r="AQ1900" s="152"/>
      <c r="AR1900" s="152"/>
      <c r="AS1900" s="152"/>
      <c r="AT1900" s="152"/>
      <c r="AU1900" s="153"/>
      <c r="AV1900" s="479"/>
      <c r="AW1900" s="479"/>
      <c r="AX1900" s="442"/>
      <c r="AY1900" s="153"/>
      <c r="AZ1900" s="152"/>
      <c r="BA1900" s="152"/>
      <c r="BB1900" s="152"/>
      <c r="BC1900" s="152"/>
      <c r="BD1900" s="152"/>
      <c r="BE1900" s="152"/>
      <c r="BF1900" s="152"/>
      <c r="BG1900" s="152"/>
      <c r="BH1900" s="152"/>
      <c r="BI1900" s="153"/>
      <c r="BJ1900" s="153"/>
      <c r="BK1900" s="153"/>
      <c r="BL1900" s="153"/>
      <c r="BM1900" s="153"/>
      <c r="BN1900" s="153"/>
      <c r="BO1900" s="153"/>
      <c r="BP1900" s="153"/>
      <c r="BQ1900" s="153"/>
      <c r="BR1900" s="153"/>
      <c r="BS1900" s="153"/>
      <c r="BT1900" s="153"/>
      <c r="BU1900" s="153"/>
      <c r="BV1900" s="153"/>
      <c r="BW1900" s="153"/>
      <c r="BX1900" s="153"/>
      <c r="BY1900" s="153"/>
      <c r="BZ1900" s="153"/>
      <c r="CA1900" s="152"/>
      <c r="CB1900" s="152"/>
    </row>
    <row r="1901" spans="1:80" s="87" customFormat="1" x14ac:dyDescent="0.2">
      <c r="A1901" s="152"/>
      <c r="B1901" s="683"/>
      <c r="C1901" s="683"/>
      <c r="D1901" s="698"/>
      <c r="E1901" s="215"/>
      <c r="F1901" s="215"/>
      <c r="G1901" s="153"/>
      <c r="H1901" s="153"/>
      <c r="I1901" s="187">
        <v>8</v>
      </c>
      <c r="J1901" s="150" t="e">
        <f>(#REF!/I1901)*(60)</f>
        <v>#REF!</v>
      </c>
      <c r="K1901" s="150">
        <v>1</v>
      </c>
      <c r="L1901" s="656">
        <v>7</v>
      </c>
      <c r="M1901" s="661">
        <v>29689</v>
      </c>
      <c r="N1901" s="112">
        <v>2.1036336100000001E-2</v>
      </c>
      <c r="O1901" s="117">
        <v>1.5008851000000001E-4</v>
      </c>
      <c r="P1901" s="113"/>
      <c r="Q1901" s="113"/>
      <c r="R1901" s="113"/>
      <c r="S1901" s="113"/>
      <c r="T1901" s="113"/>
      <c r="U1901" s="113"/>
      <c r="V1901" s="113"/>
      <c r="W1901" s="113"/>
      <c r="X1901" s="113"/>
      <c r="Y1901" s="113"/>
      <c r="Z1901" s="110"/>
      <c r="AA1901" s="110"/>
      <c r="AB1901" s="90" t="s">
        <v>185</v>
      </c>
      <c r="AC1901" s="152"/>
      <c r="AD1901" s="223">
        <v>0.70801555499999991</v>
      </c>
      <c r="AE1901" s="223">
        <v>0.11886614999999999</v>
      </c>
      <c r="AF1901" s="223">
        <v>8.4533540000000004E-2</v>
      </c>
      <c r="AG1901" s="223">
        <f>0.2499237</f>
        <v>0.2499237</v>
      </c>
      <c r="AH1901" s="341"/>
      <c r="AI1901" s="218"/>
      <c r="AJ1901" s="218"/>
      <c r="AK1901" s="153"/>
      <c r="AL1901" s="152"/>
      <c r="AM1901" s="152"/>
      <c r="AN1901" s="152"/>
      <c r="AO1901" s="152"/>
      <c r="AP1901" s="152"/>
      <c r="AQ1901" s="152"/>
      <c r="AR1901" s="152"/>
      <c r="AS1901" s="152"/>
      <c r="AT1901" s="152"/>
      <c r="AU1901" s="153"/>
      <c r="AV1901" s="479"/>
      <c r="AW1901" s="479"/>
      <c r="AX1901" s="442"/>
      <c r="AY1901" s="153"/>
      <c r="AZ1901" s="152"/>
      <c r="BA1901" s="152"/>
      <c r="BB1901" s="152"/>
      <c r="BC1901" s="152"/>
      <c r="BD1901" s="152"/>
      <c r="BE1901" s="152"/>
      <c r="BF1901" s="152"/>
      <c r="BG1901" s="152"/>
      <c r="BH1901" s="152"/>
      <c r="BI1901" s="153"/>
      <c r="BJ1901" s="153"/>
      <c r="BK1901" s="153"/>
      <c r="BL1901" s="153"/>
      <c r="BM1901" s="153"/>
      <c r="BN1901" s="153"/>
      <c r="BO1901" s="153"/>
      <c r="BP1901" s="153"/>
      <c r="BQ1901" s="153"/>
      <c r="BR1901" s="153"/>
      <c r="BS1901" s="153"/>
      <c r="BT1901" s="153"/>
      <c r="BU1901" s="153"/>
      <c r="BV1901" s="153"/>
      <c r="BW1901" s="153"/>
      <c r="BX1901" s="153"/>
      <c r="BY1901" s="153"/>
      <c r="BZ1901" s="153"/>
      <c r="CA1901" s="152"/>
      <c r="CB1901" s="152"/>
    </row>
    <row r="1902" spans="1:80" s="87" customFormat="1" x14ac:dyDescent="0.2">
      <c r="A1902" s="152"/>
      <c r="B1902" s="683"/>
      <c r="C1902" s="683"/>
      <c r="D1902" s="698"/>
      <c r="E1902" s="215"/>
      <c r="F1902" s="215"/>
      <c r="G1902" s="153"/>
      <c r="H1902" s="153"/>
      <c r="I1902" s="187">
        <v>8</v>
      </c>
      <c r="J1902" s="150" t="e">
        <f>(#REF!/I1902)*(60)</f>
        <v>#REF!</v>
      </c>
      <c r="K1902" s="150">
        <v>1</v>
      </c>
      <c r="L1902" s="656">
        <v>8</v>
      </c>
      <c r="M1902" s="661">
        <v>29690</v>
      </c>
      <c r="N1902" s="112">
        <v>2.3612791799999998E-2</v>
      </c>
      <c r="O1902" s="117">
        <v>2.6134292999999999E-4</v>
      </c>
      <c r="P1902" s="101"/>
      <c r="Q1902" s="101"/>
      <c r="R1902" s="101"/>
      <c r="S1902" s="101"/>
      <c r="T1902" s="101"/>
      <c r="U1902" s="101"/>
      <c r="V1902" s="101"/>
      <c r="W1902" s="101"/>
      <c r="X1902" s="101"/>
      <c r="Y1902" s="101"/>
      <c r="Z1902" s="110"/>
      <c r="AA1902" s="110"/>
      <c r="AB1902" s="90" t="s">
        <v>185</v>
      </c>
      <c r="AC1902" s="152"/>
      <c r="AD1902" s="223">
        <v>0.70801555499999991</v>
      </c>
      <c r="AE1902" s="223">
        <v>0.12130442999999999</v>
      </c>
      <c r="AF1902" s="223">
        <v>8.5462480000000007E-2</v>
      </c>
      <c r="AG1902" s="223">
        <f>0.27552564</f>
        <v>0.27552564000000002</v>
      </c>
      <c r="AH1902" s="341"/>
      <c r="AI1902" s="218"/>
      <c r="AJ1902" s="218"/>
      <c r="AK1902" s="153"/>
      <c r="AL1902" s="152"/>
      <c r="AM1902" s="152"/>
      <c r="AN1902" s="152"/>
      <c r="AO1902" s="152"/>
      <c r="AP1902" s="152"/>
      <c r="AQ1902" s="152"/>
      <c r="AR1902" s="152"/>
      <c r="AS1902" s="152"/>
      <c r="AT1902" s="152"/>
      <c r="AU1902" s="153"/>
      <c r="AV1902" s="479"/>
      <c r="AW1902" s="479"/>
      <c r="AX1902" s="442"/>
      <c r="AY1902" s="153"/>
      <c r="AZ1902" s="152"/>
      <c r="BA1902" s="152"/>
      <c r="BB1902" s="152"/>
      <c r="BC1902" s="152"/>
      <c r="BD1902" s="152"/>
      <c r="BE1902" s="152"/>
      <c r="BF1902" s="152"/>
      <c r="BG1902" s="152"/>
      <c r="BH1902" s="152"/>
      <c r="BI1902" s="153"/>
      <c r="BJ1902" s="153"/>
      <c r="BK1902" s="153"/>
      <c r="BL1902" s="153"/>
      <c r="BM1902" s="153"/>
      <c r="BN1902" s="153"/>
      <c r="BO1902" s="153"/>
      <c r="BP1902" s="153"/>
      <c r="BQ1902" s="153"/>
      <c r="BR1902" s="153"/>
      <c r="BS1902" s="153"/>
      <c r="BT1902" s="153"/>
      <c r="BU1902" s="153"/>
      <c r="BV1902" s="153"/>
      <c r="BW1902" s="153"/>
      <c r="BX1902" s="153"/>
      <c r="BY1902" s="153"/>
      <c r="BZ1902" s="153"/>
      <c r="CA1902" s="152"/>
      <c r="CB1902" s="152"/>
    </row>
    <row r="1903" spans="1:80" s="87" customFormat="1" x14ac:dyDescent="0.2">
      <c r="A1903" s="152"/>
      <c r="B1903" s="683"/>
      <c r="C1903" s="683"/>
      <c r="D1903" s="698"/>
      <c r="E1903" s="215"/>
      <c r="F1903" s="215"/>
      <c r="G1903" s="153"/>
      <c r="H1903" s="153"/>
      <c r="I1903" s="187">
        <v>8</v>
      </c>
      <c r="J1903" s="150" t="e">
        <f>(#REF!/I1903)*(60)</f>
        <v>#REF!</v>
      </c>
      <c r="K1903" s="150">
        <v>1</v>
      </c>
      <c r="L1903" s="656">
        <v>8</v>
      </c>
      <c r="M1903" s="661">
        <v>29695</v>
      </c>
      <c r="N1903" s="112">
        <v>4.2893740499999999E-2</v>
      </c>
      <c r="O1903" s="117">
        <v>7.8192965000000001E-4</v>
      </c>
      <c r="P1903" s="101"/>
      <c r="Q1903" s="101"/>
      <c r="R1903" s="101"/>
      <c r="S1903" s="101"/>
      <c r="T1903" s="101"/>
      <c r="U1903" s="101"/>
      <c r="V1903" s="101"/>
      <c r="W1903" s="101"/>
      <c r="X1903" s="101"/>
      <c r="Y1903" s="101"/>
      <c r="Z1903" s="110"/>
      <c r="AA1903" s="110"/>
      <c r="AB1903" s="90" t="s">
        <v>185</v>
      </c>
      <c r="AC1903" s="152"/>
      <c r="AD1903" s="223">
        <v>0.70801555499999991</v>
      </c>
      <c r="AE1903" s="223">
        <v>0.14812550999999999</v>
      </c>
      <c r="AF1903" s="223">
        <v>0.10497021999999999</v>
      </c>
      <c r="AG1903" s="223">
        <f>0.408716685</f>
        <v>0.40871668500000002</v>
      </c>
      <c r="AH1903" s="341"/>
      <c r="AI1903" s="218"/>
      <c r="AJ1903" s="218"/>
      <c r="AK1903" s="153"/>
      <c r="AL1903" s="152"/>
      <c r="AM1903" s="152"/>
      <c r="AN1903" s="152"/>
      <c r="AO1903" s="152"/>
      <c r="AP1903" s="152"/>
      <c r="AQ1903" s="152"/>
      <c r="AR1903" s="152"/>
      <c r="AS1903" s="152"/>
      <c r="AT1903" s="152"/>
      <c r="AU1903" s="153"/>
      <c r="AV1903" s="479"/>
      <c r="AW1903" s="479"/>
      <c r="AX1903" s="442"/>
      <c r="AY1903" s="153"/>
      <c r="AZ1903" s="152"/>
      <c r="BA1903" s="152"/>
      <c r="BB1903" s="152"/>
      <c r="BC1903" s="152"/>
      <c r="BD1903" s="152"/>
      <c r="BE1903" s="152"/>
      <c r="BF1903" s="152"/>
      <c r="BG1903" s="152"/>
      <c r="BH1903" s="152"/>
      <c r="BI1903" s="153"/>
      <c r="BJ1903" s="153"/>
      <c r="BK1903" s="153"/>
      <c r="BL1903" s="153"/>
      <c r="BM1903" s="153"/>
      <c r="BN1903" s="153"/>
      <c r="BO1903" s="153"/>
      <c r="BP1903" s="153"/>
      <c r="BQ1903" s="153"/>
      <c r="BR1903" s="153"/>
      <c r="BS1903" s="153"/>
      <c r="BT1903" s="153"/>
      <c r="BU1903" s="153"/>
      <c r="BV1903" s="153"/>
      <c r="BW1903" s="153"/>
      <c r="BX1903" s="153"/>
      <c r="BY1903" s="153"/>
      <c r="BZ1903" s="153"/>
      <c r="CA1903" s="152"/>
      <c r="CB1903" s="152"/>
    </row>
    <row r="1904" spans="1:80" s="87" customFormat="1" x14ac:dyDescent="0.2">
      <c r="A1904" s="152"/>
      <c r="B1904" s="683"/>
      <c r="C1904" s="683"/>
      <c r="D1904" s="698"/>
      <c r="E1904" s="215"/>
      <c r="F1904" s="215"/>
      <c r="G1904" s="153"/>
      <c r="H1904" s="153"/>
      <c r="I1904" s="187">
        <v>8</v>
      </c>
      <c r="J1904" s="150" t="e">
        <f>(#REF!/I1904)*(60)</f>
        <v>#REF!</v>
      </c>
      <c r="K1904" s="150">
        <v>1</v>
      </c>
      <c r="L1904" s="656">
        <v>8</v>
      </c>
      <c r="M1904" s="661">
        <v>29697</v>
      </c>
      <c r="N1904" s="112">
        <v>7.1659443700000006E-2</v>
      </c>
      <c r="O1904" s="117">
        <v>2.1411227999999999E-3</v>
      </c>
      <c r="P1904" s="101"/>
      <c r="Q1904" s="101"/>
      <c r="R1904" s="101"/>
      <c r="S1904" s="101"/>
      <c r="T1904" s="101"/>
      <c r="U1904" s="101"/>
      <c r="V1904" s="101"/>
      <c r="W1904" s="101"/>
      <c r="X1904" s="101"/>
      <c r="Y1904" s="101"/>
      <c r="Z1904" s="110"/>
      <c r="AA1904" s="110"/>
      <c r="AB1904" s="90" t="s">
        <v>185</v>
      </c>
      <c r="AC1904" s="152"/>
      <c r="AD1904" s="223">
        <v>0.70801555499999991</v>
      </c>
      <c r="AE1904" s="223">
        <v>0.19750067999999998</v>
      </c>
      <c r="AF1904" s="223">
        <v>0.14026994000000001</v>
      </c>
      <c r="AG1904" s="223">
        <f>0.512953155</f>
        <v>0.51295315500000005</v>
      </c>
      <c r="AH1904" s="341"/>
      <c r="AI1904" s="218"/>
      <c r="AJ1904" s="218"/>
      <c r="AK1904" s="153"/>
      <c r="AL1904" s="152"/>
      <c r="AM1904" s="152"/>
      <c r="AN1904" s="152"/>
      <c r="AO1904" s="152"/>
      <c r="AP1904" s="152"/>
      <c r="AQ1904" s="152"/>
      <c r="AR1904" s="152"/>
      <c r="AS1904" s="152"/>
      <c r="AT1904" s="152"/>
      <c r="AU1904" s="153"/>
      <c r="AV1904" s="479"/>
      <c r="AW1904" s="479"/>
      <c r="AX1904" s="442"/>
      <c r="AY1904" s="153"/>
      <c r="AZ1904" s="152"/>
      <c r="BA1904" s="152"/>
      <c r="BB1904" s="152"/>
      <c r="BC1904" s="152"/>
      <c r="BD1904" s="152"/>
      <c r="BE1904" s="152"/>
      <c r="BF1904" s="152"/>
      <c r="BG1904" s="152"/>
      <c r="BH1904" s="152"/>
      <c r="BI1904" s="153"/>
      <c r="BJ1904" s="153"/>
      <c r="BK1904" s="153"/>
      <c r="BL1904" s="153"/>
      <c r="BM1904" s="153"/>
      <c r="BN1904" s="153"/>
      <c r="BO1904" s="153"/>
      <c r="BP1904" s="153"/>
      <c r="BQ1904" s="153"/>
      <c r="BR1904" s="153"/>
      <c r="BS1904" s="153"/>
      <c r="BT1904" s="153"/>
      <c r="BU1904" s="153"/>
      <c r="BV1904" s="153"/>
      <c r="BW1904" s="153"/>
      <c r="BX1904" s="153"/>
      <c r="BY1904" s="153"/>
      <c r="BZ1904" s="153"/>
      <c r="CA1904" s="152"/>
      <c r="CB1904" s="152"/>
    </row>
    <row r="1905" spans="1:80" s="87" customFormat="1" x14ac:dyDescent="0.2">
      <c r="A1905" s="152"/>
      <c r="B1905" s="683"/>
      <c r="C1905" s="683"/>
      <c r="D1905" s="698"/>
      <c r="E1905" s="215"/>
      <c r="F1905" s="215"/>
      <c r="G1905" s="153"/>
      <c r="H1905" s="153"/>
      <c r="I1905" s="187">
        <v>8</v>
      </c>
      <c r="J1905" s="150" t="e">
        <f>(#REF!/I1905)*(60)</f>
        <v>#REF!</v>
      </c>
      <c r="K1905" s="150">
        <v>1</v>
      </c>
      <c r="L1905" s="656">
        <v>8</v>
      </c>
      <c r="M1905" s="661">
        <v>29698</v>
      </c>
      <c r="N1905" s="112">
        <v>5.8239223899999998E-2</v>
      </c>
      <c r="O1905" s="117">
        <v>1.6478249000000001E-3</v>
      </c>
      <c r="P1905" s="101"/>
      <c r="Q1905" s="101"/>
      <c r="R1905" s="101"/>
      <c r="S1905" s="101"/>
      <c r="T1905" s="101"/>
      <c r="U1905" s="101"/>
      <c r="V1905" s="101"/>
      <c r="W1905" s="101"/>
      <c r="X1905" s="101"/>
      <c r="Y1905" s="101"/>
      <c r="Z1905" s="110"/>
      <c r="AA1905" s="110"/>
      <c r="AB1905" s="90" t="s">
        <v>185</v>
      </c>
      <c r="AC1905" s="152"/>
      <c r="AD1905" s="223">
        <v>0.70801555499999991</v>
      </c>
      <c r="AE1905" s="223">
        <v>0.19353847499999999</v>
      </c>
      <c r="AF1905" s="223">
        <v>0.13748312000000001</v>
      </c>
      <c r="AG1905" s="223">
        <f>0.42487029</f>
        <v>0.42487028999999998</v>
      </c>
      <c r="AH1905" s="341"/>
      <c r="AI1905" s="218"/>
      <c r="AJ1905" s="218"/>
      <c r="AK1905" s="153"/>
      <c r="AL1905" s="152"/>
      <c r="AM1905" s="152"/>
      <c r="AN1905" s="152"/>
      <c r="AO1905" s="152"/>
      <c r="AP1905" s="152"/>
      <c r="AQ1905" s="152"/>
      <c r="AR1905" s="152"/>
      <c r="AS1905" s="152"/>
      <c r="AT1905" s="152"/>
      <c r="AU1905" s="153"/>
      <c r="AV1905" s="479"/>
      <c r="AW1905" s="479"/>
      <c r="AX1905" s="442"/>
      <c r="AY1905" s="153"/>
      <c r="AZ1905" s="152"/>
      <c r="BA1905" s="152"/>
      <c r="BB1905" s="152"/>
      <c r="BC1905" s="152"/>
      <c r="BD1905" s="152"/>
      <c r="BE1905" s="152"/>
      <c r="BF1905" s="152"/>
      <c r="BG1905" s="152"/>
      <c r="BH1905" s="152"/>
      <c r="BI1905" s="153"/>
      <c r="BJ1905" s="153"/>
      <c r="BK1905" s="153"/>
      <c r="BL1905" s="153"/>
      <c r="BM1905" s="153"/>
      <c r="BN1905" s="153"/>
      <c r="BO1905" s="153"/>
      <c r="BP1905" s="153"/>
      <c r="BQ1905" s="153"/>
      <c r="BR1905" s="153"/>
      <c r="BS1905" s="153"/>
      <c r="BT1905" s="153"/>
      <c r="BU1905" s="153"/>
      <c r="BV1905" s="153"/>
      <c r="BW1905" s="153"/>
      <c r="BX1905" s="153"/>
      <c r="BY1905" s="153"/>
      <c r="BZ1905" s="153"/>
      <c r="CA1905" s="152"/>
      <c r="CB1905" s="152"/>
    </row>
    <row r="1906" spans="1:80" s="87" customFormat="1" x14ac:dyDescent="0.2">
      <c r="A1906" s="152"/>
      <c r="B1906" s="683"/>
      <c r="C1906" s="683"/>
      <c r="D1906" s="698"/>
      <c r="E1906" s="215"/>
      <c r="F1906" s="215"/>
      <c r="G1906" s="153"/>
      <c r="H1906" s="153"/>
      <c r="I1906" s="187">
        <v>8</v>
      </c>
      <c r="J1906" s="150" t="e">
        <f>(#REF!/I1906)*(60)</f>
        <v>#REF!</v>
      </c>
      <c r="K1906" s="150">
        <v>1</v>
      </c>
      <c r="L1906" s="656">
        <v>8</v>
      </c>
      <c r="M1906" s="661">
        <v>29702</v>
      </c>
      <c r="N1906" s="112">
        <v>5.6285647600000002E-2</v>
      </c>
      <c r="O1906" s="117">
        <v>1.3854324000000002E-3</v>
      </c>
      <c r="P1906" s="101"/>
      <c r="Q1906" s="101"/>
      <c r="R1906" s="101"/>
      <c r="S1906" s="101"/>
      <c r="T1906" s="101"/>
      <c r="U1906" s="101"/>
      <c r="V1906" s="101"/>
      <c r="W1906" s="101"/>
      <c r="X1906" s="101"/>
      <c r="Y1906" s="101"/>
      <c r="Z1906" s="110"/>
      <c r="AA1906" s="110"/>
      <c r="AB1906" s="90" t="s">
        <v>185</v>
      </c>
      <c r="AC1906" s="152"/>
      <c r="AD1906" s="223">
        <v>0.70801555499999991</v>
      </c>
      <c r="AE1906" s="223">
        <v>0.18927148499999999</v>
      </c>
      <c r="AF1906" s="223">
        <v>0.13376736</v>
      </c>
      <c r="AG1906" s="223">
        <f>0.407497545</f>
        <v>0.40749754500000002</v>
      </c>
      <c r="AH1906" s="341"/>
      <c r="AI1906" s="218"/>
      <c r="AJ1906" s="218"/>
      <c r="AK1906" s="153"/>
      <c r="AL1906" s="152"/>
      <c r="AM1906" s="152"/>
      <c r="AN1906" s="152"/>
      <c r="AO1906" s="152"/>
      <c r="AP1906" s="152"/>
      <c r="AQ1906" s="152"/>
      <c r="AR1906" s="152"/>
      <c r="AS1906" s="152"/>
      <c r="AT1906" s="152"/>
      <c r="AU1906" s="153"/>
      <c r="AV1906" s="479"/>
      <c r="AW1906" s="479"/>
      <c r="AX1906" s="442"/>
      <c r="AY1906" s="153"/>
      <c r="AZ1906" s="152"/>
      <c r="BA1906" s="152"/>
      <c r="BB1906" s="152"/>
      <c r="BC1906" s="152"/>
      <c r="BD1906" s="152"/>
      <c r="BE1906" s="152"/>
      <c r="BF1906" s="152"/>
      <c r="BG1906" s="152"/>
      <c r="BH1906" s="152"/>
      <c r="BI1906" s="153"/>
      <c r="BJ1906" s="153"/>
      <c r="BK1906" s="153"/>
      <c r="BL1906" s="153"/>
      <c r="BM1906" s="153"/>
      <c r="BN1906" s="153"/>
      <c r="BO1906" s="153"/>
      <c r="BP1906" s="153"/>
      <c r="BQ1906" s="153"/>
      <c r="BR1906" s="153"/>
      <c r="BS1906" s="153"/>
      <c r="BT1906" s="153"/>
      <c r="BU1906" s="153"/>
      <c r="BV1906" s="153"/>
      <c r="BW1906" s="153"/>
      <c r="BX1906" s="153"/>
      <c r="BY1906" s="153"/>
      <c r="BZ1906" s="153"/>
      <c r="CA1906" s="152"/>
      <c r="CB1906" s="152"/>
    </row>
    <row r="1907" spans="1:80" s="87" customFormat="1" x14ac:dyDescent="0.2">
      <c r="A1907" s="152"/>
      <c r="B1907" s="683"/>
      <c r="C1907" s="683"/>
      <c r="D1907" s="698"/>
      <c r="E1907" s="215"/>
      <c r="F1907" s="215"/>
      <c r="G1907" s="153"/>
      <c r="H1907" s="153"/>
      <c r="I1907" s="187">
        <v>8</v>
      </c>
      <c r="J1907" s="150" t="e">
        <f>(#REF!/I1907)*(60)</f>
        <v>#REF!</v>
      </c>
      <c r="K1907" s="150">
        <v>1</v>
      </c>
      <c r="L1907" s="656">
        <v>8</v>
      </c>
      <c r="M1907" s="661">
        <v>29702</v>
      </c>
      <c r="N1907" s="112">
        <v>5.9116917599999999E-2</v>
      </c>
      <c r="O1907" s="117">
        <v>1.0317273099999999E-3</v>
      </c>
      <c r="P1907" s="101"/>
      <c r="Q1907" s="101"/>
      <c r="R1907" s="101"/>
      <c r="S1907" s="101"/>
      <c r="T1907" s="101"/>
      <c r="U1907" s="101"/>
      <c r="V1907" s="101"/>
      <c r="W1907" s="101"/>
      <c r="X1907" s="101"/>
      <c r="Y1907" s="101"/>
      <c r="Z1907" s="110"/>
      <c r="AA1907" s="110"/>
      <c r="AB1907" s="90" t="s">
        <v>185</v>
      </c>
      <c r="AC1907" s="152"/>
      <c r="AD1907" s="223">
        <v>0.70801555499999991</v>
      </c>
      <c r="AE1907" s="223">
        <v>0.18683320499999997</v>
      </c>
      <c r="AF1907" s="223">
        <v>0.13190948</v>
      </c>
      <c r="AG1907" s="223">
        <f>0.447119595</f>
        <v>0.44711959499999998</v>
      </c>
      <c r="AH1907" s="341"/>
      <c r="AI1907" s="218"/>
      <c r="AJ1907" s="218"/>
      <c r="AK1907" s="153"/>
      <c r="AL1907" s="152"/>
      <c r="AM1907" s="152"/>
      <c r="AN1907" s="152"/>
      <c r="AO1907" s="152"/>
      <c r="AP1907" s="152"/>
      <c r="AQ1907" s="152"/>
      <c r="AR1907" s="152"/>
      <c r="AS1907" s="152"/>
      <c r="AT1907" s="152"/>
      <c r="AU1907" s="153"/>
      <c r="AV1907" s="479"/>
      <c r="AW1907" s="479"/>
      <c r="AX1907" s="442"/>
      <c r="AY1907" s="153"/>
      <c r="AZ1907" s="152"/>
      <c r="BA1907" s="152"/>
      <c r="BB1907" s="152"/>
      <c r="BC1907" s="152"/>
      <c r="BD1907" s="152"/>
      <c r="BE1907" s="152"/>
      <c r="BF1907" s="152"/>
      <c r="BG1907" s="152"/>
      <c r="BH1907" s="152"/>
      <c r="BI1907" s="153"/>
      <c r="BJ1907" s="153"/>
      <c r="BK1907" s="153"/>
      <c r="BL1907" s="153"/>
      <c r="BM1907" s="153"/>
      <c r="BN1907" s="153"/>
      <c r="BO1907" s="153"/>
      <c r="BP1907" s="153"/>
      <c r="BQ1907" s="153"/>
      <c r="BR1907" s="153"/>
      <c r="BS1907" s="153"/>
      <c r="BT1907" s="153"/>
      <c r="BU1907" s="153"/>
      <c r="BV1907" s="153"/>
      <c r="BW1907" s="153"/>
      <c r="BX1907" s="153"/>
      <c r="BY1907" s="153"/>
      <c r="BZ1907" s="153"/>
      <c r="CA1907" s="152"/>
      <c r="CB1907" s="152"/>
    </row>
    <row r="1908" spans="1:80" s="87" customFormat="1" x14ac:dyDescent="0.2">
      <c r="A1908" s="152"/>
      <c r="B1908" s="683"/>
      <c r="C1908" s="683"/>
      <c r="D1908" s="698"/>
      <c r="E1908" s="215"/>
      <c r="F1908" s="215"/>
      <c r="G1908" s="153"/>
      <c r="H1908" s="153"/>
      <c r="I1908" s="187">
        <v>8</v>
      </c>
      <c r="J1908" s="150" t="e">
        <f>(#REF!/I1908)*(60)</f>
        <v>#REF!</v>
      </c>
      <c r="K1908" s="150">
        <v>1</v>
      </c>
      <c r="L1908" s="656">
        <v>8</v>
      </c>
      <c r="M1908" s="661">
        <v>29705</v>
      </c>
      <c r="N1908" s="112">
        <v>4.2072672200000001E-2</v>
      </c>
      <c r="O1908" s="117">
        <v>1.4693980000000001E-4</v>
      </c>
      <c r="P1908" s="101"/>
      <c r="Q1908" s="101"/>
      <c r="R1908" s="101"/>
      <c r="S1908" s="101"/>
      <c r="T1908" s="101"/>
      <c r="U1908" s="101"/>
      <c r="V1908" s="101"/>
      <c r="W1908" s="101"/>
      <c r="X1908" s="101"/>
      <c r="Y1908" s="101"/>
      <c r="Z1908" s="110"/>
      <c r="AA1908" s="110"/>
      <c r="AB1908" s="90" t="s">
        <v>185</v>
      </c>
      <c r="AC1908" s="152"/>
      <c r="AD1908" s="223">
        <v>0.70801555499999991</v>
      </c>
      <c r="AE1908" s="223">
        <v>0.17007003000000001</v>
      </c>
      <c r="AF1908" s="223">
        <v>0.12076220000000001</v>
      </c>
      <c r="AG1908" s="223">
        <f>0.349588395</f>
        <v>0.349588395</v>
      </c>
      <c r="AH1908" s="341"/>
      <c r="AI1908" s="218"/>
      <c r="AJ1908" s="218"/>
      <c r="AK1908" s="153"/>
      <c r="AL1908" s="152"/>
      <c r="AM1908" s="152"/>
      <c r="AN1908" s="152"/>
      <c r="AO1908" s="152"/>
      <c r="AP1908" s="152"/>
      <c r="AQ1908" s="152"/>
      <c r="AR1908" s="152"/>
      <c r="AS1908" s="152"/>
      <c r="AT1908" s="152"/>
      <c r="AU1908" s="153"/>
      <c r="AV1908" s="479"/>
      <c r="AW1908" s="479"/>
      <c r="AX1908" s="442"/>
      <c r="AY1908" s="153"/>
      <c r="AZ1908" s="152"/>
      <c r="BA1908" s="152"/>
      <c r="BB1908" s="152"/>
      <c r="BC1908" s="152"/>
      <c r="BD1908" s="152"/>
      <c r="BE1908" s="152"/>
      <c r="BF1908" s="152"/>
      <c r="BG1908" s="152"/>
      <c r="BH1908" s="152"/>
      <c r="BI1908" s="153"/>
      <c r="BJ1908" s="153"/>
      <c r="BK1908" s="153"/>
      <c r="BL1908" s="153"/>
      <c r="BM1908" s="153"/>
      <c r="BN1908" s="153"/>
      <c r="BO1908" s="153"/>
      <c r="BP1908" s="153"/>
      <c r="BQ1908" s="153"/>
      <c r="BR1908" s="153"/>
      <c r="BS1908" s="153"/>
      <c r="BT1908" s="153"/>
      <c r="BU1908" s="153"/>
      <c r="BV1908" s="153"/>
      <c r="BW1908" s="153"/>
      <c r="BX1908" s="153"/>
      <c r="BY1908" s="153"/>
      <c r="BZ1908" s="153"/>
      <c r="CA1908" s="152"/>
      <c r="CB1908" s="152"/>
    </row>
    <row r="1909" spans="1:80" s="87" customFormat="1" x14ac:dyDescent="0.2">
      <c r="A1909" s="152"/>
      <c r="B1909" s="683"/>
      <c r="C1909" s="683"/>
      <c r="D1909" s="698"/>
      <c r="E1909" s="215"/>
      <c r="F1909" s="215"/>
      <c r="G1909" s="153"/>
      <c r="H1909" s="153"/>
      <c r="I1909" s="187">
        <v>8</v>
      </c>
      <c r="J1909" s="150" t="e">
        <f>(#REF!/I1909)*(60)</f>
        <v>#REF!</v>
      </c>
      <c r="K1909" s="150">
        <v>1</v>
      </c>
      <c r="L1909" s="656">
        <v>8</v>
      </c>
      <c r="M1909" s="661">
        <v>30060</v>
      </c>
      <c r="N1909" s="112">
        <v>4.2497362699999999E-2</v>
      </c>
      <c r="O1909" s="117">
        <v>2.8233433000000004E-3</v>
      </c>
      <c r="P1909" s="101"/>
      <c r="Q1909" s="101"/>
      <c r="R1909" s="101"/>
      <c r="S1909" s="101"/>
      <c r="T1909" s="101"/>
      <c r="U1909" s="101"/>
      <c r="V1909" s="101"/>
      <c r="W1909" s="101"/>
      <c r="X1909" s="101"/>
      <c r="Y1909" s="101"/>
      <c r="Z1909" s="110"/>
      <c r="AA1909" s="110"/>
      <c r="AB1909" s="90" t="s">
        <v>185</v>
      </c>
      <c r="AC1909" s="152"/>
      <c r="AD1909" s="223">
        <v>0.70801555499999991</v>
      </c>
      <c r="AE1909" s="223">
        <v>0.12892405499999998</v>
      </c>
      <c r="AF1909" s="223">
        <v>9.1036119999999998E-2</v>
      </c>
      <c r="AG1909" s="223">
        <f>0.466016265</f>
        <v>0.46601626499999999</v>
      </c>
      <c r="AH1909" s="341"/>
      <c r="AI1909" s="218"/>
      <c r="AJ1909" s="218"/>
      <c r="AK1909" s="153"/>
      <c r="AL1909" s="152"/>
      <c r="AM1909" s="152"/>
      <c r="AN1909" s="152"/>
      <c r="AO1909" s="152"/>
      <c r="AP1909" s="152"/>
      <c r="AQ1909" s="152"/>
      <c r="AR1909" s="152"/>
      <c r="AS1909" s="152"/>
      <c r="AT1909" s="152"/>
      <c r="AU1909" s="153"/>
      <c r="AV1909" s="479"/>
      <c r="AW1909" s="479"/>
      <c r="AX1909" s="442"/>
      <c r="AY1909" s="153"/>
      <c r="AZ1909" s="152"/>
      <c r="BA1909" s="152"/>
      <c r="BB1909" s="152"/>
      <c r="BC1909" s="152"/>
      <c r="BD1909" s="152"/>
      <c r="BE1909" s="152"/>
      <c r="BF1909" s="152"/>
      <c r="BG1909" s="152"/>
      <c r="BH1909" s="152"/>
      <c r="BI1909" s="153"/>
      <c r="BJ1909" s="153"/>
      <c r="BK1909" s="153"/>
      <c r="BL1909" s="153"/>
      <c r="BM1909" s="153"/>
      <c r="BN1909" s="153"/>
      <c r="BO1909" s="153"/>
      <c r="BP1909" s="153"/>
      <c r="BQ1909" s="153"/>
      <c r="BR1909" s="153"/>
      <c r="BS1909" s="153"/>
      <c r="BT1909" s="153"/>
      <c r="BU1909" s="153"/>
      <c r="BV1909" s="153"/>
      <c r="BW1909" s="153"/>
      <c r="BX1909" s="153"/>
      <c r="BY1909" s="153"/>
      <c r="BZ1909" s="153"/>
      <c r="CA1909" s="152"/>
      <c r="CB1909" s="152"/>
    </row>
    <row r="1910" spans="1:80" s="87" customFormat="1" x14ac:dyDescent="0.2">
      <c r="A1910" s="152"/>
      <c r="B1910" s="683"/>
      <c r="C1910" s="683"/>
      <c r="D1910" s="698"/>
      <c r="E1910" s="215"/>
      <c r="F1910" s="215"/>
      <c r="G1910" s="153"/>
      <c r="H1910" s="153"/>
      <c r="I1910" s="187">
        <v>8</v>
      </c>
      <c r="J1910" s="150" t="e">
        <f>(#REF!/I1910)*(60)</f>
        <v>#REF!</v>
      </c>
      <c r="K1910" s="150">
        <v>1</v>
      </c>
      <c r="L1910" s="656">
        <v>6</v>
      </c>
      <c r="M1910" s="661">
        <v>30061</v>
      </c>
      <c r="N1910" s="112">
        <v>4.06004118E-2</v>
      </c>
      <c r="O1910" s="117">
        <v>2.0886443000000003E-3</v>
      </c>
      <c r="P1910" s="101"/>
      <c r="Q1910" s="101"/>
      <c r="R1910" s="101"/>
      <c r="S1910" s="101"/>
      <c r="T1910" s="101"/>
      <c r="U1910" s="101"/>
      <c r="V1910" s="101"/>
      <c r="W1910" s="101"/>
      <c r="X1910" s="101"/>
      <c r="Y1910" s="101"/>
      <c r="Z1910" s="110"/>
      <c r="AA1910" s="110"/>
      <c r="AB1910" s="90" t="s">
        <v>185</v>
      </c>
      <c r="AC1910" s="152"/>
      <c r="AD1910" s="223">
        <v>0.70801555499999991</v>
      </c>
      <c r="AE1910" s="223">
        <v>0.13258147499999998</v>
      </c>
      <c r="AF1910" s="223">
        <v>9.3822940000000007E-2</v>
      </c>
      <c r="AG1910" s="223">
        <f>0.432489915</f>
        <v>0.432489915</v>
      </c>
      <c r="AH1910" s="341"/>
      <c r="AI1910" s="218"/>
      <c r="AJ1910" s="218"/>
      <c r="AK1910" s="153"/>
      <c r="AL1910" s="152"/>
      <c r="AM1910" s="152"/>
      <c r="AN1910" s="152"/>
      <c r="AO1910" s="152"/>
      <c r="AP1910" s="152"/>
      <c r="AQ1910" s="152"/>
      <c r="AR1910" s="152"/>
      <c r="AS1910" s="152"/>
      <c r="AT1910" s="152"/>
      <c r="AU1910" s="153"/>
      <c r="AV1910" s="479"/>
      <c r="AW1910" s="479"/>
      <c r="AX1910" s="442"/>
      <c r="AY1910" s="153"/>
      <c r="AZ1910" s="152"/>
      <c r="BA1910" s="152"/>
      <c r="BB1910" s="152"/>
      <c r="BC1910" s="152"/>
      <c r="BD1910" s="152"/>
      <c r="BE1910" s="152"/>
      <c r="BF1910" s="152"/>
      <c r="BG1910" s="152"/>
      <c r="BH1910" s="152"/>
      <c r="BI1910" s="153"/>
      <c r="BJ1910" s="153"/>
      <c r="BK1910" s="153"/>
      <c r="BL1910" s="153"/>
      <c r="BM1910" s="153"/>
      <c r="BN1910" s="153"/>
      <c r="BO1910" s="153"/>
      <c r="BP1910" s="153"/>
      <c r="BQ1910" s="153"/>
      <c r="BR1910" s="153"/>
      <c r="BS1910" s="153"/>
      <c r="BT1910" s="153"/>
      <c r="BU1910" s="153"/>
      <c r="BV1910" s="153"/>
      <c r="BW1910" s="153"/>
      <c r="BX1910" s="153"/>
      <c r="BY1910" s="153"/>
      <c r="BZ1910" s="153"/>
      <c r="CA1910" s="152"/>
      <c r="CB1910" s="152"/>
    </row>
    <row r="1911" spans="1:80" s="87" customFormat="1" x14ac:dyDescent="0.2">
      <c r="A1911" s="152"/>
      <c r="B1911" s="683"/>
      <c r="C1911" s="683"/>
      <c r="D1911" s="698"/>
      <c r="E1911" s="215"/>
      <c r="F1911" s="215"/>
      <c r="G1911" s="153"/>
      <c r="H1911" s="153"/>
      <c r="I1911" s="187">
        <v>8</v>
      </c>
      <c r="J1911" s="150" t="e">
        <f>(#REF!/I1911)*(60)</f>
        <v>#REF!</v>
      </c>
      <c r="K1911" s="150">
        <v>1</v>
      </c>
      <c r="L1911" s="656">
        <v>8</v>
      </c>
      <c r="M1911" s="661">
        <v>30064</v>
      </c>
      <c r="N1911" s="112">
        <v>9.5442111699999999E-2</v>
      </c>
      <c r="O1911" s="117">
        <v>2.3615325000000001E-3</v>
      </c>
      <c r="P1911" s="101"/>
      <c r="Q1911" s="101"/>
      <c r="R1911" s="101"/>
      <c r="S1911" s="101"/>
      <c r="T1911" s="101"/>
      <c r="U1911" s="101"/>
      <c r="V1911" s="101"/>
      <c r="W1911" s="101"/>
      <c r="X1911" s="101"/>
      <c r="Y1911" s="101"/>
      <c r="Z1911" s="110"/>
      <c r="AA1911" s="110"/>
      <c r="AB1911" s="90" t="s">
        <v>185</v>
      </c>
      <c r="AC1911" s="152"/>
      <c r="AD1911" s="223">
        <v>0.70801555499999991</v>
      </c>
      <c r="AE1911" s="223">
        <v>0.23407487999999999</v>
      </c>
      <c r="AF1911" s="223">
        <v>0.16535132000000002</v>
      </c>
      <c r="AG1911" s="223">
        <f>0.576348435</f>
        <v>0.57634843499999999</v>
      </c>
      <c r="AH1911" s="341"/>
      <c r="AI1911" s="218"/>
      <c r="AJ1911" s="218"/>
      <c r="AK1911" s="153"/>
      <c r="AL1911" s="152"/>
      <c r="AM1911" s="152"/>
      <c r="AN1911" s="152"/>
      <c r="AO1911" s="152"/>
      <c r="AP1911" s="152"/>
      <c r="AQ1911" s="152"/>
      <c r="AR1911" s="152"/>
      <c r="AS1911" s="152"/>
      <c r="AT1911" s="152"/>
      <c r="AU1911" s="153"/>
      <c r="AV1911" s="479"/>
      <c r="AW1911" s="479"/>
      <c r="AX1911" s="442"/>
      <c r="AY1911" s="153"/>
      <c r="AZ1911" s="152"/>
      <c r="BA1911" s="152"/>
      <c r="BB1911" s="152"/>
      <c r="BC1911" s="152"/>
      <c r="BD1911" s="152"/>
      <c r="BE1911" s="152"/>
      <c r="BF1911" s="152"/>
      <c r="BG1911" s="152"/>
      <c r="BH1911" s="152"/>
      <c r="BI1911" s="153"/>
      <c r="BJ1911" s="153"/>
      <c r="BK1911" s="153"/>
      <c r="BL1911" s="153"/>
      <c r="BM1911" s="153"/>
      <c r="BN1911" s="153"/>
      <c r="BO1911" s="153"/>
      <c r="BP1911" s="153"/>
      <c r="BQ1911" s="153"/>
      <c r="BR1911" s="153"/>
      <c r="BS1911" s="153"/>
      <c r="BT1911" s="153"/>
      <c r="BU1911" s="153"/>
      <c r="BV1911" s="153"/>
      <c r="BW1911" s="153"/>
      <c r="BX1911" s="153"/>
      <c r="BY1911" s="153"/>
      <c r="BZ1911" s="153"/>
      <c r="CA1911" s="152"/>
      <c r="CB1911" s="152"/>
    </row>
    <row r="1912" spans="1:80" s="87" customFormat="1" x14ac:dyDescent="0.2">
      <c r="A1912" s="152"/>
      <c r="B1912" s="683"/>
      <c r="C1912" s="683"/>
      <c r="D1912" s="698"/>
      <c r="E1912" s="215"/>
      <c r="F1912" s="215"/>
      <c r="G1912" s="153"/>
      <c r="H1912" s="153"/>
      <c r="I1912" s="187">
        <v>8</v>
      </c>
      <c r="J1912" s="150" t="e">
        <f>(#REF!/I1912)*(60)</f>
        <v>#REF!</v>
      </c>
      <c r="K1912" s="150">
        <v>1</v>
      </c>
      <c r="L1912" s="656">
        <v>8</v>
      </c>
      <c r="M1912" s="661">
        <v>30065</v>
      </c>
      <c r="N1912" s="112">
        <v>9.3828287800000007E-2</v>
      </c>
      <c r="O1912" s="117">
        <v>6.5808039000000004E-3</v>
      </c>
      <c r="P1912" s="101"/>
      <c r="Q1912" s="101"/>
      <c r="R1912" s="101"/>
      <c r="S1912" s="101"/>
      <c r="T1912" s="101"/>
      <c r="U1912" s="101"/>
      <c r="V1912" s="101"/>
      <c r="W1912" s="101"/>
      <c r="X1912" s="101"/>
      <c r="Y1912" s="101"/>
      <c r="Z1912" s="110"/>
      <c r="AA1912" s="110"/>
      <c r="AB1912" s="90" t="s">
        <v>185</v>
      </c>
      <c r="AC1912" s="152"/>
      <c r="AD1912" s="223">
        <v>0.70801555499999991</v>
      </c>
      <c r="AE1912" s="223">
        <v>0.22066433999999999</v>
      </c>
      <c r="AF1912" s="223">
        <v>0.15606191999999999</v>
      </c>
      <c r="AG1912" s="223">
        <f>0.600731235</f>
        <v>0.60073123500000003</v>
      </c>
      <c r="AH1912" s="341"/>
      <c r="AI1912" s="218"/>
      <c r="AJ1912" s="218"/>
      <c r="AK1912" s="153"/>
      <c r="AL1912" s="152"/>
      <c r="AM1912" s="152"/>
      <c r="AN1912" s="152"/>
      <c r="AO1912" s="152"/>
      <c r="AP1912" s="152"/>
      <c r="AQ1912" s="152"/>
      <c r="AR1912" s="152"/>
      <c r="AS1912" s="152"/>
      <c r="AT1912" s="152"/>
      <c r="AU1912" s="153"/>
      <c r="AV1912" s="479"/>
      <c r="AW1912" s="479"/>
      <c r="AX1912" s="442"/>
      <c r="AY1912" s="153"/>
      <c r="AZ1912" s="152"/>
      <c r="BA1912" s="152"/>
      <c r="BB1912" s="152"/>
      <c r="BC1912" s="152"/>
      <c r="BD1912" s="152"/>
      <c r="BE1912" s="152"/>
      <c r="BF1912" s="152"/>
      <c r="BG1912" s="152"/>
      <c r="BH1912" s="152"/>
      <c r="BI1912" s="153"/>
      <c r="BJ1912" s="153"/>
      <c r="BK1912" s="153"/>
      <c r="BL1912" s="153"/>
      <c r="BM1912" s="153"/>
      <c r="BN1912" s="153"/>
      <c r="BO1912" s="153"/>
      <c r="BP1912" s="153"/>
      <c r="BQ1912" s="153"/>
      <c r="BR1912" s="153"/>
      <c r="BS1912" s="153"/>
      <c r="BT1912" s="153"/>
      <c r="BU1912" s="153"/>
      <c r="BV1912" s="153"/>
      <c r="BW1912" s="153"/>
      <c r="BX1912" s="153"/>
      <c r="BY1912" s="153"/>
      <c r="BZ1912" s="153"/>
      <c r="CA1912" s="152"/>
      <c r="CB1912" s="152"/>
    </row>
    <row r="1913" spans="1:80" s="87" customFormat="1" x14ac:dyDescent="0.2">
      <c r="A1913" s="152"/>
      <c r="B1913" s="683"/>
      <c r="C1913" s="683"/>
      <c r="D1913" s="698"/>
      <c r="E1913" s="215"/>
      <c r="F1913" s="215"/>
      <c r="G1913" s="153"/>
      <c r="H1913" s="153"/>
      <c r="I1913" s="187">
        <v>8</v>
      </c>
      <c r="J1913" s="150" t="e">
        <f>(#REF!/I1913)*(60)</f>
        <v>#REF!</v>
      </c>
      <c r="K1913" s="150">
        <v>1</v>
      </c>
      <c r="L1913" s="656">
        <v>8</v>
      </c>
      <c r="M1913" s="661">
        <v>30068</v>
      </c>
      <c r="N1913" s="112">
        <v>0.11591219380000001</v>
      </c>
      <c r="O1913" s="117">
        <v>1.8472432E-3</v>
      </c>
      <c r="P1913" s="101"/>
      <c r="Q1913" s="101"/>
      <c r="R1913" s="101"/>
      <c r="S1913" s="101"/>
      <c r="T1913" s="101"/>
      <c r="U1913" s="101"/>
      <c r="V1913" s="101"/>
      <c r="W1913" s="101"/>
      <c r="X1913" s="101"/>
      <c r="Y1913" s="101"/>
      <c r="Z1913" s="110"/>
      <c r="AA1913" s="110"/>
      <c r="AB1913" s="90" t="s">
        <v>185</v>
      </c>
      <c r="AC1913" s="152"/>
      <c r="AD1913" s="223">
        <v>0.70801555499999991</v>
      </c>
      <c r="AE1913" s="223">
        <v>0.26485816499999998</v>
      </c>
      <c r="AF1913" s="223">
        <v>0.18764588000000001</v>
      </c>
      <c r="AG1913" s="223">
        <f>0.61810398</f>
        <v>0.61810398</v>
      </c>
      <c r="AH1913" s="341"/>
      <c r="AI1913" s="218"/>
      <c r="AJ1913" s="218"/>
      <c r="AK1913" s="153"/>
      <c r="AL1913" s="152"/>
      <c r="AM1913" s="152"/>
      <c r="AN1913" s="152"/>
      <c r="AO1913" s="152"/>
      <c r="AP1913" s="152"/>
      <c r="AQ1913" s="152"/>
      <c r="AR1913" s="152"/>
      <c r="AS1913" s="152"/>
      <c r="AT1913" s="152"/>
      <c r="AU1913" s="153"/>
      <c r="AV1913" s="479"/>
      <c r="AW1913" s="479"/>
      <c r="AX1913" s="442"/>
      <c r="AY1913" s="153"/>
      <c r="AZ1913" s="152"/>
      <c r="BA1913" s="152"/>
      <c r="BB1913" s="152"/>
      <c r="BC1913" s="152"/>
      <c r="BD1913" s="152"/>
      <c r="BE1913" s="152"/>
      <c r="BF1913" s="152"/>
      <c r="BG1913" s="152"/>
      <c r="BH1913" s="152"/>
      <c r="BI1913" s="153"/>
      <c r="BJ1913" s="153"/>
      <c r="BK1913" s="153"/>
      <c r="BL1913" s="153"/>
      <c r="BM1913" s="153"/>
      <c r="BN1913" s="153"/>
      <c r="BO1913" s="153"/>
      <c r="BP1913" s="153"/>
      <c r="BQ1913" s="153"/>
      <c r="BR1913" s="153"/>
      <c r="BS1913" s="153"/>
      <c r="BT1913" s="153"/>
      <c r="BU1913" s="153"/>
      <c r="BV1913" s="153"/>
      <c r="BW1913" s="153"/>
      <c r="BX1913" s="153"/>
      <c r="BY1913" s="153"/>
      <c r="BZ1913" s="153"/>
      <c r="CA1913" s="152"/>
      <c r="CB1913" s="152"/>
    </row>
    <row r="1914" spans="1:80" s="87" customFormat="1" x14ac:dyDescent="0.2">
      <c r="A1914" s="152"/>
      <c r="B1914" s="683"/>
      <c r="C1914" s="683"/>
      <c r="D1914" s="698"/>
      <c r="E1914" s="215"/>
      <c r="F1914" s="215"/>
      <c r="G1914" s="153"/>
      <c r="H1914" s="153"/>
      <c r="I1914" s="187">
        <v>8</v>
      </c>
      <c r="J1914" s="150" t="e">
        <f>(#REF!/I1914)*(60)</f>
        <v>#REF!</v>
      </c>
      <c r="K1914" s="150">
        <v>1</v>
      </c>
      <c r="L1914" s="656">
        <v>8</v>
      </c>
      <c r="M1914" s="661">
        <v>30069</v>
      </c>
      <c r="N1914" s="112">
        <v>0.1459519685</v>
      </c>
      <c r="O1914" s="117">
        <v>1.5428678999999999E-3</v>
      </c>
      <c r="P1914" s="101"/>
      <c r="Q1914" s="101"/>
      <c r="R1914" s="101"/>
      <c r="S1914" s="101"/>
      <c r="T1914" s="101"/>
      <c r="U1914" s="101"/>
      <c r="V1914" s="101"/>
      <c r="W1914" s="101"/>
      <c r="X1914" s="101"/>
      <c r="Y1914" s="101"/>
      <c r="Z1914" s="110"/>
      <c r="AA1914" s="110"/>
      <c r="AB1914" s="90" t="s">
        <v>185</v>
      </c>
      <c r="AC1914" s="152"/>
      <c r="AD1914" s="154"/>
      <c r="AE1914" s="154"/>
      <c r="AF1914" s="154"/>
      <c r="AG1914" s="154"/>
      <c r="AH1914" s="341"/>
      <c r="AI1914" s="218"/>
      <c r="AJ1914" s="218"/>
      <c r="AK1914" s="153"/>
      <c r="AL1914" s="152"/>
      <c r="AM1914" s="152"/>
      <c r="AN1914" s="152"/>
      <c r="AO1914" s="152"/>
      <c r="AP1914" s="152"/>
      <c r="AQ1914" s="152"/>
      <c r="AR1914" s="152"/>
      <c r="AS1914" s="152"/>
      <c r="AT1914" s="152"/>
      <c r="AU1914" s="153"/>
      <c r="AV1914" s="479"/>
      <c r="AW1914" s="479"/>
      <c r="AX1914" s="442"/>
      <c r="AY1914" s="153"/>
      <c r="AZ1914" s="152"/>
      <c r="BA1914" s="152"/>
      <c r="BB1914" s="152"/>
      <c r="BC1914" s="152"/>
      <c r="BD1914" s="152"/>
      <c r="BE1914" s="152"/>
      <c r="BF1914" s="152"/>
      <c r="BG1914" s="152"/>
      <c r="BH1914" s="152"/>
      <c r="BI1914" s="153"/>
      <c r="BJ1914" s="153"/>
      <c r="BK1914" s="153"/>
      <c r="BL1914" s="153"/>
      <c r="BM1914" s="153"/>
      <c r="BN1914" s="153"/>
      <c r="BO1914" s="153"/>
      <c r="BP1914" s="153"/>
      <c r="BQ1914" s="153"/>
      <c r="BR1914" s="153"/>
      <c r="BS1914" s="153"/>
      <c r="BT1914" s="153"/>
      <c r="BU1914" s="153"/>
      <c r="BV1914" s="153"/>
      <c r="BW1914" s="153"/>
      <c r="BX1914" s="153"/>
      <c r="BY1914" s="153"/>
      <c r="BZ1914" s="153"/>
      <c r="CA1914" s="152"/>
      <c r="CB1914" s="152"/>
    </row>
    <row r="1915" spans="1:80" s="87" customFormat="1" x14ac:dyDescent="0.2">
      <c r="A1915" s="152"/>
      <c r="B1915" s="683"/>
      <c r="C1915" s="683"/>
      <c r="D1915" s="698"/>
      <c r="E1915" s="215"/>
      <c r="F1915" s="215"/>
      <c r="G1915" s="153"/>
      <c r="H1915" s="153"/>
      <c r="I1915" s="187">
        <v>8</v>
      </c>
      <c r="J1915" s="150" t="e">
        <f>(#REF!/I1915)*(60)</f>
        <v>#REF!</v>
      </c>
      <c r="K1915" s="150">
        <v>1</v>
      </c>
      <c r="L1915" s="656">
        <v>8</v>
      </c>
      <c r="M1915" s="661">
        <v>30072</v>
      </c>
      <c r="N1915" s="112">
        <v>0.15883424700000001</v>
      </c>
      <c r="O1915" s="117">
        <v>7.116084600000001E-3</v>
      </c>
      <c r="P1915" s="101"/>
      <c r="Q1915" s="101"/>
      <c r="R1915" s="101"/>
      <c r="S1915" s="101"/>
      <c r="T1915" s="101"/>
      <c r="U1915" s="101"/>
      <c r="V1915" s="101"/>
      <c r="W1915" s="101"/>
      <c r="X1915" s="101"/>
      <c r="Y1915" s="101"/>
      <c r="Z1915" s="110"/>
      <c r="AA1915" s="110"/>
      <c r="AB1915" s="90" t="s">
        <v>185</v>
      </c>
      <c r="AC1915" s="152"/>
      <c r="AD1915" s="223">
        <v>0.70801555499999991</v>
      </c>
      <c r="AE1915" s="223">
        <v>0.34074963000000003</v>
      </c>
      <c r="AF1915" s="223">
        <v>0.24152440000000003</v>
      </c>
      <c r="AG1915" s="223">
        <f>0.658640385</f>
        <v>0.65864038499999999</v>
      </c>
      <c r="AH1915" s="341"/>
      <c r="AI1915" s="218"/>
      <c r="AJ1915" s="218"/>
      <c r="AK1915" s="153"/>
      <c r="AL1915" s="152"/>
      <c r="AM1915" s="152"/>
      <c r="AN1915" s="152"/>
      <c r="AO1915" s="152"/>
      <c r="AP1915" s="152"/>
      <c r="AQ1915" s="152"/>
      <c r="AR1915" s="152"/>
      <c r="AS1915" s="152"/>
      <c r="AT1915" s="152"/>
      <c r="AU1915" s="153"/>
      <c r="AV1915" s="479"/>
      <c r="AW1915" s="479"/>
      <c r="AX1915" s="442"/>
      <c r="AY1915" s="153"/>
      <c r="AZ1915" s="152"/>
      <c r="BA1915" s="152"/>
      <c r="BB1915" s="152"/>
      <c r="BC1915" s="152"/>
      <c r="BD1915" s="152"/>
      <c r="BE1915" s="152"/>
      <c r="BF1915" s="152"/>
      <c r="BG1915" s="152"/>
      <c r="BH1915" s="152"/>
      <c r="BI1915" s="153"/>
      <c r="BJ1915" s="153"/>
      <c r="BK1915" s="153"/>
      <c r="BL1915" s="153"/>
      <c r="BM1915" s="153"/>
      <c r="BN1915" s="153"/>
      <c r="BO1915" s="153"/>
      <c r="BP1915" s="153"/>
      <c r="BQ1915" s="153"/>
      <c r="BR1915" s="153"/>
      <c r="BS1915" s="153"/>
      <c r="BT1915" s="153"/>
      <c r="BU1915" s="153"/>
      <c r="BV1915" s="153"/>
      <c r="BW1915" s="153"/>
      <c r="BX1915" s="153"/>
      <c r="BY1915" s="153"/>
      <c r="BZ1915" s="153"/>
      <c r="CA1915" s="152"/>
      <c r="CB1915" s="152"/>
    </row>
    <row r="1916" spans="1:80" s="87" customFormat="1" x14ac:dyDescent="0.2">
      <c r="A1916" s="152"/>
      <c r="B1916" s="683"/>
      <c r="C1916" s="683"/>
      <c r="D1916" s="698"/>
      <c r="E1916" s="215"/>
      <c r="F1916" s="215"/>
      <c r="G1916" s="153"/>
      <c r="H1916" s="153"/>
      <c r="I1916" s="187">
        <v>8</v>
      </c>
      <c r="J1916" s="150" t="e">
        <f>(#REF!/I1916)*(60)</f>
        <v>#REF!</v>
      </c>
      <c r="K1916" s="150">
        <v>1</v>
      </c>
      <c r="L1916" s="656">
        <v>8</v>
      </c>
      <c r="M1916" s="661">
        <v>30073</v>
      </c>
      <c r="N1916" s="112">
        <v>0.16316609009999999</v>
      </c>
      <c r="O1916" s="117">
        <v>4.3452198000000003E-3</v>
      </c>
      <c r="P1916" s="101"/>
      <c r="Q1916" s="101"/>
      <c r="R1916" s="101"/>
      <c r="S1916" s="101"/>
      <c r="T1916" s="101"/>
      <c r="U1916" s="101"/>
      <c r="V1916" s="101"/>
      <c r="W1916" s="101"/>
      <c r="X1916" s="101"/>
      <c r="Y1916" s="101"/>
      <c r="Z1916" s="110"/>
      <c r="AA1916" s="110"/>
      <c r="AB1916" s="90" t="s">
        <v>185</v>
      </c>
      <c r="AC1916" s="152"/>
      <c r="AD1916" s="223">
        <v>0.70801555499999991</v>
      </c>
      <c r="AE1916" s="223">
        <v>0.33373957499999996</v>
      </c>
      <c r="AF1916" s="223">
        <v>0.23595076000000001</v>
      </c>
      <c r="AG1916" s="223">
        <f>0.69064281</f>
        <v>0.69064281000000005</v>
      </c>
      <c r="AH1916" s="341"/>
      <c r="AI1916" s="218"/>
      <c r="AJ1916" s="218"/>
      <c r="AK1916" s="153"/>
      <c r="AL1916" s="152"/>
      <c r="AM1916" s="152"/>
      <c r="AN1916" s="152"/>
      <c r="AO1916" s="152"/>
      <c r="AP1916" s="152"/>
      <c r="AQ1916" s="152"/>
      <c r="AR1916" s="152"/>
      <c r="AS1916" s="152"/>
      <c r="AT1916" s="152"/>
      <c r="AU1916" s="153"/>
      <c r="AV1916" s="479"/>
      <c r="AW1916" s="479"/>
      <c r="AX1916" s="442"/>
      <c r="AY1916" s="153"/>
      <c r="AZ1916" s="152"/>
      <c r="BA1916" s="152"/>
      <c r="BB1916" s="152"/>
      <c r="BC1916" s="152"/>
      <c r="BD1916" s="152"/>
      <c r="BE1916" s="152"/>
      <c r="BF1916" s="152"/>
      <c r="BG1916" s="152"/>
      <c r="BH1916" s="152"/>
      <c r="BI1916" s="153"/>
      <c r="BJ1916" s="153"/>
      <c r="BK1916" s="153"/>
      <c r="BL1916" s="153"/>
      <c r="BM1916" s="153"/>
      <c r="BN1916" s="153"/>
      <c r="BO1916" s="153"/>
      <c r="BP1916" s="153"/>
      <c r="BQ1916" s="153"/>
      <c r="BR1916" s="153"/>
      <c r="BS1916" s="153"/>
      <c r="BT1916" s="153"/>
      <c r="BU1916" s="153"/>
      <c r="BV1916" s="153"/>
      <c r="BW1916" s="153"/>
      <c r="BX1916" s="153"/>
      <c r="BY1916" s="153"/>
      <c r="BZ1916" s="153"/>
      <c r="CA1916" s="152"/>
      <c r="CB1916" s="152"/>
    </row>
    <row r="1917" spans="1:80" s="87" customFormat="1" x14ac:dyDescent="0.2">
      <c r="A1917" s="152"/>
      <c r="B1917" s="683"/>
      <c r="C1917" s="683"/>
      <c r="D1917" s="698"/>
      <c r="E1917" s="215"/>
      <c r="F1917" s="215"/>
      <c r="G1917" s="153"/>
      <c r="H1917" s="153"/>
      <c r="I1917" s="187">
        <v>8</v>
      </c>
      <c r="J1917" s="150" t="e">
        <f>(#REF!/I1917)*(60)</f>
        <v>#REF!</v>
      </c>
      <c r="K1917" s="150">
        <v>1</v>
      </c>
      <c r="L1917" s="656">
        <v>8</v>
      </c>
      <c r="M1917" s="661">
        <v>30075</v>
      </c>
      <c r="N1917" s="112">
        <v>0.17947420530000002</v>
      </c>
      <c r="O1917" s="117">
        <v>2.8548304000000002E-3</v>
      </c>
      <c r="P1917" s="101"/>
      <c r="Q1917" s="101"/>
      <c r="R1917" s="101"/>
      <c r="S1917" s="101"/>
      <c r="T1917" s="101"/>
      <c r="U1917" s="101"/>
      <c r="V1917" s="101"/>
      <c r="W1917" s="101"/>
      <c r="X1917" s="101"/>
      <c r="Y1917" s="101"/>
      <c r="Z1917" s="110"/>
      <c r="AA1917" s="110"/>
      <c r="AB1917" s="90" t="s">
        <v>185</v>
      </c>
      <c r="AC1917" s="152"/>
      <c r="AD1917" s="223">
        <v>0.70801555499999991</v>
      </c>
      <c r="AE1917" s="223">
        <v>0.32886301499999998</v>
      </c>
      <c r="AF1917" s="223">
        <v>0.23316393999999999</v>
      </c>
      <c r="AG1917" s="223">
        <f>0.77110605</f>
        <v>0.77110604999999999</v>
      </c>
      <c r="AH1917" s="341"/>
      <c r="AI1917" s="218"/>
      <c r="AJ1917" s="218"/>
      <c r="AK1917" s="153"/>
      <c r="AL1917" s="152"/>
      <c r="AM1917" s="152"/>
      <c r="AN1917" s="152"/>
      <c r="AO1917" s="152"/>
      <c r="AP1917" s="152"/>
      <c r="AQ1917" s="152"/>
      <c r="AR1917" s="152"/>
      <c r="AS1917" s="152"/>
      <c r="AT1917" s="152"/>
      <c r="AU1917" s="153"/>
      <c r="AV1917" s="479"/>
      <c r="AW1917" s="479"/>
      <c r="AX1917" s="442"/>
      <c r="AY1917" s="153"/>
      <c r="AZ1917" s="152"/>
      <c r="BA1917" s="152"/>
      <c r="BB1917" s="152"/>
      <c r="BC1917" s="152"/>
      <c r="BD1917" s="152"/>
      <c r="BE1917" s="152"/>
      <c r="BF1917" s="152"/>
      <c r="BG1917" s="152"/>
      <c r="BH1917" s="152"/>
      <c r="BI1917" s="153"/>
      <c r="BJ1917" s="153"/>
      <c r="BK1917" s="153"/>
      <c r="BL1917" s="153"/>
      <c r="BM1917" s="153"/>
      <c r="BN1917" s="153"/>
      <c r="BO1917" s="153"/>
      <c r="BP1917" s="153"/>
      <c r="BQ1917" s="153"/>
      <c r="BR1917" s="153"/>
      <c r="BS1917" s="153"/>
      <c r="BT1917" s="153"/>
      <c r="BU1917" s="153"/>
      <c r="BV1917" s="153"/>
      <c r="BW1917" s="153"/>
      <c r="BX1917" s="153"/>
      <c r="BY1917" s="153"/>
      <c r="BZ1917" s="153"/>
      <c r="CA1917" s="152"/>
      <c r="CB1917" s="152"/>
    </row>
    <row r="1918" spans="1:80" s="87" customFormat="1" x14ac:dyDescent="0.2">
      <c r="A1918" s="152"/>
      <c r="B1918" s="683"/>
      <c r="C1918" s="683"/>
      <c r="D1918" s="698"/>
      <c r="E1918" s="215"/>
      <c r="F1918" s="215"/>
      <c r="G1918" s="153"/>
      <c r="H1918" s="153"/>
      <c r="I1918" s="187">
        <v>8</v>
      </c>
      <c r="J1918" s="150" t="e">
        <f>(#REF!/I1918)*(60)</f>
        <v>#REF!</v>
      </c>
      <c r="K1918" s="150">
        <v>1</v>
      </c>
      <c r="L1918" s="656">
        <v>8</v>
      </c>
      <c r="M1918" s="661">
        <v>30079</v>
      </c>
      <c r="N1918" s="112">
        <v>0.1307763613</v>
      </c>
      <c r="O1918" s="117">
        <v>1.4798936999999999E-3</v>
      </c>
      <c r="P1918" s="101"/>
      <c r="Q1918" s="101"/>
      <c r="R1918" s="101"/>
      <c r="S1918" s="101"/>
      <c r="T1918" s="101"/>
      <c r="U1918" s="101"/>
      <c r="V1918" s="101"/>
      <c r="W1918" s="101"/>
      <c r="X1918" s="101"/>
      <c r="Y1918" s="101"/>
      <c r="Z1918" s="110"/>
      <c r="AA1918" s="110"/>
      <c r="AB1918" s="90" t="s">
        <v>185</v>
      </c>
      <c r="AC1918" s="152"/>
      <c r="AD1918" s="223">
        <v>0.70801555499999991</v>
      </c>
      <c r="AE1918" s="223">
        <v>0.28375483499999998</v>
      </c>
      <c r="AF1918" s="223">
        <v>0.20065104000000003</v>
      </c>
      <c r="AG1918" s="223">
        <f>0.650715975</f>
        <v>0.650715975</v>
      </c>
      <c r="AH1918" s="341"/>
      <c r="AI1918" s="218"/>
      <c r="AJ1918" s="218"/>
      <c r="AK1918" s="153"/>
      <c r="AL1918" s="152"/>
      <c r="AM1918" s="152"/>
      <c r="AN1918" s="152"/>
      <c r="AO1918" s="152"/>
      <c r="AP1918" s="152"/>
      <c r="AQ1918" s="152"/>
      <c r="AR1918" s="152"/>
      <c r="AS1918" s="152"/>
      <c r="AT1918" s="152"/>
      <c r="AU1918" s="153"/>
      <c r="AV1918" s="479"/>
      <c r="AW1918" s="479"/>
      <c r="AX1918" s="442"/>
      <c r="AY1918" s="153"/>
      <c r="AZ1918" s="152"/>
      <c r="BA1918" s="152"/>
      <c r="BB1918" s="152"/>
      <c r="BC1918" s="152"/>
      <c r="BD1918" s="152"/>
      <c r="BE1918" s="152"/>
      <c r="BF1918" s="152"/>
      <c r="BG1918" s="152"/>
      <c r="BH1918" s="152"/>
      <c r="BI1918" s="153"/>
      <c r="BJ1918" s="153"/>
      <c r="BK1918" s="153"/>
      <c r="BL1918" s="153"/>
      <c r="BM1918" s="153"/>
      <c r="BN1918" s="153"/>
      <c r="BO1918" s="153"/>
      <c r="BP1918" s="153"/>
      <c r="BQ1918" s="153"/>
      <c r="BR1918" s="153"/>
      <c r="BS1918" s="153"/>
      <c r="BT1918" s="153"/>
      <c r="BU1918" s="153"/>
      <c r="BV1918" s="153"/>
      <c r="BW1918" s="153"/>
      <c r="BX1918" s="153"/>
      <c r="BY1918" s="153"/>
      <c r="BZ1918" s="153"/>
      <c r="CA1918" s="152"/>
      <c r="CB1918" s="152"/>
    </row>
    <row r="1919" spans="1:80" s="87" customFormat="1" x14ac:dyDescent="0.2">
      <c r="A1919" s="152"/>
      <c r="B1919" s="683"/>
      <c r="C1919" s="683"/>
      <c r="D1919" s="698"/>
      <c r="E1919" s="215"/>
      <c r="F1919" s="215"/>
      <c r="G1919" s="153"/>
      <c r="H1919" s="153"/>
      <c r="I1919" s="187">
        <v>8</v>
      </c>
      <c r="J1919" s="150" t="e">
        <f>(#REF!/I1919)*(60)</f>
        <v>#REF!</v>
      </c>
      <c r="K1919" s="150">
        <v>1</v>
      </c>
      <c r="L1919" s="656">
        <v>8</v>
      </c>
      <c r="M1919" s="661">
        <v>30080</v>
      </c>
      <c r="N1919" s="112">
        <v>0.12004584800000001</v>
      </c>
      <c r="O1919" s="117">
        <v>1.5113807999999999E-3</v>
      </c>
      <c r="P1919" s="101"/>
      <c r="Q1919" s="101"/>
      <c r="R1919" s="101"/>
      <c r="S1919" s="101"/>
      <c r="T1919" s="101"/>
      <c r="U1919" s="101"/>
      <c r="V1919" s="101"/>
      <c r="W1919" s="101"/>
      <c r="X1919" s="101"/>
      <c r="Y1919" s="101"/>
      <c r="Z1919" s="110"/>
      <c r="AA1919" s="110"/>
      <c r="AB1919" s="90" t="s">
        <v>185</v>
      </c>
      <c r="AC1919" s="152"/>
      <c r="AD1919" s="223">
        <v>0.70801555499999991</v>
      </c>
      <c r="AE1919" s="223">
        <v>0.27430650000000001</v>
      </c>
      <c r="AF1919" s="223">
        <v>0.19414845999999999</v>
      </c>
      <c r="AG1919" s="223">
        <f>0.61810398</f>
        <v>0.61810398</v>
      </c>
      <c r="AH1919" s="341"/>
      <c r="AI1919" s="218"/>
      <c r="AJ1919" s="218"/>
      <c r="AK1919" s="153"/>
      <c r="AL1919" s="152"/>
      <c r="AM1919" s="152"/>
      <c r="AN1919" s="152"/>
      <c r="AO1919" s="152"/>
      <c r="AP1919" s="152"/>
      <c r="AQ1919" s="152"/>
      <c r="AR1919" s="152"/>
      <c r="AS1919" s="152"/>
      <c r="AT1919" s="152"/>
      <c r="AU1919" s="153"/>
      <c r="AV1919" s="479"/>
      <c r="AW1919" s="479"/>
      <c r="AX1919" s="442"/>
      <c r="AY1919" s="153"/>
      <c r="AZ1919" s="152"/>
      <c r="BA1919" s="152"/>
      <c r="BB1919" s="152"/>
      <c r="BC1919" s="152"/>
      <c r="BD1919" s="152"/>
      <c r="BE1919" s="152"/>
      <c r="BF1919" s="152"/>
      <c r="BG1919" s="152"/>
      <c r="BH1919" s="152"/>
      <c r="BI1919" s="153"/>
      <c r="BJ1919" s="153"/>
      <c r="BK1919" s="153"/>
      <c r="BL1919" s="153"/>
      <c r="BM1919" s="153"/>
      <c r="BN1919" s="153"/>
      <c r="BO1919" s="153"/>
      <c r="BP1919" s="153"/>
      <c r="BQ1919" s="153"/>
      <c r="BR1919" s="153"/>
      <c r="BS1919" s="153"/>
      <c r="BT1919" s="153"/>
      <c r="BU1919" s="153"/>
      <c r="BV1919" s="153"/>
      <c r="BW1919" s="153"/>
      <c r="BX1919" s="153"/>
      <c r="BY1919" s="153"/>
      <c r="BZ1919" s="153"/>
      <c r="CA1919" s="152"/>
      <c r="CB1919" s="152"/>
    </row>
    <row r="1920" spans="1:80" s="87" customFormat="1" x14ac:dyDescent="0.2">
      <c r="A1920" s="152"/>
      <c r="B1920" s="683"/>
      <c r="C1920" s="683"/>
      <c r="D1920" s="698"/>
      <c r="E1920" s="215"/>
      <c r="F1920" s="215"/>
      <c r="G1920" s="153"/>
      <c r="H1920" s="153"/>
      <c r="I1920" s="187">
        <v>8</v>
      </c>
      <c r="J1920" s="150" t="e">
        <f>(#REF!/I1920)*(60)</f>
        <v>#REF!</v>
      </c>
      <c r="K1920" s="150">
        <v>1</v>
      </c>
      <c r="L1920" s="656">
        <v>8</v>
      </c>
      <c r="M1920" s="661">
        <v>30084</v>
      </c>
      <c r="N1920" s="112">
        <v>0.1283697818</v>
      </c>
      <c r="O1920" s="117">
        <v>1.4903893999999999E-3</v>
      </c>
      <c r="P1920" s="101"/>
      <c r="Q1920" s="101"/>
      <c r="R1920" s="101"/>
      <c r="S1920" s="101"/>
      <c r="T1920" s="101"/>
      <c r="U1920" s="101"/>
      <c r="V1920" s="101"/>
      <c r="W1920" s="101"/>
      <c r="X1920" s="101"/>
      <c r="Y1920" s="101"/>
      <c r="Z1920" s="110"/>
      <c r="AA1920" s="110"/>
      <c r="AB1920" s="90" t="s">
        <v>185</v>
      </c>
      <c r="AC1920" s="152"/>
      <c r="AD1920" s="223">
        <v>0.70801555499999991</v>
      </c>
      <c r="AE1920" s="223">
        <v>0.28162134</v>
      </c>
      <c r="AF1920" s="223">
        <v>0.19972210000000001</v>
      </c>
      <c r="AG1920" s="223">
        <f>0.644010705</f>
        <v>0.64401070500000002</v>
      </c>
      <c r="AH1920" s="341"/>
      <c r="AI1920" s="218"/>
      <c r="AJ1920" s="218"/>
      <c r="AK1920" s="153"/>
      <c r="AL1920" s="152"/>
      <c r="AM1920" s="152"/>
      <c r="AN1920" s="152"/>
      <c r="AO1920" s="152"/>
      <c r="AP1920" s="152"/>
      <c r="AQ1920" s="152"/>
      <c r="AR1920" s="152"/>
      <c r="AS1920" s="152"/>
      <c r="AT1920" s="152"/>
      <c r="AU1920" s="153"/>
      <c r="AV1920" s="479"/>
      <c r="AW1920" s="479"/>
      <c r="AX1920" s="442"/>
      <c r="AY1920" s="153"/>
      <c r="AZ1920" s="152"/>
      <c r="BA1920" s="152"/>
      <c r="BB1920" s="152"/>
      <c r="BC1920" s="152"/>
      <c r="BD1920" s="152"/>
      <c r="BE1920" s="152"/>
      <c r="BF1920" s="152"/>
      <c r="BG1920" s="152"/>
      <c r="BH1920" s="152"/>
      <c r="BI1920" s="153"/>
      <c r="BJ1920" s="153"/>
      <c r="BK1920" s="153"/>
      <c r="BL1920" s="153"/>
      <c r="BM1920" s="153"/>
      <c r="BN1920" s="153"/>
      <c r="BO1920" s="153"/>
      <c r="BP1920" s="153"/>
      <c r="BQ1920" s="153"/>
      <c r="BR1920" s="153"/>
      <c r="BS1920" s="153"/>
      <c r="BT1920" s="153"/>
      <c r="BU1920" s="153"/>
      <c r="BV1920" s="153"/>
      <c r="BW1920" s="153"/>
      <c r="BX1920" s="153"/>
      <c r="BY1920" s="153"/>
      <c r="BZ1920" s="153"/>
      <c r="CA1920" s="152"/>
      <c r="CB1920" s="152"/>
    </row>
    <row r="1921" spans="1:80" s="87" customFormat="1" x14ac:dyDescent="0.2">
      <c r="A1921" s="152"/>
      <c r="B1921" s="683"/>
      <c r="C1921" s="683"/>
      <c r="D1921" s="698"/>
      <c r="E1921" s="215"/>
      <c r="F1921" s="215"/>
      <c r="G1921" s="153"/>
      <c r="H1921" s="153"/>
      <c r="I1921" s="187">
        <v>8</v>
      </c>
      <c r="J1921" s="150" t="e">
        <f>(#REF!/I1921)*(60)</f>
        <v>#REF!</v>
      </c>
      <c r="K1921" s="150">
        <v>1</v>
      </c>
      <c r="L1921" s="656">
        <v>8</v>
      </c>
      <c r="M1921" s="661">
        <v>30085</v>
      </c>
      <c r="N1921" s="112">
        <v>0.12658608169999999</v>
      </c>
      <c r="O1921" s="117">
        <v>2.2355841000000001E-3</v>
      </c>
      <c r="P1921" s="101"/>
      <c r="Q1921" s="101"/>
      <c r="R1921" s="101"/>
      <c r="S1921" s="101"/>
      <c r="T1921" s="101"/>
      <c r="U1921" s="101"/>
      <c r="V1921" s="101"/>
      <c r="W1921" s="101"/>
      <c r="X1921" s="101"/>
      <c r="Y1921" s="101"/>
      <c r="Z1921" s="110"/>
      <c r="AA1921" s="110"/>
      <c r="AB1921" s="90" t="s">
        <v>185</v>
      </c>
      <c r="AC1921" s="152"/>
      <c r="AD1921" s="223">
        <v>0.70801555499999991</v>
      </c>
      <c r="AE1921" s="223">
        <v>0.27400171499999998</v>
      </c>
      <c r="AF1921" s="223">
        <v>0.19414845999999999</v>
      </c>
      <c r="AG1921" s="223">
        <f>0.65284947</f>
        <v>0.65284947000000004</v>
      </c>
      <c r="AH1921" s="341"/>
      <c r="AI1921" s="218"/>
      <c r="AJ1921" s="218"/>
      <c r="AK1921" s="153"/>
      <c r="AL1921" s="152"/>
      <c r="AM1921" s="152"/>
      <c r="AN1921" s="152"/>
      <c r="AO1921" s="152"/>
      <c r="AP1921" s="152"/>
      <c r="AQ1921" s="152"/>
      <c r="AR1921" s="152"/>
      <c r="AS1921" s="152"/>
      <c r="AT1921" s="152"/>
      <c r="AU1921" s="153"/>
      <c r="AV1921" s="479"/>
      <c r="AW1921" s="479"/>
      <c r="AX1921" s="442"/>
      <c r="AY1921" s="153"/>
      <c r="AZ1921" s="152"/>
      <c r="BA1921" s="152"/>
      <c r="BB1921" s="152"/>
      <c r="BC1921" s="152"/>
      <c r="BD1921" s="152"/>
      <c r="BE1921" s="152"/>
      <c r="BF1921" s="152"/>
      <c r="BG1921" s="152"/>
      <c r="BH1921" s="152"/>
      <c r="BI1921" s="153"/>
      <c r="BJ1921" s="153"/>
      <c r="BK1921" s="153"/>
      <c r="BL1921" s="153"/>
      <c r="BM1921" s="153"/>
      <c r="BN1921" s="153"/>
      <c r="BO1921" s="153"/>
      <c r="BP1921" s="153"/>
      <c r="BQ1921" s="153"/>
      <c r="BR1921" s="153"/>
      <c r="BS1921" s="153"/>
      <c r="BT1921" s="153"/>
      <c r="BU1921" s="153"/>
      <c r="BV1921" s="153"/>
      <c r="BW1921" s="153"/>
      <c r="BX1921" s="153"/>
      <c r="BY1921" s="153"/>
      <c r="BZ1921" s="153"/>
      <c r="CA1921" s="152"/>
      <c r="CB1921" s="152"/>
    </row>
    <row r="1922" spans="1:80" s="87" customFormat="1" x14ac:dyDescent="0.2">
      <c r="A1922" s="152"/>
      <c r="B1922" s="683"/>
      <c r="C1922" s="683"/>
      <c r="D1922" s="698"/>
      <c r="E1922" s="215"/>
      <c r="F1922" s="215"/>
      <c r="G1922" s="153"/>
      <c r="H1922" s="153"/>
      <c r="I1922" s="187">
        <v>8</v>
      </c>
      <c r="J1922" s="150" t="e">
        <f>(#REF!/I1922)*(60)</f>
        <v>#REF!</v>
      </c>
      <c r="K1922" s="150">
        <v>1</v>
      </c>
      <c r="L1922" s="656">
        <v>8</v>
      </c>
      <c r="M1922" s="661">
        <v>30088</v>
      </c>
      <c r="N1922" s="112">
        <v>0.15271870379999999</v>
      </c>
      <c r="O1922" s="117">
        <v>3.3271368999999999E-3</v>
      </c>
      <c r="P1922" s="101"/>
      <c r="Q1922" s="101"/>
      <c r="R1922" s="101"/>
      <c r="S1922" s="101"/>
      <c r="T1922" s="101"/>
      <c r="U1922" s="101"/>
      <c r="V1922" s="101"/>
      <c r="W1922" s="101"/>
      <c r="X1922" s="101"/>
      <c r="Y1922" s="101"/>
      <c r="Z1922" s="110"/>
      <c r="AA1922" s="110"/>
      <c r="AB1922" s="90" t="s">
        <v>185</v>
      </c>
      <c r="AC1922" s="152"/>
      <c r="AD1922" s="223">
        <v>0.70801555499999991</v>
      </c>
      <c r="AE1922" s="223">
        <v>0.30569935499999995</v>
      </c>
      <c r="AF1922" s="223">
        <v>0.21644302000000001</v>
      </c>
      <c r="AG1922" s="223">
        <f>0.70588206</f>
        <v>0.70588205999999998</v>
      </c>
      <c r="AH1922" s="341"/>
      <c r="AI1922" s="218"/>
      <c r="AJ1922" s="218"/>
      <c r="AK1922" s="153"/>
      <c r="AL1922" s="152"/>
      <c r="AM1922" s="152"/>
      <c r="AN1922" s="152"/>
      <c r="AO1922" s="152"/>
      <c r="AP1922" s="152"/>
      <c r="AQ1922" s="152"/>
      <c r="AR1922" s="152"/>
      <c r="AS1922" s="152"/>
      <c r="AT1922" s="152"/>
      <c r="AU1922" s="153"/>
      <c r="AV1922" s="479"/>
      <c r="AW1922" s="479"/>
      <c r="AX1922" s="442"/>
      <c r="AY1922" s="153"/>
      <c r="AZ1922" s="152"/>
      <c r="BA1922" s="152"/>
      <c r="BB1922" s="152"/>
      <c r="BC1922" s="152"/>
      <c r="BD1922" s="152"/>
      <c r="BE1922" s="152"/>
      <c r="BF1922" s="152"/>
      <c r="BG1922" s="152"/>
      <c r="BH1922" s="152"/>
      <c r="BI1922" s="153"/>
      <c r="BJ1922" s="153"/>
      <c r="BK1922" s="153"/>
      <c r="BL1922" s="153"/>
      <c r="BM1922" s="153"/>
      <c r="BN1922" s="153"/>
      <c r="BO1922" s="153"/>
      <c r="BP1922" s="153"/>
      <c r="BQ1922" s="153"/>
      <c r="BR1922" s="153"/>
      <c r="BS1922" s="153"/>
      <c r="BT1922" s="153"/>
      <c r="BU1922" s="153"/>
      <c r="BV1922" s="153"/>
      <c r="BW1922" s="153"/>
      <c r="BX1922" s="153"/>
      <c r="BY1922" s="153"/>
      <c r="BZ1922" s="153"/>
      <c r="CA1922" s="152"/>
      <c r="CB1922" s="152"/>
    </row>
    <row r="1923" spans="1:80" s="87" customFormat="1" x14ac:dyDescent="0.2">
      <c r="A1923" s="152"/>
      <c r="B1923" s="683"/>
      <c r="C1923" s="683"/>
      <c r="D1923" s="698"/>
      <c r="E1923" s="215"/>
      <c r="F1923" s="215"/>
      <c r="G1923" s="153"/>
      <c r="H1923" s="153"/>
      <c r="I1923" s="187">
        <v>8</v>
      </c>
      <c r="J1923" s="150" t="e">
        <f>(#REF!/I1923)*(60)</f>
        <v>#REF!</v>
      </c>
      <c r="K1923" s="150">
        <v>1</v>
      </c>
      <c r="L1923" s="656">
        <v>8</v>
      </c>
      <c r="M1923" s="661">
        <v>30090</v>
      </c>
      <c r="N1923" s="112">
        <v>0.135334706</v>
      </c>
      <c r="O1923" s="117">
        <v>5.5837124000000004E-3</v>
      </c>
      <c r="P1923" s="101"/>
      <c r="Q1923" s="101"/>
      <c r="R1923" s="101"/>
      <c r="S1923" s="101"/>
      <c r="T1923" s="101"/>
      <c r="U1923" s="101"/>
      <c r="V1923" s="101"/>
      <c r="W1923" s="101"/>
      <c r="X1923" s="101"/>
      <c r="Y1923" s="101"/>
      <c r="Z1923" s="110"/>
      <c r="AA1923" s="110"/>
      <c r="AB1923" s="90" t="s">
        <v>185</v>
      </c>
      <c r="AC1923" s="152"/>
      <c r="AD1923" s="223">
        <v>0.70801555499999991</v>
      </c>
      <c r="AE1923" s="223">
        <v>0.27613520999999996</v>
      </c>
      <c r="AF1923" s="223">
        <v>0.19507740000000001</v>
      </c>
      <c r="AG1923" s="223">
        <f>0.69186195</f>
        <v>0.69186194999999995</v>
      </c>
      <c r="AH1923" s="341"/>
      <c r="AI1923" s="218"/>
      <c r="AJ1923" s="218"/>
      <c r="AK1923" s="153"/>
      <c r="AL1923" s="152"/>
      <c r="AM1923" s="152"/>
      <c r="AN1923" s="152"/>
      <c r="AO1923" s="152"/>
      <c r="AP1923" s="152"/>
      <c r="AQ1923" s="152"/>
      <c r="AR1923" s="152"/>
      <c r="AS1923" s="152"/>
      <c r="AT1923" s="152"/>
      <c r="AU1923" s="153"/>
      <c r="AV1923" s="479"/>
      <c r="AW1923" s="479"/>
      <c r="AX1923" s="442"/>
      <c r="AY1923" s="153"/>
      <c r="AZ1923" s="152"/>
      <c r="BA1923" s="152"/>
      <c r="BB1923" s="152"/>
      <c r="BC1923" s="152"/>
      <c r="BD1923" s="152"/>
      <c r="BE1923" s="152"/>
      <c r="BF1923" s="152"/>
      <c r="BG1923" s="152"/>
      <c r="BH1923" s="152"/>
      <c r="BI1923" s="153"/>
      <c r="BJ1923" s="153"/>
      <c r="BK1923" s="153"/>
      <c r="BL1923" s="153"/>
      <c r="BM1923" s="153"/>
      <c r="BN1923" s="153"/>
      <c r="BO1923" s="153"/>
      <c r="BP1923" s="153"/>
      <c r="BQ1923" s="153"/>
      <c r="BR1923" s="153"/>
      <c r="BS1923" s="153"/>
      <c r="BT1923" s="153"/>
      <c r="BU1923" s="153"/>
      <c r="BV1923" s="153"/>
      <c r="BW1923" s="153"/>
      <c r="BX1923" s="153"/>
      <c r="BY1923" s="153"/>
      <c r="BZ1923" s="153"/>
      <c r="CA1923" s="152"/>
      <c r="CB1923" s="152"/>
    </row>
    <row r="1924" spans="1:80" s="87" customFormat="1" x14ac:dyDescent="0.2">
      <c r="A1924" s="152"/>
      <c r="B1924" s="683"/>
      <c r="C1924" s="683"/>
      <c r="D1924" s="698"/>
      <c r="E1924" s="215"/>
      <c r="F1924" s="215"/>
      <c r="G1924" s="153"/>
      <c r="H1924" s="153"/>
      <c r="I1924" s="187">
        <v>8</v>
      </c>
      <c r="J1924" s="150" t="e">
        <f>(#REF!/I1924)*(60)</f>
        <v>#REF!</v>
      </c>
      <c r="K1924" s="150">
        <v>1</v>
      </c>
      <c r="L1924" s="656">
        <v>8</v>
      </c>
      <c r="M1924" s="661">
        <v>30092</v>
      </c>
      <c r="N1924" s="112">
        <v>0.10631418849999999</v>
      </c>
      <c r="O1924" s="117">
        <v>2.2565755E-3</v>
      </c>
      <c r="P1924" s="101"/>
      <c r="Q1924" s="101"/>
      <c r="R1924" s="101"/>
      <c r="S1924" s="101"/>
      <c r="T1924" s="101"/>
      <c r="U1924" s="101"/>
      <c r="V1924" s="101"/>
      <c r="W1924" s="101"/>
      <c r="X1924" s="101"/>
      <c r="Y1924" s="101"/>
      <c r="Z1924" s="110"/>
      <c r="AA1924" s="110"/>
      <c r="AB1924" s="90" t="s">
        <v>185</v>
      </c>
      <c r="AC1924" s="152"/>
      <c r="AD1924" s="223">
        <v>0.70801555499999991</v>
      </c>
      <c r="AE1924" s="223">
        <v>0.25236197999999999</v>
      </c>
      <c r="AF1924" s="223">
        <v>0.17835648000000001</v>
      </c>
      <c r="AG1924" s="223">
        <f>0.595245105</f>
        <v>0.59524510500000005</v>
      </c>
      <c r="AH1924" s="341"/>
      <c r="AI1924" s="218"/>
      <c r="AJ1924" s="218"/>
      <c r="AK1924" s="153"/>
      <c r="AL1924" s="152"/>
      <c r="AM1924" s="152"/>
      <c r="AN1924" s="152"/>
      <c r="AO1924" s="152"/>
      <c r="AP1924" s="152"/>
      <c r="AQ1924" s="152"/>
      <c r="AR1924" s="152"/>
      <c r="AS1924" s="152"/>
      <c r="AT1924" s="152"/>
      <c r="AU1924" s="153"/>
      <c r="AV1924" s="479"/>
      <c r="AW1924" s="479"/>
      <c r="AX1924" s="442"/>
      <c r="AY1924" s="153"/>
      <c r="AZ1924" s="152"/>
      <c r="BA1924" s="152"/>
      <c r="BB1924" s="152"/>
      <c r="BC1924" s="152"/>
      <c r="BD1924" s="152"/>
      <c r="BE1924" s="152"/>
      <c r="BF1924" s="152"/>
      <c r="BG1924" s="152"/>
      <c r="BH1924" s="152"/>
      <c r="BI1924" s="153"/>
      <c r="BJ1924" s="153"/>
      <c r="BK1924" s="153"/>
      <c r="BL1924" s="153"/>
      <c r="BM1924" s="153"/>
      <c r="BN1924" s="153"/>
      <c r="BO1924" s="153"/>
      <c r="BP1924" s="153"/>
      <c r="BQ1924" s="153"/>
      <c r="BR1924" s="153"/>
      <c r="BS1924" s="153"/>
      <c r="BT1924" s="153"/>
      <c r="BU1924" s="153"/>
      <c r="BV1924" s="153"/>
      <c r="BW1924" s="153"/>
      <c r="BX1924" s="153"/>
      <c r="BY1924" s="153"/>
      <c r="BZ1924" s="153"/>
      <c r="CA1924" s="152"/>
      <c r="CB1924" s="152"/>
    </row>
    <row r="1925" spans="1:80" s="87" customFormat="1" x14ac:dyDescent="0.2">
      <c r="A1925" s="152"/>
      <c r="B1925" s="683"/>
      <c r="C1925" s="683"/>
      <c r="D1925" s="698"/>
      <c r="E1925" s="215"/>
      <c r="F1925" s="215"/>
      <c r="G1925" s="153"/>
      <c r="H1925" s="153"/>
      <c r="I1925" s="187">
        <v>8</v>
      </c>
      <c r="J1925" s="150" t="e">
        <f>(#REF!/I1925)*(60)</f>
        <v>#REF!</v>
      </c>
      <c r="K1925" s="150">
        <v>1</v>
      </c>
      <c r="L1925" s="656">
        <v>8</v>
      </c>
      <c r="M1925" s="661">
        <v>30093</v>
      </c>
      <c r="N1925" s="112">
        <v>0.1044455503</v>
      </c>
      <c r="O1925" s="117">
        <v>8.3230901E-4</v>
      </c>
      <c r="P1925" s="101"/>
      <c r="Q1925" s="101"/>
      <c r="R1925" s="101"/>
      <c r="S1925" s="101"/>
      <c r="T1925" s="101"/>
      <c r="U1925" s="101"/>
      <c r="V1925" s="101"/>
      <c r="W1925" s="101"/>
      <c r="X1925" s="101"/>
      <c r="Y1925" s="101"/>
      <c r="Z1925" s="110"/>
      <c r="AA1925" s="110"/>
      <c r="AB1925" s="90" t="s">
        <v>185</v>
      </c>
      <c r="AC1925" s="152"/>
      <c r="AD1925" s="223">
        <v>0.70801555499999991</v>
      </c>
      <c r="AE1925" s="223">
        <v>0.24931412999999997</v>
      </c>
      <c r="AF1925" s="223">
        <v>0.17649860000000001</v>
      </c>
      <c r="AG1925" s="223">
        <f>0.59189247</f>
        <v>0.59189247</v>
      </c>
      <c r="AH1925" s="341"/>
      <c r="AI1925" s="218"/>
      <c r="AJ1925" s="218"/>
      <c r="AK1925" s="153"/>
      <c r="AL1925" s="152"/>
      <c r="AM1925" s="152"/>
      <c r="AN1925" s="152"/>
      <c r="AO1925" s="152"/>
      <c r="AP1925" s="152"/>
      <c r="AQ1925" s="152"/>
      <c r="AR1925" s="152"/>
      <c r="AS1925" s="152"/>
      <c r="AT1925" s="152"/>
      <c r="AU1925" s="153"/>
      <c r="AV1925" s="479"/>
      <c r="AW1925" s="479"/>
      <c r="AX1925" s="442"/>
      <c r="AY1925" s="153"/>
      <c r="AZ1925" s="152"/>
      <c r="BA1925" s="152"/>
      <c r="BB1925" s="152"/>
      <c r="BC1925" s="152"/>
      <c r="BD1925" s="152"/>
      <c r="BE1925" s="152"/>
      <c r="BF1925" s="152"/>
      <c r="BG1925" s="152"/>
      <c r="BH1925" s="152"/>
      <c r="BI1925" s="153"/>
      <c r="BJ1925" s="153"/>
      <c r="BK1925" s="153"/>
      <c r="BL1925" s="153"/>
      <c r="BM1925" s="153"/>
      <c r="BN1925" s="153"/>
      <c r="BO1925" s="153"/>
      <c r="BP1925" s="153"/>
      <c r="BQ1925" s="153"/>
      <c r="BR1925" s="153"/>
      <c r="BS1925" s="153"/>
      <c r="BT1925" s="153"/>
      <c r="BU1925" s="153"/>
      <c r="BV1925" s="153"/>
      <c r="BW1925" s="153"/>
      <c r="BX1925" s="153"/>
      <c r="BY1925" s="153"/>
      <c r="BZ1925" s="153"/>
      <c r="CA1925" s="152"/>
      <c r="CB1925" s="152"/>
    </row>
    <row r="1926" spans="1:80" s="87" customFormat="1" x14ac:dyDescent="0.2">
      <c r="A1926" s="152"/>
      <c r="B1926" s="683"/>
      <c r="C1926" s="683"/>
      <c r="D1926" s="698"/>
      <c r="E1926" s="215"/>
      <c r="F1926" s="215"/>
      <c r="G1926" s="153"/>
      <c r="H1926" s="153"/>
      <c r="I1926" s="187">
        <v>8</v>
      </c>
      <c r="J1926" s="150" t="e">
        <f>(#REF!/I1926)*(60)</f>
        <v>#REF!</v>
      </c>
      <c r="K1926" s="150">
        <v>1</v>
      </c>
      <c r="L1926" s="656">
        <v>8</v>
      </c>
      <c r="M1926" s="661">
        <v>30094</v>
      </c>
      <c r="N1926" s="112">
        <v>9.4536105299999992E-2</v>
      </c>
      <c r="O1926" s="117">
        <v>2.8548304000000002E-3</v>
      </c>
      <c r="P1926" s="101"/>
      <c r="Q1926" s="101"/>
      <c r="R1926" s="101"/>
      <c r="S1926" s="101"/>
      <c r="T1926" s="101"/>
      <c r="U1926" s="101"/>
      <c r="V1926" s="101"/>
      <c r="W1926" s="101"/>
      <c r="X1926" s="101"/>
      <c r="Y1926" s="101"/>
      <c r="Z1926" s="110"/>
      <c r="AA1926" s="110"/>
      <c r="AB1926" s="90" t="s">
        <v>185</v>
      </c>
      <c r="AC1926" s="152"/>
      <c r="AD1926" s="223">
        <v>0.70801555499999991</v>
      </c>
      <c r="AE1926" s="223">
        <v>0.23742751499999998</v>
      </c>
      <c r="AF1926" s="223">
        <v>0.16813814000000002</v>
      </c>
      <c r="AG1926" s="223">
        <f>0.56263311</f>
        <v>0.56263311000000005</v>
      </c>
      <c r="AH1926" s="341"/>
      <c r="AI1926" s="218"/>
      <c r="AJ1926" s="218"/>
      <c r="AK1926" s="153"/>
      <c r="AL1926" s="152"/>
      <c r="AM1926" s="152"/>
      <c r="AN1926" s="152"/>
      <c r="AO1926" s="152"/>
      <c r="AP1926" s="152"/>
      <c r="AQ1926" s="152"/>
      <c r="AR1926" s="152"/>
      <c r="AS1926" s="152"/>
      <c r="AT1926" s="152"/>
      <c r="AU1926" s="153"/>
      <c r="AV1926" s="479"/>
      <c r="AW1926" s="479"/>
      <c r="AX1926" s="442"/>
      <c r="AY1926" s="153"/>
      <c r="AZ1926" s="152"/>
      <c r="BA1926" s="152"/>
      <c r="BB1926" s="152"/>
      <c r="BC1926" s="152"/>
      <c r="BD1926" s="152"/>
      <c r="BE1926" s="152"/>
      <c r="BF1926" s="152"/>
      <c r="BG1926" s="152"/>
      <c r="BH1926" s="152"/>
      <c r="BI1926" s="153"/>
      <c r="BJ1926" s="153"/>
      <c r="BK1926" s="153"/>
      <c r="BL1926" s="153"/>
      <c r="BM1926" s="153"/>
      <c r="BN1926" s="153"/>
      <c r="BO1926" s="153"/>
      <c r="BP1926" s="153"/>
      <c r="BQ1926" s="153"/>
      <c r="BR1926" s="153"/>
      <c r="BS1926" s="153"/>
      <c r="BT1926" s="153"/>
      <c r="BU1926" s="153"/>
      <c r="BV1926" s="153"/>
      <c r="BW1926" s="153"/>
      <c r="BX1926" s="153"/>
      <c r="BY1926" s="153"/>
      <c r="BZ1926" s="153"/>
      <c r="CA1926" s="152"/>
      <c r="CB1926" s="152"/>
    </row>
    <row r="1927" spans="1:80" s="87" customFormat="1" x14ac:dyDescent="0.2">
      <c r="A1927" s="152"/>
      <c r="B1927" s="683"/>
      <c r="C1927" s="683"/>
      <c r="D1927" s="698"/>
      <c r="E1927" s="215"/>
      <c r="F1927" s="215"/>
      <c r="G1927" s="153"/>
      <c r="H1927" s="153"/>
      <c r="I1927" s="187">
        <v>8</v>
      </c>
      <c r="J1927" s="150" t="e">
        <f>(#REF!/I1927)*(60)</f>
        <v>#REF!</v>
      </c>
      <c r="K1927" s="150">
        <v>1</v>
      </c>
      <c r="L1927" s="656">
        <v>8</v>
      </c>
      <c r="M1927" s="661">
        <v>30096</v>
      </c>
      <c r="N1927" s="112">
        <v>8.233333159999999E-2</v>
      </c>
      <c r="O1927" s="117">
        <v>9.2257203000000007E-4</v>
      </c>
      <c r="P1927" s="101"/>
      <c r="Q1927" s="101"/>
      <c r="R1927" s="101"/>
      <c r="S1927" s="101"/>
      <c r="T1927" s="101"/>
      <c r="U1927" s="101"/>
      <c r="V1927" s="101"/>
      <c r="W1927" s="101"/>
      <c r="X1927" s="101"/>
      <c r="Y1927" s="101"/>
      <c r="Z1927" s="110"/>
      <c r="AA1927" s="110"/>
      <c r="AB1927" s="90" t="s">
        <v>185</v>
      </c>
      <c r="AC1927" s="152"/>
      <c r="AD1927" s="223">
        <v>0.70801555499999991</v>
      </c>
      <c r="AE1927" s="223">
        <v>0.22706482499999997</v>
      </c>
      <c r="AF1927" s="223">
        <v>0.16070661999999999</v>
      </c>
      <c r="AG1927" s="223">
        <f>0.512343585</f>
        <v>0.51234358499999999</v>
      </c>
      <c r="AH1927" s="341"/>
      <c r="AI1927" s="218"/>
      <c r="AJ1927" s="218"/>
      <c r="AK1927" s="153"/>
      <c r="AL1927" s="152"/>
      <c r="AM1927" s="152"/>
      <c r="AN1927" s="152"/>
      <c r="AO1927" s="152"/>
      <c r="AP1927" s="152"/>
      <c r="AQ1927" s="152"/>
      <c r="AR1927" s="152"/>
      <c r="AS1927" s="152"/>
      <c r="AT1927" s="152"/>
      <c r="AU1927" s="153"/>
      <c r="AV1927" s="479"/>
      <c r="AW1927" s="479"/>
      <c r="AX1927" s="442"/>
      <c r="AY1927" s="153"/>
      <c r="AZ1927" s="152"/>
      <c r="BA1927" s="152"/>
      <c r="BB1927" s="152"/>
      <c r="BC1927" s="152"/>
      <c r="BD1927" s="152"/>
      <c r="BE1927" s="152"/>
      <c r="BF1927" s="152"/>
      <c r="BG1927" s="152"/>
      <c r="BH1927" s="152"/>
      <c r="BI1927" s="153"/>
      <c r="BJ1927" s="153"/>
      <c r="BK1927" s="153"/>
      <c r="BL1927" s="153"/>
      <c r="BM1927" s="153"/>
      <c r="BN1927" s="153"/>
      <c r="BO1927" s="153"/>
      <c r="BP1927" s="153"/>
      <c r="BQ1927" s="153"/>
      <c r="BR1927" s="153"/>
      <c r="BS1927" s="153"/>
      <c r="BT1927" s="153"/>
      <c r="BU1927" s="153"/>
      <c r="BV1927" s="153"/>
      <c r="BW1927" s="153"/>
      <c r="BX1927" s="153"/>
      <c r="BY1927" s="153"/>
      <c r="BZ1927" s="153"/>
      <c r="CA1927" s="152"/>
      <c r="CB1927" s="152"/>
    </row>
    <row r="1928" spans="1:80" s="87" customFormat="1" x14ac:dyDescent="0.2">
      <c r="A1928" s="152"/>
      <c r="B1928" s="683"/>
      <c r="C1928" s="683"/>
      <c r="D1928" s="698"/>
      <c r="E1928" s="215"/>
      <c r="F1928" s="215"/>
      <c r="G1928" s="153"/>
      <c r="H1928" s="153"/>
      <c r="I1928" s="187">
        <v>8</v>
      </c>
      <c r="J1928" s="150" t="e">
        <f>(#REF!/I1928)*(60)</f>
        <v>#REF!</v>
      </c>
      <c r="K1928" s="150">
        <v>1</v>
      </c>
      <c r="L1928" s="656">
        <v>8</v>
      </c>
      <c r="M1928" s="661">
        <v>30097</v>
      </c>
      <c r="N1928" s="112">
        <v>7.78032996E-2</v>
      </c>
      <c r="O1928" s="117">
        <v>7.8612792999999993E-4</v>
      </c>
      <c r="P1928" s="101"/>
      <c r="Q1928" s="101"/>
      <c r="R1928" s="101"/>
      <c r="S1928" s="101"/>
      <c r="T1928" s="101"/>
      <c r="U1928" s="101"/>
      <c r="V1928" s="101"/>
      <c r="W1928" s="101"/>
      <c r="X1928" s="101"/>
      <c r="Y1928" s="101"/>
      <c r="Z1928" s="110"/>
      <c r="AA1928" s="110"/>
      <c r="AB1928" s="90" t="s">
        <v>185</v>
      </c>
      <c r="AC1928" s="152"/>
      <c r="AD1928" s="223">
        <v>0.70801555499999991</v>
      </c>
      <c r="AE1928" s="223">
        <v>0.22645525499999997</v>
      </c>
      <c r="AF1928" s="223">
        <v>0.16070661999999999</v>
      </c>
      <c r="AG1928" s="223">
        <f>0.485522505</f>
        <v>0.48552250499999999</v>
      </c>
      <c r="AH1928" s="341"/>
      <c r="AI1928" s="218"/>
      <c r="AJ1928" s="218"/>
      <c r="AK1928" s="153"/>
      <c r="AL1928" s="152"/>
      <c r="AM1928" s="152"/>
      <c r="AN1928" s="152"/>
      <c r="AO1928" s="152"/>
      <c r="AP1928" s="152"/>
      <c r="AQ1928" s="152"/>
      <c r="AR1928" s="152"/>
      <c r="AS1928" s="152"/>
      <c r="AT1928" s="152"/>
      <c r="AU1928" s="153"/>
      <c r="AV1928" s="479"/>
      <c r="AW1928" s="479"/>
      <c r="AX1928" s="442"/>
      <c r="AY1928" s="153"/>
      <c r="AZ1928" s="152"/>
      <c r="BA1928" s="152"/>
      <c r="BB1928" s="152"/>
      <c r="BC1928" s="152"/>
      <c r="BD1928" s="152"/>
      <c r="BE1928" s="152"/>
      <c r="BF1928" s="152"/>
      <c r="BG1928" s="152"/>
      <c r="BH1928" s="152"/>
      <c r="BI1928" s="153"/>
      <c r="BJ1928" s="153"/>
      <c r="BK1928" s="153"/>
      <c r="BL1928" s="153"/>
      <c r="BM1928" s="153"/>
      <c r="BN1928" s="153"/>
      <c r="BO1928" s="153"/>
      <c r="BP1928" s="153"/>
      <c r="BQ1928" s="153"/>
      <c r="BR1928" s="153"/>
      <c r="BS1928" s="153"/>
      <c r="BT1928" s="153"/>
      <c r="BU1928" s="153"/>
      <c r="BV1928" s="153"/>
      <c r="BW1928" s="153"/>
      <c r="BX1928" s="153"/>
      <c r="BY1928" s="153"/>
      <c r="BZ1928" s="153"/>
      <c r="CA1928" s="152"/>
      <c r="CB1928" s="152"/>
    </row>
    <row r="1929" spans="1:80" s="87" customFormat="1" x14ac:dyDescent="0.2">
      <c r="A1929" s="152"/>
      <c r="B1929" s="683"/>
      <c r="C1929" s="683"/>
      <c r="D1929" s="698"/>
      <c r="E1929" s="215"/>
      <c r="F1929" s="215"/>
      <c r="G1929" s="153"/>
      <c r="H1929" s="153"/>
      <c r="I1929" s="187">
        <v>8</v>
      </c>
      <c r="J1929" s="150" t="e">
        <f>(#REF!/I1929)*(60)</f>
        <v>#REF!</v>
      </c>
      <c r="K1929" s="150">
        <v>1</v>
      </c>
      <c r="L1929" s="656">
        <v>8</v>
      </c>
      <c r="M1929" s="661">
        <v>30426</v>
      </c>
      <c r="N1929" s="112">
        <v>0.10229378509999999</v>
      </c>
      <c r="O1929" s="117">
        <v>8.7114310000000004E-4</v>
      </c>
      <c r="P1929" s="101"/>
      <c r="Q1929" s="101"/>
      <c r="R1929" s="101"/>
      <c r="S1929" s="101"/>
      <c r="T1929" s="101"/>
      <c r="U1929" s="101"/>
      <c r="V1929" s="101"/>
      <c r="W1929" s="101"/>
      <c r="X1929" s="101"/>
      <c r="Y1929" s="101"/>
      <c r="Z1929" s="110"/>
      <c r="AA1929" s="110"/>
      <c r="AB1929" s="90" t="s">
        <v>185</v>
      </c>
      <c r="AC1929" s="152"/>
      <c r="AD1929" s="223">
        <v>0.70801555499999991</v>
      </c>
      <c r="AE1929" s="223">
        <v>0.24565671</v>
      </c>
      <c r="AF1929" s="223">
        <v>0.17371178000000001</v>
      </c>
      <c r="AG1929" s="223">
        <f>0.587930265</f>
        <v>0.58793026500000001</v>
      </c>
      <c r="AH1929" s="341"/>
      <c r="AI1929" s="218"/>
      <c r="AJ1929" s="218"/>
      <c r="AK1929" s="153"/>
      <c r="AL1929" s="152"/>
      <c r="AM1929" s="152"/>
      <c r="AN1929" s="152"/>
      <c r="AO1929" s="152"/>
      <c r="AP1929" s="152"/>
      <c r="AQ1929" s="152"/>
      <c r="AR1929" s="152"/>
      <c r="AS1929" s="152"/>
      <c r="AT1929" s="152"/>
      <c r="AU1929" s="153"/>
      <c r="AV1929" s="479"/>
      <c r="AW1929" s="479"/>
      <c r="AX1929" s="442"/>
      <c r="AY1929" s="153"/>
      <c r="AZ1929" s="152"/>
      <c r="BA1929" s="152"/>
      <c r="BB1929" s="152"/>
      <c r="BC1929" s="152"/>
      <c r="BD1929" s="152"/>
      <c r="BE1929" s="152"/>
      <c r="BF1929" s="152"/>
      <c r="BG1929" s="152"/>
      <c r="BH1929" s="152"/>
      <c r="BI1929" s="153"/>
      <c r="BJ1929" s="153"/>
      <c r="BK1929" s="153"/>
      <c r="BL1929" s="153"/>
      <c r="BM1929" s="153"/>
      <c r="BN1929" s="153"/>
      <c r="BO1929" s="153"/>
      <c r="BP1929" s="153"/>
      <c r="BQ1929" s="153"/>
      <c r="BR1929" s="153"/>
      <c r="BS1929" s="153"/>
      <c r="BT1929" s="153"/>
      <c r="BU1929" s="153"/>
      <c r="BV1929" s="153"/>
      <c r="BW1929" s="153"/>
      <c r="BX1929" s="153"/>
      <c r="BY1929" s="153"/>
      <c r="BZ1929" s="153"/>
      <c r="CA1929" s="152"/>
      <c r="CB1929" s="152"/>
    </row>
    <row r="1930" spans="1:80" s="87" customFormat="1" x14ac:dyDescent="0.2">
      <c r="A1930" s="152"/>
      <c r="B1930" s="683"/>
      <c r="C1930" s="683"/>
      <c r="D1930" s="698"/>
      <c r="E1930" s="215"/>
      <c r="F1930" s="215"/>
      <c r="G1930" s="153"/>
      <c r="H1930" s="153"/>
      <c r="I1930" s="187">
        <v>8</v>
      </c>
      <c r="J1930" s="150" t="e">
        <f>(#REF!/I1930)*(60)</f>
        <v>#REF!</v>
      </c>
      <c r="K1930" s="150">
        <v>1</v>
      </c>
      <c r="L1930" s="656">
        <v>8</v>
      </c>
      <c r="M1930" s="661">
        <v>30428</v>
      </c>
      <c r="N1930" s="112">
        <v>0.16310946470000001</v>
      </c>
      <c r="O1930" s="117">
        <v>2.9912744999999997E-3</v>
      </c>
      <c r="P1930" s="101"/>
      <c r="Q1930" s="101"/>
      <c r="R1930" s="101"/>
      <c r="S1930" s="101"/>
      <c r="T1930" s="101"/>
      <c r="U1930" s="101"/>
      <c r="V1930" s="101"/>
      <c r="W1930" s="101"/>
      <c r="X1930" s="101"/>
      <c r="Y1930" s="101"/>
      <c r="Z1930" s="110"/>
      <c r="AA1930" s="110"/>
      <c r="AB1930" s="90" t="s">
        <v>185</v>
      </c>
      <c r="AC1930" s="152"/>
      <c r="AD1930" s="223">
        <v>0.70801555499999991</v>
      </c>
      <c r="AE1930" s="223">
        <v>0.32490080999999998</v>
      </c>
      <c r="AF1930" s="223">
        <v>0.23037712000000002</v>
      </c>
      <c r="AG1930" s="223">
        <f>0.70892991</f>
        <v>0.70892991000000005</v>
      </c>
      <c r="AH1930" s="341"/>
      <c r="AI1930" s="218"/>
      <c r="AJ1930" s="218"/>
      <c r="AK1930" s="153"/>
      <c r="AL1930" s="152"/>
      <c r="AM1930" s="152"/>
      <c r="AN1930" s="152"/>
      <c r="AO1930" s="152"/>
      <c r="AP1930" s="152"/>
      <c r="AQ1930" s="152"/>
      <c r="AR1930" s="152"/>
      <c r="AS1930" s="152"/>
      <c r="AT1930" s="152"/>
      <c r="AU1930" s="153"/>
      <c r="AV1930" s="479"/>
      <c r="AW1930" s="479"/>
      <c r="AX1930" s="442"/>
      <c r="AY1930" s="153"/>
      <c r="AZ1930" s="152"/>
      <c r="BA1930" s="152"/>
      <c r="BB1930" s="152"/>
      <c r="BC1930" s="152"/>
      <c r="BD1930" s="152"/>
      <c r="BE1930" s="152"/>
      <c r="BF1930" s="152"/>
      <c r="BG1930" s="152"/>
      <c r="BH1930" s="152"/>
      <c r="BI1930" s="153"/>
      <c r="BJ1930" s="153"/>
      <c r="BK1930" s="153"/>
      <c r="BL1930" s="153"/>
      <c r="BM1930" s="153"/>
      <c r="BN1930" s="153"/>
      <c r="BO1930" s="153"/>
      <c r="BP1930" s="153"/>
      <c r="BQ1930" s="153"/>
      <c r="BR1930" s="153"/>
      <c r="BS1930" s="153"/>
      <c r="BT1930" s="153"/>
      <c r="BU1930" s="153"/>
      <c r="BV1930" s="153"/>
      <c r="BW1930" s="153"/>
      <c r="BX1930" s="153"/>
      <c r="BY1930" s="153"/>
      <c r="BZ1930" s="153"/>
      <c r="CA1930" s="152"/>
      <c r="CB1930" s="152"/>
    </row>
    <row r="1931" spans="1:80" s="87" customFormat="1" x14ac:dyDescent="0.2">
      <c r="A1931" s="152"/>
      <c r="B1931" s="683"/>
      <c r="C1931" s="683"/>
      <c r="D1931" s="698"/>
      <c r="E1931" s="215"/>
      <c r="F1931" s="215"/>
      <c r="G1931" s="153"/>
      <c r="H1931" s="153"/>
      <c r="I1931" s="187">
        <v>8</v>
      </c>
      <c r="J1931" s="150" t="e">
        <f>(#REF!/I1931)*(60)</f>
        <v>#REF!</v>
      </c>
      <c r="K1931" s="150">
        <v>1</v>
      </c>
      <c r="L1931" s="656">
        <v>8</v>
      </c>
      <c r="M1931" s="661">
        <v>30430</v>
      </c>
      <c r="N1931" s="112">
        <v>0.24779275040000001</v>
      </c>
      <c r="O1931" s="117">
        <v>5.9090790999999998E-3</v>
      </c>
      <c r="P1931" s="101"/>
      <c r="Q1931" s="101"/>
      <c r="R1931" s="101"/>
      <c r="S1931" s="101"/>
      <c r="T1931" s="101"/>
      <c r="U1931" s="101"/>
      <c r="V1931" s="101"/>
      <c r="W1931" s="101"/>
      <c r="X1931" s="101"/>
      <c r="Y1931" s="101"/>
      <c r="Z1931" s="110"/>
      <c r="AA1931" s="110"/>
      <c r="AB1931" s="90" t="s">
        <v>185</v>
      </c>
      <c r="AC1931" s="152"/>
      <c r="AD1931" s="223"/>
      <c r="AE1931" s="223"/>
      <c r="AF1931" s="223"/>
      <c r="AG1931" s="223"/>
      <c r="AH1931" s="341"/>
      <c r="AI1931" s="218"/>
      <c r="AJ1931" s="218"/>
      <c r="AK1931" s="153"/>
      <c r="AL1931" s="152"/>
      <c r="AM1931" s="152"/>
      <c r="AN1931" s="152"/>
      <c r="AO1931" s="152"/>
      <c r="AP1931" s="152"/>
      <c r="AQ1931" s="152"/>
      <c r="AR1931" s="152"/>
      <c r="AS1931" s="152"/>
      <c r="AT1931" s="152"/>
      <c r="AU1931" s="153"/>
      <c r="AV1931" s="479"/>
      <c r="AW1931" s="479"/>
      <c r="AX1931" s="442"/>
      <c r="AY1931" s="153"/>
      <c r="AZ1931" s="152"/>
      <c r="BA1931" s="152"/>
      <c r="BB1931" s="152"/>
      <c r="BC1931" s="152"/>
      <c r="BD1931" s="152"/>
      <c r="BE1931" s="152"/>
      <c r="BF1931" s="152"/>
      <c r="BG1931" s="152"/>
      <c r="BH1931" s="152"/>
      <c r="BI1931" s="153"/>
      <c r="BJ1931" s="153"/>
      <c r="BK1931" s="153"/>
      <c r="BL1931" s="153"/>
      <c r="BM1931" s="153"/>
      <c r="BN1931" s="153"/>
      <c r="BO1931" s="153"/>
      <c r="BP1931" s="153"/>
      <c r="BQ1931" s="153"/>
      <c r="BR1931" s="153"/>
      <c r="BS1931" s="153"/>
      <c r="BT1931" s="153"/>
      <c r="BU1931" s="153"/>
      <c r="BV1931" s="153"/>
      <c r="BW1931" s="153"/>
      <c r="BX1931" s="153"/>
      <c r="BY1931" s="153"/>
      <c r="BZ1931" s="153"/>
      <c r="CA1931" s="152"/>
      <c r="CB1931" s="152"/>
    </row>
    <row r="1932" spans="1:80" s="87" customFormat="1" x14ac:dyDescent="0.2">
      <c r="A1932" s="152"/>
      <c r="B1932" s="683"/>
      <c r="C1932" s="683"/>
      <c r="D1932" s="698"/>
      <c r="E1932" s="215"/>
      <c r="F1932" s="215"/>
      <c r="G1932" s="153"/>
      <c r="H1932" s="153"/>
      <c r="I1932" s="187">
        <v>8</v>
      </c>
      <c r="J1932" s="150" t="e">
        <f>(#REF!/I1932)*(60)</f>
        <v>#REF!</v>
      </c>
      <c r="K1932" s="150">
        <v>1</v>
      </c>
      <c r="L1932" s="656">
        <v>8</v>
      </c>
      <c r="M1932" s="661">
        <v>30432</v>
      </c>
      <c r="N1932" s="112">
        <v>0.13887379350000001</v>
      </c>
      <c r="O1932" s="117">
        <v>2.2040969999999999E-3</v>
      </c>
      <c r="P1932" s="101"/>
      <c r="Q1932" s="101"/>
      <c r="R1932" s="101"/>
      <c r="S1932" s="101"/>
      <c r="T1932" s="101"/>
      <c r="U1932" s="101"/>
      <c r="V1932" s="101"/>
      <c r="W1932" s="101"/>
      <c r="X1932" s="101"/>
      <c r="Y1932" s="101"/>
      <c r="Z1932" s="110"/>
      <c r="AA1932" s="110"/>
      <c r="AB1932" s="90" t="s">
        <v>185</v>
      </c>
      <c r="AC1932" s="152"/>
      <c r="AD1932" s="223"/>
      <c r="AE1932" s="223"/>
      <c r="AF1932" s="223"/>
      <c r="AG1932" s="223"/>
      <c r="AH1932" s="341"/>
      <c r="AI1932" s="218"/>
      <c r="AJ1932" s="218"/>
      <c r="AK1932" s="153"/>
      <c r="AL1932" s="152"/>
      <c r="AM1932" s="152"/>
      <c r="AN1932" s="152"/>
      <c r="AO1932" s="152"/>
      <c r="AP1932" s="152"/>
      <c r="AQ1932" s="152"/>
      <c r="AR1932" s="152"/>
      <c r="AS1932" s="152"/>
      <c r="AT1932" s="152"/>
      <c r="AU1932" s="153"/>
      <c r="AV1932" s="479"/>
      <c r="AW1932" s="479"/>
      <c r="AX1932" s="442"/>
      <c r="AY1932" s="153"/>
      <c r="AZ1932" s="152"/>
      <c r="BA1932" s="152"/>
      <c r="BB1932" s="152"/>
      <c r="BC1932" s="152"/>
      <c r="BD1932" s="152"/>
      <c r="BE1932" s="152"/>
      <c r="BF1932" s="152"/>
      <c r="BG1932" s="152"/>
      <c r="BH1932" s="152"/>
      <c r="BI1932" s="153"/>
      <c r="BJ1932" s="153"/>
      <c r="BK1932" s="153"/>
      <c r="BL1932" s="153"/>
      <c r="BM1932" s="153"/>
      <c r="BN1932" s="153"/>
      <c r="BO1932" s="153"/>
      <c r="BP1932" s="153"/>
      <c r="BQ1932" s="153"/>
      <c r="BR1932" s="153"/>
      <c r="BS1932" s="153"/>
      <c r="BT1932" s="153"/>
      <c r="BU1932" s="153"/>
      <c r="BV1932" s="153"/>
      <c r="BW1932" s="153"/>
      <c r="BX1932" s="153"/>
      <c r="BY1932" s="153"/>
      <c r="BZ1932" s="153"/>
      <c r="CA1932" s="152"/>
      <c r="CB1932" s="152"/>
    </row>
    <row r="1933" spans="1:80" s="87" customFormat="1" x14ac:dyDescent="0.2">
      <c r="A1933" s="152"/>
      <c r="B1933" s="683"/>
      <c r="C1933" s="683"/>
      <c r="D1933" s="698"/>
      <c r="E1933" s="215"/>
      <c r="F1933" s="215"/>
      <c r="G1933" s="153"/>
      <c r="H1933" s="153"/>
      <c r="I1933" s="187">
        <v>8</v>
      </c>
      <c r="J1933" s="150" t="e">
        <f>(#REF!/I1933)*(60)</f>
        <v>#REF!</v>
      </c>
      <c r="K1933" s="150">
        <v>1</v>
      </c>
      <c r="L1933" s="656">
        <v>8</v>
      </c>
      <c r="M1933" s="661">
        <v>30435</v>
      </c>
      <c r="N1933" s="112">
        <v>0.1147513731</v>
      </c>
      <c r="O1933" s="117">
        <v>7.0426147000000007E-3</v>
      </c>
      <c r="P1933" s="101"/>
      <c r="Q1933" s="101"/>
      <c r="R1933" s="101"/>
      <c r="S1933" s="101"/>
      <c r="T1933" s="101"/>
      <c r="U1933" s="101"/>
      <c r="V1933" s="101"/>
      <c r="W1933" s="101"/>
      <c r="X1933" s="101"/>
      <c r="Y1933" s="101"/>
      <c r="Z1933" s="110"/>
      <c r="AA1933" s="110"/>
      <c r="AB1933" s="90" t="s">
        <v>185</v>
      </c>
      <c r="AC1933" s="152"/>
      <c r="AD1933" s="223"/>
      <c r="AE1933" s="223"/>
      <c r="AF1933" s="223"/>
      <c r="AG1933" s="223"/>
      <c r="AH1933" s="341"/>
      <c r="AI1933" s="218"/>
      <c r="AJ1933" s="218"/>
      <c r="AK1933" s="153"/>
      <c r="AL1933" s="152"/>
      <c r="AM1933" s="152"/>
      <c r="AN1933" s="152"/>
      <c r="AO1933" s="152"/>
      <c r="AP1933" s="152"/>
      <c r="AQ1933" s="152"/>
      <c r="AR1933" s="152"/>
      <c r="AS1933" s="152"/>
      <c r="AT1933" s="152"/>
      <c r="AU1933" s="153"/>
      <c r="AV1933" s="479"/>
      <c r="AW1933" s="479"/>
      <c r="AX1933" s="442"/>
      <c r="AY1933" s="153"/>
      <c r="AZ1933" s="152"/>
      <c r="BA1933" s="152"/>
      <c r="BB1933" s="152"/>
      <c r="BC1933" s="152"/>
      <c r="BD1933" s="152"/>
      <c r="BE1933" s="152"/>
      <c r="BF1933" s="152"/>
      <c r="BG1933" s="152"/>
      <c r="BH1933" s="152"/>
      <c r="BI1933" s="153"/>
      <c r="BJ1933" s="153"/>
      <c r="BK1933" s="153"/>
      <c r="BL1933" s="153"/>
      <c r="BM1933" s="153"/>
      <c r="BN1933" s="153"/>
      <c r="BO1933" s="153"/>
      <c r="BP1933" s="153"/>
      <c r="BQ1933" s="153"/>
      <c r="BR1933" s="153"/>
      <c r="BS1933" s="153"/>
      <c r="BT1933" s="153"/>
      <c r="BU1933" s="153"/>
      <c r="BV1933" s="153"/>
      <c r="BW1933" s="153"/>
      <c r="BX1933" s="153"/>
      <c r="BY1933" s="153"/>
      <c r="BZ1933" s="153"/>
      <c r="CA1933" s="152"/>
      <c r="CB1933" s="152"/>
    </row>
    <row r="1934" spans="1:80" s="87" customFormat="1" x14ac:dyDescent="0.2">
      <c r="A1934" s="152"/>
      <c r="B1934" s="683"/>
      <c r="C1934" s="683"/>
      <c r="D1934" s="698"/>
      <c r="E1934" s="215"/>
      <c r="F1934" s="215"/>
      <c r="G1934" s="153"/>
      <c r="H1934" s="153"/>
      <c r="I1934" s="187">
        <v>8</v>
      </c>
      <c r="J1934" s="150" t="e">
        <f>(#REF!/I1934)*(60)</f>
        <v>#REF!</v>
      </c>
      <c r="K1934" s="150">
        <v>1</v>
      </c>
      <c r="L1934" s="656">
        <v>8</v>
      </c>
      <c r="M1934" s="661">
        <v>30437</v>
      </c>
      <c r="N1934" s="112">
        <v>0.12817159289999999</v>
      </c>
      <c r="O1934" s="117">
        <v>7.7878093999999998E-3</v>
      </c>
      <c r="P1934" s="101"/>
      <c r="Q1934" s="101"/>
      <c r="R1934" s="101"/>
      <c r="S1934" s="101"/>
      <c r="T1934" s="101"/>
      <c r="U1934" s="101"/>
      <c r="V1934" s="101"/>
      <c r="W1934" s="101"/>
      <c r="X1934" s="101"/>
      <c r="Y1934" s="101"/>
      <c r="Z1934" s="110"/>
      <c r="AA1934" s="110"/>
      <c r="AB1934" s="90" t="s">
        <v>185</v>
      </c>
      <c r="AC1934" s="152"/>
      <c r="AD1934" s="223"/>
      <c r="AE1934" s="223"/>
      <c r="AF1934" s="223"/>
      <c r="AG1934" s="223"/>
      <c r="AH1934" s="341"/>
      <c r="AI1934" s="218"/>
      <c r="AJ1934" s="218"/>
      <c r="AK1934" s="153"/>
      <c r="AL1934" s="152"/>
      <c r="AM1934" s="152"/>
      <c r="AN1934" s="152"/>
      <c r="AO1934" s="152"/>
      <c r="AP1934" s="152"/>
      <c r="AQ1934" s="152"/>
      <c r="AR1934" s="152"/>
      <c r="AS1934" s="152"/>
      <c r="AT1934" s="152"/>
      <c r="AU1934" s="153"/>
      <c r="AV1934" s="479"/>
      <c r="AW1934" s="479"/>
      <c r="AX1934" s="442"/>
      <c r="AY1934" s="153"/>
      <c r="AZ1934" s="152"/>
      <c r="BA1934" s="152"/>
      <c r="BB1934" s="152"/>
      <c r="BC1934" s="152"/>
      <c r="BD1934" s="152"/>
      <c r="BE1934" s="152"/>
      <c r="BF1934" s="152"/>
      <c r="BG1934" s="152"/>
      <c r="BH1934" s="152"/>
      <c r="BI1934" s="153"/>
      <c r="BJ1934" s="153"/>
      <c r="BK1934" s="153"/>
      <c r="BL1934" s="153"/>
      <c r="BM1934" s="153"/>
      <c r="BN1934" s="153"/>
      <c r="BO1934" s="153"/>
      <c r="BP1934" s="153"/>
      <c r="BQ1934" s="153"/>
      <c r="BR1934" s="153"/>
      <c r="BS1934" s="153"/>
      <c r="BT1934" s="153"/>
      <c r="BU1934" s="153"/>
      <c r="BV1934" s="153"/>
      <c r="BW1934" s="153"/>
      <c r="BX1934" s="153"/>
      <c r="BY1934" s="153"/>
      <c r="BZ1934" s="153"/>
      <c r="CA1934" s="152"/>
      <c r="CB1934" s="152"/>
    </row>
    <row r="1935" spans="1:80" s="87" customFormat="1" x14ac:dyDescent="0.2">
      <c r="A1935" s="152"/>
      <c r="B1935" s="683"/>
      <c r="C1935" s="683"/>
      <c r="D1935" s="698"/>
      <c r="E1935" s="215"/>
      <c r="F1935" s="215"/>
      <c r="G1935" s="153"/>
      <c r="H1935" s="153"/>
      <c r="I1935" s="187">
        <v>8</v>
      </c>
      <c r="J1935" s="150" t="e">
        <f>(#REF!/I1935)*(60)</f>
        <v>#REF!</v>
      </c>
      <c r="K1935" s="150">
        <v>1</v>
      </c>
      <c r="L1935" s="656">
        <v>8</v>
      </c>
      <c r="M1935" s="661">
        <v>30438</v>
      </c>
      <c r="N1935" s="112">
        <v>0.17471767169999999</v>
      </c>
      <c r="O1935" s="117">
        <v>9.8239752000000014E-3</v>
      </c>
      <c r="P1935" s="101"/>
      <c r="Q1935" s="101"/>
      <c r="R1935" s="101"/>
      <c r="S1935" s="101"/>
      <c r="T1935" s="101"/>
      <c r="U1935" s="101"/>
      <c r="V1935" s="101"/>
      <c r="W1935" s="101"/>
      <c r="X1935" s="101"/>
      <c r="Y1935" s="101"/>
      <c r="Z1935" s="110"/>
      <c r="AA1935" s="110"/>
      <c r="AB1935" s="90" t="s">
        <v>185</v>
      </c>
      <c r="AC1935" s="152"/>
      <c r="AD1935" s="223">
        <v>0.70801555499999991</v>
      </c>
      <c r="AE1935" s="223">
        <v>0.33526349999999999</v>
      </c>
      <c r="AF1935" s="223">
        <v>0.23780864000000002</v>
      </c>
      <c r="AG1935" s="223">
        <f>0.736055775</f>
        <v>0.73605577499999997</v>
      </c>
      <c r="AH1935" s="341"/>
      <c r="AI1935" s="218"/>
      <c r="AJ1935" s="218"/>
      <c r="AK1935" s="153"/>
      <c r="AL1935" s="152"/>
      <c r="AM1935" s="152"/>
      <c r="AN1935" s="152"/>
      <c r="AO1935" s="152"/>
      <c r="AP1935" s="152"/>
      <c r="AQ1935" s="152"/>
      <c r="AR1935" s="152"/>
      <c r="AS1935" s="152"/>
      <c r="AT1935" s="152"/>
      <c r="AU1935" s="153"/>
      <c r="AV1935" s="479"/>
      <c r="AW1935" s="479"/>
      <c r="AX1935" s="442"/>
      <c r="AY1935" s="153"/>
      <c r="AZ1935" s="152"/>
      <c r="BA1935" s="152"/>
      <c r="BB1935" s="152"/>
      <c r="BC1935" s="152"/>
      <c r="BD1935" s="152"/>
      <c r="BE1935" s="152"/>
      <c r="BF1935" s="152"/>
      <c r="BG1935" s="152"/>
      <c r="BH1935" s="152"/>
      <c r="BI1935" s="153"/>
      <c r="BJ1935" s="153"/>
      <c r="BK1935" s="153"/>
      <c r="BL1935" s="153"/>
      <c r="BM1935" s="153"/>
      <c r="BN1935" s="153"/>
      <c r="BO1935" s="153"/>
      <c r="BP1935" s="153"/>
      <c r="BQ1935" s="153"/>
      <c r="BR1935" s="153"/>
      <c r="BS1935" s="153"/>
      <c r="BT1935" s="153"/>
      <c r="BU1935" s="153"/>
      <c r="BV1935" s="153"/>
      <c r="BW1935" s="153"/>
      <c r="BX1935" s="153"/>
      <c r="BY1935" s="153"/>
      <c r="BZ1935" s="153"/>
      <c r="CA1935" s="152"/>
      <c r="CB1935" s="152"/>
    </row>
    <row r="1936" spans="1:80" s="87" customFormat="1" x14ac:dyDescent="0.2">
      <c r="A1936" s="152"/>
      <c r="B1936" s="683"/>
      <c r="C1936" s="683"/>
      <c r="D1936" s="698"/>
      <c r="E1936" s="215"/>
      <c r="F1936" s="215"/>
      <c r="G1936" s="153"/>
      <c r="H1936" s="153"/>
      <c r="I1936" s="187">
        <v>8</v>
      </c>
      <c r="J1936" s="150" t="e">
        <f>(#REF!/I1936)*(60)</f>
        <v>#REF!</v>
      </c>
      <c r="K1936" s="150">
        <v>1</v>
      </c>
      <c r="L1936" s="656">
        <v>8</v>
      </c>
      <c r="M1936" s="661">
        <v>30440</v>
      </c>
      <c r="N1936" s="112">
        <v>0.15521022140000001</v>
      </c>
      <c r="O1936" s="117">
        <v>5.6151995000000001E-3</v>
      </c>
      <c r="P1936" s="101"/>
      <c r="Q1936" s="101"/>
      <c r="R1936" s="101"/>
      <c r="S1936" s="101"/>
      <c r="T1936" s="101"/>
      <c r="U1936" s="101"/>
      <c r="V1936" s="101"/>
      <c r="W1936" s="101"/>
      <c r="X1936" s="101"/>
      <c r="Y1936" s="101"/>
      <c r="Z1936" s="110"/>
      <c r="AA1936" s="110"/>
      <c r="AB1936" s="90" t="s">
        <v>185</v>
      </c>
      <c r="AC1936" s="152"/>
      <c r="AD1936" s="223"/>
      <c r="AE1936" s="223"/>
      <c r="AF1936" s="223"/>
      <c r="AG1936" s="223"/>
      <c r="AH1936" s="341"/>
      <c r="AI1936" s="218"/>
      <c r="AJ1936" s="218"/>
      <c r="AK1936" s="153"/>
      <c r="AL1936" s="152"/>
      <c r="AM1936" s="152"/>
      <c r="AN1936" s="152"/>
      <c r="AO1936" s="152"/>
      <c r="AP1936" s="152"/>
      <c r="AQ1936" s="152"/>
      <c r="AR1936" s="152"/>
      <c r="AS1936" s="152"/>
      <c r="AT1936" s="152"/>
      <c r="AU1936" s="153"/>
      <c r="AV1936" s="479"/>
      <c r="AW1936" s="479"/>
      <c r="AX1936" s="442"/>
      <c r="AY1936" s="153"/>
      <c r="AZ1936" s="152"/>
      <c r="BA1936" s="152"/>
      <c r="BB1936" s="152"/>
      <c r="BC1936" s="152"/>
      <c r="BD1936" s="152"/>
      <c r="BE1936" s="152"/>
      <c r="BF1936" s="152"/>
      <c r="BG1936" s="152"/>
      <c r="BH1936" s="152"/>
      <c r="BI1936" s="153"/>
      <c r="BJ1936" s="153"/>
      <c r="BK1936" s="153"/>
      <c r="BL1936" s="153"/>
      <c r="BM1936" s="153"/>
      <c r="BN1936" s="153"/>
      <c r="BO1936" s="153"/>
      <c r="BP1936" s="153"/>
      <c r="BQ1936" s="153"/>
      <c r="BR1936" s="153"/>
      <c r="BS1936" s="153"/>
      <c r="BT1936" s="153"/>
      <c r="BU1936" s="153"/>
      <c r="BV1936" s="153"/>
      <c r="BW1936" s="153"/>
      <c r="BX1936" s="153"/>
      <c r="BY1936" s="153"/>
      <c r="BZ1936" s="153"/>
      <c r="CA1936" s="152"/>
      <c r="CB1936" s="152"/>
    </row>
    <row r="1937" spans="1:80" s="87" customFormat="1" x14ac:dyDescent="0.2">
      <c r="A1937" s="152"/>
      <c r="B1937" s="683"/>
      <c r="C1937" s="683"/>
      <c r="D1937" s="698"/>
      <c r="E1937" s="215"/>
      <c r="F1937" s="215"/>
      <c r="G1937" s="153"/>
      <c r="H1937" s="153"/>
      <c r="I1937" s="187">
        <v>8</v>
      </c>
      <c r="J1937" s="150" t="e">
        <f>(#REF!/I1937)*(60)</f>
        <v>#REF!</v>
      </c>
      <c r="K1937" s="150">
        <v>1</v>
      </c>
      <c r="L1937" s="656">
        <v>8</v>
      </c>
      <c r="M1937" s="661">
        <v>30442</v>
      </c>
      <c r="N1937" s="112">
        <v>0.12299036880000001</v>
      </c>
      <c r="O1937" s="117">
        <v>4.7335607000000002E-3</v>
      </c>
      <c r="P1937" s="101"/>
      <c r="Q1937" s="101"/>
      <c r="R1937" s="101"/>
      <c r="S1937" s="101"/>
      <c r="T1937" s="101"/>
      <c r="U1937" s="101"/>
      <c r="V1937" s="101"/>
      <c r="W1937" s="101"/>
      <c r="X1937" s="101"/>
      <c r="Y1937" s="101"/>
      <c r="Z1937" s="110"/>
      <c r="AA1937" s="110"/>
      <c r="AB1937" s="90" t="s">
        <v>185</v>
      </c>
      <c r="AC1937" s="152"/>
      <c r="AD1937" s="223"/>
      <c r="AE1937" s="223"/>
      <c r="AF1937" s="223"/>
      <c r="AG1937" s="223"/>
      <c r="AH1937" s="341"/>
      <c r="AI1937" s="218"/>
      <c r="AJ1937" s="218"/>
      <c r="AK1937" s="153"/>
      <c r="AL1937" s="152"/>
      <c r="AM1937" s="152"/>
      <c r="AN1937" s="152"/>
      <c r="AO1937" s="152"/>
      <c r="AP1937" s="152"/>
      <c r="AQ1937" s="152"/>
      <c r="AR1937" s="152"/>
      <c r="AS1937" s="152"/>
      <c r="AT1937" s="152"/>
      <c r="AU1937" s="153"/>
      <c r="AV1937" s="479"/>
      <c r="AW1937" s="479"/>
      <c r="AX1937" s="442"/>
      <c r="AY1937" s="153"/>
      <c r="AZ1937" s="152"/>
      <c r="BA1937" s="152"/>
      <c r="BB1937" s="152"/>
      <c r="BC1937" s="152"/>
      <c r="BD1937" s="152"/>
      <c r="BE1937" s="152"/>
      <c r="BF1937" s="152"/>
      <c r="BG1937" s="152"/>
      <c r="BH1937" s="152"/>
      <c r="BI1937" s="153"/>
      <c r="BJ1937" s="153"/>
      <c r="BK1937" s="153"/>
      <c r="BL1937" s="153"/>
      <c r="BM1937" s="153"/>
      <c r="BN1937" s="153"/>
      <c r="BO1937" s="153"/>
      <c r="BP1937" s="153"/>
      <c r="BQ1937" s="153"/>
      <c r="BR1937" s="153"/>
      <c r="BS1937" s="153"/>
      <c r="BT1937" s="153"/>
      <c r="BU1937" s="153"/>
      <c r="BV1937" s="153"/>
      <c r="BW1937" s="153"/>
      <c r="BX1937" s="153"/>
      <c r="BY1937" s="153"/>
      <c r="BZ1937" s="153"/>
      <c r="CA1937" s="152"/>
      <c r="CB1937" s="152"/>
    </row>
    <row r="1938" spans="1:80" s="87" customFormat="1" x14ac:dyDescent="0.2">
      <c r="A1938" s="152"/>
      <c r="B1938" s="683"/>
      <c r="C1938" s="683"/>
      <c r="D1938" s="698"/>
      <c r="E1938" s="215"/>
      <c r="F1938" s="215"/>
      <c r="G1938" s="153"/>
      <c r="H1938" s="153"/>
      <c r="I1938" s="187">
        <v>8</v>
      </c>
      <c r="J1938" s="150" t="e">
        <f>(#REF!/I1938)*(60)</f>
        <v>#REF!</v>
      </c>
      <c r="K1938" s="150">
        <v>1</v>
      </c>
      <c r="L1938" s="656">
        <v>8</v>
      </c>
      <c r="M1938" s="661">
        <v>30445</v>
      </c>
      <c r="N1938" s="112">
        <v>8.8109122400000003E-2</v>
      </c>
      <c r="O1938" s="117">
        <v>2.8233433000000004E-3</v>
      </c>
      <c r="P1938" s="101"/>
      <c r="Q1938" s="101"/>
      <c r="R1938" s="101"/>
      <c r="S1938" s="101"/>
      <c r="T1938" s="101"/>
      <c r="U1938" s="101"/>
      <c r="V1938" s="101"/>
      <c r="W1938" s="101"/>
      <c r="X1938" s="101"/>
      <c r="Y1938" s="101"/>
      <c r="Z1938" s="110"/>
      <c r="AA1938" s="110"/>
      <c r="AB1938" s="90" t="s">
        <v>185</v>
      </c>
      <c r="AC1938" s="152"/>
      <c r="AD1938" s="223">
        <v>0.70801555499999991</v>
      </c>
      <c r="AE1938" s="223">
        <v>0.27156343499999996</v>
      </c>
      <c r="AF1938" s="223">
        <v>0.19229057999999999</v>
      </c>
      <c r="AG1938" s="223">
        <f>0.458091855</f>
        <v>0.45809185499999999</v>
      </c>
      <c r="AH1938" s="341"/>
      <c r="AI1938" s="218"/>
      <c r="AJ1938" s="218"/>
      <c r="AK1938" s="153"/>
      <c r="AL1938" s="152"/>
      <c r="AM1938" s="152"/>
      <c r="AN1938" s="152"/>
      <c r="AO1938" s="152"/>
      <c r="AP1938" s="152"/>
      <c r="AQ1938" s="152"/>
      <c r="AR1938" s="152"/>
      <c r="AS1938" s="152"/>
      <c r="AT1938" s="152"/>
      <c r="AU1938" s="153"/>
      <c r="AV1938" s="479"/>
      <c r="AW1938" s="479"/>
      <c r="AX1938" s="442"/>
      <c r="AY1938" s="153"/>
      <c r="AZ1938" s="152"/>
      <c r="BA1938" s="152"/>
      <c r="BB1938" s="152"/>
      <c r="BC1938" s="152"/>
      <c r="BD1938" s="152"/>
      <c r="BE1938" s="152"/>
      <c r="BF1938" s="152"/>
      <c r="BG1938" s="152"/>
      <c r="BH1938" s="152"/>
      <c r="BI1938" s="153"/>
      <c r="BJ1938" s="153"/>
      <c r="BK1938" s="153"/>
      <c r="BL1938" s="153"/>
      <c r="BM1938" s="153"/>
      <c r="BN1938" s="153"/>
      <c r="BO1938" s="153"/>
      <c r="BP1938" s="153"/>
      <c r="BQ1938" s="153"/>
      <c r="BR1938" s="153"/>
      <c r="BS1938" s="153"/>
      <c r="BT1938" s="153"/>
      <c r="BU1938" s="153"/>
      <c r="BV1938" s="153"/>
      <c r="BW1938" s="153"/>
      <c r="BX1938" s="153"/>
      <c r="BY1938" s="153"/>
      <c r="BZ1938" s="153"/>
      <c r="CA1938" s="152"/>
      <c r="CB1938" s="152"/>
    </row>
    <row r="1939" spans="1:80" s="87" customFormat="1" x14ac:dyDescent="0.2">
      <c r="A1939" s="152"/>
      <c r="B1939" s="683"/>
      <c r="C1939" s="683"/>
      <c r="D1939" s="698"/>
      <c r="E1939" s="215"/>
      <c r="F1939" s="215"/>
      <c r="G1939" s="153"/>
      <c r="H1939" s="153"/>
      <c r="I1939" s="187">
        <v>8</v>
      </c>
      <c r="J1939" s="150" t="e">
        <f>(#REF!/I1939)*(60)</f>
        <v>#REF!</v>
      </c>
      <c r="K1939" s="150">
        <v>1</v>
      </c>
      <c r="L1939" s="656">
        <v>8</v>
      </c>
      <c r="M1939" s="661">
        <v>30447</v>
      </c>
      <c r="N1939" s="112">
        <v>7.0158870600000006E-2</v>
      </c>
      <c r="O1939" s="117">
        <v>1.3224581999999999E-3</v>
      </c>
      <c r="P1939" s="101"/>
      <c r="Q1939" s="101"/>
      <c r="R1939" s="101"/>
      <c r="S1939" s="101"/>
      <c r="T1939" s="101"/>
      <c r="U1939" s="101"/>
      <c r="V1939" s="101"/>
      <c r="W1939" s="101"/>
      <c r="X1939" s="101"/>
      <c r="Y1939" s="101"/>
      <c r="Z1939" s="110"/>
      <c r="AA1939" s="110"/>
      <c r="AB1939" s="90" t="s">
        <v>185</v>
      </c>
      <c r="AC1939" s="152"/>
      <c r="AD1939" s="223">
        <v>0.70801555499999991</v>
      </c>
      <c r="AE1939" s="223">
        <v>0.24199928999999998</v>
      </c>
      <c r="AF1939" s="223">
        <v>0.17092496000000001</v>
      </c>
      <c r="AG1939" s="223">
        <f>0.40963104</f>
        <v>0.40963104</v>
      </c>
      <c r="AH1939" s="341"/>
      <c r="AI1939" s="218"/>
      <c r="AJ1939" s="218"/>
      <c r="AK1939" s="153"/>
      <c r="AL1939" s="152"/>
      <c r="AM1939" s="152"/>
      <c r="AN1939" s="152"/>
      <c r="AO1939" s="152"/>
      <c r="AP1939" s="152"/>
      <c r="AQ1939" s="152"/>
      <c r="AR1939" s="152"/>
      <c r="AS1939" s="152"/>
      <c r="AT1939" s="152"/>
      <c r="AU1939" s="153"/>
      <c r="AV1939" s="479"/>
      <c r="AW1939" s="479"/>
      <c r="AX1939" s="442"/>
      <c r="AY1939" s="153"/>
      <c r="AZ1939" s="152"/>
      <c r="BA1939" s="152"/>
      <c r="BB1939" s="152"/>
      <c r="BC1939" s="152"/>
      <c r="BD1939" s="152"/>
      <c r="BE1939" s="152"/>
      <c r="BF1939" s="152"/>
      <c r="BG1939" s="152"/>
      <c r="BH1939" s="152"/>
      <c r="BI1939" s="153"/>
      <c r="BJ1939" s="153"/>
      <c r="BK1939" s="153"/>
      <c r="BL1939" s="153"/>
      <c r="BM1939" s="153"/>
      <c r="BN1939" s="153"/>
      <c r="BO1939" s="153"/>
      <c r="BP1939" s="153"/>
      <c r="BQ1939" s="153"/>
      <c r="BR1939" s="153"/>
      <c r="BS1939" s="153"/>
      <c r="BT1939" s="153"/>
      <c r="BU1939" s="153"/>
      <c r="BV1939" s="153"/>
      <c r="BW1939" s="153"/>
      <c r="BX1939" s="153"/>
      <c r="BY1939" s="153"/>
      <c r="BZ1939" s="153"/>
      <c r="CA1939" s="152"/>
      <c r="CB1939" s="152"/>
    </row>
    <row r="1940" spans="1:80" s="87" customFormat="1" x14ac:dyDescent="0.2">
      <c r="A1940" s="152"/>
      <c r="B1940" s="683"/>
      <c r="C1940" s="683"/>
      <c r="D1940" s="698"/>
      <c r="E1940" s="215"/>
      <c r="F1940" s="215"/>
      <c r="G1940" s="153"/>
      <c r="H1940" s="153"/>
      <c r="I1940" s="187">
        <v>8</v>
      </c>
      <c r="J1940" s="150" t="e">
        <f>(#REF!/I1940)*(60)</f>
        <v>#REF!</v>
      </c>
      <c r="K1940" s="150">
        <v>1</v>
      </c>
      <c r="L1940" s="656">
        <v>8</v>
      </c>
      <c r="M1940" s="661">
        <v>30450</v>
      </c>
      <c r="N1940" s="112">
        <v>6.4921021100000004E-2</v>
      </c>
      <c r="O1940" s="117">
        <v>9.0158063000000011E-4</v>
      </c>
      <c r="P1940" s="101"/>
      <c r="Q1940" s="101"/>
      <c r="R1940" s="101"/>
      <c r="S1940" s="101"/>
      <c r="T1940" s="101"/>
      <c r="U1940" s="101"/>
      <c r="V1940" s="101"/>
      <c r="W1940" s="101"/>
      <c r="X1940" s="101"/>
      <c r="Y1940" s="101"/>
      <c r="Z1940" s="110"/>
      <c r="AA1940" s="110"/>
      <c r="AB1940" s="90" t="s">
        <v>185</v>
      </c>
      <c r="AC1940" s="152"/>
      <c r="AD1940" s="223">
        <v>0.70801555499999991</v>
      </c>
      <c r="AE1940" s="223">
        <v>0.22828396499999998</v>
      </c>
      <c r="AF1940" s="223">
        <v>0.16163556000000001</v>
      </c>
      <c r="AG1940" s="223">
        <f>0.40170663</f>
        <v>0.40170663000000001</v>
      </c>
      <c r="AH1940" s="341"/>
      <c r="AI1940" s="218"/>
      <c r="AJ1940" s="218"/>
      <c r="AK1940" s="153"/>
      <c r="AL1940" s="152"/>
      <c r="AM1940" s="152"/>
      <c r="AN1940" s="152"/>
      <c r="AO1940" s="152"/>
      <c r="AP1940" s="152"/>
      <c r="AQ1940" s="152"/>
      <c r="AR1940" s="152"/>
      <c r="AS1940" s="152"/>
      <c r="AT1940" s="152"/>
      <c r="AU1940" s="153"/>
      <c r="AV1940" s="479"/>
      <c r="AW1940" s="479"/>
      <c r="AX1940" s="442"/>
      <c r="AY1940" s="153"/>
      <c r="AZ1940" s="152"/>
      <c r="BA1940" s="152"/>
      <c r="BB1940" s="152"/>
      <c r="BC1940" s="152"/>
      <c r="BD1940" s="152"/>
      <c r="BE1940" s="152"/>
      <c r="BF1940" s="152"/>
      <c r="BG1940" s="152"/>
      <c r="BH1940" s="152"/>
      <c r="BI1940" s="153"/>
      <c r="BJ1940" s="153"/>
      <c r="BK1940" s="153"/>
      <c r="BL1940" s="153"/>
      <c r="BM1940" s="153"/>
      <c r="BN1940" s="153"/>
      <c r="BO1940" s="153"/>
      <c r="BP1940" s="153"/>
      <c r="BQ1940" s="153"/>
      <c r="BR1940" s="153"/>
      <c r="BS1940" s="153"/>
      <c r="BT1940" s="153"/>
      <c r="BU1940" s="153"/>
      <c r="BV1940" s="153"/>
      <c r="BW1940" s="153"/>
      <c r="BX1940" s="153"/>
      <c r="BY1940" s="153"/>
      <c r="BZ1940" s="153"/>
      <c r="CA1940" s="152"/>
      <c r="CB1940" s="152"/>
    </row>
    <row r="1941" spans="1:80" s="87" customFormat="1" x14ac:dyDescent="0.2">
      <c r="A1941" s="152"/>
      <c r="B1941" s="683"/>
      <c r="C1941" s="683"/>
      <c r="D1941" s="698"/>
      <c r="E1941" s="215"/>
      <c r="F1941" s="215"/>
      <c r="G1941" s="153"/>
      <c r="H1941" s="153"/>
      <c r="I1941" s="187">
        <v>8</v>
      </c>
      <c r="J1941" s="150" t="e">
        <f>(#REF!/I1941)*(60)</f>
        <v>#REF!</v>
      </c>
      <c r="K1941" s="150">
        <v>1</v>
      </c>
      <c r="L1941" s="656">
        <v>7</v>
      </c>
      <c r="M1941" s="661">
        <v>30451</v>
      </c>
      <c r="N1941" s="112">
        <v>6.2316252699999998E-2</v>
      </c>
      <c r="O1941" s="117">
        <v>7.1475716999999997E-4</v>
      </c>
      <c r="P1941" s="101"/>
      <c r="Q1941" s="101"/>
      <c r="R1941" s="101"/>
      <c r="S1941" s="101"/>
      <c r="T1941" s="101"/>
      <c r="U1941" s="101"/>
      <c r="V1941" s="101"/>
      <c r="W1941" s="101"/>
      <c r="X1941" s="101"/>
      <c r="Y1941" s="101"/>
      <c r="Z1941" s="110"/>
      <c r="AA1941" s="110"/>
      <c r="AB1941" s="90" t="s">
        <v>185</v>
      </c>
      <c r="AC1941" s="152"/>
      <c r="AD1941" s="223">
        <v>0.70801555499999991</v>
      </c>
      <c r="AE1941" s="223">
        <v>0.22889353499999998</v>
      </c>
      <c r="AF1941" s="223">
        <v>0.16163556000000001</v>
      </c>
      <c r="AG1941" s="223">
        <f>0.384333885</f>
        <v>0.38433388499999999</v>
      </c>
      <c r="AH1941" s="341"/>
      <c r="AI1941" s="218"/>
      <c r="AJ1941" s="218"/>
      <c r="AK1941" s="153"/>
      <c r="AL1941" s="152"/>
      <c r="AM1941" s="152"/>
      <c r="AN1941" s="152"/>
      <c r="AO1941" s="152"/>
      <c r="AP1941" s="152"/>
      <c r="AQ1941" s="152"/>
      <c r="AR1941" s="152"/>
      <c r="AS1941" s="152"/>
      <c r="AT1941" s="152"/>
      <c r="AU1941" s="153"/>
      <c r="AV1941" s="479"/>
      <c r="AW1941" s="479"/>
      <c r="AX1941" s="442"/>
      <c r="AY1941" s="153"/>
      <c r="AZ1941" s="152"/>
      <c r="BA1941" s="152"/>
      <c r="BB1941" s="152"/>
      <c r="BC1941" s="152"/>
      <c r="BD1941" s="152"/>
      <c r="BE1941" s="152"/>
      <c r="BF1941" s="152"/>
      <c r="BG1941" s="152"/>
      <c r="BH1941" s="152"/>
      <c r="BI1941" s="153"/>
      <c r="BJ1941" s="153"/>
      <c r="BK1941" s="153"/>
      <c r="BL1941" s="153"/>
      <c r="BM1941" s="153"/>
      <c r="BN1941" s="153"/>
      <c r="BO1941" s="153"/>
      <c r="BP1941" s="153"/>
      <c r="BQ1941" s="153"/>
      <c r="BR1941" s="153"/>
      <c r="BS1941" s="153"/>
      <c r="BT1941" s="153"/>
      <c r="BU1941" s="153"/>
      <c r="BV1941" s="153"/>
      <c r="BW1941" s="153"/>
      <c r="BX1941" s="153"/>
      <c r="BY1941" s="153"/>
      <c r="BZ1941" s="153"/>
      <c r="CA1941" s="152"/>
      <c r="CB1941" s="152"/>
    </row>
    <row r="1942" spans="1:80" s="87" customFormat="1" x14ac:dyDescent="0.2">
      <c r="A1942" s="152"/>
      <c r="B1942" s="683"/>
      <c r="C1942" s="683"/>
      <c r="D1942" s="698"/>
      <c r="E1942" s="215"/>
      <c r="F1942" s="215"/>
      <c r="G1942" s="153"/>
      <c r="H1942" s="153"/>
      <c r="I1942" s="187">
        <v>8</v>
      </c>
      <c r="J1942" s="150" t="e">
        <f>(#REF!/I1942)*(60)</f>
        <v>#REF!</v>
      </c>
      <c r="K1942" s="150">
        <v>1</v>
      </c>
      <c r="L1942" s="656">
        <v>7</v>
      </c>
      <c r="M1942" s="661">
        <v>30453</v>
      </c>
      <c r="N1942" s="112">
        <v>7.3075078700000004E-2</v>
      </c>
      <c r="O1942" s="117">
        <v>5.7726350000000001E-4</v>
      </c>
      <c r="P1942" s="101"/>
      <c r="Q1942" s="101"/>
      <c r="R1942" s="101"/>
      <c r="S1942" s="101"/>
      <c r="T1942" s="101"/>
      <c r="U1942" s="101"/>
      <c r="V1942" s="101"/>
      <c r="W1942" s="101"/>
      <c r="X1942" s="101"/>
      <c r="Y1942" s="101"/>
      <c r="Z1942" s="110"/>
      <c r="AA1942" s="110"/>
      <c r="AB1942" s="90" t="s">
        <v>185</v>
      </c>
      <c r="AC1942" s="152"/>
      <c r="AD1942" s="223">
        <v>0.70801555499999991</v>
      </c>
      <c r="AE1942" s="223">
        <v>0.23316052499999998</v>
      </c>
      <c r="AF1942" s="223">
        <v>0.16535132000000002</v>
      </c>
      <c r="AG1942" s="223">
        <f>0.44254782</f>
        <v>0.44254781999999998</v>
      </c>
      <c r="AH1942" s="341"/>
      <c r="AI1942" s="218"/>
      <c r="AJ1942" s="218"/>
      <c r="AK1942" s="153"/>
      <c r="AL1942" s="152"/>
      <c r="AM1942" s="152"/>
      <c r="AN1942" s="152"/>
      <c r="AO1942" s="152"/>
      <c r="AP1942" s="152"/>
      <c r="AQ1942" s="152"/>
      <c r="AR1942" s="152"/>
      <c r="AS1942" s="152"/>
      <c r="AT1942" s="152"/>
      <c r="AU1942" s="153"/>
      <c r="AV1942" s="479"/>
      <c r="AW1942" s="479"/>
      <c r="AX1942" s="442"/>
      <c r="AY1942" s="153"/>
      <c r="AZ1942" s="152"/>
      <c r="BA1942" s="152"/>
      <c r="BB1942" s="152"/>
      <c r="BC1942" s="152"/>
      <c r="BD1942" s="152"/>
      <c r="BE1942" s="152"/>
      <c r="BF1942" s="152"/>
      <c r="BG1942" s="152"/>
      <c r="BH1942" s="152"/>
      <c r="BI1942" s="153"/>
      <c r="BJ1942" s="153"/>
      <c r="BK1942" s="153"/>
      <c r="BL1942" s="153"/>
      <c r="BM1942" s="153"/>
      <c r="BN1942" s="153"/>
      <c r="BO1942" s="153"/>
      <c r="BP1942" s="153"/>
      <c r="BQ1942" s="153"/>
      <c r="BR1942" s="153"/>
      <c r="BS1942" s="153"/>
      <c r="BT1942" s="153"/>
      <c r="BU1942" s="153"/>
      <c r="BV1942" s="153"/>
      <c r="BW1942" s="153"/>
      <c r="BX1942" s="153"/>
      <c r="BY1942" s="153"/>
      <c r="BZ1942" s="153"/>
      <c r="CA1942" s="152"/>
      <c r="CB1942" s="152"/>
    </row>
    <row r="1943" spans="1:80" s="87" customFormat="1" x14ac:dyDescent="0.2">
      <c r="A1943" s="152"/>
      <c r="B1943" s="683"/>
      <c r="C1943" s="683"/>
      <c r="D1943" s="698"/>
      <c r="E1943" s="215"/>
      <c r="F1943" s="215"/>
      <c r="G1943" s="153"/>
      <c r="H1943" s="153"/>
      <c r="I1943" s="187">
        <v>8</v>
      </c>
      <c r="J1943" s="150" t="e">
        <f>(#REF!/I1943)*(60)</f>
        <v>#REF!</v>
      </c>
      <c r="K1943" s="150">
        <v>1</v>
      </c>
      <c r="L1943" s="656">
        <v>8</v>
      </c>
      <c r="M1943" s="661">
        <v>30456</v>
      </c>
      <c r="N1943" s="112">
        <v>7.0073932500000005E-2</v>
      </c>
      <c r="O1943" s="117">
        <v>6.3813856000000005E-4</v>
      </c>
      <c r="P1943" s="101"/>
      <c r="Q1943" s="101"/>
      <c r="R1943" s="101"/>
      <c r="S1943" s="101"/>
      <c r="T1943" s="101"/>
      <c r="U1943" s="101"/>
      <c r="V1943" s="101"/>
      <c r="W1943" s="101"/>
      <c r="X1943" s="101"/>
      <c r="Y1943" s="101"/>
      <c r="Z1943" s="110"/>
      <c r="AA1943" s="110"/>
      <c r="AB1943" s="90" t="s">
        <v>185</v>
      </c>
      <c r="AC1943" s="152"/>
      <c r="AD1943" s="223">
        <v>0.70801555499999991</v>
      </c>
      <c r="AE1943" s="223">
        <v>0.22858874999999998</v>
      </c>
      <c r="AF1943" s="223">
        <v>0.16163556000000001</v>
      </c>
      <c r="AG1943" s="223">
        <f>0.433099485</f>
        <v>0.43309948500000001</v>
      </c>
      <c r="AH1943" s="341"/>
      <c r="AI1943" s="218"/>
      <c r="AJ1943" s="218"/>
      <c r="AK1943" s="153"/>
      <c r="AL1943" s="152"/>
      <c r="AM1943" s="152"/>
      <c r="AN1943" s="152"/>
      <c r="AO1943" s="152"/>
      <c r="AP1943" s="152"/>
      <c r="AQ1943" s="152"/>
      <c r="AR1943" s="152"/>
      <c r="AS1943" s="152"/>
      <c r="AT1943" s="152"/>
      <c r="AU1943" s="153"/>
      <c r="AV1943" s="479"/>
      <c r="AW1943" s="479"/>
      <c r="AX1943" s="442"/>
      <c r="AY1943" s="153"/>
      <c r="AZ1943" s="152"/>
      <c r="BA1943" s="152"/>
      <c r="BB1943" s="152"/>
      <c r="BC1943" s="152"/>
      <c r="BD1943" s="152"/>
      <c r="BE1943" s="152"/>
      <c r="BF1943" s="152"/>
      <c r="BG1943" s="152"/>
      <c r="BH1943" s="152"/>
      <c r="BI1943" s="153"/>
      <c r="BJ1943" s="153"/>
      <c r="BK1943" s="153"/>
      <c r="BL1943" s="153"/>
      <c r="BM1943" s="153"/>
      <c r="BN1943" s="153"/>
      <c r="BO1943" s="153"/>
      <c r="BP1943" s="153"/>
      <c r="BQ1943" s="153"/>
      <c r="BR1943" s="153"/>
      <c r="BS1943" s="153"/>
      <c r="BT1943" s="153"/>
      <c r="BU1943" s="153"/>
      <c r="BV1943" s="153"/>
      <c r="BW1943" s="153"/>
      <c r="BX1943" s="153"/>
      <c r="BY1943" s="153"/>
      <c r="BZ1943" s="153"/>
      <c r="CA1943" s="152"/>
      <c r="CB1943" s="152"/>
    </row>
    <row r="1944" spans="1:80" s="87" customFormat="1" x14ac:dyDescent="0.2">
      <c r="A1944" s="152"/>
      <c r="B1944" s="683"/>
      <c r="C1944" s="683"/>
      <c r="D1944" s="698"/>
      <c r="E1944" s="215"/>
      <c r="F1944" s="215"/>
      <c r="G1944" s="153"/>
      <c r="H1944" s="153"/>
      <c r="I1944" s="187">
        <v>8</v>
      </c>
      <c r="J1944" s="150" t="e">
        <f>(#REF!/I1944)*(60)</f>
        <v>#REF!</v>
      </c>
      <c r="K1944" s="150">
        <v>1</v>
      </c>
      <c r="L1944" s="656">
        <v>8</v>
      </c>
      <c r="M1944" s="661">
        <v>30790</v>
      </c>
      <c r="N1944" s="112">
        <v>0.12321687040000001</v>
      </c>
      <c r="O1944" s="117">
        <v>4.2717498999999999E-3</v>
      </c>
      <c r="P1944" s="101"/>
      <c r="Q1944" s="101"/>
      <c r="R1944" s="101"/>
      <c r="S1944" s="101"/>
      <c r="T1944" s="101"/>
      <c r="U1944" s="101"/>
      <c r="V1944" s="101"/>
      <c r="W1944" s="101"/>
      <c r="X1944" s="101"/>
      <c r="Y1944" s="101"/>
      <c r="Z1944" s="110"/>
      <c r="AA1944" s="110"/>
      <c r="AB1944" s="90" t="s">
        <v>185</v>
      </c>
      <c r="AC1944" s="152"/>
      <c r="AD1944" s="223">
        <v>0.70801555499999991</v>
      </c>
      <c r="AE1944" s="223">
        <v>0.29838451499999996</v>
      </c>
      <c r="AF1944" s="223">
        <v>0.21086938000000002</v>
      </c>
      <c r="AG1944" s="223">
        <f>0.58335849</f>
        <v>0.58335848999999995</v>
      </c>
      <c r="AH1944" s="341"/>
      <c r="AI1944" s="218"/>
      <c r="AJ1944" s="218"/>
      <c r="AK1944" s="153"/>
      <c r="AL1944" s="152"/>
      <c r="AM1944" s="152"/>
      <c r="AN1944" s="152"/>
      <c r="AO1944" s="152"/>
      <c r="AP1944" s="152"/>
      <c r="AQ1944" s="152"/>
      <c r="AR1944" s="152"/>
      <c r="AS1944" s="152"/>
      <c r="AT1944" s="152"/>
      <c r="AU1944" s="153"/>
      <c r="AV1944" s="479"/>
      <c r="AW1944" s="479"/>
      <c r="AX1944" s="442"/>
      <c r="AY1944" s="153"/>
      <c r="AZ1944" s="152"/>
      <c r="BA1944" s="152"/>
      <c r="BB1944" s="152"/>
      <c r="BC1944" s="152"/>
      <c r="BD1944" s="152"/>
      <c r="BE1944" s="152"/>
      <c r="BF1944" s="152"/>
      <c r="BG1944" s="152"/>
      <c r="BH1944" s="152"/>
      <c r="BI1944" s="153"/>
      <c r="BJ1944" s="153"/>
      <c r="BK1944" s="153"/>
      <c r="BL1944" s="153"/>
      <c r="BM1944" s="153"/>
      <c r="BN1944" s="153"/>
      <c r="BO1944" s="153"/>
      <c r="BP1944" s="153"/>
      <c r="BQ1944" s="153"/>
      <c r="BR1944" s="153"/>
      <c r="BS1944" s="153"/>
      <c r="BT1944" s="153"/>
      <c r="BU1944" s="153"/>
      <c r="BV1944" s="153"/>
      <c r="BW1944" s="153"/>
      <c r="BX1944" s="153"/>
      <c r="BY1944" s="153"/>
      <c r="BZ1944" s="153"/>
      <c r="CA1944" s="152"/>
      <c r="CB1944" s="152"/>
    </row>
    <row r="1945" spans="1:80" s="87" customFormat="1" x14ac:dyDescent="0.2">
      <c r="A1945" s="152"/>
      <c r="B1945" s="683"/>
      <c r="C1945" s="683"/>
      <c r="D1945" s="698"/>
      <c r="E1945" s="215"/>
      <c r="F1945" s="215"/>
      <c r="G1945" s="153"/>
      <c r="H1945" s="153"/>
      <c r="I1945" s="187">
        <v>8</v>
      </c>
      <c r="J1945" s="150" t="e">
        <f>(#REF!/I1945)*(60)</f>
        <v>#REF!</v>
      </c>
      <c r="K1945" s="150">
        <v>1</v>
      </c>
      <c r="L1945" s="656">
        <v>8</v>
      </c>
      <c r="M1945" s="661">
        <v>30791</v>
      </c>
      <c r="N1945" s="112">
        <v>0.10696538059999999</v>
      </c>
      <c r="O1945" s="117">
        <v>3.6420078999999999E-3</v>
      </c>
      <c r="P1945" s="101"/>
      <c r="Q1945" s="101"/>
      <c r="R1945" s="101"/>
      <c r="S1945" s="101"/>
      <c r="T1945" s="101"/>
      <c r="U1945" s="101"/>
      <c r="V1945" s="101"/>
      <c r="W1945" s="101"/>
      <c r="X1945" s="101"/>
      <c r="Y1945" s="101"/>
      <c r="Z1945" s="110"/>
      <c r="AA1945" s="110"/>
      <c r="AB1945" s="90" t="s">
        <v>185</v>
      </c>
      <c r="AC1945" s="152"/>
      <c r="AD1945" s="223">
        <v>0.70801555499999991</v>
      </c>
      <c r="AE1945" s="223">
        <v>0.27552563999999996</v>
      </c>
      <c r="AF1945" s="223">
        <v>0.19507740000000001</v>
      </c>
      <c r="AG1945" s="223">
        <f>0.548308215</f>
        <v>0.54830821500000004</v>
      </c>
      <c r="AH1945" s="341"/>
      <c r="AI1945" s="218"/>
      <c r="AJ1945" s="218"/>
      <c r="AK1945" s="153"/>
      <c r="AL1945" s="152"/>
      <c r="AM1945" s="152"/>
      <c r="AN1945" s="152"/>
      <c r="AO1945" s="152"/>
      <c r="AP1945" s="152"/>
      <c r="AQ1945" s="152"/>
      <c r="AR1945" s="152"/>
      <c r="AS1945" s="152"/>
      <c r="AT1945" s="152"/>
      <c r="AU1945" s="153"/>
      <c r="AV1945" s="479"/>
      <c r="AW1945" s="479"/>
      <c r="AX1945" s="442"/>
      <c r="AY1945" s="153"/>
      <c r="AZ1945" s="152"/>
      <c r="BA1945" s="152"/>
      <c r="BB1945" s="152"/>
      <c r="BC1945" s="152"/>
      <c r="BD1945" s="152"/>
      <c r="BE1945" s="152"/>
      <c r="BF1945" s="152"/>
      <c r="BG1945" s="152"/>
      <c r="BH1945" s="152"/>
      <c r="BI1945" s="153"/>
      <c r="BJ1945" s="153"/>
      <c r="BK1945" s="153"/>
      <c r="BL1945" s="153"/>
      <c r="BM1945" s="153"/>
      <c r="BN1945" s="153"/>
      <c r="BO1945" s="153"/>
      <c r="BP1945" s="153"/>
      <c r="BQ1945" s="153"/>
      <c r="BR1945" s="153"/>
      <c r="BS1945" s="153"/>
      <c r="BT1945" s="153"/>
      <c r="BU1945" s="153"/>
      <c r="BV1945" s="153"/>
      <c r="BW1945" s="153"/>
      <c r="BX1945" s="153"/>
      <c r="BY1945" s="153"/>
      <c r="BZ1945" s="153"/>
      <c r="CA1945" s="152"/>
      <c r="CB1945" s="152"/>
    </row>
    <row r="1946" spans="1:80" s="87" customFormat="1" x14ac:dyDescent="0.2">
      <c r="A1946" s="152"/>
      <c r="B1946" s="683"/>
      <c r="C1946" s="683"/>
      <c r="D1946" s="698"/>
      <c r="E1946" s="215"/>
      <c r="F1946" s="215"/>
      <c r="G1946" s="153"/>
      <c r="H1946" s="153"/>
      <c r="I1946" s="187">
        <v>8</v>
      </c>
      <c r="J1946" s="150" t="e">
        <f>(#REF!/I1946)*(60)</f>
        <v>#REF!</v>
      </c>
      <c r="K1946" s="150">
        <v>1</v>
      </c>
      <c r="L1946" s="656">
        <v>8</v>
      </c>
      <c r="M1946" s="661">
        <v>30793</v>
      </c>
      <c r="N1946" s="112">
        <v>7.4717215299999987E-2</v>
      </c>
      <c r="O1946" s="117">
        <v>2.0361658000000002E-3</v>
      </c>
      <c r="P1946" s="101"/>
      <c r="Q1946" s="101"/>
      <c r="R1946" s="101"/>
      <c r="S1946" s="101"/>
      <c r="T1946" s="101"/>
      <c r="U1946" s="101"/>
      <c r="V1946" s="101"/>
      <c r="W1946" s="101"/>
      <c r="X1946" s="101"/>
      <c r="Y1946" s="101"/>
      <c r="Z1946" s="110"/>
      <c r="AA1946" s="110"/>
      <c r="AB1946" s="90" t="s">
        <v>185</v>
      </c>
      <c r="AC1946" s="152"/>
      <c r="AD1946" s="223">
        <v>0.70801555499999991</v>
      </c>
      <c r="AE1946" s="223">
        <v>0.24017057999999999</v>
      </c>
      <c r="AF1946" s="223">
        <v>0.16999602000000003</v>
      </c>
      <c r="AG1946" s="223">
        <f>0.439804755</f>
        <v>0.43980475499999999</v>
      </c>
      <c r="AH1946" s="341"/>
      <c r="AI1946" s="218"/>
      <c r="AJ1946" s="218"/>
      <c r="AK1946" s="153"/>
      <c r="AL1946" s="152"/>
      <c r="AM1946" s="152"/>
      <c r="AN1946" s="152"/>
      <c r="AO1946" s="152"/>
      <c r="AP1946" s="152"/>
      <c r="AQ1946" s="152"/>
      <c r="AR1946" s="152"/>
      <c r="AS1946" s="152"/>
      <c r="AT1946" s="152"/>
      <c r="AU1946" s="153"/>
      <c r="AV1946" s="479"/>
      <c r="AW1946" s="479"/>
      <c r="AX1946" s="442"/>
      <c r="AY1946" s="153"/>
      <c r="AZ1946" s="152"/>
      <c r="BA1946" s="152"/>
      <c r="BB1946" s="152"/>
      <c r="BC1946" s="152"/>
      <c r="BD1946" s="152"/>
      <c r="BE1946" s="152"/>
      <c r="BF1946" s="152"/>
      <c r="BG1946" s="152"/>
      <c r="BH1946" s="152"/>
      <c r="BI1946" s="153"/>
      <c r="BJ1946" s="153"/>
      <c r="BK1946" s="153"/>
      <c r="BL1946" s="153"/>
      <c r="BM1946" s="153"/>
      <c r="BN1946" s="153"/>
      <c r="BO1946" s="153"/>
      <c r="BP1946" s="153"/>
      <c r="BQ1946" s="153"/>
      <c r="BR1946" s="153"/>
      <c r="BS1946" s="153"/>
      <c r="BT1946" s="153"/>
      <c r="BU1946" s="153"/>
      <c r="BV1946" s="153"/>
      <c r="BW1946" s="153"/>
      <c r="BX1946" s="153"/>
      <c r="BY1946" s="153"/>
      <c r="BZ1946" s="153"/>
      <c r="CA1946" s="152"/>
      <c r="CB1946" s="152"/>
    </row>
    <row r="1947" spans="1:80" s="87" customFormat="1" x14ac:dyDescent="0.2">
      <c r="A1947" s="152"/>
      <c r="B1947" s="683"/>
      <c r="C1947" s="683"/>
      <c r="D1947" s="698"/>
      <c r="E1947" s="215"/>
      <c r="F1947" s="215"/>
      <c r="G1947" s="153"/>
      <c r="H1947" s="153"/>
      <c r="I1947" s="187">
        <v>8</v>
      </c>
      <c r="J1947" s="150" t="e">
        <f>(#REF!/I1947)*(60)</f>
        <v>#REF!</v>
      </c>
      <c r="K1947" s="150">
        <v>1</v>
      </c>
      <c r="L1947" s="656">
        <v>8</v>
      </c>
      <c r="M1947" s="661">
        <v>30795</v>
      </c>
      <c r="N1947" s="112">
        <v>9.7225811800000006E-2</v>
      </c>
      <c r="O1947" s="117">
        <v>3.7679562999999999E-3</v>
      </c>
      <c r="P1947" s="101"/>
      <c r="Q1947" s="101"/>
      <c r="R1947" s="101"/>
      <c r="S1947" s="101"/>
      <c r="T1947" s="101"/>
      <c r="U1947" s="101"/>
      <c r="V1947" s="101"/>
      <c r="W1947" s="101"/>
      <c r="X1947" s="101"/>
      <c r="Y1947" s="101"/>
      <c r="Z1947" s="110"/>
      <c r="AA1947" s="110"/>
      <c r="AB1947" s="90" t="s">
        <v>185</v>
      </c>
      <c r="AC1947" s="152"/>
      <c r="AD1947" s="223">
        <v>0.70801555499999991</v>
      </c>
      <c r="AE1947" s="223">
        <v>0.26760122999999997</v>
      </c>
      <c r="AF1947" s="223">
        <v>0.18950376000000002</v>
      </c>
      <c r="AG1947" s="223">
        <f>0.513562725</f>
        <v>0.513562725</v>
      </c>
      <c r="AH1947" s="341"/>
      <c r="AI1947" s="218"/>
      <c r="AJ1947" s="218"/>
      <c r="AK1947" s="153"/>
      <c r="AL1947" s="152"/>
      <c r="AM1947" s="152"/>
      <c r="AN1947" s="152"/>
      <c r="AO1947" s="152"/>
      <c r="AP1947" s="152"/>
      <c r="AQ1947" s="152"/>
      <c r="AR1947" s="152"/>
      <c r="AS1947" s="152"/>
      <c r="AT1947" s="152"/>
      <c r="AU1947" s="153"/>
      <c r="AV1947" s="479"/>
      <c r="AW1947" s="479"/>
      <c r="AX1947" s="442"/>
      <c r="AY1947" s="153"/>
      <c r="AZ1947" s="152"/>
      <c r="BA1947" s="152"/>
      <c r="BB1947" s="152"/>
      <c r="BC1947" s="152"/>
      <c r="BD1947" s="152"/>
      <c r="BE1947" s="152"/>
      <c r="BF1947" s="152"/>
      <c r="BG1947" s="152"/>
      <c r="BH1947" s="152"/>
      <c r="BI1947" s="153"/>
      <c r="BJ1947" s="153"/>
      <c r="BK1947" s="153"/>
      <c r="BL1947" s="153"/>
      <c r="BM1947" s="153"/>
      <c r="BN1947" s="153"/>
      <c r="BO1947" s="153"/>
      <c r="BP1947" s="153"/>
      <c r="BQ1947" s="153"/>
      <c r="BR1947" s="153"/>
      <c r="BS1947" s="153"/>
      <c r="BT1947" s="153"/>
      <c r="BU1947" s="153"/>
      <c r="BV1947" s="153"/>
      <c r="BW1947" s="153"/>
      <c r="BX1947" s="153"/>
      <c r="BY1947" s="153"/>
      <c r="BZ1947" s="153"/>
      <c r="CA1947" s="152"/>
      <c r="CB1947" s="152"/>
    </row>
    <row r="1948" spans="1:80" s="87" customFormat="1" x14ac:dyDescent="0.2">
      <c r="A1948" s="152"/>
      <c r="B1948" s="683"/>
      <c r="C1948" s="683"/>
      <c r="D1948" s="698"/>
      <c r="E1948" s="215"/>
      <c r="F1948" s="215"/>
      <c r="G1948" s="153"/>
      <c r="H1948" s="153"/>
      <c r="I1948" s="187">
        <v>8</v>
      </c>
      <c r="J1948" s="150" t="e">
        <f>(#REF!/I1948)*(60)</f>
        <v>#REF!</v>
      </c>
      <c r="K1948" s="150">
        <v>1</v>
      </c>
      <c r="L1948" s="656">
        <v>8</v>
      </c>
      <c r="M1948" s="661">
        <v>30796</v>
      </c>
      <c r="N1948" s="112">
        <v>8.0804445799999999E-2</v>
      </c>
      <c r="O1948" s="117">
        <v>1.5638593E-3</v>
      </c>
      <c r="P1948" s="101"/>
      <c r="Q1948" s="101"/>
      <c r="R1948" s="101"/>
      <c r="S1948" s="101"/>
      <c r="T1948" s="101"/>
      <c r="U1948" s="101"/>
      <c r="V1948" s="101"/>
      <c r="W1948" s="101"/>
      <c r="X1948" s="101"/>
      <c r="Y1948" s="101"/>
      <c r="Z1948" s="110"/>
      <c r="AA1948" s="110"/>
      <c r="AB1948" s="90" t="s">
        <v>185</v>
      </c>
      <c r="AC1948" s="152"/>
      <c r="AD1948" s="223">
        <v>0.70801555499999991</v>
      </c>
      <c r="AE1948" s="223">
        <v>0.24870455999999996</v>
      </c>
      <c r="AF1948" s="223">
        <v>0.17649860000000001</v>
      </c>
      <c r="AG1948" s="223">
        <f>0.458701425</f>
        <v>0.458701425</v>
      </c>
      <c r="AH1948" s="341"/>
      <c r="AI1948" s="218"/>
      <c r="AJ1948" s="218"/>
      <c r="AK1948" s="153"/>
      <c r="AL1948" s="152"/>
      <c r="AM1948" s="152"/>
      <c r="AN1948" s="152"/>
      <c r="AO1948" s="152"/>
      <c r="AP1948" s="152"/>
      <c r="AQ1948" s="152"/>
      <c r="AR1948" s="152"/>
      <c r="AS1948" s="152"/>
      <c r="AT1948" s="152"/>
      <c r="AU1948" s="153"/>
      <c r="AV1948" s="479"/>
      <c r="AW1948" s="479"/>
      <c r="AX1948" s="442"/>
      <c r="AY1948" s="153"/>
      <c r="AZ1948" s="152"/>
      <c r="BA1948" s="152"/>
      <c r="BB1948" s="152"/>
      <c r="BC1948" s="152"/>
      <c r="BD1948" s="152"/>
      <c r="BE1948" s="152"/>
      <c r="BF1948" s="152"/>
      <c r="BG1948" s="152"/>
      <c r="BH1948" s="152"/>
      <c r="BI1948" s="153"/>
      <c r="BJ1948" s="153"/>
      <c r="BK1948" s="153"/>
      <c r="BL1948" s="153"/>
      <c r="BM1948" s="153"/>
      <c r="BN1948" s="153"/>
      <c r="BO1948" s="153"/>
      <c r="BP1948" s="153"/>
      <c r="BQ1948" s="153"/>
      <c r="BR1948" s="153"/>
      <c r="BS1948" s="153"/>
      <c r="BT1948" s="153"/>
      <c r="BU1948" s="153"/>
      <c r="BV1948" s="153"/>
      <c r="BW1948" s="153"/>
      <c r="BX1948" s="153"/>
      <c r="BY1948" s="153"/>
      <c r="BZ1948" s="153"/>
      <c r="CA1948" s="152"/>
      <c r="CB1948" s="152"/>
    </row>
    <row r="1949" spans="1:80" s="87" customFormat="1" x14ac:dyDescent="0.2">
      <c r="A1949" s="152"/>
      <c r="B1949" s="683"/>
      <c r="C1949" s="683"/>
      <c r="D1949" s="698"/>
      <c r="E1949" s="215"/>
      <c r="F1949" s="215"/>
      <c r="G1949" s="153"/>
      <c r="H1949" s="153"/>
      <c r="I1949" s="187">
        <v>8</v>
      </c>
      <c r="J1949" s="150" t="e">
        <f>(#REF!/I1949)*(60)</f>
        <v>#REF!</v>
      </c>
      <c r="K1949" s="150">
        <v>1</v>
      </c>
      <c r="L1949" s="656">
        <v>8</v>
      </c>
      <c r="M1949" s="661">
        <v>30798</v>
      </c>
      <c r="N1949" s="112">
        <v>6.7270975199999999E-2</v>
      </c>
      <c r="O1949" s="117">
        <v>6.1189931000000001E-4</v>
      </c>
      <c r="P1949" s="101"/>
      <c r="Q1949" s="101"/>
      <c r="R1949" s="101"/>
      <c r="S1949" s="101"/>
      <c r="T1949" s="101"/>
      <c r="U1949" s="101"/>
      <c r="V1949" s="101"/>
      <c r="W1949" s="101"/>
      <c r="X1949" s="101"/>
      <c r="Y1949" s="101"/>
      <c r="Z1949" s="110"/>
      <c r="AA1949" s="110"/>
      <c r="AB1949" s="90" t="s">
        <v>185</v>
      </c>
      <c r="AC1949" s="152"/>
      <c r="AD1949" s="223">
        <v>0.70801555499999991</v>
      </c>
      <c r="AE1949" s="223">
        <v>0.23255095499999998</v>
      </c>
      <c r="AF1949" s="223">
        <v>0.16442238000000001</v>
      </c>
      <c r="AG1949" s="223">
        <f>0.40902147</f>
        <v>0.40902147</v>
      </c>
      <c r="AH1949" s="341"/>
      <c r="AI1949" s="218"/>
      <c r="AJ1949" s="218"/>
      <c r="AK1949" s="153"/>
      <c r="AL1949" s="152"/>
      <c r="AM1949" s="152"/>
      <c r="AN1949" s="152"/>
      <c r="AO1949" s="152"/>
      <c r="AP1949" s="152"/>
      <c r="AQ1949" s="152"/>
      <c r="AR1949" s="152"/>
      <c r="AS1949" s="152"/>
      <c r="AT1949" s="152"/>
      <c r="AU1949" s="153"/>
      <c r="AV1949" s="479"/>
      <c r="AW1949" s="479"/>
      <c r="AX1949" s="442"/>
      <c r="AY1949" s="153"/>
      <c r="AZ1949" s="152"/>
      <c r="BA1949" s="152"/>
      <c r="BB1949" s="152"/>
      <c r="BC1949" s="152"/>
      <c r="BD1949" s="152"/>
      <c r="BE1949" s="152"/>
      <c r="BF1949" s="152"/>
      <c r="BG1949" s="152"/>
      <c r="BH1949" s="152"/>
      <c r="BI1949" s="153"/>
      <c r="BJ1949" s="153"/>
      <c r="BK1949" s="153"/>
      <c r="BL1949" s="153"/>
      <c r="BM1949" s="153"/>
      <c r="BN1949" s="153"/>
      <c r="BO1949" s="153"/>
      <c r="BP1949" s="153"/>
      <c r="BQ1949" s="153"/>
      <c r="BR1949" s="153"/>
      <c r="BS1949" s="153"/>
      <c r="BT1949" s="153"/>
      <c r="BU1949" s="153"/>
      <c r="BV1949" s="153"/>
      <c r="BW1949" s="153"/>
      <c r="BX1949" s="153"/>
      <c r="BY1949" s="153"/>
      <c r="BZ1949" s="153"/>
      <c r="CA1949" s="152"/>
      <c r="CB1949" s="152"/>
    </row>
    <row r="1950" spans="1:80" s="87" customFormat="1" x14ac:dyDescent="0.2">
      <c r="A1950" s="152"/>
      <c r="B1950" s="683"/>
      <c r="C1950" s="683"/>
      <c r="D1950" s="698"/>
      <c r="E1950" s="215"/>
      <c r="F1950" s="215"/>
      <c r="G1950" s="153"/>
      <c r="H1950" s="153"/>
      <c r="I1950" s="187">
        <v>8</v>
      </c>
      <c r="J1950" s="150" t="e">
        <f>(#REF!/I1950)*(60)</f>
        <v>#REF!</v>
      </c>
      <c r="K1950" s="150">
        <v>1</v>
      </c>
      <c r="L1950" s="656">
        <v>8</v>
      </c>
      <c r="M1950" s="661">
        <v>30803</v>
      </c>
      <c r="N1950" s="112">
        <v>4.5583446999999999E-2</v>
      </c>
      <c r="O1950" s="117">
        <v>6.3813856000000005E-4</v>
      </c>
      <c r="P1950" s="101"/>
      <c r="Q1950" s="101"/>
      <c r="R1950" s="101"/>
      <c r="S1950" s="101"/>
      <c r="T1950" s="101"/>
      <c r="U1950" s="101"/>
      <c r="V1950" s="101"/>
      <c r="W1950" s="101"/>
      <c r="X1950" s="101"/>
      <c r="Y1950" s="101"/>
      <c r="Z1950" s="110"/>
      <c r="AA1950" s="110"/>
      <c r="AB1950" s="90" t="s">
        <v>185</v>
      </c>
      <c r="AC1950" s="152"/>
      <c r="AD1950" s="223"/>
      <c r="AE1950" s="223"/>
      <c r="AF1950" s="223"/>
      <c r="AG1950" s="223"/>
      <c r="AH1950" s="341"/>
      <c r="AI1950" s="218"/>
      <c r="AJ1950" s="218"/>
      <c r="AK1950" s="153"/>
      <c r="AL1950" s="152"/>
      <c r="AM1950" s="152"/>
      <c r="AN1950" s="152"/>
      <c r="AO1950" s="152"/>
      <c r="AP1950" s="152"/>
      <c r="AQ1950" s="152"/>
      <c r="AR1950" s="152"/>
      <c r="AS1950" s="152"/>
      <c r="AT1950" s="152"/>
      <c r="AU1950" s="153"/>
      <c r="AV1950" s="479"/>
      <c r="AW1950" s="479"/>
      <c r="AX1950" s="442"/>
      <c r="AY1950" s="153"/>
      <c r="AZ1950" s="152"/>
      <c r="BA1950" s="152"/>
      <c r="BB1950" s="152"/>
      <c r="BC1950" s="152"/>
      <c r="BD1950" s="152"/>
      <c r="BE1950" s="152"/>
      <c r="BF1950" s="152"/>
      <c r="BG1950" s="152"/>
      <c r="BH1950" s="152"/>
      <c r="BI1950" s="153"/>
      <c r="BJ1950" s="153"/>
      <c r="BK1950" s="153"/>
      <c r="BL1950" s="153"/>
      <c r="BM1950" s="153"/>
      <c r="BN1950" s="153"/>
      <c r="BO1950" s="153"/>
      <c r="BP1950" s="153"/>
      <c r="BQ1950" s="153"/>
      <c r="BR1950" s="153"/>
      <c r="BS1950" s="153"/>
      <c r="BT1950" s="153"/>
      <c r="BU1950" s="153"/>
      <c r="BV1950" s="153"/>
      <c r="BW1950" s="153"/>
      <c r="BX1950" s="153"/>
      <c r="BY1950" s="153"/>
      <c r="BZ1950" s="153"/>
      <c r="CA1950" s="152"/>
      <c r="CB1950" s="152"/>
    </row>
    <row r="1951" spans="1:80" s="87" customFormat="1" x14ac:dyDescent="0.2">
      <c r="A1951" s="152"/>
      <c r="B1951" s="683"/>
      <c r="C1951" s="683"/>
      <c r="D1951" s="698"/>
      <c r="E1951" s="215"/>
      <c r="F1951" s="215"/>
      <c r="G1951" s="153"/>
      <c r="H1951" s="153"/>
      <c r="I1951" s="187">
        <v>8</v>
      </c>
      <c r="J1951" s="150" t="e">
        <f>(#REF!/I1951)*(60)</f>
        <v>#REF!</v>
      </c>
      <c r="K1951" s="150">
        <v>1</v>
      </c>
      <c r="L1951" s="656">
        <v>8</v>
      </c>
      <c r="M1951" s="661">
        <v>30806</v>
      </c>
      <c r="N1951" s="112">
        <v>5.5889269800000002E-2</v>
      </c>
      <c r="O1951" s="117">
        <v>9.0997718999999996E-4</v>
      </c>
      <c r="P1951" s="101"/>
      <c r="Q1951" s="101"/>
      <c r="R1951" s="101"/>
      <c r="S1951" s="101"/>
      <c r="T1951" s="101"/>
      <c r="U1951" s="101"/>
      <c r="V1951" s="101"/>
      <c r="W1951" s="101"/>
      <c r="X1951" s="101"/>
      <c r="Y1951" s="101"/>
      <c r="Z1951" s="110"/>
      <c r="AA1951" s="110"/>
      <c r="AB1951" s="90" t="s">
        <v>185</v>
      </c>
      <c r="AC1951" s="152"/>
      <c r="AD1951" s="223">
        <v>0.70801555499999991</v>
      </c>
      <c r="AE1951" s="223">
        <v>0.20420595</v>
      </c>
      <c r="AF1951" s="223">
        <v>0.14491464000000001</v>
      </c>
      <c r="AG1951" s="223">
        <f>0.38646738</f>
        <v>0.38646738000000003</v>
      </c>
      <c r="AH1951" s="341"/>
      <c r="AI1951" s="218"/>
      <c r="AJ1951" s="218"/>
      <c r="AK1951" s="153"/>
      <c r="AL1951" s="152"/>
      <c r="AM1951" s="152"/>
      <c r="AN1951" s="152"/>
      <c r="AO1951" s="152"/>
      <c r="AP1951" s="152"/>
      <c r="AQ1951" s="152"/>
      <c r="AR1951" s="152"/>
      <c r="AS1951" s="152"/>
      <c r="AT1951" s="152"/>
      <c r="AU1951" s="153"/>
      <c r="AV1951" s="479"/>
      <c r="AW1951" s="479"/>
      <c r="AX1951" s="442"/>
      <c r="AY1951" s="153"/>
      <c r="AZ1951" s="152"/>
      <c r="BA1951" s="152"/>
      <c r="BB1951" s="152"/>
      <c r="BC1951" s="152"/>
      <c r="BD1951" s="152"/>
      <c r="BE1951" s="152"/>
      <c r="BF1951" s="152"/>
      <c r="BG1951" s="152"/>
      <c r="BH1951" s="152"/>
      <c r="BI1951" s="153"/>
      <c r="BJ1951" s="153"/>
      <c r="BK1951" s="153"/>
      <c r="BL1951" s="153"/>
      <c r="BM1951" s="153"/>
      <c r="BN1951" s="153"/>
      <c r="BO1951" s="153"/>
      <c r="BP1951" s="153"/>
      <c r="BQ1951" s="153"/>
      <c r="BR1951" s="153"/>
      <c r="BS1951" s="153"/>
      <c r="BT1951" s="153"/>
      <c r="BU1951" s="153"/>
      <c r="BV1951" s="153"/>
      <c r="BW1951" s="153"/>
      <c r="BX1951" s="153"/>
      <c r="BY1951" s="153"/>
      <c r="BZ1951" s="153"/>
      <c r="CA1951" s="152"/>
      <c r="CB1951" s="152"/>
    </row>
    <row r="1952" spans="1:80" s="87" customFormat="1" x14ac:dyDescent="0.2">
      <c r="A1952" s="152"/>
      <c r="B1952" s="683"/>
      <c r="C1952" s="683"/>
      <c r="D1952" s="698"/>
      <c r="E1952" s="215"/>
      <c r="F1952" s="215"/>
      <c r="G1952" s="153"/>
      <c r="H1952" s="153"/>
      <c r="I1952" s="187">
        <v>8</v>
      </c>
      <c r="J1952" s="150" t="e">
        <f>(#REF!/I1952)*(60)</f>
        <v>#REF!</v>
      </c>
      <c r="K1952" s="150">
        <v>1</v>
      </c>
      <c r="L1952" s="656">
        <v>8</v>
      </c>
      <c r="M1952" s="661">
        <v>30808</v>
      </c>
      <c r="N1952" s="112">
        <v>5.30296871E-2</v>
      </c>
      <c r="O1952" s="117">
        <v>6.8327007000000008E-4</v>
      </c>
      <c r="P1952" s="101"/>
      <c r="Q1952" s="101"/>
      <c r="R1952" s="101"/>
      <c r="S1952" s="101"/>
      <c r="T1952" s="101"/>
      <c r="U1952" s="101"/>
      <c r="V1952" s="101"/>
      <c r="W1952" s="101"/>
      <c r="X1952" s="101"/>
      <c r="Y1952" s="101"/>
      <c r="Z1952" s="110"/>
      <c r="AA1952" s="110"/>
      <c r="AB1952" s="90" t="s">
        <v>185</v>
      </c>
      <c r="AC1952" s="152"/>
      <c r="AD1952" s="223">
        <v>0.70801555499999991</v>
      </c>
      <c r="AE1952" s="223">
        <v>0.20115809999999998</v>
      </c>
      <c r="AF1952" s="223">
        <v>0.14212782000000002</v>
      </c>
      <c r="AG1952" s="223">
        <f>0.37244727</f>
        <v>0.37244727</v>
      </c>
      <c r="AH1952" s="341"/>
      <c r="AI1952" s="218"/>
      <c r="AJ1952" s="218"/>
      <c r="AK1952" s="153"/>
      <c r="AL1952" s="152"/>
      <c r="AM1952" s="152"/>
      <c r="AN1952" s="152"/>
      <c r="AO1952" s="152"/>
      <c r="AP1952" s="152"/>
      <c r="AQ1952" s="152"/>
      <c r="AR1952" s="152"/>
      <c r="AS1952" s="152"/>
      <c r="AT1952" s="152"/>
      <c r="AU1952" s="153"/>
      <c r="AV1952" s="479"/>
      <c r="AW1952" s="479"/>
      <c r="AX1952" s="442"/>
      <c r="AY1952" s="153"/>
      <c r="AZ1952" s="152"/>
      <c r="BA1952" s="152"/>
      <c r="BB1952" s="152"/>
      <c r="BC1952" s="152"/>
      <c r="BD1952" s="152"/>
      <c r="BE1952" s="152"/>
      <c r="BF1952" s="152"/>
      <c r="BG1952" s="152"/>
      <c r="BH1952" s="152"/>
      <c r="BI1952" s="153"/>
      <c r="BJ1952" s="153"/>
      <c r="BK1952" s="153"/>
      <c r="BL1952" s="153"/>
      <c r="BM1952" s="153"/>
      <c r="BN1952" s="153"/>
      <c r="BO1952" s="153"/>
      <c r="BP1952" s="153"/>
      <c r="BQ1952" s="153"/>
      <c r="BR1952" s="153"/>
      <c r="BS1952" s="153"/>
      <c r="BT1952" s="153"/>
      <c r="BU1952" s="153"/>
      <c r="BV1952" s="153"/>
      <c r="BW1952" s="153"/>
      <c r="BX1952" s="153"/>
      <c r="BY1952" s="153"/>
      <c r="BZ1952" s="153"/>
      <c r="CA1952" s="152"/>
      <c r="CB1952" s="152"/>
    </row>
    <row r="1953" spans="1:80" s="87" customFormat="1" x14ac:dyDescent="0.2">
      <c r="A1953" s="152"/>
      <c r="B1953" s="683"/>
      <c r="C1953" s="683"/>
      <c r="D1953" s="698"/>
      <c r="E1953" s="215"/>
      <c r="F1953" s="215"/>
      <c r="G1953" s="153"/>
      <c r="H1953" s="153"/>
      <c r="I1953" s="187">
        <v>8</v>
      </c>
      <c r="J1953" s="150" t="e">
        <f>(#REF!/I1953)*(60)</f>
        <v>#REF!</v>
      </c>
      <c r="K1953" s="150">
        <v>1</v>
      </c>
      <c r="L1953" s="656">
        <v>8</v>
      </c>
      <c r="M1953" s="661">
        <v>30812</v>
      </c>
      <c r="N1953" s="112">
        <v>9.5640300600000006E-2</v>
      </c>
      <c r="O1953" s="117">
        <v>2.1936013E-3</v>
      </c>
      <c r="P1953" s="101"/>
      <c r="Q1953" s="101"/>
      <c r="R1953" s="101"/>
      <c r="S1953" s="101"/>
      <c r="T1953" s="101"/>
      <c r="U1953" s="101"/>
      <c r="V1953" s="101"/>
      <c r="W1953" s="101"/>
      <c r="X1953" s="101"/>
      <c r="Y1953" s="101"/>
      <c r="Z1953" s="110"/>
      <c r="AA1953" s="110"/>
      <c r="AB1953" s="90" t="s">
        <v>185</v>
      </c>
      <c r="AC1953" s="152"/>
      <c r="AD1953" s="223">
        <v>0.70801555499999991</v>
      </c>
      <c r="AE1953" s="223">
        <v>0.25144762499999995</v>
      </c>
      <c r="AF1953" s="223">
        <v>0.17835648000000001</v>
      </c>
      <c r="AG1953" s="223">
        <f>0.537335955</f>
        <v>0.53733595499999998</v>
      </c>
      <c r="AH1953" s="341"/>
      <c r="AI1953" s="218"/>
      <c r="AJ1953" s="218"/>
      <c r="AK1953" s="153"/>
      <c r="AL1953" s="152"/>
      <c r="AM1953" s="152"/>
      <c r="AN1953" s="152"/>
      <c r="AO1953" s="152"/>
      <c r="AP1953" s="152"/>
      <c r="AQ1953" s="152"/>
      <c r="AR1953" s="152"/>
      <c r="AS1953" s="152"/>
      <c r="AT1953" s="152"/>
      <c r="AU1953" s="153"/>
      <c r="AV1953" s="479"/>
      <c r="AW1953" s="479"/>
      <c r="AX1953" s="442"/>
      <c r="AY1953" s="153"/>
      <c r="AZ1953" s="152"/>
      <c r="BA1953" s="152"/>
      <c r="BB1953" s="152"/>
      <c r="BC1953" s="152"/>
      <c r="BD1953" s="152"/>
      <c r="BE1953" s="152"/>
      <c r="BF1953" s="152"/>
      <c r="BG1953" s="152"/>
      <c r="BH1953" s="152"/>
      <c r="BI1953" s="153"/>
      <c r="BJ1953" s="153"/>
      <c r="BK1953" s="153"/>
      <c r="BL1953" s="153"/>
      <c r="BM1953" s="153"/>
      <c r="BN1953" s="153"/>
      <c r="BO1953" s="153"/>
      <c r="BP1953" s="153"/>
      <c r="BQ1953" s="153"/>
      <c r="BR1953" s="153"/>
      <c r="BS1953" s="153"/>
      <c r="BT1953" s="153"/>
      <c r="BU1953" s="153"/>
      <c r="BV1953" s="153"/>
      <c r="BW1953" s="153"/>
      <c r="BX1953" s="153"/>
      <c r="BY1953" s="153"/>
      <c r="BZ1953" s="153"/>
      <c r="CA1953" s="152"/>
      <c r="CB1953" s="152"/>
    </row>
    <row r="1954" spans="1:80" s="87" customFormat="1" x14ac:dyDescent="0.2">
      <c r="A1954" s="152"/>
      <c r="B1954" s="683"/>
      <c r="C1954" s="683"/>
      <c r="D1954" s="698"/>
      <c r="E1954" s="215"/>
      <c r="F1954" s="215"/>
      <c r="G1954" s="153"/>
      <c r="H1954" s="153"/>
      <c r="I1954" s="187">
        <v>8</v>
      </c>
      <c r="J1954" s="150" t="e">
        <f>(#REF!/I1954)*(60)</f>
        <v>#REF!</v>
      </c>
      <c r="K1954" s="150">
        <v>1</v>
      </c>
      <c r="L1954" s="656">
        <v>8</v>
      </c>
      <c r="M1954" s="661">
        <v>30815</v>
      </c>
      <c r="N1954" s="112">
        <v>0.1362690251</v>
      </c>
      <c r="O1954" s="117">
        <v>6.8746835000000001E-3</v>
      </c>
      <c r="P1954" s="101"/>
      <c r="Q1954" s="101"/>
      <c r="R1954" s="101"/>
      <c r="S1954" s="101"/>
      <c r="T1954" s="101"/>
      <c r="U1954" s="101"/>
      <c r="V1954" s="101"/>
      <c r="W1954" s="101"/>
      <c r="X1954" s="101"/>
      <c r="Y1954" s="101"/>
      <c r="Z1954" s="110"/>
      <c r="AA1954" s="110"/>
      <c r="AB1954" s="90" t="s">
        <v>185</v>
      </c>
      <c r="AC1954" s="152"/>
      <c r="AD1954" s="223">
        <v>0.70801555499999991</v>
      </c>
      <c r="AE1954" s="223">
        <v>0.30112757999999995</v>
      </c>
      <c r="AF1954" s="223">
        <v>0.21365619999999999</v>
      </c>
      <c r="AG1954" s="223">
        <f>0.63943893</f>
        <v>0.63943892999999996</v>
      </c>
      <c r="AH1954" s="341"/>
      <c r="AI1954" s="218"/>
      <c r="AJ1954" s="218"/>
      <c r="AK1954" s="153"/>
      <c r="AL1954" s="152"/>
      <c r="AM1954" s="152"/>
      <c r="AN1954" s="152"/>
      <c r="AO1954" s="152"/>
      <c r="AP1954" s="152"/>
      <c r="AQ1954" s="152"/>
      <c r="AR1954" s="152"/>
      <c r="AS1954" s="152"/>
      <c r="AT1954" s="152"/>
      <c r="AU1954" s="153"/>
      <c r="AV1954" s="479"/>
      <c r="AW1954" s="479"/>
      <c r="AX1954" s="442"/>
      <c r="AY1954" s="153"/>
      <c r="AZ1954" s="152"/>
      <c r="BA1954" s="152"/>
      <c r="BB1954" s="152"/>
      <c r="BC1954" s="152"/>
      <c r="BD1954" s="152"/>
      <c r="BE1954" s="152"/>
      <c r="BF1954" s="152"/>
      <c r="BG1954" s="152"/>
      <c r="BH1954" s="152"/>
      <c r="BI1954" s="153"/>
      <c r="BJ1954" s="153"/>
      <c r="BK1954" s="153"/>
      <c r="BL1954" s="153"/>
      <c r="BM1954" s="153"/>
      <c r="BN1954" s="153"/>
      <c r="BO1954" s="153"/>
      <c r="BP1954" s="153"/>
      <c r="BQ1954" s="153"/>
      <c r="BR1954" s="153"/>
      <c r="BS1954" s="153"/>
      <c r="BT1954" s="153"/>
      <c r="BU1954" s="153"/>
      <c r="BV1954" s="153"/>
      <c r="BW1954" s="153"/>
      <c r="BX1954" s="153"/>
      <c r="BY1954" s="153"/>
      <c r="BZ1954" s="153"/>
      <c r="CA1954" s="152"/>
      <c r="CB1954" s="152"/>
    </row>
    <row r="1955" spans="1:80" s="87" customFormat="1" x14ac:dyDescent="0.2">
      <c r="A1955" s="152"/>
      <c r="B1955" s="683"/>
      <c r="C1955" s="683"/>
      <c r="D1955" s="698"/>
      <c r="E1955" s="215"/>
      <c r="F1955" s="215"/>
      <c r="G1955" s="153"/>
      <c r="H1955" s="153"/>
      <c r="I1955" s="187">
        <v>8</v>
      </c>
      <c r="J1955" s="150" t="e">
        <f>(#REF!/I1955)*(60)</f>
        <v>#REF!</v>
      </c>
      <c r="K1955" s="150">
        <v>1</v>
      </c>
      <c r="L1955" s="656">
        <v>8</v>
      </c>
      <c r="M1955" s="661">
        <v>30817</v>
      </c>
      <c r="N1955" s="112">
        <v>0.12737883729999999</v>
      </c>
      <c r="O1955" s="117">
        <v>8.2916029999999998E-3</v>
      </c>
      <c r="P1955" s="101"/>
      <c r="Q1955" s="101"/>
      <c r="R1955" s="101"/>
      <c r="S1955" s="101"/>
      <c r="T1955" s="101"/>
      <c r="U1955" s="101"/>
      <c r="V1955" s="101"/>
      <c r="W1955" s="101"/>
      <c r="X1955" s="101"/>
      <c r="Y1955" s="101"/>
      <c r="Z1955" s="110"/>
      <c r="AA1955" s="110"/>
      <c r="AB1955" s="90" t="s">
        <v>185</v>
      </c>
      <c r="AC1955" s="152"/>
      <c r="AD1955" s="223">
        <v>0.70801555499999991</v>
      </c>
      <c r="AE1955" s="223">
        <v>0.31027112999999995</v>
      </c>
      <c r="AF1955" s="223">
        <v>0.21922984000000001</v>
      </c>
      <c r="AG1955" s="223">
        <f>0.580005855</f>
        <v>0.58000585500000001</v>
      </c>
      <c r="AH1955" s="341"/>
      <c r="AI1955" s="218"/>
      <c r="AJ1955" s="218"/>
      <c r="AK1955" s="153"/>
      <c r="AL1955" s="152"/>
      <c r="AM1955" s="152"/>
      <c r="AN1955" s="152"/>
      <c r="AO1955" s="152"/>
      <c r="AP1955" s="152"/>
      <c r="AQ1955" s="152"/>
      <c r="AR1955" s="152"/>
      <c r="AS1955" s="152"/>
      <c r="AT1955" s="152"/>
      <c r="AU1955" s="153"/>
      <c r="AV1955" s="479"/>
      <c r="AW1955" s="479"/>
      <c r="AX1955" s="442"/>
      <c r="AY1955" s="153"/>
      <c r="AZ1955" s="152"/>
      <c r="BA1955" s="152"/>
      <c r="BB1955" s="152"/>
      <c r="BC1955" s="152"/>
      <c r="BD1955" s="152"/>
      <c r="BE1955" s="152"/>
      <c r="BF1955" s="152"/>
      <c r="BG1955" s="152"/>
      <c r="BH1955" s="152"/>
      <c r="BI1955" s="153"/>
      <c r="BJ1955" s="153"/>
      <c r="BK1955" s="153"/>
      <c r="BL1955" s="153"/>
      <c r="BM1955" s="153"/>
      <c r="BN1955" s="153"/>
      <c r="BO1955" s="153"/>
      <c r="BP1955" s="153"/>
      <c r="BQ1955" s="153"/>
      <c r="BR1955" s="153"/>
      <c r="BS1955" s="153"/>
      <c r="BT1955" s="153"/>
      <c r="BU1955" s="153"/>
      <c r="BV1955" s="153"/>
      <c r="BW1955" s="153"/>
      <c r="BX1955" s="153"/>
      <c r="BY1955" s="153"/>
      <c r="BZ1955" s="153"/>
      <c r="CA1955" s="152"/>
      <c r="CB1955" s="152"/>
    </row>
    <row r="1956" spans="1:80" s="87" customFormat="1" x14ac:dyDescent="0.2">
      <c r="A1956" s="152"/>
      <c r="B1956" s="683"/>
      <c r="C1956" s="683"/>
      <c r="D1956" s="698"/>
      <c r="E1956" s="215"/>
      <c r="F1956" s="215"/>
      <c r="G1956" s="153"/>
      <c r="H1956" s="153"/>
      <c r="I1956" s="187">
        <v>8</v>
      </c>
      <c r="J1956" s="150" t="e">
        <f>(#REF!/I1956)*(60)</f>
        <v>#REF!</v>
      </c>
      <c r="K1956" s="150">
        <v>1</v>
      </c>
      <c r="L1956" s="656">
        <v>8</v>
      </c>
      <c r="M1956" s="661">
        <v>30818</v>
      </c>
      <c r="N1956" s="112">
        <v>0.1048702408</v>
      </c>
      <c r="O1956" s="117">
        <v>1.0138846200000002E-3</v>
      </c>
      <c r="P1956" s="101"/>
      <c r="Q1956" s="101"/>
      <c r="R1956" s="101"/>
      <c r="S1956" s="101"/>
      <c r="T1956" s="101"/>
      <c r="U1956" s="101"/>
      <c r="V1956" s="101"/>
      <c r="W1956" s="101"/>
      <c r="X1956" s="101"/>
      <c r="Y1956" s="101"/>
      <c r="Z1956" s="110"/>
      <c r="AA1956" s="110"/>
      <c r="AB1956" s="90" t="s">
        <v>185</v>
      </c>
      <c r="AC1956" s="152"/>
      <c r="AD1956" s="223">
        <v>0.70801555499999991</v>
      </c>
      <c r="AE1956" s="223">
        <v>0.28040219999999999</v>
      </c>
      <c r="AF1956" s="223">
        <v>0.19879316000000002</v>
      </c>
      <c r="AG1956" s="223">
        <f>0.528192405</f>
        <v>0.52819240499999998</v>
      </c>
      <c r="AH1956" s="341"/>
      <c r="AI1956" s="218"/>
      <c r="AJ1956" s="218"/>
      <c r="AK1956" s="153"/>
      <c r="AL1956" s="152"/>
      <c r="AM1956" s="152"/>
      <c r="AN1956" s="152"/>
      <c r="AO1956" s="152"/>
      <c r="AP1956" s="152"/>
      <c r="AQ1956" s="152"/>
      <c r="AR1956" s="152"/>
      <c r="AS1956" s="152"/>
      <c r="AT1956" s="152"/>
      <c r="AU1956" s="153"/>
      <c r="AV1956" s="479"/>
      <c r="AW1956" s="479"/>
      <c r="AX1956" s="442"/>
      <c r="AY1956" s="153"/>
      <c r="AZ1956" s="152"/>
      <c r="BA1956" s="152"/>
      <c r="BB1956" s="152"/>
      <c r="BC1956" s="152"/>
      <c r="BD1956" s="152"/>
      <c r="BE1956" s="152"/>
      <c r="BF1956" s="152"/>
      <c r="BG1956" s="152"/>
      <c r="BH1956" s="152"/>
      <c r="BI1956" s="153"/>
      <c r="BJ1956" s="153"/>
      <c r="BK1956" s="153"/>
      <c r="BL1956" s="153"/>
      <c r="BM1956" s="153"/>
      <c r="BN1956" s="153"/>
      <c r="BO1956" s="153"/>
      <c r="BP1956" s="153"/>
      <c r="BQ1956" s="153"/>
      <c r="BR1956" s="153"/>
      <c r="BS1956" s="153"/>
      <c r="BT1956" s="153"/>
      <c r="BU1956" s="153"/>
      <c r="BV1956" s="153"/>
      <c r="BW1956" s="153"/>
      <c r="BX1956" s="153"/>
      <c r="BY1956" s="153"/>
      <c r="BZ1956" s="153"/>
      <c r="CA1956" s="152"/>
      <c r="CB1956" s="152"/>
    </row>
    <row r="1957" spans="1:80" s="87" customFormat="1" x14ac:dyDescent="0.2">
      <c r="A1957" s="152"/>
      <c r="B1957" s="683"/>
      <c r="C1957" s="683"/>
      <c r="D1957" s="698"/>
      <c r="E1957" s="215"/>
      <c r="F1957" s="215"/>
      <c r="G1957" s="153"/>
      <c r="H1957" s="153"/>
      <c r="I1957" s="187">
        <v>8</v>
      </c>
      <c r="J1957" s="150" t="e">
        <f>(#REF!/I1957)*(60)</f>
        <v>#REF!</v>
      </c>
      <c r="K1957" s="150">
        <v>1</v>
      </c>
      <c r="L1957" s="656">
        <v>8</v>
      </c>
      <c r="M1957" s="661">
        <v>30821</v>
      </c>
      <c r="N1957" s="112">
        <v>8.3295963400000006E-2</v>
      </c>
      <c r="O1957" s="117">
        <v>5.2268585999999998E-4</v>
      </c>
      <c r="P1957" s="101"/>
      <c r="Q1957" s="101"/>
      <c r="R1957" s="101"/>
      <c r="S1957" s="101"/>
      <c r="T1957" s="101"/>
      <c r="U1957" s="101"/>
      <c r="V1957" s="101"/>
      <c r="W1957" s="101"/>
      <c r="X1957" s="101"/>
      <c r="Y1957" s="101"/>
      <c r="Z1957" s="110"/>
      <c r="AA1957" s="110"/>
      <c r="AB1957" s="90" t="s">
        <v>185</v>
      </c>
      <c r="AC1957" s="152"/>
      <c r="AD1957" s="223">
        <v>0.70801555499999991</v>
      </c>
      <c r="AE1957" s="223">
        <v>0.24474235499999999</v>
      </c>
      <c r="AF1957" s="223">
        <v>0.17371178000000001</v>
      </c>
      <c r="AG1957" s="223">
        <f>0.48095073</f>
        <v>0.48095072999999999</v>
      </c>
      <c r="AH1957" s="341"/>
      <c r="AI1957" s="218"/>
      <c r="AJ1957" s="218"/>
      <c r="AK1957" s="153"/>
      <c r="AL1957" s="152"/>
      <c r="AM1957" s="152"/>
      <c r="AN1957" s="152"/>
      <c r="AO1957" s="152"/>
      <c r="AP1957" s="152"/>
      <c r="AQ1957" s="152"/>
      <c r="AR1957" s="152"/>
      <c r="AS1957" s="152"/>
      <c r="AT1957" s="152"/>
      <c r="AU1957" s="153"/>
      <c r="AV1957" s="479"/>
      <c r="AW1957" s="479"/>
      <c r="AX1957" s="442"/>
      <c r="AY1957" s="153"/>
      <c r="AZ1957" s="152"/>
      <c r="BA1957" s="152"/>
      <c r="BB1957" s="152"/>
      <c r="BC1957" s="152"/>
      <c r="BD1957" s="152"/>
      <c r="BE1957" s="152"/>
      <c r="BF1957" s="152"/>
      <c r="BG1957" s="152"/>
      <c r="BH1957" s="152"/>
      <c r="BI1957" s="153"/>
      <c r="BJ1957" s="153"/>
      <c r="BK1957" s="153"/>
      <c r="BL1957" s="153"/>
      <c r="BM1957" s="153"/>
      <c r="BN1957" s="153"/>
      <c r="BO1957" s="153"/>
      <c r="BP1957" s="153"/>
      <c r="BQ1957" s="153"/>
      <c r="BR1957" s="153"/>
      <c r="BS1957" s="153"/>
      <c r="BT1957" s="153"/>
      <c r="BU1957" s="153"/>
      <c r="BV1957" s="153"/>
      <c r="BW1957" s="153"/>
      <c r="BX1957" s="153"/>
      <c r="BY1957" s="153"/>
      <c r="BZ1957" s="153"/>
      <c r="CA1957" s="152"/>
      <c r="CB1957" s="152"/>
    </row>
    <row r="1958" spans="1:80" s="87" customFormat="1" x14ac:dyDescent="0.2">
      <c r="A1958" s="152"/>
      <c r="B1958" s="683"/>
      <c r="C1958" s="683"/>
      <c r="D1958" s="698"/>
      <c r="E1958" s="215"/>
      <c r="F1958" s="215"/>
      <c r="G1958" s="153"/>
      <c r="H1958" s="153"/>
      <c r="I1958" s="187">
        <v>8</v>
      </c>
      <c r="J1958" s="150" t="e">
        <f>(#REF!/I1958)*(60)</f>
        <v>#REF!</v>
      </c>
      <c r="K1958" s="150">
        <v>1</v>
      </c>
      <c r="L1958" s="656">
        <v>8</v>
      </c>
      <c r="M1958" s="661">
        <v>30823</v>
      </c>
      <c r="N1958" s="112">
        <v>7.9417123500000006E-2</v>
      </c>
      <c r="O1958" s="117">
        <v>1.3119625E-3</v>
      </c>
      <c r="P1958" s="101"/>
      <c r="Q1958" s="101"/>
      <c r="R1958" s="101"/>
      <c r="S1958" s="101"/>
      <c r="T1958" s="101"/>
      <c r="U1958" s="101"/>
      <c r="V1958" s="101"/>
      <c r="W1958" s="101"/>
      <c r="X1958" s="101"/>
      <c r="Y1958" s="101"/>
      <c r="Z1958" s="110"/>
      <c r="AA1958" s="110"/>
      <c r="AB1958" s="90" t="s">
        <v>185</v>
      </c>
      <c r="AC1958" s="152"/>
      <c r="AD1958" s="223">
        <v>0.70801555499999991</v>
      </c>
      <c r="AE1958" s="223">
        <v>0.22980788999999999</v>
      </c>
      <c r="AF1958" s="223">
        <v>0.1625645</v>
      </c>
      <c r="AG1958" s="223">
        <f>0.48826557</f>
        <v>0.48826556999999998</v>
      </c>
      <c r="AH1958" s="341"/>
      <c r="AI1958" s="218"/>
      <c r="AJ1958" s="218"/>
      <c r="AK1958" s="153"/>
      <c r="AL1958" s="152"/>
      <c r="AM1958" s="152"/>
      <c r="AN1958" s="152"/>
      <c r="AO1958" s="152"/>
      <c r="AP1958" s="152"/>
      <c r="AQ1958" s="152"/>
      <c r="AR1958" s="152"/>
      <c r="AS1958" s="152"/>
      <c r="AT1958" s="152"/>
      <c r="AU1958" s="153"/>
      <c r="AV1958" s="479"/>
      <c r="AW1958" s="479"/>
      <c r="AX1958" s="442"/>
      <c r="AY1958" s="153"/>
      <c r="AZ1958" s="152"/>
      <c r="BA1958" s="152"/>
      <c r="BB1958" s="152"/>
      <c r="BC1958" s="152"/>
      <c r="BD1958" s="152"/>
      <c r="BE1958" s="152"/>
      <c r="BF1958" s="152"/>
      <c r="BG1958" s="152"/>
      <c r="BH1958" s="152"/>
      <c r="BI1958" s="153"/>
      <c r="BJ1958" s="153"/>
      <c r="BK1958" s="153"/>
      <c r="BL1958" s="153"/>
      <c r="BM1958" s="153"/>
      <c r="BN1958" s="153"/>
      <c r="BO1958" s="153"/>
      <c r="BP1958" s="153"/>
      <c r="BQ1958" s="153"/>
      <c r="BR1958" s="153"/>
      <c r="BS1958" s="153"/>
      <c r="BT1958" s="153"/>
      <c r="BU1958" s="153"/>
      <c r="BV1958" s="153"/>
      <c r="BW1958" s="153"/>
      <c r="BX1958" s="153"/>
      <c r="BY1958" s="153"/>
      <c r="BZ1958" s="153"/>
      <c r="CA1958" s="152"/>
      <c r="CB1958" s="152"/>
    </row>
    <row r="1959" spans="1:80" s="87" customFormat="1" ht="15" thickBot="1" x14ac:dyDescent="0.25">
      <c r="A1959" s="152"/>
      <c r="B1959" s="683"/>
      <c r="C1959" s="683"/>
      <c r="D1959" s="698"/>
      <c r="E1959" s="215"/>
      <c r="F1959" s="215"/>
      <c r="G1959" s="153"/>
      <c r="H1959" s="153"/>
      <c r="I1959" s="187">
        <v>8</v>
      </c>
      <c r="J1959" s="150" t="e">
        <f>(#REF!/I1959)*(60)</f>
        <v>#REF!</v>
      </c>
      <c r="K1959" s="150">
        <v>1</v>
      </c>
      <c r="L1959" s="656">
        <v>8</v>
      </c>
      <c r="M1959" s="661">
        <v>30825</v>
      </c>
      <c r="N1959" s="112">
        <v>8.2305018899999999E-2</v>
      </c>
      <c r="O1959" s="117">
        <v>4.9329790000000005E-4</v>
      </c>
      <c r="P1959" s="101"/>
      <c r="Q1959" s="101"/>
      <c r="R1959" s="101"/>
      <c r="S1959" s="101"/>
      <c r="T1959" s="101"/>
      <c r="U1959" s="101"/>
      <c r="V1959" s="101"/>
      <c r="W1959" s="101"/>
      <c r="X1959" s="101"/>
      <c r="Y1959" s="101"/>
      <c r="Z1959" s="110"/>
      <c r="AA1959" s="110"/>
      <c r="AB1959" s="90" t="s">
        <v>185</v>
      </c>
      <c r="AC1959" s="152"/>
      <c r="AD1959" s="223">
        <v>0.70801555499999991</v>
      </c>
      <c r="AE1959" s="223">
        <v>0.24260885999999998</v>
      </c>
      <c r="AF1959" s="223">
        <v>0.1718539</v>
      </c>
      <c r="AG1959" s="223">
        <f>0.47912202</f>
        <v>0.47912201999999998</v>
      </c>
      <c r="AH1959" s="341"/>
      <c r="AI1959" s="218"/>
      <c r="AJ1959" s="218"/>
      <c r="AK1959" s="153"/>
      <c r="AL1959" s="152"/>
      <c r="AM1959" s="152"/>
      <c r="AN1959" s="152"/>
      <c r="AO1959" s="152"/>
      <c r="AP1959" s="152"/>
      <c r="AQ1959" s="152"/>
      <c r="AR1959" s="152"/>
      <c r="AS1959" s="152"/>
      <c r="AT1959" s="152"/>
      <c r="AU1959" s="153"/>
      <c r="AV1959" s="479"/>
      <c r="AW1959" s="479"/>
      <c r="AX1959" s="442"/>
      <c r="AY1959" s="153"/>
      <c r="AZ1959" s="152"/>
      <c r="BA1959" s="152"/>
      <c r="BB1959" s="152"/>
      <c r="BC1959" s="152"/>
      <c r="BD1959" s="152"/>
      <c r="BE1959" s="152"/>
      <c r="BF1959" s="152"/>
      <c r="BG1959" s="152"/>
      <c r="BH1959" s="152"/>
      <c r="BI1959" s="153"/>
      <c r="BJ1959" s="153"/>
      <c r="BK1959" s="153"/>
      <c r="BL1959" s="153"/>
      <c r="BM1959" s="153"/>
      <c r="BN1959" s="153"/>
      <c r="BO1959" s="153"/>
      <c r="BP1959" s="153"/>
      <c r="BQ1959" s="153"/>
      <c r="BR1959" s="153"/>
      <c r="BS1959" s="153"/>
      <c r="BT1959" s="153"/>
      <c r="BU1959" s="153"/>
      <c r="BV1959" s="153"/>
      <c r="BW1959" s="153"/>
      <c r="BX1959" s="153"/>
      <c r="BY1959" s="153"/>
      <c r="BZ1959" s="153"/>
      <c r="CA1959" s="152"/>
      <c r="CB1959" s="152"/>
    </row>
    <row r="1960" spans="1:80" ht="15.75" thickBot="1" x14ac:dyDescent="0.3">
      <c r="A1960" s="9" t="s">
        <v>186</v>
      </c>
      <c r="B1960" s="639" t="s">
        <v>66</v>
      </c>
      <c r="C1960" s="639"/>
      <c r="D1960" s="4">
        <f>VLOOKUP(E1960,'Quality Code'!D4:E24,2,TRUE)*VLOOKUP(MROUND(F1960,10),'Quality Code'!D28:E69,2,TRUE)*VLOOKUP(4,'Quality Code'!D73:E93,2,TRUE)</f>
        <v>3.4</v>
      </c>
      <c r="E1960" s="14">
        <v>0.85</v>
      </c>
      <c r="F1960" s="18">
        <v>79</v>
      </c>
      <c r="G1960" s="12">
        <v>44.283999999999999</v>
      </c>
      <c r="H1960" s="2" t="s">
        <v>231</v>
      </c>
      <c r="I1960" s="10"/>
      <c r="J1960" s="10" t="s">
        <v>283</v>
      </c>
      <c r="K1960" s="10"/>
      <c r="L1960" s="640" t="s">
        <v>284</v>
      </c>
      <c r="M1960" s="640" t="s">
        <v>841</v>
      </c>
      <c r="N1960" s="579" t="s">
        <v>110</v>
      </c>
      <c r="O1960" s="579"/>
      <c r="P1960" s="141" t="s">
        <v>64</v>
      </c>
      <c r="Q1960" s="141" t="s">
        <v>64</v>
      </c>
      <c r="R1960" s="10" t="s">
        <v>64</v>
      </c>
      <c r="S1960" s="10" t="s">
        <v>64</v>
      </c>
      <c r="T1960" s="10" t="s">
        <v>64</v>
      </c>
      <c r="U1960" s="10" t="s">
        <v>64</v>
      </c>
      <c r="V1960" s="84"/>
      <c r="W1960" s="732"/>
      <c r="X1960" s="732"/>
      <c r="Y1960" s="732"/>
      <c r="Z1960" s="11"/>
      <c r="AA1960" s="11"/>
      <c r="AB1960" s="81"/>
      <c r="AC1960" s="85">
        <v>2.0199999999999999E-2</v>
      </c>
      <c r="AD1960" s="26"/>
      <c r="AE1960" s="26"/>
      <c r="AF1960" s="26"/>
      <c r="AG1960" s="26"/>
      <c r="AH1960" s="342" t="s">
        <v>314</v>
      </c>
      <c r="AI1960" s="123"/>
      <c r="AJ1960" s="123"/>
      <c r="AK1960" s="17"/>
      <c r="AL1960" s="17"/>
      <c r="AM1960" s="17"/>
      <c r="AN1960" s="17"/>
      <c r="AO1960" s="17"/>
      <c r="AP1960" s="17"/>
      <c r="AQ1960" s="17"/>
      <c r="AR1960" s="17"/>
      <c r="AS1960" s="17"/>
      <c r="AT1960" s="17"/>
      <c r="AU1960" s="18">
        <v>51</v>
      </c>
      <c r="AV1960" s="147">
        <v>1</v>
      </c>
      <c r="AW1960" s="147">
        <v>0.98040000000000005</v>
      </c>
      <c r="AX1960" s="147">
        <v>0.98040000000000005</v>
      </c>
      <c r="AY1960" s="147">
        <v>0.88239999999999996</v>
      </c>
      <c r="AZ1960" s="17">
        <v>0.61760000000000004</v>
      </c>
      <c r="BA1960" s="17">
        <v>0.23530000000000001</v>
      </c>
      <c r="BB1960" s="17">
        <v>3.9199999999999999E-2</v>
      </c>
      <c r="BC1960" s="17">
        <v>9.7999999999999997E-3</v>
      </c>
      <c r="BD1960" s="17">
        <v>0</v>
      </c>
      <c r="BE1960" s="17">
        <v>0</v>
      </c>
      <c r="BF1960" s="17">
        <v>0</v>
      </c>
      <c r="BG1960" s="17">
        <v>0</v>
      </c>
      <c r="BH1960" s="17">
        <v>0</v>
      </c>
      <c r="BI1960" s="4"/>
      <c r="BJ1960" s="2"/>
      <c r="BK1960" s="2" t="s">
        <v>175</v>
      </c>
      <c r="BL1960" s="12"/>
      <c r="BM1960" s="12">
        <v>3.879</v>
      </c>
      <c r="BN1960" s="12">
        <v>8.4731620000000003</v>
      </c>
      <c r="BO1960" s="12">
        <v>0.44499339999999998</v>
      </c>
      <c r="BP1960" s="12">
        <v>3.7761411000000003</v>
      </c>
      <c r="BQ1960" s="12">
        <v>19.041095890410961</v>
      </c>
      <c r="BR1960" s="12" t="s">
        <v>276</v>
      </c>
      <c r="BS1960" s="12"/>
      <c r="BT1960" s="12"/>
      <c r="BU1960" s="2"/>
      <c r="BV1960" s="2"/>
      <c r="BW1960" s="2"/>
      <c r="BX1960" s="2"/>
      <c r="BY1960" s="2" t="s">
        <v>594</v>
      </c>
      <c r="BZ1960" s="2"/>
      <c r="CA1960" s="381"/>
      <c r="CB1960" s="9" t="s">
        <v>224</v>
      </c>
    </row>
    <row r="1961" spans="1:80" s="87" customFormat="1" ht="15" x14ac:dyDescent="0.2">
      <c r="A1961" s="152"/>
      <c r="B1961" s="683"/>
      <c r="C1961" s="683"/>
      <c r="D1961" s="698"/>
      <c r="E1961" s="215"/>
      <c r="F1961" s="215"/>
      <c r="G1961" s="153"/>
      <c r="H1961" s="153"/>
      <c r="I1961" s="163">
        <v>23</v>
      </c>
      <c r="J1961" s="163">
        <v>30</v>
      </c>
      <c r="K1961" s="86">
        <v>1</v>
      </c>
      <c r="L1961" s="656">
        <v>11.5</v>
      </c>
      <c r="M1961" s="662" t="s">
        <v>842</v>
      </c>
      <c r="N1961" s="600">
        <v>0.339756</v>
      </c>
      <c r="O1961" s="605">
        <v>9.2469760000000003E-4</v>
      </c>
      <c r="P1961" s="235"/>
      <c r="Q1961" s="236"/>
      <c r="R1961" s="237"/>
      <c r="S1961" s="119"/>
      <c r="T1961" s="119"/>
      <c r="U1961" s="119"/>
      <c r="V1961" s="730">
        <v>1</v>
      </c>
      <c r="W1961" s="734"/>
      <c r="X1961" s="735"/>
      <c r="Y1961" s="736"/>
      <c r="Z1961" s="109">
        <v>2.1</v>
      </c>
      <c r="AA1961" s="101">
        <v>0.5</v>
      </c>
      <c r="AB1961" s="152"/>
      <c r="AC1961" s="152"/>
      <c r="AD1961" s="91">
        <v>6.1872370000000005</v>
      </c>
      <c r="AE1961" s="91">
        <v>0.1859219</v>
      </c>
      <c r="AF1961" s="91">
        <v>1.1509566600000001</v>
      </c>
      <c r="AG1961" s="91">
        <v>0.25907150000000001</v>
      </c>
      <c r="AH1961" s="344" t="s">
        <v>315</v>
      </c>
      <c r="AI1961" s="218"/>
      <c r="AJ1961" s="218"/>
      <c r="AK1961" s="153"/>
      <c r="AL1961" s="152"/>
      <c r="AM1961" s="152"/>
      <c r="AN1961" s="152"/>
      <c r="AO1961" s="152"/>
      <c r="AP1961" s="152"/>
      <c r="AQ1961" s="152"/>
      <c r="AR1961" s="152"/>
      <c r="AS1961" s="152"/>
      <c r="AT1961" s="152"/>
      <c r="AU1961" s="153"/>
      <c r="AV1961" s="479"/>
      <c r="AW1961" s="479"/>
      <c r="AX1961" s="442"/>
      <c r="AY1961" s="153"/>
      <c r="AZ1961" s="152"/>
      <c r="BA1961" s="152"/>
      <c r="BB1961" s="152"/>
      <c r="BC1961" s="152"/>
      <c r="BD1961" s="152"/>
      <c r="BE1961" s="152"/>
      <c r="BF1961" s="152"/>
      <c r="BG1961" s="152"/>
      <c r="BH1961" s="152"/>
      <c r="BI1961" s="153"/>
      <c r="BJ1961" s="153"/>
      <c r="BK1961" s="153"/>
      <c r="BL1961" s="153"/>
      <c r="BM1961" s="153"/>
      <c r="BN1961" s="153"/>
      <c r="BO1961" s="153"/>
      <c r="BP1961" s="153"/>
      <c r="BQ1961" s="153"/>
      <c r="BR1961" s="153"/>
      <c r="BS1961" s="153"/>
      <c r="BT1961" s="153"/>
      <c r="BU1961" s="153"/>
      <c r="BV1961" s="153"/>
      <c r="BW1961" s="153"/>
      <c r="BX1961" s="153"/>
      <c r="BY1961" s="153"/>
      <c r="BZ1961" s="153"/>
      <c r="CA1961" s="152"/>
      <c r="CB1961" s="154" t="s">
        <v>597</v>
      </c>
    </row>
    <row r="1962" spans="1:80" s="87" customFormat="1" ht="15" x14ac:dyDescent="0.2">
      <c r="A1962" s="152"/>
      <c r="B1962" s="683"/>
      <c r="C1962" s="683"/>
      <c r="D1962" s="698"/>
      <c r="E1962" s="215"/>
      <c r="F1962" s="215"/>
      <c r="G1962" s="153"/>
      <c r="H1962" s="153"/>
      <c r="I1962" s="163">
        <v>23</v>
      </c>
      <c r="J1962" s="163">
        <v>30</v>
      </c>
      <c r="K1962" s="86">
        <v>1</v>
      </c>
      <c r="L1962" s="656">
        <v>11.5</v>
      </c>
      <c r="M1962" s="662" t="s">
        <v>842</v>
      </c>
      <c r="N1962" s="600">
        <v>0.339756</v>
      </c>
      <c r="O1962" s="605">
        <v>4.8071680000000006E-3</v>
      </c>
      <c r="P1962" s="239"/>
      <c r="Q1962" s="240"/>
      <c r="R1962" s="237"/>
      <c r="S1962" s="119"/>
      <c r="T1962" s="119"/>
      <c r="U1962" s="238">
        <v>7.8702599570713103E-3</v>
      </c>
      <c r="V1962" s="730">
        <v>0.99212974004292886</v>
      </c>
      <c r="W1962" s="737"/>
      <c r="X1962" s="733"/>
      <c r="Y1962" s="738"/>
      <c r="Z1962" s="109">
        <v>2.5</v>
      </c>
      <c r="AA1962" s="101">
        <v>0.55000000000000004</v>
      </c>
      <c r="AB1962" s="152"/>
      <c r="AC1962" s="152"/>
      <c r="AD1962" s="91">
        <v>6.1872370000000005</v>
      </c>
      <c r="AE1962" s="91">
        <v>0.1859219</v>
      </c>
      <c r="AF1962" s="91">
        <v>1.1509566600000001</v>
      </c>
      <c r="AG1962" s="91">
        <v>0.25907150000000001</v>
      </c>
      <c r="AH1962" s="344" t="s">
        <v>316</v>
      </c>
      <c r="AI1962" s="218"/>
      <c r="AJ1962" s="218"/>
      <c r="AK1962" s="153"/>
      <c r="AL1962" s="152"/>
      <c r="AM1962" s="152"/>
      <c r="AN1962" s="152"/>
      <c r="AO1962" s="152"/>
      <c r="AP1962" s="152"/>
      <c r="AQ1962" s="152"/>
      <c r="AR1962" s="152"/>
      <c r="AS1962" s="152"/>
      <c r="AT1962" s="152"/>
      <c r="AU1962" s="153"/>
      <c r="AV1962" s="479"/>
      <c r="AW1962" s="479"/>
      <c r="AX1962" s="442"/>
      <c r="AY1962" s="153"/>
      <c r="AZ1962" s="152"/>
      <c r="BA1962" s="152"/>
      <c r="BB1962" s="152"/>
      <c r="BC1962" s="152"/>
      <c r="BD1962" s="152"/>
      <c r="BE1962" s="152"/>
      <c r="BF1962" s="152"/>
      <c r="BG1962" s="152"/>
      <c r="BH1962" s="152"/>
      <c r="BI1962" s="153"/>
      <c r="BJ1962" s="153"/>
      <c r="BK1962" s="153"/>
      <c r="BL1962" s="153"/>
      <c r="BM1962" s="153"/>
      <c r="BN1962" s="153"/>
      <c r="BO1962" s="153"/>
      <c r="BP1962" s="153"/>
      <c r="BQ1962" s="153"/>
      <c r="BR1962" s="153"/>
      <c r="BS1962" s="153"/>
      <c r="BT1962" s="153"/>
      <c r="BU1962" s="153"/>
      <c r="BV1962" s="153"/>
      <c r="BW1962" s="153"/>
      <c r="BX1962" s="153"/>
      <c r="BY1962" s="153"/>
      <c r="BZ1962" s="153"/>
      <c r="CA1962" s="152"/>
      <c r="CB1962" s="486" t="s">
        <v>639</v>
      </c>
    </row>
    <row r="1963" spans="1:80" s="87" customFormat="1" ht="15" x14ac:dyDescent="0.2">
      <c r="A1963" s="152"/>
      <c r="B1963" s="683"/>
      <c r="C1963" s="683"/>
      <c r="D1963" s="698"/>
      <c r="E1963" s="215"/>
      <c r="F1963" s="215"/>
      <c r="G1963" s="153"/>
      <c r="H1963" s="153"/>
      <c r="I1963" s="163">
        <v>23</v>
      </c>
      <c r="J1963" s="163">
        <v>30</v>
      </c>
      <c r="K1963" s="86">
        <v>1</v>
      </c>
      <c r="L1963" s="656">
        <v>11.5</v>
      </c>
      <c r="M1963" s="662" t="s">
        <v>843</v>
      </c>
      <c r="N1963" s="600">
        <v>0.44168279999999999</v>
      </c>
      <c r="O1963" s="605">
        <v>4.2088959999999996E-4</v>
      </c>
      <c r="P1963" s="239"/>
      <c r="Q1963" s="240"/>
      <c r="R1963" s="237"/>
      <c r="S1963" s="119"/>
      <c r="T1963" s="119"/>
      <c r="U1963" s="238">
        <v>4.6831955922865022E-2</v>
      </c>
      <c r="V1963" s="730">
        <v>0.95316804407713474</v>
      </c>
      <c r="W1963" s="737"/>
      <c r="X1963" s="733"/>
      <c r="Y1963" s="738"/>
      <c r="Z1963" s="109">
        <v>3.2</v>
      </c>
      <c r="AA1963" s="101">
        <v>0.52</v>
      </c>
      <c r="AB1963" s="152"/>
      <c r="AC1963" s="152"/>
      <c r="AD1963" s="91">
        <v>6.3091530000000002</v>
      </c>
      <c r="AE1963" s="91">
        <v>0.20725720000000003</v>
      </c>
      <c r="AF1963" s="91">
        <v>1.3135211600000001</v>
      </c>
      <c r="AG1963" s="91">
        <v>0.3505085</v>
      </c>
      <c r="AH1963" s="344" t="s">
        <v>317</v>
      </c>
      <c r="AI1963" s="218"/>
      <c r="AJ1963" s="218"/>
      <c r="AK1963" s="153"/>
      <c r="AL1963" s="152"/>
      <c r="AM1963" s="152"/>
      <c r="AN1963" s="152"/>
      <c r="AO1963" s="152"/>
      <c r="AP1963" s="152"/>
      <c r="AQ1963" s="152"/>
      <c r="AR1963" s="152"/>
      <c r="AS1963" s="152"/>
      <c r="AT1963" s="152"/>
      <c r="AU1963" s="153"/>
      <c r="AV1963" s="479"/>
      <c r="AW1963" s="479"/>
      <c r="AX1963" s="442"/>
      <c r="AY1963" s="153"/>
      <c r="AZ1963" s="90"/>
      <c r="BA1963" s="90"/>
      <c r="BB1963" s="90"/>
      <c r="BC1963" s="90"/>
      <c r="BD1963" s="90"/>
      <c r="BE1963" s="90"/>
      <c r="BF1963" s="90"/>
      <c r="BG1963" s="90"/>
      <c r="BH1963" s="90"/>
      <c r="BI1963" s="153"/>
      <c r="BJ1963" s="153"/>
      <c r="BK1963" s="153"/>
      <c r="BL1963" s="153"/>
      <c r="BM1963" s="153"/>
      <c r="BN1963" s="153"/>
      <c r="BO1963" s="153"/>
      <c r="BP1963" s="153"/>
      <c r="BQ1963" s="153"/>
      <c r="BR1963" s="153"/>
      <c r="BS1963" s="153"/>
      <c r="BT1963" s="153"/>
      <c r="BU1963" s="153"/>
      <c r="BV1963" s="153"/>
      <c r="BW1963" s="153"/>
      <c r="BX1963" s="153"/>
      <c r="BY1963" s="153"/>
      <c r="BZ1963" s="153"/>
      <c r="CA1963" s="152"/>
      <c r="CB1963" s="486" t="s">
        <v>640</v>
      </c>
    </row>
    <row r="1964" spans="1:80" s="87" customFormat="1" ht="15" x14ac:dyDescent="0.2">
      <c r="A1964" s="152"/>
      <c r="B1964" s="683"/>
      <c r="C1964" s="683"/>
      <c r="D1964" s="698"/>
      <c r="E1964" s="215"/>
      <c r="F1964" s="215"/>
      <c r="G1964" s="153"/>
      <c r="H1964" s="153"/>
      <c r="I1964" s="163">
        <v>23</v>
      </c>
      <c r="J1964" s="163">
        <v>30</v>
      </c>
      <c r="K1964" s="86">
        <v>1</v>
      </c>
      <c r="L1964" s="656">
        <v>11.5</v>
      </c>
      <c r="M1964" s="662" t="s">
        <v>843</v>
      </c>
      <c r="N1964" s="600">
        <v>0.44168279999999999</v>
      </c>
      <c r="O1964" s="605">
        <v>1.2805119999999999E-3</v>
      </c>
      <c r="P1964" s="239"/>
      <c r="Q1964" s="240"/>
      <c r="R1964" s="237"/>
      <c r="S1964" s="119"/>
      <c r="T1964" s="119"/>
      <c r="U1964" s="238">
        <v>4.1441441441441441E-2</v>
      </c>
      <c r="V1964" s="730">
        <v>0.95855855855855865</v>
      </c>
      <c r="W1964" s="737"/>
      <c r="X1964" s="733"/>
      <c r="Y1964" s="738"/>
      <c r="Z1964" s="109">
        <v>4</v>
      </c>
      <c r="AA1964" s="101">
        <v>0.61</v>
      </c>
      <c r="AB1964" s="152"/>
      <c r="AC1964" s="152"/>
      <c r="AD1964" s="91">
        <v>6.3091530000000002</v>
      </c>
      <c r="AE1964" s="91">
        <v>0.20725720000000003</v>
      </c>
      <c r="AF1964" s="91">
        <v>1.3135211600000001</v>
      </c>
      <c r="AG1964" s="91">
        <v>0.3505085</v>
      </c>
      <c r="AH1964" s="344" t="s">
        <v>318</v>
      </c>
      <c r="AI1964" s="218"/>
      <c r="AJ1964" s="218"/>
      <c r="AK1964" s="153"/>
      <c r="AL1964" s="152"/>
      <c r="AM1964" s="152"/>
      <c r="AN1964" s="152"/>
      <c r="AO1964" s="152"/>
      <c r="AP1964" s="152"/>
      <c r="AQ1964" s="152"/>
      <c r="AR1964" s="152"/>
      <c r="AS1964" s="152"/>
      <c r="AT1964" s="152"/>
      <c r="AU1964" s="153"/>
      <c r="AV1964" s="479"/>
      <c r="AW1964" s="479"/>
      <c r="AX1964" s="442"/>
      <c r="AY1964" s="153"/>
      <c r="AZ1964" s="152"/>
      <c r="BA1964" s="152"/>
      <c r="BB1964" s="152"/>
      <c r="BC1964" s="152"/>
      <c r="BD1964" s="152"/>
      <c r="BE1964" s="152"/>
      <c r="BF1964" s="152"/>
      <c r="BG1964" s="152"/>
      <c r="BH1964" s="152"/>
      <c r="BI1964" s="153"/>
      <c r="BJ1964" s="153"/>
      <c r="BK1964" s="153"/>
      <c r="BL1964" s="152"/>
      <c r="BM1964" s="152"/>
      <c r="BN1964" s="152"/>
      <c r="BO1964" s="152"/>
      <c r="BP1964" s="152"/>
      <c r="BQ1964" s="152"/>
      <c r="BR1964" s="152"/>
      <c r="BS1964" s="152"/>
      <c r="BT1964" s="152"/>
      <c r="BU1964" s="152"/>
      <c r="BV1964" s="152"/>
      <c r="BW1964" s="152"/>
      <c r="BX1964" s="152"/>
      <c r="BY1964" s="153"/>
      <c r="BZ1964" s="153"/>
      <c r="CA1964" s="152"/>
      <c r="CB1964" s="152"/>
    </row>
    <row r="1965" spans="1:80" s="87" customFormat="1" x14ac:dyDescent="0.2">
      <c r="A1965" s="152"/>
      <c r="B1965" s="683"/>
      <c r="C1965" s="683"/>
      <c r="D1965" s="698"/>
      <c r="E1965" s="215"/>
      <c r="F1965" s="215"/>
      <c r="G1965" s="153"/>
      <c r="H1965" s="153"/>
      <c r="I1965" s="163">
        <v>23</v>
      </c>
      <c r="J1965" s="163">
        <v>30</v>
      </c>
      <c r="K1965" s="86">
        <v>1</v>
      </c>
      <c r="L1965" s="656">
        <v>11.5</v>
      </c>
      <c r="M1965" s="662" t="s">
        <v>844</v>
      </c>
      <c r="N1965" s="600">
        <v>0.679512</v>
      </c>
      <c r="O1965" s="605">
        <v>3.0753280000000001E-4</v>
      </c>
      <c r="P1965" s="239"/>
      <c r="Q1965" s="240"/>
      <c r="R1965" s="237"/>
      <c r="S1965" s="119"/>
      <c r="T1965" s="119"/>
      <c r="U1965" s="238">
        <v>1.7985611510791366E-2</v>
      </c>
      <c r="V1965" s="730">
        <v>0.98201438848920863</v>
      </c>
      <c r="W1965" s="737"/>
      <c r="X1965" s="733"/>
      <c r="Y1965" s="738"/>
      <c r="Z1965" s="109">
        <v>2.7</v>
      </c>
      <c r="AA1965" s="101">
        <v>0.53</v>
      </c>
      <c r="AB1965" s="152"/>
      <c r="AC1965" s="152"/>
      <c r="AD1965" s="91">
        <v>6.2786740000000005</v>
      </c>
      <c r="AE1965" s="91">
        <v>0.25297569999999997</v>
      </c>
      <c r="AF1965" s="91">
        <v>1.5949899800000003</v>
      </c>
      <c r="AG1965" s="91">
        <v>0.42365809999999998</v>
      </c>
      <c r="AH1965" s="343"/>
      <c r="AI1965" s="218"/>
      <c r="AJ1965" s="218"/>
      <c r="AK1965" s="153"/>
      <c r="AL1965" s="152"/>
      <c r="AM1965" s="152"/>
      <c r="AN1965" s="152"/>
      <c r="AO1965" s="152"/>
      <c r="AP1965" s="152"/>
      <c r="AQ1965" s="152"/>
      <c r="AR1965" s="152"/>
      <c r="AS1965" s="152"/>
      <c r="AT1965" s="152"/>
      <c r="AU1965" s="153"/>
      <c r="AV1965" s="479"/>
      <c r="AW1965" s="479"/>
      <c r="AX1965" s="442"/>
      <c r="AY1965" s="153"/>
      <c r="AZ1965" s="152"/>
      <c r="BA1965" s="152"/>
      <c r="BB1965" s="152"/>
      <c r="BC1965" s="152"/>
      <c r="BD1965" s="152"/>
      <c r="BE1965" s="152"/>
      <c r="BF1965" s="152"/>
      <c r="BG1965" s="152"/>
      <c r="BH1965" s="152"/>
      <c r="BI1965" s="153"/>
      <c r="BJ1965" s="153"/>
      <c r="BK1965" s="153"/>
      <c r="BL1965" s="152"/>
      <c r="BM1965" s="152"/>
      <c r="BN1965" s="152"/>
      <c r="BO1965" s="152"/>
      <c r="BP1965" s="152"/>
      <c r="BQ1965" s="152"/>
      <c r="BR1965" s="152"/>
      <c r="BS1965" s="152"/>
      <c r="BT1965" s="152"/>
      <c r="BU1965" s="152"/>
      <c r="BV1965" s="152"/>
      <c r="BW1965" s="152"/>
      <c r="BX1965" s="152"/>
      <c r="BY1965" s="153"/>
      <c r="BZ1965" s="153"/>
      <c r="CA1965" s="152"/>
      <c r="CB1965" s="152"/>
    </row>
    <row r="1966" spans="1:80" s="87" customFormat="1" x14ac:dyDescent="0.2">
      <c r="A1966" s="152"/>
      <c r="B1966" s="683"/>
      <c r="C1966" s="683"/>
      <c r="D1966" s="698"/>
      <c r="E1966" s="215"/>
      <c r="F1966" s="215"/>
      <c r="G1966" s="153"/>
      <c r="H1966" s="153"/>
      <c r="I1966" s="163">
        <v>23</v>
      </c>
      <c r="J1966" s="163">
        <v>30</v>
      </c>
      <c r="K1966" s="86">
        <v>1</v>
      </c>
      <c r="L1966" s="656">
        <v>11.5</v>
      </c>
      <c r="M1966" s="662" t="s">
        <v>844</v>
      </c>
      <c r="N1966" s="600">
        <v>0.679512</v>
      </c>
      <c r="O1966" s="605">
        <v>8.9950719999999998E-4</v>
      </c>
      <c r="P1966" s="239"/>
      <c r="Q1966" s="240"/>
      <c r="R1966" s="237"/>
      <c r="S1966" s="119"/>
      <c r="T1966" s="119"/>
      <c r="U1966" s="238">
        <v>1.604938271604938E-2</v>
      </c>
      <c r="V1966" s="730">
        <v>0.9839506172839505</v>
      </c>
      <c r="W1966" s="737"/>
      <c r="X1966" s="733"/>
      <c r="Y1966" s="738"/>
      <c r="Z1966" s="109">
        <v>2.9</v>
      </c>
      <c r="AA1966" s="101">
        <v>0.79</v>
      </c>
      <c r="AB1966" s="152"/>
      <c r="AC1966" s="152"/>
      <c r="AD1966" s="91">
        <v>6.2786740000000005</v>
      </c>
      <c r="AE1966" s="91">
        <v>0.25297569999999997</v>
      </c>
      <c r="AF1966" s="91">
        <v>1.5949899800000003</v>
      </c>
      <c r="AG1966" s="91">
        <v>0.42365809999999998</v>
      </c>
      <c r="AH1966" s="343"/>
      <c r="AI1966" s="218"/>
      <c r="AJ1966" s="218"/>
      <c r="AK1966" s="153"/>
      <c r="AL1966" s="152"/>
      <c r="AM1966" s="152"/>
      <c r="AN1966" s="152"/>
      <c r="AO1966" s="152"/>
      <c r="AP1966" s="152"/>
      <c r="AQ1966" s="152"/>
      <c r="AR1966" s="152"/>
      <c r="AS1966" s="152"/>
      <c r="AT1966" s="152"/>
      <c r="AU1966" s="153"/>
      <c r="AV1966" s="479"/>
      <c r="AW1966" s="479"/>
      <c r="AX1966" s="442"/>
      <c r="AY1966" s="153"/>
      <c r="AZ1966" s="152"/>
      <c r="BA1966" s="152"/>
      <c r="BB1966" s="152"/>
      <c r="BC1966" s="152"/>
      <c r="BD1966" s="152"/>
      <c r="BE1966" s="152"/>
      <c r="BF1966" s="152"/>
      <c r="BG1966" s="152"/>
      <c r="BH1966" s="152"/>
      <c r="BI1966" s="153"/>
      <c r="BJ1966" s="153"/>
      <c r="BK1966" s="153"/>
      <c r="BL1966" s="152"/>
      <c r="BM1966" s="152"/>
      <c r="BN1966" s="152"/>
      <c r="BO1966" s="152"/>
      <c r="BP1966" s="152"/>
      <c r="BQ1966" s="152"/>
      <c r="BR1966" s="152"/>
      <c r="BS1966" s="152"/>
      <c r="BT1966" s="152"/>
      <c r="BU1966" s="152"/>
      <c r="BV1966" s="152"/>
      <c r="BW1966" s="152"/>
      <c r="BX1966" s="152"/>
      <c r="BY1966" s="153"/>
      <c r="BZ1966" s="153"/>
      <c r="CA1966" s="152"/>
      <c r="CB1966" s="152"/>
    </row>
    <row r="1967" spans="1:80" s="87" customFormat="1" x14ac:dyDescent="0.2">
      <c r="A1967" s="152"/>
      <c r="B1967" s="683"/>
      <c r="C1967" s="683"/>
      <c r="D1967" s="698"/>
      <c r="E1967" s="215"/>
      <c r="F1967" s="215"/>
      <c r="G1967" s="153"/>
      <c r="H1967" s="153"/>
      <c r="I1967" s="163">
        <v>24</v>
      </c>
      <c r="J1967" s="163">
        <v>30</v>
      </c>
      <c r="K1967" s="86">
        <v>1</v>
      </c>
      <c r="L1967" s="656">
        <v>12</v>
      </c>
      <c r="M1967" s="662" t="s">
        <v>845</v>
      </c>
      <c r="N1967" s="600">
        <v>0.79559530000000012</v>
      </c>
      <c r="O1967" s="605">
        <v>5.7413120000000002E-3</v>
      </c>
      <c r="P1967" s="239"/>
      <c r="Q1967" s="240"/>
      <c r="R1967" s="237"/>
      <c r="S1967" s="119"/>
      <c r="T1967" s="119">
        <v>7.4170854271356806E-2</v>
      </c>
      <c r="U1967" s="238">
        <v>0.14472361809045226</v>
      </c>
      <c r="V1967" s="730">
        <v>0.78110552763819097</v>
      </c>
      <c r="W1967" s="737"/>
      <c r="X1967" s="733"/>
      <c r="Y1967" s="738"/>
      <c r="Z1967" s="109">
        <v>9.5</v>
      </c>
      <c r="AA1967" s="101">
        <v>0.87</v>
      </c>
      <c r="AB1967" s="152"/>
      <c r="AC1967" s="152"/>
      <c r="AD1967" s="91">
        <v>6.3396319999999999</v>
      </c>
      <c r="AE1967" s="91">
        <v>0.26516729999999999</v>
      </c>
      <c r="AF1967" s="91">
        <v>1.6850971600000002</v>
      </c>
      <c r="AG1967" s="91">
        <v>0.4602329</v>
      </c>
      <c r="AH1967" s="343"/>
      <c r="AI1967" s="218"/>
      <c r="AJ1967" s="218"/>
      <c r="AK1967" s="153"/>
      <c r="AL1967" s="152"/>
      <c r="AM1967" s="152"/>
      <c r="AN1967" s="152"/>
      <c r="AO1967" s="152"/>
      <c r="AP1967" s="152"/>
      <c r="AQ1967" s="152"/>
      <c r="AR1967" s="152"/>
      <c r="AS1967" s="152"/>
      <c r="AT1967" s="152"/>
      <c r="AU1967" s="153"/>
      <c r="AV1967" s="479"/>
      <c r="AW1967" s="479"/>
      <c r="AX1967" s="442"/>
      <c r="AY1967" s="153"/>
      <c r="AZ1967" s="152"/>
      <c r="BA1967" s="152"/>
      <c r="BB1967" s="152"/>
      <c r="BC1967" s="152"/>
      <c r="BD1967" s="152"/>
      <c r="BE1967" s="152"/>
      <c r="BF1967" s="152"/>
      <c r="BG1967" s="152"/>
      <c r="BH1967" s="152"/>
      <c r="BI1967" s="153"/>
      <c r="BJ1967" s="153"/>
      <c r="BK1967" s="153"/>
      <c r="BL1967" s="152"/>
      <c r="BM1967" s="152"/>
      <c r="BN1967" s="152"/>
      <c r="BO1967" s="152"/>
      <c r="BP1967" s="152"/>
      <c r="BQ1967" s="152"/>
      <c r="BR1967" s="152"/>
      <c r="BS1967" s="152"/>
      <c r="BT1967" s="152"/>
      <c r="BU1967" s="152"/>
      <c r="BV1967" s="152"/>
      <c r="BW1967" s="152"/>
      <c r="BX1967" s="152"/>
      <c r="BY1967" s="153"/>
      <c r="BZ1967" s="153"/>
      <c r="CA1967" s="152"/>
      <c r="CB1967" s="152"/>
    </row>
    <row r="1968" spans="1:80" s="87" customFormat="1" x14ac:dyDescent="0.2">
      <c r="A1968" s="152"/>
      <c r="B1968" s="683"/>
      <c r="C1968" s="683"/>
      <c r="D1968" s="698"/>
      <c r="E1968" s="215"/>
      <c r="F1968" s="215"/>
      <c r="G1968" s="153"/>
      <c r="H1968" s="153"/>
      <c r="I1968" s="163">
        <v>24</v>
      </c>
      <c r="J1968" s="163">
        <v>30</v>
      </c>
      <c r="K1968" s="86">
        <v>1</v>
      </c>
      <c r="L1968" s="656">
        <v>12</v>
      </c>
      <c r="M1968" s="662" t="s">
        <v>845</v>
      </c>
      <c r="N1968" s="600">
        <v>0.79559530000000012</v>
      </c>
      <c r="O1968" s="605">
        <v>3.022848E-4</v>
      </c>
      <c r="P1968" s="239"/>
      <c r="Q1968" s="240"/>
      <c r="R1968" s="237"/>
      <c r="S1968" s="119"/>
      <c r="T1968" s="119"/>
      <c r="U1968" s="238">
        <v>2.3076923076923075E-2</v>
      </c>
      <c r="V1968" s="730">
        <v>0.97692307692307678</v>
      </c>
      <c r="W1968" s="737"/>
      <c r="X1968" s="733"/>
      <c r="Y1968" s="738"/>
      <c r="Z1968" s="109">
        <v>3.2</v>
      </c>
      <c r="AA1968" s="101">
        <v>0.38</v>
      </c>
      <c r="AB1968" s="152"/>
      <c r="AC1968" s="152"/>
      <c r="AD1968" s="91">
        <v>6.3396319999999999</v>
      </c>
      <c r="AE1968" s="91">
        <v>0.26516729999999999</v>
      </c>
      <c r="AF1968" s="91">
        <v>1.6850971600000002</v>
      </c>
      <c r="AG1968" s="91">
        <v>0.4602329</v>
      </c>
      <c r="AH1968" s="343"/>
      <c r="AI1968" s="218"/>
      <c r="AJ1968" s="218"/>
      <c r="AK1968" s="153"/>
      <c r="AL1968" s="152"/>
      <c r="AM1968" s="152"/>
      <c r="AN1968" s="152"/>
      <c r="AO1968" s="152"/>
      <c r="AP1968" s="152"/>
      <c r="AQ1968" s="152"/>
      <c r="AR1968" s="152"/>
      <c r="AS1968" s="152"/>
      <c r="AT1968" s="152"/>
      <c r="AU1968" s="153"/>
      <c r="AV1968" s="479"/>
      <c r="AW1968" s="479"/>
      <c r="AX1968" s="442"/>
      <c r="AY1968" s="153"/>
      <c r="AZ1968" s="152"/>
      <c r="BA1968" s="152"/>
      <c r="BB1968" s="152"/>
      <c r="BC1968" s="152"/>
      <c r="BD1968" s="152"/>
      <c r="BE1968" s="152"/>
      <c r="BF1968" s="152"/>
      <c r="BG1968" s="152"/>
      <c r="BH1968" s="152"/>
      <c r="BI1968" s="153"/>
      <c r="BJ1968" s="153"/>
      <c r="BK1968" s="153"/>
      <c r="BL1968" s="152"/>
      <c r="BM1968" s="152"/>
      <c r="BN1968" s="152"/>
      <c r="BO1968" s="152"/>
      <c r="BP1968" s="152"/>
      <c r="BQ1968" s="152"/>
      <c r="BR1968" s="152"/>
      <c r="BS1968" s="152"/>
      <c r="BT1968" s="152"/>
      <c r="BU1968" s="152"/>
      <c r="BV1968" s="152"/>
      <c r="BW1968" s="152"/>
      <c r="BX1968" s="152"/>
      <c r="BY1968" s="153"/>
      <c r="BZ1968" s="153"/>
      <c r="CA1968" s="152"/>
      <c r="CB1968" s="152"/>
    </row>
    <row r="1969" spans="1:80" s="87" customFormat="1" x14ac:dyDescent="0.2">
      <c r="A1969" s="152"/>
      <c r="B1969" s="683"/>
      <c r="C1969" s="683"/>
      <c r="D1969" s="698"/>
      <c r="E1969" s="215"/>
      <c r="F1969" s="215"/>
      <c r="G1969" s="153"/>
      <c r="H1969" s="153"/>
      <c r="I1969" s="163">
        <v>24</v>
      </c>
      <c r="J1969" s="163">
        <v>30</v>
      </c>
      <c r="K1969" s="86">
        <v>1</v>
      </c>
      <c r="L1969" s="656">
        <v>12</v>
      </c>
      <c r="M1969" s="662" t="s">
        <v>845</v>
      </c>
      <c r="N1969" s="600">
        <v>0.79559530000000012</v>
      </c>
      <c r="O1969" s="605">
        <v>1.395968E-3</v>
      </c>
      <c r="P1969" s="239"/>
      <c r="Q1969" s="240"/>
      <c r="R1969" s="237"/>
      <c r="S1969" s="119"/>
      <c r="T1969" s="119">
        <v>2.4617996604414299E-2</v>
      </c>
      <c r="U1969" s="238">
        <v>9.5076400679117143E-2</v>
      </c>
      <c r="V1969" s="730">
        <v>0.88030560271646852</v>
      </c>
      <c r="W1969" s="737"/>
      <c r="X1969" s="733"/>
      <c r="Y1969" s="738"/>
      <c r="Z1969" s="109">
        <v>6.8</v>
      </c>
      <c r="AA1969" s="101">
        <v>0.75</v>
      </c>
      <c r="AB1969" s="152"/>
      <c r="AC1969" s="152"/>
      <c r="AD1969" s="91">
        <v>6.3396319999999999</v>
      </c>
      <c r="AE1969" s="91">
        <v>0.26516729999999999</v>
      </c>
      <c r="AF1969" s="91">
        <v>1.6850971600000002</v>
      </c>
      <c r="AG1969" s="91">
        <v>0.4602329</v>
      </c>
      <c r="AH1969" s="343"/>
      <c r="AI1969" s="218"/>
      <c r="AJ1969" s="218"/>
      <c r="AK1969" s="153"/>
      <c r="AL1969" s="152"/>
      <c r="AM1969" s="152"/>
      <c r="AN1969" s="152"/>
      <c r="AO1969" s="152"/>
      <c r="AP1969" s="152"/>
      <c r="AQ1969" s="152"/>
      <c r="AR1969" s="152"/>
      <c r="AS1969" s="152"/>
      <c r="AT1969" s="152"/>
      <c r="AU1969" s="153"/>
      <c r="AV1969" s="479"/>
      <c r="AW1969" s="479"/>
      <c r="AX1969" s="442"/>
      <c r="AY1969" s="153"/>
      <c r="AZ1969" s="152"/>
      <c r="BA1969" s="152"/>
      <c r="BB1969" s="152"/>
      <c r="BC1969" s="152"/>
      <c r="BD1969" s="152"/>
      <c r="BE1969" s="152"/>
      <c r="BF1969" s="152"/>
      <c r="BG1969" s="152"/>
      <c r="BH1969" s="152"/>
      <c r="BI1969" s="153"/>
      <c r="BJ1969" s="153"/>
      <c r="BK1969" s="153"/>
      <c r="BL1969" s="152"/>
      <c r="BM1969" s="152"/>
      <c r="BN1969" s="152"/>
      <c r="BO1969" s="152"/>
      <c r="BP1969" s="152"/>
      <c r="BQ1969" s="152"/>
      <c r="BR1969" s="152"/>
      <c r="BS1969" s="152"/>
      <c r="BT1969" s="152"/>
      <c r="BU1969" s="152"/>
      <c r="BV1969" s="152"/>
      <c r="BW1969" s="152"/>
      <c r="BX1969" s="152"/>
      <c r="BY1969" s="153"/>
      <c r="BZ1969" s="153"/>
      <c r="CA1969" s="152"/>
      <c r="CB1969" s="152"/>
    </row>
    <row r="1970" spans="1:80" s="87" customFormat="1" x14ac:dyDescent="0.2">
      <c r="A1970" s="152"/>
      <c r="B1970" s="683"/>
      <c r="C1970" s="683"/>
      <c r="D1970" s="698"/>
      <c r="E1970" s="215"/>
      <c r="F1970" s="215"/>
      <c r="G1970" s="153"/>
      <c r="H1970" s="153"/>
      <c r="I1970" s="163">
        <v>24</v>
      </c>
      <c r="J1970" s="163">
        <v>30</v>
      </c>
      <c r="K1970" s="86">
        <v>1</v>
      </c>
      <c r="L1970" s="656">
        <v>12</v>
      </c>
      <c r="M1970" s="662" t="s">
        <v>846</v>
      </c>
      <c r="N1970" s="600">
        <v>0.90318469999999995</v>
      </c>
      <c r="O1970" s="605">
        <v>4.9331199999999998E-4</v>
      </c>
      <c r="P1970" s="239"/>
      <c r="Q1970" s="240"/>
      <c r="R1970" s="237"/>
      <c r="S1970" s="119"/>
      <c r="T1970" s="119"/>
      <c r="U1970" s="238">
        <v>3.2036613272311214E-2</v>
      </c>
      <c r="V1970" s="730">
        <v>0.96796338672768867</v>
      </c>
      <c r="W1970" s="737"/>
      <c r="X1970" s="733"/>
      <c r="Y1970" s="738"/>
      <c r="Z1970" s="109">
        <v>3.1</v>
      </c>
      <c r="AA1970" s="101">
        <v>0.46</v>
      </c>
      <c r="AB1970" s="152"/>
      <c r="AC1970" s="152"/>
      <c r="AD1970" s="91">
        <v>6.2481949999999999</v>
      </c>
      <c r="AE1970" s="91">
        <v>0.29259839999999998</v>
      </c>
      <c r="AF1970" s="91">
        <v>1.82350922</v>
      </c>
      <c r="AG1970" s="91">
        <v>0.51814300000000002</v>
      </c>
      <c r="AH1970" s="343"/>
      <c r="AI1970" s="218"/>
      <c r="AJ1970" s="218"/>
      <c r="AK1970" s="153"/>
      <c r="AL1970" s="152"/>
      <c r="AM1970" s="152"/>
      <c r="AN1970" s="152"/>
      <c r="AO1970" s="152"/>
      <c r="AP1970" s="152"/>
      <c r="AQ1970" s="152"/>
      <c r="AR1970" s="152"/>
      <c r="AS1970" s="152"/>
      <c r="AT1970" s="152"/>
      <c r="AU1970" s="153"/>
      <c r="AV1970" s="479"/>
      <c r="AW1970" s="479"/>
      <c r="AX1970" s="442"/>
      <c r="AY1970" s="153"/>
      <c r="AZ1970" s="152"/>
      <c r="BA1970" s="152"/>
      <c r="BB1970" s="152"/>
      <c r="BC1970" s="152"/>
      <c r="BD1970" s="152"/>
      <c r="BE1970" s="152"/>
      <c r="BF1970" s="152"/>
      <c r="BG1970" s="152"/>
      <c r="BH1970" s="152"/>
      <c r="BI1970" s="153"/>
      <c r="BJ1970" s="153"/>
      <c r="BK1970" s="153"/>
      <c r="BL1970" s="152"/>
      <c r="BM1970" s="152"/>
      <c r="BN1970" s="152"/>
      <c r="BO1970" s="152"/>
      <c r="BP1970" s="152"/>
      <c r="BQ1970" s="152"/>
      <c r="BR1970" s="152"/>
      <c r="BS1970" s="152"/>
      <c r="BT1970" s="152"/>
      <c r="BU1970" s="152"/>
      <c r="BV1970" s="152"/>
      <c r="BW1970" s="152"/>
      <c r="BX1970" s="152"/>
      <c r="BY1970" s="153"/>
      <c r="BZ1970" s="153"/>
      <c r="CA1970" s="152"/>
      <c r="CB1970" s="152"/>
    </row>
    <row r="1971" spans="1:80" s="87" customFormat="1" x14ac:dyDescent="0.2">
      <c r="A1971" s="152"/>
      <c r="B1971" s="683"/>
      <c r="C1971" s="683"/>
      <c r="D1971" s="698"/>
      <c r="E1971" s="215"/>
      <c r="F1971" s="215"/>
      <c r="G1971" s="153"/>
      <c r="H1971" s="153"/>
      <c r="I1971" s="163">
        <v>24</v>
      </c>
      <c r="J1971" s="163">
        <v>30</v>
      </c>
      <c r="K1971" s="86">
        <v>1</v>
      </c>
      <c r="L1971" s="656">
        <v>12</v>
      </c>
      <c r="M1971" s="662" t="s">
        <v>846</v>
      </c>
      <c r="N1971" s="600">
        <v>0.90318469999999995</v>
      </c>
      <c r="O1971" s="605">
        <v>3.25376E-4</v>
      </c>
      <c r="P1971" s="239"/>
      <c r="Q1971" s="240"/>
      <c r="R1971" s="237"/>
      <c r="S1971" s="119"/>
      <c r="T1971" s="119"/>
      <c r="U1971" s="238"/>
      <c r="V1971" s="730">
        <v>1</v>
      </c>
      <c r="W1971" s="737"/>
      <c r="X1971" s="733"/>
      <c r="Y1971" s="738"/>
      <c r="Z1971" s="109">
        <v>2.2000000000000002</v>
      </c>
      <c r="AA1971" s="101">
        <v>0.48</v>
      </c>
      <c r="AB1971" s="152"/>
      <c r="AC1971" s="152"/>
      <c r="AD1971" s="91">
        <v>6.2481949999999999</v>
      </c>
      <c r="AE1971" s="91">
        <v>0.29259839999999998</v>
      </c>
      <c r="AF1971" s="91">
        <v>1.82350922</v>
      </c>
      <c r="AG1971" s="91">
        <v>0.51814300000000002</v>
      </c>
      <c r="AH1971" s="343"/>
      <c r="AI1971" s="218"/>
      <c r="AJ1971" s="218"/>
      <c r="AK1971" s="153"/>
      <c r="AL1971" s="152"/>
      <c r="AM1971" s="152"/>
      <c r="AN1971" s="152"/>
      <c r="AO1971" s="152"/>
      <c r="AP1971" s="152"/>
      <c r="AQ1971" s="152"/>
      <c r="AR1971" s="152"/>
      <c r="AS1971" s="152"/>
      <c r="AT1971" s="152"/>
      <c r="AU1971" s="153"/>
      <c r="AV1971" s="479"/>
      <c r="AW1971" s="479"/>
      <c r="AX1971" s="442"/>
      <c r="AY1971" s="153"/>
      <c r="AZ1971" s="152"/>
      <c r="BA1971" s="152"/>
      <c r="BB1971" s="152"/>
      <c r="BC1971" s="152"/>
      <c r="BD1971" s="152"/>
      <c r="BE1971" s="152"/>
      <c r="BF1971" s="152"/>
      <c r="BG1971" s="152"/>
      <c r="BH1971" s="152"/>
      <c r="BI1971" s="153"/>
      <c r="BJ1971" s="153"/>
      <c r="BK1971" s="153"/>
      <c r="BL1971" s="152"/>
      <c r="BM1971" s="152"/>
      <c r="BN1971" s="152"/>
      <c r="BO1971" s="152"/>
      <c r="BP1971" s="152"/>
      <c r="BQ1971" s="152"/>
      <c r="BR1971" s="152"/>
      <c r="BS1971" s="152"/>
      <c r="BT1971" s="152"/>
      <c r="BU1971" s="152"/>
      <c r="BV1971" s="152"/>
      <c r="BW1971" s="152"/>
      <c r="BX1971" s="152"/>
      <c r="BY1971" s="153"/>
      <c r="BZ1971" s="153"/>
      <c r="CA1971" s="152"/>
      <c r="CB1971" s="152"/>
    </row>
    <row r="1972" spans="1:80" s="87" customFormat="1" x14ac:dyDescent="0.2">
      <c r="A1972" s="152"/>
      <c r="B1972" s="683"/>
      <c r="C1972" s="683"/>
      <c r="D1972" s="698"/>
      <c r="E1972" s="215"/>
      <c r="F1972" s="215"/>
      <c r="G1972" s="153"/>
      <c r="H1972" s="153"/>
      <c r="I1972" s="163">
        <v>21</v>
      </c>
      <c r="J1972" s="163">
        <v>30</v>
      </c>
      <c r="K1972" s="86">
        <v>1</v>
      </c>
      <c r="L1972" s="656">
        <v>10.5</v>
      </c>
      <c r="M1972" s="662" t="s">
        <v>847</v>
      </c>
      <c r="N1972" s="600">
        <v>0.69933109999999998</v>
      </c>
      <c r="O1972" s="605">
        <v>5.8462719999999996E-4</v>
      </c>
      <c r="P1972" s="239"/>
      <c r="Q1972" s="240"/>
      <c r="R1972" s="237"/>
      <c r="S1972" s="119"/>
      <c r="T1972" s="119"/>
      <c r="U1972" s="238">
        <v>4.7191011235955059E-2</v>
      </c>
      <c r="V1972" s="730">
        <v>0.95280898876404474</v>
      </c>
      <c r="W1972" s="737"/>
      <c r="X1972" s="733"/>
      <c r="Y1972" s="738"/>
      <c r="Z1972" s="109">
        <v>3.5</v>
      </c>
      <c r="AA1972" s="101">
        <v>0.64</v>
      </c>
      <c r="AB1972" s="152"/>
      <c r="AC1972" s="152"/>
      <c r="AD1972" s="91">
        <v>6.3091530000000002</v>
      </c>
      <c r="AE1972" s="91">
        <v>0.26821519999999999</v>
      </c>
      <c r="AF1972" s="91">
        <v>1.6943865599999999</v>
      </c>
      <c r="AG1972" s="91">
        <v>0.37489169999999999</v>
      </c>
      <c r="AH1972" s="343"/>
      <c r="AI1972" s="218"/>
      <c r="AJ1972" s="218"/>
      <c r="AK1972" s="153"/>
      <c r="AL1972" s="152"/>
      <c r="AM1972" s="152"/>
      <c r="AN1972" s="152"/>
      <c r="AO1972" s="152"/>
      <c r="AP1972" s="152"/>
      <c r="AQ1972" s="152"/>
      <c r="AR1972" s="152"/>
      <c r="AS1972" s="152"/>
      <c r="AT1972" s="152"/>
      <c r="AU1972" s="153"/>
      <c r="AV1972" s="479"/>
      <c r="AW1972" s="479"/>
      <c r="AX1972" s="442"/>
      <c r="AY1972" s="153"/>
      <c r="AZ1972" s="152"/>
      <c r="BA1972" s="152"/>
      <c r="BB1972" s="152"/>
      <c r="BC1972" s="152"/>
      <c r="BD1972" s="152"/>
      <c r="BE1972" s="152"/>
      <c r="BF1972" s="152"/>
      <c r="BG1972" s="152"/>
      <c r="BH1972" s="152"/>
      <c r="BI1972" s="153"/>
      <c r="BJ1972" s="153"/>
      <c r="BK1972" s="153"/>
      <c r="BL1972" s="152"/>
      <c r="BM1972" s="152"/>
      <c r="BN1972" s="152"/>
      <c r="BO1972" s="152"/>
      <c r="BP1972" s="152"/>
      <c r="BQ1972" s="152"/>
      <c r="BR1972" s="152"/>
      <c r="BS1972" s="152"/>
      <c r="BT1972" s="152"/>
      <c r="BU1972" s="152"/>
      <c r="BV1972" s="152"/>
      <c r="BW1972" s="152"/>
      <c r="BX1972" s="152"/>
      <c r="BY1972" s="153"/>
      <c r="BZ1972" s="153"/>
      <c r="CA1972" s="152"/>
      <c r="CB1972" s="152"/>
    </row>
    <row r="1973" spans="1:80" s="87" customFormat="1" x14ac:dyDescent="0.2">
      <c r="A1973" s="152"/>
      <c r="B1973" s="683"/>
      <c r="C1973" s="683"/>
      <c r="D1973" s="698"/>
      <c r="E1973" s="215"/>
      <c r="F1973" s="215"/>
      <c r="G1973" s="153"/>
      <c r="H1973" s="153"/>
      <c r="I1973" s="163">
        <v>21</v>
      </c>
      <c r="J1973" s="163">
        <v>30</v>
      </c>
      <c r="K1973" s="86">
        <v>1</v>
      </c>
      <c r="L1973" s="656">
        <v>10.5</v>
      </c>
      <c r="M1973" s="662" t="s">
        <v>847</v>
      </c>
      <c r="N1973" s="600">
        <v>0.69933109999999998</v>
      </c>
      <c r="O1973" s="605">
        <v>1.5219200000000002E-4</v>
      </c>
      <c r="P1973" s="239"/>
      <c r="Q1973" s="240"/>
      <c r="R1973" s="237"/>
      <c r="S1973" s="119"/>
      <c r="T1973" s="119"/>
      <c r="U1973" s="238">
        <v>9.5652173913043481E-2</v>
      </c>
      <c r="V1973" s="730">
        <v>0.90434782608695641</v>
      </c>
      <c r="W1973" s="737"/>
      <c r="X1973" s="733"/>
      <c r="Y1973" s="738"/>
      <c r="Z1973" s="109">
        <v>4.2</v>
      </c>
      <c r="AA1973" s="101">
        <v>0.56999999999999995</v>
      </c>
      <c r="AB1973" s="152"/>
      <c r="AC1973" s="152"/>
      <c r="AD1973" s="91">
        <v>6.3091530000000002</v>
      </c>
      <c r="AE1973" s="91">
        <v>0.26821519999999999</v>
      </c>
      <c r="AF1973" s="91">
        <v>1.6943865599999999</v>
      </c>
      <c r="AG1973" s="91">
        <v>0.37489169999999999</v>
      </c>
      <c r="AH1973" s="343"/>
      <c r="AI1973" s="218"/>
      <c r="AJ1973" s="218"/>
      <c r="AK1973" s="153"/>
      <c r="AL1973" s="152"/>
      <c r="AM1973" s="152"/>
      <c r="AN1973" s="152"/>
      <c r="AO1973" s="152"/>
      <c r="AP1973" s="152"/>
      <c r="AQ1973" s="152"/>
      <c r="AR1973" s="152"/>
      <c r="AS1973" s="152"/>
      <c r="AT1973" s="152"/>
      <c r="AU1973" s="153"/>
      <c r="AV1973" s="479"/>
      <c r="AW1973" s="479"/>
      <c r="AX1973" s="442"/>
      <c r="AY1973" s="153"/>
      <c r="AZ1973" s="152"/>
      <c r="BA1973" s="152"/>
      <c r="BB1973" s="152"/>
      <c r="BC1973" s="152"/>
      <c r="BD1973" s="152"/>
      <c r="BE1973" s="152"/>
      <c r="BF1973" s="152"/>
      <c r="BG1973" s="152"/>
      <c r="BH1973" s="152"/>
      <c r="BI1973" s="153"/>
      <c r="BJ1973" s="153"/>
      <c r="BK1973" s="153"/>
      <c r="BL1973" s="152"/>
      <c r="BM1973" s="152"/>
      <c r="BN1973" s="152"/>
      <c r="BO1973" s="152"/>
      <c r="BP1973" s="152"/>
      <c r="BQ1973" s="152"/>
      <c r="BR1973" s="152"/>
      <c r="BS1973" s="152"/>
      <c r="BT1973" s="152"/>
      <c r="BU1973" s="152"/>
      <c r="BV1973" s="152"/>
      <c r="BW1973" s="152"/>
      <c r="BX1973" s="152"/>
      <c r="BY1973" s="153"/>
      <c r="BZ1973" s="153"/>
      <c r="CA1973" s="152"/>
      <c r="CB1973" s="152"/>
    </row>
    <row r="1974" spans="1:80" s="87" customFormat="1" x14ac:dyDescent="0.2">
      <c r="A1974" s="152"/>
      <c r="B1974" s="683"/>
      <c r="C1974" s="683"/>
      <c r="D1974" s="698"/>
      <c r="E1974" s="215"/>
      <c r="F1974" s="215"/>
      <c r="G1974" s="153"/>
      <c r="H1974" s="153"/>
      <c r="I1974" s="163">
        <v>24</v>
      </c>
      <c r="J1974" s="163">
        <v>30</v>
      </c>
      <c r="K1974" s="86">
        <v>1</v>
      </c>
      <c r="L1974" s="656">
        <v>12</v>
      </c>
      <c r="M1974" s="662" t="s">
        <v>848</v>
      </c>
      <c r="N1974" s="600">
        <v>0.52662180000000003</v>
      </c>
      <c r="O1974" s="605">
        <v>2.1516800000000001E-4</v>
      </c>
      <c r="P1974" s="239"/>
      <c r="Q1974" s="240"/>
      <c r="R1974" s="237"/>
      <c r="S1974" s="119"/>
      <c r="T1974" s="119">
        <v>0.231578947368421</v>
      </c>
      <c r="U1974" s="238">
        <v>6.8421052631578938E-2</v>
      </c>
      <c r="V1974" s="730">
        <v>0.7</v>
      </c>
      <c r="W1974" s="737"/>
      <c r="X1974" s="733"/>
      <c r="Y1974" s="738"/>
      <c r="Z1974" s="109">
        <v>6.8</v>
      </c>
      <c r="AA1974" s="101">
        <v>1.1599999999999999</v>
      </c>
      <c r="AB1974" s="152"/>
      <c r="AC1974" s="152"/>
      <c r="AD1974" s="91">
        <v>6.1872370000000005</v>
      </c>
      <c r="AE1974" s="91">
        <v>0.23773620000000001</v>
      </c>
      <c r="AF1974" s="91">
        <v>1.46679626</v>
      </c>
      <c r="AG1974" s="91">
        <v>0.37489169999999999</v>
      </c>
      <c r="AH1974" s="343"/>
      <c r="AI1974" s="218"/>
      <c r="AJ1974" s="218"/>
      <c r="AK1974" s="153"/>
      <c r="AL1974" s="152"/>
      <c r="AM1974" s="152"/>
      <c r="AN1974" s="152"/>
      <c r="AO1974" s="152"/>
      <c r="AP1974" s="152"/>
      <c r="AQ1974" s="152"/>
      <c r="AR1974" s="152"/>
      <c r="AS1974" s="152"/>
      <c r="AT1974" s="152"/>
      <c r="AU1974" s="153"/>
      <c r="AV1974" s="479"/>
      <c r="AW1974" s="479"/>
      <c r="AX1974" s="442"/>
      <c r="AY1974" s="153"/>
      <c r="AZ1974" s="152"/>
      <c r="BA1974" s="152"/>
      <c r="BB1974" s="152"/>
      <c r="BC1974" s="152"/>
      <c r="BD1974" s="152"/>
      <c r="BE1974" s="152"/>
      <c r="BF1974" s="152"/>
      <c r="BG1974" s="152"/>
      <c r="BH1974" s="152"/>
      <c r="BI1974" s="153"/>
      <c r="BJ1974" s="153"/>
      <c r="BK1974" s="153"/>
      <c r="BL1974" s="152"/>
      <c r="BM1974" s="152"/>
      <c r="BN1974" s="152"/>
      <c r="BO1974" s="152"/>
      <c r="BP1974" s="152"/>
      <c r="BQ1974" s="152"/>
      <c r="BR1974" s="152"/>
      <c r="BS1974" s="152"/>
      <c r="BT1974" s="152"/>
      <c r="BU1974" s="152"/>
      <c r="BV1974" s="152"/>
      <c r="BW1974" s="152"/>
      <c r="BX1974" s="152"/>
      <c r="BY1974" s="153"/>
      <c r="BZ1974" s="153"/>
      <c r="CA1974" s="152"/>
      <c r="CB1974" s="152"/>
    </row>
    <row r="1975" spans="1:80" s="87" customFormat="1" x14ac:dyDescent="0.2">
      <c r="A1975" s="152"/>
      <c r="B1975" s="683"/>
      <c r="C1975" s="683"/>
      <c r="D1975" s="698"/>
      <c r="E1975" s="215"/>
      <c r="F1975" s="215"/>
      <c r="G1975" s="153"/>
      <c r="H1975" s="153"/>
      <c r="I1975" s="163">
        <v>22</v>
      </c>
      <c r="J1975" s="163">
        <v>30</v>
      </c>
      <c r="K1975" s="86">
        <v>1</v>
      </c>
      <c r="L1975" s="656">
        <v>11</v>
      </c>
      <c r="M1975" s="662" t="s">
        <v>849</v>
      </c>
      <c r="N1975" s="600">
        <v>0.53794700000000006</v>
      </c>
      <c r="O1975" s="605">
        <v>1.721344E-5</v>
      </c>
      <c r="P1975" s="239"/>
      <c r="Q1975" s="240"/>
      <c r="R1975" s="237"/>
      <c r="S1975" s="119"/>
      <c r="T1975" s="119"/>
      <c r="U1975" s="119"/>
      <c r="V1975" s="730">
        <v>0.99999999999999967</v>
      </c>
      <c r="W1975" s="737"/>
      <c r="X1975" s="733"/>
      <c r="Y1975" s="738"/>
      <c r="Z1975" s="109">
        <v>1.2</v>
      </c>
      <c r="AA1975" s="101">
        <v>0.39</v>
      </c>
      <c r="AB1975" s="152"/>
      <c r="AC1975" s="152"/>
      <c r="AD1975" s="91">
        <v>6.1872370000000005</v>
      </c>
      <c r="AE1975" s="91">
        <v>0.2285925</v>
      </c>
      <c r="AF1975" s="91">
        <v>1.4064151600000001</v>
      </c>
      <c r="AG1975" s="91">
        <v>0.33831690000000003</v>
      </c>
      <c r="AH1975" s="343"/>
      <c r="AI1975" s="218"/>
      <c r="AJ1975" s="218"/>
      <c r="AK1975" s="153"/>
      <c r="AL1975" s="152"/>
      <c r="AM1975" s="152"/>
      <c r="AN1975" s="152"/>
      <c r="AO1975" s="152"/>
      <c r="AP1975" s="152"/>
      <c r="AQ1975" s="152"/>
      <c r="AR1975" s="152"/>
      <c r="AS1975" s="152"/>
      <c r="AT1975" s="152"/>
      <c r="AU1975" s="153"/>
      <c r="AV1975" s="479"/>
      <c r="AW1975" s="479"/>
      <c r="AX1975" s="442"/>
      <c r="AY1975" s="153"/>
      <c r="AZ1975" s="152"/>
      <c r="BA1975" s="152"/>
      <c r="BB1975" s="152"/>
      <c r="BC1975" s="152"/>
      <c r="BD1975" s="152"/>
      <c r="BE1975" s="152"/>
      <c r="BF1975" s="152"/>
      <c r="BG1975" s="152"/>
      <c r="BH1975" s="152"/>
      <c r="BI1975" s="153"/>
      <c r="BJ1975" s="153"/>
      <c r="BK1975" s="153"/>
      <c r="BL1975" s="152"/>
      <c r="BM1975" s="152"/>
      <c r="BN1975" s="152"/>
      <c r="BO1975" s="152"/>
      <c r="BP1975" s="152"/>
      <c r="BQ1975" s="152"/>
      <c r="BR1975" s="152"/>
      <c r="BS1975" s="152"/>
      <c r="BT1975" s="152"/>
      <c r="BU1975" s="152"/>
      <c r="BV1975" s="152"/>
      <c r="BW1975" s="152"/>
      <c r="BX1975" s="152"/>
      <c r="BY1975" s="153"/>
      <c r="BZ1975" s="153"/>
      <c r="CA1975" s="152"/>
      <c r="CB1975" s="152"/>
    </row>
    <row r="1976" spans="1:80" s="87" customFormat="1" x14ac:dyDescent="0.2">
      <c r="A1976" s="152"/>
      <c r="B1976" s="683"/>
      <c r="C1976" s="683"/>
      <c r="D1976" s="698"/>
      <c r="E1976" s="215"/>
      <c r="F1976" s="215"/>
      <c r="G1976" s="153"/>
      <c r="H1976" s="153"/>
      <c r="I1976" s="163">
        <v>22</v>
      </c>
      <c r="J1976" s="163">
        <v>30</v>
      </c>
      <c r="K1976" s="86">
        <v>1</v>
      </c>
      <c r="L1976" s="656">
        <v>11</v>
      </c>
      <c r="M1976" s="662" t="s">
        <v>849</v>
      </c>
      <c r="N1976" s="600">
        <v>0.53794700000000006</v>
      </c>
      <c r="O1976" s="605">
        <v>3.5686399999999998E-5</v>
      </c>
      <c r="P1976" s="239"/>
      <c r="Q1976" s="240"/>
      <c r="R1976" s="237"/>
      <c r="S1976" s="119"/>
      <c r="T1976" s="119"/>
      <c r="U1976" s="119"/>
      <c r="V1976" s="730">
        <v>1</v>
      </c>
      <c r="W1976" s="737"/>
      <c r="X1976" s="733"/>
      <c r="Y1976" s="738"/>
      <c r="Z1976" s="109">
        <v>1.7</v>
      </c>
      <c r="AA1976" s="101">
        <v>0.42</v>
      </c>
      <c r="AB1976" s="152"/>
      <c r="AC1976" s="152"/>
      <c r="AD1976" s="91">
        <v>6.1872370000000005</v>
      </c>
      <c r="AE1976" s="91">
        <v>0.2285925</v>
      </c>
      <c r="AF1976" s="91">
        <v>1.4064151600000001</v>
      </c>
      <c r="AG1976" s="91">
        <v>0.33831690000000003</v>
      </c>
      <c r="AH1976" s="343"/>
      <c r="AI1976" s="218"/>
      <c r="AJ1976" s="218"/>
      <c r="AK1976" s="153"/>
      <c r="AL1976" s="152"/>
      <c r="AM1976" s="152"/>
      <c r="AN1976" s="152"/>
      <c r="AO1976" s="152"/>
      <c r="AP1976" s="152"/>
      <c r="AQ1976" s="152"/>
      <c r="AR1976" s="152"/>
      <c r="AS1976" s="152"/>
      <c r="AT1976" s="152"/>
      <c r="AU1976" s="153"/>
      <c r="AV1976" s="479"/>
      <c r="AW1976" s="479"/>
      <c r="AX1976" s="442"/>
      <c r="AY1976" s="153"/>
      <c r="AZ1976" s="152"/>
      <c r="BA1976" s="152"/>
      <c r="BB1976" s="152"/>
      <c r="BC1976" s="152"/>
      <c r="BD1976" s="152"/>
      <c r="BE1976" s="152"/>
      <c r="BF1976" s="152"/>
      <c r="BG1976" s="152"/>
      <c r="BH1976" s="152"/>
      <c r="BI1976" s="153"/>
      <c r="BJ1976" s="153"/>
      <c r="BK1976" s="153"/>
      <c r="BL1976" s="152"/>
      <c r="BM1976" s="152"/>
      <c r="BN1976" s="152"/>
      <c r="BO1976" s="152"/>
      <c r="BP1976" s="152"/>
      <c r="BQ1976" s="152"/>
      <c r="BR1976" s="152"/>
      <c r="BS1976" s="152"/>
      <c r="BT1976" s="152"/>
      <c r="BU1976" s="152"/>
      <c r="BV1976" s="152"/>
      <c r="BW1976" s="152"/>
      <c r="BX1976" s="152"/>
      <c r="BY1976" s="153"/>
      <c r="BZ1976" s="153"/>
      <c r="CA1976" s="152"/>
      <c r="CB1976" s="152"/>
    </row>
    <row r="1977" spans="1:80" s="87" customFormat="1" x14ac:dyDescent="0.2">
      <c r="A1977" s="152"/>
      <c r="B1977" s="683"/>
      <c r="C1977" s="683"/>
      <c r="D1977" s="698"/>
      <c r="E1977" s="215"/>
      <c r="F1977" s="215"/>
      <c r="G1977" s="153"/>
      <c r="H1977" s="153"/>
      <c r="I1977" s="163">
        <v>21</v>
      </c>
      <c r="J1977" s="163">
        <v>30</v>
      </c>
      <c r="K1977" s="86">
        <v>1</v>
      </c>
      <c r="L1977" s="656">
        <v>10.5</v>
      </c>
      <c r="M1977" s="662" t="s">
        <v>850</v>
      </c>
      <c r="N1977" s="600">
        <v>0.66252420000000001</v>
      </c>
      <c r="O1977" s="605">
        <v>7.1162880000000001E-4</v>
      </c>
      <c r="P1977" s="239"/>
      <c r="Q1977" s="240"/>
      <c r="R1977" s="241"/>
      <c r="S1977" s="139"/>
      <c r="T1977" s="242">
        <v>0.2238532110091743</v>
      </c>
      <c r="U1977" s="242">
        <v>3.8532110091743121E-2</v>
      </c>
      <c r="V1977" s="730">
        <v>0.7376146788990825</v>
      </c>
      <c r="W1977" s="737"/>
      <c r="X1977" s="733"/>
      <c r="Y1977" s="738"/>
      <c r="Z1977" s="109">
        <v>5.5</v>
      </c>
      <c r="AA1977" s="101">
        <v>0.65</v>
      </c>
      <c r="AB1977" s="152"/>
      <c r="AC1977" s="152"/>
      <c r="AD1977" s="91">
        <v>6.2481949999999999</v>
      </c>
      <c r="AE1977" s="91">
        <v>0.25602360000000002</v>
      </c>
      <c r="AF1977" s="91">
        <v>1.5931321000000001</v>
      </c>
      <c r="AG1977" s="91">
        <v>0.38708330000000002</v>
      </c>
      <c r="AH1977" s="343"/>
      <c r="AI1977" s="218"/>
      <c r="AJ1977" s="218"/>
      <c r="AK1977" s="153"/>
      <c r="AL1977" s="152"/>
      <c r="AM1977" s="152"/>
      <c r="AN1977" s="152"/>
      <c r="AO1977" s="152"/>
      <c r="AP1977" s="152"/>
      <c r="AQ1977" s="152"/>
      <c r="AR1977" s="152"/>
      <c r="AS1977" s="152"/>
      <c r="AT1977" s="152"/>
      <c r="AU1977" s="153"/>
      <c r="AV1977" s="479"/>
      <c r="AW1977" s="479"/>
      <c r="AX1977" s="442"/>
      <c r="AY1977" s="153"/>
      <c r="AZ1977" s="152"/>
      <c r="BA1977" s="152"/>
      <c r="BB1977" s="152"/>
      <c r="BC1977" s="152"/>
      <c r="BD1977" s="152"/>
      <c r="BE1977" s="152"/>
      <c r="BF1977" s="152"/>
      <c r="BG1977" s="152"/>
      <c r="BH1977" s="152"/>
      <c r="BI1977" s="153"/>
      <c r="BJ1977" s="153"/>
      <c r="BK1977" s="153"/>
      <c r="BL1977" s="152"/>
      <c r="BM1977" s="152"/>
      <c r="BN1977" s="152"/>
      <c r="BO1977" s="152"/>
      <c r="BP1977" s="152"/>
      <c r="BQ1977" s="152"/>
      <c r="BR1977" s="152"/>
      <c r="BS1977" s="152"/>
      <c r="BT1977" s="152"/>
      <c r="BU1977" s="152"/>
      <c r="BV1977" s="152"/>
      <c r="BW1977" s="152"/>
      <c r="BX1977" s="152"/>
      <c r="BY1977" s="153"/>
      <c r="BZ1977" s="153"/>
      <c r="CA1977" s="152"/>
      <c r="CB1977" s="152"/>
    </row>
    <row r="1978" spans="1:80" s="87" customFormat="1" x14ac:dyDescent="0.2">
      <c r="A1978" s="152"/>
      <c r="B1978" s="683"/>
      <c r="C1978" s="683"/>
      <c r="D1978" s="698"/>
      <c r="E1978" s="215"/>
      <c r="F1978" s="215"/>
      <c r="G1978" s="153"/>
      <c r="H1978" s="153"/>
      <c r="I1978" s="163">
        <v>21</v>
      </c>
      <c r="J1978" s="163">
        <v>30</v>
      </c>
      <c r="K1978" s="86">
        <v>1</v>
      </c>
      <c r="L1978" s="656">
        <v>10.5</v>
      </c>
      <c r="M1978" s="662" t="s">
        <v>850</v>
      </c>
      <c r="N1978" s="600">
        <v>0.66252420000000001</v>
      </c>
      <c r="O1978" s="605">
        <v>3.9779840000000002E-4</v>
      </c>
      <c r="P1978" s="239"/>
      <c r="Q1978" s="240"/>
      <c r="R1978" s="241"/>
      <c r="S1978" s="139"/>
      <c r="T1978" s="140"/>
      <c r="U1978" s="242">
        <v>6.2913907284768214E-2</v>
      </c>
      <c r="V1978" s="730">
        <v>0.93708609271523169</v>
      </c>
      <c r="W1978" s="737"/>
      <c r="X1978" s="733"/>
      <c r="Y1978" s="738"/>
      <c r="Z1978" s="109">
        <v>3</v>
      </c>
      <c r="AA1978" s="101">
        <v>0.55000000000000004</v>
      </c>
      <c r="AB1978" s="152"/>
      <c r="AC1978" s="152"/>
      <c r="AD1978" s="91">
        <v>6.2481949999999999</v>
      </c>
      <c r="AE1978" s="91">
        <v>0.25602360000000002</v>
      </c>
      <c r="AF1978" s="91">
        <v>1.5931321000000001</v>
      </c>
      <c r="AG1978" s="91">
        <v>0.38708330000000002</v>
      </c>
      <c r="AH1978" s="343"/>
      <c r="AI1978" s="218"/>
      <c r="AJ1978" s="218"/>
      <c r="AK1978" s="153"/>
      <c r="AL1978" s="152"/>
      <c r="AM1978" s="152"/>
      <c r="AN1978" s="152"/>
      <c r="AO1978" s="152"/>
      <c r="AP1978" s="152"/>
      <c r="AQ1978" s="152"/>
      <c r="AR1978" s="152"/>
      <c r="AS1978" s="152"/>
      <c r="AT1978" s="152"/>
      <c r="AU1978" s="153"/>
      <c r="AV1978" s="479"/>
      <c r="AW1978" s="479"/>
      <c r="AX1978" s="442"/>
      <c r="AY1978" s="153"/>
      <c r="AZ1978" s="152"/>
      <c r="BA1978" s="152"/>
      <c r="BB1978" s="152"/>
      <c r="BC1978" s="152"/>
      <c r="BD1978" s="152"/>
      <c r="BE1978" s="152"/>
      <c r="BF1978" s="152"/>
      <c r="BG1978" s="152"/>
      <c r="BH1978" s="152"/>
      <c r="BI1978" s="153"/>
      <c r="BJ1978" s="153"/>
      <c r="BK1978" s="153"/>
      <c r="BL1978" s="152"/>
      <c r="BM1978" s="152"/>
      <c r="BN1978" s="152"/>
      <c r="BO1978" s="152"/>
      <c r="BP1978" s="152"/>
      <c r="BQ1978" s="152"/>
      <c r="BR1978" s="152"/>
      <c r="BS1978" s="152"/>
      <c r="BT1978" s="152"/>
      <c r="BU1978" s="152"/>
      <c r="BV1978" s="152"/>
      <c r="BW1978" s="152"/>
      <c r="BX1978" s="152"/>
      <c r="BY1978" s="153"/>
      <c r="BZ1978" s="153"/>
      <c r="CA1978" s="152"/>
      <c r="CB1978" s="152"/>
    </row>
    <row r="1979" spans="1:80" s="87" customFormat="1" x14ac:dyDescent="0.2">
      <c r="A1979" s="152"/>
      <c r="B1979" s="683"/>
      <c r="C1979" s="683"/>
      <c r="D1979" s="698"/>
      <c r="E1979" s="215"/>
      <c r="F1979" s="215"/>
      <c r="G1979" s="153"/>
      <c r="H1979" s="153"/>
      <c r="I1979" s="163">
        <v>21</v>
      </c>
      <c r="J1979" s="163">
        <v>30</v>
      </c>
      <c r="K1979" s="86">
        <v>1</v>
      </c>
      <c r="L1979" s="656">
        <v>10.5</v>
      </c>
      <c r="M1979" s="662" t="s">
        <v>851</v>
      </c>
      <c r="N1979" s="600">
        <v>0.75595710000000005</v>
      </c>
      <c r="O1979" s="605">
        <v>6.5704960000000006E-5</v>
      </c>
      <c r="P1979" s="239"/>
      <c r="Q1979" s="240"/>
      <c r="R1979" s="241"/>
      <c r="S1979" s="139"/>
      <c r="T1979" s="140"/>
      <c r="U1979" s="140"/>
      <c r="V1979" s="730">
        <v>0.99999999999999989</v>
      </c>
      <c r="W1979" s="737"/>
      <c r="X1979" s="733"/>
      <c r="Y1979" s="738"/>
      <c r="Z1979" s="109">
        <v>2</v>
      </c>
      <c r="AA1979" s="101">
        <v>0.46</v>
      </c>
      <c r="AB1979" s="152"/>
      <c r="AC1979" s="152"/>
      <c r="AD1979" s="91">
        <v>6.3091530000000002</v>
      </c>
      <c r="AE1979" s="91">
        <v>0.27126310000000003</v>
      </c>
      <c r="AF1979" s="91">
        <v>1.71203642</v>
      </c>
      <c r="AG1979" s="91">
        <v>0.3931791</v>
      </c>
      <c r="AH1979" s="343"/>
      <c r="AI1979" s="218"/>
      <c r="AJ1979" s="218"/>
      <c r="AK1979" s="153"/>
      <c r="AL1979" s="152"/>
      <c r="AM1979" s="152"/>
      <c r="AN1979" s="152"/>
      <c r="AO1979" s="152"/>
      <c r="AP1979" s="152"/>
      <c r="AQ1979" s="152"/>
      <c r="AR1979" s="152"/>
      <c r="AS1979" s="152"/>
      <c r="AT1979" s="152"/>
      <c r="AU1979" s="153"/>
      <c r="AV1979" s="479"/>
      <c r="AW1979" s="479"/>
      <c r="AX1979" s="442"/>
      <c r="AY1979" s="153"/>
      <c r="AZ1979" s="152"/>
      <c r="BA1979" s="152"/>
      <c r="BB1979" s="152"/>
      <c r="BC1979" s="152"/>
      <c r="BD1979" s="152"/>
      <c r="BE1979" s="152"/>
      <c r="BF1979" s="152"/>
      <c r="BG1979" s="152"/>
      <c r="BH1979" s="152"/>
      <c r="BI1979" s="153"/>
      <c r="BJ1979" s="153"/>
      <c r="BK1979" s="153"/>
      <c r="BL1979" s="152"/>
      <c r="BM1979" s="152"/>
      <c r="BN1979" s="152"/>
      <c r="BO1979" s="152"/>
      <c r="BP1979" s="152"/>
      <c r="BQ1979" s="152"/>
      <c r="BR1979" s="152"/>
      <c r="BS1979" s="152"/>
      <c r="BT1979" s="152"/>
      <c r="BU1979" s="152"/>
      <c r="BV1979" s="152"/>
      <c r="BW1979" s="152"/>
      <c r="BX1979" s="152"/>
      <c r="BY1979" s="153"/>
      <c r="BZ1979" s="153"/>
      <c r="CA1979" s="152"/>
      <c r="CB1979" s="152"/>
    </row>
    <row r="1980" spans="1:80" s="87" customFormat="1" x14ac:dyDescent="0.2">
      <c r="A1980" s="152"/>
      <c r="B1980" s="683"/>
      <c r="C1980" s="683"/>
      <c r="D1980" s="698"/>
      <c r="E1980" s="215"/>
      <c r="F1980" s="215"/>
      <c r="G1980" s="153"/>
      <c r="H1980" s="153"/>
      <c r="I1980" s="163">
        <v>21</v>
      </c>
      <c r="J1980" s="163">
        <v>30</v>
      </c>
      <c r="K1980" s="86">
        <v>1</v>
      </c>
      <c r="L1980" s="656">
        <v>10.5</v>
      </c>
      <c r="M1980" s="662" t="s">
        <v>851</v>
      </c>
      <c r="N1980" s="600">
        <v>0.75595710000000005</v>
      </c>
      <c r="O1980" s="605">
        <v>1.9627520000000003E-4</v>
      </c>
      <c r="P1980" s="239"/>
      <c r="Q1980" s="240"/>
      <c r="R1980" s="241"/>
      <c r="S1980" s="139"/>
      <c r="T1980" s="140"/>
      <c r="U1980" s="242">
        <v>2.8985507246376808E-2</v>
      </c>
      <c r="V1980" s="730">
        <v>0.97101449275362317</v>
      </c>
      <c r="W1980" s="737"/>
      <c r="X1980" s="733"/>
      <c r="Y1980" s="738"/>
      <c r="Z1980" s="109">
        <v>2.8</v>
      </c>
      <c r="AA1980" s="101">
        <v>0.47</v>
      </c>
      <c r="AB1980" s="152"/>
      <c r="AC1980" s="152"/>
      <c r="AD1980" s="91">
        <v>6.3091530000000002</v>
      </c>
      <c r="AE1980" s="91">
        <v>0.27126310000000003</v>
      </c>
      <c r="AF1980" s="91">
        <v>1.71203642</v>
      </c>
      <c r="AG1980" s="91">
        <v>0.3931791</v>
      </c>
      <c r="AH1980" s="343"/>
      <c r="AI1980" s="218"/>
      <c r="AJ1980" s="218"/>
      <c r="AK1980" s="153"/>
      <c r="AL1980" s="152"/>
      <c r="AM1980" s="152"/>
      <c r="AN1980" s="152"/>
      <c r="AO1980" s="152"/>
      <c r="AP1980" s="152"/>
      <c r="AQ1980" s="152"/>
      <c r="AR1980" s="152"/>
      <c r="AS1980" s="152"/>
      <c r="AT1980" s="152"/>
      <c r="AU1980" s="153"/>
      <c r="AV1980" s="479"/>
      <c r="AW1980" s="479"/>
      <c r="AX1980" s="442"/>
      <c r="AY1980" s="153"/>
      <c r="AZ1980" s="152"/>
      <c r="BA1980" s="152"/>
      <c r="BB1980" s="152"/>
      <c r="BC1980" s="152"/>
      <c r="BD1980" s="152"/>
      <c r="BE1980" s="152"/>
      <c r="BF1980" s="152"/>
      <c r="BG1980" s="152"/>
      <c r="BH1980" s="152"/>
      <c r="BI1980" s="153"/>
      <c r="BJ1980" s="153"/>
      <c r="BK1980" s="153"/>
      <c r="BL1980" s="152"/>
      <c r="BM1980" s="152"/>
      <c r="BN1980" s="152"/>
      <c r="BO1980" s="152"/>
      <c r="BP1980" s="152"/>
      <c r="BQ1980" s="152"/>
      <c r="BR1980" s="152"/>
      <c r="BS1980" s="152"/>
      <c r="BT1980" s="152"/>
      <c r="BU1980" s="152"/>
      <c r="BV1980" s="152"/>
      <c r="BW1980" s="152"/>
      <c r="BX1980" s="152"/>
      <c r="BY1980" s="153"/>
      <c r="BZ1980" s="153"/>
      <c r="CA1980" s="152"/>
      <c r="CB1980" s="152"/>
    </row>
    <row r="1981" spans="1:80" s="87" customFormat="1" x14ac:dyDescent="0.2">
      <c r="A1981" s="152"/>
      <c r="B1981" s="683"/>
      <c r="C1981" s="683"/>
      <c r="D1981" s="698"/>
      <c r="E1981" s="215"/>
      <c r="F1981" s="215"/>
      <c r="G1981" s="153"/>
      <c r="H1981" s="153"/>
      <c r="I1981" s="163">
        <v>21</v>
      </c>
      <c r="J1981" s="163">
        <v>30</v>
      </c>
      <c r="K1981" s="86">
        <v>1</v>
      </c>
      <c r="L1981" s="656">
        <v>10.5</v>
      </c>
      <c r="M1981" s="662" t="s">
        <v>852</v>
      </c>
      <c r="N1981" s="600">
        <v>0.93149769999999998</v>
      </c>
      <c r="O1981" s="605">
        <v>6.1191679999999995E-4</v>
      </c>
      <c r="P1981" s="239"/>
      <c r="Q1981" s="240"/>
      <c r="R1981" s="241"/>
      <c r="S1981" s="139"/>
      <c r="T1981" s="140"/>
      <c r="U1981" s="242">
        <v>3.6247334754797439E-2</v>
      </c>
      <c r="V1981" s="730">
        <v>0.96375266524520242</v>
      </c>
      <c r="W1981" s="737"/>
      <c r="X1981" s="733"/>
      <c r="Y1981" s="738"/>
      <c r="Z1981" s="109">
        <v>4.0999999999999996</v>
      </c>
      <c r="AA1981" s="101">
        <v>0.54</v>
      </c>
      <c r="AB1981" s="152"/>
      <c r="AC1981" s="152"/>
      <c r="AD1981" s="91">
        <v>6.1872370000000005</v>
      </c>
      <c r="AE1981" s="91">
        <v>0.2865026</v>
      </c>
      <c r="AF1981" s="91">
        <v>1.7724175199999999</v>
      </c>
      <c r="AG1981" s="91">
        <v>0.50595139999999994</v>
      </c>
      <c r="AH1981" s="343"/>
      <c r="AI1981" s="218"/>
      <c r="AJ1981" s="218"/>
      <c r="AK1981" s="153"/>
      <c r="AL1981" s="152"/>
      <c r="AM1981" s="152"/>
      <c r="AN1981" s="152"/>
      <c r="AO1981" s="152"/>
      <c r="AP1981" s="152"/>
      <c r="AQ1981" s="152"/>
      <c r="AR1981" s="152"/>
      <c r="AS1981" s="152"/>
      <c r="AT1981" s="152"/>
      <c r="AU1981" s="153"/>
      <c r="AV1981" s="479"/>
      <c r="AW1981" s="479"/>
      <c r="AX1981" s="442"/>
      <c r="AY1981" s="153"/>
      <c r="AZ1981" s="152"/>
      <c r="BA1981" s="152"/>
      <c r="BB1981" s="152"/>
      <c r="BC1981" s="152"/>
      <c r="BD1981" s="152"/>
      <c r="BE1981" s="152"/>
      <c r="BF1981" s="152"/>
      <c r="BG1981" s="152"/>
      <c r="BH1981" s="152"/>
      <c r="BI1981" s="153"/>
      <c r="BJ1981" s="153"/>
      <c r="BK1981" s="153"/>
      <c r="BL1981" s="152"/>
      <c r="BM1981" s="152"/>
      <c r="BN1981" s="152"/>
      <c r="BO1981" s="152"/>
      <c r="BP1981" s="152"/>
      <c r="BQ1981" s="152"/>
      <c r="BR1981" s="152"/>
      <c r="BS1981" s="152"/>
      <c r="BT1981" s="152"/>
      <c r="BU1981" s="152"/>
      <c r="BV1981" s="152"/>
      <c r="BW1981" s="152"/>
      <c r="BX1981" s="152"/>
      <c r="BY1981" s="153"/>
      <c r="BZ1981" s="153"/>
      <c r="CA1981" s="152"/>
      <c r="CB1981" s="152"/>
    </row>
    <row r="1982" spans="1:80" s="87" customFormat="1" x14ac:dyDescent="0.2">
      <c r="A1982" s="152"/>
      <c r="B1982" s="683"/>
      <c r="C1982" s="683"/>
      <c r="D1982" s="698"/>
      <c r="E1982" s="215"/>
      <c r="F1982" s="215"/>
      <c r="G1982" s="153"/>
      <c r="H1982" s="153"/>
      <c r="I1982" s="163">
        <v>21</v>
      </c>
      <c r="J1982" s="163">
        <v>30</v>
      </c>
      <c r="K1982" s="86">
        <v>1</v>
      </c>
      <c r="L1982" s="656">
        <v>10.5</v>
      </c>
      <c r="M1982" s="662" t="s">
        <v>852</v>
      </c>
      <c r="N1982" s="600">
        <v>0.93149769999999998</v>
      </c>
      <c r="O1982" s="605">
        <v>1.322496E-3</v>
      </c>
      <c r="P1982" s="239"/>
      <c r="Q1982" s="240"/>
      <c r="R1982" s="241"/>
      <c r="S1982" s="139"/>
      <c r="T1982" s="140"/>
      <c r="U1982" s="242">
        <v>0.10078277886497065</v>
      </c>
      <c r="V1982" s="730">
        <v>0.89921722113502922</v>
      </c>
      <c r="W1982" s="737"/>
      <c r="X1982" s="733"/>
      <c r="Y1982" s="738"/>
      <c r="Z1982" s="109">
        <v>3.9</v>
      </c>
      <c r="AA1982" s="101">
        <v>1.19</v>
      </c>
      <c r="AB1982" s="152"/>
      <c r="AC1982" s="152"/>
      <c r="AD1982" s="91">
        <v>6.1872370000000005</v>
      </c>
      <c r="AE1982" s="91">
        <v>0.2865026</v>
      </c>
      <c r="AF1982" s="91">
        <v>1.7724175199999999</v>
      </c>
      <c r="AG1982" s="91">
        <v>0.50595139999999994</v>
      </c>
      <c r="AH1982" s="343"/>
      <c r="AI1982" s="218"/>
      <c r="AJ1982" s="218"/>
      <c r="AK1982" s="153"/>
      <c r="AL1982" s="152"/>
      <c r="AM1982" s="152"/>
      <c r="AN1982" s="152"/>
      <c r="AO1982" s="152"/>
      <c r="AP1982" s="152"/>
      <c r="AQ1982" s="152"/>
      <c r="AR1982" s="152"/>
      <c r="AS1982" s="152"/>
      <c r="AT1982" s="152"/>
      <c r="AU1982" s="153"/>
      <c r="AV1982" s="479"/>
      <c r="AW1982" s="479"/>
      <c r="AX1982" s="442"/>
      <c r="AY1982" s="153"/>
      <c r="AZ1982" s="152"/>
      <c r="BA1982" s="152"/>
      <c r="BB1982" s="152"/>
      <c r="BC1982" s="152"/>
      <c r="BD1982" s="152"/>
      <c r="BE1982" s="152"/>
      <c r="BF1982" s="152"/>
      <c r="BG1982" s="152"/>
      <c r="BH1982" s="152"/>
      <c r="BI1982" s="153"/>
      <c r="BJ1982" s="153"/>
      <c r="BK1982" s="153"/>
      <c r="BL1982" s="152"/>
      <c r="BM1982" s="152"/>
      <c r="BN1982" s="152"/>
      <c r="BO1982" s="152"/>
      <c r="BP1982" s="152"/>
      <c r="BQ1982" s="152"/>
      <c r="BR1982" s="152"/>
      <c r="BS1982" s="152"/>
      <c r="BT1982" s="152"/>
      <c r="BU1982" s="152"/>
      <c r="BV1982" s="152"/>
      <c r="BW1982" s="152"/>
      <c r="BX1982" s="152"/>
      <c r="BY1982" s="153"/>
      <c r="BZ1982" s="153"/>
      <c r="CA1982" s="152"/>
      <c r="CB1982" s="152"/>
    </row>
    <row r="1983" spans="1:80" s="87" customFormat="1" x14ac:dyDescent="0.2">
      <c r="A1983" s="152"/>
      <c r="B1983" s="683"/>
      <c r="C1983" s="683"/>
      <c r="D1983" s="698"/>
      <c r="E1983" s="215"/>
      <c r="F1983" s="215"/>
      <c r="G1983" s="153"/>
      <c r="H1983" s="153"/>
      <c r="I1983" s="163">
        <v>20</v>
      </c>
      <c r="J1983" s="163">
        <v>30</v>
      </c>
      <c r="K1983" s="86">
        <v>1</v>
      </c>
      <c r="L1983" s="656">
        <v>10</v>
      </c>
      <c r="M1983" s="662" t="s">
        <v>853</v>
      </c>
      <c r="N1983" s="600">
        <v>0.84089610000000004</v>
      </c>
      <c r="O1983" s="605">
        <v>3.7155839999999996E-3</v>
      </c>
      <c r="P1983" s="239"/>
      <c r="Q1983" s="240"/>
      <c r="R1983" s="243"/>
      <c r="S1983" s="140">
        <v>4.9000000000000002E-2</v>
      </c>
      <c r="T1983" s="242">
        <v>0.15623843021103298</v>
      </c>
      <c r="U1983" s="242">
        <v>0.13217326915957056</v>
      </c>
      <c r="V1983" s="730">
        <v>0.66234727878563504</v>
      </c>
      <c r="W1983" s="737"/>
      <c r="X1983" s="733"/>
      <c r="Y1983" s="738"/>
      <c r="Z1983" s="109">
        <v>12.2</v>
      </c>
      <c r="AA1983" s="101">
        <v>1.0900000000000001</v>
      </c>
      <c r="AB1983" s="152"/>
      <c r="AC1983" s="152"/>
      <c r="AD1983" s="91">
        <v>6.2786740000000005</v>
      </c>
      <c r="AE1983" s="91">
        <v>0.27735890000000002</v>
      </c>
      <c r="AF1983" s="91">
        <v>1.7334020400000001</v>
      </c>
      <c r="AG1983" s="91">
        <v>0.45413710000000002</v>
      </c>
      <c r="AH1983" s="343"/>
      <c r="AI1983" s="218"/>
      <c r="AJ1983" s="218"/>
      <c r="AK1983" s="153"/>
      <c r="AL1983" s="152"/>
      <c r="AM1983" s="152"/>
      <c r="AN1983" s="152"/>
      <c r="AO1983" s="152"/>
      <c r="AP1983" s="152"/>
      <c r="AQ1983" s="152"/>
      <c r="AR1983" s="152"/>
      <c r="AS1983" s="152"/>
      <c r="AT1983" s="152"/>
      <c r="AU1983" s="153"/>
      <c r="AV1983" s="479"/>
      <c r="AW1983" s="479"/>
      <c r="AX1983" s="442"/>
      <c r="AY1983" s="153"/>
      <c r="AZ1983" s="152"/>
      <c r="BA1983" s="152"/>
      <c r="BB1983" s="152"/>
      <c r="BC1983" s="152"/>
      <c r="BD1983" s="152"/>
      <c r="BE1983" s="152"/>
      <c r="BF1983" s="152"/>
      <c r="BG1983" s="152"/>
      <c r="BH1983" s="152"/>
      <c r="BI1983" s="153"/>
      <c r="BJ1983" s="153"/>
      <c r="BK1983" s="153"/>
      <c r="BL1983" s="153"/>
      <c r="BM1983" s="153"/>
      <c r="BN1983" s="153"/>
      <c r="BO1983" s="153"/>
      <c r="BP1983" s="153"/>
      <c r="BQ1983" s="153"/>
      <c r="BR1983" s="153"/>
      <c r="BS1983" s="153"/>
      <c r="BT1983" s="153"/>
      <c r="BU1983" s="153"/>
      <c r="BV1983" s="153"/>
      <c r="BW1983" s="153"/>
      <c r="BX1983" s="153"/>
      <c r="BY1983" s="153"/>
      <c r="BZ1983" s="153"/>
      <c r="CA1983" s="152"/>
      <c r="CB1983" s="152"/>
    </row>
    <row r="1984" spans="1:80" s="87" customFormat="1" x14ac:dyDescent="0.2">
      <c r="A1984" s="152"/>
      <c r="B1984" s="683"/>
      <c r="C1984" s="683"/>
      <c r="D1984" s="698"/>
      <c r="E1984" s="215"/>
      <c r="F1984" s="215"/>
      <c r="G1984" s="153"/>
      <c r="H1984" s="153"/>
      <c r="I1984" s="163">
        <v>20</v>
      </c>
      <c r="J1984" s="163">
        <v>30</v>
      </c>
      <c r="K1984" s="86">
        <v>1</v>
      </c>
      <c r="L1984" s="656">
        <v>10</v>
      </c>
      <c r="M1984" s="662" t="s">
        <v>853</v>
      </c>
      <c r="N1984" s="600">
        <v>0.84089610000000004</v>
      </c>
      <c r="O1984" s="605">
        <v>5.877760000000001E-3</v>
      </c>
      <c r="P1984" s="239"/>
      <c r="Q1984" s="240"/>
      <c r="R1984" s="243"/>
      <c r="S1984" s="242">
        <v>5.1999999999999998E-2</v>
      </c>
      <c r="T1984" s="242">
        <v>2.2983114446529083E-2</v>
      </c>
      <c r="U1984" s="242">
        <v>0.10553470919324578</v>
      </c>
      <c r="V1984" s="730">
        <v>0.81941838649155729</v>
      </c>
      <c r="W1984" s="737"/>
      <c r="X1984" s="733"/>
      <c r="Y1984" s="738"/>
      <c r="Z1984" s="109">
        <v>10.5</v>
      </c>
      <c r="AA1984" s="101">
        <v>0.93</v>
      </c>
      <c r="AB1984" s="152"/>
      <c r="AC1984" s="152"/>
      <c r="AD1984" s="91">
        <v>6.2786740000000005</v>
      </c>
      <c r="AE1984" s="91">
        <v>0.27735890000000002</v>
      </c>
      <c r="AF1984" s="91">
        <v>1.7334020400000001</v>
      </c>
      <c r="AG1984" s="91">
        <v>0.45413710000000002</v>
      </c>
      <c r="AH1984" s="343"/>
      <c r="AI1984" s="218"/>
      <c r="AJ1984" s="218"/>
      <c r="AK1984" s="153"/>
      <c r="AL1984" s="152"/>
      <c r="AM1984" s="152"/>
      <c r="AN1984" s="152"/>
      <c r="AO1984" s="152"/>
      <c r="AP1984" s="152"/>
      <c r="AQ1984" s="152"/>
      <c r="AR1984" s="152"/>
      <c r="AS1984" s="152"/>
      <c r="AT1984" s="152"/>
      <c r="AU1984" s="153"/>
      <c r="AV1984" s="479"/>
      <c r="AW1984" s="479"/>
      <c r="AX1984" s="442"/>
      <c r="AY1984" s="153"/>
      <c r="AZ1984" s="152"/>
      <c r="BA1984" s="152"/>
      <c r="BB1984" s="152"/>
      <c r="BC1984" s="152"/>
      <c r="BD1984" s="152"/>
      <c r="BE1984" s="152"/>
      <c r="BF1984" s="152"/>
      <c r="BG1984" s="152"/>
      <c r="BH1984" s="152"/>
      <c r="BI1984" s="153"/>
      <c r="BJ1984" s="153"/>
      <c r="BK1984" s="153"/>
      <c r="BL1984" s="153"/>
      <c r="BM1984" s="153"/>
      <c r="BN1984" s="153"/>
      <c r="BO1984" s="153"/>
      <c r="BP1984" s="153"/>
      <c r="BQ1984" s="153"/>
      <c r="BR1984" s="153"/>
      <c r="BS1984" s="153"/>
      <c r="BT1984" s="153"/>
      <c r="BU1984" s="153"/>
      <c r="BV1984" s="153"/>
      <c r="BW1984" s="153"/>
      <c r="BX1984" s="153"/>
      <c r="BY1984" s="153"/>
      <c r="BZ1984" s="153"/>
      <c r="CA1984" s="152"/>
      <c r="CB1984" s="152"/>
    </row>
    <row r="1985" spans="1:80" s="87" customFormat="1" x14ac:dyDescent="0.2">
      <c r="A1985" s="152"/>
      <c r="B1985" s="683"/>
      <c r="C1985" s="683"/>
      <c r="D1985" s="698"/>
      <c r="E1985" s="215"/>
      <c r="F1985" s="215"/>
      <c r="G1985" s="153"/>
      <c r="H1985" s="153"/>
      <c r="I1985" s="163">
        <v>20</v>
      </c>
      <c r="J1985" s="163">
        <v>30</v>
      </c>
      <c r="K1985" s="86">
        <v>1</v>
      </c>
      <c r="L1985" s="656">
        <v>10</v>
      </c>
      <c r="M1985" s="662" t="s">
        <v>854</v>
      </c>
      <c r="N1985" s="600">
        <v>0.69366850000000002</v>
      </c>
      <c r="O1985" s="605">
        <v>2.2881280000000001E-4</v>
      </c>
      <c r="P1985" s="239"/>
      <c r="Q1985" s="240"/>
      <c r="R1985" s="243"/>
      <c r="S1985" s="242"/>
      <c r="T1985" s="242"/>
      <c r="U1985" s="242">
        <v>9.5808383233532926E-2</v>
      </c>
      <c r="V1985" s="730">
        <v>0.90419161676646698</v>
      </c>
      <c r="W1985" s="737"/>
      <c r="X1985" s="733"/>
      <c r="Y1985" s="738"/>
      <c r="Z1985" s="109">
        <v>3</v>
      </c>
      <c r="AA1985" s="101">
        <v>0.57999999999999996</v>
      </c>
      <c r="AB1985" s="152"/>
      <c r="AC1985" s="152"/>
      <c r="AD1985" s="91">
        <v>6.3091530000000002</v>
      </c>
      <c r="AE1985" s="91">
        <v>0.25907150000000001</v>
      </c>
      <c r="AF1985" s="91">
        <v>1.63214758</v>
      </c>
      <c r="AG1985" s="91">
        <v>0.42061019999999999</v>
      </c>
      <c r="AH1985" s="343"/>
      <c r="AI1985" s="218"/>
      <c r="AJ1985" s="218"/>
      <c r="AK1985" s="153"/>
      <c r="AL1985" s="152"/>
      <c r="AM1985" s="152"/>
      <c r="AN1985" s="152"/>
      <c r="AO1985" s="152"/>
      <c r="AP1985" s="152"/>
      <c r="AQ1985" s="152"/>
      <c r="AR1985" s="152"/>
      <c r="AS1985" s="152"/>
      <c r="AT1985" s="152"/>
      <c r="AU1985" s="153"/>
      <c r="AV1985" s="479"/>
      <c r="AW1985" s="479"/>
      <c r="AX1985" s="442"/>
      <c r="AY1985" s="153"/>
      <c r="AZ1985" s="152"/>
      <c r="BA1985" s="152"/>
      <c r="BB1985" s="152"/>
      <c r="BC1985" s="152"/>
      <c r="BD1985" s="152"/>
      <c r="BE1985" s="152"/>
      <c r="BF1985" s="152"/>
      <c r="BG1985" s="152"/>
      <c r="BH1985" s="152"/>
      <c r="BI1985" s="153"/>
      <c r="BJ1985" s="153"/>
      <c r="BK1985" s="153"/>
      <c r="BL1985" s="153"/>
      <c r="BM1985" s="153"/>
      <c r="BN1985" s="153"/>
      <c r="BO1985" s="153"/>
      <c r="BP1985" s="153"/>
      <c r="BQ1985" s="153"/>
      <c r="BR1985" s="153"/>
      <c r="BS1985" s="153"/>
      <c r="BT1985" s="153"/>
      <c r="BU1985" s="153"/>
      <c r="BV1985" s="153"/>
      <c r="BW1985" s="153"/>
      <c r="BX1985" s="153"/>
      <c r="BY1985" s="153"/>
      <c r="BZ1985" s="153"/>
      <c r="CA1985" s="152"/>
      <c r="CB1985" s="152"/>
    </row>
    <row r="1986" spans="1:80" s="87" customFormat="1" x14ac:dyDescent="0.2">
      <c r="A1986" s="152"/>
      <c r="B1986" s="683"/>
      <c r="C1986" s="683"/>
      <c r="D1986" s="698"/>
      <c r="E1986" s="215"/>
      <c r="F1986" s="215"/>
      <c r="G1986" s="153"/>
      <c r="H1986" s="153"/>
      <c r="I1986" s="163">
        <v>20</v>
      </c>
      <c r="J1986" s="163">
        <v>30</v>
      </c>
      <c r="K1986" s="86">
        <v>1</v>
      </c>
      <c r="L1986" s="656">
        <v>10</v>
      </c>
      <c r="M1986" s="662" t="s">
        <v>854</v>
      </c>
      <c r="N1986" s="600">
        <v>0.69366850000000002</v>
      </c>
      <c r="O1986" s="605">
        <v>2.6764800000000002E-3</v>
      </c>
      <c r="P1986" s="239"/>
      <c r="Q1986" s="240"/>
      <c r="R1986" s="243"/>
      <c r="S1986" s="119"/>
      <c r="T1986" s="119">
        <v>0.13439752832131824</v>
      </c>
      <c r="U1986" s="119">
        <v>9.0113285272914539E-2</v>
      </c>
      <c r="V1986" s="730">
        <v>0.77548918640576747</v>
      </c>
      <c r="W1986" s="737"/>
      <c r="X1986" s="733"/>
      <c r="Y1986" s="738"/>
      <c r="Z1986" s="109">
        <v>9.4</v>
      </c>
      <c r="AA1986" s="101">
        <v>0.85</v>
      </c>
      <c r="AB1986" s="152"/>
      <c r="AC1986" s="152"/>
      <c r="AD1986" s="91">
        <v>6.3091530000000002</v>
      </c>
      <c r="AE1986" s="91">
        <v>0.25907150000000001</v>
      </c>
      <c r="AF1986" s="91">
        <v>1.63214758</v>
      </c>
      <c r="AG1986" s="91">
        <v>0.42061019999999999</v>
      </c>
      <c r="AH1986" s="343"/>
      <c r="AI1986" s="218"/>
      <c r="AJ1986" s="218"/>
      <c r="AK1986" s="153"/>
      <c r="AL1986" s="152"/>
      <c r="AM1986" s="152"/>
      <c r="AN1986" s="152"/>
      <c r="AO1986" s="152"/>
      <c r="AP1986" s="152"/>
      <c r="AQ1986" s="152"/>
      <c r="AR1986" s="152"/>
      <c r="AS1986" s="152"/>
      <c r="AT1986" s="152"/>
      <c r="AU1986" s="153"/>
      <c r="AV1986" s="479"/>
      <c r="AW1986" s="479"/>
      <c r="AX1986" s="442"/>
      <c r="AY1986" s="153"/>
      <c r="AZ1986" s="152"/>
      <c r="BA1986" s="152"/>
      <c r="BB1986" s="152"/>
      <c r="BC1986" s="152"/>
      <c r="BD1986" s="152"/>
      <c r="BE1986" s="152"/>
      <c r="BF1986" s="152"/>
      <c r="BG1986" s="152"/>
      <c r="BH1986" s="152"/>
      <c r="BI1986" s="153"/>
      <c r="BJ1986" s="153"/>
      <c r="BK1986" s="153"/>
      <c r="BL1986" s="153"/>
      <c r="BM1986" s="153"/>
      <c r="BN1986" s="153"/>
      <c r="BO1986" s="153"/>
      <c r="BP1986" s="153"/>
      <c r="BQ1986" s="153"/>
      <c r="BR1986" s="153"/>
      <c r="BS1986" s="153"/>
      <c r="BT1986" s="153"/>
      <c r="BU1986" s="153"/>
      <c r="BV1986" s="153"/>
      <c r="BW1986" s="153"/>
      <c r="BX1986" s="153"/>
      <c r="BY1986" s="153"/>
      <c r="BZ1986" s="153"/>
      <c r="CA1986" s="152"/>
      <c r="CB1986" s="152"/>
    </row>
    <row r="1987" spans="1:80" s="87" customFormat="1" x14ac:dyDescent="0.2">
      <c r="A1987" s="152"/>
      <c r="B1987" s="683"/>
      <c r="C1987" s="683"/>
      <c r="D1987" s="698"/>
      <c r="E1987" s="215"/>
      <c r="F1987" s="215"/>
      <c r="G1987" s="153"/>
      <c r="H1987" s="153"/>
      <c r="I1987" s="163">
        <v>20</v>
      </c>
      <c r="J1987" s="163">
        <v>30</v>
      </c>
      <c r="K1987" s="86">
        <v>1</v>
      </c>
      <c r="L1987" s="656">
        <v>10</v>
      </c>
      <c r="M1987" s="662" t="s">
        <v>855</v>
      </c>
      <c r="N1987" s="600">
        <v>0.57192260000000006</v>
      </c>
      <c r="O1987" s="605">
        <v>3.8625280000000003E-5</v>
      </c>
      <c r="P1987" s="239"/>
      <c r="Q1987" s="240"/>
      <c r="R1987" s="243"/>
      <c r="S1987" s="119"/>
      <c r="T1987" s="119"/>
      <c r="U1987" s="119"/>
      <c r="V1987" s="730">
        <v>0.99999999999999989</v>
      </c>
      <c r="W1987" s="737"/>
      <c r="X1987" s="733"/>
      <c r="Y1987" s="738"/>
      <c r="Z1987" s="109">
        <v>1.8</v>
      </c>
      <c r="AA1987" s="101">
        <v>0.65</v>
      </c>
      <c r="AB1987" s="152"/>
      <c r="AC1987" s="152"/>
      <c r="AD1987" s="91">
        <v>6.3091530000000002</v>
      </c>
      <c r="AE1987" s="91">
        <v>0.24078410000000003</v>
      </c>
      <c r="AF1987" s="91">
        <v>1.5225326600000002</v>
      </c>
      <c r="AG1987" s="91">
        <v>0.35660429999999999</v>
      </c>
      <c r="AH1987" s="343"/>
      <c r="AI1987" s="218"/>
      <c r="AJ1987" s="218"/>
      <c r="AK1987" s="153"/>
      <c r="AL1987" s="152"/>
      <c r="AM1987" s="152"/>
      <c r="AN1987" s="152"/>
      <c r="AO1987" s="152"/>
      <c r="AP1987" s="152"/>
      <c r="AQ1987" s="152"/>
      <c r="AR1987" s="152"/>
      <c r="AS1987" s="152"/>
      <c r="AT1987" s="152"/>
      <c r="AU1987" s="153"/>
      <c r="AV1987" s="479"/>
      <c r="AW1987" s="479"/>
      <c r="AX1987" s="442"/>
      <c r="AY1987" s="153"/>
      <c r="AZ1987" s="152"/>
      <c r="BA1987" s="152"/>
      <c r="BB1987" s="152"/>
      <c r="BC1987" s="152"/>
      <c r="BD1987" s="152"/>
      <c r="BE1987" s="152"/>
      <c r="BF1987" s="152"/>
      <c r="BG1987" s="152"/>
      <c r="BH1987" s="152"/>
      <c r="BI1987" s="153"/>
      <c r="BJ1987" s="153"/>
      <c r="BK1987" s="153"/>
      <c r="BL1987" s="153"/>
      <c r="BM1987" s="153"/>
      <c r="BN1987" s="153"/>
      <c r="BO1987" s="153"/>
      <c r="BP1987" s="153"/>
      <c r="BQ1987" s="153"/>
      <c r="BR1987" s="153"/>
      <c r="BS1987" s="153"/>
      <c r="BT1987" s="153"/>
      <c r="BU1987" s="153"/>
      <c r="BV1987" s="153"/>
      <c r="BW1987" s="153"/>
      <c r="BX1987" s="153"/>
      <c r="BY1987" s="153"/>
      <c r="BZ1987" s="153"/>
      <c r="CA1987" s="152"/>
      <c r="CB1987" s="152"/>
    </row>
    <row r="1988" spans="1:80" s="87" customFormat="1" x14ac:dyDescent="0.2">
      <c r="A1988" s="152"/>
      <c r="B1988" s="683"/>
      <c r="C1988" s="683"/>
      <c r="D1988" s="698"/>
      <c r="E1988" s="215"/>
      <c r="F1988" s="215"/>
      <c r="G1988" s="153"/>
      <c r="H1988" s="153"/>
      <c r="I1988" s="163">
        <v>20</v>
      </c>
      <c r="J1988" s="163">
        <v>30</v>
      </c>
      <c r="K1988" s="86">
        <v>1</v>
      </c>
      <c r="L1988" s="656">
        <v>10</v>
      </c>
      <c r="M1988" s="662" t="s">
        <v>855</v>
      </c>
      <c r="N1988" s="600">
        <v>0.57192260000000006</v>
      </c>
      <c r="O1988" s="605">
        <v>4.4188160000000002E-5</v>
      </c>
      <c r="P1988" s="239"/>
      <c r="Q1988" s="240"/>
      <c r="R1988" s="243"/>
      <c r="S1988" s="119"/>
      <c r="T1988" s="119"/>
      <c r="U1988" s="119">
        <v>0.16129032258064513</v>
      </c>
      <c r="V1988" s="730">
        <v>0.83870967741935454</v>
      </c>
      <c r="W1988" s="737"/>
      <c r="X1988" s="733"/>
      <c r="Y1988" s="738"/>
      <c r="Z1988" s="109">
        <v>2.8</v>
      </c>
      <c r="AA1988" s="101">
        <v>0.92</v>
      </c>
      <c r="AB1988" s="152"/>
      <c r="AC1988" s="152"/>
      <c r="AD1988" s="91">
        <v>6.3091530000000002</v>
      </c>
      <c r="AE1988" s="91">
        <v>0.24078410000000003</v>
      </c>
      <c r="AF1988" s="91">
        <v>1.5225326600000002</v>
      </c>
      <c r="AG1988" s="91">
        <v>0.35660429999999999</v>
      </c>
      <c r="AH1988" s="343"/>
      <c r="AI1988" s="218"/>
      <c r="AJ1988" s="218"/>
      <c r="AK1988" s="153"/>
      <c r="AL1988" s="152"/>
      <c r="AM1988" s="152"/>
      <c r="AN1988" s="152"/>
      <c r="AO1988" s="152"/>
      <c r="AP1988" s="152"/>
      <c r="AQ1988" s="152"/>
      <c r="AR1988" s="152"/>
      <c r="AS1988" s="152"/>
      <c r="AT1988" s="152"/>
      <c r="AU1988" s="153"/>
      <c r="AV1988" s="479"/>
      <c r="AW1988" s="479"/>
      <c r="AX1988" s="442"/>
      <c r="AY1988" s="153"/>
      <c r="AZ1988" s="152"/>
      <c r="BA1988" s="152"/>
      <c r="BB1988" s="152"/>
      <c r="BC1988" s="152"/>
      <c r="BD1988" s="152"/>
      <c r="BE1988" s="152"/>
      <c r="BF1988" s="152"/>
      <c r="BG1988" s="152"/>
      <c r="BH1988" s="152"/>
      <c r="BI1988" s="153"/>
      <c r="BJ1988" s="153"/>
      <c r="BK1988" s="153"/>
      <c r="BL1988" s="153"/>
      <c r="BM1988" s="153"/>
      <c r="BN1988" s="153"/>
      <c r="BO1988" s="153"/>
      <c r="BP1988" s="153"/>
      <c r="BQ1988" s="153"/>
      <c r="BR1988" s="153"/>
      <c r="BS1988" s="153"/>
      <c r="BT1988" s="153"/>
      <c r="BU1988" s="153"/>
      <c r="BV1988" s="153"/>
      <c r="BW1988" s="153"/>
      <c r="BX1988" s="153"/>
      <c r="BY1988" s="153"/>
      <c r="BZ1988" s="153"/>
      <c r="CA1988" s="152"/>
      <c r="CB1988" s="152"/>
    </row>
    <row r="1989" spans="1:80" s="87" customFormat="1" x14ac:dyDescent="0.2">
      <c r="A1989" s="152"/>
      <c r="B1989" s="683"/>
      <c r="C1989" s="683"/>
      <c r="D1989" s="698"/>
      <c r="E1989" s="215"/>
      <c r="F1989" s="215"/>
      <c r="G1989" s="153"/>
      <c r="H1989" s="153"/>
      <c r="I1989" s="163">
        <v>21</v>
      </c>
      <c r="J1989" s="163">
        <v>30</v>
      </c>
      <c r="K1989" s="86">
        <v>1</v>
      </c>
      <c r="L1989" s="656">
        <v>10.5</v>
      </c>
      <c r="M1989" s="662" t="s">
        <v>856</v>
      </c>
      <c r="N1989" s="600">
        <v>0.34824990000000006</v>
      </c>
      <c r="O1989" s="605">
        <v>3.810048E-4</v>
      </c>
      <c r="P1989" s="239"/>
      <c r="Q1989" s="240"/>
      <c r="R1989" s="243"/>
      <c r="S1989" s="119"/>
      <c r="T1989" s="119"/>
      <c r="U1989" s="119"/>
      <c r="V1989" s="730">
        <v>1.0000000000000002</v>
      </c>
      <c r="W1989" s="737"/>
      <c r="X1989" s="733"/>
      <c r="Y1989" s="738"/>
      <c r="Z1989" s="109">
        <v>2.5</v>
      </c>
      <c r="AA1989" s="101">
        <v>0.74</v>
      </c>
      <c r="AB1989" s="152"/>
      <c r="AC1989" s="152"/>
      <c r="AD1989" s="91">
        <v>4.7547240000000004</v>
      </c>
      <c r="AE1989" s="91">
        <v>0.38403540000000003</v>
      </c>
      <c r="AF1989" s="91">
        <v>1.8179355800000001</v>
      </c>
      <c r="AG1989" s="91">
        <v>0.20116140000000002</v>
      </c>
      <c r="AH1989" s="343"/>
      <c r="AI1989" s="218"/>
      <c r="AJ1989" s="218"/>
      <c r="AK1989" s="153"/>
      <c r="AL1989" s="152"/>
      <c r="AM1989" s="152"/>
      <c r="AN1989" s="152"/>
      <c r="AO1989" s="152"/>
      <c r="AP1989" s="152"/>
      <c r="AQ1989" s="152"/>
      <c r="AR1989" s="152"/>
      <c r="AS1989" s="152"/>
      <c r="AT1989" s="152"/>
      <c r="AU1989" s="153"/>
      <c r="AV1989" s="479"/>
      <c r="AW1989" s="479"/>
      <c r="AX1989" s="442"/>
      <c r="AY1989" s="153"/>
      <c r="AZ1989" s="152"/>
      <c r="BA1989" s="152"/>
      <c r="BB1989" s="152"/>
      <c r="BC1989" s="152"/>
      <c r="BD1989" s="152"/>
      <c r="BE1989" s="152"/>
      <c r="BF1989" s="152"/>
      <c r="BG1989" s="152"/>
      <c r="BH1989" s="152"/>
      <c r="BI1989" s="153"/>
      <c r="BJ1989" s="153"/>
      <c r="BK1989" s="153"/>
      <c r="BL1989" s="153"/>
      <c r="BM1989" s="153"/>
      <c r="BN1989" s="153"/>
      <c r="BO1989" s="153"/>
      <c r="BP1989" s="153"/>
      <c r="BQ1989" s="153"/>
      <c r="BR1989" s="153"/>
      <c r="BS1989" s="153"/>
      <c r="BT1989" s="153"/>
      <c r="BU1989" s="153"/>
      <c r="BV1989" s="153"/>
      <c r="BW1989" s="153"/>
      <c r="BX1989" s="153"/>
      <c r="BY1989" s="153"/>
      <c r="BZ1989" s="153"/>
      <c r="CA1989" s="152"/>
      <c r="CB1989" s="152"/>
    </row>
    <row r="1990" spans="1:80" s="87" customFormat="1" x14ac:dyDescent="0.2">
      <c r="A1990" s="152"/>
      <c r="B1990" s="683"/>
      <c r="C1990" s="683"/>
      <c r="D1990" s="698"/>
      <c r="E1990" s="215"/>
      <c r="F1990" s="215"/>
      <c r="G1990" s="153"/>
      <c r="H1990" s="153"/>
      <c r="I1990" s="163">
        <v>21</v>
      </c>
      <c r="J1990" s="163">
        <v>30</v>
      </c>
      <c r="K1990" s="86">
        <v>1</v>
      </c>
      <c r="L1990" s="656">
        <v>10.5</v>
      </c>
      <c r="M1990" s="662" t="s">
        <v>856</v>
      </c>
      <c r="N1990" s="600">
        <v>0.34824990000000006</v>
      </c>
      <c r="O1990" s="605">
        <v>3.631616E-5</v>
      </c>
      <c r="P1990" s="239"/>
      <c r="Q1990" s="240"/>
      <c r="R1990" s="243"/>
      <c r="S1990" s="119"/>
      <c r="T1990" s="119"/>
      <c r="U1990" s="119"/>
      <c r="V1990" s="731">
        <v>1</v>
      </c>
      <c r="W1990" s="737"/>
      <c r="X1990" s="733"/>
      <c r="Y1990" s="738"/>
      <c r="Z1990" s="109">
        <v>1.2</v>
      </c>
      <c r="AA1990" s="101">
        <v>0.52</v>
      </c>
      <c r="AB1990" s="152"/>
      <c r="AC1990" s="152"/>
      <c r="AD1990" s="91">
        <v>4.7547240000000004</v>
      </c>
      <c r="AE1990" s="91">
        <v>0.38403540000000003</v>
      </c>
      <c r="AF1990" s="91">
        <v>1.8179355800000001</v>
      </c>
      <c r="AG1990" s="91">
        <v>0.20116140000000002</v>
      </c>
      <c r="AH1990" s="343"/>
      <c r="AI1990" s="218"/>
      <c r="AJ1990" s="218"/>
      <c r="AK1990" s="153"/>
      <c r="AL1990" s="152"/>
      <c r="AM1990" s="152"/>
      <c r="AN1990" s="152"/>
      <c r="AO1990" s="152"/>
      <c r="AP1990" s="152"/>
      <c r="AQ1990" s="152"/>
      <c r="AR1990" s="152"/>
      <c r="AS1990" s="152"/>
      <c r="AT1990" s="152"/>
      <c r="AU1990" s="153"/>
      <c r="AV1990" s="479"/>
      <c r="AW1990" s="479"/>
      <c r="AX1990" s="442"/>
      <c r="AY1990" s="153"/>
      <c r="AZ1990" s="152"/>
      <c r="BA1990" s="152"/>
      <c r="BB1990" s="152"/>
      <c r="BC1990" s="152"/>
      <c r="BD1990" s="152"/>
      <c r="BE1990" s="152"/>
      <c r="BF1990" s="152"/>
      <c r="BG1990" s="152"/>
      <c r="BH1990" s="152"/>
      <c r="BI1990" s="153"/>
      <c r="BJ1990" s="153"/>
      <c r="BK1990" s="153"/>
      <c r="BL1990" s="153"/>
      <c r="BM1990" s="153"/>
      <c r="BN1990" s="153"/>
      <c r="BO1990" s="153"/>
      <c r="BP1990" s="153"/>
      <c r="BQ1990" s="153"/>
      <c r="BR1990" s="153"/>
      <c r="BS1990" s="153"/>
      <c r="BT1990" s="153"/>
      <c r="BU1990" s="153"/>
      <c r="BV1990" s="153"/>
      <c r="BW1990" s="153"/>
      <c r="BX1990" s="153"/>
      <c r="BY1990" s="153"/>
      <c r="BZ1990" s="153"/>
      <c r="CA1990" s="152"/>
      <c r="CB1990" s="152"/>
    </row>
    <row r="1991" spans="1:80" s="87" customFormat="1" x14ac:dyDescent="0.2">
      <c r="A1991" s="152"/>
      <c r="B1991" s="683"/>
      <c r="C1991" s="683"/>
      <c r="D1991" s="698"/>
      <c r="E1991" s="215"/>
      <c r="F1991" s="215"/>
      <c r="G1991" s="153"/>
      <c r="H1991" s="153"/>
      <c r="I1991" s="163">
        <v>23</v>
      </c>
      <c r="J1991" s="163">
        <v>30</v>
      </c>
      <c r="K1991" s="86">
        <v>1</v>
      </c>
      <c r="L1991" s="656">
        <v>11.5</v>
      </c>
      <c r="M1991" s="662" t="s">
        <v>857</v>
      </c>
      <c r="N1991" s="600">
        <v>0.15458898000000001</v>
      </c>
      <c r="O1991" s="605">
        <v>3.5686400000000003E-6</v>
      </c>
      <c r="P1991" s="239"/>
      <c r="Q1991" s="240"/>
      <c r="R1991" s="243"/>
      <c r="S1991" s="119"/>
      <c r="T1991" s="119"/>
      <c r="U1991" s="119"/>
      <c r="V1991" s="731"/>
      <c r="W1991" s="737"/>
      <c r="X1991" s="733"/>
      <c r="Y1991" s="738"/>
      <c r="Z1991" s="109"/>
      <c r="AA1991" s="101"/>
      <c r="AB1991" s="152"/>
      <c r="AC1991" s="152"/>
      <c r="AD1991" s="91">
        <v>6.0043629999999997</v>
      </c>
      <c r="AE1991" s="91">
        <v>0.15849080000000002</v>
      </c>
      <c r="AF1991" s="91">
        <v>0.95866608000000009</v>
      </c>
      <c r="AG1991" s="91">
        <v>0.17982609999999999</v>
      </c>
      <c r="AH1991" s="343"/>
      <c r="AI1991" s="218"/>
      <c r="AJ1991" s="218"/>
      <c r="AK1991" s="153"/>
      <c r="AL1991" s="152"/>
      <c r="AM1991" s="152"/>
      <c r="AN1991" s="152"/>
      <c r="AO1991" s="152"/>
      <c r="AP1991" s="152"/>
      <c r="AQ1991" s="152"/>
      <c r="AR1991" s="152"/>
      <c r="AS1991" s="152"/>
      <c r="AT1991" s="152"/>
      <c r="AU1991" s="153"/>
      <c r="AV1991" s="479"/>
      <c r="AW1991" s="479"/>
      <c r="AX1991" s="442"/>
      <c r="AY1991" s="153"/>
      <c r="AZ1991" s="152"/>
      <c r="BA1991" s="152"/>
      <c r="BB1991" s="152"/>
      <c r="BC1991" s="152"/>
      <c r="BD1991" s="152"/>
      <c r="BE1991" s="152"/>
      <c r="BF1991" s="152"/>
      <c r="BG1991" s="152"/>
      <c r="BH1991" s="152"/>
      <c r="BI1991" s="153"/>
      <c r="BJ1991" s="153"/>
      <c r="BK1991" s="153"/>
      <c r="BL1991" s="153"/>
      <c r="BM1991" s="153"/>
      <c r="BN1991" s="153"/>
      <c r="BO1991" s="153"/>
      <c r="BP1991" s="153"/>
      <c r="BQ1991" s="153"/>
      <c r="BR1991" s="153"/>
      <c r="BS1991" s="153"/>
      <c r="BT1991" s="153"/>
      <c r="BU1991" s="153"/>
      <c r="BV1991" s="153"/>
      <c r="BW1991" s="153"/>
      <c r="BX1991" s="153"/>
      <c r="BY1991" s="153"/>
      <c r="BZ1991" s="153"/>
      <c r="CA1991" s="152"/>
      <c r="CB1991" s="152"/>
    </row>
    <row r="1992" spans="1:80" s="87" customFormat="1" x14ac:dyDescent="0.2">
      <c r="A1992" s="152"/>
      <c r="B1992" s="683"/>
      <c r="C1992" s="683"/>
      <c r="D1992" s="698"/>
      <c r="E1992" s="215"/>
      <c r="F1992" s="215"/>
      <c r="G1992" s="153"/>
      <c r="H1992" s="153"/>
      <c r="I1992" s="163">
        <v>23</v>
      </c>
      <c r="J1992" s="163">
        <v>30</v>
      </c>
      <c r="K1992" s="86">
        <v>1</v>
      </c>
      <c r="L1992" s="656">
        <v>11.5</v>
      </c>
      <c r="M1992" s="662" t="s">
        <v>857</v>
      </c>
      <c r="N1992" s="600">
        <v>0.15458898000000001</v>
      </c>
      <c r="O1992" s="605">
        <v>1.9417600000000002E-5</v>
      </c>
      <c r="P1992" s="239"/>
      <c r="Q1992" s="240"/>
      <c r="R1992" s="243"/>
      <c r="S1992" s="119"/>
      <c r="T1992" s="119"/>
      <c r="U1992" s="119"/>
      <c r="V1992" s="731">
        <v>0.99999999999999989</v>
      </c>
      <c r="W1992" s="737"/>
      <c r="X1992" s="733"/>
      <c r="Y1992" s="738"/>
      <c r="Z1992" s="109">
        <v>18</v>
      </c>
      <c r="AA1992" s="101">
        <v>0.53</v>
      </c>
      <c r="AB1992" s="152"/>
      <c r="AC1992" s="152"/>
      <c r="AD1992" s="91">
        <v>6.0043629999999997</v>
      </c>
      <c r="AE1992" s="91">
        <v>0.15849080000000002</v>
      </c>
      <c r="AF1992" s="91">
        <v>0.95866608000000009</v>
      </c>
      <c r="AG1992" s="91">
        <v>0.17982609999999999</v>
      </c>
      <c r="AH1992" s="343"/>
      <c r="AI1992" s="218"/>
      <c r="AJ1992" s="218"/>
      <c r="AK1992" s="153"/>
      <c r="AL1992" s="152"/>
      <c r="AM1992" s="152"/>
      <c r="AN1992" s="152"/>
      <c r="AO1992" s="152"/>
      <c r="AP1992" s="152"/>
      <c r="AQ1992" s="152"/>
      <c r="AR1992" s="152"/>
      <c r="AS1992" s="152"/>
      <c r="AT1992" s="152"/>
      <c r="AU1992" s="153"/>
      <c r="AV1992" s="479"/>
      <c r="AW1992" s="479"/>
      <c r="AX1992" s="442"/>
      <c r="AY1992" s="153"/>
      <c r="AZ1992" s="152"/>
      <c r="BA1992" s="152"/>
      <c r="BB1992" s="152"/>
      <c r="BC1992" s="152"/>
      <c r="BD1992" s="152"/>
      <c r="BE1992" s="152"/>
      <c r="BF1992" s="152"/>
      <c r="BG1992" s="152"/>
      <c r="BH1992" s="152"/>
      <c r="BI1992" s="153"/>
      <c r="BJ1992" s="153"/>
      <c r="BK1992" s="153"/>
      <c r="BL1992" s="153"/>
      <c r="BM1992" s="153"/>
      <c r="BN1992" s="153"/>
      <c r="BO1992" s="153"/>
      <c r="BP1992" s="153"/>
      <c r="BQ1992" s="153"/>
      <c r="BR1992" s="153"/>
      <c r="BS1992" s="153"/>
      <c r="BT1992" s="153"/>
      <c r="BU1992" s="153"/>
      <c r="BV1992" s="153"/>
      <c r="BW1992" s="153"/>
      <c r="BX1992" s="153"/>
      <c r="BY1992" s="153"/>
      <c r="BZ1992" s="153"/>
      <c r="CA1992" s="152"/>
      <c r="CB1992" s="152"/>
    </row>
    <row r="1993" spans="1:80" s="87" customFormat="1" x14ac:dyDescent="0.2">
      <c r="A1993" s="152"/>
      <c r="B1993" s="683"/>
      <c r="C1993" s="683"/>
      <c r="D1993" s="698"/>
      <c r="E1993" s="215"/>
      <c r="F1993" s="215"/>
      <c r="G1993" s="153"/>
      <c r="H1993" s="153"/>
      <c r="I1993" s="163">
        <v>21</v>
      </c>
      <c r="J1993" s="163">
        <v>60</v>
      </c>
      <c r="K1993" s="86">
        <v>1</v>
      </c>
      <c r="L1993" s="656">
        <v>21</v>
      </c>
      <c r="M1993" s="662" t="s">
        <v>858</v>
      </c>
      <c r="N1993" s="600">
        <v>0.22735338999999999</v>
      </c>
      <c r="O1993" s="605">
        <v>2.0362240000000002E-5</v>
      </c>
      <c r="P1993" s="239"/>
      <c r="Q1993" s="240"/>
      <c r="R1993" s="243"/>
      <c r="S1993" s="119"/>
      <c r="T1993" s="119"/>
      <c r="U1993" s="119"/>
      <c r="V1993" s="731">
        <v>0.99999999999999989</v>
      </c>
      <c r="W1993" s="737"/>
      <c r="X1993" s="733"/>
      <c r="Y1993" s="738"/>
      <c r="Z1993" s="109">
        <v>1</v>
      </c>
      <c r="AA1993" s="101">
        <v>0.38</v>
      </c>
      <c r="AB1993" s="152"/>
      <c r="AC1993" s="152"/>
      <c r="AD1993" s="91">
        <v>6.3091530000000002</v>
      </c>
      <c r="AE1993" s="91">
        <v>0.17373029999999998</v>
      </c>
      <c r="AF1993" s="91">
        <v>1.09707814</v>
      </c>
      <c r="AG1993" s="91">
        <v>0.22249669999999999</v>
      </c>
      <c r="AH1993" s="343"/>
      <c r="AI1993" s="218"/>
      <c r="AJ1993" s="218"/>
      <c r="AK1993" s="153"/>
      <c r="AL1993" s="152"/>
      <c r="AM1993" s="152"/>
      <c r="AN1993" s="152"/>
      <c r="AO1993" s="152"/>
      <c r="AP1993" s="152"/>
      <c r="AQ1993" s="152"/>
      <c r="AR1993" s="152"/>
      <c r="AS1993" s="152"/>
      <c r="AT1993" s="152"/>
      <c r="AU1993" s="153"/>
      <c r="AV1993" s="479"/>
      <c r="AW1993" s="479"/>
      <c r="AX1993" s="442"/>
      <c r="AY1993" s="153"/>
      <c r="AZ1993" s="152"/>
      <c r="BA1993" s="152"/>
      <c r="BB1993" s="152"/>
      <c r="BC1993" s="152"/>
      <c r="BD1993" s="152"/>
      <c r="BE1993" s="152"/>
      <c r="BF1993" s="152"/>
      <c r="BG1993" s="152"/>
      <c r="BH1993" s="152"/>
      <c r="BI1993" s="153"/>
      <c r="BJ1993" s="153"/>
      <c r="BK1993" s="153"/>
      <c r="BL1993" s="153"/>
      <c r="BM1993" s="153"/>
      <c r="BN1993" s="153"/>
      <c r="BO1993" s="153"/>
      <c r="BP1993" s="153"/>
      <c r="BQ1993" s="153"/>
      <c r="BR1993" s="153"/>
      <c r="BS1993" s="153"/>
      <c r="BT1993" s="153"/>
      <c r="BU1993" s="153"/>
      <c r="BV1993" s="153"/>
      <c r="BW1993" s="153"/>
      <c r="BX1993" s="153"/>
      <c r="BY1993" s="153"/>
      <c r="BZ1993" s="153"/>
      <c r="CA1993" s="152"/>
      <c r="CB1993" s="152"/>
    </row>
    <row r="1994" spans="1:80" s="87" customFormat="1" x14ac:dyDescent="0.2">
      <c r="A1994" s="152"/>
      <c r="B1994" s="683"/>
      <c r="C1994" s="683"/>
      <c r="D1994" s="698"/>
      <c r="E1994" s="215"/>
      <c r="F1994" s="215"/>
      <c r="G1994" s="153"/>
      <c r="H1994" s="153"/>
      <c r="I1994" s="163">
        <v>21</v>
      </c>
      <c r="J1994" s="163">
        <v>60</v>
      </c>
      <c r="K1994" s="86">
        <v>1</v>
      </c>
      <c r="L1994" s="656">
        <v>21</v>
      </c>
      <c r="M1994" s="662" t="s">
        <v>859</v>
      </c>
      <c r="N1994" s="600">
        <v>0.4728271</v>
      </c>
      <c r="O1994" s="605">
        <v>8.1029120000000008E-5</v>
      </c>
      <c r="P1994" s="239"/>
      <c r="Q1994" s="240"/>
      <c r="R1994" s="243"/>
      <c r="S1994" s="119"/>
      <c r="T1994" s="119"/>
      <c r="U1994" s="119"/>
      <c r="V1994" s="731">
        <v>1</v>
      </c>
      <c r="W1994" s="737"/>
      <c r="X1994" s="733"/>
      <c r="Y1994" s="738"/>
      <c r="Z1994" s="109">
        <v>1</v>
      </c>
      <c r="AA1994" s="101">
        <v>0.45</v>
      </c>
      <c r="AB1994" s="152"/>
      <c r="AC1994" s="152"/>
      <c r="AD1994" s="91">
        <v>6.2786740000000005</v>
      </c>
      <c r="AE1994" s="91">
        <v>0.21640089999999998</v>
      </c>
      <c r="AF1994" s="91">
        <v>1.3599681600000002</v>
      </c>
      <c r="AG1994" s="91">
        <v>0.3505085</v>
      </c>
      <c r="AH1994" s="343"/>
      <c r="AI1994" s="218"/>
      <c r="AJ1994" s="218"/>
      <c r="AK1994" s="153"/>
      <c r="AL1994" s="152"/>
      <c r="AM1994" s="152"/>
      <c r="AN1994" s="152"/>
      <c r="AO1994" s="152"/>
      <c r="AP1994" s="152"/>
      <c r="AQ1994" s="152"/>
      <c r="AR1994" s="152"/>
      <c r="AS1994" s="152"/>
      <c r="AT1994" s="152"/>
      <c r="AU1994" s="153"/>
      <c r="AV1994" s="479"/>
      <c r="AW1994" s="479"/>
      <c r="AX1994" s="442"/>
      <c r="AY1994" s="153"/>
      <c r="AZ1994" s="152"/>
      <c r="BA1994" s="152"/>
      <c r="BB1994" s="152"/>
      <c r="BC1994" s="152"/>
      <c r="BD1994" s="152"/>
      <c r="BE1994" s="152"/>
      <c r="BF1994" s="152"/>
      <c r="BG1994" s="152"/>
      <c r="BH1994" s="152"/>
      <c r="BI1994" s="153"/>
      <c r="BJ1994" s="153"/>
      <c r="BK1994" s="153"/>
      <c r="BL1994" s="153"/>
      <c r="BM1994" s="153"/>
      <c r="BN1994" s="153"/>
      <c r="BO1994" s="153"/>
      <c r="BP1994" s="153"/>
      <c r="BQ1994" s="153"/>
      <c r="BR1994" s="153"/>
      <c r="BS1994" s="153"/>
      <c r="BT1994" s="153"/>
      <c r="BU1994" s="153"/>
      <c r="BV1994" s="153"/>
      <c r="BW1994" s="153"/>
      <c r="BX1994" s="153"/>
      <c r="BY1994" s="153"/>
      <c r="BZ1994" s="153"/>
      <c r="CA1994" s="152"/>
      <c r="CB1994" s="152"/>
    </row>
    <row r="1995" spans="1:80" s="87" customFormat="1" x14ac:dyDescent="0.2">
      <c r="A1995" s="152"/>
      <c r="B1995" s="683"/>
      <c r="C1995" s="683"/>
      <c r="D1995" s="698"/>
      <c r="E1995" s="215"/>
      <c r="F1995" s="215"/>
      <c r="G1995" s="153"/>
      <c r="H1995" s="153"/>
      <c r="I1995" s="163">
        <v>21</v>
      </c>
      <c r="J1995" s="163">
        <v>60</v>
      </c>
      <c r="K1995" s="86">
        <v>1</v>
      </c>
      <c r="L1995" s="656">
        <v>21</v>
      </c>
      <c r="M1995" s="662" t="s">
        <v>859</v>
      </c>
      <c r="N1995" s="600">
        <v>0.4728271</v>
      </c>
      <c r="O1995" s="605">
        <v>6.7174400000000005E-4</v>
      </c>
      <c r="P1995" s="239"/>
      <c r="Q1995" s="240"/>
      <c r="R1995" s="243"/>
      <c r="S1995" s="119"/>
      <c r="T1995" s="119">
        <v>7.1348940914158318E-2</v>
      </c>
      <c r="U1995" s="119">
        <v>0.14269788182831664</v>
      </c>
      <c r="V1995" s="731">
        <v>0.78595317725752523</v>
      </c>
      <c r="W1995" s="737"/>
      <c r="X1995" s="733"/>
      <c r="Y1995" s="738"/>
      <c r="Z1995" s="109">
        <v>7.5</v>
      </c>
      <c r="AA1995" s="101">
        <v>0.74</v>
      </c>
      <c r="AB1995" s="152"/>
      <c r="AC1995" s="152"/>
      <c r="AD1995" s="91">
        <v>6.2786740000000005</v>
      </c>
      <c r="AE1995" s="91">
        <v>0.21640089999999998</v>
      </c>
      <c r="AF1995" s="91">
        <v>1.3599681600000002</v>
      </c>
      <c r="AG1995" s="91">
        <v>0.3505085</v>
      </c>
      <c r="AH1995" s="341"/>
      <c r="AI1995" s="218"/>
      <c r="AJ1995" s="218"/>
      <c r="AK1995" s="153"/>
      <c r="AL1995" s="152"/>
      <c r="AM1995" s="152"/>
      <c r="AN1995" s="152"/>
      <c r="AO1995" s="152"/>
      <c r="AP1995" s="152"/>
      <c r="AQ1995" s="152"/>
      <c r="AR1995" s="152"/>
      <c r="AS1995" s="152"/>
      <c r="AT1995" s="152"/>
      <c r="AU1995" s="153"/>
      <c r="AV1995" s="479"/>
      <c r="AW1995" s="479"/>
      <c r="AX1995" s="442"/>
      <c r="AY1995" s="153"/>
      <c r="AZ1995" s="152"/>
      <c r="BA1995" s="152"/>
      <c r="BB1995" s="152"/>
      <c r="BC1995" s="152"/>
      <c r="BD1995" s="152"/>
      <c r="BE1995" s="152"/>
      <c r="BF1995" s="152"/>
      <c r="BG1995" s="152"/>
      <c r="BH1995" s="152"/>
      <c r="BI1995" s="153"/>
      <c r="BJ1995" s="153"/>
      <c r="BK1995" s="153"/>
      <c r="BL1995" s="153"/>
      <c r="BM1995" s="153"/>
      <c r="BN1995" s="153"/>
      <c r="BO1995" s="153"/>
      <c r="BP1995" s="153"/>
      <c r="BQ1995" s="153"/>
      <c r="BR1995" s="153"/>
      <c r="BS1995" s="153"/>
      <c r="BT1995" s="153"/>
      <c r="BU1995" s="153"/>
      <c r="BV1995" s="153"/>
      <c r="BW1995" s="153"/>
      <c r="BX1995" s="153"/>
      <c r="BY1995" s="153"/>
      <c r="BZ1995" s="153"/>
      <c r="CA1995" s="152"/>
      <c r="CB1995" s="152"/>
    </row>
    <row r="1996" spans="1:80" s="87" customFormat="1" x14ac:dyDescent="0.2">
      <c r="A1996" s="152"/>
      <c r="B1996" s="683"/>
      <c r="C1996" s="683"/>
      <c r="D1996" s="698"/>
      <c r="E1996" s="215"/>
      <c r="F1996" s="215"/>
      <c r="G1996" s="153"/>
      <c r="H1996" s="153"/>
      <c r="I1996" s="163">
        <v>21</v>
      </c>
      <c r="J1996" s="163">
        <v>60</v>
      </c>
      <c r="K1996" s="86">
        <v>1</v>
      </c>
      <c r="L1996" s="656">
        <v>21</v>
      </c>
      <c r="M1996" s="662" t="s">
        <v>860</v>
      </c>
      <c r="N1996" s="600">
        <v>0.51529659999999999</v>
      </c>
      <c r="O1996" s="605">
        <v>7.6620799999999999E-4</v>
      </c>
      <c r="P1996" s="239"/>
      <c r="Q1996" s="240"/>
      <c r="R1996" s="243"/>
      <c r="S1996" s="119"/>
      <c r="T1996" s="119"/>
      <c r="U1996" s="119">
        <v>5.3135888501742154E-2</v>
      </c>
      <c r="V1996" s="731">
        <v>0.94686411149825778</v>
      </c>
      <c r="W1996" s="737"/>
      <c r="X1996" s="733"/>
      <c r="Y1996" s="738"/>
      <c r="Z1996" s="109">
        <v>3.5</v>
      </c>
      <c r="AA1996" s="101">
        <v>0.67</v>
      </c>
      <c r="AB1996" s="152"/>
      <c r="AC1996" s="152"/>
      <c r="AD1996" s="244">
        <f>0.3048*20.7</f>
        <v>6.3093599999999999</v>
      </c>
      <c r="AE1996" s="244">
        <f>0.3048*0.74</f>
        <v>0.225552</v>
      </c>
      <c r="AF1996" s="244">
        <f>0.3048*0.3048*15.34</f>
        <v>1.4251326336000001</v>
      </c>
      <c r="AG1996" s="244">
        <f>0.3048*1.19</f>
        <v>0.36271199999999998</v>
      </c>
      <c r="AH1996" s="341"/>
      <c r="AI1996" s="218"/>
      <c r="AJ1996" s="218"/>
      <c r="AK1996" s="153"/>
      <c r="AL1996" s="152"/>
      <c r="AM1996" s="152"/>
      <c r="AN1996" s="152"/>
      <c r="AO1996" s="152"/>
      <c r="AP1996" s="152"/>
      <c r="AQ1996" s="152"/>
      <c r="AR1996" s="152"/>
      <c r="AS1996" s="152"/>
      <c r="AT1996" s="152"/>
      <c r="AU1996" s="153"/>
      <c r="AV1996" s="479"/>
      <c r="AW1996" s="479"/>
      <c r="AX1996" s="442"/>
      <c r="AY1996" s="153"/>
      <c r="AZ1996" s="152"/>
      <c r="BA1996" s="152"/>
      <c r="BB1996" s="152"/>
      <c r="BC1996" s="152"/>
      <c r="BD1996" s="152"/>
      <c r="BE1996" s="152"/>
      <c r="BF1996" s="152"/>
      <c r="BG1996" s="152"/>
      <c r="BH1996" s="152"/>
      <c r="BI1996" s="153"/>
      <c r="BJ1996" s="153"/>
      <c r="BK1996" s="153"/>
      <c r="BL1996" s="153"/>
      <c r="BM1996" s="153"/>
      <c r="BN1996" s="153"/>
      <c r="BO1996" s="153"/>
      <c r="BP1996" s="153"/>
      <c r="BQ1996" s="153"/>
      <c r="BR1996" s="153"/>
      <c r="BS1996" s="153"/>
      <c r="BT1996" s="153"/>
      <c r="BU1996" s="153"/>
      <c r="BV1996" s="153"/>
      <c r="BW1996" s="153"/>
      <c r="BX1996" s="153"/>
      <c r="BY1996" s="153"/>
      <c r="BZ1996" s="153"/>
      <c r="CA1996" s="152"/>
      <c r="CB1996" s="152"/>
    </row>
    <row r="1997" spans="1:80" s="87" customFormat="1" x14ac:dyDescent="0.2">
      <c r="A1997" s="152"/>
      <c r="B1997" s="683"/>
      <c r="C1997" s="683"/>
      <c r="D1997" s="698"/>
      <c r="E1997" s="215"/>
      <c r="F1997" s="215"/>
      <c r="G1997" s="153"/>
      <c r="H1997" s="153"/>
      <c r="I1997" s="163">
        <v>21</v>
      </c>
      <c r="J1997" s="163">
        <v>60</v>
      </c>
      <c r="K1997" s="86">
        <v>1</v>
      </c>
      <c r="L1997" s="656">
        <v>21</v>
      </c>
      <c r="M1997" s="662" t="s">
        <v>860</v>
      </c>
      <c r="N1997" s="600">
        <v>0.51529659999999999</v>
      </c>
      <c r="O1997" s="605">
        <v>2.561024E-4</v>
      </c>
      <c r="P1997" s="239"/>
      <c r="Q1997" s="240"/>
      <c r="R1997" s="243"/>
      <c r="S1997" s="119"/>
      <c r="T1997" s="119"/>
      <c r="U1997" s="119"/>
      <c r="V1997" s="731">
        <v>1</v>
      </c>
      <c r="W1997" s="737"/>
      <c r="X1997" s="733"/>
      <c r="Y1997" s="738"/>
      <c r="Z1997" s="109">
        <v>2.5</v>
      </c>
      <c r="AA1997" s="101">
        <v>0.52</v>
      </c>
      <c r="AB1997" s="152"/>
      <c r="AC1997" s="152"/>
      <c r="AD1997" s="244">
        <f>0.3048*20.7</f>
        <v>6.3093599999999999</v>
      </c>
      <c r="AE1997" s="244">
        <f>0.3048*0.74</f>
        <v>0.225552</v>
      </c>
      <c r="AF1997" s="244">
        <f>0.3048*0.3048*15.34</f>
        <v>1.4251326336000001</v>
      </c>
      <c r="AG1997" s="244">
        <f>0.3048*1.19</f>
        <v>0.36271199999999998</v>
      </c>
      <c r="AH1997" s="341"/>
      <c r="AI1997" s="218"/>
      <c r="AJ1997" s="218"/>
      <c r="AK1997" s="153"/>
      <c r="AL1997" s="152"/>
      <c r="AM1997" s="152"/>
      <c r="AN1997" s="152"/>
      <c r="AO1997" s="152"/>
      <c r="AP1997" s="152"/>
      <c r="AQ1997" s="152"/>
      <c r="AR1997" s="152"/>
      <c r="AS1997" s="152"/>
      <c r="AT1997" s="152"/>
      <c r="AU1997" s="153"/>
      <c r="AV1997" s="479"/>
      <c r="AW1997" s="479"/>
      <c r="AX1997" s="442"/>
      <c r="AY1997" s="153"/>
      <c r="AZ1997" s="152"/>
      <c r="BA1997" s="152"/>
      <c r="BB1997" s="152"/>
      <c r="BC1997" s="152"/>
      <c r="BD1997" s="152"/>
      <c r="BE1997" s="152"/>
      <c r="BF1997" s="152"/>
      <c r="BG1997" s="152"/>
      <c r="BH1997" s="152"/>
      <c r="BI1997" s="153"/>
      <c r="BJ1997" s="153"/>
      <c r="BK1997" s="153"/>
      <c r="BL1997" s="153"/>
      <c r="BM1997" s="153"/>
      <c r="BN1997" s="153"/>
      <c r="BO1997" s="153"/>
      <c r="BP1997" s="153"/>
      <c r="BQ1997" s="153"/>
      <c r="BR1997" s="153"/>
      <c r="BS1997" s="153"/>
      <c r="BT1997" s="153"/>
      <c r="BU1997" s="153"/>
      <c r="BV1997" s="153"/>
      <c r="BW1997" s="153"/>
      <c r="BX1997" s="153"/>
      <c r="BY1997" s="153"/>
      <c r="BZ1997" s="153"/>
      <c r="CA1997" s="152"/>
      <c r="CB1997" s="152"/>
    </row>
    <row r="1998" spans="1:80" s="87" customFormat="1" x14ac:dyDescent="0.2">
      <c r="A1998" s="152"/>
      <c r="B1998" s="683"/>
      <c r="C1998" s="683"/>
      <c r="D1998" s="698"/>
      <c r="E1998" s="215"/>
      <c r="F1998" s="215"/>
      <c r="G1998" s="153"/>
      <c r="H1998" s="153"/>
      <c r="I1998" s="163">
        <v>21</v>
      </c>
      <c r="J1998" s="163">
        <v>60</v>
      </c>
      <c r="K1998" s="86">
        <v>1</v>
      </c>
      <c r="L1998" s="656">
        <v>21</v>
      </c>
      <c r="M1998" s="662" t="s">
        <v>861</v>
      </c>
      <c r="N1998" s="600">
        <v>0.72481280000000003</v>
      </c>
      <c r="O1998" s="605">
        <v>1.637376E-4</v>
      </c>
      <c r="P1998" s="239"/>
      <c r="Q1998" s="240"/>
      <c r="R1998" s="243"/>
      <c r="S1998" s="119"/>
      <c r="T1998" s="119"/>
      <c r="U1998" s="119">
        <v>0.13</v>
      </c>
      <c r="V1998" s="731">
        <v>0.87</v>
      </c>
      <c r="W1998" s="737"/>
      <c r="X1998" s="733"/>
      <c r="Y1998" s="738"/>
      <c r="Z1998" s="109">
        <v>4</v>
      </c>
      <c r="AA1998" s="101">
        <v>0.55000000000000004</v>
      </c>
      <c r="AB1998" s="152"/>
      <c r="AC1998" s="152"/>
      <c r="AD1998" s="244">
        <f>0.3048*21</f>
        <v>6.4008000000000003</v>
      </c>
      <c r="AE1998" s="244">
        <f>0.3048*0.85</f>
        <v>0.25908000000000003</v>
      </c>
      <c r="AF1998" s="244">
        <f>0.3048*0.3048*17.81</f>
        <v>1.6546031424000001</v>
      </c>
      <c r="AG1998" s="244">
        <f>0.3048*1.39</f>
        <v>0.42367199999999999</v>
      </c>
      <c r="AH1998" s="341"/>
      <c r="AI1998" s="218"/>
      <c r="AJ1998" s="218"/>
      <c r="AK1998" s="153"/>
      <c r="AL1998" s="152"/>
      <c r="AM1998" s="152"/>
      <c r="AN1998" s="152"/>
      <c r="AO1998" s="152"/>
      <c r="AP1998" s="152"/>
      <c r="AQ1998" s="152"/>
      <c r="AR1998" s="152"/>
      <c r="AS1998" s="152"/>
      <c r="AT1998" s="152"/>
      <c r="AU1998" s="153"/>
      <c r="AV1998" s="479"/>
      <c r="AW1998" s="479"/>
      <c r="AX1998" s="442"/>
      <c r="AY1998" s="153"/>
      <c r="AZ1998" s="152"/>
      <c r="BA1998" s="152"/>
      <c r="BB1998" s="152"/>
      <c r="BC1998" s="152"/>
      <c r="BD1998" s="152"/>
      <c r="BE1998" s="152"/>
      <c r="BF1998" s="152"/>
      <c r="BG1998" s="152"/>
      <c r="BH1998" s="152"/>
      <c r="BI1998" s="153"/>
      <c r="BJ1998" s="153"/>
      <c r="BK1998" s="153"/>
      <c r="BL1998" s="153"/>
      <c r="BM1998" s="153"/>
      <c r="BN1998" s="153"/>
      <c r="BO1998" s="153"/>
      <c r="BP1998" s="153"/>
      <c r="BQ1998" s="153"/>
      <c r="BR1998" s="153"/>
      <c r="BS1998" s="153"/>
      <c r="BT1998" s="153"/>
      <c r="BU1998" s="153"/>
      <c r="BV1998" s="153"/>
      <c r="BW1998" s="153"/>
      <c r="BX1998" s="153"/>
      <c r="BY1998" s="153"/>
      <c r="BZ1998" s="153"/>
      <c r="CA1998" s="152"/>
      <c r="CB1998" s="152"/>
    </row>
    <row r="1999" spans="1:80" s="87" customFormat="1" x14ac:dyDescent="0.2">
      <c r="A1999" s="152"/>
      <c r="B1999" s="683"/>
      <c r="C1999" s="683"/>
      <c r="D1999" s="698"/>
      <c r="E1999" s="215"/>
      <c r="F1999" s="215"/>
      <c r="G1999" s="153"/>
      <c r="H1999" s="153"/>
      <c r="I1999" s="163">
        <v>21</v>
      </c>
      <c r="J1999" s="163">
        <v>60</v>
      </c>
      <c r="K1999" s="86">
        <v>1</v>
      </c>
      <c r="L1999" s="656">
        <v>21</v>
      </c>
      <c r="M1999" s="662" t="s">
        <v>861</v>
      </c>
      <c r="N1999" s="600">
        <v>0.72481280000000003</v>
      </c>
      <c r="O1999" s="605">
        <v>3.5896320000000003E-4</v>
      </c>
      <c r="P1999" s="239"/>
      <c r="Q1999" s="240"/>
      <c r="R1999" s="243"/>
      <c r="S1999" s="119"/>
      <c r="T1999" s="119"/>
      <c r="U1999" s="119"/>
      <c r="V1999" s="731">
        <v>1</v>
      </c>
      <c r="W1999" s="737"/>
      <c r="X1999" s="733"/>
      <c r="Y1999" s="738"/>
      <c r="Z1999" s="109">
        <v>2</v>
      </c>
      <c r="AA1999" s="101">
        <v>0.53</v>
      </c>
      <c r="AB1999" s="152"/>
      <c r="AC1999" s="152"/>
      <c r="AD1999" s="244">
        <f>0.3048*21</f>
        <v>6.4008000000000003</v>
      </c>
      <c r="AE1999" s="244">
        <f>0.3048*0.85</f>
        <v>0.25908000000000003</v>
      </c>
      <c r="AF1999" s="244">
        <f>0.3048*0.3048*17.81</f>
        <v>1.6546031424000001</v>
      </c>
      <c r="AG1999" s="244">
        <f>0.3048*1.39</f>
        <v>0.42367199999999999</v>
      </c>
      <c r="AH1999" s="341"/>
      <c r="AI1999" s="218"/>
      <c r="AJ1999" s="218"/>
      <c r="AK1999" s="153"/>
      <c r="AL1999" s="152"/>
      <c r="AM1999" s="152"/>
      <c r="AN1999" s="152"/>
      <c r="AO1999" s="152"/>
      <c r="AP1999" s="152"/>
      <c r="AQ1999" s="152"/>
      <c r="AR1999" s="152"/>
      <c r="AS1999" s="152"/>
      <c r="AT1999" s="152"/>
      <c r="AU1999" s="153"/>
      <c r="AV1999" s="479"/>
      <c r="AW1999" s="479"/>
      <c r="AX1999" s="442"/>
      <c r="AY1999" s="153"/>
      <c r="AZ1999" s="152"/>
      <c r="BA1999" s="152"/>
      <c r="BB1999" s="152"/>
      <c r="BC1999" s="152"/>
      <c r="BD1999" s="152"/>
      <c r="BE1999" s="152"/>
      <c r="BF1999" s="152"/>
      <c r="BG1999" s="152"/>
      <c r="BH1999" s="152"/>
      <c r="BI1999" s="153"/>
      <c r="BJ1999" s="153"/>
      <c r="BK1999" s="153"/>
      <c r="BL1999" s="153"/>
      <c r="BM1999" s="153"/>
      <c r="BN1999" s="153"/>
      <c r="BO1999" s="153"/>
      <c r="BP1999" s="153"/>
      <c r="BQ1999" s="153"/>
      <c r="BR1999" s="153"/>
      <c r="BS1999" s="153"/>
      <c r="BT1999" s="153"/>
      <c r="BU1999" s="153"/>
      <c r="BV1999" s="153"/>
      <c r="BW1999" s="153"/>
      <c r="BX1999" s="153"/>
      <c r="BY1999" s="153"/>
      <c r="BZ1999" s="153"/>
      <c r="CA1999" s="152"/>
      <c r="CB1999" s="152"/>
    </row>
    <row r="2000" spans="1:80" s="87" customFormat="1" x14ac:dyDescent="0.2">
      <c r="A2000" s="152"/>
      <c r="B2000" s="683"/>
      <c r="C2000" s="683"/>
      <c r="D2000" s="698"/>
      <c r="E2000" s="215"/>
      <c r="F2000" s="215"/>
      <c r="G2000" s="153"/>
      <c r="H2000" s="153"/>
      <c r="I2000" s="163">
        <v>21</v>
      </c>
      <c r="J2000" s="163">
        <v>60</v>
      </c>
      <c r="K2000" s="86">
        <v>1</v>
      </c>
      <c r="L2000" s="656">
        <v>21</v>
      </c>
      <c r="M2000" s="662" t="s">
        <v>862</v>
      </c>
      <c r="N2000" s="600">
        <v>1.2712536999999999</v>
      </c>
      <c r="O2000" s="605">
        <v>3.5161600000000004E-3</v>
      </c>
      <c r="P2000" s="239"/>
      <c r="Q2000" s="240"/>
      <c r="R2000" s="243"/>
      <c r="S2000" s="119"/>
      <c r="T2000" s="119">
        <v>2.9749692244562986E-2</v>
      </c>
      <c r="U2000" s="119">
        <v>7.468198604842019E-2</v>
      </c>
      <c r="V2000" s="731">
        <v>0.89556832170701672</v>
      </c>
      <c r="W2000" s="737"/>
      <c r="X2000" s="733"/>
      <c r="Y2000" s="738"/>
      <c r="Z2000" s="109">
        <v>8</v>
      </c>
      <c r="AA2000" s="101">
        <v>0.68</v>
      </c>
      <c r="AB2000" s="152"/>
      <c r="AC2000" s="152"/>
      <c r="AD2000" s="244">
        <f>0.3048*21.8</f>
        <v>6.6446400000000008</v>
      </c>
      <c r="AE2000" s="244">
        <f>0.3048*1.06</f>
        <v>0.32308800000000004</v>
      </c>
      <c r="AF2000" s="244">
        <f>0.3048*0.3048*23.17</f>
        <v>2.1525634368000004</v>
      </c>
      <c r="AG2000" s="244">
        <f>0.3048*1.98</f>
        <v>0.60350400000000004</v>
      </c>
      <c r="AH2000" s="341"/>
      <c r="AI2000" s="218"/>
      <c r="AJ2000" s="218"/>
      <c r="AK2000" s="153"/>
      <c r="AL2000" s="152"/>
      <c r="AM2000" s="152"/>
      <c r="AN2000" s="152"/>
      <c r="AO2000" s="152"/>
      <c r="AP2000" s="152"/>
      <c r="AQ2000" s="152"/>
      <c r="AR2000" s="152"/>
      <c r="AS2000" s="152"/>
      <c r="AT2000" s="152"/>
      <c r="AU2000" s="153"/>
      <c r="AV2000" s="479"/>
      <c r="AW2000" s="479"/>
      <c r="AX2000" s="442"/>
      <c r="AY2000" s="153"/>
      <c r="AZ2000" s="152"/>
      <c r="BA2000" s="152"/>
      <c r="BB2000" s="152"/>
      <c r="BC2000" s="152"/>
      <c r="BD2000" s="152"/>
      <c r="BE2000" s="152"/>
      <c r="BF2000" s="152"/>
      <c r="BG2000" s="152"/>
      <c r="BH2000" s="152"/>
      <c r="BI2000" s="153"/>
      <c r="BJ2000" s="153"/>
      <c r="BK2000" s="153"/>
      <c r="BL2000" s="153"/>
      <c r="BM2000" s="153"/>
      <c r="BN2000" s="153"/>
      <c r="BO2000" s="153"/>
      <c r="BP2000" s="153"/>
      <c r="BQ2000" s="153"/>
      <c r="BR2000" s="153"/>
      <c r="BS2000" s="153"/>
      <c r="BT2000" s="153"/>
      <c r="BU2000" s="153"/>
      <c r="BV2000" s="153"/>
      <c r="BW2000" s="153"/>
      <c r="BX2000" s="153"/>
      <c r="BY2000" s="153"/>
      <c r="BZ2000" s="153"/>
      <c r="CA2000" s="152"/>
      <c r="CB2000" s="152"/>
    </row>
    <row r="2001" spans="1:80" s="87" customFormat="1" x14ac:dyDescent="0.2">
      <c r="A2001" s="152"/>
      <c r="B2001" s="683"/>
      <c r="C2001" s="683"/>
      <c r="D2001" s="698"/>
      <c r="E2001" s="215"/>
      <c r="F2001" s="215"/>
      <c r="G2001" s="153"/>
      <c r="H2001" s="153"/>
      <c r="I2001" s="163">
        <v>21</v>
      </c>
      <c r="J2001" s="163">
        <v>60</v>
      </c>
      <c r="K2001" s="86">
        <v>1</v>
      </c>
      <c r="L2001" s="656">
        <v>21</v>
      </c>
      <c r="M2001" s="662" t="s">
        <v>862</v>
      </c>
      <c r="N2001" s="600">
        <v>1.2712536999999999</v>
      </c>
      <c r="O2001" s="605">
        <v>0</v>
      </c>
      <c r="P2001" s="239"/>
      <c r="Q2001" s="240"/>
      <c r="R2001" s="243"/>
      <c r="S2001" s="119"/>
      <c r="T2001" s="119">
        <v>3.2091561938958707E-2</v>
      </c>
      <c r="U2001" s="119">
        <v>7.7648114901256726E-2</v>
      </c>
      <c r="V2001" s="731">
        <v>0.89026032315978454</v>
      </c>
      <c r="W2001" s="737"/>
      <c r="X2001" s="733"/>
      <c r="Y2001" s="738"/>
      <c r="Z2001" s="109"/>
      <c r="AA2001" s="101">
        <v>0.69</v>
      </c>
      <c r="AB2001" s="152"/>
      <c r="AC2001" s="152"/>
      <c r="AD2001" s="244">
        <f>0.3048*21.8</f>
        <v>6.6446400000000008</v>
      </c>
      <c r="AE2001" s="244">
        <f>0.3048*1.06</f>
        <v>0.32308800000000004</v>
      </c>
      <c r="AF2001" s="244">
        <f>0.3048*0.3048*23.17</f>
        <v>2.1525634368000004</v>
      </c>
      <c r="AG2001" s="244">
        <f>0.3048*1.98</f>
        <v>0.60350400000000004</v>
      </c>
      <c r="AH2001" s="341"/>
      <c r="AI2001" s="218"/>
      <c r="AJ2001" s="218"/>
      <c r="AK2001" s="153"/>
      <c r="AL2001" s="152"/>
      <c r="AM2001" s="152"/>
      <c r="AN2001" s="152"/>
      <c r="AO2001" s="152"/>
      <c r="AP2001" s="152"/>
      <c r="AQ2001" s="152"/>
      <c r="AR2001" s="152"/>
      <c r="AS2001" s="152"/>
      <c r="AT2001" s="152"/>
      <c r="AU2001" s="153"/>
      <c r="AV2001" s="479"/>
      <c r="AW2001" s="479"/>
      <c r="AX2001" s="442"/>
      <c r="AY2001" s="153"/>
      <c r="AZ2001" s="152"/>
      <c r="BA2001" s="152"/>
      <c r="BB2001" s="152"/>
      <c r="BC2001" s="152"/>
      <c r="BD2001" s="152"/>
      <c r="BE2001" s="152"/>
      <c r="BF2001" s="152"/>
      <c r="BG2001" s="152"/>
      <c r="BH2001" s="152"/>
      <c r="BI2001" s="153"/>
      <c r="BJ2001" s="153"/>
      <c r="BK2001" s="153"/>
      <c r="BL2001" s="153"/>
      <c r="BM2001" s="153"/>
      <c r="BN2001" s="153"/>
      <c r="BO2001" s="153"/>
      <c r="BP2001" s="153"/>
      <c r="BQ2001" s="153"/>
      <c r="BR2001" s="153"/>
      <c r="BS2001" s="153"/>
      <c r="BT2001" s="153"/>
      <c r="BU2001" s="153"/>
      <c r="BV2001" s="153"/>
      <c r="BW2001" s="153"/>
      <c r="BX2001" s="153"/>
      <c r="BY2001" s="153"/>
      <c r="BZ2001" s="153"/>
      <c r="CA2001" s="152"/>
      <c r="CB2001" s="152"/>
    </row>
    <row r="2002" spans="1:80" s="87" customFormat="1" x14ac:dyDescent="0.2">
      <c r="A2002" s="152"/>
      <c r="B2002" s="683"/>
      <c r="C2002" s="683"/>
      <c r="D2002" s="698"/>
      <c r="E2002" s="215"/>
      <c r="F2002" s="215"/>
      <c r="G2002" s="153"/>
      <c r="H2002" s="153"/>
      <c r="I2002" s="163">
        <v>22</v>
      </c>
      <c r="J2002" s="163">
        <v>60</v>
      </c>
      <c r="K2002" s="86">
        <v>1</v>
      </c>
      <c r="L2002" s="656">
        <v>22</v>
      </c>
      <c r="M2002" s="662" t="s">
        <v>863</v>
      </c>
      <c r="N2002" s="600">
        <v>1.9337778999999999</v>
      </c>
      <c r="O2002" s="605">
        <v>5.0485759999999999E-3</v>
      </c>
      <c r="P2002" s="239"/>
      <c r="Q2002" s="240"/>
      <c r="R2002" s="243"/>
      <c r="S2002" s="119">
        <v>2.5000000000000001E-2</v>
      </c>
      <c r="T2002" s="119">
        <v>8.7605451005840357E-3</v>
      </c>
      <c r="U2002" s="119">
        <v>4.1531473069435429E-2</v>
      </c>
      <c r="V2002" s="731">
        <v>0.92439974042829332</v>
      </c>
      <c r="W2002" s="737"/>
      <c r="X2002" s="733"/>
      <c r="Y2002" s="738"/>
      <c r="Z2002" s="109">
        <v>9.5</v>
      </c>
      <c r="AA2002" s="101">
        <v>0.59</v>
      </c>
      <c r="AB2002" s="152"/>
      <c r="AC2002" s="152"/>
      <c r="AD2002" s="244">
        <f>0.3048*24.7</f>
        <v>7.5285600000000006</v>
      </c>
      <c r="AE2002" s="244">
        <f>0.3048*1.12</f>
        <v>0.34137600000000007</v>
      </c>
      <c r="AF2002" s="244">
        <f>0.3048*0.3048*27.72</f>
        <v>2.5752722688</v>
      </c>
      <c r="AG2002" s="244">
        <f>0.3048*2.49</f>
        <v>0.75895200000000007</v>
      </c>
      <c r="AH2002" s="341"/>
      <c r="AI2002" s="218"/>
      <c r="AJ2002" s="218"/>
      <c r="AK2002" s="153"/>
      <c r="AL2002" s="152"/>
      <c r="AM2002" s="152"/>
      <c r="AN2002" s="152"/>
      <c r="AO2002" s="152"/>
      <c r="AP2002" s="152"/>
      <c r="AQ2002" s="152"/>
      <c r="AR2002" s="152"/>
      <c r="AS2002" s="152"/>
      <c r="AT2002" s="152"/>
      <c r="AU2002" s="153"/>
      <c r="AV2002" s="479"/>
      <c r="AW2002" s="479"/>
      <c r="AX2002" s="442"/>
      <c r="AY2002" s="153"/>
      <c r="AZ2002" s="152"/>
      <c r="BA2002" s="152"/>
      <c r="BB2002" s="152"/>
      <c r="BC2002" s="152"/>
      <c r="BD2002" s="152"/>
      <c r="BE2002" s="152"/>
      <c r="BF2002" s="152"/>
      <c r="BG2002" s="152"/>
      <c r="BH2002" s="152"/>
      <c r="BI2002" s="153"/>
      <c r="BJ2002" s="153"/>
      <c r="BK2002" s="153"/>
      <c r="BL2002" s="153"/>
      <c r="BM2002" s="153"/>
      <c r="BN2002" s="153"/>
      <c r="BO2002" s="153"/>
      <c r="BP2002" s="153"/>
      <c r="BQ2002" s="153"/>
      <c r="BR2002" s="153"/>
      <c r="BS2002" s="153"/>
      <c r="BT2002" s="153"/>
      <c r="BU2002" s="153"/>
      <c r="BV2002" s="153"/>
      <c r="BW2002" s="153"/>
      <c r="BX2002" s="153"/>
      <c r="BY2002" s="153"/>
      <c r="BZ2002" s="153"/>
      <c r="CA2002" s="152"/>
      <c r="CB2002" s="152"/>
    </row>
    <row r="2003" spans="1:80" s="87" customFormat="1" x14ac:dyDescent="0.2">
      <c r="A2003" s="152"/>
      <c r="B2003" s="683"/>
      <c r="C2003" s="683"/>
      <c r="D2003" s="698"/>
      <c r="E2003" s="215"/>
      <c r="F2003" s="215"/>
      <c r="G2003" s="153"/>
      <c r="H2003" s="153"/>
      <c r="I2003" s="163">
        <v>22</v>
      </c>
      <c r="J2003" s="163">
        <v>60</v>
      </c>
      <c r="K2003" s="86">
        <v>1</v>
      </c>
      <c r="L2003" s="656">
        <v>22</v>
      </c>
      <c r="M2003" s="662" t="s">
        <v>863</v>
      </c>
      <c r="N2003" s="600">
        <v>1.9337778999999999</v>
      </c>
      <c r="O2003" s="605">
        <v>1.973248E-2</v>
      </c>
      <c r="P2003" s="239"/>
      <c r="Q2003" s="240"/>
      <c r="R2003" s="245" t="s">
        <v>29</v>
      </c>
      <c r="S2003" s="119">
        <v>2.5308241401687213E-2</v>
      </c>
      <c r="T2003" s="119">
        <v>6.7261060956502292E-2</v>
      </c>
      <c r="U2003" s="119">
        <v>0.10583451466089684</v>
      </c>
      <c r="V2003" s="731">
        <v>0.59165858389912718</v>
      </c>
      <c r="W2003" s="737"/>
      <c r="X2003" s="733"/>
      <c r="Y2003" s="738"/>
      <c r="Z2003" s="109">
        <v>36.5</v>
      </c>
      <c r="AA2003" s="101">
        <v>1.39</v>
      </c>
      <c r="AB2003" s="152"/>
      <c r="AC2003" s="152"/>
      <c r="AD2003" s="244">
        <f>0.3048*24.7</f>
        <v>7.5285600000000006</v>
      </c>
      <c r="AE2003" s="244">
        <f>0.3048*1.12</f>
        <v>0.34137600000000007</v>
      </c>
      <c r="AF2003" s="244">
        <f>0.3048*0.3048*27.72</f>
        <v>2.5752722688</v>
      </c>
      <c r="AG2003" s="244">
        <f>0.3048*2.49</f>
        <v>0.75895200000000007</v>
      </c>
      <c r="AH2003" s="341"/>
      <c r="AI2003" s="218"/>
      <c r="AJ2003" s="218"/>
      <c r="AK2003" s="153"/>
      <c r="AL2003" s="152"/>
      <c r="AM2003" s="152"/>
      <c r="AN2003" s="152"/>
      <c r="AO2003" s="152"/>
      <c r="AP2003" s="152"/>
      <c r="AQ2003" s="152"/>
      <c r="AR2003" s="152"/>
      <c r="AS2003" s="152"/>
      <c r="AT2003" s="152"/>
      <c r="AU2003" s="153"/>
      <c r="AV2003" s="479"/>
      <c r="AW2003" s="479"/>
      <c r="AX2003" s="442"/>
      <c r="AY2003" s="153"/>
      <c r="AZ2003" s="152"/>
      <c r="BA2003" s="152"/>
      <c r="BB2003" s="152"/>
      <c r="BC2003" s="152"/>
      <c r="BD2003" s="152"/>
      <c r="BE2003" s="152"/>
      <c r="BF2003" s="152"/>
      <c r="BG2003" s="152"/>
      <c r="BH2003" s="152"/>
      <c r="BI2003" s="153"/>
      <c r="BJ2003" s="153"/>
      <c r="BK2003" s="153"/>
      <c r="BL2003" s="153"/>
      <c r="BM2003" s="153"/>
      <c r="BN2003" s="153"/>
      <c r="BO2003" s="153"/>
      <c r="BP2003" s="153"/>
      <c r="BQ2003" s="153"/>
      <c r="BR2003" s="153"/>
      <c r="BS2003" s="153"/>
      <c r="BT2003" s="153"/>
      <c r="BU2003" s="153"/>
      <c r="BV2003" s="153"/>
      <c r="BW2003" s="153"/>
      <c r="BX2003" s="153"/>
      <c r="BY2003" s="153"/>
      <c r="BZ2003" s="153"/>
      <c r="CA2003" s="152"/>
      <c r="CB2003" s="152"/>
    </row>
    <row r="2004" spans="1:80" s="87" customFormat="1" x14ac:dyDescent="0.2">
      <c r="A2004" s="152"/>
      <c r="B2004" s="683"/>
      <c r="C2004" s="683"/>
      <c r="D2004" s="698"/>
      <c r="E2004" s="215"/>
      <c r="F2004" s="215"/>
      <c r="G2004" s="153"/>
      <c r="H2004" s="153"/>
      <c r="I2004" s="163">
        <v>22</v>
      </c>
      <c r="J2004" s="163">
        <v>60</v>
      </c>
      <c r="K2004" s="86">
        <v>1</v>
      </c>
      <c r="L2004" s="656">
        <v>22</v>
      </c>
      <c r="M2004" s="662" t="s">
        <v>864</v>
      </c>
      <c r="N2004" s="600">
        <v>2.3782920000000001</v>
      </c>
      <c r="O2004" s="605">
        <v>1.9837439999999998E-2</v>
      </c>
      <c r="P2004" s="239"/>
      <c r="Q2004" s="246"/>
      <c r="R2004" s="245"/>
      <c r="S2004" s="119">
        <f>5.26%+1.65%</f>
        <v>6.9099999999999995E-2</v>
      </c>
      <c r="T2004" s="119">
        <v>6.3410882522591805E-2</v>
      </c>
      <c r="U2004" s="119">
        <v>0.12978273408959815</v>
      </c>
      <c r="V2004" s="731">
        <v>0.73770428763699281</v>
      </c>
      <c r="W2004" s="737"/>
      <c r="X2004" s="733"/>
      <c r="Y2004" s="738"/>
      <c r="Z2004" s="109">
        <v>15</v>
      </c>
      <c r="AA2004" s="101">
        <v>1.01</v>
      </c>
      <c r="AB2004" s="152"/>
      <c r="AC2004" s="152"/>
      <c r="AD2004" s="244">
        <f>0.3048*25.7</f>
        <v>7.8333599999999999</v>
      </c>
      <c r="AE2004" s="244">
        <f>0.3048*1.22</f>
        <v>0.37185600000000002</v>
      </c>
      <c r="AF2004" s="244">
        <f>0.3048*0.3048*31.38</f>
        <v>2.9152973952000001</v>
      </c>
      <c r="AG2004" s="244">
        <f>0.3048*2.48</f>
        <v>0.75590400000000002</v>
      </c>
      <c r="AH2004" s="341"/>
      <c r="AI2004" s="218"/>
      <c r="AJ2004" s="218"/>
      <c r="AK2004" s="153"/>
      <c r="AL2004" s="152"/>
      <c r="AM2004" s="152"/>
      <c r="AN2004" s="152"/>
      <c r="AO2004" s="152"/>
      <c r="AP2004" s="152"/>
      <c r="AQ2004" s="152"/>
      <c r="AR2004" s="152"/>
      <c r="AS2004" s="152"/>
      <c r="AT2004" s="152"/>
      <c r="AU2004" s="153"/>
      <c r="AV2004" s="479"/>
      <c r="AW2004" s="479"/>
      <c r="AX2004" s="442"/>
      <c r="AY2004" s="153"/>
      <c r="AZ2004" s="152"/>
      <c r="BA2004" s="152"/>
      <c r="BB2004" s="152"/>
      <c r="BC2004" s="152"/>
      <c r="BD2004" s="152"/>
      <c r="BE2004" s="152"/>
      <c r="BF2004" s="152"/>
      <c r="BG2004" s="152"/>
      <c r="BH2004" s="152"/>
      <c r="BI2004" s="153"/>
      <c r="BJ2004" s="153"/>
      <c r="BK2004" s="153"/>
      <c r="BL2004" s="153"/>
      <c r="BM2004" s="153"/>
      <c r="BN2004" s="153"/>
      <c r="BO2004" s="153"/>
      <c r="BP2004" s="153"/>
      <c r="BQ2004" s="153"/>
      <c r="BR2004" s="153"/>
      <c r="BS2004" s="153"/>
      <c r="BT2004" s="153"/>
      <c r="BU2004" s="153"/>
      <c r="BV2004" s="153"/>
      <c r="BW2004" s="153"/>
      <c r="BX2004" s="153"/>
      <c r="BY2004" s="153"/>
      <c r="BZ2004" s="153"/>
      <c r="CA2004" s="152"/>
      <c r="CB2004" s="152"/>
    </row>
    <row r="2005" spans="1:80" s="87" customFormat="1" x14ac:dyDescent="0.2">
      <c r="A2005" s="152"/>
      <c r="B2005" s="683"/>
      <c r="C2005" s="683"/>
      <c r="D2005" s="698"/>
      <c r="E2005" s="215"/>
      <c r="F2005" s="215"/>
      <c r="G2005" s="153"/>
      <c r="H2005" s="153"/>
      <c r="I2005" s="163">
        <v>22</v>
      </c>
      <c r="J2005" s="163">
        <v>60</v>
      </c>
      <c r="K2005" s="86">
        <v>1</v>
      </c>
      <c r="L2005" s="656">
        <v>22</v>
      </c>
      <c r="M2005" s="662" t="s">
        <v>864</v>
      </c>
      <c r="N2005" s="600">
        <v>2.3782920000000001</v>
      </c>
      <c r="O2005" s="605">
        <v>1.52192E-2</v>
      </c>
      <c r="P2005" s="239"/>
      <c r="Q2005" s="246"/>
      <c r="R2005" s="247">
        <v>3.6999999999999998E-2</v>
      </c>
      <c r="S2005" s="119">
        <v>9.4799999999999995E-2</v>
      </c>
      <c r="T2005" s="119">
        <v>7.3948911639002107E-2</v>
      </c>
      <c r="U2005" s="119">
        <v>9.4125832422224442E-2</v>
      </c>
      <c r="V2005" s="731">
        <v>0.69973163701421337</v>
      </c>
      <c r="W2005" s="737"/>
      <c r="X2005" s="733"/>
      <c r="Y2005" s="738"/>
      <c r="Z2005" s="109">
        <v>23</v>
      </c>
      <c r="AA2005" s="101">
        <v>0.99</v>
      </c>
      <c r="AB2005" s="152"/>
      <c r="AC2005" s="152"/>
      <c r="AD2005" s="244">
        <f>0.3048*25.7</f>
        <v>7.8333599999999999</v>
      </c>
      <c r="AE2005" s="244">
        <f>0.3048*1.22</f>
        <v>0.37185600000000002</v>
      </c>
      <c r="AF2005" s="244">
        <f>0.3048*0.3048*31.38</f>
        <v>2.9152973952000001</v>
      </c>
      <c r="AG2005" s="244">
        <f>0.3048*2.48</f>
        <v>0.75590400000000002</v>
      </c>
      <c r="AH2005" s="341"/>
      <c r="AI2005" s="218"/>
      <c r="AJ2005" s="218"/>
      <c r="AK2005" s="153"/>
      <c r="AL2005" s="152"/>
      <c r="AM2005" s="152"/>
      <c r="AN2005" s="152"/>
      <c r="AO2005" s="152"/>
      <c r="AP2005" s="152"/>
      <c r="AQ2005" s="152"/>
      <c r="AR2005" s="152"/>
      <c r="AS2005" s="152"/>
      <c r="AT2005" s="152"/>
      <c r="AU2005" s="153"/>
      <c r="AV2005" s="479"/>
      <c r="AW2005" s="479"/>
      <c r="AX2005" s="442"/>
      <c r="AY2005" s="153"/>
      <c r="AZ2005" s="152"/>
      <c r="BA2005" s="152"/>
      <c r="BB2005" s="152"/>
      <c r="BC2005" s="152"/>
      <c r="BD2005" s="152"/>
      <c r="BE2005" s="152"/>
      <c r="BF2005" s="152"/>
      <c r="BG2005" s="152"/>
      <c r="BH2005" s="152"/>
      <c r="BI2005" s="153"/>
      <c r="BJ2005" s="153"/>
      <c r="BK2005" s="153"/>
      <c r="BL2005" s="153"/>
      <c r="BM2005" s="153"/>
      <c r="BN2005" s="153"/>
      <c r="BO2005" s="153"/>
      <c r="BP2005" s="153"/>
      <c r="BQ2005" s="153"/>
      <c r="BR2005" s="153"/>
      <c r="BS2005" s="153"/>
      <c r="BT2005" s="153"/>
      <c r="BU2005" s="153"/>
      <c r="BV2005" s="153"/>
      <c r="BW2005" s="153"/>
      <c r="BX2005" s="153"/>
      <c r="BY2005" s="153"/>
      <c r="BZ2005" s="153"/>
      <c r="CA2005" s="152"/>
      <c r="CB2005" s="152"/>
    </row>
    <row r="2006" spans="1:80" s="87" customFormat="1" x14ac:dyDescent="0.2">
      <c r="A2006" s="152"/>
      <c r="B2006" s="683"/>
      <c r="C2006" s="683"/>
      <c r="D2006" s="698"/>
      <c r="E2006" s="215"/>
      <c r="F2006" s="215"/>
      <c r="G2006" s="153"/>
      <c r="H2006" s="153"/>
      <c r="I2006" s="163">
        <v>21</v>
      </c>
      <c r="J2006" s="163">
        <v>60</v>
      </c>
      <c r="K2006" s="86">
        <v>1</v>
      </c>
      <c r="L2006" s="656">
        <v>21</v>
      </c>
      <c r="M2006" s="662" t="s">
        <v>865</v>
      </c>
      <c r="N2006" s="600">
        <v>2.1461253999999998</v>
      </c>
      <c r="O2006" s="605">
        <v>1.332992E-2</v>
      </c>
      <c r="P2006" s="239"/>
      <c r="Q2006" s="246"/>
      <c r="R2006" s="245"/>
      <c r="S2006" s="119">
        <v>9.0999999999999998E-2</v>
      </c>
      <c r="T2006" s="119">
        <v>0.16947162426614482</v>
      </c>
      <c r="U2006" s="119">
        <v>0.14116112198303976</v>
      </c>
      <c r="V2006" s="731">
        <v>0.59863013698630141</v>
      </c>
      <c r="W2006" s="737"/>
      <c r="X2006" s="733"/>
      <c r="Y2006" s="738"/>
      <c r="Z2006" s="109">
        <v>21.5</v>
      </c>
      <c r="AA2006" s="101">
        <v>1.32</v>
      </c>
      <c r="AB2006" s="152"/>
      <c r="AC2006" s="152"/>
      <c r="AD2006" s="244">
        <f>0.3048*25.5</f>
        <v>7.7724000000000002</v>
      </c>
      <c r="AE2006" s="244">
        <f>0.3048*1.11</f>
        <v>0.33832800000000007</v>
      </c>
      <c r="AF2006" s="244">
        <f>0.3048*0.3048*28.33</f>
        <v>2.6319431232000001</v>
      </c>
      <c r="AG2006" s="244">
        <f>0.3048*2.65</f>
        <v>0.80771999999999999</v>
      </c>
      <c r="AH2006" s="341"/>
      <c r="AI2006" s="218"/>
      <c r="AJ2006" s="218"/>
      <c r="AK2006" s="153"/>
      <c r="AL2006" s="152"/>
      <c r="AM2006" s="152"/>
      <c r="AN2006" s="152"/>
      <c r="AO2006" s="152"/>
      <c r="AP2006" s="152"/>
      <c r="AQ2006" s="152"/>
      <c r="AR2006" s="152"/>
      <c r="AS2006" s="152"/>
      <c r="AT2006" s="152"/>
      <c r="AU2006" s="153"/>
      <c r="AV2006" s="479"/>
      <c r="AW2006" s="479"/>
      <c r="AX2006" s="442"/>
      <c r="AY2006" s="153"/>
      <c r="AZ2006" s="152"/>
      <c r="BA2006" s="152"/>
      <c r="BB2006" s="152"/>
      <c r="BC2006" s="152"/>
      <c r="BD2006" s="152"/>
      <c r="BE2006" s="152"/>
      <c r="BF2006" s="152"/>
      <c r="BG2006" s="152"/>
      <c r="BH2006" s="152"/>
      <c r="BI2006" s="153"/>
      <c r="BJ2006" s="153"/>
      <c r="BK2006" s="153"/>
      <c r="BL2006" s="153"/>
      <c r="BM2006" s="153"/>
      <c r="BN2006" s="153"/>
      <c r="BO2006" s="153"/>
      <c r="BP2006" s="153"/>
      <c r="BQ2006" s="153"/>
      <c r="BR2006" s="153"/>
      <c r="BS2006" s="153"/>
      <c r="BT2006" s="153"/>
      <c r="BU2006" s="153"/>
      <c r="BV2006" s="153"/>
      <c r="BW2006" s="153"/>
      <c r="BX2006" s="153"/>
      <c r="BY2006" s="153"/>
      <c r="BZ2006" s="153"/>
      <c r="CA2006" s="152"/>
      <c r="CB2006" s="152"/>
    </row>
    <row r="2007" spans="1:80" s="87" customFormat="1" x14ac:dyDescent="0.2">
      <c r="A2007" s="152"/>
      <c r="B2007" s="683"/>
      <c r="C2007" s="683"/>
      <c r="D2007" s="698"/>
      <c r="E2007" s="215"/>
      <c r="F2007" s="215"/>
      <c r="G2007" s="153"/>
      <c r="H2007" s="153"/>
      <c r="I2007" s="163">
        <v>21</v>
      </c>
      <c r="J2007" s="163">
        <v>60</v>
      </c>
      <c r="K2007" s="86">
        <v>1</v>
      </c>
      <c r="L2007" s="656">
        <v>21</v>
      </c>
      <c r="M2007" s="662" t="s">
        <v>865</v>
      </c>
      <c r="N2007" s="600">
        <v>2.1461253999999998</v>
      </c>
      <c r="O2007" s="605">
        <v>1.3224960000000001E-2</v>
      </c>
      <c r="P2007" s="239"/>
      <c r="Q2007" s="246"/>
      <c r="R2007" s="245"/>
      <c r="S2007" s="119">
        <v>3.5000000000000003E-2</v>
      </c>
      <c r="T2007" s="119">
        <v>0.10769811795807892</v>
      </c>
      <c r="U2007" s="119">
        <v>0.17819600931579274</v>
      </c>
      <c r="V2007" s="731">
        <v>0.6787939825014162</v>
      </c>
      <c r="W2007" s="737"/>
      <c r="X2007" s="733"/>
      <c r="Y2007" s="738"/>
      <c r="Z2007" s="109">
        <v>13</v>
      </c>
      <c r="AA2007" s="101">
        <v>1.3</v>
      </c>
      <c r="AB2007" s="152"/>
      <c r="AC2007" s="152"/>
      <c r="AD2007" s="244">
        <f>0.3048*25.5</f>
        <v>7.7724000000000002</v>
      </c>
      <c r="AE2007" s="244">
        <f>0.3048*1.11</f>
        <v>0.33832800000000007</v>
      </c>
      <c r="AF2007" s="244">
        <f>0.3048*0.3048*28.33</f>
        <v>2.6319431232000001</v>
      </c>
      <c r="AG2007" s="244">
        <f>0.3048*2.65</f>
        <v>0.80771999999999999</v>
      </c>
      <c r="AH2007" s="341"/>
      <c r="AI2007" s="218"/>
      <c r="AJ2007" s="218"/>
      <c r="AK2007" s="153"/>
      <c r="AL2007" s="152"/>
      <c r="AM2007" s="152"/>
      <c r="AN2007" s="152"/>
      <c r="AO2007" s="152"/>
      <c r="AP2007" s="152"/>
      <c r="AQ2007" s="152"/>
      <c r="AR2007" s="152"/>
      <c r="AS2007" s="152"/>
      <c r="AT2007" s="152"/>
      <c r="AU2007" s="153"/>
      <c r="AV2007" s="479"/>
      <c r="AW2007" s="479"/>
      <c r="AX2007" s="442"/>
      <c r="AY2007" s="153"/>
      <c r="AZ2007" s="152"/>
      <c r="BA2007" s="152"/>
      <c r="BB2007" s="152"/>
      <c r="BC2007" s="152"/>
      <c r="BD2007" s="152"/>
      <c r="BE2007" s="152"/>
      <c r="BF2007" s="152"/>
      <c r="BG2007" s="152"/>
      <c r="BH2007" s="152"/>
      <c r="BI2007" s="153"/>
      <c r="BJ2007" s="153"/>
      <c r="BK2007" s="153"/>
      <c r="BL2007" s="153"/>
      <c r="BM2007" s="153"/>
      <c r="BN2007" s="153"/>
      <c r="BO2007" s="153"/>
      <c r="BP2007" s="153"/>
      <c r="BQ2007" s="153"/>
      <c r="BR2007" s="153"/>
      <c r="BS2007" s="153"/>
      <c r="BT2007" s="153"/>
      <c r="BU2007" s="153"/>
      <c r="BV2007" s="153"/>
      <c r="BW2007" s="153"/>
      <c r="BX2007" s="153"/>
      <c r="BY2007" s="153"/>
      <c r="BZ2007" s="153"/>
      <c r="CA2007" s="152"/>
      <c r="CB2007" s="152"/>
    </row>
    <row r="2008" spans="1:80" s="87" customFormat="1" x14ac:dyDescent="0.2">
      <c r="A2008" s="152"/>
      <c r="B2008" s="683"/>
      <c r="C2008" s="683"/>
      <c r="D2008" s="698"/>
      <c r="E2008" s="215"/>
      <c r="F2008" s="215"/>
      <c r="G2008" s="153"/>
      <c r="H2008" s="153"/>
      <c r="I2008" s="163">
        <v>22</v>
      </c>
      <c r="J2008" s="163">
        <v>60</v>
      </c>
      <c r="K2008" s="86">
        <v>1</v>
      </c>
      <c r="L2008" s="656">
        <v>22</v>
      </c>
      <c r="M2008" s="662" t="s">
        <v>866</v>
      </c>
      <c r="N2008" s="600">
        <v>1.7440808000000001</v>
      </c>
      <c r="O2008" s="605">
        <v>3.9674879999999999E-3</v>
      </c>
      <c r="P2008" s="239"/>
      <c r="Q2008" s="246"/>
      <c r="R2008" s="245"/>
      <c r="S2008" s="119"/>
      <c r="T2008" s="119">
        <v>3.2875652678398766E-2</v>
      </c>
      <c r="U2008" s="119">
        <v>0.11216399149100754</v>
      </c>
      <c r="V2008" s="731">
        <v>0.85496035583059371</v>
      </c>
      <c r="W2008" s="737"/>
      <c r="X2008" s="733"/>
      <c r="Y2008" s="738"/>
      <c r="Z2008" s="109">
        <v>5</v>
      </c>
      <c r="AA2008" s="101">
        <v>0.68</v>
      </c>
      <c r="AB2008" s="152"/>
      <c r="AC2008" s="152"/>
      <c r="AD2008" s="244">
        <f>0.3048*22.9</f>
        <v>6.9799199999999999</v>
      </c>
      <c r="AE2008" s="244">
        <f>0.3048*1.13</f>
        <v>0.34442400000000001</v>
      </c>
      <c r="AF2008" s="244">
        <f>0.3048*0.3048*25.89</f>
        <v>2.4052597056000002</v>
      </c>
      <c r="AG2008" s="244">
        <f>0.3048*2.31</f>
        <v>0.70408800000000005</v>
      </c>
      <c r="AH2008" s="341"/>
      <c r="AI2008" s="218"/>
      <c r="AJ2008" s="218"/>
      <c r="AK2008" s="153"/>
      <c r="AL2008" s="152"/>
      <c r="AM2008" s="152"/>
      <c r="AN2008" s="152"/>
      <c r="AO2008" s="152"/>
      <c r="AP2008" s="152"/>
      <c r="AQ2008" s="152"/>
      <c r="AR2008" s="152"/>
      <c r="AS2008" s="152"/>
      <c r="AT2008" s="152"/>
      <c r="AU2008" s="153"/>
      <c r="AV2008" s="479"/>
      <c r="AW2008" s="479"/>
      <c r="AX2008" s="442"/>
      <c r="AY2008" s="153"/>
      <c r="AZ2008" s="152"/>
      <c r="BA2008" s="152"/>
      <c r="BB2008" s="152"/>
      <c r="BC2008" s="152"/>
      <c r="BD2008" s="152"/>
      <c r="BE2008" s="152"/>
      <c r="BF2008" s="152"/>
      <c r="BG2008" s="152"/>
      <c r="BH2008" s="152"/>
      <c r="BI2008" s="153"/>
      <c r="BJ2008" s="153"/>
      <c r="BK2008" s="153"/>
      <c r="BL2008" s="153"/>
      <c r="BM2008" s="153"/>
      <c r="BN2008" s="153"/>
      <c r="BO2008" s="153"/>
      <c r="BP2008" s="153"/>
      <c r="BQ2008" s="153"/>
      <c r="BR2008" s="153"/>
      <c r="BS2008" s="153"/>
      <c r="BT2008" s="153"/>
      <c r="BU2008" s="153"/>
      <c r="BV2008" s="153"/>
      <c r="BW2008" s="153"/>
      <c r="BX2008" s="153"/>
      <c r="BY2008" s="153"/>
      <c r="BZ2008" s="153"/>
      <c r="CA2008" s="152"/>
      <c r="CB2008" s="152"/>
    </row>
    <row r="2009" spans="1:80" s="87" customFormat="1" x14ac:dyDescent="0.2">
      <c r="A2009" s="152"/>
      <c r="B2009" s="683"/>
      <c r="C2009" s="683"/>
      <c r="D2009" s="698"/>
      <c r="E2009" s="215"/>
      <c r="F2009" s="215"/>
      <c r="G2009" s="153"/>
      <c r="H2009" s="153"/>
      <c r="I2009" s="163">
        <v>22</v>
      </c>
      <c r="J2009" s="163">
        <v>60</v>
      </c>
      <c r="K2009" s="86">
        <v>1</v>
      </c>
      <c r="L2009" s="656">
        <v>22</v>
      </c>
      <c r="M2009" s="662" t="s">
        <v>866</v>
      </c>
      <c r="N2009" s="600">
        <v>1.7440808000000001</v>
      </c>
      <c r="O2009" s="605">
        <v>1.4169600000000001E-2</v>
      </c>
      <c r="P2009" s="239"/>
      <c r="Q2009" s="246"/>
      <c r="R2009" s="245"/>
      <c r="S2009" s="119">
        <v>5.8999999999999997E-2</v>
      </c>
      <c r="T2009" s="119">
        <v>0.18249144491547065</v>
      </c>
      <c r="U2009" s="119">
        <v>0.28310945400684401</v>
      </c>
      <c r="V2009" s="731">
        <v>0.47571377496297051</v>
      </c>
      <c r="W2009" s="737"/>
      <c r="X2009" s="733"/>
      <c r="Y2009" s="738"/>
      <c r="Z2009" s="109">
        <v>19.5</v>
      </c>
      <c r="AA2009" s="101">
        <v>2.13</v>
      </c>
      <c r="AB2009" s="152"/>
      <c r="AC2009" s="152"/>
      <c r="AD2009" s="244">
        <f>0.3048*22.9</f>
        <v>6.9799199999999999</v>
      </c>
      <c r="AE2009" s="244">
        <f>0.3048*1.13</f>
        <v>0.34442400000000001</v>
      </c>
      <c r="AF2009" s="244">
        <f>0.3048*0.3048*25.89</f>
        <v>2.4052597056000002</v>
      </c>
      <c r="AG2009" s="244">
        <f>0.3048*2.31</f>
        <v>0.70408800000000005</v>
      </c>
      <c r="AH2009" s="341"/>
      <c r="AI2009" s="218"/>
      <c r="AJ2009" s="218"/>
      <c r="AK2009" s="153"/>
      <c r="AL2009" s="152"/>
      <c r="AM2009" s="152"/>
      <c r="AN2009" s="152"/>
      <c r="AO2009" s="152"/>
      <c r="AP2009" s="152"/>
      <c r="AQ2009" s="152"/>
      <c r="AR2009" s="152"/>
      <c r="AS2009" s="152"/>
      <c r="AT2009" s="152"/>
      <c r="AU2009" s="153"/>
      <c r="AV2009" s="479"/>
      <c r="AW2009" s="479"/>
      <c r="AX2009" s="442"/>
      <c r="AY2009" s="153"/>
      <c r="AZ2009" s="152"/>
      <c r="BA2009" s="152"/>
      <c r="BB2009" s="152"/>
      <c r="BC2009" s="152"/>
      <c r="BD2009" s="152"/>
      <c r="BE2009" s="152"/>
      <c r="BF2009" s="152"/>
      <c r="BG2009" s="152"/>
      <c r="BH2009" s="152"/>
      <c r="BI2009" s="153"/>
      <c r="BJ2009" s="153"/>
      <c r="BK2009" s="153"/>
      <c r="BL2009" s="153"/>
      <c r="BM2009" s="153"/>
      <c r="BN2009" s="153"/>
      <c r="BO2009" s="153"/>
      <c r="BP2009" s="153"/>
      <c r="BQ2009" s="153"/>
      <c r="BR2009" s="153"/>
      <c r="BS2009" s="153"/>
      <c r="BT2009" s="153"/>
      <c r="BU2009" s="153"/>
      <c r="BV2009" s="153"/>
      <c r="BW2009" s="153"/>
      <c r="BX2009" s="153"/>
      <c r="BY2009" s="153"/>
      <c r="BZ2009" s="153"/>
      <c r="CA2009" s="152"/>
      <c r="CB2009" s="152"/>
    </row>
    <row r="2010" spans="1:80" s="87" customFormat="1" x14ac:dyDescent="0.2">
      <c r="A2010" s="152"/>
      <c r="B2010" s="683"/>
      <c r="C2010" s="683"/>
      <c r="D2010" s="698"/>
      <c r="E2010" s="215"/>
      <c r="F2010" s="215"/>
      <c r="G2010" s="153"/>
      <c r="H2010" s="153"/>
      <c r="I2010" s="163">
        <v>22</v>
      </c>
      <c r="J2010" s="163">
        <v>60</v>
      </c>
      <c r="K2010" s="86">
        <v>1</v>
      </c>
      <c r="L2010" s="656">
        <v>22</v>
      </c>
      <c r="M2010" s="662" t="s">
        <v>867</v>
      </c>
      <c r="N2010" s="600">
        <v>1.4637821000000002</v>
      </c>
      <c r="O2010" s="605">
        <v>3.3587199999999999E-3</v>
      </c>
      <c r="P2010" s="239"/>
      <c r="Q2010" s="246"/>
      <c r="R2010" s="245"/>
      <c r="S2010" s="119"/>
      <c r="T2010" s="119">
        <v>1.7712661272687516E-2</v>
      </c>
      <c r="U2010" s="119">
        <v>3.0614476273780899E-2</v>
      </c>
      <c r="V2010" s="731">
        <v>0.95167286245353166</v>
      </c>
      <c r="W2010" s="737"/>
      <c r="X2010" s="733"/>
      <c r="Y2010" s="738"/>
      <c r="Z2010" s="109">
        <v>8</v>
      </c>
      <c r="AA2010" s="101">
        <v>0.61</v>
      </c>
      <c r="AB2010" s="152"/>
      <c r="AC2010" s="152"/>
      <c r="AD2010" s="244">
        <f>0.3048*22.3</f>
        <v>6.7970400000000009</v>
      </c>
      <c r="AE2010" s="244">
        <f>0.3048*1.12</f>
        <v>0.34137600000000007</v>
      </c>
      <c r="AF2010" s="244">
        <f>0.3048*0.3048*24.98</f>
        <v>2.3207179392000001</v>
      </c>
      <c r="AG2010" s="244">
        <f>0.3048*2.18</f>
        <v>0.66446400000000005</v>
      </c>
      <c r="AH2010" s="341"/>
      <c r="AI2010" s="218"/>
      <c r="AJ2010" s="218"/>
      <c r="AK2010" s="153"/>
      <c r="AL2010" s="152"/>
      <c r="AM2010" s="152"/>
      <c r="AN2010" s="152"/>
      <c r="AO2010" s="152"/>
      <c r="AP2010" s="152"/>
      <c r="AQ2010" s="152"/>
      <c r="AR2010" s="152"/>
      <c r="AS2010" s="152"/>
      <c r="AT2010" s="152"/>
      <c r="AU2010" s="153"/>
      <c r="AV2010" s="479"/>
      <c r="AW2010" s="479"/>
      <c r="AX2010" s="442"/>
      <c r="AY2010" s="153"/>
      <c r="AZ2010" s="152"/>
      <c r="BA2010" s="152"/>
      <c r="BB2010" s="152"/>
      <c r="BC2010" s="152"/>
      <c r="BD2010" s="152"/>
      <c r="BE2010" s="152"/>
      <c r="BF2010" s="152"/>
      <c r="BG2010" s="152"/>
      <c r="BH2010" s="152"/>
      <c r="BI2010" s="153"/>
      <c r="BJ2010" s="153"/>
      <c r="BK2010" s="153"/>
      <c r="BL2010" s="153"/>
      <c r="BM2010" s="153"/>
      <c r="BN2010" s="153"/>
      <c r="BO2010" s="153"/>
      <c r="BP2010" s="153"/>
      <c r="BQ2010" s="153"/>
      <c r="BR2010" s="153"/>
      <c r="BS2010" s="153"/>
      <c r="BT2010" s="153"/>
      <c r="BU2010" s="153"/>
      <c r="BV2010" s="153"/>
      <c r="BW2010" s="153"/>
      <c r="BX2010" s="153"/>
      <c r="BY2010" s="153"/>
      <c r="BZ2010" s="153"/>
      <c r="CA2010" s="152"/>
      <c r="CB2010" s="152"/>
    </row>
    <row r="2011" spans="1:80" s="87" customFormat="1" x14ac:dyDescent="0.2">
      <c r="A2011" s="152"/>
      <c r="B2011" s="683"/>
      <c r="C2011" s="683"/>
      <c r="D2011" s="698"/>
      <c r="E2011" s="215"/>
      <c r="F2011" s="215"/>
      <c r="G2011" s="153"/>
      <c r="H2011" s="153"/>
      <c r="I2011" s="163">
        <v>22</v>
      </c>
      <c r="J2011" s="163">
        <v>60</v>
      </c>
      <c r="K2011" s="86">
        <v>1</v>
      </c>
      <c r="L2011" s="656">
        <v>22</v>
      </c>
      <c r="M2011" s="662" t="s">
        <v>867</v>
      </c>
      <c r="N2011" s="600">
        <v>1.4637821000000002</v>
      </c>
      <c r="O2011" s="605">
        <v>1.186048E-2</v>
      </c>
      <c r="P2011" s="239"/>
      <c r="Q2011" s="246"/>
      <c r="R2011" s="245"/>
      <c r="S2011" s="119"/>
      <c r="T2011" s="119">
        <v>6.1144439317028142E-2</v>
      </c>
      <c r="U2011" s="119">
        <v>0.13001845869866174</v>
      </c>
      <c r="V2011" s="731">
        <v>0.80883710198431003</v>
      </c>
      <c r="W2011" s="737"/>
      <c r="X2011" s="733"/>
      <c r="Y2011" s="738"/>
      <c r="Z2011" s="109">
        <v>9</v>
      </c>
      <c r="AA2011" s="101">
        <v>0.99</v>
      </c>
      <c r="AB2011" s="152"/>
      <c r="AC2011" s="152"/>
      <c r="AD2011" s="244">
        <f>0.3048*22.3</f>
        <v>6.7970400000000009</v>
      </c>
      <c r="AE2011" s="244">
        <f>0.3048*1.12</f>
        <v>0.34137600000000007</v>
      </c>
      <c r="AF2011" s="244">
        <f>0.3048*0.3048*24.98</f>
        <v>2.3207179392000001</v>
      </c>
      <c r="AG2011" s="244">
        <f>0.3048*2.18</f>
        <v>0.66446400000000005</v>
      </c>
      <c r="AH2011" s="341"/>
      <c r="AI2011" s="218"/>
      <c r="AJ2011" s="218"/>
      <c r="AK2011" s="153"/>
      <c r="AL2011" s="152"/>
      <c r="AM2011" s="152"/>
      <c r="AN2011" s="152"/>
      <c r="AO2011" s="152"/>
      <c r="AP2011" s="152"/>
      <c r="AQ2011" s="152"/>
      <c r="AR2011" s="152"/>
      <c r="AS2011" s="152"/>
      <c r="AT2011" s="152"/>
      <c r="AU2011" s="153"/>
      <c r="AV2011" s="479"/>
      <c r="AW2011" s="479"/>
      <c r="AX2011" s="442"/>
      <c r="AY2011" s="153"/>
      <c r="AZ2011" s="152"/>
      <c r="BA2011" s="152"/>
      <c r="BB2011" s="152"/>
      <c r="BC2011" s="152"/>
      <c r="BD2011" s="152"/>
      <c r="BE2011" s="152"/>
      <c r="BF2011" s="152"/>
      <c r="BG2011" s="152"/>
      <c r="BH2011" s="152"/>
      <c r="BI2011" s="153"/>
      <c r="BJ2011" s="153"/>
      <c r="BK2011" s="153"/>
      <c r="BL2011" s="153"/>
      <c r="BM2011" s="153"/>
      <c r="BN2011" s="153"/>
      <c r="BO2011" s="153"/>
      <c r="BP2011" s="153"/>
      <c r="BQ2011" s="153"/>
      <c r="BR2011" s="153"/>
      <c r="BS2011" s="153"/>
      <c r="BT2011" s="153"/>
      <c r="BU2011" s="153"/>
      <c r="BV2011" s="153"/>
      <c r="BW2011" s="153"/>
      <c r="BX2011" s="153"/>
      <c r="BY2011" s="153"/>
      <c r="BZ2011" s="153"/>
      <c r="CA2011" s="152"/>
      <c r="CB2011" s="152"/>
    </row>
    <row r="2012" spans="1:80" s="87" customFormat="1" x14ac:dyDescent="0.2">
      <c r="A2012" s="152"/>
      <c r="B2012" s="683"/>
      <c r="C2012" s="683"/>
      <c r="D2012" s="698"/>
      <c r="E2012" s="215"/>
      <c r="F2012" s="215"/>
      <c r="G2012" s="153"/>
      <c r="H2012" s="153"/>
      <c r="I2012" s="163">
        <v>21</v>
      </c>
      <c r="J2012" s="163">
        <v>60</v>
      </c>
      <c r="K2012" s="86">
        <v>1</v>
      </c>
      <c r="L2012" s="656">
        <v>21</v>
      </c>
      <c r="M2012" s="662" t="s">
        <v>868</v>
      </c>
      <c r="N2012" s="600">
        <v>1.3080606000000001</v>
      </c>
      <c r="O2012" s="605">
        <v>6.3500800000000001E-3</v>
      </c>
      <c r="P2012" s="239"/>
      <c r="Q2012" s="246"/>
      <c r="R2012" s="245"/>
      <c r="S2012" s="119">
        <v>0.7</v>
      </c>
      <c r="T2012" s="119"/>
      <c r="U2012" s="119">
        <v>3.0100334448160532E-2</v>
      </c>
      <c r="V2012" s="731">
        <v>0.96265328874024503</v>
      </c>
      <c r="W2012" s="737"/>
      <c r="X2012" s="733"/>
      <c r="Y2012" s="738"/>
      <c r="Z2012" s="109">
        <v>7</v>
      </c>
      <c r="AA2012" s="101">
        <v>0.65</v>
      </c>
      <c r="AB2012" s="152"/>
      <c r="AC2012" s="152"/>
      <c r="AD2012" s="244">
        <f>0.3048*22.6</f>
        <v>6.8884800000000004</v>
      </c>
      <c r="AE2012" s="244">
        <f>0.3048*1.06</f>
        <v>0.32308800000000004</v>
      </c>
      <c r="AF2012" s="244">
        <f>0.3048*0.3048*24.07</f>
        <v>2.2361761728</v>
      </c>
      <c r="AG2012" s="244">
        <f>0.3048*1.84</f>
        <v>0.560832</v>
      </c>
      <c r="AH2012" s="341"/>
      <c r="AI2012" s="218"/>
      <c r="AJ2012" s="218"/>
      <c r="AK2012" s="153"/>
      <c r="AL2012" s="152"/>
      <c r="AM2012" s="152"/>
      <c r="AN2012" s="152"/>
      <c r="AO2012" s="152"/>
      <c r="AP2012" s="152"/>
      <c r="AQ2012" s="152"/>
      <c r="AR2012" s="152"/>
      <c r="AS2012" s="152"/>
      <c r="AT2012" s="152"/>
      <c r="AU2012" s="153"/>
      <c r="AV2012" s="479"/>
      <c r="AW2012" s="479"/>
      <c r="AX2012" s="442"/>
      <c r="AY2012" s="153"/>
      <c r="AZ2012" s="152"/>
      <c r="BA2012" s="152"/>
      <c r="BB2012" s="152"/>
      <c r="BC2012" s="152"/>
      <c r="BD2012" s="152"/>
      <c r="BE2012" s="152"/>
      <c r="BF2012" s="152"/>
      <c r="BG2012" s="152"/>
      <c r="BH2012" s="152"/>
      <c r="BI2012" s="153"/>
      <c r="BJ2012" s="153"/>
      <c r="BK2012" s="153"/>
      <c r="BL2012" s="153"/>
      <c r="BM2012" s="153"/>
      <c r="BN2012" s="153"/>
      <c r="BO2012" s="153"/>
      <c r="BP2012" s="153"/>
      <c r="BQ2012" s="153"/>
      <c r="BR2012" s="153"/>
      <c r="BS2012" s="153"/>
      <c r="BT2012" s="153"/>
      <c r="BU2012" s="153"/>
      <c r="BV2012" s="153"/>
      <c r="BW2012" s="153"/>
      <c r="BX2012" s="153"/>
      <c r="BY2012" s="153"/>
      <c r="BZ2012" s="153"/>
      <c r="CA2012" s="152"/>
      <c r="CB2012" s="152"/>
    </row>
    <row r="2013" spans="1:80" s="87" customFormat="1" x14ac:dyDescent="0.2">
      <c r="A2013" s="152"/>
      <c r="B2013" s="683"/>
      <c r="C2013" s="683"/>
      <c r="D2013" s="698"/>
      <c r="E2013" s="215"/>
      <c r="F2013" s="215"/>
      <c r="G2013" s="153"/>
      <c r="H2013" s="153"/>
      <c r="I2013" s="163">
        <v>21</v>
      </c>
      <c r="J2013" s="163">
        <v>60</v>
      </c>
      <c r="K2013" s="86">
        <v>1</v>
      </c>
      <c r="L2013" s="656">
        <v>21</v>
      </c>
      <c r="M2013" s="662" t="s">
        <v>868</v>
      </c>
      <c r="N2013" s="600">
        <v>1.3080606000000001</v>
      </c>
      <c r="O2013" s="605">
        <v>5.5943680000000006E-3</v>
      </c>
      <c r="P2013" s="239"/>
      <c r="Q2013" s="246"/>
      <c r="R2013" s="245"/>
      <c r="S2013" s="119"/>
      <c r="T2013" s="119">
        <v>9.8971220210964973E-3</v>
      </c>
      <c r="U2013" s="119">
        <v>0.16252116160958457</v>
      </c>
      <c r="V2013" s="731">
        <v>0.82758171636931921</v>
      </c>
      <c r="W2013" s="737"/>
      <c r="X2013" s="733"/>
      <c r="Y2013" s="738"/>
      <c r="Z2013" s="109">
        <v>7</v>
      </c>
      <c r="AA2013" s="101">
        <v>1.1599999999999999</v>
      </c>
      <c r="AB2013" s="152"/>
      <c r="AC2013" s="152"/>
      <c r="AD2013" s="244">
        <f>0.3048*22.6</f>
        <v>6.8884800000000004</v>
      </c>
      <c r="AE2013" s="244">
        <f>0.3048*1.06</f>
        <v>0.32308800000000004</v>
      </c>
      <c r="AF2013" s="244">
        <f>0.3048*0.3048*24.07</f>
        <v>2.2361761728</v>
      </c>
      <c r="AG2013" s="244">
        <f>0.3048*1.84</f>
        <v>0.560832</v>
      </c>
      <c r="AH2013" s="341"/>
      <c r="AI2013" s="218"/>
      <c r="AJ2013" s="218"/>
      <c r="AK2013" s="153"/>
      <c r="AL2013" s="152"/>
      <c r="AM2013" s="152"/>
      <c r="AN2013" s="152"/>
      <c r="AO2013" s="152"/>
      <c r="AP2013" s="152"/>
      <c r="AQ2013" s="152"/>
      <c r="AR2013" s="152"/>
      <c r="AS2013" s="152"/>
      <c r="AT2013" s="152"/>
      <c r="AU2013" s="153"/>
      <c r="AV2013" s="479"/>
      <c r="AW2013" s="479"/>
      <c r="AX2013" s="442"/>
      <c r="AY2013" s="153"/>
      <c r="AZ2013" s="152"/>
      <c r="BA2013" s="152"/>
      <c r="BB2013" s="152"/>
      <c r="BC2013" s="152"/>
      <c r="BD2013" s="152"/>
      <c r="BE2013" s="152"/>
      <c r="BF2013" s="152"/>
      <c r="BG2013" s="152"/>
      <c r="BH2013" s="152"/>
      <c r="BI2013" s="153"/>
      <c r="BJ2013" s="153"/>
      <c r="BK2013" s="153"/>
      <c r="BL2013" s="153"/>
      <c r="BM2013" s="153"/>
      <c r="BN2013" s="153"/>
      <c r="BO2013" s="153"/>
      <c r="BP2013" s="153"/>
      <c r="BQ2013" s="153"/>
      <c r="BR2013" s="153"/>
      <c r="BS2013" s="153"/>
      <c r="BT2013" s="153"/>
      <c r="BU2013" s="153"/>
      <c r="BV2013" s="153"/>
      <c r="BW2013" s="153"/>
      <c r="BX2013" s="153"/>
      <c r="BY2013" s="153"/>
      <c r="BZ2013" s="153"/>
      <c r="CA2013" s="152"/>
      <c r="CB2013" s="152"/>
    </row>
    <row r="2014" spans="1:80" s="87" customFormat="1" x14ac:dyDescent="0.2">
      <c r="A2014" s="152"/>
      <c r="B2014" s="683"/>
      <c r="C2014" s="683"/>
      <c r="D2014" s="698"/>
      <c r="E2014" s="215"/>
      <c r="F2014" s="215"/>
      <c r="G2014" s="153"/>
      <c r="H2014" s="153"/>
      <c r="I2014" s="163">
        <v>21</v>
      </c>
      <c r="J2014" s="163">
        <v>60</v>
      </c>
      <c r="K2014" s="86">
        <v>1</v>
      </c>
      <c r="L2014" s="656">
        <v>21</v>
      </c>
      <c r="M2014" s="662" t="s">
        <v>869</v>
      </c>
      <c r="N2014" s="600">
        <v>1.5968532</v>
      </c>
      <c r="O2014" s="605">
        <v>1.1230720000000001E-2</v>
      </c>
      <c r="P2014" s="239"/>
      <c r="Q2014" s="246"/>
      <c r="R2014" s="245"/>
      <c r="S2014" s="119">
        <v>3.3000000000000002E-2</v>
      </c>
      <c r="T2014" s="119">
        <v>6.5503027180213835E-2</v>
      </c>
      <c r="U2014" s="119">
        <v>0.10363261625660183</v>
      </c>
      <c r="V2014" s="731">
        <v>0.79833827128687374</v>
      </c>
      <c r="W2014" s="737"/>
      <c r="X2014" s="733"/>
      <c r="Y2014" s="738"/>
      <c r="Z2014" s="109">
        <v>15.5</v>
      </c>
      <c r="AA2014" s="101">
        <v>0.86</v>
      </c>
      <c r="AB2014" s="152"/>
      <c r="AC2014" s="152"/>
      <c r="AD2014" s="244">
        <f>0.3048*23.2</f>
        <v>7.0713600000000003</v>
      </c>
      <c r="AE2014" s="244">
        <f>0.3048*1.11</f>
        <v>0.33832800000000007</v>
      </c>
      <c r="AF2014" s="244">
        <f>0.3048*0.3048*25.6</f>
        <v>2.3783178240000002</v>
      </c>
      <c r="AG2014" s="244">
        <f>0.3048*2.17</f>
        <v>0.661416</v>
      </c>
      <c r="AH2014" s="341"/>
      <c r="AI2014" s="218"/>
      <c r="AJ2014" s="218"/>
      <c r="AK2014" s="153"/>
      <c r="AL2014" s="152"/>
      <c r="AM2014" s="152"/>
      <c r="AN2014" s="152"/>
      <c r="AO2014" s="152"/>
      <c r="AP2014" s="152"/>
      <c r="AQ2014" s="152"/>
      <c r="AR2014" s="152"/>
      <c r="AS2014" s="152"/>
      <c r="AT2014" s="152"/>
      <c r="AU2014" s="153"/>
      <c r="AV2014" s="479"/>
      <c r="AW2014" s="479"/>
      <c r="AX2014" s="442"/>
      <c r="AY2014" s="153"/>
      <c r="AZ2014" s="152"/>
      <c r="BA2014" s="152"/>
      <c r="BB2014" s="152"/>
      <c r="BC2014" s="152"/>
      <c r="BD2014" s="152"/>
      <c r="BE2014" s="152"/>
      <c r="BF2014" s="152"/>
      <c r="BG2014" s="152"/>
      <c r="BH2014" s="152"/>
      <c r="BI2014" s="153"/>
      <c r="BJ2014" s="153"/>
      <c r="BK2014" s="153"/>
      <c r="BL2014" s="153"/>
      <c r="BM2014" s="153"/>
      <c r="BN2014" s="153"/>
      <c r="BO2014" s="153"/>
      <c r="BP2014" s="153"/>
      <c r="BQ2014" s="153"/>
      <c r="BR2014" s="153"/>
      <c r="BS2014" s="153"/>
      <c r="BT2014" s="153"/>
      <c r="BU2014" s="153"/>
      <c r="BV2014" s="153"/>
      <c r="BW2014" s="153"/>
      <c r="BX2014" s="153"/>
      <c r="BY2014" s="153"/>
      <c r="BZ2014" s="153"/>
      <c r="CA2014" s="152"/>
      <c r="CB2014" s="152"/>
    </row>
    <row r="2015" spans="1:80" s="87" customFormat="1" x14ac:dyDescent="0.2">
      <c r="A2015" s="152"/>
      <c r="B2015" s="683"/>
      <c r="C2015" s="683"/>
      <c r="D2015" s="698"/>
      <c r="E2015" s="215"/>
      <c r="F2015" s="215"/>
      <c r="G2015" s="153"/>
      <c r="H2015" s="153"/>
      <c r="I2015" s="163">
        <v>21</v>
      </c>
      <c r="J2015" s="163">
        <v>60</v>
      </c>
      <c r="K2015" s="86">
        <v>1</v>
      </c>
      <c r="L2015" s="656">
        <v>21</v>
      </c>
      <c r="M2015" s="662" t="s">
        <v>869</v>
      </c>
      <c r="N2015" s="600">
        <v>1.5968532</v>
      </c>
      <c r="O2015" s="605">
        <v>8.44928E-3</v>
      </c>
      <c r="P2015" s="239"/>
      <c r="Q2015" s="246"/>
      <c r="R2015" s="245"/>
      <c r="S2015" s="119">
        <v>2.1000000000000001E-2</v>
      </c>
      <c r="T2015" s="119">
        <v>4.436178898666425E-2</v>
      </c>
      <c r="U2015" s="119">
        <v>9.6253288578426924E-2</v>
      </c>
      <c r="V2015" s="731">
        <v>0.83815658169282414</v>
      </c>
      <c r="W2015" s="737"/>
      <c r="X2015" s="733"/>
      <c r="Y2015" s="738"/>
      <c r="Z2015" s="109">
        <v>15.5</v>
      </c>
      <c r="AA2015" s="101">
        <v>0.87</v>
      </c>
      <c r="AB2015" s="152"/>
      <c r="AC2015" s="152"/>
      <c r="AD2015" s="244">
        <f>0.3048*23.2</f>
        <v>7.0713600000000003</v>
      </c>
      <c r="AE2015" s="244">
        <f>0.3048*1.11</f>
        <v>0.33832800000000007</v>
      </c>
      <c r="AF2015" s="244">
        <f>0.3048*0.3048*25.6</f>
        <v>2.3783178240000002</v>
      </c>
      <c r="AG2015" s="244">
        <f>0.3048*2.17</f>
        <v>0.661416</v>
      </c>
      <c r="AH2015" s="341"/>
      <c r="AI2015" s="218"/>
      <c r="AJ2015" s="218"/>
      <c r="AK2015" s="153"/>
      <c r="AL2015" s="152"/>
      <c r="AM2015" s="152"/>
      <c r="AN2015" s="152"/>
      <c r="AO2015" s="152"/>
      <c r="AP2015" s="152"/>
      <c r="AQ2015" s="152"/>
      <c r="AR2015" s="152"/>
      <c r="AS2015" s="152"/>
      <c r="AT2015" s="152"/>
      <c r="AU2015" s="153"/>
      <c r="AV2015" s="479"/>
      <c r="AW2015" s="479"/>
      <c r="AX2015" s="442"/>
      <c r="AY2015" s="153"/>
      <c r="AZ2015" s="152"/>
      <c r="BA2015" s="152"/>
      <c r="BB2015" s="152"/>
      <c r="BC2015" s="152"/>
      <c r="BD2015" s="152"/>
      <c r="BE2015" s="152"/>
      <c r="BF2015" s="152"/>
      <c r="BG2015" s="152"/>
      <c r="BH2015" s="152"/>
      <c r="BI2015" s="153"/>
      <c r="BJ2015" s="153"/>
      <c r="BK2015" s="153"/>
      <c r="BL2015" s="153"/>
      <c r="BM2015" s="153"/>
      <c r="BN2015" s="153"/>
      <c r="BO2015" s="153"/>
      <c r="BP2015" s="153"/>
      <c r="BQ2015" s="153"/>
      <c r="BR2015" s="153"/>
      <c r="BS2015" s="153"/>
      <c r="BT2015" s="153"/>
      <c r="BU2015" s="153"/>
      <c r="BV2015" s="153"/>
      <c r="BW2015" s="153"/>
      <c r="BX2015" s="153"/>
      <c r="BY2015" s="153"/>
      <c r="BZ2015" s="153"/>
      <c r="CA2015" s="152"/>
      <c r="CB2015" s="152"/>
    </row>
    <row r="2016" spans="1:80" s="87" customFormat="1" x14ac:dyDescent="0.2">
      <c r="A2016" s="152"/>
      <c r="B2016" s="683"/>
      <c r="C2016" s="683"/>
      <c r="D2016" s="698"/>
      <c r="E2016" s="215"/>
      <c r="F2016" s="215"/>
      <c r="G2016" s="153"/>
      <c r="H2016" s="153"/>
      <c r="I2016" s="163">
        <v>22</v>
      </c>
      <c r="J2016" s="163">
        <v>60</v>
      </c>
      <c r="K2016" s="86">
        <v>1</v>
      </c>
      <c r="L2016" s="656">
        <v>22</v>
      </c>
      <c r="M2016" s="662" t="s">
        <v>870</v>
      </c>
      <c r="N2016" s="600">
        <v>2.4547371</v>
      </c>
      <c r="O2016" s="605">
        <v>6.2976000000000004E-2</v>
      </c>
      <c r="P2016" s="239"/>
      <c r="Q2016" s="246"/>
      <c r="R2016" s="245" t="s">
        <v>29</v>
      </c>
      <c r="S2016" s="119">
        <v>9.4E-2</v>
      </c>
      <c r="T2016" s="119">
        <v>0.10416883011988415</v>
      </c>
      <c r="U2016" s="119">
        <v>0.13733024103753444</v>
      </c>
      <c r="V2016" s="731">
        <v>0.59502463452063636</v>
      </c>
      <c r="W2016" s="737"/>
      <c r="X2016" s="733"/>
      <c r="Y2016" s="738"/>
      <c r="Z2016" s="109">
        <v>31</v>
      </c>
      <c r="AA2016" s="101">
        <v>1.5</v>
      </c>
      <c r="AB2016" s="152"/>
      <c r="AC2016" s="152"/>
      <c r="AD2016" s="244">
        <f>0.3048*26.1</f>
        <v>7.955280000000001</v>
      </c>
      <c r="AE2016" s="244">
        <f>0.3048*1.27</f>
        <v>0.38709600000000005</v>
      </c>
      <c r="AF2016" s="244">
        <f>0.3048*0.3048*33.13</f>
        <v>3.0778777152000005</v>
      </c>
      <c r="AG2016" s="244">
        <f>0.3048*2.41</f>
        <v>0.73456800000000011</v>
      </c>
      <c r="AH2016" s="341"/>
      <c r="AI2016" s="218"/>
      <c r="AJ2016" s="218"/>
      <c r="AK2016" s="153"/>
      <c r="AL2016" s="152"/>
      <c r="AM2016" s="152"/>
      <c r="AN2016" s="152"/>
      <c r="AO2016" s="152"/>
      <c r="AP2016" s="152"/>
      <c r="AQ2016" s="152"/>
      <c r="AR2016" s="152"/>
      <c r="AS2016" s="152"/>
      <c r="AT2016" s="152"/>
      <c r="AU2016" s="153"/>
      <c r="AV2016" s="479"/>
      <c r="AW2016" s="479"/>
      <c r="AX2016" s="442"/>
      <c r="AY2016" s="153"/>
      <c r="AZ2016" s="152"/>
      <c r="BA2016" s="152"/>
      <c r="BB2016" s="152"/>
      <c r="BC2016" s="152"/>
      <c r="BD2016" s="152"/>
      <c r="BE2016" s="152"/>
      <c r="BF2016" s="152"/>
      <c r="BG2016" s="152"/>
      <c r="BH2016" s="152"/>
      <c r="BI2016" s="153"/>
      <c r="BJ2016" s="153"/>
      <c r="BK2016" s="153"/>
      <c r="BL2016" s="153"/>
      <c r="BM2016" s="153"/>
      <c r="BN2016" s="153"/>
      <c r="BO2016" s="153"/>
      <c r="BP2016" s="153"/>
      <c r="BQ2016" s="153"/>
      <c r="BR2016" s="153"/>
      <c r="BS2016" s="153"/>
      <c r="BT2016" s="153"/>
      <c r="BU2016" s="153"/>
      <c r="BV2016" s="153"/>
      <c r="BW2016" s="153"/>
      <c r="BX2016" s="153"/>
      <c r="BY2016" s="153"/>
      <c r="BZ2016" s="153"/>
      <c r="CA2016" s="152"/>
      <c r="CB2016" s="152"/>
    </row>
    <row r="2017" spans="1:80" s="87" customFormat="1" x14ac:dyDescent="0.2">
      <c r="A2017" s="152"/>
      <c r="B2017" s="683"/>
      <c r="C2017" s="683"/>
      <c r="D2017" s="698"/>
      <c r="E2017" s="215"/>
      <c r="F2017" s="215"/>
      <c r="G2017" s="153"/>
      <c r="H2017" s="153"/>
      <c r="I2017" s="163">
        <v>22</v>
      </c>
      <c r="J2017" s="163">
        <v>60</v>
      </c>
      <c r="K2017" s="86">
        <v>1</v>
      </c>
      <c r="L2017" s="656">
        <v>22</v>
      </c>
      <c r="M2017" s="662" t="s">
        <v>870</v>
      </c>
      <c r="N2017" s="600">
        <v>2.4547371</v>
      </c>
      <c r="O2017" s="605">
        <v>2.3301120000000002E-2</v>
      </c>
      <c r="P2017" s="239"/>
      <c r="Q2017" s="246"/>
      <c r="R2017" s="245"/>
      <c r="S2017" s="119">
        <v>2.1000000000000001E-2</v>
      </c>
      <c r="T2017" s="119">
        <v>8.4832333999555851E-2</v>
      </c>
      <c r="U2017" s="119">
        <v>0.1479013990672885</v>
      </c>
      <c r="V2017" s="731">
        <v>0.74626439516512799</v>
      </c>
      <c r="W2017" s="737"/>
      <c r="X2017" s="733"/>
      <c r="Y2017" s="738"/>
      <c r="Z2017" s="109">
        <v>19</v>
      </c>
      <c r="AA2017" s="101">
        <v>1.1599999999999999</v>
      </c>
      <c r="AB2017" s="152"/>
      <c r="AC2017" s="152"/>
      <c r="AD2017" s="244">
        <f>0.3048*26.1</f>
        <v>7.955280000000001</v>
      </c>
      <c r="AE2017" s="244">
        <f>0.3048*1.27</f>
        <v>0.38709600000000005</v>
      </c>
      <c r="AF2017" s="244">
        <f>0.3048*0.3048*33.13</f>
        <v>3.0778777152000005</v>
      </c>
      <c r="AG2017" s="244">
        <f>0.3048*2.41</f>
        <v>0.73456800000000011</v>
      </c>
      <c r="AH2017" s="341"/>
      <c r="AI2017" s="218"/>
      <c r="AJ2017" s="218"/>
      <c r="AK2017" s="153"/>
      <c r="AL2017" s="152"/>
      <c r="AM2017" s="152"/>
      <c r="AN2017" s="152"/>
      <c r="AO2017" s="152"/>
      <c r="AP2017" s="152"/>
      <c r="AQ2017" s="152"/>
      <c r="AR2017" s="152"/>
      <c r="AS2017" s="152"/>
      <c r="AT2017" s="152"/>
      <c r="AU2017" s="153"/>
      <c r="AV2017" s="479"/>
      <c r="AW2017" s="479"/>
      <c r="AX2017" s="442"/>
      <c r="AY2017" s="153"/>
      <c r="AZ2017" s="152"/>
      <c r="BA2017" s="152"/>
      <c r="BB2017" s="152"/>
      <c r="BC2017" s="152"/>
      <c r="BD2017" s="152"/>
      <c r="BE2017" s="152"/>
      <c r="BF2017" s="152"/>
      <c r="BG2017" s="152"/>
      <c r="BH2017" s="152"/>
      <c r="BI2017" s="153"/>
      <c r="BJ2017" s="153"/>
      <c r="BK2017" s="153"/>
      <c r="BL2017" s="153"/>
      <c r="BM2017" s="153"/>
      <c r="BN2017" s="153"/>
      <c r="BO2017" s="153"/>
      <c r="BP2017" s="153"/>
      <c r="BQ2017" s="153"/>
      <c r="BR2017" s="153"/>
      <c r="BS2017" s="153"/>
      <c r="BT2017" s="153"/>
      <c r="BU2017" s="153"/>
      <c r="BV2017" s="153"/>
      <c r="BW2017" s="153"/>
      <c r="BX2017" s="153"/>
      <c r="BY2017" s="153"/>
      <c r="BZ2017" s="153"/>
      <c r="CA2017" s="152"/>
      <c r="CB2017" s="152"/>
    </row>
    <row r="2018" spans="1:80" s="87" customFormat="1" x14ac:dyDescent="0.2">
      <c r="A2018" s="152"/>
      <c r="B2018" s="683"/>
      <c r="C2018" s="683"/>
      <c r="D2018" s="698"/>
      <c r="E2018" s="215"/>
      <c r="F2018" s="215"/>
      <c r="G2018" s="153"/>
      <c r="H2018" s="153"/>
      <c r="I2018" s="163">
        <v>22</v>
      </c>
      <c r="J2018" s="163">
        <v>60</v>
      </c>
      <c r="K2018" s="86">
        <v>1</v>
      </c>
      <c r="L2018" s="656">
        <v>22</v>
      </c>
      <c r="M2018" s="662" t="s">
        <v>871</v>
      </c>
      <c r="N2018" s="600">
        <v>2.6274464000000002</v>
      </c>
      <c r="O2018" s="605">
        <v>2.2671360000000002E-2</v>
      </c>
      <c r="P2018" s="239"/>
      <c r="Q2018" s="246"/>
      <c r="R2018" s="245"/>
      <c r="S2018" s="119">
        <v>1.4999999999999999E-2</v>
      </c>
      <c r="T2018" s="119">
        <v>4.8990789731530475E-2</v>
      </c>
      <c r="U2018" s="119">
        <v>0.11160101900842641</v>
      </c>
      <c r="V2018" s="731">
        <v>0.82405774381083008</v>
      </c>
      <c r="W2018" s="737"/>
      <c r="X2018" s="733"/>
      <c r="Y2018" s="738"/>
      <c r="Z2018" s="109">
        <v>13</v>
      </c>
      <c r="AA2018" s="101">
        <v>0.94</v>
      </c>
      <c r="AB2018" s="152"/>
      <c r="AC2018" s="152"/>
      <c r="AD2018" s="244">
        <f>0.3048*26.3</f>
        <v>8.0162399999999998</v>
      </c>
      <c r="AE2018" s="244">
        <f>0.3048*1.35</f>
        <v>0.41148000000000007</v>
      </c>
      <c r="AF2018" s="244">
        <f>0.3048*0.3048*35.56</f>
        <v>3.3036321024000004</v>
      </c>
      <c r="AG2018" s="244">
        <f>0.3048*2.69</f>
        <v>0.81991199999999997</v>
      </c>
      <c r="AH2018" s="341"/>
      <c r="AI2018" s="218"/>
      <c r="AJ2018" s="218"/>
      <c r="AK2018" s="153"/>
      <c r="AL2018" s="152"/>
      <c r="AM2018" s="152"/>
      <c r="AN2018" s="152"/>
      <c r="AO2018" s="152"/>
      <c r="AP2018" s="152"/>
      <c r="AQ2018" s="152"/>
      <c r="AR2018" s="152"/>
      <c r="AS2018" s="152"/>
      <c r="AT2018" s="152"/>
      <c r="AU2018" s="153"/>
      <c r="AV2018" s="479"/>
      <c r="AW2018" s="479"/>
      <c r="AX2018" s="442"/>
      <c r="AY2018" s="153"/>
      <c r="AZ2018" s="152"/>
      <c r="BA2018" s="152"/>
      <c r="BB2018" s="152"/>
      <c r="BC2018" s="152"/>
      <c r="BD2018" s="152"/>
      <c r="BE2018" s="152"/>
      <c r="BF2018" s="152"/>
      <c r="BG2018" s="152"/>
      <c r="BH2018" s="152"/>
      <c r="BI2018" s="153"/>
      <c r="BJ2018" s="153"/>
      <c r="BK2018" s="153"/>
      <c r="BL2018" s="153"/>
      <c r="BM2018" s="153"/>
      <c r="BN2018" s="153"/>
      <c r="BO2018" s="153"/>
      <c r="BP2018" s="153"/>
      <c r="BQ2018" s="153"/>
      <c r="BR2018" s="153"/>
      <c r="BS2018" s="153"/>
      <c r="BT2018" s="153"/>
      <c r="BU2018" s="153"/>
      <c r="BV2018" s="153"/>
      <c r="BW2018" s="153"/>
      <c r="BX2018" s="153"/>
      <c r="BY2018" s="153"/>
      <c r="BZ2018" s="153"/>
      <c r="CA2018" s="152"/>
      <c r="CB2018" s="152"/>
    </row>
    <row r="2019" spans="1:80" s="87" customFormat="1" x14ac:dyDescent="0.2">
      <c r="A2019" s="152"/>
      <c r="B2019" s="683"/>
      <c r="C2019" s="683"/>
      <c r="D2019" s="698"/>
      <c r="E2019" s="215"/>
      <c r="F2019" s="215"/>
      <c r="G2019" s="153"/>
      <c r="H2019" s="153"/>
      <c r="I2019" s="163">
        <v>22</v>
      </c>
      <c r="J2019" s="163">
        <v>60</v>
      </c>
      <c r="K2019" s="86">
        <v>1</v>
      </c>
      <c r="L2019" s="656">
        <v>22</v>
      </c>
      <c r="M2019" s="662" t="s">
        <v>871</v>
      </c>
      <c r="N2019" s="600">
        <v>2.6274464000000002</v>
      </c>
      <c r="O2019" s="605">
        <v>3.505664E-2</v>
      </c>
      <c r="P2019" s="239"/>
      <c r="Q2019" s="246"/>
      <c r="R2019" s="247">
        <v>1.2E-2</v>
      </c>
      <c r="S2019" s="119">
        <v>3.5999999999999997E-2</v>
      </c>
      <c r="T2019" s="119">
        <v>4.2787971987282063E-2</v>
      </c>
      <c r="U2019" s="119">
        <v>8.9295733671370101E-2</v>
      </c>
      <c r="V2019" s="731">
        <v>0.81997464724340741</v>
      </c>
      <c r="W2019" s="737"/>
      <c r="X2019" s="733"/>
      <c r="Y2019" s="738"/>
      <c r="Z2019" s="109">
        <v>19.5</v>
      </c>
      <c r="AA2019" s="101">
        <v>0.9</v>
      </c>
      <c r="AB2019" s="152"/>
      <c r="AC2019" s="152"/>
      <c r="AD2019" s="244">
        <f>0.3048*26.3</f>
        <v>8.0162399999999998</v>
      </c>
      <c r="AE2019" s="244">
        <f>0.3048*1.35</f>
        <v>0.41148000000000007</v>
      </c>
      <c r="AF2019" s="244">
        <f>0.3048*0.3048*35.56</f>
        <v>3.3036321024000004</v>
      </c>
      <c r="AG2019" s="244">
        <f>0.3048*2.69</f>
        <v>0.81991199999999997</v>
      </c>
      <c r="AH2019" s="341"/>
      <c r="AI2019" s="218"/>
      <c r="AJ2019" s="218"/>
      <c r="AK2019" s="153"/>
      <c r="AL2019" s="152"/>
      <c r="AM2019" s="152"/>
      <c r="AN2019" s="152"/>
      <c r="AO2019" s="152"/>
      <c r="AP2019" s="152"/>
      <c r="AQ2019" s="152"/>
      <c r="AR2019" s="152"/>
      <c r="AS2019" s="152"/>
      <c r="AT2019" s="152"/>
      <c r="AU2019" s="153"/>
      <c r="AV2019" s="479"/>
      <c r="AW2019" s="479"/>
      <c r="AX2019" s="442"/>
      <c r="AY2019" s="153"/>
      <c r="AZ2019" s="152"/>
      <c r="BA2019" s="152"/>
      <c r="BB2019" s="152"/>
      <c r="BC2019" s="152"/>
      <c r="BD2019" s="152"/>
      <c r="BE2019" s="152"/>
      <c r="BF2019" s="152"/>
      <c r="BG2019" s="152"/>
      <c r="BH2019" s="152"/>
      <c r="BI2019" s="153"/>
      <c r="BJ2019" s="153"/>
      <c r="BK2019" s="153"/>
      <c r="BL2019" s="153"/>
      <c r="BM2019" s="153"/>
      <c r="BN2019" s="153"/>
      <c r="BO2019" s="153"/>
      <c r="BP2019" s="153"/>
      <c r="BQ2019" s="153"/>
      <c r="BR2019" s="153"/>
      <c r="BS2019" s="153"/>
      <c r="BT2019" s="153"/>
      <c r="BU2019" s="153"/>
      <c r="BV2019" s="153"/>
      <c r="BW2019" s="153"/>
      <c r="BX2019" s="153"/>
      <c r="BY2019" s="153"/>
      <c r="BZ2019" s="153"/>
      <c r="CA2019" s="152"/>
      <c r="CB2019" s="152"/>
    </row>
    <row r="2020" spans="1:80" s="87" customFormat="1" x14ac:dyDescent="0.2">
      <c r="A2020" s="152"/>
      <c r="B2020" s="683"/>
      <c r="C2020" s="683"/>
      <c r="D2020" s="698"/>
      <c r="E2020" s="215"/>
      <c r="F2020" s="215"/>
      <c r="G2020" s="153"/>
      <c r="H2020" s="153"/>
      <c r="I2020" s="163">
        <v>22</v>
      </c>
      <c r="J2020" s="163">
        <v>60</v>
      </c>
      <c r="K2020" s="86">
        <v>1</v>
      </c>
      <c r="L2020" s="656">
        <v>22</v>
      </c>
      <c r="M2020" s="662" t="s">
        <v>872</v>
      </c>
      <c r="N2020" s="600">
        <v>2.6132898999999998</v>
      </c>
      <c r="O2020" s="605">
        <v>2.1411840000000001E-2</v>
      </c>
      <c r="P2020" s="239"/>
      <c r="Q2020" s="246"/>
      <c r="R2020" s="247">
        <v>1.9E-2</v>
      </c>
      <c r="S2020" s="119">
        <v>4.5999999999999999E-2</v>
      </c>
      <c r="T2020" s="119">
        <v>0.11369578333445063</v>
      </c>
      <c r="U2020" s="119">
        <v>0.18452101629013876</v>
      </c>
      <c r="V2020" s="731">
        <v>0.63682375812830994</v>
      </c>
      <c r="W2020" s="737"/>
      <c r="X2020" s="733"/>
      <c r="Y2020" s="738"/>
      <c r="Z2020" s="109">
        <v>19</v>
      </c>
      <c r="AA2020" s="101">
        <v>1.42</v>
      </c>
      <c r="AB2020" s="152"/>
      <c r="AC2020" s="152"/>
      <c r="AD2020" s="244">
        <f>0.3048*26.6</f>
        <v>8.1076800000000002</v>
      </c>
      <c r="AE2020" s="244">
        <f>0.3048*1.29</f>
        <v>0.39319200000000004</v>
      </c>
      <c r="AF2020" s="244">
        <f>0.3048*0.3048*34.25</f>
        <v>3.1819291200000004</v>
      </c>
      <c r="AG2020" s="244">
        <f>0.3048*2.55</f>
        <v>0.77723999999999993</v>
      </c>
      <c r="AH2020" s="341"/>
      <c r="AI2020" s="218"/>
      <c r="AJ2020" s="218"/>
      <c r="AK2020" s="153"/>
      <c r="AL2020" s="152"/>
      <c r="AM2020" s="152"/>
      <c r="AN2020" s="152"/>
      <c r="AO2020" s="152"/>
      <c r="AP2020" s="152"/>
      <c r="AQ2020" s="152"/>
      <c r="AR2020" s="152"/>
      <c r="AS2020" s="152"/>
      <c r="AT2020" s="152"/>
      <c r="AU2020" s="153"/>
      <c r="AV2020" s="479"/>
      <c r="AW2020" s="479"/>
      <c r="AX2020" s="442"/>
      <c r="AY2020" s="153"/>
      <c r="AZ2020" s="152"/>
      <c r="BA2020" s="152"/>
      <c r="BB2020" s="152"/>
      <c r="BC2020" s="152"/>
      <c r="BD2020" s="152"/>
      <c r="BE2020" s="152"/>
      <c r="BF2020" s="152"/>
      <c r="BG2020" s="152"/>
      <c r="BH2020" s="152"/>
      <c r="BI2020" s="153"/>
      <c r="BJ2020" s="153"/>
      <c r="BK2020" s="153"/>
      <c r="BL2020" s="153"/>
      <c r="BM2020" s="153"/>
      <c r="BN2020" s="153"/>
      <c r="BO2020" s="153"/>
      <c r="BP2020" s="153"/>
      <c r="BQ2020" s="153"/>
      <c r="BR2020" s="153"/>
      <c r="BS2020" s="153"/>
      <c r="BT2020" s="153"/>
      <c r="BU2020" s="153"/>
      <c r="BV2020" s="153"/>
      <c r="BW2020" s="153"/>
      <c r="BX2020" s="153"/>
      <c r="BY2020" s="153"/>
      <c r="BZ2020" s="153"/>
      <c r="CA2020" s="152"/>
      <c r="CB2020" s="152"/>
    </row>
    <row r="2021" spans="1:80" s="87" customFormat="1" x14ac:dyDescent="0.2">
      <c r="A2021" s="152"/>
      <c r="B2021" s="683"/>
      <c r="C2021" s="683"/>
      <c r="D2021" s="698"/>
      <c r="E2021" s="215"/>
      <c r="F2021" s="215"/>
      <c r="G2021" s="153"/>
      <c r="H2021" s="153"/>
      <c r="I2021" s="163">
        <v>22</v>
      </c>
      <c r="J2021" s="163">
        <v>60</v>
      </c>
      <c r="K2021" s="86">
        <v>1</v>
      </c>
      <c r="L2021" s="656">
        <v>22</v>
      </c>
      <c r="M2021" s="662" t="s">
        <v>873</v>
      </c>
      <c r="N2021" s="600">
        <v>2.2310644000000002</v>
      </c>
      <c r="O2021" s="605">
        <v>3.0438400000000001E-2</v>
      </c>
      <c r="P2021" s="239"/>
      <c r="Q2021" s="246"/>
      <c r="R2021" s="247"/>
      <c r="S2021" s="119">
        <v>7.3999999999999996E-2</v>
      </c>
      <c r="T2021" s="119">
        <v>9.8970647942490053E-2</v>
      </c>
      <c r="U2021" s="119">
        <v>0.15941821308304077</v>
      </c>
      <c r="V2021" s="731">
        <v>0.66714432423395675</v>
      </c>
      <c r="W2021" s="737"/>
      <c r="X2021" s="733"/>
      <c r="Y2021" s="738"/>
      <c r="Z2021" s="109">
        <v>18</v>
      </c>
      <c r="AA2021" s="101">
        <v>1.28</v>
      </c>
      <c r="AB2021" s="152"/>
      <c r="AC2021" s="152"/>
      <c r="AD2021" s="244">
        <f>0.3048*25.4</f>
        <v>7.7419200000000004</v>
      </c>
      <c r="AE2021" s="244">
        <f>0.3048*1.29</f>
        <v>0.39319200000000004</v>
      </c>
      <c r="AF2021" s="244">
        <f>0.3048*0.3048*32.83</f>
        <v>3.0500068032000001</v>
      </c>
      <c r="AG2021" s="244">
        <f>0.3048*2.46</f>
        <v>0.74980800000000003</v>
      </c>
      <c r="AH2021" s="341"/>
      <c r="AI2021" s="218"/>
      <c r="AJ2021" s="218"/>
      <c r="AK2021" s="153"/>
      <c r="AL2021" s="152"/>
      <c r="AM2021" s="152"/>
      <c r="AN2021" s="152"/>
      <c r="AO2021" s="152"/>
      <c r="AP2021" s="152"/>
      <c r="AQ2021" s="152"/>
      <c r="AR2021" s="152"/>
      <c r="AS2021" s="152"/>
      <c r="AT2021" s="152"/>
      <c r="AU2021" s="153"/>
      <c r="AV2021" s="479"/>
      <c r="AW2021" s="479"/>
      <c r="AX2021" s="442"/>
      <c r="AY2021" s="153"/>
      <c r="AZ2021" s="152"/>
      <c r="BA2021" s="152"/>
      <c r="BB2021" s="152"/>
      <c r="BC2021" s="152"/>
      <c r="BD2021" s="152"/>
      <c r="BE2021" s="152"/>
      <c r="BF2021" s="152"/>
      <c r="BG2021" s="152"/>
      <c r="BH2021" s="152"/>
      <c r="BI2021" s="153"/>
      <c r="BJ2021" s="153"/>
      <c r="BK2021" s="153"/>
      <c r="BL2021" s="153"/>
      <c r="BM2021" s="153"/>
      <c r="BN2021" s="153"/>
      <c r="BO2021" s="153"/>
      <c r="BP2021" s="153"/>
      <c r="BQ2021" s="153"/>
      <c r="BR2021" s="153"/>
      <c r="BS2021" s="153"/>
      <c r="BT2021" s="153"/>
      <c r="BU2021" s="153"/>
      <c r="BV2021" s="153"/>
      <c r="BW2021" s="153"/>
      <c r="BX2021" s="153"/>
      <c r="BY2021" s="153"/>
      <c r="BZ2021" s="153"/>
      <c r="CA2021" s="152"/>
      <c r="CB2021" s="152"/>
    </row>
    <row r="2022" spans="1:80" s="87" customFormat="1" x14ac:dyDescent="0.2">
      <c r="A2022" s="152"/>
      <c r="B2022" s="683"/>
      <c r="C2022" s="683"/>
      <c r="D2022" s="698"/>
      <c r="E2022" s="215"/>
      <c r="F2022" s="215"/>
      <c r="G2022" s="153"/>
      <c r="H2022" s="153"/>
      <c r="I2022" s="163">
        <v>22</v>
      </c>
      <c r="J2022" s="163">
        <v>60</v>
      </c>
      <c r="K2022" s="86">
        <v>1</v>
      </c>
      <c r="L2022" s="656">
        <v>22</v>
      </c>
      <c r="M2022" s="662" t="s">
        <v>873</v>
      </c>
      <c r="N2022" s="600">
        <v>2.2310644000000002</v>
      </c>
      <c r="O2022" s="605">
        <v>1.8263040000000001E-2</v>
      </c>
      <c r="P2022" s="239"/>
      <c r="Q2022" s="246"/>
      <c r="R2022" s="247">
        <v>6.4000000000000001E-2</v>
      </c>
      <c r="S2022" s="119">
        <v>7.8E-2</v>
      </c>
      <c r="T2022" s="119">
        <v>0.10402991605999126</v>
      </c>
      <c r="U2022" s="119">
        <v>0.16752197955205475</v>
      </c>
      <c r="V2022" s="731">
        <v>0.58618769145084937</v>
      </c>
      <c r="W2022" s="737"/>
      <c r="X2022" s="733"/>
      <c r="Y2022" s="738"/>
      <c r="Z2022" s="109">
        <v>24</v>
      </c>
      <c r="AA2022" s="101">
        <v>1.58</v>
      </c>
      <c r="AB2022" s="152"/>
      <c r="AC2022" s="152"/>
      <c r="AD2022" s="244">
        <f>0.3048*25.4</f>
        <v>7.7419200000000004</v>
      </c>
      <c r="AE2022" s="244">
        <f>0.3048*1.29</f>
        <v>0.39319200000000004</v>
      </c>
      <c r="AF2022" s="244">
        <f>0.3048*0.3048*32.83</f>
        <v>3.0500068032000001</v>
      </c>
      <c r="AG2022" s="244">
        <f>0.3048*2.46</f>
        <v>0.74980800000000003</v>
      </c>
      <c r="AH2022" s="341"/>
      <c r="AI2022" s="218"/>
      <c r="AJ2022" s="218"/>
      <c r="AK2022" s="153"/>
      <c r="AL2022" s="152"/>
      <c r="AM2022" s="152"/>
      <c r="AN2022" s="152"/>
      <c r="AO2022" s="152"/>
      <c r="AP2022" s="152"/>
      <c r="AQ2022" s="152"/>
      <c r="AR2022" s="152"/>
      <c r="AS2022" s="152"/>
      <c r="AT2022" s="152"/>
      <c r="AU2022" s="153"/>
      <c r="AV2022" s="479"/>
      <c r="AW2022" s="479"/>
      <c r="AX2022" s="442"/>
      <c r="AY2022" s="153"/>
      <c r="AZ2022" s="152"/>
      <c r="BA2022" s="152"/>
      <c r="BB2022" s="152"/>
      <c r="BC2022" s="152"/>
      <c r="BD2022" s="152"/>
      <c r="BE2022" s="152"/>
      <c r="BF2022" s="152"/>
      <c r="BG2022" s="152"/>
      <c r="BH2022" s="152"/>
      <c r="BI2022" s="153"/>
      <c r="BJ2022" s="153"/>
      <c r="BK2022" s="153"/>
      <c r="BL2022" s="153"/>
      <c r="BM2022" s="153"/>
      <c r="BN2022" s="153"/>
      <c r="BO2022" s="153"/>
      <c r="BP2022" s="153"/>
      <c r="BQ2022" s="153"/>
      <c r="BR2022" s="153"/>
      <c r="BS2022" s="153"/>
      <c r="BT2022" s="153"/>
      <c r="BU2022" s="153"/>
      <c r="BV2022" s="153"/>
      <c r="BW2022" s="153"/>
      <c r="BX2022" s="153"/>
      <c r="BY2022" s="153"/>
      <c r="BZ2022" s="153"/>
      <c r="CA2022" s="152"/>
      <c r="CB2022" s="152"/>
    </row>
    <row r="2023" spans="1:80" s="87" customFormat="1" x14ac:dyDescent="0.2">
      <c r="A2023" s="152"/>
      <c r="B2023" s="683"/>
      <c r="C2023" s="683"/>
      <c r="D2023" s="698"/>
      <c r="E2023" s="215"/>
      <c r="F2023" s="215"/>
      <c r="G2023" s="153"/>
      <c r="H2023" s="153"/>
      <c r="I2023" s="163">
        <v>22</v>
      </c>
      <c r="J2023" s="163">
        <v>60</v>
      </c>
      <c r="K2023" s="86">
        <v>1</v>
      </c>
      <c r="L2023" s="656">
        <v>22</v>
      </c>
      <c r="M2023" s="662" t="s">
        <v>874</v>
      </c>
      <c r="N2023" s="600">
        <v>2.0102230000000003</v>
      </c>
      <c r="O2023" s="605">
        <v>1.1020800000000001E-2</v>
      </c>
      <c r="P2023" s="239"/>
      <c r="Q2023" s="246"/>
      <c r="R2023" s="245"/>
      <c r="S2023" s="119">
        <v>3.5000000000000003E-2</v>
      </c>
      <c r="T2023" s="119">
        <v>6.121917897339145E-2</v>
      </c>
      <c r="U2023" s="119">
        <v>0.16205842170320736</v>
      </c>
      <c r="V2023" s="731">
        <v>0.74126602042807888</v>
      </c>
      <c r="W2023" s="737"/>
      <c r="X2023" s="733"/>
      <c r="Y2023" s="738"/>
      <c r="Z2023" s="109">
        <v>14</v>
      </c>
      <c r="AA2023" s="101">
        <v>1.1299999999999999</v>
      </c>
      <c r="AB2023" s="152"/>
      <c r="AC2023" s="152"/>
      <c r="AD2023" s="244">
        <f>0.3048*23.9</f>
        <v>7.2847200000000001</v>
      </c>
      <c r="AE2023" s="244">
        <f>0.3048*1.22</f>
        <v>0.37185600000000002</v>
      </c>
      <c r="AF2023" s="244">
        <f>0.3048*0.3048*29.3</f>
        <v>2.7220590720000004</v>
      </c>
      <c r="AG2023" s="244">
        <f>0.3048*2.43</f>
        <v>0.7406640000000001</v>
      </c>
      <c r="AH2023" s="341"/>
      <c r="AI2023" s="218"/>
      <c r="AJ2023" s="218"/>
      <c r="AK2023" s="153"/>
      <c r="AL2023" s="152"/>
      <c r="AM2023" s="152"/>
      <c r="AN2023" s="152"/>
      <c r="AO2023" s="152"/>
      <c r="AP2023" s="152"/>
      <c r="AQ2023" s="152"/>
      <c r="AR2023" s="152"/>
      <c r="AS2023" s="152"/>
      <c r="AT2023" s="152"/>
      <c r="AU2023" s="153"/>
      <c r="AV2023" s="479"/>
      <c r="AW2023" s="479"/>
      <c r="AX2023" s="442"/>
      <c r="AY2023" s="153"/>
      <c r="AZ2023" s="152"/>
      <c r="BA2023" s="152"/>
      <c r="BB2023" s="152"/>
      <c r="BC2023" s="152"/>
      <c r="BD2023" s="152"/>
      <c r="BE2023" s="152"/>
      <c r="BF2023" s="152"/>
      <c r="BG2023" s="152"/>
      <c r="BH2023" s="152"/>
      <c r="BI2023" s="153"/>
      <c r="BJ2023" s="153"/>
      <c r="BK2023" s="153"/>
      <c r="BL2023" s="153"/>
      <c r="BM2023" s="153"/>
      <c r="BN2023" s="153"/>
      <c r="BO2023" s="153"/>
      <c r="BP2023" s="153"/>
      <c r="BQ2023" s="153"/>
      <c r="BR2023" s="153"/>
      <c r="BS2023" s="153"/>
      <c r="BT2023" s="153"/>
      <c r="BU2023" s="153"/>
      <c r="BV2023" s="153"/>
      <c r="BW2023" s="153"/>
      <c r="BX2023" s="153"/>
      <c r="BY2023" s="153"/>
      <c r="BZ2023" s="153"/>
      <c r="CA2023" s="152"/>
      <c r="CB2023" s="152"/>
    </row>
    <row r="2024" spans="1:80" s="87" customFormat="1" x14ac:dyDescent="0.2">
      <c r="A2024" s="152"/>
      <c r="B2024" s="683"/>
      <c r="C2024" s="683"/>
      <c r="D2024" s="698"/>
      <c r="E2024" s="215"/>
      <c r="F2024" s="215"/>
      <c r="G2024" s="153"/>
      <c r="H2024" s="153"/>
      <c r="I2024" s="163">
        <v>22</v>
      </c>
      <c r="J2024" s="163">
        <v>60</v>
      </c>
      <c r="K2024" s="86">
        <v>1</v>
      </c>
      <c r="L2024" s="656">
        <v>22</v>
      </c>
      <c r="M2024" s="662" t="s">
        <v>874</v>
      </c>
      <c r="N2024" s="600">
        <v>2.0102230000000003</v>
      </c>
      <c r="O2024" s="605">
        <v>2.004736E-2</v>
      </c>
      <c r="P2024" s="239"/>
      <c r="Q2024" s="246"/>
      <c r="R2024" s="245" t="s">
        <v>29</v>
      </c>
      <c r="S2024" s="119">
        <v>1.2E-2</v>
      </c>
      <c r="T2024" s="119">
        <v>7.0474353479068427E-2</v>
      </c>
      <c r="U2024" s="119">
        <v>0.16870267181025858</v>
      </c>
      <c r="V2024" s="731">
        <v>0.61390912987569657</v>
      </c>
      <c r="W2024" s="737"/>
      <c r="X2024" s="733"/>
      <c r="Y2024" s="738"/>
      <c r="Z2024" s="109">
        <v>38.5</v>
      </c>
      <c r="AA2024" s="101">
        <v>1.51</v>
      </c>
      <c r="AB2024" s="152"/>
      <c r="AC2024" s="152"/>
      <c r="AD2024" s="244">
        <f>0.3048*23.9</f>
        <v>7.2847200000000001</v>
      </c>
      <c r="AE2024" s="244">
        <f>0.3048*1.22</f>
        <v>0.37185600000000002</v>
      </c>
      <c r="AF2024" s="244">
        <f>0.3048*0.3048*29.3</f>
        <v>2.7220590720000004</v>
      </c>
      <c r="AG2024" s="244">
        <f>0.3048*2.43</f>
        <v>0.7406640000000001</v>
      </c>
      <c r="AH2024" s="341"/>
      <c r="AI2024" s="218"/>
      <c r="AJ2024" s="218"/>
      <c r="AK2024" s="153"/>
      <c r="AL2024" s="152"/>
      <c r="AM2024" s="152"/>
      <c r="AN2024" s="152"/>
      <c r="AO2024" s="152"/>
      <c r="AP2024" s="152"/>
      <c r="AQ2024" s="152"/>
      <c r="AR2024" s="152"/>
      <c r="AS2024" s="152"/>
      <c r="AT2024" s="152"/>
      <c r="AU2024" s="153"/>
      <c r="AV2024" s="479"/>
      <c r="AW2024" s="479"/>
      <c r="AX2024" s="442"/>
      <c r="AY2024" s="153"/>
      <c r="AZ2024" s="152"/>
      <c r="BA2024" s="152"/>
      <c r="BB2024" s="152"/>
      <c r="BC2024" s="152"/>
      <c r="BD2024" s="152"/>
      <c r="BE2024" s="152"/>
      <c r="BF2024" s="152"/>
      <c r="BG2024" s="152"/>
      <c r="BH2024" s="152"/>
      <c r="BI2024" s="153"/>
      <c r="BJ2024" s="153"/>
      <c r="BK2024" s="153"/>
      <c r="BL2024" s="153"/>
      <c r="BM2024" s="153"/>
      <c r="BN2024" s="153"/>
      <c r="BO2024" s="153"/>
      <c r="BP2024" s="153"/>
      <c r="BQ2024" s="153"/>
      <c r="BR2024" s="153"/>
      <c r="BS2024" s="153"/>
      <c r="BT2024" s="153"/>
      <c r="BU2024" s="153"/>
      <c r="BV2024" s="153"/>
      <c r="BW2024" s="153"/>
      <c r="BX2024" s="153"/>
      <c r="BY2024" s="153"/>
      <c r="BZ2024" s="153"/>
      <c r="CA2024" s="152"/>
      <c r="CB2024" s="152"/>
    </row>
    <row r="2025" spans="1:80" s="87" customFormat="1" x14ac:dyDescent="0.2">
      <c r="A2025" s="152"/>
      <c r="B2025" s="683"/>
      <c r="C2025" s="683"/>
      <c r="D2025" s="698"/>
      <c r="E2025" s="215"/>
      <c r="F2025" s="215"/>
      <c r="G2025" s="153"/>
      <c r="H2025" s="153"/>
      <c r="I2025" s="163">
        <v>22</v>
      </c>
      <c r="J2025" s="163">
        <v>60</v>
      </c>
      <c r="K2025" s="86">
        <v>1</v>
      </c>
      <c r="L2025" s="656">
        <v>22</v>
      </c>
      <c r="M2025" s="662" t="s">
        <v>875</v>
      </c>
      <c r="N2025" s="600">
        <v>1.7016113000000002</v>
      </c>
      <c r="O2025" s="605">
        <v>3.6211199999999998E-3</v>
      </c>
      <c r="P2025" s="239"/>
      <c r="Q2025" s="246"/>
      <c r="R2025" s="245"/>
      <c r="S2025" s="119"/>
      <c r="T2025" s="119">
        <v>3.3921840904582425E-2</v>
      </c>
      <c r="U2025" s="119">
        <v>8.3911922237651274E-2</v>
      </c>
      <c r="V2025" s="731">
        <v>0.88216623685776641</v>
      </c>
      <c r="W2025" s="737"/>
      <c r="X2025" s="733"/>
      <c r="Y2025" s="738"/>
      <c r="Z2025" s="109">
        <v>8</v>
      </c>
      <c r="AA2025" s="101">
        <v>0.71</v>
      </c>
      <c r="AB2025" s="152"/>
      <c r="AC2025" s="152"/>
      <c r="AD2025" s="244">
        <f>0.3048*23.2</f>
        <v>7.0713600000000003</v>
      </c>
      <c r="AE2025" s="244">
        <f>0.3048*1.18</f>
        <v>0.35966399999999998</v>
      </c>
      <c r="AF2025" s="244">
        <f>0.3048*0.3048*27.45</f>
        <v>2.5501884480000001</v>
      </c>
      <c r="AG2025" s="244">
        <f>0.3048*2.29</f>
        <v>0.69799200000000006</v>
      </c>
      <c r="AH2025" s="341"/>
      <c r="AI2025" s="218"/>
      <c r="AJ2025" s="218"/>
      <c r="AK2025" s="153"/>
      <c r="AL2025" s="152"/>
      <c r="AM2025" s="152"/>
      <c r="AN2025" s="152"/>
      <c r="AO2025" s="152"/>
      <c r="AP2025" s="152"/>
      <c r="AQ2025" s="152"/>
      <c r="AR2025" s="152"/>
      <c r="AS2025" s="152"/>
      <c r="AT2025" s="152"/>
      <c r="AU2025" s="153"/>
      <c r="AV2025" s="479"/>
      <c r="AW2025" s="479"/>
      <c r="AX2025" s="442"/>
      <c r="AY2025" s="153"/>
      <c r="AZ2025" s="152"/>
      <c r="BA2025" s="152"/>
      <c r="BB2025" s="152"/>
      <c r="BC2025" s="152"/>
      <c r="BD2025" s="152"/>
      <c r="BE2025" s="152"/>
      <c r="BF2025" s="152"/>
      <c r="BG2025" s="152"/>
      <c r="BH2025" s="152"/>
      <c r="BI2025" s="153"/>
      <c r="BJ2025" s="153"/>
      <c r="BK2025" s="153"/>
      <c r="BL2025" s="153"/>
      <c r="BM2025" s="153"/>
      <c r="BN2025" s="153"/>
      <c r="BO2025" s="153"/>
      <c r="BP2025" s="153"/>
      <c r="BQ2025" s="153"/>
      <c r="BR2025" s="153"/>
      <c r="BS2025" s="153"/>
      <c r="BT2025" s="153"/>
      <c r="BU2025" s="153"/>
      <c r="BV2025" s="153"/>
      <c r="BW2025" s="153"/>
      <c r="BX2025" s="153"/>
      <c r="BY2025" s="153"/>
      <c r="BZ2025" s="153"/>
      <c r="CA2025" s="152"/>
      <c r="CB2025" s="152"/>
    </row>
    <row r="2026" spans="1:80" s="87" customFormat="1" x14ac:dyDescent="0.2">
      <c r="A2026" s="152"/>
      <c r="B2026" s="683"/>
      <c r="C2026" s="683"/>
      <c r="D2026" s="698"/>
      <c r="E2026" s="215"/>
      <c r="F2026" s="215"/>
      <c r="G2026" s="153"/>
      <c r="H2026" s="153"/>
      <c r="I2026" s="163">
        <v>22</v>
      </c>
      <c r="J2026" s="163">
        <v>60</v>
      </c>
      <c r="K2026" s="86">
        <v>1</v>
      </c>
      <c r="L2026" s="656">
        <v>22</v>
      </c>
      <c r="M2026" s="662" t="s">
        <v>875</v>
      </c>
      <c r="N2026" s="600">
        <v>1.7016113000000002</v>
      </c>
      <c r="O2026" s="605">
        <v>1.9627519999999999E-3</v>
      </c>
      <c r="P2026" s="239"/>
      <c r="Q2026" s="246"/>
      <c r="R2026" s="245"/>
      <c r="S2026" s="119"/>
      <c r="T2026" s="119">
        <v>0.10339892665474061</v>
      </c>
      <c r="U2026" s="119">
        <v>0.13202146690518782</v>
      </c>
      <c r="V2026" s="731">
        <v>0.76457960644007161</v>
      </c>
      <c r="W2026" s="737"/>
      <c r="X2026" s="733"/>
      <c r="Y2026" s="738"/>
      <c r="Z2026" s="109">
        <v>10.5</v>
      </c>
      <c r="AA2026" s="101">
        <v>0.91</v>
      </c>
      <c r="AB2026" s="152"/>
      <c r="AC2026" s="152"/>
      <c r="AD2026" s="244">
        <f>0.3048*23.2</f>
        <v>7.0713600000000003</v>
      </c>
      <c r="AE2026" s="244">
        <f>0.3048*1.18</f>
        <v>0.35966399999999998</v>
      </c>
      <c r="AF2026" s="244">
        <f>0.3048*0.3048*27.45</f>
        <v>2.5501884480000001</v>
      </c>
      <c r="AG2026" s="244">
        <f>0.3048*2.29</f>
        <v>0.69799200000000006</v>
      </c>
      <c r="AH2026" s="341"/>
      <c r="AI2026" s="218"/>
      <c r="AJ2026" s="218"/>
      <c r="AK2026" s="153"/>
      <c r="AL2026" s="152"/>
      <c r="AM2026" s="152"/>
      <c r="AN2026" s="152"/>
      <c r="AO2026" s="152"/>
      <c r="AP2026" s="152"/>
      <c r="AQ2026" s="152"/>
      <c r="AR2026" s="152"/>
      <c r="AS2026" s="152"/>
      <c r="AT2026" s="152"/>
      <c r="AU2026" s="153"/>
      <c r="AV2026" s="479"/>
      <c r="AW2026" s="479"/>
      <c r="AX2026" s="442"/>
      <c r="AY2026" s="153"/>
      <c r="AZ2026" s="152"/>
      <c r="BA2026" s="152"/>
      <c r="BB2026" s="152"/>
      <c r="BC2026" s="152"/>
      <c r="BD2026" s="152"/>
      <c r="BE2026" s="152"/>
      <c r="BF2026" s="152"/>
      <c r="BG2026" s="152"/>
      <c r="BH2026" s="152"/>
      <c r="BI2026" s="153"/>
      <c r="BJ2026" s="153"/>
      <c r="BK2026" s="153"/>
      <c r="BL2026" s="153"/>
      <c r="BM2026" s="153"/>
      <c r="BN2026" s="153"/>
      <c r="BO2026" s="153"/>
      <c r="BP2026" s="153"/>
      <c r="BQ2026" s="153"/>
      <c r="BR2026" s="153"/>
      <c r="BS2026" s="153"/>
      <c r="BT2026" s="153"/>
      <c r="BU2026" s="153"/>
      <c r="BV2026" s="153"/>
      <c r="BW2026" s="153"/>
      <c r="BX2026" s="153"/>
      <c r="BY2026" s="153"/>
      <c r="BZ2026" s="153"/>
      <c r="CA2026" s="152"/>
      <c r="CB2026" s="152"/>
    </row>
    <row r="2027" spans="1:80" s="87" customFormat="1" x14ac:dyDescent="0.2">
      <c r="A2027" s="152"/>
      <c r="B2027" s="683"/>
      <c r="C2027" s="683"/>
      <c r="D2027" s="698"/>
      <c r="E2027" s="215"/>
      <c r="F2027" s="215"/>
      <c r="G2027" s="153"/>
      <c r="H2027" s="153"/>
      <c r="I2027" s="163">
        <v>20</v>
      </c>
      <c r="J2027" s="163">
        <v>60</v>
      </c>
      <c r="K2027" s="86">
        <v>1</v>
      </c>
      <c r="L2027" s="656">
        <v>20</v>
      </c>
      <c r="M2027" s="662" t="s">
        <v>876</v>
      </c>
      <c r="N2027" s="600">
        <v>3.4824990000000002</v>
      </c>
      <c r="O2027" s="605">
        <v>2.7499520000000003E-2</v>
      </c>
      <c r="P2027" s="239"/>
      <c r="Q2027" s="246"/>
      <c r="R2027" s="247">
        <v>6.6299999999999998E-2</v>
      </c>
      <c r="S2027" s="119">
        <v>2.18E-2</v>
      </c>
      <c r="T2027" s="119">
        <v>4.1795241034080784E-2</v>
      </c>
      <c r="U2027" s="119">
        <v>8.389906054995544E-2</v>
      </c>
      <c r="V2027" s="731">
        <v>0.78615511211684852</v>
      </c>
      <c r="W2027" s="737"/>
      <c r="X2027" s="733"/>
      <c r="Y2027" s="738"/>
      <c r="Z2027" s="109">
        <v>25</v>
      </c>
      <c r="AA2027" s="101">
        <v>0.76</v>
      </c>
      <c r="AB2027" s="152"/>
      <c r="AC2027" s="152"/>
      <c r="AD2027" s="244">
        <f>0.3048*27.4</f>
        <v>8.3515200000000007</v>
      </c>
      <c r="AE2027" s="244">
        <f>0.3048*1.43</f>
        <v>0.43586400000000003</v>
      </c>
      <c r="AF2027" s="244">
        <f>0.3048*0.3048*39.16</f>
        <v>3.6380830463999998</v>
      </c>
      <c r="AG2027" s="244">
        <f>0.3049*3.32</f>
        <v>1.0122679999999999</v>
      </c>
      <c r="AH2027" s="341"/>
      <c r="AI2027" s="218"/>
      <c r="AJ2027" s="218"/>
      <c r="AK2027" s="153"/>
      <c r="AL2027" s="152"/>
      <c r="AM2027" s="152"/>
      <c r="AN2027" s="152"/>
      <c r="AO2027" s="152"/>
      <c r="AP2027" s="152"/>
      <c r="AQ2027" s="152"/>
      <c r="AR2027" s="152"/>
      <c r="AS2027" s="152"/>
      <c r="AT2027" s="152"/>
      <c r="AU2027" s="153"/>
      <c r="AV2027" s="479"/>
      <c r="AW2027" s="479"/>
      <c r="AX2027" s="442"/>
      <c r="AY2027" s="153"/>
      <c r="AZ2027" s="152"/>
      <c r="BA2027" s="152"/>
      <c r="BB2027" s="152"/>
      <c r="BC2027" s="152"/>
      <c r="BD2027" s="152"/>
      <c r="BE2027" s="152"/>
      <c r="BF2027" s="152"/>
      <c r="BG2027" s="152"/>
      <c r="BH2027" s="152"/>
      <c r="BI2027" s="153"/>
      <c r="BJ2027" s="153"/>
      <c r="BK2027" s="153"/>
      <c r="BL2027" s="153"/>
      <c r="BM2027" s="153"/>
      <c r="BN2027" s="153"/>
      <c r="BO2027" s="153"/>
      <c r="BP2027" s="153"/>
      <c r="BQ2027" s="153"/>
      <c r="BR2027" s="153"/>
      <c r="BS2027" s="153"/>
      <c r="BT2027" s="153"/>
      <c r="BU2027" s="153"/>
      <c r="BV2027" s="153"/>
      <c r="BW2027" s="153"/>
      <c r="BX2027" s="153"/>
      <c r="BY2027" s="153"/>
      <c r="BZ2027" s="153"/>
      <c r="CA2027" s="152"/>
      <c r="CB2027" s="152"/>
    </row>
    <row r="2028" spans="1:80" s="87" customFormat="1" x14ac:dyDescent="0.2">
      <c r="A2028" s="152"/>
      <c r="B2028" s="683"/>
      <c r="C2028" s="683"/>
      <c r="D2028" s="698"/>
      <c r="E2028" s="215"/>
      <c r="F2028" s="215"/>
      <c r="G2028" s="153"/>
      <c r="H2028" s="153"/>
      <c r="I2028" s="163">
        <v>20</v>
      </c>
      <c r="J2028" s="163">
        <v>60</v>
      </c>
      <c r="K2028" s="86">
        <v>1</v>
      </c>
      <c r="L2028" s="656">
        <v>20</v>
      </c>
      <c r="M2028" s="662" t="s">
        <v>876</v>
      </c>
      <c r="N2028" s="600">
        <v>3.4824990000000002</v>
      </c>
      <c r="O2028" s="605">
        <v>9.5408640000000003E-2</v>
      </c>
      <c r="P2028" s="239"/>
      <c r="Q2028" s="246"/>
      <c r="R2028" s="245" t="s">
        <v>29</v>
      </c>
      <c r="S2028" s="119">
        <v>0.1341</v>
      </c>
      <c r="T2028" s="119">
        <v>0.14379434347361258</v>
      </c>
      <c r="U2028" s="119">
        <v>0.19226358246671199</v>
      </c>
      <c r="V2028" s="731">
        <v>0.45245407716979291</v>
      </c>
      <c r="W2028" s="737"/>
      <c r="X2028" s="733"/>
      <c r="Y2028" s="738"/>
      <c r="Z2028" s="109">
        <v>40</v>
      </c>
      <c r="AA2028" s="101">
        <v>2.35</v>
      </c>
      <c r="AB2028" s="152"/>
      <c r="AC2028" s="152"/>
      <c r="AD2028" s="244">
        <f>0.3048*27.4</f>
        <v>8.3515200000000007</v>
      </c>
      <c r="AE2028" s="244">
        <f>0.3048*1.43</f>
        <v>0.43586400000000003</v>
      </c>
      <c r="AF2028" s="244">
        <f>0.3048*0.3048*39.16</f>
        <v>3.6380830463999998</v>
      </c>
      <c r="AG2028" s="244">
        <f>0.3049*3.32</f>
        <v>1.0122679999999999</v>
      </c>
      <c r="AH2028" s="341"/>
      <c r="AI2028" s="218"/>
      <c r="AJ2028" s="218"/>
      <c r="AK2028" s="153"/>
      <c r="AL2028" s="152"/>
      <c r="AM2028" s="152"/>
      <c r="AN2028" s="152"/>
      <c r="AO2028" s="152"/>
      <c r="AP2028" s="152"/>
      <c r="AQ2028" s="152"/>
      <c r="AR2028" s="152"/>
      <c r="AS2028" s="152"/>
      <c r="AT2028" s="152"/>
      <c r="AU2028" s="153"/>
      <c r="AV2028" s="479"/>
      <c r="AW2028" s="479"/>
      <c r="AX2028" s="442"/>
      <c r="AY2028" s="153"/>
      <c r="AZ2028" s="152"/>
      <c r="BA2028" s="152"/>
      <c r="BB2028" s="152"/>
      <c r="BC2028" s="152"/>
      <c r="BD2028" s="152"/>
      <c r="BE2028" s="152"/>
      <c r="BF2028" s="152"/>
      <c r="BG2028" s="152"/>
      <c r="BH2028" s="152"/>
      <c r="BI2028" s="153"/>
      <c r="BJ2028" s="153"/>
      <c r="BK2028" s="153"/>
      <c r="BL2028" s="153"/>
      <c r="BM2028" s="153"/>
      <c r="BN2028" s="153"/>
      <c r="BO2028" s="153"/>
      <c r="BP2028" s="153"/>
      <c r="BQ2028" s="153"/>
      <c r="BR2028" s="153"/>
      <c r="BS2028" s="153"/>
      <c r="BT2028" s="153"/>
      <c r="BU2028" s="153"/>
      <c r="BV2028" s="153"/>
      <c r="BW2028" s="153"/>
      <c r="BX2028" s="153"/>
      <c r="BY2028" s="153"/>
      <c r="BZ2028" s="153"/>
      <c r="CA2028" s="152"/>
      <c r="CB2028" s="152"/>
    </row>
    <row r="2029" spans="1:80" s="87" customFormat="1" x14ac:dyDescent="0.2">
      <c r="A2029" s="152"/>
      <c r="B2029" s="683"/>
      <c r="C2029" s="683"/>
      <c r="D2029" s="698"/>
      <c r="E2029" s="215"/>
      <c r="F2029" s="215"/>
      <c r="G2029" s="153"/>
      <c r="H2029" s="153"/>
      <c r="I2029" s="163">
        <v>20</v>
      </c>
      <c r="J2029" s="163">
        <v>60</v>
      </c>
      <c r="K2029" s="86">
        <v>1</v>
      </c>
      <c r="L2029" s="656">
        <v>20</v>
      </c>
      <c r="M2029" s="662" t="s">
        <v>876</v>
      </c>
      <c r="N2029" s="600">
        <v>3.4824990000000002</v>
      </c>
      <c r="O2029" s="605">
        <v>6.3605759999999997E-2</v>
      </c>
      <c r="P2029" s="239"/>
      <c r="Q2029" s="246"/>
      <c r="R2029" s="245" t="s">
        <v>29</v>
      </c>
      <c r="S2029" s="119">
        <v>9.6799999999999997E-2</v>
      </c>
      <c r="T2029" s="119">
        <v>8.6347465164541948E-2</v>
      </c>
      <c r="U2029" s="119">
        <v>0.12625259412985471</v>
      </c>
      <c r="V2029" s="731">
        <v>0.61528313074414465</v>
      </c>
      <c r="W2029" s="737"/>
      <c r="X2029" s="733"/>
      <c r="Y2029" s="738"/>
      <c r="Z2029" s="109">
        <v>24.5</v>
      </c>
      <c r="AA2029" s="101">
        <v>1.33</v>
      </c>
      <c r="AB2029" s="152"/>
      <c r="AC2029" s="152"/>
      <c r="AD2029" s="244">
        <f>0.3048*27.4</f>
        <v>8.3515200000000007</v>
      </c>
      <c r="AE2029" s="244">
        <f>0.3048*1.43</f>
        <v>0.43586400000000003</v>
      </c>
      <c r="AF2029" s="244">
        <f>0.3048*0.3048*39.16</f>
        <v>3.6380830463999998</v>
      </c>
      <c r="AG2029" s="244">
        <f>0.3049*3.32</f>
        <v>1.0122679999999999</v>
      </c>
      <c r="AH2029" s="341"/>
      <c r="AI2029" s="218"/>
      <c r="AJ2029" s="218"/>
      <c r="AK2029" s="153"/>
      <c r="AL2029" s="152"/>
      <c r="AM2029" s="152"/>
      <c r="AN2029" s="152"/>
      <c r="AO2029" s="152"/>
      <c r="AP2029" s="152"/>
      <c r="AQ2029" s="152"/>
      <c r="AR2029" s="152"/>
      <c r="AS2029" s="152"/>
      <c r="AT2029" s="152"/>
      <c r="AU2029" s="153"/>
      <c r="AV2029" s="479"/>
      <c r="AW2029" s="479"/>
      <c r="AX2029" s="442"/>
      <c r="AY2029" s="153"/>
      <c r="AZ2029" s="152"/>
      <c r="BA2029" s="152"/>
      <c r="BB2029" s="152"/>
      <c r="BC2029" s="152"/>
      <c r="BD2029" s="152"/>
      <c r="BE2029" s="152"/>
      <c r="BF2029" s="152"/>
      <c r="BG2029" s="152"/>
      <c r="BH2029" s="152"/>
      <c r="BI2029" s="153"/>
      <c r="BJ2029" s="153"/>
      <c r="BK2029" s="153"/>
      <c r="BL2029" s="153"/>
      <c r="BM2029" s="153"/>
      <c r="BN2029" s="153"/>
      <c r="BO2029" s="153"/>
      <c r="BP2029" s="153"/>
      <c r="BQ2029" s="153"/>
      <c r="BR2029" s="153"/>
      <c r="BS2029" s="153"/>
      <c r="BT2029" s="153"/>
      <c r="BU2029" s="153"/>
      <c r="BV2029" s="153"/>
      <c r="BW2029" s="153"/>
      <c r="BX2029" s="153"/>
      <c r="BY2029" s="153"/>
      <c r="BZ2029" s="153"/>
      <c r="CA2029" s="152"/>
      <c r="CB2029" s="152"/>
    </row>
    <row r="2030" spans="1:80" s="87" customFormat="1" x14ac:dyDescent="0.2">
      <c r="A2030" s="152"/>
      <c r="B2030" s="683"/>
      <c r="C2030" s="683"/>
      <c r="D2030" s="698"/>
      <c r="E2030" s="215"/>
      <c r="F2030" s="215"/>
      <c r="G2030" s="153"/>
      <c r="H2030" s="153"/>
      <c r="I2030" s="163">
        <v>20</v>
      </c>
      <c r="J2030" s="163">
        <v>60</v>
      </c>
      <c r="K2030" s="86">
        <v>1</v>
      </c>
      <c r="L2030" s="656">
        <v>20</v>
      </c>
      <c r="M2030" s="662" t="s">
        <v>877</v>
      </c>
      <c r="N2030" s="600">
        <v>3.8788810000000002</v>
      </c>
      <c r="O2030" s="605">
        <v>0.1091584</v>
      </c>
      <c r="P2030" s="239"/>
      <c r="Q2030" s="246"/>
      <c r="R2030" s="245" t="s">
        <v>29</v>
      </c>
      <c r="S2030" s="119">
        <v>0.1255</v>
      </c>
      <c r="T2030" s="119">
        <v>0.19172562553925801</v>
      </c>
      <c r="U2030" s="119">
        <v>0.16799827437446072</v>
      </c>
      <c r="V2030" s="731">
        <v>0.39910267471958583</v>
      </c>
      <c r="W2030" s="737"/>
      <c r="X2030" s="733"/>
      <c r="Y2030" s="738"/>
      <c r="Z2030" s="109">
        <v>30.5</v>
      </c>
      <c r="AA2030" s="101">
        <v>3.11</v>
      </c>
      <c r="AB2030" s="152"/>
      <c r="AC2030" s="152"/>
      <c r="AD2030" s="244">
        <f>0.3048*27.8</f>
        <v>8.4734400000000001</v>
      </c>
      <c r="AE2030" s="244">
        <f>0.3048*1.46</f>
        <v>0.44500800000000001</v>
      </c>
      <c r="AF2030" s="244">
        <f>0.3048*0.3048*40.65</f>
        <v>3.7765085760000003</v>
      </c>
      <c r="AG2030" s="244">
        <f>0.3048*3.37</f>
        <v>1.0271760000000001</v>
      </c>
      <c r="AH2030" s="341"/>
      <c r="AI2030" s="218"/>
      <c r="AJ2030" s="218"/>
      <c r="AK2030" s="153"/>
      <c r="AL2030" s="152"/>
      <c r="AM2030" s="152"/>
      <c r="AN2030" s="152"/>
      <c r="AO2030" s="152"/>
      <c r="AP2030" s="152"/>
      <c r="AQ2030" s="152"/>
      <c r="AR2030" s="152"/>
      <c r="AS2030" s="152"/>
      <c r="AT2030" s="152"/>
      <c r="AU2030" s="153"/>
      <c r="AV2030" s="479"/>
      <c r="AW2030" s="479"/>
      <c r="AX2030" s="442"/>
      <c r="AY2030" s="153"/>
      <c r="AZ2030" s="152"/>
      <c r="BA2030" s="152"/>
      <c r="BB2030" s="152"/>
      <c r="BC2030" s="152"/>
      <c r="BD2030" s="152"/>
      <c r="BE2030" s="152"/>
      <c r="BF2030" s="152"/>
      <c r="BG2030" s="152"/>
      <c r="BH2030" s="152"/>
      <c r="BI2030" s="153"/>
      <c r="BJ2030" s="153"/>
      <c r="BK2030" s="153"/>
      <c r="BL2030" s="153"/>
      <c r="BM2030" s="153"/>
      <c r="BN2030" s="153"/>
      <c r="BO2030" s="153"/>
      <c r="BP2030" s="153"/>
      <c r="BQ2030" s="153"/>
      <c r="BR2030" s="153"/>
      <c r="BS2030" s="153"/>
      <c r="BT2030" s="153"/>
      <c r="BU2030" s="153"/>
      <c r="BV2030" s="153"/>
      <c r="BW2030" s="153"/>
      <c r="BX2030" s="153"/>
      <c r="BY2030" s="153"/>
      <c r="BZ2030" s="153"/>
      <c r="CA2030" s="152"/>
      <c r="CB2030" s="152"/>
    </row>
    <row r="2031" spans="1:80" s="87" customFormat="1" x14ac:dyDescent="0.2">
      <c r="A2031" s="152"/>
      <c r="B2031" s="683"/>
      <c r="C2031" s="683"/>
      <c r="D2031" s="698"/>
      <c r="E2031" s="215"/>
      <c r="F2031" s="215"/>
      <c r="G2031" s="153"/>
      <c r="H2031" s="153"/>
      <c r="I2031" s="163">
        <v>20</v>
      </c>
      <c r="J2031" s="163">
        <v>60</v>
      </c>
      <c r="K2031" s="86">
        <v>1</v>
      </c>
      <c r="L2031" s="656">
        <v>20</v>
      </c>
      <c r="M2031" s="662" t="s">
        <v>877</v>
      </c>
      <c r="N2031" s="600">
        <v>3.8788810000000002</v>
      </c>
      <c r="O2031" s="605">
        <v>6.0247040000000002E-2</v>
      </c>
      <c r="P2031" s="239"/>
      <c r="Q2031" s="246"/>
      <c r="R2031" s="247">
        <v>5.8000000000000003E-2</v>
      </c>
      <c r="S2031" s="119">
        <v>9.11E-2</v>
      </c>
      <c r="T2031" s="119">
        <v>0.1531514581373471</v>
      </c>
      <c r="U2031" s="119">
        <v>0.17684227030417055</v>
      </c>
      <c r="V2031" s="731">
        <v>0.52074317968015038</v>
      </c>
      <c r="W2031" s="737"/>
      <c r="X2031" s="733"/>
      <c r="Y2031" s="738"/>
      <c r="Z2031" s="109">
        <v>26.5</v>
      </c>
      <c r="AA2031" s="101">
        <v>1.86</v>
      </c>
      <c r="AB2031" s="152"/>
      <c r="AC2031" s="152"/>
      <c r="AD2031" s="244">
        <f>0.3048*27.8</f>
        <v>8.4734400000000001</v>
      </c>
      <c r="AE2031" s="244">
        <f>0.3048*1.46</f>
        <v>0.44500800000000001</v>
      </c>
      <c r="AF2031" s="244">
        <f>0.3048*0.3048*40.65</f>
        <v>3.7765085760000003</v>
      </c>
      <c r="AG2031" s="244">
        <f>0.3048*3.37</f>
        <v>1.0271760000000001</v>
      </c>
      <c r="AH2031" s="341"/>
      <c r="AI2031" s="218"/>
      <c r="AJ2031" s="218"/>
      <c r="AK2031" s="153"/>
      <c r="AL2031" s="152"/>
      <c r="AM2031" s="152"/>
      <c r="AN2031" s="152"/>
      <c r="AO2031" s="152"/>
      <c r="AP2031" s="152"/>
      <c r="AQ2031" s="152"/>
      <c r="AR2031" s="152"/>
      <c r="AS2031" s="152"/>
      <c r="AT2031" s="152"/>
      <c r="AU2031" s="153"/>
      <c r="AV2031" s="479"/>
      <c r="AW2031" s="479"/>
      <c r="AX2031" s="442"/>
      <c r="AY2031" s="153"/>
      <c r="AZ2031" s="152"/>
      <c r="BA2031" s="152"/>
      <c r="BB2031" s="152"/>
      <c r="BC2031" s="152"/>
      <c r="BD2031" s="152"/>
      <c r="BE2031" s="152"/>
      <c r="BF2031" s="152"/>
      <c r="BG2031" s="152"/>
      <c r="BH2031" s="152"/>
      <c r="BI2031" s="153"/>
      <c r="BJ2031" s="153"/>
      <c r="BK2031" s="153"/>
      <c r="BL2031" s="153"/>
      <c r="BM2031" s="153"/>
      <c r="BN2031" s="153"/>
      <c r="BO2031" s="153"/>
      <c r="BP2031" s="153"/>
      <c r="BQ2031" s="153"/>
      <c r="BR2031" s="153"/>
      <c r="BS2031" s="153"/>
      <c r="BT2031" s="153"/>
      <c r="BU2031" s="153"/>
      <c r="BV2031" s="153"/>
      <c r="BW2031" s="153"/>
      <c r="BX2031" s="153"/>
      <c r="BY2031" s="153"/>
      <c r="BZ2031" s="153"/>
      <c r="CA2031" s="152"/>
      <c r="CB2031" s="152"/>
    </row>
    <row r="2032" spans="1:80" s="87" customFormat="1" x14ac:dyDescent="0.2">
      <c r="A2032" s="152"/>
      <c r="B2032" s="683"/>
      <c r="C2032" s="683"/>
      <c r="D2032" s="698"/>
      <c r="E2032" s="215"/>
      <c r="F2032" s="215"/>
      <c r="G2032" s="153"/>
      <c r="H2032" s="153"/>
      <c r="I2032" s="163">
        <v>21</v>
      </c>
      <c r="J2032" s="163">
        <v>60</v>
      </c>
      <c r="K2032" s="86">
        <v>1</v>
      </c>
      <c r="L2032" s="656">
        <v>21</v>
      </c>
      <c r="M2032" s="662" t="s">
        <v>878</v>
      </c>
      <c r="N2032" s="600">
        <v>3.11443</v>
      </c>
      <c r="O2032" s="605">
        <v>1.500928E-2</v>
      </c>
      <c r="P2032" s="239"/>
      <c r="Q2032" s="246"/>
      <c r="R2032" s="245"/>
      <c r="S2032" s="119">
        <v>2.5000000000000001E-2</v>
      </c>
      <c r="T2032" s="119">
        <v>8.2299956814115643E-2</v>
      </c>
      <c r="U2032" s="119">
        <v>0.13708433586279231</v>
      </c>
      <c r="V2032" s="731">
        <v>0.75599975322351809</v>
      </c>
      <c r="W2032" s="737"/>
      <c r="X2032" s="733"/>
      <c r="Y2032" s="738"/>
      <c r="Z2032" s="109">
        <v>12</v>
      </c>
      <c r="AA2032" s="101">
        <v>0.85</v>
      </c>
      <c r="AB2032" s="152"/>
      <c r="AC2032" s="152"/>
      <c r="AD2032" s="244">
        <f>0.3048*27.2</f>
        <v>8.290560000000001</v>
      </c>
      <c r="AE2032" s="244">
        <f>0.3048*1.42</f>
        <v>0.43281599999999998</v>
      </c>
      <c r="AF2032" s="244">
        <f>0.3048*0.3048*38.54</f>
        <v>3.5804831616000001</v>
      </c>
      <c r="AG2032" s="244">
        <f>0.3048*2.87</f>
        <v>0.87477600000000011</v>
      </c>
      <c r="AH2032" s="341"/>
      <c r="AI2032" s="218"/>
      <c r="AJ2032" s="218"/>
      <c r="AK2032" s="153"/>
      <c r="AL2032" s="152"/>
      <c r="AM2032" s="152"/>
      <c r="AN2032" s="152"/>
      <c r="AO2032" s="152"/>
      <c r="AP2032" s="152"/>
      <c r="AQ2032" s="152"/>
      <c r="AR2032" s="152"/>
      <c r="AS2032" s="152"/>
      <c r="AT2032" s="152"/>
      <c r="AU2032" s="153"/>
      <c r="AV2032" s="479"/>
      <c r="AW2032" s="479"/>
      <c r="AX2032" s="442"/>
      <c r="AY2032" s="153"/>
      <c r="AZ2032" s="152"/>
      <c r="BA2032" s="152"/>
      <c r="BB2032" s="152"/>
      <c r="BC2032" s="152"/>
      <c r="BD2032" s="152"/>
      <c r="BE2032" s="152"/>
      <c r="BF2032" s="152"/>
      <c r="BG2032" s="152"/>
      <c r="BH2032" s="152"/>
      <c r="BI2032" s="153"/>
      <c r="BJ2032" s="153"/>
      <c r="BK2032" s="153"/>
      <c r="BL2032" s="153"/>
      <c r="BM2032" s="153"/>
      <c r="BN2032" s="153"/>
      <c r="BO2032" s="153"/>
      <c r="BP2032" s="153"/>
      <c r="BQ2032" s="153"/>
      <c r="BR2032" s="153"/>
      <c r="BS2032" s="153"/>
      <c r="BT2032" s="153"/>
      <c r="BU2032" s="153"/>
      <c r="BV2032" s="153"/>
      <c r="BW2032" s="153"/>
      <c r="BX2032" s="153"/>
      <c r="BY2032" s="153"/>
      <c r="BZ2032" s="153"/>
      <c r="CA2032" s="152"/>
      <c r="CB2032" s="152"/>
    </row>
    <row r="2033" spans="1:80" s="87" customFormat="1" x14ac:dyDescent="0.2">
      <c r="A2033" s="152"/>
      <c r="B2033" s="683"/>
      <c r="C2033" s="683"/>
      <c r="D2033" s="698"/>
      <c r="E2033" s="215"/>
      <c r="F2033" s="215"/>
      <c r="G2033" s="153"/>
      <c r="H2033" s="153"/>
      <c r="I2033" s="163">
        <v>21</v>
      </c>
      <c r="J2033" s="163">
        <v>60</v>
      </c>
      <c r="K2033" s="86">
        <v>1</v>
      </c>
      <c r="L2033" s="656">
        <v>21</v>
      </c>
      <c r="M2033" s="662" t="s">
        <v>878</v>
      </c>
      <c r="N2033" s="600">
        <v>3.11443</v>
      </c>
      <c r="O2033" s="605">
        <v>1.721344E-2</v>
      </c>
      <c r="P2033" s="239"/>
      <c r="Q2033" s="246"/>
      <c r="R2033" s="245"/>
      <c r="S2033" s="119">
        <v>9.5799999999999996E-2</v>
      </c>
      <c r="T2033" s="119">
        <v>0.11884057971014496</v>
      </c>
      <c r="U2033" s="119">
        <v>0.13431774678698388</v>
      </c>
      <c r="V2033" s="731">
        <v>0.65102543068088603</v>
      </c>
      <c r="W2033" s="737"/>
      <c r="X2033" s="733"/>
      <c r="Y2033" s="738"/>
      <c r="Z2033" s="109">
        <v>16</v>
      </c>
      <c r="AA2033" s="101">
        <v>1.0900000000000001</v>
      </c>
      <c r="AB2033" s="152"/>
      <c r="AC2033" s="152"/>
      <c r="AD2033" s="244">
        <f>0.3048*27.2</f>
        <v>8.290560000000001</v>
      </c>
      <c r="AE2033" s="244">
        <f>0.3048*1.42</f>
        <v>0.43281599999999998</v>
      </c>
      <c r="AF2033" s="244">
        <f>0.3048*0.3048*38.54</f>
        <v>3.5804831616000001</v>
      </c>
      <c r="AG2033" s="244">
        <f>0.3048*2.87</f>
        <v>0.87477600000000011</v>
      </c>
      <c r="AH2033" s="341"/>
      <c r="AI2033" s="218"/>
      <c r="AJ2033" s="218"/>
      <c r="AK2033" s="153"/>
      <c r="AL2033" s="152"/>
      <c r="AM2033" s="152"/>
      <c r="AN2033" s="152"/>
      <c r="AO2033" s="152"/>
      <c r="AP2033" s="152"/>
      <c r="AQ2033" s="152"/>
      <c r="AR2033" s="152"/>
      <c r="AS2033" s="152"/>
      <c r="AT2033" s="152"/>
      <c r="AU2033" s="153"/>
      <c r="AV2033" s="479"/>
      <c r="AW2033" s="479"/>
      <c r="AX2033" s="442"/>
      <c r="AY2033" s="153"/>
      <c r="AZ2033" s="152"/>
      <c r="BA2033" s="152"/>
      <c r="BB2033" s="152"/>
      <c r="BC2033" s="152"/>
      <c r="BD2033" s="152"/>
      <c r="BE2033" s="152"/>
      <c r="BF2033" s="152"/>
      <c r="BG2033" s="152"/>
      <c r="BH2033" s="152"/>
      <c r="BI2033" s="153"/>
      <c r="BJ2033" s="153"/>
      <c r="BK2033" s="153"/>
      <c r="BL2033" s="153"/>
      <c r="BM2033" s="153"/>
      <c r="BN2033" s="153"/>
      <c r="BO2033" s="153"/>
      <c r="BP2033" s="153"/>
      <c r="BQ2033" s="153"/>
      <c r="BR2033" s="153"/>
      <c r="BS2033" s="153"/>
      <c r="BT2033" s="153"/>
      <c r="BU2033" s="153"/>
      <c r="BV2033" s="153"/>
      <c r="BW2033" s="153"/>
      <c r="BX2033" s="153"/>
      <c r="BY2033" s="153"/>
      <c r="BZ2033" s="153"/>
      <c r="CA2033" s="152"/>
      <c r="CB2033" s="152"/>
    </row>
    <row r="2034" spans="1:80" s="87" customFormat="1" x14ac:dyDescent="0.2">
      <c r="A2034" s="152"/>
      <c r="B2034" s="683"/>
      <c r="C2034" s="683"/>
      <c r="D2034" s="698"/>
      <c r="E2034" s="215"/>
      <c r="F2034" s="215"/>
      <c r="G2034" s="153"/>
      <c r="H2034" s="153"/>
      <c r="I2034" s="163">
        <v>21</v>
      </c>
      <c r="J2034" s="163">
        <v>60</v>
      </c>
      <c r="K2034" s="86">
        <v>1</v>
      </c>
      <c r="L2034" s="656">
        <v>21</v>
      </c>
      <c r="M2034" s="662" t="s">
        <v>879</v>
      </c>
      <c r="N2034" s="600">
        <v>3.0294910000000002</v>
      </c>
      <c r="O2034" s="605">
        <v>2.5715200000000001E-2</v>
      </c>
      <c r="P2034" s="239"/>
      <c r="Q2034" s="246"/>
      <c r="R2034" s="245"/>
      <c r="S2034" s="119">
        <v>5.7099999999999998E-2</v>
      </c>
      <c r="T2034" s="119">
        <v>0.14085535465924895</v>
      </c>
      <c r="U2034" s="119">
        <v>0.20274687065368568</v>
      </c>
      <c r="V2034" s="731">
        <v>0.59930458970792766</v>
      </c>
      <c r="W2034" s="737"/>
      <c r="X2034" s="733"/>
      <c r="Y2034" s="738"/>
      <c r="Z2034" s="109">
        <v>15</v>
      </c>
      <c r="AA2034" s="101">
        <v>1.43</v>
      </c>
      <c r="AB2034" s="152"/>
      <c r="AC2034" s="152"/>
      <c r="AD2034" s="244">
        <f>0.3048*27.7</f>
        <v>8.4429599999999994</v>
      </c>
      <c r="AE2034" s="244">
        <f>0.3048*1.41</f>
        <v>0.42976799999999998</v>
      </c>
      <c r="AF2034" s="244">
        <f>0.3048*0.3048*38.99</f>
        <v>3.6222895296000006</v>
      </c>
      <c r="AG2034" s="244">
        <f>0.3048*2.64</f>
        <v>0.80467200000000005</v>
      </c>
      <c r="AH2034" s="341"/>
      <c r="AI2034" s="218"/>
      <c r="AJ2034" s="218"/>
      <c r="AK2034" s="153"/>
      <c r="AL2034" s="152"/>
      <c r="AM2034" s="152"/>
      <c r="AN2034" s="152"/>
      <c r="AO2034" s="152"/>
      <c r="AP2034" s="152"/>
      <c r="AQ2034" s="152"/>
      <c r="AR2034" s="152"/>
      <c r="AS2034" s="152"/>
      <c r="AT2034" s="152"/>
      <c r="AU2034" s="153"/>
      <c r="AV2034" s="479"/>
      <c r="AW2034" s="479"/>
      <c r="AX2034" s="442"/>
      <c r="AY2034" s="153"/>
      <c r="AZ2034" s="152"/>
      <c r="BA2034" s="152"/>
      <c r="BB2034" s="152"/>
      <c r="BC2034" s="152"/>
      <c r="BD2034" s="152"/>
      <c r="BE2034" s="152"/>
      <c r="BF2034" s="152"/>
      <c r="BG2034" s="152"/>
      <c r="BH2034" s="152"/>
      <c r="BI2034" s="153"/>
      <c r="BJ2034" s="153"/>
      <c r="BK2034" s="153"/>
      <c r="BL2034" s="153"/>
      <c r="BM2034" s="153"/>
      <c r="BN2034" s="153"/>
      <c r="BO2034" s="153"/>
      <c r="BP2034" s="153"/>
      <c r="BQ2034" s="153"/>
      <c r="BR2034" s="153"/>
      <c r="BS2034" s="153"/>
      <c r="BT2034" s="153"/>
      <c r="BU2034" s="153"/>
      <c r="BV2034" s="153"/>
      <c r="BW2034" s="153"/>
      <c r="BX2034" s="153"/>
      <c r="BY2034" s="153"/>
      <c r="BZ2034" s="153"/>
      <c r="CA2034" s="152"/>
      <c r="CB2034" s="152"/>
    </row>
    <row r="2035" spans="1:80" s="87" customFormat="1" x14ac:dyDescent="0.2">
      <c r="A2035" s="152"/>
      <c r="B2035" s="683"/>
      <c r="C2035" s="683"/>
      <c r="D2035" s="698"/>
      <c r="E2035" s="215"/>
      <c r="F2035" s="215"/>
      <c r="G2035" s="153"/>
      <c r="H2035" s="153"/>
      <c r="I2035" s="163">
        <v>21</v>
      </c>
      <c r="J2035" s="163">
        <v>60</v>
      </c>
      <c r="K2035" s="86">
        <v>1</v>
      </c>
      <c r="L2035" s="656">
        <v>21</v>
      </c>
      <c r="M2035" s="662" t="s">
        <v>879</v>
      </c>
      <c r="N2035" s="600">
        <v>3.0294910000000002</v>
      </c>
      <c r="O2035" s="605">
        <v>1.9627520000000002E-2</v>
      </c>
      <c r="P2035" s="239"/>
      <c r="Q2035" s="246"/>
      <c r="R2035" s="245"/>
      <c r="S2035" s="119">
        <v>6.6799999999999998E-2</v>
      </c>
      <c r="T2035" s="119">
        <v>8.7872674288276192E-2</v>
      </c>
      <c r="U2035" s="119">
        <v>0.10638870208473436</v>
      </c>
      <c r="V2035" s="731">
        <v>0.73893745796906518</v>
      </c>
      <c r="W2035" s="737"/>
      <c r="X2035" s="733"/>
      <c r="Y2035" s="738"/>
      <c r="Z2035" s="109">
        <v>17.5</v>
      </c>
      <c r="AA2035" s="101">
        <v>0.93</v>
      </c>
      <c r="AB2035" s="152"/>
      <c r="AC2035" s="152"/>
      <c r="AD2035" s="244">
        <f>0.3048*27.7</f>
        <v>8.4429599999999994</v>
      </c>
      <c r="AE2035" s="244">
        <f>0.3048*1.41</f>
        <v>0.42976799999999998</v>
      </c>
      <c r="AF2035" s="244">
        <f>0.3048*0.3048*38.99</f>
        <v>3.6222895296000006</v>
      </c>
      <c r="AG2035" s="244">
        <f>0.3048*2.64</f>
        <v>0.80467200000000005</v>
      </c>
      <c r="AH2035" s="341"/>
      <c r="AI2035" s="218"/>
      <c r="AJ2035" s="218"/>
      <c r="AK2035" s="153"/>
      <c r="AL2035" s="152"/>
      <c r="AM2035" s="152"/>
      <c r="AN2035" s="152"/>
      <c r="AO2035" s="152"/>
      <c r="AP2035" s="152"/>
      <c r="AQ2035" s="152"/>
      <c r="AR2035" s="152"/>
      <c r="AS2035" s="152"/>
      <c r="AT2035" s="152"/>
      <c r="AU2035" s="153"/>
      <c r="AV2035" s="479"/>
      <c r="AW2035" s="479"/>
      <c r="AX2035" s="442"/>
      <c r="AY2035" s="153"/>
      <c r="AZ2035" s="152"/>
      <c r="BA2035" s="152"/>
      <c r="BB2035" s="152"/>
      <c r="BC2035" s="152"/>
      <c r="BD2035" s="152"/>
      <c r="BE2035" s="152"/>
      <c r="BF2035" s="152"/>
      <c r="BG2035" s="152"/>
      <c r="BH2035" s="152"/>
      <c r="BI2035" s="153"/>
      <c r="BJ2035" s="153"/>
      <c r="BK2035" s="153"/>
      <c r="BL2035" s="153"/>
      <c r="BM2035" s="153"/>
      <c r="BN2035" s="153"/>
      <c r="BO2035" s="153"/>
      <c r="BP2035" s="153"/>
      <c r="BQ2035" s="153"/>
      <c r="BR2035" s="153"/>
      <c r="BS2035" s="153"/>
      <c r="BT2035" s="153"/>
      <c r="BU2035" s="153"/>
      <c r="BV2035" s="153"/>
      <c r="BW2035" s="153"/>
      <c r="BX2035" s="153"/>
      <c r="BY2035" s="153"/>
      <c r="BZ2035" s="153"/>
      <c r="CA2035" s="152"/>
      <c r="CB2035" s="152"/>
    </row>
    <row r="2036" spans="1:80" s="87" customFormat="1" x14ac:dyDescent="0.2">
      <c r="A2036" s="152"/>
      <c r="B2036" s="683"/>
      <c r="C2036" s="683"/>
      <c r="D2036" s="698"/>
      <c r="E2036" s="215"/>
      <c r="F2036" s="215"/>
      <c r="G2036" s="153"/>
      <c r="H2036" s="153"/>
      <c r="I2036" s="163">
        <v>20</v>
      </c>
      <c r="J2036" s="163">
        <v>60</v>
      </c>
      <c r="K2036" s="86">
        <v>1</v>
      </c>
      <c r="L2036" s="656">
        <v>20</v>
      </c>
      <c r="M2036" s="662" t="s">
        <v>880</v>
      </c>
      <c r="N2036" s="600">
        <v>2.6784097999999998</v>
      </c>
      <c r="O2036" s="605">
        <v>4.3243520000000001E-2</v>
      </c>
      <c r="P2036" s="239"/>
      <c r="Q2036" s="246"/>
      <c r="R2036" s="245" t="s">
        <v>29</v>
      </c>
      <c r="S2036" s="119">
        <v>9.3299999999999994E-2</v>
      </c>
      <c r="T2036" s="119">
        <v>0.14021924888499857</v>
      </c>
      <c r="U2036" s="119">
        <v>0.18060939518986288</v>
      </c>
      <c r="V2036" s="731">
        <v>0.43745571255887633</v>
      </c>
      <c r="W2036" s="737"/>
      <c r="X2036" s="733"/>
      <c r="Y2036" s="738"/>
      <c r="Z2036" s="109">
        <v>32</v>
      </c>
      <c r="AA2036" s="101">
        <v>2.4900000000000002</v>
      </c>
      <c r="AB2036" s="152"/>
      <c r="AC2036" s="152"/>
      <c r="AD2036" s="244">
        <f>0.3048*27</f>
        <v>8.2295999999999996</v>
      </c>
      <c r="AE2036" s="244">
        <f>0.3048*1.28</f>
        <v>0.39014400000000005</v>
      </c>
      <c r="AF2036" s="244">
        <f>0.3048*0.3048*34.64</f>
        <v>3.2181613056000002</v>
      </c>
      <c r="AG2036" s="244">
        <f>0.3048*2.64</f>
        <v>0.80467200000000005</v>
      </c>
      <c r="AH2036" s="341"/>
      <c r="AI2036" s="218"/>
      <c r="AJ2036" s="218"/>
      <c r="AK2036" s="153"/>
      <c r="AL2036" s="152"/>
      <c r="AM2036" s="152"/>
      <c r="AN2036" s="152"/>
      <c r="AO2036" s="152"/>
      <c r="AP2036" s="152"/>
      <c r="AQ2036" s="152"/>
      <c r="AR2036" s="152"/>
      <c r="AS2036" s="152"/>
      <c r="AT2036" s="152"/>
      <c r="AU2036" s="153"/>
      <c r="AV2036" s="479"/>
      <c r="AW2036" s="479"/>
      <c r="AX2036" s="442"/>
      <c r="AY2036" s="153"/>
      <c r="AZ2036" s="152"/>
      <c r="BA2036" s="152"/>
      <c r="BB2036" s="152"/>
      <c r="BC2036" s="152"/>
      <c r="BD2036" s="152"/>
      <c r="BE2036" s="152"/>
      <c r="BF2036" s="152"/>
      <c r="BG2036" s="152"/>
      <c r="BH2036" s="152"/>
      <c r="BI2036" s="153"/>
      <c r="BJ2036" s="153"/>
      <c r="BK2036" s="153"/>
      <c r="BL2036" s="153"/>
      <c r="BM2036" s="153"/>
      <c r="BN2036" s="153"/>
      <c r="BO2036" s="153"/>
      <c r="BP2036" s="153"/>
      <c r="BQ2036" s="153"/>
      <c r="BR2036" s="153"/>
      <c r="BS2036" s="153"/>
      <c r="BT2036" s="153"/>
      <c r="BU2036" s="153"/>
      <c r="BV2036" s="153"/>
      <c r="BW2036" s="153"/>
      <c r="BX2036" s="153"/>
      <c r="BY2036" s="153"/>
      <c r="BZ2036" s="153"/>
      <c r="CA2036" s="152"/>
      <c r="CB2036" s="152"/>
    </row>
    <row r="2037" spans="1:80" s="87" customFormat="1" x14ac:dyDescent="0.2">
      <c r="A2037" s="152"/>
      <c r="B2037" s="683"/>
      <c r="C2037" s="683"/>
      <c r="D2037" s="698"/>
      <c r="E2037" s="215"/>
      <c r="F2037" s="215"/>
      <c r="G2037" s="153"/>
      <c r="H2037" s="153"/>
      <c r="I2037" s="163">
        <v>20</v>
      </c>
      <c r="J2037" s="163">
        <v>60</v>
      </c>
      <c r="K2037" s="86">
        <v>1</v>
      </c>
      <c r="L2037" s="656">
        <v>20</v>
      </c>
      <c r="M2037" s="662" t="s">
        <v>880</v>
      </c>
      <c r="N2037" s="600">
        <v>2.6784097999999998</v>
      </c>
      <c r="O2037" s="605">
        <v>8.9320960000000005E-3</v>
      </c>
      <c r="P2037" s="239"/>
      <c r="Q2037" s="246"/>
      <c r="R2037" s="245" t="s">
        <v>29</v>
      </c>
      <c r="S2037" s="119">
        <v>5.7700000000000001E-2</v>
      </c>
      <c r="T2037" s="119">
        <v>7.2150072150072131E-2</v>
      </c>
      <c r="U2037" s="119">
        <v>0.11018346732632446</v>
      </c>
      <c r="V2037" s="731">
        <v>0.61884147598433303</v>
      </c>
      <c r="W2037" s="737"/>
      <c r="X2037" s="733"/>
      <c r="Y2037" s="738"/>
      <c r="Z2037" s="109">
        <v>27</v>
      </c>
      <c r="AA2037" s="101">
        <v>1.23</v>
      </c>
      <c r="AB2037" s="152"/>
      <c r="AC2037" s="152"/>
      <c r="AD2037" s="244">
        <f>0.3048*27</f>
        <v>8.2295999999999996</v>
      </c>
      <c r="AE2037" s="244">
        <f>0.3048*1.28</f>
        <v>0.39014400000000005</v>
      </c>
      <c r="AF2037" s="244">
        <f>0.3048*0.3048*34.64</f>
        <v>3.2181613056000002</v>
      </c>
      <c r="AG2037" s="244">
        <f>0.3048*2.64</f>
        <v>0.80467200000000005</v>
      </c>
      <c r="AH2037" s="341"/>
      <c r="AI2037" s="218"/>
      <c r="AJ2037" s="218"/>
      <c r="AK2037" s="153"/>
      <c r="AL2037" s="152"/>
      <c r="AM2037" s="152"/>
      <c r="AN2037" s="152"/>
      <c r="AO2037" s="152"/>
      <c r="AP2037" s="152"/>
      <c r="AQ2037" s="152"/>
      <c r="AR2037" s="152"/>
      <c r="AS2037" s="152"/>
      <c r="AT2037" s="152"/>
      <c r="AU2037" s="153"/>
      <c r="AV2037" s="479"/>
      <c r="AW2037" s="479"/>
      <c r="AX2037" s="442"/>
      <c r="AY2037" s="153"/>
      <c r="AZ2037" s="152"/>
      <c r="BA2037" s="152"/>
      <c r="BB2037" s="152"/>
      <c r="BC2037" s="152"/>
      <c r="BD2037" s="152"/>
      <c r="BE2037" s="152"/>
      <c r="BF2037" s="152"/>
      <c r="BG2037" s="152"/>
      <c r="BH2037" s="152"/>
      <c r="BI2037" s="153"/>
      <c r="BJ2037" s="153"/>
      <c r="BK2037" s="153"/>
      <c r="BL2037" s="153"/>
      <c r="BM2037" s="153"/>
      <c r="BN2037" s="153"/>
      <c r="BO2037" s="153"/>
      <c r="BP2037" s="153"/>
      <c r="BQ2037" s="153"/>
      <c r="BR2037" s="153"/>
      <c r="BS2037" s="153"/>
      <c r="BT2037" s="153"/>
      <c r="BU2037" s="153"/>
      <c r="BV2037" s="153"/>
      <c r="BW2037" s="153"/>
      <c r="BX2037" s="153"/>
      <c r="BY2037" s="153"/>
      <c r="BZ2037" s="153"/>
      <c r="CA2037" s="152"/>
      <c r="CB2037" s="152"/>
    </row>
    <row r="2038" spans="1:80" s="87" customFormat="1" x14ac:dyDescent="0.2">
      <c r="A2038" s="152"/>
      <c r="B2038" s="683"/>
      <c r="C2038" s="683"/>
      <c r="D2038" s="698"/>
      <c r="E2038" s="215"/>
      <c r="F2038" s="215"/>
      <c r="G2038" s="153"/>
      <c r="H2038" s="153"/>
      <c r="I2038" s="163">
        <v>21</v>
      </c>
      <c r="J2038" s="163">
        <v>60</v>
      </c>
      <c r="K2038" s="86">
        <v>1</v>
      </c>
      <c r="L2038" s="656">
        <v>21</v>
      </c>
      <c r="M2038" s="662" t="s">
        <v>881</v>
      </c>
      <c r="N2038" s="600">
        <v>0.64270510000000003</v>
      </c>
      <c r="O2038" s="605">
        <v>2.0362240000000001E-4</v>
      </c>
      <c r="P2038" s="239"/>
      <c r="Q2038" s="246"/>
      <c r="R2038" s="245"/>
      <c r="S2038" s="119"/>
      <c r="T2038" s="119"/>
      <c r="U2038" s="119">
        <v>0.11702127659574468</v>
      </c>
      <c r="V2038" s="731">
        <v>0.88297872340425532</v>
      </c>
      <c r="W2038" s="737"/>
      <c r="X2038" s="733"/>
      <c r="Y2038" s="738"/>
      <c r="Z2038" s="109">
        <v>4</v>
      </c>
      <c r="AA2038" s="101">
        <v>0.68</v>
      </c>
      <c r="AB2038" s="152"/>
      <c r="AC2038" s="152"/>
      <c r="AD2038" s="223"/>
      <c r="AE2038" s="223"/>
      <c r="AF2038" s="223"/>
      <c r="AG2038" s="223"/>
      <c r="AH2038" s="341"/>
      <c r="AI2038" s="218"/>
      <c r="AJ2038" s="218"/>
      <c r="AK2038" s="153"/>
      <c r="AL2038" s="152"/>
      <c r="AM2038" s="152"/>
      <c r="AN2038" s="152"/>
      <c r="AO2038" s="152"/>
      <c r="AP2038" s="152"/>
      <c r="AQ2038" s="152"/>
      <c r="AR2038" s="152"/>
      <c r="AS2038" s="152"/>
      <c r="AT2038" s="152"/>
      <c r="AU2038" s="153"/>
      <c r="AV2038" s="479"/>
      <c r="AW2038" s="479"/>
      <c r="AX2038" s="442"/>
      <c r="AY2038" s="153"/>
      <c r="AZ2038" s="152"/>
      <c r="BA2038" s="152"/>
      <c r="BB2038" s="152"/>
      <c r="BC2038" s="152"/>
      <c r="BD2038" s="152"/>
      <c r="BE2038" s="152"/>
      <c r="BF2038" s="152"/>
      <c r="BG2038" s="152"/>
      <c r="BH2038" s="152"/>
      <c r="BI2038" s="153"/>
      <c r="BJ2038" s="153"/>
      <c r="BK2038" s="153"/>
      <c r="BL2038" s="153"/>
      <c r="BM2038" s="153"/>
      <c r="BN2038" s="153"/>
      <c r="BO2038" s="153"/>
      <c r="BP2038" s="153"/>
      <c r="BQ2038" s="153"/>
      <c r="BR2038" s="153"/>
      <c r="BS2038" s="153"/>
      <c r="BT2038" s="153"/>
      <c r="BU2038" s="153"/>
      <c r="BV2038" s="153"/>
      <c r="BW2038" s="153"/>
      <c r="BX2038" s="153"/>
      <c r="BY2038" s="153"/>
      <c r="BZ2038" s="153"/>
      <c r="CA2038" s="152"/>
      <c r="CB2038" s="152"/>
    </row>
    <row r="2039" spans="1:80" s="87" customFormat="1" x14ac:dyDescent="0.2">
      <c r="A2039" s="152"/>
      <c r="B2039" s="683"/>
      <c r="C2039" s="683"/>
      <c r="D2039" s="698"/>
      <c r="E2039" s="215"/>
      <c r="F2039" s="215"/>
      <c r="G2039" s="153"/>
      <c r="H2039" s="153"/>
      <c r="I2039" s="163">
        <v>21</v>
      </c>
      <c r="J2039" s="163">
        <v>60</v>
      </c>
      <c r="K2039" s="86">
        <v>1</v>
      </c>
      <c r="L2039" s="656">
        <v>21</v>
      </c>
      <c r="M2039" s="662" t="s">
        <v>881</v>
      </c>
      <c r="N2039" s="600">
        <v>0.64270510000000003</v>
      </c>
      <c r="O2039" s="605">
        <v>8.2603520000000004E-5</v>
      </c>
      <c r="P2039" s="248"/>
      <c r="Q2039" s="249"/>
      <c r="R2039" s="245"/>
      <c r="S2039" s="119"/>
      <c r="T2039" s="119"/>
      <c r="U2039" s="119"/>
      <c r="V2039" s="731">
        <v>1</v>
      </c>
      <c r="W2039" s="739"/>
      <c r="X2039" s="740"/>
      <c r="Y2039" s="741"/>
      <c r="Z2039" s="109">
        <v>1</v>
      </c>
      <c r="AA2039" s="101">
        <v>0.51</v>
      </c>
      <c r="AB2039" s="152"/>
      <c r="AC2039" s="152"/>
      <c r="AD2039" s="223"/>
      <c r="AE2039" s="223"/>
      <c r="AF2039" s="223"/>
      <c r="AG2039" s="223"/>
      <c r="AH2039" s="341"/>
      <c r="AI2039" s="218"/>
      <c r="AJ2039" s="218"/>
      <c r="AK2039" s="153"/>
      <c r="AL2039" s="152"/>
      <c r="AM2039" s="152"/>
      <c r="AN2039" s="152"/>
      <c r="AO2039" s="152"/>
      <c r="AP2039" s="152"/>
      <c r="AQ2039" s="152"/>
      <c r="AR2039" s="152"/>
      <c r="AS2039" s="152"/>
      <c r="AT2039" s="152"/>
      <c r="AU2039" s="153"/>
      <c r="AV2039" s="479"/>
      <c r="AW2039" s="479"/>
      <c r="AX2039" s="442"/>
      <c r="AY2039" s="153"/>
      <c r="AZ2039" s="152"/>
      <c r="BA2039" s="152"/>
      <c r="BB2039" s="152"/>
      <c r="BC2039" s="152"/>
      <c r="BD2039" s="152"/>
      <c r="BE2039" s="152"/>
      <c r="BF2039" s="152"/>
      <c r="BG2039" s="152"/>
      <c r="BH2039" s="152"/>
      <c r="BI2039" s="153"/>
      <c r="BJ2039" s="153"/>
      <c r="BK2039" s="153"/>
      <c r="BL2039" s="153"/>
      <c r="BM2039" s="153"/>
      <c r="BN2039" s="153"/>
      <c r="BO2039" s="153"/>
      <c r="BP2039" s="153"/>
      <c r="BQ2039" s="153"/>
      <c r="BR2039" s="153"/>
      <c r="BS2039" s="153"/>
      <c r="BT2039" s="153"/>
      <c r="BU2039" s="153"/>
      <c r="BV2039" s="153"/>
      <c r="BW2039" s="153"/>
      <c r="BX2039" s="153"/>
      <c r="BY2039" s="153"/>
      <c r="BZ2039" s="153"/>
      <c r="CA2039" s="152"/>
      <c r="CB2039" s="152"/>
    </row>
    <row r="2040" spans="1:80" ht="15" x14ac:dyDescent="0.25">
      <c r="A2040" s="9" t="s">
        <v>187</v>
      </c>
      <c r="B2040" s="639" t="s">
        <v>66</v>
      </c>
      <c r="C2040" s="639"/>
      <c r="D2040" s="4">
        <f>VLOOKUP(E2040,'Quality Code'!D4:E24,2,TRUE)*VLOOKUP(MROUND(F2040,10),'Quality Code'!D28:E69,2,TRUE)*VLOOKUP(4,'Quality Code'!D73:E93,2,TRUE)</f>
        <v>3.8249999999999997</v>
      </c>
      <c r="E2040" s="14">
        <v>0.85</v>
      </c>
      <c r="F2040" s="18">
        <v>85</v>
      </c>
      <c r="G2040" s="12">
        <v>109.28700000000001</v>
      </c>
      <c r="H2040" s="2" t="s">
        <v>231</v>
      </c>
      <c r="I2040" s="10"/>
      <c r="J2040" s="10" t="s">
        <v>283</v>
      </c>
      <c r="K2040" s="10"/>
      <c r="L2040" s="640" t="s">
        <v>284</v>
      </c>
      <c r="M2040" s="640" t="s">
        <v>882</v>
      </c>
      <c r="N2040" s="579" t="s">
        <v>296</v>
      </c>
      <c r="O2040" s="579"/>
      <c r="P2040" s="142" t="s">
        <v>64</v>
      </c>
      <c r="Q2040" s="142" t="s">
        <v>64</v>
      </c>
      <c r="R2040" s="10" t="s">
        <v>64</v>
      </c>
      <c r="S2040" s="10" t="s">
        <v>64</v>
      </c>
      <c r="T2040" s="10" t="s">
        <v>64</v>
      </c>
      <c r="U2040" s="10" t="s">
        <v>64</v>
      </c>
      <c r="V2040" s="10">
        <v>1</v>
      </c>
      <c r="W2040" s="142">
        <v>0.5</v>
      </c>
      <c r="X2040" s="142" t="s">
        <v>660</v>
      </c>
      <c r="Y2040" s="142"/>
      <c r="Z2040" s="11"/>
      <c r="AA2040" s="81"/>
      <c r="AB2040" s="81"/>
      <c r="AC2040" s="85">
        <v>2.3300000000000001E-2</v>
      </c>
      <c r="AD2040" s="26"/>
      <c r="AE2040" s="26"/>
      <c r="AF2040" s="26"/>
      <c r="AG2040" s="26"/>
      <c r="AH2040" s="330" t="s">
        <v>319</v>
      </c>
      <c r="AI2040" s="123"/>
      <c r="AJ2040" s="123"/>
      <c r="AK2040" s="17"/>
      <c r="AL2040" s="17"/>
      <c r="AM2040" s="17"/>
      <c r="AN2040" s="17"/>
      <c r="AO2040" s="17"/>
      <c r="AP2040" s="17"/>
      <c r="AQ2040" s="17"/>
      <c r="AR2040" s="17"/>
      <c r="AS2040" s="17"/>
      <c r="AT2040" s="17"/>
      <c r="AU2040" s="18">
        <v>40</v>
      </c>
      <c r="AV2040" s="147">
        <v>1</v>
      </c>
      <c r="AW2040" s="147">
        <v>1</v>
      </c>
      <c r="AX2040" s="147">
        <v>0.92</v>
      </c>
      <c r="AY2040" s="147">
        <v>0.89</v>
      </c>
      <c r="AZ2040" s="17">
        <v>0.65</v>
      </c>
      <c r="BA2040" s="17">
        <v>0.43</v>
      </c>
      <c r="BB2040" s="17">
        <v>0.18</v>
      </c>
      <c r="BC2040" s="17">
        <v>0.11</v>
      </c>
      <c r="BD2040" s="17">
        <v>0.09</v>
      </c>
      <c r="BE2040" s="17">
        <v>0</v>
      </c>
      <c r="BF2040" s="17"/>
      <c r="BG2040" s="17"/>
      <c r="BH2040" s="17"/>
      <c r="BI2040" s="4"/>
      <c r="BJ2040" s="2"/>
      <c r="BK2040" s="2" t="s">
        <v>175</v>
      </c>
      <c r="BL2040" s="12"/>
      <c r="BM2040" s="12">
        <v>1.3279000000000001</v>
      </c>
      <c r="BN2040" s="12">
        <v>6.7358590000000005</v>
      </c>
      <c r="BO2040" s="12">
        <v>0.23845335294117645</v>
      </c>
      <c r="BP2040" s="12">
        <v>1.6061372599999999</v>
      </c>
      <c r="BQ2040" s="12">
        <v>28.248120300751886</v>
      </c>
      <c r="BR2040" s="12" t="s">
        <v>276</v>
      </c>
      <c r="BS2040" s="12"/>
      <c r="BT2040" s="12"/>
      <c r="BU2040" s="2"/>
      <c r="BV2040" s="2"/>
      <c r="BW2040" s="2"/>
      <c r="BX2040" s="2"/>
      <c r="BY2040" s="2" t="s">
        <v>84</v>
      </c>
      <c r="BZ2040" s="2"/>
      <c r="CA2040" s="381"/>
      <c r="CB2040" s="9" t="s">
        <v>224</v>
      </c>
    </row>
    <row r="2041" spans="1:80" s="87" customFormat="1" ht="15" x14ac:dyDescent="0.25">
      <c r="A2041" s="152"/>
      <c r="B2041" s="683"/>
      <c r="C2041" s="683"/>
      <c r="D2041" s="698"/>
      <c r="E2041" s="215"/>
      <c r="F2041" s="215"/>
      <c r="G2041" s="153"/>
      <c r="H2041" s="153"/>
      <c r="I2041" s="307">
        <v>13</v>
      </c>
      <c r="J2041" s="307">
        <v>60</v>
      </c>
      <c r="K2041" s="307">
        <v>2</v>
      </c>
      <c r="L2041" s="656">
        <v>26</v>
      </c>
      <c r="M2041" s="663">
        <v>32961</v>
      </c>
      <c r="N2041" s="600">
        <v>0.27831679000000004</v>
      </c>
      <c r="O2041" s="604">
        <v>7.9349759999999998E-3</v>
      </c>
      <c r="P2041" s="150"/>
      <c r="Q2041" s="250"/>
      <c r="R2041" s="250"/>
      <c r="S2041" s="250">
        <v>4.2999999999999997E-2</v>
      </c>
      <c r="T2041" s="250">
        <v>0.06</v>
      </c>
      <c r="U2041" s="250">
        <v>0.13300000000000001</v>
      </c>
      <c r="V2041" s="250">
        <v>0.248</v>
      </c>
      <c r="W2041" s="250">
        <v>0.29799999999999999</v>
      </c>
      <c r="X2041" s="502">
        <v>0.218</v>
      </c>
      <c r="Y2041" s="250" t="s">
        <v>29</v>
      </c>
      <c r="Z2041" s="150"/>
      <c r="AA2041" s="223">
        <v>0.9634680461723284</v>
      </c>
      <c r="AB2041" s="152"/>
      <c r="AC2041" s="152"/>
      <c r="AD2041" s="223">
        <v>4.4194550000000001</v>
      </c>
      <c r="AE2041" s="223">
        <v>0.1515542</v>
      </c>
      <c r="AF2041" s="223">
        <v>0.66976574</v>
      </c>
      <c r="AG2041" s="223">
        <v>0.41554586685159506</v>
      </c>
      <c r="AH2041" s="340" t="s">
        <v>320</v>
      </c>
      <c r="AI2041" s="218"/>
      <c r="AJ2041" s="218"/>
      <c r="AK2041" s="153"/>
      <c r="AL2041" s="152"/>
      <c r="AM2041" s="152"/>
      <c r="AN2041" s="152"/>
      <c r="AO2041" s="152"/>
      <c r="AP2041" s="152"/>
      <c r="AQ2041" s="152"/>
      <c r="AR2041" s="152"/>
      <c r="AS2041" s="152"/>
      <c r="AT2041" s="152"/>
      <c r="AU2041" s="153"/>
      <c r="AV2041" s="479"/>
      <c r="AW2041" s="479"/>
      <c r="AX2041" s="442"/>
      <c r="AY2041" s="153"/>
      <c r="AZ2041" s="152"/>
      <c r="BA2041" s="152"/>
      <c r="BB2041" s="152"/>
      <c r="BC2041" s="152"/>
      <c r="BD2041" s="152"/>
      <c r="BE2041" s="152"/>
      <c r="BF2041" s="152"/>
      <c r="BG2041" s="152"/>
      <c r="BH2041" s="152"/>
      <c r="BI2041" s="153"/>
      <c r="BJ2041" s="153"/>
      <c r="BK2041" s="153"/>
      <c r="BL2041" s="153"/>
      <c r="BM2041" s="153"/>
      <c r="BN2041" s="153"/>
      <c r="BO2041" s="153"/>
      <c r="BP2041" s="153"/>
      <c r="BQ2041" s="153"/>
      <c r="BR2041" s="153"/>
      <c r="BS2041" s="153"/>
      <c r="BT2041" s="153"/>
      <c r="BU2041" s="153"/>
      <c r="BV2041" s="153"/>
      <c r="BW2041" s="153"/>
      <c r="BX2041" s="153"/>
      <c r="BY2041" s="153"/>
      <c r="BZ2041" s="153"/>
      <c r="CA2041" s="152"/>
      <c r="CB2041" s="154" t="s">
        <v>597</v>
      </c>
    </row>
    <row r="2042" spans="1:80" s="87" customFormat="1" ht="15" x14ac:dyDescent="0.25">
      <c r="A2042" s="152"/>
      <c r="B2042" s="683"/>
      <c r="C2042" s="683"/>
      <c r="D2042" s="698"/>
      <c r="E2042" s="215"/>
      <c r="F2042" s="215"/>
      <c r="G2042" s="153"/>
      <c r="H2042" s="153"/>
      <c r="I2042" s="307">
        <v>17</v>
      </c>
      <c r="J2042" s="307">
        <v>60</v>
      </c>
      <c r="K2042" s="307">
        <v>2</v>
      </c>
      <c r="L2042" s="656">
        <v>34</v>
      </c>
      <c r="M2042" s="663">
        <v>32969</v>
      </c>
      <c r="N2042" s="600">
        <v>0.49264619999999998</v>
      </c>
      <c r="O2042" s="604">
        <v>8.8376319999999998E-3</v>
      </c>
      <c r="P2042" s="150"/>
      <c r="Q2042" s="250"/>
      <c r="R2042" s="250">
        <v>5.5E-2</v>
      </c>
      <c r="S2042" s="250">
        <v>0.109</v>
      </c>
      <c r="T2042" s="250">
        <v>8.900000000000001E-2</v>
      </c>
      <c r="U2042" s="250">
        <v>9.6000000000000002E-2</v>
      </c>
      <c r="V2042" s="250">
        <v>0.18</v>
      </c>
      <c r="W2042" s="250">
        <v>0.24600000000000002</v>
      </c>
      <c r="X2042" s="502">
        <v>0.22600000000000001</v>
      </c>
      <c r="Y2042" s="250" t="s">
        <v>29</v>
      </c>
      <c r="Z2042" s="150"/>
      <c r="AA2042" s="223">
        <v>1.1159971426302238</v>
      </c>
      <c r="AB2042" s="152"/>
      <c r="AC2042" s="152"/>
      <c r="AD2042" s="223">
        <v>5.333825</v>
      </c>
      <c r="AE2042" s="223">
        <v>0.17764902857142859</v>
      </c>
      <c r="AF2042" s="223">
        <v>0.94751879999999999</v>
      </c>
      <c r="AG2042" s="223">
        <v>0.52083232352941178</v>
      </c>
      <c r="AH2042" s="340" t="s">
        <v>321</v>
      </c>
      <c r="AI2042" s="218"/>
      <c r="AJ2042" s="218"/>
      <c r="AK2042" s="153"/>
      <c r="AL2042" s="152"/>
      <c r="AM2042" s="152"/>
      <c r="AN2042" s="152"/>
      <c r="AO2042" s="152"/>
      <c r="AP2042" s="152"/>
      <c r="AQ2042" s="152"/>
      <c r="AR2042" s="152"/>
      <c r="AS2042" s="152"/>
      <c r="AT2042" s="152"/>
      <c r="AU2042" s="153"/>
      <c r="AV2042" s="479"/>
      <c r="AW2042" s="479"/>
      <c r="AX2042" s="442"/>
      <c r="AY2042" s="153"/>
      <c r="AZ2042" s="152"/>
      <c r="BA2042" s="152"/>
      <c r="BB2042" s="152"/>
      <c r="BC2042" s="152"/>
      <c r="BD2042" s="152"/>
      <c r="BE2042" s="152"/>
      <c r="BF2042" s="152"/>
      <c r="BG2042" s="152"/>
      <c r="BH2042" s="152"/>
      <c r="BI2042" s="153"/>
      <c r="BJ2042" s="153"/>
      <c r="BK2042" s="153"/>
      <c r="BL2042" s="153"/>
      <c r="BM2042" s="153"/>
      <c r="BN2042" s="153"/>
      <c r="BO2042" s="153"/>
      <c r="BP2042" s="153"/>
      <c r="BQ2042" s="153"/>
      <c r="BR2042" s="153"/>
      <c r="BS2042" s="153"/>
      <c r="BT2042" s="153"/>
      <c r="BU2042" s="153"/>
      <c r="BV2042" s="153"/>
      <c r="BW2042" s="153"/>
      <c r="BX2042" s="153"/>
      <c r="BY2042" s="153"/>
      <c r="BZ2042" s="153"/>
      <c r="CA2042" s="152"/>
      <c r="CB2042" s="486" t="s">
        <v>639</v>
      </c>
    </row>
    <row r="2043" spans="1:80" s="87" customFormat="1" ht="15" x14ac:dyDescent="0.25">
      <c r="A2043" s="152"/>
      <c r="B2043" s="683"/>
      <c r="C2043" s="683"/>
      <c r="D2043" s="698"/>
      <c r="E2043" s="215"/>
      <c r="F2043" s="215"/>
      <c r="G2043" s="153"/>
      <c r="H2043" s="153"/>
      <c r="I2043" s="307">
        <v>16</v>
      </c>
      <c r="J2043" s="307">
        <v>60</v>
      </c>
      <c r="K2043" s="307">
        <v>2</v>
      </c>
      <c r="L2043" s="656">
        <v>32</v>
      </c>
      <c r="M2043" s="663">
        <v>32975</v>
      </c>
      <c r="N2043" s="600">
        <v>0.45300800000000002</v>
      </c>
      <c r="O2043" s="604">
        <v>6.6439680000000001E-3</v>
      </c>
      <c r="P2043" s="150"/>
      <c r="Q2043" s="250"/>
      <c r="R2043" s="250">
        <v>0.20800000000000002</v>
      </c>
      <c r="S2043" s="250">
        <v>4.0999999999999995E-2</v>
      </c>
      <c r="T2043" s="250">
        <v>5.2999999999999999E-2</v>
      </c>
      <c r="U2043" s="250">
        <v>0.10099999999999999</v>
      </c>
      <c r="V2043" s="250">
        <v>0.185</v>
      </c>
      <c r="W2043" s="250">
        <v>0.22899999999999998</v>
      </c>
      <c r="X2043" s="502">
        <v>0.184</v>
      </c>
      <c r="Y2043" s="250" t="s">
        <v>29</v>
      </c>
      <c r="Z2043" s="150"/>
      <c r="AA2043" s="223">
        <v>1.3879667170094243</v>
      </c>
      <c r="AB2043" s="152"/>
      <c r="AC2043" s="152"/>
      <c r="AD2043" s="223">
        <v>5.1509510000000001</v>
      </c>
      <c r="AE2043" s="223">
        <v>0.17782422485207103</v>
      </c>
      <c r="AF2043" s="223">
        <v>0.91593484000000003</v>
      </c>
      <c r="AG2043" s="223">
        <v>0.49489735294117654</v>
      </c>
      <c r="AH2043" s="341"/>
      <c r="AI2043" s="218"/>
      <c r="AJ2043" s="218"/>
      <c r="AK2043" s="153"/>
      <c r="AL2043" s="152"/>
      <c r="AM2043" s="152"/>
      <c r="AN2043" s="152"/>
      <c r="AO2043" s="152"/>
      <c r="AP2043" s="152"/>
      <c r="AQ2043" s="152"/>
      <c r="AR2043" s="152"/>
      <c r="AS2043" s="152"/>
      <c r="AT2043" s="152"/>
      <c r="AU2043" s="153"/>
      <c r="AV2043" s="479"/>
      <c r="AW2043" s="479"/>
      <c r="AX2043" s="442"/>
      <c r="AY2043" s="153"/>
      <c r="AZ2043" s="152"/>
      <c r="BA2043" s="152"/>
      <c r="BB2043" s="152"/>
      <c r="BC2043" s="152"/>
      <c r="BD2043" s="152"/>
      <c r="BE2043" s="152"/>
      <c r="BF2043" s="152"/>
      <c r="BG2043" s="152"/>
      <c r="BH2043" s="152"/>
      <c r="BI2043" s="153"/>
      <c r="BJ2043" s="153"/>
      <c r="BK2043" s="153"/>
      <c r="BL2043" s="153"/>
      <c r="BM2043" s="153"/>
      <c r="BN2043" s="153"/>
      <c r="BO2043" s="153"/>
      <c r="BP2043" s="153"/>
      <c r="BQ2043" s="153"/>
      <c r="BR2043" s="153"/>
      <c r="BS2043" s="153"/>
      <c r="BT2043" s="153"/>
      <c r="BU2043" s="153"/>
      <c r="BV2043" s="153"/>
      <c r="BW2043" s="153"/>
      <c r="BX2043" s="153"/>
      <c r="BY2043" s="153"/>
      <c r="BZ2043" s="153"/>
      <c r="CA2043" s="152"/>
      <c r="CB2043" s="486" t="s">
        <v>640</v>
      </c>
    </row>
    <row r="2044" spans="1:80" s="87" customFormat="1" ht="15" x14ac:dyDescent="0.25">
      <c r="A2044" s="152"/>
      <c r="B2044" s="683"/>
      <c r="C2044" s="683"/>
      <c r="D2044" s="698"/>
      <c r="E2044" s="215"/>
      <c r="F2044" s="215"/>
      <c r="G2044" s="153"/>
      <c r="H2044" s="153"/>
      <c r="I2044" s="307">
        <v>17</v>
      </c>
      <c r="J2044" s="307">
        <v>60</v>
      </c>
      <c r="K2044" s="307">
        <v>2</v>
      </c>
      <c r="L2044" s="656">
        <v>34</v>
      </c>
      <c r="M2044" s="663">
        <v>32980</v>
      </c>
      <c r="N2044" s="600">
        <v>0.53794700000000006</v>
      </c>
      <c r="O2044" s="604">
        <v>8.6382079999999997E-3</v>
      </c>
      <c r="P2044" s="150"/>
      <c r="Q2044" s="250"/>
      <c r="R2044" s="250">
        <v>2.6000000000000002E-2</v>
      </c>
      <c r="S2044" s="250">
        <v>7.0000000000000007E-2</v>
      </c>
      <c r="T2044" s="250">
        <v>0.109</v>
      </c>
      <c r="U2044" s="250">
        <v>0.13800000000000001</v>
      </c>
      <c r="V2044" s="250">
        <v>0.25800000000000001</v>
      </c>
      <c r="W2044" s="250">
        <v>0.24100000000000002</v>
      </c>
      <c r="X2044" s="502">
        <v>0.159</v>
      </c>
      <c r="Y2044" s="250" t="s">
        <v>29</v>
      </c>
      <c r="Z2044" s="150"/>
      <c r="AA2044" s="223">
        <v>1.309971008930682</v>
      </c>
      <c r="AB2044" s="152"/>
      <c r="AC2044" s="152"/>
      <c r="AD2044" s="223">
        <v>5.1814299999999998</v>
      </c>
      <c r="AE2044" s="223">
        <v>0.19112125882352943</v>
      </c>
      <c r="AF2044" s="223">
        <v>0.99025004000000005</v>
      </c>
      <c r="AG2044" s="223">
        <v>0.54439039399624767</v>
      </c>
      <c r="AH2044" s="341"/>
      <c r="AI2044" s="218"/>
      <c r="AJ2044" s="218"/>
      <c r="AK2044" s="153"/>
      <c r="AL2044" s="152"/>
      <c r="AM2044" s="152"/>
      <c r="AN2044" s="152"/>
      <c r="AO2044" s="152"/>
      <c r="AP2044" s="152"/>
      <c r="AQ2044" s="152"/>
      <c r="AR2044" s="152"/>
      <c r="AS2044" s="152"/>
      <c r="AT2044" s="152"/>
      <c r="AU2044" s="153"/>
      <c r="AV2044" s="479"/>
      <c r="AW2044" s="479"/>
      <c r="AX2044" s="442"/>
      <c r="AY2044" s="153"/>
      <c r="AZ2044" s="90"/>
      <c r="BA2044" s="90"/>
      <c r="BB2044" s="90"/>
      <c r="BC2044" s="90"/>
      <c r="BD2044" s="90"/>
      <c r="BE2044" s="90"/>
      <c r="BF2044" s="90"/>
      <c r="BG2044" s="90"/>
      <c r="BH2044" s="90"/>
      <c r="BI2044" s="153"/>
      <c r="BJ2044" s="153"/>
      <c r="BK2044" s="153"/>
      <c r="BL2044" s="153"/>
      <c r="BM2044" s="153"/>
      <c r="BN2044" s="153"/>
      <c r="BO2044" s="153"/>
      <c r="BP2044" s="153"/>
      <c r="BQ2044" s="153"/>
      <c r="BR2044" s="153"/>
      <c r="BS2044" s="153"/>
      <c r="BT2044" s="153"/>
      <c r="BU2044" s="153"/>
      <c r="BV2044" s="153"/>
      <c r="BW2044" s="153"/>
      <c r="BX2044" s="153"/>
      <c r="BY2044" s="153"/>
      <c r="BZ2044" s="153"/>
      <c r="CA2044" s="152"/>
      <c r="CB2044" s="152"/>
    </row>
    <row r="2045" spans="1:80" s="87" customFormat="1" ht="15" x14ac:dyDescent="0.25">
      <c r="A2045" s="152"/>
      <c r="B2045" s="683"/>
      <c r="C2045" s="683"/>
      <c r="D2045" s="698"/>
      <c r="E2045" s="215"/>
      <c r="F2045" s="215"/>
      <c r="G2045" s="153"/>
      <c r="H2045" s="153"/>
      <c r="I2045" s="307">
        <v>17</v>
      </c>
      <c r="J2045" s="307">
        <v>60</v>
      </c>
      <c r="K2045" s="307">
        <v>2</v>
      </c>
      <c r="L2045" s="656">
        <v>34</v>
      </c>
      <c r="M2045" s="663">
        <v>32986</v>
      </c>
      <c r="N2045" s="600">
        <v>0.48698360000000002</v>
      </c>
      <c r="O2045" s="604">
        <v>7.5886080000000002E-3</v>
      </c>
      <c r="P2045" s="150"/>
      <c r="Q2045" s="250"/>
      <c r="R2045" s="250">
        <v>4.4000000000000004E-2</v>
      </c>
      <c r="S2045" s="250">
        <v>0</v>
      </c>
      <c r="T2045" s="250">
        <v>7.2000000000000008E-2</v>
      </c>
      <c r="U2045" s="250">
        <v>0.12300000000000001</v>
      </c>
      <c r="V2045" s="250">
        <v>0.28199999999999997</v>
      </c>
      <c r="W2045" s="250">
        <v>0.315</v>
      </c>
      <c r="X2045" s="502">
        <v>0.16400000000000001</v>
      </c>
      <c r="Y2045" s="250" t="s">
        <v>29</v>
      </c>
      <c r="Z2045" s="150"/>
      <c r="AA2045" s="223">
        <v>1.0529727382685643</v>
      </c>
      <c r="AB2045" s="152"/>
      <c r="AC2045" s="152"/>
      <c r="AD2045" s="223">
        <v>5.1814299999999998</v>
      </c>
      <c r="AE2045" s="223">
        <v>0.18645976470588238</v>
      </c>
      <c r="AF2045" s="223">
        <v>0.96609760000000011</v>
      </c>
      <c r="AG2045" s="223">
        <v>0.50290349999999995</v>
      </c>
      <c r="AH2045" s="341"/>
      <c r="AI2045" s="218"/>
      <c r="AJ2045" s="218"/>
      <c r="AK2045" s="153"/>
      <c r="AL2045" s="152"/>
      <c r="AM2045" s="152"/>
      <c r="AN2045" s="152"/>
      <c r="AO2045" s="152"/>
      <c r="AP2045" s="152"/>
      <c r="AQ2045" s="152"/>
      <c r="AR2045" s="152"/>
      <c r="AS2045" s="152"/>
      <c r="AT2045" s="152"/>
      <c r="AU2045" s="153"/>
      <c r="AV2045" s="479"/>
      <c r="AW2045" s="479"/>
      <c r="AX2045" s="442"/>
      <c r="AY2045" s="153"/>
      <c r="AZ2045" s="152"/>
      <c r="BA2045" s="152"/>
      <c r="BB2045" s="152"/>
      <c r="BC2045" s="152"/>
      <c r="BD2045" s="152"/>
      <c r="BE2045" s="152"/>
      <c r="BF2045" s="152"/>
      <c r="BG2045" s="152"/>
      <c r="BH2045" s="152"/>
      <c r="BI2045" s="153"/>
      <c r="BJ2045" s="153"/>
      <c r="BK2045" s="153"/>
      <c r="BL2045" s="153"/>
      <c r="BM2045" s="153"/>
      <c r="BN2045" s="153"/>
      <c r="BO2045" s="153"/>
      <c r="BP2045" s="153"/>
      <c r="BQ2045" s="153"/>
      <c r="BR2045" s="153"/>
      <c r="BS2045" s="153"/>
      <c r="BT2045" s="153"/>
      <c r="BU2045" s="153"/>
      <c r="BV2045" s="153"/>
      <c r="BW2045" s="153"/>
      <c r="BX2045" s="153"/>
      <c r="BY2045" s="153"/>
      <c r="BZ2045" s="153"/>
      <c r="CA2045" s="152"/>
      <c r="CB2045" s="152"/>
    </row>
    <row r="2046" spans="1:80" s="87" customFormat="1" ht="15" x14ac:dyDescent="0.25">
      <c r="A2046" s="152"/>
      <c r="B2046" s="683"/>
      <c r="C2046" s="683"/>
      <c r="D2046" s="698"/>
      <c r="E2046" s="215"/>
      <c r="F2046" s="215"/>
      <c r="G2046" s="153"/>
      <c r="H2046" s="153"/>
      <c r="I2046" s="307">
        <v>16</v>
      </c>
      <c r="J2046" s="307">
        <v>60</v>
      </c>
      <c r="K2046" s="307">
        <v>2</v>
      </c>
      <c r="L2046" s="656">
        <v>32</v>
      </c>
      <c r="M2046" s="663">
        <v>32996</v>
      </c>
      <c r="N2046" s="600">
        <v>0.50397140000000007</v>
      </c>
      <c r="O2046" s="604">
        <v>4.2088960000000002E-3</v>
      </c>
      <c r="P2046" s="150"/>
      <c r="Q2046" s="250"/>
      <c r="R2046" s="250"/>
      <c r="S2046" s="250">
        <v>7.8E-2</v>
      </c>
      <c r="T2046" s="250">
        <v>0.05</v>
      </c>
      <c r="U2046" s="250">
        <v>0.13200000000000001</v>
      </c>
      <c r="V2046" s="250">
        <v>0.30299999999999999</v>
      </c>
      <c r="W2046" s="250">
        <v>0.29199999999999998</v>
      </c>
      <c r="X2046" s="502">
        <v>0.14599999999999999</v>
      </c>
      <c r="Y2046" s="250" t="s">
        <v>29</v>
      </c>
      <c r="Z2046" s="150"/>
      <c r="AA2046" s="223">
        <v>1.1537020012440664</v>
      </c>
      <c r="AB2046" s="152"/>
      <c r="AC2046" s="152"/>
      <c r="AD2046" s="223">
        <v>4.8766400000000001</v>
      </c>
      <c r="AE2046" s="223">
        <v>0.19201770000000001</v>
      </c>
      <c r="AF2046" s="223">
        <v>0.93637152000000001</v>
      </c>
      <c r="AG2046" s="223">
        <v>0.53852280753968251</v>
      </c>
      <c r="AH2046" s="341"/>
      <c r="AI2046" s="218"/>
      <c r="AJ2046" s="218"/>
      <c r="AK2046" s="153"/>
      <c r="AL2046" s="152"/>
      <c r="AM2046" s="152"/>
      <c r="AN2046" s="152"/>
      <c r="AO2046" s="152"/>
      <c r="AP2046" s="152"/>
      <c r="AQ2046" s="152"/>
      <c r="AR2046" s="152"/>
      <c r="AS2046" s="152"/>
      <c r="AT2046" s="152"/>
      <c r="AU2046" s="153"/>
      <c r="AV2046" s="479"/>
      <c r="AW2046" s="479"/>
      <c r="AX2046" s="442"/>
      <c r="AY2046" s="153"/>
      <c r="AZ2046" s="152"/>
      <c r="BA2046" s="152"/>
      <c r="BB2046" s="152"/>
      <c r="BC2046" s="152"/>
      <c r="BD2046" s="152"/>
      <c r="BE2046" s="152"/>
      <c r="BF2046" s="152"/>
      <c r="BG2046" s="152"/>
      <c r="BH2046" s="152"/>
      <c r="BI2046" s="153"/>
      <c r="BJ2046" s="153"/>
      <c r="BK2046" s="153"/>
      <c r="BL2046" s="153"/>
      <c r="BM2046" s="153"/>
      <c r="BN2046" s="153"/>
      <c r="BO2046" s="153"/>
      <c r="BP2046" s="153"/>
      <c r="BQ2046" s="153"/>
      <c r="BR2046" s="153"/>
      <c r="BS2046" s="153"/>
      <c r="BT2046" s="153"/>
      <c r="BU2046" s="153"/>
      <c r="BV2046" s="153"/>
      <c r="BW2046" s="153"/>
      <c r="BX2046" s="153"/>
      <c r="BY2046" s="153"/>
      <c r="BZ2046" s="153"/>
      <c r="CA2046" s="152"/>
      <c r="CB2046" s="152"/>
    </row>
    <row r="2047" spans="1:80" s="87" customFormat="1" ht="15" x14ac:dyDescent="0.25">
      <c r="A2047" s="152"/>
      <c r="B2047" s="683"/>
      <c r="C2047" s="683"/>
      <c r="D2047" s="698"/>
      <c r="E2047" s="215"/>
      <c r="F2047" s="215"/>
      <c r="G2047" s="153"/>
      <c r="H2047" s="153"/>
      <c r="I2047" s="307">
        <v>17</v>
      </c>
      <c r="J2047" s="307">
        <v>60</v>
      </c>
      <c r="K2047" s="307">
        <v>2</v>
      </c>
      <c r="L2047" s="656">
        <v>34</v>
      </c>
      <c r="M2047" s="663">
        <v>33001</v>
      </c>
      <c r="N2047" s="600">
        <v>0.58891040000000006</v>
      </c>
      <c r="O2047" s="604">
        <v>9.8662400000000001E-3</v>
      </c>
      <c r="P2047" s="150"/>
      <c r="Q2047" s="250"/>
      <c r="R2047" s="250">
        <v>0.29699999999999999</v>
      </c>
      <c r="S2047" s="250">
        <v>0.06</v>
      </c>
      <c r="T2047" s="250">
        <v>6.4000000000000001E-2</v>
      </c>
      <c r="U2047" s="250">
        <v>8.8000000000000009E-2</v>
      </c>
      <c r="V2047" s="250">
        <v>0.18</v>
      </c>
      <c r="W2047" s="250">
        <v>0.193</v>
      </c>
      <c r="X2047" s="502">
        <v>0.11699999999999999</v>
      </c>
      <c r="Y2047" s="250" t="s">
        <v>29</v>
      </c>
      <c r="Z2047" s="150"/>
      <c r="AA2047" s="223">
        <v>2.1553983795489051</v>
      </c>
      <c r="AB2047" s="152"/>
      <c r="AC2047" s="152"/>
      <c r="AD2047" s="223">
        <v>5.425262</v>
      </c>
      <c r="AE2047" s="223">
        <v>0.1928053595505618</v>
      </c>
      <c r="AF2047" s="223">
        <v>1.0459864400000001</v>
      </c>
      <c r="AG2047" s="223">
        <v>0.56410511545293074</v>
      </c>
      <c r="AH2047" s="341"/>
      <c r="AI2047" s="218"/>
      <c r="AJ2047" s="218"/>
      <c r="AK2047" s="153"/>
      <c r="AL2047" s="152"/>
      <c r="AM2047" s="152"/>
      <c r="AN2047" s="152"/>
      <c r="AO2047" s="152"/>
      <c r="AP2047" s="152"/>
      <c r="AQ2047" s="152"/>
      <c r="AR2047" s="152"/>
      <c r="AS2047" s="152"/>
      <c r="AT2047" s="152"/>
      <c r="AU2047" s="153"/>
      <c r="AV2047" s="479"/>
      <c r="AW2047" s="479"/>
      <c r="AX2047" s="442"/>
      <c r="AY2047" s="153"/>
      <c r="AZ2047" s="152"/>
      <c r="BA2047" s="152"/>
      <c r="BB2047" s="152"/>
      <c r="BC2047" s="152"/>
      <c r="BD2047" s="152"/>
      <c r="BE2047" s="152"/>
      <c r="BF2047" s="152"/>
      <c r="BG2047" s="152"/>
      <c r="BH2047" s="152"/>
      <c r="BI2047" s="153"/>
      <c r="BJ2047" s="153"/>
      <c r="BK2047" s="153"/>
      <c r="BL2047" s="153"/>
      <c r="BM2047" s="153"/>
      <c r="BN2047" s="153"/>
      <c r="BO2047" s="153"/>
      <c r="BP2047" s="153"/>
      <c r="BQ2047" s="153"/>
      <c r="BR2047" s="153"/>
      <c r="BS2047" s="153"/>
      <c r="BT2047" s="153"/>
      <c r="BU2047" s="153"/>
      <c r="BV2047" s="153"/>
      <c r="BW2047" s="153"/>
      <c r="BX2047" s="153"/>
      <c r="BY2047" s="153"/>
      <c r="BZ2047" s="153"/>
      <c r="CA2047" s="152"/>
      <c r="CB2047" s="152"/>
    </row>
    <row r="2048" spans="1:80" s="87" customFormat="1" ht="15" x14ac:dyDescent="0.25">
      <c r="A2048" s="152"/>
      <c r="B2048" s="683"/>
      <c r="C2048" s="683"/>
      <c r="D2048" s="698"/>
      <c r="E2048" s="215"/>
      <c r="F2048" s="215"/>
      <c r="G2048" s="153"/>
      <c r="H2048" s="153"/>
      <c r="I2048" s="307">
        <v>17</v>
      </c>
      <c r="J2048" s="307">
        <v>60</v>
      </c>
      <c r="K2048" s="307">
        <v>2</v>
      </c>
      <c r="L2048" s="656">
        <v>34</v>
      </c>
      <c r="M2048" s="663">
        <v>33009</v>
      </c>
      <c r="N2048" s="600">
        <v>0.59457300000000002</v>
      </c>
      <c r="O2048" s="604">
        <v>4.1774080000000005E-3</v>
      </c>
      <c r="P2048" s="150"/>
      <c r="Q2048" s="250"/>
      <c r="R2048" s="250">
        <v>8.5000000000000006E-2</v>
      </c>
      <c r="S2048" s="250">
        <v>0.10400000000000001</v>
      </c>
      <c r="T2048" s="250">
        <v>9.5000000000000001E-2</v>
      </c>
      <c r="U2048" s="250">
        <v>0.12</v>
      </c>
      <c r="V2048" s="250">
        <v>0.23</v>
      </c>
      <c r="W2048" s="250">
        <v>0.25</v>
      </c>
      <c r="X2048" s="502">
        <v>0.115</v>
      </c>
      <c r="Y2048" s="250" t="s">
        <v>29</v>
      </c>
      <c r="Z2048" s="150"/>
      <c r="AA2048" s="223">
        <v>1.4998129741850961</v>
      </c>
      <c r="AB2048" s="152"/>
      <c r="AC2048" s="152"/>
      <c r="AD2048" s="223">
        <v>5.1814299999999998</v>
      </c>
      <c r="AE2048" s="223">
        <v>0.20510574117647057</v>
      </c>
      <c r="AF2048" s="223">
        <v>1.0627073600000001</v>
      </c>
      <c r="AG2048" s="223">
        <v>0.55895928321678323</v>
      </c>
      <c r="AH2048" s="341"/>
      <c r="AI2048" s="218"/>
      <c r="AJ2048" s="218"/>
      <c r="AK2048" s="153"/>
      <c r="AL2048" s="152"/>
      <c r="AM2048" s="152"/>
      <c r="AN2048" s="152"/>
      <c r="AO2048" s="152"/>
      <c r="AP2048" s="152"/>
      <c r="AQ2048" s="152"/>
      <c r="AR2048" s="152"/>
      <c r="AS2048" s="152"/>
      <c r="AT2048" s="152"/>
      <c r="AU2048" s="153"/>
      <c r="AV2048" s="479"/>
      <c r="AW2048" s="479"/>
      <c r="AX2048" s="442"/>
      <c r="AY2048" s="153"/>
      <c r="AZ2048" s="152"/>
      <c r="BA2048" s="152"/>
      <c r="BB2048" s="152"/>
      <c r="BC2048" s="152"/>
      <c r="BD2048" s="152"/>
      <c r="BE2048" s="152"/>
      <c r="BF2048" s="152"/>
      <c r="BG2048" s="152"/>
      <c r="BH2048" s="152"/>
      <c r="BI2048" s="153"/>
      <c r="BJ2048" s="153"/>
      <c r="BK2048" s="153"/>
      <c r="BL2048" s="153"/>
      <c r="BM2048" s="153"/>
      <c r="BN2048" s="153"/>
      <c r="BO2048" s="153"/>
      <c r="BP2048" s="153"/>
      <c r="BQ2048" s="153"/>
      <c r="BR2048" s="153"/>
      <c r="BS2048" s="153"/>
      <c r="BT2048" s="153"/>
      <c r="BU2048" s="153"/>
      <c r="BV2048" s="153"/>
      <c r="BW2048" s="153"/>
      <c r="BX2048" s="153"/>
      <c r="BY2048" s="153"/>
      <c r="BZ2048" s="153"/>
      <c r="CA2048" s="152"/>
      <c r="CB2048" s="152"/>
    </row>
    <row r="2049" spans="1:80" s="87" customFormat="1" ht="15" x14ac:dyDescent="0.25">
      <c r="A2049" s="152"/>
      <c r="B2049" s="683"/>
      <c r="C2049" s="683"/>
      <c r="D2049" s="698"/>
      <c r="E2049" s="215"/>
      <c r="F2049" s="215"/>
      <c r="G2049" s="153"/>
      <c r="H2049" s="153"/>
      <c r="I2049" s="307">
        <v>13</v>
      </c>
      <c r="J2049" s="307">
        <v>60</v>
      </c>
      <c r="K2049" s="307">
        <v>2</v>
      </c>
      <c r="L2049" s="656">
        <v>26</v>
      </c>
      <c r="M2049" s="663">
        <v>33352</v>
      </c>
      <c r="N2049" s="600">
        <v>0.43602020000000002</v>
      </c>
      <c r="O2049" s="604">
        <v>5.3529600000000004E-3</v>
      </c>
      <c r="P2049" s="150"/>
      <c r="Q2049" s="250"/>
      <c r="R2049" s="250">
        <v>0.19699999999999998</v>
      </c>
      <c r="S2049" s="250">
        <v>6.6000000000000003E-2</v>
      </c>
      <c r="T2049" s="250">
        <v>0.10800000000000001</v>
      </c>
      <c r="U2049" s="250">
        <v>0.113</v>
      </c>
      <c r="V2049" s="250">
        <v>0.14899999999999999</v>
      </c>
      <c r="W2049" s="250">
        <v>0.17600000000000002</v>
      </c>
      <c r="X2049" s="502">
        <v>0.191</v>
      </c>
      <c r="Y2049" s="250" t="s">
        <v>29</v>
      </c>
      <c r="Z2049" s="150"/>
      <c r="AA2049" s="223">
        <v>1.8565413519902503</v>
      </c>
      <c r="AB2049" s="152"/>
      <c r="AC2049" s="152"/>
      <c r="AD2049" s="223"/>
      <c r="AE2049" s="223"/>
      <c r="AF2049" s="223"/>
      <c r="AG2049" s="223"/>
      <c r="AH2049" s="341"/>
      <c r="AI2049" s="218"/>
      <c r="AJ2049" s="218"/>
      <c r="AK2049" s="153"/>
      <c r="AL2049" s="152"/>
      <c r="AM2049" s="152"/>
      <c r="AN2049" s="152"/>
      <c r="AO2049" s="152"/>
      <c r="AP2049" s="152"/>
      <c r="AQ2049" s="152"/>
      <c r="AR2049" s="152"/>
      <c r="AS2049" s="152"/>
      <c r="AT2049" s="152"/>
      <c r="AU2049" s="153"/>
      <c r="AV2049" s="479"/>
      <c r="AW2049" s="479"/>
      <c r="AX2049" s="442"/>
      <c r="AY2049" s="153"/>
      <c r="AZ2049" s="152"/>
      <c r="BA2049" s="152"/>
      <c r="BB2049" s="152"/>
      <c r="BC2049" s="152"/>
      <c r="BD2049" s="152"/>
      <c r="BE2049" s="152"/>
      <c r="BF2049" s="152"/>
      <c r="BG2049" s="152"/>
      <c r="BH2049" s="152"/>
      <c r="BI2049" s="153"/>
      <c r="BJ2049" s="153"/>
      <c r="BK2049" s="153"/>
      <c r="BL2049" s="153"/>
      <c r="BM2049" s="153"/>
      <c r="BN2049" s="153"/>
      <c r="BO2049" s="153"/>
      <c r="BP2049" s="153"/>
      <c r="BQ2049" s="153"/>
      <c r="BR2049" s="153"/>
      <c r="BS2049" s="153"/>
      <c r="BT2049" s="153"/>
      <c r="BU2049" s="153"/>
      <c r="BV2049" s="153"/>
      <c r="BW2049" s="153"/>
      <c r="BX2049" s="153"/>
      <c r="BY2049" s="153"/>
      <c r="BZ2049" s="153"/>
      <c r="CA2049" s="152"/>
      <c r="CB2049" s="152"/>
    </row>
    <row r="2050" spans="1:80" s="87" customFormat="1" ht="15" x14ac:dyDescent="0.25">
      <c r="A2050" s="152"/>
      <c r="B2050" s="683"/>
      <c r="C2050" s="683"/>
      <c r="D2050" s="698"/>
      <c r="E2050" s="215"/>
      <c r="F2050" s="215"/>
      <c r="G2050" s="153"/>
      <c r="H2050" s="153"/>
      <c r="I2050" s="307">
        <v>14</v>
      </c>
      <c r="J2050" s="307">
        <v>60</v>
      </c>
      <c r="K2050" s="307">
        <v>2</v>
      </c>
      <c r="L2050" s="656">
        <v>28</v>
      </c>
      <c r="M2050" s="663">
        <v>33365</v>
      </c>
      <c r="N2050" s="600">
        <v>0.50680269999999994</v>
      </c>
      <c r="O2050" s="604">
        <v>5.5104000000000004E-3</v>
      </c>
      <c r="P2050" s="150"/>
      <c r="Q2050" s="250"/>
      <c r="R2050" s="250"/>
      <c r="S2050" s="250">
        <v>0.18100000000000002</v>
      </c>
      <c r="T2050" s="250">
        <v>0.155</v>
      </c>
      <c r="U2050" s="250">
        <v>0.122</v>
      </c>
      <c r="V2050" s="250">
        <v>0.19</v>
      </c>
      <c r="W2050" s="250">
        <v>0.18100000000000002</v>
      </c>
      <c r="X2050" s="502">
        <v>0.17099999999999999</v>
      </c>
      <c r="Y2050" s="250" t="s">
        <v>29</v>
      </c>
      <c r="Z2050" s="150"/>
      <c r="AA2050" s="223">
        <v>1.7158784620145864</v>
      </c>
      <c r="AB2050" s="152"/>
      <c r="AC2050" s="152"/>
      <c r="AD2050" s="223"/>
      <c r="AE2050" s="223"/>
      <c r="AF2050" s="223"/>
      <c r="AG2050" s="223"/>
      <c r="AH2050" s="341"/>
      <c r="AI2050" s="218"/>
      <c r="AJ2050" s="218"/>
      <c r="AK2050" s="153"/>
      <c r="AL2050" s="152"/>
      <c r="AM2050" s="152"/>
      <c r="AN2050" s="152"/>
      <c r="AO2050" s="152"/>
      <c r="AP2050" s="152"/>
      <c r="AQ2050" s="152"/>
      <c r="AR2050" s="152"/>
      <c r="AS2050" s="152"/>
      <c r="AT2050" s="152"/>
      <c r="AU2050" s="153"/>
      <c r="AV2050" s="479"/>
      <c r="AW2050" s="479"/>
      <c r="AX2050" s="442"/>
      <c r="AY2050" s="153"/>
      <c r="AZ2050" s="152"/>
      <c r="BA2050" s="152"/>
      <c r="BB2050" s="152"/>
      <c r="BC2050" s="152"/>
      <c r="BD2050" s="152"/>
      <c r="BE2050" s="152"/>
      <c r="BF2050" s="152"/>
      <c r="BG2050" s="152"/>
      <c r="BH2050" s="152"/>
      <c r="BI2050" s="153"/>
      <c r="BJ2050" s="153"/>
      <c r="BK2050" s="153"/>
      <c r="BL2050" s="153"/>
      <c r="BM2050" s="153"/>
      <c r="BN2050" s="153"/>
      <c r="BO2050" s="153"/>
      <c r="BP2050" s="153"/>
      <c r="BQ2050" s="153"/>
      <c r="BR2050" s="153"/>
      <c r="BS2050" s="153"/>
      <c r="BT2050" s="153"/>
      <c r="BU2050" s="153"/>
      <c r="BV2050" s="153"/>
      <c r="BW2050" s="153"/>
      <c r="BX2050" s="153"/>
      <c r="BY2050" s="153"/>
      <c r="BZ2050" s="153"/>
      <c r="CA2050" s="152"/>
      <c r="CB2050" s="152"/>
    </row>
    <row r="2051" spans="1:80" s="87" customFormat="1" ht="15" x14ac:dyDescent="0.25">
      <c r="A2051" s="152"/>
      <c r="B2051" s="683"/>
      <c r="C2051" s="683"/>
      <c r="D2051" s="698"/>
      <c r="E2051" s="215"/>
      <c r="F2051" s="215"/>
      <c r="G2051" s="153"/>
      <c r="H2051" s="153"/>
      <c r="I2051" s="307">
        <v>14</v>
      </c>
      <c r="J2051" s="307">
        <v>60</v>
      </c>
      <c r="K2051" s="307">
        <v>2</v>
      </c>
      <c r="L2051" s="656">
        <v>28</v>
      </c>
      <c r="M2051" s="663">
        <v>33372</v>
      </c>
      <c r="N2051" s="600">
        <v>0.67101810000000006</v>
      </c>
      <c r="O2051" s="604">
        <v>1.815808E-2</v>
      </c>
      <c r="P2051" s="150"/>
      <c r="Q2051" s="250"/>
      <c r="R2051" s="250">
        <v>0.17399999999999999</v>
      </c>
      <c r="S2051" s="250">
        <v>0.125</v>
      </c>
      <c r="T2051" s="250">
        <v>9.6000000000000002E-2</v>
      </c>
      <c r="U2051" s="250">
        <v>0.11599999999999999</v>
      </c>
      <c r="V2051" s="250">
        <v>0.19600000000000001</v>
      </c>
      <c r="W2051" s="250">
        <v>0.184</v>
      </c>
      <c r="X2051" s="502">
        <v>0.11</v>
      </c>
      <c r="Y2051" s="250" t="s">
        <v>29</v>
      </c>
      <c r="Z2051" s="150"/>
      <c r="AA2051" s="223">
        <v>2.1295037071069882</v>
      </c>
      <c r="AB2051" s="152"/>
      <c r="AC2051" s="152"/>
      <c r="AD2051" s="223"/>
      <c r="AE2051" s="223"/>
      <c r="AF2051" s="223"/>
      <c r="AG2051" s="223"/>
      <c r="AH2051" s="341"/>
      <c r="AI2051" s="218"/>
      <c r="AJ2051" s="218"/>
      <c r="AK2051" s="153"/>
      <c r="AL2051" s="152"/>
      <c r="AM2051" s="152"/>
      <c r="AN2051" s="152"/>
      <c r="AO2051" s="152"/>
      <c r="AP2051" s="152"/>
      <c r="AQ2051" s="152"/>
      <c r="AR2051" s="152"/>
      <c r="AS2051" s="152"/>
      <c r="AT2051" s="152"/>
      <c r="AU2051" s="153"/>
      <c r="AV2051" s="479"/>
      <c r="AW2051" s="479"/>
      <c r="AX2051" s="442"/>
      <c r="AY2051" s="153"/>
      <c r="AZ2051" s="152"/>
      <c r="BA2051" s="152"/>
      <c r="BB2051" s="152"/>
      <c r="BC2051" s="152"/>
      <c r="BD2051" s="152"/>
      <c r="BE2051" s="152"/>
      <c r="BF2051" s="152"/>
      <c r="BG2051" s="152"/>
      <c r="BH2051" s="152"/>
      <c r="BI2051" s="153"/>
      <c r="BJ2051" s="153"/>
      <c r="BK2051" s="152"/>
      <c r="BL2051" s="152"/>
      <c r="BM2051" s="152"/>
      <c r="BN2051" s="152"/>
      <c r="BO2051" s="152"/>
      <c r="BP2051" s="152"/>
      <c r="BQ2051" s="152"/>
      <c r="BR2051" s="152"/>
      <c r="BS2051" s="152"/>
      <c r="BT2051" s="152"/>
      <c r="BU2051" s="152"/>
      <c r="BV2051" s="152"/>
      <c r="BW2051" s="152"/>
      <c r="BX2051" s="152"/>
      <c r="BY2051" s="153"/>
      <c r="BZ2051" s="153"/>
      <c r="CA2051" s="152"/>
      <c r="CB2051" s="152"/>
    </row>
    <row r="2052" spans="1:80" s="87" customFormat="1" ht="15" x14ac:dyDescent="0.25">
      <c r="A2052" s="152"/>
      <c r="B2052" s="683"/>
      <c r="C2052" s="683"/>
      <c r="D2052" s="698"/>
      <c r="E2052" s="215"/>
      <c r="F2052" s="215"/>
      <c r="G2052" s="153"/>
      <c r="H2052" s="153"/>
      <c r="I2052" s="307">
        <v>13</v>
      </c>
      <c r="J2052" s="307">
        <v>60</v>
      </c>
      <c r="K2052" s="307">
        <v>2</v>
      </c>
      <c r="L2052" s="656">
        <v>26</v>
      </c>
      <c r="M2052" s="663">
        <v>33379</v>
      </c>
      <c r="N2052" s="600">
        <v>0.95131680000000007</v>
      </c>
      <c r="O2052" s="604">
        <v>3.0333440000000003E-2</v>
      </c>
      <c r="P2052" s="150"/>
      <c r="Q2052" s="250">
        <v>0.24199999999999999</v>
      </c>
      <c r="R2052" s="250">
        <v>0.187</v>
      </c>
      <c r="S2052" s="250">
        <v>7.6999999999999999E-2</v>
      </c>
      <c r="T2052" s="250">
        <v>7.2999999999999995E-2</v>
      </c>
      <c r="U2052" s="250">
        <v>8.6999999999999994E-2</v>
      </c>
      <c r="V2052" s="250">
        <v>0.13800000000000001</v>
      </c>
      <c r="W2052" s="250">
        <v>0.11800000000000001</v>
      </c>
      <c r="X2052" s="502">
        <v>0.08</v>
      </c>
      <c r="Y2052" s="250" t="s">
        <v>29</v>
      </c>
      <c r="Z2052" s="150"/>
      <c r="AA2052" s="223">
        <v>8.3683028562577046</v>
      </c>
      <c r="AB2052" s="152"/>
      <c r="AC2052" s="152"/>
      <c r="AD2052" s="223"/>
      <c r="AE2052" s="223"/>
      <c r="AF2052" s="223"/>
      <c r="AG2052" s="223"/>
      <c r="AH2052" s="341"/>
      <c r="AI2052" s="218"/>
      <c r="AJ2052" s="218"/>
      <c r="AK2052" s="153"/>
      <c r="AL2052" s="152"/>
      <c r="AM2052" s="152"/>
      <c r="AN2052" s="152"/>
      <c r="AO2052" s="152"/>
      <c r="AP2052" s="152"/>
      <c r="AQ2052" s="152"/>
      <c r="AR2052" s="152"/>
      <c r="AS2052" s="152"/>
      <c r="AT2052" s="152"/>
      <c r="AU2052" s="153"/>
      <c r="AV2052" s="479"/>
      <c r="AW2052" s="479"/>
      <c r="AX2052" s="442"/>
      <c r="AY2052" s="153"/>
      <c r="AZ2052" s="152"/>
      <c r="BA2052" s="152"/>
      <c r="BB2052" s="152"/>
      <c r="BC2052" s="152"/>
      <c r="BD2052" s="152"/>
      <c r="BE2052" s="152"/>
      <c r="BF2052" s="152"/>
      <c r="BG2052" s="152"/>
      <c r="BH2052" s="152"/>
      <c r="BI2052" s="153"/>
      <c r="BJ2052" s="153"/>
      <c r="BK2052" s="152"/>
      <c r="BL2052" s="152"/>
      <c r="BM2052" s="152"/>
      <c r="BN2052" s="152"/>
      <c r="BO2052" s="152"/>
      <c r="BP2052" s="152"/>
      <c r="BQ2052" s="152"/>
      <c r="BR2052" s="152"/>
      <c r="BS2052" s="152"/>
      <c r="BT2052" s="152"/>
      <c r="BU2052" s="152"/>
      <c r="BV2052" s="152"/>
      <c r="BW2052" s="152"/>
      <c r="BX2052" s="152"/>
      <c r="BY2052" s="153"/>
      <c r="BZ2052" s="153"/>
      <c r="CA2052" s="152"/>
      <c r="CB2052" s="152"/>
    </row>
    <row r="2053" spans="1:80" s="87" customFormat="1" ht="15" x14ac:dyDescent="0.25">
      <c r="A2053" s="152"/>
      <c r="B2053" s="683"/>
      <c r="C2053" s="683"/>
      <c r="D2053" s="698"/>
      <c r="E2053" s="215"/>
      <c r="F2053" s="215"/>
      <c r="G2053" s="153"/>
      <c r="H2053" s="153"/>
      <c r="I2053" s="307">
        <v>14</v>
      </c>
      <c r="J2053" s="307">
        <v>60</v>
      </c>
      <c r="K2053" s="307">
        <v>2</v>
      </c>
      <c r="L2053" s="656">
        <v>28</v>
      </c>
      <c r="M2053" s="663">
        <v>33388</v>
      </c>
      <c r="N2053" s="600">
        <v>1.0362558000000002</v>
      </c>
      <c r="O2053" s="604">
        <v>2.7709440000000002E-2</v>
      </c>
      <c r="P2053" s="150"/>
      <c r="Q2053" s="250">
        <v>0.247</v>
      </c>
      <c r="R2053" s="250">
        <v>0.18</v>
      </c>
      <c r="S2053" s="250">
        <v>0.10300000000000001</v>
      </c>
      <c r="T2053" s="250">
        <v>9.6999999999999989E-2</v>
      </c>
      <c r="U2053" s="250">
        <v>0.1</v>
      </c>
      <c r="V2053" s="250">
        <v>0.129</v>
      </c>
      <c r="W2053" s="250">
        <v>8.8000000000000009E-2</v>
      </c>
      <c r="X2053" s="502">
        <v>5.5999999999999994E-2</v>
      </c>
      <c r="Y2053" s="250" t="s">
        <v>29</v>
      </c>
      <c r="Z2053" s="150"/>
      <c r="AA2053" s="223">
        <v>9.7896829408670012</v>
      </c>
      <c r="AB2053" s="152"/>
      <c r="AC2053" s="152"/>
      <c r="AD2053" s="223"/>
      <c r="AE2053" s="223"/>
      <c r="AF2053" s="223"/>
      <c r="AG2053" s="223"/>
      <c r="AH2053" s="341"/>
      <c r="AI2053" s="218"/>
      <c r="AJ2053" s="218"/>
      <c r="AK2053" s="153"/>
      <c r="AL2053" s="152"/>
      <c r="AM2053" s="152"/>
      <c r="AN2053" s="152"/>
      <c r="AO2053" s="152"/>
      <c r="AP2053" s="152"/>
      <c r="AQ2053" s="152"/>
      <c r="AR2053" s="152"/>
      <c r="AS2053" s="152"/>
      <c r="AT2053" s="152"/>
      <c r="AU2053" s="153"/>
      <c r="AV2053" s="479"/>
      <c r="AW2053" s="479"/>
      <c r="AX2053" s="442"/>
      <c r="AY2053" s="153"/>
      <c r="AZ2053" s="152"/>
      <c r="BA2053" s="152"/>
      <c r="BB2053" s="152"/>
      <c r="BC2053" s="152"/>
      <c r="BD2053" s="152"/>
      <c r="BE2053" s="152"/>
      <c r="BF2053" s="152"/>
      <c r="BG2053" s="152"/>
      <c r="BH2053" s="152"/>
      <c r="BI2053" s="153"/>
      <c r="BJ2053" s="153"/>
      <c r="BK2053" s="152"/>
      <c r="BL2053" s="152"/>
      <c r="BM2053" s="152"/>
      <c r="BN2053" s="152"/>
      <c r="BO2053" s="152"/>
      <c r="BP2053" s="152"/>
      <c r="BQ2053" s="152"/>
      <c r="BR2053" s="152"/>
      <c r="BS2053" s="152"/>
      <c r="BT2053" s="152"/>
      <c r="BU2053" s="152"/>
      <c r="BV2053" s="152"/>
      <c r="BW2053" s="152"/>
      <c r="BX2053" s="152"/>
      <c r="BY2053" s="153"/>
      <c r="BZ2053" s="153"/>
      <c r="CA2053" s="152"/>
      <c r="CB2053" s="152"/>
    </row>
    <row r="2054" spans="1:80" s="87" customFormat="1" ht="15" x14ac:dyDescent="0.25">
      <c r="A2054" s="152"/>
      <c r="B2054" s="683"/>
      <c r="C2054" s="683"/>
      <c r="D2054" s="698"/>
      <c r="E2054" s="215"/>
      <c r="F2054" s="215"/>
      <c r="G2054" s="153"/>
      <c r="H2054" s="153"/>
      <c r="I2054" s="307">
        <v>14</v>
      </c>
      <c r="J2054" s="307">
        <v>60</v>
      </c>
      <c r="K2054" s="307">
        <v>2</v>
      </c>
      <c r="L2054" s="656">
        <v>28</v>
      </c>
      <c r="M2054" s="663">
        <v>33392</v>
      </c>
      <c r="N2054" s="600">
        <v>1.0532436000000001</v>
      </c>
      <c r="O2054" s="604">
        <v>8.1029120000000003E-3</v>
      </c>
      <c r="P2054" s="150"/>
      <c r="Q2054" s="250"/>
      <c r="R2054" s="250">
        <v>0.29699999999999999</v>
      </c>
      <c r="S2054" s="250">
        <v>7.2000000000000008E-2</v>
      </c>
      <c r="T2054" s="250">
        <v>6.5000000000000002E-2</v>
      </c>
      <c r="U2054" s="250">
        <v>0.124</v>
      </c>
      <c r="V2054" s="250">
        <v>0.188</v>
      </c>
      <c r="W2054" s="250">
        <v>0.155</v>
      </c>
      <c r="X2054" s="502">
        <v>0.10100000000000001</v>
      </c>
      <c r="Y2054" s="250" t="s">
        <v>29</v>
      </c>
      <c r="Z2054" s="150"/>
      <c r="AA2054" s="223">
        <v>2.7504685741202217</v>
      </c>
      <c r="AB2054" s="152"/>
      <c r="AC2054" s="152"/>
      <c r="AD2054" s="223"/>
      <c r="AE2054" s="223"/>
      <c r="AF2054" s="223"/>
      <c r="AG2054" s="223"/>
      <c r="AH2054" s="341"/>
      <c r="AI2054" s="218"/>
      <c r="AJ2054" s="218"/>
      <c r="AK2054" s="153"/>
      <c r="AL2054" s="152"/>
      <c r="AM2054" s="152"/>
      <c r="AN2054" s="152"/>
      <c r="AO2054" s="152"/>
      <c r="AP2054" s="152"/>
      <c r="AQ2054" s="152"/>
      <c r="AR2054" s="152"/>
      <c r="AS2054" s="152"/>
      <c r="AT2054" s="152"/>
      <c r="AU2054" s="153"/>
      <c r="AV2054" s="479"/>
      <c r="AW2054" s="479"/>
      <c r="AX2054" s="442"/>
      <c r="AY2054" s="153"/>
      <c r="AZ2054" s="152"/>
      <c r="BA2054" s="152"/>
      <c r="BB2054" s="152"/>
      <c r="BC2054" s="152"/>
      <c r="BD2054" s="152"/>
      <c r="BE2054" s="152"/>
      <c r="BF2054" s="152"/>
      <c r="BG2054" s="152"/>
      <c r="BH2054" s="152"/>
      <c r="BI2054" s="153"/>
      <c r="BJ2054" s="153"/>
      <c r="BK2054" s="152"/>
      <c r="BL2054" s="152"/>
      <c r="BM2054" s="152"/>
      <c r="BN2054" s="152"/>
      <c r="BO2054" s="152"/>
      <c r="BP2054" s="152"/>
      <c r="BQ2054" s="152"/>
      <c r="BR2054" s="152"/>
      <c r="BS2054" s="152"/>
      <c r="BT2054" s="152"/>
      <c r="BU2054" s="152"/>
      <c r="BV2054" s="152"/>
      <c r="BW2054" s="152"/>
      <c r="BX2054" s="152"/>
      <c r="BY2054" s="153"/>
      <c r="BZ2054" s="153"/>
      <c r="CA2054" s="152"/>
      <c r="CB2054" s="152"/>
    </row>
    <row r="2055" spans="1:80" s="87" customFormat="1" ht="15" x14ac:dyDescent="0.25">
      <c r="A2055" s="152"/>
      <c r="B2055" s="683"/>
      <c r="C2055" s="683"/>
      <c r="D2055" s="698"/>
      <c r="E2055" s="215"/>
      <c r="F2055" s="215"/>
      <c r="G2055" s="153"/>
      <c r="H2055" s="153"/>
      <c r="I2055" s="307">
        <v>14</v>
      </c>
      <c r="J2055" s="307">
        <v>60</v>
      </c>
      <c r="K2055" s="307">
        <v>2</v>
      </c>
      <c r="L2055" s="656">
        <v>28</v>
      </c>
      <c r="M2055" s="663">
        <v>33401</v>
      </c>
      <c r="N2055" s="600">
        <v>1.3108918999999999</v>
      </c>
      <c r="O2055" s="604">
        <v>1.8577920000000001E-2</v>
      </c>
      <c r="P2055" s="150"/>
      <c r="Q2055" s="250"/>
      <c r="R2055" s="250">
        <v>0.192</v>
      </c>
      <c r="S2055" s="250">
        <v>0.126</v>
      </c>
      <c r="T2055" s="250">
        <v>0.125</v>
      </c>
      <c r="U2055" s="250">
        <v>0.13900000000000001</v>
      </c>
      <c r="V2055" s="250">
        <v>0.192</v>
      </c>
      <c r="W2055" s="250">
        <v>0.14000000000000001</v>
      </c>
      <c r="X2055" s="502">
        <v>8.6000000000000007E-2</v>
      </c>
      <c r="Y2055" s="250" t="s">
        <v>29</v>
      </c>
      <c r="Z2055" s="150"/>
      <c r="AA2055" s="223">
        <v>3.0103433751782447</v>
      </c>
      <c r="AB2055" s="152"/>
      <c r="AC2055" s="152"/>
      <c r="AD2055" s="223">
        <v>6.3396319999999999</v>
      </c>
      <c r="AE2055" s="223">
        <v>0.25936456730769231</v>
      </c>
      <c r="AF2055" s="223">
        <v>1.6442238</v>
      </c>
      <c r="AG2055" s="223">
        <v>0.79693114124293796</v>
      </c>
      <c r="AH2055" s="341"/>
      <c r="AI2055" s="218"/>
      <c r="AJ2055" s="218"/>
      <c r="AK2055" s="153"/>
      <c r="AL2055" s="152"/>
      <c r="AM2055" s="152"/>
      <c r="AN2055" s="152"/>
      <c r="AO2055" s="152"/>
      <c r="AP2055" s="152"/>
      <c r="AQ2055" s="152"/>
      <c r="AR2055" s="152"/>
      <c r="AS2055" s="152"/>
      <c r="AT2055" s="152"/>
      <c r="AU2055" s="153"/>
      <c r="AV2055" s="479"/>
      <c r="AW2055" s="479"/>
      <c r="AX2055" s="442"/>
      <c r="AY2055" s="153"/>
      <c r="AZ2055" s="152"/>
      <c r="BA2055" s="152"/>
      <c r="BB2055" s="152"/>
      <c r="BC2055" s="152"/>
      <c r="BD2055" s="152"/>
      <c r="BE2055" s="152"/>
      <c r="BF2055" s="152"/>
      <c r="BG2055" s="152"/>
      <c r="BH2055" s="152"/>
      <c r="BI2055" s="153"/>
      <c r="BJ2055" s="153"/>
      <c r="BK2055" s="152"/>
      <c r="BL2055" s="152"/>
      <c r="BM2055" s="152"/>
      <c r="BN2055" s="152"/>
      <c r="BO2055" s="152"/>
      <c r="BP2055" s="152"/>
      <c r="BQ2055" s="152"/>
      <c r="BR2055" s="152"/>
      <c r="BS2055" s="152"/>
      <c r="BT2055" s="152"/>
      <c r="BU2055" s="152"/>
      <c r="BV2055" s="152"/>
      <c r="BW2055" s="152"/>
      <c r="BX2055" s="152"/>
      <c r="BY2055" s="153"/>
      <c r="BZ2055" s="153"/>
      <c r="CA2055" s="152"/>
      <c r="CB2055" s="152"/>
    </row>
    <row r="2056" spans="1:80" s="87" customFormat="1" ht="15" x14ac:dyDescent="0.25">
      <c r="A2056" s="152"/>
      <c r="B2056" s="683"/>
      <c r="C2056" s="683"/>
      <c r="D2056" s="698"/>
      <c r="E2056" s="215"/>
      <c r="F2056" s="215"/>
      <c r="G2056" s="153"/>
      <c r="H2056" s="153"/>
      <c r="I2056" s="307">
        <v>14</v>
      </c>
      <c r="J2056" s="307">
        <v>60</v>
      </c>
      <c r="K2056" s="307">
        <v>2</v>
      </c>
      <c r="L2056" s="656">
        <v>28</v>
      </c>
      <c r="M2056" s="663">
        <v>33407</v>
      </c>
      <c r="N2056" s="600">
        <v>1.0051115000000002</v>
      </c>
      <c r="O2056" s="604">
        <v>1.249024E-2</v>
      </c>
      <c r="P2056" s="150"/>
      <c r="Q2056" s="250"/>
      <c r="R2056" s="250">
        <v>9.5000000000000001E-2</v>
      </c>
      <c r="S2056" s="250">
        <v>0.02</v>
      </c>
      <c r="T2056" s="250">
        <v>6.6000000000000003E-2</v>
      </c>
      <c r="U2056" s="250">
        <v>0.11699999999999999</v>
      </c>
      <c r="V2056" s="250">
        <v>0.316</v>
      </c>
      <c r="W2056" s="250">
        <v>0.23199999999999998</v>
      </c>
      <c r="X2056" s="502">
        <v>0.155</v>
      </c>
      <c r="Y2056" s="250" t="s">
        <v>29</v>
      </c>
      <c r="Z2056" s="150"/>
      <c r="AA2056" s="223">
        <v>1.2826941543730319</v>
      </c>
      <c r="AB2056" s="152"/>
      <c r="AC2056" s="152"/>
      <c r="AD2056" s="223">
        <v>6.0348420000000003</v>
      </c>
      <c r="AE2056" s="223">
        <v>0.21904857070707071</v>
      </c>
      <c r="AF2056" s="223">
        <v>1.3218816200000001</v>
      </c>
      <c r="AG2056" s="223">
        <v>0.76015439915671124</v>
      </c>
      <c r="AH2056" s="341"/>
      <c r="AI2056" s="218"/>
      <c r="AJ2056" s="218"/>
      <c r="AK2056" s="153"/>
      <c r="AL2056" s="152"/>
      <c r="AM2056" s="152"/>
      <c r="AN2056" s="152"/>
      <c r="AO2056" s="152"/>
      <c r="AP2056" s="152"/>
      <c r="AQ2056" s="152"/>
      <c r="AR2056" s="152"/>
      <c r="AS2056" s="152"/>
      <c r="AT2056" s="152"/>
      <c r="AU2056" s="153"/>
      <c r="AV2056" s="479"/>
      <c r="AW2056" s="479"/>
      <c r="AX2056" s="442"/>
      <c r="AY2056" s="153"/>
      <c r="AZ2056" s="152"/>
      <c r="BA2056" s="152"/>
      <c r="BB2056" s="152"/>
      <c r="BC2056" s="152"/>
      <c r="BD2056" s="152"/>
      <c r="BE2056" s="152"/>
      <c r="BF2056" s="152"/>
      <c r="BG2056" s="152"/>
      <c r="BH2056" s="152"/>
      <c r="BI2056" s="153"/>
      <c r="BJ2056" s="153"/>
      <c r="BK2056" s="152"/>
      <c r="BL2056" s="152"/>
      <c r="BM2056" s="152"/>
      <c r="BN2056" s="152"/>
      <c r="BO2056" s="152"/>
      <c r="BP2056" s="152"/>
      <c r="BQ2056" s="152"/>
      <c r="BR2056" s="152"/>
      <c r="BS2056" s="152"/>
      <c r="BT2056" s="152"/>
      <c r="BU2056" s="152"/>
      <c r="BV2056" s="152"/>
      <c r="BW2056" s="152"/>
      <c r="BX2056" s="152"/>
      <c r="BY2056" s="153"/>
      <c r="BZ2056" s="153"/>
      <c r="CA2056" s="152"/>
      <c r="CB2056" s="152"/>
    </row>
    <row r="2057" spans="1:80" s="87" customFormat="1" ht="15" x14ac:dyDescent="0.25">
      <c r="A2057" s="152"/>
      <c r="B2057" s="683"/>
      <c r="C2057" s="683"/>
      <c r="D2057" s="698"/>
      <c r="E2057" s="215"/>
      <c r="F2057" s="215"/>
      <c r="G2057" s="153"/>
      <c r="H2057" s="153"/>
      <c r="I2057" s="307">
        <v>14</v>
      </c>
      <c r="J2057" s="307">
        <v>60</v>
      </c>
      <c r="K2057" s="307">
        <v>2</v>
      </c>
      <c r="L2057" s="656">
        <v>28</v>
      </c>
      <c r="M2057" s="663">
        <v>33718</v>
      </c>
      <c r="N2057" s="600">
        <v>0.59174170000000004</v>
      </c>
      <c r="O2057" s="604">
        <v>5.5733760000000005E-3</v>
      </c>
      <c r="P2057" s="150"/>
      <c r="Q2057" s="250"/>
      <c r="R2057" s="250"/>
      <c r="S2057" s="250">
        <v>2.3E-2</v>
      </c>
      <c r="T2057" s="250">
        <v>4.5999999999999999E-2</v>
      </c>
      <c r="U2057" s="250">
        <v>0.154</v>
      </c>
      <c r="V2057" s="250">
        <v>0.22399999999999998</v>
      </c>
      <c r="W2057" s="250">
        <v>0.28199999999999997</v>
      </c>
      <c r="X2057" s="502">
        <v>0.27</v>
      </c>
      <c r="Y2057" s="250" t="s">
        <v>29</v>
      </c>
      <c r="Z2057" s="150"/>
      <c r="AA2057" s="223">
        <v>0.87893585574564748</v>
      </c>
      <c r="AB2057" s="152"/>
      <c r="AC2057" s="152"/>
      <c r="AD2057" s="223">
        <v>5.1814299999999998</v>
      </c>
      <c r="AE2057" s="223">
        <v>0.19667919411764709</v>
      </c>
      <c r="AF2057" s="223">
        <v>1.0190471800000001</v>
      </c>
      <c r="AG2057" s="223">
        <v>0.5812403646308113</v>
      </c>
      <c r="AH2057" s="341"/>
      <c r="AI2057" s="218"/>
      <c r="AJ2057" s="218"/>
      <c r="AK2057" s="153"/>
      <c r="AL2057" s="152"/>
      <c r="AM2057" s="152"/>
      <c r="AN2057" s="152"/>
      <c r="AO2057" s="152"/>
      <c r="AP2057" s="152"/>
      <c r="AQ2057" s="152"/>
      <c r="AR2057" s="152"/>
      <c r="AS2057" s="152"/>
      <c r="AT2057" s="152"/>
      <c r="AU2057" s="153"/>
      <c r="AV2057" s="479"/>
      <c r="AW2057" s="479"/>
      <c r="AX2057" s="442"/>
      <c r="AY2057" s="153"/>
      <c r="AZ2057" s="152"/>
      <c r="BA2057" s="152"/>
      <c r="BB2057" s="152"/>
      <c r="BC2057" s="152"/>
      <c r="BD2057" s="152"/>
      <c r="BE2057" s="152"/>
      <c r="BF2057" s="152"/>
      <c r="BG2057" s="152"/>
      <c r="BH2057" s="152"/>
      <c r="BI2057" s="153"/>
      <c r="BJ2057" s="153"/>
      <c r="BK2057" s="152"/>
      <c r="BL2057" s="152"/>
      <c r="BM2057" s="152"/>
      <c r="BN2057" s="152"/>
      <c r="BO2057" s="152"/>
      <c r="BP2057" s="152"/>
      <c r="BQ2057" s="152"/>
      <c r="BR2057" s="152"/>
      <c r="BS2057" s="152"/>
      <c r="BT2057" s="152"/>
      <c r="BU2057" s="152"/>
      <c r="BV2057" s="152"/>
      <c r="BW2057" s="152"/>
      <c r="BX2057" s="152"/>
      <c r="BY2057" s="153"/>
      <c r="BZ2057" s="153"/>
      <c r="CA2057" s="152"/>
      <c r="CB2057" s="152"/>
    </row>
    <row r="2058" spans="1:80" s="87" customFormat="1" ht="15" x14ac:dyDescent="0.25">
      <c r="A2058" s="152"/>
      <c r="B2058" s="683"/>
      <c r="C2058" s="683"/>
      <c r="D2058" s="698"/>
      <c r="E2058" s="215"/>
      <c r="F2058" s="215"/>
      <c r="G2058" s="153"/>
      <c r="H2058" s="153"/>
      <c r="I2058" s="307">
        <v>14</v>
      </c>
      <c r="J2058" s="307">
        <v>60</v>
      </c>
      <c r="K2058" s="307">
        <v>2</v>
      </c>
      <c r="L2058" s="656">
        <v>28</v>
      </c>
      <c r="M2058" s="663">
        <v>33725</v>
      </c>
      <c r="N2058" s="600">
        <v>0.60872950000000003</v>
      </c>
      <c r="O2058" s="604">
        <v>1.0496E-2</v>
      </c>
      <c r="P2058" s="150"/>
      <c r="Q2058" s="250"/>
      <c r="R2058" s="250">
        <v>6.2E-2</v>
      </c>
      <c r="S2058" s="250">
        <v>1.7000000000000001E-2</v>
      </c>
      <c r="T2058" s="250">
        <v>4.8000000000000001E-2</v>
      </c>
      <c r="U2058" s="250">
        <v>0.13300000000000001</v>
      </c>
      <c r="V2058" s="250">
        <v>0.255</v>
      </c>
      <c r="W2058" s="250">
        <v>0.29199999999999998</v>
      </c>
      <c r="X2058" s="502">
        <v>0.19400000000000001</v>
      </c>
      <c r="Y2058" s="250" t="s">
        <v>29</v>
      </c>
      <c r="Z2058" s="150"/>
      <c r="AA2058" s="223">
        <v>1.0402012993008698</v>
      </c>
      <c r="AB2058" s="152"/>
      <c r="AC2058" s="152"/>
      <c r="AD2058" s="223">
        <v>5.2119090000000003</v>
      </c>
      <c r="AE2058" s="223">
        <v>0.19499430409356724</v>
      </c>
      <c r="AF2058" s="223">
        <v>1.01626036</v>
      </c>
      <c r="AG2058" s="223">
        <v>0.59899314442413165</v>
      </c>
      <c r="AH2058" s="341"/>
      <c r="AI2058" s="218"/>
      <c r="AJ2058" s="218"/>
      <c r="AK2058" s="153"/>
      <c r="AL2058" s="152"/>
      <c r="AM2058" s="152"/>
      <c r="AN2058" s="152"/>
      <c r="AO2058" s="152"/>
      <c r="AP2058" s="152"/>
      <c r="AQ2058" s="152"/>
      <c r="AR2058" s="152"/>
      <c r="AS2058" s="152"/>
      <c r="AT2058" s="152"/>
      <c r="AU2058" s="153"/>
      <c r="AV2058" s="479"/>
      <c r="AW2058" s="479"/>
      <c r="AX2058" s="442"/>
      <c r="AY2058" s="153"/>
      <c r="AZ2058" s="152"/>
      <c r="BA2058" s="152"/>
      <c r="BB2058" s="152"/>
      <c r="BC2058" s="152"/>
      <c r="BD2058" s="152"/>
      <c r="BE2058" s="152"/>
      <c r="BF2058" s="152"/>
      <c r="BG2058" s="152"/>
      <c r="BH2058" s="152"/>
      <c r="BI2058" s="153"/>
      <c r="BJ2058" s="153"/>
      <c r="BK2058" s="152"/>
      <c r="BL2058" s="152"/>
      <c r="BM2058" s="152"/>
      <c r="BN2058" s="152"/>
      <c r="BO2058" s="152"/>
      <c r="BP2058" s="152"/>
      <c r="BQ2058" s="152"/>
      <c r="BR2058" s="152"/>
      <c r="BS2058" s="152"/>
      <c r="BT2058" s="152"/>
      <c r="BU2058" s="152"/>
      <c r="BV2058" s="152"/>
      <c r="BW2058" s="152"/>
      <c r="BX2058" s="152"/>
      <c r="BY2058" s="153"/>
      <c r="BZ2058" s="153"/>
      <c r="CA2058" s="152"/>
      <c r="CB2058" s="152"/>
    </row>
    <row r="2059" spans="1:80" s="87" customFormat="1" ht="15" x14ac:dyDescent="0.25">
      <c r="A2059" s="152"/>
      <c r="B2059" s="683"/>
      <c r="C2059" s="683"/>
      <c r="D2059" s="698"/>
      <c r="E2059" s="215"/>
      <c r="F2059" s="215"/>
      <c r="G2059" s="153"/>
      <c r="H2059" s="153"/>
      <c r="I2059" s="307">
        <v>14</v>
      </c>
      <c r="J2059" s="307">
        <v>60</v>
      </c>
      <c r="K2059" s="307">
        <v>2</v>
      </c>
      <c r="L2059" s="656">
        <v>28</v>
      </c>
      <c r="M2059" s="663">
        <v>33728</v>
      </c>
      <c r="N2059" s="600">
        <v>0.52379050000000005</v>
      </c>
      <c r="O2059" s="604">
        <v>5.1430399999999998E-3</v>
      </c>
      <c r="P2059" s="150"/>
      <c r="Q2059" s="250"/>
      <c r="R2059" s="250"/>
      <c r="S2059" s="250"/>
      <c r="T2059" s="250">
        <v>2.4E-2</v>
      </c>
      <c r="U2059" s="250">
        <v>0.152</v>
      </c>
      <c r="V2059" s="250">
        <v>0.28399999999999997</v>
      </c>
      <c r="W2059" s="250">
        <v>0.28800000000000003</v>
      </c>
      <c r="X2059" s="502">
        <v>0.252</v>
      </c>
      <c r="Y2059" s="250" t="s">
        <v>29</v>
      </c>
      <c r="Z2059" s="150"/>
      <c r="AA2059" s="223">
        <v>0.90821836269440326</v>
      </c>
      <c r="AB2059" s="152"/>
      <c r="AC2059" s="152"/>
      <c r="AD2059" s="223">
        <v>5.1509510000000001</v>
      </c>
      <c r="AE2059" s="223">
        <v>0.182693650887574</v>
      </c>
      <c r="AF2059" s="223">
        <v>0.94101622000000007</v>
      </c>
      <c r="AG2059" s="223">
        <v>0.55662537018756164</v>
      </c>
      <c r="AH2059" s="341"/>
      <c r="AI2059" s="218"/>
      <c r="AJ2059" s="218"/>
      <c r="AK2059" s="153"/>
      <c r="AL2059" s="152"/>
      <c r="AM2059" s="152"/>
      <c r="AN2059" s="152"/>
      <c r="AO2059" s="152"/>
      <c r="AP2059" s="152"/>
      <c r="AQ2059" s="152"/>
      <c r="AR2059" s="152"/>
      <c r="AS2059" s="152"/>
      <c r="AT2059" s="152"/>
      <c r="AU2059" s="153"/>
      <c r="AV2059" s="479"/>
      <c r="AW2059" s="479"/>
      <c r="AX2059" s="442"/>
      <c r="AY2059" s="153"/>
      <c r="AZ2059" s="152"/>
      <c r="BA2059" s="152"/>
      <c r="BB2059" s="152"/>
      <c r="BC2059" s="152"/>
      <c r="BD2059" s="152"/>
      <c r="BE2059" s="152"/>
      <c r="BF2059" s="152"/>
      <c r="BG2059" s="152"/>
      <c r="BH2059" s="152"/>
      <c r="BI2059" s="153"/>
      <c r="BJ2059" s="153"/>
      <c r="BK2059" s="152"/>
      <c r="BL2059" s="152"/>
      <c r="BM2059" s="152"/>
      <c r="BN2059" s="152"/>
      <c r="BO2059" s="152"/>
      <c r="BP2059" s="152"/>
      <c r="BQ2059" s="152"/>
      <c r="BR2059" s="152"/>
      <c r="BS2059" s="152"/>
      <c r="BT2059" s="152"/>
      <c r="BU2059" s="152"/>
      <c r="BV2059" s="152"/>
      <c r="BW2059" s="152"/>
      <c r="BX2059" s="152"/>
      <c r="BY2059" s="153"/>
      <c r="BZ2059" s="153"/>
      <c r="CA2059" s="152"/>
      <c r="CB2059" s="152"/>
    </row>
    <row r="2060" spans="1:80" s="87" customFormat="1" ht="15" x14ac:dyDescent="0.25">
      <c r="A2060" s="152"/>
      <c r="B2060" s="683"/>
      <c r="C2060" s="683"/>
      <c r="D2060" s="698"/>
      <c r="E2060" s="215"/>
      <c r="F2060" s="215"/>
      <c r="G2060" s="153"/>
      <c r="H2060" s="153"/>
      <c r="I2060" s="307">
        <v>14</v>
      </c>
      <c r="J2060" s="307">
        <v>60</v>
      </c>
      <c r="K2060" s="307">
        <v>2</v>
      </c>
      <c r="L2060" s="656">
        <v>28</v>
      </c>
      <c r="M2060" s="663">
        <v>33743</v>
      </c>
      <c r="N2060" s="600">
        <v>0.49264619999999998</v>
      </c>
      <c r="O2060" s="604">
        <v>3.379712E-3</v>
      </c>
      <c r="P2060" s="150"/>
      <c r="Q2060" s="250"/>
      <c r="R2060" s="250"/>
      <c r="S2060" s="250">
        <v>0.11199999999999999</v>
      </c>
      <c r="T2060" s="250">
        <v>3.3000000000000002E-2</v>
      </c>
      <c r="U2060" s="250">
        <v>0.18600000000000003</v>
      </c>
      <c r="V2060" s="250">
        <v>0.318</v>
      </c>
      <c r="W2060" s="250">
        <v>0.20399999999999999</v>
      </c>
      <c r="X2060" s="502">
        <v>0.14699999999999999</v>
      </c>
      <c r="Y2060" s="250" t="s">
        <v>29</v>
      </c>
      <c r="Z2060" s="150"/>
      <c r="AA2060" s="223">
        <v>1.3837213623302975</v>
      </c>
      <c r="AB2060" s="152"/>
      <c r="AC2060" s="152"/>
      <c r="AD2060" s="223">
        <v>5.1204720000000004</v>
      </c>
      <c r="AE2060" s="223">
        <v>0.18160404166666666</v>
      </c>
      <c r="AF2060" s="223">
        <v>0.92986893999999998</v>
      </c>
      <c r="AG2060" s="223">
        <v>0.5279778821178821</v>
      </c>
      <c r="AH2060" s="341"/>
      <c r="AI2060" s="218"/>
      <c r="AJ2060" s="218"/>
      <c r="AK2060" s="153"/>
      <c r="AL2060" s="152"/>
      <c r="AM2060" s="152"/>
      <c r="AN2060" s="152"/>
      <c r="AO2060" s="152"/>
      <c r="AP2060" s="152"/>
      <c r="AQ2060" s="152"/>
      <c r="AR2060" s="152"/>
      <c r="AS2060" s="152"/>
      <c r="AT2060" s="152"/>
      <c r="AU2060" s="153"/>
      <c r="AV2060" s="479"/>
      <c r="AW2060" s="479"/>
      <c r="AX2060" s="442"/>
      <c r="AY2060" s="153"/>
      <c r="AZ2060" s="152"/>
      <c r="BA2060" s="152"/>
      <c r="BB2060" s="152"/>
      <c r="BC2060" s="152"/>
      <c r="BD2060" s="152"/>
      <c r="BE2060" s="152"/>
      <c r="BF2060" s="152"/>
      <c r="BG2060" s="152"/>
      <c r="BH2060" s="152"/>
      <c r="BI2060" s="153"/>
      <c r="BJ2060" s="153"/>
      <c r="BK2060" s="152"/>
      <c r="BL2060" s="152"/>
      <c r="BM2060" s="152"/>
      <c r="BN2060" s="152"/>
      <c r="BO2060" s="152"/>
      <c r="BP2060" s="152"/>
      <c r="BQ2060" s="152"/>
      <c r="BR2060" s="152"/>
      <c r="BS2060" s="152"/>
      <c r="BT2060" s="152"/>
      <c r="BU2060" s="152"/>
      <c r="BV2060" s="152"/>
      <c r="BW2060" s="152"/>
      <c r="BX2060" s="152"/>
      <c r="BY2060" s="153"/>
      <c r="BZ2060" s="153"/>
      <c r="CA2060" s="152"/>
      <c r="CB2060" s="152"/>
    </row>
    <row r="2061" spans="1:80" s="87" customFormat="1" ht="15" x14ac:dyDescent="0.25">
      <c r="A2061" s="152"/>
      <c r="B2061" s="683"/>
      <c r="C2061" s="683"/>
      <c r="D2061" s="698"/>
      <c r="E2061" s="215"/>
      <c r="F2061" s="215"/>
      <c r="G2061" s="153"/>
      <c r="H2061" s="153"/>
      <c r="I2061" s="307">
        <v>14</v>
      </c>
      <c r="J2061" s="307">
        <v>60</v>
      </c>
      <c r="K2061" s="307">
        <v>2</v>
      </c>
      <c r="L2061" s="656">
        <v>28</v>
      </c>
      <c r="M2061" s="663">
        <v>34080</v>
      </c>
      <c r="N2061" s="600">
        <v>0.39071940000000005</v>
      </c>
      <c r="O2061" s="604">
        <v>1.144064E-3</v>
      </c>
      <c r="P2061" s="150"/>
      <c r="Q2061" s="250"/>
      <c r="R2061" s="250"/>
      <c r="S2061" s="250"/>
      <c r="T2061" s="250">
        <v>3.7999999999999999E-2</v>
      </c>
      <c r="U2061" s="250">
        <v>0.14300000000000002</v>
      </c>
      <c r="V2061" s="250">
        <v>0.22699999999999998</v>
      </c>
      <c r="W2061" s="250">
        <v>0.25700000000000001</v>
      </c>
      <c r="X2061" s="502">
        <v>0.33500000000000002</v>
      </c>
      <c r="Y2061" s="250" t="s">
        <v>29</v>
      </c>
      <c r="Z2061" s="150"/>
      <c r="AA2061" s="223">
        <v>0.78025810653940009</v>
      </c>
      <c r="AB2061" s="152"/>
      <c r="AC2061" s="152"/>
      <c r="AD2061" s="223">
        <v>5.0290350000000004</v>
      </c>
      <c r="AE2061" s="223">
        <v>0.154981096969697</v>
      </c>
      <c r="AF2061" s="223">
        <v>0.77938066000000006</v>
      </c>
      <c r="AG2061" s="223">
        <v>0.50241307508939215</v>
      </c>
      <c r="AH2061" s="341"/>
      <c r="AI2061" s="218"/>
      <c r="AJ2061" s="218"/>
      <c r="AK2061" s="153"/>
      <c r="AL2061" s="152"/>
      <c r="AM2061" s="152"/>
      <c r="AN2061" s="152"/>
      <c r="AO2061" s="152"/>
      <c r="AP2061" s="152"/>
      <c r="AQ2061" s="152"/>
      <c r="AR2061" s="152"/>
      <c r="AS2061" s="152"/>
      <c r="AT2061" s="152"/>
      <c r="AU2061" s="153"/>
      <c r="AV2061" s="479"/>
      <c r="AW2061" s="479"/>
      <c r="AX2061" s="442"/>
      <c r="AY2061" s="153"/>
      <c r="AZ2061" s="152"/>
      <c r="BA2061" s="152"/>
      <c r="BB2061" s="152"/>
      <c r="BC2061" s="152"/>
      <c r="BD2061" s="152"/>
      <c r="BE2061" s="152"/>
      <c r="BF2061" s="152"/>
      <c r="BG2061" s="152"/>
      <c r="BH2061" s="152"/>
      <c r="BI2061" s="153"/>
      <c r="BJ2061" s="153"/>
      <c r="BK2061" s="152"/>
      <c r="BL2061" s="152"/>
      <c r="BM2061" s="152"/>
      <c r="BN2061" s="152"/>
      <c r="BO2061" s="152"/>
      <c r="BP2061" s="152"/>
      <c r="BQ2061" s="152"/>
      <c r="BR2061" s="152"/>
      <c r="BS2061" s="152"/>
      <c r="BT2061" s="152"/>
      <c r="BU2061" s="152"/>
      <c r="BV2061" s="152"/>
      <c r="BW2061" s="152"/>
      <c r="BX2061" s="152"/>
      <c r="BY2061" s="153"/>
      <c r="BZ2061" s="153"/>
      <c r="CA2061" s="152"/>
      <c r="CB2061" s="152"/>
    </row>
    <row r="2062" spans="1:80" s="87" customFormat="1" ht="15" x14ac:dyDescent="0.25">
      <c r="A2062" s="152"/>
      <c r="B2062" s="683"/>
      <c r="C2062" s="683"/>
      <c r="D2062" s="698"/>
      <c r="E2062" s="215"/>
      <c r="F2062" s="215"/>
      <c r="G2062" s="153"/>
      <c r="H2062" s="153"/>
      <c r="I2062" s="307">
        <v>14</v>
      </c>
      <c r="J2062" s="307">
        <v>60</v>
      </c>
      <c r="K2062" s="307">
        <v>2</v>
      </c>
      <c r="L2062" s="656">
        <v>28</v>
      </c>
      <c r="M2062" s="663">
        <v>34093</v>
      </c>
      <c r="N2062" s="600">
        <v>0.55776610000000004</v>
      </c>
      <c r="O2062" s="604">
        <v>3.4951680000000003E-3</v>
      </c>
      <c r="P2062" s="150"/>
      <c r="Q2062" s="250"/>
      <c r="R2062" s="250">
        <v>5.2000000000000005E-2</v>
      </c>
      <c r="S2062" s="250">
        <v>1.8000000000000002E-2</v>
      </c>
      <c r="T2062" s="250">
        <v>3.2000000000000001E-2</v>
      </c>
      <c r="U2062" s="250">
        <v>8.5000000000000006E-2</v>
      </c>
      <c r="V2062" s="250">
        <v>0.249</v>
      </c>
      <c r="W2062" s="250">
        <v>0.32500000000000001</v>
      </c>
      <c r="X2062" s="502">
        <v>0.23799999999999999</v>
      </c>
      <c r="Y2062" s="250" t="s">
        <v>29</v>
      </c>
      <c r="Z2062" s="150"/>
      <c r="AA2062" s="223">
        <v>0.87334003673077565</v>
      </c>
      <c r="AB2062" s="152"/>
      <c r="AC2062" s="152"/>
      <c r="AD2062" s="223">
        <v>5.425262</v>
      </c>
      <c r="AE2062" s="223">
        <v>0.18184661797752807</v>
      </c>
      <c r="AF2062" s="223">
        <v>0.98653427999999999</v>
      </c>
      <c r="AG2062" s="223">
        <v>0.56452159133709989</v>
      </c>
      <c r="AH2062" s="341"/>
      <c r="AI2062" s="218"/>
      <c r="AJ2062" s="218"/>
      <c r="AK2062" s="153"/>
      <c r="AL2062" s="152"/>
      <c r="AM2062" s="152"/>
      <c r="AN2062" s="152"/>
      <c r="AO2062" s="152"/>
      <c r="AP2062" s="152"/>
      <c r="AQ2062" s="152"/>
      <c r="AR2062" s="152"/>
      <c r="AS2062" s="152"/>
      <c r="AT2062" s="152"/>
      <c r="AU2062" s="153"/>
      <c r="AV2062" s="479"/>
      <c r="AW2062" s="479"/>
      <c r="AX2062" s="442"/>
      <c r="AY2062" s="153"/>
      <c r="AZ2062" s="152"/>
      <c r="BA2062" s="152"/>
      <c r="BB2062" s="152"/>
      <c r="BC2062" s="152"/>
      <c r="BD2062" s="152"/>
      <c r="BE2062" s="152"/>
      <c r="BF2062" s="152"/>
      <c r="BG2062" s="152"/>
      <c r="BH2062" s="152"/>
      <c r="BI2062" s="153"/>
      <c r="BJ2062" s="153"/>
      <c r="BK2062" s="152"/>
      <c r="BL2062" s="152"/>
      <c r="BM2062" s="152"/>
      <c r="BN2062" s="152"/>
      <c r="BO2062" s="152"/>
      <c r="BP2062" s="152"/>
      <c r="BQ2062" s="152"/>
      <c r="BR2062" s="152"/>
      <c r="BS2062" s="152"/>
      <c r="BT2062" s="152"/>
      <c r="BU2062" s="152"/>
      <c r="BV2062" s="152"/>
      <c r="BW2062" s="152"/>
      <c r="BX2062" s="152"/>
      <c r="BY2062" s="153"/>
      <c r="BZ2062" s="153"/>
      <c r="CA2062" s="152"/>
      <c r="CB2062" s="152"/>
    </row>
    <row r="2063" spans="1:80" s="87" customFormat="1" ht="15" x14ac:dyDescent="0.25">
      <c r="A2063" s="152"/>
      <c r="B2063" s="683"/>
      <c r="C2063" s="683"/>
      <c r="D2063" s="698"/>
      <c r="E2063" s="215"/>
      <c r="F2063" s="215"/>
      <c r="G2063" s="153"/>
      <c r="H2063" s="153"/>
      <c r="I2063" s="307">
        <v>14</v>
      </c>
      <c r="J2063" s="307">
        <v>60</v>
      </c>
      <c r="K2063" s="307">
        <v>2</v>
      </c>
      <c r="L2063" s="656">
        <v>28</v>
      </c>
      <c r="M2063" s="663">
        <v>34101</v>
      </c>
      <c r="N2063" s="600">
        <v>0.71915019999999996</v>
      </c>
      <c r="O2063" s="604">
        <v>3.6106239999999998E-3</v>
      </c>
      <c r="P2063" s="150"/>
      <c r="Q2063" s="250"/>
      <c r="R2063" s="250"/>
      <c r="S2063" s="250">
        <v>0.03</v>
      </c>
      <c r="T2063" s="250">
        <v>7.0000000000000007E-2</v>
      </c>
      <c r="U2063" s="250">
        <v>0.11900000000000001</v>
      </c>
      <c r="V2063" s="250">
        <v>0.21600000000000003</v>
      </c>
      <c r="W2063" s="250">
        <v>0.27399999999999997</v>
      </c>
      <c r="X2063" s="502">
        <v>0.29100000000000004</v>
      </c>
      <c r="Y2063" s="250" t="s">
        <v>29</v>
      </c>
      <c r="Z2063" s="150"/>
      <c r="AA2063" s="223">
        <v>0.84837482917368678</v>
      </c>
      <c r="AB2063" s="152"/>
      <c r="AC2063" s="152"/>
      <c r="AD2063" s="223">
        <v>5.60832</v>
      </c>
      <c r="AE2063" s="223">
        <v>0.20116800000000001</v>
      </c>
      <c r="AF2063" s="223">
        <v>1.1315590272</v>
      </c>
      <c r="AG2063" s="223">
        <v>0.63703200000000004</v>
      </c>
      <c r="AH2063" s="341"/>
      <c r="AI2063" s="218"/>
      <c r="AJ2063" s="218"/>
      <c r="AK2063" s="153"/>
      <c r="AL2063" s="152"/>
      <c r="AM2063" s="152"/>
      <c r="AN2063" s="152"/>
      <c r="AO2063" s="152"/>
      <c r="AP2063" s="152"/>
      <c r="AQ2063" s="152"/>
      <c r="AR2063" s="152"/>
      <c r="AS2063" s="152"/>
      <c r="AT2063" s="152"/>
      <c r="AU2063" s="153"/>
      <c r="AV2063" s="479"/>
      <c r="AW2063" s="479"/>
      <c r="AX2063" s="442"/>
      <c r="AY2063" s="153"/>
      <c r="AZ2063" s="152"/>
      <c r="BA2063" s="152"/>
      <c r="BB2063" s="152"/>
      <c r="BC2063" s="152"/>
      <c r="BD2063" s="152"/>
      <c r="BE2063" s="152"/>
      <c r="BF2063" s="152"/>
      <c r="BG2063" s="152"/>
      <c r="BH2063" s="152"/>
      <c r="BI2063" s="153"/>
      <c r="BJ2063" s="153"/>
      <c r="BK2063" s="152"/>
      <c r="BL2063" s="152"/>
      <c r="BM2063" s="152"/>
      <c r="BN2063" s="152"/>
      <c r="BO2063" s="152"/>
      <c r="BP2063" s="152"/>
      <c r="BQ2063" s="152"/>
      <c r="BR2063" s="152"/>
      <c r="BS2063" s="152"/>
      <c r="BT2063" s="152"/>
      <c r="BU2063" s="152"/>
      <c r="BV2063" s="152"/>
      <c r="BW2063" s="152"/>
      <c r="BX2063" s="152"/>
      <c r="BY2063" s="153"/>
      <c r="BZ2063" s="153"/>
      <c r="CA2063" s="152"/>
      <c r="CB2063" s="152"/>
    </row>
    <row r="2064" spans="1:80" s="87" customFormat="1" ht="15" x14ac:dyDescent="0.25">
      <c r="A2064" s="152"/>
      <c r="B2064" s="683"/>
      <c r="C2064" s="683"/>
      <c r="D2064" s="698"/>
      <c r="E2064" s="215"/>
      <c r="F2064" s="215"/>
      <c r="G2064" s="153"/>
      <c r="H2064" s="153"/>
      <c r="I2064" s="307">
        <v>14</v>
      </c>
      <c r="J2064" s="307">
        <v>60</v>
      </c>
      <c r="K2064" s="307">
        <v>2</v>
      </c>
      <c r="L2064" s="656">
        <v>28</v>
      </c>
      <c r="M2064" s="663">
        <v>34106</v>
      </c>
      <c r="N2064" s="600">
        <v>1.2712536999999999</v>
      </c>
      <c r="O2064" s="604">
        <v>1.3340415999999999E-2</v>
      </c>
      <c r="P2064" s="150"/>
      <c r="Q2064" s="250"/>
      <c r="R2064" s="250"/>
      <c r="S2064" s="250">
        <v>0.14199999999999999</v>
      </c>
      <c r="T2064" s="250">
        <v>0.16600000000000001</v>
      </c>
      <c r="U2064" s="250">
        <v>0.18</v>
      </c>
      <c r="V2064" s="250">
        <v>0.187</v>
      </c>
      <c r="W2064" s="250">
        <v>0.14800000000000002</v>
      </c>
      <c r="X2064" s="502">
        <v>0.17599999999999999</v>
      </c>
      <c r="Y2064" s="250" t="s">
        <v>29</v>
      </c>
      <c r="Z2064" s="150"/>
      <c r="AA2064" s="223">
        <v>1.9165380935983469</v>
      </c>
      <c r="AB2064" s="152"/>
      <c r="AC2064" s="152"/>
      <c r="AD2064" s="223">
        <v>5.9436</v>
      </c>
      <c r="AE2064" s="223">
        <v>0.22860000000000003</v>
      </c>
      <c r="AF2064" s="223">
        <v>1.3508102016000001</v>
      </c>
      <c r="AG2064" s="223">
        <v>0.941832</v>
      </c>
      <c r="AH2064" s="341"/>
      <c r="AI2064" s="218"/>
      <c r="AJ2064" s="218"/>
      <c r="AK2064" s="153"/>
      <c r="AL2064" s="152"/>
      <c r="AM2064" s="152"/>
      <c r="AN2064" s="152"/>
      <c r="AO2064" s="152"/>
      <c r="AP2064" s="152"/>
      <c r="AQ2064" s="152"/>
      <c r="AR2064" s="152"/>
      <c r="AS2064" s="152"/>
      <c r="AT2064" s="152"/>
      <c r="AU2064" s="153"/>
      <c r="AV2064" s="479"/>
      <c r="AW2064" s="479"/>
      <c r="AX2064" s="442"/>
      <c r="AY2064" s="153"/>
      <c r="AZ2064" s="152"/>
      <c r="BA2064" s="152"/>
      <c r="BB2064" s="152"/>
      <c r="BC2064" s="152"/>
      <c r="BD2064" s="152"/>
      <c r="BE2064" s="152"/>
      <c r="BF2064" s="152"/>
      <c r="BG2064" s="152"/>
      <c r="BH2064" s="152"/>
      <c r="BI2064" s="153"/>
      <c r="BJ2064" s="153"/>
      <c r="BK2064" s="152"/>
      <c r="BL2064" s="152"/>
      <c r="BM2064" s="152"/>
      <c r="BN2064" s="152"/>
      <c r="BO2064" s="152"/>
      <c r="BP2064" s="152"/>
      <c r="BQ2064" s="152"/>
      <c r="BR2064" s="152"/>
      <c r="BS2064" s="152"/>
      <c r="BT2064" s="152"/>
      <c r="BU2064" s="152"/>
      <c r="BV2064" s="152"/>
      <c r="BW2064" s="152"/>
      <c r="BX2064" s="152"/>
      <c r="BY2064" s="153"/>
      <c r="BZ2064" s="153"/>
      <c r="CA2064" s="152"/>
      <c r="CB2064" s="152"/>
    </row>
    <row r="2065" spans="1:80" s="87" customFormat="1" ht="15" x14ac:dyDescent="0.25">
      <c r="A2065" s="152"/>
      <c r="B2065" s="683"/>
      <c r="C2065" s="683"/>
      <c r="D2065" s="698"/>
      <c r="E2065" s="215"/>
      <c r="F2065" s="215"/>
      <c r="G2065" s="153"/>
      <c r="H2065" s="153"/>
      <c r="I2065" s="307">
        <v>14</v>
      </c>
      <c r="J2065" s="307">
        <v>60</v>
      </c>
      <c r="K2065" s="307">
        <v>2</v>
      </c>
      <c r="L2065" s="656">
        <v>28</v>
      </c>
      <c r="M2065" s="663">
        <v>34109</v>
      </c>
      <c r="N2065" s="600">
        <v>1.2712536999999999</v>
      </c>
      <c r="O2065" s="604">
        <v>6.9483520000000005E-3</v>
      </c>
      <c r="P2065" s="150"/>
      <c r="Q2065" s="250"/>
      <c r="R2065" s="250"/>
      <c r="S2065" s="250">
        <v>6.0999999999999999E-2</v>
      </c>
      <c r="T2065" s="250">
        <v>9.0999999999999998E-2</v>
      </c>
      <c r="U2065" s="250">
        <v>0.17100000000000001</v>
      </c>
      <c r="V2065" s="250">
        <v>0.24</v>
      </c>
      <c r="W2065" s="250">
        <v>0.187</v>
      </c>
      <c r="X2065" s="502">
        <v>0.25</v>
      </c>
      <c r="Y2065" s="250" t="s">
        <v>29</v>
      </c>
      <c r="Z2065" s="150"/>
      <c r="AA2065" s="223">
        <v>1.1995555760409014</v>
      </c>
      <c r="AB2065" s="152"/>
      <c r="AC2065" s="152"/>
      <c r="AD2065" s="223"/>
      <c r="AE2065" s="223"/>
      <c r="AF2065" s="223"/>
      <c r="AG2065" s="223"/>
      <c r="AH2065" s="341"/>
      <c r="AI2065" s="218"/>
      <c r="AJ2065" s="218"/>
      <c r="AK2065" s="153"/>
      <c r="AL2065" s="152"/>
      <c r="AM2065" s="152"/>
      <c r="AN2065" s="152"/>
      <c r="AO2065" s="152"/>
      <c r="AP2065" s="152"/>
      <c r="AQ2065" s="152"/>
      <c r="AR2065" s="152"/>
      <c r="AS2065" s="152"/>
      <c r="AT2065" s="152"/>
      <c r="AU2065" s="153"/>
      <c r="AV2065" s="479"/>
      <c r="AW2065" s="479"/>
      <c r="AX2065" s="442"/>
      <c r="AY2065" s="153"/>
      <c r="AZ2065" s="152"/>
      <c r="BA2065" s="152"/>
      <c r="BB2065" s="152"/>
      <c r="BC2065" s="152"/>
      <c r="BD2065" s="152"/>
      <c r="BE2065" s="152"/>
      <c r="BF2065" s="152"/>
      <c r="BG2065" s="152"/>
      <c r="BH2065" s="152"/>
      <c r="BI2065" s="153"/>
      <c r="BJ2065" s="153"/>
      <c r="BK2065" s="152"/>
      <c r="BL2065" s="152"/>
      <c r="BM2065" s="152"/>
      <c r="BN2065" s="152"/>
      <c r="BO2065" s="152"/>
      <c r="BP2065" s="152"/>
      <c r="BQ2065" s="152"/>
      <c r="BR2065" s="152"/>
      <c r="BS2065" s="152"/>
      <c r="BT2065" s="152"/>
      <c r="BU2065" s="152"/>
      <c r="BV2065" s="152"/>
      <c r="BW2065" s="152"/>
      <c r="BX2065" s="152"/>
      <c r="BY2065" s="153"/>
      <c r="BZ2065" s="153"/>
      <c r="CA2065" s="152"/>
      <c r="CB2065" s="152"/>
    </row>
    <row r="2066" spans="1:80" s="87" customFormat="1" ht="15" x14ac:dyDescent="0.25">
      <c r="A2066" s="152"/>
      <c r="B2066" s="683"/>
      <c r="C2066" s="683"/>
      <c r="D2066" s="698"/>
      <c r="E2066" s="215"/>
      <c r="F2066" s="215"/>
      <c r="G2066" s="153"/>
      <c r="H2066" s="153"/>
      <c r="I2066" s="307">
        <v>14</v>
      </c>
      <c r="J2066" s="307">
        <v>60</v>
      </c>
      <c r="K2066" s="307">
        <v>2</v>
      </c>
      <c r="L2066" s="656">
        <v>28</v>
      </c>
      <c r="M2066" s="663">
        <v>34115</v>
      </c>
      <c r="N2066" s="600">
        <v>1.0617375</v>
      </c>
      <c r="O2066" s="604">
        <v>6.7489280000000004E-3</v>
      </c>
      <c r="P2066" s="150"/>
      <c r="Q2066" s="250"/>
      <c r="R2066" s="250"/>
      <c r="S2066" s="250">
        <v>1.4999999999999999E-2</v>
      </c>
      <c r="T2066" s="250">
        <v>8.3000000000000004E-2</v>
      </c>
      <c r="U2066" s="250">
        <v>0.15</v>
      </c>
      <c r="V2066" s="250">
        <v>0.22800000000000001</v>
      </c>
      <c r="W2066" s="250">
        <v>0.22399999999999998</v>
      </c>
      <c r="X2066" s="502">
        <v>0.29900000000000004</v>
      </c>
      <c r="Y2066" s="250" t="s">
        <v>29</v>
      </c>
      <c r="Z2066" s="150"/>
      <c r="AA2066" s="223">
        <v>0.92986248829334572</v>
      </c>
      <c r="AB2066" s="152"/>
      <c r="AC2066" s="152"/>
      <c r="AD2066" s="223">
        <v>5.8521600000000005</v>
      </c>
      <c r="AE2066" s="223">
        <v>0.21640799999999999</v>
      </c>
      <c r="AF2066" s="223">
        <v>1.2662684352000002</v>
      </c>
      <c r="AG2066" s="223">
        <v>0.83820000000000006</v>
      </c>
      <c r="AH2066" s="341"/>
      <c r="AI2066" s="218"/>
      <c r="AJ2066" s="218"/>
      <c r="AK2066" s="153"/>
      <c r="AL2066" s="152"/>
      <c r="AM2066" s="152"/>
      <c r="AN2066" s="152"/>
      <c r="AO2066" s="152"/>
      <c r="AP2066" s="152"/>
      <c r="AQ2066" s="152"/>
      <c r="AR2066" s="152"/>
      <c r="AS2066" s="152"/>
      <c r="AT2066" s="152"/>
      <c r="AU2066" s="153"/>
      <c r="AV2066" s="479"/>
      <c r="AW2066" s="479"/>
      <c r="AX2066" s="442"/>
      <c r="AY2066" s="153"/>
      <c r="AZ2066" s="152"/>
      <c r="BA2066" s="152"/>
      <c r="BB2066" s="152"/>
      <c r="BC2066" s="152"/>
      <c r="BD2066" s="152"/>
      <c r="BE2066" s="152"/>
      <c r="BF2066" s="152"/>
      <c r="BG2066" s="152"/>
      <c r="BH2066" s="152"/>
      <c r="BI2066" s="153"/>
      <c r="BJ2066" s="153"/>
      <c r="BK2066" s="152"/>
      <c r="BL2066" s="152"/>
      <c r="BM2066" s="152"/>
      <c r="BN2066" s="152"/>
      <c r="BO2066" s="152"/>
      <c r="BP2066" s="152"/>
      <c r="BQ2066" s="152"/>
      <c r="BR2066" s="152"/>
      <c r="BS2066" s="152"/>
      <c r="BT2066" s="152"/>
      <c r="BU2066" s="152"/>
      <c r="BV2066" s="152"/>
      <c r="BW2066" s="152"/>
      <c r="BX2066" s="152"/>
      <c r="BY2066" s="153"/>
      <c r="BZ2066" s="153"/>
      <c r="CA2066" s="152"/>
      <c r="CB2066" s="152"/>
    </row>
    <row r="2067" spans="1:80" s="87" customFormat="1" ht="15" x14ac:dyDescent="0.25">
      <c r="A2067" s="152"/>
      <c r="B2067" s="683"/>
      <c r="C2067" s="683"/>
      <c r="D2067" s="698"/>
      <c r="E2067" s="215"/>
      <c r="F2067" s="215"/>
      <c r="G2067" s="153"/>
      <c r="H2067" s="153"/>
      <c r="I2067" s="307">
        <v>14</v>
      </c>
      <c r="J2067" s="307">
        <v>60</v>
      </c>
      <c r="K2067" s="307">
        <v>2</v>
      </c>
      <c r="L2067" s="656">
        <v>28</v>
      </c>
      <c r="M2067" s="663">
        <v>34124</v>
      </c>
      <c r="N2067" s="600">
        <v>0.88619690000000007</v>
      </c>
      <c r="O2067" s="604">
        <v>6.6964479999999998E-3</v>
      </c>
      <c r="P2067" s="150"/>
      <c r="Q2067" s="250"/>
      <c r="R2067" s="250">
        <v>0.107</v>
      </c>
      <c r="S2067" s="250">
        <v>8.0000000000000002E-3</v>
      </c>
      <c r="T2067" s="250">
        <v>0.13200000000000001</v>
      </c>
      <c r="U2067" s="250">
        <v>0.23699999999999999</v>
      </c>
      <c r="V2067" s="250">
        <v>0.30599999999999999</v>
      </c>
      <c r="W2067" s="250">
        <v>0.13699999999999998</v>
      </c>
      <c r="X2067" s="502">
        <v>7.3000000000000009E-2</v>
      </c>
      <c r="Y2067" s="250" t="s">
        <v>29</v>
      </c>
      <c r="Z2067" s="150"/>
      <c r="AA2067" s="223">
        <v>1.9288118483498893</v>
      </c>
      <c r="AB2067" s="152"/>
      <c r="AC2067" s="152"/>
      <c r="AD2067" s="223">
        <v>5.4864000000000006</v>
      </c>
      <c r="AE2067" s="223">
        <v>0.21335999999999999</v>
      </c>
      <c r="AF2067" s="223">
        <v>1.1742944256000001</v>
      </c>
      <c r="AG2067" s="223">
        <v>0.75590400000000002</v>
      </c>
      <c r="AH2067" s="341"/>
      <c r="AI2067" s="218"/>
      <c r="AJ2067" s="218"/>
      <c r="AK2067" s="153"/>
      <c r="AL2067" s="152"/>
      <c r="AM2067" s="152"/>
      <c r="AN2067" s="152"/>
      <c r="AO2067" s="152"/>
      <c r="AP2067" s="152"/>
      <c r="AQ2067" s="152"/>
      <c r="AR2067" s="152"/>
      <c r="AS2067" s="152"/>
      <c r="AT2067" s="152"/>
      <c r="AU2067" s="153"/>
      <c r="AV2067" s="479"/>
      <c r="AW2067" s="479"/>
      <c r="AX2067" s="442"/>
      <c r="AY2067" s="153"/>
      <c r="AZ2067" s="152"/>
      <c r="BA2067" s="152"/>
      <c r="BB2067" s="152"/>
      <c r="BC2067" s="152"/>
      <c r="BD2067" s="152"/>
      <c r="BE2067" s="152"/>
      <c r="BF2067" s="152"/>
      <c r="BG2067" s="152"/>
      <c r="BH2067" s="152"/>
      <c r="BI2067" s="153"/>
      <c r="BJ2067" s="153"/>
      <c r="BK2067" s="152"/>
      <c r="BL2067" s="152"/>
      <c r="BM2067" s="152"/>
      <c r="BN2067" s="152"/>
      <c r="BO2067" s="152"/>
      <c r="BP2067" s="152"/>
      <c r="BQ2067" s="152"/>
      <c r="BR2067" s="152"/>
      <c r="BS2067" s="152"/>
      <c r="BT2067" s="152"/>
      <c r="BU2067" s="152"/>
      <c r="BV2067" s="152"/>
      <c r="BW2067" s="152"/>
      <c r="BX2067" s="152"/>
      <c r="BY2067" s="153"/>
      <c r="BZ2067" s="153"/>
      <c r="CA2067" s="152"/>
      <c r="CB2067" s="152"/>
    </row>
    <row r="2068" spans="1:80" s="87" customFormat="1" ht="15" x14ac:dyDescent="0.25">
      <c r="A2068" s="152"/>
      <c r="B2068" s="683"/>
      <c r="C2068" s="683"/>
      <c r="D2068" s="698"/>
      <c r="E2068" s="215"/>
      <c r="F2068" s="215"/>
      <c r="G2068" s="153"/>
      <c r="H2068" s="153"/>
      <c r="I2068" s="307">
        <v>14</v>
      </c>
      <c r="J2068" s="307">
        <v>60</v>
      </c>
      <c r="K2068" s="307">
        <v>2</v>
      </c>
      <c r="L2068" s="656">
        <v>28</v>
      </c>
      <c r="M2068" s="663">
        <v>34129</v>
      </c>
      <c r="N2068" s="600">
        <v>0.88619690000000007</v>
      </c>
      <c r="O2068" s="604">
        <v>5.8567680000000009E-3</v>
      </c>
      <c r="P2068" s="150"/>
      <c r="Q2068" s="250"/>
      <c r="R2068" s="250"/>
      <c r="S2068" s="250">
        <v>1.8000000000000002E-2</v>
      </c>
      <c r="T2068" s="250">
        <v>0.13699999999999998</v>
      </c>
      <c r="U2068" s="250">
        <v>0.22399999999999998</v>
      </c>
      <c r="V2068" s="250">
        <v>0.311</v>
      </c>
      <c r="W2068" s="250">
        <v>0.20300000000000001</v>
      </c>
      <c r="X2068" s="502">
        <v>0.108</v>
      </c>
      <c r="Y2068" s="250" t="s">
        <v>29</v>
      </c>
      <c r="Z2068" s="150"/>
      <c r="AA2068" s="223">
        <v>1.5255450234513193</v>
      </c>
      <c r="AB2068" s="152"/>
      <c r="AC2068" s="152"/>
      <c r="AD2068" s="223"/>
      <c r="AE2068" s="223"/>
      <c r="AF2068" s="223"/>
      <c r="AG2068" s="223"/>
      <c r="AH2068" s="341"/>
      <c r="AI2068" s="218"/>
      <c r="AJ2068" s="218"/>
      <c r="AK2068" s="153"/>
      <c r="AL2068" s="152"/>
      <c r="AM2068" s="152"/>
      <c r="AN2068" s="152"/>
      <c r="AO2068" s="152"/>
      <c r="AP2068" s="152"/>
      <c r="AQ2068" s="152"/>
      <c r="AR2068" s="152"/>
      <c r="AS2068" s="152"/>
      <c r="AT2068" s="152"/>
      <c r="AU2068" s="153"/>
      <c r="AV2068" s="479"/>
      <c r="AW2068" s="479"/>
      <c r="AX2068" s="442"/>
      <c r="AY2068" s="153"/>
      <c r="AZ2068" s="152"/>
      <c r="BA2068" s="152"/>
      <c r="BB2068" s="152"/>
      <c r="BC2068" s="152"/>
      <c r="BD2068" s="152"/>
      <c r="BE2068" s="152"/>
      <c r="BF2068" s="152"/>
      <c r="BG2068" s="152"/>
      <c r="BH2068" s="152"/>
      <c r="BI2068" s="153"/>
      <c r="BJ2068" s="153"/>
      <c r="BK2068" s="153"/>
      <c r="BL2068" s="153"/>
      <c r="BM2068" s="153"/>
      <c r="BN2068" s="153"/>
      <c r="BO2068" s="153"/>
      <c r="BP2068" s="153"/>
      <c r="BQ2068" s="153"/>
      <c r="BR2068" s="153"/>
      <c r="BS2068" s="153"/>
      <c r="BT2068" s="153"/>
      <c r="BU2068" s="153"/>
      <c r="BV2068" s="153"/>
      <c r="BW2068" s="153"/>
      <c r="BX2068" s="153"/>
      <c r="BY2068" s="153"/>
      <c r="BZ2068" s="153"/>
      <c r="CA2068" s="152"/>
      <c r="CB2068" s="152"/>
    </row>
    <row r="2069" spans="1:80" s="87" customFormat="1" ht="15" x14ac:dyDescent="0.25">
      <c r="A2069" s="152"/>
      <c r="B2069" s="683"/>
      <c r="C2069" s="683"/>
      <c r="D2069" s="698"/>
      <c r="E2069" s="215"/>
      <c r="F2069" s="215"/>
      <c r="G2069" s="153"/>
      <c r="H2069" s="153"/>
      <c r="I2069" s="307">
        <v>14</v>
      </c>
      <c r="J2069" s="307">
        <v>60</v>
      </c>
      <c r="K2069" s="307">
        <v>2</v>
      </c>
      <c r="L2069" s="656">
        <v>28</v>
      </c>
      <c r="M2069" s="663">
        <v>34157</v>
      </c>
      <c r="N2069" s="600">
        <v>0.71915019999999996</v>
      </c>
      <c r="O2069" s="604">
        <v>6.0561919999999993E-3</v>
      </c>
      <c r="P2069" s="150"/>
      <c r="Q2069" s="250"/>
      <c r="R2069" s="250"/>
      <c r="S2069" s="250">
        <v>0.13200000000000001</v>
      </c>
      <c r="T2069" s="250">
        <v>0.126</v>
      </c>
      <c r="U2069" s="250">
        <v>0.192</v>
      </c>
      <c r="V2069" s="250">
        <v>0.248</v>
      </c>
      <c r="W2069" s="250">
        <v>0.19500000000000001</v>
      </c>
      <c r="X2069" s="502">
        <v>0.107</v>
      </c>
      <c r="Y2069" s="250" t="s">
        <v>29</v>
      </c>
      <c r="Z2069" s="150"/>
      <c r="AA2069" s="223">
        <v>1.7391556992090484</v>
      </c>
      <c r="AB2069" s="152"/>
      <c r="AC2069" s="152"/>
      <c r="AD2069" s="223"/>
      <c r="AE2069" s="223"/>
      <c r="AF2069" s="223"/>
      <c r="AG2069" s="223"/>
      <c r="AH2069" s="341"/>
      <c r="AI2069" s="218"/>
      <c r="AJ2069" s="218"/>
      <c r="AK2069" s="153"/>
      <c r="AL2069" s="152"/>
      <c r="AM2069" s="152"/>
      <c r="AN2069" s="152"/>
      <c r="AO2069" s="152"/>
      <c r="AP2069" s="152"/>
      <c r="AQ2069" s="152"/>
      <c r="AR2069" s="152"/>
      <c r="AS2069" s="152"/>
      <c r="AT2069" s="152"/>
      <c r="AU2069" s="153"/>
      <c r="AV2069" s="479"/>
      <c r="AW2069" s="479"/>
      <c r="AX2069" s="442"/>
      <c r="AY2069" s="153"/>
      <c r="AZ2069" s="152"/>
      <c r="BA2069" s="152"/>
      <c r="BB2069" s="152"/>
      <c r="BC2069" s="152"/>
      <c r="BD2069" s="152"/>
      <c r="BE2069" s="152"/>
      <c r="BF2069" s="152"/>
      <c r="BG2069" s="152"/>
      <c r="BH2069" s="152"/>
      <c r="BI2069" s="153"/>
      <c r="BJ2069" s="153"/>
      <c r="BK2069" s="153"/>
      <c r="BL2069" s="153"/>
      <c r="BM2069" s="153"/>
      <c r="BN2069" s="153"/>
      <c r="BO2069" s="153"/>
      <c r="BP2069" s="153"/>
      <c r="BQ2069" s="153"/>
      <c r="BR2069" s="153"/>
      <c r="BS2069" s="153"/>
      <c r="BT2069" s="153"/>
      <c r="BU2069" s="153"/>
      <c r="BV2069" s="153"/>
      <c r="BW2069" s="153"/>
      <c r="BX2069" s="153"/>
      <c r="BY2069" s="153"/>
      <c r="BZ2069" s="153"/>
      <c r="CA2069" s="152"/>
      <c r="CB2069" s="152"/>
    </row>
    <row r="2070" spans="1:80" s="87" customFormat="1" ht="15" x14ac:dyDescent="0.25">
      <c r="A2070" s="152"/>
      <c r="B2070" s="683"/>
      <c r="C2070" s="683"/>
      <c r="D2070" s="698"/>
      <c r="E2070" s="215"/>
      <c r="F2070" s="215"/>
      <c r="G2070" s="153"/>
      <c r="H2070" s="153"/>
      <c r="I2070" s="307">
        <v>19</v>
      </c>
      <c r="J2070" s="307">
        <v>60</v>
      </c>
      <c r="K2070" s="307">
        <v>2</v>
      </c>
      <c r="L2070" s="656">
        <v>38</v>
      </c>
      <c r="M2070" s="663">
        <v>34435</v>
      </c>
      <c r="N2070" s="600">
        <v>0.48415230000000009</v>
      </c>
      <c r="O2070" s="604">
        <v>1.553408E-3</v>
      </c>
      <c r="P2070" s="150"/>
      <c r="Q2070" s="250"/>
      <c r="R2070" s="250"/>
      <c r="S2070" s="250"/>
      <c r="T2070" s="250"/>
      <c r="U2070" s="250">
        <v>6.9199999999999998E-2</v>
      </c>
      <c r="V2070" s="250">
        <v>0.14599999999999999</v>
      </c>
      <c r="W2070" s="250">
        <v>0.27710000000000001</v>
      </c>
      <c r="X2070" s="502">
        <v>0.50739999999999996</v>
      </c>
      <c r="Y2070" s="250" t="s">
        <v>29</v>
      </c>
      <c r="Z2070" s="150"/>
      <c r="AA2070" s="223">
        <v>0.48435945028573885</v>
      </c>
      <c r="AB2070" s="152"/>
      <c r="AC2070" s="152"/>
      <c r="AD2070" s="223">
        <v>5.0596800000000011</v>
      </c>
      <c r="AE2070" s="223">
        <v>0.17068800000000003</v>
      </c>
      <c r="AF2070" s="223">
        <v>0.86121118080000003</v>
      </c>
      <c r="AG2070" s="223">
        <v>0.56388000000000005</v>
      </c>
      <c r="AH2070" s="341"/>
      <c r="AI2070" s="218"/>
      <c r="AJ2070" s="218"/>
      <c r="AK2070" s="153"/>
      <c r="AL2070" s="152"/>
      <c r="AM2070" s="152"/>
      <c r="AN2070" s="152"/>
      <c r="AO2070" s="152"/>
      <c r="AP2070" s="152"/>
      <c r="AQ2070" s="152"/>
      <c r="AR2070" s="152"/>
      <c r="AS2070" s="152"/>
      <c r="AT2070" s="152"/>
      <c r="AU2070" s="153"/>
      <c r="AV2070" s="479"/>
      <c r="AW2070" s="479"/>
      <c r="AX2070" s="442"/>
      <c r="AY2070" s="153"/>
      <c r="AZ2070" s="152"/>
      <c r="BA2070" s="152"/>
      <c r="BB2070" s="152"/>
      <c r="BC2070" s="152"/>
      <c r="BD2070" s="152"/>
      <c r="BE2070" s="152"/>
      <c r="BF2070" s="152"/>
      <c r="BG2070" s="152"/>
      <c r="BH2070" s="152"/>
      <c r="BI2070" s="153"/>
      <c r="BJ2070" s="153"/>
      <c r="BK2070" s="153"/>
      <c r="BL2070" s="153"/>
      <c r="BM2070" s="153"/>
      <c r="BN2070" s="153"/>
      <c r="BO2070" s="153"/>
      <c r="BP2070" s="153"/>
      <c r="BQ2070" s="153"/>
      <c r="BR2070" s="153"/>
      <c r="BS2070" s="153"/>
      <c r="BT2070" s="153"/>
      <c r="BU2070" s="153"/>
      <c r="BV2070" s="153"/>
      <c r="BW2070" s="153"/>
      <c r="BX2070" s="153"/>
      <c r="BY2070" s="153"/>
      <c r="BZ2070" s="153"/>
      <c r="CA2070" s="152"/>
      <c r="CB2070" s="152"/>
    </row>
    <row r="2071" spans="1:80" s="87" customFormat="1" ht="15" x14ac:dyDescent="0.25">
      <c r="A2071" s="152"/>
      <c r="B2071" s="683"/>
      <c r="C2071" s="683"/>
      <c r="D2071" s="698"/>
      <c r="E2071" s="215"/>
      <c r="F2071" s="215"/>
      <c r="G2071" s="153"/>
      <c r="H2071" s="153"/>
      <c r="I2071" s="307">
        <v>19</v>
      </c>
      <c r="J2071" s="307">
        <v>60</v>
      </c>
      <c r="K2071" s="307">
        <v>2</v>
      </c>
      <c r="L2071" s="656">
        <v>38</v>
      </c>
      <c r="M2071" s="663">
        <v>34442</v>
      </c>
      <c r="N2071" s="600">
        <v>0.62288600000000005</v>
      </c>
      <c r="O2071" s="604">
        <v>5.1955200000000003E-3</v>
      </c>
      <c r="P2071" s="150"/>
      <c r="Q2071" s="250"/>
      <c r="R2071" s="250"/>
      <c r="S2071" s="250">
        <v>1.7399999999999999E-2</v>
      </c>
      <c r="T2071" s="250">
        <v>0.20989999999999998</v>
      </c>
      <c r="U2071" s="250">
        <v>0.2041</v>
      </c>
      <c r="V2071" s="250">
        <v>0.2349</v>
      </c>
      <c r="W2071" s="250">
        <v>0.2006</v>
      </c>
      <c r="X2071" s="502">
        <v>0.13270000000000001</v>
      </c>
      <c r="Y2071" s="250" t="s">
        <v>29</v>
      </c>
      <c r="Z2071" s="150"/>
      <c r="AA2071" s="223">
        <v>1.6344579493589702</v>
      </c>
      <c r="AB2071" s="152"/>
      <c r="AC2071" s="152"/>
      <c r="AD2071" s="223">
        <v>5.2425600000000001</v>
      </c>
      <c r="AE2071" s="223">
        <v>0.18897600000000001</v>
      </c>
      <c r="AF2071" s="223">
        <v>0.9857012544</v>
      </c>
      <c r="AG2071" s="223">
        <v>0.63093599999999994</v>
      </c>
      <c r="AH2071" s="341"/>
      <c r="AI2071" s="218"/>
      <c r="AJ2071" s="218"/>
      <c r="AK2071" s="153"/>
      <c r="AL2071" s="152"/>
      <c r="AM2071" s="152"/>
      <c r="AN2071" s="152"/>
      <c r="AO2071" s="152"/>
      <c r="AP2071" s="152"/>
      <c r="AQ2071" s="152"/>
      <c r="AR2071" s="152"/>
      <c r="AS2071" s="152"/>
      <c r="AT2071" s="152"/>
      <c r="AU2071" s="153"/>
      <c r="AV2071" s="479"/>
      <c r="AW2071" s="479"/>
      <c r="AX2071" s="442"/>
      <c r="AY2071" s="153"/>
      <c r="AZ2071" s="152"/>
      <c r="BA2071" s="152"/>
      <c r="BB2071" s="152"/>
      <c r="BC2071" s="152"/>
      <c r="BD2071" s="152"/>
      <c r="BE2071" s="152"/>
      <c r="BF2071" s="152"/>
      <c r="BG2071" s="152"/>
      <c r="BH2071" s="152"/>
      <c r="BI2071" s="153"/>
      <c r="BJ2071" s="153"/>
      <c r="BK2071" s="153"/>
      <c r="BL2071" s="153"/>
      <c r="BM2071" s="153"/>
      <c r="BN2071" s="153"/>
      <c r="BO2071" s="153"/>
      <c r="BP2071" s="153"/>
      <c r="BQ2071" s="153"/>
      <c r="BR2071" s="153"/>
      <c r="BS2071" s="153"/>
      <c r="BT2071" s="153"/>
      <c r="BU2071" s="153"/>
      <c r="BV2071" s="153"/>
      <c r="BW2071" s="153"/>
      <c r="BX2071" s="153"/>
      <c r="BY2071" s="153"/>
      <c r="BZ2071" s="153"/>
      <c r="CA2071" s="152"/>
      <c r="CB2071" s="152"/>
    </row>
    <row r="2072" spans="1:80" s="87" customFormat="1" ht="15" x14ac:dyDescent="0.25">
      <c r="A2072" s="152"/>
      <c r="B2072" s="683"/>
      <c r="C2072" s="683"/>
      <c r="D2072" s="698"/>
      <c r="E2072" s="215"/>
      <c r="F2072" s="215"/>
      <c r="G2072" s="153"/>
      <c r="H2072" s="153"/>
      <c r="I2072" s="307">
        <v>19</v>
      </c>
      <c r="J2072" s="307">
        <v>60</v>
      </c>
      <c r="K2072" s="307">
        <v>2</v>
      </c>
      <c r="L2072" s="656">
        <v>38</v>
      </c>
      <c r="M2072" s="663">
        <v>34444</v>
      </c>
      <c r="N2072" s="600">
        <v>0.65969290000000003</v>
      </c>
      <c r="O2072" s="604">
        <v>6.2451199999999998E-3</v>
      </c>
      <c r="P2072" s="150"/>
      <c r="Q2072" s="250"/>
      <c r="R2072" s="250"/>
      <c r="S2072" s="250">
        <v>7.0499999999999993E-2</v>
      </c>
      <c r="T2072" s="250">
        <v>0.17550000000000002</v>
      </c>
      <c r="U2072" s="250">
        <v>0.21600000000000003</v>
      </c>
      <c r="V2072" s="250">
        <v>0.23749999999999999</v>
      </c>
      <c r="W2072" s="250">
        <v>0.17449999999999999</v>
      </c>
      <c r="X2072" s="502">
        <v>0.126</v>
      </c>
      <c r="Y2072" s="250" t="s">
        <v>29</v>
      </c>
      <c r="Z2072" s="150"/>
      <c r="AA2072" s="223">
        <v>1.7900501418559442</v>
      </c>
      <c r="AB2072" s="152"/>
      <c r="AC2072" s="152"/>
      <c r="AD2072" s="223">
        <v>5.4254400000000009</v>
      </c>
      <c r="AE2072" s="223">
        <v>0.17983199999999999</v>
      </c>
      <c r="AF2072" s="223">
        <v>0.97362385920000005</v>
      </c>
      <c r="AG2072" s="223">
        <v>0.67665600000000015</v>
      </c>
      <c r="AH2072" s="341"/>
      <c r="AI2072" s="218"/>
      <c r="AJ2072" s="218"/>
      <c r="AK2072" s="153"/>
      <c r="AL2072" s="152"/>
      <c r="AM2072" s="152"/>
      <c r="AN2072" s="152"/>
      <c r="AO2072" s="152"/>
      <c r="AP2072" s="152"/>
      <c r="AQ2072" s="152"/>
      <c r="AR2072" s="152"/>
      <c r="AS2072" s="152"/>
      <c r="AT2072" s="152"/>
      <c r="AU2072" s="153"/>
      <c r="AV2072" s="479"/>
      <c r="AW2072" s="479"/>
      <c r="AX2072" s="442"/>
      <c r="AY2072" s="153"/>
      <c r="AZ2072" s="152"/>
      <c r="BA2072" s="152"/>
      <c r="BB2072" s="152"/>
      <c r="BC2072" s="152"/>
      <c r="BD2072" s="152"/>
      <c r="BE2072" s="152"/>
      <c r="BF2072" s="152"/>
      <c r="BG2072" s="152"/>
      <c r="BH2072" s="152"/>
      <c r="BI2072" s="153"/>
      <c r="BJ2072" s="153"/>
      <c r="BK2072" s="153"/>
      <c r="BL2072" s="153"/>
      <c r="BM2072" s="153"/>
      <c r="BN2072" s="153"/>
      <c r="BO2072" s="153"/>
      <c r="BP2072" s="153"/>
      <c r="BQ2072" s="153"/>
      <c r="BR2072" s="153"/>
      <c r="BS2072" s="153"/>
      <c r="BT2072" s="153"/>
      <c r="BU2072" s="153"/>
      <c r="BV2072" s="153"/>
      <c r="BW2072" s="153"/>
      <c r="BX2072" s="153"/>
      <c r="BY2072" s="153"/>
      <c r="BZ2072" s="153"/>
      <c r="CA2072" s="152"/>
      <c r="CB2072" s="152"/>
    </row>
    <row r="2073" spans="1:80" s="87" customFormat="1" ht="15" x14ac:dyDescent="0.25">
      <c r="A2073" s="152"/>
      <c r="B2073" s="683"/>
      <c r="C2073" s="683"/>
      <c r="D2073" s="698"/>
      <c r="E2073" s="215"/>
      <c r="F2073" s="215"/>
      <c r="G2073" s="153"/>
      <c r="H2073" s="153"/>
      <c r="I2073" s="307">
        <v>19</v>
      </c>
      <c r="J2073" s="307">
        <v>60</v>
      </c>
      <c r="K2073" s="307">
        <v>2</v>
      </c>
      <c r="L2073" s="656">
        <v>38</v>
      </c>
      <c r="M2073" s="663">
        <v>34449</v>
      </c>
      <c r="N2073" s="600">
        <v>0.66535549999999999</v>
      </c>
      <c r="O2073" s="604">
        <v>1.3224960000000001E-2</v>
      </c>
      <c r="P2073" s="150"/>
      <c r="Q2073" s="250"/>
      <c r="R2073" s="250">
        <v>7.4200000000000002E-2</v>
      </c>
      <c r="S2073" s="250">
        <v>0.1646</v>
      </c>
      <c r="T2073" s="250">
        <v>0.14230000000000001</v>
      </c>
      <c r="U2073" s="250">
        <v>0.17610000000000001</v>
      </c>
      <c r="V2073" s="250">
        <v>0.22289999999999999</v>
      </c>
      <c r="W2073" s="250">
        <v>0.1444</v>
      </c>
      <c r="X2073" s="502">
        <v>7.5100000000000014E-2</v>
      </c>
      <c r="Y2073" s="250" t="s">
        <v>29</v>
      </c>
      <c r="Z2073" s="150"/>
      <c r="AA2073" s="223">
        <v>2.5069811769826011</v>
      </c>
      <c r="AB2073" s="152"/>
      <c r="AC2073" s="152"/>
      <c r="AD2073" s="223">
        <v>5.4864000000000006</v>
      </c>
      <c r="AE2073" s="223">
        <v>0.18288000000000001</v>
      </c>
      <c r="AF2073" s="223">
        <v>1.003352832</v>
      </c>
      <c r="AG2073" s="223">
        <v>0.66446400000000005</v>
      </c>
      <c r="AH2073" s="341"/>
      <c r="AI2073" s="218"/>
      <c r="AJ2073" s="218"/>
      <c r="AK2073" s="153"/>
      <c r="AL2073" s="152"/>
      <c r="AM2073" s="152"/>
      <c r="AN2073" s="152"/>
      <c r="AO2073" s="152"/>
      <c r="AP2073" s="152"/>
      <c r="AQ2073" s="152"/>
      <c r="AR2073" s="152"/>
      <c r="AS2073" s="152"/>
      <c r="AT2073" s="152"/>
      <c r="AU2073" s="153"/>
      <c r="AV2073" s="479"/>
      <c r="AW2073" s="479"/>
      <c r="AX2073" s="442"/>
      <c r="AY2073" s="153"/>
      <c r="AZ2073" s="152"/>
      <c r="BA2073" s="152"/>
      <c r="BB2073" s="152"/>
      <c r="BC2073" s="152"/>
      <c r="BD2073" s="152"/>
      <c r="BE2073" s="152"/>
      <c r="BF2073" s="152"/>
      <c r="BG2073" s="152"/>
      <c r="BH2073" s="152"/>
      <c r="BI2073" s="153"/>
      <c r="BJ2073" s="153"/>
      <c r="BK2073" s="153"/>
      <c r="BL2073" s="153"/>
      <c r="BM2073" s="153"/>
      <c r="BN2073" s="153"/>
      <c r="BO2073" s="153"/>
      <c r="BP2073" s="153"/>
      <c r="BQ2073" s="153"/>
      <c r="BR2073" s="153"/>
      <c r="BS2073" s="153"/>
      <c r="BT2073" s="153"/>
      <c r="BU2073" s="153"/>
      <c r="BV2073" s="153"/>
      <c r="BW2073" s="153"/>
      <c r="BX2073" s="153"/>
      <c r="BY2073" s="153"/>
      <c r="BZ2073" s="153"/>
      <c r="CA2073" s="152"/>
      <c r="CB2073" s="152"/>
    </row>
    <row r="2074" spans="1:80" s="87" customFormat="1" ht="15" x14ac:dyDescent="0.25">
      <c r="A2074" s="152"/>
      <c r="B2074" s="683"/>
      <c r="C2074" s="683"/>
      <c r="D2074" s="698"/>
      <c r="E2074" s="215"/>
      <c r="F2074" s="215"/>
      <c r="G2074" s="153"/>
      <c r="H2074" s="153"/>
      <c r="I2074" s="307">
        <v>19</v>
      </c>
      <c r="J2074" s="307">
        <v>60</v>
      </c>
      <c r="K2074" s="307">
        <v>2</v>
      </c>
      <c r="L2074" s="656">
        <v>38</v>
      </c>
      <c r="M2074" s="663">
        <v>34452</v>
      </c>
      <c r="N2074" s="600">
        <v>0.60306690000000007</v>
      </c>
      <c r="O2074" s="604">
        <v>9.0580480000000008E-3</v>
      </c>
      <c r="P2074" s="150"/>
      <c r="Q2074" s="250"/>
      <c r="R2074" s="250"/>
      <c r="S2074" s="250">
        <v>9.9900000000000003E-2</v>
      </c>
      <c r="T2074" s="250">
        <v>0.13819999999999999</v>
      </c>
      <c r="U2074" s="250">
        <v>0.22010000000000002</v>
      </c>
      <c r="V2074" s="250">
        <v>0.30920000000000003</v>
      </c>
      <c r="W2074" s="250">
        <v>0.16420000000000001</v>
      </c>
      <c r="X2074" s="502">
        <v>6.7999999999999991E-2</v>
      </c>
      <c r="Y2074" s="250" t="s">
        <v>29</v>
      </c>
      <c r="Z2074" s="150"/>
      <c r="AA2074" s="223">
        <v>1.8219195421929055</v>
      </c>
      <c r="AB2074" s="152"/>
      <c r="AC2074" s="152"/>
      <c r="AD2074" s="223">
        <v>5.0292000000000003</v>
      </c>
      <c r="AE2074" s="223">
        <v>0.19507200000000002</v>
      </c>
      <c r="AF2074" s="223">
        <v>0.97919804160000001</v>
      </c>
      <c r="AG2074" s="223">
        <v>0.61569600000000002</v>
      </c>
      <c r="AH2074" s="341"/>
      <c r="AI2074" s="218"/>
      <c r="AJ2074" s="218"/>
      <c r="AK2074" s="153"/>
      <c r="AL2074" s="152"/>
      <c r="AM2074" s="152"/>
      <c r="AN2074" s="152"/>
      <c r="AO2074" s="152"/>
      <c r="AP2074" s="152"/>
      <c r="AQ2074" s="152"/>
      <c r="AR2074" s="152"/>
      <c r="AS2074" s="152"/>
      <c r="AT2074" s="152"/>
      <c r="AU2074" s="153"/>
      <c r="AV2074" s="479"/>
      <c r="AW2074" s="479"/>
      <c r="AX2074" s="442"/>
      <c r="AY2074" s="153"/>
      <c r="AZ2074" s="152"/>
      <c r="BA2074" s="152"/>
      <c r="BB2074" s="152"/>
      <c r="BC2074" s="152"/>
      <c r="BD2074" s="152"/>
      <c r="BE2074" s="152"/>
      <c r="BF2074" s="152"/>
      <c r="BG2074" s="152"/>
      <c r="BH2074" s="152"/>
      <c r="BI2074" s="153"/>
      <c r="BJ2074" s="153"/>
      <c r="BK2074" s="153"/>
      <c r="BL2074" s="153"/>
      <c r="BM2074" s="153"/>
      <c r="BN2074" s="153"/>
      <c r="BO2074" s="153"/>
      <c r="BP2074" s="153"/>
      <c r="BQ2074" s="153"/>
      <c r="BR2074" s="153"/>
      <c r="BS2074" s="153"/>
      <c r="BT2074" s="153"/>
      <c r="BU2074" s="153"/>
      <c r="BV2074" s="153"/>
      <c r="BW2074" s="153"/>
      <c r="BX2074" s="153"/>
      <c r="BY2074" s="153"/>
      <c r="BZ2074" s="153"/>
      <c r="CA2074" s="152"/>
      <c r="CB2074" s="152"/>
    </row>
    <row r="2075" spans="1:80" s="87" customFormat="1" ht="15" x14ac:dyDescent="0.25">
      <c r="A2075" s="152"/>
      <c r="B2075" s="683"/>
      <c r="C2075" s="683"/>
      <c r="D2075" s="698"/>
      <c r="E2075" s="215"/>
      <c r="F2075" s="215"/>
      <c r="G2075" s="153"/>
      <c r="H2075" s="153"/>
      <c r="I2075" s="307">
        <v>19</v>
      </c>
      <c r="J2075" s="307">
        <v>60</v>
      </c>
      <c r="K2075" s="307">
        <v>2</v>
      </c>
      <c r="L2075" s="656">
        <v>38</v>
      </c>
      <c r="M2075" s="663">
        <v>34456</v>
      </c>
      <c r="N2075" s="600">
        <v>0.57475390000000004</v>
      </c>
      <c r="O2075" s="604">
        <v>3.3272320000000003E-3</v>
      </c>
      <c r="P2075" s="150"/>
      <c r="Q2075" s="250"/>
      <c r="R2075" s="250"/>
      <c r="S2075" s="250">
        <v>0.13119999999999998</v>
      </c>
      <c r="T2075" s="250">
        <v>0.2351</v>
      </c>
      <c r="U2075" s="250">
        <v>0.15490000000000001</v>
      </c>
      <c r="V2075" s="250">
        <v>0.24609999999999999</v>
      </c>
      <c r="W2075" s="250">
        <v>0.15579999999999999</v>
      </c>
      <c r="X2075" s="502">
        <v>7.6499999999999999E-2</v>
      </c>
      <c r="Y2075" s="250" t="s">
        <v>29</v>
      </c>
      <c r="Z2075" s="150"/>
      <c r="AA2075" s="223">
        <v>2.2009916126089064</v>
      </c>
      <c r="AB2075" s="152"/>
      <c r="AC2075" s="152"/>
      <c r="AD2075" s="223">
        <v>5.2730400000000008</v>
      </c>
      <c r="AE2075" s="223">
        <v>0.17983199999999999</v>
      </c>
      <c r="AF2075" s="223">
        <v>0.9411077952000001</v>
      </c>
      <c r="AG2075" s="223">
        <v>0.60960000000000003</v>
      </c>
      <c r="AH2075" s="341"/>
      <c r="AI2075" s="218"/>
      <c r="AJ2075" s="218"/>
      <c r="AK2075" s="153"/>
      <c r="AL2075" s="152"/>
      <c r="AM2075" s="152"/>
      <c r="AN2075" s="152"/>
      <c r="AO2075" s="152"/>
      <c r="AP2075" s="152"/>
      <c r="AQ2075" s="152"/>
      <c r="AR2075" s="152"/>
      <c r="AS2075" s="152"/>
      <c r="AT2075" s="152"/>
      <c r="AU2075" s="153"/>
      <c r="AV2075" s="479"/>
      <c r="AW2075" s="479"/>
      <c r="AX2075" s="442"/>
      <c r="AY2075" s="153"/>
      <c r="AZ2075" s="152"/>
      <c r="BA2075" s="152"/>
      <c r="BB2075" s="152"/>
      <c r="BC2075" s="152"/>
      <c r="BD2075" s="152"/>
      <c r="BE2075" s="152"/>
      <c r="BF2075" s="152"/>
      <c r="BG2075" s="152"/>
      <c r="BH2075" s="152"/>
      <c r="BI2075" s="153"/>
      <c r="BJ2075" s="153"/>
      <c r="BK2075" s="153"/>
      <c r="BL2075" s="153"/>
      <c r="BM2075" s="153"/>
      <c r="BN2075" s="153"/>
      <c r="BO2075" s="153"/>
      <c r="BP2075" s="153"/>
      <c r="BQ2075" s="153"/>
      <c r="BR2075" s="153"/>
      <c r="BS2075" s="153"/>
      <c r="BT2075" s="153"/>
      <c r="BU2075" s="153"/>
      <c r="BV2075" s="153"/>
      <c r="BW2075" s="153"/>
      <c r="BX2075" s="153"/>
      <c r="BY2075" s="153"/>
      <c r="BZ2075" s="153"/>
      <c r="CA2075" s="152"/>
      <c r="CB2075" s="152"/>
    </row>
    <row r="2076" spans="1:80" s="87" customFormat="1" ht="15" x14ac:dyDescent="0.25">
      <c r="A2076" s="152"/>
      <c r="B2076" s="683"/>
      <c r="C2076" s="683"/>
      <c r="D2076" s="698"/>
      <c r="E2076" s="215"/>
      <c r="F2076" s="215"/>
      <c r="G2076" s="153"/>
      <c r="H2076" s="153"/>
      <c r="I2076" s="307">
        <v>19</v>
      </c>
      <c r="J2076" s="307">
        <v>60</v>
      </c>
      <c r="K2076" s="307">
        <v>2</v>
      </c>
      <c r="L2076" s="656">
        <v>38</v>
      </c>
      <c r="M2076" s="663">
        <v>34459</v>
      </c>
      <c r="N2076" s="600">
        <v>0.56625999999999999</v>
      </c>
      <c r="O2076" s="604">
        <v>3.7260799999999997E-3</v>
      </c>
      <c r="P2076" s="150"/>
      <c r="Q2076" s="250"/>
      <c r="R2076" s="250"/>
      <c r="S2076" s="250">
        <v>2.1899999999999999E-2</v>
      </c>
      <c r="T2076" s="250">
        <v>0.1726</v>
      </c>
      <c r="U2076" s="250">
        <v>0.19210000000000002</v>
      </c>
      <c r="V2076" s="250">
        <v>0.28249999999999997</v>
      </c>
      <c r="W2076" s="250">
        <v>0.18640000000000001</v>
      </c>
      <c r="X2076" s="502">
        <v>0.14410000000000001</v>
      </c>
      <c r="Y2076" s="250" t="s">
        <v>29</v>
      </c>
      <c r="Z2076" s="150"/>
      <c r="AA2076" s="223">
        <v>1.5149729509875494</v>
      </c>
      <c r="AB2076" s="152"/>
      <c r="AC2076" s="152"/>
      <c r="AD2076" s="223">
        <v>5.2730400000000008</v>
      </c>
      <c r="AE2076" s="223">
        <v>0.17983199999999999</v>
      </c>
      <c r="AF2076" s="223">
        <v>0.9411077952000001</v>
      </c>
      <c r="AG2076" s="223">
        <v>0.60350400000000004</v>
      </c>
      <c r="AH2076" s="341"/>
      <c r="AI2076" s="218"/>
      <c r="AJ2076" s="218"/>
      <c r="AK2076" s="153"/>
      <c r="AL2076" s="152"/>
      <c r="AM2076" s="152"/>
      <c r="AN2076" s="152"/>
      <c r="AO2076" s="152"/>
      <c r="AP2076" s="152"/>
      <c r="AQ2076" s="152"/>
      <c r="AR2076" s="152"/>
      <c r="AS2076" s="152"/>
      <c r="AT2076" s="152"/>
      <c r="AU2076" s="153"/>
      <c r="AV2076" s="479"/>
      <c r="AW2076" s="479"/>
      <c r="AX2076" s="442"/>
      <c r="AY2076" s="153"/>
      <c r="AZ2076" s="152"/>
      <c r="BA2076" s="152"/>
      <c r="BB2076" s="152"/>
      <c r="BC2076" s="152"/>
      <c r="BD2076" s="152"/>
      <c r="BE2076" s="152"/>
      <c r="BF2076" s="152"/>
      <c r="BG2076" s="152"/>
      <c r="BH2076" s="152"/>
      <c r="BI2076" s="153"/>
      <c r="BJ2076" s="153"/>
      <c r="BK2076" s="153"/>
      <c r="BL2076" s="153"/>
      <c r="BM2076" s="153"/>
      <c r="BN2076" s="153"/>
      <c r="BO2076" s="153"/>
      <c r="BP2076" s="153"/>
      <c r="BQ2076" s="153"/>
      <c r="BR2076" s="153"/>
      <c r="BS2076" s="153"/>
      <c r="BT2076" s="153"/>
      <c r="BU2076" s="153"/>
      <c r="BV2076" s="153"/>
      <c r="BW2076" s="153"/>
      <c r="BX2076" s="153"/>
      <c r="BY2076" s="153"/>
      <c r="BZ2076" s="153"/>
      <c r="CA2076" s="152"/>
      <c r="CB2076" s="152"/>
    </row>
    <row r="2077" spans="1:80" s="87" customFormat="1" ht="15" x14ac:dyDescent="0.25">
      <c r="A2077" s="152"/>
      <c r="B2077" s="683"/>
      <c r="C2077" s="683"/>
      <c r="D2077" s="698"/>
      <c r="E2077" s="215"/>
      <c r="F2077" s="215"/>
      <c r="G2077" s="153"/>
      <c r="H2077" s="153"/>
      <c r="I2077" s="307">
        <v>18</v>
      </c>
      <c r="J2077" s="307">
        <v>60</v>
      </c>
      <c r="K2077" s="307">
        <v>2</v>
      </c>
      <c r="L2077" s="656">
        <v>36</v>
      </c>
      <c r="M2077" s="663">
        <v>34463</v>
      </c>
      <c r="N2077" s="600">
        <v>0.5804165</v>
      </c>
      <c r="O2077" s="604">
        <v>2.0572160000000002E-3</v>
      </c>
      <c r="P2077" s="150"/>
      <c r="Q2077" s="250"/>
      <c r="R2077" s="250"/>
      <c r="S2077" s="250">
        <v>6.0199999999999997E-2</v>
      </c>
      <c r="T2077" s="250">
        <v>0.1653</v>
      </c>
      <c r="U2077" s="250">
        <v>0.13600000000000001</v>
      </c>
      <c r="V2077" s="250">
        <v>0.2581</v>
      </c>
      <c r="W2077" s="250">
        <v>0.18230000000000002</v>
      </c>
      <c r="X2077" s="502">
        <v>0.19770000000000001</v>
      </c>
      <c r="Y2077" s="250" t="s">
        <v>29</v>
      </c>
      <c r="Z2077" s="150"/>
      <c r="AA2077" s="223">
        <v>1.3795150325880698</v>
      </c>
      <c r="AB2077" s="152"/>
      <c r="AC2077" s="152"/>
      <c r="AD2077" s="223">
        <v>5.2425600000000001</v>
      </c>
      <c r="AE2077" s="223">
        <v>0.18288000000000001</v>
      </c>
      <c r="AF2077" s="223">
        <v>0.9513271296000001</v>
      </c>
      <c r="AG2077" s="223">
        <v>0.60960000000000003</v>
      </c>
      <c r="AH2077" s="341"/>
      <c r="AI2077" s="218"/>
      <c r="AJ2077" s="218"/>
      <c r="AK2077" s="153"/>
      <c r="AL2077" s="152"/>
      <c r="AM2077" s="152"/>
      <c r="AN2077" s="152"/>
      <c r="AO2077" s="152"/>
      <c r="AP2077" s="152"/>
      <c r="AQ2077" s="152"/>
      <c r="AR2077" s="152"/>
      <c r="AS2077" s="152"/>
      <c r="AT2077" s="152"/>
      <c r="AU2077" s="153"/>
      <c r="AV2077" s="479"/>
      <c r="AW2077" s="479"/>
      <c r="AX2077" s="442"/>
      <c r="AY2077" s="153"/>
      <c r="AZ2077" s="152"/>
      <c r="BA2077" s="152"/>
      <c r="BB2077" s="152"/>
      <c r="BC2077" s="152"/>
      <c r="BD2077" s="152"/>
      <c r="BE2077" s="152"/>
      <c r="BF2077" s="152"/>
      <c r="BG2077" s="152"/>
      <c r="BH2077" s="152"/>
      <c r="BI2077" s="153"/>
      <c r="BJ2077" s="153"/>
      <c r="BK2077" s="153"/>
      <c r="BL2077" s="153"/>
      <c r="BM2077" s="153"/>
      <c r="BN2077" s="153"/>
      <c r="BO2077" s="153"/>
      <c r="BP2077" s="153"/>
      <c r="BQ2077" s="153"/>
      <c r="BR2077" s="153"/>
      <c r="BS2077" s="153"/>
      <c r="BT2077" s="153"/>
      <c r="BU2077" s="153"/>
      <c r="BV2077" s="153"/>
      <c r="BW2077" s="153"/>
      <c r="BX2077" s="153"/>
      <c r="BY2077" s="153"/>
      <c r="BZ2077" s="153"/>
      <c r="CA2077" s="152"/>
      <c r="CB2077" s="152"/>
    </row>
    <row r="2078" spans="1:80" s="87" customFormat="1" ht="15" x14ac:dyDescent="0.25">
      <c r="A2078" s="152"/>
      <c r="B2078" s="683"/>
      <c r="C2078" s="683"/>
      <c r="D2078" s="698"/>
      <c r="E2078" s="215"/>
      <c r="F2078" s="215"/>
      <c r="G2078" s="153"/>
      <c r="H2078" s="153"/>
      <c r="I2078" s="307">
        <v>18</v>
      </c>
      <c r="J2078" s="307">
        <v>60</v>
      </c>
      <c r="K2078" s="307">
        <v>2</v>
      </c>
      <c r="L2078" s="656">
        <v>36</v>
      </c>
      <c r="M2078" s="663">
        <v>34466</v>
      </c>
      <c r="N2078" s="600">
        <v>0.57475390000000004</v>
      </c>
      <c r="O2078" s="604">
        <v>2.1201920000000003E-3</v>
      </c>
      <c r="P2078" s="150"/>
      <c r="Q2078" s="250"/>
      <c r="R2078" s="250"/>
      <c r="S2078" s="250">
        <v>9.2100000000000015E-2</v>
      </c>
      <c r="T2078" s="250">
        <v>0.20050000000000001</v>
      </c>
      <c r="U2078" s="250">
        <v>0.21539999999999998</v>
      </c>
      <c r="V2078" s="250">
        <v>0.2555</v>
      </c>
      <c r="W2078" s="250">
        <v>0.1545</v>
      </c>
      <c r="X2078" s="502">
        <v>8.1599999999999992E-2</v>
      </c>
      <c r="Y2078" s="250" t="s">
        <v>29</v>
      </c>
      <c r="Z2078" s="150"/>
      <c r="AA2078" s="223">
        <v>2.0534768874091354</v>
      </c>
      <c r="AB2078" s="152"/>
      <c r="AC2078" s="152"/>
      <c r="AD2078" s="223">
        <v>5.1816000000000004</v>
      </c>
      <c r="AE2078" s="223">
        <v>0.18288000000000001</v>
      </c>
      <c r="AF2078" s="223">
        <v>0.94946906880000015</v>
      </c>
      <c r="AG2078" s="223">
        <v>0.60655199999999998</v>
      </c>
      <c r="AH2078" s="341"/>
      <c r="AI2078" s="218"/>
      <c r="AJ2078" s="218"/>
      <c r="AK2078" s="153"/>
      <c r="AL2078" s="152"/>
      <c r="AM2078" s="152"/>
      <c r="AN2078" s="152"/>
      <c r="AO2078" s="152"/>
      <c r="AP2078" s="152"/>
      <c r="AQ2078" s="152"/>
      <c r="AR2078" s="152"/>
      <c r="AS2078" s="152"/>
      <c r="AT2078" s="152"/>
      <c r="AU2078" s="153"/>
      <c r="AV2078" s="479"/>
      <c r="AW2078" s="479"/>
      <c r="AX2078" s="442"/>
      <c r="AY2078" s="153"/>
      <c r="AZ2078" s="152"/>
      <c r="BA2078" s="152"/>
      <c r="BB2078" s="152"/>
      <c r="BC2078" s="152"/>
      <c r="BD2078" s="152"/>
      <c r="BE2078" s="152"/>
      <c r="BF2078" s="152"/>
      <c r="BG2078" s="152"/>
      <c r="BH2078" s="152"/>
      <c r="BI2078" s="153"/>
      <c r="BJ2078" s="153"/>
      <c r="BK2078" s="153"/>
      <c r="BL2078" s="153"/>
      <c r="BM2078" s="153"/>
      <c r="BN2078" s="153"/>
      <c r="BO2078" s="153"/>
      <c r="BP2078" s="153"/>
      <c r="BQ2078" s="153"/>
      <c r="BR2078" s="153"/>
      <c r="BS2078" s="153"/>
      <c r="BT2078" s="153"/>
      <c r="BU2078" s="153"/>
      <c r="BV2078" s="153"/>
      <c r="BW2078" s="153"/>
      <c r="BX2078" s="153"/>
      <c r="BY2078" s="153"/>
      <c r="BZ2078" s="153"/>
      <c r="CA2078" s="152"/>
      <c r="CB2078" s="152"/>
    </row>
    <row r="2079" spans="1:80" s="87" customFormat="1" ht="15" x14ac:dyDescent="0.25">
      <c r="A2079" s="152"/>
      <c r="B2079" s="683"/>
      <c r="C2079" s="683"/>
      <c r="D2079" s="698"/>
      <c r="E2079" s="215"/>
      <c r="F2079" s="215"/>
      <c r="G2079" s="153"/>
      <c r="H2079" s="153"/>
      <c r="I2079" s="307">
        <v>18</v>
      </c>
      <c r="J2079" s="307">
        <v>60</v>
      </c>
      <c r="K2079" s="307">
        <v>2</v>
      </c>
      <c r="L2079" s="656">
        <v>36</v>
      </c>
      <c r="M2079" s="663">
        <v>34470</v>
      </c>
      <c r="N2079" s="600">
        <v>0.59457300000000002</v>
      </c>
      <c r="O2079" s="604">
        <v>1.7633280000000002E-3</v>
      </c>
      <c r="P2079" s="150"/>
      <c r="Q2079" s="250"/>
      <c r="R2079" s="250"/>
      <c r="S2079" s="250">
        <v>8.2799999999999999E-2</v>
      </c>
      <c r="T2079" s="250">
        <v>0.11349999999999999</v>
      </c>
      <c r="U2079" s="250">
        <v>0.2036</v>
      </c>
      <c r="V2079" s="250">
        <v>0.30809999999999998</v>
      </c>
      <c r="W2079" s="250">
        <v>0.18010000000000001</v>
      </c>
      <c r="X2079" s="502">
        <v>0.11169999999999999</v>
      </c>
      <c r="Y2079" s="250" t="s">
        <v>29</v>
      </c>
      <c r="Z2079" s="150"/>
      <c r="AA2079" s="223">
        <v>1.5970727756361101</v>
      </c>
      <c r="AB2079" s="152"/>
      <c r="AC2079" s="152"/>
      <c r="AD2079" s="223">
        <v>5.2425600000000001</v>
      </c>
      <c r="AE2079" s="223">
        <v>0.18592800000000001</v>
      </c>
      <c r="AF2079" s="223">
        <v>0.9819851328000001</v>
      </c>
      <c r="AG2079" s="223">
        <v>0.60655199999999998</v>
      </c>
      <c r="AH2079" s="341"/>
      <c r="AI2079" s="218"/>
      <c r="AJ2079" s="218"/>
      <c r="AK2079" s="153"/>
      <c r="AL2079" s="152"/>
      <c r="AM2079" s="152"/>
      <c r="AN2079" s="152"/>
      <c r="AO2079" s="152"/>
      <c r="AP2079" s="152"/>
      <c r="AQ2079" s="152"/>
      <c r="AR2079" s="152"/>
      <c r="AS2079" s="152"/>
      <c r="AT2079" s="152"/>
      <c r="AU2079" s="153"/>
      <c r="AV2079" s="479"/>
      <c r="AW2079" s="479"/>
      <c r="AX2079" s="442"/>
      <c r="AY2079" s="153"/>
      <c r="AZ2079" s="152"/>
      <c r="BA2079" s="152"/>
      <c r="BB2079" s="152"/>
      <c r="BC2079" s="152"/>
      <c r="BD2079" s="152"/>
      <c r="BE2079" s="152"/>
      <c r="BF2079" s="152"/>
      <c r="BG2079" s="152"/>
      <c r="BH2079" s="152"/>
      <c r="BI2079" s="153"/>
      <c r="BJ2079" s="153"/>
      <c r="BK2079" s="153"/>
      <c r="BL2079" s="153"/>
      <c r="BM2079" s="153"/>
      <c r="BN2079" s="153"/>
      <c r="BO2079" s="153"/>
      <c r="BP2079" s="153"/>
      <c r="BQ2079" s="153"/>
      <c r="BR2079" s="153"/>
      <c r="BS2079" s="153"/>
      <c r="BT2079" s="153"/>
      <c r="BU2079" s="153"/>
      <c r="BV2079" s="153"/>
      <c r="BW2079" s="153"/>
      <c r="BX2079" s="153"/>
      <c r="BY2079" s="153"/>
      <c r="BZ2079" s="153"/>
      <c r="CA2079" s="152"/>
      <c r="CB2079" s="152"/>
    </row>
    <row r="2080" spans="1:80" s="87" customFormat="1" ht="15" x14ac:dyDescent="0.25">
      <c r="A2080" s="152"/>
      <c r="B2080" s="683"/>
      <c r="C2080" s="683"/>
      <c r="D2080" s="698"/>
      <c r="E2080" s="215"/>
      <c r="F2080" s="215"/>
      <c r="G2080" s="153"/>
      <c r="H2080" s="153"/>
      <c r="I2080" s="307">
        <v>19</v>
      </c>
      <c r="J2080" s="307">
        <v>60</v>
      </c>
      <c r="K2080" s="307">
        <v>2</v>
      </c>
      <c r="L2080" s="656">
        <v>38</v>
      </c>
      <c r="M2080" s="663">
        <v>34473</v>
      </c>
      <c r="N2080" s="600">
        <v>0.64836769999999999</v>
      </c>
      <c r="O2080" s="604">
        <v>3.4531840000000002E-3</v>
      </c>
      <c r="P2080" s="150"/>
      <c r="Q2080" s="250"/>
      <c r="R2080" s="250"/>
      <c r="S2080" s="250">
        <v>0.1157</v>
      </c>
      <c r="T2080" s="250">
        <v>0.13589999999999999</v>
      </c>
      <c r="U2080" s="250">
        <v>0.2029</v>
      </c>
      <c r="V2080" s="250">
        <v>0.25890000000000002</v>
      </c>
      <c r="W2080" s="250">
        <v>0.16059999999999999</v>
      </c>
      <c r="X2080" s="502">
        <v>0.12570000000000001</v>
      </c>
      <c r="Y2080" s="250" t="s">
        <v>29</v>
      </c>
      <c r="Z2080" s="150"/>
      <c r="AA2080" s="223">
        <v>1.7713334767986111</v>
      </c>
      <c r="AB2080" s="152"/>
      <c r="AC2080" s="152"/>
      <c r="AD2080" s="223">
        <v>5.5168800000000005</v>
      </c>
      <c r="AE2080" s="223">
        <v>0.18288000000000001</v>
      </c>
      <c r="AF2080" s="223">
        <v>1.0117141056000001</v>
      </c>
      <c r="AG2080" s="223">
        <v>0.64008000000000009</v>
      </c>
      <c r="AH2080" s="341"/>
      <c r="AI2080" s="218"/>
      <c r="AJ2080" s="218"/>
      <c r="AK2080" s="153"/>
      <c r="AL2080" s="152"/>
      <c r="AM2080" s="152"/>
      <c r="AN2080" s="152"/>
      <c r="AO2080" s="152"/>
      <c r="AP2080" s="152"/>
      <c r="AQ2080" s="152"/>
      <c r="AR2080" s="152"/>
      <c r="AS2080" s="152"/>
      <c r="AT2080" s="152"/>
      <c r="AU2080" s="153"/>
      <c r="AV2080" s="479"/>
      <c r="AW2080" s="479"/>
      <c r="AX2080" s="442"/>
      <c r="AY2080" s="153"/>
      <c r="AZ2080" s="152"/>
      <c r="BA2080" s="152"/>
      <c r="BB2080" s="152"/>
      <c r="BC2080" s="152"/>
      <c r="BD2080" s="152"/>
      <c r="BE2080" s="152"/>
      <c r="BF2080" s="152"/>
      <c r="BG2080" s="152"/>
      <c r="BH2080" s="152"/>
      <c r="BI2080" s="153"/>
      <c r="BJ2080" s="153"/>
      <c r="BK2080" s="153"/>
      <c r="BL2080" s="153"/>
      <c r="BM2080" s="153"/>
      <c r="BN2080" s="153"/>
      <c r="BO2080" s="153"/>
      <c r="BP2080" s="153"/>
      <c r="BQ2080" s="153"/>
      <c r="BR2080" s="153"/>
      <c r="BS2080" s="153"/>
      <c r="BT2080" s="153"/>
      <c r="BU2080" s="153"/>
      <c r="BV2080" s="153"/>
      <c r="BW2080" s="153"/>
      <c r="BX2080" s="153"/>
      <c r="BY2080" s="153"/>
      <c r="BZ2080" s="153"/>
      <c r="CA2080" s="152"/>
      <c r="CB2080" s="152"/>
    </row>
    <row r="2081" spans="1:80" s="87" customFormat="1" ht="15" x14ac:dyDescent="0.25">
      <c r="A2081" s="152"/>
      <c r="B2081" s="683"/>
      <c r="C2081" s="683"/>
      <c r="D2081" s="698"/>
      <c r="E2081" s="215"/>
      <c r="F2081" s="215"/>
      <c r="G2081" s="153"/>
      <c r="H2081" s="153"/>
      <c r="I2081" s="307">
        <v>18</v>
      </c>
      <c r="J2081" s="307">
        <v>60</v>
      </c>
      <c r="K2081" s="307">
        <v>2</v>
      </c>
      <c r="L2081" s="656">
        <v>36</v>
      </c>
      <c r="M2081" s="663">
        <v>34477</v>
      </c>
      <c r="N2081" s="600">
        <v>0.57475390000000004</v>
      </c>
      <c r="O2081" s="604">
        <v>2.015232E-3</v>
      </c>
      <c r="P2081" s="150"/>
      <c r="Q2081" s="250"/>
      <c r="R2081" s="250"/>
      <c r="S2081" s="250">
        <v>2.9600000000000001E-2</v>
      </c>
      <c r="T2081" s="250">
        <v>0.10779999999999999</v>
      </c>
      <c r="U2081" s="250">
        <v>0.18280000000000002</v>
      </c>
      <c r="V2081" s="250">
        <v>0.3453</v>
      </c>
      <c r="W2081" s="250">
        <v>0.2</v>
      </c>
      <c r="X2081" s="502">
        <v>0.1343</v>
      </c>
      <c r="Y2081" s="250" t="s">
        <v>29</v>
      </c>
      <c r="Z2081" s="150"/>
      <c r="AA2081" s="223">
        <v>1.3943405568764429</v>
      </c>
      <c r="AB2081" s="152"/>
      <c r="AC2081" s="152"/>
      <c r="AD2081" s="223">
        <v>5.1816000000000004</v>
      </c>
      <c r="AE2081" s="223">
        <v>0.17983199999999999</v>
      </c>
      <c r="AF2081" s="223">
        <v>0.93460458240000011</v>
      </c>
      <c r="AG2081" s="223">
        <v>0.61569600000000002</v>
      </c>
      <c r="AH2081" s="341"/>
      <c r="AI2081" s="218"/>
      <c r="AJ2081" s="218"/>
      <c r="AK2081" s="153"/>
      <c r="AL2081" s="152"/>
      <c r="AM2081" s="152"/>
      <c r="AN2081" s="152"/>
      <c r="AO2081" s="152"/>
      <c r="AP2081" s="152"/>
      <c r="AQ2081" s="152"/>
      <c r="AR2081" s="152"/>
      <c r="AS2081" s="152"/>
      <c r="AT2081" s="152"/>
      <c r="AU2081" s="153"/>
      <c r="AV2081" s="479"/>
      <c r="AW2081" s="479"/>
      <c r="AX2081" s="442"/>
      <c r="AY2081" s="153"/>
      <c r="AZ2081" s="152"/>
      <c r="BA2081" s="152"/>
      <c r="BB2081" s="152"/>
      <c r="BC2081" s="152"/>
      <c r="BD2081" s="152"/>
      <c r="BE2081" s="152"/>
      <c r="BF2081" s="152"/>
      <c r="BG2081" s="152"/>
      <c r="BH2081" s="152"/>
      <c r="BI2081" s="153"/>
      <c r="BJ2081" s="153"/>
      <c r="BK2081" s="153"/>
      <c r="BL2081" s="153"/>
      <c r="BM2081" s="153"/>
      <c r="BN2081" s="153"/>
      <c r="BO2081" s="153"/>
      <c r="BP2081" s="153"/>
      <c r="BQ2081" s="153"/>
      <c r="BR2081" s="153"/>
      <c r="BS2081" s="153"/>
      <c r="BT2081" s="153"/>
      <c r="BU2081" s="153"/>
      <c r="BV2081" s="153"/>
      <c r="BW2081" s="153"/>
      <c r="BX2081" s="153"/>
      <c r="BY2081" s="153"/>
      <c r="BZ2081" s="153"/>
      <c r="CA2081" s="152"/>
      <c r="CB2081" s="152"/>
    </row>
    <row r="2082" spans="1:80" s="87" customFormat="1" ht="15" x14ac:dyDescent="0.25">
      <c r="A2082" s="152"/>
      <c r="B2082" s="683"/>
      <c r="C2082" s="683"/>
      <c r="D2082" s="698"/>
      <c r="E2082" s="215"/>
      <c r="F2082" s="215"/>
      <c r="G2082" s="153"/>
      <c r="H2082" s="153"/>
      <c r="I2082" s="307">
        <v>18</v>
      </c>
      <c r="J2082" s="307">
        <v>60</v>
      </c>
      <c r="K2082" s="307">
        <v>1</v>
      </c>
      <c r="L2082" s="656">
        <v>18</v>
      </c>
      <c r="M2082" s="663">
        <v>34480</v>
      </c>
      <c r="N2082" s="600">
        <v>0.5634287</v>
      </c>
      <c r="O2082" s="604">
        <v>8.08192E-4</v>
      </c>
      <c r="P2082" s="150"/>
      <c r="Q2082" s="250"/>
      <c r="R2082" s="250"/>
      <c r="S2082" s="250"/>
      <c r="T2082" s="250">
        <v>0.1384</v>
      </c>
      <c r="U2082" s="250">
        <v>0.223</v>
      </c>
      <c r="V2082" s="250">
        <v>0.3538</v>
      </c>
      <c r="W2082" s="250">
        <v>0.15380000000000002</v>
      </c>
      <c r="X2082" s="502">
        <v>0.13070000000000001</v>
      </c>
      <c r="Y2082" s="250" t="s">
        <v>29</v>
      </c>
      <c r="Z2082" s="150"/>
      <c r="AA2082" s="223">
        <v>1.5248604505860848</v>
      </c>
      <c r="AB2082" s="152"/>
      <c r="AC2082" s="152"/>
      <c r="AD2082" s="223">
        <v>5.1206400000000007</v>
      </c>
      <c r="AE2082" s="223">
        <v>0.18288000000000001</v>
      </c>
      <c r="AF2082" s="223">
        <v>0.93553361280000014</v>
      </c>
      <c r="AG2082" s="223">
        <v>0.60045599999999999</v>
      </c>
      <c r="AH2082" s="341"/>
      <c r="AI2082" s="218"/>
      <c r="AJ2082" s="218"/>
      <c r="AK2082" s="153"/>
      <c r="AL2082" s="152"/>
      <c r="AM2082" s="152"/>
      <c r="AN2082" s="152"/>
      <c r="AO2082" s="152"/>
      <c r="AP2082" s="152"/>
      <c r="AQ2082" s="152"/>
      <c r="AR2082" s="152"/>
      <c r="AS2082" s="152"/>
      <c r="AT2082" s="152"/>
      <c r="AU2082" s="153"/>
      <c r="AV2082" s="479"/>
      <c r="AW2082" s="479"/>
      <c r="AX2082" s="442"/>
      <c r="AY2082" s="153"/>
      <c r="AZ2082" s="152"/>
      <c r="BA2082" s="152"/>
      <c r="BB2082" s="152"/>
      <c r="BC2082" s="152"/>
      <c r="BD2082" s="152"/>
      <c r="BE2082" s="152"/>
      <c r="BF2082" s="152"/>
      <c r="BG2082" s="152"/>
      <c r="BH2082" s="152"/>
      <c r="BI2082" s="153"/>
      <c r="BJ2082" s="153"/>
      <c r="BK2082" s="153"/>
      <c r="BL2082" s="153"/>
      <c r="BM2082" s="153"/>
      <c r="BN2082" s="153"/>
      <c r="BO2082" s="153"/>
      <c r="BP2082" s="153"/>
      <c r="BQ2082" s="153"/>
      <c r="BR2082" s="153"/>
      <c r="BS2082" s="153"/>
      <c r="BT2082" s="153"/>
      <c r="BU2082" s="153"/>
      <c r="BV2082" s="153"/>
      <c r="BW2082" s="153"/>
      <c r="BX2082" s="153"/>
      <c r="BY2082" s="153"/>
      <c r="BZ2082" s="153"/>
      <c r="CA2082" s="152"/>
      <c r="CB2082" s="152"/>
    </row>
    <row r="2083" spans="1:80" s="87" customFormat="1" ht="15" x14ac:dyDescent="0.25">
      <c r="A2083" s="152"/>
      <c r="B2083" s="683"/>
      <c r="C2083" s="683"/>
      <c r="D2083" s="698"/>
      <c r="E2083" s="215"/>
      <c r="F2083" s="215"/>
      <c r="G2083" s="153"/>
      <c r="H2083" s="153"/>
      <c r="I2083" s="307">
        <v>18</v>
      </c>
      <c r="J2083" s="307">
        <v>60</v>
      </c>
      <c r="K2083" s="307">
        <v>1</v>
      </c>
      <c r="L2083" s="656">
        <v>18</v>
      </c>
      <c r="M2083" s="663">
        <v>34480</v>
      </c>
      <c r="N2083" s="600">
        <v>0.5634287</v>
      </c>
      <c r="O2083" s="604">
        <v>4.6602240000000005E-4</v>
      </c>
      <c r="P2083" s="150"/>
      <c r="Q2083" s="250"/>
      <c r="R2083" s="250"/>
      <c r="S2083" s="250"/>
      <c r="T2083" s="250">
        <v>0.04</v>
      </c>
      <c r="U2083" s="250">
        <v>0.2666</v>
      </c>
      <c r="V2083" s="250">
        <v>0.44</v>
      </c>
      <c r="W2083" s="250">
        <v>0.17329999999999998</v>
      </c>
      <c r="X2083" s="502">
        <v>0.08</v>
      </c>
      <c r="Y2083" s="250" t="s">
        <v>29</v>
      </c>
      <c r="Z2083" s="150"/>
      <c r="AA2083" s="223">
        <v>1.4748499484298609</v>
      </c>
      <c r="AB2083" s="152"/>
      <c r="AC2083" s="152"/>
      <c r="AD2083" s="223">
        <v>5.1206400000000007</v>
      </c>
      <c r="AE2083" s="223">
        <v>0.18288000000000001</v>
      </c>
      <c r="AF2083" s="223">
        <v>0.93553361280000014</v>
      </c>
      <c r="AG2083" s="223">
        <v>0.60045599999999999</v>
      </c>
      <c r="AH2083" s="341"/>
      <c r="AI2083" s="218"/>
      <c r="AJ2083" s="218"/>
      <c r="AK2083" s="153"/>
      <c r="AL2083" s="152"/>
      <c r="AM2083" s="152"/>
      <c r="AN2083" s="152"/>
      <c r="AO2083" s="152"/>
      <c r="AP2083" s="152"/>
      <c r="AQ2083" s="152"/>
      <c r="AR2083" s="152"/>
      <c r="AS2083" s="152"/>
      <c r="AT2083" s="152"/>
      <c r="AU2083" s="153"/>
      <c r="AV2083" s="479"/>
      <c r="AW2083" s="479"/>
      <c r="AX2083" s="442"/>
      <c r="AY2083" s="153"/>
      <c r="AZ2083" s="152"/>
      <c r="BA2083" s="152"/>
      <c r="BB2083" s="152"/>
      <c r="BC2083" s="152"/>
      <c r="BD2083" s="152"/>
      <c r="BE2083" s="152"/>
      <c r="BF2083" s="152"/>
      <c r="BG2083" s="152"/>
      <c r="BH2083" s="152"/>
      <c r="BI2083" s="153"/>
      <c r="BJ2083" s="153"/>
      <c r="BK2083" s="153"/>
      <c r="BL2083" s="153"/>
      <c r="BM2083" s="153"/>
      <c r="BN2083" s="153"/>
      <c r="BO2083" s="153"/>
      <c r="BP2083" s="153"/>
      <c r="BQ2083" s="153"/>
      <c r="BR2083" s="153"/>
      <c r="BS2083" s="153"/>
      <c r="BT2083" s="153"/>
      <c r="BU2083" s="153"/>
      <c r="BV2083" s="153"/>
      <c r="BW2083" s="153"/>
      <c r="BX2083" s="153"/>
      <c r="BY2083" s="153"/>
      <c r="BZ2083" s="153"/>
      <c r="CA2083" s="152"/>
      <c r="CB2083" s="152"/>
    </row>
    <row r="2084" spans="1:80" s="87" customFormat="1" ht="15" x14ac:dyDescent="0.25">
      <c r="A2084" s="152"/>
      <c r="B2084" s="683"/>
      <c r="C2084" s="683"/>
      <c r="D2084" s="698"/>
      <c r="E2084" s="215"/>
      <c r="F2084" s="215"/>
      <c r="G2084" s="153"/>
      <c r="H2084" s="153"/>
      <c r="I2084" s="307">
        <v>18</v>
      </c>
      <c r="J2084" s="307">
        <v>60</v>
      </c>
      <c r="K2084" s="307">
        <v>1</v>
      </c>
      <c r="L2084" s="656">
        <v>18</v>
      </c>
      <c r="M2084" s="663">
        <v>34487</v>
      </c>
      <c r="N2084" s="600">
        <v>0.57758520000000002</v>
      </c>
      <c r="O2084" s="604">
        <v>1.2616192000000001E-3</v>
      </c>
      <c r="P2084" s="150"/>
      <c r="Q2084" s="250"/>
      <c r="R2084" s="250"/>
      <c r="S2084" s="250"/>
      <c r="T2084" s="250">
        <v>4.0599999999999997E-2</v>
      </c>
      <c r="U2084" s="250">
        <v>0.23850000000000002</v>
      </c>
      <c r="V2084" s="250">
        <v>0.3604</v>
      </c>
      <c r="W2084" s="250">
        <v>0.21309999999999998</v>
      </c>
      <c r="X2084" s="502">
        <v>0.14710000000000001</v>
      </c>
      <c r="Y2084" s="250" t="s">
        <v>29</v>
      </c>
      <c r="Z2084" s="150"/>
      <c r="AA2084" s="223">
        <v>1.3081120520983096</v>
      </c>
      <c r="AB2084" s="152"/>
      <c r="AC2084" s="152"/>
      <c r="AD2084" s="223">
        <v>5.2730400000000008</v>
      </c>
      <c r="AE2084" s="223">
        <v>0.176784</v>
      </c>
      <c r="AF2084" s="223">
        <v>0.93460458240000011</v>
      </c>
      <c r="AG2084" s="223">
        <v>0.61874399999999996</v>
      </c>
      <c r="AH2084" s="341"/>
      <c r="AI2084" s="218"/>
      <c r="AJ2084" s="218"/>
      <c r="AK2084" s="153"/>
      <c r="AL2084" s="152"/>
      <c r="AM2084" s="152"/>
      <c r="AN2084" s="152"/>
      <c r="AO2084" s="152"/>
      <c r="AP2084" s="152"/>
      <c r="AQ2084" s="152"/>
      <c r="AR2084" s="152"/>
      <c r="AS2084" s="152"/>
      <c r="AT2084" s="152"/>
      <c r="AU2084" s="153"/>
      <c r="AV2084" s="479"/>
      <c r="AW2084" s="479"/>
      <c r="AX2084" s="442"/>
      <c r="AY2084" s="153"/>
      <c r="AZ2084" s="152"/>
      <c r="BA2084" s="152"/>
      <c r="BB2084" s="152"/>
      <c r="BC2084" s="152"/>
      <c r="BD2084" s="152"/>
      <c r="BE2084" s="152"/>
      <c r="BF2084" s="152"/>
      <c r="BG2084" s="152"/>
      <c r="BH2084" s="152"/>
      <c r="BI2084" s="153"/>
      <c r="BJ2084" s="153"/>
      <c r="BK2084" s="153"/>
      <c r="BL2084" s="153"/>
      <c r="BM2084" s="153"/>
      <c r="BN2084" s="153"/>
      <c r="BO2084" s="153"/>
      <c r="BP2084" s="153"/>
      <c r="BQ2084" s="153"/>
      <c r="BR2084" s="153"/>
      <c r="BS2084" s="153"/>
      <c r="BT2084" s="153"/>
      <c r="BU2084" s="153"/>
      <c r="BV2084" s="153"/>
      <c r="BW2084" s="153"/>
      <c r="BX2084" s="153"/>
      <c r="BY2084" s="153"/>
      <c r="BZ2084" s="153"/>
      <c r="CA2084" s="152"/>
      <c r="CB2084" s="152"/>
    </row>
    <row r="2085" spans="1:80" s="87" customFormat="1" ht="15" x14ac:dyDescent="0.25">
      <c r="A2085" s="152"/>
      <c r="B2085" s="683"/>
      <c r="C2085" s="683"/>
      <c r="D2085" s="698"/>
      <c r="E2085" s="215"/>
      <c r="F2085" s="215"/>
      <c r="G2085" s="153"/>
      <c r="H2085" s="153"/>
      <c r="I2085" s="307">
        <v>18</v>
      </c>
      <c r="J2085" s="307">
        <v>60</v>
      </c>
      <c r="K2085" s="307">
        <v>1</v>
      </c>
      <c r="L2085" s="656">
        <v>18</v>
      </c>
      <c r="M2085" s="663">
        <v>34487</v>
      </c>
      <c r="N2085" s="600">
        <v>0.57758520000000002</v>
      </c>
      <c r="O2085" s="604">
        <v>6.9798400000000002E-4</v>
      </c>
      <c r="P2085" s="150"/>
      <c r="Q2085" s="250"/>
      <c r="R2085" s="250"/>
      <c r="S2085" s="250"/>
      <c r="T2085" s="250">
        <v>5.5E-2</v>
      </c>
      <c r="U2085" s="250">
        <v>0.30269999999999997</v>
      </c>
      <c r="V2085" s="250">
        <v>0.3669</v>
      </c>
      <c r="W2085" s="250">
        <v>0.18340000000000001</v>
      </c>
      <c r="X2085" s="502">
        <v>9.1700000000000004E-2</v>
      </c>
      <c r="Y2085" s="250" t="s">
        <v>29</v>
      </c>
      <c r="Z2085" s="150"/>
      <c r="AA2085" s="223">
        <v>1.5289749087450388</v>
      </c>
      <c r="AB2085" s="152"/>
      <c r="AC2085" s="152"/>
      <c r="AD2085" s="223">
        <v>5.2730400000000008</v>
      </c>
      <c r="AE2085" s="223">
        <v>0.176784</v>
      </c>
      <c r="AF2085" s="223">
        <v>0.93460458240000011</v>
      </c>
      <c r="AG2085" s="223">
        <v>0.61874399999999996</v>
      </c>
      <c r="AH2085" s="341"/>
      <c r="AI2085" s="218"/>
      <c r="AJ2085" s="218"/>
      <c r="AK2085" s="153"/>
      <c r="AL2085" s="152"/>
      <c r="AM2085" s="152"/>
      <c r="AN2085" s="152"/>
      <c r="AO2085" s="152"/>
      <c r="AP2085" s="152"/>
      <c r="AQ2085" s="152"/>
      <c r="AR2085" s="152"/>
      <c r="AS2085" s="152"/>
      <c r="AT2085" s="152"/>
      <c r="AU2085" s="153"/>
      <c r="AV2085" s="479"/>
      <c r="AW2085" s="479"/>
      <c r="AX2085" s="442"/>
      <c r="AY2085" s="153"/>
      <c r="AZ2085" s="152"/>
      <c r="BA2085" s="152"/>
      <c r="BB2085" s="152"/>
      <c r="BC2085" s="152"/>
      <c r="BD2085" s="152"/>
      <c r="BE2085" s="152"/>
      <c r="BF2085" s="152"/>
      <c r="BG2085" s="152"/>
      <c r="BH2085" s="152"/>
      <c r="BI2085" s="153"/>
      <c r="BJ2085" s="153"/>
      <c r="BK2085" s="153"/>
      <c r="BL2085" s="153"/>
      <c r="BM2085" s="153"/>
      <c r="BN2085" s="153"/>
      <c r="BO2085" s="153"/>
      <c r="BP2085" s="153"/>
      <c r="BQ2085" s="153"/>
      <c r="BR2085" s="153"/>
      <c r="BS2085" s="153"/>
      <c r="BT2085" s="153"/>
      <c r="BU2085" s="153"/>
      <c r="BV2085" s="153"/>
      <c r="BW2085" s="153"/>
      <c r="BX2085" s="153"/>
      <c r="BY2085" s="153"/>
      <c r="BZ2085" s="153"/>
      <c r="CA2085" s="152"/>
      <c r="CB2085" s="152"/>
    </row>
    <row r="2086" spans="1:80" s="87" customFormat="1" ht="15" x14ac:dyDescent="0.25">
      <c r="A2086" s="152"/>
      <c r="B2086" s="683"/>
      <c r="C2086" s="683"/>
      <c r="D2086" s="698"/>
      <c r="E2086" s="215"/>
      <c r="F2086" s="215"/>
      <c r="G2086" s="153"/>
      <c r="H2086" s="153"/>
      <c r="I2086" s="307">
        <v>18</v>
      </c>
      <c r="J2086" s="307">
        <v>60</v>
      </c>
      <c r="K2086" s="307">
        <v>1</v>
      </c>
      <c r="L2086" s="656">
        <v>18</v>
      </c>
      <c r="M2086" s="663">
        <v>34491</v>
      </c>
      <c r="N2086" s="600">
        <v>0.51812790000000009</v>
      </c>
      <c r="O2086" s="604">
        <v>2.4770560000000002E-4</v>
      </c>
      <c r="P2086" s="150"/>
      <c r="Q2086" s="250"/>
      <c r="R2086" s="250"/>
      <c r="S2086" s="250"/>
      <c r="T2086" s="250">
        <v>0.05</v>
      </c>
      <c r="U2086" s="250">
        <v>0.42499999999999999</v>
      </c>
      <c r="V2086" s="250">
        <v>0.32500000000000001</v>
      </c>
      <c r="W2086" s="250">
        <v>0.125</v>
      </c>
      <c r="X2086" s="502">
        <v>7.4999999999999997E-2</v>
      </c>
      <c r="Y2086" s="250" t="s">
        <v>29</v>
      </c>
      <c r="Z2086" s="150"/>
      <c r="AA2086" s="223">
        <v>1.8961550286783431</v>
      </c>
      <c r="AB2086" s="152"/>
      <c r="AC2086" s="152"/>
      <c r="AD2086" s="223">
        <v>5.09016</v>
      </c>
      <c r="AE2086" s="223">
        <v>0.173736</v>
      </c>
      <c r="AF2086" s="223">
        <v>0.89186918400000004</v>
      </c>
      <c r="AG2086" s="223">
        <v>0.57911999999999997</v>
      </c>
      <c r="AH2086" s="341"/>
      <c r="AI2086" s="218"/>
      <c r="AJ2086" s="218"/>
      <c r="AK2086" s="153"/>
      <c r="AL2086" s="152"/>
      <c r="AM2086" s="152"/>
      <c r="AN2086" s="152"/>
      <c r="AO2086" s="152"/>
      <c r="AP2086" s="152"/>
      <c r="AQ2086" s="152"/>
      <c r="AR2086" s="152"/>
      <c r="AS2086" s="152"/>
      <c r="AT2086" s="152"/>
      <c r="AU2086" s="153"/>
      <c r="AV2086" s="479"/>
      <c r="AW2086" s="479"/>
      <c r="AX2086" s="442"/>
      <c r="AY2086" s="153"/>
      <c r="AZ2086" s="152"/>
      <c r="BA2086" s="152"/>
      <c r="BB2086" s="152"/>
      <c r="BC2086" s="152"/>
      <c r="BD2086" s="152"/>
      <c r="BE2086" s="152"/>
      <c r="BF2086" s="152"/>
      <c r="BG2086" s="152"/>
      <c r="BH2086" s="152"/>
      <c r="BI2086" s="153"/>
      <c r="BJ2086" s="153"/>
      <c r="BK2086" s="153"/>
      <c r="BL2086" s="153"/>
      <c r="BM2086" s="153"/>
      <c r="BN2086" s="153"/>
      <c r="BO2086" s="153"/>
      <c r="BP2086" s="153"/>
      <c r="BQ2086" s="153"/>
      <c r="BR2086" s="153"/>
      <c r="BS2086" s="153"/>
      <c r="BT2086" s="153"/>
      <c r="BU2086" s="153"/>
      <c r="BV2086" s="153"/>
      <c r="BW2086" s="153"/>
      <c r="BX2086" s="153"/>
      <c r="BY2086" s="153"/>
      <c r="BZ2086" s="153"/>
      <c r="CA2086" s="152"/>
      <c r="CB2086" s="152"/>
    </row>
    <row r="2087" spans="1:80" s="87" customFormat="1" ht="15" x14ac:dyDescent="0.25">
      <c r="A2087" s="152"/>
      <c r="B2087" s="683"/>
      <c r="C2087" s="683"/>
      <c r="D2087" s="698"/>
      <c r="E2087" s="215"/>
      <c r="F2087" s="215"/>
      <c r="G2087" s="153"/>
      <c r="H2087" s="153"/>
      <c r="I2087" s="307">
        <v>18</v>
      </c>
      <c r="J2087" s="307">
        <v>60</v>
      </c>
      <c r="K2087" s="307">
        <v>1</v>
      </c>
      <c r="L2087" s="656">
        <v>18</v>
      </c>
      <c r="M2087" s="663">
        <v>34491</v>
      </c>
      <c r="N2087" s="600">
        <v>0.51812790000000009</v>
      </c>
      <c r="O2087" s="604">
        <v>2.9703679999999998E-4</v>
      </c>
      <c r="P2087" s="150"/>
      <c r="Q2087" s="250"/>
      <c r="R2087" s="250"/>
      <c r="S2087" s="250"/>
      <c r="T2087" s="250">
        <v>2.0799999999999999E-2</v>
      </c>
      <c r="U2087" s="250">
        <v>0.3125</v>
      </c>
      <c r="V2087" s="250">
        <v>0.41659999999999997</v>
      </c>
      <c r="W2087" s="250">
        <v>0.1666</v>
      </c>
      <c r="X2087" s="502">
        <v>8.3299999999999999E-2</v>
      </c>
      <c r="Y2087" s="250" t="s">
        <v>29</v>
      </c>
      <c r="Z2087" s="150"/>
      <c r="AA2087" s="223">
        <v>1.5158174450150594</v>
      </c>
      <c r="AB2087" s="152"/>
      <c r="AC2087" s="152"/>
      <c r="AD2087" s="223">
        <v>5.09016</v>
      </c>
      <c r="AE2087" s="223">
        <v>0.173736</v>
      </c>
      <c r="AF2087" s="223">
        <v>0.89186918400000004</v>
      </c>
      <c r="AG2087" s="223">
        <v>0.57911999999999997</v>
      </c>
      <c r="AH2087" s="341"/>
      <c r="AI2087" s="218"/>
      <c r="AJ2087" s="218"/>
      <c r="AK2087" s="153"/>
      <c r="AL2087" s="152"/>
      <c r="AM2087" s="152"/>
      <c r="AN2087" s="152"/>
      <c r="AO2087" s="152"/>
      <c r="AP2087" s="152"/>
      <c r="AQ2087" s="152"/>
      <c r="AR2087" s="152"/>
      <c r="AS2087" s="152"/>
      <c r="AT2087" s="152"/>
      <c r="AU2087" s="153"/>
      <c r="AV2087" s="479"/>
      <c r="AW2087" s="479"/>
      <c r="AX2087" s="442"/>
      <c r="AY2087" s="153"/>
      <c r="AZ2087" s="152"/>
      <c r="BA2087" s="152"/>
      <c r="BB2087" s="152"/>
      <c r="BC2087" s="152"/>
      <c r="BD2087" s="152"/>
      <c r="BE2087" s="152"/>
      <c r="BF2087" s="152"/>
      <c r="BG2087" s="152"/>
      <c r="BH2087" s="152"/>
      <c r="BI2087" s="153"/>
      <c r="BJ2087" s="153"/>
      <c r="BK2087" s="153"/>
      <c r="BL2087" s="153"/>
      <c r="BM2087" s="153"/>
      <c r="BN2087" s="153"/>
      <c r="BO2087" s="153"/>
      <c r="BP2087" s="153"/>
      <c r="BQ2087" s="153"/>
      <c r="BR2087" s="153"/>
      <c r="BS2087" s="153"/>
      <c r="BT2087" s="153"/>
      <c r="BU2087" s="153"/>
      <c r="BV2087" s="153"/>
      <c r="BW2087" s="153"/>
      <c r="BX2087" s="153"/>
      <c r="BY2087" s="153"/>
      <c r="BZ2087" s="153"/>
      <c r="CA2087" s="152"/>
      <c r="CB2087" s="152"/>
    </row>
    <row r="2088" spans="1:80" s="87" customFormat="1" ht="15" x14ac:dyDescent="0.25">
      <c r="A2088" s="152"/>
      <c r="B2088" s="683"/>
      <c r="C2088" s="683"/>
      <c r="D2088" s="698"/>
      <c r="E2088" s="215"/>
      <c r="F2088" s="215"/>
      <c r="G2088" s="153"/>
      <c r="H2088" s="153"/>
      <c r="I2088" s="307">
        <v>18</v>
      </c>
      <c r="J2088" s="307">
        <v>60</v>
      </c>
      <c r="K2088" s="307">
        <v>1</v>
      </c>
      <c r="L2088" s="656">
        <v>18</v>
      </c>
      <c r="M2088" s="663">
        <v>34495</v>
      </c>
      <c r="N2088" s="600">
        <v>0.52379050000000005</v>
      </c>
      <c r="O2088" s="604">
        <v>5.6258559999999998E-4</v>
      </c>
      <c r="P2088" s="150"/>
      <c r="Q2088" s="250"/>
      <c r="R2088" s="250"/>
      <c r="S2088" s="250">
        <v>0.14279999999999998</v>
      </c>
      <c r="T2088" s="250">
        <v>0.2087</v>
      </c>
      <c r="U2088" s="250">
        <v>0.24170000000000003</v>
      </c>
      <c r="V2088" s="250">
        <v>0.2087</v>
      </c>
      <c r="W2088" s="250">
        <v>0.1208</v>
      </c>
      <c r="X2088" s="502">
        <v>7.690000000000001E-2</v>
      </c>
      <c r="Y2088" s="250" t="s">
        <v>29</v>
      </c>
      <c r="Z2088" s="150"/>
      <c r="AA2088" s="223">
        <v>2.614308613097327</v>
      </c>
      <c r="AB2088" s="152"/>
      <c r="AC2088" s="152"/>
      <c r="AD2088" s="223">
        <v>5.09016</v>
      </c>
      <c r="AE2088" s="223">
        <v>0.17983199999999999</v>
      </c>
      <c r="AF2088" s="223">
        <v>0.90952076159999995</v>
      </c>
      <c r="AG2088" s="223">
        <v>0.57321199999999994</v>
      </c>
      <c r="AH2088" s="341"/>
      <c r="AI2088" s="218"/>
      <c r="AJ2088" s="218"/>
      <c r="AK2088" s="153"/>
      <c r="AL2088" s="152"/>
      <c r="AM2088" s="152"/>
      <c r="AN2088" s="152"/>
      <c r="AO2088" s="152"/>
      <c r="AP2088" s="152"/>
      <c r="AQ2088" s="152"/>
      <c r="AR2088" s="152"/>
      <c r="AS2088" s="152"/>
      <c r="AT2088" s="152"/>
      <c r="AU2088" s="153"/>
      <c r="AV2088" s="479"/>
      <c r="AW2088" s="479"/>
      <c r="AX2088" s="442"/>
      <c r="AY2088" s="153"/>
      <c r="AZ2088" s="152"/>
      <c r="BA2088" s="152"/>
      <c r="BB2088" s="152"/>
      <c r="BC2088" s="152"/>
      <c r="BD2088" s="152"/>
      <c r="BE2088" s="152"/>
      <c r="BF2088" s="152"/>
      <c r="BG2088" s="152"/>
      <c r="BH2088" s="152"/>
      <c r="BI2088" s="153"/>
      <c r="BJ2088" s="153"/>
      <c r="BK2088" s="153"/>
      <c r="BL2088" s="153"/>
      <c r="BM2088" s="153"/>
      <c r="BN2088" s="153"/>
      <c r="BO2088" s="153"/>
      <c r="BP2088" s="153"/>
      <c r="BQ2088" s="153"/>
      <c r="BR2088" s="153"/>
      <c r="BS2088" s="153"/>
      <c r="BT2088" s="153"/>
      <c r="BU2088" s="153"/>
      <c r="BV2088" s="153"/>
      <c r="BW2088" s="153"/>
      <c r="BX2088" s="153"/>
      <c r="BY2088" s="153"/>
      <c r="BZ2088" s="153"/>
      <c r="CA2088" s="152"/>
      <c r="CB2088" s="152"/>
    </row>
    <row r="2089" spans="1:80" s="87" customFormat="1" ht="15" x14ac:dyDescent="0.25">
      <c r="A2089" s="152"/>
      <c r="B2089" s="683"/>
      <c r="C2089" s="683"/>
      <c r="D2089" s="698"/>
      <c r="E2089" s="215"/>
      <c r="F2089" s="215"/>
      <c r="G2089" s="153"/>
      <c r="H2089" s="153"/>
      <c r="I2089" s="307">
        <v>18</v>
      </c>
      <c r="J2089" s="307">
        <v>60</v>
      </c>
      <c r="K2089" s="307">
        <v>1</v>
      </c>
      <c r="L2089" s="656">
        <v>18</v>
      </c>
      <c r="M2089" s="663">
        <v>34495</v>
      </c>
      <c r="N2089" s="600">
        <v>0.52379050000000005</v>
      </c>
      <c r="O2089" s="604">
        <v>8.6592E-5</v>
      </c>
      <c r="P2089" s="150"/>
      <c r="Q2089" s="250"/>
      <c r="R2089" s="250"/>
      <c r="S2089" s="250"/>
      <c r="T2089" s="250"/>
      <c r="U2089" s="250">
        <v>0.14279999999999998</v>
      </c>
      <c r="V2089" s="250">
        <v>0.28570000000000001</v>
      </c>
      <c r="W2089" s="250">
        <v>0.28570000000000001</v>
      </c>
      <c r="X2089" s="502">
        <v>0.28570000000000001</v>
      </c>
      <c r="Y2089" s="250" t="s">
        <v>29</v>
      </c>
      <c r="Z2089" s="150"/>
      <c r="AA2089" s="223">
        <v>0.8408454135645862</v>
      </c>
      <c r="AB2089" s="152"/>
      <c r="AC2089" s="152"/>
      <c r="AD2089" s="223">
        <v>5.09016</v>
      </c>
      <c r="AE2089" s="223">
        <v>0.17983199999999999</v>
      </c>
      <c r="AF2089" s="223">
        <v>0.90952076159999995</v>
      </c>
      <c r="AG2089" s="223">
        <v>0.57321199999999994</v>
      </c>
      <c r="AH2089" s="341"/>
      <c r="AI2089" s="218"/>
      <c r="AJ2089" s="218"/>
      <c r="AK2089" s="153"/>
      <c r="AL2089" s="152"/>
      <c r="AM2089" s="152"/>
      <c r="AN2089" s="152"/>
      <c r="AO2089" s="152"/>
      <c r="AP2089" s="152"/>
      <c r="AQ2089" s="152"/>
      <c r="AR2089" s="152"/>
      <c r="AS2089" s="152"/>
      <c r="AT2089" s="152"/>
      <c r="AU2089" s="153"/>
      <c r="AV2089" s="479"/>
      <c r="AW2089" s="479"/>
      <c r="AX2089" s="442"/>
      <c r="AY2089" s="153"/>
      <c r="AZ2089" s="152"/>
      <c r="BA2089" s="152"/>
      <c r="BB2089" s="152"/>
      <c r="BC2089" s="152"/>
      <c r="BD2089" s="152"/>
      <c r="BE2089" s="152"/>
      <c r="BF2089" s="152"/>
      <c r="BG2089" s="152"/>
      <c r="BH2089" s="152"/>
      <c r="BI2089" s="153"/>
      <c r="BJ2089" s="153"/>
      <c r="BK2089" s="153"/>
      <c r="BL2089" s="153"/>
      <c r="BM2089" s="153"/>
      <c r="BN2089" s="153"/>
      <c r="BO2089" s="153"/>
      <c r="BP2089" s="153"/>
      <c r="BQ2089" s="153"/>
      <c r="BR2089" s="153"/>
      <c r="BS2089" s="153"/>
      <c r="BT2089" s="153"/>
      <c r="BU2089" s="153"/>
      <c r="BV2089" s="153"/>
      <c r="BW2089" s="153"/>
      <c r="BX2089" s="153"/>
      <c r="BY2089" s="153"/>
      <c r="BZ2089" s="153"/>
      <c r="CA2089" s="152"/>
      <c r="CB2089" s="152"/>
    </row>
    <row r="2090" spans="1:80" s="87" customFormat="1" ht="15" x14ac:dyDescent="0.25">
      <c r="A2090" s="152"/>
      <c r="B2090" s="683"/>
      <c r="C2090" s="683"/>
      <c r="D2090" s="698"/>
      <c r="E2090" s="215"/>
      <c r="F2090" s="215"/>
      <c r="G2090" s="153"/>
      <c r="H2090" s="153"/>
      <c r="I2090" s="307">
        <v>19</v>
      </c>
      <c r="J2090" s="307">
        <v>60</v>
      </c>
      <c r="K2090" s="307">
        <v>1</v>
      </c>
      <c r="L2090" s="656">
        <v>19</v>
      </c>
      <c r="M2090" s="663">
        <v>34498</v>
      </c>
      <c r="N2090" s="600">
        <v>0.53228439999999999</v>
      </c>
      <c r="O2090" s="604">
        <v>1.1608576000000002E-3</v>
      </c>
      <c r="P2090" s="150"/>
      <c r="Q2090" s="250"/>
      <c r="R2090" s="250"/>
      <c r="S2090" s="250"/>
      <c r="T2090" s="250">
        <v>0.1065</v>
      </c>
      <c r="U2090" s="250">
        <v>0.17760000000000001</v>
      </c>
      <c r="V2090" s="250">
        <v>0.27440000000000003</v>
      </c>
      <c r="W2090" s="250">
        <v>0.23350000000000001</v>
      </c>
      <c r="X2090" s="502">
        <v>0.18780000000000002</v>
      </c>
      <c r="Y2090" s="250" t="s">
        <v>29</v>
      </c>
      <c r="Z2090" s="150"/>
      <c r="AA2090" s="223">
        <v>1.1892071150027208</v>
      </c>
      <c r="AB2090" s="152"/>
      <c r="AC2090" s="152"/>
      <c r="AD2090" s="223">
        <v>5.1206400000000007</v>
      </c>
      <c r="AE2090" s="223">
        <v>0.173736</v>
      </c>
      <c r="AF2090" s="223">
        <v>0.89186918400000004</v>
      </c>
      <c r="AG2090" s="223">
        <v>0.59740800000000005</v>
      </c>
      <c r="AH2090" s="341"/>
      <c r="AI2090" s="218"/>
      <c r="AJ2090" s="218"/>
      <c r="AK2090" s="153"/>
      <c r="AL2090" s="152"/>
      <c r="AM2090" s="152"/>
      <c r="AN2090" s="152"/>
      <c r="AO2090" s="152"/>
      <c r="AP2090" s="152"/>
      <c r="AQ2090" s="152"/>
      <c r="AR2090" s="152"/>
      <c r="AS2090" s="152"/>
      <c r="AT2090" s="152"/>
      <c r="AU2090" s="153"/>
      <c r="AV2090" s="479"/>
      <c r="AW2090" s="479"/>
      <c r="AX2090" s="442"/>
      <c r="AY2090" s="153"/>
      <c r="AZ2090" s="152"/>
      <c r="BA2090" s="152"/>
      <c r="BB2090" s="152"/>
      <c r="BC2090" s="152"/>
      <c r="BD2090" s="152"/>
      <c r="BE2090" s="152"/>
      <c r="BF2090" s="152"/>
      <c r="BG2090" s="152"/>
      <c r="BH2090" s="152"/>
      <c r="BI2090" s="153"/>
      <c r="BJ2090" s="153"/>
      <c r="BK2090" s="153"/>
      <c r="BL2090" s="153"/>
      <c r="BM2090" s="153"/>
      <c r="BN2090" s="153"/>
      <c r="BO2090" s="153"/>
      <c r="BP2090" s="153"/>
      <c r="BQ2090" s="153"/>
      <c r="BR2090" s="153"/>
      <c r="BS2090" s="153"/>
      <c r="BT2090" s="153"/>
      <c r="BU2090" s="153"/>
      <c r="BV2090" s="153"/>
      <c r="BW2090" s="153"/>
      <c r="BX2090" s="153"/>
      <c r="BY2090" s="153"/>
      <c r="BZ2090" s="153"/>
      <c r="CA2090" s="152"/>
      <c r="CB2090" s="152"/>
    </row>
    <row r="2091" spans="1:80" s="87" customFormat="1" ht="15" x14ac:dyDescent="0.25">
      <c r="A2091" s="152"/>
      <c r="B2091" s="683"/>
      <c r="C2091" s="683"/>
      <c r="D2091" s="698"/>
      <c r="E2091" s="215"/>
      <c r="F2091" s="215"/>
      <c r="G2091" s="153"/>
      <c r="H2091" s="153"/>
      <c r="I2091" s="307">
        <v>19</v>
      </c>
      <c r="J2091" s="307">
        <v>60</v>
      </c>
      <c r="K2091" s="307">
        <v>1</v>
      </c>
      <c r="L2091" s="656">
        <v>19</v>
      </c>
      <c r="M2091" s="663">
        <v>34498</v>
      </c>
      <c r="N2091" s="600">
        <v>0.53228439999999999</v>
      </c>
      <c r="O2091" s="604">
        <v>9.4254080000000001E-4</v>
      </c>
      <c r="P2091" s="150"/>
      <c r="Q2091" s="250"/>
      <c r="R2091" s="250"/>
      <c r="S2091" s="250">
        <v>0.1</v>
      </c>
      <c r="T2091" s="250">
        <v>0.16250000000000001</v>
      </c>
      <c r="U2091" s="250">
        <v>0.19370000000000001</v>
      </c>
      <c r="V2091" s="250">
        <v>0.25619999999999998</v>
      </c>
      <c r="W2091" s="250">
        <v>0.16250000000000001</v>
      </c>
      <c r="X2091" s="502">
        <v>0.125</v>
      </c>
      <c r="Y2091" s="250" t="s">
        <v>29</v>
      </c>
      <c r="Z2091" s="150"/>
      <c r="AA2091" s="223">
        <v>1.7767429473973144</v>
      </c>
      <c r="AB2091" s="152"/>
      <c r="AC2091" s="152"/>
      <c r="AD2091" s="223">
        <v>5.1206400000000007</v>
      </c>
      <c r="AE2091" s="223">
        <v>0.173736</v>
      </c>
      <c r="AF2091" s="223">
        <v>0.89186918400000004</v>
      </c>
      <c r="AG2091" s="223">
        <v>0.59740800000000005</v>
      </c>
      <c r="AH2091" s="341"/>
      <c r="AI2091" s="218"/>
      <c r="AJ2091" s="218"/>
      <c r="AK2091" s="153"/>
      <c r="AL2091" s="152"/>
      <c r="AM2091" s="152"/>
      <c r="AN2091" s="152"/>
      <c r="AO2091" s="152"/>
      <c r="AP2091" s="152"/>
      <c r="AQ2091" s="152"/>
      <c r="AR2091" s="152"/>
      <c r="AS2091" s="152"/>
      <c r="AT2091" s="152"/>
      <c r="AU2091" s="153"/>
      <c r="AV2091" s="479"/>
      <c r="AW2091" s="479"/>
      <c r="AX2091" s="442"/>
      <c r="AY2091" s="153"/>
      <c r="AZ2091" s="152"/>
      <c r="BA2091" s="152"/>
      <c r="BB2091" s="152"/>
      <c r="BC2091" s="152"/>
      <c r="BD2091" s="152"/>
      <c r="BE2091" s="152"/>
      <c r="BF2091" s="152"/>
      <c r="BG2091" s="152"/>
      <c r="BH2091" s="152"/>
      <c r="BI2091" s="153"/>
      <c r="BJ2091" s="153"/>
      <c r="BK2091" s="153"/>
      <c r="BL2091" s="153"/>
      <c r="BM2091" s="153"/>
      <c r="BN2091" s="153"/>
      <c r="BO2091" s="153"/>
      <c r="BP2091" s="153"/>
      <c r="BQ2091" s="153"/>
      <c r="BR2091" s="153"/>
      <c r="BS2091" s="153"/>
      <c r="BT2091" s="153"/>
      <c r="BU2091" s="153"/>
      <c r="BV2091" s="153"/>
      <c r="BW2091" s="153"/>
      <c r="BX2091" s="153"/>
      <c r="BY2091" s="153"/>
      <c r="BZ2091" s="153"/>
      <c r="CA2091" s="152"/>
      <c r="CB2091" s="152"/>
    </row>
    <row r="2092" spans="1:80" s="87" customFormat="1" ht="15" x14ac:dyDescent="0.25">
      <c r="A2092" s="152"/>
      <c r="B2092" s="683"/>
      <c r="C2092" s="683"/>
      <c r="D2092" s="698"/>
      <c r="E2092" s="215"/>
      <c r="F2092" s="215"/>
      <c r="G2092" s="153"/>
      <c r="H2092" s="153"/>
      <c r="I2092" s="307">
        <v>18</v>
      </c>
      <c r="J2092" s="307">
        <v>60</v>
      </c>
      <c r="K2092" s="307">
        <v>1</v>
      </c>
      <c r="L2092" s="656">
        <v>18</v>
      </c>
      <c r="M2092" s="663">
        <v>34506</v>
      </c>
      <c r="N2092" s="600">
        <v>0.46716450000000004</v>
      </c>
      <c r="O2092" s="604">
        <v>2.2041600000000001E-3</v>
      </c>
      <c r="P2092" s="150"/>
      <c r="Q2092" s="250"/>
      <c r="R2092" s="250"/>
      <c r="S2092" s="250"/>
      <c r="T2092" s="250">
        <v>3.8699999999999998E-2</v>
      </c>
      <c r="U2092" s="250">
        <v>0.15509999999999999</v>
      </c>
      <c r="V2092" s="250">
        <v>0.37109999999999999</v>
      </c>
      <c r="W2092" s="250">
        <v>0.2853</v>
      </c>
      <c r="X2092" s="502">
        <v>0.14949999999999999</v>
      </c>
      <c r="Y2092" s="250" t="s">
        <v>29</v>
      </c>
      <c r="Z2092" s="150"/>
      <c r="AA2092" s="223">
        <v>1.129191112793791</v>
      </c>
      <c r="AB2092" s="152"/>
      <c r="AC2092" s="152"/>
      <c r="AD2092" s="223">
        <v>5.0292000000000003</v>
      </c>
      <c r="AE2092" s="223">
        <v>0.16764000000000001</v>
      </c>
      <c r="AF2092" s="223">
        <v>0.84263057280000009</v>
      </c>
      <c r="AG2092" s="223">
        <v>0.55473600000000001</v>
      </c>
      <c r="AH2092" s="341"/>
      <c r="AI2092" s="218"/>
      <c r="AJ2092" s="218"/>
      <c r="AK2092" s="153"/>
      <c r="AL2092" s="152"/>
      <c r="AM2092" s="152"/>
      <c r="AN2092" s="152"/>
      <c r="AO2092" s="152"/>
      <c r="AP2092" s="152"/>
      <c r="AQ2092" s="152"/>
      <c r="AR2092" s="152"/>
      <c r="AS2092" s="152"/>
      <c r="AT2092" s="152"/>
      <c r="AU2092" s="153"/>
      <c r="AV2092" s="479"/>
      <c r="AW2092" s="479"/>
      <c r="AX2092" s="442"/>
      <c r="AY2092" s="153"/>
      <c r="AZ2092" s="152"/>
      <c r="BA2092" s="152"/>
      <c r="BB2092" s="152"/>
      <c r="BC2092" s="152"/>
      <c r="BD2092" s="152"/>
      <c r="BE2092" s="152"/>
      <c r="BF2092" s="152"/>
      <c r="BG2092" s="152"/>
      <c r="BH2092" s="152"/>
      <c r="BI2092" s="153"/>
      <c r="BJ2092" s="153"/>
      <c r="BK2092" s="153"/>
      <c r="BL2092" s="153"/>
      <c r="BM2092" s="153"/>
      <c r="BN2092" s="153"/>
      <c r="BO2092" s="153"/>
      <c r="BP2092" s="153"/>
      <c r="BQ2092" s="153"/>
      <c r="BR2092" s="153"/>
      <c r="BS2092" s="153"/>
      <c r="BT2092" s="153"/>
      <c r="BU2092" s="153"/>
      <c r="BV2092" s="153"/>
      <c r="BW2092" s="153"/>
      <c r="BX2092" s="153"/>
      <c r="BY2092" s="153"/>
      <c r="BZ2092" s="153"/>
      <c r="CA2092" s="152"/>
      <c r="CB2092" s="152"/>
    </row>
    <row r="2093" spans="1:80" s="87" customFormat="1" ht="15" x14ac:dyDescent="0.25">
      <c r="A2093" s="152"/>
      <c r="B2093" s="683"/>
      <c r="C2093" s="683"/>
      <c r="D2093" s="698"/>
      <c r="E2093" s="215"/>
      <c r="F2093" s="215"/>
      <c r="G2093" s="153"/>
      <c r="H2093" s="153"/>
      <c r="I2093" s="307">
        <v>18</v>
      </c>
      <c r="J2093" s="307">
        <v>60</v>
      </c>
      <c r="K2093" s="307">
        <v>1</v>
      </c>
      <c r="L2093" s="656">
        <v>18</v>
      </c>
      <c r="M2093" s="663">
        <v>34506</v>
      </c>
      <c r="N2093" s="600">
        <v>0.46716450000000004</v>
      </c>
      <c r="O2093" s="604">
        <v>2.6869760000000002E-4</v>
      </c>
      <c r="P2093" s="150"/>
      <c r="Q2093" s="250"/>
      <c r="R2093" s="250"/>
      <c r="S2093" s="250"/>
      <c r="T2093" s="250">
        <v>2.2700000000000001E-2</v>
      </c>
      <c r="U2093" s="250">
        <v>0.31809999999999999</v>
      </c>
      <c r="V2093" s="250">
        <v>0.36359999999999998</v>
      </c>
      <c r="W2093" s="250">
        <v>0.18179999999999999</v>
      </c>
      <c r="X2093" s="502">
        <v>0.11359999999999999</v>
      </c>
      <c r="Y2093" s="250" t="s">
        <v>29</v>
      </c>
      <c r="Z2093" s="150"/>
      <c r="AA2093" s="223">
        <v>1.4767557640991147</v>
      </c>
      <c r="AB2093" s="152"/>
      <c r="AC2093" s="152"/>
      <c r="AD2093" s="223">
        <v>5.0292000000000003</v>
      </c>
      <c r="AE2093" s="223">
        <v>0.16764000000000001</v>
      </c>
      <c r="AF2093" s="223">
        <v>0.84263057280000009</v>
      </c>
      <c r="AG2093" s="223">
        <v>0.55473600000000001</v>
      </c>
      <c r="AH2093" s="341"/>
      <c r="AI2093" s="218"/>
      <c r="AJ2093" s="218"/>
      <c r="AK2093" s="153"/>
      <c r="AL2093" s="152"/>
      <c r="AM2093" s="152"/>
      <c r="AN2093" s="152"/>
      <c r="AO2093" s="152"/>
      <c r="AP2093" s="152"/>
      <c r="AQ2093" s="152"/>
      <c r="AR2093" s="152"/>
      <c r="AS2093" s="152"/>
      <c r="AT2093" s="152"/>
      <c r="AU2093" s="153"/>
      <c r="AV2093" s="479"/>
      <c r="AW2093" s="479"/>
      <c r="AX2093" s="442"/>
      <c r="AY2093" s="153"/>
      <c r="AZ2093" s="152"/>
      <c r="BA2093" s="152"/>
      <c r="BB2093" s="152"/>
      <c r="BC2093" s="152"/>
      <c r="BD2093" s="152"/>
      <c r="BE2093" s="152"/>
      <c r="BF2093" s="152"/>
      <c r="BG2093" s="152"/>
      <c r="BH2093" s="152"/>
      <c r="BI2093" s="153"/>
      <c r="BJ2093" s="153"/>
      <c r="BK2093" s="153"/>
      <c r="BL2093" s="153"/>
      <c r="BM2093" s="153"/>
      <c r="BN2093" s="153"/>
      <c r="BO2093" s="153"/>
      <c r="BP2093" s="153"/>
      <c r="BQ2093" s="153"/>
      <c r="BR2093" s="153"/>
      <c r="BS2093" s="153"/>
      <c r="BT2093" s="153"/>
      <c r="BU2093" s="153"/>
      <c r="BV2093" s="153"/>
      <c r="BW2093" s="153"/>
      <c r="BX2093" s="153"/>
      <c r="BY2093" s="153"/>
      <c r="BZ2093" s="153"/>
      <c r="CA2093" s="152"/>
      <c r="CB2093" s="152"/>
    </row>
    <row r="2094" spans="1:80" s="87" customFormat="1" ht="15" x14ac:dyDescent="0.25">
      <c r="A2094" s="152"/>
      <c r="B2094" s="683"/>
      <c r="C2094" s="683"/>
      <c r="D2094" s="698"/>
      <c r="E2094" s="215"/>
      <c r="F2094" s="215"/>
      <c r="G2094" s="153"/>
      <c r="H2094" s="153"/>
      <c r="I2094" s="307">
        <v>17</v>
      </c>
      <c r="J2094" s="307">
        <v>60</v>
      </c>
      <c r="K2094" s="307">
        <v>1</v>
      </c>
      <c r="L2094" s="656">
        <v>17</v>
      </c>
      <c r="M2094" s="663">
        <v>34514</v>
      </c>
      <c r="N2094" s="600">
        <v>0.42752630000000003</v>
      </c>
      <c r="O2094" s="604">
        <v>9.0370559999999997E-4</v>
      </c>
      <c r="P2094" s="150"/>
      <c r="Q2094" s="250"/>
      <c r="R2094" s="250"/>
      <c r="S2094" s="250">
        <v>6.9400000000000003E-2</v>
      </c>
      <c r="T2094" s="250">
        <v>4.1599999999999998E-2</v>
      </c>
      <c r="U2094" s="250">
        <v>0.1527</v>
      </c>
      <c r="V2094" s="250">
        <v>0.27079999999999999</v>
      </c>
      <c r="W2094" s="250">
        <v>0.27079999999999999</v>
      </c>
      <c r="X2094" s="502">
        <v>0.19440000000000002</v>
      </c>
      <c r="Y2094" s="250" t="s">
        <v>29</v>
      </c>
      <c r="Z2094" s="150"/>
      <c r="AA2094" s="223">
        <v>1.0927430555596827</v>
      </c>
      <c r="AB2094" s="152"/>
      <c r="AC2094" s="152"/>
      <c r="AD2094" s="223">
        <v>4.8768000000000002</v>
      </c>
      <c r="AE2094" s="223">
        <v>0.16764000000000001</v>
      </c>
      <c r="AF2094" s="223">
        <v>0.81661772160000001</v>
      </c>
      <c r="AG2094" s="223">
        <v>0.52425600000000006</v>
      </c>
      <c r="AH2094" s="341"/>
      <c r="AI2094" s="218"/>
      <c r="AJ2094" s="218"/>
      <c r="AK2094" s="153"/>
      <c r="AL2094" s="152"/>
      <c r="AM2094" s="152"/>
      <c r="AN2094" s="152"/>
      <c r="AO2094" s="152"/>
      <c r="AP2094" s="152"/>
      <c r="AQ2094" s="152"/>
      <c r="AR2094" s="152"/>
      <c r="AS2094" s="152"/>
      <c r="AT2094" s="152"/>
      <c r="AU2094" s="153"/>
      <c r="AV2094" s="479"/>
      <c r="AW2094" s="479"/>
      <c r="AX2094" s="442"/>
      <c r="AY2094" s="153"/>
      <c r="AZ2094" s="152"/>
      <c r="BA2094" s="152"/>
      <c r="BB2094" s="152"/>
      <c r="BC2094" s="152"/>
      <c r="BD2094" s="152"/>
      <c r="BE2094" s="152"/>
      <c r="BF2094" s="152"/>
      <c r="BG2094" s="152"/>
      <c r="BH2094" s="152"/>
      <c r="BI2094" s="153"/>
      <c r="BJ2094" s="153"/>
      <c r="BK2094" s="153"/>
      <c r="BL2094" s="153"/>
      <c r="BM2094" s="153"/>
      <c r="BN2094" s="153"/>
      <c r="BO2094" s="153"/>
      <c r="BP2094" s="153"/>
      <c r="BQ2094" s="153"/>
      <c r="BR2094" s="153"/>
      <c r="BS2094" s="153"/>
      <c r="BT2094" s="153"/>
      <c r="BU2094" s="153"/>
      <c r="BV2094" s="153"/>
      <c r="BW2094" s="153"/>
      <c r="BX2094" s="153"/>
      <c r="BY2094" s="153"/>
      <c r="BZ2094" s="153"/>
      <c r="CA2094" s="152"/>
      <c r="CB2094" s="152"/>
    </row>
    <row r="2095" spans="1:80" s="87" customFormat="1" ht="15" x14ac:dyDescent="0.25">
      <c r="A2095" s="152"/>
      <c r="B2095" s="683"/>
      <c r="C2095" s="683"/>
      <c r="D2095" s="698"/>
      <c r="E2095" s="215"/>
      <c r="F2095" s="215"/>
      <c r="G2095" s="153"/>
      <c r="H2095" s="153"/>
      <c r="I2095" s="307">
        <v>17</v>
      </c>
      <c r="J2095" s="307">
        <v>60</v>
      </c>
      <c r="K2095" s="307">
        <v>1</v>
      </c>
      <c r="L2095" s="656">
        <v>17</v>
      </c>
      <c r="M2095" s="663">
        <v>34514</v>
      </c>
      <c r="N2095" s="600">
        <v>0.42752630000000003</v>
      </c>
      <c r="O2095" s="604">
        <v>8.5332479999999998E-4</v>
      </c>
      <c r="P2095" s="150"/>
      <c r="Q2095" s="250"/>
      <c r="R2095" s="250"/>
      <c r="S2095" s="250"/>
      <c r="T2095" s="250">
        <v>0.1691</v>
      </c>
      <c r="U2095" s="250">
        <v>0.14699999999999999</v>
      </c>
      <c r="V2095" s="250">
        <v>0.26469999999999999</v>
      </c>
      <c r="W2095" s="250">
        <v>0.2205</v>
      </c>
      <c r="X2095" s="502">
        <v>0.19839999999999999</v>
      </c>
      <c r="Y2095" s="250" t="s">
        <v>29</v>
      </c>
      <c r="Z2095" s="150"/>
      <c r="AA2095" s="223">
        <v>1.2361192315601921</v>
      </c>
      <c r="AB2095" s="152"/>
      <c r="AC2095" s="152"/>
      <c r="AD2095" s="223">
        <v>4.8768000000000002</v>
      </c>
      <c r="AE2095" s="223">
        <v>0.16764000000000001</v>
      </c>
      <c r="AF2095" s="223">
        <v>0.81661772160000001</v>
      </c>
      <c r="AG2095" s="223">
        <v>0.52425600000000006</v>
      </c>
      <c r="AH2095" s="341"/>
      <c r="AI2095" s="218"/>
      <c r="AJ2095" s="218"/>
      <c r="AK2095" s="153"/>
      <c r="AL2095" s="152"/>
      <c r="AM2095" s="152"/>
      <c r="AN2095" s="152"/>
      <c r="AO2095" s="152"/>
      <c r="AP2095" s="152"/>
      <c r="AQ2095" s="152"/>
      <c r="AR2095" s="152"/>
      <c r="AS2095" s="152"/>
      <c r="AT2095" s="152"/>
      <c r="AU2095" s="153"/>
      <c r="AV2095" s="479"/>
      <c r="AW2095" s="479"/>
      <c r="AX2095" s="442"/>
      <c r="AY2095" s="153"/>
      <c r="AZ2095" s="152"/>
      <c r="BA2095" s="152"/>
      <c r="BB2095" s="152"/>
      <c r="BC2095" s="152"/>
      <c r="BD2095" s="152"/>
      <c r="BE2095" s="152"/>
      <c r="BF2095" s="152"/>
      <c r="BG2095" s="152"/>
      <c r="BH2095" s="152"/>
      <c r="BI2095" s="153"/>
      <c r="BJ2095" s="153"/>
      <c r="BK2095" s="153"/>
      <c r="BL2095" s="153"/>
      <c r="BM2095" s="153"/>
      <c r="BN2095" s="153"/>
      <c r="BO2095" s="153"/>
      <c r="BP2095" s="153"/>
      <c r="BQ2095" s="153"/>
      <c r="BR2095" s="153"/>
      <c r="BS2095" s="153"/>
      <c r="BT2095" s="153"/>
      <c r="BU2095" s="153"/>
      <c r="BV2095" s="153"/>
      <c r="BW2095" s="153"/>
      <c r="BX2095" s="153"/>
      <c r="BY2095" s="153"/>
      <c r="BZ2095" s="153"/>
      <c r="CA2095" s="152"/>
      <c r="CB2095" s="152"/>
    </row>
    <row r="2096" spans="1:80" s="87" customFormat="1" ht="15" x14ac:dyDescent="0.25">
      <c r="A2096" s="152"/>
      <c r="B2096" s="683"/>
      <c r="C2096" s="683"/>
      <c r="D2096" s="698"/>
      <c r="E2096" s="215"/>
      <c r="F2096" s="215"/>
      <c r="G2096" s="153"/>
      <c r="H2096" s="153"/>
      <c r="I2096" s="307">
        <v>17</v>
      </c>
      <c r="J2096" s="307">
        <v>60</v>
      </c>
      <c r="K2096" s="307">
        <v>1</v>
      </c>
      <c r="L2096" s="656">
        <v>17</v>
      </c>
      <c r="M2096" s="663">
        <v>34522</v>
      </c>
      <c r="N2096" s="600">
        <v>0.43885150000000001</v>
      </c>
      <c r="O2096" s="604">
        <v>2.2251519999999999E-4</v>
      </c>
      <c r="P2096" s="150"/>
      <c r="Q2096" s="250"/>
      <c r="R2096" s="250"/>
      <c r="S2096" s="250"/>
      <c r="T2096" s="250"/>
      <c r="U2096" s="250">
        <v>0.1176</v>
      </c>
      <c r="V2096" s="250">
        <v>0.29410000000000003</v>
      </c>
      <c r="W2096" s="250">
        <v>0.23519999999999999</v>
      </c>
      <c r="X2096" s="502">
        <v>0.35289999999999999</v>
      </c>
      <c r="Y2096" s="250" t="s">
        <v>29</v>
      </c>
      <c r="Z2096" s="150"/>
      <c r="AA2096" s="223">
        <v>0.77110541270397071</v>
      </c>
      <c r="AB2096" s="152"/>
      <c r="AC2096" s="152"/>
      <c r="AD2096" s="223">
        <v>5.09016</v>
      </c>
      <c r="AE2096" s="223">
        <v>0.16459200000000002</v>
      </c>
      <c r="AF2096" s="223">
        <v>0.83334026880000012</v>
      </c>
      <c r="AG2096" s="223">
        <v>0.52730399999999999</v>
      </c>
      <c r="AH2096" s="341"/>
      <c r="AI2096" s="218"/>
      <c r="AJ2096" s="218"/>
      <c r="AK2096" s="153"/>
      <c r="AL2096" s="152"/>
      <c r="AM2096" s="152"/>
      <c r="AN2096" s="152"/>
      <c r="AO2096" s="152"/>
      <c r="AP2096" s="152"/>
      <c r="AQ2096" s="152"/>
      <c r="AR2096" s="152"/>
      <c r="AS2096" s="152"/>
      <c r="AT2096" s="152"/>
      <c r="AU2096" s="153"/>
      <c r="AV2096" s="479"/>
      <c r="AW2096" s="479"/>
      <c r="AX2096" s="442"/>
      <c r="AY2096" s="153"/>
      <c r="AZ2096" s="152"/>
      <c r="BA2096" s="152"/>
      <c r="BB2096" s="152"/>
      <c r="BC2096" s="152"/>
      <c r="BD2096" s="152"/>
      <c r="BE2096" s="152"/>
      <c r="BF2096" s="152"/>
      <c r="BG2096" s="152"/>
      <c r="BH2096" s="152"/>
      <c r="BI2096" s="153"/>
      <c r="BJ2096" s="153"/>
      <c r="BK2096" s="153"/>
      <c r="BL2096" s="153"/>
      <c r="BM2096" s="153"/>
      <c r="BN2096" s="153"/>
      <c r="BO2096" s="153"/>
      <c r="BP2096" s="153"/>
      <c r="BQ2096" s="153"/>
      <c r="BR2096" s="153"/>
      <c r="BS2096" s="153"/>
      <c r="BT2096" s="153"/>
      <c r="BU2096" s="153"/>
      <c r="BV2096" s="153"/>
      <c r="BW2096" s="153"/>
      <c r="BX2096" s="153"/>
      <c r="BY2096" s="153"/>
      <c r="BZ2096" s="153"/>
      <c r="CA2096" s="152"/>
      <c r="CB2096" s="152"/>
    </row>
    <row r="2097" spans="1:80" s="87" customFormat="1" ht="15" x14ac:dyDescent="0.25">
      <c r="A2097" s="152"/>
      <c r="B2097" s="683"/>
      <c r="C2097" s="683"/>
      <c r="D2097" s="698"/>
      <c r="E2097" s="215"/>
      <c r="F2097" s="215"/>
      <c r="G2097" s="153"/>
      <c r="H2097" s="153"/>
      <c r="I2097" s="307">
        <v>17</v>
      </c>
      <c r="J2097" s="307">
        <v>60</v>
      </c>
      <c r="K2097" s="307">
        <v>1</v>
      </c>
      <c r="L2097" s="656">
        <v>17</v>
      </c>
      <c r="M2097" s="663">
        <v>34522</v>
      </c>
      <c r="N2097" s="600">
        <v>0.43885150000000001</v>
      </c>
      <c r="O2097" s="604">
        <v>5.1115519999999997E-4</v>
      </c>
      <c r="P2097" s="150"/>
      <c r="Q2097" s="250"/>
      <c r="R2097" s="250"/>
      <c r="S2097" s="250"/>
      <c r="T2097" s="250">
        <v>2.5600000000000001E-2</v>
      </c>
      <c r="U2097" s="250">
        <v>0.1153</v>
      </c>
      <c r="V2097" s="250">
        <v>0.25640000000000002</v>
      </c>
      <c r="W2097" s="250">
        <v>0.28199999999999997</v>
      </c>
      <c r="X2097" s="502">
        <v>0.32040000000000002</v>
      </c>
      <c r="Y2097" s="250" t="s">
        <v>29</v>
      </c>
      <c r="Z2097" s="150"/>
      <c r="AA2097" s="223">
        <v>0.77719445756572347</v>
      </c>
      <c r="AB2097" s="152"/>
      <c r="AC2097" s="152"/>
      <c r="AD2097" s="223">
        <v>5.09016</v>
      </c>
      <c r="AE2097" s="223">
        <v>0.16459200000000002</v>
      </c>
      <c r="AF2097" s="223">
        <v>0.83334026880000012</v>
      </c>
      <c r="AG2097" s="223">
        <v>0.52730399999999999</v>
      </c>
      <c r="AH2097" s="341"/>
      <c r="AI2097" s="218"/>
      <c r="AJ2097" s="218"/>
      <c r="AK2097" s="153"/>
      <c r="AL2097" s="152"/>
      <c r="AM2097" s="152"/>
      <c r="AN2097" s="152"/>
      <c r="AO2097" s="152"/>
      <c r="AP2097" s="152"/>
      <c r="AQ2097" s="152"/>
      <c r="AR2097" s="152"/>
      <c r="AS2097" s="152"/>
      <c r="AT2097" s="152"/>
      <c r="AU2097" s="153"/>
      <c r="AV2097" s="479"/>
      <c r="AW2097" s="479"/>
      <c r="AX2097" s="442"/>
      <c r="AY2097" s="153"/>
      <c r="AZ2097" s="152"/>
      <c r="BA2097" s="152"/>
      <c r="BB2097" s="152"/>
      <c r="BC2097" s="152"/>
      <c r="BD2097" s="152"/>
      <c r="BE2097" s="152"/>
      <c r="BF2097" s="152"/>
      <c r="BG2097" s="152"/>
      <c r="BH2097" s="152"/>
      <c r="BI2097" s="153"/>
      <c r="BJ2097" s="153"/>
      <c r="BK2097" s="153"/>
      <c r="BL2097" s="153"/>
      <c r="BM2097" s="153"/>
      <c r="BN2097" s="153"/>
      <c r="BO2097" s="153"/>
      <c r="BP2097" s="153"/>
      <c r="BQ2097" s="153"/>
      <c r="BR2097" s="153"/>
      <c r="BS2097" s="153"/>
      <c r="BT2097" s="153"/>
      <c r="BU2097" s="153"/>
      <c r="BV2097" s="153"/>
      <c r="BW2097" s="153"/>
      <c r="BX2097" s="153"/>
      <c r="BY2097" s="153"/>
      <c r="BZ2097" s="153"/>
      <c r="CA2097" s="152"/>
      <c r="CB2097" s="152"/>
    </row>
    <row r="2098" spans="1:80" s="87" customFormat="1" ht="15" x14ac:dyDescent="0.25">
      <c r="A2098" s="152"/>
      <c r="B2098" s="683"/>
      <c r="C2098" s="683"/>
      <c r="D2098" s="698"/>
      <c r="E2098" s="215"/>
      <c r="F2098" s="215"/>
      <c r="G2098" s="153"/>
      <c r="H2098" s="153"/>
      <c r="I2098" s="307">
        <v>17</v>
      </c>
      <c r="J2098" s="307">
        <v>60</v>
      </c>
      <c r="K2098" s="307">
        <v>1</v>
      </c>
      <c r="L2098" s="656">
        <v>17</v>
      </c>
      <c r="M2098" s="663">
        <v>34535</v>
      </c>
      <c r="N2098" s="600">
        <v>0.3737316</v>
      </c>
      <c r="O2098" s="604">
        <v>3.3902080000000005E-4</v>
      </c>
      <c r="P2098" s="150"/>
      <c r="Q2098" s="250"/>
      <c r="R2098" s="250"/>
      <c r="S2098" s="250"/>
      <c r="T2098" s="250"/>
      <c r="U2098" s="250">
        <v>0.18179999999999999</v>
      </c>
      <c r="V2098" s="250">
        <v>0.2727</v>
      </c>
      <c r="W2098" s="250">
        <v>0.29089999999999999</v>
      </c>
      <c r="X2098" s="502">
        <v>0.25439999999999996</v>
      </c>
      <c r="Y2098" s="250" t="s">
        <v>29</v>
      </c>
      <c r="Z2098" s="150"/>
      <c r="AA2098" s="223">
        <v>0.89101194937920414</v>
      </c>
      <c r="AB2098" s="152"/>
      <c r="AC2098" s="152"/>
      <c r="AD2098" s="223">
        <v>4.7853599999999998</v>
      </c>
      <c r="AE2098" s="223">
        <v>0.15849600000000003</v>
      </c>
      <c r="AF2098" s="223">
        <v>0.75994686720000004</v>
      </c>
      <c r="AG2098" s="223">
        <v>0.49377600000000005</v>
      </c>
      <c r="AH2098" s="341"/>
      <c r="AI2098" s="218"/>
      <c r="AJ2098" s="218"/>
      <c r="AK2098" s="153"/>
      <c r="AL2098" s="152"/>
      <c r="AM2098" s="152"/>
      <c r="AN2098" s="152"/>
      <c r="AO2098" s="152"/>
      <c r="AP2098" s="152"/>
      <c r="AQ2098" s="152"/>
      <c r="AR2098" s="152"/>
      <c r="AS2098" s="152"/>
      <c r="AT2098" s="152"/>
      <c r="AU2098" s="153"/>
      <c r="AV2098" s="479"/>
      <c r="AW2098" s="479"/>
      <c r="AX2098" s="442"/>
      <c r="AY2098" s="153"/>
      <c r="AZ2098" s="152"/>
      <c r="BA2098" s="152"/>
      <c r="BB2098" s="152"/>
      <c r="BC2098" s="152"/>
      <c r="BD2098" s="152"/>
      <c r="BE2098" s="152"/>
      <c r="BF2098" s="152"/>
      <c r="BG2098" s="152"/>
      <c r="BH2098" s="152"/>
      <c r="BI2098" s="153"/>
      <c r="BJ2098" s="153"/>
      <c r="BK2098" s="153"/>
      <c r="BL2098" s="153"/>
      <c r="BM2098" s="153"/>
      <c r="BN2098" s="153"/>
      <c r="BO2098" s="153"/>
      <c r="BP2098" s="153"/>
      <c r="BQ2098" s="153"/>
      <c r="BR2098" s="153"/>
      <c r="BS2098" s="153"/>
      <c r="BT2098" s="153"/>
      <c r="BU2098" s="153"/>
      <c r="BV2098" s="153"/>
      <c r="BW2098" s="153"/>
      <c r="BX2098" s="153"/>
      <c r="BY2098" s="153"/>
      <c r="BZ2098" s="153"/>
      <c r="CA2098" s="152"/>
      <c r="CB2098" s="152"/>
    </row>
    <row r="2099" spans="1:80" s="87" customFormat="1" ht="15" x14ac:dyDescent="0.25">
      <c r="A2099" s="152"/>
      <c r="B2099" s="683"/>
      <c r="C2099" s="683"/>
      <c r="D2099" s="698"/>
      <c r="E2099" s="215"/>
      <c r="F2099" s="215"/>
      <c r="G2099" s="153"/>
      <c r="H2099" s="153"/>
      <c r="I2099" s="307">
        <v>17</v>
      </c>
      <c r="J2099" s="307">
        <v>60</v>
      </c>
      <c r="K2099" s="307">
        <v>1</v>
      </c>
      <c r="L2099" s="656">
        <v>17</v>
      </c>
      <c r="M2099" s="663">
        <v>34535</v>
      </c>
      <c r="N2099" s="600">
        <v>0.3737316</v>
      </c>
      <c r="O2099" s="604">
        <v>7.3891840000000006E-5</v>
      </c>
      <c r="P2099" s="150"/>
      <c r="Q2099" s="250"/>
      <c r="R2099" s="250"/>
      <c r="S2099" s="250"/>
      <c r="T2099" s="250"/>
      <c r="U2099" s="250">
        <v>0.25</v>
      </c>
      <c r="V2099" s="250">
        <v>0.25</v>
      </c>
      <c r="W2099" s="250">
        <v>0.25</v>
      </c>
      <c r="X2099" s="502">
        <v>0.25</v>
      </c>
      <c r="Y2099" s="250" t="s">
        <v>29</v>
      </c>
      <c r="Z2099" s="150"/>
      <c r="AA2099" s="223">
        <v>1</v>
      </c>
      <c r="AB2099" s="152"/>
      <c r="AC2099" s="152"/>
      <c r="AD2099" s="223">
        <v>4.7853599999999998</v>
      </c>
      <c r="AE2099" s="223">
        <v>0.15849600000000003</v>
      </c>
      <c r="AF2099" s="223">
        <v>0.75994686720000004</v>
      </c>
      <c r="AG2099" s="223">
        <v>0.49377600000000005</v>
      </c>
      <c r="AH2099" s="341"/>
      <c r="AI2099" s="218"/>
      <c r="AJ2099" s="218"/>
      <c r="AK2099" s="153"/>
      <c r="AL2099" s="152"/>
      <c r="AM2099" s="152"/>
      <c r="AN2099" s="152"/>
      <c r="AO2099" s="152"/>
      <c r="AP2099" s="152"/>
      <c r="AQ2099" s="152"/>
      <c r="AR2099" s="152"/>
      <c r="AS2099" s="152"/>
      <c r="AT2099" s="152"/>
      <c r="AU2099" s="153"/>
      <c r="AV2099" s="479"/>
      <c r="AW2099" s="479"/>
      <c r="AX2099" s="442"/>
      <c r="AY2099" s="153"/>
      <c r="AZ2099" s="152"/>
      <c r="BA2099" s="152"/>
      <c r="BB2099" s="152"/>
      <c r="BC2099" s="152"/>
      <c r="BD2099" s="152"/>
      <c r="BE2099" s="152"/>
      <c r="BF2099" s="152"/>
      <c r="BG2099" s="152"/>
      <c r="BH2099" s="152"/>
      <c r="BI2099" s="153"/>
      <c r="BJ2099" s="153"/>
      <c r="BK2099" s="153"/>
      <c r="BL2099" s="153"/>
      <c r="BM2099" s="153"/>
      <c r="BN2099" s="153"/>
      <c r="BO2099" s="153"/>
      <c r="BP2099" s="153"/>
      <c r="BQ2099" s="153"/>
      <c r="BR2099" s="153"/>
      <c r="BS2099" s="153"/>
      <c r="BT2099" s="153"/>
      <c r="BU2099" s="153"/>
      <c r="BV2099" s="153"/>
      <c r="BW2099" s="153"/>
      <c r="BX2099" s="153"/>
      <c r="BY2099" s="153"/>
      <c r="BZ2099" s="153"/>
      <c r="CA2099" s="152"/>
      <c r="CB2099" s="152"/>
    </row>
    <row r="2100" spans="1:80" s="87" customFormat="1" ht="15" x14ac:dyDescent="0.25">
      <c r="A2100" s="152"/>
      <c r="B2100" s="683"/>
      <c r="C2100" s="683"/>
      <c r="D2100" s="698"/>
      <c r="E2100" s="215"/>
      <c r="F2100" s="215"/>
      <c r="G2100" s="153"/>
      <c r="H2100" s="153"/>
      <c r="I2100" s="307">
        <v>17</v>
      </c>
      <c r="J2100" s="307">
        <v>60</v>
      </c>
      <c r="K2100" s="307">
        <v>1</v>
      </c>
      <c r="L2100" s="656">
        <v>17</v>
      </c>
      <c r="M2100" s="663">
        <v>34548</v>
      </c>
      <c r="N2100" s="600">
        <v>0.41903240000000003</v>
      </c>
      <c r="O2100" s="604">
        <v>3.3797120000000002E-4</v>
      </c>
      <c r="P2100" s="150"/>
      <c r="Q2100" s="250"/>
      <c r="R2100" s="250"/>
      <c r="S2100" s="250"/>
      <c r="T2100" s="250">
        <v>0.1923</v>
      </c>
      <c r="U2100" s="250">
        <v>0.26919999999999999</v>
      </c>
      <c r="V2100" s="250">
        <v>0.25</v>
      </c>
      <c r="W2100" s="250">
        <v>0.15380000000000002</v>
      </c>
      <c r="X2100" s="502">
        <v>0.1346</v>
      </c>
      <c r="Y2100" s="250" t="s">
        <v>29</v>
      </c>
      <c r="Z2100" s="150"/>
      <c r="AA2100" s="223">
        <v>1.7977594583280518</v>
      </c>
      <c r="AB2100" s="152"/>
      <c r="AC2100" s="152"/>
      <c r="AD2100" s="223">
        <v>5.0596800000000011</v>
      </c>
      <c r="AE2100" s="223">
        <v>0.16154400000000002</v>
      </c>
      <c r="AF2100" s="223">
        <v>0.81568869119999998</v>
      </c>
      <c r="AG2100" s="223">
        <v>0.51206399999999996</v>
      </c>
      <c r="AH2100" s="341"/>
      <c r="AI2100" s="218"/>
      <c r="AJ2100" s="218"/>
      <c r="AK2100" s="153"/>
      <c r="AL2100" s="152"/>
      <c r="AM2100" s="152"/>
      <c r="AN2100" s="152"/>
      <c r="AO2100" s="152"/>
      <c r="AP2100" s="152"/>
      <c r="AQ2100" s="152"/>
      <c r="AR2100" s="152"/>
      <c r="AS2100" s="152"/>
      <c r="AT2100" s="152"/>
      <c r="AU2100" s="153"/>
      <c r="AV2100" s="479"/>
      <c r="AW2100" s="479"/>
      <c r="AX2100" s="442"/>
      <c r="AY2100" s="153"/>
      <c r="AZ2100" s="152"/>
      <c r="BA2100" s="152"/>
      <c r="BB2100" s="152"/>
      <c r="BC2100" s="152"/>
      <c r="BD2100" s="152"/>
      <c r="BE2100" s="152"/>
      <c r="BF2100" s="152"/>
      <c r="BG2100" s="152"/>
      <c r="BH2100" s="152"/>
      <c r="BI2100" s="153"/>
      <c r="BJ2100" s="153"/>
      <c r="BK2100" s="153"/>
      <c r="BL2100" s="153"/>
      <c r="BM2100" s="153"/>
      <c r="BN2100" s="153"/>
      <c r="BO2100" s="153"/>
      <c r="BP2100" s="153"/>
      <c r="BQ2100" s="153"/>
      <c r="BR2100" s="153"/>
      <c r="BS2100" s="153"/>
      <c r="BT2100" s="153"/>
      <c r="BU2100" s="153"/>
      <c r="BV2100" s="153"/>
      <c r="BW2100" s="153"/>
      <c r="BX2100" s="153"/>
      <c r="BY2100" s="153"/>
      <c r="BZ2100" s="153"/>
      <c r="CA2100" s="152"/>
      <c r="CB2100" s="152"/>
    </row>
    <row r="2101" spans="1:80" s="87" customFormat="1" ht="15" x14ac:dyDescent="0.25">
      <c r="A2101" s="152"/>
      <c r="B2101" s="683"/>
      <c r="C2101" s="683"/>
      <c r="D2101" s="698"/>
      <c r="E2101" s="215"/>
      <c r="F2101" s="215"/>
      <c r="G2101" s="153"/>
      <c r="H2101" s="153"/>
      <c r="I2101" s="307">
        <v>17</v>
      </c>
      <c r="J2101" s="307">
        <v>60</v>
      </c>
      <c r="K2101" s="307">
        <v>1</v>
      </c>
      <c r="L2101" s="656">
        <v>17</v>
      </c>
      <c r="M2101" s="663">
        <v>34548</v>
      </c>
      <c r="N2101" s="600">
        <v>0.41903240000000003</v>
      </c>
      <c r="O2101" s="604">
        <v>1.7570304000000001E-4</v>
      </c>
      <c r="P2101" s="150"/>
      <c r="Q2101" s="250"/>
      <c r="R2101" s="250"/>
      <c r="S2101" s="250"/>
      <c r="T2101" s="250">
        <v>7.400000000000001E-2</v>
      </c>
      <c r="U2101" s="250">
        <v>0.29620000000000002</v>
      </c>
      <c r="V2101" s="250">
        <v>0.29620000000000002</v>
      </c>
      <c r="W2101" s="250">
        <v>0.18510000000000001</v>
      </c>
      <c r="X2101" s="502">
        <v>0.14810000000000001</v>
      </c>
      <c r="Y2101" s="250" t="s">
        <v>29</v>
      </c>
      <c r="Z2101" s="150"/>
      <c r="AA2101" s="223">
        <v>1.4767829469646709</v>
      </c>
      <c r="AB2101" s="152"/>
      <c r="AC2101" s="152"/>
      <c r="AD2101" s="223">
        <v>5.0596800000000011</v>
      </c>
      <c r="AE2101" s="223">
        <v>0.16154400000000002</v>
      </c>
      <c r="AF2101" s="223">
        <v>0.81568869119999998</v>
      </c>
      <c r="AG2101" s="223">
        <v>0.51206399999999996</v>
      </c>
      <c r="AH2101" s="341"/>
      <c r="AI2101" s="218"/>
      <c r="AJ2101" s="218"/>
      <c r="AK2101" s="153"/>
      <c r="AL2101" s="152"/>
      <c r="AM2101" s="152"/>
      <c r="AN2101" s="152"/>
      <c r="AO2101" s="152"/>
      <c r="AP2101" s="152"/>
      <c r="AQ2101" s="152"/>
      <c r="AR2101" s="152"/>
      <c r="AS2101" s="152"/>
      <c r="AT2101" s="152"/>
      <c r="AU2101" s="153"/>
      <c r="AV2101" s="479"/>
      <c r="AW2101" s="479"/>
      <c r="AX2101" s="442"/>
      <c r="AY2101" s="153"/>
      <c r="AZ2101" s="152"/>
      <c r="BA2101" s="152"/>
      <c r="BB2101" s="152"/>
      <c r="BC2101" s="152"/>
      <c r="BD2101" s="152"/>
      <c r="BE2101" s="152"/>
      <c r="BF2101" s="152"/>
      <c r="BG2101" s="152"/>
      <c r="BH2101" s="152"/>
      <c r="BI2101" s="153"/>
      <c r="BJ2101" s="153"/>
      <c r="BK2101" s="153"/>
      <c r="BL2101" s="153"/>
      <c r="BM2101" s="153"/>
      <c r="BN2101" s="153"/>
      <c r="BO2101" s="153"/>
      <c r="BP2101" s="153"/>
      <c r="BQ2101" s="153"/>
      <c r="BR2101" s="153"/>
      <c r="BS2101" s="153"/>
      <c r="BT2101" s="153"/>
      <c r="BU2101" s="153"/>
      <c r="BV2101" s="153"/>
      <c r="BW2101" s="153"/>
      <c r="BX2101" s="153"/>
      <c r="BY2101" s="153"/>
      <c r="BZ2101" s="153"/>
      <c r="CA2101" s="152"/>
      <c r="CB2101" s="152"/>
    </row>
    <row r="2102" spans="1:80" s="87" customFormat="1" ht="15" x14ac:dyDescent="0.25">
      <c r="A2102" s="152"/>
      <c r="B2102" s="683"/>
      <c r="C2102" s="683"/>
      <c r="D2102" s="698"/>
      <c r="E2102" s="215"/>
      <c r="F2102" s="215"/>
      <c r="G2102" s="153"/>
      <c r="H2102" s="153"/>
      <c r="I2102" s="307">
        <v>20</v>
      </c>
      <c r="J2102" s="307">
        <v>60</v>
      </c>
      <c r="K2102" s="307">
        <v>1</v>
      </c>
      <c r="L2102" s="656">
        <v>20</v>
      </c>
      <c r="M2102" s="663">
        <v>34613</v>
      </c>
      <c r="N2102" s="600">
        <v>0.39355070000000003</v>
      </c>
      <c r="O2102" s="604">
        <v>1.5764992E-4</v>
      </c>
      <c r="P2102" s="150"/>
      <c r="Q2102" s="250"/>
      <c r="R2102" s="250"/>
      <c r="S2102" s="250"/>
      <c r="T2102" s="250"/>
      <c r="U2102" s="250">
        <v>0.23070000000000002</v>
      </c>
      <c r="V2102" s="250">
        <v>0.30760000000000004</v>
      </c>
      <c r="W2102" s="250">
        <v>0.26919999999999999</v>
      </c>
      <c r="X2102" s="502">
        <v>0.1923</v>
      </c>
      <c r="Y2102" s="250" t="s">
        <v>29</v>
      </c>
      <c r="Z2102" s="150"/>
      <c r="AA2102" s="223">
        <v>1.0903848718428972</v>
      </c>
      <c r="AB2102" s="152"/>
      <c r="AC2102" s="152"/>
      <c r="AD2102" s="223">
        <v>5.5473600000000003</v>
      </c>
      <c r="AE2102" s="223">
        <v>0.16764000000000001</v>
      </c>
      <c r="AF2102" s="223">
        <v>0.93553361280000014</v>
      </c>
      <c r="AG2102" s="223">
        <v>0.420624</v>
      </c>
      <c r="AH2102" s="341"/>
      <c r="AI2102" s="218"/>
      <c r="AJ2102" s="218"/>
      <c r="AK2102" s="153"/>
      <c r="AL2102" s="152"/>
      <c r="AM2102" s="152"/>
      <c r="AN2102" s="152"/>
      <c r="AO2102" s="152"/>
      <c r="AP2102" s="152"/>
      <c r="AQ2102" s="152"/>
      <c r="AR2102" s="152"/>
      <c r="AS2102" s="152"/>
      <c r="AT2102" s="152"/>
      <c r="AU2102" s="153"/>
      <c r="AV2102" s="479"/>
      <c r="AW2102" s="479"/>
      <c r="AX2102" s="442"/>
      <c r="AY2102" s="153"/>
      <c r="AZ2102" s="152"/>
      <c r="BA2102" s="152"/>
      <c r="BB2102" s="152"/>
      <c r="BC2102" s="152"/>
      <c r="BD2102" s="152"/>
      <c r="BE2102" s="152"/>
      <c r="BF2102" s="152"/>
      <c r="BG2102" s="152"/>
      <c r="BH2102" s="152"/>
      <c r="BI2102" s="153"/>
      <c r="BJ2102" s="153"/>
      <c r="BK2102" s="153"/>
      <c r="BL2102" s="153"/>
      <c r="BM2102" s="153"/>
      <c r="BN2102" s="153"/>
      <c r="BO2102" s="153"/>
      <c r="BP2102" s="153"/>
      <c r="BQ2102" s="153"/>
      <c r="BR2102" s="153"/>
      <c r="BS2102" s="153"/>
      <c r="BT2102" s="153"/>
      <c r="BU2102" s="153"/>
      <c r="BV2102" s="153"/>
      <c r="BW2102" s="153"/>
      <c r="BX2102" s="153"/>
      <c r="BY2102" s="153"/>
      <c r="BZ2102" s="153"/>
      <c r="CA2102" s="152"/>
      <c r="CB2102" s="152"/>
    </row>
    <row r="2103" spans="1:80" s="87" customFormat="1" ht="15" x14ac:dyDescent="0.25">
      <c r="A2103" s="152"/>
      <c r="B2103" s="683"/>
      <c r="C2103" s="683"/>
      <c r="D2103" s="698"/>
      <c r="E2103" s="215"/>
      <c r="F2103" s="215"/>
      <c r="G2103" s="153"/>
      <c r="H2103" s="153"/>
      <c r="I2103" s="307">
        <v>20</v>
      </c>
      <c r="J2103" s="307">
        <v>60</v>
      </c>
      <c r="K2103" s="307">
        <v>1</v>
      </c>
      <c r="L2103" s="656">
        <v>20</v>
      </c>
      <c r="M2103" s="663">
        <v>34613</v>
      </c>
      <c r="N2103" s="600">
        <v>0.39355070000000003</v>
      </c>
      <c r="O2103" s="604">
        <v>8.5542400000000003E-4</v>
      </c>
      <c r="P2103" s="150"/>
      <c r="Q2103" s="250"/>
      <c r="R2103" s="250"/>
      <c r="S2103" s="250"/>
      <c r="T2103" s="250"/>
      <c r="U2103" s="250">
        <v>0.1134</v>
      </c>
      <c r="V2103" s="250">
        <v>0.39</v>
      </c>
      <c r="W2103" s="250">
        <v>0.26239999999999997</v>
      </c>
      <c r="X2103" s="502">
        <v>0.23399999999999999</v>
      </c>
      <c r="Y2103" s="250" t="s">
        <v>29</v>
      </c>
      <c r="Z2103" s="150"/>
      <c r="AA2103" s="223">
        <v>1.0062399394317534</v>
      </c>
      <c r="AB2103" s="152"/>
      <c r="AC2103" s="152"/>
      <c r="AD2103" s="223">
        <v>5.5473600000000003</v>
      </c>
      <c r="AE2103" s="223">
        <v>0.16764000000000001</v>
      </c>
      <c r="AF2103" s="223">
        <v>0.93553361280000014</v>
      </c>
      <c r="AG2103" s="223">
        <v>0.420624</v>
      </c>
      <c r="AH2103" s="341"/>
      <c r="AI2103" s="218"/>
      <c r="AJ2103" s="218"/>
      <c r="AK2103" s="153"/>
      <c r="AL2103" s="152"/>
      <c r="AM2103" s="152"/>
      <c r="AN2103" s="152"/>
      <c r="AO2103" s="152"/>
      <c r="AP2103" s="152"/>
      <c r="AQ2103" s="152"/>
      <c r="AR2103" s="152"/>
      <c r="AS2103" s="152"/>
      <c r="AT2103" s="152"/>
      <c r="AU2103" s="153"/>
      <c r="AV2103" s="479"/>
      <c r="AW2103" s="479"/>
      <c r="AX2103" s="442"/>
      <c r="AY2103" s="153"/>
      <c r="AZ2103" s="152"/>
      <c r="BA2103" s="152"/>
      <c r="BB2103" s="152"/>
      <c r="BC2103" s="152"/>
      <c r="BD2103" s="152"/>
      <c r="BE2103" s="152"/>
      <c r="BF2103" s="152"/>
      <c r="BG2103" s="152"/>
      <c r="BH2103" s="152"/>
      <c r="BI2103" s="153"/>
      <c r="BJ2103" s="153"/>
      <c r="BK2103" s="153"/>
      <c r="BL2103" s="153"/>
      <c r="BM2103" s="153"/>
      <c r="BN2103" s="153"/>
      <c r="BO2103" s="153"/>
      <c r="BP2103" s="153"/>
      <c r="BQ2103" s="153"/>
      <c r="BR2103" s="153"/>
      <c r="BS2103" s="153"/>
      <c r="BT2103" s="153"/>
      <c r="BU2103" s="153"/>
      <c r="BV2103" s="153"/>
      <c r="BW2103" s="153"/>
      <c r="BX2103" s="153"/>
      <c r="BY2103" s="153"/>
      <c r="BZ2103" s="153"/>
      <c r="CA2103" s="152"/>
      <c r="CB2103" s="152"/>
    </row>
    <row r="2104" spans="1:80" s="87" customFormat="1" ht="15" x14ac:dyDescent="0.25">
      <c r="A2104" s="152"/>
      <c r="B2104" s="683"/>
      <c r="C2104" s="683"/>
      <c r="D2104" s="698"/>
      <c r="E2104" s="215"/>
      <c r="F2104" s="215"/>
      <c r="G2104" s="153"/>
      <c r="H2104" s="153"/>
      <c r="I2104" s="306">
        <v>17</v>
      </c>
      <c r="J2104" s="306">
        <v>60</v>
      </c>
      <c r="K2104" s="306">
        <v>2</v>
      </c>
      <c r="L2104" s="656">
        <v>34</v>
      </c>
      <c r="M2104" s="663">
        <v>34815</v>
      </c>
      <c r="N2104" s="600">
        <v>0.50397140000000007</v>
      </c>
      <c r="O2104" s="604">
        <v>9.8872319999999993E-3</v>
      </c>
      <c r="P2104" s="150"/>
      <c r="Q2104" s="250"/>
      <c r="R2104" s="250"/>
      <c r="S2104" s="250">
        <v>6.9999999999999993E-3</v>
      </c>
      <c r="T2104" s="250">
        <v>4.5999999999999999E-2</v>
      </c>
      <c r="U2104" s="250">
        <v>0.125</v>
      </c>
      <c r="V2104" s="250">
        <v>0.24399999999999999</v>
      </c>
      <c r="W2104" s="250">
        <v>0.30399999999999999</v>
      </c>
      <c r="X2104" s="502">
        <v>0.27300000000000002</v>
      </c>
      <c r="Y2104" s="250" t="s">
        <v>29</v>
      </c>
      <c r="Z2104" s="150"/>
      <c r="AA2104" s="223">
        <v>0.83802534925109395</v>
      </c>
      <c r="AB2104" s="152"/>
      <c r="AC2104" s="152"/>
      <c r="AD2104" s="223">
        <v>5.4254400000000009</v>
      </c>
      <c r="AE2104" s="223">
        <v>0.17983199999999999</v>
      </c>
      <c r="AF2104" s="223">
        <v>0.97826901119999998</v>
      </c>
      <c r="AG2104" s="223">
        <v>0.51511200000000001</v>
      </c>
      <c r="AH2104" s="341"/>
      <c r="AI2104" s="218"/>
      <c r="AJ2104" s="218"/>
      <c r="AK2104" s="153"/>
      <c r="AL2104" s="152"/>
      <c r="AM2104" s="152"/>
      <c r="AN2104" s="152"/>
      <c r="AO2104" s="152"/>
      <c r="AP2104" s="152"/>
      <c r="AQ2104" s="152"/>
      <c r="AR2104" s="152"/>
      <c r="AS2104" s="152"/>
      <c r="AT2104" s="152"/>
      <c r="AU2104" s="153"/>
      <c r="AV2104" s="479"/>
      <c r="AW2104" s="479"/>
      <c r="AX2104" s="442"/>
      <c r="AY2104" s="153"/>
      <c r="AZ2104" s="152"/>
      <c r="BA2104" s="152"/>
      <c r="BB2104" s="152"/>
      <c r="BC2104" s="152"/>
      <c r="BD2104" s="152"/>
      <c r="BE2104" s="152"/>
      <c r="BF2104" s="152"/>
      <c r="BG2104" s="152"/>
      <c r="BH2104" s="152"/>
      <c r="BI2104" s="153"/>
      <c r="BJ2104" s="153"/>
      <c r="BK2104" s="153"/>
      <c r="BL2104" s="153"/>
      <c r="BM2104" s="153"/>
      <c r="BN2104" s="153"/>
      <c r="BO2104" s="153"/>
      <c r="BP2104" s="153"/>
      <c r="BQ2104" s="153"/>
      <c r="BR2104" s="153"/>
      <c r="BS2104" s="153"/>
      <c r="BT2104" s="153"/>
      <c r="BU2104" s="153"/>
      <c r="BV2104" s="153"/>
      <c r="BW2104" s="153"/>
      <c r="BX2104" s="153"/>
      <c r="BY2104" s="153"/>
      <c r="BZ2104" s="153"/>
      <c r="CA2104" s="152"/>
      <c r="CB2104" s="152"/>
    </row>
    <row r="2105" spans="1:80" s="87" customFormat="1" ht="15" x14ac:dyDescent="0.25">
      <c r="A2105" s="152"/>
      <c r="B2105" s="683"/>
      <c r="C2105" s="683"/>
      <c r="D2105" s="698"/>
      <c r="E2105" s="215"/>
      <c r="F2105" s="215"/>
      <c r="G2105" s="153"/>
      <c r="H2105" s="153"/>
      <c r="I2105" s="306">
        <v>17</v>
      </c>
      <c r="J2105" s="306">
        <v>60</v>
      </c>
      <c r="K2105" s="306">
        <v>2</v>
      </c>
      <c r="L2105" s="656">
        <v>34</v>
      </c>
      <c r="M2105" s="663">
        <v>34823</v>
      </c>
      <c r="N2105" s="600">
        <v>0.50680269999999994</v>
      </c>
      <c r="O2105" s="604">
        <v>2.8968960000000004E-3</v>
      </c>
      <c r="P2105" s="150"/>
      <c r="Q2105" s="250"/>
      <c r="R2105" s="250"/>
      <c r="S2105" s="250">
        <v>1.1000000000000001E-2</v>
      </c>
      <c r="T2105" s="250">
        <v>3.6000000000000004E-2</v>
      </c>
      <c r="U2105" s="250">
        <v>5.9000000000000004E-2</v>
      </c>
      <c r="V2105" s="250">
        <v>0.30399999999999999</v>
      </c>
      <c r="W2105" s="250">
        <v>0.41299999999999998</v>
      </c>
      <c r="X2105" s="502">
        <v>0.17699999999999999</v>
      </c>
      <c r="Y2105" s="250" t="s">
        <v>29</v>
      </c>
      <c r="Z2105" s="150"/>
      <c r="AA2105" s="223">
        <v>0.85980554789623265</v>
      </c>
      <c r="AB2105" s="152"/>
      <c r="AC2105" s="152"/>
      <c r="AD2105" s="223">
        <v>5.4254400000000009</v>
      </c>
      <c r="AE2105" s="223">
        <v>0.17983199999999999</v>
      </c>
      <c r="AF2105" s="223">
        <v>0.98105610240000007</v>
      </c>
      <c r="AG2105" s="223">
        <v>0.51511200000000001</v>
      </c>
      <c r="AH2105" s="341"/>
      <c r="AI2105" s="218"/>
      <c r="AJ2105" s="218"/>
      <c r="AK2105" s="153"/>
      <c r="AL2105" s="152"/>
      <c r="AM2105" s="152"/>
      <c r="AN2105" s="152"/>
      <c r="AO2105" s="152"/>
      <c r="AP2105" s="152"/>
      <c r="AQ2105" s="152"/>
      <c r="AR2105" s="152"/>
      <c r="AS2105" s="152"/>
      <c r="AT2105" s="152"/>
      <c r="AU2105" s="153"/>
      <c r="AV2105" s="479"/>
      <c r="AW2105" s="479"/>
      <c r="AX2105" s="442"/>
      <c r="AY2105" s="153"/>
      <c r="AZ2105" s="152"/>
      <c r="BA2105" s="152"/>
      <c r="BB2105" s="152"/>
      <c r="BC2105" s="152"/>
      <c r="BD2105" s="152"/>
      <c r="BE2105" s="152"/>
      <c r="BF2105" s="152"/>
      <c r="BG2105" s="152"/>
      <c r="BH2105" s="152"/>
      <c r="BI2105" s="153"/>
      <c r="BJ2105" s="153"/>
      <c r="BK2105" s="153"/>
      <c r="BL2105" s="153"/>
      <c r="BM2105" s="153"/>
      <c r="BN2105" s="153"/>
      <c r="BO2105" s="153"/>
      <c r="BP2105" s="153"/>
      <c r="BQ2105" s="153"/>
      <c r="BR2105" s="153"/>
      <c r="BS2105" s="153"/>
      <c r="BT2105" s="153"/>
      <c r="BU2105" s="153"/>
      <c r="BV2105" s="153"/>
      <c r="BW2105" s="153"/>
      <c r="BX2105" s="153"/>
      <c r="BY2105" s="153"/>
      <c r="BZ2105" s="153"/>
      <c r="CA2105" s="152"/>
      <c r="CB2105" s="152"/>
    </row>
    <row r="2106" spans="1:80" s="87" customFormat="1" ht="15" x14ac:dyDescent="0.25">
      <c r="A2106" s="152"/>
      <c r="B2106" s="683"/>
      <c r="C2106" s="683"/>
      <c r="D2106" s="698"/>
      <c r="E2106" s="215"/>
      <c r="F2106" s="215"/>
      <c r="G2106" s="153"/>
      <c r="H2106" s="153"/>
      <c r="I2106" s="306">
        <v>19</v>
      </c>
      <c r="J2106" s="306">
        <v>60</v>
      </c>
      <c r="K2106" s="306">
        <v>2</v>
      </c>
      <c r="L2106" s="656">
        <v>38</v>
      </c>
      <c r="M2106" s="663">
        <v>34828</v>
      </c>
      <c r="N2106" s="600">
        <v>0.67101810000000006</v>
      </c>
      <c r="O2106" s="604">
        <v>3.3482239999999999E-3</v>
      </c>
      <c r="P2106" s="150"/>
      <c r="Q2106" s="250"/>
      <c r="R2106" s="250"/>
      <c r="S2106" s="250">
        <v>4.4000000000000004E-2</v>
      </c>
      <c r="T2106" s="250">
        <v>7.9000000000000001E-2</v>
      </c>
      <c r="U2106" s="250">
        <v>0.126</v>
      </c>
      <c r="V2106" s="250">
        <v>0.251</v>
      </c>
      <c r="W2106" s="250">
        <v>0.30299999999999999</v>
      </c>
      <c r="X2106" s="502">
        <v>0.19700000000000001</v>
      </c>
      <c r="Y2106" s="250" t="s">
        <v>29</v>
      </c>
      <c r="Z2106" s="150"/>
      <c r="AA2106" s="223">
        <v>1</v>
      </c>
      <c r="AB2106" s="152"/>
      <c r="AC2106" s="152"/>
      <c r="AD2106" s="223">
        <v>5.8216800000000006</v>
      </c>
      <c r="AE2106" s="223">
        <v>0.18897600000000001</v>
      </c>
      <c r="AF2106" s="223">
        <v>1.1009010240000001</v>
      </c>
      <c r="AG2106" s="223">
        <v>0.60960000000000003</v>
      </c>
      <c r="AH2106" s="341"/>
      <c r="AI2106" s="218"/>
      <c r="AJ2106" s="218"/>
      <c r="AK2106" s="153"/>
      <c r="AL2106" s="152"/>
      <c r="AM2106" s="152"/>
      <c r="AN2106" s="152"/>
      <c r="AO2106" s="152"/>
      <c r="AP2106" s="152"/>
      <c r="AQ2106" s="152"/>
      <c r="AR2106" s="152"/>
      <c r="AS2106" s="152"/>
      <c r="AT2106" s="152"/>
      <c r="AU2106" s="153"/>
      <c r="AV2106" s="479"/>
      <c r="AW2106" s="479"/>
      <c r="AX2106" s="442"/>
      <c r="AY2106" s="153"/>
      <c r="AZ2106" s="152"/>
      <c r="BA2106" s="152"/>
      <c r="BB2106" s="152"/>
      <c r="BC2106" s="152"/>
      <c r="BD2106" s="152"/>
      <c r="BE2106" s="152"/>
      <c r="BF2106" s="152"/>
      <c r="BG2106" s="152"/>
      <c r="BH2106" s="152"/>
      <c r="BI2106" s="153"/>
      <c r="BJ2106" s="153"/>
      <c r="BK2106" s="153"/>
      <c r="BL2106" s="153"/>
      <c r="BM2106" s="153"/>
      <c r="BN2106" s="153"/>
      <c r="BO2106" s="153"/>
      <c r="BP2106" s="153"/>
      <c r="BQ2106" s="153"/>
      <c r="BR2106" s="153"/>
      <c r="BS2106" s="153"/>
      <c r="BT2106" s="153"/>
      <c r="BU2106" s="153"/>
      <c r="BV2106" s="153"/>
      <c r="BW2106" s="153"/>
      <c r="BX2106" s="153"/>
      <c r="BY2106" s="153"/>
      <c r="BZ2106" s="153"/>
      <c r="CA2106" s="152"/>
      <c r="CB2106" s="152"/>
    </row>
    <row r="2107" spans="1:80" s="87" customFormat="1" ht="15" x14ac:dyDescent="0.25">
      <c r="A2107" s="152"/>
      <c r="B2107" s="683"/>
      <c r="C2107" s="683"/>
      <c r="D2107" s="698"/>
      <c r="E2107" s="215"/>
      <c r="F2107" s="215"/>
      <c r="G2107" s="153"/>
      <c r="H2107" s="153"/>
      <c r="I2107" s="306">
        <v>19</v>
      </c>
      <c r="J2107" s="306">
        <v>60</v>
      </c>
      <c r="K2107" s="306">
        <v>2</v>
      </c>
      <c r="L2107" s="656">
        <v>38</v>
      </c>
      <c r="M2107" s="663">
        <v>34836</v>
      </c>
      <c r="N2107" s="600">
        <v>1.0164367000000001</v>
      </c>
      <c r="O2107" s="604">
        <v>4.7022080000000003E-3</v>
      </c>
      <c r="P2107" s="150"/>
      <c r="Q2107" s="250"/>
      <c r="R2107" s="250"/>
      <c r="S2107" s="250">
        <v>4.7E-2</v>
      </c>
      <c r="T2107" s="250">
        <v>6.2E-2</v>
      </c>
      <c r="U2107" s="250">
        <v>0.14599999999999999</v>
      </c>
      <c r="V2107" s="250">
        <v>0.32600000000000001</v>
      </c>
      <c r="W2107" s="250">
        <v>0.26500000000000001</v>
      </c>
      <c r="X2107" s="502">
        <v>0.154</v>
      </c>
      <c r="Y2107" s="250" t="s">
        <v>29</v>
      </c>
      <c r="Z2107" s="150"/>
      <c r="AA2107" s="223">
        <v>1.1879435297941174</v>
      </c>
      <c r="AB2107" s="152"/>
      <c r="AC2107" s="152"/>
      <c r="AD2107" s="223">
        <v>6.1569599999999998</v>
      </c>
      <c r="AE2107" s="223">
        <v>0.21335999999999999</v>
      </c>
      <c r="AF2107" s="223">
        <v>1.3155070464</v>
      </c>
      <c r="AG2107" s="223">
        <v>0.7741920000000001</v>
      </c>
      <c r="AH2107" s="341"/>
      <c r="AI2107" s="218"/>
      <c r="AJ2107" s="218"/>
      <c r="AK2107" s="153"/>
      <c r="AL2107" s="152"/>
      <c r="AM2107" s="152"/>
      <c r="AN2107" s="152"/>
      <c r="AO2107" s="152"/>
      <c r="AP2107" s="152"/>
      <c r="AQ2107" s="152"/>
      <c r="AR2107" s="152"/>
      <c r="AS2107" s="152"/>
      <c r="AT2107" s="152"/>
      <c r="AU2107" s="153"/>
      <c r="AV2107" s="479"/>
      <c r="AW2107" s="479"/>
      <c r="AX2107" s="442"/>
      <c r="AY2107" s="153"/>
      <c r="AZ2107" s="152"/>
      <c r="BA2107" s="152"/>
      <c r="BB2107" s="152"/>
      <c r="BC2107" s="152"/>
      <c r="BD2107" s="152"/>
      <c r="BE2107" s="152"/>
      <c r="BF2107" s="152"/>
      <c r="BG2107" s="152"/>
      <c r="BH2107" s="152"/>
      <c r="BI2107" s="153"/>
      <c r="BJ2107" s="153"/>
      <c r="BK2107" s="153"/>
      <c r="BL2107" s="153"/>
      <c r="BM2107" s="153"/>
      <c r="BN2107" s="153"/>
      <c r="BO2107" s="153"/>
      <c r="BP2107" s="153"/>
      <c r="BQ2107" s="153"/>
      <c r="BR2107" s="153"/>
      <c r="BS2107" s="153"/>
      <c r="BT2107" s="153"/>
      <c r="BU2107" s="153"/>
      <c r="BV2107" s="153"/>
      <c r="BW2107" s="153"/>
      <c r="BX2107" s="153"/>
      <c r="BY2107" s="153"/>
      <c r="BZ2107" s="153"/>
      <c r="CA2107" s="152"/>
      <c r="CB2107" s="152"/>
    </row>
    <row r="2108" spans="1:80" s="87" customFormat="1" ht="15" x14ac:dyDescent="0.25">
      <c r="A2108" s="152"/>
      <c r="B2108" s="683"/>
      <c r="C2108" s="683"/>
      <c r="D2108" s="698"/>
      <c r="E2108" s="215"/>
      <c r="F2108" s="215"/>
      <c r="G2108" s="153"/>
      <c r="H2108" s="153"/>
      <c r="I2108" s="306">
        <v>22</v>
      </c>
      <c r="J2108" s="306">
        <v>60</v>
      </c>
      <c r="K2108" s="306">
        <v>2</v>
      </c>
      <c r="L2108" s="656">
        <v>44</v>
      </c>
      <c r="M2108" s="663">
        <v>34842</v>
      </c>
      <c r="N2108" s="600">
        <v>1.3108918999999999</v>
      </c>
      <c r="O2108" s="604">
        <v>1.6058880000000001E-2</v>
      </c>
      <c r="P2108" s="150"/>
      <c r="Q2108" s="250"/>
      <c r="R2108" s="250">
        <v>0.152</v>
      </c>
      <c r="S2108" s="250">
        <v>8.6999999999999994E-2</v>
      </c>
      <c r="T2108" s="250">
        <v>9.8000000000000004E-2</v>
      </c>
      <c r="U2108" s="250">
        <v>0.14899999999999999</v>
      </c>
      <c r="V2108" s="250">
        <v>0.255</v>
      </c>
      <c r="W2108" s="250">
        <v>0.17199999999999999</v>
      </c>
      <c r="X2108" s="502">
        <v>8.7000000000000008E-2</v>
      </c>
      <c r="Y2108" s="250" t="s">
        <v>29</v>
      </c>
      <c r="Z2108" s="150"/>
      <c r="AA2108" s="223">
        <v>1.9253197180261361</v>
      </c>
      <c r="AB2108" s="152"/>
      <c r="AC2108" s="152"/>
      <c r="AD2108" s="223">
        <v>6.7360800000000012</v>
      </c>
      <c r="AE2108" s="223">
        <v>0.23774400000000001</v>
      </c>
      <c r="AF2108" s="223">
        <v>1.6062935616</v>
      </c>
      <c r="AG2108" s="223">
        <v>0.81686400000000003</v>
      </c>
      <c r="AH2108" s="341"/>
      <c r="AI2108" s="218"/>
      <c r="AJ2108" s="218"/>
      <c r="AK2108" s="153"/>
      <c r="AL2108" s="152"/>
      <c r="AM2108" s="152"/>
      <c r="AN2108" s="152"/>
      <c r="AO2108" s="152"/>
      <c r="AP2108" s="152"/>
      <c r="AQ2108" s="152"/>
      <c r="AR2108" s="152"/>
      <c r="AS2108" s="152"/>
      <c r="AT2108" s="152"/>
      <c r="AU2108" s="153"/>
      <c r="AV2108" s="479"/>
      <c r="AW2108" s="479"/>
      <c r="AX2108" s="442"/>
      <c r="AY2108" s="153"/>
      <c r="AZ2108" s="152"/>
      <c r="BA2108" s="152"/>
      <c r="BB2108" s="152"/>
      <c r="BC2108" s="152"/>
      <c r="BD2108" s="152"/>
      <c r="BE2108" s="152"/>
      <c r="BF2108" s="152"/>
      <c r="BG2108" s="152"/>
      <c r="BH2108" s="152"/>
      <c r="BI2108" s="153"/>
      <c r="BJ2108" s="153"/>
      <c r="BK2108" s="153"/>
      <c r="BL2108" s="153"/>
      <c r="BM2108" s="153"/>
      <c r="BN2108" s="153"/>
      <c r="BO2108" s="153"/>
      <c r="BP2108" s="153"/>
      <c r="BQ2108" s="153"/>
      <c r="BR2108" s="153"/>
      <c r="BS2108" s="153"/>
      <c r="BT2108" s="153"/>
      <c r="BU2108" s="153"/>
      <c r="BV2108" s="153"/>
      <c r="BW2108" s="153"/>
      <c r="BX2108" s="153"/>
      <c r="BY2108" s="153"/>
      <c r="BZ2108" s="153"/>
      <c r="CA2108" s="152"/>
      <c r="CB2108" s="152"/>
    </row>
    <row r="2109" spans="1:80" s="87" customFormat="1" ht="15" x14ac:dyDescent="0.25">
      <c r="A2109" s="152"/>
      <c r="B2109" s="683"/>
      <c r="C2109" s="683"/>
      <c r="D2109" s="698"/>
      <c r="E2109" s="215"/>
      <c r="F2109" s="215"/>
      <c r="G2109" s="153"/>
      <c r="H2109" s="153"/>
      <c r="I2109" s="306">
        <v>22</v>
      </c>
      <c r="J2109" s="306">
        <v>60</v>
      </c>
      <c r="K2109" s="306">
        <v>2</v>
      </c>
      <c r="L2109" s="656">
        <v>44</v>
      </c>
      <c r="M2109" s="663">
        <v>34851</v>
      </c>
      <c r="N2109" s="600">
        <v>1.7242617</v>
      </c>
      <c r="O2109" s="604">
        <v>1.9942399999999999E-2</v>
      </c>
      <c r="P2109" s="150"/>
      <c r="Q2109" s="250"/>
      <c r="R2109" s="250"/>
      <c r="S2109" s="250">
        <v>1.2E-2</v>
      </c>
      <c r="T2109" s="250">
        <v>3.6000000000000004E-2</v>
      </c>
      <c r="U2109" s="250">
        <v>9.5000000000000001E-2</v>
      </c>
      <c r="V2109" s="250">
        <v>0.21899999999999997</v>
      </c>
      <c r="W2109" s="250">
        <v>0.247</v>
      </c>
      <c r="X2109" s="502">
        <v>0.39199999999999996</v>
      </c>
      <c r="Y2109" s="250" t="s">
        <v>29</v>
      </c>
      <c r="Z2109" s="150"/>
      <c r="AA2109" s="223">
        <v>0.67795962116874275</v>
      </c>
      <c r="AB2109" s="152"/>
      <c r="AC2109" s="152"/>
      <c r="AD2109" s="223">
        <v>7.13232</v>
      </c>
      <c r="AE2109" s="223">
        <v>0.24993599999999999</v>
      </c>
      <c r="AF2109" s="223">
        <v>1.7809512768000002</v>
      </c>
      <c r="AG2109" s="223">
        <v>0.96621600000000007</v>
      </c>
      <c r="AH2109" s="341"/>
      <c r="AI2109" s="218"/>
      <c r="AJ2109" s="218"/>
      <c r="AK2109" s="153"/>
      <c r="AL2109" s="152"/>
      <c r="AM2109" s="152"/>
      <c r="AN2109" s="152"/>
      <c r="AO2109" s="152"/>
      <c r="AP2109" s="152"/>
      <c r="AQ2109" s="152"/>
      <c r="AR2109" s="152"/>
      <c r="AS2109" s="152"/>
      <c r="AT2109" s="152"/>
      <c r="AU2109" s="153"/>
      <c r="AV2109" s="479"/>
      <c r="AW2109" s="479"/>
      <c r="AX2109" s="442"/>
      <c r="AY2109" s="153"/>
      <c r="AZ2109" s="152"/>
      <c r="BA2109" s="152"/>
      <c r="BB2109" s="152"/>
      <c r="BC2109" s="152"/>
      <c r="BD2109" s="152"/>
      <c r="BE2109" s="152"/>
      <c r="BF2109" s="152"/>
      <c r="BG2109" s="152"/>
      <c r="BH2109" s="152"/>
      <c r="BI2109" s="153"/>
      <c r="BJ2109" s="153"/>
      <c r="BK2109" s="153"/>
      <c r="BL2109" s="153"/>
      <c r="BM2109" s="153"/>
      <c r="BN2109" s="153"/>
      <c r="BO2109" s="153"/>
      <c r="BP2109" s="153"/>
      <c r="BQ2109" s="153"/>
      <c r="BR2109" s="153"/>
      <c r="BS2109" s="153"/>
      <c r="BT2109" s="153"/>
      <c r="BU2109" s="153"/>
      <c r="BV2109" s="153"/>
      <c r="BW2109" s="153"/>
      <c r="BX2109" s="153"/>
      <c r="BY2109" s="153"/>
      <c r="BZ2109" s="153"/>
      <c r="CA2109" s="152"/>
      <c r="CB2109" s="152"/>
    </row>
    <row r="2110" spans="1:80" s="87" customFormat="1" ht="15" x14ac:dyDescent="0.25">
      <c r="A2110" s="152"/>
      <c r="B2110" s="683"/>
      <c r="C2110" s="683"/>
      <c r="D2110" s="698"/>
      <c r="E2110" s="215"/>
      <c r="F2110" s="215"/>
      <c r="G2110" s="153"/>
      <c r="H2110" s="153"/>
      <c r="I2110" s="306">
        <v>23</v>
      </c>
      <c r="J2110" s="306">
        <v>60</v>
      </c>
      <c r="K2110" s="306">
        <v>2</v>
      </c>
      <c r="L2110" s="656">
        <v>46</v>
      </c>
      <c r="M2110" s="663">
        <v>34858</v>
      </c>
      <c r="N2110" s="600">
        <v>2.519857</v>
      </c>
      <c r="O2110" s="604">
        <v>5.8567680000000009E-3</v>
      </c>
      <c r="P2110" s="150"/>
      <c r="Q2110" s="250"/>
      <c r="R2110" s="250"/>
      <c r="S2110" s="250">
        <v>0.105</v>
      </c>
      <c r="T2110" s="250">
        <v>0.14199999999999999</v>
      </c>
      <c r="U2110" s="250">
        <v>0.16600000000000001</v>
      </c>
      <c r="V2110" s="250">
        <v>0.23399999999999999</v>
      </c>
      <c r="W2110" s="250">
        <v>0.184</v>
      </c>
      <c r="X2110" s="502">
        <v>0.16900000000000001</v>
      </c>
      <c r="Y2110" s="250" t="s">
        <v>29</v>
      </c>
      <c r="Z2110" s="150"/>
      <c r="AA2110" s="223">
        <v>1.5456408491288858</v>
      </c>
      <c r="AB2110" s="152"/>
      <c r="AC2110" s="152"/>
      <c r="AD2110" s="223">
        <v>7.62</v>
      </c>
      <c r="AE2110" s="223">
        <v>0.28955999999999998</v>
      </c>
      <c r="AF2110" s="223">
        <v>2.1980859264000001</v>
      </c>
      <c r="AG2110" s="223">
        <v>1.146048</v>
      </c>
      <c r="AH2110" s="341"/>
      <c r="AI2110" s="218"/>
      <c r="AJ2110" s="218"/>
      <c r="AK2110" s="153"/>
      <c r="AL2110" s="152"/>
      <c r="AM2110" s="152"/>
      <c r="AN2110" s="152"/>
      <c r="AO2110" s="152"/>
      <c r="AP2110" s="152"/>
      <c r="AQ2110" s="152"/>
      <c r="AR2110" s="152"/>
      <c r="AS2110" s="152"/>
      <c r="AT2110" s="152"/>
      <c r="AU2110" s="153"/>
      <c r="AV2110" s="479"/>
      <c r="AW2110" s="479"/>
      <c r="AX2110" s="442"/>
      <c r="AY2110" s="153"/>
      <c r="AZ2110" s="152"/>
      <c r="BA2110" s="152"/>
      <c r="BB2110" s="152"/>
      <c r="BC2110" s="152"/>
      <c r="BD2110" s="152"/>
      <c r="BE2110" s="152"/>
      <c r="BF2110" s="152"/>
      <c r="BG2110" s="152"/>
      <c r="BH2110" s="152"/>
      <c r="BI2110" s="153"/>
      <c r="BJ2110" s="153"/>
      <c r="BK2110" s="153"/>
      <c r="BL2110" s="153"/>
      <c r="BM2110" s="153"/>
      <c r="BN2110" s="153"/>
      <c r="BO2110" s="153"/>
      <c r="BP2110" s="153"/>
      <c r="BQ2110" s="153"/>
      <c r="BR2110" s="153"/>
      <c r="BS2110" s="153"/>
      <c r="BT2110" s="153"/>
      <c r="BU2110" s="153"/>
      <c r="BV2110" s="153"/>
      <c r="BW2110" s="153"/>
      <c r="BX2110" s="153"/>
      <c r="BY2110" s="153"/>
      <c r="BZ2110" s="153"/>
      <c r="CA2110" s="152"/>
      <c r="CB2110" s="152"/>
    </row>
    <row r="2111" spans="1:80" s="87" customFormat="1" ht="15" x14ac:dyDescent="0.25">
      <c r="A2111" s="152"/>
      <c r="B2111" s="683"/>
      <c r="C2111" s="683"/>
      <c r="D2111" s="698"/>
      <c r="E2111" s="215"/>
      <c r="F2111" s="215"/>
      <c r="G2111" s="153"/>
      <c r="H2111" s="153"/>
      <c r="I2111" s="306">
        <v>22</v>
      </c>
      <c r="J2111" s="306">
        <v>60</v>
      </c>
      <c r="K2111" s="306">
        <v>2</v>
      </c>
      <c r="L2111" s="656">
        <v>44</v>
      </c>
      <c r="M2111" s="663">
        <v>34863</v>
      </c>
      <c r="N2111" s="600">
        <v>2.6784097999999998</v>
      </c>
      <c r="O2111" s="604">
        <v>3.6526079999999999E-3</v>
      </c>
      <c r="P2111" s="150"/>
      <c r="Q2111" s="250"/>
      <c r="R2111" s="250"/>
      <c r="S2111" s="250">
        <v>9.1999999999999998E-2</v>
      </c>
      <c r="T2111" s="250">
        <v>0.14599999999999999</v>
      </c>
      <c r="U2111" s="250">
        <v>0.13500000000000001</v>
      </c>
      <c r="V2111" s="250">
        <v>0.19</v>
      </c>
      <c r="W2111" s="250">
        <v>0.17800000000000002</v>
      </c>
      <c r="X2111" s="502">
        <v>0.25900000000000001</v>
      </c>
      <c r="Y2111" s="250" t="s">
        <v>29</v>
      </c>
      <c r="Z2111" s="150"/>
      <c r="AA2111" s="223">
        <v>1.2583898570090952</v>
      </c>
      <c r="AB2111" s="152"/>
      <c r="AC2111" s="152"/>
      <c r="AD2111" s="223">
        <v>7.8333599999999999</v>
      </c>
      <c r="AE2111" s="223">
        <v>0.30175200000000002</v>
      </c>
      <c r="AF2111" s="223">
        <v>2.3597372160000001</v>
      </c>
      <c r="AG2111" s="223">
        <v>1.1338560000000002</v>
      </c>
      <c r="AH2111" s="341"/>
      <c r="AI2111" s="218"/>
      <c r="AJ2111" s="218"/>
      <c r="AK2111" s="153"/>
      <c r="AL2111" s="152"/>
      <c r="AM2111" s="152"/>
      <c r="AN2111" s="152"/>
      <c r="AO2111" s="152"/>
      <c r="AP2111" s="152"/>
      <c r="AQ2111" s="152"/>
      <c r="AR2111" s="152"/>
      <c r="AS2111" s="152"/>
      <c r="AT2111" s="152"/>
      <c r="AU2111" s="153"/>
      <c r="AV2111" s="479"/>
      <c r="AW2111" s="479"/>
      <c r="AX2111" s="442"/>
      <c r="AY2111" s="153"/>
      <c r="AZ2111" s="152"/>
      <c r="BA2111" s="152"/>
      <c r="BB2111" s="152"/>
      <c r="BC2111" s="152"/>
      <c r="BD2111" s="152"/>
      <c r="BE2111" s="152"/>
      <c r="BF2111" s="152"/>
      <c r="BG2111" s="152"/>
      <c r="BH2111" s="152"/>
      <c r="BI2111" s="153"/>
      <c r="BJ2111" s="153"/>
      <c r="BK2111" s="153"/>
      <c r="BL2111" s="153"/>
      <c r="BM2111" s="153"/>
      <c r="BN2111" s="153"/>
      <c r="BO2111" s="153"/>
      <c r="BP2111" s="153"/>
      <c r="BQ2111" s="153"/>
      <c r="BR2111" s="153"/>
      <c r="BS2111" s="153"/>
      <c r="BT2111" s="153"/>
      <c r="BU2111" s="153"/>
      <c r="BV2111" s="153"/>
      <c r="BW2111" s="153"/>
      <c r="BX2111" s="153"/>
      <c r="BY2111" s="153"/>
      <c r="BZ2111" s="153"/>
      <c r="CA2111" s="152"/>
      <c r="CB2111" s="152"/>
    </row>
    <row r="2112" spans="1:80" s="87" customFormat="1" ht="15" x14ac:dyDescent="0.25">
      <c r="A2112" s="152"/>
      <c r="B2112" s="683"/>
      <c r="C2112" s="683"/>
      <c r="D2112" s="698"/>
      <c r="E2112" s="215"/>
      <c r="F2112" s="215"/>
      <c r="G2112" s="153"/>
      <c r="H2112" s="153"/>
      <c r="I2112" s="306">
        <v>22</v>
      </c>
      <c r="J2112" s="306">
        <v>60</v>
      </c>
      <c r="K2112" s="306">
        <v>2</v>
      </c>
      <c r="L2112" s="656">
        <v>44</v>
      </c>
      <c r="M2112" s="663">
        <v>34870</v>
      </c>
      <c r="N2112" s="600">
        <v>2.3103408000000001</v>
      </c>
      <c r="O2112" s="604">
        <v>6.0037119999999996E-3</v>
      </c>
      <c r="P2112" s="150"/>
      <c r="Q2112" s="250"/>
      <c r="R2112" s="250">
        <v>4.0999999999999995E-2</v>
      </c>
      <c r="S2112" s="250">
        <v>6.6000000000000003E-2</v>
      </c>
      <c r="T2112" s="250">
        <v>0.14499999999999999</v>
      </c>
      <c r="U2112" s="250">
        <v>0.19399999999999998</v>
      </c>
      <c r="V2112" s="250">
        <v>0.27899999999999997</v>
      </c>
      <c r="W2112" s="250">
        <v>0.184</v>
      </c>
      <c r="X2112" s="502">
        <v>9.1000000000000011E-2</v>
      </c>
      <c r="Y2112" s="250" t="s">
        <v>29</v>
      </c>
      <c r="Z2112" s="150"/>
      <c r="AA2112" s="223">
        <v>1.7489046221194966</v>
      </c>
      <c r="AB2112" s="152"/>
      <c r="AC2112" s="152"/>
      <c r="AD2112" s="223">
        <v>7.7114400000000005</v>
      </c>
      <c r="AE2112" s="223">
        <v>0.280416</v>
      </c>
      <c r="AF2112" s="223">
        <v>2.155350528</v>
      </c>
      <c r="AG2112" s="223">
        <v>1.0728960000000001</v>
      </c>
      <c r="AH2112" s="341"/>
      <c r="AI2112" s="218"/>
      <c r="AJ2112" s="218"/>
      <c r="AK2112" s="153"/>
      <c r="AL2112" s="152"/>
      <c r="AM2112" s="152"/>
      <c r="AN2112" s="152"/>
      <c r="AO2112" s="152"/>
      <c r="AP2112" s="152"/>
      <c r="AQ2112" s="152"/>
      <c r="AR2112" s="152"/>
      <c r="AS2112" s="152"/>
      <c r="AT2112" s="152"/>
      <c r="AU2112" s="153"/>
      <c r="AV2112" s="479"/>
      <c r="AW2112" s="479"/>
      <c r="AX2112" s="442"/>
      <c r="AY2112" s="153"/>
      <c r="AZ2112" s="152"/>
      <c r="BA2112" s="152"/>
      <c r="BB2112" s="152"/>
      <c r="BC2112" s="152"/>
      <c r="BD2112" s="152"/>
      <c r="BE2112" s="152"/>
      <c r="BF2112" s="152"/>
      <c r="BG2112" s="152"/>
      <c r="BH2112" s="152"/>
      <c r="BI2112" s="153"/>
      <c r="BJ2112" s="153"/>
      <c r="BK2112" s="153"/>
      <c r="BL2112" s="153"/>
      <c r="BM2112" s="153"/>
      <c r="BN2112" s="153"/>
      <c r="BO2112" s="153"/>
      <c r="BP2112" s="153"/>
      <c r="BQ2112" s="153"/>
      <c r="BR2112" s="153"/>
      <c r="BS2112" s="153"/>
      <c r="BT2112" s="153"/>
      <c r="BU2112" s="153"/>
      <c r="BV2112" s="153"/>
      <c r="BW2112" s="153"/>
      <c r="BX2112" s="153"/>
      <c r="BY2112" s="153"/>
      <c r="BZ2112" s="153"/>
      <c r="CA2112" s="152"/>
      <c r="CB2112" s="152"/>
    </row>
    <row r="2113" spans="1:80" s="87" customFormat="1" ht="15" x14ac:dyDescent="0.25">
      <c r="A2113" s="152"/>
      <c r="B2113" s="683"/>
      <c r="C2113" s="683"/>
      <c r="D2113" s="698"/>
      <c r="E2113" s="215"/>
      <c r="F2113" s="215"/>
      <c r="G2113" s="153"/>
      <c r="H2113" s="153"/>
      <c r="I2113" s="306">
        <v>20</v>
      </c>
      <c r="J2113" s="306">
        <v>60</v>
      </c>
      <c r="K2113" s="306">
        <v>2</v>
      </c>
      <c r="L2113" s="656">
        <v>40</v>
      </c>
      <c r="M2113" s="663">
        <v>34879</v>
      </c>
      <c r="N2113" s="600">
        <v>1.8403450000000001</v>
      </c>
      <c r="O2113" s="604">
        <v>4.7127039999999999E-3</v>
      </c>
      <c r="P2113" s="150"/>
      <c r="Q2113" s="250"/>
      <c r="R2113" s="250">
        <v>0.23699999999999999</v>
      </c>
      <c r="S2113" s="250">
        <v>0.1</v>
      </c>
      <c r="T2113" s="250">
        <v>0.14800000000000002</v>
      </c>
      <c r="U2113" s="250">
        <v>0.13</v>
      </c>
      <c r="V2113" s="250">
        <v>0.161</v>
      </c>
      <c r="W2113" s="250">
        <v>0.13</v>
      </c>
      <c r="X2113" s="502">
        <v>9.4E-2</v>
      </c>
      <c r="Y2113" s="250" t="s">
        <v>29</v>
      </c>
      <c r="Z2113" s="150"/>
      <c r="AA2113" s="223">
        <v>3.6925446974758742</v>
      </c>
      <c r="AB2113" s="152"/>
      <c r="AC2113" s="152"/>
      <c r="AD2113" s="223">
        <v>7.0104000000000006</v>
      </c>
      <c r="AE2113" s="223">
        <v>0.27127200000000001</v>
      </c>
      <c r="AF2113" s="223">
        <v>1.9007961984000001</v>
      </c>
      <c r="AG2113" s="223">
        <v>0.96926400000000013</v>
      </c>
      <c r="AH2113" s="341"/>
      <c r="AI2113" s="218"/>
      <c r="AJ2113" s="218"/>
      <c r="AK2113" s="153"/>
      <c r="AL2113" s="152"/>
      <c r="AM2113" s="152"/>
      <c r="AN2113" s="152"/>
      <c r="AO2113" s="152"/>
      <c r="AP2113" s="152"/>
      <c r="AQ2113" s="152"/>
      <c r="AR2113" s="152"/>
      <c r="AS2113" s="152"/>
      <c r="AT2113" s="152"/>
      <c r="AU2113" s="153"/>
      <c r="AV2113" s="479"/>
      <c r="AW2113" s="479"/>
      <c r="AX2113" s="442"/>
      <c r="AY2113" s="153"/>
      <c r="AZ2113" s="152"/>
      <c r="BA2113" s="152"/>
      <c r="BB2113" s="152"/>
      <c r="BC2113" s="152"/>
      <c r="BD2113" s="152"/>
      <c r="BE2113" s="152"/>
      <c r="BF2113" s="152"/>
      <c r="BG2113" s="152"/>
      <c r="BH2113" s="152"/>
      <c r="BI2113" s="153"/>
      <c r="BJ2113" s="153"/>
      <c r="BK2113" s="153"/>
      <c r="BL2113" s="153"/>
      <c r="BM2113" s="153"/>
      <c r="BN2113" s="153"/>
      <c r="BO2113" s="153"/>
      <c r="BP2113" s="153"/>
      <c r="BQ2113" s="153"/>
      <c r="BR2113" s="153"/>
      <c r="BS2113" s="153"/>
      <c r="BT2113" s="153"/>
      <c r="BU2113" s="153"/>
      <c r="BV2113" s="153"/>
      <c r="BW2113" s="153"/>
      <c r="BX2113" s="153"/>
      <c r="BY2113" s="153"/>
      <c r="BZ2113" s="153"/>
      <c r="CA2113" s="152"/>
      <c r="CB2113" s="152"/>
    </row>
    <row r="2114" spans="1:80" s="87" customFormat="1" ht="15" x14ac:dyDescent="0.25">
      <c r="A2114" s="152"/>
      <c r="B2114" s="683"/>
      <c r="C2114" s="683"/>
      <c r="D2114" s="698"/>
      <c r="E2114" s="215"/>
      <c r="F2114" s="215"/>
      <c r="G2114" s="153"/>
      <c r="H2114" s="153"/>
      <c r="I2114" s="306">
        <v>19</v>
      </c>
      <c r="J2114" s="306">
        <v>60</v>
      </c>
      <c r="K2114" s="306">
        <v>2</v>
      </c>
      <c r="L2114" s="656">
        <v>38</v>
      </c>
      <c r="M2114" s="663">
        <v>34885</v>
      </c>
      <c r="N2114" s="600">
        <v>1.6081783999999999</v>
      </c>
      <c r="O2114" s="604">
        <v>3.232768E-3</v>
      </c>
      <c r="P2114" s="150"/>
      <c r="Q2114" s="250"/>
      <c r="R2114" s="250"/>
      <c r="S2114" s="250">
        <v>6.2E-2</v>
      </c>
      <c r="T2114" s="250">
        <v>0.16</v>
      </c>
      <c r="U2114" s="250">
        <v>0.21600000000000003</v>
      </c>
      <c r="V2114" s="250">
        <v>0.27</v>
      </c>
      <c r="W2114" s="250">
        <v>0.187</v>
      </c>
      <c r="X2114" s="502">
        <v>0.10400000000000001</v>
      </c>
      <c r="Y2114" s="250" t="s">
        <v>29</v>
      </c>
      <c r="Z2114" s="150"/>
      <c r="AA2114" s="223">
        <v>1.7078984807485804</v>
      </c>
      <c r="AB2114" s="152"/>
      <c r="AC2114" s="152"/>
      <c r="AD2114" s="223">
        <v>6.8580000000000005</v>
      </c>
      <c r="AE2114" s="223">
        <v>0.26517600000000002</v>
      </c>
      <c r="AF2114" s="223">
        <v>1.8088221888</v>
      </c>
      <c r="AG2114" s="223">
        <v>0.89001600000000003</v>
      </c>
      <c r="AH2114" s="341"/>
      <c r="AI2114" s="218"/>
      <c r="AJ2114" s="218"/>
      <c r="AK2114" s="153"/>
      <c r="AL2114" s="152"/>
      <c r="AM2114" s="152"/>
      <c r="AN2114" s="152"/>
      <c r="AO2114" s="152"/>
      <c r="AP2114" s="152"/>
      <c r="AQ2114" s="152"/>
      <c r="AR2114" s="152"/>
      <c r="AS2114" s="152"/>
      <c r="AT2114" s="152"/>
      <c r="AU2114" s="153"/>
      <c r="AV2114" s="479"/>
      <c r="AW2114" s="479"/>
      <c r="AX2114" s="442"/>
      <c r="AY2114" s="153"/>
      <c r="AZ2114" s="152"/>
      <c r="BA2114" s="152"/>
      <c r="BB2114" s="152"/>
      <c r="BC2114" s="152"/>
      <c r="BD2114" s="152"/>
      <c r="BE2114" s="152"/>
      <c r="BF2114" s="152"/>
      <c r="BG2114" s="152"/>
      <c r="BH2114" s="152"/>
      <c r="BI2114" s="153"/>
      <c r="BJ2114" s="153"/>
      <c r="BK2114" s="153"/>
      <c r="BL2114" s="153"/>
      <c r="BM2114" s="153"/>
      <c r="BN2114" s="153"/>
      <c r="BO2114" s="153"/>
      <c r="BP2114" s="153"/>
      <c r="BQ2114" s="153"/>
      <c r="BR2114" s="153"/>
      <c r="BS2114" s="153"/>
      <c r="BT2114" s="153"/>
      <c r="BU2114" s="153"/>
      <c r="BV2114" s="153"/>
      <c r="BW2114" s="153"/>
      <c r="BX2114" s="153"/>
      <c r="BY2114" s="153"/>
      <c r="BZ2114" s="153"/>
      <c r="CA2114" s="152"/>
      <c r="CB2114" s="152"/>
    </row>
    <row r="2115" spans="1:80" s="87" customFormat="1" ht="15" x14ac:dyDescent="0.25">
      <c r="A2115" s="152"/>
      <c r="B2115" s="683"/>
      <c r="C2115" s="683"/>
      <c r="D2115" s="698"/>
      <c r="E2115" s="215"/>
      <c r="F2115" s="215"/>
      <c r="G2115" s="153"/>
      <c r="H2115" s="153"/>
      <c r="I2115" s="306">
        <v>19</v>
      </c>
      <c r="J2115" s="306">
        <v>60</v>
      </c>
      <c r="K2115" s="306">
        <v>2</v>
      </c>
      <c r="L2115" s="656">
        <v>38</v>
      </c>
      <c r="M2115" s="663">
        <v>34899</v>
      </c>
      <c r="N2115" s="600">
        <v>1.1495078000000001</v>
      </c>
      <c r="O2115" s="604">
        <v>3.5686400000000001E-3</v>
      </c>
      <c r="P2115" s="150"/>
      <c r="Q2115" s="250"/>
      <c r="R2115" s="250"/>
      <c r="S2115" s="250">
        <v>0.22899999999999998</v>
      </c>
      <c r="T2115" s="250">
        <v>0.32799999999999996</v>
      </c>
      <c r="U2115" s="250">
        <v>0.16899999999999998</v>
      </c>
      <c r="V2115" s="250">
        <v>0.14899999999999999</v>
      </c>
      <c r="W2115" s="250">
        <v>8.1000000000000003E-2</v>
      </c>
      <c r="X2115" s="502">
        <v>4.4999999999999998E-2</v>
      </c>
      <c r="Y2115" s="250" t="s">
        <v>29</v>
      </c>
      <c r="Z2115" s="150"/>
      <c r="AA2115" s="223">
        <v>4.5072769445939684</v>
      </c>
      <c r="AB2115" s="152"/>
      <c r="AC2115" s="152"/>
      <c r="AD2115" s="223">
        <v>6.1874400000000005</v>
      </c>
      <c r="AE2115" s="223">
        <v>0.23469600000000002</v>
      </c>
      <c r="AF2115" s="223">
        <v>1.4530035456000001</v>
      </c>
      <c r="AG2115" s="223">
        <v>0.79248000000000007</v>
      </c>
      <c r="AH2115" s="341"/>
      <c r="AI2115" s="218"/>
      <c r="AJ2115" s="218"/>
      <c r="AK2115" s="153"/>
      <c r="AL2115" s="152"/>
      <c r="AM2115" s="152"/>
      <c r="AN2115" s="152"/>
      <c r="AO2115" s="152"/>
      <c r="AP2115" s="152"/>
      <c r="AQ2115" s="152"/>
      <c r="AR2115" s="152"/>
      <c r="AS2115" s="152"/>
      <c r="AT2115" s="152"/>
      <c r="AU2115" s="153"/>
      <c r="AV2115" s="479"/>
      <c r="AW2115" s="479"/>
      <c r="AX2115" s="442"/>
      <c r="AY2115" s="153"/>
      <c r="AZ2115" s="152"/>
      <c r="BA2115" s="152"/>
      <c r="BB2115" s="152"/>
      <c r="BC2115" s="152"/>
      <c r="BD2115" s="152"/>
      <c r="BE2115" s="152"/>
      <c r="BF2115" s="152"/>
      <c r="BG2115" s="152"/>
      <c r="BH2115" s="152"/>
      <c r="BI2115" s="153"/>
      <c r="BJ2115" s="153"/>
      <c r="BK2115" s="153"/>
      <c r="BL2115" s="153"/>
      <c r="BM2115" s="153"/>
      <c r="BN2115" s="153"/>
      <c r="BO2115" s="153"/>
      <c r="BP2115" s="153"/>
      <c r="BQ2115" s="153"/>
      <c r="BR2115" s="153"/>
      <c r="BS2115" s="153"/>
      <c r="BT2115" s="153"/>
      <c r="BU2115" s="153"/>
      <c r="BV2115" s="153"/>
      <c r="BW2115" s="153"/>
      <c r="BX2115" s="153"/>
      <c r="BY2115" s="153"/>
      <c r="BZ2115" s="153"/>
      <c r="CA2115" s="152"/>
      <c r="CB2115" s="152"/>
    </row>
    <row r="2116" spans="1:80" s="87" customFormat="1" ht="15" x14ac:dyDescent="0.25">
      <c r="A2116" s="152"/>
      <c r="B2116" s="683"/>
      <c r="C2116" s="683"/>
      <c r="D2116" s="698"/>
      <c r="E2116" s="215"/>
      <c r="F2116" s="215"/>
      <c r="G2116" s="153"/>
      <c r="H2116" s="153"/>
      <c r="I2116" s="306">
        <v>19</v>
      </c>
      <c r="J2116" s="306">
        <v>60</v>
      </c>
      <c r="K2116" s="306">
        <v>2</v>
      </c>
      <c r="L2116" s="656">
        <v>38</v>
      </c>
      <c r="M2116" s="663">
        <v>34975</v>
      </c>
      <c r="N2116" s="600">
        <v>0.75312580000000007</v>
      </c>
      <c r="O2116" s="604">
        <v>1.2805119999999999E-3</v>
      </c>
      <c r="P2116" s="150"/>
      <c r="Q2116" s="250"/>
      <c r="R2116" s="250"/>
      <c r="S2116" s="250"/>
      <c r="T2116" s="250">
        <v>5.7999999999999996E-2</v>
      </c>
      <c r="U2116" s="250">
        <v>0.192</v>
      </c>
      <c r="V2116" s="250">
        <v>0.318</v>
      </c>
      <c r="W2116" s="250">
        <v>0.223</v>
      </c>
      <c r="X2116" s="502">
        <v>0.21</v>
      </c>
      <c r="Y2116" s="250" t="s">
        <v>29</v>
      </c>
      <c r="Z2116" s="150"/>
      <c r="AA2116" s="223">
        <v>1.158504903790357</v>
      </c>
      <c r="AB2116" s="152"/>
      <c r="AC2116" s="152"/>
      <c r="AD2116" s="223">
        <v>5.8521600000000005</v>
      </c>
      <c r="AE2116" s="223">
        <v>0.20726400000000003</v>
      </c>
      <c r="AF2116" s="223">
        <v>1.2151717632000001</v>
      </c>
      <c r="AG2116" s="223">
        <v>0.61874399999999996</v>
      </c>
      <c r="AH2116" s="341"/>
      <c r="AI2116" s="218"/>
      <c r="AJ2116" s="218"/>
      <c r="AK2116" s="153"/>
      <c r="AL2116" s="152"/>
      <c r="AM2116" s="152"/>
      <c r="AN2116" s="152"/>
      <c r="AO2116" s="152"/>
      <c r="AP2116" s="152"/>
      <c r="AQ2116" s="152"/>
      <c r="AR2116" s="152"/>
      <c r="AS2116" s="152"/>
      <c r="AT2116" s="152"/>
      <c r="AU2116" s="153"/>
      <c r="AV2116" s="479"/>
      <c r="AW2116" s="479"/>
      <c r="AX2116" s="442"/>
      <c r="AY2116" s="153"/>
      <c r="AZ2116" s="152"/>
      <c r="BA2116" s="152"/>
      <c r="BB2116" s="152"/>
      <c r="BC2116" s="152"/>
      <c r="BD2116" s="152"/>
      <c r="BE2116" s="152"/>
      <c r="BF2116" s="152"/>
      <c r="BG2116" s="152"/>
      <c r="BH2116" s="152"/>
      <c r="BI2116" s="153"/>
      <c r="BJ2116" s="153"/>
      <c r="BK2116" s="153"/>
      <c r="BL2116" s="153"/>
      <c r="BM2116" s="153"/>
      <c r="BN2116" s="153"/>
      <c r="BO2116" s="153"/>
      <c r="BP2116" s="153"/>
      <c r="BQ2116" s="153"/>
      <c r="BR2116" s="153"/>
      <c r="BS2116" s="153"/>
      <c r="BT2116" s="153"/>
      <c r="BU2116" s="153"/>
      <c r="BV2116" s="153"/>
      <c r="BW2116" s="153"/>
      <c r="BX2116" s="153"/>
      <c r="BY2116" s="153"/>
      <c r="BZ2116" s="153"/>
      <c r="CA2116" s="152"/>
      <c r="CB2116" s="152"/>
    </row>
    <row r="2117" spans="1:80" s="87" customFormat="1" ht="15" x14ac:dyDescent="0.25">
      <c r="A2117" s="152"/>
      <c r="B2117" s="683"/>
      <c r="C2117" s="683"/>
      <c r="D2117" s="698"/>
      <c r="E2117" s="215"/>
      <c r="F2117" s="215"/>
      <c r="G2117" s="153"/>
      <c r="H2117" s="153"/>
      <c r="I2117" s="306">
        <v>18</v>
      </c>
      <c r="J2117" s="306">
        <v>60</v>
      </c>
      <c r="K2117" s="306">
        <v>2</v>
      </c>
      <c r="L2117" s="656">
        <v>36</v>
      </c>
      <c r="M2117" s="663">
        <v>35180</v>
      </c>
      <c r="N2117" s="600">
        <v>0.57192260000000006</v>
      </c>
      <c r="O2117" s="604">
        <v>1.973248E-4</v>
      </c>
      <c r="P2117" s="150"/>
      <c r="Q2117" s="250"/>
      <c r="R2117" s="250"/>
      <c r="S2117" s="250"/>
      <c r="T2117" s="250"/>
      <c r="U2117" s="250">
        <v>6.6000000000000003E-2</v>
      </c>
      <c r="V2117" s="250">
        <v>0.21299999999999999</v>
      </c>
      <c r="W2117" s="250">
        <v>0.311</v>
      </c>
      <c r="X2117" s="502">
        <v>0.40899999999999997</v>
      </c>
      <c r="Y2117" s="250" t="s">
        <v>29</v>
      </c>
      <c r="Z2117" s="150"/>
      <c r="AA2117" s="223">
        <v>0.61174265713130116</v>
      </c>
      <c r="AB2117" s="152"/>
      <c r="AC2117" s="152"/>
      <c r="AD2117" s="223">
        <v>5.3340000000000005</v>
      </c>
      <c r="AE2117" s="223">
        <v>0.20421600000000001</v>
      </c>
      <c r="AF2117" s="223">
        <v>1.0826920281600001</v>
      </c>
      <c r="AG2117" s="223">
        <v>0.52730399999999999</v>
      </c>
      <c r="AH2117" s="341"/>
      <c r="AI2117" s="218"/>
      <c r="AJ2117" s="218"/>
      <c r="AK2117" s="153"/>
      <c r="AL2117" s="152"/>
      <c r="AM2117" s="152"/>
      <c r="AN2117" s="152"/>
      <c r="AO2117" s="152"/>
      <c r="AP2117" s="152"/>
      <c r="AQ2117" s="152"/>
      <c r="AR2117" s="152"/>
      <c r="AS2117" s="152"/>
      <c r="AT2117" s="152"/>
      <c r="AU2117" s="153"/>
      <c r="AV2117" s="479"/>
      <c r="AW2117" s="479"/>
      <c r="AX2117" s="442"/>
      <c r="AY2117" s="153"/>
      <c r="AZ2117" s="152"/>
      <c r="BA2117" s="152"/>
      <c r="BB2117" s="152"/>
      <c r="BC2117" s="152"/>
      <c r="BD2117" s="152"/>
      <c r="BE2117" s="152"/>
      <c r="BF2117" s="152"/>
      <c r="BG2117" s="152"/>
      <c r="BH2117" s="152"/>
      <c r="BI2117" s="153"/>
      <c r="BJ2117" s="153"/>
      <c r="BK2117" s="153"/>
      <c r="BL2117" s="153"/>
      <c r="BM2117" s="153"/>
      <c r="BN2117" s="153"/>
      <c r="BO2117" s="153"/>
      <c r="BP2117" s="153"/>
      <c r="BQ2117" s="153"/>
      <c r="BR2117" s="153"/>
      <c r="BS2117" s="153"/>
      <c r="BT2117" s="153"/>
      <c r="BU2117" s="153"/>
      <c r="BV2117" s="153"/>
      <c r="BW2117" s="153"/>
      <c r="BX2117" s="153"/>
      <c r="BY2117" s="153"/>
      <c r="BZ2117" s="153"/>
      <c r="CA2117" s="152"/>
      <c r="CB2117" s="152"/>
    </row>
    <row r="2118" spans="1:80" s="87" customFormat="1" ht="15" x14ac:dyDescent="0.25">
      <c r="A2118" s="152"/>
      <c r="B2118" s="683"/>
      <c r="C2118" s="683"/>
      <c r="D2118" s="698"/>
      <c r="E2118" s="215"/>
      <c r="F2118" s="215"/>
      <c r="G2118" s="153"/>
      <c r="H2118" s="153"/>
      <c r="I2118" s="306">
        <v>20</v>
      </c>
      <c r="J2118" s="306">
        <v>60</v>
      </c>
      <c r="K2118" s="306">
        <v>2</v>
      </c>
      <c r="L2118" s="656">
        <v>40</v>
      </c>
      <c r="M2118" s="663">
        <v>35205</v>
      </c>
      <c r="N2118" s="600">
        <v>0.89185950000000003</v>
      </c>
      <c r="O2118" s="604">
        <v>6.0247039999999996E-3</v>
      </c>
      <c r="P2118" s="150"/>
      <c r="Q2118" s="250"/>
      <c r="R2118" s="250"/>
      <c r="S2118" s="250">
        <v>0.05</v>
      </c>
      <c r="T2118" s="250">
        <v>8.900000000000001E-2</v>
      </c>
      <c r="U2118" s="250">
        <v>0.17800000000000002</v>
      </c>
      <c r="V2118" s="250">
        <v>0.32299999999999995</v>
      </c>
      <c r="W2118" s="250">
        <v>0.23</v>
      </c>
      <c r="X2118" s="502">
        <v>0.13</v>
      </c>
      <c r="Y2118" s="250" t="s">
        <v>29</v>
      </c>
      <c r="Z2118" s="150"/>
      <c r="AA2118" s="223">
        <v>1.3504465431481198</v>
      </c>
      <c r="AB2118" s="152"/>
      <c r="AC2118" s="152"/>
      <c r="AD2118" s="223">
        <v>6.0045599999999997</v>
      </c>
      <c r="AE2118" s="223">
        <v>0.21945600000000001</v>
      </c>
      <c r="AF2118" s="223">
        <v>1.3109547974400002</v>
      </c>
      <c r="AG2118" s="223">
        <v>0.67970399999999997</v>
      </c>
      <c r="AH2118" s="341"/>
      <c r="AI2118" s="218"/>
      <c r="AJ2118" s="218"/>
      <c r="AK2118" s="153"/>
      <c r="AL2118" s="152"/>
      <c r="AM2118" s="152"/>
      <c r="AN2118" s="152"/>
      <c r="AO2118" s="152"/>
      <c r="AP2118" s="152"/>
      <c r="AQ2118" s="152"/>
      <c r="AR2118" s="152"/>
      <c r="AS2118" s="152"/>
      <c r="AT2118" s="152"/>
      <c r="AU2118" s="153"/>
      <c r="AV2118" s="479"/>
      <c r="AW2118" s="479"/>
      <c r="AX2118" s="442"/>
      <c r="AY2118" s="153"/>
      <c r="AZ2118" s="152"/>
      <c r="BA2118" s="152"/>
      <c r="BB2118" s="152"/>
      <c r="BC2118" s="152"/>
      <c r="BD2118" s="152"/>
      <c r="BE2118" s="152"/>
      <c r="BF2118" s="152"/>
      <c r="BG2118" s="152"/>
      <c r="BH2118" s="152"/>
      <c r="BI2118" s="153"/>
      <c r="BJ2118" s="153"/>
      <c r="BK2118" s="153"/>
      <c r="BL2118" s="153"/>
      <c r="BM2118" s="153"/>
      <c r="BN2118" s="153"/>
      <c r="BO2118" s="153"/>
      <c r="BP2118" s="153"/>
      <c r="BQ2118" s="153"/>
      <c r="BR2118" s="153"/>
      <c r="BS2118" s="153"/>
      <c r="BT2118" s="153"/>
      <c r="BU2118" s="153"/>
      <c r="BV2118" s="153"/>
      <c r="BW2118" s="153"/>
      <c r="BX2118" s="153"/>
      <c r="BY2118" s="153"/>
      <c r="BZ2118" s="153"/>
      <c r="CA2118" s="152"/>
      <c r="CB2118" s="152"/>
    </row>
    <row r="2119" spans="1:80" s="87" customFormat="1" ht="15" x14ac:dyDescent="0.25">
      <c r="A2119" s="152"/>
      <c r="B2119" s="683"/>
      <c r="C2119" s="683"/>
      <c r="D2119" s="698"/>
      <c r="E2119" s="215"/>
      <c r="F2119" s="215"/>
      <c r="G2119" s="153"/>
      <c r="H2119" s="153"/>
      <c r="I2119" s="306">
        <v>20</v>
      </c>
      <c r="J2119" s="306">
        <v>60</v>
      </c>
      <c r="K2119" s="306">
        <v>2</v>
      </c>
      <c r="L2119" s="656">
        <v>40</v>
      </c>
      <c r="M2119" s="663">
        <v>35213</v>
      </c>
      <c r="N2119" s="600">
        <v>1.0107741000000001</v>
      </c>
      <c r="O2119" s="604">
        <v>5.1850239999999999E-3</v>
      </c>
      <c r="P2119" s="150"/>
      <c r="Q2119" s="250"/>
      <c r="R2119" s="250"/>
      <c r="S2119" s="250">
        <v>2.5000000000000001E-2</v>
      </c>
      <c r="T2119" s="250">
        <v>0.1</v>
      </c>
      <c r="U2119" s="250">
        <v>0.17699999999999999</v>
      </c>
      <c r="V2119" s="250">
        <v>0.29600000000000004</v>
      </c>
      <c r="W2119" s="250">
        <v>0.23699999999999999</v>
      </c>
      <c r="X2119" s="502">
        <v>0.16600000000000001</v>
      </c>
      <c r="Y2119" s="250" t="s">
        <v>29</v>
      </c>
      <c r="Z2119" s="150"/>
      <c r="AA2119" s="223">
        <v>1.2564836444503329</v>
      </c>
      <c r="AB2119" s="152"/>
      <c r="AC2119" s="152"/>
      <c r="AD2119" s="223">
        <v>6.0960000000000001</v>
      </c>
      <c r="AE2119" s="223">
        <v>0.21945600000000001</v>
      </c>
      <c r="AF2119" s="223">
        <v>1.3371534547200001</v>
      </c>
      <c r="AG2119" s="223">
        <v>0.75590400000000002</v>
      </c>
      <c r="AH2119" s="341"/>
      <c r="AI2119" s="218"/>
      <c r="AJ2119" s="218"/>
      <c r="AK2119" s="153"/>
      <c r="AL2119" s="152"/>
      <c r="AM2119" s="152"/>
      <c r="AN2119" s="152"/>
      <c r="AO2119" s="152"/>
      <c r="AP2119" s="152"/>
      <c r="AQ2119" s="152"/>
      <c r="AR2119" s="152"/>
      <c r="AS2119" s="152"/>
      <c r="AT2119" s="152"/>
      <c r="AU2119" s="153"/>
      <c r="AV2119" s="479"/>
      <c r="AW2119" s="479"/>
      <c r="AX2119" s="442"/>
      <c r="AY2119" s="153"/>
      <c r="AZ2119" s="152"/>
      <c r="BA2119" s="152"/>
      <c r="BB2119" s="152"/>
      <c r="BC2119" s="152"/>
      <c r="BD2119" s="152"/>
      <c r="BE2119" s="152"/>
      <c r="BF2119" s="152"/>
      <c r="BG2119" s="152"/>
      <c r="BH2119" s="152"/>
      <c r="BI2119" s="153"/>
      <c r="BJ2119" s="153"/>
      <c r="BK2119" s="153"/>
      <c r="BL2119" s="153"/>
      <c r="BM2119" s="153"/>
      <c r="BN2119" s="153"/>
      <c r="BO2119" s="153"/>
      <c r="BP2119" s="153"/>
      <c r="BQ2119" s="153"/>
      <c r="BR2119" s="153"/>
      <c r="BS2119" s="153"/>
      <c r="BT2119" s="153"/>
      <c r="BU2119" s="153"/>
      <c r="BV2119" s="153"/>
      <c r="BW2119" s="153"/>
      <c r="BX2119" s="153"/>
      <c r="BY2119" s="153"/>
      <c r="BZ2119" s="153"/>
      <c r="CA2119" s="152"/>
      <c r="CB2119" s="152"/>
    </row>
    <row r="2120" spans="1:80" s="87" customFormat="1" ht="15" x14ac:dyDescent="0.25">
      <c r="A2120" s="152"/>
      <c r="B2120" s="683"/>
      <c r="C2120" s="683"/>
      <c r="D2120" s="698"/>
      <c r="E2120" s="215"/>
      <c r="F2120" s="215"/>
      <c r="G2120" s="153"/>
      <c r="H2120" s="153"/>
      <c r="I2120" s="306">
        <v>20</v>
      </c>
      <c r="J2120" s="306">
        <v>60</v>
      </c>
      <c r="K2120" s="306">
        <v>2</v>
      </c>
      <c r="L2120" s="656">
        <v>40</v>
      </c>
      <c r="M2120" s="663">
        <v>35221</v>
      </c>
      <c r="N2120" s="600">
        <v>1.1381826000000002</v>
      </c>
      <c r="O2120" s="604">
        <v>1.3749760000000001E-2</v>
      </c>
      <c r="P2120" s="150"/>
      <c r="Q2120" s="250"/>
      <c r="R2120" s="250">
        <v>8.5000000000000006E-2</v>
      </c>
      <c r="S2120" s="250">
        <v>3.2000000000000001E-2</v>
      </c>
      <c r="T2120" s="250">
        <v>0.09</v>
      </c>
      <c r="U2120" s="250">
        <v>0.151</v>
      </c>
      <c r="V2120" s="250">
        <v>0.23</v>
      </c>
      <c r="W2120" s="250">
        <v>0.23300000000000001</v>
      </c>
      <c r="X2120" s="502">
        <v>0.17799999999999999</v>
      </c>
      <c r="Y2120" s="250" t="s">
        <v>29</v>
      </c>
      <c r="Z2120" s="150"/>
      <c r="AA2120" s="223">
        <v>1.3056630295156708</v>
      </c>
      <c r="AB2120" s="152"/>
      <c r="AC2120" s="152"/>
      <c r="AD2120" s="223">
        <v>6.0960000000000001</v>
      </c>
      <c r="AE2120" s="223">
        <v>0.23164800000000002</v>
      </c>
      <c r="AF2120" s="223">
        <v>1.41565652352</v>
      </c>
      <c r="AG2120" s="223">
        <v>0.80467200000000005</v>
      </c>
      <c r="AH2120" s="341"/>
      <c r="AI2120" s="218"/>
      <c r="AJ2120" s="218"/>
      <c r="AK2120" s="153"/>
      <c r="AL2120" s="152"/>
      <c r="AM2120" s="152"/>
      <c r="AN2120" s="152"/>
      <c r="AO2120" s="152"/>
      <c r="AP2120" s="152"/>
      <c r="AQ2120" s="152"/>
      <c r="AR2120" s="152"/>
      <c r="AS2120" s="152"/>
      <c r="AT2120" s="152"/>
      <c r="AU2120" s="153"/>
      <c r="AV2120" s="479"/>
      <c r="AW2120" s="479"/>
      <c r="AX2120" s="442"/>
      <c r="AY2120" s="153"/>
      <c r="AZ2120" s="152"/>
      <c r="BA2120" s="152"/>
      <c r="BB2120" s="152"/>
      <c r="BC2120" s="152"/>
      <c r="BD2120" s="152"/>
      <c r="BE2120" s="152"/>
      <c r="BF2120" s="152"/>
      <c r="BG2120" s="152"/>
      <c r="BH2120" s="152"/>
      <c r="BI2120" s="153"/>
      <c r="BJ2120" s="153"/>
      <c r="BK2120" s="153"/>
      <c r="BL2120" s="153"/>
      <c r="BM2120" s="153"/>
      <c r="BN2120" s="153"/>
      <c r="BO2120" s="153"/>
      <c r="BP2120" s="153"/>
      <c r="BQ2120" s="153"/>
      <c r="BR2120" s="153"/>
      <c r="BS2120" s="153"/>
      <c r="BT2120" s="153"/>
      <c r="BU2120" s="153"/>
      <c r="BV2120" s="153"/>
      <c r="BW2120" s="153"/>
      <c r="BX2120" s="153"/>
      <c r="BY2120" s="153"/>
      <c r="BZ2120" s="153"/>
      <c r="CA2120" s="152"/>
      <c r="CB2120" s="152"/>
    </row>
    <row r="2121" spans="1:80" s="87" customFormat="1" ht="15" x14ac:dyDescent="0.25">
      <c r="A2121" s="152"/>
      <c r="B2121" s="683"/>
      <c r="C2121" s="683"/>
      <c r="D2121" s="698"/>
      <c r="E2121" s="215"/>
      <c r="F2121" s="215"/>
      <c r="G2121" s="153"/>
      <c r="H2121" s="153"/>
      <c r="I2121" s="306">
        <v>19</v>
      </c>
      <c r="J2121" s="306">
        <v>60</v>
      </c>
      <c r="K2121" s="306">
        <v>2</v>
      </c>
      <c r="L2121" s="656">
        <v>38</v>
      </c>
      <c r="M2121" s="663">
        <v>35227</v>
      </c>
      <c r="N2121" s="600">
        <v>1.1580017</v>
      </c>
      <c r="O2121" s="604">
        <v>1.4799359999999999E-2</v>
      </c>
      <c r="P2121" s="150"/>
      <c r="Q2121" s="250"/>
      <c r="R2121" s="250"/>
      <c r="S2121" s="250">
        <v>1.3000000000000001E-2</v>
      </c>
      <c r="T2121" s="250">
        <v>9.5000000000000001E-2</v>
      </c>
      <c r="U2121" s="250">
        <v>0.191</v>
      </c>
      <c r="V2121" s="250">
        <v>0.36</v>
      </c>
      <c r="W2121" s="250">
        <v>0.23699999999999999</v>
      </c>
      <c r="X2121" s="502">
        <v>0.10300000000000001</v>
      </c>
      <c r="Y2121" s="250" t="s">
        <v>29</v>
      </c>
      <c r="Z2121" s="150"/>
      <c r="AA2121" s="223">
        <v>1.3594805920176334</v>
      </c>
      <c r="AB2121" s="152"/>
      <c r="AC2121" s="152"/>
      <c r="AD2121" s="223">
        <v>6.0655200000000002</v>
      </c>
      <c r="AE2121" s="223">
        <v>0.23774400000000001</v>
      </c>
      <c r="AF2121" s="223">
        <v>1.44798678144</v>
      </c>
      <c r="AG2121" s="223">
        <v>0.79857600000000006</v>
      </c>
      <c r="AH2121" s="341"/>
      <c r="AI2121" s="218"/>
      <c r="AJ2121" s="218"/>
      <c r="AK2121" s="153"/>
      <c r="AL2121" s="152"/>
      <c r="AM2121" s="152"/>
      <c r="AN2121" s="152"/>
      <c r="AO2121" s="152"/>
      <c r="AP2121" s="152"/>
      <c r="AQ2121" s="152"/>
      <c r="AR2121" s="152"/>
      <c r="AS2121" s="152"/>
      <c r="AT2121" s="152"/>
      <c r="AU2121" s="153"/>
      <c r="AV2121" s="479"/>
      <c r="AW2121" s="479"/>
      <c r="AX2121" s="442"/>
      <c r="AY2121" s="153"/>
      <c r="AZ2121" s="152"/>
      <c r="BA2121" s="152"/>
      <c r="BB2121" s="152"/>
      <c r="BC2121" s="152"/>
      <c r="BD2121" s="152"/>
      <c r="BE2121" s="152"/>
      <c r="BF2121" s="152"/>
      <c r="BG2121" s="152"/>
      <c r="BH2121" s="152"/>
      <c r="BI2121" s="153"/>
      <c r="BJ2121" s="153"/>
      <c r="BK2121" s="153"/>
      <c r="BL2121" s="153"/>
      <c r="BM2121" s="153"/>
      <c r="BN2121" s="153"/>
      <c r="BO2121" s="153"/>
      <c r="BP2121" s="153"/>
      <c r="BQ2121" s="153"/>
      <c r="BR2121" s="153"/>
      <c r="BS2121" s="153"/>
      <c r="BT2121" s="153"/>
      <c r="BU2121" s="153"/>
      <c r="BV2121" s="153"/>
      <c r="BW2121" s="153"/>
      <c r="BX2121" s="153"/>
      <c r="BY2121" s="153"/>
      <c r="BZ2121" s="153"/>
      <c r="CA2121" s="152"/>
      <c r="CB2121" s="152"/>
    </row>
    <row r="2122" spans="1:80" s="87" customFormat="1" ht="15" x14ac:dyDescent="0.25">
      <c r="A2122" s="152"/>
      <c r="B2122" s="683"/>
      <c r="C2122" s="683"/>
      <c r="D2122" s="698"/>
      <c r="E2122" s="215"/>
      <c r="F2122" s="215"/>
      <c r="G2122" s="153"/>
      <c r="H2122" s="153"/>
      <c r="I2122" s="306">
        <v>20</v>
      </c>
      <c r="J2122" s="306">
        <v>60</v>
      </c>
      <c r="K2122" s="306">
        <v>2</v>
      </c>
      <c r="L2122" s="656">
        <v>40</v>
      </c>
      <c r="M2122" s="663">
        <v>35233</v>
      </c>
      <c r="N2122" s="600">
        <v>0.91167860000000012</v>
      </c>
      <c r="O2122" s="604">
        <v>5.9722239999999999E-3</v>
      </c>
      <c r="P2122" s="150"/>
      <c r="Q2122" s="250"/>
      <c r="R2122" s="250"/>
      <c r="S2122" s="250">
        <v>3.3000000000000002E-2</v>
      </c>
      <c r="T2122" s="250">
        <v>9.1999999999999998E-2</v>
      </c>
      <c r="U2122" s="250">
        <v>0.21</v>
      </c>
      <c r="V2122" s="250">
        <v>0.34399999999999997</v>
      </c>
      <c r="W2122" s="250">
        <v>0.218</v>
      </c>
      <c r="X2122" s="502">
        <v>0.10300000000000001</v>
      </c>
      <c r="Y2122" s="250" t="s">
        <v>29</v>
      </c>
      <c r="Z2122" s="150"/>
      <c r="AA2122" s="223">
        <v>1.4343020139038274</v>
      </c>
      <c r="AB2122" s="152"/>
      <c r="AC2122" s="152"/>
      <c r="AD2122" s="223">
        <v>5.9436</v>
      </c>
      <c r="AE2122" s="223">
        <v>0.21335999999999999</v>
      </c>
      <c r="AF2122" s="223">
        <v>1.2726787449600001</v>
      </c>
      <c r="AG2122" s="223">
        <v>0.71628000000000003</v>
      </c>
      <c r="AH2122" s="341"/>
      <c r="AI2122" s="218"/>
      <c r="AJ2122" s="218"/>
      <c r="AK2122" s="153"/>
      <c r="AL2122" s="152"/>
      <c r="AM2122" s="152"/>
      <c r="AN2122" s="152"/>
      <c r="AO2122" s="152"/>
      <c r="AP2122" s="152"/>
      <c r="AQ2122" s="152"/>
      <c r="AR2122" s="152"/>
      <c r="AS2122" s="152"/>
      <c r="AT2122" s="152"/>
      <c r="AU2122" s="153"/>
      <c r="AV2122" s="479"/>
      <c r="AW2122" s="479"/>
      <c r="AX2122" s="442"/>
      <c r="AY2122" s="153"/>
      <c r="AZ2122" s="152"/>
      <c r="BA2122" s="152"/>
      <c r="BB2122" s="152"/>
      <c r="BC2122" s="152"/>
      <c r="BD2122" s="152"/>
      <c r="BE2122" s="152"/>
      <c r="BF2122" s="152"/>
      <c r="BG2122" s="152"/>
      <c r="BH2122" s="152"/>
      <c r="BI2122" s="153"/>
      <c r="BJ2122" s="153"/>
      <c r="BK2122" s="153"/>
      <c r="BL2122" s="153"/>
      <c r="BM2122" s="153"/>
      <c r="BN2122" s="153"/>
      <c r="BO2122" s="153"/>
      <c r="BP2122" s="153"/>
      <c r="BQ2122" s="153"/>
      <c r="BR2122" s="153"/>
      <c r="BS2122" s="153"/>
      <c r="BT2122" s="153"/>
      <c r="BU2122" s="153"/>
      <c r="BV2122" s="153"/>
      <c r="BW2122" s="153"/>
      <c r="BX2122" s="153"/>
      <c r="BY2122" s="153"/>
      <c r="BZ2122" s="153"/>
      <c r="CA2122" s="152"/>
      <c r="CB2122" s="152"/>
    </row>
    <row r="2123" spans="1:80" s="87" customFormat="1" ht="15" x14ac:dyDescent="0.25">
      <c r="A2123" s="152"/>
      <c r="B2123" s="683"/>
      <c r="C2123" s="683"/>
      <c r="D2123" s="698"/>
      <c r="E2123" s="215"/>
      <c r="F2123" s="215"/>
      <c r="G2123" s="153"/>
      <c r="H2123" s="153"/>
      <c r="I2123" s="306">
        <v>19</v>
      </c>
      <c r="J2123" s="306">
        <v>60</v>
      </c>
      <c r="K2123" s="306">
        <v>2</v>
      </c>
      <c r="L2123" s="656">
        <v>38</v>
      </c>
      <c r="M2123" s="663">
        <v>35240</v>
      </c>
      <c r="N2123" s="600">
        <v>0.83240219999999998</v>
      </c>
      <c r="O2123" s="604">
        <v>1.1545600000000001E-2</v>
      </c>
      <c r="P2123" s="150"/>
      <c r="Q2123" s="250"/>
      <c r="R2123" s="250"/>
      <c r="S2123" s="250">
        <v>4.0999999999999995E-2</v>
      </c>
      <c r="T2123" s="250">
        <v>5.2999999999999999E-2</v>
      </c>
      <c r="U2123" s="250">
        <v>0.21600000000000003</v>
      </c>
      <c r="V2123" s="250">
        <v>0.38600000000000001</v>
      </c>
      <c r="W2123" s="250">
        <v>0.21600000000000003</v>
      </c>
      <c r="X2123" s="502">
        <v>8.7000000000000008E-2</v>
      </c>
      <c r="Y2123" s="250" t="s">
        <v>29</v>
      </c>
      <c r="Z2123" s="150"/>
      <c r="AA2123" s="223">
        <v>1.4231299037262448</v>
      </c>
      <c r="AB2123" s="152"/>
      <c r="AC2123" s="152"/>
      <c r="AD2123" s="223">
        <v>5.8521600000000005</v>
      </c>
      <c r="AE2123" s="223">
        <v>0.21945600000000001</v>
      </c>
      <c r="AF2123" s="223">
        <v>1.2802967942400001</v>
      </c>
      <c r="AG2123" s="223">
        <v>0.64922400000000002</v>
      </c>
      <c r="AH2123" s="341"/>
      <c r="AI2123" s="218"/>
      <c r="AJ2123" s="218"/>
      <c r="AK2123" s="153"/>
      <c r="AL2123" s="152"/>
      <c r="AM2123" s="152"/>
      <c r="AN2123" s="152"/>
      <c r="AO2123" s="152"/>
      <c r="AP2123" s="152"/>
      <c r="AQ2123" s="152"/>
      <c r="AR2123" s="152"/>
      <c r="AS2123" s="152"/>
      <c r="AT2123" s="152"/>
      <c r="AU2123" s="153"/>
      <c r="AV2123" s="479"/>
      <c r="AW2123" s="479"/>
      <c r="AX2123" s="442"/>
      <c r="AY2123" s="153"/>
      <c r="AZ2123" s="152"/>
      <c r="BA2123" s="152"/>
      <c r="BB2123" s="152"/>
      <c r="BC2123" s="152"/>
      <c r="BD2123" s="152"/>
      <c r="BE2123" s="152"/>
      <c r="BF2123" s="152"/>
      <c r="BG2123" s="152"/>
      <c r="BH2123" s="152"/>
      <c r="BI2123" s="153"/>
      <c r="BJ2123" s="153"/>
      <c r="BK2123" s="153"/>
      <c r="BL2123" s="153"/>
      <c r="BM2123" s="153"/>
      <c r="BN2123" s="153"/>
      <c r="BO2123" s="153"/>
      <c r="BP2123" s="153"/>
      <c r="BQ2123" s="153"/>
      <c r="BR2123" s="153"/>
      <c r="BS2123" s="153"/>
      <c r="BT2123" s="153"/>
      <c r="BU2123" s="153"/>
      <c r="BV2123" s="153"/>
      <c r="BW2123" s="153"/>
      <c r="BX2123" s="153"/>
      <c r="BY2123" s="153"/>
      <c r="BZ2123" s="153"/>
      <c r="CA2123" s="152"/>
      <c r="CB2123" s="152"/>
    </row>
    <row r="2124" spans="1:80" s="87" customFormat="1" ht="15" x14ac:dyDescent="0.25">
      <c r="A2124" s="152"/>
      <c r="B2124" s="683"/>
      <c r="C2124" s="683"/>
      <c r="D2124" s="698"/>
      <c r="E2124" s="215"/>
      <c r="F2124" s="215"/>
      <c r="G2124" s="153"/>
      <c r="H2124" s="153"/>
      <c r="I2124" s="306">
        <v>19</v>
      </c>
      <c r="J2124" s="306">
        <v>60</v>
      </c>
      <c r="K2124" s="306">
        <v>2</v>
      </c>
      <c r="L2124" s="656">
        <v>38</v>
      </c>
      <c r="M2124" s="663">
        <v>35247</v>
      </c>
      <c r="N2124" s="600">
        <v>0.72764410000000002</v>
      </c>
      <c r="O2124" s="604">
        <v>4.597248E-3</v>
      </c>
      <c r="P2124" s="150"/>
      <c r="Q2124" s="250"/>
      <c r="R2124" s="250"/>
      <c r="S2124" s="250">
        <v>0.109</v>
      </c>
      <c r="T2124" s="250">
        <v>6.5000000000000002E-2</v>
      </c>
      <c r="U2124" s="250">
        <v>0.14800000000000002</v>
      </c>
      <c r="V2124" s="250">
        <v>0.33299999999999996</v>
      </c>
      <c r="W2124" s="250">
        <v>0.24</v>
      </c>
      <c r="X2124" s="502">
        <v>0.105</v>
      </c>
      <c r="Y2124" s="250" t="s">
        <v>29</v>
      </c>
      <c r="Z2124" s="150"/>
      <c r="AA2124" s="223">
        <v>1.380762765418962</v>
      </c>
      <c r="AB2124" s="152"/>
      <c r="AC2124" s="152"/>
      <c r="AD2124" s="223">
        <v>5.5168800000000005</v>
      </c>
      <c r="AE2124" s="223">
        <v>0.21640799999999999</v>
      </c>
      <c r="AF2124" s="223">
        <v>1.1948259974400002</v>
      </c>
      <c r="AG2124" s="223">
        <v>0.60655199999999998</v>
      </c>
      <c r="AH2124" s="341"/>
      <c r="AI2124" s="218"/>
      <c r="AJ2124" s="218"/>
      <c r="AK2124" s="153"/>
      <c r="AL2124" s="152"/>
      <c r="AM2124" s="152"/>
      <c r="AN2124" s="152"/>
      <c r="AO2124" s="152"/>
      <c r="AP2124" s="152"/>
      <c r="AQ2124" s="152"/>
      <c r="AR2124" s="152"/>
      <c r="AS2124" s="152"/>
      <c r="AT2124" s="152"/>
      <c r="AU2124" s="153"/>
      <c r="AV2124" s="479"/>
      <c r="AW2124" s="479"/>
      <c r="AX2124" s="442"/>
      <c r="AY2124" s="153"/>
      <c r="AZ2124" s="152"/>
      <c r="BA2124" s="152"/>
      <c r="BB2124" s="152"/>
      <c r="BC2124" s="152"/>
      <c r="BD2124" s="152"/>
      <c r="BE2124" s="152"/>
      <c r="BF2124" s="152"/>
      <c r="BG2124" s="152"/>
      <c r="BH2124" s="152"/>
      <c r="BI2124" s="153"/>
      <c r="BJ2124" s="153"/>
      <c r="BK2124" s="153"/>
      <c r="BL2124" s="153"/>
      <c r="BM2124" s="153"/>
      <c r="BN2124" s="153"/>
      <c r="BO2124" s="153"/>
      <c r="BP2124" s="153"/>
      <c r="BQ2124" s="153"/>
      <c r="BR2124" s="153"/>
      <c r="BS2124" s="153"/>
      <c r="BT2124" s="153"/>
      <c r="BU2124" s="153"/>
      <c r="BV2124" s="153"/>
      <c r="BW2124" s="153"/>
      <c r="BX2124" s="153"/>
      <c r="BY2124" s="153"/>
      <c r="BZ2124" s="153"/>
      <c r="CA2124" s="152"/>
      <c r="CB2124" s="152"/>
    </row>
    <row r="2125" spans="1:80" s="87" customFormat="1" ht="15" x14ac:dyDescent="0.25">
      <c r="A2125" s="152"/>
      <c r="B2125" s="683"/>
      <c r="C2125" s="683"/>
      <c r="D2125" s="698"/>
      <c r="E2125" s="215"/>
      <c r="F2125" s="215"/>
      <c r="G2125" s="153"/>
      <c r="H2125" s="153"/>
      <c r="I2125" s="306">
        <v>18</v>
      </c>
      <c r="J2125" s="306">
        <v>60</v>
      </c>
      <c r="K2125" s="306">
        <v>2</v>
      </c>
      <c r="L2125" s="656">
        <v>36</v>
      </c>
      <c r="M2125" s="663">
        <v>35254</v>
      </c>
      <c r="N2125" s="600">
        <v>0.65119900000000008</v>
      </c>
      <c r="O2125" s="604">
        <v>3.4216960000000001E-3</v>
      </c>
      <c r="P2125" s="150"/>
      <c r="Q2125" s="250"/>
      <c r="R2125" s="250"/>
      <c r="S2125" s="250"/>
      <c r="T2125" s="250">
        <v>1.9E-2</v>
      </c>
      <c r="U2125" s="250">
        <v>0.11199999999999999</v>
      </c>
      <c r="V2125" s="250">
        <v>0.44700000000000001</v>
      </c>
      <c r="W2125" s="250">
        <v>0.3</v>
      </c>
      <c r="X2125" s="502">
        <v>0.122</v>
      </c>
      <c r="Y2125" s="250" t="s">
        <v>29</v>
      </c>
      <c r="Z2125" s="150"/>
      <c r="AA2125" s="223">
        <v>1.1285705782979063</v>
      </c>
      <c r="AB2125" s="152"/>
      <c r="AC2125" s="152"/>
      <c r="AD2125" s="223">
        <v>5.5473600000000003</v>
      </c>
      <c r="AE2125" s="223">
        <v>0.20421600000000001</v>
      </c>
      <c r="AF2125" s="223">
        <v>1.1381551430400001</v>
      </c>
      <c r="AG2125" s="223">
        <v>0.57302399999999998</v>
      </c>
      <c r="AH2125" s="341"/>
      <c r="AI2125" s="218"/>
      <c r="AJ2125" s="218"/>
      <c r="AK2125" s="153"/>
      <c r="AL2125" s="152"/>
      <c r="AM2125" s="152"/>
      <c r="AN2125" s="152"/>
      <c r="AO2125" s="152"/>
      <c r="AP2125" s="152"/>
      <c r="AQ2125" s="152"/>
      <c r="AR2125" s="152"/>
      <c r="AS2125" s="152"/>
      <c r="AT2125" s="152"/>
      <c r="AU2125" s="153"/>
      <c r="AV2125" s="479"/>
      <c r="AW2125" s="479"/>
      <c r="AX2125" s="442"/>
      <c r="AY2125" s="153"/>
      <c r="AZ2125" s="152"/>
      <c r="BA2125" s="152"/>
      <c r="BB2125" s="152"/>
      <c r="BC2125" s="152"/>
      <c r="BD2125" s="152"/>
      <c r="BE2125" s="152"/>
      <c r="BF2125" s="152"/>
      <c r="BG2125" s="152"/>
      <c r="BH2125" s="152"/>
      <c r="BI2125" s="153"/>
      <c r="BJ2125" s="153"/>
      <c r="BK2125" s="153"/>
      <c r="BL2125" s="153"/>
      <c r="BM2125" s="153"/>
      <c r="BN2125" s="153"/>
      <c r="BO2125" s="153"/>
      <c r="BP2125" s="153"/>
      <c r="BQ2125" s="153"/>
      <c r="BR2125" s="153"/>
      <c r="BS2125" s="153"/>
      <c r="BT2125" s="153"/>
      <c r="BU2125" s="153"/>
      <c r="BV2125" s="153"/>
      <c r="BW2125" s="153"/>
      <c r="BX2125" s="153"/>
      <c r="BY2125" s="153"/>
      <c r="BZ2125" s="153"/>
      <c r="CA2125" s="152"/>
      <c r="CB2125" s="152"/>
    </row>
    <row r="2126" spans="1:80" ht="15" x14ac:dyDescent="0.25">
      <c r="A2126" s="9" t="s">
        <v>188</v>
      </c>
      <c r="B2126" s="639" t="s">
        <v>66</v>
      </c>
      <c r="C2126" s="639"/>
      <c r="D2126" s="4">
        <f>VLOOKUP(E2126,'Quality Code'!D4:E24,2,TRUE)*VLOOKUP(MROUND(F2126,10),'Quality Code'!D28:E69,2,TRUE)*VLOOKUP(COUNTA(CB2126:CB2159),'Quality Code'!D73:E93,2,TRUE)</f>
        <v>2.9750000000000001</v>
      </c>
      <c r="E2126" s="14">
        <v>0.85</v>
      </c>
      <c r="F2126" s="18">
        <v>72</v>
      </c>
      <c r="G2126" s="12">
        <v>284.87</v>
      </c>
      <c r="H2126" s="2" t="s">
        <v>231</v>
      </c>
      <c r="I2126" s="10"/>
      <c r="J2126" s="10" t="s">
        <v>283</v>
      </c>
      <c r="K2126" s="10"/>
      <c r="L2126" s="640" t="s">
        <v>284</v>
      </c>
      <c r="M2126" s="640" t="s">
        <v>841</v>
      </c>
      <c r="N2126" s="579" t="s">
        <v>110</v>
      </c>
      <c r="O2126" s="579"/>
      <c r="P2126" s="10" t="s">
        <v>64</v>
      </c>
      <c r="Q2126" s="10" t="s">
        <v>64</v>
      </c>
      <c r="R2126" s="10" t="s">
        <v>64</v>
      </c>
      <c r="S2126" s="10" t="s">
        <v>64</v>
      </c>
      <c r="T2126" s="10" t="s">
        <v>64</v>
      </c>
      <c r="U2126" s="10" t="s">
        <v>64</v>
      </c>
      <c r="V2126" s="10"/>
      <c r="W2126" s="141"/>
      <c r="X2126" s="141"/>
      <c r="Y2126" s="141"/>
      <c r="Z2126" s="11"/>
      <c r="AA2126" s="81"/>
      <c r="AB2126" s="81"/>
      <c r="AC2126" s="85">
        <v>7.7000000000000002E-3</v>
      </c>
      <c r="AD2126" s="26"/>
      <c r="AE2126" s="26"/>
      <c r="AF2126" s="26"/>
      <c r="AG2126" s="26"/>
      <c r="AH2126" s="330" t="s">
        <v>322</v>
      </c>
      <c r="AI2126" s="123"/>
      <c r="AJ2126" s="123"/>
      <c r="AK2126" s="17"/>
      <c r="AL2126" s="17"/>
      <c r="AM2126" s="17"/>
      <c r="AN2126" s="17"/>
      <c r="AO2126" s="17"/>
      <c r="AP2126" s="17"/>
      <c r="AQ2126" s="17"/>
      <c r="AR2126" s="17"/>
      <c r="AS2126" s="17"/>
      <c r="AT2126" s="17"/>
      <c r="AU2126" s="18">
        <v>67</v>
      </c>
      <c r="AV2126" s="147">
        <v>1</v>
      </c>
      <c r="AW2126" s="147">
        <v>1</v>
      </c>
      <c r="AX2126" s="147">
        <v>1</v>
      </c>
      <c r="AY2126" s="147">
        <v>0.9</v>
      </c>
      <c r="AZ2126" s="17">
        <v>0.47</v>
      </c>
      <c r="BA2126" s="17">
        <v>0.12</v>
      </c>
      <c r="BB2126" s="17">
        <v>0.01</v>
      </c>
      <c r="BC2126" s="17">
        <v>0</v>
      </c>
      <c r="BD2126" s="17">
        <v>0</v>
      </c>
      <c r="BE2126" s="17">
        <v>0</v>
      </c>
      <c r="BF2126" s="17"/>
      <c r="BG2126" s="17"/>
      <c r="BH2126" s="17"/>
      <c r="BI2126" s="4"/>
      <c r="BJ2126" s="2"/>
      <c r="BK2126" s="2" t="s">
        <v>175</v>
      </c>
      <c r="BL2126" s="12"/>
      <c r="BM2126" s="12">
        <v>5.4643499999999996</v>
      </c>
      <c r="BN2126" s="12">
        <v>9.0979815000000013</v>
      </c>
      <c r="BO2126" s="12">
        <v>0.46632870000000004</v>
      </c>
      <c r="BP2126" s="12">
        <v>4.2517583800000001</v>
      </c>
      <c r="BQ2126" s="12">
        <f>BN2126/BO2126</f>
        <v>19.509803921568629</v>
      </c>
      <c r="BR2126" s="12" t="s">
        <v>276</v>
      </c>
      <c r="BS2126" s="12"/>
      <c r="BT2126" s="12"/>
      <c r="BU2126" s="2"/>
      <c r="BV2126" s="2"/>
      <c r="BW2126" s="2"/>
      <c r="BX2126" s="2"/>
      <c r="BY2126" s="2" t="s">
        <v>447</v>
      </c>
      <c r="BZ2126" s="2"/>
      <c r="CA2126" s="381"/>
      <c r="CB2126" s="9" t="s">
        <v>224</v>
      </c>
    </row>
    <row r="2127" spans="1:80" s="87" customFormat="1" ht="16.5" x14ac:dyDescent="0.3">
      <c r="A2127" s="152"/>
      <c r="B2127" s="683"/>
      <c r="C2127" s="683"/>
      <c r="D2127" s="698"/>
      <c r="E2127" s="215"/>
      <c r="F2127" s="215"/>
      <c r="G2127" s="153"/>
      <c r="H2127" s="153"/>
      <c r="I2127" s="309">
        <v>21</v>
      </c>
      <c r="J2127" s="309">
        <v>30</v>
      </c>
      <c r="K2127" s="150">
        <v>1</v>
      </c>
      <c r="L2127" s="656">
        <v>10.5</v>
      </c>
      <c r="M2127" s="663">
        <v>34459</v>
      </c>
      <c r="N2127" s="600">
        <v>0.52662180000000003</v>
      </c>
      <c r="O2127" s="604">
        <v>1.6373760000000001E-3</v>
      </c>
      <c r="P2127" s="150"/>
      <c r="Q2127" s="250"/>
      <c r="R2127" s="250"/>
      <c r="S2127" s="250"/>
      <c r="T2127" s="250">
        <v>2.7300000000000001E-2</v>
      </c>
      <c r="U2127" s="250">
        <v>6.0700000000000004E-2</v>
      </c>
      <c r="V2127" s="742">
        <v>0.91189999999999993</v>
      </c>
      <c r="W2127" s="744"/>
      <c r="X2127" s="745"/>
      <c r="Y2127" s="746"/>
      <c r="Z2127" s="245">
        <v>6</v>
      </c>
      <c r="AA2127" s="150">
        <v>0.5</v>
      </c>
      <c r="AB2127" s="152"/>
      <c r="AC2127" s="152"/>
      <c r="AD2127" s="223">
        <v>7.8879652</v>
      </c>
      <c r="AE2127" s="223">
        <v>0.15849079999999999</v>
      </c>
      <c r="AF2127" s="223">
        <v>1.2401348999999999</v>
      </c>
      <c r="AG2127" s="223">
        <v>0.44194549999999999</v>
      </c>
      <c r="AH2127" s="340" t="s">
        <v>323</v>
      </c>
      <c r="AI2127" s="218"/>
      <c r="AJ2127" s="218"/>
      <c r="AK2127" s="153"/>
      <c r="AL2127" s="152"/>
      <c r="AM2127" s="152"/>
      <c r="AN2127" s="152"/>
      <c r="AO2127" s="152"/>
      <c r="AP2127" s="152"/>
      <c r="AQ2127" s="152"/>
      <c r="AR2127" s="152"/>
      <c r="AS2127" s="152"/>
      <c r="AT2127" s="152"/>
      <c r="AU2127" s="153"/>
      <c r="AV2127" s="479"/>
      <c r="AW2127" s="479"/>
      <c r="AX2127" s="442"/>
      <c r="AY2127" s="153"/>
      <c r="AZ2127" s="152"/>
      <c r="BA2127" s="152"/>
      <c r="BB2127" s="152"/>
      <c r="BC2127" s="152"/>
      <c r="BD2127" s="152"/>
      <c r="BE2127" s="152"/>
      <c r="BF2127" s="152"/>
      <c r="BG2127" s="152"/>
      <c r="BH2127" s="152"/>
      <c r="BI2127" s="153"/>
      <c r="BJ2127" s="153"/>
      <c r="BK2127" s="153"/>
      <c r="BL2127" s="153"/>
      <c r="BM2127" s="153"/>
      <c r="BN2127" s="153"/>
      <c r="BO2127" s="153"/>
      <c r="BP2127" s="153"/>
      <c r="BQ2127" s="153"/>
      <c r="BR2127" s="153"/>
      <c r="BS2127" s="153"/>
      <c r="BT2127" s="153"/>
      <c r="BU2127" s="153"/>
      <c r="BV2127" s="153"/>
      <c r="BW2127" s="153"/>
      <c r="BX2127" s="153"/>
      <c r="BY2127" s="153"/>
      <c r="BZ2127" s="153"/>
      <c r="CA2127" s="152"/>
      <c r="CB2127" s="154" t="s">
        <v>597</v>
      </c>
    </row>
    <row r="2128" spans="1:80" s="87" customFormat="1" ht="16.5" x14ac:dyDescent="0.3">
      <c r="A2128" s="152"/>
      <c r="B2128" s="683"/>
      <c r="C2128" s="683"/>
      <c r="D2128" s="698"/>
      <c r="E2128" s="215"/>
      <c r="F2128" s="215"/>
      <c r="G2128" s="153"/>
      <c r="H2128" s="153"/>
      <c r="I2128" s="310">
        <v>21</v>
      </c>
      <c r="J2128" s="310">
        <v>30</v>
      </c>
      <c r="K2128" s="150">
        <v>1</v>
      </c>
      <c r="L2128" s="656">
        <v>10.5</v>
      </c>
      <c r="M2128" s="663">
        <v>34459</v>
      </c>
      <c r="N2128" s="600">
        <v>0.52662180000000003</v>
      </c>
      <c r="O2128" s="604">
        <v>2.0257280000000001E-3</v>
      </c>
      <c r="P2128" s="150"/>
      <c r="Q2128" s="250"/>
      <c r="R2128" s="250"/>
      <c r="S2128" s="250"/>
      <c r="T2128" s="250"/>
      <c r="U2128" s="250">
        <v>3.0200000000000001E-2</v>
      </c>
      <c r="V2128" s="742">
        <v>0.9698</v>
      </c>
      <c r="W2128" s="747"/>
      <c r="X2128" s="743"/>
      <c r="Y2128" s="246"/>
      <c r="Z2128" s="245">
        <v>3.5</v>
      </c>
      <c r="AA2128" s="150">
        <v>0.6</v>
      </c>
      <c r="AB2128" s="152"/>
      <c r="AC2128" s="152"/>
      <c r="AD2128" s="223">
        <v>7.8879652</v>
      </c>
      <c r="AE2128" s="223">
        <v>0.15849079999999999</v>
      </c>
      <c r="AF2128" s="223">
        <v>1.2401348999999999</v>
      </c>
      <c r="AG2128" s="223">
        <v>0.44194549999999999</v>
      </c>
      <c r="AH2128" s="340" t="s">
        <v>324</v>
      </c>
      <c r="AI2128" s="218"/>
      <c r="AJ2128" s="218"/>
      <c r="AK2128" s="153"/>
      <c r="AL2128" s="152"/>
      <c r="AM2128" s="152"/>
      <c r="AN2128" s="152"/>
      <c r="AO2128" s="152"/>
      <c r="AP2128" s="152"/>
      <c r="AQ2128" s="152"/>
      <c r="AR2128" s="152"/>
      <c r="AS2128" s="152"/>
      <c r="AT2128" s="152"/>
      <c r="AU2128" s="153"/>
      <c r="AV2128" s="479"/>
      <c r="AW2128" s="479"/>
      <c r="AX2128" s="442"/>
      <c r="AY2128" s="153"/>
      <c r="AZ2128" s="152"/>
      <c r="BA2128" s="152"/>
      <c r="BB2128" s="152"/>
      <c r="BC2128" s="152"/>
      <c r="BD2128" s="152"/>
      <c r="BE2128" s="152"/>
      <c r="BF2128" s="152"/>
      <c r="BG2128" s="152"/>
      <c r="BH2128" s="152"/>
      <c r="BI2128" s="153"/>
      <c r="BJ2128" s="153"/>
      <c r="BK2128" s="153"/>
      <c r="BL2128" s="153"/>
      <c r="BM2128" s="153"/>
      <c r="BN2128" s="153"/>
      <c r="BO2128" s="153"/>
      <c r="BP2128" s="153"/>
      <c r="BQ2128" s="153"/>
      <c r="BR2128" s="153"/>
      <c r="BS2128" s="153"/>
      <c r="BT2128" s="153"/>
      <c r="BU2128" s="153"/>
      <c r="BV2128" s="153"/>
      <c r="BW2128" s="153"/>
      <c r="BX2128" s="153"/>
      <c r="BY2128" s="153"/>
      <c r="BZ2128" s="153"/>
      <c r="CA2128" s="152"/>
      <c r="CB2128" s="486" t="s">
        <v>639</v>
      </c>
    </row>
    <row r="2129" spans="1:80" s="87" customFormat="1" ht="16.5" x14ac:dyDescent="0.3">
      <c r="A2129" s="152"/>
      <c r="B2129" s="683"/>
      <c r="C2129" s="683"/>
      <c r="D2129" s="698"/>
      <c r="E2129" s="215"/>
      <c r="F2129" s="215"/>
      <c r="G2129" s="153"/>
      <c r="H2129" s="153"/>
      <c r="I2129" s="310">
        <v>20</v>
      </c>
      <c r="J2129" s="310">
        <v>30</v>
      </c>
      <c r="K2129" s="150">
        <v>1</v>
      </c>
      <c r="L2129" s="656">
        <v>10</v>
      </c>
      <c r="M2129" s="663">
        <v>34461</v>
      </c>
      <c r="N2129" s="600">
        <v>0.64836769999999999</v>
      </c>
      <c r="O2129" s="604">
        <v>1.2070400000000002E-3</v>
      </c>
      <c r="P2129" s="150"/>
      <c r="Q2129" s="250"/>
      <c r="R2129" s="250"/>
      <c r="S2129" s="250"/>
      <c r="T2129" s="250"/>
      <c r="U2129" s="250">
        <v>6.8699999999999997E-2</v>
      </c>
      <c r="V2129" s="742">
        <v>0.93129999999999991</v>
      </c>
      <c r="W2129" s="747"/>
      <c r="X2129" s="743"/>
      <c r="Y2129" s="246"/>
      <c r="Z2129" s="245">
        <v>4</v>
      </c>
      <c r="AA2129" s="150">
        <v>0.6</v>
      </c>
      <c r="AB2129" s="152"/>
      <c r="AC2129" s="152"/>
      <c r="AD2129" s="223">
        <v>7.8971089000000001</v>
      </c>
      <c r="AE2129" s="223">
        <v>0.16763449999999999</v>
      </c>
      <c r="AF2129" s="223">
        <v>1.3302420800000001</v>
      </c>
      <c r="AG2129" s="223">
        <v>0.49375980000000003</v>
      </c>
      <c r="AH2129" s="340" t="s">
        <v>325</v>
      </c>
      <c r="AI2129" s="218"/>
      <c r="AJ2129" s="218"/>
      <c r="AK2129" s="153"/>
      <c r="AL2129" s="152"/>
      <c r="AM2129" s="152"/>
      <c r="AN2129" s="152"/>
      <c r="AO2129" s="152"/>
      <c r="AP2129" s="152"/>
      <c r="AQ2129" s="152"/>
      <c r="AR2129" s="152"/>
      <c r="AS2129" s="152"/>
      <c r="AT2129" s="152"/>
      <c r="AU2129" s="153"/>
      <c r="AV2129" s="479"/>
      <c r="AW2129" s="479"/>
      <c r="AX2129" s="442"/>
      <c r="AY2129" s="153"/>
      <c r="AZ2129" s="152"/>
      <c r="BA2129" s="152"/>
      <c r="BB2129" s="152"/>
      <c r="BC2129" s="152"/>
      <c r="BD2129" s="152"/>
      <c r="BE2129" s="152"/>
      <c r="BF2129" s="152"/>
      <c r="BG2129" s="152"/>
      <c r="BH2129" s="152"/>
      <c r="BI2129" s="153"/>
      <c r="BJ2129" s="153"/>
      <c r="BK2129" s="153"/>
      <c r="BL2129" s="153"/>
      <c r="BM2129" s="153"/>
      <c r="BN2129" s="153"/>
      <c r="BO2129" s="153"/>
      <c r="BP2129" s="153"/>
      <c r="BQ2129" s="153"/>
      <c r="BR2129" s="153"/>
      <c r="BS2129" s="153"/>
      <c r="BT2129" s="153"/>
      <c r="BU2129" s="153"/>
      <c r="BV2129" s="153"/>
      <c r="BW2129" s="153"/>
      <c r="BX2129" s="153"/>
      <c r="BY2129" s="153"/>
      <c r="BZ2129" s="153"/>
      <c r="CA2129" s="152"/>
      <c r="CB2129" s="486" t="s">
        <v>640</v>
      </c>
    </row>
    <row r="2130" spans="1:80" s="87" customFormat="1" ht="16.5" x14ac:dyDescent="0.3">
      <c r="A2130" s="152"/>
      <c r="B2130" s="683"/>
      <c r="C2130" s="683"/>
      <c r="D2130" s="698"/>
      <c r="E2130" s="215"/>
      <c r="F2130" s="215"/>
      <c r="G2130" s="153"/>
      <c r="H2130" s="153"/>
      <c r="I2130" s="310">
        <v>20</v>
      </c>
      <c r="J2130" s="310">
        <v>30</v>
      </c>
      <c r="K2130" s="150">
        <v>1</v>
      </c>
      <c r="L2130" s="656">
        <v>10</v>
      </c>
      <c r="M2130" s="663">
        <v>34461</v>
      </c>
      <c r="N2130" s="600">
        <v>0.64836769999999999</v>
      </c>
      <c r="O2130" s="604">
        <v>1.4589440000000002E-3</v>
      </c>
      <c r="P2130" s="150"/>
      <c r="Q2130" s="250"/>
      <c r="R2130" s="250"/>
      <c r="S2130" s="250"/>
      <c r="T2130" s="250"/>
      <c r="U2130" s="250">
        <v>2.1400000000000002E-2</v>
      </c>
      <c r="V2130" s="742">
        <v>0.97860000000000003</v>
      </c>
      <c r="W2130" s="747"/>
      <c r="X2130" s="743"/>
      <c r="Y2130" s="246"/>
      <c r="Z2130" s="245">
        <v>3</v>
      </c>
      <c r="AA2130" s="150">
        <v>0.5</v>
      </c>
      <c r="AB2130" s="152"/>
      <c r="AC2130" s="152"/>
      <c r="AD2130" s="223">
        <v>7.8971089000000001</v>
      </c>
      <c r="AE2130" s="223">
        <v>0.16763449999999999</v>
      </c>
      <c r="AF2130" s="223">
        <v>1.3302420800000001</v>
      </c>
      <c r="AG2130" s="223">
        <v>0.49375980000000003</v>
      </c>
      <c r="AH2130" s="341"/>
      <c r="AI2130" s="218"/>
      <c r="AJ2130" s="218"/>
      <c r="AK2130" s="153"/>
      <c r="AL2130" s="152"/>
      <c r="AM2130" s="152"/>
      <c r="AN2130" s="152"/>
      <c r="AO2130" s="152"/>
      <c r="AP2130" s="152"/>
      <c r="AQ2130" s="152"/>
      <c r="AR2130" s="152"/>
      <c r="AS2130" s="152"/>
      <c r="AT2130" s="152"/>
      <c r="AU2130" s="153"/>
      <c r="AV2130" s="479"/>
      <c r="AW2130" s="479"/>
      <c r="AX2130" s="442"/>
      <c r="AY2130" s="153"/>
      <c r="AZ2130" s="152"/>
      <c r="BA2130" s="152"/>
      <c r="BB2130" s="152"/>
      <c r="BC2130" s="152"/>
      <c r="BD2130" s="152"/>
      <c r="BE2130" s="152"/>
      <c r="BF2130" s="152"/>
      <c r="BG2130" s="152"/>
      <c r="BH2130" s="152"/>
      <c r="BI2130" s="153"/>
      <c r="BJ2130" s="153"/>
      <c r="BK2130" s="153"/>
      <c r="BL2130" s="153"/>
      <c r="BM2130" s="153"/>
      <c r="BN2130" s="153"/>
      <c r="BO2130" s="153"/>
      <c r="BP2130" s="153"/>
      <c r="BQ2130" s="153"/>
      <c r="BR2130" s="153"/>
      <c r="BS2130" s="153"/>
      <c r="BT2130" s="153"/>
      <c r="BU2130" s="153"/>
      <c r="BV2130" s="153"/>
      <c r="BW2130" s="153"/>
      <c r="BX2130" s="153"/>
      <c r="BY2130" s="153"/>
      <c r="BZ2130" s="153"/>
      <c r="CA2130" s="152"/>
      <c r="CB2130" s="152"/>
    </row>
    <row r="2131" spans="1:80" s="87" customFormat="1" ht="16.5" x14ac:dyDescent="0.3">
      <c r="A2131" s="152"/>
      <c r="B2131" s="683"/>
      <c r="C2131" s="683"/>
      <c r="D2131" s="698"/>
      <c r="E2131" s="215"/>
      <c r="F2131" s="215"/>
      <c r="G2131" s="153"/>
      <c r="H2131" s="153"/>
      <c r="I2131" s="310">
        <v>23</v>
      </c>
      <c r="J2131" s="310">
        <v>30</v>
      </c>
      <c r="K2131" s="150">
        <v>1</v>
      </c>
      <c r="L2131" s="656">
        <v>11.5</v>
      </c>
      <c r="M2131" s="663">
        <v>34463</v>
      </c>
      <c r="N2131" s="600">
        <v>0.7134876</v>
      </c>
      <c r="O2131" s="604">
        <v>6.0037119999999996E-3</v>
      </c>
      <c r="P2131" s="150"/>
      <c r="Q2131" s="250"/>
      <c r="R2131" s="250"/>
      <c r="S2131" s="250"/>
      <c r="T2131" s="250">
        <v>8.6300000000000002E-2</v>
      </c>
      <c r="U2131" s="250">
        <v>0.18140000000000001</v>
      </c>
      <c r="V2131" s="742">
        <v>0.73239999999999994</v>
      </c>
      <c r="W2131" s="747"/>
      <c r="X2131" s="743"/>
      <c r="Y2131" s="246"/>
      <c r="Z2131" s="245">
        <v>8</v>
      </c>
      <c r="AA2131" s="150">
        <v>1</v>
      </c>
      <c r="AB2131" s="152"/>
      <c r="AC2131" s="152"/>
      <c r="AD2131" s="223">
        <v>7.7965282</v>
      </c>
      <c r="AE2131" s="223">
        <v>0.1767782</v>
      </c>
      <c r="AF2131" s="223">
        <v>1.38690742</v>
      </c>
      <c r="AG2131" s="223">
        <v>0.46328079999999999</v>
      </c>
      <c r="AH2131" s="341"/>
      <c r="AI2131" s="218"/>
      <c r="AJ2131" s="218"/>
      <c r="AK2131" s="153"/>
      <c r="AL2131" s="152"/>
      <c r="AM2131" s="152"/>
      <c r="AN2131" s="152"/>
      <c r="AO2131" s="152"/>
      <c r="AP2131" s="152"/>
      <c r="AQ2131" s="152"/>
      <c r="AR2131" s="152"/>
      <c r="AS2131" s="152"/>
      <c r="AT2131" s="152"/>
      <c r="AU2131" s="153"/>
      <c r="AV2131" s="479"/>
      <c r="AW2131" s="479"/>
      <c r="AX2131" s="442"/>
      <c r="AY2131" s="153"/>
      <c r="AZ2131" s="152"/>
      <c r="BA2131" s="152"/>
      <c r="BB2131" s="152"/>
      <c r="BC2131" s="152"/>
      <c r="BD2131" s="152"/>
      <c r="BE2131" s="152"/>
      <c r="BF2131" s="152"/>
      <c r="BG2131" s="152"/>
      <c r="BH2131" s="152"/>
      <c r="BI2131" s="153"/>
      <c r="BJ2131" s="153"/>
      <c r="BK2131" s="153"/>
      <c r="BL2131" s="153"/>
      <c r="BM2131" s="153"/>
      <c r="BN2131" s="153"/>
      <c r="BO2131" s="153"/>
      <c r="BP2131" s="153"/>
      <c r="BQ2131" s="153"/>
      <c r="BR2131" s="153"/>
      <c r="BS2131" s="153"/>
      <c r="BT2131" s="153"/>
      <c r="BU2131" s="153"/>
      <c r="BV2131" s="153"/>
      <c r="BW2131" s="153"/>
      <c r="BX2131" s="153"/>
      <c r="BY2131" s="153"/>
      <c r="BZ2131" s="153"/>
      <c r="CA2131" s="152"/>
      <c r="CB2131" s="152"/>
    </row>
    <row r="2132" spans="1:80" s="87" customFormat="1" ht="16.5" x14ac:dyDescent="0.3">
      <c r="A2132" s="152"/>
      <c r="B2132" s="683"/>
      <c r="C2132" s="683"/>
      <c r="D2132" s="698"/>
      <c r="E2132" s="215"/>
      <c r="F2132" s="215"/>
      <c r="G2132" s="153"/>
      <c r="H2132" s="153"/>
      <c r="I2132" s="310">
        <v>23</v>
      </c>
      <c r="J2132" s="310">
        <v>30</v>
      </c>
      <c r="K2132" s="150">
        <v>1</v>
      </c>
      <c r="L2132" s="656">
        <v>11.5</v>
      </c>
      <c r="M2132" s="663">
        <v>34463</v>
      </c>
      <c r="N2132" s="600">
        <v>0.7134876</v>
      </c>
      <c r="O2132" s="604">
        <v>6.0456959999999997E-3</v>
      </c>
      <c r="P2132" s="150"/>
      <c r="Q2132" s="250"/>
      <c r="R2132" s="250"/>
      <c r="S2132" s="250">
        <v>0</v>
      </c>
      <c r="T2132" s="250"/>
      <c r="U2132" s="250"/>
      <c r="V2132" s="742"/>
      <c r="W2132" s="747"/>
      <c r="X2132" s="743"/>
      <c r="Y2132" s="246"/>
      <c r="Z2132" s="245">
        <v>5.6</v>
      </c>
      <c r="AA2132" s="150"/>
      <c r="AB2132" s="152"/>
      <c r="AC2132" s="152"/>
      <c r="AD2132" s="223">
        <v>7.7965282</v>
      </c>
      <c r="AE2132" s="223">
        <v>0.1767782</v>
      </c>
      <c r="AF2132" s="223">
        <v>1.38690742</v>
      </c>
      <c r="AG2132" s="223">
        <v>0.46328079999999999</v>
      </c>
      <c r="AH2132" s="341"/>
      <c r="AI2132" s="218"/>
      <c r="AJ2132" s="218"/>
      <c r="AK2132" s="153"/>
      <c r="AL2132" s="152"/>
      <c r="AM2132" s="152"/>
      <c r="AN2132" s="152"/>
      <c r="AO2132" s="152"/>
      <c r="AP2132" s="152"/>
      <c r="AQ2132" s="152"/>
      <c r="AR2132" s="152"/>
      <c r="AS2132" s="152"/>
      <c r="AT2132" s="152"/>
      <c r="AU2132" s="153"/>
      <c r="AV2132" s="479"/>
      <c r="AW2132" s="479"/>
      <c r="AX2132" s="442"/>
      <c r="AY2132" s="153"/>
      <c r="AZ2132" s="152"/>
      <c r="BA2132" s="152"/>
      <c r="BB2132" s="152"/>
      <c r="BC2132" s="152"/>
      <c r="BD2132" s="152"/>
      <c r="BE2132" s="152"/>
      <c r="BF2132" s="152"/>
      <c r="BG2132" s="152"/>
      <c r="BH2132" s="152"/>
      <c r="BI2132" s="153"/>
      <c r="BJ2132" s="153"/>
      <c r="BK2132" s="153"/>
      <c r="BL2132" s="153"/>
      <c r="BM2132" s="153"/>
      <c r="BN2132" s="153"/>
      <c r="BO2132" s="153"/>
      <c r="BP2132" s="153"/>
      <c r="BQ2132" s="153"/>
      <c r="BR2132" s="153"/>
      <c r="BS2132" s="153"/>
      <c r="BT2132" s="153"/>
      <c r="BU2132" s="153"/>
      <c r="BV2132" s="153"/>
      <c r="BW2132" s="153"/>
      <c r="BX2132" s="153"/>
      <c r="BY2132" s="153"/>
      <c r="BZ2132" s="153"/>
      <c r="CA2132" s="152"/>
      <c r="CB2132" s="152"/>
    </row>
    <row r="2133" spans="1:80" s="87" customFormat="1" ht="16.5" x14ac:dyDescent="0.3">
      <c r="A2133" s="152"/>
      <c r="B2133" s="683"/>
      <c r="C2133" s="683"/>
      <c r="D2133" s="698"/>
      <c r="E2133" s="215"/>
      <c r="F2133" s="215"/>
      <c r="G2133" s="153"/>
      <c r="H2133" s="153"/>
      <c r="I2133" s="310">
        <v>23</v>
      </c>
      <c r="J2133" s="310">
        <v>30</v>
      </c>
      <c r="K2133" s="150">
        <v>1</v>
      </c>
      <c r="L2133" s="656">
        <v>11.5</v>
      </c>
      <c r="M2133" s="663">
        <v>34463</v>
      </c>
      <c r="N2133" s="600">
        <v>0.7134876</v>
      </c>
      <c r="O2133" s="604">
        <v>7.4521599999999993E-3</v>
      </c>
      <c r="P2133" s="150"/>
      <c r="Q2133" s="250"/>
      <c r="R2133" s="250">
        <v>0.28539999999999999</v>
      </c>
      <c r="S2133" s="250">
        <v>4.9918166900000005E-2</v>
      </c>
      <c r="T2133" s="250">
        <v>0.1119</v>
      </c>
      <c r="U2133" s="250">
        <v>0.15590000000000001</v>
      </c>
      <c r="V2133" s="742">
        <v>0.39689999999999998</v>
      </c>
      <c r="W2133" s="747"/>
      <c r="X2133" s="743"/>
      <c r="Y2133" s="246"/>
      <c r="Z2133" s="245">
        <v>24.5</v>
      </c>
      <c r="AA2133" s="150">
        <v>3.1</v>
      </c>
      <c r="AB2133" s="152"/>
      <c r="AC2133" s="152"/>
      <c r="AD2133" s="223">
        <v>7.7965282</v>
      </c>
      <c r="AE2133" s="223">
        <v>0.1767782</v>
      </c>
      <c r="AF2133" s="223">
        <v>1.38690742</v>
      </c>
      <c r="AG2133" s="223">
        <v>0.46328079999999999</v>
      </c>
      <c r="AH2133" s="341"/>
      <c r="AI2133" s="218"/>
      <c r="AJ2133" s="218"/>
      <c r="AK2133" s="153"/>
      <c r="AL2133" s="152"/>
      <c r="AM2133" s="152"/>
      <c r="AN2133" s="152"/>
      <c r="AO2133" s="152"/>
      <c r="AP2133" s="152"/>
      <c r="AQ2133" s="152"/>
      <c r="AR2133" s="152"/>
      <c r="AS2133" s="152"/>
      <c r="AT2133" s="152"/>
      <c r="AU2133" s="153"/>
      <c r="AV2133" s="479"/>
      <c r="AW2133" s="479"/>
      <c r="AX2133" s="442"/>
      <c r="AY2133" s="153"/>
      <c r="AZ2133" s="152"/>
      <c r="BA2133" s="152"/>
      <c r="BB2133" s="152"/>
      <c r="BC2133" s="152"/>
      <c r="BD2133" s="152"/>
      <c r="BE2133" s="152"/>
      <c r="BF2133" s="152"/>
      <c r="BG2133" s="152"/>
      <c r="BH2133" s="152"/>
      <c r="BI2133" s="153"/>
      <c r="BJ2133" s="153"/>
      <c r="BK2133" s="153"/>
      <c r="BL2133" s="153"/>
      <c r="BM2133" s="153"/>
      <c r="BN2133" s="153"/>
      <c r="BO2133" s="153"/>
      <c r="BP2133" s="153"/>
      <c r="BQ2133" s="153"/>
      <c r="BR2133" s="153"/>
      <c r="BS2133" s="153"/>
      <c r="BT2133" s="153"/>
      <c r="BU2133" s="153"/>
      <c r="BV2133" s="153"/>
      <c r="BW2133" s="153"/>
      <c r="BX2133" s="153"/>
      <c r="BY2133" s="153"/>
      <c r="BZ2133" s="153"/>
      <c r="CA2133" s="152"/>
      <c r="CB2133" s="152"/>
    </row>
    <row r="2134" spans="1:80" s="87" customFormat="1" ht="16.5" x14ac:dyDescent="0.3">
      <c r="A2134" s="152"/>
      <c r="B2134" s="683"/>
      <c r="C2134" s="683"/>
      <c r="D2134" s="698"/>
      <c r="E2134" s="215"/>
      <c r="F2134" s="215"/>
      <c r="G2134" s="153"/>
      <c r="H2134" s="153"/>
      <c r="I2134" s="310">
        <v>22</v>
      </c>
      <c r="J2134" s="310">
        <v>30</v>
      </c>
      <c r="K2134" s="150">
        <v>1</v>
      </c>
      <c r="L2134" s="656">
        <v>11</v>
      </c>
      <c r="M2134" s="663">
        <v>34464</v>
      </c>
      <c r="N2134" s="600">
        <v>0.85222130000000007</v>
      </c>
      <c r="O2134" s="604">
        <v>3.6211199999999998E-3</v>
      </c>
      <c r="P2134" s="150"/>
      <c r="Q2134" s="250"/>
      <c r="R2134" s="250"/>
      <c r="S2134" s="250">
        <v>5.3540587200000003E-2</v>
      </c>
      <c r="T2134" s="250">
        <v>6.3899999999999998E-2</v>
      </c>
      <c r="U2134" s="250">
        <v>0.16020000000000001</v>
      </c>
      <c r="V2134" s="742">
        <v>0.72239999999999993</v>
      </c>
      <c r="W2134" s="747"/>
      <c r="X2134" s="743"/>
      <c r="Y2134" s="246"/>
      <c r="Z2134" s="245">
        <v>9.5</v>
      </c>
      <c r="AA2134" s="150">
        <v>0.9</v>
      </c>
      <c r="AB2134" s="152"/>
      <c r="AC2134" s="152"/>
      <c r="AD2134" s="223">
        <v>7.8483425000000002</v>
      </c>
      <c r="AE2134" s="223">
        <v>0.19201770000000001</v>
      </c>
      <c r="AF2134" s="223">
        <v>1.5132432600000001</v>
      </c>
      <c r="AG2134" s="223">
        <v>0.55471780000000004</v>
      </c>
      <c r="AH2134" s="341"/>
      <c r="AI2134" s="218"/>
      <c r="AJ2134" s="218"/>
      <c r="AK2134" s="153"/>
      <c r="AL2134" s="152"/>
      <c r="AM2134" s="152"/>
      <c r="AN2134" s="152"/>
      <c r="AO2134" s="152"/>
      <c r="AP2134" s="152"/>
      <c r="AQ2134" s="152"/>
      <c r="AR2134" s="152"/>
      <c r="AS2134" s="152"/>
      <c r="AT2134" s="152"/>
      <c r="AU2134" s="153"/>
      <c r="AV2134" s="479"/>
      <c r="AW2134" s="479"/>
      <c r="AX2134" s="442"/>
      <c r="AY2134" s="153"/>
      <c r="AZ2134" s="152"/>
      <c r="BA2134" s="152"/>
      <c r="BB2134" s="152"/>
      <c r="BC2134" s="152"/>
      <c r="BD2134" s="152"/>
      <c r="BE2134" s="152"/>
      <c r="BF2134" s="152"/>
      <c r="BG2134" s="152"/>
      <c r="BH2134" s="152"/>
      <c r="BI2134" s="153"/>
      <c r="BJ2134" s="153"/>
      <c r="BK2134" s="153"/>
      <c r="BL2134" s="153"/>
      <c r="BM2134" s="153"/>
      <c r="BN2134" s="153"/>
      <c r="BO2134" s="153"/>
      <c r="BP2134" s="153"/>
      <c r="BQ2134" s="153"/>
      <c r="BR2134" s="153"/>
      <c r="BS2134" s="153"/>
      <c r="BT2134" s="153"/>
      <c r="BU2134" s="153"/>
      <c r="BV2134" s="153"/>
      <c r="BW2134" s="153"/>
      <c r="BX2134" s="153"/>
      <c r="BY2134" s="153"/>
      <c r="BZ2134" s="153"/>
      <c r="CA2134" s="152"/>
      <c r="CB2134" s="152"/>
    </row>
    <row r="2135" spans="1:80" s="87" customFormat="1" ht="16.5" x14ac:dyDescent="0.3">
      <c r="A2135" s="152"/>
      <c r="B2135" s="683"/>
      <c r="C2135" s="683"/>
      <c r="D2135" s="698"/>
      <c r="E2135" s="215"/>
      <c r="F2135" s="215"/>
      <c r="G2135" s="153"/>
      <c r="H2135" s="153"/>
      <c r="I2135" s="310">
        <v>22</v>
      </c>
      <c r="J2135" s="310">
        <v>30</v>
      </c>
      <c r="K2135" s="150">
        <v>1</v>
      </c>
      <c r="L2135" s="656">
        <v>11</v>
      </c>
      <c r="M2135" s="663">
        <v>34464</v>
      </c>
      <c r="N2135" s="600">
        <v>0.85222130000000007</v>
      </c>
      <c r="O2135" s="604">
        <v>1.689856E-3</v>
      </c>
      <c r="P2135" s="150"/>
      <c r="Q2135" s="250"/>
      <c r="R2135" s="250"/>
      <c r="S2135" s="250"/>
      <c r="T2135" s="250">
        <v>4.1399999999999999E-2</v>
      </c>
      <c r="U2135" s="250">
        <v>7.46E-2</v>
      </c>
      <c r="V2135" s="742">
        <v>0.88400000000000001</v>
      </c>
      <c r="W2135" s="747"/>
      <c r="X2135" s="743"/>
      <c r="Y2135" s="246"/>
      <c r="Z2135" s="245">
        <v>6.5</v>
      </c>
      <c r="AA2135" s="150">
        <v>0.4</v>
      </c>
      <c r="AB2135" s="152"/>
      <c r="AC2135" s="152"/>
      <c r="AD2135" s="223">
        <v>7.8483425000000002</v>
      </c>
      <c r="AE2135" s="223">
        <v>0.19201770000000001</v>
      </c>
      <c r="AF2135" s="223">
        <v>1.5132432600000001</v>
      </c>
      <c r="AG2135" s="223">
        <v>0.55471780000000004</v>
      </c>
      <c r="AH2135" s="341"/>
      <c r="AI2135" s="218"/>
      <c r="AJ2135" s="218"/>
      <c r="AK2135" s="153"/>
      <c r="AL2135" s="152"/>
      <c r="AM2135" s="152"/>
      <c r="AN2135" s="152"/>
      <c r="AO2135" s="152"/>
      <c r="AP2135" s="152"/>
      <c r="AQ2135" s="152"/>
      <c r="AR2135" s="152"/>
      <c r="AS2135" s="152"/>
      <c r="AT2135" s="152"/>
      <c r="AU2135" s="153"/>
      <c r="AV2135" s="479"/>
      <c r="AW2135" s="479"/>
      <c r="AX2135" s="442"/>
      <c r="AY2135" s="153"/>
      <c r="AZ2135" s="152"/>
      <c r="BA2135" s="152"/>
      <c r="BB2135" s="152"/>
      <c r="BC2135" s="152"/>
      <c r="BD2135" s="152"/>
      <c r="BE2135" s="152"/>
      <c r="BF2135" s="152"/>
      <c r="BG2135" s="152"/>
      <c r="BH2135" s="152"/>
      <c r="BI2135" s="153"/>
      <c r="BJ2135" s="153"/>
      <c r="BK2135" s="153"/>
      <c r="BL2135" s="153"/>
      <c r="BM2135" s="153"/>
      <c r="BN2135" s="153"/>
      <c r="BO2135" s="153"/>
      <c r="BP2135" s="153"/>
      <c r="BQ2135" s="153"/>
      <c r="BR2135" s="153"/>
      <c r="BS2135" s="153"/>
      <c r="BT2135" s="153"/>
      <c r="BU2135" s="153"/>
      <c r="BV2135" s="153"/>
      <c r="BW2135" s="153"/>
      <c r="BX2135" s="153"/>
      <c r="BY2135" s="153"/>
      <c r="BZ2135" s="153"/>
      <c r="CA2135" s="152"/>
      <c r="CB2135" s="152"/>
    </row>
    <row r="2136" spans="1:80" s="87" customFormat="1" ht="16.5" x14ac:dyDescent="0.3">
      <c r="A2136" s="152"/>
      <c r="B2136" s="683"/>
      <c r="C2136" s="683"/>
      <c r="D2136" s="698"/>
      <c r="E2136" s="215"/>
      <c r="F2136" s="215"/>
      <c r="G2136" s="153"/>
      <c r="H2136" s="153"/>
      <c r="I2136" s="310">
        <v>21</v>
      </c>
      <c r="J2136" s="310">
        <v>30</v>
      </c>
      <c r="K2136" s="150">
        <v>1</v>
      </c>
      <c r="L2136" s="656">
        <v>10.5</v>
      </c>
      <c r="M2136" s="663">
        <v>34465</v>
      </c>
      <c r="N2136" s="600">
        <v>0.91450989999999999</v>
      </c>
      <c r="O2136" s="604">
        <v>9.2469760000000003E-4</v>
      </c>
      <c r="P2136" s="150"/>
      <c r="Q2136" s="250"/>
      <c r="R2136" s="250"/>
      <c r="S2136" s="250"/>
      <c r="T2136" s="250"/>
      <c r="U2136" s="250">
        <v>4.4199999999999996E-2</v>
      </c>
      <c r="V2136" s="742">
        <v>0.95579999999999998</v>
      </c>
      <c r="W2136" s="747"/>
      <c r="X2136" s="743"/>
      <c r="Y2136" s="246"/>
      <c r="Z2136" s="245">
        <v>4</v>
      </c>
      <c r="AA2136" s="150">
        <v>0.4</v>
      </c>
      <c r="AB2136" s="152"/>
      <c r="AC2136" s="152"/>
      <c r="AD2136" s="223">
        <v>7.8483425000000002</v>
      </c>
      <c r="AE2136" s="223">
        <v>0.20116139999999999</v>
      </c>
      <c r="AF2136" s="223">
        <v>1.57826906</v>
      </c>
      <c r="AG2136" s="223">
        <v>0.5699573</v>
      </c>
      <c r="AH2136" s="341"/>
      <c r="AI2136" s="218"/>
      <c r="AJ2136" s="218"/>
      <c r="AK2136" s="153"/>
      <c r="AL2136" s="152"/>
      <c r="AM2136" s="152"/>
      <c r="AN2136" s="152"/>
      <c r="AO2136" s="152"/>
      <c r="AP2136" s="152"/>
      <c r="AQ2136" s="152"/>
      <c r="AR2136" s="152"/>
      <c r="AS2136" s="152"/>
      <c r="AT2136" s="152"/>
      <c r="AU2136" s="153"/>
      <c r="AV2136" s="479"/>
      <c r="AW2136" s="479"/>
      <c r="AX2136" s="442"/>
      <c r="AY2136" s="153"/>
      <c r="AZ2136" s="152"/>
      <c r="BA2136" s="152"/>
      <c r="BB2136" s="152"/>
      <c r="BC2136" s="152"/>
      <c r="BD2136" s="152"/>
      <c r="BE2136" s="152"/>
      <c r="BF2136" s="152"/>
      <c r="BG2136" s="152"/>
      <c r="BH2136" s="152"/>
      <c r="BI2136" s="153"/>
      <c r="BJ2136" s="153"/>
      <c r="BK2136" s="153"/>
      <c r="BL2136" s="153"/>
      <c r="BM2136" s="153"/>
      <c r="BN2136" s="153"/>
      <c r="BO2136" s="153"/>
      <c r="BP2136" s="153"/>
      <c r="BQ2136" s="153"/>
      <c r="BR2136" s="153"/>
      <c r="BS2136" s="153"/>
      <c r="BT2136" s="153"/>
      <c r="BU2136" s="153"/>
      <c r="BV2136" s="153"/>
      <c r="BW2136" s="153"/>
      <c r="BX2136" s="153"/>
      <c r="BY2136" s="153"/>
      <c r="BZ2136" s="153"/>
      <c r="CA2136" s="152"/>
      <c r="CB2136" s="152"/>
    </row>
    <row r="2137" spans="1:80" s="87" customFormat="1" ht="16.5" x14ac:dyDescent="0.3">
      <c r="A2137" s="152"/>
      <c r="B2137" s="683"/>
      <c r="C2137" s="683"/>
      <c r="D2137" s="698"/>
      <c r="E2137" s="215"/>
      <c r="F2137" s="215"/>
      <c r="G2137" s="153"/>
      <c r="H2137" s="153"/>
      <c r="I2137" s="310">
        <v>21</v>
      </c>
      <c r="J2137" s="310">
        <v>30</v>
      </c>
      <c r="K2137" s="150">
        <v>1</v>
      </c>
      <c r="L2137" s="656">
        <v>10.5</v>
      </c>
      <c r="M2137" s="663">
        <v>34465</v>
      </c>
      <c r="N2137" s="600">
        <v>0.91450989999999999</v>
      </c>
      <c r="O2137" s="604">
        <v>8.8061440000000008E-4</v>
      </c>
      <c r="P2137" s="150"/>
      <c r="Q2137" s="250"/>
      <c r="R2137" s="250"/>
      <c r="S2137" s="250"/>
      <c r="T2137" s="250"/>
      <c r="U2137" s="250">
        <v>5.6000000000000008E-3</v>
      </c>
      <c r="V2137" s="742">
        <v>0.99439999999999995</v>
      </c>
      <c r="W2137" s="747"/>
      <c r="X2137" s="743"/>
      <c r="Y2137" s="246"/>
      <c r="Z2137" s="245">
        <v>1.41</v>
      </c>
      <c r="AA2137" s="150">
        <v>0.3</v>
      </c>
      <c r="AB2137" s="152"/>
      <c r="AC2137" s="152"/>
      <c r="AD2137" s="223">
        <v>7.8483425000000002</v>
      </c>
      <c r="AE2137" s="223">
        <v>0.20116139999999999</v>
      </c>
      <c r="AF2137" s="223">
        <v>1.57826906</v>
      </c>
      <c r="AG2137" s="223">
        <v>0.5699573</v>
      </c>
      <c r="AH2137" s="341"/>
      <c r="AI2137" s="218"/>
      <c r="AJ2137" s="218"/>
      <c r="AK2137" s="153"/>
      <c r="AL2137" s="152"/>
      <c r="AM2137" s="152"/>
      <c r="AN2137" s="152"/>
      <c r="AO2137" s="152"/>
      <c r="AP2137" s="152"/>
      <c r="AQ2137" s="152"/>
      <c r="AR2137" s="152"/>
      <c r="AS2137" s="152"/>
      <c r="AT2137" s="152"/>
      <c r="AU2137" s="153"/>
      <c r="AV2137" s="479"/>
      <c r="AW2137" s="479"/>
      <c r="AX2137" s="442"/>
      <c r="AY2137" s="153"/>
      <c r="AZ2137" s="152"/>
      <c r="BA2137" s="152"/>
      <c r="BB2137" s="152"/>
      <c r="BC2137" s="152"/>
      <c r="BD2137" s="152"/>
      <c r="BE2137" s="152"/>
      <c r="BF2137" s="152"/>
      <c r="BG2137" s="152"/>
      <c r="BH2137" s="152"/>
      <c r="BI2137" s="153"/>
      <c r="BJ2137" s="153"/>
      <c r="BK2137" s="153"/>
      <c r="BL2137" s="153"/>
      <c r="BM2137" s="153"/>
      <c r="BN2137" s="153"/>
      <c r="BO2137" s="153"/>
      <c r="BP2137" s="153"/>
      <c r="BQ2137" s="153"/>
      <c r="BR2137" s="153"/>
      <c r="BS2137" s="153"/>
      <c r="BT2137" s="153"/>
      <c r="BU2137" s="153"/>
      <c r="BV2137" s="153"/>
      <c r="BW2137" s="153"/>
      <c r="BX2137" s="153"/>
      <c r="BY2137" s="153"/>
      <c r="BZ2137" s="153"/>
      <c r="CA2137" s="152"/>
      <c r="CB2137" s="152"/>
    </row>
    <row r="2138" spans="1:80" s="87" customFormat="1" ht="16.5" x14ac:dyDescent="0.3">
      <c r="A2138" s="152"/>
      <c r="B2138" s="683"/>
      <c r="C2138" s="683"/>
      <c r="D2138" s="698"/>
      <c r="E2138" s="215"/>
      <c r="F2138" s="215"/>
      <c r="G2138" s="153"/>
      <c r="H2138" s="153"/>
      <c r="I2138" s="310">
        <v>20</v>
      </c>
      <c r="J2138" s="310">
        <v>30</v>
      </c>
      <c r="K2138" s="150">
        <v>1</v>
      </c>
      <c r="L2138" s="656">
        <v>10</v>
      </c>
      <c r="M2138" s="663">
        <v>34467</v>
      </c>
      <c r="N2138" s="600">
        <v>1.2854102000000001</v>
      </c>
      <c r="O2138" s="604">
        <v>3.9464959999999999E-3</v>
      </c>
      <c r="P2138" s="150"/>
      <c r="Q2138" s="250"/>
      <c r="R2138" s="250"/>
      <c r="S2138" s="250"/>
      <c r="T2138" s="250"/>
      <c r="U2138" s="250">
        <v>9.1999999999999998E-3</v>
      </c>
      <c r="V2138" s="742">
        <v>0.99080000000000001</v>
      </c>
      <c r="W2138" s="747"/>
      <c r="X2138" s="743"/>
      <c r="Y2138" s="246"/>
      <c r="Z2138" s="245">
        <v>4</v>
      </c>
      <c r="AA2138" s="150">
        <v>0.4</v>
      </c>
      <c r="AB2138" s="152"/>
      <c r="AC2138" s="152"/>
      <c r="AD2138" s="223">
        <v>7.9</v>
      </c>
      <c r="AE2138" s="223">
        <v>0.23</v>
      </c>
      <c r="AF2138" s="223">
        <v>1.84</v>
      </c>
      <c r="AG2138" s="223">
        <v>0.62</v>
      </c>
      <c r="AH2138" s="341"/>
      <c r="AI2138" s="218"/>
      <c r="AJ2138" s="218"/>
      <c r="AK2138" s="153"/>
      <c r="AL2138" s="152"/>
      <c r="AM2138" s="152"/>
      <c r="AN2138" s="152"/>
      <c r="AO2138" s="152"/>
      <c r="AP2138" s="152"/>
      <c r="AQ2138" s="152"/>
      <c r="AR2138" s="152"/>
      <c r="AS2138" s="152"/>
      <c r="AT2138" s="152"/>
      <c r="AU2138" s="153"/>
      <c r="AV2138" s="479"/>
      <c r="AW2138" s="479"/>
      <c r="AX2138" s="442"/>
      <c r="AY2138" s="153"/>
      <c r="AZ2138" s="152"/>
      <c r="BA2138" s="152"/>
      <c r="BB2138" s="152"/>
      <c r="BC2138" s="152"/>
      <c r="BD2138" s="152"/>
      <c r="BE2138" s="152"/>
      <c r="BF2138" s="152"/>
      <c r="BG2138" s="152"/>
      <c r="BH2138" s="152"/>
      <c r="BI2138" s="153"/>
      <c r="BJ2138" s="153"/>
      <c r="BK2138" s="153"/>
      <c r="BL2138" s="153"/>
      <c r="BM2138" s="153"/>
      <c r="BN2138" s="153"/>
      <c r="BO2138" s="153"/>
      <c r="BP2138" s="153"/>
      <c r="BQ2138" s="153"/>
      <c r="BR2138" s="153"/>
      <c r="BS2138" s="153"/>
      <c r="BT2138" s="153"/>
      <c r="BU2138" s="153"/>
      <c r="BV2138" s="153"/>
      <c r="BW2138" s="153"/>
      <c r="BX2138" s="153"/>
      <c r="BY2138" s="153"/>
      <c r="BZ2138" s="153"/>
      <c r="CA2138" s="152"/>
      <c r="CB2138" s="152"/>
    </row>
    <row r="2139" spans="1:80" s="87" customFormat="1" ht="16.5" x14ac:dyDescent="0.3">
      <c r="A2139" s="152"/>
      <c r="B2139" s="683"/>
      <c r="C2139" s="683"/>
      <c r="D2139" s="698"/>
      <c r="E2139" s="215"/>
      <c r="F2139" s="215"/>
      <c r="G2139" s="153"/>
      <c r="H2139" s="153"/>
      <c r="I2139" s="310">
        <v>20</v>
      </c>
      <c r="J2139" s="310">
        <v>30</v>
      </c>
      <c r="K2139" s="150">
        <v>1</v>
      </c>
      <c r="L2139" s="656">
        <v>10</v>
      </c>
      <c r="M2139" s="663">
        <v>34467</v>
      </c>
      <c r="N2139" s="600">
        <v>1.2854102000000001</v>
      </c>
      <c r="O2139" s="604">
        <v>7.0428160000000004E-3</v>
      </c>
      <c r="P2139" s="150"/>
      <c r="Q2139" s="250"/>
      <c r="R2139" s="250"/>
      <c r="S2139" s="250"/>
      <c r="T2139" s="250">
        <v>3.0200000000000001E-2</v>
      </c>
      <c r="U2139" s="250">
        <v>8.3900000000000002E-2</v>
      </c>
      <c r="V2139" s="742">
        <v>0.88590000000000002</v>
      </c>
      <c r="W2139" s="747"/>
      <c r="X2139" s="743"/>
      <c r="Y2139" s="246"/>
      <c r="Z2139" s="245">
        <v>7.5</v>
      </c>
      <c r="AA2139" s="150">
        <v>0.6</v>
      </c>
      <c r="AB2139" s="152"/>
      <c r="AC2139" s="152"/>
      <c r="AD2139" s="223">
        <v>7.9</v>
      </c>
      <c r="AE2139" s="223">
        <v>0.23</v>
      </c>
      <c r="AF2139" s="223">
        <v>1.84</v>
      </c>
      <c r="AG2139" s="223">
        <v>0.62</v>
      </c>
      <c r="AH2139" s="341"/>
      <c r="AI2139" s="218"/>
      <c r="AJ2139" s="218"/>
      <c r="AK2139" s="153"/>
      <c r="AL2139" s="152"/>
      <c r="AM2139" s="152"/>
      <c r="AN2139" s="152"/>
      <c r="AO2139" s="152"/>
      <c r="AP2139" s="152"/>
      <c r="AQ2139" s="152"/>
      <c r="AR2139" s="152"/>
      <c r="AS2139" s="152"/>
      <c r="AT2139" s="152"/>
      <c r="AU2139" s="153"/>
      <c r="AV2139" s="479"/>
      <c r="AW2139" s="479"/>
      <c r="AX2139" s="442"/>
      <c r="AY2139" s="153"/>
      <c r="AZ2139" s="152"/>
      <c r="BA2139" s="152"/>
      <c r="BB2139" s="152"/>
      <c r="BC2139" s="152"/>
      <c r="BD2139" s="152"/>
      <c r="BE2139" s="152"/>
      <c r="BF2139" s="152"/>
      <c r="BG2139" s="152"/>
      <c r="BH2139" s="152"/>
      <c r="BI2139" s="153"/>
      <c r="BJ2139" s="153"/>
      <c r="BK2139" s="153"/>
      <c r="BL2139" s="153"/>
      <c r="BM2139" s="153"/>
      <c r="BN2139" s="153"/>
      <c r="BO2139" s="153"/>
      <c r="BP2139" s="153"/>
      <c r="BQ2139" s="153"/>
      <c r="BR2139" s="153"/>
      <c r="BS2139" s="153"/>
      <c r="BT2139" s="153"/>
      <c r="BU2139" s="153"/>
      <c r="BV2139" s="153"/>
      <c r="BW2139" s="153"/>
      <c r="BX2139" s="153"/>
      <c r="BY2139" s="153"/>
      <c r="BZ2139" s="153"/>
      <c r="CA2139" s="152"/>
      <c r="CB2139" s="152"/>
    </row>
    <row r="2140" spans="1:80" s="87" customFormat="1" ht="16.5" x14ac:dyDescent="0.3">
      <c r="A2140" s="152"/>
      <c r="B2140" s="683"/>
      <c r="C2140" s="683"/>
      <c r="D2140" s="698"/>
      <c r="E2140" s="215"/>
      <c r="F2140" s="215"/>
      <c r="G2140" s="153"/>
      <c r="H2140" s="153"/>
      <c r="I2140" s="310">
        <v>21</v>
      </c>
      <c r="J2140" s="310">
        <v>30</v>
      </c>
      <c r="K2140" s="150">
        <v>1</v>
      </c>
      <c r="L2140" s="656">
        <v>10.5</v>
      </c>
      <c r="M2140" s="663">
        <v>34469</v>
      </c>
      <c r="N2140" s="600">
        <v>1.0617375</v>
      </c>
      <c r="O2140" s="604">
        <v>8.1448960000000004E-3</v>
      </c>
      <c r="P2140" s="150"/>
      <c r="Q2140" s="250"/>
      <c r="R2140" s="250"/>
      <c r="S2140" s="250"/>
      <c r="T2140" s="250"/>
      <c r="U2140" s="250">
        <v>2.58E-2</v>
      </c>
      <c r="V2140" s="742">
        <v>0.97420000000000007</v>
      </c>
      <c r="W2140" s="747"/>
      <c r="X2140" s="743"/>
      <c r="Y2140" s="246"/>
      <c r="Z2140" s="245">
        <v>7</v>
      </c>
      <c r="AA2140" s="150">
        <v>0.4</v>
      </c>
      <c r="AB2140" s="152"/>
      <c r="AC2140" s="152"/>
      <c r="AD2140" s="223">
        <v>7.9976896000000002</v>
      </c>
      <c r="AE2140" s="223">
        <v>0.21030509999999999</v>
      </c>
      <c r="AF2140" s="223">
        <v>1.69345762</v>
      </c>
      <c r="AG2140" s="223">
        <v>0.58214889999999997</v>
      </c>
      <c r="AH2140" s="341"/>
      <c r="AI2140" s="218"/>
      <c r="AJ2140" s="218"/>
      <c r="AK2140" s="153"/>
      <c r="AL2140" s="152"/>
      <c r="AM2140" s="152"/>
      <c r="AN2140" s="152"/>
      <c r="AO2140" s="152"/>
      <c r="AP2140" s="152"/>
      <c r="AQ2140" s="152"/>
      <c r="AR2140" s="152"/>
      <c r="AS2140" s="152"/>
      <c r="AT2140" s="152"/>
      <c r="AU2140" s="153"/>
      <c r="AV2140" s="479"/>
      <c r="AW2140" s="479"/>
      <c r="AX2140" s="442"/>
      <c r="AY2140" s="153"/>
      <c r="AZ2140" s="152"/>
      <c r="BA2140" s="152"/>
      <c r="BB2140" s="152"/>
      <c r="BC2140" s="152"/>
      <c r="BD2140" s="152"/>
      <c r="BE2140" s="152"/>
      <c r="BF2140" s="152"/>
      <c r="BG2140" s="152"/>
      <c r="BH2140" s="152"/>
      <c r="BI2140" s="153"/>
      <c r="BJ2140" s="153"/>
      <c r="BK2140" s="153"/>
      <c r="BL2140" s="153"/>
      <c r="BM2140" s="153"/>
      <c r="BN2140" s="153"/>
      <c r="BO2140" s="153"/>
      <c r="BP2140" s="153"/>
      <c r="BQ2140" s="153"/>
      <c r="BR2140" s="153"/>
      <c r="BS2140" s="153"/>
      <c r="BT2140" s="153"/>
      <c r="BU2140" s="153"/>
      <c r="BV2140" s="153"/>
      <c r="BW2140" s="153"/>
      <c r="BX2140" s="153"/>
      <c r="BY2140" s="153"/>
      <c r="BZ2140" s="153"/>
      <c r="CA2140" s="152"/>
      <c r="CB2140" s="152"/>
    </row>
    <row r="2141" spans="1:80" s="87" customFormat="1" ht="16.5" x14ac:dyDescent="0.3">
      <c r="A2141" s="152"/>
      <c r="B2141" s="683"/>
      <c r="C2141" s="683"/>
      <c r="D2141" s="698"/>
      <c r="E2141" s="215"/>
      <c r="F2141" s="215"/>
      <c r="G2141" s="153"/>
      <c r="H2141" s="153"/>
      <c r="I2141" s="310">
        <v>21</v>
      </c>
      <c r="J2141" s="310">
        <v>30</v>
      </c>
      <c r="K2141" s="150">
        <v>1</v>
      </c>
      <c r="L2141" s="656">
        <v>10.5</v>
      </c>
      <c r="M2141" s="663">
        <v>34469</v>
      </c>
      <c r="N2141" s="600">
        <v>1.0617375</v>
      </c>
      <c r="O2141" s="604">
        <v>1.616384E-3</v>
      </c>
      <c r="P2141" s="150"/>
      <c r="Q2141" s="250"/>
      <c r="R2141" s="250"/>
      <c r="S2141" s="250"/>
      <c r="T2141" s="250">
        <v>5.21E-2</v>
      </c>
      <c r="U2141" s="250">
        <v>0.16159999999999999</v>
      </c>
      <c r="V2141" s="742">
        <v>0.7863</v>
      </c>
      <c r="W2141" s="747"/>
      <c r="X2141" s="743"/>
      <c r="Y2141" s="246"/>
      <c r="Z2141" s="245">
        <v>3.5</v>
      </c>
      <c r="AA2141" s="150">
        <v>0.9</v>
      </c>
      <c r="AB2141" s="152"/>
      <c r="AC2141" s="152"/>
      <c r="AD2141" s="223">
        <v>7.9976896000000002</v>
      </c>
      <c r="AE2141" s="223">
        <v>0.21030509999999999</v>
      </c>
      <c r="AF2141" s="223">
        <v>1.69345762</v>
      </c>
      <c r="AG2141" s="223">
        <v>0.58214889999999997</v>
      </c>
      <c r="AH2141" s="341"/>
      <c r="AI2141" s="218"/>
      <c r="AJ2141" s="218"/>
      <c r="AK2141" s="153"/>
      <c r="AL2141" s="152"/>
      <c r="AM2141" s="152"/>
      <c r="AN2141" s="152"/>
      <c r="AO2141" s="152"/>
      <c r="AP2141" s="152"/>
      <c r="AQ2141" s="152"/>
      <c r="AR2141" s="152"/>
      <c r="AS2141" s="152"/>
      <c r="AT2141" s="152"/>
      <c r="AU2141" s="153"/>
      <c r="AV2141" s="479"/>
      <c r="AW2141" s="479"/>
      <c r="AX2141" s="442"/>
      <c r="AY2141" s="153"/>
      <c r="AZ2141" s="152"/>
      <c r="BA2141" s="152"/>
      <c r="BB2141" s="152"/>
      <c r="BC2141" s="152"/>
      <c r="BD2141" s="152"/>
      <c r="BE2141" s="152"/>
      <c r="BF2141" s="152"/>
      <c r="BG2141" s="152"/>
      <c r="BH2141" s="152"/>
      <c r="BI2141" s="153"/>
      <c r="BJ2141" s="153"/>
      <c r="BK2141" s="153"/>
      <c r="BL2141" s="153"/>
      <c r="BM2141" s="153"/>
      <c r="BN2141" s="153"/>
      <c r="BO2141" s="153"/>
      <c r="BP2141" s="153"/>
      <c r="BQ2141" s="153"/>
      <c r="BR2141" s="153"/>
      <c r="BS2141" s="153"/>
      <c r="BT2141" s="153"/>
      <c r="BU2141" s="153"/>
      <c r="BV2141" s="153"/>
      <c r="BW2141" s="153"/>
      <c r="BX2141" s="153"/>
      <c r="BY2141" s="153"/>
      <c r="BZ2141" s="153"/>
      <c r="CA2141" s="152"/>
      <c r="CB2141" s="152"/>
    </row>
    <row r="2142" spans="1:80" s="87" customFormat="1" ht="16.5" x14ac:dyDescent="0.3">
      <c r="A2142" s="152"/>
      <c r="B2142" s="683"/>
      <c r="C2142" s="683"/>
      <c r="D2142" s="698"/>
      <c r="E2142" s="215"/>
      <c r="F2142" s="215"/>
      <c r="G2142" s="153"/>
      <c r="H2142" s="153"/>
      <c r="I2142" s="310">
        <v>22</v>
      </c>
      <c r="J2142" s="310">
        <v>30</v>
      </c>
      <c r="K2142" s="150">
        <v>1</v>
      </c>
      <c r="L2142" s="656">
        <v>11</v>
      </c>
      <c r="M2142" s="663">
        <v>34479</v>
      </c>
      <c r="N2142" s="600">
        <v>0.85222130000000007</v>
      </c>
      <c r="O2142" s="604">
        <v>1.1335679999999999E-3</v>
      </c>
      <c r="P2142" s="150"/>
      <c r="Q2142" s="250"/>
      <c r="R2142" s="250"/>
      <c r="S2142" s="250"/>
      <c r="T2142" s="250">
        <v>0.24280000000000002</v>
      </c>
      <c r="U2142" s="250">
        <v>0.191</v>
      </c>
      <c r="V2142" s="742">
        <v>0.56619999999999993</v>
      </c>
      <c r="W2142" s="747"/>
      <c r="X2142" s="743"/>
      <c r="Y2142" s="246"/>
      <c r="Z2142" s="245">
        <v>8</v>
      </c>
      <c r="AA2142" s="150">
        <v>1.6</v>
      </c>
      <c r="AB2142" s="152"/>
      <c r="AC2142" s="152"/>
      <c r="AD2142" s="223">
        <v>7.6989954000000003</v>
      </c>
      <c r="AE2142" s="223">
        <v>0.18896979999999999</v>
      </c>
      <c r="AF2142" s="223">
        <v>1.4556489800000001</v>
      </c>
      <c r="AG2142" s="223">
        <v>0.50290349999999995</v>
      </c>
      <c r="AH2142" s="341"/>
      <c r="AI2142" s="218"/>
      <c r="AJ2142" s="218"/>
      <c r="AK2142" s="153"/>
      <c r="AL2142" s="152"/>
      <c r="AM2142" s="152"/>
      <c r="AN2142" s="152"/>
      <c r="AO2142" s="152"/>
      <c r="AP2142" s="152"/>
      <c r="AQ2142" s="152"/>
      <c r="AR2142" s="152"/>
      <c r="AS2142" s="152"/>
      <c r="AT2142" s="152"/>
      <c r="AU2142" s="153"/>
      <c r="AV2142" s="479"/>
      <c r="AW2142" s="479"/>
      <c r="AX2142" s="442"/>
      <c r="AY2142" s="153"/>
      <c r="AZ2142" s="152"/>
      <c r="BA2142" s="152"/>
      <c r="BB2142" s="152"/>
      <c r="BC2142" s="152"/>
      <c r="BD2142" s="152"/>
      <c r="BE2142" s="152"/>
      <c r="BF2142" s="152"/>
      <c r="BG2142" s="152"/>
      <c r="BH2142" s="152"/>
      <c r="BI2142" s="153"/>
      <c r="BJ2142" s="153"/>
      <c r="BK2142" s="153"/>
      <c r="BL2142" s="153"/>
      <c r="BM2142" s="153"/>
      <c r="BN2142" s="153"/>
      <c r="BO2142" s="153"/>
      <c r="BP2142" s="153"/>
      <c r="BQ2142" s="153"/>
      <c r="BR2142" s="153"/>
      <c r="BS2142" s="153"/>
      <c r="BT2142" s="153"/>
      <c r="BU2142" s="153"/>
      <c r="BV2142" s="153"/>
      <c r="BW2142" s="153"/>
      <c r="BX2142" s="153"/>
      <c r="BY2142" s="153"/>
      <c r="BZ2142" s="153"/>
      <c r="CA2142" s="152"/>
      <c r="CB2142" s="152"/>
    </row>
    <row r="2143" spans="1:80" s="87" customFormat="1" ht="16.5" x14ac:dyDescent="0.3">
      <c r="A2143" s="152"/>
      <c r="B2143" s="683"/>
      <c r="C2143" s="683"/>
      <c r="D2143" s="698"/>
      <c r="E2143" s="215"/>
      <c r="F2143" s="215"/>
      <c r="G2143" s="153"/>
      <c r="H2143" s="153"/>
      <c r="I2143" s="310">
        <v>22</v>
      </c>
      <c r="J2143" s="310">
        <v>30</v>
      </c>
      <c r="K2143" s="150">
        <v>1</v>
      </c>
      <c r="L2143" s="656">
        <v>11</v>
      </c>
      <c r="M2143" s="663">
        <v>34479</v>
      </c>
      <c r="N2143" s="600">
        <v>0.85222130000000007</v>
      </c>
      <c r="O2143" s="604">
        <v>2.4035840000000001E-4</v>
      </c>
      <c r="P2143" s="150"/>
      <c r="Q2143" s="250"/>
      <c r="R2143" s="250"/>
      <c r="S2143" s="250"/>
      <c r="T2143" s="250"/>
      <c r="U2143" s="250"/>
      <c r="V2143" s="742">
        <v>1</v>
      </c>
      <c r="W2143" s="747"/>
      <c r="X2143" s="743"/>
      <c r="Y2143" s="246"/>
      <c r="Z2143" s="245">
        <v>2</v>
      </c>
      <c r="AA2143" s="150">
        <v>0.4</v>
      </c>
      <c r="AB2143" s="152"/>
      <c r="AC2143" s="152"/>
      <c r="AD2143" s="223">
        <v>7.6989954000000003</v>
      </c>
      <c r="AE2143" s="223">
        <v>0.18896979999999999</v>
      </c>
      <c r="AF2143" s="223">
        <v>1.4556489800000001</v>
      </c>
      <c r="AG2143" s="223">
        <v>0.50290349999999995</v>
      </c>
      <c r="AH2143" s="341"/>
      <c r="AI2143" s="218"/>
      <c r="AJ2143" s="218"/>
      <c r="AK2143" s="153"/>
      <c r="AL2143" s="152"/>
      <c r="AM2143" s="152"/>
      <c r="AN2143" s="152"/>
      <c r="AO2143" s="152"/>
      <c r="AP2143" s="152"/>
      <c r="AQ2143" s="152"/>
      <c r="AR2143" s="152"/>
      <c r="AS2143" s="152"/>
      <c r="AT2143" s="152"/>
      <c r="AU2143" s="153"/>
      <c r="AV2143" s="479"/>
      <c r="AW2143" s="479"/>
      <c r="AX2143" s="442"/>
      <c r="AY2143" s="153"/>
      <c r="AZ2143" s="152"/>
      <c r="BA2143" s="152"/>
      <c r="BB2143" s="152"/>
      <c r="BC2143" s="152"/>
      <c r="BD2143" s="152"/>
      <c r="BE2143" s="152"/>
      <c r="BF2143" s="152"/>
      <c r="BG2143" s="152"/>
      <c r="BH2143" s="152"/>
      <c r="BI2143" s="153"/>
      <c r="BJ2143" s="153"/>
      <c r="BK2143" s="153"/>
      <c r="BL2143" s="153"/>
      <c r="BM2143" s="153"/>
      <c r="BN2143" s="153"/>
      <c r="BO2143" s="153"/>
      <c r="BP2143" s="153"/>
      <c r="BQ2143" s="153"/>
      <c r="BR2143" s="153"/>
      <c r="BS2143" s="153"/>
      <c r="BT2143" s="153"/>
      <c r="BU2143" s="153"/>
      <c r="BV2143" s="153"/>
      <c r="BW2143" s="153"/>
      <c r="BX2143" s="153"/>
      <c r="BY2143" s="153"/>
      <c r="BZ2143" s="153"/>
      <c r="CA2143" s="152"/>
      <c r="CB2143" s="152"/>
    </row>
    <row r="2144" spans="1:80" s="87" customFormat="1" ht="16.5" x14ac:dyDescent="0.3">
      <c r="A2144" s="152"/>
      <c r="B2144" s="683"/>
      <c r="C2144" s="683"/>
      <c r="D2144" s="698"/>
      <c r="E2144" s="215"/>
      <c r="F2144" s="215"/>
      <c r="G2144" s="153"/>
      <c r="H2144" s="153"/>
      <c r="I2144" s="310">
        <v>22</v>
      </c>
      <c r="J2144" s="310">
        <v>30</v>
      </c>
      <c r="K2144" s="150">
        <v>1</v>
      </c>
      <c r="L2144" s="656">
        <v>11</v>
      </c>
      <c r="M2144" s="663">
        <v>34485</v>
      </c>
      <c r="N2144" s="600">
        <v>1.1466765000000001</v>
      </c>
      <c r="O2144" s="604">
        <v>1.4169600000000001E-2</v>
      </c>
      <c r="P2144" s="150"/>
      <c r="Q2144" s="250"/>
      <c r="R2144" s="250"/>
      <c r="S2144" s="250">
        <v>3.4513671000000003E-2</v>
      </c>
      <c r="T2144" s="250">
        <v>0.124</v>
      </c>
      <c r="U2144" s="250">
        <v>0.19440000000000002</v>
      </c>
      <c r="V2144" s="742">
        <v>0.64700000000000002</v>
      </c>
      <c r="W2144" s="747"/>
      <c r="X2144" s="743"/>
      <c r="Y2144" s="246"/>
      <c r="Z2144" s="245">
        <v>12.5</v>
      </c>
      <c r="AA2144" s="150">
        <v>1.3</v>
      </c>
      <c r="AB2144" s="152"/>
      <c r="AC2144" s="152"/>
      <c r="AD2144" s="223">
        <v>7.9976896000000002</v>
      </c>
      <c r="AE2144" s="223">
        <v>0.22249669999999999</v>
      </c>
      <c r="AF2144" s="223">
        <v>1.7687017599999999</v>
      </c>
      <c r="AG2144" s="223">
        <v>0.60653210000000002</v>
      </c>
      <c r="AH2144" s="341"/>
      <c r="AI2144" s="218"/>
      <c r="AJ2144" s="218"/>
      <c r="AK2144" s="153"/>
      <c r="AL2144" s="152"/>
      <c r="AM2144" s="152"/>
      <c r="AN2144" s="152"/>
      <c r="AO2144" s="152"/>
      <c r="AP2144" s="152"/>
      <c r="AQ2144" s="152"/>
      <c r="AR2144" s="152"/>
      <c r="AS2144" s="152"/>
      <c r="AT2144" s="152"/>
      <c r="AU2144" s="153"/>
      <c r="AV2144" s="479"/>
      <c r="AW2144" s="479"/>
      <c r="AX2144" s="442"/>
      <c r="AY2144" s="153"/>
      <c r="AZ2144" s="152"/>
      <c r="BA2144" s="152"/>
      <c r="BB2144" s="152"/>
      <c r="BC2144" s="152"/>
      <c r="BD2144" s="152"/>
      <c r="BE2144" s="152"/>
      <c r="BF2144" s="152"/>
      <c r="BG2144" s="152"/>
      <c r="BH2144" s="152"/>
      <c r="BI2144" s="153"/>
      <c r="BJ2144" s="153"/>
      <c r="BK2144" s="153"/>
      <c r="BL2144" s="153"/>
      <c r="BM2144" s="153"/>
      <c r="BN2144" s="153"/>
      <c r="BO2144" s="153"/>
      <c r="BP2144" s="153"/>
      <c r="BQ2144" s="153"/>
      <c r="BR2144" s="153"/>
      <c r="BS2144" s="153"/>
      <c r="BT2144" s="153"/>
      <c r="BU2144" s="153"/>
      <c r="BV2144" s="153"/>
      <c r="BW2144" s="153"/>
      <c r="BX2144" s="153"/>
      <c r="BY2144" s="153"/>
      <c r="BZ2144" s="153"/>
      <c r="CA2144" s="152"/>
      <c r="CB2144" s="152"/>
    </row>
    <row r="2145" spans="1:80" s="87" customFormat="1" ht="16.5" x14ac:dyDescent="0.3">
      <c r="A2145" s="152"/>
      <c r="B2145" s="683"/>
      <c r="C2145" s="683"/>
      <c r="D2145" s="698"/>
      <c r="E2145" s="215"/>
      <c r="F2145" s="215"/>
      <c r="G2145" s="153"/>
      <c r="H2145" s="153"/>
      <c r="I2145" s="310">
        <v>22</v>
      </c>
      <c r="J2145" s="310">
        <v>30</v>
      </c>
      <c r="K2145" s="150">
        <v>1</v>
      </c>
      <c r="L2145" s="656">
        <v>11</v>
      </c>
      <c r="M2145" s="663">
        <v>34485</v>
      </c>
      <c r="N2145" s="600">
        <v>1.1466765000000001</v>
      </c>
      <c r="O2145" s="604">
        <v>1.1965439999999999E-2</v>
      </c>
      <c r="P2145" s="150"/>
      <c r="Q2145" s="250"/>
      <c r="R2145" s="250"/>
      <c r="S2145" s="250"/>
      <c r="T2145" s="250">
        <v>4.0899999999999999E-2</v>
      </c>
      <c r="U2145" s="250">
        <v>0.1724</v>
      </c>
      <c r="V2145" s="742">
        <v>0.78659999999999997</v>
      </c>
      <c r="W2145" s="747"/>
      <c r="X2145" s="743"/>
      <c r="Y2145" s="246"/>
      <c r="Z2145" s="245">
        <v>9</v>
      </c>
      <c r="AA2145" s="150">
        <v>1.2</v>
      </c>
      <c r="AB2145" s="152"/>
      <c r="AC2145" s="152"/>
      <c r="AD2145" s="223">
        <v>7.9976896000000002</v>
      </c>
      <c r="AE2145" s="223">
        <v>0.22249669999999999</v>
      </c>
      <c r="AF2145" s="223">
        <v>1.7687017599999999</v>
      </c>
      <c r="AG2145" s="223">
        <v>0.60653210000000002</v>
      </c>
      <c r="AH2145" s="341"/>
      <c r="AI2145" s="218"/>
      <c r="AJ2145" s="218"/>
      <c r="AK2145" s="153"/>
      <c r="AL2145" s="152"/>
      <c r="AM2145" s="152"/>
      <c r="AN2145" s="152"/>
      <c r="AO2145" s="152"/>
      <c r="AP2145" s="152"/>
      <c r="AQ2145" s="152"/>
      <c r="AR2145" s="152"/>
      <c r="AS2145" s="152"/>
      <c r="AT2145" s="152"/>
      <c r="AU2145" s="153"/>
      <c r="AV2145" s="479"/>
      <c r="AW2145" s="479"/>
      <c r="AX2145" s="442"/>
      <c r="AY2145" s="153"/>
      <c r="AZ2145" s="152"/>
      <c r="BA2145" s="152"/>
      <c r="BB2145" s="152"/>
      <c r="BC2145" s="152"/>
      <c r="BD2145" s="152"/>
      <c r="BE2145" s="152"/>
      <c r="BF2145" s="152"/>
      <c r="BG2145" s="152"/>
      <c r="BH2145" s="152"/>
      <c r="BI2145" s="153"/>
      <c r="BJ2145" s="153"/>
      <c r="BK2145" s="153"/>
      <c r="BL2145" s="153"/>
      <c r="BM2145" s="153"/>
      <c r="BN2145" s="153"/>
      <c r="BO2145" s="153"/>
      <c r="BP2145" s="153"/>
      <c r="BQ2145" s="153"/>
      <c r="BR2145" s="153"/>
      <c r="BS2145" s="153"/>
      <c r="BT2145" s="153"/>
      <c r="BU2145" s="153"/>
      <c r="BV2145" s="153"/>
      <c r="BW2145" s="153"/>
      <c r="BX2145" s="153"/>
      <c r="BY2145" s="153"/>
      <c r="BZ2145" s="153"/>
      <c r="CA2145" s="152"/>
      <c r="CB2145" s="152"/>
    </row>
    <row r="2146" spans="1:80" s="87" customFormat="1" ht="16.5" x14ac:dyDescent="0.3">
      <c r="A2146" s="152"/>
      <c r="B2146" s="683"/>
      <c r="C2146" s="683"/>
      <c r="D2146" s="698"/>
      <c r="E2146" s="215"/>
      <c r="F2146" s="215"/>
      <c r="G2146" s="153"/>
      <c r="H2146" s="153"/>
      <c r="I2146" s="310">
        <v>22</v>
      </c>
      <c r="J2146" s="310">
        <v>30</v>
      </c>
      <c r="K2146" s="150">
        <v>1</v>
      </c>
      <c r="L2146" s="656">
        <v>11</v>
      </c>
      <c r="M2146" s="663">
        <v>34489</v>
      </c>
      <c r="N2146" s="600">
        <v>1.0787253000000001</v>
      </c>
      <c r="O2146" s="604">
        <v>9.6458240000000008E-3</v>
      </c>
      <c r="P2146" s="150"/>
      <c r="Q2146" s="250"/>
      <c r="R2146" s="250"/>
      <c r="S2146" s="250">
        <v>5.5865921800000003E-2</v>
      </c>
      <c r="T2146" s="250">
        <v>4.5499999999999999E-2</v>
      </c>
      <c r="U2146" s="250">
        <v>0.24390000000000001</v>
      </c>
      <c r="V2146" s="742">
        <v>0.65469999999999995</v>
      </c>
      <c r="W2146" s="747"/>
      <c r="X2146" s="743"/>
      <c r="Y2146" s="246"/>
      <c r="Z2146" s="245">
        <v>17</v>
      </c>
      <c r="AA2146" s="150">
        <v>1.5</v>
      </c>
      <c r="AB2146" s="152"/>
      <c r="AC2146" s="152"/>
      <c r="AD2146" s="223">
        <v>7.7477618000000001</v>
      </c>
      <c r="AE2146" s="223">
        <v>0.22554460000000001</v>
      </c>
      <c r="AF2146" s="223">
        <v>1.7436203800000001</v>
      </c>
      <c r="AG2146" s="223">
        <v>0.56690940000000001</v>
      </c>
      <c r="AH2146" s="341"/>
      <c r="AI2146" s="218"/>
      <c r="AJ2146" s="218"/>
      <c r="AK2146" s="153"/>
      <c r="AL2146" s="152"/>
      <c r="AM2146" s="152"/>
      <c r="AN2146" s="152"/>
      <c r="AO2146" s="152"/>
      <c r="AP2146" s="152"/>
      <c r="AQ2146" s="152"/>
      <c r="AR2146" s="152"/>
      <c r="AS2146" s="152"/>
      <c r="AT2146" s="152"/>
      <c r="AU2146" s="153"/>
      <c r="AV2146" s="479"/>
      <c r="AW2146" s="479"/>
      <c r="AX2146" s="442"/>
      <c r="AY2146" s="153"/>
      <c r="AZ2146" s="152"/>
      <c r="BA2146" s="152"/>
      <c r="BB2146" s="152"/>
      <c r="BC2146" s="152"/>
      <c r="BD2146" s="152"/>
      <c r="BE2146" s="152"/>
      <c r="BF2146" s="152"/>
      <c r="BG2146" s="152"/>
      <c r="BH2146" s="152"/>
      <c r="BI2146" s="153"/>
      <c r="BJ2146" s="153"/>
      <c r="BK2146" s="153"/>
      <c r="BL2146" s="153"/>
      <c r="BM2146" s="153"/>
      <c r="BN2146" s="153"/>
      <c r="BO2146" s="153"/>
      <c r="BP2146" s="153"/>
      <c r="BQ2146" s="153"/>
      <c r="BR2146" s="153"/>
      <c r="BS2146" s="153"/>
      <c r="BT2146" s="153"/>
      <c r="BU2146" s="153"/>
      <c r="BV2146" s="153"/>
      <c r="BW2146" s="153"/>
      <c r="BX2146" s="153"/>
      <c r="BY2146" s="153"/>
      <c r="BZ2146" s="153"/>
      <c r="CA2146" s="152"/>
      <c r="CB2146" s="152"/>
    </row>
    <row r="2147" spans="1:80" s="87" customFormat="1" ht="16.5" x14ac:dyDescent="0.3">
      <c r="A2147" s="152"/>
      <c r="B2147" s="683"/>
      <c r="C2147" s="683"/>
      <c r="D2147" s="698"/>
      <c r="E2147" s="215"/>
      <c r="F2147" s="215"/>
      <c r="G2147" s="153"/>
      <c r="H2147" s="153"/>
      <c r="I2147" s="310">
        <v>22</v>
      </c>
      <c r="J2147" s="310">
        <v>30</v>
      </c>
      <c r="K2147" s="150">
        <v>1</v>
      </c>
      <c r="L2147" s="656">
        <v>11</v>
      </c>
      <c r="M2147" s="663">
        <v>34489</v>
      </c>
      <c r="N2147" s="600">
        <v>1.0787253000000001</v>
      </c>
      <c r="O2147" s="604">
        <v>9.8032640000000008E-3</v>
      </c>
      <c r="P2147" s="150"/>
      <c r="Q2147" s="250"/>
      <c r="R2147" s="250"/>
      <c r="S2147" s="250">
        <v>2.2934338699999997E-2</v>
      </c>
      <c r="T2147" s="250">
        <v>3.9399999999999998E-2</v>
      </c>
      <c r="U2147" s="250">
        <v>0.30030000000000001</v>
      </c>
      <c r="V2147" s="742">
        <v>0.63729999999999998</v>
      </c>
      <c r="W2147" s="747"/>
      <c r="X2147" s="743"/>
      <c r="Y2147" s="246"/>
      <c r="Z2147" s="245">
        <v>10</v>
      </c>
      <c r="AA2147" s="150">
        <v>1.6</v>
      </c>
      <c r="AB2147" s="152"/>
      <c r="AC2147" s="152"/>
      <c r="AD2147" s="223">
        <v>7.7477618000000001</v>
      </c>
      <c r="AE2147" s="223">
        <v>0.22554460000000001</v>
      </c>
      <c r="AF2147" s="223">
        <v>1.7436203800000001</v>
      </c>
      <c r="AG2147" s="223">
        <v>0.56690940000000001</v>
      </c>
      <c r="AH2147" s="341"/>
      <c r="AI2147" s="218"/>
      <c r="AJ2147" s="218"/>
      <c r="AK2147" s="153"/>
      <c r="AL2147" s="152"/>
      <c r="AM2147" s="152"/>
      <c r="AN2147" s="152"/>
      <c r="AO2147" s="152"/>
      <c r="AP2147" s="152"/>
      <c r="AQ2147" s="152"/>
      <c r="AR2147" s="152"/>
      <c r="AS2147" s="152"/>
      <c r="AT2147" s="152"/>
      <c r="AU2147" s="153"/>
      <c r="AV2147" s="479"/>
      <c r="AW2147" s="479"/>
      <c r="AX2147" s="442"/>
      <c r="AY2147" s="153"/>
      <c r="AZ2147" s="152"/>
      <c r="BA2147" s="152"/>
      <c r="BB2147" s="152"/>
      <c r="BC2147" s="152"/>
      <c r="BD2147" s="152"/>
      <c r="BE2147" s="152"/>
      <c r="BF2147" s="152"/>
      <c r="BG2147" s="152"/>
      <c r="BH2147" s="152"/>
      <c r="BI2147" s="153"/>
      <c r="BJ2147" s="153"/>
      <c r="BK2147" s="153"/>
      <c r="BL2147" s="153"/>
      <c r="BM2147" s="153"/>
      <c r="BN2147" s="153"/>
      <c r="BO2147" s="153"/>
      <c r="BP2147" s="153"/>
      <c r="BQ2147" s="153"/>
      <c r="BR2147" s="153"/>
      <c r="BS2147" s="153"/>
      <c r="BT2147" s="153"/>
      <c r="BU2147" s="153"/>
      <c r="BV2147" s="153"/>
      <c r="BW2147" s="153"/>
      <c r="BX2147" s="153"/>
      <c r="BY2147" s="153"/>
      <c r="BZ2147" s="153"/>
      <c r="CA2147" s="152"/>
      <c r="CB2147" s="152"/>
    </row>
    <row r="2148" spans="1:80" s="87" customFormat="1" ht="16.5" x14ac:dyDescent="0.3">
      <c r="A2148" s="152"/>
      <c r="B2148" s="683"/>
      <c r="C2148" s="683"/>
      <c r="D2148" s="698"/>
      <c r="E2148" s="215"/>
      <c r="F2148" s="215"/>
      <c r="G2148" s="153"/>
      <c r="H2148" s="153"/>
      <c r="I2148" s="310">
        <v>24</v>
      </c>
      <c r="J2148" s="310">
        <v>30</v>
      </c>
      <c r="K2148" s="150">
        <v>1</v>
      </c>
      <c r="L2148" s="656">
        <v>12</v>
      </c>
      <c r="M2148" s="663">
        <v>34493</v>
      </c>
      <c r="N2148" s="600">
        <v>0.89185950000000003</v>
      </c>
      <c r="O2148" s="604">
        <v>1.028608E-4</v>
      </c>
      <c r="P2148" s="150"/>
      <c r="Q2148" s="250"/>
      <c r="R2148" s="250"/>
      <c r="S2148" s="250"/>
      <c r="T2148" s="250">
        <v>0</v>
      </c>
      <c r="U2148" s="250">
        <v>2.9399999999999999E-2</v>
      </c>
      <c r="V2148" s="742">
        <v>0.97060000000000002</v>
      </c>
      <c r="W2148" s="747"/>
      <c r="X2148" s="743"/>
      <c r="Y2148" s="246"/>
      <c r="Z2148" s="245">
        <v>2.5</v>
      </c>
      <c r="AA2148" s="150">
        <v>0.7</v>
      </c>
      <c r="AB2148" s="152"/>
      <c r="AC2148" s="152"/>
      <c r="AD2148" s="223">
        <v>8.2567611000000003</v>
      </c>
      <c r="AE2148" s="223">
        <v>0.1859219</v>
      </c>
      <c r="AF2148" s="223">
        <v>1.5364667599999999</v>
      </c>
      <c r="AG2148" s="223">
        <v>0.52119090000000001</v>
      </c>
      <c r="AH2148" s="341"/>
      <c r="AI2148" s="218"/>
      <c r="AJ2148" s="218"/>
      <c r="AK2148" s="153"/>
      <c r="AL2148" s="152"/>
      <c r="AM2148" s="152"/>
      <c r="AN2148" s="152"/>
      <c r="AO2148" s="152"/>
      <c r="AP2148" s="152"/>
      <c r="AQ2148" s="152"/>
      <c r="AR2148" s="152"/>
      <c r="AS2148" s="152"/>
      <c r="AT2148" s="152"/>
      <c r="AU2148" s="153"/>
      <c r="AV2148" s="479"/>
      <c r="AW2148" s="479"/>
      <c r="AX2148" s="442"/>
      <c r="AY2148" s="153"/>
      <c r="AZ2148" s="152"/>
      <c r="BA2148" s="152"/>
      <c r="BB2148" s="152"/>
      <c r="BC2148" s="152"/>
      <c r="BD2148" s="152"/>
      <c r="BE2148" s="152"/>
      <c r="BF2148" s="152"/>
      <c r="BG2148" s="152"/>
      <c r="BH2148" s="152"/>
      <c r="BI2148" s="153"/>
      <c r="BJ2148" s="153"/>
      <c r="BK2148" s="153"/>
      <c r="BL2148" s="153"/>
      <c r="BM2148" s="153"/>
      <c r="BN2148" s="153"/>
      <c r="BO2148" s="153"/>
      <c r="BP2148" s="153"/>
      <c r="BQ2148" s="153"/>
      <c r="BR2148" s="153"/>
      <c r="BS2148" s="153"/>
      <c r="BT2148" s="153"/>
      <c r="BU2148" s="153"/>
      <c r="BV2148" s="153"/>
      <c r="BW2148" s="153"/>
      <c r="BX2148" s="153"/>
      <c r="BY2148" s="153"/>
      <c r="BZ2148" s="153"/>
      <c r="CA2148" s="152"/>
      <c r="CB2148" s="152"/>
    </row>
    <row r="2149" spans="1:80" s="87" customFormat="1" ht="16.5" x14ac:dyDescent="0.3">
      <c r="A2149" s="152"/>
      <c r="B2149" s="683"/>
      <c r="C2149" s="683"/>
      <c r="D2149" s="698"/>
      <c r="E2149" s="215"/>
      <c r="F2149" s="215"/>
      <c r="G2149" s="153"/>
      <c r="H2149" s="153"/>
      <c r="I2149" s="310">
        <v>24</v>
      </c>
      <c r="J2149" s="310">
        <v>30</v>
      </c>
      <c r="K2149" s="150">
        <v>1</v>
      </c>
      <c r="L2149" s="656">
        <v>12</v>
      </c>
      <c r="M2149" s="663">
        <v>34493</v>
      </c>
      <c r="N2149" s="600">
        <v>0.89185950000000003</v>
      </c>
      <c r="O2149" s="604">
        <v>9.1839999999999999E-4</v>
      </c>
      <c r="P2149" s="150"/>
      <c r="Q2149" s="250"/>
      <c r="R2149" s="250"/>
      <c r="S2149" s="250"/>
      <c r="T2149" s="250">
        <v>7.8700000000000006E-2</v>
      </c>
      <c r="U2149" s="250">
        <v>7.0499999999999993E-2</v>
      </c>
      <c r="V2149" s="742">
        <v>0.8508</v>
      </c>
      <c r="W2149" s="747"/>
      <c r="X2149" s="743"/>
      <c r="Y2149" s="246"/>
      <c r="Z2149" s="245">
        <v>6</v>
      </c>
      <c r="AA2149" s="150">
        <v>0.7</v>
      </c>
      <c r="AB2149" s="152"/>
      <c r="AC2149" s="152"/>
      <c r="AD2149" s="223">
        <v>8.2567611000000003</v>
      </c>
      <c r="AE2149" s="223">
        <v>0.1859219</v>
      </c>
      <c r="AF2149" s="223">
        <v>1.5364667599999999</v>
      </c>
      <c r="AG2149" s="223">
        <v>0.52119090000000001</v>
      </c>
      <c r="AH2149" s="341"/>
      <c r="AI2149" s="218"/>
      <c r="AJ2149" s="218"/>
      <c r="AK2149" s="153"/>
      <c r="AL2149" s="152"/>
      <c r="AM2149" s="152"/>
      <c r="AN2149" s="152"/>
      <c r="AO2149" s="152"/>
      <c r="AP2149" s="152"/>
      <c r="AQ2149" s="152"/>
      <c r="AR2149" s="152"/>
      <c r="AS2149" s="152"/>
      <c r="AT2149" s="152"/>
      <c r="AU2149" s="153"/>
      <c r="AV2149" s="479"/>
      <c r="AW2149" s="479"/>
      <c r="AX2149" s="442"/>
      <c r="AY2149" s="153"/>
      <c r="AZ2149" s="152"/>
      <c r="BA2149" s="152"/>
      <c r="BB2149" s="152"/>
      <c r="BC2149" s="152"/>
      <c r="BD2149" s="152"/>
      <c r="BE2149" s="152"/>
      <c r="BF2149" s="152"/>
      <c r="BG2149" s="152"/>
      <c r="BH2149" s="152"/>
      <c r="BI2149" s="153"/>
      <c r="BJ2149" s="153"/>
      <c r="BK2149" s="153"/>
      <c r="BL2149" s="153"/>
      <c r="BM2149" s="153"/>
      <c r="BN2149" s="153"/>
      <c r="BO2149" s="153"/>
      <c r="BP2149" s="153"/>
      <c r="BQ2149" s="153"/>
      <c r="BR2149" s="153"/>
      <c r="BS2149" s="153"/>
      <c r="BT2149" s="153"/>
      <c r="BU2149" s="153"/>
      <c r="BV2149" s="153"/>
      <c r="BW2149" s="153"/>
      <c r="BX2149" s="153"/>
      <c r="BY2149" s="153"/>
      <c r="BZ2149" s="153"/>
      <c r="CA2149" s="152"/>
      <c r="CB2149" s="152"/>
    </row>
    <row r="2150" spans="1:80" s="87" customFormat="1" ht="16.5" x14ac:dyDescent="0.3">
      <c r="A2150" s="152"/>
      <c r="B2150" s="683"/>
      <c r="C2150" s="683"/>
      <c r="D2150" s="698"/>
      <c r="E2150" s="215"/>
      <c r="F2150" s="215"/>
      <c r="G2150" s="153"/>
      <c r="H2150" s="153"/>
      <c r="I2150" s="310">
        <v>24</v>
      </c>
      <c r="J2150" s="310">
        <v>30</v>
      </c>
      <c r="K2150" s="150">
        <v>1</v>
      </c>
      <c r="L2150" s="656">
        <v>12</v>
      </c>
      <c r="M2150" s="663">
        <v>34497</v>
      </c>
      <c r="N2150" s="600">
        <v>0.77294490000000005</v>
      </c>
      <c r="O2150" s="604">
        <v>1.270016E-4</v>
      </c>
      <c r="P2150" s="150"/>
      <c r="Q2150" s="250"/>
      <c r="R2150" s="250"/>
      <c r="S2150" s="250"/>
      <c r="T2150" s="250"/>
      <c r="U2150" s="250">
        <v>0.1512</v>
      </c>
      <c r="V2150" s="742">
        <v>0.8488</v>
      </c>
      <c r="W2150" s="747"/>
      <c r="X2150" s="743"/>
      <c r="Y2150" s="246"/>
      <c r="Z2150" s="245">
        <v>4.5</v>
      </c>
      <c r="AA2150" s="150">
        <v>0.7</v>
      </c>
      <c r="AB2150" s="152"/>
      <c r="AC2150" s="152"/>
      <c r="AD2150" s="223">
        <v>7.7873844999999999</v>
      </c>
      <c r="AE2150" s="223">
        <v>0.19201770000000001</v>
      </c>
      <c r="AF2150" s="223">
        <v>1.4909486999999999</v>
      </c>
      <c r="AG2150" s="223">
        <v>0.54252619999999996</v>
      </c>
      <c r="AH2150" s="341"/>
      <c r="AI2150" s="218"/>
      <c r="AJ2150" s="218"/>
      <c r="AK2150" s="153"/>
      <c r="AL2150" s="152"/>
      <c r="AM2150" s="152"/>
      <c r="AN2150" s="152"/>
      <c r="AO2150" s="152"/>
      <c r="AP2150" s="152"/>
      <c r="AQ2150" s="152"/>
      <c r="AR2150" s="152"/>
      <c r="AS2150" s="152"/>
      <c r="AT2150" s="152"/>
      <c r="AU2150" s="153"/>
      <c r="AV2150" s="479"/>
      <c r="AW2150" s="479"/>
      <c r="AX2150" s="442"/>
      <c r="AY2150" s="153"/>
      <c r="AZ2150" s="152"/>
      <c r="BA2150" s="152"/>
      <c r="BB2150" s="152"/>
      <c r="BC2150" s="152"/>
      <c r="BD2150" s="152"/>
      <c r="BE2150" s="152"/>
      <c r="BF2150" s="152"/>
      <c r="BG2150" s="152"/>
      <c r="BH2150" s="152"/>
      <c r="BI2150" s="153"/>
      <c r="BJ2150" s="153"/>
      <c r="BK2150" s="153"/>
      <c r="BL2150" s="153"/>
      <c r="BM2150" s="153"/>
      <c r="BN2150" s="153"/>
      <c r="BO2150" s="153"/>
      <c r="BP2150" s="153"/>
      <c r="BQ2150" s="153"/>
      <c r="BR2150" s="153"/>
      <c r="BS2150" s="153"/>
      <c r="BT2150" s="153"/>
      <c r="BU2150" s="153"/>
      <c r="BV2150" s="153"/>
      <c r="BW2150" s="153"/>
      <c r="BX2150" s="153"/>
      <c r="BY2150" s="153"/>
      <c r="BZ2150" s="153"/>
      <c r="CA2150" s="152"/>
      <c r="CB2150" s="152"/>
    </row>
    <row r="2151" spans="1:80" s="87" customFormat="1" ht="16.5" x14ac:dyDescent="0.3">
      <c r="A2151" s="152"/>
      <c r="B2151" s="683"/>
      <c r="C2151" s="683"/>
      <c r="D2151" s="698"/>
      <c r="E2151" s="215"/>
      <c r="F2151" s="215"/>
      <c r="G2151" s="153"/>
      <c r="H2151" s="153"/>
      <c r="I2151" s="310">
        <v>24</v>
      </c>
      <c r="J2151" s="310">
        <v>30</v>
      </c>
      <c r="K2151" s="150">
        <v>1</v>
      </c>
      <c r="L2151" s="656">
        <v>12</v>
      </c>
      <c r="M2151" s="663">
        <v>34497</v>
      </c>
      <c r="N2151" s="600">
        <v>0.77294490000000005</v>
      </c>
      <c r="O2151" s="604">
        <v>7.2632320000000003E-4</v>
      </c>
      <c r="P2151" s="150"/>
      <c r="Q2151" s="250"/>
      <c r="R2151" s="250"/>
      <c r="S2151" s="250"/>
      <c r="T2151" s="250">
        <v>3.3300000000000003E-2</v>
      </c>
      <c r="U2151" s="250">
        <v>0.24710000000000001</v>
      </c>
      <c r="V2151" s="742">
        <v>0.71959999999999991</v>
      </c>
      <c r="W2151" s="747"/>
      <c r="X2151" s="743"/>
      <c r="Y2151" s="246"/>
      <c r="Z2151" s="245">
        <v>6</v>
      </c>
      <c r="AA2151" s="150">
        <v>1.4</v>
      </c>
      <c r="AB2151" s="152"/>
      <c r="AC2151" s="152"/>
      <c r="AD2151" s="223">
        <v>7.7873844999999999</v>
      </c>
      <c r="AE2151" s="223">
        <v>0.19201770000000001</v>
      </c>
      <c r="AF2151" s="223">
        <v>1.4909486999999999</v>
      </c>
      <c r="AG2151" s="223">
        <v>0.54252619999999996</v>
      </c>
      <c r="AH2151" s="341"/>
      <c r="AI2151" s="218"/>
      <c r="AJ2151" s="218"/>
      <c r="AK2151" s="153"/>
      <c r="AL2151" s="152"/>
      <c r="AM2151" s="152"/>
      <c r="AN2151" s="152"/>
      <c r="AO2151" s="152"/>
      <c r="AP2151" s="152"/>
      <c r="AQ2151" s="152"/>
      <c r="AR2151" s="152"/>
      <c r="AS2151" s="152"/>
      <c r="AT2151" s="152"/>
      <c r="AU2151" s="153"/>
      <c r="AV2151" s="479"/>
      <c r="AW2151" s="479"/>
      <c r="AX2151" s="442"/>
      <c r="AY2151" s="153"/>
      <c r="AZ2151" s="152"/>
      <c r="BA2151" s="152"/>
      <c r="BB2151" s="152"/>
      <c r="BC2151" s="152"/>
      <c r="BD2151" s="152"/>
      <c r="BE2151" s="152"/>
      <c r="BF2151" s="152"/>
      <c r="BG2151" s="152"/>
      <c r="BH2151" s="152"/>
      <c r="BI2151" s="153"/>
      <c r="BJ2151" s="153"/>
      <c r="BK2151" s="153"/>
      <c r="BL2151" s="153"/>
      <c r="BM2151" s="153"/>
      <c r="BN2151" s="153"/>
      <c r="BO2151" s="153"/>
      <c r="BP2151" s="153"/>
      <c r="BQ2151" s="153"/>
      <c r="BR2151" s="153"/>
      <c r="BS2151" s="153"/>
      <c r="BT2151" s="153"/>
      <c r="BU2151" s="153"/>
      <c r="BV2151" s="153"/>
      <c r="BW2151" s="153"/>
      <c r="BX2151" s="153"/>
      <c r="BY2151" s="153"/>
      <c r="BZ2151" s="153"/>
      <c r="CA2151" s="152"/>
      <c r="CB2151" s="152"/>
    </row>
    <row r="2152" spans="1:80" s="87" customFormat="1" ht="16.5" x14ac:dyDescent="0.3">
      <c r="A2152" s="152"/>
      <c r="B2152" s="683"/>
      <c r="C2152" s="683"/>
      <c r="D2152" s="698"/>
      <c r="E2152" s="215"/>
      <c r="F2152" s="215"/>
      <c r="G2152" s="153"/>
      <c r="H2152" s="153"/>
      <c r="I2152" s="310">
        <v>20</v>
      </c>
      <c r="J2152" s="310">
        <v>30</v>
      </c>
      <c r="K2152" s="150">
        <v>1</v>
      </c>
      <c r="L2152" s="656">
        <v>10</v>
      </c>
      <c r="M2152" s="663">
        <v>34629</v>
      </c>
      <c r="N2152" s="600">
        <v>0.28879260000000001</v>
      </c>
      <c r="O2152" s="604">
        <v>1.0118144000000001E-5</v>
      </c>
      <c r="P2152" s="150"/>
      <c r="Q2152" s="250"/>
      <c r="R2152" s="250"/>
      <c r="S2152" s="250"/>
      <c r="T2152" s="250"/>
      <c r="U2152" s="250">
        <v>0.42859999999999998</v>
      </c>
      <c r="V2152" s="742">
        <v>0.57140000000000002</v>
      </c>
      <c r="W2152" s="747"/>
      <c r="X2152" s="743"/>
      <c r="Y2152" s="246"/>
      <c r="Z2152" s="245">
        <v>2.5</v>
      </c>
      <c r="AA2152" s="150">
        <v>1.8</v>
      </c>
      <c r="AB2152" s="152"/>
      <c r="AC2152" s="152"/>
      <c r="AD2152" s="223">
        <v>7.6989954000000003</v>
      </c>
      <c r="AE2152" s="223">
        <v>0.14020340000000001</v>
      </c>
      <c r="AF2152" s="223">
        <v>1.07013888</v>
      </c>
      <c r="AG2152" s="223">
        <v>0.36574800000000002</v>
      </c>
      <c r="AH2152" s="341"/>
      <c r="AI2152" s="218"/>
      <c r="AJ2152" s="218"/>
      <c r="AK2152" s="153"/>
      <c r="AL2152" s="152"/>
      <c r="AM2152" s="152"/>
      <c r="AN2152" s="152"/>
      <c r="AO2152" s="152"/>
      <c r="AP2152" s="152"/>
      <c r="AQ2152" s="152"/>
      <c r="AR2152" s="152"/>
      <c r="AS2152" s="152"/>
      <c r="AT2152" s="152"/>
      <c r="AU2152" s="153"/>
      <c r="AV2152" s="479"/>
      <c r="AW2152" s="479"/>
      <c r="AX2152" s="442"/>
      <c r="AY2152" s="153"/>
      <c r="AZ2152" s="152"/>
      <c r="BA2152" s="152"/>
      <c r="BB2152" s="152"/>
      <c r="BC2152" s="152"/>
      <c r="BD2152" s="152"/>
      <c r="BE2152" s="152"/>
      <c r="BF2152" s="152"/>
      <c r="BG2152" s="152"/>
      <c r="BH2152" s="152"/>
      <c r="BI2152" s="153"/>
      <c r="BJ2152" s="153"/>
      <c r="BK2152" s="153"/>
      <c r="BL2152" s="153"/>
      <c r="BM2152" s="153"/>
      <c r="BN2152" s="153"/>
      <c r="BO2152" s="153"/>
      <c r="BP2152" s="153"/>
      <c r="BQ2152" s="153"/>
      <c r="BR2152" s="153"/>
      <c r="BS2152" s="153"/>
      <c r="BT2152" s="153"/>
      <c r="BU2152" s="153"/>
      <c r="BV2152" s="153"/>
      <c r="BW2152" s="153"/>
      <c r="BX2152" s="153"/>
      <c r="BY2152" s="153"/>
      <c r="BZ2152" s="153"/>
      <c r="CA2152" s="152"/>
      <c r="CB2152" s="152"/>
    </row>
    <row r="2153" spans="1:80" s="87" customFormat="1" ht="16.5" x14ac:dyDescent="0.3">
      <c r="A2153" s="152"/>
      <c r="B2153" s="683"/>
      <c r="C2153" s="683"/>
      <c r="D2153" s="698"/>
      <c r="E2153" s="215"/>
      <c r="F2153" s="215"/>
      <c r="G2153" s="153"/>
      <c r="H2153" s="153"/>
      <c r="I2153" s="310">
        <v>20</v>
      </c>
      <c r="J2153" s="310">
        <v>30</v>
      </c>
      <c r="K2153" s="150">
        <v>1</v>
      </c>
      <c r="L2153" s="656">
        <v>10</v>
      </c>
      <c r="M2153" s="663">
        <v>34629</v>
      </c>
      <c r="N2153" s="600">
        <v>0.28879260000000001</v>
      </c>
      <c r="O2153" s="604">
        <v>8.7641599999999998E-5</v>
      </c>
      <c r="P2153" s="150"/>
      <c r="Q2153" s="250"/>
      <c r="R2153" s="250"/>
      <c r="S2153" s="250"/>
      <c r="T2153" s="250"/>
      <c r="U2153" s="250">
        <v>0.36359999999999998</v>
      </c>
      <c r="V2153" s="742">
        <v>0.63639999999999997</v>
      </c>
      <c r="W2153" s="747"/>
      <c r="X2153" s="743"/>
      <c r="Y2153" s="246"/>
      <c r="Z2153" s="245">
        <v>4</v>
      </c>
      <c r="AA2153" s="150">
        <v>1.4</v>
      </c>
      <c r="AB2153" s="152"/>
      <c r="AC2153" s="152"/>
      <c r="AD2153" s="223">
        <v>7.6989954000000003</v>
      </c>
      <c r="AE2153" s="223">
        <v>0.14020340000000001</v>
      </c>
      <c r="AF2153" s="223">
        <v>1.07013888</v>
      </c>
      <c r="AG2153" s="223">
        <v>0.36574800000000002</v>
      </c>
      <c r="AH2153" s="341"/>
      <c r="AI2153" s="218"/>
      <c r="AJ2153" s="218"/>
      <c r="AK2153" s="153"/>
      <c r="AL2153" s="152"/>
      <c r="AM2153" s="152"/>
      <c r="AN2153" s="152"/>
      <c r="AO2153" s="152"/>
      <c r="AP2153" s="152"/>
      <c r="AQ2153" s="152"/>
      <c r="AR2153" s="152"/>
      <c r="AS2153" s="152"/>
      <c r="AT2153" s="152"/>
      <c r="AU2153" s="153"/>
      <c r="AV2153" s="479"/>
      <c r="AW2153" s="479"/>
      <c r="AX2153" s="442"/>
      <c r="AY2153" s="153"/>
      <c r="AZ2153" s="152"/>
      <c r="BA2153" s="152"/>
      <c r="BB2153" s="152"/>
      <c r="BC2153" s="152"/>
      <c r="BD2153" s="152"/>
      <c r="BE2153" s="152"/>
      <c r="BF2153" s="152"/>
      <c r="BG2153" s="152"/>
      <c r="BH2153" s="152"/>
      <c r="BI2153" s="153"/>
      <c r="BJ2153" s="153"/>
      <c r="BK2153" s="153"/>
      <c r="BL2153" s="153"/>
      <c r="BM2153" s="153"/>
      <c r="BN2153" s="153"/>
      <c r="BO2153" s="153"/>
      <c r="BP2153" s="153"/>
      <c r="BQ2153" s="153"/>
      <c r="BR2153" s="153"/>
      <c r="BS2153" s="153"/>
      <c r="BT2153" s="153"/>
      <c r="BU2153" s="153"/>
      <c r="BV2153" s="153"/>
      <c r="BW2153" s="153"/>
      <c r="BX2153" s="153"/>
      <c r="BY2153" s="153"/>
      <c r="BZ2153" s="153"/>
      <c r="CA2153" s="152"/>
      <c r="CB2153" s="152"/>
    </row>
    <row r="2154" spans="1:80" s="87" customFormat="1" ht="16.5" x14ac:dyDescent="0.3">
      <c r="A2154" s="152"/>
      <c r="B2154" s="683"/>
      <c r="C2154" s="683"/>
      <c r="D2154" s="698"/>
      <c r="E2154" s="215"/>
      <c r="F2154" s="215"/>
      <c r="G2154" s="153"/>
      <c r="H2154" s="153"/>
      <c r="I2154" s="310">
        <v>22</v>
      </c>
      <c r="J2154" s="310">
        <v>30</v>
      </c>
      <c r="K2154" s="150">
        <v>1</v>
      </c>
      <c r="L2154" s="656">
        <v>11</v>
      </c>
      <c r="M2154" s="663">
        <v>34809</v>
      </c>
      <c r="N2154" s="600">
        <v>0.481321</v>
      </c>
      <c r="O2154" s="604">
        <v>3.2852480000000002E-3</v>
      </c>
      <c r="P2154" s="150"/>
      <c r="Q2154" s="250"/>
      <c r="R2154" s="250"/>
      <c r="S2154" s="250"/>
      <c r="T2154" s="250">
        <v>3.6499999999999998E-2</v>
      </c>
      <c r="U2154" s="250">
        <v>0.19109999999999999</v>
      </c>
      <c r="V2154" s="742">
        <v>0.77239999999999998</v>
      </c>
      <c r="W2154" s="747"/>
      <c r="X2154" s="743"/>
      <c r="Y2154" s="246"/>
      <c r="Z2154" s="245">
        <v>6</v>
      </c>
      <c r="AA2154" s="150">
        <v>1</v>
      </c>
      <c r="AB2154" s="152"/>
      <c r="AC2154" s="152"/>
      <c r="AD2154" s="223">
        <v>7.5892710000000001</v>
      </c>
      <c r="AE2154" s="223">
        <v>0.16153870000000001</v>
      </c>
      <c r="AF2154" s="223">
        <v>1.2317744399999999</v>
      </c>
      <c r="AG2154" s="223">
        <v>0.45413710000000002</v>
      </c>
      <c r="AH2154" s="341"/>
      <c r="AI2154" s="218"/>
      <c r="AJ2154" s="218"/>
      <c r="AK2154" s="153"/>
      <c r="AL2154" s="152"/>
      <c r="AM2154" s="152"/>
      <c r="AN2154" s="152"/>
      <c r="AO2154" s="152"/>
      <c r="AP2154" s="152"/>
      <c r="AQ2154" s="152"/>
      <c r="AR2154" s="152"/>
      <c r="AS2154" s="152"/>
      <c r="AT2154" s="152"/>
      <c r="AU2154" s="153"/>
      <c r="AV2154" s="479"/>
      <c r="AW2154" s="479"/>
      <c r="AX2154" s="442"/>
      <c r="AY2154" s="153"/>
      <c r="AZ2154" s="152"/>
      <c r="BA2154" s="152"/>
      <c r="BB2154" s="152"/>
      <c r="BC2154" s="152"/>
      <c r="BD2154" s="152"/>
      <c r="BE2154" s="152"/>
      <c r="BF2154" s="152"/>
      <c r="BG2154" s="152"/>
      <c r="BH2154" s="152"/>
      <c r="BI2154" s="153"/>
      <c r="BJ2154" s="153"/>
      <c r="BK2154" s="153"/>
      <c r="BL2154" s="153"/>
      <c r="BM2154" s="153"/>
      <c r="BN2154" s="153"/>
      <c r="BO2154" s="153"/>
      <c r="BP2154" s="153"/>
      <c r="BQ2154" s="153"/>
      <c r="BR2154" s="153"/>
      <c r="BS2154" s="153"/>
      <c r="BT2154" s="153"/>
      <c r="BU2154" s="153"/>
      <c r="BV2154" s="153"/>
      <c r="BW2154" s="153"/>
      <c r="BX2154" s="153"/>
      <c r="BY2154" s="153"/>
      <c r="BZ2154" s="153"/>
      <c r="CA2154" s="152"/>
      <c r="CB2154" s="152"/>
    </row>
    <row r="2155" spans="1:80" s="87" customFormat="1" ht="16.5" x14ac:dyDescent="0.3">
      <c r="A2155" s="152"/>
      <c r="B2155" s="683"/>
      <c r="C2155" s="683"/>
      <c r="D2155" s="698"/>
      <c r="E2155" s="215"/>
      <c r="F2155" s="215"/>
      <c r="G2155" s="153"/>
      <c r="H2155" s="153"/>
      <c r="I2155" s="310">
        <v>22</v>
      </c>
      <c r="J2155" s="310">
        <v>30</v>
      </c>
      <c r="K2155" s="150">
        <v>1</v>
      </c>
      <c r="L2155" s="656">
        <v>11</v>
      </c>
      <c r="M2155" s="663">
        <v>34809</v>
      </c>
      <c r="N2155" s="600">
        <v>0.481321</v>
      </c>
      <c r="O2155" s="604">
        <v>1.8577919999999998E-3</v>
      </c>
      <c r="P2155" s="150"/>
      <c r="Q2155" s="250"/>
      <c r="R2155" s="250"/>
      <c r="S2155" s="250">
        <v>0.28641571199999999</v>
      </c>
      <c r="T2155" s="250">
        <v>0.22339999999999999</v>
      </c>
      <c r="U2155" s="250">
        <v>0.18170000000000003</v>
      </c>
      <c r="V2155" s="742">
        <v>0.3085</v>
      </c>
      <c r="W2155" s="747"/>
      <c r="X2155" s="743"/>
      <c r="Y2155" s="246"/>
      <c r="Z2155" s="245">
        <v>13</v>
      </c>
      <c r="AA2155" s="150">
        <v>4.2</v>
      </c>
      <c r="AB2155" s="152"/>
      <c r="AC2155" s="152"/>
      <c r="AD2155" s="223">
        <v>7.5892710000000001</v>
      </c>
      <c r="AE2155" s="223">
        <v>0.16153870000000001</v>
      </c>
      <c r="AF2155" s="223">
        <v>1.2317744399999999</v>
      </c>
      <c r="AG2155" s="223">
        <v>0.45413710000000002</v>
      </c>
      <c r="AH2155" s="341"/>
      <c r="AI2155" s="218"/>
      <c r="AJ2155" s="218"/>
      <c r="AK2155" s="153"/>
      <c r="AL2155" s="152"/>
      <c r="AM2155" s="152"/>
      <c r="AN2155" s="152"/>
      <c r="AO2155" s="152"/>
      <c r="AP2155" s="152"/>
      <c r="AQ2155" s="152"/>
      <c r="AR2155" s="152"/>
      <c r="AS2155" s="152"/>
      <c r="AT2155" s="152"/>
      <c r="AU2155" s="153"/>
      <c r="AV2155" s="479"/>
      <c r="AW2155" s="479"/>
      <c r="AX2155" s="442"/>
      <c r="AY2155" s="153"/>
      <c r="AZ2155" s="152"/>
      <c r="BA2155" s="152"/>
      <c r="BB2155" s="152"/>
      <c r="BC2155" s="152"/>
      <c r="BD2155" s="152"/>
      <c r="BE2155" s="152"/>
      <c r="BF2155" s="152"/>
      <c r="BG2155" s="152"/>
      <c r="BH2155" s="152"/>
      <c r="BI2155" s="153"/>
      <c r="BJ2155" s="153"/>
      <c r="BK2155" s="153"/>
      <c r="BL2155" s="153"/>
      <c r="BM2155" s="153"/>
      <c r="BN2155" s="153"/>
      <c r="BO2155" s="153"/>
      <c r="BP2155" s="153"/>
      <c r="BQ2155" s="153"/>
      <c r="BR2155" s="153"/>
      <c r="BS2155" s="153"/>
      <c r="BT2155" s="153"/>
      <c r="BU2155" s="153"/>
      <c r="BV2155" s="153"/>
      <c r="BW2155" s="153"/>
      <c r="BX2155" s="153"/>
      <c r="BY2155" s="153"/>
      <c r="BZ2155" s="153"/>
      <c r="CA2155" s="152"/>
      <c r="CB2155" s="152"/>
    </row>
    <row r="2156" spans="1:80" s="87" customFormat="1" ht="16.5" x14ac:dyDescent="0.3">
      <c r="A2156" s="152"/>
      <c r="B2156" s="683"/>
      <c r="C2156" s="683"/>
      <c r="D2156" s="698"/>
      <c r="E2156" s="215"/>
      <c r="F2156" s="215"/>
      <c r="G2156" s="153"/>
      <c r="H2156" s="153"/>
      <c r="I2156" s="310">
        <v>22</v>
      </c>
      <c r="J2156" s="310">
        <v>30</v>
      </c>
      <c r="K2156" s="150">
        <v>1</v>
      </c>
      <c r="L2156" s="656">
        <v>11</v>
      </c>
      <c r="M2156" s="663">
        <v>34809</v>
      </c>
      <c r="N2156" s="600">
        <v>0.481321</v>
      </c>
      <c r="O2156" s="604">
        <v>9.7402879999999999E-4</v>
      </c>
      <c r="P2156" s="150"/>
      <c r="Q2156" s="250"/>
      <c r="R2156" s="250"/>
      <c r="S2156" s="250"/>
      <c r="T2156" s="250">
        <v>0.10060000000000001</v>
      </c>
      <c r="U2156" s="250">
        <v>0.19969999999999999</v>
      </c>
      <c r="V2156" s="742">
        <v>0.69969999999999999</v>
      </c>
      <c r="W2156" s="747"/>
      <c r="X2156" s="743"/>
      <c r="Y2156" s="246"/>
      <c r="Z2156" s="245">
        <v>5.5</v>
      </c>
      <c r="AA2156" s="150">
        <v>1</v>
      </c>
      <c r="AB2156" s="152"/>
      <c r="AC2156" s="152"/>
      <c r="AD2156" s="223">
        <v>7.5892710000000001</v>
      </c>
      <c r="AE2156" s="223">
        <v>0.16153870000000001</v>
      </c>
      <c r="AF2156" s="223">
        <v>1.2317744399999999</v>
      </c>
      <c r="AG2156" s="223">
        <v>0.45413710000000002</v>
      </c>
      <c r="AH2156" s="341"/>
      <c r="AI2156" s="218"/>
      <c r="AJ2156" s="218"/>
      <c r="AK2156" s="153"/>
      <c r="AL2156" s="152"/>
      <c r="AM2156" s="152"/>
      <c r="AN2156" s="152"/>
      <c r="AO2156" s="152"/>
      <c r="AP2156" s="152"/>
      <c r="AQ2156" s="152"/>
      <c r="AR2156" s="152"/>
      <c r="AS2156" s="152"/>
      <c r="AT2156" s="152"/>
      <c r="AU2156" s="153"/>
      <c r="AV2156" s="479"/>
      <c r="AW2156" s="479"/>
      <c r="AX2156" s="442"/>
      <c r="AY2156" s="153"/>
      <c r="AZ2156" s="152"/>
      <c r="BA2156" s="152"/>
      <c r="BB2156" s="152"/>
      <c r="BC2156" s="152"/>
      <c r="BD2156" s="152"/>
      <c r="BE2156" s="152"/>
      <c r="BF2156" s="152"/>
      <c r="BG2156" s="152"/>
      <c r="BH2156" s="152"/>
      <c r="BI2156" s="153"/>
      <c r="BJ2156" s="153"/>
      <c r="BK2156" s="153"/>
      <c r="BL2156" s="153"/>
      <c r="BM2156" s="153"/>
      <c r="BN2156" s="153"/>
      <c r="BO2156" s="153"/>
      <c r="BP2156" s="153"/>
      <c r="BQ2156" s="153"/>
      <c r="BR2156" s="153"/>
      <c r="BS2156" s="153"/>
      <c r="BT2156" s="153"/>
      <c r="BU2156" s="153"/>
      <c r="BV2156" s="153"/>
      <c r="BW2156" s="153"/>
      <c r="BX2156" s="153"/>
      <c r="BY2156" s="153"/>
      <c r="BZ2156" s="153"/>
      <c r="CA2156" s="152"/>
      <c r="CB2156" s="152"/>
    </row>
    <row r="2157" spans="1:80" s="87" customFormat="1" ht="16.5" x14ac:dyDescent="0.3">
      <c r="A2157" s="152"/>
      <c r="B2157" s="683"/>
      <c r="C2157" s="683"/>
      <c r="D2157" s="698"/>
      <c r="E2157" s="215"/>
      <c r="F2157" s="215"/>
      <c r="G2157" s="153"/>
      <c r="H2157" s="153"/>
      <c r="I2157" s="310">
        <v>22</v>
      </c>
      <c r="J2157" s="310">
        <v>60</v>
      </c>
      <c r="K2157" s="150">
        <v>1</v>
      </c>
      <c r="L2157" s="656">
        <v>22</v>
      </c>
      <c r="M2157" s="663">
        <v>34816</v>
      </c>
      <c r="N2157" s="600">
        <v>0.55493480000000006</v>
      </c>
      <c r="O2157" s="604">
        <v>1.060096E-4</v>
      </c>
      <c r="P2157" s="150"/>
      <c r="Q2157" s="250"/>
      <c r="R2157" s="250"/>
      <c r="S2157" s="250"/>
      <c r="T2157" s="250"/>
      <c r="U2157" s="250"/>
      <c r="V2157" s="742">
        <v>1</v>
      </c>
      <c r="W2157" s="747"/>
      <c r="X2157" s="743"/>
      <c r="Y2157" s="246"/>
      <c r="Z2157" s="245">
        <v>1</v>
      </c>
      <c r="AA2157" s="150">
        <v>0.5</v>
      </c>
      <c r="AB2157" s="152"/>
      <c r="AC2157" s="152"/>
      <c r="AD2157" s="223">
        <v>7.6989954000000003</v>
      </c>
      <c r="AE2157" s="223">
        <v>0.16763449999999999</v>
      </c>
      <c r="AF2157" s="223">
        <v>1.2791503799999999</v>
      </c>
      <c r="AG2157" s="223">
        <v>0.42365809999999998</v>
      </c>
      <c r="AH2157" s="341"/>
      <c r="AI2157" s="218"/>
      <c r="AJ2157" s="218"/>
      <c r="AK2157" s="153"/>
      <c r="AL2157" s="152"/>
      <c r="AM2157" s="152"/>
      <c r="AN2157" s="152"/>
      <c r="AO2157" s="152"/>
      <c r="AP2157" s="152"/>
      <c r="AQ2157" s="152"/>
      <c r="AR2157" s="152"/>
      <c r="AS2157" s="152"/>
      <c r="AT2157" s="152"/>
      <c r="AU2157" s="153"/>
      <c r="AV2157" s="479"/>
      <c r="AW2157" s="479"/>
      <c r="AX2157" s="442"/>
      <c r="AY2157" s="153"/>
      <c r="AZ2157" s="152"/>
      <c r="BA2157" s="152"/>
      <c r="BB2157" s="152"/>
      <c r="BC2157" s="152"/>
      <c r="BD2157" s="152"/>
      <c r="BE2157" s="152"/>
      <c r="BF2157" s="152"/>
      <c r="BG2157" s="152"/>
      <c r="BH2157" s="152"/>
      <c r="BI2157" s="153"/>
      <c r="BJ2157" s="153"/>
      <c r="BK2157" s="153"/>
      <c r="BL2157" s="153"/>
      <c r="BM2157" s="153"/>
      <c r="BN2157" s="153"/>
      <c r="BO2157" s="153"/>
      <c r="BP2157" s="153"/>
      <c r="BQ2157" s="153"/>
      <c r="BR2157" s="153"/>
      <c r="BS2157" s="153"/>
      <c r="BT2157" s="153"/>
      <c r="BU2157" s="153"/>
      <c r="BV2157" s="153"/>
      <c r="BW2157" s="153"/>
      <c r="BX2157" s="153"/>
      <c r="BY2157" s="153"/>
      <c r="BZ2157" s="153"/>
      <c r="CA2157" s="152"/>
      <c r="CB2157" s="152"/>
    </row>
    <row r="2158" spans="1:80" s="87" customFormat="1" ht="16.5" x14ac:dyDescent="0.3">
      <c r="A2158" s="152"/>
      <c r="B2158" s="683"/>
      <c r="C2158" s="683"/>
      <c r="D2158" s="698"/>
      <c r="E2158" s="215"/>
      <c r="F2158" s="215"/>
      <c r="G2158" s="153"/>
      <c r="H2158" s="153"/>
      <c r="I2158" s="310">
        <v>22</v>
      </c>
      <c r="J2158" s="310">
        <v>60</v>
      </c>
      <c r="K2158" s="150">
        <v>1</v>
      </c>
      <c r="L2158" s="656">
        <v>22</v>
      </c>
      <c r="M2158" s="663">
        <v>34816</v>
      </c>
      <c r="N2158" s="600">
        <v>0.55493480000000006</v>
      </c>
      <c r="O2158" s="604">
        <v>8.6592E-5</v>
      </c>
      <c r="P2158" s="150"/>
      <c r="Q2158" s="250"/>
      <c r="R2158" s="250"/>
      <c r="S2158" s="250"/>
      <c r="T2158" s="250"/>
      <c r="U2158" s="250"/>
      <c r="V2158" s="742">
        <v>1</v>
      </c>
      <c r="W2158" s="747"/>
      <c r="X2158" s="743"/>
      <c r="Y2158" s="246"/>
      <c r="Z2158" s="245">
        <v>1</v>
      </c>
      <c r="AA2158" s="150">
        <v>0.5</v>
      </c>
      <c r="AB2158" s="152"/>
      <c r="AC2158" s="152"/>
      <c r="AD2158" s="223">
        <v>7.6989954000000003</v>
      </c>
      <c r="AE2158" s="223">
        <v>0.16763449999999999</v>
      </c>
      <c r="AF2158" s="223">
        <v>1.2791503799999999</v>
      </c>
      <c r="AG2158" s="223">
        <v>0.42365809999999998</v>
      </c>
      <c r="AH2158" s="341"/>
      <c r="AI2158" s="218"/>
      <c r="AJ2158" s="218"/>
      <c r="AK2158" s="153"/>
      <c r="AL2158" s="152"/>
      <c r="AM2158" s="152"/>
      <c r="AN2158" s="152"/>
      <c r="AO2158" s="152"/>
      <c r="AP2158" s="152"/>
      <c r="AQ2158" s="152"/>
      <c r="AR2158" s="152"/>
      <c r="AS2158" s="152"/>
      <c r="AT2158" s="152"/>
      <c r="AU2158" s="153"/>
      <c r="AV2158" s="479"/>
      <c r="AW2158" s="479"/>
      <c r="AX2158" s="442"/>
      <c r="AY2158" s="153"/>
      <c r="AZ2158" s="152"/>
      <c r="BA2158" s="152"/>
      <c r="BB2158" s="152"/>
      <c r="BC2158" s="152"/>
      <c r="BD2158" s="152"/>
      <c r="BE2158" s="152"/>
      <c r="BF2158" s="152"/>
      <c r="BG2158" s="152"/>
      <c r="BH2158" s="152"/>
      <c r="BI2158" s="153"/>
      <c r="BJ2158" s="153"/>
      <c r="BK2158" s="153"/>
      <c r="BL2158" s="153"/>
      <c r="BM2158" s="153"/>
      <c r="BN2158" s="153"/>
      <c r="BO2158" s="153"/>
      <c r="BP2158" s="153"/>
      <c r="BQ2158" s="153"/>
      <c r="BR2158" s="153"/>
      <c r="BS2158" s="153"/>
      <c r="BT2158" s="153"/>
      <c r="BU2158" s="153"/>
      <c r="BV2158" s="153"/>
      <c r="BW2158" s="153"/>
      <c r="BX2158" s="153"/>
      <c r="BY2158" s="153"/>
      <c r="BZ2158" s="153"/>
      <c r="CA2158" s="152"/>
      <c r="CB2158" s="152"/>
    </row>
    <row r="2159" spans="1:80" s="87" customFormat="1" ht="16.5" x14ac:dyDescent="0.3">
      <c r="A2159" s="152"/>
      <c r="B2159" s="683"/>
      <c r="C2159" s="683"/>
      <c r="D2159" s="698"/>
      <c r="E2159" s="215"/>
      <c r="F2159" s="215"/>
      <c r="G2159" s="153"/>
      <c r="H2159" s="153"/>
      <c r="I2159" s="310">
        <v>25</v>
      </c>
      <c r="J2159" s="310">
        <v>60</v>
      </c>
      <c r="K2159" s="150">
        <v>1</v>
      </c>
      <c r="L2159" s="656">
        <v>25</v>
      </c>
      <c r="M2159" s="663">
        <v>34823</v>
      </c>
      <c r="N2159" s="600">
        <v>0.64836769999999999</v>
      </c>
      <c r="O2159" s="604">
        <v>1.081088E-3</v>
      </c>
      <c r="P2159" s="150"/>
      <c r="Q2159" s="250"/>
      <c r="R2159" s="250"/>
      <c r="S2159" s="250"/>
      <c r="T2159" s="250">
        <v>7.4800000000000005E-2</v>
      </c>
      <c r="U2159" s="250">
        <v>0.20499999999999999</v>
      </c>
      <c r="V2159" s="742">
        <v>0.72010000000000007</v>
      </c>
      <c r="W2159" s="747"/>
      <c r="X2159" s="743"/>
      <c r="Y2159" s="246"/>
      <c r="Z2159" s="245">
        <v>5.5</v>
      </c>
      <c r="AA2159" s="150">
        <v>1.1000000000000001</v>
      </c>
      <c r="AB2159" s="152"/>
      <c r="AC2159" s="152"/>
      <c r="AD2159" s="223">
        <v>7.6685163999999997</v>
      </c>
      <c r="AE2159" s="223">
        <v>0.1859219</v>
      </c>
      <c r="AF2159" s="223">
        <v>1.4259229</v>
      </c>
      <c r="AG2159" s="223">
        <v>0.44804129999999998</v>
      </c>
      <c r="AH2159" s="341"/>
      <c r="AI2159" s="218"/>
      <c r="AJ2159" s="218"/>
      <c r="AK2159" s="153"/>
      <c r="AL2159" s="152"/>
      <c r="AM2159" s="152"/>
      <c r="AN2159" s="152"/>
      <c r="AO2159" s="152"/>
      <c r="AP2159" s="152"/>
      <c r="AQ2159" s="152"/>
      <c r="AR2159" s="152"/>
      <c r="AS2159" s="152"/>
      <c r="AT2159" s="152"/>
      <c r="AU2159" s="153"/>
      <c r="AV2159" s="479"/>
      <c r="AW2159" s="479"/>
      <c r="AX2159" s="442"/>
      <c r="AY2159" s="153"/>
      <c r="AZ2159" s="152"/>
      <c r="BA2159" s="152"/>
      <c r="BB2159" s="152"/>
      <c r="BC2159" s="152"/>
      <c r="BD2159" s="152"/>
      <c r="BE2159" s="152"/>
      <c r="BF2159" s="152"/>
      <c r="BG2159" s="152"/>
      <c r="BH2159" s="152"/>
      <c r="BI2159" s="153"/>
      <c r="BJ2159" s="153"/>
      <c r="BK2159" s="153"/>
      <c r="BL2159" s="153"/>
      <c r="BM2159" s="153"/>
      <c r="BN2159" s="153"/>
      <c r="BO2159" s="153"/>
      <c r="BP2159" s="153"/>
      <c r="BQ2159" s="153"/>
      <c r="BR2159" s="153"/>
      <c r="BS2159" s="153"/>
      <c r="BT2159" s="153"/>
      <c r="BU2159" s="153"/>
      <c r="BV2159" s="153"/>
      <c r="BW2159" s="153"/>
      <c r="BX2159" s="153"/>
      <c r="BY2159" s="153"/>
      <c r="BZ2159" s="153"/>
      <c r="CA2159" s="152"/>
      <c r="CB2159" s="152"/>
    </row>
    <row r="2160" spans="1:80" s="87" customFormat="1" ht="16.5" x14ac:dyDescent="0.3">
      <c r="A2160" s="152"/>
      <c r="B2160" s="683"/>
      <c r="C2160" s="683"/>
      <c r="D2160" s="698"/>
      <c r="E2160" s="215"/>
      <c r="F2160" s="215"/>
      <c r="G2160" s="153"/>
      <c r="H2160" s="153"/>
      <c r="I2160" s="310">
        <v>25</v>
      </c>
      <c r="J2160" s="310">
        <v>60</v>
      </c>
      <c r="K2160" s="150">
        <v>1</v>
      </c>
      <c r="L2160" s="656">
        <v>25</v>
      </c>
      <c r="M2160" s="663">
        <v>34823</v>
      </c>
      <c r="N2160" s="600">
        <v>0.64836769999999999</v>
      </c>
      <c r="O2160" s="604">
        <v>8.6067200000000004E-4</v>
      </c>
      <c r="P2160" s="150"/>
      <c r="Q2160" s="250"/>
      <c r="R2160" s="250"/>
      <c r="S2160" s="250"/>
      <c r="T2160" s="250">
        <v>0.1091</v>
      </c>
      <c r="U2160" s="250">
        <v>0.2271</v>
      </c>
      <c r="V2160" s="742">
        <v>0.66370000000000007</v>
      </c>
      <c r="W2160" s="747"/>
      <c r="X2160" s="743"/>
      <c r="Y2160" s="246"/>
      <c r="Z2160" s="245">
        <v>7</v>
      </c>
      <c r="AA2160" s="150">
        <v>1.5</v>
      </c>
      <c r="AB2160" s="152"/>
      <c r="AC2160" s="152"/>
      <c r="AD2160" s="223">
        <v>7.6685163999999997</v>
      </c>
      <c r="AE2160" s="223">
        <v>0.1859219</v>
      </c>
      <c r="AF2160" s="223">
        <v>1.4259229</v>
      </c>
      <c r="AG2160" s="223">
        <v>0.44804129999999998</v>
      </c>
      <c r="AH2160" s="341"/>
      <c r="AI2160" s="218"/>
      <c r="AJ2160" s="218"/>
      <c r="AK2160" s="153"/>
      <c r="AL2160" s="152"/>
      <c r="AM2160" s="152"/>
      <c r="AN2160" s="152"/>
      <c r="AO2160" s="152"/>
      <c r="AP2160" s="152"/>
      <c r="AQ2160" s="152"/>
      <c r="AR2160" s="152"/>
      <c r="AS2160" s="152"/>
      <c r="AT2160" s="152"/>
      <c r="AU2160" s="153"/>
      <c r="AV2160" s="479"/>
      <c r="AW2160" s="479"/>
      <c r="AX2160" s="442"/>
      <c r="AY2160" s="153"/>
      <c r="AZ2160" s="152"/>
      <c r="BA2160" s="152"/>
      <c r="BB2160" s="152"/>
      <c r="BC2160" s="152"/>
      <c r="BD2160" s="152"/>
      <c r="BE2160" s="152"/>
      <c r="BF2160" s="152"/>
      <c r="BG2160" s="152"/>
      <c r="BH2160" s="152"/>
      <c r="BI2160" s="153"/>
      <c r="BJ2160" s="153"/>
      <c r="BK2160" s="153"/>
      <c r="BL2160" s="153"/>
      <c r="BM2160" s="153"/>
      <c r="BN2160" s="153"/>
      <c r="BO2160" s="153"/>
      <c r="BP2160" s="153"/>
      <c r="BQ2160" s="153"/>
      <c r="BR2160" s="153"/>
      <c r="BS2160" s="153"/>
      <c r="BT2160" s="153"/>
      <c r="BU2160" s="153"/>
      <c r="BV2160" s="153"/>
      <c r="BW2160" s="153"/>
      <c r="BX2160" s="153"/>
      <c r="BY2160" s="153"/>
      <c r="BZ2160" s="153"/>
      <c r="CA2160" s="152"/>
      <c r="CB2160" s="152"/>
    </row>
    <row r="2161" spans="1:80" s="87" customFormat="1" ht="16.5" x14ac:dyDescent="0.3">
      <c r="A2161" s="152"/>
      <c r="B2161" s="683"/>
      <c r="C2161" s="683"/>
      <c r="D2161" s="698"/>
      <c r="E2161" s="215"/>
      <c r="F2161" s="215"/>
      <c r="G2161" s="153"/>
      <c r="H2161" s="153"/>
      <c r="I2161" s="310">
        <v>22</v>
      </c>
      <c r="J2161" s="310">
        <v>60</v>
      </c>
      <c r="K2161" s="150">
        <v>1</v>
      </c>
      <c r="L2161" s="656">
        <v>22</v>
      </c>
      <c r="M2161" s="663">
        <v>34824</v>
      </c>
      <c r="N2161" s="600">
        <v>0.66252420000000001</v>
      </c>
      <c r="O2161" s="604">
        <v>4.1354239999999995E-4</v>
      </c>
      <c r="P2161" s="150"/>
      <c r="Q2161" s="250"/>
      <c r="R2161" s="250"/>
      <c r="S2161" s="250"/>
      <c r="T2161" s="250"/>
      <c r="U2161" s="250">
        <v>7.7600000000000002E-2</v>
      </c>
      <c r="V2161" s="742">
        <v>0.9224</v>
      </c>
      <c r="W2161" s="747"/>
      <c r="X2161" s="743"/>
      <c r="Y2161" s="246"/>
      <c r="Z2161" s="245">
        <v>1</v>
      </c>
      <c r="AA2161" s="150">
        <v>0.7</v>
      </c>
      <c r="AB2161" s="152"/>
      <c r="AC2161" s="152"/>
      <c r="AD2161" s="223">
        <v>7.5892710000000001</v>
      </c>
      <c r="AE2161" s="223">
        <v>0.18287400000000001</v>
      </c>
      <c r="AF2161" s="223">
        <v>1.39062318</v>
      </c>
      <c r="AG2161" s="223">
        <v>0.48766399999999999</v>
      </c>
      <c r="AH2161" s="341"/>
      <c r="AI2161" s="218"/>
      <c r="AJ2161" s="218"/>
      <c r="AK2161" s="153"/>
      <c r="AL2161" s="152"/>
      <c r="AM2161" s="152"/>
      <c r="AN2161" s="152"/>
      <c r="AO2161" s="152"/>
      <c r="AP2161" s="152"/>
      <c r="AQ2161" s="152"/>
      <c r="AR2161" s="152"/>
      <c r="AS2161" s="152"/>
      <c r="AT2161" s="152"/>
      <c r="AU2161" s="153"/>
      <c r="AV2161" s="479"/>
      <c r="AW2161" s="479"/>
      <c r="AX2161" s="442"/>
      <c r="AY2161" s="153"/>
      <c r="AZ2161" s="152"/>
      <c r="BA2161" s="152"/>
      <c r="BB2161" s="152"/>
      <c r="BC2161" s="152"/>
      <c r="BD2161" s="152"/>
      <c r="BE2161" s="152"/>
      <c r="BF2161" s="152"/>
      <c r="BG2161" s="152"/>
      <c r="BH2161" s="152"/>
      <c r="BI2161" s="153"/>
      <c r="BJ2161" s="153"/>
      <c r="BK2161" s="153"/>
      <c r="BL2161" s="153"/>
      <c r="BM2161" s="153"/>
      <c r="BN2161" s="153"/>
      <c r="BO2161" s="153"/>
      <c r="BP2161" s="153"/>
      <c r="BQ2161" s="153"/>
      <c r="BR2161" s="153"/>
      <c r="BS2161" s="153"/>
      <c r="BT2161" s="153"/>
      <c r="BU2161" s="153"/>
      <c r="BV2161" s="153"/>
      <c r="BW2161" s="153"/>
      <c r="BX2161" s="153"/>
      <c r="BY2161" s="153"/>
      <c r="BZ2161" s="153"/>
      <c r="CA2161" s="152"/>
      <c r="CB2161" s="152"/>
    </row>
    <row r="2162" spans="1:80" s="87" customFormat="1" ht="16.5" x14ac:dyDescent="0.3">
      <c r="A2162" s="152"/>
      <c r="B2162" s="683"/>
      <c r="C2162" s="683"/>
      <c r="D2162" s="698"/>
      <c r="E2162" s="215"/>
      <c r="F2162" s="215"/>
      <c r="G2162" s="153"/>
      <c r="H2162" s="153"/>
      <c r="I2162" s="310">
        <v>22</v>
      </c>
      <c r="J2162" s="310">
        <v>60</v>
      </c>
      <c r="K2162" s="150">
        <v>1</v>
      </c>
      <c r="L2162" s="656">
        <v>22</v>
      </c>
      <c r="M2162" s="663">
        <v>34824</v>
      </c>
      <c r="N2162" s="600">
        <v>0.66252420000000001</v>
      </c>
      <c r="O2162" s="604">
        <v>1.7948160000000001E-3</v>
      </c>
      <c r="P2162" s="150"/>
      <c r="Q2162" s="250"/>
      <c r="R2162" s="250"/>
      <c r="S2162" s="250"/>
      <c r="T2162" s="250"/>
      <c r="U2162" s="250"/>
      <c r="V2162" s="742"/>
      <c r="W2162" s="747"/>
      <c r="X2162" s="743"/>
      <c r="Y2162" s="246"/>
      <c r="Z2162" s="245">
        <v>3.5</v>
      </c>
      <c r="AA2162" s="150"/>
      <c r="AB2162" s="152"/>
      <c r="AC2162" s="152"/>
      <c r="AD2162" s="223">
        <v>7.5892710000000001</v>
      </c>
      <c r="AE2162" s="223">
        <v>0.18287400000000001</v>
      </c>
      <c r="AF2162" s="223">
        <v>1.39062318</v>
      </c>
      <c r="AG2162" s="223">
        <v>0.48766399999999999</v>
      </c>
      <c r="AH2162" s="341"/>
      <c r="AI2162" s="218"/>
      <c r="AJ2162" s="218"/>
      <c r="AK2162" s="153"/>
      <c r="AL2162" s="152"/>
      <c r="AM2162" s="152"/>
      <c r="AN2162" s="152"/>
      <c r="AO2162" s="152"/>
      <c r="AP2162" s="152"/>
      <c r="AQ2162" s="152"/>
      <c r="AR2162" s="152"/>
      <c r="AS2162" s="152"/>
      <c r="AT2162" s="152"/>
      <c r="AU2162" s="153"/>
      <c r="AV2162" s="479"/>
      <c r="AW2162" s="479"/>
      <c r="AX2162" s="442"/>
      <c r="AY2162" s="153"/>
      <c r="AZ2162" s="152"/>
      <c r="BA2162" s="152"/>
      <c r="BB2162" s="152"/>
      <c r="BC2162" s="152"/>
      <c r="BD2162" s="152"/>
      <c r="BE2162" s="152"/>
      <c r="BF2162" s="152"/>
      <c r="BG2162" s="152"/>
      <c r="BH2162" s="152"/>
      <c r="BI2162" s="153"/>
      <c r="BJ2162" s="153"/>
      <c r="BK2162" s="153"/>
      <c r="BL2162" s="153"/>
      <c r="BM2162" s="153"/>
      <c r="BN2162" s="153"/>
      <c r="BO2162" s="153"/>
      <c r="BP2162" s="153"/>
      <c r="BQ2162" s="153"/>
      <c r="BR2162" s="153"/>
      <c r="BS2162" s="153"/>
      <c r="BT2162" s="153"/>
      <c r="BU2162" s="153"/>
      <c r="BV2162" s="153"/>
      <c r="BW2162" s="153"/>
      <c r="BX2162" s="153"/>
      <c r="BY2162" s="153"/>
      <c r="BZ2162" s="153"/>
      <c r="CA2162" s="152"/>
      <c r="CB2162" s="152"/>
    </row>
    <row r="2163" spans="1:80" s="87" customFormat="1" ht="16.5" x14ac:dyDescent="0.3">
      <c r="A2163" s="152"/>
      <c r="B2163" s="683"/>
      <c r="C2163" s="683"/>
      <c r="D2163" s="698"/>
      <c r="E2163" s="215"/>
      <c r="F2163" s="215"/>
      <c r="G2163" s="153"/>
      <c r="H2163" s="153"/>
      <c r="I2163" s="310">
        <v>22</v>
      </c>
      <c r="J2163" s="310">
        <v>60</v>
      </c>
      <c r="K2163" s="150">
        <v>1</v>
      </c>
      <c r="L2163" s="656">
        <v>22</v>
      </c>
      <c r="M2163" s="663">
        <v>34827</v>
      </c>
      <c r="N2163" s="600">
        <v>0.85222130000000007</v>
      </c>
      <c r="O2163" s="604">
        <v>7.8615040000000001E-3</v>
      </c>
      <c r="P2163" s="150"/>
      <c r="Q2163" s="250"/>
      <c r="R2163" s="250"/>
      <c r="S2163" s="250">
        <v>3.0992546100000001E-2</v>
      </c>
      <c r="T2163" s="250">
        <v>9.4E-2</v>
      </c>
      <c r="U2163" s="250">
        <v>0.2341</v>
      </c>
      <c r="V2163" s="742">
        <v>0.64090000000000003</v>
      </c>
      <c r="W2163" s="747"/>
      <c r="X2163" s="743"/>
      <c r="Y2163" s="246"/>
      <c r="Z2163" s="245">
        <v>15.5</v>
      </c>
      <c r="AA2163" s="150">
        <v>1.4</v>
      </c>
      <c r="AB2163" s="152"/>
      <c r="AC2163" s="152"/>
      <c r="AD2163" s="223">
        <v>7.7965282</v>
      </c>
      <c r="AE2163" s="223">
        <v>0.20420930000000001</v>
      </c>
      <c r="AF2163" s="223">
        <v>1.58662952</v>
      </c>
      <c r="AG2163" s="223">
        <v>0.50899930000000004</v>
      </c>
      <c r="AH2163" s="341"/>
      <c r="AI2163" s="218"/>
      <c r="AJ2163" s="218"/>
      <c r="AK2163" s="153"/>
      <c r="AL2163" s="152"/>
      <c r="AM2163" s="152"/>
      <c r="AN2163" s="152"/>
      <c r="AO2163" s="152"/>
      <c r="AP2163" s="152"/>
      <c r="AQ2163" s="152"/>
      <c r="AR2163" s="152"/>
      <c r="AS2163" s="152"/>
      <c r="AT2163" s="152"/>
      <c r="AU2163" s="153"/>
      <c r="AV2163" s="479"/>
      <c r="AW2163" s="479"/>
      <c r="AX2163" s="442"/>
      <c r="AY2163" s="153"/>
      <c r="AZ2163" s="152"/>
      <c r="BA2163" s="152"/>
      <c r="BB2163" s="152"/>
      <c r="BC2163" s="152"/>
      <c r="BD2163" s="152"/>
      <c r="BE2163" s="152"/>
      <c r="BF2163" s="152"/>
      <c r="BG2163" s="152"/>
      <c r="BH2163" s="152"/>
      <c r="BI2163" s="153"/>
      <c r="BJ2163" s="153"/>
      <c r="BK2163" s="153"/>
      <c r="BL2163" s="153"/>
      <c r="BM2163" s="153"/>
      <c r="BN2163" s="153"/>
      <c r="BO2163" s="153"/>
      <c r="BP2163" s="153"/>
      <c r="BQ2163" s="153"/>
      <c r="BR2163" s="153"/>
      <c r="BS2163" s="153"/>
      <c r="BT2163" s="153"/>
      <c r="BU2163" s="153"/>
      <c r="BV2163" s="153"/>
      <c r="BW2163" s="153"/>
      <c r="BX2163" s="153"/>
      <c r="BY2163" s="153"/>
      <c r="BZ2163" s="153"/>
      <c r="CA2163" s="152"/>
      <c r="CB2163" s="152"/>
    </row>
    <row r="2164" spans="1:80" s="87" customFormat="1" ht="16.5" x14ac:dyDescent="0.3">
      <c r="A2164" s="152"/>
      <c r="B2164" s="683"/>
      <c r="C2164" s="683"/>
      <c r="D2164" s="698"/>
      <c r="E2164" s="215"/>
      <c r="F2164" s="215"/>
      <c r="G2164" s="153"/>
      <c r="H2164" s="153"/>
      <c r="I2164" s="310">
        <v>22</v>
      </c>
      <c r="J2164" s="310">
        <v>60</v>
      </c>
      <c r="K2164" s="150">
        <v>1</v>
      </c>
      <c r="L2164" s="656">
        <v>22</v>
      </c>
      <c r="M2164" s="663">
        <v>34827</v>
      </c>
      <c r="N2164" s="600">
        <v>0.85222130000000007</v>
      </c>
      <c r="O2164" s="604">
        <v>2.0362240000000001E-3</v>
      </c>
      <c r="P2164" s="150"/>
      <c r="Q2164" s="250"/>
      <c r="R2164" s="250"/>
      <c r="S2164" s="250">
        <v>0.17421072700000001</v>
      </c>
      <c r="T2164" s="250">
        <v>0.16089999999999999</v>
      </c>
      <c r="U2164" s="250">
        <v>0.16010000000000002</v>
      </c>
      <c r="V2164" s="742">
        <v>0.50479999999999992</v>
      </c>
      <c r="W2164" s="747"/>
      <c r="X2164" s="743"/>
      <c r="Y2164" s="246"/>
      <c r="Z2164" s="245"/>
      <c r="AA2164" s="150">
        <v>2</v>
      </c>
      <c r="AB2164" s="152"/>
      <c r="AC2164" s="152"/>
      <c r="AD2164" s="223">
        <v>7.7965282</v>
      </c>
      <c r="AE2164" s="223">
        <v>0.20420930000000001</v>
      </c>
      <c r="AF2164" s="223">
        <v>1.58662952</v>
      </c>
      <c r="AG2164" s="223">
        <v>0.50899930000000004</v>
      </c>
      <c r="AH2164" s="341"/>
      <c r="AI2164" s="218"/>
      <c r="AJ2164" s="218"/>
      <c r="AK2164" s="153"/>
      <c r="AL2164" s="152"/>
      <c r="AM2164" s="152"/>
      <c r="AN2164" s="152"/>
      <c r="AO2164" s="152"/>
      <c r="AP2164" s="152"/>
      <c r="AQ2164" s="152"/>
      <c r="AR2164" s="152"/>
      <c r="AS2164" s="152"/>
      <c r="AT2164" s="152"/>
      <c r="AU2164" s="153"/>
      <c r="AV2164" s="479"/>
      <c r="AW2164" s="479"/>
      <c r="AX2164" s="442"/>
      <c r="AY2164" s="153"/>
      <c r="AZ2164" s="152"/>
      <c r="BA2164" s="152"/>
      <c r="BB2164" s="152"/>
      <c r="BC2164" s="152"/>
      <c r="BD2164" s="152"/>
      <c r="BE2164" s="152"/>
      <c r="BF2164" s="152"/>
      <c r="BG2164" s="152"/>
      <c r="BH2164" s="152"/>
      <c r="BI2164" s="153"/>
      <c r="BJ2164" s="153"/>
      <c r="BK2164" s="153"/>
      <c r="BL2164" s="153"/>
      <c r="BM2164" s="153"/>
      <c r="BN2164" s="153"/>
      <c r="BO2164" s="153"/>
      <c r="BP2164" s="153"/>
      <c r="BQ2164" s="153"/>
      <c r="BR2164" s="153"/>
      <c r="BS2164" s="153"/>
      <c r="BT2164" s="153"/>
      <c r="BU2164" s="153"/>
      <c r="BV2164" s="153"/>
      <c r="BW2164" s="153"/>
      <c r="BX2164" s="153"/>
      <c r="BY2164" s="153"/>
      <c r="BZ2164" s="153"/>
      <c r="CA2164" s="152"/>
      <c r="CB2164" s="152"/>
    </row>
    <row r="2165" spans="1:80" s="87" customFormat="1" ht="16.5" x14ac:dyDescent="0.3">
      <c r="A2165" s="152"/>
      <c r="B2165" s="683"/>
      <c r="C2165" s="683"/>
      <c r="D2165" s="698"/>
      <c r="E2165" s="215"/>
      <c r="F2165" s="215"/>
      <c r="G2165" s="153"/>
      <c r="H2165" s="153"/>
      <c r="I2165" s="310">
        <v>22</v>
      </c>
      <c r="J2165" s="310">
        <v>60</v>
      </c>
      <c r="K2165" s="150">
        <v>1</v>
      </c>
      <c r="L2165" s="656">
        <v>22</v>
      </c>
      <c r="M2165" s="663">
        <v>34830</v>
      </c>
      <c r="N2165" s="600">
        <v>1.1721581999999999</v>
      </c>
      <c r="O2165" s="604">
        <v>2.1201920000000003E-3</v>
      </c>
      <c r="P2165" s="150"/>
      <c r="Q2165" s="250"/>
      <c r="R2165" s="250"/>
      <c r="S2165" s="250">
        <v>0.17049050600000001</v>
      </c>
      <c r="T2165" s="250">
        <v>3.5200000000000002E-2</v>
      </c>
      <c r="U2165" s="250">
        <v>0.1515</v>
      </c>
      <c r="V2165" s="742">
        <v>0.64280000000000004</v>
      </c>
      <c r="W2165" s="747"/>
      <c r="X2165" s="743"/>
      <c r="Y2165" s="246"/>
      <c r="Z2165" s="245">
        <v>14</v>
      </c>
      <c r="AA2165" s="150">
        <v>1.3</v>
      </c>
      <c r="AB2165" s="152"/>
      <c r="AC2165" s="152"/>
      <c r="AD2165" s="223">
        <v>7.8971089000000001</v>
      </c>
      <c r="AE2165" s="223">
        <v>0.22249669999999999</v>
      </c>
      <c r="AF2165" s="223">
        <v>1.74733614</v>
      </c>
      <c r="AG2165" s="223">
        <v>0.60958000000000001</v>
      </c>
      <c r="AH2165" s="341"/>
      <c r="AI2165" s="218"/>
      <c r="AJ2165" s="218"/>
      <c r="AK2165" s="153"/>
      <c r="AL2165" s="152"/>
      <c r="AM2165" s="152"/>
      <c r="AN2165" s="152"/>
      <c r="AO2165" s="152"/>
      <c r="AP2165" s="152"/>
      <c r="AQ2165" s="152"/>
      <c r="AR2165" s="152"/>
      <c r="AS2165" s="152"/>
      <c r="AT2165" s="152"/>
      <c r="AU2165" s="153"/>
      <c r="AV2165" s="479"/>
      <c r="AW2165" s="479"/>
      <c r="AX2165" s="442"/>
      <c r="AY2165" s="153"/>
      <c r="AZ2165" s="152"/>
      <c r="BA2165" s="152"/>
      <c r="BB2165" s="152"/>
      <c r="BC2165" s="152"/>
      <c r="BD2165" s="152"/>
      <c r="BE2165" s="152"/>
      <c r="BF2165" s="152"/>
      <c r="BG2165" s="152"/>
      <c r="BH2165" s="152"/>
      <c r="BI2165" s="153"/>
      <c r="BJ2165" s="153"/>
      <c r="BK2165" s="153"/>
      <c r="BL2165" s="153"/>
      <c r="BM2165" s="153"/>
      <c r="BN2165" s="153"/>
      <c r="BO2165" s="153"/>
      <c r="BP2165" s="153"/>
      <c r="BQ2165" s="153"/>
      <c r="BR2165" s="153"/>
      <c r="BS2165" s="153"/>
      <c r="BT2165" s="153"/>
      <c r="BU2165" s="153"/>
      <c r="BV2165" s="153"/>
      <c r="BW2165" s="153"/>
      <c r="BX2165" s="153"/>
      <c r="BY2165" s="153"/>
      <c r="BZ2165" s="153"/>
      <c r="CA2165" s="152"/>
      <c r="CB2165" s="152"/>
    </row>
    <row r="2166" spans="1:80" s="87" customFormat="1" ht="16.5" x14ac:dyDescent="0.3">
      <c r="A2166" s="152"/>
      <c r="B2166" s="683"/>
      <c r="C2166" s="683"/>
      <c r="D2166" s="698"/>
      <c r="E2166" s="215"/>
      <c r="F2166" s="215"/>
      <c r="G2166" s="153"/>
      <c r="H2166" s="153"/>
      <c r="I2166" s="310">
        <v>22</v>
      </c>
      <c r="J2166" s="310">
        <v>60</v>
      </c>
      <c r="K2166" s="150">
        <v>1</v>
      </c>
      <c r="L2166" s="656">
        <v>22</v>
      </c>
      <c r="M2166" s="663">
        <v>34830</v>
      </c>
      <c r="N2166" s="600">
        <v>1.1721581999999999</v>
      </c>
      <c r="O2166" s="604">
        <v>1.4484480000000002E-3</v>
      </c>
      <c r="P2166" s="150"/>
      <c r="Q2166" s="250"/>
      <c r="R2166" s="250"/>
      <c r="S2166" s="250">
        <v>7.1729957799999994E-2</v>
      </c>
      <c r="T2166" s="250">
        <v>0.20430000000000001</v>
      </c>
      <c r="U2166" s="250">
        <v>0.12179999999999999</v>
      </c>
      <c r="V2166" s="742">
        <v>0.60219999999999996</v>
      </c>
      <c r="W2166" s="747"/>
      <c r="X2166" s="743"/>
      <c r="Y2166" s="246"/>
      <c r="Z2166" s="245">
        <v>12</v>
      </c>
      <c r="AA2166" s="150">
        <v>1.3</v>
      </c>
      <c r="AB2166" s="152"/>
      <c r="AC2166" s="152"/>
      <c r="AD2166" s="223">
        <v>7.8971089000000001</v>
      </c>
      <c r="AE2166" s="223">
        <v>0.22249669999999999</v>
      </c>
      <c r="AF2166" s="223">
        <v>1.74733614</v>
      </c>
      <c r="AG2166" s="223">
        <v>0.60958000000000001</v>
      </c>
      <c r="AH2166" s="341"/>
      <c r="AI2166" s="218"/>
      <c r="AJ2166" s="218"/>
      <c r="AK2166" s="153"/>
      <c r="AL2166" s="152"/>
      <c r="AM2166" s="152"/>
      <c r="AN2166" s="152"/>
      <c r="AO2166" s="152"/>
      <c r="AP2166" s="152"/>
      <c r="AQ2166" s="152"/>
      <c r="AR2166" s="152"/>
      <c r="AS2166" s="152"/>
      <c r="AT2166" s="152"/>
      <c r="AU2166" s="153"/>
      <c r="AV2166" s="479"/>
      <c r="AW2166" s="479"/>
      <c r="AX2166" s="442"/>
      <c r="AY2166" s="153"/>
      <c r="AZ2166" s="152"/>
      <c r="BA2166" s="152"/>
      <c r="BB2166" s="152"/>
      <c r="BC2166" s="152"/>
      <c r="BD2166" s="152"/>
      <c r="BE2166" s="152"/>
      <c r="BF2166" s="152"/>
      <c r="BG2166" s="152"/>
      <c r="BH2166" s="152"/>
      <c r="BI2166" s="153"/>
      <c r="BJ2166" s="153"/>
      <c r="BK2166" s="153"/>
      <c r="BL2166" s="153"/>
      <c r="BM2166" s="153"/>
      <c r="BN2166" s="153"/>
      <c r="BO2166" s="153"/>
      <c r="BP2166" s="153"/>
      <c r="BQ2166" s="153"/>
      <c r="BR2166" s="153"/>
      <c r="BS2166" s="153"/>
      <c r="BT2166" s="153"/>
      <c r="BU2166" s="153"/>
      <c r="BV2166" s="153"/>
      <c r="BW2166" s="153"/>
      <c r="BX2166" s="153"/>
      <c r="BY2166" s="153"/>
      <c r="BZ2166" s="153"/>
      <c r="CA2166" s="152"/>
      <c r="CB2166" s="152"/>
    </row>
    <row r="2167" spans="1:80" s="87" customFormat="1" ht="16.5" x14ac:dyDescent="0.3">
      <c r="A2167" s="152"/>
      <c r="B2167" s="683"/>
      <c r="C2167" s="683"/>
      <c r="D2167" s="698"/>
      <c r="E2167" s="215"/>
      <c r="F2167" s="215"/>
      <c r="G2167" s="153"/>
      <c r="H2167" s="153"/>
      <c r="I2167" s="310">
        <v>22</v>
      </c>
      <c r="J2167" s="310">
        <v>60</v>
      </c>
      <c r="K2167" s="150">
        <v>1</v>
      </c>
      <c r="L2167" s="656">
        <v>22</v>
      </c>
      <c r="M2167" s="663">
        <v>34833</v>
      </c>
      <c r="N2167" s="600">
        <v>1.1127008999999999</v>
      </c>
      <c r="O2167" s="604">
        <v>2.1096960000000003E-3</v>
      </c>
      <c r="P2167" s="150"/>
      <c r="Q2167" s="250"/>
      <c r="R2167" s="250"/>
      <c r="S2167" s="250"/>
      <c r="T2167" s="250">
        <v>0</v>
      </c>
      <c r="U2167" s="250">
        <v>0.23370000000000002</v>
      </c>
      <c r="V2167" s="742">
        <v>0.76629999999999998</v>
      </c>
      <c r="W2167" s="747"/>
      <c r="X2167" s="743"/>
      <c r="Y2167" s="246"/>
      <c r="Z2167" s="245">
        <v>6.5</v>
      </c>
      <c r="AA2167" s="150">
        <v>1.1000000000000001</v>
      </c>
      <c r="AB2167" s="152"/>
      <c r="AC2167" s="152"/>
      <c r="AD2167" s="223">
        <v>7.8666299000000004</v>
      </c>
      <c r="AE2167" s="223">
        <v>0.21640090000000001</v>
      </c>
      <c r="AF2167" s="223">
        <v>1.7138943</v>
      </c>
      <c r="AG2167" s="223">
        <v>0.6156758</v>
      </c>
      <c r="AH2167" s="341"/>
      <c r="AI2167" s="218"/>
      <c r="AJ2167" s="218"/>
      <c r="AK2167" s="153"/>
      <c r="AL2167" s="152"/>
      <c r="AM2167" s="152"/>
      <c r="AN2167" s="152"/>
      <c r="AO2167" s="152"/>
      <c r="AP2167" s="152"/>
      <c r="AQ2167" s="152"/>
      <c r="AR2167" s="152"/>
      <c r="AS2167" s="152"/>
      <c r="AT2167" s="152"/>
      <c r="AU2167" s="153"/>
      <c r="AV2167" s="479"/>
      <c r="AW2167" s="479"/>
      <c r="AX2167" s="442"/>
      <c r="AY2167" s="153"/>
      <c r="AZ2167" s="152"/>
      <c r="BA2167" s="152"/>
      <c r="BB2167" s="152"/>
      <c r="BC2167" s="152"/>
      <c r="BD2167" s="152"/>
      <c r="BE2167" s="152"/>
      <c r="BF2167" s="152"/>
      <c r="BG2167" s="152"/>
      <c r="BH2167" s="152"/>
      <c r="BI2167" s="153"/>
      <c r="BJ2167" s="153"/>
      <c r="BK2167" s="153"/>
      <c r="BL2167" s="153"/>
      <c r="BM2167" s="153"/>
      <c r="BN2167" s="153"/>
      <c r="BO2167" s="153"/>
      <c r="BP2167" s="153"/>
      <c r="BQ2167" s="153"/>
      <c r="BR2167" s="153"/>
      <c r="BS2167" s="153"/>
      <c r="BT2167" s="153"/>
      <c r="BU2167" s="153"/>
      <c r="BV2167" s="153"/>
      <c r="BW2167" s="153"/>
      <c r="BX2167" s="153"/>
      <c r="BY2167" s="153"/>
      <c r="BZ2167" s="153"/>
      <c r="CA2167" s="152"/>
      <c r="CB2167" s="152"/>
    </row>
    <row r="2168" spans="1:80" s="87" customFormat="1" ht="16.5" x14ac:dyDescent="0.3">
      <c r="A2168" s="152"/>
      <c r="B2168" s="683"/>
      <c r="C2168" s="683"/>
      <c r="D2168" s="698"/>
      <c r="E2168" s="215"/>
      <c r="F2168" s="215"/>
      <c r="G2168" s="153"/>
      <c r="H2168" s="153"/>
      <c r="I2168" s="310">
        <v>22</v>
      </c>
      <c r="J2168" s="310">
        <v>60</v>
      </c>
      <c r="K2168" s="150">
        <v>1</v>
      </c>
      <c r="L2168" s="656">
        <v>22</v>
      </c>
      <c r="M2168" s="663">
        <v>34833</v>
      </c>
      <c r="N2168" s="600">
        <v>1.1127008999999999</v>
      </c>
      <c r="O2168" s="604">
        <v>1.52192E-3</v>
      </c>
      <c r="P2168" s="150"/>
      <c r="Q2168" s="250"/>
      <c r="R2168" s="250"/>
      <c r="S2168" s="250"/>
      <c r="T2168" s="250">
        <v>0.01</v>
      </c>
      <c r="U2168" s="250">
        <v>0.1303</v>
      </c>
      <c r="V2168" s="742">
        <v>0.85970000000000002</v>
      </c>
      <c r="W2168" s="747"/>
      <c r="X2168" s="743"/>
      <c r="Y2168" s="246"/>
      <c r="Z2168" s="245">
        <v>5.5</v>
      </c>
      <c r="AA2168" s="150">
        <v>0.7</v>
      </c>
      <c r="AB2168" s="152"/>
      <c r="AC2168" s="152"/>
      <c r="AD2168" s="223">
        <v>7.8666299000000004</v>
      </c>
      <c r="AE2168" s="223">
        <v>0.21640090000000001</v>
      </c>
      <c r="AF2168" s="223">
        <v>1.7138943</v>
      </c>
      <c r="AG2168" s="223">
        <v>0.6156758</v>
      </c>
      <c r="AH2168" s="341"/>
      <c r="AI2168" s="218"/>
      <c r="AJ2168" s="218"/>
      <c r="AK2168" s="153"/>
      <c r="AL2168" s="152"/>
      <c r="AM2168" s="152"/>
      <c r="AN2168" s="152"/>
      <c r="AO2168" s="152"/>
      <c r="AP2168" s="152"/>
      <c r="AQ2168" s="152"/>
      <c r="AR2168" s="152"/>
      <c r="AS2168" s="152"/>
      <c r="AT2168" s="152"/>
      <c r="AU2168" s="153"/>
      <c r="AV2168" s="479"/>
      <c r="AW2168" s="479"/>
      <c r="AX2168" s="442"/>
      <c r="AY2168" s="153"/>
      <c r="AZ2168" s="152"/>
      <c r="BA2168" s="152"/>
      <c r="BB2168" s="152"/>
      <c r="BC2168" s="152"/>
      <c r="BD2168" s="152"/>
      <c r="BE2168" s="152"/>
      <c r="BF2168" s="152"/>
      <c r="BG2168" s="152"/>
      <c r="BH2168" s="152"/>
      <c r="BI2168" s="153"/>
      <c r="BJ2168" s="153"/>
      <c r="BK2168" s="153"/>
      <c r="BL2168" s="153"/>
      <c r="BM2168" s="153"/>
      <c r="BN2168" s="153"/>
      <c r="BO2168" s="153"/>
      <c r="BP2168" s="153"/>
      <c r="BQ2168" s="153"/>
      <c r="BR2168" s="153"/>
      <c r="BS2168" s="153"/>
      <c r="BT2168" s="153"/>
      <c r="BU2168" s="153"/>
      <c r="BV2168" s="153"/>
      <c r="BW2168" s="153"/>
      <c r="BX2168" s="153"/>
      <c r="BY2168" s="153"/>
      <c r="BZ2168" s="153"/>
      <c r="CA2168" s="152"/>
      <c r="CB2168" s="152"/>
    </row>
    <row r="2169" spans="1:80" s="87" customFormat="1" ht="16.5" x14ac:dyDescent="0.3">
      <c r="A2169" s="152"/>
      <c r="B2169" s="683"/>
      <c r="C2169" s="683"/>
      <c r="D2169" s="698"/>
      <c r="E2169" s="215"/>
      <c r="F2169" s="215"/>
      <c r="G2169" s="153"/>
      <c r="H2169" s="153"/>
      <c r="I2169" s="310">
        <v>23</v>
      </c>
      <c r="J2169" s="310">
        <v>60</v>
      </c>
      <c r="K2169" s="150">
        <v>1</v>
      </c>
      <c r="L2169" s="656">
        <v>23</v>
      </c>
      <c r="M2169" s="663">
        <v>34836</v>
      </c>
      <c r="N2169" s="600">
        <v>1.5940219</v>
      </c>
      <c r="O2169" s="604">
        <v>1.1545600000000001E-2</v>
      </c>
      <c r="P2169" s="150"/>
      <c r="Q2169" s="250"/>
      <c r="R2169" s="250"/>
      <c r="S2169" s="250">
        <v>2.8419546100000002E-2</v>
      </c>
      <c r="T2169" s="250">
        <v>6.5099999999999991E-2</v>
      </c>
      <c r="U2169" s="250">
        <v>0.21260000000000001</v>
      </c>
      <c r="V2169" s="742">
        <v>0.69389999999999996</v>
      </c>
      <c r="W2169" s="747"/>
      <c r="X2169" s="743"/>
      <c r="Y2169" s="246"/>
      <c r="Z2169" s="245">
        <v>13</v>
      </c>
      <c r="AA2169" s="150">
        <v>1.1000000000000001</v>
      </c>
      <c r="AB2169" s="152"/>
      <c r="AC2169" s="152"/>
      <c r="AD2169" s="223">
        <v>8.0769350000000006</v>
      </c>
      <c r="AE2169" s="223">
        <v>0.29869420000000002</v>
      </c>
      <c r="AF2169" s="223">
        <v>2.41617294</v>
      </c>
      <c r="AG2169" s="223">
        <v>0.69492120000000002</v>
      </c>
      <c r="AH2169" s="341"/>
      <c r="AI2169" s="218"/>
      <c r="AJ2169" s="218"/>
      <c r="AK2169" s="153"/>
      <c r="AL2169" s="152"/>
      <c r="AM2169" s="152"/>
      <c r="AN2169" s="152"/>
      <c r="AO2169" s="152"/>
      <c r="AP2169" s="152"/>
      <c r="AQ2169" s="152"/>
      <c r="AR2169" s="152"/>
      <c r="AS2169" s="152"/>
      <c r="AT2169" s="152"/>
      <c r="AU2169" s="153"/>
      <c r="AV2169" s="479"/>
      <c r="AW2169" s="479"/>
      <c r="AX2169" s="442"/>
      <c r="AY2169" s="153"/>
      <c r="AZ2169" s="152"/>
      <c r="BA2169" s="152"/>
      <c r="BB2169" s="152"/>
      <c r="BC2169" s="152"/>
      <c r="BD2169" s="152"/>
      <c r="BE2169" s="152"/>
      <c r="BF2169" s="152"/>
      <c r="BG2169" s="152"/>
      <c r="BH2169" s="152"/>
      <c r="BI2169" s="153"/>
      <c r="BJ2169" s="153"/>
      <c r="BK2169" s="153"/>
      <c r="BL2169" s="153"/>
      <c r="BM2169" s="153"/>
      <c r="BN2169" s="153"/>
      <c r="BO2169" s="153"/>
      <c r="BP2169" s="153"/>
      <c r="BQ2169" s="153"/>
      <c r="BR2169" s="153"/>
      <c r="BS2169" s="153"/>
      <c r="BT2169" s="153"/>
      <c r="BU2169" s="153"/>
      <c r="BV2169" s="153"/>
      <c r="BW2169" s="153"/>
      <c r="BX2169" s="153"/>
      <c r="BY2169" s="153"/>
      <c r="BZ2169" s="153"/>
      <c r="CA2169" s="152"/>
      <c r="CB2169" s="152"/>
    </row>
    <row r="2170" spans="1:80" s="87" customFormat="1" ht="16.5" x14ac:dyDescent="0.3">
      <c r="A2170" s="152"/>
      <c r="B2170" s="683"/>
      <c r="C2170" s="683"/>
      <c r="D2170" s="698"/>
      <c r="E2170" s="215"/>
      <c r="F2170" s="215"/>
      <c r="G2170" s="153"/>
      <c r="H2170" s="153"/>
      <c r="I2170" s="310">
        <v>23</v>
      </c>
      <c r="J2170" s="310">
        <v>60</v>
      </c>
      <c r="K2170" s="150">
        <v>1</v>
      </c>
      <c r="L2170" s="656">
        <v>23</v>
      </c>
      <c r="M2170" s="663">
        <v>34836</v>
      </c>
      <c r="N2170" s="600">
        <v>1.5940219</v>
      </c>
      <c r="O2170" s="604">
        <v>5.4054400000000001E-3</v>
      </c>
      <c r="P2170" s="150"/>
      <c r="Q2170" s="250"/>
      <c r="R2170" s="250"/>
      <c r="S2170" s="250"/>
      <c r="T2170" s="250">
        <v>2.4E-2</v>
      </c>
      <c r="U2170" s="250">
        <v>0.17030000000000001</v>
      </c>
      <c r="V2170" s="742">
        <v>0.80569999999999997</v>
      </c>
      <c r="W2170" s="747"/>
      <c r="X2170" s="743"/>
      <c r="Y2170" s="246"/>
      <c r="Z2170" s="245">
        <v>6</v>
      </c>
      <c r="AA2170" s="150">
        <v>0.7</v>
      </c>
      <c r="AB2170" s="152"/>
      <c r="AC2170" s="152"/>
      <c r="AD2170" s="223">
        <v>8.0769350000000006</v>
      </c>
      <c r="AE2170" s="223">
        <v>0.29869420000000002</v>
      </c>
      <c r="AF2170" s="223">
        <v>2.41617294</v>
      </c>
      <c r="AG2170" s="223">
        <v>0.69492120000000002</v>
      </c>
      <c r="AH2170" s="341"/>
      <c r="AI2170" s="218"/>
      <c r="AJ2170" s="218"/>
      <c r="AK2170" s="153"/>
      <c r="AL2170" s="152"/>
      <c r="AM2170" s="152"/>
      <c r="AN2170" s="152"/>
      <c r="AO2170" s="152"/>
      <c r="AP2170" s="152"/>
      <c r="AQ2170" s="152"/>
      <c r="AR2170" s="152"/>
      <c r="AS2170" s="152"/>
      <c r="AT2170" s="152"/>
      <c r="AU2170" s="153"/>
      <c r="AV2170" s="479"/>
      <c r="AW2170" s="479"/>
      <c r="AX2170" s="442"/>
      <c r="AY2170" s="153"/>
      <c r="AZ2170" s="152"/>
      <c r="BA2170" s="152"/>
      <c r="BB2170" s="152"/>
      <c r="BC2170" s="152"/>
      <c r="BD2170" s="152"/>
      <c r="BE2170" s="152"/>
      <c r="BF2170" s="152"/>
      <c r="BG2170" s="152"/>
      <c r="BH2170" s="152"/>
      <c r="BI2170" s="153"/>
      <c r="BJ2170" s="153"/>
      <c r="BK2170" s="153"/>
      <c r="BL2170" s="153"/>
      <c r="BM2170" s="153"/>
      <c r="BN2170" s="153"/>
      <c r="BO2170" s="153"/>
      <c r="BP2170" s="153"/>
      <c r="BQ2170" s="153"/>
      <c r="BR2170" s="153"/>
      <c r="BS2170" s="153"/>
      <c r="BT2170" s="153"/>
      <c r="BU2170" s="153"/>
      <c r="BV2170" s="153"/>
      <c r="BW2170" s="153"/>
      <c r="BX2170" s="153"/>
      <c r="BY2170" s="153"/>
      <c r="BZ2170" s="153"/>
      <c r="CA2170" s="152"/>
      <c r="CB2170" s="152"/>
    </row>
    <row r="2171" spans="1:80" s="87" customFormat="1" ht="16.5" x14ac:dyDescent="0.3">
      <c r="A2171" s="152"/>
      <c r="B2171" s="683"/>
      <c r="C2171" s="683"/>
      <c r="D2171" s="698"/>
      <c r="E2171" s="215"/>
      <c r="F2171" s="215"/>
      <c r="G2171" s="153"/>
      <c r="H2171" s="153"/>
      <c r="I2171" s="310">
        <v>23</v>
      </c>
      <c r="J2171" s="310">
        <v>60</v>
      </c>
      <c r="K2171" s="150">
        <v>1</v>
      </c>
      <c r="L2171" s="656">
        <v>23</v>
      </c>
      <c r="M2171" s="663">
        <v>34838</v>
      </c>
      <c r="N2171" s="600">
        <v>2.1121498000000001</v>
      </c>
      <c r="O2171" s="604">
        <v>1.0370048E-2</v>
      </c>
      <c r="P2171" s="150"/>
      <c r="Q2171" s="250"/>
      <c r="R2171" s="250"/>
      <c r="S2171" s="250">
        <v>1.23601658E-2</v>
      </c>
      <c r="T2171" s="250">
        <v>4.2699999999999995E-2</v>
      </c>
      <c r="U2171" s="250">
        <v>0.1011</v>
      </c>
      <c r="V2171" s="742">
        <v>0.84379999999999999</v>
      </c>
      <c r="W2171" s="747"/>
      <c r="X2171" s="743"/>
      <c r="Y2171" s="246"/>
      <c r="Z2171" s="245">
        <v>14</v>
      </c>
      <c r="AA2171" s="150">
        <v>0.6</v>
      </c>
      <c r="AB2171" s="152"/>
      <c r="AC2171" s="152"/>
      <c r="AD2171" s="223">
        <v>8.0982702999999994</v>
      </c>
      <c r="AE2171" s="223">
        <v>0.32002950000000002</v>
      </c>
      <c r="AF2171" s="223">
        <v>2.5815242600000001</v>
      </c>
      <c r="AG2171" s="223">
        <v>0.88389099999999998</v>
      </c>
      <c r="AH2171" s="341"/>
      <c r="AI2171" s="218"/>
      <c r="AJ2171" s="218"/>
      <c r="AK2171" s="153"/>
      <c r="AL2171" s="152"/>
      <c r="AM2171" s="152"/>
      <c r="AN2171" s="152"/>
      <c r="AO2171" s="152"/>
      <c r="AP2171" s="152"/>
      <c r="AQ2171" s="152"/>
      <c r="AR2171" s="152"/>
      <c r="AS2171" s="152"/>
      <c r="AT2171" s="152"/>
      <c r="AU2171" s="153"/>
      <c r="AV2171" s="479"/>
      <c r="AW2171" s="479"/>
      <c r="AX2171" s="442"/>
      <c r="AY2171" s="153"/>
      <c r="AZ2171" s="152"/>
      <c r="BA2171" s="152"/>
      <c r="BB2171" s="152"/>
      <c r="BC2171" s="152"/>
      <c r="BD2171" s="152"/>
      <c r="BE2171" s="152"/>
      <c r="BF2171" s="152"/>
      <c r="BG2171" s="152"/>
      <c r="BH2171" s="152"/>
      <c r="BI2171" s="153"/>
      <c r="BJ2171" s="153"/>
      <c r="BK2171" s="153"/>
      <c r="BL2171" s="153"/>
      <c r="BM2171" s="153"/>
      <c r="BN2171" s="153"/>
      <c r="BO2171" s="153"/>
      <c r="BP2171" s="153"/>
      <c r="BQ2171" s="153"/>
      <c r="BR2171" s="153"/>
      <c r="BS2171" s="153"/>
      <c r="BT2171" s="153"/>
      <c r="BU2171" s="153"/>
      <c r="BV2171" s="153"/>
      <c r="BW2171" s="153"/>
      <c r="BX2171" s="153"/>
      <c r="BY2171" s="153"/>
      <c r="BZ2171" s="153"/>
      <c r="CA2171" s="152"/>
      <c r="CB2171" s="152"/>
    </row>
    <row r="2172" spans="1:80" s="87" customFormat="1" ht="16.5" x14ac:dyDescent="0.3">
      <c r="A2172" s="152"/>
      <c r="B2172" s="683"/>
      <c r="C2172" s="683"/>
      <c r="D2172" s="698"/>
      <c r="E2172" s="215"/>
      <c r="F2172" s="215"/>
      <c r="G2172" s="153"/>
      <c r="H2172" s="153"/>
      <c r="I2172" s="310">
        <v>23</v>
      </c>
      <c r="J2172" s="310">
        <v>60</v>
      </c>
      <c r="K2172" s="150">
        <v>1</v>
      </c>
      <c r="L2172" s="656">
        <v>23</v>
      </c>
      <c r="M2172" s="663">
        <v>34838</v>
      </c>
      <c r="N2172" s="600">
        <v>2.1121498000000001</v>
      </c>
      <c r="O2172" s="604">
        <v>9.572352000000001E-3</v>
      </c>
      <c r="P2172" s="150"/>
      <c r="Q2172" s="250"/>
      <c r="R2172" s="250"/>
      <c r="S2172" s="250">
        <v>0</v>
      </c>
      <c r="T2172" s="250">
        <v>2.1600000000000001E-2</v>
      </c>
      <c r="U2172" s="250">
        <v>4.5899999999999996E-2</v>
      </c>
      <c r="V2172" s="742">
        <v>0.9325</v>
      </c>
      <c r="W2172" s="747"/>
      <c r="X2172" s="743"/>
      <c r="Y2172" s="246"/>
      <c r="Z2172" s="245">
        <v>8</v>
      </c>
      <c r="AA2172" s="150">
        <v>0.5</v>
      </c>
      <c r="AB2172" s="152"/>
      <c r="AC2172" s="152"/>
      <c r="AD2172" s="223">
        <v>8.0982702999999994</v>
      </c>
      <c r="AE2172" s="223">
        <v>0.32002950000000002</v>
      </c>
      <c r="AF2172" s="223">
        <v>2.5815242600000001</v>
      </c>
      <c r="AG2172" s="223">
        <v>0.88389099999999998</v>
      </c>
      <c r="AH2172" s="341"/>
      <c r="AI2172" s="218"/>
      <c r="AJ2172" s="218"/>
      <c r="AK2172" s="153"/>
      <c r="AL2172" s="152"/>
      <c r="AM2172" s="152"/>
      <c r="AN2172" s="152"/>
      <c r="AO2172" s="152"/>
      <c r="AP2172" s="152"/>
      <c r="AQ2172" s="152"/>
      <c r="AR2172" s="152"/>
      <c r="AS2172" s="152"/>
      <c r="AT2172" s="152"/>
      <c r="AU2172" s="153"/>
      <c r="AV2172" s="479"/>
      <c r="AW2172" s="479"/>
      <c r="AX2172" s="442"/>
      <c r="AY2172" s="153"/>
      <c r="AZ2172" s="152"/>
      <c r="BA2172" s="152"/>
      <c r="BB2172" s="152"/>
      <c r="BC2172" s="152"/>
      <c r="BD2172" s="152"/>
      <c r="BE2172" s="152"/>
      <c r="BF2172" s="152"/>
      <c r="BG2172" s="152"/>
      <c r="BH2172" s="152"/>
      <c r="BI2172" s="153"/>
      <c r="BJ2172" s="153"/>
      <c r="BK2172" s="153"/>
      <c r="BL2172" s="153"/>
      <c r="BM2172" s="153"/>
      <c r="BN2172" s="153"/>
      <c r="BO2172" s="153"/>
      <c r="BP2172" s="153"/>
      <c r="BQ2172" s="153"/>
      <c r="BR2172" s="153"/>
      <c r="BS2172" s="153"/>
      <c r="BT2172" s="153"/>
      <c r="BU2172" s="153"/>
      <c r="BV2172" s="153"/>
      <c r="BW2172" s="153"/>
      <c r="BX2172" s="153"/>
      <c r="BY2172" s="153"/>
      <c r="BZ2172" s="153"/>
      <c r="CA2172" s="152"/>
      <c r="CB2172" s="152"/>
    </row>
    <row r="2173" spans="1:80" s="87" customFormat="1" ht="16.5" x14ac:dyDescent="0.3">
      <c r="A2173" s="152"/>
      <c r="B2173" s="683"/>
      <c r="C2173" s="683"/>
      <c r="D2173" s="698"/>
      <c r="E2173" s="215"/>
      <c r="F2173" s="215"/>
      <c r="G2173" s="153"/>
      <c r="H2173" s="153"/>
      <c r="I2173" s="310">
        <v>23</v>
      </c>
      <c r="J2173" s="310">
        <v>60</v>
      </c>
      <c r="K2173" s="150">
        <v>1</v>
      </c>
      <c r="L2173" s="656">
        <v>23</v>
      </c>
      <c r="M2173" s="663">
        <v>34841</v>
      </c>
      <c r="N2173" s="600">
        <v>2.8199747999999998</v>
      </c>
      <c r="O2173" s="604">
        <v>6.8224000000000007E-2</v>
      </c>
      <c r="P2173" s="150"/>
      <c r="Q2173" s="250"/>
      <c r="R2173" s="250">
        <v>0.24729999999999999</v>
      </c>
      <c r="S2173" s="250">
        <v>5.4802429499999999E-2</v>
      </c>
      <c r="T2173" s="250">
        <v>8.2400000000000001E-2</v>
      </c>
      <c r="U2173" s="250">
        <v>0.11470000000000001</v>
      </c>
      <c r="V2173" s="742">
        <v>0.50080000000000002</v>
      </c>
      <c r="W2173" s="747"/>
      <c r="X2173" s="743"/>
      <c r="Y2173" s="246"/>
      <c r="Z2173" s="245">
        <v>45.5</v>
      </c>
      <c r="AA2173" s="150">
        <v>2</v>
      </c>
      <c r="AB2173" s="152"/>
      <c r="AC2173" s="152"/>
      <c r="AD2173" s="223">
        <v>8.1988509999999994</v>
      </c>
      <c r="AE2173" s="223">
        <v>0.34136480000000002</v>
      </c>
      <c r="AF2173" s="223">
        <v>2.7998251600000001</v>
      </c>
      <c r="AG2173" s="223">
        <v>0.9661843</v>
      </c>
      <c r="AH2173" s="341"/>
      <c r="AI2173" s="218"/>
      <c r="AJ2173" s="218"/>
      <c r="AK2173" s="153"/>
      <c r="AL2173" s="152"/>
      <c r="AM2173" s="152"/>
      <c r="AN2173" s="152"/>
      <c r="AO2173" s="152"/>
      <c r="AP2173" s="152"/>
      <c r="AQ2173" s="152"/>
      <c r="AR2173" s="152"/>
      <c r="AS2173" s="152"/>
      <c r="AT2173" s="152"/>
      <c r="AU2173" s="153"/>
      <c r="AV2173" s="479"/>
      <c r="AW2173" s="479"/>
      <c r="AX2173" s="442"/>
      <c r="AY2173" s="153"/>
      <c r="AZ2173" s="152"/>
      <c r="BA2173" s="152"/>
      <c r="BB2173" s="152"/>
      <c r="BC2173" s="152"/>
      <c r="BD2173" s="152"/>
      <c r="BE2173" s="152"/>
      <c r="BF2173" s="152"/>
      <c r="BG2173" s="152"/>
      <c r="BH2173" s="152"/>
      <c r="BI2173" s="153"/>
      <c r="BJ2173" s="153"/>
      <c r="BK2173" s="153"/>
      <c r="BL2173" s="153"/>
      <c r="BM2173" s="153"/>
      <c r="BN2173" s="153"/>
      <c r="BO2173" s="153"/>
      <c r="BP2173" s="153"/>
      <c r="BQ2173" s="153"/>
      <c r="BR2173" s="153"/>
      <c r="BS2173" s="153"/>
      <c r="BT2173" s="153"/>
      <c r="BU2173" s="153"/>
      <c r="BV2173" s="153"/>
      <c r="BW2173" s="153"/>
      <c r="BX2173" s="153"/>
      <c r="BY2173" s="153"/>
      <c r="BZ2173" s="153"/>
      <c r="CA2173" s="152"/>
      <c r="CB2173" s="152"/>
    </row>
    <row r="2174" spans="1:80" s="87" customFormat="1" ht="16.5" x14ac:dyDescent="0.3">
      <c r="A2174" s="152"/>
      <c r="B2174" s="683"/>
      <c r="C2174" s="683"/>
      <c r="D2174" s="698"/>
      <c r="E2174" s="215"/>
      <c r="F2174" s="215"/>
      <c r="G2174" s="153"/>
      <c r="H2174" s="153"/>
      <c r="I2174" s="310">
        <v>23</v>
      </c>
      <c r="J2174" s="310">
        <v>60</v>
      </c>
      <c r="K2174" s="150">
        <v>1</v>
      </c>
      <c r="L2174" s="656">
        <v>23</v>
      </c>
      <c r="M2174" s="663">
        <v>34841</v>
      </c>
      <c r="N2174" s="600">
        <v>2.8199747999999998</v>
      </c>
      <c r="O2174" s="604">
        <v>5.4999040000000006E-2</v>
      </c>
      <c r="P2174" s="150"/>
      <c r="Q2174" s="250">
        <v>8.48E-2</v>
      </c>
      <c r="R2174" s="250">
        <v>5.7999999999999996E-2</v>
      </c>
      <c r="S2174" s="250">
        <v>0.10571225099999999</v>
      </c>
      <c r="T2174" s="250">
        <v>0.10369999999999999</v>
      </c>
      <c r="U2174" s="250">
        <v>0.1288</v>
      </c>
      <c r="V2174" s="742">
        <v>0.51890000000000003</v>
      </c>
      <c r="W2174" s="747"/>
      <c r="X2174" s="743"/>
      <c r="Y2174" s="246"/>
      <c r="Z2174" s="245">
        <v>60.5</v>
      </c>
      <c r="AA2174" s="150">
        <v>1.8</v>
      </c>
      <c r="AB2174" s="152"/>
      <c r="AC2174" s="152"/>
      <c r="AD2174" s="223">
        <v>8.1988509999999994</v>
      </c>
      <c r="AE2174" s="223">
        <v>0.34136480000000002</v>
      </c>
      <c r="AF2174" s="223">
        <v>2.7998251600000001</v>
      </c>
      <c r="AG2174" s="223">
        <v>0.9661843</v>
      </c>
      <c r="AH2174" s="341"/>
      <c r="AI2174" s="218"/>
      <c r="AJ2174" s="218"/>
      <c r="AK2174" s="153"/>
      <c r="AL2174" s="152"/>
      <c r="AM2174" s="152"/>
      <c r="AN2174" s="152"/>
      <c r="AO2174" s="152"/>
      <c r="AP2174" s="152"/>
      <c r="AQ2174" s="152"/>
      <c r="AR2174" s="152"/>
      <c r="AS2174" s="152"/>
      <c r="AT2174" s="152"/>
      <c r="AU2174" s="153"/>
      <c r="AV2174" s="479"/>
      <c r="AW2174" s="479"/>
      <c r="AX2174" s="442"/>
      <c r="AY2174" s="153"/>
      <c r="AZ2174" s="152"/>
      <c r="BA2174" s="152"/>
      <c r="BB2174" s="152"/>
      <c r="BC2174" s="152"/>
      <c r="BD2174" s="152"/>
      <c r="BE2174" s="152"/>
      <c r="BF2174" s="152"/>
      <c r="BG2174" s="152"/>
      <c r="BH2174" s="152"/>
      <c r="BI2174" s="153"/>
      <c r="BJ2174" s="153"/>
      <c r="BK2174" s="153"/>
      <c r="BL2174" s="153"/>
      <c r="BM2174" s="153"/>
      <c r="BN2174" s="153"/>
      <c r="BO2174" s="153"/>
      <c r="BP2174" s="153"/>
      <c r="BQ2174" s="153"/>
      <c r="BR2174" s="153"/>
      <c r="BS2174" s="153"/>
      <c r="BT2174" s="153"/>
      <c r="BU2174" s="153"/>
      <c r="BV2174" s="153"/>
      <c r="BW2174" s="153"/>
      <c r="BX2174" s="153"/>
      <c r="BY2174" s="153"/>
      <c r="BZ2174" s="153"/>
      <c r="CA2174" s="152"/>
      <c r="CB2174" s="152"/>
    </row>
    <row r="2175" spans="1:80" s="87" customFormat="1" ht="16.5" x14ac:dyDescent="0.3">
      <c r="A2175" s="152"/>
      <c r="B2175" s="683"/>
      <c r="C2175" s="683"/>
      <c r="D2175" s="698"/>
      <c r="E2175" s="215"/>
      <c r="F2175" s="215"/>
      <c r="G2175" s="153"/>
      <c r="H2175" s="153"/>
      <c r="I2175" s="310">
        <v>21</v>
      </c>
      <c r="J2175" s="310">
        <v>60</v>
      </c>
      <c r="K2175" s="150">
        <v>1</v>
      </c>
      <c r="L2175" s="656">
        <v>21</v>
      </c>
      <c r="M2175" s="663">
        <v>34843</v>
      </c>
      <c r="N2175" s="600">
        <v>2.5934708</v>
      </c>
      <c r="O2175" s="604">
        <v>4.6392320000000001E-2</v>
      </c>
      <c r="P2175" s="150"/>
      <c r="Q2175" s="250"/>
      <c r="R2175" s="250">
        <v>6.4600000000000005E-2</v>
      </c>
      <c r="S2175" s="250">
        <v>0.11570202</v>
      </c>
      <c r="T2175" s="250">
        <v>0.15490000000000001</v>
      </c>
      <c r="U2175" s="250">
        <v>0.1797</v>
      </c>
      <c r="V2175" s="742">
        <v>0.48509999999999998</v>
      </c>
      <c r="W2175" s="747"/>
      <c r="X2175" s="743"/>
      <c r="Y2175" s="246"/>
      <c r="Z2175" s="245">
        <v>27</v>
      </c>
      <c r="AA2175" s="150">
        <v>2.1</v>
      </c>
      <c r="AB2175" s="152"/>
      <c r="AC2175" s="152"/>
      <c r="AD2175" s="223">
        <v>8.2171383999999996</v>
      </c>
      <c r="AE2175" s="223">
        <v>0.33526899999999998</v>
      </c>
      <c r="AF2175" s="223">
        <v>2.7431598199999998</v>
      </c>
      <c r="AG2175" s="223">
        <v>0.84122039999999998</v>
      </c>
      <c r="AH2175" s="341"/>
      <c r="AI2175" s="218"/>
      <c r="AJ2175" s="218"/>
      <c r="AK2175" s="153"/>
      <c r="AL2175" s="152"/>
      <c r="AM2175" s="152"/>
      <c r="AN2175" s="152"/>
      <c r="AO2175" s="152"/>
      <c r="AP2175" s="152"/>
      <c r="AQ2175" s="152"/>
      <c r="AR2175" s="152"/>
      <c r="AS2175" s="152"/>
      <c r="AT2175" s="152"/>
      <c r="AU2175" s="153"/>
      <c r="AV2175" s="479"/>
      <c r="AW2175" s="479"/>
      <c r="AX2175" s="442"/>
      <c r="AY2175" s="153"/>
      <c r="AZ2175" s="152"/>
      <c r="BA2175" s="152"/>
      <c r="BB2175" s="152"/>
      <c r="BC2175" s="152"/>
      <c r="BD2175" s="152"/>
      <c r="BE2175" s="152"/>
      <c r="BF2175" s="152"/>
      <c r="BG2175" s="152"/>
      <c r="BH2175" s="152"/>
      <c r="BI2175" s="153"/>
      <c r="BJ2175" s="153"/>
      <c r="BK2175" s="153"/>
      <c r="BL2175" s="153"/>
      <c r="BM2175" s="153"/>
      <c r="BN2175" s="153"/>
      <c r="BO2175" s="153"/>
      <c r="BP2175" s="153"/>
      <c r="BQ2175" s="153"/>
      <c r="BR2175" s="153"/>
      <c r="BS2175" s="153"/>
      <c r="BT2175" s="153"/>
      <c r="BU2175" s="153"/>
      <c r="BV2175" s="153"/>
      <c r="BW2175" s="153"/>
      <c r="BX2175" s="153"/>
      <c r="BY2175" s="153"/>
      <c r="BZ2175" s="153"/>
      <c r="CA2175" s="152"/>
      <c r="CB2175" s="152"/>
    </row>
    <row r="2176" spans="1:80" s="87" customFormat="1" ht="16.5" x14ac:dyDescent="0.3">
      <c r="A2176" s="152"/>
      <c r="B2176" s="683"/>
      <c r="C2176" s="683"/>
      <c r="D2176" s="698"/>
      <c r="E2176" s="215"/>
      <c r="F2176" s="215"/>
      <c r="G2176" s="153"/>
      <c r="H2176" s="153"/>
      <c r="I2176" s="310">
        <v>21</v>
      </c>
      <c r="J2176" s="310">
        <v>60</v>
      </c>
      <c r="K2176" s="150">
        <v>1</v>
      </c>
      <c r="L2176" s="656">
        <v>21</v>
      </c>
      <c r="M2176" s="663">
        <v>34843</v>
      </c>
      <c r="N2176" s="600">
        <v>2.5934708</v>
      </c>
      <c r="O2176" s="604">
        <v>4.2928639999999997E-2</v>
      </c>
      <c r="P2176" s="150"/>
      <c r="Q2176" s="250"/>
      <c r="R2176" s="250"/>
      <c r="S2176" s="250">
        <v>5.5598950499999994E-2</v>
      </c>
      <c r="T2176" s="250">
        <v>8.3400000000000002E-2</v>
      </c>
      <c r="U2176" s="250">
        <v>0.17420000000000002</v>
      </c>
      <c r="V2176" s="742">
        <v>0.68680000000000008</v>
      </c>
      <c r="W2176" s="747"/>
      <c r="X2176" s="743"/>
      <c r="Y2176" s="246"/>
      <c r="Z2176" s="245">
        <v>18</v>
      </c>
      <c r="AA2176" s="150">
        <v>1.2</v>
      </c>
      <c r="AB2176" s="152"/>
      <c r="AC2176" s="152"/>
      <c r="AD2176" s="223">
        <v>8.2171383999999996</v>
      </c>
      <c r="AE2176" s="223">
        <v>0.33526899999999998</v>
      </c>
      <c r="AF2176" s="223">
        <v>2.7431598199999998</v>
      </c>
      <c r="AG2176" s="223">
        <v>0.84122039999999998</v>
      </c>
      <c r="AH2176" s="341"/>
      <c r="AI2176" s="218"/>
      <c r="AJ2176" s="218"/>
      <c r="AK2176" s="153"/>
      <c r="AL2176" s="152"/>
      <c r="AM2176" s="152"/>
      <c r="AN2176" s="152"/>
      <c r="AO2176" s="152"/>
      <c r="AP2176" s="152"/>
      <c r="AQ2176" s="152"/>
      <c r="AR2176" s="152"/>
      <c r="AS2176" s="152"/>
      <c r="AT2176" s="152"/>
      <c r="AU2176" s="153"/>
      <c r="AV2176" s="479"/>
      <c r="AW2176" s="479"/>
      <c r="AX2176" s="442"/>
      <c r="AY2176" s="153"/>
      <c r="AZ2176" s="152"/>
      <c r="BA2176" s="152"/>
      <c r="BB2176" s="152"/>
      <c r="BC2176" s="152"/>
      <c r="BD2176" s="152"/>
      <c r="BE2176" s="152"/>
      <c r="BF2176" s="152"/>
      <c r="BG2176" s="152"/>
      <c r="BH2176" s="152"/>
      <c r="BI2176" s="153"/>
      <c r="BJ2176" s="153"/>
      <c r="BK2176" s="153"/>
      <c r="BL2176" s="153"/>
      <c r="BM2176" s="153"/>
      <c r="BN2176" s="153"/>
      <c r="BO2176" s="153"/>
      <c r="BP2176" s="153"/>
      <c r="BQ2176" s="153"/>
      <c r="BR2176" s="153"/>
      <c r="BS2176" s="153"/>
      <c r="BT2176" s="153"/>
      <c r="BU2176" s="153"/>
      <c r="BV2176" s="153"/>
      <c r="BW2176" s="153"/>
      <c r="BX2176" s="153"/>
      <c r="BY2176" s="153"/>
      <c r="BZ2176" s="153"/>
      <c r="CA2176" s="152"/>
      <c r="CB2176" s="152"/>
    </row>
    <row r="2177" spans="1:80" s="87" customFormat="1" ht="16.5" x14ac:dyDescent="0.3">
      <c r="A2177" s="152"/>
      <c r="B2177" s="683"/>
      <c r="C2177" s="683"/>
      <c r="D2177" s="698"/>
      <c r="E2177" s="215"/>
      <c r="F2177" s="215"/>
      <c r="G2177" s="153"/>
      <c r="H2177" s="153"/>
      <c r="I2177" s="310">
        <v>21</v>
      </c>
      <c r="J2177" s="310">
        <v>60</v>
      </c>
      <c r="K2177" s="150">
        <v>1</v>
      </c>
      <c r="L2177" s="656">
        <v>21</v>
      </c>
      <c r="M2177" s="663">
        <v>34845</v>
      </c>
      <c r="N2177" s="600">
        <v>2.6217837999999998</v>
      </c>
      <c r="O2177" s="604">
        <v>2.4875520000000002E-2</v>
      </c>
      <c r="P2177" s="150"/>
      <c r="Q2177" s="250"/>
      <c r="R2177" s="250">
        <v>1.6899999999999998E-2</v>
      </c>
      <c r="S2177" s="250">
        <v>3.10843123E-2</v>
      </c>
      <c r="T2177" s="250">
        <v>0.14560000000000001</v>
      </c>
      <c r="U2177" s="250">
        <v>0.17230000000000001</v>
      </c>
      <c r="V2177" s="742">
        <v>0.6341</v>
      </c>
      <c r="W2177" s="747"/>
      <c r="X2177" s="743"/>
      <c r="Y2177" s="246"/>
      <c r="Z2177" s="245">
        <v>19</v>
      </c>
      <c r="AA2177" s="150">
        <v>1.3</v>
      </c>
      <c r="AB2177" s="152"/>
      <c r="AC2177" s="152"/>
      <c r="AD2177" s="223">
        <v>8.1988509999999994</v>
      </c>
      <c r="AE2177" s="223">
        <v>0.33222109999999999</v>
      </c>
      <c r="AF2177" s="223">
        <v>2.72458102</v>
      </c>
      <c r="AG2177" s="223">
        <v>0.86560360000000003</v>
      </c>
      <c r="AH2177" s="341"/>
      <c r="AI2177" s="218"/>
      <c r="AJ2177" s="218"/>
      <c r="AK2177" s="153"/>
      <c r="AL2177" s="152"/>
      <c r="AM2177" s="152"/>
      <c r="AN2177" s="152"/>
      <c r="AO2177" s="152"/>
      <c r="AP2177" s="152"/>
      <c r="AQ2177" s="152"/>
      <c r="AR2177" s="152"/>
      <c r="AS2177" s="152"/>
      <c r="AT2177" s="152"/>
      <c r="AU2177" s="153"/>
      <c r="AV2177" s="479"/>
      <c r="AW2177" s="479"/>
      <c r="AX2177" s="442"/>
      <c r="AY2177" s="153"/>
      <c r="AZ2177" s="152"/>
      <c r="BA2177" s="152"/>
      <c r="BB2177" s="152"/>
      <c r="BC2177" s="152"/>
      <c r="BD2177" s="152"/>
      <c r="BE2177" s="152"/>
      <c r="BF2177" s="152"/>
      <c r="BG2177" s="152"/>
      <c r="BH2177" s="152"/>
      <c r="BI2177" s="153"/>
      <c r="BJ2177" s="153"/>
      <c r="BK2177" s="153"/>
      <c r="BL2177" s="153"/>
      <c r="BM2177" s="153"/>
      <c r="BN2177" s="153"/>
      <c r="BO2177" s="153"/>
      <c r="BP2177" s="153"/>
      <c r="BQ2177" s="153"/>
      <c r="BR2177" s="153"/>
      <c r="BS2177" s="153"/>
      <c r="BT2177" s="153"/>
      <c r="BU2177" s="153"/>
      <c r="BV2177" s="153"/>
      <c r="BW2177" s="153"/>
      <c r="BX2177" s="153"/>
      <c r="BY2177" s="153"/>
      <c r="BZ2177" s="153"/>
      <c r="CA2177" s="152"/>
      <c r="CB2177" s="152"/>
    </row>
    <row r="2178" spans="1:80" s="87" customFormat="1" ht="16.5" x14ac:dyDescent="0.3">
      <c r="A2178" s="152"/>
      <c r="B2178" s="683"/>
      <c r="C2178" s="683"/>
      <c r="D2178" s="698"/>
      <c r="E2178" s="215"/>
      <c r="F2178" s="215"/>
      <c r="G2178" s="153"/>
      <c r="H2178" s="153"/>
      <c r="I2178" s="310">
        <v>21</v>
      </c>
      <c r="J2178" s="310">
        <v>60</v>
      </c>
      <c r="K2178" s="150">
        <v>1</v>
      </c>
      <c r="L2178" s="656">
        <v>21</v>
      </c>
      <c r="M2178" s="663">
        <v>34845</v>
      </c>
      <c r="N2178" s="600">
        <v>2.6217837999999998</v>
      </c>
      <c r="O2178" s="604">
        <v>1.8053119999999999E-2</v>
      </c>
      <c r="P2178" s="150"/>
      <c r="Q2178" s="250"/>
      <c r="R2178" s="250">
        <v>0.10980000000000001</v>
      </c>
      <c r="S2178" s="250">
        <v>0.10222075500000001</v>
      </c>
      <c r="T2178" s="250">
        <v>6.8499999999999991E-2</v>
      </c>
      <c r="U2178" s="250">
        <v>0.1042</v>
      </c>
      <c r="V2178" s="742">
        <v>0.61529999999999996</v>
      </c>
      <c r="W2178" s="747"/>
      <c r="X2178" s="743"/>
      <c r="Y2178" s="246"/>
      <c r="Z2178" s="245">
        <v>20.5</v>
      </c>
      <c r="AA2178" s="150">
        <v>1.3</v>
      </c>
      <c r="AB2178" s="152"/>
      <c r="AC2178" s="152"/>
      <c r="AD2178" s="223">
        <v>8.1988509999999994</v>
      </c>
      <c r="AE2178" s="223">
        <v>0.33222109999999999</v>
      </c>
      <c r="AF2178" s="223">
        <v>2.72458102</v>
      </c>
      <c r="AG2178" s="223">
        <v>0.86560360000000003</v>
      </c>
      <c r="AH2178" s="341"/>
      <c r="AI2178" s="218"/>
      <c r="AJ2178" s="218"/>
      <c r="AK2178" s="153"/>
      <c r="AL2178" s="152"/>
      <c r="AM2178" s="152"/>
      <c r="AN2178" s="152"/>
      <c r="AO2178" s="152"/>
      <c r="AP2178" s="152"/>
      <c r="AQ2178" s="152"/>
      <c r="AR2178" s="152"/>
      <c r="AS2178" s="152"/>
      <c r="AT2178" s="152"/>
      <c r="AU2178" s="153"/>
      <c r="AV2178" s="479"/>
      <c r="AW2178" s="479"/>
      <c r="AX2178" s="442"/>
      <c r="AY2178" s="153"/>
      <c r="AZ2178" s="152"/>
      <c r="BA2178" s="152"/>
      <c r="BB2178" s="152"/>
      <c r="BC2178" s="152"/>
      <c r="BD2178" s="152"/>
      <c r="BE2178" s="152"/>
      <c r="BF2178" s="152"/>
      <c r="BG2178" s="152"/>
      <c r="BH2178" s="152"/>
      <c r="BI2178" s="153"/>
      <c r="BJ2178" s="153"/>
      <c r="BK2178" s="153"/>
      <c r="BL2178" s="153"/>
      <c r="BM2178" s="153"/>
      <c r="BN2178" s="153"/>
      <c r="BO2178" s="153"/>
      <c r="BP2178" s="153"/>
      <c r="BQ2178" s="153"/>
      <c r="BR2178" s="153"/>
      <c r="BS2178" s="153"/>
      <c r="BT2178" s="153"/>
      <c r="BU2178" s="153"/>
      <c r="BV2178" s="153"/>
      <c r="BW2178" s="153"/>
      <c r="BX2178" s="153"/>
      <c r="BY2178" s="153"/>
      <c r="BZ2178" s="153"/>
      <c r="CA2178" s="152"/>
      <c r="CB2178" s="152"/>
    </row>
    <row r="2179" spans="1:80" s="87" customFormat="1" ht="16.5" x14ac:dyDescent="0.3">
      <c r="A2179" s="152"/>
      <c r="B2179" s="683"/>
      <c r="C2179" s="683"/>
      <c r="D2179" s="698"/>
      <c r="E2179" s="215"/>
      <c r="F2179" s="215"/>
      <c r="G2179" s="153"/>
      <c r="H2179" s="153"/>
      <c r="I2179" s="310">
        <v>23</v>
      </c>
      <c r="J2179" s="310">
        <v>60</v>
      </c>
      <c r="K2179" s="150">
        <v>1</v>
      </c>
      <c r="L2179" s="656">
        <v>23</v>
      </c>
      <c r="M2179" s="663">
        <v>34848</v>
      </c>
      <c r="N2179" s="600">
        <v>2.4179302000000003</v>
      </c>
      <c r="O2179" s="604">
        <v>2.7919360000000001E-2</v>
      </c>
      <c r="P2179" s="150"/>
      <c r="Q2179" s="250"/>
      <c r="R2179" s="250">
        <v>7.0699999999999999E-2</v>
      </c>
      <c r="S2179" s="250">
        <v>0.155117539</v>
      </c>
      <c r="T2179" s="250">
        <v>0.1429</v>
      </c>
      <c r="U2179" s="250">
        <v>0.15259999999999999</v>
      </c>
      <c r="V2179" s="742">
        <v>0.47869999999999996</v>
      </c>
      <c r="W2179" s="747"/>
      <c r="X2179" s="743"/>
      <c r="Y2179" s="246"/>
      <c r="Z2179" s="245">
        <v>26</v>
      </c>
      <c r="AA2179" s="150">
        <v>2.2000000000000002</v>
      </c>
      <c r="AB2179" s="152"/>
      <c r="AC2179" s="152"/>
      <c r="AD2179" s="223">
        <v>8.1988509999999994</v>
      </c>
      <c r="AE2179" s="223">
        <v>0.33222109999999999</v>
      </c>
      <c r="AF2179" s="223">
        <v>2.7273678399999999</v>
      </c>
      <c r="AG2179" s="223">
        <v>0.84426829999999997</v>
      </c>
      <c r="AH2179" s="341"/>
      <c r="AI2179" s="218"/>
      <c r="AJ2179" s="218"/>
      <c r="AK2179" s="153"/>
      <c r="AL2179" s="152"/>
      <c r="AM2179" s="152"/>
      <c r="AN2179" s="152"/>
      <c r="AO2179" s="152"/>
      <c r="AP2179" s="152"/>
      <c r="AQ2179" s="152"/>
      <c r="AR2179" s="152"/>
      <c r="AS2179" s="152"/>
      <c r="AT2179" s="152"/>
      <c r="AU2179" s="153"/>
      <c r="AV2179" s="479"/>
      <c r="AW2179" s="479"/>
      <c r="AX2179" s="442"/>
      <c r="AY2179" s="153"/>
      <c r="AZ2179" s="152"/>
      <c r="BA2179" s="152"/>
      <c r="BB2179" s="152"/>
      <c r="BC2179" s="152"/>
      <c r="BD2179" s="152"/>
      <c r="BE2179" s="152"/>
      <c r="BF2179" s="152"/>
      <c r="BG2179" s="152"/>
      <c r="BH2179" s="152"/>
      <c r="BI2179" s="153"/>
      <c r="BJ2179" s="153"/>
      <c r="BK2179" s="153"/>
      <c r="BL2179" s="153"/>
      <c r="BM2179" s="153"/>
      <c r="BN2179" s="153"/>
      <c r="BO2179" s="153"/>
      <c r="BP2179" s="153"/>
      <c r="BQ2179" s="153"/>
      <c r="BR2179" s="153"/>
      <c r="BS2179" s="153"/>
      <c r="BT2179" s="153"/>
      <c r="BU2179" s="153"/>
      <c r="BV2179" s="153"/>
      <c r="BW2179" s="153"/>
      <c r="BX2179" s="153"/>
      <c r="BY2179" s="153"/>
      <c r="BZ2179" s="153"/>
      <c r="CA2179" s="152"/>
      <c r="CB2179" s="152"/>
    </row>
    <row r="2180" spans="1:80" s="87" customFormat="1" ht="16.5" x14ac:dyDescent="0.3">
      <c r="A2180" s="152"/>
      <c r="B2180" s="683"/>
      <c r="C2180" s="683"/>
      <c r="D2180" s="698"/>
      <c r="E2180" s="215"/>
      <c r="F2180" s="215"/>
      <c r="G2180" s="153"/>
      <c r="H2180" s="153"/>
      <c r="I2180" s="310">
        <v>23</v>
      </c>
      <c r="J2180" s="310">
        <v>60</v>
      </c>
      <c r="K2180" s="150">
        <v>1</v>
      </c>
      <c r="L2180" s="656">
        <v>23</v>
      </c>
      <c r="M2180" s="663">
        <v>34848</v>
      </c>
      <c r="N2180" s="600">
        <v>2.4179302000000003</v>
      </c>
      <c r="O2180" s="604">
        <v>5.5733759999999993E-2</v>
      </c>
      <c r="P2180" s="150"/>
      <c r="Q2180" s="250"/>
      <c r="R2180" s="250">
        <v>7.51E-2</v>
      </c>
      <c r="S2180" s="250">
        <v>6.0857946600000004E-2</v>
      </c>
      <c r="T2180" s="250">
        <v>0.1479</v>
      </c>
      <c r="U2180" s="250">
        <v>0.21429999999999999</v>
      </c>
      <c r="V2180" s="742">
        <v>0.50180000000000002</v>
      </c>
      <c r="W2180" s="747"/>
      <c r="X2180" s="743"/>
      <c r="Y2180" s="246"/>
      <c r="Z2180" s="245">
        <v>32</v>
      </c>
      <c r="AA2180" s="150">
        <v>2</v>
      </c>
      <c r="AB2180" s="152"/>
      <c r="AC2180" s="152"/>
      <c r="AD2180" s="223">
        <v>8.1988509999999994</v>
      </c>
      <c r="AE2180" s="223">
        <v>0.33222109999999999</v>
      </c>
      <c r="AF2180" s="223">
        <v>2.7273678399999999</v>
      </c>
      <c r="AG2180" s="223">
        <v>0.84426829999999997</v>
      </c>
      <c r="AH2180" s="341"/>
      <c r="AI2180" s="218"/>
      <c r="AJ2180" s="218"/>
      <c r="AK2180" s="153"/>
      <c r="AL2180" s="152"/>
      <c r="AM2180" s="152"/>
      <c r="AN2180" s="152"/>
      <c r="AO2180" s="152"/>
      <c r="AP2180" s="152"/>
      <c r="AQ2180" s="152"/>
      <c r="AR2180" s="152"/>
      <c r="AS2180" s="152"/>
      <c r="AT2180" s="152"/>
      <c r="AU2180" s="153"/>
      <c r="AV2180" s="479"/>
      <c r="AW2180" s="479"/>
      <c r="AX2180" s="442"/>
      <c r="AY2180" s="153"/>
      <c r="AZ2180" s="152"/>
      <c r="BA2180" s="152"/>
      <c r="BB2180" s="152"/>
      <c r="BC2180" s="152"/>
      <c r="BD2180" s="152"/>
      <c r="BE2180" s="152"/>
      <c r="BF2180" s="152"/>
      <c r="BG2180" s="152"/>
      <c r="BH2180" s="152"/>
      <c r="BI2180" s="153"/>
      <c r="BJ2180" s="153"/>
      <c r="BK2180" s="153"/>
      <c r="BL2180" s="153"/>
      <c r="BM2180" s="153"/>
      <c r="BN2180" s="153"/>
      <c r="BO2180" s="153"/>
      <c r="BP2180" s="153"/>
      <c r="BQ2180" s="153"/>
      <c r="BR2180" s="153"/>
      <c r="BS2180" s="153"/>
      <c r="BT2180" s="153"/>
      <c r="BU2180" s="153"/>
      <c r="BV2180" s="153"/>
      <c r="BW2180" s="153"/>
      <c r="BX2180" s="153"/>
      <c r="BY2180" s="153"/>
      <c r="BZ2180" s="153"/>
      <c r="CA2180" s="152"/>
      <c r="CB2180" s="152"/>
    </row>
    <row r="2181" spans="1:80" s="87" customFormat="1" ht="16.5" x14ac:dyDescent="0.3">
      <c r="A2181" s="152"/>
      <c r="B2181" s="683"/>
      <c r="C2181" s="683"/>
      <c r="D2181" s="698"/>
      <c r="E2181" s="215"/>
      <c r="F2181" s="215"/>
      <c r="G2181" s="153"/>
      <c r="H2181" s="153"/>
      <c r="I2181" s="310">
        <v>22</v>
      </c>
      <c r="J2181" s="310">
        <v>60</v>
      </c>
      <c r="K2181" s="150">
        <v>1</v>
      </c>
      <c r="L2181" s="656">
        <v>22</v>
      </c>
      <c r="M2181" s="663">
        <v>34852</v>
      </c>
      <c r="N2181" s="600">
        <v>5.2095920000000007</v>
      </c>
      <c r="O2181" s="604">
        <v>0.27394560000000001</v>
      </c>
      <c r="P2181" s="150"/>
      <c r="Q2181" s="250">
        <v>0.1174</v>
      </c>
      <c r="R2181" s="250">
        <v>0.1358</v>
      </c>
      <c r="S2181" s="250">
        <v>0.14858860800000001</v>
      </c>
      <c r="T2181" s="250">
        <v>0.11900000000000001</v>
      </c>
      <c r="U2181" s="250">
        <v>0.10490000000000001</v>
      </c>
      <c r="V2181" s="742">
        <v>0.37420000000000003</v>
      </c>
      <c r="W2181" s="747"/>
      <c r="X2181" s="743"/>
      <c r="Y2181" s="246"/>
      <c r="Z2181" s="245">
        <v>57</v>
      </c>
      <c r="AA2181" s="150">
        <v>4.5999999999999996</v>
      </c>
      <c r="AB2181" s="152"/>
      <c r="AC2181" s="152"/>
      <c r="AD2181" s="223">
        <v>8.8968200999999993</v>
      </c>
      <c r="AE2181" s="223">
        <v>0.42975390000000002</v>
      </c>
      <c r="AF2181" s="223">
        <v>3.8290906800000002</v>
      </c>
      <c r="AG2181" s="223">
        <v>1.2557347999999999</v>
      </c>
      <c r="AH2181" s="341"/>
      <c r="AI2181" s="218"/>
      <c r="AJ2181" s="218"/>
      <c r="AK2181" s="153"/>
      <c r="AL2181" s="152"/>
      <c r="AM2181" s="152"/>
      <c r="AN2181" s="152"/>
      <c r="AO2181" s="152"/>
      <c r="AP2181" s="152"/>
      <c r="AQ2181" s="152"/>
      <c r="AR2181" s="152"/>
      <c r="AS2181" s="152"/>
      <c r="AT2181" s="152"/>
      <c r="AU2181" s="153"/>
      <c r="AV2181" s="479"/>
      <c r="AW2181" s="479"/>
      <c r="AX2181" s="442"/>
      <c r="AY2181" s="153"/>
      <c r="AZ2181" s="152"/>
      <c r="BA2181" s="152"/>
      <c r="BB2181" s="152"/>
      <c r="BC2181" s="152"/>
      <c r="BD2181" s="152"/>
      <c r="BE2181" s="152"/>
      <c r="BF2181" s="152"/>
      <c r="BG2181" s="152"/>
      <c r="BH2181" s="152"/>
      <c r="BI2181" s="153"/>
      <c r="BJ2181" s="153"/>
      <c r="BK2181" s="153"/>
      <c r="BL2181" s="153"/>
      <c r="BM2181" s="153"/>
      <c r="BN2181" s="153"/>
      <c r="BO2181" s="153"/>
      <c r="BP2181" s="153"/>
      <c r="BQ2181" s="153"/>
      <c r="BR2181" s="153"/>
      <c r="BS2181" s="153"/>
      <c r="BT2181" s="153"/>
      <c r="BU2181" s="153"/>
      <c r="BV2181" s="153"/>
      <c r="BW2181" s="153"/>
      <c r="BX2181" s="153"/>
      <c r="BY2181" s="153"/>
      <c r="BZ2181" s="153"/>
      <c r="CA2181" s="152"/>
      <c r="CB2181" s="152"/>
    </row>
    <row r="2182" spans="1:80" s="87" customFormat="1" ht="16.5" x14ac:dyDescent="0.3">
      <c r="A2182" s="152"/>
      <c r="B2182" s="683"/>
      <c r="C2182" s="683"/>
      <c r="D2182" s="698"/>
      <c r="E2182" s="215"/>
      <c r="F2182" s="215"/>
      <c r="G2182" s="153"/>
      <c r="H2182" s="153"/>
      <c r="I2182" s="310">
        <v>22</v>
      </c>
      <c r="J2182" s="310">
        <v>60</v>
      </c>
      <c r="K2182" s="150">
        <v>1</v>
      </c>
      <c r="L2182" s="656">
        <v>22</v>
      </c>
      <c r="M2182" s="663">
        <v>34852</v>
      </c>
      <c r="N2182" s="600">
        <v>5.2095920000000007</v>
      </c>
      <c r="O2182" s="604">
        <v>0.33692160000000004</v>
      </c>
      <c r="P2182" s="150"/>
      <c r="Q2182" s="250">
        <v>6.6500000000000004E-2</v>
      </c>
      <c r="R2182" s="250">
        <v>0.15359999999999999</v>
      </c>
      <c r="S2182" s="250">
        <v>0.110813521</v>
      </c>
      <c r="T2182" s="250">
        <v>0.15529999999999999</v>
      </c>
      <c r="U2182" s="250">
        <v>0.16350000000000001</v>
      </c>
      <c r="V2182" s="742">
        <v>0.3503</v>
      </c>
      <c r="W2182" s="747"/>
      <c r="X2182" s="743"/>
      <c r="Y2182" s="246"/>
      <c r="Z2182" s="245">
        <v>49.5</v>
      </c>
      <c r="AA2182" s="150">
        <v>3.8</v>
      </c>
      <c r="AB2182" s="152"/>
      <c r="AC2182" s="152"/>
      <c r="AD2182" s="223">
        <v>8.8968200999999993</v>
      </c>
      <c r="AE2182" s="223">
        <v>0.42975390000000002</v>
      </c>
      <c r="AF2182" s="223">
        <v>3.8290906800000002</v>
      </c>
      <c r="AG2182" s="223">
        <v>1.2557347999999999</v>
      </c>
      <c r="AH2182" s="341"/>
      <c r="AI2182" s="218"/>
      <c r="AJ2182" s="218"/>
      <c r="AK2182" s="153"/>
      <c r="AL2182" s="152"/>
      <c r="AM2182" s="152"/>
      <c r="AN2182" s="152"/>
      <c r="AO2182" s="152"/>
      <c r="AP2182" s="152"/>
      <c r="AQ2182" s="152"/>
      <c r="AR2182" s="152"/>
      <c r="AS2182" s="152"/>
      <c r="AT2182" s="152"/>
      <c r="AU2182" s="153"/>
      <c r="AV2182" s="479"/>
      <c r="AW2182" s="479"/>
      <c r="AX2182" s="442"/>
      <c r="AY2182" s="153"/>
      <c r="AZ2182" s="152"/>
      <c r="BA2182" s="152"/>
      <c r="BB2182" s="152"/>
      <c r="BC2182" s="152"/>
      <c r="BD2182" s="152"/>
      <c r="BE2182" s="152"/>
      <c r="BF2182" s="152"/>
      <c r="BG2182" s="152"/>
      <c r="BH2182" s="152"/>
      <c r="BI2182" s="153"/>
      <c r="BJ2182" s="153"/>
      <c r="BK2182" s="153"/>
      <c r="BL2182" s="153"/>
      <c r="BM2182" s="153"/>
      <c r="BN2182" s="153"/>
      <c r="BO2182" s="153"/>
      <c r="BP2182" s="153"/>
      <c r="BQ2182" s="153"/>
      <c r="BR2182" s="153"/>
      <c r="BS2182" s="153"/>
      <c r="BT2182" s="153"/>
      <c r="BU2182" s="153"/>
      <c r="BV2182" s="153"/>
      <c r="BW2182" s="153"/>
      <c r="BX2182" s="153"/>
      <c r="BY2182" s="153"/>
      <c r="BZ2182" s="153"/>
      <c r="CA2182" s="152"/>
      <c r="CB2182" s="152"/>
    </row>
    <row r="2183" spans="1:80" s="87" customFormat="1" ht="16.5" x14ac:dyDescent="0.3">
      <c r="A2183" s="152"/>
      <c r="B2183" s="683"/>
      <c r="C2183" s="683"/>
      <c r="D2183" s="698"/>
      <c r="E2183" s="215"/>
      <c r="F2183" s="215"/>
      <c r="G2183" s="153"/>
      <c r="H2183" s="153"/>
      <c r="I2183" s="310">
        <v>11</v>
      </c>
      <c r="J2183" s="310">
        <v>30</v>
      </c>
      <c r="K2183" s="150">
        <v>1</v>
      </c>
      <c r="L2183" s="656">
        <v>5.5</v>
      </c>
      <c r="M2183" s="663">
        <v>34856</v>
      </c>
      <c r="N2183" s="600">
        <v>8.1258309999999998</v>
      </c>
      <c r="O2183" s="604">
        <v>0.51850240000000003</v>
      </c>
      <c r="P2183" s="150"/>
      <c r="Q2183" s="250"/>
      <c r="R2183" s="250">
        <v>0.13830000000000001</v>
      </c>
      <c r="S2183" s="250">
        <v>0.25362052200000001</v>
      </c>
      <c r="T2183" s="250">
        <v>0.18590000000000001</v>
      </c>
      <c r="U2183" s="250">
        <v>0.11460000000000001</v>
      </c>
      <c r="V2183" s="742">
        <v>0.3075</v>
      </c>
      <c r="W2183" s="747"/>
      <c r="X2183" s="743"/>
      <c r="Y2183" s="246"/>
      <c r="Z2183" s="245">
        <v>40.5</v>
      </c>
      <c r="AA2183" s="150">
        <v>5.5</v>
      </c>
      <c r="AB2183" s="152"/>
      <c r="AC2183" s="152"/>
      <c r="AD2183" s="223">
        <v>9.4271547000000009</v>
      </c>
      <c r="AE2183" s="223">
        <v>0.54252619999999996</v>
      </c>
      <c r="AF2183" s="223">
        <v>5.1231040999999999</v>
      </c>
      <c r="AG2183" s="223">
        <v>1.4629920000000001</v>
      </c>
      <c r="AH2183" s="341"/>
      <c r="AI2183" s="218"/>
      <c r="AJ2183" s="218"/>
      <c r="AK2183" s="153"/>
      <c r="AL2183" s="152"/>
      <c r="AM2183" s="152"/>
      <c r="AN2183" s="152"/>
      <c r="AO2183" s="152"/>
      <c r="AP2183" s="152"/>
      <c r="AQ2183" s="152"/>
      <c r="AR2183" s="152"/>
      <c r="AS2183" s="152"/>
      <c r="AT2183" s="152"/>
      <c r="AU2183" s="153"/>
      <c r="AV2183" s="479"/>
      <c r="AW2183" s="479"/>
      <c r="AX2183" s="442"/>
      <c r="AY2183" s="153"/>
      <c r="AZ2183" s="152"/>
      <c r="BA2183" s="152"/>
      <c r="BB2183" s="152"/>
      <c r="BC2183" s="152"/>
      <c r="BD2183" s="152"/>
      <c r="BE2183" s="152"/>
      <c r="BF2183" s="152"/>
      <c r="BG2183" s="152"/>
      <c r="BH2183" s="152"/>
      <c r="BI2183" s="153"/>
      <c r="BJ2183" s="153"/>
      <c r="BK2183" s="153"/>
      <c r="BL2183" s="153"/>
      <c r="BM2183" s="153"/>
      <c r="BN2183" s="153"/>
      <c r="BO2183" s="153"/>
      <c r="BP2183" s="153"/>
      <c r="BQ2183" s="153"/>
      <c r="BR2183" s="153"/>
      <c r="BS2183" s="153"/>
      <c r="BT2183" s="153"/>
      <c r="BU2183" s="153"/>
      <c r="BV2183" s="153"/>
      <c r="BW2183" s="153"/>
      <c r="BX2183" s="153"/>
      <c r="BY2183" s="153"/>
      <c r="BZ2183" s="153"/>
      <c r="CA2183" s="152"/>
      <c r="CB2183" s="152"/>
    </row>
    <row r="2184" spans="1:80" s="87" customFormat="1" ht="16.5" x14ac:dyDescent="0.3">
      <c r="A2184" s="152"/>
      <c r="B2184" s="683"/>
      <c r="C2184" s="683"/>
      <c r="D2184" s="698"/>
      <c r="E2184" s="215"/>
      <c r="F2184" s="215"/>
      <c r="G2184" s="153"/>
      <c r="H2184" s="153"/>
      <c r="I2184" s="310">
        <v>11</v>
      </c>
      <c r="J2184" s="310">
        <v>30</v>
      </c>
      <c r="K2184" s="150">
        <v>1</v>
      </c>
      <c r="L2184" s="656">
        <v>5.5</v>
      </c>
      <c r="M2184" s="663">
        <v>34856</v>
      </c>
      <c r="N2184" s="600">
        <v>8.1258309999999998</v>
      </c>
      <c r="O2184" s="604">
        <v>0.63185920000000007</v>
      </c>
      <c r="P2184" s="150"/>
      <c r="Q2184" s="250"/>
      <c r="R2184" s="250">
        <v>0.22750000000000001</v>
      </c>
      <c r="S2184" s="250">
        <v>0.14035077299999998</v>
      </c>
      <c r="T2184" s="250">
        <v>0.157</v>
      </c>
      <c r="U2184" s="250">
        <v>0.17059999999999997</v>
      </c>
      <c r="V2184" s="742">
        <v>0.30449999999999999</v>
      </c>
      <c r="W2184" s="747"/>
      <c r="X2184" s="743"/>
      <c r="Y2184" s="246"/>
      <c r="Z2184" s="245">
        <v>39</v>
      </c>
      <c r="AA2184" s="150">
        <v>4.5</v>
      </c>
      <c r="AB2184" s="152"/>
      <c r="AC2184" s="152"/>
      <c r="AD2184" s="223">
        <v>9.4271547000000009</v>
      </c>
      <c r="AE2184" s="223">
        <v>0.54252619999999996</v>
      </c>
      <c r="AF2184" s="223">
        <v>5.1231040999999999</v>
      </c>
      <c r="AG2184" s="223">
        <v>1.4629920000000001</v>
      </c>
      <c r="AH2184" s="341"/>
      <c r="AI2184" s="218"/>
      <c r="AJ2184" s="218"/>
      <c r="AK2184" s="153"/>
      <c r="AL2184" s="152"/>
      <c r="AM2184" s="152"/>
      <c r="AN2184" s="152"/>
      <c r="AO2184" s="152"/>
      <c r="AP2184" s="152"/>
      <c r="AQ2184" s="152"/>
      <c r="AR2184" s="152"/>
      <c r="AS2184" s="152"/>
      <c r="AT2184" s="152"/>
      <c r="AU2184" s="153"/>
      <c r="AV2184" s="479"/>
      <c r="AW2184" s="479"/>
      <c r="AX2184" s="442"/>
      <c r="AY2184" s="153"/>
      <c r="AZ2184" s="152"/>
      <c r="BA2184" s="152"/>
      <c r="BB2184" s="152"/>
      <c r="BC2184" s="152"/>
      <c r="BD2184" s="152"/>
      <c r="BE2184" s="152"/>
      <c r="BF2184" s="152"/>
      <c r="BG2184" s="152"/>
      <c r="BH2184" s="152"/>
      <c r="BI2184" s="153"/>
      <c r="BJ2184" s="153"/>
      <c r="BK2184" s="153"/>
      <c r="BL2184" s="153"/>
      <c r="BM2184" s="153"/>
      <c r="BN2184" s="153"/>
      <c r="BO2184" s="153"/>
      <c r="BP2184" s="153"/>
      <c r="BQ2184" s="153"/>
      <c r="BR2184" s="153"/>
      <c r="BS2184" s="153"/>
      <c r="BT2184" s="153"/>
      <c r="BU2184" s="153"/>
      <c r="BV2184" s="153"/>
      <c r="BW2184" s="153"/>
      <c r="BX2184" s="153"/>
      <c r="BY2184" s="153"/>
      <c r="BZ2184" s="153"/>
      <c r="CA2184" s="152"/>
      <c r="CB2184" s="152"/>
    </row>
    <row r="2185" spans="1:80" s="87" customFormat="1" ht="16.5" x14ac:dyDescent="0.3">
      <c r="A2185" s="152"/>
      <c r="B2185" s="683"/>
      <c r="C2185" s="683"/>
      <c r="D2185" s="698"/>
      <c r="E2185" s="215"/>
      <c r="F2185" s="215"/>
      <c r="G2185" s="153"/>
      <c r="H2185" s="153"/>
      <c r="I2185" s="310">
        <v>11</v>
      </c>
      <c r="J2185" s="310">
        <v>30</v>
      </c>
      <c r="K2185" s="150">
        <v>1</v>
      </c>
      <c r="L2185" s="656">
        <v>5.5</v>
      </c>
      <c r="M2185" s="663">
        <v>34856</v>
      </c>
      <c r="N2185" s="600">
        <v>8.1258309999999998</v>
      </c>
      <c r="O2185" s="604">
        <v>0.1112576</v>
      </c>
      <c r="P2185" s="150"/>
      <c r="Q2185" s="250"/>
      <c r="R2185" s="250">
        <v>5.8700000000000002E-2</v>
      </c>
      <c r="S2185" s="250">
        <v>4.9147007900000005E-2</v>
      </c>
      <c r="T2185" s="250">
        <v>8.3400000000000002E-2</v>
      </c>
      <c r="U2185" s="250">
        <v>9.5399999999999985E-2</v>
      </c>
      <c r="V2185" s="742">
        <v>0.71329999999999993</v>
      </c>
      <c r="W2185" s="747"/>
      <c r="X2185" s="743"/>
      <c r="Y2185" s="246"/>
      <c r="Z2185" s="245">
        <v>25</v>
      </c>
      <c r="AA2185" s="150">
        <v>0.9</v>
      </c>
      <c r="AB2185" s="152"/>
      <c r="AC2185" s="152"/>
      <c r="AD2185" s="223">
        <v>9.4271547000000009</v>
      </c>
      <c r="AE2185" s="223">
        <v>0.54252619999999996</v>
      </c>
      <c r="AF2185" s="223">
        <v>5.1231040999999999</v>
      </c>
      <c r="AG2185" s="223">
        <v>1.4629920000000001</v>
      </c>
      <c r="AH2185" s="341"/>
      <c r="AI2185" s="218"/>
      <c r="AJ2185" s="218"/>
      <c r="AK2185" s="153"/>
      <c r="AL2185" s="152"/>
      <c r="AM2185" s="152"/>
      <c r="AN2185" s="152"/>
      <c r="AO2185" s="152"/>
      <c r="AP2185" s="152"/>
      <c r="AQ2185" s="152"/>
      <c r="AR2185" s="152"/>
      <c r="AS2185" s="152"/>
      <c r="AT2185" s="152"/>
      <c r="AU2185" s="153"/>
      <c r="AV2185" s="479"/>
      <c r="AW2185" s="479"/>
      <c r="AX2185" s="442"/>
      <c r="AY2185" s="153"/>
      <c r="AZ2185" s="152"/>
      <c r="BA2185" s="152"/>
      <c r="BB2185" s="152"/>
      <c r="BC2185" s="152"/>
      <c r="BD2185" s="152"/>
      <c r="BE2185" s="152"/>
      <c r="BF2185" s="152"/>
      <c r="BG2185" s="152"/>
      <c r="BH2185" s="152"/>
      <c r="BI2185" s="153"/>
      <c r="BJ2185" s="153"/>
      <c r="BK2185" s="153"/>
      <c r="BL2185" s="153"/>
      <c r="BM2185" s="153"/>
      <c r="BN2185" s="153"/>
      <c r="BO2185" s="153"/>
      <c r="BP2185" s="153"/>
      <c r="BQ2185" s="153"/>
      <c r="BR2185" s="153"/>
      <c r="BS2185" s="153"/>
      <c r="BT2185" s="153"/>
      <c r="BU2185" s="153"/>
      <c r="BV2185" s="153"/>
      <c r="BW2185" s="153"/>
      <c r="BX2185" s="153"/>
      <c r="BY2185" s="153"/>
      <c r="BZ2185" s="153"/>
      <c r="CA2185" s="152"/>
      <c r="CB2185" s="152"/>
    </row>
    <row r="2186" spans="1:80" s="87" customFormat="1" ht="16.5" x14ac:dyDescent="0.3">
      <c r="A2186" s="152"/>
      <c r="B2186" s="683"/>
      <c r="C2186" s="683"/>
      <c r="D2186" s="698"/>
      <c r="E2186" s="215"/>
      <c r="F2186" s="215"/>
      <c r="G2186" s="153"/>
      <c r="H2186" s="153"/>
      <c r="I2186" s="310">
        <v>23</v>
      </c>
      <c r="J2186" s="310">
        <v>60</v>
      </c>
      <c r="K2186" s="150">
        <v>1</v>
      </c>
      <c r="L2186" s="656">
        <v>23</v>
      </c>
      <c r="M2186" s="663">
        <v>34859</v>
      </c>
      <c r="N2186" s="600">
        <v>5.1529660000000002</v>
      </c>
      <c r="O2186" s="604">
        <v>8.732672000000001E-2</v>
      </c>
      <c r="P2186" s="150"/>
      <c r="Q2186" s="250"/>
      <c r="R2186" s="250">
        <v>3.7200000000000004E-2</v>
      </c>
      <c r="S2186" s="250">
        <v>9.7057692299999998E-2</v>
      </c>
      <c r="T2186" s="250">
        <v>0.1779</v>
      </c>
      <c r="U2186" s="250">
        <v>0.24480000000000002</v>
      </c>
      <c r="V2186" s="742">
        <v>0.44299999999999995</v>
      </c>
      <c r="W2186" s="747"/>
      <c r="X2186" s="743"/>
      <c r="Y2186" s="246"/>
      <c r="Z2186" s="245">
        <v>23</v>
      </c>
      <c r="AA2186" s="150">
        <v>2.2999999999999998</v>
      </c>
      <c r="AB2186" s="152"/>
      <c r="AC2186" s="152"/>
      <c r="AD2186" s="223">
        <v>9.0979814999999995</v>
      </c>
      <c r="AE2186" s="223">
        <v>0.46632869999999998</v>
      </c>
      <c r="AF2186" s="223">
        <v>4.2517583800000001</v>
      </c>
      <c r="AG2186" s="223">
        <v>1.3166928</v>
      </c>
      <c r="AH2186" s="341"/>
      <c r="AI2186" s="218"/>
      <c r="AJ2186" s="218"/>
      <c r="AK2186" s="153"/>
      <c r="AL2186" s="152"/>
      <c r="AM2186" s="152"/>
      <c r="AN2186" s="152"/>
      <c r="AO2186" s="152"/>
      <c r="AP2186" s="152"/>
      <c r="AQ2186" s="152"/>
      <c r="AR2186" s="152"/>
      <c r="AS2186" s="152"/>
      <c r="AT2186" s="152"/>
      <c r="AU2186" s="153"/>
      <c r="AV2186" s="479"/>
      <c r="AW2186" s="479"/>
      <c r="AX2186" s="442"/>
      <c r="AY2186" s="153"/>
      <c r="AZ2186" s="152"/>
      <c r="BA2186" s="152"/>
      <c r="BB2186" s="152"/>
      <c r="BC2186" s="152"/>
      <c r="BD2186" s="152"/>
      <c r="BE2186" s="152"/>
      <c r="BF2186" s="152"/>
      <c r="BG2186" s="152"/>
      <c r="BH2186" s="152"/>
      <c r="BI2186" s="153"/>
      <c r="BJ2186" s="153"/>
      <c r="BK2186" s="153"/>
      <c r="BL2186" s="153"/>
      <c r="BM2186" s="153"/>
      <c r="BN2186" s="153"/>
      <c r="BO2186" s="153"/>
      <c r="BP2186" s="153"/>
      <c r="BQ2186" s="153"/>
      <c r="BR2186" s="153"/>
      <c r="BS2186" s="153"/>
      <c r="BT2186" s="153"/>
      <c r="BU2186" s="153"/>
      <c r="BV2186" s="153"/>
      <c r="BW2186" s="153"/>
      <c r="BX2186" s="153"/>
      <c r="BY2186" s="153"/>
      <c r="BZ2186" s="153"/>
      <c r="CA2186" s="152"/>
      <c r="CB2186" s="152"/>
    </row>
    <row r="2187" spans="1:80" s="87" customFormat="1" ht="16.5" x14ac:dyDescent="0.3">
      <c r="A2187" s="152"/>
      <c r="B2187" s="683"/>
      <c r="C2187" s="683"/>
      <c r="D2187" s="698"/>
      <c r="E2187" s="215"/>
      <c r="F2187" s="215"/>
      <c r="G2187" s="153"/>
      <c r="H2187" s="153"/>
      <c r="I2187" s="310">
        <v>23</v>
      </c>
      <c r="J2187" s="310">
        <v>60</v>
      </c>
      <c r="K2187" s="150">
        <v>1</v>
      </c>
      <c r="L2187" s="656">
        <v>23</v>
      </c>
      <c r="M2187" s="663">
        <v>34859</v>
      </c>
      <c r="N2187" s="600">
        <v>5.1529660000000002</v>
      </c>
      <c r="O2187" s="604">
        <v>5.5418880000000004E-2</v>
      </c>
      <c r="P2187" s="150"/>
      <c r="Q2187" s="250"/>
      <c r="R2187" s="250">
        <v>1.9E-2</v>
      </c>
      <c r="S2187" s="250">
        <v>0.16081521299999998</v>
      </c>
      <c r="T2187" s="250">
        <v>0.17280000000000001</v>
      </c>
      <c r="U2187" s="250">
        <v>0.19149999999999998</v>
      </c>
      <c r="V2187" s="742">
        <v>0.45590000000000003</v>
      </c>
      <c r="W2187" s="747"/>
      <c r="X2187" s="743"/>
      <c r="Y2187" s="246"/>
      <c r="Z2187" s="245">
        <v>22.5</v>
      </c>
      <c r="AA2187" s="150">
        <v>2.4</v>
      </c>
      <c r="AB2187" s="152"/>
      <c r="AC2187" s="152"/>
      <c r="AD2187" s="223">
        <v>9.0979814999999995</v>
      </c>
      <c r="AE2187" s="223">
        <v>0.46632869999999998</v>
      </c>
      <c r="AF2187" s="223">
        <v>4.2517583800000001</v>
      </c>
      <c r="AG2187" s="223">
        <v>1.3166928</v>
      </c>
      <c r="AH2187" s="341"/>
      <c r="AI2187" s="218"/>
      <c r="AJ2187" s="218"/>
      <c r="AK2187" s="153"/>
      <c r="AL2187" s="152"/>
      <c r="AM2187" s="152"/>
      <c r="AN2187" s="152"/>
      <c r="AO2187" s="152"/>
      <c r="AP2187" s="152"/>
      <c r="AQ2187" s="152"/>
      <c r="AR2187" s="152"/>
      <c r="AS2187" s="152"/>
      <c r="AT2187" s="152"/>
      <c r="AU2187" s="153"/>
      <c r="AV2187" s="479"/>
      <c r="AW2187" s="479"/>
      <c r="AX2187" s="442"/>
      <c r="AY2187" s="153"/>
      <c r="AZ2187" s="152"/>
      <c r="BA2187" s="152"/>
      <c r="BB2187" s="152"/>
      <c r="BC2187" s="152"/>
      <c r="BD2187" s="152"/>
      <c r="BE2187" s="152"/>
      <c r="BF2187" s="152"/>
      <c r="BG2187" s="152"/>
      <c r="BH2187" s="152"/>
      <c r="BI2187" s="153"/>
      <c r="BJ2187" s="153"/>
      <c r="BK2187" s="153"/>
      <c r="BL2187" s="153"/>
      <c r="BM2187" s="153"/>
      <c r="BN2187" s="153"/>
      <c r="BO2187" s="153"/>
      <c r="BP2187" s="153"/>
      <c r="BQ2187" s="153"/>
      <c r="BR2187" s="153"/>
      <c r="BS2187" s="153"/>
      <c r="BT2187" s="153"/>
      <c r="BU2187" s="153"/>
      <c r="BV2187" s="153"/>
      <c r="BW2187" s="153"/>
      <c r="BX2187" s="153"/>
      <c r="BY2187" s="153"/>
      <c r="BZ2187" s="153"/>
      <c r="CA2187" s="152"/>
      <c r="CB2187" s="152"/>
    </row>
    <row r="2188" spans="1:80" s="87" customFormat="1" ht="16.5" x14ac:dyDescent="0.3">
      <c r="A2188" s="152"/>
      <c r="B2188" s="683"/>
      <c r="C2188" s="683"/>
      <c r="D2188" s="698"/>
      <c r="E2188" s="215"/>
      <c r="F2188" s="215"/>
      <c r="G2188" s="153"/>
      <c r="H2188" s="153"/>
      <c r="I2188" s="310">
        <v>23</v>
      </c>
      <c r="J2188" s="310">
        <v>30</v>
      </c>
      <c r="K2188" s="150">
        <v>1</v>
      </c>
      <c r="L2188" s="656">
        <v>11.5</v>
      </c>
      <c r="M2188" s="663">
        <v>34862</v>
      </c>
      <c r="N2188" s="600">
        <v>6.8234330000000005</v>
      </c>
      <c r="O2188" s="604">
        <v>0.45342720000000003</v>
      </c>
      <c r="P2188" s="150"/>
      <c r="Q2188" s="250"/>
      <c r="R2188" s="250">
        <v>0.2747</v>
      </c>
      <c r="S2188" s="250">
        <v>0.161293933</v>
      </c>
      <c r="T2188" s="250">
        <v>0.13119999999999998</v>
      </c>
      <c r="U2188" s="250">
        <v>0.1305</v>
      </c>
      <c r="V2188" s="742">
        <v>0.3024</v>
      </c>
      <c r="W2188" s="747"/>
      <c r="X2188" s="743"/>
      <c r="Y2188" s="246"/>
      <c r="Z2188" s="245">
        <v>49</v>
      </c>
      <c r="AA2188" s="150">
        <v>5.7</v>
      </c>
      <c r="AB2188" s="152"/>
      <c r="AC2188" s="152"/>
      <c r="AD2188" s="223">
        <v>9.1680831999999999</v>
      </c>
      <c r="AE2188" s="223">
        <v>0.53033459999999999</v>
      </c>
      <c r="AF2188" s="223">
        <v>4.8667166599999998</v>
      </c>
      <c r="AG2188" s="223">
        <v>1.3776508000000001</v>
      </c>
      <c r="AH2188" s="341"/>
      <c r="AI2188" s="218"/>
      <c r="AJ2188" s="218"/>
      <c r="AK2188" s="153"/>
      <c r="AL2188" s="152"/>
      <c r="AM2188" s="152"/>
      <c r="AN2188" s="152"/>
      <c r="AO2188" s="152"/>
      <c r="AP2188" s="152"/>
      <c r="AQ2188" s="152"/>
      <c r="AR2188" s="152"/>
      <c r="AS2188" s="152"/>
      <c r="AT2188" s="152"/>
      <c r="AU2188" s="153"/>
      <c r="AV2188" s="479"/>
      <c r="AW2188" s="479"/>
      <c r="AX2188" s="442"/>
      <c r="AY2188" s="153"/>
      <c r="AZ2188" s="152"/>
      <c r="BA2188" s="152"/>
      <c r="BB2188" s="152"/>
      <c r="BC2188" s="152"/>
      <c r="BD2188" s="152"/>
      <c r="BE2188" s="152"/>
      <c r="BF2188" s="152"/>
      <c r="BG2188" s="152"/>
      <c r="BH2188" s="152"/>
      <c r="BI2188" s="153"/>
      <c r="BJ2188" s="153"/>
      <c r="BK2188" s="153"/>
      <c r="BL2188" s="153"/>
      <c r="BM2188" s="153"/>
      <c r="BN2188" s="153"/>
      <c r="BO2188" s="153"/>
      <c r="BP2188" s="153"/>
      <c r="BQ2188" s="153"/>
      <c r="BR2188" s="153"/>
      <c r="BS2188" s="153"/>
      <c r="BT2188" s="153"/>
      <c r="BU2188" s="153"/>
      <c r="BV2188" s="153"/>
      <c r="BW2188" s="153"/>
      <c r="BX2188" s="153"/>
      <c r="BY2188" s="153"/>
      <c r="BZ2188" s="153"/>
      <c r="CA2188" s="152"/>
      <c r="CB2188" s="152"/>
    </row>
    <row r="2189" spans="1:80" s="87" customFormat="1" ht="16.5" x14ac:dyDescent="0.3">
      <c r="A2189" s="152"/>
      <c r="B2189" s="683"/>
      <c r="C2189" s="683"/>
      <c r="D2189" s="698"/>
      <c r="E2189" s="215"/>
      <c r="F2189" s="215"/>
      <c r="G2189" s="153"/>
      <c r="H2189" s="153"/>
      <c r="I2189" s="310">
        <v>23</v>
      </c>
      <c r="J2189" s="310">
        <v>30</v>
      </c>
      <c r="K2189" s="150">
        <v>1</v>
      </c>
      <c r="L2189" s="656">
        <v>11.5</v>
      </c>
      <c r="M2189" s="663">
        <v>34862</v>
      </c>
      <c r="N2189" s="600">
        <v>6.8234330000000005</v>
      </c>
      <c r="O2189" s="604">
        <v>0.33902079999999996</v>
      </c>
      <c r="P2189" s="150"/>
      <c r="Q2189" s="250"/>
      <c r="R2189" s="250"/>
      <c r="S2189" s="250">
        <v>0</v>
      </c>
      <c r="T2189" s="250">
        <v>0</v>
      </c>
      <c r="U2189" s="250">
        <v>0</v>
      </c>
      <c r="V2189" s="742">
        <v>0</v>
      </c>
      <c r="W2189" s="747"/>
      <c r="X2189" s="743"/>
      <c r="Y2189" s="246"/>
      <c r="Z2189" s="245">
        <v>48.5</v>
      </c>
      <c r="AA2189" s="150"/>
      <c r="AB2189" s="152"/>
      <c r="AC2189" s="152"/>
      <c r="AD2189" s="223">
        <v>9.1680831999999999</v>
      </c>
      <c r="AE2189" s="223">
        <v>0.53033459999999999</v>
      </c>
      <c r="AF2189" s="223">
        <v>4.8667166599999998</v>
      </c>
      <c r="AG2189" s="223">
        <v>1.3776508000000001</v>
      </c>
      <c r="AH2189" s="341"/>
      <c r="AI2189" s="218"/>
      <c r="AJ2189" s="218"/>
      <c r="AK2189" s="153"/>
      <c r="AL2189" s="152"/>
      <c r="AM2189" s="152"/>
      <c r="AN2189" s="152"/>
      <c r="AO2189" s="152"/>
      <c r="AP2189" s="152"/>
      <c r="AQ2189" s="152"/>
      <c r="AR2189" s="152"/>
      <c r="AS2189" s="152"/>
      <c r="AT2189" s="152"/>
      <c r="AU2189" s="153"/>
      <c r="AV2189" s="479"/>
      <c r="AW2189" s="479"/>
      <c r="AX2189" s="442"/>
      <c r="AY2189" s="153"/>
      <c r="AZ2189" s="152"/>
      <c r="BA2189" s="152"/>
      <c r="BB2189" s="152"/>
      <c r="BC2189" s="152"/>
      <c r="BD2189" s="152"/>
      <c r="BE2189" s="152"/>
      <c r="BF2189" s="152"/>
      <c r="BG2189" s="152"/>
      <c r="BH2189" s="152"/>
      <c r="BI2189" s="153"/>
      <c r="BJ2189" s="153"/>
      <c r="BK2189" s="153"/>
      <c r="BL2189" s="153"/>
      <c r="BM2189" s="153"/>
      <c r="BN2189" s="153"/>
      <c r="BO2189" s="153"/>
      <c r="BP2189" s="153"/>
      <c r="BQ2189" s="153"/>
      <c r="BR2189" s="153"/>
      <c r="BS2189" s="153"/>
      <c r="BT2189" s="153"/>
      <c r="BU2189" s="153"/>
      <c r="BV2189" s="153"/>
      <c r="BW2189" s="153"/>
      <c r="BX2189" s="153"/>
      <c r="BY2189" s="153"/>
      <c r="BZ2189" s="153"/>
      <c r="CA2189" s="152"/>
      <c r="CB2189" s="152"/>
    </row>
    <row r="2190" spans="1:80" s="87" customFormat="1" ht="16.5" x14ac:dyDescent="0.3">
      <c r="A2190" s="152"/>
      <c r="B2190" s="683"/>
      <c r="C2190" s="683"/>
      <c r="D2190" s="698"/>
      <c r="E2190" s="215"/>
      <c r="F2190" s="215"/>
      <c r="G2190" s="153"/>
      <c r="H2190" s="153"/>
      <c r="I2190" s="310">
        <v>21</v>
      </c>
      <c r="J2190" s="310">
        <v>60</v>
      </c>
      <c r="K2190" s="150">
        <v>1</v>
      </c>
      <c r="L2190" s="656">
        <v>21</v>
      </c>
      <c r="M2190" s="663">
        <v>34870</v>
      </c>
      <c r="N2190" s="600">
        <v>7.3613800000000005</v>
      </c>
      <c r="O2190" s="604">
        <v>5.9302400000000005E-2</v>
      </c>
      <c r="P2190" s="150"/>
      <c r="Q2190" s="250"/>
      <c r="R2190" s="250">
        <v>0.1226</v>
      </c>
      <c r="S2190" s="250">
        <v>0.128664737</v>
      </c>
      <c r="T2190" s="250">
        <v>0.1152</v>
      </c>
      <c r="U2190" s="250">
        <v>0.12029999999999999</v>
      </c>
      <c r="V2190" s="742">
        <v>0.51319999999999999</v>
      </c>
      <c r="W2190" s="747"/>
      <c r="X2190" s="743"/>
      <c r="Y2190" s="246"/>
      <c r="Z2190" s="245">
        <v>31</v>
      </c>
      <c r="AA2190" s="150">
        <v>1.9</v>
      </c>
      <c r="AB2190" s="152"/>
      <c r="AC2190" s="152"/>
      <c r="AD2190" s="223">
        <v>9.2960949999999993</v>
      </c>
      <c r="AE2190" s="223">
        <v>0.58824469999999995</v>
      </c>
      <c r="AF2190" s="223">
        <v>5.47795918</v>
      </c>
      <c r="AG2190" s="223">
        <v>1.3746029</v>
      </c>
      <c r="AH2190" s="341"/>
      <c r="AI2190" s="218"/>
      <c r="AJ2190" s="218"/>
      <c r="AK2190" s="153"/>
      <c r="AL2190" s="152"/>
      <c r="AM2190" s="152"/>
      <c r="AN2190" s="152"/>
      <c r="AO2190" s="152"/>
      <c r="AP2190" s="152"/>
      <c r="AQ2190" s="152"/>
      <c r="AR2190" s="152"/>
      <c r="AS2190" s="152"/>
      <c r="AT2190" s="152"/>
      <c r="AU2190" s="153"/>
      <c r="AV2190" s="479"/>
      <c r="AW2190" s="479"/>
      <c r="AX2190" s="442"/>
      <c r="AY2190" s="153"/>
      <c r="AZ2190" s="152"/>
      <c r="BA2190" s="152"/>
      <c r="BB2190" s="152"/>
      <c r="BC2190" s="152"/>
      <c r="BD2190" s="152"/>
      <c r="BE2190" s="152"/>
      <c r="BF2190" s="152"/>
      <c r="BG2190" s="152"/>
      <c r="BH2190" s="152"/>
      <c r="BI2190" s="153"/>
      <c r="BJ2190" s="153"/>
      <c r="BK2190" s="153"/>
      <c r="BL2190" s="153"/>
      <c r="BM2190" s="153"/>
      <c r="BN2190" s="153"/>
      <c r="BO2190" s="153"/>
      <c r="BP2190" s="153"/>
      <c r="BQ2190" s="153"/>
      <c r="BR2190" s="153"/>
      <c r="BS2190" s="153"/>
      <c r="BT2190" s="153"/>
      <c r="BU2190" s="153"/>
      <c r="BV2190" s="153"/>
      <c r="BW2190" s="153"/>
      <c r="BX2190" s="153"/>
      <c r="BY2190" s="153"/>
      <c r="BZ2190" s="153"/>
      <c r="CA2190" s="152"/>
      <c r="CB2190" s="152"/>
    </row>
    <row r="2191" spans="1:80" s="87" customFormat="1" ht="16.5" x14ac:dyDescent="0.3">
      <c r="A2191" s="152"/>
      <c r="B2191" s="683"/>
      <c r="C2191" s="683"/>
      <c r="D2191" s="698"/>
      <c r="E2191" s="215"/>
      <c r="F2191" s="215"/>
      <c r="G2191" s="153"/>
      <c r="H2191" s="153"/>
      <c r="I2191" s="310">
        <v>21</v>
      </c>
      <c r="J2191" s="310">
        <v>60</v>
      </c>
      <c r="K2191" s="150">
        <v>1</v>
      </c>
      <c r="L2191" s="656">
        <v>21</v>
      </c>
      <c r="M2191" s="663">
        <v>34870</v>
      </c>
      <c r="N2191" s="600">
        <v>7.3613800000000005</v>
      </c>
      <c r="O2191" s="604">
        <v>0.1175552</v>
      </c>
      <c r="P2191" s="150"/>
      <c r="Q2191" s="250">
        <v>4.8399999999999999E-2</v>
      </c>
      <c r="R2191" s="250">
        <v>6.8600000000000008E-2</v>
      </c>
      <c r="S2191" s="250">
        <v>0.13452594200000001</v>
      </c>
      <c r="T2191" s="250">
        <v>0.21690000000000001</v>
      </c>
      <c r="U2191" s="250">
        <v>0.2079</v>
      </c>
      <c r="V2191" s="742">
        <v>0.32369999999999999</v>
      </c>
      <c r="W2191" s="747"/>
      <c r="X2191" s="743"/>
      <c r="Y2191" s="246"/>
      <c r="Z2191" s="245">
        <v>41.5</v>
      </c>
      <c r="AA2191" s="150">
        <v>3.6</v>
      </c>
      <c r="AB2191" s="152"/>
      <c r="AC2191" s="152"/>
      <c r="AD2191" s="223">
        <v>9.2960949999999993</v>
      </c>
      <c r="AE2191" s="223">
        <v>0.58824469999999995</v>
      </c>
      <c r="AF2191" s="223">
        <v>5.47795918</v>
      </c>
      <c r="AG2191" s="223">
        <v>1.3746029</v>
      </c>
      <c r="AH2191" s="341"/>
      <c r="AI2191" s="218"/>
      <c r="AJ2191" s="218"/>
      <c r="AK2191" s="153"/>
      <c r="AL2191" s="152"/>
      <c r="AM2191" s="152"/>
      <c r="AN2191" s="152"/>
      <c r="AO2191" s="152"/>
      <c r="AP2191" s="152"/>
      <c r="AQ2191" s="152"/>
      <c r="AR2191" s="152"/>
      <c r="AS2191" s="152"/>
      <c r="AT2191" s="152"/>
      <c r="AU2191" s="153"/>
      <c r="AV2191" s="479"/>
      <c r="AW2191" s="479"/>
      <c r="AX2191" s="442"/>
      <c r="AY2191" s="153"/>
      <c r="AZ2191" s="152"/>
      <c r="BA2191" s="152"/>
      <c r="BB2191" s="152"/>
      <c r="BC2191" s="152"/>
      <c r="BD2191" s="152"/>
      <c r="BE2191" s="152"/>
      <c r="BF2191" s="152"/>
      <c r="BG2191" s="152"/>
      <c r="BH2191" s="152"/>
      <c r="BI2191" s="153"/>
      <c r="BJ2191" s="153"/>
      <c r="BK2191" s="153"/>
      <c r="BL2191" s="153"/>
      <c r="BM2191" s="153"/>
      <c r="BN2191" s="153"/>
      <c r="BO2191" s="153"/>
      <c r="BP2191" s="153"/>
      <c r="BQ2191" s="153"/>
      <c r="BR2191" s="153"/>
      <c r="BS2191" s="153"/>
      <c r="BT2191" s="153"/>
      <c r="BU2191" s="153"/>
      <c r="BV2191" s="153"/>
      <c r="BW2191" s="153"/>
      <c r="BX2191" s="153"/>
      <c r="BY2191" s="153"/>
      <c r="BZ2191" s="153"/>
      <c r="CA2191" s="152"/>
      <c r="CB2191" s="152"/>
    </row>
    <row r="2192" spans="1:80" s="87" customFormat="1" ht="16.5" x14ac:dyDescent="0.3">
      <c r="A2192" s="152"/>
      <c r="B2192" s="683"/>
      <c r="C2192" s="683"/>
      <c r="D2192" s="698"/>
      <c r="E2192" s="215"/>
      <c r="F2192" s="215"/>
      <c r="G2192" s="153"/>
      <c r="H2192" s="153"/>
      <c r="I2192" s="310">
        <v>22</v>
      </c>
      <c r="J2192" s="310">
        <v>60</v>
      </c>
      <c r="K2192" s="150">
        <v>1</v>
      </c>
      <c r="L2192" s="656">
        <v>22</v>
      </c>
      <c r="M2192" s="663">
        <v>34872</v>
      </c>
      <c r="N2192" s="600">
        <v>5.9174170000000004</v>
      </c>
      <c r="O2192" s="604">
        <v>0.23196160000000002</v>
      </c>
      <c r="P2192" s="242">
        <v>5.57E-2</v>
      </c>
      <c r="Q2192" s="250">
        <v>0</v>
      </c>
      <c r="R2192" s="250">
        <v>0.15140000000000001</v>
      </c>
      <c r="S2192" s="250">
        <v>0.13724818900000002</v>
      </c>
      <c r="T2192" s="250">
        <v>0.14560000000000001</v>
      </c>
      <c r="U2192" s="250">
        <v>0.16210000000000002</v>
      </c>
      <c r="V2192" s="742">
        <v>0.34810000000000002</v>
      </c>
      <c r="W2192" s="747"/>
      <c r="X2192" s="743"/>
      <c r="Y2192" s="246"/>
      <c r="Z2192" s="245">
        <v>49</v>
      </c>
      <c r="AA2192" s="150">
        <v>3.8</v>
      </c>
      <c r="AB2192" s="152"/>
      <c r="AC2192" s="152"/>
      <c r="AD2192" s="223">
        <v>9.1467478999999994</v>
      </c>
      <c r="AE2192" s="223">
        <v>0.51814300000000002</v>
      </c>
      <c r="AF2192" s="223">
        <v>4.7505991600000002</v>
      </c>
      <c r="AG2192" s="223">
        <v>1.3532675999999999</v>
      </c>
      <c r="AH2192" s="341"/>
      <c r="AI2192" s="218"/>
      <c r="AJ2192" s="218"/>
      <c r="AK2192" s="153"/>
      <c r="AL2192" s="152"/>
      <c r="AM2192" s="152"/>
      <c r="AN2192" s="152"/>
      <c r="AO2192" s="152"/>
      <c r="AP2192" s="152"/>
      <c r="AQ2192" s="152"/>
      <c r="AR2192" s="152"/>
      <c r="AS2192" s="152"/>
      <c r="AT2192" s="152"/>
      <c r="AU2192" s="153"/>
      <c r="AV2192" s="479"/>
      <c r="AW2192" s="479"/>
      <c r="AX2192" s="442"/>
      <c r="AY2192" s="153"/>
      <c r="AZ2192" s="152"/>
      <c r="BA2192" s="152"/>
      <c r="BB2192" s="152"/>
      <c r="BC2192" s="152"/>
      <c r="BD2192" s="152"/>
      <c r="BE2192" s="152"/>
      <c r="BF2192" s="152"/>
      <c r="BG2192" s="152"/>
      <c r="BH2192" s="152"/>
      <c r="BI2192" s="153"/>
      <c r="BJ2192" s="153"/>
      <c r="BK2192" s="153"/>
      <c r="BL2192" s="153"/>
      <c r="BM2192" s="153"/>
      <c r="BN2192" s="153"/>
      <c r="BO2192" s="153"/>
      <c r="BP2192" s="153"/>
      <c r="BQ2192" s="153"/>
      <c r="BR2192" s="153"/>
      <c r="BS2192" s="153"/>
      <c r="BT2192" s="153"/>
      <c r="BU2192" s="153"/>
      <c r="BV2192" s="153"/>
      <c r="BW2192" s="153"/>
      <c r="BX2192" s="153"/>
      <c r="BY2192" s="153"/>
      <c r="BZ2192" s="153"/>
      <c r="CA2192" s="152"/>
      <c r="CB2192" s="152"/>
    </row>
    <row r="2193" spans="1:80" s="87" customFormat="1" ht="16.5" x14ac:dyDescent="0.3">
      <c r="A2193" s="152"/>
      <c r="B2193" s="683"/>
      <c r="C2193" s="683"/>
      <c r="D2193" s="698"/>
      <c r="E2193" s="215"/>
      <c r="F2193" s="215"/>
      <c r="G2193" s="153"/>
      <c r="H2193" s="153"/>
      <c r="I2193" s="310">
        <v>22</v>
      </c>
      <c r="J2193" s="310">
        <v>60</v>
      </c>
      <c r="K2193" s="150">
        <v>1</v>
      </c>
      <c r="L2193" s="656">
        <v>22</v>
      </c>
      <c r="M2193" s="663">
        <v>34872</v>
      </c>
      <c r="N2193" s="600">
        <v>5.9174170000000004</v>
      </c>
      <c r="O2193" s="604">
        <v>0.4807168</v>
      </c>
      <c r="P2193" s="150"/>
      <c r="Q2193" s="250">
        <v>6.8900000000000003E-2</v>
      </c>
      <c r="R2193" s="250">
        <v>0.20449999999999999</v>
      </c>
      <c r="S2193" s="250">
        <v>0.21638064799999998</v>
      </c>
      <c r="T2193" s="250">
        <v>0.21629999999999999</v>
      </c>
      <c r="U2193" s="250">
        <v>0.13539999999999999</v>
      </c>
      <c r="V2193" s="742">
        <v>0.15869999999999998</v>
      </c>
      <c r="W2193" s="747"/>
      <c r="X2193" s="743"/>
      <c r="Y2193" s="246"/>
      <c r="Z2193" s="245">
        <v>55</v>
      </c>
      <c r="AA2193" s="150">
        <v>7.8</v>
      </c>
      <c r="AB2193" s="152"/>
      <c r="AC2193" s="152"/>
      <c r="AD2193" s="223">
        <v>9.1467478999999994</v>
      </c>
      <c r="AE2193" s="223">
        <v>0.51814300000000002</v>
      </c>
      <c r="AF2193" s="223">
        <v>4.7505991600000002</v>
      </c>
      <c r="AG2193" s="223">
        <v>1.3532675999999999</v>
      </c>
      <c r="AH2193" s="341"/>
      <c r="AI2193" s="218"/>
      <c r="AJ2193" s="218"/>
      <c r="AK2193" s="153"/>
      <c r="AL2193" s="152"/>
      <c r="AM2193" s="152"/>
      <c r="AN2193" s="152"/>
      <c r="AO2193" s="152"/>
      <c r="AP2193" s="152"/>
      <c r="AQ2193" s="152"/>
      <c r="AR2193" s="152"/>
      <c r="AS2193" s="152"/>
      <c r="AT2193" s="152"/>
      <c r="AU2193" s="153"/>
      <c r="AV2193" s="479"/>
      <c r="AW2193" s="479"/>
      <c r="AX2193" s="442"/>
      <c r="AY2193" s="153"/>
      <c r="AZ2193" s="152"/>
      <c r="BA2193" s="152"/>
      <c r="BB2193" s="152"/>
      <c r="BC2193" s="152"/>
      <c r="BD2193" s="152"/>
      <c r="BE2193" s="152"/>
      <c r="BF2193" s="152"/>
      <c r="BG2193" s="152"/>
      <c r="BH2193" s="152"/>
      <c r="BI2193" s="153"/>
      <c r="BJ2193" s="153"/>
      <c r="BK2193" s="153"/>
      <c r="BL2193" s="153"/>
      <c r="BM2193" s="153"/>
      <c r="BN2193" s="153"/>
      <c r="BO2193" s="153"/>
      <c r="BP2193" s="153"/>
      <c r="BQ2193" s="153"/>
      <c r="BR2193" s="153"/>
      <c r="BS2193" s="153"/>
      <c r="BT2193" s="153"/>
      <c r="BU2193" s="153"/>
      <c r="BV2193" s="153"/>
      <c r="BW2193" s="153"/>
      <c r="BX2193" s="153"/>
      <c r="BY2193" s="153"/>
      <c r="BZ2193" s="153"/>
      <c r="CA2193" s="152"/>
      <c r="CB2193" s="152"/>
    </row>
    <row r="2194" spans="1:80" s="87" customFormat="1" ht="16.5" x14ac:dyDescent="0.3">
      <c r="A2194" s="152"/>
      <c r="B2194" s="683"/>
      <c r="C2194" s="683"/>
      <c r="D2194" s="698"/>
      <c r="E2194" s="215"/>
      <c r="F2194" s="215"/>
      <c r="G2194" s="153"/>
      <c r="H2194" s="153"/>
      <c r="I2194" s="310">
        <v>22</v>
      </c>
      <c r="J2194" s="310">
        <v>60</v>
      </c>
      <c r="K2194" s="150">
        <v>1</v>
      </c>
      <c r="L2194" s="656">
        <v>22</v>
      </c>
      <c r="M2194" s="663">
        <v>34872</v>
      </c>
      <c r="N2194" s="600">
        <v>5.9174170000000004</v>
      </c>
      <c r="O2194" s="604">
        <v>0.62031360000000002</v>
      </c>
      <c r="P2194" s="150"/>
      <c r="Q2194" s="250">
        <v>5.6000000000000008E-3</v>
      </c>
      <c r="R2194" s="250">
        <v>0.27989999999999998</v>
      </c>
      <c r="S2194" s="250">
        <v>0.29307758299999997</v>
      </c>
      <c r="T2194" s="250">
        <v>0.2281</v>
      </c>
      <c r="U2194" s="250">
        <v>0.10920000000000001</v>
      </c>
      <c r="V2194" s="742">
        <v>8.4000000000000005E-2</v>
      </c>
      <c r="W2194" s="747"/>
      <c r="X2194" s="743"/>
      <c r="Y2194" s="246"/>
      <c r="Z2194" s="245">
        <v>56</v>
      </c>
      <c r="AA2194" s="150">
        <v>9.6999999999999993</v>
      </c>
      <c r="AB2194" s="152"/>
      <c r="AC2194" s="152"/>
      <c r="AD2194" s="223">
        <v>9.1467478999999994</v>
      </c>
      <c r="AE2194" s="223">
        <v>0.51814300000000002</v>
      </c>
      <c r="AF2194" s="223">
        <v>4.7505991600000002</v>
      </c>
      <c r="AG2194" s="223">
        <v>1.3532675999999999</v>
      </c>
      <c r="AH2194" s="341"/>
      <c r="AI2194" s="218"/>
      <c r="AJ2194" s="218"/>
      <c r="AK2194" s="153"/>
      <c r="AL2194" s="152"/>
      <c r="AM2194" s="152"/>
      <c r="AN2194" s="152"/>
      <c r="AO2194" s="152"/>
      <c r="AP2194" s="152"/>
      <c r="AQ2194" s="152"/>
      <c r="AR2194" s="152"/>
      <c r="AS2194" s="152"/>
      <c r="AT2194" s="152"/>
      <c r="AU2194" s="153"/>
      <c r="AV2194" s="479"/>
      <c r="AW2194" s="479"/>
      <c r="AX2194" s="442"/>
      <c r="AY2194" s="153"/>
      <c r="AZ2194" s="152"/>
      <c r="BA2194" s="152"/>
      <c r="BB2194" s="152"/>
      <c r="BC2194" s="152"/>
      <c r="BD2194" s="152"/>
      <c r="BE2194" s="152"/>
      <c r="BF2194" s="152"/>
      <c r="BG2194" s="152"/>
      <c r="BH2194" s="152"/>
      <c r="BI2194" s="153"/>
      <c r="BJ2194" s="153"/>
      <c r="BK2194" s="153"/>
      <c r="BL2194" s="153"/>
      <c r="BM2194" s="153"/>
      <c r="BN2194" s="153"/>
      <c r="BO2194" s="153"/>
      <c r="BP2194" s="153"/>
      <c r="BQ2194" s="153"/>
      <c r="BR2194" s="153"/>
      <c r="BS2194" s="153"/>
      <c r="BT2194" s="153"/>
      <c r="BU2194" s="153"/>
      <c r="BV2194" s="153"/>
      <c r="BW2194" s="153"/>
      <c r="BX2194" s="153"/>
      <c r="BY2194" s="153"/>
      <c r="BZ2194" s="153"/>
      <c r="CA2194" s="152"/>
      <c r="CB2194" s="152"/>
    </row>
    <row r="2195" spans="1:80" s="87" customFormat="1" ht="16.5" x14ac:dyDescent="0.3">
      <c r="A2195" s="152"/>
      <c r="B2195" s="683"/>
      <c r="C2195" s="683"/>
      <c r="D2195" s="698"/>
      <c r="E2195" s="215"/>
      <c r="F2195" s="215"/>
      <c r="G2195" s="153"/>
      <c r="H2195" s="153"/>
      <c r="I2195" s="310">
        <v>23</v>
      </c>
      <c r="J2195" s="310">
        <v>60</v>
      </c>
      <c r="K2195" s="150">
        <v>1</v>
      </c>
      <c r="L2195" s="656">
        <v>23</v>
      </c>
      <c r="M2195" s="663">
        <v>34875</v>
      </c>
      <c r="N2195" s="600">
        <v>6.3137990000000004</v>
      </c>
      <c r="O2195" s="604">
        <v>0.23406080000000001</v>
      </c>
      <c r="P2195" s="150"/>
      <c r="Q2195" s="250"/>
      <c r="R2195" s="250">
        <v>0.10220000000000001</v>
      </c>
      <c r="S2195" s="250">
        <v>4.1298234500000003E-2</v>
      </c>
      <c r="T2195" s="250">
        <v>0.1242</v>
      </c>
      <c r="U2195" s="250">
        <v>0.16949999999999998</v>
      </c>
      <c r="V2195" s="742">
        <v>0.56279999999999997</v>
      </c>
      <c r="W2195" s="747"/>
      <c r="X2195" s="743"/>
      <c r="Y2195" s="246"/>
      <c r="Z2195" s="245">
        <v>39.5</v>
      </c>
      <c r="AA2195" s="150">
        <v>1.7</v>
      </c>
      <c r="AB2195" s="152"/>
      <c r="AC2195" s="152"/>
      <c r="AD2195" s="223">
        <v>9.2778075999999992</v>
      </c>
      <c r="AE2195" s="223">
        <v>0.48461609999999999</v>
      </c>
      <c r="AF2195" s="223">
        <v>4.5053590000000003</v>
      </c>
      <c r="AG2195" s="223">
        <v>1.4782314999999999</v>
      </c>
      <c r="AH2195" s="341"/>
      <c r="AI2195" s="218"/>
      <c r="AJ2195" s="218"/>
      <c r="AK2195" s="153"/>
      <c r="AL2195" s="152"/>
      <c r="AM2195" s="152"/>
      <c r="AN2195" s="152"/>
      <c r="AO2195" s="152"/>
      <c r="AP2195" s="152"/>
      <c r="AQ2195" s="152"/>
      <c r="AR2195" s="152"/>
      <c r="AS2195" s="152"/>
      <c r="AT2195" s="152"/>
      <c r="AU2195" s="153"/>
      <c r="AV2195" s="479"/>
      <c r="AW2195" s="479"/>
      <c r="AX2195" s="442"/>
      <c r="AY2195" s="153"/>
      <c r="AZ2195" s="152"/>
      <c r="BA2195" s="152"/>
      <c r="BB2195" s="152"/>
      <c r="BC2195" s="152"/>
      <c r="BD2195" s="152"/>
      <c r="BE2195" s="152"/>
      <c r="BF2195" s="152"/>
      <c r="BG2195" s="152"/>
      <c r="BH2195" s="152"/>
      <c r="BI2195" s="153"/>
      <c r="BJ2195" s="153"/>
      <c r="BK2195" s="153"/>
      <c r="BL2195" s="153"/>
      <c r="BM2195" s="153"/>
      <c r="BN2195" s="153"/>
      <c r="BO2195" s="153"/>
      <c r="BP2195" s="153"/>
      <c r="BQ2195" s="153"/>
      <c r="BR2195" s="153"/>
      <c r="BS2195" s="153"/>
      <c r="BT2195" s="153"/>
      <c r="BU2195" s="153"/>
      <c r="BV2195" s="153"/>
      <c r="BW2195" s="153"/>
      <c r="BX2195" s="153"/>
      <c r="BY2195" s="153"/>
      <c r="BZ2195" s="153"/>
      <c r="CA2195" s="152"/>
      <c r="CB2195" s="152"/>
    </row>
    <row r="2196" spans="1:80" s="87" customFormat="1" ht="16.5" x14ac:dyDescent="0.3">
      <c r="A2196" s="152"/>
      <c r="B2196" s="683"/>
      <c r="C2196" s="683"/>
      <c r="D2196" s="698"/>
      <c r="E2196" s="215"/>
      <c r="F2196" s="215"/>
      <c r="G2196" s="153"/>
      <c r="H2196" s="153"/>
      <c r="I2196" s="310">
        <v>23</v>
      </c>
      <c r="J2196" s="310">
        <v>60</v>
      </c>
      <c r="K2196" s="150">
        <v>1</v>
      </c>
      <c r="L2196" s="656">
        <v>23</v>
      </c>
      <c r="M2196" s="663">
        <v>34875</v>
      </c>
      <c r="N2196" s="600">
        <v>6.3137990000000004</v>
      </c>
      <c r="O2196" s="604">
        <v>0.42823679999999997</v>
      </c>
      <c r="P2196" s="150"/>
      <c r="Q2196" s="250">
        <v>1.4199999999999999E-2</v>
      </c>
      <c r="R2196" s="250">
        <v>8.1500000000000003E-2</v>
      </c>
      <c r="S2196" s="250">
        <v>0.14568879000000001</v>
      </c>
      <c r="T2196" s="250">
        <v>0.17829999999999999</v>
      </c>
      <c r="U2196" s="250">
        <v>0.19949999999999998</v>
      </c>
      <c r="V2196" s="742">
        <v>0.38090000000000002</v>
      </c>
      <c r="W2196" s="747"/>
      <c r="X2196" s="743"/>
      <c r="Y2196" s="246"/>
      <c r="Z2196" s="245">
        <v>50.5</v>
      </c>
      <c r="AA2196" s="150">
        <v>3</v>
      </c>
      <c r="AB2196" s="152"/>
      <c r="AC2196" s="152"/>
      <c r="AD2196" s="223">
        <v>9.2778075999999992</v>
      </c>
      <c r="AE2196" s="223">
        <v>0.48461609999999999</v>
      </c>
      <c r="AF2196" s="223">
        <v>4.5053590000000003</v>
      </c>
      <c r="AG2196" s="223">
        <v>1.4782314999999999</v>
      </c>
      <c r="AH2196" s="341"/>
      <c r="AI2196" s="218"/>
      <c r="AJ2196" s="218"/>
      <c r="AK2196" s="153"/>
      <c r="AL2196" s="152"/>
      <c r="AM2196" s="152"/>
      <c r="AN2196" s="152"/>
      <c r="AO2196" s="152"/>
      <c r="AP2196" s="152"/>
      <c r="AQ2196" s="152"/>
      <c r="AR2196" s="152"/>
      <c r="AS2196" s="152"/>
      <c r="AT2196" s="152"/>
      <c r="AU2196" s="153"/>
      <c r="AV2196" s="479"/>
      <c r="AW2196" s="479"/>
      <c r="AX2196" s="442"/>
      <c r="AY2196" s="153"/>
      <c r="AZ2196" s="152"/>
      <c r="BA2196" s="152"/>
      <c r="BB2196" s="152"/>
      <c r="BC2196" s="152"/>
      <c r="BD2196" s="152"/>
      <c r="BE2196" s="152"/>
      <c r="BF2196" s="152"/>
      <c r="BG2196" s="152"/>
      <c r="BH2196" s="152"/>
      <c r="BI2196" s="153"/>
      <c r="BJ2196" s="153"/>
      <c r="BK2196" s="153"/>
      <c r="BL2196" s="153"/>
      <c r="BM2196" s="153"/>
      <c r="BN2196" s="153"/>
      <c r="BO2196" s="153"/>
      <c r="BP2196" s="153"/>
      <c r="BQ2196" s="153"/>
      <c r="BR2196" s="153"/>
      <c r="BS2196" s="153"/>
      <c r="BT2196" s="153"/>
      <c r="BU2196" s="153"/>
      <c r="BV2196" s="153"/>
      <c r="BW2196" s="153"/>
      <c r="BX2196" s="153"/>
      <c r="BY2196" s="153"/>
      <c r="BZ2196" s="153"/>
      <c r="CA2196" s="152"/>
      <c r="CB2196" s="152"/>
    </row>
    <row r="2197" spans="1:80" s="87" customFormat="1" ht="16.5" x14ac:dyDescent="0.3">
      <c r="A2197" s="152"/>
      <c r="B2197" s="683"/>
      <c r="C2197" s="683"/>
      <c r="D2197" s="698"/>
      <c r="E2197" s="215"/>
      <c r="F2197" s="215"/>
      <c r="G2197" s="153"/>
      <c r="H2197" s="153"/>
      <c r="I2197" s="310">
        <v>23</v>
      </c>
      <c r="J2197" s="310">
        <v>60</v>
      </c>
      <c r="K2197" s="150">
        <v>1</v>
      </c>
      <c r="L2197" s="656">
        <v>23</v>
      </c>
      <c r="M2197" s="663">
        <v>34883</v>
      </c>
      <c r="N2197" s="600">
        <v>7.304754</v>
      </c>
      <c r="O2197" s="604">
        <v>0.44293120000000002</v>
      </c>
      <c r="P2197" s="150"/>
      <c r="Q2197" s="250"/>
      <c r="R2197" s="250">
        <v>0.19010000000000002</v>
      </c>
      <c r="S2197" s="250">
        <v>0.157163729</v>
      </c>
      <c r="T2197" s="250">
        <v>0.17399999999999999</v>
      </c>
      <c r="U2197" s="250">
        <v>0.17420000000000002</v>
      </c>
      <c r="V2197" s="742">
        <v>0.30459999999999998</v>
      </c>
      <c r="W2197" s="747"/>
      <c r="X2197" s="743"/>
      <c r="Y2197" s="246"/>
      <c r="Z2197" s="245">
        <v>51</v>
      </c>
      <c r="AA2197" s="150">
        <v>4.4000000000000004</v>
      </c>
      <c r="AB2197" s="152"/>
      <c r="AC2197" s="152"/>
      <c r="AD2197" s="223">
        <v>9.2960949999999993</v>
      </c>
      <c r="AE2197" s="223">
        <v>0.59738840000000004</v>
      </c>
      <c r="AF2197" s="223">
        <v>5.5578480199999998</v>
      </c>
      <c r="AG2197" s="223">
        <v>1.2618305999999999</v>
      </c>
      <c r="AH2197" s="341"/>
      <c r="AI2197" s="218"/>
      <c r="AJ2197" s="218"/>
      <c r="AK2197" s="153"/>
      <c r="AL2197" s="152"/>
      <c r="AM2197" s="152"/>
      <c r="AN2197" s="152"/>
      <c r="AO2197" s="152"/>
      <c r="AP2197" s="152"/>
      <c r="AQ2197" s="152"/>
      <c r="AR2197" s="152"/>
      <c r="AS2197" s="152"/>
      <c r="AT2197" s="152"/>
      <c r="AU2197" s="153"/>
      <c r="AV2197" s="479"/>
      <c r="AW2197" s="479"/>
      <c r="AX2197" s="442"/>
      <c r="AY2197" s="153"/>
      <c r="AZ2197" s="152"/>
      <c r="BA2197" s="152"/>
      <c r="BB2197" s="152"/>
      <c r="BC2197" s="152"/>
      <c r="BD2197" s="152"/>
      <c r="BE2197" s="152"/>
      <c r="BF2197" s="152"/>
      <c r="BG2197" s="152"/>
      <c r="BH2197" s="152"/>
      <c r="BI2197" s="153"/>
      <c r="BJ2197" s="153"/>
      <c r="BK2197" s="153"/>
      <c r="BL2197" s="153"/>
      <c r="BM2197" s="153"/>
      <c r="BN2197" s="153"/>
      <c r="BO2197" s="153"/>
      <c r="BP2197" s="153"/>
      <c r="BQ2197" s="153"/>
      <c r="BR2197" s="153"/>
      <c r="BS2197" s="153"/>
      <c r="BT2197" s="153"/>
      <c r="BU2197" s="153"/>
      <c r="BV2197" s="153"/>
      <c r="BW2197" s="153"/>
      <c r="BX2197" s="153"/>
      <c r="BY2197" s="153"/>
      <c r="BZ2197" s="153"/>
      <c r="CA2197" s="152"/>
      <c r="CB2197" s="152"/>
    </row>
    <row r="2198" spans="1:80" s="87" customFormat="1" ht="16.5" x14ac:dyDescent="0.3">
      <c r="A2198" s="152"/>
      <c r="B2198" s="683"/>
      <c r="C2198" s="683"/>
      <c r="D2198" s="698"/>
      <c r="E2198" s="215"/>
      <c r="F2198" s="215"/>
      <c r="G2198" s="153"/>
      <c r="H2198" s="153"/>
      <c r="I2198" s="310">
        <v>23</v>
      </c>
      <c r="J2198" s="310">
        <v>60</v>
      </c>
      <c r="K2198" s="150">
        <v>1</v>
      </c>
      <c r="L2198" s="656">
        <v>23</v>
      </c>
      <c r="M2198" s="663">
        <v>34883</v>
      </c>
      <c r="N2198" s="600">
        <v>7.304754</v>
      </c>
      <c r="O2198" s="604">
        <v>0.29913600000000001</v>
      </c>
      <c r="P2198" s="250"/>
      <c r="Q2198" s="250">
        <v>1.7000000000000001E-2</v>
      </c>
      <c r="R2198" s="250">
        <v>0.28550000000000003</v>
      </c>
      <c r="S2198" s="250">
        <v>0.151</v>
      </c>
      <c r="T2198" s="250">
        <v>0.14360000000000001</v>
      </c>
      <c r="U2198" s="250">
        <v>0.1232</v>
      </c>
      <c r="V2198" s="742">
        <v>0.27960000000000002</v>
      </c>
      <c r="W2198" s="748"/>
      <c r="X2198" s="749"/>
      <c r="Y2198" s="249"/>
      <c r="Z2198" s="245">
        <v>58.8</v>
      </c>
      <c r="AA2198" s="150">
        <v>6.5</v>
      </c>
      <c r="AB2198" s="152"/>
      <c r="AC2198" s="152"/>
      <c r="AD2198" s="223">
        <v>9.2960949999999993</v>
      </c>
      <c r="AE2198" s="223">
        <v>0.59738840000000004</v>
      </c>
      <c r="AF2198" s="223">
        <v>5.5578480199999998</v>
      </c>
      <c r="AG2198" s="223">
        <v>1.2618305999999999</v>
      </c>
      <c r="AH2198" s="341"/>
      <c r="AI2198" s="218"/>
      <c r="AJ2198" s="218"/>
      <c r="AK2198" s="153"/>
      <c r="AL2198" s="152"/>
      <c r="AM2198" s="152"/>
      <c r="AN2198" s="152"/>
      <c r="AO2198" s="152"/>
      <c r="AP2198" s="152"/>
      <c r="AQ2198" s="152"/>
      <c r="AR2198" s="152"/>
      <c r="AS2198" s="152"/>
      <c r="AT2198" s="152"/>
      <c r="AU2198" s="153"/>
      <c r="AV2198" s="479"/>
      <c r="AW2198" s="479"/>
      <c r="AX2198" s="442"/>
      <c r="AY2198" s="153"/>
      <c r="AZ2198" s="152"/>
      <c r="BA2198" s="152"/>
      <c r="BB2198" s="152"/>
      <c r="BC2198" s="152"/>
      <c r="BD2198" s="152"/>
      <c r="BE2198" s="152"/>
      <c r="BF2198" s="152"/>
      <c r="BG2198" s="152"/>
      <c r="BH2198" s="152"/>
      <c r="BI2198" s="153"/>
      <c r="BJ2198" s="153"/>
      <c r="BK2198" s="153"/>
      <c r="BL2198" s="153"/>
      <c r="BM2198" s="153"/>
      <c r="BN2198" s="153"/>
      <c r="BO2198" s="153"/>
      <c r="BP2198" s="153"/>
      <c r="BQ2198" s="153"/>
      <c r="BR2198" s="153"/>
      <c r="BS2198" s="153"/>
      <c r="BT2198" s="153"/>
      <c r="BU2198" s="153"/>
      <c r="BV2198" s="153"/>
      <c r="BW2198" s="153"/>
      <c r="BX2198" s="153"/>
      <c r="BY2198" s="153"/>
      <c r="BZ2198" s="153"/>
      <c r="CA2198" s="152"/>
      <c r="CB2198" s="152"/>
    </row>
    <row r="2199" spans="1:80" ht="15" x14ac:dyDescent="0.25">
      <c r="A2199" s="9" t="s">
        <v>189</v>
      </c>
      <c r="B2199" s="639" t="s">
        <v>66</v>
      </c>
      <c r="C2199" s="639" t="s">
        <v>606</v>
      </c>
      <c r="D2199" s="4">
        <f>VLOOKUP(E2199,'Quality Code'!D4:E24,2,TRUE)*VLOOKUP(MROUND(F2199,10),'Quality Code'!D28:E69,2,TRUE)*VLOOKUP(COUNTA(CB2199:CB2243),'Quality Code'!D73:E93,2,TRUE)</f>
        <v>3.75</v>
      </c>
      <c r="E2199" s="14">
        <v>0.75</v>
      </c>
      <c r="F2199" s="18">
        <v>115</v>
      </c>
      <c r="G2199" s="12">
        <v>292.64</v>
      </c>
      <c r="H2199" s="2" t="s">
        <v>231</v>
      </c>
      <c r="I2199" s="10"/>
      <c r="J2199" s="10" t="s">
        <v>283</v>
      </c>
      <c r="K2199" s="10"/>
      <c r="L2199" s="640" t="s">
        <v>284</v>
      </c>
      <c r="M2199" s="640" t="s">
        <v>883</v>
      </c>
      <c r="N2199" s="579" t="s">
        <v>296</v>
      </c>
      <c r="O2199" s="579"/>
      <c r="P2199" s="10" t="s">
        <v>64</v>
      </c>
      <c r="Q2199" s="10" t="s">
        <v>64</v>
      </c>
      <c r="R2199" s="10" t="s">
        <v>64</v>
      </c>
      <c r="S2199" s="10" t="s">
        <v>64</v>
      </c>
      <c r="T2199" s="10" t="s">
        <v>64</v>
      </c>
      <c r="U2199" s="10" t="s">
        <v>64</v>
      </c>
      <c r="V2199" s="10"/>
      <c r="W2199" s="142"/>
      <c r="X2199" s="142"/>
      <c r="Y2199" s="142"/>
      <c r="Z2199" s="11"/>
      <c r="AA2199" s="81"/>
      <c r="AB2199" s="81"/>
      <c r="AC2199" s="85">
        <v>2.07E-2</v>
      </c>
      <c r="AD2199" s="26"/>
      <c r="AE2199" s="26"/>
      <c r="AF2199" s="26"/>
      <c r="AG2199" s="26"/>
      <c r="AH2199" s="330" t="s">
        <v>326</v>
      </c>
      <c r="AI2199" s="123">
        <v>55</v>
      </c>
      <c r="AJ2199" s="17">
        <v>0.75325834777602063</v>
      </c>
      <c r="AK2199" s="17">
        <v>0.62967509030332625</v>
      </c>
      <c r="AL2199" s="17">
        <v>0.52672128492836534</v>
      </c>
      <c r="AM2199" s="17">
        <v>0.39014230444380515</v>
      </c>
      <c r="AN2199" s="17">
        <v>0.28580945139254771</v>
      </c>
      <c r="AO2199" s="17">
        <v>0.18577865523013676</v>
      </c>
      <c r="AP2199" s="17">
        <v>0.12640402846020873</v>
      </c>
      <c r="AQ2199" s="17">
        <v>8.0389306357289525E-2</v>
      </c>
      <c r="AR2199" s="17">
        <v>3.39E-2</v>
      </c>
      <c r="AS2199" s="17">
        <v>8.6E-3</v>
      </c>
      <c r="AT2199" s="17">
        <v>1.5E-3</v>
      </c>
      <c r="AU2199" s="18">
        <v>204</v>
      </c>
      <c r="AV2199" s="147">
        <v>0.9264</v>
      </c>
      <c r="AW2199" s="147">
        <v>0.83923705722070796</v>
      </c>
      <c r="AX2199" s="147">
        <v>0.634877384196185</v>
      </c>
      <c r="AY2199" s="147">
        <v>0.34332425068119898</v>
      </c>
      <c r="AZ2199" s="17">
        <v>0.201634877384196</v>
      </c>
      <c r="BA2199" s="17">
        <v>0.13351498637602199</v>
      </c>
      <c r="BB2199" s="17">
        <v>0.106267029972752</v>
      </c>
      <c r="BC2199" s="17">
        <v>8.99182561307902E-2</v>
      </c>
      <c r="BD2199" s="17">
        <v>8.99182561307902E-2</v>
      </c>
      <c r="BE2199" s="17">
        <v>8.1743869209809306E-2</v>
      </c>
      <c r="BF2199" s="17">
        <v>1.3599999999999999E-2</v>
      </c>
      <c r="BG2199" s="17"/>
      <c r="BH2199" s="17"/>
      <c r="BI2199" s="4">
        <f>AU2199/AI2199</f>
        <v>3.709090909090909</v>
      </c>
      <c r="BJ2199" s="2" t="s">
        <v>68</v>
      </c>
      <c r="BK2199" s="2" t="s">
        <v>55</v>
      </c>
      <c r="BL2199" s="12"/>
      <c r="BM2199" s="12">
        <v>48.981000000000002</v>
      </c>
      <c r="BN2199" s="12">
        <f>9.9297*BM2199^0.148</f>
        <v>17.662827171626986</v>
      </c>
      <c r="BO2199" s="12">
        <f>0.3184*BM2199^0.3225</f>
        <v>1.1168811863050527</v>
      </c>
      <c r="BP2199" s="12">
        <f>BO2199*BN2199</f>
        <v>19.727279364947869</v>
      </c>
      <c r="BQ2199" s="12">
        <f>BN2199/BO2199</f>
        <v>15.814419105814139</v>
      </c>
      <c r="BR2199" s="12" t="s">
        <v>276</v>
      </c>
      <c r="BS2199" s="18">
        <v>4</v>
      </c>
      <c r="BT2199" s="12"/>
      <c r="BU2199" s="2"/>
      <c r="BV2199" s="2"/>
      <c r="BW2199" s="2"/>
      <c r="BX2199" s="2"/>
      <c r="BY2199" s="2" t="s">
        <v>86</v>
      </c>
      <c r="BZ2199" s="2"/>
      <c r="CA2199" s="381"/>
      <c r="CB2199" s="9" t="s">
        <v>224</v>
      </c>
    </row>
    <row r="2200" spans="1:80" s="87" customFormat="1" ht="15" x14ac:dyDescent="0.2">
      <c r="A2200" s="152"/>
      <c r="B2200" s="683"/>
      <c r="C2200" s="683"/>
      <c r="D2200" s="698"/>
      <c r="E2200" s="215"/>
      <c r="F2200" s="215"/>
      <c r="G2200" s="153"/>
      <c r="H2200" s="153"/>
      <c r="I2200" s="153"/>
      <c r="J2200" s="153"/>
      <c r="K2200" s="153"/>
      <c r="L2200" s="653"/>
      <c r="M2200" s="663">
        <v>31527</v>
      </c>
      <c r="N2200" s="600">
        <v>9.4848549999999996</v>
      </c>
      <c r="O2200" s="604">
        <v>1.7423360000000001E-3</v>
      </c>
      <c r="P2200" s="848"/>
      <c r="Q2200" s="848"/>
      <c r="R2200" s="848"/>
      <c r="S2200" s="848"/>
      <c r="T2200" s="848"/>
      <c r="U2200" s="848"/>
      <c r="V2200" s="227"/>
      <c r="W2200" s="227"/>
      <c r="X2200" s="227"/>
      <c r="Y2200" s="227"/>
      <c r="Z2200" s="152"/>
      <c r="AA2200" s="152"/>
      <c r="AB2200" s="152"/>
      <c r="AC2200" s="152"/>
      <c r="AD2200" s="223">
        <v>14.020339999999999</v>
      </c>
      <c r="AE2200" s="223">
        <v>0.55166990000000005</v>
      </c>
      <c r="AF2200" s="223">
        <v>7.7473596000000002</v>
      </c>
      <c r="AG2200" s="223">
        <v>1.0271423</v>
      </c>
      <c r="AH2200" s="340" t="s">
        <v>327</v>
      </c>
      <c r="AI2200" s="218"/>
      <c r="AJ2200" s="218"/>
      <c r="AK2200" s="153"/>
      <c r="AL2200" s="152"/>
      <c r="AM2200" s="152"/>
      <c r="AN2200" s="152"/>
      <c r="AO2200" s="152"/>
      <c r="AP2200" s="152"/>
      <c r="AQ2200" s="152"/>
      <c r="AR2200" s="152"/>
      <c r="AS2200" s="152"/>
      <c r="AT2200" s="152"/>
      <c r="AU2200" s="153"/>
      <c r="AV2200" s="479"/>
      <c r="AW2200" s="479"/>
      <c r="AX2200" s="442"/>
      <c r="AY2200" s="153"/>
      <c r="AZ2200" s="152"/>
      <c r="BA2200" s="152"/>
      <c r="BB2200" s="152"/>
      <c r="BC2200" s="152"/>
      <c r="BD2200" s="152"/>
      <c r="BE2200" s="152"/>
      <c r="BF2200" s="152"/>
      <c r="BG2200" s="152"/>
      <c r="BH2200" s="152"/>
      <c r="BI2200" s="153"/>
      <c r="BJ2200" s="153"/>
      <c r="BK2200" s="153"/>
      <c r="BL2200" s="153"/>
      <c r="BM2200" s="153"/>
      <c r="BN2200" s="153"/>
      <c r="BO2200" s="153"/>
      <c r="BP2200" s="153"/>
      <c r="BQ2200" s="153"/>
      <c r="BR2200" s="153"/>
      <c r="BS2200" s="153"/>
      <c r="BT2200" s="153"/>
      <c r="BU2200" s="153"/>
      <c r="BV2200" s="153"/>
      <c r="BW2200" s="153"/>
      <c r="BX2200" s="153"/>
      <c r="BY2200" s="153"/>
      <c r="BZ2200" s="153"/>
      <c r="CA2200" s="152"/>
      <c r="CB2200" s="154" t="s">
        <v>597</v>
      </c>
    </row>
    <row r="2201" spans="1:80" s="87" customFormat="1" ht="15" x14ac:dyDescent="0.2">
      <c r="A2201" s="152"/>
      <c r="B2201" s="683"/>
      <c r="C2201" s="683"/>
      <c r="D2201" s="698"/>
      <c r="E2201" s="215"/>
      <c r="F2201" s="215"/>
      <c r="G2201" s="153"/>
      <c r="H2201" s="153"/>
      <c r="I2201" s="153"/>
      <c r="J2201" s="153"/>
      <c r="K2201" s="153"/>
      <c r="L2201" s="653"/>
      <c r="M2201" s="663">
        <v>31554</v>
      </c>
      <c r="N2201" s="600">
        <v>16.364914000000002</v>
      </c>
      <c r="O2201" s="604">
        <v>2.1306879999999997E-2</v>
      </c>
      <c r="P2201" s="849"/>
      <c r="Q2201" s="849"/>
      <c r="R2201" s="849"/>
      <c r="S2201" s="849"/>
      <c r="T2201" s="849"/>
      <c r="U2201" s="849"/>
      <c r="V2201" s="488"/>
      <c r="W2201" s="489"/>
      <c r="X2201" s="488"/>
      <c r="Y2201" s="488"/>
      <c r="Z2201" s="152"/>
      <c r="AA2201" s="152"/>
      <c r="AB2201" s="152"/>
      <c r="AC2201" s="152"/>
      <c r="AD2201" s="223">
        <v>15.2395</v>
      </c>
      <c r="AE2201" s="223">
        <v>0.81074139999999995</v>
      </c>
      <c r="AF2201" s="223">
        <v>12.336323200000001</v>
      </c>
      <c r="AG2201" s="223">
        <v>1.3502197</v>
      </c>
      <c r="AH2201" s="340" t="s">
        <v>328</v>
      </c>
      <c r="AI2201" s="218"/>
      <c r="AJ2201" s="218"/>
      <c r="AK2201" s="153"/>
      <c r="AL2201" s="152"/>
      <c r="AM2201" s="152"/>
      <c r="AN2201" s="152"/>
      <c r="AO2201" s="152"/>
      <c r="AP2201" s="152"/>
      <c r="AQ2201" s="152"/>
      <c r="AR2201" s="152"/>
      <c r="AS2201" s="152"/>
      <c r="AT2201" s="152"/>
      <c r="AU2201" s="153"/>
      <c r="AV2201" s="479"/>
      <c r="AW2201" s="479"/>
      <c r="AX2201" s="442"/>
      <c r="AY2201" s="153"/>
      <c r="AZ2201" s="152"/>
      <c r="BA2201" s="152"/>
      <c r="BB2201" s="152"/>
      <c r="BC2201" s="152"/>
      <c r="BD2201" s="152"/>
      <c r="BE2201" s="152"/>
      <c r="BF2201" s="152"/>
      <c r="BG2201" s="152"/>
      <c r="BH2201" s="152"/>
      <c r="BI2201" s="153"/>
      <c r="BJ2201" s="153"/>
      <c r="BK2201" s="153"/>
      <c r="BL2201" s="153"/>
      <c r="BM2201" s="153"/>
      <c r="BN2201" s="153"/>
      <c r="BO2201" s="153"/>
      <c r="BP2201" s="153"/>
      <c r="BQ2201" s="153"/>
      <c r="BR2201" s="153"/>
      <c r="BS2201" s="153"/>
      <c r="BT2201" s="153"/>
      <c r="BU2201" s="153"/>
      <c r="BV2201" s="153"/>
      <c r="BW2201" s="153"/>
      <c r="BX2201" s="153"/>
      <c r="BY2201" s="153"/>
      <c r="BZ2201" s="153"/>
      <c r="CA2201" s="152"/>
      <c r="CB2201" s="486" t="s">
        <v>638</v>
      </c>
    </row>
    <row r="2202" spans="1:80" s="87" customFormat="1" ht="15" x14ac:dyDescent="0.2">
      <c r="A2202" s="152"/>
      <c r="B2202" s="683"/>
      <c r="C2202" s="683"/>
      <c r="D2202" s="698"/>
      <c r="E2202" s="215"/>
      <c r="F2202" s="215"/>
      <c r="G2202" s="153"/>
      <c r="H2202" s="153"/>
      <c r="I2202" s="153"/>
      <c r="J2202" s="153"/>
      <c r="K2202" s="153"/>
      <c r="L2202" s="653"/>
      <c r="M2202" s="663">
        <v>31560</v>
      </c>
      <c r="N2202" s="600">
        <v>22.848591000000003</v>
      </c>
      <c r="O2202" s="604">
        <v>3.505664E-2</v>
      </c>
      <c r="P2202" s="849"/>
      <c r="Q2202" s="849"/>
      <c r="R2202" s="849"/>
      <c r="S2202" s="849"/>
      <c r="T2202" s="849"/>
      <c r="U2202" s="849"/>
      <c r="V2202" s="488"/>
      <c r="W2202" s="489"/>
      <c r="X2202" s="488"/>
      <c r="Y2202" s="488"/>
      <c r="Z2202" s="152"/>
      <c r="AA2202" s="152"/>
      <c r="AB2202" s="152"/>
      <c r="AC2202" s="152"/>
      <c r="AD2202" s="223">
        <v>15.849080000000001</v>
      </c>
      <c r="AE2202" s="223">
        <v>0.96008850000000001</v>
      </c>
      <c r="AF2202" s="223">
        <v>15.225326600000001</v>
      </c>
      <c r="AG2202" s="223">
        <v>1.4508004000000001</v>
      </c>
      <c r="AH2202" s="341"/>
      <c r="AI2202" s="218"/>
      <c r="AJ2202" s="218"/>
      <c r="AK2202" s="153"/>
      <c r="AL2202" s="152"/>
      <c r="AM2202" s="152"/>
      <c r="AN2202" s="152"/>
      <c r="AO2202" s="152"/>
      <c r="AP2202" s="152"/>
      <c r="AQ2202" s="152"/>
      <c r="AR2202" s="152"/>
      <c r="AS2202" s="152"/>
      <c r="AT2202" s="152"/>
      <c r="AU2202" s="153"/>
      <c r="AV2202" s="479"/>
      <c r="AW2202" s="479"/>
      <c r="AX2202" s="442"/>
      <c r="AY2202" s="153"/>
      <c r="AZ2202" s="152"/>
      <c r="BA2202" s="152"/>
      <c r="BB2202" s="152"/>
      <c r="BC2202" s="152"/>
      <c r="BD2202" s="152"/>
      <c r="BE2202" s="152"/>
      <c r="BF2202" s="152"/>
      <c r="BG2202" s="152"/>
      <c r="BH2202" s="152"/>
      <c r="BI2202" s="153"/>
      <c r="BJ2202" s="153"/>
      <c r="BK2202" s="153"/>
      <c r="BL2202" s="153"/>
      <c r="BM2202" s="153"/>
      <c r="BN2202" s="153"/>
      <c r="BO2202" s="153"/>
      <c r="BP2202" s="153"/>
      <c r="BQ2202" s="153"/>
      <c r="BR2202" s="153"/>
      <c r="BS2202" s="153"/>
      <c r="BT2202" s="153"/>
      <c r="BU2202" s="153"/>
      <c r="BV2202" s="153"/>
      <c r="BW2202" s="153"/>
      <c r="BX2202" s="153"/>
      <c r="BY2202" s="153"/>
      <c r="BZ2202" s="153"/>
      <c r="CA2202" s="152"/>
      <c r="CB2202" s="486" t="s">
        <v>639</v>
      </c>
    </row>
    <row r="2203" spans="1:80" s="87" customFormat="1" ht="15" x14ac:dyDescent="0.2">
      <c r="A2203" s="152"/>
      <c r="B2203" s="683"/>
      <c r="C2203" s="683"/>
      <c r="D2203" s="698"/>
      <c r="E2203" s="215"/>
      <c r="F2203" s="215"/>
      <c r="G2203" s="153"/>
      <c r="H2203" s="153"/>
      <c r="I2203" s="153"/>
      <c r="J2203" s="153"/>
      <c r="K2203" s="153"/>
      <c r="L2203" s="653"/>
      <c r="M2203" s="663">
        <v>31569</v>
      </c>
      <c r="N2203" s="600">
        <v>17.412495</v>
      </c>
      <c r="O2203" s="604">
        <v>3.5476480000000005E-3</v>
      </c>
      <c r="P2203" s="849"/>
      <c r="Q2203" s="849"/>
      <c r="R2203" s="849"/>
      <c r="S2203" s="849"/>
      <c r="T2203" s="849"/>
      <c r="U2203" s="849"/>
      <c r="V2203" s="488"/>
      <c r="W2203" s="489"/>
      <c r="X2203" s="488"/>
      <c r="Y2203" s="488"/>
      <c r="Z2203" s="152"/>
      <c r="AA2203" s="152"/>
      <c r="AB2203" s="152"/>
      <c r="AC2203" s="152"/>
      <c r="AD2203" s="223"/>
      <c r="AE2203" s="223"/>
      <c r="AF2203" s="223"/>
      <c r="AG2203" s="223"/>
      <c r="AH2203" s="341"/>
      <c r="AI2203" s="218"/>
      <c r="AJ2203" s="218"/>
      <c r="AK2203" s="153"/>
      <c r="AL2203" s="152"/>
      <c r="AM2203" s="152"/>
      <c r="AN2203" s="152"/>
      <c r="AO2203" s="152"/>
      <c r="AP2203" s="152"/>
      <c r="AQ2203" s="152"/>
      <c r="AR2203" s="152"/>
      <c r="AS2203" s="152"/>
      <c r="AT2203" s="152"/>
      <c r="AU2203" s="153"/>
      <c r="AV2203" s="479"/>
      <c r="AW2203" s="479"/>
      <c r="AX2203" s="442"/>
      <c r="AY2203" s="153"/>
      <c r="AZ2203" s="152"/>
      <c r="BA2203" s="152"/>
      <c r="BB2203" s="152"/>
      <c r="BC2203" s="152"/>
      <c r="BD2203" s="152"/>
      <c r="BE2203" s="152"/>
      <c r="BF2203" s="152"/>
      <c r="BG2203" s="152"/>
      <c r="BH2203" s="152"/>
      <c r="BI2203" s="153"/>
      <c r="BJ2203" s="153"/>
      <c r="BK2203" s="153"/>
      <c r="BL2203" s="153"/>
      <c r="BM2203" s="153"/>
      <c r="BN2203" s="153"/>
      <c r="BO2203" s="153"/>
      <c r="BP2203" s="153"/>
      <c r="BQ2203" s="153"/>
      <c r="BR2203" s="153"/>
      <c r="BS2203" s="153"/>
      <c r="BT2203" s="153"/>
      <c r="BU2203" s="153"/>
      <c r="BV2203" s="153"/>
      <c r="BW2203" s="153"/>
      <c r="BX2203" s="153"/>
      <c r="BY2203" s="153"/>
      <c r="BZ2203" s="153"/>
      <c r="CA2203" s="152"/>
      <c r="CB2203" s="486" t="s">
        <v>640</v>
      </c>
    </row>
    <row r="2204" spans="1:80" s="87" customFormat="1" x14ac:dyDescent="0.2">
      <c r="A2204" s="152"/>
      <c r="B2204" s="683"/>
      <c r="C2204" s="683"/>
      <c r="D2204" s="698"/>
      <c r="E2204" s="215"/>
      <c r="F2204" s="215"/>
      <c r="G2204" s="153"/>
      <c r="H2204" s="153"/>
      <c r="I2204" s="153"/>
      <c r="J2204" s="153"/>
      <c r="K2204" s="153"/>
      <c r="L2204" s="653"/>
      <c r="M2204" s="663">
        <v>31589</v>
      </c>
      <c r="N2204" s="600">
        <v>5.181279</v>
      </c>
      <c r="O2204" s="604">
        <v>3.7995520000000003E-4</v>
      </c>
      <c r="P2204" s="849"/>
      <c r="Q2204" s="849"/>
      <c r="R2204" s="849"/>
      <c r="S2204" s="849"/>
      <c r="T2204" s="849"/>
      <c r="U2204" s="849"/>
      <c r="V2204" s="488"/>
      <c r="W2204" s="489"/>
      <c r="X2204" s="488"/>
      <c r="Y2204" s="488"/>
      <c r="Z2204" s="152"/>
      <c r="AA2204" s="152"/>
      <c r="AB2204" s="152"/>
      <c r="AC2204" s="152"/>
      <c r="AD2204" s="223">
        <v>11.58202</v>
      </c>
      <c r="AE2204" s="223">
        <v>0.56386150000000002</v>
      </c>
      <c r="AF2204" s="223">
        <v>6.5388086599999999</v>
      </c>
      <c r="AG2204" s="223">
        <v>0.79550189999999998</v>
      </c>
      <c r="AH2204" s="341"/>
      <c r="AI2204" s="218"/>
      <c r="AJ2204" s="218"/>
      <c r="AK2204" s="153"/>
      <c r="AL2204" s="152"/>
      <c r="AM2204" s="152"/>
      <c r="AN2204" s="152"/>
      <c r="AO2204" s="152"/>
      <c r="AP2204" s="152"/>
      <c r="AQ2204" s="152"/>
      <c r="AR2204" s="152"/>
      <c r="AS2204" s="152"/>
      <c r="AT2204" s="152"/>
      <c r="AU2204" s="153"/>
      <c r="AV2204" s="479"/>
      <c r="AW2204" s="479"/>
      <c r="AX2204" s="442"/>
      <c r="AY2204" s="153"/>
      <c r="AZ2204" s="152"/>
      <c r="BA2204" s="152"/>
      <c r="BB2204" s="152"/>
      <c r="BC2204" s="152"/>
      <c r="BD2204" s="152"/>
      <c r="BE2204" s="152"/>
      <c r="BF2204" s="152"/>
      <c r="BG2204" s="152"/>
      <c r="BH2204" s="152"/>
      <c r="BI2204" s="153"/>
      <c r="BJ2204" s="153"/>
      <c r="BK2204" s="153"/>
      <c r="BL2204" s="153"/>
      <c r="BM2204" s="153"/>
      <c r="BN2204" s="153"/>
      <c r="BO2204" s="153"/>
      <c r="BP2204" s="153"/>
      <c r="BQ2204" s="153"/>
      <c r="BR2204" s="153"/>
      <c r="BS2204" s="153"/>
      <c r="BT2204" s="153"/>
      <c r="BU2204" s="153"/>
      <c r="BV2204" s="153"/>
      <c r="BW2204" s="153"/>
      <c r="BX2204" s="153"/>
      <c r="BY2204" s="153"/>
      <c r="BZ2204" s="153"/>
      <c r="CA2204" s="152"/>
      <c r="CB2204" s="152"/>
    </row>
    <row r="2205" spans="1:80" s="87" customFormat="1" x14ac:dyDescent="0.2">
      <c r="A2205" s="152"/>
      <c r="B2205" s="683"/>
      <c r="C2205" s="683"/>
      <c r="D2205" s="698"/>
      <c r="E2205" s="215"/>
      <c r="F2205" s="215"/>
      <c r="G2205" s="153"/>
      <c r="H2205" s="153"/>
      <c r="I2205" s="153"/>
      <c r="J2205" s="153"/>
      <c r="K2205" s="153"/>
      <c r="L2205" s="653"/>
      <c r="M2205" s="663">
        <v>31894</v>
      </c>
      <c r="N2205" s="600">
        <v>9.0318470000000008</v>
      </c>
      <c r="O2205" s="604">
        <v>1.081088E-3</v>
      </c>
      <c r="P2205" s="849"/>
      <c r="Q2205" s="849"/>
      <c r="R2205" s="849"/>
      <c r="S2205" s="849"/>
      <c r="T2205" s="849"/>
      <c r="U2205" s="849"/>
      <c r="V2205" s="488"/>
      <c r="W2205" s="489"/>
      <c r="X2205" s="488"/>
      <c r="Y2205" s="488"/>
      <c r="Z2205" s="152"/>
      <c r="AA2205" s="152"/>
      <c r="AB2205" s="152"/>
      <c r="AC2205" s="152"/>
      <c r="AD2205" s="223">
        <v>12.80118</v>
      </c>
      <c r="AE2205" s="223">
        <v>0.62481949999999997</v>
      </c>
      <c r="AF2205" s="223">
        <v>8.0074628000000008</v>
      </c>
      <c r="AG2205" s="223">
        <v>1.2404953000000001</v>
      </c>
      <c r="AH2205" s="341"/>
      <c r="AI2205" s="218"/>
      <c r="AJ2205" s="218"/>
      <c r="AK2205" s="153"/>
      <c r="AL2205" s="152"/>
      <c r="AM2205" s="152"/>
      <c r="AN2205" s="152"/>
      <c r="AO2205" s="152"/>
      <c r="AP2205" s="152"/>
      <c r="AQ2205" s="152"/>
      <c r="AR2205" s="152"/>
      <c r="AS2205" s="152"/>
      <c r="AT2205" s="152"/>
      <c r="AU2205" s="153"/>
      <c r="AV2205" s="479"/>
      <c r="AW2205" s="479"/>
      <c r="AX2205" s="442"/>
      <c r="AY2205" s="153"/>
      <c r="AZ2205" s="152"/>
      <c r="BA2205" s="152"/>
      <c r="BB2205" s="152"/>
      <c r="BC2205" s="152"/>
      <c r="BD2205" s="152"/>
      <c r="BE2205" s="152"/>
      <c r="BF2205" s="152"/>
      <c r="BG2205" s="152"/>
      <c r="BH2205" s="152"/>
      <c r="BI2205" s="153"/>
      <c r="BJ2205" s="153"/>
      <c r="BK2205" s="153"/>
      <c r="BL2205" s="153"/>
      <c r="BM2205" s="153"/>
      <c r="BN2205" s="153"/>
      <c r="BO2205" s="153"/>
      <c r="BP2205" s="153"/>
      <c r="BQ2205" s="153"/>
      <c r="BR2205" s="153"/>
      <c r="BS2205" s="153"/>
      <c r="BT2205" s="153"/>
      <c r="BU2205" s="153"/>
      <c r="BV2205" s="153"/>
      <c r="BW2205" s="153"/>
      <c r="BX2205" s="153"/>
      <c r="BY2205" s="153"/>
      <c r="BZ2205" s="153"/>
      <c r="CA2205" s="152"/>
      <c r="CB2205" s="152"/>
    </row>
    <row r="2206" spans="1:80" s="87" customFormat="1" x14ac:dyDescent="0.2">
      <c r="A2206" s="152"/>
      <c r="B2206" s="683"/>
      <c r="C2206" s="683"/>
      <c r="D2206" s="698"/>
      <c r="E2206" s="215"/>
      <c r="F2206" s="215"/>
      <c r="G2206" s="153"/>
      <c r="H2206" s="153"/>
      <c r="I2206" s="153"/>
      <c r="J2206" s="153"/>
      <c r="K2206" s="153"/>
      <c r="L2206" s="653"/>
      <c r="M2206" s="663">
        <v>31901</v>
      </c>
      <c r="N2206" s="600">
        <v>8.5505259999999996</v>
      </c>
      <c r="O2206" s="604">
        <v>1.5639040000000001E-4</v>
      </c>
      <c r="P2206" s="849"/>
      <c r="Q2206" s="849"/>
      <c r="R2206" s="849"/>
      <c r="S2206" s="849"/>
      <c r="T2206" s="849"/>
      <c r="U2206" s="849"/>
      <c r="V2206" s="488"/>
      <c r="W2206" s="489"/>
      <c r="X2206" s="488"/>
      <c r="Y2206" s="488"/>
      <c r="Z2206" s="152"/>
      <c r="AA2206" s="152"/>
      <c r="AB2206" s="152"/>
      <c r="AC2206" s="152"/>
      <c r="AD2206" s="223">
        <v>14.020339999999999</v>
      </c>
      <c r="AE2206" s="223">
        <v>0.59738840000000004</v>
      </c>
      <c r="AF2206" s="223">
        <v>8.3790388</v>
      </c>
      <c r="AG2206" s="223">
        <v>1.0027591</v>
      </c>
      <c r="AH2206" s="341"/>
      <c r="AI2206" s="218"/>
      <c r="AJ2206" s="218"/>
      <c r="AK2206" s="153"/>
      <c r="AL2206" s="152"/>
      <c r="AM2206" s="152"/>
      <c r="AN2206" s="152"/>
      <c r="AO2206" s="152"/>
      <c r="AP2206" s="152"/>
      <c r="AQ2206" s="152"/>
      <c r="AR2206" s="152"/>
      <c r="AS2206" s="152"/>
      <c r="AT2206" s="152"/>
      <c r="AU2206" s="153"/>
      <c r="AV2206" s="479"/>
      <c r="AW2206" s="479"/>
      <c r="AX2206" s="442"/>
      <c r="AY2206" s="153"/>
      <c r="AZ2206" s="152"/>
      <c r="BA2206" s="152"/>
      <c r="BB2206" s="152"/>
      <c r="BC2206" s="152"/>
      <c r="BD2206" s="152"/>
      <c r="BE2206" s="152"/>
      <c r="BF2206" s="152"/>
      <c r="BG2206" s="152"/>
      <c r="BH2206" s="152"/>
      <c r="BI2206" s="153"/>
      <c r="BJ2206" s="153"/>
      <c r="BK2206" s="153"/>
      <c r="BL2206" s="153"/>
      <c r="BM2206" s="153"/>
      <c r="BN2206" s="153"/>
      <c r="BO2206" s="153"/>
      <c r="BP2206" s="153"/>
      <c r="BQ2206" s="153"/>
      <c r="BR2206" s="153"/>
      <c r="BS2206" s="153"/>
      <c r="BT2206" s="153"/>
      <c r="BU2206" s="153"/>
      <c r="BV2206" s="153"/>
      <c r="BW2206" s="153"/>
      <c r="BX2206" s="153"/>
      <c r="BY2206" s="153"/>
      <c r="BZ2206" s="153"/>
      <c r="CA2206" s="152"/>
      <c r="CB2206" s="152"/>
    </row>
    <row r="2207" spans="1:80" s="87" customFormat="1" x14ac:dyDescent="0.2">
      <c r="A2207" s="152"/>
      <c r="B2207" s="683"/>
      <c r="C2207" s="683"/>
      <c r="D2207" s="698"/>
      <c r="E2207" s="215"/>
      <c r="F2207" s="215"/>
      <c r="G2207" s="153"/>
      <c r="H2207" s="153"/>
      <c r="I2207" s="153"/>
      <c r="J2207" s="153"/>
      <c r="K2207" s="153"/>
      <c r="L2207" s="653"/>
      <c r="M2207" s="663">
        <v>31915</v>
      </c>
      <c r="N2207" s="600">
        <v>6.370425</v>
      </c>
      <c r="O2207" s="604">
        <v>9.5618560000000001E-4</v>
      </c>
      <c r="P2207" s="849"/>
      <c r="Q2207" s="849"/>
      <c r="R2207" s="849"/>
      <c r="S2207" s="849"/>
      <c r="T2207" s="849"/>
      <c r="U2207" s="849"/>
      <c r="V2207" s="488"/>
      <c r="W2207" s="489"/>
      <c r="X2207" s="488"/>
      <c r="Y2207" s="488"/>
      <c r="Z2207" s="152"/>
      <c r="AA2207" s="152"/>
      <c r="AB2207" s="152"/>
      <c r="AC2207" s="152"/>
      <c r="AD2207" s="223">
        <v>13.41076</v>
      </c>
      <c r="AE2207" s="223">
        <v>0.5272867</v>
      </c>
      <c r="AF2207" s="223">
        <v>7.0599439999999998</v>
      </c>
      <c r="AG2207" s="223">
        <v>0.89913050000000005</v>
      </c>
      <c r="AH2207" s="341"/>
      <c r="AI2207" s="218"/>
      <c r="AJ2207" s="218"/>
      <c r="AK2207" s="153"/>
      <c r="AL2207" s="152"/>
      <c r="AM2207" s="152"/>
      <c r="AN2207" s="152"/>
      <c r="AO2207" s="152"/>
      <c r="AP2207" s="152"/>
      <c r="AQ2207" s="152"/>
      <c r="AR2207" s="152"/>
      <c r="AS2207" s="152"/>
      <c r="AT2207" s="152"/>
      <c r="AU2207" s="153"/>
      <c r="AV2207" s="479"/>
      <c r="AW2207" s="479"/>
      <c r="AX2207" s="442"/>
      <c r="AY2207" s="153"/>
      <c r="AZ2207" s="152"/>
      <c r="BA2207" s="152"/>
      <c r="BB2207" s="152"/>
      <c r="BC2207" s="152"/>
      <c r="BD2207" s="152"/>
      <c r="BE2207" s="152"/>
      <c r="BF2207" s="152"/>
      <c r="BG2207" s="152"/>
      <c r="BH2207" s="152"/>
      <c r="BI2207" s="153"/>
      <c r="BJ2207" s="153"/>
      <c r="BK2207" s="153"/>
      <c r="BL2207" s="153"/>
      <c r="BM2207" s="153"/>
      <c r="BN2207" s="153"/>
      <c r="BO2207" s="153"/>
      <c r="BP2207" s="153"/>
      <c r="BQ2207" s="153"/>
      <c r="BR2207" s="153"/>
      <c r="BS2207" s="153"/>
      <c r="BT2207" s="153"/>
      <c r="BU2207" s="153"/>
      <c r="BV2207" s="153"/>
      <c r="BW2207" s="153"/>
      <c r="BX2207" s="153"/>
      <c r="BY2207" s="153"/>
      <c r="BZ2207" s="153"/>
      <c r="CA2207" s="152"/>
      <c r="CB2207" s="152"/>
    </row>
    <row r="2208" spans="1:80" s="87" customFormat="1" x14ac:dyDescent="0.2">
      <c r="A2208" s="152"/>
      <c r="B2208" s="683"/>
      <c r="C2208" s="683"/>
      <c r="D2208" s="698"/>
      <c r="E2208" s="215"/>
      <c r="F2208" s="215"/>
      <c r="G2208" s="153"/>
      <c r="H2208" s="153"/>
      <c r="I2208" s="153"/>
      <c r="J2208" s="153"/>
      <c r="K2208" s="153"/>
      <c r="L2208" s="653"/>
      <c r="M2208" s="663">
        <v>31951</v>
      </c>
      <c r="N2208" s="600">
        <v>4.1336979999999999</v>
      </c>
      <c r="O2208" s="604">
        <v>2.4560640000000002E-4</v>
      </c>
      <c r="P2208" s="849"/>
      <c r="Q2208" s="849"/>
      <c r="R2208" s="849"/>
      <c r="S2208" s="849"/>
      <c r="T2208" s="849"/>
      <c r="U2208" s="849"/>
      <c r="V2208" s="488"/>
      <c r="W2208" s="489"/>
      <c r="X2208" s="488"/>
      <c r="Y2208" s="488"/>
      <c r="Z2208" s="152"/>
      <c r="AA2208" s="152"/>
      <c r="AB2208" s="152"/>
      <c r="AC2208" s="152"/>
      <c r="AD2208" s="223">
        <v>17.068239999999999</v>
      </c>
      <c r="AE2208" s="223">
        <v>0.31698159999999997</v>
      </c>
      <c r="AF2208" s="223">
        <v>5.4157202</v>
      </c>
      <c r="AG2208" s="223">
        <v>0.78331030000000001</v>
      </c>
      <c r="AH2208" s="341"/>
      <c r="AI2208" s="218"/>
      <c r="AJ2208" s="218"/>
      <c r="AK2208" s="153"/>
      <c r="AL2208" s="152"/>
      <c r="AM2208" s="152"/>
      <c r="AN2208" s="152"/>
      <c r="AO2208" s="152"/>
      <c r="AP2208" s="152"/>
      <c r="AQ2208" s="152"/>
      <c r="AR2208" s="152"/>
      <c r="AS2208" s="152"/>
      <c r="AT2208" s="152"/>
      <c r="AU2208" s="153"/>
      <c r="AV2208" s="479"/>
      <c r="AW2208" s="479"/>
      <c r="AX2208" s="442"/>
      <c r="AY2208" s="153"/>
      <c r="AZ2208" s="152"/>
      <c r="BA2208" s="152"/>
      <c r="BB2208" s="152"/>
      <c r="BC2208" s="152"/>
      <c r="BD2208" s="152"/>
      <c r="BE2208" s="152"/>
      <c r="BF2208" s="152"/>
      <c r="BG2208" s="152"/>
      <c r="BH2208" s="152"/>
      <c r="BI2208" s="153"/>
      <c r="BJ2208" s="153"/>
      <c r="BK2208" s="153"/>
      <c r="BL2208" s="153"/>
      <c r="BM2208" s="153"/>
      <c r="BN2208" s="153"/>
      <c r="BO2208" s="153"/>
      <c r="BP2208" s="153"/>
      <c r="BQ2208" s="153"/>
      <c r="BR2208" s="153"/>
      <c r="BS2208" s="153"/>
      <c r="BT2208" s="153"/>
      <c r="BU2208" s="153"/>
      <c r="BV2208" s="153"/>
      <c r="BW2208" s="153"/>
      <c r="BX2208" s="153"/>
      <c r="BY2208" s="153"/>
      <c r="BZ2208" s="153"/>
      <c r="CA2208" s="152"/>
      <c r="CB2208" s="152"/>
    </row>
    <row r="2209" spans="1:80" s="87" customFormat="1" x14ac:dyDescent="0.2">
      <c r="A2209" s="152"/>
      <c r="B2209" s="683"/>
      <c r="C2209" s="683"/>
      <c r="D2209" s="698"/>
      <c r="E2209" s="215"/>
      <c r="F2209" s="215"/>
      <c r="G2209" s="153"/>
      <c r="H2209" s="153"/>
      <c r="I2209" s="153"/>
      <c r="J2209" s="153"/>
      <c r="K2209" s="153"/>
      <c r="L2209" s="653"/>
      <c r="M2209" s="663">
        <v>32273</v>
      </c>
      <c r="N2209" s="600">
        <v>4.8698360000000003</v>
      </c>
      <c r="O2209" s="604">
        <v>2.3511040000000001E-3</v>
      </c>
      <c r="P2209" s="849"/>
      <c r="Q2209" s="849"/>
      <c r="R2209" s="849"/>
      <c r="S2209" s="849"/>
      <c r="T2209" s="849"/>
      <c r="U2209" s="849"/>
      <c r="V2209" s="488"/>
      <c r="W2209" s="489"/>
      <c r="X2209" s="488"/>
      <c r="Y2209" s="488"/>
      <c r="Z2209" s="152"/>
      <c r="AA2209" s="152"/>
      <c r="AB2209" s="152"/>
      <c r="AC2209" s="152"/>
      <c r="AD2209" s="223">
        <v>11.58202</v>
      </c>
      <c r="AE2209" s="223">
        <v>0.53643039999999997</v>
      </c>
      <c r="AF2209" s="223">
        <v>6.2053191999999999</v>
      </c>
      <c r="AG2209" s="223">
        <v>0.72844810000000004</v>
      </c>
      <c r="AH2209" s="341"/>
      <c r="AI2209" s="218"/>
      <c r="AJ2209" s="218"/>
      <c r="AK2209" s="153"/>
      <c r="AL2209" s="152"/>
      <c r="AM2209" s="152"/>
      <c r="AN2209" s="152"/>
      <c r="AO2209" s="152"/>
      <c r="AP2209" s="152"/>
      <c r="AQ2209" s="152"/>
      <c r="AR2209" s="152"/>
      <c r="AS2209" s="152"/>
      <c r="AT2209" s="152"/>
      <c r="AU2209" s="153"/>
      <c r="AV2209" s="479"/>
      <c r="AW2209" s="479"/>
      <c r="AX2209" s="442"/>
      <c r="AY2209" s="153"/>
      <c r="AZ2209" s="152"/>
      <c r="BA2209" s="152"/>
      <c r="BB2209" s="152"/>
      <c r="BC2209" s="152"/>
      <c r="BD2209" s="152"/>
      <c r="BE2209" s="152"/>
      <c r="BF2209" s="152"/>
      <c r="BG2209" s="152"/>
      <c r="BH2209" s="152"/>
      <c r="BI2209" s="153"/>
      <c r="BJ2209" s="153"/>
      <c r="BK2209" s="153"/>
      <c r="BL2209" s="153"/>
      <c r="BM2209" s="153"/>
      <c r="BN2209" s="153"/>
      <c r="BO2209" s="153"/>
      <c r="BP2209" s="153"/>
      <c r="BQ2209" s="153"/>
      <c r="BR2209" s="153"/>
      <c r="BS2209" s="153"/>
      <c r="BT2209" s="153"/>
      <c r="BU2209" s="153"/>
      <c r="BV2209" s="153"/>
      <c r="BW2209" s="153"/>
      <c r="BX2209" s="153"/>
      <c r="BY2209" s="153"/>
      <c r="BZ2209" s="153"/>
      <c r="CA2209" s="152"/>
      <c r="CB2209" s="152"/>
    </row>
    <row r="2210" spans="1:80" s="87" customFormat="1" x14ac:dyDescent="0.2">
      <c r="A2210" s="152"/>
      <c r="B2210" s="683"/>
      <c r="C2210" s="683"/>
      <c r="D2210" s="698"/>
      <c r="E2210" s="215"/>
      <c r="F2210" s="215"/>
      <c r="G2210" s="153"/>
      <c r="H2210" s="153"/>
      <c r="I2210" s="153"/>
      <c r="J2210" s="153"/>
      <c r="K2210" s="153"/>
      <c r="L2210" s="653"/>
      <c r="M2210" s="663">
        <v>32281</v>
      </c>
      <c r="N2210" s="600">
        <v>15.968532000000002</v>
      </c>
      <c r="O2210" s="604">
        <v>3.1173119999999997E-3</v>
      </c>
      <c r="P2210" s="849"/>
      <c r="Q2210" s="849"/>
      <c r="R2210" s="849"/>
      <c r="S2210" s="849"/>
      <c r="T2210" s="849"/>
      <c r="U2210" s="849"/>
      <c r="V2210" s="488"/>
      <c r="W2210" s="489"/>
      <c r="X2210" s="488"/>
      <c r="Y2210" s="488"/>
      <c r="Z2210" s="152"/>
      <c r="AA2210" s="152"/>
      <c r="AB2210" s="152"/>
      <c r="AC2210" s="152"/>
      <c r="AD2210" s="223">
        <v>14.62992</v>
      </c>
      <c r="AE2210" s="223">
        <v>0.85645990000000005</v>
      </c>
      <c r="AF2210" s="223">
        <v>12.512821799999999</v>
      </c>
      <c r="AG2210" s="223">
        <v>1.3136448999999999</v>
      </c>
      <c r="AH2210" s="341"/>
      <c r="AI2210" s="218"/>
      <c r="AJ2210" s="218"/>
      <c r="AK2210" s="153"/>
      <c r="AL2210" s="152"/>
      <c r="AM2210" s="152"/>
      <c r="AN2210" s="152"/>
      <c r="AO2210" s="152"/>
      <c r="AP2210" s="152"/>
      <c r="AQ2210" s="152"/>
      <c r="AR2210" s="152"/>
      <c r="AS2210" s="152"/>
      <c r="AT2210" s="152"/>
      <c r="AU2210" s="153"/>
      <c r="AV2210" s="479"/>
      <c r="AW2210" s="479"/>
      <c r="AX2210" s="442"/>
      <c r="AY2210" s="153"/>
      <c r="AZ2210" s="152"/>
      <c r="BA2210" s="152"/>
      <c r="BB2210" s="152"/>
      <c r="BC2210" s="152"/>
      <c r="BD2210" s="152"/>
      <c r="BE2210" s="152"/>
      <c r="BF2210" s="152"/>
      <c r="BG2210" s="152"/>
      <c r="BH2210" s="152"/>
      <c r="BI2210" s="153"/>
      <c r="BJ2210" s="153"/>
      <c r="BK2210" s="153"/>
      <c r="BL2210" s="153"/>
      <c r="BM2210" s="153"/>
      <c r="BN2210" s="153"/>
      <c r="BO2210" s="153"/>
      <c r="BP2210" s="153"/>
      <c r="BQ2210" s="153"/>
      <c r="BR2210" s="153"/>
      <c r="BS2210" s="153"/>
      <c r="BT2210" s="153"/>
      <c r="BU2210" s="153"/>
      <c r="BV2210" s="153"/>
      <c r="BW2210" s="153"/>
      <c r="BX2210" s="153"/>
      <c r="BY2210" s="153"/>
      <c r="BZ2210" s="153"/>
      <c r="CA2210" s="152"/>
      <c r="CB2210" s="152"/>
    </row>
    <row r="2211" spans="1:80" s="87" customFormat="1" x14ac:dyDescent="0.2">
      <c r="A2211" s="152"/>
      <c r="B2211" s="683"/>
      <c r="C2211" s="683"/>
      <c r="D2211" s="698"/>
      <c r="E2211" s="215"/>
      <c r="F2211" s="215"/>
      <c r="G2211" s="153"/>
      <c r="H2211" s="153"/>
      <c r="I2211" s="153"/>
      <c r="J2211" s="153"/>
      <c r="K2211" s="153"/>
      <c r="L2211" s="653"/>
      <c r="M2211" s="663">
        <v>32296</v>
      </c>
      <c r="N2211" s="600">
        <v>13.986622000000001</v>
      </c>
      <c r="O2211" s="604">
        <v>2.3825920000000002E-3</v>
      </c>
      <c r="P2211" s="849"/>
      <c r="Q2211" s="849"/>
      <c r="R2211" s="849"/>
      <c r="S2211" s="849"/>
      <c r="T2211" s="849"/>
      <c r="U2211" s="849"/>
      <c r="V2211" s="488"/>
      <c r="W2211" s="489"/>
      <c r="X2211" s="488"/>
      <c r="Y2211" s="488"/>
      <c r="Z2211" s="152"/>
      <c r="AA2211" s="152"/>
      <c r="AB2211" s="152"/>
      <c r="AC2211" s="152"/>
      <c r="AD2211" s="223">
        <v>14.934710000000001</v>
      </c>
      <c r="AE2211" s="223">
        <v>0.75892709999999997</v>
      </c>
      <c r="AF2211" s="223">
        <v>11.337712700000001</v>
      </c>
      <c r="AG2211" s="223">
        <v>1.2404953000000001</v>
      </c>
      <c r="AH2211" s="341"/>
      <c r="AI2211" s="218"/>
      <c r="AJ2211" s="218"/>
      <c r="AK2211" s="153"/>
      <c r="AL2211" s="152"/>
      <c r="AM2211" s="152"/>
      <c r="AN2211" s="152"/>
      <c r="AO2211" s="152"/>
      <c r="AP2211" s="152"/>
      <c r="AQ2211" s="152"/>
      <c r="AR2211" s="152"/>
      <c r="AS2211" s="152"/>
      <c r="AT2211" s="152"/>
      <c r="AU2211" s="153"/>
      <c r="AV2211" s="479"/>
      <c r="AW2211" s="479"/>
      <c r="AX2211" s="442"/>
      <c r="AY2211" s="153"/>
      <c r="AZ2211" s="152"/>
      <c r="BA2211" s="152"/>
      <c r="BB2211" s="152"/>
      <c r="BC2211" s="152"/>
      <c r="BD2211" s="152"/>
      <c r="BE2211" s="152"/>
      <c r="BF2211" s="152"/>
      <c r="BG2211" s="152"/>
      <c r="BH2211" s="152"/>
      <c r="BI2211" s="153"/>
      <c r="BJ2211" s="153"/>
      <c r="BK2211" s="153"/>
      <c r="BL2211" s="153"/>
      <c r="BM2211" s="153"/>
      <c r="BN2211" s="153"/>
      <c r="BO2211" s="153"/>
      <c r="BP2211" s="153"/>
      <c r="BQ2211" s="153"/>
      <c r="BR2211" s="153"/>
      <c r="BS2211" s="153"/>
      <c r="BT2211" s="153"/>
      <c r="BU2211" s="153"/>
      <c r="BV2211" s="153"/>
      <c r="BW2211" s="153"/>
      <c r="BX2211" s="153"/>
      <c r="BY2211" s="153"/>
      <c r="BZ2211" s="153"/>
      <c r="CA2211" s="152"/>
      <c r="CB2211" s="152"/>
    </row>
    <row r="2212" spans="1:80" s="87" customFormat="1" x14ac:dyDescent="0.2">
      <c r="A2212" s="152"/>
      <c r="B2212" s="683"/>
      <c r="C2212" s="683"/>
      <c r="D2212" s="698"/>
      <c r="E2212" s="215"/>
      <c r="F2212" s="215"/>
      <c r="G2212" s="153"/>
      <c r="H2212" s="153"/>
      <c r="I2212" s="153"/>
      <c r="J2212" s="153"/>
      <c r="K2212" s="153"/>
      <c r="L2212" s="653"/>
      <c r="M2212" s="663">
        <v>32637</v>
      </c>
      <c r="N2212" s="600">
        <v>22.622087000000001</v>
      </c>
      <c r="O2212" s="604">
        <v>3.6211199999999998E-3</v>
      </c>
      <c r="P2212" s="849"/>
      <c r="Q2212" s="849"/>
      <c r="R2212" s="849"/>
      <c r="S2212" s="849"/>
      <c r="T2212" s="849"/>
      <c r="U2212" s="849"/>
      <c r="V2212" s="488"/>
      <c r="W2212" s="489"/>
      <c r="X2212" s="488"/>
      <c r="Y2212" s="488"/>
      <c r="Z2212" s="152"/>
      <c r="AA2212" s="152"/>
      <c r="AB2212" s="152"/>
      <c r="AC2212" s="152"/>
      <c r="AD2212" s="223">
        <v>15.2395</v>
      </c>
      <c r="AE2212" s="223">
        <v>0.86255570000000004</v>
      </c>
      <c r="AF2212" s="223">
        <v>13.1352116</v>
      </c>
      <c r="AG2212" s="223">
        <v>1.584908</v>
      </c>
      <c r="AH2212" s="341"/>
      <c r="AI2212" s="218"/>
      <c r="AJ2212" s="218"/>
      <c r="AK2212" s="153"/>
      <c r="AL2212" s="152"/>
      <c r="AM2212" s="152"/>
      <c r="AN2212" s="152"/>
      <c r="AO2212" s="152"/>
      <c r="AP2212" s="152"/>
      <c r="AQ2212" s="152"/>
      <c r="AR2212" s="152"/>
      <c r="AS2212" s="152"/>
      <c r="AT2212" s="152"/>
      <c r="AU2212" s="153"/>
      <c r="AV2212" s="479"/>
      <c r="AW2212" s="479"/>
      <c r="AX2212" s="442"/>
      <c r="AY2212" s="153"/>
      <c r="AZ2212" s="152"/>
      <c r="BA2212" s="152"/>
      <c r="BB2212" s="152"/>
      <c r="BC2212" s="152"/>
      <c r="BD2212" s="152"/>
      <c r="BE2212" s="152"/>
      <c r="BF2212" s="152"/>
      <c r="BG2212" s="152"/>
      <c r="BH2212" s="152"/>
      <c r="BI2212" s="153"/>
      <c r="BJ2212" s="153"/>
      <c r="BK2212" s="153"/>
      <c r="BL2212" s="153"/>
      <c r="BM2212" s="153"/>
      <c r="BN2212" s="153"/>
      <c r="BO2212" s="153"/>
      <c r="BP2212" s="153"/>
      <c r="BQ2212" s="153"/>
      <c r="BR2212" s="153"/>
      <c r="BS2212" s="153"/>
      <c r="BT2212" s="153"/>
      <c r="BU2212" s="153"/>
      <c r="BV2212" s="153"/>
      <c r="BW2212" s="153"/>
      <c r="BX2212" s="153"/>
      <c r="BY2212" s="153"/>
      <c r="BZ2212" s="153"/>
      <c r="CA2212" s="152"/>
      <c r="CB2212" s="152"/>
    </row>
    <row r="2213" spans="1:80" s="87" customFormat="1" x14ac:dyDescent="0.2">
      <c r="A2213" s="152"/>
      <c r="B2213" s="683"/>
      <c r="C2213" s="683"/>
      <c r="D2213" s="698"/>
      <c r="E2213" s="215"/>
      <c r="F2213" s="215"/>
      <c r="G2213" s="153"/>
      <c r="H2213" s="153"/>
      <c r="I2213" s="153"/>
      <c r="J2213" s="153"/>
      <c r="K2213" s="153"/>
      <c r="L2213" s="653"/>
      <c r="M2213" s="663">
        <v>32647</v>
      </c>
      <c r="N2213" s="600">
        <v>11.155322</v>
      </c>
      <c r="O2213" s="604">
        <v>6.9063679999999995E-4</v>
      </c>
      <c r="P2213" s="849"/>
      <c r="Q2213" s="849"/>
      <c r="R2213" s="849"/>
      <c r="S2213" s="849"/>
      <c r="T2213" s="849"/>
      <c r="U2213" s="849"/>
      <c r="V2213" s="488"/>
      <c r="W2213" s="489"/>
      <c r="X2213" s="488"/>
      <c r="Y2213" s="488"/>
      <c r="Z2213" s="152"/>
      <c r="AA2213" s="152"/>
      <c r="AB2213" s="152"/>
      <c r="AC2213" s="152"/>
      <c r="AD2213" s="223">
        <v>14.62992</v>
      </c>
      <c r="AE2213" s="223">
        <v>0.66139429999999999</v>
      </c>
      <c r="AF2213" s="223">
        <v>9.6888442000000001</v>
      </c>
      <c r="AG2213" s="223">
        <v>1.1460104</v>
      </c>
      <c r="AH2213" s="341"/>
      <c r="AI2213" s="218"/>
      <c r="AJ2213" s="218"/>
      <c r="AK2213" s="153"/>
      <c r="AL2213" s="152"/>
      <c r="AM2213" s="152"/>
      <c r="AN2213" s="152"/>
      <c r="AO2213" s="152"/>
      <c r="AP2213" s="152"/>
      <c r="AQ2213" s="152"/>
      <c r="AR2213" s="152"/>
      <c r="AS2213" s="152"/>
      <c r="AT2213" s="152"/>
      <c r="AU2213" s="153"/>
      <c r="AV2213" s="479"/>
      <c r="AW2213" s="479"/>
      <c r="AX2213" s="442"/>
      <c r="AY2213" s="153"/>
      <c r="AZ2213" s="152"/>
      <c r="BA2213" s="152"/>
      <c r="BB2213" s="152"/>
      <c r="BC2213" s="152"/>
      <c r="BD2213" s="152"/>
      <c r="BE2213" s="152"/>
      <c r="BF2213" s="152"/>
      <c r="BG2213" s="152"/>
      <c r="BH2213" s="152"/>
      <c r="BI2213" s="153"/>
      <c r="BJ2213" s="153"/>
      <c r="BK2213" s="153"/>
      <c r="BL2213" s="153"/>
      <c r="BM2213" s="153"/>
      <c r="BN2213" s="153"/>
      <c r="BO2213" s="153"/>
      <c r="BP2213" s="153"/>
      <c r="BQ2213" s="153"/>
      <c r="BR2213" s="153"/>
      <c r="BS2213" s="153"/>
      <c r="BT2213" s="153"/>
      <c r="BU2213" s="153"/>
      <c r="BV2213" s="153"/>
      <c r="BW2213" s="153"/>
      <c r="BX2213" s="153"/>
      <c r="BY2213" s="153"/>
      <c r="BZ2213" s="153"/>
      <c r="CA2213" s="152"/>
      <c r="CB2213" s="152"/>
    </row>
    <row r="2214" spans="1:80" s="87" customFormat="1" x14ac:dyDescent="0.2">
      <c r="A2214" s="152"/>
      <c r="B2214" s="683"/>
      <c r="C2214" s="683"/>
      <c r="D2214" s="698"/>
      <c r="E2214" s="215"/>
      <c r="F2214" s="215"/>
      <c r="G2214" s="153"/>
      <c r="H2214" s="153"/>
      <c r="I2214" s="153"/>
      <c r="J2214" s="153"/>
      <c r="K2214" s="153"/>
      <c r="L2214" s="653"/>
      <c r="M2214" s="663">
        <v>32661</v>
      </c>
      <c r="N2214" s="600">
        <v>11.325200000000001</v>
      </c>
      <c r="O2214" s="604">
        <v>4.2193920000000006E-3</v>
      </c>
      <c r="P2214" s="849"/>
      <c r="Q2214" s="849"/>
      <c r="R2214" s="849"/>
      <c r="S2214" s="849"/>
      <c r="T2214" s="849"/>
      <c r="U2214" s="849"/>
      <c r="V2214" s="488"/>
      <c r="W2214" s="489"/>
      <c r="X2214" s="488"/>
      <c r="Y2214" s="488"/>
      <c r="Z2214" s="152"/>
      <c r="AA2214" s="152"/>
      <c r="AB2214" s="152"/>
      <c r="AC2214" s="152"/>
      <c r="AD2214" s="223">
        <v>14.934710000000001</v>
      </c>
      <c r="AE2214" s="223">
        <v>0.6583464</v>
      </c>
      <c r="AF2214" s="223">
        <v>9.8421193000000002</v>
      </c>
      <c r="AG2214" s="223">
        <v>1.1490583000000001</v>
      </c>
      <c r="AH2214" s="341"/>
      <c r="AI2214" s="218"/>
      <c r="AJ2214" s="218"/>
      <c r="AK2214" s="153"/>
      <c r="AL2214" s="152"/>
      <c r="AM2214" s="152"/>
      <c r="AN2214" s="152"/>
      <c r="AO2214" s="152"/>
      <c r="AP2214" s="152"/>
      <c r="AQ2214" s="152"/>
      <c r="AR2214" s="152"/>
      <c r="AS2214" s="152"/>
      <c r="AT2214" s="152"/>
      <c r="AU2214" s="153"/>
      <c r="AV2214" s="479"/>
      <c r="AW2214" s="479"/>
      <c r="AX2214" s="442"/>
      <c r="AY2214" s="153"/>
      <c r="AZ2214" s="152"/>
      <c r="BA2214" s="152"/>
      <c r="BB2214" s="152"/>
      <c r="BC2214" s="152"/>
      <c r="BD2214" s="152"/>
      <c r="BE2214" s="152"/>
      <c r="BF2214" s="152"/>
      <c r="BG2214" s="152"/>
      <c r="BH2214" s="152"/>
      <c r="BI2214" s="153"/>
      <c r="BJ2214" s="153"/>
      <c r="BK2214" s="153"/>
      <c r="BL2214" s="153"/>
      <c r="BM2214" s="153"/>
      <c r="BN2214" s="153"/>
      <c r="BO2214" s="153"/>
      <c r="BP2214" s="153"/>
      <c r="BQ2214" s="153"/>
      <c r="BR2214" s="153"/>
      <c r="BS2214" s="153"/>
      <c r="BT2214" s="153"/>
      <c r="BU2214" s="153"/>
      <c r="BV2214" s="153"/>
      <c r="BW2214" s="153"/>
      <c r="BX2214" s="153"/>
      <c r="BY2214" s="153"/>
      <c r="BZ2214" s="153"/>
      <c r="CA2214" s="152"/>
      <c r="CB2214" s="152"/>
    </row>
    <row r="2215" spans="1:80" s="87" customFormat="1" x14ac:dyDescent="0.2">
      <c r="A2215" s="152"/>
      <c r="B2215" s="683"/>
      <c r="C2215" s="683"/>
      <c r="D2215" s="698"/>
      <c r="E2215" s="215"/>
      <c r="F2215" s="215"/>
      <c r="G2215" s="153"/>
      <c r="H2215" s="153"/>
      <c r="I2215" s="153"/>
      <c r="J2215" s="153"/>
      <c r="K2215" s="153"/>
      <c r="L2215" s="653"/>
      <c r="M2215" s="663">
        <v>32671</v>
      </c>
      <c r="N2215" s="600">
        <v>13.561927000000001</v>
      </c>
      <c r="O2215" s="604">
        <v>3.5896320000000003E-4</v>
      </c>
      <c r="P2215" s="849"/>
      <c r="Q2215" s="849"/>
      <c r="R2215" s="849"/>
      <c r="S2215" s="849"/>
      <c r="T2215" s="849"/>
      <c r="U2215" s="849"/>
      <c r="V2215" s="488"/>
      <c r="W2215" s="489"/>
      <c r="X2215" s="488"/>
      <c r="Y2215" s="488"/>
      <c r="Z2215" s="152"/>
      <c r="AA2215" s="152"/>
      <c r="AB2215" s="152"/>
      <c r="AC2215" s="152"/>
      <c r="AD2215" s="223">
        <v>15.2395</v>
      </c>
      <c r="AE2215" s="223">
        <v>0.71320859999999997</v>
      </c>
      <c r="AF2215" s="223">
        <v>10.8593086</v>
      </c>
      <c r="AG2215" s="223">
        <v>1.2953574999999999</v>
      </c>
      <c r="AH2215" s="341"/>
      <c r="AI2215" s="218"/>
      <c r="AJ2215" s="218"/>
      <c r="AK2215" s="153"/>
      <c r="AL2215" s="152"/>
      <c r="AM2215" s="152"/>
      <c r="AN2215" s="152"/>
      <c r="AO2215" s="152"/>
      <c r="AP2215" s="152"/>
      <c r="AQ2215" s="152"/>
      <c r="AR2215" s="152"/>
      <c r="AS2215" s="152"/>
      <c r="AT2215" s="152"/>
      <c r="AU2215" s="153"/>
      <c r="AV2215" s="479"/>
      <c r="AW2215" s="479"/>
      <c r="AX2215" s="442"/>
      <c r="AY2215" s="153"/>
      <c r="AZ2215" s="152"/>
      <c r="BA2215" s="152"/>
      <c r="BB2215" s="152"/>
      <c r="BC2215" s="152"/>
      <c r="BD2215" s="152"/>
      <c r="BE2215" s="152"/>
      <c r="BF2215" s="152"/>
      <c r="BG2215" s="152"/>
      <c r="BH2215" s="152"/>
      <c r="BI2215" s="153"/>
      <c r="BJ2215" s="153"/>
      <c r="BK2215" s="153"/>
      <c r="BL2215" s="153"/>
      <c r="BM2215" s="153"/>
      <c r="BN2215" s="153"/>
      <c r="BO2215" s="153"/>
      <c r="BP2215" s="153"/>
      <c r="BQ2215" s="153"/>
      <c r="BR2215" s="153"/>
      <c r="BS2215" s="153"/>
      <c r="BT2215" s="153"/>
      <c r="BU2215" s="153"/>
      <c r="BV2215" s="153"/>
      <c r="BW2215" s="153"/>
      <c r="BX2215" s="153"/>
      <c r="BY2215" s="153"/>
      <c r="BZ2215" s="153"/>
      <c r="CA2215" s="152"/>
      <c r="CB2215" s="152"/>
    </row>
    <row r="2216" spans="1:80" s="87" customFormat="1" x14ac:dyDescent="0.2">
      <c r="A2216" s="152"/>
      <c r="B2216" s="683"/>
      <c r="C2216" s="683"/>
      <c r="D2216" s="698"/>
      <c r="E2216" s="215"/>
      <c r="F2216" s="215"/>
      <c r="G2216" s="153"/>
      <c r="H2216" s="153"/>
      <c r="I2216" s="153"/>
      <c r="J2216" s="153"/>
      <c r="K2216" s="153"/>
      <c r="L2216" s="653"/>
      <c r="M2216" s="663">
        <v>32701</v>
      </c>
      <c r="N2216" s="600">
        <v>3.2843080000000002</v>
      </c>
      <c r="O2216" s="604">
        <v>5.4264320000000003E-5</v>
      </c>
      <c r="P2216" s="849"/>
      <c r="Q2216" s="849"/>
      <c r="R2216" s="849"/>
      <c r="S2216" s="849"/>
      <c r="T2216" s="849"/>
      <c r="U2216" s="849"/>
      <c r="V2216" s="488"/>
      <c r="W2216" s="489"/>
      <c r="X2216" s="488"/>
      <c r="Y2216" s="488"/>
      <c r="Z2216" s="152"/>
      <c r="AA2216" s="152"/>
      <c r="AB2216" s="152"/>
      <c r="AC2216" s="152"/>
      <c r="AD2216" s="223">
        <v>11.277229999999999</v>
      </c>
      <c r="AE2216" s="223">
        <v>0.49985560000000001</v>
      </c>
      <c r="AF2216" s="223">
        <v>5.6386658000000001</v>
      </c>
      <c r="AG2216" s="223">
        <v>0.58214889999999997</v>
      </c>
      <c r="AH2216" s="341"/>
      <c r="AI2216" s="218"/>
      <c r="AJ2216" s="218"/>
      <c r="AK2216" s="153"/>
      <c r="AL2216" s="152"/>
      <c r="AM2216" s="152"/>
      <c r="AN2216" s="152"/>
      <c r="AO2216" s="152"/>
      <c r="AP2216" s="152"/>
      <c r="AQ2216" s="152"/>
      <c r="AR2216" s="152"/>
      <c r="AS2216" s="152"/>
      <c r="AT2216" s="152"/>
      <c r="AU2216" s="153"/>
      <c r="AV2216" s="479"/>
      <c r="AW2216" s="479"/>
      <c r="AX2216" s="442"/>
      <c r="AY2216" s="153"/>
      <c r="AZ2216" s="152"/>
      <c r="BA2216" s="152"/>
      <c r="BB2216" s="152"/>
      <c r="BC2216" s="152"/>
      <c r="BD2216" s="152"/>
      <c r="BE2216" s="152"/>
      <c r="BF2216" s="152"/>
      <c r="BG2216" s="152"/>
      <c r="BH2216" s="152"/>
      <c r="BI2216" s="153"/>
      <c r="BJ2216" s="153"/>
      <c r="BK2216" s="153"/>
      <c r="BL2216" s="153"/>
      <c r="BM2216" s="153"/>
      <c r="BN2216" s="153"/>
      <c r="BO2216" s="153"/>
      <c r="BP2216" s="153"/>
      <c r="BQ2216" s="153"/>
      <c r="BR2216" s="153"/>
      <c r="BS2216" s="153"/>
      <c r="BT2216" s="153"/>
      <c r="BU2216" s="153"/>
      <c r="BV2216" s="153"/>
      <c r="BW2216" s="153"/>
      <c r="BX2216" s="153"/>
      <c r="BY2216" s="153"/>
      <c r="BZ2216" s="153"/>
      <c r="CA2216" s="152"/>
      <c r="CB2216" s="152"/>
    </row>
    <row r="2217" spans="1:80" s="87" customFormat="1" x14ac:dyDescent="0.2">
      <c r="A2217" s="152"/>
      <c r="B2217" s="683"/>
      <c r="C2217" s="683"/>
      <c r="D2217" s="698"/>
      <c r="E2217" s="215"/>
      <c r="F2217" s="215"/>
      <c r="G2217" s="153"/>
      <c r="H2217" s="153"/>
      <c r="I2217" s="153"/>
      <c r="J2217" s="153"/>
      <c r="K2217" s="153"/>
      <c r="L2217" s="653"/>
      <c r="M2217" s="663">
        <v>32973</v>
      </c>
      <c r="N2217" s="600">
        <v>3.7373160000000003</v>
      </c>
      <c r="O2217" s="604">
        <v>5.5313919999999998E-4</v>
      </c>
      <c r="P2217" s="849"/>
      <c r="Q2217" s="849"/>
      <c r="R2217" s="849"/>
      <c r="S2217" s="849"/>
      <c r="T2217" s="849"/>
      <c r="U2217" s="849"/>
      <c r="V2217" s="488"/>
      <c r="W2217" s="489"/>
      <c r="X2217" s="488"/>
      <c r="Y2217" s="488"/>
      <c r="Z2217" s="152"/>
      <c r="AA2217" s="152"/>
      <c r="AB2217" s="152"/>
      <c r="AC2217" s="152"/>
      <c r="AD2217" s="223">
        <v>10.972440000000001</v>
      </c>
      <c r="AE2217" s="223">
        <v>0.51204720000000004</v>
      </c>
      <c r="AF2217" s="223">
        <v>5.6107975999999997</v>
      </c>
      <c r="AG2217" s="223">
        <v>0.69492120000000002</v>
      </c>
      <c r="AH2217" s="341"/>
      <c r="AI2217" s="218"/>
      <c r="AJ2217" s="218"/>
      <c r="AK2217" s="153"/>
      <c r="AL2217" s="152"/>
      <c r="AM2217" s="152"/>
      <c r="AN2217" s="152"/>
      <c r="AO2217" s="152"/>
      <c r="AP2217" s="152"/>
      <c r="AQ2217" s="152"/>
      <c r="AR2217" s="152"/>
      <c r="AS2217" s="152"/>
      <c r="AT2217" s="152"/>
      <c r="AU2217" s="153"/>
      <c r="AV2217" s="479"/>
      <c r="AW2217" s="479"/>
      <c r="AX2217" s="442"/>
      <c r="AY2217" s="153"/>
      <c r="AZ2217" s="152"/>
      <c r="BA2217" s="152"/>
      <c r="BB2217" s="152"/>
      <c r="BC2217" s="152"/>
      <c r="BD2217" s="152"/>
      <c r="BE2217" s="152"/>
      <c r="BF2217" s="152"/>
      <c r="BG2217" s="152"/>
      <c r="BH2217" s="152"/>
      <c r="BI2217" s="153"/>
      <c r="BJ2217" s="153"/>
      <c r="BK2217" s="153"/>
      <c r="BL2217" s="153"/>
      <c r="BM2217" s="153"/>
      <c r="BN2217" s="153"/>
      <c r="BO2217" s="153"/>
      <c r="BP2217" s="153"/>
      <c r="BQ2217" s="153"/>
      <c r="BR2217" s="153"/>
      <c r="BS2217" s="153"/>
      <c r="BT2217" s="153"/>
      <c r="BU2217" s="153"/>
      <c r="BV2217" s="153"/>
      <c r="BW2217" s="153"/>
      <c r="BX2217" s="153"/>
      <c r="BY2217" s="153"/>
      <c r="BZ2217" s="153"/>
      <c r="CA2217" s="152"/>
      <c r="CB2217" s="152"/>
    </row>
    <row r="2218" spans="1:80" s="87" customFormat="1" x14ac:dyDescent="0.2">
      <c r="A2218" s="152"/>
      <c r="B2218" s="683"/>
      <c r="C2218" s="683"/>
      <c r="D2218" s="698"/>
      <c r="E2218" s="215"/>
      <c r="F2218" s="215"/>
      <c r="G2218" s="153"/>
      <c r="H2218" s="153"/>
      <c r="I2218" s="153"/>
      <c r="J2218" s="153"/>
      <c r="K2218" s="153"/>
      <c r="L2218" s="653"/>
      <c r="M2218" s="663">
        <v>32994</v>
      </c>
      <c r="N2218" s="600">
        <v>4.7565840000000001</v>
      </c>
      <c r="O2218" s="604">
        <v>2.2671360000000001E-4</v>
      </c>
      <c r="P2218" s="849"/>
      <c r="Q2218" s="849"/>
      <c r="R2218" s="849"/>
      <c r="S2218" s="849"/>
      <c r="T2218" s="849"/>
      <c r="U2218" s="849"/>
      <c r="V2218" s="488"/>
      <c r="W2218" s="489"/>
      <c r="X2218" s="488"/>
      <c r="Y2218" s="488"/>
      <c r="Z2218" s="152"/>
      <c r="AA2218" s="152"/>
      <c r="AB2218" s="152"/>
      <c r="AC2218" s="152"/>
      <c r="AD2218" s="223">
        <v>11.58202</v>
      </c>
      <c r="AE2218" s="223">
        <v>0.5272867</v>
      </c>
      <c r="AF2218" s="223">
        <v>6.1124251999999997</v>
      </c>
      <c r="AG2218" s="223">
        <v>0.81378930000000005</v>
      </c>
      <c r="AH2218" s="341"/>
      <c r="AI2218" s="218"/>
      <c r="AJ2218" s="218"/>
      <c r="AK2218" s="153"/>
      <c r="AL2218" s="152"/>
      <c r="AM2218" s="152"/>
      <c r="AN2218" s="152"/>
      <c r="AO2218" s="152"/>
      <c r="AP2218" s="152"/>
      <c r="AQ2218" s="152"/>
      <c r="AR2218" s="152"/>
      <c r="AS2218" s="152"/>
      <c r="AT2218" s="152"/>
      <c r="AU2218" s="153"/>
      <c r="AV2218" s="479"/>
      <c r="AW2218" s="479"/>
      <c r="AX2218" s="442"/>
      <c r="AY2218" s="153"/>
      <c r="AZ2218" s="152"/>
      <c r="BA2218" s="152"/>
      <c r="BB2218" s="152"/>
      <c r="BC2218" s="152"/>
      <c r="BD2218" s="152"/>
      <c r="BE2218" s="152"/>
      <c r="BF2218" s="152"/>
      <c r="BG2218" s="152"/>
      <c r="BH2218" s="152"/>
      <c r="BI2218" s="153"/>
      <c r="BJ2218" s="153"/>
      <c r="BK2218" s="153"/>
      <c r="BL2218" s="153"/>
      <c r="BM2218" s="153"/>
      <c r="BN2218" s="153"/>
      <c r="BO2218" s="153"/>
      <c r="BP2218" s="153"/>
      <c r="BQ2218" s="153"/>
      <c r="BR2218" s="153"/>
      <c r="BS2218" s="153"/>
      <c r="BT2218" s="153"/>
      <c r="BU2218" s="153"/>
      <c r="BV2218" s="153"/>
      <c r="BW2218" s="153"/>
      <c r="BX2218" s="153"/>
      <c r="BY2218" s="153"/>
      <c r="BZ2218" s="153"/>
      <c r="CA2218" s="152"/>
      <c r="CB2218" s="152"/>
    </row>
    <row r="2219" spans="1:80" s="87" customFormat="1" x14ac:dyDescent="0.2">
      <c r="A2219" s="152"/>
      <c r="B2219" s="683"/>
      <c r="C2219" s="683"/>
      <c r="D2219" s="698"/>
      <c r="E2219" s="215"/>
      <c r="F2219" s="215"/>
      <c r="G2219" s="153"/>
      <c r="H2219" s="153"/>
      <c r="I2219" s="153"/>
      <c r="J2219" s="153"/>
      <c r="K2219" s="153"/>
      <c r="L2219" s="653"/>
      <c r="M2219" s="663">
        <v>33017</v>
      </c>
      <c r="N2219" s="600">
        <v>14.411317</v>
      </c>
      <c r="O2219" s="604">
        <v>1.8158079999999999E-3</v>
      </c>
      <c r="P2219" s="849"/>
      <c r="Q2219" s="849"/>
      <c r="R2219" s="849"/>
      <c r="S2219" s="849"/>
      <c r="T2219" s="849"/>
      <c r="U2219" s="849"/>
      <c r="V2219" s="488"/>
      <c r="W2219" s="489"/>
      <c r="X2219" s="488"/>
      <c r="Y2219" s="488"/>
      <c r="Z2219" s="152"/>
      <c r="AA2219" s="152"/>
      <c r="AB2219" s="152"/>
      <c r="AC2219" s="152"/>
      <c r="AD2219" s="223">
        <v>14.934710000000001</v>
      </c>
      <c r="AE2219" s="223">
        <v>0.71625649999999996</v>
      </c>
      <c r="AF2219" s="223">
        <v>10.7153229</v>
      </c>
      <c r="AG2219" s="223">
        <v>1.2740222000000001</v>
      </c>
      <c r="AH2219" s="341"/>
      <c r="AI2219" s="218"/>
      <c r="AJ2219" s="218"/>
      <c r="AK2219" s="153"/>
      <c r="AL2219" s="152"/>
      <c r="AM2219" s="152"/>
      <c r="AN2219" s="152"/>
      <c r="AO2219" s="152"/>
      <c r="AP2219" s="152"/>
      <c r="AQ2219" s="152"/>
      <c r="AR2219" s="152"/>
      <c r="AS2219" s="152"/>
      <c r="AT2219" s="152"/>
      <c r="AU2219" s="153"/>
      <c r="AV2219" s="479"/>
      <c r="AW2219" s="479"/>
      <c r="AX2219" s="442"/>
      <c r="AY2219" s="153"/>
      <c r="AZ2219" s="152"/>
      <c r="BA2219" s="152"/>
      <c r="BB2219" s="152"/>
      <c r="BC2219" s="152"/>
      <c r="BD2219" s="152"/>
      <c r="BE2219" s="152"/>
      <c r="BF2219" s="152"/>
      <c r="BG2219" s="152"/>
      <c r="BH2219" s="152"/>
      <c r="BI2219" s="153"/>
      <c r="BJ2219" s="153"/>
      <c r="BK2219" s="153"/>
      <c r="BL2219" s="153"/>
      <c r="BM2219" s="153"/>
      <c r="BN2219" s="153"/>
      <c r="BO2219" s="153"/>
      <c r="BP2219" s="153"/>
      <c r="BQ2219" s="153"/>
      <c r="BR2219" s="153"/>
      <c r="BS2219" s="153"/>
      <c r="BT2219" s="153"/>
      <c r="BU2219" s="153"/>
      <c r="BV2219" s="153"/>
      <c r="BW2219" s="153"/>
      <c r="BX2219" s="153"/>
      <c r="BY2219" s="153"/>
      <c r="BZ2219" s="153"/>
      <c r="CA2219" s="152"/>
      <c r="CB2219" s="152"/>
    </row>
    <row r="2220" spans="1:80" s="87" customFormat="1" x14ac:dyDescent="0.2">
      <c r="A2220" s="152"/>
      <c r="B2220" s="683"/>
      <c r="C2220" s="683"/>
      <c r="D2220" s="698"/>
      <c r="E2220" s="215"/>
      <c r="F2220" s="215"/>
      <c r="G2220" s="153"/>
      <c r="H2220" s="153"/>
      <c r="I2220" s="153"/>
      <c r="J2220" s="153"/>
      <c r="K2220" s="153"/>
      <c r="L2220" s="653"/>
      <c r="M2220" s="663">
        <v>33044</v>
      </c>
      <c r="N2220" s="600">
        <v>9.8246110000000009</v>
      </c>
      <c r="O2220" s="604">
        <v>3.4216959999999996E-4</v>
      </c>
      <c r="P2220" s="849"/>
      <c r="Q2220" s="849"/>
      <c r="R2220" s="849"/>
      <c r="S2220" s="849"/>
      <c r="T2220" s="849"/>
      <c r="U2220" s="849"/>
      <c r="V2220" s="488"/>
      <c r="W2220" s="489"/>
      <c r="X2220" s="488"/>
      <c r="Y2220" s="488"/>
      <c r="Z2220" s="152"/>
      <c r="AA2220" s="152"/>
      <c r="AB2220" s="152"/>
      <c r="AC2220" s="152"/>
      <c r="AD2220" s="223">
        <v>14.934710000000001</v>
      </c>
      <c r="AE2220" s="223">
        <v>0.59738840000000004</v>
      </c>
      <c r="AF2220" s="223">
        <v>8.9085345999999994</v>
      </c>
      <c r="AG2220" s="223">
        <v>1.0972440000000001</v>
      </c>
      <c r="AH2220" s="341"/>
      <c r="AI2220" s="218"/>
      <c r="AJ2220" s="218"/>
      <c r="AK2220" s="153"/>
      <c r="AL2220" s="152"/>
      <c r="AM2220" s="152"/>
      <c r="AN2220" s="152"/>
      <c r="AO2220" s="152"/>
      <c r="AP2220" s="152"/>
      <c r="AQ2220" s="152"/>
      <c r="AR2220" s="152"/>
      <c r="AS2220" s="152"/>
      <c r="AT2220" s="152"/>
      <c r="AU2220" s="153"/>
      <c r="AV2220" s="479"/>
      <c r="AW2220" s="479"/>
      <c r="AX2220" s="442"/>
      <c r="AY2220" s="153"/>
      <c r="AZ2220" s="152"/>
      <c r="BA2220" s="152"/>
      <c r="BB2220" s="152"/>
      <c r="BC2220" s="152"/>
      <c r="BD2220" s="152"/>
      <c r="BE2220" s="152"/>
      <c r="BF2220" s="152"/>
      <c r="BG2220" s="152"/>
      <c r="BH2220" s="152"/>
      <c r="BI2220" s="153"/>
      <c r="BJ2220" s="153"/>
      <c r="BK2220" s="153"/>
      <c r="BL2220" s="153"/>
      <c r="BM2220" s="153"/>
      <c r="BN2220" s="153"/>
      <c r="BO2220" s="153"/>
      <c r="BP2220" s="153"/>
      <c r="BQ2220" s="153"/>
      <c r="BR2220" s="153"/>
      <c r="BS2220" s="153"/>
      <c r="BT2220" s="153"/>
      <c r="BU2220" s="153"/>
      <c r="BV2220" s="153"/>
      <c r="BW2220" s="153"/>
      <c r="BX2220" s="153"/>
      <c r="BY2220" s="153"/>
      <c r="BZ2220" s="153"/>
      <c r="CA2220" s="152"/>
      <c r="CB2220" s="152"/>
    </row>
    <row r="2221" spans="1:80" s="87" customFormat="1" x14ac:dyDescent="0.2">
      <c r="A2221" s="152"/>
      <c r="B2221" s="683"/>
      <c r="C2221" s="683"/>
      <c r="D2221" s="698"/>
      <c r="E2221" s="215"/>
      <c r="F2221" s="215"/>
      <c r="G2221" s="153"/>
      <c r="H2221" s="153"/>
      <c r="I2221" s="153"/>
      <c r="J2221" s="153"/>
      <c r="K2221" s="153"/>
      <c r="L2221" s="653"/>
      <c r="M2221" s="663">
        <v>33360</v>
      </c>
      <c r="N2221" s="600">
        <v>4.7565840000000001</v>
      </c>
      <c r="O2221" s="604">
        <v>6.2975999999999993E-4</v>
      </c>
      <c r="P2221" s="849"/>
      <c r="Q2221" s="849"/>
      <c r="R2221" s="849"/>
      <c r="S2221" s="849"/>
      <c r="T2221" s="849"/>
      <c r="U2221" s="849"/>
      <c r="V2221" s="488"/>
      <c r="W2221" s="489"/>
      <c r="X2221" s="488"/>
      <c r="Y2221" s="488"/>
      <c r="Z2221" s="152"/>
      <c r="AA2221" s="152"/>
      <c r="AB2221" s="152"/>
      <c r="AC2221" s="152"/>
      <c r="AD2221" s="223">
        <v>12.191599999999999</v>
      </c>
      <c r="AE2221" s="223">
        <v>0.52119090000000001</v>
      </c>
      <c r="AF2221" s="223">
        <v>6.3632390000000001</v>
      </c>
      <c r="AG2221" s="223">
        <v>0.74978339999999999</v>
      </c>
      <c r="AH2221" s="341"/>
      <c r="AI2221" s="218"/>
      <c r="AJ2221" s="218"/>
      <c r="AK2221" s="153"/>
      <c r="AL2221" s="152"/>
      <c r="AM2221" s="152"/>
      <c r="AN2221" s="152"/>
      <c r="AO2221" s="152"/>
      <c r="AP2221" s="152"/>
      <c r="AQ2221" s="152"/>
      <c r="AR2221" s="152"/>
      <c r="AS2221" s="152"/>
      <c r="AT2221" s="152"/>
      <c r="AU2221" s="153"/>
      <c r="AV2221" s="479"/>
      <c r="AW2221" s="479"/>
      <c r="AX2221" s="442"/>
      <c r="AY2221" s="153"/>
      <c r="AZ2221" s="152"/>
      <c r="BA2221" s="152"/>
      <c r="BB2221" s="152"/>
      <c r="BC2221" s="152"/>
      <c r="BD2221" s="152"/>
      <c r="BE2221" s="152"/>
      <c r="BF2221" s="152"/>
      <c r="BG2221" s="152"/>
      <c r="BH2221" s="152"/>
      <c r="BI2221" s="153"/>
      <c r="BJ2221" s="153"/>
      <c r="BK2221" s="153"/>
      <c r="BL2221" s="153"/>
      <c r="BM2221" s="153"/>
      <c r="BN2221" s="153"/>
      <c r="BO2221" s="153"/>
      <c r="BP2221" s="153"/>
      <c r="BQ2221" s="153"/>
      <c r="BR2221" s="153"/>
      <c r="BS2221" s="153"/>
      <c r="BT2221" s="153"/>
      <c r="BU2221" s="153"/>
      <c r="BV2221" s="153"/>
      <c r="BW2221" s="153"/>
      <c r="BX2221" s="153"/>
      <c r="BY2221" s="153"/>
      <c r="BZ2221" s="153"/>
      <c r="CA2221" s="152"/>
      <c r="CB2221" s="152"/>
    </row>
    <row r="2222" spans="1:80" s="87" customFormat="1" x14ac:dyDescent="0.2">
      <c r="A2222" s="152"/>
      <c r="B2222" s="683"/>
      <c r="C2222" s="683"/>
      <c r="D2222" s="698"/>
      <c r="E2222" s="215"/>
      <c r="F2222" s="215"/>
      <c r="G2222" s="153"/>
      <c r="H2222" s="153"/>
      <c r="I2222" s="153"/>
      <c r="J2222" s="153"/>
      <c r="K2222" s="153"/>
      <c r="L2222" s="653"/>
      <c r="M2222" s="663">
        <v>33386</v>
      </c>
      <c r="N2222" s="600">
        <v>11.523391</v>
      </c>
      <c r="O2222" s="604">
        <v>7.9664639999999995E-4</v>
      </c>
      <c r="P2222" s="849"/>
      <c r="Q2222" s="849"/>
      <c r="R2222" s="849"/>
      <c r="S2222" s="849"/>
      <c r="T2222" s="849"/>
      <c r="U2222" s="849"/>
      <c r="V2222" s="488"/>
      <c r="W2222" s="489"/>
      <c r="X2222" s="488"/>
      <c r="Y2222" s="488"/>
      <c r="Z2222" s="152"/>
      <c r="AA2222" s="152"/>
      <c r="AB2222" s="152"/>
      <c r="AC2222" s="152"/>
      <c r="AD2222" s="223">
        <v>15.2395</v>
      </c>
      <c r="AE2222" s="223">
        <v>0.64615480000000003</v>
      </c>
      <c r="AF2222" s="223">
        <v>9.8467640000000003</v>
      </c>
      <c r="AG2222" s="223">
        <v>1.1673457</v>
      </c>
      <c r="AH2222" s="341"/>
      <c r="AI2222" s="218"/>
      <c r="AJ2222" s="218"/>
      <c r="AK2222" s="153"/>
      <c r="AL2222" s="152"/>
      <c r="AM2222" s="152"/>
      <c r="AN2222" s="152"/>
      <c r="AO2222" s="152"/>
      <c r="AP2222" s="152"/>
      <c r="AQ2222" s="152"/>
      <c r="AR2222" s="152"/>
      <c r="AS2222" s="152"/>
      <c r="AT2222" s="152"/>
      <c r="AU2222" s="153"/>
      <c r="AV2222" s="479"/>
      <c r="AW2222" s="479"/>
      <c r="AX2222" s="442"/>
      <c r="AY2222" s="153"/>
      <c r="AZ2222" s="152"/>
      <c r="BA2222" s="152"/>
      <c r="BB2222" s="152"/>
      <c r="BC2222" s="152"/>
      <c r="BD2222" s="152"/>
      <c r="BE2222" s="152"/>
      <c r="BF2222" s="152"/>
      <c r="BG2222" s="152"/>
      <c r="BH2222" s="152"/>
      <c r="BI2222" s="153"/>
      <c r="BJ2222" s="153"/>
      <c r="BK2222" s="153"/>
      <c r="BL2222" s="153"/>
      <c r="BM2222" s="153"/>
      <c r="BN2222" s="153"/>
      <c r="BO2222" s="153"/>
      <c r="BP2222" s="153"/>
      <c r="BQ2222" s="153"/>
      <c r="BR2222" s="153"/>
      <c r="BS2222" s="153"/>
      <c r="BT2222" s="153"/>
      <c r="BU2222" s="153"/>
      <c r="BV2222" s="153"/>
      <c r="BW2222" s="153"/>
      <c r="BX2222" s="153"/>
      <c r="BY2222" s="153"/>
      <c r="BZ2222" s="153"/>
      <c r="CA2222" s="152"/>
      <c r="CB2222" s="152"/>
    </row>
    <row r="2223" spans="1:80" s="87" customFormat="1" x14ac:dyDescent="0.2">
      <c r="A2223" s="152"/>
      <c r="B2223" s="683"/>
      <c r="C2223" s="683"/>
      <c r="D2223" s="698"/>
      <c r="E2223" s="215"/>
      <c r="F2223" s="215"/>
      <c r="G2223" s="153"/>
      <c r="H2223" s="153"/>
      <c r="I2223" s="153"/>
      <c r="J2223" s="153"/>
      <c r="K2223" s="153"/>
      <c r="L2223" s="653"/>
      <c r="M2223" s="663">
        <v>33413</v>
      </c>
      <c r="N2223" s="600">
        <v>12.939041000000001</v>
      </c>
      <c r="O2223" s="604">
        <v>1.8158079999999999E-3</v>
      </c>
      <c r="P2223" s="849"/>
      <c r="Q2223" s="849"/>
      <c r="R2223" s="849"/>
      <c r="S2223" s="849"/>
      <c r="T2223" s="849"/>
      <c r="U2223" s="849"/>
      <c r="V2223" s="488"/>
      <c r="W2223" s="489"/>
      <c r="X2223" s="488"/>
      <c r="Y2223" s="488"/>
      <c r="Z2223" s="152"/>
      <c r="AA2223" s="152"/>
      <c r="AB2223" s="152"/>
      <c r="AC2223" s="152"/>
      <c r="AD2223" s="223">
        <v>14.934710000000001</v>
      </c>
      <c r="AE2223" s="223">
        <v>0.70711279999999999</v>
      </c>
      <c r="AF2223" s="223">
        <v>10.5806266</v>
      </c>
      <c r="AG2223" s="223">
        <v>1.2557347999999999</v>
      </c>
      <c r="AH2223" s="341"/>
      <c r="AI2223" s="218"/>
      <c r="AJ2223" s="218"/>
      <c r="AK2223" s="153"/>
      <c r="AL2223" s="152"/>
      <c r="AM2223" s="152"/>
      <c r="AN2223" s="152"/>
      <c r="AO2223" s="152"/>
      <c r="AP2223" s="152"/>
      <c r="AQ2223" s="152"/>
      <c r="AR2223" s="152"/>
      <c r="AS2223" s="152"/>
      <c r="AT2223" s="152"/>
      <c r="AU2223" s="153"/>
      <c r="AV2223" s="479"/>
      <c r="AW2223" s="479"/>
      <c r="AX2223" s="442"/>
      <c r="AY2223" s="153"/>
      <c r="AZ2223" s="152"/>
      <c r="BA2223" s="152"/>
      <c r="BB2223" s="152"/>
      <c r="BC2223" s="152"/>
      <c r="BD2223" s="152"/>
      <c r="BE2223" s="152"/>
      <c r="BF2223" s="152"/>
      <c r="BG2223" s="152"/>
      <c r="BH2223" s="152"/>
      <c r="BI2223" s="153"/>
      <c r="BJ2223" s="153"/>
      <c r="BK2223" s="153"/>
      <c r="BL2223" s="153"/>
      <c r="BM2223" s="153"/>
      <c r="BN2223" s="153"/>
      <c r="BO2223" s="153"/>
      <c r="BP2223" s="153"/>
      <c r="BQ2223" s="153"/>
      <c r="BR2223" s="153"/>
      <c r="BS2223" s="153"/>
      <c r="BT2223" s="153"/>
      <c r="BU2223" s="153"/>
      <c r="BV2223" s="153"/>
      <c r="BW2223" s="153"/>
      <c r="BX2223" s="153"/>
      <c r="BY2223" s="153"/>
      <c r="BZ2223" s="153"/>
      <c r="CA2223" s="152"/>
      <c r="CB2223" s="152"/>
    </row>
    <row r="2224" spans="1:80" s="87" customFormat="1" x14ac:dyDescent="0.2">
      <c r="A2224" s="152"/>
      <c r="B2224" s="683"/>
      <c r="C2224" s="683"/>
      <c r="D2224" s="698"/>
      <c r="E2224" s="215"/>
      <c r="F2224" s="215"/>
      <c r="G2224" s="153"/>
      <c r="H2224" s="153"/>
      <c r="I2224" s="153"/>
      <c r="J2224" s="153"/>
      <c r="K2224" s="153"/>
      <c r="L2224" s="653"/>
      <c r="M2224" s="663">
        <v>33434</v>
      </c>
      <c r="N2224" s="600">
        <v>5.2379050000000005</v>
      </c>
      <c r="O2224" s="604">
        <v>1.395968E-4</v>
      </c>
      <c r="P2224" s="849"/>
      <c r="Q2224" s="849"/>
      <c r="R2224" s="849"/>
      <c r="S2224" s="849"/>
      <c r="T2224" s="849"/>
      <c r="U2224" s="849"/>
      <c r="V2224" s="488"/>
      <c r="W2224" s="489"/>
      <c r="X2224" s="488"/>
      <c r="Y2224" s="488"/>
      <c r="Z2224" s="152"/>
      <c r="AA2224" s="152"/>
      <c r="AB2224" s="152"/>
      <c r="AC2224" s="152"/>
      <c r="AD2224" s="223">
        <v>11.58202</v>
      </c>
      <c r="AE2224" s="223">
        <v>0.55471780000000004</v>
      </c>
      <c r="AF2224" s="223">
        <v>6.4189753999999999</v>
      </c>
      <c r="AG2224" s="223">
        <v>0.81378930000000005</v>
      </c>
      <c r="AH2224" s="341"/>
      <c r="AI2224" s="218"/>
      <c r="AJ2224" s="218"/>
      <c r="AK2224" s="153"/>
      <c r="AL2224" s="152"/>
      <c r="AM2224" s="152"/>
      <c r="AN2224" s="152"/>
      <c r="AO2224" s="152"/>
      <c r="AP2224" s="152"/>
      <c r="AQ2224" s="152"/>
      <c r="AR2224" s="152"/>
      <c r="AS2224" s="152"/>
      <c r="AT2224" s="152"/>
      <c r="AU2224" s="153"/>
      <c r="AV2224" s="479"/>
      <c r="AW2224" s="479"/>
      <c r="AX2224" s="442"/>
      <c r="AY2224" s="153"/>
      <c r="AZ2224" s="152"/>
      <c r="BA2224" s="152"/>
      <c r="BB2224" s="152"/>
      <c r="BC2224" s="152"/>
      <c r="BD2224" s="152"/>
      <c r="BE2224" s="152"/>
      <c r="BF2224" s="152"/>
      <c r="BG2224" s="152"/>
      <c r="BH2224" s="152"/>
      <c r="BI2224" s="153"/>
      <c r="BJ2224" s="153"/>
      <c r="BK2224" s="153"/>
      <c r="BL2224" s="153"/>
      <c r="BM2224" s="153"/>
      <c r="BN2224" s="153"/>
      <c r="BO2224" s="153"/>
      <c r="BP2224" s="153"/>
      <c r="BQ2224" s="153"/>
      <c r="BR2224" s="153"/>
      <c r="BS2224" s="153"/>
      <c r="BT2224" s="153"/>
      <c r="BU2224" s="153"/>
      <c r="BV2224" s="153"/>
      <c r="BW2224" s="153"/>
      <c r="BX2224" s="153"/>
      <c r="BY2224" s="153"/>
      <c r="BZ2224" s="153"/>
      <c r="CA2224" s="152"/>
      <c r="CB2224" s="152"/>
    </row>
    <row r="2225" spans="1:80" s="87" customFormat="1" x14ac:dyDescent="0.2">
      <c r="A2225" s="152"/>
      <c r="B2225" s="683"/>
      <c r="C2225" s="683"/>
      <c r="D2225" s="698"/>
      <c r="E2225" s="215"/>
      <c r="F2225" s="215"/>
      <c r="G2225" s="153"/>
      <c r="H2225" s="153"/>
      <c r="I2225" s="153"/>
      <c r="J2225" s="153"/>
      <c r="K2225" s="153"/>
      <c r="L2225" s="653"/>
      <c r="M2225" s="663">
        <v>34088</v>
      </c>
      <c r="N2225" s="600">
        <v>5.3794700000000004</v>
      </c>
      <c r="O2225" s="604">
        <v>2.1306879999999999E-4</v>
      </c>
      <c r="P2225" s="849"/>
      <c r="Q2225" s="849"/>
      <c r="R2225" s="849"/>
      <c r="S2225" s="849"/>
      <c r="T2225" s="849"/>
      <c r="U2225" s="849"/>
      <c r="V2225" s="488"/>
      <c r="W2225" s="489"/>
      <c r="X2225" s="488"/>
      <c r="Y2225" s="488"/>
      <c r="Z2225" s="152"/>
      <c r="AA2225" s="152"/>
      <c r="AB2225" s="152"/>
      <c r="AC2225" s="152"/>
      <c r="AD2225" s="223">
        <v>11.58202</v>
      </c>
      <c r="AE2225" s="223">
        <v>0.49985560000000001</v>
      </c>
      <c r="AF2225" s="223">
        <v>5.7965856000000002</v>
      </c>
      <c r="AG2225" s="223">
        <v>0.92656159999999999</v>
      </c>
      <c r="AH2225" s="341"/>
      <c r="AI2225" s="218"/>
      <c r="AJ2225" s="218"/>
      <c r="AK2225" s="153"/>
      <c r="AL2225" s="152"/>
      <c r="AM2225" s="152"/>
      <c r="AN2225" s="152"/>
      <c r="AO2225" s="152"/>
      <c r="AP2225" s="152"/>
      <c r="AQ2225" s="152"/>
      <c r="AR2225" s="152"/>
      <c r="AS2225" s="152"/>
      <c r="AT2225" s="152"/>
      <c r="AU2225" s="153"/>
      <c r="AV2225" s="479"/>
      <c r="AW2225" s="479"/>
      <c r="AX2225" s="442"/>
      <c r="AY2225" s="153"/>
      <c r="AZ2225" s="152"/>
      <c r="BA2225" s="152"/>
      <c r="BB2225" s="152"/>
      <c r="BC2225" s="152"/>
      <c r="BD2225" s="152"/>
      <c r="BE2225" s="152"/>
      <c r="BF2225" s="152"/>
      <c r="BG2225" s="152"/>
      <c r="BH2225" s="152"/>
      <c r="BI2225" s="153"/>
      <c r="BJ2225" s="153"/>
      <c r="BK2225" s="153"/>
      <c r="BL2225" s="153"/>
      <c r="BM2225" s="153"/>
      <c r="BN2225" s="153"/>
      <c r="BO2225" s="153"/>
      <c r="BP2225" s="153"/>
      <c r="BQ2225" s="153"/>
      <c r="BR2225" s="153"/>
      <c r="BS2225" s="153"/>
      <c r="BT2225" s="153"/>
      <c r="BU2225" s="153"/>
      <c r="BV2225" s="153"/>
      <c r="BW2225" s="153"/>
      <c r="BX2225" s="153"/>
      <c r="BY2225" s="153"/>
      <c r="BZ2225" s="153"/>
      <c r="CA2225" s="152"/>
      <c r="CB2225" s="152"/>
    </row>
    <row r="2226" spans="1:80" s="87" customFormat="1" x14ac:dyDescent="0.2">
      <c r="A2226" s="152"/>
      <c r="B2226" s="683"/>
      <c r="C2226" s="683"/>
      <c r="D2226" s="698"/>
      <c r="E2226" s="215"/>
      <c r="F2226" s="215"/>
      <c r="G2226" s="153"/>
      <c r="H2226" s="153"/>
      <c r="I2226" s="153"/>
      <c r="J2226" s="153"/>
      <c r="K2226" s="153"/>
      <c r="L2226" s="653"/>
      <c r="M2226" s="663">
        <v>34103</v>
      </c>
      <c r="N2226" s="600">
        <v>24.887127</v>
      </c>
      <c r="O2226" s="604">
        <v>2.0782080000000001E-2</v>
      </c>
      <c r="P2226" s="849"/>
      <c r="Q2226" s="849"/>
      <c r="R2226" s="849"/>
      <c r="S2226" s="849"/>
      <c r="T2226" s="849"/>
      <c r="U2226" s="849"/>
      <c r="V2226" s="488"/>
      <c r="W2226" s="489"/>
      <c r="X2226" s="488"/>
      <c r="Y2226" s="488"/>
      <c r="Z2226" s="152"/>
      <c r="AA2226" s="152"/>
      <c r="AB2226" s="152"/>
      <c r="AC2226" s="152"/>
      <c r="AD2226" s="223">
        <v>15.2395</v>
      </c>
      <c r="AE2226" s="223">
        <v>0.84426829999999997</v>
      </c>
      <c r="AF2226" s="223">
        <v>12.8843978</v>
      </c>
      <c r="AG2226" s="223">
        <v>1.920177</v>
      </c>
      <c r="AH2226" s="341"/>
      <c r="AI2226" s="218"/>
      <c r="AJ2226" s="218"/>
      <c r="AK2226" s="153"/>
      <c r="AL2226" s="152"/>
      <c r="AM2226" s="152"/>
      <c r="AN2226" s="152"/>
      <c r="AO2226" s="152"/>
      <c r="AP2226" s="152"/>
      <c r="AQ2226" s="152"/>
      <c r="AR2226" s="152"/>
      <c r="AS2226" s="152"/>
      <c r="AT2226" s="152"/>
      <c r="AU2226" s="153"/>
      <c r="AV2226" s="479"/>
      <c r="AW2226" s="479"/>
      <c r="AX2226" s="442"/>
      <c r="AY2226" s="153"/>
      <c r="AZ2226" s="152"/>
      <c r="BA2226" s="152"/>
      <c r="BB2226" s="152"/>
      <c r="BC2226" s="152"/>
      <c r="BD2226" s="152"/>
      <c r="BE2226" s="152"/>
      <c r="BF2226" s="152"/>
      <c r="BG2226" s="152"/>
      <c r="BH2226" s="152"/>
      <c r="BI2226" s="153"/>
      <c r="BJ2226" s="153"/>
      <c r="BK2226" s="153"/>
      <c r="BL2226" s="153"/>
      <c r="BM2226" s="153"/>
      <c r="BN2226" s="153"/>
      <c r="BO2226" s="153"/>
      <c r="BP2226" s="153"/>
      <c r="BQ2226" s="153"/>
      <c r="BR2226" s="153"/>
      <c r="BS2226" s="153"/>
      <c r="BT2226" s="153"/>
      <c r="BU2226" s="153"/>
      <c r="BV2226" s="153"/>
      <c r="BW2226" s="153"/>
      <c r="BX2226" s="153"/>
      <c r="BY2226" s="153"/>
      <c r="BZ2226" s="153"/>
      <c r="CA2226" s="152"/>
      <c r="CB2226" s="152"/>
    </row>
    <row r="2227" spans="1:80" s="87" customFormat="1" x14ac:dyDescent="0.2">
      <c r="A2227" s="152"/>
      <c r="B2227" s="683"/>
      <c r="C2227" s="683"/>
      <c r="D2227" s="698"/>
      <c r="E2227" s="215"/>
      <c r="F2227" s="215"/>
      <c r="G2227" s="153"/>
      <c r="H2227" s="153"/>
      <c r="I2227" s="153"/>
      <c r="J2227" s="153"/>
      <c r="K2227" s="153"/>
      <c r="L2227" s="653"/>
      <c r="M2227" s="663">
        <v>34115</v>
      </c>
      <c r="N2227" s="600">
        <v>25.991334000000002</v>
      </c>
      <c r="O2227" s="604">
        <v>3.3587200000000005E-2</v>
      </c>
      <c r="P2227" s="849"/>
      <c r="Q2227" s="849"/>
      <c r="R2227" s="849"/>
      <c r="S2227" s="849"/>
      <c r="T2227" s="849"/>
      <c r="U2227" s="849"/>
      <c r="V2227" s="488"/>
      <c r="W2227" s="489"/>
      <c r="X2227" s="488"/>
      <c r="Y2227" s="488"/>
      <c r="Z2227" s="152"/>
      <c r="AA2227" s="152"/>
      <c r="AB2227" s="152"/>
      <c r="AC2227" s="152"/>
      <c r="AD2227" s="223">
        <v>15.54429</v>
      </c>
      <c r="AE2227" s="223">
        <v>0.89913050000000005</v>
      </c>
      <c r="AF2227" s="223">
        <v>13.952678799999999</v>
      </c>
      <c r="AG2227" s="223">
        <v>1.8561711000000001</v>
      </c>
      <c r="AH2227" s="341"/>
      <c r="AI2227" s="218"/>
      <c r="AJ2227" s="218"/>
      <c r="AK2227" s="153"/>
      <c r="AL2227" s="152"/>
      <c r="AM2227" s="152"/>
      <c r="AN2227" s="152"/>
      <c r="AO2227" s="152"/>
      <c r="AP2227" s="152"/>
      <c r="AQ2227" s="152"/>
      <c r="AR2227" s="152"/>
      <c r="AS2227" s="152"/>
      <c r="AT2227" s="152"/>
      <c r="AU2227" s="153"/>
      <c r="AV2227" s="479"/>
      <c r="AW2227" s="479"/>
      <c r="AX2227" s="442"/>
      <c r="AY2227" s="153"/>
      <c r="AZ2227" s="152"/>
      <c r="BA2227" s="152"/>
      <c r="BB2227" s="152"/>
      <c r="BC2227" s="152"/>
      <c r="BD2227" s="152"/>
      <c r="BE2227" s="152"/>
      <c r="BF2227" s="152"/>
      <c r="BG2227" s="152"/>
      <c r="BH2227" s="152"/>
      <c r="BI2227" s="153"/>
      <c r="BJ2227" s="153"/>
      <c r="BK2227" s="153"/>
      <c r="BL2227" s="153"/>
      <c r="BM2227" s="153"/>
      <c r="BN2227" s="153"/>
      <c r="BO2227" s="153"/>
      <c r="BP2227" s="153"/>
      <c r="BQ2227" s="153"/>
      <c r="BR2227" s="153"/>
      <c r="BS2227" s="153"/>
      <c r="BT2227" s="153"/>
      <c r="BU2227" s="153"/>
      <c r="BV2227" s="153"/>
      <c r="BW2227" s="153"/>
      <c r="BX2227" s="153"/>
      <c r="BY2227" s="153"/>
      <c r="BZ2227" s="153"/>
      <c r="CA2227" s="152"/>
      <c r="CB2227" s="152"/>
    </row>
    <row r="2228" spans="1:80" s="87" customFormat="1" x14ac:dyDescent="0.2">
      <c r="A2228" s="152"/>
      <c r="B2228" s="683"/>
      <c r="C2228" s="683"/>
      <c r="D2228" s="698"/>
      <c r="E2228" s="215"/>
      <c r="F2228" s="215"/>
      <c r="G2228" s="153"/>
      <c r="H2228" s="153"/>
      <c r="I2228" s="153"/>
      <c r="J2228" s="153"/>
      <c r="K2228" s="153"/>
      <c r="L2228" s="653"/>
      <c r="M2228" s="663">
        <v>34131</v>
      </c>
      <c r="N2228" s="600">
        <v>32.559950000000001</v>
      </c>
      <c r="O2228" s="604">
        <v>0.13329920000000001</v>
      </c>
      <c r="P2228" s="849"/>
      <c r="Q2228" s="849"/>
      <c r="R2228" s="849"/>
      <c r="S2228" s="849"/>
      <c r="T2228" s="849"/>
      <c r="U2228" s="849"/>
      <c r="V2228" s="488"/>
      <c r="W2228" s="489"/>
      <c r="X2228" s="488"/>
      <c r="Y2228" s="488"/>
      <c r="Z2228" s="152"/>
      <c r="AA2228" s="152"/>
      <c r="AB2228" s="152"/>
      <c r="AC2228" s="152"/>
      <c r="AD2228" s="223"/>
      <c r="AE2228" s="223"/>
      <c r="AF2228" s="223"/>
      <c r="AG2228" s="223"/>
      <c r="AH2228" s="341"/>
      <c r="AI2228" s="218"/>
      <c r="AJ2228" s="218"/>
      <c r="AK2228" s="153"/>
      <c r="AL2228" s="152"/>
      <c r="AM2228" s="152"/>
      <c r="AN2228" s="152"/>
      <c r="AO2228" s="152"/>
      <c r="AP2228" s="152"/>
      <c r="AQ2228" s="152"/>
      <c r="AR2228" s="152"/>
      <c r="AS2228" s="152"/>
      <c r="AT2228" s="152"/>
      <c r="AU2228" s="153"/>
      <c r="AV2228" s="479"/>
      <c r="AW2228" s="479"/>
      <c r="AX2228" s="442"/>
      <c r="AY2228" s="153"/>
      <c r="AZ2228" s="152"/>
      <c r="BA2228" s="152"/>
      <c r="BB2228" s="152"/>
      <c r="BC2228" s="152"/>
      <c r="BD2228" s="152"/>
      <c r="BE2228" s="152"/>
      <c r="BF2228" s="152"/>
      <c r="BG2228" s="152"/>
      <c r="BH2228" s="152"/>
      <c r="BI2228" s="153"/>
      <c r="BJ2228" s="153"/>
      <c r="BK2228" s="153"/>
      <c r="BL2228" s="153"/>
      <c r="BM2228" s="153"/>
      <c r="BN2228" s="153"/>
      <c r="BO2228" s="153"/>
      <c r="BP2228" s="153"/>
      <c r="BQ2228" s="153"/>
      <c r="BR2228" s="153"/>
      <c r="BS2228" s="153"/>
      <c r="BT2228" s="153"/>
      <c r="BU2228" s="153"/>
      <c r="BV2228" s="153"/>
      <c r="BW2228" s="153"/>
      <c r="BX2228" s="153"/>
      <c r="BY2228" s="153"/>
      <c r="BZ2228" s="153"/>
      <c r="CA2228" s="152"/>
      <c r="CB2228" s="152"/>
    </row>
    <row r="2229" spans="1:80" s="87" customFormat="1" x14ac:dyDescent="0.2">
      <c r="A2229" s="152"/>
      <c r="B2229" s="683"/>
      <c r="C2229" s="683"/>
      <c r="D2229" s="698"/>
      <c r="E2229" s="215"/>
      <c r="F2229" s="215"/>
      <c r="G2229" s="153"/>
      <c r="H2229" s="153"/>
      <c r="I2229" s="153"/>
      <c r="J2229" s="153"/>
      <c r="K2229" s="153"/>
      <c r="L2229" s="653"/>
      <c r="M2229" s="663">
        <v>34145</v>
      </c>
      <c r="N2229" s="600">
        <v>13.193858000000001</v>
      </c>
      <c r="O2229" s="604">
        <v>1.8158079999999999E-3</v>
      </c>
      <c r="P2229" s="849"/>
      <c r="Q2229" s="849"/>
      <c r="R2229" s="849"/>
      <c r="S2229" s="849"/>
      <c r="T2229" s="849"/>
      <c r="U2229" s="849"/>
      <c r="V2229" s="488"/>
      <c r="W2229" s="489"/>
      <c r="X2229" s="488"/>
      <c r="Y2229" s="488"/>
      <c r="Z2229" s="152"/>
      <c r="AA2229" s="152"/>
      <c r="AB2229" s="152"/>
      <c r="AC2229" s="152"/>
      <c r="AD2229" s="223">
        <v>14.934710000000001</v>
      </c>
      <c r="AE2229" s="223">
        <v>0.65529850000000001</v>
      </c>
      <c r="AF2229" s="223">
        <v>9.7770934999999994</v>
      </c>
      <c r="AG2229" s="223">
        <v>1.3502197</v>
      </c>
      <c r="AH2229" s="341"/>
      <c r="AI2229" s="218"/>
      <c r="AJ2229" s="218"/>
      <c r="AK2229" s="153"/>
      <c r="AL2229" s="152"/>
      <c r="AM2229" s="152"/>
      <c r="AN2229" s="152"/>
      <c r="AO2229" s="152"/>
      <c r="AP2229" s="152"/>
      <c r="AQ2229" s="152"/>
      <c r="AR2229" s="152"/>
      <c r="AS2229" s="152"/>
      <c r="AT2229" s="152"/>
      <c r="AU2229" s="153"/>
      <c r="AV2229" s="479"/>
      <c r="AW2229" s="479"/>
      <c r="AX2229" s="442"/>
      <c r="AY2229" s="153"/>
      <c r="AZ2229" s="152"/>
      <c r="BA2229" s="152"/>
      <c r="BB2229" s="152"/>
      <c r="BC2229" s="152"/>
      <c r="BD2229" s="152"/>
      <c r="BE2229" s="152"/>
      <c r="BF2229" s="152"/>
      <c r="BG2229" s="152"/>
      <c r="BH2229" s="152"/>
      <c r="BI2229" s="153"/>
      <c r="BJ2229" s="153"/>
      <c r="BK2229" s="153"/>
      <c r="BL2229" s="153"/>
      <c r="BM2229" s="153"/>
      <c r="BN2229" s="153"/>
      <c r="BO2229" s="153"/>
      <c r="BP2229" s="153"/>
      <c r="BQ2229" s="153"/>
      <c r="BR2229" s="153"/>
      <c r="BS2229" s="153"/>
      <c r="BT2229" s="153"/>
      <c r="BU2229" s="153"/>
      <c r="BV2229" s="153"/>
      <c r="BW2229" s="153"/>
      <c r="BX2229" s="153"/>
      <c r="BY2229" s="153"/>
      <c r="BZ2229" s="153"/>
      <c r="CA2229" s="152"/>
      <c r="CB2229" s="152"/>
    </row>
    <row r="2230" spans="1:80" s="87" customFormat="1" x14ac:dyDescent="0.2">
      <c r="A2230" s="152"/>
      <c r="B2230" s="683"/>
      <c r="C2230" s="683"/>
      <c r="D2230" s="698"/>
      <c r="E2230" s="215"/>
      <c r="F2230" s="215"/>
      <c r="G2230" s="153"/>
      <c r="H2230" s="153"/>
      <c r="I2230" s="153"/>
      <c r="J2230" s="153"/>
      <c r="K2230" s="153"/>
      <c r="L2230" s="653"/>
      <c r="M2230" s="663">
        <v>34162</v>
      </c>
      <c r="N2230" s="600">
        <v>7.5878840000000007</v>
      </c>
      <c r="O2230" s="604">
        <v>1.5848960000000001E-4</v>
      </c>
      <c r="P2230" s="849"/>
      <c r="Q2230" s="849"/>
      <c r="R2230" s="849"/>
      <c r="S2230" s="849"/>
      <c r="T2230" s="849"/>
      <c r="U2230" s="849"/>
      <c r="V2230" s="488"/>
      <c r="W2230" s="489"/>
      <c r="X2230" s="488"/>
      <c r="Y2230" s="488"/>
      <c r="Z2230" s="152"/>
      <c r="AA2230" s="152"/>
      <c r="AB2230" s="152"/>
      <c r="AC2230" s="152"/>
      <c r="AD2230" s="223">
        <v>14.62992</v>
      </c>
      <c r="AE2230" s="223">
        <v>0.54862200000000005</v>
      </c>
      <c r="AF2230" s="223">
        <v>8.0260415999999992</v>
      </c>
      <c r="AG2230" s="223">
        <v>0.94789690000000004</v>
      </c>
      <c r="AH2230" s="341"/>
      <c r="AI2230" s="218"/>
      <c r="AJ2230" s="218"/>
      <c r="AK2230" s="153"/>
      <c r="AL2230" s="152"/>
      <c r="AM2230" s="152"/>
      <c r="AN2230" s="152"/>
      <c r="AO2230" s="152"/>
      <c r="AP2230" s="152"/>
      <c r="AQ2230" s="152"/>
      <c r="AR2230" s="152"/>
      <c r="AS2230" s="152"/>
      <c r="AT2230" s="152"/>
      <c r="AU2230" s="153"/>
      <c r="AV2230" s="479"/>
      <c r="AW2230" s="479"/>
      <c r="AX2230" s="442"/>
      <c r="AY2230" s="153"/>
      <c r="AZ2230" s="152"/>
      <c r="BA2230" s="152"/>
      <c r="BB2230" s="152"/>
      <c r="BC2230" s="152"/>
      <c r="BD2230" s="152"/>
      <c r="BE2230" s="152"/>
      <c r="BF2230" s="152"/>
      <c r="BG2230" s="152"/>
      <c r="BH2230" s="152"/>
      <c r="BI2230" s="153"/>
      <c r="BJ2230" s="153"/>
      <c r="BK2230" s="153"/>
      <c r="BL2230" s="153"/>
      <c r="BM2230" s="153"/>
      <c r="BN2230" s="153"/>
      <c r="BO2230" s="153"/>
      <c r="BP2230" s="153"/>
      <c r="BQ2230" s="153"/>
      <c r="BR2230" s="153"/>
      <c r="BS2230" s="153"/>
      <c r="BT2230" s="153"/>
      <c r="BU2230" s="153"/>
      <c r="BV2230" s="153"/>
      <c r="BW2230" s="153"/>
      <c r="BX2230" s="153"/>
      <c r="BY2230" s="153"/>
      <c r="BZ2230" s="153"/>
      <c r="CA2230" s="152"/>
      <c r="CB2230" s="152"/>
    </row>
    <row r="2231" spans="1:80" s="87" customFormat="1" x14ac:dyDescent="0.2">
      <c r="A2231" s="152"/>
      <c r="B2231" s="683"/>
      <c r="C2231" s="683"/>
      <c r="D2231" s="698"/>
      <c r="E2231" s="215"/>
      <c r="F2231" s="215"/>
      <c r="G2231" s="153"/>
      <c r="H2231" s="153"/>
      <c r="I2231" s="153"/>
      <c r="J2231" s="153"/>
      <c r="K2231" s="153"/>
      <c r="L2231" s="653"/>
      <c r="M2231" s="663">
        <v>34200</v>
      </c>
      <c r="N2231" s="600">
        <v>2.7010602000000001</v>
      </c>
      <c r="O2231" s="604">
        <v>2.1306880000000003E-5</v>
      </c>
      <c r="P2231" s="849"/>
      <c r="Q2231" s="849"/>
      <c r="R2231" s="849"/>
      <c r="S2231" s="849"/>
      <c r="T2231" s="849"/>
      <c r="U2231" s="849"/>
      <c r="V2231" s="488"/>
      <c r="W2231" s="489"/>
      <c r="X2231" s="488"/>
      <c r="Y2231" s="488"/>
      <c r="Z2231" s="152"/>
      <c r="AA2231" s="152"/>
      <c r="AB2231" s="152"/>
      <c r="AC2231" s="152"/>
      <c r="AD2231" s="223">
        <v>11.429625</v>
      </c>
      <c r="AE2231" s="223">
        <v>0.39013120000000001</v>
      </c>
      <c r="AF2231" s="223">
        <v>4.4682013999999999</v>
      </c>
      <c r="AG2231" s="223">
        <v>0.63396319999999995</v>
      </c>
      <c r="AH2231" s="341"/>
      <c r="AI2231" s="218"/>
      <c r="AJ2231" s="218"/>
      <c r="AK2231" s="153"/>
      <c r="AL2231" s="152"/>
      <c r="AM2231" s="152"/>
      <c r="AN2231" s="152"/>
      <c r="AO2231" s="152"/>
      <c r="AP2231" s="152"/>
      <c r="AQ2231" s="152"/>
      <c r="AR2231" s="152"/>
      <c r="AS2231" s="152"/>
      <c r="AT2231" s="152"/>
      <c r="AU2231" s="153"/>
      <c r="AV2231" s="479"/>
      <c r="AW2231" s="479"/>
      <c r="AX2231" s="442"/>
      <c r="AY2231" s="153"/>
      <c r="AZ2231" s="152"/>
      <c r="BA2231" s="152"/>
      <c r="BB2231" s="152"/>
      <c r="BC2231" s="152"/>
      <c r="BD2231" s="152"/>
      <c r="BE2231" s="152"/>
      <c r="BF2231" s="152"/>
      <c r="BG2231" s="152"/>
      <c r="BH2231" s="152"/>
      <c r="BI2231" s="153"/>
      <c r="BJ2231" s="153"/>
      <c r="BK2231" s="153"/>
      <c r="BL2231" s="153"/>
      <c r="BM2231" s="153"/>
      <c r="BN2231" s="153"/>
      <c r="BO2231" s="153"/>
      <c r="BP2231" s="153"/>
      <c r="BQ2231" s="153"/>
      <c r="BR2231" s="153"/>
      <c r="BS2231" s="153"/>
      <c r="BT2231" s="153"/>
      <c r="BU2231" s="153"/>
      <c r="BV2231" s="153"/>
      <c r="BW2231" s="153"/>
      <c r="BX2231" s="153"/>
      <c r="BY2231" s="153"/>
      <c r="BZ2231" s="153"/>
      <c r="CA2231" s="152"/>
      <c r="CB2231" s="152"/>
    </row>
    <row r="2232" spans="1:80" s="87" customFormat="1" x14ac:dyDescent="0.2">
      <c r="A2232" s="152"/>
      <c r="B2232" s="683"/>
      <c r="C2232" s="683"/>
      <c r="D2232" s="698"/>
      <c r="E2232" s="215"/>
      <c r="F2232" s="215"/>
      <c r="G2232" s="153"/>
      <c r="H2232" s="153"/>
      <c r="I2232" s="153"/>
      <c r="J2232" s="153"/>
      <c r="K2232" s="153"/>
      <c r="L2232" s="653"/>
      <c r="M2232" s="663">
        <v>34445</v>
      </c>
      <c r="N2232" s="600">
        <v>9.9095500000000012</v>
      </c>
      <c r="O2232" s="604">
        <v>1.322496E-3</v>
      </c>
      <c r="P2232" s="150"/>
      <c r="Q2232" s="250"/>
      <c r="R2232" s="250"/>
      <c r="S2232" s="250"/>
      <c r="T2232" s="250">
        <v>8.4900000000000003E-2</v>
      </c>
      <c r="U2232" s="250">
        <v>8.72E-2</v>
      </c>
      <c r="V2232" s="503">
        <v>0.1939903408976095</v>
      </c>
      <c r="W2232" s="503">
        <v>0.38482833875563283</v>
      </c>
      <c r="X2232" s="503">
        <v>0.23475862347687268</v>
      </c>
      <c r="Y2232" s="503">
        <v>1.4337098631963951E-2</v>
      </c>
      <c r="Z2232" s="150"/>
      <c r="AA2232" s="223">
        <v>0.78499514405540005</v>
      </c>
      <c r="AB2232" s="152"/>
      <c r="AC2232" s="152"/>
      <c r="AD2232" s="223">
        <v>14.934710000000001</v>
      </c>
      <c r="AE2232" s="223">
        <v>0.69796910000000001</v>
      </c>
      <c r="AF2232" s="223">
        <v>10.404128</v>
      </c>
      <c r="AG2232" s="223">
        <v>0.97837589999999997</v>
      </c>
      <c r="AH2232" s="341"/>
      <c r="AI2232" s="218"/>
      <c r="AJ2232" s="218"/>
      <c r="AK2232" s="153"/>
      <c r="AL2232" s="152"/>
      <c r="AM2232" s="152"/>
      <c r="AN2232" s="152"/>
      <c r="AO2232" s="152"/>
      <c r="AP2232" s="152"/>
      <c r="AQ2232" s="152"/>
      <c r="AR2232" s="152"/>
      <c r="AS2232" s="152"/>
      <c r="AT2232" s="152"/>
      <c r="AU2232" s="153"/>
      <c r="AV2232" s="479"/>
      <c r="AW2232" s="479"/>
      <c r="AX2232" s="442"/>
      <c r="AY2232" s="153"/>
      <c r="AZ2232" s="152"/>
      <c r="BA2232" s="152"/>
      <c r="BB2232" s="152"/>
      <c r="BC2232" s="152"/>
      <c r="BD2232" s="152"/>
      <c r="BE2232" s="152"/>
      <c r="BF2232" s="152"/>
      <c r="BG2232" s="152"/>
      <c r="BH2232" s="152"/>
      <c r="BI2232" s="153"/>
      <c r="BJ2232" s="153"/>
      <c r="BK2232" s="153"/>
      <c r="BL2232" s="153"/>
      <c r="BM2232" s="153"/>
      <c r="BN2232" s="153"/>
      <c r="BO2232" s="153"/>
      <c r="BP2232" s="153"/>
      <c r="BQ2232" s="153"/>
      <c r="BR2232" s="153"/>
      <c r="BS2232" s="153"/>
      <c r="BT2232" s="153"/>
      <c r="BU2232" s="153"/>
      <c r="BV2232" s="153"/>
      <c r="BW2232" s="153"/>
      <c r="BX2232" s="153"/>
      <c r="BY2232" s="153"/>
      <c r="BZ2232" s="153"/>
      <c r="CA2232" s="152"/>
      <c r="CB2232" s="152"/>
    </row>
    <row r="2233" spans="1:80" s="87" customFormat="1" x14ac:dyDescent="0.2">
      <c r="A2233" s="152"/>
      <c r="B2233" s="683"/>
      <c r="C2233" s="683"/>
      <c r="D2233" s="698"/>
      <c r="E2233" s="215"/>
      <c r="F2233" s="215"/>
      <c r="G2233" s="153"/>
      <c r="H2233" s="153"/>
      <c r="I2233" s="153"/>
      <c r="J2233" s="153"/>
      <c r="K2233" s="153"/>
      <c r="L2233" s="653"/>
      <c r="M2233" s="663">
        <v>34445</v>
      </c>
      <c r="N2233" s="600">
        <v>9.9095500000000012</v>
      </c>
      <c r="O2233" s="604">
        <v>4.2298880000000002E-3</v>
      </c>
      <c r="P2233" s="150"/>
      <c r="Q2233" s="250"/>
      <c r="R2233" s="250"/>
      <c r="S2233" s="250">
        <v>5.9200000000000003E-2</v>
      </c>
      <c r="T2233" s="250">
        <v>7.9699999999999993E-2</v>
      </c>
      <c r="U2233" s="250">
        <v>0.15970000000000001</v>
      </c>
      <c r="V2233" s="503">
        <v>0.21353708624510243</v>
      </c>
      <c r="W2233" s="503">
        <v>0.2788237556225906</v>
      </c>
      <c r="X2233" s="503">
        <v>0.19255343628150939</v>
      </c>
      <c r="Y2233" s="503">
        <v>1.6586445261893731E-2</v>
      </c>
      <c r="Z2233" s="150"/>
      <c r="AA2233" s="223">
        <v>1.0398436451064559</v>
      </c>
      <c r="AB2233" s="152"/>
      <c r="AC2233" s="152"/>
      <c r="AD2233" s="223">
        <v>14.934710000000001</v>
      </c>
      <c r="AE2233" s="223">
        <v>0.69796910000000001</v>
      </c>
      <c r="AF2233" s="223">
        <v>10.404128</v>
      </c>
      <c r="AG2233" s="223">
        <v>0.97837589999999997</v>
      </c>
      <c r="AH2233" s="341"/>
      <c r="AI2233" s="218"/>
      <c r="AJ2233" s="218"/>
      <c r="AK2233" s="153"/>
      <c r="AL2233" s="152"/>
      <c r="AM2233" s="152"/>
      <c r="AN2233" s="152"/>
      <c r="AO2233" s="152"/>
      <c r="AP2233" s="152"/>
      <c r="AQ2233" s="152"/>
      <c r="AR2233" s="152"/>
      <c r="AS2233" s="152"/>
      <c r="AT2233" s="152"/>
      <c r="AU2233" s="153"/>
      <c r="AV2233" s="479"/>
      <c r="AW2233" s="479"/>
      <c r="AX2233" s="442"/>
      <c r="AY2233" s="153"/>
      <c r="AZ2233" s="152"/>
      <c r="BA2233" s="152"/>
      <c r="BB2233" s="152"/>
      <c r="BC2233" s="152"/>
      <c r="BD2233" s="152"/>
      <c r="BE2233" s="152"/>
      <c r="BF2233" s="152"/>
      <c r="BG2233" s="152"/>
      <c r="BH2233" s="152"/>
      <c r="BI2233" s="153"/>
      <c r="BJ2233" s="153"/>
      <c r="BK2233" s="153"/>
      <c r="BL2233" s="153"/>
      <c r="BM2233" s="153"/>
      <c r="BN2233" s="153"/>
      <c r="BO2233" s="153"/>
      <c r="BP2233" s="153"/>
      <c r="BQ2233" s="153"/>
      <c r="BR2233" s="153"/>
      <c r="BS2233" s="153"/>
      <c r="BT2233" s="153"/>
      <c r="BU2233" s="153"/>
      <c r="BV2233" s="153"/>
      <c r="BW2233" s="153"/>
      <c r="BX2233" s="153"/>
      <c r="BY2233" s="153"/>
      <c r="BZ2233" s="153"/>
      <c r="CA2233" s="152"/>
      <c r="CB2233" s="152"/>
    </row>
    <row r="2234" spans="1:80" s="87" customFormat="1" x14ac:dyDescent="0.2">
      <c r="A2234" s="152"/>
      <c r="B2234" s="683"/>
      <c r="C2234" s="683"/>
      <c r="D2234" s="698"/>
      <c r="E2234" s="215"/>
      <c r="F2234" s="215"/>
      <c r="G2234" s="153"/>
      <c r="H2234" s="153"/>
      <c r="I2234" s="153"/>
      <c r="J2234" s="153"/>
      <c r="K2234" s="153"/>
      <c r="L2234" s="653"/>
      <c r="M2234" s="663">
        <v>34449</v>
      </c>
      <c r="N2234" s="600">
        <v>9.5131680000000003</v>
      </c>
      <c r="O2234" s="604">
        <v>7.7460480000000002E-3</v>
      </c>
      <c r="P2234" s="150"/>
      <c r="Q2234" s="250"/>
      <c r="R2234" s="250"/>
      <c r="S2234" s="250">
        <v>1.9E-2</v>
      </c>
      <c r="T2234" s="250">
        <v>8.8499999999999995E-2</v>
      </c>
      <c r="U2234" s="250">
        <v>0.16589999999999999</v>
      </c>
      <c r="V2234" s="503">
        <v>0.31099974091265986</v>
      </c>
      <c r="W2234" s="503">
        <v>0.29747379954550934</v>
      </c>
      <c r="X2234" s="503">
        <v>0.10502530551539591</v>
      </c>
      <c r="Y2234" s="503">
        <v>1.3076988495335437E-2</v>
      </c>
      <c r="Z2234" s="150"/>
      <c r="AA2234" s="223">
        <v>1.2070284928160842</v>
      </c>
      <c r="AB2234" s="152"/>
      <c r="AC2234" s="152"/>
      <c r="AD2234" s="223">
        <v>14.020339999999999</v>
      </c>
      <c r="AE2234" s="223">
        <v>0.69492120000000002</v>
      </c>
      <c r="AF2234" s="223">
        <v>9.7538699999999992</v>
      </c>
      <c r="AG2234" s="223">
        <v>0.98447169999999995</v>
      </c>
      <c r="AH2234" s="341"/>
      <c r="AI2234" s="218"/>
      <c r="AJ2234" s="218"/>
      <c r="AK2234" s="153"/>
      <c r="AL2234" s="152"/>
      <c r="AM2234" s="152"/>
      <c r="AN2234" s="152"/>
      <c r="AO2234" s="152"/>
      <c r="AP2234" s="152"/>
      <c r="AQ2234" s="152"/>
      <c r="AR2234" s="152"/>
      <c r="AS2234" s="152"/>
      <c r="AT2234" s="152"/>
      <c r="AU2234" s="153"/>
      <c r="AV2234" s="479"/>
      <c r="AW2234" s="479"/>
      <c r="AX2234" s="442"/>
      <c r="AY2234" s="153"/>
      <c r="AZ2234" s="152"/>
      <c r="BA2234" s="152"/>
      <c r="BB2234" s="152"/>
      <c r="BC2234" s="152"/>
      <c r="BD2234" s="152"/>
      <c r="BE2234" s="152"/>
      <c r="BF2234" s="152"/>
      <c r="BG2234" s="152"/>
      <c r="BH2234" s="152"/>
      <c r="BI2234" s="153"/>
      <c r="BJ2234" s="153"/>
      <c r="BK2234" s="153"/>
      <c r="BL2234" s="153"/>
      <c r="BM2234" s="153"/>
      <c r="BN2234" s="153"/>
      <c r="BO2234" s="153"/>
      <c r="BP2234" s="153"/>
      <c r="BQ2234" s="153"/>
      <c r="BR2234" s="153"/>
      <c r="BS2234" s="153"/>
      <c r="BT2234" s="153"/>
      <c r="BU2234" s="153"/>
      <c r="BV2234" s="153"/>
      <c r="BW2234" s="153"/>
      <c r="BX2234" s="153"/>
      <c r="BY2234" s="153"/>
      <c r="BZ2234" s="153"/>
      <c r="CA2234" s="152"/>
      <c r="CB2234" s="152"/>
    </row>
    <row r="2235" spans="1:80" s="87" customFormat="1" x14ac:dyDescent="0.2">
      <c r="A2235" s="152"/>
      <c r="B2235" s="683"/>
      <c r="C2235" s="683"/>
      <c r="D2235" s="698"/>
      <c r="E2235" s="215"/>
      <c r="F2235" s="215"/>
      <c r="G2235" s="153"/>
      <c r="H2235" s="153"/>
      <c r="I2235" s="153"/>
      <c r="J2235" s="153"/>
      <c r="K2235" s="153"/>
      <c r="L2235" s="653"/>
      <c r="M2235" s="663">
        <v>34449</v>
      </c>
      <c r="N2235" s="600">
        <v>9.5131680000000003</v>
      </c>
      <c r="O2235" s="604">
        <v>1.36448E-2</v>
      </c>
      <c r="P2235" s="150"/>
      <c r="Q2235" s="250"/>
      <c r="R2235" s="250"/>
      <c r="S2235" s="250">
        <v>5.2000000000000005E-2</v>
      </c>
      <c r="T2235" s="250">
        <v>7.0499999999999993E-2</v>
      </c>
      <c r="U2235" s="250">
        <v>0.2112</v>
      </c>
      <c r="V2235" s="503">
        <v>0.3140250968074359</v>
      </c>
      <c r="W2235" s="503">
        <v>0.25086007303589464</v>
      </c>
      <c r="X2235" s="503">
        <v>9.6189803325090695E-2</v>
      </c>
      <c r="Y2235" s="503">
        <v>5.2515643316630618E-3</v>
      </c>
      <c r="Z2235" s="150"/>
      <c r="AA2235" s="223">
        <v>1.3854359209348095</v>
      </c>
      <c r="AB2235" s="152"/>
      <c r="AC2235" s="152"/>
      <c r="AD2235" s="223">
        <v>14.020339999999999</v>
      </c>
      <c r="AE2235" s="223">
        <v>0.69492120000000002</v>
      </c>
      <c r="AF2235" s="223">
        <v>9.7538699999999992</v>
      </c>
      <c r="AG2235" s="223">
        <v>0.98447169999999995</v>
      </c>
      <c r="AH2235" s="341"/>
      <c r="AI2235" s="218"/>
      <c r="AJ2235" s="218"/>
      <c r="AK2235" s="153"/>
      <c r="AL2235" s="152"/>
      <c r="AM2235" s="152"/>
      <c r="AN2235" s="152"/>
      <c r="AO2235" s="152"/>
      <c r="AP2235" s="152"/>
      <c r="AQ2235" s="152"/>
      <c r="AR2235" s="152"/>
      <c r="AS2235" s="152"/>
      <c r="AT2235" s="152"/>
      <c r="AU2235" s="153"/>
      <c r="AV2235" s="479"/>
      <c r="AW2235" s="479"/>
      <c r="AX2235" s="442"/>
      <c r="AY2235" s="153"/>
      <c r="AZ2235" s="152"/>
      <c r="BA2235" s="152"/>
      <c r="BB2235" s="152"/>
      <c r="BC2235" s="152"/>
      <c r="BD2235" s="152"/>
      <c r="BE2235" s="152"/>
      <c r="BF2235" s="152"/>
      <c r="BG2235" s="152"/>
      <c r="BH2235" s="152"/>
      <c r="BI2235" s="153"/>
      <c r="BJ2235" s="153"/>
      <c r="BK2235" s="153"/>
      <c r="BL2235" s="153"/>
      <c r="BM2235" s="153"/>
      <c r="BN2235" s="153"/>
      <c r="BO2235" s="153"/>
      <c r="BP2235" s="153"/>
      <c r="BQ2235" s="153"/>
      <c r="BR2235" s="153"/>
      <c r="BS2235" s="153"/>
      <c r="BT2235" s="153"/>
      <c r="BU2235" s="153"/>
      <c r="BV2235" s="153"/>
      <c r="BW2235" s="153"/>
      <c r="BX2235" s="153"/>
      <c r="BY2235" s="153"/>
      <c r="BZ2235" s="153"/>
      <c r="CA2235" s="152"/>
      <c r="CB2235" s="152"/>
    </row>
    <row r="2236" spans="1:80" s="87" customFormat="1" x14ac:dyDescent="0.2">
      <c r="A2236" s="152"/>
      <c r="B2236" s="683"/>
      <c r="C2236" s="683"/>
      <c r="D2236" s="698"/>
      <c r="E2236" s="215"/>
      <c r="F2236" s="215"/>
      <c r="G2236" s="153"/>
      <c r="H2236" s="153"/>
      <c r="I2236" s="153"/>
      <c r="J2236" s="153"/>
      <c r="K2236" s="153"/>
      <c r="L2236" s="653"/>
      <c r="M2236" s="663">
        <v>34456</v>
      </c>
      <c r="N2236" s="600">
        <v>5.9174170000000004</v>
      </c>
      <c r="O2236" s="604">
        <v>9.729792000000001E-5</v>
      </c>
      <c r="P2236" s="150"/>
      <c r="Q2236" s="250"/>
      <c r="R2236" s="250"/>
      <c r="S2236" s="250"/>
      <c r="T2236" s="250"/>
      <c r="U2236" s="250">
        <v>7.0999999999999994E-2</v>
      </c>
      <c r="V2236" s="503">
        <v>0.17833281940589987</v>
      </c>
      <c r="W2236" s="503">
        <v>0.40363860622880049</v>
      </c>
      <c r="X2236" s="503">
        <v>0.29612498715181412</v>
      </c>
      <c r="Y2236" s="503">
        <v>5.0878815911193337E-2</v>
      </c>
      <c r="Z2236" s="150"/>
      <c r="AA2236" s="223">
        <v>0.64320943827737564</v>
      </c>
      <c r="AB2236" s="152"/>
      <c r="AC2236" s="152"/>
      <c r="AD2236" s="223">
        <v>12.191599999999999</v>
      </c>
      <c r="AE2236" s="223">
        <v>0.62177159999999998</v>
      </c>
      <c r="AF2236" s="223">
        <v>7.5615715999999997</v>
      </c>
      <c r="AG2236" s="223">
        <v>0.81988510000000003</v>
      </c>
      <c r="AH2236" s="341"/>
      <c r="AI2236" s="218"/>
      <c r="AJ2236" s="218"/>
      <c r="AK2236" s="153"/>
      <c r="AL2236" s="152"/>
      <c r="AM2236" s="152"/>
      <c r="AN2236" s="152"/>
      <c r="AO2236" s="152"/>
      <c r="AP2236" s="152"/>
      <c r="AQ2236" s="152"/>
      <c r="AR2236" s="152"/>
      <c r="AS2236" s="152"/>
      <c r="AT2236" s="152"/>
      <c r="AU2236" s="153"/>
      <c r="AV2236" s="479"/>
      <c r="AW2236" s="479"/>
      <c r="AX2236" s="442"/>
      <c r="AY2236" s="153"/>
      <c r="AZ2236" s="152"/>
      <c r="BA2236" s="152"/>
      <c r="BB2236" s="152"/>
      <c r="BC2236" s="152"/>
      <c r="BD2236" s="152"/>
      <c r="BE2236" s="152"/>
      <c r="BF2236" s="152"/>
      <c r="BG2236" s="152"/>
      <c r="BH2236" s="152"/>
      <c r="BI2236" s="153"/>
      <c r="BJ2236" s="153"/>
      <c r="BK2236" s="153"/>
      <c r="BL2236" s="153"/>
      <c r="BM2236" s="153"/>
      <c r="BN2236" s="153"/>
      <c r="BO2236" s="153"/>
      <c r="BP2236" s="153"/>
      <c r="BQ2236" s="153"/>
      <c r="BR2236" s="153"/>
      <c r="BS2236" s="153"/>
      <c r="BT2236" s="153"/>
      <c r="BU2236" s="153"/>
      <c r="BV2236" s="153"/>
      <c r="BW2236" s="153"/>
      <c r="BX2236" s="153"/>
      <c r="BY2236" s="153"/>
      <c r="BZ2236" s="153"/>
      <c r="CA2236" s="152"/>
      <c r="CB2236" s="152"/>
    </row>
    <row r="2237" spans="1:80" s="87" customFormat="1" x14ac:dyDescent="0.2">
      <c r="A2237" s="152"/>
      <c r="B2237" s="683"/>
      <c r="C2237" s="683"/>
      <c r="D2237" s="698"/>
      <c r="E2237" s="215"/>
      <c r="F2237" s="215"/>
      <c r="G2237" s="153"/>
      <c r="H2237" s="153"/>
      <c r="I2237" s="153"/>
      <c r="J2237" s="153"/>
      <c r="K2237" s="153"/>
      <c r="L2237" s="653"/>
      <c r="M2237" s="663">
        <v>34456</v>
      </c>
      <c r="N2237" s="600">
        <v>5.9174170000000004</v>
      </c>
      <c r="O2237" s="604">
        <v>5.9827200000000002E-5</v>
      </c>
      <c r="P2237" s="150"/>
      <c r="Q2237" s="250"/>
      <c r="R2237" s="250"/>
      <c r="S2237" s="250"/>
      <c r="T2237" s="250"/>
      <c r="U2237" s="250"/>
      <c r="V2237" s="503">
        <v>0.24319358610322361</v>
      </c>
      <c r="W2237" s="503">
        <v>0.44930683146818096</v>
      </c>
      <c r="X2237" s="503">
        <v>0.25204609988308002</v>
      </c>
      <c r="Y2237" s="503">
        <v>5.5453482545515277E-2</v>
      </c>
      <c r="Z2237" s="150"/>
      <c r="AA2237" s="223">
        <v>0.70690664901111233</v>
      </c>
      <c r="AB2237" s="152"/>
      <c r="AC2237" s="152"/>
      <c r="AD2237" s="223">
        <v>12.191599999999999</v>
      </c>
      <c r="AE2237" s="223">
        <v>0.62177159999999998</v>
      </c>
      <c r="AF2237" s="223">
        <v>7.5615715999999997</v>
      </c>
      <c r="AG2237" s="223">
        <v>0.81988510000000003</v>
      </c>
      <c r="AH2237" s="341"/>
      <c r="AI2237" s="218"/>
      <c r="AJ2237" s="218"/>
      <c r="AK2237" s="153"/>
      <c r="AL2237" s="152"/>
      <c r="AM2237" s="152"/>
      <c r="AN2237" s="152"/>
      <c r="AO2237" s="152"/>
      <c r="AP2237" s="152"/>
      <c r="AQ2237" s="152"/>
      <c r="AR2237" s="152"/>
      <c r="AS2237" s="152"/>
      <c r="AT2237" s="152"/>
      <c r="AU2237" s="153"/>
      <c r="AV2237" s="479"/>
      <c r="AW2237" s="479"/>
      <c r="AX2237" s="442"/>
      <c r="AY2237" s="153"/>
      <c r="AZ2237" s="152"/>
      <c r="BA2237" s="152"/>
      <c r="BB2237" s="152"/>
      <c r="BC2237" s="152"/>
      <c r="BD2237" s="152"/>
      <c r="BE2237" s="152"/>
      <c r="BF2237" s="152"/>
      <c r="BG2237" s="152"/>
      <c r="BH2237" s="152"/>
      <c r="BI2237" s="153"/>
      <c r="BJ2237" s="153"/>
      <c r="BK2237" s="153"/>
      <c r="BL2237" s="153"/>
      <c r="BM2237" s="153"/>
      <c r="BN2237" s="153"/>
      <c r="BO2237" s="153"/>
      <c r="BP2237" s="153"/>
      <c r="BQ2237" s="153"/>
      <c r="BR2237" s="153"/>
      <c r="BS2237" s="153"/>
      <c r="BT2237" s="153"/>
      <c r="BU2237" s="153"/>
      <c r="BV2237" s="153"/>
      <c r="BW2237" s="153"/>
      <c r="BX2237" s="153"/>
      <c r="BY2237" s="153"/>
      <c r="BZ2237" s="153"/>
      <c r="CA2237" s="152"/>
      <c r="CB2237" s="152"/>
    </row>
    <row r="2238" spans="1:80" s="87" customFormat="1" x14ac:dyDescent="0.2">
      <c r="A2238" s="152"/>
      <c r="B2238" s="683"/>
      <c r="C2238" s="683"/>
      <c r="D2238" s="698"/>
      <c r="E2238" s="215"/>
      <c r="F2238" s="215"/>
      <c r="G2238" s="153"/>
      <c r="H2238" s="153"/>
      <c r="I2238" s="153"/>
      <c r="J2238" s="153"/>
      <c r="K2238" s="153"/>
      <c r="L2238" s="653"/>
      <c r="M2238" s="663">
        <v>34459</v>
      </c>
      <c r="N2238" s="600">
        <v>7.5878840000000007</v>
      </c>
      <c r="O2238" s="604">
        <v>1.868288E-4</v>
      </c>
      <c r="P2238" s="150"/>
      <c r="Q2238" s="250"/>
      <c r="R2238" s="250"/>
      <c r="S2238" s="250"/>
      <c r="T2238" s="250"/>
      <c r="U2238" s="250">
        <v>0.106</v>
      </c>
      <c r="V2238" s="503">
        <v>0.2374223934917577</v>
      </c>
      <c r="W2238" s="503">
        <v>0.38658745450652959</v>
      </c>
      <c r="X2238" s="503">
        <v>0.24197174052665385</v>
      </c>
      <c r="Y2238" s="503">
        <v>2.8045386426889314E-2</v>
      </c>
      <c r="Z2238" s="150"/>
      <c r="AA2238" s="223">
        <v>0.77400483803279363</v>
      </c>
      <c r="AB2238" s="152"/>
      <c r="AC2238" s="152"/>
      <c r="AD2238" s="223">
        <v>13.41076</v>
      </c>
      <c r="AE2238" s="223">
        <v>0.6126279</v>
      </c>
      <c r="AF2238" s="223">
        <v>8.2025401999999996</v>
      </c>
      <c r="AG2238" s="223">
        <v>0.89608259999999995</v>
      </c>
      <c r="AH2238" s="341"/>
      <c r="AI2238" s="218"/>
      <c r="AJ2238" s="218"/>
      <c r="AK2238" s="153"/>
      <c r="AL2238" s="152"/>
      <c r="AM2238" s="152"/>
      <c r="AN2238" s="152"/>
      <c r="AO2238" s="152"/>
      <c r="AP2238" s="152"/>
      <c r="AQ2238" s="152"/>
      <c r="AR2238" s="152"/>
      <c r="AS2238" s="152"/>
      <c r="AT2238" s="152"/>
      <c r="AU2238" s="153"/>
      <c r="AV2238" s="479"/>
      <c r="AW2238" s="479"/>
      <c r="AX2238" s="442"/>
      <c r="AY2238" s="153"/>
      <c r="AZ2238" s="152"/>
      <c r="BA2238" s="152"/>
      <c r="BB2238" s="152"/>
      <c r="BC2238" s="152"/>
      <c r="BD2238" s="152"/>
      <c r="BE2238" s="152"/>
      <c r="BF2238" s="152"/>
      <c r="BG2238" s="152"/>
      <c r="BH2238" s="152"/>
      <c r="BI2238" s="153"/>
      <c r="BJ2238" s="153"/>
      <c r="BK2238" s="153"/>
      <c r="BL2238" s="153"/>
      <c r="BM2238" s="153"/>
      <c r="BN2238" s="153"/>
      <c r="BO2238" s="153"/>
      <c r="BP2238" s="153"/>
      <c r="BQ2238" s="153"/>
      <c r="BR2238" s="153"/>
      <c r="BS2238" s="153"/>
      <c r="BT2238" s="153"/>
      <c r="BU2238" s="153"/>
      <c r="BV2238" s="153"/>
      <c r="BW2238" s="153"/>
      <c r="BX2238" s="153"/>
      <c r="BY2238" s="153"/>
      <c r="BZ2238" s="153"/>
      <c r="CA2238" s="152"/>
      <c r="CB2238" s="152"/>
    </row>
    <row r="2239" spans="1:80" s="87" customFormat="1" x14ac:dyDescent="0.2">
      <c r="A2239" s="152"/>
      <c r="B2239" s="683"/>
      <c r="C2239" s="683"/>
      <c r="D2239" s="698"/>
      <c r="E2239" s="215"/>
      <c r="F2239" s="215"/>
      <c r="G2239" s="153"/>
      <c r="H2239" s="153"/>
      <c r="I2239" s="153"/>
      <c r="J2239" s="153"/>
      <c r="K2239" s="153"/>
      <c r="L2239" s="653"/>
      <c r="M2239" s="663">
        <v>34459</v>
      </c>
      <c r="N2239" s="600">
        <v>7.6728230000000002</v>
      </c>
      <c r="O2239" s="604">
        <v>2.30912E-4</v>
      </c>
      <c r="P2239" s="150"/>
      <c r="Q2239" s="250"/>
      <c r="R2239" s="250"/>
      <c r="S2239" s="250"/>
      <c r="T2239" s="250"/>
      <c r="U2239" s="250">
        <v>0.18129999999999999</v>
      </c>
      <c r="V2239" s="503">
        <v>0.26043065725055237</v>
      </c>
      <c r="W2239" s="503">
        <v>0.33009834929162507</v>
      </c>
      <c r="X2239" s="503">
        <v>0.19058966249295956</v>
      </c>
      <c r="Y2239" s="503">
        <v>3.7563363805727654E-2</v>
      </c>
      <c r="Z2239" s="150"/>
      <c r="AA2239" s="223">
        <v>0.90903096155043273</v>
      </c>
      <c r="AB2239" s="152"/>
      <c r="AC2239" s="152"/>
      <c r="AD2239" s="223">
        <v>13.41076</v>
      </c>
      <c r="AE2239" s="223">
        <v>0.6126279</v>
      </c>
      <c r="AF2239" s="223">
        <v>8.2025401999999996</v>
      </c>
      <c r="AG2239" s="223">
        <v>0.89608259999999995</v>
      </c>
      <c r="AH2239" s="341"/>
      <c r="AI2239" s="218"/>
      <c r="AJ2239" s="218"/>
      <c r="AK2239" s="153"/>
      <c r="AL2239" s="152"/>
      <c r="AM2239" s="152"/>
      <c r="AN2239" s="152"/>
      <c r="AO2239" s="152"/>
      <c r="AP2239" s="152"/>
      <c r="AQ2239" s="152"/>
      <c r="AR2239" s="152"/>
      <c r="AS2239" s="152"/>
      <c r="AT2239" s="152"/>
      <c r="AU2239" s="153"/>
      <c r="AV2239" s="479"/>
      <c r="AW2239" s="479"/>
      <c r="AX2239" s="442"/>
      <c r="AY2239" s="153"/>
      <c r="AZ2239" s="152"/>
      <c r="BA2239" s="152"/>
      <c r="BB2239" s="152"/>
      <c r="BC2239" s="152"/>
      <c r="BD2239" s="152"/>
      <c r="BE2239" s="152"/>
      <c r="BF2239" s="152"/>
      <c r="BG2239" s="152"/>
      <c r="BH2239" s="152"/>
      <c r="BI2239" s="153"/>
      <c r="BJ2239" s="153"/>
      <c r="BK2239" s="153"/>
      <c r="BL2239" s="153"/>
      <c r="BM2239" s="153"/>
      <c r="BN2239" s="153"/>
      <c r="BO2239" s="153"/>
      <c r="BP2239" s="153"/>
      <c r="BQ2239" s="153"/>
      <c r="BR2239" s="153"/>
      <c r="BS2239" s="153"/>
      <c r="BT2239" s="153"/>
      <c r="BU2239" s="153"/>
      <c r="BV2239" s="153"/>
      <c r="BW2239" s="153"/>
      <c r="BX2239" s="153"/>
      <c r="BY2239" s="153"/>
      <c r="BZ2239" s="153"/>
      <c r="CA2239" s="152"/>
      <c r="CB2239" s="152"/>
    </row>
    <row r="2240" spans="1:80" s="87" customFormat="1" x14ac:dyDescent="0.2">
      <c r="A2240" s="152"/>
      <c r="B2240" s="683"/>
      <c r="C2240" s="683"/>
      <c r="D2240" s="698"/>
      <c r="E2240" s="215"/>
      <c r="F2240" s="215"/>
      <c r="G2240" s="153"/>
      <c r="H2240" s="153"/>
      <c r="I2240" s="153"/>
      <c r="J2240" s="153"/>
      <c r="K2240" s="153"/>
      <c r="L2240" s="653"/>
      <c r="M2240" s="663">
        <v>34452</v>
      </c>
      <c r="N2240" s="600">
        <v>6.6535549999999999</v>
      </c>
      <c r="O2240" s="604">
        <v>9.2049920000000004E-4</v>
      </c>
      <c r="P2240" s="150"/>
      <c r="Q2240" s="250"/>
      <c r="R2240" s="250"/>
      <c r="S2240" s="250"/>
      <c r="T2240" s="250"/>
      <c r="U2240" s="250"/>
      <c r="V2240" s="503">
        <v>2.1772179389727437E-2</v>
      </c>
      <c r="W2240" s="503">
        <v>0.49458138777283095</v>
      </c>
      <c r="X2240" s="503">
        <v>0.43741991530024976</v>
      </c>
      <c r="Y2240" s="503">
        <v>4.6226517537191869E-2</v>
      </c>
      <c r="Z2240" s="150"/>
      <c r="AA2240" s="223">
        <v>0.50950736450424483</v>
      </c>
      <c r="AB2240" s="152"/>
      <c r="AC2240" s="152"/>
      <c r="AD2240" s="223">
        <v>12.191599999999999</v>
      </c>
      <c r="AE2240" s="223">
        <v>0.6583464</v>
      </c>
      <c r="AF2240" s="223">
        <v>8.0446203999999994</v>
      </c>
      <c r="AG2240" s="223">
        <v>0.84426829999999997</v>
      </c>
      <c r="AH2240" s="341"/>
      <c r="AI2240" s="218"/>
      <c r="AJ2240" s="218"/>
      <c r="AK2240" s="153"/>
      <c r="AL2240" s="152"/>
      <c r="AM2240" s="152"/>
      <c r="AN2240" s="152"/>
      <c r="AO2240" s="152"/>
      <c r="AP2240" s="152"/>
      <c r="AQ2240" s="152"/>
      <c r="AR2240" s="152"/>
      <c r="AS2240" s="152"/>
      <c r="AT2240" s="152"/>
      <c r="AU2240" s="153"/>
      <c r="AV2240" s="479"/>
      <c r="AW2240" s="479"/>
      <c r="AX2240" s="442"/>
      <c r="AY2240" s="153"/>
      <c r="AZ2240" s="152"/>
      <c r="BA2240" s="152"/>
      <c r="BB2240" s="152"/>
      <c r="BC2240" s="152"/>
      <c r="BD2240" s="152"/>
      <c r="BE2240" s="152"/>
      <c r="BF2240" s="152"/>
      <c r="BG2240" s="152"/>
      <c r="BH2240" s="152"/>
      <c r="BI2240" s="153"/>
      <c r="BJ2240" s="153"/>
      <c r="BK2240" s="153"/>
      <c r="BL2240" s="153"/>
      <c r="BM2240" s="153"/>
      <c r="BN2240" s="153"/>
      <c r="BO2240" s="153"/>
      <c r="BP2240" s="153"/>
      <c r="BQ2240" s="153"/>
      <c r="BR2240" s="153"/>
      <c r="BS2240" s="153"/>
      <c r="BT2240" s="153"/>
      <c r="BU2240" s="153"/>
      <c r="BV2240" s="153"/>
      <c r="BW2240" s="153"/>
      <c r="BX2240" s="153"/>
      <c r="BY2240" s="153"/>
      <c r="BZ2240" s="153"/>
      <c r="CA2240" s="152"/>
      <c r="CB2240" s="152"/>
    </row>
    <row r="2241" spans="1:80" s="87" customFormat="1" x14ac:dyDescent="0.2">
      <c r="A2241" s="152"/>
      <c r="B2241" s="683"/>
      <c r="C2241" s="683"/>
      <c r="D2241" s="698"/>
      <c r="E2241" s="215"/>
      <c r="F2241" s="215"/>
      <c r="G2241" s="153"/>
      <c r="H2241" s="153"/>
      <c r="I2241" s="153"/>
      <c r="J2241" s="153"/>
      <c r="K2241" s="153"/>
      <c r="L2241" s="653"/>
      <c r="M2241" s="663">
        <v>34452</v>
      </c>
      <c r="N2241" s="600">
        <v>6.6535549999999999</v>
      </c>
      <c r="O2241" s="604">
        <v>2.8968959999999997E-4</v>
      </c>
      <c r="P2241" s="150"/>
      <c r="Q2241" s="250"/>
      <c r="R2241" s="250"/>
      <c r="S2241" s="250"/>
      <c r="T2241" s="250">
        <v>0.22339999999999999</v>
      </c>
      <c r="U2241" s="250">
        <v>0.13089999999999999</v>
      </c>
      <c r="V2241" s="503">
        <v>0.2258220169573309</v>
      </c>
      <c r="W2241" s="503">
        <v>0.242882746260426</v>
      </c>
      <c r="X2241" s="503">
        <v>0.14913490039291374</v>
      </c>
      <c r="Y2241" s="503">
        <v>2.7848624801819807E-2</v>
      </c>
      <c r="Z2241" s="150"/>
      <c r="AA2241" s="223">
        <v>1.2788556940637434</v>
      </c>
      <c r="AB2241" s="152"/>
      <c r="AC2241" s="152"/>
      <c r="AD2241" s="223">
        <v>12.191599999999999</v>
      </c>
      <c r="AE2241" s="223">
        <v>0.6583464</v>
      </c>
      <c r="AF2241" s="223">
        <v>8.0446203999999994</v>
      </c>
      <c r="AG2241" s="223">
        <v>0.84426829999999997</v>
      </c>
      <c r="AH2241" s="341"/>
      <c r="AI2241" s="218"/>
      <c r="AJ2241" s="218"/>
      <c r="AK2241" s="153"/>
      <c r="AL2241" s="152"/>
      <c r="AM2241" s="152"/>
      <c r="AN2241" s="152"/>
      <c r="AO2241" s="152"/>
      <c r="AP2241" s="152"/>
      <c r="AQ2241" s="152"/>
      <c r="AR2241" s="152"/>
      <c r="AS2241" s="152"/>
      <c r="AT2241" s="152"/>
      <c r="AU2241" s="153"/>
      <c r="AV2241" s="479"/>
      <c r="AW2241" s="479"/>
      <c r="AX2241" s="442"/>
      <c r="AY2241" s="153"/>
      <c r="AZ2241" s="152"/>
      <c r="BA2241" s="152"/>
      <c r="BB2241" s="152"/>
      <c r="BC2241" s="152"/>
      <c r="BD2241" s="152"/>
      <c r="BE2241" s="152"/>
      <c r="BF2241" s="152"/>
      <c r="BG2241" s="152"/>
      <c r="BH2241" s="152"/>
      <c r="BI2241" s="153"/>
      <c r="BJ2241" s="153"/>
      <c r="BK2241" s="153"/>
      <c r="BL2241" s="153"/>
      <c r="BM2241" s="153"/>
      <c r="BN2241" s="153"/>
      <c r="BO2241" s="153"/>
      <c r="BP2241" s="153"/>
      <c r="BQ2241" s="153"/>
      <c r="BR2241" s="153"/>
      <c r="BS2241" s="153"/>
      <c r="BT2241" s="153"/>
      <c r="BU2241" s="153"/>
      <c r="BV2241" s="153"/>
      <c r="BW2241" s="153"/>
      <c r="BX2241" s="153"/>
      <c r="BY2241" s="153"/>
      <c r="BZ2241" s="153"/>
      <c r="CA2241" s="152"/>
      <c r="CB2241" s="152"/>
    </row>
    <row r="2242" spans="1:80" s="87" customFormat="1" x14ac:dyDescent="0.2">
      <c r="A2242" s="152"/>
      <c r="B2242" s="683"/>
      <c r="C2242" s="683"/>
      <c r="D2242" s="698"/>
      <c r="E2242" s="215"/>
      <c r="F2242" s="215"/>
      <c r="G2242" s="153"/>
      <c r="H2242" s="153"/>
      <c r="I2242" s="153"/>
      <c r="J2242" s="153"/>
      <c r="K2242" s="153"/>
      <c r="L2242" s="653"/>
      <c r="M2242" s="663">
        <v>34466</v>
      </c>
      <c r="N2242" s="600">
        <v>14.807699000000001</v>
      </c>
      <c r="O2242" s="604">
        <v>4.4712959999999996E-3</v>
      </c>
      <c r="P2242" s="150"/>
      <c r="Q2242" s="250"/>
      <c r="R2242" s="250"/>
      <c r="S2242" s="250"/>
      <c r="T2242" s="250">
        <v>1.77E-2</v>
      </c>
      <c r="U2242" s="250">
        <v>5.4299999999999994E-2</v>
      </c>
      <c r="V2242" s="503">
        <v>0.24761676256742685</v>
      </c>
      <c r="W2242" s="503">
        <v>0.45027227818218418</v>
      </c>
      <c r="X2242" s="503">
        <v>0.22316528206820016</v>
      </c>
      <c r="Y2242" s="503">
        <v>6.9922579594774645E-3</v>
      </c>
      <c r="Z2242" s="150"/>
      <c r="AA2242" s="223">
        <v>0.75888027487554566</v>
      </c>
      <c r="AB2242" s="152"/>
      <c r="AC2242" s="152"/>
      <c r="AD2242" s="223">
        <v>15.2395</v>
      </c>
      <c r="AE2242" s="223">
        <v>0.75587919999999997</v>
      </c>
      <c r="AF2242" s="223">
        <v>11.518856</v>
      </c>
      <c r="AG2242" s="223">
        <v>1.3593634000000001</v>
      </c>
      <c r="AH2242" s="341"/>
      <c r="AI2242" s="218"/>
      <c r="AJ2242" s="218"/>
      <c r="AK2242" s="153"/>
      <c r="AL2242" s="152"/>
      <c r="AM2242" s="152"/>
      <c r="AN2242" s="152"/>
      <c r="AO2242" s="152"/>
      <c r="AP2242" s="152"/>
      <c r="AQ2242" s="152"/>
      <c r="AR2242" s="152"/>
      <c r="AS2242" s="152"/>
      <c r="AT2242" s="152"/>
      <c r="AU2242" s="153"/>
      <c r="AV2242" s="479"/>
      <c r="AW2242" s="479"/>
      <c r="AX2242" s="442"/>
      <c r="AY2242" s="153"/>
      <c r="AZ2242" s="152"/>
      <c r="BA2242" s="152"/>
      <c r="BB2242" s="152"/>
      <c r="BC2242" s="152"/>
      <c r="BD2242" s="152"/>
      <c r="BE2242" s="152"/>
      <c r="BF2242" s="152"/>
      <c r="BG2242" s="152"/>
      <c r="BH2242" s="152"/>
      <c r="BI2242" s="153"/>
      <c r="BJ2242" s="153"/>
      <c r="BK2242" s="153"/>
      <c r="BL2242" s="153"/>
      <c r="BM2242" s="153"/>
      <c r="BN2242" s="153"/>
      <c r="BO2242" s="153"/>
      <c r="BP2242" s="153"/>
      <c r="BQ2242" s="153"/>
      <c r="BR2242" s="153"/>
      <c r="BS2242" s="153"/>
      <c r="BT2242" s="153"/>
      <c r="BU2242" s="153"/>
      <c r="BV2242" s="153"/>
      <c r="BW2242" s="153"/>
      <c r="BX2242" s="153"/>
      <c r="BY2242" s="153"/>
      <c r="BZ2242" s="153"/>
      <c r="CA2242" s="152"/>
      <c r="CB2242" s="152"/>
    </row>
    <row r="2243" spans="1:80" s="87" customFormat="1" x14ac:dyDescent="0.2">
      <c r="A2243" s="152"/>
      <c r="B2243" s="683"/>
      <c r="C2243" s="683"/>
      <c r="D2243" s="698"/>
      <c r="E2243" s="215"/>
      <c r="F2243" s="215"/>
      <c r="G2243" s="153"/>
      <c r="H2243" s="153"/>
      <c r="I2243" s="153"/>
      <c r="J2243" s="153"/>
      <c r="K2243" s="153"/>
      <c r="L2243" s="653"/>
      <c r="M2243" s="663">
        <v>34466</v>
      </c>
      <c r="N2243" s="600">
        <v>14.467943</v>
      </c>
      <c r="O2243" s="604">
        <v>4.6917119999999998E-3</v>
      </c>
      <c r="P2243" s="150"/>
      <c r="Q2243" s="250"/>
      <c r="R2243" s="250"/>
      <c r="S2243" s="250"/>
      <c r="T2243" s="250">
        <v>3.2899999999999999E-2</v>
      </c>
      <c r="U2243" s="250">
        <v>5.5099999999999996E-2</v>
      </c>
      <c r="V2243" s="503">
        <v>0.23951139626155249</v>
      </c>
      <c r="W2243" s="503">
        <v>0.4459632199492774</v>
      </c>
      <c r="X2243" s="503">
        <v>0.22152568191749605</v>
      </c>
      <c r="Y2243" s="503">
        <v>5.0069222946896412E-3</v>
      </c>
      <c r="Z2243" s="150"/>
      <c r="AA2243" s="223">
        <v>0.76708871280374757</v>
      </c>
      <c r="AB2243" s="152"/>
      <c r="AC2243" s="152"/>
      <c r="AD2243" s="223">
        <v>15.2395</v>
      </c>
      <c r="AE2243" s="223">
        <v>0.75587919999999997</v>
      </c>
      <c r="AF2243" s="223">
        <v>11.518856</v>
      </c>
      <c r="AG2243" s="223">
        <v>1.3593634000000001</v>
      </c>
      <c r="AH2243" s="341"/>
      <c r="AI2243" s="218"/>
      <c r="AJ2243" s="218"/>
      <c r="AK2243" s="153"/>
      <c r="AL2243" s="152"/>
      <c r="AM2243" s="152"/>
      <c r="AN2243" s="152"/>
      <c r="AO2243" s="152"/>
      <c r="AP2243" s="152"/>
      <c r="AQ2243" s="152"/>
      <c r="AR2243" s="152"/>
      <c r="AS2243" s="152"/>
      <c r="AT2243" s="152"/>
      <c r="AU2243" s="153"/>
      <c r="AV2243" s="479"/>
      <c r="AW2243" s="479"/>
      <c r="AX2243" s="442"/>
      <c r="AY2243" s="153"/>
      <c r="AZ2243" s="152"/>
      <c r="BA2243" s="152"/>
      <c r="BB2243" s="152"/>
      <c r="BC2243" s="152"/>
      <c r="BD2243" s="152"/>
      <c r="BE2243" s="152"/>
      <c r="BF2243" s="152"/>
      <c r="BG2243" s="152"/>
      <c r="BH2243" s="152"/>
      <c r="BI2243" s="153"/>
      <c r="BJ2243" s="153"/>
      <c r="BK2243" s="153"/>
      <c r="BL2243" s="153"/>
      <c r="BM2243" s="153"/>
      <c r="BN2243" s="153"/>
      <c r="BO2243" s="153"/>
      <c r="BP2243" s="153"/>
      <c r="BQ2243" s="153"/>
      <c r="BR2243" s="153"/>
      <c r="BS2243" s="153"/>
      <c r="BT2243" s="153"/>
      <c r="BU2243" s="153"/>
      <c r="BV2243" s="153"/>
      <c r="BW2243" s="153"/>
      <c r="BX2243" s="153"/>
      <c r="BY2243" s="153"/>
      <c r="BZ2243" s="153"/>
      <c r="CA2243" s="152"/>
      <c r="CB2243" s="152"/>
    </row>
    <row r="2244" spans="1:80" s="87" customFormat="1" x14ac:dyDescent="0.2">
      <c r="A2244" s="152"/>
      <c r="B2244" s="683"/>
      <c r="C2244" s="683"/>
      <c r="D2244" s="698"/>
      <c r="E2244" s="215"/>
      <c r="F2244" s="215"/>
      <c r="G2244" s="153"/>
      <c r="H2244" s="153"/>
      <c r="I2244" s="153"/>
      <c r="J2244" s="153"/>
      <c r="K2244" s="153"/>
      <c r="L2244" s="653"/>
      <c r="M2244" s="663">
        <v>34425</v>
      </c>
      <c r="N2244" s="600">
        <v>2.2027513999999999</v>
      </c>
      <c r="O2244" s="604">
        <v>9.5828479999999998E-5</v>
      </c>
      <c r="P2244" s="150"/>
      <c r="Q2244" s="250"/>
      <c r="R2244" s="250"/>
      <c r="S2244" s="250"/>
      <c r="T2244" s="250"/>
      <c r="U2244" s="250"/>
      <c r="V2244" s="503">
        <v>0.3148870757951992</v>
      </c>
      <c r="W2244" s="503">
        <v>0.50561664892988056</v>
      </c>
      <c r="X2244" s="503">
        <v>0.16294194158685116</v>
      </c>
      <c r="Y2244" s="503">
        <v>1.6554333688069058E-2</v>
      </c>
      <c r="Z2244" s="150"/>
      <c r="AA2244" s="223">
        <v>0.8038725004039512</v>
      </c>
      <c r="AB2244" s="152"/>
      <c r="AC2244" s="152"/>
      <c r="AD2244" s="223">
        <v>11.277229999999999</v>
      </c>
      <c r="AE2244" s="223">
        <v>0.41451440000000001</v>
      </c>
      <c r="AF2244" s="223">
        <v>4.6818575999999998</v>
      </c>
      <c r="AG2244" s="223">
        <v>0.48461609999999999</v>
      </c>
      <c r="AH2244" s="341"/>
      <c r="AI2244" s="218"/>
      <c r="AJ2244" s="218"/>
      <c r="AK2244" s="153"/>
      <c r="AL2244" s="152"/>
      <c r="AM2244" s="152"/>
      <c r="AN2244" s="152"/>
      <c r="AO2244" s="152"/>
      <c r="AP2244" s="152"/>
      <c r="AQ2244" s="152"/>
      <c r="AR2244" s="152"/>
      <c r="AS2244" s="152"/>
      <c r="AT2244" s="152"/>
      <c r="AU2244" s="153"/>
      <c r="AV2244" s="479"/>
      <c r="AW2244" s="479"/>
      <c r="AX2244" s="442"/>
      <c r="AY2244" s="153"/>
      <c r="AZ2244" s="152"/>
      <c r="BA2244" s="152"/>
      <c r="BB2244" s="152"/>
      <c r="BC2244" s="152"/>
      <c r="BD2244" s="152"/>
      <c r="BE2244" s="152"/>
      <c r="BF2244" s="152"/>
      <c r="BG2244" s="152"/>
      <c r="BH2244" s="152"/>
      <c r="BI2244" s="153"/>
      <c r="BJ2244" s="153"/>
      <c r="BK2244" s="153"/>
      <c r="BL2244" s="153"/>
      <c r="BM2244" s="153"/>
      <c r="BN2244" s="153"/>
      <c r="BO2244" s="153"/>
      <c r="BP2244" s="153"/>
      <c r="BQ2244" s="153"/>
      <c r="BR2244" s="153"/>
      <c r="BS2244" s="153"/>
      <c r="BT2244" s="153"/>
      <c r="BU2244" s="153"/>
      <c r="BV2244" s="153"/>
      <c r="BW2244" s="153"/>
      <c r="BX2244" s="153"/>
      <c r="BY2244" s="153"/>
      <c r="BZ2244" s="153"/>
      <c r="CA2244" s="152"/>
      <c r="CB2244" s="152"/>
    </row>
    <row r="2245" spans="1:80" s="87" customFormat="1" x14ac:dyDescent="0.2">
      <c r="A2245" s="152"/>
      <c r="B2245" s="683"/>
      <c r="C2245" s="683"/>
      <c r="D2245" s="698"/>
      <c r="E2245" s="215"/>
      <c r="F2245" s="215"/>
      <c r="G2245" s="153"/>
      <c r="H2245" s="153"/>
      <c r="I2245" s="153"/>
      <c r="J2245" s="153"/>
      <c r="K2245" s="153"/>
      <c r="L2245" s="653"/>
      <c r="M2245" s="663">
        <v>34425</v>
      </c>
      <c r="N2245" s="600">
        <v>2.2027513999999999</v>
      </c>
      <c r="O2245" s="604">
        <v>1.658368E-5</v>
      </c>
      <c r="P2245" s="150"/>
      <c r="Q2245" s="250"/>
      <c r="R2245" s="250"/>
      <c r="S2245" s="250"/>
      <c r="T2245" s="250"/>
      <c r="U2245" s="250"/>
      <c r="V2245" s="503">
        <v>0.17281420765027319</v>
      </c>
      <c r="W2245" s="503">
        <v>0.43784153005464482</v>
      </c>
      <c r="X2245" s="503">
        <v>0.31215846994535512</v>
      </c>
      <c r="Y2245" s="503">
        <v>7.7185792349726765E-2</v>
      </c>
      <c r="Z2245" s="150"/>
      <c r="AA2245" s="223">
        <v>0.62156025022282324</v>
      </c>
      <c r="AB2245" s="152"/>
      <c r="AC2245" s="152"/>
      <c r="AD2245" s="223">
        <v>11.277229999999999</v>
      </c>
      <c r="AE2245" s="223">
        <v>0.41451440000000001</v>
      </c>
      <c r="AF2245" s="223">
        <v>4.6818575999999998</v>
      </c>
      <c r="AG2245" s="223">
        <v>0.48461609999999999</v>
      </c>
      <c r="AH2245" s="341"/>
      <c r="AI2245" s="218"/>
      <c r="AJ2245" s="218"/>
      <c r="AK2245" s="153"/>
      <c r="AL2245" s="152"/>
      <c r="AM2245" s="152"/>
      <c r="AN2245" s="152"/>
      <c r="AO2245" s="152"/>
      <c r="AP2245" s="152"/>
      <c r="AQ2245" s="152"/>
      <c r="AR2245" s="152"/>
      <c r="AS2245" s="152"/>
      <c r="AT2245" s="152"/>
      <c r="AU2245" s="153"/>
      <c r="AV2245" s="479"/>
      <c r="AW2245" s="479"/>
      <c r="AX2245" s="442"/>
      <c r="AY2245" s="153"/>
      <c r="AZ2245" s="152"/>
      <c r="BA2245" s="152"/>
      <c r="BB2245" s="152"/>
      <c r="BC2245" s="152"/>
      <c r="BD2245" s="152"/>
      <c r="BE2245" s="152"/>
      <c r="BF2245" s="152"/>
      <c r="BG2245" s="152"/>
      <c r="BH2245" s="152"/>
      <c r="BI2245" s="153"/>
      <c r="BJ2245" s="153"/>
      <c r="BK2245" s="153"/>
      <c r="BL2245" s="153"/>
      <c r="BM2245" s="153"/>
      <c r="BN2245" s="153"/>
      <c r="BO2245" s="153"/>
      <c r="BP2245" s="153"/>
      <c r="BQ2245" s="153"/>
      <c r="BR2245" s="153"/>
      <c r="BS2245" s="153"/>
      <c r="BT2245" s="153"/>
      <c r="BU2245" s="153"/>
      <c r="BV2245" s="153"/>
      <c r="BW2245" s="153"/>
      <c r="BX2245" s="153"/>
      <c r="BY2245" s="153"/>
      <c r="BZ2245" s="153"/>
      <c r="CA2245" s="152"/>
      <c r="CB2245" s="152"/>
    </row>
    <row r="2246" spans="1:80" s="87" customFormat="1" x14ac:dyDescent="0.2">
      <c r="A2246" s="152"/>
      <c r="B2246" s="683"/>
      <c r="C2246" s="683"/>
      <c r="D2246" s="698"/>
      <c r="E2246" s="215"/>
      <c r="F2246" s="215"/>
      <c r="G2246" s="153"/>
      <c r="H2246" s="153"/>
      <c r="I2246" s="153"/>
      <c r="J2246" s="153"/>
      <c r="K2246" s="153"/>
      <c r="L2246" s="653"/>
      <c r="M2246" s="663">
        <v>34438</v>
      </c>
      <c r="N2246" s="600">
        <v>3.057804</v>
      </c>
      <c r="O2246" s="604">
        <v>2.3615999999999999E-5</v>
      </c>
      <c r="P2246" s="150"/>
      <c r="Q2246" s="250"/>
      <c r="R2246" s="250"/>
      <c r="S2246" s="250"/>
      <c r="T2246" s="250"/>
      <c r="U2246" s="250"/>
      <c r="V2246" s="503">
        <v>0.20587404687941263</v>
      </c>
      <c r="W2246" s="503">
        <v>0.38463710816153629</v>
      </c>
      <c r="X2246" s="503">
        <v>0.33352160406664788</v>
      </c>
      <c r="Y2246" s="503">
        <v>7.5967240892403282E-2</v>
      </c>
      <c r="Z2246" s="150"/>
      <c r="AA2246" s="223">
        <v>0.59071863343696329</v>
      </c>
      <c r="AB2246" s="152"/>
      <c r="AC2246" s="152"/>
      <c r="AD2246" s="223">
        <v>11.886810000000001</v>
      </c>
      <c r="AE2246" s="223">
        <v>0.44194549999999999</v>
      </c>
      <c r="AF2246" s="223">
        <v>5.2578003999999998</v>
      </c>
      <c r="AG2246" s="223">
        <v>0.58824469999999995</v>
      </c>
      <c r="AH2246" s="341"/>
      <c r="AI2246" s="218"/>
      <c r="AJ2246" s="218"/>
      <c r="AK2246" s="153"/>
      <c r="AL2246" s="152"/>
      <c r="AM2246" s="152"/>
      <c r="AN2246" s="152"/>
      <c r="AO2246" s="152"/>
      <c r="AP2246" s="152"/>
      <c r="AQ2246" s="152"/>
      <c r="AR2246" s="152"/>
      <c r="AS2246" s="152"/>
      <c r="AT2246" s="152"/>
      <c r="AU2246" s="153"/>
      <c r="AV2246" s="479"/>
      <c r="AW2246" s="479"/>
      <c r="AX2246" s="442"/>
      <c r="AY2246" s="153"/>
      <c r="AZ2246" s="152"/>
      <c r="BA2246" s="152"/>
      <c r="BB2246" s="152"/>
      <c r="BC2246" s="152"/>
      <c r="BD2246" s="152"/>
      <c r="BE2246" s="152"/>
      <c r="BF2246" s="152"/>
      <c r="BG2246" s="152"/>
      <c r="BH2246" s="152"/>
      <c r="BI2246" s="153"/>
      <c r="BJ2246" s="153"/>
      <c r="BK2246" s="153"/>
      <c r="BL2246" s="153"/>
      <c r="BM2246" s="153"/>
      <c r="BN2246" s="153"/>
      <c r="BO2246" s="153"/>
      <c r="BP2246" s="153"/>
      <c r="BQ2246" s="153"/>
      <c r="BR2246" s="153"/>
      <c r="BS2246" s="153"/>
      <c r="BT2246" s="153"/>
      <c r="BU2246" s="153"/>
      <c r="BV2246" s="153"/>
      <c r="BW2246" s="153"/>
      <c r="BX2246" s="153"/>
      <c r="BY2246" s="153"/>
      <c r="BZ2246" s="153"/>
      <c r="CA2246" s="152"/>
      <c r="CB2246" s="152"/>
    </row>
    <row r="2247" spans="1:80" s="87" customFormat="1" x14ac:dyDescent="0.2">
      <c r="A2247" s="152"/>
      <c r="B2247" s="683"/>
      <c r="C2247" s="683"/>
      <c r="D2247" s="698"/>
      <c r="E2247" s="215"/>
      <c r="F2247" s="215"/>
      <c r="G2247" s="153"/>
      <c r="H2247" s="153"/>
      <c r="I2247" s="153"/>
      <c r="J2247" s="153"/>
      <c r="K2247" s="153"/>
      <c r="L2247" s="653"/>
      <c r="M2247" s="663">
        <v>34438</v>
      </c>
      <c r="N2247" s="600">
        <v>3.057804</v>
      </c>
      <c r="O2247" s="604">
        <v>1.647872E-5</v>
      </c>
      <c r="P2247" s="150"/>
      <c r="Q2247" s="250"/>
      <c r="R2247" s="250"/>
      <c r="S2247" s="250"/>
      <c r="T2247" s="250"/>
      <c r="U2247" s="250"/>
      <c r="V2247" s="503">
        <v>0.13973982375157362</v>
      </c>
      <c r="W2247" s="503">
        <v>0.48174569869911876</v>
      </c>
      <c r="X2247" s="503">
        <v>0.32731850608476704</v>
      </c>
      <c r="Y2247" s="503">
        <v>5.1195971464540496E-2</v>
      </c>
      <c r="Z2247" s="150"/>
      <c r="AA2247" s="223">
        <v>0.59064831057301381</v>
      </c>
      <c r="AB2247" s="152"/>
      <c r="AC2247" s="152"/>
      <c r="AD2247" s="223">
        <v>11.886810000000001</v>
      </c>
      <c r="AE2247" s="223">
        <v>0.44194549999999999</v>
      </c>
      <c r="AF2247" s="223">
        <v>5.2578003999999998</v>
      </c>
      <c r="AG2247" s="223">
        <v>0.58824469999999995</v>
      </c>
      <c r="AH2247" s="341"/>
      <c r="AI2247" s="218"/>
      <c r="AJ2247" s="218"/>
      <c r="AK2247" s="153"/>
      <c r="AL2247" s="152"/>
      <c r="AM2247" s="152"/>
      <c r="AN2247" s="152"/>
      <c r="AO2247" s="152"/>
      <c r="AP2247" s="152"/>
      <c r="AQ2247" s="152"/>
      <c r="AR2247" s="152"/>
      <c r="AS2247" s="152"/>
      <c r="AT2247" s="152"/>
      <c r="AU2247" s="153"/>
      <c r="AV2247" s="479"/>
      <c r="AW2247" s="479"/>
      <c r="AX2247" s="442"/>
      <c r="AY2247" s="153"/>
      <c r="AZ2247" s="152"/>
      <c r="BA2247" s="152"/>
      <c r="BB2247" s="152"/>
      <c r="BC2247" s="152"/>
      <c r="BD2247" s="152"/>
      <c r="BE2247" s="152"/>
      <c r="BF2247" s="152"/>
      <c r="BG2247" s="152"/>
      <c r="BH2247" s="152"/>
      <c r="BI2247" s="153"/>
      <c r="BJ2247" s="153"/>
      <c r="BK2247" s="153"/>
      <c r="BL2247" s="153"/>
      <c r="BM2247" s="153"/>
      <c r="BN2247" s="153"/>
      <c r="BO2247" s="153"/>
      <c r="BP2247" s="153"/>
      <c r="BQ2247" s="153"/>
      <c r="BR2247" s="153"/>
      <c r="BS2247" s="153"/>
      <c r="BT2247" s="153"/>
      <c r="BU2247" s="153"/>
      <c r="BV2247" s="153"/>
      <c r="BW2247" s="153"/>
      <c r="BX2247" s="153"/>
      <c r="BY2247" s="153"/>
      <c r="BZ2247" s="153"/>
      <c r="CA2247" s="152"/>
      <c r="CB2247" s="152"/>
    </row>
    <row r="2248" spans="1:80" s="87" customFormat="1" x14ac:dyDescent="0.2">
      <c r="A2248" s="152"/>
      <c r="B2248" s="683"/>
      <c r="C2248" s="683"/>
      <c r="D2248" s="698"/>
      <c r="E2248" s="215"/>
      <c r="F2248" s="215"/>
      <c r="G2248" s="153"/>
      <c r="H2248" s="153"/>
      <c r="I2248" s="153"/>
      <c r="J2248" s="153"/>
      <c r="K2248" s="153"/>
      <c r="L2248" s="653"/>
      <c r="M2248" s="663">
        <v>34606</v>
      </c>
      <c r="N2248" s="600">
        <v>0.59740430000000011</v>
      </c>
      <c r="O2248" s="604">
        <v>7.5991040000000008E-6</v>
      </c>
      <c r="P2248" s="150"/>
      <c r="Q2248" s="250"/>
      <c r="R2248" s="250"/>
      <c r="S2248" s="250"/>
      <c r="T2248" s="250"/>
      <c r="U2248" s="250">
        <v>0.43209999999999998</v>
      </c>
      <c r="V2248" s="503">
        <v>6.8361086765994741E-2</v>
      </c>
      <c r="W2248" s="503">
        <v>0.26818580192813324</v>
      </c>
      <c r="X2248" s="503">
        <v>0.14723926380368099</v>
      </c>
      <c r="Y2248" s="503">
        <v>8.4136722173531991E-2</v>
      </c>
      <c r="Z2248" s="150"/>
      <c r="AA2248" s="223">
        <v>1.0044531370342473</v>
      </c>
      <c r="AB2248" s="152"/>
      <c r="AC2248" s="152"/>
      <c r="AD2248" s="223">
        <v>9.4484899999999996</v>
      </c>
      <c r="AE2248" s="223">
        <v>0.27735890000000002</v>
      </c>
      <c r="AF2248" s="223">
        <v>2.6289001999999999</v>
      </c>
      <c r="AG2248" s="223">
        <v>0.2316404</v>
      </c>
      <c r="AH2248" s="341"/>
      <c r="AI2248" s="218"/>
      <c r="AJ2248" s="218"/>
      <c r="AK2248" s="153"/>
      <c r="AL2248" s="152"/>
      <c r="AM2248" s="152"/>
      <c r="AN2248" s="152"/>
      <c r="AO2248" s="152"/>
      <c r="AP2248" s="152"/>
      <c r="AQ2248" s="152"/>
      <c r="AR2248" s="152"/>
      <c r="AS2248" s="152"/>
      <c r="AT2248" s="152"/>
      <c r="AU2248" s="153"/>
      <c r="AV2248" s="479"/>
      <c r="AW2248" s="479"/>
      <c r="AX2248" s="442"/>
      <c r="AY2248" s="153"/>
      <c r="AZ2248" s="152"/>
      <c r="BA2248" s="152"/>
      <c r="BB2248" s="152"/>
      <c r="BC2248" s="152"/>
      <c r="BD2248" s="152"/>
      <c r="BE2248" s="152"/>
      <c r="BF2248" s="152"/>
      <c r="BG2248" s="152"/>
      <c r="BH2248" s="152"/>
      <c r="BI2248" s="153"/>
      <c r="BJ2248" s="153"/>
      <c r="BK2248" s="153"/>
      <c r="BL2248" s="153"/>
      <c r="BM2248" s="153"/>
      <c r="BN2248" s="153"/>
      <c r="BO2248" s="153"/>
      <c r="BP2248" s="153"/>
      <c r="BQ2248" s="153"/>
      <c r="BR2248" s="153"/>
      <c r="BS2248" s="153"/>
      <c r="BT2248" s="153"/>
      <c r="BU2248" s="153"/>
      <c r="BV2248" s="153"/>
      <c r="BW2248" s="153"/>
      <c r="BX2248" s="153"/>
      <c r="BY2248" s="153"/>
      <c r="BZ2248" s="153"/>
      <c r="CA2248" s="152"/>
      <c r="CB2248" s="152"/>
    </row>
    <row r="2249" spans="1:80" s="87" customFormat="1" x14ac:dyDescent="0.2">
      <c r="A2249" s="152"/>
      <c r="B2249" s="683"/>
      <c r="C2249" s="683"/>
      <c r="D2249" s="698"/>
      <c r="E2249" s="215"/>
      <c r="F2249" s="215"/>
      <c r="G2249" s="153"/>
      <c r="H2249" s="153"/>
      <c r="I2249" s="153"/>
      <c r="J2249" s="153"/>
      <c r="K2249" s="153"/>
      <c r="L2249" s="653"/>
      <c r="M2249" s="663">
        <v>34470</v>
      </c>
      <c r="N2249" s="600">
        <v>9.7679850000000012</v>
      </c>
      <c r="O2249" s="604">
        <v>2.8444160000000002E-3</v>
      </c>
      <c r="P2249" s="150"/>
      <c r="Q2249" s="250"/>
      <c r="R2249" s="250"/>
      <c r="S2249" s="250"/>
      <c r="T2249" s="250">
        <v>4.2999999999999997E-2</v>
      </c>
      <c r="U2249" s="250">
        <v>9.64E-2</v>
      </c>
      <c r="V2249" s="503">
        <v>0.18251931640178115</v>
      </c>
      <c r="W2249" s="503">
        <v>0.33246035517538763</v>
      </c>
      <c r="X2249" s="503">
        <v>0.32139676505271308</v>
      </c>
      <c r="Y2249" s="503">
        <v>2.4263864688385515E-2</v>
      </c>
      <c r="Z2249" s="150"/>
      <c r="AA2249" s="223">
        <v>0.66970850116884528</v>
      </c>
      <c r="AB2249" s="152"/>
      <c r="AC2249" s="152"/>
      <c r="AD2249" s="223">
        <v>14.020339999999999</v>
      </c>
      <c r="AE2249" s="223">
        <v>0.68272960000000005</v>
      </c>
      <c r="AF2249" s="223">
        <v>9.5680820000000004</v>
      </c>
      <c r="AG2249" s="223">
        <v>0.99971120000000002</v>
      </c>
      <c r="AH2249" s="341"/>
      <c r="AI2249" s="218"/>
      <c r="AJ2249" s="218"/>
      <c r="AK2249" s="153"/>
      <c r="AL2249" s="152"/>
      <c r="AM2249" s="152"/>
      <c r="AN2249" s="152"/>
      <c r="AO2249" s="152"/>
      <c r="AP2249" s="152"/>
      <c r="AQ2249" s="152"/>
      <c r="AR2249" s="152"/>
      <c r="AS2249" s="152"/>
      <c r="AT2249" s="152"/>
      <c r="AU2249" s="153"/>
      <c r="AV2249" s="479"/>
      <c r="AW2249" s="479"/>
      <c r="AX2249" s="442"/>
      <c r="AY2249" s="153"/>
      <c r="AZ2249" s="152"/>
      <c r="BA2249" s="152"/>
      <c r="BB2249" s="152"/>
      <c r="BC2249" s="152"/>
      <c r="BD2249" s="152"/>
      <c r="BE2249" s="152"/>
      <c r="BF2249" s="152"/>
      <c r="BG2249" s="152"/>
      <c r="BH2249" s="152"/>
      <c r="BI2249" s="153"/>
      <c r="BJ2249" s="153"/>
      <c r="BK2249" s="153"/>
      <c r="BL2249" s="153"/>
      <c r="BM2249" s="153"/>
      <c r="BN2249" s="153"/>
      <c r="BO2249" s="153"/>
      <c r="BP2249" s="153"/>
      <c r="BQ2249" s="153"/>
      <c r="BR2249" s="153"/>
      <c r="BS2249" s="153"/>
      <c r="BT2249" s="153"/>
      <c r="BU2249" s="153"/>
      <c r="BV2249" s="153"/>
      <c r="BW2249" s="153"/>
      <c r="BX2249" s="153"/>
      <c r="BY2249" s="153"/>
      <c r="BZ2249" s="153"/>
      <c r="CA2249" s="152"/>
      <c r="CB2249" s="152"/>
    </row>
    <row r="2250" spans="1:80" s="87" customFormat="1" x14ac:dyDescent="0.2">
      <c r="A2250" s="152"/>
      <c r="B2250" s="683"/>
      <c r="C2250" s="683"/>
      <c r="D2250" s="698"/>
      <c r="E2250" s="215"/>
      <c r="F2250" s="215"/>
      <c r="G2250" s="153"/>
      <c r="H2250" s="153"/>
      <c r="I2250" s="153"/>
      <c r="J2250" s="153"/>
      <c r="K2250" s="153"/>
      <c r="L2250" s="653"/>
      <c r="M2250" s="663">
        <v>34470</v>
      </c>
      <c r="N2250" s="600">
        <v>9.7679850000000012</v>
      </c>
      <c r="O2250" s="604">
        <v>1.0013184E-4</v>
      </c>
      <c r="P2250" s="150"/>
      <c r="Q2250" s="250"/>
      <c r="R2250" s="250"/>
      <c r="S2250" s="250"/>
      <c r="T2250" s="250"/>
      <c r="U2250" s="250"/>
      <c r="V2250" s="503">
        <v>0.19492963369597763</v>
      </c>
      <c r="W2250" s="503">
        <v>0.44675117277173371</v>
      </c>
      <c r="X2250" s="503">
        <v>0.32608044715041423</v>
      </c>
      <c r="Y2250" s="503">
        <v>3.2238746381874434E-2</v>
      </c>
      <c r="Z2250" s="150"/>
      <c r="AA2250" s="223">
        <v>0.61986936567063466</v>
      </c>
      <c r="AB2250" s="152"/>
      <c r="AC2250" s="152"/>
      <c r="AD2250" s="223">
        <v>14.020339999999999</v>
      </c>
      <c r="AE2250" s="223">
        <v>0.68272960000000005</v>
      </c>
      <c r="AF2250" s="223">
        <v>9.5680820000000004</v>
      </c>
      <c r="AG2250" s="223">
        <v>0.99971120000000002</v>
      </c>
      <c r="AH2250" s="341"/>
      <c r="AI2250" s="218"/>
      <c r="AJ2250" s="218"/>
      <c r="AK2250" s="153"/>
      <c r="AL2250" s="152"/>
      <c r="AM2250" s="152"/>
      <c r="AN2250" s="152"/>
      <c r="AO2250" s="152"/>
      <c r="AP2250" s="152"/>
      <c r="AQ2250" s="152"/>
      <c r="AR2250" s="152"/>
      <c r="AS2250" s="152"/>
      <c r="AT2250" s="152"/>
      <c r="AU2250" s="153"/>
      <c r="AV2250" s="479"/>
      <c r="AW2250" s="479"/>
      <c r="AX2250" s="442"/>
      <c r="AY2250" s="153"/>
      <c r="AZ2250" s="152"/>
      <c r="BA2250" s="152"/>
      <c r="BB2250" s="152"/>
      <c r="BC2250" s="152"/>
      <c r="BD2250" s="152"/>
      <c r="BE2250" s="152"/>
      <c r="BF2250" s="152"/>
      <c r="BG2250" s="152"/>
      <c r="BH2250" s="152"/>
      <c r="BI2250" s="153"/>
      <c r="BJ2250" s="153"/>
      <c r="BK2250" s="153"/>
      <c r="BL2250" s="153"/>
      <c r="BM2250" s="153"/>
      <c r="BN2250" s="153"/>
      <c r="BO2250" s="153"/>
      <c r="BP2250" s="153"/>
      <c r="BQ2250" s="153"/>
      <c r="BR2250" s="153"/>
      <c r="BS2250" s="153"/>
      <c r="BT2250" s="153"/>
      <c r="BU2250" s="153"/>
      <c r="BV2250" s="153"/>
      <c r="BW2250" s="153"/>
      <c r="BX2250" s="153"/>
      <c r="BY2250" s="153"/>
      <c r="BZ2250" s="153"/>
      <c r="CA2250" s="152"/>
      <c r="CB2250" s="152"/>
    </row>
    <row r="2251" spans="1:80" s="87" customFormat="1" x14ac:dyDescent="0.2">
      <c r="A2251" s="152"/>
      <c r="B2251" s="683"/>
      <c r="C2251" s="683"/>
      <c r="D2251" s="698"/>
      <c r="E2251" s="215"/>
      <c r="F2251" s="215"/>
      <c r="G2251" s="153"/>
      <c r="H2251" s="153"/>
      <c r="I2251" s="153"/>
      <c r="J2251" s="153"/>
      <c r="K2251" s="153"/>
      <c r="L2251" s="653"/>
      <c r="M2251" s="663">
        <v>34474</v>
      </c>
      <c r="N2251" s="600">
        <v>9.5131680000000003</v>
      </c>
      <c r="O2251" s="604">
        <v>3.8415360000000002E-4</v>
      </c>
      <c r="P2251" s="150"/>
      <c r="Q2251" s="250"/>
      <c r="R2251" s="250"/>
      <c r="S2251" s="250"/>
      <c r="T2251" s="250"/>
      <c r="U2251" s="250">
        <v>0.10390000000000001</v>
      </c>
      <c r="V2251" s="503">
        <v>0.34416935399979193</v>
      </c>
      <c r="W2251" s="503">
        <v>0.35857692707791528</v>
      </c>
      <c r="X2251" s="503">
        <v>0.1776760636637886</v>
      </c>
      <c r="Y2251" s="503">
        <v>1.5707895558098407E-2</v>
      </c>
      <c r="Z2251" s="150"/>
      <c r="AA2251" s="223">
        <v>0.92119724900664213</v>
      </c>
      <c r="AB2251" s="152"/>
      <c r="AC2251" s="152"/>
      <c r="AD2251" s="223">
        <v>12.191599999999999</v>
      </c>
      <c r="AE2251" s="223">
        <v>0.78635820000000001</v>
      </c>
      <c r="AF2251" s="223">
        <v>9.5680820000000004</v>
      </c>
      <c r="AG2251" s="223">
        <v>1.0149507</v>
      </c>
      <c r="AH2251" s="341"/>
      <c r="AI2251" s="218"/>
      <c r="AJ2251" s="218"/>
      <c r="AK2251" s="153"/>
      <c r="AL2251" s="152"/>
      <c r="AM2251" s="152"/>
      <c r="AN2251" s="152"/>
      <c r="AO2251" s="152"/>
      <c r="AP2251" s="152"/>
      <c r="AQ2251" s="152"/>
      <c r="AR2251" s="152"/>
      <c r="AS2251" s="152"/>
      <c r="AT2251" s="152"/>
      <c r="AU2251" s="153"/>
      <c r="AV2251" s="479"/>
      <c r="AW2251" s="479"/>
      <c r="AX2251" s="442"/>
      <c r="AY2251" s="153"/>
      <c r="AZ2251" s="152"/>
      <c r="BA2251" s="152"/>
      <c r="BB2251" s="152"/>
      <c r="BC2251" s="152"/>
      <c r="BD2251" s="152"/>
      <c r="BE2251" s="152"/>
      <c r="BF2251" s="152"/>
      <c r="BG2251" s="152"/>
      <c r="BH2251" s="152"/>
      <c r="BI2251" s="153"/>
      <c r="BJ2251" s="153"/>
      <c r="BK2251" s="153"/>
      <c r="BL2251" s="153"/>
      <c r="BM2251" s="153"/>
      <c r="BN2251" s="153"/>
      <c r="BO2251" s="153"/>
      <c r="BP2251" s="153"/>
      <c r="BQ2251" s="153"/>
      <c r="BR2251" s="153"/>
      <c r="BS2251" s="153"/>
      <c r="BT2251" s="153"/>
      <c r="BU2251" s="153"/>
      <c r="BV2251" s="153"/>
      <c r="BW2251" s="153"/>
      <c r="BX2251" s="153"/>
      <c r="BY2251" s="153"/>
      <c r="BZ2251" s="153"/>
      <c r="CA2251" s="152"/>
      <c r="CB2251" s="152"/>
    </row>
    <row r="2252" spans="1:80" s="87" customFormat="1" x14ac:dyDescent="0.2">
      <c r="A2252" s="152"/>
      <c r="B2252" s="683"/>
      <c r="C2252" s="683"/>
      <c r="D2252" s="698"/>
      <c r="E2252" s="215"/>
      <c r="F2252" s="215"/>
      <c r="G2252" s="153"/>
      <c r="H2252" s="153"/>
      <c r="I2252" s="153"/>
      <c r="J2252" s="153"/>
      <c r="K2252" s="153"/>
      <c r="L2252" s="653"/>
      <c r="M2252" s="663">
        <v>34474</v>
      </c>
      <c r="N2252" s="600">
        <v>9.5131680000000003</v>
      </c>
      <c r="O2252" s="604">
        <v>1.973248E-4</v>
      </c>
      <c r="P2252" s="150"/>
      <c r="Q2252" s="250"/>
      <c r="R2252" s="250"/>
      <c r="S2252" s="250"/>
      <c r="T2252" s="250"/>
      <c r="U2252" s="250">
        <v>4.7800000000000002E-2</v>
      </c>
      <c r="V2252" s="503">
        <v>0.21076392411484224</v>
      </c>
      <c r="W2252" s="503">
        <v>0.43613675560515369</v>
      </c>
      <c r="X2252" s="503">
        <v>0.28431571472050321</v>
      </c>
      <c r="Y2252" s="503">
        <v>2.0949578979405498E-2</v>
      </c>
      <c r="Z2252" s="150"/>
      <c r="AA2252" s="223">
        <v>0.67337105207810266</v>
      </c>
      <c r="AB2252" s="152"/>
      <c r="AC2252" s="152"/>
      <c r="AD2252" s="223">
        <v>12.191599999999999</v>
      </c>
      <c r="AE2252" s="223">
        <v>0.78635820000000001</v>
      </c>
      <c r="AF2252" s="223">
        <v>9.5680820000000004</v>
      </c>
      <c r="AG2252" s="223">
        <v>1.0149507</v>
      </c>
      <c r="AH2252" s="341"/>
      <c r="AI2252" s="218"/>
      <c r="AJ2252" s="218"/>
      <c r="AK2252" s="153"/>
      <c r="AL2252" s="152"/>
      <c r="AM2252" s="152"/>
      <c r="AN2252" s="152"/>
      <c r="AO2252" s="152"/>
      <c r="AP2252" s="152"/>
      <c r="AQ2252" s="152"/>
      <c r="AR2252" s="152"/>
      <c r="AS2252" s="152"/>
      <c r="AT2252" s="152"/>
      <c r="AU2252" s="153"/>
      <c r="AV2252" s="479"/>
      <c r="AW2252" s="479"/>
      <c r="AX2252" s="442"/>
      <c r="AY2252" s="153"/>
      <c r="AZ2252" s="152"/>
      <c r="BA2252" s="152"/>
      <c r="BB2252" s="152"/>
      <c r="BC2252" s="152"/>
      <c r="BD2252" s="152"/>
      <c r="BE2252" s="152"/>
      <c r="BF2252" s="152"/>
      <c r="BG2252" s="152"/>
      <c r="BH2252" s="152"/>
      <c r="BI2252" s="153"/>
      <c r="BJ2252" s="153"/>
      <c r="BK2252" s="153"/>
      <c r="BL2252" s="153"/>
      <c r="BM2252" s="153"/>
      <c r="BN2252" s="153"/>
      <c r="BO2252" s="153"/>
      <c r="BP2252" s="153"/>
      <c r="BQ2252" s="153"/>
      <c r="BR2252" s="153"/>
      <c r="BS2252" s="153"/>
      <c r="BT2252" s="153"/>
      <c r="BU2252" s="153"/>
      <c r="BV2252" s="153"/>
      <c r="BW2252" s="153"/>
      <c r="BX2252" s="153"/>
      <c r="BY2252" s="153"/>
      <c r="BZ2252" s="153"/>
      <c r="CA2252" s="152"/>
      <c r="CB2252" s="152"/>
    </row>
    <row r="2253" spans="1:80" s="87" customFormat="1" x14ac:dyDescent="0.2">
      <c r="A2253" s="152"/>
      <c r="B2253" s="683"/>
      <c r="C2253" s="683"/>
      <c r="D2253" s="698"/>
      <c r="E2253" s="215"/>
      <c r="F2253" s="215"/>
      <c r="G2253" s="153"/>
      <c r="H2253" s="153"/>
      <c r="I2253" s="153"/>
      <c r="J2253" s="153"/>
      <c r="K2253" s="153"/>
      <c r="L2253" s="653"/>
      <c r="M2253" s="663">
        <v>34478</v>
      </c>
      <c r="N2253" s="600">
        <v>10.051115000000001</v>
      </c>
      <c r="O2253" s="604">
        <v>1.7633280000000002E-3</v>
      </c>
      <c r="P2253" s="150"/>
      <c r="Q2253" s="250"/>
      <c r="R2253" s="250"/>
      <c r="S2253" s="250"/>
      <c r="T2253" s="250"/>
      <c r="U2253" s="250">
        <v>7.6E-3</v>
      </c>
      <c r="V2253" s="503">
        <v>0.11723264870511027</v>
      </c>
      <c r="W2253" s="503">
        <v>0.60810994924895256</v>
      </c>
      <c r="X2253" s="503">
        <v>0.2489753284058267</v>
      </c>
      <c r="Y2253" s="503">
        <v>1.8080770235135168E-2</v>
      </c>
      <c r="Z2253" s="150"/>
      <c r="AA2253" s="223">
        <v>0.63897224620452842</v>
      </c>
      <c r="AB2253" s="152"/>
      <c r="AC2253" s="152"/>
      <c r="AD2253" s="223">
        <v>14.62992</v>
      </c>
      <c r="AE2253" s="223">
        <v>0.68577750000000004</v>
      </c>
      <c r="AF2253" s="223">
        <v>10.032552000000001</v>
      </c>
      <c r="AG2253" s="223">
        <v>0.97228009999999998</v>
      </c>
      <c r="AH2253" s="341"/>
      <c r="AI2253" s="218"/>
      <c r="AJ2253" s="218"/>
      <c r="AK2253" s="153"/>
      <c r="AL2253" s="152"/>
      <c r="AM2253" s="152"/>
      <c r="AN2253" s="152"/>
      <c r="AO2253" s="152"/>
      <c r="AP2253" s="152"/>
      <c r="AQ2253" s="152"/>
      <c r="AR2253" s="152"/>
      <c r="AS2253" s="152"/>
      <c r="AT2253" s="152"/>
      <c r="AU2253" s="153"/>
      <c r="AV2253" s="479"/>
      <c r="AW2253" s="479"/>
      <c r="AX2253" s="442"/>
      <c r="AY2253" s="153"/>
      <c r="AZ2253" s="152"/>
      <c r="BA2253" s="152"/>
      <c r="BB2253" s="152"/>
      <c r="BC2253" s="152"/>
      <c r="BD2253" s="152"/>
      <c r="BE2253" s="152"/>
      <c r="BF2253" s="152"/>
      <c r="BG2253" s="152"/>
      <c r="BH2253" s="152"/>
      <c r="BI2253" s="153"/>
      <c r="BJ2253" s="153"/>
      <c r="BK2253" s="153"/>
      <c r="BL2253" s="153"/>
      <c r="BM2253" s="153"/>
      <c r="BN2253" s="153"/>
      <c r="BO2253" s="153"/>
      <c r="BP2253" s="153"/>
      <c r="BQ2253" s="153"/>
      <c r="BR2253" s="153"/>
      <c r="BS2253" s="153"/>
      <c r="BT2253" s="153"/>
      <c r="BU2253" s="153"/>
      <c r="BV2253" s="153"/>
      <c r="BW2253" s="153"/>
      <c r="BX2253" s="153"/>
      <c r="BY2253" s="153"/>
      <c r="BZ2253" s="153"/>
      <c r="CA2253" s="152"/>
      <c r="CB2253" s="152"/>
    </row>
    <row r="2254" spans="1:80" s="87" customFormat="1" x14ac:dyDescent="0.2">
      <c r="A2254" s="152"/>
      <c r="B2254" s="683"/>
      <c r="C2254" s="683"/>
      <c r="D2254" s="698"/>
      <c r="E2254" s="215"/>
      <c r="F2254" s="215"/>
      <c r="G2254" s="153"/>
      <c r="H2254" s="153"/>
      <c r="I2254" s="153"/>
      <c r="J2254" s="153"/>
      <c r="K2254" s="153"/>
      <c r="L2254" s="653"/>
      <c r="M2254" s="663">
        <v>34478</v>
      </c>
      <c r="N2254" s="600">
        <v>9.9095500000000012</v>
      </c>
      <c r="O2254" s="604">
        <v>9.3099519999999993E-5</v>
      </c>
      <c r="P2254" s="150"/>
      <c r="Q2254" s="250"/>
      <c r="R2254" s="250"/>
      <c r="S2254" s="250"/>
      <c r="T2254" s="250"/>
      <c r="U2254" s="250">
        <v>0.1144</v>
      </c>
      <c r="V2254" s="503">
        <v>0.20341348218119365</v>
      </c>
      <c r="W2254" s="503">
        <v>0.41455560326320301</v>
      </c>
      <c r="X2254" s="503">
        <v>0.23411335337054529</v>
      </c>
      <c r="Y2254" s="503">
        <v>3.34907685702018E-2</v>
      </c>
      <c r="Z2254" s="150"/>
      <c r="AA2254" s="223">
        <v>0.74446900415546091</v>
      </c>
      <c r="AB2254" s="152"/>
      <c r="AC2254" s="152"/>
      <c r="AD2254" s="223">
        <v>14.62992</v>
      </c>
      <c r="AE2254" s="223">
        <v>0.68577750000000004</v>
      </c>
      <c r="AF2254" s="223">
        <v>10.032552000000001</v>
      </c>
      <c r="AG2254" s="223">
        <v>0.97228009999999998</v>
      </c>
      <c r="AH2254" s="341"/>
      <c r="AI2254" s="218"/>
      <c r="AJ2254" s="218"/>
      <c r="AK2254" s="153"/>
      <c r="AL2254" s="152"/>
      <c r="AM2254" s="152"/>
      <c r="AN2254" s="152"/>
      <c r="AO2254" s="152"/>
      <c r="AP2254" s="152"/>
      <c r="AQ2254" s="152"/>
      <c r="AR2254" s="152"/>
      <c r="AS2254" s="152"/>
      <c r="AT2254" s="152"/>
      <c r="AU2254" s="153"/>
      <c r="AV2254" s="479"/>
      <c r="AW2254" s="479"/>
      <c r="AX2254" s="442"/>
      <c r="AY2254" s="153"/>
      <c r="AZ2254" s="152"/>
      <c r="BA2254" s="152"/>
      <c r="BB2254" s="152"/>
      <c r="BC2254" s="152"/>
      <c r="BD2254" s="152"/>
      <c r="BE2254" s="152"/>
      <c r="BF2254" s="152"/>
      <c r="BG2254" s="152"/>
      <c r="BH2254" s="152"/>
      <c r="BI2254" s="153"/>
      <c r="BJ2254" s="153"/>
      <c r="BK2254" s="153"/>
      <c r="BL2254" s="153"/>
      <c r="BM2254" s="153"/>
      <c r="BN2254" s="153"/>
      <c r="BO2254" s="153"/>
      <c r="BP2254" s="153"/>
      <c r="BQ2254" s="153"/>
      <c r="BR2254" s="153"/>
      <c r="BS2254" s="153"/>
      <c r="BT2254" s="153"/>
      <c r="BU2254" s="153"/>
      <c r="BV2254" s="153"/>
      <c r="BW2254" s="153"/>
      <c r="BX2254" s="153"/>
      <c r="BY2254" s="153"/>
      <c r="BZ2254" s="153"/>
      <c r="CA2254" s="152"/>
      <c r="CB2254" s="152"/>
    </row>
    <row r="2255" spans="1:80" s="87" customFormat="1" x14ac:dyDescent="0.2">
      <c r="A2255" s="152"/>
      <c r="B2255" s="683"/>
      <c r="C2255" s="683"/>
      <c r="D2255" s="698"/>
      <c r="E2255" s="215"/>
      <c r="F2255" s="215"/>
      <c r="G2255" s="153"/>
      <c r="H2255" s="153"/>
      <c r="I2255" s="153"/>
      <c r="J2255" s="153"/>
      <c r="K2255" s="153"/>
      <c r="L2255" s="653"/>
      <c r="M2255" s="663">
        <v>34487</v>
      </c>
      <c r="N2255" s="600">
        <v>11.183635000000001</v>
      </c>
      <c r="O2255" s="604">
        <v>3.0753280000000001E-4</v>
      </c>
      <c r="P2255" s="150"/>
      <c r="Q2255" s="250"/>
      <c r="R2255" s="250"/>
      <c r="S2255" s="250"/>
      <c r="T2255" s="250"/>
      <c r="U2255" s="250"/>
      <c r="V2255" s="503">
        <v>0.13135116419977497</v>
      </c>
      <c r="W2255" s="503">
        <v>0.54946767073487413</v>
      </c>
      <c r="X2255" s="503">
        <v>0.2983640612827837</v>
      </c>
      <c r="Y2255" s="503">
        <v>2.0817103782567303E-2</v>
      </c>
      <c r="Z2255" s="150"/>
      <c r="AA2255" s="223">
        <v>0.61997574492000118</v>
      </c>
      <c r="AB2255" s="152"/>
      <c r="AC2255" s="152"/>
      <c r="AD2255" s="223">
        <v>14.62992</v>
      </c>
      <c r="AE2255" s="223">
        <v>0.69796910000000001</v>
      </c>
      <c r="AF2255" s="223">
        <v>10.21834</v>
      </c>
      <c r="AG2255" s="223">
        <v>1.0698129000000001</v>
      </c>
      <c r="AH2255" s="341"/>
      <c r="AI2255" s="218"/>
      <c r="AJ2255" s="218"/>
      <c r="AK2255" s="153"/>
      <c r="AL2255" s="152"/>
      <c r="AM2255" s="152"/>
      <c r="AN2255" s="152"/>
      <c r="AO2255" s="152"/>
      <c r="AP2255" s="152"/>
      <c r="AQ2255" s="152"/>
      <c r="AR2255" s="152"/>
      <c r="AS2255" s="152"/>
      <c r="AT2255" s="152"/>
      <c r="AU2255" s="153"/>
      <c r="AV2255" s="479"/>
      <c r="AW2255" s="479"/>
      <c r="AX2255" s="442"/>
      <c r="AY2255" s="153"/>
      <c r="AZ2255" s="152"/>
      <c r="BA2255" s="152"/>
      <c r="BB2255" s="152"/>
      <c r="BC2255" s="152"/>
      <c r="BD2255" s="152"/>
      <c r="BE2255" s="152"/>
      <c r="BF2255" s="152"/>
      <c r="BG2255" s="152"/>
      <c r="BH2255" s="152"/>
      <c r="BI2255" s="153"/>
      <c r="BJ2255" s="153"/>
      <c r="BK2255" s="153"/>
      <c r="BL2255" s="153"/>
      <c r="BM2255" s="153"/>
      <c r="BN2255" s="153"/>
      <c r="BO2255" s="153"/>
      <c r="BP2255" s="153"/>
      <c r="BQ2255" s="153"/>
      <c r="BR2255" s="153"/>
      <c r="BS2255" s="153"/>
      <c r="BT2255" s="153"/>
      <c r="BU2255" s="153"/>
      <c r="BV2255" s="153"/>
      <c r="BW2255" s="153"/>
      <c r="BX2255" s="153"/>
      <c r="BY2255" s="153"/>
      <c r="BZ2255" s="153"/>
      <c r="CA2255" s="152"/>
      <c r="CB2255" s="152"/>
    </row>
    <row r="2256" spans="1:80" s="87" customFormat="1" x14ac:dyDescent="0.2">
      <c r="A2256" s="152"/>
      <c r="B2256" s="683"/>
      <c r="C2256" s="683"/>
      <c r="D2256" s="698"/>
      <c r="E2256" s="215"/>
      <c r="F2256" s="215"/>
      <c r="G2256" s="153"/>
      <c r="H2256" s="153"/>
      <c r="I2256" s="153"/>
      <c r="J2256" s="153"/>
      <c r="K2256" s="153"/>
      <c r="L2256" s="653"/>
      <c r="M2256" s="663">
        <v>34487</v>
      </c>
      <c r="N2256" s="600">
        <v>11.013757</v>
      </c>
      <c r="O2256" s="604">
        <v>4.61824E-4</v>
      </c>
      <c r="P2256" s="150"/>
      <c r="Q2256" s="250"/>
      <c r="R2256" s="250"/>
      <c r="S2256" s="250"/>
      <c r="T2256" s="250"/>
      <c r="U2256" s="250">
        <v>4.1700000000000001E-2</v>
      </c>
      <c r="V2256" s="503">
        <v>0.21923388028657265</v>
      </c>
      <c r="W2256" s="503">
        <v>0.44274324012017563</v>
      </c>
      <c r="X2256" s="503">
        <v>0.2812861104691472</v>
      </c>
      <c r="Y2256" s="503">
        <v>1.5021955165241508E-2</v>
      </c>
      <c r="Z2256" s="150"/>
      <c r="AA2256" s="223">
        <v>0.686127960435855</v>
      </c>
      <c r="AB2256" s="152"/>
      <c r="AC2256" s="152"/>
      <c r="AD2256" s="223">
        <v>14.62992</v>
      </c>
      <c r="AE2256" s="223">
        <v>0.69796910000000001</v>
      </c>
      <c r="AF2256" s="223">
        <v>10.21834</v>
      </c>
      <c r="AG2256" s="223">
        <v>1.0698129000000001</v>
      </c>
      <c r="AH2256" s="341"/>
      <c r="AI2256" s="218"/>
      <c r="AJ2256" s="218"/>
      <c r="AK2256" s="153"/>
      <c r="AL2256" s="152"/>
      <c r="AM2256" s="152"/>
      <c r="AN2256" s="152"/>
      <c r="AO2256" s="152"/>
      <c r="AP2256" s="152"/>
      <c r="AQ2256" s="152"/>
      <c r="AR2256" s="152"/>
      <c r="AS2256" s="152"/>
      <c r="AT2256" s="152"/>
      <c r="AU2256" s="153"/>
      <c r="AV2256" s="479"/>
      <c r="AW2256" s="479"/>
      <c r="AX2256" s="442"/>
      <c r="AY2256" s="153"/>
      <c r="AZ2256" s="152"/>
      <c r="BA2256" s="152"/>
      <c r="BB2256" s="152"/>
      <c r="BC2256" s="152"/>
      <c r="BD2256" s="152"/>
      <c r="BE2256" s="152"/>
      <c r="BF2256" s="152"/>
      <c r="BG2256" s="152"/>
      <c r="BH2256" s="152"/>
      <c r="BI2256" s="153"/>
      <c r="BJ2256" s="153"/>
      <c r="BK2256" s="153"/>
      <c r="BL2256" s="153"/>
      <c r="BM2256" s="153"/>
      <c r="BN2256" s="153"/>
      <c r="BO2256" s="153"/>
      <c r="BP2256" s="153"/>
      <c r="BQ2256" s="153"/>
      <c r="BR2256" s="153"/>
      <c r="BS2256" s="153"/>
      <c r="BT2256" s="153"/>
      <c r="BU2256" s="153"/>
      <c r="BV2256" s="153"/>
      <c r="BW2256" s="153"/>
      <c r="BX2256" s="153"/>
      <c r="BY2256" s="153"/>
      <c r="BZ2256" s="153"/>
      <c r="CA2256" s="152"/>
      <c r="CB2256" s="152"/>
    </row>
    <row r="2257" spans="1:80" s="87" customFormat="1" x14ac:dyDescent="0.2">
      <c r="A2257" s="152"/>
      <c r="B2257" s="683"/>
      <c r="C2257" s="683"/>
      <c r="D2257" s="698"/>
      <c r="E2257" s="215"/>
      <c r="F2257" s="215"/>
      <c r="G2257" s="153"/>
      <c r="H2257" s="153"/>
      <c r="I2257" s="153"/>
      <c r="J2257" s="153"/>
      <c r="K2257" s="153"/>
      <c r="L2257" s="653"/>
      <c r="M2257" s="663">
        <v>34488</v>
      </c>
      <c r="N2257" s="600">
        <v>10.730627</v>
      </c>
      <c r="O2257" s="604">
        <v>4.2298880000000002E-3</v>
      </c>
      <c r="P2257" s="150"/>
      <c r="Q2257" s="250"/>
      <c r="R2257" s="250"/>
      <c r="S2257" s="250">
        <v>0.2195</v>
      </c>
      <c r="T2257" s="250">
        <v>0.13070000000000001</v>
      </c>
      <c r="U2257" s="250">
        <v>0.1409</v>
      </c>
      <c r="V2257" s="503">
        <v>0.13975173855419029</v>
      </c>
      <c r="W2257" s="503">
        <v>0.21666682407311214</v>
      </c>
      <c r="X2257" s="503">
        <v>0.11091172961350422</v>
      </c>
      <c r="Y2257" s="503">
        <v>4.162141231359142E-2</v>
      </c>
      <c r="Z2257" s="150"/>
      <c r="AA2257" s="223">
        <v>1.9131442628713817</v>
      </c>
      <c r="AB2257" s="152"/>
      <c r="AC2257" s="152"/>
      <c r="AD2257" s="223">
        <v>14.62992</v>
      </c>
      <c r="AE2257" s="223">
        <v>0.69187330000000002</v>
      </c>
      <c r="AF2257" s="223">
        <v>10.125446</v>
      </c>
      <c r="AG2257" s="223">
        <v>1.0637171000000001</v>
      </c>
      <c r="AH2257" s="341"/>
      <c r="AI2257" s="218"/>
      <c r="AJ2257" s="218"/>
      <c r="AK2257" s="153"/>
      <c r="AL2257" s="152"/>
      <c r="AM2257" s="152"/>
      <c r="AN2257" s="152"/>
      <c r="AO2257" s="152"/>
      <c r="AP2257" s="152"/>
      <c r="AQ2257" s="152"/>
      <c r="AR2257" s="152"/>
      <c r="AS2257" s="152"/>
      <c r="AT2257" s="152"/>
      <c r="AU2257" s="153"/>
      <c r="AV2257" s="479"/>
      <c r="AW2257" s="479"/>
      <c r="AX2257" s="442"/>
      <c r="AY2257" s="153"/>
      <c r="AZ2257" s="152"/>
      <c r="BA2257" s="152"/>
      <c r="BB2257" s="152"/>
      <c r="BC2257" s="152"/>
      <c r="BD2257" s="152"/>
      <c r="BE2257" s="152"/>
      <c r="BF2257" s="152"/>
      <c r="BG2257" s="152"/>
      <c r="BH2257" s="152"/>
      <c r="BI2257" s="153"/>
      <c r="BJ2257" s="153"/>
      <c r="BK2257" s="153"/>
      <c r="BL2257" s="153"/>
      <c r="BM2257" s="153"/>
      <c r="BN2257" s="153"/>
      <c r="BO2257" s="153"/>
      <c r="BP2257" s="153"/>
      <c r="BQ2257" s="153"/>
      <c r="BR2257" s="153"/>
      <c r="BS2257" s="153"/>
      <c r="BT2257" s="153"/>
      <c r="BU2257" s="153"/>
      <c r="BV2257" s="153"/>
      <c r="BW2257" s="153"/>
      <c r="BX2257" s="153"/>
      <c r="BY2257" s="153"/>
      <c r="BZ2257" s="153"/>
      <c r="CA2257" s="152"/>
      <c r="CB2257" s="152"/>
    </row>
    <row r="2258" spans="1:80" s="87" customFormat="1" x14ac:dyDescent="0.2">
      <c r="A2258" s="152"/>
      <c r="B2258" s="683"/>
      <c r="C2258" s="683"/>
      <c r="D2258" s="698"/>
      <c r="E2258" s="215"/>
      <c r="F2258" s="215"/>
      <c r="G2258" s="153"/>
      <c r="H2258" s="153"/>
      <c r="I2258" s="153"/>
      <c r="J2258" s="153"/>
      <c r="K2258" s="153"/>
      <c r="L2258" s="653"/>
      <c r="M2258" s="663">
        <v>34488</v>
      </c>
      <c r="N2258" s="600">
        <v>10.730627</v>
      </c>
      <c r="O2258" s="604">
        <v>3.4636800000000002E-3</v>
      </c>
      <c r="P2258" s="150"/>
      <c r="Q2258" s="250"/>
      <c r="R2258" s="250"/>
      <c r="S2258" s="250">
        <v>0.24440000000000001</v>
      </c>
      <c r="T2258" s="250">
        <v>8.8800000000000004E-2</v>
      </c>
      <c r="U2258" s="250">
        <v>0.15570000000000001</v>
      </c>
      <c r="V2258" s="503">
        <v>0.15542738777726015</v>
      </c>
      <c r="W2258" s="503">
        <v>0.20854814056189336</v>
      </c>
      <c r="X2258" s="503">
        <v>0.1089212217349622</v>
      </c>
      <c r="Y2258" s="503">
        <v>3.824755803164067E-2</v>
      </c>
      <c r="Z2258" s="150"/>
      <c r="AA2258" s="223">
        <v>1.9030308407030698</v>
      </c>
      <c r="AB2258" s="152"/>
      <c r="AC2258" s="152"/>
      <c r="AD2258" s="223">
        <v>14.62992</v>
      </c>
      <c r="AE2258" s="223">
        <v>0.69187330000000002</v>
      </c>
      <c r="AF2258" s="223">
        <v>10.125446</v>
      </c>
      <c r="AG2258" s="223">
        <v>1.0637171000000001</v>
      </c>
      <c r="AH2258" s="341"/>
      <c r="AI2258" s="218"/>
      <c r="AJ2258" s="218"/>
      <c r="AK2258" s="153"/>
      <c r="AL2258" s="152"/>
      <c r="AM2258" s="152"/>
      <c r="AN2258" s="152"/>
      <c r="AO2258" s="152"/>
      <c r="AP2258" s="152"/>
      <c r="AQ2258" s="152"/>
      <c r="AR2258" s="152"/>
      <c r="AS2258" s="152"/>
      <c r="AT2258" s="152"/>
      <c r="AU2258" s="153"/>
      <c r="AV2258" s="479"/>
      <c r="AW2258" s="479"/>
      <c r="AX2258" s="442"/>
      <c r="AY2258" s="153"/>
      <c r="AZ2258" s="152"/>
      <c r="BA2258" s="152"/>
      <c r="BB2258" s="152"/>
      <c r="BC2258" s="152"/>
      <c r="BD2258" s="152"/>
      <c r="BE2258" s="152"/>
      <c r="BF2258" s="152"/>
      <c r="BG2258" s="152"/>
      <c r="BH2258" s="152"/>
      <c r="BI2258" s="153"/>
      <c r="BJ2258" s="153"/>
      <c r="BK2258" s="153"/>
      <c r="BL2258" s="153"/>
      <c r="BM2258" s="153"/>
      <c r="BN2258" s="153"/>
      <c r="BO2258" s="153"/>
      <c r="BP2258" s="153"/>
      <c r="BQ2258" s="153"/>
      <c r="BR2258" s="153"/>
      <c r="BS2258" s="153"/>
      <c r="BT2258" s="153"/>
      <c r="BU2258" s="153"/>
      <c r="BV2258" s="153"/>
      <c r="BW2258" s="153"/>
      <c r="BX2258" s="153"/>
      <c r="BY2258" s="153"/>
      <c r="BZ2258" s="153"/>
      <c r="CA2258" s="152"/>
      <c r="CB2258" s="152"/>
    </row>
    <row r="2259" spans="1:80" s="87" customFormat="1" x14ac:dyDescent="0.2">
      <c r="A2259" s="152"/>
      <c r="B2259" s="683"/>
      <c r="C2259" s="683"/>
      <c r="D2259" s="698"/>
      <c r="E2259" s="215"/>
      <c r="F2259" s="215"/>
      <c r="G2259" s="153"/>
      <c r="H2259" s="153"/>
      <c r="I2259" s="153"/>
      <c r="J2259" s="153"/>
      <c r="K2259" s="153"/>
      <c r="L2259" s="653"/>
      <c r="M2259" s="663">
        <v>34495</v>
      </c>
      <c r="N2259" s="600">
        <v>7.8427010000000008</v>
      </c>
      <c r="O2259" s="604">
        <v>1.144064E-4</v>
      </c>
      <c r="P2259" s="150"/>
      <c r="Q2259" s="250"/>
      <c r="R2259" s="250"/>
      <c r="S2259" s="250"/>
      <c r="T2259" s="250">
        <v>9.1400000000000009E-2</v>
      </c>
      <c r="U2259" s="250">
        <v>0.22800000000000001</v>
      </c>
      <c r="V2259" s="503">
        <v>0.34260551098709446</v>
      </c>
      <c r="W2259" s="503">
        <v>0.23866410882455524</v>
      </c>
      <c r="X2259" s="503">
        <v>8.7635158702476457E-2</v>
      </c>
      <c r="Y2259" s="503">
        <v>1.1684687826996861E-2</v>
      </c>
      <c r="Z2259" s="150"/>
      <c r="AA2259" s="223">
        <v>1.3878906131478483</v>
      </c>
      <c r="AB2259" s="152"/>
      <c r="AC2259" s="152"/>
      <c r="AD2259" s="223">
        <v>14.020339999999999</v>
      </c>
      <c r="AE2259" s="223">
        <v>0.58824469999999995</v>
      </c>
      <c r="AF2259" s="223">
        <v>8.2582766000000003</v>
      </c>
      <c r="AG2259" s="223">
        <v>0.94180109999999995</v>
      </c>
      <c r="AH2259" s="341"/>
      <c r="AI2259" s="218"/>
      <c r="AJ2259" s="218"/>
      <c r="AK2259" s="153"/>
      <c r="AL2259" s="152"/>
      <c r="AM2259" s="152"/>
      <c r="AN2259" s="152"/>
      <c r="AO2259" s="152"/>
      <c r="AP2259" s="152"/>
      <c r="AQ2259" s="152"/>
      <c r="AR2259" s="152"/>
      <c r="AS2259" s="152"/>
      <c r="AT2259" s="152"/>
      <c r="AU2259" s="153"/>
      <c r="AV2259" s="479"/>
      <c r="AW2259" s="479"/>
      <c r="AX2259" s="442"/>
      <c r="AY2259" s="153"/>
      <c r="AZ2259" s="152"/>
      <c r="BA2259" s="152"/>
      <c r="BB2259" s="152"/>
      <c r="BC2259" s="152"/>
      <c r="BD2259" s="152"/>
      <c r="BE2259" s="152"/>
      <c r="BF2259" s="152"/>
      <c r="BG2259" s="152"/>
      <c r="BH2259" s="152"/>
      <c r="BI2259" s="153"/>
      <c r="BJ2259" s="153"/>
      <c r="BK2259" s="153"/>
      <c r="BL2259" s="153"/>
      <c r="BM2259" s="153"/>
      <c r="BN2259" s="153"/>
      <c r="BO2259" s="153"/>
      <c r="BP2259" s="153"/>
      <c r="BQ2259" s="153"/>
      <c r="BR2259" s="153"/>
      <c r="BS2259" s="153"/>
      <c r="BT2259" s="153"/>
      <c r="BU2259" s="153"/>
      <c r="BV2259" s="153"/>
      <c r="BW2259" s="153"/>
      <c r="BX2259" s="153"/>
      <c r="BY2259" s="153"/>
      <c r="BZ2259" s="153"/>
      <c r="CA2259" s="152"/>
      <c r="CB2259" s="152"/>
    </row>
    <row r="2260" spans="1:80" s="87" customFormat="1" x14ac:dyDescent="0.2">
      <c r="A2260" s="152"/>
      <c r="B2260" s="683"/>
      <c r="C2260" s="683"/>
      <c r="D2260" s="698"/>
      <c r="E2260" s="215"/>
      <c r="F2260" s="215"/>
      <c r="G2260" s="153"/>
      <c r="H2260" s="153"/>
      <c r="I2260" s="153"/>
      <c r="J2260" s="153"/>
      <c r="K2260" s="153"/>
      <c r="L2260" s="653"/>
      <c r="M2260" s="663">
        <v>34495</v>
      </c>
      <c r="N2260" s="600">
        <v>7.8427010000000008</v>
      </c>
      <c r="O2260" s="604">
        <v>8.0084479999999994E-5</v>
      </c>
      <c r="P2260" s="150"/>
      <c r="Q2260" s="250"/>
      <c r="R2260" s="250"/>
      <c r="S2260" s="250"/>
      <c r="T2260" s="250"/>
      <c r="U2260" s="250">
        <v>0.1191</v>
      </c>
      <c r="V2260" s="503">
        <v>0.22815776335496751</v>
      </c>
      <c r="W2260" s="503">
        <v>0.3402396405391912</v>
      </c>
      <c r="X2260" s="503">
        <v>0.26859710434348477</v>
      </c>
      <c r="Y2260" s="503">
        <v>4.3934098851722413E-2</v>
      </c>
      <c r="Z2260" s="150"/>
      <c r="AA2260" s="223">
        <v>0.74435126778406746</v>
      </c>
      <c r="AB2260" s="152"/>
      <c r="AC2260" s="152"/>
      <c r="AD2260" s="223">
        <v>14.020339999999999</v>
      </c>
      <c r="AE2260" s="223">
        <v>0.58824469999999995</v>
      </c>
      <c r="AF2260" s="223">
        <v>8.2582766000000003</v>
      </c>
      <c r="AG2260" s="223">
        <v>0.94180109999999995</v>
      </c>
      <c r="AH2260" s="341"/>
      <c r="AI2260" s="218"/>
      <c r="AJ2260" s="218"/>
      <c r="AK2260" s="153"/>
      <c r="AL2260" s="152"/>
      <c r="AM2260" s="152"/>
      <c r="AN2260" s="152"/>
      <c r="AO2260" s="152"/>
      <c r="AP2260" s="152"/>
      <c r="AQ2260" s="152"/>
      <c r="AR2260" s="152"/>
      <c r="AS2260" s="152"/>
      <c r="AT2260" s="152"/>
      <c r="AU2260" s="153"/>
      <c r="AV2260" s="479"/>
      <c r="AW2260" s="479"/>
      <c r="AX2260" s="442"/>
      <c r="AY2260" s="153"/>
      <c r="AZ2260" s="152"/>
      <c r="BA2260" s="152"/>
      <c r="BB2260" s="152"/>
      <c r="BC2260" s="152"/>
      <c r="BD2260" s="152"/>
      <c r="BE2260" s="152"/>
      <c r="BF2260" s="152"/>
      <c r="BG2260" s="152"/>
      <c r="BH2260" s="152"/>
      <c r="BI2260" s="153"/>
      <c r="BJ2260" s="153"/>
      <c r="BK2260" s="153"/>
      <c r="BL2260" s="153"/>
      <c r="BM2260" s="153"/>
      <c r="BN2260" s="153"/>
      <c r="BO2260" s="153"/>
      <c r="BP2260" s="153"/>
      <c r="BQ2260" s="153"/>
      <c r="BR2260" s="153"/>
      <c r="BS2260" s="153"/>
      <c r="BT2260" s="153"/>
      <c r="BU2260" s="153"/>
      <c r="BV2260" s="153"/>
      <c r="BW2260" s="153"/>
      <c r="BX2260" s="153"/>
      <c r="BY2260" s="153"/>
      <c r="BZ2260" s="153"/>
      <c r="CA2260" s="152"/>
      <c r="CB2260" s="152"/>
    </row>
    <row r="2261" spans="1:80" s="87" customFormat="1" x14ac:dyDescent="0.2">
      <c r="A2261" s="152"/>
      <c r="B2261" s="683"/>
      <c r="C2261" s="683"/>
      <c r="D2261" s="698"/>
      <c r="E2261" s="215"/>
      <c r="F2261" s="215"/>
      <c r="G2261" s="153"/>
      <c r="H2261" s="153"/>
      <c r="I2261" s="153"/>
      <c r="J2261" s="153"/>
      <c r="K2261" s="153"/>
      <c r="L2261" s="653"/>
      <c r="M2261" s="663">
        <v>34498</v>
      </c>
      <c r="N2261" s="600">
        <v>14.637821000000001</v>
      </c>
      <c r="O2261" s="604">
        <v>5.1325440000000002E-3</v>
      </c>
      <c r="P2261" s="150"/>
      <c r="Q2261" s="250"/>
      <c r="R2261" s="250"/>
      <c r="S2261" s="250">
        <v>9.0899999999999995E-2</v>
      </c>
      <c r="T2261" s="250">
        <v>8.6500000000000007E-2</v>
      </c>
      <c r="U2261" s="250">
        <v>0.13600000000000001</v>
      </c>
      <c r="V2261" s="503">
        <v>0.2639974069398478</v>
      </c>
      <c r="W2261" s="503">
        <v>0.32739090381793978</v>
      </c>
      <c r="X2261" s="503">
        <v>8.8380133519851689E-2</v>
      </c>
      <c r="Y2261" s="503">
        <v>6.7072685295756695E-3</v>
      </c>
      <c r="Z2261" s="150"/>
      <c r="AA2261" s="223">
        <v>1.2257337751790318</v>
      </c>
      <c r="AB2261" s="152"/>
      <c r="AC2261" s="152"/>
      <c r="AD2261" s="223">
        <v>14.934710000000001</v>
      </c>
      <c r="AE2261" s="223">
        <v>0.74063970000000001</v>
      </c>
      <c r="AF2261" s="223">
        <v>11.054385999999999</v>
      </c>
      <c r="AG2261" s="223">
        <v>1.3563155</v>
      </c>
      <c r="AH2261" s="341"/>
      <c r="AI2261" s="218"/>
      <c r="AJ2261" s="218"/>
      <c r="AK2261" s="153"/>
      <c r="AL2261" s="152"/>
      <c r="AM2261" s="152"/>
      <c r="AN2261" s="152"/>
      <c r="AO2261" s="152"/>
      <c r="AP2261" s="152"/>
      <c r="AQ2261" s="152"/>
      <c r="AR2261" s="152"/>
      <c r="AS2261" s="152"/>
      <c r="AT2261" s="152"/>
      <c r="AU2261" s="153"/>
      <c r="AV2261" s="479"/>
      <c r="AW2261" s="479"/>
      <c r="AX2261" s="442"/>
      <c r="AY2261" s="153"/>
      <c r="AZ2261" s="152"/>
      <c r="BA2261" s="152"/>
      <c r="BB2261" s="152"/>
      <c r="BC2261" s="152"/>
      <c r="BD2261" s="152"/>
      <c r="BE2261" s="152"/>
      <c r="BF2261" s="152"/>
      <c r="BG2261" s="152"/>
      <c r="BH2261" s="152"/>
      <c r="BI2261" s="153"/>
      <c r="BJ2261" s="153"/>
      <c r="BK2261" s="153"/>
      <c r="BL2261" s="153"/>
      <c r="BM2261" s="153"/>
      <c r="BN2261" s="153"/>
      <c r="BO2261" s="153"/>
      <c r="BP2261" s="153"/>
      <c r="BQ2261" s="153"/>
      <c r="BR2261" s="153"/>
      <c r="BS2261" s="153"/>
      <c r="BT2261" s="153"/>
      <c r="BU2261" s="153"/>
      <c r="BV2261" s="153"/>
      <c r="BW2261" s="153"/>
      <c r="BX2261" s="153"/>
      <c r="BY2261" s="153"/>
      <c r="BZ2261" s="153"/>
      <c r="CA2261" s="152"/>
      <c r="CB2261" s="152"/>
    </row>
    <row r="2262" spans="1:80" s="87" customFormat="1" x14ac:dyDescent="0.2">
      <c r="A2262" s="152"/>
      <c r="B2262" s="683"/>
      <c r="C2262" s="683"/>
      <c r="D2262" s="698"/>
      <c r="E2262" s="215"/>
      <c r="F2262" s="215"/>
      <c r="G2262" s="153"/>
      <c r="H2262" s="153"/>
      <c r="I2262" s="153"/>
      <c r="J2262" s="153"/>
      <c r="K2262" s="153"/>
      <c r="L2262" s="653"/>
      <c r="M2262" s="663">
        <v>34498</v>
      </c>
      <c r="N2262" s="600">
        <v>14.298065000000001</v>
      </c>
      <c r="O2262" s="604">
        <v>1.62688E-3</v>
      </c>
      <c r="P2262" s="150"/>
      <c r="Q2262" s="250"/>
      <c r="R2262" s="250"/>
      <c r="S2262" s="250"/>
      <c r="T2262" s="250"/>
      <c r="U2262" s="250">
        <v>4.8799999999999996E-2</v>
      </c>
      <c r="V2262" s="503">
        <v>0.21885518871302725</v>
      </c>
      <c r="W2262" s="503">
        <v>0.49325897013535763</v>
      </c>
      <c r="X2262" s="503">
        <v>0.22163038029076845</v>
      </c>
      <c r="Y2262" s="503">
        <v>1.7438945785289692E-2</v>
      </c>
      <c r="Z2262" s="150"/>
      <c r="AA2262" s="223">
        <v>0.72224894443284859</v>
      </c>
      <c r="AB2262" s="152"/>
      <c r="AC2262" s="152"/>
      <c r="AD2262" s="223">
        <v>14.934710000000001</v>
      </c>
      <c r="AE2262" s="223">
        <v>0.74063970000000001</v>
      </c>
      <c r="AF2262" s="223">
        <v>11.054385999999999</v>
      </c>
      <c r="AG2262" s="223">
        <v>1.3563155</v>
      </c>
      <c r="AH2262" s="341"/>
      <c r="AI2262" s="218"/>
      <c r="AJ2262" s="218"/>
      <c r="AK2262" s="153"/>
      <c r="AL2262" s="152"/>
      <c r="AM2262" s="152"/>
      <c r="AN2262" s="152"/>
      <c r="AO2262" s="152"/>
      <c r="AP2262" s="152"/>
      <c r="AQ2262" s="152"/>
      <c r="AR2262" s="152"/>
      <c r="AS2262" s="152"/>
      <c r="AT2262" s="152"/>
      <c r="AU2262" s="153"/>
      <c r="AV2262" s="479"/>
      <c r="AW2262" s="479"/>
      <c r="AX2262" s="442"/>
      <c r="AY2262" s="153"/>
      <c r="AZ2262" s="152"/>
      <c r="BA2262" s="152"/>
      <c r="BB2262" s="152"/>
      <c r="BC2262" s="152"/>
      <c r="BD2262" s="152"/>
      <c r="BE2262" s="152"/>
      <c r="BF2262" s="152"/>
      <c r="BG2262" s="152"/>
      <c r="BH2262" s="152"/>
      <c r="BI2262" s="153"/>
      <c r="BJ2262" s="153"/>
      <c r="BK2262" s="153"/>
      <c r="BL2262" s="153"/>
      <c r="BM2262" s="153"/>
      <c r="BN2262" s="153"/>
      <c r="BO2262" s="153"/>
      <c r="BP2262" s="153"/>
      <c r="BQ2262" s="153"/>
      <c r="BR2262" s="153"/>
      <c r="BS2262" s="153"/>
      <c r="BT2262" s="153"/>
      <c r="BU2262" s="153"/>
      <c r="BV2262" s="153"/>
      <c r="BW2262" s="153"/>
      <c r="BX2262" s="153"/>
      <c r="BY2262" s="153"/>
      <c r="BZ2262" s="153"/>
      <c r="CA2262" s="152"/>
      <c r="CB2262" s="152"/>
    </row>
    <row r="2263" spans="1:80" s="87" customFormat="1" x14ac:dyDescent="0.2">
      <c r="A2263" s="152"/>
      <c r="B2263" s="683"/>
      <c r="C2263" s="683"/>
      <c r="D2263" s="698"/>
      <c r="E2263" s="215"/>
      <c r="F2263" s="215"/>
      <c r="G2263" s="153"/>
      <c r="H2263" s="153"/>
      <c r="I2263" s="153"/>
      <c r="J2263" s="153"/>
      <c r="K2263" s="153"/>
      <c r="L2263" s="653"/>
      <c r="M2263" s="663">
        <v>34493</v>
      </c>
      <c r="N2263" s="600">
        <v>9.1167860000000012</v>
      </c>
      <c r="O2263" s="604">
        <v>6.255616E-5</v>
      </c>
      <c r="P2263" s="150"/>
      <c r="Q2263" s="250"/>
      <c r="R2263" s="250"/>
      <c r="S2263" s="250"/>
      <c r="T2263" s="250"/>
      <c r="U2263" s="250">
        <v>2.6499999999999999E-2</v>
      </c>
      <c r="V2263" s="503">
        <v>0.24544291653341863</v>
      </c>
      <c r="W2263" s="503">
        <v>0.37911736488647274</v>
      </c>
      <c r="X2263" s="503">
        <v>0.30956188039654625</v>
      </c>
      <c r="Y2263" s="503">
        <v>3.9334825711544612E-2</v>
      </c>
      <c r="Z2263" s="150"/>
      <c r="AA2263" s="223">
        <v>0.64940010739237053</v>
      </c>
      <c r="AB2263" s="152"/>
      <c r="AC2263" s="152"/>
      <c r="AD2263" s="223">
        <v>14.020339999999999</v>
      </c>
      <c r="AE2263" s="223">
        <v>0.62481949999999997</v>
      </c>
      <c r="AF2263" s="223">
        <v>8.7784829999999996</v>
      </c>
      <c r="AG2263" s="223">
        <v>0.98751960000000005</v>
      </c>
      <c r="AH2263" s="341"/>
      <c r="AI2263" s="218"/>
      <c r="AJ2263" s="218"/>
      <c r="AK2263" s="153"/>
      <c r="AL2263" s="152"/>
      <c r="AM2263" s="152"/>
      <c r="AN2263" s="152"/>
      <c r="AO2263" s="152"/>
      <c r="AP2263" s="152"/>
      <c r="AQ2263" s="152"/>
      <c r="AR2263" s="152"/>
      <c r="AS2263" s="152"/>
      <c r="AT2263" s="152"/>
      <c r="AU2263" s="153"/>
      <c r="AV2263" s="479"/>
      <c r="AW2263" s="479"/>
      <c r="AX2263" s="442"/>
      <c r="AY2263" s="153"/>
      <c r="AZ2263" s="152"/>
      <c r="BA2263" s="152"/>
      <c r="BB2263" s="152"/>
      <c r="BC2263" s="152"/>
      <c r="BD2263" s="152"/>
      <c r="BE2263" s="152"/>
      <c r="BF2263" s="152"/>
      <c r="BG2263" s="152"/>
      <c r="BH2263" s="152"/>
      <c r="BI2263" s="153"/>
      <c r="BJ2263" s="153"/>
      <c r="BK2263" s="153"/>
      <c r="BL2263" s="153"/>
      <c r="BM2263" s="153"/>
      <c r="BN2263" s="153"/>
      <c r="BO2263" s="153"/>
      <c r="BP2263" s="153"/>
      <c r="BQ2263" s="153"/>
      <c r="BR2263" s="153"/>
      <c r="BS2263" s="153"/>
      <c r="BT2263" s="153"/>
      <c r="BU2263" s="153"/>
      <c r="BV2263" s="153"/>
      <c r="BW2263" s="153"/>
      <c r="BX2263" s="153"/>
      <c r="BY2263" s="153"/>
      <c r="BZ2263" s="153"/>
      <c r="CA2263" s="152"/>
      <c r="CB2263" s="152"/>
    </row>
    <row r="2264" spans="1:80" s="87" customFormat="1" x14ac:dyDescent="0.2">
      <c r="A2264" s="152"/>
      <c r="B2264" s="683"/>
      <c r="C2264" s="683"/>
      <c r="D2264" s="698"/>
      <c r="E2264" s="215"/>
      <c r="F2264" s="215"/>
      <c r="G2264" s="153"/>
      <c r="H2264" s="153"/>
      <c r="I2264" s="153"/>
      <c r="J2264" s="153"/>
      <c r="K2264" s="153"/>
      <c r="L2264" s="653"/>
      <c r="M2264" s="663">
        <v>34493</v>
      </c>
      <c r="N2264" s="600">
        <v>9.1167860000000012</v>
      </c>
      <c r="O2264" s="604">
        <v>8.7326720000000001E-4</v>
      </c>
      <c r="P2264" s="150"/>
      <c r="Q2264" s="250"/>
      <c r="R2264" s="250"/>
      <c r="S2264" s="250"/>
      <c r="T2264" s="250">
        <v>9.9900000000000003E-2</v>
      </c>
      <c r="U2264" s="250">
        <v>0.2656</v>
      </c>
      <c r="V2264" s="503">
        <v>0.38909036826871374</v>
      </c>
      <c r="W2264" s="503">
        <v>0.21079065084831078</v>
      </c>
      <c r="X2264" s="503">
        <v>3.3085837842785064E-2</v>
      </c>
      <c r="Y2264" s="503">
        <v>1.5215824457435732E-3</v>
      </c>
      <c r="Z2264" s="150"/>
      <c r="AA2264" s="223">
        <v>1.5739084889042034</v>
      </c>
      <c r="AB2264" s="152"/>
      <c r="AC2264" s="152"/>
      <c r="AD2264" s="223">
        <v>14.020339999999999</v>
      </c>
      <c r="AE2264" s="223">
        <v>0.62481949999999997</v>
      </c>
      <c r="AF2264" s="223">
        <v>8.7784829999999996</v>
      </c>
      <c r="AG2264" s="223">
        <v>0.98751960000000005</v>
      </c>
      <c r="AH2264" s="341"/>
      <c r="AI2264" s="218"/>
      <c r="AJ2264" s="218"/>
      <c r="AK2264" s="153"/>
      <c r="AL2264" s="152"/>
      <c r="AM2264" s="152"/>
      <c r="AN2264" s="152"/>
      <c r="AO2264" s="152"/>
      <c r="AP2264" s="152"/>
      <c r="AQ2264" s="152"/>
      <c r="AR2264" s="152"/>
      <c r="AS2264" s="152"/>
      <c r="AT2264" s="152"/>
      <c r="AU2264" s="153"/>
      <c r="AV2264" s="479"/>
      <c r="AW2264" s="479"/>
      <c r="AX2264" s="442"/>
      <c r="AY2264" s="153"/>
      <c r="AZ2264" s="152"/>
      <c r="BA2264" s="152"/>
      <c r="BB2264" s="152"/>
      <c r="BC2264" s="152"/>
      <c r="BD2264" s="152"/>
      <c r="BE2264" s="152"/>
      <c r="BF2264" s="152"/>
      <c r="BG2264" s="152"/>
      <c r="BH2264" s="152"/>
      <c r="BI2264" s="153"/>
      <c r="BJ2264" s="153"/>
      <c r="BK2264" s="153"/>
      <c r="BL2264" s="153"/>
      <c r="BM2264" s="153"/>
      <c r="BN2264" s="153"/>
      <c r="BO2264" s="153"/>
      <c r="BP2264" s="153"/>
      <c r="BQ2264" s="153"/>
      <c r="BR2264" s="153"/>
      <c r="BS2264" s="153"/>
      <c r="BT2264" s="153"/>
      <c r="BU2264" s="153"/>
      <c r="BV2264" s="153"/>
      <c r="BW2264" s="153"/>
      <c r="BX2264" s="153"/>
      <c r="BY2264" s="153"/>
      <c r="BZ2264" s="153"/>
      <c r="CA2264" s="152"/>
      <c r="CB2264" s="152"/>
    </row>
    <row r="2265" spans="1:80" s="87" customFormat="1" x14ac:dyDescent="0.2">
      <c r="A2265" s="152"/>
      <c r="B2265" s="683"/>
      <c r="C2265" s="683"/>
      <c r="D2265" s="698"/>
      <c r="E2265" s="215"/>
      <c r="F2265" s="215"/>
      <c r="G2265" s="153"/>
      <c r="H2265" s="153"/>
      <c r="I2265" s="153"/>
      <c r="J2265" s="153"/>
      <c r="K2265" s="153"/>
      <c r="L2265" s="653"/>
      <c r="M2265" s="663">
        <v>34508</v>
      </c>
      <c r="N2265" s="600">
        <v>7.1915020000000007</v>
      </c>
      <c r="O2265" s="604">
        <v>8.8481280000000001E-5</v>
      </c>
      <c r="P2265" s="150"/>
      <c r="Q2265" s="250"/>
      <c r="R2265" s="250"/>
      <c r="S2265" s="250"/>
      <c r="T2265" s="250"/>
      <c r="U2265" s="250">
        <v>7.5899999999999995E-2</v>
      </c>
      <c r="V2265" s="503">
        <v>0.30807453416149067</v>
      </c>
      <c r="W2265" s="503">
        <v>0.37843026538678715</v>
      </c>
      <c r="X2265" s="503">
        <v>0.21084133258046303</v>
      </c>
      <c r="Y2265" s="503">
        <v>2.6764539808018073E-2</v>
      </c>
      <c r="Z2265" s="150"/>
      <c r="AA2265" s="223">
        <v>0.84797334659518386</v>
      </c>
      <c r="AB2265" s="152"/>
      <c r="AC2265" s="152"/>
      <c r="AD2265" s="223">
        <v>14.020339999999999</v>
      </c>
      <c r="AE2265" s="223">
        <v>0.58214889999999997</v>
      </c>
      <c r="AF2265" s="223">
        <v>8.1560932000000008</v>
      </c>
      <c r="AG2265" s="223">
        <v>0.88389099999999998</v>
      </c>
      <c r="AH2265" s="341"/>
      <c r="AI2265" s="218"/>
      <c r="AJ2265" s="218"/>
      <c r="AK2265" s="153"/>
      <c r="AL2265" s="152"/>
      <c r="AM2265" s="152"/>
      <c r="AN2265" s="152"/>
      <c r="AO2265" s="152"/>
      <c r="AP2265" s="152"/>
      <c r="AQ2265" s="152"/>
      <c r="AR2265" s="152"/>
      <c r="AS2265" s="152"/>
      <c r="AT2265" s="152"/>
      <c r="AU2265" s="153"/>
      <c r="AV2265" s="479"/>
      <c r="AW2265" s="479"/>
      <c r="AX2265" s="442"/>
      <c r="AY2265" s="153"/>
      <c r="AZ2265" s="152"/>
      <c r="BA2265" s="152"/>
      <c r="BB2265" s="152"/>
      <c r="BC2265" s="152"/>
      <c r="BD2265" s="152"/>
      <c r="BE2265" s="152"/>
      <c r="BF2265" s="152"/>
      <c r="BG2265" s="152"/>
      <c r="BH2265" s="152"/>
      <c r="BI2265" s="153"/>
      <c r="BJ2265" s="153"/>
      <c r="BK2265" s="153"/>
      <c r="BL2265" s="153"/>
      <c r="BM2265" s="153"/>
      <c r="BN2265" s="153"/>
      <c r="BO2265" s="153"/>
      <c r="BP2265" s="153"/>
      <c r="BQ2265" s="153"/>
      <c r="BR2265" s="153"/>
      <c r="BS2265" s="153"/>
      <c r="BT2265" s="153"/>
      <c r="BU2265" s="153"/>
      <c r="BV2265" s="153"/>
      <c r="BW2265" s="153"/>
      <c r="BX2265" s="153"/>
      <c r="BY2265" s="153"/>
      <c r="BZ2265" s="153"/>
      <c r="CA2265" s="152"/>
      <c r="CB2265" s="152"/>
    </row>
    <row r="2266" spans="1:80" s="87" customFormat="1" x14ac:dyDescent="0.2">
      <c r="A2266" s="152"/>
      <c r="B2266" s="683"/>
      <c r="C2266" s="683"/>
      <c r="D2266" s="698"/>
      <c r="E2266" s="215"/>
      <c r="F2266" s="215"/>
      <c r="G2266" s="153"/>
      <c r="H2266" s="153"/>
      <c r="I2266" s="153"/>
      <c r="J2266" s="153"/>
      <c r="K2266" s="153"/>
      <c r="L2266" s="653"/>
      <c r="M2266" s="663">
        <v>34508</v>
      </c>
      <c r="N2266" s="600">
        <v>7.1915020000000007</v>
      </c>
      <c r="O2266" s="604">
        <v>6.0561920000000002E-5</v>
      </c>
      <c r="P2266" s="150"/>
      <c r="Q2266" s="250"/>
      <c r="R2266" s="250"/>
      <c r="S2266" s="250"/>
      <c r="T2266" s="250"/>
      <c r="U2266" s="250"/>
      <c r="V2266" s="503">
        <v>0.18338207466024431</v>
      </c>
      <c r="W2266" s="503">
        <v>0.4137278513676243</v>
      </c>
      <c r="X2266" s="503">
        <v>0.36177533115430932</v>
      </c>
      <c r="Y2266" s="503">
        <v>4.1114742817822118E-2</v>
      </c>
      <c r="Z2266" s="150"/>
      <c r="AA2266" s="223">
        <v>0.58456178384537683</v>
      </c>
      <c r="AB2266" s="152"/>
      <c r="AC2266" s="152"/>
      <c r="AD2266" s="223">
        <v>14.020339999999999</v>
      </c>
      <c r="AE2266" s="223">
        <v>0.58214889999999997</v>
      </c>
      <c r="AF2266" s="223">
        <v>8.1560932000000008</v>
      </c>
      <c r="AG2266" s="223">
        <v>0.88389099999999998</v>
      </c>
      <c r="AH2266" s="341"/>
      <c r="AI2266" s="218"/>
      <c r="AJ2266" s="218"/>
      <c r="AK2266" s="153"/>
      <c r="AL2266" s="152"/>
      <c r="AM2266" s="152"/>
      <c r="AN2266" s="152"/>
      <c r="AO2266" s="152"/>
      <c r="AP2266" s="152"/>
      <c r="AQ2266" s="152"/>
      <c r="AR2266" s="152"/>
      <c r="AS2266" s="152"/>
      <c r="AT2266" s="152"/>
      <c r="AU2266" s="153"/>
      <c r="AV2266" s="479"/>
      <c r="AW2266" s="479"/>
      <c r="AX2266" s="442"/>
      <c r="AY2266" s="153"/>
      <c r="AZ2266" s="152"/>
      <c r="BA2266" s="152"/>
      <c r="BB2266" s="152"/>
      <c r="BC2266" s="152"/>
      <c r="BD2266" s="152"/>
      <c r="BE2266" s="152"/>
      <c r="BF2266" s="152"/>
      <c r="BG2266" s="152"/>
      <c r="BH2266" s="152"/>
      <c r="BI2266" s="153"/>
      <c r="BJ2266" s="153"/>
      <c r="BK2266" s="153"/>
      <c r="BL2266" s="153"/>
      <c r="BM2266" s="153"/>
      <c r="BN2266" s="153"/>
      <c r="BO2266" s="153"/>
      <c r="BP2266" s="153"/>
      <c r="BQ2266" s="153"/>
      <c r="BR2266" s="153"/>
      <c r="BS2266" s="153"/>
      <c r="BT2266" s="153"/>
      <c r="BU2266" s="153"/>
      <c r="BV2266" s="153"/>
      <c r="BW2266" s="153"/>
      <c r="BX2266" s="153"/>
      <c r="BY2266" s="153"/>
      <c r="BZ2266" s="153"/>
      <c r="CA2266" s="152"/>
      <c r="CB2266" s="152"/>
    </row>
    <row r="2267" spans="1:80" s="87" customFormat="1" x14ac:dyDescent="0.2">
      <c r="A2267" s="152"/>
      <c r="B2267" s="683"/>
      <c r="C2267" s="683"/>
      <c r="D2267" s="698"/>
      <c r="E2267" s="215"/>
      <c r="F2267" s="215"/>
      <c r="G2267" s="153"/>
      <c r="H2267" s="153"/>
      <c r="I2267" s="153"/>
      <c r="J2267" s="153"/>
      <c r="K2267" s="153"/>
      <c r="L2267" s="653"/>
      <c r="M2267" s="663">
        <v>34513</v>
      </c>
      <c r="N2267" s="600">
        <v>5.4077830000000002</v>
      </c>
      <c r="O2267" s="604">
        <v>5.3949439999999998E-4</v>
      </c>
      <c r="P2267" s="150"/>
      <c r="Q2267" s="250"/>
      <c r="R2267" s="250"/>
      <c r="S2267" s="250"/>
      <c r="T2267" s="250">
        <v>2.23E-2</v>
      </c>
      <c r="U2267" s="250">
        <v>0.1699</v>
      </c>
      <c r="V2267" s="503">
        <v>0.48305053349140487</v>
      </c>
      <c r="W2267" s="503">
        <v>0.28136114404267931</v>
      </c>
      <c r="X2267" s="503">
        <v>4.1141819798458802E-2</v>
      </c>
      <c r="Y2267" s="503">
        <v>2.2784528749259041E-3</v>
      </c>
      <c r="Z2267" s="150"/>
      <c r="AA2267" s="223">
        <v>1.2858598820877547</v>
      </c>
      <c r="AB2267" s="152"/>
      <c r="AC2267" s="152"/>
      <c r="AD2267" s="223">
        <v>11.886810000000001</v>
      </c>
      <c r="AE2267" s="223">
        <v>0.57910099999999998</v>
      </c>
      <c r="AF2267" s="223">
        <v>6.8834454000000003</v>
      </c>
      <c r="AG2267" s="223">
        <v>0.78026240000000002</v>
      </c>
      <c r="AH2267" s="341"/>
      <c r="AI2267" s="218"/>
      <c r="AJ2267" s="218"/>
      <c r="AK2267" s="153"/>
      <c r="AL2267" s="152"/>
      <c r="AM2267" s="152"/>
      <c r="AN2267" s="152"/>
      <c r="AO2267" s="152"/>
      <c r="AP2267" s="152"/>
      <c r="AQ2267" s="152"/>
      <c r="AR2267" s="152"/>
      <c r="AS2267" s="152"/>
      <c r="AT2267" s="152"/>
      <c r="AU2267" s="153"/>
      <c r="AV2267" s="479"/>
      <c r="AW2267" s="479"/>
      <c r="AX2267" s="442"/>
      <c r="AY2267" s="153"/>
      <c r="AZ2267" s="152"/>
      <c r="BA2267" s="152"/>
      <c r="BB2267" s="152"/>
      <c r="BC2267" s="152"/>
      <c r="BD2267" s="152"/>
      <c r="BE2267" s="152"/>
      <c r="BF2267" s="152"/>
      <c r="BG2267" s="152"/>
      <c r="BH2267" s="152"/>
      <c r="BI2267" s="153"/>
      <c r="BJ2267" s="153"/>
      <c r="BK2267" s="153"/>
      <c r="BL2267" s="153"/>
      <c r="BM2267" s="153"/>
      <c r="BN2267" s="153"/>
      <c r="BO2267" s="153"/>
      <c r="BP2267" s="153"/>
      <c r="BQ2267" s="153"/>
      <c r="BR2267" s="153"/>
      <c r="BS2267" s="153"/>
      <c r="BT2267" s="153"/>
      <c r="BU2267" s="153"/>
      <c r="BV2267" s="153"/>
      <c r="BW2267" s="153"/>
      <c r="BX2267" s="153"/>
      <c r="BY2267" s="153"/>
      <c r="BZ2267" s="153"/>
      <c r="CA2267" s="152"/>
      <c r="CB2267" s="152"/>
    </row>
    <row r="2268" spans="1:80" s="87" customFormat="1" x14ac:dyDescent="0.2">
      <c r="A2268" s="152"/>
      <c r="B2268" s="683"/>
      <c r="C2268" s="683"/>
      <c r="D2268" s="698"/>
      <c r="E2268" s="215"/>
      <c r="F2268" s="215"/>
      <c r="G2268" s="153"/>
      <c r="H2268" s="153"/>
      <c r="I2268" s="153"/>
      <c r="J2268" s="153"/>
      <c r="K2268" s="153"/>
      <c r="L2268" s="653"/>
      <c r="M2268" s="663">
        <v>34513</v>
      </c>
      <c r="N2268" s="600">
        <v>5.4077830000000002</v>
      </c>
      <c r="O2268" s="604">
        <v>2.6659840000000001E-5</v>
      </c>
      <c r="P2268" s="150"/>
      <c r="Q2268" s="250"/>
      <c r="R2268" s="250"/>
      <c r="S2268" s="250"/>
      <c r="T2268" s="250"/>
      <c r="U2268" s="250">
        <v>0.15740000000000001</v>
      </c>
      <c r="V2268" s="503">
        <v>0.15242399342645849</v>
      </c>
      <c r="W2268" s="503">
        <v>0.36031224322103539</v>
      </c>
      <c r="X2268" s="503">
        <v>0.27115858668857851</v>
      </c>
      <c r="Y2268" s="503">
        <v>5.8751027115858667E-2</v>
      </c>
      <c r="Z2268" s="150"/>
      <c r="AA2268" s="223">
        <v>0.7025173977912339</v>
      </c>
      <c r="AB2268" s="152"/>
      <c r="AC2268" s="152"/>
      <c r="AD2268" s="223">
        <v>11.886810000000001</v>
      </c>
      <c r="AE2268" s="223">
        <v>0.57910099999999998</v>
      </c>
      <c r="AF2268" s="223">
        <v>6.8834454000000003</v>
      </c>
      <c r="AG2268" s="223">
        <v>0.78026240000000002</v>
      </c>
      <c r="AH2268" s="341"/>
      <c r="AI2268" s="218"/>
      <c r="AJ2268" s="218"/>
      <c r="AK2268" s="153"/>
      <c r="AL2268" s="152"/>
      <c r="AM2268" s="152"/>
      <c r="AN2268" s="152"/>
      <c r="AO2268" s="152"/>
      <c r="AP2268" s="152"/>
      <c r="AQ2268" s="152"/>
      <c r="AR2268" s="152"/>
      <c r="AS2268" s="152"/>
      <c r="AT2268" s="152"/>
      <c r="AU2268" s="153"/>
      <c r="AV2268" s="479"/>
      <c r="AW2268" s="479"/>
      <c r="AX2268" s="442"/>
      <c r="AY2268" s="153"/>
      <c r="AZ2268" s="152"/>
      <c r="BA2268" s="152"/>
      <c r="BB2268" s="152"/>
      <c r="BC2268" s="152"/>
      <c r="BD2268" s="152"/>
      <c r="BE2268" s="152"/>
      <c r="BF2268" s="152"/>
      <c r="BG2268" s="152"/>
      <c r="BH2268" s="152"/>
      <c r="BI2268" s="153"/>
      <c r="BJ2268" s="153"/>
      <c r="BK2268" s="153"/>
      <c r="BL2268" s="153"/>
      <c r="BM2268" s="153"/>
      <c r="BN2268" s="153"/>
      <c r="BO2268" s="153"/>
      <c r="BP2268" s="153"/>
      <c r="BQ2268" s="153"/>
      <c r="BR2268" s="153"/>
      <c r="BS2268" s="153"/>
      <c r="BT2268" s="153"/>
      <c r="BU2268" s="153"/>
      <c r="BV2268" s="153"/>
      <c r="BW2268" s="153"/>
      <c r="BX2268" s="153"/>
      <c r="BY2268" s="153"/>
      <c r="BZ2268" s="153"/>
      <c r="CA2268" s="152"/>
      <c r="CB2268" s="152"/>
    </row>
    <row r="2269" spans="1:80" s="87" customFormat="1" ht="16.5" x14ac:dyDescent="0.3">
      <c r="A2269" s="152"/>
      <c r="B2269" s="683"/>
      <c r="C2269" s="683"/>
      <c r="D2269" s="698"/>
      <c r="E2269" s="215"/>
      <c r="F2269" s="215"/>
      <c r="G2269" s="153"/>
      <c r="H2269" s="153"/>
      <c r="I2269" s="311">
        <v>27</v>
      </c>
      <c r="J2269" s="311">
        <v>60</v>
      </c>
      <c r="K2269" s="150">
        <v>1</v>
      </c>
      <c r="L2269" s="656">
        <v>27</v>
      </c>
      <c r="M2269" s="663">
        <v>34634</v>
      </c>
      <c r="N2269" s="600">
        <v>0.97113589999999994</v>
      </c>
      <c r="O2269" s="604">
        <v>2.1831679999999998E-5</v>
      </c>
      <c r="P2269" s="150"/>
      <c r="Q2269" s="250"/>
      <c r="R2269" s="250"/>
      <c r="S2269" s="250"/>
      <c r="T2269" s="250"/>
      <c r="U2269" s="250">
        <v>0.66670000000000007</v>
      </c>
      <c r="V2269" s="503">
        <v>0.33333333333333337</v>
      </c>
      <c r="W2269" s="503">
        <v>0</v>
      </c>
      <c r="X2269" s="503">
        <v>0</v>
      </c>
      <c r="Y2269" s="503">
        <v>0</v>
      </c>
      <c r="Z2269" s="150"/>
      <c r="AA2269" s="223">
        <v>2.3784142300054421</v>
      </c>
      <c r="AB2269" s="152"/>
      <c r="AC2269" s="152"/>
      <c r="AD2269" s="223">
        <v>10.058070000000001</v>
      </c>
      <c r="AE2269" s="223">
        <v>0.34746060000000001</v>
      </c>
      <c r="AF2269" s="223">
        <v>3.5011748599999999</v>
      </c>
      <c r="AG2269" s="223">
        <v>0.28040680000000001</v>
      </c>
      <c r="AH2269" s="341"/>
      <c r="AI2269" s="218"/>
      <c r="AJ2269" s="218"/>
      <c r="AK2269" s="153"/>
      <c r="AL2269" s="152"/>
      <c r="AM2269" s="152"/>
      <c r="AN2269" s="152"/>
      <c r="AO2269" s="152"/>
      <c r="AP2269" s="152"/>
      <c r="AQ2269" s="152"/>
      <c r="AR2269" s="152"/>
      <c r="AS2269" s="152"/>
      <c r="AT2269" s="152"/>
      <c r="AU2269" s="153"/>
      <c r="AV2269" s="479"/>
      <c r="AW2269" s="479"/>
      <c r="AX2269" s="442"/>
      <c r="AY2269" s="153"/>
      <c r="AZ2269" s="152"/>
      <c r="BA2269" s="152"/>
      <c r="BB2269" s="152"/>
      <c r="BC2269" s="152"/>
      <c r="BD2269" s="152"/>
      <c r="BE2269" s="152"/>
      <c r="BF2269" s="152"/>
      <c r="BG2269" s="152"/>
      <c r="BH2269" s="152"/>
      <c r="BI2269" s="153"/>
      <c r="BJ2269" s="153"/>
      <c r="BK2269" s="153"/>
      <c r="BL2269" s="153"/>
      <c r="BM2269" s="153"/>
      <c r="BN2269" s="153"/>
      <c r="BO2269" s="153"/>
      <c r="BP2269" s="153"/>
      <c r="BQ2269" s="153"/>
      <c r="BR2269" s="153"/>
      <c r="BS2269" s="153"/>
      <c r="BT2269" s="153"/>
      <c r="BU2269" s="153"/>
      <c r="BV2269" s="153"/>
      <c r="BW2269" s="153"/>
      <c r="BX2269" s="153"/>
      <c r="BY2269" s="153"/>
      <c r="BZ2269" s="153"/>
      <c r="CA2269" s="152"/>
      <c r="CB2269" s="152"/>
    </row>
    <row r="2270" spans="1:80" s="87" customFormat="1" ht="16.5" x14ac:dyDescent="0.3">
      <c r="A2270" s="152"/>
      <c r="B2270" s="683"/>
      <c r="C2270" s="683"/>
      <c r="D2270" s="698"/>
      <c r="E2270" s="215"/>
      <c r="F2270" s="215"/>
      <c r="G2270" s="153"/>
      <c r="H2270" s="153"/>
      <c r="I2270" s="311">
        <v>23</v>
      </c>
      <c r="J2270" s="311">
        <v>60</v>
      </c>
      <c r="K2270" s="150">
        <v>1</v>
      </c>
      <c r="L2270" s="656">
        <v>23</v>
      </c>
      <c r="M2270" s="663">
        <v>34753</v>
      </c>
      <c r="N2270" s="600">
        <v>2.2707026000000003</v>
      </c>
      <c r="O2270" s="604">
        <v>6.780416E-3</v>
      </c>
      <c r="P2270" s="150"/>
      <c r="Q2270" s="250"/>
      <c r="R2270" s="250"/>
      <c r="S2270" s="250"/>
      <c r="T2270" s="250">
        <v>3.1E-2</v>
      </c>
      <c r="U2270" s="250">
        <v>0.19699999999999998</v>
      </c>
      <c r="V2270" s="503">
        <v>0.36499999999999999</v>
      </c>
      <c r="W2270" s="503">
        <v>0.26400000000000001</v>
      </c>
      <c r="X2270" s="503">
        <v>0.127</v>
      </c>
      <c r="Y2270" s="503">
        <v>1.6E-2</v>
      </c>
      <c r="Z2270" s="150">
        <v>6</v>
      </c>
      <c r="AA2270" s="223">
        <v>1.1931657913049618</v>
      </c>
      <c r="AB2270" s="152"/>
      <c r="AC2270" s="152"/>
      <c r="AD2270" s="223">
        <v>10.972440000000001</v>
      </c>
      <c r="AE2270" s="223">
        <v>0.43584970000000001</v>
      </c>
      <c r="AF2270" s="223">
        <v>4.7924014599999998</v>
      </c>
      <c r="AG2270" s="223">
        <v>0.44804129999999998</v>
      </c>
      <c r="AH2270" s="341"/>
      <c r="AI2270" s="218"/>
      <c r="AJ2270" s="218"/>
      <c r="AK2270" s="153"/>
      <c r="AL2270" s="152"/>
      <c r="AM2270" s="152"/>
      <c r="AN2270" s="152"/>
      <c r="AO2270" s="152"/>
      <c r="AP2270" s="152"/>
      <c r="AQ2270" s="152"/>
      <c r="AR2270" s="152"/>
      <c r="AS2270" s="152"/>
      <c r="AT2270" s="152"/>
      <c r="AU2270" s="153"/>
      <c r="AV2270" s="479"/>
      <c r="AW2270" s="479"/>
      <c r="AX2270" s="442"/>
      <c r="AY2270" s="153"/>
      <c r="AZ2270" s="152"/>
      <c r="BA2270" s="152"/>
      <c r="BB2270" s="152"/>
      <c r="BC2270" s="152"/>
      <c r="BD2270" s="152"/>
      <c r="BE2270" s="152"/>
      <c r="BF2270" s="152"/>
      <c r="BG2270" s="152"/>
      <c r="BH2270" s="152"/>
      <c r="BI2270" s="153"/>
      <c r="BJ2270" s="153"/>
      <c r="BK2270" s="153"/>
      <c r="BL2270" s="153"/>
      <c r="BM2270" s="153"/>
      <c r="BN2270" s="153"/>
      <c r="BO2270" s="153"/>
      <c r="BP2270" s="153"/>
      <c r="BQ2270" s="153"/>
      <c r="BR2270" s="153"/>
      <c r="BS2270" s="153"/>
      <c r="BT2270" s="153"/>
      <c r="BU2270" s="153"/>
      <c r="BV2270" s="153"/>
      <c r="BW2270" s="153"/>
      <c r="BX2270" s="153"/>
      <c r="BY2270" s="153"/>
      <c r="BZ2270" s="153"/>
      <c r="CA2270" s="152"/>
      <c r="CB2270" s="152"/>
    </row>
    <row r="2271" spans="1:80" s="87" customFormat="1" ht="16.5" x14ac:dyDescent="0.3">
      <c r="A2271" s="152"/>
      <c r="B2271" s="683"/>
      <c r="C2271" s="683"/>
      <c r="D2271" s="698"/>
      <c r="E2271" s="215"/>
      <c r="F2271" s="215"/>
      <c r="G2271" s="153"/>
      <c r="H2271" s="153"/>
      <c r="I2271" s="311">
        <v>23</v>
      </c>
      <c r="J2271" s="311">
        <v>60</v>
      </c>
      <c r="K2271" s="150">
        <v>1</v>
      </c>
      <c r="L2271" s="656">
        <v>23</v>
      </c>
      <c r="M2271" s="663">
        <v>34753</v>
      </c>
      <c r="N2271" s="600">
        <v>2.2707026000000003</v>
      </c>
      <c r="O2271" s="604">
        <v>8.1553920000000009E-3</v>
      </c>
      <c r="P2271" s="150"/>
      <c r="Q2271" s="250"/>
      <c r="R2271" s="250"/>
      <c r="S2271" s="250">
        <v>3.9E-2</v>
      </c>
      <c r="T2271" s="250">
        <v>0.124</v>
      </c>
      <c r="U2271" s="250">
        <v>0.19699999999999998</v>
      </c>
      <c r="V2271" s="503">
        <v>0.34299999999999997</v>
      </c>
      <c r="W2271" s="503">
        <v>0.20699999999999999</v>
      </c>
      <c r="X2271" s="503">
        <v>7.9000000000000001E-2</v>
      </c>
      <c r="Y2271" s="503">
        <v>0.01</v>
      </c>
      <c r="Z2271" s="150">
        <v>11</v>
      </c>
      <c r="AA2271" s="223">
        <v>1.5071643388112321</v>
      </c>
      <c r="AB2271" s="152"/>
      <c r="AC2271" s="152"/>
      <c r="AD2271" s="223">
        <v>10.972440000000001</v>
      </c>
      <c r="AE2271" s="223">
        <v>0.43584970000000001</v>
      </c>
      <c r="AF2271" s="223">
        <v>4.7924014599999998</v>
      </c>
      <c r="AG2271" s="223">
        <v>0.44804129999999998</v>
      </c>
      <c r="AH2271" s="341"/>
      <c r="AI2271" s="218"/>
      <c r="AJ2271" s="218"/>
      <c r="AK2271" s="153"/>
      <c r="AL2271" s="152"/>
      <c r="AM2271" s="152"/>
      <c r="AN2271" s="152"/>
      <c r="AO2271" s="152"/>
      <c r="AP2271" s="152"/>
      <c r="AQ2271" s="152"/>
      <c r="AR2271" s="152"/>
      <c r="AS2271" s="152"/>
      <c r="AT2271" s="152"/>
      <c r="AU2271" s="153"/>
      <c r="AV2271" s="479"/>
      <c r="AW2271" s="479"/>
      <c r="AX2271" s="442"/>
      <c r="AY2271" s="153"/>
      <c r="AZ2271" s="152"/>
      <c r="BA2271" s="152"/>
      <c r="BB2271" s="152"/>
      <c r="BC2271" s="152"/>
      <c r="BD2271" s="152"/>
      <c r="BE2271" s="152"/>
      <c r="BF2271" s="152"/>
      <c r="BG2271" s="152"/>
      <c r="BH2271" s="152"/>
      <c r="BI2271" s="153"/>
      <c r="BJ2271" s="153"/>
      <c r="BK2271" s="153"/>
      <c r="BL2271" s="153"/>
      <c r="BM2271" s="153"/>
      <c r="BN2271" s="153"/>
      <c r="BO2271" s="153"/>
      <c r="BP2271" s="153"/>
      <c r="BQ2271" s="153"/>
      <c r="BR2271" s="153"/>
      <c r="BS2271" s="153"/>
      <c r="BT2271" s="153"/>
      <c r="BU2271" s="153"/>
      <c r="BV2271" s="153"/>
      <c r="BW2271" s="153"/>
      <c r="BX2271" s="153"/>
      <c r="BY2271" s="153"/>
      <c r="BZ2271" s="153"/>
      <c r="CA2271" s="152"/>
      <c r="CB2271" s="152"/>
    </row>
    <row r="2272" spans="1:80" s="87" customFormat="1" ht="16.5" x14ac:dyDescent="0.3">
      <c r="A2272" s="152"/>
      <c r="B2272" s="683"/>
      <c r="C2272" s="683"/>
      <c r="D2272" s="698"/>
      <c r="E2272" s="215"/>
      <c r="F2272" s="215"/>
      <c r="G2272" s="153"/>
      <c r="H2272" s="153"/>
      <c r="I2272" s="311">
        <v>20</v>
      </c>
      <c r="J2272" s="311">
        <v>60</v>
      </c>
      <c r="K2272" s="150">
        <v>1</v>
      </c>
      <c r="L2272" s="656">
        <v>20</v>
      </c>
      <c r="M2272" s="663">
        <v>34786</v>
      </c>
      <c r="N2272" s="600">
        <v>1.925284</v>
      </c>
      <c r="O2272" s="604">
        <v>2.0047360000000001E-5</v>
      </c>
      <c r="P2272" s="150"/>
      <c r="Q2272" s="250"/>
      <c r="R2272" s="250"/>
      <c r="S2272" s="250"/>
      <c r="T2272" s="250"/>
      <c r="U2272" s="250"/>
      <c r="V2272" s="503">
        <v>0</v>
      </c>
      <c r="W2272" s="503">
        <v>0.5</v>
      </c>
      <c r="X2272" s="503">
        <v>0.5</v>
      </c>
      <c r="Y2272" s="503">
        <v>0</v>
      </c>
      <c r="Z2272" s="150"/>
      <c r="AA2272" s="223">
        <v>0.5</v>
      </c>
      <c r="AB2272" s="152"/>
      <c r="AC2272" s="152"/>
      <c r="AD2272" s="223">
        <v>10.820045</v>
      </c>
      <c r="AE2272" s="223">
        <v>0.36574800000000002</v>
      </c>
      <c r="AF2272" s="223">
        <v>3.9656448599999998</v>
      </c>
      <c r="AG2272" s="223">
        <v>0.42670599999999997</v>
      </c>
      <c r="AH2272" s="341"/>
      <c r="AI2272" s="218"/>
      <c r="AJ2272" s="218"/>
      <c r="AK2272" s="153"/>
      <c r="AL2272" s="152"/>
      <c r="AM2272" s="152"/>
      <c r="AN2272" s="152"/>
      <c r="AO2272" s="152"/>
      <c r="AP2272" s="152"/>
      <c r="AQ2272" s="152"/>
      <c r="AR2272" s="152"/>
      <c r="AS2272" s="152"/>
      <c r="AT2272" s="152"/>
      <c r="AU2272" s="153"/>
      <c r="AV2272" s="479"/>
      <c r="AW2272" s="479"/>
      <c r="AX2272" s="442"/>
      <c r="AY2272" s="153"/>
      <c r="AZ2272" s="152"/>
      <c r="BA2272" s="152"/>
      <c r="BB2272" s="152"/>
      <c r="BC2272" s="152"/>
      <c r="BD2272" s="152"/>
      <c r="BE2272" s="152"/>
      <c r="BF2272" s="152"/>
      <c r="BG2272" s="152"/>
      <c r="BH2272" s="152"/>
      <c r="BI2272" s="153"/>
      <c r="BJ2272" s="153"/>
      <c r="BK2272" s="153"/>
      <c r="BL2272" s="153"/>
      <c r="BM2272" s="153"/>
      <c r="BN2272" s="153"/>
      <c r="BO2272" s="153"/>
      <c r="BP2272" s="153"/>
      <c r="BQ2272" s="153"/>
      <c r="BR2272" s="153"/>
      <c r="BS2272" s="153"/>
      <c r="BT2272" s="153"/>
      <c r="BU2272" s="153"/>
      <c r="BV2272" s="153"/>
      <c r="BW2272" s="153"/>
      <c r="BX2272" s="153"/>
      <c r="BY2272" s="153"/>
      <c r="BZ2272" s="153"/>
      <c r="CA2272" s="152"/>
      <c r="CB2272" s="152"/>
    </row>
    <row r="2273" spans="1:80" s="87" customFormat="1" ht="16.5" x14ac:dyDescent="0.3">
      <c r="A2273" s="152"/>
      <c r="B2273" s="683"/>
      <c r="C2273" s="683"/>
      <c r="D2273" s="698"/>
      <c r="E2273" s="215"/>
      <c r="F2273" s="215"/>
      <c r="G2273" s="153"/>
      <c r="H2273" s="153"/>
      <c r="I2273" s="311">
        <v>20</v>
      </c>
      <c r="J2273" s="311">
        <v>60</v>
      </c>
      <c r="K2273" s="150">
        <v>1</v>
      </c>
      <c r="L2273" s="656">
        <v>20</v>
      </c>
      <c r="M2273" s="663">
        <v>34786</v>
      </c>
      <c r="N2273" s="600">
        <v>2.0923307000000002</v>
      </c>
      <c r="O2273" s="604">
        <v>3.04384E-5</v>
      </c>
      <c r="P2273" s="150"/>
      <c r="Q2273" s="250"/>
      <c r="R2273" s="250"/>
      <c r="S2273" s="250"/>
      <c r="T2273" s="250"/>
      <c r="U2273" s="250"/>
      <c r="V2273" s="503">
        <v>0.33333333333333337</v>
      </c>
      <c r="W2273" s="503">
        <v>0.33333333333333337</v>
      </c>
      <c r="X2273" s="503">
        <v>0.33333333333333337</v>
      </c>
      <c r="Y2273" s="503">
        <v>0</v>
      </c>
      <c r="Z2273" s="150">
        <v>1</v>
      </c>
      <c r="AA2273" s="223">
        <v>0.70710678118654768</v>
      </c>
      <c r="AB2273" s="152"/>
      <c r="AC2273" s="152"/>
      <c r="AD2273" s="223">
        <v>10.820045</v>
      </c>
      <c r="AE2273" s="223">
        <v>0.36574800000000002</v>
      </c>
      <c r="AF2273" s="223">
        <v>3.9656448599999998</v>
      </c>
      <c r="AG2273" s="223">
        <v>0.42670599999999997</v>
      </c>
      <c r="AH2273" s="341"/>
      <c r="AI2273" s="218"/>
      <c r="AJ2273" s="218"/>
      <c r="AK2273" s="153"/>
      <c r="AL2273" s="152"/>
      <c r="AM2273" s="152"/>
      <c r="AN2273" s="152"/>
      <c r="AO2273" s="152"/>
      <c r="AP2273" s="152"/>
      <c r="AQ2273" s="152"/>
      <c r="AR2273" s="152"/>
      <c r="AS2273" s="152"/>
      <c r="AT2273" s="152"/>
      <c r="AU2273" s="153"/>
      <c r="AV2273" s="479"/>
      <c r="AW2273" s="479"/>
      <c r="AX2273" s="442"/>
      <c r="AY2273" s="153"/>
      <c r="AZ2273" s="152"/>
      <c r="BA2273" s="152"/>
      <c r="BB2273" s="152"/>
      <c r="BC2273" s="152"/>
      <c r="BD2273" s="152"/>
      <c r="BE2273" s="152"/>
      <c r="BF2273" s="152"/>
      <c r="BG2273" s="152"/>
      <c r="BH2273" s="152"/>
      <c r="BI2273" s="153"/>
      <c r="BJ2273" s="153"/>
      <c r="BK2273" s="153"/>
      <c r="BL2273" s="153"/>
      <c r="BM2273" s="153"/>
      <c r="BN2273" s="153"/>
      <c r="BO2273" s="153"/>
      <c r="BP2273" s="153"/>
      <c r="BQ2273" s="153"/>
      <c r="BR2273" s="153"/>
      <c r="BS2273" s="153"/>
      <c r="BT2273" s="153"/>
      <c r="BU2273" s="153"/>
      <c r="BV2273" s="153"/>
      <c r="BW2273" s="153"/>
      <c r="BX2273" s="153"/>
      <c r="BY2273" s="153"/>
      <c r="BZ2273" s="153"/>
      <c r="CA2273" s="152"/>
      <c r="CB2273" s="152"/>
    </row>
    <row r="2274" spans="1:80" s="87" customFormat="1" ht="16.5" x14ac:dyDescent="0.3">
      <c r="A2274" s="152"/>
      <c r="B2274" s="683"/>
      <c r="C2274" s="683"/>
      <c r="D2274" s="698"/>
      <c r="E2274" s="215"/>
      <c r="F2274" s="215"/>
      <c r="G2274" s="153"/>
      <c r="H2274" s="153"/>
      <c r="I2274" s="311">
        <v>20</v>
      </c>
      <c r="J2274" s="311">
        <v>60</v>
      </c>
      <c r="K2274" s="150">
        <v>1</v>
      </c>
      <c r="L2274" s="656">
        <v>20</v>
      </c>
      <c r="M2274" s="663">
        <v>34794</v>
      </c>
      <c r="N2274" s="600">
        <v>3.11443</v>
      </c>
      <c r="O2274" s="604">
        <v>1.1020800000000001E-4</v>
      </c>
      <c r="P2274" s="150"/>
      <c r="Q2274" s="250"/>
      <c r="R2274" s="250"/>
      <c r="S2274" s="250"/>
      <c r="T2274" s="250"/>
      <c r="U2274" s="250">
        <v>0.1</v>
      </c>
      <c r="V2274" s="503">
        <v>0.2</v>
      </c>
      <c r="W2274" s="503">
        <v>0.4</v>
      </c>
      <c r="X2274" s="503">
        <v>0.3</v>
      </c>
      <c r="Y2274" s="503">
        <v>0</v>
      </c>
      <c r="Z2274" s="150">
        <v>3</v>
      </c>
      <c r="AA2274" s="223">
        <v>0.64841977732550493</v>
      </c>
      <c r="AB2274" s="152"/>
      <c r="AC2274" s="152"/>
      <c r="AD2274" s="223">
        <v>11.734415</v>
      </c>
      <c r="AE2274" s="223">
        <v>0.4815682</v>
      </c>
      <c r="AF2274" s="223">
        <v>5.6665340000000004</v>
      </c>
      <c r="AG2274" s="223">
        <v>0.54862200000000005</v>
      </c>
      <c r="AH2274" s="341"/>
      <c r="AI2274" s="218"/>
      <c r="AJ2274" s="218"/>
      <c r="AK2274" s="153"/>
      <c r="AL2274" s="152"/>
      <c r="AM2274" s="152"/>
      <c r="AN2274" s="152"/>
      <c r="AO2274" s="152"/>
      <c r="AP2274" s="152"/>
      <c r="AQ2274" s="152"/>
      <c r="AR2274" s="152"/>
      <c r="AS2274" s="152"/>
      <c r="AT2274" s="152"/>
      <c r="AU2274" s="153"/>
      <c r="AV2274" s="479"/>
      <c r="AW2274" s="479"/>
      <c r="AX2274" s="442"/>
      <c r="AY2274" s="153"/>
      <c r="AZ2274" s="152"/>
      <c r="BA2274" s="152"/>
      <c r="BB2274" s="152"/>
      <c r="BC2274" s="152"/>
      <c r="BD2274" s="152"/>
      <c r="BE2274" s="152"/>
      <c r="BF2274" s="152"/>
      <c r="BG2274" s="152"/>
      <c r="BH2274" s="152"/>
      <c r="BI2274" s="153"/>
      <c r="BJ2274" s="153"/>
      <c r="BK2274" s="153"/>
      <c r="BL2274" s="153"/>
      <c r="BM2274" s="153"/>
      <c r="BN2274" s="153"/>
      <c r="BO2274" s="153"/>
      <c r="BP2274" s="153"/>
      <c r="BQ2274" s="153"/>
      <c r="BR2274" s="153"/>
      <c r="BS2274" s="153"/>
      <c r="BT2274" s="153"/>
      <c r="BU2274" s="153"/>
      <c r="BV2274" s="153"/>
      <c r="BW2274" s="153"/>
      <c r="BX2274" s="153"/>
      <c r="BY2274" s="153"/>
      <c r="BZ2274" s="153"/>
      <c r="CA2274" s="152"/>
      <c r="CB2274" s="152"/>
    </row>
    <row r="2275" spans="1:80" s="87" customFormat="1" ht="16.5" x14ac:dyDescent="0.3">
      <c r="A2275" s="152"/>
      <c r="B2275" s="683"/>
      <c r="C2275" s="683"/>
      <c r="D2275" s="698"/>
      <c r="E2275" s="215"/>
      <c r="F2275" s="215"/>
      <c r="G2275" s="153"/>
      <c r="H2275" s="153"/>
      <c r="I2275" s="311">
        <v>20</v>
      </c>
      <c r="J2275" s="311">
        <v>60</v>
      </c>
      <c r="K2275" s="150">
        <v>1</v>
      </c>
      <c r="L2275" s="656">
        <v>20</v>
      </c>
      <c r="M2275" s="663">
        <v>34794</v>
      </c>
      <c r="N2275" s="600">
        <v>3.057804</v>
      </c>
      <c r="O2275" s="604">
        <v>3.9989759999999998E-5</v>
      </c>
      <c r="P2275" s="150"/>
      <c r="Q2275" s="250"/>
      <c r="R2275" s="250"/>
      <c r="S2275" s="250"/>
      <c r="T2275" s="250"/>
      <c r="U2275" s="250"/>
      <c r="V2275" s="503">
        <v>0.4</v>
      </c>
      <c r="W2275" s="503">
        <v>0.4</v>
      </c>
      <c r="X2275" s="503">
        <v>0.2</v>
      </c>
      <c r="Y2275" s="503">
        <v>0</v>
      </c>
      <c r="Z2275" s="150">
        <v>2</v>
      </c>
      <c r="AA2275" s="223">
        <v>1</v>
      </c>
      <c r="AB2275" s="152"/>
      <c r="AC2275" s="152"/>
      <c r="AD2275" s="223">
        <v>11.734415</v>
      </c>
      <c r="AE2275" s="223">
        <v>0.4815682</v>
      </c>
      <c r="AF2275" s="223">
        <v>5.6665340000000004</v>
      </c>
      <c r="AG2275" s="223">
        <v>0.54862200000000005</v>
      </c>
      <c r="AH2275" s="341"/>
      <c r="AI2275" s="218"/>
      <c r="AJ2275" s="218"/>
      <c r="AK2275" s="153"/>
      <c r="AL2275" s="152"/>
      <c r="AM2275" s="152"/>
      <c r="AN2275" s="152"/>
      <c r="AO2275" s="152"/>
      <c r="AP2275" s="152"/>
      <c r="AQ2275" s="152"/>
      <c r="AR2275" s="152"/>
      <c r="AS2275" s="152"/>
      <c r="AT2275" s="152"/>
      <c r="AU2275" s="153"/>
      <c r="AV2275" s="479"/>
      <c r="AW2275" s="479"/>
      <c r="AX2275" s="442"/>
      <c r="AY2275" s="153"/>
      <c r="AZ2275" s="152"/>
      <c r="BA2275" s="152"/>
      <c r="BB2275" s="152"/>
      <c r="BC2275" s="152"/>
      <c r="BD2275" s="152"/>
      <c r="BE2275" s="152"/>
      <c r="BF2275" s="152"/>
      <c r="BG2275" s="152"/>
      <c r="BH2275" s="152"/>
      <c r="BI2275" s="153"/>
      <c r="BJ2275" s="153"/>
      <c r="BK2275" s="153"/>
      <c r="BL2275" s="153"/>
      <c r="BM2275" s="153"/>
      <c r="BN2275" s="153"/>
      <c r="BO2275" s="153"/>
      <c r="BP2275" s="153"/>
      <c r="BQ2275" s="153"/>
      <c r="BR2275" s="153"/>
      <c r="BS2275" s="153"/>
      <c r="BT2275" s="153"/>
      <c r="BU2275" s="153"/>
      <c r="BV2275" s="153"/>
      <c r="BW2275" s="153"/>
      <c r="BX2275" s="153"/>
      <c r="BY2275" s="153"/>
      <c r="BZ2275" s="153"/>
      <c r="CA2275" s="152"/>
      <c r="CB2275" s="152"/>
    </row>
    <row r="2276" spans="1:80" s="87" customFormat="1" ht="16.5" x14ac:dyDescent="0.3">
      <c r="A2276" s="152"/>
      <c r="B2276" s="683"/>
      <c r="C2276" s="683"/>
      <c r="D2276" s="698"/>
      <c r="E2276" s="215"/>
      <c r="F2276" s="215"/>
      <c r="G2276" s="153"/>
      <c r="H2276" s="153"/>
      <c r="I2276" s="311">
        <v>17</v>
      </c>
      <c r="J2276" s="311">
        <v>60</v>
      </c>
      <c r="K2276" s="150">
        <v>1</v>
      </c>
      <c r="L2276" s="656">
        <v>17</v>
      </c>
      <c r="M2276" s="663">
        <v>34800</v>
      </c>
      <c r="N2276" s="600">
        <v>3.8788810000000002</v>
      </c>
      <c r="O2276" s="604">
        <v>2.4035840000000001E-4</v>
      </c>
      <c r="P2276" s="150"/>
      <c r="Q2276" s="250"/>
      <c r="R2276" s="250"/>
      <c r="S2276" s="250"/>
      <c r="T2276" s="250"/>
      <c r="U2276" s="250">
        <v>5.5599999999999997E-2</v>
      </c>
      <c r="V2276" s="503">
        <v>0.33333333333333337</v>
      </c>
      <c r="W2276" s="503">
        <v>0.44444444444444442</v>
      </c>
      <c r="X2276" s="503">
        <v>0.16666666666666669</v>
      </c>
      <c r="Y2276" s="503">
        <v>0</v>
      </c>
      <c r="Z2276" s="150">
        <v>3</v>
      </c>
      <c r="AA2276" s="223">
        <v>0.84089641525371461</v>
      </c>
      <c r="AB2276" s="152"/>
      <c r="AC2276" s="152"/>
      <c r="AD2276" s="223">
        <v>11.856331000000001</v>
      </c>
      <c r="AE2276" s="223">
        <v>0.49985560000000001</v>
      </c>
      <c r="AF2276" s="223">
        <v>5.9173477999999999</v>
      </c>
      <c r="AG2276" s="223">
        <v>0.6583464</v>
      </c>
      <c r="AH2276" s="341"/>
      <c r="AI2276" s="218"/>
      <c r="AJ2276" s="218"/>
      <c r="AK2276" s="153"/>
      <c r="AL2276" s="152"/>
      <c r="AM2276" s="152"/>
      <c r="AN2276" s="152"/>
      <c r="AO2276" s="152"/>
      <c r="AP2276" s="152"/>
      <c r="AQ2276" s="152"/>
      <c r="AR2276" s="152"/>
      <c r="AS2276" s="152"/>
      <c r="AT2276" s="152"/>
      <c r="AU2276" s="153"/>
      <c r="AV2276" s="479"/>
      <c r="AW2276" s="479"/>
      <c r="AX2276" s="442"/>
      <c r="AY2276" s="153"/>
      <c r="AZ2276" s="152"/>
      <c r="BA2276" s="152"/>
      <c r="BB2276" s="152"/>
      <c r="BC2276" s="152"/>
      <c r="BD2276" s="152"/>
      <c r="BE2276" s="152"/>
      <c r="BF2276" s="152"/>
      <c r="BG2276" s="152"/>
      <c r="BH2276" s="152"/>
      <c r="BI2276" s="153"/>
      <c r="BJ2276" s="153"/>
      <c r="BK2276" s="153"/>
      <c r="BL2276" s="153"/>
      <c r="BM2276" s="153"/>
      <c r="BN2276" s="153"/>
      <c r="BO2276" s="153"/>
      <c r="BP2276" s="153"/>
      <c r="BQ2276" s="153"/>
      <c r="BR2276" s="153"/>
      <c r="BS2276" s="153"/>
      <c r="BT2276" s="153"/>
      <c r="BU2276" s="153"/>
      <c r="BV2276" s="153"/>
      <c r="BW2276" s="153"/>
      <c r="BX2276" s="153"/>
      <c r="BY2276" s="153"/>
      <c r="BZ2276" s="153"/>
      <c r="CA2276" s="152"/>
      <c r="CB2276" s="152"/>
    </row>
    <row r="2277" spans="1:80" s="87" customFormat="1" ht="16.5" x14ac:dyDescent="0.3">
      <c r="A2277" s="152"/>
      <c r="B2277" s="683"/>
      <c r="C2277" s="683"/>
      <c r="D2277" s="698"/>
      <c r="E2277" s="215"/>
      <c r="F2277" s="215"/>
      <c r="G2277" s="153"/>
      <c r="H2277" s="153"/>
      <c r="I2277" s="311">
        <v>17</v>
      </c>
      <c r="J2277" s="311">
        <v>60</v>
      </c>
      <c r="K2277" s="150">
        <v>1</v>
      </c>
      <c r="L2277" s="656">
        <v>17</v>
      </c>
      <c r="M2277" s="663">
        <v>34800</v>
      </c>
      <c r="N2277" s="600">
        <v>3.8788810000000002</v>
      </c>
      <c r="O2277" s="604">
        <v>1.3329919999999999E-4</v>
      </c>
      <c r="P2277" s="150"/>
      <c r="Q2277" s="250"/>
      <c r="R2277" s="250"/>
      <c r="S2277" s="250"/>
      <c r="T2277" s="250"/>
      <c r="U2277" s="250"/>
      <c r="V2277" s="503">
        <v>0.33333333333333337</v>
      </c>
      <c r="W2277" s="503">
        <v>0.44444444444444448</v>
      </c>
      <c r="X2277" s="503">
        <v>0.22222222222222224</v>
      </c>
      <c r="Y2277" s="503">
        <v>0</v>
      </c>
      <c r="Z2277" s="150">
        <v>2</v>
      </c>
      <c r="AA2277" s="223">
        <v>0.70710678118654757</v>
      </c>
      <c r="AB2277" s="152"/>
      <c r="AC2277" s="152"/>
      <c r="AD2277" s="223">
        <v>11.856331000000001</v>
      </c>
      <c r="AE2277" s="223">
        <v>0.49985560000000001</v>
      </c>
      <c r="AF2277" s="223">
        <v>5.9173477999999999</v>
      </c>
      <c r="AG2277" s="223">
        <v>0.6583464</v>
      </c>
      <c r="AH2277" s="341"/>
      <c r="AI2277" s="218"/>
      <c r="AJ2277" s="218"/>
      <c r="AK2277" s="153"/>
      <c r="AL2277" s="152"/>
      <c r="AM2277" s="152"/>
      <c r="AN2277" s="152"/>
      <c r="AO2277" s="152"/>
      <c r="AP2277" s="152"/>
      <c r="AQ2277" s="152"/>
      <c r="AR2277" s="152"/>
      <c r="AS2277" s="152"/>
      <c r="AT2277" s="152"/>
      <c r="AU2277" s="153"/>
      <c r="AV2277" s="479"/>
      <c r="AW2277" s="479"/>
      <c r="AX2277" s="442"/>
      <c r="AY2277" s="153"/>
      <c r="AZ2277" s="152"/>
      <c r="BA2277" s="152"/>
      <c r="BB2277" s="152"/>
      <c r="BC2277" s="152"/>
      <c r="BD2277" s="152"/>
      <c r="BE2277" s="152"/>
      <c r="BF2277" s="152"/>
      <c r="BG2277" s="152"/>
      <c r="BH2277" s="152"/>
      <c r="BI2277" s="153"/>
      <c r="BJ2277" s="153"/>
      <c r="BK2277" s="153"/>
      <c r="BL2277" s="153"/>
      <c r="BM2277" s="153"/>
      <c r="BN2277" s="153"/>
      <c r="BO2277" s="153"/>
      <c r="BP2277" s="153"/>
      <c r="BQ2277" s="153"/>
      <c r="BR2277" s="153"/>
      <c r="BS2277" s="153"/>
      <c r="BT2277" s="153"/>
      <c r="BU2277" s="153"/>
      <c r="BV2277" s="153"/>
      <c r="BW2277" s="153"/>
      <c r="BX2277" s="153"/>
      <c r="BY2277" s="153"/>
      <c r="BZ2277" s="153"/>
      <c r="CA2277" s="152"/>
      <c r="CB2277" s="152"/>
    </row>
    <row r="2278" spans="1:80" s="87" customFormat="1" ht="16.5" x14ac:dyDescent="0.3">
      <c r="A2278" s="152"/>
      <c r="B2278" s="683"/>
      <c r="C2278" s="683"/>
      <c r="D2278" s="698"/>
      <c r="E2278" s="215"/>
      <c r="F2278" s="215"/>
      <c r="G2278" s="153"/>
      <c r="H2278" s="153"/>
      <c r="I2278" s="311">
        <v>17</v>
      </c>
      <c r="J2278" s="311">
        <v>60</v>
      </c>
      <c r="K2278" s="150">
        <v>1</v>
      </c>
      <c r="L2278" s="656">
        <v>17</v>
      </c>
      <c r="M2278" s="663">
        <v>34813</v>
      </c>
      <c r="N2278" s="600">
        <v>4.9547750000000006</v>
      </c>
      <c r="O2278" s="604">
        <v>3.9989759999999998E-5</v>
      </c>
      <c r="P2278" s="150"/>
      <c r="Q2278" s="250"/>
      <c r="R2278" s="250"/>
      <c r="S2278" s="250"/>
      <c r="T2278" s="250"/>
      <c r="U2278" s="250"/>
      <c r="V2278" s="503">
        <v>0.5</v>
      </c>
      <c r="W2278" s="503">
        <v>0.25</v>
      </c>
      <c r="X2278" s="503">
        <v>0.25</v>
      </c>
      <c r="Y2278" s="503">
        <v>0</v>
      </c>
      <c r="Z2278" s="150">
        <v>2</v>
      </c>
      <c r="AA2278" s="223">
        <v>1.189207115002721</v>
      </c>
      <c r="AB2278" s="152"/>
      <c r="AC2278" s="152"/>
      <c r="AD2278" s="223">
        <v>12.633546000000001</v>
      </c>
      <c r="AE2278" s="223">
        <v>0.57605309999999998</v>
      </c>
      <c r="AF2278" s="223">
        <v>7.2963592300000002</v>
      </c>
      <c r="AG2278" s="223">
        <v>0.68272960000000005</v>
      </c>
      <c r="AH2278" s="341"/>
      <c r="AI2278" s="218"/>
      <c r="AJ2278" s="218"/>
      <c r="AK2278" s="153"/>
      <c r="AL2278" s="152"/>
      <c r="AM2278" s="152"/>
      <c r="AN2278" s="152"/>
      <c r="AO2278" s="152"/>
      <c r="AP2278" s="152"/>
      <c r="AQ2278" s="152"/>
      <c r="AR2278" s="152"/>
      <c r="AS2278" s="152"/>
      <c r="AT2278" s="152"/>
      <c r="AU2278" s="153"/>
      <c r="AV2278" s="479"/>
      <c r="AW2278" s="479"/>
      <c r="AX2278" s="442"/>
      <c r="AY2278" s="153"/>
      <c r="AZ2278" s="152"/>
      <c r="BA2278" s="152"/>
      <c r="BB2278" s="152"/>
      <c r="BC2278" s="152"/>
      <c r="BD2278" s="152"/>
      <c r="BE2278" s="152"/>
      <c r="BF2278" s="152"/>
      <c r="BG2278" s="152"/>
      <c r="BH2278" s="152"/>
      <c r="BI2278" s="153"/>
      <c r="BJ2278" s="153"/>
      <c r="BK2278" s="153"/>
      <c r="BL2278" s="153"/>
      <c r="BM2278" s="153"/>
      <c r="BN2278" s="153"/>
      <c r="BO2278" s="153"/>
      <c r="BP2278" s="153"/>
      <c r="BQ2278" s="153"/>
      <c r="BR2278" s="153"/>
      <c r="BS2278" s="153"/>
      <c r="BT2278" s="153"/>
      <c r="BU2278" s="153"/>
      <c r="BV2278" s="153"/>
      <c r="BW2278" s="153"/>
      <c r="BX2278" s="153"/>
      <c r="BY2278" s="153"/>
      <c r="BZ2278" s="153"/>
      <c r="CA2278" s="152"/>
      <c r="CB2278" s="152"/>
    </row>
    <row r="2279" spans="1:80" s="87" customFormat="1" ht="16.5" x14ac:dyDescent="0.3">
      <c r="A2279" s="152"/>
      <c r="B2279" s="683"/>
      <c r="C2279" s="683"/>
      <c r="D2279" s="698"/>
      <c r="E2279" s="215"/>
      <c r="F2279" s="215"/>
      <c r="G2279" s="153"/>
      <c r="H2279" s="153"/>
      <c r="I2279" s="311">
        <v>17</v>
      </c>
      <c r="J2279" s="311">
        <v>60</v>
      </c>
      <c r="K2279" s="150">
        <v>1</v>
      </c>
      <c r="L2279" s="656">
        <v>17</v>
      </c>
      <c r="M2279" s="663">
        <v>34813</v>
      </c>
      <c r="N2279" s="600">
        <v>5.0114010000000002</v>
      </c>
      <c r="O2279" s="604">
        <v>3.9989759999999998E-5</v>
      </c>
      <c r="P2279" s="150"/>
      <c r="Q2279" s="250"/>
      <c r="R2279" s="250"/>
      <c r="S2279" s="250"/>
      <c r="T2279" s="250"/>
      <c r="U2279" s="250"/>
      <c r="V2279" s="503">
        <v>0.33333333333333337</v>
      </c>
      <c r="W2279" s="503">
        <v>0.33333333333333337</v>
      </c>
      <c r="X2279" s="503">
        <v>0.33333333333333337</v>
      </c>
      <c r="Y2279" s="503">
        <v>0</v>
      </c>
      <c r="Z2279" s="150">
        <v>1</v>
      </c>
      <c r="AA2279" s="223">
        <v>0.70710678118654768</v>
      </c>
      <c r="AB2279" s="152"/>
      <c r="AC2279" s="152"/>
      <c r="AD2279" s="223">
        <v>12.633546000000001</v>
      </c>
      <c r="AE2279" s="223">
        <v>0.57605309999999998</v>
      </c>
      <c r="AF2279" s="223">
        <v>7.2963592300000002</v>
      </c>
      <c r="AG2279" s="223">
        <v>0.68272960000000005</v>
      </c>
      <c r="AH2279" s="341"/>
      <c r="AI2279" s="218"/>
      <c r="AJ2279" s="218"/>
      <c r="AK2279" s="153"/>
      <c r="AL2279" s="152"/>
      <c r="AM2279" s="152"/>
      <c r="AN2279" s="152"/>
      <c r="AO2279" s="152"/>
      <c r="AP2279" s="152"/>
      <c r="AQ2279" s="152"/>
      <c r="AR2279" s="152"/>
      <c r="AS2279" s="152"/>
      <c r="AT2279" s="152"/>
      <c r="AU2279" s="153"/>
      <c r="AV2279" s="479"/>
      <c r="AW2279" s="479"/>
      <c r="AX2279" s="442"/>
      <c r="AY2279" s="153"/>
      <c r="AZ2279" s="152"/>
      <c r="BA2279" s="152"/>
      <c r="BB2279" s="152"/>
      <c r="BC2279" s="152"/>
      <c r="BD2279" s="152"/>
      <c r="BE2279" s="152"/>
      <c r="BF2279" s="152"/>
      <c r="BG2279" s="152"/>
      <c r="BH2279" s="152"/>
      <c r="BI2279" s="153"/>
      <c r="BJ2279" s="153"/>
      <c r="BK2279" s="153"/>
      <c r="BL2279" s="153"/>
      <c r="BM2279" s="153"/>
      <c r="BN2279" s="153"/>
      <c r="BO2279" s="153"/>
      <c r="BP2279" s="153"/>
      <c r="BQ2279" s="153"/>
      <c r="BR2279" s="153"/>
      <c r="BS2279" s="153"/>
      <c r="BT2279" s="153"/>
      <c r="BU2279" s="153"/>
      <c r="BV2279" s="153"/>
      <c r="BW2279" s="153"/>
      <c r="BX2279" s="153"/>
      <c r="BY2279" s="153"/>
      <c r="BZ2279" s="153"/>
      <c r="CA2279" s="152"/>
      <c r="CB2279" s="152"/>
    </row>
    <row r="2280" spans="1:80" s="87" customFormat="1" ht="16.5" x14ac:dyDescent="0.3">
      <c r="A2280" s="152"/>
      <c r="B2280" s="683"/>
      <c r="C2280" s="683"/>
      <c r="D2280" s="698"/>
      <c r="E2280" s="215"/>
      <c r="F2280" s="215"/>
      <c r="G2280" s="153"/>
      <c r="H2280" s="153"/>
      <c r="I2280" s="311">
        <v>20</v>
      </c>
      <c r="J2280" s="311">
        <v>60</v>
      </c>
      <c r="K2280" s="150">
        <v>1</v>
      </c>
      <c r="L2280" s="656">
        <v>20</v>
      </c>
      <c r="M2280" s="663">
        <v>34821</v>
      </c>
      <c r="N2280" s="600">
        <v>9.0035340000000001</v>
      </c>
      <c r="O2280" s="604">
        <v>6.0142080000000003E-4</v>
      </c>
      <c r="P2280" s="150"/>
      <c r="Q2280" s="250"/>
      <c r="R2280" s="250"/>
      <c r="S2280" s="250"/>
      <c r="T2280" s="250">
        <v>7.3200000000000001E-2</v>
      </c>
      <c r="U2280" s="250">
        <v>0.122</v>
      </c>
      <c r="V2280" s="503">
        <v>0.31707317073170738</v>
      </c>
      <c r="W2280" s="503">
        <v>0.31707317073170738</v>
      </c>
      <c r="X2280" s="503">
        <v>0.14634146341463417</v>
      </c>
      <c r="Y2280" s="503">
        <v>2.4390243902439029E-2</v>
      </c>
      <c r="Z2280" s="150">
        <v>5</v>
      </c>
      <c r="AA2280" s="223">
        <v>1.0270180507087723</v>
      </c>
      <c r="AB2280" s="152"/>
      <c r="AC2280" s="152"/>
      <c r="AD2280" s="223">
        <v>15.117584000000001</v>
      </c>
      <c r="AE2280" s="223">
        <v>0.59129259999999995</v>
      </c>
      <c r="AF2280" s="223">
        <v>8.9215397599999999</v>
      </c>
      <c r="AG2280" s="223">
        <v>0.9661843</v>
      </c>
      <c r="AH2280" s="341"/>
      <c r="AI2280" s="218"/>
      <c r="AJ2280" s="218"/>
      <c r="AK2280" s="153"/>
      <c r="AL2280" s="152"/>
      <c r="AM2280" s="152"/>
      <c r="AN2280" s="152"/>
      <c r="AO2280" s="152"/>
      <c r="AP2280" s="152"/>
      <c r="AQ2280" s="152"/>
      <c r="AR2280" s="152"/>
      <c r="AS2280" s="152"/>
      <c r="AT2280" s="152"/>
      <c r="AU2280" s="153"/>
      <c r="AV2280" s="479"/>
      <c r="AW2280" s="479"/>
      <c r="AX2280" s="442"/>
      <c r="AY2280" s="153"/>
      <c r="AZ2280" s="152"/>
      <c r="BA2280" s="152"/>
      <c r="BB2280" s="152"/>
      <c r="BC2280" s="152"/>
      <c r="BD2280" s="152"/>
      <c r="BE2280" s="152"/>
      <c r="BF2280" s="152"/>
      <c r="BG2280" s="152"/>
      <c r="BH2280" s="152"/>
      <c r="BI2280" s="153"/>
      <c r="BJ2280" s="153"/>
      <c r="BK2280" s="153"/>
      <c r="BL2280" s="153"/>
      <c r="BM2280" s="153"/>
      <c r="BN2280" s="153"/>
      <c r="BO2280" s="153"/>
      <c r="BP2280" s="153"/>
      <c r="BQ2280" s="153"/>
      <c r="BR2280" s="153"/>
      <c r="BS2280" s="153"/>
      <c r="BT2280" s="153"/>
      <c r="BU2280" s="153"/>
      <c r="BV2280" s="153"/>
      <c r="BW2280" s="153"/>
      <c r="BX2280" s="153"/>
      <c r="BY2280" s="153"/>
      <c r="BZ2280" s="153"/>
      <c r="CA2280" s="152"/>
      <c r="CB2280" s="152"/>
    </row>
    <row r="2281" spans="1:80" s="87" customFormat="1" ht="16.5" x14ac:dyDescent="0.3">
      <c r="A2281" s="152"/>
      <c r="B2281" s="683"/>
      <c r="C2281" s="683"/>
      <c r="D2281" s="698"/>
      <c r="E2281" s="215"/>
      <c r="F2281" s="215"/>
      <c r="G2281" s="153"/>
      <c r="H2281" s="153"/>
      <c r="I2281" s="311">
        <v>20</v>
      </c>
      <c r="J2281" s="311">
        <v>60</v>
      </c>
      <c r="K2281" s="150">
        <v>1</v>
      </c>
      <c r="L2281" s="656">
        <v>20</v>
      </c>
      <c r="M2281" s="663">
        <v>34821</v>
      </c>
      <c r="N2281" s="600">
        <v>9.1167860000000012</v>
      </c>
      <c r="O2281" s="604">
        <v>6.601984E-4</v>
      </c>
      <c r="P2281" s="150"/>
      <c r="Q2281" s="250"/>
      <c r="R2281" s="250"/>
      <c r="S2281" s="250"/>
      <c r="T2281" s="250">
        <v>0.19149999999999998</v>
      </c>
      <c r="U2281" s="250">
        <v>0.2979</v>
      </c>
      <c r="V2281" s="503">
        <v>0.31914893617021284</v>
      </c>
      <c r="W2281" s="503">
        <v>0.17021276595744683</v>
      </c>
      <c r="X2281" s="503">
        <v>2.1276595744680854E-2</v>
      </c>
      <c r="Y2281" s="503">
        <v>0</v>
      </c>
      <c r="Z2281" s="150">
        <v>4</v>
      </c>
      <c r="AA2281" s="223">
        <v>2.0501284239317492</v>
      </c>
      <c r="AB2281" s="152"/>
      <c r="AC2281" s="152"/>
      <c r="AD2281" s="223">
        <v>15.117584000000001</v>
      </c>
      <c r="AE2281" s="223">
        <v>0.59129259999999995</v>
      </c>
      <c r="AF2281" s="223">
        <v>8.9215397599999999</v>
      </c>
      <c r="AG2281" s="223">
        <v>0.9661843</v>
      </c>
      <c r="AH2281" s="341"/>
      <c r="AI2281" s="218"/>
      <c r="AJ2281" s="218"/>
      <c r="AK2281" s="153"/>
      <c r="AL2281" s="152"/>
      <c r="AM2281" s="152"/>
      <c r="AN2281" s="152"/>
      <c r="AO2281" s="152"/>
      <c r="AP2281" s="152"/>
      <c r="AQ2281" s="152"/>
      <c r="AR2281" s="152"/>
      <c r="AS2281" s="152"/>
      <c r="AT2281" s="152"/>
      <c r="AU2281" s="153"/>
      <c r="AV2281" s="479"/>
      <c r="AW2281" s="479"/>
      <c r="AX2281" s="442"/>
      <c r="AY2281" s="153"/>
      <c r="AZ2281" s="152"/>
      <c r="BA2281" s="152"/>
      <c r="BB2281" s="152"/>
      <c r="BC2281" s="152"/>
      <c r="BD2281" s="152"/>
      <c r="BE2281" s="152"/>
      <c r="BF2281" s="152"/>
      <c r="BG2281" s="152"/>
      <c r="BH2281" s="152"/>
      <c r="BI2281" s="153"/>
      <c r="BJ2281" s="153"/>
      <c r="BK2281" s="153"/>
      <c r="BL2281" s="153"/>
      <c r="BM2281" s="153"/>
      <c r="BN2281" s="153"/>
      <c r="BO2281" s="153"/>
      <c r="BP2281" s="153"/>
      <c r="BQ2281" s="153"/>
      <c r="BR2281" s="153"/>
      <c r="BS2281" s="153"/>
      <c r="BT2281" s="153"/>
      <c r="BU2281" s="153"/>
      <c r="BV2281" s="153"/>
      <c r="BW2281" s="153"/>
      <c r="BX2281" s="153"/>
      <c r="BY2281" s="153"/>
      <c r="BZ2281" s="153"/>
      <c r="CA2281" s="152"/>
      <c r="CB2281" s="152"/>
    </row>
    <row r="2282" spans="1:80" s="87" customFormat="1" ht="16.5" x14ac:dyDescent="0.3">
      <c r="A2282" s="152"/>
      <c r="B2282" s="683"/>
      <c r="C2282" s="683"/>
      <c r="D2282" s="698"/>
      <c r="E2282" s="215"/>
      <c r="F2282" s="215"/>
      <c r="G2282" s="153"/>
      <c r="H2282" s="153"/>
      <c r="I2282" s="311">
        <v>16</v>
      </c>
      <c r="J2282" s="311">
        <v>60</v>
      </c>
      <c r="K2282" s="150">
        <v>1</v>
      </c>
      <c r="L2282" s="656">
        <v>16</v>
      </c>
      <c r="M2282" s="663">
        <v>34825</v>
      </c>
      <c r="N2282" s="600">
        <v>30.578040000000001</v>
      </c>
      <c r="O2282" s="604">
        <v>0.12280319999999999</v>
      </c>
      <c r="P2282" s="150"/>
      <c r="Q2282" s="250"/>
      <c r="R2282" s="250"/>
      <c r="S2282" s="250"/>
      <c r="T2282" s="250">
        <v>8.0000000000000002E-3</v>
      </c>
      <c r="U2282" s="250">
        <v>4.4999999999999998E-2</v>
      </c>
      <c r="V2282" s="503">
        <v>0.188</v>
      </c>
      <c r="W2282" s="503">
        <v>0.34200000000000003</v>
      </c>
      <c r="X2282" s="503">
        <v>0.37799999999999995</v>
      </c>
      <c r="Y2282" s="503">
        <v>3.8000000000000006E-2</v>
      </c>
      <c r="Z2282" s="150">
        <v>7</v>
      </c>
      <c r="AA2282" s="223">
        <v>0.59159840112658557</v>
      </c>
      <c r="AB2282" s="152"/>
      <c r="AC2282" s="152"/>
      <c r="AD2282" s="223">
        <v>15.54429</v>
      </c>
      <c r="AE2282" s="223">
        <v>0.90827420000000003</v>
      </c>
      <c r="AF2282" s="223">
        <v>14.119888</v>
      </c>
      <c r="AG2282" s="223">
        <v>1.9293207000000001</v>
      </c>
      <c r="AH2282" s="341"/>
      <c r="AI2282" s="218"/>
      <c r="AJ2282" s="218"/>
      <c r="AK2282" s="153"/>
      <c r="AL2282" s="152"/>
      <c r="AM2282" s="152"/>
      <c r="AN2282" s="152"/>
      <c r="AO2282" s="152"/>
      <c r="AP2282" s="152"/>
      <c r="AQ2282" s="152"/>
      <c r="AR2282" s="152"/>
      <c r="AS2282" s="152"/>
      <c r="AT2282" s="152"/>
      <c r="AU2282" s="153"/>
      <c r="AV2282" s="479"/>
      <c r="AW2282" s="479"/>
      <c r="AX2282" s="442"/>
      <c r="AY2282" s="153"/>
      <c r="AZ2282" s="152"/>
      <c r="BA2282" s="152"/>
      <c r="BB2282" s="152"/>
      <c r="BC2282" s="152"/>
      <c r="BD2282" s="152"/>
      <c r="BE2282" s="152"/>
      <c r="BF2282" s="152"/>
      <c r="BG2282" s="152"/>
      <c r="BH2282" s="152"/>
      <c r="BI2282" s="153"/>
      <c r="BJ2282" s="153"/>
      <c r="BK2282" s="153"/>
      <c r="BL2282" s="153"/>
      <c r="BM2282" s="153"/>
      <c r="BN2282" s="153"/>
      <c r="BO2282" s="153"/>
      <c r="BP2282" s="153"/>
      <c r="BQ2282" s="153"/>
      <c r="BR2282" s="153"/>
      <c r="BS2282" s="153"/>
      <c r="BT2282" s="153"/>
      <c r="BU2282" s="153"/>
      <c r="BV2282" s="153"/>
      <c r="BW2282" s="153"/>
      <c r="BX2282" s="153"/>
      <c r="BY2282" s="153"/>
      <c r="BZ2282" s="153"/>
      <c r="CA2282" s="152"/>
      <c r="CB2282" s="152"/>
    </row>
    <row r="2283" spans="1:80" s="87" customFormat="1" ht="16.5" x14ac:dyDescent="0.3">
      <c r="A2283" s="152"/>
      <c r="B2283" s="683"/>
      <c r="C2283" s="683"/>
      <c r="D2283" s="698"/>
      <c r="E2283" s="215"/>
      <c r="F2283" s="215"/>
      <c r="G2283" s="153"/>
      <c r="H2283" s="153"/>
      <c r="I2283" s="311">
        <v>16</v>
      </c>
      <c r="J2283" s="311">
        <v>60</v>
      </c>
      <c r="K2283" s="150">
        <v>1</v>
      </c>
      <c r="L2283" s="656">
        <v>16</v>
      </c>
      <c r="M2283" s="663">
        <v>34825</v>
      </c>
      <c r="N2283" s="600">
        <v>34.25873</v>
      </c>
      <c r="O2283" s="604">
        <v>0.14169599999999999</v>
      </c>
      <c r="P2283" s="150"/>
      <c r="Q2283" s="250"/>
      <c r="R2283" s="250"/>
      <c r="S2283" s="250"/>
      <c r="T2283" s="250">
        <v>4.0000000000000001E-3</v>
      </c>
      <c r="U2283" s="250">
        <v>3.1E-2</v>
      </c>
      <c r="V2283" s="503">
        <v>0.158</v>
      </c>
      <c r="W2283" s="503">
        <v>0.36599999999999999</v>
      </c>
      <c r="X2283" s="503">
        <v>0.376</v>
      </c>
      <c r="Y2283" s="503">
        <v>6.5000000000000002E-2</v>
      </c>
      <c r="Z2283" s="150">
        <v>6</v>
      </c>
      <c r="AA2283" s="223">
        <v>0.55910927608920447</v>
      </c>
      <c r="AB2283" s="152"/>
      <c r="AC2283" s="152"/>
      <c r="AD2283" s="223">
        <v>15.54429</v>
      </c>
      <c r="AE2283" s="223">
        <v>0.90827420000000003</v>
      </c>
      <c r="AF2283" s="223">
        <v>14.119888</v>
      </c>
      <c r="AG2283" s="223">
        <v>1.9293207000000001</v>
      </c>
      <c r="AH2283" s="341"/>
      <c r="AI2283" s="218"/>
      <c r="AJ2283" s="218"/>
      <c r="AK2283" s="153"/>
      <c r="AL2283" s="152"/>
      <c r="AM2283" s="152"/>
      <c r="AN2283" s="152"/>
      <c r="AO2283" s="152"/>
      <c r="AP2283" s="152"/>
      <c r="AQ2283" s="152"/>
      <c r="AR2283" s="152"/>
      <c r="AS2283" s="152"/>
      <c r="AT2283" s="152"/>
      <c r="AU2283" s="153"/>
      <c r="AV2283" s="479"/>
      <c r="AW2283" s="479"/>
      <c r="AX2283" s="442"/>
      <c r="AY2283" s="153"/>
      <c r="AZ2283" s="152"/>
      <c r="BA2283" s="152"/>
      <c r="BB2283" s="152"/>
      <c r="BC2283" s="152"/>
      <c r="BD2283" s="152"/>
      <c r="BE2283" s="152"/>
      <c r="BF2283" s="152"/>
      <c r="BG2283" s="152"/>
      <c r="BH2283" s="152"/>
      <c r="BI2283" s="153"/>
      <c r="BJ2283" s="153"/>
      <c r="BK2283" s="153"/>
      <c r="BL2283" s="153"/>
      <c r="BM2283" s="153"/>
      <c r="BN2283" s="153"/>
      <c r="BO2283" s="153"/>
      <c r="BP2283" s="153"/>
      <c r="BQ2283" s="153"/>
      <c r="BR2283" s="153"/>
      <c r="BS2283" s="153"/>
      <c r="BT2283" s="153"/>
      <c r="BU2283" s="153"/>
      <c r="BV2283" s="153"/>
      <c r="BW2283" s="153"/>
      <c r="BX2283" s="153"/>
      <c r="BY2283" s="153"/>
      <c r="BZ2283" s="153"/>
      <c r="CA2283" s="152"/>
      <c r="CB2283" s="152"/>
    </row>
    <row r="2284" spans="1:80" s="87" customFormat="1" ht="16.5" x14ac:dyDescent="0.3">
      <c r="A2284" s="152"/>
      <c r="B2284" s="683"/>
      <c r="C2284" s="683"/>
      <c r="D2284" s="698"/>
      <c r="E2284" s="215"/>
      <c r="F2284" s="215"/>
      <c r="G2284" s="153"/>
      <c r="H2284" s="153"/>
      <c r="I2284" s="311">
        <v>23</v>
      </c>
      <c r="J2284" s="311">
        <v>60</v>
      </c>
      <c r="K2284" s="150">
        <v>1</v>
      </c>
      <c r="L2284" s="656">
        <v>23</v>
      </c>
      <c r="M2284" s="663">
        <v>34828</v>
      </c>
      <c r="N2284" s="600">
        <v>21.234750000000002</v>
      </c>
      <c r="O2284" s="604">
        <v>1.112576E-2</v>
      </c>
      <c r="P2284" s="150"/>
      <c r="Q2284" s="250"/>
      <c r="R2284" s="250"/>
      <c r="S2284" s="250">
        <v>1.3000000000000001E-2</v>
      </c>
      <c r="T2284" s="250">
        <v>5.2000000000000005E-2</v>
      </c>
      <c r="U2284" s="250">
        <v>9.6999999999999989E-2</v>
      </c>
      <c r="V2284" s="503">
        <v>0.23899999999999999</v>
      </c>
      <c r="W2284" s="503">
        <v>0.29199999999999998</v>
      </c>
      <c r="X2284" s="503">
        <v>0.29199999999999998</v>
      </c>
      <c r="Y2284" s="503">
        <v>1.4000000000000002E-2</v>
      </c>
      <c r="Z2284" s="150">
        <v>9</v>
      </c>
      <c r="AA2284" s="223">
        <v>0.79056659659795991</v>
      </c>
      <c r="AB2284" s="152"/>
      <c r="AC2284" s="152"/>
      <c r="AD2284" s="223">
        <v>15.590009</v>
      </c>
      <c r="AE2284" s="223">
        <v>0.85645990000000005</v>
      </c>
      <c r="AF2284" s="223">
        <v>13.376735999999999</v>
      </c>
      <c r="AG2284" s="223">
        <v>1.6336744000000001</v>
      </c>
      <c r="AH2284" s="341"/>
      <c r="AI2284" s="218"/>
      <c r="AJ2284" s="218"/>
      <c r="AK2284" s="153"/>
      <c r="AL2284" s="152"/>
      <c r="AM2284" s="152"/>
      <c r="AN2284" s="152"/>
      <c r="AO2284" s="152"/>
      <c r="AP2284" s="152"/>
      <c r="AQ2284" s="152"/>
      <c r="AR2284" s="152"/>
      <c r="AS2284" s="152"/>
      <c r="AT2284" s="152"/>
      <c r="AU2284" s="153"/>
      <c r="AV2284" s="479"/>
      <c r="AW2284" s="479"/>
      <c r="AX2284" s="442"/>
      <c r="AY2284" s="153"/>
      <c r="AZ2284" s="152"/>
      <c r="BA2284" s="152"/>
      <c r="BB2284" s="152"/>
      <c r="BC2284" s="152"/>
      <c r="BD2284" s="152"/>
      <c r="BE2284" s="152"/>
      <c r="BF2284" s="152"/>
      <c r="BG2284" s="152"/>
      <c r="BH2284" s="152"/>
      <c r="BI2284" s="153"/>
      <c r="BJ2284" s="153"/>
      <c r="BK2284" s="153"/>
      <c r="BL2284" s="153"/>
      <c r="BM2284" s="153"/>
      <c r="BN2284" s="153"/>
      <c r="BO2284" s="153"/>
      <c r="BP2284" s="153"/>
      <c r="BQ2284" s="153"/>
      <c r="BR2284" s="153"/>
      <c r="BS2284" s="153"/>
      <c r="BT2284" s="153"/>
      <c r="BU2284" s="153"/>
      <c r="BV2284" s="153"/>
      <c r="BW2284" s="153"/>
      <c r="BX2284" s="153"/>
      <c r="BY2284" s="153"/>
      <c r="BZ2284" s="153"/>
      <c r="CA2284" s="152"/>
      <c r="CB2284" s="152"/>
    </row>
    <row r="2285" spans="1:80" s="87" customFormat="1" ht="16.5" x14ac:dyDescent="0.3">
      <c r="A2285" s="152"/>
      <c r="B2285" s="683"/>
      <c r="C2285" s="683"/>
      <c r="D2285" s="698"/>
      <c r="E2285" s="215"/>
      <c r="F2285" s="215"/>
      <c r="G2285" s="153"/>
      <c r="H2285" s="153"/>
      <c r="I2285" s="311">
        <v>23</v>
      </c>
      <c r="J2285" s="311">
        <v>60</v>
      </c>
      <c r="K2285" s="150">
        <v>1</v>
      </c>
      <c r="L2285" s="656">
        <v>23</v>
      </c>
      <c r="M2285" s="663">
        <v>34828</v>
      </c>
      <c r="N2285" s="600">
        <v>21.064872000000001</v>
      </c>
      <c r="O2285" s="604">
        <v>1.427456E-2</v>
      </c>
      <c r="P2285" s="150"/>
      <c r="Q2285" s="250"/>
      <c r="R2285" s="250"/>
      <c r="S2285" s="250">
        <v>1.3999999999999999E-2</v>
      </c>
      <c r="T2285" s="250">
        <v>0.05</v>
      </c>
      <c r="U2285" s="250">
        <v>6.6000000000000003E-2</v>
      </c>
      <c r="V2285" s="503">
        <v>0.23399999999999999</v>
      </c>
      <c r="W2285" s="503">
        <v>0.35100000000000003</v>
      </c>
      <c r="X2285" s="503">
        <v>0.27699999999999997</v>
      </c>
      <c r="Y2285" s="503">
        <v>8.0000000000000002E-3</v>
      </c>
      <c r="Z2285" s="150">
        <v>9</v>
      </c>
      <c r="AA2285" s="223">
        <v>0.76447202430307948</v>
      </c>
      <c r="AB2285" s="152"/>
      <c r="AC2285" s="152"/>
      <c r="AD2285" s="223">
        <v>15.590009</v>
      </c>
      <c r="AE2285" s="223">
        <v>0.85645990000000005</v>
      </c>
      <c r="AF2285" s="223">
        <v>13.376735999999999</v>
      </c>
      <c r="AG2285" s="223">
        <v>1.6336744000000001</v>
      </c>
      <c r="AH2285" s="341"/>
      <c r="AI2285" s="218"/>
      <c r="AJ2285" s="218"/>
      <c r="AK2285" s="153"/>
      <c r="AL2285" s="152"/>
      <c r="AM2285" s="152"/>
      <c r="AN2285" s="152"/>
      <c r="AO2285" s="152"/>
      <c r="AP2285" s="152"/>
      <c r="AQ2285" s="152"/>
      <c r="AR2285" s="152"/>
      <c r="AS2285" s="152"/>
      <c r="AT2285" s="152"/>
      <c r="AU2285" s="153"/>
      <c r="AV2285" s="479"/>
      <c r="AW2285" s="479"/>
      <c r="AX2285" s="442"/>
      <c r="AY2285" s="153"/>
      <c r="AZ2285" s="152"/>
      <c r="BA2285" s="152"/>
      <c r="BB2285" s="152"/>
      <c r="BC2285" s="152"/>
      <c r="BD2285" s="152"/>
      <c r="BE2285" s="152"/>
      <c r="BF2285" s="152"/>
      <c r="BG2285" s="152"/>
      <c r="BH2285" s="152"/>
      <c r="BI2285" s="153"/>
      <c r="BJ2285" s="153"/>
      <c r="BK2285" s="153"/>
      <c r="BL2285" s="153"/>
      <c r="BM2285" s="153"/>
      <c r="BN2285" s="153"/>
      <c r="BO2285" s="153"/>
      <c r="BP2285" s="153"/>
      <c r="BQ2285" s="153"/>
      <c r="BR2285" s="153"/>
      <c r="BS2285" s="153"/>
      <c r="BT2285" s="153"/>
      <c r="BU2285" s="153"/>
      <c r="BV2285" s="153"/>
      <c r="BW2285" s="153"/>
      <c r="BX2285" s="153"/>
      <c r="BY2285" s="153"/>
      <c r="BZ2285" s="153"/>
      <c r="CA2285" s="152"/>
      <c r="CB2285" s="152"/>
    </row>
    <row r="2286" spans="1:80" s="87" customFormat="1" ht="16.5" x14ac:dyDescent="0.3">
      <c r="A2286" s="152"/>
      <c r="B2286" s="683"/>
      <c r="C2286" s="683"/>
      <c r="D2286" s="698"/>
      <c r="E2286" s="215"/>
      <c r="F2286" s="215"/>
      <c r="G2286" s="153"/>
      <c r="H2286" s="153"/>
      <c r="I2286" s="311">
        <v>22</v>
      </c>
      <c r="J2286" s="311">
        <v>60</v>
      </c>
      <c r="K2286" s="150">
        <v>1</v>
      </c>
      <c r="L2286" s="656">
        <v>22</v>
      </c>
      <c r="M2286" s="663">
        <v>34831</v>
      </c>
      <c r="N2286" s="600">
        <v>19.762474000000001</v>
      </c>
      <c r="O2286" s="604">
        <v>6.6649600000000002E-3</v>
      </c>
      <c r="P2286" s="150"/>
      <c r="Q2286" s="250"/>
      <c r="R2286" s="250"/>
      <c r="S2286" s="250">
        <v>1.4999999999999999E-2</v>
      </c>
      <c r="T2286" s="250">
        <v>5.7000000000000002E-2</v>
      </c>
      <c r="U2286" s="250">
        <v>5.7999999999999996E-2</v>
      </c>
      <c r="V2286" s="503">
        <v>0.22600000000000001</v>
      </c>
      <c r="W2286" s="503">
        <v>0.34100000000000003</v>
      </c>
      <c r="X2286" s="503">
        <v>0.29199999999999998</v>
      </c>
      <c r="Y2286" s="503">
        <v>1.1000000000000001E-2</v>
      </c>
      <c r="Z2286" s="150">
        <v>10</v>
      </c>
      <c r="AA2286" s="223">
        <v>0.74624052305119726</v>
      </c>
      <c r="AB2286" s="152"/>
      <c r="AC2286" s="152"/>
      <c r="AD2286" s="223">
        <v>14.934710000000001</v>
      </c>
      <c r="AE2286" s="223">
        <v>0.81378930000000005</v>
      </c>
      <c r="AF2286" s="223">
        <v>12.169114</v>
      </c>
      <c r="AG2286" s="223">
        <v>1.5239499999999999</v>
      </c>
      <c r="AH2286" s="341"/>
      <c r="AI2286" s="218"/>
      <c r="AJ2286" s="218"/>
      <c r="AK2286" s="153"/>
      <c r="AL2286" s="152"/>
      <c r="AM2286" s="152"/>
      <c r="AN2286" s="152"/>
      <c r="AO2286" s="152"/>
      <c r="AP2286" s="152"/>
      <c r="AQ2286" s="152"/>
      <c r="AR2286" s="152"/>
      <c r="AS2286" s="152"/>
      <c r="AT2286" s="152"/>
      <c r="AU2286" s="153"/>
      <c r="AV2286" s="479"/>
      <c r="AW2286" s="479"/>
      <c r="AX2286" s="442"/>
      <c r="AY2286" s="153"/>
      <c r="AZ2286" s="152"/>
      <c r="BA2286" s="152"/>
      <c r="BB2286" s="152"/>
      <c r="BC2286" s="152"/>
      <c r="BD2286" s="152"/>
      <c r="BE2286" s="152"/>
      <c r="BF2286" s="152"/>
      <c r="BG2286" s="152"/>
      <c r="BH2286" s="152"/>
      <c r="BI2286" s="153"/>
      <c r="BJ2286" s="153"/>
      <c r="BK2286" s="153"/>
      <c r="BL2286" s="153"/>
      <c r="BM2286" s="153"/>
      <c r="BN2286" s="153"/>
      <c r="BO2286" s="153"/>
      <c r="BP2286" s="153"/>
      <c r="BQ2286" s="153"/>
      <c r="BR2286" s="153"/>
      <c r="BS2286" s="153"/>
      <c r="BT2286" s="153"/>
      <c r="BU2286" s="153"/>
      <c r="BV2286" s="153"/>
      <c r="BW2286" s="153"/>
      <c r="BX2286" s="153"/>
      <c r="BY2286" s="153"/>
      <c r="BZ2286" s="153"/>
      <c r="CA2286" s="152"/>
      <c r="CB2286" s="152"/>
    </row>
    <row r="2287" spans="1:80" s="87" customFormat="1" ht="16.5" x14ac:dyDescent="0.3">
      <c r="A2287" s="152"/>
      <c r="B2287" s="683"/>
      <c r="C2287" s="683"/>
      <c r="D2287" s="698"/>
      <c r="E2287" s="215"/>
      <c r="F2287" s="215"/>
      <c r="G2287" s="153"/>
      <c r="H2287" s="153"/>
      <c r="I2287" s="311">
        <v>22</v>
      </c>
      <c r="J2287" s="311">
        <v>60</v>
      </c>
      <c r="K2287" s="150">
        <v>1</v>
      </c>
      <c r="L2287" s="656">
        <v>22</v>
      </c>
      <c r="M2287" s="663">
        <v>34831</v>
      </c>
      <c r="N2287" s="600">
        <v>19.592596</v>
      </c>
      <c r="O2287" s="604">
        <v>1.0915840000000001E-2</v>
      </c>
      <c r="P2287" s="150"/>
      <c r="Q2287" s="250"/>
      <c r="R2287" s="250">
        <v>0.10949999999999999</v>
      </c>
      <c r="S2287" s="250">
        <v>0.1779</v>
      </c>
      <c r="T2287" s="250">
        <v>4.5199999999999997E-2</v>
      </c>
      <c r="U2287" s="250">
        <v>2.0099999999999996E-2</v>
      </c>
      <c r="V2287" s="503">
        <v>6.3316582914572844E-2</v>
      </c>
      <c r="W2287" s="503">
        <v>0.19396984924623112</v>
      </c>
      <c r="X2287" s="503">
        <v>0.3195979899497487</v>
      </c>
      <c r="Y2287" s="503">
        <v>7.0351758793969849E-2</v>
      </c>
      <c r="Z2287" s="150">
        <v>22</v>
      </c>
      <c r="AA2287" s="223">
        <v>0.73428098482515503</v>
      </c>
      <c r="AB2287" s="152"/>
      <c r="AC2287" s="152"/>
      <c r="AD2287" s="223">
        <v>14.934710000000001</v>
      </c>
      <c r="AE2287" s="223">
        <v>0.81378930000000005</v>
      </c>
      <c r="AF2287" s="223">
        <v>12.169114</v>
      </c>
      <c r="AG2287" s="223">
        <v>1.5239499999999999</v>
      </c>
      <c r="AH2287" s="341"/>
      <c r="AI2287" s="218"/>
      <c r="AJ2287" s="218"/>
      <c r="AK2287" s="153"/>
      <c r="AL2287" s="152"/>
      <c r="AM2287" s="152"/>
      <c r="AN2287" s="152"/>
      <c r="AO2287" s="152"/>
      <c r="AP2287" s="152"/>
      <c r="AQ2287" s="152"/>
      <c r="AR2287" s="152"/>
      <c r="AS2287" s="152"/>
      <c r="AT2287" s="152"/>
      <c r="AU2287" s="153"/>
      <c r="AV2287" s="479"/>
      <c r="AW2287" s="479"/>
      <c r="AX2287" s="442"/>
      <c r="AY2287" s="153"/>
      <c r="AZ2287" s="152"/>
      <c r="BA2287" s="152"/>
      <c r="BB2287" s="152"/>
      <c r="BC2287" s="152"/>
      <c r="BD2287" s="152"/>
      <c r="BE2287" s="152"/>
      <c r="BF2287" s="152"/>
      <c r="BG2287" s="152"/>
      <c r="BH2287" s="152"/>
      <c r="BI2287" s="153"/>
      <c r="BJ2287" s="153"/>
      <c r="BK2287" s="153"/>
      <c r="BL2287" s="153"/>
      <c r="BM2287" s="153"/>
      <c r="BN2287" s="153"/>
      <c r="BO2287" s="153"/>
      <c r="BP2287" s="153"/>
      <c r="BQ2287" s="153"/>
      <c r="BR2287" s="153"/>
      <c r="BS2287" s="153"/>
      <c r="BT2287" s="153"/>
      <c r="BU2287" s="153"/>
      <c r="BV2287" s="153"/>
      <c r="BW2287" s="153"/>
      <c r="BX2287" s="153"/>
      <c r="BY2287" s="153"/>
      <c r="BZ2287" s="153"/>
      <c r="CA2287" s="152"/>
      <c r="CB2287" s="152"/>
    </row>
    <row r="2288" spans="1:80" s="87" customFormat="1" ht="16.5" x14ac:dyDescent="0.3">
      <c r="A2288" s="152"/>
      <c r="B2288" s="683"/>
      <c r="C2288" s="683"/>
      <c r="D2288" s="698"/>
      <c r="E2288" s="215"/>
      <c r="F2288" s="215"/>
      <c r="G2288" s="153"/>
      <c r="H2288" s="153"/>
      <c r="I2288" s="311">
        <v>22</v>
      </c>
      <c r="J2288" s="311">
        <v>60</v>
      </c>
      <c r="K2288" s="150">
        <v>1</v>
      </c>
      <c r="L2288" s="656">
        <v>22</v>
      </c>
      <c r="M2288" s="663">
        <v>34838</v>
      </c>
      <c r="N2288" s="600">
        <v>16.110097</v>
      </c>
      <c r="O2288" s="604">
        <v>7.7355519999999997E-3</v>
      </c>
      <c r="P2288" s="150"/>
      <c r="Q2288" s="250"/>
      <c r="R2288" s="250"/>
      <c r="S2288" s="250">
        <v>2.5000000000000001E-2</v>
      </c>
      <c r="T2288" s="250">
        <v>7.9000000000000001E-2</v>
      </c>
      <c r="U2288" s="250">
        <v>8.5999999999999993E-2</v>
      </c>
      <c r="V2288" s="503">
        <v>0.14300000000000002</v>
      </c>
      <c r="W2288" s="503">
        <v>0.313</v>
      </c>
      <c r="X2288" s="503">
        <v>0.33399999999999996</v>
      </c>
      <c r="Y2288" s="503">
        <v>0.02</v>
      </c>
      <c r="Z2288" s="150">
        <v>10</v>
      </c>
      <c r="AA2288" s="223">
        <v>0.69085443803368296</v>
      </c>
      <c r="AB2288" s="152"/>
      <c r="AC2288" s="152"/>
      <c r="AD2288" s="223">
        <v>14.934710000000001</v>
      </c>
      <c r="AE2288" s="223">
        <v>0.81378930000000005</v>
      </c>
      <c r="AF2288" s="223">
        <v>12.169114</v>
      </c>
      <c r="AG2288" s="223">
        <v>1.3776508000000001</v>
      </c>
      <c r="AH2288" s="341"/>
      <c r="AI2288" s="218"/>
      <c r="AJ2288" s="218"/>
      <c r="AK2288" s="153"/>
      <c r="AL2288" s="152"/>
      <c r="AM2288" s="152"/>
      <c r="AN2288" s="152"/>
      <c r="AO2288" s="152"/>
      <c r="AP2288" s="152"/>
      <c r="AQ2288" s="152"/>
      <c r="AR2288" s="152"/>
      <c r="AS2288" s="152"/>
      <c r="AT2288" s="152"/>
      <c r="AU2288" s="153"/>
      <c r="AV2288" s="479"/>
      <c r="AW2288" s="479"/>
      <c r="AX2288" s="442"/>
      <c r="AY2288" s="153"/>
      <c r="AZ2288" s="152"/>
      <c r="BA2288" s="152"/>
      <c r="BB2288" s="152"/>
      <c r="BC2288" s="152"/>
      <c r="BD2288" s="152"/>
      <c r="BE2288" s="152"/>
      <c r="BF2288" s="152"/>
      <c r="BG2288" s="152"/>
      <c r="BH2288" s="152"/>
      <c r="BI2288" s="153"/>
      <c r="BJ2288" s="153"/>
      <c r="BK2288" s="153"/>
      <c r="BL2288" s="153"/>
      <c r="BM2288" s="153"/>
      <c r="BN2288" s="153"/>
      <c r="BO2288" s="153"/>
      <c r="BP2288" s="153"/>
      <c r="BQ2288" s="153"/>
      <c r="BR2288" s="153"/>
      <c r="BS2288" s="153"/>
      <c r="BT2288" s="153"/>
      <c r="BU2288" s="153"/>
      <c r="BV2288" s="153"/>
      <c r="BW2288" s="153"/>
      <c r="BX2288" s="153"/>
      <c r="BY2288" s="153"/>
      <c r="BZ2288" s="153"/>
      <c r="CA2288" s="152"/>
      <c r="CB2288" s="152"/>
    </row>
    <row r="2289" spans="1:80" s="87" customFormat="1" ht="16.5" x14ac:dyDescent="0.3">
      <c r="A2289" s="152"/>
      <c r="B2289" s="683"/>
      <c r="C2289" s="683"/>
      <c r="D2289" s="698"/>
      <c r="E2289" s="215"/>
      <c r="F2289" s="215"/>
      <c r="G2289" s="153"/>
      <c r="H2289" s="153"/>
      <c r="I2289" s="311">
        <v>22</v>
      </c>
      <c r="J2289" s="311">
        <v>60</v>
      </c>
      <c r="K2289" s="150">
        <v>1</v>
      </c>
      <c r="L2289" s="656">
        <v>22</v>
      </c>
      <c r="M2289" s="663">
        <v>34838</v>
      </c>
      <c r="N2289" s="600">
        <v>15.968532000000002</v>
      </c>
      <c r="O2289" s="604">
        <v>9.1944960000000001E-4</v>
      </c>
      <c r="P2289" s="150"/>
      <c r="Q2289" s="250"/>
      <c r="R2289" s="250"/>
      <c r="S2289" s="250"/>
      <c r="T2289" s="250"/>
      <c r="U2289" s="250">
        <v>7.4999999999999997E-2</v>
      </c>
      <c r="V2289" s="503">
        <v>0.20899999999999999</v>
      </c>
      <c r="W2289" s="503">
        <v>0.34299999999999997</v>
      </c>
      <c r="X2289" s="503">
        <v>0.35799999999999998</v>
      </c>
      <c r="Y2289" s="503">
        <v>1.4999999999999999E-2</v>
      </c>
      <c r="Z2289" s="150">
        <v>4</v>
      </c>
      <c r="AA2289" s="223">
        <v>0.6462939495706731</v>
      </c>
      <c r="AB2289" s="152"/>
      <c r="AC2289" s="152"/>
      <c r="AD2289" s="223">
        <v>14.934710000000001</v>
      </c>
      <c r="AE2289" s="223">
        <v>0.81378930000000005</v>
      </c>
      <c r="AF2289" s="223">
        <v>12.169114</v>
      </c>
      <c r="AG2289" s="223">
        <v>1.3776508000000001</v>
      </c>
      <c r="AH2289" s="341"/>
      <c r="AI2289" s="218"/>
      <c r="AJ2289" s="218"/>
      <c r="AK2289" s="153"/>
      <c r="AL2289" s="152"/>
      <c r="AM2289" s="152"/>
      <c r="AN2289" s="152"/>
      <c r="AO2289" s="152"/>
      <c r="AP2289" s="152"/>
      <c r="AQ2289" s="152"/>
      <c r="AR2289" s="152"/>
      <c r="AS2289" s="152"/>
      <c r="AT2289" s="152"/>
      <c r="AU2289" s="153"/>
      <c r="AV2289" s="479"/>
      <c r="AW2289" s="479"/>
      <c r="AX2289" s="442"/>
      <c r="AY2289" s="153"/>
      <c r="AZ2289" s="152"/>
      <c r="BA2289" s="152"/>
      <c r="BB2289" s="152"/>
      <c r="BC2289" s="152"/>
      <c r="BD2289" s="152"/>
      <c r="BE2289" s="152"/>
      <c r="BF2289" s="152"/>
      <c r="BG2289" s="152"/>
      <c r="BH2289" s="152"/>
      <c r="BI2289" s="153"/>
      <c r="BJ2289" s="153"/>
      <c r="BK2289" s="153"/>
      <c r="BL2289" s="153"/>
      <c r="BM2289" s="153"/>
      <c r="BN2289" s="153"/>
      <c r="BO2289" s="153"/>
      <c r="BP2289" s="153"/>
      <c r="BQ2289" s="153"/>
      <c r="BR2289" s="153"/>
      <c r="BS2289" s="153"/>
      <c r="BT2289" s="153"/>
      <c r="BU2289" s="153"/>
      <c r="BV2289" s="153"/>
      <c r="BW2289" s="153"/>
      <c r="BX2289" s="153"/>
      <c r="BY2289" s="153"/>
      <c r="BZ2289" s="153"/>
      <c r="CA2289" s="152"/>
      <c r="CB2289" s="152"/>
    </row>
    <row r="2290" spans="1:80" s="87" customFormat="1" ht="16.5" x14ac:dyDescent="0.3">
      <c r="A2290" s="152"/>
      <c r="B2290" s="683"/>
      <c r="C2290" s="683"/>
      <c r="D2290" s="698"/>
      <c r="E2290" s="215"/>
      <c r="F2290" s="215"/>
      <c r="G2290" s="153"/>
      <c r="H2290" s="153"/>
      <c r="I2290" s="311">
        <v>22</v>
      </c>
      <c r="J2290" s="311">
        <v>60</v>
      </c>
      <c r="K2290" s="150">
        <v>1</v>
      </c>
      <c r="L2290" s="656">
        <v>22</v>
      </c>
      <c r="M2290" s="663">
        <v>34842</v>
      </c>
      <c r="N2290" s="600">
        <v>16.534791999999999</v>
      </c>
      <c r="O2290" s="604">
        <v>7.0533120000000008E-3</v>
      </c>
      <c r="P2290" s="150"/>
      <c r="Q2290" s="250"/>
      <c r="R2290" s="250"/>
      <c r="S2290" s="250">
        <v>8.5000000000000006E-2</v>
      </c>
      <c r="T2290" s="250">
        <v>9.6999999999999989E-2</v>
      </c>
      <c r="U2290" s="250">
        <v>0.05</v>
      </c>
      <c r="V2290" s="503">
        <v>7.0000000000000007E-2</v>
      </c>
      <c r="W2290" s="503">
        <v>0.192</v>
      </c>
      <c r="X2290" s="503">
        <v>0.373</v>
      </c>
      <c r="Y2290" s="503">
        <v>0.13400000000000001</v>
      </c>
      <c r="Z2290" s="150">
        <v>12</v>
      </c>
      <c r="AA2290" s="223">
        <v>0.494456054135954</v>
      </c>
      <c r="AB2290" s="152"/>
      <c r="AC2290" s="152"/>
      <c r="AD2290" s="223">
        <v>14.934710000000001</v>
      </c>
      <c r="AE2290" s="223">
        <v>0.80159769999999997</v>
      </c>
      <c r="AF2290" s="223">
        <v>11.983326</v>
      </c>
      <c r="AG2290" s="223">
        <v>1.3715550000000001</v>
      </c>
      <c r="AH2290" s="341"/>
      <c r="AI2290" s="218"/>
      <c r="AJ2290" s="218"/>
      <c r="AK2290" s="153"/>
      <c r="AL2290" s="152"/>
      <c r="AM2290" s="152"/>
      <c r="AN2290" s="152"/>
      <c r="AO2290" s="152"/>
      <c r="AP2290" s="152"/>
      <c r="AQ2290" s="152"/>
      <c r="AR2290" s="152"/>
      <c r="AS2290" s="152"/>
      <c r="AT2290" s="152"/>
      <c r="AU2290" s="153"/>
      <c r="AV2290" s="479"/>
      <c r="AW2290" s="479"/>
      <c r="AX2290" s="442"/>
      <c r="AY2290" s="153"/>
      <c r="AZ2290" s="152"/>
      <c r="BA2290" s="152"/>
      <c r="BB2290" s="152"/>
      <c r="BC2290" s="152"/>
      <c r="BD2290" s="152"/>
      <c r="BE2290" s="152"/>
      <c r="BF2290" s="152"/>
      <c r="BG2290" s="152"/>
      <c r="BH2290" s="152"/>
      <c r="BI2290" s="153"/>
      <c r="BJ2290" s="153"/>
      <c r="BK2290" s="153"/>
      <c r="BL2290" s="153"/>
      <c r="BM2290" s="153"/>
      <c r="BN2290" s="153"/>
      <c r="BO2290" s="153"/>
      <c r="BP2290" s="153"/>
      <c r="BQ2290" s="153"/>
      <c r="BR2290" s="153"/>
      <c r="BS2290" s="153"/>
      <c r="BT2290" s="153"/>
      <c r="BU2290" s="153"/>
      <c r="BV2290" s="153"/>
      <c r="BW2290" s="153"/>
      <c r="BX2290" s="153"/>
      <c r="BY2290" s="153"/>
      <c r="BZ2290" s="153"/>
      <c r="CA2290" s="152"/>
      <c r="CB2290" s="152"/>
    </row>
    <row r="2291" spans="1:80" s="87" customFormat="1" ht="16.5" x14ac:dyDescent="0.3">
      <c r="A2291" s="152"/>
      <c r="B2291" s="683"/>
      <c r="C2291" s="683"/>
      <c r="D2291" s="698"/>
      <c r="E2291" s="215"/>
      <c r="F2291" s="215"/>
      <c r="G2291" s="153"/>
      <c r="H2291" s="153"/>
      <c r="I2291" s="311">
        <v>22</v>
      </c>
      <c r="J2291" s="311">
        <v>60</v>
      </c>
      <c r="K2291" s="150">
        <v>1</v>
      </c>
      <c r="L2291" s="656">
        <v>22</v>
      </c>
      <c r="M2291" s="663">
        <v>34842</v>
      </c>
      <c r="N2291" s="600">
        <v>16.393227</v>
      </c>
      <c r="O2291" s="604">
        <v>7.2737279999999993E-3</v>
      </c>
      <c r="P2291" s="150"/>
      <c r="Q2291" s="250"/>
      <c r="R2291" s="250"/>
      <c r="S2291" s="250"/>
      <c r="T2291" s="250">
        <v>5.9000000000000004E-2</v>
      </c>
      <c r="U2291" s="250">
        <v>5.2999999999999999E-2</v>
      </c>
      <c r="V2291" s="503">
        <v>0.09</v>
      </c>
      <c r="W2291" s="503">
        <v>0.214</v>
      </c>
      <c r="X2291" s="503">
        <v>0.40600000000000003</v>
      </c>
      <c r="Y2291" s="503">
        <v>0.17800000000000002</v>
      </c>
      <c r="Z2291" s="150">
        <v>6</v>
      </c>
      <c r="AA2291" s="223">
        <v>0.43319948960414523</v>
      </c>
      <c r="AB2291" s="152"/>
      <c r="AC2291" s="152"/>
      <c r="AD2291" s="223">
        <v>14.934710000000001</v>
      </c>
      <c r="AE2291" s="223">
        <v>0.80159769999999997</v>
      </c>
      <c r="AF2291" s="223">
        <v>11.983326</v>
      </c>
      <c r="AG2291" s="223">
        <v>1.3715550000000001</v>
      </c>
      <c r="AH2291" s="341"/>
      <c r="AI2291" s="218"/>
      <c r="AJ2291" s="218"/>
      <c r="AK2291" s="153"/>
      <c r="AL2291" s="152"/>
      <c r="AM2291" s="152"/>
      <c r="AN2291" s="152"/>
      <c r="AO2291" s="152"/>
      <c r="AP2291" s="152"/>
      <c r="AQ2291" s="152"/>
      <c r="AR2291" s="152"/>
      <c r="AS2291" s="152"/>
      <c r="AT2291" s="152"/>
      <c r="AU2291" s="153"/>
      <c r="AV2291" s="479"/>
      <c r="AW2291" s="479"/>
      <c r="AX2291" s="442"/>
      <c r="AY2291" s="153"/>
      <c r="AZ2291" s="152"/>
      <c r="BA2291" s="152"/>
      <c r="BB2291" s="152"/>
      <c r="BC2291" s="152"/>
      <c r="BD2291" s="152"/>
      <c r="BE2291" s="152"/>
      <c r="BF2291" s="152"/>
      <c r="BG2291" s="152"/>
      <c r="BH2291" s="152"/>
      <c r="BI2291" s="153"/>
      <c r="BJ2291" s="153"/>
      <c r="BK2291" s="153"/>
      <c r="BL2291" s="153"/>
      <c r="BM2291" s="153"/>
      <c r="BN2291" s="153"/>
      <c r="BO2291" s="153"/>
      <c r="BP2291" s="153"/>
      <c r="BQ2291" s="153"/>
      <c r="BR2291" s="153"/>
      <c r="BS2291" s="153"/>
      <c r="BT2291" s="153"/>
      <c r="BU2291" s="153"/>
      <c r="BV2291" s="153"/>
      <c r="BW2291" s="153"/>
      <c r="BX2291" s="153"/>
      <c r="BY2291" s="153"/>
      <c r="BZ2291" s="153"/>
      <c r="CA2291" s="152"/>
      <c r="CB2291" s="152"/>
    </row>
    <row r="2292" spans="1:80" s="87" customFormat="1" ht="16.5" x14ac:dyDescent="0.3">
      <c r="A2292" s="152"/>
      <c r="B2292" s="683"/>
      <c r="C2292" s="683"/>
      <c r="D2292" s="698"/>
      <c r="E2292" s="215"/>
      <c r="F2292" s="215"/>
      <c r="G2292" s="153"/>
      <c r="H2292" s="153"/>
      <c r="I2292" s="311">
        <v>22</v>
      </c>
      <c r="J2292" s="311">
        <v>60</v>
      </c>
      <c r="K2292" s="150">
        <v>1</v>
      </c>
      <c r="L2292" s="656">
        <v>22</v>
      </c>
      <c r="M2292" s="663">
        <v>34845</v>
      </c>
      <c r="N2292" s="600">
        <v>17.723938</v>
      </c>
      <c r="O2292" s="604">
        <v>1.5848959999999999E-2</v>
      </c>
      <c r="P2292" s="150"/>
      <c r="Q2292" s="250"/>
      <c r="R2292" s="250"/>
      <c r="S2292" s="250">
        <v>0.122</v>
      </c>
      <c r="T2292" s="250">
        <v>5.0999999999999997E-2</v>
      </c>
      <c r="U2292" s="250">
        <v>2.7999999999999997E-2</v>
      </c>
      <c r="V2292" s="503">
        <v>4.2999999999999997E-2</v>
      </c>
      <c r="W2292" s="503">
        <v>0.13400000000000001</v>
      </c>
      <c r="X2292" s="503">
        <v>0.38700000000000001</v>
      </c>
      <c r="Y2292" s="503">
        <v>0.23400000000000001</v>
      </c>
      <c r="Z2292" s="150">
        <v>15</v>
      </c>
      <c r="AA2292" s="223">
        <v>0.40185711259834622</v>
      </c>
      <c r="AB2292" s="152"/>
      <c r="AC2292" s="152"/>
      <c r="AD2292" s="223">
        <v>14.934710000000001</v>
      </c>
      <c r="AE2292" s="223">
        <v>0.90217840000000005</v>
      </c>
      <c r="AF2292" s="223">
        <v>13.46963</v>
      </c>
      <c r="AG2292" s="223">
        <v>1.2709743</v>
      </c>
      <c r="AH2292" s="341"/>
      <c r="AI2292" s="218"/>
      <c r="AJ2292" s="218"/>
      <c r="AK2292" s="153"/>
      <c r="AL2292" s="152"/>
      <c r="AM2292" s="152"/>
      <c r="AN2292" s="152"/>
      <c r="AO2292" s="152"/>
      <c r="AP2292" s="152"/>
      <c r="AQ2292" s="152"/>
      <c r="AR2292" s="152"/>
      <c r="AS2292" s="152"/>
      <c r="AT2292" s="152"/>
      <c r="AU2292" s="153"/>
      <c r="AV2292" s="479"/>
      <c r="AW2292" s="479"/>
      <c r="AX2292" s="442"/>
      <c r="AY2292" s="153"/>
      <c r="AZ2292" s="152"/>
      <c r="BA2292" s="152"/>
      <c r="BB2292" s="152"/>
      <c r="BC2292" s="152"/>
      <c r="BD2292" s="152"/>
      <c r="BE2292" s="152"/>
      <c r="BF2292" s="152"/>
      <c r="BG2292" s="152"/>
      <c r="BH2292" s="152"/>
      <c r="BI2292" s="153"/>
      <c r="BJ2292" s="153"/>
      <c r="BK2292" s="153"/>
      <c r="BL2292" s="153"/>
      <c r="BM2292" s="153"/>
      <c r="BN2292" s="153"/>
      <c r="BO2292" s="153"/>
      <c r="BP2292" s="153"/>
      <c r="BQ2292" s="153"/>
      <c r="BR2292" s="153"/>
      <c r="BS2292" s="153"/>
      <c r="BT2292" s="153"/>
      <c r="BU2292" s="153"/>
      <c r="BV2292" s="153"/>
      <c r="BW2292" s="153"/>
      <c r="BX2292" s="153"/>
      <c r="BY2292" s="153"/>
      <c r="BZ2292" s="153"/>
      <c r="CA2292" s="152"/>
      <c r="CB2292" s="152"/>
    </row>
    <row r="2293" spans="1:80" s="87" customFormat="1" ht="16.5" x14ac:dyDescent="0.3">
      <c r="A2293" s="152"/>
      <c r="B2293" s="683"/>
      <c r="C2293" s="683"/>
      <c r="D2293" s="698"/>
      <c r="E2293" s="215"/>
      <c r="F2293" s="215"/>
      <c r="G2293" s="153"/>
      <c r="H2293" s="153"/>
      <c r="I2293" s="311">
        <v>22</v>
      </c>
      <c r="J2293" s="311">
        <v>60</v>
      </c>
      <c r="K2293" s="150">
        <v>1</v>
      </c>
      <c r="L2293" s="656">
        <v>22</v>
      </c>
      <c r="M2293" s="663">
        <v>34845</v>
      </c>
      <c r="N2293" s="600">
        <v>17.582373</v>
      </c>
      <c r="O2293" s="604">
        <v>1.595392E-2</v>
      </c>
      <c r="P2293" s="150"/>
      <c r="Q2293" s="250">
        <v>0.28999999999999998</v>
      </c>
      <c r="R2293" s="250">
        <v>4.7E-2</v>
      </c>
      <c r="S2293" s="250">
        <v>6.7000000000000004E-2</v>
      </c>
      <c r="T2293" s="250">
        <v>1.8000000000000002E-2</v>
      </c>
      <c r="U2293" s="250">
        <v>2.8999999999999998E-2</v>
      </c>
      <c r="V2293" s="503">
        <v>0.113</v>
      </c>
      <c r="W2293" s="503">
        <v>0.33100000000000002</v>
      </c>
      <c r="X2293" s="503">
        <v>0</v>
      </c>
      <c r="Y2293" s="503">
        <v>0.106</v>
      </c>
      <c r="Z2293" s="150">
        <v>21</v>
      </c>
      <c r="AA2293" s="223">
        <v>1.480794745901836</v>
      </c>
      <c r="AB2293" s="152"/>
      <c r="AC2293" s="152"/>
      <c r="AD2293" s="223">
        <v>14.934710000000001</v>
      </c>
      <c r="AE2293" s="223">
        <v>0.90217840000000005</v>
      </c>
      <c r="AF2293" s="223">
        <v>13.46963</v>
      </c>
      <c r="AG2293" s="223">
        <v>1.2709743</v>
      </c>
      <c r="AH2293" s="341"/>
      <c r="AI2293" s="218"/>
      <c r="AJ2293" s="218"/>
      <c r="AK2293" s="153"/>
      <c r="AL2293" s="152"/>
      <c r="AM2293" s="152"/>
      <c r="AN2293" s="152"/>
      <c r="AO2293" s="152"/>
      <c r="AP2293" s="152"/>
      <c r="AQ2293" s="152"/>
      <c r="AR2293" s="152"/>
      <c r="AS2293" s="152"/>
      <c r="AT2293" s="152"/>
      <c r="AU2293" s="153"/>
      <c r="AV2293" s="479"/>
      <c r="AW2293" s="479"/>
      <c r="AX2293" s="442"/>
      <c r="AY2293" s="153"/>
      <c r="AZ2293" s="152"/>
      <c r="BA2293" s="152"/>
      <c r="BB2293" s="152"/>
      <c r="BC2293" s="152"/>
      <c r="BD2293" s="152"/>
      <c r="BE2293" s="152"/>
      <c r="BF2293" s="152"/>
      <c r="BG2293" s="152"/>
      <c r="BH2293" s="152"/>
      <c r="BI2293" s="153"/>
      <c r="BJ2293" s="153"/>
      <c r="BK2293" s="153"/>
      <c r="BL2293" s="153"/>
      <c r="BM2293" s="153"/>
      <c r="BN2293" s="153"/>
      <c r="BO2293" s="153"/>
      <c r="BP2293" s="153"/>
      <c r="BQ2293" s="153"/>
      <c r="BR2293" s="153"/>
      <c r="BS2293" s="153"/>
      <c r="BT2293" s="153"/>
      <c r="BU2293" s="153"/>
      <c r="BV2293" s="153"/>
      <c r="BW2293" s="153"/>
      <c r="BX2293" s="153"/>
      <c r="BY2293" s="153"/>
      <c r="BZ2293" s="153"/>
      <c r="CA2293" s="152"/>
      <c r="CB2293" s="152"/>
    </row>
    <row r="2294" spans="1:80" s="87" customFormat="1" ht="16.5" x14ac:dyDescent="0.3">
      <c r="A2294" s="152"/>
      <c r="B2294" s="683"/>
      <c r="C2294" s="683"/>
      <c r="D2294" s="698"/>
      <c r="E2294" s="215"/>
      <c r="F2294" s="215"/>
      <c r="G2294" s="153"/>
      <c r="H2294" s="153"/>
      <c r="I2294" s="311">
        <v>22</v>
      </c>
      <c r="J2294" s="311">
        <v>60</v>
      </c>
      <c r="K2294" s="150">
        <v>1</v>
      </c>
      <c r="L2294" s="656">
        <v>22</v>
      </c>
      <c r="M2294" s="663">
        <v>34850</v>
      </c>
      <c r="N2294" s="600">
        <v>18.035381000000001</v>
      </c>
      <c r="O2294" s="604">
        <v>5.227008E-3</v>
      </c>
      <c r="P2294" s="150"/>
      <c r="Q2294" s="250"/>
      <c r="R2294" s="250"/>
      <c r="S2294" s="250">
        <v>2.3E-2</v>
      </c>
      <c r="T2294" s="250">
        <v>0.1048</v>
      </c>
      <c r="U2294" s="250">
        <v>5.1900000000000002E-2</v>
      </c>
      <c r="V2294" s="503">
        <v>0.19361277445109779</v>
      </c>
      <c r="W2294" s="503">
        <v>0.30938123752495006</v>
      </c>
      <c r="X2294" s="503">
        <v>0.30439121756487025</v>
      </c>
      <c r="Y2294" s="503">
        <v>1.2974051896207586E-2</v>
      </c>
      <c r="Z2294" s="150">
        <v>9</v>
      </c>
      <c r="AA2294" s="223">
        <v>0.75447677025050286</v>
      </c>
      <c r="AB2294" s="152"/>
      <c r="AC2294" s="152"/>
      <c r="AD2294" s="223">
        <v>15.087104999999999</v>
      </c>
      <c r="AE2294" s="223">
        <v>0.81378930000000005</v>
      </c>
      <c r="AF2294" s="223">
        <v>12.2666527</v>
      </c>
      <c r="AG2294" s="223">
        <v>1.5178541999999999</v>
      </c>
      <c r="AH2294" s="341"/>
      <c r="AI2294" s="218"/>
      <c r="AJ2294" s="218"/>
      <c r="AK2294" s="153"/>
      <c r="AL2294" s="152"/>
      <c r="AM2294" s="152"/>
      <c r="AN2294" s="152"/>
      <c r="AO2294" s="152"/>
      <c r="AP2294" s="152"/>
      <c r="AQ2294" s="152"/>
      <c r="AR2294" s="152"/>
      <c r="AS2294" s="152"/>
      <c r="AT2294" s="152"/>
      <c r="AU2294" s="153"/>
      <c r="AV2294" s="479"/>
      <c r="AW2294" s="479"/>
      <c r="AX2294" s="442"/>
      <c r="AY2294" s="153"/>
      <c r="AZ2294" s="152"/>
      <c r="BA2294" s="152"/>
      <c r="BB2294" s="152"/>
      <c r="BC2294" s="152"/>
      <c r="BD2294" s="152"/>
      <c r="BE2294" s="152"/>
      <c r="BF2294" s="152"/>
      <c r="BG2294" s="152"/>
      <c r="BH2294" s="152"/>
      <c r="BI2294" s="153"/>
      <c r="BJ2294" s="153"/>
      <c r="BK2294" s="153"/>
      <c r="BL2294" s="153"/>
      <c r="BM2294" s="153"/>
      <c r="BN2294" s="153"/>
      <c r="BO2294" s="153"/>
      <c r="BP2294" s="153"/>
      <c r="BQ2294" s="153"/>
      <c r="BR2294" s="153"/>
      <c r="BS2294" s="153"/>
      <c r="BT2294" s="153"/>
      <c r="BU2294" s="153"/>
      <c r="BV2294" s="153"/>
      <c r="BW2294" s="153"/>
      <c r="BX2294" s="153"/>
      <c r="BY2294" s="153"/>
      <c r="BZ2294" s="153"/>
      <c r="CA2294" s="152"/>
      <c r="CB2294" s="152"/>
    </row>
    <row r="2295" spans="1:80" s="87" customFormat="1" ht="16.5" x14ac:dyDescent="0.3">
      <c r="A2295" s="152"/>
      <c r="B2295" s="683"/>
      <c r="C2295" s="683"/>
      <c r="D2295" s="698"/>
      <c r="E2295" s="215"/>
      <c r="F2295" s="215"/>
      <c r="G2295" s="153"/>
      <c r="H2295" s="153"/>
      <c r="I2295" s="311">
        <v>22</v>
      </c>
      <c r="J2295" s="311">
        <v>60</v>
      </c>
      <c r="K2295" s="150">
        <v>1</v>
      </c>
      <c r="L2295" s="656">
        <v>22</v>
      </c>
      <c r="M2295" s="663">
        <v>34850</v>
      </c>
      <c r="N2295" s="600">
        <v>17.865503</v>
      </c>
      <c r="O2295" s="604">
        <v>3.705088E-3</v>
      </c>
      <c r="P2295" s="150"/>
      <c r="Q2295" s="250"/>
      <c r="R2295" s="250"/>
      <c r="S2295" s="250"/>
      <c r="T2295" s="250">
        <v>6.9999999999999993E-3</v>
      </c>
      <c r="U2295" s="250">
        <v>4.4000000000000004E-2</v>
      </c>
      <c r="V2295" s="503">
        <v>0.23</v>
      </c>
      <c r="W2295" s="503">
        <v>0.37</v>
      </c>
      <c r="X2295" s="503">
        <v>0.33299999999999996</v>
      </c>
      <c r="Y2295" s="503">
        <v>1.4999999999999999E-2</v>
      </c>
      <c r="Z2295" s="150">
        <v>5</v>
      </c>
      <c r="AA2295" s="223">
        <v>0.66347228561900529</v>
      </c>
      <c r="AB2295" s="152"/>
      <c r="AC2295" s="152"/>
      <c r="AD2295" s="223">
        <v>15.087104999999999</v>
      </c>
      <c r="AE2295" s="223">
        <v>0.81378930000000005</v>
      </c>
      <c r="AF2295" s="223">
        <v>12.2666527</v>
      </c>
      <c r="AG2295" s="223">
        <v>1.5178541999999999</v>
      </c>
      <c r="AH2295" s="341"/>
      <c r="AI2295" s="218"/>
      <c r="AJ2295" s="218"/>
      <c r="AK2295" s="153"/>
      <c r="AL2295" s="152"/>
      <c r="AM2295" s="152"/>
      <c r="AN2295" s="152"/>
      <c r="AO2295" s="152"/>
      <c r="AP2295" s="152"/>
      <c r="AQ2295" s="152"/>
      <c r="AR2295" s="152"/>
      <c r="AS2295" s="152"/>
      <c r="AT2295" s="152"/>
      <c r="AU2295" s="153"/>
      <c r="AV2295" s="479"/>
      <c r="AW2295" s="479"/>
      <c r="AX2295" s="442"/>
      <c r="AY2295" s="153"/>
      <c r="AZ2295" s="152"/>
      <c r="BA2295" s="152"/>
      <c r="BB2295" s="152"/>
      <c r="BC2295" s="152"/>
      <c r="BD2295" s="152"/>
      <c r="BE2295" s="152"/>
      <c r="BF2295" s="152"/>
      <c r="BG2295" s="152"/>
      <c r="BH2295" s="152"/>
      <c r="BI2295" s="153"/>
      <c r="BJ2295" s="153"/>
      <c r="BK2295" s="153"/>
      <c r="BL2295" s="153"/>
      <c r="BM2295" s="153"/>
      <c r="BN2295" s="153"/>
      <c r="BO2295" s="153"/>
      <c r="BP2295" s="153"/>
      <c r="BQ2295" s="153"/>
      <c r="BR2295" s="153"/>
      <c r="BS2295" s="153"/>
      <c r="BT2295" s="153"/>
      <c r="BU2295" s="153"/>
      <c r="BV2295" s="153"/>
      <c r="BW2295" s="153"/>
      <c r="BX2295" s="153"/>
      <c r="BY2295" s="153"/>
      <c r="BZ2295" s="153"/>
      <c r="CA2295" s="152"/>
      <c r="CB2295" s="152"/>
    </row>
    <row r="2296" spans="1:80" s="87" customFormat="1" ht="16.5" x14ac:dyDescent="0.3">
      <c r="A2296" s="152"/>
      <c r="B2296" s="683"/>
      <c r="C2296" s="683"/>
      <c r="D2296" s="698"/>
      <c r="E2296" s="215"/>
      <c r="F2296" s="215"/>
      <c r="G2296" s="153"/>
      <c r="H2296" s="153"/>
      <c r="I2296" s="311">
        <v>21</v>
      </c>
      <c r="J2296" s="311">
        <v>60</v>
      </c>
      <c r="K2296" s="150">
        <v>1</v>
      </c>
      <c r="L2296" s="656">
        <v>21</v>
      </c>
      <c r="M2296" s="663">
        <v>34857</v>
      </c>
      <c r="N2296" s="600">
        <v>19.592596</v>
      </c>
      <c r="O2296" s="604">
        <v>5.2375040000000005E-3</v>
      </c>
      <c r="P2296" s="150"/>
      <c r="Q2296" s="250"/>
      <c r="R2296" s="250"/>
      <c r="S2296" s="250"/>
      <c r="T2296" s="250">
        <v>4.4999999999999998E-2</v>
      </c>
      <c r="U2296" s="250">
        <v>7.0999999999999994E-2</v>
      </c>
      <c r="V2296" s="503">
        <v>0.28199999999999997</v>
      </c>
      <c r="W2296" s="503">
        <v>0.318</v>
      </c>
      <c r="X2296" s="503">
        <v>0.26200000000000001</v>
      </c>
      <c r="Y2296" s="503">
        <v>2.3E-2</v>
      </c>
      <c r="Z2296" s="150">
        <v>7</v>
      </c>
      <c r="AA2296" s="223">
        <v>0.80065092353980016</v>
      </c>
      <c r="AB2296" s="152"/>
      <c r="AC2296" s="152"/>
      <c r="AD2296" s="223">
        <v>14.934710000000001</v>
      </c>
      <c r="AE2296" s="223">
        <v>0.85950780000000004</v>
      </c>
      <c r="AF2296" s="223">
        <v>12.819372</v>
      </c>
      <c r="AG2296" s="223">
        <v>1.4477525</v>
      </c>
      <c r="AH2296" s="341"/>
      <c r="AI2296" s="218"/>
      <c r="AJ2296" s="218"/>
      <c r="AK2296" s="153"/>
      <c r="AL2296" s="152"/>
      <c r="AM2296" s="152"/>
      <c r="AN2296" s="152"/>
      <c r="AO2296" s="152"/>
      <c r="AP2296" s="152"/>
      <c r="AQ2296" s="152"/>
      <c r="AR2296" s="152"/>
      <c r="AS2296" s="152"/>
      <c r="AT2296" s="152"/>
      <c r="AU2296" s="153"/>
      <c r="AV2296" s="479"/>
      <c r="AW2296" s="479"/>
      <c r="AX2296" s="442"/>
      <c r="AY2296" s="153"/>
      <c r="AZ2296" s="152"/>
      <c r="BA2296" s="152"/>
      <c r="BB2296" s="152"/>
      <c r="BC2296" s="152"/>
      <c r="BD2296" s="152"/>
      <c r="BE2296" s="152"/>
      <c r="BF2296" s="152"/>
      <c r="BG2296" s="152"/>
      <c r="BH2296" s="152"/>
      <c r="BI2296" s="153"/>
      <c r="BJ2296" s="153"/>
      <c r="BK2296" s="153"/>
      <c r="BL2296" s="153"/>
      <c r="BM2296" s="153"/>
      <c r="BN2296" s="153"/>
      <c r="BO2296" s="153"/>
      <c r="BP2296" s="153"/>
      <c r="BQ2296" s="153"/>
      <c r="BR2296" s="153"/>
      <c r="BS2296" s="153"/>
      <c r="BT2296" s="153"/>
      <c r="BU2296" s="153"/>
      <c r="BV2296" s="153"/>
      <c r="BW2296" s="153"/>
      <c r="BX2296" s="153"/>
      <c r="BY2296" s="153"/>
      <c r="BZ2296" s="153"/>
      <c r="CA2296" s="152"/>
      <c r="CB2296" s="152"/>
    </row>
    <row r="2297" spans="1:80" s="87" customFormat="1" ht="16.5" x14ac:dyDescent="0.3">
      <c r="A2297" s="152"/>
      <c r="B2297" s="683"/>
      <c r="C2297" s="683"/>
      <c r="D2297" s="698"/>
      <c r="E2297" s="215"/>
      <c r="F2297" s="215"/>
      <c r="G2297" s="153"/>
      <c r="H2297" s="153"/>
      <c r="I2297" s="311">
        <v>21</v>
      </c>
      <c r="J2297" s="311">
        <v>60</v>
      </c>
      <c r="K2297" s="150">
        <v>1</v>
      </c>
      <c r="L2297" s="656">
        <v>21</v>
      </c>
      <c r="M2297" s="663">
        <v>34857</v>
      </c>
      <c r="N2297" s="600">
        <v>19.762474000000001</v>
      </c>
      <c r="O2297" s="604">
        <v>1.3224960000000001E-2</v>
      </c>
      <c r="P2297" s="150"/>
      <c r="Q2297" s="250"/>
      <c r="R2297" s="250"/>
      <c r="S2297" s="250">
        <v>3.3000000000000002E-2</v>
      </c>
      <c r="T2297" s="250">
        <v>1.2E-2</v>
      </c>
      <c r="U2297" s="250">
        <v>7.2999999999999995E-2</v>
      </c>
      <c r="V2297" s="503">
        <v>0.28899999999999998</v>
      </c>
      <c r="W2297" s="503">
        <v>0.373</v>
      </c>
      <c r="X2297" s="503">
        <v>0.20399999999999999</v>
      </c>
      <c r="Y2297" s="503">
        <v>1.6E-2</v>
      </c>
      <c r="Z2297" s="150">
        <v>12</v>
      </c>
      <c r="AA2297" s="223">
        <v>0.84128716618725619</v>
      </c>
      <c r="AB2297" s="152"/>
      <c r="AC2297" s="152"/>
      <c r="AD2297" s="223">
        <v>14.934710000000001</v>
      </c>
      <c r="AE2297" s="223">
        <v>0.85950780000000004</v>
      </c>
      <c r="AF2297" s="223">
        <v>12.819372</v>
      </c>
      <c r="AG2297" s="223">
        <v>1.4477525</v>
      </c>
      <c r="AH2297" s="341"/>
      <c r="AI2297" s="218"/>
      <c r="AJ2297" s="218"/>
      <c r="AK2297" s="153"/>
      <c r="AL2297" s="152"/>
      <c r="AM2297" s="152"/>
      <c r="AN2297" s="152"/>
      <c r="AO2297" s="152"/>
      <c r="AP2297" s="152"/>
      <c r="AQ2297" s="152"/>
      <c r="AR2297" s="152"/>
      <c r="AS2297" s="152"/>
      <c r="AT2297" s="152"/>
      <c r="AU2297" s="153"/>
      <c r="AV2297" s="479"/>
      <c r="AW2297" s="479"/>
      <c r="AX2297" s="442"/>
      <c r="AY2297" s="153"/>
      <c r="AZ2297" s="152"/>
      <c r="BA2297" s="152"/>
      <c r="BB2297" s="152"/>
      <c r="BC2297" s="152"/>
      <c r="BD2297" s="152"/>
      <c r="BE2297" s="152"/>
      <c r="BF2297" s="152"/>
      <c r="BG2297" s="152"/>
      <c r="BH2297" s="152"/>
      <c r="BI2297" s="153"/>
      <c r="BJ2297" s="153"/>
      <c r="BK2297" s="153"/>
      <c r="BL2297" s="153"/>
      <c r="BM2297" s="153"/>
      <c r="BN2297" s="153"/>
      <c r="BO2297" s="153"/>
      <c r="BP2297" s="153"/>
      <c r="BQ2297" s="153"/>
      <c r="BR2297" s="153"/>
      <c r="BS2297" s="153"/>
      <c r="BT2297" s="153"/>
      <c r="BU2297" s="153"/>
      <c r="BV2297" s="153"/>
      <c r="BW2297" s="153"/>
      <c r="BX2297" s="153"/>
      <c r="BY2297" s="153"/>
      <c r="BZ2297" s="153"/>
      <c r="CA2297" s="152"/>
      <c r="CB2297" s="152"/>
    </row>
    <row r="2298" spans="1:80" s="87" customFormat="1" ht="16.5" x14ac:dyDescent="0.3">
      <c r="A2298" s="152"/>
      <c r="B2298" s="683"/>
      <c r="C2298" s="683"/>
      <c r="D2298" s="698"/>
      <c r="E2298" s="215"/>
      <c r="F2298" s="215"/>
      <c r="G2298" s="153"/>
      <c r="H2298" s="153"/>
      <c r="I2298" s="311">
        <v>20</v>
      </c>
      <c r="J2298" s="311">
        <v>60</v>
      </c>
      <c r="K2298" s="150">
        <v>1</v>
      </c>
      <c r="L2298" s="656">
        <v>20</v>
      </c>
      <c r="M2298" s="663">
        <v>34859</v>
      </c>
      <c r="N2298" s="600">
        <v>15.119142</v>
      </c>
      <c r="O2298" s="604">
        <v>1.343488E-2</v>
      </c>
      <c r="P2298" s="150"/>
      <c r="Q2298" s="250"/>
      <c r="R2298" s="250"/>
      <c r="S2298" s="250">
        <v>6.3E-2</v>
      </c>
      <c r="T2298" s="250">
        <v>6.2E-2</v>
      </c>
      <c r="U2298" s="250">
        <v>8.199999999999999E-2</v>
      </c>
      <c r="V2298" s="503">
        <v>0.13100000000000001</v>
      </c>
      <c r="W2298" s="503">
        <v>0.33899999999999997</v>
      </c>
      <c r="X2298" s="503">
        <v>0.30299999999999999</v>
      </c>
      <c r="Y2298" s="503">
        <v>2.1000000000000001E-2</v>
      </c>
      <c r="Z2298" s="150">
        <v>13</v>
      </c>
      <c r="AA2298" s="223">
        <v>0.71803391500546343</v>
      </c>
      <c r="AB2298" s="152"/>
      <c r="AC2298" s="152"/>
      <c r="AD2298" s="223">
        <v>14.934710000000001</v>
      </c>
      <c r="AE2298" s="223">
        <v>0.77721450000000003</v>
      </c>
      <c r="AF2298" s="223">
        <v>11.611750000000001</v>
      </c>
      <c r="AG2298" s="223">
        <v>1.3410759999999999</v>
      </c>
      <c r="AH2298" s="341"/>
      <c r="AI2298" s="218"/>
      <c r="AJ2298" s="218"/>
      <c r="AK2298" s="153"/>
      <c r="AL2298" s="152"/>
      <c r="AM2298" s="152"/>
      <c r="AN2298" s="152"/>
      <c r="AO2298" s="152"/>
      <c r="AP2298" s="152"/>
      <c r="AQ2298" s="152"/>
      <c r="AR2298" s="152"/>
      <c r="AS2298" s="152"/>
      <c r="AT2298" s="152"/>
      <c r="AU2298" s="153"/>
      <c r="AV2298" s="479"/>
      <c r="AW2298" s="479"/>
      <c r="AX2298" s="442"/>
      <c r="AY2298" s="153"/>
      <c r="AZ2298" s="152"/>
      <c r="BA2298" s="152"/>
      <c r="BB2298" s="152"/>
      <c r="BC2298" s="152"/>
      <c r="BD2298" s="152"/>
      <c r="BE2298" s="152"/>
      <c r="BF2298" s="152"/>
      <c r="BG2298" s="152"/>
      <c r="BH2298" s="152"/>
      <c r="BI2298" s="153"/>
      <c r="BJ2298" s="153"/>
      <c r="BK2298" s="153"/>
      <c r="BL2298" s="153"/>
      <c r="BM2298" s="153"/>
      <c r="BN2298" s="153"/>
      <c r="BO2298" s="153"/>
      <c r="BP2298" s="153"/>
      <c r="BQ2298" s="153"/>
      <c r="BR2298" s="153"/>
      <c r="BS2298" s="153"/>
      <c r="BT2298" s="153"/>
      <c r="BU2298" s="153"/>
      <c r="BV2298" s="153"/>
      <c r="BW2298" s="153"/>
      <c r="BX2298" s="153"/>
      <c r="BY2298" s="153"/>
      <c r="BZ2298" s="153"/>
      <c r="CA2298" s="152"/>
      <c r="CB2298" s="152"/>
    </row>
    <row r="2299" spans="1:80" s="87" customFormat="1" ht="16.5" x14ac:dyDescent="0.3">
      <c r="A2299" s="152"/>
      <c r="B2299" s="683"/>
      <c r="C2299" s="683"/>
      <c r="D2299" s="698"/>
      <c r="E2299" s="215"/>
      <c r="F2299" s="215"/>
      <c r="G2299" s="153"/>
      <c r="H2299" s="153"/>
      <c r="I2299" s="311">
        <v>20</v>
      </c>
      <c r="J2299" s="311">
        <v>60</v>
      </c>
      <c r="K2299" s="150">
        <v>1</v>
      </c>
      <c r="L2299" s="656">
        <v>20</v>
      </c>
      <c r="M2299" s="663">
        <v>34859</v>
      </c>
      <c r="N2299" s="600">
        <v>14.977577</v>
      </c>
      <c r="O2299" s="604">
        <v>4.0724480000000002E-3</v>
      </c>
      <c r="P2299" s="150"/>
      <c r="Q2299" s="250"/>
      <c r="R2299" s="250">
        <v>0.28199999999999997</v>
      </c>
      <c r="S2299" s="250">
        <v>0</v>
      </c>
      <c r="T2299" s="250">
        <v>2.3E-2</v>
      </c>
      <c r="U2299" s="250">
        <v>7.6999999999999999E-2</v>
      </c>
      <c r="V2299" s="503">
        <v>0.13200000000000001</v>
      </c>
      <c r="W2299" s="503">
        <v>0.221</v>
      </c>
      <c r="X2299" s="503">
        <v>0.247</v>
      </c>
      <c r="Y2299" s="503">
        <v>1.9E-2</v>
      </c>
      <c r="Z2299" s="150">
        <v>19</v>
      </c>
      <c r="AA2299" s="223">
        <v>1.0762853374187971</v>
      </c>
      <c r="AB2299" s="152"/>
      <c r="AC2299" s="152"/>
      <c r="AD2299" s="223">
        <v>14.934710000000001</v>
      </c>
      <c r="AE2299" s="223">
        <v>0.77721450000000003</v>
      </c>
      <c r="AF2299" s="223">
        <v>11.611750000000001</v>
      </c>
      <c r="AG2299" s="223">
        <v>1.3410759999999999</v>
      </c>
      <c r="AH2299" s="341"/>
      <c r="AI2299" s="218"/>
      <c r="AJ2299" s="218"/>
      <c r="AK2299" s="153"/>
      <c r="AL2299" s="152"/>
      <c r="AM2299" s="152"/>
      <c r="AN2299" s="152"/>
      <c r="AO2299" s="152"/>
      <c r="AP2299" s="152"/>
      <c r="AQ2299" s="152"/>
      <c r="AR2299" s="152"/>
      <c r="AS2299" s="152"/>
      <c r="AT2299" s="152"/>
      <c r="AU2299" s="153"/>
      <c r="AV2299" s="479"/>
      <c r="AW2299" s="479"/>
      <c r="AX2299" s="442"/>
      <c r="AY2299" s="153"/>
      <c r="AZ2299" s="152"/>
      <c r="BA2299" s="152"/>
      <c r="BB2299" s="152"/>
      <c r="BC2299" s="152"/>
      <c r="BD2299" s="152"/>
      <c r="BE2299" s="152"/>
      <c r="BF2299" s="152"/>
      <c r="BG2299" s="152"/>
      <c r="BH2299" s="152"/>
      <c r="BI2299" s="153"/>
      <c r="BJ2299" s="153"/>
      <c r="BK2299" s="153"/>
      <c r="BL2299" s="153"/>
      <c r="BM2299" s="153"/>
      <c r="BN2299" s="153"/>
      <c r="BO2299" s="153"/>
      <c r="BP2299" s="153"/>
      <c r="BQ2299" s="153"/>
      <c r="BR2299" s="153"/>
      <c r="BS2299" s="153"/>
      <c r="BT2299" s="153"/>
      <c r="BU2299" s="153"/>
      <c r="BV2299" s="153"/>
      <c r="BW2299" s="153"/>
      <c r="BX2299" s="153"/>
      <c r="BY2299" s="153"/>
      <c r="BZ2299" s="153"/>
      <c r="CA2299" s="152"/>
      <c r="CB2299" s="152"/>
    </row>
    <row r="2300" spans="1:80" s="87" customFormat="1" ht="16.5" x14ac:dyDescent="0.3">
      <c r="A2300" s="152"/>
      <c r="B2300" s="683"/>
      <c r="C2300" s="683"/>
      <c r="D2300" s="698"/>
      <c r="E2300" s="215"/>
      <c r="F2300" s="215"/>
      <c r="G2300" s="153"/>
      <c r="H2300" s="153"/>
      <c r="I2300" s="311">
        <v>19</v>
      </c>
      <c r="J2300" s="311">
        <v>60</v>
      </c>
      <c r="K2300" s="150">
        <v>1</v>
      </c>
      <c r="L2300" s="656">
        <v>19</v>
      </c>
      <c r="M2300" s="663">
        <v>34865</v>
      </c>
      <c r="N2300" s="600">
        <v>16.110097</v>
      </c>
      <c r="O2300" s="604">
        <v>1.1230720000000001E-2</v>
      </c>
      <c r="P2300" s="150"/>
      <c r="Q2300" s="250"/>
      <c r="R2300" s="250"/>
      <c r="S2300" s="250"/>
      <c r="T2300" s="250">
        <v>1.6E-2</v>
      </c>
      <c r="U2300" s="250">
        <v>3.5000000000000003E-2</v>
      </c>
      <c r="V2300" s="503">
        <v>0.20199999999999999</v>
      </c>
      <c r="W2300" s="503">
        <v>0.496</v>
      </c>
      <c r="X2300" s="503">
        <v>0.23600000000000002</v>
      </c>
      <c r="Y2300" s="503">
        <v>1.4999999999999999E-2</v>
      </c>
      <c r="Z2300" s="150">
        <v>8</v>
      </c>
      <c r="AA2300" s="223">
        <v>0.708095635425815</v>
      </c>
      <c r="AB2300" s="152"/>
      <c r="AC2300" s="152"/>
      <c r="AD2300" s="223">
        <v>14.934710000000001</v>
      </c>
      <c r="AE2300" s="223">
        <v>0.80159769999999997</v>
      </c>
      <c r="AF2300" s="223">
        <v>11.983326</v>
      </c>
      <c r="AG2300" s="223">
        <v>1.3441239</v>
      </c>
      <c r="AH2300" s="341"/>
      <c r="AI2300" s="218"/>
      <c r="AJ2300" s="218"/>
      <c r="AK2300" s="153"/>
      <c r="AL2300" s="152"/>
      <c r="AM2300" s="152"/>
      <c r="AN2300" s="152"/>
      <c r="AO2300" s="152"/>
      <c r="AP2300" s="152"/>
      <c r="AQ2300" s="152"/>
      <c r="AR2300" s="152"/>
      <c r="AS2300" s="152"/>
      <c r="AT2300" s="152"/>
      <c r="AU2300" s="153"/>
      <c r="AV2300" s="479"/>
      <c r="AW2300" s="479"/>
      <c r="AX2300" s="442"/>
      <c r="AY2300" s="153"/>
      <c r="AZ2300" s="152"/>
      <c r="BA2300" s="152"/>
      <c r="BB2300" s="152"/>
      <c r="BC2300" s="152"/>
      <c r="BD2300" s="152"/>
      <c r="BE2300" s="152"/>
      <c r="BF2300" s="152"/>
      <c r="BG2300" s="152"/>
      <c r="BH2300" s="152"/>
      <c r="BI2300" s="153"/>
      <c r="BJ2300" s="153"/>
      <c r="BK2300" s="153"/>
      <c r="BL2300" s="153"/>
      <c r="BM2300" s="153"/>
      <c r="BN2300" s="153"/>
      <c r="BO2300" s="153"/>
      <c r="BP2300" s="153"/>
      <c r="BQ2300" s="153"/>
      <c r="BR2300" s="153"/>
      <c r="BS2300" s="153"/>
      <c r="BT2300" s="153"/>
      <c r="BU2300" s="153"/>
      <c r="BV2300" s="153"/>
      <c r="BW2300" s="153"/>
      <c r="BX2300" s="153"/>
      <c r="BY2300" s="153"/>
      <c r="BZ2300" s="153"/>
      <c r="CA2300" s="152"/>
      <c r="CB2300" s="152"/>
    </row>
    <row r="2301" spans="1:80" s="87" customFormat="1" ht="16.5" x14ac:dyDescent="0.3">
      <c r="A2301" s="152"/>
      <c r="B2301" s="683"/>
      <c r="C2301" s="683"/>
      <c r="D2301" s="698"/>
      <c r="E2301" s="215"/>
      <c r="F2301" s="215"/>
      <c r="G2301" s="153"/>
      <c r="H2301" s="153"/>
      <c r="I2301" s="311">
        <v>19</v>
      </c>
      <c r="J2301" s="311">
        <v>60</v>
      </c>
      <c r="K2301" s="150">
        <v>1</v>
      </c>
      <c r="L2301" s="656">
        <v>19</v>
      </c>
      <c r="M2301" s="663">
        <v>34865</v>
      </c>
      <c r="N2301" s="600">
        <v>15.968532000000002</v>
      </c>
      <c r="O2301" s="604">
        <v>4.0619519999999998E-3</v>
      </c>
      <c r="P2301" s="150"/>
      <c r="Q2301" s="250"/>
      <c r="R2301" s="250"/>
      <c r="S2301" s="250">
        <v>2.4E-2</v>
      </c>
      <c r="T2301" s="250">
        <v>1.6E-2</v>
      </c>
      <c r="U2301" s="250">
        <v>0.158</v>
      </c>
      <c r="V2301" s="503">
        <v>0.32799999999999996</v>
      </c>
      <c r="W2301" s="503">
        <v>0.29199999999999998</v>
      </c>
      <c r="X2301" s="503">
        <v>0.17399999999999999</v>
      </c>
      <c r="Y2301" s="503">
        <v>8.0000000000000002E-3</v>
      </c>
      <c r="Z2301" s="150">
        <v>9</v>
      </c>
      <c r="AA2301" s="223">
        <v>1.0564820771651684</v>
      </c>
      <c r="AB2301" s="152"/>
      <c r="AC2301" s="152"/>
      <c r="AD2301" s="223">
        <v>14.934710000000001</v>
      </c>
      <c r="AE2301" s="223">
        <v>0.80159769999999997</v>
      </c>
      <c r="AF2301" s="223">
        <v>11.983326</v>
      </c>
      <c r="AG2301" s="223">
        <v>1.3441239</v>
      </c>
      <c r="AH2301" s="341"/>
      <c r="AI2301" s="218"/>
      <c r="AJ2301" s="218"/>
      <c r="AK2301" s="153"/>
      <c r="AL2301" s="152"/>
      <c r="AM2301" s="152"/>
      <c r="AN2301" s="152"/>
      <c r="AO2301" s="152"/>
      <c r="AP2301" s="152"/>
      <c r="AQ2301" s="152"/>
      <c r="AR2301" s="152"/>
      <c r="AS2301" s="152"/>
      <c r="AT2301" s="152"/>
      <c r="AU2301" s="153"/>
      <c r="AV2301" s="479"/>
      <c r="AW2301" s="479"/>
      <c r="AX2301" s="442"/>
      <c r="AY2301" s="153"/>
      <c r="AZ2301" s="152"/>
      <c r="BA2301" s="152"/>
      <c r="BB2301" s="152"/>
      <c r="BC2301" s="152"/>
      <c r="BD2301" s="152"/>
      <c r="BE2301" s="152"/>
      <c r="BF2301" s="152"/>
      <c r="BG2301" s="152"/>
      <c r="BH2301" s="152"/>
      <c r="BI2301" s="153"/>
      <c r="BJ2301" s="153"/>
      <c r="BK2301" s="153"/>
      <c r="BL2301" s="153"/>
      <c r="BM2301" s="153"/>
      <c r="BN2301" s="153"/>
      <c r="BO2301" s="153"/>
      <c r="BP2301" s="153"/>
      <c r="BQ2301" s="153"/>
      <c r="BR2301" s="153"/>
      <c r="BS2301" s="153"/>
      <c r="BT2301" s="153"/>
      <c r="BU2301" s="153"/>
      <c r="BV2301" s="153"/>
      <c r="BW2301" s="153"/>
      <c r="BX2301" s="153"/>
      <c r="BY2301" s="153"/>
      <c r="BZ2301" s="153"/>
      <c r="CA2301" s="152"/>
      <c r="CB2301" s="152"/>
    </row>
    <row r="2302" spans="1:80" s="87" customFormat="1" ht="16.5" x14ac:dyDescent="0.3">
      <c r="A2302" s="152"/>
      <c r="B2302" s="683"/>
      <c r="C2302" s="683"/>
      <c r="D2302" s="698"/>
      <c r="E2302" s="215"/>
      <c r="F2302" s="215"/>
      <c r="G2302" s="153"/>
      <c r="H2302" s="153"/>
      <c r="I2302" s="311">
        <v>18</v>
      </c>
      <c r="J2302" s="311">
        <v>60</v>
      </c>
      <c r="K2302" s="150">
        <v>1</v>
      </c>
      <c r="L2302" s="656">
        <v>18</v>
      </c>
      <c r="M2302" s="663">
        <v>34870</v>
      </c>
      <c r="N2302" s="600">
        <v>14.298065000000001</v>
      </c>
      <c r="O2302" s="604">
        <v>1.2700159999999999E-3</v>
      </c>
      <c r="P2302" s="150"/>
      <c r="Q2302" s="250"/>
      <c r="R2302" s="250"/>
      <c r="S2302" s="250"/>
      <c r="T2302" s="250">
        <v>7.6999999999999999E-2</v>
      </c>
      <c r="U2302" s="250">
        <v>7.9000000000000001E-2</v>
      </c>
      <c r="V2302" s="503">
        <v>0.17100000000000001</v>
      </c>
      <c r="W2302" s="503">
        <v>0.35600000000000004</v>
      </c>
      <c r="X2302" s="503">
        <v>0.30299999999999999</v>
      </c>
      <c r="Y2302" s="503">
        <v>1.3000000000000001E-2</v>
      </c>
      <c r="Z2302" s="150">
        <v>5</v>
      </c>
      <c r="AA2302" s="223">
        <v>0.71402423326613307</v>
      </c>
      <c r="AB2302" s="152"/>
      <c r="AC2302" s="152"/>
      <c r="AD2302" s="223">
        <v>14.934710000000001</v>
      </c>
      <c r="AE2302" s="223">
        <v>0.76197499999999996</v>
      </c>
      <c r="AF2302" s="223">
        <v>11.240174</v>
      </c>
      <c r="AG2302" s="223">
        <v>1.310597</v>
      </c>
      <c r="AH2302" s="341"/>
      <c r="AI2302" s="218"/>
      <c r="AJ2302" s="218"/>
      <c r="AK2302" s="153"/>
      <c r="AL2302" s="152"/>
      <c r="AM2302" s="152"/>
      <c r="AN2302" s="152"/>
      <c r="AO2302" s="152"/>
      <c r="AP2302" s="152"/>
      <c r="AQ2302" s="152"/>
      <c r="AR2302" s="152"/>
      <c r="AS2302" s="152"/>
      <c r="AT2302" s="152"/>
      <c r="AU2302" s="153"/>
      <c r="AV2302" s="479"/>
      <c r="AW2302" s="479"/>
      <c r="AX2302" s="442"/>
      <c r="AY2302" s="153"/>
      <c r="AZ2302" s="152"/>
      <c r="BA2302" s="152"/>
      <c r="BB2302" s="152"/>
      <c r="BC2302" s="152"/>
      <c r="BD2302" s="152"/>
      <c r="BE2302" s="152"/>
      <c r="BF2302" s="152"/>
      <c r="BG2302" s="152"/>
      <c r="BH2302" s="152"/>
      <c r="BI2302" s="153"/>
      <c r="BJ2302" s="153"/>
      <c r="BK2302" s="153"/>
      <c r="BL2302" s="153"/>
      <c r="BM2302" s="153"/>
      <c r="BN2302" s="153"/>
      <c r="BO2302" s="153"/>
      <c r="BP2302" s="153"/>
      <c r="BQ2302" s="153"/>
      <c r="BR2302" s="153"/>
      <c r="BS2302" s="153"/>
      <c r="BT2302" s="153"/>
      <c r="BU2302" s="153"/>
      <c r="BV2302" s="153"/>
      <c r="BW2302" s="153"/>
      <c r="BX2302" s="153"/>
      <c r="BY2302" s="153"/>
      <c r="BZ2302" s="153"/>
      <c r="CA2302" s="152"/>
      <c r="CB2302" s="152"/>
    </row>
    <row r="2303" spans="1:80" s="87" customFormat="1" ht="16.5" x14ac:dyDescent="0.3">
      <c r="A2303" s="152"/>
      <c r="B2303" s="683"/>
      <c r="C2303" s="683"/>
      <c r="D2303" s="698"/>
      <c r="E2303" s="215"/>
      <c r="F2303" s="215"/>
      <c r="G2303" s="153"/>
      <c r="H2303" s="153"/>
      <c r="I2303" s="311">
        <v>18</v>
      </c>
      <c r="J2303" s="311">
        <v>60</v>
      </c>
      <c r="K2303" s="150">
        <v>1</v>
      </c>
      <c r="L2303" s="656">
        <v>18</v>
      </c>
      <c r="M2303" s="663">
        <v>34870</v>
      </c>
      <c r="N2303" s="600">
        <v>14.156500000000001</v>
      </c>
      <c r="O2303" s="604">
        <v>2.1201920000000003E-3</v>
      </c>
      <c r="P2303" s="150"/>
      <c r="Q2303" s="250"/>
      <c r="R2303" s="250"/>
      <c r="S2303" s="250"/>
      <c r="T2303" s="250">
        <v>6.9000000000000006E-2</v>
      </c>
      <c r="U2303" s="250">
        <v>6.3E-2</v>
      </c>
      <c r="V2303" s="503">
        <v>0.18100000000000002</v>
      </c>
      <c r="W2303" s="503">
        <v>0.32299999999999995</v>
      </c>
      <c r="X2303" s="503">
        <v>0.33899999999999997</v>
      </c>
      <c r="Y2303" s="503">
        <v>2.4E-2</v>
      </c>
      <c r="Z2303" s="150">
        <v>7</v>
      </c>
      <c r="AA2303" s="223">
        <v>0.66945205061223623</v>
      </c>
      <c r="AB2303" s="152"/>
      <c r="AC2303" s="152"/>
      <c r="AD2303" s="223">
        <v>14.934710000000001</v>
      </c>
      <c r="AE2303" s="223">
        <v>0.76197499999999996</v>
      </c>
      <c r="AF2303" s="223">
        <v>11.240174</v>
      </c>
      <c r="AG2303" s="223">
        <v>1.310597</v>
      </c>
      <c r="AH2303" s="341"/>
      <c r="AI2303" s="218"/>
      <c r="AJ2303" s="218"/>
      <c r="AK2303" s="153"/>
      <c r="AL2303" s="152"/>
      <c r="AM2303" s="152"/>
      <c r="AN2303" s="152"/>
      <c r="AO2303" s="152"/>
      <c r="AP2303" s="152"/>
      <c r="AQ2303" s="152"/>
      <c r="AR2303" s="152"/>
      <c r="AS2303" s="152"/>
      <c r="AT2303" s="152"/>
      <c r="AU2303" s="153"/>
      <c r="AV2303" s="479"/>
      <c r="AW2303" s="479"/>
      <c r="AX2303" s="442"/>
      <c r="AY2303" s="153"/>
      <c r="AZ2303" s="152"/>
      <c r="BA2303" s="152"/>
      <c r="BB2303" s="152"/>
      <c r="BC2303" s="152"/>
      <c r="BD2303" s="152"/>
      <c r="BE2303" s="152"/>
      <c r="BF2303" s="152"/>
      <c r="BG2303" s="152"/>
      <c r="BH2303" s="152"/>
      <c r="BI2303" s="153"/>
      <c r="BJ2303" s="153"/>
      <c r="BK2303" s="153"/>
      <c r="BL2303" s="153"/>
      <c r="BM2303" s="153"/>
      <c r="BN2303" s="153"/>
      <c r="BO2303" s="153"/>
      <c r="BP2303" s="153"/>
      <c r="BQ2303" s="153"/>
      <c r="BR2303" s="153"/>
      <c r="BS2303" s="153"/>
      <c r="BT2303" s="153"/>
      <c r="BU2303" s="153"/>
      <c r="BV2303" s="153"/>
      <c r="BW2303" s="153"/>
      <c r="BX2303" s="153"/>
      <c r="BY2303" s="153"/>
      <c r="BZ2303" s="153"/>
      <c r="CA2303" s="152"/>
      <c r="CB2303" s="152"/>
    </row>
    <row r="2304" spans="1:80" s="87" customFormat="1" ht="16.5" x14ac:dyDescent="0.3">
      <c r="A2304" s="152"/>
      <c r="B2304" s="683"/>
      <c r="C2304" s="683"/>
      <c r="D2304" s="698"/>
      <c r="E2304" s="215"/>
      <c r="F2304" s="215"/>
      <c r="G2304" s="153"/>
      <c r="H2304" s="153"/>
      <c r="I2304" s="311">
        <v>18</v>
      </c>
      <c r="J2304" s="311">
        <v>60</v>
      </c>
      <c r="K2304" s="150">
        <v>1</v>
      </c>
      <c r="L2304" s="656">
        <v>18</v>
      </c>
      <c r="M2304" s="663">
        <v>34872</v>
      </c>
      <c r="N2304" s="600">
        <v>12.995667000000001</v>
      </c>
      <c r="O2304" s="604">
        <v>2.5295359999999998E-4</v>
      </c>
      <c r="P2304" s="150"/>
      <c r="Q2304" s="250"/>
      <c r="R2304" s="250"/>
      <c r="S2304" s="250"/>
      <c r="T2304" s="250"/>
      <c r="U2304" s="250">
        <v>5.2999999999999999E-2</v>
      </c>
      <c r="V2304" s="503">
        <v>0.158</v>
      </c>
      <c r="W2304" s="503">
        <v>0.47399999999999998</v>
      </c>
      <c r="X2304" s="503">
        <v>0.316</v>
      </c>
      <c r="Y2304" s="503">
        <v>0</v>
      </c>
      <c r="Z2304" s="150">
        <v>4</v>
      </c>
      <c r="AA2304" s="223">
        <v>0.65533085212605424</v>
      </c>
      <c r="AB2304" s="152"/>
      <c r="AC2304" s="152"/>
      <c r="AD2304" s="223">
        <v>14.904230999999999</v>
      </c>
      <c r="AE2304" s="223">
        <v>0.68882540000000003</v>
      </c>
      <c r="AF2304" s="223">
        <v>10.281507919999999</v>
      </c>
      <c r="AG2304" s="223">
        <v>1.2801180000000001</v>
      </c>
      <c r="AH2304" s="341"/>
      <c r="AI2304" s="218"/>
      <c r="AJ2304" s="218"/>
      <c r="AK2304" s="153"/>
      <c r="AL2304" s="152"/>
      <c r="AM2304" s="152"/>
      <c r="AN2304" s="152"/>
      <c r="AO2304" s="152"/>
      <c r="AP2304" s="152"/>
      <c r="AQ2304" s="152"/>
      <c r="AR2304" s="152"/>
      <c r="AS2304" s="152"/>
      <c r="AT2304" s="152"/>
      <c r="AU2304" s="153"/>
      <c r="AV2304" s="479"/>
      <c r="AW2304" s="479"/>
      <c r="AX2304" s="442"/>
      <c r="AY2304" s="153"/>
      <c r="AZ2304" s="152"/>
      <c r="BA2304" s="152"/>
      <c r="BB2304" s="152"/>
      <c r="BC2304" s="152"/>
      <c r="BD2304" s="152"/>
      <c r="BE2304" s="152"/>
      <c r="BF2304" s="152"/>
      <c r="BG2304" s="152"/>
      <c r="BH2304" s="152"/>
      <c r="BI2304" s="153"/>
      <c r="BJ2304" s="153"/>
      <c r="BK2304" s="153"/>
      <c r="BL2304" s="153"/>
      <c r="BM2304" s="153"/>
      <c r="BN2304" s="153"/>
      <c r="BO2304" s="153"/>
      <c r="BP2304" s="153"/>
      <c r="BQ2304" s="153"/>
      <c r="BR2304" s="153"/>
      <c r="BS2304" s="153"/>
      <c r="BT2304" s="153"/>
      <c r="BU2304" s="153"/>
      <c r="BV2304" s="153"/>
      <c r="BW2304" s="153"/>
      <c r="BX2304" s="153"/>
      <c r="BY2304" s="153"/>
      <c r="BZ2304" s="153"/>
      <c r="CA2304" s="152"/>
      <c r="CB2304" s="152"/>
    </row>
    <row r="2305" spans="1:80" s="87" customFormat="1" ht="16.5" x14ac:dyDescent="0.3">
      <c r="A2305" s="152"/>
      <c r="B2305" s="683"/>
      <c r="C2305" s="683"/>
      <c r="D2305" s="698"/>
      <c r="E2305" s="215"/>
      <c r="F2305" s="215"/>
      <c r="G2305" s="153"/>
      <c r="H2305" s="153"/>
      <c r="I2305" s="311">
        <v>18</v>
      </c>
      <c r="J2305" s="311">
        <v>60</v>
      </c>
      <c r="K2305" s="150">
        <v>1</v>
      </c>
      <c r="L2305" s="656">
        <v>18</v>
      </c>
      <c r="M2305" s="663">
        <v>34872</v>
      </c>
      <c r="N2305" s="600">
        <v>12.995667000000001</v>
      </c>
      <c r="O2305" s="604">
        <v>8.9320959999999994E-4</v>
      </c>
      <c r="P2305" s="150"/>
      <c r="Q2305" s="250"/>
      <c r="R2305" s="250"/>
      <c r="S2305" s="250"/>
      <c r="T2305" s="250">
        <v>0.09</v>
      </c>
      <c r="U2305" s="250">
        <v>0.121</v>
      </c>
      <c r="V2305" s="503">
        <v>0.28800000000000003</v>
      </c>
      <c r="W2305" s="503">
        <v>0.28800000000000003</v>
      </c>
      <c r="X2305" s="503">
        <v>0.19699999999999998</v>
      </c>
      <c r="Y2305" s="503">
        <v>1.4999999999999999E-2</v>
      </c>
      <c r="Z2305" s="150">
        <v>5</v>
      </c>
      <c r="AA2305" s="223">
        <v>0.99759613288362003</v>
      </c>
      <c r="AB2305" s="152"/>
      <c r="AC2305" s="152"/>
      <c r="AD2305" s="223">
        <v>14.904230999999999</v>
      </c>
      <c r="AE2305" s="223">
        <v>0.68882540000000003</v>
      </c>
      <c r="AF2305" s="223">
        <v>10.281507919999999</v>
      </c>
      <c r="AG2305" s="223">
        <v>1.2801180000000001</v>
      </c>
      <c r="AH2305" s="341"/>
      <c r="AI2305" s="218"/>
      <c r="AJ2305" s="218"/>
      <c r="AK2305" s="153"/>
      <c r="AL2305" s="152"/>
      <c r="AM2305" s="152"/>
      <c r="AN2305" s="152"/>
      <c r="AO2305" s="152"/>
      <c r="AP2305" s="152"/>
      <c r="AQ2305" s="152"/>
      <c r="AR2305" s="152"/>
      <c r="AS2305" s="152"/>
      <c r="AT2305" s="152"/>
      <c r="AU2305" s="153"/>
      <c r="AV2305" s="479"/>
      <c r="AW2305" s="479"/>
      <c r="AX2305" s="442"/>
      <c r="AY2305" s="153"/>
      <c r="AZ2305" s="152"/>
      <c r="BA2305" s="152"/>
      <c r="BB2305" s="152"/>
      <c r="BC2305" s="152"/>
      <c r="BD2305" s="152"/>
      <c r="BE2305" s="152"/>
      <c r="BF2305" s="152"/>
      <c r="BG2305" s="152"/>
      <c r="BH2305" s="152"/>
      <c r="BI2305" s="153"/>
      <c r="BJ2305" s="153"/>
      <c r="BK2305" s="153"/>
      <c r="BL2305" s="153"/>
      <c r="BM2305" s="153"/>
      <c r="BN2305" s="153"/>
      <c r="BO2305" s="153"/>
      <c r="BP2305" s="153"/>
      <c r="BQ2305" s="153"/>
      <c r="BR2305" s="153"/>
      <c r="BS2305" s="153"/>
      <c r="BT2305" s="153"/>
      <c r="BU2305" s="153"/>
      <c r="BV2305" s="153"/>
      <c r="BW2305" s="153"/>
      <c r="BX2305" s="153"/>
      <c r="BY2305" s="153"/>
      <c r="BZ2305" s="153"/>
      <c r="CA2305" s="152"/>
      <c r="CB2305" s="152"/>
    </row>
    <row r="2306" spans="1:80" s="87" customFormat="1" ht="16.5" x14ac:dyDescent="0.3">
      <c r="A2306" s="152"/>
      <c r="B2306" s="683"/>
      <c r="C2306" s="683"/>
      <c r="D2306" s="698"/>
      <c r="E2306" s="215"/>
      <c r="F2306" s="215"/>
      <c r="G2306" s="153"/>
      <c r="H2306" s="153"/>
      <c r="I2306" s="311">
        <v>20</v>
      </c>
      <c r="J2306" s="311">
        <v>60</v>
      </c>
      <c r="K2306" s="150">
        <v>1</v>
      </c>
      <c r="L2306" s="656">
        <v>20</v>
      </c>
      <c r="M2306" s="663">
        <v>34878</v>
      </c>
      <c r="N2306" s="600">
        <v>12.259529000000001</v>
      </c>
      <c r="O2306" s="604">
        <v>2.9283839999999999E-4</v>
      </c>
      <c r="P2306" s="150"/>
      <c r="Q2306" s="250"/>
      <c r="R2306" s="250"/>
      <c r="S2306" s="250"/>
      <c r="T2306" s="250"/>
      <c r="U2306" s="250">
        <v>0.1</v>
      </c>
      <c r="V2306" s="503">
        <v>0.2</v>
      </c>
      <c r="W2306" s="503">
        <v>0.3</v>
      </c>
      <c r="X2306" s="503">
        <v>0.35</v>
      </c>
      <c r="Y2306" s="503">
        <v>0.05</v>
      </c>
      <c r="Z2306" s="150">
        <v>3</v>
      </c>
      <c r="AA2306" s="223">
        <v>0.6299605249474366</v>
      </c>
      <c r="AB2306" s="152"/>
      <c r="AC2306" s="152"/>
      <c r="AD2306" s="223"/>
      <c r="AE2306" s="223"/>
      <c r="AF2306" s="223"/>
      <c r="AG2306" s="223"/>
      <c r="AH2306" s="341"/>
      <c r="AI2306" s="218"/>
      <c r="AJ2306" s="218"/>
      <c r="AK2306" s="153"/>
      <c r="AL2306" s="152"/>
      <c r="AM2306" s="152"/>
      <c r="AN2306" s="152"/>
      <c r="AO2306" s="152"/>
      <c r="AP2306" s="152"/>
      <c r="AQ2306" s="152"/>
      <c r="AR2306" s="152"/>
      <c r="AS2306" s="152"/>
      <c r="AT2306" s="152"/>
      <c r="AU2306" s="153"/>
      <c r="AV2306" s="479"/>
      <c r="AW2306" s="479"/>
      <c r="AX2306" s="442"/>
      <c r="AY2306" s="153"/>
      <c r="AZ2306" s="152"/>
      <c r="BA2306" s="152"/>
      <c r="BB2306" s="152"/>
      <c r="BC2306" s="152"/>
      <c r="BD2306" s="152"/>
      <c r="BE2306" s="152"/>
      <c r="BF2306" s="152"/>
      <c r="BG2306" s="152"/>
      <c r="BH2306" s="152"/>
      <c r="BI2306" s="153"/>
      <c r="BJ2306" s="153"/>
      <c r="BK2306" s="153"/>
      <c r="BL2306" s="153"/>
      <c r="BM2306" s="153"/>
      <c r="BN2306" s="153"/>
      <c r="BO2306" s="153"/>
      <c r="BP2306" s="153"/>
      <c r="BQ2306" s="153"/>
      <c r="BR2306" s="153"/>
      <c r="BS2306" s="153"/>
      <c r="BT2306" s="153"/>
      <c r="BU2306" s="153"/>
      <c r="BV2306" s="153"/>
      <c r="BW2306" s="153"/>
      <c r="BX2306" s="153"/>
      <c r="BY2306" s="153"/>
      <c r="BZ2306" s="153"/>
      <c r="CA2306" s="152"/>
      <c r="CB2306" s="152"/>
    </row>
    <row r="2307" spans="1:80" s="87" customFormat="1" ht="16.5" x14ac:dyDescent="0.3">
      <c r="A2307" s="152"/>
      <c r="B2307" s="683"/>
      <c r="C2307" s="683"/>
      <c r="D2307" s="698"/>
      <c r="E2307" s="215"/>
      <c r="F2307" s="215"/>
      <c r="G2307" s="153"/>
      <c r="H2307" s="153"/>
      <c r="I2307" s="311">
        <v>20</v>
      </c>
      <c r="J2307" s="311">
        <v>60</v>
      </c>
      <c r="K2307" s="150">
        <v>1</v>
      </c>
      <c r="L2307" s="656">
        <v>20</v>
      </c>
      <c r="M2307" s="663">
        <v>34878</v>
      </c>
      <c r="N2307" s="600">
        <v>12.117964000000001</v>
      </c>
      <c r="O2307" s="604">
        <v>3.3587199999999999E-3</v>
      </c>
      <c r="P2307" s="150"/>
      <c r="Q2307" s="250"/>
      <c r="R2307" s="250">
        <v>0.31</v>
      </c>
      <c r="S2307" s="250">
        <v>0.127</v>
      </c>
      <c r="T2307" s="250">
        <v>0.105</v>
      </c>
      <c r="U2307" s="250">
        <v>0.122</v>
      </c>
      <c r="V2307" s="503">
        <v>0.105</v>
      </c>
      <c r="W2307" s="503">
        <v>0.126</v>
      </c>
      <c r="X2307" s="503">
        <v>9.6999999999999989E-2</v>
      </c>
      <c r="Y2307" s="503">
        <v>8.0000000000000002E-3</v>
      </c>
      <c r="Z2307" s="150">
        <v>20</v>
      </c>
      <c r="AA2307" s="223">
        <v>5.2780316430915768</v>
      </c>
      <c r="AB2307" s="152"/>
      <c r="AC2307" s="152"/>
      <c r="AD2307" s="223"/>
      <c r="AE2307" s="223"/>
      <c r="AF2307" s="223"/>
      <c r="AG2307" s="223"/>
      <c r="AH2307" s="341"/>
      <c r="AI2307" s="218"/>
      <c r="AJ2307" s="218"/>
      <c r="AK2307" s="153"/>
      <c r="AL2307" s="152"/>
      <c r="AM2307" s="152"/>
      <c r="AN2307" s="152"/>
      <c r="AO2307" s="152"/>
      <c r="AP2307" s="152"/>
      <c r="AQ2307" s="152"/>
      <c r="AR2307" s="152"/>
      <c r="AS2307" s="152"/>
      <c r="AT2307" s="152"/>
      <c r="AU2307" s="153"/>
      <c r="AV2307" s="479"/>
      <c r="AW2307" s="479"/>
      <c r="AX2307" s="442"/>
      <c r="AY2307" s="153"/>
      <c r="AZ2307" s="152"/>
      <c r="BA2307" s="152"/>
      <c r="BB2307" s="152"/>
      <c r="BC2307" s="152"/>
      <c r="BD2307" s="152"/>
      <c r="BE2307" s="152"/>
      <c r="BF2307" s="152"/>
      <c r="BG2307" s="152"/>
      <c r="BH2307" s="152"/>
      <c r="BI2307" s="153"/>
      <c r="BJ2307" s="153"/>
      <c r="BK2307" s="153"/>
      <c r="BL2307" s="153"/>
      <c r="BM2307" s="153"/>
      <c r="BN2307" s="153"/>
      <c r="BO2307" s="153"/>
      <c r="BP2307" s="153"/>
      <c r="BQ2307" s="153"/>
      <c r="BR2307" s="153"/>
      <c r="BS2307" s="153"/>
      <c r="BT2307" s="153"/>
      <c r="BU2307" s="153"/>
      <c r="BV2307" s="153"/>
      <c r="BW2307" s="153"/>
      <c r="BX2307" s="153"/>
      <c r="BY2307" s="153"/>
      <c r="BZ2307" s="153"/>
      <c r="CA2307" s="152"/>
      <c r="CB2307" s="152"/>
    </row>
    <row r="2308" spans="1:80" s="87" customFormat="1" ht="16.5" x14ac:dyDescent="0.3">
      <c r="A2308" s="152"/>
      <c r="B2308" s="683"/>
      <c r="C2308" s="683"/>
      <c r="D2308" s="698"/>
      <c r="E2308" s="215"/>
      <c r="F2308" s="215"/>
      <c r="G2308" s="153"/>
      <c r="H2308" s="153"/>
      <c r="I2308" s="311">
        <v>17</v>
      </c>
      <c r="J2308" s="311">
        <v>60</v>
      </c>
      <c r="K2308" s="150">
        <v>1</v>
      </c>
      <c r="L2308" s="656">
        <v>17</v>
      </c>
      <c r="M2308" s="663">
        <v>34887</v>
      </c>
      <c r="N2308" s="600">
        <v>9.9378630000000001</v>
      </c>
      <c r="O2308" s="604">
        <v>2.0047359999999999E-4</v>
      </c>
      <c r="P2308" s="150"/>
      <c r="Q2308" s="250"/>
      <c r="R2308" s="250"/>
      <c r="S2308" s="250"/>
      <c r="T2308" s="250"/>
      <c r="U2308" s="250">
        <v>0.21059999999999998</v>
      </c>
      <c r="V2308" s="503">
        <v>5.2894211576846289E-2</v>
      </c>
      <c r="W2308" s="503">
        <v>0.21057884231536925</v>
      </c>
      <c r="X2308" s="503">
        <v>0.31536926147704591</v>
      </c>
      <c r="Y2308" s="503">
        <v>0.21057884231536925</v>
      </c>
      <c r="Z2308" s="150">
        <v>3</v>
      </c>
      <c r="AA2308" s="223">
        <v>0.47331943793619596</v>
      </c>
      <c r="AB2308" s="152"/>
      <c r="AC2308" s="152"/>
      <c r="AD2308" s="223"/>
      <c r="AE2308" s="223"/>
      <c r="AF2308" s="223"/>
      <c r="AG2308" s="223"/>
      <c r="AH2308" s="341"/>
      <c r="AI2308" s="218"/>
      <c r="AJ2308" s="218"/>
      <c r="AK2308" s="153"/>
      <c r="AL2308" s="152"/>
      <c r="AM2308" s="152"/>
      <c r="AN2308" s="152"/>
      <c r="AO2308" s="152"/>
      <c r="AP2308" s="152"/>
      <c r="AQ2308" s="152"/>
      <c r="AR2308" s="152"/>
      <c r="AS2308" s="152"/>
      <c r="AT2308" s="152"/>
      <c r="AU2308" s="153"/>
      <c r="AV2308" s="479"/>
      <c r="AW2308" s="479"/>
      <c r="AX2308" s="442"/>
      <c r="AY2308" s="153"/>
      <c r="AZ2308" s="152"/>
      <c r="BA2308" s="152"/>
      <c r="BB2308" s="152"/>
      <c r="BC2308" s="152"/>
      <c r="BD2308" s="152"/>
      <c r="BE2308" s="152"/>
      <c r="BF2308" s="152"/>
      <c r="BG2308" s="152"/>
      <c r="BH2308" s="152"/>
      <c r="BI2308" s="153"/>
      <c r="BJ2308" s="153"/>
      <c r="BK2308" s="153"/>
      <c r="BL2308" s="153"/>
      <c r="BM2308" s="153"/>
      <c r="BN2308" s="153"/>
      <c r="BO2308" s="153"/>
      <c r="BP2308" s="153"/>
      <c r="BQ2308" s="153"/>
      <c r="BR2308" s="153"/>
      <c r="BS2308" s="153"/>
      <c r="BT2308" s="153"/>
      <c r="BU2308" s="153"/>
      <c r="BV2308" s="153"/>
      <c r="BW2308" s="153"/>
      <c r="BX2308" s="153"/>
      <c r="BY2308" s="153"/>
      <c r="BZ2308" s="153"/>
      <c r="CA2308" s="152"/>
      <c r="CB2308" s="152"/>
    </row>
    <row r="2309" spans="1:80" s="87" customFormat="1" ht="16.5" x14ac:dyDescent="0.3">
      <c r="A2309" s="152"/>
      <c r="B2309" s="683"/>
      <c r="C2309" s="683"/>
      <c r="D2309" s="698"/>
      <c r="E2309" s="215"/>
      <c r="F2309" s="215"/>
      <c r="G2309" s="153"/>
      <c r="H2309" s="153"/>
      <c r="I2309" s="311">
        <v>17</v>
      </c>
      <c r="J2309" s="311">
        <v>60</v>
      </c>
      <c r="K2309" s="150">
        <v>1</v>
      </c>
      <c r="L2309" s="656">
        <v>17</v>
      </c>
      <c r="M2309" s="663">
        <v>34887</v>
      </c>
      <c r="N2309" s="600">
        <v>9.9378630000000001</v>
      </c>
      <c r="O2309" s="604">
        <v>7.5991040000000006E-4</v>
      </c>
      <c r="P2309" s="150"/>
      <c r="Q2309" s="250"/>
      <c r="R2309" s="250"/>
      <c r="S2309" s="250"/>
      <c r="T2309" s="250">
        <v>3.5000000000000003E-2</v>
      </c>
      <c r="U2309" s="250">
        <v>0.16399999999999998</v>
      </c>
      <c r="V2309" s="503">
        <v>0.34600000000000003</v>
      </c>
      <c r="W2309" s="503">
        <v>0.29100000000000004</v>
      </c>
      <c r="X2309" s="503">
        <v>0.16399999999999998</v>
      </c>
      <c r="Y2309" s="503">
        <v>0</v>
      </c>
      <c r="Z2309" s="150">
        <v>5</v>
      </c>
      <c r="AA2309" s="223">
        <v>1.0943375464508678</v>
      </c>
      <c r="AB2309" s="152"/>
      <c r="AC2309" s="152"/>
      <c r="AD2309" s="223"/>
      <c r="AE2309" s="223"/>
      <c r="AF2309" s="223"/>
      <c r="AG2309" s="223"/>
      <c r="AH2309" s="341"/>
      <c r="AI2309" s="218"/>
      <c r="AJ2309" s="218"/>
      <c r="AK2309" s="153"/>
      <c r="AL2309" s="152"/>
      <c r="AM2309" s="152"/>
      <c r="AN2309" s="152"/>
      <c r="AO2309" s="152"/>
      <c r="AP2309" s="152"/>
      <c r="AQ2309" s="152"/>
      <c r="AR2309" s="152"/>
      <c r="AS2309" s="152"/>
      <c r="AT2309" s="152"/>
      <c r="AU2309" s="153"/>
      <c r="AV2309" s="479"/>
      <c r="AW2309" s="479"/>
      <c r="AX2309" s="442"/>
      <c r="AY2309" s="153"/>
      <c r="AZ2309" s="152"/>
      <c r="BA2309" s="152"/>
      <c r="BB2309" s="152"/>
      <c r="BC2309" s="152"/>
      <c r="BD2309" s="152"/>
      <c r="BE2309" s="152"/>
      <c r="BF2309" s="152"/>
      <c r="BG2309" s="152"/>
      <c r="BH2309" s="152"/>
      <c r="BI2309" s="153"/>
      <c r="BJ2309" s="153"/>
      <c r="BK2309" s="153"/>
      <c r="BL2309" s="153"/>
      <c r="BM2309" s="153"/>
      <c r="BN2309" s="153"/>
      <c r="BO2309" s="153"/>
      <c r="BP2309" s="153"/>
      <c r="BQ2309" s="153"/>
      <c r="BR2309" s="153"/>
      <c r="BS2309" s="153"/>
      <c r="BT2309" s="153"/>
      <c r="BU2309" s="153"/>
      <c r="BV2309" s="153"/>
      <c r="BW2309" s="153"/>
      <c r="BX2309" s="153"/>
      <c r="BY2309" s="153"/>
      <c r="BZ2309" s="153"/>
      <c r="CA2309" s="152"/>
      <c r="CB2309" s="152"/>
    </row>
    <row r="2310" spans="1:80" s="87" customFormat="1" ht="16.5" x14ac:dyDescent="0.3">
      <c r="A2310" s="152"/>
      <c r="B2310" s="683"/>
      <c r="C2310" s="683"/>
      <c r="D2310" s="698"/>
      <c r="E2310" s="215"/>
      <c r="F2310" s="215"/>
      <c r="G2310" s="153"/>
      <c r="H2310" s="153"/>
      <c r="I2310" s="311">
        <v>23</v>
      </c>
      <c r="J2310" s="311">
        <v>60</v>
      </c>
      <c r="K2310" s="150">
        <v>1</v>
      </c>
      <c r="L2310" s="656">
        <v>23</v>
      </c>
      <c r="M2310" s="663">
        <v>34902</v>
      </c>
      <c r="N2310" s="600">
        <v>5.8324780000000001</v>
      </c>
      <c r="O2310" s="604">
        <v>2.3616000000000002E-3</v>
      </c>
      <c r="P2310" s="150"/>
      <c r="Q2310" s="250"/>
      <c r="R2310" s="250"/>
      <c r="S2310" s="250">
        <v>0.27050000000000002</v>
      </c>
      <c r="T2310" s="250">
        <v>0.1192</v>
      </c>
      <c r="U2310" s="250">
        <v>9.0200000000000002E-2</v>
      </c>
      <c r="V2310" s="503">
        <v>0.23346693386773548</v>
      </c>
      <c r="W2310" s="503">
        <v>0.24248496993987978</v>
      </c>
      <c r="X2310" s="503">
        <v>4.0080160320641288E-2</v>
      </c>
      <c r="Y2310" s="503">
        <v>4.0080160320641288E-3</v>
      </c>
      <c r="Z2310" s="150">
        <v>12</v>
      </c>
      <c r="AA2310" s="223">
        <v>1.8788778078308497</v>
      </c>
      <c r="AB2310" s="152"/>
      <c r="AC2310" s="152"/>
      <c r="AD2310" s="223">
        <v>11.886810000000001</v>
      </c>
      <c r="AE2310" s="223">
        <v>0.63701110000000005</v>
      </c>
      <c r="AF2310" s="223">
        <v>7.5894398000000001</v>
      </c>
      <c r="AG2310" s="223">
        <v>0.77111870000000005</v>
      </c>
      <c r="AH2310" s="341"/>
      <c r="AI2310" s="218"/>
      <c r="AJ2310" s="218"/>
      <c r="AK2310" s="153"/>
      <c r="AL2310" s="152"/>
      <c r="AM2310" s="152"/>
      <c r="AN2310" s="152"/>
      <c r="AO2310" s="152"/>
      <c r="AP2310" s="152"/>
      <c r="AQ2310" s="152"/>
      <c r="AR2310" s="152"/>
      <c r="AS2310" s="152"/>
      <c r="AT2310" s="152"/>
      <c r="AU2310" s="153"/>
      <c r="AV2310" s="479"/>
      <c r="AW2310" s="479"/>
      <c r="AX2310" s="442"/>
      <c r="AY2310" s="153"/>
      <c r="AZ2310" s="152"/>
      <c r="BA2310" s="152"/>
      <c r="BB2310" s="152"/>
      <c r="BC2310" s="152"/>
      <c r="BD2310" s="152"/>
      <c r="BE2310" s="152"/>
      <c r="BF2310" s="152"/>
      <c r="BG2310" s="152"/>
      <c r="BH2310" s="152"/>
      <c r="BI2310" s="153"/>
      <c r="BJ2310" s="153"/>
      <c r="BK2310" s="153"/>
      <c r="BL2310" s="153"/>
      <c r="BM2310" s="153"/>
      <c r="BN2310" s="153"/>
      <c r="BO2310" s="153"/>
      <c r="BP2310" s="153"/>
      <c r="BQ2310" s="153"/>
      <c r="BR2310" s="153"/>
      <c r="BS2310" s="153"/>
      <c r="BT2310" s="153"/>
      <c r="BU2310" s="153"/>
      <c r="BV2310" s="153"/>
      <c r="BW2310" s="153"/>
      <c r="BX2310" s="153"/>
      <c r="BY2310" s="153"/>
      <c r="BZ2310" s="153"/>
      <c r="CA2310" s="152"/>
      <c r="CB2310" s="152"/>
    </row>
    <row r="2311" spans="1:80" s="87" customFormat="1" ht="16.5" x14ac:dyDescent="0.3">
      <c r="A2311" s="152"/>
      <c r="B2311" s="683"/>
      <c r="C2311" s="683"/>
      <c r="D2311" s="698"/>
      <c r="E2311" s="215"/>
      <c r="F2311" s="215"/>
      <c r="G2311" s="153"/>
      <c r="H2311" s="153"/>
      <c r="I2311" s="311">
        <v>23</v>
      </c>
      <c r="J2311" s="311">
        <v>60</v>
      </c>
      <c r="K2311" s="150">
        <v>1</v>
      </c>
      <c r="L2311" s="656">
        <v>23</v>
      </c>
      <c r="M2311" s="663">
        <v>34902</v>
      </c>
      <c r="N2311" s="600">
        <v>5.8324780000000001</v>
      </c>
      <c r="O2311" s="604">
        <v>2.8759040000000003E-3</v>
      </c>
      <c r="P2311" s="150"/>
      <c r="Q2311" s="250"/>
      <c r="R2311" s="250"/>
      <c r="S2311" s="250">
        <v>0.04</v>
      </c>
      <c r="T2311" s="250">
        <v>9.4E-2</v>
      </c>
      <c r="U2311" s="250">
        <v>0.122</v>
      </c>
      <c r="V2311" s="503">
        <v>0.32799999999999996</v>
      </c>
      <c r="W2311" s="503">
        <v>0.35700000000000004</v>
      </c>
      <c r="X2311" s="503">
        <v>5.2000000000000005E-2</v>
      </c>
      <c r="Y2311" s="503">
        <v>6.9999999999999993E-3</v>
      </c>
      <c r="Z2311" s="150">
        <v>10</v>
      </c>
      <c r="AA2311" s="223">
        <v>1.19424394403402</v>
      </c>
      <c r="AB2311" s="152"/>
      <c r="AC2311" s="152"/>
      <c r="AD2311" s="223">
        <v>11.886810000000001</v>
      </c>
      <c r="AE2311" s="223">
        <v>0.63701110000000005</v>
      </c>
      <c r="AF2311" s="223">
        <v>7.5894398000000001</v>
      </c>
      <c r="AG2311" s="223">
        <v>0.77111870000000005</v>
      </c>
      <c r="AH2311" s="341"/>
      <c r="AI2311" s="218"/>
      <c r="AJ2311" s="218"/>
      <c r="AK2311" s="153"/>
      <c r="AL2311" s="152"/>
      <c r="AM2311" s="152"/>
      <c r="AN2311" s="152"/>
      <c r="AO2311" s="152"/>
      <c r="AP2311" s="152"/>
      <c r="AQ2311" s="152"/>
      <c r="AR2311" s="152"/>
      <c r="AS2311" s="152"/>
      <c r="AT2311" s="152"/>
      <c r="AU2311" s="153"/>
      <c r="AV2311" s="479"/>
      <c r="AW2311" s="479"/>
      <c r="AX2311" s="442"/>
      <c r="AY2311" s="153"/>
      <c r="AZ2311" s="152"/>
      <c r="BA2311" s="152"/>
      <c r="BB2311" s="152"/>
      <c r="BC2311" s="152"/>
      <c r="BD2311" s="152"/>
      <c r="BE2311" s="152"/>
      <c r="BF2311" s="152"/>
      <c r="BG2311" s="152"/>
      <c r="BH2311" s="152"/>
      <c r="BI2311" s="153"/>
      <c r="BJ2311" s="153"/>
      <c r="BK2311" s="153"/>
      <c r="BL2311" s="153"/>
      <c r="BM2311" s="153"/>
      <c r="BN2311" s="153"/>
      <c r="BO2311" s="153"/>
      <c r="BP2311" s="153"/>
      <c r="BQ2311" s="153"/>
      <c r="BR2311" s="153"/>
      <c r="BS2311" s="153"/>
      <c r="BT2311" s="153"/>
      <c r="BU2311" s="153"/>
      <c r="BV2311" s="153"/>
      <c r="BW2311" s="153"/>
      <c r="BX2311" s="153"/>
      <c r="BY2311" s="153"/>
      <c r="BZ2311" s="153"/>
      <c r="CA2311" s="152"/>
      <c r="CB2311" s="152"/>
    </row>
    <row r="2312" spans="1:80" s="87" customFormat="1" ht="16.5" x14ac:dyDescent="0.3">
      <c r="A2312" s="152"/>
      <c r="B2312" s="683"/>
      <c r="C2312" s="683"/>
      <c r="D2312" s="698"/>
      <c r="E2312" s="215"/>
      <c r="F2312" s="215"/>
      <c r="G2312" s="153"/>
      <c r="H2312" s="153"/>
      <c r="I2312" s="311">
        <v>23</v>
      </c>
      <c r="J2312" s="311">
        <v>60</v>
      </c>
      <c r="K2312" s="150">
        <v>1</v>
      </c>
      <c r="L2312" s="656">
        <v>23</v>
      </c>
      <c r="M2312" s="663">
        <v>34915</v>
      </c>
      <c r="N2312" s="600">
        <v>2.9445520000000003</v>
      </c>
      <c r="O2312" s="604">
        <v>1.5639039999999999E-3</v>
      </c>
      <c r="P2312" s="150"/>
      <c r="Q2312" s="250"/>
      <c r="R2312" s="250"/>
      <c r="S2312" s="250">
        <v>8.9800000000000005E-2</v>
      </c>
      <c r="T2312" s="250">
        <v>0</v>
      </c>
      <c r="U2312" s="250">
        <v>3.2899999999999999E-2</v>
      </c>
      <c r="V2312" s="503">
        <v>0.16866267465069862</v>
      </c>
      <c r="W2312" s="503">
        <v>0.36327345309381232</v>
      </c>
      <c r="X2312" s="503">
        <v>0.27944111776447106</v>
      </c>
      <c r="Y2312" s="503">
        <v>6.5868263473053898E-2</v>
      </c>
      <c r="Z2312" s="150">
        <v>11</v>
      </c>
      <c r="AA2312" s="223">
        <v>0.67295009631617786</v>
      </c>
      <c r="AB2312" s="152"/>
      <c r="AC2312" s="152"/>
      <c r="AD2312" s="223">
        <v>11.124834999999999</v>
      </c>
      <c r="AE2312" s="223">
        <v>0.4815682</v>
      </c>
      <c r="AF2312" s="223">
        <v>5.3599838000000002</v>
      </c>
      <c r="AG2312" s="223">
        <v>0.54862200000000005</v>
      </c>
      <c r="AH2312" s="341"/>
      <c r="AI2312" s="218"/>
      <c r="AJ2312" s="218"/>
      <c r="AK2312" s="153"/>
      <c r="AL2312" s="152"/>
      <c r="AM2312" s="152"/>
      <c r="AN2312" s="152"/>
      <c r="AO2312" s="152"/>
      <c r="AP2312" s="152"/>
      <c r="AQ2312" s="152"/>
      <c r="AR2312" s="152"/>
      <c r="AS2312" s="152"/>
      <c r="AT2312" s="152"/>
      <c r="AU2312" s="153"/>
      <c r="AV2312" s="479"/>
      <c r="AW2312" s="479"/>
      <c r="AX2312" s="442"/>
      <c r="AY2312" s="153"/>
      <c r="AZ2312" s="152"/>
      <c r="BA2312" s="152"/>
      <c r="BB2312" s="152"/>
      <c r="BC2312" s="152"/>
      <c r="BD2312" s="152"/>
      <c r="BE2312" s="152"/>
      <c r="BF2312" s="152"/>
      <c r="BG2312" s="152"/>
      <c r="BH2312" s="152"/>
      <c r="BI2312" s="153"/>
      <c r="BJ2312" s="153"/>
      <c r="BK2312" s="153"/>
      <c r="BL2312" s="153"/>
      <c r="BM2312" s="153"/>
      <c r="BN2312" s="153"/>
      <c r="BO2312" s="153"/>
      <c r="BP2312" s="153"/>
      <c r="BQ2312" s="153"/>
      <c r="BR2312" s="153"/>
      <c r="BS2312" s="153"/>
      <c r="BT2312" s="153"/>
      <c r="BU2312" s="153"/>
      <c r="BV2312" s="153"/>
      <c r="BW2312" s="153"/>
      <c r="BX2312" s="153"/>
      <c r="BY2312" s="153"/>
      <c r="BZ2312" s="153"/>
      <c r="CA2312" s="152"/>
      <c r="CB2312" s="152"/>
    </row>
    <row r="2313" spans="1:80" s="87" customFormat="1" ht="16.5" x14ac:dyDescent="0.3">
      <c r="A2313" s="152"/>
      <c r="B2313" s="683"/>
      <c r="C2313" s="683"/>
      <c r="D2313" s="698"/>
      <c r="E2313" s="215"/>
      <c r="F2313" s="215"/>
      <c r="G2313" s="153"/>
      <c r="H2313" s="153"/>
      <c r="I2313" s="311">
        <v>23</v>
      </c>
      <c r="J2313" s="311">
        <v>60</v>
      </c>
      <c r="K2313" s="150">
        <v>1</v>
      </c>
      <c r="L2313" s="656">
        <v>23</v>
      </c>
      <c r="M2313" s="663">
        <v>34915</v>
      </c>
      <c r="N2313" s="600">
        <v>2.9445520000000003</v>
      </c>
      <c r="O2313" s="604">
        <v>2.0467200000000001E-3</v>
      </c>
      <c r="P2313" s="150"/>
      <c r="Q2313" s="250"/>
      <c r="R2313" s="250"/>
      <c r="S2313" s="250"/>
      <c r="T2313" s="250"/>
      <c r="U2313" s="250">
        <v>5.0000000000000001E-3</v>
      </c>
      <c r="V2313" s="503">
        <v>1.9E-2</v>
      </c>
      <c r="W2313" s="503">
        <v>0.223</v>
      </c>
      <c r="X2313" s="503">
        <v>0.442</v>
      </c>
      <c r="Y2313" s="503">
        <v>0.311</v>
      </c>
      <c r="Z2313" s="150">
        <v>3</v>
      </c>
      <c r="AA2313" s="223">
        <v>0.33624898315418794</v>
      </c>
      <c r="AB2313" s="152"/>
      <c r="AC2313" s="152"/>
      <c r="AD2313" s="223">
        <v>11.124834999999999</v>
      </c>
      <c r="AE2313" s="223">
        <v>0.4815682</v>
      </c>
      <c r="AF2313" s="223">
        <v>5.3599838000000002</v>
      </c>
      <c r="AG2313" s="223">
        <v>0.54862200000000005</v>
      </c>
      <c r="AH2313" s="341"/>
      <c r="AI2313" s="218"/>
      <c r="AJ2313" s="218"/>
      <c r="AK2313" s="153"/>
      <c r="AL2313" s="152"/>
      <c r="AM2313" s="152"/>
      <c r="AN2313" s="152"/>
      <c r="AO2313" s="152"/>
      <c r="AP2313" s="152"/>
      <c r="AQ2313" s="152"/>
      <c r="AR2313" s="152"/>
      <c r="AS2313" s="152"/>
      <c r="AT2313" s="152"/>
      <c r="AU2313" s="153"/>
      <c r="AV2313" s="479"/>
      <c r="AW2313" s="479"/>
      <c r="AX2313" s="442"/>
      <c r="AY2313" s="153"/>
      <c r="AZ2313" s="152"/>
      <c r="BA2313" s="152"/>
      <c r="BB2313" s="152"/>
      <c r="BC2313" s="152"/>
      <c r="BD2313" s="152"/>
      <c r="BE2313" s="152"/>
      <c r="BF2313" s="152"/>
      <c r="BG2313" s="152"/>
      <c r="BH2313" s="152"/>
      <c r="BI2313" s="153"/>
      <c r="BJ2313" s="153"/>
      <c r="BK2313" s="153"/>
      <c r="BL2313" s="153"/>
      <c r="BM2313" s="153"/>
      <c r="BN2313" s="153"/>
      <c r="BO2313" s="153"/>
      <c r="BP2313" s="153"/>
      <c r="BQ2313" s="153"/>
      <c r="BR2313" s="153"/>
      <c r="BS2313" s="153"/>
      <c r="BT2313" s="153"/>
      <c r="BU2313" s="153"/>
      <c r="BV2313" s="153"/>
      <c r="BW2313" s="153"/>
      <c r="BX2313" s="153"/>
      <c r="BY2313" s="153"/>
      <c r="BZ2313" s="153"/>
      <c r="CA2313" s="152"/>
      <c r="CB2313" s="152"/>
    </row>
    <row r="2314" spans="1:80" s="87" customFormat="1" ht="16.5" x14ac:dyDescent="0.3">
      <c r="A2314" s="152"/>
      <c r="B2314" s="683"/>
      <c r="C2314" s="683"/>
      <c r="D2314" s="698"/>
      <c r="E2314" s="215"/>
      <c r="F2314" s="215"/>
      <c r="G2314" s="153"/>
      <c r="H2314" s="153"/>
      <c r="I2314" s="311">
        <v>20</v>
      </c>
      <c r="J2314" s="311">
        <v>60</v>
      </c>
      <c r="K2314" s="150">
        <v>1</v>
      </c>
      <c r="L2314" s="656">
        <v>20</v>
      </c>
      <c r="M2314" s="663">
        <v>34933</v>
      </c>
      <c r="N2314" s="600">
        <v>1.8828145000000001</v>
      </c>
      <c r="O2314" s="604">
        <v>8.9950720000000001E-5</v>
      </c>
      <c r="P2314" s="150"/>
      <c r="Q2314" s="250"/>
      <c r="R2314" s="250"/>
      <c r="S2314" s="250"/>
      <c r="T2314" s="250"/>
      <c r="U2314" s="250"/>
      <c r="V2314" s="250">
        <v>0</v>
      </c>
      <c r="W2314" s="250">
        <v>0.5</v>
      </c>
      <c r="X2314" s="250">
        <v>0.5</v>
      </c>
      <c r="Y2314" s="250">
        <v>0</v>
      </c>
      <c r="Z2314" s="150">
        <v>3</v>
      </c>
      <c r="AA2314" s="223">
        <v>0.5</v>
      </c>
      <c r="AB2314" s="152"/>
      <c r="AC2314" s="152"/>
      <c r="AD2314" s="223">
        <v>11.307708999999999</v>
      </c>
      <c r="AE2314" s="223">
        <v>0.40232279999999998</v>
      </c>
      <c r="AF2314" s="223">
        <v>4.551806</v>
      </c>
      <c r="AG2314" s="223">
        <v>0.41451440000000001</v>
      </c>
      <c r="AH2314" s="341"/>
      <c r="AI2314" s="218"/>
      <c r="AJ2314" s="218"/>
      <c r="AK2314" s="153"/>
      <c r="AL2314" s="152"/>
      <c r="AM2314" s="152"/>
      <c r="AN2314" s="152"/>
      <c r="AO2314" s="152"/>
      <c r="AP2314" s="152"/>
      <c r="AQ2314" s="152"/>
      <c r="AR2314" s="152"/>
      <c r="AS2314" s="152"/>
      <c r="AT2314" s="152"/>
      <c r="AU2314" s="153"/>
      <c r="AV2314" s="479"/>
      <c r="AW2314" s="479"/>
      <c r="AX2314" s="442"/>
      <c r="AY2314" s="153"/>
      <c r="AZ2314" s="152"/>
      <c r="BA2314" s="152"/>
      <c r="BB2314" s="152"/>
      <c r="BC2314" s="152"/>
      <c r="BD2314" s="152"/>
      <c r="BE2314" s="152"/>
      <c r="BF2314" s="152"/>
      <c r="BG2314" s="152"/>
      <c r="BH2314" s="152"/>
      <c r="BI2314" s="153"/>
      <c r="BJ2314" s="153"/>
      <c r="BK2314" s="153"/>
      <c r="BL2314" s="153"/>
      <c r="BM2314" s="153"/>
      <c r="BN2314" s="153"/>
      <c r="BO2314" s="153"/>
      <c r="BP2314" s="153"/>
      <c r="BQ2314" s="153"/>
      <c r="BR2314" s="153"/>
      <c r="BS2314" s="153"/>
      <c r="BT2314" s="153"/>
      <c r="BU2314" s="153"/>
      <c r="BV2314" s="153"/>
      <c r="BW2314" s="153"/>
      <c r="BX2314" s="153"/>
      <c r="BY2314" s="153"/>
      <c r="BZ2314" s="153"/>
      <c r="CA2314" s="152"/>
      <c r="CB2314" s="152"/>
    </row>
    <row r="2315" spans="1:80" ht="15" x14ac:dyDescent="0.25">
      <c r="A2315" s="9" t="s">
        <v>190</v>
      </c>
      <c r="B2315" s="639" t="s">
        <v>66</v>
      </c>
      <c r="C2315" s="639"/>
      <c r="D2315" s="4">
        <f>VLOOKUP(E2315,'Quality Code'!D4:E24,2,TRUE)*VLOOKUP(MROUND(F2315,10),'Quality Code'!D28:E69,2,TRUE)*VLOOKUP(COUNTA(CB2315:CB2330),'Quality Code'!D73:E93,2,TRUE)</f>
        <v>2.4499999999999997</v>
      </c>
      <c r="E2315" s="14">
        <v>0.7</v>
      </c>
      <c r="F2315" s="18">
        <v>72</v>
      </c>
      <c r="G2315" s="12">
        <v>560.41899999999998</v>
      </c>
      <c r="H2315" s="2" t="s">
        <v>231</v>
      </c>
      <c r="I2315" s="10"/>
      <c r="J2315" s="10" t="s">
        <v>283</v>
      </c>
      <c r="K2315" s="10"/>
      <c r="L2315" s="640" t="s">
        <v>284</v>
      </c>
      <c r="M2315" s="640" t="s">
        <v>838</v>
      </c>
      <c r="N2315" s="579" t="s">
        <v>285</v>
      </c>
      <c r="O2315" s="579"/>
      <c r="P2315" s="10" t="s">
        <v>64</v>
      </c>
      <c r="Q2315" s="10" t="s">
        <v>64</v>
      </c>
      <c r="R2315" s="10" t="s">
        <v>64</v>
      </c>
      <c r="S2315" s="10" t="s">
        <v>64</v>
      </c>
      <c r="T2315" s="10" t="s">
        <v>64</v>
      </c>
      <c r="U2315" s="10" t="s">
        <v>64</v>
      </c>
      <c r="V2315" s="10"/>
      <c r="W2315" s="10"/>
      <c r="X2315" s="10"/>
      <c r="Y2315" s="10"/>
      <c r="Z2315" s="11"/>
      <c r="AA2315" s="81"/>
      <c r="AB2315" s="81"/>
      <c r="AC2315" s="116">
        <v>4.0000000000000001E-3</v>
      </c>
      <c r="AD2315" s="26"/>
      <c r="AE2315" s="26"/>
      <c r="AF2315" s="26"/>
      <c r="AG2315" s="26"/>
      <c r="AH2315" s="330" t="s">
        <v>329</v>
      </c>
      <c r="AI2315" s="123" t="s">
        <v>29</v>
      </c>
      <c r="AJ2315" s="123"/>
      <c r="AK2315" s="143"/>
      <c r="AL2315" s="17"/>
      <c r="AM2315" s="17"/>
      <c r="AN2315" s="17"/>
      <c r="AO2315" s="17"/>
      <c r="AP2315" s="17"/>
      <c r="AQ2315" s="17"/>
      <c r="AR2315" s="17"/>
      <c r="AS2315" s="17"/>
      <c r="AT2315" s="17"/>
      <c r="AU2315" s="18">
        <v>190</v>
      </c>
      <c r="AV2315" s="147">
        <v>1</v>
      </c>
      <c r="AW2315" s="147">
        <v>0.96</v>
      </c>
      <c r="AX2315" s="147">
        <v>0.65</v>
      </c>
      <c r="AY2315" s="147">
        <v>0.31</v>
      </c>
      <c r="AZ2315" s="17">
        <v>0.08</v>
      </c>
      <c r="BA2315" s="17">
        <v>0.04</v>
      </c>
      <c r="BB2315" s="17">
        <v>0.04</v>
      </c>
      <c r="BC2315" s="17">
        <v>0.02</v>
      </c>
      <c r="BD2315" s="17">
        <v>0</v>
      </c>
      <c r="BE2315" s="17">
        <v>0</v>
      </c>
      <c r="BF2315" s="17"/>
      <c r="BG2315" s="17"/>
      <c r="BH2315" s="17"/>
      <c r="BI2315" s="4"/>
      <c r="BJ2315" s="2"/>
      <c r="BK2315" s="2" t="s">
        <v>175</v>
      </c>
      <c r="BL2315" s="12"/>
      <c r="BM2315" s="12">
        <v>39.637799999999999</v>
      </c>
      <c r="BN2315" s="12">
        <v>24.383199999999999</v>
      </c>
      <c r="BO2315" s="12">
        <v>0.97532799999999997</v>
      </c>
      <c r="BP2315" s="12">
        <v>23.780864000000001</v>
      </c>
      <c r="BQ2315" s="12">
        <f>BN2315/BO2315</f>
        <v>25</v>
      </c>
      <c r="BR2315" s="12" t="s">
        <v>29</v>
      </c>
      <c r="BS2315" s="12"/>
      <c r="BT2315" s="12">
        <v>1.341</v>
      </c>
      <c r="BU2315" s="2"/>
      <c r="BV2315" s="2"/>
      <c r="BW2315" s="2"/>
      <c r="BX2315" s="2"/>
      <c r="BY2315" s="2"/>
      <c r="BZ2315" s="2"/>
      <c r="CA2315" s="381"/>
      <c r="CB2315" s="9" t="s">
        <v>224</v>
      </c>
    </row>
    <row r="2316" spans="1:80" s="87" customFormat="1" ht="15" x14ac:dyDescent="0.2">
      <c r="A2316" s="152"/>
      <c r="B2316" s="683"/>
      <c r="C2316" s="683"/>
      <c r="D2316" s="698"/>
      <c r="E2316" s="215"/>
      <c r="F2316" s="215"/>
      <c r="G2316" s="153"/>
      <c r="H2316" s="153"/>
      <c r="I2316" s="308">
        <v>20</v>
      </c>
      <c r="J2316" s="308">
        <v>60</v>
      </c>
      <c r="K2316" s="150">
        <v>1</v>
      </c>
      <c r="L2316" s="656">
        <v>20</v>
      </c>
      <c r="M2316" s="663">
        <v>34443</v>
      </c>
      <c r="N2316" s="600">
        <v>10.2492</v>
      </c>
      <c r="O2316" s="604">
        <v>8.5999999999999998E-4</v>
      </c>
      <c r="P2316" s="150"/>
      <c r="Q2316" s="250"/>
      <c r="R2316" s="250"/>
      <c r="S2316" s="250"/>
      <c r="T2316" s="250"/>
      <c r="U2316" s="250">
        <v>3.4000000000000002E-2</v>
      </c>
      <c r="V2316" s="250">
        <v>0.24199999999999999</v>
      </c>
      <c r="W2316" s="250">
        <v>0.24100000000000002</v>
      </c>
      <c r="X2316" s="250">
        <v>0.34499999999999997</v>
      </c>
      <c r="Y2316" s="250">
        <v>0.13800000000000001</v>
      </c>
      <c r="Z2316" s="150"/>
      <c r="AA2316" s="150">
        <v>0.53</v>
      </c>
      <c r="AB2316" s="152"/>
      <c r="AC2316" s="152"/>
      <c r="AD2316" s="223"/>
      <c r="AE2316" s="223"/>
      <c r="AF2316" s="223"/>
      <c r="AG2316" s="223"/>
      <c r="AH2316" s="341"/>
      <c r="AI2316" s="218"/>
      <c r="AJ2316" s="218"/>
      <c r="AK2316" s="153"/>
      <c r="AL2316" s="152"/>
      <c r="AM2316" s="152"/>
      <c r="AN2316" s="152"/>
      <c r="AO2316" s="152"/>
      <c r="AP2316" s="152"/>
      <c r="AQ2316" s="152"/>
      <c r="AR2316" s="152"/>
      <c r="AS2316" s="152"/>
      <c r="AT2316" s="152"/>
      <c r="AU2316" s="153"/>
      <c r="AV2316" s="479"/>
      <c r="AW2316" s="479"/>
      <c r="AX2316" s="442"/>
      <c r="AY2316" s="153"/>
      <c r="AZ2316" s="152"/>
      <c r="BA2316" s="152"/>
      <c r="BB2316" s="152"/>
      <c r="BC2316" s="152"/>
      <c r="BD2316" s="152"/>
      <c r="BE2316" s="152"/>
      <c r="BF2316" s="152"/>
      <c r="BG2316" s="152"/>
      <c r="BH2316" s="152"/>
      <c r="BI2316" s="153"/>
      <c r="BJ2316" s="153"/>
      <c r="BK2316" s="153"/>
      <c r="BL2316" s="153"/>
      <c r="BM2316" s="153"/>
      <c r="BN2316" s="153"/>
      <c r="BO2316" s="153"/>
      <c r="BP2316" s="153"/>
      <c r="BQ2316" s="153"/>
      <c r="BR2316" s="153"/>
      <c r="BS2316" s="153"/>
      <c r="BT2316" s="153"/>
      <c r="BU2316" s="153"/>
      <c r="BV2316" s="153"/>
      <c r="BW2316" s="153"/>
      <c r="BX2316" s="153"/>
      <c r="BY2316" s="153"/>
      <c r="BZ2316" s="153"/>
      <c r="CA2316" s="152"/>
      <c r="CB2316" s="486" t="s">
        <v>638</v>
      </c>
    </row>
    <row r="2317" spans="1:80" s="87" customFormat="1" ht="15" x14ac:dyDescent="0.2">
      <c r="A2317" s="152"/>
      <c r="B2317" s="683"/>
      <c r="C2317" s="683"/>
      <c r="D2317" s="698"/>
      <c r="E2317" s="215"/>
      <c r="F2317" s="215"/>
      <c r="G2317" s="153"/>
      <c r="H2317" s="153"/>
      <c r="I2317" s="308">
        <v>20</v>
      </c>
      <c r="J2317" s="308">
        <v>60</v>
      </c>
      <c r="K2317" s="150">
        <v>1</v>
      </c>
      <c r="L2317" s="656">
        <v>20</v>
      </c>
      <c r="M2317" s="663">
        <v>34443</v>
      </c>
      <c r="N2317" s="600">
        <v>10.2492</v>
      </c>
      <c r="O2317" s="604">
        <v>1.067E-3</v>
      </c>
      <c r="P2317" s="150"/>
      <c r="Q2317" s="250"/>
      <c r="R2317" s="250"/>
      <c r="S2317" s="250"/>
      <c r="T2317" s="250"/>
      <c r="U2317" s="250">
        <v>6.0999999999999999E-2</v>
      </c>
      <c r="V2317" s="250">
        <v>0.27200000000000002</v>
      </c>
      <c r="W2317" s="250">
        <v>0.27300000000000002</v>
      </c>
      <c r="X2317" s="250">
        <v>0.27300000000000002</v>
      </c>
      <c r="Y2317" s="250">
        <v>0.121</v>
      </c>
      <c r="Z2317" s="150"/>
      <c r="AA2317" s="150">
        <v>0.65</v>
      </c>
      <c r="AB2317" s="152"/>
      <c r="AC2317" s="152"/>
      <c r="AD2317" s="223"/>
      <c r="AE2317" s="223"/>
      <c r="AF2317" s="223"/>
      <c r="AG2317" s="223"/>
      <c r="AH2317" s="341"/>
      <c r="AI2317" s="218"/>
      <c r="AJ2317" s="218"/>
      <c r="AK2317" s="153"/>
      <c r="AL2317" s="152"/>
      <c r="AM2317" s="152"/>
      <c r="AN2317" s="152"/>
      <c r="AO2317" s="152"/>
      <c r="AP2317" s="152"/>
      <c r="AQ2317" s="152"/>
      <c r="AR2317" s="152"/>
      <c r="AS2317" s="152"/>
      <c r="AT2317" s="152"/>
      <c r="AU2317" s="153"/>
      <c r="AV2317" s="479"/>
      <c r="AW2317" s="479"/>
      <c r="AX2317" s="442"/>
      <c r="AY2317" s="153"/>
      <c r="AZ2317" s="152"/>
      <c r="BA2317" s="152"/>
      <c r="BB2317" s="152"/>
      <c r="BC2317" s="152"/>
      <c r="BD2317" s="152"/>
      <c r="BE2317" s="152"/>
      <c r="BF2317" s="152"/>
      <c r="BG2317" s="152"/>
      <c r="BH2317" s="152"/>
      <c r="BI2317" s="153"/>
      <c r="BJ2317" s="153"/>
      <c r="BK2317" s="153"/>
      <c r="BL2317" s="153"/>
      <c r="BM2317" s="153"/>
      <c r="BN2317" s="153"/>
      <c r="BO2317" s="153"/>
      <c r="BP2317" s="153"/>
      <c r="BQ2317" s="153"/>
      <c r="BR2317" s="153"/>
      <c r="BS2317" s="153"/>
      <c r="BT2317" s="153"/>
      <c r="BU2317" s="153"/>
      <c r="BV2317" s="153"/>
      <c r="BW2317" s="153"/>
      <c r="BX2317" s="153"/>
      <c r="BY2317" s="153"/>
      <c r="BZ2317" s="153"/>
      <c r="CA2317" s="152"/>
      <c r="CB2317" s="486" t="s">
        <v>639</v>
      </c>
    </row>
    <row r="2318" spans="1:80" s="87" customFormat="1" ht="15" x14ac:dyDescent="0.2">
      <c r="A2318" s="152"/>
      <c r="B2318" s="683"/>
      <c r="C2318" s="683"/>
      <c r="D2318" s="698"/>
      <c r="E2318" s="215"/>
      <c r="F2318" s="215"/>
      <c r="G2318" s="153"/>
      <c r="H2318" s="153"/>
      <c r="I2318" s="308">
        <v>20</v>
      </c>
      <c r="J2318" s="308">
        <v>60</v>
      </c>
      <c r="K2318" s="150">
        <v>1</v>
      </c>
      <c r="L2318" s="656">
        <v>20</v>
      </c>
      <c r="M2318" s="663">
        <v>34444</v>
      </c>
      <c r="N2318" s="600">
        <v>14.609400000000001</v>
      </c>
      <c r="O2318" s="604">
        <v>3.1380000000000002E-3</v>
      </c>
      <c r="P2318" s="150"/>
      <c r="Q2318" s="250"/>
      <c r="R2318" s="250"/>
      <c r="S2318" s="250"/>
      <c r="T2318" s="250"/>
      <c r="U2318" s="250">
        <v>1.3000000000000001E-2</v>
      </c>
      <c r="V2318" s="250">
        <v>0.14499999999999999</v>
      </c>
      <c r="W2318" s="250">
        <v>0.36200000000000004</v>
      </c>
      <c r="X2318" s="250">
        <v>0.42100000000000004</v>
      </c>
      <c r="Y2318" s="250">
        <v>5.9000000000000004E-2</v>
      </c>
      <c r="Z2318" s="150"/>
      <c r="AA2318" s="150">
        <v>0.52</v>
      </c>
      <c r="AB2318" s="152"/>
      <c r="AC2318" s="152"/>
      <c r="AD2318" s="223"/>
      <c r="AE2318" s="223"/>
      <c r="AF2318" s="223"/>
      <c r="AG2318" s="223"/>
      <c r="AH2318" s="341"/>
      <c r="AI2318" s="218"/>
      <c r="AJ2318" s="218"/>
      <c r="AK2318" s="153"/>
      <c r="AL2318" s="152"/>
      <c r="AM2318" s="152"/>
      <c r="AN2318" s="152"/>
      <c r="AO2318" s="152"/>
      <c r="AP2318" s="152"/>
      <c r="AQ2318" s="152"/>
      <c r="AR2318" s="152"/>
      <c r="AS2318" s="152"/>
      <c r="AT2318" s="152"/>
      <c r="AU2318" s="153"/>
      <c r="AV2318" s="479"/>
      <c r="AW2318" s="479"/>
      <c r="AX2318" s="442"/>
      <c r="AY2318" s="153"/>
      <c r="AZ2318" s="152"/>
      <c r="BA2318" s="152"/>
      <c r="BB2318" s="152"/>
      <c r="BC2318" s="152"/>
      <c r="BD2318" s="152"/>
      <c r="BE2318" s="152"/>
      <c r="BF2318" s="152"/>
      <c r="BG2318" s="152"/>
      <c r="BH2318" s="152"/>
      <c r="BI2318" s="153"/>
      <c r="BJ2318" s="153"/>
      <c r="BK2318" s="153"/>
      <c r="BL2318" s="153"/>
      <c r="BM2318" s="153"/>
      <c r="BN2318" s="153"/>
      <c r="BO2318" s="153"/>
      <c r="BP2318" s="153"/>
      <c r="BQ2318" s="153"/>
      <c r="BR2318" s="153"/>
      <c r="BS2318" s="153"/>
      <c r="BT2318" s="153"/>
      <c r="BU2318" s="153"/>
      <c r="BV2318" s="153"/>
      <c r="BW2318" s="153"/>
      <c r="BX2318" s="153"/>
      <c r="BY2318" s="153"/>
      <c r="BZ2318" s="153"/>
      <c r="CA2318" s="152"/>
      <c r="CB2318" s="486" t="s">
        <v>640</v>
      </c>
    </row>
    <row r="2319" spans="1:80" s="87" customFormat="1" x14ac:dyDescent="0.2">
      <c r="A2319" s="152"/>
      <c r="B2319" s="683"/>
      <c r="C2319" s="683"/>
      <c r="D2319" s="698"/>
      <c r="E2319" s="215"/>
      <c r="F2319" s="215"/>
      <c r="G2319" s="153"/>
      <c r="H2319" s="153"/>
      <c r="I2319" s="308">
        <v>20</v>
      </c>
      <c r="J2319" s="308">
        <v>60</v>
      </c>
      <c r="K2319" s="150">
        <v>1</v>
      </c>
      <c r="L2319" s="656">
        <v>20</v>
      </c>
      <c r="M2319" s="663">
        <v>34444</v>
      </c>
      <c r="N2319" s="600">
        <v>14.609400000000001</v>
      </c>
      <c r="O2319" s="604">
        <v>2.8019999999999998E-3</v>
      </c>
      <c r="P2319" s="150"/>
      <c r="Q2319" s="250"/>
      <c r="R2319" s="250"/>
      <c r="S2319" s="250"/>
      <c r="T2319" s="250"/>
      <c r="U2319" s="250">
        <v>1.4999999999999999E-2</v>
      </c>
      <c r="V2319" s="250">
        <v>0.13699999999999998</v>
      </c>
      <c r="W2319" s="250">
        <v>0.40100000000000002</v>
      </c>
      <c r="X2319" s="250">
        <v>0.38600000000000001</v>
      </c>
      <c r="Y2319" s="250">
        <v>6.0999999999999999E-2</v>
      </c>
      <c r="Z2319" s="150"/>
      <c r="AA2319" s="150">
        <v>0.55000000000000004</v>
      </c>
      <c r="AB2319" s="152"/>
      <c r="AC2319" s="152"/>
      <c r="AD2319" s="223"/>
      <c r="AE2319" s="223"/>
      <c r="AF2319" s="223"/>
      <c r="AG2319" s="223"/>
      <c r="AH2319" s="341"/>
      <c r="AI2319" s="218"/>
      <c r="AJ2319" s="218"/>
      <c r="AK2319" s="153"/>
      <c r="AL2319" s="152"/>
      <c r="AM2319" s="152"/>
      <c r="AN2319" s="152"/>
      <c r="AO2319" s="152"/>
      <c r="AP2319" s="152"/>
      <c r="AQ2319" s="152"/>
      <c r="AR2319" s="152"/>
      <c r="AS2319" s="152"/>
      <c r="AT2319" s="152"/>
      <c r="AU2319" s="153"/>
      <c r="AV2319" s="479"/>
      <c r="AW2319" s="479"/>
      <c r="AX2319" s="442"/>
      <c r="AY2319" s="153"/>
      <c r="AZ2319" s="152"/>
      <c r="BA2319" s="152"/>
      <c r="BB2319" s="152"/>
      <c r="BC2319" s="152"/>
      <c r="BD2319" s="152"/>
      <c r="BE2319" s="152"/>
      <c r="BF2319" s="152"/>
      <c r="BG2319" s="152"/>
      <c r="BH2319" s="152"/>
      <c r="BI2319" s="153"/>
      <c r="BJ2319" s="153"/>
      <c r="BK2319" s="153"/>
      <c r="BL2319" s="153"/>
      <c r="BM2319" s="153"/>
      <c r="BN2319" s="153"/>
      <c r="BO2319" s="153"/>
      <c r="BP2319" s="153"/>
      <c r="BQ2319" s="153"/>
      <c r="BR2319" s="153"/>
      <c r="BS2319" s="153"/>
      <c r="BT2319" s="153"/>
      <c r="BU2319" s="153"/>
      <c r="BV2319" s="153"/>
      <c r="BW2319" s="153"/>
      <c r="BX2319" s="153"/>
      <c r="BY2319" s="153"/>
      <c r="BZ2319" s="153"/>
      <c r="CA2319" s="152"/>
      <c r="CB2319" s="152"/>
    </row>
    <row r="2320" spans="1:80" s="87" customFormat="1" x14ac:dyDescent="0.2">
      <c r="A2320" s="152"/>
      <c r="B2320" s="683"/>
      <c r="C2320" s="683"/>
      <c r="D2320" s="698"/>
      <c r="E2320" s="215"/>
      <c r="F2320" s="215"/>
      <c r="G2320" s="153"/>
      <c r="H2320" s="153"/>
      <c r="I2320" s="308">
        <v>20</v>
      </c>
      <c r="J2320" s="308">
        <v>60</v>
      </c>
      <c r="K2320" s="150">
        <v>1</v>
      </c>
      <c r="L2320" s="656">
        <v>20</v>
      </c>
      <c r="M2320" s="663">
        <v>34452</v>
      </c>
      <c r="N2320" s="600">
        <v>11.042</v>
      </c>
      <c r="O2320" s="604">
        <v>5.7899999999999998E-4</v>
      </c>
      <c r="P2320" s="150"/>
      <c r="Q2320" s="250"/>
      <c r="R2320" s="250"/>
      <c r="S2320" s="250"/>
      <c r="T2320" s="250"/>
      <c r="U2320" s="250">
        <v>5.7000000000000002E-2</v>
      </c>
      <c r="V2320" s="250">
        <v>0.25700000000000001</v>
      </c>
      <c r="W2320" s="250">
        <v>0.42899999999999999</v>
      </c>
      <c r="X2320" s="250">
        <v>0.22800000000000001</v>
      </c>
      <c r="Y2320" s="250">
        <v>2.8999999999999998E-2</v>
      </c>
      <c r="Z2320" s="150"/>
      <c r="AA2320" s="150">
        <v>0.74</v>
      </c>
      <c r="AB2320" s="152"/>
      <c r="AC2320" s="152"/>
      <c r="AD2320" s="223"/>
      <c r="AE2320" s="223"/>
      <c r="AF2320" s="223"/>
      <c r="AG2320" s="223"/>
      <c r="AH2320" s="341"/>
      <c r="AI2320" s="218"/>
      <c r="AJ2320" s="218"/>
      <c r="AK2320" s="153"/>
      <c r="AL2320" s="152"/>
      <c r="AM2320" s="152"/>
      <c r="AN2320" s="152"/>
      <c r="AO2320" s="152"/>
      <c r="AP2320" s="152"/>
      <c r="AQ2320" s="152"/>
      <c r="AR2320" s="152"/>
      <c r="AS2320" s="152"/>
      <c r="AT2320" s="152"/>
      <c r="AU2320" s="153"/>
      <c r="AV2320" s="479"/>
      <c r="AW2320" s="479"/>
      <c r="AX2320" s="442"/>
      <c r="AY2320" s="153"/>
      <c r="AZ2320" s="152"/>
      <c r="BA2320" s="152"/>
      <c r="BB2320" s="152"/>
      <c r="BC2320" s="152"/>
      <c r="BD2320" s="152"/>
      <c r="BE2320" s="152"/>
      <c r="BF2320" s="152"/>
      <c r="BG2320" s="152"/>
      <c r="BH2320" s="152"/>
      <c r="BI2320" s="153"/>
      <c r="BJ2320" s="153"/>
      <c r="BK2320" s="153"/>
      <c r="BL2320" s="153"/>
      <c r="BM2320" s="153"/>
      <c r="BN2320" s="153"/>
      <c r="BO2320" s="153"/>
      <c r="BP2320" s="153"/>
      <c r="BQ2320" s="153"/>
      <c r="BR2320" s="153"/>
      <c r="BS2320" s="153"/>
      <c r="BT2320" s="153"/>
      <c r="BU2320" s="153"/>
      <c r="BV2320" s="153"/>
      <c r="BW2320" s="153"/>
      <c r="BX2320" s="153"/>
      <c r="BY2320" s="153"/>
      <c r="BZ2320" s="153"/>
      <c r="CA2320" s="152"/>
      <c r="CB2320" s="152"/>
    </row>
    <row r="2321" spans="1:80" s="87" customFormat="1" x14ac:dyDescent="0.2">
      <c r="A2321" s="152"/>
      <c r="B2321" s="683"/>
      <c r="C2321" s="683"/>
      <c r="D2321" s="698"/>
      <c r="E2321" s="215"/>
      <c r="F2321" s="215"/>
      <c r="G2321" s="153"/>
      <c r="H2321" s="153"/>
      <c r="I2321" s="308">
        <v>20</v>
      </c>
      <c r="J2321" s="308">
        <v>60</v>
      </c>
      <c r="K2321" s="150">
        <v>1</v>
      </c>
      <c r="L2321" s="656">
        <v>20</v>
      </c>
      <c r="M2321" s="663">
        <v>34452</v>
      </c>
      <c r="N2321" s="600">
        <v>11.042</v>
      </c>
      <c r="O2321" s="604">
        <v>1.9900000000000001E-4</v>
      </c>
      <c r="P2321" s="150"/>
      <c r="Q2321" s="250"/>
      <c r="R2321" s="250"/>
      <c r="S2321" s="250"/>
      <c r="T2321" s="250"/>
      <c r="U2321" s="250"/>
      <c r="V2321" s="250">
        <v>0.4</v>
      </c>
      <c r="W2321" s="250">
        <v>0.4</v>
      </c>
      <c r="X2321" s="250">
        <v>0.2</v>
      </c>
      <c r="Y2321" s="250">
        <v>0</v>
      </c>
      <c r="Z2321" s="150"/>
      <c r="AA2321" s="150">
        <v>0.84</v>
      </c>
      <c r="AB2321" s="152"/>
      <c r="AC2321" s="152"/>
      <c r="AD2321" s="223"/>
      <c r="AE2321" s="223"/>
      <c r="AF2321" s="223"/>
      <c r="AG2321" s="223"/>
      <c r="AH2321" s="341"/>
      <c r="AI2321" s="218"/>
      <c r="AJ2321" s="218"/>
      <c r="AK2321" s="153"/>
      <c r="AL2321" s="152"/>
      <c r="AM2321" s="152"/>
      <c r="AN2321" s="152"/>
      <c r="AO2321" s="152"/>
      <c r="AP2321" s="152"/>
      <c r="AQ2321" s="152"/>
      <c r="AR2321" s="152"/>
      <c r="AS2321" s="152"/>
      <c r="AT2321" s="152"/>
      <c r="AU2321" s="153"/>
      <c r="AV2321" s="479"/>
      <c r="AW2321" s="479"/>
      <c r="AX2321" s="442"/>
      <c r="AY2321" s="153"/>
      <c r="AZ2321" s="152"/>
      <c r="BA2321" s="152"/>
      <c r="BB2321" s="152"/>
      <c r="BC2321" s="152"/>
      <c r="BD2321" s="152"/>
      <c r="BE2321" s="152"/>
      <c r="BF2321" s="152"/>
      <c r="BG2321" s="152"/>
      <c r="BH2321" s="152"/>
      <c r="BI2321" s="153"/>
      <c r="BJ2321" s="153"/>
      <c r="BK2321" s="153"/>
      <c r="BL2321" s="153"/>
      <c r="BM2321" s="153"/>
      <c r="BN2321" s="153"/>
      <c r="BO2321" s="153"/>
      <c r="BP2321" s="153"/>
      <c r="BQ2321" s="153"/>
      <c r="BR2321" s="153"/>
      <c r="BS2321" s="153"/>
      <c r="BT2321" s="153"/>
      <c r="BU2321" s="153"/>
      <c r="BV2321" s="153"/>
      <c r="BW2321" s="153"/>
      <c r="BX2321" s="153"/>
      <c r="BY2321" s="153"/>
      <c r="BZ2321" s="153"/>
      <c r="CA2321" s="152"/>
      <c r="CB2321" s="152"/>
    </row>
    <row r="2322" spans="1:80" s="87" customFormat="1" x14ac:dyDescent="0.2">
      <c r="A2322" s="152"/>
      <c r="B2322" s="683"/>
      <c r="C2322" s="683"/>
      <c r="D2322" s="698"/>
      <c r="E2322" s="215"/>
      <c r="F2322" s="215"/>
      <c r="G2322" s="153"/>
      <c r="H2322" s="153"/>
      <c r="I2322" s="308">
        <v>20</v>
      </c>
      <c r="J2322" s="308">
        <v>60</v>
      </c>
      <c r="K2322" s="150">
        <v>1</v>
      </c>
      <c r="L2322" s="656">
        <v>20</v>
      </c>
      <c r="M2322" s="663">
        <v>34453</v>
      </c>
      <c r="N2322" s="600">
        <v>10.928699999999999</v>
      </c>
      <c r="O2322" s="604">
        <v>1.9900000000000001E-4</v>
      </c>
      <c r="P2322" s="150"/>
      <c r="Q2322" s="250"/>
      <c r="R2322" s="250"/>
      <c r="S2322" s="250"/>
      <c r="T2322" s="250"/>
      <c r="U2322" s="250"/>
      <c r="V2322" s="250">
        <v>0.27300000000000002</v>
      </c>
      <c r="W2322" s="250">
        <v>0.36299999999999999</v>
      </c>
      <c r="X2322" s="250">
        <v>0.36399999999999999</v>
      </c>
      <c r="Y2322" s="250">
        <v>0</v>
      </c>
      <c r="Z2322" s="150"/>
      <c r="AA2322" s="150">
        <v>0.65</v>
      </c>
      <c r="AB2322" s="152"/>
      <c r="AC2322" s="152"/>
      <c r="AD2322" s="223"/>
      <c r="AE2322" s="223"/>
      <c r="AF2322" s="223"/>
      <c r="AG2322" s="223"/>
      <c r="AH2322" s="341"/>
      <c r="AI2322" s="218"/>
      <c r="AJ2322" s="218"/>
      <c r="AK2322" s="153"/>
      <c r="AL2322" s="152"/>
      <c r="AM2322" s="152"/>
      <c r="AN2322" s="152"/>
      <c r="AO2322" s="152"/>
      <c r="AP2322" s="152"/>
      <c r="AQ2322" s="152"/>
      <c r="AR2322" s="152"/>
      <c r="AS2322" s="152"/>
      <c r="AT2322" s="152"/>
      <c r="AU2322" s="153"/>
      <c r="AV2322" s="479"/>
      <c r="AW2322" s="479"/>
      <c r="AX2322" s="442"/>
      <c r="AY2322" s="153"/>
      <c r="AZ2322" s="152"/>
      <c r="BA2322" s="152"/>
      <c r="BB2322" s="152"/>
      <c r="BC2322" s="152"/>
      <c r="BD2322" s="152"/>
      <c r="BE2322" s="152"/>
      <c r="BF2322" s="152"/>
      <c r="BG2322" s="152"/>
      <c r="BH2322" s="152"/>
      <c r="BI2322" s="153"/>
      <c r="BJ2322" s="153"/>
      <c r="BK2322" s="153"/>
      <c r="BL2322" s="153"/>
      <c r="BM2322" s="153"/>
      <c r="BN2322" s="153"/>
      <c r="BO2322" s="153"/>
      <c r="BP2322" s="153"/>
      <c r="BQ2322" s="153"/>
      <c r="BR2322" s="153"/>
      <c r="BS2322" s="153"/>
      <c r="BT2322" s="153"/>
      <c r="BU2322" s="153"/>
      <c r="BV2322" s="153"/>
      <c r="BW2322" s="153"/>
      <c r="BX2322" s="153"/>
      <c r="BY2322" s="153"/>
      <c r="BZ2322" s="153"/>
      <c r="CA2322" s="152"/>
      <c r="CB2322" s="152"/>
    </row>
    <row r="2323" spans="1:80" s="87" customFormat="1" x14ac:dyDescent="0.2">
      <c r="A2323" s="152"/>
      <c r="B2323" s="683"/>
      <c r="C2323" s="683"/>
      <c r="D2323" s="698"/>
      <c r="E2323" s="215"/>
      <c r="F2323" s="215"/>
      <c r="G2323" s="153"/>
      <c r="H2323" s="153"/>
      <c r="I2323" s="308">
        <v>20</v>
      </c>
      <c r="J2323" s="308">
        <v>60</v>
      </c>
      <c r="K2323" s="150">
        <v>1</v>
      </c>
      <c r="L2323" s="656">
        <v>20</v>
      </c>
      <c r="M2323" s="663">
        <v>34453</v>
      </c>
      <c r="N2323" s="600">
        <v>10.928699999999999</v>
      </c>
      <c r="O2323" s="604">
        <v>6.6E-4</v>
      </c>
      <c r="P2323" s="150"/>
      <c r="Q2323" s="250"/>
      <c r="R2323" s="250"/>
      <c r="S2323" s="250"/>
      <c r="T2323" s="250"/>
      <c r="U2323" s="250">
        <v>6.3E-2</v>
      </c>
      <c r="V2323" s="250">
        <v>0.312</v>
      </c>
      <c r="W2323" s="250">
        <v>0.375</v>
      </c>
      <c r="X2323" s="250">
        <v>0.21899999999999997</v>
      </c>
      <c r="Y2323" s="250">
        <v>3.1E-2</v>
      </c>
      <c r="Z2323" s="150"/>
      <c r="AA2323" s="150">
        <v>0.79</v>
      </c>
      <c r="AB2323" s="152"/>
      <c r="AC2323" s="152"/>
      <c r="AD2323" s="223"/>
      <c r="AE2323" s="223"/>
      <c r="AF2323" s="223"/>
      <c r="AG2323" s="223"/>
      <c r="AH2323" s="341"/>
      <c r="AI2323" s="218"/>
      <c r="AJ2323" s="218"/>
      <c r="AK2323" s="153"/>
      <c r="AL2323" s="152"/>
      <c r="AM2323" s="152"/>
      <c r="AN2323" s="152"/>
      <c r="AO2323" s="152"/>
      <c r="AP2323" s="152"/>
      <c r="AQ2323" s="152"/>
      <c r="AR2323" s="152"/>
      <c r="AS2323" s="152"/>
      <c r="AT2323" s="152"/>
      <c r="AU2323" s="153"/>
      <c r="AV2323" s="479"/>
      <c r="AW2323" s="479"/>
      <c r="AX2323" s="442"/>
      <c r="AY2323" s="153"/>
      <c r="AZ2323" s="152"/>
      <c r="BA2323" s="152"/>
      <c r="BB2323" s="152"/>
      <c r="BC2323" s="152"/>
      <c r="BD2323" s="152"/>
      <c r="BE2323" s="152"/>
      <c r="BF2323" s="152"/>
      <c r="BG2323" s="152"/>
      <c r="BH2323" s="152"/>
      <c r="BI2323" s="153"/>
      <c r="BJ2323" s="153"/>
      <c r="BK2323" s="153"/>
      <c r="BL2323" s="153"/>
      <c r="BM2323" s="153"/>
      <c r="BN2323" s="153"/>
      <c r="BO2323" s="153"/>
      <c r="BP2323" s="153"/>
      <c r="BQ2323" s="153"/>
      <c r="BR2323" s="153"/>
      <c r="BS2323" s="153"/>
      <c r="BT2323" s="153"/>
      <c r="BU2323" s="153"/>
      <c r="BV2323" s="153"/>
      <c r="BW2323" s="153"/>
      <c r="BX2323" s="153"/>
      <c r="BY2323" s="153"/>
      <c r="BZ2323" s="153"/>
      <c r="CA2323" s="152"/>
      <c r="CB2323" s="152"/>
    </row>
    <row r="2324" spans="1:80" s="87" customFormat="1" x14ac:dyDescent="0.2">
      <c r="A2324" s="152"/>
      <c r="B2324" s="683"/>
      <c r="C2324" s="683"/>
      <c r="D2324" s="698"/>
      <c r="E2324" s="215"/>
      <c r="F2324" s="215"/>
      <c r="G2324" s="153"/>
      <c r="H2324" s="153"/>
      <c r="I2324" s="308">
        <v>20</v>
      </c>
      <c r="J2324" s="308">
        <v>60</v>
      </c>
      <c r="K2324" s="150">
        <v>1</v>
      </c>
      <c r="L2324" s="656">
        <v>20</v>
      </c>
      <c r="M2324" s="663">
        <v>34457</v>
      </c>
      <c r="N2324" s="600">
        <v>12.910600000000001</v>
      </c>
      <c r="O2324" s="604">
        <v>2.026E-3</v>
      </c>
      <c r="P2324" s="150"/>
      <c r="Q2324" s="250"/>
      <c r="R2324" s="250"/>
      <c r="S2324" s="250"/>
      <c r="T2324" s="250"/>
      <c r="U2324" s="250">
        <v>7.400000000000001E-2</v>
      </c>
      <c r="V2324" s="250">
        <v>0.33799999999999997</v>
      </c>
      <c r="W2324" s="250">
        <v>0.38200000000000001</v>
      </c>
      <c r="X2324" s="250">
        <v>0.191</v>
      </c>
      <c r="Y2324" s="250">
        <v>1.4999999999999999E-2</v>
      </c>
      <c r="Z2324" s="150"/>
      <c r="AA2324" s="150">
        <v>0.85</v>
      </c>
      <c r="AB2324" s="152"/>
      <c r="AC2324" s="152"/>
      <c r="AD2324" s="223"/>
      <c r="AE2324" s="223"/>
      <c r="AF2324" s="223"/>
      <c r="AG2324" s="223"/>
      <c r="AH2324" s="341"/>
      <c r="AI2324" s="218"/>
      <c r="AJ2324" s="218"/>
      <c r="AK2324" s="153"/>
      <c r="AL2324" s="152"/>
      <c r="AM2324" s="152"/>
      <c r="AN2324" s="152"/>
      <c r="AO2324" s="152"/>
      <c r="AP2324" s="152"/>
      <c r="AQ2324" s="152"/>
      <c r="AR2324" s="152"/>
      <c r="AS2324" s="152"/>
      <c r="AT2324" s="152"/>
      <c r="AU2324" s="153"/>
      <c r="AV2324" s="479"/>
      <c r="AW2324" s="479"/>
      <c r="AX2324" s="442"/>
      <c r="AY2324" s="153"/>
      <c r="AZ2324" s="152"/>
      <c r="BA2324" s="152"/>
      <c r="BB2324" s="152"/>
      <c r="BC2324" s="152"/>
      <c r="BD2324" s="152"/>
      <c r="BE2324" s="152"/>
      <c r="BF2324" s="152"/>
      <c r="BG2324" s="152"/>
      <c r="BH2324" s="152"/>
      <c r="BI2324" s="153"/>
      <c r="BJ2324" s="153"/>
      <c r="BK2324" s="153"/>
      <c r="BL2324" s="153"/>
      <c r="BM2324" s="153"/>
      <c r="BN2324" s="153"/>
      <c r="BO2324" s="153"/>
      <c r="BP2324" s="153"/>
      <c r="BQ2324" s="153"/>
      <c r="BR2324" s="153"/>
      <c r="BS2324" s="153"/>
      <c r="BT2324" s="153"/>
      <c r="BU2324" s="153"/>
      <c r="BV2324" s="153"/>
      <c r="BW2324" s="153"/>
      <c r="BX2324" s="153"/>
      <c r="BY2324" s="153"/>
      <c r="BZ2324" s="153"/>
      <c r="CA2324" s="152"/>
      <c r="CB2324" s="152"/>
    </row>
    <row r="2325" spans="1:80" s="87" customFormat="1" x14ac:dyDescent="0.2">
      <c r="A2325" s="152"/>
      <c r="B2325" s="683"/>
      <c r="C2325" s="683"/>
      <c r="D2325" s="698"/>
      <c r="E2325" s="215"/>
      <c r="F2325" s="215"/>
      <c r="G2325" s="153"/>
      <c r="H2325" s="153"/>
      <c r="I2325" s="308">
        <v>20</v>
      </c>
      <c r="J2325" s="308">
        <v>60</v>
      </c>
      <c r="K2325" s="150">
        <v>1</v>
      </c>
      <c r="L2325" s="656">
        <v>20</v>
      </c>
      <c r="M2325" s="663">
        <v>34457</v>
      </c>
      <c r="N2325" s="600">
        <v>12.910600000000001</v>
      </c>
      <c r="O2325" s="604">
        <v>1.322E-3</v>
      </c>
      <c r="P2325" s="150"/>
      <c r="Q2325" s="250"/>
      <c r="R2325" s="250"/>
      <c r="S2325" s="250"/>
      <c r="T2325" s="250"/>
      <c r="U2325" s="250">
        <v>0</v>
      </c>
      <c r="V2325" s="250">
        <v>0.26700000000000002</v>
      </c>
      <c r="W2325" s="250">
        <v>0.51100000000000001</v>
      </c>
      <c r="X2325" s="250">
        <v>0.222</v>
      </c>
      <c r="Y2325" s="250">
        <v>0</v>
      </c>
      <c r="Z2325" s="150"/>
      <c r="AA2325" s="150">
        <v>0.73</v>
      </c>
      <c r="AB2325" s="152"/>
      <c r="AC2325" s="152"/>
      <c r="AD2325" s="223"/>
      <c r="AE2325" s="223"/>
      <c r="AF2325" s="223"/>
      <c r="AG2325" s="223"/>
      <c r="AH2325" s="341"/>
      <c r="AI2325" s="218"/>
      <c r="AJ2325" s="218"/>
      <c r="AK2325" s="153"/>
      <c r="AL2325" s="152"/>
      <c r="AM2325" s="152"/>
      <c r="AN2325" s="152"/>
      <c r="AO2325" s="152"/>
      <c r="AP2325" s="152"/>
      <c r="AQ2325" s="152"/>
      <c r="AR2325" s="152"/>
      <c r="AS2325" s="152"/>
      <c r="AT2325" s="152"/>
      <c r="AU2325" s="153"/>
      <c r="AV2325" s="479"/>
      <c r="AW2325" s="479"/>
      <c r="AX2325" s="442"/>
      <c r="AY2325" s="153"/>
      <c r="AZ2325" s="152"/>
      <c r="BA2325" s="152"/>
      <c r="BB2325" s="152"/>
      <c r="BC2325" s="152"/>
      <c r="BD2325" s="152"/>
      <c r="BE2325" s="152"/>
      <c r="BF2325" s="152"/>
      <c r="BG2325" s="152"/>
      <c r="BH2325" s="152"/>
      <c r="BI2325" s="153"/>
      <c r="BJ2325" s="153"/>
      <c r="BK2325" s="153"/>
      <c r="BL2325" s="153"/>
      <c r="BM2325" s="153"/>
      <c r="BN2325" s="153"/>
      <c r="BO2325" s="153"/>
      <c r="BP2325" s="153"/>
      <c r="BQ2325" s="153"/>
      <c r="BR2325" s="153"/>
      <c r="BS2325" s="153"/>
      <c r="BT2325" s="153"/>
      <c r="BU2325" s="153"/>
      <c r="BV2325" s="153"/>
      <c r="BW2325" s="153"/>
      <c r="BX2325" s="153"/>
      <c r="BY2325" s="153"/>
      <c r="BZ2325" s="153"/>
      <c r="CA2325" s="152"/>
      <c r="CB2325" s="152"/>
    </row>
    <row r="2326" spans="1:80" s="87" customFormat="1" x14ac:dyDescent="0.2">
      <c r="A2326" s="152"/>
      <c r="B2326" s="683"/>
      <c r="C2326" s="683"/>
      <c r="D2326" s="698"/>
      <c r="E2326" s="215"/>
      <c r="F2326" s="215"/>
      <c r="G2326" s="153"/>
      <c r="H2326" s="153"/>
      <c r="I2326" s="308">
        <v>20</v>
      </c>
      <c r="J2326" s="308">
        <v>60</v>
      </c>
      <c r="K2326" s="150">
        <v>1</v>
      </c>
      <c r="L2326" s="656">
        <v>20</v>
      </c>
      <c r="M2326" s="663">
        <v>34458</v>
      </c>
      <c r="N2326" s="600">
        <v>15.0624</v>
      </c>
      <c r="O2326" s="604">
        <v>6.4000000000000005E-4</v>
      </c>
      <c r="P2326" s="150"/>
      <c r="Q2326" s="250"/>
      <c r="R2326" s="250"/>
      <c r="S2326" s="250"/>
      <c r="T2326" s="250"/>
      <c r="U2326" s="250">
        <v>0.121</v>
      </c>
      <c r="V2326" s="250">
        <v>0.24299999999999999</v>
      </c>
      <c r="W2326" s="250">
        <v>0.36299999999999999</v>
      </c>
      <c r="X2326" s="250">
        <v>0.24299999999999999</v>
      </c>
      <c r="Y2326" s="250">
        <v>0.03</v>
      </c>
      <c r="Z2326" s="150"/>
      <c r="AA2326" s="150">
        <v>0.77</v>
      </c>
      <c r="AB2326" s="152"/>
      <c r="AC2326" s="152"/>
      <c r="AD2326" s="223"/>
      <c r="AE2326" s="223"/>
      <c r="AF2326" s="223"/>
      <c r="AG2326" s="223"/>
      <c r="AH2326" s="341"/>
      <c r="AI2326" s="218"/>
      <c r="AJ2326" s="218"/>
      <c r="AK2326" s="153"/>
      <c r="AL2326" s="152"/>
      <c r="AM2326" s="152"/>
      <c r="AN2326" s="152"/>
      <c r="AO2326" s="152"/>
      <c r="AP2326" s="152"/>
      <c r="AQ2326" s="152"/>
      <c r="AR2326" s="152"/>
      <c r="AS2326" s="152"/>
      <c r="AT2326" s="152"/>
      <c r="AU2326" s="153"/>
      <c r="AV2326" s="479"/>
      <c r="AW2326" s="479"/>
      <c r="AX2326" s="442"/>
      <c r="AY2326" s="153"/>
      <c r="AZ2326" s="152"/>
      <c r="BA2326" s="152"/>
      <c r="BB2326" s="152"/>
      <c r="BC2326" s="152"/>
      <c r="BD2326" s="152"/>
      <c r="BE2326" s="152"/>
      <c r="BF2326" s="152"/>
      <c r="BG2326" s="152"/>
      <c r="BH2326" s="152"/>
      <c r="BI2326" s="153"/>
      <c r="BJ2326" s="153"/>
      <c r="BK2326" s="153"/>
      <c r="BL2326" s="153"/>
      <c r="BM2326" s="153"/>
      <c r="BN2326" s="153"/>
      <c r="BO2326" s="153"/>
      <c r="BP2326" s="153"/>
      <c r="BQ2326" s="153"/>
      <c r="BR2326" s="153"/>
      <c r="BS2326" s="153"/>
      <c r="BT2326" s="153"/>
      <c r="BU2326" s="153"/>
      <c r="BV2326" s="153"/>
      <c r="BW2326" s="153"/>
      <c r="BX2326" s="153"/>
      <c r="BY2326" s="153"/>
      <c r="BZ2326" s="153"/>
      <c r="CA2326" s="152"/>
      <c r="CB2326" s="152"/>
    </row>
    <row r="2327" spans="1:80" s="87" customFormat="1" x14ac:dyDescent="0.2">
      <c r="A2327" s="152"/>
      <c r="B2327" s="683"/>
      <c r="C2327" s="683"/>
      <c r="D2327" s="698"/>
      <c r="E2327" s="215"/>
      <c r="F2327" s="215"/>
      <c r="G2327" s="153"/>
      <c r="H2327" s="153"/>
      <c r="I2327" s="308">
        <v>20</v>
      </c>
      <c r="J2327" s="308">
        <v>60</v>
      </c>
      <c r="K2327" s="150">
        <v>1</v>
      </c>
      <c r="L2327" s="656">
        <v>20</v>
      </c>
      <c r="M2327" s="663">
        <v>34458</v>
      </c>
      <c r="N2327" s="600">
        <v>15.0624</v>
      </c>
      <c r="O2327" s="604">
        <v>1.1969999999999999E-3</v>
      </c>
      <c r="P2327" s="150"/>
      <c r="Q2327" s="250"/>
      <c r="R2327" s="250"/>
      <c r="S2327" s="250"/>
      <c r="T2327" s="250">
        <v>5.2000000000000005E-2</v>
      </c>
      <c r="U2327" s="250">
        <v>0.155</v>
      </c>
      <c r="V2327" s="250">
        <v>0.31</v>
      </c>
      <c r="W2327" s="250">
        <v>0.311</v>
      </c>
      <c r="X2327" s="250">
        <v>0.155</v>
      </c>
      <c r="Y2327" s="250">
        <v>1.7000000000000001E-2</v>
      </c>
      <c r="Z2327" s="150"/>
      <c r="AA2327" s="150">
        <v>1.04</v>
      </c>
      <c r="AB2327" s="152"/>
      <c r="AC2327" s="152"/>
      <c r="AD2327" s="223"/>
      <c r="AE2327" s="223"/>
      <c r="AF2327" s="223"/>
      <c r="AG2327" s="223"/>
      <c r="AH2327" s="341"/>
      <c r="AI2327" s="218"/>
      <c r="AJ2327" s="218"/>
      <c r="AK2327" s="153"/>
      <c r="AL2327" s="152"/>
      <c r="AM2327" s="152"/>
      <c r="AN2327" s="152"/>
      <c r="AO2327" s="152"/>
      <c r="AP2327" s="152"/>
      <c r="AQ2327" s="152"/>
      <c r="AR2327" s="152"/>
      <c r="AS2327" s="152"/>
      <c r="AT2327" s="152"/>
      <c r="AU2327" s="153"/>
      <c r="AV2327" s="479"/>
      <c r="AW2327" s="479"/>
      <c r="AX2327" s="442"/>
      <c r="AY2327" s="153"/>
      <c r="AZ2327" s="152"/>
      <c r="BA2327" s="152"/>
      <c r="BB2327" s="152"/>
      <c r="BC2327" s="152"/>
      <c r="BD2327" s="152"/>
      <c r="BE2327" s="152"/>
      <c r="BF2327" s="152"/>
      <c r="BG2327" s="152"/>
      <c r="BH2327" s="152"/>
      <c r="BI2327" s="153"/>
      <c r="BJ2327" s="153"/>
      <c r="BK2327" s="153"/>
      <c r="BL2327" s="153"/>
      <c r="BM2327" s="153"/>
      <c r="BN2327" s="153"/>
      <c r="BO2327" s="153"/>
      <c r="BP2327" s="153"/>
      <c r="BQ2327" s="153"/>
      <c r="BR2327" s="153"/>
      <c r="BS2327" s="153"/>
      <c r="BT2327" s="153"/>
      <c r="BU2327" s="153"/>
      <c r="BV2327" s="153"/>
      <c r="BW2327" s="153"/>
      <c r="BX2327" s="153"/>
      <c r="BY2327" s="153"/>
      <c r="BZ2327" s="153"/>
      <c r="CA2327" s="152"/>
      <c r="CB2327" s="152"/>
    </row>
    <row r="2328" spans="1:80" s="87" customFormat="1" x14ac:dyDescent="0.2">
      <c r="A2328" s="152"/>
      <c r="B2328" s="683"/>
      <c r="C2328" s="683"/>
      <c r="D2328" s="698"/>
      <c r="E2328" s="215"/>
      <c r="F2328" s="215"/>
      <c r="G2328" s="153"/>
      <c r="H2328" s="153"/>
      <c r="I2328" s="308">
        <v>20</v>
      </c>
      <c r="J2328" s="308">
        <v>60</v>
      </c>
      <c r="K2328" s="150">
        <v>1</v>
      </c>
      <c r="L2328" s="656">
        <v>20</v>
      </c>
      <c r="M2328" s="663">
        <v>34464</v>
      </c>
      <c r="N2328" s="600">
        <v>32.559600000000003</v>
      </c>
      <c r="O2328" s="604">
        <v>1.4064E-2</v>
      </c>
      <c r="P2328" s="150"/>
      <c r="Q2328" s="250"/>
      <c r="R2328" s="250"/>
      <c r="S2328" s="250"/>
      <c r="T2328" s="250">
        <v>4.4999999999999998E-2</v>
      </c>
      <c r="U2328" s="250">
        <v>0.13900000000000001</v>
      </c>
      <c r="V2328" s="250">
        <v>0.35799999999999998</v>
      </c>
      <c r="W2328" s="250">
        <v>0.29399999999999998</v>
      </c>
      <c r="X2328" s="250">
        <v>0.159</v>
      </c>
      <c r="Y2328" s="250">
        <v>5.0000000000000001E-3</v>
      </c>
      <c r="Z2328" s="150"/>
      <c r="AA2328" s="150">
        <v>1.08</v>
      </c>
      <c r="AB2328" s="152"/>
      <c r="AC2328" s="152"/>
      <c r="AD2328" s="223"/>
      <c r="AE2328" s="223"/>
      <c r="AF2328" s="223"/>
      <c r="AG2328" s="223"/>
      <c r="AH2328" s="341"/>
      <c r="AI2328" s="218"/>
      <c r="AJ2328" s="218"/>
      <c r="AK2328" s="153"/>
      <c r="AL2328" s="152"/>
      <c r="AM2328" s="152"/>
      <c r="AN2328" s="152"/>
      <c r="AO2328" s="152"/>
      <c r="AP2328" s="152"/>
      <c r="AQ2328" s="152"/>
      <c r="AR2328" s="152"/>
      <c r="AS2328" s="152"/>
      <c r="AT2328" s="152"/>
      <c r="AU2328" s="153"/>
      <c r="AV2328" s="479"/>
      <c r="AW2328" s="479"/>
      <c r="AX2328" s="442"/>
      <c r="AY2328" s="153"/>
      <c r="AZ2328" s="152"/>
      <c r="BA2328" s="152"/>
      <c r="BB2328" s="152"/>
      <c r="BC2328" s="152"/>
      <c r="BD2328" s="152"/>
      <c r="BE2328" s="152"/>
      <c r="BF2328" s="152"/>
      <c r="BG2328" s="152"/>
      <c r="BH2328" s="152"/>
      <c r="BI2328" s="153"/>
      <c r="BJ2328" s="153"/>
      <c r="BK2328" s="153"/>
      <c r="BL2328" s="153"/>
      <c r="BM2328" s="153"/>
      <c r="BN2328" s="153"/>
      <c r="BO2328" s="153"/>
      <c r="BP2328" s="153"/>
      <c r="BQ2328" s="153"/>
      <c r="BR2328" s="153"/>
      <c r="BS2328" s="153"/>
      <c r="BT2328" s="153"/>
      <c r="BU2328" s="153"/>
      <c r="BV2328" s="153"/>
      <c r="BW2328" s="153"/>
      <c r="BX2328" s="153"/>
      <c r="BY2328" s="153"/>
      <c r="BZ2328" s="153"/>
      <c r="CA2328" s="152"/>
      <c r="CB2328" s="152"/>
    </row>
    <row r="2329" spans="1:80" s="87" customFormat="1" x14ac:dyDescent="0.2">
      <c r="A2329" s="152"/>
      <c r="B2329" s="683"/>
      <c r="C2329" s="683"/>
      <c r="D2329" s="698"/>
      <c r="E2329" s="215"/>
      <c r="F2329" s="215"/>
      <c r="G2329" s="153"/>
      <c r="H2329" s="153"/>
      <c r="I2329" s="308">
        <v>20</v>
      </c>
      <c r="J2329" s="308">
        <v>60</v>
      </c>
      <c r="K2329" s="150">
        <v>1</v>
      </c>
      <c r="L2329" s="656">
        <v>20</v>
      </c>
      <c r="M2329" s="663">
        <v>34464</v>
      </c>
      <c r="N2329" s="600">
        <v>32.559600000000003</v>
      </c>
      <c r="O2329" s="604">
        <v>7.8300000000000002E-3</v>
      </c>
      <c r="P2329" s="150"/>
      <c r="Q2329" s="250"/>
      <c r="R2329" s="250"/>
      <c r="S2329" s="250"/>
      <c r="T2329" s="250"/>
      <c r="U2329" s="250">
        <v>7.6999999999999999E-2</v>
      </c>
      <c r="V2329" s="250">
        <v>0.33600000000000002</v>
      </c>
      <c r="W2329" s="250">
        <v>0.38400000000000001</v>
      </c>
      <c r="X2329" s="250">
        <v>0.193</v>
      </c>
      <c r="Y2329" s="250">
        <v>0.01</v>
      </c>
      <c r="Z2329" s="150"/>
      <c r="AA2329" s="150">
        <v>0.85</v>
      </c>
      <c r="AB2329" s="152"/>
      <c r="AC2329" s="152"/>
      <c r="AD2329" s="223"/>
      <c r="AE2329" s="223"/>
      <c r="AF2329" s="223"/>
      <c r="AG2329" s="223"/>
      <c r="AH2329" s="341"/>
      <c r="AI2329" s="218"/>
      <c r="AJ2329" s="218"/>
      <c r="AK2329" s="153"/>
      <c r="AL2329" s="152"/>
      <c r="AM2329" s="152"/>
      <c r="AN2329" s="152"/>
      <c r="AO2329" s="152"/>
      <c r="AP2329" s="152"/>
      <c r="AQ2329" s="152"/>
      <c r="AR2329" s="152"/>
      <c r="AS2329" s="152"/>
      <c r="AT2329" s="152"/>
      <c r="AU2329" s="153"/>
      <c r="AV2329" s="479"/>
      <c r="AW2329" s="479"/>
      <c r="AX2329" s="442"/>
      <c r="AY2329" s="153"/>
      <c r="AZ2329" s="152"/>
      <c r="BA2329" s="152"/>
      <c r="BB2329" s="152"/>
      <c r="BC2329" s="152"/>
      <c r="BD2329" s="152"/>
      <c r="BE2329" s="152"/>
      <c r="BF2329" s="152"/>
      <c r="BG2329" s="152"/>
      <c r="BH2329" s="152"/>
      <c r="BI2329" s="153"/>
      <c r="BJ2329" s="153"/>
      <c r="BK2329" s="153"/>
      <c r="BL2329" s="153"/>
      <c r="BM2329" s="153"/>
      <c r="BN2329" s="153"/>
      <c r="BO2329" s="153"/>
      <c r="BP2329" s="153"/>
      <c r="BQ2329" s="153"/>
      <c r="BR2329" s="153"/>
      <c r="BS2329" s="153"/>
      <c r="BT2329" s="153"/>
      <c r="BU2329" s="153"/>
      <c r="BV2329" s="153"/>
      <c r="BW2329" s="153"/>
      <c r="BX2329" s="153"/>
      <c r="BY2329" s="153"/>
      <c r="BZ2329" s="153"/>
      <c r="CA2329" s="152"/>
      <c r="CB2329" s="152"/>
    </row>
    <row r="2330" spans="1:80" s="87" customFormat="1" x14ac:dyDescent="0.2">
      <c r="A2330" s="152"/>
      <c r="B2330" s="683"/>
      <c r="C2330" s="683"/>
      <c r="D2330" s="698"/>
      <c r="E2330" s="215"/>
      <c r="F2330" s="215"/>
      <c r="G2330" s="153"/>
      <c r="H2330" s="153"/>
      <c r="I2330" s="308">
        <v>20</v>
      </c>
      <c r="J2330" s="308">
        <v>60</v>
      </c>
      <c r="K2330" s="150">
        <v>1</v>
      </c>
      <c r="L2330" s="656">
        <v>20</v>
      </c>
      <c r="M2330" s="663">
        <v>34465</v>
      </c>
      <c r="N2330" s="600">
        <v>35.957099999999997</v>
      </c>
      <c r="O2330" s="604">
        <v>1.4378999999999999E-2</v>
      </c>
      <c r="P2330" s="150"/>
      <c r="Q2330" s="250"/>
      <c r="R2330" s="250"/>
      <c r="S2330" s="250"/>
      <c r="T2330" s="250">
        <v>2.1000000000000001E-2</v>
      </c>
      <c r="U2330" s="250">
        <v>0.10199999999999999</v>
      </c>
      <c r="V2330" s="250">
        <v>0.36099999999999999</v>
      </c>
      <c r="W2330" s="250">
        <v>0.371</v>
      </c>
      <c r="X2330" s="250">
        <v>0.14000000000000001</v>
      </c>
      <c r="Y2330" s="250">
        <v>5.0000000000000001E-3</v>
      </c>
      <c r="Z2330" s="150"/>
      <c r="AA2330" s="150">
        <v>0.97</v>
      </c>
      <c r="AB2330" s="152"/>
      <c r="AC2330" s="152"/>
      <c r="AD2330" s="223"/>
      <c r="AE2330" s="223"/>
      <c r="AF2330" s="223"/>
      <c r="AG2330" s="223"/>
      <c r="AH2330" s="341"/>
      <c r="AI2330" s="218"/>
      <c r="AJ2330" s="218"/>
      <c r="AK2330" s="153"/>
      <c r="AL2330" s="152"/>
      <c r="AM2330" s="152"/>
      <c r="AN2330" s="152"/>
      <c r="AO2330" s="152"/>
      <c r="AP2330" s="152"/>
      <c r="AQ2330" s="152"/>
      <c r="AR2330" s="152"/>
      <c r="AS2330" s="152"/>
      <c r="AT2330" s="152"/>
      <c r="AU2330" s="153"/>
      <c r="AV2330" s="479"/>
      <c r="AW2330" s="479"/>
      <c r="AX2330" s="442"/>
      <c r="AY2330" s="153"/>
      <c r="AZ2330" s="152"/>
      <c r="BA2330" s="152"/>
      <c r="BB2330" s="152"/>
      <c r="BC2330" s="152"/>
      <c r="BD2330" s="152"/>
      <c r="BE2330" s="152"/>
      <c r="BF2330" s="152"/>
      <c r="BG2330" s="152"/>
      <c r="BH2330" s="152"/>
      <c r="BI2330" s="153"/>
      <c r="BJ2330" s="153"/>
      <c r="BK2330" s="153"/>
      <c r="BL2330" s="153"/>
      <c r="BM2330" s="153"/>
      <c r="BN2330" s="153"/>
      <c r="BO2330" s="153"/>
      <c r="BP2330" s="153"/>
      <c r="BQ2330" s="153"/>
      <c r="BR2330" s="153"/>
      <c r="BS2330" s="153"/>
      <c r="BT2330" s="153"/>
      <c r="BU2330" s="153"/>
      <c r="BV2330" s="153"/>
      <c r="BW2330" s="153"/>
      <c r="BX2330" s="153"/>
      <c r="BY2330" s="153"/>
      <c r="BZ2330" s="153"/>
      <c r="CA2330" s="152"/>
      <c r="CB2330" s="152"/>
    </row>
    <row r="2331" spans="1:80" s="87" customFormat="1" x14ac:dyDescent="0.2">
      <c r="A2331" s="152"/>
      <c r="B2331" s="683"/>
      <c r="C2331" s="683"/>
      <c r="D2331" s="698"/>
      <c r="E2331" s="215"/>
      <c r="F2331" s="215"/>
      <c r="G2331" s="153"/>
      <c r="H2331" s="153"/>
      <c r="I2331" s="308">
        <v>20</v>
      </c>
      <c r="J2331" s="308">
        <v>60</v>
      </c>
      <c r="K2331" s="150">
        <v>1</v>
      </c>
      <c r="L2331" s="656">
        <v>20</v>
      </c>
      <c r="M2331" s="663">
        <v>34465</v>
      </c>
      <c r="N2331" s="600">
        <v>35.957099999999997</v>
      </c>
      <c r="O2331" s="604">
        <v>2.9283E-2</v>
      </c>
      <c r="P2331" s="150"/>
      <c r="Q2331" s="250"/>
      <c r="R2331" s="250"/>
      <c r="S2331" s="250"/>
      <c r="T2331" s="250">
        <v>3.7000000000000005E-2</v>
      </c>
      <c r="U2331" s="250">
        <v>0.155</v>
      </c>
      <c r="V2331" s="250">
        <v>0.42399999999999999</v>
      </c>
      <c r="W2331" s="250">
        <v>0.27600000000000002</v>
      </c>
      <c r="X2331" s="250">
        <v>0.106</v>
      </c>
      <c r="Y2331" s="250">
        <v>2E-3</v>
      </c>
      <c r="Z2331" s="150"/>
      <c r="AA2331" s="150">
        <v>1.21</v>
      </c>
      <c r="AB2331" s="152"/>
      <c r="AC2331" s="152"/>
      <c r="AD2331" s="223"/>
      <c r="AE2331" s="223"/>
      <c r="AF2331" s="223"/>
      <c r="AG2331" s="223"/>
      <c r="AH2331" s="341"/>
      <c r="AI2331" s="218"/>
      <c r="AJ2331" s="218"/>
      <c r="AK2331" s="153"/>
      <c r="AL2331" s="152"/>
      <c r="AM2331" s="152"/>
      <c r="AN2331" s="152"/>
      <c r="AO2331" s="152"/>
      <c r="AP2331" s="152"/>
      <c r="AQ2331" s="152"/>
      <c r="AR2331" s="152"/>
      <c r="AS2331" s="152"/>
      <c r="AT2331" s="152"/>
      <c r="AU2331" s="153"/>
      <c r="AV2331" s="479"/>
      <c r="AW2331" s="479"/>
      <c r="AX2331" s="442"/>
      <c r="AY2331" s="153"/>
      <c r="AZ2331" s="152"/>
      <c r="BA2331" s="152"/>
      <c r="BB2331" s="152"/>
      <c r="BC2331" s="152"/>
      <c r="BD2331" s="152"/>
      <c r="BE2331" s="152"/>
      <c r="BF2331" s="152"/>
      <c r="BG2331" s="152"/>
      <c r="BH2331" s="152"/>
      <c r="BI2331" s="153"/>
      <c r="BJ2331" s="153"/>
      <c r="BK2331" s="153"/>
      <c r="BL2331" s="153"/>
      <c r="BM2331" s="153"/>
      <c r="BN2331" s="153"/>
      <c r="BO2331" s="153"/>
      <c r="BP2331" s="153"/>
      <c r="BQ2331" s="153"/>
      <c r="BR2331" s="153"/>
      <c r="BS2331" s="153"/>
      <c r="BT2331" s="153"/>
      <c r="BU2331" s="153"/>
      <c r="BV2331" s="153"/>
      <c r="BW2331" s="153"/>
      <c r="BX2331" s="153"/>
      <c r="BY2331" s="153"/>
      <c r="BZ2331" s="153"/>
      <c r="CA2331" s="152"/>
      <c r="CB2331" s="152"/>
    </row>
    <row r="2332" spans="1:80" s="87" customFormat="1" x14ac:dyDescent="0.2">
      <c r="A2332" s="152"/>
      <c r="B2332" s="683"/>
      <c r="C2332" s="683"/>
      <c r="D2332" s="698"/>
      <c r="E2332" s="215"/>
      <c r="F2332" s="215"/>
      <c r="G2332" s="153"/>
      <c r="H2332" s="153"/>
      <c r="I2332" s="308">
        <v>20</v>
      </c>
      <c r="J2332" s="308">
        <v>60</v>
      </c>
      <c r="K2332" s="150">
        <v>1</v>
      </c>
      <c r="L2332" s="656">
        <v>20</v>
      </c>
      <c r="M2332" s="663">
        <v>34469</v>
      </c>
      <c r="N2332" s="600">
        <v>25.3965</v>
      </c>
      <c r="O2332" s="604">
        <v>1.0916E-2</v>
      </c>
      <c r="P2332" s="150"/>
      <c r="Q2332" s="250"/>
      <c r="R2332" s="250"/>
      <c r="S2332" s="250"/>
      <c r="T2332" s="250">
        <v>4.4999999999999998E-2</v>
      </c>
      <c r="U2332" s="250">
        <v>0.16800000000000001</v>
      </c>
      <c r="V2332" s="250">
        <v>0.39100000000000001</v>
      </c>
      <c r="W2332" s="250">
        <v>0.27</v>
      </c>
      <c r="X2332" s="250">
        <v>0.124</v>
      </c>
      <c r="Y2332" s="250">
        <v>2E-3</v>
      </c>
      <c r="Z2332" s="150"/>
      <c r="AA2332" s="150">
        <v>1.2</v>
      </c>
      <c r="AB2332" s="152"/>
      <c r="AC2332" s="152"/>
      <c r="AD2332" s="223"/>
      <c r="AE2332" s="223"/>
      <c r="AF2332" s="223"/>
      <c r="AG2332" s="223"/>
      <c r="AH2332" s="341"/>
      <c r="AI2332" s="218"/>
      <c r="AJ2332" s="218"/>
      <c r="AK2332" s="153"/>
      <c r="AL2332" s="152"/>
      <c r="AM2332" s="152"/>
      <c r="AN2332" s="152"/>
      <c r="AO2332" s="152"/>
      <c r="AP2332" s="152"/>
      <c r="AQ2332" s="152"/>
      <c r="AR2332" s="152"/>
      <c r="AS2332" s="152"/>
      <c r="AT2332" s="152"/>
      <c r="AU2332" s="153"/>
      <c r="AV2332" s="479"/>
      <c r="AW2332" s="479"/>
      <c r="AX2332" s="442"/>
      <c r="AY2332" s="153"/>
      <c r="AZ2332" s="152"/>
      <c r="BA2332" s="152"/>
      <c r="BB2332" s="152"/>
      <c r="BC2332" s="152"/>
      <c r="BD2332" s="152"/>
      <c r="BE2332" s="152"/>
      <c r="BF2332" s="152"/>
      <c r="BG2332" s="152"/>
      <c r="BH2332" s="152"/>
      <c r="BI2332" s="153"/>
      <c r="BJ2332" s="153"/>
      <c r="BK2332" s="153"/>
      <c r="BL2332" s="153"/>
      <c r="BM2332" s="153"/>
      <c r="BN2332" s="153"/>
      <c r="BO2332" s="153"/>
      <c r="BP2332" s="153"/>
      <c r="BQ2332" s="153"/>
      <c r="BR2332" s="153"/>
      <c r="BS2332" s="153"/>
      <c r="BT2332" s="153"/>
      <c r="BU2332" s="153"/>
      <c r="BV2332" s="153"/>
      <c r="BW2332" s="153"/>
      <c r="BX2332" s="153"/>
      <c r="BY2332" s="153"/>
      <c r="BZ2332" s="153"/>
      <c r="CA2332" s="152"/>
      <c r="CB2332" s="152"/>
    </row>
    <row r="2333" spans="1:80" s="87" customFormat="1" x14ac:dyDescent="0.2">
      <c r="A2333" s="152"/>
      <c r="B2333" s="683"/>
      <c r="C2333" s="683"/>
      <c r="D2333" s="698"/>
      <c r="E2333" s="215"/>
      <c r="F2333" s="215"/>
      <c r="G2333" s="153"/>
      <c r="H2333" s="153"/>
      <c r="I2333" s="308">
        <v>20</v>
      </c>
      <c r="J2333" s="308">
        <v>60</v>
      </c>
      <c r="K2333" s="150">
        <v>1</v>
      </c>
      <c r="L2333" s="656">
        <v>20</v>
      </c>
      <c r="M2333" s="663">
        <v>34469</v>
      </c>
      <c r="N2333" s="600">
        <v>25.3965</v>
      </c>
      <c r="O2333" s="604">
        <v>1.2589999999999999E-3</v>
      </c>
      <c r="P2333" s="150"/>
      <c r="Q2333" s="250"/>
      <c r="R2333" s="250"/>
      <c r="S2333" s="250"/>
      <c r="T2333" s="250">
        <v>8.199999999999999E-2</v>
      </c>
      <c r="U2333" s="250">
        <v>0.16699999999999998</v>
      </c>
      <c r="V2333" s="250">
        <v>0.35399999999999998</v>
      </c>
      <c r="W2333" s="250">
        <v>0.29299999999999998</v>
      </c>
      <c r="X2333" s="250">
        <v>8.3000000000000004E-2</v>
      </c>
      <c r="Y2333" s="250">
        <v>2.1000000000000001E-2</v>
      </c>
      <c r="Z2333" s="150"/>
      <c r="AA2333" s="150">
        <v>1.22</v>
      </c>
      <c r="AB2333" s="152"/>
      <c r="AC2333" s="152"/>
      <c r="AD2333" s="223"/>
      <c r="AE2333" s="223"/>
      <c r="AF2333" s="223"/>
      <c r="AG2333" s="223"/>
      <c r="AH2333" s="341"/>
      <c r="AI2333" s="218"/>
      <c r="AJ2333" s="218"/>
      <c r="AK2333" s="153"/>
      <c r="AL2333" s="152"/>
      <c r="AM2333" s="152"/>
      <c r="AN2333" s="152"/>
      <c r="AO2333" s="152"/>
      <c r="AP2333" s="152"/>
      <c r="AQ2333" s="152"/>
      <c r="AR2333" s="152"/>
      <c r="AS2333" s="152"/>
      <c r="AT2333" s="152"/>
      <c r="AU2333" s="153"/>
      <c r="AV2333" s="479"/>
      <c r="AW2333" s="479"/>
      <c r="AX2333" s="442"/>
      <c r="AY2333" s="153"/>
      <c r="AZ2333" s="152"/>
      <c r="BA2333" s="152"/>
      <c r="BB2333" s="152"/>
      <c r="BC2333" s="152"/>
      <c r="BD2333" s="152"/>
      <c r="BE2333" s="152"/>
      <c r="BF2333" s="152"/>
      <c r="BG2333" s="152"/>
      <c r="BH2333" s="152"/>
      <c r="BI2333" s="153"/>
      <c r="BJ2333" s="153"/>
      <c r="BK2333" s="153"/>
      <c r="BL2333" s="153"/>
      <c r="BM2333" s="153"/>
      <c r="BN2333" s="153"/>
      <c r="BO2333" s="153"/>
      <c r="BP2333" s="153"/>
      <c r="BQ2333" s="153"/>
      <c r="BR2333" s="153"/>
      <c r="BS2333" s="153"/>
      <c r="BT2333" s="153"/>
      <c r="BU2333" s="153"/>
      <c r="BV2333" s="153"/>
      <c r="BW2333" s="153"/>
      <c r="BX2333" s="153"/>
      <c r="BY2333" s="153"/>
      <c r="BZ2333" s="153"/>
      <c r="CA2333" s="152"/>
      <c r="CB2333" s="152"/>
    </row>
    <row r="2334" spans="1:80" s="87" customFormat="1" x14ac:dyDescent="0.2">
      <c r="A2334" s="152"/>
      <c r="B2334" s="683"/>
      <c r="C2334" s="683"/>
      <c r="D2334" s="698"/>
      <c r="E2334" s="215"/>
      <c r="F2334" s="215"/>
      <c r="G2334" s="153"/>
      <c r="H2334" s="153"/>
      <c r="I2334" s="308">
        <v>20</v>
      </c>
      <c r="J2334" s="308">
        <v>60</v>
      </c>
      <c r="K2334" s="150">
        <v>1</v>
      </c>
      <c r="L2334" s="656">
        <v>20</v>
      </c>
      <c r="M2334" s="663">
        <v>34471</v>
      </c>
      <c r="N2334" s="600">
        <v>22.310400000000001</v>
      </c>
      <c r="O2334" s="604">
        <v>2.6970000000000002E-3</v>
      </c>
      <c r="P2334" s="150"/>
      <c r="Q2334" s="250"/>
      <c r="R2334" s="250"/>
      <c r="S2334" s="250"/>
      <c r="T2334" s="250">
        <v>1.4999999999999999E-2</v>
      </c>
      <c r="U2334" s="250">
        <v>9.8000000000000004E-2</v>
      </c>
      <c r="V2334" s="250">
        <v>0.36099999999999999</v>
      </c>
      <c r="W2334" s="250">
        <v>0.33</v>
      </c>
      <c r="X2334" s="250">
        <v>0.18100000000000002</v>
      </c>
      <c r="Y2334" s="250">
        <v>1.4999999999999999E-2</v>
      </c>
      <c r="Z2334" s="150"/>
      <c r="AA2334" s="150">
        <v>0.95</v>
      </c>
      <c r="AB2334" s="152"/>
      <c r="AC2334" s="152"/>
      <c r="AD2334" s="223"/>
      <c r="AE2334" s="223"/>
      <c r="AF2334" s="223"/>
      <c r="AG2334" s="223"/>
      <c r="AH2334" s="341"/>
      <c r="AI2334" s="218"/>
      <c r="AJ2334" s="218"/>
      <c r="AK2334" s="153"/>
      <c r="AL2334" s="152"/>
      <c r="AM2334" s="152"/>
      <c r="AN2334" s="152"/>
      <c r="AO2334" s="152"/>
      <c r="AP2334" s="152"/>
      <c r="AQ2334" s="152"/>
      <c r="AR2334" s="152"/>
      <c r="AS2334" s="152"/>
      <c r="AT2334" s="152"/>
      <c r="AU2334" s="153"/>
      <c r="AV2334" s="479"/>
      <c r="AW2334" s="479"/>
      <c r="AX2334" s="442"/>
      <c r="AY2334" s="153"/>
      <c r="AZ2334" s="152"/>
      <c r="BA2334" s="152"/>
      <c r="BB2334" s="152"/>
      <c r="BC2334" s="152"/>
      <c r="BD2334" s="152"/>
      <c r="BE2334" s="152"/>
      <c r="BF2334" s="152"/>
      <c r="BG2334" s="152"/>
      <c r="BH2334" s="152"/>
      <c r="BI2334" s="153"/>
      <c r="BJ2334" s="153"/>
      <c r="BK2334" s="153"/>
      <c r="BL2334" s="153"/>
      <c r="BM2334" s="153"/>
      <c r="BN2334" s="153"/>
      <c r="BO2334" s="153"/>
      <c r="BP2334" s="153"/>
      <c r="BQ2334" s="153"/>
      <c r="BR2334" s="153"/>
      <c r="BS2334" s="153"/>
      <c r="BT2334" s="153"/>
      <c r="BU2334" s="153"/>
      <c r="BV2334" s="153"/>
      <c r="BW2334" s="153"/>
      <c r="BX2334" s="153"/>
      <c r="BY2334" s="153"/>
      <c r="BZ2334" s="153"/>
      <c r="CA2334" s="152"/>
      <c r="CB2334" s="152"/>
    </row>
    <row r="2335" spans="1:80" s="87" customFormat="1" x14ac:dyDescent="0.2">
      <c r="A2335" s="152"/>
      <c r="B2335" s="683"/>
      <c r="C2335" s="683"/>
      <c r="D2335" s="698"/>
      <c r="E2335" s="215"/>
      <c r="F2335" s="215"/>
      <c r="G2335" s="153"/>
      <c r="H2335" s="153"/>
      <c r="I2335" s="308">
        <v>20</v>
      </c>
      <c r="J2335" s="308">
        <v>60</v>
      </c>
      <c r="K2335" s="150">
        <v>1</v>
      </c>
      <c r="L2335" s="656">
        <v>20</v>
      </c>
      <c r="M2335" s="663">
        <v>34471</v>
      </c>
      <c r="N2335" s="600">
        <v>22.310400000000001</v>
      </c>
      <c r="O2335" s="604">
        <v>3.1380000000000002E-3</v>
      </c>
      <c r="P2335" s="150"/>
      <c r="Q2335" s="250"/>
      <c r="R2335" s="250"/>
      <c r="S2335" s="250"/>
      <c r="T2335" s="250"/>
      <c r="U2335" s="250">
        <v>2.6000000000000002E-2</v>
      </c>
      <c r="V2335" s="250">
        <v>0.23</v>
      </c>
      <c r="W2335" s="250">
        <v>0.46200000000000002</v>
      </c>
      <c r="X2335" s="250">
        <v>0.25600000000000001</v>
      </c>
      <c r="Y2335" s="250">
        <v>2.6000000000000002E-2</v>
      </c>
      <c r="Z2335" s="150"/>
      <c r="AA2335" s="150">
        <v>0.69</v>
      </c>
      <c r="AB2335" s="152"/>
      <c r="AC2335" s="152"/>
      <c r="AD2335" s="223"/>
      <c r="AE2335" s="223"/>
      <c r="AF2335" s="223"/>
      <c r="AG2335" s="223"/>
      <c r="AH2335" s="341"/>
      <c r="AI2335" s="218"/>
      <c r="AJ2335" s="218"/>
      <c r="AK2335" s="153"/>
      <c r="AL2335" s="152"/>
      <c r="AM2335" s="152"/>
      <c r="AN2335" s="152"/>
      <c r="AO2335" s="152"/>
      <c r="AP2335" s="152"/>
      <c r="AQ2335" s="152"/>
      <c r="AR2335" s="152"/>
      <c r="AS2335" s="152"/>
      <c r="AT2335" s="152"/>
      <c r="AU2335" s="153"/>
      <c r="AV2335" s="479"/>
      <c r="AW2335" s="479"/>
      <c r="AX2335" s="442"/>
      <c r="AY2335" s="153"/>
      <c r="AZ2335" s="152"/>
      <c r="BA2335" s="152"/>
      <c r="BB2335" s="152"/>
      <c r="BC2335" s="152"/>
      <c r="BD2335" s="152"/>
      <c r="BE2335" s="152"/>
      <c r="BF2335" s="152"/>
      <c r="BG2335" s="152"/>
      <c r="BH2335" s="152"/>
      <c r="BI2335" s="153"/>
      <c r="BJ2335" s="153"/>
      <c r="BK2335" s="153"/>
      <c r="BL2335" s="153"/>
      <c r="BM2335" s="153"/>
      <c r="BN2335" s="153"/>
      <c r="BO2335" s="153"/>
      <c r="BP2335" s="153"/>
      <c r="BQ2335" s="153"/>
      <c r="BR2335" s="153"/>
      <c r="BS2335" s="153"/>
      <c r="BT2335" s="153"/>
      <c r="BU2335" s="153"/>
      <c r="BV2335" s="153"/>
      <c r="BW2335" s="153"/>
      <c r="BX2335" s="153"/>
      <c r="BY2335" s="153"/>
      <c r="BZ2335" s="153"/>
      <c r="CA2335" s="152"/>
      <c r="CB2335" s="152"/>
    </row>
    <row r="2336" spans="1:80" s="87" customFormat="1" x14ac:dyDescent="0.2">
      <c r="A2336" s="152"/>
      <c r="B2336" s="683"/>
      <c r="C2336" s="683"/>
      <c r="D2336" s="698"/>
      <c r="E2336" s="215"/>
      <c r="F2336" s="215"/>
      <c r="G2336" s="153"/>
      <c r="H2336" s="153"/>
      <c r="I2336" s="308">
        <v>20</v>
      </c>
      <c r="J2336" s="308">
        <v>60</v>
      </c>
      <c r="K2336" s="150">
        <v>1</v>
      </c>
      <c r="L2336" s="656">
        <v>20</v>
      </c>
      <c r="M2336" s="663">
        <v>34472</v>
      </c>
      <c r="N2336" s="600">
        <v>19.592400000000001</v>
      </c>
      <c r="O2336" s="604">
        <v>1.5219999999999999E-3</v>
      </c>
      <c r="P2336" s="150"/>
      <c r="Q2336" s="250"/>
      <c r="R2336" s="250"/>
      <c r="S2336" s="250"/>
      <c r="T2336" s="250"/>
      <c r="U2336" s="250">
        <v>9.5000000000000001E-2</v>
      </c>
      <c r="V2336" s="250">
        <v>0.36399999999999999</v>
      </c>
      <c r="W2336" s="250">
        <v>0.311</v>
      </c>
      <c r="X2336" s="250">
        <v>0.20300000000000001</v>
      </c>
      <c r="Y2336" s="250">
        <v>2.7000000000000003E-2</v>
      </c>
      <c r="Z2336" s="150"/>
      <c r="AA2336" s="150">
        <v>0.91</v>
      </c>
      <c r="AB2336" s="152"/>
      <c r="AC2336" s="152"/>
      <c r="AD2336" s="223"/>
      <c r="AE2336" s="223"/>
      <c r="AF2336" s="223"/>
      <c r="AG2336" s="223"/>
      <c r="AH2336" s="341"/>
      <c r="AI2336" s="218"/>
      <c r="AJ2336" s="218"/>
      <c r="AK2336" s="153"/>
      <c r="AL2336" s="152"/>
      <c r="AM2336" s="152"/>
      <c r="AN2336" s="152"/>
      <c r="AO2336" s="152"/>
      <c r="AP2336" s="152"/>
      <c r="AQ2336" s="152"/>
      <c r="AR2336" s="152"/>
      <c r="AS2336" s="152"/>
      <c r="AT2336" s="152"/>
      <c r="AU2336" s="153"/>
      <c r="AV2336" s="479"/>
      <c r="AW2336" s="479"/>
      <c r="AX2336" s="442"/>
      <c r="AY2336" s="153"/>
      <c r="AZ2336" s="152"/>
      <c r="BA2336" s="152"/>
      <c r="BB2336" s="152"/>
      <c r="BC2336" s="152"/>
      <c r="BD2336" s="152"/>
      <c r="BE2336" s="152"/>
      <c r="BF2336" s="152"/>
      <c r="BG2336" s="152"/>
      <c r="BH2336" s="152"/>
      <c r="BI2336" s="153"/>
      <c r="BJ2336" s="153"/>
      <c r="BK2336" s="153"/>
      <c r="BL2336" s="153"/>
      <c r="BM2336" s="153"/>
      <c r="BN2336" s="153"/>
      <c r="BO2336" s="153"/>
      <c r="BP2336" s="153"/>
      <c r="BQ2336" s="153"/>
      <c r="BR2336" s="153"/>
      <c r="BS2336" s="153"/>
      <c r="BT2336" s="153"/>
      <c r="BU2336" s="153"/>
      <c r="BV2336" s="153"/>
      <c r="BW2336" s="153"/>
      <c r="BX2336" s="153"/>
      <c r="BY2336" s="153"/>
      <c r="BZ2336" s="153"/>
      <c r="CA2336" s="152"/>
      <c r="CB2336" s="152"/>
    </row>
    <row r="2337" spans="1:80" s="87" customFormat="1" x14ac:dyDescent="0.2">
      <c r="A2337" s="152"/>
      <c r="B2337" s="683"/>
      <c r="C2337" s="683"/>
      <c r="D2337" s="698"/>
      <c r="E2337" s="215"/>
      <c r="F2337" s="215"/>
      <c r="G2337" s="153"/>
      <c r="H2337" s="153"/>
      <c r="I2337" s="308">
        <v>20</v>
      </c>
      <c r="J2337" s="308">
        <v>60</v>
      </c>
      <c r="K2337" s="150">
        <v>1</v>
      </c>
      <c r="L2337" s="656">
        <v>20</v>
      </c>
      <c r="M2337" s="663">
        <v>34472</v>
      </c>
      <c r="N2337" s="600">
        <v>19.592400000000001</v>
      </c>
      <c r="O2337" s="604">
        <v>4.8180000000000002E-3</v>
      </c>
      <c r="P2337" s="150"/>
      <c r="Q2337" s="250"/>
      <c r="R2337" s="250"/>
      <c r="S2337" s="250"/>
      <c r="T2337" s="250"/>
      <c r="U2337" s="250">
        <v>0.191</v>
      </c>
      <c r="V2337" s="250">
        <v>0.54799999999999993</v>
      </c>
      <c r="W2337" s="250">
        <v>0.19500000000000001</v>
      </c>
      <c r="X2337" s="250">
        <v>5.7999999999999996E-2</v>
      </c>
      <c r="Y2337" s="250">
        <v>8.0000000000000002E-3</v>
      </c>
      <c r="Z2337" s="150"/>
      <c r="AA2337" s="150">
        <v>1.35</v>
      </c>
      <c r="AB2337" s="152"/>
      <c r="AC2337" s="152"/>
      <c r="AD2337" s="223"/>
      <c r="AE2337" s="223"/>
      <c r="AF2337" s="223"/>
      <c r="AG2337" s="223"/>
      <c r="AH2337" s="341"/>
      <c r="AI2337" s="218"/>
      <c r="AJ2337" s="218"/>
      <c r="AK2337" s="153"/>
      <c r="AL2337" s="152"/>
      <c r="AM2337" s="152"/>
      <c r="AN2337" s="152"/>
      <c r="AO2337" s="152"/>
      <c r="AP2337" s="152"/>
      <c r="AQ2337" s="152"/>
      <c r="AR2337" s="152"/>
      <c r="AS2337" s="152"/>
      <c r="AT2337" s="152"/>
      <c r="AU2337" s="153"/>
      <c r="AV2337" s="479"/>
      <c r="AW2337" s="479"/>
      <c r="AX2337" s="442"/>
      <c r="AY2337" s="153"/>
      <c r="AZ2337" s="152"/>
      <c r="BA2337" s="152"/>
      <c r="BB2337" s="152"/>
      <c r="BC2337" s="152"/>
      <c r="BD2337" s="152"/>
      <c r="BE2337" s="152"/>
      <c r="BF2337" s="152"/>
      <c r="BG2337" s="152"/>
      <c r="BH2337" s="152"/>
      <c r="BI2337" s="153"/>
      <c r="BJ2337" s="153"/>
      <c r="BK2337" s="153"/>
      <c r="BL2337" s="153"/>
      <c r="BM2337" s="153"/>
      <c r="BN2337" s="153"/>
      <c r="BO2337" s="153"/>
      <c r="BP2337" s="153"/>
      <c r="BQ2337" s="153"/>
      <c r="BR2337" s="153"/>
      <c r="BS2337" s="153"/>
      <c r="BT2337" s="153"/>
      <c r="BU2337" s="153"/>
      <c r="BV2337" s="153"/>
      <c r="BW2337" s="153"/>
      <c r="BX2337" s="153"/>
      <c r="BY2337" s="153"/>
      <c r="BZ2337" s="153"/>
      <c r="CA2337" s="152"/>
      <c r="CB2337" s="152"/>
    </row>
    <row r="2338" spans="1:80" s="87" customFormat="1" x14ac:dyDescent="0.2">
      <c r="A2338" s="152"/>
      <c r="B2338" s="683"/>
      <c r="C2338" s="683"/>
      <c r="D2338" s="698"/>
      <c r="E2338" s="215"/>
      <c r="F2338" s="215"/>
      <c r="G2338" s="153"/>
      <c r="H2338" s="153"/>
      <c r="I2338" s="308">
        <v>20</v>
      </c>
      <c r="J2338" s="308">
        <v>60</v>
      </c>
      <c r="K2338" s="150">
        <v>1</v>
      </c>
      <c r="L2338" s="656">
        <v>20</v>
      </c>
      <c r="M2338" s="663">
        <v>34478</v>
      </c>
      <c r="N2338" s="600">
        <v>6.3420500000000004</v>
      </c>
      <c r="O2338" s="604">
        <v>5.9900000000000003E-4</v>
      </c>
      <c r="P2338" s="150"/>
      <c r="Q2338" s="250"/>
      <c r="R2338" s="250"/>
      <c r="S2338" s="250"/>
      <c r="T2338" s="250"/>
      <c r="U2338" s="250">
        <v>6.7000000000000004E-2</v>
      </c>
      <c r="V2338" s="250">
        <v>0.4</v>
      </c>
      <c r="W2338" s="250">
        <v>0.33299999999999996</v>
      </c>
      <c r="X2338" s="250">
        <v>0.16699999999999998</v>
      </c>
      <c r="Y2338" s="250">
        <v>3.3000000000000002E-2</v>
      </c>
      <c r="Z2338" s="150"/>
      <c r="AA2338" s="150">
        <v>0.93</v>
      </c>
      <c r="AB2338" s="152"/>
      <c r="AC2338" s="152"/>
      <c r="AD2338" s="223"/>
      <c r="AE2338" s="223"/>
      <c r="AF2338" s="223"/>
      <c r="AG2338" s="223"/>
      <c r="AH2338" s="341"/>
      <c r="AI2338" s="218"/>
      <c r="AJ2338" s="218"/>
      <c r="AK2338" s="153"/>
      <c r="AL2338" s="152"/>
      <c r="AM2338" s="152"/>
      <c r="AN2338" s="152"/>
      <c r="AO2338" s="152"/>
      <c r="AP2338" s="152"/>
      <c r="AQ2338" s="152"/>
      <c r="AR2338" s="152"/>
      <c r="AS2338" s="152"/>
      <c r="AT2338" s="152"/>
      <c r="AU2338" s="153"/>
      <c r="AV2338" s="479"/>
      <c r="AW2338" s="479"/>
      <c r="AX2338" s="442"/>
      <c r="AY2338" s="153"/>
      <c r="AZ2338" s="152"/>
      <c r="BA2338" s="152"/>
      <c r="BB2338" s="152"/>
      <c r="BC2338" s="152"/>
      <c r="BD2338" s="152"/>
      <c r="BE2338" s="152"/>
      <c r="BF2338" s="152"/>
      <c r="BG2338" s="152"/>
      <c r="BH2338" s="152"/>
      <c r="BI2338" s="153"/>
      <c r="BJ2338" s="153"/>
      <c r="BK2338" s="153"/>
      <c r="BL2338" s="153"/>
      <c r="BM2338" s="153"/>
      <c r="BN2338" s="153"/>
      <c r="BO2338" s="153"/>
      <c r="BP2338" s="153"/>
      <c r="BQ2338" s="153"/>
      <c r="BR2338" s="153"/>
      <c r="BS2338" s="153"/>
      <c r="BT2338" s="153"/>
      <c r="BU2338" s="153"/>
      <c r="BV2338" s="153"/>
      <c r="BW2338" s="153"/>
      <c r="BX2338" s="153"/>
      <c r="BY2338" s="153"/>
      <c r="BZ2338" s="153"/>
      <c r="CA2338" s="152"/>
      <c r="CB2338" s="152"/>
    </row>
    <row r="2339" spans="1:80" s="87" customFormat="1" x14ac:dyDescent="0.2">
      <c r="A2339" s="152"/>
      <c r="B2339" s="683"/>
      <c r="C2339" s="683"/>
      <c r="D2339" s="698"/>
      <c r="E2339" s="215"/>
      <c r="F2339" s="215"/>
      <c r="G2339" s="153"/>
      <c r="H2339" s="153"/>
      <c r="I2339" s="308">
        <v>20</v>
      </c>
      <c r="J2339" s="308">
        <v>60</v>
      </c>
      <c r="K2339" s="150">
        <v>1</v>
      </c>
      <c r="L2339" s="656">
        <v>20</v>
      </c>
      <c r="M2339" s="663">
        <v>34478</v>
      </c>
      <c r="N2339" s="600">
        <v>6.3420500000000004</v>
      </c>
      <c r="O2339" s="604">
        <v>1.1230000000000001E-3</v>
      </c>
      <c r="P2339" s="150"/>
      <c r="Q2339" s="250"/>
      <c r="R2339" s="250"/>
      <c r="S2339" s="250"/>
      <c r="T2339" s="250"/>
      <c r="U2339" s="250">
        <v>0.109</v>
      </c>
      <c r="V2339" s="250">
        <v>0.41799999999999998</v>
      </c>
      <c r="W2339" s="250">
        <v>0.34600000000000003</v>
      </c>
      <c r="X2339" s="250">
        <v>0.109</v>
      </c>
      <c r="Y2339" s="250">
        <v>1.8000000000000002E-2</v>
      </c>
      <c r="Z2339" s="150"/>
      <c r="AA2339" s="150">
        <v>1.05</v>
      </c>
      <c r="AB2339" s="152"/>
      <c r="AC2339" s="152"/>
      <c r="AD2339" s="223"/>
      <c r="AE2339" s="223"/>
      <c r="AF2339" s="223"/>
      <c r="AG2339" s="223"/>
      <c r="AH2339" s="341"/>
      <c r="AI2339" s="218"/>
      <c r="AJ2339" s="218"/>
      <c r="AK2339" s="153"/>
      <c r="AL2339" s="152"/>
      <c r="AM2339" s="152"/>
      <c r="AN2339" s="152"/>
      <c r="AO2339" s="152"/>
      <c r="AP2339" s="152"/>
      <c r="AQ2339" s="152"/>
      <c r="AR2339" s="152"/>
      <c r="AS2339" s="152"/>
      <c r="AT2339" s="152"/>
      <c r="AU2339" s="153"/>
      <c r="AV2339" s="479"/>
      <c r="AW2339" s="479"/>
      <c r="AX2339" s="442"/>
      <c r="AY2339" s="153"/>
      <c r="AZ2339" s="152"/>
      <c r="BA2339" s="152"/>
      <c r="BB2339" s="152"/>
      <c r="BC2339" s="152"/>
      <c r="BD2339" s="152"/>
      <c r="BE2339" s="152"/>
      <c r="BF2339" s="152"/>
      <c r="BG2339" s="152"/>
      <c r="BH2339" s="152"/>
      <c r="BI2339" s="153"/>
      <c r="BJ2339" s="153"/>
      <c r="BK2339" s="153"/>
      <c r="BL2339" s="153"/>
      <c r="BM2339" s="153"/>
      <c r="BN2339" s="153"/>
      <c r="BO2339" s="153"/>
      <c r="BP2339" s="153"/>
      <c r="BQ2339" s="153"/>
      <c r="BR2339" s="153"/>
      <c r="BS2339" s="153"/>
      <c r="BT2339" s="153"/>
      <c r="BU2339" s="153"/>
      <c r="BV2339" s="153"/>
      <c r="BW2339" s="153"/>
      <c r="BX2339" s="153"/>
      <c r="BY2339" s="153"/>
      <c r="BZ2339" s="153"/>
      <c r="CA2339" s="152"/>
      <c r="CB2339" s="152"/>
    </row>
    <row r="2340" spans="1:80" s="87" customFormat="1" x14ac:dyDescent="0.2">
      <c r="A2340" s="152"/>
      <c r="B2340" s="683"/>
      <c r="C2340" s="683"/>
      <c r="D2340" s="698"/>
      <c r="E2340" s="215"/>
      <c r="F2340" s="215"/>
      <c r="G2340" s="153"/>
      <c r="H2340" s="153"/>
      <c r="I2340" s="308">
        <v>20</v>
      </c>
      <c r="J2340" s="308">
        <v>60</v>
      </c>
      <c r="K2340" s="150">
        <v>1</v>
      </c>
      <c r="L2340" s="656">
        <v>20</v>
      </c>
      <c r="M2340" s="663">
        <v>34479</v>
      </c>
      <c r="N2340" s="600">
        <v>23.273</v>
      </c>
      <c r="O2340" s="604">
        <v>2.2569999999999999E-3</v>
      </c>
      <c r="P2340" s="150"/>
      <c r="Q2340" s="250"/>
      <c r="R2340" s="250"/>
      <c r="S2340" s="250"/>
      <c r="T2340" s="250"/>
      <c r="U2340" s="250">
        <v>0.08</v>
      </c>
      <c r="V2340" s="250">
        <v>0.34899999999999998</v>
      </c>
      <c r="W2340" s="250">
        <v>0.375</v>
      </c>
      <c r="X2340" s="250">
        <v>0.187</v>
      </c>
      <c r="Y2340" s="250">
        <v>9.0000000000000011E-3</v>
      </c>
      <c r="Z2340" s="150"/>
      <c r="AA2340" s="150">
        <v>0.88</v>
      </c>
      <c r="AB2340" s="152"/>
      <c r="AC2340" s="152"/>
      <c r="AD2340" s="223"/>
      <c r="AE2340" s="223"/>
      <c r="AF2340" s="223"/>
      <c r="AG2340" s="223"/>
      <c r="AH2340" s="341"/>
      <c r="AI2340" s="218"/>
      <c r="AJ2340" s="218"/>
      <c r="AK2340" s="153"/>
      <c r="AL2340" s="152"/>
      <c r="AM2340" s="152"/>
      <c r="AN2340" s="152"/>
      <c r="AO2340" s="152"/>
      <c r="AP2340" s="152"/>
      <c r="AQ2340" s="152"/>
      <c r="AR2340" s="152"/>
      <c r="AS2340" s="152"/>
      <c r="AT2340" s="152"/>
      <c r="AU2340" s="153"/>
      <c r="AV2340" s="479"/>
      <c r="AW2340" s="479"/>
      <c r="AX2340" s="442"/>
      <c r="AY2340" s="153"/>
      <c r="AZ2340" s="152"/>
      <c r="BA2340" s="152"/>
      <c r="BB2340" s="152"/>
      <c r="BC2340" s="152"/>
      <c r="BD2340" s="152"/>
      <c r="BE2340" s="152"/>
      <c r="BF2340" s="152"/>
      <c r="BG2340" s="152"/>
      <c r="BH2340" s="152"/>
      <c r="BI2340" s="153"/>
      <c r="BJ2340" s="153"/>
      <c r="BK2340" s="153"/>
      <c r="BL2340" s="153"/>
      <c r="BM2340" s="153"/>
      <c r="BN2340" s="153"/>
      <c r="BO2340" s="153"/>
      <c r="BP2340" s="153"/>
      <c r="BQ2340" s="153"/>
      <c r="BR2340" s="153"/>
      <c r="BS2340" s="153"/>
      <c r="BT2340" s="153"/>
      <c r="BU2340" s="153"/>
      <c r="BV2340" s="153"/>
      <c r="BW2340" s="153"/>
      <c r="BX2340" s="153"/>
      <c r="BY2340" s="153"/>
      <c r="BZ2340" s="153"/>
      <c r="CA2340" s="152"/>
      <c r="CB2340" s="152"/>
    </row>
    <row r="2341" spans="1:80" s="87" customFormat="1" x14ac:dyDescent="0.2">
      <c r="A2341" s="152"/>
      <c r="B2341" s="683"/>
      <c r="C2341" s="683"/>
      <c r="D2341" s="698"/>
      <c r="E2341" s="215"/>
      <c r="F2341" s="215"/>
      <c r="G2341" s="153"/>
      <c r="H2341" s="153"/>
      <c r="I2341" s="308">
        <v>20</v>
      </c>
      <c r="J2341" s="308">
        <v>60</v>
      </c>
      <c r="K2341" s="150">
        <v>1</v>
      </c>
      <c r="L2341" s="656">
        <v>20</v>
      </c>
      <c r="M2341" s="663">
        <v>34479</v>
      </c>
      <c r="N2341" s="600">
        <v>23.273</v>
      </c>
      <c r="O2341" s="604">
        <v>2.4350000000000001E-3</v>
      </c>
      <c r="P2341" s="150"/>
      <c r="Q2341" s="250"/>
      <c r="R2341" s="250"/>
      <c r="S2341" s="250"/>
      <c r="T2341" s="250">
        <v>5.4000000000000006E-2</v>
      </c>
      <c r="U2341" s="250">
        <v>0.18899999999999997</v>
      </c>
      <c r="V2341" s="250">
        <v>0.316</v>
      </c>
      <c r="W2341" s="250">
        <v>0.307</v>
      </c>
      <c r="X2341" s="250">
        <v>0.11800000000000001</v>
      </c>
      <c r="Y2341" s="250">
        <v>1.6E-2</v>
      </c>
      <c r="Z2341" s="150"/>
      <c r="AA2341" s="150">
        <v>1.1399999999999999</v>
      </c>
      <c r="AB2341" s="152"/>
      <c r="AC2341" s="152"/>
      <c r="AD2341" s="223"/>
      <c r="AE2341" s="223"/>
      <c r="AF2341" s="223"/>
      <c r="AG2341" s="223"/>
      <c r="AH2341" s="341"/>
      <c r="AI2341" s="218"/>
      <c r="AJ2341" s="218"/>
      <c r="AK2341" s="153"/>
      <c r="AL2341" s="152"/>
      <c r="AM2341" s="152"/>
      <c r="AN2341" s="152"/>
      <c r="AO2341" s="152"/>
      <c r="AP2341" s="152"/>
      <c r="AQ2341" s="152"/>
      <c r="AR2341" s="152"/>
      <c r="AS2341" s="152"/>
      <c r="AT2341" s="152"/>
      <c r="AU2341" s="153"/>
      <c r="AV2341" s="479"/>
      <c r="AW2341" s="479"/>
      <c r="AX2341" s="442"/>
      <c r="AY2341" s="153"/>
      <c r="AZ2341" s="152"/>
      <c r="BA2341" s="152"/>
      <c r="BB2341" s="152"/>
      <c r="BC2341" s="152"/>
      <c r="BD2341" s="152"/>
      <c r="BE2341" s="152"/>
      <c r="BF2341" s="152"/>
      <c r="BG2341" s="152"/>
      <c r="BH2341" s="152"/>
      <c r="BI2341" s="153"/>
      <c r="BJ2341" s="153"/>
      <c r="BK2341" s="153"/>
      <c r="BL2341" s="153"/>
      <c r="BM2341" s="153"/>
      <c r="BN2341" s="153"/>
      <c r="BO2341" s="153"/>
      <c r="BP2341" s="153"/>
      <c r="BQ2341" s="153"/>
      <c r="BR2341" s="153"/>
      <c r="BS2341" s="153"/>
      <c r="BT2341" s="153"/>
      <c r="BU2341" s="153"/>
      <c r="BV2341" s="153"/>
      <c r="BW2341" s="153"/>
      <c r="BX2341" s="153"/>
      <c r="BY2341" s="153"/>
      <c r="BZ2341" s="153"/>
      <c r="CA2341" s="152"/>
      <c r="CB2341" s="152"/>
    </row>
    <row r="2342" spans="1:80" s="87" customFormat="1" x14ac:dyDescent="0.2">
      <c r="A2342" s="152"/>
      <c r="B2342" s="683"/>
      <c r="C2342" s="683"/>
      <c r="D2342" s="698"/>
      <c r="E2342" s="215"/>
      <c r="F2342" s="215"/>
      <c r="G2342" s="153"/>
      <c r="H2342" s="153"/>
      <c r="I2342" s="308">
        <v>20</v>
      </c>
      <c r="J2342" s="308">
        <v>60</v>
      </c>
      <c r="K2342" s="150">
        <v>1</v>
      </c>
      <c r="L2342" s="656">
        <v>20</v>
      </c>
      <c r="M2342" s="663">
        <v>34486</v>
      </c>
      <c r="N2342" s="600">
        <v>24.037500000000001</v>
      </c>
      <c r="O2342" s="604">
        <v>3.82E-3</v>
      </c>
      <c r="P2342" s="150"/>
      <c r="Q2342" s="250"/>
      <c r="R2342" s="250"/>
      <c r="S2342" s="250"/>
      <c r="T2342" s="250">
        <v>2.6000000000000002E-2</v>
      </c>
      <c r="U2342" s="250">
        <v>0.12300000000000001</v>
      </c>
      <c r="V2342" s="250">
        <v>0.40399999999999997</v>
      </c>
      <c r="W2342" s="250">
        <v>0.28699999999999998</v>
      </c>
      <c r="X2342" s="250">
        <v>0.14899999999999999</v>
      </c>
      <c r="Y2342" s="250">
        <v>1.1000000000000001E-2</v>
      </c>
      <c r="Z2342" s="150"/>
      <c r="AA2342" s="150">
        <v>1.1000000000000001</v>
      </c>
      <c r="AB2342" s="152"/>
      <c r="AC2342" s="152"/>
      <c r="AD2342" s="223">
        <v>21.944880000000001</v>
      </c>
      <c r="AE2342" s="223">
        <v>0.85087208299999995</v>
      </c>
      <c r="AF2342" s="223">
        <v>18.671693999999999</v>
      </c>
      <c r="AG2342" s="223">
        <v>1.2496389999999999</v>
      </c>
      <c r="AH2342" s="341"/>
      <c r="AI2342" s="218"/>
      <c r="AJ2342" s="218"/>
      <c r="AK2342" s="153"/>
      <c r="AL2342" s="152"/>
      <c r="AM2342" s="152"/>
      <c r="AN2342" s="152"/>
      <c r="AO2342" s="152"/>
      <c r="AP2342" s="152"/>
      <c r="AQ2342" s="152"/>
      <c r="AR2342" s="152"/>
      <c r="AS2342" s="152"/>
      <c r="AT2342" s="152"/>
      <c r="AU2342" s="153"/>
      <c r="AV2342" s="479"/>
      <c r="AW2342" s="479"/>
      <c r="AX2342" s="442"/>
      <c r="AY2342" s="153"/>
      <c r="AZ2342" s="152"/>
      <c r="BA2342" s="152"/>
      <c r="BB2342" s="152"/>
      <c r="BC2342" s="152"/>
      <c r="BD2342" s="152"/>
      <c r="BE2342" s="152"/>
      <c r="BF2342" s="152"/>
      <c r="BG2342" s="152"/>
      <c r="BH2342" s="152"/>
      <c r="BI2342" s="153"/>
      <c r="BJ2342" s="153"/>
      <c r="BK2342" s="153"/>
      <c r="BL2342" s="153"/>
      <c r="BM2342" s="153"/>
      <c r="BN2342" s="153"/>
      <c r="BO2342" s="153"/>
      <c r="BP2342" s="153"/>
      <c r="BQ2342" s="153"/>
      <c r="BR2342" s="153"/>
      <c r="BS2342" s="153"/>
      <c r="BT2342" s="153"/>
      <c r="BU2342" s="153"/>
      <c r="BV2342" s="153"/>
      <c r="BW2342" s="153"/>
      <c r="BX2342" s="153"/>
      <c r="BY2342" s="153"/>
      <c r="BZ2342" s="153"/>
      <c r="CA2342" s="152"/>
      <c r="CB2342" s="152"/>
    </row>
    <row r="2343" spans="1:80" s="87" customFormat="1" x14ac:dyDescent="0.2">
      <c r="A2343" s="152"/>
      <c r="B2343" s="683"/>
      <c r="C2343" s="683"/>
      <c r="D2343" s="698"/>
      <c r="E2343" s="215"/>
      <c r="F2343" s="215"/>
      <c r="G2343" s="153"/>
      <c r="H2343" s="153"/>
      <c r="I2343" s="308">
        <v>20</v>
      </c>
      <c r="J2343" s="308">
        <v>60</v>
      </c>
      <c r="K2343" s="150">
        <v>1</v>
      </c>
      <c r="L2343" s="656">
        <v>20</v>
      </c>
      <c r="M2343" s="663">
        <v>34486</v>
      </c>
      <c r="N2343" s="600">
        <v>24.037500000000001</v>
      </c>
      <c r="O2343" s="604">
        <v>3.0539999999999999E-3</v>
      </c>
      <c r="P2343" s="150"/>
      <c r="Q2343" s="250"/>
      <c r="R2343" s="250"/>
      <c r="S2343" s="250"/>
      <c r="T2343" s="250"/>
      <c r="U2343" s="250">
        <v>9.6999999999999989E-2</v>
      </c>
      <c r="V2343" s="250">
        <v>0.34499999999999997</v>
      </c>
      <c r="W2343" s="250">
        <v>0.38900000000000001</v>
      </c>
      <c r="X2343" s="250">
        <v>0.15</v>
      </c>
      <c r="Y2343" s="250">
        <v>1.9E-2</v>
      </c>
      <c r="Z2343" s="150"/>
      <c r="AA2343" s="150">
        <v>0.9</v>
      </c>
      <c r="AB2343" s="152"/>
      <c r="AC2343" s="152"/>
      <c r="AD2343" s="223">
        <v>21.944880000000001</v>
      </c>
      <c r="AE2343" s="223">
        <v>0.85087208299999995</v>
      </c>
      <c r="AF2343" s="223">
        <v>18.671693999999999</v>
      </c>
      <c r="AG2343" s="223">
        <v>1.2496389999999999</v>
      </c>
      <c r="AH2343" s="341"/>
      <c r="AI2343" s="218"/>
      <c r="AJ2343" s="218"/>
      <c r="AK2343" s="153"/>
      <c r="AL2343" s="152"/>
      <c r="AM2343" s="152"/>
      <c r="AN2343" s="152"/>
      <c r="AO2343" s="152"/>
      <c r="AP2343" s="152"/>
      <c r="AQ2343" s="152"/>
      <c r="AR2343" s="152"/>
      <c r="AS2343" s="152"/>
      <c r="AT2343" s="152"/>
      <c r="AU2343" s="153"/>
      <c r="AV2343" s="479"/>
      <c r="AW2343" s="479"/>
      <c r="AX2343" s="442"/>
      <c r="AY2343" s="153"/>
      <c r="AZ2343" s="152"/>
      <c r="BA2343" s="152"/>
      <c r="BB2343" s="152"/>
      <c r="BC2343" s="152"/>
      <c r="BD2343" s="152"/>
      <c r="BE2343" s="152"/>
      <c r="BF2343" s="152"/>
      <c r="BG2343" s="152"/>
      <c r="BH2343" s="152"/>
      <c r="BI2343" s="153"/>
      <c r="BJ2343" s="153"/>
      <c r="BK2343" s="153"/>
      <c r="BL2343" s="153"/>
      <c r="BM2343" s="153"/>
      <c r="BN2343" s="153"/>
      <c r="BO2343" s="153"/>
      <c r="BP2343" s="153"/>
      <c r="BQ2343" s="153"/>
      <c r="BR2343" s="153"/>
      <c r="BS2343" s="153"/>
      <c r="BT2343" s="153"/>
      <c r="BU2343" s="153"/>
      <c r="BV2343" s="153"/>
      <c r="BW2343" s="153"/>
      <c r="BX2343" s="153"/>
      <c r="BY2343" s="153"/>
      <c r="BZ2343" s="153"/>
      <c r="CA2343" s="152"/>
      <c r="CB2343" s="152"/>
    </row>
    <row r="2344" spans="1:80" s="87" customFormat="1" x14ac:dyDescent="0.2">
      <c r="A2344" s="152"/>
      <c r="B2344" s="683"/>
      <c r="C2344" s="683"/>
      <c r="D2344" s="698"/>
      <c r="E2344" s="215"/>
      <c r="F2344" s="215"/>
      <c r="G2344" s="153"/>
      <c r="H2344" s="153"/>
      <c r="I2344" s="308">
        <v>20</v>
      </c>
      <c r="J2344" s="308">
        <v>60</v>
      </c>
      <c r="K2344" s="150">
        <v>1</v>
      </c>
      <c r="L2344" s="656">
        <v>20</v>
      </c>
      <c r="M2344" s="663">
        <v>34487</v>
      </c>
      <c r="N2344" s="600">
        <v>20.187000000000001</v>
      </c>
      <c r="O2344" s="604">
        <v>1.1019999999999999E-3</v>
      </c>
      <c r="P2344" s="150"/>
      <c r="Q2344" s="250"/>
      <c r="R2344" s="250"/>
      <c r="S2344" s="250"/>
      <c r="T2344" s="250"/>
      <c r="U2344" s="250">
        <v>0.16399999999999998</v>
      </c>
      <c r="V2344" s="250">
        <v>0.36299999999999999</v>
      </c>
      <c r="W2344" s="250">
        <v>0.34600000000000003</v>
      </c>
      <c r="X2344" s="250">
        <v>0.127</v>
      </c>
      <c r="Y2344" s="250">
        <v>0</v>
      </c>
      <c r="Z2344" s="150"/>
      <c r="AA2344" s="150">
        <v>1.05</v>
      </c>
      <c r="AB2344" s="152"/>
      <c r="AC2344" s="152"/>
      <c r="AD2344" s="223"/>
      <c r="AE2344" s="223"/>
      <c r="AF2344" s="223"/>
      <c r="AG2344" s="223"/>
      <c r="AH2344" s="341"/>
      <c r="AI2344" s="218"/>
      <c r="AJ2344" s="218"/>
      <c r="AK2344" s="153"/>
      <c r="AL2344" s="152"/>
      <c r="AM2344" s="152"/>
      <c r="AN2344" s="152"/>
      <c r="AO2344" s="152"/>
      <c r="AP2344" s="152"/>
      <c r="AQ2344" s="152"/>
      <c r="AR2344" s="152"/>
      <c r="AS2344" s="152"/>
      <c r="AT2344" s="152"/>
      <c r="AU2344" s="153"/>
      <c r="AV2344" s="479"/>
      <c r="AW2344" s="479"/>
      <c r="AX2344" s="442"/>
      <c r="AY2344" s="153"/>
      <c r="AZ2344" s="152"/>
      <c r="BA2344" s="152"/>
      <c r="BB2344" s="152"/>
      <c r="BC2344" s="152"/>
      <c r="BD2344" s="152"/>
      <c r="BE2344" s="152"/>
      <c r="BF2344" s="152"/>
      <c r="BG2344" s="152"/>
      <c r="BH2344" s="152"/>
      <c r="BI2344" s="153"/>
      <c r="BJ2344" s="153"/>
      <c r="BK2344" s="153"/>
      <c r="BL2344" s="153"/>
      <c r="BM2344" s="153"/>
      <c r="BN2344" s="153"/>
      <c r="BO2344" s="153"/>
      <c r="BP2344" s="153"/>
      <c r="BQ2344" s="153"/>
      <c r="BR2344" s="153"/>
      <c r="BS2344" s="153"/>
      <c r="BT2344" s="153"/>
      <c r="BU2344" s="153"/>
      <c r="BV2344" s="153"/>
      <c r="BW2344" s="153"/>
      <c r="BX2344" s="153"/>
      <c r="BY2344" s="153"/>
      <c r="BZ2344" s="153"/>
      <c r="CA2344" s="152"/>
      <c r="CB2344" s="152"/>
    </row>
    <row r="2345" spans="1:80" s="87" customFormat="1" x14ac:dyDescent="0.2">
      <c r="A2345" s="152"/>
      <c r="B2345" s="683"/>
      <c r="C2345" s="683"/>
      <c r="D2345" s="698"/>
      <c r="E2345" s="215"/>
      <c r="F2345" s="215"/>
      <c r="G2345" s="153"/>
      <c r="H2345" s="153"/>
      <c r="I2345" s="308">
        <v>20</v>
      </c>
      <c r="J2345" s="308">
        <v>60</v>
      </c>
      <c r="K2345" s="150">
        <v>1</v>
      </c>
      <c r="L2345" s="656">
        <v>20</v>
      </c>
      <c r="M2345" s="663">
        <v>34487</v>
      </c>
      <c r="N2345" s="600">
        <v>20.187000000000001</v>
      </c>
      <c r="O2345" s="604">
        <v>3.5999999999999999E-3</v>
      </c>
      <c r="P2345" s="150"/>
      <c r="Q2345" s="250"/>
      <c r="R2345" s="250"/>
      <c r="S2345" s="250"/>
      <c r="T2345" s="250">
        <v>2.2000000000000002E-2</v>
      </c>
      <c r="U2345" s="250">
        <v>0.14400000000000002</v>
      </c>
      <c r="V2345" s="250">
        <v>0.375</v>
      </c>
      <c r="W2345" s="250">
        <v>0.33700000000000002</v>
      </c>
      <c r="X2345" s="250">
        <v>0.111</v>
      </c>
      <c r="Y2345" s="250">
        <v>1.1000000000000001E-2</v>
      </c>
      <c r="Z2345" s="150"/>
      <c r="AA2345" s="150">
        <v>1.08</v>
      </c>
      <c r="AB2345" s="152"/>
      <c r="AC2345" s="152"/>
      <c r="AD2345" s="223"/>
      <c r="AE2345" s="223"/>
      <c r="AF2345" s="223"/>
      <c r="AG2345" s="223"/>
      <c r="AH2345" s="341"/>
      <c r="AI2345" s="218"/>
      <c r="AJ2345" s="218"/>
      <c r="AK2345" s="153"/>
      <c r="AL2345" s="152"/>
      <c r="AM2345" s="152"/>
      <c r="AN2345" s="152"/>
      <c r="AO2345" s="152"/>
      <c r="AP2345" s="152"/>
      <c r="AQ2345" s="152"/>
      <c r="AR2345" s="152"/>
      <c r="AS2345" s="152"/>
      <c r="AT2345" s="152"/>
      <c r="AU2345" s="153"/>
      <c r="AV2345" s="479"/>
      <c r="AW2345" s="479"/>
      <c r="AX2345" s="442"/>
      <c r="AY2345" s="153"/>
      <c r="AZ2345" s="152"/>
      <c r="BA2345" s="152"/>
      <c r="BB2345" s="152"/>
      <c r="BC2345" s="152"/>
      <c r="BD2345" s="152"/>
      <c r="BE2345" s="152"/>
      <c r="BF2345" s="152"/>
      <c r="BG2345" s="152"/>
      <c r="BH2345" s="152"/>
      <c r="BI2345" s="153"/>
      <c r="BJ2345" s="153"/>
      <c r="BK2345" s="153"/>
      <c r="BL2345" s="153"/>
      <c r="BM2345" s="153"/>
      <c r="BN2345" s="153"/>
      <c r="BO2345" s="153"/>
      <c r="BP2345" s="153"/>
      <c r="BQ2345" s="153"/>
      <c r="BR2345" s="153"/>
      <c r="BS2345" s="153"/>
      <c r="BT2345" s="153"/>
      <c r="BU2345" s="153"/>
      <c r="BV2345" s="153"/>
      <c r="BW2345" s="153"/>
      <c r="BX2345" s="153"/>
      <c r="BY2345" s="153"/>
      <c r="BZ2345" s="153"/>
      <c r="CA2345" s="152"/>
      <c r="CB2345" s="152"/>
    </row>
    <row r="2346" spans="1:80" s="87" customFormat="1" x14ac:dyDescent="0.2">
      <c r="A2346" s="152"/>
      <c r="B2346" s="683"/>
      <c r="C2346" s="683"/>
      <c r="D2346" s="698"/>
      <c r="E2346" s="215"/>
      <c r="F2346" s="215"/>
      <c r="G2346" s="153"/>
      <c r="H2346" s="153"/>
      <c r="I2346" s="308">
        <v>20</v>
      </c>
      <c r="J2346" s="308">
        <v>60</v>
      </c>
      <c r="K2346" s="150">
        <v>1</v>
      </c>
      <c r="L2346" s="656">
        <v>20</v>
      </c>
      <c r="M2346" s="663">
        <v>34493</v>
      </c>
      <c r="N2346" s="600">
        <v>13.675000000000001</v>
      </c>
      <c r="O2346" s="604">
        <v>2.9999999999999997E-4</v>
      </c>
      <c r="P2346" s="150"/>
      <c r="Q2346" s="250"/>
      <c r="R2346" s="250"/>
      <c r="S2346" s="250"/>
      <c r="T2346" s="250">
        <v>0</v>
      </c>
      <c r="U2346" s="250">
        <v>0.13300000000000001</v>
      </c>
      <c r="V2346" s="250">
        <v>0.13400000000000001</v>
      </c>
      <c r="W2346" s="250">
        <v>0.33299999999999996</v>
      </c>
      <c r="X2346" s="250">
        <v>0.33299999999999996</v>
      </c>
      <c r="Y2346" s="250">
        <v>6.7000000000000004E-2</v>
      </c>
      <c r="Z2346" s="150"/>
      <c r="AA2346" s="150">
        <v>0.62</v>
      </c>
      <c r="AB2346" s="152"/>
      <c r="AC2346" s="152"/>
      <c r="AD2346" s="223"/>
      <c r="AE2346" s="223"/>
      <c r="AF2346" s="223"/>
      <c r="AG2346" s="223"/>
      <c r="AH2346" s="341"/>
      <c r="AI2346" s="218"/>
      <c r="AJ2346" s="218"/>
      <c r="AK2346" s="153"/>
      <c r="AL2346" s="152"/>
      <c r="AM2346" s="152"/>
      <c r="AN2346" s="152"/>
      <c r="AO2346" s="152"/>
      <c r="AP2346" s="152"/>
      <c r="AQ2346" s="152"/>
      <c r="AR2346" s="152"/>
      <c r="AS2346" s="152"/>
      <c r="AT2346" s="152"/>
      <c r="AU2346" s="153"/>
      <c r="AV2346" s="479"/>
      <c r="AW2346" s="479"/>
      <c r="AX2346" s="442"/>
      <c r="AY2346" s="153"/>
      <c r="AZ2346" s="152"/>
      <c r="BA2346" s="152"/>
      <c r="BB2346" s="152"/>
      <c r="BC2346" s="152"/>
      <c r="BD2346" s="152"/>
      <c r="BE2346" s="152"/>
      <c r="BF2346" s="152"/>
      <c r="BG2346" s="152"/>
      <c r="BH2346" s="152"/>
      <c r="BI2346" s="153"/>
      <c r="BJ2346" s="153"/>
      <c r="BK2346" s="153"/>
      <c r="BL2346" s="153"/>
      <c r="BM2346" s="153"/>
      <c r="BN2346" s="153"/>
      <c r="BO2346" s="153"/>
      <c r="BP2346" s="153"/>
      <c r="BQ2346" s="153"/>
      <c r="BR2346" s="153"/>
      <c r="BS2346" s="153"/>
      <c r="BT2346" s="153"/>
      <c r="BU2346" s="153"/>
      <c r="BV2346" s="153"/>
      <c r="BW2346" s="153"/>
      <c r="BX2346" s="153"/>
      <c r="BY2346" s="153"/>
      <c r="BZ2346" s="153"/>
      <c r="CA2346" s="152"/>
      <c r="CB2346" s="152"/>
    </row>
    <row r="2347" spans="1:80" s="87" customFormat="1" x14ac:dyDescent="0.2">
      <c r="A2347" s="152"/>
      <c r="B2347" s="683"/>
      <c r="C2347" s="683"/>
      <c r="D2347" s="698"/>
      <c r="E2347" s="215"/>
      <c r="F2347" s="215"/>
      <c r="G2347" s="153"/>
      <c r="H2347" s="153"/>
      <c r="I2347" s="308">
        <v>20</v>
      </c>
      <c r="J2347" s="308">
        <v>60</v>
      </c>
      <c r="K2347" s="150">
        <v>1</v>
      </c>
      <c r="L2347" s="656">
        <v>20</v>
      </c>
      <c r="M2347" s="663">
        <v>34493</v>
      </c>
      <c r="N2347" s="600">
        <v>13.675000000000001</v>
      </c>
      <c r="O2347" s="604">
        <v>1.6000000000000001E-4</v>
      </c>
      <c r="P2347" s="150"/>
      <c r="Q2347" s="250"/>
      <c r="R2347" s="250"/>
      <c r="S2347" s="250"/>
      <c r="T2347" s="250">
        <v>0.625</v>
      </c>
      <c r="U2347" s="250">
        <v>0</v>
      </c>
      <c r="V2347" s="250">
        <v>0.11699999999999999</v>
      </c>
      <c r="W2347" s="250">
        <v>0.11699999999999999</v>
      </c>
      <c r="X2347" s="250">
        <v>0.14099999999999999</v>
      </c>
      <c r="Y2347" s="250">
        <v>0</v>
      </c>
      <c r="Z2347" s="150"/>
      <c r="AA2347" s="150">
        <v>4.59</v>
      </c>
      <c r="AB2347" s="152"/>
      <c r="AC2347" s="152"/>
      <c r="AD2347" s="223"/>
      <c r="AE2347" s="223"/>
      <c r="AF2347" s="223"/>
      <c r="AG2347" s="223"/>
      <c r="AH2347" s="341"/>
      <c r="AI2347" s="218"/>
      <c r="AJ2347" s="218"/>
      <c r="AK2347" s="153"/>
      <c r="AL2347" s="152"/>
      <c r="AM2347" s="152"/>
      <c r="AN2347" s="152"/>
      <c r="AO2347" s="152"/>
      <c r="AP2347" s="152"/>
      <c r="AQ2347" s="152"/>
      <c r="AR2347" s="152"/>
      <c r="AS2347" s="152"/>
      <c r="AT2347" s="152"/>
      <c r="AU2347" s="153"/>
      <c r="AV2347" s="479"/>
      <c r="AW2347" s="479"/>
      <c r="AX2347" s="442"/>
      <c r="AY2347" s="153"/>
      <c r="AZ2347" s="152"/>
      <c r="BA2347" s="152"/>
      <c r="BB2347" s="152"/>
      <c r="BC2347" s="152"/>
      <c r="BD2347" s="152"/>
      <c r="BE2347" s="152"/>
      <c r="BF2347" s="152"/>
      <c r="BG2347" s="152"/>
      <c r="BH2347" s="152"/>
      <c r="BI2347" s="153"/>
      <c r="BJ2347" s="153"/>
      <c r="BK2347" s="153"/>
      <c r="BL2347" s="153"/>
      <c r="BM2347" s="153"/>
      <c r="BN2347" s="153"/>
      <c r="BO2347" s="153"/>
      <c r="BP2347" s="153"/>
      <c r="BQ2347" s="153"/>
      <c r="BR2347" s="153"/>
      <c r="BS2347" s="153"/>
      <c r="BT2347" s="153"/>
      <c r="BU2347" s="153"/>
      <c r="BV2347" s="153"/>
      <c r="BW2347" s="153"/>
      <c r="BX2347" s="153"/>
      <c r="BY2347" s="153"/>
      <c r="BZ2347" s="153"/>
      <c r="CA2347" s="152"/>
      <c r="CB2347" s="152"/>
    </row>
    <row r="2348" spans="1:80" s="87" customFormat="1" x14ac:dyDescent="0.2">
      <c r="A2348" s="152"/>
      <c r="B2348" s="683"/>
      <c r="C2348" s="683"/>
      <c r="D2348" s="698"/>
      <c r="E2348" s="215"/>
      <c r="F2348" s="215"/>
      <c r="G2348" s="153"/>
      <c r="H2348" s="153"/>
      <c r="I2348" s="308">
        <v>20</v>
      </c>
      <c r="J2348" s="308">
        <v>60</v>
      </c>
      <c r="K2348" s="150">
        <v>1</v>
      </c>
      <c r="L2348" s="656">
        <v>20</v>
      </c>
      <c r="M2348" s="663">
        <v>34499</v>
      </c>
      <c r="N2348" s="600">
        <v>11.891299999999999</v>
      </c>
      <c r="O2348" s="604">
        <v>1.9900000000000001E-4</v>
      </c>
      <c r="P2348" s="150"/>
      <c r="Q2348" s="250"/>
      <c r="R2348" s="250"/>
      <c r="S2348" s="250"/>
      <c r="T2348" s="250"/>
      <c r="U2348" s="250">
        <v>0.1</v>
      </c>
      <c r="V2348" s="250">
        <v>0.3</v>
      </c>
      <c r="W2348" s="250">
        <v>0.3</v>
      </c>
      <c r="X2348" s="250">
        <v>0.2</v>
      </c>
      <c r="Y2348" s="250">
        <v>0.1</v>
      </c>
      <c r="Z2348" s="150"/>
      <c r="AA2348" s="150">
        <v>0.79</v>
      </c>
      <c r="AB2348" s="152"/>
      <c r="AC2348" s="152"/>
      <c r="AD2348" s="223"/>
      <c r="AE2348" s="223"/>
      <c r="AF2348" s="223"/>
      <c r="AG2348" s="223"/>
      <c r="AH2348" s="341"/>
      <c r="AI2348" s="218"/>
      <c r="AJ2348" s="218"/>
      <c r="AK2348" s="153"/>
      <c r="AL2348" s="152"/>
      <c r="AM2348" s="152"/>
      <c r="AN2348" s="152"/>
      <c r="AO2348" s="152"/>
      <c r="AP2348" s="152"/>
      <c r="AQ2348" s="152"/>
      <c r="AR2348" s="152"/>
      <c r="AS2348" s="152"/>
      <c r="AT2348" s="152"/>
      <c r="AU2348" s="153"/>
      <c r="AV2348" s="479"/>
      <c r="AW2348" s="479"/>
      <c r="AX2348" s="442"/>
      <c r="AY2348" s="153"/>
      <c r="AZ2348" s="152"/>
      <c r="BA2348" s="152"/>
      <c r="BB2348" s="152"/>
      <c r="BC2348" s="152"/>
      <c r="BD2348" s="152"/>
      <c r="BE2348" s="152"/>
      <c r="BF2348" s="152"/>
      <c r="BG2348" s="152"/>
      <c r="BH2348" s="152"/>
      <c r="BI2348" s="153"/>
      <c r="BJ2348" s="153"/>
      <c r="BK2348" s="153"/>
      <c r="BL2348" s="153"/>
      <c r="BM2348" s="153"/>
      <c r="BN2348" s="153"/>
      <c r="BO2348" s="153"/>
      <c r="BP2348" s="153"/>
      <c r="BQ2348" s="153"/>
      <c r="BR2348" s="153"/>
      <c r="BS2348" s="153"/>
      <c r="BT2348" s="153"/>
      <c r="BU2348" s="153"/>
      <c r="BV2348" s="153"/>
      <c r="BW2348" s="153"/>
      <c r="BX2348" s="153"/>
      <c r="BY2348" s="153"/>
      <c r="BZ2348" s="153"/>
      <c r="CA2348" s="152"/>
      <c r="CB2348" s="152"/>
    </row>
    <row r="2349" spans="1:80" s="87" customFormat="1" x14ac:dyDescent="0.2">
      <c r="A2349" s="152"/>
      <c r="B2349" s="683"/>
      <c r="C2349" s="683"/>
      <c r="D2349" s="698"/>
      <c r="E2349" s="215"/>
      <c r="F2349" s="215"/>
      <c r="G2349" s="153"/>
      <c r="H2349" s="153"/>
      <c r="I2349" s="308">
        <v>20</v>
      </c>
      <c r="J2349" s="308">
        <v>60</v>
      </c>
      <c r="K2349" s="150">
        <v>1</v>
      </c>
      <c r="L2349" s="656">
        <v>20</v>
      </c>
      <c r="M2349" s="663">
        <v>34499</v>
      </c>
      <c r="N2349" s="600">
        <v>11.891299999999999</v>
      </c>
      <c r="O2349" s="604">
        <v>1.9900000000000001E-4</v>
      </c>
      <c r="P2349" s="150"/>
      <c r="Q2349" s="250"/>
      <c r="R2349" s="250"/>
      <c r="S2349" s="250"/>
      <c r="T2349" s="250"/>
      <c r="U2349" s="250">
        <v>0.1</v>
      </c>
      <c r="V2349" s="250">
        <v>0.4</v>
      </c>
      <c r="W2349" s="250">
        <v>0.3</v>
      </c>
      <c r="X2349" s="250">
        <v>0.1</v>
      </c>
      <c r="Y2349" s="250">
        <v>0.1</v>
      </c>
      <c r="Z2349" s="150"/>
      <c r="AA2349" s="150">
        <v>1</v>
      </c>
      <c r="AB2349" s="152"/>
      <c r="AC2349" s="152"/>
      <c r="AD2349" s="223"/>
      <c r="AE2349" s="223"/>
      <c r="AF2349" s="223"/>
      <c r="AG2349" s="223"/>
      <c r="AH2349" s="341"/>
      <c r="AI2349" s="218"/>
      <c r="AJ2349" s="218"/>
      <c r="AK2349" s="153"/>
      <c r="AL2349" s="152"/>
      <c r="AM2349" s="152"/>
      <c r="AN2349" s="152"/>
      <c r="AO2349" s="152"/>
      <c r="AP2349" s="152"/>
      <c r="AQ2349" s="152"/>
      <c r="AR2349" s="152"/>
      <c r="AS2349" s="152"/>
      <c r="AT2349" s="152"/>
      <c r="AU2349" s="153"/>
      <c r="AV2349" s="479"/>
      <c r="AW2349" s="479"/>
      <c r="AX2349" s="442"/>
      <c r="AY2349" s="153"/>
      <c r="AZ2349" s="152"/>
      <c r="BA2349" s="152"/>
      <c r="BB2349" s="152"/>
      <c r="BC2349" s="152"/>
      <c r="BD2349" s="152"/>
      <c r="BE2349" s="152"/>
      <c r="BF2349" s="152"/>
      <c r="BG2349" s="152"/>
      <c r="BH2349" s="152"/>
      <c r="BI2349" s="153"/>
      <c r="BJ2349" s="153"/>
      <c r="BK2349" s="153"/>
      <c r="BL2349" s="153"/>
      <c r="BM2349" s="153"/>
      <c r="BN2349" s="153"/>
      <c r="BO2349" s="153"/>
      <c r="BP2349" s="153"/>
      <c r="BQ2349" s="153"/>
      <c r="BR2349" s="153"/>
      <c r="BS2349" s="153"/>
      <c r="BT2349" s="153"/>
      <c r="BU2349" s="153"/>
      <c r="BV2349" s="153"/>
      <c r="BW2349" s="153"/>
      <c r="BX2349" s="153"/>
      <c r="BY2349" s="153"/>
      <c r="BZ2349" s="153"/>
      <c r="CA2349" s="152"/>
      <c r="CB2349" s="152"/>
    </row>
    <row r="2350" spans="1:80" s="87" customFormat="1" x14ac:dyDescent="0.2">
      <c r="A2350" s="152"/>
      <c r="B2350" s="683"/>
      <c r="C2350" s="683"/>
      <c r="D2350" s="698"/>
      <c r="E2350" s="215"/>
      <c r="F2350" s="215"/>
      <c r="G2350" s="153"/>
      <c r="H2350" s="153"/>
      <c r="I2350" s="308">
        <v>20</v>
      </c>
      <c r="J2350" s="308">
        <v>60</v>
      </c>
      <c r="K2350" s="150">
        <v>1</v>
      </c>
      <c r="L2350" s="656">
        <v>20</v>
      </c>
      <c r="M2350" s="663">
        <v>34821</v>
      </c>
      <c r="N2350" s="600">
        <v>11.948</v>
      </c>
      <c r="O2350" s="604">
        <v>1.9900000000000001E-4</v>
      </c>
      <c r="P2350" s="150"/>
      <c r="Q2350" s="250"/>
      <c r="R2350" s="250"/>
      <c r="S2350" s="250"/>
      <c r="T2350" s="250"/>
      <c r="U2350" s="250">
        <v>9.0999999999999998E-2</v>
      </c>
      <c r="V2350" s="250">
        <v>0.27300000000000002</v>
      </c>
      <c r="W2350" s="250">
        <v>0.36299999999999999</v>
      </c>
      <c r="X2350" s="250">
        <v>0.27300000000000002</v>
      </c>
      <c r="Y2350" s="250">
        <v>0</v>
      </c>
      <c r="Z2350" s="150"/>
      <c r="AA2350" s="150">
        <v>0.77</v>
      </c>
      <c r="AB2350" s="152"/>
      <c r="AC2350" s="152"/>
      <c r="AD2350" s="223"/>
      <c r="AE2350" s="223"/>
      <c r="AF2350" s="223"/>
      <c r="AG2350" s="223"/>
      <c r="AH2350" s="341"/>
      <c r="AI2350" s="218"/>
      <c r="AJ2350" s="218"/>
      <c r="AK2350" s="153"/>
      <c r="AL2350" s="152"/>
      <c r="AM2350" s="152"/>
      <c r="AN2350" s="152"/>
      <c r="AO2350" s="152"/>
      <c r="AP2350" s="152"/>
      <c r="AQ2350" s="152"/>
      <c r="AR2350" s="152"/>
      <c r="AS2350" s="152"/>
      <c r="AT2350" s="152"/>
      <c r="AU2350" s="153"/>
      <c r="AV2350" s="479"/>
      <c r="AW2350" s="479"/>
      <c r="AX2350" s="442"/>
      <c r="AY2350" s="153"/>
      <c r="AZ2350" s="152"/>
      <c r="BA2350" s="152"/>
      <c r="BB2350" s="152"/>
      <c r="BC2350" s="152"/>
      <c r="BD2350" s="152"/>
      <c r="BE2350" s="152"/>
      <c r="BF2350" s="152"/>
      <c r="BG2350" s="152"/>
      <c r="BH2350" s="152"/>
      <c r="BI2350" s="153"/>
      <c r="BJ2350" s="153"/>
      <c r="BK2350" s="153"/>
      <c r="BL2350" s="153"/>
      <c r="BM2350" s="153"/>
      <c r="BN2350" s="153"/>
      <c r="BO2350" s="153"/>
      <c r="BP2350" s="153"/>
      <c r="BQ2350" s="153"/>
      <c r="BR2350" s="153"/>
      <c r="BS2350" s="153"/>
      <c r="BT2350" s="153"/>
      <c r="BU2350" s="153"/>
      <c r="BV2350" s="153"/>
      <c r="BW2350" s="153"/>
      <c r="BX2350" s="153"/>
      <c r="BY2350" s="153"/>
      <c r="BZ2350" s="153"/>
      <c r="CA2350" s="152"/>
      <c r="CB2350" s="152"/>
    </row>
    <row r="2351" spans="1:80" s="87" customFormat="1" x14ac:dyDescent="0.2">
      <c r="A2351" s="152"/>
      <c r="B2351" s="683"/>
      <c r="C2351" s="683"/>
      <c r="D2351" s="698"/>
      <c r="E2351" s="215"/>
      <c r="F2351" s="215"/>
      <c r="G2351" s="153"/>
      <c r="H2351" s="153"/>
      <c r="I2351" s="308">
        <v>20</v>
      </c>
      <c r="J2351" s="308">
        <v>60</v>
      </c>
      <c r="K2351" s="150">
        <v>1</v>
      </c>
      <c r="L2351" s="656">
        <v>20</v>
      </c>
      <c r="M2351" s="663">
        <v>34821</v>
      </c>
      <c r="N2351" s="600">
        <v>11.948</v>
      </c>
      <c r="O2351" s="604">
        <v>9.7900000000000005E-4</v>
      </c>
      <c r="P2351" s="150"/>
      <c r="Q2351" s="250"/>
      <c r="R2351" s="250"/>
      <c r="S2351" s="250"/>
      <c r="T2351" s="250"/>
      <c r="U2351" s="250">
        <v>8.3000000000000004E-2</v>
      </c>
      <c r="V2351" s="250">
        <v>0.27100000000000002</v>
      </c>
      <c r="W2351" s="250">
        <v>0.375</v>
      </c>
      <c r="X2351" s="250">
        <v>0.27100000000000002</v>
      </c>
      <c r="Y2351" s="250">
        <v>0</v>
      </c>
      <c r="Z2351" s="150"/>
      <c r="AA2351" s="150">
        <v>0.76</v>
      </c>
      <c r="AB2351" s="152"/>
      <c r="AC2351" s="152"/>
      <c r="AD2351" s="223"/>
      <c r="AE2351" s="223"/>
      <c r="AF2351" s="223"/>
      <c r="AG2351" s="223"/>
      <c r="AH2351" s="341"/>
      <c r="AI2351" s="218"/>
      <c r="AJ2351" s="218"/>
      <c r="AK2351" s="153"/>
      <c r="AL2351" s="152"/>
      <c r="AM2351" s="152"/>
      <c r="AN2351" s="152"/>
      <c r="AO2351" s="152"/>
      <c r="AP2351" s="152"/>
      <c r="AQ2351" s="152"/>
      <c r="AR2351" s="152"/>
      <c r="AS2351" s="152"/>
      <c r="AT2351" s="152"/>
      <c r="AU2351" s="153"/>
      <c r="AV2351" s="479"/>
      <c r="AW2351" s="479"/>
      <c r="AX2351" s="442"/>
      <c r="AY2351" s="153"/>
      <c r="AZ2351" s="152"/>
      <c r="BA2351" s="152"/>
      <c r="BB2351" s="152"/>
      <c r="BC2351" s="152"/>
      <c r="BD2351" s="152"/>
      <c r="BE2351" s="152"/>
      <c r="BF2351" s="152"/>
      <c r="BG2351" s="152"/>
      <c r="BH2351" s="152"/>
      <c r="BI2351" s="153"/>
      <c r="BJ2351" s="153"/>
      <c r="BK2351" s="153"/>
      <c r="BL2351" s="153"/>
      <c r="BM2351" s="153"/>
      <c r="BN2351" s="153"/>
      <c r="BO2351" s="153"/>
      <c r="BP2351" s="153"/>
      <c r="BQ2351" s="153"/>
      <c r="BR2351" s="153"/>
      <c r="BS2351" s="153"/>
      <c r="BT2351" s="153"/>
      <c r="BU2351" s="153"/>
      <c r="BV2351" s="153"/>
      <c r="BW2351" s="153"/>
      <c r="BX2351" s="153"/>
      <c r="BY2351" s="153"/>
      <c r="BZ2351" s="153"/>
      <c r="CA2351" s="152"/>
      <c r="CB2351" s="152"/>
    </row>
    <row r="2352" spans="1:80" s="87" customFormat="1" x14ac:dyDescent="0.2">
      <c r="A2352" s="152"/>
      <c r="B2352" s="683"/>
      <c r="C2352" s="683"/>
      <c r="D2352" s="698"/>
      <c r="E2352" s="215"/>
      <c r="F2352" s="215"/>
      <c r="G2352" s="153"/>
      <c r="H2352" s="153"/>
      <c r="I2352" s="308">
        <v>20</v>
      </c>
      <c r="J2352" s="308">
        <v>60</v>
      </c>
      <c r="K2352" s="150">
        <v>1</v>
      </c>
      <c r="L2352" s="656">
        <v>20</v>
      </c>
      <c r="M2352" s="663">
        <v>34822</v>
      </c>
      <c r="N2352" s="600">
        <v>12.9672</v>
      </c>
      <c r="O2352" s="604">
        <v>9.990000000000001E-4</v>
      </c>
      <c r="P2352" s="150"/>
      <c r="Q2352" s="250"/>
      <c r="R2352" s="250"/>
      <c r="S2352" s="250"/>
      <c r="T2352" s="250"/>
      <c r="U2352" s="250">
        <v>4.2000000000000003E-2</v>
      </c>
      <c r="V2352" s="250">
        <v>0.27100000000000002</v>
      </c>
      <c r="W2352" s="250">
        <v>0.43700000000000006</v>
      </c>
      <c r="X2352" s="250">
        <v>0.22899999999999998</v>
      </c>
      <c r="Y2352" s="250">
        <v>2.1000000000000001E-2</v>
      </c>
      <c r="Z2352" s="150"/>
      <c r="AA2352" s="150">
        <v>0.74</v>
      </c>
      <c r="AB2352" s="152"/>
      <c r="AC2352" s="152"/>
      <c r="AD2352" s="223"/>
      <c r="AE2352" s="223"/>
      <c r="AF2352" s="223"/>
      <c r="AG2352" s="223"/>
      <c r="AH2352" s="341"/>
      <c r="AI2352" s="218"/>
      <c r="AJ2352" s="218"/>
      <c r="AK2352" s="153"/>
      <c r="AL2352" s="152"/>
      <c r="AM2352" s="152"/>
      <c r="AN2352" s="152"/>
      <c r="AO2352" s="152"/>
      <c r="AP2352" s="152"/>
      <c r="AQ2352" s="152"/>
      <c r="AR2352" s="152"/>
      <c r="AS2352" s="152"/>
      <c r="AT2352" s="152"/>
      <c r="AU2352" s="153"/>
      <c r="AV2352" s="479"/>
      <c r="AW2352" s="479"/>
      <c r="AX2352" s="442"/>
      <c r="AY2352" s="153"/>
      <c r="AZ2352" s="152"/>
      <c r="BA2352" s="152"/>
      <c r="BB2352" s="152"/>
      <c r="BC2352" s="152"/>
      <c r="BD2352" s="152"/>
      <c r="BE2352" s="152"/>
      <c r="BF2352" s="152"/>
      <c r="BG2352" s="152"/>
      <c r="BH2352" s="152"/>
      <c r="BI2352" s="153"/>
      <c r="BJ2352" s="153"/>
      <c r="BK2352" s="153"/>
      <c r="BL2352" s="153"/>
      <c r="BM2352" s="153"/>
      <c r="BN2352" s="153"/>
      <c r="BO2352" s="153"/>
      <c r="BP2352" s="153"/>
      <c r="BQ2352" s="153"/>
      <c r="BR2352" s="153"/>
      <c r="BS2352" s="153"/>
      <c r="BT2352" s="153"/>
      <c r="BU2352" s="153"/>
      <c r="BV2352" s="153"/>
      <c r="BW2352" s="153"/>
      <c r="BX2352" s="153"/>
      <c r="BY2352" s="153"/>
      <c r="BZ2352" s="153"/>
      <c r="CA2352" s="152"/>
      <c r="CB2352" s="152"/>
    </row>
    <row r="2353" spans="1:80" s="87" customFormat="1" x14ac:dyDescent="0.2">
      <c r="A2353" s="152"/>
      <c r="B2353" s="683"/>
      <c r="C2353" s="683"/>
      <c r="D2353" s="698"/>
      <c r="E2353" s="215"/>
      <c r="F2353" s="215"/>
      <c r="G2353" s="153"/>
      <c r="H2353" s="153"/>
      <c r="I2353" s="308">
        <v>20</v>
      </c>
      <c r="J2353" s="308">
        <v>60</v>
      </c>
      <c r="K2353" s="150">
        <v>1</v>
      </c>
      <c r="L2353" s="656">
        <v>20</v>
      </c>
      <c r="M2353" s="663">
        <v>34822</v>
      </c>
      <c r="N2353" s="600">
        <v>12.9672</v>
      </c>
      <c r="O2353" s="604">
        <v>7.3999999999999999E-4</v>
      </c>
      <c r="P2353" s="150"/>
      <c r="Q2353" s="250"/>
      <c r="R2353" s="250"/>
      <c r="S2353" s="250"/>
      <c r="T2353" s="250"/>
      <c r="U2353" s="250">
        <v>0.109</v>
      </c>
      <c r="V2353" s="250">
        <v>0.28199999999999997</v>
      </c>
      <c r="W2353" s="250">
        <v>0.37</v>
      </c>
      <c r="X2353" s="250">
        <v>0.217</v>
      </c>
      <c r="Y2353" s="250">
        <v>2.2000000000000002E-2</v>
      </c>
      <c r="Z2353" s="150"/>
      <c r="AA2353" s="150">
        <v>0.82</v>
      </c>
      <c r="AB2353" s="152"/>
      <c r="AC2353" s="152"/>
      <c r="AD2353" s="223"/>
      <c r="AE2353" s="223"/>
      <c r="AF2353" s="223"/>
      <c r="AG2353" s="223"/>
      <c r="AH2353" s="341"/>
      <c r="AI2353" s="218"/>
      <c r="AJ2353" s="218"/>
      <c r="AK2353" s="153"/>
      <c r="AL2353" s="152"/>
      <c r="AM2353" s="152"/>
      <c r="AN2353" s="152"/>
      <c r="AO2353" s="152"/>
      <c r="AP2353" s="152"/>
      <c r="AQ2353" s="152"/>
      <c r="AR2353" s="152"/>
      <c r="AS2353" s="152"/>
      <c r="AT2353" s="152"/>
      <c r="AU2353" s="153"/>
      <c r="AV2353" s="479"/>
      <c r="AW2353" s="479"/>
      <c r="AX2353" s="442"/>
      <c r="AY2353" s="153"/>
      <c r="AZ2353" s="152"/>
      <c r="BA2353" s="152"/>
      <c r="BB2353" s="152"/>
      <c r="BC2353" s="152"/>
      <c r="BD2353" s="152"/>
      <c r="BE2353" s="152"/>
      <c r="BF2353" s="152"/>
      <c r="BG2353" s="152"/>
      <c r="BH2353" s="152"/>
      <c r="BI2353" s="153"/>
      <c r="BJ2353" s="153"/>
      <c r="BK2353" s="153"/>
      <c r="BL2353" s="153"/>
      <c r="BM2353" s="153"/>
      <c r="BN2353" s="153"/>
      <c r="BO2353" s="153"/>
      <c r="BP2353" s="153"/>
      <c r="BQ2353" s="153"/>
      <c r="BR2353" s="153"/>
      <c r="BS2353" s="153"/>
      <c r="BT2353" s="153"/>
      <c r="BU2353" s="153"/>
      <c r="BV2353" s="153"/>
      <c r="BW2353" s="153"/>
      <c r="BX2353" s="153"/>
      <c r="BY2353" s="153"/>
      <c r="BZ2353" s="153"/>
      <c r="CA2353" s="152"/>
      <c r="CB2353" s="152"/>
    </row>
    <row r="2354" spans="1:80" s="87" customFormat="1" x14ac:dyDescent="0.2">
      <c r="A2354" s="152"/>
      <c r="B2354" s="683"/>
      <c r="C2354" s="683"/>
      <c r="D2354" s="698"/>
      <c r="E2354" s="215"/>
      <c r="F2354" s="215"/>
      <c r="G2354" s="153"/>
      <c r="H2354" s="153"/>
      <c r="I2354" s="308">
        <v>20</v>
      </c>
      <c r="J2354" s="308">
        <v>60</v>
      </c>
      <c r="K2354" s="150">
        <v>1</v>
      </c>
      <c r="L2354" s="656">
        <v>20</v>
      </c>
      <c r="M2354" s="663">
        <v>34828</v>
      </c>
      <c r="N2354" s="600">
        <v>24.094100000000001</v>
      </c>
      <c r="O2354" s="604">
        <v>6.025E-3</v>
      </c>
      <c r="P2354" s="150"/>
      <c r="Q2354" s="250"/>
      <c r="R2354" s="250"/>
      <c r="S2354" s="250"/>
      <c r="T2354" s="250">
        <v>2.5000000000000001E-2</v>
      </c>
      <c r="U2354" s="250">
        <v>0.1</v>
      </c>
      <c r="V2354" s="250">
        <v>0.379</v>
      </c>
      <c r="W2354" s="250">
        <v>0.35399999999999998</v>
      </c>
      <c r="X2354" s="250">
        <v>0.13400000000000001</v>
      </c>
      <c r="Y2354" s="250">
        <v>8.0000000000000002E-3</v>
      </c>
      <c r="Z2354" s="150"/>
      <c r="AA2354" s="150">
        <v>1.01</v>
      </c>
      <c r="AB2354" s="152"/>
      <c r="AC2354" s="152"/>
      <c r="AD2354" s="223"/>
      <c r="AE2354" s="223"/>
      <c r="AF2354" s="223"/>
      <c r="AG2354" s="223"/>
      <c r="AH2354" s="341"/>
      <c r="AI2354" s="218"/>
      <c r="AJ2354" s="218"/>
      <c r="AK2354" s="153"/>
      <c r="AL2354" s="152"/>
      <c r="AM2354" s="152"/>
      <c r="AN2354" s="152"/>
      <c r="AO2354" s="152"/>
      <c r="AP2354" s="152"/>
      <c r="AQ2354" s="152"/>
      <c r="AR2354" s="152"/>
      <c r="AS2354" s="152"/>
      <c r="AT2354" s="152"/>
      <c r="AU2354" s="153"/>
      <c r="AV2354" s="479"/>
      <c r="AW2354" s="479"/>
      <c r="AX2354" s="442"/>
      <c r="AY2354" s="153"/>
      <c r="AZ2354" s="152"/>
      <c r="BA2354" s="152"/>
      <c r="BB2354" s="152"/>
      <c r="BC2354" s="152"/>
      <c r="BD2354" s="152"/>
      <c r="BE2354" s="152"/>
      <c r="BF2354" s="152"/>
      <c r="BG2354" s="152"/>
      <c r="BH2354" s="152"/>
      <c r="BI2354" s="153"/>
      <c r="BJ2354" s="153"/>
      <c r="BK2354" s="153"/>
      <c r="BL2354" s="153"/>
      <c r="BM2354" s="153"/>
      <c r="BN2354" s="153"/>
      <c r="BO2354" s="153"/>
      <c r="BP2354" s="153"/>
      <c r="BQ2354" s="153"/>
      <c r="BR2354" s="153"/>
      <c r="BS2354" s="153"/>
      <c r="BT2354" s="153"/>
      <c r="BU2354" s="153"/>
      <c r="BV2354" s="153"/>
      <c r="BW2354" s="153"/>
      <c r="BX2354" s="153"/>
      <c r="BY2354" s="153"/>
      <c r="BZ2354" s="153"/>
      <c r="CA2354" s="152"/>
      <c r="CB2354" s="152"/>
    </row>
    <row r="2355" spans="1:80" s="87" customFormat="1" x14ac:dyDescent="0.2">
      <c r="A2355" s="152"/>
      <c r="B2355" s="683"/>
      <c r="C2355" s="683"/>
      <c r="D2355" s="698"/>
      <c r="E2355" s="215"/>
      <c r="F2355" s="215"/>
      <c r="G2355" s="153"/>
      <c r="H2355" s="153"/>
      <c r="I2355" s="308">
        <v>20</v>
      </c>
      <c r="J2355" s="308">
        <v>60</v>
      </c>
      <c r="K2355" s="150">
        <v>1</v>
      </c>
      <c r="L2355" s="656">
        <v>20</v>
      </c>
      <c r="M2355" s="663">
        <v>34828</v>
      </c>
      <c r="N2355" s="600">
        <v>24.094100000000001</v>
      </c>
      <c r="O2355" s="604">
        <v>4.8069999999999996E-3</v>
      </c>
      <c r="P2355" s="150"/>
      <c r="Q2355" s="250"/>
      <c r="R2355" s="250"/>
      <c r="S2355" s="250"/>
      <c r="T2355" s="250">
        <v>2.1000000000000001E-2</v>
      </c>
      <c r="U2355" s="250">
        <v>6.7000000000000004E-2</v>
      </c>
      <c r="V2355" s="250">
        <v>0.29600000000000004</v>
      </c>
      <c r="W2355" s="250">
        <v>0.40399999999999997</v>
      </c>
      <c r="X2355" s="250">
        <v>0.20199999999999999</v>
      </c>
      <c r="Y2355" s="250">
        <v>0.01</v>
      </c>
      <c r="Z2355" s="150"/>
      <c r="AA2355" s="150">
        <v>0.82</v>
      </c>
      <c r="AB2355" s="152"/>
      <c r="AC2355" s="152"/>
      <c r="AD2355" s="223"/>
      <c r="AE2355" s="223"/>
      <c r="AF2355" s="223"/>
      <c r="AG2355" s="223"/>
      <c r="AH2355" s="341"/>
      <c r="AI2355" s="218"/>
      <c r="AJ2355" s="218"/>
      <c r="AK2355" s="153"/>
      <c r="AL2355" s="152"/>
      <c r="AM2355" s="152"/>
      <c r="AN2355" s="152"/>
      <c r="AO2355" s="152"/>
      <c r="AP2355" s="152"/>
      <c r="AQ2355" s="152"/>
      <c r="AR2355" s="152"/>
      <c r="AS2355" s="152"/>
      <c r="AT2355" s="152"/>
      <c r="AU2355" s="153"/>
      <c r="AV2355" s="479"/>
      <c r="AW2355" s="479"/>
      <c r="AX2355" s="442"/>
      <c r="AY2355" s="153"/>
      <c r="AZ2355" s="152"/>
      <c r="BA2355" s="152"/>
      <c r="BB2355" s="152"/>
      <c r="BC2355" s="152"/>
      <c r="BD2355" s="152"/>
      <c r="BE2355" s="152"/>
      <c r="BF2355" s="152"/>
      <c r="BG2355" s="152"/>
      <c r="BH2355" s="152"/>
      <c r="BI2355" s="153"/>
      <c r="BJ2355" s="153"/>
      <c r="BK2355" s="153"/>
      <c r="BL2355" s="153"/>
      <c r="BM2355" s="153"/>
      <c r="BN2355" s="153"/>
      <c r="BO2355" s="153"/>
      <c r="BP2355" s="153"/>
      <c r="BQ2355" s="153"/>
      <c r="BR2355" s="153"/>
      <c r="BS2355" s="153"/>
      <c r="BT2355" s="153"/>
      <c r="BU2355" s="153"/>
      <c r="BV2355" s="153"/>
      <c r="BW2355" s="153"/>
      <c r="BX2355" s="153"/>
      <c r="BY2355" s="153"/>
      <c r="BZ2355" s="153"/>
      <c r="CA2355" s="152"/>
      <c r="CB2355" s="152"/>
    </row>
    <row r="2356" spans="1:80" s="87" customFormat="1" x14ac:dyDescent="0.2">
      <c r="A2356" s="152"/>
      <c r="B2356" s="683"/>
      <c r="C2356" s="683"/>
      <c r="D2356" s="698"/>
      <c r="E2356" s="215"/>
      <c r="F2356" s="215"/>
      <c r="G2356" s="153"/>
      <c r="H2356" s="153"/>
      <c r="I2356" s="308">
        <v>20</v>
      </c>
      <c r="J2356" s="308">
        <v>60</v>
      </c>
      <c r="K2356" s="150">
        <v>1</v>
      </c>
      <c r="L2356" s="656">
        <v>20</v>
      </c>
      <c r="M2356" s="663">
        <v>34829</v>
      </c>
      <c r="N2356" s="600">
        <v>26.444099999999999</v>
      </c>
      <c r="O2356" s="604">
        <v>9.1210000000000006E-3</v>
      </c>
      <c r="P2356" s="150"/>
      <c r="Q2356" s="250"/>
      <c r="R2356" s="250"/>
      <c r="S2356" s="250"/>
      <c r="T2356" s="250">
        <v>3.1E-2</v>
      </c>
      <c r="U2356" s="250">
        <v>0.11599999999999999</v>
      </c>
      <c r="V2356" s="250">
        <v>0.37799999999999995</v>
      </c>
      <c r="W2356" s="250">
        <v>0.33600000000000002</v>
      </c>
      <c r="X2356" s="250">
        <v>0.13300000000000001</v>
      </c>
      <c r="Y2356" s="250">
        <v>6.0000000000000001E-3</v>
      </c>
      <c r="Z2356" s="150"/>
      <c r="AA2356" s="150">
        <v>1.05</v>
      </c>
      <c r="AB2356" s="152"/>
      <c r="AC2356" s="152"/>
      <c r="AD2356" s="223"/>
      <c r="AE2356" s="223"/>
      <c r="AF2356" s="223"/>
      <c r="AG2356" s="223"/>
      <c r="AH2356" s="341"/>
      <c r="AI2356" s="218"/>
      <c r="AJ2356" s="218"/>
      <c r="AK2356" s="153"/>
      <c r="AL2356" s="152"/>
      <c r="AM2356" s="152"/>
      <c r="AN2356" s="152"/>
      <c r="AO2356" s="152"/>
      <c r="AP2356" s="152"/>
      <c r="AQ2356" s="152"/>
      <c r="AR2356" s="152"/>
      <c r="AS2356" s="152"/>
      <c r="AT2356" s="152"/>
      <c r="AU2356" s="153"/>
      <c r="AV2356" s="479"/>
      <c r="AW2356" s="479"/>
      <c r="AX2356" s="442"/>
      <c r="AY2356" s="153"/>
      <c r="AZ2356" s="152"/>
      <c r="BA2356" s="152"/>
      <c r="BB2356" s="152"/>
      <c r="BC2356" s="152"/>
      <c r="BD2356" s="152"/>
      <c r="BE2356" s="152"/>
      <c r="BF2356" s="152"/>
      <c r="BG2356" s="152"/>
      <c r="BH2356" s="152"/>
      <c r="BI2356" s="153"/>
      <c r="BJ2356" s="153"/>
      <c r="BK2356" s="153"/>
      <c r="BL2356" s="153"/>
      <c r="BM2356" s="153"/>
      <c r="BN2356" s="153"/>
      <c r="BO2356" s="153"/>
      <c r="BP2356" s="153"/>
      <c r="BQ2356" s="153"/>
      <c r="BR2356" s="153"/>
      <c r="BS2356" s="153"/>
      <c r="BT2356" s="153"/>
      <c r="BU2356" s="153"/>
      <c r="BV2356" s="153"/>
      <c r="BW2356" s="153"/>
      <c r="BX2356" s="153"/>
      <c r="BY2356" s="153"/>
      <c r="BZ2356" s="153"/>
      <c r="CA2356" s="152"/>
      <c r="CB2356" s="152"/>
    </row>
    <row r="2357" spans="1:80" s="87" customFormat="1" x14ac:dyDescent="0.2">
      <c r="A2357" s="152"/>
      <c r="B2357" s="683"/>
      <c r="C2357" s="683"/>
      <c r="D2357" s="698"/>
      <c r="E2357" s="215"/>
      <c r="F2357" s="215"/>
      <c r="G2357" s="153"/>
      <c r="H2357" s="153"/>
      <c r="I2357" s="308">
        <v>20</v>
      </c>
      <c r="J2357" s="308">
        <v>60</v>
      </c>
      <c r="K2357" s="150">
        <v>1</v>
      </c>
      <c r="L2357" s="656">
        <v>20</v>
      </c>
      <c r="M2357" s="663">
        <v>34829</v>
      </c>
      <c r="N2357" s="600">
        <v>26.444099999999999</v>
      </c>
      <c r="O2357" s="604">
        <v>8.0289999999999997E-3</v>
      </c>
      <c r="P2357" s="150"/>
      <c r="Q2357" s="250"/>
      <c r="R2357" s="250"/>
      <c r="S2357" s="250">
        <v>3.5000000000000003E-2</v>
      </c>
      <c r="T2357" s="250">
        <v>0</v>
      </c>
      <c r="U2357" s="250">
        <v>4.7E-2</v>
      </c>
      <c r="V2357" s="250">
        <v>0.27200000000000002</v>
      </c>
      <c r="W2357" s="250">
        <v>0.40500000000000003</v>
      </c>
      <c r="X2357" s="250">
        <v>0.23100000000000001</v>
      </c>
      <c r="Y2357" s="250">
        <v>0.01</v>
      </c>
      <c r="Z2357" s="150"/>
      <c r="AA2357" s="150">
        <v>0.78</v>
      </c>
      <c r="AB2357" s="152"/>
      <c r="AC2357" s="152"/>
      <c r="AD2357" s="223"/>
      <c r="AE2357" s="223"/>
      <c r="AF2357" s="223"/>
      <c r="AG2357" s="223"/>
      <c r="AH2357" s="341"/>
      <c r="AI2357" s="218"/>
      <c r="AJ2357" s="218"/>
      <c r="AK2357" s="153"/>
      <c r="AL2357" s="152"/>
      <c r="AM2357" s="152"/>
      <c r="AN2357" s="152"/>
      <c r="AO2357" s="152"/>
      <c r="AP2357" s="152"/>
      <c r="AQ2357" s="152"/>
      <c r="AR2357" s="152"/>
      <c r="AS2357" s="152"/>
      <c r="AT2357" s="152"/>
      <c r="AU2357" s="153"/>
      <c r="AV2357" s="479"/>
      <c r="AW2357" s="479"/>
      <c r="AX2357" s="442"/>
      <c r="AY2357" s="153"/>
      <c r="AZ2357" s="152"/>
      <c r="BA2357" s="152"/>
      <c r="BB2357" s="152"/>
      <c r="BC2357" s="152"/>
      <c r="BD2357" s="152"/>
      <c r="BE2357" s="152"/>
      <c r="BF2357" s="152"/>
      <c r="BG2357" s="152"/>
      <c r="BH2357" s="152"/>
      <c r="BI2357" s="153"/>
      <c r="BJ2357" s="153"/>
      <c r="BK2357" s="153"/>
      <c r="BL2357" s="153"/>
      <c r="BM2357" s="153"/>
      <c r="BN2357" s="153"/>
      <c r="BO2357" s="153"/>
      <c r="BP2357" s="153"/>
      <c r="BQ2357" s="153"/>
      <c r="BR2357" s="153"/>
      <c r="BS2357" s="153"/>
      <c r="BT2357" s="153"/>
      <c r="BU2357" s="153"/>
      <c r="BV2357" s="153"/>
      <c r="BW2357" s="153"/>
      <c r="BX2357" s="153"/>
      <c r="BY2357" s="153"/>
      <c r="BZ2357" s="153"/>
      <c r="CA2357" s="152"/>
      <c r="CB2357" s="152"/>
    </row>
    <row r="2358" spans="1:80" s="87" customFormat="1" x14ac:dyDescent="0.2">
      <c r="A2358" s="152"/>
      <c r="B2358" s="683"/>
      <c r="C2358" s="683"/>
      <c r="D2358" s="698"/>
      <c r="E2358" s="215"/>
      <c r="F2358" s="215"/>
      <c r="G2358" s="153"/>
      <c r="H2358" s="153"/>
      <c r="I2358" s="308">
        <v>20</v>
      </c>
      <c r="J2358" s="308">
        <v>60</v>
      </c>
      <c r="K2358" s="150">
        <v>1</v>
      </c>
      <c r="L2358" s="656">
        <v>20</v>
      </c>
      <c r="M2358" s="663">
        <v>34835</v>
      </c>
      <c r="N2358" s="600">
        <v>34.541499999999999</v>
      </c>
      <c r="O2358" s="604">
        <v>2.0572E-2</v>
      </c>
      <c r="P2358" s="150"/>
      <c r="Q2358" s="250"/>
      <c r="R2358" s="250"/>
      <c r="S2358" s="250">
        <v>8.0000000000000002E-3</v>
      </c>
      <c r="T2358" s="250">
        <v>5.2999999999999999E-2</v>
      </c>
      <c r="U2358" s="250">
        <v>0.14199999999999999</v>
      </c>
      <c r="V2358" s="250">
        <v>0.312</v>
      </c>
      <c r="W2358" s="250">
        <v>0.314</v>
      </c>
      <c r="X2358" s="250">
        <v>0.16500000000000001</v>
      </c>
      <c r="Y2358" s="250">
        <v>6.0000000000000001E-3</v>
      </c>
      <c r="Z2358" s="150"/>
      <c r="AA2358" s="150">
        <v>1.03</v>
      </c>
      <c r="AB2358" s="152"/>
      <c r="AC2358" s="152"/>
      <c r="AD2358" s="223"/>
      <c r="AE2358" s="223"/>
      <c r="AF2358" s="223"/>
      <c r="AG2358" s="223"/>
      <c r="AH2358" s="341"/>
      <c r="AI2358" s="218"/>
      <c r="AJ2358" s="218"/>
      <c r="AK2358" s="153"/>
      <c r="AL2358" s="152"/>
      <c r="AM2358" s="152"/>
      <c r="AN2358" s="152"/>
      <c r="AO2358" s="152"/>
      <c r="AP2358" s="152"/>
      <c r="AQ2358" s="152"/>
      <c r="AR2358" s="152"/>
      <c r="AS2358" s="152"/>
      <c r="AT2358" s="152"/>
      <c r="AU2358" s="153"/>
      <c r="AV2358" s="479"/>
      <c r="AW2358" s="479"/>
      <c r="AX2358" s="442"/>
      <c r="AY2358" s="153"/>
      <c r="AZ2358" s="152"/>
      <c r="BA2358" s="152"/>
      <c r="BB2358" s="152"/>
      <c r="BC2358" s="152"/>
      <c r="BD2358" s="152"/>
      <c r="BE2358" s="152"/>
      <c r="BF2358" s="152"/>
      <c r="BG2358" s="152"/>
      <c r="BH2358" s="152"/>
      <c r="BI2358" s="153"/>
      <c r="BJ2358" s="153"/>
      <c r="BK2358" s="153"/>
      <c r="BL2358" s="153"/>
      <c r="BM2358" s="153"/>
      <c r="BN2358" s="153"/>
      <c r="BO2358" s="153"/>
      <c r="BP2358" s="153"/>
      <c r="BQ2358" s="153"/>
      <c r="BR2358" s="153"/>
      <c r="BS2358" s="153"/>
      <c r="BT2358" s="153"/>
      <c r="BU2358" s="153"/>
      <c r="BV2358" s="153"/>
      <c r="BW2358" s="153"/>
      <c r="BX2358" s="153"/>
      <c r="BY2358" s="153"/>
      <c r="BZ2358" s="153"/>
      <c r="CA2358" s="152"/>
      <c r="CB2358" s="152"/>
    </row>
    <row r="2359" spans="1:80" s="87" customFormat="1" x14ac:dyDescent="0.2">
      <c r="A2359" s="152"/>
      <c r="B2359" s="683"/>
      <c r="C2359" s="683"/>
      <c r="D2359" s="698"/>
      <c r="E2359" s="215"/>
      <c r="F2359" s="215"/>
      <c r="G2359" s="153"/>
      <c r="H2359" s="153"/>
      <c r="I2359" s="308">
        <v>20</v>
      </c>
      <c r="J2359" s="308">
        <v>60</v>
      </c>
      <c r="K2359" s="150">
        <v>1</v>
      </c>
      <c r="L2359" s="656">
        <v>20</v>
      </c>
      <c r="M2359" s="663">
        <v>34835</v>
      </c>
      <c r="N2359" s="600">
        <v>34.541499999999999</v>
      </c>
      <c r="O2359" s="604">
        <v>1.7947999999999999E-2</v>
      </c>
      <c r="P2359" s="150"/>
      <c r="Q2359" s="250"/>
      <c r="R2359" s="250"/>
      <c r="S2359" s="250">
        <v>0</v>
      </c>
      <c r="T2359" s="250">
        <v>2.5000000000000001E-2</v>
      </c>
      <c r="U2359" s="250">
        <v>7.0000000000000007E-2</v>
      </c>
      <c r="V2359" s="250">
        <v>0.30499999999999999</v>
      </c>
      <c r="W2359" s="250">
        <v>0.40700000000000003</v>
      </c>
      <c r="X2359" s="250">
        <v>0.185</v>
      </c>
      <c r="Y2359" s="250">
        <v>8.0000000000000002E-3</v>
      </c>
      <c r="Z2359" s="150"/>
      <c r="AA2359" s="150">
        <v>0.84</v>
      </c>
      <c r="AB2359" s="152"/>
      <c r="AC2359" s="152"/>
      <c r="AD2359" s="223"/>
      <c r="AE2359" s="223"/>
      <c r="AF2359" s="223"/>
      <c r="AG2359" s="223"/>
      <c r="AH2359" s="341"/>
      <c r="AI2359" s="218"/>
      <c r="AJ2359" s="218"/>
      <c r="AK2359" s="153"/>
      <c r="AL2359" s="152"/>
      <c r="AM2359" s="152"/>
      <c r="AN2359" s="152"/>
      <c r="AO2359" s="152"/>
      <c r="AP2359" s="152"/>
      <c r="AQ2359" s="152"/>
      <c r="AR2359" s="152"/>
      <c r="AS2359" s="152"/>
      <c r="AT2359" s="152"/>
      <c r="AU2359" s="153"/>
      <c r="AV2359" s="479"/>
      <c r="AW2359" s="479"/>
      <c r="AX2359" s="442"/>
      <c r="AY2359" s="153"/>
      <c r="AZ2359" s="152"/>
      <c r="BA2359" s="152"/>
      <c r="BB2359" s="152"/>
      <c r="BC2359" s="152"/>
      <c r="BD2359" s="152"/>
      <c r="BE2359" s="152"/>
      <c r="BF2359" s="152"/>
      <c r="BG2359" s="152"/>
      <c r="BH2359" s="152"/>
      <c r="BI2359" s="153"/>
      <c r="BJ2359" s="153"/>
      <c r="BK2359" s="153"/>
      <c r="BL2359" s="153"/>
      <c r="BM2359" s="153"/>
      <c r="BN2359" s="153"/>
      <c r="BO2359" s="153"/>
      <c r="BP2359" s="153"/>
      <c r="BQ2359" s="153"/>
      <c r="BR2359" s="153"/>
      <c r="BS2359" s="153"/>
      <c r="BT2359" s="153"/>
      <c r="BU2359" s="153"/>
      <c r="BV2359" s="153"/>
      <c r="BW2359" s="153"/>
      <c r="BX2359" s="153"/>
      <c r="BY2359" s="153"/>
      <c r="BZ2359" s="153"/>
      <c r="CA2359" s="152"/>
      <c r="CB2359" s="152"/>
    </row>
    <row r="2360" spans="1:80" s="87" customFormat="1" x14ac:dyDescent="0.2">
      <c r="A2360" s="152"/>
      <c r="B2360" s="683"/>
      <c r="C2360" s="683"/>
      <c r="D2360" s="698"/>
      <c r="E2360" s="215"/>
      <c r="F2360" s="215"/>
      <c r="G2360" s="153"/>
      <c r="H2360" s="153"/>
      <c r="I2360" s="308">
        <v>20</v>
      </c>
      <c r="J2360" s="308">
        <v>60</v>
      </c>
      <c r="K2360" s="150">
        <v>1</v>
      </c>
      <c r="L2360" s="656">
        <v>20</v>
      </c>
      <c r="M2360" s="663">
        <v>34836</v>
      </c>
      <c r="N2360" s="600">
        <v>41.053400000000003</v>
      </c>
      <c r="O2360" s="604">
        <v>4.5026999999999998E-2</v>
      </c>
      <c r="P2360" s="150"/>
      <c r="Q2360" s="250"/>
      <c r="R2360" s="250"/>
      <c r="S2360" s="250">
        <v>1.1000000000000001E-2</v>
      </c>
      <c r="T2360" s="250">
        <v>2.5000000000000001E-2</v>
      </c>
      <c r="U2360" s="250">
        <v>0.10099999999999999</v>
      </c>
      <c r="V2360" s="250">
        <v>0.32500000000000001</v>
      </c>
      <c r="W2360" s="250">
        <v>0.34499999999999997</v>
      </c>
      <c r="X2360" s="250">
        <v>0.18600000000000003</v>
      </c>
      <c r="Y2360" s="250">
        <v>6.9999999999999993E-3</v>
      </c>
      <c r="Z2360" s="150"/>
      <c r="AA2360" s="150">
        <v>0.93</v>
      </c>
      <c r="AB2360" s="152"/>
      <c r="AC2360" s="152"/>
      <c r="AD2360" s="223"/>
      <c r="AE2360" s="223"/>
      <c r="AF2360" s="223"/>
      <c r="AG2360" s="223"/>
      <c r="AH2360" s="341"/>
      <c r="AI2360" s="218"/>
      <c r="AJ2360" s="218"/>
      <c r="AK2360" s="153"/>
      <c r="AL2360" s="152"/>
      <c r="AM2360" s="152"/>
      <c r="AN2360" s="152"/>
      <c r="AO2360" s="152"/>
      <c r="AP2360" s="152"/>
      <c r="AQ2360" s="152"/>
      <c r="AR2360" s="152"/>
      <c r="AS2360" s="152"/>
      <c r="AT2360" s="152"/>
      <c r="AU2360" s="153"/>
      <c r="AV2360" s="479"/>
      <c r="AW2360" s="479"/>
      <c r="AX2360" s="442"/>
      <c r="AY2360" s="153"/>
      <c r="AZ2360" s="152"/>
      <c r="BA2360" s="152"/>
      <c r="BB2360" s="152"/>
      <c r="BC2360" s="152"/>
      <c r="BD2360" s="152"/>
      <c r="BE2360" s="152"/>
      <c r="BF2360" s="152"/>
      <c r="BG2360" s="152"/>
      <c r="BH2360" s="152"/>
      <c r="BI2360" s="153"/>
      <c r="BJ2360" s="153"/>
      <c r="BK2360" s="153"/>
      <c r="BL2360" s="153"/>
      <c r="BM2360" s="153"/>
      <c r="BN2360" s="153"/>
      <c r="BO2360" s="153"/>
      <c r="BP2360" s="153"/>
      <c r="BQ2360" s="153"/>
      <c r="BR2360" s="153"/>
      <c r="BS2360" s="153"/>
      <c r="BT2360" s="153"/>
      <c r="BU2360" s="153"/>
      <c r="BV2360" s="153"/>
      <c r="BW2360" s="153"/>
      <c r="BX2360" s="153"/>
      <c r="BY2360" s="153"/>
      <c r="BZ2360" s="153"/>
      <c r="CA2360" s="152"/>
      <c r="CB2360" s="152"/>
    </row>
    <row r="2361" spans="1:80" s="87" customFormat="1" x14ac:dyDescent="0.2">
      <c r="A2361" s="152"/>
      <c r="B2361" s="683"/>
      <c r="C2361" s="683"/>
      <c r="D2361" s="698"/>
      <c r="E2361" s="215"/>
      <c r="F2361" s="215"/>
      <c r="G2361" s="153"/>
      <c r="H2361" s="153"/>
      <c r="I2361" s="308">
        <v>20</v>
      </c>
      <c r="J2361" s="308">
        <v>60</v>
      </c>
      <c r="K2361" s="150">
        <v>1</v>
      </c>
      <c r="L2361" s="656">
        <v>20</v>
      </c>
      <c r="M2361" s="663">
        <v>34836</v>
      </c>
      <c r="N2361" s="600">
        <v>41.053400000000003</v>
      </c>
      <c r="O2361" s="604">
        <v>4.2298000000000002E-2</v>
      </c>
      <c r="P2361" s="150"/>
      <c r="Q2361" s="250"/>
      <c r="R2361" s="250"/>
      <c r="S2361" s="250">
        <v>0</v>
      </c>
      <c r="T2361" s="250">
        <v>2.6000000000000002E-2</v>
      </c>
      <c r="U2361" s="250">
        <v>0.113</v>
      </c>
      <c r="V2361" s="250">
        <v>0.373</v>
      </c>
      <c r="W2361" s="250">
        <v>0.35</v>
      </c>
      <c r="X2361" s="250">
        <v>0.13200000000000001</v>
      </c>
      <c r="Y2361" s="250">
        <v>6.0000000000000001E-3</v>
      </c>
      <c r="Z2361" s="150"/>
      <c r="AA2361" s="150">
        <v>1.02</v>
      </c>
      <c r="AB2361" s="152"/>
      <c r="AC2361" s="152"/>
      <c r="AD2361" s="223"/>
      <c r="AE2361" s="223"/>
      <c r="AF2361" s="223"/>
      <c r="AG2361" s="223"/>
      <c r="AH2361" s="341"/>
      <c r="AI2361" s="218"/>
      <c r="AJ2361" s="218"/>
      <c r="AK2361" s="153"/>
      <c r="AL2361" s="152"/>
      <c r="AM2361" s="152"/>
      <c r="AN2361" s="152"/>
      <c r="AO2361" s="152"/>
      <c r="AP2361" s="152"/>
      <c r="AQ2361" s="152"/>
      <c r="AR2361" s="152"/>
      <c r="AS2361" s="152"/>
      <c r="AT2361" s="152"/>
      <c r="AU2361" s="153"/>
      <c r="AV2361" s="479"/>
      <c r="AW2361" s="479"/>
      <c r="AX2361" s="442"/>
      <c r="AY2361" s="153"/>
      <c r="AZ2361" s="152"/>
      <c r="BA2361" s="152"/>
      <c r="BB2361" s="152"/>
      <c r="BC2361" s="152"/>
      <c r="BD2361" s="152"/>
      <c r="BE2361" s="152"/>
      <c r="BF2361" s="152"/>
      <c r="BG2361" s="152"/>
      <c r="BH2361" s="152"/>
      <c r="BI2361" s="153"/>
      <c r="BJ2361" s="153"/>
      <c r="BK2361" s="153"/>
      <c r="BL2361" s="153"/>
      <c r="BM2361" s="153"/>
      <c r="BN2361" s="153"/>
      <c r="BO2361" s="153"/>
      <c r="BP2361" s="153"/>
      <c r="BQ2361" s="153"/>
      <c r="BR2361" s="153"/>
      <c r="BS2361" s="153"/>
      <c r="BT2361" s="153"/>
      <c r="BU2361" s="153"/>
      <c r="BV2361" s="153"/>
      <c r="BW2361" s="153"/>
      <c r="BX2361" s="153"/>
      <c r="BY2361" s="153"/>
      <c r="BZ2361" s="153"/>
      <c r="CA2361" s="152"/>
      <c r="CB2361" s="152"/>
    </row>
    <row r="2362" spans="1:80" s="87" customFormat="1" x14ac:dyDescent="0.2">
      <c r="A2362" s="152"/>
      <c r="B2362" s="683"/>
      <c r="C2362" s="683"/>
      <c r="D2362" s="698"/>
      <c r="E2362" s="215"/>
      <c r="F2362" s="215"/>
      <c r="G2362" s="153"/>
      <c r="H2362" s="153"/>
      <c r="I2362" s="308">
        <v>20</v>
      </c>
      <c r="J2362" s="308">
        <v>60</v>
      </c>
      <c r="K2362" s="150">
        <v>1</v>
      </c>
      <c r="L2362" s="656">
        <v>20</v>
      </c>
      <c r="M2362" s="663">
        <v>34842</v>
      </c>
      <c r="N2362" s="600">
        <v>52.944800000000001</v>
      </c>
      <c r="O2362" s="604">
        <v>6.4967999999999998E-2</v>
      </c>
      <c r="P2362" s="150"/>
      <c r="Q2362" s="250"/>
      <c r="R2362" s="250">
        <v>0.03</v>
      </c>
      <c r="S2362" s="250">
        <v>1.8000000000000002E-2</v>
      </c>
      <c r="T2362" s="250">
        <v>4.5999999999999999E-2</v>
      </c>
      <c r="U2362" s="250">
        <v>0.156</v>
      </c>
      <c r="V2362" s="250">
        <v>0.34899999999999998</v>
      </c>
      <c r="W2362" s="250">
        <v>0.30199999999999999</v>
      </c>
      <c r="X2362" s="250">
        <v>9.6000000000000002E-2</v>
      </c>
      <c r="Y2362" s="250">
        <v>3.0000000000000001E-3</v>
      </c>
      <c r="Z2362" s="150"/>
      <c r="AA2362" s="150">
        <v>1.22</v>
      </c>
      <c r="AB2362" s="152"/>
      <c r="AC2362" s="152"/>
      <c r="AD2362" s="223"/>
      <c r="AE2362" s="223"/>
      <c r="AF2362" s="223"/>
      <c r="AG2362" s="223"/>
      <c r="AH2362" s="341"/>
      <c r="AI2362" s="218"/>
      <c r="AJ2362" s="218"/>
      <c r="AK2362" s="153"/>
      <c r="AL2362" s="152"/>
      <c r="AM2362" s="152"/>
      <c r="AN2362" s="152"/>
      <c r="AO2362" s="152"/>
      <c r="AP2362" s="152"/>
      <c r="AQ2362" s="152"/>
      <c r="AR2362" s="152"/>
      <c r="AS2362" s="152"/>
      <c r="AT2362" s="152"/>
      <c r="AU2362" s="153"/>
      <c r="AV2362" s="479"/>
      <c r="AW2362" s="479"/>
      <c r="AX2362" s="442"/>
      <c r="AY2362" s="153"/>
      <c r="AZ2362" s="152"/>
      <c r="BA2362" s="152"/>
      <c r="BB2362" s="152"/>
      <c r="BC2362" s="152"/>
      <c r="BD2362" s="152"/>
      <c r="BE2362" s="152"/>
      <c r="BF2362" s="152"/>
      <c r="BG2362" s="152"/>
      <c r="BH2362" s="152"/>
      <c r="BI2362" s="153"/>
      <c r="BJ2362" s="153"/>
      <c r="BK2362" s="153"/>
      <c r="BL2362" s="153"/>
      <c r="BM2362" s="153"/>
      <c r="BN2362" s="153"/>
      <c r="BO2362" s="153"/>
      <c r="BP2362" s="153"/>
      <c r="BQ2362" s="153"/>
      <c r="BR2362" s="153"/>
      <c r="BS2362" s="153"/>
      <c r="BT2362" s="153"/>
      <c r="BU2362" s="153"/>
      <c r="BV2362" s="153"/>
      <c r="BW2362" s="153"/>
      <c r="BX2362" s="153"/>
      <c r="BY2362" s="153"/>
      <c r="BZ2362" s="153"/>
      <c r="CA2362" s="152"/>
      <c r="CB2362" s="152"/>
    </row>
    <row r="2363" spans="1:80" s="87" customFormat="1" x14ac:dyDescent="0.2">
      <c r="A2363" s="152"/>
      <c r="B2363" s="683"/>
      <c r="C2363" s="683"/>
      <c r="D2363" s="698"/>
      <c r="E2363" s="215"/>
      <c r="F2363" s="215"/>
      <c r="G2363" s="153"/>
      <c r="H2363" s="153"/>
      <c r="I2363" s="308">
        <v>20</v>
      </c>
      <c r="J2363" s="308">
        <v>60</v>
      </c>
      <c r="K2363" s="150">
        <v>1</v>
      </c>
      <c r="L2363" s="656">
        <v>20</v>
      </c>
      <c r="M2363" s="663">
        <v>34842</v>
      </c>
      <c r="N2363" s="600">
        <v>52.944800000000001</v>
      </c>
      <c r="O2363" s="604">
        <v>7.5464000000000003E-2</v>
      </c>
      <c r="P2363" s="150"/>
      <c r="Q2363" s="250"/>
      <c r="R2363" s="250"/>
      <c r="S2363" s="250">
        <v>1.9E-2</v>
      </c>
      <c r="T2363" s="250">
        <v>6.8000000000000005E-2</v>
      </c>
      <c r="U2363" s="250">
        <v>0.20899999999999999</v>
      </c>
      <c r="V2363" s="250">
        <v>0.42299999999999999</v>
      </c>
      <c r="W2363" s="250">
        <v>0.22699999999999998</v>
      </c>
      <c r="X2363" s="250">
        <v>5.2000000000000005E-2</v>
      </c>
      <c r="Y2363" s="250">
        <v>2E-3</v>
      </c>
      <c r="Z2363" s="150"/>
      <c r="AA2363" s="150">
        <v>1.43</v>
      </c>
      <c r="AB2363" s="152"/>
      <c r="AC2363" s="152"/>
      <c r="AD2363" s="223"/>
      <c r="AE2363" s="223"/>
      <c r="AF2363" s="223"/>
      <c r="AG2363" s="223"/>
      <c r="AH2363" s="341"/>
      <c r="AI2363" s="218"/>
      <c r="AJ2363" s="218"/>
      <c r="AK2363" s="153"/>
      <c r="AL2363" s="152"/>
      <c r="AM2363" s="152"/>
      <c r="AN2363" s="152"/>
      <c r="AO2363" s="152"/>
      <c r="AP2363" s="152"/>
      <c r="AQ2363" s="152"/>
      <c r="AR2363" s="152"/>
      <c r="AS2363" s="152"/>
      <c r="AT2363" s="152"/>
      <c r="AU2363" s="153"/>
      <c r="AV2363" s="479"/>
      <c r="AW2363" s="479"/>
      <c r="AX2363" s="442"/>
      <c r="AY2363" s="153"/>
      <c r="AZ2363" s="152"/>
      <c r="BA2363" s="152"/>
      <c r="BB2363" s="152"/>
      <c r="BC2363" s="152"/>
      <c r="BD2363" s="152"/>
      <c r="BE2363" s="152"/>
      <c r="BF2363" s="152"/>
      <c r="BG2363" s="152"/>
      <c r="BH2363" s="152"/>
      <c r="BI2363" s="153"/>
      <c r="BJ2363" s="153"/>
      <c r="BK2363" s="153"/>
      <c r="BL2363" s="153"/>
      <c r="BM2363" s="153"/>
      <c r="BN2363" s="153"/>
      <c r="BO2363" s="153"/>
      <c r="BP2363" s="153"/>
      <c r="BQ2363" s="153"/>
      <c r="BR2363" s="153"/>
      <c r="BS2363" s="153"/>
      <c r="BT2363" s="153"/>
      <c r="BU2363" s="153"/>
      <c r="BV2363" s="153"/>
      <c r="BW2363" s="153"/>
      <c r="BX2363" s="153"/>
      <c r="BY2363" s="153"/>
      <c r="BZ2363" s="153"/>
      <c r="CA2363" s="152"/>
      <c r="CB2363" s="152"/>
    </row>
    <row r="2364" spans="1:80" s="87" customFormat="1" x14ac:dyDescent="0.2">
      <c r="A2364" s="152"/>
      <c r="B2364" s="683"/>
      <c r="C2364" s="683"/>
      <c r="D2364" s="698"/>
      <c r="E2364" s="215"/>
      <c r="F2364" s="215"/>
      <c r="G2364" s="153"/>
      <c r="H2364" s="153"/>
      <c r="I2364" s="308">
        <v>20</v>
      </c>
      <c r="J2364" s="308">
        <v>60</v>
      </c>
      <c r="K2364" s="150">
        <v>1</v>
      </c>
      <c r="L2364" s="656">
        <v>20</v>
      </c>
      <c r="M2364" s="663">
        <v>34843</v>
      </c>
      <c r="N2364" s="600">
        <v>54.360399999999998</v>
      </c>
      <c r="O2364" s="604">
        <v>0.11965099999999999</v>
      </c>
      <c r="P2364" s="150"/>
      <c r="Q2364" s="250">
        <v>0.41399999999999998</v>
      </c>
      <c r="R2364" s="250">
        <v>1.3000000000000001E-2</v>
      </c>
      <c r="S2364" s="250">
        <v>0.01</v>
      </c>
      <c r="T2364" s="250">
        <v>4.4999999999999998E-2</v>
      </c>
      <c r="U2364" s="250">
        <v>0.12</v>
      </c>
      <c r="V2364" s="250">
        <v>0.23199999999999998</v>
      </c>
      <c r="W2364" s="250">
        <v>0.14000000000000001</v>
      </c>
      <c r="X2364" s="250">
        <v>2.5000000000000001E-2</v>
      </c>
      <c r="Y2364" s="250">
        <v>1E-3</v>
      </c>
      <c r="Z2364" s="150"/>
      <c r="AA2364" s="150">
        <v>3.61</v>
      </c>
      <c r="AB2364" s="152"/>
      <c r="AC2364" s="152"/>
      <c r="AD2364" s="223"/>
      <c r="AE2364" s="223"/>
      <c r="AF2364" s="223"/>
      <c r="AG2364" s="223"/>
      <c r="AH2364" s="341"/>
      <c r="AI2364" s="218"/>
      <c r="AJ2364" s="218"/>
      <c r="AK2364" s="153"/>
      <c r="AL2364" s="152"/>
      <c r="AM2364" s="152"/>
      <c r="AN2364" s="152"/>
      <c r="AO2364" s="152"/>
      <c r="AP2364" s="152"/>
      <c r="AQ2364" s="152"/>
      <c r="AR2364" s="152"/>
      <c r="AS2364" s="152"/>
      <c r="AT2364" s="152"/>
      <c r="AU2364" s="153"/>
      <c r="AV2364" s="479"/>
      <c r="AW2364" s="479"/>
      <c r="AX2364" s="442"/>
      <c r="AY2364" s="153"/>
      <c r="AZ2364" s="152"/>
      <c r="BA2364" s="152"/>
      <c r="BB2364" s="152"/>
      <c r="BC2364" s="152"/>
      <c r="BD2364" s="152"/>
      <c r="BE2364" s="152"/>
      <c r="BF2364" s="152"/>
      <c r="BG2364" s="152"/>
      <c r="BH2364" s="152"/>
      <c r="BI2364" s="153"/>
      <c r="BJ2364" s="153"/>
      <c r="BK2364" s="153"/>
      <c r="BL2364" s="153"/>
      <c r="BM2364" s="153"/>
      <c r="BN2364" s="153"/>
      <c r="BO2364" s="153"/>
      <c r="BP2364" s="153"/>
      <c r="BQ2364" s="153"/>
      <c r="BR2364" s="153"/>
      <c r="BS2364" s="153"/>
      <c r="BT2364" s="153"/>
      <c r="BU2364" s="153"/>
      <c r="BV2364" s="153"/>
      <c r="BW2364" s="153"/>
      <c r="BX2364" s="153"/>
      <c r="BY2364" s="153"/>
      <c r="BZ2364" s="153"/>
      <c r="CA2364" s="152"/>
      <c r="CB2364" s="152"/>
    </row>
    <row r="2365" spans="1:80" s="87" customFormat="1" x14ac:dyDescent="0.2">
      <c r="A2365" s="152"/>
      <c r="B2365" s="683"/>
      <c r="C2365" s="683"/>
      <c r="D2365" s="698"/>
      <c r="E2365" s="215"/>
      <c r="F2365" s="215"/>
      <c r="G2365" s="153"/>
      <c r="H2365" s="153"/>
      <c r="I2365" s="308">
        <v>20</v>
      </c>
      <c r="J2365" s="308">
        <v>60</v>
      </c>
      <c r="K2365" s="150">
        <v>1</v>
      </c>
      <c r="L2365" s="656">
        <v>20</v>
      </c>
      <c r="M2365" s="663">
        <v>34843</v>
      </c>
      <c r="N2365" s="600">
        <v>54.360399999999998</v>
      </c>
      <c r="O2365" s="604">
        <v>5.9825999999999997E-2</v>
      </c>
      <c r="P2365" s="150"/>
      <c r="Q2365" s="250"/>
      <c r="R2365" s="250">
        <v>6.9000000000000006E-2</v>
      </c>
      <c r="S2365" s="250">
        <v>2.6000000000000002E-2</v>
      </c>
      <c r="T2365" s="250">
        <v>0.06</v>
      </c>
      <c r="U2365" s="250">
        <v>0.16600000000000001</v>
      </c>
      <c r="V2365" s="250">
        <v>0.36899999999999999</v>
      </c>
      <c r="W2365" s="250">
        <v>0.255</v>
      </c>
      <c r="X2365" s="250">
        <v>5.4000000000000006E-2</v>
      </c>
      <c r="Y2365" s="250">
        <v>1E-3</v>
      </c>
      <c r="Z2365" s="150"/>
      <c r="AA2365" s="150">
        <v>1.43</v>
      </c>
      <c r="AB2365" s="152"/>
      <c r="AC2365" s="152"/>
      <c r="AD2365" s="223"/>
      <c r="AE2365" s="223"/>
      <c r="AF2365" s="223"/>
      <c r="AG2365" s="223"/>
      <c r="AH2365" s="341"/>
      <c r="AI2365" s="218"/>
      <c r="AJ2365" s="218"/>
      <c r="AK2365" s="153"/>
      <c r="AL2365" s="152"/>
      <c r="AM2365" s="152"/>
      <c r="AN2365" s="152"/>
      <c r="AO2365" s="152"/>
      <c r="AP2365" s="152"/>
      <c r="AQ2365" s="152"/>
      <c r="AR2365" s="152"/>
      <c r="AS2365" s="152"/>
      <c r="AT2365" s="152"/>
      <c r="AU2365" s="153"/>
      <c r="AV2365" s="479"/>
      <c r="AW2365" s="479"/>
      <c r="AX2365" s="442"/>
      <c r="AY2365" s="153"/>
      <c r="AZ2365" s="152"/>
      <c r="BA2365" s="152"/>
      <c r="BB2365" s="152"/>
      <c r="BC2365" s="152"/>
      <c r="BD2365" s="152"/>
      <c r="BE2365" s="152"/>
      <c r="BF2365" s="152"/>
      <c r="BG2365" s="152"/>
      <c r="BH2365" s="152"/>
      <c r="BI2365" s="153"/>
      <c r="BJ2365" s="153"/>
      <c r="BK2365" s="153"/>
      <c r="BL2365" s="153"/>
      <c r="BM2365" s="153"/>
      <c r="BN2365" s="153"/>
      <c r="BO2365" s="153"/>
      <c r="BP2365" s="153"/>
      <c r="BQ2365" s="153"/>
      <c r="BR2365" s="153"/>
      <c r="BS2365" s="153"/>
      <c r="BT2365" s="153"/>
      <c r="BU2365" s="153"/>
      <c r="BV2365" s="153"/>
      <c r="BW2365" s="153"/>
      <c r="BX2365" s="153"/>
      <c r="BY2365" s="153"/>
      <c r="BZ2365" s="153"/>
      <c r="CA2365" s="152"/>
      <c r="CB2365" s="152"/>
    </row>
    <row r="2366" spans="1:80" s="87" customFormat="1" x14ac:dyDescent="0.2">
      <c r="A2366" s="152"/>
      <c r="B2366" s="683"/>
      <c r="C2366" s="683"/>
      <c r="D2366" s="698"/>
      <c r="E2366" s="215"/>
      <c r="F2366" s="215"/>
      <c r="G2366" s="153"/>
      <c r="H2366" s="153"/>
      <c r="I2366" s="308">
        <v>20</v>
      </c>
      <c r="J2366" s="308">
        <v>60</v>
      </c>
      <c r="K2366" s="150">
        <v>1</v>
      </c>
      <c r="L2366" s="656">
        <v>20</v>
      </c>
      <c r="M2366" s="663">
        <v>34850</v>
      </c>
      <c r="N2366" s="600">
        <v>60.589199999999998</v>
      </c>
      <c r="O2366" s="604">
        <v>5.3317999999999997E-2</v>
      </c>
      <c r="P2366" s="150"/>
      <c r="Q2366" s="250"/>
      <c r="R2366" s="250">
        <v>0.03</v>
      </c>
      <c r="S2366" s="250">
        <v>3.0000000000000001E-3</v>
      </c>
      <c r="T2366" s="250">
        <v>5.7999999999999996E-2</v>
      </c>
      <c r="U2366" s="250">
        <v>0.16600000000000001</v>
      </c>
      <c r="V2366" s="250">
        <v>0.4</v>
      </c>
      <c r="W2366" s="250">
        <v>0.26</v>
      </c>
      <c r="X2366" s="250">
        <v>7.9000000000000001E-2</v>
      </c>
      <c r="Y2366" s="250">
        <v>4.0000000000000001E-3</v>
      </c>
      <c r="Z2366" s="150"/>
      <c r="AA2366" s="150">
        <v>1.31</v>
      </c>
      <c r="AB2366" s="152"/>
      <c r="AC2366" s="152"/>
      <c r="AD2366" s="223">
        <v>25.907150000000001</v>
      </c>
      <c r="AE2366" s="223">
        <v>1.237088824</v>
      </c>
      <c r="AF2366" s="223">
        <v>32.048430000000003</v>
      </c>
      <c r="AG2366" s="223">
        <v>2.0939073000000001</v>
      </c>
      <c r="AH2366" s="341"/>
      <c r="AI2366" s="218"/>
      <c r="AJ2366" s="218"/>
      <c r="AK2366" s="153"/>
      <c r="AL2366" s="152"/>
      <c r="AM2366" s="152"/>
      <c r="AN2366" s="152"/>
      <c r="AO2366" s="152"/>
      <c r="AP2366" s="152"/>
      <c r="AQ2366" s="152"/>
      <c r="AR2366" s="152"/>
      <c r="AS2366" s="152"/>
      <c r="AT2366" s="152"/>
      <c r="AU2366" s="153"/>
      <c r="AV2366" s="479"/>
      <c r="AW2366" s="479"/>
      <c r="AX2366" s="442"/>
      <c r="AY2366" s="153"/>
      <c r="AZ2366" s="152"/>
      <c r="BA2366" s="152"/>
      <c r="BB2366" s="152"/>
      <c r="BC2366" s="152"/>
      <c r="BD2366" s="152"/>
      <c r="BE2366" s="152"/>
      <c r="BF2366" s="152"/>
      <c r="BG2366" s="152"/>
      <c r="BH2366" s="152"/>
      <c r="BI2366" s="153"/>
      <c r="BJ2366" s="153"/>
      <c r="BK2366" s="153"/>
      <c r="BL2366" s="153"/>
      <c r="BM2366" s="153"/>
      <c r="BN2366" s="153"/>
      <c r="BO2366" s="153"/>
      <c r="BP2366" s="153"/>
      <c r="BQ2366" s="153"/>
      <c r="BR2366" s="153"/>
      <c r="BS2366" s="153"/>
      <c r="BT2366" s="153"/>
      <c r="BU2366" s="153"/>
      <c r="BV2366" s="153"/>
      <c r="BW2366" s="153"/>
      <c r="BX2366" s="153"/>
      <c r="BY2366" s="153"/>
      <c r="BZ2366" s="153"/>
      <c r="CA2366" s="152"/>
      <c r="CB2366" s="152"/>
    </row>
    <row r="2367" spans="1:80" s="87" customFormat="1" x14ac:dyDescent="0.2">
      <c r="A2367" s="152"/>
      <c r="B2367" s="683"/>
      <c r="C2367" s="683"/>
      <c r="D2367" s="698"/>
      <c r="E2367" s="215"/>
      <c r="F2367" s="215"/>
      <c r="G2367" s="153"/>
      <c r="H2367" s="153"/>
      <c r="I2367" s="308">
        <v>20</v>
      </c>
      <c r="J2367" s="308">
        <v>60</v>
      </c>
      <c r="K2367" s="150">
        <v>1</v>
      </c>
      <c r="L2367" s="656">
        <v>20</v>
      </c>
      <c r="M2367" s="663">
        <v>34850</v>
      </c>
      <c r="N2367" s="600">
        <v>60.589199999999998</v>
      </c>
      <c r="O2367" s="604">
        <v>7.9242999999999994E-2</v>
      </c>
      <c r="P2367" s="150"/>
      <c r="Q2367" s="250"/>
      <c r="R2367" s="250"/>
      <c r="S2367" s="250">
        <v>1.9E-2</v>
      </c>
      <c r="T2367" s="250">
        <v>3.6000000000000004E-2</v>
      </c>
      <c r="U2367" s="250">
        <v>0.13400000000000001</v>
      </c>
      <c r="V2367" s="250">
        <v>0.42599999999999999</v>
      </c>
      <c r="W2367" s="250">
        <v>0.309</v>
      </c>
      <c r="X2367" s="250">
        <v>7.4999999999999997E-2</v>
      </c>
      <c r="Y2367" s="250">
        <v>1E-3</v>
      </c>
      <c r="Z2367" s="150"/>
      <c r="AA2367" s="150">
        <v>1.21</v>
      </c>
      <c r="AB2367" s="152"/>
      <c r="AC2367" s="152"/>
      <c r="AD2367" s="223">
        <v>25.907150000000001</v>
      </c>
      <c r="AE2367" s="223">
        <v>1.237088824</v>
      </c>
      <c r="AF2367" s="223">
        <v>32.048430000000003</v>
      </c>
      <c r="AG2367" s="223">
        <v>2.0939073000000001</v>
      </c>
      <c r="AH2367" s="341"/>
      <c r="AI2367" s="218"/>
      <c r="AJ2367" s="218"/>
      <c r="AK2367" s="153"/>
      <c r="AL2367" s="152"/>
      <c r="AM2367" s="152"/>
      <c r="AN2367" s="152"/>
      <c r="AO2367" s="152"/>
      <c r="AP2367" s="152"/>
      <c r="AQ2367" s="152"/>
      <c r="AR2367" s="152"/>
      <c r="AS2367" s="152"/>
      <c r="AT2367" s="152"/>
      <c r="AU2367" s="153"/>
      <c r="AV2367" s="479"/>
      <c r="AW2367" s="479"/>
      <c r="AX2367" s="442"/>
      <c r="AY2367" s="153"/>
      <c r="AZ2367" s="152"/>
      <c r="BA2367" s="152"/>
      <c r="BB2367" s="152"/>
      <c r="BC2367" s="152"/>
      <c r="BD2367" s="152"/>
      <c r="BE2367" s="152"/>
      <c r="BF2367" s="152"/>
      <c r="BG2367" s="152"/>
      <c r="BH2367" s="152"/>
      <c r="BI2367" s="153"/>
      <c r="BJ2367" s="153"/>
      <c r="BK2367" s="153"/>
      <c r="BL2367" s="153"/>
      <c r="BM2367" s="153"/>
      <c r="BN2367" s="153"/>
      <c r="BO2367" s="153"/>
      <c r="BP2367" s="153"/>
      <c r="BQ2367" s="153"/>
      <c r="BR2367" s="153"/>
      <c r="BS2367" s="153"/>
      <c r="BT2367" s="153"/>
      <c r="BU2367" s="153"/>
      <c r="BV2367" s="153"/>
      <c r="BW2367" s="153"/>
      <c r="BX2367" s="153"/>
      <c r="BY2367" s="153"/>
      <c r="BZ2367" s="153"/>
      <c r="CA2367" s="152"/>
      <c r="CB2367" s="152"/>
    </row>
    <row r="2368" spans="1:80" s="87" customFormat="1" x14ac:dyDescent="0.2">
      <c r="A2368" s="152"/>
      <c r="B2368" s="683"/>
      <c r="C2368" s="683"/>
      <c r="D2368" s="698"/>
      <c r="E2368" s="215"/>
      <c r="F2368" s="215"/>
      <c r="G2368" s="153"/>
      <c r="H2368" s="153"/>
      <c r="I2368" s="308">
        <v>20</v>
      </c>
      <c r="J2368" s="308">
        <v>60</v>
      </c>
      <c r="K2368" s="150">
        <v>1</v>
      </c>
      <c r="L2368" s="656">
        <v>20</v>
      </c>
      <c r="M2368" s="663">
        <v>34851</v>
      </c>
      <c r="N2368" s="600">
        <v>62.004800000000003</v>
      </c>
      <c r="O2368" s="604">
        <v>3.9149000000000003E-2</v>
      </c>
      <c r="P2368" s="150"/>
      <c r="Q2368" s="250"/>
      <c r="R2368" s="250">
        <v>7.6999999999999999E-2</v>
      </c>
      <c r="S2368" s="250">
        <v>0.17499999999999999</v>
      </c>
      <c r="T2368" s="250">
        <v>0.13500000000000001</v>
      </c>
      <c r="U2368" s="250">
        <v>0.15</v>
      </c>
      <c r="V2368" s="250">
        <v>0.23600000000000002</v>
      </c>
      <c r="W2368" s="250">
        <v>0.16500000000000001</v>
      </c>
      <c r="X2368" s="250">
        <v>5.9000000000000004E-2</v>
      </c>
      <c r="Y2368" s="250">
        <v>3.0000000000000001E-3</v>
      </c>
      <c r="Z2368" s="150"/>
      <c r="AA2368" s="150">
        <v>2.37</v>
      </c>
      <c r="AB2368" s="152"/>
      <c r="AC2368" s="152"/>
      <c r="AD2368" s="223"/>
      <c r="AE2368" s="223"/>
      <c r="AF2368" s="223"/>
      <c r="AG2368" s="223"/>
      <c r="AH2368" s="341"/>
      <c r="AI2368" s="218"/>
      <c r="AJ2368" s="218"/>
      <c r="AK2368" s="153"/>
      <c r="AL2368" s="152"/>
      <c r="AM2368" s="152"/>
      <c r="AN2368" s="152"/>
      <c r="AO2368" s="152"/>
      <c r="AP2368" s="152"/>
      <c r="AQ2368" s="152"/>
      <c r="AR2368" s="152"/>
      <c r="AS2368" s="152"/>
      <c r="AT2368" s="152"/>
      <c r="AU2368" s="153"/>
      <c r="AV2368" s="479"/>
      <c r="AW2368" s="479"/>
      <c r="AX2368" s="442"/>
      <c r="AY2368" s="153"/>
      <c r="AZ2368" s="152"/>
      <c r="BA2368" s="152"/>
      <c r="BB2368" s="152"/>
      <c r="BC2368" s="152"/>
      <c r="BD2368" s="152"/>
      <c r="BE2368" s="152"/>
      <c r="BF2368" s="152"/>
      <c r="BG2368" s="152"/>
      <c r="BH2368" s="152"/>
      <c r="BI2368" s="153"/>
      <c r="BJ2368" s="153"/>
      <c r="BK2368" s="153"/>
      <c r="BL2368" s="153"/>
      <c r="BM2368" s="153"/>
      <c r="BN2368" s="153"/>
      <c r="BO2368" s="153"/>
      <c r="BP2368" s="153"/>
      <c r="BQ2368" s="153"/>
      <c r="BR2368" s="153"/>
      <c r="BS2368" s="153"/>
      <c r="BT2368" s="153"/>
      <c r="BU2368" s="153"/>
      <c r="BV2368" s="153"/>
      <c r="BW2368" s="153"/>
      <c r="BX2368" s="153"/>
      <c r="BY2368" s="153"/>
      <c r="BZ2368" s="153"/>
      <c r="CA2368" s="152"/>
      <c r="CB2368" s="152"/>
    </row>
    <row r="2369" spans="1:80" s="87" customFormat="1" x14ac:dyDescent="0.2">
      <c r="A2369" s="152"/>
      <c r="B2369" s="683"/>
      <c r="C2369" s="683"/>
      <c r="D2369" s="698"/>
      <c r="E2369" s="215"/>
      <c r="F2369" s="215"/>
      <c r="G2369" s="153"/>
      <c r="H2369" s="153"/>
      <c r="I2369" s="308">
        <v>20</v>
      </c>
      <c r="J2369" s="308">
        <v>60</v>
      </c>
      <c r="K2369" s="150">
        <v>1</v>
      </c>
      <c r="L2369" s="656">
        <v>20</v>
      </c>
      <c r="M2369" s="663">
        <v>34851</v>
      </c>
      <c r="N2369" s="600">
        <v>62.004800000000003</v>
      </c>
      <c r="O2369" s="604">
        <v>8.1551999999999999E-2</v>
      </c>
      <c r="P2369" s="150"/>
      <c r="Q2369" s="250"/>
      <c r="R2369" s="250"/>
      <c r="S2369" s="250">
        <v>2.7000000000000003E-2</v>
      </c>
      <c r="T2369" s="250">
        <v>6.3E-2</v>
      </c>
      <c r="U2369" s="250">
        <v>0.157</v>
      </c>
      <c r="V2369" s="250">
        <v>0.38</v>
      </c>
      <c r="W2369" s="250">
        <v>0.28999999999999998</v>
      </c>
      <c r="X2369" s="250">
        <v>8.1000000000000003E-2</v>
      </c>
      <c r="Y2369" s="250">
        <v>2E-3</v>
      </c>
      <c r="Z2369" s="150"/>
      <c r="AA2369" s="150">
        <v>1.26</v>
      </c>
      <c r="AB2369" s="152"/>
      <c r="AC2369" s="152"/>
      <c r="AD2369" s="223"/>
      <c r="AE2369" s="223"/>
      <c r="AF2369" s="223"/>
      <c r="AG2369" s="223"/>
      <c r="AH2369" s="341"/>
      <c r="AI2369" s="218"/>
      <c r="AJ2369" s="218"/>
      <c r="AK2369" s="153"/>
      <c r="AL2369" s="152"/>
      <c r="AM2369" s="152"/>
      <c r="AN2369" s="152"/>
      <c r="AO2369" s="152"/>
      <c r="AP2369" s="152"/>
      <c r="AQ2369" s="152"/>
      <c r="AR2369" s="152"/>
      <c r="AS2369" s="152"/>
      <c r="AT2369" s="152"/>
      <c r="AU2369" s="153"/>
      <c r="AV2369" s="479"/>
      <c r="AW2369" s="479"/>
      <c r="AX2369" s="442"/>
      <c r="AY2369" s="153"/>
      <c r="AZ2369" s="152"/>
      <c r="BA2369" s="152"/>
      <c r="BB2369" s="152"/>
      <c r="BC2369" s="152"/>
      <c r="BD2369" s="152"/>
      <c r="BE2369" s="152"/>
      <c r="BF2369" s="152"/>
      <c r="BG2369" s="152"/>
      <c r="BH2369" s="152"/>
      <c r="BI2369" s="153"/>
      <c r="BJ2369" s="153"/>
      <c r="BK2369" s="153"/>
      <c r="BL2369" s="153"/>
      <c r="BM2369" s="153"/>
      <c r="BN2369" s="153"/>
      <c r="BO2369" s="153"/>
      <c r="BP2369" s="153"/>
      <c r="BQ2369" s="153"/>
      <c r="BR2369" s="153"/>
      <c r="BS2369" s="153"/>
      <c r="BT2369" s="153"/>
      <c r="BU2369" s="153"/>
      <c r="BV2369" s="153"/>
      <c r="BW2369" s="153"/>
      <c r="BX2369" s="153"/>
      <c r="BY2369" s="153"/>
      <c r="BZ2369" s="153"/>
      <c r="CA2369" s="152"/>
      <c r="CB2369" s="152"/>
    </row>
    <row r="2370" spans="1:80" s="87" customFormat="1" x14ac:dyDescent="0.2">
      <c r="A2370" s="152"/>
      <c r="B2370" s="683"/>
      <c r="C2370" s="683"/>
      <c r="D2370" s="698"/>
      <c r="E2370" s="215"/>
      <c r="F2370" s="215"/>
      <c r="G2370" s="153"/>
      <c r="H2370" s="153"/>
      <c r="I2370" s="308">
        <v>20</v>
      </c>
      <c r="J2370" s="308">
        <v>60</v>
      </c>
      <c r="K2370" s="150">
        <v>1</v>
      </c>
      <c r="L2370" s="656">
        <v>20</v>
      </c>
      <c r="M2370" s="663">
        <v>34853</v>
      </c>
      <c r="N2370" s="600">
        <v>81.257499999999993</v>
      </c>
      <c r="O2370" s="604">
        <v>0.241401</v>
      </c>
      <c r="P2370" s="150"/>
      <c r="Q2370" s="250">
        <v>0.125</v>
      </c>
      <c r="R2370" s="250">
        <v>0</v>
      </c>
      <c r="S2370" s="250">
        <v>2.2000000000000002E-2</v>
      </c>
      <c r="T2370" s="250">
        <v>4.2000000000000003E-2</v>
      </c>
      <c r="U2370" s="250">
        <v>0.105</v>
      </c>
      <c r="V2370" s="250">
        <v>0.29499999999999998</v>
      </c>
      <c r="W2370" s="250">
        <v>0.27600000000000002</v>
      </c>
      <c r="X2370" s="250">
        <v>0.124</v>
      </c>
      <c r="Y2370" s="250">
        <v>1.1000000000000001E-2</v>
      </c>
      <c r="Z2370" s="150"/>
      <c r="AA2370" s="150">
        <v>1.23</v>
      </c>
      <c r="AB2370" s="152"/>
      <c r="AC2370" s="152"/>
      <c r="AD2370" s="223"/>
      <c r="AE2370" s="223"/>
      <c r="AF2370" s="223"/>
      <c r="AG2370" s="223"/>
      <c r="AH2370" s="341"/>
      <c r="AI2370" s="218"/>
      <c r="AJ2370" s="218"/>
      <c r="AK2370" s="153"/>
      <c r="AL2370" s="152"/>
      <c r="AM2370" s="152"/>
      <c r="AN2370" s="152"/>
      <c r="AO2370" s="152"/>
      <c r="AP2370" s="152"/>
      <c r="AQ2370" s="152"/>
      <c r="AR2370" s="152"/>
      <c r="AS2370" s="152"/>
      <c r="AT2370" s="152"/>
      <c r="AU2370" s="153"/>
      <c r="AV2370" s="479"/>
      <c r="AW2370" s="479"/>
      <c r="AX2370" s="442"/>
      <c r="AY2370" s="153"/>
      <c r="AZ2370" s="152"/>
      <c r="BA2370" s="152"/>
      <c r="BB2370" s="152"/>
      <c r="BC2370" s="152"/>
      <c r="BD2370" s="152"/>
      <c r="BE2370" s="152"/>
      <c r="BF2370" s="152"/>
      <c r="BG2370" s="152"/>
      <c r="BH2370" s="152"/>
      <c r="BI2370" s="153"/>
      <c r="BJ2370" s="153"/>
      <c r="BK2370" s="153"/>
      <c r="BL2370" s="153"/>
      <c r="BM2370" s="153"/>
      <c r="BN2370" s="153"/>
      <c r="BO2370" s="153"/>
      <c r="BP2370" s="153"/>
      <c r="BQ2370" s="153"/>
      <c r="BR2370" s="153"/>
      <c r="BS2370" s="153"/>
      <c r="BT2370" s="153"/>
      <c r="BU2370" s="153"/>
      <c r="BV2370" s="153"/>
      <c r="BW2370" s="153"/>
      <c r="BX2370" s="153"/>
      <c r="BY2370" s="153"/>
      <c r="BZ2370" s="153"/>
      <c r="CA2370" s="152"/>
      <c r="CB2370" s="152"/>
    </row>
    <row r="2371" spans="1:80" s="87" customFormat="1" x14ac:dyDescent="0.2">
      <c r="A2371" s="152"/>
      <c r="B2371" s="683"/>
      <c r="C2371" s="683"/>
      <c r="D2371" s="698"/>
      <c r="E2371" s="215"/>
      <c r="F2371" s="215"/>
      <c r="G2371" s="153"/>
      <c r="H2371" s="153"/>
      <c r="I2371" s="308">
        <v>20</v>
      </c>
      <c r="J2371" s="308">
        <v>60</v>
      </c>
      <c r="K2371" s="150">
        <v>1</v>
      </c>
      <c r="L2371" s="656">
        <v>20</v>
      </c>
      <c r="M2371" s="663">
        <v>34853</v>
      </c>
      <c r="N2371" s="600">
        <v>81.257499999999993</v>
      </c>
      <c r="O2371" s="604">
        <v>0.25819500000000001</v>
      </c>
      <c r="P2371" s="150"/>
      <c r="Q2371" s="250"/>
      <c r="R2371" s="250">
        <v>2.2000000000000002E-2</v>
      </c>
      <c r="S2371" s="250">
        <v>3.7000000000000005E-2</v>
      </c>
      <c r="T2371" s="250">
        <v>8.5999999999999993E-2</v>
      </c>
      <c r="U2371" s="250">
        <v>0.16</v>
      </c>
      <c r="V2371" s="250">
        <v>0.33600000000000002</v>
      </c>
      <c r="W2371" s="250">
        <v>0.26800000000000002</v>
      </c>
      <c r="X2371" s="250">
        <v>8.8000000000000009E-2</v>
      </c>
      <c r="Y2371" s="250">
        <v>3.0000000000000001E-3</v>
      </c>
      <c r="Z2371" s="150"/>
      <c r="AA2371" s="150">
        <v>1.34</v>
      </c>
      <c r="AB2371" s="152"/>
      <c r="AC2371" s="152"/>
      <c r="AD2371" s="223"/>
      <c r="AE2371" s="223"/>
      <c r="AF2371" s="223"/>
      <c r="AG2371" s="223"/>
      <c r="AH2371" s="341"/>
      <c r="AI2371" s="218"/>
      <c r="AJ2371" s="218"/>
      <c r="AK2371" s="153"/>
      <c r="AL2371" s="152"/>
      <c r="AM2371" s="152"/>
      <c r="AN2371" s="152"/>
      <c r="AO2371" s="152"/>
      <c r="AP2371" s="152"/>
      <c r="AQ2371" s="152"/>
      <c r="AR2371" s="152"/>
      <c r="AS2371" s="152"/>
      <c r="AT2371" s="152"/>
      <c r="AU2371" s="153"/>
      <c r="AV2371" s="479"/>
      <c r="AW2371" s="479"/>
      <c r="AX2371" s="442"/>
      <c r="AY2371" s="153"/>
      <c r="AZ2371" s="152"/>
      <c r="BA2371" s="152"/>
      <c r="BB2371" s="152"/>
      <c r="BC2371" s="152"/>
      <c r="BD2371" s="152"/>
      <c r="BE2371" s="152"/>
      <c r="BF2371" s="152"/>
      <c r="BG2371" s="152"/>
      <c r="BH2371" s="152"/>
      <c r="BI2371" s="153"/>
      <c r="BJ2371" s="153"/>
      <c r="BK2371" s="153"/>
      <c r="BL2371" s="153"/>
      <c r="BM2371" s="153"/>
      <c r="BN2371" s="153"/>
      <c r="BO2371" s="153"/>
      <c r="BP2371" s="153"/>
      <c r="BQ2371" s="153"/>
      <c r="BR2371" s="153"/>
      <c r="BS2371" s="153"/>
      <c r="BT2371" s="153"/>
      <c r="BU2371" s="153"/>
      <c r="BV2371" s="153"/>
      <c r="BW2371" s="153"/>
      <c r="BX2371" s="153"/>
      <c r="BY2371" s="153"/>
      <c r="BZ2371" s="153"/>
      <c r="CA2371" s="152"/>
      <c r="CB2371" s="152"/>
    </row>
    <row r="2372" spans="1:80" s="87" customFormat="1" x14ac:dyDescent="0.2">
      <c r="A2372" s="152"/>
      <c r="B2372" s="683"/>
      <c r="C2372" s="683"/>
      <c r="D2372" s="698"/>
      <c r="E2372" s="215"/>
      <c r="F2372" s="215"/>
      <c r="G2372" s="153"/>
      <c r="H2372" s="153"/>
      <c r="I2372" s="308">
        <v>20</v>
      </c>
      <c r="J2372" s="308">
        <v>60</v>
      </c>
      <c r="K2372" s="150">
        <v>1</v>
      </c>
      <c r="L2372" s="656">
        <v>20</v>
      </c>
      <c r="M2372" s="663">
        <v>34856</v>
      </c>
      <c r="N2372" s="600">
        <v>61.438600000000001</v>
      </c>
      <c r="O2372" s="604">
        <v>5.6571999999999997E-2</v>
      </c>
      <c r="P2372" s="150"/>
      <c r="Q2372" s="250"/>
      <c r="R2372" s="250"/>
      <c r="S2372" s="250">
        <v>6.0000000000000001E-3</v>
      </c>
      <c r="T2372" s="250">
        <v>2.7000000000000003E-2</v>
      </c>
      <c r="U2372" s="250">
        <v>0.14699999999999999</v>
      </c>
      <c r="V2372" s="250">
        <v>0.39399999999999996</v>
      </c>
      <c r="W2372" s="250">
        <v>0.315</v>
      </c>
      <c r="X2372" s="250">
        <v>0.10800000000000001</v>
      </c>
      <c r="Y2372" s="250">
        <v>3.0000000000000001E-3</v>
      </c>
      <c r="Z2372" s="150"/>
      <c r="AA2372" s="150">
        <v>1.1399999999999999</v>
      </c>
      <c r="AB2372" s="152"/>
      <c r="AC2372" s="152"/>
      <c r="AD2372" s="223"/>
      <c r="AE2372" s="223"/>
      <c r="AF2372" s="223"/>
      <c r="AG2372" s="223"/>
      <c r="AH2372" s="341"/>
      <c r="AI2372" s="218"/>
      <c r="AJ2372" s="218"/>
      <c r="AK2372" s="153"/>
      <c r="AL2372" s="152"/>
      <c r="AM2372" s="152"/>
      <c r="AN2372" s="152"/>
      <c r="AO2372" s="152"/>
      <c r="AP2372" s="152"/>
      <c r="AQ2372" s="152"/>
      <c r="AR2372" s="152"/>
      <c r="AS2372" s="152"/>
      <c r="AT2372" s="152"/>
      <c r="AU2372" s="153"/>
      <c r="AV2372" s="479"/>
      <c r="AW2372" s="479"/>
      <c r="AX2372" s="442"/>
      <c r="AY2372" s="153"/>
      <c r="AZ2372" s="152"/>
      <c r="BA2372" s="152"/>
      <c r="BB2372" s="152"/>
      <c r="BC2372" s="152"/>
      <c r="BD2372" s="152"/>
      <c r="BE2372" s="152"/>
      <c r="BF2372" s="152"/>
      <c r="BG2372" s="152"/>
      <c r="BH2372" s="152"/>
      <c r="BI2372" s="153"/>
      <c r="BJ2372" s="153"/>
      <c r="BK2372" s="153"/>
      <c r="BL2372" s="153"/>
      <c r="BM2372" s="153"/>
      <c r="BN2372" s="153"/>
      <c r="BO2372" s="153"/>
      <c r="BP2372" s="153"/>
      <c r="BQ2372" s="153"/>
      <c r="BR2372" s="153"/>
      <c r="BS2372" s="153"/>
      <c r="BT2372" s="153"/>
      <c r="BU2372" s="153"/>
      <c r="BV2372" s="153"/>
      <c r="BW2372" s="153"/>
      <c r="BX2372" s="153"/>
      <c r="BY2372" s="153"/>
      <c r="BZ2372" s="153"/>
      <c r="CA2372" s="152"/>
      <c r="CB2372" s="152"/>
    </row>
    <row r="2373" spans="1:80" s="87" customFormat="1" x14ac:dyDescent="0.2">
      <c r="A2373" s="152"/>
      <c r="B2373" s="683"/>
      <c r="C2373" s="683"/>
      <c r="D2373" s="698"/>
      <c r="E2373" s="215"/>
      <c r="F2373" s="215"/>
      <c r="G2373" s="153"/>
      <c r="H2373" s="153"/>
      <c r="I2373" s="308">
        <v>20</v>
      </c>
      <c r="J2373" s="308">
        <v>60</v>
      </c>
      <c r="K2373" s="150">
        <v>1</v>
      </c>
      <c r="L2373" s="656">
        <v>20</v>
      </c>
      <c r="M2373" s="663">
        <v>34856</v>
      </c>
      <c r="N2373" s="600">
        <v>61.438600000000001</v>
      </c>
      <c r="O2373" s="604">
        <v>4.8910000000000002E-2</v>
      </c>
      <c r="P2373" s="150"/>
      <c r="Q2373" s="250"/>
      <c r="R2373" s="250"/>
      <c r="S2373" s="250">
        <v>4.4000000000000004E-2</v>
      </c>
      <c r="T2373" s="250">
        <v>0.10099999999999999</v>
      </c>
      <c r="U2373" s="250">
        <v>0.192</v>
      </c>
      <c r="V2373" s="250">
        <v>0.35299999999999998</v>
      </c>
      <c r="W2373" s="250">
        <v>0.20699999999999999</v>
      </c>
      <c r="X2373" s="250">
        <v>5.0999999999999997E-2</v>
      </c>
      <c r="Y2373" s="250">
        <v>5.2000000000000005E-2</v>
      </c>
      <c r="Z2373" s="150"/>
      <c r="AA2373" s="150">
        <v>1.45</v>
      </c>
      <c r="AB2373" s="152"/>
      <c r="AC2373" s="152"/>
      <c r="AD2373" s="223"/>
      <c r="AE2373" s="223"/>
      <c r="AF2373" s="223"/>
      <c r="AG2373" s="223"/>
      <c r="AH2373" s="341"/>
      <c r="AI2373" s="218"/>
      <c r="AJ2373" s="218"/>
      <c r="AK2373" s="153"/>
      <c r="AL2373" s="152"/>
      <c r="AM2373" s="152"/>
      <c r="AN2373" s="152"/>
      <c r="AO2373" s="152"/>
      <c r="AP2373" s="152"/>
      <c r="AQ2373" s="152"/>
      <c r="AR2373" s="152"/>
      <c r="AS2373" s="152"/>
      <c r="AT2373" s="152"/>
      <c r="AU2373" s="153"/>
      <c r="AV2373" s="479"/>
      <c r="AW2373" s="479"/>
      <c r="AX2373" s="442"/>
      <c r="AY2373" s="153"/>
      <c r="AZ2373" s="152"/>
      <c r="BA2373" s="152"/>
      <c r="BB2373" s="152"/>
      <c r="BC2373" s="152"/>
      <c r="BD2373" s="152"/>
      <c r="BE2373" s="152"/>
      <c r="BF2373" s="152"/>
      <c r="BG2373" s="152"/>
      <c r="BH2373" s="152"/>
      <c r="BI2373" s="153"/>
      <c r="BJ2373" s="153"/>
      <c r="BK2373" s="153"/>
      <c r="BL2373" s="153"/>
      <c r="BM2373" s="153"/>
      <c r="BN2373" s="153"/>
      <c r="BO2373" s="153"/>
      <c r="BP2373" s="153"/>
      <c r="BQ2373" s="153"/>
      <c r="BR2373" s="153"/>
      <c r="BS2373" s="153"/>
      <c r="BT2373" s="153"/>
      <c r="BU2373" s="153"/>
      <c r="BV2373" s="153"/>
      <c r="BW2373" s="153"/>
      <c r="BX2373" s="153"/>
      <c r="BY2373" s="153"/>
      <c r="BZ2373" s="153"/>
      <c r="CA2373" s="152"/>
      <c r="CB2373" s="152"/>
    </row>
    <row r="2374" spans="1:80" s="87" customFormat="1" x14ac:dyDescent="0.2">
      <c r="A2374" s="152"/>
      <c r="B2374" s="683"/>
      <c r="C2374" s="683"/>
      <c r="D2374" s="698"/>
      <c r="E2374" s="215"/>
      <c r="F2374" s="215"/>
      <c r="G2374" s="153"/>
      <c r="H2374" s="153"/>
      <c r="I2374" s="308">
        <v>20</v>
      </c>
      <c r="J2374" s="308">
        <v>60</v>
      </c>
      <c r="K2374" s="150">
        <v>1</v>
      </c>
      <c r="L2374" s="656">
        <v>20</v>
      </c>
      <c r="M2374" s="663">
        <v>34857</v>
      </c>
      <c r="N2374" s="600">
        <v>48.981000000000002</v>
      </c>
      <c r="O2374" s="604">
        <v>1.2595E-2</v>
      </c>
      <c r="P2374" s="150"/>
      <c r="Q2374" s="250"/>
      <c r="R2374" s="250"/>
      <c r="S2374" s="250">
        <v>5.9000000000000004E-2</v>
      </c>
      <c r="T2374" s="250">
        <v>2.7000000000000003E-2</v>
      </c>
      <c r="U2374" s="250">
        <v>9.3000000000000013E-2</v>
      </c>
      <c r="V2374" s="250">
        <v>0.32100000000000001</v>
      </c>
      <c r="W2374" s="250">
        <v>0.32700000000000001</v>
      </c>
      <c r="X2374" s="250">
        <v>0.16399999999999998</v>
      </c>
      <c r="Y2374" s="250">
        <v>9.0000000000000011E-3</v>
      </c>
      <c r="Z2374" s="150"/>
      <c r="AA2374" s="150">
        <v>1</v>
      </c>
      <c r="AB2374" s="152"/>
      <c r="AC2374" s="152"/>
      <c r="AD2374" s="223"/>
      <c r="AE2374" s="223"/>
      <c r="AF2374" s="223"/>
      <c r="AG2374" s="223"/>
      <c r="AH2374" s="341"/>
      <c r="AI2374" s="218"/>
      <c r="AJ2374" s="218"/>
      <c r="AK2374" s="153"/>
      <c r="AL2374" s="152"/>
      <c r="AM2374" s="152"/>
      <c r="AN2374" s="152"/>
      <c r="AO2374" s="152"/>
      <c r="AP2374" s="152"/>
      <c r="AQ2374" s="152"/>
      <c r="AR2374" s="152"/>
      <c r="AS2374" s="152"/>
      <c r="AT2374" s="152"/>
      <c r="AU2374" s="153"/>
      <c r="AV2374" s="479"/>
      <c r="AW2374" s="479"/>
      <c r="AX2374" s="442"/>
      <c r="AY2374" s="153"/>
      <c r="AZ2374" s="152"/>
      <c r="BA2374" s="152"/>
      <c r="BB2374" s="152"/>
      <c r="BC2374" s="152"/>
      <c r="BD2374" s="152"/>
      <c r="BE2374" s="152"/>
      <c r="BF2374" s="152"/>
      <c r="BG2374" s="152"/>
      <c r="BH2374" s="152"/>
      <c r="BI2374" s="153"/>
      <c r="BJ2374" s="153"/>
      <c r="BK2374" s="153"/>
      <c r="BL2374" s="153"/>
      <c r="BM2374" s="153"/>
      <c r="BN2374" s="153"/>
      <c r="BO2374" s="153"/>
      <c r="BP2374" s="153"/>
      <c r="BQ2374" s="153"/>
      <c r="BR2374" s="153"/>
      <c r="BS2374" s="153"/>
      <c r="BT2374" s="153"/>
      <c r="BU2374" s="153"/>
      <c r="BV2374" s="153"/>
      <c r="BW2374" s="153"/>
      <c r="BX2374" s="153"/>
      <c r="BY2374" s="153"/>
      <c r="BZ2374" s="153"/>
      <c r="CA2374" s="152"/>
      <c r="CB2374" s="152"/>
    </row>
    <row r="2375" spans="1:80" s="87" customFormat="1" x14ac:dyDescent="0.2">
      <c r="A2375" s="152"/>
      <c r="B2375" s="683"/>
      <c r="C2375" s="683"/>
      <c r="D2375" s="698"/>
      <c r="E2375" s="215"/>
      <c r="F2375" s="215"/>
      <c r="G2375" s="153"/>
      <c r="H2375" s="153"/>
      <c r="I2375" s="308">
        <v>20</v>
      </c>
      <c r="J2375" s="308">
        <v>60</v>
      </c>
      <c r="K2375" s="150">
        <v>1</v>
      </c>
      <c r="L2375" s="656">
        <v>20</v>
      </c>
      <c r="M2375" s="663">
        <v>34857</v>
      </c>
      <c r="N2375" s="600">
        <v>48.981000000000002</v>
      </c>
      <c r="O2375" s="604">
        <v>3.2851999999999999E-2</v>
      </c>
      <c r="P2375" s="150"/>
      <c r="Q2375" s="250"/>
      <c r="R2375" s="250"/>
      <c r="S2375" s="250">
        <v>3.5000000000000003E-2</v>
      </c>
      <c r="T2375" s="250">
        <v>5.9000000000000004E-2</v>
      </c>
      <c r="U2375" s="250">
        <v>0.10800000000000001</v>
      </c>
      <c r="V2375" s="250">
        <v>0.309</v>
      </c>
      <c r="W2375" s="250">
        <v>0.34100000000000003</v>
      </c>
      <c r="X2375" s="250">
        <v>0.14199999999999999</v>
      </c>
      <c r="Y2375" s="250">
        <v>6.0000000000000001E-3</v>
      </c>
      <c r="Z2375" s="150"/>
      <c r="AA2375" s="150">
        <v>1.02</v>
      </c>
      <c r="AB2375" s="152"/>
      <c r="AC2375" s="152"/>
      <c r="AD2375" s="223"/>
      <c r="AE2375" s="223"/>
      <c r="AF2375" s="223"/>
      <c r="AG2375" s="223"/>
      <c r="AH2375" s="341"/>
      <c r="AI2375" s="218"/>
      <c r="AJ2375" s="218"/>
      <c r="AK2375" s="153"/>
      <c r="AL2375" s="152"/>
      <c r="AM2375" s="152"/>
      <c r="AN2375" s="152"/>
      <c r="AO2375" s="152"/>
      <c r="AP2375" s="152"/>
      <c r="AQ2375" s="152"/>
      <c r="AR2375" s="152"/>
      <c r="AS2375" s="152"/>
      <c r="AT2375" s="152"/>
      <c r="AU2375" s="153"/>
      <c r="AV2375" s="479"/>
      <c r="AW2375" s="479"/>
      <c r="AX2375" s="442"/>
      <c r="AY2375" s="153"/>
      <c r="AZ2375" s="152"/>
      <c r="BA2375" s="152"/>
      <c r="BB2375" s="152"/>
      <c r="BC2375" s="152"/>
      <c r="BD2375" s="152"/>
      <c r="BE2375" s="152"/>
      <c r="BF2375" s="152"/>
      <c r="BG2375" s="152"/>
      <c r="BH2375" s="152"/>
      <c r="BI2375" s="153"/>
      <c r="BJ2375" s="153"/>
      <c r="BK2375" s="153"/>
      <c r="BL2375" s="153"/>
      <c r="BM2375" s="153"/>
      <c r="BN2375" s="153"/>
      <c r="BO2375" s="153"/>
      <c r="BP2375" s="153"/>
      <c r="BQ2375" s="153"/>
      <c r="BR2375" s="153"/>
      <c r="BS2375" s="153"/>
      <c r="BT2375" s="153"/>
      <c r="BU2375" s="153"/>
      <c r="BV2375" s="153"/>
      <c r="BW2375" s="153"/>
      <c r="BX2375" s="153"/>
      <c r="BY2375" s="153"/>
      <c r="BZ2375" s="153"/>
      <c r="CA2375" s="152"/>
      <c r="CB2375" s="152"/>
    </row>
    <row r="2376" spans="1:80" s="87" customFormat="1" x14ac:dyDescent="0.2">
      <c r="A2376" s="152"/>
      <c r="B2376" s="683"/>
      <c r="C2376" s="683"/>
      <c r="D2376" s="698"/>
      <c r="E2376" s="215"/>
      <c r="F2376" s="215"/>
      <c r="G2376" s="153"/>
      <c r="H2376" s="153"/>
      <c r="I2376" s="308">
        <v>20</v>
      </c>
      <c r="J2376" s="308">
        <v>60</v>
      </c>
      <c r="K2376" s="150">
        <v>1</v>
      </c>
      <c r="L2376" s="656">
        <v>20</v>
      </c>
      <c r="M2376" s="663">
        <v>34865</v>
      </c>
      <c r="N2376" s="600">
        <v>53.227899999999998</v>
      </c>
      <c r="O2376" s="604">
        <v>0.109155</v>
      </c>
      <c r="P2376" s="150"/>
      <c r="Q2376" s="250"/>
      <c r="R2376" s="250"/>
      <c r="S2376" s="250">
        <v>1.6E-2</v>
      </c>
      <c r="T2376" s="250">
        <v>0.10199999999999999</v>
      </c>
      <c r="U2376" s="250">
        <v>0.26300000000000001</v>
      </c>
      <c r="V2376" s="250">
        <v>0.42700000000000005</v>
      </c>
      <c r="W2376" s="250">
        <v>0.16300000000000001</v>
      </c>
      <c r="X2376" s="250">
        <v>2.7999999999999997E-2</v>
      </c>
      <c r="Y2376" s="250">
        <v>1E-3</v>
      </c>
      <c r="Z2376" s="150"/>
      <c r="AA2376" s="150">
        <v>1.65</v>
      </c>
      <c r="AB2376" s="152"/>
      <c r="AC2376" s="152"/>
      <c r="AD2376" s="223"/>
      <c r="AE2376" s="223"/>
      <c r="AF2376" s="223"/>
      <c r="AG2376" s="223"/>
      <c r="AH2376" s="341"/>
      <c r="AI2376" s="218"/>
      <c r="AJ2376" s="218"/>
      <c r="AK2376" s="153"/>
      <c r="AL2376" s="152"/>
      <c r="AM2376" s="152"/>
      <c r="AN2376" s="152"/>
      <c r="AO2376" s="152"/>
      <c r="AP2376" s="152"/>
      <c r="AQ2376" s="152"/>
      <c r="AR2376" s="152"/>
      <c r="AS2376" s="152"/>
      <c r="AT2376" s="152"/>
      <c r="AU2376" s="153"/>
      <c r="AV2376" s="479"/>
      <c r="AW2376" s="479"/>
      <c r="AX2376" s="442"/>
      <c r="AY2376" s="153"/>
      <c r="AZ2376" s="152"/>
      <c r="BA2376" s="152"/>
      <c r="BB2376" s="152"/>
      <c r="BC2376" s="152"/>
      <c r="BD2376" s="152"/>
      <c r="BE2376" s="152"/>
      <c r="BF2376" s="152"/>
      <c r="BG2376" s="152"/>
      <c r="BH2376" s="152"/>
      <c r="BI2376" s="153"/>
      <c r="BJ2376" s="153"/>
      <c r="BK2376" s="153"/>
      <c r="BL2376" s="153"/>
      <c r="BM2376" s="153"/>
      <c r="BN2376" s="153"/>
      <c r="BO2376" s="153"/>
      <c r="BP2376" s="153"/>
      <c r="BQ2376" s="153"/>
      <c r="BR2376" s="153"/>
      <c r="BS2376" s="153"/>
      <c r="BT2376" s="153"/>
      <c r="BU2376" s="153"/>
      <c r="BV2376" s="153"/>
      <c r="BW2376" s="153"/>
      <c r="BX2376" s="153"/>
      <c r="BY2376" s="153"/>
      <c r="BZ2376" s="153"/>
      <c r="CA2376" s="152"/>
      <c r="CB2376" s="152"/>
    </row>
    <row r="2377" spans="1:80" s="87" customFormat="1" x14ac:dyDescent="0.2">
      <c r="A2377" s="152"/>
      <c r="B2377" s="683"/>
      <c r="C2377" s="683"/>
      <c r="D2377" s="698"/>
      <c r="E2377" s="215"/>
      <c r="F2377" s="215"/>
      <c r="G2377" s="153"/>
      <c r="H2377" s="153"/>
      <c r="I2377" s="308">
        <v>20</v>
      </c>
      <c r="J2377" s="308">
        <v>60</v>
      </c>
      <c r="K2377" s="150">
        <v>1</v>
      </c>
      <c r="L2377" s="656">
        <v>20</v>
      </c>
      <c r="M2377" s="663">
        <v>34865</v>
      </c>
      <c r="N2377" s="600">
        <v>53.227899999999998</v>
      </c>
      <c r="O2377" s="604">
        <v>6.0769999999999998E-2</v>
      </c>
      <c r="P2377" s="150"/>
      <c r="Q2377" s="250"/>
      <c r="R2377" s="250"/>
      <c r="S2377" s="250">
        <v>1.3000000000000001E-2</v>
      </c>
      <c r="T2377" s="250">
        <v>5.5E-2</v>
      </c>
      <c r="U2377" s="250">
        <v>0.16899999999999998</v>
      </c>
      <c r="V2377" s="250">
        <v>0.44900000000000001</v>
      </c>
      <c r="W2377" s="250">
        <v>0.253</v>
      </c>
      <c r="X2377" s="250">
        <v>0.06</v>
      </c>
      <c r="Y2377" s="250">
        <v>1E-3</v>
      </c>
      <c r="Z2377" s="150"/>
      <c r="AA2377" s="150">
        <v>1.33</v>
      </c>
      <c r="AB2377" s="152"/>
      <c r="AC2377" s="152"/>
      <c r="AD2377" s="223"/>
      <c r="AE2377" s="223"/>
      <c r="AF2377" s="223"/>
      <c r="AG2377" s="223"/>
      <c r="AH2377" s="341"/>
      <c r="AI2377" s="218"/>
      <c r="AJ2377" s="218"/>
      <c r="AK2377" s="153"/>
      <c r="AL2377" s="152"/>
      <c r="AM2377" s="152"/>
      <c r="AN2377" s="152"/>
      <c r="AO2377" s="152"/>
      <c r="AP2377" s="152"/>
      <c r="AQ2377" s="152"/>
      <c r="AR2377" s="152"/>
      <c r="AS2377" s="152"/>
      <c r="AT2377" s="152"/>
      <c r="AU2377" s="153"/>
      <c r="AV2377" s="479"/>
      <c r="AW2377" s="479"/>
      <c r="AX2377" s="442"/>
      <c r="AY2377" s="153"/>
      <c r="AZ2377" s="152"/>
      <c r="BA2377" s="152"/>
      <c r="BB2377" s="152"/>
      <c r="BC2377" s="152"/>
      <c r="BD2377" s="152"/>
      <c r="BE2377" s="152"/>
      <c r="BF2377" s="152"/>
      <c r="BG2377" s="152"/>
      <c r="BH2377" s="152"/>
      <c r="BI2377" s="153"/>
      <c r="BJ2377" s="153"/>
      <c r="BK2377" s="153"/>
      <c r="BL2377" s="153"/>
      <c r="BM2377" s="153"/>
      <c r="BN2377" s="153"/>
      <c r="BO2377" s="153"/>
      <c r="BP2377" s="153"/>
      <c r="BQ2377" s="153"/>
      <c r="BR2377" s="153"/>
      <c r="BS2377" s="153"/>
      <c r="BT2377" s="153"/>
      <c r="BU2377" s="153"/>
      <c r="BV2377" s="153"/>
      <c r="BW2377" s="153"/>
      <c r="BX2377" s="153"/>
      <c r="BY2377" s="153"/>
      <c r="BZ2377" s="153"/>
      <c r="CA2377" s="152"/>
      <c r="CB2377" s="152"/>
    </row>
    <row r="2378" spans="1:80" s="87" customFormat="1" x14ac:dyDescent="0.2">
      <c r="A2378" s="152"/>
      <c r="B2378" s="683"/>
      <c r="C2378" s="683"/>
      <c r="D2378" s="698"/>
      <c r="E2378" s="215"/>
      <c r="F2378" s="215"/>
      <c r="G2378" s="153"/>
      <c r="H2378" s="153"/>
      <c r="I2378" s="308">
        <v>20</v>
      </c>
      <c r="J2378" s="308">
        <v>60</v>
      </c>
      <c r="K2378" s="150">
        <v>1</v>
      </c>
      <c r="L2378" s="656">
        <v>20</v>
      </c>
      <c r="M2378" s="663">
        <v>34870</v>
      </c>
      <c r="N2378" s="600">
        <v>40.770299999999999</v>
      </c>
      <c r="O2378" s="604">
        <v>1.1335E-2</v>
      </c>
      <c r="P2378" s="150"/>
      <c r="Q2378" s="250"/>
      <c r="R2378" s="250"/>
      <c r="S2378" s="250">
        <v>0.153</v>
      </c>
      <c r="T2378" s="250">
        <v>4.8000000000000001E-2</v>
      </c>
      <c r="U2378" s="250">
        <v>0.17499999999999999</v>
      </c>
      <c r="V2378" s="250">
        <v>0.314</v>
      </c>
      <c r="W2378" s="250">
        <v>0.22600000000000001</v>
      </c>
      <c r="X2378" s="250">
        <v>8.1000000000000003E-2</v>
      </c>
      <c r="Y2378" s="250">
        <v>3.0000000000000001E-3</v>
      </c>
      <c r="Z2378" s="150"/>
      <c r="AA2378" s="150">
        <v>1.52</v>
      </c>
      <c r="AB2378" s="152"/>
      <c r="AC2378" s="152"/>
      <c r="AD2378" s="223">
        <v>24.383199999999999</v>
      </c>
      <c r="AE2378" s="223">
        <v>0.97532799999999997</v>
      </c>
      <c r="AF2378" s="223">
        <v>23.780864000000001</v>
      </c>
      <c r="AG2378" s="223">
        <v>1.6915845</v>
      </c>
      <c r="AH2378" s="341"/>
      <c r="AI2378" s="218"/>
      <c r="AJ2378" s="218"/>
      <c r="AK2378" s="153"/>
      <c r="AL2378" s="152"/>
      <c r="AM2378" s="152"/>
      <c r="AN2378" s="152"/>
      <c r="AO2378" s="152"/>
      <c r="AP2378" s="152"/>
      <c r="AQ2378" s="152"/>
      <c r="AR2378" s="152"/>
      <c r="AS2378" s="152"/>
      <c r="AT2378" s="152"/>
      <c r="AU2378" s="153"/>
      <c r="AV2378" s="479"/>
      <c r="AW2378" s="479"/>
      <c r="AX2378" s="442"/>
      <c r="AY2378" s="153"/>
      <c r="AZ2378" s="152"/>
      <c r="BA2378" s="152"/>
      <c r="BB2378" s="152"/>
      <c r="BC2378" s="152"/>
      <c r="BD2378" s="152"/>
      <c r="BE2378" s="152"/>
      <c r="BF2378" s="152"/>
      <c r="BG2378" s="152"/>
      <c r="BH2378" s="152"/>
      <c r="BI2378" s="153"/>
      <c r="BJ2378" s="153"/>
      <c r="BK2378" s="153"/>
      <c r="BL2378" s="153"/>
      <c r="BM2378" s="153"/>
      <c r="BN2378" s="153"/>
      <c r="BO2378" s="153"/>
      <c r="BP2378" s="153"/>
      <c r="BQ2378" s="153"/>
      <c r="BR2378" s="153"/>
      <c r="BS2378" s="153"/>
      <c r="BT2378" s="153"/>
      <c r="BU2378" s="153"/>
      <c r="BV2378" s="153"/>
      <c r="BW2378" s="153"/>
      <c r="BX2378" s="153"/>
      <c r="BY2378" s="153"/>
      <c r="BZ2378" s="153"/>
      <c r="CA2378" s="152"/>
      <c r="CB2378" s="152"/>
    </row>
    <row r="2379" spans="1:80" s="87" customFormat="1" x14ac:dyDescent="0.2">
      <c r="A2379" s="152"/>
      <c r="B2379" s="683"/>
      <c r="C2379" s="683"/>
      <c r="D2379" s="698"/>
      <c r="E2379" s="215"/>
      <c r="F2379" s="215"/>
      <c r="G2379" s="153"/>
      <c r="H2379" s="153"/>
      <c r="I2379" s="308">
        <v>20</v>
      </c>
      <c r="J2379" s="308">
        <v>60</v>
      </c>
      <c r="K2379" s="150">
        <v>1</v>
      </c>
      <c r="L2379" s="656">
        <v>20</v>
      </c>
      <c r="M2379" s="663">
        <v>34870</v>
      </c>
      <c r="N2379" s="600">
        <v>40.770299999999999</v>
      </c>
      <c r="O2379" s="604">
        <v>8.5850000000000006E-3</v>
      </c>
      <c r="P2379" s="150"/>
      <c r="Q2379" s="250"/>
      <c r="R2379" s="250"/>
      <c r="S2379" s="250"/>
      <c r="T2379" s="250">
        <v>2.6000000000000002E-2</v>
      </c>
      <c r="U2379" s="250">
        <v>0.11</v>
      </c>
      <c r="V2379" s="250">
        <v>0.38400000000000001</v>
      </c>
      <c r="W2379" s="250">
        <v>0.35100000000000003</v>
      </c>
      <c r="X2379" s="250">
        <v>0.126</v>
      </c>
      <c r="Y2379" s="250">
        <v>3.0000000000000001E-3</v>
      </c>
      <c r="Z2379" s="150"/>
      <c r="AA2379" s="150">
        <v>1.04</v>
      </c>
      <c r="AB2379" s="152"/>
      <c r="AC2379" s="152"/>
      <c r="AD2379" s="223">
        <v>24.383199999999999</v>
      </c>
      <c r="AE2379" s="223">
        <v>0.97532799999999997</v>
      </c>
      <c r="AF2379" s="223">
        <v>23.780864000000001</v>
      </c>
      <c r="AG2379" s="223">
        <v>1.6915845</v>
      </c>
      <c r="AH2379" s="341"/>
      <c r="AI2379" s="218"/>
      <c r="AJ2379" s="218"/>
      <c r="AK2379" s="153"/>
      <c r="AL2379" s="152"/>
      <c r="AM2379" s="152"/>
      <c r="AN2379" s="152"/>
      <c r="AO2379" s="152"/>
      <c r="AP2379" s="152"/>
      <c r="AQ2379" s="152"/>
      <c r="AR2379" s="152"/>
      <c r="AS2379" s="152"/>
      <c r="AT2379" s="152"/>
      <c r="AU2379" s="153"/>
      <c r="AV2379" s="479"/>
      <c r="AW2379" s="479"/>
      <c r="AX2379" s="442"/>
      <c r="AY2379" s="153"/>
      <c r="AZ2379" s="152"/>
      <c r="BA2379" s="152"/>
      <c r="BB2379" s="152"/>
      <c r="BC2379" s="152"/>
      <c r="BD2379" s="152"/>
      <c r="BE2379" s="152"/>
      <c r="BF2379" s="152"/>
      <c r="BG2379" s="152"/>
      <c r="BH2379" s="152"/>
      <c r="BI2379" s="153"/>
      <c r="BJ2379" s="153"/>
      <c r="BK2379" s="153"/>
      <c r="BL2379" s="153"/>
      <c r="BM2379" s="153"/>
      <c r="BN2379" s="153"/>
      <c r="BO2379" s="153"/>
      <c r="BP2379" s="153"/>
      <c r="BQ2379" s="153"/>
      <c r="BR2379" s="153"/>
      <c r="BS2379" s="153"/>
      <c r="BT2379" s="153"/>
      <c r="BU2379" s="153"/>
      <c r="BV2379" s="153"/>
      <c r="BW2379" s="153"/>
      <c r="BX2379" s="153"/>
      <c r="BY2379" s="153"/>
      <c r="BZ2379" s="153"/>
      <c r="CA2379" s="152"/>
      <c r="CB2379" s="152"/>
    </row>
    <row r="2380" spans="1:80" s="87" customFormat="1" x14ac:dyDescent="0.2">
      <c r="A2380" s="152"/>
      <c r="B2380" s="683"/>
      <c r="C2380" s="683"/>
      <c r="D2380" s="698"/>
      <c r="E2380" s="215"/>
      <c r="F2380" s="215"/>
      <c r="G2380" s="153"/>
      <c r="H2380" s="153"/>
      <c r="I2380" s="308">
        <v>20</v>
      </c>
      <c r="J2380" s="308">
        <v>60</v>
      </c>
      <c r="K2380" s="150">
        <v>1</v>
      </c>
      <c r="L2380" s="656">
        <v>20</v>
      </c>
      <c r="M2380" s="663">
        <v>34871</v>
      </c>
      <c r="N2380" s="600">
        <v>37.939</v>
      </c>
      <c r="O2380" s="604">
        <v>1.4168999999999999E-2</v>
      </c>
      <c r="P2380" s="150"/>
      <c r="Q2380" s="250"/>
      <c r="R2380" s="250"/>
      <c r="S2380" s="250"/>
      <c r="T2380" s="250">
        <v>9.9000000000000005E-2</v>
      </c>
      <c r="U2380" s="250">
        <v>0.17100000000000001</v>
      </c>
      <c r="V2380" s="250">
        <v>0.376</v>
      </c>
      <c r="W2380" s="250">
        <v>0.255</v>
      </c>
      <c r="X2380" s="250">
        <v>9.6999999999999989E-2</v>
      </c>
      <c r="Y2380" s="250">
        <v>2E-3</v>
      </c>
      <c r="Z2380" s="150"/>
      <c r="AA2380" s="150">
        <v>1.31</v>
      </c>
      <c r="AB2380" s="152"/>
      <c r="AC2380" s="152"/>
      <c r="AD2380" s="223"/>
      <c r="AE2380" s="223"/>
      <c r="AF2380" s="223"/>
      <c r="AG2380" s="223"/>
      <c r="AH2380" s="341"/>
      <c r="AI2380" s="218"/>
      <c r="AJ2380" s="218"/>
      <c r="AK2380" s="153"/>
      <c r="AL2380" s="152"/>
      <c r="AM2380" s="152"/>
      <c r="AN2380" s="152"/>
      <c r="AO2380" s="152"/>
      <c r="AP2380" s="152"/>
      <c r="AQ2380" s="152"/>
      <c r="AR2380" s="152"/>
      <c r="AS2380" s="152"/>
      <c r="AT2380" s="152"/>
      <c r="AU2380" s="153"/>
      <c r="AV2380" s="479"/>
      <c r="AW2380" s="479"/>
      <c r="AX2380" s="442"/>
      <c r="AY2380" s="153"/>
      <c r="AZ2380" s="152"/>
      <c r="BA2380" s="152"/>
      <c r="BB2380" s="152"/>
      <c r="BC2380" s="152"/>
      <c r="BD2380" s="152"/>
      <c r="BE2380" s="152"/>
      <c r="BF2380" s="152"/>
      <c r="BG2380" s="152"/>
      <c r="BH2380" s="152"/>
      <c r="BI2380" s="153"/>
      <c r="BJ2380" s="153"/>
      <c r="BK2380" s="153"/>
      <c r="BL2380" s="153"/>
      <c r="BM2380" s="153"/>
      <c r="BN2380" s="153"/>
      <c r="BO2380" s="153"/>
      <c r="BP2380" s="153"/>
      <c r="BQ2380" s="153"/>
      <c r="BR2380" s="153"/>
      <c r="BS2380" s="153"/>
      <c r="BT2380" s="153"/>
      <c r="BU2380" s="153"/>
      <c r="BV2380" s="153"/>
      <c r="BW2380" s="153"/>
      <c r="BX2380" s="153"/>
      <c r="BY2380" s="153"/>
      <c r="BZ2380" s="153"/>
      <c r="CA2380" s="152"/>
      <c r="CB2380" s="152"/>
    </row>
    <row r="2381" spans="1:80" s="87" customFormat="1" x14ac:dyDescent="0.2">
      <c r="A2381" s="152"/>
      <c r="B2381" s="683"/>
      <c r="C2381" s="683"/>
      <c r="D2381" s="698"/>
      <c r="E2381" s="215"/>
      <c r="F2381" s="215"/>
      <c r="G2381" s="153"/>
      <c r="H2381" s="153"/>
      <c r="I2381" s="308">
        <v>20</v>
      </c>
      <c r="J2381" s="308">
        <v>60</v>
      </c>
      <c r="K2381" s="150">
        <v>1</v>
      </c>
      <c r="L2381" s="656">
        <v>20</v>
      </c>
      <c r="M2381" s="663">
        <v>34871</v>
      </c>
      <c r="N2381" s="600">
        <v>37.939</v>
      </c>
      <c r="O2381" s="604">
        <v>1.1440000000000001E-2</v>
      </c>
      <c r="P2381" s="150"/>
      <c r="Q2381" s="250"/>
      <c r="R2381" s="250"/>
      <c r="S2381" s="250"/>
      <c r="T2381" s="250">
        <v>2.3E-2</v>
      </c>
      <c r="U2381" s="250">
        <v>0.158</v>
      </c>
      <c r="V2381" s="250">
        <v>0.44400000000000001</v>
      </c>
      <c r="W2381" s="250">
        <v>0.27</v>
      </c>
      <c r="X2381" s="250">
        <v>0.1</v>
      </c>
      <c r="Y2381" s="250">
        <v>5.0000000000000001E-3</v>
      </c>
      <c r="Z2381" s="150"/>
      <c r="AA2381" s="150">
        <v>1.22</v>
      </c>
      <c r="AB2381" s="152"/>
      <c r="AC2381" s="152"/>
      <c r="AD2381" s="223"/>
      <c r="AE2381" s="223"/>
      <c r="AF2381" s="223"/>
      <c r="AG2381" s="223"/>
      <c r="AH2381" s="341"/>
      <c r="AI2381" s="218"/>
      <c r="AJ2381" s="218"/>
      <c r="AK2381" s="153"/>
      <c r="AL2381" s="152"/>
      <c r="AM2381" s="152"/>
      <c r="AN2381" s="152"/>
      <c r="AO2381" s="152"/>
      <c r="AP2381" s="152"/>
      <c r="AQ2381" s="152"/>
      <c r="AR2381" s="152"/>
      <c r="AS2381" s="152"/>
      <c r="AT2381" s="152"/>
      <c r="AU2381" s="153"/>
      <c r="AV2381" s="479"/>
      <c r="AW2381" s="479"/>
      <c r="AX2381" s="442"/>
      <c r="AY2381" s="153"/>
      <c r="AZ2381" s="152"/>
      <c r="BA2381" s="152"/>
      <c r="BB2381" s="152"/>
      <c r="BC2381" s="152"/>
      <c r="BD2381" s="152"/>
      <c r="BE2381" s="152"/>
      <c r="BF2381" s="152"/>
      <c r="BG2381" s="152"/>
      <c r="BH2381" s="152"/>
      <c r="BI2381" s="153"/>
      <c r="BJ2381" s="153"/>
      <c r="BK2381" s="153"/>
      <c r="BL2381" s="153"/>
      <c r="BM2381" s="153"/>
      <c r="BN2381" s="153"/>
      <c r="BO2381" s="153"/>
      <c r="BP2381" s="153"/>
      <c r="BQ2381" s="153"/>
      <c r="BR2381" s="153"/>
      <c r="BS2381" s="153"/>
      <c r="BT2381" s="153"/>
      <c r="BU2381" s="153"/>
      <c r="BV2381" s="153"/>
      <c r="BW2381" s="153"/>
      <c r="BX2381" s="153"/>
      <c r="BY2381" s="153"/>
      <c r="BZ2381" s="153"/>
      <c r="CA2381" s="152"/>
      <c r="CB2381" s="152"/>
    </row>
    <row r="2382" spans="1:80" s="87" customFormat="1" x14ac:dyDescent="0.2">
      <c r="A2382" s="152"/>
      <c r="B2382" s="683"/>
      <c r="C2382" s="683"/>
      <c r="D2382" s="698"/>
      <c r="E2382" s="215"/>
      <c r="F2382" s="215"/>
      <c r="G2382" s="153"/>
      <c r="H2382" s="153"/>
      <c r="I2382" s="308">
        <v>20</v>
      </c>
      <c r="J2382" s="308">
        <v>60</v>
      </c>
      <c r="K2382" s="150">
        <v>1</v>
      </c>
      <c r="L2382" s="656">
        <v>20</v>
      </c>
      <c r="M2382" s="663">
        <v>34877</v>
      </c>
      <c r="N2382" s="600">
        <v>46.999099999999999</v>
      </c>
      <c r="O2382" s="604">
        <v>2.3404999999999999E-2</v>
      </c>
      <c r="P2382" s="150"/>
      <c r="Q2382" s="250"/>
      <c r="R2382" s="250"/>
      <c r="S2382" s="250">
        <v>0.17199999999999999</v>
      </c>
      <c r="T2382" s="250">
        <v>0.11699999999999999</v>
      </c>
      <c r="U2382" s="250">
        <v>0.159</v>
      </c>
      <c r="V2382" s="250">
        <v>0.32100000000000001</v>
      </c>
      <c r="W2382" s="250">
        <v>0.18100000000000002</v>
      </c>
      <c r="X2382" s="250">
        <v>4.9000000000000002E-2</v>
      </c>
      <c r="Y2382" s="250">
        <v>1E-3</v>
      </c>
      <c r="Z2382" s="150"/>
      <c r="AA2382" s="150">
        <v>1.79</v>
      </c>
      <c r="AB2382" s="152"/>
      <c r="AC2382" s="152"/>
      <c r="AD2382" s="223">
        <v>24.383199999999999</v>
      </c>
      <c r="AE2382" s="223">
        <v>1.10486375</v>
      </c>
      <c r="AF2382" s="223">
        <v>26.939260000000001</v>
      </c>
      <c r="AG2382" s="223">
        <v>1.6946323999999999</v>
      </c>
      <c r="AH2382" s="341"/>
      <c r="AI2382" s="218"/>
      <c r="AJ2382" s="218"/>
      <c r="AK2382" s="153"/>
      <c r="AL2382" s="152"/>
      <c r="AM2382" s="152"/>
      <c r="AN2382" s="152"/>
      <c r="AO2382" s="152"/>
      <c r="AP2382" s="152"/>
      <c r="AQ2382" s="152"/>
      <c r="AR2382" s="152"/>
      <c r="AS2382" s="152"/>
      <c r="AT2382" s="152"/>
      <c r="AU2382" s="153"/>
      <c r="AV2382" s="479"/>
      <c r="AW2382" s="479"/>
      <c r="AX2382" s="442"/>
      <c r="AY2382" s="153"/>
      <c r="AZ2382" s="152"/>
      <c r="BA2382" s="152"/>
      <c r="BB2382" s="152"/>
      <c r="BC2382" s="152"/>
      <c r="BD2382" s="152"/>
      <c r="BE2382" s="152"/>
      <c r="BF2382" s="152"/>
      <c r="BG2382" s="152"/>
      <c r="BH2382" s="152"/>
      <c r="BI2382" s="153"/>
      <c r="BJ2382" s="153"/>
      <c r="BK2382" s="153"/>
      <c r="BL2382" s="153"/>
      <c r="BM2382" s="153"/>
      <c r="BN2382" s="153"/>
      <c r="BO2382" s="153"/>
      <c r="BP2382" s="153"/>
      <c r="BQ2382" s="153"/>
      <c r="BR2382" s="153"/>
      <c r="BS2382" s="153"/>
      <c r="BT2382" s="153"/>
      <c r="BU2382" s="153"/>
      <c r="BV2382" s="153"/>
      <c r="BW2382" s="153"/>
      <c r="BX2382" s="153"/>
      <c r="BY2382" s="153"/>
      <c r="BZ2382" s="153"/>
      <c r="CA2382" s="152"/>
      <c r="CB2382" s="152"/>
    </row>
    <row r="2383" spans="1:80" s="87" customFormat="1" x14ac:dyDescent="0.2">
      <c r="A2383" s="152"/>
      <c r="B2383" s="683"/>
      <c r="C2383" s="683"/>
      <c r="D2383" s="698"/>
      <c r="E2383" s="215"/>
      <c r="F2383" s="215"/>
      <c r="G2383" s="153"/>
      <c r="H2383" s="153"/>
      <c r="I2383" s="308">
        <v>20</v>
      </c>
      <c r="J2383" s="308">
        <v>60</v>
      </c>
      <c r="K2383" s="150">
        <v>1</v>
      </c>
      <c r="L2383" s="656">
        <v>20</v>
      </c>
      <c r="M2383" s="663">
        <v>34877</v>
      </c>
      <c r="N2383" s="600">
        <v>46.999099999999999</v>
      </c>
      <c r="O2383" s="604">
        <v>3.2957E-2</v>
      </c>
      <c r="P2383" s="150"/>
      <c r="Q2383" s="250"/>
      <c r="R2383" s="250"/>
      <c r="S2383" s="250"/>
      <c r="T2383" s="250">
        <v>4.2999999999999997E-2</v>
      </c>
      <c r="U2383" s="250">
        <v>0.20399999999999999</v>
      </c>
      <c r="V2383" s="250">
        <v>0.41200000000000003</v>
      </c>
      <c r="W2383" s="250">
        <v>0.245</v>
      </c>
      <c r="X2383" s="250">
        <v>0.09</v>
      </c>
      <c r="Y2383" s="250">
        <v>6.0000000000000001E-3</v>
      </c>
      <c r="Z2383" s="150"/>
      <c r="AA2383" s="150">
        <v>1.31</v>
      </c>
      <c r="AB2383" s="152"/>
      <c r="AC2383" s="152"/>
      <c r="AD2383" s="223">
        <v>24.383199999999999</v>
      </c>
      <c r="AE2383" s="223">
        <v>1.10486375</v>
      </c>
      <c r="AF2383" s="223">
        <v>26.939260000000001</v>
      </c>
      <c r="AG2383" s="223">
        <v>1.6946323999999999</v>
      </c>
      <c r="AH2383" s="341"/>
      <c r="AI2383" s="218"/>
      <c r="AJ2383" s="218"/>
      <c r="AK2383" s="153"/>
      <c r="AL2383" s="152"/>
      <c r="AM2383" s="152"/>
      <c r="AN2383" s="152"/>
      <c r="AO2383" s="152"/>
      <c r="AP2383" s="152"/>
      <c r="AQ2383" s="152"/>
      <c r="AR2383" s="152"/>
      <c r="AS2383" s="152"/>
      <c r="AT2383" s="152"/>
      <c r="AU2383" s="153"/>
      <c r="AV2383" s="479"/>
      <c r="AW2383" s="479"/>
      <c r="AX2383" s="442"/>
      <c r="AY2383" s="153"/>
      <c r="AZ2383" s="152"/>
      <c r="BA2383" s="152"/>
      <c r="BB2383" s="152"/>
      <c r="BC2383" s="152"/>
      <c r="BD2383" s="152"/>
      <c r="BE2383" s="152"/>
      <c r="BF2383" s="152"/>
      <c r="BG2383" s="152"/>
      <c r="BH2383" s="152"/>
      <c r="BI2383" s="153"/>
      <c r="BJ2383" s="153"/>
      <c r="BK2383" s="153"/>
      <c r="BL2383" s="153"/>
      <c r="BM2383" s="153"/>
      <c r="BN2383" s="153"/>
      <c r="BO2383" s="153"/>
      <c r="BP2383" s="153"/>
      <c r="BQ2383" s="153"/>
      <c r="BR2383" s="153"/>
      <c r="BS2383" s="153"/>
      <c r="BT2383" s="153"/>
      <c r="BU2383" s="153"/>
      <c r="BV2383" s="153"/>
      <c r="BW2383" s="153"/>
      <c r="BX2383" s="153"/>
      <c r="BY2383" s="153"/>
      <c r="BZ2383" s="153"/>
      <c r="CA2383" s="152"/>
      <c r="CB2383" s="152"/>
    </row>
    <row r="2384" spans="1:80" s="87" customFormat="1" x14ac:dyDescent="0.2">
      <c r="A2384" s="152"/>
      <c r="B2384" s="683"/>
      <c r="C2384" s="683"/>
      <c r="D2384" s="698"/>
      <c r="E2384" s="215"/>
      <c r="F2384" s="215"/>
      <c r="G2384" s="153"/>
      <c r="H2384" s="153"/>
      <c r="I2384" s="308">
        <v>20</v>
      </c>
      <c r="J2384" s="308">
        <v>60</v>
      </c>
      <c r="K2384" s="150">
        <v>1</v>
      </c>
      <c r="L2384" s="656">
        <v>20</v>
      </c>
      <c r="M2384" s="663">
        <v>34878</v>
      </c>
      <c r="N2384" s="600">
        <v>45.3003</v>
      </c>
      <c r="O2384" s="604">
        <v>1.6163E-2</v>
      </c>
      <c r="P2384" s="150"/>
      <c r="Q2384" s="250"/>
      <c r="R2384" s="250"/>
      <c r="S2384" s="250">
        <v>1.3000000000000001E-2</v>
      </c>
      <c r="T2384" s="250">
        <v>0.04</v>
      </c>
      <c r="U2384" s="250">
        <v>0.16899999999999998</v>
      </c>
      <c r="V2384" s="250">
        <v>0.38400000000000001</v>
      </c>
      <c r="W2384" s="250">
        <v>0.28699999999999998</v>
      </c>
      <c r="X2384" s="250">
        <v>0.10400000000000001</v>
      </c>
      <c r="Y2384" s="250">
        <v>3.0000000000000001E-3</v>
      </c>
      <c r="Z2384" s="150"/>
      <c r="AA2384" s="150">
        <v>1.21</v>
      </c>
      <c r="AB2384" s="152"/>
      <c r="AC2384" s="152"/>
      <c r="AD2384" s="223"/>
      <c r="AE2384" s="223"/>
      <c r="AF2384" s="223"/>
      <c r="AG2384" s="223"/>
      <c r="AH2384" s="341"/>
      <c r="AI2384" s="218"/>
      <c r="AJ2384" s="218"/>
      <c r="AK2384" s="153"/>
      <c r="AL2384" s="152"/>
      <c r="AM2384" s="152"/>
      <c r="AN2384" s="152"/>
      <c r="AO2384" s="152"/>
      <c r="AP2384" s="152"/>
      <c r="AQ2384" s="152"/>
      <c r="AR2384" s="152"/>
      <c r="AS2384" s="152"/>
      <c r="AT2384" s="152"/>
      <c r="AU2384" s="153"/>
      <c r="AV2384" s="479"/>
      <c r="AW2384" s="479"/>
      <c r="AX2384" s="442"/>
      <c r="AY2384" s="153"/>
      <c r="AZ2384" s="152"/>
      <c r="BA2384" s="152"/>
      <c r="BB2384" s="152"/>
      <c r="BC2384" s="152"/>
      <c r="BD2384" s="152"/>
      <c r="BE2384" s="152"/>
      <c r="BF2384" s="152"/>
      <c r="BG2384" s="152"/>
      <c r="BH2384" s="152"/>
      <c r="BI2384" s="153"/>
      <c r="BJ2384" s="153"/>
      <c r="BK2384" s="153"/>
      <c r="BL2384" s="153"/>
      <c r="BM2384" s="153"/>
      <c r="BN2384" s="153"/>
      <c r="BO2384" s="153"/>
      <c r="BP2384" s="153"/>
      <c r="BQ2384" s="153"/>
      <c r="BR2384" s="153"/>
      <c r="BS2384" s="153"/>
      <c r="BT2384" s="153"/>
      <c r="BU2384" s="153"/>
      <c r="BV2384" s="153"/>
      <c r="BW2384" s="153"/>
      <c r="BX2384" s="153"/>
      <c r="BY2384" s="153"/>
      <c r="BZ2384" s="153"/>
      <c r="CA2384" s="152"/>
      <c r="CB2384" s="152"/>
    </row>
    <row r="2385" spans="1:80" s="87" customFormat="1" x14ac:dyDescent="0.2">
      <c r="A2385" s="152"/>
      <c r="B2385" s="683"/>
      <c r="C2385" s="683"/>
      <c r="D2385" s="698"/>
      <c r="E2385" s="215"/>
      <c r="F2385" s="215"/>
      <c r="G2385" s="153"/>
      <c r="H2385" s="153"/>
      <c r="I2385" s="308">
        <v>20</v>
      </c>
      <c r="J2385" s="308">
        <v>60</v>
      </c>
      <c r="K2385" s="150">
        <v>1</v>
      </c>
      <c r="L2385" s="656">
        <v>20</v>
      </c>
      <c r="M2385" s="663">
        <v>34878</v>
      </c>
      <c r="N2385" s="600">
        <v>45.3003</v>
      </c>
      <c r="O2385" s="604">
        <v>1.6163E-2</v>
      </c>
      <c r="P2385" s="150"/>
      <c r="Q2385" s="250"/>
      <c r="R2385" s="250"/>
      <c r="S2385" s="250"/>
      <c r="T2385" s="250">
        <v>3.1E-2</v>
      </c>
      <c r="U2385" s="250">
        <v>0.129</v>
      </c>
      <c r="V2385" s="250">
        <v>0.38400000000000001</v>
      </c>
      <c r="W2385" s="250">
        <v>0.317</v>
      </c>
      <c r="X2385" s="250">
        <v>0.13400000000000001</v>
      </c>
      <c r="Y2385" s="250">
        <v>5.0000000000000001E-3</v>
      </c>
      <c r="Z2385" s="150"/>
      <c r="AA2385" s="150">
        <v>1.08</v>
      </c>
      <c r="AB2385" s="152"/>
      <c r="AC2385" s="152"/>
      <c r="AD2385" s="223"/>
      <c r="AE2385" s="223"/>
      <c r="AF2385" s="223"/>
      <c r="AG2385" s="223"/>
      <c r="AH2385" s="341"/>
      <c r="AI2385" s="218"/>
      <c r="AJ2385" s="218"/>
      <c r="AK2385" s="153"/>
      <c r="AL2385" s="152"/>
      <c r="AM2385" s="152"/>
      <c r="AN2385" s="152"/>
      <c r="AO2385" s="152"/>
      <c r="AP2385" s="152"/>
      <c r="AQ2385" s="152"/>
      <c r="AR2385" s="152"/>
      <c r="AS2385" s="152"/>
      <c r="AT2385" s="152"/>
      <c r="AU2385" s="153"/>
      <c r="AV2385" s="479"/>
      <c r="AW2385" s="479"/>
      <c r="AX2385" s="442"/>
      <c r="AY2385" s="153"/>
      <c r="AZ2385" s="152"/>
      <c r="BA2385" s="152"/>
      <c r="BB2385" s="152"/>
      <c r="BC2385" s="152"/>
      <c r="BD2385" s="152"/>
      <c r="BE2385" s="152"/>
      <c r="BF2385" s="152"/>
      <c r="BG2385" s="152"/>
      <c r="BH2385" s="152"/>
      <c r="BI2385" s="153"/>
      <c r="BJ2385" s="153"/>
      <c r="BK2385" s="153"/>
      <c r="BL2385" s="153"/>
      <c r="BM2385" s="153"/>
      <c r="BN2385" s="153"/>
      <c r="BO2385" s="153"/>
      <c r="BP2385" s="153"/>
      <c r="BQ2385" s="153"/>
      <c r="BR2385" s="153"/>
      <c r="BS2385" s="153"/>
      <c r="BT2385" s="153"/>
      <c r="BU2385" s="153"/>
      <c r="BV2385" s="153"/>
      <c r="BW2385" s="153"/>
      <c r="BX2385" s="153"/>
      <c r="BY2385" s="153"/>
      <c r="BZ2385" s="153"/>
      <c r="CA2385" s="152"/>
      <c r="CB2385" s="152"/>
    </row>
    <row r="2386" spans="1:80" s="87" customFormat="1" x14ac:dyDescent="0.2">
      <c r="A2386" s="152"/>
      <c r="B2386" s="683"/>
      <c r="C2386" s="683"/>
      <c r="D2386" s="698"/>
      <c r="E2386" s="215"/>
      <c r="F2386" s="215"/>
      <c r="G2386" s="153"/>
      <c r="H2386" s="153"/>
      <c r="I2386" s="308">
        <v>20</v>
      </c>
      <c r="J2386" s="308">
        <v>30</v>
      </c>
      <c r="K2386" s="150">
        <v>1</v>
      </c>
      <c r="L2386" s="656">
        <v>10</v>
      </c>
      <c r="M2386" s="663">
        <v>35568</v>
      </c>
      <c r="N2386" s="600">
        <v>97.678799999999995</v>
      </c>
      <c r="O2386" s="604">
        <v>0.33271400000000001</v>
      </c>
      <c r="P2386" s="150"/>
      <c r="Q2386" s="250"/>
      <c r="R2386" s="250"/>
      <c r="S2386" s="250">
        <v>2.6000000000000002E-2</v>
      </c>
      <c r="T2386" s="250">
        <v>8.199999999999999E-2</v>
      </c>
      <c r="U2386" s="250">
        <v>0.22800000000000001</v>
      </c>
      <c r="V2386" s="250">
        <v>0.43</v>
      </c>
      <c r="W2386" s="250">
        <v>0.185</v>
      </c>
      <c r="X2386" s="250">
        <v>4.8000000000000001E-2</v>
      </c>
      <c r="Y2386" s="250">
        <v>0</v>
      </c>
      <c r="Z2386" s="150"/>
      <c r="AA2386" s="150">
        <v>1.54</v>
      </c>
      <c r="AB2386" s="152"/>
      <c r="AC2386" s="152"/>
      <c r="AD2386" s="223"/>
      <c r="AE2386" s="223"/>
      <c r="AF2386" s="223"/>
      <c r="AG2386" s="223"/>
      <c r="AH2386" s="341"/>
      <c r="AI2386" s="218"/>
      <c r="AJ2386" s="218"/>
      <c r="AK2386" s="153"/>
      <c r="AL2386" s="152"/>
      <c r="AM2386" s="152"/>
      <c r="AN2386" s="152"/>
      <c r="AO2386" s="152"/>
      <c r="AP2386" s="152"/>
      <c r="AQ2386" s="152"/>
      <c r="AR2386" s="152"/>
      <c r="AS2386" s="152"/>
      <c r="AT2386" s="152"/>
      <c r="AU2386" s="153"/>
      <c r="AV2386" s="479"/>
      <c r="AW2386" s="479"/>
      <c r="AX2386" s="442"/>
      <c r="AY2386" s="153"/>
      <c r="AZ2386" s="152"/>
      <c r="BA2386" s="152"/>
      <c r="BB2386" s="152"/>
      <c r="BC2386" s="152"/>
      <c r="BD2386" s="152"/>
      <c r="BE2386" s="152"/>
      <c r="BF2386" s="152"/>
      <c r="BG2386" s="152"/>
      <c r="BH2386" s="152"/>
      <c r="BI2386" s="153"/>
      <c r="BJ2386" s="153"/>
      <c r="BK2386" s="153"/>
      <c r="BL2386" s="153"/>
      <c r="BM2386" s="153"/>
      <c r="BN2386" s="153"/>
      <c r="BO2386" s="153"/>
      <c r="BP2386" s="153"/>
      <c r="BQ2386" s="153"/>
      <c r="BR2386" s="153"/>
      <c r="BS2386" s="153"/>
      <c r="BT2386" s="153"/>
      <c r="BU2386" s="153"/>
      <c r="BV2386" s="153"/>
      <c r="BW2386" s="153"/>
      <c r="BX2386" s="153"/>
      <c r="BY2386" s="153"/>
      <c r="BZ2386" s="153"/>
      <c r="CA2386" s="152"/>
      <c r="CB2386" s="152"/>
    </row>
    <row r="2387" spans="1:80" s="87" customFormat="1" x14ac:dyDescent="0.2">
      <c r="A2387" s="152"/>
      <c r="B2387" s="683"/>
      <c r="C2387" s="683"/>
      <c r="D2387" s="698"/>
      <c r="E2387" s="215"/>
      <c r="F2387" s="215"/>
      <c r="G2387" s="153"/>
      <c r="H2387" s="153"/>
      <c r="I2387" s="308">
        <v>20</v>
      </c>
      <c r="J2387" s="308">
        <v>60</v>
      </c>
      <c r="K2387" s="150">
        <v>1</v>
      </c>
      <c r="L2387" s="656">
        <v>20</v>
      </c>
      <c r="M2387" s="663">
        <v>35568</v>
      </c>
      <c r="N2387" s="600">
        <v>97.678799999999995</v>
      </c>
      <c r="O2387" s="604">
        <v>0.40408500000000003</v>
      </c>
      <c r="P2387" s="150"/>
      <c r="Q2387" s="250">
        <v>0.17499999999999999</v>
      </c>
      <c r="R2387" s="250">
        <v>7.0000000000000007E-2</v>
      </c>
      <c r="S2387" s="250">
        <v>0.08</v>
      </c>
      <c r="T2387" s="250">
        <v>8.6999999999999994E-2</v>
      </c>
      <c r="U2387" s="250">
        <v>0.17300000000000001</v>
      </c>
      <c r="V2387" s="250">
        <v>0.28100000000000003</v>
      </c>
      <c r="W2387" s="250">
        <v>0.13300000000000001</v>
      </c>
      <c r="X2387" s="250">
        <v>3.2000000000000001E-2</v>
      </c>
      <c r="Y2387" s="250">
        <v>0</v>
      </c>
      <c r="Z2387" s="150"/>
      <c r="AA2387" s="150">
        <v>2.4900000000000002</v>
      </c>
      <c r="AB2387" s="152"/>
      <c r="AC2387" s="152"/>
      <c r="AD2387" s="223"/>
      <c r="AE2387" s="223"/>
      <c r="AF2387" s="223"/>
      <c r="AG2387" s="223"/>
      <c r="AH2387" s="341"/>
      <c r="AI2387" s="218"/>
      <c r="AJ2387" s="218"/>
      <c r="AK2387" s="153"/>
      <c r="AL2387" s="152"/>
      <c r="AM2387" s="152"/>
      <c r="AN2387" s="152"/>
      <c r="AO2387" s="152"/>
      <c r="AP2387" s="152"/>
      <c r="AQ2387" s="152"/>
      <c r="AR2387" s="152"/>
      <c r="AS2387" s="152"/>
      <c r="AT2387" s="152"/>
      <c r="AU2387" s="153"/>
      <c r="AV2387" s="479"/>
      <c r="AW2387" s="479"/>
      <c r="AX2387" s="442"/>
      <c r="AY2387" s="153"/>
      <c r="AZ2387" s="152"/>
      <c r="BA2387" s="152"/>
      <c r="BB2387" s="152"/>
      <c r="BC2387" s="152"/>
      <c r="BD2387" s="152"/>
      <c r="BE2387" s="152"/>
      <c r="BF2387" s="152"/>
      <c r="BG2387" s="152"/>
      <c r="BH2387" s="152"/>
      <c r="BI2387" s="153"/>
      <c r="BJ2387" s="153"/>
      <c r="BK2387" s="153"/>
      <c r="BL2387" s="153"/>
      <c r="BM2387" s="153"/>
      <c r="BN2387" s="153"/>
      <c r="BO2387" s="153"/>
      <c r="BP2387" s="153"/>
      <c r="BQ2387" s="153"/>
      <c r="BR2387" s="153"/>
      <c r="BS2387" s="153"/>
      <c r="BT2387" s="153"/>
      <c r="BU2387" s="153"/>
      <c r="BV2387" s="153"/>
      <c r="BW2387" s="153"/>
      <c r="BX2387" s="153"/>
      <c r="BY2387" s="153"/>
      <c r="BZ2387" s="153"/>
      <c r="CA2387" s="152"/>
      <c r="CB2387" s="152"/>
    </row>
    <row r="2388" spans="1:80" ht="15.75" thickBot="1" x14ac:dyDescent="0.3">
      <c r="A2388" s="9" t="s">
        <v>191</v>
      </c>
      <c r="B2388" s="639" t="s">
        <v>66</v>
      </c>
      <c r="C2388" s="639" t="s">
        <v>604</v>
      </c>
      <c r="D2388" s="4">
        <f>VLOOKUP(E2388,'Quality Code'!D4:E24,2,TRUE)*VLOOKUP(MROUND(F2388,10),'Quality Code'!D28:E69,2,TRUE)*VLOOKUP(COUNTA(CB2388:CB2398),'Quality Code'!D73:E93,2,TRUE)</f>
        <v>3.2</v>
      </c>
      <c r="E2388" s="14">
        <v>0.8</v>
      </c>
      <c r="F2388" s="18">
        <v>78</v>
      </c>
      <c r="G2388" s="12">
        <v>15.512499999999999</v>
      </c>
      <c r="H2388" s="2" t="s">
        <v>231</v>
      </c>
      <c r="I2388" s="10"/>
      <c r="J2388" s="10" t="s">
        <v>283</v>
      </c>
      <c r="K2388" s="10"/>
      <c r="L2388" s="640" t="s">
        <v>284</v>
      </c>
      <c r="M2388" s="640" t="s">
        <v>837</v>
      </c>
      <c r="N2388" s="579" t="s">
        <v>285</v>
      </c>
      <c r="O2388" s="579"/>
      <c r="P2388" s="10" t="s">
        <v>64</v>
      </c>
      <c r="Q2388" s="10" t="s">
        <v>64</v>
      </c>
      <c r="R2388" s="10" t="s">
        <v>64</v>
      </c>
      <c r="S2388" s="10" t="s">
        <v>64</v>
      </c>
      <c r="T2388" s="10" t="s">
        <v>64</v>
      </c>
      <c r="U2388" s="10" t="s">
        <v>64</v>
      </c>
      <c r="V2388" s="10"/>
      <c r="W2388" s="10"/>
      <c r="X2388" s="10"/>
      <c r="Y2388" s="10"/>
      <c r="Z2388" s="11"/>
      <c r="AA2388" s="81"/>
      <c r="AB2388" s="81"/>
      <c r="AC2388" s="116">
        <v>5.0900000000000001E-2</v>
      </c>
      <c r="AD2388" s="26"/>
      <c r="AE2388" s="26"/>
      <c r="AF2388" s="26"/>
      <c r="AG2388" s="26"/>
      <c r="AH2388" s="330" t="s">
        <v>330</v>
      </c>
      <c r="AI2388" s="123">
        <v>14.5</v>
      </c>
      <c r="AJ2388" s="123"/>
      <c r="AK2388" s="151">
        <v>0.94340000000000002</v>
      </c>
      <c r="AL2388" s="17">
        <v>0.751</v>
      </c>
      <c r="AM2388" s="17">
        <v>0.60509999999999997</v>
      </c>
      <c r="AN2388" s="17">
        <v>0.51</v>
      </c>
      <c r="AO2388" s="17">
        <v>0.41299999999999998</v>
      </c>
      <c r="AP2388" s="17">
        <v>0.29680000000000001</v>
      </c>
      <c r="AQ2388" s="17">
        <v>0.17749999999999999</v>
      </c>
      <c r="AR2388" s="17">
        <v>9.74E-2</v>
      </c>
      <c r="AS2388" s="17">
        <v>3.5499999999999997E-2</v>
      </c>
      <c r="AT2388" s="17">
        <v>9.4999999999999998E-3</v>
      </c>
      <c r="AU2388" s="18">
        <v>119</v>
      </c>
      <c r="AV2388" s="147">
        <v>1</v>
      </c>
      <c r="AW2388" s="147">
        <v>1</v>
      </c>
      <c r="AX2388" s="147">
        <v>1</v>
      </c>
      <c r="AY2388" s="147">
        <v>0.53129999999999999</v>
      </c>
      <c r="AZ2388" s="17">
        <v>0.21099999999999999</v>
      </c>
      <c r="BA2388" s="17">
        <v>0.1094</v>
      </c>
      <c r="BB2388" s="17">
        <v>6.3100000000000003E-2</v>
      </c>
      <c r="BC2388" s="17">
        <v>4.24E-2</v>
      </c>
      <c r="BD2388" s="17">
        <v>2.98E-2</v>
      </c>
      <c r="BE2388" s="17">
        <v>1.9699999999999999E-2</v>
      </c>
      <c r="BF2388" s="17">
        <v>1.1599999999999999E-2</v>
      </c>
      <c r="BG2388" s="17">
        <v>5.3E-3</v>
      </c>
      <c r="BH2388" s="17">
        <v>2.0999999999999999E-3</v>
      </c>
      <c r="BI2388" s="4">
        <f>AU2388/AI2388</f>
        <v>8.2068965517241388</v>
      </c>
      <c r="BJ2388" s="2" t="s">
        <v>68</v>
      </c>
      <c r="BK2388" s="2" t="s">
        <v>68</v>
      </c>
      <c r="BL2388" s="12">
        <v>2.79</v>
      </c>
      <c r="BM2388" s="12"/>
      <c r="BN2388" s="12">
        <f>(6.437*($BL$2388/0.028317)^0.258)*0.3048</f>
        <v>6.4126297884249848</v>
      </c>
      <c r="BO2388" s="12">
        <f>(0.23*($BL$2388/0.028317)^0.485)*0.3048</f>
        <v>0.64955798435468803</v>
      </c>
      <c r="BP2388" s="12">
        <f>BO2388*BN2388</f>
        <v>4.1653748797821626</v>
      </c>
      <c r="BQ2388" s="12">
        <f>BN2388/BO2388</f>
        <v>9.8722976899370991</v>
      </c>
      <c r="BR2388" s="12" t="s">
        <v>379</v>
      </c>
      <c r="BS2388" s="18">
        <v>3</v>
      </c>
      <c r="BT2388" s="12"/>
      <c r="BU2388" s="2"/>
      <c r="BV2388" s="2"/>
      <c r="BW2388" s="2"/>
      <c r="BX2388" s="2"/>
      <c r="BY2388" s="2" t="s">
        <v>595</v>
      </c>
      <c r="BZ2388" s="2"/>
      <c r="CA2388" s="381"/>
      <c r="CB2388" s="9" t="s">
        <v>224</v>
      </c>
    </row>
    <row r="2389" spans="1:80" s="87" customFormat="1" ht="15.75" thickBot="1" x14ac:dyDescent="0.25">
      <c r="A2389" s="152"/>
      <c r="B2389" s="683"/>
      <c r="C2389" s="683"/>
      <c r="D2389" s="698"/>
      <c r="E2389" s="215"/>
      <c r="F2389" s="215"/>
      <c r="G2389" s="153"/>
      <c r="H2389" s="153"/>
      <c r="I2389" s="163">
        <v>9</v>
      </c>
      <c r="J2389" s="312">
        <v>240</v>
      </c>
      <c r="K2389" s="150">
        <v>1</v>
      </c>
      <c r="L2389" s="656">
        <v>36</v>
      </c>
      <c r="M2389" s="663">
        <v>32972</v>
      </c>
      <c r="N2389" s="600">
        <v>0.15289</v>
      </c>
      <c r="O2389" s="604">
        <v>7.8899999999999999E-4</v>
      </c>
      <c r="P2389" s="150"/>
      <c r="Q2389" s="250"/>
      <c r="R2389" s="250"/>
      <c r="S2389" s="250"/>
      <c r="T2389" s="250">
        <v>3.9E-2</v>
      </c>
      <c r="U2389" s="250">
        <v>0.109</v>
      </c>
      <c r="V2389" s="250">
        <v>0.17699999999999999</v>
      </c>
      <c r="W2389" s="250">
        <v>0.439</v>
      </c>
      <c r="X2389" s="250">
        <v>0.22899999999999998</v>
      </c>
      <c r="Y2389" s="250">
        <v>6.0000000000000001E-3</v>
      </c>
      <c r="Z2389" s="150"/>
      <c r="AA2389" s="150">
        <v>0.76</v>
      </c>
      <c r="AB2389" s="152"/>
      <c r="AC2389" s="152"/>
      <c r="AD2389" s="223"/>
      <c r="AE2389" s="223"/>
      <c r="AF2389" s="223"/>
      <c r="AG2389" s="223"/>
      <c r="AH2389" s="342" t="s">
        <v>331</v>
      </c>
      <c r="AI2389" s="218"/>
      <c r="AJ2389" s="218"/>
      <c r="AK2389" s="153"/>
      <c r="AL2389" s="152"/>
      <c r="AM2389" s="152"/>
      <c r="AN2389" s="152"/>
      <c r="AO2389" s="152"/>
      <c r="AP2389" s="152"/>
      <c r="AQ2389" s="152"/>
      <c r="AR2389" s="152"/>
      <c r="AS2389" s="152"/>
      <c r="AT2389" s="152"/>
      <c r="AU2389" s="150">
        <v>74</v>
      </c>
      <c r="AV2389" s="219">
        <v>1</v>
      </c>
      <c r="AW2389" s="219">
        <v>0.97399999999999998</v>
      </c>
      <c r="AX2389" s="219">
        <v>0.85189999999999999</v>
      </c>
      <c r="AY2389" s="219">
        <v>0.66979999999999995</v>
      </c>
      <c r="AZ2389" s="219">
        <v>0.4723</v>
      </c>
      <c r="BA2389" s="219">
        <v>0.35820000000000002</v>
      </c>
      <c r="BB2389" s="219">
        <v>0.29980000000000001</v>
      </c>
      <c r="BC2389" s="219">
        <v>0.25719999999999998</v>
      </c>
      <c r="BD2389" s="219">
        <v>0.1991</v>
      </c>
      <c r="BE2389" s="219">
        <v>9.8100000000000007E-2</v>
      </c>
      <c r="BF2389" s="219"/>
      <c r="BG2389" s="219"/>
      <c r="BH2389" s="219"/>
      <c r="BI2389" s="220">
        <f>AU2389/AI2388</f>
        <v>5.1034482758620694</v>
      </c>
      <c r="BJ2389" s="150" t="s">
        <v>68</v>
      </c>
      <c r="BK2389" s="150" t="s">
        <v>175</v>
      </c>
      <c r="BL2389" s="153"/>
      <c r="BM2389" s="153"/>
      <c r="BN2389" s="153"/>
      <c r="BO2389" s="153"/>
      <c r="BP2389" s="153"/>
      <c r="BQ2389" s="153"/>
      <c r="BR2389" s="153"/>
      <c r="BS2389" s="153"/>
      <c r="BT2389" s="153"/>
      <c r="BU2389" s="153"/>
      <c r="BV2389" s="153"/>
      <c r="BW2389" s="153"/>
      <c r="BX2389" s="153"/>
      <c r="BY2389" s="153"/>
      <c r="BZ2389" s="153"/>
      <c r="CA2389" s="152"/>
      <c r="CB2389" s="154" t="s">
        <v>597</v>
      </c>
    </row>
    <row r="2390" spans="1:80" s="87" customFormat="1" ht="15" x14ac:dyDescent="0.2">
      <c r="A2390" s="152"/>
      <c r="B2390" s="683"/>
      <c r="C2390" s="683"/>
      <c r="D2390" s="698"/>
      <c r="E2390" s="215"/>
      <c r="F2390" s="215"/>
      <c r="G2390" s="153"/>
      <c r="H2390" s="153"/>
      <c r="I2390" s="163">
        <v>12</v>
      </c>
      <c r="J2390" s="312">
        <v>240</v>
      </c>
      <c r="K2390" s="150">
        <v>1</v>
      </c>
      <c r="L2390" s="656">
        <v>48</v>
      </c>
      <c r="M2390" s="663">
        <v>32974</v>
      </c>
      <c r="N2390" s="600">
        <v>0.15855</v>
      </c>
      <c r="O2390" s="604">
        <v>1.03E-4</v>
      </c>
      <c r="P2390" s="150"/>
      <c r="Q2390" s="250"/>
      <c r="R2390" s="250"/>
      <c r="S2390" s="250"/>
      <c r="T2390" s="250"/>
      <c r="U2390" s="250">
        <v>1.9E-2</v>
      </c>
      <c r="V2390" s="250">
        <v>0.24600000000000002</v>
      </c>
      <c r="W2390" s="250">
        <v>0.51</v>
      </c>
      <c r="X2390" s="250">
        <v>0.21100000000000002</v>
      </c>
      <c r="Y2390" s="250">
        <v>1.3000000000000001E-2</v>
      </c>
      <c r="Z2390" s="150"/>
      <c r="AA2390" s="150">
        <v>0.73</v>
      </c>
      <c r="AB2390" s="152"/>
      <c r="AC2390" s="152"/>
      <c r="AD2390" s="223"/>
      <c r="AE2390" s="223"/>
      <c r="AF2390" s="223"/>
      <c r="AG2390" s="223"/>
      <c r="AH2390" s="340" t="s">
        <v>332</v>
      </c>
      <c r="AI2390" s="218"/>
      <c r="AJ2390" s="218"/>
      <c r="AK2390" s="153"/>
      <c r="AL2390" s="152"/>
      <c r="AM2390" s="152"/>
      <c r="AN2390" s="152"/>
      <c r="AO2390" s="152"/>
      <c r="AP2390" s="152"/>
      <c r="AQ2390" s="152"/>
      <c r="AR2390" s="152"/>
      <c r="AS2390" s="152"/>
      <c r="AT2390" s="152"/>
      <c r="AU2390" s="153"/>
      <c r="AV2390" s="479"/>
      <c r="AW2390" s="479"/>
      <c r="AX2390" s="442"/>
      <c r="AY2390" s="153"/>
      <c r="AZ2390" s="152"/>
      <c r="BA2390" s="152"/>
      <c r="BB2390" s="152"/>
      <c r="BC2390" s="152"/>
      <c r="BD2390" s="152"/>
      <c r="BE2390" s="152"/>
      <c r="BF2390" s="152"/>
      <c r="BG2390" s="152"/>
      <c r="BH2390" s="152"/>
      <c r="BI2390" s="153"/>
      <c r="BJ2390" s="153"/>
      <c r="BK2390" s="153"/>
      <c r="BL2390" s="153"/>
      <c r="BM2390" s="153"/>
      <c r="BN2390" s="153"/>
      <c r="BO2390" s="153"/>
      <c r="BP2390" s="153"/>
      <c r="BQ2390" s="153"/>
      <c r="BR2390" s="153"/>
      <c r="BS2390" s="153"/>
      <c r="BT2390" s="153"/>
      <c r="BU2390" s="153"/>
      <c r="BV2390" s="153"/>
      <c r="BW2390" s="153"/>
      <c r="BX2390" s="153"/>
      <c r="BY2390" s="153"/>
      <c r="BZ2390" s="153"/>
      <c r="CA2390" s="152"/>
      <c r="CB2390" s="486" t="s">
        <v>638</v>
      </c>
    </row>
    <row r="2391" spans="1:80" s="87" customFormat="1" ht="15" x14ac:dyDescent="0.2">
      <c r="A2391" s="152"/>
      <c r="B2391" s="683"/>
      <c r="C2391" s="683"/>
      <c r="D2391" s="698"/>
      <c r="E2391" s="215"/>
      <c r="F2391" s="215"/>
      <c r="G2391" s="153"/>
      <c r="H2391" s="153"/>
      <c r="I2391" s="163">
        <v>11</v>
      </c>
      <c r="J2391" s="312">
        <v>240</v>
      </c>
      <c r="K2391" s="150">
        <v>1</v>
      </c>
      <c r="L2391" s="656">
        <v>44</v>
      </c>
      <c r="M2391" s="663">
        <v>32976</v>
      </c>
      <c r="N2391" s="600">
        <v>0.17837</v>
      </c>
      <c r="O2391" s="604">
        <v>3.8400000000000001E-4</v>
      </c>
      <c r="P2391" s="150"/>
      <c r="Q2391" s="250"/>
      <c r="R2391" s="250"/>
      <c r="S2391" s="250"/>
      <c r="T2391" s="250"/>
      <c r="U2391" s="250">
        <v>2.3E-2</v>
      </c>
      <c r="V2391" s="250">
        <v>0.27</v>
      </c>
      <c r="W2391" s="250">
        <v>0.48399999999999999</v>
      </c>
      <c r="X2391" s="250">
        <v>0.21299999999999999</v>
      </c>
      <c r="Y2391" s="250">
        <v>9.0000000000000011E-3</v>
      </c>
      <c r="Z2391" s="150"/>
      <c r="AA2391" s="150">
        <v>0.74</v>
      </c>
      <c r="AB2391" s="152"/>
      <c r="AC2391" s="152"/>
      <c r="AD2391" s="223">
        <v>2.5907149999999999</v>
      </c>
      <c r="AE2391" s="223">
        <v>0.17211670600000001</v>
      </c>
      <c r="AF2391" s="223">
        <v>0.44589119999999999</v>
      </c>
      <c r="AG2391" s="223">
        <v>0.31558464600000002</v>
      </c>
      <c r="AH2391" s="340" t="s">
        <v>333</v>
      </c>
      <c r="AI2391" s="218"/>
      <c r="AJ2391" s="218"/>
      <c r="AK2391" s="153"/>
      <c r="AL2391" s="152"/>
      <c r="AM2391" s="152"/>
      <c r="AN2391" s="152"/>
      <c r="AO2391" s="152"/>
      <c r="AP2391" s="152"/>
      <c r="AQ2391" s="152"/>
      <c r="AR2391" s="152"/>
      <c r="AS2391" s="152"/>
      <c r="AT2391" s="152"/>
      <c r="AU2391" s="153"/>
      <c r="AV2391" s="479"/>
      <c r="AW2391" s="479"/>
      <c r="AX2391" s="442"/>
      <c r="AY2391" s="153"/>
      <c r="AZ2391" s="152"/>
      <c r="BA2391" s="152"/>
      <c r="BB2391" s="152"/>
      <c r="BC2391" s="152"/>
      <c r="BD2391" s="152"/>
      <c r="BE2391" s="152"/>
      <c r="BF2391" s="152"/>
      <c r="BG2391" s="152"/>
      <c r="BH2391" s="152"/>
      <c r="BI2391" s="153"/>
      <c r="BJ2391" s="153"/>
      <c r="BK2391" s="153"/>
      <c r="BL2391" s="153"/>
      <c r="BM2391" s="153"/>
      <c r="BN2391" s="153"/>
      <c r="BO2391" s="153"/>
      <c r="BP2391" s="153"/>
      <c r="BQ2391" s="153"/>
      <c r="BR2391" s="153"/>
      <c r="BS2391" s="153"/>
      <c r="BT2391" s="153"/>
      <c r="BU2391" s="153"/>
      <c r="BV2391" s="153"/>
      <c r="BW2391" s="153"/>
      <c r="BX2391" s="153"/>
      <c r="BY2391" s="153"/>
      <c r="BZ2391" s="153"/>
      <c r="CA2391" s="152"/>
      <c r="CB2391" s="486" t="s">
        <v>639</v>
      </c>
    </row>
    <row r="2392" spans="1:80" s="87" customFormat="1" ht="15" x14ac:dyDescent="0.2">
      <c r="A2392" s="152"/>
      <c r="B2392" s="683"/>
      <c r="C2392" s="683"/>
      <c r="D2392" s="698"/>
      <c r="E2392" s="215"/>
      <c r="F2392" s="215"/>
      <c r="G2392" s="153"/>
      <c r="H2392" s="153"/>
      <c r="I2392" s="163">
        <v>11</v>
      </c>
      <c r="J2392" s="312">
        <v>240</v>
      </c>
      <c r="K2392" s="150">
        <v>1</v>
      </c>
      <c r="L2392" s="656">
        <v>44</v>
      </c>
      <c r="M2392" s="663">
        <v>32979</v>
      </c>
      <c r="N2392" s="600">
        <v>0.28029999999999999</v>
      </c>
      <c r="O2392" s="604">
        <v>1.658E-3</v>
      </c>
      <c r="P2392" s="150"/>
      <c r="Q2392" s="250"/>
      <c r="R2392" s="250"/>
      <c r="S2392" s="250">
        <v>4.0000000000000001E-3</v>
      </c>
      <c r="T2392" s="250">
        <v>3.7000000000000005E-2</v>
      </c>
      <c r="U2392" s="250">
        <v>7.2999999999999995E-2</v>
      </c>
      <c r="V2392" s="250">
        <v>0.308</v>
      </c>
      <c r="W2392" s="250">
        <v>0.42299999999999999</v>
      </c>
      <c r="X2392" s="250">
        <v>0.151</v>
      </c>
      <c r="Y2392" s="250">
        <v>3.0000000000000001E-3</v>
      </c>
      <c r="Z2392" s="150"/>
      <c r="AA2392" s="150">
        <v>0.88</v>
      </c>
      <c r="AB2392" s="152"/>
      <c r="AC2392" s="152"/>
      <c r="AD2392" s="223"/>
      <c r="AE2392" s="223"/>
      <c r="AF2392" s="223"/>
      <c r="AG2392" s="223"/>
      <c r="AH2392" s="341"/>
      <c r="AI2392" s="218"/>
      <c r="AJ2392" s="218"/>
      <c r="AK2392" s="153"/>
      <c r="AL2392" s="152"/>
      <c r="AM2392" s="152"/>
      <c r="AN2392" s="152"/>
      <c r="AO2392" s="152"/>
      <c r="AP2392" s="152"/>
      <c r="AQ2392" s="152"/>
      <c r="AR2392" s="152"/>
      <c r="AS2392" s="152"/>
      <c r="AT2392" s="152"/>
      <c r="AU2392" s="153"/>
      <c r="AV2392" s="479"/>
      <c r="AW2392" s="479"/>
      <c r="AX2392" s="442"/>
      <c r="AY2392" s="153"/>
      <c r="AZ2392" s="152"/>
      <c r="BA2392" s="152"/>
      <c r="BB2392" s="152"/>
      <c r="BC2392" s="152"/>
      <c r="BD2392" s="152"/>
      <c r="BE2392" s="152"/>
      <c r="BF2392" s="152"/>
      <c r="BG2392" s="152"/>
      <c r="BH2392" s="152"/>
      <c r="BI2392" s="153"/>
      <c r="BJ2392" s="153"/>
      <c r="BK2392" s="153"/>
      <c r="BL2392" s="153"/>
      <c r="BM2392" s="153"/>
      <c r="BN2392" s="153"/>
      <c r="BO2392" s="153"/>
      <c r="BP2392" s="153"/>
      <c r="BQ2392" s="153"/>
      <c r="BR2392" s="153"/>
      <c r="BS2392" s="153"/>
      <c r="BT2392" s="153"/>
      <c r="BU2392" s="153"/>
      <c r="BV2392" s="153"/>
      <c r="BW2392" s="153"/>
      <c r="BX2392" s="153"/>
      <c r="BY2392" s="153"/>
      <c r="BZ2392" s="153"/>
      <c r="CA2392" s="152"/>
      <c r="CB2392" s="486" t="s">
        <v>640</v>
      </c>
    </row>
    <row r="2393" spans="1:80" s="87" customFormat="1" x14ac:dyDescent="0.2">
      <c r="A2393" s="152"/>
      <c r="B2393" s="683"/>
      <c r="C2393" s="683"/>
      <c r="D2393" s="698"/>
      <c r="E2393" s="215"/>
      <c r="F2393" s="215"/>
      <c r="G2393" s="153"/>
      <c r="H2393" s="153"/>
      <c r="I2393" s="163">
        <v>13</v>
      </c>
      <c r="J2393" s="312">
        <v>240</v>
      </c>
      <c r="K2393" s="150">
        <v>1</v>
      </c>
      <c r="L2393" s="656">
        <v>52</v>
      </c>
      <c r="M2393" s="663">
        <v>32982</v>
      </c>
      <c r="N2393" s="600">
        <v>0.33975</v>
      </c>
      <c r="O2393" s="604">
        <v>5.1999999999999995E-4</v>
      </c>
      <c r="P2393" s="150"/>
      <c r="Q2393" s="250"/>
      <c r="R2393" s="250"/>
      <c r="S2393" s="250">
        <v>4.0000000000000001E-3</v>
      </c>
      <c r="T2393" s="250">
        <v>4.2999999999999997E-2</v>
      </c>
      <c r="U2393" s="250">
        <v>8.3000000000000004E-2</v>
      </c>
      <c r="V2393" s="250">
        <v>0.20699999999999999</v>
      </c>
      <c r="W2393" s="250">
        <v>0.43700000000000006</v>
      </c>
      <c r="X2393" s="250">
        <v>0.22399999999999998</v>
      </c>
      <c r="Y2393" s="250">
        <v>2E-3</v>
      </c>
      <c r="Z2393" s="150"/>
      <c r="AA2393" s="150">
        <v>0.77</v>
      </c>
      <c r="AB2393" s="152"/>
      <c r="AC2393" s="152"/>
      <c r="AD2393" s="223"/>
      <c r="AE2393" s="223"/>
      <c r="AF2393" s="223"/>
      <c r="AG2393" s="223"/>
      <c r="AH2393" s="341"/>
      <c r="AI2393" s="218"/>
      <c r="AJ2393" s="218"/>
      <c r="AK2393" s="153"/>
      <c r="AL2393" s="152"/>
      <c r="AM2393" s="152"/>
      <c r="AN2393" s="152"/>
      <c r="AO2393" s="152"/>
      <c r="AP2393" s="152"/>
      <c r="AQ2393" s="152"/>
      <c r="AR2393" s="152"/>
      <c r="AS2393" s="152"/>
      <c r="AT2393" s="152"/>
      <c r="AU2393" s="153"/>
      <c r="AV2393" s="479"/>
      <c r="AW2393" s="479"/>
      <c r="AX2393" s="442"/>
      <c r="AY2393" s="153"/>
      <c r="AZ2393" s="152"/>
      <c r="BA2393" s="152"/>
      <c r="BB2393" s="152"/>
      <c r="BC2393" s="152"/>
      <c r="BD2393" s="152"/>
      <c r="BE2393" s="152"/>
      <c r="BF2393" s="152"/>
      <c r="BG2393" s="152"/>
      <c r="BH2393" s="152"/>
      <c r="BI2393" s="153"/>
      <c r="BJ2393" s="153"/>
      <c r="BK2393" s="153"/>
      <c r="BL2393" s="153"/>
      <c r="BM2393" s="153"/>
      <c r="BN2393" s="153"/>
      <c r="BO2393" s="153"/>
      <c r="BP2393" s="153"/>
      <c r="BQ2393" s="153"/>
      <c r="BR2393" s="153"/>
      <c r="BS2393" s="153"/>
      <c r="BT2393" s="153"/>
      <c r="BU2393" s="153"/>
      <c r="BV2393" s="153"/>
      <c r="BW2393" s="153"/>
      <c r="BX2393" s="153"/>
      <c r="BY2393" s="153"/>
      <c r="BZ2393" s="153"/>
      <c r="CA2393" s="152"/>
      <c r="CB2393" s="152"/>
    </row>
    <row r="2394" spans="1:80" s="87" customFormat="1" x14ac:dyDescent="0.2">
      <c r="A2394" s="152"/>
      <c r="B2394" s="683"/>
      <c r="C2394" s="683"/>
      <c r="D2394" s="698"/>
      <c r="E2394" s="215"/>
      <c r="F2394" s="215"/>
      <c r="G2394" s="153"/>
      <c r="H2394" s="153"/>
      <c r="I2394" s="163">
        <v>12</v>
      </c>
      <c r="J2394" s="312">
        <v>240</v>
      </c>
      <c r="K2394" s="150">
        <v>1</v>
      </c>
      <c r="L2394" s="656">
        <v>48</v>
      </c>
      <c r="M2394" s="663">
        <v>32983</v>
      </c>
      <c r="N2394" s="600">
        <v>0.31143999999999999</v>
      </c>
      <c r="O2394" s="604">
        <v>1.438E-3</v>
      </c>
      <c r="P2394" s="150"/>
      <c r="Q2394" s="250"/>
      <c r="R2394" s="250"/>
      <c r="S2394" s="250">
        <v>9.0000000000000011E-3</v>
      </c>
      <c r="T2394" s="250">
        <v>6.7000000000000004E-2</v>
      </c>
      <c r="U2394" s="250">
        <v>0.20199999999999999</v>
      </c>
      <c r="V2394" s="250">
        <v>0.28100000000000003</v>
      </c>
      <c r="W2394" s="250">
        <v>0.313</v>
      </c>
      <c r="X2394" s="250">
        <v>0.124</v>
      </c>
      <c r="Y2394" s="250">
        <v>4.0000000000000001E-3</v>
      </c>
      <c r="Z2394" s="150"/>
      <c r="AA2394" s="150">
        <v>1.1599999999999999</v>
      </c>
      <c r="AB2394" s="152"/>
      <c r="AC2394" s="152"/>
      <c r="AD2394" s="223"/>
      <c r="AE2394" s="223"/>
      <c r="AF2394" s="223"/>
      <c r="AG2394" s="223"/>
      <c r="AH2394" s="341"/>
      <c r="AI2394" s="218"/>
      <c r="AJ2394" s="218"/>
      <c r="AK2394" s="153"/>
      <c r="AL2394" s="152"/>
      <c r="AM2394" s="152"/>
      <c r="AN2394" s="152"/>
      <c r="AO2394" s="152"/>
      <c r="AP2394" s="152"/>
      <c r="AQ2394" s="152"/>
      <c r="AR2394" s="152"/>
      <c r="AS2394" s="152"/>
      <c r="AT2394" s="152"/>
      <c r="AU2394" s="153"/>
      <c r="AV2394" s="479"/>
      <c r="AW2394" s="479"/>
      <c r="AX2394" s="442"/>
      <c r="AY2394" s="153"/>
      <c r="AZ2394" s="152"/>
      <c r="BA2394" s="152"/>
      <c r="BB2394" s="152"/>
      <c r="BC2394" s="152"/>
      <c r="BD2394" s="152"/>
      <c r="BE2394" s="152"/>
      <c r="BF2394" s="152"/>
      <c r="BG2394" s="152"/>
      <c r="BH2394" s="152"/>
      <c r="BI2394" s="153"/>
      <c r="BJ2394" s="153"/>
      <c r="BK2394" s="153"/>
      <c r="BL2394" s="153"/>
      <c r="BM2394" s="153"/>
      <c r="BN2394" s="153"/>
      <c r="BO2394" s="153"/>
      <c r="BP2394" s="153"/>
      <c r="BQ2394" s="153"/>
      <c r="BR2394" s="153"/>
      <c r="BS2394" s="153"/>
      <c r="BT2394" s="153"/>
      <c r="BU2394" s="153"/>
      <c r="BV2394" s="153"/>
      <c r="BW2394" s="153"/>
      <c r="BX2394" s="153"/>
      <c r="BY2394" s="153"/>
      <c r="BZ2394" s="153"/>
      <c r="CA2394" s="152"/>
      <c r="CB2394" s="152"/>
    </row>
    <row r="2395" spans="1:80" s="87" customFormat="1" x14ac:dyDescent="0.2">
      <c r="A2395" s="152"/>
      <c r="B2395" s="683"/>
      <c r="C2395" s="683"/>
      <c r="D2395" s="698"/>
      <c r="E2395" s="215"/>
      <c r="F2395" s="215"/>
      <c r="G2395" s="153"/>
      <c r="H2395" s="153"/>
      <c r="I2395" s="163">
        <v>12</v>
      </c>
      <c r="J2395" s="312">
        <v>120</v>
      </c>
      <c r="K2395" s="150">
        <v>1</v>
      </c>
      <c r="L2395" s="656">
        <v>24</v>
      </c>
      <c r="M2395" s="663">
        <v>32986</v>
      </c>
      <c r="N2395" s="600">
        <v>0.53793999999999997</v>
      </c>
      <c r="O2395" s="604">
        <v>6.8640000000000003E-3</v>
      </c>
      <c r="P2395" s="150"/>
      <c r="Q2395" s="250"/>
      <c r="R2395" s="250"/>
      <c r="S2395" s="250"/>
      <c r="T2395" s="250">
        <v>7.2999999999999995E-2</v>
      </c>
      <c r="U2395" s="250">
        <v>0.23399999999999999</v>
      </c>
      <c r="V2395" s="250">
        <v>0.33600000000000002</v>
      </c>
      <c r="W2395" s="250">
        <v>0.25</v>
      </c>
      <c r="X2395" s="250">
        <v>0.105</v>
      </c>
      <c r="Y2395" s="250">
        <v>2E-3</v>
      </c>
      <c r="Z2395" s="150"/>
      <c r="AA2395" s="150">
        <v>1.34</v>
      </c>
      <c r="AB2395" s="152"/>
      <c r="AC2395" s="152"/>
      <c r="AD2395" s="223"/>
      <c r="AE2395" s="223"/>
      <c r="AF2395" s="223"/>
      <c r="AG2395" s="223"/>
      <c r="AH2395" s="341"/>
      <c r="AI2395" s="218"/>
      <c r="AJ2395" s="218"/>
      <c r="AK2395" s="153"/>
      <c r="AL2395" s="152"/>
      <c r="AM2395" s="152"/>
      <c r="AN2395" s="152"/>
      <c r="AO2395" s="152"/>
      <c r="AP2395" s="152"/>
      <c r="AQ2395" s="152"/>
      <c r="AR2395" s="152"/>
      <c r="AS2395" s="152"/>
      <c r="AT2395" s="152"/>
      <c r="AU2395" s="153"/>
      <c r="AV2395" s="479"/>
      <c r="AW2395" s="479"/>
      <c r="AX2395" s="442"/>
      <c r="AY2395" s="153"/>
      <c r="AZ2395" s="152"/>
      <c r="BA2395" s="152"/>
      <c r="BB2395" s="152"/>
      <c r="BC2395" s="152"/>
      <c r="BD2395" s="152"/>
      <c r="BE2395" s="152"/>
      <c r="BF2395" s="152"/>
      <c r="BG2395" s="152"/>
      <c r="BH2395" s="152"/>
      <c r="BI2395" s="153"/>
      <c r="BJ2395" s="153"/>
      <c r="BK2395" s="153"/>
      <c r="BL2395" s="153"/>
      <c r="BM2395" s="153"/>
      <c r="BN2395" s="153"/>
      <c r="BO2395" s="153"/>
      <c r="BP2395" s="153"/>
      <c r="BQ2395" s="153"/>
      <c r="BR2395" s="153"/>
      <c r="BS2395" s="153"/>
      <c r="BT2395" s="153"/>
      <c r="BU2395" s="153"/>
      <c r="BV2395" s="153"/>
      <c r="BW2395" s="153"/>
      <c r="BX2395" s="153"/>
      <c r="BY2395" s="153"/>
      <c r="BZ2395" s="153"/>
      <c r="CA2395" s="152"/>
      <c r="CB2395" s="152"/>
    </row>
    <row r="2396" spans="1:80" s="87" customFormat="1" x14ac:dyDescent="0.2">
      <c r="A2396" s="152"/>
      <c r="B2396" s="683"/>
      <c r="C2396" s="683"/>
      <c r="D2396" s="698"/>
      <c r="E2396" s="215"/>
      <c r="F2396" s="215"/>
      <c r="G2396" s="153"/>
      <c r="H2396" s="153"/>
      <c r="I2396" s="163">
        <v>12</v>
      </c>
      <c r="J2396" s="312">
        <v>120</v>
      </c>
      <c r="K2396" s="150">
        <v>1</v>
      </c>
      <c r="L2396" s="656">
        <v>24</v>
      </c>
      <c r="M2396" s="663">
        <v>32987</v>
      </c>
      <c r="N2396" s="600">
        <v>0.53793999999999997</v>
      </c>
      <c r="O2396" s="604">
        <v>5.2690000000000002E-3</v>
      </c>
      <c r="P2396" s="150"/>
      <c r="Q2396" s="250"/>
      <c r="R2396" s="250"/>
      <c r="S2396" s="250"/>
      <c r="T2396" s="250">
        <v>3.2000000000000001E-2</v>
      </c>
      <c r="U2396" s="250">
        <v>9.5000000000000001E-2</v>
      </c>
      <c r="V2396" s="250">
        <v>0.20100000000000001</v>
      </c>
      <c r="W2396" s="250">
        <v>0.42299999999999999</v>
      </c>
      <c r="X2396" s="250">
        <v>0.24100000000000002</v>
      </c>
      <c r="Y2396" s="250">
        <v>8.0000000000000002E-3</v>
      </c>
      <c r="Z2396" s="150"/>
      <c r="AA2396" s="150">
        <v>0.75</v>
      </c>
      <c r="AB2396" s="152"/>
      <c r="AC2396" s="152"/>
      <c r="AD2396" s="223"/>
      <c r="AE2396" s="223"/>
      <c r="AF2396" s="223"/>
      <c r="AG2396" s="223"/>
      <c r="AH2396" s="341"/>
      <c r="AI2396" s="218"/>
      <c r="AJ2396" s="218"/>
      <c r="AK2396" s="153"/>
      <c r="AL2396" s="152"/>
      <c r="AM2396" s="152"/>
      <c r="AN2396" s="152"/>
      <c r="AO2396" s="152"/>
      <c r="AP2396" s="152"/>
      <c r="AQ2396" s="152"/>
      <c r="AR2396" s="152"/>
      <c r="AS2396" s="152"/>
      <c r="AT2396" s="152"/>
      <c r="AU2396" s="153"/>
      <c r="AV2396" s="479"/>
      <c r="AW2396" s="479"/>
      <c r="AX2396" s="442"/>
      <c r="AY2396" s="153"/>
      <c r="AZ2396" s="152"/>
      <c r="BA2396" s="152"/>
      <c r="BB2396" s="152"/>
      <c r="BC2396" s="152"/>
      <c r="BD2396" s="152"/>
      <c r="BE2396" s="152"/>
      <c r="BF2396" s="152"/>
      <c r="BG2396" s="152"/>
      <c r="BH2396" s="152"/>
      <c r="BI2396" s="153"/>
      <c r="BJ2396" s="153"/>
      <c r="BK2396" s="153"/>
      <c r="BL2396" s="153"/>
      <c r="BM2396" s="153"/>
      <c r="BN2396" s="153"/>
      <c r="BO2396" s="153"/>
      <c r="BP2396" s="153"/>
      <c r="BQ2396" s="153"/>
      <c r="BR2396" s="153"/>
      <c r="BS2396" s="153"/>
      <c r="BT2396" s="153"/>
      <c r="BU2396" s="153"/>
      <c r="BV2396" s="153"/>
      <c r="BW2396" s="153"/>
      <c r="BX2396" s="153"/>
      <c r="BY2396" s="153"/>
      <c r="BZ2396" s="153"/>
      <c r="CA2396" s="152"/>
      <c r="CB2396" s="152"/>
    </row>
    <row r="2397" spans="1:80" s="87" customFormat="1" x14ac:dyDescent="0.2">
      <c r="A2397" s="152"/>
      <c r="B2397" s="683"/>
      <c r="C2397" s="683"/>
      <c r="D2397" s="698"/>
      <c r="E2397" s="215"/>
      <c r="F2397" s="215"/>
      <c r="G2397" s="153"/>
      <c r="H2397" s="153"/>
      <c r="I2397" s="163">
        <v>10</v>
      </c>
      <c r="J2397" s="312">
        <v>240</v>
      </c>
      <c r="K2397" s="150">
        <v>1</v>
      </c>
      <c r="L2397" s="656">
        <v>40</v>
      </c>
      <c r="M2397" s="663">
        <v>32989</v>
      </c>
      <c r="N2397" s="600">
        <v>0.39638000000000001</v>
      </c>
      <c r="O2397" s="604">
        <v>7.5040000000000003E-3</v>
      </c>
      <c r="P2397" s="150"/>
      <c r="Q2397" s="250"/>
      <c r="R2397" s="250"/>
      <c r="S2397" s="250">
        <v>0.08</v>
      </c>
      <c r="T2397" s="250">
        <v>0.10300000000000001</v>
      </c>
      <c r="U2397" s="250">
        <v>0.19600000000000001</v>
      </c>
      <c r="V2397" s="250">
        <v>0.24199999999999999</v>
      </c>
      <c r="W2397" s="250">
        <v>0.24399999999999999</v>
      </c>
      <c r="X2397" s="250">
        <v>0.129</v>
      </c>
      <c r="Y2397" s="250">
        <v>5.0000000000000001E-3</v>
      </c>
      <c r="Z2397" s="150"/>
      <c r="AA2397" s="150">
        <v>1.41</v>
      </c>
      <c r="AB2397" s="152"/>
      <c r="AC2397" s="152"/>
      <c r="AD2397" s="223"/>
      <c r="AE2397" s="223"/>
      <c r="AF2397" s="223"/>
      <c r="AG2397" s="223"/>
      <c r="AH2397" s="341"/>
      <c r="AI2397" s="218"/>
      <c r="AJ2397" s="218"/>
      <c r="AK2397" s="153"/>
      <c r="AL2397" s="152"/>
      <c r="AM2397" s="152"/>
      <c r="AN2397" s="152"/>
      <c r="AO2397" s="152"/>
      <c r="AP2397" s="152"/>
      <c r="AQ2397" s="152"/>
      <c r="AR2397" s="152"/>
      <c r="AS2397" s="152"/>
      <c r="AT2397" s="152"/>
      <c r="AU2397" s="153"/>
      <c r="AV2397" s="479"/>
      <c r="AW2397" s="479"/>
      <c r="AX2397" s="442"/>
      <c r="AY2397" s="153"/>
      <c r="AZ2397" s="152"/>
      <c r="BA2397" s="152"/>
      <c r="BB2397" s="152"/>
      <c r="BC2397" s="152"/>
      <c r="BD2397" s="152"/>
      <c r="BE2397" s="152"/>
      <c r="BF2397" s="152"/>
      <c r="BG2397" s="152"/>
      <c r="BH2397" s="152"/>
      <c r="BI2397" s="153"/>
      <c r="BJ2397" s="153"/>
      <c r="BK2397" s="153"/>
      <c r="BL2397" s="153"/>
      <c r="BM2397" s="153"/>
      <c r="BN2397" s="153"/>
      <c r="BO2397" s="153"/>
      <c r="BP2397" s="153"/>
      <c r="BQ2397" s="153"/>
      <c r="BR2397" s="153"/>
      <c r="BS2397" s="153"/>
      <c r="BT2397" s="153"/>
      <c r="BU2397" s="153"/>
      <c r="BV2397" s="153"/>
      <c r="BW2397" s="153"/>
      <c r="BX2397" s="153"/>
      <c r="BY2397" s="153"/>
      <c r="BZ2397" s="153"/>
      <c r="CA2397" s="152"/>
      <c r="CB2397" s="152"/>
    </row>
    <row r="2398" spans="1:80" s="87" customFormat="1" x14ac:dyDescent="0.2">
      <c r="A2398" s="152"/>
      <c r="B2398" s="683"/>
      <c r="C2398" s="683"/>
      <c r="D2398" s="698"/>
      <c r="E2398" s="215"/>
      <c r="F2398" s="215"/>
      <c r="G2398" s="153"/>
      <c r="H2398" s="153"/>
      <c r="I2398" s="163">
        <v>10</v>
      </c>
      <c r="J2398" s="312">
        <v>240</v>
      </c>
      <c r="K2398" s="150">
        <v>1</v>
      </c>
      <c r="L2398" s="656">
        <v>40</v>
      </c>
      <c r="M2398" s="663">
        <v>32990</v>
      </c>
      <c r="N2398" s="600">
        <v>0.28312999999999999</v>
      </c>
      <c r="O2398" s="604">
        <v>6.4859999999999996E-3</v>
      </c>
      <c r="P2398" s="150"/>
      <c r="Q2398" s="250"/>
      <c r="R2398" s="250"/>
      <c r="S2398" s="250">
        <v>3.3000000000000002E-2</v>
      </c>
      <c r="T2398" s="250">
        <v>0.10300000000000001</v>
      </c>
      <c r="U2398" s="250">
        <v>0.28699999999999998</v>
      </c>
      <c r="V2398" s="250">
        <v>0.25800000000000001</v>
      </c>
      <c r="W2398" s="250">
        <v>0.20199999999999999</v>
      </c>
      <c r="X2398" s="250">
        <v>0.111</v>
      </c>
      <c r="Y2398" s="250">
        <v>6.0000000000000001E-3</v>
      </c>
      <c r="Z2398" s="150"/>
      <c r="AA2398" s="150">
        <v>1.63</v>
      </c>
      <c r="AB2398" s="152"/>
      <c r="AC2398" s="152"/>
      <c r="AD2398" s="223"/>
      <c r="AE2398" s="223"/>
      <c r="AF2398" s="223"/>
      <c r="AG2398" s="223"/>
      <c r="AH2398" s="341"/>
      <c r="AI2398" s="218"/>
      <c r="AJ2398" s="218"/>
      <c r="AK2398" s="153"/>
      <c r="AL2398" s="152"/>
      <c r="AM2398" s="152"/>
      <c r="AN2398" s="152"/>
      <c r="AO2398" s="152"/>
      <c r="AP2398" s="152"/>
      <c r="AQ2398" s="152"/>
      <c r="AR2398" s="152"/>
      <c r="AS2398" s="152"/>
      <c r="AT2398" s="152"/>
      <c r="AU2398" s="153"/>
      <c r="AV2398" s="479"/>
      <c r="AW2398" s="479"/>
      <c r="AX2398" s="442"/>
      <c r="AY2398" s="153"/>
      <c r="AZ2398" s="152"/>
      <c r="BA2398" s="152"/>
      <c r="BB2398" s="152"/>
      <c r="BC2398" s="152"/>
      <c r="BD2398" s="152"/>
      <c r="BE2398" s="152"/>
      <c r="BF2398" s="152"/>
      <c r="BG2398" s="152"/>
      <c r="BH2398" s="152"/>
      <c r="BI2398" s="153"/>
      <c r="BJ2398" s="153"/>
      <c r="BK2398" s="153"/>
      <c r="BL2398" s="153"/>
      <c r="BM2398" s="153"/>
      <c r="BN2398" s="153"/>
      <c r="BO2398" s="153"/>
      <c r="BP2398" s="153"/>
      <c r="BQ2398" s="153"/>
      <c r="BR2398" s="153"/>
      <c r="BS2398" s="153"/>
      <c r="BT2398" s="153"/>
      <c r="BU2398" s="153"/>
      <c r="BV2398" s="153"/>
      <c r="BW2398" s="153"/>
      <c r="BX2398" s="153"/>
      <c r="BY2398" s="153"/>
      <c r="BZ2398" s="153"/>
      <c r="CA2398" s="152"/>
      <c r="CB2398" s="152"/>
    </row>
    <row r="2399" spans="1:80" s="87" customFormat="1" x14ac:dyDescent="0.2">
      <c r="A2399" s="152"/>
      <c r="B2399" s="683"/>
      <c r="C2399" s="683"/>
      <c r="D2399" s="698"/>
      <c r="E2399" s="215"/>
      <c r="F2399" s="215"/>
      <c r="G2399" s="153"/>
      <c r="H2399" s="153"/>
      <c r="I2399" s="163">
        <v>11</v>
      </c>
      <c r="J2399" s="312">
        <v>300</v>
      </c>
      <c r="K2399" s="150">
        <v>1</v>
      </c>
      <c r="L2399" s="656">
        <v>55</v>
      </c>
      <c r="M2399" s="663">
        <v>32995</v>
      </c>
      <c r="N2399" s="600">
        <v>0.24349000000000001</v>
      </c>
      <c r="O2399" s="604">
        <v>1.4059999999999999E-3</v>
      </c>
      <c r="P2399" s="150"/>
      <c r="Q2399" s="250"/>
      <c r="R2399" s="250"/>
      <c r="S2399" s="250"/>
      <c r="T2399" s="250">
        <v>1.2E-2</v>
      </c>
      <c r="U2399" s="250">
        <v>6.7000000000000004E-2</v>
      </c>
      <c r="V2399" s="250">
        <v>0.27699999999999997</v>
      </c>
      <c r="W2399" s="250">
        <v>0.48599999999999999</v>
      </c>
      <c r="X2399" s="250">
        <v>0.154</v>
      </c>
      <c r="Y2399" s="250">
        <v>4.0000000000000001E-3</v>
      </c>
      <c r="Z2399" s="150"/>
      <c r="AA2399" s="150">
        <v>0.81</v>
      </c>
      <c r="AB2399" s="152"/>
      <c r="AC2399" s="152"/>
      <c r="AD2399" s="223"/>
      <c r="AE2399" s="223"/>
      <c r="AF2399" s="223"/>
      <c r="AG2399" s="223"/>
      <c r="AH2399" s="341"/>
      <c r="AI2399" s="218"/>
      <c r="AJ2399" s="218"/>
      <c r="AK2399" s="153"/>
      <c r="AL2399" s="152"/>
      <c r="AM2399" s="152"/>
      <c r="AN2399" s="152"/>
      <c r="AO2399" s="152"/>
      <c r="AP2399" s="152"/>
      <c r="AQ2399" s="152"/>
      <c r="AR2399" s="152"/>
      <c r="AS2399" s="152"/>
      <c r="AT2399" s="152"/>
      <c r="AU2399" s="153"/>
      <c r="AV2399" s="479"/>
      <c r="AW2399" s="479"/>
      <c r="AX2399" s="442"/>
      <c r="AY2399" s="153"/>
      <c r="AZ2399" s="152"/>
      <c r="BA2399" s="152"/>
      <c r="BB2399" s="152"/>
      <c r="BC2399" s="152"/>
      <c r="BD2399" s="152"/>
      <c r="BE2399" s="152"/>
      <c r="BF2399" s="152"/>
      <c r="BG2399" s="152"/>
      <c r="BH2399" s="152"/>
      <c r="BI2399" s="153"/>
      <c r="BJ2399" s="153"/>
      <c r="BK2399" s="153"/>
      <c r="BL2399" s="153"/>
      <c r="BM2399" s="153"/>
      <c r="BN2399" s="153"/>
      <c r="BO2399" s="153"/>
      <c r="BP2399" s="153"/>
      <c r="BQ2399" s="153"/>
      <c r="BR2399" s="153"/>
      <c r="BS2399" s="153"/>
      <c r="BT2399" s="153"/>
      <c r="BU2399" s="153"/>
      <c r="BV2399" s="153"/>
      <c r="BW2399" s="153"/>
      <c r="BX2399" s="153"/>
      <c r="BY2399" s="153"/>
      <c r="BZ2399" s="153"/>
      <c r="CA2399" s="152"/>
      <c r="CB2399" s="152"/>
    </row>
    <row r="2400" spans="1:80" s="87" customFormat="1" x14ac:dyDescent="0.2">
      <c r="A2400" s="152"/>
      <c r="B2400" s="683"/>
      <c r="C2400" s="683"/>
      <c r="D2400" s="698"/>
      <c r="E2400" s="215"/>
      <c r="F2400" s="215"/>
      <c r="G2400" s="153"/>
      <c r="H2400" s="153"/>
      <c r="I2400" s="163">
        <v>13</v>
      </c>
      <c r="J2400" s="312">
        <v>300</v>
      </c>
      <c r="K2400" s="150">
        <v>1</v>
      </c>
      <c r="L2400" s="656">
        <v>65</v>
      </c>
      <c r="M2400" s="663">
        <v>32995</v>
      </c>
      <c r="N2400" s="600">
        <v>0.22933000000000001</v>
      </c>
      <c r="O2400" s="604">
        <v>8.7299999999999997E-4</v>
      </c>
      <c r="P2400" s="150"/>
      <c r="Q2400" s="250"/>
      <c r="R2400" s="250"/>
      <c r="S2400" s="250"/>
      <c r="T2400" s="250">
        <v>1.8000000000000002E-2</v>
      </c>
      <c r="U2400" s="250">
        <v>0.17100000000000001</v>
      </c>
      <c r="V2400" s="250">
        <v>0.34600000000000003</v>
      </c>
      <c r="W2400" s="250">
        <v>0.32400000000000001</v>
      </c>
      <c r="X2400" s="250">
        <v>0.13699999999999998</v>
      </c>
      <c r="Y2400" s="250">
        <v>4.0000000000000001E-3</v>
      </c>
      <c r="Z2400" s="150"/>
      <c r="AA2400" s="150">
        <v>1.07</v>
      </c>
      <c r="AB2400" s="152"/>
      <c r="AC2400" s="152"/>
      <c r="AD2400" s="223"/>
      <c r="AE2400" s="223"/>
      <c r="AF2400" s="223"/>
      <c r="AG2400" s="223"/>
      <c r="AH2400" s="341"/>
      <c r="AI2400" s="218"/>
      <c r="AJ2400" s="218"/>
      <c r="AK2400" s="153"/>
      <c r="AL2400" s="152"/>
      <c r="AM2400" s="152"/>
      <c r="AN2400" s="152"/>
      <c r="AO2400" s="152"/>
      <c r="AP2400" s="152"/>
      <c r="AQ2400" s="152"/>
      <c r="AR2400" s="152"/>
      <c r="AS2400" s="152"/>
      <c r="AT2400" s="152"/>
      <c r="AU2400" s="153"/>
      <c r="AV2400" s="479"/>
      <c r="AW2400" s="479"/>
      <c r="AX2400" s="442"/>
      <c r="AY2400" s="153"/>
      <c r="AZ2400" s="152"/>
      <c r="BA2400" s="152"/>
      <c r="BB2400" s="152"/>
      <c r="BC2400" s="152"/>
      <c r="BD2400" s="152"/>
      <c r="BE2400" s="152"/>
      <c r="BF2400" s="152"/>
      <c r="BG2400" s="152"/>
      <c r="BH2400" s="152"/>
      <c r="BI2400" s="153"/>
      <c r="BJ2400" s="153"/>
      <c r="BK2400" s="153"/>
      <c r="BL2400" s="153"/>
      <c r="BM2400" s="153"/>
      <c r="BN2400" s="153"/>
      <c r="BO2400" s="153"/>
      <c r="BP2400" s="153"/>
      <c r="BQ2400" s="153"/>
      <c r="BR2400" s="153"/>
      <c r="BS2400" s="153"/>
      <c r="BT2400" s="153"/>
      <c r="BU2400" s="153"/>
      <c r="BV2400" s="153"/>
      <c r="BW2400" s="153"/>
      <c r="BX2400" s="153"/>
      <c r="BY2400" s="153"/>
      <c r="BZ2400" s="153"/>
      <c r="CA2400" s="152"/>
      <c r="CB2400" s="152"/>
    </row>
    <row r="2401" spans="1:80" s="87" customFormat="1" x14ac:dyDescent="0.2">
      <c r="A2401" s="152"/>
      <c r="B2401" s="683"/>
      <c r="C2401" s="683"/>
      <c r="D2401" s="698"/>
      <c r="E2401" s="215"/>
      <c r="F2401" s="215"/>
      <c r="G2401" s="153"/>
      <c r="H2401" s="153"/>
      <c r="I2401" s="163">
        <v>10</v>
      </c>
      <c r="J2401" s="312">
        <v>360</v>
      </c>
      <c r="K2401" s="150">
        <v>1</v>
      </c>
      <c r="L2401" s="656">
        <v>60</v>
      </c>
      <c r="M2401" s="663">
        <v>32997</v>
      </c>
      <c r="N2401" s="600">
        <v>0.23499999999999999</v>
      </c>
      <c r="O2401" s="604">
        <v>9.3499999999999996E-4</v>
      </c>
      <c r="P2401" s="150"/>
      <c r="Q2401" s="250"/>
      <c r="R2401" s="250"/>
      <c r="S2401" s="250"/>
      <c r="T2401" s="250">
        <v>4.8000000000000001E-2</v>
      </c>
      <c r="U2401" s="250">
        <v>0.22899999999999998</v>
      </c>
      <c r="V2401" s="250">
        <v>0.34299999999999997</v>
      </c>
      <c r="W2401" s="250">
        <v>0.28899999999999998</v>
      </c>
      <c r="X2401" s="250">
        <v>8.8000000000000009E-2</v>
      </c>
      <c r="Y2401" s="250">
        <v>3.0000000000000001E-3</v>
      </c>
      <c r="Z2401" s="150"/>
      <c r="AA2401" s="150">
        <v>1.27</v>
      </c>
      <c r="AB2401" s="152"/>
      <c r="AC2401" s="152"/>
      <c r="AD2401" s="223"/>
      <c r="AE2401" s="223"/>
      <c r="AF2401" s="223"/>
      <c r="AG2401" s="223"/>
      <c r="AH2401" s="341"/>
      <c r="AI2401" s="218"/>
      <c r="AJ2401" s="218"/>
      <c r="AK2401" s="153"/>
      <c r="AL2401" s="152"/>
      <c r="AM2401" s="152"/>
      <c r="AN2401" s="152"/>
      <c r="AO2401" s="152"/>
      <c r="AP2401" s="152"/>
      <c r="AQ2401" s="152"/>
      <c r="AR2401" s="152"/>
      <c r="AS2401" s="152"/>
      <c r="AT2401" s="152"/>
      <c r="AU2401" s="153"/>
      <c r="AV2401" s="479"/>
      <c r="AW2401" s="479"/>
      <c r="AX2401" s="442"/>
      <c r="AY2401" s="153"/>
      <c r="AZ2401" s="152"/>
      <c r="BA2401" s="152"/>
      <c r="BB2401" s="152"/>
      <c r="BC2401" s="152"/>
      <c r="BD2401" s="152"/>
      <c r="BE2401" s="152"/>
      <c r="BF2401" s="152"/>
      <c r="BG2401" s="152"/>
      <c r="BH2401" s="152"/>
      <c r="BI2401" s="153"/>
      <c r="BJ2401" s="153"/>
      <c r="BK2401" s="153"/>
      <c r="BL2401" s="153"/>
      <c r="BM2401" s="153"/>
      <c r="BN2401" s="153"/>
      <c r="BO2401" s="153"/>
      <c r="BP2401" s="153"/>
      <c r="BQ2401" s="153"/>
      <c r="BR2401" s="153"/>
      <c r="BS2401" s="153"/>
      <c r="BT2401" s="153"/>
      <c r="BU2401" s="153"/>
      <c r="BV2401" s="153"/>
      <c r="BW2401" s="153"/>
      <c r="BX2401" s="153"/>
      <c r="BY2401" s="153"/>
      <c r="BZ2401" s="153"/>
      <c r="CA2401" s="152"/>
      <c r="CB2401" s="152"/>
    </row>
    <row r="2402" spans="1:80" s="87" customFormat="1" x14ac:dyDescent="0.2">
      <c r="A2402" s="152"/>
      <c r="B2402" s="683"/>
      <c r="C2402" s="683"/>
      <c r="D2402" s="698"/>
      <c r="E2402" s="215"/>
      <c r="F2402" s="215"/>
      <c r="G2402" s="153"/>
      <c r="H2402" s="153"/>
      <c r="I2402" s="163">
        <v>10</v>
      </c>
      <c r="J2402" s="312">
        <v>300</v>
      </c>
      <c r="K2402" s="150">
        <v>1</v>
      </c>
      <c r="L2402" s="656">
        <v>50</v>
      </c>
      <c r="M2402" s="663">
        <v>33000</v>
      </c>
      <c r="N2402" s="600">
        <v>0.33975</v>
      </c>
      <c r="O2402" s="604">
        <v>6.1200000000000002E-4</v>
      </c>
      <c r="P2402" s="150"/>
      <c r="Q2402" s="250"/>
      <c r="R2402" s="250"/>
      <c r="S2402" s="250">
        <v>2.4E-2</v>
      </c>
      <c r="T2402" s="250">
        <v>7.4999999999999997E-2</v>
      </c>
      <c r="U2402" s="250">
        <v>0.13400000000000001</v>
      </c>
      <c r="V2402" s="250">
        <v>0.19</v>
      </c>
      <c r="W2402" s="250">
        <v>0.32299999999999995</v>
      </c>
      <c r="X2402" s="250">
        <v>0.25</v>
      </c>
      <c r="Y2402" s="250">
        <v>4.0000000000000001E-3</v>
      </c>
      <c r="Z2402" s="150"/>
      <c r="AA2402" s="150">
        <v>0.85</v>
      </c>
      <c r="AB2402" s="152"/>
      <c r="AC2402" s="152"/>
      <c r="AD2402" s="223"/>
      <c r="AE2402" s="223"/>
      <c r="AF2402" s="223"/>
      <c r="AG2402" s="223"/>
      <c r="AH2402" s="341"/>
      <c r="AI2402" s="218"/>
      <c r="AJ2402" s="218"/>
      <c r="AK2402" s="153"/>
      <c r="AL2402" s="152"/>
      <c r="AM2402" s="152"/>
      <c r="AN2402" s="152"/>
      <c r="AO2402" s="152"/>
      <c r="AP2402" s="152"/>
      <c r="AQ2402" s="152"/>
      <c r="AR2402" s="152"/>
      <c r="AS2402" s="152"/>
      <c r="AT2402" s="152"/>
      <c r="AU2402" s="153"/>
      <c r="AV2402" s="479"/>
      <c r="AW2402" s="479"/>
      <c r="AX2402" s="442"/>
      <c r="AY2402" s="153"/>
      <c r="AZ2402" s="152"/>
      <c r="BA2402" s="152"/>
      <c r="BB2402" s="152"/>
      <c r="BC2402" s="152"/>
      <c r="BD2402" s="152"/>
      <c r="BE2402" s="152"/>
      <c r="BF2402" s="152"/>
      <c r="BG2402" s="152"/>
      <c r="BH2402" s="152"/>
      <c r="BI2402" s="153"/>
      <c r="BJ2402" s="153"/>
      <c r="BK2402" s="153"/>
      <c r="BL2402" s="153"/>
      <c r="BM2402" s="153"/>
      <c r="BN2402" s="153"/>
      <c r="BO2402" s="153"/>
      <c r="BP2402" s="153"/>
      <c r="BQ2402" s="153"/>
      <c r="BR2402" s="153"/>
      <c r="BS2402" s="153"/>
      <c r="BT2402" s="153"/>
      <c r="BU2402" s="153"/>
      <c r="BV2402" s="153"/>
      <c r="BW2402" s="153"/>
      <c r="BX2402" s="153"/>
      <c r="BY2402" s="153"/>
      <c r="BZ2402" s="153"/>
      <c r="CA2402" s="152"/>
      <c r="CB2402" s="152"/>
    </row>
    <row r="2403" spans="1:80" s="87" customFormat="1" x14ac:dyDescent="0.2">
      <c r="A2403" s="152"/>
      <c r="B2403" s="683"/>
      <c r="C2403" s="683"/>
      <c r="D2403" s="698"/>
      <c r="E2403" s="215"/>
      <c r="F2403" s="215"/>
      <c r="G2403" s="153"/>
      <c r="H2403" s="153"/>
      <c r="I2403" s="163">
        <v>10</v>
      </c>
      <c r="J2403" s="312">
        <v>360</v>
      </c>
      <c r="K2403" s="150">
        <v>1</v>
      </c>
      <c r="L2403" s="656">
        <v>60</v>
      </c>
      <c r="M2403" s="663">
        <v>33008</v>
      </c>
      <c r="N2403" s="600">
        <v>0.26613999999999999</v>
      </c>
      <c r="O2403" s="604">
        <v>3.2499999999999999E-4</v>
      </c>
      <c r="P2403" s="150"/>
      <c r="Q2403" s="250"/>
      <c r="R2403" s="250"/>
      <c r="S2403" s="250"/>
      <c r="T2403" s="250">
        <v>1.2E-2</v>
      </c>
      <c r="U2403" s="250">
        <v>6.8000000000000005E-2</v>
      </c>
      <c r="V2403" s="250">
        <v>0.35700000000000004</v>
      </c>
      <c r="W2403" s="250">
        <v>0.41299999999999998</v>
      </c>
      <c r="X2403" s="250">
        <v>0.14499999999999999</v>
      </c>
      <c r="Y2403" s="250">
        <v>4.0000000000000001E-3</v>
      </c>
      <c r="Z2403" s="150"/>
      <c r="AA2403" s="150">
        <v>0.9</v>
      </c>
      <c r="AB2403" s="152"/>
      <c r="AC2403" s="152"/>
      <c r="AD2403" s="223"/>
      <c r="AE2403" s="223"/>
      <c r="AF2403" s="223"/>
      <c r="AG2403" s="223"/>
      <c r="AH2403" s="341"/>
      <c r="AI2403" s="218"/>
      <c r="AJ2403" s="218"/>
      <c r="AK2403" s="153"/>
      <c r="AL2403" s="152"/>
      <c r="AM2403" s="152"/>
      <c r="AN2403" s="152"/>
      <c r="AO2403" s="152"/>
      <c r="AP2403" s="152"/>
      <c r="AQ2403" s="152"/>
      <c r="AR2403" s="152"/>
      <c r="AS2403" s="152"/>
      <c r="AT2403" s="152"/>
      <c r="AU2403" s="153"/>
      <c r="AV2403" s="479"/>
      <c r="AW2403" s="479"/>
      <c r="AX2403" s="442"/>
      <c r="AY2403" s="153"/>
      <c r="AZ2403" s="152"/>
      <c r="BA2403" s="152"/>
      <c r="BB2403" s="152"/>
      <c r="BC2403" s="152"/>
      <c r="BD2403" s="152"/>
      <c r="BE2403" s="152"/>
      <c r="BF2403" s="152"/>
      <c r="BG2403" s="152"/>
      <c r="BH2403" s="152"/>
      <c r="BI2403" s="153"/>
      <c r="BJ2403" s="153"/>
      <c r="BK2403" s="153"/>
      <c r="BL2403" s="153"/>
      <c r="BM2403" s="153"/>
      <c r="BN2403" s="153"/>
      <c r="BO2403" s="153"/>
      <c r="BP2403" s="153"/>
      <c r="BQ2403" s="153"/>
      <c r="BR2403" s="153"/>
      <c r="BS2403" s="153"/>
      <c r="BT2403" s="153"/>
      <c r="BU2403" s="153"/>
      <c r="BV2403" s="153"/>
      <c r="BW2403" s="153"/>
      <c r="BX2403" s="153"/>
      <c r="BY2403" s="153"/>
      <c r="BZ2403" s="153"/>
      <c r="CA2403" s="152"/>
      <c r="CB2403" s="152"/>
    </row>
    <row r="2404" spans="1:80" s="87" customFormat="1" x14ac:dyDescent="0.2">
      <c r="A2404" s="152"/>
      <c r="B2404" s="683"/>
      <c r="C2404" s="683"/>
      <c r="D2404" s="698"/>
      <c r="E2404" s="215"/>
      <c r="F2404" s="215"/>
      <c r="G2404" s="153"/>
      <c r="H2404" s="153"/>
      <c r="I2404" s="163">
        <v>10</v>
      </c>
      <c r="J2404" s="312">
        <v>360</v>
      </c>
      <c r="K2404" s="150">
        <v>1</v>
      </c>
      <c r="L2404" s="656">
        <v>60</v>
      </c>
      <c r="M2404" s="663">
        <v>33015</v>
      </c>
      <c r="N2404" s="600">
        <v>0.26613999999999999</v>
      </c>
      <c r="O2404" s="604">
        <v>4.15E-4</v>
      </c>
      <c r="P2404" s="150"/>
      <c r="Q2404" s="250"/>
      <c r="R2404" s="250"/>
      <c r="S2404" s="250"/>
      <c r="T2404" s="250">
        <v>5.0000000000000001E-3</v>
      </c>
      <c r="U2404" s="250">
        <v>3.3000000000000002E-2</v>
      </c>
      <c r="V2404" s="250">
        <v>0.27100000000000002</v>
      </c>
      <c r="W2404" s="250">
        <v>0.5</v>
      </c>
      <c r="X2404" s="250">
        <v>0.18899999999999997</v>
      </c>
      <c r="Y2404" s="250">
        <v>2E-3</v>
      </c>
      <c r="Z2404" s="150"/>
      <c r="AA2404" s="150">
        <v>0.77</v>
      </c>
      <c r="AB2404" s="152"/>
      <c r="AC2404" s="152"/>
      <c r="AD2404" s="223"/>
      <c r="AE2404" s="223"/>
      <c r="AF2404" s="223"/>
      <c r="AG2404" s="223"/>
      <c r="AH2404" s="341"/>
      <c r="AI2404" s="218"/>
      <c r="AJ2404" s="218"/>
      <c r="AK2404" s="153"/>
      <c r="AL2404" s="152"/>
      <c r="AM2404" s="152"/>
      <c r="AN2404" s="152"/>
      <c r="AO2404" s="152"/>
      <c r="AP2404" s="152"/>
      <c r="AQ2404" s="152"/>
      <c r="AR2404" s="152"/>
      <c r="AS2404" s="152"/>
      <c r="AT2404" s="152"/>
      <c r="AU2404" s="153"/>
      <c r="AV2404" s="479"/>
      <c r="AW2404" s="479"/>
      <c r="AX2404" s="442"/>
      <c r="AY2404" s="153"/>
      <c r="AZ2404" s="152"/>
      <c r="BA2404" s="152"/>
      <c r="BB2404" s="152"/>
      <c r="BC2404" s="152"/>
      <c r="BD2404" s="152"/>
      <c r="BE2404" s="152"/>
      <c r="BF2404" s="152"/>
      <c r="BG2404" s="152"/>
      <c r="BH2404" s="152"/>
      <c r="BI2404" s="153"/>
      <c r="BJ2404" s="153"/>
      <c r="BK2404" s="153"/>
      <c r="BL2404" s="153"/>
      <c r="BM2404" s="153"/>
      <c r="BN2404" s="153"/>
      <c r="BO2404" s="153"/>
      <c r="BP2404" s="153"/>
      <c r="BQ2404" s="153"/>
      <c r="BR2404" s="153"/>
      <c r="BS2404" s="153"/>
      <c r="BT2404" s="153"/>
      <c r="BU2404" s="153"/>
      <c r="BV2404" s="153"/>
      <c r="BW2404" s="153"/>
      <c r="BX2404" s="153"/>
      <c r="BY2404" s="153"/>
      <c r="BZ2404" s="153"/>
      <c r="CA2404" s="152"/>
      <c r="CB2404" s="152"/>
    </row>
    <row r="2405" spans="1:80" s="87" customFormat="1" x14ac:dyDescent="0.2">
      <c r="A2405" s="152"/>
      <c r="B2405" s="683"/>
      <c r="C2405" s="683"/>
      <c r="D2405" s="698"/>
      <c r="E2405" s="215"/>
      <c r="F2405" s="215"/>
      <c r="G2405" s="153"/>
      <c r="H2405" s="153"/>
      <c r="I2405" s="163">
        <v>12</v>
      </c>
      <c r="J2405" s="312">
        <v>60</v>
      </c>
      <c r="K2405" s="150">
        <v>1</v>
      </c>
      <c r="L2405" s="656">
        <v>12</v>
      </c>
      <c r="M2405" s="663">
        <v>33023</v>
      </c>
      <c r="N2405" s="600">
        <v>0.67949999999999999</v>
      </c>
      <c r="O2405" s="604">
        <v>9.3200000000000002E-3</v>
      </c>
      <c r="P2405" s="150"/>
      <c r="Q2405" s="250"/>
      <c r="R2405" s="250"/>
      <c r="S2405" s="250">
        <v>0.03</v>
      </c>
      <c r="T2405" s="250">
        <v>0.10199999999999999</v>
      </c>
      <c r="U2405" s="250">
        <v>0.23699999999999999</v>
      </c>
      <c r="V2405" s="250">
        <v>0.28399999999999997</v>
      </c>
      <c r="W2405" s="250">
        <v>0.223</v>
      </c>
      <c r="X2405" s="250">
        <v>0.11800000000000001</v>
      </c>
      <c r="Y2405" s="250">
        <v>6.0000000000000001E-3</v>
      </c>
      <c r="Z2405" s="150"/>
      <c r="AA2405" s="150">
        <v>1.45</v>
      </c>
      <c r="AB2405" s="152"/>
      <c r="AC2405" s="152"/>
      <c r="AD2405" s="223"/>
      <c r="AE2405" s="223"/>
      <c r="AF2405" s="223"/>
      <c r="AG2405" s="223"/>
      <c r="AH2405" s="341"/>
      <c r="AI2405" s="218"/>
      <c r="AJ2405" s="218"/>
      <c r="AK2405" s="153"/>
      <c r="AL2405" s="152"/>
      <c r="AM2405" s="152"/>
      <c r="AN2405" s="152"/>
      <c r="AO2405" s="152"/>
      <c r="AP2405" s="152"/>
      <c r="AQ2405" s="152"/>
      <c r="AR2405" s="152"/>
      <c r="AS2405" s="152"/>
      <c r="AT2405" s="152"/>
      <c r="AU2405" s="153"/>
      <c r="AV2405" s="479"/>
      <c r="AW2405" s="479"/>
      <c r="AX2405" s="442"/>
      <c r="AY2405" s="153"/>
      <c r="AZ2405" s="152"/>
      <c r="BA2405" s="152"/>
      <c r="BB2405" s="152"/>
      <c r="BC2405" s="152"/>
      <c r="BD2405" s="152"/>
      <c r="BE2405" s="152"/>
      <c r="BF2405" s="152"/>
      <c r="BG2405" s="152"/>
      <c r="BH2405" s="152"/>
      <c r="BI2405" s="153"/>
      <c r="BJ2405" s="153"/>
      <c r="BK2405" s="153"/>
      <c r="BL2405" s="153"/>
      <c r="BM2405" s="153"/>
      <c r="BN2405" s="153"/>
      <c r="BO2405" s="153"/>
      <c r="BP2405" s="153"/>
      <c r="BQ2405" s="153"/>
      <c r="BR2405" s="153"/>
      <c r="BS2405" s="153"/>
      <c r="BT2405" s="153"/>
      <c r="BU2405" s="153"/>
      <c r="BV2405" s="153"/>
      <c r="BW2405" s="153"/>
      <c r="BX2405" s="153"/>
      <c r="BY2405" s="153"/>
      <c r="BZ2405" s="153"/>
      <c r="CA2405" s="152"/>
      <c r="CB2405" s="152"/>
    </row>
    <row r="2406" spans="1:80" s="87" customFormat="1" x14ac:dyDescent="0.2">
      <c r="A2406" s="152"/>
      <c r="B2406" s="683"/>
      <c r="C2406" s="683"/>
      <c r="D2406" s="698"/>
      <c r="E2406" s="215"/>
      <c r="F2406" s="215"/>
      <c r="G2406" s="153"/>
      <c r="H2406" s="153"/>
      <c r="I2406" s="163">
        <v>10</v>
      </c>
      <c r="J2406" s="312">
        <v>120</v>
      </c>
      <c r="K2406" s="150">
        <v>1</v>
      </c>
      <c r="L2406" s="656">
        <v>20</v>
      </c>
      <c r="M2406" s="663">
        <v>33025</v>
      </c>
      <c r="N2406" s="600">
        <v>0.59457000000000004</v>
      </c>
      <c r="O2406" s="604">
        <v>1.312E-2</v>
      </c>
      <c r="P2406" s="150"/>
      <c r="Q2406" s="250"/>
      <c r="R2406" s="250"/>
      <c r="S2406" s="250">
        <v>1E-3</v>
      </c>
      <c r="T2406" s="250">
        <v>5.2000000000000005E-2</v>
      </c>
      <c r="U2406" s="250">
        <v>0.26400000000000001</v>
      </c>
      <c r="V2406" s="250">
        <v>0.35700000000000004</v>
      </c>
      <c r="W2406" s="250">
        <v>0.23600000000000002</v>
      </c>
      <c r="X2406" s="250">
        <v>8.900000000000001E-2</v>
      </c>
      <c r="Y2406" s="250">
        <v>2E-3</v>
      </c>
      <c r="Z2406" s="150"/>
      <c r="AA2406" s="150">
        <v>1.4</v>
      </c>
      <c r="AB2406" s="152"/>
      <c r="AC2406" s="152"/>
      <c r="AD2406" s="223"/>
      <c r="AE2406" s="223"/>
      <c r="AF2406" s="223"/>
      <c r="AG2406" s="223"/>
      <c r="AH2406" s="341"/>
      <c r="AI2406" s="218"/>
      <c r="AJ2406" s="218"/>
      <c r="AK2406" s="153"/>
      <c r="AL2406" s="152"/>
      <c r="AM2406" s="152"/>
      <c r="AN2406" s="152"/>
      <c r="AO2406" s="152"/>
      <c r="AP2406" s="152"/>
      <c r="AQ2406" s="152"/>
      <c r="AR2406" s="152"/>
      <c r="AS2406" s="152"/>
      <c r="AT2406" s="152"/>
      <c r="AU2406" s="153"/>
      <c r="AV2406" s="479"/>
      <c r="AW2406" s="479"/>
      <c r="AX2406" s="442"/>
      <c r="AY2406" s="153"/>
      <c r="AZ2406" s="152"/>
      <c r="BA2406" s="152"/>
      <c r="BB2406" s="152"/>
      <c r="BC2406" s="152"/>
      <c r="BD2406" s="152"/>
      <c r="BE2406" s="152"/>
      <c r="BF2406" s="152"/>
      <c r="BG2406" s="152"/>
      <c r="BH2406" s="152"/>
      <c r="BI2406" s="153"/>
      <c r="BJ2406" s="153"/>
      <c r="BK2406" s="153"/>
      <c r="BL2406" s="153"/>
      <c r="BM2406" s="153"/>
      <c r="BN2406" s="153"/>
      <c r="BO2406" s="153"/>
      <c r="BP2406" s="153"/>
      <c r="BQ2406" s="153"/>
      <c r="BR2406" s="153"/>
      <c r="BS2406" s="153"/>
      <c r="BT2406" s="153"/>
      <c r="BU2406" s="153"/>
      <c r="BV2406" s="153"/>
      <c r="BW2406" s="153"/>
      <c r="BX2406" s="153"/>
      <c r="BY2406" s="153"/>
      <c r="BZ2406" s="153"/>
      <c r="CA2406" s="152"/>
      <c r="CB2406" s="152"/>
    </row>
    <row r="2407" spans="1:80" s="87" customFormat="1" x14ac:dyDescent="0.2">
      <c r="A2407" s="152"/>
      <c r="B2407" s="683"/>
      <c r="C2407" s="683"/>
      <c r="D2407" s="698"/>
      <c r="E2407" s="215"/>
      <c r="F2407" s="215"/>
      <c r="G2407" s="153"/>
      <c r="H2407" s="153"/>
      <c r="I2407" s="163">
        <v>10</v>
      </c>
      <c r="J2407" s="312">
        <v>180</v>
      </c>
      <c r="K2407" s="150">
        <v>1</v>
      </c>
      <c r="L2407" s="656">
        <v>30</v>
      </c>
      <c r="M2407" s="663">
        <v>33030</v>
      </c>
      <c r="N2407" s="600">
        <v>0.45300000000000001</v>
      </c>
      <c r="O2407" s="604">
        <v>9.6349999999999995E-3</v>
      </c>
      <c r="P2407" s="150"/>
      <c r="Q2407" s="250"/>
      <c r="R2407" s="250"/>
      <c r="S2407" s="250">
        <v>1E-3</v>
      </c>
      <c r="T2407" s="250">
        <v>5.2000000000000005E-2</v>
      </c>
      <c r="U2407" s="250">
        <v>0.29499999999999998</v>
      </c>
      <c r="V2407" s="250">
        <v>0.44600000000000001</v>
      </c>
      <c r="W2407" s="250">
        <v>0.17</v>
      </c>
      <c r="X2407" s="250">
        <v>3.4000000000000002E-2</v>
      </c>
      <c r="Y2407" s="250">
        <v>2E-3</v>
      </c>
      <c r="Z2407" s="150"/>
      <c r="AA2407" s="150">
        <v>1.58</v>
      </c>
      <c r="AB2407" s="152"/>
      <c r="AC2407" s="152"/>
      <c r="AD2407" s="223"/>
      <c r="AE2407" s="223"/>
      <c r="AF2407" s="223"/>
      <c r="AG2407" s="223"/>
      <c r="AH2407" s="341"/>
      <c r="AI2407" s="218"/>
      <c r="AJ2407" s="218"/>
      <c r="AK2407" s="153"/>
      <c r="AL2407" s="152"/>
      <c r="AM2407" s="152"/>
      <c r="AN2407" s="152"/>
      <c r="AO2407" s="152"/>
      <c r="AP2407" s="152"/>
      <c r="AQ2407" s="152"/>
      <c r="AR2407" s="152"/>
      <c r="AS2407" s="152"/>
      <c r="AT2407" s="152"/>
      <c r="AU2407" s="153"/>
      <c r="AV2407" s="479"/>
      <c r="AW2407" s="479"/>
      <c r="AX2407" s="442"/>
      <c r="AY2407" s="153"/>
      <c r="AZ2407" s="152"/>
      <c r="BA2407" s="152"/>
      <c r="BB2407" s="152"/>
      <c r="BC2407" s="152"/>
      <c r="BD2407" s="152"/>
      <c r="BE2407" s="152"/>
      <c r="BF2407" s="152"/>
      <c r="BG2407" s="152"/>
      <c r="BH2407" s="152"/>
      <c r="BI2407" s="153"/>
      <c r="BJ2407" s="153"/>
      <c r="BK2407" s="153"/>
      <c r="BL2407" s="153"/>
      <c r="BM2407" s="153"/>
      <c r="BN2407" s="153"/>
      <c r="BO2407" s="153"/>
      <c r="BP2407" s="153"/>
      <c r="BQ2407" s="153"/>
      <c r="BR2407" s="153"/>
      <c r="BS2407" s="153"/>
      <c r="BT2407" s="153"/>
      <c r="BU2407" s="153"/>
      <c r="BV2407" s="153"/>
      <c r="BW2407" s="153"/>
      <c r="BX2407" s="153"/>
      <c r="BY2407" s="153"/>
      <c r="BZ2407" s="153"/>
      <c r="CA2407" s="152"/>
      <c r="CB2407" s="152"/>
    </row>
    <row r="2408" spans="1:80" s="87" customFormat="1" x14ac:dyDescent="0.2">
      <c r="A2408" s="152"/>
      <c r="B2408" s="683"/>
      <c r="C2408" s="683"/>
      <c r="D2408" s="698"/>
      <c r="E2408" s="215"/>
      <c r="F2408" s="215"/>
      <c r="G2408" s="153"/>
      <c r="H2408" s="153"/>
      <c r="I2408" s="163">
        <v>15</v>
      </c>
      <c r="J2408" s="312">
        <v>240</v>
      </c>
      <c r="K2408" s="150">
        <v>1</v>
      </c>
      <c r="L2408" s="656">
        <v>60</v>
      </c>
      <c r="M2408" s="663">
        <v>33331</v>
      </c>
      <c r="N2408" s="600">
        <v>6.7949999999999997E-2</v>
      </c>
      <c r="O2408" s="604">
        <v>3.6999999999999998E-5</v>
      </c>
      <c r="P2408" s="150"/>
      <c r="Q2408" s="250"/>
      <c r="R2408" s="250"/>
      <c r="S2408" s="250"/>
      <c r="T2408" s="250"/>
      <c r="U2408" s="250">
        <v>3.2000000000000001E-2</v>
      </c>
      <c r="V2408" s="250">
        <v>4.7E-2</v>
      </c>
      <c r="W2408" s="250">
        <v>0.37799999999999995</v>
      </c>
      <c r="X2408" s="250">
        <v>0.53600000000000003</v>
      </c>
      <c r="Y2408" s="250">
        <v>6.9999999999999993E-3</v>
      </c>
      <c r="Z2408" s="150"/>
      <c r="AA2408" s="150">
        <v>0.47</v>
      </c>
      <c r="AB2408" s="152"/>
      <c r="AC2408" s="152"/>
      <c r="AD2408" s="223">
        <v>3.2307739999999998</v>
      </c>
      <c r="AE2408" s="223">
        <v>0.13888072600000001</v>
      </c>
      <c r="AF2408" s="223">
        <v>0.44867802000000001</v>
      </c>
      <c r="AG2408" s="223">
        <v>0.201300228</v>
      </c>
      <c r="AH2408" s="341"/>
      <c r="AI2408" s="218"/>
      <c r="AJ2408" s="218"/>
      <c r="AK2408" s="153"/>
      <c r="AL2408" s="152"/>
      <c r="AM2408" s="152"/>
      <c r="AN2408" s="152"/>
      <c r="AO2408" s="152"/>
      <c r="AP2408" s="152"/>
      <c r="AQ2408" s="152"/>
      <c r="AR2408" s="152"/>
      <c r="AS2408" s="152"/>
      <c r="AT2408" s="152"/>
      <c r="AU2408" s="153"/>
      <c r="AV2408" s="479"/>
      <c r="AW2408" s="479"/>
      <c r="AX2408" s="442"/>
      <c r="AY2408" s="153"/>
      <c r="AZ2408" s="152"/>
      <c r="BA2408" s="152"/>
      <c r="BB2408" s="152"/>
      <c r="BC2408" s="152"/>
      <c r="BD2408" s="152"/>
      <c r="BE2408" s="152"/>
      <c r="BF2408" s="152"/>
      <c r="BG2408" s="152"/>
      <c r="BH2408" s="152"/>
      <c r="BI2408" s="153"/>
      <c r="BJ2408" s="153"/>
      <c r="BK2408" s="153"/>
      <c r="BL2408" s="153"/>
      <c r="BM2408" s="153"/>
      <c r="BN2408" s="153"/>
      <c r="BO2408" s="153"/>
      <c r="BP2408" s="153"/>
      <c r="BQ2408" s="153"/>
      <c r="BR2408" s="153"/>
      <c r="BS2408" s="153"/>
      <c r="BT2408" s="153"/>
      <c r="BU2408" s="153"/>
      <c r="BV2408" s="153"/>
      <c r="BW2408" s="153"/>
      <c r="BX2408" s="153"/>
      <c r="BY2408" s="153"/>
      <c r="BZ2408" s="153"/>
      <c r="CA2408" s="152"/>
      <c r="CB2408" s="152"/>
    </row>
    <row r="2409" spans="1:80" s="87" customFormat="1" x14ac:dyDescent="0.2">
      <c r="A2409" s="152"/>
      <c r="B2409" s="683"/>
      <c r="C2409" s="683"/>
      <c r="D2409" s="698"/>
      <c r="E2409" s="215"/>
      <c r="F2409" s="215"/>
      <c r="G2409" s="153"/>
      <c r="H2409" s="153"/>
      <c r="I2409" s="163">
        <v>12</v>
      </c>
      <c r="J2409" s="312">
        <v>240</v>
      </c>
      <c r="K2409" s="150">
        <v>1</v>
      </c>
      <c r="L2409" s="656">
        <v>48</v>
      </c>
      <c r="M2409" s="663">
        <v>33337</v>
      </c>
      <c r="N2409" s="600">
        <v>0.10476000000000001</v>
      </c>
      <c r="O2409" s="604">
        <v>8.4900000000000004E-4</v>
      </c>
      <c r="P2409" s="150"/>
      <c r="Q2409" s="250"/>
      <c r="R2409" s="250"/>
      <c r="S2409" s="250"/>
      <c r="T2409" s="250">
        <v>2.7999999999999997E-2</v>
      </c>
      <c r="U2409" s="250">
        <v>0.11800000000000001</v>
      </c>
      <c r="V2409" s="250">
        <v>0.33700000000000002</v>
      </c>
      <c r="W2409" s="250">
        <v>0.37</v>
      </c>
      <c r="X2409" s="250">
        <v>0.14300000000000002</v>
      </c>
      <c r="Y2409" s="250">
        <v>4.0000000000000001E-3</v>
      </c>
      <c r="Z2409" s="150"/>
      <c r="AA2409" s="150">
        <v>0.97</v>
      </c>
      <c r="AB2409" s="152"/>
      <c r="AC2409" s="152"/>
      <c r="AD2409" s="223"/>
      <c r="AE2409" s="223"/>
      <c r="AF2409" s="223"/>
      <c r="AG2409" s="223"/>
      <c r="AH2409" s="341"/>
      <c r="AI2409" s="218"/>
      <c r="AJ2409" s="218"/>
      <c r="AK2409" s="153"/>
      <c r="AL2409" s="152"/>
      <c r="AM2409" s="152"/>
      <c r="AN2409" s="152"/>
      <c r="AO2409" s="152"/>
      <c r="AP2409" s="152"/>
      <c r="AQ2409" s="152"/>
      <c r="AR2409" s="152"/>
      <c r="AS2409" s="152"/>
      <c r="AT2409" s="152"/>
      <c r="AU2409" s="153"/>
      <c r="AV2409" s="479"/>
      <c r="AW2409" s="479"/>
      <c r="AX2409" s="442"/>
      <c r="AY2409" s="153"/>
      <c r="AZ2409" s="152"/>
      <c r="BA2409" s="152"/>
      <c r="BB2409" s="152"/>
      <c r="BC2409" s="152"/>
      <c r="BD2409" s="152"/>
      <c r="BE2409" s="152"/>
      <c r="BF2409" s="152"/>
      <c r="BG2409" s="152"/>
      <c r="BH2409" s="152"/>
      <c r="BI2409" s="153"/>
      <c r="BJ2409" s="153"/>
      <c r="BK2409" s="153"/>
      <c r="BL2409" s="153"/>
      <c r="BM2409" s="153"/>
      <c r="BN2409" s="153"/>
      <c r="BO2409" s="153"/>
      <c r="BP2409" s="153"/>
      <c r="BQ2409" s="153"/>
      <c r="BR2409" s="153"/>
      <c r="BS2409" s="153"/>
      <c r="BT2409" s="153"/>
      <c r="BU2409" s="153"/>
      <c r="BV2409" s="153"/>
      <c r="BW2409" s="153"/>
      <c r="BX2409" s="153"/>
      <c r="BY2409" s="153"/>
      <c r="BZ2409" s="153"/>
      <c r="CA2409" s="152"/>
      <c r="CB2409" s="152"/>
    </row>
    <row r="2410" spans="1:80" s="87" customFormat="1" x14ac:dyDescent="0.2">
      <c r="A2410" s="152"/>
      <c r="B2410" s="683"/>
      <c r="C2410" s="683"/>
      <c r="D2410" s="698"/>
      <c r="E2410" s="215"/>
      <c r="F2410" s="215"/>
      <c r="G2410" s="153"/>
      <c r="H2410" s="153"/>
      <c r="I2410" s="163">
        <v>16</v>
      </c>
      <c r="J2410" s="312">
        <v>240</v>
      </c>
      <c r="K2410" s="150">
        <v>1</v>
      </c>
      <c r="L2410" s="656">
        <v>64</v>
      </c>
      <c r="M2410" s="663">
        <v>33351</v>
      </c>
      <c r="N2410" s="600">
        <v>9.06E-2</v>
      </c>
      <c r="O2410" s="604">
        <v>7.9600000000000005E-4</v>
      </c>
      <c r="P2410" s="150"/>
      <c r="Q2410" s="250"/>
      <c r="R2410" s="250"/>
      <c r="S2410" s="250"/>
      <c r="T2410" s="250">
        <v>6.5000000000000002E-2</v>
      </c>
      <c r="U2410" s="250">
        <v>0.374</v>
      </c>
      <c r="V2410" s="250">
        <v>0.26800000000000002</v>
      </c>
      <c r="W2410" s="250">
        <v>0.192</v>
      </c>
      <c r="X2410" s="250">
        <v>9.8000000000000004E-2</v>
      </c>
      <c r="Y2410" s="250">
        <v>4.0000000000000001E-3</v>
      </c>
      <c r="Z2410" s="150"/>
      <c r="AA2410" s="150">
        <v>1.71</v>
      </c>
      <c r="AB2410" s="152"/>
      <c r="AC2410" s="152"/>
      <c r="AD2410" s="223"/>
      <c r="AE2410" s="223"/>
      <c r="AF2410" s="223"/>
      <c r="AG2410" s="223"/>
      <c r="AH2410" s="341"/>
      <c r="AI2410" s="218"/>
      <c r="AJ2410" s="218"/>
      <c r="AK2410" s="153"/>
      <c r="AL2410" s="152"/>
      <c r="AM2410" s="152"/>
      <c r="AN2410" s="152"/>
      <c r="AO2410" s="152"/>
      <c r="AP2410" s="152"/>
      <c r="AQ2410" s="152"/>
      <c r="AR2410" s="152"/>
      <c r="AS2410" s="152"/>
      <c r="AT2410" s="152"/>
      <c r="AU2410" s="153"/>
      <c r="AV2410" s="479"/>
      <c r="AW2410" s="479"/>
      <c r="AX2410" s="442"/>
      <c r="AY2410" s="153"/>
      <c r="AZ2410" s="152"/>
      <c r="BA2410" s="152"/>
      <c r="BB2410" s="152"/>
      <c r="BC2410" s="152"/>
      <c r="BD2410" s="152"/>
      <c r="BE2410" s="152"/>
      <c r="BF2410" s="152"/>
      <c r="BG2410" s="152"/>
      <c r="BH2410" s="152"/>
      <c r="BI2410" s="153"/>
      <c r="BJ2410" s="153"/>
      <c r="BK2410" s="153"/>
      <c r="BL2410" s="153"/>
      <c r="BM2410" s="153"/>
      <c r="BN2410" s="153"/>
      <c r="BO2410" s="153"/>
      <c r="BP2410" s="153"/>
      <c r="BQ2410" s="153"/>
      <c r="BR2410" s="153"/>
      <c r="BS2410" s="153"/>
      <c r="BT2410" s="153"/>
      <c r="BU2410" s="153"/>
      <c r="BV2410" s="153"/>
      <c r="BW2410" s="153"/>
      <c r="BX2410" s="153"/>
      <c r="BY2410" s="153"/>
      <c r="BZ2410" s="153"/>
      <c r="CA2410" s="152"/>
      <c r="CB2410" s="152"/>
    </row>
    <row r="2411" spans="1:80" s="87" customFormat="1" x14ac:dyDescent="0.2">
      <c r="A2411" s="152"/>
      <c r="B2411" s="683"/>
      <c r="C2411" s="683"/>
      <c r="D2411" s="698"/>
      <c r="E2411" s="215"/>
      <c r="F2411" s="215"/>
      <c r="G2411" s="153"/>
      <c r="H2411" s="153"/>
      <c r="I2411" s="163">
        <v>14</v>
      </c>
      <c r="J2411" s="312">
        <v>240</v>
      </c>
      <c r="K2411" s="150">
        <v>1</v>
      </c>
      <c r="L2411" s="656">
        <v>56</v>
      </c>
      <c r="M2411" s="663">
        <v>33358</v>
      </c>
      <c r="N2411" s="600">
        <v>7.6439999999999994E-2</v>
      </c>
      <c r="O2411" s="604">
        <v>2.4699999999999999E-4</v>
      </c>
      <c r="P2411" s="150"/>
      <c r="Q2411" s="250"/>
      <c r="R2411" s="250"/>
      <c r="S2411" s="250"/>
      <c r="T2411" s="250">
        <v>2.6000000000000002E-2</v>
      </c>
      <c r="U2411" s="250">
        <v>0.21100000000000002</v>
      </c>
      <c r="V2411" s="250">
        <v>0.36</v>
      </c>
      <c r="W2411" s="250">
        <v>0.27600000000000002</v>
      </c>
      <c r="X2411" s="250">
        <v>0.121</v>
      </c>
      <c r="Y2411" s="250">
        <v>5.0000000000000001E-3</v>
      </c>
      <c r="Z2411" s="150"/>
      <c r="AA2411" s="150">
        <v>1.21</v>
      </c>
      <c r="AB2411" s="152"/>
      <c r="AC2411" s="152"/>
      <c r="AD2411" s="223"/>
      <c r="AE2411" s="223"/>
      <c r="AF2411" s="223"/>
      <c r="AG2411" s="223"/>
      <c r="AH2411" s="341"/>
      <c r="AI2411" s="218"/>
      <c r="AJ2411" s="218"/>
      <c r="AK2411" s="153"/>
      <c r="AL2411" s="152"/>
      <c r="AM2411" s="152"/>
      <c r="AN2411" s="152"/>
      <c r="AO2411" s="152"/>
      <c r="AP2411" s="152"/>
      <c r="AQ2411" s="152"/>
      <c r="AR2411" s="152"/>
      <c r="AS2411" s="152"/>
      <c r="AT2411" s="152"/>
      <c r="AU2411" s="153"/>
      <c r="AV2411" s="479"/>
      <c r="AW2411" s="479"/>
      <c r="AX2411" s="442"/>
      <c r="AY2411" s="153"/>
      <c r="AZ2411" s="152"/>
      <c r="BA2411" s="152"/>
      <c r="BB2411" s="152"/>
      <c r="BC2411" s="152"/>
      <c r="BD2411" s="152"/>
      <c r="BE2411" s="152"/>
      <c r="BF2411" s="152"/>
      <c r="BG2411" s="152"/>
      <c r="BH2411" s="152"/>
      <c r="BI2411" s="153"/>
      <c r="BJ2411" s="153"/>
      <c r="BK2411" s="153"/>
      <c r="BL2411" s="153"/>
      <c r="BM2411" s="153"/>
      <c r="BN2411" s="153"/>
      <c r="BO2411" s="153"/>
      <c r="BP2411" s="153"/>
      <c r="BQ2411" s="153"/>
      <c r="BR2411" s="153"/>
      <c r="BS2411" s="153"/>
      <c r="BT2411" s="153"/>
      <c r="BU2411" s="153"/>
      <c r="BV2411" s="153"/>
      <c r="BW2411" s="153"/>
      <c r="BX2411" s="153"/>
      <c r="BY2411" s="153"/>
      <c r="BZ2411" s="153"/>
      <c r="CA2411" s="152"/>
      <c r="CB2411" s="152"/>
    </row>
    <row r="2412" spans="1:80" s="87" customFormat="1" x14ac:dyDescent="0.2">
      <c r="A2412" s="152"/>
      <c r="B2412" s="683"/>
      <c r="C2412" s="683"/>
      <c r="D2412" s="698"/>
      <c r="E2412" s="215"/>
      <c r="F2412" s="215"/>
      <c r="G2412" s="153"/>
      <c r="H2412" s="153"/>
      <c r="I2412" s="163">
        <v>10</v>
      </c>
      <c r="J2412" s="312">
        <v>360</v>
      </c>
      <c r="K2412" s="150">
        <v>1</v>
      </c>
      <c r="L2412" s="656">
        <v>60</v>
      </c>
      <c r="M2412" s="663">
        <v>33364</v>
      </c>
      <c r="N2412" s="600">
        <v>9.6259999999999998E-2</v>
      </c>
      <c r="O2412" s="604">
        <v>2.4979999999999998E-3</v>
      </c>
      <c r="P2412" s="150"/>
      <c r="Q2412" s="250"/>
      <c r="R2412" s="250"/>
      <c r="S2412" s="250">
        <v>3.1E-2</v>
      </c>
      <c r="T2412" s="250">
        <v>0.14099999999999999</v>
      </c>
      <c r="U2412" s="250">
        <v>0.184</v>
      </c>
      <c r="V2412" s="250">
        <v>0.24399999999999999</v>
      </c>
      <c r="W2412" s="250">
        <v>0.28899999999999998</v>
      </c>
      <c r="X2412" s="250">
        <v>0.10800000000000001</v>
      </c>
      <c r="Y2412" s="250">
        <v>3.0000000000000001E-3</v>
      </c>
      <c r="Z2412" s="150"/>
      <c r="AA2412" s="150">
        <v>1.33</v>
      </c>
      <c r="AB2412" s="152"/>
      <c r="AC2412" s="152"/>
      <c r="AD2412" s="223"/>
      <c r="AE2412" s="223"/>
      <c r="AF2412" s="223"/>
      <c r="AG2412" s="223"/>
      <c r="AH2412" s="341"/>
      <c r="AI2412" s="218"/>
      <c r="AJ2412" s="218"/>
      <c r="AK2412" s="153"/>
      <c r="AL2412" s="152"/>
      <c r="AM2412" s="152"/>
      <c r="AN2412" s="152"/>
      <c r="AO2412" s="152"/>
      <c r="AP2412" s="152"/>
      <c r="AQ2412" s="152"/>
      <c r="AR2412" s="152"/>
      <c r="AS2412" s="152"/>
      <c r="AT2412" s="152"/>
      <c r="AU2412" s="153"/>
      <c r="AV2412" s="479"/>
      <c r="AW2412" s="479"/>
      <c r="AX2412" s="442"/>
      <c r="AY2412" s="153"/>
      <c r="AZ2412" s="152"/>
      <c r="BA2412" s="152"/>
      <c r="BB2412" s="152"/>
      <c r="BC2412" s="152"/>
      <c r="BD2412" s="152"/>
      <c r="BE2412" s="152"/>
      <c r="BF2412" s="152"/>
      <c r="BG2412" s="152"/>
      <c r="BH2412" s="152"/>
      <c r="BI2412" s="153"/>
      <c r="BJ2412" s="153"/>
      <c r="BK2412" s="153"/>
      <c r="BL2412" s="153"/>
      <c r="BM2412" s="153"/>
      <c r="BN2412" s="153"/>
      <c r="BO2412" s="153"/>
      <c r="BP2412" s="153"/>
      <c r="BQ2412" s="153"/>
      <c r="BR2412" s="153"/>
      <c r="BS2412" s="153"/>
      <c r="BT2412" s="153"/>
      <c r="BU2412" s="153"/>
      <c r="BV2412" s="153"/>
      <c r="BW2412" s="153"/>
      <c r="BX2412" s="153"/>
      <c r="BY2412" s="153"/>
      <c r="BZ2412" s="153"/>
      <c r="CA2412" s="152"/>
      <c r="CB2412" s="152"/>
    </row>
    <row r="2413" spans="1:80" s="87" customFormat="1" x14ac:dyDescent="0.2">
      <c r="A2413" s="152"/>
      <c r="B2413" s="683"/>
      <c r="C2413" s="683"/>
      <c r="D2413" s="698"/>
      <c r="E2413" s="215"/>
      <c r="F2413" s="215"/>
      <c r="G2413" s="153"/>
      <c r="H2413" s="153"/>
      <c r="I2413" s="163">
        <v>10</v>
      </c>
      <c r="J2413" s="312">
        <v>150</v>
      </c>
      <c r="K2413" s="150">
        <v>1</v>
      </c>
      <c r="L2413" s="656">
        <v>25</v>
      </c>
      <c r="M2413" s="663">
        <v>33366</v>
      </c>
      <c r="N2413" s="600">
        <v>0.31143999999999999</v>
      </c>
      <c r="O2413" s="604">
        <v>9.6559999999999997E-3</v>
      </c>
      <c r="P2413" s="150"/>
      <c r="Q2413" s="250"/>
      <c r="R2413" s="250"/>
      <c r="S2413" s="250"/>
      <c r="T2413" s="250">
        <v>2.5000000000000001E-2</v>
      </c>
      <c r="U2413" s="250">
        <v>9.6000000000000002E-2</v>
      </c>
      <c r="V2413" s="250">
        <v>0.20499999999999999</v>
      </c>
      <c r="W2413" s="250">
        <v>0.33299999999999996</v>
      </c>
      <c r="X2413" s="250">
        <v>0.32200000000000001</v>
      </c>
      <c r="Y2413" s="250">
        <v>1.9E-2</v>
      </c>
      <c r="Z2413" s="150"/>
      <c r="AA2413" s="150">
        <v>0.7</v>
      </c>
      <c r="AB2413" s="152"/>
      <c r="AC2413" s="152"/>
      <c r="AD2413" s="223"/>
      <c r="AE2413" s="223"/>
      <c r="AF2413" s="223"/>
      <c r="AG2413" s="223"/>
      <c r="AH2413" s="341"/>
      <c r="AI2413" s="218"/>
      <c r="AJ2413" s="218"/>
      <c r="AK2413" s="153"/>
      <c r="AL2413" s="152"/>
      <c r="AM2413" s="152"/>
      <c r="AN2413" s="152"/>
      <c r="AO2413" s="152"/>
      <c r="AP2413" s="152"/>
      <c r="AQ2413" s="152"/>
      <c r="AR2413" s="152"/>
      <c r="AS2413" s="152"/>
      <c r="AT2413" s="152"/>
      <c r="AU2413" s="153"/>
      <c r="AV2413" s="479"/>
      <c r="AW2413" s="479"/>
      <c r="AX2413" s="442"/>
      <c r="AY2413" s="153"/>
      <c r="AZ2413" s="152"/>
      <c r="BA2413" s="152"/>
      <c r="BB2413" s="152"/>
      <c r="BC2413" s="152"/>
      <c r="BD2413" s="152"/>
      <c r="BE2413" s="152"/>
      <c r="BF2413" s="152"/>
      <c r="BG2413" s="152"/>
      <c r="BH2413" s="152"/>
      <c r="BI2413" s="153"/>
      <c r="BJ2413" s="153"/>
      <c r="BK2413" s="153"/>
      <c r="BL2413" s="153"/>
      <c r="BM2413" s="153"/>
      <c r="BN2413" s="153"/>
      <c r="BO2413" s="153"/>
      <c r="BP2413" s="153"/>
      <c r="BQ2413" s="153"/>
      <c r="BR2413" s="153"/>
      <c r="BS2413" s="153"/>
      <c r="BT2413" s="153"/>
      <c r="BU2413" s="153"/>
      <c r="BV2413" s="153"/>
      <c r="BW2413" s="153"/>
      <c r="BX2413" s="153"/>
      <c r="BY2413" s="153"/>
      <c r="BZ2413" s="153"/>
      <c r="CA2413" s="152"/>
      <c r="CB2413" s="152"/>
    </row>
    <row r="2414" spans="1:80" s="87" customFormat="1" x14ac:dyDescent="0.2">
      <c r="A2414" s="152"/>
      <c r="B2414" s="683"/>
      <c r="C2414" s="683"/>
      <c r="D2414" s="698"/>
      <c r="E2414" s="215"/>
      <c r="F2414" s="215"/>
      <c r="G2414" s="153"/>
      <c r="H2414" s="153"/>
      <c r="I2414" s="163">
        <v>10</v>
      </c>
      <c r="J2414" s="312">
        <v>240</v>
      </c>
      <c r="K2414" s="150">
        <v>1</v>
      </c>
      <c r="L2414" s="656">
        <v>40</v>
      </c>
      <c r="M2414" s="663">
        <v>33367</v>
      </c>
      <c r="N2414" s="600">
        <v>0.31143999999999999</v>
      </c>
      <c r="O2414" s="604">
        <v>5.3839999999999999E-3</v>
      </c>
      <c r="P2414" s="150"/>
      <c r="Q2414" s="250"/>
      <c r="R2414" s="250"/>
      <c r="S2414" s="250">
        <v>9.0000000000000011E-3</v>
      </c>
      <c r="T2414" s="250">
        <v>4.2999999999999997E-2</v>
      </c>
      <c r="U2414" s="250">
        <v>0.13900000000000001</v>
      </c>
      <c r="V2414" s="250">
        <v>0.24199999999999999</v>
      </c>
      <c r="W2414" s="250">
        <v>0.37200000000000005</v>
      </c>
      <c r="X2414" s="250">
        <v>0.187</v>
      </c>
      <c r="Y2414" s="250">
        <v>8.0000000000000002E-3</v>
      </c>
      <c r="Z2414" s="150"/>
      <c r="AA2414" s="150">
        <v>0.88</v>
      </c>
      <c r="AB2414" s="152"/>
      <c r="AC2414" s="152"/>
      <c r="AD2414" s="223">
        <v>4.2670599999999999</v>
      </c>
      <c r="AE2414" s="223">
        <v>0.26124857099999998</v>
      </c>
      <c r="AF2414" s="223">
        <v>1.1147279999999999</v>
      </c>
      <c r="AG2414" s="223">
        <v>0.302250083</v>
      </c>
      <c r="AH2414" s="341"/>
      <c r="AI2414" s="218"/>
      <c r="AJ2414" s="218"/>
      <c r="AK2414" s="153"/>
      <c r="AL2414" s="152"/>
      <c r="AM2414" s="152"/>
      <c r="AN2414" s="152"/>
      <c r="AO2414" s="152"/>
      <c r="AP2414" s="152"/>
      <c r="AQ2414" s="152"/>
      <c r="AR2414" s="152"/>
      <c r="AS2414" s="152"/>
      <c r="AT2414" s="152"/>
      <c r="AU2414" s="153"/>
      <c r="AV2414" s="479"/>
      <c r="AW2414" s="479"/>
      <c r="AX2414" s="442"/>
      <c r="AY2414" s="153"/>
      <c r="AZ2414" s="152"/>
      <c r="BA2414" s="152"/>
      <c r="BB2414" s="152"/>
      <c r="BC2414" s="152"/>
      <c r="BD2414" s="152"/>
      <c r="BE2414" s="152"/>
      <c r="BF2414" s="152"/>
      <c r="BG2414" s="152"/>
      <c r="BH2414" s="152"/>
      <c r="BI2414" s="153"/>
      <c r="BJ2414" s="153"/>
      <c r="BK2414" s="153"/>
      <c r="BL2414" s="153"/>
      <c r="BM2414" s="153"/>
      <c r="BN2414" s="153"/>
      <c r="BO2414" s="153"/>
      <c r="BP2414" s="153"/>
      <c r="BQ2414" s="153"/>
      <c r="BR2414" s="153"/>
      <c r="BS2414" s="153"/>
      <c r="BT2414" s="153"/>
      <c r="BU2414" s="153"/>
      <c r="BV2414" s="153"/>
      <c r="BW2414" s="153"/>
      <c r="BX2414" s="153"/>
      <c r="BY2414" s="153"/>
      <c r="BZ2414" s="153"/>
      <c r="CA2414" s="152"/>
      <c r="CB2414" s="152"/>
    </row>
    <row r="2415" spans="1:80" s="87" customFormat="1" x14ac:dyDescent="0.2">
      <c r="A2415" s="152"/>
      <c r="B2415" s="683"/>
      <c r="C2415" s="683"/>
      <c r="D2415" s="698"/>
      <c r="E2415" s="215"/>
      <c r="F2415" s="215"/>
      <c r="G2415" s="153"/>
      <c r="H2415" s="153"/>
      <c r="I2415" s="163">
        <v>10</v>
      </c>
      <c r="J2415" s="312" t="s">
        <v>29</v>
      </c>
      <c r="K2415" s="150">
        <v>1</v>
      </c>
      <c r="L2415" s="656" t="s">
        <v>29</v>
      </c>
      <c r="M2415" s="663">
        <v>33371</v>
      </c>
      <c r="N2415" s="600">
        <v>0.21518000000000001</v>
      </c>
      <c r="O2415" s="604">
        <v>0</v>
      </c>
      <c r="P2415" s="150"/>
      <c r="Q2415" s="250"/>
      <c r="R2415" s="250"/>
      <c r="S2415" s="250"/>
      <c r="T2415" s="250">
        <v>0.02</v>
      </c>
      <c r="U2415" s="250">
        <v>5.1200000000000002E-2</v>
      </c>
      <c r="V2415" s="250">
        <v>0.10467706013363</v>
      </c>
      <c r="W2415" s="250">
        <v>0.138084632516704</v>
      </c>
      <c r="X2415" s="250">
        <v>0.35857461024498904</v>
      </c>
      <c r="Y2415" s="250">
        <v>0.32739420935412</v>
      </c>
      <c r="Z2415" s="150"/>
      <c r="AA2415" s="150">
        <v>0.35</v>
      </c>
      <c r="AB2415" s="152"/>
      <c r="AC2415" s="152"/>
      <c r="AD2415" s="223"/>
      <c r="AE2415" s="223"/>
      <c r="AF2415" s="223"/>
      <c r="AG2415" s="223"/>
      <c r="AH2415" s="341"/>
      <c r="AI2415" s="218"/>
      <c r="AJ2415" s="218"/>
      <c r="AK2415" s="153"/>
      <c r="AL2415" s="152"/>
      <c r="AM2415" s="152"/>
      <c r="AN2415" s="152"/>
      <c r="AO2415" s="152"/>
      <c r="AP2415" s="152"/>
      <c r="AQ2415" s="152"/>
      <c r="AR2415" s="152"/>
      <c r="AS2415" s="152"/>
      <c r="AT2415" s="152"/>
      <c r="AU2415" s="153"/>
      <c r="AV2415" s="479"/>
      <c r="AW2415" s="479"/>
      <c r="AX2415" s="442"/>
      <c r="AY2415" s="153"/>
      <c r="AZ2415" s="152"/>
      <c r="BA2415" s="152"/>
      <c r="BB2415" s="152"/>
      <c r="BC2415" s="152"/>
      <c r="BD2415" s="152"/>
      <c r="BE2415" s="152"/>
      <c r="BF2415" s="152"/>
      <c r="BG2415" s="152"/>
      <c r="BH2415" s="152"/>
      <c r="BI2415" s="153"/>
      <c r="BJ2415" s="153"/>
      <c r="BK2415" s="153"/>
      <c r="BL2415" s="153"/>
      <c r="BM2415" s="153"/>
      <c r="BN2415" s="153"/>
      <c r="BO2415" s="153"/>
      <c r="BP2415" s="153"/>
      <c r="BQ2415" s="153"/>
      <c r="BR2415" s="153"/>
      <c r="BS2415" s="153"/>
      <c r="BT2415" s="153"/>
      <c r="BU2415" s="153"/>
      <c r="BV2415" s="153"/>
      <c r="BW2415" s="153"/>
      <c r="BX2415" s="153"/>
      <c r="BY2415" s="153"/>
      <c r="BZ2415" s="153"/>
      <c r="CA2415" s="152"/>
      <c r="CB2415" s="152"/>
    </row>
    <row r="2416" spans="1:80" s="87" customFormat="1" x14ac:dyDescent="0.2">
      <c r="A2416" s="152"/>
      <c r="B2416" s="683"/>
      <c r="C2416" s="683"/>
      <c r="D2416" s="698"/>
      <c r="E2416" s="215"/>
      <c r="F2416" s="215"/>
      <c r="G2416" s="153"/>
      <c r="H2416" s="153"/>
      <c r="I2416" s="163">
        <v>10</v>
      </c>
      <c r="J2416" s="312">
        <v>360</v>
      </c>
      <c r="K2416" s="150">
        <v>1</v>
      </c>
      <c r="L2416" s="656">
        <v>60</v>
      </c>
      <c r="M2416" s="663">
        <v>33372</v>
      </c>
      <c r="N2416" s="600">
        <v>0.20668</v>
      </c>
      <c r="O2416" s="604">
        <v>6.7400000000000001E-4</v>
      </c>
      <c r="P2416" s="150"/>
      <c r="Q2416" s="250"/>
      <c r="R2416" s="250"/>
      <c r="S2416" s="250"/>
      <c r="T2416" s="250">
        <v>6.5000000000000002E-2</v>
      </c>
      <c r="U2416" s="250">
        <v>0.12</v>
      </c>
      <c r="V2416" s="250">
        <v>0.23</v>
      </c>
      <c r="W2416" s="250">
        <v>0.34100000000000003</v>
      </c>
      <c r="X2416" s="250">
        <v>0.23699999999999999</v>
      </c>
      <c r="Y2416" s="250">
        <v>6.9999999999999993E-3</v>
      </c>
      <c r="Z2416" s="150"/>
      <c r="AA2416" s="150">
        <v>0.84</v>
      </c>
      <c r="AB2416" s="152"/>
      <c r="AC2416" s="152"/>
      <c r="AD2416" s="223"/>
      <c r="AE2416" s="223"/>
      <c r="AF2416" s="223"/>
      <c r="AG2416" s="223"/>
      <c r="AH2416" s="341"/>
      <c r="AI2416" s="218"/>
      <c r="AJ2416" s="218"/>
      <c r="AK2416" s="153"/>
      <c r="AL2416" s="152"/>
      <c r="AM2416" s="152"/>
      <c r="AN2416" s="152"/>
      <c r="AO2416" s="152"/>
      <c r="AP2416" s="152"/>
      <c r="AQ2416" s="152"/>
      <c r="AR2416" s="152"/>
      <c r="AS2416" s="152"/>
      <c r="AT2416" s="152"/>
      <c r="AU2416" s="153"/>
      <c r="AV2416" s="479"/>
      <c r="AW2416" s="479"/>
      <c r="AX2416" s="442"/>
      <c r="AY2416" s="153"/>
      <c r="AZ2416" s="152"/>
      <c r="BA2416" s="152"/>
      <c r="BB2416" s="152"/>
      <c r="BC2416" s="152"/>
      <c r="BD2416" s="152"/>
      <c r="BE2416" s="152"/>
      <c r="BF2416" s="152"/>
      <c r="BG2416" s="152"/>
      <c r="BH2416" s="152"/>
      <c r="BI2416" s="153"/>
      <c r="BJ2416" s="153"/>
      <c r="BK2416" s="153"/>
      <c r="BL2416" s="153"/>
      <c r="BM2416" s="153"/>
      <c r="BN2416" s="153"/>
      <c r="BO2416" s="153"/>
      <c r="BP2416" s="153"/>
      <c r="BQ2416" s="153"/>
      <c r="BR2416" s="153"/>
      <c r="BS2416" s="153"/>
      <c r="BT2416" s="153"/>
      <c r="BU2416" s="153"/>
      <c r="BV2416" s="153"/>
      <c r="BW2416" s="153"/>
      <c r="BX2416" s="153"/>
      <c r="BY2416" s="153"/>
      <c r="BZ2416" s="153"/>
      <c r="CA2416" s="152"/>
      <c r="CB2416" s="152"/>
    </row>
    <row r="2417" spans="1:80" s="87" customFormat="1" x14ac:dyDescent="0.2">
      <c r="A2417" s="152"/>
      <c r="B2417" s="683"/>
      <c r="C2417" s="683"/>
      <c r="D2417" s="698"/>
      <c r="E2417" s="215"/>
      <c r="F2417" s="215"/>
      <c r="G2417" s="153"/>
      <c r="H2417" s="153"/>
      <c r="I2417" s="163">
        <v>10</v>
      </c>
      <c r="J2417" s="312">
        <v>300</v>
      </c>
      <c r="K2417" s="150">
        <v>1</v>
      </c>
      <c r="L2417" s="656">
        <v>50</v>
      </c>
      <c r="M2417" s="663">
        <v>33373</v>
      </c>
      <c r="N2417" s="600">
        <v>0.20668</v>
      </c>
      <c r="O2417" s="604">
        <v>7.1500000000000003E-4</v>
      </c>
      <c r="P2417" s="150"/>
      <c r="Q2417" s="250"/>
      <c r="R2417" s="250"/>
      <c r="S2417" s="250"/>
      <c r="T2417" s="250">
        <v>8.5000000000000006E-2</v>
      </c>
      <c r="U2417" s="250">
        <v>0.23800000000000002</v>
      </c>
      <c r="V2417" s="250">
        <v>0.32500000000000001</v>
      </c>
      <c r="W2417" s="250">
        <v>0.222</v>
      </c>
      <c r="X2417" s="250">
        <v>0.126</v>
      </c>
      <c r="Y2417" s="250">
        <v>4.0000000000000001E-3</v>
      </c>
      <c r="Z2417" s="150"/>
      <c r="AA2417" s="150">
        <v>1.37</v>
      </c>
      <c r="AB2417" s="152"/>
      <c r="AC2417" s="152"/>
      <c r="AD2417" s="223"/>
      <c r="AE2417" s="223"/>
      <c r="AF2417" s="223"/>
      <c r="AG2417" s="223"/>
      <c r="AH2417" s="341"/>
      <c r="AI2417" s="218"/>
      <c r="AJ2417" s="218"/>
      <c r="AK2417" s="153"/>
      <c r="AL2417" s="152"/>
      <c r="AM2417" s="152"/>
      <c r="AN2417" s="152"/>
      <c r="AO2417" s="152"/>
      <c r="AP2417" s="152"/>
      <c r="AQ2417" s="152"/>
      <c r="AR2417" s="152"/>
      <c r="AS2417" s="152"/>
      <c r="AT2417" s="152"/>
      <c r="AU2417" s="153"/>
      <c r="AV2417" s="479"/>
      <c r="AW2417" s="479"/>
      <c r="AX2417" s="442"/>
      <c r="AY2417" s="153"/>
      <c r="AZ2417" s="152"/>
      <c r="BA2417" s="152"/>
      <c r="BB2417" s="152"/>
      <c r="BC2417" s="152"/>
      <c r="BD2417" s="152"/>
      <c r="BE2417" s="152"/>
      <c r="BF2417" s="152"/>
      <c r="BG2417" s="152"/>
      <c r="BH2417" s="152"/>
      <c r="BI2417" s="153"/>
      <c r="BJ2417" s="153"/>
      <c r="BK2417" s="153"/>
      <c r="BL2417" s="153"/>
      <c r="BM2417" s="153"/>
      <c r="BN2417" s="153"/>
      <c r="BO2417" s="153"/>
      <c r="BP2417" s="153"/>
      <c r="BQ2417" s="153"/>
      <c r="BR2417" s="153"/>
      <c r="BS2417" s="153"/>
      <c r="BT2417" s="153"/>
      <c r="BU2417" s="153"/>
      <c r="BV2417" s="153"/>
      <c r="BW2417" s="153"/>
      <c r="BX2417" s="153"/>
      <c r="BY2417" s="153"/>
      <c r="BZ2417" s="153"/>
      <c r="CA2417" s="152"/>
      <c r="CB2417" s="152"/>
    </row>
    <row r="2418" spans="1:80" s="87" customFormat="1" x14ac:dyDescent="0.2">
      <c r="A2418" s="152"/>
      <c r="B2418" s="683"/>
      <c r="C2418" s="683"/>
      <c r="D2418" s="698"/>
      <c r="E2418" s="215"/>
      <c r="F2418" s="215"/>
      <c r="G2418" s="153"/>
      <c r="H2418" s="153"/>
      <c r="I2418" s="163">
        <v>10</v>
      </c>
      <c r="J2418" s="312">
        <v>300</v>
      </c>
      <c r="K2418" s="150">
        <v>1</v>
      </c>
      <c r="L2418" s="656">
        <v>50</v>
      </c>
      <c r="M2418" s="663">
        <v>33375</v>
      </c>
      <c r="N2418" s="600">
        <v>0.31143999999999999</v>
      </c>
      <c r="O2418" s="604">
        <v>1.186E-3</v>
      </c>
      <c r="P2418" s="150"/>
      <c r="Q2418" s="250"/>
      <c r="R2418" s="250"/>
      <c r="S2418" s="250">
        <v>6.5000000000000002E-2</v>
      </c>
      <c r="T2418" s="250">
        <v>0.13100000000000001</v>
      </c>
      <c r="U2418" s="250">
        <v>0.16</v>
      </c>
      <c r="V2418" s="250">
        <v>0.25700000000000001</v>
      </c>
      <c r="W2418" s="250">
        <v>0.24399999999999999</v>
      </c>
      <c r="X2418" s="250">
        <v>0.13500000000000001</v>
      </c>
      <c r="Y2418" s="250">
        <v>8.0000000000000002E-3</v>
      </c>
      <c r="Z2418" s="150"/>
      <c r="AA2418" s="150">
        <v>1.36</v>
      </c>
      <c r="AB2418" s="152"/>
      <c r="AC2418" s="152"/>
      <c r="AD2418" s="223"/>
      <c r="AE2418" s="223"/>
      <c r="AF2418" s="223"/>
      <c r="AG2418" s="223"/>
      <c r="AH2418" s="341"/>
      <c r="AI2418" s="218"/>
      <c r="AJ2418" s="218"/>
      <c r="AK2418" s="153"/>
      <c r="AL2418" s="152"/>
      <c r="AM2418" s="152"/>
      <c r="AN2418" s="152"/>
      <c r="AO2418" s="152"/>
      <c r="AP2418" s="152"/>
      <c r="AQ2418" s="152"/>
      <c r="AR2418" s="152"/>
      <c r="AS2418" s="152"/>
      <c r="AT2418" s="152"/>
      <c r="AU2418" s="153"/>
      <c r="AV2418" s="479"/>
      <c r="AW2418" s="479"/>
      <c r="AX2418" s="442"/>
      <c r="AY2418" s="153"/>
      <c r="AZ2418" s="152"/>
      <c r="BA2418" s="152"/>
      <c r="BB2418" s="152"/>
      <c r="BC2418" s="152"/>
      <c r="BD2418" s="152"/>
      <c r="BE2418" s="152"/>
      <c r="BF2418" s="152"/>
      <c r="BG2418" s="152"/>
      <c r="BH2418" s="152"/>
      <c r="BI2418" s="153"/>
      <c r="BJ2418" s="153"/>
      <c r="BK2418" s="153"/>
      <c r="BL2418" s="153"/>
      <c r="BM2418" s="153"/>
      <c r="BN2418" s="153"/>
      <c r="BO2418" s="153"/>
      <c r="BP2418" s="153"/>
      <c r="BQ2418" s="153"/>
      <c r="BR2418" s="153"/>
      <c r="BS2418" s="153"/>
      <c r="BT2418" s="153"/>
      <c r="BU2418" s="153"/>
      <c r="BV2418" s="153"/>
      <c r="BW2418" s="153"/>
      <c r="BX2418" s="153"/>
      <c r="BY2418" s="153"/>
      <c r="BZ2418" s="153"/>
      <c r="CA2418" s="152"/>
      <c r="CB2418" s="152"/>
    </row>
    <row r="2419" spans="1:80" s="87" customFormat="1" x14ac:dyDescent="0.2">
      <c r="A2419" s="152"/>
      <c r="B2419" s="683"/>
      <c r="C2419" s="683"/>
      <c r="D2419" s="698"/>
      <c r="E2419" s="215"/>
      <c r="F2419" s="215"/>
      <c r="G2419" s="153"/>
      <c r="H2419" s="153"/>
      <c r="I2419" s="163">
        <v>10</v>
      </c>
      <c r="J2419" s="312">
        <v>240</v>
      </c>
      <c r="K2419" s="150">
        <v>1</v>
      </c>
      <c r="L2419" s="656">
        <v>40</v>
      </c>
      <c r="M2419" s="663">
        <v>33378</v>
      </c>
      <c r="N2419" s="600">
        <v>0.33975</v>
      </c>
      <c r="O2419" s="604">
        <v>3.4529999999999999E-3</v>
      </c>
      <c r="P2419" s="150"/>
      <c r="Q2419" s="250"/>
      <c r="R2419" s="250"/>
      <c r="S2419" s="250">
        <v>6.9999999999999993E-3</v>
      </c>
      <c r="T2419" s="250">
        <v>3.6000000000000004E-2</v>
      </c>
      <c r="U2419" s="250">
        <v>0.15</v>
      </c>
      <c r="V2419" s="250">
        <v>0.41</v>
      </c>
      <c r="W2419" s="250">
        <v>0.30299999999999999</v>
      </c>
      <c r="X2419" s="250">
        <v>0.09</v>
      </c>
      <c r="Y2419" s="250">
        <v>5.0000000000000001E-3</v>
      </c>
      <c r="Z2419" s="150"/>
      <c r="AA2419" s="150">
        <v>1.19</v>
      </c>
      <c r="AB2419" s="152"/>
      <c r="AC2419" s="152"/>
      <c r="AD2419" s="223"/>
      <c r="AE2419" s="223"/>
      <c r="AF2419" s="223"/>
      <c r="AG2419" s="223"/>
      <c r="AH2419" s="341"/>
      <c r="AI2419" s="218"/>
      <c r="AJ2419" s="218"/>
      <c r="AK2419" s="153"/>
      <c r="AL2419" s="152"/>
      <c r="AM2419" s="152"/>
      <c r="AN2419" s="152"/>
      <c r="AO2419" s="152"/>
      <c r="AP2419" s="152"/>
      <c r="AQ2419" s="152"/>
      <c r="AR2419" s="152"/>
      <c r="AS2419" s="152"/>
      <c r="AT2419" s="152"/>
      <c r="AU2419" s="153"/>
      <c r="AV2419" s="479"/>
      <c r="AW2419" s="479"/>
      <c r="AX2419" s="442"/>
      <c r="AY2419" s="153"/>
      <c r="AZ2419" s="152"/>
      <c r="BA2419" s="152"/>
      <c r="BB2419" s="152"/>
      <c r="BC2419" s="152"/>
      <c r="BD2419" s="152"/>
      <c r="BE2419" s="152"/>
      <c r="BF2419" s="152"/>
      <c r="BG2419" s="152"/>
      <c r="BH2419" s="152"/>
      <c r="BI2419" s="153"/>
      <c r="BJ2419" s="153"/>
      <c r="BK2419" s="153"/>
      <c r="BL2419" s="153"/>
      <c r="BM2419" s="153"/>
      <c r="BN2419" s="153"/>
      <c r="BO2419" s="153"/>
      <c r="BP2419" s="153"/>
      <c r="BQ2419" s="153"/>
      <c r="BR2419" s="153"/>
      <c r="BS2419" s="153"/>
      <c r="BT2419" s="153"/>
      <c r="BU2419" s="153"/>
      <c r="BV2419" s="153"/>
      <c r="BW2419" s="153"/>
      <c r="BX2419" s="153"/>
      <c r="BY2419" s="153"/>
      <c r="BZ2419" s="153"/>
      <c r="CA2419" s="152"/>
      <c r="CB2419" s="152"/>
    </row>
    <row r="2420" spans="1:80" s="87" customFormat="1" x14ac:dyDescent="0.2">
      <c r="A2420" s="152"/>
      <c r="B2420" s="683"/>
      <c r="C2420" s="683"/>
      <c r="D2420" s="698"/>
      <c r="E2420" s="215"/>
      <c r="F2420" s="215"/>
      <c r="G2420" s="153"/>
      <c r="H2420" s="153"/>
      <c r="I2420" s="163">
        <v>10</v>
      </c>
      <c r="J2420" s="312">
        <v>240</v>
      </c>
      <c r="K2420" s="150">
        <v>1</v>
      </c>
      <c r="L2420" s="656">
        <v>40</v>
      </c>
      <c r="M2420" s="663">
        <v>33379</v>
      </c>
      <c r="N2420" s="600">
        <v>0.36807000000000001</v>
      </c>
      <c r="O2420" s="604">
        <v>3.107E-3</v>
      </c>
      <c r="P2420" s="150"/>
      <c r="Q2420" s="250"/>
      <c r="R2420" s="250"/>
      <c r="S2420" s="250"/>
      <c r="T2420" s="250">
        <v>5.0999999999999997E-2</v>
      </c>
      <c r="U2420" s="250">
        <v>0.19</v>
      </c>
      <c r="V2420" s="250">
        <v>0.34700000000000003</v>
      </c>
      <c r="W2420" s="250">
        <v>0.29499999999999998</v>
      </c>
      <c r="X2420" s="250">
        <v>0.113</v>
      </c>
      <c r="Y2420" s="250">
        <v>4.0000000000000001E-3</v>
      </c>
      <c r="Z2420" s="150"/>
      <c r="AA2420" s="150">
        <v>1.19</v>
      </c>
      <c r="AB2420" s="152"/>
      <c r="AC2420" s="152"/>
      <c r="AD2420" s="223"/>
      <c r="AE2420" s="223"/>
      <c r="AF2420" s="223"/>
      <c r="AG2420" s="223"/>
      <c r="AH2420" s="341"/>
      <c r="AI2420" s="218"/>
      <c r="AJ2420" s="218"/>
      <c r="AK2420" s="153"/>
      <c r="AL2420" s="152"/>
      <c r="AM2420" s="152"/>
      <c r="AN2420" s="152"/>
      <c r="AO2420" s="152"/>
      <c r="AP2420" s="152"/>
      <c r="AQ2420" s="152"/>
      <c r="AR2420" s="152"/>
      <c r="AS2420" s="152"/>
      <c r="AT2420" s="152"/>
      <c r="AU2420" s="153"/>
      <c r="AV2420" s="479"/>
      <c r="AW2420" s="479"/>
      <c r="AX2420" s="442"/>
      <c r="AY2420" s="153"/>
      <c r="AZ2420" s="152"/>
      <c r="BA2420" s="152"/>
      <c r="BB2420" s="152"/>
      <c r="BC2420" s="152"/>
      <c r="BD2420" s="152"/>
      <c r="BE2420" s="152"/>
      <c r="BF2420" s="152"/>
      <c r="BG2420" s="152"/>
      <c r="BH2420" s="152"/>
      <c r="BI2420" s="153"/>
      <c r="BJ2420" s="153"/>
      <c r="BK2420" s="153"/>
      <c r="BL2420" s="153"/>
      <c r="BM2420" s="153"/>
      <c r="BN2420" s="153"/>
      <c r="BO2420" s="153"/>
      <c r="BP2420" s="153"/>
      <c r="BQ2420" s="153"/>
      <c r="BR2420" s="153"/>
      <c r="BS2420" s="153"/>
      <c r="BT2420" s="153"/>
      <c r="BU2420" s="153"/>
      <c r="BV2420" s="153"/>
      <c r="BW2420" s="153"/>
      <c r="BX2420" s="153"/>
      <c r="BY2420" s="153"/>
      <c r="BZ2420" s="153"/>
      <c r="CA2420" s="152"/>
      <c r="CB2420" s="152"/>
    </row>
    <row r="2421" spans="1:80" s="87" customFormat="1" x14ac:dyDescent="0.2">
      <c r="A2421" s="152"/>
      <c r="B2421" s="683"/>
      <c r="C2421" s="683"/>
      <c r="D2421" s="698"/>
      <c r="E2421" s="215"/>
      <c r="F2421" s="215"/>
      <c r="G2421" s="153"/>
      <c r="H2421" s="153"/>
      <c r="I2421" s="163">
        <v>10</v>
      </c>
      <c r="J2421" s="312">
        <v>240</v>
      </c>
      <c r="K2421" s="150">
        <v>1</v>
      </c>
      <c r="L2421" s="656">
        <v>40</v>
      </c>
      <c r="M2421" s="663">
        <v>33381</v>
      </c>
      <c r="N2421" s="600">
        <v>0.42469000000000001</v>
      </c>
      <c r="O2421" s="604">
        <v>2.2039999999999998E-3</v>
      </c>
      <c r="P2421" s="150"/>
      <c r="Q2421" s="250"/>
      <c r="R2421" s="250"/>
      <c r="S2421" s="250"/>
      <c r="T2421" s="250">
        <v>1.3999999999999999E-2</v>
      </c>
      <c r="U2421" s="250">
        <v>8.5000000000000006E-2</v>
      </c>
      <c r="V2421" s="250">
        <v>0.24199999999999999</v>
      </c>
      <c r="W2421" s="250">
        <v>0.39299999999999996</v>
      </c>
      <c r="X2421" s="250">
        <v>0.25700000000000001</v>
      </c>
      <c r="Y2421" s="250">
        <v>0.01</v>
      </c>
      <c r="Z2421" s="150"/>
      <c r="AA2421" s="150">
        <v>0.76</v>
      </c>
      <c r="AB2421" s="152"/>
      <c r="AC2421" s="152"/>
      <c r="AD2421" s="223">
        <v>4.2670599999999999</v>
      </c>
      <c r="AE2421" s="223">
        <v>0.31393369999999998</v>
      </c>
      <c r="AF2421" s="223">
        <v>1.33953148</v>
      </c>
      <c r="AG2421" s="223">
        <v>0.34241317599999999</v>
      </c>
      <c r="AH2421" s="341"/>
      <c r="AI2421" s="218"/>
      <c r="AJ2421" s="218"/>
      <c r="AK2421" s="153"/>
      <c r="AL2421" s="152"/>
      <c r="AM2421" s="152"/>
      <c r="AN2421" s="152"/>
      <c r="AO2421" s="152"/>
      <c r="AP2421" s="152"/>
      <c r="AQ2421" s="152"/>
      <c r="AR2421" s="152"/>
      <c r="AS2421" s="152"/>
      <c r="AT2421" s="152"/>
      <c r="AU2421" s="153"/>
      <c r="AV2421" s="479"/>
      <c r="AW2421" s="479"/>
      <c r="AX2421" s="442"/>
      <c r="AY2421" s="153"/>
      <c r="AZ2421" s="152"/>
      <c r="BA2421" s="152"/>
      <c r="BB2421" s="152"/>
      <c r="BC2421" s="152"/>
      <c r="BD2421" s="152"/>
      <c r="BE2421" s="152"/>
      <c r="BF2421" s="152"/>
      <c r="BG2421" s="152"/>
      <c r="BH2421" s="152"/>
      <c r="BI2421" s="153"/>
      <c r="BJ2421" s="153"/>
      <c r="BK2421" s="153"/>
      <c r="BL2421" s="153"/>
      <c r="BM2421" s="153"/>
      <c r="BN2421" s="153"/>
      <c r="BO2421" s="153"/>
      <c r="BP2421" s="153"/>
      <c r="BQ2421" s="153"/>
      <c r="BR2421" s="153"/>
      <c r="BS2421" s="153"/>
      <c r="BT2421" s="153"/>
      <c r="BU2421" s="153"/>
      <c r="BV2421" s="153"/>
      <c r="BW2421" s="153"/>
      <c r="BX2421" s="153"/>
      <c r="BY2421" s="153"/>
      <c r="BZ2421" s="153"/>
      <c r="CA2421" s="152"/>
      <c r="CB2421" s="152"/>
    </row>
    <row r="2422" spans="1:80" s="87" customFormat="1" x14ac:dyDescent="0.2">
      <c r="A2422" s="152"/>
      <c r="B2422" s="683"/>
      <c r="C2422" s="683"/>
      <c r="D2422" s="698"/>
      <c r="E2422" s="215"/>
      <c r="F2422" s="215"/>
      <c r="G2422" s="153"/>
      <c r="H2422" s="153"/>
      <c r="I2422" s="163">
        <v>10</v>
      </c>
      <c r="J2422" s="312">
        <v>300</v>
      </c>
      <c r="K2422" s="150">
        <v>1</v>
      </c>
      <c r="L2422" s="656">
        <v>50</v>
      </c>
      <c r="M2422" s="663">
        <v>33386</v>
      </c>
      <c r="N2422" s="600">
        <v>0.39638000000000001</v>
      </c>
      <c r="O2422" s="604">
        <v>4.4400000000000004E-3</v>
      </c>
      <c r="P2422" s="150"/>
      <c r="Q2422" s="250"/>
      <c r="R2422" s="250"/>
      <c r="S2422" s="250">
        <v>8.0000000000000002E-3</v>
      </c>
      <c r="T2422" s="250">
        <v>0.11699999999999999</v>
      </c>
      <c r="U2422" s="250">
        <v>0.27800000000000002</v>
      </c>
      <c r="V2422" s="250">
        <v>0.28100000000000003</v>
      </c>
      <c r="W2422" s="250">
        <v>0.20199999999999999</v>
      </c>
      <c r="X2422" s="250">
        <v>0.11</v>
      </c>
      <c r="Y2422" s="250">
        <v>4.0000000000000001E-3</v>
      </c>
      <c r="Z2422" s="150"/>
      <c r="AA2422" s="150">
        <v>1.57</v>
      </c>
      <c r="AB2422" s="152"/>
      <c r="AC2422" s="152"/>
      <c r="AD2422" s="223"/>
      <c r="AE2422" s="223"/>
      <c r="AF2422" s="223"/>
      <c r="AG2422" s="223"/>
      <c r="AH2422" s="341"/>
      <c r="AI2422" s="218"/>
      <c r="AJ2422" s="218"/>
      <c r="AK2422" s="153"/>
      <c r="AL2422" s="152"/>
      <c r="AM2422" s="152"/>
      <c r="AN2422" s="152"/>
      <c r="AO2422" s="152"/>
      <c r="AP2422" s="152"/>
      <c r="AQ2422" s="152"/>
      <c r="AR2422" s="152"/>
      <c r="AS2422" s="152"/>
      <c r="AT2422" s="152"/>
      <c r="AU2422" s="153"/>
      <c r="AV2422" s="479"/>
      <c r="AW2422" s="479"/>
      <c r="AX2422" s="442"/>
      <c r="AY2422" s="153"/>
      <c r="AZ2422" s="152"/>
      <c r="BA2422" s="152"/>
      <c r="BB2422" s="152"/>
      <c r="BC2422" s="152"/>
      <c r="BD2422" s="152"/>
      <c r="BE2422" s="152"/>
      <c r="BF2422" s="152"/>
      <c r="BG2422" s="152"/>
      <c r="BH2422" s="152"/>
      <c r="BI2422" s="153"/>
      <c r="BJ2422" s="153"/>
      <c r="BK2422" s="153"/>
      <c r="BL2422" s="153"/>
      <c r="BM2422" s="153"/>
      <c r="BN2422" s="153"/>
      <c r="BO2422" s="153"/>
      <c r="BP2422" s="153"/>
      <c r="BQ2422" s="153"/>
      <c r="BR2422" s="153"/>
      <c r="BS2422" s="153"/>
      <c r="BT2422" s="153"/>
      <c r="BU2422" s="153"/>
      <c r="BV2422" s="153"/>
      <c r="BW2422" s="153"/>
      <c r="BX2422" s="153"/>
      <c r="BY2422" s="153"/>
      <c r="BZ2422" s="153"/>
      <c r="CA2422" s="152"/>
      <c r="CB2422" s="152"/>
    </row>
    <row r="2423" spans="1:80" s="87" customFormat="1" x14ac:dyDescent="0.2">
      <c r="A2423" s="152"/>
      <c r="B2423" s="683"/>
      <c r="C2423" s="683"/>
      <c r="D2423" s="698"/>
      <c r="E2423" s="215"/>
      <c r="F2423" s="215"/>
      <c r="G2423" s="153"/>
      <c r="H2423" s="153"/>
      <c r="I2423" s="163">
        <v>10</v>
      </c>
      <c r="J2423" s="312">
        <v>360</v>
      </c>
      <c r="K2423" s="150">
        <v>1</v>
      </c>
      <c r="L2423" s="656">
        <v>60</v>
      </c>
      <c r="M2423" s="663">
        <v>33387</v>
      </c>
      <c r="N2423" s="600">
        <v>0.39638000000000001</v>
      </c>
      <c r="O2423" s="604">
        <v>2.225E-3</v>
      </c>
      <c r="P2423" s="150"/>
      <c r="Q2423" s="250"/>
      <c r="R2423" s="250"/>
      <c r="S2423" s="250">
        <v>5.0000000000000001E-3</v>
      </c>
      <c r="T2423" s="250">
        <v>8.199999999999999E-2</v>
      </c>
      <c r="U2423" s="250">
        <v>0.115</v>
      </c>
      <c r="V2423" s="250">
        <v>0.29699999999999999</v>
      </c>
      <c r="W2423" s="250">
        <v>0.35799999999999998</v>
      </c>
      <c r="X2423" s="250">
        <v>0.13699999999999998</v>
      </c>
      <c r="Y2423" s="250">
        <v>5.0000000000000001E-3</v>
      </c>
      <c r="Z2423" s="150"/>
      <c r="AA2423" s="150">
        <v>1</v>
      </c>
      <c r="AB2423" s="152"/>
      <c r="AC2423" s="152"/>
      <c r="AD2423" s="223"/>
      <c r="AE2423" s="223"/>
      <c r="AF2423" s="223"/>
      <c r="AG2423" s="223"/>
      <c r="AH2423" s="341"/>
      <c r="AI2423" s="218"/>
      <c r="AJ2423" s="218"/>
      <c r="AK2423" s="153"/>
      <c r="AL2423" s="152"/>
      <c r="AM2423" s="152"/>
      <c r="AN2423" s="152"/>
      <c r="AO2423" s="152"/>
      <c r="AP2423" s="152"/>
      <c r="AQ2423" s="152"/>
      <c r="AR2423" s="152"/>
      <c r="AS2423" s="152"/>
      <c r="AT2423" s="152"/>
      <c r="AU2423" s="153"/>
      <c r="AV2423" s="479"/>
      <c r="AW2423" s="479"/>
      <c r="AX2423" s="442"/>
      <c r="AY2423" s="153"/>
      <c r="AZ2423" s="152"/>
      <c r="BA2423" s="152"/>
      <c r="BB2423" s="152"/>
      <c r="BC2423" s="152"/>
      <c r="BD2423" s="152"/>
      <c r="BE2423" s="152"/>
      <c r="BF2423" s="152"/>
      <c r="BG2423" s="152"/>
      <c r="BH2423" s="152"/>
      <c r="BI2423" s="153"/>
      <c r="BJ2423" s="153"/>
      <c r="BK2423" s="153"/>
      <c r="BL2423" s="153"/>
      <c r="BM2423" s="153"/>
      <c r="BN2423" s="153"/>
      <c r="BO2423" s="153"/>
      <c r="BP2423" s="153"/>
      <c r="BQ2423" s="153"/>
      <c r="BR2423" s="153"/>
      <c r="BS2423" s="153"/>
      <c r="BT2423" s="153"/>
      <c r="BU2423" s="153"/>
      <c r="BV2423" s="153"/>
      <c r="BW2423" s="153"/>
      <c r="BX2423" s="153"/>
      <c r="BY2423" s="153"/>
      <c r="BZ2423" s="153"/>
      <c r="CA2423" s="152"/>
      <c r="CB2423" s="152"/>
    </row>
    <row r="2424" spans="1:80" s="87" customFormat="1" x14ac:dyDescent="0.2">
      <c r="A2424" s="152"/>
      <c r="B2424" s="683"/>
      <c r="C2424" s="683"/>
      <c r="D2424" s="698"/>
      <c r="E2424" s="215"/>
      <c r="F2424" s="215"/>
      <c r="G2424" s="153"/>
      <c r="H2424" s="153"/>
      <c r="I2424" s="163">
        <v>10</v>
      </c>
      <c r="J2424" s="312">
        <v>360</v>
      </c>
      <c r="K2424" s="150">
        <v>1</v>
      </c>
      <c r="L2424" s="656">
        <v>60</v>
      </c>
      <c r="M2424" s="663">
        <v>33388</v>
      </c>
      <c r="N2424" s="600">
        <v>0.39638000000000001</v>
      </c>
      <c r="O2424" s="604">
        <v>2.4139999999999999E-3</v>
      </c>
      <c r="P2424" s="150"/>
      <c r="Q2424" s="250"/>
      <c r="R2424" s="250"/>
      <c r="S2424" s="250"/>
      <c r="T2424" s="250">
        <v>5.0999999999999997E-2</v>
      </c>
      <c r="U2424" s="250">
        <v>0.13100000000000001</v>
      </c>
      <c r="V2424" s="250">
        <v>0.24299999999999999</v>
      </c>
      <c r="W2424" s="250">
        <v>0.35899999999999999</v>
      </c>
      <c r="X2424" s="250">
        <v>0.20600000000000002</v>
      </c>
      <c r="Y2424" s="250">
        <v>0.01</v>
      </c>
      <c r="Z2424" s="150"/>
      <c r="AA2424" s="150">
        <v>0.87</v>
      </c>
      <c r="AB2424" s="152"/>
      <c r="AC2424" s="152"/>
      <c r="AD2424" s="223"/>
      <c r="AE2424" s="223"/>
      <c r="AF2424" s="223"/>
      <c r="AG2424" s="223"/>
      <c r="AH2424" s="341"/>
      <c r="AI2424" s="218"/>
      <c r="AJ2424" s="218"/>
      <c r="AK2424" s="153"/>
      <c r="AL2424" s="152"/>
      <c r="AM2424" s="152"/>
      <c r="AN2424" s="152"/>
      <c r="AO2424" s="152"/>
      <c r="AP2424" s="152"/>
      <c r="AQ2424" s="152"/>
      <c r="AR2424" s="152"/>
      <c r="AS2424" s="152"/>
      <c r="AT2424" s="152"/>
      <c r="AU2424" s="153"/>
      <c r="AV2424" s="479"/>
      <c r="AW2424" s="479"/>
      <c r="AX2424" s="442"/>
      <c r="AY2424" s="153"/>
      <c r="AZ2424" s="152"/>
      <c r="BA2424" s="152"/>
      <c r="BB2424" s="152"/>
      <c r="BC2424" s="152"/>
      <c r="BD2424" s="152"/>
      <c r="BE2424" s="152"/>
      <c r="BF2424" s="152"/>
      <c r="BG2424" s="152"/>
      <c r="BH2424" s="152"/>
      <c r="BI2424" s="153"/>
      <c r="BJ2424" s="153"/>
      <c r="BK2424" s="153"/>
      <c r="BL2424" s="153"/>
      <c r="BM2424" s="153"/>
      <c r="BN2424" s="153"/>
      <c r="BO2424" s="153"/>
      <c r="BP2424" s="153"/>
      <c r="BQ2424" s="153"/>
      <c r="BR2424" s="153"/>
      <c r="BS2424" s="153"/>
      <c r="BT2424" s="153"/>
      <c r="BU2424" s="153"/>
      <c r="BV2424" s="153"/>
      <c r="BW2424" s="153"/>
      <c r="BX2424" s="153"/>
      <c r="BY2424" s="153"/>
      <c r="BZ2424" s="153"/>
      <c r="CA2424" s="152"/>
      <c r="CB2424" s="152"/>
    </row>
    <row r="2425" spans="1:80" s="87" customFormat="1" x14ac:dyDescent="0.2">
      <c r="A2425" s="152"/>
      <c r="B2425" s="683"/>
      <c r="C2425" s="683"/>
      <c r="D2425" s="698"/>
      <c r="E2425" s="215"/>
      <c r="F2425" s="215"/>
      <c r="G2425" s="153"/>
      <c r="H2425" s="153"/>
      <c r="I2425" s="163">
        <v>10</v>
      </c>
      <c r="J2425" s="312">
        <v>240</v>
      </c>
      <c r="K2425" s="150">
        <v>1</v>
      </c>
      <c r="L2425" s="656">
        <v>40</v>
      </c>
      <c r="M2425" s="663">
        <v>33393</v>
      </c>
      <c r="N2425" s="600">
        <v>0.50963000000000003</v>
      </c>
      <c r="O2425" s="604">
        <v>9.6349999999999995E-3</v>
      </c>
      <c r="P2425" s="150"/>
      <c r="Q2425" s="250"/>
      <c r="R2425" s="250"/>
      <c r="S2425" s="250">
        <v>3.3000000000000002E-2</v>
      </c>
      <c r="T2425" s="250">
        <v>0.124</v>
      </c>
      <c r="U2425" s="250">
        <v>0.21600000000000003</v>
      </c>
      <c r="V2425" s="250">
        <v>0.183</v>
      </c>
      <c r="W2425" s="250">
        <v>0.24</v>
      </c>
      <c r="X2425" s="250">
        <v>0.19600000000000001</v>
      </c>
      <c r="Y2425" s="250">
        <v>8.0000000000000002E-3</v>
      </c>
      <c r="Z2425" s="150"/>
      <c r="AA2425" s="150">
        <v>1.24</v>
      </c>
      <c r="AB2425" s="152"/>
      <c r="AC2425" s="152"/>
      <c r="AD2425" s="223"/>
      <c r="AE2425" s="223"/>
      <c r="AF2425" s="223"/>
      <c r="AG2425" s="223"/>
      <c r="AH2425" s="341"/>
      <c r="AI2425" s="218"/>
      <c r="AJ2425" s="218"/>
      <c r="AK2425" s="153"/>
      <c r="AL2425" s="152"/>
      <c r="AM2425" s="152"/>
      <c r="AN2425" s="152"/>
      <c r="AO2425" s="152"/>
      <c r="AP2425" s="152"/>
      <c r="AQ2425" s="152"/>
      <c r="AR2425" s="152"/>
      <c r="AS2425" s="152"/>
      <c r="AT2425" s="152"/>
      <c r="AU2425" s="153"/>
      <c r="AV2425" s="479"/>
      <c r="AW2425" s="479"/>
      <c r="AX2425" s="442"/>
      <c r="AY2425" s="153"/>
      <c r="AZ2425" s="152"/>
      <c r="BA2425" s="152"/>
      <c r="BB2425" s="152"/>
      <c r="BC2425" s="152"/>
      <c r="BD2425" s="152"/>
      <c r="BE2425" s="152"/>
      <c r="BF2425" s="152"/>
      <c r="BG2425" s="152"/>
      <c r="BH2425" s="152"/>
      <c r="BI2425" s="153"/>
      <c r="BJ2425" s="153"/>
      <c r="BK2425" s="153"/>
      <c r="BL2425" s="153"/>
      <c r="BM2425" s="153"/>
      <c r="BN2425" s="153"/>
      <c r="BO2425" s="153"/>
      <c r="BP2425" s="153"/>
      <c r="BQ2425" s="153"/>
      <c r="BR2425" s="153"/>
      <c r="BS2425" s="153"/>
      <c r="BT2425" s="153"/>
      <c r="BU2425" s="153"/>
      <c r="BV2425" s="153"/>
      <c r="BW2425" s="153"/>
      <c r="BX2425" s="153"/>
      <c r="BY2425" s="153"/>
      <c r="BZ2425" s="153"/>
      <c r="CA2425" s="152"/>
      <c r="CB2425" s="152"/>
    </row>
    <row r="2426" spans="1:80" s="87" customFormat="1" x14ac:dyDescent="0.2">
      <c r="A2426" s="152"/>
      <c r="B2426" s="683"/>
      <c r="C2426" s="683"/>
      <c r="D2426" s="698"/>
      <c r="E2426" s="215"/>
      <c r="F2426" s="215"/>
      <c r="G2426" s="153"/>
      <c r="H2426" s="153"/>
      <c r="I2426" s="163">
        <v>10</v>
      </c>
      <c r="J2426" s="312">
        <v>240</v>
      </c>
      <c r="K2426" s="150">
        <v>1</v>
      </c>
      <c r="L2426" s="656">
        <v>40</v>
      </c>
      <c r="M2426" s="663">
        <v>33400</v>
      </c>
      <c r="N2426" s="600">
        <v>0.50963000000000003</v>
      </c>
      <c r="O2426" s="604">
        <v>5.8570000000000002E-3</v>
      </c>
      <c r="P2426" s="150"/>
      <c r="Q2426" s="250"/>
      <c r="R2426" s="250"/>
      <c r="S2426" s="250">
        <v>3.1E-2</v>
      </c>
      <c r="T2426" s="250">
        <v>8.1000000000000003E-2</v>
      </c>
      <c r="U2426" s="250">
        <v>0.22800000000000001</v>
      </c>
      <c r="V2426" s="250">
        <v>0.30299999999999999</v>
      </c>
      <c r="W2426" s="250">
        <v>0.23499999999999999</v>
      </c>
      <c r="X2426" s="250">
        <v>0.11599999999999999</v>
      </c>
      <c r="Y2426" s="250">
        <v>6.0000000000000001E-3</v>
      </c>
      <c r="Z2426" s="150"/>
      <c r="AA2426" s="150">
        <v>1.39</v>
      </c>
      <c r="AB2426" s="152"/>
      <c r="AC2426" s="152"/>
      <c r="AD2426" s="223"/>
      <c r="AE2426" s="223"/>
      <c r="AF2426" s="223"/>
      <c r="AG2426" s="223"/>
      <c r="AH2426" s="341"/>
      <c r="AI2426" s="218"/>
      <c r="AJ2426" s="218"/>
      <c r="AK2426" s="153"/>
      <c r="AL2426" s="152"/>
      <c r="AM2426" s="152"/>
      <c r="AN2426" s="152"/>
      <c r="AO2426" s="152"/>
      <c r="AP2426" s="152"/>
      <c r="AQ2426" s="152"/>
      <c r="AR2426" s="152"/>
      <c r="AS2426" s="152"/>
      <c r="AT2426" s="152"/>
      <c r="AU2426" s="153"/>
      <c r="AV2426" s="479"/>
      <c r="AW2426" s="479"/>
      <c r="AX2426" s="442"/>
      <c r="AY2426" s="153"/>
      <c r="AZ2426" s="152"/>
      <c r="BA2426" s="152"/>
      <c r="BB2426" s="152"/>
      <c r="BC2426" s="152"/>
      <c r="BD2426" s="152"/>
      <c r="BE2426" s="152"/>
      <c r="BF2426" s="152"/>
      <c r="BG2426" s="152"/>
      <c r="BH2426" s="152"/>
      <c r="BI2426" s="153"/>
      <c r="BJ2426" s="153"/>
      <c r="BK2426" s="153"/>
      <c r="BL2426" s="153"/>
      <c r="BM2426" s="153"/>
      <c r="BN2426" s="153"/>
      <c r="BO2426" s="153"/>
      <c r="BP2426" s="153"/>
      <c r="BQ2426" s="153"/>
      <c r="BR2426" s="153"/>
      <c r="BS2426" s="153"/>
      <c r="BT2426" s="153"/>
      <c r="BU2426" s="153"/>
      <c r="BV2426" s="153"/>
      <c r="BW2426" s="153"/>
      <c r="BX2426" s="153"/>
      <c r="BY2426" s="153"/>
      <c r="BZ2426" s="153"/>
      <c r="CA2426" s="152"/>
      <c r="CB2426" s="152"/>
    </row>
    <row r="2427" spans="1:80" s="87" customFormat="1" x14ac:dyDescent="0.2">
      <c r="A2427" s="152"/>
      <c r="B2427" s="683"/>
      <c r="C2427" s="683"/>
      <c r="D2427" s="698"/>
      <c r="E2427" s="215"/>
      <c r="F2427" s="215"/>
      <c r="G2427" s="153"/>
      <c r="H2427" s="153"/>
      <c r="I2427" s="163">
        <v>9</v>
      </c>
      <c r="J2427" s="312">
        <v>240</v>
      </c>
      <c r="K2427" s="150">
        <v>1</v>
      </c>
      <c r="L2427" s="656">
        <v>36</v>
      </c>
      <c r="M2427" s="663">
        <v>33701</v>
      </c>
      <c r="N2427" s="600">
        <v>0.11608</v>
      </c>
      <c r="O2427" s="604">
        <v>9.3399999999999993E-5</v>
      </c>
      <c r="P2427" s="150"/>
      <c r="Q2427" s="250"/>
      <c r="R2427" s="250"/>
      <c r="S2427" s="250"/>
      <c r="T2427" s="250"/>
      <c r="U2427" s="250">
        <v>0.13400000000000001</v>
      </c>
      <c r="V2427" s="250">
        <v>0.35299999999999998</v>
      </c>
      <c r="W2427" s="250">
        <v>0.30299999999999999</v>
      </c>
      <c r="X2427" s="250">
        <v>0.17600000000000002</v>
      </c>
      <c r="Y2427" s="250">
        <v>3.4000000000000002E-2</v>
      </c>
      <c r="Z2427" s="150"/>
      <c r="AA2427" s="150">
        <v>0.97</v>
      </c>
      <c r="AB2427" s="152"/>
      <c r="AC2427" s="152"/>
      <c r="AD2427" s="223"/>
      <c r="AE2427" s="223"/>
      <c r="AF2427" s="223"/>
      <c r="AG2427" s="223"/>
      <c r="AH2427" s="341"/>
      <c r="AI2427" s="218"/>
      <c r="AJ2427" s="218"/>
      <c r="AK2427" s="153"/>
      <c r="AL2427" s="152"/>
      <c r="AM2427" s="152"/>
      <c r="AN2427" s="152"/>
      <c r="AO2427" s="152"/>
      <c r="AP2427" s="152"/>
      <c r="AQ2427" s="152"/>
      <c r="AR2427" s="152"/>
      <c r="AS2427" s="152"/>
      <c r="AT2427" s="152"/>
      <c r="AU2427" s="153"/>
      <c r="AV2427" s="479"/>
      <c r="AW2427" s="479"/>
      <c r="AX2427" s="442"/>
      <c r="AY2427" s="153"/>
      <c r="AZ2427" s="152"/>
      <c r="BA2427" s="152"/>
      <c r="BB2427" s="152"/>
      <c r="BC2427" s="152"/>
      <c r="BD2427" s="152"/>
      <c r="BE2427" s="152"/>
      <c r="BF2427" s="152"/>
      <c r="BG2427" s="152"/>
      <c r="BH2427" s="152"/>
      <c r="BI2427" s="153"/>
      <c r="BJ2427" s="153"/>
      <c r="BK2427" s="153"/>
      <c r="BL2427" s="153"/>
      <c r="BM2427" s="153"/>
      <c r="BN2427" s="153"/>
      <c r="BO2427" s="153"/>
      <c r="BP2427" s="153"/>
      <c r="BQ2427" s="153"/>
      <c r="BR2427" s="153"/>
      <c r="BS2427" s="153"/>
      <c r="BT2427" s="153"/>
      <c r="BU2427" s="153"/>
      <c r="BV2427" s="153"/>
      <c r="BW2427" s="153"/>
      <c r="BX2427" s="153"/>
      <c r="BY2427" s="153"/>
      <c r="BZ2427" s="153"/>
      <c r="CA2427" s="152"/>
      <c r="CB2427" s="152"/>
    </row>
    <row r="2428" spans="1:80" s="87" customFormat="1" x14ac:dyDescent="0.2">
      <c r="A2428" s="152"/>
      <c r="B2428" s="683"/>
      <c r="C2428" s="683"/>
      <c r="D2428" s="698"/>
      <c r="E2428" s="215"/>
      <c r="F2428" s="215"/>
      <c r="G2428" s="153"/>
      <c r="H2428" s="153"/>
      <c r="I2428" s="163">
        <v>10</v>
      </c>
      <c r="J2428" s="312">
        <v>240</v>
      </c>
      <c r="K2428" s="150">
        <v>1</v>
      </c>
      <c r="L2428" s="656">
        <v>40</v>
      </c>
      <c r="M2428" s="663">
        <v>33708</v>
      </c>
      <c r="N2428" s="600">
        <v>0.27179999999999999</v>
      </c>
      <c r="O2428" s="604">
        <v>4.2820000000000002E-3</v>
      </c>
      <c r="P2428" s="150"/>
      <c r="Q2428" s="250"/>
      <c r="R2428" s="250"/>
      <c r="S2428" s="250"/>
      <c r="T2428" s="250">
        <v>2.8999999999999998E-2</v>
      </c>
      <c r="U2428" s="250">
        <v>0.22</v>
      </c>
      <c r="V2428" s="250">
        <v>0.29299999999999998</v>
      </c>
      <c r="W2428" s="250">
        <v>0.32600000000000001</v>
      </c>
      <c r="X2428" s="250">
        <v>0.126</v>
      </c>
      <c r="Y2428" s="250">
        <v>6.0000000000000001E-3</v>
      </c>
      <c r="Z2428" s="150"/>
      <c r="AA2428" s="150">
        <v>1.1000000000000001</v>
      </c>
      <c r="AB2428" s="152"/>
      <c r="AC2428" s="152"/>
      <c r="AD2428" s="223"/>
      <c r="AE2428" s="223"/>
      <c r="AF2428" s="223"/>
      <c r="AG2428" s="223"/>
      <c r="AH2428" s="341"/>
      <c r="AI2428" s="218"/>
      <c r="AJ2428" s="218"/>
      <c r="AK2428" s="153"/>
      <c r="AL2428" s="152"/>
      <c r="AM2428" s="152"/>
      <c r="AN2428" s="152"/>
      <c r="AO2428" s="152"/>
      <c r="AP2428" s="152"/>
      <c r="AQ2428" s="152"/>
      <c r="AR2428" s="152"/>
      <c r="AS2428" s="152"/>
      <c r="AT2428" s="152"/>
      <c r="AU2428" s="153"/>
      <c r="AV2428" s="479"/>
      <c r="AW2428" s="479"/>
      <c r="AX2428" s="442"/>
      <c r="AY2428" s="153"/>
      <c r="AZ2428" s="152"/>
      <c r="BA2428" s="152"/>
      <c r="BB2428" s="152"/>
      <c r="BC2428" s="152"/>
      <c r="BD2428" s="152"/>
      <c r="BE2428" s="152"/>
      <c r="BF2428" s="152"/>
      <c r="BG2428" s="152"/>
      <c r="BH2428" s="152"/>
      <c r="BI2428" s="153"/>
      <c r="BJ2428" s="153"/>
      <c r="BK2428" s="153"/>
      <c r="BL2428" s="153"/>
      <c r="BM2428" s="153"/>
      <c r="BN2428" s="153"/>
      <c r="BO2428" s="153"/>
      <c r="BP2428" s="153"/>
      <c r="BQ2428" s="153"/>
      <c r="BR2428" s="153"/>
      <c r="BS2428" s="153"/>
      <c r="BT2428" s="153"/>
      <c r="BU2428" s="153"/>
      <c r="BV2428" s="153"/>
      <c r="BW2428" s="153"/>
      <c r="BX2428" s="153"/>
      <c r="BY2428" s="153"/>
      <c r="BZ2428" s="153"/>
      <c r="CA2428" s="152"/>
      <c r="CB2428" s="152"/>
    </row>
    <row r="2429" spans="1:80" s="87" customFormat="1" x14ac:dyDescent="0.2">
      <c r="A2429" s="152"/>
      <c r="B2429" s="683"/>
      <c r="C2429" s="683"/>
      <c r="D2429" s="698"/>
      <c r="E2429" s="215"/>
      <c r="F2429" s="215"/>
      <c r="G2429" s="153"/>
      <c r="H2429" s="153"/>
      <c r="I2429" s="163">
        <v>10</v>
      </c>
      <c r="J2429" s="312">
        <v>240</v>
      </c>
      <c r="K2429" s="150">
        <v>1</v>
      </c>
      <c r="L2429" s="656">
        <v>40</v>
      </c>
      <c r="M2429" s="663">
        <v>33714</v>
      </c>
      <c r="N2429" s="600">
        <v>0.33975</v>
      </c>
      <c r="O2429" s="604">
        <v>4.0090000000000004E-3</v>
      </c>
      <c r="P2429" s="150"/>
      <c r="Q2429" s="250"/>
      <c r="R2429" s="250"/>
      <c r="S2429" s="250"/>
      <c r="T2429" s="250">
        <v>3.3000000000000002E-2</v>
      </c>
      <c r="U2429" s="250">
        <v>0.22899999999999998</v>
      </c>
      <c r="V2429" s="250">
        <v>0.41200000000000003</v>
      </c>
      <c r="W2429" s="250">
        <v>0.23699999999999999</v>
      </c>
      <c r="X2429" s="250">
        <v>8.5000000000000006E-2</v>
      </c>
      <c r="Y2429" s="250">
        <v>4.0000000000000001E-3</v>
      </c>
      <c r="Z2429" s="150"/>
      <c r="AA2429" s="150">
        <v>1.34</v>
      </c>
      <c r="AB2429" s="152"/>
      <c r="AC2429" s="152"/>
      <c r="AD2429" s="223"/>
      <c r="AE2429" s="223"/>
      <c r="AF2429" s="223"/>
      <c r="AG2429" s="223"/>
      <c r="AH2429" s="341"/>
      <c r="AI2429" s="218"/>
      <c r="AJ2429" s="218"/>
      <c r="AK2429" s="153"/>
      <c r="AL2429" s="152"/>
      <c r="AM2429" s="152"/>
      <c r="AN2429" s="152"/>
      <c r="AO2429" s="152"/>
      <c r="AP2429" s="152"/>
      <c r="AQ2429" s="152"/>
      <c r="AR2429" s="152"/>
      <c r="AS2429" s="152"/>
      <c r="AT2429" s="152"/>
      <c r="AU2429" s="153"/>
      <c r="AV2429" s="479"/>
      <c r="AW2429" s="479"/>
      <c r="AX2429" s="442"/>
      <c r="AY2429" s="153"/>
      <c r="AZ2429" s="152"/>
      <c r="BA2429" s="152"/>
      <c r="BB2429" s="152"/>
      <c r="BC2429" s="152"/>
      <c r="BD2429" s="152"/>
      <c r="BE2429" s="152"/>
      <c r="BF2429" s="152"/>
      <c r="BG2429" s="152"/>
      <c r="BH2429" s="152"/>
      <c r="BI2429" s="153"/>
      <c r="BJ2429" s="153"/>
      <c r="BK2429" s="153"/>
      <c r="BL2429" s="153"/>
      <c r="BM2429" s="153"/>
      <c r="BN2429" s="153"/>
      <c r="BO2429" s="153"/>
      <c r="BP2429" s="153"/>
      <c r="BQ2429" s="153"/>
      <c r="BR2429" s="153"/>
      <c r="BS2429" s="153"/>
      <c r="BT2429" s="153"/>
      <c r="BU2429" s="153"/>
      <c r="BV2429" s="153"/>
      <c r="BW2429" s="153"/>
      <c r="BX2429" s="153"/>
      <c r="BY2429" s="153"/>
      <c r="BZ2429" s="153"/>
      <c r="CA2429" s="152"/>
      <c r="CB2429" s="152"/>
    </row>
    <row r="2430" spans="1:80" s="87" customFormat="1" x14ac:dyDescent="0.2">
      <c r="A2430" s="152"/>
      <c r="B2430" s="683"/>
      <c r="C2430" s="683"/>
      <c r="D2430" s="698"/>
      <c r="E2430" s="215"/>
      <c r="F2430" s="215"/>
      <c r="G2430" s="153"/>
      <c r="H2430" s="153"/>
      <c r="I2430" s="163">
        <v>10</v>
      </c>
      <c r="J2430" s="312">
        <v>180</v>
      </c>
      <c r="K2430" s="150">
        <v>1</v>
      </c>
      <c r="L2430" s="656">
        <v>30</v>
      </c>
      <c r="M2430" s="663">
        <v>33716</v>
      </c>
      <c r="N2430" s="600">
        <v>0.33975</v>
      </c>
      <c r="O2430" s="604">
        <v>3.8939999999999999E-3</v>
      </c>
      <c r="P2430" s="150"/>
      <c r="Q2430" s="250"/>
      <c r="R2430" s="250"/>
      <c r="S2430" s="250"/>
      <c r="T2430" s="250">
        <v>5.0999999999999997E-2</v>
      </c>
      <c r="U2430" s="250">
        <v>0.33700000000000002</v>
      </c>
      <c r="V2430" s="250">
        <v>0.32100000000000001</v>
      </c>
      <c r="W2430" s="250">
        <v>0.20600000000000002</v>
      </c>
      <c r="X2430" s="250">
        <v>7.9000000000000001E-2</v>
      </c>
      <c r="Y2430" s="250">
        <v>6.9999999999999993E-3</v>
      </c>
      <c r="Z2430" s="150"/>
      <c r="AA2430" s="150">
        <v>1.57</v>
      </c>
      <c r="AB2430" s="152"/>
      <c r="AC2430" s="152"/>
      <c r="AD2430" s="223"/>
      <c r="AE2430" s="223"/>
      <c r="AF2430" s="223"/>
      <c r="AG2430" s="223"/>
      <c r="AH2430" s="341"/>
      <c r="AI2430" s="218"/>
      <c r="AJ2430" s="218"/>
      <c r="AK2430" s="153"/>
      <c r="AL2430" s="152"/>
      <c r="AM2430" s="152"/>
      <c r="AN2430" s="152"/>
      <c r="AO2430" s="152"/>
      <c r="AP2430" s="152"/>
      <c r="AQ2430" s="152"/>
      <c r="AR2430" s="152"/>
      <c r="AS2430" s="152"/>
      <c r="AT2430" s="152"/>
      <c r="AU2430" s="153"/>
      <c r="AV2430" s="479"/>
      <c r="AW2430" s="479"/>
      <c r="AX2430" s="442"/>
      <c r="AY2430" s="153"/>
      <c r="AZ2430" s="152"/>
      <c r="BA2430" s="152"/>
      <c r="BB2430" s="152"/>
      <c r="BC2430" s="152"/>
      <c r="BD2430" s="152"/>
      <c r="BE2430" s="152"/>
      <c r="BF2430" s="152"/>
      <c r="BG2430" s="152"/>
      <c r="BH2430" s="152"/>
      <c r="BI2430" s="153"/>
      <c r="BJ2430" s="153"/>
      <c r="BK2430" s="153"/>
      <c r="BL2430" s="153"/>
      <c r="BM2430" s="153"/>
      <c r="BN2430" s="153"/>
      <c r="BO2430" s="153"/>
      <c r="BP2430" s="153"/>
      <c r="BQ2430" s="153"/>
      <c r="BR2430" s="153"/>
      <c r="BS2430" s="153"/>
      <c r="BT2430" s="153"/>
      <c r="BU2430" s="153"/>
      <c r="BV2430" s="153"/>
      <c r="BW2430" s="153"/>
      <c r="BX2430" s="153"/>
      <c r="BY2430" s="153"/>
      <c r="BZ2430" s="153"/>
      <c r="CA2430" s="152"/>
      <c r="CB2430" s="152"/>
    </row>
    <row r="2431" spans="1:80" s="87" customFormat="1" x14ac:dyDescent="0.2">
      <c r="A2431" s="152"/>
      <c r="B2431" s="683"/>
      <c r="C2431" s="683"/>
      <c r="D2431" s="698"/>
      <c r="E2431" s="215"/>
      <c r="F2431" s="215"/>
      <c r="G2431" s="153"/>
      <c r="H2431" s="153"/>
      <c r="I2431" s="163">
        <v>10</v>
      </c>
      <c r="J2431" s="312">
        <v>120</v>
      </c>
      <c r="K2431" s="150">
        <v>1</v>
      </c>
      <c r="L2431" s="656">
        <v>20</v>
      </c>
      <c r="M2431" s="663">
        <v>33721</v>
      </c>
      <c r="N2431" s="600">
        <v>0.27745999999999998</v>
      </c>
      <c r="O2431" s="604">
        <v>7.515E-3</v>
      </c>
      <c r="P2431" s="150"/>
      <c r="Q2431" s="250"/>
      <c r="R2431" s="250"/>
      <c r="S2431" s="250"/>
      <c r="T2431" s="250">
        <v>0.107</v>
      </c>
      <c r="U2431" s="250">
        <v>0.16300000000000001</v>
      </c>
      <c r="V2431" s="250">
        <v>0.20800000000000002</v>
      </c>
      <c r="W2431" s="250">
        <v>0.3</v>
      </c>
      <c r="X2431" s="250">
        <v>0.214</v>
      </c>
      <c r="Y2431" s="250">
        <v>6.9999999999999993E-3</v>
      </c>
      <c r="Z2431" s="150"/>
      <c r="AA2431" s="150">
        <v>0.95</v>
      </c>
      <c r="AB2431" s="152"/>
      <c r="AC2431" s="152"/>
      <c r="AD2431" s="223"/>
      <c r="AE2431" s="223"/>
      <c r="AF2431" s="223"/>
      <c r="AG2431" s="223"/>
      <c r="AH2431" s="341"/>
      <c r="AI2431" s="218"/>
      <c r="AJ2431" s="218"/>
      <c r="AK2431" s="153"/>
      <c r="AL2431" s="152"/>
      <c r="AM2431" s="152"/>
      <c r="AN2431" s="152"/>
      <c r="AO2431" s="152"/>
      <c r="AP2431" s="152"/>
      <c r="AQ2431" s="152"/>
      <c r="AR2431" s="152"/>
      <c r="AS2431" s="152"/>
      <c r="AT2431" s="152"/>
      <c r="AU2431" s="153"/>
      <c r="AV2431" s="479"/>
      <c r="AW2431" s="479"/>
      <c r="AX2431" s="442"/>
      <c r="AY2431" s="153"/>
      <c r="AZ2431" s="152"/>
      <c r="BA2431" s="152"/>
      <c r="BB2431" s="152"/>
      <c r="BC2431" s="152"/>
      <c r="BD2431" s="152"/>
      <c r="BE2431" s="152"/>
      <c r="BF2431" s="152"/>
      <c r="BG2431" s="152"/>
      <c r="BH2431" s="152"/>
      <c r="BI2431" s="153"/>
      <c r="BJ2431" s="153"/>
      <c r="BK2431" s="153"/>
      <c r="BL2431" s="153"/>
      <c r="BM2431" s="153"/>
      <c r="BN2431" s="153"/>
      <c r="BO2431" s="153"/>
      <c r="BP2431" s="153"/>
      <c r="BQ2431" s="153"/>
      <c r="BR2431" s="153"/>
      <c r="BS2431" s="153"/>
      <c r="BT2431" s="153"/>
      <c r="BU2431" s="153"/>
      <c r="BV2431" s="153"/>
      <c r="BW2431" s="153"/>
      <c r="BX2431" s="153"/>
      <c r="BY2431" s="153"/>
      <c r="BZ2431" s="153"/>
      <c r="CA2431" s="152"/>
      <c r="CB2431" s="152"/>
    </row>
    <row r="2432" spans="1:80" s="87" customFormat="1" x14ac:dyDescent="0.2">
      <c r="A2432" s="152"/>
      <c r="B2432" s="683"/>
      <c r="C2432" s="683"/>
      <c r="D2432" s="698"/>
      <c r="E2432" s="215"/>
      <c r="F2432" s="215"/>
      <c r="G2432" s="153"/>
      <c r="H2432" s="153"/>
      <c r="I2432" s="163">
        <v>10</v>
      </c>
      <c r="J2432" s="312">
        <v>120</v>
      </c>
      <c r="K2432" s="150">
        <v>1</v>
      </c>
      <c r="L2432" s="656">
        <v>20</v>
      </c>
      <c r="M2432" s="663">
        <v>33728</v>
      </c>
      <c r="N2432" s="600">
        <v>0.36807000000000001</v>
      </c>
      <c r="O2432" s="604">
        <v>6.6119999999999998E-3</v>
      </c>
      <c r="P2432" s="150"/>
      <c r="Q2432" s="250"/>
      <c r="R2432" s="250"/>
      <c r="S2432" s="250"/>
      <c r="T2432" s="250">
        <v>9.0000000000000011E-3</v>
      </c>
      <c r="U2432" s="250">
        <v>0.46799999999999997</v>
      </c>
      <c r="V2432" s="250">
        <v>0.39399999999999996</v>
      </c>
      <c r="W2432" s="250">
        <v>7.400000000000001E-2</v>
      </c>
      <c r="X2432" s="250">
        <v>5.2000000000000005E-2</v>
      </c>
      <c r="Y2432" s="250">
        <v>3.0000000000000001E-3</v>
      </c>
      <c r="Z2432" s="150"/>
      <c r="AA2432" s="150">
        <v>1.92</v>
      </c>
      <c r="AB2432" s="152"/>
      <c r="AC2432" s="152"/>
      <c r="AD2432" s="223"/>
      <c r="AE2432" s="223"/>
      <c r="AF2432" s="223"/>
      <c r="AG2432" s="223"/>
      <c r="AH2432" s="341"/>
      <c r="AI2432" s="218"/>
      <c r="AJ2432" s="218"/>
      <c r="AK2432" s="153"/>
      <c r="AL2432" s="152"/>
      <c r="AM2432" s="152"/>
      <c r="AN2432" s="152"/>
      <c r="AO2432" s="152"/>
      <c r="AP2432" s="152"/>
      <c r="AQ2432" s="152"/>
      <c r="AR2432" s="152"/>
      <c r="AS2432" s="152"/>
      <c r="AT2432" s="152"/>
      <c r="AU2432" s="153"/>
      <c r="AV2432" s="479"/>
      <c r="AW2432" s="479"/>
      <c r="AX2432" s="442"/>
      <c r="AY2432" s="153"/>
      <c r="AZ2432" s="152"/>
      <c r="BA2432" s="152"/>
      <c r="BB2432" s="152"/>
      <c r="BC2432" s="152"/>
      <c r="BD2432" s="152"/>
      <c r="BE2432" s="152"/>
      <c r="BF2432" s="152"/>
      <c r="BG2432" s="152"/>
      <c r="BH2432" s="152"/>
      <c r="BI2432" s="153"/>
      <c r="BJ2432" s="153"/>
      <c r="BK2432" s="153"/>
      <c r="BL2432" s="153"/>
      <c r="BM2432" s="153"/>
      <c r="BN2432" s="153"/>
      <c r="BO2432" s="153"/>
      <c r="BP2432" s="153"/>
      <c r="BQ2432" s="153"/>
      <c r="BR2432" s="153"/>
      <c r="BS2432" s="153"/>
      <c r="BT2432" s="153"/>
      <c r="BU2432" s="153"/>
      <c r="BV2432" s="153"/>
      <c r="BW2432" s="153"/>
      <c r="BX2432" s="153"/>
      <c r="BY2432" s="153"/>
      <c r="BZ2432" s="153"/>
      <c r="CA2432" s="152"/>
      <c r="CB2432" s="152"/>
    </row>
    <row r="2433" spans="1:80" s="87" customFormat="1" x14ac:dyDescent="0.2">
      <c r="A2433" s="152"/>
      <c r="B2433" s="683"/>
      <c r="C2433" s="683"/>
      <c r="D2433" s="698"/>
      <c r="E2433" s="215"/>
      <c r="F2433" s="215"/>
      <c r="G2433" s="153"/>
      <c r="H2433" s="153"/>
      <c r="I2433" s="163">
        <v>10</v>
      </c>
      <c r="J2433" s="312">
        <v>120</v>
      </c>
      <c r="K2433" s="150">
        <v>1</v>
      </c>
      <c r="L2433" s="656">
        <v>20</v>
      </c>
      <c r="M2433" s="663">
        <v>33730</v>
      </c>
      <c r="N2433" s="600">
        <v>0.42469000000000001</v>
      </c>
      <c r="O2433" s="604">
        <v>1.1440000000000001E-2</v>
      </c>
      <c r="P2433" s="150"/>
      <c r="Q2433" s="250"/>
      <c r="R2433" s="250"/>
      <c r="S2433" s="250"/>
      <c r="T2433" s="250">
        <v>3.6000000000000004E-2</v>
      </c>
      <c r="U2433" s="250">
        <v>0.19500000000000001</v>
      </c>
      <c r="V2433" s="250">
        <v>0.46700000000000003</v>
      </c>
      <c r="W2433" s="250">
        <v>0.23699999999999999</v>
      </c>
      <c r="X2433" s="250">
        <v>6.0999999999999999E-2</v>
      </c>
      <c r="Y2433" s="250">
        <v>4.0000000000000001E-3</v>
      </c>
      <c r="Z2433" s="150"/>
      <c r="AA2433" s="150">
        <v>1.34</v>
      </c>
      <c r="AB2433" s="152"/>
      <c r="AC2433" s="152"/>
      <c r="AD2433" s="223"/>
      <c r="AE2433" s="223"/>
      <c r="AF2433" s="223"/>
      <c r="AG2433" s="223"/>
      <c r="AH2433" s="341"/>
      <c r="AI2433" s="218"/>
      <c r="AJ2433" s="218"/>
      <c r="AK2433" s="153"/>
      <c r="AL2433" s="152"/>
      <c r="AM2433" s="152"/>
      <c r="AN2433" s="152"/>
      <c r="AO2433" s="152"/>
      <c r="AP2433" s="152"/>
      <c r="AQ2433" s="152"/>
      <c r="AR2433" s="152"/>
      <c r="AS2433" s="152"/>
      <c r="AT2433" s="152"/>
      <c r="AU2433" s="153"/>
      <c r="AV2433" s="479"/>
      <c r="AW2433" s="479"/>
      <c r="AX2433" s="442"/>
      <c r="AY2433" s="153"/>
      <c r="AZ2433" s="152"/>
      <c r="BA2433" s="152"/>
      <c r="BB2433" s="152"/>
      <c r="BC2433" s="152"/>
      <c r="BD2433" s="152"/>
      <c r="BE2433" s="152"/>
      <c r="BF2433" s="152"/>
      <c r="BG2433" s="152"/>
      <c r="BH2433" s="152"/>
      <c r="BI2433" s="153"/>
      <c r="BJ2433" s="153"/>
      <c r="BK2433" s="153"/>
      <c r="BL2433" s="153"/>
      <c r="BM2433" s="153"/>
      <c r="BN2433" s="153"/>
      <c r="BO2433" s="153"/>
      <c r="BP2433" s="153"/>
      <c r="BQ2433" s="153"/>
      <c r="BR2433" s="153"/>
      <c r="BS2433" s="153"/>
      <c r="BT2433" s="153"/>
      <c r="BU2433" s="153"/>
      <c r="BV2433" s="153"/>
      <c r="BW2433" s="153"/>
      <c r="BX2433" s="153"/>
      <c r="BY2433" s="153"/>
      <c r="BZ2433" s="153"/>
      <c r="CA2433" s="152"/>
      <c r="CB2433" s="152"/>
    </row>
    <row r="2434" spans="1:80" s="87" customFormat="1" x14ac:dyDescent="0.2">
      <c r="A2434" s="152"/>
      <c r="B2434" s="683"/>
      <c r="C2434" s="683"/>
      <c r="D2434" s="698"/>
      <c r="E2434" s="215"/>
      <c r="F2434" s="215"/>
      <c r="G2434" s="153"/>
      <c r="H2434" s="153"/>
      <c r="I2434" s="163">
        <v>10</v>
      </c>
      <c r="J2434" s="312">
        <v>240</v>
      </c>
      <c r="K2434" s="150">
        <v>1</v>
      </c>
      <c r="L2434" s="656">
        <v>40</v>
      </c>
      <c r="M2434" s="663">
        <v>33735</v>
      </c>
      <c r="N2434" s="600">
        <v>0.36807000000000001</v>
      </c>
      <c r="O2434" s="604">
        <v>7.9349999999999993E-3</v>
      </c>
      <c r="P2434" s="150"/>
      <c r="Q2434" s="250"/>
      <c r="R2434" s="250"/>
      <c r="S2434" s="250"/>
      <c r="T2434" s="250">
        <v>5.0999999999999997E-2</v>
      </c>
      <c r="U2434" s="250">
        <v>0.16399999999999998</v>
      </c>
      <c r="V2434" s="250">
        <v>0.316</v>
      </c>
      <c r="W2434" s="250">
        <v>0.31</v>
      </c>
      <c r="X2434" s="250">
        <v>0.14800000000000002</v>
      </c>
      <c r="Y2434" s="250">
        <v>1.1000000000000001E-2</v>
      </c>
      <c r="Z2434" s="150"/>
      <c r="AA2434" s="150">
        <v>1.07</v>
      </c>
      <c r="AB2434" s="152"/>
      <c r="AC2434" s="152"/>
      <c r="AD2434" s="223"/>
      <c r="AE2434" s="223"/>
      <c r="AF2434" s="223"/>
      <c r="AG2434" s="223"/>
      <c r="AH2434" s="341"/>
      <c r="AI2434" s="218"/>
      <c r="AJ2434" s="218"/>
      <c r="AK2434" s="153"/>
      <c r="AL2434" s="152"/>
      <c r="AM2434" s="152"/>
      <c r="AN2434" s="152"/>
      <c r="AO2434" s="152"/>
      <c r="AP2434" s="152"/>
      <c r="AQ2434" s="152"/>
      <c r="AR2434" s="152"/>
      <c r="AS2434" s="152"/>
      <c r="AT2434" s="152"/>
      <c r="AU2434" s="153"/>
      <c r="AV2434" s="479"/>
      <c r="AW2434" s="479"/>
      <c r="AX2434" s="442"/>
      <c r="AY2434" s="153"/>
      <c r="AZ2434" s="152"/>
      <c r="BA2434" s="152"/>
      <c r="BB2434" s="152"/>
      <c r="BC2434" s="152"/>
      <c r="BD2434" s="152"/>
      <c r="BE2434" s="152"/>
      <c r="BF2434" s="152"/>
      <c r="BG2434" s="152"/>
      <c r="BH2434" s="152"/>
      <c r="BI2434" s="153"/>
      <c r="BJ2434" s="153"/>
      <c r="BK2434" s="153"/>
      <c r="BL2434" s="153"/>
      <c r="BM2434" s="153"/>
      <c r="BN2434" s="153"/>
      <c r="BO2434" s="153"/>
      <c r="BP2434" s="153"/>
      <c r="BQ2434" s="153"/>
      <c r="BR2434" s="153"/>
      <c r="BS2434" s="153"/>
      <c r="BT2434" s="153"/>
      <c r="BU2434" s="153"/>
      <c r="BV2434" s="153"/>
      <c r="BW2434" s="153"/>
      <c r="BX2434" s="153"/>
      <c r="BY2434" s="153"/>
      <c r="BZ2434" s="153"/>
      <c r="CA2434" s="152"/>
      <c r="CB2434" s="152"/>
    </row>
    <row r="2435" spans="1:80" s="87" customFormat="1" x14ac:dyDescent="0.2">
      <c r="A2435" s="152"/>
      <c r="B2435" s="683"/>
      <c r="C2435" s="683"/>
      <c r="D2435" s="698"/>
      <c r="E2435" s="215"/>
      <c r="F2435" s="215"/>
      <c r="G2435" s="153"/>
      <c r="H2435" s="153"/>
      <c r="I2435" s="163">
        <v>10</v>
      </c>
      <c r="J2435" s="312">
        <v>240</v>
      </c>
      <c r="K2435" s="150">
        <v>1</v>
      </c>
      <c r="L2435" s="656">
        <v>40</v>
      </c>
      <c r="M2435" s="663">
        <v>33737</v>
      </c>
      <c r="N2435" s="600">
        <v>0.33975</v>
      </c>
      <c r="O2435" s="604">
        <v>8.6200000000000003E-4</v>
      </c>
      <c r="P2435" s="150"/>
      <c r="Q2435" s="250"/>
      <c r="R2435" s="250"/>
      <c r="S2435" s="250"/>
      <c r="T2435" s="250"/>
      <c r="U2435" s="250">
        <v>6.5000000000000002E-2</v>
      </c>
      <c r="V2435" s="250">
        <v>0.23600000000000002</v>
      </c>
      <c r="W2435" s="250">
        <v>0.39399999999999996</v>
      </c>
      <c r="X2435" s="250">
        <v>0.28100000000000003</v>
      </c>
      <c r="Y2435" s="250">
        <v>2.4E-2</v>
      </c>
      <c r="Z2435" s="150"/>
      <c r="AA2435" s="150">
        <v>0.7</v>
      </c>
      <c r="AB2435" s="152"/>
      <c r="AC2435" s="152"/>
      <c r="AD2435" s="223">
        <v>4.2670599999999999</v>
      </c>
      <c r="AE2435" s="223">
        <v>0.23512371400000001</v>
      </c>
      <c r="AF2435" s="223">
        <v>1.0032551999999999</v>
      </c>
      <c r="AG2435" s="223">
        <v>0.33865555600000002</v>
      </c>
      <c r="AH2435" s="341"/>
      <c r="AI2435" s="218"/>
      <c r="AJ2435" s="218"/>
      <c r="AK2435" s="153"/>
      <c r="AL2435" s="152"/>
      <c r="AM2435" s="152"/>
      <c r="AN2435" s="152"/>
      <c r="AO2435" s="152"/>
      <c r="AP2435" s="152"/>
      <c r="AQ2435" s="152"/>
      <c r="AR2435" s="152"/>
      <c r="AS2435" s="152"/>
      <c r="AT2435" s="152"/>
      <c r="AU2435" s="153"/>
      <c r="AV2435" s="479"/>
      <c r="AW2435" s="479"/>
      <c r="AX2435" s="442"/>
      <c r="AY2435" s="153"/>
      <c r="AZ2435" s="152"/>
      <c r="BA2435" s="152"/>
      <c r="BB2435" s="152"/>
      <c r="BC2435" s="152"/>
      <c r="BD2435" s="152"/>
      <c r="BE2435" s="152"/>
      <c r="BF2435" s="152"/>
      <c r="BG2435" s="152"/>
      <c r="BH2435" s="152"/>
      <c r="BI2435" s="153"/>
      <c r="BJ2435" s="153"/>
      <c r="BK2435" s="153"/>
      <c r="BL2435" s="153"/>
      <c r="BM2435" s="153"/>
      <c r="BN2435" s="153"/>
      <c r="BO2435" s="153"/>
      <c r="BP2435" s="153"/>
      <c r="BQ2435" s="153"/>
      <c r="BR2435" s="153"/>
      <c r="BS2435" s="153"/>
      <c r="BT2435" s="153"/>
      <c r="BU2435" s="153"/>
      <c r="BV2435" s="153"/>
      <c r="BW2435" s="153"/>
      <c r="BX2435" s="153"/>
      <c r="BY2435" s="153"/>
      <c r="BZ2435" s="153"/>
      <c r="CA2435" s="152"/>
      <c r="CB2435" s="152"/>
    </row>
    <row r="2436" spans="1:80" s="87" customFormat="1" x14ac:dyDescent="0.2">
      <c r="A2436" s="152"/>
      <c r="B2436" s="683"/>
      <c r="C2436" s="683"/>
      <c r="D2436" s="698"/>
      <c r="E2436" s="215"/>
      <c r="F2436" s="215"/>
      <c r="G2436" s="153"/>
      <c r="H2436" s="153"/>
      <c r="I2436" s="163">
        <v>10</v>
      </c>
      <c r="J2436" s="312">
        <v>240</v>
      </c>
      <c r="K2436" s="150">
        <v>1</v>
      </c>
      <c r="L2436" s="656">
        <v>40</v>
      </c>
      <c r="M2436" s="663">
        <v>33738</v>
      </c>
      <c r="N2436" s="600">
        <v>0.26896999999999999</v>
      </c>
      <c r="O2436" s="604">
        <v>1.0709999999999999E-3</v>
      </c>
      <c r="P2436" s="150"/>
      <c r="Q2436" s="250"/>
      <c r="R2436" s="250"/>
      <c r="S2436" s="250"/>
      <c r="T2436" s="250">
        <v>1.6E-2</v>
      </c>
      <c r="U2436" s="250">
        <v>5.5E-2</v>
      </c>
      <c r="V2436" s="250">
        <v>0.20399999999999999</v>
      </c>
      <c r="W2436" s="250">
        <v>0.43200000000000005</v>
      </c>
      <c r="X2436" s="250">
        <v>0.27899999999999997</v>
      </c>
      <c r="Y2436" s="250">
        <v>1.3999999999999999E-2</v>
      </c>
      <c r="Z2436" s="150"/>
      <c r="AA2436" s="150">
        <v>0.7</v>
      </c>
      <c r="AB2436" s="152"/>
      <c r="AC2436" s="152"/>
      <c r="AD2436" s="223"/>
      <c r="AE2436" s="223"/>
      <c r="AF2436" s="223"/>
      <c r="AG2436" s="223"/>
      <c r="AH2436" s="341"/>
      <c r="AI2436" s="218"/>
      <c r="AJ2436" s="218"/>
      <c r="AK2436" s="153"/>
      <c r="AL2436" s="152"/>
      <c r="AM2436" s="152"/>
      <c r="AN2436" s="152"/>
      <c r="AO2436" s="152"/>
      <c r="AP2436" s="152"/>
      <c r="AQ2436" s="152"/>
      <c r="AR2436" s="152"/>
      <c r="AS2436" s="152"/>
      <c r="AT2436" s="152"/>
      <c r="AU2436" s="153"/>
      <c r="AV2436" s="479"/>
      <c r="AW2436" s="479"/>
      <c r="AX2436" s="442"/>
      <c r="AY2436" s="153"/>
      <c r="AZ2436" s="152"/>
      <c r="BA2436" s="152"/>
      <c r="BB2436" s="152"/>
      <c r="BC2436" s="152"/>
      <c r="BD2436" s="152"/>
      <c r="BE2436" s="152"/>
      <c r="BF2436" s="152"/>
      <c r="BG2436" s="152"/>
      <c r="BH2436" s="152"/>
      <c r="BI2436" s="153"/>
      <c r="BJ2436" s="153"/>
      <c r="BK2436" s="153"/>
      <c r="BL2436" s="153"/>
      <c r="BM2436" s="153"/>
      <c r="BN2436" s="153"/>
      <c r="BO2436" s="153"/>
      <c r="BP2436" s="153"/>
      <c r="BQ2436" s="153"/>
      <c r="BR2436" s="153"/>
      <c r="BS2436" s="153"/>
      <c r="BT2436" s="153"/>
      <c r="BU2436" s="153"/>
      <c r="BV2436" s="153"/>
      <c r="BW2436" s="153"/>
      <c r="BX2436" s="153"/>
      <c r="BY2436" s="153"/>
      <c r="BZ2436" s="153"/>
      <c r="CA2436" s="152"/>
      <c r="CB2436" s="152"/>
    </row>
    <row r="2437" spans="1:80" s="87" customFormat="1" x14ac:dyDescent="0.2">
      <c r="A2437" s="152"/>
      <c r="B2437" s="683"/>
      <c r="C2437" s="683"/>
      <c r="D2437" s="698"/>
      <c r="E2437" s="215"/>
      <c r="F2437" s="215"/>
      <c r="G2437" s="153"/>
      <c r="H2437" s="153"/>
      <c r="I2437" s="163">
        <v>10</v>
      </c>
      <c r="J2437" s="312">
        <v>240</v>
      </c>
      <c r="K2437" s="150">
        <v>1</v>
      </c>
      <c r="L2437" s="656">
        <v>40</v>
      </c>
      <c r="M2437" s="663">
        <v>33742</v>
      </c>
      <c r="N2437" s="600">
        <v>0.36807000000000001</v>
      </c>
      <c r="O2437" s="604">
        <v>9.8239999999999994E-3</v>
      </c>
      <c r="P2437" s="150"/>
      <c r="Q2437" s="250"/>
      <c r="R2437" s="250"/>
      <c r="S2437" s="250">
        <v>9.0000000000000011E-3</v>
      </c>
      <c r="T2437" s="250">
        <v>0.12300000000000001</v>
      </c>
      <c r="U2437" s="250">
        <v>0.314</v>
      </c>
      <c r="V2437" s="250">
        <v>0.32100000000000001</v>
      </c>
      <c r="W2437" s="250">
        <v>0.17600000000000002</v>
      </c>
      <c r="X2437" s="250">
        <v>5.4000000000000006E-2</v>
      </c>
      <c r="Y2437" s="250">
        <v>3.0000000000000001E-3</v>
      </c>
      <c r="Z2437" s="150"/>
      <c r="AA2437" s="150">
        <v>1.78</v>
      </c>
      <c r="AB2437" s="152"/>
      <c r="AC2437" s="152"/>
      <c r="AD2437" s="223"/>
      <c r="AE2437" s="223"/>
      <c r="AF2437" s="223"/>
      <c r="AG2437" s="223"/>
      <c r="AH2437" s="341"/>
      <c r="AI2437" s="218"/>
      <c r="AJ2437" s="218"/>
      <c r="AK2437" s="153"/>
      <c r="AL2437" s="152"/>
      <c r="AM2437" s="152"/>
      <c r="AN2437" s="152"/>
      <c r="AO2437" s="152"/>
      <c r="AP2437" s="152"/>
      <c r="AQ2437" s="152"/>
      <c r="AR2437" s="152"/>
      <c r="AS2437" s="152"/>
      <c r="AT2437" s="152"/>
      <c r="AU2437" s="153"/>
      <c r="AV2437" s="479"/>
      <c r="AW2437" s="479"/>
      <c r="AX2437" s="442"/>
      <c r="AY2437" s="153"/>
      <c r="AZ2437" s="152"/>
      <c r="BA2437" s="152"/>
      <c r="BB2437" s="152"/>
      <c r="BC2437" s="152"/>
      <c r="BD2437" s="152"/>
      <c r="BE2437" s="152"/>
      <c r="BF2437" s="152"/>
      <c r="BG2437" s="152"/>
      <c r="BH2437" s="152"/>
      <c r="BI2437" s="153"/>
      <c r="BJ2437" s="153"/>
      <c r="BK2437" s="153"/>
      <c r="BL2437" s="153"/>
      <c r="BM2437" s="153"/>
      <c r="BN2437" s="153"/>
      <c r="BO2437" s="153"/>
      <c r="BP2437" s="153"/>
      <c r="BQ2437" s="153"/>
      <c r="BR2437" s="153"/>
      <c r="BS2437" s="153"/>
      <c r="BT2437" s="153"/>
      <c r="BU2437" s="153"/>
      <c r="BV2437" s="153"/>
      <c r="BW2437" s="153"/>
      <c r="BX2437" s="153"/>
      <c r="BY2437" s="153"/>
      <c r="BZ2437" s="153"/>
      <c r="CA2437" s="152"/>
      <c r="CB2437" s="152"/>
    </row>
    <row r="2438" spans="1:80" s="87" customFormat="1" x14ac:dyDescent="0.2">
      <c r="A2438" s="152"/>
      <c r="B2438" s="683"/>
      <c r="C2438" s="683"/>
      <c r="D2438" s="698"/>
      <c r="E2438" s="215"/>
      <c r="F2438" s="215"/>
      <c r="G2438" s="153"/>
      <c r="H2438" s="153"/>
      <c r="I2438" s="163">
        <v>10</v>
      </c>
      <c r="J2438" s="312">
        <v>240</v>
      </c>
      <c r="K2438" s="150">
        <v>1</v>
      </c>
      <c r="L2438" s="656">
        <v>40</v>
      </c>
      <c r="M2438" s="663">
        <v>33744</v>
      </c>
      <c r="N2438" s="600">
        <v>0.39638000000000001</v>
      </c>
      <c r="O2438" s="604">
        <v>5.4469999999999996E-3</v>
      </c>
      <c r="P2438" s="150"/>
      <c r="Q2438" s="250"/>
      <c r="R2438" s="250"/>
      <c r="S2438" s="250"/>
      <c r="T2438" s="250">
        <v>4.8000000000000001E-2</v>
      </c>
      <c r="U2438" s="250">
        <v>0.156</v>
      </c>
      <c r="V2438" s="250">
        <v>0.33600000000000002</v>
      </c>
      <c r="W2438" s="250">
        <v>0.32600000000000001</v>
      </c>
      <c r="X2438" s="250">
        <v>0.128</v>
      </c>
      <c r="Y2438" s="250">
        <v>6.9999999999999993E-3</v>
      </c>
      <c r="Z2438" s="150"/>
      <c r="AA2438" s="150">
        <v>1.0900000000000001</v>
      </c>
      <c r="AB2438" s="152"/>
      <c r="AC2438" s="152"/>
      <c r="AD2438" s="223"/>
      <c r="AE2438" s="223"/>
      <c r="AF2438" s="223"/>
      <c r="AG2438" s="223"/>
      <c r="AH2438" s="341"/>
      <c r="AI2438" s="218"/>
      <c r="AJ2438" s="218"/>
      <c r="AK2438" s="153"/>
      <c r="AL2438" s="152"/>
      <c r="AM2438" s="152"/>
      <c r="AN2438" s="152"/>
      <c r="AO2438" s="152"/>
      <c r="AP2438" s="152"/>
      <c r="AQ2438" s="152"/>
      <c r="AR2438" s="152"/>
      <c r="AS2438" s="152"/>
      <c r="AT2438" s="152"/>
      <c r="AU2438" s="153"/>
      <c r="AV2438" s="479"/>
      <c r="AW2438" s="479"/>
      <c r="AX2438" s="442"/>
      <c r="AY2438" s="153"/>
      <c r="AZ2438" s="152"/>
      <c r="BA2438" s="152"/>
      <c r="BB2438" s="152"/>
      <c r="BC2438" s="152"/>
      <c r="BD2438" s="152"/>
      <c r="BE2438" s="152"/>
      <c r="BF2438" s="152"/>
      <c r="BG2438" s="152"/>
      <c r="BH2438" s="152"/>
      <c r="BI2438" s="153"/>
      <c r="BJ2438" s="153"/>
      <c r="BK2438" s="153"/>
      <c r="BL2438" s="153"/>
      <c r="BM2438" s="153"/>
      <c r="BN2438" s="153"/>
      <c r="BO2438" s="153"/>
      <c r="BP2438" s="153"/>
      <c r="BQ2438" s="153"/>
      <c r="BR2438" s="153"/>
      <c r="BS2438" s="153"/>
      <c r="BT2438" s="153"/>
      <c r="BU2438" s="153"/>
      <c r="BV2438" s="153"/>
      <c r="BW2438" s="153"/>
      <c r="BX2438" s="153"/>
      <c r="BY2438" s="153"/>
      <c r="BZ2438" s="153"/>
      <c r="CA2438" s="152"/>
      <c r="CB2438" s="152"/>
    </row>
    <row r="2439" spans="1:80" s="87" customFormat="1" x14ac:dyDescent="0.2">
      <c r="A2439" s="152"/>
      <c r="B2439" s="683"/>
      <c r="C2439" s="683"/>
      <c r="D2439" s="698"/>
      <c r="E2439" s="215"/>
      <c r="F2439" s="215"/>
      <c r="G2439" s="153"/>
      <c r="H2439" s="153"/>
      <c r="I2439" s="163">
        <v>10</v>
      </c>
      <c r="J2439" s="312">
        <v>240</v>
      </c>
      <c r="K2439" s="150">
        <v>1</v>
      </c>
      <c r="L2439" s="656">
        <v>40</v>
      </c>
      <c r="M2439" s="663">
        <v>33745</v>
      </c>
      <c r="N2439" s="600">
        <v>0.36807000000000001</v>
      </c>
      <c r="O2439" s="604">
        <v>2.529E-3</v>
      </c>
      <c r="P2439" s="150"/>
      <c r="Q2439" s="250"/>
      <c r="R2439" s="250"/>
      <c r="S2439" s="250"/>
      <c r="T2439" s="250">
        <v>2.5000000000000001E-2</v>
      </c>
      <c r="U2439" s="250">
        <v>0.11599999999999999</v>
      </c>
      <c r="V2439" s="250">
        <v>0.35</v>
      </c>
      <c r="W2439" s="250">
        <v>0.33500000000000002</v>
      </c>
      <c r="X2439" s="250">
        <v>0.16300000000000001</v>
      </c>
      <c r="Y2439" s="250">
        <v>1.1000000000000001E-2</v>
      </c>
      <c r="Z2439" s="150"/>
      <c r="AA2439" s="150">
        <v>0.98</v>
      </c>
      <c r="AB2439" s="152"/>
      <c r="AC2439" s="152"/>
      <c r="AD2439" s="223"/>
      <c r="AE2439" s="223"/>
      <c r="AF2439" s="223"/>
      <c r="AG2439" s="223"/>
      <c r="AH2439" s="341"/>
      <c r="AI2439" s="218"/>
      <c r="AJ2439" s="218"/>
      <c r="AK2439" s="153"/>
      <c r="AL2439" s="152"/>
      <c r="AM2439" s="152"/>
      <c r="AN2439" s="152"/>
      <c r="AO2439" s="152"/>
      <c r="AP2439" s="152"/>
      <c r="AQ2439" s="152"/>
      <c r="AR2439" s="152"/>
      <c r="AS2439" s="152"/>
      <c r="AT2439" s="152"/>
      <c r="AU2439" s="153"/>
      <c r="AV2439" s="479"/>
      <c r="AW2439" s="479"/>
      <c r="AX2439" s="442"/>
      <c r="AY2439" s="153"/>
      <c r="AZ2439" s="152"/>
      <c r="BA2439" s="152"/>
      <c r="BB2439" s="152"/>
      <c r="BC2439" s="152"/>
      <c r="BD2439" s="152"/>
      <c r="BE2439" s="152"/>
      <c r="BF2439" s="152"/>
      <c r="BG2439" s="152"/>
      <c r="BH2439" s="152"/>
      <c r="BI2439" s="153"/>
      <c r="BJ2439" s="153"/>
      <c r="BK2439" s="153"/>
      <c r="BL2439" s="153"/>
      <c r="BM2439" s="153"/>
      <c r="BN2439" s="153"/>
      <c r="BO2439" s="153"/>
      <c r="BP2439" s="153"/>
      <c r="BQ2439" s="153"/>
      <c r="BR2439" s="153"/>
      <c r="BS2439" s="153"/>
      <c r="BT2439" s="153"/>
      <c r="BU2439" s="153"/>
      <c r="BV2439" s="153"/>
      <c r="BW2439" s="153"/>
      <c r="BX2439" s="153"/>
      <c r="BY2439" s="153"/>
      <c r="BZ2439" s="153"/>
      <c r="CA2439" s="152"/>
      <c r="CB2439" s="152"/>
    </row>
    <row r="2440" spans="1:80" s="87" customFormat="1" x14ac:dyDescent="0.2">
      <c r="A2440" s="152"/>
      <c r="B2440" s="683"/>
      <c r="C2440" s="683"/>
      <c r="D2440" s="698"/>
      <c r="E2440" s="215"/>
      <c r="F2440" s="215"/>
      <c r="G2440" s="153"/>
      <c r="H2440" s="153"/>
      <c r="I2440" s="163">
        <v>10</v>
      </c>
      <c r="J2440" s="312">
        <v>240</v>
      </c>
      <c r="K2440" s="150">
        <v>1</v>
      </c>
      <c r="L2440" s="656">
        <v>40</v>
      </c>
      <c r="M2440" s="663">
        <v>33750</v>
      </c>
      <c r="N2440" s="600">
        <v>0.33975</v>
      </c>
      <c r="O2440" s="604">
        <v>3.0019999999999999E-3</v>
      </c>
      <c r="P2440" s="150"/>
      <c r="Q2440" s="250"/>
      <c r="R2440" s="250"/>
      <c r="S2440" s="250">
        <v>1.3000000000000001E-2</v>
      </c>
      <c r="T2440" s="250">
        <v>0.02</v>
      </c>
      <c r="U2440" s="250">
        <v>0.14699999999999999</v>
      </c>
      <c r="V2440" s="250">
        <v>0.32600000000000001</v>
      </c>
      <c r="W2440" s="250">
        <v>0.377</v>
      </c>
      <c r="X2440" s="250">
        <v>0.111</v>
      </c>
      <c r="Y2440" s="250">
        <v>5.0000000000000001E-3</v>
      </c>
      <c r="Z2440" s="150"/>
      <c r="AA2440" s="150">
        <v>1.01</v>
      </c>
      <c r="AB2440" s="152"/>
      <c r="AC2440" s="152"/>
      <c r="AD2440" s="223"/>
      <c r="AE2440" s="223"/>
      <c r="AF2440" s="223"/>
      <c r="AG2440" s="223"/>
      <c r="AH2440" s="341"/>
      <c r="AI2440" s="218"/>
      <c r="AJ2440" s="218"/>
      <c r="AK2440" s="153"/>
      <c r="AL2440" s="152"/>
      <c r="AM2440" s="152"/>
      <c r="AN2440" s="152"/>
      <c r="AO2440" s="152"/>
      <c r="AP2440" s="152"/>
      <c r="AQ2440" s="152"/>
      <c r="AR2440" s="152"/>
      <c r="AS2440" s="152"/>
      <c r="AT2440" s="152"/>
      <c r="AU2440" s="153"/>
      <c r="AV2440" s="479"/>
      <c r="AW2440" s="479"/>
      <c r="AX2440" s="442"/>
      <c r="AY2440" s="153"/>
      <c r="AZ2440" s="152"/>
      <c r="BA2440" s="152"/>
      <c r="BB2440" s="152"/>
      <c r="BC2440" s="152"/>
      <c r="BD2440" s="152"/>
      <c r="BE2440" s="152"/>
      <c r="BF2440" s="152"/>
      <c r="BG2440" s="152"/>
      <c r="BH2440" s="152"/>
      <c r="BI2440" s="153"/>
      <c r="BJ2440" s="153"/>
      <c r="BK2440" s="153"/>
      <c r="BL2440" s="153"/>
      <c r="BM2440" s="153"/>
      <c r="BN2440" s="153"/>
      <c r="BO2440" s="153"/>
      <c r="BP2440" s="153"/>
      <c r="BQ2440" s="153"/>
      <c r="BR2440" s="153"/>
      <c r="BS2440" s="153"/>
      <c r="BT2440" s="153"/>
      <c r="BU2440" s="153"/>
      <c r="BV2440" s="153"/>
      <c r="BW2440" s="153"/>
      <c r="BX2440" s="153"/>
      <c r="BY2440" s="153"/>
      <c r="BZ2440" s="153"/>
      <c r="CA2440" s="152"/>
      <c r="CB2440" s="152"/>
    </row>
    <row r="2441" spans="1:80" s="87" customFormat="1" x14ac:dyDescent="0.2">
      <c r="A2441" s="152"/>
      <c r="B2441" s="683"/>
      <c r="C2441" s="683"/>
      <c r="D2441" s="698"/>
      <c r="E2441" s="215"/>
      <c r="F2441" s="215"/>
      <c r="G2441" s="153"/>
      <c r="H2441" s="153"/>
      <c r="I2441" s="163">
        <v>10</v>
      </c>
      <c r="J2441" s="312">
        <v>180</v>
      </c>
      <c r="K2441" s="150">
        <v>1</v>
      </c>
      <c r="L2441" s="656">
        <v>30</v>
      </c>
      <c r="M2441" s="663">
        <v>33752</v>
      </c>
      <c r="N2441" s="600">
        <v>0.33975</v>
      </c>
      <c r="O2441" s="604">
        <v>3.6900000000000002E-4</v>
      </c>
      <c r="P2441" s="150"/>
      <c r="Q2441" s="250"/>
      <c r="R2441" s="250"/>
      <c r="S2441" s="250"/>
      <c r="T2441" s="250"/>
      <c r="U2441" s="250">
        <v>2.2000000000000002E-2</v>
      </c>
      <c r="V2441" s="250">
        <v>0.13900000000000001</v>
      </c>
      <c r="W2441" s="250">
        <v>0.39899999999999997</v>
      </c>
      <c r="X2441" s="250">
        <v>0.434</v>
      </c>
      <c r="Y2441" s="250">
        <v>6.9999999999999993E-3</v>
      </c>
      <c r="Z2441" s="150"/>
      <c r="AA2441" s="150">
        <v>0.55000000000000004</v>
      </c>
      <c r="AB2441" s="152"/>
      <c r="AC2441" s="152"/>
      <c r="AD2441" s="223"/>
      <c r="AE2441" s="223"/>
      <c r="AF2441" s="223"/>
      <c r="AG2441" s="223"/>
      <c r="AH2441" s="341"/>
      <c r="AI2441" s="218"/>
      <c r="AJ2441" s="218"/>
      <c r="AK2441" s="153"/>
      <c r="AL2441" s="152"/>
      <c r="AM2441" s="152"/>
      <c r="AN2441" s="152"/>
      <c r="AO2441" s="152"/>
      <c r="AP2441" s="152"/>
      <c r="AQ2441" s="152"/>
      <c r="AR2441" s="152"/>
      <c r="AS2441" s="152"/>
      <c r="AT2441" s="152"/>
      <c r="AU2441" s="153"/>
      <c r="AV2441" s="479"/>
      <c r="AW2441" s="479"/>
      <c r="AX2441" s="442"/>
      <c r="AY2441" s="153"/>
      <c r="AZ2441" s="152"/>
      <c r="BA2441" s="152"/>
      <c r="BB2441" s="152"/>
      <c r="BC2441" s="152"/>
      <c r="BD2441" s="152"/>
      <c r="BE2441" s="152"/>
      <c r="BF2441" s="152"/>
      <c r="BG2441" s="152"/>
      <c r="BH2441" s="152"/>
      <c r="BI2441" s="153"/>
      <c r="BJ2441" s="153"/>
      <c r="BK2441" s="153"/>
      <c r="BL2441" s="153"/>
      <c r="BM2441" s="153"/>
      <c r="BN2441" s="153"/>
      <c r="BO2441" s="153"/>
      <c r="BP2441" s="153"/>
      <c r="BQ2441" s="153"/>
      <c r="BR2441" s="153"/>
      <c r="BS2441" s="153"/>
      <c r="BT2441" s="153"/>
      <c r="BU2441" s="153"/>
      <c r="BV2441" s="153"/>
      <c r="BW2441" s="153"/>
      <c r="BX2441" s="153"/>
      <c r="BY2441" s="153"/>
      <c r="BZ2441" s="153"/>
      <c r="CA2441" s="152"/>
      <c r="CB2441" s="152"/>
    </row>
    <row r="2442" spans="1:80" s="87" customFormat="1" x14ac:dyDescent="0.2">
      <c r="A2442" s="152"/>
      <c r="B2442" s="683"/>
      <c r="C2442" s="683"/>
      <c r="D2442" s="698"/>
      <c r="E2442" s="215"/>
      <c r="F2442" s="215"/>
      <c r="G2442" s="153"/>
      <c r="H2442" s="153"/>
      <c r="I2442" s="163">
        <v>10</v>
      </c>
      <c r="J2442" s="312">
        <v>240</v>
      </c>
      <c r="K2442" s="150">
        <v>1</v>
      </c>
      <c r="L2442" s="656">
        <v>40</v>
      </c>
      <c r="M2442" s="663">
        <v>34080</v>
      </c>
      <c r="N2442" s="600">
        <v>0.22084000000000001</v>
      </c>
      <c r="O2442" s="604">
        <v>9.6699999999999998E-4</v>
      </c>
      <c r="P2442" s="150"/>
      <c r="Q2442" s="250"/>
      <c r="R2442" s="250"/>
      <c r="S2442" s="250"/>
      <c r="T2442" s="250">
        <v>0.08</v>
      </c>
      <c r="U2442" s="250">
        <v>0.13</v>
      </c>
      <c r="V2442" s="250">
        <v>0.26500000000000001</v>
      </c>
      <c r="W2442" s="250">
        <v>0.39600000000000002</v>
      </c>
      <c r="X2442" s="250">
        <v>0.125</v>
      </c>
      <c r="Y2442" s="250">
        <v>5.0000000000000001E-3</v>
      </c>
      <c r="Z2442" s="150"/>
      <c r="AA2442" s="150">
        <v>0.96</v>
      </c>
      <c r="AB2442" s="152"/>
      <c r="AC2442" s="152"/>
      <c r="AD2442" s="223"/>
      <c r="AE2442" s="223"/>
      <c r="AF2442" s="223"/>
      <c r="AG2442" s="223"/>
      <c r="AH2442" s="341"/>
      <c r="AI2442" s="218"/>
      <c r="AJ2442" s="218"/>
      <c r="AK2442" s="153"/>
      <c r="AL2442" s="152"/>
      <c r="AM2442" s="152"/>
      <c r="AN2442" s="152"/>
      <c r="AO2442" s="152"/>
      <c r="AP2442" s="152"/>
      <c r="AQ2442" s="152"/>
      <c r="AR2442" s="152"/>
      <c r="AS2442" s="152"/>
      <c r="AT2442" s="152"/>
      <c r="AU2442" s="153"/>
      <c r="AV2442" s="479"/>
      <c r="AW2442" s="479"/>
      <c r="AX2442" s="442"/>
      <c r="AY2442" s="153"/>
      <c r="AZ2442" s="152"/>
      <c r="BA2442" s="152"/>
      <c r="BB2442" s="152"/>
      <c r="BC2442" s="152"/>
      <c r="BD2442" s="152"/>
      <c r="BE2442" s="152"/>
      <c r="BF2442" s="152"/>
      <c r="BG2442" s="152"/>
      <c r="BH2442" s="152"/>
      <c r="BI2442" s="153"/>
      <c r="BJ2442" s="153"/>
      <c r="BK2442" s="153"/>
      <c r="BL2442" s="153"/>
      <c r="BM2442" s="153"/>
      <c r="BN2442" s="153"/>
      <c r="BO2442" s="153"/>
      <c r="BP2442" s="153"/>
      <c r="BQ2442" s="153"/>
      <c r="BR2442" s="153"/>
      <c r="BS2442" s="153"/>
      <c r="BT2442" s="153"/>
      <c r="BU2442" s="153"/>
      <c r="BV2442" s="153"/>
      <c r="BW2442" s="153"/>
      <c r="BX2442" s="153"/>
      <c r="BY2442" s="153"/>
      <c r="BZ2442" s="153"/>
      <c r="CA2442" s="152"/>
      <c r="CB2442" s="152"/>
    </row>
    <row r="2443" spans="1:80" s="87" customFormat="1" x14ac:dyDescent="0.2">
      <c r="A2443" s="152"/>
      <c r="B2443" s="683"/>
      <c r="C2443" s="683"/>
      <c r="D2443" s="698"/>
      <c r="E2443" s="215"/>
      <c r="F2443" s="215"/>
      <c r="G2443" s="153"/>
      <c r="H2443" s="153"/>
      <c r="I2443" s="163">
        <v>10</v>
      </c>
      <c r="J2443" s="312">
        <v>240</v>
      </c>
      <c r="K2443" s="150">
        <v>1</v>
      </c>
      <c r="L2443" s="656">
        <v>40</v>
      </c>
      <c r="M2443" s="663">
        <v>34086</v>
      </c>
      <c r="N2443" s="600">
        <v>0.23499999999999999</v>
      </c>
      <c r="O2443" s="604">
        <v>1.9729999999999999E-3</v>
      </c>
      <c r="P2443" s="150"/>
      <c r="Q2443" s="250"/>
      <c r="R2443" s="250"/>
      <c r="S2443" s="250"/>
      <c r="T2443" s="250">
        <v>7.400000000000001E-2</v>
      </c>
      <c r="U2443" s="250">
        <v>0.155</v>
      </c>
      <c r="V2443" s="250">
        <v>0.47600000000000003</v>
      </c>
      <c r="W2443" s="250">
        <v>0.252</v>
      </c>
      <c r="X2443" s="250">
        <v>4.2999999999999997E-2</v>
      </c>
      <c r="Y2443" s="250">
        <v>0</v>
      </c>
      <c r="Z2443" s="150"/>
      <c r="AA2443" s="150">
        <v>1.35</v>
      </c>
      <c r="AB2443" s="152"/>
      <c r="AC2443" s="152"/>
      <c r="AD2443" s="223"/>
      <c r="AE2443" s="223"/>
      <c r="AF2443" s="223"/>
      <c r="AG2443" s="223"/>
      <c r="AH2443" s="341"/>
      <c r="AI2443" s="218"/>
      <c r="AJ2443" s="218"/>
      <c r="AK2443" s="153"/>
      <c r="AL2443" s="152"/>
      <c r="AM2443" s="152"/>
      <c r="AN2443" s="152"/>
      <c r="AO2443" s="152"/>
      <c r="AP2443" s="152"/>
      <c r="AQ2443" s="152"/>
      <c r="AR2443" s="152"/>
      <c r="AS2443" s="152"/>
      <c r="AT2443" s="152"/>
      <c r="AU2443" s="153"/>
      <c r="AV2443" s="479"/>
      <c r="AW2443" s="479"/>
      <c r="AX2443" s="442"/>
      <c r="AY2443" s="153"/>
      <c r="AZ2443" s="152"/>
      <c r="BA2443" s="152"/>
      <c r="BB2443" s="152"/>
      <c r="BC2443" s="152"/>
      <c r="BD2443" s="152"/>
      <c r="BE2443" s="152"/>
      <c r="BF2443" s="152"/>
      <c r="BG2443" s="152"/>
      <c r="BH2443" s="152"/>
      <c r="BI2443" s="153"/>
      <c r="BJ2443" s="153"/>
      <c r="BK2443" s="153"/>
      <c r="BL2443" s="153"/>
      <c r="BM2443" s="153"/>
      <c r="BN2443" s="153"/>
      <c r="BO2443" s="153"/>
      <c r="BP2443" s="153"/>
      <c r="BQ2443" s="153"/>
      <c r="BR2443" s="153"/>
      <c r="BS2443" s="153"/>
      <c r="BT2443" s="153"/>
      <c r="BU2443" s="153"/>
      <c r="BV2443" s="153"/>
      <c r="BW2443" s="153"/>
      <c r="BX2443" s="153"/>
      <c r="BY2443" s="153"/>
      <c r="BZ2443" s="153"/>
      <c r="CA2443" s="152"/>
      <c r="CB2443" s="152"/>
    </row>
    <row r="2444" spans="1:80" s="87" customFormat="1" x14ac:dyDescent="0.2">
      <c r="A2444" s="152"/>
      <c r="B2444" s="683"/>
      <c r="C2444" s="683"/>
      <c r="D2444" s="698"/>
      <c r="E2444" s="215"/>
      <c r="F2444" s="215"/>
      <c r="G2444" s="153"/>
      <c r="H2444" s="153"/>
      <c r="I2444" s="163">
        <v>10</v>
      </c>
      <c r="J2444" s="312">
        <v>240</v>
      </c>
      <c r="K2444" s="150">
        <v>1</v>
      </c>
      <c r="L2444" s="656">
        <v>40</v>
      </c>
      <c r="M2444" s="663">
        <v>34095</v>
      </c>
      <c r="N2444" s="600">
        <v>0.28312999999999999</v>
      </c>
      <c r="O2444" s="604">
        <v>1.637E-3</v>
      </c>
      <c r="P2444" s="150"/>
      <c r="Q2444" s="250"/>
      <c r="R2444" s="250"/>
      <c r="S2444" s="250"/>
      <c r="T2444" s="250">
        <v>3.7999999999999999E-2</v>
      </c>
      <c r="U2444" s="250">
        <v>0.14199999999999999</v>
      </c>
      <c r="V2444" s="250">
        <v>0.29899999999999999</v>
      </c>
      <c r="W2444" s="250">
        <v>0.36</v>
      </c>
      <c r="X2444" s="250">
        <v>0.151</v>
      </c>
      <c r="Y2444" s="250">
        <v>9.0000000000000011E-3</v>
      </c>
      <c r="Z2444" s="150"/>
      <c r="AA2444" s="150">
        <v>0.96</v>
      </c>
      <c r="AB2444" s="152"/>
      <c r="AC2444" s="152"/>
      <c r="AD2444" s="223"/>
      <c r="AE2444" s="223"/>
      <c r="AF2444" s="223"/>
      <c r="AG2444" s="223"/>
      <c r="AH2444" s="341"/>
      <c r="AI2444" s="218"/>
      <c r="AJ2444" s="218"/>
      <c r="AK2444" s="153"/>
      <c r="AL2444" s="152"/>
      <c r="AM2444" s="152"/>
      <c r="AN2444" s="152"/>
      <c r="AO2444" s="152"/>
      <c r="AP2444" s="152"/>
      <c r="AQ2444" s="152"/>
      <c r="AR2444" s="152"/>
      <c r="AS2444" s="152"/>
      <c r="AT2444" s="152"/>
      <c r="AU2444" s="153"/>
      <c r="AV2444" s="479"/>
      <c r="AW2444" s="479"/>
      <c r="AX2444" s="442"/>
      <c r="AY2444" s="153"/>
      <c r="AZ2444" s="152"/>
      <c r="BA2444" s="152"/>
      <c r="BB2444" s="152"/>
      <c r="BC2444" s="152"/>
      <c r="BD2444" s="152"/>
      <c r="BE2444" s="152"/>
      <c r="BF2444" s="152"/>
      <c r="BG2444" s="152"/>
      <c r="BH2444" s="152"/>
      <c r="BI2444" s="153"/>
      <c r="BJ2444" s="153"/>
      <c r="BK2444" s="153"/>
      <c r="BL2444" s="153"/>
      <c r="BM2444" s="153"/>
      <c r="BN2444" s="153"/>
      <c r="BO2444" s="153"/>
      <c r="BP2444" s="153"/>
      <c r="BQ2444" s="153"/>
      <c r="BR2444" s="153"/>
      <c r="BS2444" s="153"/>
      <c r="BT2444" s="153"/>
      <c r="BU2444" s="153"/>
      <c r="BV2444" s="153"/>
      <c r="BW2444" s="153"/>
      <c r="BX2444" s="153"/>
      <c r="BY2444" s="153"/>
      <c r="BZ2444" s="153"/>
      <c r="CA2444" s="152"/>
      <c r="CB2444" s="152"/>
    </row>
    <row r="2445" spans="1:80" s="87" customFormat="1" x14ac:dyDescent="0.2">
      <c r="A2445" s="152"/>
      <c r="B2445" s="683"/>
      <c r="C2445" s="683"/>
      <c r="D2445" s="698"/>
      <c r="E2445" s="215"/>
      <c r="F2445" s="215"/>
      <c r="G2445" s="153"/>
      <c r="H2445" s="153"/>
      <c r="I2445" s="163">
        <v>10</v>
      </c>
      <c r="J2445" s="312">
        <v>240</v>
      </c>
      <c r="K2445" s="150">
        <v>1</v>
      </c>
      <c r="L2445" s="656">
        <v>40</v>
      </c>
      <c r="M2445" s="663">
        <v>34101</v>
      </c>
      <c r="N2445" s="600">
        <v>0.36807000000000001</v>
      </c>
      <c r="O2445" s="604">
        <v>2.8549999999999999E-3</v>
      </c>
      <c r="P2445" s="150"/>
      <c r="Q2445" s="250"/>
      <c r="R2445" s="250"/>
      <c r="S2445" s="250"/>
      <c r="T2445" s="250">
        <v>2.7999999999999997E-2</v>
      </c>
      <c r="U2445" s="250">
        <v>0.111</v>
      </c>
      <c r="V2445" s="250">
        <v>0.28699999999999998</v>
      </c>
      <c r="W2445" s="250">
        <v>0.38100000000000001</v>
      </c>
      <c r="X2445" s="250">
        <v>0.18899999999999997</v>
      </c>
      <c r="Y2445" s="250">
        <v>5.0000000000000001E-3</v>
      </c>
      <c r="Z2445" s="150"/>
      <c r="AA2445" s="150">
        <v>0.87</v>
      </c>
      <c r="AB2445" s="152"/>
      <c r="AC2445" s="152"/>
      <c r="AD2445" s="223"/>
      <c r="AE2445" s="223"/>
      <c r="AF2445" s="223"/>
      <c r="AG2445" s="223"/>
      <c r="AH2445" s="341"/>
      <c r="AI2445" s="218"/>
      <c r="AJ2445" s="218"/>
      <c r="AK2445" s="153"/>
      <c r="AL2445" s="152"/>
      <c r="AM2445" s="152"/>
      <c r="AN2445" s="152"/>
      <c r="AO2445" s="152"/>
      <c r="AP2445" s="152"/>
      <c r="AQ2445" s="152"/>
      <c r="AR2445" s="152"/>
      <c r="AS2445" s="152"/>
      <c r="AT2445" s="152"/>
      <c r="AU2445" s="153"/>
      <c r="AV2445" s="479"/>
      <c r="AW2445" s="479"/>
      <c r="AX2445" s="442"/>
      <c r="AY2445" s="153"/>
      <c r="AZ2445" s="152"/>
      <c r="BA2445" s="152"/>
      <c r="BB2445" s="152"/>
      <c r="BC2445" s="152"/>
      <c r="BD2445" s="152"/>
      <c r="BE2445" s="152"/>
      <c r="BF2445" s="152"/>
      <c r="BG2445" s="152"/>
      <c r="BH2445" s="152"/>
      <c r="BI2445" s="153"/>
      <c r="BJ2445" s="153"/>
      <c r="BK2445" s="153"/>
      <c r="BL2445" s="153"/>
      <c r="BM2445" s="153"/>
      <c r="BN2445" s="153"/>
      <c r="BO2445" s="153"/>
      <c r="BP2445" s="153"/>
      <c r="BQ2445" s="153"/>
      <c r="BR2445" s="153"/>
      <c r="BS2445" s="153"/>
      <c r="BT2445" s="153"/>
      <c r="BU2445" s="153"/>
      <c r="BV2445" s="153"/>
      <c r="BW2445" s="153"/>
      <c r="BX2445" s="153"/>
      <c r="BY2445" s="153"/>
      <c r="BZ2445" s="153"/>
      <c r="CA2445" s="152"/>
      <c r="CB2445" s="152"/>
    </row>
    <row r="2446" spans="1:80" s="87" customFormat="1" x14ac:dyDescent="0.2">
      <c r="A2446" s="152"/>
      <c r="B2446" s="683"/>
      <c r="C2446" s="683"/>
      <c r="D2446" s="698"/>
      <c r="E2446" s="215"/>
      <c r="F2446" s="215"/>
      <c r="G2446" s="153"/>
      <c r="H2446" s="153"/>
      <c r="I2446" s="163">
        <v>10</v>
      </c>
      <c r="J2446" s="312">
        <v>120</v>
      </c>
      <c r="K2446" s="150">
        <v>1</v>
      </c>
      <c r="L2446" s="656">
        <v>20</v>
      </c>
      <c r="M2446" s="663">
        <v>34107</v>
      </c>
      <c r="N2446" s="600">
        <v>0.67949999999999999</v>
      </c>
      <c r="O2446" s="604">
        <v>1.0600999999999999E-2</v>
      </c>
      <c r="P2446" s="150"/>
      <c r="Q2446" s="250"/>
      <c r="R2446" s="250"/>
      <c r="S2446" s="250">
        <v>6.0000000000000001E-3</v>
      </c>
      <c r="T2446" s="250">
        <v>0.14499999999999999</v>
      </c>
      <c r="U2446" s="250">
        <v>0.21100000000000002</v>
      </c>
      <c r="V2446" s="250">
        <v>0.23399999999999999</v>
      </c>
      <c r="W2446" s="250">
        <v>0.247</v>
      </c>
      <c r="X2446" s="250">
        <v>0.14499999999999999</v>
      </c>
      <c r="Y2446" s="250">
        <v>1.3000000000000001E-2</v>
      </c>
      <c r="Z2446" s="150"/>
      <c r="AA2446" s="150">
        <v>1.33</v>
      </c>
      <c r="AB2446" s="152"/>
      <c r="AC2446" s="152"/>
      <c r="AD2446" s="223"/>
      <c r="AE2446" s="223"/>
      <c r="AF2446" s="223"/>
      <c r="AG2446" s="223"/>
      <c r="AH2446" s="341"/>
      <c r="AI2446" s="218"/>
      <c r="AJ2446" s="218"/>
      <c r="AK2446" s="153"/>
      <c r="AL2446" s="152"/>
      <c r="AM2446" s="152"/>
      <c r="AN2446" s="152"/>
      <c r="AO2446" s="152"/>
      <c r="AP2446" s="152"/>
      <c r="AQ2446" s="152"/>
      <c r="AR2446" s="152"/>
      <c r="AS2446" s="152"/>
      <c r="AT2446" s="152"/>
      <c r="AU2446" s="153"/>
      <c r="AV2446" s="479"/>
      <c r="AW2446" s="479"/>
      <c r="AX2446" s="442"/>
      <c r="AY2446" s="153"/>
      <c r="AZ2446" s="152"/>
      <c r="BA2446" s="152"/>
      <c r="BB2446" s="152"/>
      <c r="BC2446" s="152"/>
      <c r="BD2446" s="152"/>
      <c r="BE2446" s="152"/>
      <c r="BF2446" s="152"/>
      <c r="BG2446" s="152"/>
      <c r="BH2446" s="152"/>
      <c r="BI2446" s="153"/>
      <c r="BJ2446" s="153"/>
      <c r="BK2446" s="153"/>
      <c r="BL2446" s="153"/>
      <c r="BM2446" s="153"/>
      <c r="BN2446" s="153"/>
      <c r="BO2446" s="153"/>
      <c r="BP2446" s="153"/>
      <c r="BQ2446" s="153"/>
      <c r="BR2446" s="153"/>
      <c r="BS2446" s="153"/>
      <c r="BT2446" s="153"/>
      <c r="BU2446" s="153"/>
      <c r="BV2446" s="153"/>
      <c r="BW2446" s="153"/>
      <c r="BX2446" s="153"/>
      <c r="BY2446" s="153"/>
      <c r="BZ2446" s="153"/>
      <c r="CA2446" s="152"/>
      <c r="CB2446" s="152"/>
    </row>
    <row r="2447" spans="1:80" s="87" customFormat="1" x14ac:dyDescent="0.2">
      <c r="A2447" s="152"/>
      <c r="B2447" s="683"/>
      <c r="C2447" s="683"/>
      <c r="D2447" s="698"/>
      <c r="E2447" s="215"/>
      <c r="F2447" s="215"/>
      <c r="G2447" s="153"/>
      <c r="H2447" s="153"/>
      <c r="I2447" s="163">
        <v>10</v>
      </c>
      <c r="J2447" s="312">
        <v>120</v>
      </c>
      <c r="K2447" s="150">
        <v>1</v>
      </c>
      <c r="L2447" s="656">
        <v>20</v>
      </c>
      <c r="M2447" s="663">
        <v>34122</v>
      </c>
      <c r="N2447" s="600">
        <v>0.73612999999999995</v>
      </c>
      <c r="O2447" s="604">
        <v>5.2687999999999999E-2</v>
      </c>
      <c r="P2447" s="150"/>
      <c r="Q2447" s="250"/>
      <c r="R2447" s="250"/>
      <c r="S2447" s="250">
        <v>1.3999999999999999E-2</v>
      </c>
      <c r="T2447" s="250">
        <v>0.121</v>
      </c>
      <c r="U2447" s="250">
        <v>0.222</v>
      </c>
      <c r="V2447" s="250">
        <v>0.32299999999999995</v>
      </c>
      <c r="W2447" s="250">
        <v>0.249</v>
      </c>
      <c r="X2447" s="250">
        <v>6.6000000000000003E-2</v>
      </c>
      <c r="Y2447" s="250">
        <v>5.0000000000000001E-3</v>
      </c>
      <c r="Z2447" s="150"/>
      <c r="AA2447" s="150">
        <v>1.47</v>
      </c>
      <c r="AB2447" s="152"/>
      <c r="AC2447" s="152"/>
      <c r="AD2447" s="223"/>
      <c r="AE2447" s="223"/>
      <c r="AF2447" s="223"/>
      <c r="AG2447" s="223"/>
      <c r="AH2447" s="341"/>
      <c r="AI2447" s="218"/>
      <c r="AJ2447" s="218"/>
      <c r="AK2447" s="153"/>
      <c r="AL2447" s="152"/>
      <c r="AM2447" s="152"/>
      <c r="AN2447" s="152"/>
      <c r="AO2447" s="152"/>
      <c r="AP2447" s="152"/>
      <c r="AQ2447" s="152"/>
      <c r="AR2447" s="152"/>
      <c r="AS2447" s="152"/>
      <c r="AT2447" s="152"/>
      <c r="AU2447" s="153"/>
      <c r="AV2447" s="479"/>
      <c r="AW2447" s="479"/>
      <c r="AX2447" s="442"/>
      <c r="AY2447" s="153"/>
      <c r="AZ2447" s="152"/>
      <c r="BA2447" s="152"/>
      <c r="BB2447" s="152"/>
      <c r="BC2447" s="152"/>
      <c r="BD2447" s="152"/>
      <c r="BE2447" s="152"/>
      <c r="BF2447" s="152"/>
      <c r="BG2447" s="152"/>
      <c r="BH2447" s="152"/>
      <c r="BI2447" s="153"/>
      <c r="BJ2447" s="153"/>
      <c r="BK2447" s="153"/>
      <c r="BL2447" s="153"/>
      <c r="BM2447" s="153"/>
      <c r="BN2447" s="153"/>
      <c r="BO2447" s="153"/>
      <c r="BP2447" s="153"/>
      <c r="BQ2447" s="153"/>
      <c r="BR2447" s="153"/>
      <c r="BS2447" s="153"/>
      <c r="BT2447" s="153"/>
      <c r="BU2447" s="153"/>
      <c r="BV2447" s="153"/>
      <c r="BW2447" s="153"/>
      <c r="BX2447" s="153"/>
      <c r="BY2447" s="153"/>
      <c r="BZ2447" s="153"/>
      <c r="CA2447" s="152"/>
      <c r="CB2447" s="152"/>
    </row>
    <row r="2448" spans="1:80" s="87" customFormat="1" x14ac:dyDescent="0.2">
      <c r="A2448" s="152"/>
      <c r="B2448" s="683"/>
      <c r="C2448" s="683"/>
      <c r="D2448" s="698"/>
      <c r="E2448" s="215"/>
      <c r="F2448" s="215"/>
      <c r="G2448" s="153"/>
      <c r="H2448" s="153"/>
      <c r="I2448" s="163">
        <v>10</v>
      </c>
      <c r="J2448" s="312">
        <v>240</v>
      </c>
      <c r="K2448" s="150">
        <v>1</v>
      </c>
      <c r="L2448" s="656">
        <v>40</v>
      </c>
      <c r="M2448" s="663">
        <v>34135</v>
      </c>
      <c r="N2448" s="600">
        <v>0.59457000000000004</v>
      </c>
      <c r="O2448" s="604">
        <v>1.5429E-2</v>
      </c>
      <c r="P2448" s="150"/>
      <c r="Q2448" s="250"/>
      <c r="R2448" s="250"/>
      <c r="S2448" s="250">
        <v>1E-3</v>
      </c>
      <c r="T2448" s="250">
        <v>3.3000000000000002E-2</v>
      </c>
      <c r="U2448" s="250">
        <v>0.32200000000000001</v>
      </c>
      <c r="V2448" s="250">
        <v>0.45600000000000002</v>
      </c>
      <c r="W2448" s="250">
        <v>0.14699999999999999</v>
      </c>
      <c r="X2448" s="250">
        <v>3.7999999999999999E-2</v>
      </c>
      <c r="Y2448" s="250">
        <v>3.0000000000000001E-3</v>
      </c>
      <c r="Z2448" s="150"/>
      <c r="AA2448" s="150">
        <v>1.61</v>
      </c>
      <c r="AB2448" s="152"/>
      <c r="AC2448" s="152"/>
      <c r="AD2448" s="223"/>
      <c r="AE2448" s="223"/>
      <c r="AF2448" s="223"/>
      <c r="AG2448" s="223"/>
      <c r="AH2448" s="341"/>
      <c r="AI2448" s="218"/>
      <c r="AJ2448" s="218"/>
      <c r="AK2448" s="153"/>
      <c r="AL2448" s="152"/>
      <c r="AM2448" s="152"/>
      <c r="AN2448" s="152"/>
      <c r="AO2448" s="152"/>
      <c r="AP2448" s="152"/>
      <c r="AQ2448" s="152"/>
      <c r="AR2448" s="152"/>
      <c r="AS2448" s="152"/>
      <c r="AT2448" s="152"/>
      <c r="AU2448" s="153"/>
      <c r="AV2448" s="479"/>
      <c r="AW2448" s="479"/>
      <c r="AX2448" s="442"/>
      <c r="AY2448" s="153"/>
      <c r="AZ2448" s="152"/>
      <c r="BA2448" s="152"/>
      <c r="BB2448" s="152"/>
      <c r="BC2448" s="152"/>
      <c r="BD2448" s="152"/>
      <c r="BE2448" s="152"/>
      <c r="BF2448" s="152"/>
      <c r="BG2448" s="152"/>
      <c r="BH2448" s="152"/>
      <c r="BI2448" s="153"/>
      <c r="BJ2448" s="153"/>
      <c r="BK2448" s="153"/>
      <c r="BL2448" s="153"/>
      <c r="BM2448" s="153"/>
      <c r="BN2448" s="153"/>
      <c r="BO2448" s="153"/>
      <c r="BP2448" s="153"/>
      <c r="BQ2448" s="153"/>
      <c r="BR2448" s="153"/>
      <c r="BS2448" s="153"/>
      <c r="BT2448" s="153"/>
      <c r="BU2448" s="153"/>
      <c r="BV2448" s="153"/>
      <c r="BW2448" s="153"/>
      <c r="BX2448" s="153"/>
      <c r="BY2448" s="153"/>
      <c r="BZ2448" s="153"/>
      <c r="CA2448" s="152"/>
      <c r="CB2448" s="152"/>
    </row>
    <row r="2449" spans="1:80" s="87" customFormat="1" x14ac:dyDescent="0.2">
      <c r="A2449" s="152"/>
      <c r="B2449" s="683"/>
      <c r="C2449" s="683"/>
      <c r="D2449" s="698"/>
      <c r="E2449" s="215"/>
      <c r="F2449" s="215"/>
      <c r="G2449" s="153"/>
      <c r="H2449" s="153"/>
      <c r="I2449" s="163">
        <v>10</v>
      </c>
      <c r="J2449" s="312">
        <v>240</v>
      </c>
      <c r="K2449" s="150">
        <v>1</v>
      </c>
      <c r="L2449" s="656">
        <v>40</v>
      </c>
      <c r="M2449" s="663">
        <v>34136</v>
      </c>
      <c r="N2449" s="600">
        <v>0.53793999999999997</v>
      </c>
      <c r="O2449" s="604">
        <v>1.1124999999999999E-2</v>
      </c>
      <c r="P2449" s="150"/>
      <c r="Q2449" s="250"/>
      <c r="R2449" s="250"/>
      <c r="S2449" s="250">
        <v>1.9E-2</v>
      </c>
      <c r="T2449" s="250">
        <v>0.11699999999999999</v>
      </c>
      <c r="U2449" s="250">
        <v>0.27100000000000002</v>
      </c>
      <c r="V2449" s="250">
        <v>0.36700000000000005</v>
      </c>
      <c r="W2449" s="250">
        <v>0.17499999999999999</v>
      </c>
      <c r="X2449" s="250">
        <v>4.9000000000000002E-2</v>
      </c>
      <c r="Y2449" s="250">
        <v>3.0000000000000001E-3</v>
      </c>
      <c r="Z2449" s="150"/>
      <c r="AA2449" s="150">
        <v>1.68</v>
      </c>
      <c r="AB2449" s="152"/>
      <c r="AC2449" s="152"/>
      <c r="AD2449" s="223"/>
      <c r="AE2449" s="223"/>
      <c r="AF2449" s="223"/>
      <c r="AG2449" s="223"/>
      <c r="AH2449" s="341"/>
      <c r="AI2449" s="218"/>
      <c r="AJ2449" s="218"/>
      <c r="AK2449" s="153"/>
      <c r="AL2449" s="152"/>
      <c r="AM2449" s="152"/>
      <c r="AN2449" s="152"/>
      <c r="AO2449" s="152"/>
      <c r="AP2449" s="152"/>
      <c r="AQ2449" s="152"/>
      <c r="AR2449" s="152"/>
      <c r="AS2449" s="152"/>
      <c r="AT2449" s="152"/>
      <c r="AU2449" s="153"/>
      <c r="AV2449" s="479"/>
      <c r="AW2449" s="479"/>
      <c r="AX2449" s="442"/>
      <c r="AY2449" s="153"/>
      <c r="AZ2449" s="152"/>
      <c r="BA2449" s="152"/>
      <c r="BB2449" s="152"/>
      <c r="BC2449" s="152"/>
      <c r="BD2449" s="152"/>
      <c r="BE2449" s="152"/>
      <c r="BF2449" s="152"/>
      <c r="BG2449" s="152"/>
      <c r="BH2449" s="152"/>
      <c r="BI2449" s="153"/>
      <c r="BJ2449" s="153"/>
      <c r="BK2449" s="153"/>
      <c r="BL2449" s="153"/>
      <c r="BM2449" s="153"/>
      <c r="BN2449" s="153"/>
      <c r="BO2449" s="153"/>
      <c r="BP2449" s="153"/>
      <c r="BQ2449" s="153"/>
      <c r="BR2449" s="153"/>
      <c r="BS2449" s="153"/>
      <c r="BT2449" s="153"/>
      <c r="BU2449" s="153"/>
      <c r="BV2449" s="153"/>
      <c r="BW2449" s="153"/>
      <c r="BX2449" s="153"/>
      <c r="BY2449" s="153"/>
      <c r="BZ2449" s="153"/>
      <c r="CA2449" s="152"/>
      <c r="CB2449" s="152"/>
    </row>
    <row r="2450" spans="1:80" s="87" customFormat="1" x14ac:dyDescent="0.2">
      <c r="A2450" s="152"/>
      <c r="B2450" s="683"/>
      <c r="C2450" s="683"/>
      <c r="D2450" s="698"/>
      <c r="E2450" s="215"/>
      <c r="F2450" s="215"/>
      <c r="G2450" s="153"/>
      <c r="H2450" s="153"/>
      <c r="I2450" s="163">
        <v>10</v>
      </c>
      <c r="J2450" s="312">
        <v>240</v>
      </c>
      <c r="K2450" s="150">
        <v>1</v>
      </c>
      <c r="L2450" s="656">
        <v>40</v>
      </c>
      <c r="M2450" s="663">
        <v>34430</v>
      </c>
      <c r="N2450" s="600">
        <v>7.0779999999999996E-2</v>
      </c>
      <c r="O2450" s="604">
        <v>3.4000000000000002E-4</v>
      </c>
      <c r="P2450" s="150"/>
      <c r="Q2450" s="250"/>
      <c r="R2450" s="250"/>
      <c r="S2450" s="250"/>
      <c r="T2450" s="250"/>
      <c r="U2450" s="250">
        <v>4.7E-2</v>
      </c>
      <c r="V2450" s="250">
        <v>0.27300000000000002</v>
      </c>
      <c r="W2450" s="250">
        <v>0.44</v>
      </c>
      <c r="X2450" s="250">
        <v>0.22899999999999998</v>
      </c>
      <c r="Y2450" s="250">
        <v>1.1000000000000001E-2</v>
      </c>
      <c r="Z2450" s="150"/>
      <c r="AA2450" s="150">
        <v>0.75</v>
      </c>
      <c r="AB2450" s="152"/>
      <c r="AC2450" s="152"/>
      <c r="AD2450" s="223"/>
      <c r="AE2450" s="223"/>
      <c r="AF2450" s="223"/>
      <c r="AG2450" s="223"/>
      <c r="AH2450" s="341"/>
      <c r="AI2450" s="218"/>
      <c r="AJ2450" s="218"/>
      <c r="AK2450" s="153"/>
      <c r="AL2450" s="152"/>
      <c r="AM2450" s="152"/>
      <c r="AN2450" s="152"/>
      <c r="AO2450" s="152"/>
      <c r="AP2450" s="152"/>
      <c r="AQ2450" s="152"/>
      <c r="AR2450" s="152"/>
      <c r="AS2450" s="152"/>
      <c r="AT2450" s="152"/>
      <c r="AU2450" s="153"/>
      <c r="AV2450" s="479"/>
      <c r="AW2450" s="479"/>
      <c r="AX2450" s="442"/>
      <c r="AY2450" s="153"/>
      <c r="AZ2450" s="152"/>
      <c r="BA2450" s="152"/>
      <c r="BB2450" s="152"/>
      <c r="BC2450" s="152"/>
      <c r="BD2450" s="152"/>
      <c r="BE2450" s="152"/>
      <c r="BF2450" s="152"/>
      <c r="BG2450" s="152"/>
      <c r="BH2450" s="152"/>
      <c r="BI2450" s="153"/>
      <c r="BJ2450" s="153"/>
      <c r="BK2450" s="153"/>
      <c r="BL2450" s="153"/>
      <c r="BM2450" s="153"/>
      <c r="BN2450" s="153"/>
      <c r="BO2450" s="153"/>
      <c r="BP2450" s="153"/>
      <c r="BQ2450" s="153"/>
      <c r="BR2450" s="153"/>
      <c r="BS2450" s="153"/>
      <c r="BT2450" s="153"/>
      <c r="BU2450" s="153"/>
      <c r="BV2450" s="153"/>
      <c r="BW2450" s="153"/>
      <c r="BX2450" s="153"/>
      <c r="BY2450" s="153"/>
      <c r="BZ2450" s="153"/>
      <c r="CA2450" s="152"/>
      <c r="CB2450" s="152"/>
    </row>
    <row r="2451" spans="1:80" s="87" customFormat="1" x14ac:dyDescent="0.2">
      <c r="A2451" s="152"/>
      <c r="B2451" s="683"/>
      <c r="C2451" s="683"/>
      <c r="D2451" s="698"/>
      <c r="E2451" s="215"/>
      <c r="F2451" s="215"/>
      <c r="G2451" s="153"/>
      <c r="H2451" s="153"/>
      <c r="I2451" s="163">
        <v>10</v>
      </c>
      <c r="J2451" s="312">
        <v>480</v>
      </c>
      <c r="K2451" s="150">
        <v>1</v>
      </c>
      <c r="L2451" s="656">
        <v>80</v>
      </c>
      <c r="M2451" s="663">
        <v>34443</v>
      </c>
      <c r="N2451" s="600">
        <v>0.17554</v>
      </c>
      <c r="O2451" s="604">
        <v>3.2899999999999997E-4</v>
      </c>
      <c r="P2451" s="150"/>
      <c r="Q2451" s="250"/>
      <c r="R2451" s="250"/>
      <c r="S2451" s="250"/>
      <c r="T2451" s="250">
        <v>6.0000000000000001E-3</v>
      </c>
      <c r="U2451" s="250">
        <v>0.09</v>
      </c>
      <c r="V2451" s="250">
        <v>0.34700000000000003</v>
      </c>
      <c r="W2451" s="250">
        <v>0.35100000000000003</v>
      </c>
      <c r="X2451" s="250">
        <v>0.193</v>
      </c>
      <c r="Y2451" s="250">
        <v>1.3000000000000001E-2</v>
      </c>
      <c r="Z2451" s="150"/>
      <c r="AA2451" s="150">
        <v>0.89</v>
      </c>
      <c r="AB2451" s="152"/>
      <c r="AC2451" s="152"/>
      <c r="AD2451" s="223"/>
      <c r="AE2451" s="223"/>
      <c r="AF2451" s="223"/>
      <c r="AG2451" s="223"/>
      <c r="AH2451" s="341"/>
      <c r="AI2451" s="218"/>
      <c r="AJ2451" s="218"/>
      <c r="AK2451" s="153"/>
      <c r="AL2451" s="152"/>
      <c r="AM2451" s="152"/>
      <c r="AN2451" s="152"/>
      <c r="AO2451" s="152"/>
      <c r="AP2451" s="152"/>
      <c r="AQ2451" s="152"/>
      <c r="AR2451" s="152"/>
      <c r="AS2451" s="152"/>
      <c r="AT2451" s="152"/>
      <c r="AU2451" s="153"/>
      <c r="AV2451" s="479"/>
      <c r="AW2451" s="479"/>
      <c r="AX2451" s="442"/>
      <c r="AY2451" s="153"/>
      <c r="AZ2451" s="152"/>
      <c r="BA2451" s="152"/>
      <c r="BB2451" s="152"/>
      <c r="BC2451" s="152"/>
      <c r="BD2451" s="152"/>
      <c r="BE2451" s="152"/>
      <c r="BF2451" s="152"/>
      <c r="BG2451" s="152"/>
      <c r="BH2451" s="152"/>
      <c r="BI2451" s="153"/>
      <c r="BJ2451" s="153"/>
      <c r="BK2451" s="153"/>
      <c r="BL2451" s="153"/>
      <c r="BM2451" s="153"/>
      <c r="BN2451" s="153"/>
      <c r="BO2451" s="153"/>
      <c r="BP2451" s="153"/>
      <c r="BQ2451" s="153"/>
      <c r="BR2451" s="153"/>
      <c r="BS2451" s="153"/>
      <c r="BT2451" s="153"/>
      <c r="BU2451" s="153"/>
      <c r="BV2451" s="153"/>
      <c r="BW2451" s="153"/>
      <c r="BX2451" s="153"/>
      <c r="BY2451" s="153"/>
      <c r="BZ2451" s="153"/>
      <c r="CA2451" s="152"/>
      <c r="CB2451" s="152"/>
    </row>
    <row r="2452" spans="1:80" s="87" customFormat="1" x14ac:dyDescent="0.2">
      <c r="A2452" s="152"/>
      <c r="B2452" s="683"/>
      <c r="C2452" s="683"/>
      <c r="D2452" s="698"/>
      <c r="E2452" s="215"/>
      <c r="F2452" s="215"/>
      <c r="G2452" s="153"/>
      <c r="H2452" s="153"/>
      <c r="I2452" s="163">
        <v>10</v>
      </c>
      <c r="J2452" s="312">
        <v>240</v>
      </c>
      <c r="K2452" s="150">
        <v>1</v>
      </c>
      <c r="L2452" s="656">
        <v>40</v>
      </c>
      <c r="M2452" s="663">
        <v>34445</v>
      </c>
      <c r="N2452" s="600">
        <v>0.22084000000000001</v>
      </c>
      <c r="O2452" s="604">
        <v>7.9199999999999995E-4</v>
      </c>
      <c r="P2452" s="150"/>
      <c r="Q2452" s="250"/>
      <c r="R2452" s="250"/>
      <c r="S2452" s="250"/>
      <c r="T2452" s="250">
        <v>1.4999999999999999E-2</v>
      </c>
      <c r="U2452" s="250">
        <v>9.6999999999999989E-2</v>
      </c>
      <c r="V2452" s="250">
        <v>0.25</v>
      </c>
      <c r="W2452" s="250">
        <v>0.36499999999999999</v>
      </c>
      <c r="X2452" s="250">
        <v>0.25800000000000001</v>
      </c>
      <c r="Y2452" s="250">
        <v>1.4999999999999999E-2</v>
      </c>
      <c r="Z2452" s="150"/>
      <c r="AA2452" s="150">
        <v>0.77</v>
      </c>
      <c r="AB2452" s="152"/>
      <c r="AC2452" s="152"/>
      <c r="AD2452" s="223"/>
      <c r="AE2452" s="223"/>
      <c r="AF2452" s="223"/>
      <c r="AG2452" s="223"/>
      <c r="AH2452" s="341"/>
      <c r="AI2452" s="218"/>
      <c r="AJ2452" s="218"/>
      <c r="AK2452" s="153"/>
      <c r="AL2452" s="152"/>
      <c r="AM2452" s="152"/>
      <c r="AN2452" s="152"/>
      <c r="AO2452" s="152"/>
      <c r="AP2452" s="152"/>
      <c r="AQ2452" s="152"/>
      <c r="AR2452" s="152"/>
      <c r="AS2452" s="152"/>
      <c r="AT2452" s="152"/>
      <c r="AU2452" s="153"/>
      <c r="AV2452" s="479"/>
      <c r="AW2452" s="479"/>
      <c r="AX2452" s="442"/>
      <c r="AY2452" s="153"/>
      <c r="AZ2452" s="152"/>
      <c r="BA2452" s="152"/>
      <c r="BB2452" s="152"/>
      <c r="BC2452" s="152"/>
      <c r="BD2452" s="152"/>
      <c r="BE2452" s="152"/>
      <c r="BF2452" s="152"/>
      <c r="BG2452" s="152"/>
      <c r="BH2452" s="152"/>
      <c r="BI2452" s="153"/>
      <c r="BJ2452" s="153"/>
      <c r="BK2452" s="153"/>
      <c r="BL2452" s="153"/>
      <c r="BM2452" s="153"/>
      <c r="BN2452" s="153"/>
      <c r="BO2452" s="153"/>
      <c r="BP2452" s="153"/>
      <c r="BQ2452" s="153"/>
      <c r="BR2452" s="153"/>
      <c r="BS2452" s="153"/>
      <c r="BT2452" s="153"/>
      <c r="BU2452" s="153"/>
      <c r="BV2452" s="153"/>
      <c r="BW2452" s="153"/>
      <c r="BX2452" s="153"/>
      <c r="BY2452" s="153"/>
      <c r="BZ2452" s="153"/>
      <c r="CA2452" s="152"/>
      <c r="CB2452" s="152"/>
    </row>
    <row r="2453" spans="1:80" s="87" customFormat="1" x14ac:dyDescent="0.2">
      <c r="A2453" s="152"/>
      <c r="B2453" s="683"/>
      <c r="C2453" s="683"/>
      <c r="D2453" s="698"/>
      <c r="E2453" s="215"/>
      <c r="F2453" s="215"/>
      <c r="G2453" s="153"/>
      <c r="H2453" s="153"/>
      <c r="I2453" s="163">
        <v>10</v>
      </c>
      <c r="J2453" s="312">
        <v>480</v>
      </c>
      <c r="K2453" s="150">
        <v>1</v>
      </c>
      <c r="L2453" s="656">
        <v>80</v>
      </c>
      <c r="M2453" s="663">
        <v>34458</v>
      </c>
      <c r="N2453" s="600">
        <v>0.13023999999999999</v>
      </c>
      <c r="O2453" s="604">
        <v>5.9200000000000002E-5</v>
      </c>
      <c r="P2453" s="150"/>
      <c r="Q2453" s="250"/>
      <c r="R2453" s="250"/>
      <c r="S2453" s="250"/>
      <c r="T2453" s="250"/>
      <c r="U2453" s="250"/>
      <c r="V2453" s="250">
        <v>0.42700000000000005</v>
      </c>
      <c r="W2453" s="250">
        <v>0.36499999999999999</v>
      </c>
      <c r="X2453" s="250">
        <v>0.19</v>
      </c>
      <c r="Y2453" s="250">
        <v>1.8000000000000002E-2</v>
      </c>
      <c r="Z2453" s="150"/>
      <c r="AA2453" s="150">
        <v>0.87</v>
      </c>
      <c r="AB2453" s="152"/>
      <c r="AC2453" s="152"/>
      <c r="AD2453" s="223"/>
      <c r="AE2453" s="223"/>
      <c r="AF2453" s="223"/>
      <c r="AG2453" s="223"/>
      <c r="AH2453" s="341"/>
      <c r="AI2453" s="218"/>
      <c r="AJ2453" s="218"/>
      <c r="AK2453" s="153"/>
      <c r="AL2453" s="152"/>
      <c r="AM2453" s="152"/>
      <c r="AN2453" s="152"/>
      <c r="AO2453" s="152"/>
      <c r="AP2453" s="152"/>
      <c r="AQ2453" s="152"/>
      <c r="AR2453" s="152"/>
      <c r="AS2453" s="152"/>
      <c r="AT2453" s="152"/>
      <c r="AU2453" s="153"/>
      <c r="AV2453" s="479"/>
      <c r="AW2453" s="479"/>
      <c r="AX2453" s="442"/>
      <c r="AY2453" s="153"/>
      <c r="AZ2453" s="152"/>
      <c r="BA2453" s="152"/>
      <c r="BB2453" s="152"/>
      <c r="BC2453" s="152"/>
      <c r="BD2453" s="152"/>
      <c r="BE2453" s="152"/>
      <c r="BF2453" s="152"/>
      <c r="BG2453" s="152"/>
      <c r="BH2453" s="152"/>
      <c r="BI2453" s="153"/>
      <c r="BJ2453" s="153"/>
      <c r="BK2453" s="153"/>
      <c r="BL2453" s="153"/>
      <c r="BM2453" s="153"/>
      <c r="BN2453" s="153"/>
      <c r="BO2453" s="153"/>
      <c r="BP2453" s="153"/>
      <c r="BQ2453" s="153"/>
      <c r="BR2453" s="153"/>
      <c r="BS2453" s="153"/>
      <c r="BT2453" s="153"/>
      <c r="BU2453" s="153"/>
      <c r="BV2453" s="153"/>
      <c r="BW2453" s="153"/>
      <c r="BX2453" s="153"/>
      <c r="BY2453" s="153"/>
      <c r="BZ2453" s="153"/>
      <c r="CA2453" s="152"/>
      <c r="CB2453" s="152"/>
    </row>
    <row r="2454" spans="1:80" s="87" customFormat="1" x14ac:dyDescent="0.2">
      <c r="A2454" s="152"/>
      <c r="B2454" s="683"/>
      <c r="C2454" s="683"/>
      <c r="D2454" s="698"/>
      <c r="E2454" s="215"/>
      <c r="F2454" s="215"/>
      <c r="G2454" s="153"/>
      <c r="H2454" s="153"/>
      <c r="I2454" s="163">
        <v>10</v>
      </c>
      <c r="J2454" s="312">
        <v>240</v>
      </c>
      <c r="K2454" s="150">
        <v>1</v>
      </c>
      <c r="L2454" s="656">
        <v>40</v>
      </c>
      <c r="M2454" s="663">
        <v>34459</v>
      </c>
      <c r="N2454" s="600">
        <v>0.13023999999999999</v>
      </c>
      <c r="O2454" s="604">
        <v>4.21E-5</v>
      </c>
      <c r="P2454" s="150"/>
      <c r="Q2454" s="250"/>
      <c r="R2454" s="250"/>
      <c r="S2454" s="250"/>
      <c r="T2454" s="250"/>
      <c r="U2454" s="250">
        <v>9.6999999999999989E-2</v>
      </c>
      <c r="V2454" s="250">
        <v>0.26899999999999996</v>
      </c>
      <c r="W2454" s="250">
        <v>0.41899999999999998</v>
      </c>
      <c r="X2454" s="250">
        <v>0.19699999999999998</v>
      </c>
      <c r="Y2454" s="250">
        <v>1.8000000000000002E-2</v>
      </c>
      <c r="Z2454" s="150"/>
      <c r="AA2454" s="150">
        <v>0.8</v>
      </c>
      <c r="AB2454" s="152"/>
      <c r="AC2454" s="152"/>
      <c r="AD2454" s="223"/>
      <c r="AE2454" s="223"/>
      <c r="AF2454" s="223"/>
      <c r="AG2454" s="223"/>
      <c r="AH2454" s="341"/>
      <c r="AI2454" s="218"/>
      <c r="AJ2454" s="218"/>
      <c r="AK2454" s="153"/>
      <c r="AL2454" s="152"/>
      <c r="AM2454" s="152"/>
      <c r="AN2454" s="152"/>
      <c r="AO2454" s="152"/>
      <c r="AP2454" s="152"/>
      <c r="AQ2454" s="152"/>
      <c r="AR2454" s="152"/>
      <c r="AS2454" s="152"/>
      <c r="AT2454" s="152"/>
      <c r="AU2454" s="153"/>
      <c r="AV2454" s="479"/>
      <c r="AW2454" s="479"/>
      <c r="AX2454" s="442"/>
      <c r="AY2454" s="153"/>
      <c r="AZ2454" s="152"/>
      <c r="BA2454" s="152"/>
      <c r="BB2454" s="152"/>
      <c r="BC2454" s="152"/>
      <c r="BD2454" s="152"/>
      <c r="BE2454" s="152"/>
      <c r="BF2454" s="152"/>
      <c r="BG2454" s="152"/>
      <c r="BH2454" s="152"/>
      <c r="BI2454" s="153"/>
      <c r="BJ2454" s="153"/>
      <c r="BK2454" s="153"/>
      <c r="BL2454" s="153"/>
      <c r="BM2454" s="153"/>
      <c r="BN2454" s="153"/>
      <c r="BO2454" s="153"/>
      <c r="BP2454" s="153"/>
      <c r="BQ2454" s="153"/>
      <c r="BR2454" s="153"/>
      <c r="BS2454" s="153"/>
      <c r="BT2454" s="153"/>
      <c r="BU2454" s="153"/>
      <c r="BV2454" s="153"/>
      <c r="BW2454" s="153"/>
      <c r="BX2454" s="153"/>
      <c r="BY2454" s="153"/>
      <c r="BZ2454" s="153"/>
      <c r="CA2454" s="152"/>
      <c r="CB2454" s="152"/>
    </row>
    <row r="2455" spans="1:80" s="87" customFormat="1" x14ac:dyDescent="0.2">
      <c r="A2455" s="152"/>
      <c r="B2455" s="683"/>
      <c r="C2455" s="683"/>
      <c r="D2455" s="698"/>
      <c r="E2455" s="215"/>
      <c r="F2455" s="215"/>
      <c r="G2455" s="153"/>
      <c r="H2455" s="153"/>
      <c r="I2455" s="163">
        <v>10</v>
      </c>
      <c r="J2455" s="312">
        <v>240</v>
      </c>
      <c r="K2455" s="150">
        <v>1</v>
      </c>
      <c r="L2455" s="656">
        <v>40</v>
      </c>
      <c r="M2455" s="663">
        <v>34463</v>
      </c>
      <c r="N2455" s="600">
        <v>0.33975</v>
      </c>
      <c r="O2455" s="604">
        <v>8.5899999999999995E-4</v>
      </c>
      <c r="P2455" s="150"/>
      <c r="Q2455" s="250"/>
      <c r="R2455" s="250"/>
      <c r="S2455" s="250"/>
      <c r="T2455" s="250">
        <v>0.02</v>
      </c>
      <c r="U2455" s="250">
        <v>0.13100000000000001</v>
      </c>
      <c r="V2455" s="250">
        <v>0.28300000000000003</v>
      </c>
      <c r="W2455" s="250">
        <v>0.33100000000000002</v>
      </c>
      <c r="X2455" s="250">
        <v>0.22</v>
      </c>
      <c r="Y2455" s="250">
        <v>1.4999999999999999E-2</v>
      </c>
      <c r="Z2455" s="150"/>
      <c r="AA2455" s="150">
        <v>0.87</v>
      </c>
      <c r="AB2455" s="152"/>
      <c r="AC2455" s="152"/>
      <c r="AD2455" s="223"/>
      <c r="AE2455" s="223"/>
      <c r="AF2455" s="223"/>
      <c r="AG2455" s="223"/>
      <c r="AH2455" s="341"/>
      <c r="AI2455" s="218"/>
      <c r="AJ2455" s="218"/>
      <c r="AK2455" s="153"/>
      <c r="AL2455" s="152"/>
      <c r="AM2455" s="152"/>
      <c r="AN2455" s="152"/>
      <c r="AO2455" s="152"/>
      <c r="AP2455" s="152"/>
      <c r="AQ2455" s="152"/>
      <c r="AR2455" s="152"/>
      <c r="AS2455" s="152"/>
      <c r="AT2455" s="152"/>
      <c r="AU2455" s="153"/>
      <c r="AV2455" s="479"/>
      <c r="AW2455" s="479"/>
      <c r="AX2455" s="442"/>
      <c r="AY2455" s="153"/>
      <c r="AZ2455" s="152"/>
      <c r="BA2455" s="152"/>
      <c r="BB2455" s="152"/>
      <c r="BC2455" s="152"/>
      <c r="BD2455" s="152"/>
      <c r="BE2455" s="152"/>
      <c r="BF2455" s="152"/>
      <c r="BG2455" s="152"/>
      <c r="BH2455" s="152"/>
      <c r="BI2455" s="153"/>
      <c r="BJ2455" s="153"/>
      <c r="BK2455" s="153"/>
      <c r="BL2455" s="153"/>
      <c r="BM2455" s="153"/>
      <c r="BN2455" s="153"/>
      <c r="BO2455" s="153"/>
      <c r="BP2455" s="153"/>
      <c r="BQ2455" s="153"/>
      <c r="BR2455" s="153"/>
      <c r="BS2455" s="153"/>
      <c r="BT2455" s="153"/>
      <c r="BU2455" s="153"/>
      <c r="BV2455" s="153"/>
      <c r="BW2455" s="153"/>
      <c r="BX2455" s="153"/>
      <c r="BY2455" s="153"/>
      <c r="BZ2455" s="153"/>
      <c r="CA2455" s="152"/>
      <c r="CB2455" s="152"/>
    </row>
    <row r="2456" spans="1:80" s="87" customFormat="1" x14ac:dyDescent="0.2">
      <c r="A2456" s="152"/>
      <c r="B2456" s="683"/>
      <c r="C2456" s="683"/>
      <c r="D2456" s="698"/>
      <c r="E2456" s="215"/>
      <c r="F2456" s="215"/>
      <c r="G2456" s="153"/>
      <c r="H2456" s="153"/>
      <c r="I2456" s="163">
        <v>10</v>
      </c>
      <c r="J2456" s="312">
        <v>240</v>
      </c>
      <c r="K2456" s="150">
        <v>1</v>
      </c>
      <c r="L2456" s="656">
        <v>40</v>
      </c>
      <c r="M2456" s="663">
        <v>34464</v>
      </c>
      <c r="N2456" s="600">
        <v>0.36807000000000001</v>
      </c>
      <c r="O2456" s="604">
        <v>2.4659999999999999E-3</v>
      </c>
      <c r="P2456" s="150"/>
      <c r="Q2456" s="250"/>
      <c r="R2456" s="250"/>
      <c r="S2456" s="250">
        <v>1.2E-2</v>
      </c>
      <c r="T2456" s="250">
        <v>9.5000000000000001E-2</v>
      </c>
      <c r="U2456" s="250">
        <v>0.17199999999999999</v>
      </c>
      <c r="V2456" s="250">
        <v>0.34600000000000003</v>
      </c>
      <c r="W2456" s="250">
        <v>0.26700000000000002</v>
      </c>
      <c r="X2456" s="250">
        <v>0.10300000000000001</v>
      </c>
      <c r="Y2456" s="250">
        <v>5.0000000000000001E-3</v>
      </c>
      <c r="Z2456" s="150"/>
      <c r="AA2456" s="150">
        <v>1.28</v>
      </c>
      <c r="AB2456" s="152"/>
      <c r="AC2456" s="152"/>
      <c r="AD2456" s="223"/>
      <c r="AE2456" s="223"/>
      <c r="AF2456" s="223"/>
      <c r="AG2456" s="223"/>
      <c r="AH2456" s="341"/>
      <c r="AI2456" s="218"/>
      <c r="AJ2456" s="218"/>
      <c r="AK2456" s="153"/>
      <c r="AL2456" s="152"/>
      <c r="AM2456" s="152"/>
      <c r="AN2456" s="152"/>
      <c r="AO2456" s="152"/>
      <c r="AP2456" s="152"/>
      <c r="AQ2456" s="152"/>
      <c r="AR2456" s="152"/>
      <c r="AS2456" s="152"/>
      <c r="AT2456" s="152"/>
      <c r="AU2456" s="153"/>
      <c r="AV2456" s="479"/>
      <c r="AW2456" s="479"/>
      <c r="AX2456" s="442"/>
      <c r="AY2456" s="153"/>
      <c r="AZ2456" s="152"/>
      <c r="BA2456" s="152"/>
      <c r="BB2456" s="152"/>
      <c r="BC2456" s="152"/>
      <c r="BD2456" s="152"/>
      <c r="BE2456" s="152"/>
      <c r="BF2456" s="152"/>
      <c r="BG2456" s="152"/>
      <c r="BH2456" s="152"/>
      <c r="BI2456" s="153"/>
      <c r="BJ2456" s="153"/>
      <c r="BK2456" s="153"/>
      <c r="BL2456" s="153"/>
      <c r="BM2456" s="153"/>
      <c r="BN2456" s="153"/>
      <c r="BO2456" s="153"/>
      <c r="BP2456" s="153"/>
      <c r="BQ2456" s="153"/>
      <c r="BR2456" s="153"/>
      <c r="BS2456" s="153"/>
      <c r="BT2456" s="153"/>
      <c r="BU2456" s="153"/>
      <c r="BV2456" s="153"/>
      <c r="BW2456" s="153"/>
      <c r="BX2456" s="153"/>
      <c r="BY2456" s="153"/>
      <c r="BZ2456" s="153"/>
      <c r="CA2456" s="152"/>
      <c r="CB2456" s="152"/>
    </row>
    <row r="2457" spans="1:80" s="87" customFormat="1" x14ac:dyDescent="0.2">
      <c r="A2457" s="152"/>
      <c r="B2457" s="683"/>
      <c r="C2457" s="683"/>
      <c r="D2457" s="698"/>
      <c r="E2457" s="215"/>
      <c r="F2457" s="215"/>
      <c r="G2457" s="153"/>
      <c r="H2457" s="153"/>
      <c r="I2457" s="163">
        <v>10</v>
      </c>
      <c r="J2457" s="312">
        <v>240</v>
      </c>
      <c r="K2457" s="150">
        <v>1</v>
      </c>
      <c r="L2457" s="656">
        <v>40</v>
      </c>
      <c r="M2457" s="663">
        <v>34465</v>
      </c>
      <c r="N2457" s="600">
        <v>0.36807000000000001</v>
      </c>
      <c r="O2457" s="604">
        <v>1.134E-3</v>
      </c>
      <c r="P2457" s="150"/>
      <c r="Q2457" s="250"/>
      <c r="R2457" s="250"/>
      <c r="S2457" s="250"/>
      <c r="T2457" s="250">
        <v>3.7000000000000005E-2</v>
      </c>
      <c r="U2457" s="250">
        <v>0.152</v>
      </c>
      <c r="V2457" s="250">
        <v>0.32899999999999996</v>
      </c>
      <c r="W2457" s="250">
        <v>0.3</v>
      </c>
      <c r="X2457" s="250">
        <v>0.17199999999999999</v>
      </c>
      <c r="Y2457" s="250">
        <v>1.1000000000000001E-2</v>
      </c>
      <c r="Z2457" s="150"/>
      <c r="AA2457" s="150">
        <v>1.04</v>
      </c>
      <c r="AB2457" s="152"/>
      <c r="AC2457" s="152"/>
      <c r="AD2457" s="223"/>
      <c r="AE2457" s="223"/>
      <c r="AF2457" s="223"/>
      <c r="AG2457" s="223"/>
      <c r="AH2457" s="341"/>
      <c r="AI2457" s="218"/>
      <c r="AJ2457" s="218"/>
      <c r="AK2457" s="153"/>
      <c r="AL2457" s="152"/>
      <c r="AM2457" s="152"/>
      <c r="AN2457" s="152"/>
      <c r="AO2457" s="152"/>
      <c r="AP2457" s="152"/>
      <c r="AQ2457" s="152"/>
      <c r="AR2457" s="152"/>
      <c r="AS2457" s="152"/>
      <c r="AT2457" s="152"/>
      <c r="AU2457" s="153"/>
      <c r="AV2457" s="479"/>
      <c r="AW2457" s="479"/>
      <c r="AX2457" s="442"/>
      <c r="AY2457" s="153"/>
      <c r="AZ2457" s="152"/>
      <c r="BA2457" s="152"/>
      <c r="BB2457" s="152"/>
      <c r="BC2457" s="152"/>
      <c r="BD2457" s="152"/>
      <c r="BE2457" s="152"/>
      <c r="BF2457" s="152"/>
      <c r="BG2457" s="152"/>
      <c r="BH2457" s="152"/>
      <c r="BI2457" s="153"/>
      <c r="BJ2457" s="153"/>
      <c r="BK2457" s="153"/>
      <c r="BL2457" s="153"/>
      <c r="BM2457" s="153"/>
      <c r="BN2457" s="153"/>
      <c r="BO2457" s="153"/>
      <c r="BP2457" s="153"/>
      <c r="BQ2457" s="153"/>
      <c r="BR2457" s="153"/>
      <c r="BS2457" s="153"/>
      <c r="BT2457" s="153"/>
      <c r="BU2457" s="153"/>
      <c r="BV2457" s="153"/>
      <c r="BW2457" s="153"/>
      <c r="BX2457" s="153"/>
      <c r="BY2457" s="153"/>
      <c r="BZ2457" s="153"/>
      <c r="CA2457" s="152"/>
      <c r="CB2457" s="152"/>
    </row>
    <row r="2458" spans="1:80" s="87" customFormat="1" x14ac:dyDescent="0.2">
      <c r="A2458" s="152"/>
      <c r="B2458" s="683"/>
      <c r="C2458" s="683"/>
      <c r="D2458" s="698"/>
      <c r="E2458" s="215"/>
      <c r="F2458" s="215"/>
      <c r="G2458" s="153"/>
      <c r="H2458" s="153"/>
      <c r="I2458" s="163">
        <v>10</v>
      </c>
      <c r="J2458" s="312">
        <v>240</v>
      </c>
      <c r="K2458" s="150">
        <v>1</v>
      </c>
      <c r="L2458" s="656">
        <v>40</v>
      </c>
      <c r="M2458" s="663">
        <v>34471</v>
      </c>
      <c r="N2458" s="600">
        <v>0.26896999999999999</v>
      </c>
      <c r="O2458" s="604">
        <v>2.12E-4</v>
      </c>
      <c r="P2458" s="150"/>
      <c r="Q2458" s="250"/>
      <c r="R2458" s="250"/>
      <c r="S2458" s="250"/>
      <c r="T2458" s="250">
        <v>0.161</v>
      </c>
      <c r="U2458" s="250">
        <v>0.115</v>
      </c>
      <c r="V2458" s="250">
        <v>0.14199999999999999</v>
      </c>
      <c r="W2458" s="250">
        <v>0.254</v>
      </c>
      <c r="X2458" s="250">
        <v>0.30199999999999999</v>
      </c>
      <c r="Y2458" s="250">
        <v>2.6000000000000002E-2</v>
      </c>
      <c r="Z2458" s="150"/>
      <c r="AA2458" s="150">
        <v>0.8</v>
      </c>
      <c r="AB2458" s="152"/>
      <c r="AC2458" s="152"/>
      <c r="AD2458" s="223"/>
      <c r="AE2458" s="223"/>
      <c r="AF2458" s="223"/>
      <c r="AG2458" s="223"/>
      <c r="AH2458" s="341"/>
      <c r="AI2458" s="218"/>
      <c r="AJ2458" s="218"/>
      <c r="AK2458" s="153"/>
      <c r="AL2458" s="152"/>
      <c r="AM2458" s="152"/>
      <c r="AN2458" s="152"/>
      <c r="AO2458" s="152"/>
      <c r="AP2458" s="152"/>
      <c r="AQ2458" s="152"/>
      <c r="AR2458" s="152"/>
      <c r="AS2458" s="152"/>
      <c r="AT2458" s="152"/>
      <c r="AU2458" s="153"/>
      <c r="AV2458" s="479"/>
      <c r="AW2458" s="479"/>
      <c r="AX2458" s="442"/>
      <c r="AY2458" s="153"/>
      <c r="AZ2458" s="152"/>
      <c r="BA2458" s="152"/>
      <c r="BB2458" s="152"/>
      <c r="BC2458" s="152"/>
      <c r="BD2458" s="152"/>
      <c r="BE2458" s="152"/>
      <c r="BF2458" s="152"/>
      <c r="BG2458" s="152"/>
      <c r="BH2458" s="152"/>
      <c r="BI2458" s="153"/>
      <c r="BJ2458" s="153"/>
      <c r="BK2458" s="153"/>
      <c r="BL2458" s="153"/>
      <c r="BM2458" s="153"/>
      <c r="BN2458" s="153"/>
      <c r="BO2458" s="153"/>
      <c r="BP2458" s="153"/>
      <c r="BQ2458" s="153"/>
      <c r="BR2458" s="153"/>
      <c r="BS2458" s="153"/>
      <c r="BT2458" s="153"/>
      <c r="BU2458" s="153"/>
      <c r="BV2458" s="153"/>
      <c r="BW2458" s="153"/>
      <c r="BX2458" s="153"/>
      <c r="BY2458" s="153"/>
      <c r="BZ2458" s="153"/>
      <c r="CA2458" s="152"/>
      <c r="CB2458" s="152"/>
    </row>
    <row r="2459" spans="1:80" s="87" customFormat="1" x14ac:dyDescent="0.2">
      <c r="A2459" s="152"/>
      <c r="B2459" s="683"/>
      <c r="C2459" s="683"/>
      <c r="D2459" s="698"/>
      <c r="E2459" s="215"/>
      <c r="F2459" s="215"/>
      <c r="G2459" s="153"/>
      <c r="H2459" s="153"/>
      <c r="I2459" s="163">
        <v>10</v>
      </c>
      <c r="J2459" s="312">
        <v>240</v>
      </c>
      <c r="K2459" s="150">
        <v>1</v>
      </c>
      <c r="L2459" s="656">
        <v>40</v>
      </c>
      <c r="M2459" s="663">
        <v>34472</v>
      </c>
      <c r="N2459" s="600">
        <v>0.25197999999999998</v>
      </c>
      <c r="O2459" s="604">
        <v>2.5700000000000001E-4</v>
      </c>
      <c r="P2459" s="150"/>
      <c r="Q2459" s="250"/>
      <c r="R2459" s="250"/>
      <c r="S2459" s="250"/>
      <c r="T2459" s="250">
        <v>2.8999999999999998E-2</v>
      </c>
      <c r="U2459" s="250">
        <v>6.9000000000000006E-2</v>
      </c>
      <c r="V2459" s="250">
        <v>0.26300000000000001</v>
      </c>
      <c r="W2459" s="250">
        <v>0.40500000000000003</v>
      </c>
      <c r="X2459" s="250">
        <v>0.21899999999999997</v>
      </c>
      <c r="Y2459" s="250">
        <v>1.6E-2</v>
      </c>
      <c r="Z2459" s="150"/>
      <c r="AA2459" s="150">
        <v>0.79</v>
      </c>
      <c r="AB2459" s="152"/>
      <c r="AC2459" s="152"/>
      <c r="AD2459" s="223"/>
      <c r="AE2459" s="223"/>
      <c r="AF2459" s="223"/>
      <c r="AG2459" s="223"/>
      <c r="AH2459" s="341"/>
      <c r="AI2459" s="218"/>
      <c r="AJ2459" s="218"/>
      <c r="AK2459" s="153"/>
      <c r="AL2459" s="152"/>
      <c r="AM2459" s="152"/>
      <c r="AN2459" s="152"/>
      <c r="AO2459" s="152"/>
      <c r="AP2459" s="152"/>
      <c r="AQ2459" s="152"/>
      <c r="AR2459" s="152"/>
      <c r="AS2459" s="152"/>
      <c r="AT2459" s="152"/>
      <c r="AU2459" s="153"/>
      <c r="AV2459" s="479"/>
      <c r="AW2459" s="479"/>
      <c r="AX2459" s="442"/>
      <c r="AY2459" s="153"/>
      <c r="AZ2459" s="152"/>
      <c r="BA2459" s="152"/>
      <c r="BB2459" s="152"/>
      <c r="BC2459" s="152"/>
      <c r="BD2459" s="152"/>
      <c r="BE2459" s="152"/>
      <c r="BF2459" s="152"/>
      <c r="BG2459" s="152"/>
      <c r="BH2459" s="152"/>
      <c r="BI2459" s="153"/>
      <c r="BJ2459" s="153"/>
      <c r="BK2459" s="153"/>
      <c r="BL2459" s="153"/>
      <c r="BM2459" s="153"/>
      <c r="BN2459" s="153"/>
      <c r="BO2459" s="153"/>
      <c r="BP2459" s="153"/>
      <c r="BQ2459" s="153"/>
      <c r="BR2459" s="153"/>
      <c r="BS2459" s="153"/>
      <c r="BT2459" s="153"/>
      <c r="BU2459" s="153"/>
      <c r="BV2459" s="153"/>
      <c r="BW2459" s="153"/>
      <c r="BX2459" s="153"/>
      <c r="BY2459" s="153"/>
      <c r="BZ2459" s="153"/>
      <c r="CA2459" s="152"/>
      <c r="CB2459" s="152"/>
    </row>
    <row r="2460" spans="1:80" s="87" customFormat="1" x14ac:dyDescent="0.2">
      <c r="A2460" s="152"/>
      <c r="B2460" s="683"/>
      <c r="C2460" s="683"/>
      <c r="D2460" s="698"/>
      <c r="E2460" s="215"/>
      <c r="F2460" s="215"/>
      <c r="G2460" s="153"/>
      <c r="H2460" s="153"/>
      <c r="I2460" s="163">
        <v>10</v>
      </c>
      <c r="J2460" s="312">
        <v>240</v>
      </c>
      <c r="K2460" s="150">
        <v>1</v>
      </c>
      <c r="L2460" s="656">
        <v>40</v>
      </c>
      <c r="M2460" s="663">
        <v>34477</v>
      </c>
      <c r="N2460" s="600">
        <v>0.22084000000000001</v>
      </c>
      <c r="O2460" s="604">
        <v>1.6100000000000001E-4</v>
      </c>
      <c r="P2460" s="150"/>
      <c r="Q2460" s="250"/>
      <c r="R2460" s="250"/>
      <c r="S2460" s="250"/>
      <c r="T2460" s="250"/>
      <c r="U2460" s="250">
        <v>4.5999999999999999E-2</v>
      </c>
      <c r="V2460" s="250">
        <v>0.2</v>
      </c>
      <c r="W2460" s="250">
        <v>0.47100000000000003</v>
      </c>
      <c r="X2460" s="250">
        <v>0.26899999999999996</v>
      </c>
      <c r="Y2460" s="250">
        <v>1.3999999999999999E-2</v>
      </c>
      <c r="Z2460" s="150"/>
      <c r="AA2460" s="150">
        <v>0.69</v>
      </c>
      <c r="AB2460" s="152"/>
      <c r="AC2460" s="152"/>
      <c r="AD2460" s="223"/>
      <c r="AE2460" s="223"/>
      <c r="AF2460" s="223"/>
      <c r="AG2460" s="223"/>
      <c r="AH2460" s="341"/>
      <c r="AI2460" s="218"/>
      <c r="AJ2460" s="218"/>
      <c r="AK2460" s="153"/>
      <c r="AL2460" s="152"/>
      <c r="AM2460" s="152"/>
      <c r="AN2460" s="152"/>
      <c r="AO2460" s="152"/>
      <c r="AP2460" s="152"/>
      <c r="AQ2460" s="152"/>
      <c r="AR2460" s="152"/>
      <c r="AS2460" s="152"/>
      <c r="AT2460" s="152"/>
      <c r="AU2460" s="153"/>
      <c r="AV2460" s="479"/>
      <c r="AW2460" s="479"/>
      <c r="AX2460" s="442"/>
      <c r="AY2460" s="153"/>
      <c r="AZ2460" s="152"/>
      <c r="BA2460" s="152"/>
      <c r="BB2460" s="152"/>
      <c r="BC2460" s="152"/>
      <c r="BD2460" s="152"/>
      <c r="BE2460" s="152"/>
      <c r="BF2460" s="152"/>
      <c r="BG2460" s="152"/>
      <c r="BH2460" s="152"/>
      <c r="BI2460" s="153"/>
      <c r="BJ2460" s="153"/>
      <c r="BK2460" s="153"/>
      <c r="BL2460" s="153"/>
      <c r="BM2460" s="153"/>
      <c r="BN2460" s="153"/>
      <c r="BO2460" s="153"/>
      <c r="BP2460" s="153"/>
      <c r="BQ2460" s="153"/>
      <c r="BR2460" s="153"/>
      <c r="BS2460" s="153"/>
      <c r="BT2460" s="153"/>
      <c r="BU2460" s="153"/>
      <c r="BV2460" s="153"/>
      <c r="BW2460" s="153"/>
      <c r="BX2460" s="153"/>
      <c r="BY2460" s="153"/>
      <c r="BZ2460" s="153"/>
      <c r="CA2460" s="152"/>
      <c r="CB2460" s="152"/>
    </row>
    <row r="2461" spans="1:80" s="87" customFormat="1" x14ac:dyDescent="0.2">
      <c r="A2461" s="152"/>
      <c r="B2461" s="683"/>
      <c r="C2461" s="683"/>
      <c r="D2461" s="698"/>
      <c r="E2461" s="215"/>
      <c r="F2461" s="215"/>
      <c r="G2461" s="153"/>
      <c r="H2461" s="153"/>
      <c r="I2461" s="163">
        <v>10</v>
      </c>
      <c r="J2461" s="312">
        <v>240</v>
      </c>
      <c r="K2461" s="150">
        <v>1</v>
      </c>
      <c r="L2461" s="656">
        <v>40</v>
      </c>
      <c r="M2461" s="663">
        <v>34478</v>
      </c>
      <c r="N2461" s="600">
        <v>0.22084000000000001</v>
      </c>
      <c r="O2461" s="604">
        <v>2.3699999999999999E-4</v>
      </c>
      <c r="P2461" s="150"/>
      <c r="Q2461" s="250"/>
      <c r="R2461" s="250"/>
      <c r="S2461" s="250"/>
      <c r="T2461" s="250"/>
      <c r="U2461" s="250">
        <v>7.9000000000000001E-2</v>
      </c>
      <c r="V2461" s="250">
        <v>0.41499999999999998</v>
      </c>
      <c r="W2461" s="250">
        <v>0.36899999999999999</v>
      </c>
      <c r="X2461" s="250">
        <v>0.127</v>
      </c>
      <c r="Y2461" s="250">
        <v>1.1000000000000001E-2</v>
      </c>
      <c r="Z2461" s="150"/>
      <c r="AA2461" s="150">
        <v>0.99</v>
      </c>
      <c r="AB2461" s="152"/>
      <c r="AC2461" s="152"/>
      <c r="AD2461" s="223"/>
      <c r="AE2461" s="223"/>
      <c r="AF2461" s="223"/>
      <c r="AG2461" s="223"/>
      <c r="AH2461" s="341"/>
      <c r="AI2461" s="218"/>
      <c r="AJ2461" s="218"/>
      <c r="AK2461" s="153"/>
      <c r="AL2461" s="152"/>
      <c r="AM2461" s="152"/>
      <c r="AN2461" s="152"/>
      <c r="AO2461" s="152"/>
      <c r="AP2461" s="152"/>
      <c r="AQ2461" s="152"/>
      <c r="AR2461" s="152"/>
      <c r="AS2461" s="152"/>
      <c r="AT2461" s="152"/>
      <c r="AU2461" s="153"/>
      <c r="AV2461" s="479"/>
      <c r="AW2461" s="479"/>
      <c r="AX2461" s="442"/>
      <c r="AY2461" s="153"/>
      <c r="AZ2461" s="152"/>
      <c r="BA2461" s="152"/>
      <c r="BB2461" s="152"/>
      <c r="BC2461" s="152"/>
      <c r="BD2461" s="152"/>
      <c r="BE2461" s="152"/>
      <c r="BF2461" s="152"/>
      <c r="BG2461" s="152"/>
      <c r="BH2461" s="152"/>
      <c r="BI2461" s="153"/>
      <c r="BJ2461" s="153"/>
      <c r="BK2461" s="153"/>
      <c r="BL2461" s="153"/>
      <c r="BM2461" s="153"/>
      <c r="BN2461" s="153"/>
      <c r="BO2461" s="153"/>
      <c r="BP2461" s="153"/>
      <c r="BQ2461" s="153"/>
      <c r="BR2461" s="153"/>
      <c r="BS2461" s="153"/>
      <c r="BT2461" s="153"/>
      <c r="BU2461" s="153"/>
      <c r="BV2461" s="153"/>
      <c r="BW2461" s="153"/>
      <c r="BX2461" s="153"/>
      <c r="BY2461" s="153"/>
      <c r="BZ2461" s="153"/>
      <c r="CA2461" s="152"/>
      <c r="CB2461" s="152"/>
    </row>
    <row r="2462" spans="1:80" s="87" customFormat="1" x14ac:dyDescent="0.2">
      <c r="A2462" s="152"/>
      <c r="B2462" s="683"/>
      <c r="C2462" s="683"/>
      <c r="D2462" s="698"/>
      <c r="E2462" s="215"/>
      <c r="F2462" s="215"/>
      <c r="G2462" s="153"/>
      <c r="H2462" s="153"/>
      <c r="I2462" s="163">
        <v>10</v>
      </c>
      <c r="J2462" s="312">
        <v>240</v>
      </c>
      <c r="K2462" s="150">
        <v>1</v>
      </c>
      <c r="L2462" s="656">
        <v>40</v>
      </c>
      <c r="M2462" s="663">
        <v>34479</v>
      </c>
      <c r="N2462" s="600">
        <v>0.26613999999999999</v>
      </c>
      <c r="O2462" s="604">
        <v>9.3399999999999993E-5</v>
      </c>
      <c r="P2462" s="150"/>
      <c r="Q2462" s="250"/>
      <c r="R2462" s="250"/>
      <c r="S2462" s="250"/>
      <c r="T2462" s="250"/>
      <c r="U2462" s="250">
        <v>0.127</v>
      </c>
      <c r="V2462" s="250">
        <v>0.253</v>
      </c>
      <c r="W2462" s="250">
        <v>0.35399999999999998</v>
      </c>
      <c r="X2462" s="250">
        <v>0.24600000000000002</v>
      </c>
      <c r="Y2462" s="250">
        <v>0.02</v>
      </c>
      <c r="Z2462" s="150"/>
      <c r="AA2462" s="150">
        <v>0.79</v>
      </c>
      <c r="AB2462" s="152"/>
      <c r="AC2462" s="152"/>
      <c r="AD2462" s="223"/>
      <c r="AE2462" s="223"/>
      <c r="AF2462" s="223"/>
      <c r="AG2462" s="223"/>
      <c r="AH2462" s="341"/>
      <c r="AI2462" s="218"/>
      <c r="AJ2462" s="218"/>
      <c r="AK2462" s="153"/>
      <c r="AL2462" s="152"/>
      <c r="AM2462" s="152"/>
      <c r="AN2462" s="152"/>
      <c r="AO2462" s="152"/>
      <c r="AP2462" s="152"/>
      <c r="AQ2462" s="152"/>
      <c r="AR2462" s="152"/>
      <c r="AS2462" s="152"/>
      <c r="AT2462" s="152"/>
      <c r="AU2462" s="153"/>
      <c r="AV2462" s="479"/>
      <c r="AW2462" s="479"/>
      <c r="AX2462" s="442"/>
      <c r="AY2462" s="153"/>
      <c r="AZ2462" s="152"/>
      <c r="BA2462" s="152"/>
      <c r="BB2462" s="152"/>
      <c r="BC2462" s="152"/>
      <c r="BD2462" s="152"/>
      <c r="BE2462" s="152"/>
      <c r="BF2462" s="152"/>
      <c r="BG2462" s="152"/>
      <c r="BH2462" s="152"/>
      <c r="BI2462" s="153"/>
      <c r="BJ2462" s="153"/>
      <c r="BK2462" s="153"/>
      <c r="BL2462" s="153"/>
      <c r="BM2462" s="153"/>
      <c r="BN2462" s="153"/>
      <c r="BO2462" s="153"/>
      <c r="BP2462" s="153"/>
      <c r="BQ2462" s="153"/>
      <c r="BR2462" s="153"/>
      <c r="BS2462" s="153"/>
      <c r="BT2462" s="153"/>
      <c r="BU2462" s="153"/>
      <c r="BV2462" s="153"/>
      <c r="BW2462" s="153"/>
      <c r="BX2462" s="153"/>
      <c r="BY2462" s="153"/>
      <c r="BZ2462" s="153"/>
      <c r="CA2462" s="152"/>
      <c r="CB2462" s="152"/>
    </row>
    <row r="2463" spans="1:80" s="87" customFormat="1" x14ac:dyDescent="0.2">
      <c r="A2463" s="152"/>
      <c r="B2463" s="683"/>
      <c r="C2463" s="683"/>
      <c r="D2463" s="698"/>
      <c r="E2463" s="215"/>
      <c r="F2463" s="215"/>
      <c r="G2463" s="153"/>
      <c r="H2463" s="153"/>
      <c r="I2463" s="163">
        <v>20</v>
      </c>
      <c r="J2463" s="312">
        <v>120</v>
      </c>
      <c r="K2463" s="150">
        <v>1</v>
      </c>
      <c r="L2463" s="656">
        <v>40</v>
      </c>
      <c r="M2463" s="663">
        <v>34487</v>
      </c>
      <c r="N2463" s="600">
        <v>0.28312999999999999</v>
      </c>
      <c r="O2463" s="604">
        <v>1.879E-3</v>
      </c>
      <c r="P2463" s="150"/>
      <c r="Q2463" s="250"/>
      <c r="R2463" s="250"/>
      <c r="S2463" s="250">
        <v>1.3999999999999999E-2</v>
      </c>
      <c r="T2463" s="250">
        <v>7.9000000000000001E-2</v>
      </c>
      <c r="U2463" s="250">
        <v>0.29499999999999998</v>
      </c>
      <c r="V2463" s="250">
        <v>0.38600000000000001</v>
      </c>
      <c r="W2463" s="250">
        <v>0.184</v>
      </c>
      <c r="X2463" s="250">
        <v>4.0999999999999995E-2</v>
      </c>
      <c r="Y2463" s="250">
        <v>2E-3</v>
      </c>
      <c r="Z2463" s="150"/>
      <c r="AA2463" s="150">
        <v>1.64</v>
      </c>
      <c r="AB2463" s="152"/>
      <c r="AC2463" s="152"/>
      <c r="AD2463" s="223"/>
      <c r="AE2463" s="223"/>
      <c r="AF2463" s="223"/>
      <c r="AG2463" s="223"/>
      <c r="AH2463" s="341"/>
      <c r="AI2463" s="218"/>
      <c r="AJ2463" s="218"/>
      <c r="AK2463" s="153"/>
      <c r="AL2463" s="152"/>
      <c r="AM2463" s="152"/>
      <c r="AN2463" s="152"/>
      <c r="AO2463" s="152"/>
      <c r="AP2463" s="152"/>
      <c r="AQ2463" s="152"/>
      <c r="AR2463" s="152"/>
      <c r="AS2463" s="152"/>
      <c r="AT2463" s="152"/>
      <c r="AU2463" s="153"/>
      <c r="AV2463" s="479"/>
      <c r="AW2463" s="479"/>
      <c r="AX2463" s="442"/>
      <c r="AY2463" s="153"/>
      <c r="AZ2463" s="152"/>
      <c r="BA2463" s="152"/>
      <c r="BB2463" s="152"/>
      <c r="BC2463" s="152"/>
      <c r="BD2463" s="152"/>
      <c r="BE2463" s="152"/>
      <c r="BF2463" s="152"/>
      <c r="BG2463" s="152"/>
      <c r="BH2463" s="152"/>
      <c r="BI2463" s="153"/>
      <c r="BJ2463" s="153"/>
      <c r="BK2463" s="153"/>
      <c r="BL2463" s="153"/>
      <c r="BM2463" s="153"/>
      <c r="BN2463" s="153"/>
      <c r="BO2463" s="153"/>
      <c r="BP2463" s="153"/>
      <c r="BQ2463" s="153"/>
      <c r="BR2463" s="153"/>
      <c r="BS2463" s="153"/>
      <c r="BT2463" s="153"/>
      <c r="BU2463" s="153"/>
      <c r="BV2463" s="153"/>
      <c r="BW2463" s="153"/>
      <c r="BX2463" s="153"/>
      <c r="BY2463" s="153"/>
      <c r="BZ2463" s="153"/>
      <c r="CA2463" s="152"/>
      <c r="CB2463" s="152"/>
    </row>
    <row r="2464" spans="1:80" s="87" customFormat="1" x14ac:dyDescent="0.2">
      <c r="A2464" s="152"/>
      <c r="B2464" s="683"/>
      <c r="C2464" s="683"/>
      <c r="D2464" s="698"/>
      <c r="E2464" s="215"/>
      <c r="F2464" s="215"/>
      <c r="G2464" s="153"/>
      <c r="H2464" s="153"/>
      <c r="I2464" s="163">
        <v>20</v>
      </c>
      <c r="J2464" s="312">
        <v>60</v>
      </c>
      <c r="K2464" s="150">
        <v>1</v>
      </c>
      <c r="L2464" s="656">
        <v>20</v>
      </c>
      <c r="M2464" s="663">
        <v>34487</v>
      </c>
      <c r="N2464" s="600">
        <v>0.28312999999999999</v>
      </c>
      <c r="O2464" s="604">
        <v>7.9100000000000004E-4</v>
      </c>
      <c r="P2464" s="150"/>
      <c r="Q2464" s="250"/>
      <c r="R2464" s="250"/>
      <c r="S2464" s="250"/>
      <c r="T2464" s="250">
        <v>9.3000000000000013E-2</v>
      </c>
      <c r="U2464" s="250">
        <v>0.26800000000000002</v>
      </c>
      <c r="V2464" s="250">
        <v>0.35299999999999998</v>
      </c>
      <c r="W2464" s="250">
        <v>0.22500000000000001</v>
      </c>
      <c r="X2464" s="250">
        <v>5.9000000000000004E-2</v>
      </c>
      <c r="Y2464" s="250">
        <v>2E-3</v>
      </c>
      <c r="Z2464" s="150"/>
      <c r="AA2464" s="150">
        <v>1.52</v>
      </c>
      <c r="AB2464" s="152"/>
      <c r="AC2464" s="152"/>
      <c r="AD2464" s="223"/>
      <c r="AE2464" s="223"/>
      <c r="AF2464" s="223"/>
      <c r="AG2464" s="223"/>
      <c r="AH2464" s="341"/>
      <c r="AI2464" s="218"/>
      <c r="AJ2464" s="218"/>
      <c r="AK2464" s="153"/>
      <c r="AL2464" s="152"/>
      <c r="AM2464" s="152"/>
      <c r="AN2464" s="152"/>
      <c r="AO2464" s="152"/>
      <c r="AP2464" s="152"/>
      <c r="AQ2464" s="152"/>
      <c r="AR2464" s="152"/>
      <c r="AS2464" s="152"/>
      <c r="AT2464" s="152"/>
      <c r="AU2464" s="153"/>
      <c r="AV2464" s="479"/>
      <c r="AW2464" s="479"/>
      <c r="AX2464" s="442"/>
      <c r="AY2464" s="153"/>
      <c r="AZ2464" s="152"/>
      <c r="BA2464" s="152"/>
      <c r="BB2464" s="152"/>
      <c r="BC2464" s="152"/>
      <c r="BD2464" s="152"/>
      <c r="BE2464" s="152"/>
      <c r="BF2464" s="152"/>
      <c r="BG2464" s="152"/>
      <c r="BH2464" s="152"/>
      <c r="BI2464" s="153"/>
      <c r="BJ2464" s="153"/>
      <c r="BK2464" s="153"/>
      <c r="BL2464" s="153"/>
      <c r="BM2464" s="153"/>
      <c r="BN2464" s="153"/>
      <c r="BO2464" s="153"/>
      <c r="BP2464" s="153"/>
      <c r="BQ2464" s="153"/>
      <c r="BR2464" s="153"/>
      <c r="BS2464" s="153"/>
      <c r="BT2464" s="153"/>
      <c r="BU2464" s="153"/>
      <c r="BV2464" s="153"/>
      <c r="BW2464" s="153"/>
      <c r="BX2464" s="153"/>
      <c r="BY2464" s="153"/>
      <c r="BZ2464" s="153"/>
      <c r="CA2464" s="152"/>
      <c r="CB2464" s="152"/>
    </row>
    <row r="2465" spans="1:80" s="87" customFormat="1" x14ac:dyDescent="0.2">
      <c r="A2465" s="152"/>
      <c r="B2465" s="683"/>
      <c r="C2465" s="683"/>
      <c r="D2465" s="698"/>
      <c r="E2465" s="215"/>
      <c r="F2465" s="215"/>
      <c r="G2465" s="153"/>
      <c r="H2465" s="153"/>
      <c r="I2465" s="163">
        <v>10</v>
      </c>
      <c r="J2465" s="312">
        <v>240</v>
      </c>
      <c r="K2465" s="150">
        <v>1</v>
      </c>
      <c r="L2465" s="656">
        <v>40</v>
      </c>
      <c r="M2465" s="663">
        <v>34494</v>
      </c>
      <c r="N2465" s="600">
        <v>0.24349000000000001</v>
      </c>
      <c r="O2465" s="604">
        <v>1.9899999999999999E-5</v>
      </c>
      <c r="P2465" s="150"/>
      <c r="Q2465" s="250"/>
      <c r="R2465" s="250"/>
      <c r="S2465" s="250"/>
      <c r="T2465" s="250"/>
      <c r="U2465" s="250"/>
      <c r="V2465" s="250">
        <v>0.42899999999999999</v>
      </c>
      <c r="W2465" s="250">
        <v>0.32299999999999995</v>
      </c>
      <c r="X2465" s="250">
        <v>0.23300000000000001</v>
      </c>
      <c r="Y2465" s="250">
        <v>1.6E-2</v>
      </c>
      <c r="Z2465" s="150"/>
      <c r="AA2465" s="150">
        <v>0.86</v>
      </c>
      <c r="AB2465" s="152"/>
      <c r="AC2465" s="152"/>
      <c r="AD2465" s="223"/>
      <c r="AE2465" s="223"/>
      <c r="AF2465" s="223"/>
      <c r="AG2465" s="223"/>
      <c r="AH2465" s="341"/>
      <c r="AI2465" s="218"/>
      <c r="AJ2465" s="218"/>
      <c r="AK2465" s="153"/>
      <c r="AL2465" s="152"/>
      <c r="AM2465" s="152"/>
      <c r="AN2465" s="152"/>
      <c r="AO2465" s="152"/>
      <c r="AP2465" s="152"/>
      <c r="AQ2465" s="152"/>
      <c r="AR2465" s="152"/>
      <c r="AS2465" s="152"/>
      <c r="AT2465" s="152"/>
      <c r="AU2465" s="153"/>
      <c r="AV2465" s="479"/>
      <c r="AW2465" s="479"/>
      <c r="AX2465" s="442"/>
      <c r="AY2465" s="153"/>
      <c r="AZ2465" s="152"/>
      <c r="BA2465" s="152"/>
      <c r="BB2465" s="152"/>
      <c r="BC2465" s="152"/>
      <c r="BD2465" s="152"/>
      <c r="BE2465" s="152"/>
      <c r="BF2465" s="152"/>
      <c r="BG2465" s="152"/>
      <c r="BH2465" s="152"/>
      <c r="BI2465" s="153"/>
      <c r="BJ2465" s="153"/>
      <c r="BK2465" s="153"/>
      <c r="BL2465" s="153"/>
      <c r="BM2465" s="153"/>
      <c r="BN2465" s="153"/>
      <c r="BO2465" s="153"/>
      <c r="BP2465" s="153"/>
      <c r="BQ2465" s="153"/>
      <c r="BR2465" s="153"/>
      <c r="BS2465" s="153"/>
      <c r="BT2465" s="153"/>
      <c r="BU2465" s="153"/>
      <c r="BV2465" s="153"/>
      <c r="BW2465" s="153"/>
      <c r="BX2465" s="153"/>
      <c r="BY2465" s="153"/>
      <c r="BZ2465" s="153"/>
      <c r="CA2465" s="152"/>
      <c r="CB2465" s="152"/>
    </row>
    <row r="2466" spans="1:80" s="87" customFormat="1" x14ac:dyDescent="0.2">
      <c r="A2466" s="152"/>
      <c r="B2466" s="683"/>
      <c r="C2466" s="683"/>
      <c r="D2466" s="698"/>
      <c r="E2466" s="215"/>
      <c r="F2466" s="215"/>
      <c r="G2466" s="153"/>
      <c r="H2466" s="153"/>
      <c r="I2466" s="163">
        <v>10</v>
      </c>
      <c r="J2466" s="312">
        <v>240</v>
      </c>
      <c r="K2466" s="150">
        <v>1</v>
      </c>
      <c r="L2466" s="656">
        <v>40</v>
      </c>
      <c r="M2466" s="663">
        <v>34499</v>
      </c>
      <c r="N2466" s="600">
        <v>0.19536000000000001</v>
      </c>
      <c r="O2466" s="604">
        <v>2.3499999999999999E-5</v>
      </c>
      <c r="P2466" s="150"/>
      <c r="Q2466" s="250"/>
      <c r="R2466" s="250"/>
      <c r="S2466" s="250"/>
      <c r="T2466" s="250"/>
      <c r="U2466" s="250">
        <v>4.9000000000000002E-2</v>
      </c>
      <c r="V2466" s="250">
        <v>0.20199999999999999</v>
      </c>
      <c r="W2466" s="250">
        <v>0.36799999999999999</v>
      </c>
      <c r="X2466" s="250">
        <v>0.35899999999999999</v>
      </c>
      <c r="Y2466" s="250">
        <v>2.2000000000000002E-2</v>
      </c>
      <c r="Z2466" s="150"/>
      <c r="AA2466" s="150">
        <v>0.63</v>
      </c>
      <c r="AB2466" s="152"/>
      <c r="AC2466" s="152"/>
      <c r="AD2466" s="223"/>
      <c r="AE2466" s="223"/>
      <c r="AF2466" s="223"/>
      <c r="AG2466" s="223"/>
      <c r="AH2466" s="341"/>
      <c r="AI2466" s="218"/>
      <c r="AJ2466" s="218"/>
      <c r="AK2466" s="153"/>
      <c r="AL2466" s="152"/>
      <c r="AM2466" s="152"/>
      <c r="AN2466" s="152"/>
      <c r="AO2466" s="152"/>
      <c r="AP2466" s="152"/>
      <c r="AQ2466" s="152"/>
      <c r="AR2466" s="152"/>
      <c r="AS2466" s="152"/>
      <c r="AT2466" s="152"/>
      <c r="AU2466" s="153"/>
      <c r="AV2466" s="479"/>
      <c r="AW2466" s="479"/>
      <c r="AX2466" s="442"/>
      <c r="AY2466" s="153"/>
      <c r="AZ2466" s="152"/>
      <c r="BA2466" s="152"/>
      <c r="BB2466" s="152"/>
      <c r="BC2466" s="152"/>
      <c r="BD2466" s="152"/>
      <c r="BE2466" s="152"/>
      <c r="BF2466" s="152"/>
      <c r="BG2466" s="152"/>
      <c r="BH2466" s="152"/>
      <c r="BI2466" s="153"/>
      <c r="BJ2466" s="153"/>
      <c r="BK2466" s="153"/>
      <c r="BL2466" s="153"/>
      <c r="BM2466" s="153"/>
      <c r="BN2466" s="153"/>
      <c r="BO2466" s="153"/>
      <c r="BP2466" s="153"/>
      <c r="BQ2466" s="153"/>
      <c r="BR2466" s="153"/>
      <c r="BS2466" s="153"/>
      <c r="BT2466" s="153"/>
      <c r="BU2466" s="153"/>
      <c r="BV2466" s="153"/>
      <c r="BW2466" s="153"/>
      <c r="BX2466" s="153"/>
      <c r="BY2466" s="153"/>
      <c r="BZ2466" s="153"/>
      <c r="CA2466" s="152"/>
      <c r="CB2466" s="152"/>
    </row>
    <row r="2467" spans="1:80" ht="15" x14ac:dyDescent="0.25">
      <c r="A2467" s="9" t="s">
        <v>192</v>
      </c>
      <c r="B2467" s="639" t="s">
        <v>66</v>
      </c>
      <c r="C2467" s="639" t="s">
        <v>605</v>
      </c>
      <c r="D2467" s="4">
        <f>VLOOKUP(E2467,'Quality Code'!D4:E24,2,TRUE)*VLOOKUP(MROUND(F2467,10),'Quality Code'!D28:E69,2,TRUE)*VLOOKUP(COUNTA(CB2467:CB2477),'Quality Code'!D73:E93,2,TRUE)</f>
        <v>4.5</v>
      </c>
      <c r="E2467" s="14">
        <v>0.9</v>
      </c>
      <c r="F2467" s="18">
        <v>157</v>
      </c>
      <c r="G2467" s="12">
        <v>162.11799999999999</v>
      </c>
      <c r="H2467" s="2" t="s">
        <v>231</v>
      </c>
      <c r="I2467" s="10"/>
      <c r="J2467" s="10" t="s">
        <v>283</v>
      </c>
      <c r="K2467" s="10"/>
      <c r="L2467" s="640" t="s">
        <v>284</v>
      </c>
      <c r="M2467" s="640" t="s">
        <v>884</v>
      </c>
      <c r="N2467" s="579" t="s">
        <v>296</v>
      </c>
      <c r="O2467" s="579"/>
      <c r="P2467" s="10" t="s">
        <v>64</v>
      </c>
      <c r="Q2467" s="10" t="s">
        <v>64</v>
      </c>
      <c r="R2467" s="10" t="s">
        <v>64</v>
      </c>
      <c r="S2467" s="10" t="s">
        <v>64</v>
      </c>
      <c r="T2467" s="10" t="s">
        <v>64</v>
      </c>
      <c r="U2467" s="10" t="s">
        <v>64</v>
      </c>
      <c r="V2467" s="10"/>
      <c r="W2467" s="10"/>
      <c r="X2467" s="10"/>
      <c r="Y2467" s="10"/>
      <c r="Z2467" s="11"/>
      <c r="AA2467" s="81"/>
      <c r="AB2467" s="81"/>
      <c r="AC2467" s="116">
        <v>2.6800000000000001E-2</v>
      </c>
      <c r="AD2467" s="11"/>
      <c r="AE2467" s="11"/>
      <c r="AF2467" s="10"/>
      <c r="AG2467" s="10"/>
      <c r="AH2467" s="345" t="s">
        <v>334</v>
      </c>
      <c r="AI2467" s="18">
        <v>24</v>
      </c>
      <c r="AJ2467" s="17">
        <v>1</v>
      </c>
      <c r="AK2467" s="17">
        <v>0.85299999999999998</v>
      </c>
      <c r="AL2467" s="17">
        <v>0.75580000000000003</v>
      </c>
      <c r="AM2467" s="17">
        <v>0.55800000000000005</v>
      </c>
      <c r="AN2467" s="17">
        <v>0.41310000000000002</v>
      </c>
      <c r="AO2467" s="17">
        <v>0.27650000000000002</v>
      </c>
      <c r="AP2467" s="17">
        <v>0.19009999999999999</v>
      </c>
      <c r="AQ2467" s="17">
        <v>0.1139</v>
      </c>
      <c r="AR2467" s="17">
        <v>5.2600000000000001E-2</v>
      </c>
      <c r="AS2467" s="17">
        <v>1.9900000000000001E-2</v>
      </c>
      <c r="AT2467" s="17">
        <v>4.1999999999999997E-3</v>
      </c>
      <c r="AU2467" s="18">
        <v>134</v>
      </c>
      <c r="AV2467" s="147">
        <v>1</v>
      </c>
      <c r="AW2467" s="147">
        <v>0.96120000000000005</v>
      </c>
      <c r="AX2467" s="147">
        <v>0.77559999999999996</v>
      </c>
      <c r="AY2467" s="147">
        <v>0.48749999999999999</v>
      </c>
      <c r="AZ2467" s="17">
        <v>0.3019</v>
      </c>
      <c r="BA2467" s="17">
        <v>0.19389999999999999</v>
      </c>
      <c r="BB2467" s="17">
        <v>0.15240000000000001</v>
      </c>
      <c r="BC2467" s="17">
        <v>0.11360000000000001</v>
      </c>
      <c r="BD2467" s="17">
        <v>9.4200000000000006E-2</v>
      </c>
      <c r="BE2467" s="17">
        <v>9.1399999999999995E-2</v>
      </c>
      <c r="BF2467" s="17">
        <v>2.8E-3</v>
      </c>
      <c r="BG2467" s="17"/>
      <c r="BH2467" s="17"/>
      <c r="BI2467" s="4">
        <f>AU2467/AI2467</f>
        <v>5.583333333333333</v>
      </c>
      <c r="BJ2467" s="2" t="s">
        <v>68</v>
      </c>
      <c r="BK2467" s="2" t="s">
        <v>175</v>
      </c>
      <c r="BL2467" s="12"/>
      <c r="BM2467" s="12">
        <v>12.1745</v>
      </c>
      <c r="BN2467" s="12">
        <v>14.020339999999999</v>
      </c>
      <c r="BO2467" s="12">
        <v>0.60348420000000003</v>
      </c>
      <c r="BP2467" s="12">
        <v>8.4719327999999994</v>
      </c>
      <c r="BQ2467" s="12">
        <f>BN2467/BO2467</f>
        <v>23.232323232323228</v>
      </c>
      <c r="BR2467" s="12" t="s">
        <v>276</v>
      </c>
      <c r="BS2467" s="18">
        <v>4</v>
      </c>
      <c r="BT2467" s="12">
        <v>0.97532799999999997</v>
      </c>
      <c r="BU2467" s="2"/>
      <c r="BV2467" s="2"/>
      <c r="BW2467" s="2"/>
      <c r="BX2467" s="2"/>
      <c r="BY2467" s="2" t="s">
        <v>86</v>
      </c>
      <c r="BZ2467" s="2"/>
      <c r="CA2467" s="381"/>
      <c r="CB2467" s="9" t="s">
        <v>224</v>
      </c>
    </row>
    <row r="2468" spans="1:80" s="87" customFormat="1" ht="15" x14ac:dyDescent="0.25">
      <c r="A2468" s="152"/>
      <c r="B2468" s="683"/>
      <c r="C2468" s="683"/>
      <c r="D2468" s="698"/>
      <c r="E2468" s="215"/>
      <c r="F2468" s="215"/>
      <c r="G2468" s="153"/>
      <c r="H2468" s="153"/>
      <c r="I2468" s="115">
        <v>20</v>
      </c>
      <c r="J2468" s="312">
        <v>30</v>
      </c>
      <c r="K2468" s="150">
        <v>1</v>
      </c>
      <c r="L2468" s="656">
        <v>10</v>
      </c>
      <c r="M2468" s="663">
        <v>31503</v>
      </c>
      <c r="N2468" s="600">
        <v>3.8222100000000001</v>
      </c>
      <c r="O2468" s="604">
        <v>1.134E-3</v>
      </c>
      <c r="P2468" s="150"/>
      <c r="Q2468" s="250"/>
      <c r="R2468" s="250"/>
      <c r="S2468" s="250"/>
      <c r="T2468" s="250"/>
      <c r="U2468" s="250"/>
      <c r="V2468" s="250"/>
      <c r="W2468" s="250"/>
      <c r="X2468" s="250"/>
      <c r="Y2468" s="250"/>
      <c r="Z2468" s="150"/>
      <c r="AA2468" s="150">
        <v>0.45</v>
      </c>
      <c r="AB2468" s="152"/>
      <c r="AC2468" s="152"/>
      <c r="AD2468" s="223">
        <v>12.80118</v>
      </c>
      <c r="AE2468" s="223">
        <v>0.45718500000000001</v>
      </c>
      <c r="AF2468" s="223">
        <v>5.8337431999999998</v>
      </c>
      <c r="AG2468" s="223">
        <v>0.65529850000000001</v>
      </c>
      <c r="AH2468" s="340" t="s">
        <v>335</v>
      </c>
      <c r="AI2468" s="218"/>
      <c r="AJ2468" s="218"/>
      <c r="AK2468" s="153"/>
      <c r="AL2468" s="152"/>
      <c r="AM2468" s="152"/>
      <c r="AN2468" s="152"/>
      <c r="AO2468" s="152"/>
      <c r="AP2468" s="152"/>
      <c r="AQ2468" s="152"/>
      <c r="AR2468" s="152"/>
      <c r="AS2468" s="152"/>
      <c r="AT2468" s="152"/>
      <c r="AU2468" s="153"/>
      <c r="AV2468" s="479"/>
      <c r="AW2468" s="479"/>
      <c r="AX2468" s="442"/>
      <c r="AY2468" s="153"/>
      <c r="AZ2468" s="152"/>
      <c r="BA2468" s="152"/>
      <c r="BB2468" s="152"/>
      <c r="BC2468" s="152"/>
      <c r="BD2468" s="152"/>
      <c r="BE2468" s="152"/>
      <c r="BF2468" s="152"/>
      <c r="BG2468" s="152"/>
      <c r="BH2468" s="152"/>
      <c r="BI2468" s="153"/>
      <c r="BJ2468" s="153"/>
      <c r="BK2468" s="153"/>
      <c r="BL2468" s="153"/>
      <c r="BM2468" s="153"/>
      <c r="BN2468" s="153"/>
      <c r="BO2468" s="153"/>
      <c r="BP2468" s="153"/>
      <c r="BQ2468" s="153"/>
      <c r="BR2468" s="153"/>
      <c r="BS2468" s="153"/>
      <c r="BT2468" s="153"/>
      <c r="BU2468" s="153"/>
      <c r="BV2468" s="153"/>
      <c r="BW2468" s="153"/>
      <c r="BX2468" s="153"/>
      <c r="BY2468" s="153"/>
      <c r="BZ2468" s="153"/>
      <c r="CA2468" s="152"/>
      <c r="CB2468" s="154" t="s">
        <v>597</v>
      </c>
    </row>
    <row r="2469" spans="1:80" s="87" customFormat="1" ht="15" x14ac:dyDescent="0.25">
      <c r="A2469" s="152"/>
      <c r="B2469" s="683"/>
      <c r="C2469" s="683"/>
      <c r="D2469" s="698"/>
      <c r="E2469" s="215"/>
      <c r="F2469" s="215"/>
      <c r="G2469" s="153"/>
      <c r="H2469" s="153"/>
      <c r="I2469" s="115">
        <v>20</v>
      </c>
      <c r="J2469" s="312">
        <v>30</v>
      </c>
      <c r="K2469" s="150">
        <v>1</v>
      </c>
      <c r="L2469" s="656">
        <v>10</v>
      </c>
      <c r="M2469" s="663">
        <v>31524</v>
      </c>
      <c r="N2469" s="600">
        <v>8.7486200000000007</v>
      </c>
      <c r="O2469" s="604">
        <v>1.5324000000000001E-2</v>
      </c>
      <c r="P2469" s="150"/>
      <c r="Q2469" s="250"/>
      <c r="R2469" s="250"/>
      <c r="S2469" s="250"/>
      <c r="T2469" s="250"/>
      <c r="U2469" s="250"/>
      <c r="V2469" s="250"/>
      <c r="W2469" s="250"/>
      <c r="X2469" s="250"/>
      <c r="Y2469" s="250"/>
      <c r="Z2469" s="150"/>
      <c r="AA2469" s="150">
        <v>0.71</v>
      </c>
      <c r="AB2469" s="152"/>
      <c r="AC2469" s="152"/>
      <c r="AD2469" s="223">
        <v>12.80118</v>
      </c>
      <c r="AE2469" s="223">
        <v>0.71320859999999997</v>
      </c>
      <c r="AF2469" s="223">
        <v>9.1407696000000005</v>
      </c>
      <c r="AG2469" s="223">
        <v>0.96008850000000001</v>
      </c>
      <c r="AH2469" s="341"/>
      <c r="AI2469" s="218"/>
      <c r="AJ2469" s="218"/>
      <c r="AK2469" s="153"/>
      <c r="AL2469" s="152"/>
      <c r="AM2469" s="152"/>
      <c r="AN2469" s="152"/>
      <c r="AO2469" s="152"/>
      <c r="AP2469" s="152"/>
      <c r="AQ2469" s="152"/>
      <c r="AR2469" s="152"/>
      <c r="AS2469" s="152"/>
      <c r="AT2469" s="152"/>
      <c r="AU2469" s="153"/>
      <c r="AV2469" s="479"/>
      <c r="AW2469" s="479"/>
      <c r="AX2469" s="442"/>
      <c r="AY2469" s="153"/>
      <c r="AZ2469" s="152"/>
      <c r="BA2469" s="152"/>
      <c r="BB2469" s="152"/>
      <c r="BC2469" s="152"/>
      <c r="BD2469" s="152"/>
      <c r="BE2469" s="152"/>
      <c r="BF2469" s="152"/>
      <c r="BG2469" s="152"/>
      <c r="BH2469" s="152"/>
      <c r="BI2469" s="153"/>
      <c r="BJ2469" s="153"/>
      <c r="BK2469" s="153"/>
      <c r="BL2469" s="153"/>
      <c r="BM2469" s="153"/>
      <c r="BN2469" s="153"/>
      <c r="BO2469" s="153"/>
      <c r="BP2469" s="153"/>
      <c r="BQ2469" s="153"/>
      <c r="BR2469" s="153"/>
      <c r="BS2469" s="153"/>
      <c r="BT2469" s="153"/>
      <c r="BU2469" s="153"/>
      <c r="BV2469" s="153"/>
      <c r="BW2469" s="153"/>
      <c r="BX2469" s="153"/>
      <c r="BY2469" s="153"/>
      <c r="BZ2469" s="153"/>
      <c r="CA2469" s="152"/>
      <c r="CB2469" s="486" t="s">
        <v>638</v>
      </c>
    </row>
    <row r="2470" spans="1:80" s="87" customFormat="1" ht="15" x14ac:dyDescent="0.25">
      <c r="A2470" s="152"/>
      <c r="B2470" s="683"/>
      <c r="C2470" s="683"/>
      <c r="D2470" s="698"/>
      <c r="E2470" s="215"/>
      <c r="F2470" s="215"/>
      <c r="G2470" s="153"/>
      <c r="H2470" s="153"/>
      <c r="I2470" s="115">
        <v>20</v>
      </c>
      <c r="J2470" s="312">
        <v>30</v>
      </c>
      <c r="K2470" s="150">
        <v>1</v>
      </c>
      <c r="L2470" s="656">
        <v>10</v>
      </c>
      <c r="M2470" s="663">
        <v>31568</v>
      </c>
      <c r="N2470" s="600">
        <v>13.7317</v>
      </c>
      <c r="O2470" s="604">
        <v>6.0664999999999997E-2</v>
      </c>
      <c r="P2470" s="150"/>
      <c r="Q2470" s="250"/>
      <c r="R2470" s="250"/>
      <c r="S2470" s="250"/>
      <c r="T2470" s="250"/>
      <c r="U2470" s="250"/>
      <c r="V2470" s="250"/>
      <c r="W2470" s="250"/>
      <c r="X2470" s="250"/>
      <c r="Y2470" s="250"/>
      <c r="Z2470" s="150"/>
      <c r="AA2470" s="150">
        <v>2.38</v>
      </c>
      <c r="AB2470" s="152"/>
      <c r="AC2470" s="152"/>
      <c r="AD2470" s="223">
        <v>12.80118</v>
      </c>
      <c r="AE2470" s="223">
        <v>0.81378930000000005</v>
      </c>
      <c r="AF2470" s="223">
        <v>10.404128</v>
      </c>
      <c r="AG2470" s="223">
        <v>1.6428180999999999</v>
      </c>
      <c r="AH2470" s="341"/>
      <c r="AI2470" s="218"/>
      <c r="AJ2470" s="218"/>
      <c r="AK2470" s="153"/>
      <c r="AL2470" s="152"/>
      <c r="AM2470" s="152"/>
      <c r="AN2470" s="152"/>
      <c r="AO2470" s="152"/>
      <c r="AP2470" s="152"/>
      <c r="AQ2470" s="152"/>
      <c r="AR2470" s="152"/>
      <c r="AS2470" s="152"/>
      <c r="AT2470" s="152"/>
      <c r="AU2470" s="153"/>
      <c r="AV2470" s="479"/>
      <c r="AW2470" s="479"/>
      <c r="AX2470" s="442"/>
      <c r="AY2470" s="153"/>
      <c r="AZ2470" s="152"/>
      <c r="BA2470" s="152"/>
      <c r="BB2470" s="152"/>
      <c r="BC2470" s="152"/>
      <c r="BD2470" s="152"/>
      <c r="BE2470" s="152"/>
      <c r="BF2470" s="152"/>
      <c r="BG2470" s="152"/>
      <c r="BH2470" s="152"/>
      <c r="BI2470" s="153"/>
      <c r="BJ2470" s="153"/>
      <c r="BK2470" s="153"/>
      <c r="BL2470" s="153"/>
      <c r="BM2470" s="153"/>
      <c r="BN2470" s="153"/>
      <c r="BO2470" s="153"/>
      <c r="BP2470" s="153"/>
      <c r="BQ2470" s="153"/>
      <c r="BR2470" s="153"/>
      <c r="BS2470" s="153"/>
      <c r="BT2470" s="153"/>
      <c r="BU2470" s="153"/>
      <c r="BV2470" s="153"/>
      <c r="BW2470" s="153"/>
      <c r="BX2470" s="153"/>
      <c r="BY2470" s="153"/>
      <c r="BZ2470" s="153"/>
      <c r="CA2470" s="152"/>
      <c r="CB2470" s="486" t="s">
        <v>639</v>
      </c>
    </row>
    <row r="2471" spans="1:80" s="87" customFormat="1" ht="15" x14ac:dyDescent="0.25">
      <c r="A2471" s="152"/>
      <c r="B2471" s="683"/>
      <c r="C2471" s="683"/>
      <c r="D2471" s="698"/>
      <c r="E2471" s="215"/>
      <c r="F2471" s="215"/>
      <c r="G2471" s="153"/>
      <c r="H2471" s="153"/>
      <c r="I2471" s="115">
        <v>20</v>
      </c>
      <c r="J2471" s="312">
        <v>30</v>
      </c>
      <c r="K2471" s="150">
        <v>1</v>
      </c>
      <c r="L2471" s="656">
        <v>10</v>
      </c>
      <c r="M2471" s="663">
        <v>31575</v>
      </c>
      <c r="N2471" s="600">
        <v>7.6161199999999996</v>
      </c>
      <c r="O2471" s="604">
        <v>5.0169999999999998E-3</v>
      </c>
      <c r="P2471" s="150"/>
      <c r="Q2471" s="250"/>
      <c r="R2471" s="250"/>
      <c r="S2471" s="250"/>
      <c r="T2471" s="250"/>
      <c r="U2471" s="250"/>
      <c r="V2471" s="250"/>
      <c r="W2471" s="250"/>
      <c r="X2471" s="250"/>
      <c r="Y2471" s="250"/>
      <c r="Z2471" s="150"/>
      <c r="AA2471" s="150">
        <v>1.49</v>
      </c>
      <c r="AB2471" s="152"/>
      <c r="AC2471" s="152"/>
      <c r="AD2471" s="223">
        <v>13.105969999999999</v>
      </c>
      <c r="AE2471" s="223">
        <v>0.62786739999999996</v>
      </c>
      <c r="AF2471" s="223">
        <v>8.2304084</v>
      </c>
      <c r="AG2471" s="223">
        <v>0.90522630000000004</v>
      </c>
      <c r="AH2471" s="341"/>
      <c r="AI2471" s="218"/>
      <c r="AJ2471" s="218"/>
      <c r="AK2471" s="153"/>
      <c r="AL2471" s="152"/>
      <c r="AM2471" s="152"/>
      <c r="AN2471" s="152"/>
      <c r="AO2471" s="152"/>
      <c r="AP2471" s="152"/>
      <c r="AQ2471" s="152"/>
      <c r="AR2471" s="152"/>
      <c r="AS2471" s="152"/>
      <c r="AT2471" s="152"/>
      <c r="AU2471" s="153"/>
      <c r="AV2471" s="479"/>
      <c r="AW2471" s="479"/>
      <c r="AX2471" s="442"/>
      <c r="AY2471" s="153"/>
      <c r="AZ2471" s="152"/>
      <c r="BA2471" s="152"/>
      <c r="BB2471" s="152"/>
      <c r="BC2471" s="152"/>
      <c r="BD2471" s="152"/>
      <c r="BE2471" s="152"/>
      <c r="BF2471" s="152"/>
      <c r="BG2471" s="152"/>
      <c r="BH2471" s="152"/>
      <c r="BI2471" s="153"/>
      <c r="BJ2471" s="153"/>
      <c r="BK2471" s="153"/>
      <c r="BL2471" s="153"/>
      <c r="BM2471" s="153"/>
      <c r="BN2471" s="153"/>
      <c r="BO2471" s="153"/>
      <c r="BP2471" s="153"/>
      <c r="BQ2471" s="153"/>
      <c r="BR2471" s="153"/>
      <c r="BS2471" s="153"/>
      <c r="BT2471" s="153"/>
      <c r="BU2471" s="153"/>
      <c r="BV2471" s="153"/>
      <c r="BW2471" s="153"/>
      <c r="BX2471" s="153"/>
      <c r="BY2471" s="153"/>
      <c r="BZ2471" s="153"/>
      <c r="CA2471" s="152"/>
      <c r="CB2471" s="486" t="s">
        <v>640</v>
      </c>
    </row>
    <row r="2472" spans="1:80" s="87" customFormat="1" ht="15" x14ac:dyDescent="0.25">
      <c r="A2472" s="152"/>
      <c r="B2472" s="683"/>
      <c r="C2472" s="683"/>
      <c r="D2472" s="698"/>
      <c r="E2472" s="215"/>
      <c r="F2472" s="215"/>
      <c r="G2472" s="153"/>
      <c r="H2472" s="153"/>
      <c r="I2472" s="115">
        <v>20</v>
      </c>
      <c r="J2472" s="312">
        <v>30</v>
      </c>
      <c r="K2472" s="150">
        <v>1</v>
      </c>
      <c r="L2472" s="656">
        <v>10</v>
      </c>
      <c r="M2472" s="663">
        <v>31590</v>
      </c>
      <c r="N2472" s="600">
        <v>3.1993399999999999</v>
      </c>
      <c r="O2472" s="604">
        <v>2.5820000000000001E-3</v>
      </c>
      <c r="P2472" s="150"/>
      <c r="Q2472" s="250"/>
      <c r="R2472" s="250"/>
      <c r="S2472" s="250"/>
      <c r="T2472" s="250"/>
      <c r="U2472" s="250"/>
      <c r="V2472" s="250"/>
      <c r="W2472" s="250"/>
      <c r="X2472" s="250"/>
      <c r="Y2472" s="250"/>
      <c r="Z2472" s="150"/>
      <c r="AA2472" s="150">
        <v>1.31</v>
      </c>
      <c r="AB2472" s="152"/>
      <c r="AC2472" s="152"/>
      <c r="AD2472" s="223">
        <v>12.80118</v>
      </c>
      <c r="AE2472" s="223">
        <v>0.43280180000000001</v>
      </c>
      <c r="AF2472" s="223">
        <v>5.5364823999999997</v>
      </c>
      <c r="AG2472" s="223">
        <v>0.59434050000000005</v>
      </c>
      <c r="AH2472" s="341"/>
      <c r="AI2472" s="218"/>
      <c r="AJ2472" s="218"/>
      <c r="AK2472" s="153"/>
      <c r="AL2472" s="152"/>
      <c r="AM2472" s="152"/>
      <c r="AN2472" s="152"/>
      <c r="AO2472" s="152"/>
      <c r="AP2472" s="152"/>
      <c r="AQ2472" s="152"/>
      <c r="AR2472" s="152"/>
      <c r="AS2472" s="152"/>
      <c r="AT2472" s="152"/>
      <c r="AU2472" s="153"/>
      <c r="AV2472" s="479"/>
      <c r="AW2472" s="479"/>
      <c r="AX2472" s="442"/>
      <c r="AY2472" s="153"/>
      <c r="AZ2472" s="152"/>
      <c r="BA2472" s="152"/>
      <c r="BB2472" s="152"/>
      <c r="BC2472" s="152"/>
      <c r="BD2472" s="152"/>
      <c r="BE2472" s="152"/>
      <c r="BF2472" s="152"/>
      <c r="BG2472" s="152"/>
      <c r="BH2472" s="152"/>
      <c r="BI2472" s="153"/>
      <c r="BJ2472" s="153"/>
      <c r="BK2472" s="153"/>
      <c r="BL2472" s="153"/>
      <c r="BM2472" s="153"/>
      <c r="BN2472" s="153"/>
      <c r="BO2472" s="153"/>
      <c r="BP2472" s="153"/>
      <c r="BQ2472" s="153"/>
      <c r="BR2472" s="153"/>
      <c r="BS2472" s="153"/>
      <c r="BT2472" s="153"/>
      <c r="BU2472" s="153"/>
      <c r="BV2472" s="153"/>
      <c r="BW2472" s="153"/>
      <c r="BX2472" s="153"/>
      <c r="BY2472" s="153"/>
      <c r="BZ2472" s="153"/>
      <c r="CA2472" s="152"/>
      <c r="CB2472" s="152"/>
    </row>
    <row r="2473" spans="1:80" s="87" customFormat="1" ht="15" x14ac:dyDescent="0.25">
      <c r="A2473" s="152"/>
      <c r="B2473" s="683"/>
      <c r="C2473" s="683"/>
      <c r="D2473" s="698"/>
      <c r="E2473" s="215"/>
      <c r="F2473" s="215"/>
      <c r="G2473" s="153"/>
      <c r="H2473" s="153"/>
      <c r="I2473" s="115">
        <v>17</v>
      </c>
      <c r="J2473" s="312">
        <v>30</v>
      </c>
      <c r="K2473" s="150">
        <v>1</v>
      </c>
      <c r="L2473" s="656">
        <v>8.5</v>
      </c>
      <c r="M2473" s="663">
        <v>31891</v>
      </c>
      <c r="N2473" s="600">
        <v>4.7565299999999997</v>
      </c>
      <c r="O2473" s="604">
        <v>5.6470000000000001E-3</v>
      </c>
      <c r="P2473" s="150"/>
      <c r="Q2473" s="250"/>
      <c r="R2473" s="250"/>
      <c r="S2473" s="250"/>
      <c r="T2473" s="250"/>
      <c r="U2473" s="250"/>
      <c r="V2473" s="250"/>
      <c r="W2473" s="250"/>
      <c r="X2473" s="250"/>
      <c r="Y2473" s="250"/>
      <c r="Z2473" s="150"/>
      <c r="AA2473" s="150">
        <v>0.54</v>
      </c>
      <c r="AB2473" s="152"/>
      <c r="AC2473" s="152"/>
      <c r="AD2473" s="223"/>
      <c r="AE2473" s="223"/>
      <c r="AF2473" s="223"/>
      <c r="AG2473" s="223"/>
      <c r="AH2473" s="341"/>
      <c r="AI2473" s="218"/>
      <c r="AJ2473" s="218"/>
      <c r="AK2473" s="153"/>
      <c r="AL2473" s="152"/>
      <c r="AM2473" s="152"/>
      <c r="AN2473" s="152"/>
      <c r="AO2473" s="152"/>
      <c r="AP2473" s="152"/>
      <c r="AQ2473" s="152"/>
      <c r="AR2473" s="152"/>
      <c r="AS2473" s="152"/>
      <c r="AT2473" s="152"/>
      <c r="AU2473" s="153"/>
      <c r="AV2473" s="479"/>
      <c r="AW2473" s="479"/>
      <c r="AX2473" s="442"/>
      <c r="AY2473" s="153"/>
      <c r="AZ2473" s="152"/>
      <c r="BA2473" s="152"/>
      <c r="BB2473" s="152"/>
      <c r="BC2473" s="152"/>
      <c r="BD2473" s="152"/>
      <c r="BE2473" s="152"/>
      <c r="BF2473" s="152"/>
      <c r="BG2473" s="152"/>
      <c r="BH2473" s="152"/>
      <c r="BI2473" s="153"/>
      <c r="BJ2473" s="153"/>
      <c r="BK2473" s="153"/>
      <c r="BL2473" s="153"/>
      <c r="BM2473" s="153"/>
      <c r="BN2473" s="153"/>
      <c r="BO2473" s="153"/>
      <c r="BP2473" s="153"/>
      <c r="BQ2473" s="153"/>
      <c r="BR2473" s="153"/>
      <c r="BS2473" s="153"/>
      <c r="BT2473" s="153"/>
      <c r="BU2473" s="153"/>
      <c r="BV2473" s="153"/>
      <c r="BW2473" s="153"/>
      <c r="BX2473" s="153"/>
      <c r="BY2473" s="153"/>
      <c r="BZ2473" s="153"/>
      <c r="CA2473" s="152"/>
      <c r="CB2473" s="152"/>
    </row>
    <row r="2474" spans="1:80" s="87" customFormat="1" ht="15" x14ac:dyDescent="0.25">
      <c r="A2474" s="152"/>
      <c r="B2474" s="683"/>
      <c r="C2474" s="683"/>
      <c r="D2474" s="698"/>
      <c r="E2474" s="215"/>
      <c r="F2474" s="215"/>
      <c r="G2474" s="153"/>
      <c r="H2474" s="153"/>
      <c r="I2474" s="115">
        <v>18</v>
      </c>
      <c r="J2474" s="312">
        <v>30</v>
      </c>
      <c r="K2474" s="150">
        <v>1</v>
      </c>
      <c r="L2474" s="656">
        <v>9</v>
      </c>
      <c r="M2474" s="663">
        <v>31898</v>
      </c>
      <c r="N2474" s="600">
        <v>6.7384199999999996</v>
      </c>
      <c r="O2474" s="604">
        <v>7.6299999999999996E-3</v>
      </c>
      <c r="P2474" s="150"/>
      <c r="Q2474" s="250"/>
      <c r="R2474" s="250"/>
      <c r="S2474" s="250"/>
      <c r="T2474" s="250"/>
      <c r="U2474" s="250"/>
      <c r="V2474" s="250"/>
      <c r="W2474" s="250"/>
      <c r="X2474" s="250"/>
      <c r="Y2474" s="250"/>
      <c r="Z2474" s="150"/>
      <c r="AA2474" s="150">
        <v>0.92</v>
      </c>
      <c r="AB2474" s="152"/>
      <c r="AC2474" s="152"/>
      <c r="AD2474" s="223">
        <v>12.80118</v>
      </c>
      <c r="AE2474" s="223">
        <v>0.5272867</v>
      </c>
      <c r="AF2474" s="223">
        <v>6.7626831999999997</v>
      </c>
      <c r="AG2474" s="223">
        <v>1.0423818</v>
      </c>
      <c r="AH2474" s="341"/>
      <c r="AI2474" s="218"/>
      <c r="AJ2474" s="218"/>
      <c r="AK2474" s="153"/>
      <c r="AL2474" s="152"/>
      <c r="AM2474" s="152"/>
      <c r="AN2474" s="152"/>
      <c r="AO2474" s="152"/>
      <c r="AP2474" s="152"/>
      <c r="AQ2474" s="152"/>
      <c r="AR2474" s="152"/>
      <c r="AS2474" s="152"/>
      <c r="AT2474" s="152"/>
      <c r="AU2474" s="153"/>
      <c r="AV2474" s="479"/>
      <c r="AW2474" s="479"/>
      <c r="AX2474" s="442"/>
      <c r="AY2474" s="153"/>
      <c r="AZ2474" s="152"/>
      <c r="BA2474" s="152"/>
      <c r="BB2474" s="152"/>
      <c r="BC2474" s="152"/>
      <c r="BD2474" s="152"/>
      <c r="BE2474" s="152"/>
      <c r="BF2474" s="152"/>
      <c r="BG2474" s="152"/>
      <c r="BH2474" s="152"/>
      <c r="BI2474" s="153"/>
      <c r="BJ2474" s="153"/>
      <c r="BK2474" s="153"/>
      <c r="BL2474" s="153"/>
      <c r="BM2474" s="153"/>
      <c r="BN2474" s="153"/>
      <c r="BO2474" s="153"/>
      <c r="BP2474" s="153"/>
      <c r="BQ2474" s="153"/>
      <c r="BR2474" s="153"/>
      <c r="BS2474" s="153"/>
      <c r="BT2474" s="153"/>
      <c r="BU2474" s="153"/>
      <c r="BV2474" s="153"/>
      <c r="BW2474" s="153"/>
      <c r="BX2474" s="153"/>
      <c r="BY2474" s="153"/>
      <c r="BZ2474" s="153"/>
      <c r="CA2474" s="152"/>
      <c r="CB2474" s="152"/>
    </row>
    <row r="2475" spans="1:80" s="87" customFormat="1" ht="15" x14ac:dyDescent="0.25">
      <c r="A2475" s="152"/>
      <c r="B2475" s="683"/>
      <c r="C2475" s="683"/>
      <c r="D2475" s="698"/>
      <c r="E2475" s="215"/>
      <c r="F2475" s="215"/>
      <c r="G2475" s="153"/>
      <c r="H2475" s="153"/>
      <c r="I2475" s="115">
        <v>16</v>
      </c>
      <c r="J2475" s="312">
        <v>30</v>
      </c>
      <c r="K2475" s="150">
        <v>1</v>
      </c>
      <c r="L2475" s="656">
        <v>8</v>
      </c>
      <c r="M2475" s="663">
        <v>31908</v>
      </c>
      <c r="N2475" s="600">
        <v>5.7474800000000004</v>
      </c>
      <c r="O2475" s="604">
        <v>1.5640000000000001E-3</v>
      </c>
      <c r="P2475" s="150"/>
      <c r="Q2475" s="250"/>
      <c r="R2475" s="250"/>
      <c r="S2475" s="250"/>
      <c r="T2475" s="250"/>
      <c r="U2475" s="250"/>
      <c r="V2475" s="250"/>
      <c r="W2475" s="250"/>
      <c r="X2475" s="250"/>
      <c r="Y2475" s="250"/>
      <c r="Z2475" s="150"/>
      <c r="AA2475" s="150">
        <v>0.76</v>
      </c>
      <c r="AB2475" s="152"/>
      <c r="AC2475" s="152"/>
      <c r="AD2475" s="223">
        <v>12.191599999999999</v>
      </c>
      <c r="AE2475" s="223">
        <v>0.50595140000000005</v>
      </c>
      <c r="AF2475" s="223">
        <v>6.1495828000000001</v>
      </c>
      <c r="AG2475" s="223">
        <v>0.9204658</v>
      </c>
      <c r="AH2475" s="341"/>
      <c r="AI2475" s="218"/>
      <c r="AJ2475" s="218"/>
      <c r="AK2475" s="153"/>
      <c r="AL2475" s="152"/>
      <c r="AM2475" s="152"/>
      <c r="AN2475" s="152"/>
      <c r="AO2475" s="152"/>
      <c r="AP2475" s="152"/>
      <c r="AQ2475" s="152"/>
      <c r="AR2475" s="152"/>
      <c r="AS2475" s="152"/>
      <c r="AT2475" s="152"/>
      <c r="AU2475" s="153"/>
      <c r="AV2475" s="479"/>
      <c r="AW2475" s="479"/>
      <c r="AX2475" s="442"/>
      <c r="AY2475" s="153"/>
      <c r="AZ2475" s="152"/>
      <c r="BA2475" s="152"/>
      <c r="BB2475" s="152"/>
      <c r="BC2475" s="152"/>
      <c r="BD2475" s="152"/>
      <c r="BE2475" s="152"/>
      <c r="BF2475" s="152"/>
      <c r="BG2475" s="152"/>
      <c r="BH2475" s="152"/>
      <c r="BI2475" s="153"/>
      <c r="BJ2475" s="153"/>
      <c r="BK2475" s="153"/>
      <c r="BL2475" s="153"/>
      <c r="BM2475" s="153"/>
      <c r="BN2475" s="153"/>
      <c r="BO2475" s="153"/>
      <c r="BP2475" s="153"/>
      <c r="BQ2475" s="153"/>
      <c r="BR2475" s="153"/>
      <c r="BS2475" s="153"/>
      <c r="BT2475" s="153"/>
      <c r="BU2475" s="153"/>
      <c r="BV2475" s="153"/>
      <c r="BW2475" s="153"/>
      <c r="BX2475" s="153"/>
      <c r="BY2475" s="153"/>
      <c r="BZ2475" s="153"/>
      <c r="CA2475" s="152"/>
      <c r="CB2475" s="152"/>
    </row>
    <row r="2476" spans="1:80" s="87" customFormat="1" ht="15" x14ac:dyDescent="0.25">
      <c r="A2476" s="152"/>
      <c r="B2476" s="683"/>
      <c r="C2476" s="683"/>
      <c r="D2476" s="698"/>
      <c r="E2476" s="215"/>
      <c r="F2476" s="215"/>
      <c r="G2476" s="153"/>
      <c r="H2476" s="153"/>
      <c r="I2476" s="115">
        <v>18</v>
      </c>
      <c r="J2476" s="312">
        <v>30</v>
      </c>
      <c r="K2476" s="150">
        <v>1</v>
      </c>
      <c r="L2476" s="656">
        <v>9</v>
      </c>
      <c r="M2476" s="663">
        <v>31925</v>
      </c>
      <c r="N2476" s="600">
        <v>3.8788399999999998</v>
      </c>
      <c r="O2476" s="604">
        <v>2.2460999999999998E-2</v>
      </c>
      <c r="P2476" s="150"/>
      <c r="Q2476" s="250"/>
      <c r="R2476" s="250"/>
      <c r="S2476" s="250"/>
      <c r="T2476" s="250"/>
      <c r="U2476" s="250"/>
      <c r="V2476" s="250"/>
      <c r="W2476" s="250"/>
      <c r="X2476" s="250"/>
      <c r="Y2476" s="250"/>
      <c r="Z2476" s="150"/>
      <c r="AA2476" s="150">
        <v>1.6</v>
      </c>
      <c r="AB2476" s="152"/>
      <c r="AC2476" s="152"/>
      <c r="AD2476" s="223">
        <v>11.58202</v>
      </c>
      <c r="AE2476" s="223">
        <v>0.50899930000000004</v>
      </c>
      <c r="AF2476" s="223">
        <v>5.9080583999999998</v>
      </c>
      <c r="AG2476" s="223">
        <v>0.65529850000000001</v>
      </c>
      <c r="AH2476" s="341"/>
      <c r="AI2476" s="218"/>
      <c r="AJ2476" s="218"/>
      <c r="AK2476" s="153"/>
      <c r="AL2476" s="152"/>
      <c r="AM2476" s="152"/>
      <c r="AN2476" s="152"/>
      <c r="AO2476" s="152"/>
      <c r="AP2476" s="152"/>
      <c r="AQ2476" s="152"/>
      <c r="AR2476" s="152"/>
      <c r="AS2476" s="152"/>
      <c r="AT2476" s="152"/>
      <c r="AU2476" s="153"/>
      <c r="AV2476" s="479"/>
      <c r="AW2476" s="479"/>
      <c r="AX2476" s="442"/>
      <c r="AY2476" s="153"/>
      <c r="AZ2476" s="152"/>
      <c r="BA2476" s="152"/>
      <c r="BB2476" s="152"/>
      <c r="BC2476" s="152"/>
      <c r="BD2476" s="152"/>
      <c r="BE2476" s="152"/>
      <c r="BF2476" s="152"/>
      <c r="BG2476" s="152"/>
      <c r="BH2476" s="152"/>
      <c r="BI2476" s="153"/>
      <c r="BJ2476" s="153"/>
      <c r="BK2476" s="153"/>
      <c r="BL2476" s="153"/>
      <c r="BM2476" s="153"/>
      <c r="BN2476" s="153"/>
      <c r="BO2476" s="153"/>
      <c r="BP2476" s="153"/>
      <c r="BQ2476" s="153"/>
      <c r="BR2476" s="153"/>
      <c r="BS2476" s="153"/>
      <c r="BT2476" s="153"/>
      <c r="BU2476" s="153"/>
      <c r="BV2476" s="153"/>
      <c r="BW2476" s="153"/>
      <c r="BX2476" s="153"/>
      <c r="BY2476" s="153"/>
      <c r="BZ2476" s="153"/>
      <c r="CA2476" s="152"/>
      <c r="CB2476" s="152"/>
    </row>
    <row r="2477" spans="1:80" s="87" customFormat="1" ht="15" x14ac:dyDescent="0.25">
      <c r="A2477" s="152"/>
      <c r="B2477" s="683"/>
      <c r="C2477" s="683"/>
      <c r="D2477" s="698"/>
      <c r="E2477" s="215"/>
      <c r="F2477" s="215"/>
      <c r="G2477" s="153"/>
      <c r="H2477" s="153"/>
      <c r="I2477" s="115">
        <v>17</v>
      </c>
      <c r="J2477" s="312">
        <v>30</v>
      </c>
      <c r="K2477" s="150">
        <v>1</v>
      </c>
      <c r="L2477" s="656">
        <v>8.5</v>
      </c>
      <c r="M2477" s="663">
        <v>32253</v>
      </c>
      <c r="N2477" s="600">
        <v>3.9637799999999999</v>
      </c>
      <c r="O2477" s="604">
        <v>1.4059999999999999E-3</v>
      </c>
      <c r="P2477" s="150"/>
      <c r="Q2477" s="250"/>
      <c r="R2477" s="250"/>
      <c r="S2477" s="250"/>
      <c r="T2477" s="250"/>
      <c r="U2477" s="250"/>
      <c r="V2477" s="250"/>
      <c r="W2477" s="250"/>
      <c r="X2477" s="250"/>
      <c r="Y2477" s="250"/>
      <c r="Z2477" s="150"/>
      <c r="AA2477" s="150">
        <v>2.5499999999999998</v>
      </c>
      <c r="AB2477" s="152"/>
      <c r="AC2477" s="152"/>
      <c r="AD2477" s="223">
        <v>12.191599999999999</v>
      </c>
      <c r="AE2477" s="223">
        <v>0.49071189999999998</v>
      </c>
      <c r="AF2477" s="223">
        <v>5.991663</v>
      </c>
      <c r="AG2477" s="223">
        <v>0.69796910000000001</v>
      </c>
      <c r="AH2477" s="341"/>
      <c r="AI2477" s="218"/>
      <c r="AJ2477" s="218"/>
      <c r="AK2477" s="153"/>
      <c r="AL2477" s="152"/>
      <c r="AM2477" s="152"/>
      <c r="AN2477" s="152"/>
      <c r="AO2477" s="152"/>
      <c r="AP2477" s="152"/>
      <c r="AQ2477" s="152"/>
      <c r="AR2477" s="152"/>
      <c r="AS2477" s="152"/>
      <c r="AT2477" s="152"/>
      <c r="AU2477" s="153"/>
      <c r="AV2477" s="479"/>
      <c r="AW2477" s="479"/>
      <c r="AX2477" s="442"/>
      <c r="AY2477" s="153"/>
      <c r="AZ2477" s="152"/>
      <c r="BA2477" s="152"/>
      <c r="BB2477" s="152"/>
      <c r="BC2477" s="152"/>
      <c r="BD2477" s="152"/>
      <c r="BE2477" s="152"/>
      <c r="BF2477" s="152"/>
      <c r="BG2477" s="152"/>
      <c r="BH2477" s="152"/>
      <c r="BI2477" s="153"/>
      <c r="BJ2477" s="153"/>
      <c r="BK2477" s="153"/>
      <c r="BL2477" s="153"/>
      <c r="BM2477" s="153"/>
      <c r="BN2477" s="153"/>
      <c r="BO2477" s="153"/>
      <c r="BP2477" s="153"/>
      <c r="BQ2477" s="153"/>
      <c r="BR2477" s="153"/>
      <c r="BS2477" s="153"/>
      <c r="BT2477" s="153"/>
      <c r="BU2477" s="153"/>
      <c r="BV2477" s="153"/>
      <c r="BW2477" s="153"/>
      <c r="BX2477" s="153"/>
      <c r="BY2477" s="153"/>
      <c r="BZ2477" s="153"/>
      <c r="CA2477" s="152"/>
      <c r="CB2477" s="152"/>
    </row>
    <row r="2478" spans="1:80" s="87" customFormat="1" ht="15" x14ac:dyDescent="0.25">
      <c r="A2478" s="152"/>
      <c r="B2478" s="683"/>
      <c r="C2478" s="683"/>
      <c r="D2478" s="698"/>
      <c r="E2478" s="215"/>
      <c r="F2478" s="215"/>
      <c r="G2478" s="153"/>
      <c r="H2478" s="153"/>
      <c r="I2478" s="115">
        <v>18</v>
      </c>
      <c r="J2478" s="312">
        <v>30</v>
      </c>
      <c r="K2478" s="150">
        <v>1</v>
      </c>
      <c r="L2478" s="656">
        <v>9</v>
      </c>
      <c r="M2478" s="663">
        <v>32261</v>
      </c>
      <c r="N2478" s="600">
        <v>3.9071500000000001</v>
      </c>
      <c r="O2478" s="604">
        <v>4.9700000000000005E-4</v>
      </c>
      <c r="P2478" s="150"/>
      <c r="Q2478" s="250"/>
      <c r="R2478" s="250"/>
      <c r="S2478" s="250"/>
      <c r="T2478" s="250"/>
      <c r="U2478" s="250"/>
      <c r="V2478" s="250"/>
      <c r="W2478" s="250"/>
      <c r="X2478" s="250"/>
      <c r="Y2478" s="250"/>
      <c r="Z2478" s="150"/>
      <c r="AA2478" s="150">
        <v>6.78</v>
      </c>
      <c r="AB2478" s="152"/>
      <c r="AC2478" s="152"/>
      <c r="AD2478" s="223">
        <v>12.191599999999999</v>
      </c>
      <c r="AE2478" s="223">
        <v>0.47547240000000002</v>
      </c>
      <c r="AF2478" s="223">
        <v>5.7965856000000002</v>
      </c>
      <c r="AG2478" s="223">
        <v>0.67358589999999996</v>
      </c>
      <c r="AH2478" s="341"/>
      <c r="AI2478" s="218"/>
      <c r="AJ2478" s="218"/>
      <c r="AK2478" s="153"/>
      <c r="AL2478" s="152"/>
      <c r="AM2478" s="152"/>
      <c r="AN2478" s="152"/>
      <c r="AO2478" s="152"/>
      <c r="AP2478" s="152"/>
      <c r="AQ2478" s="152"/>
      <c r="AR2478" s="152"/>
      <c r="AS2478" s="152"/>
      <c r="AT2478" s="152"/>
      <c r="AU2478" s="153"/>
      <c r="AV2478" s="479"/>
      <c r="AW2478" s="479"/>
      <c r="AX2478" s="442"/>
      <c r="AY2478" s="153"/>
      <c r="AZ2478" s="152"/>
      <c r="BA2478" s="152"/>
      <c r="BB2478" s="152"/>
      <c r="BC2478" s="152"/>
      <c r="BD2478" s="152"/>
      <c r="BE2478" s="152"/>
      <c r="BF2478" s="152"/>
      <c r="BG2478" s="152"/>
      <c r="BH2478" s="152"/>
      <c r="BI2478" s="153"/>
      <c r="BJ2478" s="153"/>
      <c r="BK2478" s="153"/>
      <c r="BL2478" s="153"/>
      <c r="BM2478" s="251"/>
      <c r="BN2478" s="153"/>
      <c r="BO2478" s="153"/>
      <c r="BP2478" s="153"/>
      <c r="BQ2478" s="153"/>
      <c r="BR2478" s="153"/>
      <c r="BS2478" s="153"/>
      <c r="BT2478" s="153"/>
      <c r="BU2478" s="153"/>
      <c r="BV2478" s="153"/>
      <c r="BW2478" s="153"/>
      <c r="BX2478" s="153"/>
      <c r="BY2478" s="153"/>
      <c r="BZ2478" s="153"/>
      <c r="CA2478" s="152"/>
      <c r="CB2478" s="152"/>
    </row>
    <row r="2479" spans="1:80" s="87" customFormat="1" ht="15" x14ac:dyDescent="0.25">
      <c r="A2479" s="152"/>
      <c r="B2479" s="683"/>
      <c r="C2479" s="683"/>
      <c r="D2479" s="698"/>
      <c r="E2479" s="215"/>
      <c r="F2479" s="215"/>
      <c r="G2479" s="153"/>
      <c r="H2479" s="153"/>
      <c r="I2479" s="115">
        <v>18</v>
      </c>
      <c r="J2479" s="312">
        <v>30</v>
      </c>
      <c r="K2479" s="150">
        <v>1</v>
      </c>
      <c r="L2479" s="656">
        <v>9</v>
      </c>
      <c r="M2479" s="663">
        <v>32282</v>
      </c>
      <c r="N2479" s="600">
        <v>7.3896199999999999</v>
      </c>
      <c r="O2479" s="604">
        <v>1.1130000000000001E-3</v>
      </c>
      <c r="P2479" s="150"/>
      <c r="Q2479" s="250"/>
      <c r="R2479" s="250"/>
      <c r="S2479" s="250"/>
      <c r="T2479" s="250"/>
      <c r="U2479" s="250"/>
      <c r="V2479" s="250"/>
      <c r="W2479" s="250"/>
      <c r="X2479" s="250"/>
      <c r="Y2479" s="250"/>
      <c r="Z2479" s="150"/>
      <c r="AA2479" s="150">
        <v>6.52</v>
      </c>
      <c r="AB2479" s="152"/>
      <c r="AC2479" s="152"/>
      <c r="AD2479" s="223">
        <v>13.41076</v>
      </c>
      <c r="AE2479" s="223">
        <v>0.67968170000000006</v>
      </c>
      <c r="AF2479" s="223">
        <v>9.103612</v>
      </c>
      <c r="AG2479" s="223">
        <v>0.81378930000000005</v>
      </c>
      <c r="AH2479" s="341"/>
      <c r="AI2479" s="218"/>
      <c r="AJ2479" s="218"/>
      <c r="AK2479" s="153"/>
      <c r="AL2479" s="152"/>
      <c r="AM2479" s="152"/>
      <c r="AN2479" s="152"/>
      <c r="AO2479" s="152"/>
      <c r="AP2479" s="152"/>
      <c r="AQ2479" s="152"/>
      <c r="AR2479" s="152"/>
      <c r="AS2479" s="152"/>
      <c r="AT2479" s="152"/>
      <c r="AU2479" s="153"/>
      <c r="AV2479" s="479"/>
      <c r="AW2479" s="479"/>
      <c r="AX2479" s="442"/>
      <c r="AY2479" s="153"/>
      <c r="AZ2479" s="152"/>
      <c r="BA2479" s="152"/>
      <c r="BB2479" s="152"/>
      <c r="BC2479" s="152"/>
      <c r="BD2479" s="152"/>
      <c r="BE2479" s="152"/>
      <c r="BF2479" s="152"/>
      <c r="BG2479" s="152"/>
      <c r="BH2479" s="152"/>
      <c r="BI2479" s="153"/>
      <c r="BJ2479" s="153"/>
      <c r="BK2479" s="153"/>
      <c r="BL2479" s="153"/>
      <c r="BM2479" s="153"/>
      <c r="BN2479" s="153"/>
      <c r="BO2479" s="153"/>
      <c r="BP2479" s="153"/>
      <c r="BQ2479" s="153"/>
      <c r="BR2479" s="153"/>
      <c r="BS2479" s="153"/>
      <c r="BT2479" s="153"/>
      <c r="BU2479" s="153"/>
      <c r="BV2479" s="153"/>
      <c r="BW2479" s="153"/>
      <c r="BX2479" s="153"/>
      <c r="BY2479" s="153"/>
      <c r="BZ2479" s="153"/>
      <c r="CA2479" s="152"/>
      <c r="CB2479" s="152"/>
    </row>
    <row r="2480" spans="1:80" s="87" customFormat="1" ht="15" x14ac:dyDescent="0.25">
      <c r="A2480" s="152"/>
      <c r="B2480" s="683"/>
      <c r="C2480" s="683"/>
      <c r="D2480" s="698"/>
      <c r="E2480" s="215"/>
      <c r="F2480" s="215"/>
      <c r="G2480" s="153"/>
      <c r="H2480" s="153"/>
      <c r="I2480" s="115">
        <v>18</v>
      </c>
      <c r="J2480" s="312">
        <v>30</v>
      </c>
      <c r="K2480" s="150">
        <v>1</v>
      </c>
      <c r="L2480" s="656">
        <v>9</v>
      </c>
      <c r="M2480" s="663">
        <v>32301</v>
      </c>
      <c r="N2480" s="600">
        <v>7.4745499999999998</v>
      </c>
      <c r="O2480" s="604">
        <v>7.1400000000000001E-4</v>
      </c>
      <c r="P2480" s="150"/>
      <c r="Q2480" s="250"/>
      <c r="R2480" s="250"/>
      <c r="S2480" s="250"/>
      <c r="T2480" s="250"/>
      <c r="U2480" s="250"/>
      <c r="V2480" s="250"/>
      <c r="W2480" s="250"/>
      <c r="X2480" s="250"/>
      <c r="Y2480" s="250"/>
      <c r="Z2480" s="150"/>
      <c r="AA2480" s="150">
        <v>4.4400000000000004</v>
      </c>
      <c r="AB2480" s="152"/>
      <c r="AC2480" s="152"/>
      <c r="AD2480" s="223">
        <v>12.80118</v>
      </c>
      <c r="AE2480" s="223">
        <v>0.62786739999999996</v>
      </c>
      <c r="AF2480" s="223">
        <v>8.0446203999999994</v>
      </c>
      <c r="AG2480" s="223">
        <v>0.92351369999999999</v>
      </c>
      <c r="AH2480" s="341"/>
      <c r="AI2480" s="218"/>
      <c r="AJ2480" s="218"/>
      <c r="AK2480" s="153"/>
      <c r="AL2480" s="152"/>
      <c r="AM2480" s="152"/>
      <c r="AN2480" s="152"/>
      <c r="AO2480" s="152"/>
      <c r="AP2480" s="152"/>
      <c r="AQ2480" s="152"/>
      <c r="AR2480" s="152"/>
      <c r="AS2480" s="152"/>
      <c r="AT2480" s="152"/>
      <c r="AU2480" s="153"/>
      <c r="AV2480" s="479"/>
      <c r="AW2480" s="479"/>
      <c r="AX2480" s="442"/>
      <c r="AY2480" s="153"/>
      <c r="AZ2480" s="152"/>
      <c r="BA2480" s="152"/>
      <c r="BB2480" s="152"/>
      <c r="BC2480" s="152"/>
      <c r="BD2480" s="152"/>
      <c r="BE2480" s="152"/>
      <c r="BF2480" s="152"/>
      <c r="BG2480" s="152"/>
      <c r="BH2480" s="152"/>
      <c r="BI2480" s="153"/>
      <c r="BJ2480" s="153"/>
      <c r="BK2480" s="153"/>
      <c r="BL2480" s="153"/>
      <c r="BM2480" s="153"/>
      <c r="BN2480" s="153"/>
      <c r="BO2480" s="153"/>
      <c r="BP2480" s="153"/>
      <c r="BQ2480" s="153"/>
      <c r="BR2480" s="153"/>
      <c r="BS2480" s="153"/>
      <c r="BT2480" s="153"/>
      <c r="BU2480" s="153"/>
      <c r="BV2480" s="153"/>
      <c r="BW2480" s="153"/>
      <c r="BX2480" s="153"/>
      <c r="BY2480" s="153"/>
      <c r="BZ2480" s="153"/>
      <c r="CA2480" s="152"/>
      <c r="CB2480" s="152"/>
    </row>
    <row r="2481" spans="1:80" s="87" customFormat="1" ht="15" x14ac:dyDescent="0.25">
      <c r="A2481" s="152"/>
      <c r="B2481" s="683"/>
      <c r="C2481" s="683"/>
      <c r="D2481" s="698"/>
      <c r="E2481" s="215"/>
      <c r="F2481" s="215"/>
      <c r="G2481" s="153"/>
      <c r="H2481" s="153"/>
      <c r="I2481" s="115">
        <v>18</v>
      </c>
      <c r="J2481" s="312">
        <v>30</v>
      </c>
      <c r="K2481" s="150">
        <v>1</v>
      </c>
      <c r="L2481" s="656">
        <v>9</v>
      </c>
      <c r="M2481" s="663">
        <v>32632</v>
      </c>
      <c r="N2481" s="600">
        <v>5.5776000000000003</v>
      </c>
      <c r="O2481" s="604">
        <v>1.1969999999999999E-3</v>
      </c>
      <c r="P2481" s="150"/>
      <c r="Q2481" s="250"/>
      <c r="R2481" s="250"/>
      <c r="S2481" s="250"/>
      <c r="T2481" s="250"/>
      <c r="U2481" s="250"/>
      <c r="V2481" s="250"/>
      <c r="W2481" s="250"/>
      <c r="X2481" s="250"/>
      <c r="Y2481" s="250"/>
      <c r="Z2481" s="150"/>
      <c r="AA2481" s="150">
        <v>2.2200000000000002</v>
      </c>
      <c r="AB2481" s="152"/>
      <c r="AC2481" s="152"/>
      <c r="AD2481" s="223">
        <v>12.80118</v>
      </c>
      <c r="AE2481" s="223">
        <v>0.55166990000000005</v>
      </c>
      <c r="AF2481" s="223">
        <v>7.0785228</v>
      </c>
      <c r="AG2481" s="223">
        <v>0.75587919999999997</v>
      </c>
      <c r="AH2481" s="341"/>
      <c r="AI2481" s="218"/>
      <c r="AJ2481" s="218"/>
      <c r="AK2481" s="153"/>
      <c r="AL2481" s="152"/>
      <c r="AM2481" s="152"/>
      <c r="AN2481" s="152"/>
      <c r="AO2481" s="152"/>
      <c r="AP2481" s="152"/>
      <c r="AQ2481" s="152"/>
      <c r="AR2481" s="152"/>
      <c r="AS2481" s="152"/>
      <c r="AT2481" s="152"/>
      <c r="AU2481" s="153"/>
      <c r="AV2481" s="479"/>
      <c r="AW2481" s="479"/>
      <c r="AX2481" s="442"/>
      <c r="AY2481" s="153"/>
      <c r="AZ2481" s="152"/>
      <c r="BA2481" s="152"/>
      <c r="BB2481" s="152"/>
      <c r="BC2481" s="152"/>
      <c r="BD2481" s="152"/>
      <c r="BE2481" s="152"/>
      <c r="BF2481" s="152"/>
      <c r="BG2481" s="152"/>
      <c r="BH2481" s="152"/>
      <c r="BI2481" s="153"/>
      <c r="BJ2481" s="153"/>
      <c r="BK2481" s="153"/>
      <c r="BL2481" s="153"/>
      <c r="BM2481" s="153"/>
      <c r="BN2481" s="153"/>
      <c r="BO2481" s="153"/>
      <c r="BP2481" s="153"/>
      <c r="BQ2481" s="153"/>
      <c r="BR2481" s="153"/>
      <c r="BS2481" s="153"/>
      <c r="BT2481" s="153"/>
      <c r="BU2481" s="153"/>
      <c r="BV2481" s="153"/>
      <c r="BW2481" s="153"/>
      <c r="BX2481" s="153"/>
      <c r="BY2481" s="153"/>
      <c r="BZ2481" s="153"/>
      <c r="CA2481" s="152"/>
      <c r="CB2481" s="152"/>
    </row>
    <row r="2482" spans="1:80" s="87" customFormat="1" ht="15" x14ac:dyDescent="0.25">
      <c r="A2482" s="152"/>
      <c r="B2482" s="683"/>
      <c r="C2482" s="683"/>
      <c r="D2482" s="698"/>
      <c r="E2482" s="215"/>
      <c r="F2482" s="215"/>
      <c r="G2482" s="153"/>
      <c r="H2482" s="153"/>
      <c r="I2482" s="115">
        <v>18</v>
      </c>
      <c r="J2482" s="312">
        <v>30</v>
      </c>
      <c r="K2482" s="150">
        <v>1</v>
      </c>
      <c r="L2482" s="656">
        <v>9</v>
      </c>
      <c r="M2482" s="663">
        <v>32670</v>
      </c>
      <c r="N2482" s="600">
        <v>10.0227</v>
      </c>
      <c r="O2482" s="604">
        <v>5.6599999999999999E-4</v>
      </c>
      <c r="P2482" s="150"/>
      <c r="Q2482" s="250"/>
      <c r="R2482" s="250"/>
      <c r="S2482" s="250"/>
      <c r="T2482" s="250"/>
      <c r="U2482" s="250"/>
      <c r="V2482" s="250"/>
      <c r="W2482" s="250"/>
      <c r="X2482" s="250"/>
      <c r="Y2482" s="250"/>
      <c r="Z2482" s="150"/>
      <c r="AA2482" s="150">
        <v>2.5299999999999998</v>
      </c>
      <c r="AB2482" s="152"/>
      <c r="AC2482" s="152"/>
      <c r="AD2482" s="223">
        <v>15.2395</v>
      </c>
      <c r="AE2482" s="223">
        <v>0.6156758</v>
      </c>
      <c r="AF2482" s="223">
        <v>9.3822939999999999</v>
      </c>
      <c r="AG2482" s="223">
        <v>1.066765</v>
      </c>
      <c r="AH2482" s="341"/>
      <c r="AI2482" s="218"/>
      <c r="AJ2482" s="218"/>
      <c r="AK2482" s="153"/>
      <c r="AL2482" s="152"/>
      <c r="AM2482" s="152"/>
      <c r="AN2482" s="152"/>
      <c r="AO2482" s="152"/>
      <c r="AP2482" s="152"/>
      <c r="AQ2482" s="152"/>
      <c r="AR2482" s="152"/>
      <c r="AS2482" s="152"/>
      <c r="AT2482" s="152"/>
      <c r="AU2482" s="153"/>
      <c r="AV2482" s="479"/>
      <c r="AW2482" s="479"/>
      <c r="AX2482" s="442"/>
      <c r="AY2482" s="153"/>
      <c r="AZ2482" s="152"/>
      <c r="BA2482" s="152"/>
      <c r="BB2482" s="152"/>
      <c r="BC2482" s="152"/>
      <c r="BD2482" s="152"/>
      <c r="BE2482" s="152"/>
      <c r="BF2482" s="152"/>
      <c r="BG2482" s="152"/>
      <c r="BH2482" s="152"/>
      <c r="BI2482" s="153"/>
      <c r="BJ2482" s="153"/>
      <c r="BK2482" s="153"/>
      <c r="BL2482" s="153"/>
      <c r="BM2482" s="153"/>
      <c r="BN2482" s="153"/>
      <c r="BO2482" s="153"/>
      <c r="BP2482" s="153"/>
      <c r="BQ2482" s="153"/>
      <c r="BR2482" s="153"/>
      <c r="BS2482" s="153"/>
      <c r="BT2482" s="153"/>
      <c r="BU2482" s="153"/>
      <c r="BV2482" s="153"/>
      <c r="BW2482" s="153"/>
      <c r="BX2482" s="153"/>
      <c r="BY2482" s="153"/>
      <c r="BZ2482" s="153"/>
      <c r="CA2482" s="152"/>
      <c r="CB2482" s="152"/>
    </row>
    <row r="2483" spans="1:80" s="87" customFormat="1" ht="15" x14ac:dyDescent="0.25">
      <c r="A2483" s="152"/>
      <c r="B2483" s="683"/>
      <c r="C2483" s="683"/>
      <c r="D2483" s="698"/>
      <c r="E2483" s="215"/>
      <c r="F2483" s="215"/>
      <c r="G2483" s="153"/>
      <c r="H2483" s="153"/>
      <c r="I2483" s="115">
        <v>16</v>
      </c>
      <c r="J2483" s="312">
        <v>30</v>
      </c>
      <c r="K2483" s="150">
        <v>1</v>
      </c>
      <c r="L2483" s="656">
        <v>8</v>
      </c>
      <c r="M2483" s="663">
        <v>32707</v>
      </c>
      <c r="N2483" s="600">
        <v>1.8431599999999999</v>
      </c>
      <c r="O2483" s="604">
        <v>2.5300000000000002E-4</v>
      </c>
      <c r="P2483" s="150"/>
      <c r="Q2483" s="250"/>
      <c r="R2483" s="250"/>
      <c r="S2483" s="250"/>
      <c r="T2483" s="250"/>
      <c r="U2483" s="250"/>
      <c r="V2483" s="250"/>
      <c r="W2483" s="250"/>
      <c r="X2483" s="250"/>
      <c r="Y2483" s="250"/>
      <c r="Z2483" s="150"/>
      <c r="AA2483" s="150">
        <v>1.54</v>
      </c>
      <c r="AB2483" s="152"/>
      <c r="AC2483" s="152"/>
      <c r="AD2483" s="223">
        <v>10.66765</v>
      </c>
      <c r="AE2483" s="223">
        <v>0.4175623</v>
      </c>
      <c r="AF2483" s="223">
        <v>4.4496225999999997</v>
      </c>
      <c r="AG2483" s="223">
        <v>0.41451440000000001</v>
      </c>
      <c r="AH2483" s="341"/>
      <c r="AI2483" s="218"/>
      <c r="AJ2483" s="218"/>
      <c r="AK2483" s="153"/>
      <c r="AL2483" s="152"/>
      <c r="AM2483" s="152"/>
      <c r="AN2483" s="152"/>
      <c r="AO2483" s="152"/>
      <c r="AP2483" s="152"/>
      <c r="AQ2483" s="152"/>
      <c r="AR2483" s="152"/>
      <c r="AS2483" s="152"/>
      <c r="AT2483" s="152"/>
      <c r="AU2483" s="153"/>
      <c r="AV2483" s="479"/>
      <c r="AW2483" s="479"/>
      <c r="AX2483" s="442"/>
      <c r="AY2483" s="153"/>
      <c r="AZ2483" s="152"/>
      <c r="BA2483" s="152"/>
      <c r="BB2483" s="152"/>
      <c r="BC2483" s="152"/>
      <c r="BD2483" s="152"/>
      <c r="BE2483" s="152"/>
      <c r="BF2483" s="152"/>
      <c r="BG2483" s="152"/>
      <c r="BH2483" s="152"/>
      <c r="BI2483" s="153"/>
      <c r="BJ2483" s="153"/>
      <c r="BK2483" s="153"/>
      <c r="BL2483" s="153"/>
      <c r="BM2483" s="153"/>
      <c r="BN2483" s="153"/>
      <c r="BO2483" s="153"/>
      <c r="BP2483" s="153"/>
      <c r="BQ2483" s="153"/>
      <c r="BR2483" s="153"/>
      <c r="BS2483" s="153"/>
      <c r="BT2483" s="153"/>
      <c r="BU2483" s="153"/>
      <c r="BV2483" s="153"/>
      <c r="BW2483" s="153"/>
      <c r="BX2483" s="153"/>
      <c r="BY2483" s="153"/>
      <c r="BZ2483" s="153"/>
      <c r="CA2483" s="152"/>
      <c r="CB2483" s="152"/>
    </row>
    <row r="2484" spans="1:80" s="87" customFormat="1" ht="15" x14ac:dyDescent="0.25">
      <c r="A2484" s="152"/>
      <c r="B2484" s="683"/>
      <c r="C2484" s="683"/>
      <c r="D2484" s="698"/>
      <c r="E2484" s="215"/>
      <c r="F2484" s="215"/>
      <c r="G2484" s="153"/>
      <c r="H2484" s="153"/>
      <c r="I2484" s="115">
        <v>16</v>
      </c>
      <c r="J2484" s="312">
        <v>30</v>
      </c>
      <c r="K2484" s="150">
        <v>1</v>
      </c>
      <c r="L2484" s="656">
        <v>8</v>
      </c>
      <c r="M2484" s="663">
        <v>32989</v>
      </c>
      <c r="N2484" s="600">
        <v>4.6149699999999996</v>
      </c>
      <c r="O2484" s="604">
        <v>4.2000000000000002E-4</v>
      </c>
      <c r="P2484" s="150"/>
      <c r="Q2484" s="250"/>
      <c r="R2484" s="250"/>
      <c r="S2484" s="250"/>
      <c r="T2484" s="250"/>
      <c r="U2484" s="250"/>
      <c r="V2484" s="250"/>
      <c r="W2484" s="250"/>
      <c r="X2484" s="250"/>
      <c r="Y2484" s="250"/>
      <c r="Z2484" s="150"/>
      <c r="AA2484" s="150">
        <v>1.61</v>
      </c>
      <c r="AB2484" s="152"/>
      <c r="AC2484" s="152"/>
      <c r="AD2484" s="223">
        <v>12.80118</v>
      </c>
      <c r="AE2484" s="223">
        <v>0.48766399999999999</v>
      </c>
      <c r="AF2484" s="223">
        <v>6.2610555999999997</v>
      </c>
      <c r="AG2484" s="223">
        <v>0.71930439999999995</v>
      </c>
      <c r="AH2484" s="341"/>
      <c r="AI2484" s="218"/>
      <c r="AJ2484" s="218"/>
      <c r="AK2484" s="153"/>
      <c r="AL2484" s="152"/>
      <c r="AM2484" s="152"/>
      <c r="AN2484" s="152"/>
      <c r="AO2484" s="152"/>
      <c r="AP2484" s="152"/>
      <c r="AQ2484" s="152"/>
      <c r="AR2484" s="152"/>
      <c r="AS2484" s="152"/>
      <c r="AT2484" s="152"/>
      <c r="AU2484" s="153"/>
      <c r="AV2484" s="479"/>
      <c r="AW2484" s="479"/>
      <c r="AX2484" s="442"/>
      <c r="AY2484" s="153"/>
      <c r="AZ2484" s="152"/>
      <c r="BA2484" s="152"/>
      <c r="BB2484" s="152"/>
      <c r="BC2484" s="152"/>
      <c r="BD2484" s="152"/>
      <c r="BE2484" s="152"/>
      <c r="BF2484" s="152"/>
      <c r="BG2484" s="152"/>
      <c r="BH2484" s="152"/>
      <c r="BI2484" s="153"/>
      <c r="BJ2484" s="153"/>
      <c r="BK2484" s="153"/>
      <c r="BL2484" s="153"/>
      <c r="BM2484" s="153"/>
      <c r="BN2484" s="153"/>
      <c r="BO2484" s="153"/>
      <c r="BP2484" s="153"/>
      <c r="BQ2484" s="153"/>
      <c r="BR2484" s="153"/>
      <c r="BS2484" s="153"/>
      <c r="BT2484" s="153"/>
      <c r="BU2484" s="153"/>
      <c r="BV2484" s="153"/>
      <c r="BW2484" s="153"/>
      <c r="BX2484" s="153"/>
      <c r="BY2484" s="153"/>
      <c r="BZ2484" s="153"/>
      <c r="CA2484" s="152"/>
      <c r="CB2484" s="152"/>
    </row>
    <row r="2485" spans="1:80" s="87" customFormat="1" ht="15" x14ac:dyDescent="0.25">
      <c r="A2485" s="152"/>
      <c r="B2485" s="683"/>
      <c r="C2485" s="683"/>
      <c r="D2485" s="698"/>
      <c r="E2485" s="215"/>
      <c r="F2485" s="215"/>
      <c r="G2485" s="153"/>
      <c r="H2485" s="153"/>
      <c r="I2485" s="115">
        <v>16</v>
      </c>
      <c r="J2485" s="312">
        <v>30</v>
      </c>
      <c r="K2485" s="150">
        <v>1</v>
      </c>
      <c r="L2485" s="656">
        <v>8</v>
      </c>
      <c r="M2485" s="663">
        <v>33002</v>
      </c>
      <c r="N2485" s="600">
        <v>4.1619700000000002</v>
      </c>
      <c r="O2485" s="604">
        <v>9.6699999999999998E-4</v>
      </c>
      <c r="P2485" s="150"/>
      <c r="Q2485" s="250"/>
      <c r="R2485" s="250"/>
      <c r="S2485" s="250"/>
      <c r="T2485" s="250"/>
      <c r="U2485" s="250"/>
      <c r="V2485" s="250"/>
      <c r="W2485" s="250"/>
      <c r="X2485" s="250"/>
      <c r="Y2485" s="250"/>
      <c r="Z2485" s="150"/>
      <c r="AA2485" s="150">
        <v>3.05</v>
      </c>
      <c r="AB2485" s="152"/>
      <c r="AC2485" s="152"/>
      <c r="AD2485" s="223">
        <v>12.191599999999999</v>
      </c>
      <c r="AE2485" s="223">
        <v>0.49985560000000001</v>
      </c>
      <c r="AF2485" s="223">
        <v>6.0752676000000001</v>
      </c>
      <c r="AG2485" s="223">
        <v>0.70711279999999999</v>
      </c>
      <c r="AH2485" s="341"/>
      <c r="AI2485" s="218"/>
      <c r="AJ2485" s="218"/>
      <c r="AK2485" s="153"/>
      <c r="AL2485" s="152"/>
      <c r="AM2485" s="152"/>
      <c r="AN2485" s="152"/>
      <c r="AO2485" s="152"/>
      <c r="AP2485" s="152"/>
      <c r="AQ2485" s="152"/>
      <c r="AR2485" s="152"/>
      <c r="AS2485" s="152"/>
      <c r="AT2485" s="152"/>
      <c r="AU2485" s="153"/>
      <c r="AV2485" s="479"/>
      <c r="AW2485" s="479"/>
      <c r="AX2485" s="442"/>
      <c r="AY2485" s="153"/>
      <c r="AZ2485" s="152"/>
      <c r="BA2485" s="152"/>
      <c r="BB2485" s="152"/>
      <c r="BC2485" s="152"/>
      <c r="BD2485" s="152"/>
      <c r="BE2485" s="152"/>
      <c r="BF2485" s="152"/>
      <c r="BG2485" s="152"/>
      <c r="BH2485" s="152"/>
      <c r="BI2485" s="153"/>
      <c r="BJ2485" s="153"/>
      <c r="BK2485" s="153"/>
      <c r="BL2485" s="153"/>
      <c r="BM2485" s="153"/>
      <c r="BN2485" s="153"/>
      <c r="BO2485" s="153"/>
      <c r="BP2485" s="153"/>
      <c r="BQ2485" s="153"/>
      <c r="BR2485" s="153"/>
      <c r="BS2485" s="153"/>
      <c r="BT2485" s="153"/>
      <c r="BU2485" s="153"/>
      <c r="BV2485" s="153"/>
      <c r="BW2485" s="153"/>
      <c r="BX2485" s="153"/>
      <c r="BY2485" s="153"/>
      <c r="BZ2485" s="153"/>
      <c r="CA2485" s="152"/>
      <c r="CB2485" s="152"/>
    </row>
    <row r="2486" spans="1:80" s="87" customFormat="1" ht="15" x14ac:dyDescent="0.25">
      <c r="A2486" s="152"/>
      <c r="B2486" s="683"/>
      <c r="C2486" s="683"/>
      <c r="D2486" s="698"/>
      <c r="E2486" s="215"/>
      <c r="F2486" s="215"/>
      <c r="G2486" s="153"/>
      <c r="H2486" s="153"/>
      <c r="I2486" s="115">
        <v>18</v>
      </c>
      <c r="J2486" s="312">
        <v>30</v>
      </c>
      <c r="K2486" s="150">
        <v>1</v>
      </c>
      <c r="L2486" s="656">
        <v>9</v>
      </c>
      <c r="M2486" s="663">
        <v>33018</v>
      </c>
      <c r="N2486" s="600">
        <v>4.7848499999999996</v>
      </c>
      <c r="O2486" s="604">
        <v>2.34E-4</v>
      </c>
      <c r="P2486" s="150"/>
      <c r="Q2486" s="250"/>
      <c r="R2486" s="250"/>
      <c r="S2486" s="250"/>
      <c r="T2486" s="250"/>
      <c r="U2486" s="250"/>
      <c r="V2486" s="250"/>
      <c r="W2486" s="250"/>
      <c r="X2486" s="250"/>
      <c r="Y2486" s="250"/>
      <c r="Z2486" s="150"/>
      <c r="AA2486" s="150">
        <v>1.76</v>
      </c>
      <c r="AB2486" s="152"/>
      <c r="AC2486" s="152"/>
      <c r="AD2486" s="223">
        <v>13.105969999999999</v>
      </c>
      <c r="AE2486" s="223">
        <v>0.49680770000000002</v>
      </c>
      <c r="AF2486" s="223">
        <v>6.5118694000000001</v>
      </c>
      <c r="AG2486" s="223">
        <v>0.74063970000000001</v>
      </c>
      <c r="AH2486" s="341"/>
      <c r="AI2486" s="218"/>
      <c r="AJ2486" s="218"/>
      <c r="AK2486" s="153"/>
      <c r="AL2486" s="152"/>
      <c r="AM2486" s="152"/>
      <c r="AN2486" s="152"/>
      <c r="AO2486" s="152"/>
      <c r="AP2486" s="152"/>
      <c r="AQ2486" s="152"/>
      <c r="AR2486" s="152"/>
      <c r="AS2486" s="152"/>
      <c r="AT2486" s="152"/>
      <c r="AU2486" s="153"/>
      <c r="AV2486" s="479"/>
      <c r="AW2486" s="479"/>
      <c r="AX2486" s="442"/>
      <c r="AY2486" s="153"/>
      <c r="AZ2486" s="152"/>
      <c r="BA2486" s="152"/>
      <c r="BB2486" s="152"/>
      <c r="BC2486" s="152"/>
      <c r="BD2486" s="152"/>
      <c r="BE2486" s="152"/>
      <c r="BF2486" s="152"/>
      <c r="BG2486" s="152"/>
      <c r="BH2486" s="152"/>
      <c r="BI2486" s="153"/>
      <c r="BJ2486" s="153"/>
      <c r="BK2486" s="153"/>
      <c r="BL2486" s="153"/>
      <c r="BM2486" s="153"/>
      <c r="BN2486" s="153"/>
      <c r="BO2486" s="153"/>
      <c r="BP2486" s="153"/>
      <c r="BQ2486" s="153"/>
      <c r="BR2486" s="153"/>
      <c r="BS2486" s="153"/>
      <c r="BT2486" s="153"/>
      <c r="BU2486" s="153"/>
      <c r="BV2486" s="153"/>
      <c r="BW2486" s="153"/>
      <c r="BX2486" s="153"/>
      <c r="BY2486" s="153"/>
      <c r="BZ2486" s="153"/>
      <c r="CA2486" s="152"/>
      <c r="CB2486" s="152"/>
    </row>
    <row r="2487" spans="1:80" s="87" customFormat="1" ht="15" x14ac:dyDescent="0.25">
      <c r="A2487" s="152"/>
      <c r="B2487" s="683"/>
      <c r="C2487" s="683"/>
      <c r="D2487" s="698"/>
      <c r="E2487" s="215"/>
      <c r="F2487" s="215"/>
      <c r="G2487" s="153"/>
      <c r="H2487" s="153"/>
      <c r="I2487" s="115">
        <v>18</v>
      </c>
      <c r="J2487" s="312">
        <v>30</v>
      </c>
      <c r="K2487" s="150">
        <v>1</v>
      </c>
      <c r="L2487" s="656">
        <v>9</v>
      </c>
      <c r="M2487" s="663">
        <v>33364</v>
      </c>
      <c r="N2487" s="600">
        <v>3.00115</v>
      </c>
      <c r="O2487" s="604">
        <v>5.1099999999999995E-4</v>
      </c>
      <c r="P2487" s="150"/>
      <c r="Q2487" s="250"/>
      <c r="R2487" s="250"/>
      <c r="S2487" s="250"/>
      <c r="T2487" s="250"/>
      <c r="U2487" s="250"/>
      <c r="V2487" s="250"/>
      <c r="W2487" s="250"/>
      <c r="X2487" s="250"/>
      <c r="Y2487" s="250"/>
      <c r="Z2487" s="150"/>
      <c r="AA2487" s="150">
        <v>6.58</v>
      </c>
      <c r="AB2487" s="152"/>
      <c r="AC2487" s="152"/>
      <c r="AD2487" s="223">
        <v>12.191599999999999</v>
      </c>
      <c r="AE2487" s="223">
        <v>0.42365809999999998</v>
      </c>
      <c r="AF2487" s="223">
        <v>5.1741957999999997</v>
      </c>
      <c r="AG2487" s="223">
        <v>0.57910099999999998</v>
      </c>
      <c r="AH2487" s="341"/>
      <c r="AI2487" s="218"/>
      <c r="AJ2487" s="218"/>
      <c r="AK2487" s="153"/>
      <c r="AL2487" s="152"/>
      <c r="AM2487" s="152"/>
      <c r="AN2487" s="152"/>
      <c r="AO2487" s="152"/>
      <c r="AP2487" s="152"/>
      <c r="AQ2487" s="152"/>
      <c r="AR2487" s="152"/>
      <c r="AS2487" s="152"/>
      <c r="AT2487" s="152"/>
      <c r="AU2487" s="153"/>
      <c r="AV2487" s="479"/>
      <c r="AW2487" s="479"/>
      <c r="AX2487" s="442"/>
      <c r="AY2487" s="153"/>
      <c r="AZ2487" s="152"/>
      <c r="BA2487" s="152"/>
      <c r="BB2487" s="152"/>
      <c r="BC2487" s="152"/>
      <c r="BD2487" s="152"/>
      <c r="BE2487" s="152"/>
      <c r="BF2487" s="152"/>
      <c r="BG2487" s="152"/>
      <c r="BH2487" s="152"/>
      <c r="BI2487" s="153"/>
      <c r="BJ2487" s="153"/>
      <c r="BK2487" s="153"/>
      <c r="BL2487" s="153"/>
      <c r="BM2487" s="153"/>
      <c r="BN2487" s="153"/>
      <c r="BO2487" s="153"/>
      <c r="BP2487" s="153"/>
      <c r="BQ2487" s="153"/>
      <c r="BR2487" s="153"/>
      <c r="BS2487" s="153"/>
      <c r="BT2487" s="153"/>
      <c r="BU2487" s="153"/>
      <c r="BV2487" s="153"/>
      <c r="BW2487" s="153"/>
      <c r="BX2487" s="153"/>
      <c r="BY2487" s="153"/>
      <c r="BZ2487" s="153"/>
      <c r="CA2487" s="152"/>
      <c r="CB2487" s="152"/>
    </row>
    <row r="2488" spans="1:80" s="87" customFormat="1" ht="15" x14ac:dyDescent="0.25">
      <c r="A2488" s="152"/>
      <c r="B2488" s="683"/>
      <c r="C2488" s="683"/>
      <c r="D2488" s="698"/>
      <c r="E2488" s="215"/>
      <c r="F2488" s="215"/>
      <c r="G2488" s="153"/>
      <c r="H2488" s="153"/>
      <c r="I2488" s="115">
        <v>18</v>
      </c>
      <c r="J2488" s="312">
        <v>30</v>
      </c>
      <c r="K2488" s="150">
        <v>1</v>
      </c>
      <c r="L2488" s="656">
        <v>9</v>
      </c>
      <c r="M2488" s="663">
        <v>33389</v>
      </c>
      <c r="N2488" s="600">
        <v>7.4462400000000004</v>
      </c>
      <c r="O2488" s="604">
        <v>1.049E-3</v>
      </c>
      <c r="P2488" s="150"/>
      <c r="Q2488" s="250"/>
      <c r="R2488" s="250"/>
      <c r="S2488" s="250"/>
      <c r="T2488" s="250"/>
      <c r="U2488" s="250"/>
      <c r="V2488" s="250"/>
      <c r="W2488" s="250"/>
      <c r="X2488" s="250"/>
      <c r="Y2488" s="250"/>
      <c r="Z2488" s="150"/>
      <c r="AA2488" s="150">
        <v>3.89</v>
      </c>
      <c r="AB2488" s="152"/>
      <c r="AC2488" s="152"/>
      <c r="AD2488" s="223"/>
      <c r="AE2488" s="223"/>
      <c r="AF2488" s="223"/>
      <c r="AG2488" s="223"/>
      <c r="AH2488" s="341"/>
      <c r="AI2488" s="218"/>
      <c r="AJ2488" s="218"/>
      <c r="AK2488" s="153"/>
      <c r="AL2488" s="152"/>
      <c r="AM2488" s="152"/>
      <c r="AN2488" s="152"/>
      <c r="AO2488" s="152"/>
      <c r="AP2488" s="152"/>
      <c r="AQ2488" s="152"/>
      <c r="AR2488" s="152"/>
      <c r="AS2488" s="152"/>
      <c r="AT2488" s="152"/>
      <c r="AU2488" s="153"/>
      <c r="AV2488" s="479"/>
      <c r="AW2488" s="479"/>
      <c r="AX2488" s="442"/>
      <c r="AY2488" s="153"/>
      <c r="AZ2488" s="152"/>
      <c r="BA2488" s="152"/>
      <c r="BB2488" s="152"/>
      <c r="BC2488" s="152"/>
      <c r="BD2488" s="152"/>
      <c r="BE2488" s="152"/>
      <c r="BF2488" s="152"/>
      <c r="BG2488" s="152"/>
      <c r="BH2488" s="152"/>
      <c r="BI2488" s="153"/>
      <c r="BJ2488" s="153"/>
      <c r="BK2488" s="153"/>
      <c r="BL2488" s="153"/>
      <c r="BM2488" s="153"/>
      <c r="BN2488" s="153"/>
      <c r="BO2488" s="153"/>
      <c r="BP2488" s="153"/>
      <c r="BQ2488" s="153"/>
      <c r="BR2488" s="153"/>
      <c r="BS2488" s="153"/>
      <c r="BT2488" s="153"/>
      <c r="BU2488" s="153"/>
      <c r="BV2488" s="153"/>
      <c r="BW2488" s="153"/>
      <c r="BX2488" s="153"/>
      <c r="BY2488" s="153"/>
      <c r="BZ2488" s="153"/>
      <c r="CA2488" s="152"/>
      <c r="CB2488" s="152"/>
    </row>
    <row r="2489" spans="1:80" s="87" customFormat="1" ht="15" x14ac:dyDescent="0.25">
      <c r="A2489" s="152"/>
      <c r="B2489" s="683"/>
      <c r="C2489" s="683"/>
      <c r="D2489" s="698"/>
      <c r="E2489" s="215"/>
      <c r="F2489" s="215"/>
      <c r="G2489" s="153"/>
      <c r="H2489" s="153"/>
      <c r="I2489" s="115">
        <v>16</v>
      </c>
      <c r="J2489" s="312">
        <v>30</v>
      </c>
      <c r="K2489" s="150">
        <v>1</v>
      </c>
      <c r="L2489" s="656">
        <v>8</v>
      </c>
      <c r="M2489" s="663">
        <v>33407</v>
      </c>
      <c r="N2489" s="600">
        <v>5.0396599999999996</v>
      </c>
      <c r="O2489" s="604">
        <v>6.5099999999999999E-4</v>
      </c>
      <c r="P2489" s="150"/>
      <c r="Q2489" s="250"/>
      <c r="R2489" s="250"/>
      <c r="S2489" s="250"/>
      <c r="T2489" s="250"/>
      <c r="U2489" s="250"/>
      <c r="V2489" s="250"/>
      <c r="W2489" s="250"/>
      <c r="X2489" s="250"/>
      <c r="Y2489" s="250"/>
      <c r="Z2489" s="150"/>
      <c r="AA2489" s="150">
        <v>6.65</v>
      </c>
      <c r="AB2489" s="152"/>
      <c r="AC2489" s="152"/>
      <c r="AD2489" s="223">
        <v>12.49639</v>
      </c>
      <c r="AE2489" s="223">
        <v>0.4815682</v>
      </c>
      <c r="AF2489" s="223">
        <v>6.0195312000000003</v>
      </c>
      <c r="AG2489" s="223">
        <v>0.84122039999999998</v>
      </c>
      <c r="AH2489" s="341"/>
      <c r="AI2489" s="218"/>
      <c r="AJ2489" s="218"/>
      <c r="AK2489" s="153"/>
      <c r="AL2489" s="152"/>
      <c r="AM2489" s="152"/>
      <c r="AN2489" s="152"/>
      <c r="AO2489" s="152"/>
      <c r="AP2489" s="152"/>
      <c r="AQ2489" s="152"/>
      <c r="AR2489" s="152"/>
      <c r="AS2489" s="152"/>
      <c r="AT2489" s="152"/>
      <c r="AU2489" s="153"/>
      <c r="AV2489" s="479"/>
      <c r="AW2489" s="479"/>
      <c r="AX2489" s="442"/>
      <c r="AY2489" s="153"/>
      <c r="AZ2489" s="152"/>
      <c r="BA2489" s="152"/>
      <c r="BB2489" s="152"/>
      <c r="BC2489" s="152"/>
      <c r="BD2489" s="152"/>
      <c r="BE2489" s="152"/>
      <c r="BF2489" s="152"/>
      <c r="BG2489" s="152"/>
      <c r="BH2489" s="152"/>
      <c r="BI2489" s="153"/>
      <c r="BJ2489" s="153"/>
      <c r="BK2489" s="153"/>
      <c r="BL2489" s="153"/>
      <c r="BM2489" s="153"/>
      <c r="BN2489" s="153"/>
      <c r="BO2489" s="153"/>
      <c r="BP2489" s="153"/>
      <c r="BQ2489" s="153"/>
      <c r="BR2489" s="153"/>
      <c r="BS2489" s="153"/>
      <c r="BT2489" s="153"/>
      <c r="BU2489" s="153"/>
      <c r="BV2489" s="153"/>
      <c r="BW2489" s="153"/>
      <c r="BX2489" s="153"/>
      <c r="BY2489" s="153"/>
      <c r="BZ2489" s="153"/>
      <c r="CA2489" s="152"/>
      <c r="CB2489" s="152"/>
    </row>
    <row r="2490" spans="1:80" s="87" customFormat="1" ht="15" x14ac:dyDescent="0.25">
      <c r="A2490" s="152"/>
      <c r="B2490" s="683"/>
      <c r="C2490" s="683"/>
      <c r="D2490" s="698"/>
      <c r="E2490" s="215"/>
      <c r="F2490" s="215"/>
      <c r="G2490" s="153"/>
      <c r="H2490" s="153"/>
      <c r="I2490" s="115">
        <v>12</v>
      </c>
      <c r="J2490" s="312">
        <v>30</v>
      </c>
      <c r="K2490" s="150">
        <v>1</v>
      </c>
      <c r="L2490" s="656">
        <v>6</v>
      </c>
      <c r="M2490" s="663">
        <v>33428</v>
      </c>
      <c r="N2490" s="600">
        <v>3.3125900000000001</v>
      </c>
      <c r="O2490" s="604">
        <v>1.12E-4</v>
      </c>
      <c r="P2490" s="150"/>
      <c r="Q2490" s="250"/>
      <c r="R2490" s="250"/>
      <c r="S2490" s="250"/>
      <c r="T2490" s="250"/>
      <c r="U2490" s="250"/>
      <c r="V2490" s="250"/>
      <c r="W2490" s="250"/>
      <c r="X2490" s="250"/>
      <c r="Y2490" s="250"/>
      <c r="Z2490" s="150"/>
      <c r="AA2490" s="150">
        <v>1.66</v>
      </c>
      <c r="AB2490" s="152"/>
      <c r="AC2490" s="152"/>
      <c r="AD2490" s="223">
        <v>12.80118</v>
      </c>
      <c r="AE2490" s="223">
        <v>0.44194549999999999</v>
      </c>
      <c r="AF2490" s="223">
        <v>5.6572446000000003</v>
      </c>
      <c r="AG2490" s="223">
        <v>0.59129259999999995</v>
      </c>
      <c r="AH2490" s="341"/>
      <c r="AI2490" s="218"/>
      <c r="AJ2490" s="218"/>
      <c r="AK2490" s="153"/>
      <c r="AL2490" s="152"/>
      <c r="AM2490" s="152"/>
      <c r="AN2490" s="152"/>
      <c r="AO2490" s="152"/>
      <c r="AP2490" s="152"/>
      <c r="AQ2490" s="152"/>
      <c r="AR2490" s="152"/>
      <c r="AS2490" s="152"/>
      <c r="AT2490" s="152"/>
      <c r="AU2490" s="153"/>
      <c r="AV2490" s="479"/>
      <c r="AW2490" s="479"/>
      <c r="AX2490" s="442"/>
      <c r="AY2490" s="153"/>
      <c r="AZ2490" s="152"/>
      <c r="BA2490" s="152"/>
      <c r="BB2490" s="152"/>
      <c r="BC2490" s="152"/>
      <c r="BD2490" s="152"/>
      <c r="BE2490" s="152"/>
      <c r="BF2490" s="152"/>
      <c r="BG2490" s="152"/>
      <c r="BH2490" s="152"/>
      <c r="BI2490" s="153"/>
      <c r="BJ2490" s="153"/>
      <c r="BK2490" s="153"/>
      <c r="BL2490" s="153"/>
      <c r="BM2490" s="153"/>
      <c r="BN2490" s="153"/>
      <c r="BO2490" s="153"/>
      <c r="BP2490" s="153"/>
      <c r="BQ2490" s="153"/>
      <c r="BR2490" s="153"/>
      <c r="BS2490" s="153"/>
      <c r="BT2490" s="153"/>
      <c r="BU2490" s="153"/>
      <c r="BV2490" s="153"/>
      <c r="BW2490" s="153"/>
      <c r="BX2490" s="153"/>
      <c r="BY2490" s="153"/>
      <c r="BZ2490" s="153"/>
      <c r="CA2490" s="152"/>
      <c r="CB2490" s="152"/>
    </row>
    <row r="2491" spans="1:80" s="87" customFormat="1" ht="15" x14ac:dyDescent="0.25">
      <c r="A2491" s="152"/>
      <c r="B2491" s="683"/>
      <c r="C2491" s="683"/>
      <c r="D2491" s="698"/>
      <c r="E2491" s="215"/>
      <c r="F2491" s="215"/>
      <c r="G2491" s="153"/>
      <c r="H2491" s="153"/>
      <c r="I2491" s="115">
        <v>16</v>
      </c>
      <c r="J2491" s="312">
        <v>30</v>
      </c>
      <c r="K2491" s="150">
        <v>1</v>
      </c>
      <c r="L2491" s="656">
        <v>8</v>
      </c>
      <c r="M2491" s="663">
        <v>33674</v>
      </c>
      <c r="N2491" s="600">
        <v>0.97962000000000005</v>
      </c>
      <c r="O2491" s="604">
        <v>1.364E-3</v>
      </c>
      <c r="P2491" s="150"/>
      <c r="Q2491" s="250"/>
      <c r="R2491" s="250"/>
      <c r="S2491" s="250"/>
      <c r="T2491" s="250"/>
      <c r="U2491" s="250"/>
      <c r="V2491" s="250"/>
      <c r="W2491" s="250"/>
      <c r="X2491" s="250"/>
      <c r="Y2491" s="250"/>
      <c r="Z2491" s="150"/>
      <c r="AA2491" s="150">
        <v>1.0900000000000001</v>
      </c>
      <c r="AB2491" s="152"/>
      <c r="AC2491" s="152"/>
      <c r="AD2491" s="223">
        <v>10.66765</v>
      </c>
      <c r="AE2491" s="223">
        <v>0.2865026</v>
      </c>
      <c r="AF2491" s="223">
        <v>3.0469232000000002</v>
      </c>
      <c r="AG2491" s="223">
        <v>0.32002950000000002</v>
      </c>
      <c r="AH2491" s="341"/>
      <c r="AI2491" s="218"/>
      <c r="AJ2491" s="218"/>
      <c r="AK2491" s="153"/>
      <c r="AL2491" s="152"/>
      <c r="AM2491" s="152"/>
      <c r="AN2491" s="152"/>
      <c r="AO2491" s="152"/>
      <c r="AP2491" s="152"/>
      <c r="AQ2491" s="152"/>
      <c r="AR2491" s="152"/>
      <c r="AS2491" s="152"/>
      <c r="AT2491" s="152"/>
      <c r="AU2491" s="153"/>
      <c r="AV2491" s="479"/>
      <c r="AW2491" s="479"/>
      <c r="AX2491" s="442"/>
      <c r="AY2491" s="153"/>
      <c r="AZ2491" s="152"/>
      <c r="BA2491" s="152"/>
      <c r="BB2491" s="152"/>
      <c r="BC2491" s="152"/>
      <c r="BD2491" s="152"/>
      <c r="BE2491" s="152"/>
      <c r="BF2491" s="152"/>
      <c r="BG2491" s="152"/>
      <c r="BH2491" s="152"/>
      <c r="BI2491" s="153"/>
      <c r="BJ2491" s="153"/>
      <c r="BK2491" s="153"/>
      <c r="BL2491" s="153"/>
      <c r="BM2491" s="153"/>
      <c r="BN2491" s="153"/>
      <c r="BO2491" s="153"/>
      <c r="BP2491" s="153"/>
      <c r="BQ2491" s="153"/>
      <c r="BR2491" s="153"/>
      <c r="BS2491" s="153"/>
      <c r="BT2491" s="153"/>
      <c r="BU2491" s="153"/>
      <c r="BV2491" s="153"/>
      <c r="BW2491" s="153"/>
      <c r="BX2491" s="153"/>
      <c r="BY2491" s="153"/>
      <c r="BZ2491" s="153"/>
      <c r="CA2491" s="152"/>
      <c r="CB2491" s="152"/>
    </row>
    <row r="2492" spans="1:80" s="87" customFormat="1" x14ac:dyDescent="0.2">
      <c r="A2492" s="152"/>
      <c r="B2492" s="683"/>
      <c r="C2492" s="683"/>
      <c r="D2492" s="698"/>
      <c r="E2492" s="215"/>
      <c r="F2492" s="215"/>
      <c r="G2492" s="153"/>
      <c r="H2492" s="153"/>
      <c r="I2492" s="312">
        <v>20</v>
      </c>
      <c r="J2492" s="312">
        <v>30</v>
      </c>
      <c r="K2492" s="150">
        <v>1</v>
      </c>
      <c r="L2492" s="656">
        <v>10</v>
      </c>
      <c r="M2492" s="663">
        <v>33722</v>
      </c>
      <c r="N2492" s="600">
        <v>2.9728300000000001</v>
      </c>
      <c r="O2492" s="604">
        <v>1.438E-3</v>
      </c>
      <c r="P2492" s="150"/>
      <c r="Q2492" s="250"/>
      <c r="R2492" s="250"/>
      <c r="S2492" s="250"/>
      <c r="T2492" s="250"/>
      <c r="U2492" s="250"/>
      <c r="V2492" s="250"/>
      <c r="W2492" s="250"/>
      <c r="X2492" s="250"/>
      <c r="Y2492" s="250"/>
      <c r="Z2492" s="150"/>
      <c r="AA2492" s="150">
        <v>0.85</v>
      </c>
      <c r="AB2492" s="152"/>
      <c r="AC2492" s="152"/>
      <c r="AD2492" s="223">
        <v>12.039205000000001</v>
      </c>
      <c r="AE2492" s="223">
        <v>0.42365809999999998</v>
      </c>
      <c r="AF2492" s="223">
        <v>5.1091699999999998</v>
      </c>
      <c r="AG2492" s="223">
        <v>0.58824469999999995</v>
      </c>
      <c r="AH2492" s="341"/>
      <c r="AI2492" s="218"/>
      <c r="AJ2492" s="218"/>
      <c r="AK2492" s="153"/>
      <c r="AL2492" s="152"/>
      <c r="AM2492" s="152"/>
      <c r="AN2492" s="152"/>
      <c r="AO2492" s="152"/>
      <c r="AP2492" s="152"/>
      <c r="AQ2492" s="152"/>
      <c r="AR2492" s="152"/>
      <c r="AS2492" s="152"/>
      <c r="AT2492" s="152"/>
      <c r="AU2492" s="153"/>
      <c r="AV2492" s="479"/>
      <c r="AW2492" s="479"/>
      <c r="AX2492" s="442"/>
      <c r="AY2492" s="153"/>
      <c r="AZ2492" s="152"/>
      <c r="BA2492" s="152"/>
      <c r="BB2492" s="152"/>
      <c r="BC2492" s="152"/>
      <c r="BD2492" s="152"/>
      <c r="BE2492" s="152"/>
      <c r="BF2492" s="152"/>
      <c r="BG2492" s="152"/>
      <c r="BH2492" s="152"/>
      <c r="BI2492" s="153"/>
      <c r="BJ2492" s="153"/>
      <c r="BK2492" s="153"/>
      <c r="BL2492" s="153"/>
      <c r="BM2492" s="153"/>
      <c r="BN2492" s="153"/>
      <c r="BO2492" s="153"/>
      <c r="BP2492" s="153"/>
      <c r="BQ2492" s="153"/>
      <c r="BR2492" s="153"/>
      <c r="BS2492" s="153"/>
      <c r="BT2492" s="153"/>
      <c r="BU2492" s="153"/>
      <c r="BV2492" s="153"/>
      <c r="BW2492" s="153"/>
      <c r="BX2492" s="153"/>
      <c r="BY2492" s="153"/>
      <c r="BZ2492" s="153"/>
      <c r="CA2492" s="152"/>
      <c r="CB2492" s="152"/>
    </row>
    <row r="2493" spans="1:80" s="87" customFormat="1" x14ac:dyDescent="0.2">
      <c r="A2493" s="152"/>
      <c r="B2493" s="683"/>
      <c r="C2493" s="683"/>
      <c r="D2493" s="698"/>
      <c r="E2493" s="215"/>
      <c r="F2493" s="215"/>
      <c r="G2493" s="153"/>
      <c r="H2493" s="153"/>
      <c r="I2493" s="312">
        <v>17</v>
      </c>
      <c r="J2493" s="312">
        <v>30</v>
      </c>
      <c r="K2493" s="150">
        <v>1</v>
      </c>
      <c r="L2493" s="656">
        <v>8.5</v>
      </c>
      <c r="M2493" s="663">
        <v>33731</v>
      </c>
      <c r="N2493" s="600">
        <v>4.7282200000000003</v>
      </c>
      <c r="O2493" s="604">
        <v>2.3404999999999999E-2</v>
      </c>
      <c r="P2493" s="150"/>
      <c r="Q2493" s="250"/>
      <c r="R2493" s="250"/>
      <c r="S2493" s="250"/>
      <c r="T2493" s="250"/>
      <c r="U2493" s="250"/>
      <c r="V2493" s="250"/>
      <c r="W2493" s="250"/>
      <c r="X2493" s="250"/>
      <c r="Y2493" s="250"/>
      <c r="Z2493" s="150"/>
      <c r="AA2493" s="150"/>
      <c r="AB2493" s="152"/>
      <c r="AC2493" s="152"/>
      <c r="AD2493" s="223">
        <v>13.105969999999999</v>
      </c>
      <c r="AE2493" s="223">
        <v>0.4602329</v>
      </c>
      <c r="AF2493" s="223">
        <v>6.0195312000000003</v>
      </c>
      <c r="AG2493" s="223">
        <v>0.78026240000000002</v>
      </c>
      <c r="AH2493" s="341"/>
      <c r="AI2493" s="218"/>
      <c r="AJ2493" s="218"/>
      <c r="AK2493" s="153"/>
      <c r="AL2493" s="152"/>
      <c r="AM2493" s="152"/>
      <c r="AN2493" s="152"/>
      <c r="AO2493" s="152"/>
      <c r="AP2493" s="152"/>
      <c r="AQ2493" s="152"/>
      <c r="AR2493" s="152"/>
      <c r="AS2493" s="152"/>
      <c r="AT2493" s="152"/>
      <c r="AU2493" s="153"/>
      <c r="AV2493" s="479"/>
      <c r="AW2493" s="479"/>
      <c r="AX2493" s="442"/>
      <c r="AY2493" s="153"/>
      <c r="AZ2493" s="152"/>
      <c r="BA2493" s="152"/>
      <c r="BB2493" s="152"/>
      <c r="BC2493" s="152"/>
      <c r="BD2493" s="152"/>
      <c r="BE2493" s="152"/>
      <c r="BF2493" s="152"/>
      <c r="BG2493" s="152"/>
      <c r="BH2493" s="152"/>
      <c r="BI2493" s="153"/>
      <c r="BJ2493" s="153"/>
      <c r="BK2493" s="153"/>
      <c r="BL2493" s="153"/>
      <c r="BM2493" s="153"/>
      <c r="BN2493" s="153"/>
      <c r="BO2493" s="153"/>
      <c r="BP2493" s="153"/>
      <c r="BQ2493" s="153"/>
      <c r="BR2493" s="153"/>
      <c r="BS2493" s="153"/>
      <c r="BT2493" s="153"/>
      <c r="BU2493" s="153"/>
      <c r="BV2493" s="153"/>
      <c r="BW2493" s="153"/>
      <c r="BX2493" s="153"/>
      <c r="BY2493" s="153"/>
      <c r="BZ2493" s="153"/>
      <c r="CA2493" s="152"/>
      <c r="CB2493" s="152"/>
    </row>
    <row r="2494" spans="1:80" s="87" customFormat="1" x14ac:dyDescent="0.2">
      <c r="A2494" s="152"/>
      <c r="B2494" s="683"/>
      <c r="C2494" s="683"/>
      <c r="D2494" s="698"/>
      <c r="E2494" s="215"/>
      <c r="F2494" s="215"/>
      <c r="G2494" s="153"/>
      <c r="H2494" s="153"/>
      <c r="I2494" s="312">
        <v>15</v>
      </c>
      <c r="J2494" s="312">
        <v>30</v>
      </c>
      <c r="K2494" s="150">
        <v>1</v>
      </c>
      <c r="L2494" s="656">
        <v>7.5</v>
      </c>
      <c r="M2494" s="663">
        <v>34067</v>
      </c>
      <c r="N2494" s="600">
        <v>1.7582199999999999</v>
      </c>
      <c r="O2494" s="604">
        <v>2.72E-4</v>
      </c>
      <c r="P2494" s="150"/>
      <c r="Q2494" s="250"/>
      <c r="R2494" s="250"/>
      <c r="S2494" s="250"/>
      <c r="T2494" s="250"/>
      <c r="U2494" s="250"/>
      <c r="V2494" s="250"/>
      <c r="W2494" s="250"/>
      <c r="X2494" s="250"/>
      <c r="Y2494" s="250"/>
      <c r="Z2494" s="150"/>
      <c r="AA2494" s="150">
        <v>0.57999999999999996</v>
      </c>
      <c r="AB2494" s="152"/>
      <c r="AC2494" s="152"/>
      <c r="AD2494" s="223">
        <v>11.58202</v>
      </c>
      <c r="AE2494" s="223">
        <v>0.32612530000000001</v>
      </c>
      <c r="AF2494" s="223">
        <v>3.7900752</v>
      </c>
      <c r="AG2494" s="223">
        <v>0.4602329</v>
      </c>
      <c r="AH2494" s="341"/>
      <c r="AI2494" s="218"/>
      <c r="AJ2494" s="218"/>
      <c r="AK2494" s="153"/>
      <c r="AL2494" s="152"/>
      <c r="AM2494" s="152"/>
      <c r="AN2494" s="152"/>
      <c r="AO2494" s="152"/>
      <c r="AP2494" s="152"/>
      <c r="AQ2494" s="152"/>
      <c r="AR2494" s="152"/>
      <c r="AS2494" s="152"/>
      <c r="AT2494" s="152"/>
      <c r="AU2494" s="153"/>
      <c r="AV2494" s="479"/>
      <c r="AW2494" s="479"/>
      <c r="AX2494" s="442"/>
      <c r="AY2494" s="153"/>
      <c r="AZ2494" s="152"/>
      <c r="BA2494" s="152"/>
      <c r="BB2494" s="152"/>
      <c r="BC2494" s="152"/>
      <c r="BD2494" s="152"/>
      <c r="BE2494" s="152"/>
      <c r="BF2494" s="152"/>
      <c r="BG2494" s="152"/>
      <c r="BH2494" s="152"/>
      <c r="BI2494" s="153"/>
      <c r="BJ2494" s="153"/>
      <c r="BK2494" s="153"/>
      <c r="BL2494" s="153"/>
      <c r="BM2494" s="153"/>
      <c r="BN2494" s="153"/>
      <c r="BO2494" s="153"/>
      <c r="BP2494" s="153"/>
      <c r="BQ2494" s="153"/>
      <c r="BR2494" s="153"/>
      <c r="BS2494" s="153"/>
      <c r="BT2494" s="153"/>
      <c r="BU2494" s="153"/>
      <c r="BV2494" s="153"/>
      <c r="BW2494" s="153"/>
      <c r="BX2494" s="153"/>
      <c r="BY2494" s="153"/>
      <c r="BZ2494" s="153"/>
      <c r="CA2494" s="152"/>
      <c r="CB2494" s="152"/>
    </row>
    <row r="2495" spans="1:80" s="87" customFormat="1" x14ac:dyDescent="0.2">
      <c r="A2495" s="152"/>
      <c r="B2495" s="683"/>
      <c r="C2495" s="683"/>
      <c r="D2495" s="698"/>
      <c r="E2495" s="215"/>
      <c r="F2495" s="215"/>
      <c r="G2495" s="153"/>
      <c r="H2495" s="153"/>
      <c r="I2495" s="312">
        <v>16</v>
      </c>
      <c r="J2495" s="312">
        <v>30</v>
      </c>
      <c r="K2495" s="150">
        <v>1</v>
      </c>
      <c r="L2495" s="656">
        <v>8</v>
      </c>
      <c r="M2495" s="663">
        <v>34081</v>
      </c>
      <c r="N2495" s="600">
        <v>2.18574</v>
      </c>
      <c r="O2495" s="604">
        <v>4.08E-4</v>
      </c>
      <c r="P2495" s="150"/>
      <c r="Q2495" s="250"/>
      <c r="R2495" s="250"/>
      <c r="S2495" s="250"/>
      <c r="T2495" s="250"/>
      <c r="U2495" s="250"/>
      <c r="V2495" s="250"/>
      <c r="W2495" s="250"/>
      <c r="X2495" s="250"/>
      <c r="Y2495" s="250"/>
      <c r="Z2495" s="150"/>
      <c r="AA2495" s="150">
        <v>0.6</v>
      </c>
      <c r="AB2495" s="152"/>
      <c r="AC2495" s="152"/>
      <c r="AD2495" s="223">
        <v>11.886810000000001</v>
      </c>
      <c r="AE2495" s="223">
        <v>0.36879590000000001</v>
      </c>
      <c r="AF2495" s="223">
        <v>4.3845967999999997</v>
      </c>
      <c r="AG2495" s="223">
        <v>0.51509510000000003</v>
      </c>
      <c r="AH2495" s="341"/>
      <c r="AI2495" s="218"/>
      <c r="AJ2495" s="218"/>
      <c r="AK2495" s="153"/>
      <c r="AL2495" s="152"/>
      <c r="AM2495" s="152"/>
      <c r="AN2495" s="152"/>
      <c r="AO2495" s="152"/>
      <c r="AP2495" s="152"/>
      <c r="AQ2495" s="152"/>
      <c r="AR2495" s="152"/>
      <c r="AS2495" s="152"/>
      <c r="AT2495" s="152"/>
      <c r="AU2495" s="153"/>
      <c r="AV2495" s="479"/>
      <c r="AW2495" s="479"/>
      <c r="AX2495" s="442"/>
      <c r="AY2495" s="153"/>
      <c r="AZ2495" s="152"/>
      <c r="BA2495" s="152"/>
      <c r="BB2495" s="152"/>
      <c r="BC2495" s="152"/>
      <c r="BD2495" s="152"/>
      <c r="BE2495" s="152"/>
      <c r="BF2495" s="152"/>
      <c r="BG2495" s="152"/>
      <c r="BH2495" s="152"/>
      <c r="BI2495" s="153"/>
      <c r="BJ2495" s="153"/>
      <c r="BK2495" s="153"/>
      <c r="BL2495" s="153"/>
      <c r="BM2495" s="153"/>
      <c r="BN2495" s="153"/>
      <c r="BO2495" s="153"/>
      <c r="BP2495" s="153"/>
      <c r="BQ2495" s="153"/>
      <c r="BR2495" s="153"/>
      <c r="BS2495" s="153"/>
      <c r="BT2495" s="153"/>
      <c r="BU2495" s="153"/>
      <c r="BV2495" s="153"/>
      <c r="BW2495" s="153"/>
      <c r="BX2495" s="153"/>
      <c r="BY2495" s="153"/>
      <c r="BZ2495" s="153"/>
      <c r="CA2495" s="152"/>
      <c r="CB2495" s="152"/>
    </row>
    <row r="2496" spans="1:80" s="87" customFormat="1" x14ac:dyDescent="0.2">
      <c r="A2496" s="152"/>
      <c r="B2496" s="683"/>
      <c r="C2496" s="683"/>
      <c r="D2496" s="698"/>
      <c r="E2496" s="215"/>
      <c r="F2496" s="215"/>
      <c r="G2496" s="153"/>
      <c r="H2496" s="153"/>
      <c r="I2496" s="312">
        <v>13</v>
      </c>
      <c r="J2496" s="312">
        <v>30</v>
      </c>
      <c r="K2496" s="150">
        <v>1</v>
      </c>
      <c r="L2496" s="656">
        <v>6.5</v>
      </c>
      <c r="M2496" s="663">
        <v>34093</v>
      </c>
      <c r="N2496" s="600">
        <v>5.6059099999999997</v>
      </c>
      <c r="O2496" s="604">
        <v>8.9949999999999995E-3</v>
      </c>
      <c r="P2496" s="150"/>
      <c r="Q2496" s="250"/>
      <c r="R2496" s="250"/>
      <c r="S2496" s="250"/>
      <c r="T2496" s="250"/>
      <c r="U2496" s="250"/>
      <c r="V2496" s="250"/>
      <c r="W2496" s="250"/>
      <c r="X2496" s="250"/>
      <c r="Y2496" s="250"/>
      <c r="Z2496" s="150"/>
      <c r="AA2496" s="150">
        <v>0.97</v>
      </c>
      <c r="AB2496" s="152"/>
      <c r="AC2496" s="152"/>
      <c r="AD2496" s="223">
        <v>12.039205000000001</v>
      </c>
      <c r="AE2496" s="223">
        <v>0.47852030000000001</v>
      </c>
      <c r="AF2496" s="223">
        <v>5.7501385999999997</v>
      </c>
      <c r="AG2496" s="223">
        <v>0.97837589999999997</v>
      </c>
      <c r="AH2496" s="341"/>
      <c r="AI2496" s="218"/>
      <c r="AJ2496" s="218"/>
      <c r="AK2496" s="153"/>
      <c r="AL2496" s="152"/>
      <c r="AM2496" s="152"/>
      <c r="AN2496" s="152"/>
      <c r="AO2496" s="152"/>
      <c r="AP2496" s="152"/>
      <c r="AQ2496" s="152"/>
      <c r="AR2496" s="152"/>
      <c r="AS2496" s="152"/>
      <c r="AT2496" s="152"/>
      <c r="AU2496" s="153"/>
      <c r="AV2496" s="479"/>
      <c r="AW2496" s="479"/>
      <c r="AX2496" s="442"/>
      <c r="AY2496" s="153"/>
      <c r="AZ2496" s="152"/>
      <c r="BA2496" s="152"/>
      <c r="BB2496" s="152"/>
      <c r="BC2496" s="152"/>
      <c r="BD2496" s="152"/>
      <c r="BE2496" s="152"/>
      <c r="BF2496" s="152"/>
      <c r="BG2496" s="152"/>
      <c r="BH2496" s="152"/>
      <c r="BI2496" s="153"/>
      <c r="BJ2496" s="153"/>
      <c r="BK2496" s="153"/>
      <c r="BL2496" s="153"/>
      <c r="BM2496" s="153"/>
      <c r="BN2496" s="153"/>
      <c r="BO2496" s="153"/>
      <c r="BP2496" s="153"/>
      <c r="BQ2496" s="153"/>
      <c r="BR2496" s="153"/>
      <c r="BS2496" s="153"/>
      <c r="BT2496" s="153"/>
      <c r="BU2496" s="153"/>
      <c r="BV2496" s="153"/>
      <c r="BW2496" s="153"/>
      <c r="BX2496" s="153"/>
      <c r="BY2496" s="153"/>
      <c r="BZ2496" s="153"/>
      <c r="CA2496" s="152"/>
      <c r="CB2496" s="152"/>
    </row>
    <row r="2497" spans="1:80" s="87" customFormat="1" x14ac:dyDescent="0.2">
      <c r="A2497" s="152"/>
      <c r="B2497" s="683"/>
      <c r="C2497" s="683"/>
      <c r="D2497" s="698"/>
      <c r="E2497" s="215"/>
      <c r="F2497" s="215"/>
      <c r="G2497" s="153"/>
      <c r="H2497" s="153"/>
      <c r="I2497" s="312">
        <v>19</v>
      </c>
      <c r="J2497" s="312">
        <v>30</v>
      </c>
      <c r="K2497" s="150">
        <v>1</v>
      </c>
      <c r="L2497" s="656">
        <v>9.5</v>
      </c>
      <c r="M2497" s="663">
        <v>34106</v>
      </c>
      <c r="N2497" s="600">
        <v>11.4666</v>
      </c>
      <c r="O2497" s="604">
        <v>1.2070000000000001E-2</v>
      </c>
      <c r="P2497" s="150"/>
      <c r="Q2497" s="250"/>
      <c r="R2497" s="250"/>
      <c r="S2497" s="250"/>
      <c r="T2497" s="250"/>
      <c r="U2497" s="250"/>
      <c r="V2497" s="250"/>
      <c r="W2497" s="250"/>
      <c r="X2497" s="250"/>
      <c r="Y2497" s="250"/>
      <c r="Z2497" s="150"/>
      <c r="AA2497" s="150">
        <v>1.03</v>
      </c>
      <c r="AB2497" s="152"/>
      <c r="AC2497" s="152"/>
      <c r="AD2497" s="223">
        <v>13.41076</v>
      </c>
      <c r="AE2497" s="223">
        <v>0.58824469999999995</v>
      </c>
      <c r="AF2497" s="223">
        <v>7.8867006000000002</v>
      </c>
      <c r="AG2497" s="223">
        <v>1.4812794</v>
      </c>
      <c r="AH2497" s="341"/>
      <c r="AI2497" s="218"/>
      <c r="AJ2497" s="218"/>
      <c r="AK2497" s="153"/>
      <c r="AL2497" s="152"/>
      <c r="AM2497" s="152"/>
      <c r="AN2497" s="152"/>
      <c r="AO2497" s="152"/>
      <c r="AP2497" s="152"/>
      <c r="AQ2497" s="152"/>
      <c r="AR2497" s="152"/>
      <c r="AS2497" s="152"/>
      <c r="AT2497" s="152"/>
      <c r="AU2497" s="153"/>
      <c r="AV2497" s="479"/>
      <c r="AW2497" s="479"/>
      <c r="AX2497" s="442"/>
      <c r="AY2497" s="153"/>
      <c r="AZ2497" s="152"/>
      <c r="BA2497" s="152"/>
      <c r="BB2497" s="152"/>
      <c r="BC2497" s="152"/>
      <c r="BD2497" s="152"/>
      <c r="BE2497" s="152"/>
      <c r="BF2497" s="152"/>
      <c r="BG2497" s="152"/>
      <c r="BH2497" s="152"/>
      <c r="BI2497" s="153"/>
      <c r="BJ2497" s="153"/>
      <c r="BK2497" s="153"/>
      <c r="BL2497" s="153"/>
      <c r="BM2497" s="153"/>
      <c r="BN2497" s="153"/>
      <c r="BO2497" s="153"/>
      <c r="BP2497" s="153"/>
      <c r="BQ2497" s="153"/>
      <c r="BR2497" s="153"/>
      <c r="BS2497" s="153"/>
      <c r="BT2497" s="153"/>
      <c r="BU2497" s="153"/>
      <c r="BV2497" s="153"/>
      <c r="BW2497" s="153"/>
      <c r="BX2497" s="153"/>
      <c r="BY2497" s="153"/>
      <c r="BZ2497" s="153"/>
      <c r="CA2497" s="152"/>
      <c r="CB2497" s="152"/>
    </row>
    <row r="2498" spans="1:80" s="87" customFormat="1" x14ac:dyDescent="0.2">
      <c r="A2498" s="152"/>
      <c r="B2498" s="683"/>
      <c r="C2498" s="683"/>
      <c r="D2498" s="698"/>
      <c r="E2498" s="215"/>
      <c r="F2498" s="215"/>
      <c r="G2498" s="153"/>
      <c r="H2498" s="153"/>
      <c r="I2498" s="312">
        <v>20</v>
      </c>
      <c r="J2498" s="312">
        <v>30</v>
      </c>
      <c r="K2498" s="150">
        <v>1</v>
      </c>
      <c r="L2498" s="656">
        <v>10</v>
      </c>
      <c r="M2498" s="663">
        <v>34130</v>
      </c>
      <c r="N2498" s="600">
        <v>12.2028</v>
      </c>
      <c r="O2498" s="604">
        <v>0.10810599999999999</v>
      </c>
      <c r="P2498" s="150"/>
      <c r="Q2498" s="250"/>
      <c r="R2498" s="250"/>
      <c r="S2498" s="250"/>
      <c r="T2498" s="250"/>
      <c r="U2498" s="250"/>
      <c r="V2498" s="250"/>
      <c r="W2498" s="250"/>
      <c r="X2498" s="250"/>
      <c r="Y2498" s="250"/>
      <c r="Z2498" s="150"/>
      <c r="AA2498" s="150">
        <v>1.24</v>
      </c>
      <c r="AB2498" s="152"/>
      <c r="AC2498" s="152"/>
      <c r="AD2498" s="223">
        <v>14.020339999999999</v>
      </c>
      <c r="AE2498" s="223">
        <v>0.60348420000000003</v>
      </c>
      <c r="AF2498" s="223">
        <v>8.4719327999999994</v>
      </c>
      <c r="AG2498" s="223">
        <v>1.4355609</v>
      </c>
      <c r="AH2498" s="341"/>
      <c r="AI2498" s="218"/>
      <c r="AJ2498" s="218"/>
      <c r="AK2498" s="153"/>
      <c r="AL2498" s="152"/>
      <c r="AM2498" s="152"/>
      <c r="AN2498" s="152"/>
      <c r="AO2498" s="152"/>
      <c r="AP2498" s="152"/>
      <c r="AQ2498" s="152"/>
      <c r="AR2498" s="152"/>
      <c r="AS2498" s="152"/>
      <c r="AT2498" s="152"/>
      <c r="AU2498" s="153"/>
      <c r="AV2498" s="479"/>
      <c r="AW2498" s="479"/>
      <c r="AX2498" s="442"/>
      <c r="AY2498" s="153"/>
      <c r="AZ2498" s="152"/>
      <c r="BA2498" s="152"/>
      <c r="BB2498" s="152"/>
      <c r="BC2498" s="152"/>
      <c r="BD2498" s="152"/>
      <c r="BE2498" s="152"/>
      <c r="BF2498" s="152"/>
      <c r="BG2498" s="152"/>
      <c r="BH2498" s="152"/>
      <c r="BI2498" s="153"/>
      <c r="BJ2498" s="153"/>
      <c r="BK2498" s="153"/>
      <c r="BL2498" s="153"/>
      <c r="BM2498" s="153"/>
      <c r="BN2498" s="153"/>
      <c r="BO2498" s="153"/>
      <c r="BP2498" s="153"/>
      <c r="BQ2498" s="153"/>
      <c r="BR2498" s="153"/>
      <c r="BS2498" s="153"/>
      <c r="BT2498" s="153"/>
      <c r="BU2498" s="153"/>
      <c r="BV2498" s="153"/>
      <c r="BW2498" s="153"/>
      <c r="BX2498" s="153"/>
      <c r="BY2498" s="153"/>
      <c r="BZ2498" s="153"/>
      <c r="CA2498" s="152"/>
      <c r="CB2498" s="152"/>
    </row>
    <row r="2499" spans="1:80" s="87" customFormat="1" x14ac:dyDescent="0.2">
      <c r="A2499" s="152"/>
      <c r="B2499" s="683"/>
      <c r="C2499" s="683"/>
      <c r="D2499" s="698"/>
      <c r="E2499" s="215"/>
      <c r="F2499" s="215"/>
      <c r="G2499" s="153"/>
      <c r="H2499" s="153"/>
      <c r="I2499" s="312">
        <v>19</v>
      </c>
      <c r="J2499" s="312">
        <v>30</v>
      </c>
      <c r="K2499" s="150">
        <v>1</v>
      </c>
      <c r="L2499" s="656">
        <v>9.5</v>
      </c>
      <c r="M2499" s="663">
        <v>34144</v>
      </c>
      <c r="N2499" s="600">
        <v>8.7203099999999996</v>
      </c>
      <c r="O2499" s="604">
        <v>2.6343999999999999E-2</v>
      </c>
      <c r="P2499" s="150"/>
      <c r="Q2499" s="250"/>
      <c r="R2499" s="250"/>
      <c r="S2499" s="250"/>
      <c r="T2499" s="250"/>
      <c r="U2499" s="250"/>
      <c r="V2499" s="250"/>
      <c r="W2499" s="250"/>
      <c r="X2499" s="250"/>
      <c r="Y2499" s="250"/>
      <c r="Z2499" s="150"/>
      <c r="AA2499" s="150">
        <v>1.42</v>
      </c>
      <c r="AB2499" s="152"/>
      <c r="AC2499" s="152"/>
      <c r="AD2499" s="223">
        <v>14.32513</v>
      </c>
      <c r="AE2499" s="223">
        <v>0.58824469999999995</v>
      </c>
      <c r="AF2499" s="223">
        <v>8.4347752000000007</v>
      </c>
      <c r="AG2499" s="223">
        <v>1.0271423</v>
      </c>
      <c r="AH2499" s="341"/>
      <c r="AI2499" s="218"/>
      <c r="AJ2499" s="218"/>
      <c r="AK2499" s="153"/>
      <c r="AL2499" s="152"/>
      <c r="AM2499" s="152"/>
      <c r="AN2499" s="152"/>
      <c r="AO2499" s="152"/>
      <c r="AP2499" s="152"/>
      <c r="AQ2499" s="152"/>
      <c r="AR2499" s="152"/>
      <c r="AS2499" s="152"/>
      <c r="AT2499" s="152"/>
      <c r="AU2499" s="153"/>
      <c r="AV2499" s="479"/>
      <c r="AW2499" s="479"/>
      <c r="AX2499" s="442"/>
      <c r="AY2499" s="153"/>
      <c r="AZ2499" s="152"/>
      <c r="BA2499" s="152"/>
      <c r="BB2499" s="152"/>
      <c r="BC2499" s="152"/>
      <c r="BD2499" s="152"/>
      <c r="BE2499" s="152"/>
      <c r="BF2499" s="152"/>
      <c r="BG2499" s="152"/>
      <c r="BH2499" s="152"/>
      <c r="BI2499" s="153"/>
      <c r="BJ2499" s="153"/>
      <c r="BK2499" s="153"/>
      <c r="BL2499" s="153"/>
      <c r="BM2499" s="153"/>
      <c r="BN2499" s="153"/>
      <c r="BO2499" s="153"/>
      <c r="BP2499" s="153"/>
      <c r="BQ2499" s="153"/>
      <c r="BR2499" s="153"/>
      <c r="BS2499" s="153"/>
      <c r="BT2499" s="153"/>
      <c r="BU2499" s="153"/>
      <c r="BV2499" s="153"/>
      <c r="BW2499" s="153"/>
      <c r="BX2499" s="153"/>
      <c r="BY2499" s="153"/>
      <c r="BZ2499" s="153"/>
      <c r="CA2499" s="152"/>
      <c r="CB2499" s="152"/>
    </row>
    <row r="2500" spans="1:80" s="87" customFormat="1" x14ac:dyDescent="0.2">
      <c r="A2500" s="152"/>
      <c r="B2500" s="683"/>
      <c r="C2500" s="683"/>
      <c r="D2500" s="698"/>
      <c r="E2500" s="215"/>
      <c r="F2500" s="215"/>
      <c r="G2500" s="153"/>
      <c r="H2500" s="153"/>
      <c r="I2500" s="312">
        <v>17</v>
      </c>
      <c r="J2500" s="312">
        <v>30</v>
      </c>
      <c r="K2500" s="150">
        <v>1</v>
      </c>
      <c r="L2500" s="656">
        <v>8.5</v>
      </c>
      <c r="M2500" s="663">
        <v>34157</v>
      </c>
      <c r="N2500" s="600">
        <v>4.9264099999999997</v>
      </c>
      <c r="O2500" s="604">
        <v>1.6689999999999999E-3</v>
      </c>
      <c r="P2500" s="150"/>
      <c r="Q2500" s="250"/>
      <c r="R2500" s="250"/>
      <c r="S2500" s="250"/>
      <c r="T2500" s="250"/>
      <c r="U2500" s="250"/>
      <c r="V2500" s="250"/>
      <c r="W2500" s="250"/>
      <c r="X2500" s="250"/>
      <c r="Y2500" s="250"/>
      <c r="Z2500" s="150"/>
      <c r="AA2500" s="150">
        <v>0.76</v>
      </c>
      <c r="AB2500" s="152"/>
      <c r="AC2500" s="152"/>
      <c r="AD2500" s="223">
        <v>13.71555</v>
      </c>
      <c r="AE2500" s="223">
        <v>0.45108920000000002</v>
      </c>
      <c r="AF2500" s="223">
        <v>6.2053191999999999</v>
      </c>
      <c r="AG2500" s="223">
        <v>0.78026240000000002</v>
      </c>
      <c r="AH2500" s="341"/>
      <c r="AI2500" s="218"/>
      <c r="AJ2500" s="218"/>
      <c r="AK2500" s="153"/>
      <c r="AL2500" s="152"/>
      <c r="AM2500" s="152"/>
      <c r="AN2500" s="152"/>
      <c r="AO2500" s="152"/>
      <c r="AP2500" s="152"/>
      <c r="AQ2500" s="152"/>
      <c r="AR2500" s="152"/>
      <c r="AS2500" s="152"/>
      <c r="AT2500" s="152"/>
      <c r="AU2500" s="153"/>
      <c r="AV2500" s="479"/>
      <c r="AW2500" s="479"/>
      <c r="AX2500" s="442"/>
      <c r="AY2500" s="153"/>
      <c r="AZ2500" s="152"/>
      <c r="BA2500" s="152"/>
      <c r="BB2500" s="152"/>
      <c r="BC2500" s="152"/>
      <c r="BD2500" s="152"/>
      <c r="BE2500" s="152"/>
      <c r="BF2500" s="152"/>
      <c r="BG2500" s="152"/>
      <c r="BH2500" s="152"/>
      <c r="BI2500" s="153"/>
      <c r="BJ2500" s="153"/>
      <c r="BK2500" s="153"/>
      <c r="BL2500" s="153"/>
      <c r="BM2500" s="153"/>
      <c r="BN2500" s="153"/>
      <c r="BO2500" s="153"/>
      <c r="BP2500" s="153"/>
      <c r="BQ2500" s="153"/>
      <c r="BR2500" s="153"/>
      <c r="BS2500" s="153"/>
      <c r="BT2500" s="153"/>
      <c r="BU2500" s="153"/>
      <c r="BV2500" s="153"/>
      <c r="BW2500" s="153"/>
      <c r="BX2500" s="153"/>
      <c r="BY2500" s="153"/>
      <c r="BZ2500" s="153"/>
      <c r="CA2500" s="152"/>
      <c r="CB2500" s="152"/>
    </row>
    <row r="2501" spans="1:80" s="87" customFormat="1" x14ac:dyDescent="0.2">
      <c r="A2501" s="152"/>
      <c r="B2501" s="683"/>
      <c r="C2501" s="683"/>
      <c r="D2501" s="698"/>
      <c r="E2501" s="215"/>
      <c r="F2501" s="215"/>
      <c r="G2501" s="153"/>
      <c r="H2501" s="153"/>
      <c r="I2501" s="312">
        <v>18</v>
      </c>
      <c r="J2501" s="312">
        <v>30</v>
      </c>
      <c r="K2501" s="150">
        <v>1</v>
      </c>
      <c r="L2501" s="656">
        <v>9</v>
      </c>
      <c r="M2501" s="663">
        <v>34185</v>
      </c>
      <c r="N2501" s="600">
        <v>2.3980899999999998</v>
      </c>
      <c r="O2501" s="604">
        <v>1.06E-4</v>
      </c>
      <c r="P2501" s="150"/>
      <c r="Q2501" s="250"/>
      <c r="R2501" s="250"/>
      <c r="S2501" s="250"/>
      <c r="T2501" s="250"/>
      <c r="U2501" s="250"/>
      <c r="V2501" s="250"/>
      <c r="W2501" s="250"/>
      <c r="X2501" s="250"/>
      <c r="Y2501" s="250"/>
      <c r="Z2501" s="150"/>
      <c r="AA2501" s="150">
        <v>0.62</v>
      </c>
      <c r="AB2501" s="152"/>
      <c r="AC2501" s="152"/>
      <c r="AD2501" s="223">
        <v>12.49639</v>
      </c>
      <c r="AE2501" s="223">
        <v>0.40841860000000002</v>
      </c>
      <c r="AF2501" s="223">
        <v>5.0905912000000004</v>
      </c>
      <c r="AG2501" s="223">
        <v>0.47242450000000002</v>
      </c>
      <c r="AH2501" s="341"/>
      <c r="AI2501" s="218"/>
      <c r="AJ2501" s="218"/>
      <c r="AK2501" s="153"/>
      <c r="AL2501" s="152"/>
      <c r="AM2501" s="152"/>
      <c r="AN2501" s="152"/>
      <c r="AO2501" s="152"/>
      <c r="AP2501" s="152"/>
      <c r="AQ2501" s="152"/>
      <c r="AR2501" s="152"/>
      <c r="AS2501" s="152"/>
      <c r="AT2501" s="152"/>
      <c r="AU2501" s="153"/>
      <c r="AV2501" s="479"/>
      <c r="AW2501" s="479"/>
      <c r="AX2501" s="442"/>
      <c r="AY2501" s="153"/>
      <c r="AZ2501" s="152"/>
      <c r="BA2501" s="152"/>
      <c r="BB2501" s="152"/>
      <c r="BC2501" s="152"/>
      <c r="BD2501" s="152"/>
      <c r="BE2501" s="152"/>
      <c r="BF2501" s="152"/>
      <c r="BG2501" s="152"/>
      <c r="BH2501" s="152"/>
      <c r="BI2501" s="153"/>
      <c r="BJ2501" s="153"/>
      <c r="BK2501" s="153"/>
      <c r="BL2501" s="153"/>
      <c r="BM2501" s="153"/>
      <c r="BN2501" s="153"/>
      <c r="BO2501" s="153"/>
      <c r="BP2501" s="153"/>
      <c r="BQ2501" s="153"/>
      <c r="BR2501" s="153"/>
      <c r="BS2501" s="153"/>
      <c r="BT2501" s="153"/>
      <c r="BU2501" s="153"/>
      <c r="BV2501" s="153"/>
      <c r="BW2501" s="153"/>
      <c r="BX2501" s="153"/>
      <c r="BY2501" s="153"/>
      <c r="BZ2501" s="153"/>
      <c r="CA2501" s="152"/>
      <c r="CB2501" s="152"/>
    </row>
    <row r="2502" spans="1:80" s="87" customFormat="1" x14ac:dyDescent="0.2">
      <c r="A2502" s="152"/>
      <c r="B2502" s="683"/>
      <c r="C2502" s="683"/>
      <c r="D2502" s="698"/>
      <c r="E2502" s="215"/>
      <c r="F2502" s="215"/>
      <c r="G2502" s="153"/>
      <c r="H2502" s="153"/>
      <c r="I2502" s="312">
        <v>16</v>
      </c>
      <c r="J2502" s="312">
        <v>30</v>
      </c>
      <c r="K2502" s="150">
        <v>1</v>
      </c>
      <c r="L2502" s="656">
        <v>8</v>
      </c>
      <c r="M2502" s="663">
        <v>34222</v>
      </c>
      <c r="N2502" s="600">
        <v>1.0617300000000001</v>
      </c>
      <c r="O2502" s="604">
        <v>3.57E-4</v>
      </c>
      <c r="P2502" s="150"/>
      <c r="Q2502" s="250"/>
      <c r="R2502" s="250"/>
      <c r="S2502" s="250"/>
      <c r="T2502" s="250"/>
      <c r="U2502" s="250"/>
      <c r="V2502" s="250"/>
      <c r="W2502" s="250"/>
      <c r="X2502" s="250"/>
      <c r="Y2502" s="250"/>
      <c r="Z2502" s="150"/>
      <c r="AA2502" s="150">
        <v>0.57999999999999996</v>
      </c>
      <c r="AB2502" s="152"/>
      <c r="AC2502" s="152"/>
      <c r="AD2502" s="223">
        <v>10.820045</v>
      </c>
      <c r="AE2502" s="223">
        <v>0.29564629999999997</v>
      </c>
      <c r="AF2502" s="223">
        <v>3.2048429999999999</v>
      </c>
      <c r="AG2502" s="223">
        <v>0.34441270000000002</v>
      </c>
      <c r="AH2502" s="341"/>
      <c r="AI2502" s="218"/>
      <c r="AJ2502" s="218"/>
      <c r="AK2502" s="153"/>
      <c r="AL2502" s="152"/>
      <c r="AM2502" s="152"/>
      <c r="AN2502" s="152"/>
      <c r="AO2502" s="152"/>
      <c r="AP2502" s="152"/>
      <c r="AQ2502" s="152"/>
      <c r="AR2502" s="152"/>
      <c r="AS2502" s="152"/>
      <c r="AT2502" s="152"/>
      <c r="AU2502" s="153"/>
      <c r="AV2502" s="479"/>
      <c r="AW2502" s="479"/>
      <c r="AX2502" s="442"/>
      <c r="AY2502" s="153"/>
      <c r="AZ2502" s="152"/>
      <c r="BA2502" s="152"/>
      <c r="BB2502" s="152"/>
      <c r="BC2502" s="152"/>
      <c r="BD2502" s="152"/>
      <c r="BE2502" s="152"/>
      <c r="BF2502" s="152"/>
      <c r="BG2502" s="152"/>
      <c r="BH2502" s="152"/>
      <c r="BI2502" s="153"/>
      <c r="BJ2502" s="153"/>
      <c r="BK2502" s="153"/>
      <c r="BL2502" s="153"/>
      <c r="BM2502" s="153"/>
      <c r="BN2502" s="153"/>
      <c r="BO2502" s="153"/>
      <c r="BP2502" s="153"/>
      <c r="BQ2502" s="153"/>
      <c r="BR2502" s="153"/>
      <c r="BS2502" s="153"/>
      <c r="BT2502" s="153"/>
      <c r="BU2502" s="153"/>
      <c r="BV2502" s="153"/>
      <c r="BW2502" s="153"/>
      <c r="BX2502" s="153"/>
      <c r="BY2502" s="153"/>
      <c r="BZ2502" s="153"/>
      <c r="CA2502" s="152"/>
      <c r="CB2502" s="152"/>
    </row>
    <row r="2503" spans="1:80" s="87" customFormat="1" x14ac:dyDescent="0.2">
      <c r="A2503" s="152"/>
      <c r="B2503" s="683"/>
      <c r="C2503" s="683"/>
      <c r="D2503" s="698"/>
      <c r="E2503" s="215"/>
      <c r="F2503" s="215"/>
      <c r="G2503" s="153"/>
      <c r="H2503" s="153"/>
      <c r="I2503" s="312">
        <v>16</v>
      </c>
      <c r="J2503" s="312">
        <v>30</v>
      </c>
      <c r="K2503" s="150">
        <v>1</v>
      </c>
      <c r="L2503" s="656">
        <v>8</v>
      </c>
      <c r="M2503" s="663">
        <v>34263</v>
      </c>
      <c r="N2503" s="600">
        <v>0.87485999999999997</v>
      </c>
      <c r="O2503" s="604">
        <v>2.62E-5</v>
      </c>
      <c r="P2503" s="150"/>
      <c r="Q2503" s="250"/>
      <c r="R2503" s="250"/>
      <c r="S2503" s="250"/>
      <c r="T2503" s="250"/>
      <c r="U2503" s="250"/>
      <c r="V2503" s="250"/>
      <c r="W2503" s="250"/>
      <c r="X2503" s="250"/>
      <c r="Y2503" s="250"/>
      <c r="Z2503" s="150"/>
      <c r="AA2503" s="150">
        <v>0.85</v>
      </c>
      <c r="AB2503" s="152"/>
      <c r="AC2503" s="152"/>
      <c r="AD2503" s="223">
        <v>10.66765</v>
      </c>
      <c r="AE2503" s="223">
        <v>0.27126309999999998</v>
      </c>
      <c r="AF2503" s="223">
        <v>2.8797139999999999</v>
      </c>
      <c r="AG2503" s="223">
        <v>0.27431100000000003</v>
      </c>
      <c r="AH2503" s="341"/>
      <c r="AI2503" s="218"/>
      <c r="AJ2503" s="218"/>
      <c r="AK2503" s="153"/>
      <c r="AL2503" s="152"/>
      <c r="AM2503" s="152"/>
      <c r="AN2503" s="152"/>
      <c r="AO2503" s="152"/>
      <c r="AP2503" s="152"/>
      <c r="AQ2503" s="152"/>
      <c r="AR2503" s="152"/>
      <c r="AS2503" s="152"/>
      <c r="AT2503" s="152"/>
      <c r="AU2503" s="153"/>
      <c r="AV2503" s="479"/>
      <c r="AW2503" s="479"/>
      <c r="AX2503" s="442"/>
      <c r="AY2503" s="153"/>
      <c r="AZ2503" s="152"/>
      <c r="BA2503" s="152"/>
      <c r="BB2503" s="152"/>
      <c r="BC2503" s="152"/>
      <c r="BD2503" s="152"/>
      <c r="BE2503" s="152"/>
      <c r="BF2503" s="152"/>
      <c r="BG2503" s="152"/>
      <c r="BH2503" s="152"/>
      <c r="BI2503" s="153"/>
      <c r="BJ2503" s="153"/>
      <c r="BK2503" s="153"/>
      <c r="BL2503" s="153"/>
      <c r="BM2503" s="153"/>
      <c r="BN2503" s="153"/>
      <c r="BO2503" s="153"/>
      <c r="BP2503" s="153"/>
      <c r="BQ2503" s="153"/>
      <c r="BR2503" s="153"/>
      <c r="BS2503" s="153"/>
      <c r="BT2503" s="153"/>
      <c r="BU2503" s="153"/>
      <c r="BV2503" s="153"/>
      <c r="BW2503" s="153"/>
      <c r="BX2503" s="153"/>
      <c r="BY2503" s="153"/>
      <c r="BZ2503" s="153"/>
      <c r="CA2503" s="152"/>
      <c r="CB2503" s="152"/>
    </row>
    <row r="2504" spans="1:80" s="87" customFormat="1" ht="15" x14ac:dyDescent="0.25">
      <c r="A2504" s="152"/>
      <c r="B2504" s="683"/>
      <c r="C2504" s="683"/>
      <c r="D2504" s="698"/>
      <c r="E2504" s="215"/>
      <c r="F2504" s="215"/>
      <c r="G2504" s="153"/>
      <c r="H2504" s="153"/>
      <c r="I2504" s="165">
        <v>18</v>
      </c>
      <c r="J2504" s="312">
        <v>30</v>
      </c>
      <c r="K2504" s="150">
        <v>1</v>
      </c>
      <c r="L2504" s="656">
        <v>9</v>
      </c>
      <c r="M2504" s="663">
        <v>34429</v>
      </c>
      <c r="N2504" s="600">
        <v>1.71858</v>
      </c>
      <c r="O2504" s="604">
        <v>1.4904000000000001E-2</v>
      </c>
      <c r="P2504" s="150"/>
      <c r="Q2504" s="250"/>
      <c r="R2504" s="250"/>
      <c r="S2504" s="250"/>
      <c r="T2504" s="250">
        <v>7.4999999999999997E-2</v>
      </c>
      <c r="U2504" s="250">
        <v>6.8000000000000005E-2</v>
      </c>
      <c r="V2504" s="250">
        <v>0.20424299999999998</v>
      </c>
      <c r="W2504" s="250">
        <v>0.46341499999999997</v>
      </c>
      <c r="X2504" s="250">
        <v>0.184755</v>
      </c>
      <c r="Y2504" s="250">
        <v>4.2680000000000001E-3</v>
      </c>
      <c r="Z2504" s="150"/>
      <c r="AA2504" s="150">
        <v>0.8</v>
      </c>
      <c r="AB2504" s="152"/>
      <c r="AC2504" s="152"/>
      <c r="AD2504" s="223">
        <v>12.49639</v>
      </c>
      <c r="AE2504" s="223">
        <v>0.31698159999999997</v>
      </c>
      <c r="AF2504" s="223">
        <v>3.9758632</v>
      </c>
      <c r="AG2504" s="223">
        <v>0.42975390000000002</v>
      </c>
      <c r="AH2504" s="341"/>
      <c r="AI2504" s="218"/>
      <c r="AJ2504" s="218"/>
      <c r="AK2504" s="153"/>
      <c r="AL2504" s="152"/>
      <c r="AM2504" s="152"/>
      <c r="AN2504" s="152"/>
      <c r="AO2504" s="152"/>
      <c r="AP2504" s="152"/>
      <c r="AQ2504" s="152"/>
      <c r="AR2504" s="152"/>
      <c r="AS2504" s="152"/>
      <c r="AT2504" s="152"/>
      <c r="AU2504" s="153"/>
      <c r="AV2504" s="479"/>
      <c r="AW2504" s="479"/>
      <c r="AX2504" s="442"/>
      <c r="AY2504" s="153"/>
      <c r="AZ2504" s="152"/>
      <c r="BA2504" s="152"/>
      <c r="BB2504" s="152"/>
      <c r="BC2504" s="152"/>
      <c r="BD2504" s="152"/>
      <c r="BE2504" s="152"/>
      <c r="BF2504" s="152"/>
      <c r="BG2504" s="152"/>
      <c r="BH2504" s="152"/>
      <c r="BI2504" s="153"/>
      <c r="BJ2504" s="153"/>
      <c r="BK2504" s="153"/>
      <c r="BL2504" s="153"/>
      <c r="BM2504" s="153"/>
      <c r="BN2504" s="153"/>
      <c r="BO2504" s="153"/>
      <c r="BP2504" s="153"/>
      <c r="BQ2504" s="153"/>
      <c r="BR2504" s="153"/>
      <c r="BS2504" s="153"/>
      <c r="BT2504" s="153"/>
      <c r="BU2504" s="153"/>
      <c r="BV2504" s="153"/>
      <c r="BW2504" s="153"/>
      <c r="BX2504" s="153"/>
      <c r="BY2504" s="153"/>
      <c r="BZ2504" s="153"/>
      <c r="CA2504" s="152"/>
      <c r="CB2504" s="152"/>
    </row>
    <row r="2505" spans="1:80" s="87" customFormat="1" ht="15" x14ac:dyDescent="0.25">
      <c r="A2505" s="152"/>
      <c r="B2505" s="683"/>
      <c r="C2505" s="683"/>
      <c r="D2505" s="698"/>
      <c r="E2505" s="215"/>
      <c r="F2505" s="215"/>
      <c r="G2505" s="153"/>
      <c r="H2505" s="153"/>
      <c r="I2505" s="165">
        <v>18</v>
      </c>
      <c r="J2505" s="312">
        <v>60</v>
      </c>
      <c r="K2505" s="150">
        <v>1</v>
      </c>
      <c r="L2505" s="656">
        <v>18</v>
      </c>
      <c r="M2505" s="663">
        <v>34429</v>
      </c>
      <c r="N2505" s="600">
        <v>1.71858</v>
      </c>
      <c r="O2505" s="604">
        <v>1.2179999999999999E-3</v>
      </c>
      <c r="P2505" s="150"/>
      <c r="Q2505" s="250"/>
      <c r="R2505" s="250"/>
      <c r="S2505" s="250"/>
      <c r="T2505" s="250">
        <v>1.6E-2</v>
      </c>
      <c r="U2505" s="250">
        <v>2.7000000000000003E-2</v>
      </c>
      <c r="V2505" s="250">
        <v>7.729599999999999E-2</v>
      </c>
      <c r="W2505" s="250">
        <v>0.38062299999999999</v>
      </c>
      <c r="X2505" s="250">
        <v>0.48197600000000002</v>
      </c>
      <c r="Y2505" s="250">
        <v>1.7575E-2</v>
      </c>
      <c r="Z2505" s="150"/>
      <c r="AA2505" s="150">
        <v>0.5</v>
      </c>
      <c r="AB2505" s="152"/>
      <c r="AC2505" s="152"/>
      <c r="AD2505" s="223">
        <v>12.49639</v>
      </c>
      <c r="AE2505" s="223">
        <v>0.31698159999999997</v>
      </c>
      <c r="AF2505" s="223">
        <v>3.9758632</v>
      </c>
      <c r="AG2505" s="223">
        <v>0.42975390000000002</v>
      </c>
      <c r="AH2505" s="341"/>
      <c r="AI2505" s="218"/>
      <c r="AJ2505" s="218"/>
      <c r="AK2505" s="153"/>
      <c r="AL2505" s="152"/>
      <c r="AM2505" s="152"/>
      <c r="AN2505" s="152"/>
      <c r="AO2505" s="152"/>
      <c r="AP2505" s="152"/>
      <c r="AQ2505" s="152"/>
      <c r="AR2505" s="152"/>
      <c r="AS2505" s="152"/>
      <c r="AT2505" s="152"/>
      <c r="AU2505" s="153"/>
      <c r="AV2505" s="479"/>
      <c r="AW2505" s="479"/>
      <c r="AX2505" s="442"/>
      <c r="AY2505" s="153"/>
      <c r="AZ2505" s="152"/>
      <c r="BA2505" s="152"/>
      <c r="BB2505" s="152"/>
      <c r="BC2505" s="152"/>
      <c r="BD2505" s="152"/>
      <c r="BE2505" s="152"/>
      <c r="BF2505" s="152"/>
      <c r="BG2505" s="152"/>
      <c r="BH2505" s="152"/>
      <c r="BI2505" s="153"/>
      <c r="BJ2505" s="153"/>
      <c r="BK2505" s="153"/>
      <c r="BL2505" s="153"/>
      <c r="BM2505" s="153"/>
      <c r="BN2505" s="153"/>
      <c r="BO2505" s="153"/>
      <c r="BP2505" s="153"/>
      <c r="BQ2505" s="153"/>
      <c r="BR2505" s="153"/>
      <c r="BS2505" s="153"/>
      <c r="BT2505" s="153"/>
      <c r="BU2505" s="153"/>
      <c r="BV2505" s="153"/>
      <c r="BW2505" s="153"/>
      <c r="BX2505" s="153"/>
      <c r="BY2505" s="153"/>
      <c r="BZ2505" s="153"/>
      <c r="CA2505" s="152"/>
      <c r="CB2505" s="152"/>
    </row>
    <row r="2506" spans="1:80" s="87" customFormat="1" ht="15" x14ac:dyDescent="0.25">
      <c r="A2506" s="152"/>
      <c r="B2506" s="683"/>
      <c r="C2506" s="683"/>
      <c r="D2506" s="698"/>
      <c r="E2506" s="215"/>
      <c r="F2506" s="215"/>
      <c r="G2506" s="153"/>
      <c r="H2506" s="153"/>
      <c r="I2506" s="165">
        <v>20</v>
      </c>
      <c r="J2506" s="312">
        <v>60</v>
      </c>
      <c r="K2506" s="150">
        <v>1</v>
      </c>
      <c r="L2506" s="656">
        <v>20</v>
      </c>
      <c r="M2506" s="663">
        <v>34446</v>
      </c>
      <c r="N2506" s="600">
        <v>6.6251699999999998</v>
      </c>
      <c r="O2506" s="604">
        <v>1.2699999999999999E-2</v>
      </c>
      <c r="P2506" s="150"/>
      <c r="Q2506" s="250"/>
      <c r="R2506" s="250"/>
      <c r="S2506" s="250"/>
      <c r="T2506" s="250">
        <v>3.6000000000000004E-2</v>
      </c>
      <c r="U2506" s="250">
        <v>0.111</v>
      </c>
      <c r="V2506" s="250">
        <v>0.30663799999999997</v>
      </c>
      <c r="W2506" s="250">
        <v>0.39626899999999998</v>
      </c>
      <c r="X2506" s="250">
        <v>0.14276</v>
      </c>
      <c r="Y2506" s="250">
        <v>7.2350000000000001E-3</v>
      </c>
      <c r="Z2506" s="150"/>
      <c r="AA2506" s="150">
        <v>0.92</v>
      </c>
      <c r="AB2506" s="152"/>
      <c r="AC2506" s="152"/>
      <c r="AD2506" s="223">
        <v>13.639353</v>
      </c>
      <c r="AE2506" s="223">
        <v>0.53033459999999999</v>
      </c>
      <c r="AF2506" s="223">
        <v>7.2178637999999999</v>
      </c>
      <c r="AG2506" s="223">
        <v>0.94180109999999995</v>
      </c>
      <c r="AH2506" s="341"/>
      <c r="AI2506" s="218"/>
      <c r="AJ2506" s="218"/>
      <c r="AK2506" s="153"/>
      <c r="AL2506" s="152"/>
      <c r="AM2506" s="152"/>
      <c r="AN2506" s="152"/>
      <c r="AO2506" s="152"/>
      <c r="AP2506" s="152"/>
      <c r="AQ2506" s="152"/>
      <c r="AR2506" s="152"/>
      <c r="AS2506" s="152"/>
      <c r="AT2506" s="152"/>
      <c r="AU2506" s="153"/>
      <c r="AV2506" s="479"/>
      <c r="AW2506" s="479"/>
      <c r="AX2506" s="442"/>
      <c r="AY2506" s="153"/>
      <c r="AZ2506" s="152"/>
      <c r="BA2506" s="152"/>
      <c r="BB2506" s="152"/>
      <c r="BC2506" s="152"/>
      <c r="BD2506" s="152"/>
      <c r="BE2506" s="152"/>
      <c r="BF2506" s="152"/>
      <c r="BG2506" s="152"/>
      <c r="BH2506" s="152"/>
      <c r="BI2506" s="153"/>
      <c r="BJ2506" s="153"/>
      <c r="BK2506" s="153"/>
      <c r="BL2506" s="153"/>
      <c r="BM2506" s="153"/>
      <c r="BN2506" s="153"/>
      <c r="BO2506" s="153"/>
      <c r="BP2506" s="153"/>
      <c r="BQ2506" s="153"/>
      <c r="BR2506" s="153"/>
      <c r="BS2506" s="153"/>
      <c r="BT2506" s="153"/>
      <c r="BU2506" s="153"/>
      <c r="BV2506" s="153"/>
      <c r="BW2506" s="153"/>
      <c r="BX2506" s="153"/>
      <c r="BY2506" s="153"/>
      <c r="BZ2506" s="153"/>
      <c r="CA2506" s="152"/>
      <c r="CB2506" s="152"/>
    </row>
    <row r="2507" spans="1:80" s="87" customFormat="1" ht="15" x14ac:dyDescent="0.25">
      <c r="A2507" s="152"/>
      <c r="B2507" s="683"/>
      <c r="C2507" s="683"/>
      <c r="D2507" s="698"/>
      <c r="E2507" s="215"/>
      <c r="F2507" s="215"/>
      <c r="G2507" s="153"/>
      <c r="H2507" s="153"/>
      <c r="I2507" s="165">
        <v>20</v>
      </c>
      <c r="J2507" s="312">
        <v>60</v>
      </c>
      <c r="K2507" s="150">
        <v>1</v>
      </c>
      <c r="L2507" s="656">
        <v>20</v>
      </c>
      <c r="M2507" s="663">
        <v>34446</v>
      </c>
      <c r="N2507" s="600">
        <v>6.6251699999999998</v>
      </c>
      <c r="O2507" s="604">
        <v>4.3556999999999998E-2</v>
      </c>
      <c r="P2507" s="150"/>
      <c r="Q2507" s="250"/>
      <c r="R2507" s="250"/>
      <c r="S2507" s="250">
        <v>8.5000000000000006E-2</v>
      </c>
      <c r="T2507" s="250">
        <v>0.13300000000000001</v>
      </c>
      <c r="U2507" s="250">
        <v>0.20399999999999999</v>
      </c>
      <c r="V2507" s="250">
        <v>0.28580899999999998</v>
      </c>
      <c r="W2507" s="250">
        <v>0.22136800000000001</v>
      </c>
      <c r="X2507" s="250">
        <v>6.5906999999999993E-2</v>
      </c>
      <c r="Y2507" s="250">
        <v>4.5850000000000005E-3</v>
      </c>
      <c r="Z2507" s="150"/>
      <c r="AA2507" s="150">
        <v>1.66</v>
      </c>
      <c r="AB2507" s="152"/>
      <c r="AC2507" s="152"/>
      <c r="AD2507" s="223">
        <v>13.639353</v>
      </c>
      <c r="AE2507" s="223">
        <v>0.53033459999999999</v>
      </c>
      <c r="AF2507" s="223">
        <v>7.2178637999999999</v>
      </c>
      <c r="AG2507" s="223">
        <v>0.94180109999999995</v>
      </c>
      <c r="AH2507" s="341"/>
      <c r="AI2507" s="218"/>
      <c r="AJ2507" s="218"/>
      <c r="AK2507" s="153"/>
      <c r="AL2507" s="152"/>
      <c r="AM2507" s="152"/>
      <c r="AN2507" s="152"/>
      <c r="AO2507" s="152"/>
      <c r="AP2507" s="152"/>
      <c r="AQ2507" s="152"/>
      <c r="AR2507" s="152"/>
      <c r="AS2507" s="152"/>
      <c r="AT2507" s="152"/>
      <c r="AU2507" s="153"/>
      <c r="AV2507" s="479"/>
      <c r="AW2507" s="479"/>
      <c r="AX2507" s="442"/>
      <c r="AY2507" s="153"/>
      <c r="AZ2507" s="152"/>
      <c r="BA2507" s="152"/>
      <c r="BB2507" s="152"/>
      <c r="BC2507" s="152"/>
      <c r="BD2507" s="152"/>
      <c r="BE2507" s="152"/>
      <c r="BF2507" s="152"/>
      <c r="BG2507" s="152"/>
      <c r="BH2507" s="152"/>
      <c r="BI2507" s="153"/>
      <c r="BJ2507" s="153"/>
      <c r="BK2507" s="153"/>
      <c r="BL2507" s="153"/>
      <c r="BM2507" s="153"/>
      <c r="BN2507" s="153"/>
      <c r="BO2507" s="153"/>
      <c r="BP2507" s="153"/>
      <c r="BQ2507" s="153"/>
      <c r="BR2507" s="153"/>
      <c r="BS2507" s="153"/>
      <c r="BT2507" s="153"/>
      <c r="BU2507" s="153"/>
      <c r="BV2507" s="153"/>
      <c r="BW2507" s="153"/>
      <c r="BX2507" s="153"/>
      <c r="BY2507" s="153"/>
      <c r="BZ2507" s="153"/>
      <c r="CA2507" s="152"/>
      <c r="CB2507" s="152"/>
    </row>
    <row r="2508" spans="1:80" s="87" customFormat="1" ht="15" x14ac:dyDescent="0.25">
      <c r="A2508" s="152"/>
      <c r="B2508" s="683"/>
      <c r="C2508" s="683"/>
      <c r="D2508" s="698"/>
      <c r="E2508" s="215"/>
      <c r="F2508" s="215"/>
      <c r="G2508" s="153"/>
      <c r="H2508" s="153"/>
      <c r="I2508" s="165">
        <v>20</v>
      </c>
      <c r="J2508" s="312">
        <v>60</v>
      </c>
      <c r="K2508" s="150">
        <v>1</v>
      </c>
      <c r="L2508" s="656">
        <v>20</v>
      </c>
      <c r="M2508" s="663">
        <v>34452</v>
      </c>
      <c r="N2508" s="600">
        <v>4.27522</v>
      </c>
      <c r="O2508" s="604">
        <v>3.6419999999999998E-3</v>
      </c>
      <c r="P2508" s="150"/>
      <c r="Q2508" s="250"/>
      <c r="R2508" s="250"/>
      <c r="S2508" s="250"/>
      <c r="T2508" s="250"/>
      <c r="U2508" s="250">
        <v>4.4999999999999998E-2</v>
      </c>
      <c r="V2508" s="250">
        <v>0.121184</v>
      </c>
      <c r="W2508" s="250">
        <v>0.35015000000000002</v>
      </c>
      <c r="X2508" s="250">
        <v>0.44204099999999996</v>
      </c>
      <c r="Y2508" s="250">
        <v>4.1195000000000002E-2</v>
      </c>
      <c r="Z2508" s="150"/>
      <c r="AA2508" s="150">
        <v>0.52</v>
      </c>
      <c r="AB2508" s="152"/>
      <c r="AC2508" s="152"/>
      <c r="AD2508" s="223">
        <v>13.71555</v>
      </c>
      <c r="AE2508" s="223">
        <v>0.47242450000000002</v>
      </c>
      <c r="AF2508" s="223">
        <v>6.4747117999999997</v>
      </c>
      <c r="AG2508" s="223">
        <v>0.66139429999999999</v>
      </c>
      <c r="AH2508" s="341"/>
      <c r="AI2508" s="218"/>
      <c r="AJ2508" s="218"/>
      <c r="AK2508" s="153"/>
      <c r="AL2508" s="152"/>
      <c r="AM2508" s="152"/>
      <c r="AN2508" s="152"/>
      <c r="AO2508" s="152"/>
      <c r="AP2508" s="152"/>
      <c r="AQ2508" s="152"/>
      <c r="AR2508" s="152"/>
      <c r="AS2508" s="152"/>
      <c r="AT2508" s="152"/>
      <c r="AU2508" s="153"/>
      <c r="AV2508" s="479"/>
      <c r="AW2508" s="479"/>
      <c r="AX2508" s="442"/>
      <c r="AY2508" s="153"/>
      <c r="AZ2508" s="152"/>
      <c r="BA2508" s="152"/>
      <c r="BB2508" s="152"/>
      <c r="BC2508" s="152"/>
      <c r="BD2508" s="152"/>
      <c r="BE2508" s="152"/>
      <c r="BF2508" s="152"/>
      <c r="BG2508" s="152"/>
      <c r="BH2508" s="152"/>
      <c r="BI2508" s="153"/>
      <c r="BJ2508" s="153"/>
      <c r="BK2508" s="153"/>
      <c r="BL2508" s="153"/>
      <c r="BM2508" s="153"/>
      <c r="BN2508" s="153"/>
      <c r="BO2508" s="153"/>
      <c r="BP2508" s="153"/>
      <c r="BQ2508" s="153"/>
      <c r="BR2508" s="153"/>
      <c r="BS2508" s="153"/>
      <c r="BT2508" s="153"/>
      <c r="BU2508" s="153"/>
      <c r="BV2508" s="153"/>
      <c r="BW2508" s="153"/>
      <c r="BX2508" s="153"/>
      <c r="BY2508" s="153"/>
      <c r="BZ2508" s="153"/>
      <c r="CA2508" s="152"/>
      <c r="CB2508" s="152"/>
    </row>
    <row r="2509" spans="1:80" s="87" customFormat="1" ht="15" x14ac:dyDescent="0.25">
      <c r="A2509" s="152"/>
      <c r="B2509" s="683"/>
      <c r="C2509" s="683"/>
      <c r="D2509" s="698"/>
      <c r="E2509" s="215"/>
      <c r="F2509" s="215"/>
      <c r="G2509" s="153"/>
      <c r="H2509" s="153"/>
      <c r="I2509" s="165">
        <v>20</v>
      </c>
      <c r="J2509" s="312">
        <v>60</v>
      </c>
      <c r="K2509" s="150">
        <v>1</v>
      </c>
      <c r="L2509" s="656">
        <v>20</v>
      </c>
      <c r="M2509" s="663">
        <v>34452</v>
      </c>
      <c r="N2509" s="600">
        <v>4.27522</v>
      </c>
      <c r="O2509" s="604">
        <v>3.9880000000000002E-3</v>
      </c>
      <c r="P2509" s="150"/>
      <c r="Q2509" s="250"/>
      <c r="R2509" s="250"/>
      <c r="S2509" s="250"/>
      <c r="T2509" s="250">
        <v>6.9999999999999993E-3</v>
      </c>
      <c r="U2509" s="250">
        <v>4.4000000000000004E-2</v>
      </c>
      <c r="V2509" s="250">
        <v>0.16634299999999999</v>
      </c>
      <c r="W2509" s="250">
        <v>0.37472</v>
      </c>
      <c r="X2509" s="250">
        <v>0.37658400000000003</v>
      </c>
      <c r="Y2509" s="250">
        <v>3.1321000000000002E-2</v>
      </c>
      <c r="Z2509" s="150"/>
      <c r="AA2509" s="150">
        <v>0.59</v>
      </c>
      <c r="AB2509" s="152"/>
      <c r="AC2509" s="152"/>
      <c r="AD2509" s="223">
        <v>13.71555</v>
      </c>
      <c r="AE2509" s="223">
        <v>0.47242450000000002</v>
      </c>
      <c r="AF2509" s="223">
        <v>6.4747117999999997</v>
      </c>
      <c r="AG2509" s="223">
        <v>0.66139429999999999</v>
      </c>
      <c r="AH2509" s="341"/>
      <c r="AI2509" s="218"/>
      <c r="AJ2509" s="218"/>
      <c r="AK2509" s="153"/>
      <c r="AL2509" s="152"/>
      <c r="AM2509" s="152"/>
      <c r="AN2509" s="152"/>
      <c r="AO2509" s="152"/>
      <c r="AP2509" s="152"/>
      <c r="AQ2509" s="152"/>
      <c r="AR2509" s="152"/>
      <c r="AS2509" s="152"/>
      <c r="AT2509" s="152"/>
      <c r="AU2509" s="153"/>
      <c r="AV2509" s="479"/>
      <c r="AW2509" s="479"/>
      <c r="AX2509" s="442"/>
      <c r="AY2509" s="153"/>
      <c r="AZ2509" s="152"/>
      <c r="BA2509" s="152"/>
      <c r="BB2509" s="152"/>
      <c r="BC2509" s="152"/>
      <c r="BD2509" s="152"/>
      <c r="BE2509" s="152"/>
      <c r="BF2509" s="152"/>
      <c r="BG2509" s="152"/>
      <c r="BH2509" s="152"/>
      <c r="BI2509" s="153"/>
      <c r="BJ2509" s="153"/>
      <c r="BK2509" s="153"/>
      <c r="BL2509" s="153"/>
      <c r="BM2509" s="153"/>
      <c r="BN2509" s="153"/>
      <c r="BO2509" s="153"/>
      <c r="BP2509" s="153"/>
      <c r="BQ2509" s="153"/>
      <c r="BR2509" s="153"/>
      <c r="BS2509" s="153"/>
      <c r="BT2509" s="153"/>
      <c r="BU2509" s="153"/>
      <c r="BV2509" s="153"/>
      <c r="BW2509" s="153"/>
      <c r="BX2509" s="153"/>
      <c r="BY2509" s="153"/>
      <c r="BZ2509" s="153"/>
      <c r="CA2509" s="152"/>
      <c r="CB2509" s="152"/>
    </row>
    <row r="2510" spans="1:80" s="87" customFormat="1" ht="15" x14ac:dyDescent="0.25">
      <c r="A2510" s="152"/>
      <c r="B2510" s="683"/>
      <c r="C2510" s="683"/>
      <c r="D2510" s="698"/>
      <c r="E2510" s="215"/>
      <c r="F2510" s="215"/>
      <c r="G2510" s="153"/>
      <c r="H2510" s="153"/>
      <c r="I2510" s="165">
        <v>20</v>
      </c>
      <c r="J2510" s="312">
        <v>60</v>
      </c>
      <c r="K2510" s="150">
        <v>1</v>
      </c>
      <c r="L2510" s="656">
        <v>20</v>
      </c>
      <c r="M2510" s="663">
        <v>34458</v>
      </c>
      <c r="N2510" s="600">
        <v>4.0487200000000003</v>
      </c>
      <c r="O2510" s="604">
        <v>2.5820000000000001E-3</v>
      </c>
      <c r="P2510" s="150"/>
      <c r="Q2510" s="250"/>
      <c r="R2510" s="250"/>
      <c r="S2510" s="250"/>
      <c r="T2510" s="250">
        <v>0.02</v>
      </c>
      <c r="U2510" s="250">
        <v>0.14000000000000001</v>
      </c>
      <c r="V2510" s="250">
        <v>0.27732800000000002</v>
      </c>
      <c r="W2510" s="250">
        <v>0.36461700000000002</v>
      </c>
      <c r="X2510" s="250">
        <v>0.191029</v>
      </c>
      <c r="Y2510" s="250">
        <v>7.3969999999999999E-3</v>
      </c>
      <c r="Z2510" s="150"/>
      <c r="AA2510" s="150">
        <v>0.89</v>
      </c>
      <c r="AB2510" s="152"/>
      <c r="AC2510" s="152"/>
      <c r="AD2510" s="223">
        <v>13.624112999999999</v>
      </c>
      <c r="AE2510" s="223">
        <v>0.48461609999999999</v>
      </c>
      <c r="AF2510" s="223">
        <v>6.5954740000000003</v>
      </c>
      <c r="AG2510" s="223">
        <v>0.64005900000000004</v>
      </c>
      <c r="AH2510" s="341"/>
      <c r="AI2510" s="218"/>
      <c r="AJ2510" s="218"/>
      <c r="AK2510" s="153"/>
      <c r="AL2510" s="152"/>
      <c r="AM2510" s="152"/>
      <c r="AN2510" s="152"/>
      <c r="AO2510" s="152"/>
      <c r="AP2510" s="152"/>
      <c r="AQ2510" s="152"/>
      <c r="AR2510" s="152"/>
      <c r="AS2510" s="152"/>
      <c r="AT2510" s="152"/>
      <c r="AU2510" s="153"/>
      <c r="AV2510" s="479"/>
      <c r="AW2510" s="479"/>
      <c r="AX2510" s="442"/>
      <c r="AY2510" s="153"/>
      <c r="AZ2510" s="152"/>
      <c r="BA2510" s="152"/>
      <c r="BB2510" s="152"/>
      <c r="BC2510" s="152"/>
      <c r="BD2510" s="152"/>
      <c r="BE2510" s="152"/>
      <c r="BF2510" s="152"/>
      <c r="BG2510" s="152"/>
      <c r="BH2510" s="152"/>
      <c r="BI2510" s="153"/>
      <c r="BJ2510" s="153"/>
      <c r="BK2510" s="153"/>
      <c r="BL2510" s="153"/>
      <c r="BM2510" s="153"/>
      <c r="BN2510" s="153"/>
      <c r="BO2510" s="153"/>
      <c r="BP2510" s="153"/>
      <c r="BQ2510" s="153"/>
      <c r="BR2510" s="153"/>
      <c r="BS2510" s="153"/>
      <c r="BT2510" s="153"/>
      <c r="BU2510" s="153"/>
      <c r="BV2510" s="153"/>
      <c r="BW2510" s="153"/>
      <c r="BX2510" s="153"/>
      <c r="BY2510" s="153"/>
      <c r="BZ2510" s="153"/>
      <c r="CA2510" s="152"/>
      <c r="CB2510" s="152"/>
    </row>
    <row r="2511" spans="1:80" s="87" customFormat="1" ht="15" x14ac:dyDescent="0.25">
      <c r="A2511" s="152"/>
      <c r="B2511" s="683"/>
      <c r="C2511" s="683"/>
      <c r="D2511" s="698"/>
      <c r="E2511" s="215"/>
      <c r="F2511" s="215"/>
      <c r="G2511" s="153"/>
      <c r="H2511" s="153"/>
      <c r="I2511" s="165">
        <v>20</v>
      </c>
      <c r="J2511" s="312">
        <v>60</v>
      </c>
      <c r="K2511" s="150">
        <v>1</v>
      </c>
      <c r="L2511" s="656">
        <v>20</v>
      </c>
      <c r="M2511" s="663">
        <v>34458</v>
      </c>
      <c r="N2511" s="600">
        <v>4.0487200000000003</v>
      </c>
      <c r="O2511" s="604">
        <v>1.7420000000000001E-3</v>
      </c>
      <c r="P2511" s="150"/>
      <c r="Q2511" s="250"/>
      <c r="R2511" s="250"/>
      <c r="S2511" s="250"/>
      <c r="T2511" s="250"/>
      <c r="U2511" s="250">
        <v>7.0999999999999994E-2</v>
      </c>
      <c r="V2511" s="250">
        <v>0.22006900000000001</v>
      </c>
      <c r="W2511" s="250">
        <v>0.40697199999999994</v>
      </c>
      <c r="X2511" s="250">
        <v>0.28100200000000003</v>
      </c>
      <c r="Y2511" s="250">
        <v>2.0872000000000002E-2</v>
      </c>
      <c r="Z2511" s="150"/>
      <c r="AA2511" s="150">
        <v>0.7</v>
      </c>
      <c r="AB2511" s="152"/>
      <c r="AC2511" s="152"/>
      <c r="AD2511" s="223">
        <v>13.624112999999999</v>
      </c>
      <c r="AE2511" s="223">
        <v>0.48461609999999999</v>
      </c>
      <c r="AF2511" s="223">
        <v>6.5954740000000003</v>
      </c>
      <c r="AG2511" s="223">
        <v>0.64005900000000004</v>
      </c>
      <c r="AH2511" s="341"/>
      <c r="AI2511" s="218"/>
      <c r="AJ2511" s="218"/>
      <c r="AK2511" s="153"/>
      <c r="AL2511" s="152"/>
      <c r="AM2511" s="152"/>
      <c r="AN2511" s="152"/>
      <c r="AO2511" s="152"/>
      <c r="AP2511" s="152"/>
      <c r="AQ2511" s="152"/>
      <c r="AR2511" s="152"/>
      <c r="AS2511" s="152"/>
      <c r="AT2511" s="152"/>
      <c r="AU2511" s="153"/>
      <c r="AV2511" s="479"/>
      <c r="AW2511" s="479"/>
      <c r="AX2511" s="442"/>
      <c r="AY2511" s="153"/>
      <c r="AZ2511" s="152"/>
      <c r="BA2511" s="152"/>
      <c r="BB2511" s="152"/>
      <c r="BC2511" s="152"/>
      <c r="BD2511" s="152"/>
      <c r="BE2511" s="152"/>
      <c r="BF2511" s="152"/>
      <c r="BG2511" s="152"/>
      <c r="BH2511" s="152"/>
      <c r="BI2511" s="153"/>
      <c r="BJ2511" s="153"/>
      <c r="BK2511" s="153"/>
      <c r="BL2511" s="153"/>
      <c r="BM2511" s="153"/>
      <c r="BN2511" s="153"/>
      <c r="BO2511" s="153"/>
      <c r="BP2511" s="153"/>
      <c r="BQ2511" s="153"/>
      <c r="BR2511" s="153"/>
      <c r="BS2511" s="153"/>
      <c r="BT2511" s="153"/>
      <c r="BU2511" s="153"/>
      <c r="BV2511" s="153"/>
      <c r="BW2511" s="153"/>
      <c r="BX2511" s="153"/>
      <c r="BY2511" s="153"/>
      <c r="BZ2511" s="153"/>
      <c r="CA2511" s="152"/>
      <c r="CB2511" s="152"/>
    </row>
    <row r="2512" spans="1:80" s="87" customFormat="1" ht="15" x14ac:dyDescent="0.25">
      <c r="A2512" s="152"/>
      <c r="B2512" s="683"/>
      <c r="C2512" s="683"/>
      <c r="D2512" s="698"/>
      <c r="E2512" s="215"/>
      <c r="F2512" s="215"/>
      <c r="G2512" s="153"/>
      <c r="H2512" s="153"/>
      <c r="I2512" s="165">
        <v>20</v>
      </c>
      <c r="J2512" s="312">
        <v>60</v>
      </c>
      <c r="K2512" s="150">
        <v>1</v>
      </c>
      <c r="L2512" s="656">
        <v>20</v>
      </c>
      <c r="M2512" s="663">
        <v>34463</v>
      </c>
      <c r="N2512" s="600">
        <v>6.7101100000000002</v>
      </c>
      <c r="O2512" s="604">
        <v>5.143E-3</v>
      </c>
      <c r="P2512" s="150"/>
      <c r="Q2512" s="250"/>
      <c r="R2512" s="250"/>
      <c r="S2512" s="250"/>
      <c r="T2512" s="250">
        <v>5.0000000000000001E-3</v>
      </c>
      <c r="U2512" s="250">
        <v>5.2999999999999999E-2</v>
      </c>
      <c r="V2512" s="250">
        <v>0.171235</v>
      </c>
      <c r="W2512" s="250">
        <v>0.38096099999999999</v>
      </c>
      <c r="X2512" s="250">
        <v>0.349775</v>
      </c>
      <c r="Y2512" s="250">
        <v>4.0933999999999998E-2</v>
      </c>
      <c r="Z2512" s="150"/>
      <c r="AA2512" s="150">
        <v>0.61</v>
      </c>
      <c r="AB2512" s="152"/>
      <c r="AC2512" s="152"/>
      <c r="AD2512" s="223">
        <v>13.502197000000001</v>
      </c>
      <c r="AE2512" s="223">
        <v>0.56081360000000002</v>
      </c>
      <c r="AF2512" s="223">
        <v>7.5810793399999996</v>
      </c>
      <c r="AG2512" s="223">
        <v>0.86560360000000003</v>
      </c>
      <c r="AH2512" s="341"/>
      <c r="AI2512" s="218"/>
      <c r="AJ2512" s="218"/>
      <c r="AK2512" s="153"/>
      <c r="AL2512" s="152"/>
      <c r="AM2512" s="152"/>
      <c r="AN2512" s="152"/>
      <c r="AO2512" s="152"/>
      <c r="AP2512" s="152"/>
      <c r="AQ2512" s="152"/>
      <c r="AR2512" s="152"/>
      <c r="AS2512" s="152"/>
      <c r="AT2512" s="152"/>
      <c r="AU2512" s="153"/>
      <c r="AV2512" s="479"/>
      <c r="AW2512" s="479"/>
      <c r="AX2512" s="442"/>
      <c r="AY2512" s="153"/>
      <c r="AZ2512" s="152"/>
      <c r="BA2512" s="152"/>
      <c r="BB2512" s="152"/>
      <c r="BC2512" s="152"/>
      <c r="BD2512" s="152"/>
      <c r="BE2512" s="152"/>
      <c r="BF2512" s="152"/>
      <c r="BG2512" s="152"/>
      <c r="BH2512" s="152"/>
      <c r="BI2512" s="153"/>
      <c r="BJ2512" s="153"/>
      <c r="BK2512" s="153"/>
      <c r="BL2512" s="153"/>
      <c r="BM2512" s="153"/>
      <c r="BN2512" s="153"/>
      <c r="BO2512" s="153"/>
      <c r="BP2512" s="153"/>
      <c r="BQ2512" s="153"/>
      <c r="BR2512" s="153"/>
      <c r="BS2512" s="153"/>
      <c r="BT2512" s="153"/>
      <c r="BU2512" s="153"/>
      <c r="BV2512" s="153"/>
      <c r="BW2512" s="153"/>
      <c r="BX2512" s="153"/>
      <c r="BY2512" s="153"/>
      <c r="BZ2512" s="153"/>
      <c r="CA2512" s="152"/>
      <c r="CB2512" s="152"/>
    </row>
    <row r="2513" spans="1:80" s="87" customFormat="1" ht="15" x14ac:dyDescent="0.25">
      <c r="A2513" s="152"/>
      <c r="B2513" s="683"/>
      <c r="C2513" s="683"/>
      <c r="D2513" s="698"/>
      <c r="E2513" s="215"/>
      <c r="F2513" s="215"/>
      <c r="G2513" s="153"/>
      <c r="H2513" s="153"/>
      <c r="I2513" s="165">
        <v>20</v>
      </c>
      <c r="J2513" s="312">
        <v>60</v>
      </c>
      <c r="K2513" s="150">
        <v>1</v>
      </c>
      <c r="L2513" s="656">
        <v>20</v>
      </c>
      <c r="M2513" s="663">
        <v>34463</v>
      </c>
      <c r="N2513" s="600">
        <v>6.7101100000000002</v>
      </c>
      <c r="O2513" s="604">
        <v>6.9899999999999997E-3</v>
      </c>
      <c r="P2513" s="150"/>
      <c r="Q2513" s="250"/>
      <c r="R2513" s="250"/>
      <c r="S2513" s="250">
        <v>0.19800000000000001</v>
      </c>
      <c r="T2513" s="250">
        <v>2.7999999999999997E-2</v>
      </c>
      <c r="U2513" s="250">
        <v>9.6999999999999989E-2</v>
      </c>
      <c r="V2513" s="250">
        <v>0.17658300000000002</v>
      </c>
      <c r="W2513" s="250">
        <v>0.26713100000000001</v>
      </c>
      <c r="X2513" s="250">
        <v>0.216192</v>
      </c>
      <c r="Y2513" s="250">
        <v>1.7358999999999999E-2</v>
      </c>
      <c r="Z2513" s="150"/>
      <c r="AA2513" s="150">
        <v>1</v>
      </c>
      <c r="AB2513" s="152"/>
      <c r="AC2513" s="152"/>
      <c r="AD2513" s="223">
        <v>13.502197000000001</v>
      </c>
      <c r="AE2513" s="223">
        <v>0.56081360000000002</v>
      </c>
      <c r="AF2513" s="223">
        <v>7.5810793399999996</v>
      </c>
      <c r="AG2513" s="223">
        <v>0.86560360000000003</v>
      </c>
      <c r="AH2513" s="341"/>
      <c r="AI2513" s="218"/>
      <c r="AJ2513" s="218"/>
      <c r="AK2513" s="153"/>
      <c r="AL2513" s="152"/>
      <c r="AM2513" s="152"/>
      <c r="AN2513" s="152"/>
      <c r="AO2513" s="152"/>
      <c r="AP2513" s="152"/>
      <c r="AQ2513" s="152"/>
      <c r="AR2513" s="152"/>
      <c r="AS2513" s="152"/>
      <c r="AT2513" s="152"/>
      <c r="AU2513" s="153"/>
      <c r="AV2513" s="479"/>
      <c r="AW2513" s="479"/>
      <c r="AX2513" s="442"/>
      <c r="AY2513" s="153"/>
      <c r="AZ2513" s="152"/>
      <c r="BA2513" s="152"/>
      <c r="BB2513" s="152"/>
      <c r="BC2513" s="152"/>
      <c r="BD2513" s="152"/>
      <c r="BE2513" s="152"/>
      <c r="BF2513" s="152"/>
      <c r="BG2513" s="152"/>
      <c r="BH2513" s="152"/>
      <c r="BI2513" s="153"/>
      <c r="BJ2513" s="153"/>
      <c r="BK2513" s="153"/>
      <c r="BL2513" s="153"/>
      <c r="BM2513" s="153"/>
      <c r="BN2513" s="153"/>
      <c r="BO2513" s="153"/>
      <c r="BP2513" s="153"/>
      <c r="BQ2513" s="153"/>
      <c r="BR2513" s="153"/>
      <c r="BS2513" s="153"/>
      <c r="BT2513" s="153"/>
      <c r="BU2513" s="153"/>
      <c r="BV2513" s="153"/>
      <c r="BW2513" s="153"/>
      <c r="BX2513" s="153"/>
      <c r="BY2513" s="153"/>
      <c r="BZ2513" s="153"/>
      <c r="CA2513" s="152"/>
      <c r="CB2513" s="152"/>
    </row>
    <row r="2514" spans="1:80" s="87" customFormat="1" ht="15" x14ac:dyDescent="0.25">
      <c r="A2514" s="152"/>
      <c r="B2514" s="683"/>
      <c r="C2514" s="683"/>
      <c r="D2514" s="698"/>
      <c r="E2514" s="215"/>
      <c r="F2514" s="215"/>
      <c r="G2514" s="153"/>
      <c r="H2514" s="153"/>
      <c r="I2514" s="165">
        <v>20</v>
      </c>
      <c r="J2514" s="312">
        <v>60</v>
      </c>
      <c r="K2514" s="150">
        <v>1</v>
      </c>
      <c r="L2514" s="656">
        <v>20</v>
      </c>
      <c r="M2514" s="663">
        <v>34466</v>
      </c>
      <c r="N2514" s="600">
        <v>8.4938099999999999</v>
      </c>
      <c r="O2514" s="604">
        <v>2.3196000000000001E-2</v>
      </c>
      <c r="P2514" s="150"/>
      <c r="Q2514" s="250"/>
      <c r="R2514" s="250"/>
      <c r="S2514" s="250">
        <v>9.6000000000000002E-2</v>
      </c>
      <c r="T2514" s="250">
        <v>6.5000000000000002E-2</v>
      </c>
      <c r="U2514" s="250">
        <v>0.10800000000000001</v>
      </c>
      <c r="V2514" s="250">
        <v>0.170989</v>
      </c>
      <c r="W2514" s="250">
        <v>0.29259300000000005</v>
      </c>
      <c r="X2514" s="250">
        <v>0.26241900000000001</v>
      </c>
      <c r="Y2514" s="250">
        <v>5.3080000000000002E-3</v>
      </c>
      <c r="Z2514" s="150"/>
      <c r="AA2514" s="150">
        <v>0.87</v>
      </c>
      <c r="AB2514" s="152"/>
      <c r="AC2514" s="152"/>
      <c r="AD2514" s="223">
        <v>13.71555</v>
      </c>
      <c r="AE2514" s="223">
        <v>0.59129259999999995</v>
      </c>
      <c r="AF2514" s="223">
        <v>8.1282250000000005</v>
      </c>
      <c r="AG2514" s="223">
        <v>1.0911481999999999</v>
      </c>
      <c r="AH2514" s="341"/>
      <c r="AI2514" s="218"/>
      <c r="AJ2514" s="218"/>
      <c r="AK2514" s="153"/>
      <c r="AL2514" s="152"/>
      <c r="AM2514" s="152"/>
      <c r="AN2514" s="152"/>
      <c r="AO2514" s="152"/>
      <c r="AP2514" s="152"/>
      <c r="AQ2514" s="152"/>
      <c r="AR2514" s="152"/>
      <c r="AS2514" s="152"/>
      <c r="AT2514" s="152"/>
      <c r="AU2514" s="153"/>
      <c r="AV2514" s="479"/>
      <c r="AW2514" s="479"/>
      <c r="AX2514" s="442"/>
      <c r="AY2514" s="153"/>
      <c r="AZ2514" s="152"/>
      <c r="BA2514" s="152"/>
      <c r="BB2514" s="152"/>
      <c r="BC2514" s="152"/>
      <c r="BD2514" s="152"/>
      <c r="BE2514" s="152"/>
      <c r="BF2514" s="152"/>
      <c r="BG2514" s="152"/>
      <c r="BH2514" s="152"/>
      <c r="BI2514" s="153"/>
      <c r="BJ2514" s="153"/>
      <c r="BK2514" s="153"/>
      <c r="BL2514" s="153"/>
      <c r="BM2514" s="153"/>
      <c r="BN2514" s="153"/>
      <c r="BO2514" s="153"/>
      <c r="BP2514" s="153"/>
      <c r="BQ2514" s="153"/>
      <c r="BR2514" s="153"/>
      <c r="BS2514" s="153"/>
      <c r="BT2514" s="153"/>
      <c r="BU2514" s="153"/>
      <c r="BV2514" s="153"/>
      <c r="BW2514" s="153"/>
      <c r="BX2514" s="153"/>
      <c r="BY2514" s="153"/>
      <c r="BZ2514" s="153"/>
      <c r="CA2514" s="152"/>
      <c r="CB2514" s="152"/>
    </row>
    <row r="2515" spans="1:80" s="87" customFormat="1" ht="15" x14ac:dyDescent="0.25">
      <c r="A2515" s="152"/>
      <c r="B2515" s="683"/>
      <c r="C2515" s="683"/>
      <c r="D2515" s="698"/>
      <c r="E2515" s="215"/>
      <c r="F2515" s="215"/>
      <c r="G2515" s="153"/>
      <c r="H2515" s="153"/>
      <c r="I2515" s="165">
        <v>19</v>
      </c>
      <c r="J2515" s="312">
        <v>60</v>
      </c>
      <c r="K2515" s="150">
        <v>1</v>
      </c>
      <c r="L2515" s="656">
        <v>19</v>
      </c>
      <c r="M2515" s="663">
        <v>34466</v>
      </c>
      <c r="N2515" s="600">
        <v>8.4938099999999999</v>
      </c>
      <c r="O2515" s="604">
        <v>1.0496E-2</v>
      </c>
      <c r="P2515" s="150"/>
      <c r="Q2515" s="250"/>
      <c r="R2515" s="250"/>
      <c r="S2515" s="250"/>
      <c r="T2515" s="250">
        <v>1.7000000000000001E-2</v>
      </c>
      <c r="U2515" s="250">
        <v>7.0999999999999994E-2</v>
      </c>
      <c r="V2515" s="250">
        <v>0.197626</v>
      </c>
      <c r="W2515" s="250">
        <v>0.40866299999999994</v>
      </c>
      <c r="X2515" s="250">
        <v>0.29498200000000002</v>
      </c>
      <c r="Y2515" s="250">
        <v>1.0224E-2</v>
      </c>
      <c r="Z2515" s="150"/>
      <c r="AA2515" s="150">
        <v>0.7</v>
      </c>
      <c r="AB2515" s="152"/>
      <c r="AC2515" s="152"/>
      <c r="AD2515" s="223">
        <v>13.71555</v>
      </c>
      <c r="AE2515" s="223">
        <v>0.59129259999999995</v>
      </c>
      <c r="AF2515" s="223">
        <v>8.1282250000000005</v>
      </c>
      <c r="AG2515" s="223">
        <v>1.0911481999999999</v>
      </c>
      <c r="AH2515" s="341"/>
      <c r="AI2515" s="218"/>
      <c r="AJ2515" s="218"/>
      <c r="AK2515" s="153"/>
      <c r="AL2515" s="152"/>
      <c r="AM2515" s="152"/>
      <c r="AN2515" s="152"/>
      <c r="AO2515" s="152"/>
      <c r="AP2515" s="152"/>
      <c r="AQ2515" s="152"/>
      <c r="AR2515" s="152"/>
      <c r="AS2515" s="152"/>
      <c r="AT2515" s="152"/>
      <c r="AU2515" s="153"/>
      <c r="AV2515" s="479"/>
      <c r="AW2515" s="479"/>
      <c r="AX2515" s="442"/>
      <c r="AY2515" s="153"/>
      <c r="AZ2515" s="152"/>
      <c r="BA2515" s="152"/>
      <c r="BB2515" s="152"/>
      <c r="BC2515" s="152"/>
      <c r="BD2515" s="152"/>
      <c r="BE2515" s="152"/>
      <c r="BF2515" s="152"/>
      <c r="BG2515" s="152"/>
      <c r="BH2515" s="152"/>
      <c r="BI2515" s="153"/>
      <c r="BJ2515" s="153"/>
      <c r="BK2515" s="153"/>
      <c r="BL2515" s="153"/>
      <c r="BM2515" s="153"/>
      <c r="BN2515" s="153"/>
      <c r="BO2515" s="153"/>
      <c r="BP2515" s="153"/>
      <c r="BQ2515" s="153"/>
      <c r="BR2515" s="153"/>
      <c r="BS2515" s="153"/>
      <c r="BT2515" s="153"/>
      <c r="BU2515" s="153"/>
      <c r="BV2515" s="153"/>
      <c r="BW2515" s="153"/>
      <c r="BX2515" s="153"/>
      <c r="BY2515" s="153"/>
      <c r="BZ2515" s="153"/>
      <c r="CA2515" s="152"/>
      <c r="CB2515" s="152"/>
    </row>
    <row r="2516" spans="1:80" s="87" customFormat="1" ht="15" x14ac:dyDescent="0.25">
      <c r="A2516" s="152"/>
      <c r="B2516" s="683"/>
      <c r="C2516" s="683"/>
      <c r="D2516" s="698"/>
      <c r="E2516" s="215"/>
      <c r="F2516" s="215"/>
      <c r="G2516" s="153"/>
      <c r="H2516" s="153"/>
      <c r="I2516" s="165">
        <v>18</v>
      </c>
      <c r="J2516" s="312">
        <v>60</v>
      </c>
      <c r="K2516" s="150">
        <v>1</v>
      </c>
      <c r="L2516" s="656">
        <v>18</v>
      </c>
      <c r="M2516" s="663">
        <v>34472</v>
      </c>
      <c r="N2516" s="600">
        <v>5.5776000000000003</v>
      </c>
      <c r="O2516" s="604">
        <v>2.4559999999999998E-3</v>
      </c>
      <c r="P2516" s="150"/>
      <c r="Q2516" s="250"/>
      <c r="R2516" s="250"/>
      <c r="S2516" s="250"/>
      <c r="T2516" s="250"/>
      <c r="U2516" s="250">
        <v>1.9E-2</v>
      </c>
      <c r="V2516" s="250">
        <v>0.17927099999999999</v>
      </c>
      <c r="W2516" s="250">
        <v>0.44147199999999998</v>
      </c>
      <c r="X2516" s="250">
        <v>0.34454200000000001</v>
      </c>
      <c r="Y2516" s="250">
        <v>1.5552E-2</v>
      </c>
      <c r="Z2516" s="150"/>
      <c r="AA2516" s="150">
        <v>0.62</v>
      </c>
      <c r="AB2516" s="152"/>
      <c r="AC2516" s="152"/>
      <c r="AD2516" s="223">
        <v>13.71555</v>
      </c>
      <c r="AE2516" s="223">
        <v>0.50899930000000004</v>
      </c>
      <c r="AF2516" s="223">
        <v>6.9670500000000004</v>
      </c>
      <c r="AG2516" s="223">
        <v>0.8320767</v>
      </c>
      <c r="AH2516" s="341"/>
      <c r="AI2516" s="218"/>
      <c r="AJ2516" s="218"/>
      <c r="AK2516" s="153"/>
      <c r="AL2516" s="152"/>
      <c r="AM2516" s="152"/>
      <c r="AN2516" s="152"/>
      <c r="AO2516" s="152"/>
      <c r="AP2516" s="152"/>
      <c r="AQ2516" s="152"/>
      <c r="AR2516" s="152"/>
      <c r="AS2516" s="152"/>
      <c r="AT2516" s="152"/>
      <c r="AU2516" s="153"/>
      <c r="AV2516" s="479"/>
      <c r="AW2516" s="479"/>
      <c r="AX2516" s="442"/>
      <c r="AY2516" s="153"/>
      <c r="AZ2516" s="152"/>
      <c r="BA2516" s="152"/>
      <c r="BB2516" s="152"/>
      <c r="BC2516" s="152"/>
      <c r="BD2516" s="152"/>
      <c r="BE2516" s="152"/>
      <c r="BF2516" s="152"/>
      <c r="BG2516" s="152"/>
      <c r="BH2516" s="152"/>
      <c r="BI2516" s="153"/>
      <c r="BJ2516" s="153"/>
      <c r="BK2516" s="153"/>
      <c r="BL2516" s="153"/>
      <c r="BM2516" s="153"/>
      <c r="BN2516" s="153"/>
      <c r="BO2516" s="153"/>
      <c r="BP2516" s="153"/>
      <c r="BQ2516" s="153"/>
      <c r="BR2516" s="153"/>
      <c r="BS2516" s="153"/>
      <c r="BT2516" s="153"/>
      <c r="BU2516" s="153"/>
      <c r="BV2516" s="153"/>
      <c r="BW2516" s="153"/>
      <c r="BX2516" s="153"/>
      <c r="BY2516" s="153"/>
      <c r="BZ2516" s="153"/>
      <c r="CA2516" s="152"/>
      <c r="CB2516" s="152"/>
    </row>
    <row r="2517" spans="1:80" s="87" customFormat="1" ht="15" x14ac:dyDescent="0.25">
      <c r="A2517" s="152"/>
      <c r="B2517" s="683"/>
      <c r="C2517" s="683"/>
      <c r="D2517" s="698"/>
      <c r="E2517" s="215"/>
      <c r="F2517" s="215"/>
      <c r="G2517" s="153"/>
      <c r="H2517" s="153"/>
      <c r="I2517" s="165">
        <v>18</v>
      </c>
      <c r="J2517" s="312">
        <v>60</v>
      </c>
      <c r="K2517" s="150">
        <v>1</v>
      </c>
      <c r="L2517" s="656">
        <v>18</v>
      </c>
      <c r="M2517" s="663">
        <v>34472</v>
      </c>
      <c r="N2517" s="600">
        <v>5.5776000000000003</v>
      </c>
      <c r="O2517" s="604">
        <v>1.9419999999999999E-3</v>
      </c>
      <c r="P2517" s="150"/>
      <c r="Q2517" s="250"/>
      <c r="R2517" s="250"/>
      <c r="S2517" s="250"/>
      <c r="T2517" s="250"/>
      <c r="U2517" s="250">
        <v>2.3E-2</v>
      </c>
      <c r="V2517" s="250">
        <v>8.1105999999999998E-2</v>
      </c>
      <c r="W2517" s="250">
        <v>0.31658900000000001</v>
      </c>
      <c r="X2517" s="250">
        <v>0.45151000000000002</v>
      </c>
      <c r="Y2517" s="250">
        <v>0.127613</v>
      </c>
      <c r="Z2517" s="150"/>
      <c r="AA2517" s="150">
        <v>0.44</v>
      </c>
      <c r="AB2517" s="152"/>
      <c r="AC2517" s="152"/>
      <c r="AD2517" s="223">
        <v>13.71555</v>
      </c>
      <c r="AE2517" s="223">
        <v>0.50899930000000004</v>
      </c>
      <c r="AF2517" s="223">
        <v>6.9670500000000004</v>
      </c>
      <c r="AG2517" s="223">
        <v>0.8320767</v>
      </c>
      <c r="AH2517" s="341"/>
      <c r="AI2517" s="218"/>
      <c r="AJ2517" s="218"/>
      <c r="AK2517" s="153"/>
      <c r="AL2517" s="152"/>
      <c r="AM2517" s="152"/>
      <c r="AN2517" s="152"/>
      <c r="AO2517" s="152"/>
      <c r="AP2517" s="152"/>
      <c r="AQ2517" s="152"/>
      <c r="AR2517" s="152"/>
      <c r="AS2517" s="152"/>
      <c r="AT2517" s="152"/>
      <c r="AU2517" s="153"/>
      <c r="AV2517" s="479"/>
      <c r="AW2517" s="479"/>
      <c r="AX2517" s="442"/>
      <c r="AY2517" s="153"/>
      <c r="AZ2517" s="152"/>
      <c r="BA2517" s="152"/>
      <c r="BB2517" s="152"/>
      <c r="BC2517" s="152"/>
      <c r="BD2517" s="152"/>
      <c r="BE2517" s="152"/>
      <c r="BF2517" s="152"/>
      <c r="BG2517" s="152"/>
      <c r="BH2517" s="152"/>
      <c r="BI2517" s="153"/>
      <c r="BJ2517" s="153"/>
      <c r="BK2517" s="153"/>
      <c r="BL2517" s="153"/>
      <c r="BM2517" s="153"/>
      <c r="BN2517" s="153"/>
      <c r="BO2517" s="153"/>
      <c r="BP2517" s="153"/>
      <c r="BQ2517" s="153"/>
      <c r="BR2517" s="153"/>
      <c r="BS2517" s="153"/>
      <c r="BT2517" s="153"/>
      <c r="BU2517" s="153"/>
      <c r="BV2517" s="153"/>
      <c r="BW2517" s="153"/>
      <c r="BX2517" s="153"/>
      <c r="BY2517" s="153"/>
      <c r="BZ2517" s="153"/>
      <c r="CA2517" s="152"/>
      <c r="CB2517" s="152"/>
    </row>
    <row r="2518" spans="1:80" s="87" customFormat="1" ht="15" x14ac:dyDescent="0.25">
      <c r="A2518" s="152"/>
      <c r="B2518" s="683"/>
      <c r="C2518" s="683"/>
      <c r="D2518" s="698"/>
      <c r="E2518" s="215"/>
      <c r="F2518" s="215"/>
      <c r="G2518" s="153"/>
      <c r="H2518" s="153"/>
      <c r="I2518" s="165">
        <v>17</v>
      </c>
      <c r="J2518" s="312">
        <v>60</v>
      </c>
      <c r="K2518" s="150">
        <v>1</v>
      </c>
      <c r="L2518" s="656">
        <v>17</v>
      </c>
      <c r="M2518" s="663">
        <v>34474</v>
      </c>
      <c r="N2518" s="600">
        <v>5.5209799999999998</v>
      </c>
      <c r="O2518" s="604">
        <v>1.1130000000000001E-3</v>
      </c>
      <c r="P2518" s="150"/>
      <c r="Q2518" s="250"/>
      <c r="R2518" s="250"/>
      <c r="S2518" s="250"/>
      <c r="T2518" s="250"/>
      <c r="U2518" s="250">
        <v>1.8000000000000002E-2</v>
      </c>
      <c r="V2518" s="250">
        <v>0.12654400000000002</v>
      </c>
      <c r="W2518" s="250">
        <v>0.43578899999999998</v>
      </c>
      <c r="X2518" s="250">
        <v>0.38947999999999999</v>
      </c>
      <c r="Y2518" s="250">
        <v>2.9780999999999998E-2</v>
      </c>
      <c r="Z2518" s="150"/>
      <c r="AA2518" s="150">
        <v>0.56999999999999995</v>
      </c>
      <c r="AB2518" s="152"/>
      <c r="AC2518" s="152"/>
      <c r="AD2518" s="223">
        <v>13.502197000000001</v>
      </c>
      <c r="AE2518" s="223">
        <v>0.49985560000000001</v>
      </c>
      <c r="AF2518" s="223">
        <v>6.7533937999999996</v>
      </c>
      <c r="AG2518" s="223">
        <v>0.78026240000000002</v>
      </c>
      <c r="AH2518" s="341"/>
      <c r="AI2518" s="218"/>
      <c r="AJ2518" s="218"/>
      <c r="AK2518" s="153"/>
      <c r="AL2518" s="152"/>
      <c r="AM2518" s="152"/>
      <c r="AN2518" s="152"/>
      <c r="AO2518" s="152"/>
      <c r="AP2518" s="152"/>
      <c r="AQ2518" s="152"/>
      <c r="AR2518" s="152"/>
      <c r="AS2518" s="152"/>
      <c r="AT2518" s="152"/>
      <c r="AU2518" s="153"/>
      <c r="AV2518" s="479"/>
      <c r="AW2518" s="479"/>
      <c r="AX2518" s="442"/>
      <c r="AY2518" s="153"/>
      <c r="AZ2518" s="152"/>
      <c r="BA2518" s="152"/>
      <c r="BB2518" s="152"/>
      <c r="BC2518" s="152"/>
      <c r="BD2518" s="152"/>
      <c r="BE2518" s="152"/>
      <c r="BF2518" s="152"/>
      <c r="BG2518" s="152"/>
      <c r="BH2518" s="152"/>
      <c r="BI2518" s="153"/>
      <c r="BJ2518" s="153"/>
      <c r="BK2518" s="153"/>
      <c r="BL2518" s="153"/>
      <c r="BM2518" s="153"/>
      <c r="BN2518" s="153"/>
      <c r="BO2518" s="153"/>
      <c r="BP2518" s="153"/>
      <c r="BQ2518" s="153"/>
      <c r="BR2518" s="153"/>
      <c r="BS2518" s="153"/>
      <c r="BT2518" s="153"/>
      <c r="BU2518" s="153"/>
      <c r="BV2518" s="153"/>
      <c r="BW2518" s="153"/>
      <c r="BX2518" s="153"/>
      <c r="BY2518" s="153"/>
      <c r="BZ2518" s="153"/>
      <c r="CA2518" s="152"/>
      <c r="CB2518" s="152"/>
    </row>
    <row r="2519" spans="1:80" s="87" customFormat="1" ht="15" x14ac:dyDescent="0.25">
      <c r="A2519" s="152"/>
      <c r="B2519" s="683"/>
      <c r="C2519" s="683"/>
      <c r="D2519" s="698"/>
      <c r="E2519" s="215"/>
      <c r="F2519" s="215"/>
      <c r="G2519" s="153"/>
      <c r="H2519" s="153"/>
      <c r="I2519" s="165">
        <v>17</v>
      </c>
      <c r="J2519" s="312">
        <v>60</v>
      </c>
      <c r="K2519" s="150">
        <v>1</v>
      </c>
      <c r="L2519" s="656">
        <v>17</v>
      </c>
      <c r="M2519" s="663">
        <v>34474</v>
      </c>
      <c r="N2519" s="600">
        <v>5.5209799999999998</v>
      </c>
      <c r="O2519" s="604">
        <v>2.9489999999999998E-3</v>
      </c>
      <c r="P2519" s="150"/>
      <c r="Q2519" s="250"/>
      <c r="R2519" s="250"/>
      <c r="S2519" s="250"/>
      <c r="T2519" s="250">
        <v>6.3E-2</v>
      </c>
      <c r="U2519" s="250">
        <v>0.105</v>
      </c>
      <c r="V2519" s="250">
        <v>0.25406600000000001</v>
      </c>
      <c r="W2519" s="250">
        <v>0.35891000000000001</v>
      </c>
      <c r="X2519" s="250">
        <v>0.20731100000000002</v>
      </c>
      <c r="Y2519" s="250">
        <v>1.1455E-2</v>
      </c>
      <c r="Z2519" s="150"/>
      <c r="AA2519" s="150">
        <v>0.86</v>
      </c>
      <c r="AB2519" s="152"/>
      <c r="AC2519" s="152"/>
      <c r="AD2519" s="223">
        <v>13.502197000000001</v>
      </c>
      <c r="AE2519" s="223">
        <v>0.49985560000000001</v>
      </c>
      <c r="AF2519" s="223">
        <v>6.7533937999999996</v>
      </c>
      <c r="AG2519" s="223">
        <v>0.78026240000000002</v>
      </c>
      <c r="AH2519" s="341"/>
      <c r="AI2519" s="218"/>
      <c r="AJ2519" s="218"/>
      <c r="AK2519" s="153"/>
      <c r="AL2519" s="152"/>
      <c r="AM2519" s="152"/>
      <c r="AN2519" s="152"/>
      <c r="AO2519" s="152"/>
      <c r="AP2519" s="152"/>
      <c r="AQ2519" s="152"/>
      <c r="AR2519" s="152"/>
      <c r="AS2519" s="152"/>
      <c r="AT2519" s="152"/>
      <c r="AU2519" s="153"/>
      <c r="AV2519" s="479"/>
      <c r="AW2519" s="479"/>
      <c r="AX2519" s="442"/>
      <c r="AY2519" s="153"/>
      <c r="AZ2519" s="152"/>
      <c r="BA2519" s="152"/>
      <c r="BB2519" s="152"/>
      <c r="BC2519" s="152"/>
      <c r="BD2519" s="152"/>
      <c r="BE2519" s="152"/>
      <c r="BF2519" s="152"/>
      <c r="BG2519" s="152"/>
      <c r="BH2519" s="152"/>
      <c r="BI2519" s="153"/>
      <c r="BJ2519" s="153"/>
      <c r="BK2519" s="153"/>
      <c r="BL2519" s="153"/>
      <c r="BM2519" s="153"/>
      <c r="BN2519" s="153"/>
      <c r="BO2519" s="153"/>
      <c r="BP2519" s="153"/>
      <c r="BQ2519" s="153"/>
      <c r="BR2519" s="153"/>
      <c r="BS2519" s="153"/>
      <c r="BT2519" s="153"/>
      <c r="BU2519" s="153"/>
      <c r="BV2519" s="153"/>
      <c r="BW2519" s="153"/>
      <c r="BX2519" s="153"/>
      <c r="BY2519" s="153"/>
      <c r="BZ2519" s="153"/>
      <c r="CA2519" s="152"/>
      <c r="CB2519" s="152"/>
    </row>
    <row r="2520" spans="1:80" s="87" customFormat="1" ht="15" x14ac:dyDescent="0.25">
      <c r="A2520" s="152"/>
      <c r="B2520" s="683"/>
      <c r="C2520" s="683"/>
      <c r="D2520" s="698"/>
      <c r="E2520" s="215"/>
      <c r="F2520" s="215"/>
      <c r="G2520" s="153"/>
      <c r="H2520" s="153"/>
      <c r="I2520" s="165">
        <v>17</v>
      </c>
      <c r="J2520" s="312">
        <v>60</v>
      </c>
      <c r="K2520" s="150">
        <v>1</v>
      </c>
      <c r="L2520" s="656">
        <v>17</v>
      </c>
      <c r="M2520" s="663">
        <v>34477</v>
      </c>
      <c r="N2520" s="600">
        <v>5.2661600000000002</v>
      </c>
      <c r="O2520" s="604">
        <v>9.19E-4</v>
      </c>
      <c r="P2520" s="150"/>
      <c r="Q2520" s="250"/>
      <c r="R2520" s="250"/>
      <c r="S2520" s="250"/>
      <c r="T2520" s="250"/>
      <c r="U2520" s="250">
        <v>0.03</v>
      </c>
      <c r="V2520" s="250">
        <v>0.11825100000000001</v>
      </c>
      <c r="W2520" s="250">
        <v>0.35770400000000002</v>
      </c>
      <c r="X2520" s="250">
        <v>0.45760100000000004</v>
      </c>
      <c r="Y2520" s="250">
        <v>3.6402999999999998E-2</v>
      </c>
      <c r="Z2520" s="150"/>
      <c r="AA2520" s="150">
        <v>0.51</v>
      </c>
      <c r="AB2520" s="152"/>
      <c r="AC2520" s="152"/>
      <c r="AD2520" s="223">
        <v>13.441238999999999</v>
      </c>
      <c r="AE2520" s="223">
        <v>0.47547240000000002</v>
      </c>
      <c r="AF2520" s="223">
        <v>6.4003965999999997</v>
      </c>
      <c r="AG2520" s="223">
        <v>0.77721450000000003</v>
      </c>
      <c r="AH2520" s="341"/>
      <c r="AI2520" s="218"/>
      <c r="AJ2520" s="218"/>
      <c r="AK2520" s="153"/>
      <c r="AL2520" s="152"/>
      <c r="AM2520" s="152"/>
      <c r="AN2520" s="152"/>
      <c r="AO2520" s="152"/>
      <c r="AP2520" s="152"/>
      <c r="AQ2520" s="152"/>
      <c r="AR2520" s="152"/>
      <c r="AS2520" s="152"/>
      <c r="AT2520" s="152"/>
      <c r="AU2520" s="153"/>
      <c r="AV2520" s="479"/>
      <c r="AW2520" s="479"/>
      <c r="AX2520" s="442"/>
      <c r="AY2520" s="153"/>
      <c r="AZ2520" s="152"/>
      <c r="BA2520" s="152"/>
      <c r="BB2520" s="152"/>
      <c r="BC2520" s="152"/>
      <c r="BD2520" s="152"/>
      <c r="BE2520" s="152"/>
      <c r="BF2520" s="152"/>
      <c r="BG2520" s="152"/>
      <c r="BH2520" s="152"/>
      <c r="BI2520" s="153"/>
      <c r="BJ2520" s="153"/>
      <c r="BK2520" s="153"/>
      <c r="BL2520" s="153"/>
      <c r="BM2520" s="153"/>
      <c r="BN2520" s="153"/>
      <c r="BO2520" s="153"/>
      <c r="BP2520" s="153"/>
      <c r="BQ2520" s="153"/>
      <c r="BR2520" s="153"/>
      <c r="BS2520" s="153"/>
      <c r="BT2520" s="153"/>
      <c r="BU2520" s="153"/>
      <c r="BV2520" s="153"/>
      <c r="BW2520" s="153"/>
      <c r="BX2520" s="153"/>
      <c r="BY2520" s="153"/>
      <c r="BZ2520" s="153"/>
      <c r="CA2520" s="152"/>
      <c r="CB2520" s="152"/>
    </row>
    <row r="2521" spans="1:80" s="87" customFormat="1" ht="15" x14ac:dyDescent="0.25">
      <c r="A2521" s="152"/>
      <c r="B2521" s="683"/>
      <c r="C2521" s="683"/>
      <c r="D2521" s="698"/>
      <c r="E2521" s="215"/>
      <c r="F2521" s="215"/>
      <c r="G2521" s="153"/>
      <c r="H2521" s="153"/>
      <c r="I2521" s="165">
        <v>17</v>
      </c>
      <c r="J2521" s="312">
        <v>60</v>
      </c>
      <c r="K2521" s="150">
        <v>1</v>
      </c>
      <c r="L2521" s="656">
        <v>17</v>
      </c>
      <c r="M2521" s="663">
        <v>34477</v>
      </c>
      <c r="N2521" s="600">
        <v>5.2661600000000002</v>
      </c>
      <c r="O2521" s="604">
        <v>9.41E-4</v>
      </c>
      <c r="P2521" s="150"/>
      <c r="Q2521" s="250"/>
      <c r="R2521" s="250"/>
      <c r="S2521" s="250"/>
      <c r="T2521" s="250"/>
      <c r="U2521" s="250">
        <v>5.0999999999999997E-2</v>
      </c>
      <c r="V2521" s="250">
        <v>0.17539100000000002</v>
      </c>
      <c r="W2521" s="250">
        <v>0.38676499999999997</v>
      </c>
      <c r="X2521" s="250">
        <v>0.34701599999999999</v>
      </c>
      <c r="Y2521" s="250">
        <v>3.9765999999999996E-2</v>
      </c>
      <c r="Z2521" s="150"/>
      <c r="AA2521" s="150">
        <v>0.61</v>
      </c>
      <c r="AB2521" s="152"/>
      <c r="AC2521" s="152"/>
      <c r="AD2521" s="223">
        <v>13.441238999999999</v>
      </c>
      <c r="AE2521" s="223">
        <v>0.47547240000000002</v>
      </c>
      <c r="AF2521" s="223">
        <v>6.4003965999999997</v>
      </c>
      <c r="AG2521" s="223">
        <v>0.77721450000000003</v>
      </c>
      <c r="AH2521" s="341"/>
      <c r="AI2521" s="218"/>
      <c r="AJ2521" s="218"/>
      <c r="AK2521" s="153"/>
      <c r="AL2521" s="152"/>
      <c r="AM2521" s="152"/>
      <c r="AN2521" s="152"/>
      <c r="AO2521" s="152"/>
      <c r="AP2521" s="152"/>
      <c r="AQ2521" s="152"/>
      <c r="AR2521" s="152"/>
      <c r="AS2521" s="152"/>
      <c r="AT2521" s="152"/>
      <c r="AU2521" s="153"/>
      <c r="AV2521" s="479"/>
      <c r="AW2521" s="479"/>
      <c r="AX2521" s="442"/>
      <c r="AY2521" s="153"/>
      <c r="AZ2521" s="152"/>
      <c r="BA2521" s="152"/>
      <c r="BB2521" s="152"/>
      <c r="BC2521" s="152"/>
      <c r="BD2521" s="152"/>
      <c r="BE2521" s="152"/>
      <c r="BF2521" s="152"/>
      <c r="BG2521" s="152"/>
      <c r="BH2521" s="152"/>
      <c r="BI2521" s="153"/>
      <c r="BJ2521" s="153"/>
      <c r="BK2521" s="153"/>
      <c r="BL2521" s="153"/>
      <c r="BM2521" s="153"/>
      <c r="BN2521" s="153"/>
      <c r="BO2521" s="153"/>
      <c r="BP2521" s="153"/>
      <c r="BQ2521" s="153"/>
      <c r="BR2521" s="153"/>
      <c r="BS2521" s="153"/>
      <c r="BT2521" s="153"/>
      <c r="BU2521" s="153"/>
      <c r="BV2521" s="153"/>
      <c r="BW2521" s="153"/>
      <c r="BX2521" s="153"/>
      <c r="BY2521" s="153"/>
      <c r="BZ2521" s="153"/>
      <c r="CA2521" s="152"/>
      <c r="CB2521" s="152"/>
    </row>
    <row r="2522" spans="1:80" s="87" customFormat="1" ht="15" x14ac:dyDescent="0.25">
      <c r="A2522" s="152"/>
      <c r="B2522" s="683"/>
      <c r="C2522" s="683"/>
      <c r="D2522" s="698"/>
      <c r="E2522" s="215"/>
      <c r="F2522" s="215"/>
      <c r="G2522" s="153"/>
      <c r="H2522" s="153"/>
      <c r="I2522" s="165">
        <v>19</v>
      </c>
      <c r="J2522" s="312">
        <v>60</v>
      </c>
      <c r="K2522" s="150">
        <v>1</v>
      </c>
      <c r="L2522" s="656">
        <v>19</v>
      </c>
      <c r="M2522" s="663">
        <v>34480</v>
      </c>
      <c r="N2522" s="600">
        <v>5.5209799999999998</v>
      </c>
      <c r="O2522" s="604">
        <v>1.3849999999999999E-3</v>
      </c>
      <c r="P2522" s="150"/>
      <c r="Q2522" s="250"/>
      <c r="R2522" s="250"/>
      <c r="S2522" s="250"/>
      <c r="T2522" s="250"/>
      <c r="U2522" s="250">
        <v>4.7E-2</v>
      </c>
      <c r="V2522" s="250">
        <v>0.13674799999999998</v>
      </c>
      <c r="W2522" s="250">
        <v>0.40290700000000002</v>
      </c>
      <c r="X2522" s="250">
        <v>0.38831699999999997</v>
      </c>
      <c r="Y2522" s="250">
        <v>2.4756999999999998E-2</v>
      </c>
      <c r="Z2522" s="150"/>
      <c r="AA2522" s="150">
        <v>0.57999999999999996</v>
      </c>
      <c r="AB2522" s="152"/>
      <c r="AC2522" s="152"/>
      <c r="AD2522" s="223"/>
      <c r="AE2522" s="223"/>
      <c r="AF2522" s="223"/>
      <c r="AG2522" s="223"/>
      <c r="AH2522" s="341"/>
      <c r="AI2522" s="218"/>
      <c r="AJ2522" s="218"/>
      <c r="AK2522" s="153"/>
      <c r="AL2522" s="152"/>
      <c r="AM2522" s="152"/>
      <c r="AN2522" s="152"/>
      <c r="AO2522" s="152"/>
      <c r="AP2522" s="152"/>
      <c r="AQ2522" s="152"/>
      <c r="AR2522" s="152"/>
      <c r="AS2522" s="152"/>
      <c r="AT2522" s="152"/>
      <c r="AU2522" s="153"/>
      <c r="AV2522" s="479"/>
      <c r="AW2522" s="479"/>
      <c r="AX2522" s="442"/>
      <c r="AY2522" s="153"/>
      <c r="AZ2522" s="152"/>
      <c r="BA2522" s="152"/>
      <c r="BB2522" s="152"/>
      <c r="BC2522" s="152"/>
      <c r="BD2522" s="152"/>
      <c r="BE2522" s="152"/>
      <c r="BF2522" s="152"/>
      <c r="BG2522" s="152"/>
      <c r="BH2522" s="152"/>
      <c r="BI2522" s="153"/>
      <c r="BJ2522" s="153"/>
      <c r="BK2522" s="153"/>
      <c r="BL2522" s="153"/>
      <c r="BM2522" s="153"/>
      <c r="BN2522" s="153"/>
      <c r="BO2522" s="153"/>
      <c r="BP2522" s="153"/>
      <c r="BQ2522" s="153"/>
      <c r="BR2522" s="153"/>
      <c r="BS2522" s="153"/>
      <c r="BT2522" s="153"/>
      <c r="BU2522" s="153"/>
      <c r="BV2522" s="153"/>
      <c r="BW2522" s="153"/>
      <c r="BX2522" s="153"/>
      <c r="BY2522" s="153"/>
      <c r="BZ2522" s="153"/>
      <c r="CA2522" s="152"/>
      <c r="CB2522" s="152"/>
    </row>
    <row r="2523" spans="1:80" s="87" customFormat="1" ht="15" x14ac:dyDescent="0.25">
      <c r="A2523" s="152"/>
      <c r="B2523" s="683"/>
      <c r="C2523" s="683"/>
      <c r="D2523" s="698"/>
      <c r="E2523" s="215"/>
      <c r="F2523" s="215"/>
      <c r="G2523" s="153"/>
      <c r="H2523" s="153"/>
      <c r="I2523" s="165">
        <v>19</v>
      </c>
      <c r="J2523" s="312">
        <v>60</v>
      </c>
      <c r="K2523" s="150">
        <v>1</v>
      </c>
      <c r="L2523" s="656">
        <v>19</v>
      </c>
      <c r="M2523" s="663">
        <v>34480</v>
      </c>
      <c r="N2523" s="600">
        <v>5.5209799999999998</v>
      </c>
      <c r="O2523" s="604">
        <v>1.753E-3</v>
      </c>
      <c r="P2523" s="150"/>
      <c r="Q2523" s="250"/>
      <c r="R2523" s="250"/>
      <c r="S2523" s="250"/>
      <c r="T2523" s="250">
        <v>2.3E-2</v>
      </c>
      <c r="U2523" s="250">
        <v>4.5999999999999999E-2</v>
      </c>
      <c r="V2523" s="250">
        <v>0.14888999999999999</v>
      </c>
      <c r="W2523" s="250">
        <v>0.39783000000000002</v>
      </c>
      <c r="X2523" s="250">
        <v>0.36353799999999997</v>
      </c>
      <c r="Y2523" s="250">
        <v>2.1023999999999998E-2</v>
      </c>
      <c r="Z2523" s="150"/>
      <c r="AA2523" s="150">
        <v>0.61</v>
      </c>
      <c r="AB2523" s="152"/>
      <c r="AC2523" s="152"/>
      <c r="AD2523" s="223"/>
      <c r="AE2523" s="223"/>
      <c r="AF2523" s="223"/>
      <c r="AG2523" s="223"/>
      <c r="AH2523" s="341"/>
      <c r="AI2523" s="218"/>
      <c r="AJ2523" s="218"/>
      <c r="AK2523" s="153"/>
      <c r="AL2523" s="152"/>
      <c r="AM2523" s="152"/>
      <c r="AN2523" s="152"/>
      <c r="AO2523" s="152"/>
      <c r="AP2523" s="152"/>
      <c r="AQ2523" s="152"/>
      <c r="AR2523" s="152"/>
      <c r="AS2523" s="152"/>
      <c r="AT2523" s="152"/>
      <c r="AU2523" s="153"/>
      <c r="AV2523" s="479"/>
      <c r="AW2523" s="479"/>
      <c r="AX2523" s="442"/>
      <c r="AY2523" s="153"/>
      <c r="AZ2523" s="152"/>
      <c r="BA2523" s="152"/>
      <c r="BB2523" s="152"/>
      <c r="BC2523" s="152"/>
      <c r="BD2523" s="152"/>
      <c r="BE2523" s="152"/>
      <c r="BF2523" s="152"/>
      <c r="BG2523" s="152"/>
      <c r="BH2523" s="152"/>
      <c r="BI2523" s="153"/>
      <c r="BJ2523" s="153"/>
      <c r="BK2523" s="153"/>
      <c r="BL2523" s="153"/>
      <c r="BM2523" s="153"/>
      <c r="BN2523" s="153"/>
      <c r="BO2523" s="153"/>
      <c r="BP2523" s="153"/>
      <c r="BQ2523" s="153"/>
      <c r="BR2523" s="153"/>
      <c r="BS2523" s="153"/>
      <c r="BT2523" s="153"/>
      <c r="BU2523" s="153"/>
      <c r="BV2523" s="153"/>
      <c r="BW2523" s="153"/>
      <c r="BX2523" s="153"/>
      <c r="BY2523" s="153"/>
      <c r="BZ2523" s="153"/>
      <c r="CA2523" s="152"/>
      <c r="CB2523" s="152"/>
    </row>
    <row r="2524" spans="1:80" s="87" customFormat="1" ht="15" x14ac:dyDescent="0.25">
      <c r="A2524" s="152"/>
      <c r="B2524" s="683"/>
      <c r="C2524" s="683"/>
      <c r="D2524" s="698"/>
      <c r="E2524" s="215"/>
      <c r="F2524" s="215"/>
      <c r="G2524" s="153"/>
      <c r="H2524" s="153"/>
      <c r="I2524" s="165">
        <v>17</v>
      </c>
      <c r="J2524" s="312">
        <v>60</v>
      </c>
      <c r="K2524" s="150">
        <v>1</v>
      </c>
      <c r="L2524" s="656">
        <v>17</v>
      </c>
      <c r="M2524" s="663">
        <v>34485</v>
      </c>
      <c r="N2524" s="600">
        <v>5.1246</v>
      </c>
      <c r="O2524" s="604">
        <v>1.805E-3</v>
      </c>
      <c r="P2524" s="150"/>
      <c r="Q2524" s="250"/>
      <c r="R2524" s="250"/>
      <c r="S2524" s="250"/>
      <c r="T2524" s="250"/>
      <c r="U2524" s="250">
        <v>1.8000000000000002E-2</v>
      </c>
      <c r="V2524" s="250">
        <v>0.110801</v>
      </c>
      <c r="W2524" s="250">
        <v>0.319573</v>
      </c>
      <c r="X2524" s="250">
        <v>0.52541199999999999</v>
      </c>
      <c r="Y2524" s="250">
        <v>2.6241E-2</v>
      </c>
      <c r="Z2524" s="150"/>
      <c r="AA2524" s="150">
        <v>0.47</v>
      </c>
      <c r="AB2524" s="152"/>
      <c r="AC2524" s="152"/>
      <c r="AD2524" s="223">
        <v>13.41076</v>
      </c>
      <c r="AE2524" s="223">
        <v>0.46937659999999998</v>
      </c>
      <c r="AF2524" s="223">
        <v>6.2796343999999999</v>
      </c>
      <c r="AG2524" s="223">
        <v>0.76502289999999995</v>
      </c>
      <c r="AH2524" s="341"/>
      <c r="AI2524" s="218"/>
      <c r="AJ2524" s="218"/>
      <c r="AK2524" s="153"/>
      <c r="AL2524" s="152"/>
      <c r="AM2524" s="152"/>
      <c r="AN2524" s="152"/>
      <c r="AO2524" s="152"/>
      <c r="AP2524" s="152"/>
      <c r="AQ2524" s="152"/>
      <c r="AR2524" s="152"/>
      <c r="AS2524" s="152"/>
      <c r="AT2524" s="152"/>
      <c r="AU2524" s="153"/>
      <c r="AV2524" s="479"/>
      <c r="AW2524" s="479"/>
      <c r="AX2524" s="442"/>
      <c r="AY2524" s="153"/>
      <c r="AZ2524" s="152"/>
      <c r="BA2524" s="152"/>
      <c r="BB2524" s="152"/>
      <c r="BC2524" s="152"/>
      <c r="BD2524" s="152"/>
      <c r="BE2524" s="152"/>
      <c r="BF2524" s="152"/>
      <c r="BG2524" s="152"/>
      <c r="BH2524" s="152"/>
      <c r="BI2524" s="153"/>
      <c r="BJ2524" s="153"/>
      <c r="BK2524" s="153"/>
      <c r="BL2524" s="153"/>
      <c r="BM2524" s="153"/>
      <c r="BN2524" s="153"/>
      <c r="BO2524" s="153"/>
      <c r="BP2524" s="153"/>
      <c r="BQ2524" s="153"/>
      <c r="BR2524" s="153"/>
      <c r="BS2524" s="153"/>
      <c r="BT2524" s="153"/>
      <c r="BU2524" s="153"/>
      <c r="BV2524" s="153"/>
      <c r="BW2524" s="153"/>
      <c r="BX2524" s="153"/>
      <c r="BY2524" s="153"/>
      <c r="BZ2524" s="153"/>
      <c r="CA2524" s="152"/>
      <c r="CB2524" s="152"/>
    </row>
    <row r="2525" spans="1:80" s="87" customFormat="1" ht="15" x14ac:dyDescent="0.25">
      <c r="A2525" s="152"/>
      <c r="B2525" s="683"/>
      <c r="C2525" s="683"/>
      <c r="D2525" s="698"/>
      <c r="E2525" s="215"/>
      <c r="F2525" s="215"/>
      <c r="G2525" s="153"/>
      <c r="H2525" s="153"/>
      <c r="I2525" s="165">
        <v>17</v>
      </c>
      <c r="J2525" s="312">
        <v>60</v>
      </c>
      <c r="K2525" s="150">
        <v>1</v>
      </c>
      <c r="L2525" s="656">
        <v>17</v>
      </c>
      <c r="M2525" s="663">
        <v>34485</v>
      </c>
      <c r="N2525" s="600">
        <v>5.1246</v>
      </c>
      <c r="O2525" s="604">
        <v>1.438E-3</v>
      </c>
      <c r="P2525" s="150"/>
      <c r="Q2525" s="250"/>
      <c r="R2525" s="250"/>
      <c r="S2525" s="250"/>
      <c r="T2525" s="250"/>
      <c r="U2525" s="250">
        <v>1.4999999999999999E-2</v>
      </c>
      <c r="V2525" s="250">
        <v>8.4045000000000009E-2</v>
      </c>
      <c r="W2525" s="250">
        <v>0.32004199999999999</v>
      </c>
      <c r="X2525" s="250">
        <v>0.55239800000000006</v>
      </c>
      <c r="Y2525" s="250">
        <v>2.8771000000000001E-2</v>
      </c>
      <c r="Z2525" s="150"/>
      <c r="AA2525" s="150">
        <v>0.45</v>
      </c>
      <c r="AB2525" s="152"/>
      <c r="AC2525" s="152"/>
      <c r="AD2525" s="223">
        <v>13.41076</v>
      </c>
      <c r="AE2525" s="223">
        <v>0.46937659999999998</v>
      </c>
      <c r="AF2525" s="223">
        <v>6.2796343999999999</v>
      </c>
      <c r="AG2525" s="223">
        <v>0.76502289999999995</v>
      </c>
      <c r="AH2525" s="341"/>
      <c r="AI2525" s="218"/>
      <c r="AJ2525" s="218"/>
      <c r="AK2525" s="153"/>
      <c r="AL2525" s="152"/>
      <c r="AM2525" s="152"/>
      <c r="AN2525" s="152"/>
      <c r="AO2525" s="152"/>
      <c r="AP2525" s="152"/>
      <c r="AQ2525" s="152"/>
      <c r="AR2525" s="152"/>
      <c r="AS2525" s="152"/>
      <c r="AT2525" s="152"/>
      <c r="AU2525" s="153"/>
      <c r="AV2525" s="479"/>
      <c r="AW2525" s="479"/>
      <c r="AX2525" s="442"/>
      <c r="AY2525" s="153"/>
      <c r="AZ2525" s="152"/>
      <c r="BA2525" s="152"/>
      <c r="BB2525" s="152"/>
      <c r="BC2525" s="152"/>
      <c r="BD2525" s="152"/>
      <c r="BE2525" s="152"/>
      <c r="BF2525" s="152"/>
      <c r="BG2525" s="152"/>
      <c r="BH2525" s="152"/>
      <c r="BI2525" s="153"/>
      <c r="BJ2525" s="153"/>
      <c r="BK2525" s="153"/>
      <c r="BL2525" s="153"/>
      <c r="BM2525" s="153"/>
      <c r="BN2525" s="153"/>
      <c r="BO2525" s="153"/>
      <c r="BP2525" s="153"/>
      <c r="BQ2525" s="153"/>
      <c r="BR2525" s="153"/>
      <c r="BS2525" s="153"/>
      <c r="BT2525" s="153"/>
      <c r="BU2525" s="153"/>
      <c r="BV2525" s="153"/>
      <c r="BW2525" s="153"/>
      <c r="BX2525" s="153"/>
      <c r="BY2525" s="153"/>
      <c r="BZ2525" s="153"/>
      <c r="CA2525" s="152"/>
      <c r="CB2525" s="152"/>
    </row>
    <row r="2526" spans="1:80" s="87" customFormat="1" ht="15" x14ac:dyDescent="0.25">
      <c r="A2526" s="152"/>
      <c r="B2526" s="683"/>
      <c r="C2526" s="683"/>
      <c r="D2526" s="698"/>
      <c r="E2526" s="215"/>
      <c r="F2526" s="215"/>
      <c r="G2526" s="153"/>
      <c r="H2526" s="153"/>
      <c r="I2526" s="165">
        <v>18</v>
      </c>
      <c r="J2526" s="312">
        <v>60</v>
      </c>
      <c r="K2526" s="150">
        <v>1</v>
      </c>
      <c r="L2526" s="656">
        <v>18</v>
      </c>
      <c r="M2526" s="663">
        <v>34487</v>
      </c>
      <c r="N2526" s="600">
        <v>5.1529100000000003</v>
      </c>
      <c r="O2526" s="604">
        <v>2.928E-3</v>
      </c>
      <c r="P2526" s="150"/>
      <c r="Q2526" s="250"/>
      <c r="R2526" s="250"/>
      <c r="S2526" s="250"/>
      <c r="T2526" s="250">
        <v>8.0000000000000002E-3</v>
      </c>
      <c r="U2526" s="250">
        <v>9.4E-2</v>
      </c>
      <c r="V2526" s="250">
        <v>0.24761</v>
      </c>
      <c r="W2526" s="250">
        <v>0.41720699999999999</v>
      </c>
      <c r="X2526" s="250">
        <v>0.222105</v>
      </c>
      <c r="Y2526" s="250">
        <v>1.1243000000000001E-2</v>
      </c>
      <c r="Z2526" s="150"/>
      <c r="AA2526" s="150">
        <v>0.78</v>
      </c>
      <c r="AB2526" s="152"/>
      <c r="AC2526" s="152"/>
      <c r="AD2526" s="223">
        <v>13.41076</v>
      </c>
      <c r="AE2526" s="223">
        <v>0.49680770000000002</v>
      </c>
      <c r="AF2526" s="223">
        <v>6.6604998000000002</v>
      </c>
      <c r="AG2526" s="223">
        <v>0.76197499999999996</v>
      </c>
      <c r="AH2526" s="341"/>
      <c r="AI2526" s="218"/>
      <c r="AJ2526" s="218"/>
      <c r="AK2526" s="153"/>
      <c r="AL2526" s="152"/>
      <c r="AM2526" s="152"/>
      <c r="AN2526" s="152"/>
      <c r="AO2526" s="152"/>
      <c r="AP2526" s="152"/>
      <c r="AQ2526" s="152"/>
      <c r="AR2526" s="152"/>
      <c r="AS2526" s="152"/>
      <c r="AT2526" s="152"/>
      <c r="AU2526" s="153"/>
      <c r="AV2526" s="479"/>
      <c r="AW2526" s="479"/>
      <c r="AX2526" s="442"/>
      <c r="AY2526" s="153"/>
      <c r="AZ2526" s="152"/>
      <c r="BA2526" s="152"/>
      <c r="BB2526" s="152"/>
      <c r="BC2526" s="152"/>
      <c r="BD2526" s="152"/>
      <c r="BE2526" s="152"/>
      <c r="BF2526" s="152"/>
      <c r="BG2526" s="152"/>
      <c r="BH2526" s="152"/>
      <c r="BI2526" s="153"/>
      <c r="BJ2526" s="153"/>
      <c r="BK2526" s="153"/>
      <c r="BL2526" s="153"/>
      <c r="BM2526" s="153"/>
      <c r="BN2526" s="153"/>
      <c r="BO2526" s="153"/>
      <c r="BP2526" s="153"/>
      <c r="BQ2526" s="153"/>
      <c r="BR2526" s="153"/>
      <c r="BS2526" s="153"/>
      <c r="BT2526" s="153"/>
      <c r="BU2526" s="153"/>
      <c r="BV2526" s="153"/>
      <c r="BW2526" s="153"/>
      <c r="BX2526" s="153"/>
      <c r="BY2526" s="153"/>
      <c r="BZ2526" s="153"/>
      <c r="CA2526" s="152"/>
      <c r="CB2526" s="152"/>
    </row>
    <row r="2527" spans="1:80" s="87" customFormat="1" ht="15" x14ac:dyDescent="0.25">
      <c r="A2527" s="152"/>
      <c r="B2527" s="683"/>
      <c r="C2527" s="683"/>
      <c r="D2527" s="698"/>
      <c r="E2527" s="215"/>
      <c r="F2527" s="215"/>
      <c r="G2527" s="153"/>
      <c r="H2527" s="153"/>
      <c r="I2527" s="165">
        <v>18</v>
      </c>
      <c r="J2527" s="312">
        <v>60</v>
      </c>
      <c r="K2527" s="150">
        <v>1</v>
      </c>
      <c r="L2527" s="656">
        <v>18</v>
      </c>
      <c r="M2527" s="663">
        <v>34487</v>
      </c>
      <c r="N2527" s="600">
        <v>5.1529100000000003</v>
      </c>
      <c r="O2527" s="604">
        <v>1.3960000000000001E-3</v>
      </c>
      <c r="P2527" s="150"/>
      <c r="Q2527" s="250"/>
      <c r="R2527" s="250"/>
      <c r="S2527" s="250"/>
      <c r="T2527" s="250"/>
      <c r="U2527" s="250">
        <v>0.105</v>
      </c>
      <c r="V2527" s="250">
        <v>0.24776900000000002</v>
      </c>
      <c r="W2527" s="250">
        <v>0.310025</v>
      </c>
      <c r="X2527" s="250">
        <v>0.21477399999999999</v>
      </c>
      <c r="Y2527" s="250">
        <v>0.12253399999999999</v>
      </c>
      <c r="Z2527" s="150"/>
      <c r="AA2527" s="150">
        <v>0.72</v>
      </c>
      <c r="AB2527" s="152"/>
      <c r="AC2527" s="152"/>
      <c r="AD2527" s="223">
        <v>13.41076</v>
      </c>
      <c r="AE2527" s="223">
        <v>0.49680770000000002</v>
      </c>
      <c r="AF2527" s="223">
        <v>6.6604998000000002</v>
      </c>
      <c r="AG2527" s="223">
        <v>0.76197499999999996</v>
      </c>
      <c r="AH2527" s="341"/>
      <c r="AI2527" s="218"/>
      <c r="AJ2527" s="218"/>
      <c r="AK2527" s="153"/>
      <c r="AL2527" s="152"/>
      <c r="AM2527" s="152"/>
      <c r="AN2527" s="152"/>
      <c r="AO2527" s="152"/>
      <c r="AP2527" s="152"/>
      <c r="AQ2527" s="152"/>
      <c r="AR2527" s="152"/>
      <c r="AS2527" s="152"/>
      <c r="AT2527" s="152"/>
      <c r="AU2527" s="153"/>
      <c r="AV2527" s="479"/>
      <c r="AW2527" s="479"/>
      <c r="AX2527" s="442"/>
      <c r="AY2527" s="153"/>
      <c r="AZ2527" s="152"/>
      <c r="BA2527" s="152"/>
      <c r="BB2527" s="152"/>
      <c r="BC2527" s="152"/>
      <c r="BD2527" s="152"/>
      <c r="BE2527" s="152"/>
      <c r="BF2527" s="152"/>
      <c r="BG2527" s="152"/>
      <c r="BH2527" s="152"/>
      <c r="BI2527" s="153"/>
      <c r="BJ2527" s="153"/>
      <c r="BK2527" s="153"/>
      <c r="BL2527" s="153"/>
      <c r="BM2527" s="153"/>
      <c r="BN2527" s="153"/>
      <c r="BO2527" s="153"/>
      <c r="BP2527" s="153"/>
      <c r="BQ2527" s="153"/>
      <c r="BR2527" s="153"/>
      <c r="BS2527" s="153"/>
      <c r="BT2527" s="153"/>
      <c r="BU2527" s="153"/>
      <c r="BV2527" s="153"/>
      <c r="BW2527" s="153"/>
      <c r="BX2527" s="153"/>
      <c r="BY2527" s="153"/>
      <c r="BZ2527" s="153"/>
      <c r="CA2527" s="152"/>
      <c r="CB2527" s="152"/>
    </row>
    <row r="2528" spans="1:80" s="87" customFormat="1" ht="15" x14ac:dyDescent="0.25">
      <c r="A2528" s="152"/>
      <c r="B2528" s="683"/>
      <c r="C2528" s="683"/>
      <c r="D2528" s="698"/>
      <c r="E2528" s="215"/>
      <c r="F2528" s="215"/>
      <c r="G2528" s="153"/>
      <c r="H2528" s="153"/>
      <c r="I2528" s="165">
        <v>18</v>
      </c>
      <c r="J2528" s="312">
        <v>60</v>
      </c>
      <c r="K2528" s="150">
        <v>1</v>
      </c>
      <c r="L2528" s="656">
        <v>18</v>
      </c>
      <c r="M2528" s="663">
        <v>34492</v>
      </c>
      <c r="N2528" s="600">
        <v>4.27522</v>
      </c>
      <c r="O2528" s="604">
        <v>8.8099999999999995E-4</v>
      </c>
      <c r="P2528" s="150"/>
      <c r="Q2528" s="250"/>
      <c r="R2528" s="250"/>
      <c r="S2528" s="250"/>
      <c r="T2528" s="250"/>
      <c r="U2528" s="250">
        <v>8.3000000000000004E-2</v>
      </c>
      <c r="V2528" s="250">
        <v>0.24945699999999998</v>
      </c>
      <c r="W2528" s="250">
        <v>0.40269199999999999</v>
      </c>
      <c r="X2528" s="250">
        <v>0.24964800000000001</v>
      </c>
      <c r="Y2528" s="250">
        <v>1.5088999999999998E-2</v>
      </c>
      <c r="Z2528" s="150"/>
      <c r="AA2528" s="150">
        <v>0.75</v>
      </c>
      <c r="AB2528" s="152"/>
      <c r="AC2528" s="152"/>
      <c r="AD2528" s="223">
        <v>13.105969999999999</v>
      </c>
      <c r="AE2528" s="223">
        <v>0.46632869999999998</v>
      </c>
      <c r="AF2528" s="223">
        <v>6.1217145999999998</v>
      </c>
      <c r="AG2528" s="223">
        <v>0.69492120000000002</v>
      </c>
      <c r="AH2528" s="341"/>
      <c r="AI2528" s="218"/>
      <c r="AJ2528" s="218"/>
      <c r="AK2528" s="153"/>
      <c r="AL2528" s="152"/>
      <c r="AM2528" s="152"/>
      <c r="AN2528" s="152"/>
      <c r="AO2528" s="152"/>
      <c r="AP2528" s="152"/>
      <c r="AQ2528" s="152"/>
      <c r="AR2528" s="152"/>
      <c r="AS2528" s="152"/>
      <c r="AT2528" s="152"/>
      <c r="AU2528" s="153"/>
      <c r="AV2528" s="479"/>
      <c r="AW2528" s="479"/>
      <c r="AX2528" s="442"/>
      <c r="AY2528" s="153"/>
      <c r="AZ2528" s="152"/>
      <c r="BA2528" s="152"/>
      <c r="BB2528" s="152"/>
      <c r="BC2528" s="152"/>
      <c r="BD2528" s="152"/>
      <c r="BE2528" s="152"/>
      <c r="BF2528" s="152"/>
      <c r="BG2528" s="152"/>
      <c r="BH2528" s="152"/>
      <c r="BI2528" s="153"/>
      <c r="BJ2528" s="153"/>
      <c r="BK2528" s="153"/>
      <c r="BL2528" s="153"/>
      <c r="BM2528" s="153"/>
      <c r="BN2528" s="153"/>
      <c r="BO2528" s="153"/>
      <c r="BP2528" s="153"/>
      <c r="BQ2528" s="153"/>
      <c r="BR2528" s="153"/>
      <c r="BS2528" s="153"/>
      <c r="BT2528" s="153"/>
      <c r="BU2528" s="153"/>
      <c r="BV2528" s="153"/>
      <c r="BW2528" s="153"/>
      <c r="BX2528" s="153"/>
      <c r="BY2528" s="153"/>
      <c r="BZ2528" s="153"/>
      <c r="CA2528" s="152"/>
      <c r="CB2528" s="152"/>
    </row>
    <row r="2529" spans="1:80" s="87" customFormat="1" ht="15" x14ac:dyDescent="0.25">
      <c r="A2529" s="152"/>
      <c r="B2529" s="683"/>
      <c r="C2529" s="683"/>
      <c r="D2529" s="698"/>
      <c r="E2529" s="215"/>
      <c r="F2529" s="215"/>
      <c r="G2529" s="153"/>
      <c r="H2529" s="153"/>
      <c r="I2529" s="165">
        <v>18</v>
      </c>
      <c r="J2529" s="312">
        <v>60</v>
      </c>
      <c r="K2529" s="150">
        <v>1</v>
      </c>
      <c r="L2529" s="656">
        <v>18</v>
      </c>
      <c r="M2529" s="663">
        <v>34492</v>
      </c>
      <c r="N2529" s="600">
        <v>4.27522</v>
      </c>
      <c r="O2529" s="604">
        <v>1.0499999999999999E-3</v>
      </c>
      <c r="P2529" s="150"/>
      <c r="Q2529" s="250"/>
      <c r="R2529" s="250"/>
      <c r="S2529" s="250"/>
      <c r="T2529" s="250">
        <v>0.17399999999999999</v>
      </c>
      <c r="U2529" s="250">
        <v>0.23800000000000002</v>
      </c>
      <c r="V2529" s="250">
        <v>0.177033</v>
      </c>
      <c r="W2529" s="250">
        <v>0.21551699999999996</v>
      </c>
      <c r="X2529" s="250">
        <v>0.17732700000000001</v>
      </c>
      <c r="Y2529" s="250">
        <v>1.7669999999999998E-2</v>
      </c>
      <c r="Z2529" s="150"/>
      <c r="AA2529" s="150">
        <v>1.42</v>
      </c>
      <c r="AB2529" s="152"/>
      <c r="AC2529" s="152"/>
      <c r="AD2529" s="223">
        <v>13.105969999999999</v>
      </c>
      <c r="AE2529" s="223">
        <v>0.46632869999999998</v>
      </c>
      <c r="AF2529" s="223">
        <v>6.1217145999999998</v>
      </c>
      <c r="AG2529" s="223">
        <v>0.69492120000000002</v>
      </c>
      <c r="AH2529" s="341"/>
      <c r="AI2529" s="218"/>
      <c r="AJ2529" s="218"/>
      <c r="AK2529" s="153"/>
      <c r="AL2529" s="152"/>
      <c r="AM2529" s="152"/>
      <c r="AN2529" s="152"/>
      <c r="AO2529" s="152"/>
      <c r="AP2529" s="152"/>
      <c r="AQ2529" s="152"/>
      <c r="AR2529" s="152"/>
      <c r="AS2529" s="152"/>
      <c r="AT2529" s="152"/>
      <c r="AU2529" s="153"/>
      <c r="AV2529" s="479"/>
      <c r="AW2529" s="479"/>
      <c r="AX2529" s="442"/>
      <c r="AY2529" s="153"/>
      <c r="AZ2529" s="152"/>
      <c r="BA2529" s="152"/>
      <c r="BB2529" s="152"/>
      <c r="BC2529" s="152"/>
      <c r="BD2529" s="152"/>
      <c r="BE2529" s="152"/>
      <c r="BF2529" s="152"/>
      <c r="BG2529" s="152"/>
      <c r="BH2529" s="152"/>
      <c r="BI2529" s="153"/>
      <c r="BJ2529" s="153"/>
      <c r="BK2529" s="153"/>
      <c r="BL2529" s="153"/>
      <c r="BM2529" s="153"/>
      <c r="BN2529" s="153"/>
      <c r="BO2529" s="153"/>
      <c r="BP2529" s="153"/>
      <c r="BQ2529" s="153"/>
      <c r="BR2529" s="153"/>
      <c r="BS2529" s="153"/>
      <c r="BT2529" s="153"/>
      <c r="BU2529" s="153"/>
      <c r="BV2529" s="153"/>
      <c r="BW2529" s="153"/>
      <c r="BX2529" s="153"/>
      <c r="BY2529" s="153"/>
      <c r="BZ2529" s="153"/>
      <c r="CA2529" s="152"/>
      <c r="CB2529" s="152"/>
    </row>
    <row r="2530" spans="1:80" s="87" customFormat="1" ht="15" x14ac:dyDescent="0.25">
      <c r="A2530" s="152"/>
      <c r="B2530" s="683"/>
      <c r="C2530" s="683"/>
      <c r="D2530" s="698"/>
      <c r="E2530" s="215"/>
      <c r="F2530" s="215"/>
      <c r="G2530" s="153"/>
      <c r="H2530" s="153"/>
      <c r="I2530" s="165">
        <v>19</v>
      </c>
      <c r="J2530" s="312">
        <v>60</v>
      </c>
      <c r="K2530" s="150">
        <v>1</v>
      </c>
      <c r="L2530" s="656">
        <v>19</v>
      </c>
      <c r="M2530" s="663">
        <v>34495</v>
      </c>
      <c r="N2530" s="600">
        <v>3.6240299999999999</v>
      </c>
      <c r="O2530" s="604">
        <v>3.3399999999999999E-4</v>
      </c>
      <c r="P2530" s="150"/>
      <c r="Q2530" s="250"/>
      <c r="R2530" s="250"/>
      <c r="S2530" s="250"/>
      <c r="T2530" s="250"/>
      <c r="U2530" s="250">
        <v>7.2999999999999995E-2</v>
      </c>
      <c r="V2530" s="250">
        <v>0.156357</v>
      </c>
      <c r="W2530" s="250">
        <v>0.42347999999999997</v>
      </c>
      <c r="X2530" s="250">
        <v>0.30808000000000002</v>
      </c>
      <c r="Y2530" s="250">
        <v>3.8959000000000001E-2</v>
      </c>
      <c r="Z2530" s="150"/>
      <c r="AA2530" s="150">
        <v>0.64</v>
      </c>
      <c r="AB2530" s="152"/>
      <c r="AC2530" s="152"/>
      <c r="AD2530" s="223">
        <v>13.105969999999999</v>
      </c>
      <c r="AE2530" s="223">
        <v>0.45718500000000001</v>
      </c>
      <c r="AF2530" s="223">
        <v>5.9730841999999997</v>
      </c>
      <c r="AG2530" s="223">
        <v>0.59738840000000004</v>
      </c>
      <c r="AH2530" s="341"/>
      <c r="AI2530" s="218"/>
      <c r="AJ2530" s="218"/>
      <c r="AK2530" s="153"/>
      <c r="AL2530" s="152"/>
      <c r="AM2530" s="152"/>
      <c r="AN2530" s="152"/>
      <c r="AO2530" s="152"/>
      <c r="AP2530" s="152"/>
      <c r="AQ2530" s="152"/>
      <c r="AR2530" s="152"/>
      <c r="AS2530" s="152"/>
      <c r="AT2530" s="152"/>
      <c r="AU2530" s="153"/>
      <c r="AV2530" s="479"/>
      <c r="AW2530" s="479"/>
      <c r="AX2530" s="442"/>
      <c r="AY2530" s="153"/>
      <c r="AZ2530" s="152"/>
      <c r="BA2530" s="152"/>
      <c r="BB2530" s="152"/>
      <c r="BC2530" s="152"/>
      <c r="BD2530" s="152"/>
      <c r="BE2530" s="152"/>
      <c r="BF2530" s="152"/>
      <c r="BG2530" s="152"/>
      <c r="BH2530" s="152"/>
      <c r="BI2530" s="153"/>
      <c r="BJ2530" s="153"/>
      <c r="BK2530" s="153"/>
      <c r="BL2530" s="153"/>
      <c r="BM2530" s="153"/>
      <c r="BN2530" s="153"/>
      <c r="BO2530" s="153"/>
      <c r="BP2530" s="153"/>
      <c r="BQ2530" s="153"/>
      <c r="BR2530" s="153"/>
      <c r="BS2530" s="153"/>
      <c r="BT2530" s="153"/>
      <c r="BU2530" s="153"/>
      <c r="BV2530" s="153"/>
      <c r="BW2530" s="153"/>
      <c r="BX2530" s="153"/>
      <c r="BY2530" s="153"/>
      <c r="BZ2530" s="153"/>
      <c r="CA2530" s="152"/>
      <c r="CB2530" s="152"/>
    </row>
    <row r="2531" spans="1:80" s="87" customFormat="1" ht="15" x14ac:dyDescent="0.25">
      <c r="A2531" s="152"/>
      <c r="B2531" s="683"/>
      <c r="C2531" s="683"/>
      <c r="D2531" s="698"/>
      <c r="E2531" s="215"/>
      <c r="F2531" s="215"/>
      <c r="G2531" s="153"/>
      <c r="H2531" s="153"/>
      <c r="I2531" s="165">
        <v>19</v>
      </c>
      <c r="J2531" s="312">
        <v>60</v>
      </c>
      <c r="K2531" s="150">
        <v>1</v>
      </c>
      <c r="L2531" s="656">
        <v>19</v>
      </c>
      <c r="M2531" s="663">
        <v>34495</v>
      </c>
      <c r="N2531" s="600">
        <v>3.6240299999999999</v>
      </c>
      <c r="O2531" s="604">
        <v>2.5399999999999999E-4</v>
      </c>
      <c r="P2531" s="150"/>
      <c r="Q2531" s="250"/>
      <c r="R2531" s="250"/>
      <c r="S2531" s="250"/>
      <c r="T2531" s="250"/>
      <c r="U2531" s="250"/>
      <c r="V2531" s="250">
        <v>0.124169</v>
      </c>
      <c r="W2531" s="250">
        <v>0.34778700000000001</v>
      </c>
      <c r="X2531" s="250">
        <v>0.46378599999999998</v>
      </c>
      <c r="Y2531" s="250">
        <v>6.4257999999999996E-2</v>
      </c>
      <c r="Z2531" s="150"/>
      <c r="AA2531" s="150">
        <v>0.48</v>
      </c>
      <c r="AB2531" s="152"/>
      <c r="AC2531" s="152"/>
      <c r="AD2531" s="223">
        <v>13.105969999999999</v>
      </c>
      <c r="AE2531" s="223">
        <v>0.45718500000000001</v>
      </c>
      <c r="AF2531" s="223">
        <v>5.9730841999999997</v>
      </c>
      <c r="AG2531" s="223">
        <v>0.59738840000000004</v>
      </c>
      <c r="AH2531" s="341"/>
      <c r="AI2531" s="218"/>
      <c r="AJ2531" s="218"/>
      <c r="AK2531" s="153"/>
      <c r="AL2531" s="152"/>
      <c r="AM2531" s="152"/>
      <c r="AN2531" s="152"/>
      <c r="AO2531" s="152"/>
      <c r="AP2531" s="152"/>
      <c r="AQ2531" s="152"/>
      <c r="AR2531" s="152"/>
      <c r="AS2531" s="152"/>
      <c r="AT2531" s="152"/>
      <c r="AU2531" s="153"/>
      <c r="AV2531" s="479"/>
      <c r="AW2531" s="479"/>
      <c r="AX2531" s="442"/>
      <c r="AY2531" s="153"/>
      <c r="AZ2531" s="152"/>
      <c r="BA2531" s="152"/>
      <c r="BB2531" s="152"/>
      <c r="BC2531" s="152"/>
      <c r="BD2531" s="152"/>
      <c r="BE2531" s="152"/>
      <c r="BF2531" s="152"/>
      <c r="BG2531" s="152"/>
      <c r="BH2531" s="152"/>
      <c r="BI2531" s="153"/>
      <c r="BJ2531" s="153"/>
      <c r="BK2531" s="153"/>
      <c r="BL2531" s="153"/>
      <c r="BM2531" s="153"/>
      <c r="BN2531" s="153"/>
      <c r="BO2531" s="153"/>
      <c r="BP2531" s="153"/>
      <c r="BQ2531" s="153"/>
      <c r="BR2531" s="153"/>
      <c r="BS2531" s="153"/>
      <c r="BT2531" s="153"/>
      <c r="BU2531" s="153"/>
      <c r="BV2531" s="153"/>
      <c r="BW2531" s="153"/>
      <c r="BX2531" s="153"/>
      <c r="BY2531" s="153"/>
      <c r="BZ2531" s="153"/>
      <c r="CA2531" s="152"/>
      <c r="CB2531" s="152"/>
    </row>
    <row r="2532" spans="1:80" s="87" customFormat="1" ht="15" x14ac:dyDescent="0.25">
      <c r="A2532" s="152"/>
      <c r="B2532" s="683"/>
      <c r="C2532" s="683"/>
      <c r="D2532" s="698"/>
      <c r="E2532" s="215"/>
      <c r="F2532" s="215"/>
      <c r="G2532" s="153"/>
      <c r="H2532" s="153"/>
      <c r="I2532" s="165">
        <v>21</v>
      </c>
      <c r="J2532" s="312">
        <v>60</v>
      </c>
      <c r="K2532" s="150">
        <v>1</v>
      </c>
      <c r="L2532" s="656">
        <v>21</v>
      </c>
      <c r="M2532" s="663">
        <v>34500</v>
      </c>
      <c r="N2532" s="600">
        <v>3.42584</v>
      </c>
      <c r="O2532" s="604">
        <v>7.6099999999999996E-4</v>
      </c>
      <c r="P2532" s="150"/>
      <c r="Q2532" s="250"/>
      <c r="R2532" s="250"/>
      <c r="S2532" s="250"/>
      <c r="T2532" s="250"/>
      <c r="U2532" s="250">
        <v>0.184</v>
      </c>
      <c r="V2532" s="250">
        <v>0.35859900000000006</v>
      </c>
      <c r="W2532" s="250">
        <v>0.28374000000000005</v>
      </c>
      <c r="X2532" s="250">
        <v>0.16544699999999998</v>
      </c>
      <c r="Y2532" s="250">
        <v>8.6300000000000005E-3</v>
      </c>
      <c r="Z2532" s="150"/>
      <c r="AA2532" s="150">
        <v>1.08</v>
      </c>
      <c r="AB2532" s="152"/>
      <c r="AC2532" s="152"/>
      <c r="AD2532" s="223">
        <v>13.105969999999999</v>
      </c>
      <c r="AE2532" s="223">
        <v>0.42365809999999998</v>
      </c>
      <c r="AF2532" s="223">
        <v>5.5364823999999997</v>
      </c>
      <c r="AG2532" s="223">
        <v>0.6126279</v>
      </c>
      <c r="AH2532" s="341"/>
      <c r="AI2532" s="218"/>
      <c r="AJ2532" s="218"/>
      <c r="AK2532" s="153"/>
      <c r="AL2532" s="152"/>
      <c r="AM2532" s="152"/>
      <c r="AN2532" s="152"/>
      <c r="AO2532" s="152"/>
      <c r="AP2532" s="152"/>
      <c r="AQ2532" s="152"/>
      <c r="AR2532" s="152"/>
      <c r="AS2532" s="152"/>
      <c r="AT2532" s="152"/>
      <c r="AU2532" s="153"/>
      <c r="AV2532" s="479"/>
      <c r="AW2532" s="479"/>
      <c r="AX2532" s="442"/>
      <c r="AY2532" s="153"/>
      <c r="AZ2532" s="152"/>
      <c r="BA2532" s="152"/>
      <c r="BB2532" s="152"/>
      <c r="BC2532" s="152"/>
      <c r="BD2532" s="152"/>
      <c r="BE2532" s="152"/>
      <c r="BF2532" s="152"/>
      <c r="BG2532" s="152"/>
      <c r="BH2532" s="152"/>
      <c r="BI2532" s="153"/>
      <c r="BJ2532" s="153"/>
      <c r="BK2532" s="153"/>
      <c r="BL2532" s="153"/>
      <c r="BM2532" s="153"/>
      <c r="BN2532" s="153"/>
      <c r="BO2532" s="153"/>
      <c r="BP2532" s="153"/>
      <c r="BQ2532" s="153"/>
      <c r="BR2532" s="153"/>
      <c r="BS2532" s="153"/>
      <c r="BT2532" s="153"/>
      <c r="BU2532" s="153"/>
      <c r="BV2532" s="153"/>
      <c r="BW2532" s="153"/>
      <c r="BX2532" s="153"/>
      <c r="BY2532" s="153"/>
      <c r="BZ2532" s="153"/>
      <c r="CA2532" s="152"/>
      <c r="CB2532" s="152"/>
    </row>
    <row r="2533" spans="1:80" s="87" customFormat="1" ht="15" x14ac:dyDescent="0.25">
      <c r="A2533" s="152"/>
      <c r="B2533" s="683"/>
      <c r="C2533" s="683"/>
      <c r="D2533" s="698"/>
      <c r="E2533" s="215"/>
      <c r="F2533" s="215"/>
      <c r="G2533" s="153"/>
      <c r="H2533" s="153"/>
      <c r="I2533" s="165">
        <v>21</v>
      </c>
      <c r="J2533" s="312">
        <v>60</v>
      </c>
      <c r="K2533" s="150">
        <v>1</v>
      </c>
      <c r="L2533" s="656">
        <v>21</v>
      </c>
      <c r="M2533" s="663">
        <v>34500</v>
      </c>
      <c r="N2533" s="600">
        <v>3.42584</v>
      </c>
      <c r="O2533" s="604">
        <v>5.4299999999999997E-4</v>
      </c>
      <c r="P2533" s="150"/>
      <c r="Q2533" s="250"/>
      <c r="R2533" s="250"/>
      <c r="S2533" s="250"/>
      <c r="T2533" s="250"/>
      <c r="U2533" s="250"/>
      <c r="V2533" s="250">
        <v>0.148399</v>
      </c>
      <c r="W2533" s="250">
        <v>0.46138200000000007</v>
      </c>
      <c r="X2533" s="250">
        <v>0.37844299999999997</v>
      </c>
      <c r="Y2533" s="250">
        <v>1.1776E-2</v>
      </c>
      <c r="Z2533" s="150"/>
      <c r="AA2533" s="150">
        <v>0.59</v>
      </c>
      <c r="AB2533" s="152"/>
      <c r="AC2533" s="152"/>
      <c r="AD2533" s="223">
        <v>13.105969999999999</v>
      </c>
      <c r="AE2533" s="223">
        <v>0.42365809999999998</v>
      </c>
      <c r="AF2533" s="223">
        <v>5.5364823999999997</v>
      </c>
      <c r="AG2533" s="223">
        <v>0.6126279</v>
      </c>
      <c r="AH2533" s="341"/>
      <c r="AI2533" s="218"/>
      <c r="AJ2533" s="218"/>
      <c r="AK2533" s="153"/>
      <c r="AL2533" s="152"/>
      <c r="AM2533" s="152"/>
      <c r="AN2533" s="152"/>
      <c r="AO2533" s="152"/>
      <c r="AP2533" s="152"/>
      <c r="AQ2533" s="152"/>
      <c r="AR2533" s="152"/>
      <c r="AS2533" s="152"/>
      <c r="AT2533" s="152"/>
      <c r="AU2533" s="153"/>
      <c r="AV2533" s="479"/>
      <c r="AW2533" s="479"/>
      <c r="AX2533" s="442"/>
      <c r="AY2533" s="153"/>
      <c r="AZ2533" s="152"/>
      <c r="BA2533" s="152"/>
      <c r="BB2533" s="152"/>
      <c r="BC2533" s="152"/>
      <c r="BD2533" s="152"/>
      <c r="BE2533" s="152"/>
      <c r="BF2533" s="152"/>
      <c r="BG2533" s="152"/>
      <c r="BH2533" s="152"/>
      <c r="BI2533" s="153"/>
      <c r="BJ2533" s="153"/>
      <c r="BK2533" s="153"/>
      <c r="BL2533" s="153"/>
      <c r="BM2533" s="153"/>
      <c r="BN2533" s="153"/>
      <c r="BO2533" s="153"/>
      <c r="BP2533" s="153"/>
      <c r="BQ2533" s="153"/>
      <c r="BR2533" s="153"/>
      <c r="BS2533" s="153"/>
      <c r="BT2533" s="153"/>
      <c r="BU2533" s="153"/>
      <c r="BV2533" s="153"/>
      <c r="BW2533" s="153"/>
      <c r="BX2533" s="153"/>
      <c r="BY2533" s="153"/>
      <c r="BZ2533" s="153"/>
      <c r="CA2533" s="152"/>
      <c r="CB2533" s="152"/>
    </row>
    <row r="2534" spans="1:80" s="87" customFormat="1" ht="15" x14ac:dyDescent="0.25">
      <c r="A2534" s="152"/>
      <c r="B2534" s="683"/>
      <c r="C2534" s="683"/>
      <c r="D2534" s="698"/>
      <c r="E2534" s="215"/>
      <c r="F2534" s="215"/>
      <c r="G2534" s="153"/>
      <c r="H2534" s="153"/>
      <c r="I2534" s="165">
        <v>23</v>
      </c>
      <c r="J2534" s="312">
        <v>60</v>
      </c>
      <c r="K2534" s="150">
        <v>1</v>
      </c>
      <c r="L2534" s="656">
        <v>23</v>
      </c>
      <c r="M2534" s="663">
        <v>34507</v>
      </c>
      <c r="N2534" s="600">
        <v>2.8879000000000001</v>
      </c>
      <c r="O2534" s="604">
        <v>6.7000000000000002E-4</v>
      </c>
      <c r="P2534" s="150"/>
      <c r="Q2534" s="250"/>
      <c r="R2534" s="250"/>
      <c r="S2534" s="250"/>
      <c r="T2534" s="250"/>
      <c r="U2534" s="250">
        <v>1.7000000000000001E-2</v>
      </c>
      <c r="V2534" s="250">
        <v>0.12116300000000001</v>
      </c>
      <c r="W2534" s="250">
        <v>0.42459899999999995</v>
      </c>
      <c r="X2534" s="250">
        <v>0.39687399999999995</v>
      </c>
      <c r="Y2534" s="250">
        <v>4.0647000000000003E-2</v>
      </c>
      <c r="Z2534" s="150"/>
      <c r="AA2534" s="150">
        <v>0.55000000000000004</v>
      </c>
      <c r="AB2534" s="152"/>
      <c r="AC2534" s="152"/>
      <c r="AD2534" s="223">
        <v>12.953575000000001</v>
      </c>
      <c r="AE2534" s="223">
        <v>0.44194549999999999</v>
      </c>
      <c r="AF2534" s="223">
        <v>5.7315598000000003</v>
      </c>
      <c r="AG2534" s="223">
        <v>0.50899930000000004</v>
      </c>
      <c r="AH2534" s="341"/>
      <c r="AI2534" s="218"/>
      <c r="AJ2534" s="218"/>
      <c r="AK2534" s="153"/>
      <c r="AL2534" s="152"/>
      <c r="AM2534" s="152"/>
      <c r="AN2534" s="152"/>
      <c r="AO2534" s="152"/>
      <c r="AP2534" s="152"/>
      <c r="AQ2534" s="152"/>
      <c r="AR2534" s="152"/>
      <c r="AS2534" s="152"/>
      <c r="AT2534" s="152"/>
      <c r="AU2534" s="153"/>
      <c r="AV2534" s="479"/>
      <c r="AW2534" s="479"/>
      <c r="AX2534" s="442"/>
      <c r="AY2534" s="153"/>
      <c r="AZ2534" s="152"/>
      <c r="BA2534" s="152"/>
      <c r="BB2534" s="152"/>
      <c r="BC2534" s="152"/>
      <c r="BD2534" s="152"/>
      <c r="BE2534" s="152"/>
      <c r="BF2534" s="152"/>
      <c r="BG2534" s="152"/>
      <c r="BH2534" s="152"/>
      <c r="BI2534" s="153"/>
      <c r="BJ2534" s="153"/>
      <c r="BK2534" s="153"/>
      <c r="BL2534" s="153"/>
      <c r="BM2534" s="153"/>
      <c r="BN2534" s="153"/>
      <c r="BO2534" s="153"/>
      <c r="BP2534" s="153"/>
      <c r="BQ2534" s="153"/>
      <c r="BR2534" s="153"/>
      <c r="BS2534" s="153"/>
      <c r="BT2534" s="153"/>
      <c r="BU2534" s="153"/>
      <c r="BV2534" s="153"/>
      <c r="BW2534" s="153"/>
      <c r="BX2534" s="153"/>
      <c r="BY2534" s="153"/>
      <c r="BZ2534" s="153"/>
      <c r="CA2534" s="152"/>
      <c r="CB2534" s="152"/>
    </row>
    <row r="2535" spans="1:80" s="87" customFormat="1" ht="15" x14ac:dyDescent="0.25">
      <c r="A2535" s="152"/>
      <c r="B2535" s="683"/>
      <c r="C2535" s="683"/>
      <c r="D2535" s="698"/>
      <c r="E2535" s="215"/>
      <c r="F2535" s="215"/>
      <c r="G2535" s="153"/>
      <c r="H2535" s="153"/>
      <c r="I2535" s="165">
        <v>23</v>
      </c>
      <c r="J2535" s="312">
        <v>60</v>
      </c>
      <c r="K2535" s="150">
        <v>1</v>
      </c>
      <c r="L2535" s="656">
        <v>23</v>
      </c>
      <c r="M2535" s="663">
        <v>34507</v>
      </c>
      <c r="N2535" s="600">
        <v>2.8879000000000001</v>
      </c>
      <c r="O2535" s="604">
        <v>1.658E-3</v>
      </c>
      <c r="P2535" s="150"/>
      <c r="Q2535" s="250"/>
      <c r="R2535" s="250"/>
      <c r="S2535" s="250"/>
      <c r="T2535" s="250"/>
      <c r="U2535" s="250">
        <v>1.2E-2</v>
      </c>
      <c r="V2535" s="250">
        <v>0.29302600000000001</v>
      </c>
      <c r="W2535" s="250">
        <v>0.34101500000000001</v>
      </c>
      <c r="X2535" s="250">
        <v>0.340333</v>
      </c>
      <c r="Y2535" s="250">
        <v>1.3504E-2</v>
      </c>
      <c r="Z2535" s="150"/>
      <c r="AA2535" s="150">
        <v>0.67</v>
      </c>
      <c r="AB2535" s="152"/>
      <c r="AC2535" s="152"/>
      <c r="AD2535" s="223">
        <v>12.953575000000001</v>
      </c>
      <c r="AE2535" s="223">
        <v>0.44194549999999999</v>
      </c>
      <c r="AF2535" s="223">
        <v>5.7315598000000003</v>
      </c>
      <c r="AG2535" s="223">
        <v>0.50899930000000004</v>
      </c>
      <c r="AH2535" s="341"/>
      <c r="AI2535" s="218"/>
      <c r="AJ2535" s="218"/>
      <c r="AK2535" s="153"/>
      <c r="AL2535" s="152"/>
      <c r="AM2535" s="152"/>
      <c r="AN2535" s="152"/>
      <c r="AO2535" s="152"/>
      <c r="AP2535" s="152"/>
      <c r="AQ2535" s="152"/>
      <c r="AR2535" s="152"/>
      <c r="AS2535" s="152"/>
      <c r="AT2535" s="152"/>
      <c r="AU2535" s="153"/>
      <c r="AV2535" s="479"/>
      <c r="AW2535" s="479"/>
      <c r="AX2535" s="442"/>
      <c r="AY2535" s="153"/>
      <c r="AZ2535" s="152"/>
      <c r="BA2535" s="152"/>
      <c r="BB2535" s="152"/>
      <c r="BC2535" s="152"/>
      <c r="BD2535" s="152"/>
      <c r="BE2535" s="152"/>
      <c r="BF2535" s="152"/>
      <c r="BG2535" s="152"/>
      <c r="BH2535" s="152"/>
      <c r="BI2535" s="153"/>
      <c r="BJ2535" s="153"/>
      <c r="BK2535" s="153"/>
      <c r="BL2535" s="153"/>
      <c r="BM2535" s="153"/>
      <c r="BN2535" s="153"/>
      <c r="BO2535" s="153"/>
      <c r="BP2535" s="153"/>
      <c r="BQ2535" s="153"/>
      <c r="BR2535" s="153"/>
      <c r="BS2535" s="153"/>
      <c r="BT2535" s="153"/>
      <c r="BU2535" s="153"/>
      <c r="BV2535" s="153"/>
      <c r="BW2535" s="153"/>
      <c r="BX2535" s="153"/>
      <c r="BY2535" s="153"/>
      <c r="BZ2535" s="153"/>
      <c r="CA2535" s="152"/>
      <c r="CB2535" s="152"/>
    </row>
    <row r="2536" spans="1:80" s="87" customFormat="1" ht="15" x14ac:dyDescent="0.25">
      <c r="A2536" s="152"/>
      <c r="B2536" s="683"/>
      <c r="C2536" s="683"/>
      <c r="D2536" s="698"/>
      <c r="E2536" s="215"/>
      <c r="F2536" s="215"/>
      <c r="G2536" s="153"/>
      <c r="H2536" s="153"/>
      <c r="I2536" s="165">
        <v>19</v>
      </c>
      <c r="J2536" s="312">
        <v>60</v>
      </c>
      <c r="K2536" s="150">
        <v>1</v>
      </c>
      <c r="L2536" s="656">
        <v>19</v>
      </c>
      <c r="M2536" s="663">
        <v>34516</v>
      </c>
      <c r="N2536" s="600">
        <v>2.0951399999999998</v>
      </c>
      <c r="O2536" s="604">
        <v>1.5430000000000001E-3</v>
      </c>
      <c r="P2536" s="150"/>
      <c r="Q2536" s="250"/>
      <c r="R2536" s="250"/>
      <c r="S2536" s="250"/>
      <c r="T2536" s="250"/>
      <c r="U2536" s="250"/>
      <c r="V2536" s="250">
        <v>0.12345100000000001</v>
      </c>
      <c r="W2536" s="250">
        <v>0.67017099999999996</v>
      </c>
      <c r="X2536" s="250">
        <v>0.198799</v>
      </c>
      <c r="Y2536" s="250">
        <v>7.5799999999999999E-3</v>
      </c>
      <c r="Z2536" s="150"/>
      <c r="AA2536" s="150">
        <v>0.68</v>
      </c>
      <c r="AB2536" s="152"/>
      <c r="AC2536" s="152"/>
      <c r="AD2536" s="223">
        <v>10.972440000000001</v>
      </c>
      <c r="AE2536" s="223">
        <v>0.44499339999999998</v>
      </c>
      <c r="AF2536" s="223">
        <v>4.8862243999999997</v>
      </c>
      <c r="AG2536" s="223">
        <v>0.40841860000000002</v>
      </c>
      <c r="AH2536" s="341"/>
      <c r="AI2536" s="218"/>
      <c r="AJ2536" s="218"/>
      <c r="AK2536" s="153"/>
      <c r="AL2536" s="152"/>
      <c r="AM2536" s="152"/>
      <c r="AN2536" s="152"/>
      <c r="AO2536" s="152"/>
      <c r="AP2536" s="152"/>
      <c r="AQ2536" s="152"/>
      <c r="AR2536" s="152"/>
      <c r="AS2536" s="152"/>
      <c r="AT2536" s="152"/>
      <c r="AU2536" s="153"/>
      <c r="AV2536" s="479"/>
      <c r="AW2536" s="479"/>
      <c r="AX2536" s="442"/>
      <c r="AY2536" s="153"/>
      <c r="AZ2536" s="152"/>
      <c r="BA2536" s="152"/>
      <c r="BB2536" s="152"/>
      <c r="BC2536" s="152"/>
      <c r="BD2536" s="152"/>
      <c r="BE2536" s="152"/>
      <c r="BF2536" s="152"/>
      <c r="BG2536" s="152"/>
      <c r="BH2536" s="152"/>
      <c r="BI2536" s="153"/>
      <c r="BJ2536" s="153"/>
      <c r="BK2536" s="153"/>
      <c r="BL2536" s="153"/>
      <c r="BM2536" s="153"/>
      <c r="BN2536" s="153"/>
      <c r="BO2536" s="153"/>
      <c r="BP2536" s="153"/>
      <c r="BQ2536" s="153"/>
      <c r="BR2536" s="153"/>
      <c r="BS2536" s="153"/>
      <c r="BT2536" s="153"/>
      <c r="BU2536" s="153"/>
      <c r="BV2536" s="153"/>
      <c r="BW2536" s="153"/>
      <c r="BX2536" s="153"/>
      <c r="BY2536" s="153"/>
      <c r="BZ2536" s="153"/>
      <c r="CA2536" s="152"/>
      <c r="CB2536" s="152"/>
    </row>
    <row r="2537" spans="1:80" s="87" customFormat="1" ht="15" x14ac:dyDescent="0.25">
      <c r="A2537" s="152"/>
      <c r="B2537" s="683"/>
      <c r="C2537" s="683"/>
      <c r="D2537" s="698"/>
      <c r="E2537" s="215"/>
      <c r="F2537" s="215"/>
      <c r="G2537" s="153"/>
      <c r="H2537" s="153"/>
      <c r="I2537" s="165">
        <v>19</v>
      </c>
      <c r="J2537" s="312">
        <v>60</v>
      </c>
      <c r="K2537" s="150">
        <v>1</v>
      </c>
      <c r="L2537" s="656">
        <v>19</v>
      </c>
      <c r="M2537" s="663">
        <v>34516</v>
      </c>
      <c r="N2537" s="600">
        <v>2.0951399999999998</v>
      </c>
      <c r="O2537" s="604">
        <v>3.2850000000000002E-3</v>
      </c>
      <c r="P2537" s="150"/>
      <c r="Q2537" s="250"/>
      <c r="R2537" s="250"/>
      <c r="S2537" s="250"/>
      <c r="T2537" s="250"/>
      <c r="U2537" s="250">
        <v>5.0000000000000001E-3</v>
      </c>
      <c r="V2537" s="250">
        <v>0.17557800000000001</v>
      </c>
      <c r="W2537" s="250">
        <v>0.63774799999999998</v>
      </c>
      <c r="X2537" s="250">
        <v>0.17614199999999999</v>
      </c>
      <c r="Y2537" s="250">
        <v>5.3749999999999996E-3</v>
      </c>
      <c r="Z2537" s="150"/>
      <c r="AA2537" s="150">
        <v>0.71</v>
      </c>
      <c r="AB2537" s="152"/>
      <c r="AC2537" s="152"/>
      <c r="AD2537" s="223">
        <v>10.972440000000001</v>
      </c>
      <c r="AE2537" s="223">
        <v>0.44499339999999998</v>
      </c>
      <c r="AF2537" s="223">
        <v>4.8862243999999997</v>
      </c>
      <c r="AG2537" s="223">
        <v>0.40841860000000002</v>
      </c>
      <c r="AH2537" s="341"/>
      <c r="AI2537" s="218"/>
      <c r="AJ2537" s="218"/>
      <c r="AK2537" s="153"/>
      <c r="AL2537" s="152"/>
      <c r="AM2537" s="152"/>
      <c r="AN2537" s="152"/>
      <c r="AO2537" s="152"/>
      <c r="AP2537" s="152"/>
      <c r="AQ2537" s="152"/>
      <c r="AR2537" s="152"/>
      <c r="AS2537" s="152"/>
      <c r="AT2537" s="152"/>
      <c r="AU2537" s="153"/>
      <c r="AV2537" s="479"/>
      <c r="AW2537" s="479"/>
      <c r="AX2537" s="442"/>
      <c r="AY2537" s="153"/>
      <c r="AZ2537" s="152"/>
      <c r="BA2537" s="152"/>
      <c r="BB2537" s="152"/>
      <c r="BC2537" s="152"/>
      <c r="BD2537" s="152"/>
      <c r="BE2537" s="152"/>
      <c r="BF2537" s="152"/>
      <c r="BG2537" s="152"/>
      <c r="BH2537" s="152"/>
      <c r="BI2537" s="153"/>
      <c r="BJ2537" s="153"/>
      <c r="BK2537" s="153"/>
      <c r="BL2537" s="153"/>
      <c r="BM2537" s="153"/>
      <c r="BN2537" s="153"/>
      <c r="BO2537" s="153"/>
      <c r="BP2537" s="153"/>
      <c r="BQ2537" s="153"/>
      <c r="BR2537" s="153"/>
      <c r="BS2537" s="153"/>
      <c r="BT2537" s="153"/>
      <c r="BU2537" s="153"/>
      <c r="BV2537" s="153"/>
      <c r="BW2537" s="153"/>
      <c r="BX2537" s="153"/>
      <c r="BY2537" s="153"/>
      <c r="BZ2537" s="153"/>
      <c r="CA2537" s="152"/>
      <c r="CB2537" s="152"/>
    </row>
    <row r="2538" spans="1:80" s="87" customFormat="1" ht="15" x14ac:dyDescent="0.25">
      <c r="A2538" s="152"/>
      <c r="B2538" s="683"/>
      <c r="C2538" s="683"/>
      <c r="D2538" s="698"/>
      <c r="E2538" s="215"/>
      <c r="F2538" s="215"/>
      <c r="G2538" s="153"/>
      <c r="H2538" s="153"/>
      <c r="I2538" s="165">
        <v>23</v>
      </c>
      <c r="J2538" s="312">
        <v>60</v>
      </c>
      <c r="K2538" s="150">
        <v>1</v>
      </c>
      <c r="L2538" s="656">
        <v>23</v>
      </c>
      <c r="M2538" s="663">
        <v>34542</v>
      </c>
      <c r="N2538" s="600">
        <v>1.0220899999999999</v>
      </c>
      <c r="O2538" s="604">
        <v>4.8500000000000003E-4</v>
      </c>
      <c r="P2538" s="150"/>
      <c r="Q2538" s="250"/>
      <c r="R2538" s="250"/>
      <c r="S2538" s="250"/>
      <c r="T2538" s="250"/>
      <c r="U2538" s="250">
        <v>6.9999999999999993E-3</v>
      </c>
      <c r="V2538" s="250">
        <v>0.205515</v>
      </c>
      <c r="W2538" s="250">
        <v>0.43105899999999997</v>
      </c>
      <c r="X2538" s="250">
        <v>0.33781799999999995</v>
      </c>
      <c r="Y2538" s="250">
        <v>1.8880999999999998E-2</v>
      </c>
      <c r="Z2538" s="150"/>
      <c r="AA2538" s="150">
        <v>0.63</v>
      </c>
      <c r="AB2538" s="152"/>
      <c r="AC2538" s="152"/>
      <c r="AD2538" s="223">
        <v>10.759086999999999</v>
      </c>
      <c r="AE2538" s="223">
        <v>0.32002950000000002</v>
      </c>
      <c r="AF2538" s="223">
        <v>3.4277886</v>
      </c>
      <c r="AG2538" s="223">
        <v>0.31088579999999999</v>
      </c>
      <c r="AH2538" s="341"/>
      <c r="AI2538" s="218"/>
      <c r="AJ2538" s="218"/>
      <c r="AK2538" s="153"/>
      <c r="AL2538" s="152"/>
      <c r="AM2538" s="152"/>
      <c r="AN2538" s="152"/>
      <c r="AO2538" s="152"/>
      <c r="AP2538" s="152"/>
      <c r="AQ2538" s="152"/>
      <c r="AR2538" s="152"/>
      <c r="AS2538" s="152"/>
      <c r="AT2538" s="152"/>
      <c r="AU2538" s="153"/>
      <c r="AV2538" s="479"/>
      <c r="AW2538" s="479"/>
      <c r="AX2538" s="442"/>
      <c r="AY2538" s="153"/>
      <c r="AZ2538" s="152"/>
      <c r="BA2538" s="152"/>
      <c r="BB2538" s="152"/>
      <c r="BC2538" s="152"/>
      <c r="BD2538" s="152"/>
      <c r="BE2538" s="152"/>
      <c r="BF2538" s="152"/>
      <c r="BG2538" s="152"/>
      <c r="BH2538" s="152"/>
      <c r="BI2538" s="153"/>
      <c r="BJ2538" s="153"/>
      <c r="BK2538" s="153"/>
      <c r="BL2538" s="153"/>
      <c r="BM2538" s="153"/>
      <c r="BN2538" s="153"/>
      <c r="BO2538" s="153"/>
      <c r="BP2538" s="153"/>
      <c r="BQ2538" s="153"/>
      <c r="BR2538" s="153"/>
      <c r="BS2538" s="153"/>
      <c r="BT2538" s="153"/>
      <c r="BU2538" s="153"/>
      <c r="BV2538" s="153"/>
      <c r="BW2538" s="153"/>
      <c r="BX2538" s="153"/>
      <c r="BY2538" s="153"/>
      <c r="BZ2538" s="153"/>
      <c r="CA2538" s="152"/>
      <c r="CB2538" s="152"/>
    </row>
    <row r="2539" spans="1:80" s="87" customFormat="1" ht="15" x14ac:dyDescent="0.25">
      <c r="A2539" s="152"/>
      <c r="B2539" s="683"/>
      <c r="C2539" s="683"/>
      <c r="D2539" s="698"/>
      <c r="E2539" s="215"/>
      <c r="F2539" s="215"/>
      <c r="G2539" s="153"/>
      <c r="H2539" s="153"/>
      <c r="I2539" s="165">
        <v>23</v>
      </c>
      <c r="J2539" s="312">
        <v>60</v>
      </c>
      <c r="K2539" s="150">
        <v>1</v>
      </c>
      <c r="L2539" s="656">
        <v>23</v>
      </c>
      <c r="M2539" s="663">
        <v>34542</v>
      </c>
      <c r="N2539" s="600">
        <v>1.0220899999999999</v>
      </c>
      <c r="O2539" s="604">
        <v>3.6999999999999999E-4</v>
      </c>
      <c r="P2539" s="150"/>
      <c r="Q2539" s="250"/>
      <c r="R2539" s="250"/>
      <c r="S2539" s="250"/>
      <c r="T2539" s="250"/>
      <c r="U2539" s="250">
        <v>4.4000000000000004E-2</v>
      </c>
      <c r="V2539" s="250">
        <v>0.16012599999999999</v>
      </c>
      <c r="W2539" s="250">
        <v>0.38433200000000001</v>
      </c>
      <c r="X2539" s="250">
        <v>0.38283200000000001</v>
      </c>
      <c r="Y2539" s="250">
        <v>2.8664000000000002E-2</v>
      </c>
      <c r="Z2539" s="150"/>
      <c r="AA2539" s="150">
        <v>0.59</v>
      </c>
      <c r="AB2539" s="152"/>
      <c r="AC2539" s="152"/>
      <c r="AD2539" s="223">
        <v>10.759086999999999</v>
      </c>
      <c r="AE2539" s="223">
        <v>0.32002950000000002</v>
      </c>
      <c r="AF2539" s="223">
        <v>3.4277886</v>
      </c>
      <c r="AG2539" s="223">
        <v>0.31088579999999999</v>
      </c>
      <c r="AH2539" s="341"/>
      <c r="AI2539" s="218"/>
      <c r="AJ2539" s="218"/>
      <c r="AK2539" s="153"/>
      <c r="AL2539" s="152"/>
      <c r="AM2539" s="152"/>
      <c r="AN2539" s="152"/>
      <c r="AO2539" s="152"/>
      <c r="AP2539" s="152"/>
      <c r="AQ2539" s="152"/>
      <c r="AR2539" s="152"/>
      <c r="AS2539" s="152"/>
      <c r="AT2539" s="152"/>
      <c r="AU2539" s="153"/>
      <c r="AV2539" s="479"/>
      <c r="AW2539" s="479"/>
      <c r="AX2539" s="442"/>
      <c r="AY2539" s="153"/>
      <c r="AZ2539" s="152"/>
      <c r="BA2539" s="152"/>
      <c r="BB2539" s="152"/>
      <c r="BC2539" s="152"/>
      <c r="BD2539" s="152"/>
      <c r="BE2539" s="152"/>
      <c r="BF2539" s="152"/>
      <c r="BG2539" s="152"/>
      <c r="BH2539" s="152"/>
      <c r="BI2539" s="153"/>
      <c r="BJ2539" s="153"/>
      <c r="BK2539" s="153"/>
      <c r="BL2539" s="153"/>
      <c r="BM2539" s="153"/>
      <c r="BN2539" s="153"/>
      <c r="BO2539" s="153"/>
      <c r="BP2539" s="153"/>
      <c r="BQ2539" s="153"/>
      <c r="BR2539" s="153"/>
      <c r="BS2539" s="153"/>
      <c r="BT2539" s="153"/>
      <c r="BU2539" s="153"/>
      <c r="BV2539" s="153"/>
      <c r="BW2539" s="153"/>
      <c r="BX2539" s="153"/>
      <c r="BY2539" s="153"/>
      <c r="BZ2539" s="153"/>
      <c r="CA2539" s="152"/>
      <c r="CB2539" s="152"/>
    </row>
    <row r="2540" spans="1:80" s="87" customFormat="1" ht="15" x14ac:dyDescent="0.25">
      <c r="A2540" s="152"/>
      <c r="B2540" s="683"/>
      <c r="C2540" s="683"/>
      <c r="D2540" s="698"/>
      <c r="E2540" s="215"/>
      <c r="F2540" s="215"/>
      <c r="G2540" s="153"/>
      <c r="H2540" s="153"/>
      <c r="I2540" s="165">
        <v>22</v>
      </c>
      <c r="J2540" s="312">
        <v>60</v>
      </c>
      <c r="K2540" s="150">
        <v>1</v>
      </c>
      <c r="L2540" s="656">
        <v>22</v>
      </c>
      <c r="M2540" s="663">
        <v>34576</v>
      </c>
      <c r="N2540" s="600">
        <v>0.52944999999999998</v>
      </c>
      <c r="O2540" s="604">
        <v>8.3999999999999992E-6</v>
      </c>
      <c r="P2540" s="150"/>
      <c r="Q2540" s="250"/>
      <c r="R2540" s="250"/>
      <c r="S2540" s="250"/>
      <c r="T2540" s="250"/>
      <c r="U2540" s="250">
        <v>8.4000000000000005E-2</v>
      </c>
      <c r="V2540" s="250">
        <v>0.149842</v>
      </c>
      <c r="W2540" s="250">
        <v>0.26182899999999998</v>
      </c>
      <c r="X2540" s="250">
        <v>0.38406899999999999</v>
      </c>
      <c r="Y2540" s="250">
        <v>0.11987399999999999</v>
      </c>
      <c r="Z2540" s="150"/>
      <c r="AA2540" s="150">
        <v>0.5</v>
      </c>
      <c r="AB2540" s="152"/>
      <c r="AC2540" s="152"/>
      <c r="AD2540" s="223">
        <v>10.286663000000001</v>
      </c>
      <c r="AE2540" s="223">
        <v>0.23468829999999999</v>
      </c>
      <c r="AF2540" s="223">
        <v>2.4180308199999998</v>
      </c>
      <c r="AG2540" s="223">
        <v>0.2285925</v>
      </c>
      <c r="AH2540" s="341"/>
      <c r="AI2540" s="218"/>
      <c r="AJ2540" s="218"/>
      <c r="AK2540" s="153"/>
      <c r="AL2540" s="152"/>
      <c r="AM2540" s="152"/>
      <c r="AN2540" s="152"/>
      <c r="AO2540" s="152"/>
      <c r="AP2540" s="152"/>
      <c r="AQ2540" s="152"/>
      <c r="AR2540" s="152"/>
      <c r="AS2540" s="152"/>
      <c r="AT2540" s="152"/>
      <c r="AU2540" s="153"/>
      <c r="AV2540" s="479"/>
      <c r="AW2540" s="479"/>
      <c r="AX2540" s="442"/>
      <c r="AY2540" s="153"/>
      <c r="AZ2540" s="152"/>
      <c r="BA2540" s="152"/>
      <c r="BB2540" s="152"/>
      <c r="BC2540" s="152"/>
      <c r="BD2540" s="152"/>
      <c r="BE2540" s="152"/>
      <c r="BF2540" s="152"/>
      <c r="BG2540" s="152"/>
      <c r="BH2540" s="152"/>
      <c r="BI2540" s="153"/>
      <c r="BJ2540" s="153"/>
      <c r="BK2540" s="153"/>
      <c r="BL2540" s="153"/>
      <c r="BM2540" s="153"/>
      <c r="BN2540" s="153"/>
      <c r="BO2540" s="153"/>
      <c r="BP2540" s="153"/>
      <c r="BQ2540" s="153"/>
      <c r="BR2540" s="153"/>
      <c r="BS2540" s="153"/>
      <c r="BT2540" s="153"/>
      <c r="BU2540" s="153"/>
      <c r="BV2540" s="153"/>
      <c r="BW2540" s="153"/>
      <c r="BX2540" s="153"/>
      <c r="BY2540" s="153"/>
      <c r="BZ2540" s="153"/>
      <c r="CA2540" s="152"/>
      <c r="CB2540" s="152"/>
    </row>
    <row r="2541" spans="1:80" s="87" customFormat="1" ht="15" x14ac:dyDescent="0.25">
      <c r="A2541" s="152"/>
      <c r="B2541" s="683"/>
      <c r="C2541" s="683"/>
      <c r="D2541" s="698"/>
      <c r="E2541" s="215"/>
      <c r="F2541" s="215"/>
      <c r="G2541" s="153"/>
      <c r="H2541" s="153"/>
      <c r="I2541" s="165">
        <v>26</v>
      </c>
      <c r="J2541" s="312">
        <v>60</v>
      </c>
      <c r="K2541" s="150">
        <v>1</v>
      </c>
      <c r="L2541" s="656">
        <v>26</v>
      </c>
      <c r="M2541" s="663">
        <v>34605</v>
      </c>
      <c r="N2541" s="600">
        <v>0.52944999999999998</v>
      </c>
      <c r="O2541" s="604">
        <v>1.1E-4</v>
      </c>
      <c r="P2541" s="150"/>
      <c r="Q2541" s="250"/>
      <c r="R2541" s="250"/>
      <c r="S2541" s="250"/>
      <c r="T2541" s="250"/>
      <c r="U2541" s="250">
        <v>0.24</v>
      </c>
      <c r="V2541" s="250">
        <v>0.22508800000000001</v>
      </c>
      <c r="W2541" s="250">
        <v>0.35095199999999999</v>
      </c>
      <c r="X2541" s="250">
        <v>0.167071</v>
      </c>
      <c r="Y2541" s="250">
        <v>1.7052999999999999E-2</v>
      </c>
      <c r="Z2541" s="150"/>
      <c r="AA2541" s="150">
        <v>0.93</v>
      </c>
      <c r="AB2541" s="152"/>
      <c r="AC2541" s="152"/>
      <c r="AD2541" s="223">
        <v>10.210464999999999</v>
      </c>
      <c r="AE2541" s="223">
        <v>0.24687990000000001</v>
      </c>
      <c r="AF2541" s="223">
        <v>2.5174273999999999</v>
      </c>
      <c r="AG2541" s="223">
        <v>0.2072572</v>
      </c>
      <c r="AH2541" s="341"/>
      <c r="AI2541" s="218"/>
      <c r="AJ2541" s="218"/>
      <c r="AK2541" s="153"/>
      <c r="AL2541" s="152"/>
      <c r="AM2541" s="152"/>
      <c r="AN2541" s="152"/>
      <c r="AO2541" s="152"/>
      <c r="AP2541" s="152"/>
      <c r="AQ2541" s="152"/>
      <c r="AR2541" s="152"/>
      <c r="AS2541" s="152"/>
      <c r="AT2541" s="152"/>
      <c r="AU2541" s="153"/>
      <c r="AV2541" s="479"/>
      <c r="AW2541" s="479"/>
      <c r="AX2541" s="442"/>
      <c r="AY2541" s="153"/>
      <c r="AZ2541" s="152"/>
      <c r="BA2541" s="152"/>
      <c r="BB2541" s="152"/>
      <c r="BC2541" s="152"/>
      <c r="BD2541" s="152"/>
      <c r="BE2541" s="152"/>
      <c r="BF2541" s="152"/>
      <c r="BG2541" s="152"/>
      <c r="BH2541" s="152"/>
      <c r="BI2541" s="153"/>
      <c r="BJ2541" s="153"/>
      <c r="BK2541" s="153"/>
      <c r="BL2541" s="153"/>
      <c r="BM2541" s="153"/>
      <c r="BN2541" s="153"/>
      <c r="BO2541" s="153"/>
      <c r="BP2541" s="153"/>
      <c r="BQ2541" s="153"/>
      <c r="BR2541" s="153"/>
      <c r="BS2541" s="153"/>
      <c r="BT2541" s="153"/>
      <c r="BU2541" s="153"/>
      <c r="BV2541" s="153"/>
      <c r="BW2541" s="153"/>
      <c r="BX2541" s="153"/>
      <c r="BY2541" s="153"/>
      <c r="BZ2541" s="153"/>
      <c r="CA2541" s="152"/>
      <c r="CB2541" s="152"/>
    </row>
    <row r="2542" spans="1:80" s="87" customFormat="1" ht="15" x14ac:dyDescent="0.25">
      <c r="A2542" s="152"/>
      <c r="B2542" s="683"/>
      <c r="C2542" s="683"/>
      <c r="D2542" s="698"/>
      <c r="E2542" s="215"/>
      <c r="F2542" s="215"/>
      <c r="G2542" s="153"/>
      <c r="H2542" s="153"/>
      <c r="I2542" s="165">
        <v>28</v>
      </c>
      <c r="J2542" s="312">
        <v>60</v>
      </c>
      <c r="K2542" s="150">
        <v>1</v>
      </c>
      <c r="L2542" s="656">
        <v>28</v>
      </c>
      <c r="M2542" s="663">
        <v>34633</v>
      </c>
      <c r="N2542" s="600">
        <v>0.64270000000000005</v>
      </c>
      <c r="O2542" s="604">
        <v>1.9900000000000001E-4</v>
      </c>
      <c r="P2542" s="150"/>
      <c r="Q2542" s="250"/>
      <c r="R2542" s="250"/>
      <c r="S2542" s="250"/>
      <c r="T2542" s="250"/>
      <c r="U2542" s="250">
        <v>0.10300000000000001</v>
      </c>
      <c r="V2542" s="250">
        <v>0.34499999999999997</v>
      </c>
      <c r="W2542" s="250">
        <v>0.379</v>
      </c>
      <c r="X2542" s="250">
        <v>0.17199999999999999</v>
      </c>
      <c r="Y2542" s="250">
        <v>1E-3</v>
      </c>
      <c r="Z2542" s="150">
        <v>3</v>
      </c>
      <c r="AA2542" s="150">
        <v>0.91</v>
      </c>
      <c r="AB2542" s="152"/>
      <c r="AC2542" s="152"/>
      <c r="AD2542" s="223">
        <v>10.515255</v>
      </c>
      <c r="AE2542" s="223">
        <v>0.27735890000000002</v>
      </c>
      <c r="AF2542" s="223">
        <v>2.9075821999999998</v>
      </c>
      <c r="AG2542" s="223">
        <v>0.22249669999999999</v>
      </c>
      <c r="AH2542" s="341"/>
      <c r="AI2542" s="218"/>
      <c r="AJ2542" s="218"/>
      <c r="AK2542" s="153"/>
      <c r="AL2542" s="152"/>
      <c r="AM2542" s="152"/>
      <c r="AN2542" s="152"/>
      <c r="AO2542" s="152"/>
      <c r="AP2542" s="152"/>
      <c r="AQ2542" s="152"/>
      <c r="AR2542" s="152"/>
      <c r="AS2542" s="152"/>
      <c r="AT2542" s="152"/>
      <c r="AU2542" s="153"/>
      <c r="AV2542" s="479"/>
      <c r="AW2542" s="479"/>
      <c r="AX2542" s="442"/>
      <c r="AY2542" s="153"/>
      <c r="AZ2542" s="152"/>
      <c r="BA2542" s="152"/>
      <c r="BB2542" s="152"/>
      <c r="BC2542" s="152"/>
      <c r="BD2542" s="152"/>
      <c r="BE2542" s="152"/>
      <c r="BF2542" s="152"/>
      <c r="BG2542" s="152"/>
      <c r="BH2542" s="152"/>
      <c r="BI2542" s="153"/>
      <c r="BJ2542" s="153"/>
      <c r="BK2542" s="153"/>
      <c r="BL2542" s="153"/>
      <c r="BM2542" s="153"/>
      <c r="BN2542" s="153"/>
      <c r="BO2542" s="153"/>
      <c r="BP2542" s="153"/>
      <c r="BQ2542" s="153"/>
      <c r="BR2542" s="153"/>
      <c r="BS2542" s="153"/>
      <c r="BT2542" s="153"/>
      <c r="BU2542" s="153"/>
      <c r="BV2542" s="153"/>
      <c r="BW2542" s="153"/>
      <c r="BX2542" s="153"/>
      <c r="BY2542" s="153"/>
      <c r="BZ2542" s="153"/>
      <c r="CA2542" s="152"/>
      <c r="CB2542" s="152"/>
    </row>
    <row r="2543" spans="1:80" s="87" customFormat="1" ht="15" x14ac:dyDescent="0.25">
      <c r="A2543" s="152"/>
      <c r="B2543" s="683"/>
      <c r="C2543" s="683"/>
      <c r="D2543" s="698"/>
      <c r="E2543" s="215"/>
      <c r="F2543" s="215"/>
      <c r="G2543" s="153"/>
      <c r="H2543" s="153"/>
      <c r="I2543" s="165">
        <v>20</v>
      </c>
      <c r="J2543" s="312">
        <v>60</v>
      </c>
      <c r="K2543" s="150">
        <v>1</v>
      </c>
      <c r="L2543" s="656">
        <v>20</v>
      </c>
      <c r="M2543" s="663">
        <v>34787</v>
      </c>
      <c r="N2543" s="600">
        <v>1.6591199999999999</v>
      </c>
      <c r="O2543" s="604">
        <v>5.6470000000000001E-3</v>
      </c>
      <c r="P2543" s="150"/>
      <c r="Q2543" s="250"/>
      <c r="R2543" s="250"/>
      <c r="S2543" s="250"/>
      <c r="T2543" s="250">
        <v>2.5000000000000001E-2</v>
      </c>
      <c r="U2543" s="250">
        <v>0.125</v>
      </c>
      <c r="V2543" s="250">
        <v>0.24600000000000002</v>
      </c>
      <c r="W2543" s="250">
        <v>0.40100000000000002</v>
      </c>
      <c r="X2543" s="250">
        <v>0.19500000000000001</v>
      </c>
      <c r="Y2543" s="250">
        <v>8.0000000000000002E-3</v>
      </c>
      <c r="Z2543" s="150">
        <v>7</v>
      </c>
      <c r="AA2543" s="150">
        <v>0.84</v>
      </c>
      <c r="AB2543" s="152"/>
      <c r="AC2543" s="152"/>
      <c r="AD2543" s="223">
        <v>10.972440000000001</v>
      </c>
      <c r="AE2543" s="223">
        <v>0.31698159999999997</v>
      </c>
      <c r="AF2543" s="223">
        <v>3.4742356000000001</v>
      </c>
      <c r="AG2543" s="223">
        <v>0.3078379</v>
      </c>
      <c r="AH2543" s="341"/>
      <c r="AI2543" s="218"/>
      <c r="AJ2543" s="218"/>
      <c r="AK2543" s="153"/>
      <c r="AL2543" s="152"/>
      <c r="AM2543" s="152"/>
      <c r="AN2543" s="152"/>
      <c r="AO2543" s="152"/>
      <c r="AP2543" s="152"/>
      <c r="AQ2543" s="152"/>
      <c r="AR2543" s="152"/>
      <c r="AS2543" s="152"/>
      <c r="AT2543" s="152"/>
      <c r="AU2543" s="153"/>
      <c r="AV2543" s="479"/>
      <c r="AW2543" s="479"/>
      <c r="AX2543" s="442"/>
      <c r="AY2543" s="153"/>
      <c r="AZ2543" s="152"/>
      <c r="BA2543" s="152"/>
      <c r="BB2543" s="152"/>
      <c r="BC2543" s="152"/>
      <c r="BD2543" s="152"/>
      <c r="BE2543" s="152"/>
      <c r="BF2543" s="152"/>
      <c r="BG2543" s="152"/>
      <c r="BH2543" s="152"/>
      <c r="BI2543" s="153"/>
      <c r="BJ2543" s="153"/>
      <c r="BK2543" s="153"/>
      <c r="BL2543" s="153"/>
      <c r="BM2543" s="153"/>
      <c r="BN2543" s="153"/>
      <c r="BO2543" s="153"/>
      <c r="BP2543" s="153"/>
      <c r="BQ2543" s="153"/>
      <c r="BR2543" s="153"/>
      <c r="BS2543" s="153"/>
      <c r="BT2543" s="153"/>
      <c r="BU2543" s="153"/>
      <c r="BV2543" s="153"/>
      <c r="BW2543" s="153"/>
      <c r="BX2543" s="153"/>
      <c r="BY2543" s="153"/>
      <c r="BZ2543" s="153"/>
      <c r="CA2543" s="152"/>
      <c r="CB2543" s="152"/>
    </row>
    <row r="2544" spans="1:80" s="87" customFormat="1" ht="15" x14ac:dyDescent="0.25">
      <c r="A2544" s="152"/>
      <c r="B2544" s="683"/>
      <c r="C2544" s="683"/>
      <c r="D2544" s="698"/>
      <c r="E2544" s="215"/>
      <c r="F2544" s="215"/>
      <c r="G2544" s="153"/>
      <c r="H2544" s="153"/>
      <c r="I2544" s="165">
        <v>20</v>
      </c>
      <c r="J2544" s="312">
        <v>60</v>
      </c>
      <c r="K2544" s="150">
        <v>1</v>
      </c>
      <c r="L2544" s="656">
        <v>20</v>
      </c>
      <c r="M2544" s="663">
        <v>34787</v>
      </c>
      <c r="N2544" s="600">
        <v>1.6591199999999999</v>
      </c>
      <c r="O2544" s="604">
        <v>8.5120000000000005E-3</v>
      </c>
      <c r="P2544" s="150"/>
      <c r="Q2544" s="250"/>
      <c r="R2544" s="250"/>
      <c r="S2544" s="250"/>
      <c r="T2544" s="250">
        <v>9.0000000000000011E-3</v>
      </c>
      <c r="U2544" s="250">
        <v>3.4000000000000002E-2</v>
      </c>
      <c r="V2544" s="250">
        <v>0.316</v>
      </c>
      <c r="W2544" s="250">
        <v>0.54500000000000004</v>
      </c>
      <c r="X2544" s="250">
        <v>9.0999999999999998E-2</v>
      </c>
      <c r="Y2544" s="250">
        <v>5.0000000000000001E-3</v>
      </c>
      <c r="Z2544" s="150">
        <v>7</v>
      </c>
      <c r="AA2544" s="150">
        <v>0.84</v>
      </c>
      <c r="AB2544" s="152"/>
      <c r="AC2544" s="152"/>
      <c r="AD2544" s="223">
        <v>10.972440000000001</v>
      </c>
      <c r="AE2544" s="223">
        <v>0.31698159999999997</v>
      </c>
      <c r="AF2544" s="223">
        <v>3.4742356000000001</v>
      </c>
      <c r="AG2544" s="223">
        <v>0.3078379</v>
      </c>
      <c r="AH2544" s="341"/>
      <c r="AI2544" s="218"/>
      <c r="AJ2544" s="218"/>
      <c r="AK2544" s="153"/>
      <c r="AL2544" s="152"/>
      <c r="AM2544" s="152"/>
      <c r="AN2544" s="152"/>
      <c r="AO2544" s="152"/>
      <c r="AP2544" s="152"/>
      <c r="AQ2544" s="152"/>
      <c r="AR2544" s="152"/>
      <c r="AS2544" s="152"/>
      <c r="AT2544" s="152"/>
      <c r="AU2544" s="153"/>
      <c r="AV2544" s="479"/>
      <c r="AW2544" s="479"/>
      <c r="AX2544" s="442"/>
      <c r="AY2544" s="153"/>
      <c r="AZ2544" s="152"/>
      <c r="BA2544" s="152"/>
      <c r="BB2544" s="152"/>
      <c r="BC2544" s="152"/>
      <c r="BD2544" s="152"/>
      <c r="BE2544" s="152"/>
      <c r="BF2544" s="152"/>
      <c r="BG2544" s="152"/>
      <c r="BH2544" s="152"/>
      <c r="BI2544" s="153"/>
      <c r="BJ2544" s="153"/>
      <c r="BK2544" s="153"/>
      <c r="BL2544" s="153"/>
      <c r="BM2544" s="153"/>
      <c r="BN2544" s="153"/>
      <c r="BO2544" s="153"/>
      <c r="BP2544" s="153"/>
      <c r="BQ2544" s="153"/>
      <c r="BR2544" s="153"/>
      <c r="BS2544" s="153"/>
      <c r="BT2544" s="153"/>
      <c r="BU2544" s="153"/>
      <c r="BV2544" s="153"/>
      <c r="BW2544" s="153"/>
      <c r="BX2544" s="153"/>
      <c r="BY2544" s="153"/>
      <c r="BZ2544" s="153"/>
      <c r="CA2544" s="152"/>
      <c r="CB2544" s="152"/>
    </row>
    <row r="2545" spans="1:80" s="87" customFormat="1" ht="15" x14ac:dyDescent="0.25">
      <c r="A2545" s="152"/>
      <c r="B2545" s="683"/>
      <c r="C2545" s="683"/>
      <c r="D2545" s="698"/>
      <c r="E2545" s="215"/>
      <c r="F2545" s="215"/>
      <c r="G2545" s="153"/>
      <c r="H2545" s="153"/>
      <c r="I2545" s="165">
        <v>17</v>
      </c>
      <c r="J2545" s="312">
        <v>60</v>
      </c>
      <c r="K2545" s="150">
        <v>1</v>
      </c>
      <c r="L2545" s="656">
        <v>17</v>
      </c>
      <c r="M2545" s="663">
        <v>34796</v>
      </c>
      <c r="N2545" s="600">
        <v>2.3103199999999999</v>
      </c>
      <c r="O2545" s="604">
        <v>6.2100000000000002E-4</v>
      </c>
      <c r="P2545" s="150"/>
      <c r="Q2545" s="250"/>
      <c r="R2545" s="250"/>
      <c r="S2545" s="250"/>
      <c r="T2545" s="250"/>
      <c r="U2545" s="250">
        <v>2.4E-2</v>
      </c>
      <c r="V2545" s="250">
        <v>9.5000000000000001E-2</v>
      </c>
      <c r="W2545" s="250">
        <v>0.40500000000000003</v>
      </c>
      <c r="X2545" s="250">
        <v>0.42899999999999999</v>
      </c>
      <c r="Y2545" s="250">
        <v>4.7E-2</v>
      </c>
      <c r="Z2545" s="150">
        <v>2</v>
      </c>
      <c r="AA2545" s="150">
        <v>0.52</v>
      </c>
      <c r="AB2545" s="152"/>
      <c r="AC2545" s="152"/>
      <c r="AD2545" s="223">
        <v>12.831659</v>
      </c>
      <c r="AE2545" s="223">
        <v>0.40841860000000002</v>
      </c>
      <c r="AF2545" s="223">
        <v>5.2392215999999996</v>
      </c>
      <c r="AG2545" s="223">
        <v>0.45718500000000001</v>
      </c>
      <c r="AH2545" s="341"/>
      <c r="AI2545" s="218"/>
      <c r="AJ2545" s="218"/>
      <c r="AK2545" s="153"/>
      <c r="AL2545" s="152"/>
      <c r="AM2545" s="152"/>
      <c r="AN2545" s="152"/>
      <c r="AO2545" s="152"/>
      <c r="AP2545" s="152"/>
      <c r="AQ2545" s="152"/>
      <c r="AR2545" s="152"/>
      <c r="AS2545" s="152"/>
      <c r="AT2545" s="152"/>
      <c r="AU2545" s="153"/>
      <c r="AV2545" s="479"/>
      <c r="AW2545" s="479"/>
      <c r="AX2545" s="442"/>
      <c r="AY2545" s="153"/>
      <c r="AZ2545" s="152"/>
      <c r="BA2545" s="152"/>
      <c r="BB2545" s="152"/>
      <c r="BC2545" s="152"/>
      <c r="BD2545" s="152"/>
      <c r="BE2545" s="152"/>
      <c r="BF2545" s="152"/>
      <c r="BG2545" s="152"/>
      <c r="BH2545" s="152"/>
      <c r="BI2545" s="153"/>
      <c r="BJ2545" s="153"/>
      <c r="BK2545" s="153"/>
      <c r="BL2545" s="153"/>
      <c r="BM2545" s="153"/>
      <c r="BN2545" s="153"/>
      <c r="BO2545" s="153"/>
      <c r="BP2545" s="153"/>
      <c r="BQ2545" s="153"/>
      <c r="BR2545" s="153"/>
      <c r="BS2545" s="153"/>
      <c r="BT2545" s="153"/>
      <c r="BU2545" s="153"/>
      <c r="BV2545" s="153"/>
      <c r="BW2545" s="153"/>
      <c r="BX2545" s="153"/>
      <c r="BY2545" s="153"/>
      <c r="BZ2545" s="153"/>
      <c r="CA2545" s="152"/>
      <c r="CB2545" s="152"/>
    </row>
    <row r="2546" spans="1:80" s="87" customFormat="1" ht="15" x14ac:dyDescent="0.25">
      <c r="A2546" s="152"/>
      <c r="B2546" s="683"/>
      <c r="C2546" s="683"/>
      <c r="D2546" s="698"/>
      <c r="E2546" s="215"/>
      <c r="F2546" s="215"/>
      <c r="G2546" s="153"/>
      <c r="H2546" s="153"/>
      <c r="I2546" s="165">
        <v>17</v>
      </c>
      <c r="J2546" s="312">
        <v>60</v>
      </c>
      <c r="K2546" s="150">
        <v>1</v>
      </c>
      <c r="L2546" s="656">
        <v>17</v>
      </c>
      <c r="M2546" s="663">
        <v>34796</v>
      </c>
      <c r="N2546" s="600">
        <v>2.3103199999999999</v>
      </c>
      <c r="O2546" s="604">
        <v>1.732E-3</v>
      </c>
      <c r="P2546" s="150"/>
      <c r="Q2546" s="250"/>
      <c r="R2546" s="250"/>
      <c r="S2546" s="250"/>
      <c r="T2546" s="250"/>
      <c r="U2546" s="250">
        <v>0.05</v>
      </c>
      <c r="V2546" s="250">
        <v>0.37200000000000005</v>
      </c>
      <c r="W2546" s="250">
        <v>0.41299999999999998</v>
      </c>
      <c r="X2546" s="250">
        <v>0.14899999999999999</v>
      </c>
      <c r="Y2546" s="250">
        <v>1.6E-2</v>
      </c>
      <c r="Z2546" s="150">
        <v>2</v>
      </c>
      <c r="AA2546" s="150">
        <v>0.88</v>
      </c>
      <c r="AB2546" s="152"/>
      <c r="AC2546" s="152"/>
      <c r="AD2546" s="223">
        <v>12.831659</v>
      </c>
      <c r="AE2546" s="223">
        <v>0.40841860000000002</v>
      </c>
      <c r="AF2546" s="223">
        <v>5.2392215999999996</v>
      </c>
      <c r="AG2546" s="223">
        <v>0.45718500000000001</v>
      </c>
      <c r="AH2546" s="341"/>
      <c r="AI2546" s="218"/>
      <c r="AJ2546" s="218"/>
      <c r="AK2546" s="153"/>
      <c r="AL2546" s="152"/>
      <c r="AM2546" s="152"/>
      <c r="AN2546" s="152"/>
      <c r="AO2546" s="152"/>
      <c r="AP2546" s="152"/>
      <c r="AQ2546" s="152"/>
      <c r="AR2546" s="152"/>
      <c r="AS2546" s="152"/>
      <c r="AT2546" s="152"/>
      <c r="AU2546" s="153"/>
      <c r="AV2546" s="479"/>
      <c r="AW2546" s="479"/>
      <c r="AX2546" s="442"/>
      <c r="AY2546" s="153"/>
      <c r="AZ2546" s="152"/>
      <c r="BA2546" s="152"/>
      <c r="BB2546" s="152"/>
      <c r="BC2546" s="152"/>
      <c r="BD2546" s="152"/>
      <c r="BE2546" s="152"/>
      <c r="BF2546" s="152"/>
      <c r="BG2546" s="152"/>
      <c r="BH2546" s="152"/>
      <c r="BI2546" s="153"/>
      <c r="BJ2546" s="153"/>
      <c r="BK2546" s="153"/>
      <c r="BL2546" s="153"/>
      <c r="BM2546" s="153"/>
      <c r="BN2546" s="153"/>
      <c r="BO2546" s="153"/>
      <c r="BP2546" s="153"/>
      <c r="BQ2546" s="153"/>
      <c r="BR2546" s="153"/>
      <c r="BS2546" s="153"/>
      <c r="BT2546" s="153"/>
      <c r="BU2546" s="153"/>
      <c r="BV2546" s="153"/>
      <c r="BW2546" s="153"/>
      <c r="BX2546" s="153"/>
      <c r="BY2546" s="153"/>
      <c r="BZ2546" s="153"/>
      <c r="CA2546" s="152"/>
      <c r="CB2546" s="152"/>
    </row>
    <row r="2547" spans="1:80" s="87" customFormat="1" ht="15" x14ac:dyDescent="0.25">
      <c r="A2547" s="152"/>
      <c r="B2547" s="683"/>
      <c r="C2547" s="683"/>
      <c r="D2547" s="698"/>
      <c r="E2547" s="215"/>
      <c r="F2547" s="215"/>
      <c r="G2547" s="153"/>
      <c r="H2547" s="153"/>
      <c r="I2547" s="165">
        <v>20</v>
      </c>
      <c r="J2547" s="312">
        <v>60</v>
      </c>
      <c r="K2547" s="150">
        <v>1</v>
      </c>
      <c r="L2547" s="656">
        <v>20</v>
      </c>
      <c r="M2547" s="663">
        <v>34801</v>
      </c>
      <c r="N2547" s="600">
        <v>1.8912899999999999</v>
      </c>
      <c r="O2547" s="604">
        <v>1.931E-3</v>
      </c>
      <c r="P2547" s="150"/>
      <c r="Q2547" s="250"/>
      <c r="R2547" s="250"/>
      <c r="S2547" s="250"/>
      <c r="T2547" s="250"/>
      <c r="U2547" s="250">
        <v>6.0000000000000001E-3</v>
      </c>
      <c r="V2547" s="250">
        <v>0.13200000000000001</v>
      </c>
      <c r="W2547" s="250">
        <v>0.49099999999999999</v>
      </c>
      <c r="X2547" s="250">
        <v>0.35899999999999999</v>
      </c>
      <c r="Y2547" s="250">
        <v>1.2E-2</v>
      </c>
      <c r="Z2547" s="150">
        <v>2</v>
      </c>
      <c r="AA2547" s="150">
        <v>0.6</v>
      </c>
      <c r="AB2547" s="152"/>
      <c r="AC2547" s="152"/>
      <c r="AD2547" s="223">
        <v>12.130642</v>
      </c>
      <c r="AE2547" s="223">
        <v>0.36574800000000002</v>
      </c>
      <c r="AF2547" s="223">
        <v>4.4496225999999997</v>
      </c>
      <c r="AG2547" s="223">
        <v>0.42365809999999998</v>
      </c>
      <c r="AH2547" s="341"/>
      <c r="AI2547" s="218"/>
      <c r="AJ2547" s="218"/>
      <c r="AK2547" s="153"/>
      <c r="AL2547" s="152"/>
      <c r="AM2547" s="152"/>
      <c r="AN2547" s="152"/>
      <c r="AO2547" s="152"/>
      <c r="AP2547" s="152"/>
      <c r="AQ2547" s="152"/>
      <c r="AR2547" s="152"/>
      <c r="AS2547" s="152"/>
      <c r="AT2547" s="152"/>
      <c r="AU2547" s="153"/>
      <c r="AV2547" s="479"/>
      <c r="AW2547" s="479"/>
      <c r="AX2547" s="442"/>
      <c r="AY2547" s="153"/>
      <c r="AZ2547" s="152"/>
      <c r="BA2547" s="152"/>
      <c r="BB2547" s="152"/>
      <c r="BC2547" s="152"/>
      <c r="BD2547" s="152"/>
      <c r="BE2547" s="152"/>
      <c r="BF2547" s="152"/>
      <c r="BG2547" s="152"/>
      <c r="BH2547" s="152"/>
      <c r="BI2547" s="153"/>
      <c r="BJ2547" s="153"/>
      <c r="BK2547" s="153"/>
      <c r="BL2547" s="153"/>
      <c r="BM2547" s="153"/>
      <c r="BN2547" s="153"/>
      <c r="BO2547" s="153"/>
      <c r="BP2547" s="153"/>
      <c r="BQ2547" s="153"/>
      <c r="BR2547" s="153"/>
      <c r="BS2547" s="153"/>
      <c r="BT2547" s="153"/>
      <c r="BU2547" s="153"/>
      <c r="BV2547" s="153"/>
      <c r="BW2547" s="153"/>
      <c r="BX2547" s="153"/>
      <c r="BY2547" s="153"/>
      <c r="BZ2547" s="153"/>
      <c r="CA2547" s="152"/>
      <c r="CB2547" s="152"/>
    </row>
    <row r="2548" spans="1:80" s="87" customFormat="1" ht="15" x14ac:dyDescent="0.25">
      <c r="A2548" s="152"/>
      <c r="B2548" s="683"/>
      <c r="C2548" s="683"/>
      <c r="D2548" s="698"/>
      <c r="E2548" s="215"/>
      <c r="F2548" s="215"/>
      <c r="G2548" s="153"/>
      <c r="H2548" s="153"/>
      <c r="I2548" s="165">
        <v>20</v>
      </c>
      <c r="J2548" s="312">
        <v>60</v>
      </c>
      <c r="K2548" s="150">
        <v>1</v>
      </c>
      <c r="L2548" s="656">
        <v>20</v>
      </c>
      <c r="M2548" s="663">
        <v>34801</v>
      </c>
      <c r="N2548" s="600">
        <v>1.8912899999999999</v>
      </c>
      <c r="O2548" s="604">
        <v>5.437E-3</v>
      </c>
      <c r="P2548" s="150"/>
      <c r="Q2548" s="250"/>
      <c r="R2548" s="250"/>
      <c r="S2548" s="250"/>
      <c r="T2548" s="250"/>
      <c r="U2548" s="250">
        <v>1.1000000000000001E-2</v>
      </c>
      <c r="V2548" s="250">
        <v>0.22800000000000001</v>
      </c>
      <c r="W2548" s="250">
        <v>0.50900000000000001</v>
      </c>
      <c r="X2548" s="250">
        <v>0.24299999999999999</v>
      </c>
      <c r="Y2548" s="250">
        <v>9.0000000000000011E-3</v>
      </c>
      <c r="Z2548" s="150">
        <v>2</v>
      </c>
      <c r="AA2548" s="150">
        <v>0.7</v>
      </c>
      <c r="AB2548" s="152"/>
      <c r="AC2548" s="152"/>
      <c r="AD2548" s="223">
        <v>12.130642</v>
      </c>
      <c r="AE2548" s="223">
        <v>0.36574800000000002</v>
      </c>
      <c r="AF2548" s="223">
        <v>4.4496225999999997</v>
      </c>
      <c r="AG2548" s="223">
        <v>0.42365809999999998</v>
      </c>
      <c r="AH2548" s="341"/>
      <c r="AI2548" s="218"/>
      <c r="AJ2548" s="218"/>
      <c r="AK2548" s="153"/>
      <c r="AL2548" s="152"/>
      <c r="AM2548" s="152"/>
      <c r="AN2548" s="152"/>
      <c r="AO2548" s="152"/>
      <c r="AP2548" s="152"/>
      <c r="AQ2548" s="152"/>
      <c r="AR2548" s="152"/>
      <c r="AS2548" s="152"/>
      <c r="AT2548" s="152"/>
      <c r="AU2548" s="153"/>
      <c r="AV2548" s="479"/>
      <c r="AW2548" s="479"/>
      <c r="AX2548" s="442"/>
      <c r="AY2548" s="153"/>
      <c r="AZ2548" s="152"/>
      <c r="BA2548" s="152"/>
      <c r="BB2548" s="152"/>
      <c r="BC2548" s="152"/>
      <c r="BD2548" s="152"/>
      <c r="BE2548" s="152"/>
      <c r="BF2548" s="152"/>
      <c r="BG2548" s="152"/>
      <c r="BH2548" s="152"/>
      <c r="BI2548" s="153"/>
      <c r="BJ2548" s="153"/>
      <c r="BK2548" s="153"/>
      <c r="BL2548" s="153"/>
      <c r="BM2548" s="153"/>
      <c r="BN2548" s="153"/>
      <c r="BO2548" s="153"/>
      <c r="BP2548" s="153"/>
      <c r="BQ2548" s="153"/>
      <c r="BR2548" s="153"/>
      <c r="BS2548" s="153"/>
      <c r="BT2548" s="153"/>
      <c r="BU2548" s="153"/>
      <c r="BV2548" s="153"/>
      <c r="BW2548" s="153"/>
      <c r="BX2548" s="153"/>
      <c r="BY2548" s="153"/>
      <c r="BZ2548" s="153"/>
      <c r="CA2548" s="152"/>
      <c r="CB2548" s="152"/>
    </row>
    <row r="2549" spans="1:80" s="87" customFormat="1" ht="15" x14ac:dyDescent="0.25">
      <c r="A2549" s="152"/>
      <c r="B2549" s="683"/>
      <c r="C2549" s="683"/>
      <c r="D2549" s="698"/>
      <c r="E2549" s="215"/>
      <c r="F2549" s="215"/>
      <c r="G2549" s="153"/>
      <c r="H2549" s="153"/>
      <c r="I2549" s="165">
        <v>20</v>
      </c>
      <c r="J2549" s="312">
        <v>60</v>
      </c>
      <c r="K2549" s="150">
        <v>1</v>
      </c>
      <c r="L2549" s="656">
        <v>20</v>
      </c>
      <c r="M2549" s="663">
        <v>34807</v>
      </c>
      <c r="N2549" s="600">
        <v>1.9960500000000001</v>
      </c>
      <c r="O2549" s="604">
        <v>8.2799999999999996E-4</v>
      </c>
      <c r="P2549" s="150"/>
      <c r="Q2549" s="250"/>
      <c r="R2549" s="250"/>
      <c r="S2549" s="250"/>
      <c r="T2549" s="250"/>
      <c r="U2549" s="250">
        <v>5.5999999999999994E-2</v>
      </c>
      <c r="V2549" s="250">
        <v>0.222</v>
      </c>
      <c r="W2549" s="250">
        <v>0.41700000000000004</v>
      </c>
      <c r="X2549" s="250">
        <v>0.29199999999999998</v>
      </c>
      <c r="Y2549" s="250">
        <v>1.3000000000000001E-2</v>
      </c>
      <c r="Z2549" s="150">
        <v>4</v>
      </c>
      <c r="AA2549" s="150">
        <v>0.69</v>
      </c>
      <c r="AB2549" s="152"/>
      <c r="AC2549" s="152"/>
      <c r="AD2549" s="223">
        <v>12.069684000000001</v>
      </c>
      <c r="AE2549" s="223">
        <v>0.39013120000000001</v>
      </c>
      <c r="AF2549" s="223">
        <v>4.7004364000000001</v>
      </c>
      <c r="AG2549" s="223">
        <v>0.42365809999999998</v>
      </c>
      <c r="AH2549" s="341"/>
      <c r="AI2549" s="218"/>
      <c r="AJ2549" s="218"/>
      <c r="AK2549" s="153"/>
      <c r="AL2549" s="152"/>
      <c r="AM2549" s="152"/>
      <c r="AN2549" s="152"/>
      <c r="AO2549" s="152"/>
      <c r="AP2549" s="152"/>
      <c r="AQ2549" s="152"/>
      <c r="AR2549" s="152"/>
      <c r="AS2549" s="152"/>
      <c r="AT2549" s="152"/>
      <c r="AU2549" s="153"/>
      <c r="AV2549" s="479"/>
      <c r="AW2549" s="479"/>
      <c r="AX2549" s="442"/>
      <c r="AY2549" s="153"/>
      <c r="AZ2549" s="152"/>
      <c r="BA2549" s="152"/>
      <c r="BB2549" s="152"/>
      <c r="BC2549" s="152"/>
      <c r="BD2549" s="152"/>
      <c r="BE2549" s="152"/>
      <c r="BF2549" s="152"/>
      <c r="BG2549" s="152"/>
      <c r="BH2549" s="152"/>
      <c r="BI2549" s="153"/>
      <c r="BJ2549" s="153"/>
      <c r="BK2549" s="153"/>
      <c r="BL2549" s="153"/>
      <c r="BM2549" s="153"/>
      <c r="BN2549" s="153"/>
      <c r="BO2549" s="153"/>
      <c r="BP2549" s="153"/>
      <c r="BQ2549" s="153"/>
      <c r="BR2549" s="153"/>
      <c r="BS2549" s="153"/>
      <c r="BT2549" s="153"/>
      <c r="BU2549" s="153"/>
      <c r="BV2549" s="153"/>
      <c r="BW2549" s="153"/>
      <c r="BX2549" s="153"/>
      <c r="BY2549" s="153"/>
      <c r="BZ2549" s="153"/>
      <c r="CA2549" s="152"/>
      <c r="CB2549" s="152"/>
    </row>
    <row r="2550" spans="1:80" s="87" customFormat="1" ht="15" x14ac:dyDescent="0.25">
      <c r="A2550" s="152"/>
      <c r="B2550" s="683"/>
      <c r="C2550" s="683"/>
      <c r="D2550" s="698"/>
      <c r="E2550" s="215"/>
      <c r="F2550" s="215"/>
      <c r="G2550" s="153"/>
      <c r="H2550" s="153"/>
      <c r="I2550" s="165">
        <v>20</v>
      </c>
      <c r="J2550" s="312">
        <v>60</v>
      </c>
      <c r="K2550" s="150">
        <v>1</v>
      </c>
      <c r="L2550" s="656">
        <v>20</v>
      </c>
      <c r="M2550" s="663">
        <v>34807</v>
      </c>
      <c r="N2550" s="600">
        <v>1.9960500000000001</v>
      </c>
      <c r="O2550" s="604">
        <v>1.8370000000000001E-3</v>
      </c>
      <c r="P2550" s="150"/>
      <c r="Q2550" s="250"/>
      <c r="R2550" s="250"/>
      <c r="S2550" s="250"/>
      <c r="T2550" s="250">
        <v>0.05</v>
      </c>
      <c r="U2550" s="250">
        <v>0.125</v>
      </c>
      <c r="V2550" s="250">
        <v>0.41200000000000003</v>
      </c>
      <c r="W2550" s="250">
        <v>0.312</v>
      </c>
      <c r="X2550" s="250">
        <v>9.4E-2</v>
      </c>
      <c r="Y2550" s="250">
        <v>6.9999999999999993E-3</v>
      </c>
      <c r="Z2550" s="150">
        <v>4</v>
      </c>
      <c r="AA2550" s="150">
        <v>1.1599999999999999</v>
      </c>
      <c r="AB2550" s="152"/>
      <c r="AC2550" s="152"/>
      <c r="AD2550" s="223">
        <v>12.069684000000001</v>
      </c>
      <c r="AE2550" s="223">
        <v>0.39013120000000001</v>
      </c>
      <c r="AF2550" s="223">
        <v>4.7004364000000001</v>
      </c>
      <c r="AG2550" s="223">
        <v>0.42365809999999998</v>
      </c>
      <c r="AH2550" s="341"/>
      <c r="AI2550" s="218"/>
      <c r="AJ2550" s="218"/>
      <c r="AK2550" s="153"/>
      <c r="AL2550" s="152"/>
      <c r="AM2550" s="152"/>
      <c r="AN2550" s="152"/>
      <c r="AO2550" s="152"/>
      <c r="AP2550" s="152"/>
      <c r="AQ2550" s="152"/>
      <c r="AR2550" s="152"/>
      <c r="AS2550" s="152"/>
      <c r="AT2550" s="152"/>
      <c r="AU2550" s="153"/>
      <c r="AV2550" s="479"/>
      <c r="AW2550" s="479"/>
      <c r="AX2550" s="442"/>
      <c r="AY2550" s="153"/>
      <c r="AZ2550" s="152"/>
      <c r="BA2550" s="152"/>
      <c r="BB2550" s="152"/>
      <c r="BC2550" s="152"/>
      <c r="BD2550" s="152"/>
      <c r="BE2550" s="152"/>
      <c r="BF2550" s="152"/>
      <c r="BG2550" s="152"/>
      <c r="BH2550" s="152"/>
      <c r="BI2550" s="153"/>
      <c r="BJ2550" s="153"/>
      <c r="BK2550" s="153"/>
      <c r="BL2550" s="153"/>
      <c r="BM2550" s="153"/>
      <c r="BN2550" s="153"/>
      <c r="BO2550" s="153"/>
      <c r="BP2550" s="153"/>
      <c r="BQ2550" s="153"/>
      <c r="BR2550" s="153"/>
      <c r="BS2550" s="153"/>
      <c r="BT2550" s="153"/>
      <c r="BU2550" s="153"/>
      <c r="BV2550" s="153"/>
      <c r="BW2550" s="153"/>
      <c r="BX2550" s="153"/>
      <c r="BY2550" s="153"/>
      <c r="BZ2550" s="153"/>
      <c r="CA2550" s="152"/>
      <c r="CB2550" s="152"/>
    </row>
    <row r="2551" spans="1:80" s="87" customFormat="1" ht="15" x14ac:dyDescent="0.25">
      <c r="A2551" s="152"/>
      <c r="B2551" s="683"/>
      <c r="C2551" s="683"/>
      <c r="D2551" s="698"/>
      <c r="E2551" s="215"/>
      <c r="F2551" s="215"/>
      <c r="G2551" s="153"/>
      <c r="H2551" s="153"/>
      <c r="I2551" s="165">
        <v>20</v>
      </c>
      <c r="J2551" s="312">
        <v>60</v>
      </c>
      <c r="K2551" s="150">
        <v>1</v>
      </c>
      <c r="L2551" s="656">
        <v>20</v>
      </c>
      <c r="M2551" s="663">
        <v>34816</v>
      </c>
      <c r="N2551" s="600">
        <v>2.51417</v>
      </c>
      <c r="O2551" s="604">
        <v>1.91E-3</v>
      </c>
      <c r="P2551" s="150"/>
      <c r="Q2551" s="250"/>
      <c r="R2551" s="250"/>
      <c r="S2551" s="250"/>
      <c r="T2551" s="250"/>
      <c r="U2551" s="250">
        <v>6.9999999999999993E-3</v>
      </c>
      <c r="V2551" s="250">
        <v>0.27100000000000002</v>
      </c>
      <c r="W2551" s="250">
        <v>0.49299999999999999</v>
      </c>
      <c r="X2551" s="250">
        <v>0.214</v>
      </c>
      <c r="Y2551" s="250">
        <v>1.4999999999999999E-2</v>
      </c>
      <c r="Z2551" s="150">
        <v>3</v>
      </c>
      <c r="AA2551" s="150">
        <v>0.73</v>
      </c>
      <c r="AB2551" s="152"/>
      <c r="AC2551" s="152"/>
      <c r="AD2551" s="223">
        <v>13.014533</v>
      </c>
      <c r="AE2551" s="223">
        <v>0.41451440000000001</v>
      </c>
      <c r="AF2551" s="223">
        <v>5.3785626000000004</v>
      </c>
      <c r="AG2551" s="223">
        <v>0.46632869999999998</v>
      </c>
      <c r="AH2551" s="341"/>
      <c r="AI2551" s="218"/>
      <c r="AJ2551" s="218"/>
      <c r="AK2551" s="153"/>
      <c r="AL2551" s="152"/>
      <c r="AM2551" s="152"/>
      <c r="AN2551" s="152"/>
      <c r="AO2551" s="152"/>
      <c r="AP2551" s="152"/>
      <c r="AQ2551" s="152"/>
      <c r="AR2551" s="152"/>
      <c r="AS2551" s="152"/>
      <c r="AT2551" s="152"/>
      <c r="AU2551" s="153"/>
      <c r="AV2551" s="479"/>
      <c r="AW2551" s="479"/>
      <c r="AX2551" s="442"/>
      <c r="AY2551" s="153"/>
      <c r="AZ2551" s="152"/>
      <c r="BA2551" s="152"/>
      <c r="BB2551" s="152"/>
      <c r="BC2551" s="152"/>
      <c r="BD2551" s="152"/>
      <c r="BE2551" s="152"/>
      <c r="BF2551" s="152"/>
      <c r="BG2551" s="152"/>
      <c r="BH2551" s="152"/>
      <c r="BI2551" s="153"/>
      <c r="BJ2551" s="153"/>
      <c r="BK2551" s="153"/>
      <c r="BL2551" s="153"/>
      <c r="BM2551" s="153"/>
      <c r="BN2551" s="153"/>
      <c r="BO2551" s="153"/>
      <c r="BP2551" s="153"/>
      <c r="BQ2551" s="153"/>
      <c r="BR2551" s="153"/>
      <c r="BS2551" s="153"/>
      <c r="BT2551" s="153"/>
      <c r="BU2551" s="153"/>
      <c r="BV2551" s="153"/>
      <c r="BW2551" s="153"/>
      <c r="BX2551" s="153"/>
      <c r="BY2551" s="153"/>
      <c r="BZ2551" s="153"/>
      <c r="CA2551" s="152"/>
      <c r="CB2551" s="152"/>
    </row>
    <row r="2552" spans="1:80" s="87" customFormat="1" ht="15" x14ac:dyDescent="0.25">
      <c r="A2552" s="152"/>
      <c r="B2552" s="683"/>
      <c r="C2552" s="683"/>
      <c r="D2552" s="698"/>
      <c r="E2552" s="215"/>
      <c r="F2552" s="215"/>
      <c r="G2552" s="153"/>
      <c r="H2552" s="153"/>
      <c r="I2552" s="165">
        <v>20</v>
      </c>
      <c r="J2552" s="312">
        <v>60</v>
      </c>
      <c r="K2552" s="150">
        <v>1</v>
      </c>
      <c r="L2552" s="656">
        <v>20</v>
      </c>
      <c r="M2552" s="663">
        <v>34816</v>
      </c>
      <c r="N2552" s="600">
        <v>2.51417</v>
      </c>
      <c r="O2552" s="604">
        <v>3.4949999999999998E-3</v>
      </c>
      <c r="P2552" s="150"/>
      <c r="Q2552" s="250"/>
      <c r="R2552" s="250"/>
      <c r="S2552" s="250"/>
      <c r="T2552" s="250"/>
      <c r="U2552" s="250">
        <v>0.05</v>
      </c>
      <c r="V2552" s="250">
        <v>0.307</v>
      </c>
      <c r="W2552" s="250">
        <v>0.44799999999999995</v>
      </c>
      <c r="X2552" s="250">
        <v>0.188</v>
      </c>
      <c r="Y2552" s="250">
        <v>6.9999999999999993E-3</v>
      </c>
      <c r="Z2552" s="150">
        <v>3</v>
      </c>
      <c r="AA2552" s="150">
        <v>0.8</v>
      </c>
      <c r="AB2552" s="152"/>
      <c r="AC2552" s="152"/>
      <c r="AD2552" s="223">
        <v>13.014533</v>
      </c>
      <c r="AE2552" s="223">
        <v>0.41451440000000001</v>
      </c>
      <c r="AF2552" s="223">
        <v>5.3785626000000004</v>
      </c>
      <c r="AG2552" s="223">
        <v>0.46632869999999998</v>
      </c>
      <c r="AH2552" s="341"/>
      <c r="AI2552" s="218"/>
      <c r="AJ2552" s="218"/>
      <c r="AK2552" s="153"/>
      <c r="AL2552" s="152"/>
      <c r="AM2552" s="152"/>
      <c r="AN2552" s="152"/>
      <c r="AO2552" s="152"/>
      <c r="AP2552" s="152"/>
      <c r="AQ2552" s="152"/>
      <c r="AR2552" s="152"/>
      <c r="AS2552" s="152"/>
      <c r="AT2552" s="152"/>
      <c r="AU2552" s="153"/>
      <c r="AV2552" s="479"/>
      <c r="AW2552" s="479"/>
      <c r="AX2552" s="442"/>
      <c r="AY2552" s="153"/>
      <c r="AZ2552" s="152"/>
      <c r="BA2552" s="152"/>
      <c r="BB2552" s="152"/>
      <c r="BC2552" s="152"/>
      <c r="BD2552" s="152"/>
      <c r="BE2552" s="152"/>
      <c r="BF2552" s="152"/>
      <c r="BG2552" s="152"/>
      <c r="BH2552" s="152"/>
      <c r="BI2552" s="153"/>
      <c r="BJ2552" s="153"/>
      <c r="BK2552" s="153"/>
      <c r="BL2552" s="153"/>
      <c r="BM2552" s="153"/>
      <c r="BN2552" s="153"/>
      <c r="BO2552" s="153"/>
      <c r="BP2552" s="153"/>
      <c r="BQ2552" s="153"/>
      <c r="BR2552" s="153"/>
      <c r="BS2552" s="153"/>
      <c r="BT2552" s="153"/>
      <c r="BU2552" s="153"/>
      <c r="BV2552" s="153"/>
      <c r="BW2552" s="153"/>
      <c r="BX2552" s="153"/>
      <c r="BY2552" s="153"/>
      <c r="BZ2552" s="153"/>
      <c r="CA2552" s="152"/>
      <c r="CB2552" s="152"/>
    </row>
    <row r="2553" spans="1:80" s="87" customFormat="1" ht="15" x14ac:dyDescent="0.25">
      <c r="A2553" s="152"/>
      <c r="B2553" s="683"/>
      <c r="C2553" s="683"/>
      <c r="D2553" s="698"/>
      <c r="E2553" s="215"/>
      <c r="F2553" s="215"/>
      <c r="G2553" s="153"/>
      <c r="H2553" s="153"/>
      <c r="I2553" s="165">
        <v>24</v>
      </c>
      <c r="J2553" s="312">
        <v>60</v>
      </c>
      <c r="K2553" s="150">
        <v>1</v>
      </c>
      <c r="L2553" s="656">
        <v>24</v>
      </c>
      <c r="M2553" s="663">
        <v>34820</v>
      </c>
      <c r="N2553" s="600">
        <v>3.5107699999999999</v>
      </c>
      <c r="O2553" s="604">
        <v>1.343E-3</v>
      </c>
      <c r="P2553" s="150"/>
      <c r="Q2553" s="250"/>
      <c r="R2553" s="250"/>
      <c r="S2553" s="250"/>
      <c r="T2553" s="250">
        <v>2.2000000000000002E-2</v>
      </c>
      <c r="U2553" s="250">
        <v>4.4999999999999998E-2</v>
      </c>
      <c r="V2553" s="250">
        <v>0.158</v>
      </c>
      <c r="W2553" s="250">
        <v>0.29299999999999998</v>
      </c>
      <c r="X2553" s="250">
        <v>0.46600000000000003</v>
      </c>
      <c r="Y2553" s="250">
        <v>1.6E-2</v>
      </c>
      <c r="Z2553" s="150">
        <v>5</v>
      </c>
      <c r="AA2553" s="150">
        <v>0.52</v>
      </c>
      <c r="AB2553" s="152"/>
      <c r="AC2553" s="152"/>
      <c r="AD2553" s="223">
        <v>13.288843999999999</v>
      </c>
      <c r="AE2553" s="223">
        <v>0.45413710000000002</v>
      </c>
      <c r="AF2553" s="223">
        <v>6.0195312000000003</v>
      </c>
      <c r="AG2553" s="223">
        <v>0.59129259999999995</v>
      </c>
      <c r="AH2553" s="341"/>
      <c r="AI2553" s="218"/>
      <c r="AJ2553" s="218"/>
      <c r="AK2553" s="153"/>
      <c r="AL2553" s="152"/>
      <c r="AM2553" s="152"/>
      <c r="AN2553" s="152"/>
      <c r="AO2553" s="152"/>
      <c r="AP2553" s="152"/>
      <c r="AQ2553" s="152"/>
      <c r="AR2553" s="152"/>
      <c r="AS2553" s="152"/>
      <c r="AT2553" s="152"/>
      <c r="AU2553" s="153"/>
      <c r="AV2553" s="479"/>
      <c r="AW2553" s="479"/>
      <c r="AX2553" s="442"/>
      <c r="AY2553" s="153"/>
      <c r="AZ2553" s="152"/>
      <c r="BA2553" s="152"/>
      <c r="BB2553" s="152"/>
      <c r="BC2553" s="152"/>
      <c r="BD2553" s="152"/>
      <c r="BE2553" s="152"/>
      <c r="BF2553" s="152"/>
      <c r="BG2553" s="152"/>
      <c r="BH2553" s="152"/>
      <c r="BI2553" s="153"/>
      <c r="BJ2553" s="153"/>
      <c r="BK2553" s="153"/>
      <c r="BL2553" s="153"/>
      <c r="BM2553" s="153"/>
      <c r="BN2553" s="153"/>
      <c r="BO2553" s="153"/>
      <c r="BP2553" s="153"/>
      <c r="BQ2553" s="153"/>
      <c r="BR2553" s="153"/>
      <c r="BS2553" s="153"/>
      <c r="BT2553" s="153"/>
      <c r="BU2553" s="153"/>
      <c r="BV2553" s="153"/>
      <c r="BW2553" s="153"/>
      <c r="BX2553" s="153"/>
      <c r="BY2553" s="153"/>
      <c r="BZ2553" s="153"/>
      <c r="CA2553" s="152"/>
      <c r="CB2553" s="152"/>
    </row>
    <row r="2554" spans="1:80" s="87" customFormat="1" ht="15" x14ac:dyDescent="0.25">
      <c r="A2554" s="152"/>
      <c r="B2554" s="683"/>
      <c r="C2554" s="683"/>
      <c r="D2554" s="698"/>
      <c r="E2554" s="215"/>
      <c r="F2554" s="215"/>
      <c r="G2554" s="153"/>
      <c r="H2554" s="153"/>
      <c r="I2554" s="165">
        <v>24</v>
      </c>
      <c r="J2554" s="312">
        <v>60</v>
      </c>
      <c r="K2554" s="150">
        <v>1</v>
      </c>
      <c r="L2554" s="656">
        <v>24</v>
      </c>
      <c r="M2554" s="663">
        <v>34820</v>
      </c>
      <c r="N2554" s="600">
        <v>3.5107699999999999</v>
      </c>
      <c r="O2554" s="604">
        <v>4.261E-3</v>
      </c>
      <c r="P2554" s="150"/>
      <c r="Q2554" s="250"/>
      <c r="R2554" s="250"/>
      <c r="S2554" s="250"/>
      <c r="T2554" s="250">
        <v>2.3E-2</v>
      </c>
      <c r="U2554" s="250">
        <v>7.0999999999999994E-2</v>
      </c>
      <c r="V2554" s="250">
        <v>0.23600000000000002</v>
      </c>
      <c r="W2554" s="250">
        <v>0.26500000000000001</v>
      </c>
      <c r="X2554" s="250">
        <v>0.36599999999999999</v>
      </c>
      <c r="Y2554" s="250">
        <v>3.9E-2</v>
      </c>
      <c r="Z2554" s="150">
        <v>5</v>
      </c>
      <c r="AA2554" s="150">
        <v>0.64</v>
      </c>
      <c r="AB2554" s="152"/>
      <c r="AC2554" s="152"/>
      <c r="AD2554" s="223">
        <v>13.288843999999999</v>
      </c>
      <c r="AE2554" s="223">
        <v>0.45413710000000002</v>
      </c>
      <c r="AF2554" s="223">
        <v>6.0195312000000003</v>
      </c>
      <c r="AG2554" s="223">
        <v>0.59129259999999995</v>
      </c>
      <c r="AH2554" s="341"/>
      <c r="AI2554" s="218"/>
      <c r="AJ2554" s="218"/>
      <c r="AK2554" s="153"/>
      <c r="AL2554" s="152"/>
      <c r="AM2554" s="152"/>
      <c r="AN2554" s="152"/>
      <c r="AO2554" s="152"/>
      <c r="AP2554" s="152"/>
      <c r="AQ2554" s="152"/>
      <c r="AR2554" s="152"/>
      <c r="AS2554" s="152"/>
      <c r="AT2554" s="152"/>
      <c r="AU2554" s="153"/>
      <c r="AV2554" s="479"/>
      <c r="AW2554" s="479"/>
      <c r="AX2554" s="442"/>
      <c r="AY2554" s="153"/>
      <c r="AZ2554" s="152"/>
      <c r="BA2554" s="152"/>
      <c r="BB2554" s="152"/>
      <c r="BC2554" s="152"/>
      <c r="BD2554" s="152"/>
      <c r="BE2554" s="152"/>
      <c r="BF2554" s="152"/>
      <c r="BG2554" s="152"/>
      <c r="BH2554" s="152"/>
      <c r="BI2554" s="153"/>
      <c r="BJ2554" s="153"/>
      <c r="BK2554" s="153"/>
      <c r="BL2554" s="153"/>
      <c r="BM2554" s="153"/>
      <c r="BN2554" s="153"/>
      <c r="BO2554" s="153"/>
      <c r="BP2554" s="153"/>
      <c r="BQ2554" s="153"/>
      <c r="BR2554" s="153"/>
      <c r="BS2554" s="153"/>
      <c r="BT2554" s="153"/>
      <c r="BU2554" s="153"/>
      <c r="BV2554" s="153"/>
      <c r="BW2554" s="153"/>
      <c r="BX2554" s="153"/>
      <c r="BY2554" s="153"/>
      <c r="BZ2554" s="153"/>
      <c r="CA2554" s="152"/>
      <c r="CB2554" s="152"/>
    </row>
    <row r="2555" spans="1:80" s="87" customFormat="1" ht="15" x14ac:dyDescent="0.25">
      <c r="A2555" s="152"/>
      <c r="B2555" s="683"/>
      <c r="C2555" s="683"/>
      <c r="D2555" s="698"/>
      <c r="E2555" s="215"/>
      <c r="F2555" s="215"/>
      <c r="G2555" s="153"/>
      <c r="H2555" s="153"/>
      <c r="I2555" s="165">
        <v>23</v>
      </c>
      <c r="J2555" s="312">
        <v>60</v>
      </c>
      <c r="K2555" s="150">
        <v>1</v>
      </c>
      <c r="L2555" s="656">
        <v>23</v>
      </c>
      <c r="M2555" s="663">
        <v>34822</v>
      </c>
      <c r="N2555" s="600">
        <v>4.7282200000000003</v>
      </c>
      <c r="O2555" s="604">
        <v>5.5840000000000004E-3</v>
      </c>
      <c r="P2555" s="150"/>
      <c r="Q2555" s="250"/>
      <c r="R2555" s="250"/>
      <c r="S2555" s="250"/>
      <c r="T2555" s="250">
        <v>1.4999999999999999E-2</v>
      </c>
      <c r="U2555" s="250">
        <v>5.0999999999999997E-2</v>
      </c>
      <c r="V2555" s="250">
        <v>0.19</v>
      </c>
      <c r="W2555" s="250">
        <v>0.34299999999999997</v>
      </c>
      <c r="X2555" s="250">
        <v>0.377</v>
      </c>
      <c r="Y2555" s="250">
        <v>2.4E-2</v>
      </c>
      <c r="Z2555" s="150">
        <v>7</v>
      </c>
      <c r="AA2555" s="150">
        <v>0.61</v>
      </c>
      <c r="AB2555" s="152"/>
      <c r="AC2555" s="152"/>
      <c r="AD2555" s="223">
        <v>13.776508</v>
      </c>
      <c r="AE2555" s="223">
        <v>0.49680770000000002</v>
      </c>
      <c r="AF2555" s="223">
        <v>6.8462877999999998</v>
      </c>
      <c r="AG2555" s="223">
        <v>0.69492120000000002</v>
      </c>
      <c r="AH2555" s="341"/>
      <c r="AI2555" s="218"/>
      <c r="AJ2555" s="218"/>
      <c r="AK2555" s="153"/>
      <c r="AL2555" s="152"/>
      <c r="AM2555" s="152"/>
      <c r="AN2555" s="152"/>
      <c r="AO2555" s="152"/>
      <c r="AP2555" s="152"/>
      <c r="AQ2555" s="152"/>
      <c r="AR2555" s="152"/>
      <c r="AS2555" s="152"/>
      <c r="AT2555" s="152"/>
      <c r="AU2555" s="153"/>
      <c r="AV2555" s="479"/>
      <c r="AW2555" s="479"/>
      <c r="AX2555" s="442"/>
      <c r="AY2555" s="153"/>
      <c r="AZ2555" s="152"/>
      <c r="BA2555" s="152"/>
      <c r="BB2555" s="152"/>
      <c r="BC2555" s="152"/>
      <c r="BD2555" s="152"/>
      <c r="BE2555" s="152"/>
      <c r="BF2555" s="152"/>
      <c r="BG2555" s="152"/>
      <c r="BH2555" s="152"/>
      <c r="BI2555" s="153"/>
      <c r="BJ2555" s="153"/>
      <c r="BK2555" s="153"/>
      <c r="BL2555" s="153"/>
      <c r="BM2555" s="153"/>
      <c r="BN2555" s="153"/>
      <c r="BO2555" s="153"/>
      <c r="BP2555" s="153"/>
      <c r="BQ2555" s="153"/>
      <c r="BR2555" s="153"/>
      <c r="BS2555" s="153"/>
      <c r="BT2555" s="153"/>
      <c r="BU2555" s="153"/>
      <c r="BV2555" s="153"/>
      <c r="BW2555" s="153"/>
      <c r="BX2555" s="153"/>
      <c r="BY2555" s="153"/>
      <c r="BZ2555" s="153"/>
      <c r="CA2555" s="152"/>
      <c r="CB2555" s="152"/>
    </row>
    <row r="2556" spans="1:80" s="87" customFormat="1" ht="15" x14ac:dyDescent="0.25">
      <c r="A2556" s="152"/>
      <c r="B2556" s="683"/>
      <c r="C2556" s="683"/>
      <c r="D2556" s="698"/>
      <c r="E2556" s="215"/>
      <c r="F2556" s="215"/>
      <c r="G2556" s="153"/>
      <c r="H2556" s="153"/>
      <c r="I2556" s="165">
        <v>23</v>
      </c>
      <c r="J2556" s="312">
        <v>60</v>
      </c>
      <c r="K2556" s="150">
        <v>1</v>
      </c>
      <c r="L2556" s="656">
        <v>23</v>
      </c>
      <c r="M2556" s="663">
        <v>34822</v>
      </c>
      <c r="N2556" s="600">
        <v>4.7282200000000003</v>
      </c>
      <c r="O2556" s="604">
        <v>5.0590000000000001E-3</v>
      </c>
      <c r="P2556" s="150"/>
      <c r="Q2556" s="250"/>
      <c r="R2556" s="250"/>
      <c r="S2556" s="250"/>
      <c r="T2556" s="250"/>
      <c r="U2556" s="250">
        <v>1.2E-2</v>
      </c>
      <c r="V2556" s="250">
        <v>0.10199999999999999</v>
      </c>
      <c r="W2556" s="250">
        <v>0.42499999999999999</v>
      </c>
      <c r="X2556" s="250">
        <v>0.45</v>
      </c>
      <c r="Y2556" s="250">
        <v>1.1000000000000001E-2</v>
      </c>
      <c r="Z2556" s="150">
        <v>7</v>
      </c>
      <c r="AA2556" s="150">
        <v>0.53</v>
      </c>
      <c r="AB2556" s="152"/>
      <c r="AC2556" s="152"/>
      <c r="AD2556" s="223">
        <v>13.776508</v>
      </c>
      <c r="AE2556" s="223">
        <v>0.49680770000000002</v>
      </c>
      <c r="AF2556" s="223">
        <v>6.8462877999999998</v>
      </c>
      <c r="AG2556" s="223">
        <v>0.69492120000000002</v>
      </c>
      <c r="AH2556" s="341"/>
      <c r="AI2556" s="218"/>
      <c r="AJ2556" s="218"/>
      <c r="AK2556" s="153"/>
      <c r="AL2556" s="152"/>
      <c r="AM2556" s="152"/>
      <c r="AN2556" s="152"/>
      <c r="AO2556" s="152"/>
      <c r="AP2556" s="152"/>
      <c r="AQ2556" s="152"/>
      <c r="AR2556" s="152"/>
      <c r="AS2556" s="152"/>
      <c r="AT2556" s="152"/>
      <c r="AU2556" s="153"/>
      <c r="AV2556" s="479"/>
      <c r="AW2556" s="479"/>
      <c r="AX2556" s="442"/>
      <c r="AY2556" s="153"/>
      <c r="AZ2556" s="152"/>
      <c r="BA2556" s="152"/>
      <c r="BB2556" s="152"/>
      <c r="BC2556" s="152"/>
      <c r="BD2556" s="152"/>
      <c r="BE2556" s="152"/>
      <c r="BF2556" s="152"/>
      <c r="BG2556" s="152"/>
      <c r="BH2556" s="152"/>
      <c r="BI2556" s="153"/>
      <c r="BJ2556" s="153"/>
      <c r="BK2556" s="153"/>
      <c r="BL2556" s="153"/>
      <c r="BM2556" s="153"/>
      <c r="BN2556" s="153"/>
      <c r="BO2556" s="153"/>
      <c r="BP2556" s="153"/>
      <c r="BQ2556" s="153"/>
      <c r="BR2556" s="153"/>
      <c r="BS2556" s="153"/>
      <c r="BT2556" s="153"/>
      <c r="BU2556" s="153"/>
      <c r="BV2556" s="153"/>
      <c r="BW2556" s="153"/>
      <c r="BX2556" s="153"/>
      <c r="BY2556" s="153"/>
      <c r="BZ2556" s="153"/>
      <c r="CA2556" s="152"/>
      <c r="CB2556" s="152"/>
    </row>
    <row r="2557" spans="1:80" s="87" customFormat="1" ht="15" x14ac:dyDescent="0.25">
      <c r="A2557" s="152"/>
      <c r="B2557" s="683"/>
      <c r="C2557" s="683"/>
      <c r="D2557" s="698"/>
      <c r="E2557" s="215"/>
      <c r="F2557" s="215"/>
      <c r="G2557" s="153"/>
      <c r="H2557" s="153"/>
      <c r="I2557" s="165">
        <v>18</v>
      </c>
      <c r="J2557" s="312">
        <v>60</v>
      </c>
      <c r="K2557" s="150">
        <v>1</v>
      </c>
      <c r="L2557" s="656">
        <v>18</v>
      </c>
      <c r="M2557" s="663">
        <v>34837</v>
      </c>
      <c r="N2557" s="600">
        <v>8.9468099999999993</v>
      </c>
      <c r="O2557" s="604">
        <v>2.0152E-2</v>
      </c>
      <c r="P2557" s="150"/>
      <c r="Q2557" s="250"/>
      <c r="R2557" s="250"/>
      <c r="S2557" s="250">
        <v>2.4E-2</v>
      </c>
      <c r="T2557" s="250">
        <v>3.5000000000000003E-2</v>
      </c>
      <c r="U2557" s="250">
        <v>0.10400000000000001</v>
      </c>
      <c r="V2557" s="250">
        <v>0.27300000000000002</v>
      </c>
      <c r="W2557" s="250">
        <v>0.32400000000000001</v>
      </c>
      <c r="X2557" s="250">
        <v>0.23</v>
      </c>
      <c r="Y2557" s="250">
        <v>0.01</v>
      </c>
      <c r="Z2557" s="150">
        <v>11</v>
      </c>
      <c r="AA2557" s="150">
        <v>0.87</v>
      </c>
      <c r="AB2557" s="152"/>
      <c r="AC2557" s="152"/>
      <c r="AD2557" s="223">
        <v>12.953575000000001</v>
      </c>
      <c r="AE2557" s="223">
        <v>0.67968170000000006</v>
      </c>
      <c r="AF2557" s="223">
        <v>8.7877723999999997</v>
      </c>
      <c r="AG2557" s="223">
        <v>1.0576213000000001</v>
      </c>
      <c r="AH2557" s="341"/>
      <c r="AI2557" s="218"/>
      <c r="AJ2557" s="218"/>
      <c r="AK2557" s="153"/>
      <c r="AL2557" s="152"/>
      <c r="AM2557" s="152"/>
      <c r="AN2557" s="152"/>
      <c r="AO2557" s="152"/>
      <c r="AP2557" s="152"/>
      <c r="AQ2557" s="152"/>
      <c r="AR2557" s="152"/>
      <c r="AS2557" s="152"/>
      <c r="AT2557" s="152"/>
      <c r="AU2557" s="153"/>
      <c r="AV2557" s="479"/>
      <c r="AW2557" s="479"/>
      <c r="AX2557" s="442"/>
      <c r="AY2557" s="153"/>
      <c r="AZ2557" s="152"/>
      <c r="BA2557" s="152"/>
      <c r="BB2557" s="152"/>
      <c r="BC2557" s="152"/>
      <c r="BD2557" s="152"/>
      <c r="BE2557" s="152"/>
      <c r="BF2557" s="152"/>
      <c r="BG2557" s="152"/>
      <c r="BH2557" s="152"/>
      <c r="BI2557" s="153"/>
      <c r="BJ2557" s="153"/>
      <c r="BK2557" s="153"/>
      <c r="BL2557" s="153"/>
      <c r="BM2557" s="153"/>
      <c r="BN2557" s="153"/>
      <c r="BO2557" s="153"/>
      <c r="BP2557" s="153"/>
      <c r="BQ2557" s="153"/>
      <c r="BR2557" s="153"/>
      <c r="BS2557" s="153"/>
      <c r="BT2557" s="153"/>
      <c r="BU2557" s="153"/>
      <c r="BV2557" s="153"/>
      <c r="BW2557" s="153"/>
      <c r="BX2557" s="153"/>
      <c r="BY2557" s="153"/>
      <c r="BZ2557" s="153"/>
      <c r="CA2557" s="152"/>
      <c r="CB2557" s="152"/>
    </row>
    <row r="2558" spans="1:80" s="87" customFormat="1" ht="15" x14ac:dyDescent="0.25">
      <c r="A2558" s="152"/>
      <c r="B2558" s="683"/>
      <c r="C2558" s="683"/>
      <c r="D2558" s="698"/>
      <c r="E2558" s="215"/>
      <c r="F2558" s="215"/>
      <c r="G2558" s="153"/>
      <c r="H2558" s="153"/>
      <c r="I2558" s="165">
        <v>18</v>
      </c>
      <c r="J2558" s="312">
        <v>60</v>
      </c>
      <c r="K2558" s="150">
        <v>1</v>
      </c>
      <c r="L2558" s="656">
        <v>18</v>
      </c>
      <c r="M2558" s="663">
        <v>34837</v>
      </c>
      <c r="N2558" s="600">
        <v>8.9468099999999993</v>
      </c>
      <c r="O2558" s="604">
        <v>1.5533999999999999E-2</v>
      </c>
      <c r="P2558" s="150"/>
      <c r="Q2558" s="250"/>
      <c r="R2558" s="250"/>
      <c r="S2558" s="250"/>
      <c r="T2558" s="250">
        <v>2.5000000000000001E-2</v>
      </c>
      <c r="U2558" s="250">
        <v>0.10400000000000001</v>
      </c>
      <c r="V2558" s="250">
        <v>0.34200000000000003</v>
      </c>
      <c r="W2558" s="250">
        <v>0.34100000000000003</v>
      </c>
      <c r="X2558" s="250">
        <v>0.17899999999999999</v>
      </c>
      <c r="Y2558" s="250">
        <v>9.0000000000000011E-3</v>
      </c>
      <c r="Z2558" s="150">
        <v>11</v>
      </c>
      <c r="AA2558" s="150">
        <v>0.94</v>
      </c>
      <c r="AB2558" s="152"/>
      <c r="AC2558" s="152"/>
      <c r="AD2558" s="223">
        <v>12.953575000000001</v>
      </c>
      <c r="AE2558" s="223">
        <v>0.67968170000000006</v>
      </c>
      <c r="AF2558" s="223">
        <v>8.7877723999999997</v>
      </c>
      <c r="AG2558" s="223">
        <v>1.0576213000000001</v>
      </c>
      <c r="AH2558" s="341"/>
      <c r="AI2558" s="218"/>
      <c r="AJ2558" s="218"/>
      <c r="AK2558" s="153"/>
      <c r="AL2558" s="152"/>
      <c r="AM2558" s="152"/>
      <c r="AN2558" s="152"/>
      <c r="AO2558" s="152"/>
      <c r="AP2558" s="152"/>
      <c r="AQ2558" s="152"/>
      <c r="AR2558" s="152"/>
      <c r="AS2558" s="152"/>
      <c r="AT2558" s="152"/>
      <c r="AU2558" s="153"/>
      <c r="AV2558" s="479"/>
      <c r="AW2558" s="479"/>
      <c r="AX2558" s="442"/>
      <c r="AY2558" s="153"/>
      <c r="AZ2558" s="152"/>
      <c r="BA2558" s="152"/>
      <c r="BB2558" s="152"/>
      <c r="BC2558" s="152"/>
      <c r="BD2558" s="152"/>
      <c r="BE2558" s="152"/>
      <c r="BF2558" s="152"/>
      <c r="BG2558" s="152"/>
      <c r="BH2558" s="152"/>
      <c r="BI2558" s="153"/>
      <c r="BJ2558" s="153"/>
      <c r="BK2558" s="153"/>
      <c r="BL2558" s="153"/>
      <c r="BM2558" s="153"/>
      <c r="BN2558" s="153"/>
      <c r="BO2558" s="153"/>
      <c r="BP2558" s="153"/>
      <c r="BQ2558" s="153"/>
      <c r="BR2558" s="153"/>
      <c r="BS2558" s="153"/>
      <c r="BT2558" s="153"/>
      <c r="BU2558" s="153"/>
      <c r="BV2558" s="153"/>
      <c r="BW2558" s="153"/>
      <c r="BX2558" s="153"/>
      <c r="BY2558" s="153"/>
      <c r="BZ2558" s="153"/>
      <c r="CA2558" s="152"/>
      <c r="CB2558" s="152"/>
    </row>
    <row r="2559" spans="1:80" s="87" customFormat="1" ht="15" x14ac:dyDescent="0.25">
      <c r="A2559" s="152"/>
      <c r="B2559" s="683"/>
      <c r="C2559" s="683"/>
      <c r="D2559" s="698"/>
      <c r="E2559" s="215"/>
      <c r="F2559" s="215"/>
      <c r="G2559" s="153"/>
      <c r="H2559" s="153"/>
      <c r="I2559" s="165">
        <v>20</v>
      </c>
      <c r="J2559" s="312">
        <v>60</v>
      </c>
      <c r="K2559" s="150">
        <v>1</v>
      </c>
      <c r="L2559" s="656">
        <v>20</v>
      </c>
      <c r="M2559" s="663">
        <v>34843</v>
      </c>
      <c r="N2559" s="600">
        <v>8.5787499999999994</v>
      </c>
      <c r="O2559" s="604">
        <v>1.0600999999999999E-2</v>
      </c>
      <c r="P2559" s="150"/>
      <c r="Q2559" s="250"/>
      <c r="R2559" s="250"/>
      <c r="S2559" s="250">
        <v>1.1000000000000001E-2</v>
      </c>
      <c r="T2559" s="250">
        <v>1.4999999999999999E-2</v>
      </c>
      <c r="U2559" s="250">
        <v>6.6000000000000003E-2</v>
      </c>
      <c r="V2559" s="250">
        <v>0.29399999999999998</v>
      </c>
      <c r="W2559" s="250">
        <v>0.33200000000000002</v>
      </c>
      <c r="X2559" s="250">
        <v>0.27100000000000002</v>
      </c>
      <c r="Y2559" s="250">
        <v>1.1000000000000001E-2</v>
      </c>
      <c r="Z2559" s="150">
        <v>9</v>
      </c>
      <c r="AA2559" s="150">
        <v>0.79</v>
      </c>
      <c r="AB2559" s="152"/>
      <c r="AC2559" s="152"/>
      <c r="AD2559" s="223">
        <v>13.563155</v>
      </c>
      <c r="AE2559" s="223">
        <v>0.57605309999999998</v>
      </c>
      <c r="AF2559" s="223">
        <v>7.8216748000000003</v>
      </c>
      <c r="AG2559" s="223">
        <v>1.0881003</v>
      </c>
      <c r="AH2559" s="341"/>
      <c r="AI2559" s="218"/>
      <c r="AJ2559" s="218"/>
      <c r="AK2559" s="153"/>
      <c r="AL2559" s="152"/>
      <c r="AM2559" s="152"/>
      <c r="AN2559" s="152"/>
      <c r="AO2559" s="152"/>
      <c r="AP2559" s="152"/>
      <c r="AQ2559" s="152"/>
      <c r="AR2559" s="152"/>
      <c r="AS2559" s="152"/>
      <c r="AT2559" s="152"/>
      <c r="AU2559" s="153"/>
      <c r="AV2559" s="479"/>
      <c r="AW2559" s="479"/>
      <c r="AX2559" s="442"/>
      <c r="AY2559" s="153"/>
      <c r="AZ2559" s="152"/>
      <c r="BA2559" s="152"/>
      <c r="BB2559" s="152"/>
      <c r="BC2559" s="152"/>
      <c r="BD2559" s="152"/>
      <c r="BE2559" s="152"/>
      <c r="BF2559" s="152"/>
      <c r="BG2559" s="152"/>
      <c r="BH2559" s="152"/>
      <c r="BI2559" s="153"/>
      <c r="BJ2559" s="153"/>
      <c r="BK2559" s="153"/>
      <c r="BL2559" s="153"/>
      <c r="BM2559" s="153"/>
      <c r="BN2559" s="153"/>
      <c r="BO2559" s="153"/>
      <c r="BP2559" s="153"/>
      <c r="BQ2559" s="153"/>
      <c r="BR2559" s="153"/>
      <c r="BS2559" s="153"/>
      <c r="BT2559" s="153"/>
      <c r="BU2559" s="153"/>
      <c r="BV2559" s="153"/>
      <c r="BW2559" s="153"/>
      <c r="BX2559" s="153"/>
      <c r="BY2559" s="153"/>
      <c r="BZ2559" s="153"/>
      <c r="CA2559" s="152"/>
      <c r="CB2559" s="152"/>
    </row>
    <row r="2560" spans="1:80" s="87" customFormat="1" ht="15" x14ac:dyDescent="0.25">
      <c r="A2560" s="152"/>
      <c r="B2560" s="683"/>
      <c r="C2560" s="683"/>
      <c r="D2560" s="698"/>
      <c r="E2560" s="215"/>
      <c r="F2560" s="215"/>
      <c r="G2560" s="153"/>
      <c r="H2560" s="153"/>
      <c r="I2560" s="165">
        <v>20</v>
      </c>
      <c r="J2560" s="312">
        <v>60</v>
      </c>
      <c r="K2560" s="150">
        <v>1</v>
      </c>
      <c r="L2560" s="656">
        <v>20</v>
      </c>
      <c r="M2560" s="663">
        <v>34843</v>
      </c>
      <c r="N2560" s="600">
        <v>8.5787499999999994</v>
      </c>
      <c r="O2560" s="604">
        <v>1.0390999999999999E-2</v>
      </c>
      <c r="P2560" s="150"/>
      <c r="Q2560" s="250"/>
      <c r="R2560" s="250"/>
      <c r="S2560" s="250">
        <v>6.7000000000000004E-2</v>
      </c>
      <c r="T2560" s="250">
        <v>9.0000000000000011E-3</v>
      </c>
      <c r="U2560" s="250">
        <v>0.05</v>
      </c>
      <c r="V2560" s="250">
        <v>0.188</v>
      </c>
      <c r="W2560" s="250">
        <v>0.30599999999999999</v>
      </c>
      <c r="X2560" s="250">
        <v>0.36899999999999999</v>
      </c>
      <c r="Y2560" s="250">
        <v>1.1000000000000001E-2</v>
      </c>
      <c r="Z2560" s="150">
        <v>9</v>
      </c>
      <c r="AA2560" s="150">
        <v>0.66</v>
      </c>
      <c r="AB2560" s="152"/>
      <c r="AC2560" s="152"/>
      <c r="AD2560" s="223">
        <v>13.563155</v>
      </c>
      <c r="AE2560" s="223">
        <v>0.57605309999999998</v>
      </c>
      <c r="AF2560" s="223">
        <v>7.8216748000000003</v>
      </c>
      <c r="AG2560" s="223">
        <v>1.0881003</v>
      </c>
      <c r="AH2560" s="341"/>
      <c r="AI2560" s="218"/>
      <c r="AJ2560" s="218"/>
      <c r="AK2560" s="153"/>
      <c r="AL2560" s="152"/>
      <c r="AM2560" s="152"/>
      <c r="AN2560" s="152"/>
      <c r="AO2560" s="152"/>
      <c r="AP2560" s="152"/>
      <c r="AQ2560" s="152"/>
      <c r="AR2560" s="152"/>
      <c r="AS2560" s="152"/>
      <c r="AT2560" s="152"/>
      <c r="AU2560" s="153"/>
      <c r="AV2560" s="479"/>
      <c r="AW2560" s="479"/>
      <c r="AX2560" s="442"/>
      <c r="AY2560" s="153"/>
      <c r="AZ2560" s="152"/>
      <c r="BA2560" s="152"/>
      <c r="BB2560" s="152"/>
      <c r="BC2560" s="152"/>
      <c r="BD2560" s="152"/>
      <c r="BE2560" s="152"/>
      <c r="BF2560" s="152"/>
      <c r="BG2560" s="152"/>
      <c r="BH2560" s="152"/>
      <c r="BI2560" s="153"/>
      <c r="BJ2560" s="153"/>
      <c r="BK2560" s="153"/>
      <c r="BL2560" s="153"/>
      <c r="BM2560" s="153"/>
      <c r="BN2560" s="153"/>
      <c r="BO2560" s="153"/>
      <c r="BP2560" s="153"/>
      <c r="BQ2560" s="153"/>
      <c r="BR2560" s="153"/>
      <c r="BS2560" s="153"/>
      <c r="BT2560" s="153"/>
      <c r="BU2560" s="153"/>
      <c r="BV2560" s="153"/>
      <c r="BW2560" s="153"/>
      <c r="BX2560" s="153"/>
      <c r="BY2560" s="153"/>
      <c r="BZ2560" s="153"/>
      <c r="CA2560" s="152"/>
      <c r="CB2560" s="152"/>
    </row>
    <row r="2561" spans="1:80" s="87" customFormat="1" ht="15" x14ac:dyDescent="0.25">
      <c r="A2561" s="152"/>
      <c r="B2561" s="683"/>
      <c r="C2561" s="683"/>
      <c r="D2561" s="698"/>
      <c r="E2561" s="215"/>
      <c r="F2561" s="215"/>
      <c r="G2561" s="153"/>
      <c r="H2561" s="153"/>
      <c r="I2561" s="165">
        <v>19</v>
      </c>
      <c r="J2561" s="312">
        <v>60</v>
      </c>
      <c r="K2561" s="150">
        <v>1</v>
      </c>
      <c r="L2561" s="656">
        <v>19</v>
      </c>
      <c r="M2561" s="663">
        <v>34851</v>
      </c>
      <c r="N2561" s="600">
        <v>9.2582500000000003</v>
      </c>
      <c r="O2561" s="604">
        <v>1.0916E-2</v>
      </c>
      <c r="P2561" s="150"/>
      <c r="Q2561" s="250"/>
      <c r="R2561" s="250"/>
      <c r="S2561" s="250">
        <v>3.4000000000000002E-2</v>
      </c>
      <c r="T2561" s="250">
        <v>1.1000000000000001E-2</v>
      </c>
      <c r="U2561" s="250">
        <v>0.08</v>
      </c>
      <c r="V2561" s="250">
        <v>0.27800000000000002</v>
      </c>
      <c r="W2561" s="250">
        <v>0.33899999999999997</v>
      </c>
      <c r="X2561" s="250">
        <v>0.25</v>
      </c>
      <c r="Y2561" s="250">
        <v>8.0000000000000002E-3</v>
      </c>
      <c r="Z2561" s="150">
        <v>12</v>
      </c>
      <c r="AA2561" s="150">
        <v>0.82</v>
      </c>
      <c r="AB2561" s="152"/>
      <c r="AC2561" s="152"/>
      <c r="AD2561" s="223">
        <v>13.867945000000001</v>
      </c>
      <c r="AE2561" s="223">
        <v>0.58519679999999996</v>
      </c>
      <c r="AF2561" s="223">
        <v>8.1003568000000001</v>
      </c>
      <c r="AG2561" s="223">
        <v>1.1490583000000001</v>
      </c>
      <c r="AH2561" s="341"/>
      <c r="AI2561" s="218"/>
      <c r="AJ2561" s="218"/>
      <c r="AK2561" s="153"/>
      <c r="AL2561" s="152"/>
      <c r="AM2561" s="152"/>
      <c r="AN2561" s="152"/>
      <c r="AO2561" s="152"/>
      <c r="AP2561" s="152"/>
      <c r="AQ2561" s="152"/>
      <c r="AR2561" s="152"/>
      <c r="AS2561" s="152"/>
      <c r="AT2561" s="152"/>
      <c r="AU2561" s="153"/>
      <c r="AV2561" s="479"/>
      <c r="AW2561" s="479"/>
      <c r="AX2561" s="442"/>
      <c r="AY2561" s="153"/>
      <c r="AZ2561" s="152"/>
      <c r="BA2561" s="152"/>
      <c r="BB2561" s="152"/>
      <c r="BC2561" s="152"/>
      <c r="BD2561" s="152"/>
      <c r="BE2561" s="152"/>
      <c r="BF2561" s="152"/>
      <c r="BG2561" s="152"/>
      <c r="BH2561" s="152"/>
      <c r="BI2561" s="153"/>
      <c r="BJ2561" s="153"/>
      <c r="BK2561" s="153"/>
      <c r="BL2561" s="153"/>
      <c r="BM2561" s="153"/>
      <c r="BN2561" s="153"/>
      <c r="BO2561" s="153"/>
      <c r="BP2561" s="153"/>
      <c r="BQ2561" s="153"/>
      <c r="BR2561" s="153"/>
      <c r="BS2561" s="153"/>
      <c r="BT2561" s="153"/>
      <c r="BU2561" s="153"/>
      <c r="BV2561" s="153"/>
      <c r="BW2561" s="153"/>
      <c r="BX2561" s="153"/>
      <c r="BY2561" s="153"/>
      <c r="BZ2561" s="153"/>
      <c r="CA2561" s="152"/>
      <c r="CB2561" s="152"/>
    </row>
    <row r="2562" spans="1:80" s="87" customFormat="1" ht="15" x14ac:dyDescent="0.25">
      <c r="A2562" s="152"/>
      <c r="B2562" s="683"/>
      <c r="C2562" s="683"/>
      <c r="D2562" s="698"/>
      <c r="E2562" s="215"/>
      <c r="F2562" s="215"/>
      <c r="G2562" s="153"/>
      <c r="H2562" s="153"/>
      <c r="I2562" s="165">
        <v>19</v>
      </c>
      <c r="J2562" s="312">
        <v>60</v>
      </c>
      <c r="K2562" s="150">
        <v>1</v>
      </c>
      <c r="L2562" s="656">
        <v>19</v>
      </c>
      <c r="M2562" s="663">
        <v>34851</v>
      </c>
      <c r="N2562" s="600">
        <v>9.2582500000000003</v>
      </c>
      <c r="O2562" s="604">
        <v>1.2385E-2</v>
      </c>
      <c r="P2562" s="150"/>
      <c r="Q2562" s="250"/>
      <c r="R2562" s="250"/>
      <c r="S2562" s="250"/>
      <c r="T2562" s="250">
        <v>1.3000000000000001E-2</v>
      </c>
      <c r="U2562" s="250">
        <v>0.10400000000000001</v>
      </c>
      <c r="V2562" s="250">
        <v>0.313</v>
      </c>
      <c r="W2562" s="250">
        <v>0.35100000000000003</v>
      </c>
      <c r="X2562" s="250">
        <v>0.21199999999999999</v>
      </c>
      <c r="Y2562" s="250">
        <v>6.9999999999999993E-3</v>
      </c>
      <c r="Z2562" s="150">
        <v>12</v>
      </c>
      <c r="AA2562" s="150">
        <v>0.87</v>
      </c>
      <c r="AB2562" s="152"/>
      <c r="AC2562" s="152"/>
      <c r="AD2562" s="223">
        <v>13.867945000000001</v>
      </c>
      <c r="AE2562" s="223">
        <v>0.58519679999999996</v>
      </c>
      <c r="AF2562" s="223">
        <v>8.1003568000000001</v>
      </c>
      <c r="AG2562" s="223">
        <v>1.1490583000000001</v>
      </c>
      <c r="AH2562" s="341"/>
      <c r="AI2562" s="218"/>
      <c r="AJ2562" s="218"/>
      <c r="AK2562" s="153"/>
      <c r="AL2562" s="152"/>
      <c r="AM2562" s="152"/>
      <c r="AN2562" s="152"/>
      <c r="AO2562" s="152"/>
      <c r="AP2562" s="152"/>
      <c r="AQ2562" s="152"/>
      <c r="AR2562" s="152"/>
      <c r="AS2562" s="152"/>
      <c r="AT2562" s="152"/>
      <c r="AU2562" s="153"/>
      <c r="AV2562" s="479"/>
      <c r="AW2562" s="479"/>
      <c r="AX2562" s="442"/>
      <c r="AY2562" s="153"/>
      <c r="AZ2562" s="152"/>
      <c r="BA2562" s="152"/>
      <c r="BB2562" s="152"/>
      <c r="BC2562" s="152"/>
      <c r="BD2562" s="152"/>
      <c r="BE2562" s="152"/>
      <c r="BF2562" s="152"/>
      <c r="BG2562" s="152"/>
      <c r="BH2562" s="152"/>
      <c r="BI2562" s="153"/>
      <c r="BJ2562" s="153"/>
      <c r="BK2562" s="153"/>
      <c r="BL2562" s="153"/>
      <c r="BM2562" s="153"/>
      <c r="BN2562" s="153"/>
      <c r="BO2562" s="153"/>
      <c r="BP2562" s="153"/>
      <c r="BQ2562" s="153"/>
      <c r="BR2562" s="153"/>
      <c r="BS2562" s="153"/>
      <c r="BT2562" s="153"/>
      <c r="BU2562" s="153"/>
      <c r="BV2562" s="153"/>
      <c r="BW2562" s="153"/>
      <c r="BX2562" s="153"/>
      <c r="BY2562" s="153"/>
      <c r="BZ2562" s="153"/>
      <c r="CA2562" s="152"/>
      <c r="CB2562" s="152"/>
    </row>
    <row r="2563" spans="1:80" s="87" customFormat="1" ht="15" x14ac:dyDescent="0.25">
      <c r="A2563" s="152"/>
      <c r="B2563" s="683"/>
      <c r="C2563" s="683"/>
      <c r="D2563" s="698"/>
      <c r="E2563" s="215"/>
      <c r="F2563" s="215"/>
      <c r="G2563" s="153"/>
      <c r="H2563" s="153"/>
      <c r="I2563" s="165">
        <v>18</v>
      </c>
      <c r="J2563" s="312">
        <v>60</v>
      </c>
      <c r="K2563" s="150">
        <v>1</v>
      </c>
      <c r="L2563" s="656">
        <v>18</v>
      </c>
      <c r="M2563" s="663">
        <v>34856</v>
      </c>
      <c r="N2563" s="600">
        <v>9.8528199999999995</v>
      </c>
      <c r="O2563" s="604">
        <v>1.8158000000000001E-2</v>
      </c>
      <c r="P2563" s="150"/>
      <c r="Q2563" s="250"/>
      <c r="R2563" s="250"/>
      <c r="S2563" s="250">
        <v>9.0000000000000011E-3</v>
      </c>
      <c r="T2563" s="250">
        <v>2.7000000000000003E-2</v>
      </c>
      <c r="U2563" s="250">
        <v>0.10800000000000001</v>
      </c>
      <c r="V2563" s="250">
        <v>0.29199999999999998</v>
      </c>
      <c r="W2563" s="250">
        <v>0.308</v>
      </c>
      <c r="X2563" s="250">
        <v>0.245</v>
      </c>
      <c r="Y2563" s="250">
        <v>1.1000000000000001E-2</v>
      </c>
      <c r="Z2563" s="150">
        <v>11</v>
      </c>
      <c r="AA2563" s="150">
        <v>0.87</v>
      </c>
      <c r="AB2563" s="152"/>
      <c r="AC2563" s="152"/>
      <c r="AD2563" s="223">
        <v>13.867945000000001</v>
      </c>
      <c r="AE2563" s="223">
        <v>0.62481949999999997</v>
      </c>
      <c r="AF2563" s="223">
        <v>8.6670102</v>
      </c>
      <c r="AG2563" s="223">
        <v>1.1825851999999999</v>
      </c>
      <c r="AH2563" s="341"/>
      <c r="AI2563" s="218"/>
      <c r="AJ2563" s="218"/>
      <c r="AK2563" s="153"/>
      <c r="AL2563" s="152"/>
      <c r="AM2563" s="152"/>
      <c r="AN2563" s="152"/>
      <c r="AO2563" s="152"/>
      <c r="AP2563" s="152"/>
      <c r="AQ2563" s="152"/>
      <c r="AR2563" s="152"/>
      <c r="AS2563" s="152"/>
      <c r="AT2563" s="152"/>
      <c r="AU2563" s="153"/>
      <c r="AV2563" s="479"/>
      <c r="AW2563" s="479"/>
      <c r="AX2563" s="442"/>
      <c r="AY2563" s="153"/>
      <c r="AZ2563" s="152"/>
      <c r="BA2563" s="152"/>
      <c r="BB2563" s="152"/>
      <c r="BC2563" s="152"/>
      <c r="BD2563" s="152"/>
      <c r="BE2563" s="152"/>
      <c r="BF2563" s="152"/>
      <c r="BG2563" s="152"/>
      <c r="BH2563" s="152"/>
      <c r="BI2563" s="153"/>
      <c r="BJ2563" s="153"/>
      <c r="BK2563" s="153"/>
      <c r="BL2563" s="153"/>
      <c r="BM2563" s="153"/>
      <c r="BN2563" s="153"/>
      <c r="BO2563" s="153"/>
      <c r="BP2563" s="153"/>
      <c r="BQ2563" s="153"/>
      <c r="BR2563" s="153"/>
      <c r="BS2563" s="153"/>
      <c r="BT2563" s="153"/>
      <c r="BU2563" s="153"/>
      <c r="BV2563" s="153"/>
      <c r="BW2563" s="153"/>
      <c r="BX2563" s="153"/>
      <c r="BY2563" s="153"/>
      <c r="BZ2563" s="153"/>
      <c r="CA2563" s="152"/>
      <c r="CB2563" s="152"/>
    </row>
    <row r="2564" spans="1:80" s="87" customFormat="1" ht="15" x14ac:dyDescent="0.25">
      <c r="A2564" s="152"/>
      <c r="B2564" s="683"/>
      <c r="C2564" s="683"/>
      <c r="D2564" s="698"/>
      <c r="E2564" s="215"/>
      <c r="F2564" s="215"/>
      <c r="G2564" s="153"/>
      <c r="H2564" s="153"/>
      <c r="I2564" s="165">
        <v>18</v>
      </c>
      <c r="J2564" s="312">
        <v>60</v>
      </c>
      <c r="K2564" s="150">
        <v>1</v>
      </c>
      <c r="L2564" s="656">
        <v>18</v>
      </c>
      <c r="M2564" s="663">
        <v>34856</v>
      </c>
      <c r="N2564" s="600">
        <v>9.8528199999999995</v>
      </c>
      <c r="O2564" s="604">
        <v>1.2805E-2</v>
      </c>
      <c r="P2564" s="150"/>
      <c r="Q2564" s="250"/>
      <c r="R2564" s="250"/>
      <c r="S2564" s="250">
        <v>1.8000000000000002E-2</v>
      </c>
      <c r="T2564" s="250">
        <v>8.0000000000000002E-3</v>
      </c>
      <c r="U2564" s="250">
        <v>5.0999999999999997E-2</v>
      </c>
      <c r="V2564" s="250">
        <v>0.221</v>
      </c>
      <c r="W2564" s="250">
        <v>0.374</v>
      </c>
      <c r="X2564" s="250">
        <v>0.313</v>
      </c>
      <c r="Y2564" s="250">
        <v>1.4999999999999999E-2</v>
      </c>
      <c r="Z2564" s="150">
        <v>11</v>
      </c>
      <c r="AA2564" s="150">
        <v>0.69</v>
      </c>
      <c r="AB2564" s="152"/>
      <c r="AC2564" s="152"/>
      <c r="AD2564" s="223">
        <v>13.867945000000001</v>
      </c>
      <c r="AE2564" s="223">
        <v>0.62481949999999997</v>
      </c>
      <c r="AF2564" s="223">
        <v>8.6670102</v>
      </c>
      <c r="AG2564" s="223">
        <v>1.1825851999999999</v>
      </c>
      <c r="AH2564" s="341"/>
      <c r="AI2564" s="218"/>
      <c r="AJ2564" s="218"/>
      <c r="AK2564" s="153"/>
      <c r="AL2564" s="152"/>
      <c r="AM2564" s="152"/>
      <c r="AN2564" s="152"/>
      <c r="AO2564" s="152"/>
      <c r="AP2564" s="152"/>
      <c r="AQ2564" s="152"/>
      <c r="AR2564" s="152"/>
      <c r="AS2564" s="152"/>
      <c r="AT2564" s="152"/>
      <c r="AU2564" s="153"/>
      <c r="AV2564" s="479"/>
      <c r="AW2564" s="479"/>
      <c r="AX2564" s="442"/>
      <c r="AY2564" s="153"/>
      <c r="AZ2564" s="152"/>
      <c r="BA2564" s="152"/>
      <c r="BB2564" s="152"/>
      <c r="BC2564" s="152"/>
      <c r="BD2564" s="152"/>
      <c r="BE2564" s="152"/>
      <c r="BF2564" s="152"/>
      <c r="BG2564" s="152"/>
      <c r="BH2564" s="152"/>
      <c r="BI2564" s="153"/>
      <c r="BJ2564" s="153"/>
      <c r="BK2564" s="153"/>
      <c r="BL2564" s="153"/>
      <c r="BM2564" s="153"/>
      <c r="BN2564" s="153"/>
      <c r="BO2564" s="153"/>
      <c r="BP2564" s="153"/>
      <c r="BQ2564" s="153"/>
      <c r="BR2564" s="153"/>
      <c r="BS2564" s="153"/>
      <c r="BT2564" s="153"/>
      <c r="BU2564" s="153"/>
      <c r="BV2564" s="153"/>
      <c r="BW2564" s="153"/>
      <c r="BX2564" s="153"/>
      <c r="BY2564" s="153"/>
      <c r="BZ2564" s="153"/>
      <c r="CA2564" s="152"/>
      <c r="CB2564" s="152"/>
    </row>
    <row r="2565" spans="1:80" s="87" customFormat="1" ht="15" x14ac:dyDescent="0.25">
      <c r="A2565" s="152"/>
      <c r="B2565" s="683"/>
      <c r="C2565" s="683"/>
      <c r="D2565" s="698"/>
      <c r="E2565" s="215"/>
      <c r="F2565" s="215"/>
      <c r="G2565" s="153"/>
      <c r="H2565" s="153"/>
      <c r="I2565" s="165">
        <v>20</v>
      </c>
      <c r="J2565" s="312">
        <v>60</v>
      </c>
      <c r="K2565" s="150">
        <v>1</v>
      </c>
      <c r="L2565" s="656">
        <v>20</v>
      </c>
      <c r="M2565" s="663">
        <v>34858</v>
      </c>
      <c r="N2565" s="600">
        <v>8.6920000000000002</v>
      </c>
      <c r="O2565" s="604">
        <v>1.123E-2</v>
      </c>
      <c r="P2565" s="150"/>
      <c r="Q2565" s="250"/>
      <c r="R2565" s="250"/>
      <c r="S2565" s="250">
        <v>0.01</v>
      </c>
      <c r="T2565" s="250">
        <v>5.2000000000000005E-2</v>
      </c>
      <c r="U2565" s="250">
        <v>0.11900000000000001</v>
      </c>
      <c r="V2565" s="250">
        <v>0.27600000000000002</v>
      </c>
      <c r="W2565" s="250">
        <v>0.29199999999999998</v>
      </c>
      <c r="X2565" s="250">
        <v>0.24399999999999999</v>
      </c>
      <c r="Y2565" s="250">
        <v>6.9999999999999993E-3</v>
      </c>
      <c r="Z2565" s="150">
        <v>9</v>
      </c>
      <c r="AA2565" s="150">
        <v>0.9</v>
      </c>
      <c r="AB2565" s="152"/>
      <c r="AC2565" s="152"/>
      <c r="AD2565" s="223">
        <v>13.898424</v>
      </c>
      <c r="AE2565" s="223">
        <v>0.55471780000000004</v>
      </c>
      <c r="AF2565" s="223">
        <v>7.7102019999999998</v>
      </c>
      <c r="AG2565" s="223">
        <v>1.0881003</v>
      </c>
      <c r="AH2565" s="341"/>
      <c r="AI2565" s="218"/>
      <c r="AJ2565" s="218"/>
      <c r="AK2565" s="153"/>
      <c r="AL2565" s="152"/>
      <c r="AM2565" s="152"/>
      <c r="AN2565" s="152"/>
      <c r="AO2565" s="152"/>
      <c r="AP2565" s="152"/>
      <c r="AQ2565" s="152"/>
      <c r="AR2565" s="152"/>
      <c r="AS2565" s="152"/>
      <c r="AT2565" s="152"/>
      <c r="AU2565" s="153"/>
      <c r="AV2565" s="479"/>
      <c r="AW2565" s="479"/>
      <c r="AX2565" s="442"/>
      <c r="AY2565" s="153"/>
      <c r="AZ2565" s="152"/>
      <c r="BA2565" s="152"/>
      <c r="BB2565" s="152"/>
      <c r="BC2565" s="152"/>
      <c r="BD2565" s="152"/>
      <c r="BE2565" s="152"/>
      <c r="BF2565" s="152"/>
      <c r="BG2565" s="152"/>
      <c r="BH2565" s="152"/>
      <c r="BI2565" s="153"/>
      <c r="BJ2565" s="153"/>
      <c r="BK2565" s="153"/>
      <c r="BL2565" s="153"/>
      <c r="BM2565" s="153"/>
      <c r="BN2565" s="153"/>
      <c r="BO2565" s="153"/>
      <c r="BP2565" s="153"/>
      <c r="BQ2565" s="153"/>
      <c r="BR2565" s="153"/>
      <c r="BS2565" s="153"/>
      <c r="BT2565" s="153"/>
      <c r="BU2565" s="153"/>
      <c r="BV2565" s="153"/>
      <c r="BW2565" s="153"/>
      <c r="BX2565" s="153"/>
      <c r="BY2565" s="153"/>
      <c r="BZ2565" s="153"/>
      <c r="CA2565" s="152"/>
      <c r="CB2565" s="152"/>
    </row>
    <row r="2566" spans="1:80" s="87" customFormat="1" ht="15" x14ac:dyDescent="0.25">
      <c r="A2566" s="152"/>
      <c r="B2566" s="683"/>
      <c r="C2566" s="683"/>
      <c r="D2566" s="698"/>
      <c r="E2566" s="215"/>
      <c r="F2566" s="215"/>
      <c r="G2566" s="153"/>
      <c r="H2566" s="153"/>
      <c r="I2566" s="165">
        <v>20</v>
      </c>
      <c r="J2566" s="312">
        <v>60</v>
      </c>
      <c r="K2566" s="150">
        <v>1</v>
      </c>
      <c r="L2566" s="656">
        <v>20</v>
      </c>
      <c r="M2566" s="663">
        <v>34858</v>
      </c>
      <c r="N2566" s="600">
        <v>8.6920000000000002</v>
      </c>
      <c r="O2566" s="604">
        <v>9.247E-3</v>
      </c>
      <c r="P2566" s="150"/>
      <c r="Q2566" s="250"/>
      <c r="R2566" s="250"/>
      <c r="S2566" s="250">
        <v>1.2E-2</v>
      </c>
      <c r="T2566" s="250">
        <v>4.9000000000000002E-2</v>
      </c>
      <c r="U2566" s="250">
        <v>8.1000000000000003E-2</v>
      </c>
      <c r="V2566" s="250">
        <v>0.26</v>
      </c>
      <c r="W2566" s="250">
        <v>0.32500000000000001</v>
      </c>
      <c r="X2566" s="250">
        <v>0.26200000000000001</v>
      </c>
      <c r="Y2566" s="250">
        <v>1.1000000000000001E-2</v>
      </c>
      <c r="Z2566" s="150">
        <v>9</v>
      </c>
      <c r="AA2566" s="150">
        <v>0.81</v>
      </c>
      <c r="AB2566" s="152"/>
      <c r="AC2566" s="152"/>
      <c r="AD2566" s="223">
        <v>13.898424</v>
      </c>
      <c r="AE2566" s="223">
        <v>0.55471780000000004</v>
      </c>
      <c r="AF2566" s="223">
        <v>7.7102019999999998</v>
      </c>
      <c r="AG2566" s="223">
        <v>1.0881003</v>
      </c>
      <c r="AH2566" s="341"/>
      <c r="AI2566" s="218"/>
      <c r="AJ2566" s="218"/>
      <c r="AK2566" s="153"/>
      <c r="AL2566" s="152"/>
      <c r="AM2566" s="152"/>
      <c r="AN2566" s="152"/>
      <c r="AO2566" s="152"/>
      <c r="AP2566" s="152"/>
      <c r="AQ2566" s="152"/>
      <c r="AR2566" s="152"/>
      <c r="AS2566" s="152"/>
      <c r="AT2566" s="152"/>
      <c r="AU2566" s="153"/>
      <c r="AV2566" s="479"/>
      <c r="AW2566" s="479"/>
      <c r="AX2566" s="442"/>
      <c r="AY2566" s="153"/>
      <c r="AZ2566" s="152"/>
      <c r="BA2566" s="152"/>
      <c r="BB2566" s="152"/>
      <c r="BC2566" s="152"/>
      <c r="BD2566" s="152"/>
      <c r="BE2566" s="152"/>
      <c r="BF2566" s="152"/>
      <c r="BG2566" s="152"/>
      <c r="BH2566" s="152"/>
      <c r="BI2566" s="153"/>
      <c r="BJ2566" s="153"/>
      <c r="BK2566" s="153"/>
      <c r="BL2566" s="153"/>
      <c r="BM2566" s="153"/>
      <c r="BN2566" s="153"/>
      <c r="BO2566" s="153"/>
      <c r="BP2566" s="153"/>
      <c r="BQ2566" s="153"/>
      <c r="BR2566" s="153"/>
      <c r="BS2566" s="153"/>
      <c r="BT2566" s="153"/>
      <c r="BU2566" s="153"/>
      <c r="BV2566" s="153"/>
      <c r="BW2566" s="153"/>
      <c r="BX2566" s="153"/>
      <c r="BY2566" s="153"/>
      <c r="BZ2566" s="153"/>
      <c r="CA2566" s="152"/>
      <c r="CB2566" s="152"/>
    </row>
    <row r="2567" spans="1:80" s="87" customFormat="1" ht="15" x14ac:dyDescent="0.25">
      <c r="A2567" s="152"/>
      <c r="B2567" s="683"/>
      <c r="C2567" s="683"/>
      <c r="D2567" s="698"/>
      <c r="E2567" s="215"/>
      <c r="F2567" s="215"/>
      <c r="G2567" s="153"/>
      <c r="H2567" s="153"/>
      <c r="I2567" s="165">
        <v>20</v>
      </c>
      <c r="J2567" s="312">
        <v>60</v>
      </c>
      <c r="K2567" s="150">
        <v>1</v>
      </c>
      <c r="L2567" s="656">
        <v>20</v>
      </c>
      <c r="M2567" s="663">
        <v>34864</v>
      </c>
      <c r="N2567" s="600">
        <v>7.9841800000000003</v>
      </c>
      <c r="O2567" s="604">
        <v>7.169E-3</v>
      </c>
      <c r="P2567" s="150"/>
      <c r="Q2567" s="250"/>
      <c r="R2567" s="250"/>
      <c r="S2567" s="250"/>
      <c r="T2567" s="250">
        <v>3.7000000000000005E-2</v>
      </c>
      <c r="U2567" s="250">
        <v>0.12300000000000001</v>
      </c>
      <c r="V2567" s="250">
        <v>0.27899999999999997</v>
      </c>
      <c r="W2567" s="250">
        <v>0.30399999999999999</v>
      </c>
      <c r="X2567" s="250">
        <v>0.24399999999999999</v>
      </c>
      <c r="Y2567" s="250">
        <v>1.3000000000000001E-2</v>
      </c>
      <c r="Z2567" s="150">
        <v>8</v>
      </c>
      <c r="AA2567" s="150">
        <v>0.87</v>
      </c>
      <c r="AB2567" s="152"/>
      <c r="AC2567" s="152"/>
      <c r="AD2567" s="223">
        <v>13.563155</v>
      </c>
      <c r="AE2567" s="223">
        <v>0.54252619999999996</v>
      </c>
      <c r="AF2567" s="223">
        <v>7.3479153999999998</v>
      </c>
      <c r="AG2567" s="223">
        <v>1.0515254999999999</v>
      </c>
      <c r="AH2567" s="341"/>
      <c r="AI2567" s="218"/>
      <c r="AJ2567" s="218"/>
      <c r="AK2567" s="153"/>
      <c r="AL2567" s="152"/>
      <c r="AM2567" s="152"/>
      <c r="AN2567" s="152"/>
      <c r="AO2567" s="152"/>
      <c r="AP2567" s="152"/>
      <c r="AQ2567" s="152"/>
      <c r="AR2567" s="152"/>
      <c r="AS2567" s="152"/>
      <c r="AT2567" s="152"/>
      <c r="AU2567" s="153"/>
      <c r="AV2567" s="479"/>
      <c r="AW2567" s="479"/>
      <c r="AX2567" s="442"/>
      <c r="AY2567" s="153"/>
      <c r="AZ2567" s="152"/>
      <c r="BA2567" s="152"/>
      <c r="BB2567" s="152"/>
      <c r="BC2567" s="152"/>
      <c r="BD2567" s="152"/>
      <c r="BE2567" s="152"/>
      <c r="BF2567" s="152"/>
      <c r="BG2567" s="152"/>
      <c r="BH2567" s="152"/>
      <c r="BI2567" s="153"/>
      <c r="BJ2567" s="153"/>
      <c r="BK2567" s="153"/>
      <c r="BL2567" s="153"/>
      <c r="BM2567" s="153"/>
      <c r="BN2567" s="153"/>
      <c r="BO2567" s="153"/>
      <c r="BP2567" s="153"/>
      <c r="BQ2567" s="153"/>
      <c r="BR2567" s="153"/>
      <c r="BS2567" s="153"/>
      <c r="BT2567" s="153"/>
      <c r="BU2567" s="153"/>
      <c r="BV2567" s="153"/>
      <c r="BW2567" s="153"/>
      <c r="BX2567" s="153"/>
      <c r="BY2567" s="153"/>
      <c r="BZ2567" s="153"/>
      <c r="CA2567" s="152"/>
      <c r="CB2567" s="152"/>
    </row>
    <row r="2568" spans="1:80" s="87" customFormat="1" ht="15" x14ac:dyDescent="0.25">
      <c r="A2568" s="152"/>
      <c r="B2568" s="683"/>
      <c r="C2568" s="683"/>
      <c r="D2568" s="698"/>
      <c r="E2568" s="215"/>
      <c r="F2568" s="215"/>
      <c r="G2568" s="153"/>
      <c r="H2568" s="153"/>
      <c r="I2568" s="165">
        <v>20</v>
      </c>
      <c r="J2568" s="312">
        <v>60</v>
      </c>
      <c r="K2568" s="150">
        <v>1</v>
      </c>
      <c r="L2568" s="656">
        <v>20</v>
      </c>
      <c r="M2568" s="663">
        <v>34864</v>
      </c>
      <c r="N2568" s="600">
        <v>7.9841800000000003</v>
      </c>
      <c r="O2568" s="604">
        <v>5.2900000000000004E-3</v>
      </c>
      <c r="P2568" s="150"/>
      <c r="Q2568" s="250"/>
      <c r="R2568" s="250"/>
      <c r="S2568" s="250"/>
      <c r="T2568" s="250">
        <v>3.0000000000000001E-3</v>
      </c>
      <c r="U2568" s="250">
        <v>0.06</v>
      </c>
      <c r="V2568" s="250">
        <v>0.22600000000000001</v>
      </c>
      <c r="W2568" s="250">
        <v>0.38700000000000001</v>
      </c>
      <c r="X2568" s="250">
        <v>0.315</v>
      </c>
      <c r="Y2568" s="250">
        <v>9.0000000000000011E-3</v>
      </c>
      <c r="Z2568" s="150">
        <v>8</v>
      </c>
      <c r="AA2568" s="150">
        <v>0.69</v>
      </c>
      <c r="AB2568" s="152"/>
      <c r="AC2568" s="152"/>
      <c r="AD2568" s="223">
        <v>13.563155</v>
      </c>
      <c r="AE2568" s="223">
        <v>0.54252619999999996</v>
      </c>
      <c r="AF2568" s="223">
        <v>7.3479153999999998</v>
      </c>
      <c r="AG2568" s="223">
        <v>1.0515254999999999</v>
      </c>
      <c r="AH2568" s="341"/>
      <c r="AI2568" s="218"/>
      <c r="AJ2568" s="218"/>
      <c r="AK2568" s="153"/>
      <c r="AL2568" s="152"/>
      <c r="AM2568" s="152"/>
      <c r="AN2568" s="152"/>
      <c r="AO2568" s="152"/>
      <c r="AP2568" s="152"/>
      <c r="AQ2568" s="152"/>
      <c r="AR2568" s="152"/>
      <c r="AS2568" s="152"/>
      <c r="AT2568" s="152"/>
      <c r="AU2568" s="153"/>
      <c r="AV2568" s="479"/>
      <c r="AW2568" s="479"/>
      <c r="AX2568" s="442"/>
      <c r="AY2568" s="153"/>
      <c r="AZ2568" s="152"/>
      <c r="BA2568" s="152"/>
      <c r="BB2568" s="152"/>
      <c r="BC2568" s="152"/>
      <c r="BD2568" s="152"/>
      <c r="BE2568" s="152"/>
      <c r="BF2568" s="152"/>
      <c r="BG2568" s="152"/>
      <c r="BH2568" s="152"/>
      <c r="BI2568" s="153"/>
      <c r="BJ2568" s="153"/>
      <c r="BK2568" s="153"/>
      <c r="BL2568" s="153"/>
      <c r="BM2568" s="153"/>
      <c r="BN2568" s="153"/>
      <c r="BO2568" s="153"/>
      <c r="BP2568" s="153"/>
      <c r="BQ2568" s="153"/>
      <c r="BR2568" s="153"/>
      <c r="BS2568" s="153"/>
      <c r="BT2568" s="153"/>
      <c r="BU2568" s="153"/>
      <c r="BV2568" s="153"/>
      <c r="BW2568" s="153"/>
      <c r="BX2568" s="153"/>
      <c r="BY2568" s="153"/>
      <c r="BZ2568" s="153"/>
      <c r="CA2568" s="152"/>
      <c r="CB2568" s="152"/>
    </row>
    <row r="2569" spans="1:80" s="87" customFormat="1" ht="15" x14ac:dyDescent="0.25">
      <c r="A2569" s="152"/>
      <c r="B2569" s="683"/>
      <c r="C2569" s="683"/>
      <c r="D2569" s="698"/>
      <c r="E2569" s="215"/>
      <c r="F2569" s="215"/>
      <c r="G2569" s="153"/>
      <c r="H2569" s="153"/>
      <c r="I2569" s="165">
        <v>20</v>
      </c>
      <c r="J2569" s="312">
        <v>60</v>
      </c>
      <c r="K2569" s="150">
        <v>1</v>
      </c>
      <c r="L2569" s="656">
        <v>20</v>
      </c>
      <c r="M2569" s="663">
        <v>34869</v>
      </c>
      <c r="N2569" s="600">
        <v>9.2016299999999998</v>
      </c>
      <c r="O2569" s="604">
        <v>1.5009E-2</v>
      </c>
      <c r="P2569" s="150"/>
      <c r="Q2569" s="250"/>
      <c r="R2569" s="250"/>
      <c r="S2569" s="250">
        <v>2.5000000000000001E-2</v>
      </c>
      <c r="T2569" s="250">
        <v>8.3000000000000004E-2</v>
      </c>
      <c r="U2569" s="250">
        <v>0.187</v>
      </c>
      <c r="V2569" s="250">
        <v>0.30499999999999999</v>
      </c>
      <c r="W2569" s="250">
        <v>0.25600000000000001</v>
      </c>
      <c r="X2569" s="250">
        <v>0.13900000000000001</v>
      </c>
      <c r="Y2569" s="250">
        <v>5.0000000000000001E-3</v>
      </c>
      <c r="Z2569" s="150">
        <v>10</v>
      </c>
      <c r="AA2569" s="150">
        <v>1.26</v>
      </c>
      <c r="AB2569" s="152"/>
      <c r="AC2569" s="152"/>
      <c r="AD2569" s="223">
        <v>13.867945000000001</v>
      </c>
      <c r="AE2569" s="223">
        <v>0.57605309999999998</v>
      </c>
      <c r="AF2569" s="223">
        <v>7.9888839999999997</v>
      </c>
      <c r="AG2569" s="223">
        <v>1.1155314000000001</v>
      </c>
      <c r="AH2569" s="341"/>
      <c r="AI2569" s="218"/>
      <c r="AJ2569" s="218"/>
      <c r="AK2569" s="153"/>
      <c r="AL2569" s="152"/>
      <c r="AM2569" s="152"/>
      <c r="AN2569" s="152"/>
      <c r="AO2569" s="152"/>
      <c r="AP2569" s="152"/>
      <c r="AQ2569" s="152"/>
      <c r="AR2569" s="152"/>
      <c r="AS2569" s="152"/>
      <c r="AT2569" s="152"/>
      <c r="AU2569" s="153"/>
      <c r="AV2569" s="479"/>
      <c r="AW2569" s="479"/>
      <c r="AX2569" s="442"/>
      <c r="AY2569" s="153"/>
      <c r="AZ2569" s="152"/>
      <c r="BA2569" s="152"/>
      <c r="BB2569" s="152"/>
      <c r="BC2569" s="152"/>
      <c r="BD2569" s="152"/>
      <c r="BE2569" s="152"/>
      <c r="BF2569" s="152"/>
      <c r="BG2569" s="152"/>
      <c r="BH2569" s="152"/>
      <c r="BI2569" s="153"/>
      <c r="BJ2569" s="153"/>
      <c r="BK2569" s="153"/>
      <c r="BL2569" s="153"/>
      <c r="BM2569" s="153"/>
      <c r="BN2569" s="153"/>
      <c r="BO2569" s="153"/>
      <c r="BP2569" s="153"/>
      <c r="BQ2569" s="153"/>
      <c r="BR2569" s="153"/>
      <c r="BS2569" s="153"/>
      <c r="BT2569" s="153"/>
      <c r="BU2569" s="153"/>
      <c r="BV2569" s="153"/>
      <c r="BW2569" s="153"/>
      <c r="BX2569" s="153"/>
      <c r="BY2569" s="153"/>
      <c r="BZ2569" s="153"/>
      <c r="CA2569" s="152"/>
      <c r="CB2569" s="152"/>
    </row>
    <row r="2570" spans="1:80" s="87" customFormat="1" ht="15" x14ac:dyDescent="0.25">
      <c r="A2570" s="152"/>
      <c r="B2570" s="683"/>
      <c r="C2570" s="683"/>
      <c r="D2570" s="698"/>
      <c r="E2570" s="215"/>
      <c r="F2570" s="215"/>
      <c r="G2570" s="153"/>
      <c r="H2570" s="153"/>
      <c r="I2570" s="165">
        <v>20</v>
      </c>
      <c r="J2570" s="312">
        <v>60</v>
      </c>
      <c r="K2570" s="150">
        <v>1</v>
      </c>
      <c r="L2570" s="656">
        <v>20</v>
      </c>
      <c r="M2570" s="663">
        <v>34869</v>
      </c>
      <c r="N2570" s="600">
        <v>9.2016299999999998</v>
      </c>
      <c r="O2570" s="604">
        <v>7.3680000000000004E-3</v>
      </c>
      <c r="P2570" s="150"/>
      <c r="Q2570" s="250"/>
      <c r="R2570" s="250"/>
      <c r="S2570" s="250"/>
      <c r="T2570" s="250">
        <v>3.6000000000000004E-2</v>
      </c>
      <c r="U2570" s="250">
        <v>6.6000000000000003E-2</v>
      </c>
      <c r="V2570" s="250">
        <v>0.23899999999999999</v>
      </c>
      <c r="W2570" s="250">
        <v>0.37200000000000005</v>
      </c>
      <c r="X2570" s="250">
        <v>0.27800000000000002</v>
      </c>
      <c r="Y2570" s="250">
        <v>9.0000000000000011E-3</v>
      </c>
      <c r="Z2570" s="150">
        <v>10</v>
      </c>
      <c r="AA2570" s="150">
        <v>0.74</v>
      </c>
      <c r="AB2570" s="152"/>
      <c r="AC2570" s="152"/>
      <c r="AD2570" s="223">
        <v>13.867945000000001</v>
      </c>
      <c r="AE2570" s="223">
        <v>0.57605309999999998</v>
      </c>
      <c r="AF2570" s="223">
        <v>7.9888839999999997</v>
      </c>
      <c r="AG2570" s="223">
        <v>1.1155314000000001</v>
      </c>
      <c r="AH2570" s="341"/>
      <c r="AI2570" s="218"/>
      <c r="AJ2570" s="218"/>
      <c r="AK2570" s="153"/>
      <c r="AL2570" s="152"/>
      <c r="AM2570" s="152"/>
      <c r="AN2570" s="152"/>
      <c r="AO2570" s="152"/>
      <c r="AP2570" s="152"/>
      <c r="AQ2570" s="152"/>
      <c r="AR2570" s="152"/>
      <c r="AS2570" s="152"/>
      <c r="AT2570" s="152"/>
      <c r="AU2570" s="153"/>
      <c r="AV2570" s="479"/>
      <c r="AW2570" s="479"/>
      <c r="AX2570" s="442"/>
      <c r="AY2570" s="153"/>
      <c r="AZ2570" s="152"/>
      <c r="BA2570" s="152"/>
      <c r="BB2570" s="152"/>
      <c r="BC2570" s="152"/>
      <c r="BD2570" s="152"/>
      <c r="BE2570" s="152"/>
      <c r="BF2570" s="152"/>
      <c r="BG2570" s="152"/>
      <c r="BH2570" s="152"/>
      <c r="BI2570" s="153"/>
      <c r="BJ2570" s="153"/>
      <c r="BK2570" s="153"/>
      <c r="BL2570" s="153"/>
      <c r="BM2570" s="153"/>
      <c r="BN2570" s="153"/>
      <c r="BO2570" s="153"/>
      <c r="BP2570" s="153"/>
      <c r="BQ2570" s="153"/>
      <c r="BR2570" s="153"/>
      <c r="BS2570" s="153"/>
      <c r="BT2570" s="153"/>
      <c r="BU2570" s="153"/>
      <c r="BV2570" s="153"/>
      <c r="BW2570" s="153"/>
      <c r="BX2570" s="153"/>
      <c r="BY2570" s="153"/>
      <c r="BZ2570" s="153"/>
      <c r="CA2570" s="152"/>
      <c r="CB2570" s="152"/>
    </row>
    <row r="2571" spans="1:80" s="87" customFormat="1" ht="15" x14ac:dyDescent="0.25">
      <c r="A2571" s="152"/>
      <c r="B2571" s="683"/>
      <c r="C2571" s="683"/>
      <c r="D2571" s="698"/>
      <c r="E2571" s="215"/>
      <c r="F2571" s="215"/>
      <c r="G2571" s="153"/>
      <c r="H2571" s="153"/>
      <c r="I2571" s="165">
        <v>19</v>
      </c>
      <c r="J2571" s="312">
        <v>60</v>
      </c>
      <c r="K2571" s="150">
        <v>1</v>
      </c>
      <c r="L2571" s="656">
        <v>19</v>
      </c>
      <c r="M2571" s="663">
        <v>34876</v>
      </c>
      <c r="N2571" s="600">
        <v>6.9932400000000001</v>
      </c>
      <c r="O2571" s="604">
        <v>4.5869999999999999E-3</v>
      </c>
      <c r="P2571" s="150"/>
      <c r="Q2571" s="250"/>
      <c r="R2571" s="250"/>
      <c r="S2571" s="250"/>
      <c r="T2571" s="250">
        <v>2.6000000000000002E-2</v>
      </c>
      <c r="U2571" s="250">
        <v>8.900000000000001E-2</v>
      </c>
      <c r="V2571" s="250">
        <v>0.26300000000000001</v>
      </c>
      <c r="W2571" s="250">
        <v>0.33899999999999997</v>
      </c>
      <c r="X2571" s="250">
        <v>0.27399999999999997</v>
      </c>
      <c r="Y2571" s="250">
        <v>9.0000000000000011E-3</v>
      </c>
      <c r="Z2571" s="150">
        <v>5</v>
      </c>
      <c r="AA2571" s="150">
        <v>0.78</v>
      </c>
      <c r="AB2571" s="152"/>
      <c r="AC2571" s="152"/>
      <c r="AD2571" s="223">
        <v>13.867945000000001</v>
      </c>
      <c r="AE2571" s="223">
        <v>0.54252619999999996</v>
      </c>
      <c r="AF2571" s="223">
        <v>7.5429928000000004</v>
      </c>
      <c r="AG2571" s="223">
        <v>0.91132210000000002</v>
      </c>
      <c r="AH2571" s="341"/>
      <c r="AI2571" s="218"/>
      <c r="AJ2571" s="218"/>
      <c r="AK2571" s="153"/>
      <c r="AL2571" s="152"/>
      <c r="AM2571" s="152"/>
      <c r="AN2571" s="152"/>
      <c r="AO2571" s="152"/>
      <c r="AP2571" s="152"/>
      <c r="AQ2571" s="152"/>
      <c r="AR2571" s="152"/>
      <c r="AS2571" s="152"/>
      <c r="AT2571" s="152"/>
      <c r="AU2571" s="153"/>
      <c r="AV2571" s="479"/>
      <c r="AW2571" s="479"/>
      <c r="AX2571" s="442"/>
      <c r="AY2571" s="153"/>
      <c r="AZ2571" s="152"/>
      <c r="BA2571" s="152"/>
      <c r="BB2571" s="152"/>
      <c r="BC2571" s="152"/>
      <c r="BD2571" s="152"/>
      <c r="BE2571" s="152"/>
      <c r="BF2571" s="152"/>
      <c r="BG2571" s="152"/>
      <c r="BH2571" s="152"/>
      <c r="BI2571" s="153"/>
      <c r="BJ2571" s="153"/>
      <c r="BK2571" s="153"/>
      <c r="BL2571" s="153"/>
      <c r="BM2571" s="153"/>
      <c r="BN2571" s="153"/>
      <c r="BO2571" s="153"/>
      <c r="BP2571" s="153"/>
      <c r="BQ2571" s="153"/>
      <c r="BR2571" s="153"/>
      <c r="BS2571" s="153"/>
      <c r="BT2571" s="153"/>
      <c r="BU2571" s="153"/>
      <c r="BV2571" s="153"/>
      <c r="BW2571" s="153"/>
      <c r="BX2571" s="153"/>
      <c r="BY2571" s="153"/>
      <c r="BZ2571" s="153"/>
      <c r="CA2571" s="152"/>
      <c r="CB2571" s="152"/>
    </row>
    <row r="2572" spans="1:80" s="87" customFormat="1" ht="15" x14ac:dyDescent="0.25">
      <c r="A2572" s="152"/>
      <c r="B2572" s="683"/>
      <c r="C2572" s="683"/>
      <c r="D2572" s="698"/>
      <c r="E2572" s="215"/>
      <c r="F2572" s="215"/>
      <c r="G2572" s="153"/>
      <c r="H2572" s="153"/>
      <c r="I2572" s="165">
        <v>21</v>
      </c>
      <c r="J2572" s="312">
        <v>60</v>
      </c>
      <c r="K2572" s="150">
        <v>1</v>
      </c>
      <c r="L2572" s="656">
        <v>21</v>
      </c>
      <c r="M2572" s="663">
        <v>34876</v>
      </c>
      <c r="N2572" s="600">
        <v>6.9932400000000001</v>
      </c>
      <c r="O2572" s="604">
        <v>3.7989999999999999E-3</v>
      </c>
      <c r="P2572" s="150"/>
      <c r="Q2572" s="250"/>
      <c r="R2572" s="250"/>
      <c r="S2572" s="250"/>
      <c r="T2572" s="250">
        <v>2.5000000000000001E-2</v>
      </c>
      <c r="U2572" s="250">
        <v>5.4000000000000006E-2</v>
      </c>
      <c r="V2572" s="250">
        <v>0.24299999999999999</v>
      </c>
      <c r="W2572" s="250">
        <v>0.38</v>
      </c>
      <c r="X2572" s="250">
        <v>0.28399999999999997</v>
      </c>
      <c r="Y2572" s="250">
        <v>1.3999999999999999E-2</v>
      </c>
      <c r="Z2572" s="150">
        <v>5</v>
      </c>
      <c r="AA2572" s="150">
        <v>0.72</v>
      </c>
      <c r="AB2572" s="152"/>
      <c r="AC2572" s="152"/>
      <c r="AD2572" s="223">
        <v>13.867945000000001</v>
      </c>
      <c r="AE2572" s="223">
        <v>0.54252619999999996</v>
      </c>
      <c r="AF2572" s="223">
        <v>7.5429928000000004</v>
      </c>
      <c r="AG2572" s="223">
        <v>0.91132210000000002</v>
      </c>
      <c r="AH2572" s="341"/>
      <c r="AI2572" s="218"/>
      <c r="AJ2572" s="218"/>
      <c r="AK2572" s="153"/>
      <c r="AL2572" s="152"/>
      <c r="AM2572" s="152"/>
      <c r="AN2572" s="152"/>
      <c r="AO2572" s="152"/>
      <c r="AP2572" s="152"/>
      <c r="AQ2572" s="152"/>
      <c r="AR2572" s="152"/>
      <c r="AS2572" s="152"/>
      <c r="AT2572" s="152"/>
      <c r="AU2572" s="153"/>
      <c r="AV2572" s="479"/>
      <c r="AW2572" s="479"/>
      <c r="AX2572" s="442"/>
      <c r="AY2572" s="153"/>
      <c r="AZ2572" s="152"/>
      <c r="BA2572" s="152"/>
      <c r="BB2572" s="152"/>
      <c r="BC2572" s="152"/>
      <c r="BD2572" s="152"/>
      <c r="BE2572" s="152"/>
      <c r="BF2572" s="152"/>
      <c r="BG2572" s="152"/>
      <c r="BH2572" s="152"/>
      <c r="BI2572" s="153"/>
      <c r="BJ2572" s="153"/>
      <c r="BK2572" s="153"/>
      <c r="BL2572" s="153"/>
      <c r="BM2572" s="153"/>
      <c r="BN2572" s="153"/>
      <c r="BO2572" s="153"/>
      <c r="BP2572" s="153"/>
      <c r="BQ2572" s="153"/>
      <c r="BR2572" s="153"/>
      <c r="BS2572" s="153"/>
      <c r="BT2572" s="153"/>
      <c r="BU2572" s="153"/>
      <c r="BV2572" s="153"/>
      <c r="BW2572" s="153"/>
      <c r="BX2572" s="153"/>
      <c r="BY2572" s="153"/>
      <c r="BZ2572" s="153"/>
      <c r="CA2572" s="152"/>
      <c r="CB2572" s="152"/>
    </row>
    <row r="2573" spans="1:80" s="87" customFormat="1" ht="15" x14ac:dyDescent="0.25">
      <c r="A2573" s="152"/>
      <c r="B2573" s="683"/>
      <c r="C2573" s="683"/>
      <c r="D2573" s="698"/>
      <c r="E2573" s="215"/>
      <c r="F2573" s="215"/>
      <c r="G2573" s="153"/>
      <c r="H2573" s="153"/>
      <c r="I2573" s="165">
        <v>18</v>
      </c>
      <c r="J2573" s="312">
        <v>60</v>
      </c>
      <c r="K2573" s="150">
        <v>1</v>
      </c>
      <c r="L2573" s="656">
        <v>18</v>
      </c>
      <c r="M2573" s="663">
        <v>34885</v>
      </c>
      <c r="N2573" s="600">
        <v>5.3510999999999997</v>
      </c>
      <c r="O2573" s="604">
        <v>2.4659999999999999E-3</v>
      </c>
      <c r="P2573" s="150"/>
      <c r="Q2573" s="250"/>
      <c r="R2573" s="250"/>
      <c r="S2573" s="250"/>
      <c r="T2573" s="250"/>
      <c r="U2573" s="250">
        <v>5.2000000000000005E-2</v>
      </c>
      <c r="V2573" s="250">
        <v>0.247</v>
      </c>
      <c r="W2573" s="250">
        <v>0.38500000000000001</v>
      </c>
      <c r="X2573" s="250">
        <v>0.29899999999999999</v>
      </c>
      <c r="Y2573" s="250">
        <v>1.7000000000000001E-2</v>
      </c>
      <c r="Z2573" s="150">
        <v>3</v>
      </c>
      <c r="AA2573" s="150">
        <v>0.7</v>
      </c>
      <c r="AB2573" s="152"/>
      <c r="AC2573" s="152"/>
      <c r="AD2573" s="223">
        <v>13.563155</v>
      </c>
      <c r="AE2573" s="223">
        <v>0.48766399999999999</v>
      </c>
      <c r="AF2573" s="223">
        <v>6.6233421999999997</v>
      </c>
      <c r="AG2573" s="223">
        <v>0.80464559999999996</v>
      </c>
      <c r="AH2573" s="341"/>
      <c r="AI2573" s="218"/>
      <c r="AJ2573" s="218"/>
      <c r="AK2573" s="153"/>
      <c r="AL2573" s="152"/>
      <c r="AM2573" s="152"/>
      <c r="AN2573" s="152"/>
      <c r="AO2573" s="152"/>
      <c r="AP2573" s="152"/>
      <c r="AQ2573" s="152"/>
      <c r="AR2573" s="152"/>
      <c r="AS2573" s="152"/>
      <c r="AT2573" s="152"/>
      <c r="AU2573" s="153"/>
      <c r="AV2573" s="479"/>
      <c r="AW2573" s="479"/>
      <c r="AX2573" s="442"/>
      <c r="AY2573" s="153"/>
      <c r="AZ2573" s="152"/>
      <c r="BA2573" s="152"/>
      <c r="BB2573" s="152"/>
      <c r="BC2573" s="152"/>
      <c r="BD2573" s="152"/>
      <c r="BE2573" s="152"/>
      <c r="BF2573" s="152"/>
      <c r="BG2573" s="152"/>
      <c r="BH2573" s="152"/>
      <c r="BI2573" s="153"/>
      <c r="BJ2573" s="153"/>
      <c r="BK2573" s="153"/>
      <c r="BL2573" s="153"/>
      <c r="BM2573" s="153"/>
      <c r="BN2573" s="153"/>
      <c r="BO2573" s="153"/>
      <c r="BP2573" s="153"/>
      <c r="BQ2573" s="153"/>
      <c r="BR2573" s="153"/>
      <c r="BS2573" s="153"/>
      <c r="BT2573" s="153"/>
      <c r="BU2573" s="153"/>
      <c r="BV2573" s="153"/>
      <c r="BW2573" s="153"/>
      <c r="BX2573" s="153"/>
      <c r="BY2573" s="153"/>
      <c r="BZ2573" s="153"/>
      <c r="CA2573" s="152"/>
      <c r="CB2573" s="152"/>
    </row>
    <row r="2574" spans="1:80" s="87" customFormat="1" ht="15" x14ac:dyDescent="0.25">
      <c r="A2574" s="152"/>
      <c r="B2574" s="683"/>
      <c r="C2574" s="683"/>
      <c r="D2574" s="698"/>
      <c r="E2574" s="215"/>
      <c r="F2574" s="215"/>
      <c r="G2574" s="153"/>
      <c r="H2574" s="153"/>
      <c r="I2574" s="165">
        <v>18</v>
      </c>
      <c r="J2574" s="312">
        <v>60</v>
      </c>
      <c r="K2574" s="150">
        <v>1</v>
      </c>
      <c r="L2574" s="656">
        <v>18</v>
      </c>
      <c r="M2574" s="663">
        <v>34885</v>
      </c>
      <c r="N2574" s="600">
        <v>5.3510999999999997</v>
      </c>
      <c r="O2574" s="604">
        <v>1.8469999999999999E-3</v>
      </c>
      <c r="P2574" s="150"/>
      <c r="Q2574" s="250"/>
      <c r="R2574" s="250"/>
      <c r="S2574" s="250"/>
      <c r="T2574" s="250"/>
      <c r="U2574" s="250">
        <v>1.6E-2</v>
      </c>
      <c r="V2574" s="250">
        <v>0.17600000000000002</v>
      </c>
      <c r="W2574" s="250">
        <v>0.376</v>
      </c>
      <c r="X2574" s="250">
        <v>0.4</v>
      </c>
      <c r="Y2574" s="250">
        <v>3.2000000000000001E-2</v>
      </c>
      <c r="Z2574" s="150">
        <v>3</v>
      </c>
      <c r="AA2574" s="150">
        <v>0.56999999999999995</v>
      </c>
      <c r="AB2574" s="152"/>
      <c r="AC2574" s="152"/>
      <c r="AD2574" s="223">
        <v>13.563155</v>
      </c>
      <c r="AE2574" s="223">
        <v>0.48766399999999999</v>
      </c>
      <c r="AF2574" s="223">
        <v>6.6233421999999997</v>
      </c>
      <c r="AG2574" s="223">
        <v>0.80464559999999996</v>
      </c>
      <c r="AH2574" s="341"/>
      <c r="AI2574" s="218"/>
      <c r="AJ2574" s="218"/>
      <c r="AK2574" s="153"/>
      <c r="AL2574" s="152"/>
      <c r="AM2574" s="152"/>
      <c r="AN2574" s="152"/>
      <c r="AO2574" s="152"/>
      <c r="AP2574" s="152"/>
      <c r="AQ2574" s="152"/>
      <c r="AR2574" s="152"/>
      <c r="AS2574" s="152"/>
      <c r="AT2574" s="152"/>
      <c r="AU2574" s="153"/>
      <c r="AV2574" s="479"/>
      <c r="AW2574" s="479"/>
      <c r="AX2574" s="442"/>
      <c r="AY2574" s="153"/>
      <c r="AZ2574" s="152"/>
      <c r="BA2574" s="152"/>
      <c r="BB2574" s="152"/>
      <c r="BC2574" s="152"/>
      <c r="BD2574" s="152"/>
      <c r="BE2574" s="152"/>
      <c r="BF2574" s="152"/>
      <c r="BG2574" s="152"/>
      <c r="BH2574" s="152"/>
      <c r="BI2574" s="153"/>
      <c r="BJ2574" s="153"/>
      <c r="BK2574" s="153"/>
      <c r="BL2574" s="153"/>
      <c r="BM2574" s="153"/>
      <c r="BN2574" s="153"/>
      <c r="BO2574" s="153"/>
      <c r="BP2574" s="153"/>
      <c r="BQ2574" s="153"/>
      <c r="BR2574" s="153"/>
      <c r="BS2574" s="153"/>
      <c r="BT2574" s="153"/>
      <c r="BU2574" s="153"/>
      <c r="BV2574" s="153"/>
      <c r="BW2574" s="153"/>
      <c r="BX2574" s="153"/>
      <c r="BY2574" s="153"/>
      <c r="BZ2574" s="153"/>
      <c r="CA2574" s="152"/>
      <c r="CB2574" s="152"/>
    </row>
    <row r="2575" spans="1:80" s="87" customFormat="1" ht="15" x14ac:dyDescent="0.25">
      <c r="A2575" s="152"/>
      <c r="B2575" s="683"/>
      <c r="C2575" s="683"/>
      <c r="D2575" s="698"/>
      <c r="E2575" s="215"/>
      <c r="F2575" s="215"/>
      <c r="G2575" s="153"/>
      <c r="H2575" s="153"/>
      <c r="I2575" s="165">
        <v>17</v>
      </c>
      <c r="J2575" s="312">
        <v>60</v>
      </c>
      <c r="K2575" s="150">
        <v>1</v>
      </c>
      <c r="L2575" s="656">
        <v>17</v>
      </c>
      <c r="M2575" s="663">
        <v>34891</v>
      </c>
      <c r="N2575" s="600">
        <v>5.2661600000000002</v>
      </c>
      <c r="O2575" s="604">
        <v>1.0496E-2</v>
      </c>
      <c r="P2575" s="150"/>
      <c r="Q2575" s="250"/>
      <c r="R2575" s="250">
        <v>0.57399999999999995</v>
      </c>
      <c r="S2575" s="250">
        <v>0</v>
      </c>
      <c r="T2575" s="250">
        <v>1.7000000000000001E-2</v>
      </c>
      <c r="U2575" s="250">
        <v>3.2000000000000001E-2</v>
      </c>
      <c r="V2575" s="250">
        <v>0.10400000000000001</v>
      </c>
      <c r="W2575" s="250">
        <v>0.151</v>
      </c>
      <c r="X2575" s="250">
        <v>0.11199999999999999</v>
      </c>
      <c r="Y2575" s="250">
        <v>0.01</v>
      </c>
      <c r="Z2575" s="150">
        <v>28</v>
      </c>
      <c r="AA2575" s="150">
        <v>17.5</v>
      </c>
      <c r="AB2575" s="152"/>
      <c r="AC2575" s="152"/>
      <c r="AD2575" s="223">
        <v>13.867945000000001</v>
      </c>
      <c r="AE2575" s="223">
        <v>0.48461609999999999</v>
      </c>
      <c r="AF2575" s="223">
        <v>6.7162362</v>
      </c>
      <c r="AG2575" s="223">
        <v>0.78026240000000002</v>
      </c>
      <c r="AH2575" s="341"/>
      <c r="AI2575" s="218"/>
      <c r="AJ2575" s="218"/>
      <c r="AK2575" s="153"/>
      <c r="AL2575" s="152"/>
      <c r="AM2575" s="152"/>
      <c r="AN2575" s="152"/>
      <c r="AO2575" s="152"/>
      <c r="AP2575" s="152"/>
      <c r="AQ2575" s="152"/>
      <c r="AR2575" s="152"/>
      <c r="AS2575" s="152"/>
      <c r="AT2575" s="152"/>
      <c r="AU2575" s="153"/>
      <c r="AV2575" s="479"/>
      <c r="AW2575" s="479"/>
      <c r="AX2575" s="442"/>
      <c r="AY2575" s="153"/>
      <c r="AZ2575" s="152"/>
      <c r="BA2575" s="152"/>
      <c r="BB2575" s="152"/>
      <c r="BC2575" s="152"/>
      <c r="BD2575" s="152"/>
      <c r="BE2575" s="152"/>
      <c r="BF2575" s="152"/>
      <c r="BG2575" s="152"/>
      <c r="BH2575" s="152"/>
      <c r="BI2575" s="153"/>
      <c r="BJ2575" s="153"/>
      <c r="BK2575" s="153"/>
      <c r="BL2575" s="153"/>
      <c r="BM2575" s="153"/>
      <c r="BN2575" s="153"/>
      <c r="BO2575" s="153"/>
      <c r="BP2575" s="153"/>
      <c r="BQ2575" s="153"/>
      <c r="BR2575" s="153"/>
      <c r="BS2575" s="153"/>
      <c r="BT2575" s="153"/>
      <c r="BU2575" s="153"/>
      <c r="BV2575" s="153"/>
      <c r="BW2575" s="153"/>
      <c r="BX2575" s="153"/>
      <c r="BY2575" s="153"/>
      <c r="BZ2575" s="153"/>
      <c r="CA2575" s="152"/>
      <c r="CB2575" s="152"/>
    </row>
    <row r="2576" spans="1:80" s="87" customFormat="1" ht="15" x14ac:dyDescent="0.25">
      <c r="A2576" s="152"/>
      <c r="B2576" s="683"/>
      <c r="C2576" s="683"/>
      <c r="D2576" s="698"/>
      <c r="E2576" s="215"/>
      <c r="F2576" s="215"/>
      <c r="G2576" s="153"/>
      <c r="H2576" s="153"/>
      <c r="I2576" s="165">
        <v>17</v>
      </c>
      <c r="J2576" s="312">
        <v>60</v>
      </c>
      <c r="K2576" s="150">
        <v>1</v>
      </c>
      <c r="L2576" s="656">
        <v>17</v>
      </c>
      <c r="M2576" s="663">
        <v>34891</v>
      </c>
      <c r="N2576" s="600">
        <v>5.2661600000000002</v>
      </c>
      <c r="O2576" s="604">
        <v>2.6549999999999998E-3</v>
      </c>
      <c r="P2576" s="150"/>
      <c r="Q2576" s="250"/>
      <c r="R2576" s="250"/>
      <c r="S2576" s="250"/>
      <c r="T2576" s="250">
        <v>5.0000000000000001E-3</v>
      </c>
      <c r="U2576" s="250">
        <v>0.04</v>
      </c>
      <c r="V2576" s="250">
        <v>0.17100000000000001</v>
      </c>
      <c r="W2576" s="250">
        <v>0.375</v>
      </c>
      <c r="X2576" s="250">
        <v>0.38700000000000001</v>
      </c>
      <c r="Y2576" s="250">
        <v>2.2000000000000002E-2</v>
      </c>
      <c r="Z2576" s="150">
        <v>28</v>
      </c>
      <c r="AA2576" s="150">
        <v>0.59</v>
      </c>
      <c r="AB2576" s="152"/>
      <c r="AC2576" s="152"/>
      <c r="AD2576" s="223">
        <v>13.867945000000001</v>
      </c>
      <c r="AE2576" s="223">
        <v>0.48461609999999999</v>
      </c>
      <c r="AF2576" s="223">
        <v>6.7162362</v>
      </c>
      <c r="AG2576" s="223">
        <v>0.78026240000000002</v>
      </c>
      <c r="AH2576" s="341"/>
      <c r="AI2576" s="218"/>
      <c r="AJ2576" s="218"/>
      <c r="AK2576" s="153"/>
      <c r="AL2576" s="152"/>
      <c r="AM2576" s="152"/>
      <c r="AN2576" s="152"/>
      <c r="AO2576" s="152"/>
      <c r="AP2576" s="152"/>
      <c r="AQ2576" s="152"/>
      <c r="AR2576" s="152"/>
      <c r="AS2576" s="152"/>
      <c r="AT2576" s="152"/>
      <c r="AU2576" s="153"/>
      <c r="AV2576" s="479"/>
      <c r="AW2576" s="479"/>
      <c r="AX2576" s="442"/>
      <c r="AY2576" s="153"/>
      <c r="AZ2576" s="152"/>
      <c r="BA2576" s="152"/>
      <c r="BB2576" s="152"/>
      <c r="BC2576" s="152"/>
      <c r="BD2576" s="152"/>
      <c r="BE2576" s="152"/>
      <c r="BF2576" s="152"/>
      <c r="BG2576" s="152"/>
      <c r="BH2576" s="152"/>
      <c r="BI2576" s="153"/>
      <c r="BJ2576" s="153"/>
      <c r="BK2576" s="153"/>
      <c r="BL2576" s="153"/>
      <c r="BM2576" s="153"/>
      <c r="BN2576" s="153"/>
      <c r="BO2576" s="153"/>
      <c r="BP2576" s="153"/>
      <c r="BQ2576" s="153"/>
      <c r="BR2576" s="153"/>
      <c r="BS2576" s="153"/>
      <c r="BT2576" s="153"/>
      <c r="BU2576" s="153"/>
      <c r="BV2576" s="153"/>
      <c r="BW2576" s="153"/>
      <c r="BX2576" s="153"/>
      <c r="BY2576" s="153"/>
      <c r="BZ2576" s="153"/>
      <c r="CA2576" s="152"/>
      <c r="CB2576" s="152"/>
    </row>
    <row r="2577" spans="1:80" s="87" customFormat="1" ht="15" x14ac:dyDescent="0.25">
      <c r="A2577" s="152"/>
      <c r="B2577" s="683"/>
      <c r="C2577" s="683"/>
      <c r="D2577" s="698"/>
      <c r="E2577" s="215"/>
      <c r="F2577" s="215"/>
      <c r="G2577" s="153"/>
      <c r="H2577" s="153"/>
      <c r="I2577" s="165">
        <v>25</v>
      </c>
      <c r="J2577" s="312">
        <v>60</v>
      </c>
      <c r="K2577" s="150">
        <v>1</v>
      </c>
      <c r="L2577" s="656">
        <v>25</v>
      </c>
      <c r="M2577" s="663">
        <v>34900</v>
      </c>
      <c r="N2577" s="600">
        <v>2.76898</v>
      </c>
      <c r="O2577" s="604">
        <v>2.2989999999999998E-3</v>
      </c>
      <c r="P2577" s="150"/>
      <c r="Q2577" s="250"/>
      <c r="R2577" s="250"/>
      <c r="S2577" s="250"/>
      <c r="T2577" s="250">
        <v>1.7000000000000001E-2</v>
      </c>
      <c r="U2577" s="250">
        <v>8.5000000000000006E-2</v>
      </c>
      <c r="V2577" s="250">
        <v>0.316</v>
      </c>
      <c r="W2577" s="250">
        <v>0.308</v>
      </c>
      <c r="X2577" s="250">
        <v>0.24399999999999999</v>
      </c>
      <c r="Y2577" s="250">
        <v>0.03</v>
      </c>
      <c r="Z2577" s="150">
        <v>7</v>
      </c>
      <c r="AA2577" s="150">
        <v>0.83</v>
      </c>
      <c r="AB2577" s="152"/>
      <c r="AC2577" s="152"/>
      <c r="AD2577" s="223">
        <v>11.886810000000001</v>
      </c>
      <c r="AE2577" s="223">
        <v>0.46328079999999999</v>
      </c>
      <c r="AF2577" s="223">
        <v>5.4993248000000001</v>
      </c>
      <c r="AG2577" s="223">
        <v>0.50899930000000004</v>
      </c>
      <c r="AH2577" s="341"/>
      <c r="AI2577" s="218"/>
      <c r="AJ2577" s="218"/>
      <c r="AK2577" s="153"/>
      <c r="AL2577" s="152"/>
      <c r="AM2577" s="152"/>
      <c r="AN2577" s="152"/>
      <c r="AO2577" s="152"/>
      <c r="AP2577" s="152"/>
      <c r="AQ2577" s="152"/>
      <c r="AR2577" s="152"/>
      <c r="AS2577" s="152"/>
      <c r="AT2577" s="152"/>
      <c r="AU2577" s="153"/>
      <c r="AV2577" s="479"/>
      <c r="AW2577" s="479"/>
      <c r="AX2577" s="442"/>
      <c r="AY2577" s="153"/>
      <c r="AZ2577" s="152"/>
      <c r="BA2577" s="152"/>
      <c r="BB2577" s="152"/>
      <c r="BC2577" s="152"/>
      <c r="BD2577" s="152"/>
      <c r="BE2577" s="152"/>
      <c r="BF2577" s="152"/>
      <c r="BG2577" s="152"/>
      <c r="BH2577" s="152"/>
      <c r="BI2577" s="153"/>
      <c r="BJ2577" s="153"/>
      <c r="BK2577" s="153"/>
      <c r="BL2577" s="153"/>
      <c r="BM2577" s="153"/>
      <c r="BN2577" s="153"/>
      <c r="BO2577" s="153"/>
      <c r="BP2577" s="153"/>
      <c r="BQ2577" s="153"/>
      <c r="BR2577" s="153"/>
      <c r="BS2577" s="153"/>
      <c r="BT2577" s="153"/>
      <c r="BU2577" s="153"/>
      <c r="BV2577" s="153"/>
      <c r="BW2577" s="153"/>
      <c r="BX2577" s="153"/>
      <c r="BY2577" s="153"/>
      <c r="BZ2577" s="153"/>
      <c r="CA2577" s="152"/>
      <c r="CB2577" s="152"/>
    </row>
    <row r="2578" spans="1:80" s="87" customFormat="1" ht="15" x14ac:dyDescent="0.25">
      <c r="A2578" s="152"/>
      <c r="B2578" s="683"/>
      <c r="C2578" s="683"/>
      <c r="D2578" s="698"/>
      <c r="E2578" s="215"/>
      <c r="F2578" s="215"/>
      <c r="G2578" s="153"/>
      <c r="H2578" s="153"/>
      <c r="I2578" s="165">
        <v>25</v>
      </c>
      <c r="J2578" s="312">
        <v>60</v>
      </c>
      <c r="K2578" s="150">
        <v>1</v>
      </c>
      <c r="L2578" s="656">
        <v>25</v>
      </c>
      <c r="M2578" s="663">
        <v>34900</v>
      </c>
      <c r="N2578" s="600">
        <v>2.76898</v>
      </c>
      <c r="O2578" s="604">
        <v>1.763E-3</v>
      </c>
      <c r="P2578" s="150"/>
      <c r="Q2578" s="250"/>
      <c r="R2578" s="250"/>
      <c r="S2578" s="250"/>
      <c r="T2578" s="250"/>
      <c r="U2578" s="250">
        <v>2.2000000000000002E-2</v>
      </c>
      <c r="V2578" s="250">
        <v>0.13400000000000001</v>
      </c>
      <c r="W2578" s="250">
        <v>0.32400000000000001</v>
      </c>
      <c r="X2578" s="250">
        <v>0.48599999999999999</v>
      </c>
      <c r="Y2578" s="250">
        <v>3.4000000000000002E-2</v>
      </c>
      <c r="Z2578" s="150">
        <v>7</v>
      </c>
      <c r="AA2578" s="150">
        <v>0.49</v>
      </c>
      <c r="AB2578" s="152"/>
      <c r="AC2578" s="152"/>
      <c r="AD2578" s="223">
        <v>11.886810000000001</v>
      </c>
      <c r="AE2578" s="223">
        <v>0.46328079999999999</v>
      </c>
      <c r="AF2578" s="223">
        <v>5.4993248000000001</v>
      </c>
      <c r="AG2578" s="223">
        <v>0.50899930000000004</v>
      </c>
      <c r="AH2578" s="341"/>
      <c r="AI2578" s="218"/>
      <c r="AJ2578" s="218"/>
      <c r="AK2578" s="153"/>
      <c r="AL2578" s="152"/>
      <c r="AM2578" s="152"/>
      <c r="AN2578" s="152"/>
      <c r="AO2578" s="152"/>
      <c r="AP2578" s="152"/>
      <c r="AQ2578" s="152"/>
      <c r="AR2578" s="152"/>
      <c r="AS2578" s="152"/>
      <c r="AT2578" s="152"/>
      <c r="AU2578" s="153"/>
      <c r="AV2578" s="479"/>
      <c r="AW2578" s="479"/>
      <c r="AX2578" s="442"/>
      <c r="AY2578" s="153"/>
      <c r="AZ2578" s="152"/>
      <c r="BA2578" s="152"/>
      <c r="BB2578" s="152"/>
      <c r="BC2578" s="152"/>
      <c r="BD2578" s="152"/>
      <c r="BE2578" s="152"/>
      <c r="BF2578" s="152"/>
      <c r="BG2578" s="152"/>
      <c r="BH2578" s="152"/>
      <c r="BI2578" s="153"/>
      <c r="BJ2578" s="153"/>
      <c r="BK2578" s="153"/>
      <c r="BL2578" s="153"/>
      <c r="BM2578" s="153"/>
      <c r="BN2578" s="153"/>
      <c r="BO2578" s="153"/>
      <c r="BP2578" s="153"/>
      <c r="BQ2578" s="153"/>
      <c r="BR2578" s="153"/>
      <c r="BS2578" s="153"/>
      <c r="BT2578" s="153"/>
      <c r="BU2578" s="153"/>
      <c r="BV2578" s="153"/>
      <c r="BW2578" s="153"/>
      <c r="BX2578" s="153"/>
      <c r="BY2578" s="153"/>
      <c r="BZ2578" s="153"/>
      <c r="CA2578" s="152"/>
      <c r="CB2578" s="152"/>
    </row>
    <row r="2579" spans="1:80" s="87" customFormat="1" ht="15" x14ac:dyDescent="0.25">
      <c r="A2579" s="152"/>
      <c r="B2579" s="683"/>
      <c r="C2579" s="683"/>
      <c r="D2579" s="698"/>
      <c r="E2579" s="215"/>
      <c r="F2579" s="215"/>
      <c r="G2579" s="153"/>
      <c r="H2579" s="153"/>
      <c r="I2579" s="165">
        <v>20</v>
      </c>
      <c r="J2579" s="312">
        <v>60</v>
      </c>
      <c r="K2579" s="150">
        <v>1</v>
      </c>
      <c r="L2579" s="656">
        <v>20</v>
      </c>
      <c r="M2579" s="663">
        <v>34913</v>
      </c>
      <c r="N2579" s="600">
        <v>1.61666</v>
      </c>
      <c r="O2579" s="604">
        <v>1.0189999999999999E-3</v>
      </c>
      <c r="P2579" s="150"/>
      <c r="Q2579" s="250"/>
      <c r="R2579" s="250"/>
      <c r="S2579" s="250"/>
      <c r="T2579" s="250"/>
      <c r="U2579" s="250">
        <v>0.01</v>
      </c>
      <c r="V2579" s="250">
        <v>0.15</v>
      </c>
      <c r="W2579" s="250">
        <v>0.52</v>
      </c>
      <c r="X2579" s="250">
        <v>0.31</v>
      </c>
      <c r="Y2579" s="250">
        <v>0.01</v>
      </c>
      <c r="Z2579" s="150">
        <v>2</v>
      </c>
      <c r="AA2579" s="150">
        <v>0.64</v>
      </c>
      <c r="AB2579" s="152"/>
      <c r="AC2579" s="152"/>
      <c r="AD2579" s="223">
        <v>11.521062000000001</v>
      </c>
      <c r="AE2579" s="223">
        <v>0.38098749999999998</v>
      </c>
      <c r="AF2579" s="223">
        <v>4.3753073999999996</v>
      </c>
      <c r="AG2579" s="223">
        <v>0.36879590000000001</v>
      </c>
      <c r="AH2579" s="341"/>
      <c r="AI2579" s="218"/>
      <c r="AJ2579" s="218"/>
      <c r="AK2579" s="153"/>
      <c r="AL2579" s="152"/>
      <c r="AM2579" s="152"/>
      <c r="AN2579" s="152"/>
      <c r="AO2579" s="152"/>
      <c r="AP2579" s="152"/>
      <c r="AQ2579" s="152"/>
      <c r="AR2579" s="152"/>
      <c r="AS2579" s="152"/>
      <c r="AT2579" s="152"/>
      <c r="AU2579" s="153"/>
      <c r="AV2579" s="479"/>
      <c r="AW2579" s="479"/>
      <c r="AX2579" s="442"/>
      <c r="AY2579" s="153"/>
      <c r="AZ2579" s="152"/>
      <c r="BA2579" s="152"/>
      <c r="BB2579" s="152"/>
      <c r="BC2579" s="152"/>
      <c r="BD2579" s="152"/>
      <c r="BE2579" s="152"/>
      <c r="BF2579" s="152"/>
      <c r="BG2579" s="152"/>
      <c r="BH2579" s="152"/>
      <c r="BI2579" s="153"/>
      <c r="BJ2579" s="153"/>
      <c r="BK2579" s="153"/>
      <c r="BL2579" s="153"/>
      <c r="BM2579" s="153"/>
      <c r="BN2579" s="153"/>
      <c r="BO2579" s="153"/>
      <c r="BP2579" s="153"/>
      <c r="BQ2579" s="153"/>
      <c r="BR2579" s="153"/>
      <c r="BS2579" s="153"/>
      <c r="BT2579" s="153"/>
      <c r="BU2579" s="153"/>
      <c r="BV2579" s="153"/>
      <c r="BW2579" s="153"/>
      <c r="BX2579" s="153"/>
      <c r="BY2579" s="153"/>
      <c r="BZ2579" s="153"/>
      <c r="CA2579" s="152"/>
      <c r="CB2579" s="152"/>
    </row>
    <row r="2580" spans="1:80" s="87" customFormat="1" ht="15" x14ac:dyDescent="0.25">
      <c r="A2580" s="152"/>
      <c r="B2580" s="683"/>
      <c r="C2580" s="683"/>
      <c r="D2580" s="698"/>
      <c r="E2580" s="215"/>
      <c r="F2580" s="215"/>
      <c r="G2580" s="153"/>
      <c r="H2580" s="153"/>
      <c r="I2580" s="165">
        <v>20</v>
      </c>
      <c r="J2580" s="312">
        <v>60</v>
      </c>
      <c r="K2580" s="150">
        <v>1</v>
      </c>
      <c r="L2580" s="656">
        <v>20</v>
      </c>
      <c r="M2580" s="663">
        <v>34913</v>
      </c>
      <c r="N2580" s="600">
        <v>1.61666</v>
      </c>
      <c r="O2580" s="604">
        <v>1.753E-3</v>
      </c>
      <c r="P2580" s="150"/>
      <c r="Q2580" s="250"/>
      <c r="R2580" s="250"/>
      <c r="S2580" s="250"/>
      <c r="T2580" s="250"/>
      <c r="U2580" s="250">
        <v>2.8999999999999998E-2</v>
      </c>
      <c r="V2580" s="250">
        <v>0.21299999999999999</v>
      </c>
      <c r="W2580" s="250">
        <v>0.49399999999999999</v>
      </c>
      <c r="X2580" s="250">
        <v>0.25900000000000001</v>
      </c>
      <c r="Y2580" s="250">
        <v>5.0000000000000001E-3</v>
      </c>
      <c r="Z2580" s="150">
        <v>2</v>
      </c>
      <c r="AA2580" s="150">
        <v>0.7</v>
      </c>
      <c r="AB2580" s="152"/>
      <c r="AC2580" s="152"/>
      <c r="AD2580" s="223">
        <v>11.521062000000001</v>
      </c>
      <c r="AE2580" s="223">
        <v>0.38098749999999998</v>
      </c>
      <c r="AF2580" s="223">
        <v>4.3753073999999996</v>
      </c>
      <c r="AG2580" s="223">
        <v>0.36879590000000001</v>
      </c>
      <c r="AH2580" s="341"/>
      <c r="AI2580" s="218"/>
      <c r="AJ2580" s="218"/>
      <c r="AK2580" s="153"/>
      <c r="AL2580" s="152"/>
      <c r="AM2580" s="152"/>
      <c r="AN2580" s="152"/>
      <c r="AO2580" s="152"/>
      <c r="AP2580" s="152"/>
      <c r="AQ2580" s="152"/>
      <c r="AR2580" s="152"/>
      <c r="AS2580" s="152"/>
      <c r="AT2580" s="152"/>
      <c r="AU2580" s="153"/>
      <c r="AV2580" s="479"/>
      <c r="AW2580" s="479"/>
      <c r="AX2580" s="442"/>
      <c r="AY2580" s="153"/>
      <c r="AZ2580" s="152"/>
      <c r="BA2580" s="152"/>
      <c r="BB2580" s="152"/>
      <c r="BC2580" s="152"/>
      <c r="BD2580" s="152"/>
      <c r="BE2580" s="152"/>
      <c r="BF2580" s="152"/>
      <c r="BG2580" s="152"/>
      <c r="BH2580" s="152"/>
      <c r="BI2580" s="153"/>
      <c r="BJ2580" s="153"/>
      <c r="BK2580" s="153"/>
      <c r="BL2580" s="153"/>
      <c r="BM2580" s="153"/>
      <c r="BN2580" s="153"/>
      <c r="BO2580" s="153"/>
      <c r="BP2580" s="153"/>
      <c r="BQ2580" s="153"/>
      <c r="BR2580" s="153"/>
      <c r="BS2580" s="153"/>
      <c r="BT2580" s="153"/>
      <c r="BU2580" s="153"/>
      <c r="BV2580" s="153"/>
      <c r="BW2580" s="153"/>
      <c r="BX2580" s="153"/>
      <c r="BY2580" s="153"/>
      <c r="BZ2580" s="153"/>
      <c r="CA2580" s="152"/>
      <c r="CB2580" s="152"/>
    </row>
    <row r="2581" spans="1:80" s="87" customFormat="1" ht="15" x14ac:dyDescent="0.25">
      <c r="A2581" s="152"/>
      <c r="B2581" s="683"/>
      <c r="C2581" s="683"/>
      <c r="D2581" s="698"/>
      <c r="E2581" s="215"/>
      <c r="F2581" s="215"/>
      <c r="G2581" s="153"/>
      <c r="H2581" s="153"/>
      <c r="I2581" s="165">
        <v>15</v>
      </c>
      <c r="J2581" s="312">
        <v>60</v>
      </c>
      <c r="K2581" s="150">
        <v>1</v>
      </c>
      <c r="L2581" s="656">
        <v>15</v>
      </c>
      <c r="M2581" s="663">
        <v>34935</v>
      </c>
      <c r="N2581" s="600">
        <v>1.1211800000000001</v>
      </c>
      <c r="O2581" s="604">
        <v>5.3499999999999999E-5</v>
      </c>
      <c r="P2581" s="150"/>
      <c r="Q2581" s="250"/>
      <c r="R2581" s="250"/>
      <c r="S2581" s="250"/>
      <c r="T2581" s="250"/>
      <c r="U2581" s="250"/>
      <c r="V2581" s="250">
        <v>0.5</v>
      </c>
      <c r="W2581" s="250">
        <v>0.5</v>
      </c>
      <c r="X2581" s="250">
        <v>0</v>
      </c>
      <c r="Y2581" s="250">
        <v>0</v>
      </c>
      <c r="Z2581" s="150">
        <v>2</v>
      </c>
      <c r="AA2581" s="150">
        <v>1</v>
      </c>
      <c r="AB2581" s="152"/>
      <c r="AC2581" s="152"/>
      <c r="AD2581" s="223">
        <v>10.637171</v>
      </c>
      <c r="AE2581" s="223">
        <v>0.34746060000000001</v>
      </c>
      <c r="AF2581" s="223">
        <v>3.6878918000000001</v>
      </c>
      <c r="AG2581" s="223">
        <v>0.30479000000000001</v>
      </c>
      <c r="AH2581" s="341"/>
      <c r="AI2581" s="218"/>
      <c r="AJ2581" s="218"/>
      <c r="AK2581" s="153"/>
      <c r="AL2581" s="152"/>
      <c r="AM2581" s="152"/>
      <c r="AN2581" s="152"/>
      <c r="AO2581" s="152"/>
      <c r="AP2581" s="152"/>
      <c r="AQ2581" s="152"/>
      <c r="AR2581" s="152"/>
      <c r="AS2581" s="152"/>
      <c r="AT2581" s="152"/>
      <c r="AU2581" s="153"/>
      <c r="AV2581" s="479"/>
      <c r="AW2581" s="479"/>
      <c r="AX2581" s="442"/>
      <c r="AY2581" s="153"/>
      <c r="AZ2581" s="152"/>
      <c r="BA2581" s="152"/>
      <c r="BB2581" s="152"/>
      <c r="BC2581" s="152"/>
      <c r="BD2581" s="152"/>
      <c r="BE2581" s="152"/>
      <c r="BF2581" s="152"/>
      <c r="BG2581" s="152"/>
      <c r="BH2581" s="152"/>
      <c r="BI2581" s="153"/>
      <c r="BJ2581" s="153"/>
      <c r="BK2581" s="153"/>
      <c r="BL2581" s="153"/>
      <c r="BM2581" s="153"/>
      <c r="BN2581" s="153"/>
      <c r="BO2581" s="153"/>
      <c r="BP2581" s="153"/>
      <c r="BQ2581" s="153"/>
      <c r="BR2581" s="153"/>
      <c r="BS2581" s="153"/>
      <c r="BT2581" s="153"/>
      <c r="BU2581" s="153"/>
      <c r="BV2581" s="153"/>
      <c r="BW2581" s="153"/>
      <c r="BX2581" s="153"/>
      <c r="BY2581" s="153"/>
      <c r="BZ2581" s="153"/>
      <c r="CA2581" s="152"/>
      <c r="CB2581" s="152"/>
    </row>
    <row r="2582" spans="1:80" s="87" customFormat="1" ht="15" x14ac:dyDescent="0.25">
      <c r="A2582" s="152"/>
      <c r="B2582" s="683"/>
      <c r="C2582" s="683"/>
      <c r="D2582" s="698"/>
      <c r="E2582" s="215"/>
      <c r="F2582" s="215"/>
      <c r="G2582" s="153"/>
      <c r="H2582" s="153"/>
      <c r="I2582" s="165">
        <v>22</v>
      </c>
      <c r="J2582" s="312">
        <v>60</v>
      </c>
      <c r="K2582" s="150">
        <v>1</v>
      </c>
      <c r="L2582" s="656">
        <v>22</v>
      </c>
      <c r="M2582" s="663">
        <v>34956</v>
      </c>
      <c r="N2582" s="600">
        <v>0.77293999999999996</v>
      </c>
      <c r="O2582" s="604">
        <v>2.2699999999999999E-4</v>
      </c>
      <c r="P2582" s="150"/>
      <c r="Q2582" s="250"/>
      <c r="R2582" s="250"/>
      <c r="S2582" s="250"/>
      <c r="T2582" s="250"/>
      <c r="U2582" s="250"/>
      <c r="V2582" s="250">
        <v>9.4E-2</v>
      </c>
      <c r="W2582" s="250">
        <v>0.56299999999999994</v>
      </c>
      <c r="X2582" s="250">
        <v>0.34299999999999997</v>
      </c>
      <c r="Y2582" s="250">
        <v>0</v>
      </c>
      <c r="Z2582" s="150">
        <v>2</v>
      </c>
      <c r="AA2582" s="150">
        <v>0.61</v>
      </c>
      <c r="AB2582" s="152"/>
      <c r="AC2582" s="152"/>
      <c r="AD2582" s="223">
        <v>10.66765</v>
      </c>
      <c r="AE2582" s="223">
        <v>0.27431100000000003</v>
      </c>
      <c r="AF2582" s="223">
        <v>2.926161</v>
      </c>
      <c r="AG2582" s="223">
        <v>0.26516729999999999</v>
      </c>
      <c r="AH2582" s="341"/>
      <c r="AI2582" s="218"/>
      <c r="AJ2582" s="218"/>
      <c r="AK2582" s="153"/>
      <c r="AL2582" s="152"/>
      <c r="AM2582" s="152"/>
      <c r="AN2582" s="152"/>
      <c r="AO2582" s="152"/>
      <c r="AP2582" s="152"/>
      <c r="AQ2582" s="152"/>
      <c r="AR2582" s="152"/>
      <c r="AS2582" s="152"/>
      <c r="AT2582" s="152"/>
      <c r="AU2582" s="153"/>
      <c r="AV2582" s="479"/>
      <c r="AW2582" s="479"/>
      <c r="AX2582" s="442"/>
      <c r="AY2582" s="153"/>
      <c r="AZ2582" s="152"/>
      <c r="BA2582" s="152"/>
      <c r="BB2582" s="152"/>
      <c r="BC2582" s="152"/>
      <c r="BD2582" s="152"/>
      <c r="BE2582" s="152"/>
      <c r="BF2582" s="152"/>
      <c r="BG2582" s="152"/>
      <c r="BH2582" s="152"/>
      <c r="BI2582" s="153"/>
      <c r="BJ2582" s="153"/>
      <c r="BK2582" s="153"/>
      <c r="BL2582" s="153"/>
      <c r="BM2582" s="153"/>
      <c r="BN2582" s="153"/>
      <c r="BO2582" s="153"/>
      <c r="BP2582" s="153"/>
      <c r="BQ2582" s="153"/>
      <c r="BR2582" s="153"/>
      <c r="BS2582" s="153"/>
      <c r="BT2582" s="153"/>
      <c r="BU2582" s="153"/>
      <c r="BV2582" s="153"/>
      <c r="BW2582" s="153"/>
      <c r="BX2582" s="153"/>
      <c r="BY2582" s="153"/>
      <c r="BZ2582" s="153"/>
      <c r="CA2582" s="152"/>
      <c r="CB2582" s="152"/>
    </row>
    <row r="2583" spans="1:80" s="87" customFormat="1" ht="15" x14ac:dyDescent="0.25">
      <c r="A2583" s="152"/>
      <c r="B2583" s="683"/>
      <c r="C2583" s="683"/>
      <c r="D2583" s="698"/>
      <c r="E2583" s="215"/>
      <c r="F2583" s="215"/>
      <c r="G2583" s="153"/>
      <c r="H2583" s="153"/>
      <c r="I2583" s="165">
        <v>19</v>
      </c>
      <c r="J2583" s="312">
        <v>60</v>
      </c>
      <c r="K2583" s="150">
        <v>1</v>
      </c>
      <c r="L2583" s="656">
        <v>19</v>
      </c>
      <c r="M2583" s="663">
        <v>34989</v>
      </c>
      <c r="N2583" s="600">
        <v>0.95696999999999999</v>
      </c>
      <c r="O2583" s="604">
        <v>5.0399999999999999E-5</v>
      </c>
      <c r="P2583" s="150"/>
      <c r="Q2583" s="250"/>
      <c r="R2583" s="250"/>
      <c r="S2583" s="250"/>
      <c r="T2583" s="250"/>
      <c r="U2583" s="250"/>
      <c r="V2583" s="250">
        <v>0.1</v>
      </c>
      <c r="W2583" s="250">
        <v>0.42</v>
      </c>
      <c r="X2583" s="250">
        <v>0.44</v>
      </c>
      <c r="Y2583" s="250">
        <v>0.04</v>
      </c>
      <c r="Z2583" s="150"/>
      <c r="AA2583" s="150">
        <v>0.52</v>
      </c>
      <c r="AB2583" s="152"/>
      <c r="AC2583" s="152"/>
      <c r="AD2583" s="223"/>
      <c r="AE2583" s="223"/>
      <c r="AF2583" s="223"/>
      <c r="AG2583" s="223"/>
      <c r="AH2583" s="341"/>
      <c r="AI2583" s="218"/>
      <c r="AJ2583" s="218"/>
      <c r="AK2583" s="153"/>
      <c r="AL2583" s="152"/>
      <c r="AM2583" s="152"/>
      <c r="AN2583" s="152"/>
      <c r="AO2583" s="152"/>
      <c r="AP2583" s="152"/>
      <c r="AQ2583" s="152"/>
      <c r="AR2583" s="152"/>
      <c r="AS2583" s="152"/>
      <c r="AT2583" s="152"/>
      <c r="AU2583" s="153"/>
      <c r="AV2583" s="479"/>
      <c r="AW2583" s="479"/>
      <c r="AX2583" s="442"/>
      <c r="AY2583" s="153"/>
      <c r="AZ2583" s="152"/>
      <c r="BA2583" s="152"/>
      <c r="BB2583" s="152"/>
      <c r="BC2583" s="152"/>
      <c r="BD2583" s="152"/>
      <c r="BE2583" s="152"/>
      <c r="BF2583" s="152"/>
      <c r="BG2583" s="152"/>
      <c r="BH2583" s="152"/>
      <c r="BI2583" s="153"/>
      <c r="BJ2583" s="153"/>
      <c r="BK2583" s="153"/>
      <c r="BL2583" s="153"/>
      <c r="BM2583" s="153"/>
      <c r="BN2583" s="153"/>
      <c r="BO2583" s="153"/>
      <c r="BP2583" s="153"/>
      <c r="BQ2583" s="153"/>
      <c r="BR2583" s="153"/>
      <c r="BS2583" s="153"/>
      <c r="BT2583" s="153"/>
      <c r="BU2583" s="153"/>
      <c r="BV2583" s="153"/>
      <c r="BW2583" s="153"/>
      <c r="BX2583" s="153"/>
      <c r="BY2583" s="153"/>
      <c r="BZ2583" s="153"/>
      <c r="CA2583" s="152"/>
      <c r="CB2583" s="152"/>
    </row>
    <row r="2584" spans="1:80" s="87" customFormat="1" ht="15" x14ac:dyDescent="0.25">
      <c r="A2584" s="152"/>
      <c r="B2584" s="683"/>
      <c r="C2584" s="683"/>
      <c r="D2584" s="698"/>
      <c r="E2584" s="215"/>
      <c r="F2584" s="215"/>
      <c r="G2584" s="153"/>
      <c r="H2584" s="153"/>
      <c r="I2584" s="165">
        <v>21</v>
      </c>
      <c r="J2584" s="312">
        <v>60</v>
      </c>
      <c r="K2584" s="150">
        <v>1</v>
      </c>
      <c r="L2584" s="656">
        <v>21</v>
      </c>
      <c r="M2584" s="663">
        <v>35161</v>
      </c>
      <c r="N2584" s="600">
        <v>2.8114499999999998</v>
      </c>
      <c r="O2584" s="604">
        <v>1.732E-3</v>
      </c>
      <c r="P2584" s="150"/>
      <c r="Q2584" s="250"/>
      <c r="R2584" s="250"/>
      <c r="S2584" s="250"/>
      <c r="T2584" s="250"/>
      <c r="U2584" s="250">
        <v>0.17800000000000002</v>
      </c>
      <c r="V2584" s="250">
        <v>6.5589999999999996E-2</v>
      </c>
      <c r="W2584" s="250">
        <v>0.53086</v>
      </c>
      <c r="X2584" s="250">
        <v>0.21914</v>
      </c>
      <c r="Y2584" s="250">
        <v>6.1700000000000001E-3</v>
      </c>
      <c r="Z2584" s="150"/>
      <c r="AA2584" s="150">
        <v>0.72</v>
      </c>
      <c r="AB2584" s="152"/>
      <c r="AC2584" s="152"/>
      <c r="AD2584" s="223">
        <v>13.441238999999999</v>
      </c>
      <c r="AE2584" s="223">
        <v>0.42061019999999999</v>
      </c>
      <c r="AF2584" s="223">
        <v>5.6479552000000002</v>
      </c>
      <c r="AG2584" s="223">
        <v>0.49375980000000003</v>
      </c>
      <c r="AH2584" s="341"/>
      <c r="AI2584" s="218"/>
      <c r="AJ2584" s="218"/>
      <c r="AK2584" s="153"/>
      <c r="AL2584" s="152"/>
      <c r="AM2584" s="152"/>
      <c r="AN2584" s="152"/>
      <c r="AO2584" s="152"/>
      <c r="AP2584" s="152"/>
      <c r="AQ2584" s="152"/>
      <c r="AR2584" s="152"/>
      <c r="AS2584" s="152"/>
      <c r="AT2584" s="152"/>
      <c r="AU2584" s="153"/>
      <c r="AV2584" s="479"/>
      <c r="AW2584" s="479"/>
      <c r="AX2584" s="442"/>
      <c r="AY2584" s="153"/>
      <c r="AZ2584" s="152"/>
      <c r="BA2584" s="152"/>
      <c r="BB2584" s="152"/>
      <c r="BC2584" s="152"/>
      <c r="BD2584" s="152"/>
      <c r="BE2584" s="152"/>
      <c r="BF2584" s="152"/>
      <c r="BG2584" s="152"/>
      <c r="BH2584" s="152"/>
      <c r="BI2584" s="153"/>
      <c r="BJ2584" s="153"/>
      <c r="BK2584" s="153"/>
      <c r="BL2584" s="153"/>
      <c r="BM2584" s="153"/>
      <c r="BN2584" s="153"/>
      <c r="BO2584" s="153"/>
      <c r="BP2584" s="153"/>
      <c r="BQ2584" s="153"/>
      <c r="BR2584" s="153"/>
      <c r="BS2584" s="153"/>
      <c r="BT2584" s="153"/>
      <c r="BU2584" s="153"/>
      <c r="BV2584" s="153"/>
      <c r="BW2584" s="153"/>
      <c r="BX2584" s="153"/>
      <c r="BY2584" s="153"/>
      <c r="BZ2584" s="153"/>
      <c r="CA2584" s="152"/>
      <c r="CB2584" s="152"/>
    </row>
    <row r="2585" spans="1:80" s="87" customFormat="1" ht="15" x14ac:dyDescent="0.25">
      <c r="A2585" s="152"/>
      <c r="B2585" s="683"/>
      <c r="C2585" s="683"/>
      <c r="D2585" s="698"/>
      <c r="E2585" s="215"/>
      <c r="F2585" s="215"/>
      <c r="G2585" s="153"/>
      <c r="H2585" s="153"/>
      <c r="I2585" s="165">
        <v>19</v>
      </c>
      <c r="J2585" s="312">
        <v>60</v>
      </c>
      <c r="K2585" s="150">
        <v>1</v>
      </c>
      <c r="L2585" s="656">
        <v>19</v>
      </c>
      <c r="M2585" s="663">
        <v>35181</v>
      </c>
      <c r="N2585" s="600">
        <v>6.6534800000000001</v>
      </c>
      <c r="O2585" s="604">
        <v>8.0190000000000001E-3</v>
      </c>
      <c r="P2585" s="150"/>
      <c r="Q2585" s="250"/>
      <c r="R2585" s="250"/>
      <c r="S2585" s="250">
        <v>5.2000000000000005E-2</v>
      </c>
      <c r="T2585" s="250">
        <v>1.8000000000000002E-2</v>
      </c>
      <c r="U2585" s="250">
        <v>3.1E-2</v>
      </c>
      <c r="V2585" s="250">
        <v>0.10337</v>
      </c>
      <c r="W2585" s="250">
        <v>0.33637999999999996</v>
      </c>
      <c r="X2585" s="250">
        <v>0.42529000000000006</v>
      </c>
      <c r="Y2585" s="250">
        <v>3.3410000000000002E-2</v>
      </c>
      <c r="Z2585" s="150"/>
      <c r="AA2585" s="150">
        <v>0.54</v>
      </c>
      <c r="AB2585" s="152"/>
      <c r="AC2585" s="152"/>
      <c r="AD2585" s="223">
        <v>13.989860999999999</v>
      </c>
      <c r="AE2585" s="223">
        <v>0.50595140000000005</v>
      </c>
      <c r="AF2585" s="223">
        <v>7.0599439999999998</v>
      </c>
      <c r="AG2585" s="223">
        <v>0.92656159999999999</v>
      </c>
      <c r="AH2585" s="341"/>
      <c r="AI2585" s="218"/>
      <c r="AJ2585" s="218"/>
      <c r="AK2585" s="153"/>
      <c r="AL2585" s="152"/>
      <c r="AM2585" s="152"/>
      <c r="AN2585" s="152"/>
      <c r="AO2585" s="152"/>
      <c r="AP2585" s="152"/>
      <c r="AQ2585" s="152"/>
      <c r="AR2585" s="152"/>
      <c r="AS2585" s="152"/>
      <c r="AT2585" s="152"/>
      <c r="AU2585" s="153"/>
      <c r="AV2585" s="479"/>
      <c r="AW2585" s="479"/>
      <c r="AX2585" s="442"/>
      <c r="AY2585" s="153"/>
      <c r="AZ2585" s="152"/>
      <c r="BA2585" s="152"/>
      <c r="BB2585" s="152"/>
      <c r="BC2585" s="152"/>
      <c r="BD2585" s="152"/>
      <c r="BE2585" s="152"/>
      <c r="BF2585" s="152"/>
      <c r="BG2585" s="152"/>
      <c r="BH2585" s="152"/>
      <c r="BI2585" s="153"/>
      <c r="BJ2585" s="153"/>
      <c r="BK2585" s="153"/>
      <c r="BL2585" s="153"/>
      <c r="BM2585" s="153"/>
      <c r="BN2585" s="153"/>
      <c r="BO2585" s="153"/>
      <c r="BP2585" s="153"/>
      <c r="BQ2585" s="153"/>
      <c r="BR2585" s="153"/>
      <c r="BS2585" s="153"/>
      <c r="BT2585" s="153"/>
      <c r="BU2585" s="153"/>
      <c r="BV2585" s="153"/>
      <c r="BW2585" s="153"/>
      <c r="BX2585" s="153"/>
      <c r="BY2585" s="153"/>
      <c r="BZ2585" s="153"/>
      <c r="CA2585" s="152"/>
      <c r="CB2585" s="152"/>
    </row>
    <row r="2586" spans="1:80" s="87" customFormat="1" ht="15" x14ac:dyDescent="0.25">
      <c r="A2586" s="152"/>
      <c r="B2586" s="683"/>
      <c r="C2586" s="683"/>
      <c r="D2586" s="698"/>
      <c r="E2586" s="215"/>
      <c r="F2586" s="215"/>
      <c r="G2586" s="153"/>
      <c r="H2586" s="153"/>
      <c r="I2586" s="165">
        <v>15</v>
      </c>
      <c r="J2586" s="312">
        <v>60</v>
      </c>
      <c r="K2586" s="150">
        <v>1</v>
      </c>
      <c r="L2586" s="656">
        <v>15</v>
      </c>
      <c r="M2586" s="663">
        <v>35195</v>
      </c>
      <c r="N2586" s="600">
        <v>5.0679699999999999</v>
      </c>
      <c r="O2586" s="604">
        <v>7.7669999999999996E-3</v>
      </c>
      <c r="P2586" s="150"/>
      <c r="Q2586" s="250"/>
      <c r="R2586" s="250"/>
      <c r="S2586" s="250"/>
      <c r="T2586" s="250">
        <v>1.7000000000000001E-2</v>
      </c>
      <c r="U2586" s="250">
        <v>8.5999999999999993E-2</v>
      </c>
      <c r="V2586" s="250">
        <v>0.15973000000000001</v>
      </c>
      <c r="W2586" s="250">
        <v>0.34112000000000003</v>
      </c>
      <c r="X2586" s="250">
        <v>0.36648000000000003</v>
      </c>
      <c r="Y2586" s="250">
        <v>2.9780000000000001E-2</v>
      </c>
      <c r="Z2586" s="150">
        <v>5</v>
      </c>
      <c r="AA2586" s="150">
        <v>0.62</v>
      </c>
      <c r="AB2586" s="152"/>
      <c r="AC2586" s="152"/>
      <c r="AD2586" s="223"/>
      <c r="AE2586" s="223"/>
      <c r="AF2586" s="223"/>
      <c r="AG2586" s="223"/>
      <c r="AH2586" s="341"/>
      <c r="AI2586" s="218"/>
      <c r="AJ2586" s="218"/>
      <c r="AK2586" s="153"/>
      <c r="AL2586" s="152"/>
      <c r="AM2586" s="152"/>
      <c r="AN2586" s="152"/>
      <c r="AO2586" s="152"/>
      <c r="AP2586" s="152"/>
      <c r="AQ2586" s="152"/>
      <c r="AR2586" s="152"/>
      <c r="AS2586" s="152"/>
      <c r="AT2586" s="152"/>
      <c r="AU2586" s="153"/>
      <c r="AV2586" s="479"/>
      <c r="AW2586" s="479"/>
      <c r="AX2586" s="442"/>
      <c r="AY2586" s="153"/>
      <c r="AZ2586" s="152"/>
      <c r="BA2586" s="152"/>
      <c r="BB2586" s="152"/>
      <c r="BC2586" s="152"/>
      <c r="BD2586" s="152"/>
      <c r="BE2586" s="152"/>
      <c r="BF2586" s="152"/>
      <c r="BG2586" s="152"/>
      <c r="BH2586" s="152"/>
      <c r="BI2586" s="153"/>
      <c r="BJ2586" s="153"/>
      <c r="BK2586" s="153"/>
      <c r="BL2586" s="153"/>
      <c r="BM2586" s="153"/>
      <c r="BN2586" s="153"/>
      <c r="BO2586" s="153"/>
      <c r="BP2586" s="153"/>
      <c r="BQ2586" s="153"/>
      <c r="BR2586" s="153"/>
      <c r="BS2586" s="153"/>
      <c r="BT2586" s="153"/>
      <c r="BU2586" s="153"/>
      <c r="BV2586" s="153"/>
      <c r="BW2586" s="153"/>
      <c r="BX2586" s="153"/>
      <c r="BY2586" s="153"/>
      <c r="BZ2586" s="153"/>
      <c r="CA2586" s="152"/>
      <c r="CB2586" s="152"/>
    </row>
    <row r="2587" spans="1:80" s="87" customFormat="1" ht="15" x14ac:dyDescent="0.25">
      <c r="A2587" s="152"/>
      <c r="B2587" s="683"/>
      <c r="C2587" s="683"/>
      <c r="D2587" s="698"/>
      <c r="E2587" s="215"/>
      <c r="F2587" s="215"/>
      <c r="G2587" s="153"/>
      <c r="H2587" s="153"/>
      <c r="I2587" s="165">
        <v>19</v>
      </c>
      <c r="J2587" s="312">
        <v>60</v>
      </c>
      <c r="K2587" s="150">
        <v>1</v>
      </c>
      <c r="L2587" s="656">
        <v>19</v>
      </c>
      <c r="M2587" s="663">
        <v>35202</v>
      </c>
      <c r="N2587" s="600">
        <v>15.770200000000001</v>
      </c>
      <c r="O2587" s="604">
        <v>0.10810599999999999</v>
      </c>
      <c r="P2587" s="150"/>
      <c r="Q2587" s="250"/>
      <c r="R2587" s="250">
        <v>0.02</v>
      </c>
      <c r="S2587" s="250">
        <v>1.7000000000000001E-2</v>
      </c>
      <c r="T2587" s="250">
        <v>5.7000000000000002E-2</v>
      </c>
      <c r="U2587" s="250">
        <v>0.13800000000000001</v>
      </c>
      <c r="V2587" s="250">
        <v>0.25163000000000002</v>
      </c>
      <c r="W2587" s="250">
        <v>0.31841000000000003</v>
      </c>
      <c r="X2587" s="250">
        <v>0.19098999999999999</v>
      </c>
      <c r="Y2587" s="250">
        <v>7.2399999999999999E-3</v>
      </c>
      <c r="Z2587" s="150"/>
      <c r="AA2587" s="150">
        <v>0.96</v>
      </c>
      <c r="AB2587" s="152"/>
      <c r="AC2587" s="152"/>
      <c r="AD2587" s="223">
        <v>14.020339999999999</v>
      </c>
      <c r="AE2587" s="223">
        <v>0.74063970000000001</v>
      </c>
      <c r="AF2587" s="223">
        <v>10.404128</v>
      </c>
      <c r="AG2587" s="223">
        <v>1.4447045999999999</v>
      </c>
      <c r="AH2587" s="341"/>
      <c r="AI2587" s="218"/>
      <c r="AJ2587" s="218"/>
      <c r="AK2587" s="153"/>
      <c r="AL2587" s="152"/>
      <c r="AM2587" s="152"/>
      <c r="AN2587" s="152"/>
      <c r="AO2587" s="152"/>
      <c r="AP2587" s="152"/>
      <c r="AQ2587" s="152"/>
      <c r="AR2587" s="152"/>
      <c r="AS2587" s="152"/>
      <c r="AT2587" s="152"/>
      <c r="AU2587" s="153"/>
      <c r="AV2587" s="479"/>
      <c r="AW2587" s="479"/>
      <c r="AX2587" s="442"/>
      <c r="AY2587" s="153"/>
      <c r="AZ2587" s="152"/>
      <c r="BA2587" s="152"/>
      <c r="BB2587" s="152"/>
      <c r="BC2587" s="152"/>
      <c r="BD2587" s="152"/>
      <c r="BE2587" s="152"/>
      <c r="BF2587" s="152"/>
      <c r="BG2587" s="152"/>
      <c r="BH2587" s="152"/>
      <c r="BI2587" s="153"/>
      <c r="BJ2587" s="153"/>
      <c r="BK2587" s="153"/>
      <c r="BL2587" s="153"/>
      <c r="BM2587" s="153"/>
      <c r="BN2587" s="153"/>
      <c r="BO2587" s="153"/>
      <c r="BP2587" s="153"/>
      <c r="BQ2587" s="153"/>
      <c r="BR2587" s="153"/>
      <c r="BS2587" s="153"/>
      <c r="BT2587" s="153"/>
      <c r="BU2587" s="153"/>
      <c r="BV2587" s="153"/>
      <c r="BW2587" s="153"/>
      <c r="BX2587" s="153"/>
      <c r="BY2587" s="153"/>
      <c r="BZ2587" s="153"/>
      <c r="CA2587" s="152"/>
      <c r="CB2587" s="152"/>
    </row>
    <row r="2588" spans="1:80" s="87" customFormat="1" ht="15" x14ac:dyDescent="0.25">
      <c r="A2588" s="152"/>
      <c r="B2588" s="683"/>
      <c r="C2588" s="683"/>
      <c r="D2588" s="698"/>
      <c r="E2588" s="215"/>
      <c r="F2588" s="215"/>
      <c r="G2588" s="153"/>
      <c r="H2588" s="153"/>
      <c r="I2588" s="165">
        <v>17</v>
      </c>
      <c r="J2588" s="312">
        <v>60</v>
      </c>
      <c r="K2588" s="150">
        <v>1</v>
      </c>
      <c r="L2588" s="656">
        <v>17</v>
      </c>
      <c r="M2588" s="663">
        <v>35206</v>
      </c>
      <c r="N2588" s="600">
        <v>14.835900000000001</v>
      </c>
      <c r="O2588" s="604">
        <v>3.6104999999999998E-2</v>
      </c>
      <c r="P2588" s="150"/>
      <c r="Q2588" s="250"/>
      <c r="R2588" s="250"/>
      <c r="S2588" s="250">
        <v>4.0000000000000001E-3</v>
      </c>
      <c r="T2588" s="250">
        <v>1.9E-2</v>
      </c>
      <c r="U2588" s="250">
        <v>9.8000000000000004E-2</v>
      </c>
      <c r="V2588" s="250">
        <v>0.21585000000000001</v>
      </c>
      <c r="W2588" s="250">
        <v>0.37241000000000002</v>
      </c>
      <c r="X2588" s="250">
        <v>0.26979999999999998</v>
      </c>
      <c r="Y2588" s="250">
        <v>2.0959999999999999E-2</v>
      </c>
      <c r="Z2588" s="150">
        <v>9</v>
      </c>
      <c r="AA2588" s="150">
        <v>0.74</v>
      </c>
      <c r="AB2588" s="152"/>
      <c r="AC2588" s="152"/>
      <c r="AD2588" s="223">
        <v>14.020339999999999</v>
      </c>
      <c r="AE2588" s="223">
        <v>0.69492120000000002</v>
      </c>
      <c r="AF2588" s="223">
        <v>9.7538699999999992</v>
      </c>
      <c r="AG2588" s="223">
        <v>1.5209021</v>
      </c>
      <c r="AH2588" s="341"/>
      <c r="AI2588" s="218"/>
      <c r="AJ2588" s="218"/>
      <c r="AK2588" s="153"/>
      <c r="AL2588" s="152"/>
      <c r="AM2588" s="152"/>
      <c r="AN2588" s="152"/>
      <c r="AO2588" s="152"/>
      <c r="AP2588" s="152"/>
      <c r="AQ2588" s="152"/>
      <c r="AR2588" s="152"/>
      <c r="AS2588" s="152"/>
      <c r="AT2588" s="152"/>
      <c r="AU2588" s="153"/>
      <c r="AV2588" s="479"/>
      <c r="AW2588" s="479"/>
      <c r="AX2588" s="442"/>
      <c r="AY2588" s="153"/>
      <c r="AZ2588" s="152"/>
      <c r="BA2588" s="152"/>
      <c r="BB2588" s="152"/>
      <c r="BC2588" s="152"/>
      <c r="BD2588" s="152"/>
      <c r="BE2588" s="152"/>
      <c r="BF2588" s="152"/>
      <c r="BG2588" s="152"/>
      <c r="BH2588" s="152"/>
      <c r="BI2588" s="153"/>
      <c r="BJ2588" s="153"/>
      <c r="BK2588" s="153"/>
      <c r="BL2588" s="153"/>
      <c r="BM2588" s="153"/>
      <c r="BN2588" s="153"/>
      <c r="BO2588" s="153"/>
      <c r="BP2588" s="153"/>
      <c r="BQ2588" s="153"/>
      <c r="BR2588" s="153"/>
      <c r="BS2588" s="153"/>
      <c r="BT2588" s="153"/>
      <c r="BU2588" s="153"/>
      <c r="BV2588" s="153"/>
      <c r="BW2588" s="153"/>
      <c r="BX2588" s="153"/>
      <c r="BY2588" s="153"/>
      <c r="BZ2588" s="153"/>
      <c r="CA2588" s="152"/>
      <c r="CB2588" s="152"/>
    </row>
    <row r="2589" spans="1:80" s="87" customFormat="1" ht="15" x14ac:dyDescent="0.25">
      <c r="A2589" s="152"/>
      <c r="B2589" s="683"/>
      <c r="C2589" s="683"/>
      <c r="D2589" s="698"/>
      <c r="E2589" s="215"/>
      <c r="F2589" s="215"/>
      <c r="G2589" s="153"/>
      <c r="H2589" s="153"/>
      <c r="I2589" s="165">
        <v>16</v>
      </c>
      <c r="J2589" s="312">
        <v>60</v>
      </c>
      <c r="K2589" s="150">
        <v>1</v>
      </c>
      <c r="L2589" s="656">
        <v>16</v>
      </c>
      <c r="M2589" s="663">
        <v>35219</v>
      </c>
      <c r="N2589" s="600">
        <v>11.523300000000001</v>
      </c>
      <c r="O2589" s="604">
        <v>2.8024E-2</v>
      </c>
      <c r="P2589" s="150"/>
      <c r="Q2589" s="250"/>
      <c r="R2589" s="250"/>
      <c r="S2589" s="250">
        <v>1.1000000000000001E-2</v>
      </c>
      <c r="T2589" s="250">
        <v>1.9E-2</v>
      </c>
      <c r="U2589" s="250">
        <v>0.08</v>
      </c>
      <c r="V2589" s="250">
        <v>0.22277000000000002</v>
      </c>
      <c r="W2589" s="250">
        <v>0.33194000000000001</v>
      </c>
      <c r="X2589" s="250">
        <v>0.30829000000000001</v>
      </c>
      <c r="Y2589" s="250">
        <v>2.6720000000000001E-2</v>
      </c>
      <c r="Z2589" s="150">
        <v>13</v>
      </c>
      <c r="AA2589" s="150">
        <v>0.71</v>
      </c>
      <c r="AB2589" s="152"/>
      <c r="AC2589" s="152"/>
      <c r="AD2589" s="223">
        <v>14.020339999999999</v>
      </c>
      <c r="AE2589" s="223">
        <v>0.64005900000000004</v>
      </c>
      <c r="AF2589" s="223">
        <v>8.9735604000000002</v>
      </c>
      <c r="AG2589" s="223">
        <v>1.2831659</v>
      </c>
      <c r="AH2589" s="341"/>
      <c r="AI2589" s="218"/>
      <c r="AJ2589" s="218"/>
      <c r="AK2589" s="153"/>
      <c r="AL2589" s="152"/>
      <c r="AM2589" s="152"/>
      <c r="AN2589" s="152"/>
      <c r="AO2589" s="152"/>
      <c r="AP2589" s="152"/>
      <c r="AQ2589" s="152"/>
      <c r="AR2589" s="152"/>
      <c r="AS2589" s="152"/>
      <c r="AT2589" s="152"/>
      <c r="AU2589" s="153"/>
      <c r="AV2589" s="479"/>
      <c r="AW2589" s="479"/>
      <c r="AX2589" s="442"/>
      <c r="AY2589" s="153"/>
      <c r="AZ2589" s="152"/>
      <c r="BA2589" s="152"/>
      <c r="BB2589" s="152"/>
      <c r="BC2589" s="152"/>
      <c r="BD2589" s="152"/>
      <c r="BE2589" s="152"/>
      <c r="BF2589" s="152"/>
      <c r="BG2589" s="152"/>
      <c r="BH2589" s="152"/>
      <c r="BI2589" s="153"/>
      <c r="BJ2589" s="153"/>
      <c r="BK2589" s="153"/>
      <c r="BL2589" s="153"/>
      <c r="BM2589" s="153"/>
      <c r="BN2589" s="153"/>
      <c r="BO2589" s="153"/>
      <c r="BP2589" s="153"/>
      <c r="BQ2589" s="153"/>
      <c r="BR2589" s="153"/>
      <c r="BS2589" s="153"/>
      <c r="BT2589" s="153"/>
      <c r="BU2589" s="153"/>
      <c r="BV2589" s="153"/>
      <c r="BW2589" s="153"/>
      <c r="BX2589" s="153"/>
      <c r="BY2589" s="153"/>
      <c r="BZ2589" s="153"/>
      <c r="CA2589" s="152"/>
      <c r="CB2589" s="152"/>
    </row>
    <row r="2590" spans="1:80" s="87" customFormat="1" ht="15" x14ac:dyDescent="0.25">
      <c r="A2590" s="152"/>
      <c r="B2590" s="683"/>
      <c r="C2590" s="683"/>
      <c r="D2590" s="698"/>
      <c r="E2590" s="215"/>
      <c r="F2590" s="215"/>
      <c r="G2590" s="153"/>
      <c r="H2590" s="153"/>
      <c r="I2590" s="165">
        <v>16</v>
      </c>
      <c r="J2590" s="312">
        <v>60</v>
      </c>
      <c r="K2590" s="150">
        <v>1</v>
      </c>
      <c r="L2590" s="656">
        <v>16</v>
      </c>
      <c r="M2590" s="663">
        <v>35226</v>
      </c>
      <c r="N2590" s="600">
        <v>13.052199999999999</v>
      </c>
      <c r="O2590" s="604">
        <v>3.7679999999999998E-2</v>
      </c>
      <c r="P2590" s="150"/>
      <c r="Q2590" s="250"/>
      <c r="R2590" s="250"/>
      <c r="S2590" s="250">
        <v>3.1E-2</v>
      </c>
      <c r="T2590" s="250">
        <v>0.04</v>
      </c>
      <c r="U2590" s="250">
        <v>0.125</v>
      </c>
      <c r="V2590" s="250">
        <v>0.25805</v>
      </c>
      <c r="W2590" s="250">
        <v>0.35505000000000003</v>
      </c>
      <c r="X2590" s="250">
        <v>0.17983000000000002</v>
      </c>
      <c r="Y2590" s="250">
        <v>1.1950000000000001E-2</v>
      </c>
      <c r="Z2590" s="150">
        <v>14</v>
      </c>
      <c r="AA2590" s="150">
        <v>0.91</v>
      </c>
      <c r="AB2590" s="152"/>
      <c r="AC2590" s="152"/>
      <c r="AD2590" s="223">
        <v>13.41076</v>
      </c>
      <c r="AE2590" s="223">
        <v>0.68577750000000004</v>
      </c>
      <c r="AF2590" s="223">
        <v>9.2150847999999996</v>
      </c>
      <c r="AG2590" s="223">
        <v>1.4386087999999999</v>
      </c>
      <c r="AH2590" s="341"/>
      <c r="AI2590" s="218"/>
      <c r="AJ2590" s="218"/>
      <c r="AK2590" s="153"/>
      <c r="AL2590" s="152"/>
      <c r="AM2590" s="152"/>
      <c r="AN2590" s="152"/>
      <c r="AO2590" s="152"/>
      <c r="AP2590" s="152"/>
      <c r="AQ2590" s="152"/>
      <c r="AR2590" s="152"/>
      <c r="AS2590" s="152"/>
      <c r="AT2590" s="152"/>
      <c r="AU2590" s="153"/>
      <c r="AV2590" s="479"/>
      <c r="AW2590" s="479"/>
      <c r="AX2590" s="442"/>
      <c r="AY2590" s="153"/>
      <c r="AZ2590" s="152"/>
      <c r="BA2590" s="152"/>
      <c r="BB2590" s="152"/>
      <c r="BC2590" s="152"/>
      <c r="BD2590" s="152"/>
      <c r="BE2590" s="152"/>
      <c r="BF2590" s="152"/>
      <c r="BG2590" s="152"/>
      <c r="BH2590" s="152"/>
      <c r="BI2590" s="153"/>
      <c r="BJ2590" s="153"/>
      <c r="BK2590" s="153"/>
      <c r="BL2590" s="153"/>
      <c r="BM2590" s="153"/>
      <c r="BN2590" s="153"/>
      <c r="BO2590" s="153"/>
      <c r="BP2590" s="153"/>
      <c r="BQ2590" s="153"/>
      <c r="BR2590" s="153"/>
      <c r="BS2590" s="153"/>
      <c r="BT2590" s="153"/>
      <c r="BU2590" s="153"/>
      <c r="BV2590" s="153"/>
      <c r="BW2590" s="153"/>
      <c r="BX2590" s="153"/>
      <c r="BY2590" s="153"/>
      <c r="BZ2590" s="153"/>
      <c r="CA2590" s="152"/>
      <c r="CB2590" s="152"/>
    </row>
    <row r="2591" spans="1:80" s="87" customFormat="1" ht="15" x14ac:dyDescent="0.25">
      <c r="A2591" s="152"/>
      <c r="B2591" s="683"/>
      <c r="C2591" s="683"/>
      <c r="D2591" s="698"/>
      <c r="E2591" s="215"/>
      <c r="F2591" s="215"/>
      <c r="G2591" s="153"/>
      <c r="H2591" s="153"/>
      <c r="I2591" s="165">
        <v>16</v>
      </c>
      <c r="J2591" s="312">
        <v>60</v>
      </c>
      <c r="K2591" s="150">
        <v>1</v>
      </c>
      <c r="L2591" s="656">
        <v>16</v>
      </c>
      <c r="M2591" s="663">
        <v>35235</v>
      </c>
      <c r="N2591" s="600">
        <v>7.7293700000000003</v>
      </c>
      <c r="O2591" s="604">
        <v>6.0460000000000002E-3</v>
      </c>
      <c r="P2591" s="150"/>
      <c r="Q2591" s="250"/>
      <c r="R2591" s="250"/>
      <c r="S2591" s="250"/>
      <c r="T2591" s="250">
        <v>6.4000000000000001E-2</v>
      </c>
      <c r="U2591" s="250">
        <v>0.122</v>
      </c>
      <c r="V2591" s="250">
        <v>0.23306000000000002</v>
      </c>
      <c r="W2591" s="250">
        <v>0.28237000000000001</v>
      </c>
      <c r="X2591" s="250">
        <v>0.26915</v>
      </c>
      <c r="Y2591" s="250">
        <v>2.92E-2</v>
      </c>
      <c r="Z2591" s="150">
        <v>7</v>
      </c>
      <c r="AA2591" s="150">
        <v>0.82</v>
      </c>
      <c r="AB2591" s="152"/>
      <c r="AC2591" s="152"/>
      <c r="AD2591" s="223">
        <v>13.105969999999999</v>
      </c>
      <c r="AE2591" s="223">
        <v>0.57300519999999999</v>
      </c>
      <c r="AF2591" s="223">
        <v>7.5244140000000002</v>
      </c>
      <c r="AG2591" s="223">
        <v>1.0484776</v>
      </c>
      <c r="AH2591" s="341"/>
      <c r="AI2591" s="218"/>
      <c r="AJ2591" s="218"/>
      <c r="AK2591" s="153"/>
      <c r="AL2591" s="152"/>
      <c r="AM2591" s="152"/>
      <c r="AN2591" s="152"/>
      <c r="AO2591" s="152"/>
      <c r="AP2591" s="152"/>
      <c r="AQ2591" s="152"/>
      <c r="AR2591" s="152"/>
      <c r="AS2591" s="152"/>
      <c r="AT2591" s="152"/>
      <c r="AU2591" s="153"/>
      <c r="AV2591" s="479"/>
      <c r="AW2591" s="479"/>
      <c r="AX2591" s="442"/>
      <c r="AY2591" s="153"/>
      <c r="AZ2591" s="152"/>
      <c r="BA2591" s="152"/>
      <c r="BB2591" s="152"/>
      <c r="BC2591" s="152"/>
      <c r="BD2591" s="152"/>
      <c r="BE2591" s="152"/>
      <c r="BF2591" s="152"/>
      <c r="BG2591" s="152"/>
      <c r="BH2591" s="152"/>
      <c r="BI2591" s="153"/>
      <c r="BJ2591" s="153"/>
      <c r="BK2591" s="153"/>
      <c r="BL2591" s="153"/>
      <c r="BM2591" s="153"/>
      <c r="BN2591" s="153"/>
      <c r="BO2591" s="153"/>
      <c r="BP2591" s="153"/>
      <c r="BQ2591" s="153"/>
      <c r="BR2591" s="153"/>
      <c r="BS2591" s="153"/>
      <c r="BT2591" s="153"/>
      <c r="BU2591" s="153"/>
      <c r="BV2591" s="153"/>
      <c r="BW2591" s="153"/>
      <c r="BX2591" s="153"/>
      <c r="BY2591" s="153"/>
      <c r="BZ2591" s="153"/>
      <c r="CA2591" s="152"/>
      <c r="CB2591" s="152"/>
    </row>
    <row r="2592" spans="1:80" s="87" customFormat="1" ht="15" x14ac:dyDescent="0.25">
      <c r="A2592" s="152"/>
      <c r="B2592" s="683"/>
      <c r="C2592" s="683"/>
      <c r="D2592" s="698"/>
      <c r="E2592" s="215"/>
      <c r="F2592" s="215"/>
      <c r="G2592" s="153"/>
      <c r="H2592" s="153"/>
      <c r="I2592" s="165">
        <v>16</v>
      </c>
      <c r="J2592" s="312">
        <v>60</v>
      </c>
      <c r="K2592" s="150">
        <v>1</v>
      </c>
      <c r="L2592" s="656">
        <v>16</v>
      </c>
      <c r="M2592" s="663">
        <v>35241</v>
      </c>
      <c r="N2592" s="600">
        <v>6.3420500000000004</v>
      </c>
      <c r="O2592" s="604">
        <v>2.2145999999999999E-2</v>
      </c>
      <c r="P2592" s="150"/>
      <c r="Q2592" s="250"/>
      <c r="R2592" s="250"/>
      <c r="S2592" s="250"/>
      <c r="T2592" s="250">
        <v>3.7000000000000005E-2</v>
      </c>
      <c r="U2592" s="250">
        <v>0.10400000000000001</v>
      </c>
      <c r="V2592" s="250">
        <v>0.20975000000000002</v>
      </c>
      <c r="W2592" s="250">
        <v>0.35475000000000001</v>
      </c>
      <c r="X2592" s="250">
        <v>0.28382000000000002</v>
      </c>
      <c r="Y2592" s="250">
        <v>1.038E-2</v>
      </c>
      <c r="Z2592" s="150">
        <v>8</v>
      </c>
      <c r="AA2592" s="150">
        <v>0.75</v>
      </c>
      <c r="AB2592" s="152"/>
      <c r="AC2592" s="152"/>
      <c r="AD2592" s="223">
        <v>13.105969999999999</v>
      </c>
      <c r="AE2592" s="223">
        <v>0.52119090000000001</v>
      </c>
      <c r="AF2592" s="223">
        <v>6.8184196000000004</v>
      </c>
      <c r="AG2592" s="223">
        <v>0.98142379999999996</v>
      </c>
      <c r="AH2592" s="341"/>
      <c r="AI2592" s="218"/>
      <c r="AJ2592" s="218"/>
      <c r="AK2592" s="153"/>
      <c r="AL2592" s="152"/>
      <c r="AM2592" s="152"/>
      <c r="AN2592" s="152"/>
      <c r="AO2592" s="152"/>
      <c r="AP2592" s="152"/>
      <c r="AQ2592" s="152"/>
      <c r="AR2592" s="152"/>
      <c r="AS2592" s="152"/>
      <c r="AT2592" s="152"/>
      <c r="AU2592" s="153"/>
      <c r="AV2592" s="479"/>
      <c r="AW2592" s="479"/>
      <c r="AX2592" s="442"/>
      <c r="AY2592" s="153"/>
      <c r="AZ2592" s="152"/>
      <c r="BA2592" s="152"/>
      <c r="BB2592" s="152"/>
      <c r="BC2592" s="152"/>
      <c r="BD2592" s="152"/>
      <c r="BE2592" s="152"/>
      <c r="BF2592" s="152"/>
      <c r="BG2592" s="152"/>
      <c r="BH2592" s="152"/>
      <c r="BI2592" s="153"/>
      <c r="BJ2592" s="153"/>
      <c r="BK2592" s="153"/>
      <c r="BL2592" s="153"/>
      <c r="BM2592" s="153"/>
      <c r="BN2592" s="153"/>
      <c r="BO2592" s="153"/>
      <c r="BP2592" s="153"/>
      <c r="BQ2592" s="153"/>
      <c r="BR2592" s="153"/>
      <c r="BS2592" s="153"/>
      <c r="BT2592" s="153"/>
      <c r="BU2592" s="153"/>
      <c r="BV2592" s="153"/>
      <c r="BW2592" s="153"/>
      <c r="BX2592" s="153"/>
      <c r="BY2592" s="153"/>
      <c r="BZ2592" s="153"/>
      <c r="CA2592" s="152"/>
      <c r="CB2592" s="152"/>
    </row>
    <row r="2593" spans="1:80" s="87" customFormat="1" ht="15" x14ac:dyDescent="0.25">
      <c r="A2593" s="152"/>
      <c r="B2593" s="683"/>
      <c r="C2593" s="683"/>
      <c r="D2593" s="698"/>
      <c r="E2593" s="215"/>
      <c r="F2593" s="215"/>
      <c r="G2593" s="153"/>
      <c r="H2593" s="153"/>
      <c r="I2593" s="165">
        <v>20</v>
      </c>
      <c r="J2593" s="312">
        <v>60</v>
      </c>
      <c r="K2593" s="150">
        <v>1</v>
      </c>
      <c r="L2593" s="656">
        <v>20</v>
      </c>
      <c r="M2593" s="663">
        <v>35255</v>
      </c>
      <c r="N2593" s="600">
        <v>3.85053</v>
      </c>
      <c r="O2593" s="604">
        <v>7.3099999999999999E-4</v>
      </c>
      <c r="P2593" s="150"/>
      <c r="Q2593" s="250"/>
      <c r="R2593" s="250"/>
      <c r="S2593" s="250"/>
      <c r="T2593" s="250"/>
      <c r="U2593" s="250">
        <v>5.5999999999999994E-2</v>
      </c>
      <c r="V2593" s="250">
        <v>0.12150999999999999</v>
      </c>
      <c r="W2593" s="250">
        <v>0.31856000000000001</v>
      </c>
      <c r="X2593" s="250">
        <v>0.43020999999999998</v>
      </c>
      <c r="Y2593" s="250">
        <v>7.3889999999999997E-2</v>
      </c>
      <c r="Z2593" s="150">
        <v>4</v>
      </c>
      <c r="AA2593" s="150">
        <v>0.5</v>
      </c>
      <c r="AB2593" s="152"/>
      <c r="AC2593" s="152"/>
      <c r="AD2593" s="223">
        <v>12.80118</v>
      </c>
      <c r="AE2593" s="223">
        <v>0.43280180000000001</v>
      </c>
      <c r="AF2593" s="223">
        <v>5.5457717999999998</v>
      </c>
      <c r="AG2593" s="223">
        <v>0.68272960000000005</v>
      </c>
      <c r="AH2593" s="341"/>
      <c r="AI2593" s="218"/>
      <c r="AJ2593" s="218"/>
      <c r="AK2593" s="153"/>
      <c r="AL2593" s="152"/>
      <c r="AM2593" s="152"/>
      <c r="AN2593" s="152"/>
      <c r="AO2593" s="152"/>
      <c r="AP2593" s="152"/>
      <c r="AQ2593" s="152"/>
      <c r="AR2593" s="152"/>
      <c r="AS2593" s="152"/>
      <c r="AT2593" s="152"/>
      <c r="AU2593" s="153"/>
      <c r="AV2593" s="479"/>
      <c r="AW2593" s="479"/>
      <c r="AX2593" s="442"/>
      <c r="AY2593" s="153"/>
      <c r="AZ2593" s="152"/>
      <c r="BA2593" s="152"/>
      <c r="BB2593" s="152"/>
      <c r="BC2593" s="152"/>
      <c r="BD2593" s="152"/>
      <c r="BE2593" s="152"/>
      <c r="BF2593" s="152"/>
      <c r="BG2593" s="152"/>
      <c r="BH2593" s="152"/>
      <c r="BI2593" s="153"/>
      <c r="BJ2593" s="153"/>
      <c r="BK2593" s="153"/>
      <c r="BL2593" s="153"/>
      <c r="BM2593" s="153"/>
      <c r="BN2593" s="153"/>
      <c r="BO2593" s="153"/>
      <c r="BP2593" s="153"/>
      <c r="BQ2593" s="153"/>
      <c r="BR2593" s="153"/>
      <c r="BS2593" s="153"/>
      <c r="BT2593" s="153"/>
      <c r="BU2593" s="153"/>
      <c r="BV2593" s="153"/>
      <c r="BW2593" s="153"/>
      <c r="BX2593" s="153"/>
      <c r="BY2593" s="153"/>
      <c r="BZ2593" s="153"/>
      <c r="CA2593" s="152"/>
      <c r="CB2593" s="152"/>
    </row>
    <row r="2594" spans="1:80" s="87" customFormat="1" ht="15" x14ac:dyDescent="0.25">
      <c r="A2594" s="152"/>
      <c r="B2594" s="683"/>
      <c r="C2594" s="683"/>
      <c r="D2594" s="698"/>
      <c r="E2594" s="215"/>
      <c r="F2594" s="215"/>
      <c r="G2594" s="153"/>
      <c r="H2594" s="153"/>
      <c r="I2594" s="165">
        <v>22</v>
      </c>
      <c r="J2594" s="312">
        <v>60</v>
      </c>
      <c r="K2594" s="150">
        <v>1</v>
      </c>
      <c r="L2594" s="656">
        <v>22</v>
      </c>
      <c r="M2594" s="663">
        <v>35269</v>
      </c>
      <c r="N2594" s="600">
        <v>2.2452000000000001</v>
      </c>
      <c r="O2594" s="604">
        <v>3.0860000000000002E-3</v>
      </c>
      <c r="P2594" s="150"/>
      <c r="Q2594" s="250"/>
      <c r="R2594" s="250"/>
      <c r="S2594" s="250"/>
      <c r="T2594" s="250">
        <v>2.5000000000000001E-2</v>
      </c>
      <c r="U2594" s="250">
        <v>0.01</v>
      </c>
      <c r="V2594" s="250">
        <v>7.4580000000000007E-2</v>
      </c>
      <c r="W2594" s="250">
        <v>0.38164999999999999</v>
      </c>
      <c r="X2594" s="250">
        <v>0.47341</v>
      </c>
      <c r="Y2594" s="250">
        <v>3.5019999999999996E-2</v>
      </c>
      <c r="Z2594" s="150">
        <v>7</v>
      </c>
      <c r="AA2594" s="150">
        <v>0.49</v>
      </c>
      <c r="AB2594" s="152"/>
      <c r="AC2594" s="152"/>
      <c r="AD2594" s="223">
        <v>11.277229999999999</v>
      </c>
      <c r="AE2594" s="223">
        <v>0.42975390000000002</v>
      </c>
      <c r="AF2594" s="223">
        <v>4.8397774</v>
      </c>
      <c r="AG2594" s="223">
        <v>0.45718500000000001</v>
      </c>
      <c r="AH2594" s="341"/>
      <c r="AI2594" s="218"/>
      <c r="AJ2594" s="218"/>
      <c r="AK2594" s="153"/>
      <c r="AL2594" s="152"/>
      <c r="AM2594" s="152"/>
      <c r="AN2594" s="152"/>
      <c r="AO2594" s="152"/>
      <c r="AP2594" s="152"/>
      <c r="AQ2594" s="152"/>
      <c r="AR2594" s="152"/>
      <c r="AS2594" s="152"/>
      <c r="AT2594" s="152"/>
      <c r="AU2594" s="153"/>
      <c r="AV2594" s="479"/>
      <c r="AW2594" s="479"/>
      <c r="AX2594" s="442"/>
      <c r="AY2594" s="153"/>
      <c r="AZ2594" s="152"/>
      <c r="BA2594" s="152"/>
      <c r="BB2594" s="152"/>
      <c r="BC2594" s="152"/>
      <c r="BD2594" s="152"/>
      <c r="BE2594" s="152"/>
      <c r="BF2594" s="152"/>
      <c r="BG2594" s="152"/>
      <c r="BH2594" s="152"/>
      <c r="BI2594" s="153"/>
      <c r="BJ2594" s="153"/>
      <c r="BK2594" s="153"/>
      <c r="BL2594" s="153"/>
      <c r="BM2594" s="153"/>
      <c r="BN2594" s="153"/>
      <c r="BO2594" s="153"/>
      <c r="BP2594" s="153"/>
      <c r="BQ2594" s="153"/>
      <c r="BR2594" s="153"/>
      <c r="BS2594" s="153"/>
      <c r="BT2594" s="153"/>
      <c r="BU2594" s="153"/>
      <c r="BV2594" s="153"/>
      <c r="BW2594" s="153"/>
      <c r="BX2594" s="153"/>
      <c r="BY2594" s="153"/>
      <c r="BZ2594" s="153"/>
      <c r="CA2594" s="152"/>
      <c r="CB2594" s="152"/>
    </row>
    <row r="2595" spans="1:80" s="87" customFormat="1" ht="15" x14ac:dyDescent="0.25">
      <c r="A2595" s="152"/>
      <c r="B2595" s="683"/>
      <c r="C2595" s="683"/>
      <c r="D2595" s="698"/>
      <c r="E2595" s="215"/>
      <c r="F2595" s="215"/>
      <c r="G2595" s="153"/>
      <c r="H2595" s="153"/>
      <c r="I2595" s="165">
        <v>19</v>
      </c>
      <c r="J2595" s="312">
        <v>60</v>
      </c>
      <c r="K2595" s="150">
        <v>1</v>
      </c>
      <c r="L2595" s="656">
        <v>19</v>
      </c>
      <c r="M2595" s="663">
        <v>35276</v>
      </c>
      <c r="N2595" s="600">
        <v>1.71858</v>
      </c>
      <c r="O2595" s="604">
        <v>7.5600000000000005E-4</v>
      </c>
      <c r="P2595" s="150"/>
      <c r="Q2595" s="250"/>
      <c r="R2595" s="250"/>
      <c r="S2595" s="250"/>
      <c r="T2595" s="250"/>
      <c r="U2595" s="250">
        <v>3.2000000000000001E-2</v>
      </c>
      <c r="V2595" s="250">
        <v>7.5399999999999995E-2</v>
      </c>
      <c r="W2595" s="250">
        <v>0.35450000000000004</v>
      </c>
      <c r="X2595" s="250">
        <v>0.51190000000000002</v>
      </c>
      <c r="Y2595" s="250">
        <v>2.6459999999999997E-2</v>
      </c>
      <c r="Z2595" s="150">
        <v>3</v>
      </c>
      <c r="AA2595" s="150">
        <v>0.47</v>
      </c>
      <c r="AB2595" s="152"/>
      <c r="AC2595" s="152"/>
      <c r="AD2595" s="223">
        <v>10.058070000000001</v>
      </c>
      <c r="AE2595" s="223">
        <v>0.396227</v>
      </c>
      <c r="AF2595" s="223">
        <v>3.9851526000000002</v>
      </c>
      <c r="AG2595" s="223">
        <v>0.44499339999999998</v>
      </c>
      <c r="AH2595" s="341"/>
      <c r="AI2595" s="218"/>
      <c r="AJ2595" s="218"/>
      <c r="AK2595" s="153"/>
      <c r="AL2595" s="152"/>
      <c r="AM2595" s="152"/>
      <c r="AN2595" s="152"/>
      <c r="AO2595" s="152"/>
      <c r="AP2595" s="152"/>
      <c r="AQ2595" s="152"/>
      <c r="AR2595" s="152"/>
      <c r="AS2595" s="152"/>
      <c r="AT2595" s="152"/>
      <c r="AU2595" s="153"/>
      <c r="AV2595" s="479"/>
      <c r="AW2595" s="479"/>
      <c r="AX2595" s="442"/>
      <c r="AY2595" s="153"/>
      <c r="AZ2595" s="152"/>
      <c r="BA2595" s="152"/>
      <c r="BB2595" s="152"/>
      <c r="BC2595" s="152"/>
      <c r="BD2595" s="152"/>
      <c r="BE2595" s="152"/>
      <c r="BF2595" s="152"/>
      <c r="BG2595" s="152"/>
      <c r="BH2595" s="152"/>
      <c r="BI2595" s="153"/>
      <c r="BJ2595" s="153"/>
      <c r="BK2595" s="153"/>
      <c r="BL2595" s="153"/>
      <c r="BM2595" s="153"/>
      <c r="BN2595" s="153"/>
      <c r="BO2595" s="153"/>
      <c r="BP2595" s="153"/>
      <c r="BQ2595" s="153"/>
      <c r="BR2595" s="153"/>
      <c r="BS2595" s="153"/>
      <c r="BT2595" s="153"/>
      <c r="BU2595" s="153"/>
      <c r="BV2595" s="153"/>
      <c r="BW2595" s="153"/>
      <c r="BX2595" s="153"/>
      <c r="BY2595" s="153"/>
      <c r="BZ2595" s="153"/>
      <c r="CA2595" s="152"/>
      <c r="CB2595" s="152"/>
    </row>
    <row r="2596" spans="1:80" s="87" customFormat="1" ht="15" x14ac:dyDescent="0.25">
      <c r="A2596" s="152"/>
      <c r="B2596" s="683"/>
      <c r="C2596" s="683"/>
      <c r="D2596" s="698"/>
      <c r="E2596" s="215"/>
      <c r="F2596" s="215"/>
      <c r="G2596" s="153"/>
      <c r="H2596" s="153"/>
      <c r="I2596" s="165">
        <v>22</v>
      </c>
      <c r="J2596" s="312">
        <v>60</v>
      </c>
      <c r="K2596" s="150">
        <v>1</v>
      </c>
      <c r="L2596" s="656">
        <v>22</v>
      </c>
      <c r="M2596" s="663">
        <v>35363</v>
      </c>
      <c r="N2596" s="600">
        <v>1.17781</v>
      </c>
      <c r="O2596" s="604">
        <v>1.12E-4</v>
      </c>
      <c r="P2596" s="150"/>
      <c r="Q2596" s="250"/>
      <c r="R2596" s="250"/>
      <c r="S2596" s="250"/>
      <c r="T2596" s="250"/>
      <c r="U2596" s="250"/>
      <c r="V2596" s="250">
        <v>2.6789999999999998E-2</v>
      </c>
      <c r="W2596" s="250">
        <v>0.30357999999999996</v>
      </c>
      <c r="X2596" s="250">
        <v>0.63392999999999999</v>
      </c>
      <c r="Y2596" s="250">
        <v>3.5709999999999999E-2</v>
      </c>
      <c r="Z2596" s="150"/>
      <c r="AA2596" s="150">
        <v>0.42</v>
      </c>
      <c r="AB2596" s="152"/>
      <c r="AC2596" s="152"/>
      <c r="AD2596" s="223">
        <v>10.759086999999999</v>
      </c>
      <c r="AE2596" s="223">
        <v>0.34441270000000002</v>
      </c>
      <c r="AF2596" s="223">
        <v>3.6971812000000002</v>
      </c>
      <c r="AG2596" s="223">
        <v>0.32307740000000001</v>
      </c>
      <c r="AH2596" s="341"/>
      <c r="AI2596" s="218"/>
      <c r="AJ2596" s="218"/>
      <c r="AK2596" s="153"/>
      <c r="AL2596" s="152"/>
      <c r="AM2596" s="152"/>
      <c r="AN2596" s="152"/>
      <c r="AO2596" s="152"/>
      <c r="AP2596" s="152"/>
      <c r="AQ2596" s="152"/>
      <c r="AR2596" s="152"/>
      <c r="AS2596" s="152"/>
      <c r="AT2596" s="152"/>
      <c r="AU2596" s="153"/>
      <c r="AV2596" s="479"/>
      <c r="AW2596" s="479"/>
      <c r="AX2596" s="442"/>
      <c r="AY2596" s="153"/>
      <c r="AZ2596" s="152"/>
      <c r="BA2596" s="152"/>
      <c r="BB2596" s="152"/>
      <c r="BC2596" s="152"/>
      <c r="BD2596" s="152"/>
      <c r="BE2596" s="152"/>
      <c r="BF2596" s="152"/>
      <c r="BG2596" s="152"/>
      <c r="BH2596" s="152"/>
      <c r="BI2596" s="153"/>
      <c r="BJ2596" s="153"/>
      <c r="BK2596" s="153"/>
      <c r="BL2596" s="153"/>
      <c r="BM2596" s="153"/>
      <c r="BN2596" s="153"/>
      <c r="BO2596" s="153"/>
      <c r="BP2596" s="153"/>
      <c r="BQ2596" s="153"/>
      <c r="BR2596" s="153"/>
      <c r="BS2596" s="153"/>
      <c r="BT2596" s="153"/>
      <c r="BU2596" s="153"/>
      <c r="BV2596" s="153"/>
      <c r="BW2596" s="153"/>
      <c r="BX2596" s="153"/>
      <c r="BY2596" s="153"/>
      <c r="BZ2596" s="153"/>
      <c r="CA2596" s="152"/>
      <c r="CB2596" s="152"/>
    </row>
    <row r="2597" spans="1:80" s="87" customFormat="1" ht="15" x14ac:dyDescent="0.25">
      <c r="A2597" s="152"/>
      <c r="B2597" s="683"/>
      <c r="C2597" s="683"/>
      <c r="D2597" s="698"/>
      <c r="E2597" s="215"/>
      <c r="F2597" s="215"/>
      <c r="G2597" s="153"/>
      <c r="H2597" s="153"/>
      <c r="I2597" s="165">
        <v>20</v>
      </c>
      <c r="J2597" s="312">
        <v>60</v>
      </c>
      <c r="K2597" s="150">
        <v>1</v>
      </c>
      <c r="L2597" s="656">
        <v>20</v>
      </c>
      <c r="M2597" s="663">
        <v>35538</v>
      </c>
      <c r="N2597" s="600">
        <v>3.9071500000000001</v>
      </c>
      <c r="O2597" s="604">
        <v>3.2429999999999998E-3</v>
      </c>
      <c r="P2597" s="150"/>
      <c r="Q2597" s="250"/>
      <c r="R2597" s="250"/>
      <c r="S2597" s="250"/>
      <c r="T2597" s="250"/>
      <c r="U2597" s="250">
        <v>1.3999999999999999E-2</v>
      </c>
      <c r="V2597" s="250">
        <v>0.15675</v>
      </c>
      <c r="W2597" s="250">
        <v>0.56626999999999994</v>
      </c>
      <c r="X2597" s="250">
        <v>0.24456</v>
      </c>
      <c r="Y2597" s="250">
        <v>1.847E-2</v>
      </c>
      <c r="Z2597" s="150">
        <v>6</v>
      </c>
      <c r="AA2597" s="150">
        <v>0.67</v>
      </c>
      <c r="AB2597" s="152"/>
      <c r="AC2597" s="152"/>
      <c r="AD2597" s="223">
        <v>13.867945000000001</v>
      </c>
      <c r="AE2597" s="223">
        <v>0.44499339999999998</v>
      </c>
      <c r="AF2597" s="223">
        <v>6.1588722000000002</v>
      </c>
      <c r="AG2597" s="223">
        <v>0.64310690000000004</v>
      </c>
      <c r="AH2597" s="341"/>
      <c r="AI2597" s="218"/>
      <c r="AJ2597" s="218"/>
      <c r="AK2597" s="153"/>
      <c r="AL2597" s="152"/>
      <c r="AM2597" s="152"/>
      <c r="AN2597" s="152"/>
      <c r="AO2597" s="152"/>
      <c r="AP2597" s="152"/>
      <c r="AQ2597" s="152"/>
      <c r="AR2597" s="152"/>
      <c r="AS2597" s="152"/>
      <c r="AT2597" s="152"/>
      <c r="AU2597" s="153"/>
      <c r="AV2597" s="479"/>
      <c r="AW2597" s="479"/>
      <c r="AX2597" s="442"/>
      <c r="AY2597" s="153"/>
      <c r="AZ2597" s="152"/>
      <c r="BA2597" s="152"/>
      <c r="BB2597" s="152"/>
      <c r="BC2597" s="152"/>
      <c r="BD2597" s="152"/>
      <c r="BE2597" s="152"/>
      <c r="BF2597" s="152"/>
      <c r="BG2597" s="152"/>
      <c r="BH2597" s="152"/>
      <c r="BI2597" s="153"/>
      <c r="BJ2597" s="153"/>
      <c r="BK2597" s="153"/>
      <c r="BL2597" s="153"/>
      <c r="BM2597" s="153"/>
      <c r="BN2597" s="153"/>
      <c r="BO2597" s="153"/>
      <c r="BP2597" s="153"/>
      <c r="BQ2597" s="153"/>
      <c r="BR2597" s="153"/>
      <c r="BS2597" s="153"/>
      <c r="BT2597" s="153"/>
      <c r="BU2597" s="153"/>
      <c r="BV2597" s="153"/>
      <c r="BW2597" s="153"/>
      <c r="BX2597" s="153"/>
      <c r="BY2597" s="153"/>
      <c r="BZ2597" s="153"/>
      <c r="CA2597" s="152"/>
      <c r="CB2597" s="152"/>
    </row>
    <row r="2598" spans="1:80" s="87" customFormat="1" ht="15" x14ac:dyDescent="0.25">
      <c r="A2598" s="152"/>
      <c r="B2598" s="683"/>
      <c r="C2598" s="683"/>
      <c r="D2598" s="698"/>
      <c r="E2598" s="215"/>
      <c r="F2598" s="215"/>
      <c r="G2598" s="153"/>
      <c r="H2598" s="153"/>
      <c r="I2598" s="165">
        <v>18</v>
      </c>
      <c r="J2598" s="312">
        <v>60</v>
      </c>
      <c r="K2598" s="150">
        <v>1</v>
      </c>
      <c r="L2598" s="656">
        <v>18</v>
      </c>
      <c r="M2598" s="663">
        <v>35549</v>
      </c>
      <c r="N2598" s="600">
        <v>6.2571099999999999</v>
      </c>
      <c r="O2598" s="604">
        <v>1.2175E-2</v>
      </c>
      <c r="P2598" s="150"/>
      <c r="Q2598" s="250"/>
      <c r="R2598" s="250"/>
      <c r="S2598" s="250"/>
      <c r="T2598" s="250">
        <v>5.7999999999999996E-2</v>
      </c>
      <c r="U2598" s="250">
        <v>0.21600000000000003</v>
      </c>
      <c r="V2598" s="250">
        <v>0.35511999999999999</v>
      </c>
      <c r="W2598" s="250">
        <v>0.24671999999999999</v>
      </c>
      <c r="X2598" s="250">
        <v>0.11519</v>
      </c>
      <c r="Y2598" s="250">
        <v>9.2100000000000012E-3</v>
      </c>
      <c r="Z2598" s="150">
        <v>10</v>
      </c>
      <c r="AA2598" s="150">
        <v>1.29</v>
      </c>
      <c r="AB2598" s="152"/>
      <c r="AC2598" s="152"/>
      <c r="AD2598" s="223">
        <v>13.71555</v>
      </c>
      <c r="AE2598" s="223">
        <v>0.53947829999999997</v>
      </c>
      <c r="AF2598" s="223">
        <v>7.4129411999999997</v>
      </c>
      <c r="AG2598" s="223">
        <v>0.84122039999999998</v>
      </c>
      <c r="AH2598" s="341"/>
      <c r="AI2598" s="218"/>
      <c r="AJ2598" s="218"/>
      <c r="AK2598" s="153"/>
      <c r="AL2598" s="152"/>
      <c r="AM2598" s="152"/>
      <c r="AN2598" s="152"/>
      <c r="AO2598" s="152"/>
      <c r="AP2598" s="152"/>
      <c r="AQ2598" s="152"/>
      <c r="AR2598" s="152"/>
      <c r="AS2598" s="152"/>
      <c r="AT2598" s="152"/>
      <c r="AU2598" s="153"/>
      <c r="AV2598" s="479"/>
      <c r="AW2598" s="479"/>
      <c r="AX2598" s="442"/>
      <c r="AY2598" s="153"/>
      <c r="AZ2598" s="152"/>
      <c r="BA2598" s="152"/>
      <c r="BB2598" s="152"/>
      <c r="BC2598" s="152"/>
      <c r="BD2598" s="152"/>
      <c r="BE2598" s="152"/>
      <c r="BF2598" s="152"/>
      <c r="BG2598" s="152"/>
      <c r="BH2598" s="152"/>
      <c r="BI2598" s="153"/>
      <c r="BJ2598" s="153"/>
      <c r="BK2598" s="153"/>
      <c r="BL2598" s="153"/>
      <c r="BM2598" s="153"/>
      <c r="BN2598" s="153"/>
      <c r="BO2598" s="153"/>
      <c r="BP2598" s="153"/>
      <c r="BQ2598" s="153"/>
      <c r="BR2598" s="153"/>
      <c r="BS2598" s="153"/>
      <c r="BT2598" s="153"/>
      <c r="BU2598" s="153"/>
      <c r="BV2598" s="153"/>
      <c r="BW2598" s="153"/>
      <c r="BX2598" s="153"/>
      <c r="BY2598" s="153"/>
      <c r="BZ2598" s="153"/>
      <c r="CA2598" s="152"/>
      <c r="CB2598" s="152"/>
    </row>
    <row r="2599" spans="1:80" s="87" customFormat="1" ht="15" x14ac:dyDescent="0.25">
      <c r="A2599" s="152"/>
      <c r="B2599" s="683"/>
      <c r="C2599" s="683"/>
      <c r="D2599" s="698"/>
      <c r="E2599" s="215"/>
      <c r="F2599" s="215"/>
      <c r="G2599" s="153"/>
      <c r="H2599" s="153"/>
      <c r="I2599" s="165">
        <v>18</v>
      </c>
      <c r="J2599" s="312">
        <v>60</v>
      </c>
      <c r="K2599" s="150">
        <v>1</v>
      </c>
      <c r="L2599" s="656">
        <v>18</v>
      </c>
      <c r="M2599" s="663">
        <v>35559</v>
      </c>
      <c r="N2599" s="600">
        <v>7.3896199999999999</v>
      </c>
      <c r="O2599" s="604">
        <v>7.7559999999999999E-3</v>
      </c>
      <c r="P2599" s="150"/>
      <c r="Q2599" s="250"/>
      <c r="R2599" s="250"/>
      <c r="S2599" s="250">
        <v>1.7000000000000001E-2</v>
      </c>
      <c r="T2599" s="250">
        <v>8.0000000000000002E-3</v>
      </c>
      <c r="U2599" s="250">
        <v>5.2000000000000005E-2</v>
      </c>
      <c r="V2599" s="250">
        <v>0.14995</v>
      </c>
      <c r="W2599" s="250">
        <v>0.38058999999999998</v>
      </c>
      <c r="X2599" s="250">
        <v>0.37752000000000002</v>
      </c>
      <c r="Y2599" s="250">
        <v>1.414E-2</v>
      </c>
      <c r="Z2599" s="150">
        <v>9</v>
      </c>
      <c r="AA2599" s="150">
        <v>0.61</v>
      </c>
      <c r="AB2599" s="152"/>
      <c r="AC2599" s="152"/>
      <c r="AD2599" s="223">
        <v>13.71555</v>
      </c>
      <c r="AE2599" s="223">
        <v>0.57605309999999998</v>
      </c>
      <c r="AF2599" s="223">
        <v>7.8959900000000003</v>
      </c>
      <c r="AG2599" s="223">
        <v>0.95704060000000002</v>
      </c>
      <c r="AH2599" s="341"/>
      <c r="AI2599" s="218"/>
      <c r="AJ2599" s="218"/>
      <c r="AK2599" s="153"/>
      <c r="AL2599" s="152"/>
      <c r="AM2599" s="152"/>
      <c r="AN2599" s="152"/>
      <c r="AO2599" s="152"/>
      <c r="AP2599" s="152"/>
      <c r="AQ2599" s="152"/>
      <c r="AR2599" s="152"/>
      <c r="AS2599" s="152"/>
      <c r="AT2599" s="152"/>
      <c r="AU2599" s="153"/>
      <c r="AV2599" s="479"/>
      <c r="AW2599" s="479"/>
      <c r="AX2599" s="442"/>
      <c r="AY2599" s="153"/>
      <c r="AZ2599" s="152"/>
      <c r="BA2599" s="152"/>
      <c r="BB2599" s="152"/>
      <c r="BC2599" s="152"/>
      <c r="BD2599" s="152"/>
      <c r="BE2599" s="152"/>
      <c r="BF2599" s="152"/>
      <c r="BG2599" s="152"/>
      <c r="BH2599" s="152"/>
      <c r="BI2599" s="153"/>
      <c r="BJ2599" s="153"/>
      <c r="BK2599" s="153"/>
      <c r="BL2599" s="153"/>
      <c r="BM2599" s="153"/>
      <c r="BN2599" s="153"/>
      <c r="BO2599" s="153"/>
      <c r="BP2599" s="153"/>
      <c r="BQ2599" s="153"/>
      <c r="BR2599" s="153"/>
      <c r="BS2599" s="153"/>
      <c r="BT2599" s="153"/>
      <c r="BU2599" s="153"/>
      <c r="BV2599" s="153"/>
      <c r="BW2599" s="153"/>
      <c r="BX2599" s="153"/>
      <c r="BY2599" s="153"/>
      <c r="BZ2599" s="153"/>
      <c r="CA2599" s="152"/>
      <c r="CB2599" s="152"/>
    </row>
    <row r="2600" spans="1:80" s="87" customFormat="1" ht="15" x14ac:dyDescent="0.25">
      <c r="A2600" s="152"/>
      <c r="B2600" s="683"/>
      <c r="C2600" s="683"/>
      <c r="D2600" s="698"/>
      <c r="E2600" s="215"/>
      <c r="F2600" s="215"/>
      <c r="G2600" s="153"/>
      <c r="H2600" s="153"/>
      <c r="I2600" s="165">
        <v>20</v>
      </c>
      <c r="J2600" s="312">
        <v>60</v>
      </c>
      <c r="K2600" s="150">
        <v>1</v>
      </c>
      <c r="L2600" s="656">
        <v>20</v>
      </c>
      <c r="M2600" s="663">
        <v>35566</v>
      </c>
      <c r="N2600" s="600">
        <v>18.318300000000001</v>
      </c>
      <c r="O2600" s="604">
        <v>9.3307000000000001E-2</v>
      </c>
      <c r="P2600" s="150"/>
      <c r="Q2600" s="250"/>
      <c r="R2600" s="250">
        <v>0.20199999999999999</v>
      </c>
      <c r="S2600" s="250">
        <v>0.13800000000000001</v>
      </c>
      <c r="T2600" s="250">
        <v>7.9000000000000001E-2</v>
      </c>
      <c r="U2600" s="250">
        <v>9.3000000000000013E-2</v>
      </c>
      <c r="V2600" s="250">
        <v>0.14080999999999999</v>
      </c>
      <c r="W2600" s="250">
        <v>0.21121999999999999</v>
      </c>
      <c r="X2600" s="250">
        <v>0.13158</v>
      </c>
      <c r="Y2600" s="250">
        <v>3.5899999999999999E-3</v>
      </c>
      <c r="Z2600" s="150">
        <v>30</v>
      </c>
      <c r="AA2600" s="150">
        <v>2.2000000000000002</v>
      </c>
      <c r="AB2600" s="152"/>
      <c r="AC2600" s="152"/>
      <c r="AD2600" s="223">
        <v>14.477525</v>
      </c>
      <c r="AE2600" s="223">
        <v>0.67358589999999996</v>
      </c>
      <c r="AF2600" s="223">
        <v>9.7538699999999992</v>
      </c>
      <c r="AG2600" s="223">
        <v>1.8256920999999999</v>
      </c>
      <c r="AH2600" s="341"/>
      <c r="AI2600" s="218"/>
      <c r="AJ2600" s="218"/>
      <c r="AK2600" s="153"/>
      <c r="AL2600" s="152"/>
      <c r="AM2600" s="152"/>
      <c r="AN2600" s="152"/>
      <c r="AO2600" s="152"/>
      <c r="AP2600" s="152"/>
      <c r="AQ2600" s="152"/>
      <c r="AR2600" s="152"/>
      <c r="AS2600" s="152"/>
      <c r="AT2600" s="152"/>
      <c r="AU2600" s="153"/>
      <c r="AV2600" s="479"/>
      <c r="AW2600" s="479"/>
      <c r="AX2600" s="442"/>
      <c r="AY2600" s="153"/>
      <c r="AZ2600" s="152"/>
      <c r="BA2600" s="152"/>
      <c r="BB2600" s="152"/>
      <c r="BC2600" s="152"/>
      <c r="BD2600" s="152"/>
      <c r="BE2600" s="152"/>
      <c r="BF2600" s="152"/>
      <c r="BG2600" s="152"/>
      <c r="BH2600" s="152"/>
      <c r="BI2600" s="153"/>
      <c r="BJ2600" s="153"/>
      <c r="BK2600" s="153"/>
      <c r="BL2600" s="153"/>
      <c r="BM2600" s="153"/>
      <c r="BN2600" s="153"/>
      <c r="BO2600" s="153"/>
      <c r="BP2600" s="153"/>
      <c r="BQ2600" s="153"/>
      <c r="BR2600" s="153"/>
      <c r="BS2600" s="153"/>
      <c r="BT2600" s="153"/>
      <c r="BU2600" s="153"/>
      <c r="BV2600" s="153"/>
      <c r="BW2600" s="153"/>
      <c r="BX2600" s="153"/>
      <c r="BY2600" s="153"/>
      <c r="BZ2600" s="153"/>
      <c r="CA2600" s="152"/>
      <c r="CB2600" s="152"/>
    </row>
    <row r="2601" spans="1:80" s="87" customFormat="1" ht="15" x14ac:dyDescent="0.25">
      <c r="A2601" s="152"/>
      <c r="B2601" s="683"/>
      <c r="C2601" s="683"/>
      <c r="D2601" s="698"/>
      <c r="E2601" s="215"/>
      <c r="F2601" s="215"/>
      <c r="G2601" s="153"/>
      <c r="H2601" s="153"/>
      <c r="I2601" s="165">
        <v>17</v>
      </c>
      <c r="J2601" s="312">
        <v>30</v>
      </c>
      <c r="K2601" s="150">
        <v>1</v>
      </c>
      <c r="L2601" s="656">
        <v>8.5</v>
      </c>
      <c r="M2601" s="663">
        <v>35570</v>
      </c>
      <c r="N2601" s="600">
        <v>15.119</v>
      </c>
      <c r="O2601" s="604">
        <v>1.6792999999999999E-2</v>
      </c>
      <c r="P2601" s="150"/>
      <c r="Q2601" s="250"/>
      <c r="R2601" s="250"/>
      <c r="S2601" s="250"/>
      <c r="T2601" s="250">
        <v>6.0000000000000001E-3</v>
      </c>
      <c r="U2601" s="250">
        <v>0.08</v>
      </c>
      <c r="V2601" s="250">
        <v>0.1157</v>
      </c>
      <c r="W2601" s="250">
        <v>0.21599000000000002</v>
      </c>
      <c r="X2601" s="250">
        <v>0.52261000000000002</v>
      </c>
      <c r="Y2601" s="250">
        <v>6.0010000000000001E-2</v>
      </c>
      <c r="Z2601" s="150">
        <v>5</v>
      </c>
      <c r="AA2601" s="150">
        <v>0.45</v>
      </c>
      <c r="AB2601" s="152"/>
      <c r="AC2601" s="152"/>
      <c r="AD2601" s="223">
        <v>14.020339999999999</v>
      </c>
      <c r="AE2601" s="223">
        <v>0.701017</v>
      </c>
      <c r="AF2601" s="223">
        <v>9.8467640000000003</v>
      </c>
      <c r="AG2601" s="223">
        <v>1.5209021</v>
      </c>
      <c r="AH2601" s="341"/>
      <c r="AI2601" s="218"/>
      <c r="AJ2601" s="218"/>
      <c r="AK2601" s="153"/>
      <c r="AL2601" s="152"/>
      <c r="AM2601" s="152"/>
      <c r="AN2601" s="152"/>
      <c r="AO2601" s="152"/>
      <c r="AP2601" s="152"/>
      <c r="AQ2601" s="152"/>
      <c r="AR2601" s="152"/>
      <c r="AS2601" s="152"/>
      <c r="AT2601" s="152"/>
      <c r="AU2601" s="153"/>
      <c r="AV2601" s="479"/>
      <c r="AW2601" s="479"/>
      <c r="AX2601" s="442"/>
      <c r="AY2601" s="153"/>
      <c r="AZ2601" s="152"/>
      <c r="BA2601" s="152"/>
      <c r="BB2601" s="152"/>
      <c r="BC2601" s="152"/>
      <c r="BD2601" s="152"/>
      <c r="BE2601" s="152"/>
      <c r="BF2601" s="152"/>
      <c r="BG2601" s="152"/>
      <c r="BH2601" s="152"/>
      <c r="BI2601" s="153"/>
      <c r="BJ2601" s="153"/>
      <c r="BK2601" s="153"/>
      <c r="BL2601" s="153"/>
      <c r="BM2601" s="153"/>
      <c r="BN2601" s="153"/>
      <c r="BO2601" s="153"/>
      <c r="BP2601" s="153"/>
      <c r="BQ2601" s="153"/>
      <c r="BR2601" s="153"/>
      <c r="BS2601" s="153"/>
      <c r="BT2601" s="153"/>
      <c r="BU2601" s="153"/>
      <c r="BV2601" s="153"/>
      <c r="BW2601" s="153"/>
      <c r="BX2601" s="153"/>
      <c r="BY2601" s="153"/>
      <c r="BZ2601" s="153"/>
      <c r="CA2601" s="152"/>
      <c r="CB2601" s="152"/>
    </row>
    <row r="2602" spans="1:80" s="87" customFormat="1" ht="15" x14ac:dyDescent="0.25">
      <c r="A2602" s="152"/>
      <c r="B2602" s="683"/>
      <c r="C2602" s="683"/>
      <c r="D2602" s="698"/>
      <c r="E2602" s="215"/>
      <c r="F2602" s="215"/>
      <c r="G2602" s="153"/>
      <c r="H2602" s="153"/>
      <c r="I2602" s="165">
        <v>20</v>
      </c>
      <c r="J2602" s="312">
        <v>60</v>
      </c>
      <c r="K2602" s="150">
        <v>1</v>
      </c>
      <c r="L2602" s="656">
        <v>20</v>
      </c>
      <c r="M2602" s="663">
        <v>35579</v>
      </c>
      <c r="N2602" s="600">
        <v>14.241300000000001</v>
      </c>
      <c r="O2602" s="604">
        <v>2.4035000000000001E-2</v>
      </c>
      <c r="P2602" s="150"/>
      <c r="Q2602" s="250"/>
      <c r="R2602" s="250"/>
      <c r="S2602" s="250">
        <v>8.900000000000001E-2</v>
      </c>
      <c r="T2602" s="250">
        <v>6.2E-2</v>
      </c>
      <c r="U2602" s="250">
        <v>0.14300000000000002</v>
      </c>
      <c r="V2602" s="250">
        <v>0.21690999999999999</v>
      </c>
      <c r="W2602" s="250">
        <v>0.28981999999999997</v>
      </c>
      <c r="X2602" s="250">
        <v>0.19419</v>
      </c>
      <c r="Y2602" s="250">
        <v>4.8700000000000002E-3</v>
      </c>
      <c r="Z2602" s="150">
        <v>14</v>
      </c>
      <c r="AA2602" s="150">
        <v>1.04</v>
      </c>
      <c r="AB2602" s="152"/>
      <c r="AC2602" s="152"/>
      <c r="AD2602" s="223">
        <v>14.172734999999999</v>
      </c>
      <c r="AE2602" s="223">
        <v>0.64310690000000004</v>
      </c>
      <c r="AF2602" s="223">
        <v>9.1129014000000002</v>
      </c>
      <c r="AG2602" s="223">
        <v>1.4690878000000001</v>
      </c>
      <c r="AH2602" s="341"/>
      <c r="AI2602" s="218"/>
      <c r="AJ2602" s="218"/>
      <c r="AK2602" s="153"/>
      <c r="AL2602" s="152"/>
      <c r="AM2602" s="152"/>
      <c r="AN2602" s="152"/>
      <c r="AO2602" s="152"/>
      <c r="AP2602" s="152"/>
      <c r="AQ2602" s="152"/>
      <c r="AR2602" s="152"/>
      <c r="AS2602" s="152"/>
      <c r="AT2602" s="152"/>
      <c r="AU2602" s="153"/>
      <c r="AV2602" s="479"/>
      <c r="AW2602" s="479"/>
      <c r="AX2602" s="442"/>
      <c r="AY2602" s="153"/>
      <c r="AZ2602" s="152"/>
      <c r="BA2602" s="152"/>
      <c r="BB2602" s="152"/>
      <c r="BC2602" s="152"/>
      <c r="BD2602" s="152"/>
      <c r="BE2602" s="152"/>
      <c r="BF2602" s="152"/>
      <c r="BG2602" s="152"/>
      <c r="BH2602" s="152"/>
      <c r="BI2602" s="153"/>
      <c r="BJ2602" s="153"/>
      <c r="BK2602" s="153"/>
      <c r="BL2602" s="153"/>
      <c r="BM2602" s="153"/>
      <c r="BN2602" s="153"/>
      <c r="BO2602" s="153"/>
      <c r="BP2602" s="153"/>
      <c r="BQ2602" s="153"/>
      <c r="BR2602" s="153"/>
      <c r="BS2602" s="153"/>
      <c r="BT2602" s="153"/>
      <c r="BU2602" s="153"/>
      <c r="BV2602" s="153"/>
      <c r="BW2602" s="153"/>
      <c r="BX2602" s="153"/>
      <c r="BY2602" s="153"/>
      <c r="BZ2602" s="153"/>
      <c r="CA2602" s="152"/>
      <c r="CB2602" s="152"/>
    </row>
    <row r="2603" spans="1:80" s="87" customFormat="1" ht="15" x14ac:dyDescent="0.25">
      <c r="A2603" s="152"/>
      <c r="B2603" s="683"/>
      <c r="C2603" s="683"/>
      <c r="D2603" s="698"/>
      <c r="E2603" s="215"/>
      <c r="F2603" s="215"/>
      <c r="G2603" s="153"/>
      <c r="H2603" s="153"/>
      <c r="I2603" s="165">
        <v>17</v>
      </c>
      <c r="J2603" s="312">
        <v>60</v>
      </c>
      <c r="K2603" s="150">
        <v>1</v>
      </c>
      <c r="L2603" s="656">
        <v>17</v>
      </c>
      <c r="M2603" s="663">
        <v>35587</v>
      </c>
      <c r="N2603" s="600">
        <v>11.2401</v>
      </c>
      <c r="O2603" s="604">
        <v>7.1580000000000003E-3</v>
      </c>
      <c r="P2603" s="150"/>
      <c r="Q2603" s="250"/>
      <c r="R2603" s="250"/>
      <c r="S2603" s="250"/>
      <c r="T2603" s="250">
        <v>2.7000000000000003E-2</v>
      </c>
      <c r="U2603" s="250">
        <v>9.0999999999999998E-2</v>
      </c>
      <c r="V2603" s="250">
        <v>0.17951</v>
      </c>
      <c r="W2603" s="250">
        <v>0.40433999999999998</v>
      </c>
      <c r="X2603" s="250">
        <v>0.28984000000000004</v>
      </c>
      <c r="Y2603" s="250">
        <v>8.3199999999999993E-3</v>
      </c>
      <c r="Z2603" s="150">
        <v>8</v>
      </c>
      <c r="AA2603" s="150">
        <v>0.71</v>
      </c>
      <c r="AB2603" s="152"/>
      <c r="AC2603" s="152"/>
      <c r="AD2603" s="223">
        <v>14.172734999999999</v>
      </c>
      <c r="AE2603" s="223">
        <v>0.60958000000000001</v>
      </c>
      <c r="AF2603" s="223">
        <v>8.6391419999999997</v>
      </c>
      <c r="AG2603" s="223">
        <v>1.2923096000000001</v>
      </c>
      <c r="AH2603" s="341"/>
      <c r="AI2603" s="218"/>
      <c r="AJ2603" s="218"/>
      <c r="AK2603" s="153"/>
      <c r="AL2603" s="152"/>
      <c r="AM2603" s="152"/>
      <c r="AN2603" s="152"/>
      <c r="AO2603" s="152"/>
      <c r="AP2603" s="152"/>
      <c r="AQ2603" s="152"/>
      <c r="AR2603" s="152"/>
      <c r="AS2603" s="152"/>
      <c r="AT2603" s="152"/>
      <c r="AU2603" s="153"/>
      <c r="AV2603" s="479"/>
      <c r="AW2603" s="479"/>
      <c r="AX2603" s="442"/>
      <c r="AY2603" s="153"/>
      <c r="AZ2603" s="152"/>
      <c r="BA2603" s="152"/>
      <c r="BB2603" s="152"/>
      <c r="BC2603" s="152"/>
      <c r="BD2603" s="152"/>
      <c r="BE2603" s="152"/>
      <c r="BF2603" s="152"/>
      <c r="BG2603" s="152"/>
      <c r="BH2603" s="152"/>
      <c r="BI2603" s="153"/>
      <c r="BJ2603" s="153"/>
      <c r="BK2603" s="153"/>
      <c r="BL2603" s="153"/>
      <c r="BM2603" s="153"/>
      <c r="BN2603" s="153"/>
      <c r="BO2603" s="153"/>
      <c r="BP2603" s="153"/>
      <c r="BQ2603" s="153"/>
      <c r="BR2603" s="153"/>
      <c r="BS2603" s="153"/>
      <c r="BT2603" s="153"/>
      <c r="BU2603" s="153"/>
      <c r="BV2603" s="153"/>
      <c r="BW2603" s="153"/>
      <c r="BX2603" s="153"/>
      <c r="BY2603" s="153"/>
      <c r="BZ2603" s="153"/>
      <c r="CA2603" s="152"/>
      <c r="CB2603" s="152"/>
    </row>
    <row r="2604" spans="1:80" s="87" customFormat="1" ht="15" x14ac:dyDescent="0.25">
      <c r="A2604" s="152"/>
      <c r="B2604" s="683"/>
      <c r="C2604" s="683"/>
      <c r="D2604" s="698"/>
      <c r="E2604" s="215"/>
      <c r="F2604" s="215"/>
      <c r="G2604" s="153"/>
      <c r="H2604" s="153"/>
      <c r="I2604" s="165">
        <v>18</v>
      </c>
      <c r="J2604" s="312">
        <v>60</v>
      </c>
      <c r="K2604" s="150">
        <v>1</v>
      </c>
      <c r="L2604" s="656">
        <v>18</v>
      </c>
      <c r="M2604" s="663">
        <v>35593</v>
      </c>
      <c r="N2604" s="600">
        <v>14.779199999999999</v>
      </c>
      <c r="O2604" s="604">
        <v>2.477E-2</v>
      </c>
      <c r="P2604" s="150"/>
      <c r="Q2604" s="250"/>
      <c r="R2604" s="250"/>
      <c r="S2604" s="250">
        <v>2.5000000000000001E-2</v>
      </c>
      <c r="T2604" s="250">
        <v>8.199999999999999E-2</v>
      </c>
      <c r="U2604" s="250">
        <v>0.185</v>
      </c>
      <c r="V2604" s="250">
        <v>0.24997</v>
      </c>
      <c r="W2604" s="250">
        <v>0.30115999999999998</v>
      </c>
      <c r="X2604" s="250">
        <v>0.15154000000000001</v>
      </c>
      <c r="Y2604" s="250">
        <v>5.0699999999999999E-3</v>
      </c>
      <c r="Z2604" s="150">
        <v>9</v>
      </c>
      <c r="AA2604" s="150">
        <v>1.1200000000000001</v>
      </c>
      <c r="AB2604" s="152"/>
      <c r="AC2604" s="152"/>
      <c r="AD2604" s="223">
        <v>14.477525</v>
      </c>
      <c r="AE2604" s="223">
        <v>0.65529850000000001</v>
      </c>
      <c r="AF2604" s="223">
        <v>9.4751879999999993</v>
      </c>
      <c r="AG2604" s="223">
        <v>1.4508004000000001</v>
      </c>
      <c r="AH2604" s="341"/>
      <c r="AI2604" s="218"/>
      <c r="AJ2604" s="218"/>
      <c r="AK2604" s="153"/>
      <c r="AL2604" s="152"/>
      <c r="AM2604" s="152"/>
      <c r="AN2604" s="152"/>
      <c r="AO2604" s="152"/>
      <c r="AP2604" s="152"/>
      <c r="AQ2604" s="152"/>
      <c r="AR2604" s="152"/>
      <c r="AS2604" s="152"/>
      <c r="AT2604" s="152"/>
      <c r="AU2604" s="153"/>
      <c r="AV2604" s="479"/>
      <c r="AW2604" s="479"/>
      <c r="AX2604" s="442"/>
      <c r="AY2604" s="153"/>
      <c r="AZ2604" s="152"/>
      <c r="BA2604" s="152"/>
      <c r="BB2604" s="152"/>
      <c r="BC2604" s="152"/>
      <c r="BD2604" s="152"/>
      <c r="BE2604" s="152"/>
      <c r="BF2604" s="152"/>
      <c r="BG2604" s="152"/>
      <c r="BH2604" s="152"/>
      <c r="BI2604" s="153"/>
      <c r="BJ2604" s="153"/>
      <c r="BK2604" s="153"/>
      <c r="BL2604" s="153"/>
      <c r="BM2604" s="153"/>
      <c r="BN2604" s="153"/>
      <c r="BO2604" s="153"/>
      <c r="BP2604" s="153"/>
      <c r="BQ2604" s="153"/>
      <c r="BR2604" s="153"/>
      <c r="BS2604" s="153"/>
      <c r="BT2604" s="153"/>
      <c r="BU2604" s="153"/>
      <c r="BV2604" s="153"/>
      <c r="BW2604" s="153"/>
      <c r="BX2604" s="153"/>
      <c r="BY2604" s="153"/>
      <c r="BZ2604" s="153"/>
      <c r="CA2604" s="152"/>
      <c r="CB2604" s="152"/>
    </row>
    <row r="2605" spans="1:80" s="87" customFormat="1" ht="15" x14ac:dyDescent="0.25">
      <c r="A2605" s="152"/>
      <c r="B2605" s="683"/>
      <c r="C2605" s="683"/>
      <c r="D2605" s="698"/>
      <c r="E2605" s="215"/>
      <c r="F2605" s="215"/>
      <c r="G2605" s="153"/>
      <c r="H2605" s="153"/>
      <c r="I2605" s="165">
        <v>16</v>
      </c>
      <c r="J2605" s="312">
        <v>60</v>
      </c>
      <c r="K2605" s="150">
        <v>1</v>
      </c>
      <c r="L2605" s="656">
        <v>16</v>
      </c>
      <c r="M2605" s="663">
        <v>35605</v>
      </c>
      <c r="N2605" s="600">
        <v>6.5402300000000002</v>
      </c>
      <c r="O2605" s="604">
        <v>1.155E-3</v>
      </c>
      <c r="P2605" s="150"/>
      <c r="Q2605" s="250"/>
      <c r="R2605" s="250"/>
      <c r="S2605" s="250"/>
      <c r="T2605" s="250">
        <v>7.8E-2</v>
      </c>
      <c r="U2605" s="250">
        <v>5.2999999999999999E-2</v>
      </c>
      <c r="V2605" s="250">
        <v>0.17425000000000002</v>
      </c>
      <c r="W2605" s="250">
        <v>0.31729000000000002</v>
      </c>
      <c r="X2605" s="250">
        <v>0.33159999999999995</v>
      </c>
      <c r="Y2605" s="250">
        <v>4.5510000000000002E-2</v>
      </c>
      <c r="Z2605" s="150"/>
      <c r="AA2605" s="150">
        <v>0.65</v>
      </c>
      <c r="AB2605" s="152"/>
      <c r="AC2605" s="152"/>
      <c r="AD2605" s="223">
        <v>13.563155</v>
      </c>
      <c r="AE2605" s="223">
        <v>0.51204720000000004</v>
      </c>
      <c r="AF2605" s="223">
        <v>6.9298924</v>
      </c>
      <c r="AG2605" s="223">
        <v>0.93570529999999996</v>
      </c>
      <c r="AH2605" s="341"/>
      <c r="AI2605" s="218"/>
      <c r="AJ2605" s="218"/>
      <c r="AK2605" s="153"/>
      <c r="AL2605" s="152"/>
      <c r="AM2605" s="152"/>
      <c r="AN2605" s="152"/>
      <c r="AO2605" s="152"/>
      <c r="AP2605" s="152"/>
      <c r="AQ2605" s="152"/>
      <c r="AR2605" s="152"/>
      <c r="AS2605" s="152"/>
      <c r="AT2605" s="152"/>
      <c r="AU2605" s="153"/>
      <c r="AV2605" s="479"/>
      <c r="AW2605" s="479"/>
      <c r="AX2605" s="442"/>
      <c r="AY2605" s="153"/>
      <c r="AZ2605" s="152"/>
      <c r="BA2605" s="152"/>
      <c r="BB2605" s="152"/>
      <c r="BC2605" s="152"/>
      <c r="BD2605" s="152"/>
      <c r="BE2605" s="152"/>
      <c r="BF2605" s="152"/>
      <c r="BG2605" s="152"/>
      <c r="BH2605" s="152"/>
      <c r="BI2605" s="153"/>
      <c r="BJ2605" s="153"/>
      <c r="BK2605" s="153"/>
      <c r="BL2605" s="153"/>
      <c r="BM2605" s="153"/>
      <c r="BN2605" s="153"/>
      <c r="BO2605" s="153"/>
      <c r="BP2605" s="153"/>
      <c r="BQ2605" s="153"/>
      <c r="BR2605" s="153"/>
      <c r="BS2605" s="153"/>
      <c r="BT2605" s="153"/>
      <c r="BU2605" s="153"/>
      <c r="BV2605" s="153"/>
      <c r="BW2605" s="153"/>
      <c r="BX2605" s="153"/>
      <c r="BY2605" s="153"/>
      <c r="BZ2605" s="153"/>
      <c r="CA2605" s="152"/>
      <c r="CB2605" s="152"/>
    </row>
    <row r="2606" spans="1:80" s="87" customFormat="1" ht="15" x14ac:dyDescent="0.25">
      <c r="A2606" s="152"/>
      <c r="B2606" s="683"/>
      <c r="C2606" s="683"/>
      <c r="D2606" s="698"/>
      <c r="E2606" s="215"/>
      <c r="F2606" s="215"/>
      <c r="G2606" s="153"/>
      <c r="H2606" s="153"/>
      <c r="I2606" s="165">
        <v>20</v>
      </c>
      <c r="J2606" s="312">
        <v>60</v>
      </c>
      <c r="K2606" s="150">
        <v>1</v>
      </c>
      <c r="L2606" s="656">
        <v>20</v>
      </c>
      <c r="M2606" s="663">
        <v>35635</v>
      </c>
      <c r="N2606" s="600">
        <v>3.0577700000000001</v>
      </c>
      <c r="O2606" s="604">
        <v>1.9417E-2</v>
      </c>
      <c r="P2606" s="150"/>
      <c r="Q2606" s="250"/>
      <c r="R2606" s="250"/>
      <c r="S2606" s="250">
        <v>5.7999999999999996E-2</v>
      </c>
      <c r="T2606" s="250">
        <v>0.115</v>
      </c>
      <c r="U2606" s="250">
        <v>9.6000000000000002E-2</v>
      </c>
      <c r="V2606" s="250">
        <v>0.12189</v>
      </c>
      <c r="W2606" s="250">
        <v>0.31122</v>
      </c>
      <c r="X2606" s="250">
        <v>0.28506999999999999</v>
      </c>
      <c r="Y2606" s="250">
        <v>1.294E-2</v>
      </c>
      <c r="Z2606" s="150">
        <v>22</v>
      </c>
      <c r="AA2606" s="150">
        <v>0.78</v>
      </c>
      <c r="AB2606" s="152"/>
      <c r="AC2606" s="152"/>
      <c r="AD2606" s="223">
        <v>12.191599999999999</v>
      </c>
      <c r="AE2606" s="223">
        <v>0.44194549999999999</v>
      </c>
      <c r="AF2606" s="223">
        <v>5.3785626000000004</v>
      </c>
      <c r="AG2606" s="223">
        <v>0.55776570000000003</v>
      </c>
      <c r="AH2606" s="341"/>
      <c r="AI2606" s="218"/>
      <c r="AJ2606" s="218"/>
      <c r="AK2606" s="153"/>
      <c r="AL2606" s="152"/>
      <c r="AM2606" s="152"/>
      <c r="AN2606" s="152"/>
      <c r="AO2606" s="152"/>
      <c r="AP2606" s="152"/>
      <c r="AQ2606" s="152"/>
      <c r="AR2606" s="152"/>
      <c r="AS2606" s="152"/>
      <c r="AT2606" s="152"/>
      <c r="AU2606" s="153"/>
      <c r="AV2606" s="479"/>
      <c r="AW2606" s="479"/>
      <c r="AX2606" s="442"/>
      <c r="AY2606" s="153"/>
      <c r="AZ2606" s="152"/>
      <c r="BA2606" s="152"/>
      <c r="BB2606" s="152"/>
      <c r="BC2606" s="152"/>
      <c r="BD2606" s="152"/>
      <c r="BE2606" s="152"/>
      <c r="BF2606" s="152"/>
      <c r="BG2606" s="152"/>
      <c r="BH2606" s="152"/>
      <c r="BI2606" s="153"/>
      <c r="BJ2606" s="153"/>
      <c r="BK2606" s="153"/>
      <c r="BL2606" s="153"/>
      <c r="BM2606" s="153"/>
      <c r="BN2606" s="153"/>
      <c r="BO2606" s="153"/>
      <c r="BP2606" s="153"/>
      <c r="BQ2606" s="153"/>
      <c r="BR2606" s="153"/>
      <c r="BS2606" s="153"/>
      <c r="BT2606" s="153"/>
      <c r="BU2606" s="153"/>
      <c r="BV2606" s="153"/>
      <c r="BW2606" s="153"/>
      <c r="BX2606" s="153"/>
      <c r="BY2606" s="153"/>
      <c r="BZ2606" s="153"/>
      <c r="CA2606" s="152"/>
      <c r="CB2606" s="152"/>
    </row>
    <row r="2607" spans="1:80" s="87" customFormat="1" ht="15" x14ac:dyDescent="0.25">
      <c r="A2607" s="152"/>
      <c r="B2607" s="683"/>
      <c r="C2607" s="683"/>
      <c r="D2607" s="698"/>
      <c r="E2607" s="215"/>
      <c r="F2607" s="215"/>
      <c r="G2607" s="153"/>
      <c r="H2607" s="153"/>
      <c r="I2607" s="165">
        <v>21</v>
      </c>
      <c r="J2607" s="312">
        <v>60</v>
      </c>
      <c r="K2607" s="150">
        <v>1</v>
      </c>
      <c r="L2607" s="656">
        <v>21</v>
      </c>
      <c r="M2607" s="663">
        <v>35678</v>
      </c>
      <c r="N2607" s="600">
        <v>1.1268499999999999</v>
      </c>
      <c r="O2607" s="604">
        <v>2.4979999999999998E-3</v>
      </c>
      <c r="P2607" s="150"/>
      <c r="Q2607" s="250"/>
      <c r="R2607" s="250"/>
      <c r="S2607" s="250">
        <v>8.3000000000000004E-2</v>
      </c>
      <c r="T2607" s="250">
        <v>0.14899999999999999</v>
      </c>
      <c r="U2607" s="250">
        <v>7.5999999999999998E-2</v>
      </c>
      <c r="V2607" s="250">
        <v>9.5238095238095261E-2</v>
      </c>
      <c r="W2607" s="250">
        <v>0.36174469787915164</v>
      </c>
      <c r="X2607" s="250">
        <v>0.21928771508603448</v>
      </c>
      <c r="Y2607" s="250">
        <v>1.5206082432973191E-2</v>
      </c>
      <c r="Z2607" s="150">
        <v>9</v>
      </c>
      <c r="AA2607" s="150">
        <v>0.83</v>
      </c>
      <c r="AB2607" s="152"/>
      <c r="AC2607" s="152"/>
      <c r="AD2607" s="223">
        <v>10.058070000000001</v>
      </c>
      <c r="AE2607" s="223">
        <v>0.3291732</v>
      </c>
      <c r="AF2607" s="223">
        <v>3.3070263999999998</v>
      </c>
      <c r="AG2607" s="223">
        <v>0.33831689999999998</v>
      </c>
      <c r="AH2607" s="341"/>
      <c r="AI2607" s="218"/>
      <c r="AJ2607" s="218"/>
      <c r="AK2607" s="153"/>
      <c r="AL2607" s="152"/>
      <c r="AM2607" s="152"/>
      <c r="AN2607" s="152"/>
      <c r="AO2607" s="152"/>
      <c r="AP2607" s="152"/>
      <c r="AQ2607" s="152"/>
      <c r="AR2607" s="152"/>
      <c r="AS2607" s="152"/>
      <c r="AT2607" s="152"/>
      <c r="AU2607" s="153"/>
      <c r="AV2607" s="479"/>
      <c r="AW2607" s="479"/>
      <c r="AX2607" s="442"/>
      <c r="AY2607" s="153"/>
      <c r="AZ2607" s="152"/>
      <c r="BA2607" s="152"/>
      <c r="BB2607" s="152"/>
      <c r="BC2607" s="152"/>
      <c r="BD2607" s="152"/>
      <c r="BE2607" s="152"/>
      <c r="BF2607" s="152"/>
      <c r="BG2607" s="152"/>
      <c r="BH2607" s="152"/>
      <c r="BI2607" s="153"/>
      <c r="BJ2607" s="153"/>
      <c r="BK2607" s="153"/>
      <c r="BL2607" s="153"/>
      <c r="BM2607" s="153"/>
      <c r="BN2607" s="153"/>
      <c r="BO2607" s="153"/>
      <c r="BP2607" s="153"/>
      <c r="BQ2607" s="153"/>
      <c r="BR2607" s="153"/>
      <c r="BS2607" s="153"/>
      <c r="BT2607" s="153"/>
      <c r="BU2607" s="153"/>
      <c r="BV2607" s="153"/>
      <c r="BW2607" s="153"/>
      <c r="BX2607" s="153"/>
      <c r="BY2607" s="153"/>
      <c r="BZ2607" s="153"/>
      <c r="CA2607" s="152"/>
      <c r="CB2607" s="152"/>
    </row>
    <row r="2608" spans="1:80" s="87" customFormat="1" ht="15" x14ac:dyDescent="0.25">
      <c r="A2608" s="152"/>
      <c r="B2608" s="683"/>
      <c r="C2608" s="683"/>
      <c r="D2608" s="698"/>
      <c r="E2608" s="215"/>
      <c r="F2608" s="215"/>
      <c r="G2608" s="153"/>
      <c r="H2608" s="153"/>
      <c r="I2608" s="165">
        <v>21</v>
      </c>
      <c r="J2608" s="312">
        <v>60</v>
      </c>
      <c r="K2608" s="150">
        <v>1</v>
      </c>
      <c r="L2608" s="656">
        <v>21</v>
      </c>
      <c r="M2608" s="663">
        <v>35906</v>
      </c>
      <c r="N2608" s="600">
        <v>2.01586</v>
      </c>
      <c r="O2608" s="604">
        <v>5.0900000000000001E-4</v>
      </c>
      <c r="P2608" s="150"/>
      <c r="Q2608" s="250"/>
      <c r="R2608" s="250"/>
      <c r="S2608" s="250"/>
      <c r="T2608" s="250"/>
      <c r="U2608" s="250">
        <v>6.0000000000000001E-3</v>
      </c>
      <c r="V2608" s="250">
        <v>0.17288801571709234</v>
      </c>
      <c r="W2608" s="250">
        <v>0.4833005893909626</v>
      </c>
      <c r="X2608" s="250">
        <v>0.28487229862475444</v>
      </c>
      <c r="Y2608" s="250">
        <v>5.304518664047151E-2</v>
      </c>
      <c r="Z2608" s="150">
        <v>3</v>
      </c>
      <c r="AA2608" s="150">
        <v>0.63</v>
      </c>
      <c r="AB2608" s="152"/>
      <c r="AC2608" s="152"/>
      <c r="AD2608" s="223"/>
      <c r="AE2608" s="223"/>
      <c r="AF2608" s="223"/>
      <c r="AG2608" s="223"/>
      <c r="AH2608" s="341"/>
      <c r="AI2608" s="218"/>
      <c r="AJ2608" s="218"/>
      <c r="AK2608" s="153"/>
      <c r="AL2608" s="152"/>
      <c r="AM2608" s="152"/>
      <c r="AN2608" s="152"/>
      <c r="AO2608" s="152"/>
      <c r="AP2608" s="152"/>
      <c r="AQ2608" s="152"/>
      <c r="AR2608" s="152"/>
      <c r="AS2608" s="152"/>
      <c r="AT2608" s="152"/>
      <c r="AU2608" s="153"/>
      <c r="AV2608" s="479"/>
      <c r="AW2608" s="479"/>
      <c r="AX2608" s="442"/>
      <c r="AY2608" s="153"/>
      <c r="AZ2608" s="152"/>
      <c r="BA2608" s="152"/>
      <c r="BB2608" s="152"/>
      <c r="BC2608" s="152"/>
      <c r="BD2608" s="152"/>
      <c r="BE2608" s="152"/>
      <c r="BF2608" s="152"/>
      <c r="BG2608" s="152"/>
      <c r="BH2608" s="152"/>
      <c r="BI2608" s="153"/>
      <c r="BJ2608" s="153"/>
      <c r="BK2608" s="153"/>
      <c r="BL2608" s="153"/>
      <c r="BM2608" s="153"/>
      <c r="BN2608" s="153"/>
      <c r="BO2608" s="153"/>
      <c r="BP2608" s="153"/>
      <c r="BQ2608" s="153"/>
      <c r="BR2608" s="153"/>
      <c r="BS2608" s="153"/>
      <c r="BT2608" s="153"/>
      <c r="BU2608" s="153"/>
      <c r="BV2608" s="153"/>
      <c r="BW2608" s="153"/>
      <c r="BX2608" s="153"/>
      <c r="BY2608" s="153"/>
      <c r="BZ2608" s="153"/>
      <c r="CA2608" s="152"/>
      <c r="CB2608" s="152"/>
    </row>
    <row r="2609" spans="1:80" s="87" customFormat="1" ht="15" x14ac:dyDescent="0.25">
      <c r="A2609" s="152"/>
      <c r="B2609" s="683"/>
      <c r="C2609" s="683"/>
      <c r="D2609" s="698"/>
      <c r="E2609" s="215"/>
      <c r="F2609" s="215"/>
      <c r="G2609" s="153"/>
      <c r="H2609" s="153"/>
      <c r="I2609" s="165">
        <v>14</v>
      </c>
      <c r="J2609" s="312">
        <v>60</v>
      </c>
      <c r="K2609" s="150">
        <v>1</v>
      </c>
      <c r="L2609" s="656">
        <v>14</v>
      </c>
      <c r="M2609" s="663">
        <v>35919</v>
      </c>
      <c r="N2609" s="600">
        <v>9.0883800000000008</v>
      </c>
      <c r="O2609" s="604">
        <v>2.7390000000000001E-3</v>
      </c>
      <c r="P2609" s="150"/>
      <c r="Q2609" s="250"/>
      <c r="R2609" s="250"/>
      <c r="S2609" s="250"/>
      <c r="T2609" s="250">
        <v>7.8E-2</v>
      </c>
      <c r="U2609" s="250">
        <v>0.13100000000000001</v>
      </c>
      <c r="V2609" s="250">
        <v>0.24939113492450068</v>
      </c>
      <c r="W2609" s="250">
        <v>0.36921578178275694</v>
      </c>
      <c r="X2609" s="250">
        <v>0.11885046273745738</v>
      </c>
      <c r="Y2609" s="250">
        <v>5.3093034583536286E-2</v>
      </c>
      <c r="Z2609" s="150">
        <v>8</v>
      </c>
      <c r="AA2609" s="150">
        <v>0.93</v>
      </c>
      <c r="AB2609" s="152"/>
      <c r="AC2609" s="152"/>
      <c r="AD2609" s="223"/>
      <c r="AE2609" s="223"/>
      <c r="AF2609" s="223"/>
      <c r="AG2609" s="223"/>
      <c r="AH2609" s="341"/>
      <c r="AI2609" s="218"/>
      <c r="AJ2609" s="218"/>
      <c r="AK2609" s="153"/>
      <c r="AL2609" s="152"/>
      <c r="AM2609" s="152"/>
      <c r="AN2609" s="152"/>
      <c r="AO2609" s="152"/>
      <c r="AP2609" s="152"/>
      <c r="AQ2609" s="152"/>
      <c r="AR2609" s="152"/>
      <c r="AS2609" s="152"/>
      <c r="AT2609" s="152"/>
      <c r="AU2609" s="153"/>
      <c r="AV2609" s="479"/>
      <c r="AW2609" s="479"/>
      <c r="AX2609" s="442"/>
      <c r="AY2609" s="153"/>
      <c r="AZ2609" s="152"/>
      <c r="BA2609" s="152"/>
      <c r="BB2609" s="152"/>
      <c r="BC2609" s="152"/>
      <c r="BD2609" s="152"/>
      <c r="BE2609" s="152"/>
      <c r="BF2609" s="152"/>
      <c r="BG2609" s="152"/>
      <c r="BH2609" s="152"/>
      <c r="BI2609" s="153"/>
      <c r="BJ2609" s="153"/>
      <c r="BK2609" s="153"/>
      <c r="BL2609" s="153"/>
      <c r="BM2609" s="153"/>
      <c r="BN2609" s="153"/>
      <c r="BO2609" s="153"/>
      <c r="BP2609" s="153"/>
      <c r="BQ2609" s="153"/>
      <c r="BR2609" s="153"/>
      <c r="BS2609" s="153"/>
      <c r="BT2609" s="153"/>
      <c r="BU2609" s="153"/>
      <c r="BV2609" s="153"/>
      <c r="BW2609" s="153"/>
      <c r="BX2609" s="153"/>
      <c r="BY2609" s="153"/>
      <c r="BZ2609" s="153"/>
      <c r="CA2609" s="152"/>
      <c r="CB2609" s="152"/>
    </row>
    <row r="2610" spans="1:80" s="87" customFormat="1" ht="15" x14ac:dyDescent="0.25">
      <c r="A2610" s="152"/>
      <c r="B2610" s="683"/>
      <c r="C2610" s="683"/>
      <c r="D2610" s="698"/>
      <c r="E2610" s="215"/>
      <c r="F2610" s="215"/>
      <c r="G2610" s="153"/>
      <c r="H2610" s="153"/>
      <c r="I2610" s="165">
        <v>17</v>
      </c>
      <c r="J2610" s="312">
        <v>60</v>
      </c>
      <c r="K2610" s="150">
        <v>1</v>
      </c>
      <c r="L2610" s="656">
        <v>17</v>
      </c>
      <c r="M2610" s="663">
        <v>35927</v>
      </c>
      <c r="N2610" s="600">
        <v>8.8335600000000003</v>
      </c>
      <c r="O2610" s="604">
        <v>5.6150000000000002E-3</v>
      </c>
      <c r="P2610" s="150"/>
      <c r="Q2610" s="250"/>
      <c r="R2610" s="250"/>
      <c r="S2610" s="250"/>
      <c r="T2610" s="250">
        <v>6.7000000000000004E-2</v>
      </c>
      <c r="U2610" s="250">
        <v>0.17600000000000002</v>
      </c>
      <c r="V2610" s="250">
        <v>0.20897649014485872</v>
      </c>
      <c r="W2610" s="250">
        <v>0.33839943006411777</v>
      </c>
      <c r="X2610" s="250">
        <v>0.17905485632866303</v>
      </c>
      <c r="Y2610" s="250">
        <v>3.0396580384706717E-2</v>
      </c>
      <c r="Z2610" s="150">
        <v>7</v>
      </c>
      <c r="AA2610" s="150">
        <v>0.91</v>
      </c>
      <c r="AB2610" s="152"/>
      <c r="AC2610" s="152"/>
      <c r="AD2610" s="223"/>
      <c r="AE2610" s="223"/>
      <c r="AF2610" s="223"/>
      <c r="AG2610" s="223"/>
      <c r="AH2610" s="341"/>
      <c r="AI2610" s="218"/>
      <c r="AJ2610" s="218"/>
      <c r="AK2610" s="153"/>
      <c r="AL2610" s="152"/>
      <c r="AM2610" s="152"/>
      <c r="AN2610" s="152"/>
      <c r="AO2610" s="152"/>
      <c r="AP2610" s="152"/>
      <c r="AQ2610" s="152"/>
      <c r="AR2610" s="152"/>
      <c r="AS2610" s="152"/>
      <c r="AT2610" s="152"/>
      <c r="AU2610" s="153"/>
      <c r="AV2610" s="479"/>
      <c r="AW2610" s="479"/>
      <c r="AX2610" s="442"/>
      <c r="AY2610" s="153"/>
      <c r="AZ2610" s="152"/>
      <c r="BA2610" s="152"/>
      <c r="BB2610" s="152"/>
      <c r="BC2610" s="152"/>
      <c r="BD2610" s="152"/>
      <c r="BE2610" s="152"/>
      <c r="BF2610" s="152"/>
      <c r="BG2610" s="152"/>
      <c r="BH2610" s="152"/>
      <c r="BI2610" s="153"/>
      <c r="BJ2610" s="153"/>
      <c r="BK2610" s="153"/>
      <c r="BL2610" s="153"/>
      <c r="BM2610" s="153"/>
      <c r="BN2610" s="153"/>
      <c r="BO2610" s="153"/>
      <c r="BP2610" s="153"/>
      <c r="BQ2610" s="153"/>
      <c r="BR2610" s="153"/>
      <c r="BS2610" s="153"/>
      <c r="BT2610" s="153"/>
      <c r="BU2610" s="153"/>
      <c r="BV2610" s="153"/>
      <c r="BW2610" s="153"/>
      <c r="BX2610" s="153"/>
      <c r="BY2610" s="153"/>
      <c r="BZ2610" s="153"/>
      <c r="CA2610" s="152"/>
      <c r="CB2610" s="152"/>
    </row>
    <row r="2611" spans="1:80" s="87" customFormat="1" ht="15" x14ac:dyDescent="0.25">
      <c r="A2611" s="152"/>
      <c r="B2611" s="683"/>
      <c r="C2611" s="683"/>
      <c r="D2611" s="698"/>
      <c r="E2611" s="215"/>
      <c r="F2611" s="215"/>
      <c r="G2611" s="153"/>
      <c r="H2611" s="153"/>
      <c r="I2611" s="165">
        <v>16</v>
      </c>
      <c r="J2611" s="312">
        <v>60</v>
      </c>
      <c r="K2611" s="150">
        <v>1</v>
      </c>
      <c r="L2611" s="656">
        <v>16</v>
      </c>
      <c r="M2611" s="663">
        <v>35936</v>
      </c>
      <c r="N2611" s="600">
        <v>8.5787499999999994</v>
      </c>
      <c r="O2611" s="604">
        <v>8.0079999999999995E-3</v>
      </c>
      <c r="P2611" s="150"/>
      <c r="Q2611" s="250"/>
      <c r="R2611" s="250"/>
      <c r="S2611" s="250"/>
      <c r="T2611" s="250">
        <v>9.0000000000000011E-3</v>
      </c>
      <c r="U2611" s="250">
        <v>5.4000000000000006E-2</v>
      </c>
      <c r="V2611" s="250">
        <v>0.18911270184784421</v>
      </c>
      <c r="W2611" s="250">
        <v>0.40319627101714672</v>
      </c>
      <c r="X2611" s="250">
        <v>0.33411020476111214</v>
      </c>
      <c r="Y2611" s="250">
        <v>1.0820709172631931E-2</v>
      </c>
      <c r="Z2611" s="150">
        <v>6</v>
      </c>
      <c r="AA2611" s="150">
        <v>0.65</v>
      </c>
      <c r="AB2611" s="152"/>
      <c r="AC2611" s="152"/>
      <c r="AD2611" s="223"/>
      <c r="AE2611" s="223"/>
      <c r="AF2611" s="223"/>
      <c r="AG2611" s="223"/>
      <c r="AH2611" s="341"/>
      <c r="AI2611" s="218"/>
      <c r="AJ2611" s="218"/>
      <c r="AK2611" s="153"/>
      <c r="AL2611" s="152"/>
      <c r="AM2611" s="152"/>
      <c r="AN2611" s="152"/>
      <c r="AO2611" s="152"/>
      <c r="AP2611" s="152"/>
      <c r="AQ2611" s="152"/>
      <c r="AR2611" s="152"/>
      <c r="AS2611" s="152"/>
      <c r="AT2611" s="152"/>
      <c r="AU2611" s="153"/>
      <c r="AV2611" s="479"/>
      <c r="AW2611" s="479"/>
      <c r="AX2611" s="442"/>
      <c r="AY2611" s="153"/>
      <c r="AZ2611" s="152"/>
      <c r="BA2611" s="152"/>
      <c r="BB2611" s="152"/>
      <c r="BC2611" s="152"/>
      <c r="BD2611" s="152"/>
      <c r="BE2611" s="152"/>
      <c r="BF2611" s="152"/>
      <c r="BG2611" s="152"/>
      <c r="BH2611" s="152"/>
      <c r="BI2611" s="153"/>
      <c r="BJ2611" s="153"/>
      <c r="BK2611" s="153"/>
      <c r="BL2611" s="153"/>
      <c r="BM2611" s="153"/>
      <c r="BN2611" s="153"/>
      <c r="BO2611" s="153"/>
      <c r="BP2611" s="153"/>
      <c r="BQ2611" s="153"/>
      <c r="BR2611" s="153"/>
      <c r="BS2611" s="153"/>
      <c r="BT2611" s="153"/>
      <c r="BU2611" s="153"/>
      <c r="BV2611" s="153"/>
      <c r="BW2611" s="153"/>
      <c r="BX2611" s="153"/>
      <c r="BY2611" s="153"/>
      <c r="BZ2611" s="153"/>
      <c r="CA2611" s="152"/>
      <c r="CB2611" s="152"/>
    </row>
    <row r="2612" spans="1:80" s="87" customFormat="1" ht="15" x14ac:dyDescent="0.25">
      <c r="A2612" s="152"/>
      <c r="B2612" s="683"/>
      <c r="C2612" s="683"/>
      <c r="D2612" s="698"/>
      <c r="E2612" s="215"/>
      <c r="F2612" s="215"/>
      <c r="G2612" s="153"/>
      <c r="H2612" s="153"/>
      <c r="I2612" s="165">
        <v>18</v>
      </c>
      <c r="J2612" s="312">
        <v>60</v>
      </c>
      <c r="K2612" s="150">
        <v>1</v>
      </c>
      <c r="L2612" s="656">
        <v>18</v>
      </c>
      <c r="M2612" s="663">
        <v>35944</v>
      </c>
      <c r="N2612" s="600">
        <v>9.7395700000000005</v>
      </c>
      <c r="O2612" s="604">
        <v>4.0509999999999999E-3</v>
      </c>
      <c r="P2612" s="150"/>
      <c r="Q2612" s="250"/>
      <c r="R2612" s="250"/>
      <c r="S2612" s="250"/>
      <c r="T2612" s="250">
        <v>9.0999999999999998E-2</v>
      </c>
      <c r="U2612" s="250">
        <v>0.124</v>
      </c>
      <c r="V2612" s="250">
        <v>0.18414995067412035</v>
      </c>
      <c r="W2612" s="250">
        <v>0.32522196645840185</v>
      </c>
      <c r="X2612" s="250">
        <v>0.26833278526800397</v>
      </c>
      <c r="Y2612" s="250">
        <v>6.9056231502795133E-3</v>
      </c>
      <c r="Z2612" s="150">
        <v>8</v>
      </c>
      <c r="AA2612" s="150">
        <v>0.81</v>
      </c>
      <c r="AB2612" s="152"/>
      <c r="AC2612" s="152"/>
      <c r="AD2612" s="223"/>
      <c r="AE2612" s="223"/>
      <c r="AF2612" s="223"/>
      <c r="AG2612" s="223"/>
      <c r="AH2612" s="341"/>
      <c r="AI2612" s="218"/>
      <c r="AJ2612" s="218"/>
      <c r="AK2612" s="153"/>
      <c r="AL2612" s="152"/>
      <c r="AM2612" s="152"/>
      <c r="AN2612" s="152"/>
      <c r="AO2612" s="152"/>
      <c r="AP2612" s="152"/>
      <c r="AQ2612" s="152"/>
      <c r="AR2612" s="152"/>
      <c r="AS2612" s="152"/>
      <c r="AT2612" s="152"/>
      <c r="AU2612" s="153"/>
      <c r="AV2612" s="479"/>
      <c r="AW2612" s="479"/>
      <c r="AX2612" s="442"/>
      <c r="AY2612" s="153"/>
      <c r="AZ2612" s="152"/>
      <c r="BA2612" s="152"/>
      <c r="BB2612" s="152"/>
      <c r="BC2612" s="152"/>
      <c r="BD2612" s="152"/>
      <c r="BE2612" s="152"/>
      <c r="BF2612" s="152"/>
      <c r="BG2612" s="152"/>
      <c r="BH2612" s="152"/>
      <c r="BI2612" s="153"/>
      <c r="BJ2612" s="153"/>
      <c r="BK2612" s="153"/>
      <c r="BL2612" s="153"/>
      <c r="BM2612" s="153"/>
      <c r="BN2612" s="153"/>
      <c r="BO2612" s="153"/>
      <c r="BP2612" s="153"/>
      <c r="BQ2612" s="153"/>
      <c r="BR2612" s="153"/>
      <c r="BS2612" s="153"/>
      <c r="BT2612" s="153"/>
      <c r="BU2612" s="153"/>
      <c r="BV2612" s="153"/>
      <c r="BW2612" s="153"/>
      <c r="BX2612" s="153"/>
      <c r="BY2612" s="153"/>
      <c r="BZ2612" s="153"/>
      <c r="CA2612" s="152"/>
      <c r="CB2612" s="152"/>
    </row>
    <row r="2613" spans="1:80" s="87" customFormat="1" ht="15" x14ac:dyDescent="0.25">
      <c r="A2613" s="152"/>
      <c r="B2613" s="683"/>
      <c r="C2613" s="683"/>
      <c r="D2613" s="698"/>
      <c r="E2613" s="215"/>
      <c r="F2613" s="215"/>
      <c r="G2613" s="153"/>
      <c r="H2613" s="153"/>
      <c r="I2613" s="165">
        <v>20</v>
      </c>
      <c r="J2613" s="312">
        <v>60</v>
      </c>
      <c r="K2613" s="150">
        <v>1</v>
      </c>
      <c r="L2613" s="656">
        <v>20</v>
      </c>
      <c r="M2613" s="663">
        <v>35965</v>
      </c>
      <c r="N2613" s="600">
        <v>7.53118</v>
      </c>
      <c r="O2613" s="604">
        <v>1.354E-3</v>
      </c>
      <c r="P2613" s="150"/>
      <c r="Q2613" s="250"/>
      <c r="R2613" s="250"/>
      <c r="S2613" s="250"/>
      <c r="T2613" s="250">
        <v>7.2000000000000008E-2</v>
      </c>
      <c r="U2613" s="250">
        <v>6.2E-2</v>
      </c>
      <c r="V2613" s="250">
        <v>0.16897233201581027</v>
      </c>
      <c r="W2613" s="250">
        <v>0.30632411067193677</v>
      </c>
      <c r="X2613" s="250">
        <v>0.35474308300395258</v>
      </c>
      <c r="Y2613" s="250">
        <v>3.5573122529644272E-2</v>
      </c>
      <c r="Z2613" s="150">
        <v>8</v>
      </c>
      <c r="AA2613" s="150">
        <v>0.64</v>
      </c>
      <c r="AB2613" s="152"/>
      <c r="AC2613" s="152"/>
      <c r="AD2613" s="223"/>
      <c r="AE2613" s="223"/>
      <c r="AF2613" s="223"/>
      <c r="AG2613" s="223"/>
      <c r="AH2613" s="341"/>
      <c r="AI2613" s="218"/>
      <c r="AJ2613" s="218"/>
      <c r="AK2613" s="153"/>
      <c r="AL2613" s="152"/>
      <c r="AM2613" s="152"/>
      <c r="AN2613" s="152"/>
      <c r="AO2613" s="152"/>
      <c r="AP2613" s="152"/>
      <c r="AQ2613" s="152"/>
      <c r="AR2613" s="152"/>
      <c r="AS2613" s="152"/>
      <c r="AT2613" s="152"/>
      <c r="AU2613" s="153"/>
      <c r="AV2613" s="479"/>
      <c r="AW2613" s="479"/>
      <c r="AX2613" s="442"/>
      <c r="AY2613" s="153"/>
      <c r="AZ2613" s="152"/>
      <c r="BA2613" s="152"/>
      <c r="BB2613" s="152"/>
      <c r="BC2613" s="152"/>
      <c r="BD2613" s="152"/>
      <c r="BE2613" s="152"/>
      <c r="BF2613" s="152"/>
      <c r="BG2613" s="152"/>
      <c r="BH2613" s="152"/>
      <c r="BI2613" s="153"/>
      <c r="BJ2613" s="153"/>
      <c r="BK2613" s="153"/>
      <c r="BL2613" s="153"/>
      <c r="BM2613" s="153"/>
      <c r="BN2613" s="153"/>
      <c r="BO2613" s="153"/>
      <c r="BP2613" s="153"/>
      <c r="BQ2613" s="153"/>
      <c r="BR2613" s="153"/>
      <c r="BS2613" s="153"/>
      <c r="BT2613" s="153"/>
      <c r="BU2613" s="153"/>
      <c r="BV2613" s="153"/>
      <c r="BW2613" s="153"/>
      <c r="BX2613" s="153"/>
      <c r="BY2613" s="153"/>
      <c r="BZ2613" s="153"/>
      <c r="CA2613" s="152"/>
      <c r="CB2613" s="152"/>
    </row>
    <row r="2614" spans="1:80" s="87" customFormat="1" ht="15" x14ac:dyDescent="0.25">
      <c r="A2614" s="152"/>
      <c r="B2614" s="683"/>
      <c r="C2614" s="683"/>
      <c r="D2614" s="698"/>
      <c r="E2614" s="215"/>
      <c r="F2614" s="215"/>
      <c r="G2614" s="153"/>
      <c r="H2614" s="153"/>
      <c r="I2614" s="165">
        <v>24</v>
      </c>
      <c r="J2614" s="312">
        <v>60</v>
      </c>
      <c r="K2614" s="150">
        <v>1</v>
      </c>
      <c r="L2614" s="656">
        <v>24</v>
      </c>
      <c r="M2614" s="663">
        <v>35998</v>
      </c>
      <c r="N2614" s="600">
        <v>2.3244699999999998</v>
      </c>
      <c r="O2614" s="604">
        <v>7.5249999999999996E-3</v>
      </c>
      <c r="P2614" s="150"/>
      <c r="Q2614" s="250"/>
      <c r="R2614" s="250"/>
      <c r="S2614" s="250"/>
      <c r="T2614" s="250"/>
      <c r="U2614" s="250">
        <v>9.1999999999999998E-2</v>
      </c>
      <c r="V2614" s="250">
        <v>0.38665210863927935</v>
      </c>
      <c r="W2614" s="250">
        <v>0.40889859424048036</v>
      </c>
      <c r="X2614" s="250">
        <v>0.10659205677630679</v>
      </c>
      <c r="Y2614" s="250">
        <v>5.8687047905008859E-3</v>
      </c>
      <c r="Z2614" s="150">
        <v>4</v>
      </c>
      <c r="AA2614" s="150">
        <v>0.96</v>
      </c>
      <c r="AB2614" s="152"/>
      <c r="AC2614" s="152"/>
      <c r="AD2614" s="223"/>
      <c r="AE2614" s="223"/>
      <c r="AF2614" s="223"/>
      <c r="AG2614" s="223"/>
      <c r="AH2614" s="341"/>
      <c r="AI2614" s="218"/>
      <c r="AJ2614" s="218"/>
      <c r="AK2614" s="153"/>
      <c r="AL2614" s="152"/>
      <c r="AM2614" s="152"/>
      <c r="AN2614" s="152"/>
      <c r="AO2614" s="152"/>
      <c r="AP2614" s="152"/>
      <c r="AQ2614" s="152"/>
      <c r="AR2614" s="152"/>
      <c r="AS2614" s="152"/>
      <c r="AT2614" s="152"/>
      <c r="AU2614" s="153"/>
      <c r="AV2614" s="479"/>
      <c r="AW2614" s="479"/>
      <c r="AX2614" s="442"/>
      <c r="AY2614" s="153"/>
      <c r="AZ2614" s="152"/>
      <c r="BA2614" s="152"/>
      <c r="BB2614" s="152"/>
      <c r="BC2614" s="152"/>
      <c r="BD2614" s="152"/>
      <c r="BE2614" s="152"/>
      <c r="BF2614" s="152"/>
      <c r="BG2614" s="152"/>
      <c r="BH2614" s="152"/>
      <c r="BI2614" s="153"/>
      <c r="BJ2614" s="153"/>
      <c r="BK2614" s="153"/>
      <c r="BL2614" s="153"/>
      <c r="BM2614" s="153"/>
      <c r="BN2614" s="153"/>
      <c r="BO2614" s="153"/>
      <c r="BP2614" s="153"/>
      <c r="BQ2614" s="153"/>
      <c r="BR2614" s="153"/>
      <c r="BS2614" s="153"/>
      <c r="BT2614" s="153"/>
      <c r="BU2614" s="153"/>
      <c r="BV2614" s="153"/>
      <c r="BW2614" s="153"/>
      <c r="BX2614" s="153"/>
      <c r="BY2614" s="153"/>
      <c r="BZ2614" s="153"/>
      <c r="CA2614" s="152"/>
      <c r="CB2614" s="152"/>
    </row>
    <row r="2615" spans="1:80" s="87" customFormat="1" ht="15" x14ac:dyDescent="0.25">
      <c r="A2615" s="152"/>
      <c r="B2615" s="683"/>
      <c r="C2615" s="683"/>
      <c r="D2615" s="698"/>
      <c r="E2615" s="215"/>
      <c r="F2615" s="215"/>
      <c r="G2615" s="153"/>
      <c r="H2615" s="153"/>
      <c r="I2615" s="165">
        <v>21</v>
      </c>
      <c r="J2615" s="312">
        <v>60</v>
      </c>
      <c r="K2615" s="150">
        <v>1</v>
      </c>
      <c r="L2615" s="656">
        <v>21</v>
      </c>
      <c r="M2615" s="663">
        <v>36032</v>
      </c>
      <c r="N2615" s="600">
        <v>1.34768</v>
      </c>
      <c r="O2615" s="604">
        <v>6.0039999999999998E-3</v>
      </c>
      <c r="P2615" s="150"/>
      <c r="Q2615" s="250"/>
      <c r="R2615" s="250"/>
      <c r="S2615" s="250"/>
      <c r="T2615" s="250">
        <v>3.0000000000000001E-3</v>
      </c>
      <c r="U2615" s="250">
        <v>1.9E-2</v>
      </c>
      <c r="V2615" s="250">
        <v>0.26665504011161489</v>
      </c>
      <c r="W2615" s="250">
        <v>0.54028601325427272</v>
      </c>
      <c r="X2615" s="250">
        <v>0.16184164632019532</v>
      </c>
      <c r="Y2615" s="250">
        <v>9.068712940355772E-3</v>
      </c>
      <c r="Z2615" s="150">
        <v>5</v>
      </c>
      <c r="AA2615" s="150">
        <v>0.76</v>
      </c>
      <c r="AB2615" s="152"/>
      <c r="AC2615" s="152"/>
      <c r="AD2615" s="223"/>
      <c r="AE2615" s="223"/>
      <c r="AF2615" s="223"/>
      <c r="AG2615" s="223"/>
      <c r="AH2615" s="341"/>
      <c r="AI2615" s="218"/>
      <c r="AJ2615" s="218"/>
      <c r="AK2615" s="153"/>
      <c r="AL2615" s="152"/>
      <c r="AM2615" s="152"/>
      <c r="AN2615" s="152"/>
      <c r="AO2615" s="152"/>
      <c r="AP2615" s="152"/>
      <c r="AQ2615" s="152"/>
      <c r="AR2615" s="152"/>
      <c r="AS2615" s="152"/>
      <c r="AT2615" s="152"/>
      <c r="AU2615" s="153"/>
      <c r="AV2615" s="479"/>
      <c r="AW2615" s="479"/>
      <c r="AX2615" s="442"/>
      <c r="AY2615" s="153"/>
      <c r="AZ2615" s="152"/>
      <c r="BA2615" s="152"/>
      <c r="BB2615" s="152"/>
      <c r="BC2615" s="152"/>
      <c r="BD2615" s="152"/>
      <c r="BE2615" s="152"/>
      <c r="BF2615" s="152"/>
      <c r="BG2615" s="152"/>
      <c r="BH2615" s="152"/>
      <c r="BI2615" s="153"/>
      <c r="BJ2615" s="153"/>
      <c r="BK2615" s="153"/>
      <c r="BL2615" s="153"/>
      <c r="BM2615" s="153"/>
      <c r="BN2615" s="153"/>
      <c r="BO2615" s="153"/>
      <c r="BP2615" s="153"/>
      <c r="BQ2615" s="153"/>
      <c r="BR2615" s="153"/>
      <c r="BS2615" s="153"/>
      <c r="BT2615" s="153"/>
      <c r="BU2615" s="153"/>
      <c r="BV2615" s="153"/>
      <c r="BW2615" s="153"/>
      <c r="BX2615" s="153"/>
      <c r="BY2615" s="153"/>
      <c r="BZ2615" s="153"/>
      <c r="CA2615" s="152"/>
      <c r="CB2615" s="152"/>
    </row>
    <row r="2616" spans="1:80" s="87" customFormat="1" ht="15" x14ac:dyDescent="0.25">
      <c r="A2616" s="152"/>
      <c r="B2616" s="683"/>
      <c r="C2616" s="683"/>
      <c r="D2616" s="698"/>
      <c r="E2616" s="215"/>
      <c r="F2616" s="215"/>
      <c r="G2616" s="153"/>
      <c r="H2616" s="153"/>
      <c r="I2616" s="165">
        <v>20</v>
      </c>
      <c r="J2616" s="312">
        <v>60</v>
      </c>
      <c r="K2616" s="150">
        <v>1</v>
      </c>
      <c r="L2616" s="656">
        <v>20</v>
      </c>
      <c r="M2616" s="663">
        <v>36095</v>
      </c>
      <c r="N2616" s="600">
        <v>0.77576999999999996</v>
      </c>
      <c r="O2616" s="604">
        <v>0</v>
      </c>
      <c r="P2616" s="150"/>
      <c r="Q2616" s="250"/>
      <c r="R2616" s="250"/>
      <c r="S2616" s="250"/>
      <c r="T2616" s="250"/>
      <c r="U2616" s="250"/>
      <c r="V2616" s="250">
        <v>0</v>
      </c>
      <c r="W2616" s="250">
        <v>0</v>
      </c>
      <c r="X2616" s="250">
        <v>0</v>
      </c>
      <c r="Y2616" s="250">
        <v>0</v>
      </c>
      <c r="Z2616" s="150"/>
      <c r="AA2616" s="150"/>
      <c r="AB2616" s="152"/>
      <c r="AC2616" s="152"/>
      <c r="AD2616" s="223"/>
      <c r="AE2616" s="223"/>
      <c r="AF2616" s="223"/>
      <c r="AG2616" s="223"/>
      <c r="AH2616" s="341"/>
      <c r="AI2616" s="218"/>
      <c r="AJ2616" s="218"/>
      <c r="AK2616" s="153"/>
      <c r="AL2616" s="152"/>
      <c r="AM2616" s="152"/>
      <c r="AN2616" s="152"/>
      <c r="AO2616" s="152"/>
      <c r="AP2616" s="152"/>
      <c r="AQ2616" s="152"/>
      <c r="AR2616" s="152"/>
      <c r="AS2616" s="152"/>
      <c r="AT2616" s="152"/>
      <c r="AU2616" s="153"/>
      <c r="AV2616" s="479"/>
      <c r="AW2616" s="479"/>
      <c r="AX2616" s="442"/>
      <c r="AY2616" s="153"/>
      <c r="AZ2616" s="152"/>
      <c r="BA2616" s="152"/>
      <c r="BB2616" s="152"/>
      <c r="BC2616" s="152"/>
      <c r="BD2616" s="152"/>
      <c r="BE2616" s="152"/>
      <c r="BF2616" s="152"/>
      <c r="BG2616" s="152"/>
      <c r="BH2616" s="152"/>
      <c r="BI2616" s="153"/>
      <c r="BJ2616" s="153"/>
      <c r="BK2616" s="153"/>
      <c r="BL2616" s="153"/>
      <c r="BM2616" s="153"/>
      <c r="BN2616" s="153"/>
      <c r="BO2616" s="153"/>
      <c r="BP2616" s="153"/>
      <c r="BQ2616" s="153"/>
      <c r="BR2616" s="153"/>
      <c r="BS2616" s="153"/>
      <c r="BT2616" s="153"/>
      <c r="BU2616" s="153"/>
      <c r="BV2616" s="153"/>
      <c r="BW2616" s="153"/>
      <c r="BX2616" s="153"/>
      <c r="BY2616" s="153"/>
      <c r="BZ2616" s="153"/>
      <c r="CA2616" s="152"/>
      <c r="CB2616" s="152"/>
    </row>
    <row r="2617" spans="1:80" s="87" customFormat="1" ht="15" x14ac:dyDescent="0.25">
      <c r="A2617" s="152"/>
      <c r="B2617" s="683"/>
      <c r="C2617" s="683"/>
      <c r="D2617" s="698"/>
      <c r="E2617" s="215"/>
      <c r="F2617" s="215"/>
      <c r="G2617" s="153"/>
      <c r="H2617" s="153"/>
      <c r="I2617" s="165">
        <v>20</v>
      </c>
      <c r="J2617" s="165">
        <v>60</v>
      </c>
      <c r="K2617" s="150">
        <v>1</v>
      </c>
      <c r="L2617" s="656">
        <v>20</v>
      </c>
      <c r="M2617" s="663">
        <v>36263</v>
      </c>
      <c r="N2617" s="600">
        <v>1.8374900000000001</v>
      </c>
      <c r="O2617" s="604">
        <v>4.3000000000000002E-5</v>
      </c>
      <c r="P2617" s="150"/>
      <c r="Q2617" s="250"/>
      <c r="R2617" s="250"/>
      <c r="S2617" s="250"/>
      <c r="T2617" s="250"/>
      <c r="U2617" s="250"/>
      <c r="V2617" s="250">
        <v>2.7027027027027025E-2</v>
      </c>
      <c r="W2617" s="250">
        <v>0.54054054054054046</v>
      </c>
      <c r="X2617" s="250">
        <v>0.4324324324324324</v>
      </c>
      <c r="Y2617" s="250">
        <v>0</v>
      </c>
      <c r="Z2617" s="150">
        <v>1</v>
      </c>
      <c r="AA2617" s="150">
        <v>0.55000000000000004</v>
      </c>
      <c r="AB2617" s="152"/>
      <c r="AC2617" s="152"/>
      <c r="AD2617" s="223"/>
      <c r="AE2617" s="223"/>
      <c r="AF2617" s="223"/>
      <c r="AG2617" s="223"/>
      <c r="AH2617" s="341"/>
      <c r="AI2617" s="218"/>
      <c r="AJ2617" s="218"/>
      <c r="AK2617" s="153"/>
      <c r="AL2617" s="152"/>
      <c r="AM2617" s="152"/>
      <c r="AN2617" s="152"/>
      <c r="AO2617" s="152"/>
      <c r="AP2617" s="152"/>
      <c r="AQ2617" s="152"/>
      <c r="AR2617" s="152"/>
      <c r="AS2617" s="152"/>
      <c r="AT2617" s="152"/>
      <c r="AU2617" s="153"/>
      <c r="AV2617" s="479"/>
      <c r="AW2617" s="479"/>
      <c r="AX2617" s="442"/>
      <c r="AY2617" s="153"/>
      <c r="AZ2617" s="152"/>
      <c r="BA2617" s="152"/>
      <c r="BB2617" s="152"/>
      <c r="BC2617" s="152"/>
      <c r="BD2617" s="152"/>
      <c r="BE2617" s="152"/>
      <c r="BF2617" s="152"/>
      <c r="BG2617" s="152"/>
      <c r="BH2617" s="152"/>
      <c r="BI2617" s="153"/>
      <c r="BJ2617" s="153"/>
      <c r="BK2617" s="153"/>
      <c r="BL2617" s="153"/>
      <c r="BM2617" s="153"/>
      <c r="BN2617" s="153"/>
      <c r="BO2617" s="153"/>
      <c r="BP2617" s="153"/>
      <c r="BQ2617" s="153"/>
      <c r="BR2617" s="153"/>
      <c r="BS2617" s="153"/>
      <c r="BT2617" s="153"/>
      <c r="BU2617" s="153"/>
      <c r="BV2617" s="153"/>
      <c r="BW2617" s="153"/>
      <c r="BX2617" s="153"/>
      <c r="BY2617" s="153"/>
      <c r="BZ2617" s="153"/>
      <c r="CA2617" s="152"/>
      <c r="CB2617" s="152"/>
    </row>
    <row r="2618" spans="1:80" s="87" customFormat="1" ht="15" x14ac:dyDescent="0.25">
      <c r="A2618" s="152"/>
      <c r="B2618" s="683"/>
      <c r="C2618" s="683"/>
      <c r="D2618" s="698"/>
      <c r="E2618" s="215"/>
      <c r="F2618" s="215"/>
      <c r="G2618" s="153"/>
      <c r="H2618" s="153"/>
      <c r="I2618" s="165">
        <v>20</v>
      </c>
      <c r="J2618" s="165">
        <v>60</v>
      </c>
      <c r="K2618" s="150">
        <v>1</v>
      </c>
      <c r="L2618" s="656">
        <v>20</v>
      </c>
      <c r="M2618" s="663">
        <v>36280</v>
      </c>
      <c r="N2618" s="600">
        <v>4.2469099999999997</v>
      </c>
      <c r="O2618" s="604">
        <v>1.0709999999999999E-3</v>
      </c>
      <c r="P2618" s="150"/>
      <c r="Q2618" s="250"/>
      <c r="R2618" s="250"/>
      <c r="S2618" s="250"/>
      <c r="T2618" s="250">
        <v>7.6999999999999999E-2</v>
      </c>
      <c r="U2618" s="250">
        <v>7.2999999999999995E-2</v>
      </c>
      <c r="V2618" s="250">
        <v>0.21793275217932753</v>
      </c>
      <c r="W2618" s="250">
        <v>0.33748443337484429</v>
      </c>
      <c r="X2618" s="250">
        <v>0.27646326276463262</v>
      </c>
      <c r="Y2618" s="250">
        <v>1.7434620174346202E-2</v>
      </c>
      <c r="Z2618" s="150">
        <v>8</v>
      </c>
      <c r="AA2618" s="150">
        <v>0.76</v>
      </c>
      <c r="AB2618" s="152"/>
      <c r="AC2618" s="152"/>
      <c r="AD2618" s="223"/>
      <c r="AE2618" s="223"/>
      <c r="AF2618" s="223"/>
      <c r="AG2618" s="223"/>
      <c r="AH2618" s="341"/>
      <c r="AI2618" s="218"/>
      <c r="AJ2618" s="218"/>
      <c r="AK2618" s="153"/>
      <c r="AL2618" s="152"/>
      <c r="AM2618" s="152"/>
      <c r="AN2618" s="152"/>
      <c r="AO2618" s="152"/>
      <c r="AP2618" s="152"/>
      <c r="AQ2618" s="152"/>
      <c r="AR2618" s="152"/>
      <c r="AS2618" s="152"/>
      <c r="AT2618" s="152"/>
      <c r="AU2618" s="153"/>
      <c r="AV2618" s="479"/>
      <c r="AW2618" s="479"/>
      <c r="AX2618" s="442"/>
      <c r="AY2618" s="153"/>
      <c r="AZ2618" s="152"/>
      <c r="BA2618" s="152"/>
      <c r="BB2618" s="152"/>
      <c r="BC2618" s="152"/>
      <c r="BD2618" s="152"/>
      <c r="BE2618" s="152"/>
      <c r="BF2618" s="152"/>
      <c r="BG2618" s="152"/>
      <c r="BH2618" s="152"/>
      <c r="BI2618" s="153"/>
      <c r="BJ2618" s="153"/>
      <c r="BK2618" s="153"/>
      <c r="BL2618" s="153"/>
      <c r="BM2618" s="153"/>
      <c r="BN2618" s="153"/>
      <c r="BO2618" s="153"/>
      <c r="BP2618" s="153"/>
      <c r="BQ2618" s="153"/>
      <c r="BR2618" s="153"/>
      <c r="BS2618" s="153"/>
      <c r="BT2618" s="153"/>
      <c r="BU2618" s="153"/>
      <c r="BV2618" s="153"/>
      <c r="BW2618" s="153"/>
      <c r="BX2618" s="153"/>
      <c r="BY2618" s="153"/>
      <c r="BZ2618" s="153"/>
      <c r="CA2618" s="152"/>
      <c r="CB2618" s="152"/>
    </row>
    <row r="2619" spans="1:80" s="87" customFormat="1" ht="15" x14ac:dyDescent="0.25">
      <c r="A2619" s="152"/>
      <c r="B2619" s="683"/>
      <c r="C2619" s="683"/>
      <c r="D2619" s="698"/>
      <c r="E2619" s="215"/>
      <c r="F2619" s="215"/>
      <c r="G2619" s="153"/>
      <c r="H2619" s="153"/>
      <c r="I2619" s="165">
        <v>20</v>
      </c>
      <c r="J2619" s="165">
        <v>60</v>
      </c>
      <c r="K2619" s="150">
        <v>1</v>
      </c>
      <c r="L2619" s="656">
        <v>20</v>
      </c>
      <c r="M2619" s="663">
        <v>36291</v>
      </c>
      <c r="N2619" s="600">
        <v>3.8222100000000001</v>
      </c>
      <c r="O2619" s="604">
        <v>3.0330000000000001E-3</v>
      </c>
      <c r="P2619" s="150"/>
      <c r="Q2619" s="250"/>
      <c r="R2619" s="250"/>
      <c r="S2619" s="250"/>
      <c r="T2619" s="250">
        <v>1.3000000000000001E-2</v>
      </c>
      <c r="U2619" s="250">
        <v>0.192</v>
      </c>
      <c r="V2619" s="250">
        <v>0.36643233743409487</v>
      </c>
      <c r="W2619" s="250">
        <v>0.30404217926186289</v>
      </c>
      <c r="X2619" s="250">
        <v>0.12214411247803161</v>
      </c>
      <c r="Y2619" s="250">
        <v>2.196836555360281E-3</v>
      </c>
      <c r="Z2619" s="150">
        <v>6</v>
      </c>
      <c r="AA2619" s="150">
        <v>1.1499999999999999</v>
      </c>
      <c r="AB2619" s="152"/>
      <c r="AC2619" s="152"/>
      <c r="AD2619" s="223"/>
      <c r="AE2619" s="223"/>
      <c r="AF2619" s="223"/>
      <c r="AG2619" s="223"/>
      <c r="AH2619" s="341"/>
      <c r="AI2619" s="218"/>
      <c r="AJ2619" s="218"/>
      <c r="AK2619" s="153"/>
      <c r="AL2619" s="152"/>
      <c r="AM2619" s="152"/>
      <c r="AN2619" s="152"/>
      <c r="AO2619" s="152"/>
      <c r="AP2619" s="152"/>
      <c r="AQ2619" s="152"/>
      <c r="AR2619" s="152"/>
      <c r="AS2619" s="152"/>
      <c r="AT2619" s="152"/>
      <c r="AU2619" s="153"/>
      <c r="AV2619" s="479"/>
      <c r="AW2619" s="479"/>
      <c r="AX2619" s="442"/>
      <c r="AY2619" s="153"/>
      <c r="AZ2619" s="152"/>
      <c r="BA2619" s="152"/>
      <c r="BB2619" s="152"/>
      <c r="BC2619" s="152"/>
      <c r="BD2619" s="152"/>
      <c r="BE2619" s="152"/>
      <c r="BF2619" s="152"/>
      <c r="BG2619" s="152"/>
      <c r="BH2619" s="152"/>
      <c r="BI2619" s="153"/>
      <c r="BJ2619" s="153"/>
      <c r="BK2619" s="153"/>
      <c r="BL2619" s="153"/>
      <c r="BM2619" s="153"/>
      <c r="BN2619" s="153"/>
      <c r="BO2619" s="153"/>
      <c r="BP2619" s="153"/>
      <c r="BQ2619" s="153"/>
      <c r="BR2619" s="153"/>
      <c r="BS2619" s="153"/>
      <c r="BT2619" s="153"/>
      <c r="BU2619" s="153"/>
      <c r="BV2619" s="153"/>
      <c r="BW2619" s="153"/>
      <c r="BX2619" s="153"/>
      <c r="BY2619" s="153"/>
      <c r="BZ2619" s="153"/>
      <c r="CA2619" s="152"/>
      <c r="CB2619" s="152"/>
    </row>
    <row r="2620" spans="1:80" s="87" customFormat="1" ht="15" x14ac:dyDescent="0.25">
      <c r="A2620" s="152"/>
      <c r="B2620" s="683"/>
      <c r="C2620" s="683"/>
      <c r="D2620" s="698"/>
      <c r="E2620" s="215"/>
      <c r="F2620" s="215"/>
      <c r="G2620" s="153"/>
      <c r="H2620" s="153"/>
      <c r="I2620" s="165">
        <v>20</v>
      </c>
      <c r="J2620" s="165">
        <v>60</v>
      </c>
      <c r="K2620" s="150">
        <v>1</v>
      </c>
      <c r="L2620" s="656">
        <v>20</v>
      </c>
      <c r="M2620" s="663">
        <v>36306</v>
      </c>
      <c r="N2620" s="600">
        <v>17.0442</v>
      </c>
      <c r="O2620" s="604">
        <v>4.3872000000000001E-2</v>
      </c>
      <c r="P2620" s="150"/>
      <c r="Q2620" s="250"/>
      <c r="R2620" s="250"/>
      <c r="S2620" s="250">
        <v>6.6000000000000003E-2</v>
      </c>
      <c r="T2620" s="250">
        <v>0.10800000000000001</v>
      </c>
      <c r="U2620" s="250">
        <v>0.151</v>
      </c>
      <c r="V2620" s="250">
        <v>0.23413373860182371</v>
      </c>
      <c r="W2620" s="250">
        <v>0.27212765957446805</v>
      </c>
      <c r="X2620" s="250">
        <v>0.16249240121580544</v>
      </c>
      <c r="Y2620" s="250">
        <v>5.6231003039513682E-3</v>
      </c>
      <c r="Z2620" s="150">
        <v>16</v>
      </c>
      <c r="AA2620" s="150">
        <v>1.19</v>
      </c>
      <c r="AB2620" s="152"/>
      <c r="AC2620" s="152"/>
      <c r="AD2620" s="223"/>
      <c r="AE2620" s="223"/>
      <c r="AF2620" s="223"/>
      <c r="AG2620" s="223"/>
      <c r="AH2620" s="341"/>
      <c r="AI2620" s="218"/>
      <c r="AJ2620" s="218"/>
      <c r="AK2620" s="153"/>
      <c r="AL2620" s="152"/>
      <c r="AM2620" s="152"/>
      <c r="AN2620" s="152"/>
      <c r="AO2620" s="152"/>
      <c r="AP2620" s="152"/>
      <c r="AQ2620" s="152"/>
      <c r="AR2620" s="152"/>
      <c r="AS2620" s="152"/>
      <c r="AT2620" s="152"/>
      <c r="AU2620" s="153"/>
      <c r="AV2620" s="479"/>
      <c r="AW2620" s="479"/>
      <c r="AX2620" s="442"/>
      <c r="AY2620" s="153"/>
      <c r="AZ2620" s="152"/>
      <c r="BA2620" s="152"/>
      <c r="BB2620" s="152"/>
      <c r="BC2620" s="152"/>
      <c r="BD2620" s="152"/>
      <c r="BE2620" s="152"/>
      <c r="BF2620" s="152"/>
      <c r="BG2620" s="152"/>
      <c r="BH2620" s="152"/>
      <c r="BI2620" s="153"/>
      <c r="BJ2620" s="153"/>
      <c r="BK2620" s="153"/>
      <c r="BL2620" s="153"/>
      <c r="BM2620" s="153"/>
      <c r="BN2620" s="153"/>
      <c r="BO2620" s="153"/>
      <c r="BP2620" s="153"/>
      <c r="BQ2620" s="153"/>
      <c r="BR2620" s="153"/>
      <c r="BS2620" s="153"/>
      <c r="BT2620" s="153"/>
      <c r="BU2620" s="153"/>
      <c r="BV2620" s="153"/>
      <c r="BW2620" s="153"/>
      <c r="BX2620" s="153"/>
      <c r="BY2620" s="153"/>
      <c r="BZ2620" s="153"/>
      <c r="CA2620" s="152"/>
      <c r="CB2620" s="152"/>
    </row>
    <row r="2621" spans="1:80" s="87" customFormat="1" ht="15" x14ac:dyDescent="0.25">
      <c r="A2621" s="152"/>
      <c r="B2621" s="683"/>
      <c r="C2621" s="683"/>
      <c r="D2621" s="698"/>
      <c r="E2621" s="215"/>
      <c r="F2621" s="215"/>
      <c r="G2621" s="153"/>
      <c r="H2621" s="153"/>
      <c r="I2621" s="165">
        <v>20</v>
      </c>
      <c r="J2621" s="165">
        <v>60</v>
      </c>
      <c r="K2621" s="150">
        <v>1</v>
      </c>
      <c r="L2621" s="656">
        <v>20</v>
      </c>
      <c r="M2621" s="663">
        <v>36315</v>
      </c>
      <c r="N2621" s="600">
        <v>15.2889</v>
      </c>
      <c r="O2621" s="604">
        <v>2.5714999999999998E-2</v>
      </c>
      <c r="P2621" s="150"/>
      <c r="Q2621" s="250"/>
      <c r="R2621" s="250"/>
      <c r="S2621" s="250">
        <v>4.8000000000000001E-2</v>
      </c>
      <c r="T2621" s="250">
        <v>8.8000000000000009E-2</v>
      </c>
      <c r="U2621" s="250">
        <v>0.19600000000000001</v>
      </c>
      <c r="V2621" s="250">
        <v>0.26286069522872091</v>
      </c>
      <c r="W2621" s="250">
        <v>0.2653473553333679</v>
      </c>
      <c r="X2621" s="250">
        <v>0.13733616536289697</v>
      </c>
      <c r="Y2621" s="250">
        <v>3.0565197119618707E-3</v>
      </c>
      <c r="Z2621" s="150">
        <v>14</v>
      </c>
      <c r="AA2621" s="150">
        <v>1.28</v>
      </c>
      <c r="AB2621" s="152"/>
      <c r="AC2621" s="152"/>
      <c r="AD2621" s="223"/>
      <c r="AE2621" s="223"/>
      <c r="AF2621" s="223"/>
      <c r="AG2621" s="223"/>
      <c r="AH2621" s="341"/>
      <c r="AI2621" s="218"/>
      <c r="AJ2621" s="218"/>
      <c r="AK2621" s="153"/>
      <c r="AL2621" s="152"/>
      <c r="AM2621" s="152"/>
      <c r="AN2621" s="152"/>
      <c r="AO2621" s="152"/>
      <c r="AP2621" s="152"/>
      <c r="AQ2621" s="152"/>
      <c r="AR2621" s="152"/>
      <c r="AS2621" s="152"/>
      <c r="AT2621" s="152"/>
      <c r="AU2621" s="153"/>
      <c r="AV2621" s="479"/>
      <c r="AW2621" s="479"/>
      <c r="AX2621" s="442"/>
      <c r="AY2621" s="153"/>
      <c r="AZ2621" s="152"/>
      <c r="BA2621" s="152"/>
      <c r="BB2621" s="152"/>
      <c r="BC2621" s="152"/>
      <c r="BD2621" s="152"/>
      <c r="BE2621" s="152"/>
      <c r="BF2621" s="152"/>
      <c r="BG2621" s="152"/>
      <c r="BH2621" s="152"/>
      <c r="BI2621" s="153"/>
      <c r="BJ2621" s="153"/>
      <c r="BK2621" s="153"/>
      <c r="BL2621" s="153"/>
      <c r="BM2621" s="153"/>
      <c r="BN2621" s="153"/>
      <c r="BO2621" s="153"/>
      <c r="BP2621" s="153"/>
      <c r="BQ2621" s="153"/>
      <c r="BR2621" s="153"/>
      <c r="BS2621" s="153"/>
      <c r="BT2621" s="153"/>
      <c r="BU2621" s="153"/>
      <c r="BV2621" s="153"/>
      <c r="BW2621" s="153"/>
      <c r="BX2621" s="153"/>
      <c r="BY2621" s="153"/>
      <c r="BZ2621" s="153"/>
      <c r="CA2621" s="152"/>
      <c r="CB2621" s="152"/>
    </row>
    <row r="2622" spans="1:80" s="87" customFormat="1" ht="15" x14ac:dyDescent="0.25">
      <c r="A2622" s="152"/>
      <c r="B2622" s="683"/>
      <c r="C2622" s="683"/>
      <c r="D2622" s="698"/>
      <c r="E2622" s="215"/>
      <c r="F2622" s="215"/>
      <c r="G2622" s="153"/>
      <c r="H2622" s="153"/>
      <c r="I2622" s="165">
        <v>20</v>
      </c>
      <c r="J2622" s="165">
        <v>60</v>
      </c>
      <c r="K2622" s="150">
        <v>1</v>
      </c>
      <c r="L2622" s="656">
        <v>20</v>
      </c>
      <c r="M2622" s="663">
        <v>36322</v>
      </c>
      <c r="N2622" s="600">
        <v>9.5980100000000004</v>
      </c>
      <c r="O2622" s="604">
        <v>3.4320000000000002E-3</v>
      </c>
      <c r="P2622" s="150"/>
      <c r="Q2622" s="250"/>
      <c r="R2622" s="250"/>
      <c r="S2622" s="250"/>
      <c r="T2622" s="250">
        <v>1.8000000000000002E-2</v>
      </c>
      <c r="U2622" s="250">
        <v>0.05</v>
      </c>
      <c r="V2622" s="250">
        <v>0.14097087378640777</v>
      </c>
      <c r="W2622" s="250">
        <v>0.34524271844660193</v>
      </c>
      <c r="X2622" s="250">
        <v>0.43456310679611648</v>
      </c>
      <c r="Y2622" s="250">
        <v>1.0873786407766992E-2</v>
      </c>
      <c r="Z2622" s="150">
        <v>6</v>
      </c>
      <c r="AA2622" s="150">
        <v>0.56000000000000005</v>
      </c>
      <c r="AB2622" s="152"/>
      <c r="AC2622" s="152"/>
      <c r="AD2622" s="223"/>
      <c r="AE2622" s="223"/>
      <c r="AF2622" s="223"/>
      <c r="AG2622" s="223"/>
      <c r="AH2622" s="341"/>
      <c r="AI2622" s="218"/>
      <c r="AJ2622" s="218"/>
      <c r="AK2622" s="153"/>
      <c r="AL2622" s="152"/>
      <c r="AM2622" s="152"/>
      <c r="AN2622" s="152"/>
      <c r="AO2622" s="152"/>
      <c r="AP2622" s="152"/>
      <c r="AQ2622" s="152"/>
      <c r="AR2622" s="152"/>
      <c r="AS2622" s="152"/>
      <c r="AT2622" s="152"/>
      <c r="AU2622" s="153"/>
      <c r="AV2622" s="479"/>
      <c r="AW2622" s="479"/>
      <c r="AX2622" s="442"/>
      <c r="AY2622" s="153"/>
      <c r="AZ2622" s="152"/>
      <c r="BA2622" s="152"/>
      <c r="BB2622" s="152"/>
      <c r="BC2622" s="152"/>
      <c r="BD2622" s="152"/>
      <c r="BE2622" s="152"/>
      <c r="BF2622" s="152"/>
      <c r="BG2622" s="152"/>
      <c r="BH2622" s="152"/>
      <c r="BI2622" s="153"/>
      <c r="BJ2622" s="153"/>
      <c r="BK2622" s="153"/>
      <c r="BL2622" s="153"/>
      <c r="BM2622" s="153"/>
      <c r="BN2622" s="153"/>
      <c r="BO2622" s="153"/>
      <c r="BP2622" s="153"/>
      <c r="BQ2622" s="153"/>
      <c r="BR2622" s="153"/>
      <c r="BS2622" s="153"/>
      <c r="BT2622" s="153"/>
      <c r="BU2622" s="153"/>
      <c r="BV2622" s="153"/>
      <c r="BW2622" s="153"/>
      <c r="BX2622" s="153"/>
      <c r="BY2622" s="153"/>
      <c r="BZ2622" s="153"/>
      <c r="CA2622" s="152"/>
      <c r="CB2622" s="152"/>
    </row>
    <row r="2623" spans="1:80" s="87" customFormat="1" ht="15" x14ac:dyDescent="0.25">
      <c r="A2623" s="152"/>
      <c r="B2623" s="683"/>
      <c r="C2623" s="683"/>
      <c r="D2623" s="698"/>
      <c r="E2623" s="215"/>
      <c r="F2623" s="215"/>
      <c r="G2623" s="153"/>
      <c r="H2623" s="153"/>
      <c r="I2623" s="165">
        <v>20</v>
      </c>
      <c r="J2623" s="165">
        <v>60</v>
      </c>
      <c r="K2623" s="150">
        <v>1</v>
      </c>
      <c r="L2623" s="656">
        <v>20</v>
      </c>
      <c r="M2623" s="663">
        <v>36370</v>
      </c>
      <c r="N2623" s="600">
        <v>1.7270700000000001</v>
      </c>
      <c r="O2623" s="604">
        <v>1.2899999999999999E-4</v>
      </c>
      <c r="P2623" s="150"/>
      <c r="Q2623" s="250"/>
      <c r="R2623" s="250"/>
      <c r="S2623" s="250"/>
      <c r="T2623" s="250"/>
      <c r="U2623" s="250"/>
      <c r="V2623" s="250">
        <v>0.11111111111111112</v>
      </c>
      <c r="W2623" s="250">
        <v>0.31623931623931634</v>
      </c>
      <c r="X2623" s="250">
        <v>0.57264957264957272</v>
      </c>
      <c r="Y2623" s="250">
        <v>0</v>
      </c>
      <c r="Z2623" s="150">
        <v>1</v>
      </c>
      <c r="AA2623" s="150">
        <v>0.46</v>
      </c>
      <c r="AB2623" s="152"/>
      <c r="AC2623" s="152"/>
      <c r="AD2623" s="223"/>
      <c r="AE2623" s="223"/>
      <c r="AF2623" s="223"/>
      <c r="AG2623" s="223"/>
      <c r="AH2623" s="341"/>
      <c r="AI2623" s="218"/>
      <c r="AJ2623" s="218"/>
      <c r="AK2623" s="153"/>
      <c r="AL2623" s="152"/>
      <c r="AM2623" s="152"/>
      <c r="AN2623" s="152"/>
      <c r="AO2623" s="152"/>
      <c r="AP2623" s="152"/>
      <c r="AQ2623" s="152"/>
      <c r="AR2623" s="152"/>
      <c r="AS2623" s="152"/>
      <c r="AT2623" s="152"/>
      <c r="AU2623" s="153"/>
      <c r="AV2623" s="479"/>
      <c r="AW2623" s="479"/>
      <c r="AX2623" s="442"/>
      <c r="AY2623" s="153"/>
      <c r="AZ2623" s="152"/>
      <c r="BA2623" s="152"/>
      <c r="BB2623" s="152"/>
      <c r="BC2623" s="152"/>
      <c r="BD2623" s="152"/>
      <c r="BE2623" s="152"/>
      <c r="BF2623" s="152"/>
      <c r="BG2623" s="152"/>
      <c r="BH2623" s="152"/>
      <c r="BI2623" s="153"/>
      <c r="BJ2623" s="153"/>
      <c r="BK2623" s="153"/>
      <c r="BL2623" s="153"/>
      <c r="BM2623" s="153"/>
      <c r="BN2623" s="153"/>
      <c r="BO2623" s="153"/>
      <c r="BP2623" s="153"/>
      <c r="BQ2623" s="153"/>
      <c r="BR2623" s="153"/>
      <c r="BS2623" s="153"/>
      <c r="BT2623" s="153"/>
      <c r="BU2623" s="153"/>
      <c r="BV2623" s="153"/>
      <c r="BW2623" s="153"/>
      <c r="BX2623" s="153"/>
      <c r="BY2623" s="153"/>
      <c r="BZ2623" s="153"/>
      <c r="CA2623" s="152"/>
      <c r="CB2623" s="152"/>
    </row>
    <row r="2624" spans="1:80" s="87" customFormat="1" ht="15" x14ac:dyDescent="0.25">
      <c r="A2624" s="152"/>
      <c r="B2624" s="683"/>
      <c r="C2624" s="683"/>
      <c r="D2624" s="698"/>
      <c r="E2624" s="215"/>
      <c r="F2624" s="215"/>
      <c r="G2624" s="153"/>
      <c r="H2624" s="153"/>
      <c r="I2624" s="165">
        <v>22</v>
      </c>
      <c r="J2624" s="165">
        <v>60</v>
      </c>
      <c r="K2624" s="150">
        <v>1</v>
      </c>
      <c r="L2624" s="656">
        <v>22</v>
      </c>
      <c r="M2624" s="663">
        <v>36445</v>
      </c>
      <c r="N2624" s="600">
        <v>0.67666999999999999</v>
      </c>
      <c r="O2624" s="604">
        <v>8.3999999999999992E-6</v>
      </c>
      <c r="P2624" s="150"/>
      <c r="Q2624" s="250"/>
      <c r="R2624" s="250"/>
      <c r="S2624" s="250"/>
      <c r="T2624" s="250"/>
      <c r="U2624" s="250"/>
      <c r="V2624" s="250">
        <v>0</v>
      </c>
      <c r="W2624" s="250">
        <v>0</v>
      </c>
      <c r="X2624" s="250">
        <v>0</v>
      </c>
      <c r="Y2624" s="250">
        <v>1</v>
      </c>
      <c r="Z2624" s="150"/>
      <c r="AA2624" s="150"/>
      <c r="AB2624" s="152"/>
      <c r="AC2624" s="152"/>
      <c r="AD2624" s="223"/>
      <c r="AE2624" s="223"/>
      <c r="AF2624" s="223"/>
      <c r="AG2624" s="223"/>
      <c r="AH2624" s="341"/>
      <c r="AI2624" s="218"/>
      <c r="AJ2624" s="218"/>
      <c r="AK2624" s="153"/>
      <c r="AL2624" s="152"/>
      <c r="AM2624" s="152"/>
      <c r="AN2624" s="152"/>
      <c r="AO2624" s="152"/>
      <c r="AP2624" s="152"/>
      <c r="AQ2624" s="152"/>
      <c r="AR2624" s="152"/>
      <c r="AS2624" s="152"/>
      <c r="AT2624" s="152"/>
      <c r="AU2624" s="153"/>
      <c r="AV2624" s="479"/>
      <c r="AW2624" s="479"/>
      <c r="AX2624" s="442"/>
      <c r="AY2624" s="153"/>
      <c r="AZ2624" s="152"/>
      <c r="BA2624" s="152"/>
      <c r="BB2624" s="152"/>
      <c r="BC2624" s="152"/>
      <c r="BD2624" s="152"/>
      <c r="BE2624" s="152"/>
      <c r="BF2624" s="152"/>
      <c r="BG2624" s="152"/>
      <c r="BH2624" s="152"/>
      <c r="BI2624" s="153"/>
      <c r="BJ2624" s="153"/>
      <c r="BK2624" s="153"/>
      <c r="BL2624" s="153"/>
      <c r="BM2624" s="153"/>
      <c r="BN2624" s="153"/>
      <c r="BO2624" s="153"/>
      <c r="BP2624" s="153"/>
      <c r="BQ2624" s="153"/>
      <c r="BR2624" s="153"/>
      <c r="BS2624" s="153"/>
      <c r="BT2624" s="153"/>
      <c r="BU2624" s="153"/>
      <c r="BV2624" s="153"/>
      <c r="BW2624" s="153"/>
      <c r="BX2624" s="153"/>
      <c r="BY2624" s="153"/>
      <c r="BZ2624" s="153"/>
      <c r="CA2624" s="152"/>
      <c r="CB2624" s="152"/>
    </row>
    <row r="2625" spans="1:80" ht="15" x14ac:dyDescent="0.25">
      <c r="A2625" s="9" t="s">
        <v>193</v>
      </c>
      <c r="B2625" s="639" t="s">
        <v>66</v>
      </c>
      <c r="C2625" s="639"/>
      <c r="D2625" s="4">
        <f>VLOOKUP(E2625,'Quality Code'!D4:E24,2,TRUE)*VLOOKUP(MROUND(F2625,10),'Quality Code'!D28:E69,2,TRUE)*VLOOKUP(COUNTA(CB2625:CB2635),'Quality Code'!D73:E93,2,TRUE)</f>
        <v>2.8000000000000003</v>
      </c>
      <c r="E2625" s="14">
        <v>0.8</v>
      </c>
      <c r="F2625" s="18">
        <v>72</v>
      </c>
      <c r="G2625" s="12">
        <v>3054.34</v>
      </c>
      <c r="H2625" s="2" t="s">
        <v>231</v>
      </c>
      <c r="I2625" s="10"/>
      <c r="J2625" s="10" t="s">
        <v>283</v>
      </c>
      <c r="K2625" s="10"/>
      <c r="L2625" s="640" t="s">
        <v>284</v>
      </c>
      <c r="M2625" s="640" t="s">
        <v>838</v>
      </c>
      <c r="N2625" s="579" t="s">
        <v>285</v>
      </c>
      <c r="O2625" s="579"/>
      <c r="P2625" s="10" t="s">
        <v>64</v>
      </c>
      <c r="Q2625" s="10" t="s">
        <v>64</v>
      </c>
      <c r="R2625" s="10" t="s">
        <v>64</v>
      </c>
      <c r="S2625" s="10" t="s">
        <v>64</v>
      </c>
      <c r="T2625" s="10" t="s">
        <v>64</v>
      </c>
      <c r="U2625" s="10" t="s">
        <v>64</v>
      </c>
      <c r="V2625" s="10"/>
      <c r="W2625" s="10"/>
      <c r="X2625" s="10"/>
      <c r="Y2625" s="10"/>
      <c r="Z2625" s="11"/>
      <c r="AA2625" s="81"/>
      <c r="AB2625" s="81"/>
      <c r="AC2625" s="116">
        <v>2.3E-3</v>
      </c>
      <c r="AD2625" s="11"/>
      <c r="AE2625" s="11"/>
      <c r="AF2625" s="10"/>
      <c r="AG2625" s="10"/>
      <c r="AH2625" s="345" t="s">
        <v>336</v>
      </c>
      <c r="AI2625" s="18">
        <v>26.2</v>
      </c>
      <c r="AJ2625" s="17">
        <v>0.95758900000000002</v>
      </c>
      <c r="AK2625" s="17">
        <v>0.84949600000000003</v>
      </c>
      <c r="AL2625" s="17">
        <v>0.742923</v>
      </c>
      <c r="AM2625" s="17">
        <v>0.54546799999999995</v>
      </c>
      <c r="AN2625" s="17">
        <v>0.37842500000000001</v>
      </c>
      <c r="AO2625" s="17">
        <v>0.244033</v>
      </c>
      <c r="AP2625" s="17">
        <v>0.17099300000000001</v>
      </c>
      <c r="AQ2625" s="17">
        <v>0.12031799999999999</v>
      </c>
      <c r="AR2625" s="17">
        <v>5.7869999999999998E-2</v>
      </c>
      <c r="AS2625" s="17">
        <v>1.728E-2</v>
      </c>
      <c r="AT2625" s="17">
        <v>2.97E-3</v>
      </c>
      <c r="AU2625" s="18">
        <v>132</v>
      </c>
      <c r="AV2625" s="17">
        <v>0.99233000000000005</v>
      </c>
      <c r="AW2625" s="17">
        <v>0.97953999999999997</v>
      </c>
      <c r="AX2625" s="17">
        <v>0.82096999999999998</v>
      </c>
      <c r="AY2625" s="17">
        <v>0.47059000000000001</v>
      </c>
      <c r="AZ2625" s="17">
        <v>0.22761999999999999</v>
      </c>
      <c r="BA2625" s="17">
        <v>0.12275999999999999</v>
      </c>
      <c r="BB2625" s="17">
        <v>6.905E-2</v>
      </c>
      <c r="BC2625" s="17">
        <v>5.6270000000000001E-2</v>
      </c>
      <c r="BD2625" s="17">
        <v>4.6039999999999998E-2</v>
      </c>
      <c r="BE2625" s="17">
        <v>4.3479999999999998E-2</v>
      </c>
      <c r="BF2625" s="17">
        <v>2.5600000000000002E-3</v>
      </c>
      <c r="BG2625" s="17"/>
      <c r="BH2625" s="17"/>
      <c r="BI2625" s="4">
        <f>AU2625/AI2625</f>
        <v>5.0381679389312977</v>
      </c>
      <c r="BJ2625" s="2" t="s">
        <v>68</v>
      </c>
      <c r="BK2625" s="2" t="s">
        <v>175</v>
      </c>
      <c r="BL2625" s="12"/>
      <c r="BM2625" s="12">
        <v>445.92500000000001</v>
      </c>
      <c r="BN2625" s="12">
        <v>80.464560000000006</v>
      </c>
      <c r="BO2625" s="12">
        <v>2.6425293000000001</v>
      </c>
      <c r="BP2625" s="12">
        <v>212.72726</v>
      </c>
      <c r="BQ2625" s="12">
        <f>BN2625/BO2625</f>
        <v>30.449826989619378</v>
      </c>
      <c r="BR2625" s="12" t="s">
        <v>29</v>
      </c>
      <c r="BS2625" s="12"/>
      <c r="BT2625" s="12">
        <v>3.5965220000000002</v>
      </c>
      <c r="BU2625" s="2"/>
      <c r="BV2625" s="2"/>
      <c r="BW2625" s="2"/>
      <c r="BX2625" s="2"/>
      <c r="BY2625" s="2"/>
      <c r="BZ2625" s="2"/>
      <c r="CA2625" s="381"/>
      <c r="CB2625" s="9" t="s">
        <v>224</v>
      </c>
    </row>
    <row r="2626" spans="1:80" s="87" customFormat="1" ht="15" x14ac:dyDescent="0.25">
      <c r="A2626" s="152"/>
      <c r="B2626" s="683"/>
      <c r="C2626" s="683"/>
      <c r="D2626" s="698"/>
      <c r="E2626" s="215"/>
      <c r="F2626" s="215"/>
      <c r="G2626" s="153"/>
      <c r="H2626" s="153"/>
      <c r="I2626" s="313">
        <v>21</v>
      </c>
      <c r="J2626" s="313">
        <v>60</v>
      </c>
      <c r="K2626" s="150">
        <v>1</v>
      </c>
      <c r="L2626" s="656">
        <v>21</v>
      </c>
      <c r="M2626" s="663">
        <v>34445</v>
      </c>
      <c r="N2626" s="600">
        <v>281.428</v>
      </c>
      <c r="O2626" s="604">
        <v>6.4654000000000003E-2</v>
      </c>
      <c r="P2626" s="150"/>
      <c r="Q2626" s="250"/>
      <c r="R2626" s="250"/>
      <c r="S2626" s="250"/>
      <c r="T2626" s="250"/>
      <c r="U2626" s="250">
        <v>3.1E-2</v>
      </c>
      <c r="V2626" s="250">
        <v>0.252</v>
      </c>
      <c r="W2626" s="250">
        <v>0.45799999999999996</v>
      </c>
      <c r="X2626" s="250">
        <v>0.24100000000000002</v>
      </c>
      <c r="Y2626" s="250">
        <v>1.8000000000000002E-2</v>
      </c>
      <c r="Z2626" s="150"/>
      <c r="AA2626" s="150">
        <v>0.72</v>
      </c>
      <c r="AB2626" s="152"/>
      <c r="AC2626" s="152"/>
      <c r="AD2626" s="223"/>
      <c r="AE2626" s="223"/>
      <c r="AF2626" s="223"/>
      <c r="AG2626" s="223"/>
      <c r="AH2626" s="341"/>
      <c r="AI2626" s="218"/>
      <c r="AJ2626" s="218"/>
      <c r="AK2626" s="153"/>
      <c r="AL2626" s="152"/>
      <c r="AM2626" s="152"/>
      <c r="AN2626" s="152"/>
      <c r="AO2626" s="152"/>
      <c r="AP2626" s="152"/>
      <c r="AQ2626" s="152"/>
      <c r="AR2626" s="152"/>
      <c r="AS2626" s="152"/>
      <c r="AT2626" s="152"/>
      <c r="AU2626" s="153"/>
      <c r="AV2626" s="479"/>
      <c r="AW2626" s="479"/>
      <c r="AX2626" s="442"/>
      <c r="AY2626" s="153"/>
      <c r="AZ2626" s="152"/>
      <c r="BA2626" s="152"/>
      <c r="BB2626" s="152"/>
      <c r="BC2626" s="152"/>
      <c r="BD2626" s="152"/>
      <c r="BE2626" s="152"/>
      <c r="BF2626" s="152"/>
      <c r="BG2626" s="152"/>
      <c r="BH2626" s="152"/>
      <c r="BI2626" s="153"/>
      <c r="BJ2626" s="153"/>
      <c r="BK2626" s="153"/>
      <c r="BL2626" s="153"/>
      <c r="BM2626" s="153"/>
      <c r="BN2626" s="153"/>
      <c r="BO2626" s="153"/>
      <c r="BP2626" s="153"/>
      <c r="BQ2626" s="153"/>
      <c r="BR2626" s="153"/>
      <c r="BS2626" s="153"/>
      <c r="BT2626" s="153"/>
      <c r="BU2626" s="153"/>
      <c r="BV2626" s="153"/>
      <c r="BW2626" s="153"/>
      <c r="BX2626" s="153"/>
      <c r="BY2626" s="153"/>
      <c r="BZ2626" s="153"/>
      <c r="CA2626" s="152"/>
      <c r="CB2626" s="486" t="s">
        <v>638</v>
      </c>
    </row>
    <row r="2627" spans="1:80" s="87" customFormat="1" ht="15" x14ac:dyDescent="0.25">
      <c r="A2627" s="152"/>
      <c r="B2627" s="683"/>
      <c r="C2627" s="683"/>
      <c r="D2627" s="698"/>
      <c r="E2627" s="215"/>
      <c r="F2627" s="215"/>
      <c r="G2627" s="153"/>
      <c r="H2627" s="153"/>
      <c r="I2627" s="313">
        <v>21</v>
      </c>
      <c r="J2627" s="313">
        <v>60</v>
      </c>
      <c r="K2627" s="150">
        <v>1</v>
      </c>
      <c r="L2627" s="656">
        <v>21</v>
      </c>
      <c r="M2627" s="663">
        <v>34445</v>
      </c>
      <c r="N2627" s="600">
        <v>281.428</v>
      </c>
      <c r="O2627" s="604">
        <v>8.6485000000000006E-2</v>
      </c>
      <c r="P2627" s="150"/>
      <c r="Q2627" s="250"/>
      <c r="R2627" s="250"/>
      <c r="S2627" s="250"/>
      <c r="T2627" s="250">
        <v>6.9999999999999993E-3</v>
      </c>
      <c r="U2627" s="250">
        <v>2.8999999999999998E-2</v>
      </c>
      <c r="V2627" s="250">
        <v>0.191</v>
      </c>
      <c r="W2627" s="250">
        <v>0.45299999999999996</v>
      </c>
      <c r="X2627" s="250">
        <v>0.29499999999999998</v>
      </c>
      <c r="Y2627" s="250">
        <v>2.5000000000000001E-2</v>
      </c>
      <c r="Z2627" s="150"/>
      <c r="AA2627" s="150">
        <v>0.66</v>
      </c>
      <c r="AB2627" s="152"/>
      <c r="AC2627" s="152"/>
      <c r="AD2627" s="223"/>
      <c r="AE2627" s="223"/>
      <c r="AF2627" s="223"/>
      <c r="AG2627" s="223"/>
      <c r="AH2627" s="341"/>
      <c r="AI2627" s="218"/>
      <c r="AJ2627" s="218"/>
      <c r="AK2627" s="153"/>
      <c r="AL2627" s="152"/>
      <c r="AM2627" s="152"/>
      <c r="AN2627" s="152"/>
      <c r="AO2627" s="152"/>
      <c r="AP2627" s="152"/>
      <c r="AQ2627" s="152"/>
      <c r="AR2627" s="152"/>
      <c r="AS2627" s="152"/>
      <c r="AT2627" s="152"/>
      <c r="AU2627" s="153"/>
      <c r="AV2627" s="479"/>
      <c r="AW2627" s="479"/>
      <c r="AX2627" s="442"/>
      <c r="AY2627" s="153"/>
      <c r="AZ2627" s="152"/>
      <c r="BA2627" s="152"/>
      <c r="BB2627" s="152"/>
      <c r="BC2627" s="152"/>
      <c r="BD2627" s="152"/>
      <c r="BE2627" s="152"/>
      <c r="BF2627" s="152"/>
      <c r="BG2627" s="152"/>
      <c r="BH2627" s="152"/>
      <c r="BI2627" s="153"/>
      <c r="BJ2627" s="153"/>
      <c r="BK2627" s="153"/>
      <c r="BL2627" s="153"/>
      <c r="BM2627" s="153"/>
      <c r="BN2627" s="153"/>
      <c r="BO2627" s="153"/>
      <c r="BP2627" s="153"/>
      <c r="BQ2627" s="153"/>
      <c r="BR2627" s="153"/>
      <c r="BS2627" s="153"/>
      <c r="BT2627" s="153"/>
      <c r="BU2627" s="153"/>
      <c r="BV2627" s="153"/>
      <c r="BW2627" s="153"/>
      <c r="BX2627" s="153"/>
      <c r="BY2627" s="153"/>
      <c r="BZ2627" s="153"/>
      <c r="CA2627" s="152"/>
      <c r="CB2627" s="486" t="s">
        <v>639</v>
      </c>
    </row>
    <row r="2628" spans="1:80" s="87" customFormat="1" ht="15" x14ac:dyDescent="0.25">
      <c r="A2628" s="152"/>
      <c r="B2628" s="683"/>
      <c r="C2628" s="683"/>
      <c r="D2628" s="698"/>
      <c r="E2628" s="215"/>
      <c r="F2628" s="215"/>
      <c r="G2628" s="153"/>
      <c r="H2628" s="153"/>
      <c r="I2628" s="313">
        <v>21</v>
      </c>
      <c r="J2628" s="313">
        <v>60</v>
      </c>
      <c r="K2628" s="150">
        <v>2</v>
      </c>
      <c r="L2628" s="656">
        <v>42</v>
      </c>
      <c r="M2628" s="663">
        <v>34446</v>
      </c>
      <c r="N2628" s="600">
        <v>328.42700000000002</v>
      </c>
      <c r="O2628" s="604">
        <v>0.29702899999999999</v>
      </c>
      <c r="P2628" s="150"/>
      <c r="Q2628" s="250"/>
      <c r="R2628" s="250">
        <v>2.3E-2</v>
      </c>
      <c r="S2628" s="250">
        <v>3.7000000000000005E-2</v>
      </c>
      <c r="T2628" s="250">
        <v>5.4000000000000006E-2</v>
      </c>
      <c r="U2628" s="250">
        <v>8.4000000000000005E-2</v>
      </c>
      <c r="V2628" s="250">
        <v>0.27800000000000002</v>
      </c>
      <c r="W2628" s="250">
        <v>0.33100000000000002</v>
      </c>
      <c r="X2628" s="250">
        <v>0.17899999999999999</v>
      </c>
      <c r="Y2628" s="250">
        <v>1.3999999999999999E-2</v>
      </c>
      <c r="Z2628" s="150"/>
      <c r="AA2628" s="150">
        <v>0.95</v>
      </c>
      <c r="AB2628" s="152"/>
      <c r="AC2628" s="152"/>
      <c r="AD2628" s="223"/>
      <c r="AE2628" s="223"/>
      <c r="AF2628" s="223"/>
      <c r="AG2628" s="223"/>
      <c r="AH2628" s="341"/>
      <c r="AI2628" s="218"/>
      <c r="AJ2628" s="218"/>
      <c r="AK2628" s="153"/>
      <c r="AL2628" s="152"/>
      <c r="AM2628" s="152"/>
      <c r="AN2628" s="152"/>
      <c r="AO2628" s="152"/>
      <c r="AP2628" s="152"/>
      <c r="AQ2628" s="152"/>
      <c r="AR2628" s="152"/>
      <c r="AS2628" s="152"/>
      <c r="AT2628" s="152"/>
      <c r="AU2628" s="153"/>
      <c r="AV2628" s="479"/>
      <c r="AW2628" s="479"/>
      <c r="AX2628" s="442"/>
      <c r="AY2628" s="153"/>
      <c r="AZ2628" s="152"/>
      <c r="BA2628" s="152"/>
      <c r="BB2628" s="152"/>
      <c r="BC2628" s="152"/>
      <c r="BD2628" s="152"/>
      <c r="BE2628" s="152"/>
      <c r="BF2628" s="152"/>
      <c r="BG2628" s="152"/>
      <c r="BH2628" s="152"/>
      <c r="BI2628" s="153"/>
      <c r="BJ2628" s="153"/>
      <c r="BK2628" s="153"/>
      <c r="BL2628" s="153"/>
      <c r="BM2628" s="153"/>
      <c r="BN2628" s="153"/>
      <c r="BO2628" s="153"/>
      <c r="BP2628" s="153"/>
      <c r="BQ2628" s="153"/>
      <c r="BR2628" s="153"/>
      <c r="BS2628" s="153"/>
      <c r="BT2628" s="153"/>
      <c r="BU2628" s="153"/>
      <c r="BV2628" s="153"/>
      <c r="BW2628" s="153"/>
      <c r="BX2628" s="153"/>
      <c r="BY2628" s="153"/>
      <c r="BZ2628" s="153"/>
      <c r="CA2628" s="152"/>
      <c r="CB2628" s="486" t="s">
        <v>640</v>
      </c>
    </row>
    <row r="2629" spans="1:80" s="87" customFormat="1" ht="15" x14ac:dyDescent="0.25">
      <c r="A2629" s="152"/>
      <c r="B2629" s="683"/>
      <c r="C2629" s="683"/>
      <c r="D2629" s="698"/>
      <c r="E2629" s="215"/>
      <c r="F2629" s="215"/>
      <c r="G2629" s="153"/>
      <c r="H2629" s="153"/>
      <c r="I2629" s="313">
        <v>21</v>
      </c>
      <c r="J2629" s="313">
        <v>60</v>
      </c>
      <c r="K2629" s="150">
        <v>3</v>
      </c>
      <c r="L2629" s="656">
        <v>63</v>
      </c>
      <c r="M2629" s="663">
        <v>34446</v>
      </c>
      <c r="N2629" s="600">
        <v>328.42700000000002</v>
      </c>
      <c r="O2629" s="604">
        <v>0.27288899999999999</v>
      </c>
      <c r="P2629" s="150"/>
      <c r="Q2629" s="250"/>
      <c r="R2629" s="250">
        <v>0.03</v>
      </c>
      <c r="S2629" s="250">
        <v>3.0000000000000001E-3</v>
      </c>
      <c r="T2629" s="250">
        <v>1.6E-2</v>
      </c>
      <c r="U2629" s="250">
        <v>6.5000000000000002E-2</v>
      </c>
      <c r="V2629" s="250">
        <v>0.33200000000000002</v>
      </c>
      <c r="W2629" s="250">
        <v>0.4</v>
      </c>
      <c r="X2629" s="250">
        <v>0.14099999999999999</v>
      </c>
      <c r="Y2629" s="250">
        <v>1.3000000000000001E-2</v>
      </c>
      <c r="Z2629" s="150"/>
      <c r="AA2629" s="150">
        <v>0.91</v>
      </c>
      <c r="AB2629" s="152"/>
      <c r="AC2629" s="152"/>
      <c r="AD2629" s="223"/>
      <c r="AE2629" s="223"/>
      <c r="AF2629" s="223"/>
      <c r="AG2629" s="223"/>
      <c r="AH2629" s="341"/>
      <c r="AI2629" s="218"/>
      <c r="AJ2629" s="218"/>
      <c r="AK2629" s="153"/>
      <c r="AL2629" s="152"/>
      <c r="AM2629" s="152"/>
      <c r="AN2629" s="152"/>
      <c r="AO2629" s="152"/>
      <c r="AP2629" s="152"/>
      <c r="AQ2629" s="152"/>
      <c r="AR2629" s="152"/>
      <c r="AS2629" s="152"/>
      <c r="AT2629" s="152"/>
      <c r="AU2629" s="153"/>
      <c r="AV2629" s="479"/>
      <c r="AW2629" s="479"/>
      <c r="AX2629" s="442"/>
      <c r="AY2629" s="153"/>
      <c r="AZ2629" s="152"/>
      <c r="BA2629" s="152"/>
      <c r="BB2629" s="152"/>
      <c r="BC2629" s="152"/>
      <c r="BD2629" s="152"/>
      <c r="BE2629" s="152"/>
      <c r="BF2629" s="152"/>
      <c r="BG2629" s="152"/>
      <c r="BH2629" s="152"/>
      <c r="BI2629" s="153"/>
      <c r="BJ2629" s="153"/>
      <c r="BK2629" s="153"/>
      <c r="BL2629" s="153"/>
      <c r="BM2629" s="153"/>
      <c r="BN2629" s="153"/>
      <c r="BO2629" s="153"/>
      <c r="BP2629" s="153"/>
      <c r="BQ2629" s="153"/>
      <c r="BR2629" s="153"/>
      <c r="BS2629" s="153"/>
      <c r="BT2629" s="153"/>
      <c r="BU2629" s="153"/>
      <c r="BV2629" s="153"/>
      <c r="BW2629" s="153"/>
      <c r="BX2629" s="153"/>
      <c r="BY2629" s="153"/>
      <c r="BZ2629" s="153"/>
      <c r="CA2629" s="152"/>
      <c r="CB2629" s="152"/>
    </row>
    <row r="2630" spans="1:80" s="87" customFormat="1" ht="15" x14ac:dyDescent="0.25">
      <c r="A2630" s="152"/>
      <c r="B2630" s="683"/>
      <c r="C2630" s="683"/>
      <c r="D2630" s="698"/>
      <c r="E2630" s="215"/>
      <c r="F2630" s="215"/>
      <c r="G2630" s="153"/>
      <c r="H2630" s="153"/>
      <c r="I2630" s="313">
        <v>20</v>
      </c>
      <c r="J2630" s="313">
        <v>60</v>
      </c>
      <c r="K2630" s="150">
        <v>4</v>
      </c>
      <c r="L2630" s="656">
        <v>80</v>
      </c>
      <c r="M2630" s="663">
        <v>34450</v>
      </c>
      <c r="N2630" s="600">
        <v>225.65199999999999</v>
      </c>
      <c r="O2630" s="604">
        <v>9.4461000000000003E-2</v>
      </c>
      <c r="P2630" s="150"/>
      <c r="Q2630" s="250"/>
      <c r="R2630" s="250"/>
      <c r="S2630" s="250">
        <v>6.9999999999999993E-3</v>
      </c>
      <c r="T2630" s="250">
        <v>5.2000000000000005E-2</v>
      </c>
      <c r="U2630" s="250">
        <v>8.900000000000001E-2</v>
      </c>
      <c r="V2630" s="250">
        <v>0.39799999999999996</v>
      </c>
      <c r="W2630" s="250">
        <v>0.35299999999999998</v>
      </c>
      <c r="X2630" s="250">
        <v>9.0999999999999998E-2</v>
      </c>
      <c r="Y2630" s="250">
        <v>0.01</v>
      </c>
      <c r="Z2630" s="150"/>
      <c r="AA2630" s="150">
        <v>1.08</v>
      </c>
      <c r="AB2630" s="152"/>
      <c r="AC2630" s="152"/>
      <c r="AD2630" s="223"/>
      <c r="AE2630" s="223"/>
      <c r="AF2630" s="223"/>
      <c r="AG2630" s="223"/>
      <c r="AH2630" s="341"/>
      <c r="AI2630" s="218"/>
      <c r="AJ2630" s="218"/>
      <c r="AK2630" s="153"/>
      <c r="AL2630" s="152"/>
      <c r="AM2630" s="152"/>
      <c r="AN2630" s="152"/>
      <c r="AO2630" s="152"/>
      <c r="AP2630" s="152"/>
      <c r="AQ2630" s="152"/>
      <c r="AR2630" s="152"/>
      <c r="AS2630" s="152"/>
      <c r="AT2630" s="152"/>
      <c r="AU2630" s="153"/>
      <c r="AV2630" s="479"/>
      <c r="AW2630" s="479"/>
      <c r="AX2630" s="442"/>
      <c r="AY2630" s="153"/>
      <c r="AZ2630" s="152"/>
      <c r="BA2630" s="152"/>
      <c r="BB2630" s="152"/>
      <c r="BC2630" s="152"/>
      <c r="BD2630" s="152"/>
      <c r="BE2630" s="152"/>
      <c r="BF2630" s="152"/>
      <c r="BG2630" s="152"/>
      <c r="BH2630" s="152"/>
      <c r="BI2630" s="153"/>
      <c r="BJ2630" s="153"/>
      <c r="BK2630" s="153"/>
      <c r="BL2630" s="153"/>
      <c r="BM2630" s="153"/>
      <c r="BN2630" s="153"/>
      <c r="BO2630" s="153"/>
      <c r="BP2630" s="153"/>
      <c r="BQ2630" s="153"/>
      <c r="BR2630" s="153"/>
      <c r="BS2630" s="153"/>
      <c r="BT2630" s="153"/>
      <c r="BU2630" s="153"/>
      <c r="BV2630" s="153"/>
      <c r="BW2630" s="153"/>
      <c r="BX2630" s="153"/>
      <c r="BY2630" s="153"/>
      <c r="BZ2630" s="153"/>
      <c r="CA2630" s="152"/>
      <c r="CB2630" s="152"/>
    </row>
    <row r="2631" spans="1:80" s="87" customFormat="1" ht="15" x14ac:dyDescent="0.25">
      <c r="A2631" s="152"/>
      <c r="B2631" s="683"/>
      <c r="C2631" s="683"/>
      <c r="D2631" s="698"/>
      <c r="E2631" s="215"/>
      <c r="F2631" s="215"/>
      <c r="G2631" s="153"/>
      <c r="H2631" s="153"/>
      <c r="I2631" s="313">
        <v>20</v>
      </c>
      <c r="J2631" s="313">
        <v>60</v>
      </c>
      <c r="K2631" s="150">
        <v>5</v>
      </c>
      <c r="L2631" s="656">
        <v>100</v>
      </c>
      <c r="M2631" s="663">
        <v>34450</v>
      </c>
      <c r="N2631" s="600">
        <v>225.65199999999999</v>
      </c>
      <c r="O2631" s="604">
        <v>3.6839999999999998E-2</v>
      </c>
      <c r="P2631" s="150"/>
      <c r="Q2631" s="250"/>
      <c r="R2631" s="250"/>
      <c r="S2631" s="250"/>
      <c r="T2631" s="250">
        <v>4.0000000000000001E-3</v>
      </c>
      <c r="U2631" s="250">
        <v>2.5000000000000001E-2</v>
      </c>
      <c r="V2631" s="250">
        <v>0.27</v>
      </c>
      <c r="W2631" s="250">
        <v>0.46100000000000002</v>
      </c>
      <c r="X2631" s="250">
        <v>0.22</v>
      </c>
      <c r="Y2631" s="250">
        <v>0.02</v>
      </c>
      <c r="Z2631" s="150"/>
      <c r="AA2631" s="150">
        <v>0.74</v>
      </c>
      <c r="AB2631" s="152"/>
      <c r="AC2631" s="152"/>
      <c r="AD2631" s="223"/>
      <c r="AE2631" s="223"/>
      <c r="AF2631" s="223"/>
      <c r="AG2631" s="223"/>
      <c r="AH2631" s="341"/>
      <c r="AI2631" s="218"/>
      <c r="AJ2631" s="218"/>
      <c r="AK2631" s="153"/>
      <c r="AL2631" s="152"/>
      <c r="AM2631" s="152"/>
      <c r="AN2631" s="152"/>
      <c r="AO2631" s="152"/>
      <c r="AP2631" s="152"/>
      <c r="AQ2631" s="152"/>
      <c r="AR2631" s="152"/>
      <c r="AS2631" s="152"/>
      <c r="AT2631" s="152"/>
      <c r="AU2631" s="153"/>
      <c r="AV2631" s="479"/>
      <c r="AW2631" s="479"/>
      <c r="AX2631" s="442"/>
      <c r="AY2631" s="153"/>
      <c r="AZ2631" s="152"/>
      <c r="BA2631" s="152"/>
      <c r="BB2631" s="152"/>
      <c r="BC2631" s="152"/>
      <c r="BD2631" s="152"/>
      <c r="BE2631" s="152"/>
      <c r="BF2631" s="152"/>
      <c r="BG2631" s="152"/>
      <c r="BH2631" s="152"/>
      <c r="BI2631" s="153"/>
      <c r="BJ2631" s="153"/>
      <c r="BK2631" s="153"/>
      <c r="BL2631" s="153"/>
      <c r="BM2631" s="153"/>
      <c r="BN2631" s="153"/>
      <c r="BO2631" s="153"/>
      <c r="BP2631" s="153"/>
      <c r="BQ2631" s="153"/>
      <c r="BR2631" s="153"/>
      <c r="BS2631" s="153"/>
      <c r="BT2631" s="153"/>
      <c r="BU2631" s="153"/>
      <c r="BV2631" s="153"/>
      <c r="BW2631" s="153"/>
      <c r="BX2631" s="153"/>
      <c r="BY2631" s="153"/>
      <c r="BZ2631" s="153"/>
      <c r="CA2631" s="152"/>
      <c r="CB2631" s="152"/>
    </row>
    <row r="2632" spans="1:80" s="87" customFormat="1" ht="15" x14ac:dyDescent="0.25">
      <c r="A2632" s="152"/>
      <c r="B2632" s="683"/>
      <c r="C2632" s="683"/>
      <c r="D2632" s="698"/>
      <c r="E2632" s="215"/>
      <c r="F2632" s="215"/>
      <c r="G2632" s="153"/>
      <c r="H2632" s="153"/>
      <c r="I2632" s="313">
        <v>20</v>
      </c>
      <c r="J2632" s="313">
        <v>60</v>
      </c>
      <c r="K2632" s="150">
        <v>6</v>
      </c>
      <c r="L2632" s="656">
        <v>120</v>
      </c>
      <c r="M2632" s="663">
        <v>34451</v>
      </c>
      <c r="N2632" s="600">
        <v>193.376</v>
      </c>
      <c r="O2632" s="604">
        <v>2.1410999999999999E-2</v>
      </c>
      <c r="P2632" s="150"/>
      <c r="Q2632" s="250"/>
      <c r="R2632" s="250"/>
      <c r="S2632" s="250"/>
      <c r="T2632" s="250"/>
      <c r="U2632" s="250">
        <v>5.2999999999999999E-2</v>
      </c>
      <c r="V2632" s="250">
        <v>0.31900000000000001</v>
      </c>
      <c r="W2632" s="250">
        <v>0.42499999999999999</v>
      </c>
      <c r="X2632" s="250">
        <v>0.17699999999999999</v>
      </c>
      <c r="Y2632" s="250">
        <v>2.6000000000000002E-2</v>
      </c>
      <c r="Z2632" s="150"/>
      <c r="AA2632" s="150">
        <v>0.81</v>
      </c>
      <c r="AB2632" s="152"/>
      <c r="AC2632" s="152"/>
      <c r="AD2632" s="223"/>
      <c r="AE2632" s="223"/>
      <c r="AF2632" s="223"/>
      <c r="AG2632" s="223"/>
      <c r="AH2632" s="341"/>
      <c r="AI2632" s="218"/>
      <c r="AJ2632" s="218"/>
      <c r="AK2632" s="153"/>
      <c r="AL2632" s="152"/>
      <c r="AM2632" s="152"/>
      <c r="AN2632" s="152"/>
      <c r="AO2632" s="152"/>
      <c r="AP2632" s="152"/>
      <c r="AQ2632" s="152"/>
      <c r="AR2632" s="152"/>
      <c r="AS2632" s="152"/>
      <c r="AT2632" s="152"/>
      <c r="AU2632" s="153"/>
      <c r="AV2632" s="479"/>
      <c r="AW2632" s="479"/>
      <c r="AX2632" s="442"/>
      <c r="AY2632" s="153"/>
      <c r="AZ2632" s="152"/>
      <c r="BA2632" s="152"/>
      <c r="BB2632" s="152"/>
      <c r="BC2632" s="152"/>
      <c r="BD2632" s="152"/>
      <c r="BE2632" s="152"/>
      <c r="BF2632" s="152"/>
      <c r="BG2632" s="152"/>
      <c r="BH2632" s="152"/>
      <c r="BI2632" s="153"/>
      <c r="BJ2632" s="153"/>
      <c r="BK2632" s="153"/>
      <c r="BL2632" s="153"/>
      <c r="BM2632" s="153"/>
      <c r="BN2632" s="153"/>
      <c r="BO2632" s="153"/>
      <c r="BP2632" s="153"/>
      <c r="BQ2632" s="153"/>
      <c r="BR2632" s="153"/>
      <c r="BS2632" s="153"/>
      <c r="BT2632" s="153"/>
      <c r="BU2632" s="153"/>
      <c r="BV2632" s="153"/>
      <c r="BW2632" s="153"/>
      <c r="BX2632" s="153"/>
      <c r="BY2632" s="153"/>
      <c r="BZ2632" s="153"/>
      <c r="CA2632" s="152"/>
      <c r="CB2632" s="152"/>
    </row>
    <row r="2633" spans="1:80" s="87" customFormat="1" ht="15" x14ac:dyDescent="0.25">
      <c r="A2633" s="152"/>
      <c r="B2633" s="683"/>
      <c r="C2633" s="683"/>
      <c r="D2633" s="698"/>
      <c r="E2633" s="215"/>
      <c r="F2633" s="215"/>
      <c r="G2633" s="153"/>
      <c r="H2633" s="153"/>
      <c r="I2633" s="313">
        <v>20</v>
      </c>
      <c r="J2633" s="313">
        <v>60</v>
      </c>
      <c r="K2633" s="150">
        <v>7</v>
      </c>
      <c r="L2633" s="656">
        <v>140</v>
      </c>
      <c r="M2633" s="663">
        <v>34451</v>
      </c>
      <c r="N2633" s="600">
        <v>193.376</v>
      </c>
      <c r="O2633" s="604">
        <v>1.9522000000000001E-2</v>
      </c>
      <c r="P2633" s="150"/>
      <c r="Q2633" s="250"/>
      <c r="R2633" s="250"/>
      <c r="S2633" s="250"/>
      <c r="T2633" s="250"/>
      <c r="U2633" s="250">
        <v>7.0000000000000007E-2</v>
      </c>
      <c r="V2633" s="250">
        <v>0.32299999999999995</v>
      </c>
      <c r="W2633" s="250">
        <v>0.43799999999999994</v>
      </c>
      <c r="X2633" s="250">
        <v>0.14400000000000002</v>
      </c>
      <c r="Y2633" s="250">
        <v>2.5000000000000001E-2</v>
      </c>
      <c r="Z2633" s="150"/>
      <c r="AA2633" s="150">
        <v>0.84</v>
      </c>
      <c r="AB2633" s="152"/>
      <c r="AC2633" s="152"/>
      <c r="AD2633" s="223"/>
      <c r="AE2633" s="223"/>
      <c r="AF2633" s="223"/>
      <c r="AG2633" s="223"/>
      <c r="AH2633" s="341"/>
      <c r="AI2633" s="218"/>
      <c r="AJ2633" s="218"/>
      <c r="AK2633" s="153"/>
      <c r="AL2633" s="152"/>
      <c r="AM2633" s="152"/>
      <c r="AN2633" s="152"/>
      <c r="AO2633" s="152"/>
      <c r="AP2633" s="152"/>
      <c r="AQ2633" s="152"/>
      <c r="AR2633" s="152"/>
      <c r="AS2633" s="152"/>
      <c r="AT2633" s="152"/>
      <c r="AU2633" s="153"/>
      <c r="AV2633" s="479"/>
      <c r="AW2633" s="479"/>
      <c r="AX2633" s="442"/>
      <c r="AY2633" s="153"/>
      <c r="AZ2633" s="152"/>
      <c r="BA2633" s="152"/>
      <c r="BB2633" s="152"/>
      <c r="BC2633" s="152"/>
      <c r="BD2633" s="152"/>
      <c r="BE2633" s="152"/>
      <c r="BF2633" s="152"/>
      <c r="BG2633" s="152"/>
      <c r="BH2633" s="152"/>
      <c r="BI2633" s="153"/>
      <c r="BJ2633" s="153"/>
      <c r="BK2633" s="153"/>
      <c r="BL2633" s="153"/>
      <c r="BM2633" s="153"/>
      <c r="BN2633" s="153"/>
      <c r="BO2633" s="153"/>
      <c r="BP2633" s="153"/>
      <c r="BQ2633" s="153"/>
      <c r="BR2633" s="153"/>
      <c r="BS2633" s="153"/>
      <c r="BT2633" s="153"/>
      <c r="BU2633" s="153"/>
      <c r="BV2633" s="153"/>
      <c r="BW2633" s="153"/>
      <c r="BX2633" s="153"/>
      <c r="BY2633" s="153"/>
      <c r="BZ2633" s="153"/>
      <c r="CA2633" s="152"/>
      <c r="CB2633" s="152"/>
    </row>
    <row r="2634" spans="1:80" s="87" customFormat="1" ht="15" x14ac:dyDescent="0.25">
      <c r="A2634" s="152"/>
      <c r="B2634" s="683"/>
      <c r="C2634" s="683"/>
      <c r="D2634" s="698"/>
      <c r="E2634" s="215"/>
      <c r="F2634" s="215"/>
      <c r="G2634" s="153"/>
      <c r="H2634" s="153"/>
      <c r="I2634" s="313">
        <v>19</v>
      </c>
      <c r="J2634" s="313">
        <v>60</v>
      </c>
      <c r="K2634" s="150">
        <v>8</v>
      </c>
      <c r="L2634" s="656">
        <v>152</v>
      </c>
      <c r="M2634" s="663">
        <v>34457</v>
      </c>
      <c r="N2634" s="600">
        <v>138.732</v>
      </c>
      <c r="O2634" s="604">
        <v>5.1429000000000002E-2</v>
      </c>
      <c r="P2634" s="150"/>
      <c r="Q2634" s="250"/>
      <c r="R2634" s="250"/>
      <c r="S2634" s="250"/>
      <c r="T2634" s="250"/>
      <c r="U2634" s="250">
        <v>1.9E-2</v>
      </c>
      <c r="V2634" s="250">
        <v>0.30399999999999999</v>
      </c>
      <c r="W2634" s="250">
        <v>0.46200000000000002</v>
      </c>
      <c r="X2634" s="250">
        <v>0.20199999999999999</v>
      </c>
      <c r="Y2634" s="250">
        <v>1.3000000000000001E-2</v>
      </c>
      <c r="Z2634" s="150"/>
      <c r="AA2634" s="150">
        <v>0.77</v>
      </c>
      <c r="AB2634" s="152"/>
      <c r="AC2634" s="152"/>
      <c r="AD2634" s="223"/>
      <c r="AE2634" s="223"/>
      <c r="AF2634" s="223"/>
      <c r="AG2634" s="223"/>
      <c r="AH2634" s="341"/>
      <c r="AI2634" s="218"/>
      <c r="AJ2634" s="218"/>
      <c r="AK2634" s="153"/>
      <c r="AL2634" s="152"/>
      <c r="AM2634" s="152"/>
      <c r="AN2634" s="152"/>
      <c r="AO2634" s="152"/>
      <c r="AP2634" s="152"/>
      <c r="AQ2634" s="152"/>
      <c r="AR2634" s="152"/>
      <c r="AS2634" s="152"/>
      <c r="AT2634" s="152"/>
      <c r="AU2634" s="153"/>
      <c r="AV2634" s="479"/>
      <c r="AW2634" s="479"/>
      <c r="AX2634" s="442"/>
      <c r="AY2634" s="153"/>
      <c r="AZ2634" s="152"/>
      <c r="BA2634" s="152"/>
      <c r="BB2634" s="152"/>
      <c r="BC2634" s="152"/>
      <c r="BD2634" s="152"/>
      <c r="BE2634" s="152"/>
      <c r="BF2634" s="152"/>
      <c r="BG2634" s="152"/>
      <c r="BH2634" s="152"/>
      <c r="BI2634" s="153"/>
      <c r="BJ2634" s="153"/>
      <c r="BK2634" s="153"/>
      <c r="BL2634" s="153"/>
      <c r="BM2634" s="153"/>
      <c r="BN2634" s="153"/>
      <c r="BO2634" s="153"/>
      <c r="BP2634" s="153"/>
      <c r="BQ2634" s="153"/>
      <c r="BR2634" s="153"/>
      <c r="BS2634" s="153"/>
      <c r="BT2634" s="153"/>
      <c r="BU2634" s="153"/>
      <c r="BV2634" s="153"/>
      <c r="BW2634" s="153"/>
      <c r="BX2634" s="153"/>
      <c r="BY2634" s="153"/>
      <c r="BZ2634" s="153"/>
      <c r="CA2634" s="152"/>
      <c r="CB2634" s="152"/>
    </row>
    <row r="2635" spans="1:80" s="87" customFormat="1" ht="15" x14ac:dyDescent="0.25">
      <c r="A2635" s="152"/>
      <c r="B2635" s="683"/>
      <c r="C2635" s="683"/>
      <c r="D2635" s="698"/>
      <c r="E2635" s="215"/>
      <c r="F2635" s="215"/>
      <c r="G2635" s="153"/>
      <c r="H2635" s="153"/>
      <c r="I2635" s="313">
        <v>19</v>
      </c>
      <c r="J2635" s="313">
        <v>60</v>
      </c>
      <c r="K2635" s="150">
        <v>9</v>
      </c>
      <c r="L2635" s="656">
        <v>171</v>
      </c>
      <c r="M2635" s="663">
        <v>34457</v>
      </c>
      <c r="N2635" s="600">
        <v>138.732</v>
      </c>
      <c r="O2635" s="604">
        <v>5.0379999999999999E-3</v>
      </c>
      <c r="P2635" s="150"/>
      <c r="Q2635" s="250"/>
      <c r="R2635" s="250"/>
      <c r="S2635" s="250"/>
      <c r="T2635" s="250"/>
      <c r="U2635" s="250">
        <v>0.36700000000000005</v>
      </c>
      <c r="V2635" s="250">
        <v>0.29399999999999998</v>
      </c>
      <c r="W2635" s="250">
        <v>0.25600000000000001</v>
      </c>
      <c r="X2635" s="250">
        <v>6.5000000000000002E-2</v>
      </c>
      <c r="Y2635" s="250">
        <v>1.8000000000000002E-2</v>
      </c>
      <c r="Z2635" s="150"/>
      <c r="AA2635" s="150">
        <v>1.46</v>
      </c>
      <c r="AB2635" s="152"/>
      <c r="AC2635" s="152"/>
      <c r="AD2635" s="223"/>
      <c r="AE2635" s="223"/>
      <c r="AF2635" s="223"/>
      <c r="AG2635" s="223"/>
      <c r="AH2635" s="341"/>
      <c r="AI2635" s="218"/>
      <c r="AJ2635" s="218"/>
      <c r="AK2635" s="153"/>
      <c r="AL2635" s="152"/>
      <c r="AM2635" s="152"/>
      <c r="AN2635" s="152"/>
      <c r="AO2635" s="152"/>
      <c r="AP2635" s="152"/>
      <c r="AQ2635" s="152"/>
      <c r="AR2635" s="152"/>
      <c r="AS2635" s="152"/>
      <c r="AT2635" s="152"/>
      <c r="AU2635" s="153"/>
      <c r="AV2635" s="479"/>
      <c r="AW2635" s="479"/>
      <c r="AX2635" s="442"/>
      <c r="AY2635" s="153"/>
      <c r="AZ2635" s="152"/>
      <c r="BA2635" s="152"/>
      <c r="BB2635" s="152"/>
      <c r="BC2635" s="152"/>
      <c r="BD2635" s="152"/>
      <c r="BE2635" s="152"/>
      <c r="BF2635" s="152"/>
      <c r="BG2635" s="152"/>
      <c r="BH2635" s="152"/>
      <c r="BI2635" s="153"/>
      <c r="BJ2635" s="153"/>
      <c r="BK2635" s="153"/>
      <c r="BL2635" s="153"/>
      <c r="BM2635" s="153"/>
      <c r="BN2635" s="153"/>
      <c r="BO2635" s="153"/>
      <c r="BP2635" s="153"/>
      <c r="BQ2635" s="153"/>
      <c r="BR2635" s="153"/>
      <c r="BS2635" s="153"/>
      <c r="BT2635" s="153"/>
      <c r="BU2635" s="153"/>
      <c r="BV2635" s="153"/>
      <c r="BW2635" s="153"/>
      <c r="BX2635" s="153"/>
      <c r="BY2635" s="153"/>
      <c r="BZ2635" s="153"/>
      <c r="CA2635" s="152"/>
      <c r="CB2635" s="152"/>
    </row>
    <row r="2636" spans="1:80" s="87" customFormat="1" ht="15" x14ac:dyDescent="0.25">
      <c r="A2636" s="152"/>
      <c r="B2636" s="683"/>
      <c r="C2636" s="683"/>
      <c r="D2636" s="698"/>
      <c r="E2636" s="215"/>
      <c r="F2636" s="215"/>
      <c r="G2636" s="153"/>
      <c r="H2636" s="153"/>
      <c r="I2636" s="313">
        <v>19</v>
      </c>
      <c r="J2636" s="313">
        <v>60</v>
      </c>
      <c r="K2636" s="150">
        <v>10</v>
      </c>
      <c r="L2636" s="656">
        <v>190</v>
      </c>
      <c r="M2636" s="663">
        <v>34458</v>
      </c>
      <c r="N2636" s="600">
        <v>144.678</v>
      </c>
      <c r="O2636" s="604">
        <v>3.6740000000000002E-3</v>
      </c>
      <c r="P2636" s="150"/>
      <c r="Q2636" s="250"/>
      <c r="R2636" s="250"/>
      <c r="S2636" s="250"/>
      <c r="T2636" s="250"/>
      <c r="U2636" s="250"/>
      <c r="V2636" s="250">
        <v>0.23800000000000002</v>
      </c>
      <c r="W2636" s="250">
        <v>0.47600000000000003</v>
      </c>
      <c r="X2636" s="250">
        <v>0.23800000000000002</v>
      </c>
      <c r="Y2636" s="250">
        <v>4.8000000000000001E-2</v>
      </c>
      <c r="Z2636" s="150"/>
      <c r="AA2636" s="150">
        <v>0.68</v>
      </c>
      <c r="AB2636" s="152"/>
      <c r="AC2636" s="152"/>
      <c r="AD2636" s="223"/>
      <c r="AE2636" s="223"/>
      <c r="AF2636" s="223"/>
      <c r="AG2636" s="223"/>
      <c r="AH2636" s="341"/>
      <c r="AI2636" s="218"/>
      <c r="AJ2636" s="218"/>
      <c r="AK2636" s="153"/>
      <c r="AL2636" s="152"/>
      <c r="AM2636" s="152"/>
      <c r="AN2636" s="152"/>
      <c r="AO2636" s="152"/>
      <c r="AP2636" s="152"/>
      <c r="AQ2636" s="152"/>
      <c r="AR2636" s="152"/>
      <c r="AS2636" s="152"/>
      <c r="AT2636" s="152"/>
      <c r="AU2636" s="153"/>
      <c r="AV2636" s="479"/>
      <c r="AW2636" s="479"/>
      <c r="AX2636" s="442"/>
      <c r="AY2636" s="153"/>
      <c r="AZ2636" s="152"/>
      <c r="BA2636" s="152"/>
      <c r="BB2636" s="152"/>
      <c r="BC2636" s="152"/>
      <c r="BD2636" s="152"/>
      <c r="BE2636" s="152"/>
      <c r="BF2636" s="152"/>
      <c r="BG2636" s="152"/>
      <c r="BH2636" s="152"/>
      <c r="BI2636" s="153"/>
      <c r="BJ2636" s="153"/>
      <c r="BK2636" s="153"/>
      <c r="BL2636" s="153"/>
      <c r="BM2636" s="153"/>
      <c r="BN2636" s="153"/>
      <c r="BO2636" s="153"/>
      <c r="BP2636" s="153"/>
      <c r="BQ2636" s="153"/>
      <c r="BR2636" s="153"/>
      <c r="BS2636" s="153"/>
      <c r="BT2636" s="153"/>
      <c r="BU2636" s="153"/>
      <c r="BV2636" s="153"/>
      <c r="BW2636" s="153"/>
      <c r="BX2636" s="153"/>
      <c r="BY2636" s="153"/>
      <c r="BZ2636" s="153"/>
      <c r="CA2636" s="152"/>
      <c r="CB2636" s="152"/>
    </row>
    <row r="2637" spans="1:80" s="87" customFormat="1" ht="15" x14ac:dyDescent="0.25">
      <c r="A2637" s="152"/>
      <c r="B2637" s="683"/>
      <c r="C2637" s="683"/>
      <c r="D2637" s="698"/>
      <c r="E2637" s="215"/>
      <c r="F2637" s="215"/>
      <c r="G2637" s="153"/>
      <c r="H2637" s="153"/>
      <c r="I2637" s="313">
        <v>19</v>
      </c>
      <c r="J2637" s="313">
        <v>60</v>
      </c>
      <c r="K2637" s="150">
        <v>11</v>
      </c>
      <c r="L2637" s="656">
        <v>209</v>
      </c>
      <c r="M2637" s="663">
        <v>34458</v>
      </c>
      <c r="N2637" s="600">
        <v>144.678</v>
      </c>
      <c r="O2637" s="604">
        <v>3.9880000000000002E-3</v>
      </c>
      <c r="P2637" s="150"/>
      <c r="Q2637" s="250"/>
      <c r="R2637" s="250"/>
      <c r="S2637" s="250"/>
      <c r="T2637" s="250"/>
      <c r="U2637" s="250"/>
      <c r="V2637" s="250">
        <v>0.28300000000000003</v>
      </c>
      <c r="W2637" s="250">
        <v>0.49099999999999999</v>
      </c>
      <c r="X2637" s="250">
        <v>0.188</v>
      </c>
      <c r="Y2637" s="250">
        <v>3.7999999999999999E-2</v>
      </c>
      <c r="Z2637" s="150"/>
      <c r="AA2637" s="150">
        <v>0.74</v>
      </c>
      <c r="AB2637" s="152"/>
      <c r="AC2637" s="152"/>
      <c r="AD2637" s="223"/>
      <c r="AE2637" s="223"/>
      <c r="AF2637" s="223"/>
      <c r="AG2637" s="223"/>
      <c r="AH2637" s="341"/>
      <c r="AI2637" s="218"/>
      <c r="AJ2637" s="218"/>
      <c r="AK2637" s="153"/>
      <c r="AL2637" s="152"/>
      <c r="AM2637" s="152"/>
      <c r="AN2637" s="152"/>
      <c r="AO2637" s="152"/>
      <c r="AP2637" s="152"/>
      <c r="AQ2637" s="152"/>
      <c r="AR2637" s="152"/>
      <c r="AS2637" s="152"/>
      <c r="AT2637" s="152"/>
      <c r="AU2637" s="153"/>
      <c r="AV2637" s="479"/>
      <c r="AW2637" s="479"/>
      <c r="AX2637" s="442"/>
      <c r="AY2637" s="153"/>
      <c r="AZ2637" s="152"/>
      <c r="BA2637" s="152"/>
      <c r="BB2637" s="152"/>
      <c r="BC2637" s="152"/>
      <c r="BD2637" s="152"/>
      <c r="BE2637" s="152"/>
      <c r="BF2637" s="152"/>
      <c r="BG2637" s="152"/>
      <c r="BH2637" s="152"/>
      <c r="BI2637" s="153"/>
      <c r="BJ2637" s="153"/>
      <c r="BK2637" s="153"/>
      <c r="BL2637" s="153"/>
      <c r="BM2637" s="153"/>
      <c r="BN2637" s="153"/>
      <c r="BO2637" s="153"/>
      <c r="BP2637" s="153"/>
      <c r="BQ2637" s="153"/>
      <c r="BR2637" s="153"/>
      <c r="BS2637" s="153"/>
      <c r="BT2637" s="153"/>
      <c r="BU2637" s="153"/>
      <c r="BV2637" s="153"/>
      <c r="BW2637" s="153"/>
      <c r="BX2637" s="153"/>
      <c r="BY2637" s="153"/>
      <c r="BZ2637" s="153"/>
      <c r="CA2637" s="152"/>
      <c r="CB2637" s="152"/>
    </row>
    <row r="2638" spans="1:80" s="87" customFormat="1" ht="15" x14ac:dyDescent="0.25">
      <c r="A2638" s="152"/>
      <c r="B2638" s="683"/>
      <c r="C2638" s="683"/>
      <c r="D2638" s="698"/>
      <c r="E2638" s="215"/>
      <c r="F2638" s="215"/>
      <c r="G2638" s="153"/>
      <c r="H2638" s="153"/>
      <c r="I2638" s="313">
        <v>21</v>
      </c>
      <c r="J2638" s="313">
        <v>60</v>
      </c>
      <c r="K2638" s="150">
        <v>12</v>
      </c>
      <c r="L2638" s="656">
        <v>252</v>
      </c>
      <c r="M2638" s="663">
        <v>34464</v>
      </c>
      <c r="N2638" s="600">
        <v>278.88</v>
      </c>
      <c r="O2638" s="604">
        <v>0.166882</v>
      </c>
      <c r="P2638" s="150"/>
      <c r="Q2638" s="250"/>
      <c r="R2638" s="250"/>
      <c r="S2638" s="250">
        <v>2.2000000000000002E-2</v>
      </c>
      <c r="T2638" s="250">
        <v>5.7000000000000002E-2</v>
      </c>
      <c r="U2638" s="250">
        <v>9.6999999999999989E-2</v>
      </c>
      <c r="V2638" s="250">
        <v>0.36099999999999999</v>
      </c>
      <c r="W2638" s="250">
        <v>0.33799999999999997</v>
      </c>
      <c r="X2638" s="250">
        <v>0.114</v>
      </c>
      <c r="Y2638" s="250">
        <v>1.1000000000000001E-2</v>
      </c>
      <c r="Z2638" s="150"/>
      <c r="AA2638" s="150">
        <v>1.07</v>
      </c>
      <c r="AB2638" s="152"/>
      <c r="AC2638" s="152"/>
      <c r="AD2638" s="223"/>
      <c r="AE2638" s="223"/>
      <c r="AF2638" s="223"/>
      <c r="AG2638" s="223"/>
      <c r="AH2638" s="341"/>
      <c r="AI2638" s="218"/>
      <c r="AJ2638" s="218"/>
      <c r="AK2638" s="153"/>
      <c r="AL2638" s="152"/>
      <c r="AM2638" s="152"/>
      <c r="AN2638" s="152"/>
      <c r="AO2638" s="152"/>
      <c r="AP2638" s="152"/>
      <c r="AQ2638" s="152"/>
      <c r="AR2638" s="152"/>
      <c r="AS2638" s="152"/>
      <c r="AT2638" s="152"/>
      <c r="AU2638" s="153"/>
      <c r="AV2638" s="479"/>
      <c r="AW2638" s="479"/>
      <c r="AX2638" s="442"/>
      <c r="AY2638" s="153"/>
      <c r="AZ2638" s="152"/>
      <c r="BA2638" s="152"/>
      <c r="BB2638" s="152"/>
      <c r="BC2638" s="152"/>
      <c r="BD2638" s="152"/>
      <c r="BE2638" s="152"/>
      <c r="BF2638" s="152"/>
      <c r="BG2638" s="152"/>
      <c r="BH2638" s="152"/>
      <c r="BI2638" s="153"/>
      <c r="BJ2638" s="153"/>
      <c r="BK2638" s="153"/>
      <c r="BL2638" s="153"/>
      <c r="BM2638" s="153"/>
      <c r="BN2638" s="153"/>
      <c r="BO2638" s="153"/>
      <c r="BP2638" s="153"/>
      <c r="BQ2638" s="153"/>
      <c r="BR2638" s="153"/>
      <c r="BS2638" s="153"/>
      <c r="BT2638" s="153"/>
      <c r="BU2638" s="153"/>
      <c r="BV2638" s="153"/>
      <c r="BW2638" s="153"/>
      <c r="BX2638" s="153"/>
      <c r="BY2638" s="153"/>
      <c r="BZ2638" s="153"/>
      <c r="CA2638" s="152"/>
      <c r="CB2638" s="152"/>
    </row>
    <row r="2639" spans="1:80" s="87" customFormat="1" ht="15" x14ac:dyDescent="0.25">
      <c r="A2639" s="152"/>
      <c r="B2639" s="683"/>
      <c r="C2639" s="683"/>
      <c r="D2639" s="698"/>
      <c r="E2639" s="215"/>
      <c r="F2639" s="215"/>
      <c r="G2639" s="153"/>
      <c r="H2639" s="153"/>
      <c r="I2639" s="313">
        <v>21</v>
      </c>
      <c r="J2639" s="313">
        <v>60</v>
      </c>
      <c r="K2639" s="150">
        <v>13</v>
      </c>
      <c r="L2639" s="656">
        <v>273</v>
      </c>
      <c r="M2639" s="663">
        <v>34464</v>
      </c>
      <c r="N2639" s="600">
        <v>278.88</v>
      </c>
      <c r="O2639" s="604">
        <v>9.1941999999999996E-2</v>
      </c>
      <c r="P2639" s="150"/>
      <c r="Q2639" s="250"/>
      <c r="R2639" s="250"/>
      <c r="S2639" s="250"/>
      <c r="T2639" s="250">
        <v>3.0000000000000001E-3</v>
      </c>
      <c r="U2639" s="250">
        <v>4.0999999999999995E-2</v>
      </c>
      <c r="V2639" s="250">
        <v>0.29199999999999998</v>
      </c>
      <c r="W2639" s="250">
        <v>0.46700000000000003</v>
      </c>
      <c r="X2639" s="250">
        <v>0.183</v>
      </c>
      <c r="Y2639" s="250">
        <v>1.3999999999999999E-2</v>
      </c>
      <c r="Z2639" s="150"/>
      <c r="AA2639" s="150">
        <v>0.78</v>
      </c>
      <c r="AB2639" s="152"/>
      <c r="AC2639" s="152"/>
      <c r="AD2639" s="223"/>
      <c r="AE2639" s="223"/>
      <c r="AF2639" s="223"/>
      <c r="AG2639" s="223"/>
      <c r="AH2639" s="341"/>
      <c r="AI2639" s="218"/>
      <c r="AJ2639" s="218"/>
      <c r="AK2639" s="153"/>
      <c r="AL2639" s="152"/>
      <c r="AM2639" s="152"/>
      <c r="AN2639" s="152"/>
      <c r="AO2639" s="152"/>
      <c r="AP2639" s="152"/>
      <c r="AQ2639" s="152"/>
      <c r="AR2639" s="152"/>
      <c r="AS2639" s="152"/>
      <c r="AT2639" s="152"/>
      <c r="AU2639" s="153"/>
      <c r="AV2639" s="479"/>
      <c r="AW2639" s="479"/>
      <c r="AX2639" s="442"/>
      <c r="AY2639" s="153"/>
      <c r="AZ2639" s="152"/>
      <c r="BA2639" s="152"/>
      <c r="BB2639" s="152"/>
      <c r="BC2639" s="152"/>
      <c r="BD2639" s="152"/>
      <c r="BE2639" s="152"/>
      <c r="BF2639" s="152"/>
      <c r="BG2639" s="152"/>
      <c r="BH2639" s="152"/>
      <c r="BI2639" s="153"/>
      <c r="BJ2639" s="153"/>
      <c r="BK2639" s="153"/>
      <c r="BL2639" s="153"/>
      <c r="BM2639" s="153"/>
      <c r="BN2639" s="153"/>
      <c r="BO2639" s="153"/>
      <c r="BP2639" s="153"/>
      <c r="BQ2639" s="153"/>
      <c r="BR2639" s="153"/>
      <c r="BS2639" s="153"/>
      <c r="BT2639" s="153"/>
      <c r="BU2639" s="153"/>
      <c r="BV2639" s="153"/>
      <c r="BW2639" s="153"/>
      <c r="BX2639" s="153"/>
      <c r="BY2639" s="153"/>
      <c r="BZ2639" s="153"/>
      <c r="CA2639" s="152"/>
      <c r="CB2639" s="152"/>
    </row>
    <row r="2640" spans="1:80" s="87" customFormat="1" ht="15" x14ac:dyDescent="0.25">
      <c r="A2640" s="152"/>
      <c r="B2640" s="683"/>
      <c r="C2640" s="683"/>
      <c r="D2640" s="698"/>
      <c r="E2640" s="215"/>
      <c r="F2640" s="215"/>
      <c r="G2640" s="153"/>
      <c r="H2640" s="153"/>
      <c r="I2640" s="313">
        <v>21</v>
      </c>
      <c r="J2640" s="313">
        <v>60</v>
      </c>
      <c r="K2640" s="150">
        <v>14</v>
      </c>
      <c r="L2640" s="656">
        <v>294</v>
      </c>
      <c r="M2640" s="663">
        <v>34465</v>
      </c>
      <c r="N2640" s="600">
        <v>277.18099999999998</v>
      </c>
      <c r="O2640" s="604">
        <v>0.10117900000000001</v>
      </c>
      <c r="P2640" s="150"/>
      <c r="Q2640" s="250"/>
      <c r="R2640" s="250"/>
      <c r="S2640" s="250"/>
      <c r="T2640" s="250">
        <v>6.0000000000000001E-3</v>
      </c>
      <c r="U2640" s="250">
        <v>5.4000000000000006E-2</v>
      </c>
      <c r="V2640" s="250">
        <v>0.33299999999999996</v>
      </c>
      <c r="W2640" s="250">
        <v>0.43</v>
      </c>
      <c r="X2640" s="250">
        <v>0.16200000000000001</v>
      </c>
      <c r="Y2640" s="250">
        <v>1.4999999999999999E-2</v>
      </c>
      <c r="Z2640" s="150"/>
      <c r="AA2640" s="150">
        <v>0.84</v>
      </c>
      <c r="AB2640" s="152"/>
      <c r="AC2640" s="152"/>
      <c r="AD2640" s="223"/>
      <c r="AE2640" s="223"/>
      <c r="AF2640" s="223"/>
      <c r="AG2640" s="223"/>
      <c r="AH2640" s="341"/>
      <c r="AI2640" s="218"/>
      <c r="AJ2640" s="218"/>
      <c r="AK2640" s="153"/>
      <c r="AL2640" s="152"/>
      <c r="AM2640" s="152"/>
      <c r="AN2640" s="152"/>
      <c r="AO2640" s="152"/>
      <c r="AP2640" s="152"/>
      <c r="AQ2640" s="152"/>
      <c r="AR2640" s="152"/>
      <c r="AS2640" s="152"/>
      <c r="AT2640" s="152"/>
      <c r="AU2640" s="153"/>
      <c r="AV2640" s="479"/>
      <c r="AW2640" s="479"/>
      <c r="AX2640" s="442"/>
      <c r="AY2640" s="153"/>
      <c r="AZ2640" s="152"/>
      <c r="BA2640" s="152"/>
      <c r="BB2640" s="152"/>
      <c r="BC2640" s="152"/>
      <c r="BD2640" s="152"/>
      <c r="BE2640" s="152"/>
      <c r="BF2640" s="152"/>
      <c r="BG2640" s="152"/>
      <c r="BH2640" s="152"/>
      <c r="BI2640" s="153"/>
      <c r="BJ2640" s="153"/>
      <c r="BK2640" s="153"/>
      <c r="BL2640" s="153"/>
      <c r="BM2640" s="153"/>
      <c r="BN2640" s="153"/>
      <c r="BO2640" s="153"/>
      <c r="BP2640" s="153"/>
      <c r="BQ2640" s="153"/>
      <c r="BR2640" s="153"/>
      <c r="BS2640" s="153"/>
      <c r="BT2640" s="153"/>
      <c r="BU2640" s="153"/>
      <c r="BV2640" s="153"/>
      <c r="BW2640" s="153"/>
      <c r="BX2640" s="153"/>
      <c r="BY2640" s="153"/>
      <c r="BZ2640" s="153"/>
      <c r="CA2640" s="152"/>
      <c r="CB2640" s="152"/>
    </row>
    <row r="2641" spans="1:80" s="87" customFormat="1" ht="15" x14ac:dyDescent="0.25">
      <c r="A2641" s="152"/>
      <c r="B2641" s="683"/>
      <c r="C2641" s="683"/>
      <c r="D2641" s="698"/>
      <c r="E2641" s="215"/>
      <c r="F2641" s="215"/>
      <c r="G2641" s="153"/>
      <c r="H2641" s="153"/>
      <c r="I2641" s="313">
        <v>21</v>
      </c>
      <c r="J2641" s="313">
        <v>60</v>
      </c>
      <c r="K2641" s="150">
        <v>15</v>
      </c>
      <c r="L2641" s="656">
        <v>315</v>
      </c>
      <c r="M2641" s="663">
        <v>34465</v>
      </c>
      <c r="N2641" s="600">
        <v>277.18099999999998</v>
      </c>
      <c r="O2641" s="604">
        <v>3.0438E-2</v>
      </c>
      <c r="P2641" s="150"/>
      <c r="Q2641" s="250"/>
      <c r="R2641" s="250"/>
      <c r="S2641" s="250">
        <v>5.0999999999999997E-2</v>
      </c>
      <c r="T2641" s="250">
        <v>9.1999999999999998E-2</v>
      </c>
      <c r="U2641" s="250">
        <v>7.4999999999999997E-2</v>
      </c>
      <c r="V2641" s="250">
        <v>0.19399999999999998</v>
      </c>
      <c r="W2641" s="250">
        <v>0.31900000000000001</v>
      </c>
      <c r="X2641" s="250">
        <v>0.23499999999999999</v>
      </c>
      <c r="Y2641" s="250">
        <v>3.4000000000000002E-2</v>
      </c>
      <c r="Z2641" s="150"/>
      <c r="AA2641" s="150">
        <v>0.83</v>
      </c>
      <c r="AB2641" s="152"/>
      <c r="AC2641" s="152"/>
      <c r="AD2641" s="223"/>
      <c r="AE2641" s="223"/>
      <c r="AF2641" s="223"/>
      <c r="AG2641" s="223"/>
      <c r="AH2641" s="341"/>
      <c r="AI2641" s="218"/>
      <c r="AJ2641" s="218"/>
      <c r="AK2641" s="153"/>
      <c r="AL2641" s="152"/>
      <c r="AM2641" s="152"/>
      <c r="AN2641" s="152"/>
      <c r="AO2641" s="152"/>
      <c r="AP2641" s="152"/>
      <c r="AQ2641" s="152"/>
      <c r="AR2641" s="152"/>
      <c r="AS2641" s="152"/>
      <c r="AT2641" s="152"/>
      <c r="AU2641" s="153"/>
      <c r="AV2641" s="479"/>
      <c r="AW2641" s="479"/>
      <c r="AX2641" s="442"/>
      <c r="AY2641" s="153"/>
      <c r="AZ2641" s="152"/>
      <c r="BA2641" s="152"/>
      <c r="BB2641" s="152"/>
      <c r="BC2641" s="152"/>
      <c r="BD2641" s="152"/>
      <c r="BE2641" s="152"/>
      <c r="BF2641" s="152"/>
      <c r="BG2641" s="152"/>
      <c r="BH2641" s="152"/>
      <c r="BI2641" s="153"/>
      <c r="BJ2641" s="153"/>
      <c r="BK2641" s="153"/>
      <c r="BL2641" s="153"/>
      <c r="BM2641" s="153"/>
      <c r="BN2641" s="153"/>
      <c r="BO2641" s="153"/>
      <c r="BP2641" s="153"/>
      <c r="BQ2641" s="153"/>
      <c r="BR2641" s="153"/>
      <c r="BS2641" s="153"/>
      <c r="BT2641" s="153"/>
      <c r="BU2641" s="153"/>
      <c r="BV2641" s="153"/>
      <c r="BW2641" s="153"/>
      <c r="BX2641" s="153"/>
      <c r="BY2641" s="153"/>
      <c r="BZ2641" s="153"/>
      <c r="CA2641" s="152"/>
      <c r="CB2641" s="152"/>
    </row>
    <row r="2642" spans="1:80" s="87" customFormat="1" ht="15" x14ac:dyDescent="0.25">
      <c r="A2642" s="152"/>
      <c r="B2642" s="683"/>
      <c r="C2642" s="683"/>
      <c r="D2642" s="698"/>
      <c r="E2642" s="215"/>
      <c r="F2642" s="215"/>
      <c r="G2642" s="153"/>
      <c r="H2642" s="153"/>
      <c r="I2642" s="313">
        <v>19</v>
      </c>
      <c r="J2642" s="313">
        <v>60</v>
      </c>
      <c r="K2642" s="150">
        <v>16</v>
      </c>
      <c r="L2642" s="656">
        <v>304</v>
      </c>
      <c r="M2642" s="663">
        <v>34469</v>
      </c>
      <c r="N2642" s="600">
        <v>192.52600000000001</v>
      </c>
      <c r="O2642" s="604">
        <v>2.3091E-2</v>
      </c>
      <c r="P2642" s="150"/>
      <c r="Q2642" s="250"/>
      <c r="R2642" s="250"/>
      <c r="S2642" s="250"/>
      <c r="T2642" s="250"/>
      <c r="U2642" s="250">
        <v>3.6000000000000004E-2</v>
      </c>
      <c r="V2642" s="250">
        <v>0.31900000000000001</v>
      </c>
      <c r="W2642" s="250">
        <v>0.44600000000000001</v>
      </c>
      <c r="X2642" s="250">
        <v>0.18100000000000002</v>
      </c>
      <c r="Y2642" s="250">
        <v>1.8000000000000002E-2</v>
      </c>
      <c r="Z2642" s="150"/>
      <c r="AA2642" s="150">
        <v>0.8</v>
      </c>
      <c r="AB2642" s="152"/>
      <c r="AC2642" s="152"/>
      <c r="AD2642" s="223"/>
      <c r="AE2642" s="223"/>
      <c r="AF2642" s="223"/>
      <c r="AG2642" s="223"/>
      <c r="AH2642" s="341"/>
      <c r="AI2642" s="218"/>
      <c r="AJ2642" s="218"/>
      <c r="AK2642" s="153"/>
      <c r="AL2642" s="152"/>
      <c r="AM2642" s="152"/>
      <c r="AN2642" s="152"/>
      <c r="AO2642" s="152"/>
      <c r="AP2642" s="152"/>
      <c r="AQ2642" s="152"/>
      <c r="AR2642" s="152"/>
      <c r="AS2642" s="152"/>
      <c r="AT2642" s="152"/>
      <c r="AU2642" s="153"/>
      <c r="AV2642" s="479"/>
      <c r="AW2642" s="479"/>
      <c r="AX2642" s="442"/>
      <c r="AY2642" s="153"/>
      <c r="AZ2642" s="152"/>
      <c r="BA2642" s="152"/>
      <c r="BB2642" s="152"/>
      <c r="BC2642" s="152"/>
      <c r="BD2642" s="152"/>
      <c r="BE2642" s="152"/>
      <c r="BF2642" s="152"/>
      <c r="BG2642" s="152"/>
      <c r="BH2642" s="152"/>
      <c r="BI2642" s="153"/>
      <c r="BJ2642" s="153"/>
      <c r="BK2642" s="153"/>
      <c r="BL2642" s="153"/>
      <c r="BM2642" s="153"/>
      <c r="BN2642" s="153"/>
      <c r="BO2642" s="153"/>
      <c r="BP2642" s="153"/>
      <c r="BQ2642" s="153"/>
      <c r="BR2642" s="153"/>
      <c r="BS2642" s="153"/>
      <c r="BT2642" s="153"/>
      <c r="BU2642" s="153"/>
      <c r="BV2642" s="153"/>
      <c r="BW2642" s="153"/>
      <c r="BX2642" s="153"/>
      <c r="BY2642" s="153"/>
      <c r="BZ2642" s="153"/>
      <c r="CA2642" s="152"/>
      <c r="CB2642" s="152"/>
    </row>
    <row r="2643" spans="1:80" s="87" customFormat="1" ht="15" x14ac:dyDescent="0.25">
      <c r="A2643" s="152"/>
      <c r="B2643" s="683"/>
      <c r="C2643" s="683"/>
      <c r="D2643" s="698"/>
      <c r="E2643" s="215"/>
      <c r="F2643" s="215"/>
      <c r="G2643" s="153"/>
      <c r="H2643" s="153"/>
      <c r="I2643" s="313">
        <v>19</v>
      </c>
      <c r="J2643" s="313">
        <v>60</v>
      </c>
      <c r="K2643" s="150">
        <v>17</v>
      </c>
      <c r="L2643" s="656">
        <v>323</v>
      </c>
      <c r="M2643" s="663">
        <v>34469</v>
      </c>
      <c r="N2643" s="600">
        <v>192.52600000000001</v>
      </c>
      <c r="O2643" s="604">
        <v>0.100339</v>
      </c>
      <c r="P2643" s="150"/>
      <c r="Q2643" s="250">
        <v>0.48799999999999999</v>
      </c>
      <c r="R2643" s="250">
        <v>0</v>
      </c>
      <c r="S2643" s="250">
        <v>0</v>
      </c>
      <c r="T2643" s="250">
        <v>0</v>
      </c>
      <c r="U2643" s="250">
        <v>1.3999999999999999E-2</v>
      </c>
      <c r="V2643" s="250">
        <v>0.156</v>
      </c>
      <c r="W2643" s="250">
        <v>0.23100000000000001</v>
      </c>
      <c r="X2643" s="250">
        <v>9.9000000000000005E-2</v>
      </c>
      <c r="Y2643" s="250">
        <v>1.2E-2</v>
      </c>
      <c r="Z2643" s="150"/>
      <c r="AA2643" s="150">
        <v>2.21</v>
      </c>
      <c r="AB2643" s="152"/>
      <c r="AC2643" s="152"/>
      <c r="AD2643" s="223"/>
      <c r="AE2643" s="223"/>
      <c r="AF2643" s="223"/>
      <c r="AG2643" s="223"/>
      <c r="AH2643" s="341"/>
      <c r="AI2643" s="218"/>
      <c r="AJ2643" s="218"/>
      <c r="AK2643" s="153"/>
      <c r="AL2643" s="152"/>
      <c r="AM2643" s="152"/>
      <c r="AN2643" s="152"/>
      <c r="AO2643" s="152"/>
      <c r="AP2643" s="152"/>
      <c r="AQ2643" s="152"/>
      <c r="AR2643" s="152"/>
      <c r="AS2643" s="152"/>
      <c r="AT2643" s="152"/>
      <c r="AU2643" s="153"/>
      <c r="AV2643" s="479"/>
      <c r="AW2643" s="479"/>
      <c r="AX2643" s="442"/>
      <c r="AY2643" s="153"/>
      <c r="AZ2643" s="152"/>
      <c r="BA2643" s="152"/>
      <c r="BB2643" s="152"/>
      <c r="BC2643" s="152"/>
      <c r="BD2643" s="152"/>
      <c r="BE2643" s="152"/>
      <c r="BF2643" s="152"/>
      <c r="BG2643" s="152"/>
      <c r="BH2643" s="152"/>
      <c r="BI2643" s="153"/>
      <c r="BJ2643" s="153"/>
      <c r="BK2643" s="153"/>
      <c r="BL2643" s="153"/>
      <c r="BM2643" s="153"/>
      <c r="BN2643" s="153"/>
      <c r="BO2643" s="153"/>
      <c r="BP2643" s="153"/>
      <c r="BQ2643" s="153"/>
      <c r="BR2643" s="153"/>
      <c r="BS2643" s="153"/>
      <c r="BT2643" s="153"/>
      <c r="BU2643" s="153"/>
      <c r="BV2643" s="153"/>
      <c r="BW2643" s="153"/>
      <c r="BX2643" s="153"/>
      <c r="BY2643" s="153"/>
      <c r="BZ2643" s="153"/>
      <c r="CA2643" s="152"/>
      <c r="CB2643" s="152"/>
    </row>
    <row r="2644" spans="1:80" s="87" customFormat="1" ht="15" x14ac:dyDescent="0.25">
      <c r="A2644" s="152"/>
      <c r="B2644" s="683"/>
      <c r="C2644" s="683"/>
      <c r="D2644" s="698"/>
      <c r="E2644" s="215"/>
      <c r="F2644" s="215"/>
      <c r="G2644" s="153"/>
      <c r="H2644" s="153"/>
      <c r="I2644" s="313">
        <v>21</v>
      </c>
      <c r="J2644" s="313">
        <v>60</v>
      </c>
      <c r="K2644" s="150">
        <v>18</v>
      </c>
      <c r="L2644" s="656">
        <v>378</v>
      </c>
      <c r="M2644" s="663">
        <v>34470</v>
      </c>
      <c r="N2644" s="600">
        <v>189.69499999999999</v>
      </c>
      <c r="O2644" s="604">
        <v>3.0752000000000002E-2</v>
      </c>
      <c r="P2644" s="150"/>
      <c r="Q2644" s="250"/>
      <c r="R2644" s="250"/>
      <c r="S2644" s="250"/>
      <c r="T2644" s="250">
        <v>1.4999999999999999E-2</v>
      </c>
      <c r="U2644" s="250">
        <v>8.4000000000000005E-2</v>
      </c>
      <c r="V2644" s="250">
        <v>0.42299999999999999</v>
      </c>
      <c r="W2644" s="250">
        <v>0.33399999999999996</v>
      </c>
      <c r="X2644" s="250">
        <v>0.13200000000000001</v>
      </c>
      <c r="Y2644" s="250">
        <v>1.2E-2</v>
      </c>
      <c r="Z2644" s="150"/>
      <c r="AA2644" s="150">
        <v>1.04</v>
      </c>
      <c r="AB2644" s="152"/>
      <c r="AC2644" s="152"/>
      <c r="AD2644" s="223"/>
      <c r="AE2644" s="223"/>
      <c r="AF2644" s="223"/>
      <c r="AG2644" s="223"/>
      <c r="AH2644" s="341"/>
      <c r="AI2644" s="218"/>
      <c r="AJ2644" s="218"/>
      <c r="AK2644" s="153"/>
      <c r="AL2644" s="152"/>
      <c r="AM2644" s="152"/>
      <c r="AN2644" s="152"/>
      <c r="AO2644" s="152"/>
      <c r="AP2644" s="152"/>
      <c r="AQ2644" s="152"/>
      <c r="AR2644" s="152"/>
      <c r="AS2644" s="152"/>
      <c r="AT2644" s="152"/>
      <c r="AU2644" s="153"/>
      <c r="AV2644" s="479"/>
      <c r="AW2644" s="479"/>
      <c r="AX2644" s="442"/>
      <c r="AY2644" s="153"/>
      <c r="AZ2644" s="152"/>
      <c r="BA2644" s="152"/>
      <c r="BB2644" s="152"/>
      <c r="BC2644" s="152"/>
      <c r="BD2644" s="152"/>
      <c r="BE2644" s="152"/>
      <c r="BF2644" s="152"/>
      <c r="BG2644" s="152"/>
      <c r="BH2644" s="152"/>
      <c r="BI2644" s="153"/>
      <c r="BJ2644" s="153"/>
      <c r="BK2644" s="153"/>
      <c r="BL2644" s="153"/>
      <c r="BM2644" s="153"/>
      <c r="BN2644" s="153"/>
      <c r="BO2644" s="153"/>
      <c r="BP2644" s="153"/>
      <c r="BQ2644" s="153"/>
      <c r="BR2644" s="153"/>
      <c r="BS2644" s="153"/>
      <c r="BT2644" s="153"/>
      <c r="BU2644" s="153"/>
      <c r="BV2644" s="153"/>
      <c r="BW2644" s="153"/>
      <c r="BX2644" s="153"/>
      <c r="BY2644" s="153"/>
      <c r="BZ2644" s="153"/>
      <c r="CA2644" s="152"/>
      <c r="CB2644" s="152"/>
    </row>
    <row r="2645" spans="1:80" s="87" customFormat="1" ht="15" x14ac:dyDescent="0.25">
      <c r="A2645" s="152"/>
      <c r="B2645" s="683"/>
      <c r="C2645" s="683"/>
      <c r="D2645" s="698"/>
      <c r="E2645" s="215"/>
      <c r="F2645" s="215"/>
      <c r="G2645" s="153"/>
      <c r="H2645" s="153"/>
      <c r="I2645" s="313">
        <v>21</v>
      </c>
      <c r="J2645" s="313">
        <v>60</v>
      </c>
      <c r="K2645" s="150">
        <v>19</v>
      </c>
      <c r="L2645" s="656">
        <v>399</v>
      </c>
      <c r="M2645" s="663">
        <v>34470</v>
      </c>
      <c r="N2645" s="600">
        <v>189.69499999999999</v>
      </c>
      <c r="O2645" s="604">
        <v>2.2985999999999999E-2</v>
      </c>
      <c r="P2645" s="150"/>
      <c r="Q2645" s="250"/>
      <c r="R2645" s="250"/>
      <c r="S2645" s="250"/>
      <c r="T2645" s="250">
        <v>6.0000000000000001E-3</v>
      </c>
      <c r="U2645" s="250">
        <v>3.4000000000000002E-2</v>
      </c>
      <c r="V2645" s="250">
        <v>0.33500000000000002</v>
      </c>
      <c r="W2645" s="250">
        <v>0.442</v>
      </c>
      <c r="X2645" s="250">
        <v>0.156</v>
      </c>
      <c r="Y2645" s="250">
        <v>2.7000000000000003E-2</v>
      </c>
      <c r="Z2645" s="150"/>
      <c r="AA2645" s="150">
        <v>0.82</v>
      </c>
      <c r="AB2645" s="152"/>
      <c r="AC2645" s="152"/>
      <c r="AD2645" s="223"/>
      <c r="AE2645" s="223"/>
      <c r="AF2645" s="223"/>
      <c r="AG2645" s="223"/>
      <c r="AH2645" s="341"/>
      <c r="AI2645" s="218"/>
      <c r="AJ2645" s="218"/>
      <c r="AK2645" s="153"/>
      <c r="AL2645" s="152"/>
      <c r="AM2645" s="152"/>
      <c r="AN2645" s="152"/>
      <c r="AO2645" s="152"/>
      <c r="AP2645" s="152"/>
      <c r="AQ2645" s="152"/>
      <c r="AR2645" s="152"/>
      <c r="AS2645" s="152"/>
      <c r="AT2645" s="152"/>
      <c r="AU2645" s="153"/>
      <c r="AV2645" s="479"/>
      <c r="AW2645" s="479"/>
      <c r="AX2645" s="442"/>
      <c r="AY2645" s="153"/>
      <c r="AZ2645" s="152"/>
      <c r="BA2645" s="152"/>
      <c r="BB2645" s="152"/>
      <c r="BC2645" s="152"/>
      <c r="BD2645" s="152"/>
      <c r="BE2645" s="152"/>
      <c r="BF2645" s="152"/>
      <c r="BG2645" s="152"/>
      <c r="BH2645" s="152"/>
      <c r="BI2645" s="153"/>
      <c r="BJ2645" s="153"/>
      <c r="BK2645" s="153"/>
      <c r="BL2645" s="153"/>
      <c r="BM2645" s="153"/>
      <c r="BN2645" s="153"/>
      <c r="BO2645" s="153"/>
      <c r="BP2645" s="153"/>
      <c r="BQ2645" s="153"/>
      <c r="BR2645" s="153"/>
      <c r="BS2645" s="153"/>
      <c r="BT2645" s="153"/>
      <c r="BU2645" s="153"/>
      <c r="BV2645" s="153"/>
      <c r="BW2645" s="153"/>
      <c r="BX2645" s="153"/>
      <c r="BY2645" s="153"/>
      <c r="BZ2645" s="153"/>
      <c r="CA2645" s="152"/>
      <c r="CB2645" s="152"/>
    </row>
    <row r="2646" spans="1:80" s="87" customFormat="1" ht="15" x14ac:dyDescent="0.25">
      <c r="A2646" s="152"/>
      <c r="B2646" s="683"/>
      <c r="C2646" s="683"/>
      <c r="D2646" s="698"/>
      <c r="E2646" s="215"/>
      <c r="F2646" s="215"/>
      <c r="G2646" s="153"/>
      <c r="H2646" s="153"/>
      <c r="I2646" s="313">
        <v>21</v>
      </c>
      <c r="J2646" s="313">
        <v>60</v>
      </c>
      <c r="K2646" s="150">
        <v>20</v>
      </c>
      <c r="L2646" s="656">
        <v>420</v>
      </c>
      <c r="M2646" s="663">
        <v>34470</v>
      </c>
      <c r="N2646" s="600">
        <v>181.768</v>
      </c>
      <c r="O2646" s="604">
        <v>4.2403000000000003E-2</v>
      </c>
      <c r="P2646" s="150"/>
      <c r="Q2646" s="250"/>
      <c r="R2646" s="250"/>
      <c r="S2646" s="250"/>
      <c r="T2646" s="250">
        <v>1.8000000000000002E-2</v>
      </c>
      <c r="U2646" s="250">
        <v>8.4000000000000005E-2</v>
      </c>
      <c r="V2646" s="250">
        <v>0.44500000000000001</v>
      </c>
      <c r="W2646" s="250">
        <v>0.34700000000000003</v>
      </c>
      <c r="X2646" s="250">
        <v>9.6999999999999989E-2</v>
      </c>
      <c r="Y2646" s="250">
        <v>9.0000000000000011E-3</v>
      </c>
      <c r="Z2646" s="150"/>
      <c r="AA2646" s="150">
        <v>1.08</v>
      </c>
      <c r="AB2646" s="152"/>
      <c r="AC2646" s="152"/>
      <c r="AD2646" s="223"/>
      <c r="AE2646" s="223"/>
      <c r="AF2646" s="223"/>
      <c r="AG2646" s="223"/>
      <c r="AH2646" s="341"/>
      <c r="AI2646" s="218"/>
      <c r="AJ2646" s="218"/>
      <c r="AK2646" s="153"/>
      <c r="AL2646" s="152"/>
      <c r="AM2646" s="152"/>
      <c r="AN2646" s="152"/>
      <c r="AO2646" s="152"/>
      <c r="AP2646" s="152"/>
      <c r="AQ2646" s="152"/>
      <c r="AR2646" s="152"/>
      <c r="AS2646" s="152"/>
      <c r="AT2646" s="152"/>
      <c r="AU2646" s="153"/>
      <c r="AV2646" s="479"/>
      <c r="AW2646" s="479"/>
      <c r="AX2646" s="442"/>
      <c r="AY2646" s="153"/>
      <c r="AZ2646" s="152"/>
      <c r="BA2646" s="152"/>
      <c r="BB2646" s="152"/>
      <c r="BC2646" s="152"/>
      <c r="BD2646" s="152"/>
      <c r="BE2646" s="152"/>
      <c r="BF2646" s="152"/>
      <c r="BG2646" s="152"/>
      <c r="BH2646" s="152"/>
      <c r="BI2646" s="153"/>
      <c r="BJ2646" s="153"/>
      <c r="BK2646" s="153"/>
      <c r="BL2646" s="153"/>
      <c r="BM2646" s="153"/>
      <c r="BN2646" s="153"/>
      <c r="BO2646" s="153"/>
      <c r="BP2646" s="153"/>
      <c r="BQ2646" s="153"/>
      <c r="BR2646" s="153"/>
      <c r="BS2646" s="153"/>
      <c r="BT2646" s="153"/>
      <c r="BU2646" s="153"/>
      <c r="BV2646" s="153"/>
      <c r="BW2646" s="153"/>
      <c r="BX2646" s="153"/>
      <c r="BY2646" s="153"/>
      <c r="BZ2646" s="153"/>
      <c r="CA2646" s="152"/>
      <c r="CB2646" s="152"/>
    </row>
    <row r="2647" spans="1:80" s="87" customFormat="1" ht="15" x14ac:dyDescent="0.25">
      <c r="A2647" s="152"/>
      <c r="B2647" s="683"/>
      <c r="C2647" s="683"/>
      <c r="D2647" s="698"/>
      <c r="E2647" s="215"/>
      <c r="F2647" s="215"/>
      <c r="G2647" s="153"/>
      <c r="H2647" s="153"/>
      <c r="I2647" s="313">
        <v>21</v>
      </c>
      <c r="J2647" s="313">
        <v>60</v>
      </c>
      <c r="K2647" s="150">
        <v>21</v>
      </c>
      <c r="L2647" s="656">
        <v>441</v>
      </c>
      <c r="M2647" s="663">
        <v>34470</v>
      </c>
      <c r="N2647" s="600">
        <v>181.768</v>
      </c>
      <c r="O2647" s="604">
        <v>3.0752000000000002E-2</v>
      </c>
      <c r="P2647" s="150"/>
      <c r="Q2647" s="250"/>
      <c r="R2647" s="250"/>
      <c r="S2647" s="250"/>
      <c r="T2647" s="250">
        <v>1.4999999999999999E-2</v>
      </c>
      <c r="U2647" s="250">
        <v>0.04</v>
      </c>
      <c r="V2647" s="250">
        <v>0.3</v>
      </c>
      <c r="W2647" s="250">
        <v>0.371</v>
      </c>
      <c r="X2647" s="250">
        <v>0.14499999999999999</v>
      </c>
      <c r="Y2647" s="250">
        <v>0.129</v>
      </c>
      <c r="Z2647" s="150"/>
      <c r="AA2647" s="150">
        <v>0.76</v>
      </c>
      <c r="AB2647" s="152"/>
      <c r="AC2647" s="152"/>
      <c r="AD2647" s="223"/>
      <c r="AE2647" s="223"/>
      <c r="AF2647" s="223"/>
      <c r="AG2647" s="223"/>
      <c r="AH2647" s="341"/>
      <c r="AI2647" s="218"/>
      <c r="AJ2647" s="218"/>
      <c r="AK2647" s="153"/>
      <c r="AL2647" s="152"/>
      <c r="AM2647" s="152"/>
      <c r="AN2647" s="152"/>
      <c r="AO2647" s="152"/>
      <c r="AP2647" s="152"/>
      <c r="AQ2647" s="152"/>
      <c r="AR2647" s="152"/>
      <c r="AS2647" s="152"/>
      <c r="AT2647" s="152"/>
      <c r="AU2647" s="153"/>
      <c r="AV2647" s="479"/>
      <c r="AW2647" s="479"/>
      <c r="AX2647" s="442"/>
      <c r="AY2647" s="153"/>
      <c r="AZ2647" s="152"/>
      <c r="BA2647" s="152"/>
      <c r="BB2647" s="152"/>
      <c r="BC2647" s="152"/>
      <c r="BD2647" s="152"/>
      <c r="BE2647" s="152"/>
      <c r="BF2647" s="152"/>
      <c r="BG2647" s="152"/>
      <c r="BH2647" s="152"/>
      <c r="BI2647" s="153"/>
      <c r="BJ2647" s="153"/>
      <c r="BK2647" s="153"/>
      <c r="BL2647" s="153"/>
      <c r="BM2647" s="153"/>
      <c r="BN2647" s="153"/>
      <c r="BO2647" s="153"/>
      <c r="BP2647" s="153"/>
      <c r="BQ2647" s="153"/>
      <c r="BR2647" s="153"/>
      <c r="BS2647" s="153"/>
      <c r="BT2647" s="153"/>
      <c r="BU2647" s="153"/>
      <c r="BV2647" s="153"/>
      <c r="BW2647" s="153"/>
      <c r="BX2647" s="153"/>
      <c r="BY2647" s="153"/>
      <c r="BZ2647" s="153"/>
      <c r="CA2647" s="152"/>
      <c r="CB2647" s="152"/>
    </row>
    <row r="2648" spans="1:80" s="87" customFormat="1" ht="15" x14ac:dyDescent="0.25">
      <c r="A2648" s="152"/>
      <c r="B2648" s="683"/>
      <c r="C2648" s="683"/>
      <c r="D2648" s="698"/>
      <c r="E2648" s="215"/>
      <c r="F2648" s="215"/>
      <c r="G2648" s="153"/>
      <c r="H2648" s="153"/>
      <c r="I2648" s="313">
        <v>21</v>
      </c>
      <c r="J2648" s="313">
        <v>60</v>
      </c>
      <c r="K2648" s="150">
        <v>22</v>
      </c>
      <c r="L2648" s="656">
        <v>462</v>
      </c>
      <c r="M2648" s="663">
        <v>34478</v>
      </c>
      <c r="N2648" s="600">
        <v>136.46700000000001</v>
      </c>
      <c r="O2648" s="604">
        <v>3.6740000000000002E-3</v>
      </c>
      <c r="P2648" s="150"/>
      <c r="Q2648" s="250"/>
      <c r="R2648" s="250"/>
      <c r="S2648" s="250"/>
      <c r="T2648" s="250"/>
      <c r="U2648" s="250">
        <v>0.10400000000000001</v>
      </c>
      <c r="V2648" s="250">
        <v>0.5</v>
      </c>
      <c r="W2648" s="250">
        <v>0.33399999999999996</v>
      </c>
      <c r="X2648" s="250">
        <v>6.2E-2</v>
      </c>
      <c r="Y2648" s="250">
        <v>0</v>
      </c>
      <c r="Z2648" s="150"/>
      <c r="AA2648" s="150">
        <v>1.1599999999999999</v>
      </c>
      <c r="AB2648" s="152"/>
      <c r="AC2648" s="152"/>
      <c r="AD2648" s="223"/>
      <c r="AE2648" s="223"/>
      <c r="AF2648" s="223"/>
      <c r="AG2648" s="223"/>
      <c r="AH2648" s="341"/>
      <c r="AI2648" s="218"/>
      <c r="AJ2648" s="218"/>
      <c r="AK2648" s="153"/>
      <c r="AL2648" s="152"/>
      <c r="AM2648" s="152"/>
      <c r="AN2648" s="152"/>
      <c r="AO2648" s="152"/>
      <c r="AP2648" s="152"/>
      <c r="AQ2648" s="152"/>
      <c r="AR2648" s="152"/>
      <c r="AS2648" s="152"/>
      <c r="AT2648" s="152"/>
      <c r="AU2648" s="153"/>
      <c r="AV2648" s="479"/>
      <c r="AW2648" s="479"/>
      <c r="AX2648" s="442"/>
      <c r="AY2648" s="153"/>
      <c r="AZ2648" s="152"/>
      <c r="BA2648" s="152"/>
      <c r="BB2648" s="152"/>
      <c r="BC2648" s="152"/>
      <c r="BD2648" s="152"/>
      <c r="BE2648" s="152"/>
      <c r="BF2648" s="152"/>
      <c r="BG2648" s="152"/>
      <c r="BH2648" s="152"/>
      <c r="BI2648" s="153"/>
      <c r="BJ2648" s="153"/>
      <c r="BK2648" s="153"/>
      <c r="BL2648" s="153"/>
      <c r="BM2648" s="153"/>
      <c r="BN2648" s="153"/>
      <c r="BO2648" s="153"/>
      <c r="BP2648" s="153"/>
      <c r="BQ2648" s="153"/>
      <c r="BR2648" s="153"/>
      <c r="BS2648" s="153"/>
      <c r="BT2648" s="153"/>
      <c r="BU2648" s="153"/>
      <c r="BV2648" s="153"/>
      <c r="BW2648" s="153"/>
      <c r="BX2648" s="153"/>
      <c r="BY2648" s="153"/>
      <c r="BZ2648" s="153"/>
      <c r="CA2648" s="152"/>
      <c r="CB2648" s="152"/>
    </row>
    <row r="2649" spans="1:80" s="87" customFormat="1" ht="15" x14ac:dyDescent="0.25">
      <c r="A2649" s="152"/>
      <c r="B2649" s="683"/>
      <c r="C2649" s="683"/>
      <c r="D2649" s="698"/>
      <c r="E2649" s="215"/>
      <c r="F2649" s="215"/>
      <c r="G2649" s="153"/>
      <c r="H2649" s="153"/>
      <c r="I2649" s="313">
        <v>21</v>
      </c>
      <c r="J2649" s="313">
        <v>60</v>
      </c>
      <c r="K2649" s="150">
        <v>23</v>
      </c>
      <c r="L2649" s="656">
        <v>483</v>
      </c>
      <c r="M2649" s="663">
        <v>34478</v>
      </c>
      <c r="N2649" s="600">
        <v>136.46700000000001</v>
      </c>
      <c r="O2649" s="604">
        <v>2.519E-3</v>
      </c>
      <c r="P2649" s="150"/>
      <c r="Q2649" s="250"/>
      <c r="R2649" s="250"/>
      <c r="S2649" s="250"/>
      <c r="T2649" s="250"/>
      <c r="U2649" s="250">
        <v>9.0999999999999998E-2</v>
      </c>
      <c r="V2649" s="250">
        <v>0.30299999999999999</v>
      </c>
      <c r="W2649" s="250">
        <v>0.39399999999999996</v>
      </c>
      <c r="X2649" s="250">
        <v>0.182</v>
      </c>
      <c r="Y2649" s="250">
        <v>0.03</v>
      </c>
      <c r="Z2649" s="150"/>
      <c r="AA2649" s="150">
        <v>0.83</v>
      </c>
      <c r="AB2649" s="152"/>
      <c r="AC2649" s="152"/>
      <c r="AD2649" s="223"/>
      <c r="AE2649" s="223"/>
      <c r="AF2649" s="223"/>
      <c r="AG2649" s="223"/>
      <c r="AH2649" s="341"/>
      <c r="AI2649" s="218"/>
      <c r="AJ2649" s="218"/>
      <c r="AK2649" s="153"/>
      <c r="AL2649" s="152"/>
      <c r="AM2649" s="152"/>
      <c r="AN2649" s="152"/>
      <c r="AO2649" s="152"/>
      <c r="AP2649" s="152"/>
      <c r="AQ2649" s="152"/>
      <c r="AR2649" s="152"/>
      <c r="AS2649" s="152"/>
      <c r="AT2649" s="152"/>
      <c r="AU2649" s="153"/>
      <c r="AV2649" s="479"/>
      <c r="AW2649" s="479"/>
      <c r="AX2649" s="442"/>
      <c r="AY2649" s="153"/>
      <c r="AZ2649" s="152"/>
      <c r="BA2649" s="152"/>
      <c r="BB2649" s="152"/>
      <c r="BC2649" s="152"/>
      <c r="BD2649" s="152"/>
      <c r="BE2649" s="152"/>
      <c r="BF2649" s="152"/>
      <c r="BG2649" s="152"/>
      <c r="BH2649" s="152"/>
      <c r="BI2649" s="153"/>
      <c r="BJ2649" s="153"/>
      <c r="BK2649" s="153"/>
      <c r="BL2649" s="153"/>
      <c r="BM2649" s="153"/>
      <c r="BN2649" s="153"/>
      <c r="BO2649" s="153"/>
      <c r="BP2649" s="153"/>
      <c r="BQ2649" s="153"/>
      <c r="BR2649" s="153"/>
      <c r="BS2649" s="153"/>
      <c r="BT2649" s="153"/>
      <c r="BU2649" s="153"/>
      <c r="BV2649" s="153"/>
      <c r="BW2649" s="153"/>
      <c r="BX2649" s="153"/>
      <c r="BY2649" s="153"/>
      <c r="BZ2649" s="153"/>
      <c r="CA2649" s="152"/>
      <c r="CB2649" s="152"/>
    </row>
    <row r="2650" spans="1:80" s="87" customFormat="1" ht="15" x14ac:dyDescent="0.25">
      <c r="A2650" s="152"/>
      <c r="B2650" s="683"/>
      <c r="C2650" s="683"/>
      <c r="D2650" s="698"/>
      <c r="E2650" s="215"/>
      <c r="F2650" s="215"/>
      <c r="G2650" s="153"/>
      <c r="H2650" s="153"/>
      <c r="I2650" s="313">
        <v>21</v>
      </c>
      <c r="J2650" s="313">
        <v>60</v>
      </c>
      <c r="K2650" s="150">
        <v>24</v>
      </c>
      <c r="L2650" s="656">
        <v>504</v>
      </c>
      <c r="M2650" s="663">
        <v>34479</v>
      </c>
      <c r="N2650" s="600">
        <v>137.6</v>
      </c>
      <c r="O2650" s="604">
        <v>2.3089999999999999E-3</v>
      </c>
      <c r="P2650" s="150"/>
      <c r="Q2650" s="250"/>
      <c r="R2650" s="250"/>
      <c r="S2650" s="250"/>
      <c r="T2650" s="250"/>
      <c r="U2650" s="250">
        <v>0.125</v>
      </c>
      <c r="V2650" s="250">
        <v>0.34399999999999997</v>
      </c>
      <c r="W2650" s="250">
        <v>0.375</v>
      </c>
      <c r="X2650" s="250">
        <v>0.125</v>
      </c>
      <c r="Y2650" s="250">
        <v>3.1E-2</v>
      </c>
      <c r="Z2650" s="150"/>
      <c r="AA2650" s="150">
        <v>0.94</v>
      </c>
      <c r="AB2650" s="152"/>
      <c r="AC2650" s="152"/>
      <c r="AD2650" s="223"/>
      <c r="AE2650" s="223"/>
      <c r="AF2650" s="223"/>
      <c r="AG2650" s="223"/>
      <c r="AH2650" s="341"/>
      <c r="AI2650" s="218"/>
      <c r="AJ2650" s="218"/>
      <c r="AK2650" s="153"/>
      <c r="AL2650" s="152"/>
      <c r="AM2650" s="152"/>
      <c r="AN2650" s="152"/>
      <c r="AO2650" s="152"/>
      <c r="AP2650" s="152"/>
      <c r="AQ2650" s="152"/>
      <c r="AR2650" s="152"/>
      <c r="AS2650" s="152"/>
      <c r="AT2650" s="152"/>
      <c r="AU2650" s="153"/>
      <c r="AV2650" s="479"/>
      <c r="AW2650" s="479"/>
      <c r="AX2650" s="442"/>
      <c r="AY2650" s="153"/>
      <c r="AZ2650" s="152"/>
      <c r="BA2650" s="152"/>
      <c r="BB2650" s="152"/>
      <c r="BC2650" s="152"/>
      <c r="BD2650" s="152"/>
      <c r="BE2650" s="152"/>
      <c r="BF2650" s="152"/>
      <c r="BG2650" s="152"/>
      <c r="BH2650" s="152"/>
      <c r="BI2650" s="153"/>
      <c r="BJ2650" s="153"/>
      <c r="BK2650" s="153"/>
      <c r="BL2650" s="153"/>
      <c r="BM2650" s="153"/>
      <c r="BN2650" s="153"/>
      <c r="BO2650" s="153"/>
      <c r="BP2650" s="153"/>
      <c r="BQ2650" s="153"/>
      <c r="BR2650" s="153"/>
      <c r="BS2650" s="153"/>
      <c r="BT2650" s="153"/>
      <c r="BU2650" s="153"/>
      <c r="BV2650" s="153"/>
      <c r="BW2650" s="153"/>
      <c r="BX2650" s="153"/>
      <c r="BY2650" s="153"/>
      <c r="BZ2650" s="153"/>
      <c r="CA2650" s="152"/>
      <c r="CB2650" s="152"/>
    </row>
    <row r="2651" spans="1:80" s="87" customFormat="1" ht="15" x14ac:dyDescent="0.25">
      <c r="A2651" s="152"/>
      <c r="B2651" s="683"/>
      <c r="C2651" s="683"/>
      <c r="D2651" s="698"/>
      <c r="E2651" s="215"/>
      <c r="F2651" s="215"/>
      <c r="G2651" s="153"/>
      <c r="H2651" s="153"/>
      <c r="I2651" s="313">
        <v>21</v>
      </c>
      <c r="J2651" s="313">
        <v>60</v>
      </c>
      <c r="K2651" s="150">
        <v>25</v>
      </c>
      <c r="L2651" s="656">
        <v>525</v>
      </c>
      <c r="M2651" s="663">
        <v>34479</v>
      </c>
      <c r="N2651" s="600">
        <v>137.6</v>
      </c>
      <c r="O2651" s="604">
        <v>8.9210000000000001E-3</v>
      </c>
      <c r="P2651" s="150"/>
      <c r="Q2651" s="250"/>
      <c r="R2651" s="250"/>
      <c r="S2651" s="250"/>
      <c r="T2651" s="250">
        <v>1.7000000000000001E-2</v>
      </c>
      <c r="U2651" s="250">
        <v>2.5000000000000001E-2</v>
      </c>
      <c r="V2651" s="250">
        <v>0.22699999999999998</v>
      </c>
      <c r="W2651" s="250">
        <v>0.48700000000000004</v>
      </c>
      <c r="X2651" s="250">
        <v>0.21899999999999997</v>
      </c>
      <c r="Y2651" s="250">
        <v>2.5000000000000001E-2</v>
      </c>
      <c r="Z2651" s="150"/>
      <c r="AA2651" s="150">
        <v>0.72</v>
      </c>
      <c r="AB2651" s="152"/>
      <c r="AC2651" s="152"/>
      <c r="AD2651" s="223"/>
      <c r="AE2651" s="223"/>
      <c r="AF2651" s="223"/>
      <c r="AG2651" s="223"/>
      <c r="AH2651" s="341"/>
      <c r="AI2651" s="218"/>
      <c r="AJ2651" s="218"/>
      <c r="AK2651" s="153"/>
      <c r="AL2651" s="152"/>
      <c r="AM2651" s="152"/>
      <c r="AN2651" s="152"/>
      <c r="AO2651" s="152"/>
      <c r="AP2651" s="152"/>
      <c r="AQ2651" s="152"/>
      <c r="AR2651" s="152"/>
      <c r="AS2651" s="152"/>
      <c r="AT2651" s="152"/>
      <c r="AU2651" s="153"/>
      <c r="AV2651" s="479"/>
      <c r="AW2651" s="479"/>
      <c r="AX2651" s="442"/>
      <c r="AY2651" s="153"/>
      <c r="AZ2651" s="152"/>
      <c r="BA2651" s="152"/>
      <c r="BB2651" s="152"/>
      <c r="BC2651" s="152"/>
      <c r="BD2651" s="152"/>
      <c r="BE2651" s="152"/>
      <c r="BF2651" s="152"/>
      <c r="BG2651" s="152"/>
      <c r="BH2651" s="152"/>
      <c r="BI2651" s="153"/>
      <c r="BJ2651" s="153"/>
      <c r="BK2651" s="153"/>
      <c r="BL2651" s="153"/>
      <c r="BM2651" s="153"/>
      <c r="BN2651" s="153"/>
      <c r="BO2651" s="153"/>
      <c r="BP2651" s="153"/>
      <c r="BQ2651" s="153"/>
      <c r="BR2651" s="153"/>
      <c r="BS2651" s="153"/>
      <c r="BT2651" s="153"/>
      <c r="BU2651" s="153"/>
      <c r="BV2651" s="153"/>
      <c r="BW2651" s="153"/>
      <c r="BX2651" s="153"/>
      <c r="BY2651" s="153"/>
      <c r="BZ2651" s="153"/>
      <c r="CA2651" s="152"/>
      <c r="CB2651" s="152"/>
    </row>
    <row r="2652" spans="1:80" s="87" customFormat="1" ht="15" x14ac:dyDescent="0.25">
      <c r="A2652" s="152"/>
      <c r="B2652" s="683"/>
      <c r="C2652" s="683"/>
      <c r="D2652" s="698"/>
      <c r="E2652" s="215"/>
      <c r="F2652" s="215"/>
      <c r="G2652" s="153"/>
      <c r="H2652" s="153"/>
      <c r="I2652" s="313">
        <v>20</v>
      </c>
      <c r="J2652" s="313">
        <v>60</v>
      </c>
      <c r="K2652" s="150">
        <v>26</v>
      </c>
      <c r="L2652" s="656">
        <v>520</v>
      </c>
      <c r="M2652" s="663">
        <v>34486</v>
      </c>
      <c r="N2652" s="600">
        <v>127.973</v>
      </c>
      <c r="O2652" s="604">
        <v>6.7169999999999999E-3</v>
      </c>
      <c r="P2652" s="150"/>
      <c r="Q2652" s="250"/>
      <c r="R2652" s="250"/>
      <c r="S2652" s="250"/>
      <c r="T2652" s="250"/>
      <c r="U2652" s="250">
        <v>2.5000000000000001E-2</v>
      </c>
      <c r="V2652" s="250">
        <v>0.36299999999999999</v>
      </c>
      <c r="W2652" s="250">
        <v>0.38700000000000001</v>
      </c>
      <c r="X2652" s="250">
        <v>0.188</v>
      </c>
      <c r="Y2652" s="250">
        <v>3.7000000000000005E-2</v>
      </c>
      <c r="Z2652" s="150"/>
      <c r="AA2652" s="150">
        <v>0.82</v>
      </c>
      <c r="AB2652" s="152"/>
      <c r="AC2652" s="152"/>
      <c r="AD2652" s="223"/>
      <c r="AE2652" s="223"/>
      <c r="AF2652" s="223"/>
      <c r="AG2652" s="223"/>
      <c r="AH2652" s="341"/>
      <c r="AI2652" s="218"/>
      <c r="AJ2652" s="218"/>
      <c r="AK2652" s="153"/>
      <c r="AL2652" s="152"/>
      <c r="AM2652" s="152"/>
      <c r="AN2652" s="152"/>
      <c r="AO2652" s="152"/>
      <c r="AP2652" s="152"/>
      <c r="AQ2652" s="152"/>
      <c r="AR2652" s="152"/>
      <c r="AS2652" s="152"/>
      <c r="AT2652" s="152"/>
      <c r="AU2652" s="153"/>
      <c r="AV2652" s="479"/>
      <c r="AW2652" s="479"/>
      <c r="AX2652" s="442"/>
      <c r="AY2652" s="153"/>
      <c r="AZ2652" s="152"/>
      <c r="BA2652" s="152"/>
      <c r="BB2652" s="152"/>
      <c r="BC2652" s="152"/>
      <c r="BD2652" s="152"/>
      <c r="BE2652" s="152"/>
      <c r="BF2652" s="152"/>
      <c r="BG2652" s="152"/>
      <c r="BH2652" s="152"/>
      <c r="BI2652" s="153"/>
      <c r="BJ2652" s="153"/>
      <c r="BK2652" s="153"/>
      <c r="BL2652" s="153"/>
      <c r="BM2652" s="153"/>
      <c r="BN2652" s="153"/>
      <c r="BO2652" s="153"/>
      <c r="BP2652" s="153"/>
      <c r="BQ2652" s="153"/>
      <c r="BR2652" s="153"/>
      <c r="BS2652" s="153"/>
      <c r="BT2652" s="153"/>
      <c r="BU2652" s="153"/>
      <c r="BV2652" s="153"/>
      <c r="BW2652" s="153"/>
      <c r="BX2652" s="153"/>
      <c r="BY2652" s="153"/>
      <c r="BZ2652" s="153"/>
      <c r="CA2652" s="152"/>
      <c r="CB2652" s="152"/>
    </row>
    <row r="2653" spans="1:80" s="87" customFormat="1" ht="15" x14ac:dyDescent="0.25">
      <c r="A2653" s="152"/>
      <c r="B2653" s="683"/>
      <c r="C2653" s="683"/>
      <c r="D2653" s="698"/>
      <c r="E2653" s="215"/>
      <c r="F2653" s="215"/>
      <c r="G2653" s="153"/>
      <c r="H2653" s="153"/>
      <c r="I2653" s="313">
        <v>20</v>
      </c>
      <c r="J2653" s="313">
        <v>60</v>
      </c>
      <c r="K2653" s="150">
        <v>27</v>
      </c>
      <c r="L2653" s="656">
        <v>540</v>
      </c>
      <c r="M2653" s="663">
        <v>34486</v>
      </c>
      <c r="N2653" s="600">
        <v>127.973</v>
      </c>
      <c r="O2653" s="604">
        <v>2.4139999999999999E-3</v>
      </c>
      <c r="P2653" s="150"/>
      <c r="Q2653" s="250"/>
      <c r="R2653" s="250"/>
      <c r="S2653" s="250"/>
      <c r="T2653" s="250"/>
      <c r="U2653" s="250">
        <v>0.1</v>
      </c>
      <c r="V2653" s="250">
        <v>0.433</v>
      </c>
      <c r="W2653" s="250">
        <v>0.26700000000000002</v>
      </c>
      <c r="X2653" s="250">
        <v>0.16699999999999998</v>
      </c>
      <c r="Y2653" s="250">
        <v>3.3000000000000002E-2</v>
      </c>
      <c r="Z2653" s="150"/>
      <c r="AA2653" s="150">
        <v>1.05</v>
      </c>
      <c r="AB2653" s="152"/>
      <c r="AC2653" s="152"/>
      <c r="AD2653" s="223"/>
      <c r="AE2653" s="223"/>
      <c r="AF2653" s="223"/>
      <c r="AG2653" s="223"/>
      <c r="AH2653" s="341"/>
      <c r="AI2653" s="218"/>
      <c r="AJ2653" s="218"/>
      <c r="AK2653" s="153"/>
      <c r="AL2653" s="152"/>
      <c r="AM2653" s="152"/>
      <c r="AN2653" s="152"/>
      <c r="AO2653" s="152"/>
      <c r="AP2653" s="152"/>
      <c r="AQ2653" s="152"/>
      <c r="AR2653" s="152"/>
      <c r="AS2653" s="152"/>
      <c r="AT2653" s="152"/>
      <c r="AU2653" s="153"/>
      <c r="AV2653" s="479"/>
      <c r="AW2653" s="479"/>
      <c r="AX2653" s="442"/>
      <c r="AY2653" s="153"/>
      <c r="AZ2653" s="152"/>
      <c r="BA2653" s="152"/>
      <c r="BB2653" s="152"/>
      <c r="BC2653" s="152"/>
      <c r="BD2653" s="152"/>
      <c r="BE2653" s="152"/>
      <c r="BF2653" s="152"/>
      <c r="BG2653" s="152"/>
      <c r="BH2653" s="152"/>
      <c r="BI2653" s="153"/>
      <c r="BJ2653" s="153"/>
      <c r="BK2653" s="153"/>
      <c r="BL2653" s="153"/>
      <c r="BM2653" s="153"/>
      <c r="BN2653" s="153"/>
      <c r="BO2653" s="153"/>
      <c r="BP2653" s="153"/>
      <c r="BQ2653" s="153"/>
      <c r="BR2653" s="153"/>
      <c r="BS2653" s="153"/>
      <c r="BT2653" s="153"/>
      <c r="BU2653" s="153"/>
      <c r="BV2653" s="153"/>
      <c r="BW2653" s="153"/>
      <c r="BX2653" s="153"/>
      <c r="BY2653" s="153"/>
      <c r="BZ2653" s="153"/>
      <c r="CA2653" s="152"/>
      <c r="CB2653" s="152"/>
    </row>
    <row r="2654" spans="1:80" s="87" customFormat="1" ht="15" x14ac:dyDescent="0.25">
      <c r="A2654" s="152"/>
      <c r="B2654" s="683"/>
      <c r="C2654" s="683"/>
      <c r="D2654" s="698"/>
      <c r="E2654" s="215"/>
      <c r="F2654" s="215"/>
      <c r="G2654" s="153"/>
      <c r="H2654" s="153"/>
      <c r="I2654" s="313">
        <v>20</v>
      </c>
      <c r="J2654" s="313">
        <v>60</v>
      </c>
      <c r="K2654" s="150">
        <v>28</v>
      </c>
      <c r="L2654" s="656">
        <v>560</v>
      </c>
      <c r="M2654" s="663">
        <v>34487</v>
      </c>
      <c r="N2654" s="600">
        <v>142.41300000000001</v>
      </c>
      <c r="O2654" s="604">
        <v>2.3089999999999999E-3</v>
      </c>
      <c r="P2654" s="150"/>
      <c r="Q2654" s="250"/>
      <c r="R2654" s="250"/>
      <c r="S2654" s="250"/>
      <c r="T2654" s="250"/>
      <c r="U2654" s="250">
        <v>6.7000000000000004E-2</v>
      </c>
      <c r="V2654" s="250">
        <v>0.33299999999999996</v>
      </c>
      <c r="W2654" s="250">
        <v>0.33299999999999996</v>
      </c>
      <c r="X2654" s="250">
        <v>0.23399999999999999</v>
      </c>
      <c r="Y2654" s="250">
        <v>3.3000000000000002E-2</v>
      </c>
      <c r="Z2654" s="150"/>
      <c r="AA2654" s="150">
        <v>0.81</v>
      </c>
      <c r="AB2654" s="152"/>
      <c r="AC2654" s="152"/>
      <c r="AD2654" s="223"/>
      <c r="AE2654" s="223"/>
      <c r="AF2654" s="223"/>
      <c r="AG2654" s="223"/>
      <c r="AH2654" s="341"/>
      <c r="AI2654" s="218"/>
      <c r="AJ2654" s="218"/>
      <c r="AK2654" s="153"/>
      <c r="AL2654" s="152"/>
      <c r="AM2654" s="152"/>
      <c r="AN2654" s="152"/>
      <c r="AO2654" s="152"/>
      <c r="AP2654" s="152"/>
      <c r="AQ2654" s="152"/>
      <c r="AR2654" s="152"/>
      <c r="AS2654" s="152"/>
      <c r="AT2654" s="152"/>
      <c r="AU2654" s="153"/>
      <c r="AV2654" s="479"/>
      <c r="AW2654" s="479"/>
      <c r="AX2654" s="442"/>
      <c r="AY2654" s="153"/>
      <c r="AZ2654" s="152"/>
      <c r="BA2654" s="152"/>
      <c r="BB2654" s="152"/>
      <c r="BC2654" s="152"/>
      <c r="BD2654" s="152"/>
      <c r="BE2654" s="152"/>
      <c r="BF2654" s="152"/>
      <c r="BG2654" s="152"/>
      <c r="BH2654" s="152"/>
      <c r="BI2654" s="153"/>
      <c r="BJ2654" s="153"/>
      <c r="BK2654" s="153"/>
      <c r="BL2654" s="153"/>
      <c r="BM2654" s="153"/>
      <c r="BN2654" s="153"/>
      <c r="BO2654" s="153"/>
      <c r="BP2654" s="153"/>
      <c r="BQ2654" s="153"/>
      <c r="BR2654" s="153"/>
      <c r="BS2654" s="153"/>
      <c r="BT2654" s="153"/>
      <c r="BU2654" s="153"/>
      <c r="BV2654" s="153"/>
      <c r="BW2654" s="153"/>
      <c r="BX2654" s="153"/>
      <c r="BY2654" s="153"/>
      <c r="BZ2654" s="153"/>
      <c r="CA2654" s="152"/>
      <c r="CB2654" s="152"/>
    </row>
    <row r="2655" spans="1:80" s="87" customFormat="1" ht="15" x14ac:dyDescent="0.25">
      <c r="A2655" s="152"/>
      <c r="B2655" s="683"/>
      <c r="C2655" s="683"/>
      <c r="D2655" s="698"/>
      <c r="E2655" s="215"/>
      <c r="F2655" s="215"/>
      <c r="G2655" s="153"/>
      <c r="H2655" s="153"/>
      <c r="I2655" s="313">
        <v>20</v>
      </c>
      <c r="J2655" s="313">
        <v>60</v>
      </c>
      <c r="K2655" s="150">
        <v>29</v>
      </c>
      <c r="L2655" s="656">
        <v>580</v>
      </c>
      <c r="M2655" s="663">
        <v>34487</v>
      </c>
      <c r="N2655" s="600">
        <v>142.41300000000001</v>
      </c>
      <c r="O2655" s="604">
        <v>2.624E-3</v>
      </c>
      <c r="P2655" s="150"/>
      <c r="Q2655" s="250"/>
      <c r="R2655" s="250"/>
      <c r="S2655" s="250"/>
      <c r="T2655" s="250"/>
      <c r="U2655" s="250">
        <v>8.5999999999999993E-2</v>
      </c>
      <c r="V2655" s="250">
        <v>0.48499999999999999</v>
      </c>
      <c r="W2655" s="250">
        <v>0.28600000000000003</v>
      </c>
      <c r="X2655" s="250">
        <v>0.114</v>
      </c>
      <c r="Y2655" s="250">
        <v>2.8999999999999998E-2</v>
      </c>
      <c r="Z2655" s="150"/>
      <c r="AA2655" s="150">
        <v>1.1100000000000001</v>
      </c>
      <c r="AB2655" s="152"/>
      <c r="AC2655" s="152"/>
      <c r="AD2655" s="223"/>
      <c r="AE2655" s="223"/>
      <c r="AF2655" s="223"/>
      <c r="AG2655" s="223"/>
      <c r="AH2655" s="341"/>
      <c r="AI2655" s="218"/>
      <c r="AJ2655" s="218"/>
      <c r="AK2655" s="153"/>
      <c r="AL2655" s="152"/>
      <c r="AM2655" s="152"/>
      <c r="AN2655" s="152"/>
      <c r="AO2655" s="152"/>
      <c r="AP2655" s="152"/>
      <c r="AQ2655" s="152"/>
      <c r="AR2655" s="152"/>
      <c r="AS2655" s="152"/>
      <c r="AT2655" s="152"/>
      <c r="AU2655" s="153"/>
      <c r="AV2655" s="479"/>
      <c r="AW2655" s="479"/>
      <c r="AX2655" s="442"/>
      <c r="AY2655" s="153"/>
      <c r="AZ2655" s="152"/>
      <c r="BA2655" s="152"/>
      <c r="BB2655" s="152"/>
      <c r="BC2655" s="152"/>
      <c r="BD2655" s="152"/>
      <c r="BE2655" s="152"/>
      <c r="BF2655" s="152"/>
      <c r="BG2655" s="152"/>
      <c r="BH2655" s="152"/>
      <c r="BI2655" s="153"/>
      <c r="BJ2655" s="153"/>
      <c r="BK2655" s="153"/>
      <c r="BL2655" s="153"/>
      <c r="BM2655" s="153"/>
      <c r="BN2655" s="153"/>
      <c r="BO2655" s="153"/>
      <c r="BP2655" s="153"/>
      <c r="BQ2655" s="153"/>
      <c r="BR2655" s="153"/>
      <c r="BS2655" s="153"/>
      <c r="BT2655" s="153"/>
      <c r="BU2655" s="153"/>
      <c r="BV2655" s="153"/>
      <c r="BW2655" s="153"/>
      <c r="BX2655" s="153"/>
      <c r="BY2655" s="153"/>
      <c r="BZ2655" s="153"/>
      <c r="CA2655" s="152"/>
      <c r="CB2655" s="152"/>
    </row>
    <row r="2656" spans="1:80" s="87" customFormat="1" ht="15" x14ac:dyDescent="0.25">
      <c r="A2656" s="152"/>
      <c r="B2656" s="683"/>
      <c r="C2656" s="683"/>
      <c r="D2656" s="698"/>
      <c r="E2656" s="215"/>
      <c r="F2656" s="215"/>
      <c r="G2656" s="153"/>
      <c r="H2656" s="153"/>
      <c r="I2656" s="313">
        <v>20</v>
      </c>
      <c r="J2656" s="313">
        <v>60</v>
      </c>
      <c r="K2656" s="150">
        <v>30</v>
      </c>
      <c r="L2656" s="656">
        <v>600</v>
      </c>
      <c r="M2656" s="663">
        <v>34492</v>
      </c>
      <c r="N2656" s="600">
        <v>114.95</v>
      </c>
      <c r="O2656" s="604">
        <v>1.0499999999999999E-3</v>
      </c>
      <c r="P2656" s="150"/>
      <c r="Q2656" s="250"/>
      <c r="R2656" s="250"/>
      <c r="S2656" s="250"/>
      <c r="T2656" s="250"/>
      <c r="U2656" s="250">
        <v>6.7000000000000004E-2</v>
      </c>
      <c r="V2656" s="250">
        <v>0.46600000000000003</v>
      </c>
      <c r="W2656" s="250">
        <v>0.33399999999999996</v>
      </c>
      <c r="X2656" s="250">
        <v>0.13300000000000001</v>
      </c>
      <c r="Y2656" s="250">
        <v>0</v>
      </c>
      <c r="Z2656" s="150"/>
      <c r="AA2656" s="150">
        <v>1.05</v>
      </c>
      <c r="AB2656" s="152"/>
      <c r="AC2656" s="152"/>
      <c r="AD2656" s="223"/>
      <c r="AE2656" s="223"/>
      <c r="AF2656" s="223"/>
      <c r="AG2656" s="223"/>
      <c r="AH2656" s="341"/>
      <c r="AI2656" s="218"/>
      <c r="AJ2656" s="218"/>
      <c r="AK2656" s="153"/>
      <c r="AL2656" s="152"/>
      <c r="AM2656" s="152"/>
      <c r="AN2656" s="152"/>
      <c r="AO2656" s="152"/>
      <c r="AP2656" s="152"/>
      <c r="AQ2656" s="152"/>
      <c r="AR2656" s="152"/>
      <c r="AS2656" s="152"/>
      <c r="AT2656" s="152"/>
      <c r="AU2656" s="153"/>
      <c r="AV2656" s="479"/>
      <c r="AW2656" s="479"/>
      <c r="AX2656" s="442"/>
      <c r="AY2656" s="153"/>
      <c r="AZ2656" s="152"/>
      <c r="BA2656" s="152"/>
      <c r="BB2656" s="152"/>
      <c r="BC2656" s="152"/>
      <c r="BD2656" s="152"/>
      <c r="BE2656" s="152"/>
      <c r="BF2656" s="152"/>
      <c r="BG2656" s="152"/>
      <c r="BH2656" s="152"/>
      <c r="BI2656" s="153"/>
      <c r="BJ2656" s="153"/>
      <c r="BK2656" s="153"/>
      <c r="BL2656" s="153"/>
      <c r="BM2656" s="153"/>
      <c r="BN2656" s="153"/>
      <c r="BO2656" s="153"/>
      <c r="BP2656" s="153"/>
      <c r="BQ2656" s="153"/>
      <c r="BR2656" s="153"/>
      <c r="BS2656" s="153"/>
      <c r="BT2656" s="153"/>
      <c r="BU2656" s="153"/>
      <c r="BV2656" s="153"/>
      <c r="BW2656" s="153"/>
      <c r="BX2656" s="153"/>
      <c r="BY2656" s="153"/>
      <c r="BZ2656" s="153"/>
      <c r="CA2656" s="152"/>
      <c r="CB2656" s="152"/>
    </row>
    <row r="2657" spans="1:80" s="87" customFormat="1" ht="15" x14ac:dyDescent="0.25">
      <c r="A2657" s="152"/>
      <c r="B2657" s="683"/>
      <c r="C2657" s="683"/>
      <c r="D2657" s="698"/>
      <c r="E2657" s="215"/>
      <c r="F2657" s="215"/>
      <c r="G2657" s="153"/>
      <c r="H2657" s="153"/>
      <c r="I2657" s="313">
        <v>20</v>
      </c>
      <c r="J2657" s="313">
        <v>60</v>
      </c>
      <c r="K2657" s="150">
        <v>31</v>
      </c>
      <c r="L2657" s="656">
        <v>620</v>
      </c>
      <c r="M2657" s="663">
        <v>34492</v>
      </c>
      <c r="N2657" s="600">
        <v>114.95</v>
      </c>
      <c r="O2657" s="604">
        <v>8.4000000000000003E-4</v>
      </c>
      <c r="P2657" s="150"/>
      <c r="Q2657" s="250"/>
      <c r="R2657" s="250"/>
      <c r="S2657" s="250"/>
      <c r="T2657" s="250"/>
      <c r="U2657" s="250"/>
      <c r="V2657" s="250">
        <v>0.4</v>
      </c>
      <c r="W2657" s="250">
        <v>0.4</v>
      </c>
      <c r="X2657" s="250">
        <v>0.2</v>
      </c>
      <c r="Y2657" s="250">
        <v>0</v>
      </c>
      <c r="Z2657" s="150"/>
      <c r="AA2657" s="150">
        <v>0.84</v>
      </c>
      <c r="AB2657" s="152"/>
      <c r="AC2657" s="152"/>
      <c r="AD2657" s="223"/>
      <c r="AE2657" s="223"/>
      <c r="AF2657" s="223"/>
      <c r="AG2657" s="223"/>
      <c r="AH2657" s="341"/>
      <c r="AI2657" s="218"/>
      <c r="AJ2657" s="218"/>
      <c r="AK2657" s="153"/>
      <c r="AL2657" s="152"/>
      <c r="AM2657" s="152"/>
      <c r="AN2657" s="152"/>
      <c r="AO2657" s="152"/>
      <c r="AP2657" s="152"/>
      <c r="AQ2657" s="152"/>
      <c r="AR2657" s="152"/>
      <c r="AS2657" s="152"/>
      <c r="AT2657" s="152"/>
      <c r="AU2657" s="153"/>
      <c r="AV2657" s="479"/>
      <c r="AW2657" s="479"/>
      <c r="AX2657" s="442"/>
      <c r="AY2657" s="153"/>
      <c r="AZ2657" s="152"/>
      <c r="BA2657" s="152"/>
      <c r="BB2657" s="152"/>
      <c r="BC2657" s="152"/>
      <c r="BD2657" s="152"/>
      <c r="BE2657" s="152"/>
      <c r="BF2657" s="152"/>
      <c r="BG2657" s="152"/>
      <c r="BH2657" s="152"/>
      <c r="BI2657" s="153"/>
      <c r="BJ2657" s="153"/>
      <c r="BK2657" s="153"/>
      <c r="BL2657" s="153"/>
      <c r="BM2657" s="153"/>
      <c r="BN2657" s="153"/>
      <c r="BO2657" s="153"/>
      <c r="BP2657" s="153"/>
      <c r="BQ2657" s="153"/>
      <c r="BR2657" s="153"/>
      <c r="BS2657" s="153"/>
      <c r="BT2657" s="153"/>
      <c r="BU2657" s="153"/>
      <c r="BV2657" s="153"/>
      <c r="BW2657" s="153"/>
      <c r="BX2657" s="153"/>
      <c r="BY2657" s="153"/>
      <c r="BZ2657" s="153"/>
      <c r="CA2657" s="152"/>
      <c r="CB2657" s="152"/>
    </row>
    <row r="2658" spans="1:80" s="87" customFormat="1" ht="15" x14ac:dyDescent="0.25">
      <c r="A2658" s="152"/>
      <c r="B2658" s="683"/>
      <c r="C2658" s="683"/>
      <c r="D2658" s="698"/>
      <c r="E2658" s="215"/>
      <c r="F2658" s="215"/>
      <c r="G2658" s="153"/>
      <c r="H2658" s="153"/>
      <c r="I2658" s="313">
        <v>20</v>
      </c>
      <c r="J2658" s="313">
        <v>60</v>
      </c>
      <c r="K2658" s="150">
        <v>32</v>
      </c>
      <c r="L2658" s="656">
        <v>640</v>
      </c>
      <c r="M2658" s="663">
        <v>34499</v>
      </c>
      <c r="N2658" s="600">
        <v>214.327</v>
      </c>
      <c r="O2658" s="604">
        <v>2.2039999999999998E-3</v>
      </c>
      <c r="P2658" s="150"/>
      <c r="Q2658" s="250"/>
      <c r="R2658" s="250"/>
      <c r="S2658" s="250"/>
      <c r="T2658" s="250"/>
      <c r="U2658" s="250"/>
      <c r="V2658" s="250">
        <v>0.217</v>
      </c>
      <c r="W2658" s="250">
        <v>0.17399999999999999</v>
      </c>
      <c r="X2658" s="250">
        <v>0.435</v>
      </c>
      <c r="Y2658" s="250">
        <v>0.17399999999999999</v>
      </c>
      <c r="Z2658" s="150"/>
      <c r="AA2658" s="150">
        <v>0.42</v>
      </c>
      <c r="AB2658" s="152"/>
      <c r="AC2658" s="152"/>
      <c r="AD2658" s="223"/>
      <c r="AE2658" s="223"/>
      <c r="AF2658" s="223"/>
      <c r="AG2658" s="223"/>
      <c r="AH2658" s="341"/>
      <c r="AI2658" s="218"/>
      <c r="AJ2658" s="218"/>
      <c r="AK2658" s="153"/>
      <c r="AL2658" s="152"/>
      <c r="AM2658" s="152"/>
      <c r="AN2658" s="152"/>
      <c r="AO2658" s="152"/>
      <c r="AP2658" s="152"/>
      <c r="AQ2658" s="152"/>
      <c r="AR2658" s="152"/>
      <c r="AS2658" s="152"/>
      <c r="AT2658" s="152"/>
      <c r="AU2658" s="153"/>
      <c r="AV2658" s="479"/>
      <c r="AW2658" s="479"/>
      <c r="AX2658" s="442"/>
      <c r="AY2658" s="153"/>
      <c r="AZ2658" s="152"/>
      <c r="BA2658" s="152"/>
      <c r="BB2658" s="152"/>
      <c r="BC2658" s="152"/>
      <c r="BD2658" s="152"/>
      <c r="BE2658" s="152"/>
      <c r="BF2658" s="152"/>
      <c r="BG2658" s="152"/>
      <c r="BH2658" s="152"/>
      <c r="BI2658" s="153"/>
      <c r="BJ2658" s="153"/>
      <c r="BK2658" s="153"/>
      <c r="BL2658" s="153"/>
      <c r="BM2658" s="153"/>
      <c r="BN2658" s="153"/>
      <c r="BO2658" s="153"/>
      <c r="BP2658" s="153"/>
      <c r="BQ2658" s="153"/>
      <c r="BR2658" s="153"/>
      <c r="BS2658" s="153"/>
      <c r="BT2658" s="153"/>
      <c r="BU2658" s="153"/>
      <c r="BV2658" s="153"/>
      <c r="BW2658" s="153"/>
      <c r="BX2658" s="153"/>
      <c r="BY2658" s="153"/>
      <c r="BZ2658" s="153"/>
      <c r="CA2658" s="152"/>
      <c r="CB2658" s="152"/>
    </row>
    <row r="2659" spans="1:80" s="87" customFormat="1" ht="15" x14ac:dyDescent="0.25">
      <c r="A2659" s="152"/>
      <c r="B2659" s="683"/>
      <c r="C2659" s="683"/>
      <c r="D2659" s="698"/>
      <c r="E2659" s="215"/>
      <c r="F2659" s="215"/>
      <c r="G2659" s="153"/>
      <c r="H2659" s="153"/>
      <c r="I2659" s="313">
        <v>20</v>
      </c>
      <c r="J2659" s="313">
        <v>60</v>
      </c>
      <c r="K2659" s="150">
        <v>33</v>
      </c>
      <c r="L2659" s="656">
        <v>660</v>
      </c>
      <c r="M2659" s="663">
        <v>34499</v>
      </c>
      <c r="N2659" s="600">
        <v>214.327</v>
      </c>
      <c r="O2659" s="604">
        <v>3.359E-3</v>
      </c>
      <c r="P2659" s="150"/>
      <c r="Q2659" s="250"/>
      <c r="R2659" s="250"/>
      <c r="S2659" s="250"/>
      <c r="T2659" s="250"/>
      <c r="U2659" s="250">
        <v>0.11900000000000001</v>
      </c>
      <c r="V2659" s="250">
        <v>0.52400000000000002</v>
      </c>
      <c r="W2659" s="250">
        <v>0.26200000000000001</v>
      </c>
      <c r="X2659" s="250">
        <v>9.5000000000000001E-2</v>
      </c>
      <c r="Y2659" s="250">
        <v>0</v>
      </c>
      <c r="Z2659" s="150"/>
      <c r="AA2659" s="150">
        <v>1.21</v>
      </c>
      <c r="AB2659" s="152"/>
      <c r="AC2659" s="152"/>
      <c r="AD2659" s="223"/>
      <c r="AE2659" s="223"/>
      <c r="AF2659" s="223"/>
      <c r="AG2659" s="223"/>
      <c r="AH2659" s="341"/>
      <c r="AI2659" s="218"/>
      <c r="AJ2659" s="218"/>
      <c r="AK2659" s="153"/>
      <c r="AL2659" s="152"/>
      <c r="AM2659" s="152"/>
      <c r="AN2659" s="152"/>
      <c r="AO2659" s="152"/>
      <c r="AP2659" s="152"/>
      <c r="AQ2659" s="152"/>
      <c r="AR2659" s="152"/>
      <c r="AS2659" s="152"/>
      <c r="AT2659" s="152"/>
      <c r="AU2659" s="153"/>
      <c r="AV2659" s="479"/>
      <c r="AW2659" s="479"/>
      <c r="AX2659" s="442"/>
      <c r="AY2659" s="153"/>
      <c r="AZ2659" s="152"/>
      <c r="BA2659" s="152"/>
      <c r="BB2659" s="152"/>
      <c r="BC2659" s="152"/>
      <c r="BD2659" s="152"/>
      <c r="BE2659" s="152"/>
      <c r="BF2659" s="152"/>
      <c r="BG2659" s="152"/>
      <c r="BH2659" s="152"/>
      <c r="BI2659" s="153"/>
      <c r="BJ2659" s="153"/>
      <c r="BK2659" s="153"/>
      <c r="BL2659" s="153"/>
      <c r="BM2659" s="153"/>
      <c r="BN2659" s="153"/>
      <c r="BO2659" s="153"/>
      <c r="BP2659" s="153"/>
      <c r="BQ2659" s="153"/>
      <c r="BR2659" s="153"/>
      <c r="BS2659" s="153"/>
      <c r="BT2659" s="153"/>
      <c r="BU2659" s="153"/>
      <c r="BV2659" s="153"/>
      <c r="BW2659" s="153"/>
      <c r="BX2659" s="153"/>
      <c r="BY2659" s="153"/>
      <c r="BZ2659" s="153"/>
      <c r="CA2659" s="152"/>
      <c r="CB2659" s="152"/>
    </row>
    <row r="2660" spans="1:80" s="87" customFormat="1" ht="15" x14ac:dyDescent="0.25">
      <c r="A2660" s="152"/>
      <c r="B2660" s="683"/>
      <c r="C2660" s="683"/>
      <c r="D2660" s="698"/>
      <c r="E2660" s="215"/>
      <c r="F2660" s="215"/>
      <c r="G2660" s="153"/>
      <c r="H2660" s="153"/>
      <c r="I2660" s="313">
        <v>20</v>
      </c>
      <c r="J2660" s="313">
        <v>60</v>
      </c>
      <c r="K2660" s="150">
        <v>34</v>
      </c>
      <c r="L2660" s="656">
        <v>680</v>
      </c>
      <c r="M2660" s="663">
        <v>34821</v>
      </c>
      <c r="N2660" s="600">
        <v>110.703</v>
      </c>
      <c r="O2660" s="604">
        <v>6.0879999999999997E-3</v>
      </c>
      <c r="P2660" s="150"/>
      <c r="Q2660" s="250"/>
      <c r="R2660" s="250"/>
      <c r="S2660" s="250"/>
      <c r="T2660" s="250"/>
      <c r="U2660" s="250">
        <v>4.8000000000000001E-2</v>
      </c>
      <c r="V2660" s="250">
        <v>0.33299999999999996</v>
      </c>
      <c r="W2660" s="250">
        <v>0.44</v>
      </c>
      <c r="X2660" s="250">
        <v>0.17899999999999999</v>
      </c>
      <c r="Y2660" s="250">
        <v>0</v>
      </c>
      <c r="Z2660" s="150">
        <v>2</v>
      </c>
      <c r="AA2660" s="150">
        <v>0.83</v>
      </c>
      <c r="AB2660" s="152"/>
      <c r="AC2660" s="152"/>
      <c r="AD2660" s="223"/>
      <c r="AE2660" s="223"/>
      <c r="AF2660" s="223"/>
      <c r="AG2660" s="223"/>
      <c r="AH2660" s="341"/>
      <c r="AI2660" s="218"/>
      <c r="AJ2660" s="218"/>
      <c r="AK2660" s="153"/>
      <c r="AL2660" s="152"/>
      <c r="AM2660" s="152"/>
      <c r="AN2660" s="152"/>
      <c r="AO2660" s="152"/>
      <c r="AP2660" s="152"/>
      <c r="AQ2660" s="152"/>
      <c r="AR2660" s="152"/>
      <c r="AS2660" s="152"/>
      <c r="AT2660" s="152"/>
      <c r="AU2660" s="153"/>
      <c r="AV2660" s="479"/>
      <c r="AW2660" s="479"/>
      <c r="AX2660" s="442"/>
      <c r="AY2660" s="153"/>
      <c r="AZ2660" s="152"/>
      <c r="BA2660" s="152"/>
      <c r="BB2660" s="152"/>
      <c r="BC2660" s="152"/>
      <c r="BD2660" s="152"/>
      <c r="BE2660" s="152"/>
      <c r="BF2660" s="152"/>
      <c r="BG2660" s="152"/>
      <c r="BH2660" s="152"/>
      <c r="BI2660" s="153"/>
      <c r="BJ2660" s="153"/>
      <c r="BK2660" s="153"/>
      <c r="BL2660" s="153"/>
      <c r="BM2660" s="153"/>
      <c r="BN2660" s="153"/>
      <c r="BO2660" s="153"/>
      <c r="BP2660" s="153"/>
      <c r="BQ2660" s="153"/>
      <c r="BR2660" s="153"/>
      <c r="BS2660" s="153"/>
      <c r="BT2660" s="153"/>
      <c r="BU2660" s="153"/>
      <c r="BV2660" s="153"/>
      <c r="BW2660" s="153"/>
      <c r="BX2660" s="153"/>
      <c r="BY2660" s="153"/>
      <c r="BZ2660" s="153"/>
      <c r="CA2660" s="152"/>
      <c r="CB2660" s="152"/>
    </row>
    <row r="2661" spans="1:80" s="87" customFormat="1" ht="15" x14ac:dyDescent="0.25">
      <c r="A2661" s="152"/>
      <c r="B2661" s="683"/>
      <c r="C2661" s="683"/>
      <c r="D2661" s="698"/>
      <c r="E2661" s="215"/>
      <c r="F2661" s="215"/>
      <c r="G2661" s="153"/>
      <c r="H2661" s="153"/>
      <c r="I2661" s="313">
        <v>20</v>
      </c>
      <c r="J2661" s="313">
        <v>60</v>
      </c>
      <c r="K2661" s="150">
        <v>35</v>
      </c>
      <c r="L2661" s="656">
        <v>700</v>
      </c>
      <c r="M2661" s="663">
        <v>34821</v>
      </c>
      <c r="N2661" s="600">
        <v>110.703</v>
      </c>
      <c r="O2661" s="604">
        <v>1.0181000000000001E-2</v>
      </c>
      <c r="P2661" s="150"/>
      <c r="Q2661" s="250"/>
      <c r="R2661" s="250"/>
      <c r="S2661" s="250"/>
      <c r="T2661" s="250"/>
      <c r="U2661" s="250">
        <v>0.08</v>
      </c>
      <c r="V2661" s="250">
        <v>0.48499999999999999</v>
      </c>
      <c r="W2661" s="250">
        <v>0.32600000000000001</v>
      </c>
      <c r="X2661" s="250">
        <v>0.109</v>
      </c>
      <c r="Y2661" s="250">
        <v>0</v>
      </c>
      <c r="Z2661" s="150">
        <v>4</v>
      </c>
      <c r="AA2661" s="150">
        <v>1.1000000000000001</v>
      </c>
      <c r="AB2661" s="152"/>
      <c r="AC2661" s="152"/>
      <c r="AD2661" s="223"/>
      <c r="AE2661" s="223"/>
      <c r="AF2661" s="223"/>
      <c r="AG2661" s="223"/>
      <c r="AH2661" s="341"/>
      <c r="AI2661" s="218"/>
      <c r="AJ2661" s="218"/>
      <c r="AK2661" s="153"/>
      <c r="AL2661" s="152"/>
      <c r="AM2661" s="152"/>
      <c r="AN2661" s="152"/>
      <c r="AO2661" s="152"/>
      <c r="AP2661" s="152"/>
      <c r="AQ2661" s="152"/>
      <c r="AR2661" s="152"/>
      <c r="AS2661" s="152"/>
      <c r="AT2661" s="152"/>
      <c r="AU2661" s="153"/>
      <c r="AV2661" s="479"/>
      <c r="AW2661" s="479"/>
      <c r="AX2661" s="442"/>
      <c r="AY2661" s="153"/>
      <c r="AZ2661" s="152"/>
      <c r="BA2661" s="152"/>
      <c r="BB2661" s="152"/>
      <c r="BC2661" s="152"/>
      <c r="BD2661" s="152"/>
      <c r="BE2661" s="152"/>
      <c r="BF2661" s="152"/>
      <c r="BG2661" s="152"/>
      <c r="BH2661" s="152"/>
      <c r="BI2661" s="153"/>
      <c r="BJ2661" s="153"/>
      <c r="BK2661" s="153"/>
      <c r="BL2661" s="153"/>
      <c r="BM2661" s="153"/>
      <c r="BN2661" s="153"/>
      <c r="BO2661" s="153"/>
      <c r="BP2661" s="153"/>
      <c r="BQ2661" s="153"/>
      <c r="BR2661" s="153"/>
      <c r="BS2661" s="153"/>
      <c r="BT2661" s="153"/>
      <c r="BU2661" s="153"/>
      <c r="BV2661" s="153"/>
      <c r="BW2661" s="153"/>
      <c r="BX2661" s="153"/>
      <c r="BY2661" s="153"/>
      <c r="BZ2661" s="153"/>
      <c r="CA2661" s="152"/>
      <c r="CB2661" s="152"/>
    </row>
    <row r="2662" spans="1:80" s="87" customFormat="1" ht="15" x14ac:dyDescent="0.25">
      <c r="A2662" s="152"/>
      <c r="B2662" s="683"/>
      <c r="C2662" s="683"/>
      <c r="D2662" s="698"/>
      <c r="E2662" s="215"/>
      <c r="F2662" s="215"/>
      <c r="G2662" s="153"/>
      <c r="H2662" s="153"/>
      <c r="I2662" s="313">
        <v>20</v>
      </c>
      <c r="J2662" s="313">
        <v>60</v>
      </c>
      <c r="K2662" s="150">
        <v>36</v>
      </c>
      <c r="L2662" s="656">
        <v>720</v>
      </c>
      <c r="M2662" s="663">
        <v>34822</v>
      </c>
      <c r="N2662" s="600">
        <v>137.6</v>
      </c>
      <c r="O2662" s="604">
        <v>4.2088E-2</v>
      </c>
      <c r="P2662" s="150"/>
      <c r="Q2662" s="250"/>
      <c r="R2662" s="250"/>
      <c r="S2662" s="250"/>
      <c r="T2662" s="250"/>
      <c r="U2662" s="250">
        <v>2.7999999999999997E-2</v>
      </c>
      <c r="V2662" s="250">
        <v>0.36399999999999999</v>
      </c>
      <c r="W2662" s="250">
        <v>0.34799999999999998</v>
      </c>
      <c r="X2662" s="250">
        <v>0.248</v>
      </c>
      <c r="Y2662" s="250">
        <v>1.2E-2</v>
      </c>
      <c r="Z2662" s="150">
        <v>3</v>
      </c>
      <c r="AA2662" s="150">
        <v>0.81</v>
      </c>
      <c r="AB2662" s="152"/>
      <c r="AC2662" s="152"/>
      <c r="AD2662" s="223"/>
      <c r="AE2662" s="223"/>
      <c r="AF2662" s="223"/>
      <c r="AG2662" s="223"/>
      <c r="AH2662" s="341"/>
      <c r="AI2662" s="218"/>
      <c r="AJ2662" s="218"/>
      <c r="AK2662" s="153"/>
      <c r="AL2662" s="152"/>
      <c r="AM2662" s="152"/>
      <c r="AN2662" s="152"/>
      <c r="AO2662" s="152"/>
      <c r="AP2662" s="152"/>
      <c r="AQ2662" s="152"/>
      <c r="AR2662" s="152"/>
      <c r="AS2662" s="152"/>
      <c r="AT2662" s="152"/>
      <c r="AU2662" s="153"/>
      <c r="AV2662" s="479"/>
      <c r="AW2662" s="479"/>
      <c r="AX2662" s="442"/>
      <c r="AY2662" s="153"/>
      <c r="AZ2662" s="152"/>
      <c r="BA2662" s="152"/>
      <c r="BB2662" s="152"/>
      <c r="BC2662" s="152"/>
      <c r="BD2662" s="152"/>
      <c r="BE2662" s="152"/>
      <c r="BF2662" s="152"/>
      <c r="BG2662" s="152"/>
      <c r="BH2662" s="152"/>
      <c r="BI2662" s="153"/>
      <c r="BJ2662" s="153"/>
      <c r="BK2662" s="153"/>
      <c r="BL2662" s="153"/>
      <c r="BM2662" s="153"/>
      <c r="BN2662" s="153"/>
      <c r="BO2662" s="153"/>
      <c r="BP2662" s="153"/>
      <c r="BQ2662" s="153"/>
      <c r="BR2662" s="153"/>
      <c r="BS2662" s="153"/>
      <c r="BT2662" s="153"/>
      <c r="BU2662" s="153"/>
      <c r="BV2662" s="153"/>
      <c r="BW2662" s="153"/>
      <c r="BX2662" s="153"/>
      <c r="BY2662" s="153"/>
      <c r="BZ2662" s="153"/>
      <c r="CA2662" s="152"/>
      <c r="CB2662" s="152"/>
    </row>
    <row r="2663" spans="1:80" s="87" customFormat="1" ht="15" x14ac:dyDescent="0.25">
      <c r="A2663" s="152"/>
      <c r="B2663" s="683"/>
      <c r="C2663" s="683"/>
      <c r="D2663" s="698"/>
      <c r="E2663" s="215"/>
      <c r="F2663" s="215"/>
      <c r="G2663" s="153"/>
      <c r="H2663" s="153"/>
      <c r="I2663" s="313">
        <v>20</v>
      </c>
      <c r="J2663" s="313">
        <v>60</v>
      </c>
      <c r="K2663" s="150">
        <v>37</v>
      </c>
      <c r="L2663" s="656">
        <v>740</v>
      </c>
      <c r="M2663" s="663">
        <v>34822</v>
      </c>
      <c r="N2663" s="600">
        <v>137.6</v>
      </c>
      <c r="O2663" s="604">
        <v>1.2070000000000001E-2</v>
      </c>
      <c r="P2663" s="150"/>
      <c r="Q2663" s="250"/>
      <c r="R2663" s="250"/>
      <c r="S2663" s="250"/>
      <c r="T2663" s="250"/>
      <c r="U2663" s="250">
        <v>0.10400000000000001</v>
      </c>
      <c r="V2663" s="250">
        <v>0.34399999999999997</v>
      </c>
      <c r="W2663" s="250">
        <v>0.35</v>
      </c>
      <c r="X2663" s="250">
        <v>0.19</v>
      </c>
      <c r="Y2663" s="250">
        <v>1.2E-2</v>
      </c>
      <c r="Z2663" s="150">
        <v>3</v>
      </c>
      <c r="AA2663" s="150">
        <v>0.9</v>
      </c>
      <c r="AB2663" s="152"/>
      <c r="AC2663" s="152"/>
      <c r="AD2663" s="223"/>
      <c r="AE2663" s="223"/>
      <c r="AF2663" s="223"/>
      <c r="AG2663" s="223"/>
      <c r="AH2663" s="341"/>
      <c r="AI2663" s="218"/>
      <c r="AJ2663" s="218"/>
      <c r="AK2663" s="153"/>
      <c r="AL2663" s="152"/>
      <c r="AM2663" s="152"/>
      <c r="AN2663" s="152"/>
      <c r="AO2663" s="152"/>
      <c r="AP2663" s="152"/>
      <c r="AQ2663" s="152"/>
      <c r="AR2663" s="152"/>
      <c r="AS2663" s="152"/>
      <c r="AT2663" s="152"/>
      <c r="AU2663" s="153"/>
      <c r="AV2663" s="479"/>
      <c r="AW2663" s="479"/>
      <c r="AX2663" s="442"/>
      <c r="AY2663" s="153"/>
      <c r="AZ2663" s="152"/>
      <c r="BA2663" s="152"/>
      <c r="BB2663" s="152"/>
      <c r="BC2663" s="152"/>
      <c r="BD2663" s="152"/>
      <c r="BE2663" s="152"/>
      <c r="BF2663" s="152"/>
      <c r="BG2663" s="152"/>
      <c r="BH2663" s="152"/>
      <c r="BI2663" s="153"/>
      <c r="BJ2663" s="153"/>
      <c r="BK2663" s="153"/>
      <c r="BL2663" s="153"/>
      <c r="BM2663" s="153"/>
      <c r="BN2663" s="153"/>
      <c r="BO2663" s="153"/>
      <c r="BP2663" s="153"/>
      <c r="BQ2663" s="153"/>
      <c r="BR2663" s="153"/>
      <c r="BS2663" s="153"/>
      <c r="BT2663" s="153"/>
      <c r="BU2663" s="153"/>
      <c r="BV2663" s="153"/>
      <c r="BW2663" s="153"/>
      <c r="BX2663" s="153"/>
      <c r="BY2663" s="153"/>
      <c r="BZ2663" s="153"/>
      <c r="CA2663" s="152"/>
      <c r="CB2663" s="152"/>
    </row>
    <row r="2664" spans="1:80" s="87" customFormat="1" ht="15" x14ac:dyDescent="0.25">
      <c r="A2664" s="152"/>
      <c r="B2664" s="683"/>
      <c r="C2664" s="683"/>
      <c r="D2664" s="698"/>
      <c r="E2664" s="215"/>
      <c r="F2664" s="215"/>
      <c r="G2664" s="153"/>
      <c r="H2664" s="153"/>
      <c r="I2664" s="313">
        <v>20</v>
      </c>
      <c r="J2664" s="313">
        <v>60</v>
      </c>
      <c r="K2664" s="150">
        <v>38</v>
      </c>
      <c r="L2664" s="656">
        <v>760</v>
      </c>
      <c r="M2664" s="663">
        <v>34828</v>
      </c>
      <c r="N2664" s="600">
        <v>241.50700000000001</v>
      </c>
      <c r="O2664" s="604">
        <v>0.15953500000000001</v>
      </c>
      <c r="P2664" s="150"/>
      <c r="Q2664" s="250"/>
      <c r="R2664" s="250"/>
      <c r="S2664" s="250"/>
      <c r="T2664" s="250"/>
      <c r="U2664" s="250">
        <v>3.3000000000000002E-2</v>
      </c>
      <c r="V2664" s="250">
        <v>0.30599999999999999</v>
      </c>
      <c r="W2664" s="250">
        <v>0.47499999999999998</v>
      </c>
      <c r="X2664" s="250">
        <v>0.18100000000000002</v>
      </c>
      <c r="Y2664" s="250">
        <v>5.0000000000000001E-3</v>
      </c>
      <c r="Z2664" s="150">
        <v>4</v>
      </c>
      <c r="AA2664" s="150">
        <v>0.79</v>
      </c>
      <c r="AB2664" s="152"/>
      <c r="AC2664" s="152"/>
      <c r="AD2664" s="223"/>
      <c r="AE2664" s="223"/>
      <c r="AF2664" s="223"/>
      <c r="AG2664" s="223"/>
      <c r="AH2664" s="341"/>
      <c r="AI2664" s="218"/>
      <c r="AJ2664" s="218"/>
      <c r="AK2664" s="153"/>
      <c r="AL2664" s="152"/>
      <c r="AM2664" s="152"/>
      <c r="AN2664" s="152"/>
      <c r="AO2664" s="152"/>
      <c r="AP2664" s="152"/>
      <c r="AQ2664" s="152"/>
      <c r="AR2664" s="152"/>
      <c r="AS2664" s="152"/>
      <c r="AT2664" s="152"/>
      <c r="AU2664" s="153"/>
      <c r="AV2664" s="479"/>
      <c r="AW2664" s="479"/>
      <c r="AX2664" s="442"/>
      <c r="AY2664" s="153"/>
      <c r="AZ2664" s="152"/>
      <c r="BA2664" s="152"/>
      <c r="BB2664" s="152"/>
      <c r="BC2664" s="152"/>
      <c r="BD2664" s="152"/>
      <c r="BE2664" s="152"/>
      <c r="BF2664" s="152"/>
      <c r="BG2664" s="152"/>
      <c r="BH2664" s="152"/>
      <c r="BI2664" s="153"/>
      <c r="BJ2664" s="153"/>
      <c r="BK2664" s="153"/>
      <c r="BL2664" s="153"/>
      <c r="BM2664" s="153"/>
      <c r="BN2664" s="153"/>
      <c r="BO2664" s="153"/>
      <c r="BP2664" s="153"/>
      <c r="BQ2664" s="153"/>
      <c r="BR2664" s="153"/>
      <c r="BS2664" s="153"/>
      <c r="BT2664" s="153"/>
      <c r="BU2664" s="153"/>
      <c r="BV2664" s="153"/>
      <c r="BW2664" s="153"/>
      <c r="BX2664" s="153"/>
      <c r="BY2664" s="153"/>
      <c r="BZ2664" s="153"/>
      <c r="CA2664" s="152"/>
      <c r="CB2664" s="152"/>
    </row>
    <row r="2665" spans="1:80" s="87" customFormat="1" ht="15" x14ac:dyDescent="0.25">
      <c r="A2665" s="152"/>
      <c r="B2665" s="683"/>
      <c r="C2665" s="683"/>
      <c r="D2665" s="698"/>
      <c r="E2665" s="215"/>
      <c r="F2665" s="215"/>
      <c r="G2665" s="153"/>
      <c r="H2665" s="153"/>
      <c r="I2665" s="313">
        <v>20</v>
      </c>
      <c r="J2665" s="313">
        <v>60</v>
      </c>
      <c r="K2665" s="150">
        <v>39</v>
      </c>
      <c r="L2665" s="656">
        <v>780</v>
      </c>
      <c r="M2665" s="663">
        <v>34828</v>
      </c>
      <c r="N2665" s="600">
        <v>241.50700000000001</v>
      </c>
      <c r="O2665" s="604">
        <v>0.104537</v>
      </c>
      <c r="P2665" s="150"/>
      <c r="Q2665" s="250"/>
      <c r="R2665" s="250"/>
      <c r="S2665" s="250"/>
      <c r="T2665" s="250">
        <v>2.3E-2</v>
      </c>
      <c r="U2665" s="250">
        <v>6.8000000000000005E-2</v>
      </c>
      <c r="V2665" s="250">
        <v>0.30399999999999999</v>
      </c>
      <c r="W2665" s="250">
        <v>0.39700000000000002</v>
      </c>
      <c r="X2665" s="250">
        <v>0.20300000000000001</v>
      </c>
      <c r="Y2665" s="250">
        <v>5.0000000000000001E-3</v>
      </c>
      <c r="Z2665" s="150">
        <v>7</v>
      </c>
      <c r="AA2665" s="150">
        <v>0.83</v>
      </c>
      <c r="AB2665" s="152"/>
      <c r="AC2665" s="152"/>
      <c r="AD2665" s="223"/>
      <c r="AE2665" s="223"/>
      <c r="AF2665" s="223"/>
      <c r="AG2665" s="223"/>
      <c r="AH2665" s="341"/>
      <c r="AI2665" s="218"/>
      <c r="AJ2665" s="218"/>
      <c r="AK2665" s="153"/>
      <c r="AL2665" s="152"/>
      <c r="AM2665" s="152"/>
      <c r="AN2665" s="152"/>
      <c r="AO2665" s="152"/>
      <c r="AP2665" s="152"/>
      <c r="AQ2665" s="152"/>
      <c r="AR2665" s="152"/>
      <c r="AS2665" s="152"/>
      <c r="AT2665" s="152"/>
      <c r="AU2665" s="153"/>
      <c r="AV2665" s="479"/>
      <c r="AW2665" s="479"/>
      <c r="AX2665" s="442"/>
      <c r="AY2665" s="153"/>
      <c r="AZ2665" s="152"/>
      <c r="BA2665" s="152"/>
      <c r="BB2665" s="152"/>
      <c r="BC2665" s="152"/>
      <c r="BD2665" s="152"/>
      <c r="BE2665" s="152"/>
      <c r="BF2665" s="152"/>
      <c r="BG2665" s="152"/>
      <c r="BH2665" s="152"/>
      <c r="BI2665" s="153"/>
      <c r="BJ2665" s="153"/>
      <c r="BK2665" s="153"/>
      <c r="BL2665" s="153"/>
      <c r="BM2665" s="153"/>
      <c r="BN2665" s="153"/>
      <c r="BO2665" s="153"/>
      <c r="BP2665" s="153"/>
      <c r="BQ2665" s="153"/>
      <c r="BR2665" s="153"/>
      <c r="BS2665" s="153"/>
      <c r="BT2665" s="153"/>
      <c r="BU2665" s="153"/>
      <c r="BV2665" s="153"/>
      <c r="BW2665" s="153"/>
      <c r="BX2665" s="153"/>
      <c r="BY2665" s="153"/>
      <c r="BZ2665" s="153"/>
      <c r="CA2665" s="152"/>
      <c r="CB2665" s="152"/>
    </row>
    <row r="2666" spans="1:80" s="87" customFormat="1" ht="15" x14ac:dyDescent="0.25">
      <c r="A2666" s="152"/>
      <c r="B2666" s="683"/>
      <c r="C2666" s="683"/>
      <c r="D2666" s="698"/>
      <c r="E2666" s="215"/>
      <c r="F2666" s="215"/>
      <c r="G2666" s="153"/>
      <c r="H2666" s="153"/>
      <c r="I2666" s="313">
        <v>20</v>
      </c>
      <c r="J2666" s="313">
        <v>60</v>
      </c>
      <c r="K2666" s="150">
        <v>40</v>
      </c>
      <c r="L2666" s="656">
        <v>800</v>
      </c>
      <c r="M2666" s="663">
        <v>34829</v>
      </c>
      <c r="N2666" s="600">
        <v>254.81399999999999</v>
      </c>
      <c r="O2666" s="604">
        <v>0.128048</v>
      </c>
      <c r="P2666" s="150"/>
      <c r="Q2666" s="250"/>
      <c r="R2666" s="250"/>
      <c r="S2666" s="250"/>
      <c r="T2666" s="250">
        <v>3.0000000000000001E-3</v>
      </c>
      <c r="U2666" s="250">
        <v>2.4E-2</v>
      </c>
      <c r="V2666" s="250">
        <v>0.255</v>
      </c>
      <c r="W2666" s="250">
        <v>0.51300000000000001</v>
      </c>
      <c r="X2666" s="250">
        <v>0.19899999999999998</v>
      </c>
      <c r="Y2666" s="250">
        <v>6.0000000000000001E-3</v>
      </c>
      <c r="Z2666" s="150">
        <v>4</v>
      </c>
      <c r="AA2666" s="150">
        <v>0.74</v>
      </c>
      <c r="AB2666" s="152"/>
      <c r="AC2666" s="152"/>
      <c r="AD2666" s="223"/>
      <c r="AE2666" s="223"/>
      <c r="AF2666" s="223"/>
      <c r="AG2666" s="223"/>
      <c r="AH2666" s="341"/>
      <c r="AI2666" s="218"/>
      <c r="AJ2666" s="218"/>
      <c r="AK2666" s="153"/>
      <c r="AL2666" s="152"/>
      <c r="AM2666" s="152"/>
      <c r="AN2666" s="152"/>
      <c r="AO2666" s="152"/>
      <c r="AP2666" s="152"/>
      <c r="AQ2666" s="152"/>
      <c r="AR2666" s="152"/>
      <c r="AS2666" s="152"/>
      <c r="AT2666" s="152"/>
      <c r="AU2666" s="153"/>
      <c r="AV2666" s="479"/>
      <c r="AW2666" s="479"/>
      <c r="AX2666" s="442"/>
      <c r="AY2666" s="153"/>
      <c r="AZ2666" s="152"/>
      <c r="BA2666" s="152"/>
      <c r="BB2666" s="152"/>
      <c r="BC2666" s="152"/>
      <c r="BD2666" s="152"/>
      <c r="BE2666" s="152"/>
      <c r="BF2666" s="152"/>
      <c r="BG2666" s="152"/>
      <c r="BH2666" s="152"/>
      <c r="BI2666" s="153"/>
      <c r="BJ2666" s="153"/>
      <c r="BK2666" s="153"/>
      <c r="BL2666" s="153"/>
      <c r="BM2666" s="153"/>
      <c r="BN2666" s="153"/>
      <c r="BO2666" s="153"/>
      <c r="BP2666" s="153"/>
      <c r="BQ2666" s="153"/>
      <c r="BR2666" s="153"/>
      <c r="BS2666" s="153"/>
      <c r="BT2666" s="153"/>
      <c r="BU2666" s="153"/>
      <c r="BV2666" s="153"/>
      <c r="BW2666" s="153"/>
      <c r="BX2666" s="153"/>
      <c r="BY2666" s="153"/>
      <c r="BZ2666" s="153"/>
      <c r="CA2666" s="152"/>
      <c r="CB2666" s="152"/>
    </row>
    <row r="2667" spans="1:80" s="87" customFormat="1" ht="15" x14ac:dyDescent="0.25">
      <c r="A2667" s="152"/>
      <c r="B2667" s="683"/>
      <c r="C2667" s="683"/>
      <c r="D2667" s="698"/>
      <c r="E2667" s="215"/>
      <c r="F2667" s="215"/>
      <c r="G2667" s="153"/>
      <c r="H2667" s="153"/>
      <c r="I2667" s="313">
        <v>20</v>
      </c>
      <c r="J2667" s="313">
        <v>60</v>
      </c>
      <c r="K2667" s="150">
        <v>41</v>
      </c>
      <c r="L2667" s="656">
        <v>820</v>
      </c>
      <c r="M2667" s="663">
        <v>34829</v>
      </c>
      <c r="N2667" s="600">
        <v>254.81399999999999</v>
      </c>
      <c r="O2667" s="604">
        <v>0.103488</v>
      </c>
      <c r="P2667" s="150"/>
      <c r="Q2667" s="250"/>
      <c r="R2667" s="250"/>
      <c r="S2667" s="250"/>
      <c r="T2667" s="250">
        <v>3.0000000000000001E-3</v>
      </c>
      <c r="U2667" s="250">
        <v>3.5000000000000003E-2</v>
      </c>
      <c r="V2667" s="250">
        <v>0.24199999999999999</v>
      </c>
      <c r="W2667" s="250">
        <v>0.47299999999999998</v>
      </c>
      <c r="X2667" s="250">
        <v>0.24100000000000002</v>
      </c>
      <c r="Y2667" s="250">
        <v>6.0000000000000001E-3</v>
      </c>
      <c r="Z2667" s="150">
        <v>5</v>
      </c>
      <c r="AA2667" s="150">
        <v>0.72</v>
      </c>
      <c r="AB2667" s="152"/>
      <c r="AC2667" s="152"/>
      <c r="AD2667" s="223"/>
      <c r="AE2667" s="223"/>
      <c r="AF2667" s="223"/>
      <c r="AG2667" s="223"/>
      <c r="AH2667" s="341"/>
      <c r="AI2667" s="218"/>
      <c r="AJ2667" s="218"/>
      <c r="AK2667" s="153"/>
      <c r="AL2667" s="152"/>
      <c r="AM2667" s="152"/>
      <c r="AN2667" s="152"/>
      <c r="AO2667" s="152"/>
      <c r="AP2667" s="152"/>
      <c r="AQ2667" s="152"/>
      <c r="AR2667" s="152"/>
      <c r="AS2667" s="152"/>
      <c r="AT2667" s="152"/>
      <c r="AU2667" s="153"/>
      <c r="AV2667" s="479"/>
      <c r="AW2667" s="479"/>
      <c r="AX2667" s="442"/>
      <c r="AY2667" s="153"/>
      <c r="AZ2667" s="152"/>
      <c r="BA2667" s="152"/>
      <c r="BB2667" s="152"/>
      <c r="BC2667" s="152"/>
      <c r="BD2667" s="152"/>
      <c r="BE2667" s="152"/>
      <c r="BF2667" s="152"/>
      <c r="BG2667" s="152"/>
      <c r="BH2667" s="152"/>
      <c r="BI2667" s="153"/>
      <c r="BJ2667" s="153"/>
      <c r="BK2667" s="153"/>
      <c r="BL2667" s="153"/>
      <c r="BM2667" s="153"/>
      <c r="BN2667" s="153"/>
      <c r="BO2667" s="153"/>
      <c r="BP2667" s="153"/>
      <c r="BQ2667" s="153"/>
      <c r="BR2667" s="153"/>
      <c r="BS2667" s="153"/>
      <c r="BT2667" s="153"/>
      <c r="BU2667" s="153"/>
      <c r="BV2667" s="153"/>
      <c r="BW2667" s="153"/>
      <c r="BX2667" s="153"/>
      <c r="BY2667" s="153"/>
      <c r="BZ2667" s="153"/>
      <c r="CA2667" s="152"/>
      <c r="CB2667" s="152"/>
    </row>
    <row r="2668" spans="1:80" s="87" customFormat="1" ht="15" x14ac:dyDescent="0.25">
      <c r="A2668" s="152"/>
      <c r="B2668" s="683"/>
      <c r="C2668" s="683"/>
      <c r="D2668" s="698"/>
      <c r="E2668" s="215"/>
      <c r="F2668" s="215"/>
      <c r="G2668" s="153"/>
      <c r="H2668" s="153"/>
      <c r="I2668" s="313">
        <v>20</v>
      </c>
      <c r="J2668" s="313">
        <v>60</v>
      </c>
      <c r="K2668" s="150">
        <v>42</v>
      </c>
      <c r="L2668" s="656">
        <v>840</v>
      </c>
      <c r="M2668" s="663">
        <v>34835</v>
      </c>
      <c r="N2668" s="600">
        <v>199.03800000000001</v>
      </c>
      <c r="O2668" s="604">
        <v>3.5160999999999998E-2</v>
      </c>
      <c r="P2668" s="150"/>
      <c r="Q2668" s="250"/>
      <c r="R2668" s="250"/>
      <c r="S2668" s="250"/>
      <c r="T2668" s="250">
        <v>1.6E-2</v>
      </c>
      <c r="U2668" s="250">
        <v>0.03</v>
      </c>
      <c r="V2668" s="250">
        <v>0.315</v>
      </c>
      <c r="W2668" s="250">
        <v>0.46700000000000003</v>
      </c>
      <c r="X2668" s="250">
        <v>0.17199999999999999</v>
      </c>
      <c r="Y2668" s="250">
        <v>0</v>
      </c>
      <c r="Z2668" s="150">
        <v>7</v>
      </c>
      <c r="AA2668" s="150">
        <v>0.81</v>
      </c>
      <c r="AB2668" s="152"/>
      <c r="AC2668" s="152"/>
      <c r="AD2668" s="223"/>
      <c r="AE2668" s="223"/>
      <c r="AF2668" s="223"/>
      <c r="AG2668" s="223"/>
      <c r="AH2668" s="341"/>
      <c r="AI2668" s="218"/>
      <c r="AJ2668" s="218"/>
      <c r="AK2668" s="153"/>
      <c r="AL2668" s="152"/>
      <c r="AM2668" s="152"/>
      <c r="AN2668" s="152"/>
      <c r="AO2668" s="152"/>
      <c r="AP2668" s="152"/>
      <c r="AQ2668" s="152"/>
      <c r="AR2668" s="152"/>
      <c r="AS2668" s="152"/>
      <c r="AT2668" s="152"/>
      <c r="AU2668" s="153"/>
      <c r="AV2668" s="479"/>
      <c r="AW2668" s="479"/>
      <c r="AX2668" s="442"/>
      <c r="AY2668" s="153"/>
      <c r="AZ2668" s="152"/>
      <c r="BA2668" s="152"/>
      <c r="BB2668" s="152"/>
      <c r="BC2668" s="152"/>
      <c r="BD2668" s="152"/>
      <c r="BE2668" s="152"/>
      <c r="BF2668" s="152"/>
      <c r="BG2668" s="152"/>
      <c r="BH2668" s="152"/>
      <c r="BI2668" s="153"/>
      <c r="BJ2668" s="153"/>
      <c r="BK2668" s="153"/>
      <c r="BL2668" s="153"/>
      <c r="BM2668" s="153"/>
      <c r="BN2668" s="153"/>
      <c r="BO2668" s="153"/>
      <c r="BP2668" s="153"/>
      <c r="BQ2668" s="153"/>
      <c r="BR2668" s="153"/>
      <c r="BS2668" s="153"/>
      <c r="BT2668" s="153"/>
      <c r="BU2668" s="153"/>
      <c r="BV2668" s="153"/>
      <c r="BW2668" s="153"/>
      <c r="BX2668" s="153"/>
      <c r="BY2668" s="153"/>
      <c r="BZ2668" s="153"/>
      <c r="CA2668" s="152"/>
      <c r="CB2668" s="152"/>
    </row>
    <row r="2669" spans="1:80" s="87" customFormat="1" ht="15" x14ac:dyDescent="0.25">
      <c r="A2669" s="152"/>
      <c r="B2669" s="683"/>
      <c r="C2669" s="683"/>
      <c r="D2669" s="698"/>
      <c r="E2669" s="215"/>
      <c r="F2669" s="215"/>
      <c r="G2669" s="153"/>
      <c r="H2669" s="153"/>
      <c r="I2669" s="313">
        <v>20</v>
      </c>
      <c r="J2669" s="313">
        <v>60</v>
      </c>
      <c r="K2669" s="150">
        <v>43</v>
      </c>
      <c r="L2669" s="656">
        <v>860</v>
      </c>
      <c r="M2669" s="663">
        <v>34835</v>
      </c>
      <c r="N2669" s="600">
        <v>199.03800000000001</v>
      </c>
      <c r="O2669" s="604">
        <v>2.0257000000000001E-2</v>
      </c>
      <c r="P2669" s="150"/>
      <c r="Q2669" s="250"/>
      <c r="R2669" s="250"/>
      <c r="S2669" s="250"/>
      <c r="T2669" s="250"/>
      <c r="U2669" s="250">
        <v>3.7000000000000005E-2</v>
      </c>
      <c r="V2669" s="250">
        <v>0.33</v>
      </c>
      <c r="W2669" s="250">
        <v>0.43700000000000006</v>
      </c>
      <c r="X2669" s="250">
        <v>0.192</v>
      </c>
      <c r="Y2669" s="250">
        <v>4.0000000000000001E-3</v>
      </c>
      <c r="Z2669" s="150">
        <v>3</v>
      </c>
      <c r="AA2669" s="150">
        <v>0.81</v>
      </c>
      <c r="AB2669" s="152"/>
      <c r="AC2669" s="152"/>
      <c r="AD2669" s="223"/>
      <c r="AE2669" s="223"/>
      <c r="AF2669" s="223"/>
      <c r="AG2669" s="223"/>
      <c r="AH2669" s="341"/>
      <c r="AI2669" s="218"/>
      <c r="AJ2669" s="218"/>
      <c r="AK2669" s="153"/>
      <c r="AL2669" s="152"/>
      <c r="AM2669" s="152"/>
      <c r="AN2669" s="152"/>
      <c r="AO2669" s="152"/>
      <c r="AP2669" s="152"/>
      <c r="AQ2669" s="152"/>
      <c r="AR2669" s="152"/>
      <c r="AS2669" s="152"/>
      <c r="AT2669" s="152"/>
      <c r="AU2669" s="153"/>
      <c r="AV2669" s="479"/>
      <c r="AW2669" s="479"/>
      <c r="AX2669" s="442"/>
      <c r="AY2669" s="153"/>
      <c r="AZ2669" s="152"/>
      <c r="BA2669" s="152"/>
      <c r="BB2669" s="152"/>
      <c r="BC2669" s="152"/>
      <c r="BD2669" s="152"/>
      <c r="BE2669" s="152"/>
      <c r="BF2669" s="152"/>
      <c r="BG2669" s="152"/>
      <c r="BH2669" s="152"/>
      <c r="BI2669" s="153"/>
      <c r="BJ2669" s="153"/>
      <c r="BK2669" s="153"/>
      <c r="BL2669" s="153"/>
      <c r="BM2669" s="153"/>
      <c r="BN2669" s="153"/>
      <c r="BO2669" s="153"/>
      <c r="BP2669" s="153"/>
      <c r="BQ2669" s="153"/>
      <c r="BR2669" s="153"/>
      <c r="BS2669" s="153"/>
      <c r="BT2669" s="153"/>
      <c r="BU2669" s="153"/>
      <c r="BV2669" s="153"/>
      <c r="BW2669" s="153"/>
      <c r="BX2669" s="153"/>
      <c r="BY2669" s="153"/>
      <c r="BZ2669" s="153"/>
      <c r="CA2669" s="152"/>
      <c r="CB2669" s="152"/>
    </row>
    <row r="2670" spans="1:80" s="87" customFormat="1" ht="15" x14ac:dyDescent="0.25">
      <c r="A2670" s="152"/>
      <c r="B2670" s="683"/>
      <c r="C2670" s="683"/>
      <c r="D2670" s="698"/>
      <c r="E2670" s="215"/>
      <c r="F2670" s="215"/>
      <c r="G2670" s="153"/>
      <c r="H2670" s="153"/>
      <c r="I2670" s="313">
        <v>20</v>
      </c>
      <c r="J2670" s="313">
        <v>60</v>
      </c>
      <c r="K2670" s="150">
        <v>44</v>
      </c>
      <c r="L2670" s="656">
        <v>880</v>
      </c>
      <c r="M2670" s="663">
        <v>34836</v>
      </c>
      <c r="N2670" s="600">
        <v>246.03700000000001</v>
      </c>
      <c r="O2670" s="604">
        <v>0.10810599999999999</v>
      </c>
      <c r="P2670" s="150"/>
      <c r="Q2670" s="250"/>
      <c r="R2670" s="250"/>
      <c r="S2670" s="250"/>
      <c r="T2670" s="250">
        <v>1.7000000000000001E-2</v>
      </c>
      <c r="U2670" s="250">
        <v>2.8999999999999998E-2</v>
      </c>
      <c r="V2670" s="250">
        <v>0.313</v>
      </c>
      <c r="W2670" s="250">
        <v>0.44400000000000001</v>
      </c>
      <c r="X2670" s="250">
        <v>0.191</v>
      </c>
      <c r="Y2670" s="250">
        <v>6.0000000000000001E-3</v>
      </c>
      <c r="Z2670" s="150">
        <v>7</v>
      </c>
      <c r="AA2670" s="150">
        <v>0.8</v>
      </c>
      <c r="AB2670" s="152"/>
      <c r="AC2670" s="152"/>
      <c r="AD2670" s="223"/>
      <c r="AE2670" s="223"/>
      <c r="AF2670" s="223"/>
      <c r="AG2670" s="223"/>
      <c r="AH2670" s="341"/>
      <c r="AI2670" s="218"/>
      <c r="AJ2670" s="218"/>
      <c r="AK2670" s="153"/>
      <c r="AL2670" s="152"/>
      <c r="AM2670" s="152"/>
      <c r="AN2670" s="152"/>
      <c r="AO2670" s="152"/>
      <c r="AP2670" s="152"/>
      <c r="AQ2670" s="152"/>
      <c r="AR2670" s="152"/>
      <c r="AS2670" s="152"/>
      <c r="AT2670" s="152"/>
      <c r="AU2670" s="153"/>
      <c r="AV2670" s="479"/>
      <c r="AW2670" s="479"/>
      <c r="AX2670" s="442"/>
      <c r="AY2670" s="153"/>
      <c r="AZ2670" s="152"/>
      <c r="BA2670" s="152"/>
      <c r="BB2670" s="152"/>
      <c r="BC2670" s="152"/>
      <c r="BD2670" s="152"/>
      <c r="BE2670" s="152"/>
      <c r="BF2670" s="152"/>
      <c r="BG2670" s="152"/>
      <c r="BH2670" s="152"/>
      <c r="BI2670" s="153"/>
      <c r="BJ2670" s="153"/>
      <c r="BK2670" s="153"/>
      <c r="BL2670" s="153"/>
      <c r="BM2670" s="153"/>
      <c r="BN2670" s="153"/>
      <c r="BO2670" s="153"/>
      <c r="BP2670" s="153"/>
      <c r="BQ2670" s="153"/>
      <c r="BR2670" s="153"/>
      <c r="BS2670" s="153"/>
      <c r="BT2670" s="153"/>
      <c r="BU2670" s="153"/>
      <c r="BV2670" s="153"/>
      <c r="BW2670" s="153"/>
      <c r="BX2670" s="153"/>
      <c r="BY2670" s="153"/>
      <c r="BZ2670" s="153"/>
      <c r="CA2670" s="152"/>
      <c r="CB2670" s="152"/>
    </row>
    <row r="2671" spans="1:80" s="87" customFormat="1" ht="15" x14ac:dyDescent="0.25">
      <c r="A2671" s="152"/>
      <c r="B2671" s="683"/>
      <c r="C2671" s="683"/>
      <c r="D2671" s="698"/>
      <c r="E2671" s="215"/>
      <c r="F2671" s="215"/>
      <c r="G2671" s="153"/>
      <c r="H2671" s="153"/>
      <c r="I2671" s="313">
        <v>20</v>
      </c>
      <c r="J2671" s="313">
        <v>60</v>
      </c>
      <c r="K2671" s="150">
        <v>45</v>
      </c>
      <c r="L2671" s="656">
        <v>900</v>
      </c>
      <c r="M2671" s="663">
        <v>34836</v>
      </c>
      <c r="N2671" s="600">
        <v>246.03700000000001</v>
      </c>
      <c r="O2671" s="604">
        <v>7.3679999999999995E-2</v>
      </c>
      <c r="P2671" s="150"/>
      <c r="Q2671" s="250"/>
      <c r="R2671" s="250"/>
      <c r="S2671" s="250"/>
      <c r="T2671" s="250">
        <v>1.9E-2</v>
      </c>
      <c r="U2671" s="250">
        <v>4.4000000000000004E-2</v>
      </c>
      <c r="V2671" s="250">
        <v>0.33299999999999996</v>
      </c>
      <c r="W2671" s="250">
        <v>0.40600000000000003</v>
      </c>
      <c r="X2671" s="250">
        <v>0.191</v>
      </c>
      <c r="Y2671" s="250">
        <v>6.9999999999999993E-3</v>
      </c>
      <c r="Z2671" s="150">
        <v>6</v>
      </c>
      <c r="AA2671" s="150">
        <v>0.84</v>
      </c>
      <c r="AB2671" s="152"/>
      <c r="AC2671" s="152"/>
      <c r="AD2671" s="223"/>
      <c r="AE2671" s="223"/>
      <c r="AF2671" s="223"/>
      <c r="AG2671" s="223"/>
      <c r="AH2671" s="341"/>
      <c r="AI2671" s="218"/>
      <c r="AJ2671" s="218"/>
      <c r="AK2671" s="153"/>
      <c r="AL2671" s="152"/>
      <c r="AM2671" s="152"/>
      <c r="AN2671" s="152"/>
      <c r="AO2671" s="152"/>
      <c r="AP2671" s="152"/>
      <c r="AQ2671" s="152"/>
      <c r="AR2671" s="152"/>
      <c r="AS2671" s="152"/>
      <c r="AT2671" s="152"/>
      <c r="AU2671" s="153"/>
      <c r="AV2671" s="479"/>
      <c r="AW2671" s="479"/>
      <c r="AX2671" s="442"/>
      <c r="AY2671" s="153"/>
      <c r="AZ2671" s="152"/>
      <c r="BA2671" s="152"/>
      <c r="BB2671" s="152"/>
      <c r="BC2671" s="152"/>
      <c r="BD2671" s="152"/>
      <c r="BE2671" s="152"/>
      <c r="BF2671" s="152"/>
      <c r="BG2671" s="152"/>
      <c r="BH2671" s="152"/>
      <c r="BI2671" s="153"/>
      <c r="BJ2671" s="153"/>
      <c r="BK2671" s="153"/>
      <c r="BL2671" s="153"/>
      <c r="BM2671" s="153"/>
      <c r="BN2671" s="153"/>
      <c r="BO2671" s="153"/>
      <c r="BP2671" s="153"/>
      <c r="BQ2671" s="153"/>
      <c r="BR2671" s="153"/>
      <c r="BS2671" s="153"/>
      <c r="BT2671" s="153"/>
      <c r="BU2671" s="153"/>
      <c r="BV2671" s="153"/>
      <c r="BW2671" s="153"/>
      <c r="BX2671" s="153"/>
      <c r="BY2671" s="153"/>
      <c r="BZ2671" s="153"/>
      <c r="CA2671" s="152"/>
      <c r="CB2671" s="152"/>
    </row>
    <row r="2672" spans="1:80" s="87" customFormat="1" ht="15" x14ac:dyDescent="0.25">
      <c r="A2672" s="152"/>
      <c r="B2672" s="683"/>
      <c r="C2672" s="683"/>
      <c r="D2672" s="698"/>
      <c r="E2672" s="215"/>
      <c r="F2672" s="215"/>
      <c r="G2672" s="153"/>
      <c r="H2672" s="153"/>
      <c r="I2672" s="313">
        <v>20</v>
      </c>
      <c r="J2672" s="313">
        <v>60</v>
      </c>
      <c r="K2672" s="150">
        <v>46</v>
      </c>
      <c r="L2672" s="656">
        <v>920</v>
      </c>
      <c r="M2672" s="663">
        <v>34842</v>
      </c>
      <c r="N2672" s="600">
        <v>247.453</v>
      </c>
      <c r="O2672" s="604">
        <v>7.5358999999999995E-2</v>
      </c>
      <c r="P2672" s="150"/>
      <c r="Q2672" s="250"/>
      <c r="R2672" s="250"/>
      <c r="S2672" s="250"/>
      <c r="T2672" s="250">
        <v>1.3999999999999999E-2</v>
      </c>
      <c r="U2672" s="250">
        <v>5.7000000000000002E-2</v>
      </c>
      <c r="V2672" s="250">
        <v>0.35499999999999998</v>
      </c>
      <c r="W2672" s="250">
        <v>0.41799999999999998</v>
      </c>
      <c r="X2672" s="250">
        <v>0.151</v>
      </c>
      <c r="Y2672" s="250">
        <v>5.0000000000000001E-3</v>
      </c>
      <c r="Z2672" s="150">
        <v>7</v>
      </c>
      <c r="AA2672" s="150">
        <v>0.88</v>
      </c>
      <c r="AB2672" s="152"/>
      <c r="AC2672" s="152"/>
      <c r="AD2672" s="223"/>
      <c r="AE2672" s="223"/>
      <c r="AF2672" s="223"/>
      <c r="AG2672" s="223"/>
      <c r="AH2672" s="341"/>
      <c r="AI2672" s="218"/>
      <c r="AJ2672" s="218"/>
      <c r="AK2672" s="153"/>
      <c r="AL2672" s="152"/>
      <c r="AM2672" s="152"/>
      <c r="AN2672" s="152"/>
      <c r="AO2672" s="152"/>
      <c r="AP2672" s="152"/>
      <c r="AQ2672" s="152"/>
      <c r="AR2672" s="152"/>
      <c r="AS2672" s="152"/>
      <c r="AT2672" s="152"/>
      <c r="AU2672" s="153"/>
      <c r="AV2672" s="479"/>
      <c r="AW2672" s="479"/>
      <c r="AX2672" s="442"/>
      <c r="AY2672" s="153"/>
      <c r="AZ2672" s="152"/>
      <c r="BA2672" s="152"/>
      <c r="BB2672" s="152"/>
      <c r="BC2672" s="152"/>
      <c r="BD2672" s="152"/>
      <c r="BE2672" s="152"/>
      <c r="BF2672" s="152"/>
      <c r="BG2672" s="152"/>
      <c r="BH2672" s="152"/>
      <c r="BI2672" s="153"/>
      <c r="BJ2672" s="153"/>
      <c r="BK2672" s="153"/>
      <c r="BL2672" s="153"/>
      <c r="BM2672" s="153"/>
      <c r="BN2672" s="153"/>
      <c r="BO2672" s="153"/>
      <c r="BP2672" s="153"/>
      <c r="BQ2672" s="153"/>
      <c r="BR2672" s="153"/>
      <c r="BS2672" s="153"/>
      <c r="BT2672" s="153"/>
      <c r="BU2672" s="153"/>
      <c r="BV2672" s="153"/>
      <c r="BW2672" s="153"/>
      <c r="BX2672" s="153"/>
      <c r="BY2672" s="153"/>
      <c r="BZ2672" s="153"/>
      <c r="CA2672" s="152"/>
      <c r="CB2672" s="152"/>
    </row>
    <row r="2673" spans="1:80" s="87" customFormat="1" ht="15" x14ac:dyDescent="0.25">
      <c r="A2673" s="152"/>
      <c r="B2673" s="683"/>
      <c r="C2673" s="683"/>
      <c r="D2673" s="698"/>
      <c r="E2673" s="215"/>
      <c r="F2673" s="215"/>
      <c r="G2673" s="153"/>
      <c r="H2673" s="153"/>
      <c r="I2673" s="313">
        <v>20</v>
      </c>
      <c r="J2673" s="313">
        <v>60</v>
      </c>
      <c r="K2673" s="150">
        <v>47</v>
      </c>
      <c r="L2673" s="656">
        <v>940</v>
      </c>
      <c r="M2673" s="663">
        <v>34842</v>
      </c>
      <c r="N2673" s="600">
        <v>247.453</v>
      </c>
      <c r="O2673" s="604">
        <v>9.8239999999999994E-2</v>
      </c>
      <c r="P2673" s="150"/>
      <c r="Q2673" s="250"/>
      <c r="R2673" s="250"/>
      <c r="S2673" s="250"/>
      <c r="T2673" s="250">
        <v>1.4999999999999999E-2</v>
      </c>
      <c r="U2673" s="250">
        <v>8.3000000000000004E-2</v>
      </c>
      <c r="V2673" s="250">
        <v>0.41200000000000003</v>
      </c>
      <c r="W2673" s="250">
        <v>0.39299999999999996</v>
      </c>
      <c r="X2673" s="250">
        <v>9.5000000000000001E-2</v>
      </c>
      <c r="Y2673" s="250">
        <v>2E-3</v>
      </c>
      <c r="Z2673" s="150">
        <v>7</v>
      </c>
      <c r="AA2673" s="150">
        <v>1.02</v>
      </c>
      <c r="AB2673" s="152"/>
      <c r="AC2673" s="152"/>
      <c r="AD2673" s="223"/>
      <c r="AE2673" s="223"/>
      <c r="AF2673" s="223"/>
      <c r="AG2673" s="223"/>
      <c r="AH2673" s="341"/>
      <c r="AI2673" s="218"/>
      <c r="AJ2673" s="218"/>
      <c r="AK2673" s="153"/>
      <c r="AL2673" s="152"/>
      <c r="AM2673" s="152"/>
      <c r="AN2673" s="152"/>
      <c r="AO2673" s="152"/>
      <c r="AP2673" s="152"/>
      <c r="AQ2673" s="152"/>
      <c r="AR2673" s="152"/>
      <c r="AS2673" s="152"/>
      <c r="AT2673" s="152"/>
      <c r="AU2673" s="153"/>
      <c r="AV2673" s="479"/>
      <c r="AW2673" s="479"/>
      <c r="AX2673" s="442"/>
      <c r="AY2673" s="153"/>
      <c r="AZ2673" s="152"/>
      <c r="BA2673" s="152"/>
      <c r="BB2673" s="152"/>
      <c r="BC2673" s="152"/>
      <c r="BD2673" s="152"/>
      <c r="BE2673" s="152"/>
      <c r="BF2673" s="152"/>
      <c r="BG2673" s="152"/>
      <c r="BH2673" s="152"/>
      <c r="BI2673" s="153"/>
      <c r="BJ2673" s="153"/>
      <c r="BK2673" s="153"/>
      <c r="BL2673" s="153"/>
      <c r="BM2673" s="153"/>
      <c r="BN2673" s="153"/>
      <c r="BO2673" s="153"/>
      <c r="BP2673" s="153"/>
      <c r="BQ2673" s="153"/>
      <c r="BR2673" s="153"/>
      <c r="BS2673" s="153"/>
      <c r="BT2673" s="153"/>
      <c r="BU2673" s="153"/>
      <c r="BV2673" s="153"/>
      <c r="BW2673" s="153"/>
      <c r="BX2673" s="153"/>
      <c r="BY2673" s="153"/>
      <c r="BZ2673" s="153"/>
      <c r="CA2673" s="152"/>
      <c r="CB2673" s="152"/>
    </row>
    <row r="2674" spans="1:80" s="87" customFormat="1" ht="15" x14ac:dyDescent="0.25">
      <c r="A2674" s="152"/>
      <c r="B2674" s="683"/>
      <c r="C2674" s="683"/>
      <c r="D2674" s="698"/>
      <c r="E2674" s="215"/>
      <c r="F2674" s="215"/>
      <c r="G2674" s="153"/>
      <c r="H2674" s="153"/>
      <c r="I2674" s="313">
        <v>20</v>
      </c>
      <c r="J2674" s="313">
        <v>60</v>
      </c>
      <c r="K2674" s="150">
        <v>48</v>
      </c>
      <c r="L2674" s="656">
        <v>960</v>
      </c>
      <c r="M2674" s="663">
        <v>34843</v>
      </c>
      <c r="N2674" s="600">
        <v>243.77199999999999</v>
      </c>
      <c r="O2674" s="604">
        <v>0.13014700000000001</v>
      </c>
      <c r="P2674" s="150"/>
      <c r="Q2674" s="250"/>
      <c r="R2674" s="250">
        <v>5.0999999999999997E-2</v>
      </c>
      <c r="S2674" s="250">
        <v>1.3999999999999999E-2</v>
      </c>
      <c r="T2674" s="250">
        <v>0.03</v>
      </c>
      <c r="U2674" s="250">
        <v>9.4E-2</v>
      </c>
      <c r="V2674" s="250">
        <v>0.371</v>
      </c>
      <c r="W2674" s="250">
        <v>0.307</v>
      </c>
      <c r="X2674" s="250">
        <v>0.129</v>
      </c>
      <c r="Y2674" s="250">
        <v>4.0000000000000001E-3</v>
      </c>
      <c r="Z2674" s="150">
        <v>19</v>
      </c>
      <c r="AA2674" s="150">
        <v>1.1200000000000001</v>
      </c>
      <c r="AB2674" s="152"/>
      <c r="AC2674" s="152"/>
      <c r="AD2674" s="223">
        <v>73.454390000000004</v>
      </c>
      <c r="AE2674" s="223">
        <v>2.2523981000000002</v>
      </c>
      <c r="AF2674" s="223">
        <v>165.35131999999999</v>
      </c>
      <c r="AG2674" s="223">
        <v>1.5818601000000001</v>
      </c>
      <c r="AH2674" s="341"/>
      <c r="AI2674" s="218"/>
      <c r="AJ2674" s="218"/>
      <c r="AK2674" s="153"/>
      <c r="AL2674" s="152"/>
      <c r="AM2674" s="152"/>
      <c r="AN2674" s="152"/>
      <c r="AO2674" s="152"/>
      <c r="AP2674" s="152"/>
      <c r="AQ2674" s="152"/>
      <c r="AR2674" s="152"/>
      <c r="AS2674" s="152"/>
      <c r="AT2674" s="152"/>
      <c r="AU2674" s="153"/>
      <c r="AV2674" s="479"/>
      <c r="AW2674" s="479"/>
      <c r="AX2674" s="442"/>
      <c r="AY2674" s="153"/>
      <c r="AZ2674" s="152"/>
      <c r="BA2674" s="152"/>
      <c r="BB2674" s="152"/>
      <c r="BC2674" s="152"/>
      <c r="BD2674" s="152"/>
      <c r="BE2674" s="152"/>
      <c r="BF2674" s="152"/>
      <c r="BG2674" s="152"/>
      <c r="BH2674" s="152"/>
      <c r="BI2674" s="153"/>
      <c r="BJ2674" s="153"/>
      <c r="BK2674" s="153"/>
      <c r="BL2674" s="153"/>
      <c r="BM2674" s="153"/>
      <c r="BN2674" s="153"/>
      <c r="BO2674" s="153"/>
      <c r="BP2674" s="153"/>
      <c r="BQ2674" s="153"/>
      <c r="BR2674" s="153"/>
      <c r="BS2674" s="153"/>
      <c r="BT2674" s="153"/>
      <c r="BU2674" s="153"/>
      <c r="BV2674" s="153"/>
      <c r="BW2674" s="153"/>
      <c r="BX2674" s="153"/>
      <c r="BY2674" s="153"/>
      <c r="BZ2674" s="153"/>
      <c r="CA2674" s="152"/>
      <c r="CB2674" s="152"/>
    </row>
    <row r="2675" spans="1:80" s="87" customFormat="1" ht="15" x14ac:dyDescent="0.25">
      <c r="A2675" s="152"/>
      <c r="B2675" s="683"/>
      <c r="C2675" s="683"/>
      <c r="D2675" s="698"/>
      <c r="E2675" s="215"/>
      <c r="F2675" s="215"/>
      <c r="G2675" s="153"/>
      <c r="H2675" s="153"/>
      <c r="I2675" s="313">
        <v>20</v>
      </c>
      <c r="J2675" s="313">
        <v>60</v>
      </c>
      <c r="K2675" s="150">
        <v>49</v>
      </c>
      <c r="L2675" s="656">
        <v>980</v>
      </c>
      <c r="M2675" s="663">
        <v>34843</v>
      </c>
      <c r="N2675" s="600">
        <v>243.77199999999999</v>
      </c>
      <c r="O2675" s="604">
        <v>9.4880999999999993E-2</v>
      </c>
      <c r="P2675" s="150"/>
      <c r="Q2675" s="250"/>
      <c r="R2675" s="250"/>
      <c r="S2675" s="250">
        <v>2.2000000000000002E-2</v>
      </c>
      <c r="T2675" s="250">
        <v>6.3E-2</v>
      </c>
      <c r="U2675" s="250">
        <v>0.1</v>
      </c>
      <c r="V2675" s="250">
        <v>0.41200000000000003</v>
      </c>
      <c r="W2675" s="250">
        <v>0.33299999999999996</v>
      </c>
      <c r="X2675" s="250">
        <v>6.7000000000000004E-2</v>
      </c>
      <c r="Y2675" s="250">
        <v>3.0000000000000001E-3</v>
      </c>
      <c r="Z2675" s="150">
        <v>12</v>
      </c>
      <c r="AA2675" s="150">
        <v>1.18</v>
      </c>
      <c r="AB2675" s="152"/>
      <c r="AC2675" s="152"/>
      <c r="AD2675" s="223">
        <v>73.454390000000004</v>
      </c>
      <c r="AE2675" s="223">
        <v>2.2523981000000002</v>
      </c>
      <c r="AF2675" s="223">
        <v>165.35131999999999</v>
      </c>
      <c r="AG2675" s="223">
        <v>1.5818601000000001</v>
      </c>
      <c r="AH2675" s="341"/>
      <c r="AI2675" s="218"/>
      <c r="AJ2675" s="218"/>
      <c r="AK2675" s="153"/>
      <c r="AL2675" s="152"/>
      <c r="AM2675" s="152"/>
      <c r="AN2675" s="152"/>
      <c r="AO2675" s="152"/>
      <c r="AP2675" s="152"/>
      <c r="AQ2675" s="152"/>
      <c r="AR2675" s="152"/>
      <c r="AS2675" s="152"/>
      <c r="AT2675" s="152"/>
      <c r="AU2675" s="153"/>
      <c r="AV2675" s="479"/>
      <c r="AW2675" s="479"/>
      <c r="AX2675" s="442"/>
      <c r="AY2675" s="153"/>
      <c r="AZ2675" s="152"/>
      <c r="BA2675" s="152"/>
      <c r="BB2675" s="152"/>
      <c r="BC2675" s="152"/>
      <c r="BD2675" s="152"/>
      <c r="BE2675" s="152"/>
      <c r="BF2675" s="152"/>
      <c r="BG2675" s="152"/>
      <c r="BH2675" s="152"/>
      <c r="BI2675" s="153"/>
      <c r="BJ2675" s="153"/>
      <c r="BK2675" s="153"/>
      <c r="BL2675" s="153"/>
      <c r="BM2675" s="153"/>
      <c r="BN2675" s="153"/>
      <c r="BO2675" s="153"/>
      <c r="BP2675" s="153"/>
      <c r="BQ2675" s="153"/>
      <c r="BR2675" s="153"/>
      <c r="BS2675" s="153"/>
      <c r="BT2675" s="153"/>
      <c r="BU2675" s="153"/>
      <c r="BV2675" s="153"/>
      <c r="BW2675" s="153"/>
      <c r="BX2675" s="153"/>
      <c r="BY2675" s="153"/>
      <c r="BZ2675" s="153"/>
      <c r="CA2675" s="152"/>
      <c r="CB2675" s="152"/>
    </row>
    <row r="2676" spans="1:80" s="87" customFormat="1" ht="15" x14ac:dyDescent="0.25">
      <c r="A2676" s="152"/>
      <c r="B2676" s="683"/>
      <c r="C2676" s="683"/>
      <c r="D2676" s="698"/>
      <c r="E2676" s="215"/>
      <c r="F2676" s="215"/>
      <c r="G2676" s="153"/>
      <c r="H2676" s="153"/>
      <c r="I2676" s="313">
        <v>20</v>
      </c>
      <c r="J2676" s="313">
        <v>60</v>
      </c>
      <c r="K2676" s="150">
        <v>50</v>
      </c>
      <c r="L2676" s="656">
        <v>1000</v>
      </c>
      <c r="M2676" s="663">
        <v>34850</v>
      </c>
      <c r="N2676" s="600">
        <v>311.44</v>
      </c>
      <c r="O2676" s="604">
        <v>0.156386</v>
      </c>
      <c r="P2676" s="150"/>
      <c r="Q2676" s="250"/>
      <c r="R2676" s="250">
        <v>0.10099999999999999</v>
      </c>
      <c r="S2676" s="250">
        <v>5.0000000000000001E-3</v>
      </c>
      <c r="T2676" s="250">
        <v>2.7999999999999997E-2</v>
      </c>
      <c r="U2676" s="250">
        <v>6.2E-2</v>
      </c>
      <c r="V2676" s="250">
        <v>0.33200000000000002</v>
      </c>
      <c r="W2676" s="250">
        <v>0.33899999999999997</v>
      </c>
      <c r="X2676" s="250">
        <v>0.127</v>
      </c>
      <c r="Y2676" s="250">
        <v>6.0000000000000001E-3</v>
      </c>
      <c r="Z2676" s="150">
        <v>19</v>
      </c>
      <c r="AA2676" s="150">
        <v>1.06</v>
      </c>
      <c r="AB2676" s="152"/>
      <c r="AC2676" s="152"/>
      <c r="AD2676" s="223"/>
      <c r="AE2676" s="223"/>
      <c r="AF2676" s="223"/>
      <c r="AG2676" s="223"/>
      <c r="AH2676" s="341"/>
      <c r="AI2676" s="218"/>
      <c r="AJ2676" s="218"/>
      <c r="AK2676" s="153"/>
      <c r="AL2676" s="152"/>
      <c r="AM2676" s="152"/>
      <c r="AN2676" s="152"/>
      <c r="AO2676" s="152"/>
      <c r="AP2676" s="152"/>
      <c r="AQ2676" s="152"/>
      <c r="AR2676" s="152"/>
      <c r="AS2676" s="152"/>
      <c r="AT2676" s="152"/>
      <c r="AU2676" s="153"/>
      <c r="AV2676" s="479"/>
      <c r="AW2676" s="479"/>
      <c r="AX2676" s="442"/>
      <c r="AY2676" s="153"/>
      <c r="AZ2676" s="152"/>
      <c r="BA2676" s="152"/>
      <c r="BB2676" s="152"/>
      <c r="BC2676" s="152"/>
      <c r="BD2676" s="152"/>
      <c r="BE2676" s="152"/>
      <c r="BF2676" s="152"/>
      <c r="BG2676" s="152"/>
      <c r="BH2676" s="152"/>
      <c r="BI2676" s="153"/>
      <c r="BJ2676" s="153"/>
      <c r="BK2676" s="153"/>
      <c r="BL2676" s="153"/>
      <c r="BM2676" s="153"/>
      <c r="BN2676" s="153"/>
      <c r="BO2676" s="153"/>
      <c r="BP2676" s="153"/>
      <c r="BQ2676" s="153"/>
      <c r="BR2676" s="153"/>
      <c r="BS2676" s="153"/>
      <c r="BT2676" s="153"/>
      <c r="BU2676" s="153"/>
      <c r="BV2676" s="153"/>
      <c r="BW2676" s="153"/>
      <c r="BX2676" s="153"/>
      <c r="BY2676" s="153"/>
      <c r="BZ2676" s="153"/>
      <c r="CA2676" s="152"/>
      <c r="CB2676" s="152"/>
    </row>
    <row r="2677" spans="1:80" s="87" customFormat="1" ht="15" x14ac:dyDescent="0.25">
      <c r="A2677" s="152"/>
      <c r="B2677" s="683"/>
      <c r="C2677" s="683"/>
      <c r="D2677" s="698"/>
      <c r="E2677" s="215"/>
      <c r="F2677" s="215"/>
      <c r="G2677" s="153"/>
      <c r="H2677" s="153"/>
      <c r="I2677" s="313">
        <v>20</v>
      </c>
      <c r="J2677" s="313">
        <v>60</v>
      </c>
      <c r="K2677" s="150">
        <v>51</v>
      </c>
      <c r="L2677" s="656">
        <v>1020</v>
      </c>
      <c r="M2677" s="663">
        <v>34850</v>
      </c>
      <c r="N2677" s="600">
        <v>311.44</v>
      </c>
      <c r="O2677" s="604">
        <v>0.115453</v>
      </c>
      <c r="P2677" s="150"/>
      <c r="Q2677" s="250"/>
      <c r="R2677" s="250"/>
      <c r="S2677" s="250"/>
      <c r="T2677" s="250">
        <v>6.0000000000000001E-3</v>
      </c>
      <c r="U2677" s="250">
        <v>4.8000000000000001E-2</v>
      </c>
      <c r="V2677" s="250">
        <v>0.307</v>
      </c>
      <c r="W2677" s="250">
        <v>0.435</v>
      </c>
      <c r="X2677" s="250">
        <v>0.19399999999999998</v>
      </c>
      <c r="Y2677" s="250">
        <v>0.01</v>
      </c>
      <c r="Z2677" s="150">
        <v>6</v>
      </c>
      <c r="AA2677" s="150">
        <v>0.8</v>
      </c>
      <c r="AB2677" s="152"/>
      <c r="AC2677" s="152"/>
      <c r="AD2677" s="223"/>
      <c r="AE2677" s="223"/>
      <c r="AF2677" s="223"/>
      <c r="AG2677" s="223"/>
      <c r="AH2677" s="341"/>
      <c r="AI2677" s="218"/>
      <c r="AJ2677" s="218"/>
      <c r="AK2677" s="153"/>
      <c r="AL2677" s="152"/>
      <c r="AM2677" s="152"/>
      <c r="AN2677" s="152"/>
      <c r="AO2677" s="152"/>
      <c r="AP2677" s="152"/>
      <c r="AQ2677" s="152"/>
      <c r="AR2677" s="152"/>
      <c r="AS2677" s="152"/>
      <c r="AT2677" s="152"/>
      <c r="AU2677" s="153"/>
      <c r="AV2677" s="479"/>
      <c r="AW2677" s="479"/>
      <c r="AX2677" s="442"/>
      <c r="AY2677" s="153"/>
      <c r="AZ2677" s="152"/>
      <c r="BA2677" s="152"/>
      <c r="BB2677" s="152"/>
      <c r="BC2677" s="152"/>
      <c r="BD2677" s="152"/>
      <c r="BE2677" s="152"/>
      <c r="BF2677" s="152"/>
      <c r="BG2677" s="152"/>
      <c r="BH2677" s="152"/>
      <c r="BI2677" s="153"/>
      <c r="BJ2677" s="153"/>
      <c r="BK2677" s="153"/>
      <c r="BL2677" s="153"/>
      <c r="BM2677" s="153"/>
      <c r="BN2677" s="153"/>
      <c r="BO2677" s="153"/>
      <c r="BP2677" s="153"/>
      <c r="BQ2677" s="153"/>
      <c r="BR2677" s="153"/>
      <c r="BS2677" s="153"/>
      <c r="BT2677" s="153"/>
      <c r="BU2677" s="153"/>
      <c r="BV2677" s="153"/>
      <c r="BW2677" s="153"/>
      <c r="BX2677" s="153"/>
      <c r="BY2677" s="153"/>
      <c r="BZ2677" s="153"/>
      <c r="CA2677" s="152"/>
      <c r="CB2677" s="152"/>
    </row>
    <row r="2678" spans="1:80" s="87" customFormat="1" ht="15" x14ac:dyDescent="0.25">
      <c r="A2678" s="152"/>
      <c r="B2678" s="683"/>
      <c r="C2678" s="683"/>
      <c r="D2678" s="698"/>
      <c r="E2678" s="215"/>
      <c r="F2678" s="215"/>
      <c r="G2678" s="153"/>
      <c r="H2678" s="153"/>
      <c r="I2678" s="313">
        <v>20</v>
      </c>
      <c r="J2678" s="313">
        <v>60</v>
      </c>
      <c r="K2678" s="150">
        <v>52</v>
      </c>
      <c r="L2678" s="656">
        <v>1040</v>
      </c>
      <c r="M2678" s="663">
        <v>34851</v>
      </c>
      <c r="N2678" s="600">
        <v>305.77699999999999</v>
      </c>
      <c r="O2678" s="604">
        <v>7.2944999999999996E-2</v>
      </c>
      <c r="P2678" s="150"/>
      <c r="Q2678" s="250"/>
      <c r="R2678" s="250"/>
      <c r="S2678" s="250"/>
      <c r="T2678" s="250">
        <v>2.4E-2</v>
      </c>
      <c r="U2678" s="250">
        <v>0.109</v>
      </c>
      <c r="V2678" s="250">
        <v>0.40299999999999997</v>
      </c>
      <c r="W2678" s="250">
        <v>0.30499999999999999</v>
      </c>
      <c r="X2678" s="250">
        <v>0.151</v>
      </c>
      <c r="Y2678" s="250">
        <v>8.0000000000000002E-3</v>
      </c>
      <c r="Z2678" s="150">
        <v>7</v>
      </c>
      <c r="AA2678" s="150">
        <v>1.06</v>
      </c>
      <c r="AB2678" s="152"/>
      <c r="AC2678" s="152"/>
      <c r="AD2678" s="223"/>
      <c r="AE2678" s="223"/>
      <c r="AF2678" s="223"/>
      <c r="AG2678" s="223"/>
      <c r="AH2678" s="341"/>
      <c r="AI2678" s="218"/>
      <c r="AJ2678" s="218"/>
      <c r="AK2678" s="153"/>
      <c r="AL2678" s="152"/>
      <c r="AM2678" s="152"/>
      <c r="AN2678" s="152"/>
      <c r="AO2678" s="152"/>
      <c r="AP2678" s="152"/>
      <c r="AQ2678" s="152"/>
      <c r="AR2678" s="152"/>
      <c r="AS2678" s="152"/>
      <c r="AT2678" s="152"/>
      <c r="AU2678" s="153"/>
      <c r="AV2678" s="479"/>
      <c r="AW2678" s="479"/>
      <c r="AX2678" s="442"/>
      <c r="AY2678" s="153"/>
      <c r="AZ2678" s="152"/>
      <c r="BA2678" s="152"/>
      <c r="BB2678" s="152"/>
      <c r="BC2678" s="152"/>
      <c r="BD2678" s="152"/>
      <c r="BE2678" s="152"/>
      <c r="BF2678" s="152"/>
      <c r="BG2678" s="152"/>
      <c r="BH2678" s="152"/>
      <c r="BI2678" s="153"/>
      <c r="BJ2678" s="153"/>
      <c r="BK2678" s="153"/>
      <c r="BL2678" s="153"/>
      <c r="BM2678" s="153"/>
      <c r="BN2678" s="153"/>
      <c r="BO2678" s="153"/>
      <c r="BP2678" s="153"/>
      <c r="BQ2678" s="153"/>
      <c r="BR2678" s="153"/>
      <c r="BS2678" s="153"/>
      <c r="BT2678" s="153"/>
      <c r="BU2678" s="153"/>
      <c r="BV2678" s="153"/>
      <c r="BW2678" s="153"/>
      <c r="BX2678" s="153"/>
      <c r="BY2678" s="153"/>
      <c r="BZ2678" s="153"/>
      <c r="CA2678" s="152"/>
      <c r="CB2678" s="152"/>
    </row>
    <row r="2679" spans="1:80" s="87" customFormat="1" ht="15" x14ac:dyDescent="0.25">
      <c r="A2679" s="152"/>
      <c r="B2679" s="683"/>
      <c r="C2679" s="683"/>
      <c r="D2679" s="698"/>
      <c r="E2679" s="215"/>
      <c r="F2679" s="215"/>
      <c r="G2679" s="153"/>
      <c r="H2679" s="153"/>
      <c r="I2679" s="313">
        <v>20</v>
      </c>
      <c r="J2679" s="313">
        <v>60</v>
      </c>
      <c r="K2679" s="150">
        <v>53</v>
      </c>
      <c r="L2679" s="656">
        <v>1060</v>
      </c>
      <c r="M2679" s="663">
        <v>34851</v>
      </c>
      <c r="N2679" s="600">
        <v>305.77699999999999</v>
      </c>
      <c r="O2679" s="604">
        <v>0.167931</v>
      </c>
      <c r="P2679" s="150"/>
      <c r="Q2679" s="250"/>
      <c r="R2679" s="250"/>
      <c r="S2679" s="250"/>
      <c r="T2679" s="250">
        <v>4.0000000000000001E-3</v>
      </c>
      <c r="U2679" s="250">
        <v>2.6000000000000002E-2</v>
      </c>
      <c r="V2679" s="250">
        <v>0.312</v>
      </c>
      <c r="W2679" s="250">
        <v>0.47200000000000003</v>
      </c>
      <c r="X2679" s="250">
        <v>0.18</v>
      </c>
      <c r="Y2679" s="250">
        <v>6.0000000000000001E-3</v>
      </c>
      <c r="Z2679" s="150">
        <v>6</v>
      </c>
      <c r="AA2679" s="150">
        <v>0.79</v>
      </c>
      <c r="AB2679" s="152"/>
      <c r="AC2679" s="152"/>
      <c r="AD2679" s="223"/>
      <c r="AE2679" s="223"/>
      <c r="AF2679" s="223"/>
      <c r="AG2679" s="223"/>
      <c r="AH2679" s="341"/>
      <c r="AI2679" s="218"/>
      <c r="AJ2679" s="218"/>
      <c r="AK2679" s="153"/>
      <c r="AL2679" s="152"/>
      <c r="AM2679" s="152"/>
      <c r="AN2679" s="152"/>
      <c r="AO2679" s="152"/>
      <c r="AP2679" s="152"/>
      <c r="AQ2679" s="152"/>
      <c r="AR2679" s="152"/>
      <c r="AS2679" s="152"/>
      <c r="AT2679" s="152"/>
      <c r="AU2679" s="153"/>
      <c r="AV2679" s="479"/>
      <c r="AW2679" s="479"/>
      <c r="AX2679" s="442"/>
      <c r="AY2679" s="153"/>
      <c r="AZ2679" s="152"/>
      <c r="BA2679" s="152"/>
      <c r="BB2679" s="152"/>
      <c r="BC2679" s="152"/>
      <c r="BD2679" s="152"/>
      <c r="BE2679" s="152"/>
      <c r="BF2679" s="152"/>
      <c r="BG2679" s="152"/>
      <c r="BH2679" s="152"/>
      <c r="BI2679" s="153"/>
      <c r="BJ2679" s="153"/>
      <c r="BK2679" s="153"/>
      <c r="BL2679" s="153"/>
      <c r="BM2679" s="153"/>
      <c r="BN2679" s="153"/>
      <c r="BO2679" s="153"/>
      <c r="BP2679" s="153"/>
      <c r="BQ2679" s="153"/>
      <c r="BR2679" s="153"/>
      <c r="BS2679" s="153"/>
      <c r="BT2679" s="153"/>
      <c r="BU2679" s="153"/>
      <c r="BV2679" s="153"/>
      <c r="BW2679" s="153"/>
      <c r="BX2679" s="153"/>
      <c r="BY2679" s="153"/>
      <c r="BZ2679" s="153"/>
      <c r="CA2679" s="152"/>
      <c r="CB2679" s="152"/>
    </row>
    <row r="2680" spans="1:80" s="87" customFormat="1" ht="15" x14ac:dyDescent="0.25">
      <c r="A2680" s="152"/>
      <c r="B2680" s="683"/>
      <c r="C2680" s="683"/>
      <c r="D2680" s="698"/>
      <c r="E2680" s="215"/>
      <c r="F2680" s="215"/>
      <c r="G2680" s="153"/>
      <c r="H2680" s="153"/>
      <c r="I2680" s="313">
        <v>20</v>
      </c>
      <c r="J2680" s="313">
        <v>60</v>
      </c>
      <c r="K2680" s="150">
        <v>54</v>
      </c>
      <c r="L2680" s="656">
        <v>1080</v>
      </c>
      <c r="M2680" s="663">
        <v>34853</v>
      </c>
      <c r="N2680" s="600">
        <v>317.10199999999998</v>
      </c>
      <c r="O2680" s="604">
        <v>0.30857400000000001</v>
      </c>
      <c r="P2680" s="150"/>
      <c r="Q2680" s="250"/>
      <c r="R2680" s="250"/>
      <c r="S2680" s="250">
        <v>1.9E-2</v>
      </c>
      <c r="T2680" s="250">
        <v>3.7999999999999999E-2</v>
      </c>
      <c r="U2680" s="250">
        <v>9.5000000000000001E-2</v>
      </c>
      <c r="V2680" s="250">
        <v>0.41200000000000003</v>
      </c>
      <c r="W2680" s="250">
        <v>0.32600000000000001</v>
      </c>
      <c r="X2680" s="250">
        <v>0.106</v>
      </c>
      <c r="Y2680" s="250">
        <v>4.0000000000000001E-3</v>
      </c>
      <c r="Z2680" s="150">
        <v>11</v>
      </c>
      <c r="AA2680" s="150">
        <v>1.1100000000000001</v>
      </c>
      <c r="AB2680" s="152"/>
      <c r="AC2680" s="152"/>
      <c r="AD2680" s="223"/>
      <c r="AE2680" s="223"/>
      <c r="AF2680" s="223"/>
      <c r="AG2680" s="223"/>
      <c r="AH2680" s="341"/>
      <c r="AI2680" s="218"/>
      <c r="AJ2680" s="218"/>
      <c r="AK2680" s="153"/>
      <c r="AL2680" s="152"/>
      <c r="AM2680" s="152"/>
      <c r="AN2680" s="152"/>
      <c r="AO2680" s="152"/>
      <c r="AP2680" s="152"/>
      <c r="AQ2680" s="152"/>
      <c r="AR2680" s="152"/>
      <c r="AS2680" s="152"/>
      <c r="AT2680" s="152"/>
      <c r="AU2680" s="153"/>
      <c r="AV2680" s="479"/>
      <c r="AW2680" s="479"/>
      <c r="AX2680" s="442"/>
      <c r="AY2680" s="153"/>
      <c r="AZ2680" s="152"/>
      <c r="BA2680" s="152"/>
      <c r="BB2680" s="152"/>
      <c r="BC2680" s="152"/>
      <c r="BD2680" s="152"/>
      <c r="BE2680" s="152"/>
      <c r="BF2680" s="152"/>
      <c r="BG2680" s="152"/>
      <c r="BH2680" s="152"/>
      <c r="BI2680" s="153"/>
      <c r="BJ2680" s="153"/>
      <c r="BK2680" s="153"/>
      <c r="BL2680" s="153"/>
      <c r="BM2680" s="153"/>
      <c r="BN2680" s="153"/>
      <c r="BO2680" s="153"/>
      <c r="BP2680" s="153"/>
      <c r="BQ2680" s="153"/>
      <c r="BR2680" s="153"/>
      <c r="BS2680" s="153"/>
      <c r="BT2680" s="153"/>
      <c r="BU2680" s="153"/>
      <c r="BV2680" s="153"/>
      <c r="BW2680" s="153"/>
      <c r="BX2680" s="153"/>
      <c r="BY2680" s="153"/>
      <c r="BZ2680" s="153"/>
      <c r="CA2680" s="152"/>
      <c r="CB2680" s="152"/>
    </row>
    <row r="2681" spans="1:80" s="87" customFormat="1" ht="15" x14ac:dyDescent="0.25">
      <c r="A2681" s="152"/>
      <c r="B2681" s="683"/>
      <c r="C2681" s="683"/>
      <c r="D2681" s="698"/>
      <c r="E2681" s="215"/>
      <c r="F2681" s="215"/>
      <c r="G2681" s="153"/>
      <c r="H2681" s="153"/>
      <c r="I2681" s="313">
        <v>20</v>
      </c>
      <c r="J2681" s="313">
        <v>60</v>
      </c>
      <c r="K2681" s="150">
        <v>55</v>
      </c>
      <c r="L2681" s="656">
        <v>1100</v>
      </c>
      <c r="M2681" s="663">
        <v>34853</v>
      </c>
      <c r="N2681" s="600">
        <v>317.10199999999998</v>
      </c>
      <c r="O2681" s="604">
        <v>0.132246</v>
      </c>
      <c r="P2681" s="150"/>
      <c r="Q2681" s="250"/>
      <c r="R2681" s="250"/>
      <c r="S2681" s="250"/>
      <c r="T2681" s="250">
        <v>4.0000000000000001E-3</v>
      </c>
      <c r="U2681" s="250">
        <v>4.5999999999999999E-2</v>
      </c>
      <c r="V2681" s="250">
        <v>0.29199999999999998</v>
      </c>
      <c r="W2681" s="250">
        <v>0.442</v>
      </c>
      <c r="X2681" s="250">
        <v>0.20600000000000002</v>
      </c>
      <c r="Y2681" s="250">
        <v>0.01</v>
      </c>
      <c r="Z2681" s="150">
        <v>7</v>
      </c>
      <c r="AA2681" s="150">
        <v>0.78</v>
      </c>
      <c r="AB2681" s="152"/>
      <c r="AC2681" s="152"/>
      <c r="AD2681" s="223"/>
      <c r="AE2681" s="223"/>
      <c r="AF2681" s="223"/>
      <c r="AG2681" s="223"/>
      <c r="AH2681" s="341"/>
      <c r="AI2681" s="218"/>
      <c r="AJ2681" s="218"/>
      <c r="AK2681" s="153"/>
      <c r="AL2681" s="152"/>
      <c r="AM2681" s="152"/>
      <c r="AN2681" s="152"/>
      <c r="AO2681" s="152"/>
      <c r="AP2681" s="152"/>
      <c r="AQ2681" s="152"/>
      <c r="AR2681" s="152"/>
      <c r="AS2681" s="152"/>
      <c r="AT2681" s="152"/>
      <c r="AU2681" s="153"/>
      <c r="AV2681" s="479"/>
      <c r="AW2681" s="479"/>
      <c r="AX2681" s="442"/>
      <c r="AY2681" s="153"/>
      <c r="AZ2681" s="152"/>
      <c r="BA2681" s="152"/>
      <c r="BB2681" s="152"/>
      <c r="BC2681" s="152"/>
      <c r="BD2681" s="152"/>
      <c r="BE2681" s="152"/>
      <c r="BF2681" s="152"/>
      <c r="BG2681" s="152"/>
      <c r="BH2681" s="152"/>
      <c r="BI2681" s="153"/>
      <c r="BJ2681" s="153"/>
      <c r="BK2681" s="153"/>
      <c r="BL2681" s="153"/>
      <c r="BM2681" s="153"/>
      <c r="BN2681" s="153"/>
      <c r="BO2681" s="153"/>
      <c r="BP2681" s="153"/>
      <c r="BQ2681" s="153"/>
      <c r="BR2681" s="153"/>
      <c r="BS2681" s="153"/>
      <c r="BT2681" s="153"/>
      <c r="BU2681" s="153"/>
      <c r="BV2681" s="153"/>
      <c r="BW2681" s="153"/>
      <c r="BX2681" s="153"/>
      <c r="BY2681" s="153"/>
      <c r="BZ2681" s="153"/>
      <c r="CA2681" s="152"/>
      <c r="CB2681" s="152"/>
    </row>
    <row r="2682" spans="1:80" s="87" customFormat="1" ht="15" x14ac:dyDescent="0.25">
      <c r="A2682" s="152"/>
      <c r="B2682" s="683"/>
      <c r="C2682" s="683"/>
      <c r="D2682" s="698"/>
      <c r="E2682" s="215"/>
      <c r="F2682" s="215"/>
      <c r="G2682" s="153"/>
      <c r="H2682" s="153"/>
      <c r="I2682" s="313">
        <v>20</v>
      </c>
      <c r="J2682" s="313">
        <v>60</v>
      </c>
      <c r="K2682" s="150">
        <v>56</v>
      </c>
      <c r="L2682" s="656">
        <v>1120</v>
      </c>
      <c r="M2682" s="663">
        <v>34856</v>
      </c>
      <c r="N2682" s="600">
        <v>274.63299999999998</v>
      </c>
      <c r="O2682" s="604">
        <v>8.1027000000000002E-2</v>
      </c>
      <c r="P2682" s="150"/>
      <c r="Q2682" s="250"/>
      <c r="R2682" s="250"/>
      <c r="S2682" s="250"/>
      <c r="T2682" s="250">
        <v>4.0999999999999995E-2</v>
      </c>
      <c r="U2682" s="250">
        <v>7.0999999999999994E-2</v>
      </c>
      <c r="V2682" s="250">
        <v>0.36499999999999999</v>
      </c>
      <c r="W2682" s="250">
        <v>0.35</v>
      </c>
      <c r="X2682" s="250">
        <v>0.153</v>
      </c>
      <c r="Y2682" s="250">
        <v>0.02</v>
      </c>
      <c r="Z2682" s="150">
        <v>8</v>
      </c>
      <c r="AA2682" s="150">
        <v>0.96</v>
      </c>
      <c r="AB2682" s="152"/>
      <c r="AC2682" s="152"/>
      <c r="AD2682" s="223"/>
      <c r="AE2682" s="223"/>
      <c r="AF2682" s="223"/>
      <c r="AG2682" s="223"/>
      <c r="AH2682" s="341"/>
      <c r="AI2682" s="218"/>
      <c r="AJ2682" s="218"/>
      <c r="AK2682" s="153"/>
      <c r="AL2682" s="152"/>
      <c r="AM2682" s="152"/>
      <c r="AN2682" s="152"/>
      <c r="AO2682" s="152"/>
      <c r="AP2682" s="152"/>
      <c r="AQ2682" s="152"/>
      <c r="AR2682" s="152"/>
      <c r="AS2682" s="152"/>
      <c r="AT2682" s="152"/>
      <c r="AU2682" s="153"/>
      <c r="AV2682" s="479"/>
      <c r="AW2682" s="479"/>
      <c r="AX2682" s="442"/>
      <c r="AY2682" s="153"/>
      <c r="AZ2682" s="152"/>
      <c r="BA2682" s="152"/>
      <c r="BB2682" s="152"/>
      <c r="BC2682" s="152"/>
      <c r="BD2682" s="152"/>
      <c r="BE2682" s="152"/>
      <c r="BF2682" s="152"/>
      <c r="BG2682" s="152"/>
      <c r="BH2682" s="152"/>
      <c r="BI2682" s="153"/>
      <c r="BJ2682" s="153"/>
      <c r="BK2682" s="153"/>
      <c r="BL2682" s="153"/>
      <c r="BM2682" s="153"/>
      <c r="BN2682" s="153"/>
      <c r="BO2682" s="153"/>
      <c r="BP2682" s="153"/>
      <c r="BQ2682" s="153"/>
      <c r="BR2682" s="153"/>
      <c r="BS2682" s="153"/>
      <c r="BT2682" s="153"/>
      <c r="BU2682" s="153"/>
      <c r="BV2682" s="153"/>
      <c r="BW2682" s="153"/>
      <c r="BX2682" s="153"/>
      <c r="BY2682" s="153"/>
      <c r="BZ2682" s="153"/>
      <c r="CA2682" s="152"/>
      <c r="CB2682" s="152"/>
    </row>
    <row r="2683" spans="1:80" s="87" customFormat="1" ht="15" x14ac:dyDescent="0.25">
      <c r="A2683" s="152"/>
      <c r="B2683" s="683"/>
      <c r="C2683" s="683"/>
      <c r="D2683" s="698"/>
      <c r="E2683" s="215"/>
      <c r="F2683" s="215"/>
      <c r="G2683" s="153"/>
      <c r="H2683" s="153"/>
      <c r="I2683" s="313">
        <v>20</v>
      </c>
      <c r="J2683" s="313">
        <v>60</v>
      </c>
      <c r="K2683" s="150">
        <v>57</v>
      </c>
      <c r="L2683" s="656">
        <v>1140</v>
      </c>
      <c r="M2683" s="663">
        <v>34856</v>
      </c>
      <c r="N2683" s="600">
        <v>274.63299999999998</v>
      </c>
      <c r="O2683" s="604">
        <v>0.144841</v>
      </c>
      <c r="P2683" s="150"/>
      <c r="Q2683" s="250"/>
      <c r="R2683" s="250"/>
      <c r="S2683" s="250">
        <v>0.02</v>
      </c>
      <c r="T2683" s="250">
        <v>2.8999999999999998E-2</v>
      </c>
      <c r="U2683" s="250">
        <v>0.09</v>
      </c>
      <c r="V2683" s="250">
        <v>0.45100000000000001</v>
      </c>
      <c r="W2683" s="250">
        <v>0.30499999999999999</v>
      </c>
      <c r="X2683" s="250">
        <v>0.10099999999999999</v>
      </c>
      <c r="Y2683" s="250">
        <v>4.0000000000000001E-3</v>
      </c>
      <c r="Z2683" s="150">
        <v>12</v>
      </c>
      <c r="AA2683" s="150">
        <v>1.1499999999999999</v>
      </c>
      <c r="AB2683" s="152"/>
      <c r="AC2683" s="152"/>
      <c r="AD2683" s="223"/>
      <c r="AE2683" s="223"/>
      <c r="AF2683" s="223"/>
      <c r="AG2683" s="223"/>
      <c r="AH2683" s="341"/>
      <c r="AI2683" s="218"/>
      <c r="AJ2683" s="218"/>
      <c r="AK2683" s="153"/>
      <c r="AL2683" s="152"/>
      <c r="AM2683" s="152"/>
      <c r="AN2683" s="152"/>
      <c r="AO2683" s="152"/>
      <c r="AP2683" s="152"/>
      <c r="AQ2683" s="152"/>
      <c r="AR2683" s="152"/>
      <c r="AS2683" s="152"/>
      <c r="AT2683" s="152"/>
      <c r="AU2683" s="153"/>
      <c r="AV2683" s="479"/>
      <c r="AW2683" s="479"/>
      <c r="AX2683" s="442"/>
      <c r="AY2683" s="153"/>
      <c r="AZ2683" s="152"/>
      <c r="BA2683" s="152"/>
      <c r="BB2683" s="152"/>
      <c r="BC2683" s="152"/>
      <c r="BD2683" s="152"/>
      <c r="BE2683" s="152"/>
      <c r="BF2683" s="152"/>
      <c r="BG2683" s="152"/>
      <c r="BH2683" s="152"/>
      <c r="BI2683" s="153"/>
      <c r="BJ2683" s="153"/>
      <c r="BK2683" s="153"/>
      <c r="BL2683" s="153"/>
      <c r="BM2683" s="153"/>
      <c r="BN2683" s="153"/>
      <c r="BO2683" s="153"/>
      <c r="BP2683" s="153"/>
      <c r="BQ2683" s="153"/>
      <c r="BR2683" s="153"/>
      <c r="BS2683" s="153"/>
      <c r="BT2683" s="153"/>
      <c r="BU2683" s="153"/>
      <c r="BV2683" s="153"/>
      <c r="BW2683" s="153"/>
      <c r="BX2683" s="153"/>
      <c r="BY2683" s="153"/>
      <c r="BZ2683" s="153"/>
      <c r="CA2683" s="152"/>
      <c r="CB2683" s="152"/>
    </row>
    <row r="2684" spans="1:80" s="87" customFormat="1" ht="15" x14ac:dyDescent="0.25">
      <c r="A2684" s="152"/>
      <c r="B2684" s="683"/>
      <c r="C2684" s="683"/>
      <c r="D2684" s="698"/>
      <c r="E2684" s="215"/>
      <c r="F2684" s="215"/>
      <c r="G2684" s="153"/>
      <c r="H2684" s="153"/>
      <c r="I2684" s="313">
        <v>20</v>
      </c>
      <c r="J2684" s="313">
        <v>60</v>
      </c>
      <c r="K2684" s="150">
        <v>58</v>
      </c>
      <c r="L2684" s="656">
        <v>1160</v>
      </c>
      <c r="M2684" s="663">
        <v>34857</v>
      </c>
      <c r="N2684" s="600">
        <v>216.02600000000001</v>
      </c>
      <c r="O2684" s="604">
        <v>3.8099000000000001E-2</v>
      </c>
      <c r="P2684" s="150"/>
      <c r="Q2684" s="250"/>
      <c r="R2684" s="250"/>
      <c r="S2684" s="250"/>
      <c r="T2684" s="250">
        <v>2.5000000000000001E-2</v>
      </c>
      <c r="U2684" s="250">
        <v>6.0999999999999999E-2</v>
      </c>
      <c r="V2684" s="250">
        <v>0.39299999999999996</v>
      </c>
      <c r="W2684" s="250">
        <v>0.42100000000000004</v>
      </c>
      <c r="X2684" s="250">
        <v>9.6000000000000002E-2</v>
      </c>
      <c r="Y2684" s="250">
        <v>4.0000000000000001E-3</v>
      </c>
      <c r="Z2684" s="150">
        <v>6</v>
      </c>
      <c r="AA2684" s="150">
        <v>0.97</v>
      </c>
      <c r="AB2684" s="152"/>
      <c r="AC2684" s="152"/>
      <c r="AD2684" s="223"/>
      <c r="AE2684" s="223"/>
      <c r="AF2684" s="223"/>
      <c r="AG2684" s="223"/>
      <c r="AH2684" s="341"/>
      <c r="AI2684" s="218"/>
      <c r="AJ2684" s="218"/>
      <c r="AK2684" s="153"/>
      <c r="AL2684" s="152"/>
      <c r="AM2684" s="152"/>
      <c r="AN2684" s="152"/>
      <c r="AO2684" s="152"/>
      <c r="AP2684" s="152"/>
      <c r="AQ2684" s="152"/>
      <c r="AR2684" s="152"/>
      <c r="AS2684" s="152"/>
      <c r="AT2684" s="152"/>
      <c r="AU2684" s="153"/>
      <c r="AV2684" s="479"/>
      <c r="AW2684" s="479"/>
      <c r="AX2684" s="442"/>
      <c r="AY2684" s="153"/>
      <c r="AZ2684" s="152"/>
      <c r="BA2684" s="152"/>
      <c r="BB2684" s="152"/>
      <c r="BC2684" s="152"/>
      <c r="BD2684" s="152"/>
      <c r="BE2684" s="152"/>
      <c r="BF2684" s="152"/>
      <c r="BG2684" s="152"/>
      <c r="BH2684" s="152"/>
      <c r="BI2684" s="153"/>
      <c r="BJ2684" s="153"/>
      <c r="BK2684" s="153"/>
      <c r="BL2684" s="153"/>
      <c r="BM2684" s="153"/>
      <c r="BN2684" s="153"/>
      <c r="BO2684" s="153"/>
      <c r="BP2684" s="153"/>
      <c r="BQ2684" s="153"/>
      <c r="BR2684" s="153"/>
      <c r="BS2684" s="153"/>
      <c r="BT2684" s="153"/>
      <c r="BU2684" s="153"/>
      <c r="BV2684" s="153"/>
      <c r="BW2684" s="153"/>
      <c r="BX2684" s="153"/>
      <c r="BY2684" s="153"/>
      <c r="BZ2684" s="153"/>
      <c r="CA2684" s="152"/>
      <c r="CB2684" s="152"/>
    </row>
    <row r="2685" spans="1:80" s="87" customFormat="1" ht="15" x14ac:dyDescent="0.25">
      <c r="A2685" s="152"/>
      <c r="B2685" s="683"/>
      <c r="C2685" s="683"/>
      <c r="D2685" s="698"/>
      <c r="E2685" s="215"/>
      <c r="F2685" s="215"/>
      <c r="G2685" s="153"/>
      <c r="H2685" s="153"/>
      <c r="I2685" s="313">
        <v>20</v>
      </c>
      <c r="J2685" s="313">
        <v>60</v>
      </c>
      <c r="K2685" s="150">
        <v>59</v>
      </c>
      <c r="L2685" s="656">
        <v>1180</v>
      </c>
      <c r="M2685" s="663">
        <v>34857</v>
      </c>
      <c r="N2685" s="600">
        <v>216.02600000000001</v>
      </c>
      <c r="O2685" s="604">
        <v>2.5295000000000002E-2</v>
      </c>
      <c r="P2685" s="150"/>
      <c r="Q2685" s="250"/>
      <c r="R2685" s="250"/>
      <c r="S2685" s="250"/>
      <c r="T2685" s="250"/>
      <c r="U2685" s="250">
        <v>7.2999999999999995E-2</v>
      </c>
      <c r="V2685" s="250">
        <v>0.39200000000000002</v>
      </c>
      <c r="W2685" s="250">
        <v>0.41499999999999998</v>
      </c>
      <c r="X2685" s="250">
        <v>0.114</v>
      </c>
      <c r="Y2685" s="250">
        <v>6.0000000000000001E-3</v>
      </c>
      <c r="Z2685" s="150">
        <v>4</v>
      </c>
      <c r="AA2685" s="150">
        <v>0.94</v>
      </c>
      <c r="AB2685" s="152"/>
      <c r="AC2685" s="152"/>
      <c r="AD2685" s="223"/>
      <c r="AE2685" s="223"/>
      <c r="AF2685" s="223"/>
      <c r="AG2685" s="223"/>
      <c r="AH2685" s="341"/>
      <c r="AI2685" s="218"/>
      <c r="AJ2685" s="218"/>
      <c r="AK2685" s="153"/>
      <c r="AL2685" s="152"/>
      <c r="AM2685" s="152"/>
      <c r="AN2685" s="152"/>
      <c r="AO2685" s="152"/>
      <c r="AP2685" s="152"/>
      <c r="AQ2685" s="152"/>
      <c r="AR2685" s="152"/>
      <c r="AS2685" s="152"/>
      <c r="AT2685" s="152"/>
      <c r="AU2685" s="153"/>
      <c r="AV2685" s="479"/>
      <c r="AW2685" s="479"/>
      <c r="AX2685" s="442"/>
      <c r="AY2685" s="153"/>
      <c r="AZ2685" s="152"/>
      <c r="BA2685" s="152"/>
      <c r="BB2685" s="152"/>
      <c r="BC2685" s="152"/>
      <c r="BD2685" s="152"/>
      <c r="BE2685" s="152"/>
      <c r="BF2685" s="152"/>
      <c r="BG2685" s="152"/>
      <c r="BH2685" s="152"/>
      <c r="BI2685" s="153"/>
      <c r="BJ2685" s="153"/>
      <c r="BK2685" s="153"/>
      <c r="BL2685" s="153"/>
      <c r="BM2685" s="153"/>
      <c r="BN2685" s="153"/>
      <c r="BO2685" s="153"/>
      <c r="BP2685" s="153"/>
      <c r="BQ2685" s="153"/>
      <c r="BR2685" s="153"/>
      <c r="BS2685" s="153"/>
      <c r="BT2685" s="153"/>
      <c r="BU2685" s="153"/>
      <c r="BV2685" s="153"/>
      <c r="BW2685" s="153"/>
      <c r="BX2685" s="153"/>
      <c r="BY2685" s="153"/>
      <c r="BZ2685" s="153"/>
      <c r="CA2685" s="152"/>
      <c r="CB2685" s="152"/>
    </row>
    <row r="2686" spans="1:80" s="87" customFormat="1" ht="15" x14ac:dyDescent="0.25">
      <c r="A2686" s="152"/>
      <c r="B2686" s="683"/>
      <c r="C2686" s="683"/>
      <c r="D2686" s="698"/>
      <c r="E2686" s="215"/>
      <c r="F2686" s="215"/>
      <c r="G2686" s="153"/>
      <c r="H2686" s="153"/>
      <c r="I2686" s="313">
        <v>19</v>
      </c>
      <c r="J2686" s="313">
        <v>60</v>
      </c>
      <c r="K2686" s="150">
        <v>60</v>
      </c>
      <c r="L2686" s="656">
        <v>1140</v>
      </c>
      <c r="M2686" s="663">
        <v>34866</v>
      </c>
      <c r="N2686" s="600">
        <v>174.40600000000001</v>
      </c>
      <c r="O2686" s="604">
        <v>1.8997E-2</v>
      </c>
      <c r="P2686" s="150"/>
      <c r="Q2686" s="250"/>
      <c r="R2686" s="250"/>
      <c r="S2686" s="250"/>
      <c r="T2686" s="250">
        <v>9.0000000000000011E-3</v>
      </c>
      <c r="U2686" s="250">
        <v>8.6999999999999994E-2</v>
      </c>
      <c r="V2686" s="250">
        <v>0.48</v>
      </c>
      <c r="W2686" s="250">
        <v>0.31</v>
      </c>
      <c r="X2686" s="250">
        <v>0.11</v>
      </c>
      <c r="Y2686" s="250">
        <v>4.0000000000000001E-3</v>
      </c>
      <c r="Z2686" s="150">
        <v>5</v>
      </c>
      <c r="AA2686" s="150">
        <v>1.1200000000000001</v>
      </c>
      <c r="AB2686" s="152"/>
      <c r="AC2686" s="152"/>
      <c r="AD2686" s="223"/>
      <c r="AE2686" s="223"/>
      <c r="AF2686" s="223"/>
      <c r="AG2686" s="223"/>
      <c r="AH2686" s="341"/>
      <c r="AI2686" s="218"/>
      <c r="AJ2686" s="218"/>
      <c r="AK2686" s="153"/>
      <c r="AL2686" s="152"/>
      <c r="AM2686" s="152"/>
      <c r="AN2686" s="152"/>
      <c r="AO2686" s="152"/>
      <c r="AP2686" s="152"/>
      <c r="AQ2686" s="152"/>
      <c r="AR2686" s="152"/>
      <c r="AS2686" s="152"/>
      <c r="AT2686" s="152"/>
      <c r="AU2686" s="153"/>
      <c r="AV2686" s="479"/>
      <c r="AW2686" s="479"/>
      <c r="AX2686" s="442"/>
      <c r="AY2686" s="153"/>
      <c r="AZ2686" s="152"/>
      <c r="BA2686" s="152"/>
      <c r="BB2686" s="152"/>
      <c r="BC2686" s="152"/>
      <c r="BD2686" s="152"/>
      <c r="BE2686" s="152"/>
      <c r="BF2686" s="152"/>
      <c r="BG2686" s="152"/>
      <c r="BH2686" s="152"/>
      <c r="BI2686" s="153"/>
      <c r="BJ2686" s="153"/>
      <c r="BK2686" s="153"/>
      <c r="BL2686" s="153"/>
      <c r="BM2686" s="153"/>
      <c r="BN2686" s="153"/>
      <c r="BO2686" s="153"/>
      <c r="BP2686" s="153"/>
      <c r="BQ2686" s="153"/>
      <c r="BR2686" s="153"/>
      <c r="BS2686" s="153"/>
      <c r="BT2686" s="153"/>
      <c r="BU2686" s="153"/>
      <c r="BV2686" s="153"/>
      <c r="BW2686" s="153"/>
      <c r="BX2686" s="153"/>
      <c r="BY2686" s="153"/>
      <c r="BZ2686" s="153"/>
      <c r="CA2686" s="152"/>
      <c r="CB2686" s="152"/>
    </row>
    <row r="2687" spans="1:80" s="87" customFormat="1" ht="15" x14ac:dyDescent="0.25">
      <c r="A2687" s="152"/>
      <c r="B2687" s="683"/>
      <c r="C2687" s="683"/>
      <c r="D2687" s="698"/>
      <c r="E2687" s="215"/>
      <c r="F2687" s="215"/>
      <c r="G2687" s="153"/>
      <c r="H2687" s="153"/>
      <c r="I2687" s="313">
        <v>19</v>
      </c>
      <c r="J2687" s="313">
        <v>60</v>
      </c>
      <c r="K2687" s="150">
        <v>61</v>
      </c>
      <c r="L2687" s="656">
        <v>1159</v>
      </c>
      <c r="M2687" s="663">
        <v>34866</v>
      </c>
      <c r="N2687" s="600">
        <v>174.40600000000001</v>
      </c>
      <c r="O2687" s="604">
        <v>2.1516E-2</v>
      </c>
      <c r="P2687" s="150"/>
      <c r="Q2687" s="250"/>
      <c r="R2687" s="250"/>
      <c r="S2687" s="250"/>
      <c r="T2687" s="250"/>
      <c r="U2687" s="250">
        <v>0.05</v>
      </c>
      <c r="V2687" s="250">
        <v>0.38900000000000001</v>
      </c>
      <c r="W2687" s="250">
        <v>0.42399999999999999</v>
      </c>
      <c r="X2687" s="250">
        <v>0.13300000000000001</v>
      </c>
      <c r="Y2687" s="250">
        <v>4.0000000000000001E-3</v>
      </c>
      <c r="Z2687" s="150">
        <v>3</v>
      </c>
      <c r="AA2687" s="150">
        <v>0.91</v>
      </c>
      <c r="AB2687" s="152"/>
      <c r="AC2687" s="152"/>
      <c r="AD2687" s="223"/>
      <c r="AE2687" s="223"/>
      <c r="AF2687" s="223"/>
      <c r="AG2687" s="223"/>
      <c r="AH2687" s="341"/>
      <c r="AI2687" s="218"/>
      <c r="AJ2687" s="218"/>
      <c r="AK2687" s="153"/>
      <c r="AL2687" s="152"/>
      <c r="AM2687" s="152"/>
      <c r="AN2687" s="152"/>
      <c r="AO2687" s="152"/>
      <c r="AP2687" s="152"/>
      <c r="AQ2687" s="152"/>
      <c r="AR2687" s="152"/>
      <c r="AS2687" s="152"/>
      <c r="AT2687" s="152"/>
      <c r="AU2687" s="153"/>
      <c r="AV2687" s="479"/>
      <c r="AW2687" s="479"/>
      <c r="AX2687" s="442"/>
      <c r="AY2687" s="153"/>
      <c r="AZ2687" s="152"/>
      <c r="BA2687" s="152"/>
      <c r="BB2687" s="152"/>
      <c r="BC2687" s="152"/>
      <c r="BD2687" s="152"/>
      <c r="BE2687" s="152"/>
      <c r="BF2687" s="152"/>
      <c r="BG2687" s="152"/>
      <c r="BH2687" s="152"/>
      <c r="BI2687" s="153"/>
      <c r="BJ2687" s="153"/>
      <c r="BK2687" s="153"/>
      <c r="BL2687" s="153"/>
      <c r="BM2687" s="153"/>
      <c r="BN2687" s="153"/>
      <c r="BO2687" s="153"/>
      <c r="BP2687" s="153"/>
      <c r="BQ2687" s="153"/>
      <c r="BR2687" s="153"/>
      <c r="BS2687" s="153"/>
      <c r="BT2687" s="153"/>
      <c r="BU2687" s="153"/>
      <c r="BV2687" s="153"/>
      <c r="BW2687" s="153"/>
      <c r="BX2687" s="153"/>
      <c r="BY2687" s="153"/>
      <c r="BZ2687" s="153"/>
      <c r="CA2687" s="152"/>
      <c r="CB2687" s="152"/>
    </row>
    <row r="2688" spans="1:80" s="87" customFormat="1" ht="15" x14ac:dyDescent="0.25">
      <c r="A2688" s="152"/>
      <c r="B2688" s="683"/>
      <c r="C2688" s="683"/>
      <c r="D2688" s="698"/>
      <c r="E2688" s="215"/>
      <c r="F2688" s="215"/>
      <c r="G2688" s="153"/>
      <c r="H2688" s="153"/>
      <c r="I2688" s="313">
        <v>20</v>
      </c>
      <c r="J2688" s="313">
        <v>60</v>
      </c>
      <c r="K2688" s="150">
        <v>62</v>
      </c>
      <c r="L2688" s="656">
        <v>1240</v>
      </c>
      <c r="M2688" s="663">
        <v>34870</v>
      </c>
      <c r="N2688" s="600">
        <v>151.756</v>
      </c>
      <c r="O2688" s="604">
        <v>4.3030000000000004E-3</v>
      </c>
      <c r="P2688" s="150"/>
      <c r="Q2688" s="250"/>
      <c r="R2688" s="250"/>
      <c r="S2688" s="250"/>
      <c r="T2688" s="250"/>
      <c r="U2688" s="250">
        <v>3.4000000000000002E-2</v>
      </c>
      <c r="V2688" s="250">
        <v>0.29399999999999998</v>
      </c>
      <c r="W2688" s="250">
        <v>0.43099999999999999</v>
      </c>
      <c r="X2688" s="250">
        <v>0.22399999999999998</v>
      </c>
      <c r="Y2688" s="250">
        <v>1.7000000000000001E-2</v>
      </c>
      <c r="Z2688" s="150">
        <v>3</v>
      </c>
      <c r="AA2688" s="150">
        <v>0.76</v>
      </c>
      <c r="AB2688" s="152"/>
      <c r="AC2688" s="152"/>
      <c r="AD2688" s="223"/>
      <c r="AE2688" s="223"/>
      <c r="AF2688" s="223"/>
      <c r="AG2688" s="223"/>
      <c r="AH2688" s="341"/>
      <c r="AI2688" s="218"/>
      <c r="AJ2688" s="218"/>
      <c r="AK2688" s="153"/>
      <c r="AL2688" s="152"/>
      <c r="AM2688" s="152"/>
      <c r="AN2688" s="152"/>
      <c r="AO2688" s="152"/>
      <c r="AP2688" s="152"/>
      <c r="AQ2688" s="152"/>
      <c r="AR2688" s="152"/>
      <c r="AS2688" s="152"/>
      <c r="AT2688" s="152"/>
      <c r="AU2688" s="153"/>
      <c r="AV2688" s="479"/>
      <c r="AW2688" s="479"/>
      <c r="AX2688" s="442"/>
      <c r="AY2688" s="153"/>
      <c r="AZ2688" s="152"/>
      <c r="BA2688" s="152"/>
      <c r="BB2688" s="152"/>
      <c r="BC2688" s="152"/>
      <c r="BD2688" s="152"/>
      <c r="BE2688" s="152"/>
      <c r="BF2688" s="152"/>
      <c r="BG2688" s="152"/>
      <c r="BH2688" s="152"/>
      <c r="BI2688" s="153"/>
      <c r="BJ2688" s="153"/>
      <c r="BK2688" s="153"/>
      <c r="BL2688" s="153"/>
      <c r="BM2688" s="153"/>
      <c r="BN2688" s="153"/>
      <c r="BO2688" s="153"/>
      <c r="BP2688" s="153"/>
      <c r="BQ2688" s="153"/>
      <c r="BR2688" s="153"/>
      <c r="BS2688" s="153"/>
      <c r="BT2688" s="153"/>
      <c r="BU2688" s="153"/>
      <c r="BV2688" s="153"/>
      <c r="BW2688" s="153"/>
      <c r="BX2688" s="153"/>
      <c r="BY2688" s="153"/>
      <c r="BZ2688" s="153"/>
      <c r="CA2688" s="152"/>
      <c r="CB2688" s="152"/>
    </row>
    <row r="2689" spans="1:80" s="87" customFormat="1" ht="15" x14ac:dyDescent="0.25">
      <c r="A2689" s="152"/>
      <c r="B2689" s="683"/>
      <c r="C2689" s="683"/>
      <c r="D2689" s="698"/>
      <c r="E2689" s="215"/>
      <c r="F2689" s="215"/>
      <c r="G2689" s="153"/>
      <c r="H2689" s="153"/>
      <c r="I2689" s="313">
        <v>20</v>
      </c>
      <c r="J2689" s="313">
        <v>60</v>
      </c>
      <c r="K2689" s="150">
        <v>63</v>
      </c>
      <c r="L2689" s="656">
        <v>1260</v>
      </c>
      <c r="M2689" s="663">
        <v>34870</v>
      </c>
      <c r="N2689" s="600">
        <v>151.756</v>
      </c>
      <c r="O2689" s="604">
        <v>2.3089999999999999E-3</v>
      </c>
      <c r="P2689" s="150"/>
      <c r="Q2689" s="250"/>
      <c r="R2689" s="250"/>
      <c r="S2689" s="250"/>
      <c r="T2689" s="250"/>
      <c r="U2689" s="250"/>
      <c r="V2689" s="250">
        <v>0.22600000000000001</v>
      </c>
      <c r="W2689" s="250">
        <v>0.51600000000000001</v>
      </c>
      <c r="X2689" s="250">
        <v>0.25800000000000001</v>
      </c>
      <c r="Y2689" s="250">
        <v>0</v>
      </c>
      <c r="Z2689" s="150">
        <v>2</v>
      </c>
      <c r="AA2689" s="150">
        <v>0.69</v>
      </c>
      <c r="AB2689" s="152"/>
      <c r="AC2689" s="152"/>
      <c r="AD2689" s="223"/>
      <c r="AE2689" s="223"/>
      <c r="AF2689" s="223"/>
      <c r="AG2689" s="223"/>
      <c r="AH2689" s="341"/>
      <c r="AI2689" s="218"/>
      <c r="AJ2689" s="218"/>
      <c r="AK2689" s="153"/>
      <c r="AL2689" s="152"/>
      <c r="AM2689" s="152"/>
      <c r="AN2689" s="152"/>
      <c r="AO2689" s="152"/>
      <c r="AP2689" s="152"/>
      <c r="AQ2689" s="152"/>
      <c r="AR2689" s="152"/>
      <c r="AS2689" s="152"/>
      <c r="AT2689" s="152"/>
      <c r="AU2689" s="153"/>
      <c r="AV2689" s="479"/>
      <c r="AW2689" s="479"/>
      <c r="AX2689" s="442"/>
      <c r="AY2689" s="153"/>
      <c r="AZ2689" s="152"/>
      <c r="BA2689" s="152"/>
      <c r="BB2689" s="152"/>
      <c r="BC2689" s="152"/>
      <c r="BD2689" s="152"/>
      <c r="BE2689" s="152"/>
      <c r="BF2689" s="152"/>
      <c r="BG2689" s="152"/>
      <c r="BH2689" s="152"/>
      <c r="BI2689" s="153"/>
      <c r="BJ2689" s="153"/>
      <c r="BK2689" s="153"/>
      <c r="BL2689" s="153"/>
      <c r="BM2689" s="153"/>
      <c r="BN2689" s="153"/>
      <c r="BO2689" s="153"/>
      <c r="BP2689" s="153"/>
      <c r="BQ2689" s="153"/>
      <c r="BR2689" s="153"/>
      <c r="BS2689" s="153"/>
      <c r="BT2689" s="153"/>
      <c r="BU2689" s="153"/>
      <c r="BV2689" s="153"/>
      <c r="BW2689" s="153"/>
      <c r="BX2689" s="153"/>
      <c r="BY2689" s="153"/>
      <c r="BZ2689" s="153"/>
      <c r="CA2689" s="152"/>
      <c r="CB2689" s="152"/>
    </row>
    <row r="2690" spans="1:80" s="87" customFormat="1" ht="15" x14ac:dyDescent="0.25">
      <c r="A2690" s="152"/>
      <c r="B2690" s="683"/>
      <c r="C2690" s="683"/>
      <c r="D2690" s="698"/>
      <c r="E2690" s="215"/>
      <c r="F2690" s="215"/>
      <c r="G2690" s="153"/>
      <c r="H2690" s="153"/>
      <c r="I2690" s="313">
        <v>20</v>
      </c>
      <c r="J2690" s="313">
        <v>60</v>
      </c>
      <c r="K2690" s="150">
        <v>64</v>
      </c>
      <c r="L2690" s="656">
        <v>1280</v>
      </c>
      <c r="M2690" s="663">
        <v>34871</v>
      </c>
      <c r="N2690" s="600">
        <v>131.93700000000001</v>
      </c>
      <c r="O2690" s="604">
        <v>3.4640000000000001E-3</v>
      </c>
      <c r="P2690" s="150"/>
      <c r="Q2690" s="250"/>
      <c r="R2690" s="250"/>
      <c r="S2690" s="250"/>
      <c r="T2690" s="250"/>
      <c r="U2690" s="250">
        <v>6.7000000000000004E-2</v>
      </c>
      <c r="V2690" s="250">
        <v>0.28899999999999998</v>
      </c>
      <c r="W2690" s="250">
        <v>0.42200000000000004</v>
      </c>
      <c r="X2690" s="250">
        <v>0.2</v>
      </c>
      <c r="Y2690" s="250">
        <v>2.2000000000000002E-2</v>
      </c>
      <c r="Z2690" s="150">
        <v>3</v>
      </c>
      <c r="AA2690" s="150">
        <v>0.79</v>
      </c>
      <c r="AB2690" s="152"/>
      <c r="AC2690" s="152"/>
      <c r="AD2690" s="223"/>
      <c r="AE2690" s="223"/>
      <c r="AF2690" s="223"/>
      <c r="AG2690" s="223"/>
      <c r="AH2690" s="341"/>
      <c r="AI2690" s="218"/>
      <c r="AJ2690" s="218"/>
      <c r="AK2690" s="153"/>
      <c r="AL2690" s="152"/>
      <c r="AM2690" s="152"/>
      <c r="AN2690" s="152"/>
      <c r="AO2690" s="152"/>
      <c r="AP2690" s="152"/>
      <c r="AQ2690" s="152"/>
      <c r="AR2690" s="152"/>
      <c r="AS2690" s="152"/>
      <c r="AT2690" s="152"/>
      <c r="AU2690" s="153"/>
      <c r="AV2690" s="479"/>
      <c r="AW2690" s="479"/>
      <c r="AX2690" s="442"/>
      <c r="AY2690" s="153"/>
      <c r="AZ2690" s="152"/>
      <c r="BA2690" s="152"/>
      <c r="BB2690" s="152"/>
      <c r="BC2690" s="152"/>
      <c r="BD2690" s="152"/>
      <c r="BE2690" s="152"/>
      <c r="BF2690" s="152"/>
      <c r="BG2690" s="152"/>
      <c r="BH2690" s="152"/>
      <c r="BI2690" s="153"/>
      <c r="BJ2690" s="153"/>
      <c r="BK2690" s="153"/>
      <c r="BL2690" s="153"/>
      <c r="BM2690" s="153"/>
      <c r="BN2690" s="153"/>
      <c r="BO2690" s="153"/>
      <c r="BP2690" s="153"/>
      <c r="BQ2690" s="153"/>
      <c r="BR2690" s="153"/>
      <c r="BS2690" s="153"/>
      <c r="BT2690" s="153"/>
      <c r="BU2690" s="153"/>
      <c r="BV2690" s="153"/>
      <c r="BW2690" s="153"/>
      <c r="BX2690" s="153"/>
      <c r="BY2690" s="153"/>
      <c r="BZ2690" s="153"/>
      <c r="CA2690" s="152"/>
      <c r="CB2690" s="152"/>
    </row>
    <row r="2691" spans="1:80" s="87" customFormat="1" ht="15" x14ac:dyDescent="0.25">
      <c r="A2691" s="152"/>
      <c r="B2691" s="683"/>
      <c r="C2691" s="683"/>
      <c r="D2691" s="698"/>
      <c r="E2691" s="215"/>
      <c r="F2691" s="215"/>
      <c r="G2691" s="153"/>
      <c r="H2691" s="153"/>
      <c r="I2691" s="313">
        <v>20</v>
      </c>
      <c r="J2691" s="313">
        <v>60</v>
      </c>
      <c r="K2691" s="150">
        <v>65</v>
      </c>
      <c r="L2691" s="656">
        <v>1300</v>
      </c>
      <c r="M2691" s="663">
        <v>34871</v>
      </c>
      <c r="N2691" s="600">
        <v>131.93700000000001</v>
      </c>
      <c r="O2691" s="604">
        <v>3.8518999999999998E-2</v>
      </c>
      <c r="P2691" s="150"/>
      <c r="Q2691" s="250"/>
      <c r="R2691" s="250"/>
      <c r="S2691" s="250"/>
      <c r="T2691" s="250">
        <v>0.01</v>
      </c>
      <c r="U2691" s="250">
        <v>8.3000000000000004E-2</v>
      </c>
      <c r="V2691" s="250">
        <v>0.51200000000000001</v>
      </c>
      <c r="W2691" s="250">
        <v>0.314</v>
      </c>
      <c r="X2691" s="250">
        <v>7.9000000000000001E-2</v>
      </c>
      <c r="Y2691" s="250">
        <v>2E-3</v>
      </c>
      <c r="Z2691" s="150">
        <v>5</v>
      </c>
      <c r="AA2691" s="150">
        <v>1.1499999999999999</v>
      </c>
      <c r="AB2691" s="152"/>
      <c r="AC2691" s="152"/>
      <c r="AD2691" s="223"/>
      <c r="AE2691" s="223"/>
      <c r="AF2691" s="223"/>
      <c r="AG2691" s="223"/>
      <c r="AH2691" s="341"/>
      <c r="AI2691" s="218"/>
      <c r="AJ2691" s="218"/>
      <c r="AK2691" s="153"/>
      <c r="AL2691" s="152"/>
      <c r="AM2691" s="152"/>
      <c r="AN2691" s="152"/>
      <c r="AO2691" s="152"/>
      <c r="AP2691" s="152"/>
      <c r="AQ2691" s="152"/>
      <c r="AR2691" s="152"/>
      <c r="AS2691" s="152"/>
      <c r="AT2691" s="152"/>
      <c r="AU2691" s="153"/>
      <c r="AV2691" s="479"/>
      <c r="AW2691" s="479"/>
      <c r="AX2691" s="442"/>
      <c r="AY2691" s="153"/>
      <c r="AZ2691" s="152"/>
      <c r="BA2691" s="152"/>
      <c r="BB2691" s="152"/>
      <c r="BC2691" s="152"/>
      <c r="BD2691" s="152"/>
      <c r="BE2691" s="152"/>
      <c r="BF2691" s="152"/>
      <c r="BG2691" s="152"/>
      <c r="BH2691" s="152"/>
      <c r="BI2691" s="153"/>
      <c r="BJ2691" s="153"/>
      <c r="BK2691" s="153"/>
      <c r="BL2691" s="153"/>
      <c r="BM2691" s="153"/>
      <c r="BN2691" s="153"/>
      <c r="BO2691" s="153"/>
      <c r="BP2691" s="153"/>
      <c r="BQ2691" s="153"/>
      <c r="BR2691" s="153"/>
      <c r="BS2691" s="153"/>
      <c r="BT2691" s="153"/>
      <c r="BU2691" s="153"/>
      <c r="BV2691" s="153"/>
      <c r="BW2691" s="153"/>
      <c r="BX2691" s="153"/>
      <c r="BY2691" s="153"/>
      <c r="BZ2691" s="153"/>
      <c r="CA2691" s="152"/>
      <c r="CB2691" s="152"/>
    </row>
    <row r="2692" spans="1:80" s="87" customFormat="1" ht="15" x14ac:dyDescent="0.25">
      <c r="A2692" s="152"/>
      <c r="B2692" s="683"/>
      <c r="C2692" s="683"/>
      <c r="D2692" s="698"/>
      <c r="E2692" s="215"/>
      <c r="F2692" s="215"/>
      <c r="G2692" s="153"/>
      <c r="H2692" s="153"/>
      <c r="I2692" s="313">
        <v>20</v>
      </c>
      <c r="J2692" s="313">
        <v>15</v>
      </c>
      <c r="K2692" s="150">
        <v>66</v>
      </c>
      <c r="L2692" s="656">
        <v>330</v>
      </c>
      <c r="M2692" s="663">
        <v>35035</v>
      </c>
      <c r="N2692" s="600">
        <v>495.47199999999998</v>
      </c>
      <c r="O2692" s="604">
        <v>0.72315499999999999</v>
      </c>
      <c r="P2692" s="150"/>
      <c r="Q2692" s="250"/>
      <c r="R2692" s="250">
        <v>4.0999999999999995E-2</v>
      </c>
      <c r="S2692" s="250">
        <v>4.8000000000000001E-2</v>
      </c>
      <c r="T2692" s="250">
        <v>5.4000000000000006E-2</v>
      </c>
      <c r="U2692" s="250">
        <v>6.4000000000000001E-2</v>
      </c>
      <c r="V2692" s="250">
        <v>0.28999999999999998</v>
      </c>
      <c r="W2692" s="250">
        <v>0.32899999999999996</v>
      </c>
      <c r="X2692" s="250">
        <v>0.16500000000000001</v>
      </c>
      <c r="Y2692" s="250">
        <v>9.0000000000000011E-3</v>
      </c>
      <c r="Z2692" s="150">
        <v>17</v>
      </c>
      <c r="AA2692" s="150">
        <v>0.99</v>
      </c>
      <c r="AB2692" s="152"/>
      <c r="AC2692" s="152"/>
      <c r="AD2692" s="223"/>
      <c r="AE2692" s="223"/>
      <c r="AF2692" s="223"/>
      <c r="AG2692" s="223"/>
      <c r="AH2692" s="341"/>
      <c r="AI2692" s="218"/>
      <c r="AJ2692" s="218"/>
      <c r="AK2692" s="153"/>
      <c r="AL2692" s="152"/>
      <c r="AM2692" s="152"/>
      <c r="AN2692" s="152"/>
      <c r="AO2692" s="152"/>
      <c r="AP2692" s="152"/>
      <c r="AQ2692" s="152"/>
      <c r="AR2692" s="152"/>
      <c r="AS2692" s="152"/>
      <c r="AT2692" s="152"/>
      <c r="AU2692" s="153"/>
      <c r="AV2692" s="479"/>
      <c r="AW2692" s="479"/>
      <c r="AX2692" s="442"/>
      <c r="AY2692" s="153"/>
      <c r="AZ2692" s="152"/>
      <c r="BA2692" s="152"/>
      <c r="BB2692" s="152"/>
      <c r="BC2692" s="152"/>
      <c r="BD2692" s="152"/>
      <c r="BE2692" s="152"/>
      <c r="BF2692" s="152"/>
      <c r="BG2692" s="152"/>
      <c r="BH2692" s="152"/>
      <c r="BI2692" s="153"/>
      <c r="BJ2692" s="153"/>
      <c r="BK2692" s="153"/>
      <c r="BL2692" s="153"/>
      <c r="BM2692" s="153"/>
      <c r="BN2692" s="153"/>
      <c r="BO2692" s="153"/>
      <c r="BP2692" s="153"/>
      <c r="BQ2692" s="153"/>
      <c r="BR2692" s="153"/>
      <c r="BS2692" s="153"/>
      <c r="BT2692" s="153"/>
      <c r="BU2692" s="153"/>
      <c r="BV2692" s="153"/>
      <c r="BW2692" s="153"/>
      <c r="BX2692" s="153"/>
      <c r="BY2692" s="153"/>
      <c r="BZ2692" s="153"/>
      <c r="CA2692" s="152"/>
      <c r="CB2692" s="152"/>
    </row>
    <row r="2693" spans="1:80" s="87" customFormat="1" ht="15" x14ac:dyDescent="0.25">
      <c r="A2693" s="152"/>
      <c r="B2693" s="683"/>
      <c r="C2693" s="683"/>
      <c r="D2693" s="698"/>
      <c r="E2693" s="215"/>
      <c r="F2693" s="215"/>
      <c r="G2693" s="153"/>
      <c r="H2693" s="153"/>
      <c r="I2693" s="313">
        <v>20</v>
      </c>
      <c r="J2693" s="313">
        <v>15</v>
      </c>
      <c r="K2693" s="150">
        <v>67</v>
      </c>
      <c r="L2693" s="656">
        <v>335</v>
      </c>
      <c r="M2693" s="663">
        <v>35035</v>
      </c>
      <c r="N2693" s="600">
        <v>495.47199999999998</v>
      </c>
      <c r="O2693" s="604">
        <v>0.81551700000000005</v>
      </c>
      <c r="P2693" s="150"/>
      <c r="Q2693" s="250"/>
      <c r="R2693" s="250"/>
      <c r="S2693" s="250">
        <v>3.0000000000000001E-3</v>
      </c>
      <c r="T2693" s="250">
        <v>1.6E-2</v>
      </c>
      <c r="U2693" s="250">
        <v>3.7999999999999999E-2</v>
      </c>
      <c r="V2693" s="250">
        <v>0.23899999999999999</v>
      </c>
      <c r="W2693" s="250">
        <v>0.41399999999999998</v>
      </c>
      <c r="X2693" s="250">
        <v>0.27800000000000002</v>
      </c>
      <c r="Y2693" s="250">
        <v>1.2E-2</v>
      </c>
      <c r="Z2693" s="150">
        <v>10</v>
      </c>
      <c r="AA2693" s="150">
        <v>0.71</v>
      </c>
      <c r="AB2693" s="152"/>
      <c r="AC2693" s="152"/>
      <c r="AD2693" s="223"/>
      <c r="AE2693" s="223"/>
      <c r="AF2693" s="223"/>
      <c r="AG2693" s="223"/>
      <c r="AH2693" s="341"/>
      <c r="AI2693" s="218"/>
      <c r="AJ2693" s="218"/>
      <c r="AK2693" s="153"/>
      <c r="AL2693" s="152"/>
      <c r="AM2693" s="152"/>
      <c r="AN2693" s="152"/>
      <c r="AO2693" s="152"/>
      <c r="AP2693" s="152"/>
      <c r="AQ2693" s="152"/>
      <c r="AR2693" s="152"/>
      <c r="AS2693" s="152"/>
      <c r="AT2693" s="152"/>
      <c r="AU2693" s="153"/>
      <c r="AV2693" s="479"/>
      <c r="AW2693" s="479"/>
      <c r="AX2693" s="442"/>
      <c r="AY2693" s="153"/>
      <c r="AZ2693" s="152"/>
      <c r="BA2693" s="152"/>
      <c r="BB2693" s="152"/>
      <c r="BC2693" s="152"/>
      <c r="BD2693" s="152"/>
      <c r="BE2693" s="152"/>
      <c r="BF2693" s="152"/>
      <c r="BG2693" s="152"/>
      <c r="BH2693" s="152"/>
      <c r="BI2693" s="153"/>
      <c r="BJ2693" s="153"/>
      <c r="BK2693" s="153"/>
      <c r="BL2693" s="153"/>
      <c r="BM2693" s="153"/>
      <c r="BN2693" s="153"/>
      <c r="BO2693" s="153"/>
      <c r="BP2693" s="153"/>
      <c r="BQ2693" s="153"/>
      <c r="BR2693" s="153"/>
      <c r="BS2693" s="153"/>
      <c r="BT2693" s="153"/>
      <c r="BU2693" s="153"/>
      <c r="BV2693" s="153"/>
      <c r="BW2693" s="153"/>
      <c r="BX2693" s="153"/>
      <c r="BY2693" s="153"/>
      <c r="BZ2693" s="153"/>
      <c r="CA2693" s="152"/>
      <c r="CB2693" s="152"/>
    </row>
    <row r="2694" spans="1:80" s="87" customFormat="1" ht="15" x14ac:dyDescent="0.25">
      <c r="A2694" s="152"/>
      <c r="B2694" s="683"/>
      <c r="C2694" s="683"/>
      <c r="D2694" s="698"/>
      <c r="E2694" s="215"/>
      <c r="F2694" s="215"/>
      <c r="G2694" s="153"/>
      <c r="H2694" s="153"/>
      <c r="I2694" s="313">
        <v>20</v>
      </c>
      <c r="J2694" s="313">
        <v>30</v>
      </c>
      <c r="K2694" s="150">
        <v>68</v>
      </c>
      <c r="L2694" s="656">
        <v>680</v>
      </c>
      <c r="M2694" s="663">
        <v>35036</v>
      </c>
      <c r="N2694" s="600">
        <v>373.72800000000001</v>
      </c>
      <c r="O2694" s="604">
        <v>0.33166499999999999</v>
      </c>
      <c r="P2694" s="150"/>
      <c r="Q2694" s="250">
        <v>0.27200000000000002</v>
      </c>
      <c r="R2694" s="250">
        <v>0</v>
      </c>
      <c r="S2694" s="250">
        <v>0.04</v>
      </c>
      <c r="T2694" s="250">
        <v>4.8000000000000001E-2</v>
      </c>
      <c r="U2694" s="250">
        <v>9.4E-2</v>
      </c>
      <c r="V2694" s="250">
        <v>0.23499999999999999</v>
      </c>
      <c r="W2694" s="250">
        <v>0.20600000000000002</v>
      </c>
      <c r="X2694" s="250">
        <v>9.6999999999999989E-2</v>
      </c>
      <c r="Y2694" s="250">
        <v>8.0000000000000002E-3</v>
      </c>
      <c r="Z2694" s="150">
        <v>34</v>
      </c>
      <c r="AA2694" s="150">
        <v>1.75</v>
      </c>
      <c r="AB2694" s="152"/>
      <c r="AC2694" s="152"/>
      <c r="AD2694" s="223">
        <v>77.111869999999996</v>
      </c>
      <c r="AE2694" s="223">
        <v>2.5175654000000001</v>
      </c>
      <c r="AF2694" s="223">
        <v>194.14846</v>
      </c>
      <c r="AG2694" s="223">
        <v>1.8653147999999999</v>
      </c>
      <c r="AH2694" s="341"/>
      <c r="AI2694" s="218"/>
      <c r="AJ2694" s="218"/>
      <c r="AK2694" s="153"/>
      <c r="AL2694" s="152"/>
      <c r="AM2694" s="152"/>
      <c r="AN2694" s="152"/>
      <c r="AO2694" s="152"/>
      <c r="AP2694" s="152"/>
      <c r="AQ2694" s="152"/>
      <c r="AR2694" s="152"/>
      <c r="AS2694" s="152"/>
      <c r="AT2694" s="152"/>
      <c r="AU2694" s="153"/>
      <c r="AV2694" s="479"/>
      <c r="AW2694" s="479"/>
      <c r="AX2694" s="442"/>
      <c r="AY2694" s="153"/>
      <c r="AZ2694" s="152"/>
      <c r="BA2694" s="152"/>
      <c r="BB2694" s="152"/>
      <c r="BC2694" s="152"/>
      <c r="BD2694" s="152"/>
      <c r="BE2694" s="152"/>
      <c r="BF2694" s="152"/>
      <c r="BG2694" s="152"/>
      <c r="BH2694" s="152"/>
      <c r="BI2694" s="153"/>
      <c r="BJ2694" s="153"/>
      <c r="BK2694" s="153"/>
      <c r="BL2694" s="153"/>
      <c r="BM2694" s="153"/>
      <c r="BN2694" s="153"/>
      <c r="BO2694" s="153"/>
      <c r="BP2694" s="153"/>
      <c r="BQ2694" s="153"/>
      <c r="BR2694" s="153"/>
      <c r="BS2694" s="153"/>
      <c r="BT2694" s="153"/>
      <c r="BU2694" s="153"/>
      <c r="BV2694" s="153"/>
      <c r="BW2694" s="153"/>
      <c r="BX2694" s="153"/>
      <c r="BY2694" s="153"/>
      <c r="BZ2694" s="153"/>
      <c r="CA2694" s="152"/>
      <c r="CB2694" s="152"/>
    </row>
    <row r="2695" spans="1:80" s="87" customFormat="1" ht="15" x14ac:dyDescent="0.25">
      <c r="A2695" s="152"/>
      <c r="B2695" s="683"/>
      <c r="C2695" s="683"/>
      <c r="D2695" s="698"/>
      <c r="E2695" s="215"/>
      <c r="F2695" s="215"/>
      <c r="G2695" s="153"/>
      <c r="H2695" s="153"/>
      <c r="I2695" s="313">
        <v>20</v>
      </c>
      <c r="J2695" s="313">
        <v>30</v>
      </c>
      <c r="K2695" s="150">
        <v>69</v>
      </c>
      <c r="L2695" s="656">
        <v>690</v>
      </c>
      <c r="M2695" s="663">
        <v>35036</v>
      </c>
      <c r="N2695" s="600">
        <v>373.72800000000001</v>
      </c>
      <c r="O2695" s="604">
        <v>1.0915539999999999</v>
      </c>
      <c r="P2695" s="150"/>
      <c r="Q2695" s="250"/>
      <c r="R2695" s="250">
        <v>1.6E-2</v>
      </c>
      <c r="S2695" s="250">
        <v>0.06</v>
      </c>
      <c r="T2695" s="250">
        <v>6.6000000000000003E-2</v>
      </c>
      <c r="U2695" s="250">
        <v>0.10400000000000001</v>
      </c>
      <c r="V2695" s="250">
        <v>0.35899999999999999</v>
      </c>
      <c r="W2695" s="250">
        <v>0.27200000000000002</v>
      </c>
      <c r="X2695" s="250">
        <v>0.11800000000000001</v>
      </c>
      <c r="Y2695" s="250">
        <v>5.0000000000000001E-3</v>
      </c>
      <c r="Z2695" s="150">
        <v>19</v>
      </c>
      <c r="AA2695" s="150">
        <v>1.22</v>
      </c>
      <c r="AB2695" s="152"/>
      <c r="AC2695" s="152"/>
      <c r="AD2695" s="223">
        <v>77.111869999999996</v>
      </c>
      <c r="AE2695" s="223">
        <v>2.5175654000000001</v>
      </c>
      <c r="AF2695" s="223">
        <v>194.14846</v>
      </c>
      <c r="AG2695" s="223">
        <v>1.8653147999999999</v>
      </c>
      <c r="AH2695" s="341"/>
      <c r="AI2695" s="218"/>
      <c r="AJ2695" s="218"/>
      <c r="AK2695" s="153"/>
      <c r="AL2695" s="152"/>
      <c r="AM2695" s="152"/>
      <c r="AN2695" s="152"/>
      <c r="AO2695" s="152"/>
      <c r="AP2695" s="152"/>
      <c r="AQ2695" s="152"/>
      <c r="AR2695" s="152"/>
      <c r="AS2695" s="152"/>
      <c r="AT2695" s="152"/>
      <c r="AU2695" s="153"/>
      <c r="AV2695" s="479"/>
      <c r="AW2695" s="479"/>
      <c r="AX2695" s="442"/>
      <c r="AY2695" s="153"/>
      <c r="AZ2695" s="152"/>
      <c r="BA2695" s="152"/>
      <c r="BB2695" s="152"/>
      <c r="BC2695" s="152"/>
      <c r="BD2695" s="152"/>
      <c r="BE2695" s="152"/>
      <c r="BF2695" s="152"/>
      <c r="BG2695" s="152"/>
      <c r="BH2695" s="152"/>
      <c r="BI2695" s="153"/>
      <c r="BJ2695" s="153"/>
      <c r="BK2695" s="153"/>
      <c r="BL2695" s="153"/>
      <c r="BM2695" s="153"/>
      <c r="BN2695" s="153"/>
      <c r="BO2695" s="153"/>
      <c r="BP2695" s="153"/>
      <c r="BQ2695" s="153"/>
      <c r="BR2695" s="153"/>
      <c r="BS2695" s="153"/>
      <c r="BT2695" s="153"/>
      <c r="BU2695" s="153"/>
      <c r="BV2695" s="153"/>
      <c r="BW2695" s="153"/>
      <c r="BX2695" s="153"/>
      <c r="BY2695" s="153"/>
      <c r="BZ2695" s="153"/>
      <c r="CA2695" s="152"/>
      <c r="CB2695" s="152"/>
    </row>
    <row r="2696" spans="1:80" s="87" customFormat="1" ht="15" x14ac:dyDescent="0.25">
      <c r="A2696" s="152"/>
      <c r="B2696" s="683"/>
      <c r="C2696" s="683"/>
      <c r="D2696" s="698"/>
      <c r="E2696" s="215"/>
      <c r="F2696" s="215"/>
      <c r="G2696" s="153"/>
      <c r="H2696" s="153"/>
      <c r="I2696" s="313">
        <v>20</v>
      </c>
      <c r="J2696" s="313">
        <v>30</v>
      </c>
      <c r="K2696" s="150">
        <v>70</v>
      </c>
      <c r="L2696" s="656">
        <v>700</v>
      </c>
      <c r="M2696" s="663">
        <v>35568</v>
      </c>
      <c r="N2696" s="600">
        <v>758.78</v>
      </c>
      <c r="O2696" s="604">
        <v>2.0361690000000001</v>
      </c>
      <c r="P2696" s="150"/>
      <c r="Q2696" s="250"/>
      <c r="R2696" s="250">
        <v>2.8999999999999998E-2</v>
      </c>
      <c r="S2696" s="250">
        <v>7.2999999999999995E-2</v>
      </c>
      <c r="T2696" s="250">
        <v>7.6999999999999999E-2</v>
      </c>
      <c r="U2696" s="250">
        <v>0.13699999999999998</v>
      </c>
      <c r="V2696" s="250">
        <v>0.34200000000000003</v>
      </c>
      <c r="W2696" s="250">
        <v>0.249</v>
      </c>
      <c r="X2696" s="250">
        <v>9.0999999999999998E-2</v>
      </c>
      <c r="Y2696" s="250">
        <v>2E-3</v>
      </c>
      <c r="Z2696" s="150">
        <v>23</v>
      </c>
      <c r="AA2696" s="150">
        <v>1.38</v>
      </c>
      <c r="AB2696" s="152"/>
      <c r="AC2696" s="152"/>
      <c r="AD2696" s="223"/>
      <c r="AE2696" s="223"/>
      <c r="AF2696" s="223"/>
      <c r="AG2696" s="223"/>
      <c r="AH2696" s="341"/>
      <c r="AI2696" s="218"/>
      <c r="AJ2696" s="218"/>
      <c r="AK2696" s="153"/>
      <c r="AL2696" s="152"/>
      <c r="AM2696" s="152"/>
      <c r="AN2696" s="152"/>
      <c r="AO2696" s="152"/>
      <c r="AP2696" s="152"/>
      <c r="AQ2696" s="152"/>
      <c r="AR2696" s="152"/>
      <c r="AS2696" s="152"/>
      <c r="AT2696" s="152"/>
      <c r="AU2696" s="153"/>
      <c r="AV2696" s="479"/>
      <c r="AW2696" s="479"/>
      <c r="AX2696" s="442"/>
      <c r="AY2696" s="153"/>
      <c r="AZ2696" s="152"/>
      <c r="BA2696" s="152"/>
      <c r="BB2696" s="152"/>
      <c r="BC2696" s="152"/>
      <c r="BD2696" s="152"/>
      <c r="BE2696" s="152"/>
      <c r="BF2696" s="152"/>
      <c r="BG2696" s="152"/>
      <c r="BH2696" s="152"/>
      <c r="BI2696" s="153"/>
      <c r="BJ2696" s="153"/>
      <c r="BK2696" s="153"/>
      <c r="BL2696" s="153"/>
      <c r="BM2696" s="153"/>
      <c r="BN2696" s="153"/>
      <c r="BO2696" s="153"/>
      <c r="BP2696" s="153"/>
      <c r="BQ2696" s="153"/>
      <c r="BR2696" s="153"/>
      <c r="BS2696" s="153"/>
      <c r="BT2696" s="153"/>
      <c r="BU2696" s="153"/>
      <c r="BV2696" s="153"/>
      <c r="BW2696" s="153"/>
      <c r="BX2696" s="153"/>
      <c r="BY2696" s="153"/>
      <c r="BZ2696" s="153"/>
      <c r="CA2696" s="152"/>
      <c r="CB2696" s="152"/>
    </row>
    <row r="2697" spans="1:80" s="87" customFormat="1" ht="15" x14ac:dyDescent="0.25">
      <c r="A2697" s="152"/>
      <c r="B2697" s="683"/>
      <c r="C2697" s="683"/>
      <c r="D2697" s="698"/>
      <c r="E2697" s="215"/>
      <c r="F2697" s="215"/>
      <c r="G2697" s="153"/>
      <c r="H2697" s="153"/>
      <c r="I2697" s="313">
        <v>20</v>
      </c>
      <c r="J2697" s="313">
        <v>30</v>
      </c>
      <c r="K2697" s="150">
        <v>71</v>
      </c>
      <c r="L2697" s="656">
        <v>710</v>
      </c>
      <c r="M2697" s="663">
        <v>35568</v>
      </c>
      <c r="N2697" s="600">
        <v>753.11800000000005</v>
      </c>
      <c r="O2697" s="604">
        <v>3.6315170000000001</v>
      </c>
      <c r="P2697" s="150"/>
      <c r="Q2697" s="250">
        <v>0.23100000000000001</v>
      </c>
      <c r="R2697" s="250">
        <v>7.6999999999999999E-2</v>
      </c>
      <c r="S2697" s="250">
        <v>7.6999999999999999E-2</v>
      </c>
      <c r="T2697" s="250">
        <v>7.400000000000001E-2</v>
      </c>
      <c r="U2697" s="250">
        <v>0.10099999999999999</v>
      </c>
      <c r="V2697" s="250">
        <v>0.20100000000000001</v>
      </c>
      <c r="W2697" s="250">
        <v>0.157</v>
      </c>
      <c r="X2697" s="250">
        <v>0.08</v>
      </c>
      <c r="Y2697" s="250">
        <v>3.0000000000000001E-3</v>
      </c>
      <c r="Z2697" s="150">
        <v>45</v>
      </c>
      <c r="AA2697" s="150">
        <v>3</v>
      </c>
      <c r="AB2697" s="152"/>
      <c r="AC2697" s="152"/>
      <c r="AD2697" s="223"/>
      <c r="AE2697" s="223"/>
      <c r="AF2697" s="223"/>
      <c r="AG2697" s="223"/>
      <c r="AH2697" s="341"/>
      <c r="AI2697" s="218"/>
      <c r="AJ2697" s="218"/>
      <c r="AK2697" s="153"/>
      <c r="AL2697" s="152"/>
      <c r="AM2697" s="152"/>
      <c r="AN2697" s="152"/>
      <c r="AO2697" s="152"/>
      <c r="AP2697" s="152"/>
      <c r="AQ2697" s="152"/>
      <c r="AR2697" s="152"/>
      <c r="AS2697" s="152"/>
      <c r="AT2697" s="152"/>
      <c r="AU2697" s="153"/>
      <c r="AV2697" s="479"/>
      <c r="AW2697" s="479"/>
      <c r="AX2697" s="442"/>
      <c r="AY2697" s="153"/>
      <c r="AZ2697" s="152"/>
      <c r="BA2697" s="152"/>
      <c r="BB2697" s="152"/>
      <c r="BC2697" s="152"/>
      <c r="BD2697" s="152"/>
      <c r="BE2697" s="152"/>
      <c r="BF2697" s="152"/>
      <c r="BG2697" s="152"/>
      <c r="BH2697" s="152"/>
      <c r="BI2697" s="153"/>
      <c r="BJ2697" s="153"/>
      <c r="BK2697" s="153"/>
      <c r="BL2697" s="153"/>
      <c r="BM2697" s="153"/>
      <c r="BN2697" s="153"/>
      <c r="BO2697" s="153"/>
      <c r="BP2697" s="153"/>
      <c r="BQ2697" s="153"/>
      <c r="BR2697" s="153"/>
      <c r="BS2697" s="153"/>
      <c r="BT2697" s="153"/>
      <c r="BU2697" s="153"/>
      <c r="BV2697" s="153"/>
      <c r="BW2697" s="153"/>
      <c r="BX2697" s="153"/>
      <c r="BY2697" s="153"/>
      <c r="BZ2697" s="153"/>
      <c r="CA2697" s="152"/>
      <c r="CB2697" s="152"/>
    </row>
    <row r="2698" spans="1:80" ht="15" x14ac:dyDescent="0.25">
      <c r="A2698" s="9" t="s">
        <v>194</v>
      </c>
      <c r="B2698" s="639" t="s">
        <v>66</v>
      </c>
      <c r="C2698" s="639" t="s">
        <v>611</v>
      </c>
      <c r="D2698" s="4">
        <f>VLOOKUP(E2698,'Quality Code'!D4:E24,2,TRUE)*VLOOKUP(MROUND(F2698,10),'Quality Code'!D28:E69,2,TRUE)*VLOOKUP(COUNTA(CB2698:CB2708),'Quality Code'!D73:E93,2,TRUE)</f>
        <v>4.75</v>
      </c>
      <c r="E2698" s="14">
        <v>0.95</v>
      </c>
      <c r="F2698" s="18">
        <v>112</v>
      </c>
      <c r="G2698" s="12">
        <v>106.179</v>
      </c>
      <c r="H2698" s="2" t="s">
        <v>231</v>
      </c>
      <c r="I2698" s="10"/>
      <c r="J2698" s="10" t="s">
        <v>283</v>
      </c>
      <c r="K2698" s="10"/>
      <c r="L2698" s="640" t="s">
        <v>284</v>
      </c>
      <c r="M2698" s="640" t="s">
        <v>885</v>
      </c>
      <c r="N2698" s="579" t="s">
        <v>296</v>
      </c>
      <c r="O2698" s="579"/>
      <c r="P2698" s="10" t="s">
        <v>64</v>
      </c>
      <c r="Q2698" s="10" t="s">
        <v>64</v>
      </c>
      <c r="R2698" s="10" t="s">
        <v>64</v>
      </c>
      <c r="S2698" s="10" t="s">
        <v>64</v>
      </c>
      <c r="T2698" s="10" t="s">
        <v>64</v>
      </c>
      <c r="U2698" s="10" t="s">
        <v>64</v>
      </c>
      <c r="V2698" s="10"/>
      <c r="W2698" s="10"/>
      <c r="X2698" s="10"/>
      <c r="Y2698" s="10"/>
      <c r="Z2698" s="11"/>
      <c r="AA2698" s="81"/>
      <c r="AB2698" s="81"/>
      <c r="AC2698" s="116">
        <v>9.7000000000000003E-3</v>
      </c>
      <c r="AD2698" s="11"/>
      <c r="AE2698" s="11"/>
      <c r="AF2698" s="10"/>
      <c r="AG2698" s="10"/>
      <c r="AH2698" s="345" t="s">
        <v>337</v>
      </c>
      <c r="AI2698" s="18">
        <v>18.8</v>
      </c>
      <c r="AJ2698" s="18">
        <v>1</v>
      </c>
      <c r="AK2698" s="17">
        <v>0.97170000000000001</v>
      </c>
      <c r="AL2698" s="17">
        <v>0.82569999999999999</v>
      </c>
      <c r="AM2698" s="17">
        <v>0.62990000000000002</v>
      </c>
      <c r="AN2698" s="17">
        <v>0.46010000000000001</v>
      </c>
      <c r="AO2698" s="17">
        <v>0.30590000000000001</v>
      </c>
      <c r="AP2698" s="17">
        <v>0.21740000000000001</v>
      </c>
      <c r="AQ2698" s="17">
        <v>0.1502</v>
      </c>
      <c r="AR2698" s="17">
        <v>8.4000000000000005E-2</v>
      </c>
      <c r="AS2698" s="17">
        <v>3.5799999999999998E-2</v>
      </c>
      <c r="AT2698" s="17">
        <v>1.49E-2</v>
      </c>
      <c r="AU2698" s="18">
        <v>68</v>
      </c>
      <c r="AV2698" s="17">
        <v>1</v>
      </c>
      <c r="AW2698" s="17">
        <v>1</v>
      </c>
      <c r="AX2698" s="17">
        <v>0.97970000000000002</v>
      </c>
      <c r="AY2698" s="17">
        <v>0.80079999999999996</v>
      </c>
      <c r="AZ2698" s="17">
        <v>0.48370000000000002</v>
      </c>
      <c r="BA2698" s="17">
        <v>0.23980000000000001</v>
      </c>
      <c r="BB2698" s="17">
        <v>0.16259999999999999</v>
      </c>
      <c r="BC2698" s="17">
        <v>0.13819999999999999</v>
      </c>
      <c r="BD2698" s="17">
        <v>0.126</v>
      </c>
      <c r="BE2698" s="17">
        <v>0.122</v>
      </c>
      <c r="BF2698" s="17">
        <v>4.1000000000000003E-3</v>
      </c>
      <c r="BG2698" s="17"/>
      <c r="BH2698" s="17"/>
      <c r="BI2698" s="4">
        <f>AU2698/AI2698</f>
        <v>3.6170212765957444</v>
      </c>
      <c r="BJ2698" s="2" t="s">
        <v>68</v>
      </c>
      <c r="BK2698" s="2" t="s">
        <v>175</v>
      </c>
      <c r="BL2698" s="12"/>
      <c r="BM2698" s="12">
        <v>11.7498</v>
      </c>
      <c r="BN2698" s="12">
        <v>12.191599999999999</v>
      </c>
      <c r="BO2698" s="12">
        <v>1.0179986000000001</v>
      </c>
      <c r="BP2698" s="12">
        <v>12.3920596</v>
      </c>
      <c r="BQ2698" s="12">
        <f>BN2698/BO2698</f>
        <v>11.976047904191615</v>
      </c>
      <c r="BR2698" s="12" t="s">
        <v>276</v>
      </c>
      <c r="BS2698" s="18">
        <v>4</v>
      </c>
      <c r="BT2698" s="12">
        <v>1.158202</v>
      </c>
      <c r="BU2698" s="2"/>
      <c r="BV2698" s="2"/>
      <c r="BW2698" s="2"/>
      <c r="BX2698" s="2"/>
      <c r="BY2698" s="2" t="s">
        <v>592</v>
      </c>
      <c r="BZ2698" s="2"/>
      <c r="CA2698" s="381"/>
      <c r="CB2698" s="9" t="s">
        <v>224</v>
      </c>
    </row>
    <row r="2699" spans="1:80" s="87" customFormat="1" ht="15" x14ac:dyDescent="0.2">
      <c r="A2699" s="152"/>
      <c r="B2699" s="683"/>
      <c r="C2699" s="683"/>
      <c r="D2699" s="698"/>
      <c r="E2699" s="215"/>
      <c r="F2699" s="215"/>
      <c r="G2699" s="153"/>
      <c r="H2699" s="153"/>
      <c r="I2699" s="153"/>
      <c r="J2699" s="153"/>
      <c r="K2699" s="153"/>
      <c r="L2699" s="653"/>
      <c r="M2699" s="663">
        <v>30099</v>
      </c>
      <c r="N2699" s="600">
        <v>10.787100000000001</v>
      </c>
      <c r="O2699" s="604">
        <v>1.8461999999999999E-2</v>
      </c>
      <c r="P2699" s="150"/>
      <c r="Q2699" s="250"/>
      <c r="R2699" s="250"/>
      <c r="S2699" s="250"/>
      <c r="T2699" s="250"/>
      <c r="U2699" s="250"/>
      <c r="V2699" s="250"/>
      <c r="W2699" s="250"/>
      <c r="X2699" s="250"/>
      <c r="Y2699" s="250"/>
      <c r="Z2699" s="150"/>
      <c r="AA2699" s="150">
        <v>1.51</v>
      </c>
      <c r="AB2699" s="152"/>
      <c r="AC2699" s="152"/>
      <c r="AD2699" s="223"/>
      <c r="AE2699" s="223"/>
      <c r="AF2699" s="223"/>
      <c r="AG2699" s="223"/>
      <c r="AH2699" s="340" t="s">
        <v>338</v>
      </c>
      <c r="AI2699" s="218"/>
      <c r="AJ2699" s="218"/>
      <c r="AK2699" s="153"/>
      <c r="AL2699" s="152"/>
      <c r="AM2699" s="152"/>
      <c r="AN2699" s="152"/>
      <c r="AO2699" s="152"/>
      <c r="AP2699" s="152"/>
      <c r="AQ2699" s="152"/>
      <c r="AR2699" s="152"/>
      <c r="AS2699" s="152"/>
      <c r="AT2699" s="152"/>
      <c r="AU2699" s="153"/>
      <c r="AV2699" s="479"/>
      <c r="AW2699" s="479"/>
      <c r="AX2699" s="442"/>
      <c r="AY2699" s="153"/>
      <c r="AZ2699" s="152"/>
      <c r="BA2699" s="152"/>
      <c r="BB2699" s="152"/>
      <c r="BC2699" s="152"/>
      <c r="BD2699" s="152"/>
      <c r="BE2699" s="152"/>
      <c r="BF2699" s="152"/>
      <c r="BG2699" s="152"/>
      <c r="BH2699" s="152"/>
      <c r="BI2699" s="153"/>
      <c r="BJ2699" s="153"/>
      <c r="BK2699" s="153"/>
      <c r="BL2699" s="153"/>
      <c r="BM2699" s="153"/>
      <c r="BN2699" s="153"/>
      <c r="BO2699" s="153"/>
      <c r="BP2699" s="153"/>
      <c r="BQ2699" s="153"/>
      <c r="BR2699" s="153"/>
      <c r="BS2699" s="153"/>
      <c r="BT2699" s="153"/>
      <c r="BU2699" s="153"/>
      <c r="BV2699" s="153"/>
      <c r="BW2699" s="153"/>
      <c r="BX2699" s="153"/>
      <c r="BY2699" s="153"/>
      <c r="BZ2699" s="153"/>
      <c r="CA2699" s="152"/>
      <c r="CB2699" s="154" t="s">
        <v>597</v>
      </c>
    </row>
    <row r="2700" spans="1:80" s="87" customFormat="1" ht="15" x14ac:dyDescent="0.2">
      <c r="A2700" s="152"/>
      <c r="B2700" s="683"/>
      <c r="C2700" s="683"/>
      <c r="D2700" s="698"/>
      <c r="E2700" s="215"/>
      <c r="F2700" s="215"/>
      <c r="G2700" s="153"/>
      <c r="H2700" s="153"/>
      <c r="I2700" s="153"/>
      <c r="J2700" s="153"/>
      <c r="K2700" s="153"/>
      <c r="L2700" s="653"/>
      <c r="M2700" s="663">
        <v>30413</v>
      </c>
      <c r="N2700" s="600">
        <v>3.9920900000000001</v>
      </c>
      <c r="O2700" s="604">
        <v>5.6700000000000001E-4</v>
      </c>
      <c r="P2700" s="150"/>
      <c r="Q2700" s="250"/>
      <c r="R2700" s="250"/>
      <c r="S2700" s="250"/>
      <c r="T2700" s="250"/>
      <c r="U2700" s="250"/>
      <c r="V2700" s="250"/>
      <c r="W2700" s="250"/>
      <c r="X2700" s="250"/>
      <c r="Y2700" s="250"/>
      <c r="Z2700" s="150"/>
      <c r="AA2700" s="150">
        <v>0.5</v>
      </c>
      <c r="AB2700" s="152"/>
      <c r="AC2700" s="152"/>
      <c r="AD2700" s="223"/>
      <c r="AE2700" s="223"/>
      <c r="AF2700" s="223"/>
      <c r="AG2700" s="223"/>
      <c r="AH2700" s="340" t="s">
        <v>339</v>
      </c>
      <c r="AI2700" s="218"/>
      <c r="AJ2700" s="218"/>
      <c r="AK2700" s="153"/>
      <c r="AL2700" s="152"/>
      <c r="AM2700" s="152"/>
      <c r="AN2700" s="152"/>
      <c r="AO2700" s="152"/>
      <c r="AP2700" s="152"/>
      <c r="AQ2700" s="152"/>
      <c r="AR2700" s="152"/>
      <c r="AS2700" s="152"/>
      <c r="AT2700" s="152"/>
      <c r="AU2700" s="153"/>
      <c r="AV2700" s="479"/>
      <c r="AW2700" s="479"/>
      <c r="AX2700" s="442"/>
      <c r="AY2700" s="153"/>
      <c r="AZ2700" s="152"/>
      <c r="BA2700" s="152"/>
      <c r="BB2700" s="152"/>
      <c r="BC2700" s="152"/>
      <c r="BD2700" s="152"/>
      <c r="BE2700" s="152"/>
      <c r="BF2700" s="152"/>
      <c r="BG2700" s="152"/>
      <c r="BH2700" s="152"/>
      <c r="BI2700" s="153"/>
      <c r="BJ2700" s="153"/>
      <c r="BK2700" s="153"/>
      <c r="BL2700" s="153"/>
      <c r="BM2700" s="153"/>
      <c r="BN2700" s="153"/>
      <c r="BO2700" s="153"/>
      <c r="BP2700" s="153"/>
      <c r="BQ2700" s="153"/>
      <c r="BR2700" s="153"/>
      <c r="BS2700" s="153"/>
      <c r="BT2700" s="153"/>
      <c r="BU2700" s="153"/>
      <c r="BV2700" s="153"/>
      <c r="BW2700" s="153"/>
      <c r="BX2700" s="153"/>
      <c r="BY2700" s="153"/>
      <c r="BZ2700" s="153"/>
      <c r="CA2700" s="152"/>
      <c r="CB2700" s="486" t="s">
        <v>638</v>
      </c>
    </row>
    <row r="2701" spans="1:80" s="87" customFormat="1" ht="15" x14ac:dyDescent="0.2">
      <c r="A2701" s="152"/>
      <c r="B2701" s="683"/>
      <c r="C2701" s="683"/>
      <c r="D2701" s="698"/>
      <c r="E2701" s="215"/>
      <c r="F2701" s="215"/>
      <c r="G2701" s="153"/>
      <c r="H2701" s="153"/>
      <c r="I2701" s="153"/>
      <c r="J2701" s="153"/>
      <c r="K2701" s="153"/>
      <c r="L2701" s="653"/>
      <c r="M2701" s="663">
        <v>31509</v>
      </c>
      <c r="N2701" s="600">
        <v>6.3986700000000001</v>
      </c>
      <c r="O2701" s="604">
        <v>6.5389999999999997E-3</v>
      </c>
      <c r="P2701" s="150"/>
      <c r="Q2701" s="250"/>
      <c r="R2701" s="250"/>
      <c r="S2701" s="250"/>
      <c r="T2701" s="250"/>
      <c r="U2701" s="250"/>
      <c r="V2701" s="250"/>
      <c r="W2701" s="250"/>
      <c r="X2701" s="250"/>
      <c r="Y2701" s="250"/>
      <c r="Z2701" s="150"/>
      <c r="AA2701" s="150">
        <v>0.46</v>
      </c>
      <c r="AB2701" s="152"/>
      <c r="AC2701" s="152"/>
      <c r="AD2701" s="223">
        <v>11.825851999999999</v>
      </c>
      <c r="AE2701" s="223">
        <v>0.71016069999999998</v>
      </c>
      <c r="AF2701" s="223">
        <v>8.4069070000000004</v>
      </c>
      <c r="AG2701" s="223">
        <v>0.75892709999999997</v>
      </c>
      <c r="AH2701" s="341"/>
      <c r="AI2701" s="218"/>
      <c r="AJ2701" s="218"/>
      <c r="AK2701" s="153"/>
      <c r="AL2701" s="152"/>
      <c r="AM2701" s="152"/>
      <c r="AN2701" s="152"/>
      <c r="AO2701" s="152"/>
      <c r="AP2701" s="152"/>
      <c r="AQ2701" s="152"/>
      <c r="AR2701" s="152"/>
      <c r="AS2701" s="152"/>
      <c r="AT2701" s="152"/>
      <c r="AU2701" s="153"/>
      <c r="AV2701" s="479"/>
      <c r="AW2701" s="479"/>
      <c r="AX2701" s="442"/>
      <c r="AY2701" s="153"/>
      <c r="AZ2701" s="152"/>
      <c r="BA2701" s="152"/>
      <c r="BB2701" s="152"/>
      <c r="BC2701" s="152"/>
      <c r="BD2701" s="152"/>
      <c r="BE2701" s="152"/>
      <c r="BF2701" s="152"/>
      <c r="BG2701" s="152"/>
      <c r="BH2701" s="152"/>
      <c r="BI2701" s="153"/>
      <c r="BJ2701" s="153"/>
      <c r="BK2701" s="153"/>
      <c r="BL2701" s="153"/>
      <c r="BM2701" s="153"/>
      <c r="BN2701" s="153"/>
      <c r="BO2701" s="153"/>
      <c r="BP2701" s="153"/>
      <c r="BQ2701" s="153"/>
      <c r="BR2701" s="153"/>
      <c r="BS2701" s="153"/>
      <c r="BT2701" s="153"/>
      <c r="BU2701" s="153"/>
      <c r="BV2701" s="153"/>
      <c r="BW2701" s="153"/>
      <c r="BX2701" s="153"/>
      <c r="BY2701" s="153"/>
      <c r="BZ2701" s="153"/>
      <c r="CA2701" s="152"/>
      <c r="CB2701" s="486" t="s">
        <v>639</v>
      </c>
    </row>
    <row r="2702" spans="1:80" s="87" customFormat="1" ht="15" x14ac:dyDescent="0.2">
      <c r="A2702" s="152"/>
      <c r="B2702" s="683"/>
      <c r="C2702" s="683"/>
      <c r="D2702" s="698"/>
      <c r="E2702" s="215"/>
      <c r="F2702" s="215"/>
      <c r="G2702" s="153"/>
      <c r="H2702" s="153"/>
      <c r="I2702" s="153"/>
      <c r="J2702" s="153"/>
      <c r="K2702" s="153"/>
      <c r="L2702" s="653"/>
      <c r="M2702" s="663">
        <v>31554</v>
      </c>
      <c r="N2702" s="600">
        <v>7.4745499999999998</v>
      </c>
      <c r="O2702" s="604">
        <v>5.2269999999999999E-3</v>
      </c>
      <c r="P2702" s="150"/>
      <c r="Q2702" s="250"/>
      <c r="R2702" s="250"/>
      <c r="S2702" s="250"/>
      <c r="T2702" s="250"/>
      <c r="U2702" s="250"/>
      <c r="V2702" s="250"/>
      <c r="W2702" s="250"/>
      <c r="X2702" s="250"/>
      <c r="Y2702" s="250"/>
      <c r="Z2702" s="150"/>
      <c r="AA2702" s="150">
        <v>1.1200000000000001</v>
      </c>
      <c r="AB2702" s="152"/>
      <c r="AC2702" s="152"/>
      <c r="AD2702" s="223"/>
      <c r="AE2702" s="223"/>
      <c r="AF2702" s="223"/>
      <c r="AG2702" s="223"/>
      <c r="AH2702" s="341"/>
      <c r="AI2702" s="218"/>
      <c r="AJ2702" s="218"/>
      <c r="AK2702" s="153"/>
      <c r="AL2702" s="152"/>
      <c r="AM2702" s="152"/>
      <c r="AN2702" s="152"/>
      <c r="AO2702" s="152"/>
      <c r="AP2702" s="152"/>
      <c r="AQ2702" s="152"/>
      <c r="AR2702" s="152"/>
      <c r="AS2702" s="152"/>
      <c r="AT2702" s="152"/>
      <c r="AU2702" s="153"/>
      <c r="AV2702" s="479"/>
      <c r="AW2702" s="479"/>
      <c r="AX2702" s="442"/>
      <c r="AY2702" s="153"/>
      <c r="AZ2702" s="152"/>
      <c r="BA2702" s="152"/>
      <c r="BB2702" s="152"/>
      <c r="BC2702" s="152"/>
      <c r="BD2702" s="152"/>
      <c r="BE2702" s="152"/>
      <c r="BF2702" s="152"/>
      <c r="BG2702" s="152"/>
      <c r="BH2702" s="152"/>
      <c r="BI2702" s="153"/>
      <c r="BJ2702" s="153"/>
      <c r="BK2702" s="153"/>
      <c r="BL2702" s="153"/>
      <c r="BM2702" s="153"/>
      <c r="BN2702" s="153"/>
      <c r="BO2702" s="153"/>
      <c r="BP2702" s="153"/>
      <c r="BQ2702" s="153"/>
      <c r="BR2702" s="153"/>
      <c r="BS2702" s="153"/>
      <c r="BT2702" s="153"/>
      <c r="BU2702" s="153"/>
      <c r="BV2702" s="153"/>
      <c r="BW2702" s="153"/>
      <c r="BX2702" s="153"/>
      <c r="BY2702" s="153"/>
      <c r="BZ2702" s="153"/>
      <c r="CA2702" s="152"/>
      <c r="CB2702" s="486" t="s">
        <v>640</v>
      </c>
    </row>
    <row r="2703" spans="1:80" s="87" customFormat="1" x14ac:dyDescent="0.2">
      <c r="A2703" s="152"/>
      <c r="B2703" s="683"/>
      <c r="C2703" s="683"/>
      <c r="D2703" s="698"/>
      <c r="E2703" s="215"/>
      <c r="F2703" s="215"/>
      <c r="G2703" s="153"/>
      <c r="H2703" s="153"/>
      <c r="I2703" s="153"/>
      <c r="J2703" s="153"/>
      <c r="K2703" s="153"/>
      <c r="L2703" s="653"/>
      <c r="M2703" s="663">
        <v>31574</v>
      </c>
      <c r="N2703" s="600">
        <v>2.3811</v>
      </c>
      <c r="O2703" s="604">
        <v>2.7772000000000002E-2</v>
      </c>
      <c r="P2703" s="150"/>
      <c r="Q2703" s="250"/>
      <c r="R2703" s="250"/>
      <c r="S2703" s="250"/>
      <c r="T2703" s="250"/>
      <c r="U2703" s="250"/>
      <c r="V2703" s="250"/>
      <c r="W2703" s="250"/>
      <c r="X2703" s="250"/>
      <c r="Y2703" s="250"/>
      <c r="Z2703" s="150"/>
      <c r="AA2703" s="150">
        <v>1.17</v>
      </c>
      <c r="AB2703" s="152"/>
      <c r="AC2703" s="152"/>
      <c r="AD2703" s="223"/>
      <c r="AE2703" s="223"/>
      <c r="AF2703" s="223"/>
      <c r="AG2703" s="223"/>
      <c r="AH2703" s="341"/>
      <c r="AI2703" s="218"/>
      <c r="AJ2703" s="218"/>
      <c r="AK2703" s="153"/>
      <c r="AL2703" s="152"/>
      <c r="AM2703" s="152"/>
      <c r="AN2703" s="152"/>
      <c r="AO2703" s="152"/>
      <c r="AP2703" s="152"/>
      <c r="AQ2703" s="152"/>
      <c r="AR2703" s="152"/>
      <c r="AS2703" s="152"/>
      <c r="AT2703" s="152"/>
      <c r="AU2703" s="153"/>
      <c r="AV2703" s="479"/>
      <c r="AW2703" s="479"/>
      <c r="AX2703" s="442"/>
      <c r="AY2703" s="153"/>
      <c r="AZ2703" s="152"/>
      <c r="BA2703" s="152"/>
      <c r="BB2703" s="152"/>
      <c r="BC2703" s="152"/>
      <c r="BD2703" s="152"/>
      <c r="BE2703" s="152"/>
      <c r="BF2703" s="152"/>
      <c r="BG2703" s="152"/>
      <c r="BH2703" s="152"/>
      <c r="BI2703" s="153"/>
      <c r="BJ2703" s="153"/>
      <c r="BK2703" s="153"/>
      <c r="BL2703" s="153"/>
      <c r="BM2703" s="153"/>
      <c r="BN2703" s="153"/>
      <c r="BO2703" s="153"/>
      <c r="BP2703" s="153"/>
      <c r="BQ2703" s="153"/>
      <c r="BR2703" s="153"/>
      <c r="BS2703" s="153"/>
      <c r="BT2703" s="153"/>
      <c r="BU2703" s="153"/>
      <c r="BV2703" s="153"/>
      <c r="BW2703" s="153"/>
      <c r="BX2703" s="153"/>
      <c r="BY2703" s="153"/>
      <c r="BZ2703" s="153"/>
      <c r="CA2703" s="152"/>
      <c r="CB2703" s="152"/>
    </row>
    <row r="2704" spans="1:80" s="87" customFormat="1" x14ac:dyDescent="0.2">
      <c r="A2704" s="152"/>
      <c r="B2704" s="683"/>
      <c r="C2704" s="683"/>
      <c r="D2704" s="698"/>
      <c r="E2704" s="215"/>
      <c r="F2704" s="215"/>
      <c r="G2704" s="153"/>
      <c r="H2704" s="153"/>
      <c r="I2704" s="153"/>
      <c r="J2704" s="153"/>
      <c r="K2704" s="153"/>
      <c r="L2704" s="653"/>
      <c r="M2704" s="663">
        <v>32261</v>
      </c>
      <c r="N2704" s="600">
        <v>4.6432799999999999</v>
      </c>
      <c r="O2704" s="604">
        <v>9.0050000000000009E-3</v>
      </c>
      <c r="P2704" s="150"/>
      <c r="Q2704" s="250"/>
      <c r="R2704" s="250"/>
      <c r="S2704" s="250"/>
      <c r="T2704" s="250"/>
      <c r="U2704" s="250"/>
      <c r="V2704" s="250"/>
      <c r="W2704" s="250"/>
      <c r="X2704" s="250"/>
      <c r="Y2704" s="250"/>
      <c r="Z2704" s="150"/>
      <c r="AA2704" s="150">
        <v>1.04</v>
      </c>
      <c r="AB2704" s="152"/>
      <c r="AC2704" s="152"/>
      <c r="AD2704" s="223">
        <v>12.130642</v>
      </c>
      <c r="AE2704" s="223">
        <v>0.55471780000000004</v>
      </c>
      <c r="AF2704" s="223">
        <v>6.7255256000000001</v>
      </c>
      <c r="AG2704" s="223">
        <v>0.65225060000000001</v>
      </c>
      <c r="AH2704" s="341"/>
      <c r="AI2704" s="218"/>
      <c r="AJ2704" s="218"/>
      <c r="AK2704" s="153"/>
      <c r="AL2704" s="152"/>
      <c r="AM2704" s="152"/>
      <c r="AN2704" s="152"/>
      <c r="AO2704" s="152"/>
      <c r="AP2704" s="152"/>
      <c r="AQ2704" s="152"/>
      <c r="AR2704" s="152"/>
      <c r="AS2704" s="152"/>
      <c r="AT2704" s="152"/>
      <c r="AU2704" s="153"/>
      <c r="AV2704" s="479"/>
      <c r="AW2704" s="479"/>
      <c r="AX2704" s="442"/>
      <c r="AY2704" s="153"/>
      <c r="AZ2704" s="152"/>
      <c r="BA2704" s="152"/>
      <c r="BB2704" s="152"/>
      <c r="BC2704" s="152"/>
      <c r="BD2704" s="152"/>
      <c r="BE2704" s="152"/>
      <c r="BF2704" s="152"/>
      <c r="BG2704" s="152"/>
      <c r="BH2704" s="152"/>
      <c r="BI2704" s="153"/>
      <c r="BJ2704" s="153"/>
      <c r="BK2704" s="153"/>
      <c r="BL2704" s="153"/>
      <c r="BM2704" s="153"/>
      <c r="BN2704" s="153"/>
      <c r="BO2704" s="153"/>
      <c r="BP2704" s="153"/>
      <c r="BQ2704" s="153"/>
      <c r="BR2704" s="153"/>
      <c r="BS2704" s="153"/>
      <c r="BT2704" s="153"/>
      <c r="BU2704" s="153"/>
      <c r="BV2704" s="153"/>
      <c r="BW2704" s="153"/>
      <c r="BX2704" s="153"/>
      <c r="BY2704" s="153"/>
      <c r="BZ2704" s="153"/>
      <c r="CA2704" s="152"/>
      <c r="CB2704" s="152"/>
    </row>
    <row r="2705" spans="1:80" s="87" customFormat="1" x14ac:dyDescent="0.2">
      <c r="A2705" s="152"/>
      <c r="B2705" s="683"/>
      <c r="C2705" s="683"/>
      <c r="D2705" s="698"/>
      <c r="E2705" s="215"/>
      <c r="F2705" s="215"/>
      <c r="G2705" s="153"/>
      <c r="H2705" s="153"/>
      <c r="I2705" s="153"/>
      <c r="J2705" s="153"/>
      <c r="K2705" s="153"/>
      <c r="L2705" s="653"/>
      <c r="M2705" s="663">
        <v>32266</v>
      </c>
      <c r="N2705" s="600">
        <v>4.5583400000000003</v>
      </c>
      <c r="O2705" s="604">
        <v>7.4791999999999997E-2</v>
      </c>
      <c r="P2705" s="150"/>
      <c r="Q2705" s="250"/>
      <c r="R2705" s="250"/>
      <c r="S2705" s="250"/>
      <c r="T2705" s="250"/>
      <c r="U2705" s="250"/>
      <c r="V2705" s="250"/>
      <c r="W2705" s="250"/>
      <c r="X2705" s="250"/>
      <c r="Y2705" s="250"/>
      <c r="Z2705" s="150"/>
      <c r="AA2705" s="150">
        <v>0.46</v>
      </c>
      <c r="AB2705" s="152"/>
      <c r="AC2705" s="152"/>
      <c r="AD2705" s="223">
        <v>11.338188000000001</v>
      </c>
      <c r="AE2705" s="223">
        <v>0.55776570000000003</v>
      </c>
      <c r="AF2705" s="223">
        <v>6.3353707999999997</v>
      </c>
      <c r="AG2705" s="223">
        <v>0.60348420000000003</v>
      </c>
      <c r="AH2705" s="341"/>
      <c r="AI2705" s="218"/>
      <c r="AJ2705" s="218"/>
      <c r="AK2705" s="153"/>
      <c r="AL2705" s="152"/>
      <c r="AM2705" s="152"/>
      <c r="AN2705" s="152"/>
      <c r="AO2705" s="152"/>
      <c r="AP2705" s="152"/>
      <c r="AQ2705" s="152"/>
      <c r="AR2705" s="152"/>
      <c r="AS2705" s="152"/>
      <c r="AT2705" s="152"/>
      <c r="AU2705" s="153"/>
      <c r="AV2705" s="479"/>
      <c r="AW2705" s="479"/>
      <c r="AX2705" s="442"/>
      <c r="AY2705" s="153"/>
      <c r="AZ2705" s="152"/>
      <c r="BA2705" s="152"/>
      <c r="BB2705" s="152"/>
      <c r="BC2705" s="152"/>
      <c r="BD2705" s="152"/>
      <c r="BE2705" s="152"/>
      <c r="BF2705" s="152"/>
      <c r="BG2705" s="152"/>
      <c r="BH2705" s="152"/>
      <c r="BI2705" s="153"/>
      <c r="BJ2705" s="153"/>
      <c r="BK2705" s="153"/>
      <c r="BL2705" s="153"/>
      <c r="BM2705" s="153"/>
      <c r="BN2705" s="153"/>
      <c r="BO2705" s="153"/>
      <c r="BP2705" s="153"/>
      <c r="BQ2705" s="153"/>
      <c r="BR2705" s="153"/>
      <c r="BS2705" s="153"/>
      <c r="BT2705" s="153"/>
      <c r="BU2705" s="153"/>
      <c r="BV2705" s="153"/>
      <c r="BW2705" s="153"/>
      <c r="BX2705" s="153"/>
      <c r="BY2705" s="153"/>
      <c r="BZ2705" s="153"/>
      <c r="CA2705" s="152"/>
      <c r="CB2705" s="152"/>
    </row>
    <row r="2706" spans="1:80" s="87" customFormat="1" x14ac:dyDescent="0.2">
      <c r="A2706" s="152"/>
      <c r="B2706" s="683"/>
      <c r="C2706" s="683"/>
      <c r="D2706" s="698"/>
      <c r="E2706" s="215"/>
      <c r="F2706" s="215"/>
      <c r="G2706" s="153"/>
      <c r="H2706" s="153"/>
      <c r="I2706" s="153"/>
      <c r="J2706" s="153"/>
      <c r="K2706" s="153"/>
      <c r="L2706" s="653"/>
      <c r="M2706" s="663">
        <v>32287</v>
      </c>
      <c r="N2706" s="600">
        <v>4.0204000000000004</v>
      </c>
      <c r="O2706" s="604">
        <v>1.15E-4</v>
      </c>
      <c r="P2706" s="150"/>
      <c r="Q2706" s="250"/>
      <c r="R2706" s="250"/>
      <c r="S2706" s="250"/>
      <c r="T2706" s="250"/>
      <c r="U2706" s="250"/>
      <c r="V2706" s="250"/>
      <c r="W2706" s="250"/>
      <c r="X2706" s="250"/>
      <c r="Y2706" s="250"/>
      <c r="Z2706" s="150"/>
      <c r="AA2706" s="150">
        <v>0.72</v>
      </c>
      <c r="AB2706" s="152"/>
      <c r="AC2706" s="152"/>
      <c r="AD2706" s="223"/>
      <c r="AE2706" s="223"/>
      <c r="AF2706" s="223"/>
      <c r="AG2706" s="223"/>
      <c r="AH2706" s="341"/>
      <c r="AI2706" s="218"/>
      <c r="AJ2706" s="218"/>
      <c r="AK2706" s="153"/>
      <c r="AL2706" s="152"/>
      <c r="AM2706" s="152"/>
      <c r="AN2706" s="152"/>
      <c r="AO2706" s="152"/>
      <c r="AP2706" s="152"/>
      <c r="AQ2706" s="152"/>
      <c r="AR2706" s="152"/>
      <c r="AS2706" s="152"/>
      <c r="AT2706" s="152"/>
      <c r="AU2706" s="153"/>
      <c r="AV2706" s="479"/>
      <c r="AW2706" s="479"/>
      <c r="AX2706" s="442"/>
      <c r="AY2706" s="153"/>
      <c r="AZ2706" s="152"/>
      <c r="BA2706" s="152"/>
      <c r="BB2706" s="152"/>
      <c r="BC2706" s="152"/>
      <c r="BD2706" s="152"/>
      <c r="BE2706" s="152"/>
      <c r="BF2706" s="152"/>
      <c r="BG2706" s="152"/>
      <c r="BH2706" s="152"/>
      <c r="BI2706" s="153"/>
      <c r="BJ2706" s="153"/>
      <c r="BK2706" s="153"/>
      <c r="BL2706" s="153"/>
      <c r="BM2706" s="153"/>
      <c r="BN2706" s="153"/>
      <c r="BO2706" s="153"/>
      <c r="BP2706" s="153"/>
      <c r="BQ2706" s="153"/>
      <c r="BR2706" s="153"/>
      <c r="BS2706" s="153"/>
      <c r="BT2706" s="153"/>
      <c r="BU2706" s="153"/>
      <c r="BV2706" s="153"/>
      <c r="BW2706" s="153"/>
      <c r="BX2706" s="153"/>
      <c r="BY2706" s="153"/>
      <c r="BZ2706" s="153"/>
      <c r="CA2706" s="152"/>
      <c r="CB2706" s="152"/>
    </row>
    <row r="2707" spans="1:80" s="87" customFormat="1" x14ac:dyDescent="0.2">
      <c r="A2707" s="152"/>
      <c r="B2707" s="683"/>
      <c r="C2707" s="683"/>
      <c r="D2707" s="698"/>
      <c r="E2707" s="215"/>
      <c r="F2707" s="215"/>
      <c r="G2707" s="153"/>
      <c r="H2707" s="153"/>
      <c r="I2707" s="153"/>
      <c r="J2707" s="153"/>
      <c r="K2707" s="153"/>
      <c r="L2707" s="653"/>
      <c r="M2707" s="663">
        <v>32616</v>
      </c>
      <c r="N2707" s="600">
        <v>12.882300000000001</v>
      </c>
      <c r="O2707" s="604">
        <v>1.5533999999999999E-2</v>
      </c>
      <c r="P2707" s="150"/>
      <c r="Q2707" s="250"/>
      <c r="R2707" s="250"/>
      <c r="S2707" s="250"/>
      <c r="T2707" s="250"/>
      <c r="U2707" s="250"/>
      <c r="V2707" s="250"/>
      <c r="W2707" s="250"/>
      <c r="X2707" s="250"/>
      <c r="Y2707" s="250"/>
      <c r="Z2707" s="150"/>
      <c r="AA2707" s="150">
        <v>4.49</v>
      </c>
      <c r="AB2707" s="152"/>
      <c r="AC2707" s="152"/>
      <c r="AD2707" s="223">
        <v>11.490583000000001</v>
      </c>
      <c r="AE2707" s="223">
        <v>1.066765</v>
      </c>
      <c r="AF2707" s="223">
        <v>12.2712974</v>
      </c>
      <c r="AG2707" s="223">
        <v>1.0789565999999999</v>
      </c>
      <c r="AH2707" s="341"/>
      <c r="AI2707" s="218"/>
      <c r="AJ2707" s="218"/>
      <c r="AK2707" s="153"/>
      <c r="AL2707" s="152"/>
      <c r="AM2707" s="152"/>
      <c r="AN2707" s="152"/>
      <c r="AO2707" s="152"/>
      <c r="AP2707" s="152"/>
      <c r="AQ2707" s="152"/>
      <c r="AR2707" s="152"/>
      <c r="AS2707" s="152"/>
      <c r="AT2707" s="152"/>
      <c r="AU2707" s="153"/>
      <c r="AV2707" s="479"/>
      <c r="AW2707" s="479"/>
      <c r="AX2707" s="442"/>
      <c r="AY2707" s="153"/>
      <c r="AZ2707" s="152"/>
      <c r="BA2707" s="152"/>
      <c r="BB2707" s="152"/>
      <c r="BC2707" s="152"/>
      <c r="BD2707" s="152"/>
      <c r="BE2707" s="152"/>
      <c r="BF2707" s="152"/>
      <c r="BG2707" s="152"/>
      <c r="BH2707" s="152"/>
      <c r="BI2707" s="153"/>
      <c r="BJ2707" s="153"/>
      <c r="BK2707" s="153"/>
      <c r="BL2707" s="153"/>
      <c r="BM2707" s="153"/>
      <c r="BN2707" s="153"/>
      <c r="BO2707" s="153"/>
      <c r="BP2707" s="153"/>
      <c r="BQ2707" s="153"/>
      <c r="BR2707" s="153"/>
      <c r="BS2707" s="153"/>
      <c r="BT2707" s="153"/>
      <c r="BU2707" s="153"/>
      <c r="BV2707" s="153"/>
      <c r="BW2707" s="153"/>
      <c r="BX2707" s="153"/>
      <c r="BY2707" s="153"/>
      <c r="BZ2707" s="153"/>
      <c r="CA2707" s="152"/>
      <c r="CB2707" s="152"/>
    </row>
    <row r="2708" spans="1:80" s="87" customFormat="1" x14ac:dyDescent="0.2">
      <c r="A2708" s="152"/>
      <c r="B2708" s="683"/>
      <c r="C2708" s="683"/>
      <c r="D2708" s="698"/>
      <c r="E2708" s="215"/>
      <c r="F2708" s="215"/>
      <c r="G2708" s="153"/>
      <c r="H2708" s="153"/>
      <c r="I2708" s="153"/>
      <c r="J2708" s="153"/>
      <c r="K2708" s="153"/>
      <c r="L2708" s="653"/>
      <c r="M2708" s="663">
        <v>32653</v>
      </c>
      <c r="N2708" s="600">
        <v>6.3420500000000004</v>
      </c>
      <c r="O2708" s="604">
        <v>1.165E-3</v>
      </c>
      <c r="P2708" s="150"/>
      <c r="Q2708" s="250"/>
      <c r="R2708" s="250"/>
      <c r="S2708" s="250"/>
      <c r="T2708" s="250"/>
      <c r="U2708" s="250"/>
      <c r="V2708" s="250"/>
      <c r="W2708" s="250"/>
      <c r="X2708" s="250"/>
      <c r="Y2708" s="250"/>
      <c r="Z2708" s="150"/>
      <c r="AA2708" s="150">
        <v>1.1299999999999999</v>
      </c>
      <c r="AB2708" s="152"/>
      <c r="AC2708" s="152"/>
      <c r="AD2708" s="223"/>
      <c r="AE2708" s="223"/>
      <c r="AF2708" s="223"/>
      <c r="AG2708" s="223"/>
      <c r="AH2708" s="341"/>
      <c r="AI2708" s="218"/>
      <c r="AJ2708" s="218"/>
      <c r="AK2708" s="153"/>
      <c r="AL2708" s="152"/>
      <c r="AM2708" s="152"/>
      <c r="AN2708" s="152"/>
      <c r="AO2708" s="152"/>
      <c r="AP2708" s="152"/>
      <c r="AQ2708" s="152"/>
      <c r="AR2708" s="152"/>
      <c r="AS2708" s="152"/>
      <c r="AT2708" s="152"/>
      <c r="AU2708" s="153"/>
      <c r="AV2708" s="479"/>
      <c r="AW2708" s="479"/>
      <c r="AX2708" s="442"/>
      <c r="AY2708" s="153"/>
      <c r="AZ2708" s="152"/>
      <c r="BA2708" s="152"/>
      <c r="BB2708" s="152"/>
      <c r="BC2708" s="152"/>
      <c r="BD2708" s="152"/>
      <c r="BE2708" s="152"/>
      <c r="BF2708" s="152"/>
      <c r="BG2708" s="152"/>
      <c r="BH2708" s="152"/>
      <c r="BI2708" s="153"/>
      <c r="BJ2708" s="153"/>
      <c r="BK2708" s="153"/>
      <c r="BL2708" s="153"/>
      <c r="BM2708" s="153"/>
      <c r="BN2708" s="153"/>
      <c r="BO2708" s="153"/>
      <c r="BP2708" s="153"/>
      <c r="BQ2708" s="153"/>
      <c r="BR2708" s="153"/>
      <c r="BS2708" s="153"/>
      <c r="BT2708" s="153"/>
      <c r="BU2708" s="153"/>
      <c r="BV2708" s="153"/>
      <c r="BW2708" s="153"/>
      <c r="BX2708" s="153"/>
      <c r="BY2708" s="153"/>
      <c r="BZ2708" s="153"/>
      <c r="CA2708" s="152"/>
      <c r="CB2708" s="152"/>
    </row>
    <row r="2709" spans="1:80" s="87" customFormat="1" x14ac:dyDescent="0.2">
      <c r="A2709" s="152"/>
      <c r="B2709" s="683"/>
      <c r="C2709" s="683"/>
      <c r="D2709" s="698"/>
      <c r="E2709" s="215"/>
      <c r="F2709" s="215"/>
      <c r="G2709" s="153"/>
      <c r="H2709" s="153"/>
      <c r="I2709" s="153"/>
      <c r="J2709" s="153"/>
      <c r="K2709" s="153"/>
      <c r="L2709" s="653"/>
      <c r="M2709" s="663">
        <v>32680</v>
      </c>
      <c r="N2709" s="600">
        <v>3.8788399999999998</v>
      </c>
      <c r="O2709" s="604">
        <v>5.0379999999999999E-3</v>
      </c>
      <c r="P2709" s="150"/>
      <c r="Q2709" s="250"/>
      <c r="R2709" s="250"/>
      <c r="S2709" s="250"/>
      <c r="T2709" s="250"/>
      <c r="U2709" s="250"/>
      <c r="V2709" s="250"/>
      <c r="W2709" s="250"/>
      <c r="X2709" s="250"/>
      <c r="Y2709" s="250"/>
      <c r="Z2709" s="150"/>
      <c r="AA2709" s="150">
        <v>0.96</v>
      </c>
      <c r="AB2709" s="152"/>
      <c r="AC2709" s="152"/>
      <c r="AD2709" s="223"/>
      <c r="AE2709" s="223"/>
      <c r="AF2709" s="223"/>
      <c r="AG2709" s="223"/>
      <c r="AH2709" s="341"/>
      <c r="AI2709" s="218"/>
      <c r="AJ2709" s="218"/>
      <c r="AK2709" s="153"/>
      <c r="AL2709" s="152"/>
      <c r="AM2709" s="152"/>
      <c r="AN2709" s="152"/>
      <c r="AO2709" s="152"/>
      <c r="AP2709" s="152"/>
      <c r="AQ2709" s="152"/>
      <c r="AR2709" s="152"/>
      <c r="AS2709" s="152"/>
      <c r="AT2709" s="152"/>
      <c r="AU2709" s="153"/>
      <c r="AV2709" s="479"/>
      <c r="AW2709" s="479"/>
      <c r="AX2709" s="442"/>
      <c r="AY2709" s="153"/>
      <c r="AZ2709" s="152"/>
      <c r="BA2709" s="152"/>
      <c r="BB2709" s="152"/>
      <c r="BC2709" s="152"/>
      <c r="BD2709" s="152"/>
      <c r="BE2709" s="152"/>
      <c r="BF2709" s="152"/>
      <c r="BG2709" s="152"/>
      <c r="BH2709" s="152"/>
      <c r="BI2709" s="153"/>
      <c r="BJ2709" s="153"/>
      <c r="BK2709" s="153"/>
      <c r="BL2709" s="153"/>
      <c r="BM2709" s="153"/>
      <c r="BN2709" s="153"/>
      <c r="BO2709" s="153"/>
      <c r="BP2709" s="153"/>
      <c r="BQ2709" s="153"/>
      <c r="BR2709" s="153"/>
      <c r="BS2709" s="153"/>
      <c r="BT2709" s="153"/>
      <c r="BU2709" s="153"/>
      <c r="BV2709" s="153"/>
      <c r="BW2709" s="153"/>
      <c r="BX2709" s="153"/>
      <c r="BY2709" s="153"/>
      <c r="BZ2709" s="153"/>
      <c r="CA2709" s="152"/>
      <c r="CB2709" s="152"/>
    </row>
    <row r="2710" spans="1:80" s="87" customFormat="1" x14ac:dyDescent="0.2">
      <c r="A2710" s="152"/>
      <c r="B2710" s="683"/>
      <c r="C2710" s="683"/>
      <c r="D2710" s="698"/>
      <c r="E2710" s="215"/>
      <c r="F2710" s="215"/>
      <c r="G2710" s="153"/>
      <c r="H2710" s="153"/>
      <c r="I2710" s="153"/>
      <c r="J2710" s="153"/>
      <c r="K2710" s="153"/>
      <c r="L2710" s="653"/>
      <c r="M2710" s="663">
        <v>32997</v>
      </c>
      <c r="N2710" s="600">
        <v>6.0022900000000003</v>
      </c>
      <c r="O2710" s="604">
        <v>4.9666000000000002E-2</v>
      </c>
      <c r="P2710" s="150"/>
      <c r="Q2710" s="250"/>
      <c r="R2710" s="250"/>
      <c r="S2710" s="250"/>
      <c r="T2710" s="250"/>
      <c r="U2710" s="250"/>
      <c r="V2710" s="250"/>
      <c r="W2710" s="250"/>
      <c r="X2710" s="250"/>
      <c r="Y2710" s="250"/>
      <c r="Z2710" s="150"/>
      <c r="AA2710" s="150">
        <v>0.72</v>
      </c>
      <c r="AB2710" s="152"/>
      <c r="AC2710" s="152"/>
      <c r="AD2710" s="223">
        <v>10.972440000000001</v>
      </c>
      <c r="AE2710" s="223">
        <v>0.701017</v>
      </c>
      <c r="AF2710" s="223">
        <v>7.7009125999999997</v>
      </c>
      <c r="AG2710" s="223">
        <v>0.78026240000000002</v>
      </c>
      <c r="AH2710" s="341"/>
      <c r="AI2710" s="218"/>
      <c r="AJ2710" s="218"/>
      <c r="AK2710" s="153"/>
      <c r="AL2710" s="152"/>
      <c r="AM2710" s="152"/>
      <c r="AN2710" s="152"/>
      <c r="AO2710" s="152"/>
      <c r="AP2710" s="152"/>
      <c r="AQ2710" s="152"/>
      <c r="AR2710" s="152"/>
      <c r="AS2710" s="152"/>
      <c r="AT2710" s="152"/>
      <c r="AU2710" s="153"/>
      <c r="AV2710" s="479"/>
      <c r="AW2710" s="479"/>
      <c r="AX2710" s="442"/>
      <c r="AY2710" s="153"/>
      <c r="AZ2710" s="152"/>
      <c r="BA2710" s="152"/>
      <c r="BB2710" s="152"/>
      <c r="BC2710" s="152"/>
      <c r="BD2710" s="152"/>
      <c r="BE2710" s="152"/>
      <c r="BF2710" s="152"/>
      <c r="BG2710" s="152"/>
      <c r="BH2710" s="152"/>
      <c r="BI2710" s="153"/>
      <c r="BJ2710" s="153"/>
      <c r="BK2710" s="153"/>
      <c r="BL2710" s="153"/>
      <c r="BM2710" s="153"/>
      <c r="BN2710" s="153"/>
      <c r="BO2710" s="153"/>
      <c r="BP2710" s="153"/>
      <c r="BQ2710" s="153"/>
      <c r="BR2710" s="153"/>
      <c r="BS2710" s="153"/>
      <c r="BT2710" s="153"/>
      <c r="BU2710" s="153"/>
      <c r="BV2710" s="153"/>
      <c r="BW2710" s="153"/>
      <c r="BX2710" s="153"/>
      <c r="BY2710" s="153"/>
      <c r="BZ2710" s="153"/>
      <c r="CA2710" s="152"/>
      <c r="CB2710" s="152"/>
    </row>
    <row r="2711" spans="1:80" s="87" customFormat="1" x14ac:dyDescent="0.2">
      <c r="A2711" s="152"/>
      <c r="B2711" s="683"/>
      <c r="C2711" s="683"/>
      <c r="D2711" s="698"/>
      <c r="E2711" s="215"/>
      <c r="F2711" s="215"/>
      <c r="G2711" s="153"/>
      <c r="H2711" s="153"/>
      <c r="I2711" s="153"/>
      <c r="J2711" s="153"/>
      <c r="K2711" s="153"/>
      <c r="L2711" s="653"/>
      <c r="M2711" s="663">
        <v>33694</v>
      </c>
      <c r="N2711" s="600">
        <v>2.7718099999999999</v>
      </c>
      <c r="O2711" s="604">
        <v>1.9629999999999999E-3</v>
      </c>
      <c r="P2711" s="150"/>
      <c r="Q2711" s="250"/>
      <c r="R2711" s="250"/>
      <c r="S2711" s="250"/>
      <c r="T2711" s="250"/>
      <c r="U2711" s="250"/>
      <c r="V2711" s="250"/>
      <c r="W2711" s="250"/>
      <c r="X2711" s="250"/>
      <c r="Y2711" s="250"/>
      <c r="Z2711" s="150"/>
      <c r="AA2711" s="150">
        <v>0.99</v>
      </c>
      <c r="AB2711" s="152"/>
      <c r="AC2711" s="152"/>
      <c r="AD2711" s="223">
        <v>11.886810000000001</v>
      </c>
      <c r="AE2711" s="223">
        <v>0.42975390000000002</v>
      </c>
      <c r="AF2711" s="223">
        <v>5.0998805999999997</v>
      </c>
      <c r="AG2711" s="223">
        <v>0.53033459999999999</v>
      </c>
      <c r="AH2711" s="341"/>
      <c r="AI2711" s="218"/>
      <c r="AJ2711" s="218"/>
      <c r="AK2711" s="153"/>
      <c r="AL2711" s="152"/>
      <c r="AM2711" s="152"/>
      <c r="AN2711" s="152"/>
      <c r="AO2711" s="152"/>
      <c r="AP2711" s="152"/>
      <c r="AQ2711" s="152"/>
      <c r="AR2711" s="152"/>
      <c r="AS2711" s="152"/>
      <c r="AT2711" s="152"/>
      <c r="AU2711" s="153"/>
      <c r="AV2711" s="479"/>
      <c r="AW2711" s="479"/>
      <c r="AX2711" s="442"/>
      <c r="AY2711" s="153"/>
      <c r="AZ2711" s="152"/>
      <c r="BA2711" s="152"/>
      <c r="BB2711" s="152"/>
      <c r="BC2711" s="152"/>
      <c r="BD2711" s="152"/>
      <c r="BE2711" s="152"/>
      <c r="BF2711" s="152"/>
      <c r="BG2711" s="152"/>
      <c r="BH2711" s="152"/>
      <c r="BI2711" s="153"/>
      <c r="BJ2711" s="153"/>
      <c r="BK2711" s="153"/>
      <c r="BL2711" s="153"/>
      <c r="BM2711" s="153"/>
      <c r="BN2711" s="153"/>
      <c r="BO2711" s="153"/>
      <c r="BP2711" s="153"/>
      <c r="BQ2711" s="153"/>
      <c r="BR2711" s="153"/>
      <c r="BS2711" s="153"/>
      <c r="BT2711" s="153"/>
      <c r="BU2711" s="153"/>
      <c r="BV2711" s="153"/>
      <c r="BW2711" s="153"/>
      <c r="BX2711" s="153"/>
      <c r="BY2711" s="153"/>
      <c r="BZ2711" s="153"/>
      <c r="CA2711" s="152"/>
      <c r="CB2711" s="152"/>
    </row>
    <row r="2712" spans="1:80" s="87" customFormat="1" x14ac:dyDescent="0.2">
      <c r="A2712" s="152"/>
      <c r="B2712" s="683"/>
      <c r="C2712" s="683"/>
      <c r="D2712" s="698"/>
      <c r="E2712" s="215"/>
      <c r="F2712" s="215"/>
      <c r="G2712" s="153"/>
      <c r="H2712" s="153"/>
      <c r="I2712" s="153"/>
      <c r="J2712" s="153"/>
      <c r="K2712" s="153"/>
      <c r="L2712" s="653"/>
      <c r="M2712" s="663">
        <v>33732</v>
      </c>
      <c r="N2712" s="600">
        <v>3.85053</v>
      </c>
      <c r="O2712" s="604">
        <v>3.1500000000000001E-4</v>
      </c>
      <c r="P2712" s="150"/>
      <c r="Q2712" s="250"/>
      <c r="R2712" s="250"/>
      <c r="S2712" s="250"/>
      <c r="T2712" s="250"/>
      <c r="U2712" s="250"/>
      <c r="V2712" s="250"/>
      <c r="W2712" s="250"/>
      <c r="X2712" s="250"/>
      <c r="Y2712" s="250"/>
      <c r="Z2712" s="150"/>
      <c r="AA2712" s="150">
        <v>0.63</v>
      </c>
      <c r="AB2712" s="152"/>
      <c r="AC2712" s="152"/>
      <c r="AD2712" s="223">
        <v>11.886810000000001</v>
      </c>
      <c r="AE2712" s="223">
        <v>0.51204720000000004</v>
      </c>
      <c r="AF2712" s="223">
        <v>6.0938464000000003</v>
      </c>
      <c r="AG2712" s="223">
        <v>0.63091529999999996</v>
      </c>
      <c r="AH2712" s="341"/>
      <c r="AI2712" s="218"/>
      <c r="AJ2712" s="218"/>
      <c r="AK2712" s="153"/>
      <c r="AL2712" s="152"/>
      <c r="AM2712" s="152"/>
      <c r="AN2712" s="152"/>
      <c r="AO2712" s="152"/>
      <c r="AP2712" s="152"/>
      <c r="AQ2712" s="152"/>
      <c r="AR2712" s="152"/>
      <c r="AS2712" s="152"/>
      <c r="AT2712" s="152"/>
      <c r="AU2712" s="153"/>
      <c r="AV2712" s="479"/>
      <c r="AW2712" s="479"/>
      <c r="AX2712" s="442"/>
      <c r="AY2712" s="153"/>
      <c r="AZ2712" s="152"/>
      <c r="BA2712" s="152"/>
      <c r="BB2712" s="152"/>
      <c r="BC2712" s="152"/>
      <c r="BD2712" s="152"/>
      <c r="BE2712" s="152"/>
      <c r="BF2712" s="152"/>
      <c r="BG2712" s="152"/>
      <c r="BH2712" s="152"/>
      <c r="BI2712" s="153"/>
      <c r="BJ2712" s="153"/>
      <c r="BK2712" s="153"/>
      <c r="BL2712" s="153"/>
      <c r="BM2712" s="153"/>
      <c r="BN2712" s="153"/>
      <c r="BO2712" s="153"/>
      <c r="BP2712" s="153"/>
      <c r="BQ2712" s="153"/>
      <c r="BR2712" s="153"/>
      <c r="BS2712" s="153"/>
      <c r="BT2712" s="153"/>
      <c r="BU2712" s="153"/>
      <c r="BV2712" s="153"/>
      <c r="BW2712" s="153"/>
      <c r="BX2712" s="153"/>
      <c r="BY2712" s="153"/>
      <c r="BZ2712" s="153"/>
      <c r="CA2712" s="152"/>
      <c r="CB2712" s="152"/>
    </row>
    <row r="2713" spans="1:80" s="87" customFormat="1" x14ac:dyDescent="0.2">
      <c r="A2713" s="152"/>
      <c r="B2713" s="683"/>
      <c r="C2713" s="683"/>
      <c r="D2713" s="698"/>
      <c r="E2713" s="215"/>
      <c r="F2713" s="215"/>
      <c r="G2713" s="153"/>
      <c r="H2713" s="153"/>
      <c r="I2713" s="153"/>
      <c r="J2713" s="153"/>
      <c r="K2713" s="153"/>
      <c r="L2713" s="653"/>
      <c r="M2713" s="663">
        <v>34064</v>
      </c>
      <c r="N2713" s="600">
        <v>6.5119199999999999</v>
      </c>
      <c r="O2713" s="604">
        <v>2.9910000000000002E-3</v>
      </c>
      <c r="P2713" s="150"/>
      <c r="Q2713" s="250"/>
      <c r="R2713" s="250"/>
      <c r="S2713" s="250"/>
      <c r="T2713" s="250"/>
      <c r="U2713" s="250"/>
      <c r="V2713" s="250"/>
      <c r="W2713" s="250"/>
      <c r="X2713" s="250"/>
      <c r="Y2713" s="250"/>
      <c r="Z2713" s="150"/>
      <c r="AA2713" s="150">
        <v>0.69</v>
      </c>
      <c r="AB2713" s="152"/>
      <c r="AC2713" s="152"/>
      <c r="AD2713" s="223">
        <v>10.66765</v>
      </c>
      <c r="AE2713" s="223">
        <v>0.75283129999999998</v>
      </c>
      <c r="AF2713" s="223">
        <v>8.0446203999999994</v>
      </c>
      <c r="AG2713" s="223">
        <v>0.80464559999999996</v>
      </c>
      <c r="AH2713" s="341"/>
      <c r="AI2713" s="218"/>
      <c r="AJ2713" s="218"/>
      <c r="AK2713" s="153"/>
      <c r="AL2713" s="152"/>
      <c r="AM2713" s="152"/>
      <c r="AN2713" s="152"/>
      <c r="AO2713" s="152"/>
      <c r="AP2713" s="152"/>
      <c r="AQ2713" s="152"/>
      <c r="AR2713" s="152"/>
      <c r="AS2713" s="152"/>
      <c r="AT2713" s="152"/>
      <c r="AU2713" s="153"/>
      <c r="AV2713" s="479"/>
      <c r="AW2713" s="479"/>
      <c r="AX2713" s="442"/>
      <c r="AY2713" s="153"/>
      <c r="AZ2713" s="152"/>
      <c r="BA2713" s="152"/>
      <c r="BB2713" s="152"/>
      <c r="BC2713" s="152"/>
      <c r="BD2713" s="152"/>
      <c r="BE2713" s="152"/>
      <c r="BF2713" s="152"/>
      <c r="BG2713" s="152"/>
      <c r="BH2713" s="152"/>
      <c r="BI2713" s="153"/>
      <c r="BJ2713" s="153"/>
      <c r="BK2713" s="153"/>
      <c r="BL2713" s="153"/>
      <c r="BM2713" s="153"/>
      <c r="BN2713" s="153"/>
      <c r="BO2713" s="153"/>
      <c r="BP2713" s="153"/>
      <c r="BQ2713" s="153"/>
      <c r="BR2713" s="153"/>
      <c r="BS2713" s="153"/>
      <c r="BT2713" s="153"/>
      <c r="BU2713" s="153"/>
      <c r="BV2713" s="153"/>
      <c r="BW2713" s="153"/>
      <c r="BX2713" s="153"/>
      <c r="BY2713" s="153"/>
      <c r="BZ2713" s="153"/>
      <c r="CA2713" s="152"/>
      <c r="CB2713" s="152"/>
    </row>
    <row r="2714" spans="1:80" s="87" customFormat="1" x14ac:dyDescent="0.2">
      <c r="A2714" s="152"/>
      <c r="B2714" s="683"/>
      <c r="C2714" s="683"/>
      <c r="D2714" s="698"/>
      <c r="E2714" s="215"/>
      <c r="F2714" s="215"/>
      <c r="G2714" s="153"/>
      <c r="H2714" s="153"/>
      <c r="I2714" s="153"/>
      <c r="J2714" s="153"/>
      <c r="K2714" s="153"/>
      <c r="L2714" s="653"/>
      <c r="M2714" s="663">
        <v>34079</v>
      </c>
      <c r="N2714" s="600">
        <v>5.0396599999999996</v>
      </c>
      <c r="O2714" s="604">
        <v>4.4099999999999999E-4</v>
      </c>
      <c r="P2714" s="150"/>
      <c r="Q2714" s="250"/>
      <c r="R2714" s="250"/>
      <c r="S2714" s="250"/>
      <c r="T2714" s="250"/>
      <c r="U2714" s="250"/>
      <c r="V2714" s="250"/>
      <c r="W2714" s="250"/>
      <c r="X2714" s="250"/>
      <c r="Y2714" s="250"/>
      <c r="Z2714" s="150"/>
      <c r="AA2714" s="150">
        <v>0.63</v>
      </c>
      <c r="AB2714" s="152"/>
      <c r="AC2714" s="152"/>
      <c r="AD2714" s="223">
        <v>10.66765</v>
      </c>
      <c r="AE2714" s="223">
        <v>0.65529850000000001</v>
      </c>
      <c r="AF2714" s="223">
        <v>6.9763393999999996</v>
      </c>
      <c r="AG2714" s="223">
        <v>0.72235229999999995</v>
      </c>
      <c r="AH2714" s="341"/>
      <c r="AI2714" s="218"/>
      <c r="AJ2714" s="218"/>
      <c r="AK2714" s="153"/>
      <c r="AL2714" s="152"/>
      <c r="AM2714" s="152"/>
      <c r="AN2714" s="152"/>
      <c r="AO2714" s="152"/>
      <c r="AP2714" s="152"/>
      <c r="AQ2714" s="152"/>
      <c r="AR2714" s="152"/>
      <c r="AS2714" s="152"/>
      <c r="AT2714" s="152"/>
      <c r="AU2714" s="153"/>
      <c r="AV2714" s="479"/>
      <c r="AW2714" s="479"/>
      <c r="AX2714" s="442"/>
      <c r="AY2714" s="153"/>
      <c r="AZ2714" s="152"/>
      <c r="BA2714" s="152"/>
      <c r="BB2714" s="152"/>
      <c r="BC2714" s="152"/>
      <c r="BD2714" s="152"/>
      <c r="BE2714" s="152"/>
      <c r="BF2714" s="152"/>
      <c r="BG2714" s="152"/>
      <c r="BH2714" s="152"/>
      <c r="BI2714" s="153"/>
      <c r="BJ2714" s="153"/>
      <c r="BK2714" s="153"/>
      <c r="BL2714" s="153"/>
      <c r="BM2714" s="153"/>
      <c r="BN2714" s="153"/>
      <c r="BO2714" s="153"/>
      <c r="BP2714" s="153"/>
      <c r="BQ2714" s="153"/>
      <c r="BR2714" s="153"/>
      <c r="BS2714" s="153"/>
      <c r="BT2714" s="153"/>
      <c r="BU2714" s="153"/>
      <c r="BV2714" s="153"/>
      <c r="BW2714" s="153"/>
      <c r="BX2714" s="153"/>
      <c r="BY2714" s="153"/>
      <c r="BZ2714" s="153"/>
      <c r="CA2714" s="152"/>
      <c r="CB2714" s="152"/>
    </row>
    <row r="2715" spans="1:80" s="87" customFormat="1" x14ac:dyDescent="0.2">
      <c r="A2715" s="152"/>
      <c r="B2715" s="683"/>
      <c r="C2715" s="683"/>
      <c r="D2715" s="698"/>
      <c r="E2715" s="215"/>
      <c r="F2715" s="215"/>
      <c r="G2715" s="153"/>
      <c r="H2715" s="153"/>
      <c r="I2715" s="153"/>
      <c r="J2715" s="153"/>
      <c r="K2715" s="153"/>
      <c r="L2715" s="653"/>
      <c r="M2715" s="663">
        <v>34088</v>
      </c>
      <c r="N2715" s="600">
        <v>5.4360400000000002</v>
      </c>
      <c r="O2715" s="604">
        <v>9.4249999999999994E-3</v>
      </c>
      <c r="P2715" s="150"/>
      <c r="Q2715" s="250"/>
      <c r="R2715" s="250"/>
      <c r="S2715" s="250"/>
      <c r="T2715" s="250"/>
      <c r="U2715" s="250"/>
      <c r="V2715" s="250"/>
      <c r="W2715" s="250"/>
      <c r="X2715" s="250"/>
      <c r="Y2715" s="250"/>
      <c r="Z2715" s="150"/>
      <c r="AA2715" s="150">
        <v>0.68</v>
      </c>
      <c r="AB2715" s="152"/>
      <c r="AC2715" s="152"/>
      <c r="AD2715" s="223"/>
      <c r="AE2715" s="223"/>
      <c r="AF2715" s="223"/>
      <c r="AG2715" s="223"/>
      <c r="AH2715" s="341"/>
      <c r="AI2715" s="218"/>
      <c r="AJ2715" s="218"/>
      <c r="AK2715" s="153"/>
      <c r="AL2715" s="152"/>
      <c r="AM2715" s="152"/>
      <c r="AN2715" s="152"/>
      <c r="AO2715" s="152"/>
      <c r="AP2715" s="152"/>
      <c r="AQ2715" s="152"/>
      <c r="AR2715" s="152"/>
      <c r="AS2715" s="152"/>
      <c r="AT2715" s="152"/>
      <c r="AU2715" s="153"/>
      <c r="AV2715" s="479"/>
      <c r="AW2715" s="479"/>
      <c r="AX2715" s="442"/>
      <c r="AY2715" s="153"/>
      <c r="AZ2715" s="152"/>
      <c r="BA2715" s="152"/>
      <c r="BB2715" s="152"/>
      <c r="BC2715" s="152"/>
      <c r="BD2715" s="152"/>
      <c r="BE2715" s="152"/>
      <c r="BF2715" s="152"/>
      <c r="BG2715" s="152"/>
      <c r="BH2715" s="152"/>
      <c r="BI2715" s="153"/>
      <c r="BJ2715" s="153"/>
      <c r="BK2715" s="153"/>
      <c r="BL2715" s="153"/>
      <c r="BM2715" s="153"/>
      <c r="BN2715" s="153"/>
      <c r="BO2715" s="153"/>
      <c r="BP2715" s="153"/>
      <c r="BQ2715" s="153"/>
      <c r="BR2715" s="153"/>
      <c r="BS2715" s="153"/>
      <c r="BT2715" s="153"/>
      <c r="BU2715" s="153"/>
      <c r="BV2715" s="153"/>
      <c r="BW2715" s="153"/>
      <c r="BX2715" s="153"/>
      <c r="BY2715" s="153"/>
      <c r="BZ2715" s="153"/>
      <c r="CA2715" s="152"/>
      <c r="CB2715" s="152"/>
    </row>
    <row r="2716" spans="1:80" s="87" customFormat="1" x14ac:dyDescent="0.2">
      <c r="A2716" s="152"/>
      <c r="B2716" s="683"/>
      <c r="C2716" s="683"/>
      <c r="D2716" s="698"/>
      <c r="E2716" s="215"/>
      <c r="F2716" s="215"/>
      <c r="G2716" s="153"/>
      <c r="H2716" s="153"/>
      <c r="I2716" s="153"/>
      <c r="J2716" s="153"/>
      <c r="K2716" s="153"/>
      <c r="L2716" s="653"/>
      <c r="M2716" s="663">
        <v>34113</v>
      </c>
      <c r="N2716" s="600">
        <v>5.9456699999999998</v>
      </c>
      <c r="O2716" s="604">
        <v>1.469E-3</v>
      </c>
      <c r="P2716" s="150"/>
      <c r="Q2716" s="250"/>
      <c r="R2716" s="250"/>
      <c r="S2716" s="250"/>
      <c r="T2716" s="250"/>
      <c r="U2716" s="250"/>
      <c r="V2716" s="250"/>
      <c r="W2716" s="250"/>
      <c r="X2716" s="250"/>
      <c r="Y2716" s="250"/>
      <c r="Z2716" s="150"/>
      <c r="AA2716" s="150">
        <v>0.49</v>
      </c>
      <c r="AB2716" s="152"/>
      <c r="AC2716" s="152"/>
      <c r="AD2716" s="223"/>
      <c r="AE2716" s="223"/>
      <c r="AF2716" s="223"/>
      <c r="AG2716" s="223"/>
      <c r="AH2716" s="341"/>
      <c r="AI2716" s="218"/>
      <c r="AJ2716" s="218"/>
      <c r="AK2716" s="153"/>
      <c r="AL2716" s="152"/>
      <c r="AM2716" s="152"/>
      <c r="AN2716" s="152"/>
      <c r="AO2716" s="152"/>
      <c r="AP2716" s="152"/>
      <c r="AQ2716" s="152"/>
      <c r="AR2716" s="152"/>
      <c r="AS2716" s="152"/>
      <c r="AT2716" s="152"/>
      <c r="AU2716" s="153"/>
      <c r="AV2716" s="479"/>
      <c r="AW2716" s="479"/>
      <c r="AX2716" s="442"/>
      <c r="AY2716" s="153"/>
      <c r="AZ2716" s="152"/>
      <c r="BA2716" s="152"/>
      <c r="BB2716" s="152"/>
      <c r="BC2716" s="152"/>
      <c r="BD2716" s="152"/>
      <c r="BE2716" s="152"/>
      <c r="BF2716" s="152"/>
      <c r="BG2716" s="152"/>
      <c r="BH2716" s="152"/>
      <c r="BI2716" s="153"/>
      <c r="BJ2716" s="153"/>
      <c r="BK2716" s="153"/>
      <c r="BL2716" s="153"/>
      <c r="BM2716" s="153"/>
      <c r="BN2716" s="153"/>
      <c r="BO2716" s="153"/>
      <c r="BP2716" s="153"/>
      <c r="BQ2716" s="153"/>
      <c r="BR2716" s="153"/>
      <c r="BS2716" s="153"/>
      <c r="BT2716" s="153"/>
      <c r="BU2716" s="153"/>
      <c r="BV2716" s="153"/>
      <c r="BW2716" s="153"/>
      <c r="BX2716" s="153"/>
      <c r="BY2716" s="153"/>
      <c r="BZ2716" s="153"/>
      <c r="CA2716" s="152"/>
      <c r="CB2716" s="152"/>
    </row>
    <row r="2717" spans="1:80" s="87" customFormat="1" x14ac:dyDescent="0.2">
      <c r="A2717" s="152"/>
      <c r="B2717" s="683"/>
      <c r="C2717" s="683"/>
      <c r="D2717" s="698"/>
      <c r="E2717" s="215"/>
      <c r="F2717" s="215"/>
      <c r="G2717" s="153"/>
      <c r="H2717" s="153"/>
      <c r="I2717" s="153"/>
      <c r="J2717" s="153"/>
      <c r="K2717" s="153"/>
      <c r="L2717" s="653"/>
      <c r="M2717" s="663">
        <v>34141</v>
      </c>
      <c r="N2717" s="600">
        <v>2.8595799999999998</v>
      </c>
      <c r="O2717" s="604">
        <v>4.4099999999999999E-4</v>
      </c>
      <c r="P2717" s="150"/>
      <c r="Q2717" s="250"/>
      <c r="R2717" s="250"/>
      <c r="S2717" s="250"/>
      <c r="T2717" s="250"/>
      <c r="U2717" s="250"/>
      <c r="V2717" s="250"/>
      <c r="W2717" s="250"/>
      <c r="X2717" s="250"/>
      <c r="Y2717" s="250"/>
      <c r="Z2717" s="150"/>
      <c r="AA2717" s="150">
        <v>0.55000000000000004</v>
      </c>
      <c r="AB2717" s="152"/>
      <c r="AC2717" s="152"/>
      <c r="AD2717" s="223">
        <v>10.66765</v>
      </c>
      <c r="AE2717" s="223">
        <v>0.47242450000000002</v>
      </c>
      <c r="AF2717" s="223">
        <v>5.0255653999999996</v>
      </c>
      <c r="AG2717" s="223">
        <v>0.5699573</v>
      </c>
      <c r="AH2717" s="341"/>
      <c r="AI2717" s="218"/>
      <c r="AJ2717" s="218"/>
      <c r="AK2717" s="153"/>
      <c r="AL2717" s="152"/>
      <c r="AM2717" s="152"/>
      <c r="AN2717" s="152"/>
      <c r="AO2717" s="152"/>
      <c r="AP2717" s="152"/>
      <c r="AQ2717" s="152"/>
      <c r="AR2717" s="152"/>
      <c r="AS2717" s="152"/>
      <c r="AT2717" s="152"/>
      <c r="AU2717" s="153"/>
      <c r="AV2717" s="479"/>
      <c r="AW2717" s="479"/>
      <c r="AX2717" s="442"/>
      <c r="AY2717" s="153"/>
      <c r="AZ2717" s="152"/>
      <c r="BA2717" s="152"/>
      <c r="BB2717" s="152"/>
      <c r="BC2717" s="152"/>
      <c r="BD2717" s="152"/>
      <c r="BE2717" s="152"/>
      <c r="BF2717" s="152"/>
      <c r="BG2717" s="152"/>
      <c r="BH2717" s="152"/>
      <c r="BI2717" s="153"/>
      <c r="BJ2717" s="153"/>
      <c r="BK2717" s="153"/>
      <c r="BL2717" s="153"/>
      <c r="BM2717" s="153"/>
      <c r="BN2717" s="153"/>
      <c r="BO2717" s="153"/>
      <c r="BP2717" s="153"/>
      <c r="BQ2717" s="153"/>
      <c r="BR2717" s="153"/>
      <c r="BS2717" s="153"/>
      <c r="BT2717" s="153"/>
      <c r="BU2717" s="153"/>
      <c r="BV2717" s="153"/>
      <c r="BW2717" s="153"/>
      <c r="BX2717" s="153"/>
      <c r="BY2717" s="153"/>
      <c r="BZ2717" s="153"/>
      <c r="CA2717" s="152"/>
      <c r="CB2717" s="152"/>
    </row>
    <row r="2718" spans="1:80" s="87" customFormat="1" x14ac:dyDescent="0.2">
      <c r="A2718" s="152"/>
      <c r="B2718" s="683"/>
      <c r="C2718" s="683"/>
      <c r="D2718" s="698"/>
      <c r="E2718" s="215"/>
      <c r="F2718" s="215"/>
      <c r="G2718" s="153"/>
      <c r="H2718" s="153"/>
      <c r="I2718" s="153"/>
      <c r="J2718" s="153"/>
      <c r="K2718" s="153"/>
      <c r="L2718" s="653"/>
      <c r="M2718" s="663">
        <v>34148</v>
      </c>
      <c r="N2718" s="600">
        <v>2.6444100000000001</v>
      </c>
      <c r="O2718" s="604">
        <v>3.6699999999999998E-4</v>
      </c>
      <c r="P2718" s="150"/>
      <c r="Q2718" s="250"/>
      <c r="R2718" s="250"/>
      <c r="S2718" s="250"/>
      <c r="T2718" s="250"/>
      <c r="U2718" s="250"/>
      <c r="V2718" s="250"/>
      <c r="W2718" s="250"/>
      <c r="X2718" s="250"/>
      <c r="Y2718" s="250"/>
      <c r="Z2718" s="150"/>
      <c r="AA2718" s="150">
        <v>0.63</v>
      </c>
      <c r="AB2718" s="152"/>
      <c r="AC2718" s="152"/>
      <c r="AD2718" s="223"/>
      <c r="AE2718" s="223"/>
      <c r="AF2718" s="223"/>
      <c r="AG2718" s="223"/>
      <c r="AH2718" s="341"/>
      <c r="AI2718" s="218"/>
      <c r="AJ2718" s="218"/>
      <c r="AK2718" s="153"/>
      <c r="AL2718" s="152"/>
      <c r="AM2718" s="152"/>
      <c r="AN2718" s="152"/>
      <c r="AO2718" s="152"/>
      <c r="AP2718" s="152"/>
      <c r="AQ2718" s="152"/>
      <c r="AR2718" s="152"/>
      <c r="AS2718" s="152"/>
      <c r="AT2718" s="152"/>
      <c r="AU2718" s="153"/>
      <c r="AV2718" s="479"/>
      <c r="AW2718" s="479"/>
      <c r="AX2718" s="442"/>
      <c r="AY2718" s="153"/>
      <c r="AZ2718" s="152"/>
      <c r="BA2718" s="152"/>
      <c r="BB2718" s="152"/>
      <c r="BC2718" s="152"/>
      <c r="BD2718" s="152"/>
      <c r="BE2718" s="152"/>
      <c r="BF2718" s="152"/>
      <c r="BG2718" s="152"/>
      <c r="BH2718" s="152"/>
      <c r="BI2718" s="153"/>
      <c r="BJ2718" s="153"/>
      <c r="BK2718" s="153"/>
      <c r="BL2718" s="153"/>
      <c r="BM2718" s="153"/>
      <c r="BN2718" s="153"/>
      <c r="BO2718" s="153"/>
      <c r="BP2718" s="153"/>
      <c r="BQ2718" s="153"/>
      <c r="BR2718" s="153"/>
      <c r="BS2718" s="153"/>
      <c r="BT2718" s="153"/>
      <c r="BU2718" s="153"/>
      <c r="BV2718" s="153"/>
      <c r="BW2718" s="153"/>
      <c r="BX2718" s="153"/>
      <c r="BY2718" s="153"/>
      <c r="BZ2718" s="153"/>
      <c r="CA2718" s="152"/>
      <c r="CB2718" s="152"/>
    </row>
    <row r="2719" spans="1:80" s="87" customFormat="1" x14ac:dyDescent="0.2">
      <c r="A2719" s="152"/>
      <c r="B2719" s="683"/>
      <c r="C2719" s="683"/>
      <c r="D2719" s="698"/>
      <c r="E2719" s="215"/>
      <c r="F2719" s="215"/>
      <c r="G2719" s="153"/>
      <c r="H2719" s="153"/>
      <c r="I2719" s="153"/>
      <c r="J2719" s="153"/>
      <c r="K2719" s="153"/>
      <c r="L2719" s="653"/>
      <c r="M2719" s="663">
        <v>34157</v>
      </c>
      <c r="N2719" s="600">
        <v>2.4037500000000001</v>
      </c>
      <c r="O2719" s="604">
        <v>5.04E-4</v>
      </c>
      <c r="P2719" s="150"/>
      <c r="Q2719" s="250"/>
      <c r="R2719" s="250"/>
      <c r="S2719" s="250"/>
      <c r="T2719" s="250"/>
      <c r="U2719" s="250"/>
      <c r="V2719" s="250"/>
      <c r="W2719" s="250"/>
      <c r="X2719" s="250"/>
      <c r="Y2719" s="250"/>
      <c r="Z2719" s="150"/>
      <c r="AA2719" s="150">
        <v>0.59</v>
      </c>
      <c r="AB2719" s="152"/>
      <c r="AC2719" s="152"/>
      <c r="AD2719" s="223">
        <v>10.36286</v>
      </c>
      <c r="AE2719" s="223">
        <v>0.42061019999999999</v>
      </c>
      <c r="AF2719" s="223">
        <v>4.3660180000000004</v>
      </c>
      <c r="AG2719" s="223">
        <v>0.53643039999999997</v>
      </c>
      <c r="AH2719" s="341"/>
      <c r="AI2719" s="218"/>
      <c r="AJ2719" s="218"/>
      <c r="AK2719" s="153"/>
      <c r="AL2719" s="152"/>
      <c r="AM2719" s="152"/>
      <c r="AN2719" s="152"/>
      <c r="AO2719" s="152"/>
      <c r="AP2719" s="152"/>
      <c r="AQ2719" s="152"/>
      <c r="AR2719" s="152"/>
      <c r="AS2719" s="152"/>
      <c r="AT2719" s="152"/>
      <c r="AU2719" s="153"/>
      <c r="AV2719" s="479"/>
      <c r="AW2719" s="479"/>
      <c r="AX2719" s="442"/>
      <c r="AY2719" s="153"/>
      <c r="AZ2719" s="152"/>
      <c r="BA2719" s="152"/>
      <c r="BB2719" s="152"/>
      <c r="BC2719" s="152"/>
      <c r="BD2719" s="152"/>
      <c r="BE2719" s="152"/>
      <c r="BF2719" s="152"/>
      <c r="BG2719" s="152"/>
      <c r="BH2719" s="152"/>
      <c r="BI2719" s="153"/>
      <c r="BJ2719" s="153"/>
      <c r="BK2719" s="153"/>
      <c r="BL2719" s="153"/>
      <c r="BM2719" s="153"/>
      <c r="BN2719" s="153"/>
      <c r="BO2719" s="153"/>
      <c r="BP2719" s="153"/>
      <c r="BQ2719" s="153"/>
      <c r="BR2719" s="153"/>
      <c r="BS2719" s="153"/>
      <c r="BT2719" s="153"/>
      <c r="BU2719" s="153"/>
      <c r="BV2719" s="153"/>
      <c r="BW2719" s="153"/>
      <c r="BX2719" s="153"/>
      <c r="BY2719" s="153"/>
      <c r="BZ2719" s="153"/>
      <c r="CA2719" s="152"/>
      <c r="CB2719" s="152"/>
    </row>
    <row r="2720" spans="1:80" s="87" customFormat="1" x14ac:dyDescent="0.2">
      <c r="A2720" s="152"/>
      <c r="B2720" s="683"/>
      <c r="C2720" s="683"/>
      <c r="D2720" s="698"/>
      <c r="E2720" s="215"/>
      <c r="F2720" s="215"/>
      <c r="G2720" s="153"/>
      <c r="H2720" s="153"/>
      <c r="I2720" s="153"/>
      <c r="J2720" s="153"/>
      <c r="K2720" s="153"/>
      <c r="L2720" s="653"/>
      <c r="M2720" s="663">
        <v>34163</v>
      </c>
      <c r="N2720" s="600">
        <v>1.8006899999999999</v>
      </c>
      <c r="O2720" s="604">
        <v>4.2000000000000002E-4</v>
      </c>
      <c r="P2720" s="150"/>
      <c r="Q2720" s="250"/>
      <c r="R2720" s="250"/>
      <c r="S2720" s="250"/>
      <c r="T2720" s="250"/>
      <c r="U2720" s="250"/>
      <c r="V2720" s="250"/>
      <c r="W2720" s="250"/>
      <c r="X2720" s="250"/>
      <c r="Y2720" s="250"/>
      <c r="Z2720" s="150"/>
      <c r="AA2720" s="150">
        <v>0.81</v>
      </c>
      <c r="AB2720" s="152"/>
      <c r="AC2720" s="152"/>
      <c r="AD2720" s="223"/>
      <c r="AE2720" s="223"/>
      <c r="AF2720" s="223"/>
      <c r="AG2720" s="223"/>
      <c r="AH2720" s="341"/>
      <c r="AI2720" s="218"/>
      <c r="AJ2720" s="218"/>
      <c r="AK2720" s="153"/>
      <c r="AL2720" s="152"/>
      <c r="AM2720" s="152"/>
      <c r="AN2720" s="152"/>
      <c r="AO2720" s="152"/>
      <c r="AP2720" s="152"/>
      <c r="AQ2720" s="152"/>
      <c r="AR2720" s="152"/>
      <c r="AS2720" s="152"/>
      <c r="AT2720" s="152"/>
      <c r="AU2720" s="153"/>
      <c r="AV2720" s="479"/>
      <c r="AW2720" s="479"/>
      <c r="AX2720" s="442"/>
      <c r="AY2720" s="153"/>
      <c r="AZ2720" s="152"/>
      <c r="BA2720" s="152"/>
      <c r="BB2720" s="152"/>
      <c r="BC2720" s="152"/>
      <c r="BD2720" s="152"/>
      <c r="BE2720" s="152"/>
      <c r="BF2720" s="152"/>
      <c r="BG2720" s="152"/>
      <c r="BH2720" s="152"/>
      <c r="BI2720" s="153"/>
      <c r="BJ2720" s="153"/>
      <c r="BK2720" s="153"/>
      <c r="BL2720" s="153"/>
      <c r="BM2720" s="153"/>
      <c r="BN2720" s="153"/>
      <c r="BO2720" s="153"/>
      <c r="BP2720" s="153"/>
      <c r="BQ2720" s="153"/>
      <c r="BR2720" s="153"/>
      <c r="BS2720" s="153"/>
      <c r="BT2720" s="153"/>
      <c r="BU2720" s="153"/>
      <c r="BV2720" s="153"/>
      <c r="BW2720" s="153"/>
      <c r="BX2720" s="153"/>
      <c r="BY2720" s="153"/>
      <c r="BZ2720" s="153"/>
      <c r="CA2720" s="152"/>
      <c r="CB2720" s="152"/>
    </row>
    <row r="2721" spans="1:80" s="87" customFormat="1" x14ac:dyDescent="0.2">
      <c r="A2721" s="152"/>
      <c r="B2721" s="683"/>
      <c r="C2721" s="683"/>
      <c r="D2721" s="698"/>
      <c r="E2721" s="215"/>
      <c r="F2721" s="215"/>
      <c r="G2721" s="153"/>
      <c r="H2721" s="153"/>
      <c r="I2721" s="153"/>
      <c r="J2721" s="153"/>
      <c r="K2721" s="153"/>
      <c r="L2721" s="653"/>
      <c r="M2721" s="663">
        <v>34227</v>
      </c>
      <c r="N2721" s="600">
        <v>0.75878000000000001</v>
      </c>
      <c r="O2721" s="604">
        <v>1.15E-4</v>
      </c>
      <c r="P2721" s="150"/>
      <c r="Q2721" s="250"/>
      <c r="R2721" s="250"/>
      <c r="S2721" s="250"/>
      <c r="T2721" s="250"/>
      <c r="U2721" s="250"/>
      <c r="V2721" s="250"/>
      <c r="W2721" s="250"/>
      <c r="X2721" s="250"/>
      <c r="Y2721" s="250"/>
      <c r="Z2721" s="150"/>
      <c r="AA2721" s="150">
        <v>0.66</v>
      </c>
      <c r="AB2721" s="152"/>
      <c r="AC2721" s="152"/>
      <c r="AD2721" s="223"/>
      <c r="AE2721" s="223"/>
      <c r="AF2721" s="223"/>
      <c r="AG2721" s="223"/>
      <c r="AH2721" s="341"/>
      <c r="AI2721" s="218"/>
      <c r="AJ2721" s="218"/>
      <c r="AK2721" s="153"/>
      <c r="AL2721" s="152"/>
      <c r="AM2721" s="152"/>
      <c r="AN2721" s="152"/>
      <c r="AO2721" s="152"/>
      <c r="AP2721" s="152"/>
      <c r="AQ2721" s="152"/>
      <c r="AR2721" s="152"/>
      <c r="AS2721" s="152"/>
      <c r="AT2721" s="152"/>
      <c r="AU2721" s="153"/>
      <c r="AV2721" s="479"/>
      <c r="AW2721" s="479"/>
      <c r="AX2721" s="442"/>
      <c r="AY2721" s="153"/>
      <c r="AZ2721" s="152"/>
      <c r="BA2721" s="152"/>
      <c r="BB2721" s="152"/>
      <c r="BC2721" s="152"/>
      <c r="BD2721" s="152"/>
      <c r="BE2721" s="152"/>
      <c r="BF2721" s="152"/>
      <c r="BG2721" s="152"/>
      <c r="BH2721" s="152"/>
      <c r="BI2721" s="153"/>
      <c r="BJ2721" s="153"/>
      <c r="BK2721" s="153"/>
      <c r="BL2721" s="153"/>
      <c r="BM2721" s="153"/>
      <c r="BN2721" s="153"/>
      <c r="BO2721" s="153"/>
      <c r="BP2721" s="153"/>
      <c r="BQ2721" s="153"/>
      <c r="BR2721" s="153"/>
      <c r="BS2721" s="153"/>
      <c r="BT2721" s="153"/>
      <c r="BU2721" s="153"/>
      <c r="BV2721" s="153"/>
      <c r="BW2721" s="153"/>
      <c r="BX2721" s="153"/>
      <c r="BY2721" s="153"/>
      <c r="BZ2721" s="153"/>
      <c r="CA2721" s="152"/>
      <c r="CB2721" s="152"/>
    </row>
    <row r="2722" spans="1:80" s="87" customFormat="1" ht="15" x14ac:dyDescent="0.25">
      <c r="A2722" s="152"/>
      <c r="B2722" s="683"/>
      <c r="C2722" s="683"/>
      <c r="D2722" s="698"/>
      <c r="E2722" s="215"/>
      <c r="F2722" s="215"/>
      <c r="G2722" s="153"/>
      <c r="H2722" s="153"/>
      <c r="I2722" s="165">
        <v>10</v>
      </c>
      <c r="J2722" s="312">
        <v>120</v>
      </c>
      <c r="K2722" s="150">
        <v>1</v>
      </c>
      <c r="L2722" s="656">
        <v>20</v>
      </c>
      <c r="M2722" s="663">
        <v>34415</v>
      </c>
      <c r="N2722" s="600">
        <v>2.17442</v>
      </c>
      <c r="O2722" s="604">
        <v>4.64E-4</v>
      </c>
      <c r="P2722" s="150"/>
      <c r="Q2722" s="250"/>
      <c r="R2722" s="250"/>
      <c r="S2722" s="250"/>
      <c r="T2722" s="250"/>
      <c r="U2722" s="250">
        <v>2.6000000000000002E-2</v>
      </c>
      <c r="V2722" s="250">
        <v>0.30847611140463427</v>
      </c>
      <c r="W2722" s="250">
        <v>0.46172038141243354</v>
      </c>
      <c r="X2722" s="250">
        <v>0.19337308476111403</v>
      </c>
      <c r="Y2722" s="250">
        <v>1.0742949153395222E-2</v>
      </c>
      <c r="Z2722" s="150"/>
      <c r="AA2722" s="150">
        <v>0.78</v>
      </c>
      <c r="AB2722" s="152"/>
      <c r="AC2722" s="152"/>
      <c r="AD2722" s="223"/>
      <c r="AE2722" s="223"/>
      <c r="AF2722" s="223"/>
      <c r="AG2722" s="223"/>
      <c r="AH2722" s="341"/>
      <c r="AI2722" s="218"/>
      <c r="AJ2722" s="218"/>
      <c r="AK2722" s="153"/>
      <c r="AL2722" s="152"/>
      <c r="AM2722" s="152"/>
      <c r="AN2722" s="152"/>
      <c r="AO2722" s="152"/>
      <c r="AP2722" s="152"/>
      <c r="AQ2722" s="152"/>
      <c r="AR2722" s="152"/>
      <c r="AS2722" s="152"/>
      <c r="AT2722" s="152"/>
      <c r="AU2722" s="153"/>
      <c r="AV2722" s="479"/>
      <c r="AW2722" s="479"/>
      <c r="AX2722" s="442"/>
      <c r="AY2722" s="153"/>
      <c r="AZ2722" s="152"/>
      <c r="BA2722" s="152"/>
      <c r="BB2722" s="152"/>
      <c r="BC2722" s="152"/>
      <c r="BD2722" s="152"/>
      <c r="BE2722" s="152"/>
      <c r="BF2722" s="152"/>
      <c r="BG2722" s="152"/>
      <c r="BH2722" s="152"/>
      <c r="BI2722" s="153"/>
      <c r="BJ2722" s="153"/>
      <c r="BK2722" s="153"/>
      <c r="BL2722" s="153"/>
      <c r="BM2722" s="153"/>
      <c r="BN2722" s="153"/>
      <c r="BO2722" s="153"/>
      <c r="BP2722" s="153"/>
      <c r="BQ2722" s="153"/>
      <c r="BR2722" s="153"/>
      <c r="BS2722" s="153"/>
      <c r="BT2722" s="153"/>
      <c r="BU2722" s="153"/>
      <c r="BV2722" s="153"/>
      <c r="BW2722" s="153"/>
      <c r="BX2722" s="153"/>
      <c r="BY2722" s="153"/>
      <c r="BZ2722" s="153"/>
      <c r="CA2722" s="152"/>
      <c r="CB2722" s="152"/>
    </row>
    <row r="2723" spans="1:80" s="87" customFormat="1" ht="15" x14ac:dyDescent="0.25">
      <c r="A2723" s="152"/>
      <c r="B2723" s="683"/>
      <c r="C2723" s="683"/>
      <c r="D2723" s="698"/>
      <c r="E2723" s="215"/>
      <c r="F2723" s="215"/>
      <c r="G2723" s="153"/>
      <c r="H2723" s="153"/>
      <c r="I2723" s="165">
        <v>10</v>
      </c>
      <c r="J2723" s="312">
        <v>60</v>
      </c>
      <c r="K2723" s="150">
        <v>1</v>
      </c>
      <c r="L2723" s="656">
        <v>10</v>
      </c>
      <c r="M2723" s="663">
        <v>34415</v>
      </c>
      <c r="N2723" s="600">
        <v>2.17442</v>
      </c>
      <c r="O2723" s="604">
        <v>1.459E-3</v>
      </c>
      <c r="P2723" s="150"/>
      <c r="Q2723" s="250"/>
      <c r="R2723" s="250"/>
      <c r="S2723" s="250"/>
      <c r="T2723" s="250"/>
      <c r="U2723" s="250">
        <v>6.0999999999999999E-2</v>
      </c>
      <c r="V2723" s="250">
        <v>0.20730402567746672</v>
      </c>
      <c r="W2723" s="250">
        <v>0.48649857081264064</v>
      </c>
      <c r="X2723" s="250">
        <v>0.23171997508902481</v>
      </c>
      <c r="Y2723" s="250">
        <v>1.3397633457355925E-2</v>
      </c>
      <c r="Z2723" s="150"/>
      <c r="AA2723" s="150">
        <v>0.72</v>
      </c>
      <c r="AB2723" s="152"/>
      <c r="AC2723" s="152"/>
      <c r="AD2723" s="223"/>
      <c r="AE2723" s="223"/>
      <c r="AF2723" s="223"/>
      <c r="AG2723" s="223"/>
      <c r="AH2723" s="341"/>
      <c r="AI2723" s="218"/>
      <c r="AJ2723" s="218"/>
      <c r="AK2723" s="153"/>
      <c r="AL2723" s="152"/>
      <c r="AM2723" s="152"/>
      <c r="AN2723" s="152"/>
      <c r="AO2723" s="152"/>
      <c r="AP2723" s="152"/>
      <c r="AQ2723" s="152"/>
      <c r="AR2723" s="152"/>
      <c r="AS2723" s="152"/>
      <c r="AT2723" s="152"/>
      <c r="AU2723" s="153"/>
      <c r="AV2723" s="479"/>
      <c r="AW2723" s="479"/>
      <c r="AX2723" s="442"/>
      <c r="AY2723" s="153"/>
      <c r="AZ2723" s="152"/>
      <c r="BA2723" s="152"/>
      <c r="BB2723" s="152"/>
      <c r="BC2723" s="152"/>
      <c r="BD2723" s="152"/>
      <c r="BE2723" s="152"/>
      <c r="BF2723" s="152"/>
      <c r="BG2723" s="152"/>
      <c r="BH2723" s="152"/>
      <c r="BI2723" s="153"/>
      <c r="BJ2723" s="153"/>
      <c r="BK2723" s="153"/>
      <c r="BL2723" s="153"/>
      <c r="BM2723" s="153"/>
      <c r="BN2723" s="153"/>
      <c r="BO2723" s="153"/>
      <c r="BP2723" s="153"/>
      <c r="BQ2723" s="153"/>
      <c r="BR2723" s="153"/>
      <c r="BS2723" s="153"/>
      <c r="BT2723" s="153"/>
      <c r="BU2723" s="153"/>
      <c r="BV2723" s="153"/>
      <c r="BW2723" s="153"/>
      <c r="BX2723" s="153"/>
      <c r="BY2723" s="153"/>
      <c r="BZ2723" s="153"/>
      <c r="CA2723" s="152"/>
      <c r="CB2723" s="152"/>
    </row>
    <row r="2724" spans="1:80" s="87" customFormat="1" ht="15" x14ac:dyDescent="0.25">
      <c r="A2724" s="152"/>
      <c r="B2724" s="683"/>
      <c r="C2724" s="683"/>
      <c r="D2724" s="698"/>
      <c r="E2724" s="215"/>
      <c r="F2724" s="215"/>
      <c r="G2724" s="153"/>
      <c r="H2724" s="153"/>
      <c r="I2724" s="165">
        <v>10</v>
      </c>
      <c r="J2724" s="312">
        <v>60</v>
      </c>
      <c r="K2724" s="150">
        <v>2</v>
      </c>
      <c r="L2724" s="656">
        <v>20</v>
      </c>
      <c r="M2724" s="663">
        <v>34422</v>
      </c>
      <c r="N2724" s="600">
        <v>2.2027299999999999</v>
      </c>
      <c r="O2724" s="604">
        <v>1.0169999999999999E-3</v>
      </c>
      <c r="P2724" s="150"/>
      <c r="Q2724" s="250"/>
      <c r="R2724" s="250"/>
      <c r="S2724" s="250"/>
      <c r="T2724" s="250"/>
      <c r="U2724" s="250">
        <v>0.03</v>
      </c>
      <c r="V2724" s="250">
        <v>0.14261794995298058</v>
      </c>
      <c r="W2724" s="250">
        <v>0.55765040482579875</v>
      </c>
      <c r="X2724" s="250">
        <v>0.2542489506640061</v>
      </c>
      <c r="Y2724" s="250">
        <v>1.5596687997431136E-2</v>
      </c>
      <c r="Z2724" s="150"/>
      <c r="AA2724" s="150">
        <v>0.67</v>
      </c>
      <c r="AB2724" s="152"/>
      <c r="AC2724" s="152"/>
      <c r="AD2724" s="223">
        <v>10.972440000000001</v>
      </c>
      <c r="AE2724" s="223">
        <v>0.35965219999999998</v>
      </c>
      <c r="AF2724" s="223">
        <v>3.9387056</v>
      </c>
      <c r="AG2724" s="223">
        <v>0.52119090000000001</v>
      </c>
      <c r="AH2724" s="341"/>
      <c r="AI2724" s="218"/>
      <c r="AJ2724" s="218"/>
      <c r="AK2724" s="153"/>
      <c r="AL2724" s="152"/>
      <c r="AM2724" s="152"/>
      <c r="AN2724" s="152"/>
      <c r="AO2724" s="152"/>
      <c r="AP2724" s="152"/>
      <c r="AQ2724" s="152"/>
      <c r="AR2724" s="152"/>
      <c r="AS2724" s="152"/>
      <c r="AT2724" s="152"/>
      <c r="AU2724" s="153"/>
      <c r="AV2724" s="479"/>
      <c r="AW2724" s="479"/>
      <c r="AX2724" s="442"/>
      <c r="AY2724" s="153"/>
      <c r="AZ2724" s="152"/>
      <c r="BA2724" s="152"/>
      <c r="BB2724" s="152"/>
      <c r="BC2724" s="152"/>
      <c r="BD2724" s="152"/>
      <c r="BE2724" s="152"/>
      <c r="BF2724" s="152"/>
      <c r="BG2724" s="152"/>
      <c r="BH2724" s="152"/>
      <c r="BI2724" s="153"/>
      <c r="BJ2724" s="153"/>
      <c r="BK2724" s="153"/>
      <c r="BL2724" s="153"/>
      <c r="BM2724" s="153"/>
      <c r="BN2724" s="153"/>
      <c r="BO2724" s="153"/>
      <c r="BP2724" s="153"/>
      <c r="BQ2724" s="153"/>
      <c r="BR2724" s="153"/>
      <c r="BS2724" s="153"/>
      <c r="BT2724" s="153"/>
      <c r="BU2724" s="153"/>
      <c r="BV2724" s="153"/>
      <c r="BW2724" s="153"/>
      <c r="BX2724" s="153"/>
      <c r="BY2724" s="153"/>
      <c r="BZ2724" s="153"/>
      <c r="CA2724" s="152"/>
      <c r="CB2724" s="152"/>
    </row>
    <row r="2725" spans="1:80" s="87" customFormat="1" ht="15" x14ac:dyDescent="0.25">
      <c r="A2725" s="152"/>
      <c r="B2725" s="683"/>
      <c r="C2725" s="683"/>
      <c r="D2725" s="698"/>
      <c r="E2725" s="215"/>
      <c r="F2725" s="215"/>
      <c r="G2725" s="153"/>
      <c r="H2725" s="153"/>
      <c r="I2725" s="165">
        <v>10</v>
      </c>
      <c r="J2725" s="312">
        <v>60</v>
      </c>
      <c r="K2725" s="150">
        <v>3</v>
      </c>
      <c r="L2725" s="656">
        <v>30</v>
      </c>
      <c r="M2725" s="663">
        <v>34422</v>
      </c>
      <c r="N2725" s="600">
        <v>2.2027299999999999</v>
      </c>
      <c r="O2725" s="604">
        <v>3.705E-3</v>
      </c>
      <c r="P2725" s="150"/>
      <c r="Q2725" s="250"/>
      <c r="R2725" s="250"/>
      <c r="S2725" s="250"/>
      <c r="T2725" s="250"/>
      <c r="U2725" s="250">
        <v>1.3999999999999999E-2</v>
      </c>
      <c r="V2725" s="250">
        <v>0.10159698208110657</v>
      </c>
      <c r="W2725" s="250">
        <v>0.64247092109399562</v>
      </c>
      <c r="X2725" s="250">
        <v>0.23246777742848163</v>
      </c>
      <c r="Y2725" s="250">
        <v>9.7265011002829298E-3</v>
      </c>
      <c r="Z2725" s="150"/>
      <c r="AA2725" s="150">
        <v>0.66</v>
      </c>
      <c r="AB2725" s="152"/>
      <c r="AC2725" s="152"/>
      <c r="AD2725" s="223">
        <v>10.972440000000001</v>
      </c>
      <c r="AE2725" s="223">
        <v>0.35965219999999998</v>
      </c>
      <c r="AF2725" s="223">
        <v>3.9387056</v>
      </c>
      <c r="AG2725" s="223">
        <v>0.52119090000000001</v>
      </c>
      <c r="AH2725" s="341"/>
      <c r="AI2725" s="218"/>
      <c r="AJ2725" s="218"/>
      <c r="AK2725" s="153"/>
      <c r="AL2725" s="152"/>
      <c r="AM2725" s="152"/>
      <c r="AN2725" s="152"/>
      <c r="AO2725" s="152"/>
      <c r="AP2725" s="152"/>
      <c r="AQ2725" s="152"/>
      <c r="AR2725" s="152"/>
      <c r="AS2725" s="152"/>
      <c r="AT2725" s="152"/>
      <c r="AU2725" s="153"/>
      <c r="AV2725" s="479"/>
      <c r="AW2725" s="479"/>
      <c r="AX2725" s="442"/>
      <c r="AY2725" s="153"/>
      <c r="AZ2725" s="152"/>
      <c r="BA2725" s="152"/>
      <c r="BB2725" s="152"/>
      <c r="BC2725" s="152"/>
      <c r="BD2725" s="152"/>
      <c r="BE2725" s="152"/>
      <c r="BF2725" s="152"/>
      <c r="BG2725" s="152"/>
      <c r="BH2725" s="152"/>
      <c r="BI2725" s="153"/>
      <c r="BJ2725" s="153"/>
      <c r="BK2725" s="153"/>
      <c r="BL2725" s="153"/>
      <c r="BM2725" s="153"/>
      <c r="BN2725" s="153"/>
      <c r="BO2725" s="153"/>
      <c r="BP2725" s="153"/>
      <c r="BQ2725" s="153"/>
      <c r="BR2725" s="153"/>
      <c r="BS2725" s="153"/>
      <c r="BT2725" s="153"/>
      <c r="BU2725" s="153"/>
      <c r="BV2725" s="153"/>
      <c r="BW2725" s="153"/>
      <c r="BX2725" s="153"/>
      <c r="BY2725" s="153"/>
      <c r="BZ2725" s="153"/>
      <c r="CA2725" s="152"/>
      <c r="CB2725" s="152"/>
    </row>
    <row r="2726" spans="1:80" s="87" customFormat="1" ht="15" x14ac:dyDescent="0.25">
      <c r="A2726" s="152"/>
      <c r="B2726" s="683"/>
      <c r="C2726" s="683"/>
      <c r="D2726" s="698"/>
      <c r="E2726" s="215"/>
      <c r="F2726" s="215"/>
      <c r="G2726" s="153"/>
      <c r="H2726" s="153"/>
      <c r="I2726" s="165">
        <v>10</v>
      </c>
      <c r="J2726" s="312">
        <v>60</v>
      </c>
      <c r="K2726" s="150">
        <v>4</v>
      </c>
      <c r="L2726" s="656">
        <v>40</v>
      </c>
      <c r="M2726" s="663">
        <v>34425</v>
      </c>
      <c r="N2726" s="600">
        <v>2.9728300000000001</v>
      </c>
      <c r="O2726" s="604">
        <v>8.7430000000000008E-3</v>
      </c>
      <c r="P2726" s="150"/>
      <c r="Q2726" s="250"/>
      <c r="R2726" s="250"/>
      <c r="S2726" s="250">
        <v>3.7999999999999999E-2</v>
      </c>
      <c r="T2726" s="250">
        <v>9.3000000000000013E-2</v>
      </c>
      <c r="U2726" s="250">
        <v>0.19</v>
      </c>
      <c r="V2726" s="250">
        <v>0.29767257262709018</v>
      </c>
      <c r="W2726" s="250">
        <v>0.28045007358309093</v>
      </c>
      <c r="X2726" s="250">
        <v>9.5408878640045436E-2</v>
      </c>
      <c r="Y2726" s="250">
        <v>5.7360047278584413E-3</v>
      </c>
      <c r="Z2726" s="150"/>
      <c r="AA2726" s="150">
        <v>1.32</v>
      </c>
      <c r="AB2726" s="152"/>
      <c r="AC2726" s="152"/>
      <c r="AD2726" s="223"/>
      <c r="AE2726" s="223"/>
      <c r="AF2726" s="223"/>
      <c r="AG2726" s="223"/>
      <c r="AH2726" s="341"/>
      <c r="AI2726" s="218"/>
      <c r="AJ2726" s="218"/>
      <c r="AK2726" s="153"/>
      <c r="AL2726" s="152"/>
      <c r="AM2726" s="152"/>
      <c r="AN2726" s="152"/>
      <c r="AO2726" s="152"/>
      <c r="AP2726" s="152"/>
      <c r="AQ2726" s="152"/>
      <c r="AR2726" s="152"/>
      <c r="AS2726" s="152"/>
      <c r="AT2726" s="152"/>
      <c r="AU2726" s="153"/>
      <c r="AV2726" s="479"/>
      <c r="AW2726" s="479"/>
      <c r="AX2726" s="442"/>
      <c r="AY2726" s="153"/>
      <c r="AZ2726" s="152"/>
      <c r="BA2726" s="152"/>
      <c r="BB2726" s="152"/>
      <c r="BC2726" s="152"/>
      <c r="BD2726" s="152"/>
      <c r="BE2726" s="152"/>
      <c r="BF2726" s="152"/>
      <c r="BG2726" s="152"/>
      <c r="BH2726" s="152"/>
      <c r="BI2726" s="153"/>
      <c r="BJ2726" s="153"/>
      <c r="BK2726" s="153"/>
      <c r="BL2726" s="153"/>
      <c r="BM2726" s="153"/>
      <c r="BN2726" s="153"/>
      <c r="BO2726" s="153"/>
      <c r="BP2726" s="153"/>
      <c r="BQ2726" s="153"/>
      <c r="BR2726" s="153"/>
      <c r="BS2726" s="153"/>
      <c r="BT2726" s="153"/>
      <c r="BU2726" s="153"/>
      <c r="BV2726" s="153"/>
      <c r="BW2726" s="153"/>
      <c r="BX2726" s="153"/>
      <c r="BY2726" s="153"/>
      <c r="BZ2726" s="153"/>
      <c r="CA2726" s="152"/>
      <c r="CB2726" s="152"/>
    </row>
    <row r="2727" spans="1:80" s="87" customFormat="1" ht="15" x14ac:dyDescent="0.25">
      <c r="A2727" s="152"/>
      <c r="B2727" s="683"/>
      <c r="C2727" s="683"/>
      <c r="D2727" s="698"/>
      <c r="E2727" s="215"/>
      <c r="F2727" s="215"/>
      <c r="G2727" s="153"/>
      <c r="H2727" s="153"/>
      <c r="I2727" s="165">
        <v>10</v>
      </c>
      <c r="J2727" s="312">
        <v>60</v>
      </c>
      <c r="K2727" s="150">
        <v>5</v>
      </c>
      <c r="L2727" s="656">
        <v>50</v>
      </c>
      <c r="M2727" s="663">
        <v>34425</v>
      </c>
      <c r="N2727" s="600">
        <v>2.9728300000000001</v>
      </c>
      <c r="O2727" s="604">
        <v>5.8776000000000002E-2</v>
      </c>
      <c r="P2727" s="150"/>
      <c r="Q2727" s="250"/>
      <c r="R2727" s="250"/>
      <c r="S2727" s="250">
        <v>1.3000000000000001E-2</v>
      </c>
      <c r="T2727" s="250">
        <v>0.16300000000000001</v>
      </c>
      <c r="U2727" s="250">
        <v>0.38600000000000001</v>
      </c>
      <c r="V2727" s="250">
        <v>0.27689336959660699</v>
      </c>
      <c r="W2727" s="250">
        <v>0.12028904300301284</v>
      </c>
      <c r="X2727" s="250">
        <v>3.703077924372971E-2</v>
      </c>
      <c r="Y2727" s="250">
        <v>3.2921420474382236E-3</v>
      </c>
      <c r="Z2727" s="150"/>
      <c r="AA2727" s="150">
        <v>2.2400000000000002</v>
      </c>
      <c r="AB2727" s="152"/>
      <c r="AC2727" s="152"/>
      <c r="AD2727" s="223"/>
      <c r="AE2727" s="223"/>
      <c r="AF2727" s="223"/>
      <c r="AG2727" s="223"/>
      <c r="AH2727" s="341"/>
      <c r="AI2727" s="218"/>
      <c r="AJ2727" s="218"/>
      <c r="AK2727" s="153"/>
      <c r="AL2727" s="152"/>
      <c r="AM2727" s="152"/>
      <c r="AN2727" s="152"/>
      <c r="AO2727" s="152"/>
      <c r="AP2727" s="152"/>
      <c r="AQ2727" s="152"/>
      <c r="AR2727" s="152"/>
      <c r="AS2727" s="152"/>
      <c r="AT2727" s="152"/>
      <c r="AU2727" s="153"/>
      <c r="AV2727" s="479"/>
      <c r="AW2727" s="479"/>
      <c r="AX2727" s="442"/>
      <c r="AY2727" s="153"/>
      <c r="AZ2727" s="152"/>
      <c r="BA2727" s="152"/>
      <c r="BB2727" s="152"/>
      <c r="BC2727" s="152"/>
      <c r="BD2727" s="152"/>
      <c r="BE2727" s="152"/>
      <c r="BF2727" s="152"/>
      <c r="BG2727" s="152"/>
      <c r="BH2727" s="152"/>
      <c r="BI2727" s="153"/>
      <c r="BJ2727" s="153"/>
      <c r="BK2727" s="153"/>
      <c r="BL2727" s="153"/>
      <c r="BM2727" s="153"/>
      <c r="BN2727" s="153"/>
      <c r="BO2727" s="153"/>
      <c r="BP2727" s="153"/>
      <c r="BQ2727" s="153"/>
      <c r="BR2727" s="153"/>
      <c r="BS2727" s="153"/>
      <c r="BT2727" s="153"/>
      <c r="BU2727" s="153"/>
      <c r="BV2727" s="153"/>
      <c r="BW2727" s="153"/>
      <c r="BX2727" s="153"/>
      <c r="BY2727" s="153"/>
      <c r="BZ2727" s="153"/>
      <c r="CA2727" s="152"/>
      <c r="CB2727" s="152"/>
    </row>
    <row r="2728" spans="1:80" s="87" customFormat="1" ht="15" x14ac:dyDescent="0.25">
      <c r="A2728" s="152"/>
      <c r="B2728" s="683"/>
      <c r="C2728" s="683"/>
      <c r="D2728" s="698"/>
      <c r="E2728" s="215"/>
      <c r="F2728" s="215"/>
      <c r="G2728" s="153"/>
      <c r="H2728" s="153"/>
      <c r="I2728" s="165">
        <v>10</v>
      </c>
      <c r="J2728" s="312">
        <v>60</v>
      </c>
      <c r="K2728" s="150">
        <v>6</v>
      </c>
      <c r="L2728" s="656">
        <v>60</v>
      </c>
      <c r="M2728" s="663">
        <v>34429</v>
      </c>
      <c r="N2728" s="600">
        <v>4.3035300000000003</v>
      </c>
      <c r="O2728" s="604">
        <v>8.0289999999999997E-3</v>
      </c>
      <c r="P2728" s="150"/>
      <c r="Q2728" s="250"/>
      <c r="R2728" s="250"/>
      <c r="S2728" s="250"/>
      <c r="T2728" s="250"/>
      <c r="U2728" s="250">
        <v>0.03</v>
      </c>
      <c r="V2728" s="250">
        <v>0.26860429186714507</v>
      </c>
      <c r="W2728" s="250">
        <v>0.51735727933711284</v>
      </c>
      <c r="X2728" s="250">
        <v>0.17051753384748294</v>
      </c>
      <c r="Y2728" s="250">
        <v>1.3217386917561594E-2</v>
      </c>
      <c r="Z2728" s="150"/>
      <c r="AA2728" s="150">
        <v>0.76</v>
      </c>
      <c r="AB2728" s="152"/>
      <c r="AC2728" s="152"/>
      <c r="AD2728" s="223"/>
      <c r="AE2728" s="223"/>
      <c r="AF2728" s="223"/>
      <c r="AG2728" s="223"/>
      <c r="AH2728" s="341"/>
      <c r="AI2728" s="218"/>
      <c r="AJ2728" s="218"/>
      <c r="AK2728" s="153"/>
      <c r="AL2728" s="152"/>
      <c r="AM2728" s="152"/>
      <c r="AN2728" s="152"/>
      <c r="AO2728" s="152"/>
      <c r="AP2728" s="152"/>
      <c r="AQ2728" s="152"/>
      <c r="AR2728" s="152"/>
      <c r="AS2728" s="152"/>
      <c r="AT2728" s="152"/>
      <c r="AU2728" s="153"/>
      <c r="AV2728" s="479"/>
      <c r="AW2728" s="479"/>
      <c r="AX2728" s="442"/>
      <c r="AY2728" s="153"/>
      <c r="AZ2728" s="152"/>
      <c r="BA2728" s="152"/>
      <c r="BB2728" s="152"/>
      <c r="BC2728" s="152"/>
      <c r="BD2728" s="152"/>
      <c r="BE2728" s="152"/>
      <c r="BF2728" s="152"/>
      <c r="BG2728" s="152"/>
      <c r="BH2728" s="152"/>
      <c r="BI2728" s="153"/>
      <c r="BJ2728" s="153"/>
      <c r="BK2728" s="153"/>
      <c r="BL2728" s="153"/>
      <c r="BM2728" s="153"/>
      <c r="BN2728" s="153"/>
      <c r="BO2728" s="153"/>
      <c r="BP2728" s="153"/>
      <c r="BQ2728" s="153"/>
      <c r="BR2728" s="153"/>
      <c r="BS2728" s="153"/>
      <c r="BT2728" s="153"/>
      <c r="BU2728" s="153"/>
      <c r="BV2728" s="153"/>
      <c r="BW2728" s="153"/>
      <c r="BX2728" s="153"/>
      <c r="BY2728" s="153"/>
      <c r="BZ2728" s="153"/>
      <c r="CA2728" s="152"/>
      <c r="CB2728" s="152"/>
    </row>
    <row r="2729" spans="1:80" s="87" customFormat="1" ht="15" x14ac:dyDescent="0.25">
      <c r="A2729" s="152"/>
      <c r="B2729" s="683"/>
      <c r="C2729" s="683"/>
      <c r="D2729" s="698"/>
      <c r="E2729" s="215"/>
      <c r="F2729" s="215"/>
      <c r="G2729" s="153"/>
      <c r="H2729" s="153"/>
      <c r="I2729" s="165">
        <v>10</v>
      </c>
      <c r="J2729" s="312">
        <v>60</v>
      </c>
      <c r="K2729" s="150">
        <v>7</v>
      </c>
      <c r="L2729" s="656">
        <v>70</v>
      </c>
      <c r="M2729" s="663">
        <v>34429</v>
      </c>
      <c r="N2729" s="600">
        <v>4.3035300000000003</v>
      </c>
      <c r="O2729" s="604">
        <v>2.1725999999999999E-2</v>
      </c>
      <c r="P2729" s="150"/>
      <c r="Q2729" s="250"/>
      <c r="R2729" s="250"/>
      <c r="S2729" s="250"/>
      <c r="T2729" s="250">
        <v>2.3E-2</v>
      </c>
      <c r="U2729" s="250">
        <v>0.21</v>
      </c>
      <c r="V2729" s="250">
        <v>0.33618717342984489</v>
      </c>
      <c r="W2729" s="250">
        <v>0.3296226041824255</v>
      </c>
      <c r="X2729" s="250">
        <v>9.8196227205548631E-2</v>
      </c>
      <c r="Y2729" s="250">
        <v>3.8903306140973572E-3</v>
      </c>
      <c r="Z2729" s="150"/>
      <c r="AA2729" s="150">
        <v>1.1499999999999999</v>
      </c>
      <c r="AB2729" s="152"/>
      <c r="AC2729" s="152"/>
      <c r="AD2729" s="223"/>
      <c r="AE2729" s="223"/>
      <c r="AF2729" s="223"/>
      <c r="AG2729" s="223"/>
      <c r="AH2729" s="341"/>
      <c r="AI2729" s="218"/>
      <c r="AJ2729" s="218"/>
      <c r="AK2729" s="153"/>
      <c r="AL2729" s="152"/>
      <c r="AM2729" s="152"/>
      <c r="AN2729" s="152"/>
      <c r="AO2729" s="152"/>
      <c r="AP2729" s="152"/>
      <c r="AQ2729" s="152"/>
      <c r="AR2729" s="152"/>
      <c r="AS2729" s="152"/>
      <c r="AT2729" s="152"/>
      <c r="AU2729" s="153"/>
      <c r="AV2729" s="479"/>
      <c r="AW2729" s="479"/>
      <c r="AX2729" s="442"/>
      <c r="AY2729" s="153"/>
      <c r="AZ2729" s="152"/>
      <c r="BA2729" s="152"/>
      <c r="BB2729" s="152"/>
      <c r="BC2729" s="152"/>
      <c r="BD2729" s="152"/>
      <c r="BE2729" s="152"/>
      <c r="BF2729" s="152"/>
      <c r="BG2729" s="152"/>
      <c r="BH2729" s="152"/>
      <c r="BI2729" s="153"/>
      <c r="BJ2729" s="153"/>
      <c r="BK2729" s="153"/>
      <c r="BL2729" s="153"/>
      <c r="BM2729" s="153"/>
      <c r="BN2729" s="153"/>
      <c r="BO2729" s="153"/>
      <c r="BP2729" s="153"/>
      <c r="BQ2729" s="153"/>
      <c r="BR2729" s="153"/>
      <c r="BS2729" s="153"/>
      <c r="BT2729" s="153"/>
      <c r="BU2729" s="153"/>
      <c r="BV2729" s="153"/>
      <c r="BW2729" s="153"/>
      <c r="BX2729" s="153"/>
      <c r="BY2729" s="153"/>
      <c r="BZ2729" s="153"/>
      <c r="CA2729" s="152"/>
      <c r="CB2729" s="152"/>
    </row>
    <row r="2730" spans="1:80" s="87" customFormat="1" ht="15" x14ac:dyDescent="0.25">
      <c r="A2730" s="152"/>
      <c r="B2730" s="683"/>
      <c r="C2730" s="683"/>
      <c r="D2730" s="698"/>
      <c r="E2730" s="215"/>
      <c r="F2730" s="215"/>
      <c r="G2730" s="153"/>
      <c r="H2730" s="153"/>
      <c r="I2730" s="165">
        <v>10</v>
      </c>
      <c r="J2730" s="312">
        <v>60</v>
      </c>
      <c r="K2730" s="150">
        <v>8</v>
      </c>
      <c r="L2730" s="656">
        <v>80</v>
      </c>
      <c r="M2730" s="663">
        <v>34433</v>
      </c>
      <c r="N2730" s="600">
        <v>3.9920900000000001</v>
      </c>
      <c r="O2730" s="604">
        <v>3.9884000000000003E-2</v>
      </c>
      <c r="P2730" s="150"/>
      <c r="Q2730" s="250"/>
      <c r="R2730" s="250"/>
      <c r="S2730" s="250"/>
      <c r="T2730" s="250">
        <v>1.3999999999999999E-2</v>
      </c>
      <c r="U2730" s="250">
        <v>0.124</v>
      </c>
      <c r="V2730" s="250">
        <v>0.41025054966264707</v>
      </c>
      <c r="W2730" s="250">
        <v>0.37229128850574933</v>
      </c>
      <c r="X2730" s="250">
        <v>7.759782661833825E-2</v>
      </c>
      <c r="Y2730" s="250">
        <v>2.2634101496009349E-3</v>
      </c>
      <c r="Z2730" s="150"/>
      <c r="AA2730" s="150">
        <v>1.08</v>
      </c>
      <c r="AB2730" s="152"/>
      <c r="AC2730" s="152"/>
      <c r="AD2730" s="223"/>
      <c r="AE2730" s="223"/>
      <c r="AF2730" s="223"/>
      <c r="AG2730" s="223"/>
      <c r="AH2730" s="341"/>
      <c r="AI2730" s="218"/>
      <c r="AJ2730" s="218"/>
      <c r="AK2730" s="153"/>
      <c r="AL2730" s="152"/>
      <c r="AM2730" s="152"/>
      <c r="AN2730" s="152"/>
      <c r="AO2730" s="152"/>
      <c r="AP2730" s="152"/>
      <c r="AQ2730" s="152"/>
      <c r="AR2730" s="152"/>
      <c r="AS2730" s="152"/>
      <c r="AT2730" s="152"/>
      <c r="AU2730" s="153"/>
      <c r="AV2730" s="479"/>
      <c r="AW2730" s="479"/>
      <c r="AX2730" s="442"/>
      <c r="AY2730" s="153"/>
      <c r="AZ2730" s="152"/>
      <c r="BA2730" s="152"/>
      <c r="BB2730" s="152"/>
      <c r="BC2730" s="152"/>
      <c r="BD2730" s="152"/>
      <c r="BE2730" s="152"/>
      <c r="BF2730" s="152"/>
      <c r="BG2730" s="152"/>
      <c r="BH2730" s="152"/>
      <c r="BI2730" s="153"/>
      <c r="BJ2730" s="153"/>
      <c r="BK2730" s="153"/>
      <c r="BL2730" s="153"/>
      <c r="BM2730" s="153"/>
      <c r="BN2730" s="153"/>
      <c r="BO2730" s="153"/>
      <c r="BP2730" s="153"/>
      <c r="BQ2730" s="153"/>
      <c r="BR2730" s="153"/>
      <c r="BS2730" s="153"/>
      <c r="BT2730" s="153"/>
      <c r="BU2730" s="153"/>
      <c r="BV2730" s="153"/>
      <c r="BW2730" s="153"/>
      <c r="BX2730" s="153"/>
      <c r="BY2730" s="153"/>
      <c r="BZ2730" s="153"/>
      <c r="CA2730" s="152"/>
      <c r="CB2730" s="152"/>
    </row>
    <row r="2731" spans="1:80" s="87" customFormat="1" ht="15" x14ac:dyDescent="0.25">
      <c r="A2731" s="152"/>
      <c r="B2731" s="683"/>
      <c r="C2731" s="683"/>
      <c r="D2731" s="698"/>
      <c r="E2731" s="215"/>
      <c r="F2731" s="215"/>
      <c r="G2731" s="153"/>
      <c r="H2731" s="153"/>
      <c r="I2731" s="165">
        <v>10</v>
      </c>
      <c r="J2731" s="312">
        <v>60</v>
      </c>
      <c r="K2731" s="150">
        <v>9</v>
      </c>
      <c r="L2731" s="656">
        <v>90</v>
      </c>
      <c r="M2731" s="663">
        <v>34433</v>
      </c>
      <c r="N2731" s="600">
        <v>3.9920900000000001</v>
      </c>
      <c r="O2731" s="604">
        <v>2.2880999999999999E-2</v>
      </c>
      <c r="P2731" s="150"/>
      <c r="Q2731" s="250"/>
      <c r="R2731" s="250"/>
      <c r="S2731" s="250"/>
      <c r="T2731" s="250">
        <v>2.4E-2</v>
      </c>
      <c r="U2731" s="250">
        <v>0.107</v>
      </c>
      <c r="V2731" s="250">
        <v>0.28463561738224014</v>
      </c>
      <c r="W2731" s="250">
        <v>0.41294856307433409</v>
      </c>
      <c r="X2731" s="250">
        <v>0.16939225762852606</v>
      </c>
      <c r="Y2731" s="250">
        <v>2.4116234952198177E-3</v>
      </c>
      <c r="Z2731" s="150"/>
      <c r="AA2731" s="150">
        <v>0.87</v>
      </c>
      <c r="AB2731" s="152"/>
      <c r="AC2731" s="152"/>
      <c r="AD2731" s="223"/>
      <c r="AE2731" s="223"/>
      <c r="AF2731" s="223"/>
      <c r="AG2731" s="223"/>
      <c r="AH2731" s="341"/>
      <c r="AI2731" s="218"/>
      <c r="AJ2731" s="218"/>
      <c r="AK2731" s="153"/>
      <c r="AL2731" s="152"/>
      <c r="AM2731" s="152"/>
      <c r="AN2731" s="152"/>
      <c r="AO2731" s="152"/>
      <c r="AP2731" s="152"/>
      <c r="AQ2731" s="152"/>
      <c r="AR2731" s="152"/>
      <c r="AS2731" s="152"/>
      <c r="AT2731" s="152"/>
      <c r="AU2731" s="153"/>
      <c r="AV2731" s="479"/>
      <c r="AW2731" s="479"/>
      <c r="AX2731" s="442"/>
      <c r="AY2731" s="153"/>
      <c r="AZ2731" s="152"/>
      <c r="BA2731" s="152"/>
      <c r="BB2731" s="152"/>
      <c r="BC2731" s="152"/>
      <c r="BD2731" s="152"/>
      <c r="BE2731" s="152"/>
      <c r="BF2731" s="152"/>
      <c r="BG2731" s="152"/>
      <c r="BH2731" s="152"/>
      <c r="BI2731" s="153"/>
      <c r="BJ2731" s="153"/>
      <c r="BK2731" s="153"/>
      <c r="BL2731" s="153"/>
      <c r="BM2731" s="153"/>
      <c r="BN2731" s="153"/>
      <c r="BO2731" s="153"/>
      <c r="BP2731" s="153"/>
      <c r="BQ2731" s="153"/>
      <c r="BR2731" s="153"/>
      <c r="BS2731" s="153"/>
      <c r="BT2731" s="153"/>
      <c r="BU2731" s="153"/>
      <c r="BV2731" s="153"/>
      <c r="BW2731" s="153"/>
      <c r="BX2731" s="153"/>
      <c r="BY2731" s="153"/>
      <c r="BZ2731" s="153"/>
      <c r="CA2731" s="152"/>
      <c r="CB2731" s="152"/>
    </row>
    <row r="2732" spans="1:80" s="87" customFormat="1" ht="15" x14ac:dyDescent="0.25">
      <c r="A2732" s="152"/>
      <c r="B2732" s="683"/>
      <c r="C2732" s="683"/>
      <c r="D2732" s="698"/>
      <c r="E2732" s="215"/>
      <c r="F2732" s="215"/>
      <c r="G2732" s="153"/>
      <c r="H2732" s="153"/>
      <c r="I2732" s="165">
        <v>20</v>
      </c>
      <c r="J2732" s="312">
        <v>60</v>
      </c>
      <c r="K2732" s="150">
        <v>10</v>
      </c>
      <c r="L2732" s="656">
        <v>200</v>
      </c>
      <c r="M2732" s="663">
        <v>34437</v>
      </c>
      <c r="N2732" s="600">
        <v>4.9264099999999997</v>
      </c>
      <c r="O2732" s="604">
        <v>3.5270000000000002E-3</v>
      </c>
      <c r="P2732" s="150"/>
      <c r="Q2732" s="250"/>
      <c r="R2732" s="250"/>
      <c r="S2732" s="250"/>
      <c r="T2732" s="250">
        <v>1E-3</v>
      </c>
      <c r="U2732" s="250">
        <v>2.7000000000000003E-2</v>
      </c>
      <c r="V2732" s="250">
        <v>0.18246535626888272</v>
      </c>
      <c r="W2732" s="250">
        <v>0.53545824452625457</v>
      </c>
      <c r="X2732" s="250">
        <v>0.24019533969156137</v>
      </c>
      <c r="Y2732" s="250">
        <v>1.4377776342511859E-2</v>
      </c>
      <c r="Z2732" s="150"/>
      <c r="AA2732" s="150">
        <v>0.69</v>
      </c>
      <c r="AB2732" s="152"/>
      <c r="AC2732" s="152"/>
      <c r="AD2732" s="223"/>
      <c r="AE2732" s="223"/>
      <c r="AF2732" s="223"/>
      <c r="AG2732" s="223"/>
      <c r="AH2732" s="341"/>
      <c r="AI2732" s="218"/>
      <c r="AJ2732" s="218"/>
      <c r="AK2732" s="153"/>
      <c r="AL2732" s="152"/>
      <c r="AM2732" s="152"/>
      <c r="AN2732" s="152"/>
      <c r="AO2732" s="152"/>
      <c r="AP2732" s="152"/>
      <c r="AQ2732" s="152"/>
      <c r="AR2732" s="152"/>
      <c r="AS2732" s="152"/>
      <c r="AT2732" s="152"/>
      <c r="AU2732" s="153"/>
      <c r="AV2732" s="479"/>
      <c r="AW2732" s="479"/>
      <c r="AX2732" s="442"/>
      <c r="AY2732" s="153"/>
      <c r="AZ2732" s="152"/>
      <c r="BA2732" s="152"/>
      <c r="BB2732" s="152"/>
      <c r="BC2732" s="152"/>
      <c r="BD2732" s="152"/>
      <c r="BE2732" s="152"/>
      <c r="BF2732" s="152"/>
      <c r="BG2732" s="152"/>
      <c r="BH2732" s="152"/>
      <c r="BI2732" s="153"/>
      <c r="BJ2732" s="153"/>
      <c r="BK2732" s="153"/>
      <c r="BL2732" s="153"/>
      <c r="BM2732" s="153"/>
      <c r="BN2732" s="153"/>
      <c r="BO2732" s="153"/>
      <c r="BP2732" s="153"/>
      <c r="BQ2732" s="153"/>
      <c r="BR2732" s="153"/>
      <c r="BS2732" s="153"/>
      <c r="BT2732" s="153"/>
      <c r="BU2732" s="153"/>
      <c r="BV2732" s="153"/>
      <c r="BW2732" s="153"/>
      <c r="BX2732" s="153"/>
      <c r="BY2732" s="153"/>
      <c r="BZ2732" s="153"/>
      <c r="CA2732" s="152"/>
      <c r="CB2732" s="152"/>
    </row>
    <row r="2733" spans="1:80" s="87" customFormat="1" ht="15" x14ac:dyDescent="0.25">
      <c r="A2733" s="152"/>
      <c r="B2733" s="683"/>
      <c r="C2733" s="683"/>
      <c r="D2733" s="698"/>
      <c r="E2733" s="215"/>
      <c r="F2733" s="215"/>
      <c r="G2733" s="153"/>
      <c r="H2733" s="153"/>
      <c r="I2733" s="165">
        <v>20</v>
      </c>
      <c r="J2733" s="312">
        <v>60</v>
      </c>
      <c r="K2733" s="150">
        <v>11</v>
      </c>
      <c r="L2733" s="656">
        <v>220</v>
      </c>
      <c r="M2733" s="663">
        <v>34437</v>
      </c>
      <c r="N2733" s="600">
        <v>4.9264099999999997</v>
      </c>
      <c r="O2733" s="604">
        <v>7.4200000000000004E-3</v>
      </c>
      <c r="P2733" s="150"/>
      <c r="Q2733" s="250"/>
      <c r="R2733" s="250"/>
      <c r="S2733" s="250">
        <v>6.0000000000000001E-3</v>
      </c>
      <c r="T2733" s="250">
        <v>0.02</v>
      </c>
      <c r="U2733" s="250">
        <v>5.7999999999999996E-2</v>
      </c>
      <c r="V2733" s="250">
        <v>0.22698021321438069</v>
      </c>
      <c r="W2733" s="250">
        <v>0.51159515186238602</v>
      </c>
      <c r="X2733" s="250">
        <v>0.17063800617953387</v>
      </c>
      <c r="Y2733" s="250">
        <v>7.2043406792030732E-3</v>
      </c>
      <c r="Z2733" s="150"/>
      <c r="AA2733" s="150">
        <v>0.77</v>
      </c>
      <c r="AB2733" s="152"/>
      <c r="AC2733" s="152"/>
      <c r="AD2733" s="223"/>
      <c r="AE2733" s="223"/>
      <c r="AF2733" s="223"/>
      <c r="AG2733" s="223"/>
      <c r="AH2733" s="341"/>
      <c r="AI2733" s="218"/>
      <c r="AJ2733" s="218"/>
      <c r="AK2733" s="153"/>
      <c r="AL2733" s="152"/>
      <c r="AM2733" s="152"/>
      <c r="AN2733" s="152"/>
      <c r="AO2733" s="152"/>
      <c r="AP2733" s="152"/>
      <c r="AQ2733" s="152"/>
      <c r="AR2733" s="152"/>
      <c r="AS2733" s="152"/>
      <c r="AT2733" s="152"/>
      <c r="AU2733" s="153"/>
      <c r="AV2733" s="479"/>
      <c r="AW2733" s="479"/>
      <c r="AX2733" s="442"/>
      <c r="AY2733" s="153"/>
      <c r="AZ2733" s="152"/>
      <c r="BA2733" s="152"/>
      <c r="BB2733" s="152"/>
      <c r="BC2733" s="152"/>
      <c r="BD2733" s="152"/>
      <c r="BE2733" s="152"/>
      <c r="BF2733" s="152"/>
      <c r="BG2733" s="152"/>
      <c r="BH2733" s="152"/>
      <c r="BI2733" s="153"/>
      <c r="BJ2733" s="153"/>
      <c r="BK2733" s="153"/>
      <c r="BL2733" s="153"/>
      <c r="BM2733" s="153"/>
      <c r="BN2733" s="153"/>
      <c r="BO2733" s="153"/>
      <c r="BP2733" s="153"/>
      <c r="BQ2733" s="153"/>
      <c r="BR2733" s="153"/>
      <c r="BS2733" s="153"/>
      <c r="BT2733" s="153"/>
      <c r="BU2733" s="153"/>
      <c r="BV2733" s="153"/>
      <c r="BW2733" s="153"/>
      <c r="BX2733" s="153"/>
      <c r="BY2733" s="153"/>
      <c r="BZ2733" s="153"/>
      <c r="CA2733" s="152"/>
      <c r="CB2733" s="152"/>
    </row>
    <row r="2734" spans="1:80" s="87" customFormat="1" ht="15" x14ac:dyDescent="0.25">
      <c r="A2734" s="152"/>
      <c r="B2734" s="683"/>
      <c r="C2734" s="683"/>
      <c r="D2734" s="698"/>
      <c r="E2734" s="215"/>
      <c r="F2734" s="215"/>
      <c r="G2734" s="153"/>
      <c r="H2734" s="153"/>
      <c r="I2734" s="165">
        <v>20</v>
      </c>
      <c r="J2734" s="312">
        <v>60</v>
      </c>
      <c r="K2734" s="150">
        <v>12</v>
      </c>
      <c r="L2734" s="656">
        <v>240</v>
      </c>
      <c r="M2734" s="663">
        <v>34442</v>
      </c>
      <c r="N2734" s="600">
        <v>7.3896199999999999</v>
      </c>
      <c r="O2734" s="604">
        <v>1.312E-2</v>
      </c>
      <c r="P2734" s="150"/>
      <c r="Q2734" s="250"/>
      <c r="R2734" s="250"/>
      <c r="S2734" s="250">
        <v>0.02</v>
      </c>
      <c r="T2734" s="250">
        <v>3.6000000000000004E-2</v>
      </c>
      <c r="U2734" s="250">
        <v>8.4000000000000005E-2</v>
      </c>
      <c r="V2734" s="250">
        <v>0.23686618639989501</v>
      </c>
      <c r="W2734" s="250">
        <v>0.40494163154594376</v>
      </c>
      <c r="X2734" s="250">
        <v>0.2094938970148601</v>
      </c>
      <c r="Y2734" s="250">
        <v>8.1619223309465829E-3</v>
      </c>
      <c r="Z2734" s="150"/>
      <c r="AA2734" s="150">
        <v>0.81</v>
      </c>
      <c r="AB2734" s="152"/>
      <c r="AC2734" s="152"/>
      <c r="AD2734" s="223">
        <v>11.124834999999999</v>
      </c>
      <c r="AE2734" s="223">
        <v>0.73149600000000004</v>
      </c>
      <c r="AF2734" s="223">
        <v>8.1375144000000006</v>
      </c>
      <c r="AG2734" s="223">
        <v>0.84122039999999998</v>
      </c>
      <c r="AH2734" s="341"/>
      <c r="AI2734" s="218"/>
      <c r="AJ2734" s="218"/>
      <c r="AK2734" s="153"/>
      <c r="AL2734" s="152"/>
      <c r="AM2734" s="152"/>
      <c r="AN2734" s="152"/>
      <c r="AO2734" s="152"/>
      <c r="AP2734" s="152"/>
      <c r="AQ2734" s="152"/>
      <c r="AR2734" s="152"/>
      <c r="AS2734" s="152"/>
      <c r="AT2734" s="152"/>
      <c r="AU2734" s="153"/>
      <c r="AV2734" s="479"/>
      <c r="AW2734" s="479"/>
      <c r="AX2734" s="442"/>
      <c r="AY2734" s="153"/>
      <c r="AZ2734" s="152"/>
      <c r="BA2734" s="152"/>
      <c r="BB2734" s="152"/>
      <c r="BC2734" s="152"/>
      <c r="BD2734" s="152"/>
      <c r="BE2734" s="152"/>
      <c r="BF2734" s="152"/>
      <c r="BG2734" s="152"/>
      <c r="BH2734" s="152"/>
      <c r="BI2734" s="153"/>
      <c r="BJ2734" s="153"/>
      <c r="BK2734" s="153"/>
      <c r="BL2734" s="153"/>
      <c r="BM2734" s="153"/>
      <c r="BN2734" s="153"/>
      <c r="BO2734" s="153"/>
      <c r="BP2734" s="153"/>
      <c r="BQ2734" s="153"/>
      <c r="BR2734" s="153"/>
      <c r="BS2734" s="153"/>
      <c r="BT2734" s="153"/>
      <c r="BU2734" s="153"/>
      <c r="BV2734" s="153"/>
      <c r="BW2734" s="153"/>
      <c r="BX2734" s="153"/>
      <c r="BY2734" s="153"/>
      <c r="BZ2734" s="153"/>
      <c r="CA2734" s="152"/>
      <c r="CB2734" s="152"/>
    </row>
    <row r="2735" spans="1:80" s="87" customFormat="1" ht="15" x14ac:dyDescent="0.25">
      <c r="A2735" s="152"/>
      <c r="B2735" s="683"/>
      <c r="C2735" s="683"/>
      <c r="D2735" s="698"/>
      <c r="E2735" s="215"/>
      <c r="F2735" s="215"/>
      <c r="G2735" s="153"/>
      <c r="H2735" s="153"/>
      <c r="I2735" s="165">
        <v>20</v>
      </c>
      <c r="J2735" s="312">
        <v>60</v>
      </c>
      <c r="K2735" s="150">
        <v>13</v>
      </c>
      <c r="L2735" s="656">
        <v>260</v>
      </c>
      <c r="M2735" s="663">
        <v>34442</v>
      </c>
      <c r="N2735" s="600">
        <v>7.3896199999999999</v>
      </c>
      <c r="O2735" s="604">
        <v>1.2489999999999999E-2</v>
      </c>
      <c r="P2735" s="150"/>
      <c r="Q2735" s="250"/>
      <c r="R2735" s="250"/>
      <c r="S2735" s="250"/>
      <c r="T2735" s="250">
        <v>1.3000000000000001E-2</v>
      </c>
      <c r="U2735" s="250">
        <v>0.08</v>
      </c>
      <c r="V2735" s="250">
        <v>0.29861573999586272</v>
      </c>
      <c r="W2735" s="250">
        <v>0.43370415488695313</v>
      </c>
      <c r="X2735" s="250">
        <v>0.16992859386612116</v>
      </c>
      <c r="Y2735" s="250">
        <v>5.1964817922020212E-3</v>
      </c>
      <c r="Z2735" s="150"/>
      <c r="AA2735" s="150">
        <v>0.84</v>
      </c>
      <c r="AB2735" s="152"/>
      <c r="AC2735" s="152"/>
      <c r="AD2735" s="223">
        <v>11.124834999999999</v>
      </c>
      <c r="AE2735" s="223">
        <v>0.73149600000000004</v>
      </c>
      <c r="AF2735" s="223">
        <v>8.1375144000000006</v>
      </c>
      <c r="AG2735" s="223">
        <v>0.84122039999999998</v>
      </c>
      <c r="AH2735" s="341"/>
      <c r="AI2735" s="218"/>
      <c r="AJ2735" s="218"/>
      <c r="AK2735" s="153"/>
      <c r="AL2735" s="152"/>
      <c r="AM2735" s="152"/>
      <c r="AN2735" s="152"/>
      <c r="AO2735" s="152"/>
      <c r="AP2735" s="152"/>
      <c r="AQ2735" s="152"/>
      <c r="AR2735" s="152"/>
      <c r="AS2735" s="152"/>
      <c r="AT2735" s="152"/>
      <c r="AU2735" s="153"/>
      <c r="AV2735" s="479"/>
      <c r="AW2735" s="479"/>
      <c r="AX2735" s="442"/>
      <c r="AY2735" s="153"/>
      <c r="AZ2735" s="152"/>
      <c r="BA2735" s="152"/>
      <c r="BB2735" s="152"/>
      <c r="BC2735" s="152"/>
      <c r="BD2735" s="152"/>
      <c r="BE2735" s="152"/>
      <c r="BF2735" s="152"/>
      <c r="BG2735" s="152"/>
      <c r="BH2735" s="152"/>
      <c r="BI2735" s="153"/>
      <c r="BJ2735" s="153"/>
      <c r="BK2735" s="153"/>
      <c r="BL2735" s="153"/>
      <c r="BM2735" s="153"/>
      <c r="BN2735" s="153"/>
      <c r="BO2735" s="153"/>
      <c r="BP2735" s="153"/>
      <c r="BQ2735" s="153"/>
      <c r="BR2735" s="153"/>
      <c r="BS2735" s="153"/>
      <c r="BT2735" s="153"/>
      <c r="BU2735" s="153"/>
      <c r="BV2735" s="153"/>
      <c r="BW2735" s="153"/>
      <c r="BX2735" s="153"/>
      <c r="BY2735" s="153"/>
      <c r="BZ2735" s="153"/>
      <c r="CA2735" s="152"/>
      <c r="CB2735" s="152"/>
    </row>
    <row r="2736" spans="1:80" s="87" customFormat="1" ht="15" x14ac:dyDescent="0.25">
      <c r="A2736" s="152"/>
      <c r="B2736" s="683"/>
      <c r="C2736" s="683"/>
      <c r="D2736" s="698"/>
      <c r="E2736" s="215"/>
      <c r="F2736" s="215"/>
      <c r="G2736" s="153"/>
      <c r="H2736" s="153"/>
      <c r="I2736" s="165">
        <v>24</v>
      </c>
      <c r="J2736" s="312">
        <v>60</v>
      </c>
      <c r="K2736" s="150">
        <v>14</v>
      </c>
      <c r="L2736" s="656">
        <v>336</v>
      </c>
      <c r="M2736" s="663">
        <v>34443</v>
      </c>
      <c r="N2736" s="600">
        <v>9.06006</v>
      </c>
      <c r="O2736" s="604">
        <v>1.8682000000000001E-2</v>
      </c>
      <c r="P2736" s="150"/>
      <c r="Q2736" s="250"/>
      <c r="R2736" s="250"/>
      <c r="S2736" s="250"/>
      <c r="T2736" s="250">
        <v>3.7999999999999999E-2</v>
      </c>
      <c r="U2736" s="250">
        <v>0.13300000000000001</v>
      </c>
      <c r="V2736" s="250">
        <v>0.32502772330309398</v>
      </c>
      <c r="W2736" s="250">
        <v>0.36313379139096214</v>
      </c>
      <c r="X2736" s="250">
        <v>0.13574288576306098</v>
      </c>
      <c r="Y2736" s="250">
        <v>5.2500740698937622E-3</v>
      </c>
      <c r="Z2736" s="150"/>
      <c r="AA2736" s="150">
        <v>0.99</v>
      </c>
      <c r="AB2736" s="152"/>
      <c r="AC2736" s="152"/>
      <c r="AD2736" s="223">
        <v>11.58202</v>
      </c>
      <c r="AE2736" s="223">
        <v>0.80159769999999997</v>
      </c>
      <c r="AF2736" s="223">
        <v>9.2894000000000005</v>
      </c>
      <c r="AG2736" s="223">
        <v>0.9631364</v>
      </c>
      <c r="AH2736" s="341"/>
      <c r="AI2736" s="218"/>
      <c r="AJ2736" s="218"/>
      <c r="AK2736" s="153"/>
      <c r="AL2736" s="152"/>
      <c r="AM2736" s="152"/>
      <c r="AN2736" s="152"/>
      <c r="AO2736" s="152"/>
      <c r="AP2736" s="152"/>
      <c r="AQ2736" s="152"/>
      <c r="AR2736" s="152"/>
      <c r="AS2736" s="152"/>
      <c r="AT2736" s="152"/>
      <c r="AU2736" s="153"/>
      <c r="AV2736" s="479"/>
      <c r="AW2736" s="479"/>
      <c r="AX2736" s="442"/>
      <c r="AY2736" s="153"/>
      <c r="AZ2736" s="152"/>
      <c r="BA2736" s="152"/>
      <c r="BB2736" s="152"/>
      <c r="BC2736" s="152"/>
      <c r="BD2736" s="152"/>
      <c r="BE2736" s="152"/>
      <c r="BF2736" s="152"/>
      <c r="BG2736" s="152"/>
      <c r="BH2736" s="152"/>
      <c r="BI2736" s="153"/>
      <c r="BJ2736" s="153"/>
      <c r="BK2736" s="153"/>
      <c r="BL2736" s="153"/>
      <c r="BM2736" s="153"/>
      <c r="BN2736" s="153"/>
      <c r="BO2736" s="153"/>
      <c r="BP2736" s="153"/>
      <c r="BQ2736" s="153"/>
      <c r="BR2736" s="153"/>
      <c r="BS2736" s="153"/>
      <c r="BT2736" s="153"/>
      <c r="BU2736" s="153"/>
      <c r="BV2736" s="153"/>
      <c r="BW2736" s="153"/>
      <c r="BX2736" s="153"/>
      <c r="BY2736" s="153"/>
      <c r="BZ2736" s="153"/>
      <c r="CA2736" s="152"/>
      <c r="CB2736" s="152"/>
    </row>
    <row r="2737" spans="1:80" s="87" customFormat="1" ht="15" x14ac:dyDescent="0.25">
      <c r="A2737" s="152"/>
      <c r="B2737" s="683"/>
      <c r="C2737" s="683"/>
      <c r="D2737" s="698"/>
      <c r="E2737" s="215"/>
      <c r="F2737" s="215"/>
      <c r="G2737" s="153"/>
      <c r="H2737" s="153"/>
      <c r="I2737" s="165">
        <v>24</v>
      </c>
      <c r="J2737" s="312">
        <v>60</v>
      </c>
      <c r="K2737" s="150">
        <v>15</v>
      </c>
      <c r="L2737" s="656">
        <v>360</v>
      </c>
      <c r="M2737" s="663">
        <v>34443</v>
      </c>
      <c r="N2737" s="600">
        <v>9.06006</v>
      </c>
      <c r="O2737" s="604">
        <v>2.4455000000000001E-2</v>
      </c>
      <c r="P2737" s="150"/>
      <c r="Q2737" s="250"/>
      <c r="R2737" s="250"/>
      <c r="S2737" s="250"/>
      <c r="T2737" s="250">
        <v>1.3000000000000001E-2</v>
      </c>
      <c r="U2737" s="250">
        <v>6.8000000000000005E-2</v>
      </c>
      <c r="V2737" s="250">
        <v>0.39526673882722846</v>
      </c>
      <c r="W2737" s="250">
        <v>0.40598253909979332</v>
      </c>
      <c r="X2737" s="250">
        <v>0.11366539558813953</v>
      </c>
      <c r="Y2737" s="250">
        <v>4.0889067588619236E-3</v>
      </c>
      <c r="Z2737" s="150"/>
      <c r="AA2737" s="150">
        <v>0.96</v>
      </c>
      <c r="AB2737" s="152"/>
      <c r="AC2737" s="152"/>
      <c r="AD2737" s="223">
        <v>11.58202</v>
      </c>
      <c r="AE2737" s="223">
        <v>0.80159769999999997</v>
      </c>
      <c r="AF2737" s="223">
        <v>9.2894000000000005</v>
      </c>
      <c r="AG2737" s="223">
        <v>0.9631364</v>
      </c>
      <c r="AH2737" s="341"/>
      <c r="AI2737" s="218"/>
      <c r="AJ2737" s="218"/>
      <c r="AK2737" s="153"/>
      <c r="AL2737" s="152"/>
      <c r="AM2737" s="152"/>
      <c r="AN2737" s="152"/>
      <c r="AO2737" s="152"/>
      <c r="AP2737" s="152"/>
      <c r="AQ2737" s="152"/>
      <c r="AR2737" s="152"/>
      <c r="AS2737" s="152"/>
      <c r="AT2737" s="152"/>
      <c r="AU2737" s="153"/>
      <c r="AV2737" s="479"/>
      <c r="AW2737" s="479"/>
      <c r="AX2737" s="442"/>
      <c r="AY2737" s="153"/>
      <c r="AZ2737" s="152"/>
      <c r="BA2737" s="152"/>
      <c r="BB2737" s="152"/>
      <c r="BC2737" s="152"/>
      <c r="BD2737" s="152"/>
      <c r="BE2737" s="152"/>
      <c r="BF2737" s="152"/>
      <c r="BG2737" s="152"/>
      <c r="BH2737" s="152"/>
      <c r="BI2737" s="153"/>
      <c r="BJ2737" s="153"/>
      <c r="BK2737" s="153"/>
      <c r="BL2737" s="153"/>
      <c r="BM2737" s="153"/>
      <c r="BN2737" s="153"/>
      <c r="BO2737" s="153"/>
      <c r="BP2737" s="153"/>
      <c r="BQ2737" s="153"/>
      <c r="BR2737" s="153"/>
      <c r="BS2737" s="153"/>
      <c r="BT2737" s="153"/>
      <c r="BU2737" s="153"/>
      <c r="BV2737" s="153"/>
      <c r="BW2737" s="153"/>
      <c r="BX2737" s="153"/>
      <c r="BY2737" s="153"/>
      <c r="BZ2737" s="153"/>
      <c r="CA2737" s="152"/>
      <c r="CB2737" s="152"/>
    </row>
    <row r="2738" spans="1:80" s="87" customFormat="1" ht="15" x14ac:dyDescent="0.25">
      <c r="A2738" s="152"/>
      <c r="B2738" s="683"/>
      <c r="C2738" s="683"/>
      <c r="D2738" s="698"/>
      <c r="E2738" s="215"/>
      <c r="F2738" s="215"/>
      <c r="G2738" s="153"/>
      <c r="H2738" s="153"/>
      <c r="I2738" s="165">
        <v>24</v>
      </c>
      <c r="J2738" s="312">
        <v>60</v>
      </c>
      <c r="K2738" s="150">
        <v>16</v>
      </c>
      <c r="L2738" s="656">
        <v>384</v>
      </c>
      <c r="M2738" s="663">
        <v>34446</v>
      </c>
      <c r="N2738" s="600">
        <v>9.6263199999999998</v>
      </c>
      <c r="O2738" s="604">
        <v>3.7574999999999997E-2</v>
      </c>
      <c r="P2738" s="150"/>
      <c r="Q2738" s="250"/>
      <c r="R2738" s="250">
        <v>7.8E-2</v>
      </c>
      <c r="S2738" s="250">
        <v>3.7000000000000005E-2</v>
      </c>
      <c r="T2738" s="250">
        <v>3.7999999999999999E-2</v>
      </c>
      <c r="U2738" s="250">
        <v>0.11900000000000001</v>
      </c>
      <c r="V2738" s="250">
        <v>0.30413262474119535</v>
      </c>
      <c r="W2738" s="250">
        <v>0.34196399156110097</v>
      </c>
      <c r="X2738" s="250">
        <v>8.0382534240232506E-2</v>
      </c>
      <c r="Y2738" s="250">
        <v>1.6290173307239122E-3</v>
      </c>
      <c r="Z2738" s="150"/>
      <c r="AA2738" s="150">
        <v>1.19</v>
      </c>
      <c r="AB2738" s="152"/>
      <c r="AC2738" s="152"/>
      <c r="AD2738" s="223">
        <v>11.58202</v>
      </c>
      <c r="AE2738" s="223">
        <v>0.82598090000000002</v>
      </c>
      <c r="AF2738" s="223">
        <v>9.5680820000000004</v>
      </c>
      <c r="AG2738" s="223">
        <v>0.9661843</v>
      </c>
      <c r="AH2738" s="341"/>
      <c r="AI2738" s="218"/>
      <c r="AJ2738" s="218"/>
      <c r="AK2738" s="153"/>
      <c r="AL2738" s="152"/>
      <c r="AM2738" s="152"/>
      <c r="AN2738" s="152"/>
      <c r="AO2738" s="152"/>
      <c r="AP2738" s="152"/>
      <c r="AQ2738" s="152"/>
      <c r="AR2738" s="152"/>
      <c r="AS2738" s="152"/>
      <c r="AT2738" s="152"/>
      <c r="AU2738" s="153"/>
      <c r="AV2738" s="479"/>
      <c r="AW2738" s="479"/>
      <c r="AX2738" s="442"/>
      <c r="AY2738" s="153"/>
      <c r="AZ2738" s="152"/>
      <c r="BA2738" s="152"/>
      <c r="BB2738" s="152"/>
      <c r="BC2738" s="152"/>
      <c r="BD2738" s="152"/>
      <c r="BE2738" s="152"/>
      <c r="BF2738" s="152"/>
      <c r="BG2738" s="152"/>
      <c r="BH2738" s="152"/>
      <c r="BI2738" s="153"/>
      <c r="BJ2738" s="153"/>
      <c r="BK2738" s="153"/>
      <c r="BL2738" s="153"/>
      <c r="BM2738" s="153"/>
      <c r="BN2738" s="153"/>
      <c r="BO2738" s="153"/>
      <c r="BP2738" s="153"/>
      <c r="BQ2738" s="153"/>
      <c r="BR2738" s="153"/>
      <c r="BS2738" s="153"/>
      <c r="BT2738" s="153"/>
      <c r="BU2738" s="153"/>
      <c r="BV2738" s="153"/>
      <c r="BW2738" s="153"/>
      <c r="BX2738" s="153"/>
      <c r="BY2738" s="153"/>
      <c r="BZ2738" s="153"/>
      <c r="CA2738" s="152"/>
      <c r="CB2738" s="152"/>
    </row>
    <row r="2739" spans="1:80" s="87" customFormat="1" ht="15" x14ac:dyDescent="0.25">
      <c r="A2739" s="152"/>
      <c r="B2739" s="683"/>
      <c r="C2739" s="683"/>
      <c r="D2739" s="698"/>
      <c r="E2739" s="215"/>
      <c r="F2739" s="215"/>
      <c r="G2739" s="153"/>
      <c r="H2739" s="153"/>
      <c r="I2739" s="165">
        <v>24</v>
      </c>
      <c r="J2739" s="312">
        <v>60</v>
      </c>
      <c r="K2739" s="150">
        <v>17</v>
      </c>
      <c r="L2739" s="656">
        <v>408</v>
      </c>
      <c r="M2739" s="663">
        <v>34446</v>
      </c>
      <c r="N2739" s="600">
        <v>9.6263199999999998</v>
      </c>
      <c r="O2739" s="604">
        <v>1.9311999999999999E-2</v>
      </c>
      <c r="P2739" s="150"/>
      <c r="Q2739" s="250"/>
      <c r="R2739" s="250"/>
      <c r="S2739" s="250">
        <v>3.0000000000000001E-3</v>
      </c>
      <c r="T2739" s="250">
        <v>1.8000000000000002E-2</v>
      </c>
      <c r="U2739" s="250">
        <v>0.10099999999999999</v>
      </c>
      <c r="V2739" s="250">
        <v>0.35304319241289195</v>
      </c>
      <c r="W2739" s="250">
        <v>0.40799271780909591</v>
      </c>
      <c r="X2739" s="250">
        <v>0.11300064379897093</v>
      </c>
      <c r="Y2739" s="250">
        <v>4.6469289587766621E-3</v>
      </c>
      <c r="Z2739" s="150"/>
      <c r="AA2739" s="150">
        <v>0.96</v>
      </c>
      <c r="AB2739" s="152"/>
      <c r="AC2739" s="152"/>
      <c r="AD2739" s="223">
        <v>11.58202</v>
      </c>
      <c r="AE2739" s="223">
        <v>0.82598090000000002</v>
      </c>
      <c r="AF2739" s="223">
        <v>9.5680820000000004</v>
      </c>
      <c r="AG2739" s="223">
        <v>0.9661843</v>
      </c>
      <c r="AH2739" s="341"/>
      <c r="AI2739" s="218"/>
      <c r="AJ2739" s="218"/>
      <c r="AK2739" s="153"/>
      <c r="AL2739" s="152"/>
      <c r="AM2739" s="152"/>
      <c r="AN2739" s="152"/>
      <c r="AO2739" s="152"/>
      <c r="AP2739" s="152"/>
      <c r="AQ2739" s="152"/>
      <c r="AR2739" s="152"/>
      <c r="AS2739" s="152"/>
      <c r="AT2739" s="152"/>
      <c r="AU2739" s="153"/>
      <c r="AV2739" s="479"/>
      <c r="AW2739" s="479"/>
      <c r="AX2739" s="442"/>
      <c r="AY2739" s="153"/>
      <c r="AZ2739" s="152"/>
      <c r="BA2739" s="152"/>
      <c r="BB2739" s="152"/>
      <c r="BC2739" s="152"/>
      <c r="BD2739" s="152"/>
      <c r="BE2739" s="152"/>
      <c r="BF2739" s="152"/>
      <c r="BG2739" s="152"/>
      <c r="BH2739" s="152"/>
      <c r="BI2739" s="153"/>
      <c r="BJ2739" s="153"/>
      <c r="BK2739" s="153"/>
      <c r="BL2739" s="153"/>
      <c r="BM2739" s="153"/>
      <c r="BN2739" s="153"/>
      <c r="BO2739" s="153"/>
      <c r="BP2739" s="153"/>
      <c r="BQ2739" s="153"/>
      <c r="BR2739" s="153"/>
      <c r="BS2739" s="153"/>
      <c r="BT2739" s="153"/>
      <c r="BU2739" s="153"/>
      <c r="BV2739" s="153"/>
      <c r="BW2739" s="153"/>
      <c r="BX2739" s="153"/>
      <c r="BY2739" s="153"/>
      <c r="BZ2739" s="153"/>
      <c r="CA2739" s="152"/>
      <c r="CB2739" s="152"/>
    </row>
    <row r="2740" spans="1:80" s="87" customFormat="1" ht="15" x14ac:dyDescent="0.25">
      <c r="A2740" s="152"/>
      <c r="B2740" s="683"/>
      <c r="C2740" s="683"/>
      <c r="D2740" s="698"/>
      <c r="E2740" s="215"/>
      <c r="F2740" s="215"/>
      <c r="G2740" s="153"/>
      <c r="H2740" s="153"/>
      <c r="I2740" s="165">
        <v>24</v>
      </c>
      <c r="J2740" s="312">
        <v>60</v>
      </c>
      <c r="K2740" s="150">
        <v>18</v>
      </c>
      <c r="L2740" s="656">
        <v>432</v>
      </c>
      <c r="M2740" s="663">
        <v>34450</v>
      </c>
      <c r="N2740" s="600">
        <v>6.7101100000000002</v>
      </c>
      <c r="O2740" s="604">
        <v>1.0496E-2</v>
      </c>
      <c r="P2740" s="150"/>
      <c r="Q2740" s="250"/>
      <c r="R2740" s="250"/>
      <c r="S2740" s="250"/>
      <c r="T2740" s="250">
        <v>0.01</v>
      </c>
      <c r="U2740" s="250">
        <v>0.10099999999999999</v>
      </c>
      <c r="V2740" s="250">
        <v>0.35312126582887571</v>
      </c>
      <c r="W2740" s="250">
        <v>0.4082887571876529</v>
      </c>
      <c r="X2740" s="250">
        <v>0.11802186169231632</v>
      </c>
      <c r="Y2740" s="250">
        <v>9.4983278933059596E-3</v>
      </c>
      <c r="Z2740" s="150"/>
      <c r="AA2740" s="150">
        <v>0.94</v>
      </c>
      <c r="AB2740" s="152"/>
      <c r="AC2740" s="152"/>
      <c r="AD2740" s="223">
        <v>11.58202</v>
      </c>
      <c r="AE2740" s="223">
        <v>0.67358589999999996</v>
      </c>
      <c r="AF2740" s="223">
        <v>7.7938065999999999</v>
      </c>
      <c r="AG2740" s="223">
        <v>0.88389099999999998</v>
      </c>
      <c r="AH2740" s="341"/>
      <c r="AI2740" s="218"/>
      <c r="AJ2740" s="218"/>
      <c r="AK2740" s="153"/>
      <c r="AL2740" s="152"/>
      <c r="AM2740" s="152"/>
      <c r="AN2740" s="152"/>
      <c r="AO2740" s="152"/>
      <c r="AP2740" s="152"/>
      <c r="AQ2740" s="152"/>
      <c r="AR2740" s="152"/>
      <c r="AS2740" s="152"/>
      <c r="AT2740" s="152"/>
      <c r="AU2740" s="153"/>
      <c r="AV2740" s="479"/>
      <c r="AW2740" s="479"/>
      <c r="AX2740" s="442"/>
      <c r="AY2740" s="153"/>
      <c r="AZ2740" s="152"/>
      <c r="BA2740" s="152"/>
      <c r="BB2740" s="152"/>
      <c r="BC2740" s="152"/>
      <c r="BD2740" s="152"/>
      <c r="BE2740" s="152"/>
      <c r="BF2740" s="152"/>
      <c r="BG2740" s="152"/>
      <c r="BH2740" s="152"/>
      <c r="BI2740" s="153"/>
      <c r="BJ2740" s="153"/>
      <c r="BK2740" s="153"/>
      <c r="BL2740" s="153"/>
      <c r="BM2740" s="153"/>
      <c r="BN2740" s="153"/>
      <c r="BO2740" s="153"/>
      <c r="BP2740" s="153"/>
      <c r="BQ2740" s="153"/>
      <c r="BR2740" s="153"/>
      <c r="BS2740" s="153"/>
      <c r="BT2740" s="153"/>
      <c r="BU2740" s="153"/>
      <c r="BV2740" s="153"/>
      <c r="BW2740" s="153"/>
      <c r="BX2740" s="153"/>
      <c r="BY2740" s="153"/>
      <c r="BZ2740" s="153"/>
      <c r="CA2740" s="152"/>
      <c r="CB2740" s="152"/>
    </row>
    <row r="2741" spans="1:80" s="87" customFormat="1" ht="15" x14ac:dyDescent="0.25">
      <c r="A2741" s="152"/>
      <c r="B2741" s="683"/>
      <c r="C2741" s="683"/>
      <c r="D2741" s="698"/>
      <c r="E2741" s="215"/>
      <c r="F2741" s="215"/>
      <c r="G2741" s="153"/>
      <c r="H2741" s="153"/>
      <c r="I2741" s="165">
        <v>24</v>
      </c>
      <c r="J2741" s="312">
        <v>60</v>
      </c>
      <c r="K2741" s="150">
        <v>19</v>
      </c>
      <c r="L2741" s="656">
        <v>456</v>
      </c>
      <c r="M2741" s="663">
        <v>34450</v>
      </c>
      <c r="N2741" s="600">
        <v>6.7101100000000002</v>
      </c>
      <c r="O2741" s="604">
        <v>4.1460000000000004E-3</v>
      </c>
      <c r="P2741" s="150"/>
      <c r="Q2741" s="250"/>
      <c r="R2741" s="250"/>
      <c r="S2741" s="250"/>
      <c r="T2741" s="250"/>
      <c r="U2741" s="250">
        <v>6.6000000000000003E-2</v>
      </c>
      <c r="V2741" s="250">
        <v>0.31705185373932981</v>
      </c>
      <c r="W2741" s="250">
        <v>0.41765830042043572</v>
      </c>
      <c r="X2741" s="250">
        <v>0.18197222576124347</v>
      </c>
      <c r="Y2741" s="250">
        <v>1.7268441839724806E-2</v>
      </c>
      <c r="Z2741" s="150"/>
      <c r="AA2741" s="150">
        <v>0.82</v>
      </c>
      <c r="AB2741" s="152"/>
      <c r="AC2741" s="152"/>
      <c r="AD2741" s="223">
        <v>11.58202</v>
      </c>
      <c r="AE2741" s="223">
        <v>0.67358589999999996</v>
      </c>
      <c r="AF2741" s="223">
        <v>7.7938065999999999</v>
      </c>
      <c r="AG2741" s="223">
        <v>0.88389099999999998</v>
      </c>
      <c r="AH2741" s="341"/>
      <c r="AI2741" s="218"/>
      <c r="AJ2741" s="218"/>
      <c r="AK2741" s="153"/>
      <c r="AL2741" s="152"/>
      <c r="AM2741" s="152"/>
      <c r="AN2741" s="152"/>
      <c r="AO2741" s="152"/>
      <c r="AP2741" s="152"/>
      <c r="AQ2741" s="152"/>
      <c r="AR2741" s="152"/>
      <c r="AS2741" s="152"/>
      <c r="AT2741" s="152"/>
      <c r="AU2741" s="153"/>
      <c r="AV2741" s="479"/>
      <c r="AW2741" s="479"/>
      <c r="AX2741" s="442"/>
      <c r="AY2741" s="153"/>
      <c r="AZ2741" s="152"/>
      <c r="BA2741" s="152"/>
      <c r="BB2741" s="152"/>
      <c r="BC2741" s="152"/>
      <c r="BD2741" s="152"/>
      <c r="BE2741" s="152"/>
      <c r="BF2741" s="152"/>
      <c r="BG2741" s="152"/>
      <c r="BH2741" s="152"/>
      <c r="BI2741" s="153"/>
      <c r="BJ2741" s="153"/>
      <c r="BK2741" s="153"/>
      <c r="BL2741" s="153"/>
      <c r="BM2741" s="153"/>
      <c r="BN2741" s="153"/>
      <c r="BO2741" s="153"/>
      <c r="BP2741" s="153"/>
      <c r="BQ2741" s="153"/>
      <c r="BR2741" s="153"/>
      <c r="BS2741" s="153"/>
      <c r="BT2741" s="153"/>
      <c r="BU2741" s="153"/>
      <c r="BV2741" s="153"/>
      <c r="BW2741" s="153"/>
      <c r="BX2741" s="153"/>
      <c r="BY2741" s="153"/>
      <c r="BZ2741" s="153"/>
      <c r="CA2741" s="152"/>
      <c r="CB2741" s="152"/>
    </row>
    <row r="2742" spans="1:80" s="87" customFormat="1" ht="15" x14ac:dyDescent="0.25">
      <c r="A2742" s="152"/>
      <c r="B2742" s="683"/>
      <c r="C2742" s="683"/>
      <c r="D2742" s="698"/>
      <c r="E2742" s="215"/>
      <c r="F2742" s="215"/>
      <c r="G2742" s="153"/>
      <c r="H2742" s="153"/>
      <c r="I2742" s="165">
        <v>24</v>
      </c>
      <c r="J2742" s="312">
        <v>60</v>
      </c>
      <c r="K2742" s="150">
        <v>20</v>
      </c>
      <c r="L2742" s="656">
        <v>480</v>
      </c>
      <c r="M2742" s="663">
        <v>34453</v>
      </c>
      <c r="N2742" s="600">
        <v>5.0962899999999998</v>
      </c>
      <c r="O2742" s="604">
        <v>2.5400000000000002E-3</v>
      </c>
      <c r="P2742" s="150"/>
      <c r="Q2742" s="250"/>
      <c r="R2742" s="250"/>
      <c r="S2742" s="250"/>
      <c r="T2742" s="250"/>
      <c r="U2742" s="250">
        <v>6.7000000000000004E-2</v>
      </c>
      <c r="V2742" s="250">
        <v>0.28804223566336179</v>
      </c>
      <c r="W2742" s="250">
        <v>0.46140383696036247</v>
      </c>
      <c r="X2742" s="250">
        <v>0.16428259649560392</v>
      </c>
      <c r="Y2742" s="250">
        <v>1.963792064184906E-2</v>
      </c>
      <c r="Z2742" s="150"/>
      <c r="AA2742" s="150">
        <v>0.8</v>
      </c>
      <c r="AB2742" s="152"/>
      <c r="AC2742" s="152"/>
      <c r="AD2742" s="223">
        <v>11.58202</v>
      </c>
      <c r="AE2742" s="223">
        <v>0.5699573</v>
      </c>
      <c r="AF2742" s="223">
        <v>6.6140527999999996</v>
      </c>
      <c r="AG2742" s="223">
        <v>0.77111870000000005</v>
      </c>
      <c r="AH2742" s="341"/>
      <c r="AI2742" s="218"/>
      <c r="AJ2742" s="218"/>
      <c r="AK2742" s="153"/>
      <c r="AL2742" s="152"/>
      <c r="AM2742" s="152"/>
      <c r="AN2742" s="152"/>
      <c r="AO2742" s="152"/>
      <c r="AP2742" s="152"/>
      <c r="AQ2742" s="152"/>
      <c r="AR2742" s="152"/>
      <c r="AS2742" s="152"/>
      <c r="AT2742" s="152"/>
      <c r="AU2742" s="153"/>
      <c r="AV2742" s="479"/>
      <c r="AW2742" s="479"/>
      <c r="AX2742" s="442"/>
      <c r="AY2742" s="153"/>
      <c r="AZ2742" s="152"/>
      <c r="BA2742" s="152"/>
      <c r="BB2742" s="152"/>
      <c r="BC2742" s="152"/>
      <c r="BD2742" s="152"/>
      <c r="BE2742" s="152"/>
      <c r="BF2742" s="152"/>
      <c r="BG2742" s="152"/>
      <c r="BH2742" s="152"/>
      <c r="BI2742" s="153"/>
      <c r="BJ2742" s="153"/>
      <c r="BK2742" s="153"/>
      <c r="BL2742" s="153"/>
      <c r="BM2742" s="153"/>
      <c r="BN2742" s="153"/>
      <c r="BO2742" s="153"/>
      <c r="BP2742" s="153"/>
      <c r="BQ2742" s="153"/>
      <c r="BR2742" s="153"/>
      <c r="BS2742" s="153"/>
      <c r="BT2742" s="153"/>
      <c r="BU2742" s="153"/>
      <c r="BV2742" s="153"/>
      <c r="BW2742" s="153"/>
      <c r="BX2742" s="153"/>
      <c r="BY2742" s="153"/>
      <c r="BZ2742" s="153"/>
      <c r="CA2742" s="152"/>
      <c r="CB2742" s="152"/>
    </row>
    <row r="2743" spans="1:80" s="87" customFormat="1" ht="15" x14ac:dyDescent="0.25">
      <c r="A2743" s="152"/>
      <c r="B2743" s="683"/>
      <c r="C2743" s="683"/>
      <c r="D2743" s="698"/>
      <c r="E2743" s="215"/>
      <c r="F2743" s="215"/>
      <c r="G2743" s="153"/>
      <c r="H2743" s="153"/>
      <c r="I2743" s="165">
        <v>24</v>
      </c>
      <c r="J2743" s="312">
        <v>60</v>
      </c>
      <c r="K2743" s="150">
        <v>21</v>
      </c>
      <c r="L2743" s="656">
        <v>504</v>
      </c>
      <c r="M2743" s="663">
        <v>34453</v>
      </c>
      <c r="N2743" s="600">
        <v>5.0962899999999998</v>
      </c>
      <c r="O2743" s="604">
        <v>1.1230000000000001E-3</v>
      </c>
      <c r="P2743" s="150"/>
      <c r="Q2743" s="250"/>
      <c r="R2743" s="250"/>
      <c r="S2743" s="250"/>
      <c r="T2743" s="250"/>
      <c r="U2743" s="250">
        <v>4.5999999999999999E-2</v>
      </c>
      <c r="V2743" s="250">
        <v>0.21678302045705514</v>
      </c>
      <c r="W2743" s="250">
        <v>0.46102303992213961</v>
      </c>
      <c r="X2743" s="250">
        <v>0.23503153718018299</v>
      </c>
      <c r="Y2743" s="250">
        <v>4.1344588145014877E-2</v>
      </c>
      <c r="Z2743" s="150"/>
      <c r="AA2743" s="150">
        <v>0.7</v>
      </c>
      <c r="AB2743" s="152"/>
      <c r="AC2743" s="152"/>
      <c r="AD2743" s="223">
        <v>11.58202</v>
      </c>
      <c r="AE2743" s="223">
        <v>0.5699573</v>
      </c>
      <c r="AF2743" s="223">
        <v>6.6140527999999996</v>
      </c>
      <c r="AG2743" s="223">
        <v>0.77111870000000005</v>
      </c>
      <c r="AH2743" s="341"/>
      <c r="AI2743" s="218"/>
      <c r="AJ2743" s="218"/>
      <c r="AK2743" s="153"/>
      <c r="AL2743" s="152"/>
      <c r="AM2743" s="152"/>
      <c r="AN2743" s="152"/>
      <c r="AO2743" s="152"/>
      <c r="AP2743" s="152"/>
      <c r="AQ2743" s="152"/>
      <c r="AR2743" s="152"/>
      <c r="AS2743" s="152"/>
      <c r="AT2743" s="152"/>
      <c r="AU2743" s="153"/>
      <c r="AV2743" s="479"/>
      <c r="AW2743" s="479"/>
      <c r="AX2743" s="442"/>
      <c r="AY2743" s="153"/>
      <c r="AZ2743" s="152"/>
      <c r="BA2743" s="152"/>
      <c r="BB2743" s="152"/>
      <c r="BC2743" s="152"/>
      <c r="BD2743" s="152"/>
      <c r="BE2743" s="152"/>
      <c r="BF2743" s="152"/>
      <c r="BG2743" s="152"/>
      <c r="BH2743" s="152"/>
      <c r="BI2743" s="153"/>
      <c r="BJ2743" s="153"/>
      <c r="BK2743" s="153"/>
      <c r="BL2743" s="153"/>
      <c r="BM2743" s="153"/>
      <c r="BN2743" s="153"/>
      <c r="BO2743" s="153"/>
      <c r="BP2743" s="153"/>
      <c r="BQ2743" s="153"/>
      <c r="BR2743" s="153"/>
      <c r="BS2743" s="153"/>
      <c r="BT2743" s="153"/>
      <c r="BU2743" s="153"/>
      <c r="BV2743" s="153"/>
      <c r="BW2743" s="153"/>
      <c r="BX2743" s="153"/>
      <c r="BY2743" s="153"/>
      <c r="BZ2743" s="153"/>
      <c r="CA2743" s="152"/>
      <c r="CB2743" s="152"/>
    </row>
    <row r="2744" spans="1:80" s="87" customFormat="1" ht="15" x14ac:dyDescent="0.25">
      <c r="A2744" s="152"/>
      <c r="B2744" s="683"/>
      <c r="C2744" s="683"/>
      <c r="D2744" s="698"/>
      <c r="E2744" s="215"/>
      <c r="F2744" s="215"/>
      <c r="G2744" s="153"/>
      <c r="H2744" s="153"/>
      <c r="I2744" s="165">
        <v>24</v>
      </c>
      <c r="J2744" s="312">
        <v>60</v>
      </c>
      <c r="K2744" s="150">
        <v>22</v>
      </c>
      <c r="L2744" s="656">
        <v>528</v>
      </c>
      <c r="M2744" s="663">
        <v>34457</v>
      </c>
      <c r="N2744" s="600">
        <v>4.27522</v>
      </c>
      <c r="O2744" s="604">
        <v>1.91E-3</v>
      </c>
      <c r="P2744" s="150"/>
      <c r="Q2744" s="250"/>
      <c r="R2744" s="250"/>
      <c r="S2744" s="250"/>
      <c r="T2744" s="250"/>
      <c r="U2744" s="250">
        <v>0.04</v>
      </c>
      <c r="V2744" s="250">
        <v>0.26872555734770981</v>
      </c>
      <c r="W2744" s="250">
        <v>0.50807021807817221</v>
      </c>
      <c r="X2744" s="250">
        <v>0.16291234892507567</v>
      </c>
      <c r="Y2744" s="250">
        <v>2.0421352659139622E-2</v>
      </c>
      <c r="Z2744" s="150"/>
      <c r="AA2744" s="150">
        <v>0.77</v>
      </c>
      <c r="AB2744" s="152"/>
      <c r="AC2744" s="152"/>
      <c r="AD2744" s="223">
        <v>11.58202</v>
      </c>
      <c r="AE2744" s="223">
        <v>0.53033459999999999</v>
      </c>
      <c r="AF2744" s="223">
        <v>6.1588722000000002</v>
      </c>
      <c r="AG2744" s="223">
        <v>0.68882540000000003</v>
      </c>
      <c r="AH2744" s="341"/>
      <c r="AI2744" s="218"/>
      <c r="AJ2744" s="218"/>
      <c r="AK2744" s="153"/>
      <c r="AL2744" s="152"/>
      <c r="AM2744" s="152"/>
      <c r="AN2744" s="152"/>
      <c r="AO2744" s="152"/>
      <c r="AP2744" s="152"/>
      <c r="AQ2744" s="152"/>
      <c r="AR2744" s="152"/>
      <c r="AS2744" s="152"/>
      <c r="AT2744" s="152"/>
      <c r="AU2744" s="153"/>
      <c r="AV2744" s="479"/>
      <c r="AW2744" s="479"/>
      <c r="AX2744" s="442"/>
      <c r="AY2744" s="153"/>
      <c r="AZ2744" s="152"/>
      <c r="BA2744" s="152"/>
      <c r="BB2744" s="152"/>
      <c r="BC2744" s="152"/>
      <c r="BD2744" s="152"/>
      <c r="BE2744" s="152"/>
      <c r="BF2744" s="152"/>
      <c r="BG2744" s="152"/>
      <c r="BH2744" s="152"/>
      <c r="BI2744" s="153"/>
      <c r="BJ2744" s="153"/>
      <c r="BK2744" s="153"/>
      <c r="BL2744" s="153"/>
      <c r="BM2744" s="153"/>
      <c r="BN2744" s="153"/>
      <c r="BO2744" s="153"/>
      <c r="BP2744" s="153"/>
      <c r="BQ2744" s="153"/>
      <c r="BR2744" s="153"/>
      <c r="BS2744" s="153"/>
      <c r="BT2744" s="153"/>
      <c r="BU2744" s="153"/>
      <c r="BV2744" s="153"/>
      <c r="BW2744" s="153"/>
      <c r="BX2744" s="153"/>
      <c r="BY2744" s="153"/>
      <c r="BZ2744" s="153"/>
      <c r="CA2744" s="152"/>
      <c r="CB2744" s="152"/>
    </row>
    <row r="2745" spans="1:80" s="87" customFormat="1" ht="15" x14ac:dyDescent="0.25">
      <c r="A2745" s="152"/>
      <c r="B2745" s="683"/>
      <c r="C2745" s="683"/>
      <c r="D2745" s="698"/>
      <c r="E2745" s="215"/>
      <c r="F2745" s="215"/>
      <c r="G2745" s="153"/>
      <c r="H2745" s="153"/>
      <c r="I2745" s="165">
        <v>24</v>
      </c>
      <c r="J2745" s="312">
        <v>60</v>
      </c>
      <c r="K2745" s="150">
        <v>23</v>
      </c>
      <c r="L2745" s="656">
        <v>552</v>
      </c>
      <c r="M2745" s="663">
        <v>34457</v>
      </c>
      <c r="N2745" s="600">
        <v>4.27522</v>
      </c>
      <c r="O2745" s="604">
        <v>1.4799E-2</v>
      </c>
      <c r="P2745" s="150"/>
      <c r="Q2745" s="250"/>
      <c r="R2745" s="250"/>
      <c r="S2745" s="250"/>
      <c r="T2745" s="250">
        <v>2E-3</v>
      </c>
      <c r="U2745" s="250">
        <v>2.7000000000000003E-2</v>
      </c>
      <c r="V2745" s="250">
        <v>0.30570415309365134</v>
      </c>
      <c r="W2745" s="250">
        <v>0.52926434612576689</v>
      </c>
      <c r="X2745" s="250">
        <v>0.13120961005064888</v>
      </c>
      <c r="Y2745" s="250">
        <v>5.2278345365820329E-3</v>
      </c>
      <c r="Z2745" s="150"/>
      <c r="AA2745" s="150">
        <v>0.8</v>
      </c>
      <c r="AB2745" s="152"/>
      <c r="AC2745" s="152"/>
      <c r="AD2745" s="223">
        <v>11.58202</v>
      </c>
      <c r="AE2745" s="223">
        <v>0.53033459999999999</v>
      </c>
      <c r="AF2745" s="223">
        <v>6.1588722000000002</v>
      </c>
      <c r="AG2745" s="223">
        <v>0.68882540000000003</v>
      </c>
      <c r="AH2745" s="341"/>
      <c r="AI2745" s="218"/>
      <c r="AJ2745" s="218"/>
      <c r="AK2745" s="153"/>
      <c r="AL2745" s="152"/>
      <c r="AM2745" s="152"/>
      <c r="AN2745" s="152"/>
      <c r="AO2745" s="152"/>
      <c r="AP2745" s="152"/>
      <c r="AQ2745" s="152"/>
      <c r="AR2745" s="152"/>
      <c r="AS2745" s="152"/>
      <c r="AT2745" s="152"/>
      <c r="AU2745" s="153"/>
      <c r="AV2745" s="479"/>
      <c r="AW2745" s="479"/>
      <c r="AX2745" s="442"/>
      <c r="AY2745" s="153"/>
      <c r="AZ2745" s="152"/>
      <c r="BA2745" s="152"/>
      <c r="BB2745" s="152"/>
      <c r="BC2745" s="152"/>
      <c r="BD2745" s="152"/>
      <c r="BE2745" s="152"/>
      <c r="BF2745" s="152"/>
      <c r="BG2745" s="152"/>
      <c r="BH2745" s="152"/>
      <c r="BI2745" s="153"/>
      <c r="BJ2745" s="153"/>
      <c r="BK2745" s="153"/>
      <c r="BL2745" s="153"/>
      <c r="BM2745" s="153"/>
      <c r="BN2745" s="153"/>
      <c r="BO2745" s="153"/>
      <c r="BP2745" s="153"/>
      <c r="BQ2745" s="153"/>
      <c r="BR2745" s="153"/>
      <c r="BS2745" s="153"/>
      <c r="BT2745" s="153"/>
      <c r="BU2745" s="153"/>
      <c r="BV2745" s="153"/>
      <c r="BW2745" s="153"/>
      <c r="BX2745" s="153"/>
      <c r="BY2745" s="153"/>
      <c r="BZ2745" s="153"/>
      <c r="CA2745" s="152"/>
      <c r="CB2745" s="152"/>
    </row>
    <row r="2746" spans="1:80" s="87" customFormat="1" ht="15" x14ac:dyDescent="0.25">
      <c r="A2746" s="152"/>
      <c r="B2746" s="683"/>
      <c r="C2746" s="683"/>
      <c r="D2746" s="698"/>
      <c r="E2746" s="215"/>
      <c r="F2746" s="215"/>
      <c r="G2746" s="153"/>
      <c r="H2746" s="153"/>
      <c r="I2746" s="165">
        <v>24</v>
      </c>
      <c r="J2746" s="312">
        <v>60</v>
      </c>
      <c r="K2746" s="150">
        <v>24</v>
      </c>
      <c r="L2746" s="656">
        <v>576</v>
      </c>
      <c r="M2746" s="663">
        <v>34460</v>
      </c>
      <c r="N2746" s="600">
        <v>4.3601599999999996</v>
      </c>
      <c r="O2746" s="604">
        <v>4.2189999999999997E-3</v>
      </c>
      <c r="P2746" s="150"/>
      <c r="Q2746" s="250"/>
      <c r="R2746" s="250"/>
      <c r="S2746" s="250"/>
      <c r="T2746" s="250">
        <v>3.0000000000000001E-3</v>
      </c>
      <c r="U2746" s="250">
        <v>6.7000000000000004E-2</v>
      </c>
      <c r="V2746" s="250">
        <v>0.31139583380272523</v>
      </c>
      <c r="W2746" s="250">
        <v>0.47497953451344715</v>
      </c>
      <c r="X2746" s="250">
        <v>0.13397821520929873</v>
      </c>
      <c r="Y2746" s="250">
        <v>9.3903412917164236E-3</v>
      </c>
      <c r="Z2746" s="150"/>
      <c r="AA2746" s="150">
        <v>0.84</v>
      </c>
      <c r="AB2746" s="152"/>
      <c r="AC2746" s="152"/>
      <c r="AD2746" s="223">
        <v>11.58202</v>
      </c>
      <c r="AE2746" s="223">
        <v>0.5242388</v>
      </c>
      <c r="AF2746" s="223">
        <v>6.0845570000000002</v>
      </c>
      <c r="AG2746" s="223">
        <v>0.72540020000000005</v>
      </c>
      <c r="AH2746" s="341"/>
      <c r="AI2746" s="218"/>
      <c r="AJ2746" s="218"/>
      <c r="AK2746" s="153"/>
      <c r="AL2746" s="152"/>
      <c r="AM2746" s="152"/>
      <c r="AN2746" s="152"/>
      <c r="AO2746" s="152"/>
      <c r="AP2746" s="152"/>
      <c r="AQ2746" s="152"/>
      <c r="AR2746" s="152"/>
      <c r="AS2746" s="152"/>
      <c r="AT2746" s="152"/>
      <c r="AU2746" s="153"/>
      <c r="AV2746" s="479"/>
      <c r="AW2746" s="479"/>
      <c r="AX2746" s="442"/>
      <c r="AY2746" s="153"/>
      <c r="AZ2746" s="152"/>
      <c r="BA2746" s="152"/>
      <c r="BB2746" s="152"/>
      <c r="BC2746" s="152"/>
      <c r="BD2746" s="152"/>
      <c r="BE2746" s="152"/>
      <c r="BF2746" s="152"/>
      <c r="BG2746" s="152"/>
      <c r="BH2746" s="152"/>
      <c r="BI2746" s="153"/>
      <c r="BJ2746" s="153"/>
      <c r="BK2746" s="153"/>
      <c r="BL2746" s="153"/>
      <c r="BM2746" s="153"/>
      <c r="BN2746" s="153"/>
      <c r="BO2746" s="153"/>
      <c r="BP2746" s="153"/>
      <c r="BQ2746" s="153"/>
      <c r="BR2746" s="153"/>
      <c r="BS2746" s="153"/>
      <c r="BT2746" s="153"/>
      <c r="BU2746" s="153"/>
      <c r="BV2746" s="153"/>
      <c r="BW2746" s="153"/>
      <c r="BX2746" s="153"/>
      <c r="BY2746" s="153"/>
      <c r="BZ2746" s="153"/>
      <c r="CA2746" s="152"/>
      <c r="CB2746" s="152"/>
    </row>
    <row r="2747" spans="1:80" s="87" customFormat="1" ht="15" x14ac:dyDescent="0.25">
      <c r="A2747" s="152"/>
      <c r="B2747" s="683"/>
      <c r="C2747" s="683"/>
      <c r="D2747" s="698"/>
      <c r="E2747" s="215"/>
      <c r="F2747" s="215"/>
      <c r="G2747" s="153"/>
      <c r="H2747" s="153"/>
      <c r="I2747" s="165">
        <v>24</v>
      </c>
      <c r="J2747" s="312">
        <v>60</v>
      </c>
      <c r="K2747" s="150">
        <v>25</v>
      </c>
      <c r="L2747" s="656">
        <v>600</v>
      </c>
      <c r="M2747" s="663">
        <v>34460</v>
      </c>
      <c r="N2747" s="600">
        <v>4.3601599999999996</v>
      </c>
      <c r="O2747" s="604">
        <v>3.1280000000000001E-3</v>
      </c>
      <c r="P2747" s="150"/>
      <c r="Q2747" s="250"/>
      <c r="R2747" s="250"/>
      <c r="S2747" s="250"/>
      <c r="T2747" s="250"/>
      <c r="U2747" s="250">
        <v>3.4000000000000002E-2</v>
      </c>
      <c r="V2747" s="250">
        <v>0.29858548274572055</v>
      </c>
      <c r="W2747" s="250">
        <v>0.53192184935408082</v>
      </c>
      <c r="X2747" s="250">
        <v>0.12470804727864675</v>
      </c>
      <c r="Y2747" s="250">
        <v>1.0451317620968691E-2</v>
      </c>
      <c r="Z2747" s="150"/>
      <c r="AA2747" s="150">
        <v>0.8</v>
      </c>
      <c r="AB2747" s="152"/>
      <c r="AC2747" s="152"/>
      <c r="AD2747" s="223">
        <v>11.58202</v>
      </c>
      <c r="AE2747" s="223">
        <v>0.5242388</v>
      </c>
      <c r="AF2747" s="223">
        <v>6.0845570000000002</v>
      </c>
      <c r="AG2747" s="223">
        <v>0.72540020000000005</v>
      </c>
      <c r="AH2747" s="341"/>
      <c r="AI2747" s="218"/>
      <c r="AJ2747" s="218"/>
      <c r="AK2747" s="153"/>
      <c r="AL2747" s="152"/>
      <c r="AM2747" s="152"/>
      <c r="AN2747" s="152"/>
      <c r="AO2747" s="152"/>
      <c r="AP2747" s="152"/>
      <c r="AQ2747" s="152"/>
      <c r="AR2747" s="152"/>
      <c r="AS2747" s="152"/>
      <c r="AT2747" s="152"/>
      <c r="AU2747" s="153"/>
      <c r="AV2747" s="479"/>
      <c r="AW2747" s="479"/>
      <c r="AX2747" s="442"/>
      <c r="AY2747" s="153"/>
      <c r="AZ2747" s="152"/>
      <c r="BA2747" s="152"/>
      <c r="BB2747" s="152"/>
      <c r="BC2747" s="152"/>
      <c r="BD2747" s="152"/>
      <c r="BE2747" s="152"/>
      <c r="BF2747" s="152"/>
      <c r="BG2747" s="152"/>
      <c r="BH2747" s="152"/>
      <c r="BI2747" s="153"/>
      <c r="BJ2747" s="153"/>
      <c r="BK2747" s="153"/>
      <c r="BL2747" s="153"/>
      <c r="BM2747" s="153"/>
      <c r="BN2747" s="153"/>
      <c r="BO2747" s="153"/>
      <c r="BP2747" s="153"/>
      <c r="BQ2747" s="153"/>
      <c r="BR2747" s="153"/>
      <c r="BS2747" s="153"/>
      <c r="BT2747" s="153"/>
      <c r="BU2747" s="153"/>
      <c r="BV2747" s="153"/>
      <c r="BW2747" s="153"/>
      <c r="BX2747" s="153"/>
      <c r="BY2747" s="153"/>
      <c r="BZ2747" s="153"/>
      <c r="CA2747" s="152"/>
      <c r="CB2747" s="152"/>
    </row>
    <row r="2748" spans="1:80" s="87" customFormat="1" ht="15" x14ac:dyDescent="0.25">
      <c r="A2748" s="152"/>
      <c r="B2748" s="683"/>
      <c r="C2748" s="683"/>
      <c r="D2748" s="698"/>
      <c r="E2748" s="215"/>
      <c r="F2748" s="215"/>
      <c r="G2748" s="153"/>
      <c r="H2748" s="153"/>
      <c r="I2748" s="165">
        <v>24</v>
      </c>
      <c r="J2748" s="312">
        <v>60</v>
      </c>
      <c r="K2748" s="150">
        <v>26</v>
      </c>
      <c r="L2748" s="656">
        <v>624</v>
      </c>
      <c r="M2748" s="663">
        <v>34464</v>
      </c>
      <c r="N2748" s="600">
        <v>5.1812199999999997</v>
      </c>
      <c r="O2748" s="604">
        <v>8.7530000000000004E-3</v>
      </c>
      <c r="P2748" s="150"/>
      <c r="Q2748" s="250"/>
      <c r="R2748" s="250"/>
      <c r="S2748" s="250"/>
      <c r="T2748" s="250">
        <v>6.9999999999999993E-3</v>
      </c>
      <c r="U2748" s="250">
        <v>3.6000000000000004E-2</v>
      </c>
      <c r="V2748" s="250">
        <v>0.17633005638282498</v>
      </c>
      <c r="W2748" s="250">
        <v>0.63470917064237875</v>
      </c>
      <c r="X2748" s="250">
        <v>0.13935472989253531</v>
      </c>
      <c r="Y2748" s="250">
        <v>6.2081345477326411E-3</v>
      </c>
      <c r="Z2748" s="150"/>
      <c r="AA2748" s="150">
        <v>0.74</v>
      </c>
      <c r="AB2748" s="152"/>
      <c r="AC2748" s="152"/>
      <c r="AD2748" s="223">
        <v>11.58202</v>
      </c>
      <c r="AE2748" s="223">
        <v>0.58214889999999997</v>
      </c>
      <c r="AF2748" s="223">
        <v>6.7255256000000001</v>
      </c>
      <c r="AG2748" s="223">
        <v>0.79245399999999999</v>
      </c>
      <c r="AH2748" s="341"/>
      <c r="AI2748" s="218"/>
      <c r="AJ2748" s="218"/>
      <c r="AK2748" s="153"/>
      <c r="AL2748" s="152"/>
      <c r="AM2748" s="152"/>
      <c r="AN2748" s="152"/>
      <c r="AO2748" s="152"/>
      <c r="AP2748" s="152"/>
      <c r="AQ2748" s="152"/>
      <c r="AR2748" s="152"/>
      <c r="AS2748" s="152"/>
      <c r="AT2748" s="152"/>
      <c r="AU2748" s="153"/>
      <c r="AV2748" s="479"/>
      <c r="AW2748" s="479"/>
      <c r="AX2748" s="442"/>
      <c r="AY2748" s="153"/>
      <c r="AZ2748" s="152"/>
      <c r="BA2748" s="152"/>
      <c r="BB2748" s="152"/>
      <c r="BC2748" s="152"/>
      <c r="BD2748" s="152"/>
      <c r="BE2748" s="152"/>
      <c r="BF2748" s="152"/>
      <c r="BG2748" s="152"/>
      <c r="BH2748" s="152"/>
      <c r="BI2748" s="153"/>
      <c r="BJ2748" s="153"/>
      <c r="BK2748" s="153"/>
      <c r="BL2748" s="153"/>
      <c r="BM2748" s="153"/>
      <c r="BN2748" s="153"/>
      <c r="BO2748" s="153"/>
      <c r="BP2748" s="153"/>
      <c r="BQ2748" s="153"/>
      <c r="BR2748" s="153"/>
      <c r="BS2748" s="153"/>
      <c r="BT2748" s="153"/>
      <c r="BU2748" s="153"/>
      <c r="BV2748" s="153"/>
      <c r="BW2748" s="153"/>
      <c r="BX2748" s="153"/>
      <c r="BY2748" s="153"/>
      <c r="BZ2748" s="153"/>
      <c r="CA2748" s="152"/>
      <c r="CB2748" s="152"/>
    </row>
    <row r="2749" spans="1:80" s="87" customFormat="1" ht="15" x14ac:dyDescent="0.25">
      <c r="A2749" s="152"/>
      <c r="B2749" s="683"/>
      <c r="C2749" s="683"/>
      <c r="D2749" s="698"/>
      <c r="E2749" s="215"/>
      <c r="F2749" s="215"/>
      <c r="G2749" s="153"/>
      <c r="H2749" s="153"/>
      <c r="I2749" s="165">
        <v>24</v>
      </c>
      <c r="J2749" s="312">
        <v>60</v>
      </c>
      <c r="K2749" s="150">
        <v>27</v>
      </c>
      <c r="L2749" s="656">
        <v>648</v>
      </c>
      <c r="M2749" s="663">
        <v>34464</v>
      </c>
      <c r="N2749" s="600">
        <v>5.1812199999999997</v>
      </c>
      <c r="O2749" s="604">
        <v>4.0829999999999998E-3</v>
      </c>
      <c r="P2749" s="150"/>
      <c r="Q2749" s="250"/>
      <c r="R2749" s="250"/>
      <c r="S2749" s="250"/>
      <c r="T2749" s="250">
        <v>8.0000000000000002E-3</v>
      </c>
      <c r="U2749" s="250">
        <v>7.4999999999999997E-2</v>
      </c>
      <c r="V2749" s="250">
        <v>0.28739045411747666</v>
      </c>
      <c r="W2749" s="250">
        <v>0.45832083104843302</v>
      </c>
      <c r="X2749" s="250">
        <v>0.15843930097569556</v>
      </c>
      <c r="Y2749" s="250">
        <v>1.2897184657885752E-2</v>
      </c>
      <c r="Z2749" s="150"/>
      <c r="AA2749" s="150">
        <v>0.82</v>
      </c>
      <c r="AB2749" s="152"/>
      <c r="AC2749" s="152"/>
      <c r="AD2749" s="223">
        <v>11.58202</v>
      </c>
      <c r="AE2749" s="223">
        <v>0.58214889999999997</v>
      </c>
      <c r="AF2749" s="223">
        <v>6.7255256000000001</v>
      </c>
      <c r="AG2749" s="223">
        <v>0.79245399999999999</v>
      </c>
      <c r="AH2749" s="341"/>
      <c r="AI2749" s="218"/>
      <c r="AJ2749" s="218"/>
      <c r="AK2749" s="153"/>
      <c r="AL2749" s="152"/>
      <c r="AM2749" s="152"/>
      <c r="AN2749" s="152"/>
      <c r="AO2749" s="152"/>
      <c r="AP2749" s="152"/>
      <c r="AQ2749" s="152"/>
      <c r="AR2749" s="152"/>
      <c r="AS2749" s="152"/>
      <c r="AT2749" s="152"/>
      <c r="AU2749" s="153"/>
      <c r="AV2749" s="479"/>
      <c r="AW2749" s="479"/>
      <c r="AX2749" s="442"/>
      <c r="AY2749" s="153"/>
      <c r="AZ2749" s="152"/>
      <c r="BA2749" s="152"/>
      <c r="BB2749" s="152"/>
      <c r="BC2749" s="152"/>
      <c r="BD2749" s="152"/>
      <c r="BE2749" s="152"/>
      <c r="BF2749" s="152"/>
      <c r="BG2749" s="152"/>
      <c r="BH2749" s="152"/>
      <c r="BI2749" s="153"/>
      <c r="BJ2749" s="153"/>
      <c r="BK2749" s="153"/>
      <c r="BL2749" s="153"/>
      <c r="BM2749" s="153"/>
      <c r="BN2749" s="153"/>
      <c r="BO2749" s="153"/>
      <c r="BP2749" s="153"/>
      <c r="BQ2749" s="153"/>
      <c r="BR2749" s="153"/>
      <c r="BS2749" s="153"/>
      <c r="BT2749" s="153"/>
      <c r="BU2749" s="153"/>
      <c r="BV2749" s="153"/>
      <c r="BW2749" s="153"/>
      <c r="BX2749" s="153"/>
      <c r="BY2749" s="153"/>
      <c r="BZ2749" s="153"/>
      <c r="CA2749" s="152"/>
      <c r="CB2749" s="152"/>
    </row>
    <row r="2750" spans="1:80" s="87" customFormat="1" ht="15" x14ac:dyDescent="0.25">
      <c r="A2750" s="152"/>
      <c r="B2750" s="683"/>
      <c r="C2750" s="683"/>
      <c r="D2750" s="698"/>
      <c r="E2750" s="215"/>
      <c r="F2750" s="215"/>
      <c r="G2750" s="153"/>
      <c r="H2750" s="153"/>
      <c r="I2750" s="165">
        <v>24</v>
      </c>
      <c r="J2750" s="312">
        <v>60</v>
      </c>
      <c r="K2750" s="150">
        <v>28</v>
      </c>
      <c r="L2750" s="656">
        <v>672</v>
      </c>
      <c r="M2750" s="663">
        <v>34467</v>
      </c>
      <c r="N2750" s="600">
        <v>4.6432799999999999</v>
      </c>
      <c r="O2750" s="604">
        <v>1.8469999999999999E-3</v>
      </c>
      <c r="P2750" s="150"/>
      <c r="Q2750" s="250"/>
      <c r="R2750" s="250"/>
      <c r="S2750" s="250"/>
      <c r="T2750" s="250">
        <v>6.0000000000000001E-3</v>
      </c>
      <c r="U2750" s="250">
        <v>6.2E-2</v>
      </c>
      <c r="V2750" s="250">
        <v>0.26499811989380251</v>
      </c>
      <c r="W2750" s="250">
        <v>0.48117045156732485</v>
      </c>
      <c r="X2750" s="250">
        <v>0.16850309362928864</v>
      </c>
      <c r="Y2750" s="250">
        <v>1.6881074737069995E-2</v>
      </c>
      <c r="Z2750" s="150"/>
      <c r="AA2750" s="150">
        <v>0.79</v>
      </c>
      <c r="AB2750" s="152"/>
      <c r="AC2750" s="152"/>
      <c r="AD2750" s="223">
        <v>11.58202</v>
      </c>
      <c r="AE2750" s="223">
        <v>0.5272867</v>
      </c>
      <c r="AF2750" s="223">
        <v>6.1217145999999998</v>
      </c>
      <c r="AG2750" s="223">
        <v>0.77721450000000003</v>
      </c>
      <c r="AH2750" s="341"/>
      <c r="AI2750" s="218"/>
      <c r="AJ2750" s="218"/>
      <c r="AK2750" s="153"/>
      <c r="AL2750" s="152"/>
      <c r="AM2750" s="152"/>
      <c r="AN2750" s="152"/>
      <c r="AO2750" s="152"/>
      <c r="AP2750" s="152"/>
      <c r="AQ2750" s="152"/>
      <c r="AR2750" s="152"/>
      <c r="AS2750" s="152"/>
      <c r="AT2750" s="152"/>
      <c r="AU2750" s="153"/>
      <c r="AV2750" s="479"/>
      <c r="AW2750" s="479"/>
      <c r="AX2750" s="442"/>
      <c r="AY2750" s="153"/>
      <c r="AZ2750" s="152"/>
      <c r="BA2750" s="152"/>
      <c r="BB2750" s="152"/>
      <c r="BC2750" s="152"/>
      <c r="BD2750" s="152"/>
      <c r="BE2750" s="152"/>
      <c r="BF2750" s="152"/>
      <c r="BG2750" s="152"/>
      <c r="BH2750" s="152"/>
      <c r="BI2750" s="153"/>
      <c r="BJ2750" s="153"/>
      <c r="BK2750" s="153"/>
      <c r="BL2750" s="153"/>
      <c r="BM2750" s="153"/>
      <c r="BN2750" s="153"/>
      <c r="BO2750" s="153"/>
      <c r="BP2750" s="153"/>
      <c r="BQ2750" s="153"/>
      <c r="BR2750" s="153"/>
      <c r="BS2750" s="153"/>
      <c r="BT2750" s="153"/>
      <c r="BU2750" s="153"/>
      <c r="BV2750" s="153"/>
      <c r="BW2750" s="153"/>
      <c r="BX2750" s="153"/>
      <c r="BY2750" s="153"/>
      <c r="BZ2750" s="153"/>
      <c r="CA2750" s="152"/>
      <c r="CB2750" s="152"/>
    </row>
    <row r="2751" spans="1:80" s="87" customFormat="1" ht="15" x14ac:dyDescent="0.25">
      <c r="A2751" s="152"/>
      <c r="B2751" s="683"/>
      <c r="C2751" s="683"/>
      <c r="D2751" s="698"/>
      <c r="E2751" s="215"/>
      <c r="F2751" s="215"/>
      <c r="G2751" s="153"/>
      <c r="H2751" s="153"/>
      <c r="I2751" s="165">
        <v>24</v>
      </c>
      <c r="J2751" s="312">
        <v>60</v>
      </c>
      <c r="K2751" s="150">
        <v>29</v>
      </c>
      <c r="L2751" s="656">
        <v>696</v>
      </c>
      <c r="M2751" s="663">
        <v>34467</v>
      </c>
      <c r="N2751" s="600">
        <v>4.6432799999999999</v>
      </c>
      <c r="O2751" s="604">
        <v>4.1460000000000004E-3</v>
      </c>
      <c r="P2751" s="150"/>
      <c r="Q2751" s="250"/>
      <c r="R2751" s="250"/>
      <c r="S2751" s="250"/>
      <c r="T2751" s="250"/>
      <c r="U2751" s="250">
        <v>4.4999999999999998E-2</v>
      </c>
      <c r="V2751" s="250">
        <v>0.29755216284987279</v>
      </c>
      <c r="W2751" s="250">
        <v>0.51511959287531806</v>
      </c>
      <c r="X2751" s="250">
        <v>0.13149618320610687</v>
      </c>
      <c r="Y2751" s="250">
        <v>1.1089058524173028E-2</v>
      </c>
      <c r="Z2751" s="150"/>
      <c r="AA2751" s="150">
        <v>0.81</v>
      </c>
      <c r="AB2751" s="152"/>
      <c r="AC2751" s="152"/>
      <c r="AD2751" s="223">
        <v>11.58202</v>
      </c>
      <c r="AE2751" s="223">
        <v>0.5272867</v>
      </c>
      <c r="AF2751" s="223">
        <v>6.1217145999999998</v>
      </c>
      <c r="AG2751" s="223">
        <v>0.77721450000000003</v>
      </c>
      <c r="AH2751" s="341"/>
      <c r="AI2751" s="218"/>
      <c r="AJ2751" s="218"/>
      <c r="AK2751" s="153"/>
      <c r="AL2751" s="152"/>
      <c r="AM2751" s="152"/>
      <c r="AN2751" s="152"/>
      <c r="AO2751" s="152"/>
      <c r="AP2751" s="152"/>
      <c r="AQ2751" s="152"/>
      <c r="AR2751" s="152"/>
      <c r="AS2751" s="152"/>
      <c r="AT2751" s="152"/>
      <c r="AU2751" s="153"/>
      <c r="AV2751" s="479"/>
      <c r="AW2751" s="479"/>
      <c r="AX2751" s="442"/>
      <c r="AY2751" s="153"/>
      <c r="AZ2751" s="152"/>
      <c r="BA2751" s="152"/>
      <c r="BB2751" s="152"/>
      <c r="BC2751" s="152"/>
      <c r="BD2751" s="152"/>
      <c r="BE2751" s="152"/>
      <c r="BF2751" s="152"/>
      <c r="BG2751" s="152"/>
      <c r="BH2751" s="152"/>
      <c r="BI2751" s="153"/>
      <c r="BJ2751" s="153"/>
      <c r="BK2751" s="153"/>
      <c r="BL2751" s="153"/>
      <c r="BM2751" s="153"/>
      <c r="BN2751" s="153"/>
      <c r="BO2751" s="153"/>
      <c r="BP2751" s="153"/>
      <c r="BQ2751" s="153"/>
      <c r="BR2751" s="153"/>
      <c r="BS2751" s="153"/>
      <c r="BT2751" s="153"/>
      <c r="BU2751" s="153"/>
      <c r="BV2751" s="153"/>
      <c r="BW2751" s="153"/>
      <c r="BX2751" s="153"/>
      <c r="BY2751" s="153"/>
      <c r="BZ2751" s="153"/>
      <c r="CA2751" s="152"/>
      <c r="CB2751" s="152"/>
    </row>
    <row r="2752" spans="1:80" s="87" customFormat="1" ht="15" x14ac:dyDescent="0.25">
      <c r="A2752" s="152"/>
      <c r="B2752" s="683"/>
      <c r="C2752" s="683"/>
      <c r="D2752" s="698"/>
      <c r="E2752" s="215"/>
      <c r="F2752" s="215"/>
      <c r="G2752" s="153"/>
      <c r="H2752" s="153"/>
      <c r="I2752" s="165">
        <v>24</v>
      </c>
      <c r="J2752" s="312">
        <v>60</v>
      </c>
      <c r="K2752" s="150">
        <v>30</v>
      </c>
      <c r="L2752" s="656">
        <v>720</v>
      </c>
      <c r="M2752" s="663">
        <v>34472</v>
      </c>
      <c r="N2752" s="600">
        <v>3.5107699999999999</v>
      </c>
      <c r="O2752" s="604">
        <v>4.9959999999999996E-3</v>
      </c>
      <c r="P2752" s="150"/>
      <c r="Q2752" s="250"/>
      <c r="R2752" s="250"/>
      <c r="S2752" s="250"/>
      <c r="T2752" s="250"/>
      <c r="U2752" s="250">
        <v>4.2999999999999997E-2</v>
      </c>
      <c r="V2752" s="250">
        <v>0.26369975770571796</v>
      </c>
      <c r="W2752" s="250">
        <v>0.52698162109226598</v>
      </c>
      <c r="X2752" s="250">
        <v>0.15764746604081009</v>
      </c>
      <c r="Y2752" s="250">
        <v>9.143021164869862E-3</v>
      </c>
      <c r="Z2752" s="150"/>
      <c r="AA2752" s="150">
        <v>0.78</v>
      </c>
      <c r="AB2752" s="152"/>
      <c r="AC2752" s="152"/>
      <c r="AD2752" s="223">
        <v>11.58202</v>
      </c>
      <c r="AE2752" s="223">
        <v>0.47852030000000001</v>
      </c>
      <c r="AF2752" s="223">
        <v>5.5550611999999999</v>
      </c>
      <c r="AG2752" s="223">
        <v>0.67358589999999996</v>
      </c>
      <c r="AH2752" s="341"/>
      <c r="AI2752" s="218"/>
      <c r="AJ2752" s="218"/>
      <c r="AK2752" s="153"/>
      <c r="AL2752" s="152"/>
      <c r="AM2752" s="152"/>
      <c r="AN2752" s="152"/>
      <c r="AO2752" s="152"/>
      <c r="AP2752" s="152"/>
      <c r="AQ2752" s="152"/>
      <c r="AR2752" s="152"/>
      <c r="AS2752" s="152"/>
      <c r="AT2752" s="152"/>
      <c r="AU2752" s="153"/>
      <c r="AV2752" s="479"/>
      <c r="AW2752" s="479"/>
      <c r="AX2752" s="442"/>
      <c r="AY2752" s="153"/>
      <c r="AZ2752" s="152"/>
      <c r="BA2752" s="152"/>
      <c r="BB2752" s="152"/>
      <c r="BC2752" s="152"/>
      <c r="BD2752" s="152"/>
      <c r="BE2752" s="152"/>
      <c r="BF2752" s="152"/>
      <c r="BG2752" s="152"/>
      <c r="BH2752" s="152"/>
      <c r="BI2752" s="153"/>
      <c r="BJ2752" s="153"/>
      <c r="BK2752" s="153"/>
      <c r="BL2752" s="153"/>
      <c r="BM2752" s="153"/>
      <c r="BN2752" s="153"/>
      <c r="BO2752" s="153"/>
      <c r="BP2752" s="153"/>
      <c r="BQ2752" s="153"/>
      <c r="BR2752" s="153"/>
      <c r="BS2752" s="153"/>
      <c r="BT2752" s="153"/>
      <c r="BU2752" s="153"/>
      <c r="BV2752" s="153"/>
      <c r="BW2752" s="153"/>
      <c r="BX2752" s="153"/>
      <c r="BY2752" s="153"/>
      <c r="BZ2752" s="153"/>
      <c r="CA2752" s="152"/>
      <c r="CB2752" s="152"/>
    </row>
    <row r="2753" spans="1:80" s="87" customFormat="1" ht="15" x14ac:dyDescent="0.25">
      <c r="A2753" s="152"/>
      <c r="B2753" s="683"/>
      <c r="C2753" s="683"/>
      <c r="D2753" s="698"/>
      <c r="E2753" s="215"/>
      <c r="F2753" s="215"/>
      <c r="G2753" s="153"/>
      <c r="H2753" s="153"/>
      <c r="I2753" s="165">
        <v>24</v>
      </c>
      <c r="J2753" s="312">
        <v>60</v>
      </c>
      <c r="K2753" s="150">
        <v>31</v>
      </c>
      <c r="L2753" s="656">
        <v>744</v>
      </c>
      <c r="M2753" s="663">
        <v>34472</v>
      </c>
      <c r="N2753" s="600">
        <v>3.3975200000000001</v>
      </c>
      <c r="O2753" s="604">
        <v>4.4710000000000001E-3</v>
      </c>
      <c r="P2753" s="150"/>
      <c r="Q2753" s="250"/>
      <c r="R2753" s="250"/>
      <c r="S2753" s="250"/>
      <c r="T2753" s="250">
        <v>6.0000000000000001E-3</v>
      </c>
      <c r="U2753" s="250">
        <v>0.106</v>
      </c>
      <c r="V2753" s="250">
        <v>0.23590518796620119</v>
      </c>
      <c r="W2753" s="250">
        <v>0.44620659892132558</v>
      </c>
      <c r="X2753" s="250">
        <v>0.19616827697452355</v>
      </c>
      <c r="Y2753" s="250">
        <v>1.0293864479446467E-2</v>
      </c>
      <c r="Z2753" s="150"/>
      <c r="AA2753" s="150">
        <v>0.79</v>
      </c>
      <c r="AB2753" s="152"/>
      <c r="AC2753" s="152"/>
      <c r="AD2753" s="223">
        <v>11.58202</v>
      </c>
      <c r="AE2753" s="223">
        <v>0.47852030000000001</v>
      </c>
      <c r="AF2753" s="223">
        <v>5.5550611999999999</v>
      </c>
      <c r="AG2753" s="223">
        <v>0.67358589999999996</v>
      </c>
      <c r="AH2753" s="341"/>
      <c r="AI2753" s="218"/>
      <c r="AJ2753" s="218"/>
      <c r="AK2753" s="153"/>
      <c r="AL2753" s="152"/>
      <c r="AM2753" s="152"/>
      <c r="AN2753" s="152"/>
      <c r="AO2753" s="152"/>
      <c r="AP2753" s="152"/>
      <c r="AQ2753" s="152"/>
      <c r="AR2753" s="152"/>
      <c r="AS2753" s="152"/>
      <c r="AT2753" s="152"/>
      <c r="AU2753" s="153"/>
      <c r="AV2753" s="479"/>
      <c r="AW2753" s="479"/>
      <c r="AX2753" s="442"/>
      <c r="AY2753" s="153"/>
      <c r="AZ2753" s="152"/>
      <c r="BA2753" s="152"/>
      <c r="BB2753" s="152"/>
      <c r="BC2753" s="152"/>
      <c r="BD2753" s="152"/>
      <c r="BE2753" s="152"/>
      <c r="BF2753" s="152"/>
      <c r="BG2753" s="152"/>
      <c r="BH2753" s="152"/>
      <c r="BI2753" s="153"/>
      <c r="BJ2753" s="153"/>
      <c r="BK2753" s="153"/>
      <c r="BL2753" s="153"/>
      <c r="BM2753" s="153"/>
      <c r="BN2753" s="153"/>
      <c r="BO2753" s="153"/>
      <c r="BP2753" s="153"/>
      <c r="BQ2753" s="153"/>
      <c r="BR2753" s="153"/>
      <c r="BS2753" s="153"/>
      <c r="BT2753" s="153"/>
      <c r="BU2753" s="153"/>
      <c r="BV2753" s="153"/>
      <c r="BW2753" s="153"/>
      <c r="BX2753" s="153"/>
      <c r="BY2753" s="153"/>
      <c r="BZ2753" s="153"/>
      <c r="CA2753" s="152"/>
      <c r="CB2753" s="152"/>
    </row>
    <row r="2754" spans="1:80" s="87" customFormat="1" ht="15" x14ac:dyDescent="0.25">
      <c r="A2754" s="152"/>
      <c r="B2754" s="683"/>
      <c r="C2754" s="683"/>
      <c r="D2754" s="698"/>
      <c r="E2754" s="215"/>
      <c r="F2754" s="215"/>
      <c r="G2754" s="153"/>
      <c r="H2754" s="153"/>
      <c r="I2754" s="165">
        <v>24</v>
      </c>
      <c r="J2754" s="312">
        <v>60</v>
      </c>
      <c r="K2754" s="150">
        <v>32</v>
      </c>
      <c r="L2754" s="656">
        <v>768</v>
      </c>
      <c r="M2754" s="663">
        <v>34475</v>
      </c>
      <c r="N2754" s="600">
        <v>3.5674000000000001</v>
      </c>
      <c r="O2754" s="604">
        <v>4.1349999999999998E-3</v>
      </c>
      <c r="P2754" s="150"/>
      <c r="Q2754" s="250"/>
      <c r="R2754" s="250"/>
      <c r="S2754" s="250"/>
      <c r="T2754" s="250"/>
      <c r="U2754" s="250">
        <v>0.02</v>
      </c>
      <c r="V2754" s="250">
        <v>0.1854814209673096</v>
      </c>
      <c r="W2754" s="250">
        <v>0.57308688936827457</v>
      </c>
      <c r="X2754" s="250">
        <v>0.21009433119311727</v>
      </c>
      <c r="Y2754" s="250">
        <v>1.1026154886968509E-2</v>
      </c>
      <c r="Z2754" s="150"/>
      <c r="AA2754" s="150">
        <v>0.7</v>
      </c>
      <c r="AB2754" s="152"/>
      <c r="AC2754" s="152"/>
      <c r="AD2754" s="223">
        <v>11.58202</v>
      </c>
      <c r="AE2754" s="223">
        <v>0.47852030000000001</v>
      </c>
      <c r="AF2754" s="223">
        <v>5.5550611999999999</v>
      </c>
      <c r="AG2754" s="223">
        <v>0.66749009999999998</v>
      </c>
      <c r="AH2754" s="341"/>
      <c r="AI2754" s="218"/>
      <c r="AJ2754" s="218"/>
      <c r="AK2754" s="153"/>
      <c r="AL2754" s="152"/>
      <c r="AM2754" s="152"/>
      <c r="AN2754" s="152"/>
      <c r="AO2754" s="152"/>
      <c r="AP2754" s="152"/>
      <c r="AQ2754" s="152"/>
      <c r="AR2754" s="152"/>
      <c r="AS2754" s="152"/>
      <c r="AT2754" s="152"/>
      <c r="AU2754" s="153"/>
      <c r="AV2754" s="479"/>
      <c r="AW2754" s="479"/>
      <c r="AX2754" s="442"/>
      <c r="AY2754" s="153"/>
      <c r="AZ2754" s="152"/>
      <c r="BA2754" s="152"/>
      <c r="BB2754" s="152"/>
      <c r="BC2754" s="152"/>
      <c r="BD2754" s="152"/>
      <c r="BE2754" s="152"/>
      <c r="BF2754" s="152"/>
      <c r="BG2754" s="152"/>
      <c r="BH2754" s="152"/>
      <c r="BI2754" s="153"/>
      <c r="BJ2754" s="153"/>
      <c r="BK2754" s="153"/>
      <c r="BL2754" s="153"/>
      <c r="BM2754" s="153"/>
      <c r="BN2754" s="153"/>
      <c r="BO2754" s="153"/>
      <c r="BP2754" s="153"/>
      <c r="BQ2754" s="153"/>
      <c r="BR2754" s="153"/>
      <c r="BS2754" s="153"/>
      <c r="BT2754" s="153"/>
      <c r="BU2754" s="153"/>
      <c r="BV2754" s="153"/>
      <c r="BW2754" s="153"/>
      <c r="BX2754" s="153"/>
      <c r="BY2754" s="153"/>
      <c r="BZ2754" s="153"/>
      <c r="CA2754" s="152"/>
      <c r="CB2754" s="152"/>
    </row>
    <row r="2755" spans="1:80" s="87" customFormat="1" ht="15" x14ac:dyDescent="0.25">
      <c r="A2755" s="152"/>
      <c r="B2755" s="683"/>
      <c r="C2755" s="683"/>
      <c r="D2755" s="698"/>
      <c r="E2755" s="215"/>
      <c r="F2755" s="215"/>
      <c r="G2755" s="153"/>
      <c r="H2755" s="153"/>
      <c r="I2755" s="165">
        <v>24</v>
      </c>
      <c r="J2755" s="312">
        <v>60</v>
      </c>
      <c r="K2755" s="150">
        <v>33</v>
      </c>
      <c r="L2755" s="656">
        <v>792</v>
      </c>
      <c r="M2755" s="663">
        <v>34475</v>
      </c>
      <c r="N2755" s="600">
        <v>3.5674000000000001</v>
      </c>
      <c r="O2755" s="604">
        <v>1.48E-3</v>
      </c>
      <c r="P2755" s="150"/>
      <c r="Q2755" s="250"/>
      <c r="R2755" s="250"/>
      <c r="S2755" s="250"/>
      <c r="T2755" s="250"/>
      <c r="U2755" s="250">
        <v>2.7000000000000003E-2</v>
      </c>
      <c r="V2755" s="250">
        <v>0.17625441494001401</v>
      </c>
      <c r="W2755" s="250">
        <v>0.49789798807429958</v>
      </c>
      <c r="X2755" s="250">
        <v>0.27755852029799949</v>
      </c>
      <c r="Y2755" s="250">
        <v>2.097722105443782E-2</v>
      </c>
      <c r="Z2755" s="150"/>
      <c r="AA2755" s="150">
        <v>0.66</v>
      </c>
      <c r="AB2755" s="152"/>
      <c r="AC2755" s="152"/>
      <c r="AD2755" s="223">
        <v>11.58202</v>
      </c>
      <c r="AE2755" s="223">
        <v>0.47852030000000001</v>
      </c>
      <c r="AF2755" s="223">
        <v>5.5550611999999999</v>
      </c>
      <c r="AG2755" s="223">
        <v>0.66749009999999998</v>
      </c>
      <c r="AH2755" s="341"/>
      <c r="AI2755" s="218"/>
      <c r="AJ2755" s="218"/>
      <c r="AK2755" s="153"/>
      <c r="AL2755" s="152"/>
      <c r="AM2755" s="152"/>
      <c r="AN2755" s="152"/>
      <c r="AO2755" s="152"/>
      <c r="AP2755" s="152"/>
      <c r="AQ2755" s="152"/>
      <c r="AR2755" s="152"/>
      <c r="AS2755" s="152"/>
      <c r="AT2755" s="152"/>
      <c r="AU2755" s="153"/>
      <c r="AV2755" s="479"/>
      <c r="AW2755" s="479"/>
      <c r="AX2755" s="442"/>
      <c r="AY2755" s="153"/>
      <c r="AZ2755" s="152"/>
      <c r="BA2755" s="152"/>
      <c r="BB2755" s="152"/>
      <c r="BC2755" s="152"/>
      <c r="BD2755" s="152"/>
      <c r="BE2755" s="152"/>
      <c r="BF2755" s="152"/>
      <c r="BG2755" s="152"/>
      <c r="BH2755" s="152"/>
      <c r="BI2755" s="153"/>
      <c r="BJ2755" s="153"/>
      <c r="BK2755" s="153"/>
      <c r="BL2755" s="153"/>
      <c r="BM2755" s="153"/>
      <c r="BN2755" s="153"/>
      <c r="BO2755" s="153"/>
      <c r="BP2755" s="153"/>
      <c r="BQ2755" s="153"/>
      <c r="BR2755" s="153"/>
      <c r="BS2755" s="153"/>
      <c r="BT2755" s="153"/>
      <c r="BU2755" s="153"/>
      <c r="BV2755" s="153"/>
      <c r="BW2755" s="153"/>
      <c r="BX2755" s="153"/>
      <c r="BY2755" s="153"/>
      <c r="BZ2755" s="153"/>
      <c r="CA2755" s="152"/>
      <c r="CB2755" s="152"/>
    </row>
    <row r="2756" spans="1:80" s="87" customFormat="1" ht="15" x14ac:dyDescent="0.25">
      <c r="A2756" s="152"/>
      <c r="B2756" s="683"/>
      <c r="C2756" s="683"/>
      <c r="D2756" s="698"/>
      <c r="E2756" s="215"/>
      <c r="F2756" s="215"/>
      <c r="G2756" s="153"/>
      <c r="H2756" s="153"/>
      <c r="I2756" s="165">
        <v>25</v>
      </c>
      <c r="J2756" s="312">
        <v>60</v>
      </c>
      <c r="K2756" s="150">
        <v>34</v>
      </c>
      <c r="L2756" s="656">
        <v>850</v>
      </c>
      <c r="M2756" s="663">
        <v>34479</v>
      </c>
      <c r="N2756" s="600">
        <v>2.4632100000000001</v>
      </c>
      <c r="O2756" s="604">
        <v>8.4000000000000003E-4</v>
      </c>
      <c r="P2756" s="150"/>
      <c r="Q2756" s="250"/>
      <c r="R2756" s="250"/>
      <c r="S2756" s="250"/>
      <c r="T2756" s="250"/>
      <c r="U2756" s="250">
        <v>2.3E-2</v>
      </c>
      <c r="V2756" s="250">
        <v>0.11337240026775333</v>
      </c>
      <c r="W2756" s="250">
        <v>0.51220743837562976</v>
      </c>
      <c r="X2756" s="250">
        <v>0.32759855788991588</v>
      </c>
      <c r="Y2756" s="250">
        <v>2.3710262703604101E-2</v>
      </c>
      <c r="Z2756" s="150"/>
      <c r="AA2756" s="150">
        <v>0.61</v>
      </c>
      <c r="AB2756" s="152"/>
      <c r="AC2756" s="152"/>
      <c r="AD2756" s="223">
        <v>11.277229999999999</v>
      </c>
      <c r="AE2756" s="223">
        <v>0.396227</v>
      </c>
      <c r="AF2756" s="223">
        <v>4.4774908</v>
      </c>
      <c r="AG2756" s="223">
        <v>0.56690940000000001</v>
      </c>
      <c r="AH2756" s="341"/>
      <c r="AI2756" s="218"/>
      <c r="AJ2756" s="218"/>
      <c r="AK2756" s="153"/>
      <c r="AL2756" s="152"/>
      <c r="AM2756" s="152"/>
      <c r="AN2756" s="152"/>
      <c r="AO2756" s="152"/>
      <c r="AP2756" s="152"/>
      <c r="AQ2756" s="152"/>
      <c r="AR2756" s="152"/>
      <c r="AS2756" s="152"/>
      <c r="AT2756" s="152"/>
      <c r="AU2756" s="153"/>
      <c r="AV2756" s="479"/>
      <c r="AW2756" s="479"/>
      <c r="AX2756" s="442"/>
      <c r="AY2756" s="153"/>
      <c r="AZ2756" s="152"/>
      <c r="BA2756" s="152"/>
      <c r="BB2756" s="152"/>
      <c r="BC2756" s="152"/>
      <c r="BD2756" s="152"/>
      <c r="BE2756" s="152"/>
      <c r="BF2756" s="152"/>
      <c r="BG2756" s="152"/>
      <c r="BH2756" s="152"/>
      <c r="BI2756" s="153"/>
      <c r="BJ2756" s="153"/>
      <c r="BK2756" s="153"/>
      <c r="BL2756" s="153"/>
      <c r="BM2756" s="153"/>
      <c r="BN2756" s="153"/>
      <c r="BO2756" s="153"/>
      <c r="BP2756" s="153"/>
      <c r="BQ2756" s="153"/>
      <c r="BR2756" s="153"/>
      <c r="BS2756" s="153"/>
      <c r="BT2756" s="153"/>
      <c r="BU2756" s="153"/>
      <c r="BV2756" s="153"/>
      <c r="BW2756" s="153"/>
      <c r="BX2756" s="153"/>
      <c r="BY2756" s="153"/>
      <c r="BZ2756" s="153"/>
      <c r="CA2756" s="152"/>
      <c r="CB2756" s="152"/>
    </row>
    <row r="2757" spans="1:80" s="87" customFormat="1" ht="15" x14ac:dyDescent="0.25">
      <c r="A2757" s="152"/>
      <c r="B2757" s="683"/>
      <c r="C2757" s="683"/>
      <c r="D2757" s="698"/>
      <c r="E2757" s="215"/>
      <c r="F2757" s="215"/>
      <c r="G2757" s="153"/>
      <c r="H2757" s="153"/>
      <c r="I2757" s="165">
        <v>25</v>
      </c>
      <c r="J2757" s="312">
        <v>60</v>
      </c>
      <c r="K2757" s="150">
        <v>35</v>
      </c>
      <c r="L2757" s="656">
        <v>875</v>
      </c>
      <c r="M2757" s="663">
        <v>34479</v>
      </c>
      <c r="N2757" s="600">
        <v>2.4632100000000001</v>
      </c>
      <c r="O2757" s="604">
        <v>1.658E-3</v>
      </c>
      <c r="P2757" s="150"/>
      <c r="Q2757" s="250"/>
      <c r="R2757" s="250"/>
      <c r="S2757" s="250"/>
      <c r="T2757" s="250"/>
      <c r="U2757" s="250">
        <v>2.1000000000000001E-2</v>
      </c>
      <c r="V2757" s="250">
        <v>0.18711630944606067</v>
      </c>
      <c r="W2757" s="250">
        <v>0.59288725286469157</v>
      </c>
      <c r="X2757" s="250">
        <v>0.18585168912901506</v>
      </c>
      <c r="Y2757" s="250">
        <v>1.2699637831740189E-2</v>
      </c>
      <c r="Z2757" s="150"/>
      <c r="AA2757" s="150">
        <v>0.71</v>
      </c>
      <c r="AB2757" s="152"/>
      <c r="AC2757" s="152"/>
      <c r="AD2757" s="223">
        <v>11.277229999999999</v>
      </c>
      <c r="AE2757" s="223">
        <v>0.396227</v>
      </c>
      <c r="AF2757" s="223">
        <v>4.4774908</v>
      </c>
      <c r="AG2757" s="223">
        <v>0.56690940000000001</v>
      </c>
      <c r="AH2757" s="341"/>
      <c r="AI2757" s="218"/>
      <c r="AJ2757" s="218"/>
      <c r="AK2757" s="153"/>
      <c r="AL2757" s="152"/>
      <c r="AM2757" s="152"/>
      <c r="AN2757" s="152"/>
      <c r="AO2757" s="152"/>
      <c r="AP2757" s="152"/>
      <c r="AQ2757" s="152"/>
      <c r="AR2757" s="152"/>
      <c r="AS2757" s="152"/>
      <c r="AT2757" s="152"/>
      <c r="AU2757" s="153"/>
      <c r="AV2757" s="479"/>
      <c r="AW2757" s="479"/>
      <c r="AX2757" s="442"/>
      <c r="AY2757" s="153"/>
      <c r="AZ2757" s="152"/>
      <c r="BA2757" s="152"/>
      <c r="BB2757" s="152"/>
      <c r="BC2757" s="152"/>
      <c r="BD2757" s="152"/>
      <c r="BE2757" s="152"/>
      <c r="BF2757" s="152"/>
      <c r="BG2757" s="152"/>
      <c r="BH2757" s="152"/>
      <c r="BI2757" s="153"/>
      <c r="BJ2757" s="153"/>
      <c r="BK2757" s="153"/>
      <c r="BL2757" s="153"/>
      <c r="BM2757" s="153"/>
      <c r="BN2757" s="153"/>
      <c r="BO2757" s="153"/>
      <c r="BP2757" s="153"/>
      <c r="BQ2757" s="153"/>
      <c r="BR2757" s="153"/>
      <c r="BS2757" s="153"/>
      <c r="BT2757" s="153"/>
      <c r="BU2757" s="153"/>
      <c r="BV2757" s="153"/>
      <c r="BW2757" s="153"/>
      <c r="BX2757" s="153"/>
      <c r="BY2757" s="153"/>
      <c r="BZ2757" s="153"/>
      <c r="CA2757" s="152"/>
      <c r="CB2757" s="152"/>
    </row>
    <row r="2758" spans="1:80" s="87" customFormat="1" ht="15" x14ac:dyDescent="0.25">
      <c r="A2758" s="152"/>
      <c r="B2758" s="683"/>
      <c r="C2758" s="683"/>
      <c r="D2758" s="698"/>
      <c r="E2758" s="215"/>
      <c r="F2758" s="215"/>
      <c r="G2758" s="153"/>
      <c r="H2758" s="153"/>
      <c r="I2758" s="165">
        <v>25</v>
      </c>
      <c r="J2758" s="312">
        <v>60</v>
      </c>
      <c r="K2758" s="150">
        <v>36</v>
      </c>
      <c r="L2758" s="656">
        <v>900</v>
      </c>
      <c r="M2758" s="663">
        <v>34481</v>
      </c>
      <c r="N2758" s="600">
        <v>2.25935</v>
      </c>
      <c r="O2758" s="604">
        <v>1.207E-3</v>
      </c>
      <c r="P2758" s="150"/>
      <c r="Q2758" s="250"/>
      <c r="R2758" s="250"/>
      <c r="S2758" s="250"/>
      <c r="T2758" s="250"/>
      <c r="U2758" s="250">
        <v>2.7999999999999997E-2</v>
      </c>
      <c r="V2758" s="250">
        <v>0.2316504203877863</v>
      </c>
      <c r="W2758" s="250">
        <v>0.54263116180640103</v>
      </c>
      <c r="X2758" s="250">
        <v>0.18273182609264055</v>
      </c>
      <c r="Y2758" s="250">
        <v>1.4568540776389648E-2</v>
      </c>
      <c r="Z2758" s="150"/>
      <c r="AA2758" s="150">
        <v>0.74</v>
      </c>
      <c r="AB2758" s="152"/>
      <c r="AC2758" s="152"/>
      <c r="AD2758" s="223">
        <v>11.277229999999999</v>
      </c>
      <c r="AE2758" s="223">
        <v>0.37489169999999999</v>
      </c>
      <c r="AF2758" s="223">
        <v>4.2266769999999996</v>
      </c>
      <c r="AG2758" s="223">
        <v>0.56386150000000002</v>
      </c>
      <c r="AH2758" s="341"/>
      <c r="AI2758" s="218"/>
      <c r="AJ2758" s="218"/>
      <c r="AK2758" s="153"/>
      <c r="AL2758" s="152"/>
      <c r="AM2758" s="152"/>
      <c r="AN2758" s="152"/>
      <c r="AO2758" s="152"/>
      <c r="AP2758" s="152"/>
      <c r="AQ2758" s="152"/>
      <c r="AR2758" s="152"/>
      <c r="AS2758" s="152"/>
      <c r="AT2758" s="152"/>
      <c r="AU2758" s="153"/>
      <c r="AV2758" s="479"/>
      <c r="AW2758" s="479"/>
      <c r="AX2758" s="442"/>
      <c r="AY2758" s="153"/>
      <c r="AZ2758" s="152"/>
      <c r="BA2758" s="152"/>
      <c r="BB2758" s="152"/>
      <c r="BC2758" s="152"/>
      <c r="BD2758" s="152"/>
      <c r="BE2758" s="152"/>
      <c r="BF2758" s="152"/>
      <c r="BG2758" s="152"/>
      <c r="BH2758" s="152"/>
      <c r="BI2758" s="153"/>
      <c r="BJ2758" s="153"/>
      <c r="BK2758" s="153"/>
      <c r="BL2758" s="153"/>
      <c r="BM2758" s="153"/>
      <c r="BN2758" s="153"/>
      <c r="BO2758" s="153"/>
      <c r="BP2758" s="153"/>
      <c r="BQ2758" s="153"/>
      <c r="BR2758" s="153"/>
      <c r="BS2758" s="153"/>
      <c r="BT2758" s="153"/>
      <c r="BU2758" s="153"/>
      <c r="BV2758" s="153"/>
      <c r="BW2758" s="153"/>
      <c r="BX2758" s="153"/>
      <c r="BY2758" s="153"/>
      <c r="BZ2758" s="153"/>
      <c r="CA2758" s="152"/>
      <c r="CB2758" s="152"/>
    </row>
    <row r="2759" spans="1:80" s="87" customFormat="1" ht="15" x14ac:dyDescent="0.25">
      <c r="A2759" s="152"/>
      <c r="B2759" s="683"/>
      <c r="C2759" s="683"/>
      <c r="D2759" s="698"/>
      <c r="E2759" s="215"/>
      <c r="F2759" s="215"/>
      <c r="G2759" s="153"/>
      <c r="H2759" s="153"/>
      <c r="I2759" s="165">
        <v>25</v>
      </c>
      <c r="J2759" s="312">
        <v>60</v>
      </c>
      <c r="K2759" s="150">
        <v>37</v>
      </c>
      <c r="L2759" s="656">
        <v>925</v>
      </c>
      <c r="M2759" s="663">
        <v>34481</v>
      </c>
      <c r="N2759" s="600">
        <v>2.25935</v>
      </c>
      <c r="O2759" s="604">
        <v>1.5319999999999999E-3</v>
      </c>
      <c r="P2759" s="150"/>
      <c r="Q2759" s="250"/>
      <c r="R2759" s="250"/>
      <c r="S2759" s="250"/>
      <c r="T2759" s="250"/>
      <c r="U2759" s="250">
        <v>4.9000000000000002E-2</v>
      </c>
      <c r="V2759" s="250">
        <v>0.26255789784318506</v>
      </c>
      <c r="W2759" s="250">
        <v>0.50363104479143939</v>
      </c>
      <c r="X2759" s="250">
        <v>0.16733599353340434</v>
      </c>
      <c r="Y2759" s="250">
        <v>1.744954387405535E-2</v>
      </c>
      <c r="Z2759" s="150"/>
      <c r="AA2759" s="150">
        <v>0.77</v>
      </c>
      <c r="AB2759" s="152"/>
      <c r="AC2759" s="152"/>
      <c r="AD2759" s="223">
        <v>11.277229999999999</v>
      </c>
      <c r="AE2759" s="223">
        <v>0.37489169999999999</v>
      </c>
      <c r="AF2759" s="223">
        <v>4.2266769999999996</v>
      </c>
      <c r="AG2759" s="223">
        <v>0.56386150000000002</v>
      </c>
      <c r="AH2759" s="341"/>
      <c r="AI2759" s="218"/>
      <c r="AJ2759" s="218"/>
      <c r="AK2759" s="153"/>
      <c r="AL2759" s="152"/>
      <c r="AM2759" s="152"/>
      <c r="AN2759" s="152"/>
      <c r="AO2759" s="152"/>
      <c r="AP2759" s="152"/>
      <c r="AQ2759" s="152"/>
      <c r="AR2759" s="152"/>
      <c r="AS2759" s="152"/>
      <c r="AT2759" s="152"/>
      <c r="AU2759" s="153"/>
      <c r="AV2759" s="479"/>
      <c r="AW2759" s="479"/>
      <c r="AX2759" s="442"/>
      <c r="AY2759" s="153"/>
      <c r="AZ2759" s="152"/>
      <c r="BA2759" s="152"/>
      <c r="BB2759" s="152"/>
      <c r="BC2759" s="152"/>
      <c r="BD2759" s="152"/>
      <c r="BE2759" s="152"/>
      <c r="BF2759" s="152"/>
      <c r="BG2759" s="152"/>
      <c r="BH2759" s="152"/>
      <c r="BI2759" s="153"/>
      <c r="BJ2759" s="153"/>
      <c r="BK2759" s="153"/>
      <c r="BL2759" s="153"/>
      <c r="BM2759" s="153"/>
      <c r="BN2759" s="153"/>
      <c r="BO2759" s="153"/>
      <c r="BP2759" s="153"/>
      <c r="BQ2759" s="153"/>
      <c r="BR2759" s="153"/>
      <c r="BS2759" s="153"/>
      <c r="BT2759" s="153"/>
      <c r="BU2759" s="153"/>
      <c r="BV2759" s="153"/>
      <c r="BW2759" s="153"/>
      <c r="BX2759" s="153"/>
      <c r="BY2759" s="153"/>
      <c r="BZ2759" s="153"/>
      <c r="CA2759" s="152"/>
      <c r="CB2759" s="152"/>
    </row>
    <row r="2760" spans="1:80" s="87" customFormat="1" ht="15" x14ac:dyDescent="0.25">
      <c r="A2760" s="152"/>
      <c r="B2760" s="683"/>
      <c r="C2760" s="683"/>
      <c r="D2760" s="698"/>
      <c r="E2760" s="215"/>
      <c r="F2760" s="215"/>
      <c r="G2760" s="153"/>
      <c r="H2760" s="153"/>
      <c r="I2760" s="165">
        <v>24</v>
      </c>
      <c r="J2760" s="312">
        <v>60</v>
      </c>
      <c r="K2760" s="150">
        <v>38</v>
      </c>
      <c r="L2760" s="656">
        <v>912</v>
      </c>
      <c r="M2760" s="663">
        <v>34494</v>
      </c>
      <c r="N2760" s="600">
        <v>1.8006899999999999</v>
      </c>
      <c r="O2760" s="604">
        <v>2.7290000000000001E-3</v>
      </c>
      <c r="P2760" s="150"/>
      <c r="Q2760" s="250"/>
      <c r="R2760" s="250"/>
      <c r="S2760" s="250"/>
      <c r="T2760" s="250">
        <v>1.6E-2</v>
      </c>
      <c r="U2760" s="250">
        <v>6.8000000000000005E-2</v>
      </c>
      <c r="V2760" s="250">
        <v>0.29488880037433923</v>
      </c>
      <c r="W2760" s="250">
        <v>0.47862438077412434</v>
      </c>
      <c r="X2760" s="250">
        <v>0.13033810409568855</v>
      </c>
      <c r="Y2760" s="250">
        <v>1.1926261364559205E-2</v>
      </c>
      <c r="Z2760" s="150"/>
      <c r="AA2760" s="150">
        <v>0.84</v>
      </c>
      <c r="AB2760" s="152"/>
      <c r="AC2760" s="152"/>
      <c r="AD2760" s="223">
        <v>11.642977999999999</v>
      </c>
      <c r="AE2760" s="223">
        <v>0.30479000000000001</v>
      </c>
      <c r="AF2760" s="223">
        <v>3.5485508000000001</v>
      </c>
      <c r="AG2760" s="223">
        <v>0.49375980000000003</v>
      </c>
      <c r="AH2760" s="341"/>
      <c r="AI2760" s="218"/>
      <c r="AJ2760" s="218"/>
      <c r="AK2760" s="153"/>
      <c r="AL2760" s="152"/>
      <c r="AM2760" s="152"/>
      <c r="AN2760" s="152"/>
      <c r="AO2760" s="152"/>
      <c r="AP2760" s="152"/>
      <c r="AQ2760" s="152"/>
      <c r="AR2760" s="152"/>
      <c r="AS2760" s="152"/>
      <c r="AT2760" s="152"/>
      <c r="AU2760" s="153"/>
      <c r="AV2760" s="479"/>
      <c r="AW2760" s="479"/>
      <c r="AX2760" s="442"/>
      <c r="AY2760" s="153"/>
      <c r="AZ2760" s="152"/>
      <c r="BA2760" s="152"/>
      <c r="BB2760" s="152"/>
      <c r="BC2760" s="152"/>
      <c r="BD2760" s="152"/>
      <c r="BE2760" s="152"/>
      <c r="BF2760" s="152"/>
      <c r="BG2760" s="152"/>
      <c r="BH2760" s="152"/>
      <c r="BI2760" s="153"/>
      <c r="BJ2760" s="153"/>
      <c r="BK2760" s="153"/>
      <c r="BL2760" s="153"/>
      <c r="BM2760" s="153"/>
      <c r="BN2760" s="153"/>
      <c r="BO2760" s="153"/>
      <c r="BP2760" s="153"/>
      <c r="BQ2760" s="153"/>
      <c r="BR2760" s="153"/>
      <c r="BS2760" s="153"/>
      <c r="BT2760" s="153"/>
      <c r="BU2760" s="153"/>
      <c r="BV2760" s="153"/>
      <c r="BW2760" s="153"/>
      <c r="BX2760" s="153"/>
      <c r="BY2760" s="153"/>
      <c r="BZ2760" s="153"/>
      <c r="CA2760" s="152"/>
      <c r="CB2760" s="152"/>
    </row>
    <row r="2761" spans="1:80" s="87" customFormat="1" ht="15" x14ac:dyDescent="0.25">
      <c r="A2761" s="152"/>
      <c r="B2761" s="683"/>
      <c r="C2761" s="683"/>
      <c r="D2761" s="698"/>
      <c r="E2761" s="215"/>
      <c r="F2761" s="215"/>
      <c r="G2761" s="153"/>
      <c r="H2761" s="153"/>
      <c r="I2761" s="165">
        <v>24</v>
      </c>
      <c r="J2761" s="312">
        <v>60</v>
      </c>
      <c r="K2761" s="150">
        <v>39</v>
      </c>
      <c r="L2761" s="656">
        <v>936</v>
      </c>
      <c r="M2761" s="663">
        <v>34494</v>
      </c>
      <c r="N2761" s="600">
        <v>1.8006899999999999</v>
      </c>
      <c r="O2761" s="604">
        <v>4.9600000000000002E-4</v>
      </c>
      <c r="P2761" s="150"/>
      <c r="Q2761" s="250"/>
      <c r="R2761" s="250"/>
      <c r="S2761" s="250"/>
      <c r="T2761" s="250"/>
      <c r="U2761" s="250">
        <v>0.114</v>
      </c>
      <c r="V2761" s="250">
        <v>0.21013723074308538</v>
      </c>
      <c r="W2761" s="250">
        <v>0.44100777499256488</v>
      </c>
      <c r="X2761" s="250">
        <v>0.20331817988698644</v>
      </c>
      <c r="Y2761" s="250">
        <v>3.1163699706844544E-2</v>
      </c>
      <c r="Z2761" s="150"/>
      <c r="AA2761" s="150">
        <v>0.76</v>
      </c>
      <c r="AB2761" s="152"/>
      <c r="AC2761" s="152"/>
      <c r="AD2761" s="223">
        <v>11.642977999999999</v>
      </c>
      <c r="AE2761" s="223">
        <v>0.30479000000000001</v>
      </c>
      <c r="AF2761" s="223">
        <v>3.5485508000000001</v>
      </c>
      <c r="AG2761" s="223">
        <v>0.49375980000000003</v>
      </c>
      <c r="AH2761" s="341"/>
      <c r="AI2761" s="218"/>
      <c r="AJ2761" s="218"/>
      <c r="AK2761" s="153"/>
      <c r="AL2761" s="152"/>
      <c r="AM2761" s="152"/>
      <c r="AN2761" s="152"/>
      <c r="AO2761" s="152"/>
      <c r="AP2761" s="152"/>
      <c r="AQ2761" s="152"/>
      <c r="AR2761" s="152"/>
      <c r="AS2761" s="152"/>
      <c r="AT2761" s="152"/>
      <c r="AU2761" s="153"/>
      <c r="AV2761" s="479"/>
      <c r="AW2761" s="479"/>
      <c r="AX2761" s="442"/>
      <c r="AY2761" s="153"/>
      <c r="AZ2761" s="152"/>
      <c r="BA2761" s="152"/>
      <c r="BB2761" s="152"/>
      <c r="BC2761" s="152"/>
      <c r="BD2761" s="152"/>
      <c r="BE2761" s="152"/>
      <c r="BF2761" s="152"/>
      <c r="BG2761" s="152"/>
      <c r="BH2761" s="152"/>
      <c r="BI2761" s="153"/>
      <c r="BJ2761" s="153"/>
      <c r="BK2761" s="153"/>
      <c r="BL2761" s="153"/>
      <c r="BM2761" s="153"/>
      <c r="BN2761" s="153"/>
      <c r="BO2761" s="153"/>
      <c r="BP2761" s="153"/>
      <c r="BQ2761" s="153"/>
      <c r="BR2761" s="153"/>
      <c r="BS2761" s="153"/>
      <c r="BT2761" s="153"/>
      <c r="BU2761" s="153"/>
      <c r="BV2761" s="153"/>
      <c r="BW2761" s="153"/>
      <c r="BX2761" s="153"/>
      <c r="BY2761" s="153"/>
      <c r="BZ2761" s="153"/>
      <c r="CA2761" s="152"/>
      <c r="CB2761" s="152"/>
    </row>
    <row r="2762" spans="1:80" s="87" customFormat="1" ht="15" x14ac:dyDescent="0.25">
      <c r="A2762" s="152"/>
      <c r="B2762" s="683"/>
      <c r="C2762" s="683"/>
      <c r="D2762" s="698"/>
      <c r="E2762" s="215"/>
      <c r="F2762" s="215"/>
      <c r="G2762" s="153"/>
      <c r="H2762" s="153"/>
      <c r="I2762" s="165">
        <v>20</v>
      </c>
      <c r="J2762" s="312">
        <v>60</v>
      </c>
      <c r="K2762" s="150">
        <v>40</v>
      </c>
      <c r="L2762" s="656">
        <v>800</v>
      </c>
      <c r="M2762" s="663">
        <v>34498</v>
      </c>
      <c r="N2762" s="600">
        <v>1.95641</v>
      </c>
      <c r="O2762" s="604">
        <v>4.2900000000000002E-4</v>
      </c>
      <c r="P2762" s="150"/>
      <c r="Q2762" s="250"/>
      <c r="R2762" s="250"/>
      <c r="S2762" s="250"/>
      <c r="T2762" s="250"/>
      <c r="U2762" s="250">
        <v>3.7999999999999999E-2</v>
      </c>
      <c r="V2762" s="250">
        <v>0.17605384342897626</v>
      </c>
      <c r="W2762" s="250">
        <v>0.41761128822765381</v>
      </c>
      <c r="X2762" s="250">
        <v>0.2819400165308773</v>
      </c>
      <c r="Y2762" s="250">
        <v>8.6550950525445744E-2</v>
      </c>
      <c r="Z2762" s="150"/>
      <c r="AA2762" s="150">
        <v>0.62</v>
      </c>
      <c r="AB2762" s="152"/>
      <c r="AC2762" s="152"/>
      <c r="AD2762" s="223">
        <v>11.734415</v>
      </c>
      <c r="AE2762" s="223">
        <v>0.31088579999999999</v>
      </c>
      <c r="AF2762" s="223">
        <v>3.6414447999999999</v>
      </c>
      <c r="AG2762" s="223">
        <v>0.53033459999999999</v>
      </c>
      <c r="AH2762" s="341"/>
      <c r="AI2762" s="218"/>
      <c r="AJ2762" s="218"/>
      <c r="AK2762" s="153"/>
      <c r="AL2762" s="152"/>
      <c r="AM2762" s="152"/>
      <c r="AN2762" s="152"/>
      <c r="AO2762" s="152"/>
      <c r="AP2762" s="152"/>
      <c r="AQ2762" s="152"/>
      <c r="AR2762" s="152"/>
      <c r="AS2762" s="152"/>
      <c r="AT2762" s="152"/>
      <c r="AU2762" s="153"/>
      <c r="AV2762" s="479"/>
      <c r="AW2762" s="479"/>
      <c r="AX2762" s="442"/>
      <c r="AY2762" s="153"/>
      <c r="AZ2762" s="152"/>
      <c r="BA2762" s="152"/>
      <c r="BB2762" s="152"/>
      <c r="BC2762" s="152"/>
      <c r="BD2762" s="152"/>
      <c r="BE2762" s="152"/>
      <c r="BF2762" s="152"/>
      <c r="BG2762" s="152"/>
      <c r="BH2762" s="152"/>
      <c r="BI2762" s="153"/>
      <c r="BJ2762" s="153"/>
      <c r="BK2762" s="153"/>
      <c r="BL2762" s="153"/>
      <c r="BM2762" s="153"/>
      <c r="BN2762" s="153"/>
      <c r="BO2762" s="153"/>
      <c r="BP2762" s="153"/>
      <c r="BQ2762" s="153"/>
      <c r="BR2762" s="153"/>
      <c r="BS2762" s="153"/>
      <c r="BT2762" s="153"/>
      <c r="BU2762" s="153"/>
      <c r="BV2762" s="153"/>
      <c r="BW2762" s="153"/>
      <c r="BX2762" s="153"/>
      <c r="BY2762" s="153"/>
      <c r="BZ2762" s="153"/>
      <c r="CA2762" s="152"/>
      <c r="CB2762" s="152"/>
    </row>
    <row r="2763" spans="1:80" s="87" customFormat="1" ht="15" x14ac:dyDescent="0.25">
      <c r="A2763" s="152"/>
      <c r="B2763" s="683"/>
      <c r="C2763" s="683"/>
      <c r="D2763" s="698"/>
      <c r="E2763" s="215"/>
      <c r="F2763" s="215"/>
      <c r="G2763" s="153"/>
      <c r="H2763" s="153"/>
      <c r="I2763" s="165">
        <v>20</v>
      </c>
      <c r="J2763" s="312">
        <v>60</v>
      </c>
      <c r="K2763" s="150">
        <v>41</v>
      </c>
      <c r="L2763" s="656">
        <v>820</v>
      </c>
      <c r="M2763" s="663">
        <v>34498</v>
      </c>
      <c r="N2763" s="600">
        <v>1.95641</v>
      </c>
      <c r="O2763" s="604">
        <v>3.1380000000000002E-3</v>
      </c>
      <c r="P2763" s="150"/>
      <c r="Q2763" s="250"/>
      <c r="R2763" s="250"/>
      <c r="S2763" s="250">
        <v>5.7000000000000002E-2</v>
      </c>
      <c r="T2763" s="250">
        <v>6.7000000000000004E-2</v>
      </c>
      <c r="U2763" s="250">
        <v>0.13500000000000001</v>
      </c>
      <c r="V2763" s="250">
        <v>0.29756280737456697</v>
      </c>
      <c r="W2763" s="250">
        <v>0.34961762401983348</v>
      </c>
      <c r="X2763" s="250">
        <v>8.6686693961931988E-2</v>
      </c>
      <c r="Y2763" s="250">
        <v>7.4294805016514439E-3</v>
      </c>
      <c r="Z2763" s="150"/>
      <c r="AA2763" s="150">
        <v>1.1399999999999999</v>
      </c>
      <c r="AB2763" s="152"/>
      <c r="AC2763" s="152"/>
      <c r="AD2763" s="223">
        <v>11.734415</v>
      </c>
      <c r="AE2763" s="223">
        <v>0.31088579999999999</v>
      </c>
      <c r="AF2763" s="223">
        <v>3.6414447999999999</v>
      </c>
      <c r="AG2763" s="223">
        <v>0.53033459999999999</v>
      </c>
      <c r="AH2763" s="341"/>
      <c r="AI2763" s="218"/>
      <c r="AJ2763" s="218"/>
      <c r="AK2763" s="153"/>
      <c r="AL2763" s="152"/>
      <c r="AM2763" s="152"/>
      <c r="AN2763" s="152"/>
      <c r="AO2763" s="152"/>
      <c r="AP2763" s="152"/>
      <c r="AQ2763" s="152"/>
      <c r="AR2763" s="152"/>
      <c r="AS2763" s="152"/>
      <c r="AT2763" s="152"/>
      <c r="AU2763" s="153"/>
      <c r="AV2763" s="479"/>
      <c r="AW2763" s="479"/>
      <c r="AX2763" s="442"/>
      <c r="AY2763" s="153"/>
      <c r="AZ2763" s="152"/>
      <c r="BA2763" s="152"/>
      <c r="BB2763" s="152"/>
      <c r="BC2763" s="152"/>
      <c r="BD2763" s="152"/>
      <c r="BE2763" s="152"/>
      <c r="BF2763" s="152"/>
      <c r="BG2763" s="152"/>
      <c r="BH2763" s="152"/>
      <c r="BI2763" s="153"/>
      <c r="BJ2763" s="153"/>
      <c r="BK2763" s="153"/>
      <c r="BL2763" s="153"/>
      <c r="BM2763" s="153"/>
      <c r="BN2763" s="153"/>
      <c r="BO2763" s="153"/>
      <c r="BP2763" s="153"/>
      <c r="BQ2763" s="153"/>
      <c r="BR2763" s="153"/>
      <c r="BS2763" s="153"/>
      <c r="BT2763" s="153"/>
      <c r="BU2763" s="153"/>
      <c r="BV2763" s="153"/>
      <c r="BW2763" s="153"/>
      <c r="BX2763" s="153"/>
      <c r="BY2763" s="153"/>
      <c r="BZ2763" s="153"/>
      <c r="CA2763" s="152"/>
      <c r="CB2763" s="152"/>
    </row>
    <row r="2764" spans="1:80" s="87" customFormat="1" ht="15" x14ac:dyDescent="0.25">
      <c r="A2764" s="152"/>
      <c r="B2764" s="683"/>
      <c r="C2764" s="683"/>
      <c r="D2764" s="698"/>
      <c r="E2764" s="215"/>
      <c r="F2764" s="215"/>
      <c r="G2764" s="153"/>
      <c r="H2764" s="153"/>
      <c r="I2764" s="165">
        <v>20</v>
      </c>
      <c r="J2764" s="312">
        <v>60</v>
      </c>
      <c r="K2764" s="150">
        <v>42</v>
      </c>
      <c r="L2764" s="656">
        <v>840</v>
      </c>
      <c r="M2764" s="663">
        <v>34502</v>
      </c>
      <c r="N2764" s="600">
        <v>3.3125900000000001</v>
      </c>
      <c r="O2764" s="604">
        <v>3.516E-3</v>
      </c>
      <c r="P2764" s="150"/>
      <c r="Q2764" s="250"/>
      <c r="R2764" s="250"/>
      <c r="S2764" s="250"/>
      <c r="T2764" s="250">
        <v>6.9999999999999993E-3</v>
      </c>
      <c r="U2764" s="250">
        <v>9.1999999999999998E-2</v>
      </c>
      <c r="V2764" s="250">
        <v>0.30654827968923415</v>
      </c>
      <c r="W2764" s="250">
        <v>0.43254901960784314</v>
      </c>
      <c r="X2764" s="250">
        <v>0.14748797632260449</v>
      </c>
      <c r="Y2764" s="250">
        <v>1.4409914909359969E-2</v>
      </c>
      <c r="Z2764" s="150"/>
      <c r="AA2764" s="150">
        <v>0.86</v>
      </c>
      <c r="AB2764" s="152"/>
      <c r="AC2764" s="152"/>
      <c r="AD2764" s="223">
        <v>11.947768</v>
      </c>
      <c r="AE2764" s="223">
        <v>0.43584970000000001</v>
      </c>
      <c r="AF2764" s="223">
        <v>5.1927745999999999</v>
      </c>
      <c r="AG2764" s="223">
        <v>0.63701110000000005</v>
      </c>
      <c r="AH2764" s="341"/>
      <c r="AI2764" s="218"/>
      <c r="AJ2764" s="218"/>
      <c r="AK2764" s="153"/>
      <c r="AL2764" s="152"/>
      <c r="AM2764" s="152"/>
      <c r="AN2764" s="152"/>
      <c r="AO2764" s="152"/>
      <c r="AP2764" s="152"/>
      <c r="AQ2764" s="152"/>
      <c r="AR2764" s="152"/>
      <c r="AS2764" s="152"/>
      <c r="AT2764" s="152"/>
      <c r="AU2764" s="153"/>
      <c r="AV2764" s="479"/>
      <c r="AW2764" s="479"/>
      <c r="AX2764" s="442"/>
      <c r="AY2764" s="153"/>
      <c r="AZ2764" s="152"/>
      <c r="BA2764" s="152"/>
      <c r="BB2764" s="152"/>
      <c r="BC2764" s="152"/>
      <c r="BD2764" s="152"/>
      <c r="BE2764" s="152"/>
      <c r="BF2764" s="152"/>
      <c r="BG2764" s="152"/>
      <c r="BH2764" s="152"/>
      <c r="BI2764" s="153"/>
      <c r="BJ2764" s="153"/>
      <c r="BK2764" s="153"/>
      <c r="BL2764" s="153"/>
      <c r="BM2764" s="153"/>
      <c r="BN2764" s="153"/>
      <c r="BO2764" s="153"/>
      <c r="BP2764" s="153"/>
      <c r="BQ2764" s="153"/>
      <c r="BR2764" s="153"/>
      <c r="BS2764" s="153"/>
      <c r="BT2764" s="153"/>
      <c r="BU2764" s="153"/>
      <c r="BV2764" s="153"/>
      <c r="BW2764" s="153"/>
      <c r="BX2764" s="153"/>
      <c r="BY2764" s="153"/>
      <c r="BZ2764" s="153"/>
      <c r="CA2764" s="152"/>
      <c r="CB2764" s="152"/>
    </row>
    <row r="2765" spans="1:80" s="87" customFormat="1" x14ac:dyDescent="0.2">
      <c r="A2765" s="152"/>
      <c r="B2765" s="683"/>
      <c r="C2765" s="683"/>
      <c r="D2765" s="698"/>
      <c r="E2765" s="215"/>
      <c r="F2765" s="215"/>
      <c r="G2765" s="153"/>
      <c r="H2765" s="153"/>
      <c r="I2765" s="314">
        <v>20</v>
      </c>
      <c r="J2765" s="312">
        <v>60</v>
      </c>
      <c r="K2765" s="150">
        <v>43</v>
      </c>
      <c r="L2765" s="656">
        <v>860</v>
      </c>
      <c r="M2765" s="663">
        <v>34773</v>
      </c>
      <c r="N2765" s="600">
        <v>5.9456699999999998</v>
      </c>
      <c r="O2765" s="604">
        <v>8.4600000000000005E-3</v>
      </c>
      <c r="P2765" s="150"/>
      <c r="Q2765" s="250"/>
      <c r="R2765" s="250"/>
      <c r="S2765" s="250"/>
      <c r="T2765" s="250">
        <v>2.1000000000000001E-2</v>
      </c>
      <c r="U2765" s="250">
        <v>6.7000000000000004E-2</v>
      </c>
      <c r="V2765" s="250">
        <v>0.38299999999999995</v>
      </c>
      <c r="W2765" s="250">
        <v>0.36663300000000004</v>
      </c>
      <c r="X2765" s="250">
        <v>0.156</v>
      </c>
      <c r="Y2765" s="250">
        <v>5.0000000000000001E-3</v>
      </c>
      <c r="Z2765" s="150">
        <v>5</v>
      </c>
      <c r="AA2765" s="150">
        <v>0.95</v>
      </c>
      <c r="AB2765" s="152"/>
      <c r="AC2765" s="152"/>
      <c r="AD2765" s="223">
        <v>11.58202</v>
      </c>
      <c r="AE2765" s="223">
        <v>0.63396319999999995</v>
      </c>
      <c r="AF2765" s="223">
        <v>7.3572047999999999</v>
      </c>
      <c r="AG2765" s="223">
        <v>0.80769349999999995</v>
      </c>
      <c r="AH2765" s="341"/>
      <c r="AI2765" s="218"/>
      <c r="AJ2765" s="218"/>
      <c r="AK2765" s="153"/>
      <c r="AL2765" s="152"/>
      <c r="AM2765" s="152"/>
      <c r="AN2765" s="152"/>
      <c r="AO2765" s="152"/>
      <c r="AP2765" s="152"/>
      <c r="AQ2765" s="152"/>
      <c r="AR2765" s="152"/>
      <c r="AS2765" s="152"/>
      <c r="AT2765" s="152"/>
      <c r="AU2765" s="153"/>
      <c r="AV2765" s="479"/>
      <c r="AW2765" s="479"/>
      <c r="AX2765" s="442"/>
      <c r="AY2765" s="153"/>
      <c r="AZ2765" s="152"/>
      <c r="BA2765" s="152"/>
      <c r="BB2765" s="152"/>
      <c r="BC2765" s="152"/>
      <c r="BD2765" s="152"/>
      <c r="BE2765" s="152"/>
      <c r="BF2765" s="152"/>
      <c r="BG2765" s="152"/>
      <c r="BH2765" s="152"/>
      <c r="BI2765" s="153"/>
      <c r="BJ2765" s="153"/>
      <c r="BK2765" s="153"/>
      <c r="BL2765" s="153"/>
      <c r="BM2765" s="153"/>
      <c r="BN2765" s="153"/>
      <c r="BO2765" s="153"/>
      <c r="BP2765" s="153"/>
      <c r="BQ2765" s="153"/>
      <c r="BR2765" s="153"/>
      <c r="BS2765" s="153"/>
      <c r="BT2765" s="153"/>
      <c r="BU2765" s="153"/>
      <c r="BV2765" s="153"/>
      <c r="BW2765" s="153"/>
      <c r="BX2765" s="153"/>
      <c r="BY2765" s="153"/>
      <c r="BZ2765" s="153"/>
      <c r="CA2765" s="152"/>
      <c r="CB2765" s="152"/>
    </row>
    <row r="2766" spans="1:80" s="87" customFormat="1" x14ac:dyDescent="0.2">
      <c r="A2766" s="152"/>
      <c r="B2766" s="683"/>
      <c r="C2766" s="683"/>
      <c r="D2766" s="698"/>
      <c r="E2766" s="215"/>
      <c r="F2766" s="215"/>
      <c r="G2766" s="153"/>
      <c r="H2766" s="153"/>
      <c r="I2766" s="315">
        <v>24</v>
      </c>
      <c r="J2766" s="312">
        <v>60</v>
      </c>
      <c r="K2766" s="150">
        <v>44</v>
      </c>
      <c r="L2766" s="656">
        <v>1056</v>
      </c>
      <c r="M2766" s="663">
        <v>34773</v>
      </c>
      <c r="N2766" s="600">
        <v>5.9456699999999998</v>
      </c>
      <c r="O2766" s="604">
        <v>3.8310000000000002E-3</v>
      </c>
      <c r="P2766" s="150"/>
      <c r="Q2766" s="250"/>
      <c r="R2766" s="250"/>
      <c r="S2766" s="250"/>
      <c r="T2766" s="250">
        <v>8.0000000000000002E-3</v>
      </c>
      <c r="U2766" s="250">
        <v>5.7999999999999996E-2</v>
      </c>
      <c r="V2766" s="250">
        <v>0.36299999999999999</v>
      </c>
      <c r="W2766" s="250">
        <v>0.41258699999999993</v>
      </c>
      <c r="X2766" s="250">
        <v>0.15</v>
      </c>
      <c r="Y2766" s="250">
        <v>8.0000000000000002E-3</v>
      </c>
      <c r="Z2766" s="150">
        <v>8</v>
      </c>
      <c r="AA2766" s="150">
        <v>0.89</v>
      </c>
      <c r="AB2766" s="152"/>
      <c r="AC2766" s="152"/>
      <c r="AD2766" s="223">
        <v>11.58202</v>
      </c>
      <c r="AE2766" s="223">
        <v>0.63396319999999995</v>
      </c>
      <c r="AF2766" s="223">
        <v>7.3572047999999999</v>
      </c>
      <c r="AG2766" s="223">
        <v>0.80769349999999995</v>
      </c>
      <c r="AH2766" s="341"/>
      <c r="AI2766" s="218"/>
      <c r="AJ2766" s="218"/>
      <c r="AK2766" s="153"/>
      <c r="AL2766" s="152"/>
      <c r="AM2766" s="152"/>
      <c r="AN2766" s="152"/>
      <c r="AO2766" s="152"/>
      <c r="AP2766" s="152"/>
      <c r="AQ2766" s="152"/>
      <c r="AR2766" s="152"/>
      <c r="AS2766" s="152"/>
      <c r="AT2766" s="152"/>
      <c r="AU2766" s="153"/>
      <c r="AV2766" s="479"/>
      <c r="AW2766" s="479"/>
      <c r="AX2766" s="442"/>
      <c r="AY2766" s="153"/>
      <c r="AZ2766" s="152"/>
      <c r="BA2766" s="152"/>
      <c r="BB2766" s="152"/>
      <c r="BC2766" s="152"/>
      <c r="BD2766" s="152"/>
      <c r="BE2766" s="152"/>
      <c r="BF2766" s="152"/>
      <c r="BG2766" s="152"/>
      <c r="BH2766" s="152"/>
      <c r="BI2766" s="153"/>
      <c r="BJ2766" s="153"/>
      <c r="BK2766" s="153"/>
      <c r="BL2766" s="153"/>
      <c r="BM2766" s="153"/>
      <c r="BN2766" s="153"/>
      <c r="BO2766" s="153"/>
      <c r="BP2766" s="153"/>
      <c r="BQ2766" s="153"/>
      <c r="BR2766" s="153"/>
      <c r="BS2766" s="153"/>
      <c r="BT2766" s="153"/>
      <c r="BU2766" s="153"/>
      <c r="BV2766" s="153"/>
      <c r="BW2766" s="153"/>
      <c r="BX2766" s="153"/>
      <c r="BY2766" s="153"/>
      <c r="BZ2766" s="153"/>
      <c r="CA2766" s="152"/>
      <c r="CB2766" s="152"/>
    </row>
    <row r="2767" spans="1:80" s="87" customFormat="1" x14ac:dyDescent="0.2">
      <c r="A2767" s="152"/>
      <c r="B2767" s="683"/>
      <c r="C2767" s="683"/>
      <c r="D2767" s="698"/>
      <c r="E2767" s="215"/>
      <c r="F2767" s="215"/>
      <c r="G2767" s="153"/>
      <c r="H2767" s="153"/>
      <c r="I2767" s="315">
        <v>24</v>
      </c>
      <c r="J2767" s="312">
        <v>60</v>
      </c>
      <c r="K2767" s="150">
        <v>45</v>
      </c>
      <c r="L2767" s="656">
        <v>1080</v>
      </c>
      <c r="M2767" s="663">
        <v>34775</v>
      </c>
      <c r="N2767" s="600">
        <v>5.3510999999999997</v>
      </c>
      <c r="O2767" s="604">
        <v>1.774E-3</v>
      </c>
      <c r="P2767" s="150"/>
      <c r="Q2767" s="250"/>
      <c r="R2767" s="250"/>
      <c r="S2767" s="250"/>
      <c r="T2767" s="250"/>
      <c r="U2767" s="250">
        <v>0.03</v>
      </c>
      <c r="V2767" s="250">
        <v>0.311</v>
      </c>
      <c r="W2767" s="250">
        <v>0.41258699999999993</v>
      </c>
      <c r="X2767" s="250">
        <v>0.23399999999999999</v>
      </c>
      <c r="Y2767" s="250">
        <v>1.2E-2</v>
      </c>
      <c r="Z2767" s="150">
        <v>3</v>
      </c>
      <c r="AA2767" s="150">
        <v>0.77</v>
      </c>
      <c r="AB2767" s="152"/>
      <c r="AC2767" s="152"/>
      <c r="AD2767" s="223">
        <v>11.58202</v>
      </c>
      <c r="AE2767" s="223">
        <v>0.60043630000000003</v>
      </c>
      <c r="AF2767" s="223">
        <v>6.9484712000000002</v>
      </c>
      <c r="AG2767" s="223">
        <v>0.76197499999999996</v>
      </c>
      <c r="AH2767" s="341"/>
      <c r="AI2767" s="218"/>
      <c r="AJ2767" s="218"/>
      <c r="AK2767" s="153"/>
      <c r="AL2767" s="152"/>
      <c r="AM2767" s="152"/>
      <c r="AN2767" s="152"/>
      <c r="AO2767" s="152"/>
      <c r="AP2767" s="152"/>
      <c r="AQ2767" s="152"/>
      <c r="AR2767" s="152"/>
      <c r="AS2767" s="152"/>
      <c r="AT2767" s="152"/>
      <c r="AU2767" s="153"/>
      <c r="AV2767" s="479"/>
      <c r="AW2767" s="479"/>
      <c r="AX2767" s="442"/>
      <c r="AY2767" s="153"/>
      <c r="AZ2767" s="152"/>
      <c r="BA2767" s="152"/>
      <c r="BB2767" s="152"/>
      <c r="BC2767" s="152"/>
      <c r="BD2767" s="152"/>
      <c r="BE2767" s="152"/>
      <c r="BF2767" s="152"/>
      <c r="BG2767" s="152"/>
      <c r="BH2767" s="152"/>
      <c r="BI2767" s="153"/>
      <c r="BJ2767" s="153"/>
      <c r="BK2767" s="153"/>
      <c r="BL2767" s="153"/>
      <c r="BM2767" s="153"/>
      <c r="BN2767" s="153"/>
      <c r="BO2767" s="153"/>
      <c r="BP2767" s="153"/>
      <c r="BQ2767" s="153"/>
      <c r="BR2767" s="153"/>
      <c r="BS2767" s="153"/>
      <c r="BT2767" s="153"/>
      <c r="BU2767" s="153"/>
      <c r="BV2767" s="153"/>
      <c r="BW2767" s="153"/>
      <c r="BX2767" s="153"/>
      <c r="BY2767" s="153"/>
      <c r="BZ2767" s="153"/>
      <c r="CA2767" s="152"/>
      <c r="CB2767" s="152"/>
    </row>
    <row r="2768" spans="1:80" s="87" customFormat="1" x14ac:dyDescent="0.2">
      <c r="A2768" s="152"/>
      <c r="B2768" s="683"/>
      <c r="C2768" s="683"/>
      <c r="D2768" s="698"/>
      <c r="E2768" s="215"/>
      <c r="F2768" s="215"/>
      <c r="G2768" s="153"/>
      <c r="H2768" s="153"/>
      <c r="I2768" s="315">
        <v>24</v>
      </c>
      <c r="J2768" s="312">
        <v>60</v>
      </c>
      <c r="K2768" s="150">
        <v>46</v>
      </c>
      <c r="L2768" s="656">
        <v>1104</v>
      </c>
      <c r="M2768" s="663">
        <v>34775</v>
      </c>
      <c r="N2768" s="600">
        <v>5.3510999999999997</v>
      </c>
      <c r="O2768" s="604">
        <v>1.008E-3</v>
      </c>
      <c r="P2768" s="150"/>
      <c r="Q2768" s="250"/>
      <c r="R2768" s="250"/>
      <c r="S2768" s="250"/>
      <c r="T2768" s="250"/>
      <c r="U2768" s="250">
        <v>6.3E-2</v>
      </c>
      <c r="V2768" s="250">
        <v>0.30499999999999999</v>
      </c>
      <c r="W2768" s="250">
        <v>0.39960000000000001</v>
      </c>
      <c r="X2768" s="250">
        <v>0.221</v>
      </c>
      <c r="Y2768" s="250">
        <v>1.1000000000000001E-2</v>
      </c>
      <c r="Z2768" s="150">
        <v>4</v>
      </c>
      <c r="AA2768" s="150">
        <v>0.8</v>
      </c>
      <c r="AB2768" s="152"/>
      <c r="AC2768" s="152"/>
      <c r="AD2768" s="223">
        <v>11.58202</v>
      </c>
      <c r="AE2768" s="223">
        <v>0.60043630000000003</v>
      </c>
      <c r="AF2768" s="223">
        <v>6.9484712000000002</v>
      </c>
      <c r="AG2768" s="223">
        <v>0.76197499999999996</v>
      </c>
      <c r="AH2768" s="341"/>
      <c r="AI2768" s="218"/>
      <c r="AJ2768" s="218"/>
      <c r="AK2768" s="153"/>
      <c r="AL2768" s="152"/>
      <c r="AM2768" s="152"/>
      <c r="AN2768" s="152"/>
      <c r="AO2768" s="152"/>
      <c r="AP2768" s="152"/>
      <c r="AQ2768" s="152"/>
      <c r="AR2768" s="152"/>
      <c r="AS2768" s="152"/>
      <c r="AT2768" s="152"/>
      <c r="AU2768" s="153"/>
      <c r="AV2768" s="479"/>
      <c r="AW2768" s="479"/>
      <c r="AX2768" s="442"/>
      <c r="AY2768" s="153"/>
      <c r="AZ2768" s="152"/>
      <c r="BA2768" s="152"/>
      <c r="BB2768" s="152"/>
      <c r="BC2768" s="152"/>
      <c r="BD2768" s="152"/>
      <c r="BE2768" s="152"/>
      <c r="BF2768" s="152"/>
      <c r="BG2768" s="152"/>
      <c r="BH2768" s="152"/>
      <c r="BI2768" s="153"/>
      <c r="BJ2768" s="153"/>
      <c r="BK2768" s="153"/>
      <c r="BL2768" s="153"/>
      <c r="BM2768" s="153"/>
      <c r="BN2768" s="153"/>
      <c r="BO2768" s="153"/>
      <c r="BP2768" s="153"/>
      <c r="BQ2768" s="153"/>
      <c r="BR2768" s="153"/>
      <c r="BS2768" s="153"/>
      <c r="BT2768" s="153"/>
      <c r="BU2768" s="153"/>
      <c r="BV2768" s="153"/>
      <c r="BW2768" s="153"/>
      <c r="BX2768" s="153"/>
      <c r="BY2768" s="153"/>
      <c r="BZ2768" s="153"/>
      <c r="CA2768" s="152"/>
      <c r="CB2768" s="152"/>
    </row>
    <row r="2769" spans="1:80" s="87" customFormat="1" x14ac:dyDescent="0.2">
      <c r="A2769" s="152"/>
      <c r="B2769" s="683"/>
      <c r="C2769" s="683"/>
      <c r="D2769" s="698"/>
      <c r="E2769" s="215"/>
      <c r="F2769" s="215"/>
      <c r="G2769" s="153"/>
      <c r="H2769" s="153"/>
      <c r="I2769" s="315">
        <v>24</v>
      </c>
      <c r="J2769" s="312">
        <v>60</v>
      </c>
      <c r="K2769" s="150">
        <v>47</v>
      </c>
      <c r="L2769" s="656">
        <v>1128</v>
      </c>
      <c r="M2769" s="663">
        <v>34780</v>
      </c>
      <c r="N2769" s="600">
        <v>6.1721700000000004</v>
      </c>
      <c r="O2769" s="604">
        <v>5.5840000000000004E-3</v>
      </c>
      <c r="P2769" s="150"/>
      <c r="Q2769" s="250"/>
      <c r="R2769" s="250"/>
      <c r="S2769" s="250"/>
      <c r="T2769" s="250">
        <v>1.7000000000000001E-2</v>
      </c>
      <c r="U2769" s="250">
        <v>0.154</v>
      </c>
      <c r="V2769" s="250">
        <v>0.34700000000000003</v>
      </c>
      <c r="W2769" s="250">
        <v>0.31068899999999994</v>
      </c>
      <c r="X2769" s="250">
        <v>0.16200000000000001</v>
      </c>
      <c r="Y2769" s="250">
        <v>0.01</v>
      </c>
      <c r="Z2769" s="150">
        <v>6</v>
      </c>
      <c r="AA2769" s="150">
        <v>1.04</v>
      </c>
      <c r="AB2769" s="152"/>
      <c r="AC2769" s="152"/>
      <c r="AD2769" s="223">
        <v>11.58202</v>
      </c>
      <c r="AE2769" s="223">
        <v>0.66444219999999998</v>
      </c>
      <c r="AF2769" s="223">
        <v>7.6916232000000004</v>
      </c>
      <c r="AG2769" s="223">
        <v>0.80464559999999996</v>
      </c>
      <c r="AH2769" s="341"/>
      <c r="AI2769" s="218"/>
      <c r="AJ2769" s="218"/>
      <c r="AK2769" s="153"/>
      <c r="AL2769" s="152"/>
      <c r="AM2769" s="152"/>
      <c r="AN2769" s="152"/>
      <c r="AO2769" s="152"/>
      <c r="AP2769" s="152"/>
      <c r="AQ2769" s="152"/>
      <c r="AR2769" s="152"/>
      <c r="AS2769" s="152"/>
      <c r="AT2769" s="152"/>
      <c r="AU2769" s="153"/>
      <c r="AV2769" s="479"/>
      <c r="AW2769" s="479"/>
      <c r="AX2769" s="442"/>
      <c r="AY2769" s="153"/>
      <c r="AZ2769" s="152"/>
      <c r="BA2769" s="152"/>
      <c r="BB2769" s="152"/>
      <c r="BC2769" s="152"/>
      <c r="BD2769" s="152"/>
      <c r="BE2769" s="152"/>
      <c r="BF2769" s="152"/>
      <c r="BG2769" s="152"/>
      <c r="BH2769" s="152"/>
      <c r="BI2769" s="153"/>
      <c r="BJ2769" s="153"/>
      <c r="BK2769" s="153"/>
      <c r="BL2769" s="153"/>
      <c r="BM2769" s="153"/>
      <c r="BN2769" s="153"/>
      <c r="BO2769" s="153"/>
      <c r="BP2769" s="153"/>
      <c r="BQ2769" s="153"/>
      <c r="BR2769" s="153"/>
      <c r="BS2769" s="153"/>
      <c r="BT2769" s="153"/>
      <c r="BU2769" s="153"/>
      <c r="BV2769" s="153"/>
      <c r="BW2769" s="153"/>
      <c r="BX2769" s="153"/>
      <c r="BY2769" s="153"/>
      <c r="BZ2769" s="153"/>
      <c r="CA2769" s="152"/>
      <c r="CB2769" s="152"/>
    </row>
    <row r="2770" spans="1:80" s="87" customFormat="1" x14ac:dyDescent="0.2">
      <c r="A2770" s="152"/>
      <c r="B2770" s="683"/>
      <c r="C2770" s="683"/>
      <c r="D2770" s="698"/>
      <c r="E2770" s="215"/>
      <c r="F2770" s="215"/>
      <c r="G2770" s="153"/>
      <c r="H2770" s="153"/>
      <c r="I2770" s="315">
        <v>24</v>
      </c>
      <c r="J2770" s="312">
        <v>60</v>
      </c>
      <c r="K2770" s="150">
        <v>48</v>
      </c>
      <c r="L2770" s="656">
        <v>1152</v>
      </c>
      <c r="M2770" s="663">
        <v>34780</v>
      </c>
      <c r="N2770" s="600">
        <v>6.1721700000000004</v>
      </c>
      <c r="O2770" s="604">
        <v>9.1520000000000004E-3</v>
      </c>
      <c r="P2770" s="150"/>
      <c r="Q2770" s="250"/>
      <c r="R2770" s="250"/>
      <c r="S2770" s="250"/>
      <c r="T2770" s="250"/>
      <c r="U2770" s="250">
        <v>8.5000000000000006E-2</v>
      </c>
      <c r="V2770" s="250">
        <v>0.435</v>
      </c>
      <c r="W2770" s="250">
        <v>0.34465499999999993</v>
      </c>
      <c r="X2770" s="250">
        <v>0.128</v>
      </c>
      <c r="Y2770" s="250">
        <v>6.9999999999999993E-3</v>
      </c>
      <c r="Z2770" s="150">
        <v>4</v>
      </c>
      <c r="AA2770" s="150">
        <v>1.03</v>
      </c>
      <c r="AB2770" s="152"/>
      <c r="AC2770" s="152"/>
      <c r="AD2770" s="223">
        <v>11.58202</v>
      </c>
      <c r="AE2770" s="223">
        <v>0.66444219999999998</v>
      </c>
      <c r="AF2770" s="223">
        <v>7.6916232000000004</v>
      </c>
      <c r="AG2770" s="223">
        <v>0.80464559999999996</v>
      </c>
      <c r="AH2770" s="341"/>
      <c r="AI2770" s="218"/>
      <c r="AJ2770" s="218"/>
      <c r="AK2770" s="153"/>
      <c r="AL2770" s="152"/>
      <c r="AM2770" s="152"/>
      <c r="AN2770" s="152"/>
      <c r="AO2770" s="152"/>
      <c r="AP2770" s="152"/>
      <c r="AQ2770" s="152"/>
      <c r="AR2770" s="152"/>
      <c r="AS2770" s="152"/>
      <c r="AT2770" s="152"/>
      <c r="AU2770" s="153"/>
      <c r="AV2770" s="479"/>
      <c r="AW2770" s="479"/>
      <c r="AX2770" s="442"/>
      <c r="AY2770" s="153"/>
      <c r="AZ2770" s="152"/>
      <c r="BA2770" s="152"/>
      <c r="BB2770" s="152"/>
      <c r="BC2770" s="152"/>
      <c r="BD2770" s="152"/>
      <c r="BE2770" s="152"/>
      <c r="BF2770" s="152"/>
      <c r="BG2770" s="152"/>
      <c r="BH2770" s="152"/>
      <c r="BI2770" s="153"/>
      <c r="BJ2770" s="153"/>
      <c r="BK2770" s="153"/>
      <c r="BL2770" s="153"/>
      <c r="BM2770" s="153"/>
      <c r="BN2770" s="153"/>
      <c r="BO2770" s="153"/>
      <c r="BP2770" s="153"/>
      <c r="BQ2770" s="153"/>
      <c r="BR2770" s="153"/>
      <c r="BS2770" s="153"/>
      <c r="BT2770" s="153"/>
      <c r="BU2770" s="153"/>
      <c r="BV2770" s="153"/>
      <c r="BW2770" s="153"/>
      <c r="BX2770" s="153"/>
      <c r="BY2770" s="153"/>
      <c r="BZ2770" s="153"/>
      <c r="CA2770" s="152"/>
      <c r="CB2770" s="152"/>
    </row>
    <row r="2771" spans="1:80" s="87" customFormat="1" x14ac:dyDescent="0.2">
      <c r="A2771" s="152"/>
      <c r="B2771" s="683"/>
      <c r="C2771" s="683"/>
      <c r="D2771" s="698"/>
      <c r="E2771" s="215"/>
      <c r="F2771" s="215"/>
      <c r="G2771" s="153"/>
      <c r="H2771" s="153"/>
      <c r="I2771" s="315">
        <v>24</v>
      </c>
      <c r="J2771" s="312">
        <v>60</v>
      </c>
      <c r="K2771" s="150">
        <v>49</v>
      </c>
      <c r="L2771" s="656">
        <v>1176</v>
      </c>
      <c r="M2771" s="663">
        <v>34783</v>
      </c>
      <c r="N2771" s="600">
        <v>4.7848499999999996</v>
      </c>
      <c r="O2771" s="604">
        <v>5.9620000000000003E-3</v>
      </c>
      <c r="P2771" s="150"/>
      <c r="Q2771" s="250"/>
      <c r="R2771" s="250"/>
      <c r="S2771" s="250"/>
      <c r="T2771" s="250">
        <v>9.0000000000000011E-3</v>
      </c>
      <c r="U2771" s="250">
        <v>6.4000000000000001E-2</v>
      </c>
      <c r="V2771" s="250">
        <v>0.35700000000000004</v>
      </c>
      <c r="W2771" s="250">
        <v>0.40259699999999993</v>
      </c>
      <c r="X2771" s="250">
        <v>0.16200000000000001</v>
      </c>
      <c r="Y2771" s="250">
        <v>5.0000000000000001E-3</v>
      </c>
      <c r="Z2771" s="150">
        <v>6</v>
      </c>
      <c r="AA2771" s="150">
        <v>0.89</v>
      </c>
      <c r="AB2771" s="152"/>
      <c r="AC2771" s="152"/>
      <c r="AD2771" s="223">
        <v>11.58202</v>
      </c>
      <c r="AE2771" s="223">
        <v>0.55166990000000005</v>
      </c>
      <c r="AF2771" s="223">
        <v>6.3911072000000004</v>
      </c>
      <c r="AG2771" s="223">
        <v>0.74063970000000001</v>
      </c>
      <c r="AH2771" s="341"/>
      <c r="AI2771" s="218"/>
      <c r="AJ2771" s="218"/>
      <c r="AK2771" s="153"/>
      <c r="AL2771" s="152"/>
      <c r="AM2771" s="152"/>
      <c r="AN2771" s="152"/>
      <c r="AO2771" s="152"/>
      <c r="AP2771" s="152"/>
      <c r="AQ2771" s="152"/>
      <c r="AR2771" s="152"/>
      <c r="AS2771" s="152"/>
      <c r="AT2771" s="152"/>
      <c r="AU2771" s="153"/>
      <c r="AV2771" s="479"/>
      <c r="AW2771" s="479"/>
      <c r="AX2771" s="442"/>
      <c r="AY2771" s="153"/>
      <c r="AZ2771" s="152"/>
      <c r="BA2771" s="152"/>
      <c r="BB2771" s="152"/>
      <c r="BC2771" s="152"/>
      <c r="BD2771" s="152"/>
      <c r="BE2771" s="152"/>
      <c r="BF2771" s="152"/>
      <c r="BG2771" s="152"/>
      <c r="BH2771" s="152"/>
      <c r="BI2771" s="153"/>
      <c r="BJ2771" s="153"/>
      <c r="BK2771" s="153"/>
      <c r="BL2771" s="153"/>
      <c r="BM2771" s="153"/>
      <c r="BN2771" s="153"/>
      <c r="BO2771" s="153"/>
      <c r="BP2771" s="153"/>
      <c r="BQ2771" s="153"/>
      <c r="BR2771" s="153"/>
      <c r="BS2771" s="153"/>
      <c r="BT2771" s="153"/>
      <c r="BU2771" s="153"/>
      <c r="BV2771" s="153"/>
      <c r="BW2771" s="153"/>
      <c r="BX2771" s="153"/>
      <c r="BY2771" s="153"/>
      <c r="BZ2771" s="153"/>
      <c r="CA2771" s="152"/>
      <c r="CB2771" s="152"/>
    </row>
    <row r="2772" spans="1:80" s="87" customFormat="1" x14ac:dyDescent="0.2">
      <c r="A2772" s="152"/>
      <c r="B2772" s="683"/>
      <c r="C2772" s="683"/>
      <c r="D2772" s="698"/>
      <c r="E2772" s="215"/>
      <c r="F2772" s="215"/>
      <c r="G2772" s="153"/>
      <c r="H2772" s="153"/>
      <c r="I2772" s="315">
        <v>24</v>
      </c>
      <c r="J2772" s="312">
        <v>60</v>
      </c>
      <c r="K2772" s="150">
        <v>50</v>
      </c>
      <c r="L2772" s="656">
        <v>1200</v>
      </c>
      <c r="M2772" s="663">
        <v>34783</v>
      </c>
      <c r="N2772" s="600">
        <v>4.7848499999999996</v>
      </c>
      <c r="O2772" s="604">
        <v>2.7179999999999999E-3</v>
      </c>
      <c r="P2772" s="150"/>
      <c r="Q2772" s="250"/>
      <c r="R2772" s="250"/>
      <c r="S2772" s="250"/>
      <c r="T2772" s="250"/>
      <c r="U2772" s="250">
        <v>8.3000000000000004E-2</v>
      </c>
      <c r="V2772" s="250">
        <v>0.33500000000000002</v>
      </c>
      <c r="W2772" s="250">
        <v>0.39760199999999996</v>
      </c>
      <c r="X2772" s="250">
        <v>0.17300000000000001</v>
      </c>
      <c r="Y2772" s="250">
        <v>1.2E-2</v>
      </c>
      <c r="Z2772" s="150">
        <v>4</v>
      </c>
      <c r="AA2772" s="150">
        <v>0.87</v>
      </c>
      <c r="AB2772" s="152"/>
      <c r="AC2772" s="152"/>
      <c r="AD2772" s="223">
        <v>11.58202</v>
      </c>
      <c r="AE2772" s="223">
        <v>0.55166990000000005</v>
      </c>
      <c r="AF2772" s="223">
        <v>6.3911072000000004</v>
      </c>
      <c r="AG2772" s="223">
        <v>0.74063970000000001</v>
      </c>
      <c r="AH2772" s="341"/>
      <c r="AI2772" s="218"/>
      <c r="AJ2772" s="218"/>
      <c r="AK2772" s="153"/>
      <c r="AL2772" s="152"/>
      <c r="AM2772" s="152"/>
      <c r="AN2772" s="152"/>
      <c r="AO2772" s="152"/>
      <c r="AP2772" s="152"/>
      <c r="AQ2772" s="152"/>
      <c r="AR2772" s="152"/>
      <c r="AS2772" s="152"/>
      <c r="AT2772" s="152"/>
      <c r="AU2772" s="153"/>
      <c r="AV2772" s="479"/>
      <c r="AW2772" s="479"/>
      <c r="AX2772" s="442"/>
      <c r="AY2772" s="153"/>
      <c r="AZ2772" s="152"/>
      <c r="BA2772" s="152"/>
      <c r="BB2772" s="152"/>
      <c r="BC2772" s="152"/>
      <c r="BD2772" s="152"/>
      <c r="BE2772" s="152"/>
      <c r="BF2772" s="152"/>
      <c r="BG2772" s="152"/>
      <c r="BH2772" s="152"/>
      <c r="BI2772" s="153"/>
      <c r="BJ2772" s="153"/>
      <c r="BK2772" s="153"/>
      <c r="BL2772" s="153"/>
      <c r="BM2772" s="153"/>
      <c r="BN2772" s="153"/>
      <c r="BO2772" s="153"/>
      <c r="BP2772" s="153"/>
      <c r="BQ2772" s="153"/>
      <c r="BR2772" s="153"/>
      <c r="BS2772" s="153"/>
      <c r="BT2772" s="153"/>
      <c r="BU2772" s="153"/>
      <c r="BV2772" s="153"/>
      <c r="BW2772" s="153"/>
      <c r="BX2772" s="153"/>
      <c r="BY2772" s="153"/>
      <c r="BZ2772" s="153"/>
      <c r="CA2772" s="152"/>
      <c r="CB2772" s="152"/>
    </row>
    <row r="2773" spans="1:80" s="87" customFormat="1" x14ac:dyDescent="0.2">
      <c r="A2773" s="152"/>
      <c r="B2773" s="683"/>
      <c r="C2773" s="683"/>
      <c r="D2773" s="698"/>
      <c r="E2773" s="215"/>
      <c r="F2773" s="215"/>
      <c r="G2773" s="153"/>
      <c r="H2773" s="153"/>
      <c r="I2773" s="315">
        <v>22</v>
      </c>
      <c r="J2773" s="312">
        <v>60</v>
      </c>
      <c r="K2773" s="150">
        <v>51</v>
      </c>
      <c r="L2773" s="656">
        <v>1122</v>
      </c>
      <c r="M2773" s="663">
        <v>34787</v>
      </c>
      <c r="N2773" s="600">
        <v>3.3409</v>
      </c>
      <c r="O2773" s="604">
        <v>1.5430000000000001E-3</v>
      </c>
      <c r="P2773" s="150"/>
      <c r="Q2773" s="250"/>
      <c r="R2773" s="250"/>
      <c r="S2773" s="250"/>
      <c r="T2773" s="250"/>
      <c r="U2773" s="250">
        <v>0.03</v>
      </c>
      <c r="V2773" s="250">
        <v>0.33100000000000002</v>
      </c>
      <c r="W2773" s="250">
        <v>0.45054899999999998</v>
      </c>
      <c r="X2773" s="250">
        <v>0.18</v>
      </c>
      <c r="Y2773" s="250">
        <v>8.0000000000000002E-3</v>
      </c>
      <c r="Z2773" s="150">
        <v>3</v>
      </c>
      <c r="AA2773" s="150">
        <v>0.81</v>
      </c>
      <c r="AB2773" s="152"/>
      <c r="AC2773" s="152"/>
      <c r="AD2773" s="223">
        <v>11.277229999999999</v>
      </c>
      <c r="AE2773" s="223">
        <v>0.4602329</v>
      </c>
      <c r="AF2773" s="223">
        <v>5.202064</v>
      </c>
      <c r="AG2773" s="223">
        <v>0.62177159999999998</v>
      </c>
      <c r="AH2773" s="341"/>
      <c r="AI2773" s="218"/>
      <c r="AJ2773" s="218"/>
      <c r="AK2773" s="153"/>
      <c r="AL2773" s="152"/>
      <c r="AM2773" s="152"/>
      <c r="AN2773" s="152"/>
      <c r="AO2773" s="152"/>
      <c r="AP2773" s="152"/>
      <c r="AQ2773" s="152"/>
      <c r="AR2773" s="152"/>
      <c r="AS2773" s="152"/>
      <c r="AT2773" s="152"/>
      <c r="AU2773" s="153"/>
      <c r="AV2773" s="479"/>
      <c r="AW2773" s="479"/>
      <c r="AX2773" s="442"/>
      <c r="AY2773" s="153"/>
      <c r="AZ2773" s="152"/>
      <c r="BA2773" s="152"/>
      <c r="BB2773" s="152"/>
      <c r="BC2773" s="152"/>
      <c r="BD2773" s="152"/>
      <c r="BE2773" s="152"/>
      <c r="BF2773" s="152"/>
      <c r="BG2773" s="152"/>
      <c r="BH2773" s="152"/>
      <c r="BI2773" s="153"/>
      <c r="BJ2773" s="153"/>
      <c r="BK2773" s="153"/>
      <c r="BL2773" s="153"/>
      <c r="BM2773" s="153"/>
      <c r="BN2773" s="153"/>
      <c r="BO2773" s="153"/>
      <c r="BP2773" s="153"/>
      <c r="BQ2773" s="153"/>
      <c r="BR2773" s="153"/>
      <c r="BS2773" s="153"/>
      <c r="BT2773" s="153"/>
      <c r="BU2773" s="153"/>
      <c r="BV2773" s="153"/>
      <c r="BW2773" s="153"/>
      <c r="BX2773" s="153"/>
      <c r="BY2773" s="153"/>
      <c r="BZ2773" s="153"/>
      <c r="CA2773" s="152"/>
      <c r="CB2773" s="152"/>
    </row>
    <row r="2774" spans="1:80" s="87" customFormat="1" x14ac:dyDescent="0.2">
      <c r="A2774" s="152"/>
      <c r="B2774" s="683"/>
      <c r="C2774" s="683"/>
      <c r="D2774" s="698"/>
      <c r="E2774" s="215"/>
      <c r="F2774" s="215"/>
      <c r="G2774" s="153"/>
      <c r="H2774" s="153"/>
      <c r="I2774" s="315">
        <v>22</v>
      </c>
      <c r="J2774" s="312">
        <v>60</v>
      </c>
      <c r="K2774" s="150">
        <v>52</v>
      </c>
      <c r="L2774" s="656">
        <v>1144</v>
      </c>
      <c r="M2774" s="663">
        <v>34787</v>
      </c>
      <c r="N2774" s="600">
        <v>3.3409</v>
      </c>
      <c r="O2774" s="604">
        <v>8.2899999999999998E-4</v>
      </c>
      <c r="P2774" s="150"/>
      <c r="Q2774" s="250"/>
      <c r="R2774" s="250"/>
      <c r="S2774" s="250"/>
      <c r="T2774" s="250"/>
      <c r="U2774" s="250">
        <v>9.6999999999999989E-2</v>
      </c>
      <c r="V2774" s="250">
        <v>0.27800000000000002</v>
      </c>
      <c r="W2774" s="250">
        <v>0.38861099999999993</v>
      </c>
      <c r="X2774" s="250">
        <v>0.222</v>
      </c>
      <c r="Y2774" s="250">
        <v>1.3999999999999999E-2</v>
      </c>
      <c r="Z2774" s="150">
        <v>4</v>
      </c>
      <c r="AA2774" s="150">
        <v>0.8</v>
      </c>
      <c r="AB2774" s="152"/>
      <c r="AC2774" s="152"/>
      <c r="AD2774" s="223">
        <v>11.277229999999999</v>
      </c>
      <c r="AE2774" s="223">
        <v>0.4602329</v>
      </c>
      <c r="AF2774" s="223">
        <v>5.202064</v>
      </c>
      <c r="AG2774" s="223">
        <v>0.62177159999999998</v>
      </c>
      <c r="AH2774" s="341"/>
      <c r="AI2774" s="218"/>
      <c r="AJ2774" s="218"/>
      <c r="AK2774" s="153"/>
      <c r="AL2774" s="152"/>
      <c r="AM2774" s="152"/>
      <c r="AN2774" s="152"/>
      <c r="AO2774" s="152"/>
      <c r="AP2774" s="152"/>
      <c r="AQ2774" s="152"/>
      <c r="AR2774" s="152"/>
      <c r="AS2774" s="152"/>
      <c r="AT2774" s="152"/>
      <c r="AU2774" s="153"/>
      <c r="AV2774" s="479"/>
      <c r="AW2774" s="479"/>
      <c r="AX2774" s="442"/>
      <c r="AY2774" s="153"/>
      <c r="AZ2774" s="152"/>
      <c r="BA2774" s="152"/>
      <c r="BB2774" s="152"/>
      <c r="BC2774" s="152"/>
      <c r="BD2774" s="152"/>
      <c r="BE2774" s="152"/>
      <c r="BF2774" s="152"/>
      <c r="BG2774" s="152"/>
      <c r="BH2774" s="152"/>
      <c r="BI2774" s="153"/>
      <c r="BJ2774" s="153"/>
      <c r="BK2774" s="153"/>
      <c r="BL2774" s="153"/>
      <c r="BM2774" s="153"/>
      <c r="BN2774" s="153"/>
      <c r="BO2774" s="153"/>
      <c r="BP2774" s="153"/>
      <c r="BQ2774" s="153"/>
      <c r="BR2774" s="153"/>
      <c r="BS2774" s="153"/>
      <c r="BT2774" s="153"/>
      <c r="BU2774" s="153"/>
      <c r="BV2774" s="153"/>
      <c r="BW2774" s="153"/>
      <c r="BX2774" s="153"/>
      <c r="BY2774" s="153"/>
      <c r="BZ2774" s="153"/>
      <c r="CA2774" s="152"/>
      <c r="CB2774" s="152"/>
    </row>
    <row r="2775" spans="1:80" s="87" customFormat="1" x14ac:dyDescent="0.2">
      <c r="A2775" s="152"/>
      <c r="B2775" s="683"/>
      <c r="C2775" s="683"/>
      <c r="D2775" s="698"/>
      <c r="E2775" s="215"/>
      <c r="F2775" s="215"/>
      <c r="G2775" s="153"/>
      <c r="H2775" s="153"/>
      <c r="I2775" s="315">
        <v>24</v>
      </c>
      <c r="J2775" s="312">
        <v>60</v>
      </c>
      <c r="K2775" s="150">
        <v>53</v>
      </c>
      <c r="L2775" s="656">
        <v>1272</v>
      </c>
      <c r="M2775" s="663">
        <v>34797</v>
      </c>
      <c r="N2775" s="600">
        <v>7.5028699999999997</v>
      </c>
      <c r="O2775" s="604">
        <v>2.4035000000000001E-2</v>
      </c>
      <c r="P2775" s="150"/>
      <c r="Q2775" s="250"/>
      <c r="R2775" s="250"/>
      <c r="S2775" s="250"/>
      <c r="T2775" s="250">
        <v>2.2000000000000002E-2</v>
      </c>
      <c r="U2775" s="250">
        <v>9.6000000000000002E-2</v>
      </c>
      <c r="V2775" s="250">
        <v>0.36599999999999999</v>
      </c>
      <c r="W2775" s="250">
        <v>0.36163800000000001</v>
      </c>
      <c r="X2775" s="250">
        <v>0.14599999999999999</v>
      </c>
      <c r="Y2775" s="250">
        <v>8.0000000000000002E-3</v>
      </c>
      <c r="Z2775" s="150">
        <v>8</v>
      </c>
      <c r="AA2775" s="150">
        <v>0.97</v>
      </c>
      <c r="AB2775" s="152"/>
      <c r="AC2775" s="152"/>
      <c r="AD2775" s="223">
        <v>11.58202</v>
      </c>
      <c r="AE2775" s="223">
        <v>0.74978339999999999</v>
      </c>
      <c r="AF2775" s="223">
        <v>8.6744417200000008</v>
      </c>
      <c r="AG2775" s="223">
        <v>0.86865150000000002</v>
      </c>
      <c r="AH2775" s="341"/>
      <c r="AI2775" s="218"/>
      <c r="AJ2775" s="218"/>
      <c r="AK2775" s="153"/>
      <c r="AL2775" s="152"/>
      <c r="AM2775" s="152"/>
      <c r="AN2775" s="152"/>
      <c r="AO2775" s="152"/>
      <c r="AP2775" s="152"/>
      <c r="AQ2775" s="152"/>
      <c r="AR2775" s="152"/>
      <c r="AS2775" s="152"/>
      <c r="AT2775" s="152"/>
      <c r="AU2775" s="153"/>
      <c r="AV2775" s="479"/>
      <c r="AW2775" s="479"/>
      <c r="AX2775" s="442"/>
      <c r="AY2775" s="153"/>
      <c r="AZ2775" s="152"/>
      <c r="BA2775" s="152"/>
      <c r="BB2775" s="152"/>
      <c r="BC2775" s="152"/>
      <c r="BD2775" s="152"/>
      <c r="BE2775" s="152"/>
      <c r="BF2775" s="152"/>
      <c r="BG2775" s="152"/>
      <c r="BH2775" s="152"/>
      <c r="BI2775" s="153"/>
      <c r="BJ2775" s="153"/>
      <c r="BK2775" s="153"/>
      <c r="BL2775" s="153"/>
      <c r="BM2775" s="153"/>
      <c r="BN2775" s="153"/>
      <c r="BO2775" s="153"/>
      <c r="BP2775" s="153"/>
      <c r="BQ2775" s="153"/>
      <c r="BR2775" s="153"/>
      <c r="BS2775" s="153"/>
      <c r="BT2775" s="153"/>
      <c r="BU2775" s="153"/>
      <c r="BV2775" s="153"/>
      <c r="BW2775" s="153"/>
      <c r="BX2775" s="153"/>
      <c r="BY2775" s="153"/>
      <c r="BZ2775" s="153"/>
      <c r="CA2775" s="152"/>
      <c r="CB2775" s="152"/>
    </row>
    <row r="2776" spans="1:80" s="87" customFormat="1" x14ac:dyDescent="0.2">
      <c r="A2776" s="152"/>
      <c r="B2776" s="683"/>
      <c r="C2776" s="683"/>
      <c r="D2776" s="698"/>
      <c r="E2776" s="215"/>
      <c r="F2776" s="215"/>
      <c r="G2776" s="153"/>
      <c r="H2776" s="153"/>
      <c r="I2776" s="315">
        <v>24</v>
      </c>
      <c r="J2776" s="312">
        <v>60</v>
      </c>
      <c r="K2776" s="150">
        <v>54</v>
      </c>
      <c r="L2776" s="656">
        <v>1296</v>
      </c>
      <c r="M2776" s="663">
        <v>34797</v>
      </c>
      <c r="N2776" s="600">
        <v>7.5028699999999997</v>
      </c>
      <c r="O2776" s="604">
        <v>2.1096E-2</v>
      </c>
      <c r="P2776" s="150"/>
      <c r="Q2776" s="250"/>
      <c r="R2776" s="250"/>
      <c r="S2776" s="250">
        <v>5.0000000000000001E-3</v>
      </c>
      <c r="T2776" s="250">
        <v>5.0999999999999997E-2</v>
      </c>
      <c r="U2776" s="250">
        <v>0.19899999999999998</v>
      </c>
      <c r="V2776" s="250">
        <v>0.39100000000000001</v>
      </c>
      <c r="W2776" s="250">
        <v>0.23876099999999997</v>
      </c>
      <c r="X2776" s="250">
        <v>0.109</v>
      </c>
      <c r="Y2776" s="250">
        <v>6.9999999999999993E-3</v>
      </c>
      <c r="Z2776" s="150">
        <v>11</v>
      </c>
      <c r="AA2776" s="150">
        <v>1.29</v>
      </c>
      <c r="AB2776" s="152"/>
      <c r="AC2776" s="152"/>
      <c r="AD2776" s="223">
        <v>11.58202</v>
      </c>
      <c r="AE2776" s="223">
        <v>0.74978339999999999</v>
      </c>
      <c r="AF2776" s="223">
        <v>8.6744417200000008</v>
      </c>
      <c r="AG2776" s="223">
        <v>0.86865150000000002</v>
      </c>
      <c r="AH2776" s="341"/>
      <c r="AI2776" s="218"/>
      <c r="AJ2776" s="218"/>
      <c r="AK2776" s="153"/>
      <c r="AL2776" s="152"/>
      <c r="AM2776" s="152"/>
      <c r="AN2776" s="152"/>
      <c r="AO2776" s="152"/>
      <c r="AP2776" s="152"/>
      <c r="AQ2776" s="152"/>
      <c r="AR2776" s="152"/>
      <c r="AS2776" s="152"/>
      <c r="AT2776" s="152"/>
      <c r="AU2776" s="153"/>
      <c r="AV2776" s="479"/>
      <c r="AW2776" s="479"/>
      <c r="AX2776" s="442"/>
      <c r="AY2776" s="153"/>
      <c r="AZ2776" s="152"/>
      <c r="BA2776" s="152"/>
      <c r="BB2776" s="152"/>
      <c r="BC2776" s="152"/>
      <c r="BD2776" s="152"/>
      <c r="BE2776" s="152"/>
      <c r="BF2776" s="152"/>
      <c r="BG2776" s="152"/>
      <c r="BH2776" s="152"/>
      <c r="BI2776" s="153"/>
      <c r="BJ2776" s="153"/>
      <c r="BK2776" s="153"/>
      <c r="BL2776" s="153"/>
      <c r="BM2776" s="153"/>
      <c r="BN2776" s="153"/>
      <c r="BO2776" s="153"/>
      <c r="BP2776" s="153"/>
      <c r="BQ2776" s="153"/>
      <c r="BR2776" s="153"/>
      <c r="BS2776" s="153"/>
      <c r="BT2776" s="153"/>
      <c r="BU2776" s="153"/>
      <c r="BV2776" s="153"/>
      <c r="BW2776" s="153"/>
      <c r="BX2776" s="153"/>
      <c r="BY2776" s="153"/>
      <c r="BZ2776" s="153"/>
      <c r="CA2776" s="152"/>
      <c r="CB2776" s="152"/>
    </row>
    <row r="2777" spans="1:80" s="87" customFormat="1" x14ac:dyDescent="0.2">
      <c r="A2777" s="152"/>
      <c r="B2777" s="683"/>
      <c r="C2777" s="683"/>
      <c r="D2777" s="698"/>
      <c r="E2777" s="215"/>
      <c r="F2777" s="215"/>
      <c r="G2777" s="153"/>
      <c r="H2777" s="153"/>
      <c r="I2777" s="315">
        <v>24</v>
      </c>
      <c r="J2777" s="312">
        <v>60</v>
      </c>
      <c r="K2777" s="150">
        <v>55</v>
      </c>
      <c r="L2777" s="656">
        <v>1320</v>
      </c>
      <c r="M2777" s="663">
        <v>34822</v>
      </c>
      <c r="N2777" s="600">
        <v>6.3986700000000001</v>
      </c>
      <c r="O2777" s="604">
        <v>6.2129999999999998E-3</v>
      </c>
      <c r="P2777" s="150"/>
      <c r="Q2777" s="250"/>
      <c r="R2777" s="250"/>
      <c r="S2777" s="250"/>
      <c r="T2777" s="250">
        <v>5.2999999999999999E-2</v>
      </c>
      <c r="U2777" s="250">
        <v>0.19600000000000001</v>
      </c>
      <c r="V2777" s="250">
        <v>0.36099999999999999</v>
      </c>
      <c r="W2777" s="250">
        <v>0.244755</v>
      </c>
      <c r="X2777" s="250">
        <v>0.13500000000000001</v>
      </c>
      <c r="Y2777" s="250">
        <v>0.01</v>
      </c>
      <c r="Z2777" s="150">
        <v>7</v>
      </c>
      <c r="AA2777" s="150">
        <v>1.24</v>
      </c>
      <c r="AB2777" s="152"/>
      <c r="AC2777" s="152"/>
      <c r="AD2777" s="223">
        <v>11.58202</v>
      </c>
      <c r="AE2777" s="223">
        <v>0.66444219999999998</v>
      </c>
      <c r="AF2777" s="223">
        <v>7.7009125999999997</v>
      </c>
      <c r="AG2777" s="223">
        <v>0.83817249999999999</v>
      </c>
      <c r="AH2777" s="341"/>
      <c r="AI2777" s="218"/>
      <c r="AJ2777" s="218"/>
      <c r="AK2777" s="153"/>
      <c r="AL2777" s="152"/>
      <c r="AM2777" s="152"/>
      <c r="AN2777" s="152"/>
      <c r="AO2777" s="152"/>
      <c r="AP2777" s="152"/>
      <c r="AQ2777" s="152"/>
      <c r="AR2777" s="152"/>
      <c r="AS2777" s="152"/>
      <c r="AT2777" s="152"/>
      <c r="AU2777" s="153"/>
      <c r="AV2777" s="479"/>
      <c r="AW2777" s="479"/>
      <c r="AX2777" s="442"/>
      <c r="AY2777" s="153"/>
      <c r="AZ2777" s="152"/>
      <c r="BA2777" s="152"/>
      <c r="BB2777" s="152"/>
      <c r="BC2777" s="152"/>
      <c r="BD2777" s="152"/>
      <c r="BE2777" s="152"/>
      <c r="BF2777" s="152"/>
      <c r="BG2777" s="152"/>
      <c r="BH2777" s="152"/>
      <c r="BI2777" s="153"/>
      <c r="BJ2777" s="153"/>
      <c r="BK2777" s="153"/>
      <c r="BL2777" s="153"/>
      <c r="BM2777" s="153"/>
      <c r="BN2777" s="153"/>
      <c r="BO2777" s="153"/>
      <c r="BP2777" s="153"/>
      <c r="BQ2777" s="153"/>
      <c r="BR2777" s="153"/>
      <c r="BS2777" s="153"/>
      <c r="BT2777" s="153"/>
      <c r="BU2777" s="153"/>
      <c r="BV2777" s="153"/>
      <c r="BW2777" s="153"/>
      <c r="BX2777" s="153"/>
      <c r="BY2777" s="153"/>
      <c r="BZ2777" s="153"/>
      <c r="CA2777" s="152"/>
      <c r="CB2777" s="152"/>
    </row>
    <row r="2778" spans="1:80" s="87" customFormat="1" x14ac:dyDescent="0.2">
      <c r="A2778" s="152"/>
      <c r="B2778" s="683"/>
      <c r="C2778" s="683"/>
      <c r="D2778" s="698"/>
      <c r="E2778" s="215"/>
      <c r="F2778" s="215"/>
      <c r="G2778" s="153"/>
      <c r="H2778" s="153"/>
      <c r="I2778" s="315">
        <v>24</v>
      </c>
      <c r="J2778" s="312">
        <v>60</v>
      </c>
      <c r="K2778" s="150">
        <v>56</v>
      </c>
      <c r="L2778" s="656">
        <v>1344</v>
      </c>
      <c r="M2778" s="663">
        <v>34822</v>
      </c>
      <c r="N2778" s="600">
        <v>6.3986700000000001</v>
      </c>
      <c r="O2778" s="604">
        <v>5.1320000000000003E-3</v>
      </c>
      <c r="P2778" s="150"/>
      <c r="Q2778" s="250"/>
      <c r="R2778" s="250"/>
      <c r="S2778" s="250"/>
      <c r="T2778" s="250">
        <v>5.0999999999999997E-2</v>
      </c>
      <c r="U2778" s="250">
        <v>0.16500000000000001</v>
      </c>
      <c r="V2778" s="250">
        <v>0.33100000000000002</v>
      </c>
      <c r="W2778" s="250">
        <v>0.29570399999999997</v>
      </c>
      <c r="X2778" s="250">
        <v>0.14400000000000002</v>
      </c>
      <c r="Y2778" s="250">
        <v>1.2E-2</v>
      </c>
      <c r="Z2778" s="150">
        <v>6</v>
      </c>
      <c r="AA2778" s="150">
        <v>1.1100000000000001</v>
      </c>
      <c r="AB2778" s="152"/>
      <c r="AC2778" s="152"/>
      <c r="AD2778" s="223">
        <v>11.58202</v>
      </c>
      <c r="AE2778" s="223">
        <v>0.66444219999999998</v>
      </c>
      <c r="AF2778" s="223">
        <v>7.7009125999999997</v>
      </c>
      <c r="AG2778" s="223">
        <v>0.83817249999999999</v>
      </c>
      <c r="AH2778" s="341"/>
      <c r="AI2778" s="218"/>
      <c r="AJ2778" s="218"/>
      <c r="AK2778" s="153"/>
      <c r="AL2778" s="152"/>
      <c r="AM2778" s="152"/>
      <c r="AN2778" s="152"/>
      <c r="AO2778" s="152"/>
      <c r="AP2778" s="152"/>
      <c r="AQ2778" s="152"/>
      <c r="AR2778" s="152"/>
      <c r="AS2778" s="152"/>
      <c r="AT2778" s="152"/>
      <c r="AU2778" s="153"/>
      <c r="AV2778" s="479"/>
      <c r="AW2778" s="479"/>
      <c r="AX2778" s="442"/>
      <c r="AY2778" s="153"/>
      <c r="AZ2778" s="152"/>
      <c r="BA2778" s="152"/>
      <c r="BB2778" s="152"/>
      <c r="BC2778" s="152"/>
      <c r="BD2778" s="152"/>
      <c r="BE2778" s="152"/>
      <c r="BF2778" s="152"/>
      <c r="BG2778" s="152"/>
      <c r="BH2778" s="152"/>
      <c r="BI2778" s="153"/>
      <c r="BJ2778" s="153"/>
      <c r="BK2778" s="153"/>
      <c r="BL2778" s="153"/>
      <c r="BM2778" s="153"/>
      <c r="BN2778" s="153"/>
      <c r="BO2778" s="153"/>
      <c r="BP2778" s="153"/>
      <c r="BQ2778" s="153"/>
      <c r="BR2778" s="153"/>
      <c r="BS2778" s="153"/>
      <c r="BT2778" s="153"/>
      <c r="BU2778" s="153"/>
      <c r="BV2778" s="153"/>
      <c r="BW2778" s="153"/>
      <c r="BX2778" s="153"/>
      <c r="BY2778" s="153"/>
      <c r="BZ2778" s="153"/>
      <c r="CA2778" s="152"/>
      <c r="CB2778" s="152"/>
    </row>
    <row r="2779" spans="1:80" s="87" customFormat="1" x14ac:dyDescent="0.2">
      <c r="A2779" s="152"/>
      <c r="B2779" s="683"/>
      <c r="C2779" s="683"/>
      <c r="D2779" s="698"/>
      <c r="E2779" s="215"/>
      <c r="F2779" s="215"/>
      <c r="G2779" s="153"/>
      <c r="H2779" s="153"/>
      <c r="I2779" s="315">
        <v>24</v>
      </c>
      <c r="J2779" s="312">
        <v>60</v>
      </c>
      <c r="K2779" s="150">
        <v>57</v>
      </c>
      <c r="L2779" s="656">
        <v>1368</v>
      </c>
      <c r="M2779" s="663">
        <v>34829</v>
      </c>
      <c r="N2779" s="600">
        <v>7.78599</v>
      </c>
      <c r="O2779" s="604">
        <v>8.9529999999999992E-3</v>
      </c>
      <c r="P2779" s="150"/>
      <c r="Q2779" s="250"/>
      <c r="R2779" s="250"/>
      <c r="S2779" s="250"/>
      <c r="T2779" s="250">
        <v>2E-3</v>
      </c>
      <c r="U2779" s="250">
        <v>0.05</v>
      </c>
      <c r="V2779" s="250">
        <v>0.316</v>
      </c>
      <c r="W2779" s="250">
        <v>0.43756199999999995</v>
      </c>
      <c r="X2779" s="250">
        <v>0.17899999999999999</v>
      </c>
      <c r="Y2779" s="250">
        <v>1.4999999999999999E-2</v>
      </c>
      <c r="Z2779" s="150">
        <v>5</v>
      </c>
      <c r="AA2779" s="150">
        <v>0.81</v>
      </c>
      <c r="AB2779" s="152"/>
      <c r="AC2779" s="152"/>
      <c r="AD2779" s="223">
        <v>11.58202</v>
      </c>
      <c r="AE2779" s="223">
        <v>0.78635820000000001</v>
      </c>
      <c r="AF2779" s="223">
        <v>9.103612</v>
      </c>
      <c r="AG2779" s="223">
        <v>0.87474730000000001</v>
      </c>
      <c r="AH2779" s="341"/>
      <c r="AI2779" s="218"/>
      <c r="AJ2779" s="218"/>
      <c r="AK2779" s="153"/>
      <c r="AL2779" s="152"/>
      <c r="AM2779" s="152"/>
      <c r="AN2779" s="152"/>
      <c r="AO2779" s="152"/>
      <c r="AP2779" s="152"/>
      <c r="AQ2779" s="152"/>
      <c r="AR2779" s="152"/>
      <c r="AS2779" s="152"/>
      <c r="AT2779" s="152"/>
      <c r="AU2779" s="153"/>
      <c r="AV2779" s="479"/>
      <c r="AW2779" s="479"/>
      <c r="AX2779" s="442"/>
      <c r="AY2779" s="153"/>
      <c r="AZ2779" s="152"/>
      <c r="BA2779" s="152"/>
      <c r="BB2779" s="152"/>
      <c r="BC2779" s="152"/>
      <c r="BD2779" s="152"/>
      <c r="BE2779" s="152"/>
      <c r="BF2779" s="152"/>
      <c r="BG2779" s="152"/>
      <c r="BH2779" s="152"/>
      <c r="BI2779" s="153"/>
      <c r="BJ2779" s="153"/>
      <c r="BK2779" s="153"/>
      <c r="BL2779" s="153"/>
      <c r="BM2779" s="153"/>
      <c r="BN2779" s="153"/>
      <c r="BO2779" s="153"/>
      <c r="BP2779" s="153"/>
      <c r="BQ2779" s="153"/>
      <c r="BR2779" s="153"/>
      <c r="BS2779" s="153"/>
      <c r="BT2779" s="153"/>
      <c r="BU2779" s="153"/>
      <c r="BV2779" s="153"/>
      <c r="BW2779" s="153"/>
      <c r="BX2779" s="153"/>
      <c r="BY2779" s="153"/>
      <c r="BZ2779" s="153"/>
      <c r="CA2779" s="152"/>
      <c r="CB2779" s="152"/>
    </row>
    <row r="2780" spans="1:80" s="87" customFormat="1" x14ac:dyDescent="0.2">
      <c r="A2780" s="152"/>
      <c r="B2780" s="683"/>
      <c r="C2780" s="683"/>
      <c r="D2780" s="698"/>
      <c r="E2780" s="215"/>
      <c r="F2780" s="215"/>
      <c r="G2780" s="153"/>
      <c r="H2780" s="153"/>
      <c r="I2780" s="315">
        <v>24</v>
      </c>
      <c r="J2780" s="312">
        <v>60</v>
      </c>
      <c r="K2780" s="150">
        <v>58</v>
      </c>
      <c r="L2780" s="656">
        <v>1392</v>
      </c>
      <c r="M2780" s="663">
        <v>34829</v>
      </c>
      <c r="N2780" s="600">
        <v>7.78599</v>
      </c>
      <c r="O2780" s="604">
        <v>1.3225000000000001E-2</v>
      </c>
      <c r="P2780" s="150"/>
      <c r="Q2780" s="250"/>
      <c r="R2780" s="250"/>
      <c r="S2780" s="250">
        <v>3.4000000000000002E-2</v>
      </c>
      <c r="T2780" s="250">
        <v>7.2000000000000008E-2</v>
      </c>
      <c r="U2780" s="250">
        <v>0.11900000000000001</v>
      </c>
      <c r="V2780" s="250">
        <v>0.29399999999999998</v>
      </c>
      <c r="W2780" s="250">
        <v>0.33866099999999993</v>
      </c>
      <c r="X2780" s="250">
        <v>0.13200000000000001</v>
      </c>
      <c r="Y2780" s="250">
        <v>0.01</v>
      </c>
      <c r="Z2780" s="150">
        <v>11</v>
      </c>
      <c r="AA2780" s="150">
        <v>1.05</v>
      </c>
      <c r="AB2780" s="152"/>
      <c r="AC2780" s="152"/>
      <c r="AD2780" s="223">
        <v>11.58202</v>
      </c>
      <c r="AE2780" s="223">
        <v>0.78635820000000001</v>
      </c>
      <c r="AF2780" s="223">
        <v>9.103612</v>
      </c>
      <c r="AG2780" s="223">
        <v>0.87474730000000001</v>
      </c>
      <c r="AH2780" s="341"/>
      <c r="AI2780" s="218"/>
      <c r="AJ2780" s="218"/>
      <c r="AK2780" s="153"/>
      <c r="AL2780" s="152"/>
      <c r="AM2780" s="152"/>
      <c r="AN2780" s="152"/>
      <c r="AO2780" s="152"/>
      <c r="AP2780" s="152"/>
      <c r="AQ2780" s="152"/>
      <c r="AR2780" s="152"/>
      <c r="AS2780" s="152"/>
      <c r="AT2780" s="152"/>
      <c r="AU2780" s="153"/>
      <c r="AV2780" s="479"/>
      <c r="AW2780" s="479"/>
      <c r="AX2780" s="442"/>
      <c r="AY2780" s="153"/>
      <c r="AZ2780" s="152"/>
      <c r="BA2780" s="152"/>
      <c r="BB2780" s="152"/>
      <c r="BC2780" s="152"/>
      <c r="BD2780" s="152"/>
      <c r="BE2780" s="152"/>
      <c r="BF2780" s="152"/>
      <c r="BG2780" s="152"/>
      <c r="BH2780" s="152"/>
      <c r="BI2780" s="153"/>
      <c r="BJ2780" s="153"/>
      <c r="BK2780" s="153"/>
      <c r="BL2780" s="153"/>
      <c r="BM2780" s="153"/>
      <c r="BN2780" s="153"/>
      <c r="BO2780" s="153"/>
      <c r="BP2780" s="153"/>
      <c r="BQ2780" s="153"/>
      <c r="BR2780" s="153"/>
      <c r="BS2780" s="153"/>
      <c r="BT2780" s="153"/>
      <c r="BU2780" s="153"/>
      <c r="BV2780" s="153"/>
      <c r="BW2780" s="153"/>
      <c r="BX2780" s="153"/>
      <c r="BY2780" s="153"/>
      <c r="BZ2780" s="153"/>
      <c r="CA2780" s="152"/>
      <c r="CB2780" s="152"/>
    </row>
    <row r="2781" spans="1:80" s="87" customFormat="1" x14ac:dyDescent="0.2">
      <c r="A2781" s="152"/>
      <c r="B2781" s="683"/>
      <c r="C2781" s="683"/>
      <c r="D2781" s="698"/>
      <c r="E2781" s="215"/>
      <c r="F2781" s="215"/>
      <c r="G2781" s="153"/>
      <c r="H2781" s="153"/>
      <c r="I2781" s="315">
        <v>24</v>
      </c>
      <c r="J2781" s="312">
        <v>60</v>
      </c>
      <c r="K2781" s="150">
        <v>59</v>
      </c>
      <c r="L2781" s="656">
        <v>1416</v>
      </c>
      <c r="M2781" s="663">
        <v>34832</v>
      </c>
      <c r="N2781" s="600">
        <v>7.53118</v>
      </c>
      <c r="O2781" s="604">
        <v>1.8891999999999999E-2</v>
      </c>
      <c r="P2781" s="150"/>
      <c r="Q2781" s="250"/>
      <c r="R2781" s="250"/>
      <c r="S2781" s="250">
        <v>9.6999999999999989E-2</v>
      </c>
      <c r="T2781" s="250">
        <v>0.128</v>
      </c>
      <c r="U2781" s="250">
        <v>0.10300000000000001</v>
      </c>
      <c r="V2781" s="250">
        <v>0.26400000000000001</v>
      </c>
      <c r="W2781" s="250">
        <v>0.274725</v>
      </c>
      <c r="X2781" s="250">
        <v>0.12300000000000001</v>
      </c>
      <c r="Y2781" s="250">
        <v>0.01</v>
      </c>
      <c r="Z2781" s="150">
        <v>15</v>
      </c>
      <c r="AA2781" s="150">
        <v>1.27</v>
      </c>
      <c r="AB2781" s="152"/>
      <c r="AC2781" s="152"/>
      <c r="AD2781" s="223">
        <v>11.58202</v>
      </c>
      <c r="AE2781" s="223">
        <v>0.77721450000000003</v>
      </c>
      <c r="AF2781" s="223">
        <v>9.0107180000000007</v>
      </c>
      <c r="AG2781" s="223">
        <v>0.86560360000000003</v>
      </c>
      <c r="AH2781" s="341"/>
      <c r="AI2781" s="218"/>
      <c r="AJ2781" s="218"/>
      <c r="AK2781" s="153"/>
      <c r="AL2781" s="152"/>
      <c r="AM2781" s="152"/>
      <c r="AN2781" s="152"/>
      <c r="AO2781" s="152"/>
      <c r="AP2781" s="152"/>
      <c r="AQ2781" s="152"/>
      <c r="AR2781" s="152"/>
      <c r="AS2781" s="152"/>
      <c r="AT2781" s="152"/>
      <c r="AU2781" s="153"/>
      <c r="AV2781" s="479"/>
      <c r="AW2781" s="479"/>
      <c r="AX2781" s="442"/>
      <c r="AY2781" s="153"/>
      <c r="AZ2781" s="152"/>
      <c r="BA2781" s="152"/>
      <c r="BB2781" s="152"/>
      <c r="BC2781" s="152"/>
      <c r="BD2781" s="152"/>
      <c r="BE2781" s="152"/>
      <c r="BF2781" s="152"/>
      <c r="BG2781" s="152"/>
      <c r="BH2781" s="152"/>
      <c r="BI2781" s="153"/>
      <c r="BJ2781" s="153"/>
      <c r="BK2781" s="153"/>
      <c r="BL2781" s="153"/>
      <c r="BM2781" s="153"/>
      <c r="BN2781" s="153"/>
      <c r="BO2781" s="153"/>
      <c r="BP2781" s="153"/>
      <c r="BQ2781" s="153"/>
      <c r="BR2781" s="153"/>
      <c r="BS2781" s="153"/>
      <c r="BT2781" s="153"/>
      <c r="BU2781" s="153"/>
      <c r="BV2781" s="153"/>
      <c r="BW2781" s="153"/>
      <c r="BX2781" s="153"/>
      <c r="BY2781" s="153"/>
      <c r="BZ2781" s="153"/>
      <c r="CA2781" s="152"/>
      <c r="CB2781" s="152"/>
    </row>
    <row r="2782" spans="1:80" s="87" customFormat="1" x14ac:dyDescent="0.2">
      <c r="A2782" s="152"/>
      <c r="B2782" s="683"/>
      <c r="C2782" s="683"/>
      <c r="D2782" s="698"/>
      <c r="E2782" s="215"/>
      <c r="F2782" s="215"/>
      <c r="G2782" s="153"/>
      <c r="H2782" s="153"/>
      <c r="I2782" s="315">
        <v>24</v>
      </c>
      <c r="J2782" s="312">
        <v>60</v>
      </c>
      <c r="K2782" s="150">
        <v>60</v>
      </c>
      <c r="L2782" s="656">
        <v>1440</v>
      </c>
      <c r="M2782" s="663">
        <v>34832</v>
      </c>
      <c r="N2782" s="600">
        <v>7.53118</v>
      </c>
      <c r="O2782" s="604">
        <v>5.9620000000000003E-3</v>
      </c>
      <c r="P2782" s="150"/>
      <c r="Q2782" s="250"/>
      <c r="R2782" s="250"/>
      <c r="S2782" s="250"/>
      <c r="T2782" s="250">
        <v>1.8000000000000002E-2</v>
      </c>
      <c r="U2782" s="250">
        <v>6.8000000000000005E-2</v>
      </c>
      <c r="V2782" s="250">
        <v>0.30299999999999999</v>
      </c>
      <c r="W2782" s="250">
        <v>0.39260699999999998</v>
      </c>
      <c r="X2782" s="250">
        <v>0.19800000000000001</v>
      </c>
      <c r="Y2782" s="250">
        <v>2.2000000000000002E-2</v>
      </c>
      <c r="Z2782" s="150">
        <v>9</v>
      </c>
      <c r="AA2782" s="150">
        <v>0.82</v>
      </c>
      <c r="AB2782" s="152"/>
      <c r="AC2782" s="152"/>
      <c r="AD2782" s="223">
        <v>11.58202</v>
      </c>
      <c r="AE2782" s="223">
        <v>0.77721450000000003</v>
      </c>
      <c r="AF2782" s="223">
        <v>9.0107180000000007</v>
      </c>
      <c r="AG2782" s="223">
        <v>0.86560360000000003</v>
      </c>
      <c r="AH2782" s="341"/>
      <c r="AI2782" s="218"/>
      <c r="AJ2782" s="218"/>
      <c r="AK2782" s="153"/>
      <c r="AL2782" s="152"/>
      <c r="AM2782" s="152"/>
      <c r="AN2782" s="152"/>
      <c r="AO2782" s="152"/>
      <c r="AP2782" s="152"/>
      <c r="AQ2782" s="152"/>
      <c r="AR2782" s="152"/>
      <c r="AS2782" s="152"/>
      <c r="AT2782" s="152"/>
      <c r="AU2782" s="153"/>
      <c r="AV2782" s="479"/>
      <c r="AW2782" s="479"/>
      <c r="AX2782" s="442"/>
      <c r="AY2782" s="153"/>
      <c r="AZ2782" s="152"/>
      <c r="BA2782" s="152"/>
      <c r="BB2782" s="152"/>
      <c r="BC2782" s="152"/>
      <c r="BD2782" s="152"/>
      <c r="BE2782" s="152"/>
      <c r="BF2782" s="152"/>
      <c r="BG2782" s="152"/>
      <c r="BH2782" s="152"/>
      <c r="BI2782" s="153"/>
      <c r="BJ2782" s="153"/>
      <c r="BK2782" s="153"/>
      <c r="BL2782" s="153"/>
      <c r="BM2782" s="153"/>
      <c r="BN2782" s="153"/>
      <c r="BO2782" s="153"/>
      <c r="BP2782" s="153"/>
      <c r="BQ2782" s="153"/>
      <c r="BR2782" s="153"/>
      <c r="BS2782" s="153"/>
      <c r="BT2782" s="153"/>
      <c r="BU2782" s="153"/>
      <c r="BV2782" s="153"/>
      <c r="BW2782" s="153"/>
      <c r="BX2782" s="153"/>
      <c r="BY2782" s="153"/>
      <c r="BZ2782" s="153"/>
      <c r="CA2782" s="152"/>
      <c r="CB2782" s="152"/>
    </row>
    <row r="2783" spans="1:80" s="87" customFormat="1" x14ac:dyDescent="0.2">
      <c r="A2783" s="152"/>
      <c r="B2783" s="683"/>
      <c r="C2783" s="683"/>
      <c r="D2783" s="698"/>
      <c r="E2783" s="215"/>
      <c r="F2783" s="215"/>
      <c r="G2783" s="153"/>
      <c r="H2783" s="153"/>
      <c r="I2783" s="315">
        <v>24</v>
      </c>
      <c r="J2783" s="312">
        <v>60</v>
      </c>
      <c r="K2783" s="150">
        <v>61</v>
      </c>
      <c r="L2783" s="656">
        <v>1464</v>
      </c>
      <c r="M2783" s="663">
        <v>34836</v>
      </c>
      <c r="N2783" s="600">
        <v>8.9468099999999993</v>
      </c>
      <c r="O2783" s="604">
        <v>2.0990999999999999E-2</v>
      </c>
      <c r="P2783" s="150"/>
      <c r="Q2783" s="250"/>
      <c r="R2783" s="250"/>
      <c r="S2783" s="250">
        <v>1.1000000000000001E-2</v>
      </c>
      <c r="T2783" s="250">
        <v>0.13699999999999998</v>
      </c>
      <c r="U2783" s="250">
        <v>0.309</v>
      </c>
      <c r="V2783" s="250">
        <v>0.28999999999999998</v>
      </c>
      <c r="W2783" s="250">
        <v>0.14685299999999998</v>
      </c>
      <c r="X2783" s="250">
        <v>9.4E-2</v>
      </c>
      <c r="Y2783" s="250">
        <v>1.1000000000000001E-2</v>
      </c>
      <c r="Z2783" s="150">
        <v>10</v>
      </c>
      <c r="AA2783" s="150">
        <v>1.81</v>
      </c>
      <c r="AB2783" s="152"/>
      <c r="AC2783" s="152"/>
      <c r="AD2783" s="223">
        <v>11.58202</v>
      </c>
      <c r="AE2783" s="223">
        <v>0.83512459999999999</v>
      </c>
      <c r="AF2783" s="223">
        <v>9.6609759999999998</v>
      </c>
      <c r="AG2783" s="223">
        <v>0.90827420000000003</v>
      </c>
      <c r="AH2783" s="341"/>
      <c r="AI2783" s="218"/>
      <c r="AJ2783" s="218"/>
      <c r="AK2783" s="153"/>
      <c r="AL2783" s="152"/>
      <c r="AM2783" s="152"/>
      <c r="AN2783" s="152"/>
      <c r="AO2783" s="152"/>
      <c r="AP2783" s="152"/>
      <c r="AQ2783" s="152"/>
      <c r="AR2783" s="152"/>
      <c r="AS2783" s="152"/>
      <c r="AT2783" s="152"/>
      <c r="AU2783" s="153"/>
      <c r="AV2783" s="479"/>
      <c r="AW2783" s="479"/>
      <c r="AX2783" s="442"/>
      <c r="AY2783" s="153"/>
      <c r="AZ2783" s="152"/>
      <c r="BA2783" s="152"/>
      <c r="BB2783" s="152"/>
      <c r="BC2783" s="152"/>
      <c r="BD2783" s="152"/>
      <c r="BE2783" s="152"/>
      <c r="BF2783" s="152"/>
      <c r="BG2783" s="152"/>
      <c r="BH2783" s="152"/>
      <c r="BI2783" s="153"/>
      <c r="BJ2783" s="153"/>
      <c r="BK2783" s="153"/>
      <c r="BL2783" s="153"/>
      <c r="BM2783" s="153"/>
      <c r="BN2783" s="153"/>
      <c r="BO2783" s="153"/>
      <c r="BP2783" s="153"/>
      <c r="BQ2783" s="153"/>
      <c r="BR2783" s="153"/>
      <c r="BS2783" s="153"/>
      <c r="BT2783" s="153"/>
      <c r="BU2783" s="153"/>
      <c r="BV2783" s="153"/>
      <c r="BW2783" s="153"/>
      <c r="BX2783" s="153"/>
      <c r="BY2783" s="153"/>
      <c r="BZ2783" s="153"/>
      <c r="CA2783" s="152"/>
      <c r="CB2783" s="152"/>
    </row>
    <row r="2784" spans="1:80" s="87" customFormat="1" x14ac:dyDescent="0.2">
      <c r="A2784" s="152"/>
      <c r="B2784" s="683"/>
      <c r="C2784" s="683"/>
      <c r="D2784" s="698"/>
      <c r="E2784" s="215"/>
      <c r="F2784" s="215"/>
      <c r="G2784" s="153"/>
      <c r="H2784" s="153"/>
      <c r="I2784" s="315">
        <v>24</v>
      </c>
      <c r="J2784" s="312">
        <v>60</v>
      </c>
      <c r="K2784" s="150">
        <v>62</v>
      </c>
      <c r="L2784" s="656">
        <v>1488</v>
      </c>
      <c r="M2784" s="663">
        <v>34836</v>
      </c>
      <c r="N2784" s="600">
        <v>8.9468099999999993</v>
      </c>
      <c r="O2784" s="604">
        <v>3.7679999999999998E-2</v>
      </c>
      <c r="P2784" s="150"/>
      <c r="Q2784" s="250"/>
      <c r="R2784" s="250"/>
      <c r="S2784" s="250">
        <v>0.03</v>
      </c>
      <c r="T2784" s="250">
        <v>9.0999999999999998E-2</v>
      </c>
      <c r="U2784" s="250">
        <v>0.26500000000000001</v>
      </c>
      <c r="V2784" s="250">
        <v>0.376</v>
      </c>
      <c r="W2784" s="250">
        <v>0.16982999999999998</v>
      </c>
      <c r="X2784" s="250">
        <v>6.2E-2</v>
      </c>
      <c r="Y2784" s="250">
        <v>6.0000000000000001E-3</v>
      </c>
      <c r="Z2784" s="150">
        <v>16</v>
      </c>
      <c r="AA2784" s="150">
        <v>1.62</v>
      </c>
      <c r="AB2784" s="152"/>
      <c r="AC2784" s="152"/>
      <c r="AD2784" s="223">
        <v>11.58202</v>
      </c>
      <c r="AE2784" s="223">
        <v>0.83512459999999999</v>
      </c>
      <c r="AF2784" s="223">
        <v>9.6609759999999998</v>
      </c>
      <c r="AG2784" s="223">
        <v>0.90827420000000003</v>
      </c>
      <c r="AH2784" s="341"/>
      <c r="AI2784" s="218"/>
      <c r="AJ2784" s="218"/>
      <c r="AK2784" s="153"/>
      <c r="AL2784" s="152"/>
      <c r="AM2784" s="152"/>
      <c r="AN2784" s="152"/>
      <c r="AO2784" s="152"/>
      <c r="AP2784" s="152"/>
      <c r="AQ2784" s="152"/>
      <c r="AR2784" s="152"/>
      <c r="AS2784" s="152"/>
      <c r="AT2784" s="152"/>
      <c r="AU2784" s="153"/>
      <c r="AV2784" s="479"/>
      <c r="AW2784" s="479"/>
      <c r="AX2784" s="442"/>
      <c r="AY2784" s="153"/>
      <c r="AZ2784" s="152"/>
      <c r="BA2784" s="152"/>
      <c r="BB2784" s="152"/>
      <c r="BC2784" s="152"/>
      <c r="BD2784" s="152"/>
      <c r="BE2784" s="152"/>
      <c r="BF2784" s="152"/>
      <c r="BG2784" s="152"/>
      <c r="BH2784" s="152"/>
      <c r="BI2784" s="153"/>
      <c r="BJ2784" s="153"/>
      <c r="BK2784" s="153"/>
      <c r="BL2784" s="153"/>
      <c r="BM2784" s="153"/>
      <c r="BN2784" s="153"/>
      <c r="BO2784" s="153"/>
      <c r="BP2784" s="153"/>
      <c r="BQ2784" s="153"/>
      <c r="BR2784" s="153"/>
      <c r="BS2784" s="153"/>
      <c r="BT2784" s="153"/>
      <c r="BU2784" s="153"/>
      <c r="BV2784" s="153"/>
      <c r="BW2784" s="153"/>
      <c r="BX2784" s="153"/>
      <c r="BY2784" s="153"/>
      <c r="BZ2784" s="153"/>
      <c r="CA2784" s="152"/>
      <c r="CB2784" s="152"/>
    </row>
    <row r="2785" spans="1:80" s="87" customFormat="1" x14ac:dyDescent="0.2">
      <c r="A2785" s="152"/>
      <c r="B2785" s="683"/>
      <c r="C2785" s="683"/>
      <c r="D2785" s="698"/>
      <c r="E2785" s="215"/>
      <c r="F2785" s="215"/>
      <c r="G2785" s="153"/>
      <c r="H2785" s="153"/>
      <c r="I2785" s="315">
        <v>24</v>
      </c>
      <c r="J2785" s="312">
        <v>60</v>
      </c>
      <c r="K2785" s="150">
        <v>63</v>
      </c>
      <c r="L2785" s="656">
        <v>1512</v>
      </c>
      <c r="M2785" s="663">
        <v>34837</v>
      </c>
      <c r="N2785" s="600">
        <v>7.6727400000000001</v>
      </c>
      <c r="O2785" s="604">
        <v>1.1755E-2</v>
      </c>
      <c r="P2785" s="150"/>
      <c r="Q2785" s="250"/>
      <c r="R2785" s="250">
        <v>6.0999999999999999E-2</v>
      </c>
      <c r="S2785" s="250">
        <v>2.4E-2</v>
      </c>
      <c r="T2785" s="250">
        <v>9.0999999999999998E-2</v>
      </c>
      <c r="U2785" s="250">
        <v>0.14699999999999999</v>
      </c>
      <c r="V2785" s="250">
        <v>0.30499999999999999</v>
      </c>
      <c r="W2785" s="250">
        <v>0.254745</v>
      </c>
      <c r="X2785" s="250">
        <v>0.107</v>
      </c>
      <c r="Y2785" s="250">
        <v>0.01</v>
      </c>
      <c r="Z2785" s="150">
        <v>24</v>
      </c>
      <c r="AA2785" s="150">
        <v>1.34</v>
      </c>
      <c r="AB2785" s="152"/>
      <c r="AC2785" s="152"/>
      <c r="AD2785" s="223">
        <v>11.58202</v>
      </c>
      <c r="AE2785" s="223">
        <v>0.78026240000000002</v>
      </c>
      <c r="AF2785" s="223">
        <v>9.0478755999999994</v>
      </c>
      <c r="AG2785" s="223">
        <v>0.86560360000000003</v>
      </c>
      <c r="AH2785" s="341"/>
      <c r="AI2785" s="218"/>
      <c r="AJ2785" s="218"/>
      <c r="AK2785" s="153"/>
      <c r="AL2785" s="152"/>
      <c r="AM2785" s="152"/>
      <c r="AN2785" s="152"/>
      <c r="AO2785" s="152"/>
      <c r="AP2785" s="152"/>
      <c r="AQ2785" s="152"/>
      <c r="AR2785" s="152"/>
      <c r="AS2785" s="152"/>
      <c r="AT2785" s="152"/>
      <c r="AU2785" s="153"/>
      <c r="AV2785" s="479"/>
      <c r="AW2785" s="479"/>
      <c r="AX2785" s="442"/>
      <c r="AY2785" s="153"/>
      <c r="AZ2785" s="152"/>
      <c r="BA2785" s="152"/>
      <c r="BB2785" s="152"/>
      <c r="BC2785" s="152"/>
      <c r="BD2785" s="152"/>
      <c r="BE2785" s="152"/>
      <c r="BF2785" s="152"/>
      <c r="BG2785" s="152"/>
      <c r="BH2785" s="152"/>
      <c r="BI2785" s="153"/>
      <c r="BJ2785" s="153"/>
      <c r="BK2785" s="153"/>
      <c r="BL2785" s="153"/>
      <c r="BM2785" s="153"/>
      <c r="BN2785" s="153"/>
      <c r="BO2785" s="153"/>
      <c r="BP2785" s="153"/>
      <c r="BQ2785" s="153"/>
      <c r="BR2785" s="153"/>
      <c r="BS2785" s="153"/>
      <c r="BT2785" s="153"/>
      <c r="BU2785" s="153"/>
      <c r="BV2785" s="153"/>
      <c r="BW2785" s="153"/>
      <c r="BX2785" s="153"/>
      <c r="BY2785" s="153"/>
      <c r="BZ2785" s="153"/>
      <c r="CA2785" s="152"/>
      <c r="CB2785" s="152"/>
    </row>
    <row r="2786" spans="1:80" s="87" customFormat="1" x14ac:dyDescent="0.2">
      <c r="A2786" s="152"/>
      <c r="B2786" s="683"/>
      <c r="C2786" s="683"/>
      <c r="D2786" s="698"/>
      <c r="E2786" s="215"/>
      <c r="F2786" s="215"/>
      <c r="G2786" s="153"/>
      <c r="H2786" s="153"/>
      <c r="I2786" s="315">
        <v>24</v>
      </c>
      <c r="J2786" s="312">
        <v>60</v>
      </c>
      <c r="K2786" s="150">
        <v>64</v>
      </c>
      <c r="L2786" s="656">
        <v>1536</v>
      </c>
      <c r="M2786" s="663">
        <v>34837</v>
      </c>
      <c r="N2786" s="600">
        <v>7.6727400000000001</v>
      </c>
      <c r="O2786" s="604">
        <v>7.6090000000000003E-3</v>
      </c>
      <c r="P2786" s="150"/>
      <c r="Q2786" s="250"/>
      <c r="R2786" s="250"/>
      <c r="S2786" s="250"/>
      <c r="T2786" s="250">
        <v>1.7000000000000001E-2</v>
      </c>
      <c r="U2786" s="250">
        <v>4.8000000000000001E-2</v>
      </c>
      <c r="V2786" s="250">
        <v>0.28899999999999998</v>
      </c>
      <c r="W2786" s="250">
        <v>0.48451499999999997</v>
      </c>
      <c r="X2786" s="250">
        <v>0.152</v>
      </c>
      <c r="Y2786" s="250">
        <v>0.01</v>
      </c>
      <c r="Z2786" s="150">
        <v>8</v>
      </c>
      <c r="AA2786" s="150">
        <v>0.81</v>
      </c>
      <c r="AB2786" s="152"/>
      <c r="AC2786" s="152"/>
      <c r="AD2786" s="223">
        <v>11.58202</v>
      </c>
      <c r="AE2786" s="223">
        <v>0.78026240000000002</v>
      </c>
      <c r="AF2786" s="223">
        <v>9.0478755999999994</v>
      </c>
      <c r="AG2786" s="223">
        <v>0.86560360000000003</v>
      </c>
      <c r="AH2786" s="341"/>
      <c r="AI2786" s="218"/>
      <c r="AJ2786" s="218"/>
      <c r="AK2786" s="153"/>
      <c r="AL2786" s="152"/>
      <c r="AM2786" s="152"/>
      <c r="AN2786" s="152"/>
      <c r="AO2786" s="152"/>
      <c r="AP2786" s="152"/>
      <c r="AQ2786" s="152"/>
      <c r="AR2786" s="152"/>
      <c r="AS2786" s="152"/>
      <c r="AT2786" s="152"/>
      <c r="AU2786" s="153"/>
      <c r="AV2786" s="479"/>
      <c r="AW2786" s="479"/>
      <c r="AX2786" s="442"/>
      <c r="AY2786" s="153"/>
      <c r="AZ2786" s="152"/>
      <c r="BA2786" s="152"/>
      <c r="BB2786" s="152"/>
      <c r="BC2786" s="152"/>
      <c r="BD2786" s="152"/>
      <c r="BE2786" s="152"/>
      <c r="BF2786" s="152"/>
      <c r="BG2786" s="152"/>
      <c r="BH2786" s="152"/>
      <c r="BI2786" s="153"/>
      <c r="BJ2786" s="153"/>
      <c r="BK2786" s="153"/>
      <c r="BL2786" s="153"/>
      <c r="BM2786" s="153"/>
      <c r="BN2786" s="153"/>
      <c r="BO2786" s="153"/>
      <c r="BP2786" s="153"/>
      <c r="BQ2786" s="153"/>
      <c r="BR2786" s="153"/>
      <c r="BS2786" s="153"/>
      <c r="BT2786" s="153"/>
      <c r="BU2786" s="153"/>
      <c r="BV2786" s="153"/>
      <c r="BW2786" s="153"/>
      <c r="BX2786" s="153"/>
      <c r="BY2786" s="153"/>
      <c r="BZ2786" s="153"/>
      <c r="CA2786" s="152"/>
      <c r="CB2786" s="152"/>
    </row>
    <row r="2787" spans="1:80" s="87" customFormat="1" x14ac:dyDescent="0.2">
      <c r="A2787" s="152"/>
      <c r="B2787" s="683"/>
      <c r="C2787" s="683"/>
      <c r="D2787" s="698"/>
      <c r="E2787" s="215"/>
      <c r="F2787" s="215"/>
      <c r="G2787" s="153"/>
      <c r="H2787" s="153"/>
      <c r="I2787" s="315">
        <v>24</v>
      </c>
      <c r="J2787" s="312">
        <v>60</v>
      </c>
      <c r="K2787" s="150">
        <v>65</v>
      </c>
      <c r="L2787" s="656">
        <v>1560</v>
      </c>
      <c r="M2787" s="663">
        <v>34841</v>
      </c>
      <c r="N2787" s="600">
        <v>6.2571099999999999</v>
      </c>
      <c r="O2787" s="604">
        <v>2.676E-3</v>
      </c>
      <c r="P2787" s="150"/>
      <c r="Q2787" s="250"/>
      <c r="R2787" s="250"/>
      <c r="S2787" s="250">
        <v>8.0000000000000002E-3</v>
      </c>
      <c r="T2787" s="250">
        <v>7.2000000000000008E-2</v>
      </c>
      <c r="U2787" s="250">
        <v>0.307</v>
      </c>
      <c r="V2787" s="250">
        <v>9.552999999999999E-2</v>
      </c>
      <c r="W2787" s="250">
        <v>0.31405999999999989</v>
      </c>
      <c r="X2787" s="250">
        <v>0.187</v>
      </c>
      <c r="Y2787" s="250">
        <v>1.6E-2</v>
      </c>
      <c r="Z2787" s="150">
        <v>5</v>
      </c>
      <c r="AA2787" s="150">
        <v>0.96</v>
      </c>
      <c r="AB2787" s="152"/>
      <c r="AC2787" s="152"/>
      <c r="AD2787" s="223">
        <v>11.58202</v>
      </c>
      <c r="AE2787" s="223">
        <v>0.67968170000000006</v>
      </c>
      <c r="AF2787" s="223">
        <v>7.8588323999999998</v>
      </c>
      <c r="AG2787" s="223">
        <v>0.81074139999999995</v>
      </c>
      <c r="AH2787" s="341"/>
      <c r="AI2787" s="218"/>
      <c r="AJ2787" s="218"/>
      <c r="AK2787" s="153"/>
      <c r="AL2787" s="152"/>
      <c r="AM2787" s="152"/>
      <c r="AN2787" s="152"/>
      <c r="AO2787" s="152"/>
      <c r="AP2787" s="152"/>
      <c r="AQ2787" s="152"/>
      <c r="AR2787" s="152"/>
      <c r="AS2787" s="152"/>
      <c r="AT2787" s="152"/>
      <c r="AU2787" s="153"/>
      <c r="AV2787" s="479"/>
      <c r="AW2787" s="479"/>
      <c r="AX2787" s="442"/>
      <c r="AY2787" s="153"/>
      <c r="AZ2787" s="152"/>
      <c r="BA2787" s="152"/>
      <c r="BB2787" s="152"/>
      <c r="BC2787" s="152"/>
      <c r="BD2787" s="152"/>
      <c r="BE2787" s="152"/>
      <c r="BF2787" s="152"/>
      <c r="BG2787" s="152"/>
      <c r="BH2787" s="152"/>
      <c r="BI2787" s="153"/>
      <c r="BJ2787" s="153"/>
      <c r="BK2787" s="153"/>
      <c r="BL2787" s="153"/>
      <c r="BM2787" s="153"/>
      <c r="BN2787" s="153"/>
      <c r="BO2787" s="153"/>
      <c r="BP2787" s="153"/>
      <c r="BQ2787" s="153"/>
      <c r="BR2787" s="153"/>
      <c r="BS2787" s="153"/>
      <c r="BT2787" s="153"/>
      <c r="BU2787" s="153"/>
      <c r="BV2787" s="153"/>
      <c r="BW2787" s="153"/>
      <c r="BX2787" s="153"/>
      <c r="BY2787" s="153"/>
      <c r="BZ2787" s="153"/>
      <c r="CA2787" s="152"/>
      <c r="CB2787" s="152"/>
    </row>
    <row r="2788" spans="1:80" s="87" customFormat="1" x14ac:dyDescent="0.2">
      <c r="A2788" s="152"/>
      <c r="B2788" s="683"/>
      <c r="C2788" s="683"/>
      <c r="D2788" s="698"/>
      <c r="E2788" s="215"/>
      <c r="F2788" s="215"/>
      <c r="G2788" s="153"/>
      <c r="H2788" s="153"/>
      <c r="I2788" s="315">
        <v>24</v>
      </c>
      <c r="J2788" s="312">
        <v>60</v>
      </c>
      <c r="K2788" s="150">
        <v>66</v>
      </c>
      <c r="L2788" s="656">
        <v>1584</v>
      </c>
      <c r="M2788" s="663">
        <v>34841</v>
      </c>
      <c r="N2788" s="600">
        <v>6.2571099999999999</v>
      </c>
      <c r="O2788" s="604">
        <v>2.8440000000000002E-3</v>
      </c>
      <c r="P2788" s="150"/>
      <c r="Q2788" s="250"/>
      <c r="R2788" s="250">
        <v>7.400000000000001E-2</v>
      </c>
      <c r="S2788" s="250">
        <v>1.9E-2</v>
      </c>
      <c r="T2788" s="250">
        <v>6.4000000000000001E-2</v>
      </c>
      <c r="U2788" s="250">
        <v>0.251</v>
      </c>
      <c r="V2788" s="250">
        <v>9.3433000000000016E-2</v>
      </c>
      <c r="W2788" s="250">
        <v>0.30716599999999994</v>
      </c>
      <c r="X2788" s="250">
        <v>0.16899999999999998</v>
      </c>
      <c r="Y2788" s="250">
        <v>2.3E-2</v>
      </c>
      <c r="Z2788" s="150">
        <v>10</v>
      </c>
      <c r="AA2788" s="150">
        <v>1.01</v>
      </c>
      <c r="AB2788" s="152"/>
      <c r="AC2788" s="152"/>
      <c r="AD2788" s="223">
        <v>11.58202</v>
      </c>
      <c r="AE2788" s="223">
        <v>0.67968170000000006</v>
      </c>
      <c r="AF2788" s="223">
        <v>7.8588323999999998</v>
      </c>
      <c r="AG2788" s="223">
        <v>0.81074139999999995</v>
      </c>
      <c r="AH2788" s="341"/>
      <c r="AI2788" s="218"/>
      <c r="AJ2788" s="218"/>
      <c r="AK2788" s="153"/>
      <c r="AL2788" s="152"/>
      <c r="AM2788" s="152"/>
      <c r="AN2788" s="152"/>
      <c r="AO2788" s="152"/>
      <c r="AP2788" s="152"/>
      <c r="AQ2788" s="152"/>
      <c r="AR2788" s="152"/>
      <c r="AS2788" s="152"/>
      <c r="AT2788" s="152"/>
      <c r="AU2788" s="153"/>
      <c r="AV2788" s="479"/>
      <c r="AW2788" s="479"/>
      <c r="AX2788" s="442"/>
      <c r="AY2788" s="153"/>
      <c r="AZ2788" s="152"/>
      <c r="BA2788" s="152"/>
      <c r="BB2788" s="152"/>
      <c r="BC2788" s="152"/>
      <c r="BD2788" s="152"/>
      <c r="BE2788" s="152"/>
      <c r="BF2788" s="152"/>
      <c r="BG2788" s="152"/>
      <c r="BH2788" s="152"/>
      <c r="BI2788" s="153"/>
      <c r="BJ2788" s="153"/>
      <c r="BK2788" s="153"/>
      <c r="BL2788" s="153"/>
      <c r="BM2788" s="153"/>
      <c r="BN2788" s="153"/>
      <c r="BO2788" s="153"/>
      <c r="BP2788" s="153"/>
      <c r="BQ2788" s="153"/>
      <c r="BR2788" s="153"/>
      <c r="BS2788" s="153"/>
      <c r="BT2788" s="153"/>
      <c r="BU2788" s="153"/>
      <c r="BV2788" s="153"/>
      <c r="BW2788" s="153"/>
      <c r="BX2788" s="153"/>
      <c r="BY2788" s="153"/>
      <c r="BZ2788" s="153"/>
      <c r="CA2788" s="152"/>
      <c r="CB2788" s="152"/>
    </row>
    <row r="2789" spans="1:80" s="87" customFormat="1" x14ac:dyDescent="0.2">
      <c r="A2789" s="152"/>
      <c r="B2789" s="683"/>
      <c r="C2789" s="683"/>
      <c r="D2789" s="698"/>
      <c r="E2789" s="215"/>
      <c r="F2789" s="215"/>
      <c r="G2789" s="153"/>
      <c r="H2789" s="153"/>
      <c r="I2789" s="315">
        <v>21</v>
      </c>
      <c r="J2789" s="312">
        <v>60</v>
      </c>
      <c r="K2789" s="150">
        <v>67</v>
      </c>
      <c r="L2789" s="656">
        <v>1407</v>
      </c>
      <c r="M2789" s="663">
        <v>34850</v>
      </c>
      <c r="N2789" s="600">
        <v>4.2185899999999998</v>
      </c>
      <c r="O2789" s="604">
        <v>1.4694E-2</v>
      </c>
      <c r="P2789" s="150"/>
      <c r="Q2789" s="250"/>
      <c r="R2789" s="250">
        <v>9.6999999999999989E-2</v>
      </c>
      <c r="S2789" s="250">
        <v>0.105</v>
      </c>
      <c r="T2789" s="250">
        <v>0.17800000000000002</v>
      </c>
      <c r="U2789" s="250">
        <v>0.28100000000000003</v>
      </c>
      <c r="V2789" s="250">
        <v>4.543500000000001E-2</v>
      </c>
      <c r="W2789" s="250">
        <v>0.14937</v>
      </c>
      <c r="X2789" s="250">
        <v>0.13100000000000001</v>
      </c>
      <c r="Y2789" s="250">
        <v>1.3999999999999999E-2</v>
      </c>
      <c r="Z2789" s="150">
        <v>15</v>
      </c>
      <c r="AA2789" s="150">
        <v>2.97</v>
      </c>
      <c r="AB2789" s="152"/>
      <c r="AC2789" s="152"/>
      <c r="AD2789" s="223"/>
      <c r="AE2789" s="223"/>
      <c r="AF2789" s="223"/>
      <c r="AG2789" s="223"/>
      <c r="AH2789" s="341"/>
      <c r="AI2789" s="218"/>
      <c r="AJ2789" s="218"/>
      <c r="AK2789" s="153"/>
      <c r="AL2789" s="152"/>
      <c r="AM2789" s="152"/>
      <c r="AN2789" s="152"/>
      <c r="AO2789" s="152"/>
      <c r="AP2789" s="152"/>
      <c r="AQ2789" s="152"/>
      <c r="AR2789" s="152"/>
      <c r="AS2789" s="152"/>
      <c r="AT2789" s="152"/>
      <c r="AU2789" s="153"/>
      <c r="AV2789" s="479"/>
      <c r="AW2789" s="479"/>
      <c r="AX2789" s="442"/>
      <c r="AY2789" s="153"/>
      <c r="AZ2789" s="152"/>
      <c r="BA2789" s="152"/>
      <c r="BB2789" s="152"/>
      <c r="BC2789" s="152"/>
      <c r="BD2789" s="152"/>
      <c r="BE2789" s="152"/>
      <c r="BF2789" s="152"/>
      <c r="BG2789" s="152"/>
      <c r="BH2789" s="152"/>
      <c r="BI2789" s="153"/>
      <c r="BJ2789" s="153"/>
      <c r="BK2789" s="153"/>
      <c r="BL2789" s="153"/>
      <c r="BM2789" s="153"/>
      <c r="BN2789" s="153"/>
      <c r="BO2789" s="153"/>
      <c r="BP2789" s="153"/>
      <c r="BQ2789" s="153"/>
      <c r="BR2789" s="153"/>
      <c r="BS2789" s="153"/>
      <c r="BT2789" s="153"/>
      <c r="BU2789" s="153"/>
      <c r="BV2789" s="153"/>
      <c r="BW2789" s="153"/>
      <c r="BX2789" s="153"/>
      <c r="BY2789" s="153"/>
      <c r="BZ2789" s="153"/>
      <c r="CA2789" s="152"/>
      <c r="CB2789" s="152"/>
    </row>
    <row r="2790" spans="1:80" s="87" customFormat="1" x14ac:dyDescent="0.2">
      <c r="A2790" s="152"/>
      <c r="B2790" s="683"/>
      <c r="C2790" s="683"/>
      <c r="D2790" s="698"/>
      <c r="E2790" s="215"/>
      <c r="F2790" s="215"/>
      <c r="G2790" s="153"/>
      <c r="H2790" s="153"/>
      <c r="I2790" s="315">
        <v>21</v>
      </c>
      <c r="J2790" s="312">
        <v>60</v>
      </c>
      <c r="K2790" s="150">
        <v>68</v>
      </c>
      <c r="L2790" s="656">
        <v>1428</v>
      </c>
      <c r="M2790" s="663">
        <v>34850</v>
      </c>
      <c r="N2790" s="600">
        <v>4.2185899999999998</v>
      </c>
      <c r="O2790" s="604">
        <v>2.5085E-2</v>
      </c>
      <c r="P2790" s="150"/>
      <c r="Q2790" s="250">
        <v>0.21100000000000002</v>
      </c>
      <c r="R2790" s="250">
        <v>2.5000000000000001E-2</v>
      </c>
      <c r="S2790" s="250">
        <v>8.5999999999999993E-2</v>
      </c>
      <c r="T2790" s="250">
        <v>0.17399999999999999</v>
      </c>
      <c r="U2790" s="250">
        <v>0.27699999999999997</v>
      </c>
      <c r="V2790" s="250">
        <v>3.4717000000000005E-2</v>
      </c>
      <c r="W2790" s="250">
        <v>0.114134</v>
      </c>
      <c r="X2790" s="250">
        <v>7.0999999999999994E-2</v>
      </c>
      <c r="Y2790" s="250">
        <v>8.0000000000000002E-3</v>
      </c>
      <c r="Z2790" s="150">
        <v>24</v>
      </c>
      <c r="AA2790" s="150">
        <v>3.95</v>
      </c>
      <c r="AB2790" s="152"/>
      <c r="AC2790" s="152"/>
      <c r="AD2790" s="223"/>
      <c r="AE2790" s="223"/>
      <c r="AF2790" s="223"/>
      <c r="AG2790" s="223"/>
      <c r="AH2790" s="341"/>
      <c r="AI2790" s="218"/>
      <c r="AJ2790" s="218"/>
      <c r="AK2790" s="153"/>
      <c r="AL2790" s="152"/>
      <c r="AM2790" s="152"/>
      <c r="AN2790" s="152"/>
      <c r="AO2790" s="152"/>
      <c r="AP2790" s="152"/>
      <c r="AQ2790" s="152"/>
      <c r="AR2790" s="152"/>
      <c r="AS2790" s="152"/>
      <c r="AT2790" s="152"/>
      <c r="AU2790" s="153"/>
      <c r="AV2790" s="479"/>
      <c r="AW2790" s="479"/>
      <c r="AX2790" s="442"/>
      <c r="AY2790" s="153"/>
      <c r="AZ2790" s="152"/>
      <c r="BA2790" s="152"/>
      <c r="BB2790" s="152"/>
      <c r="BC2790" s="152"/>
      <c r="BD2790" s="152"/>
      <c r="BE2790" s="152"/>
      <c r="BF2790" s="152"/>
      <c r="BG2790" s="152"/>
      <c r="BH2790" s="152"/>
      <c r="BI2790" s="153"/>
      <c r="BJ2790" s="153"/>
      <c r="BK2790" s="153"/>
      <c r="BL2790" s="153"/>
      <c r="BM2790" s="153"/>
      <c r="BN2790" s="153"/>
      <c r="BO2790" s="153"/>
      <c r="BP2790" s="153"/>
      <c r="BQ2790" s="153"/>
      <c r="BR2790" s="153"/>
      <c r="BS2790" s="153"/>
      <c r="BT2790" s="153"/>
      <c r="BU2790" s="153"/>
      <c r="BV2790" s="153"/>
      <c r="BW2790" s="153"/>
      <c r="BX2790" s="153"/>
      <c r="BY2790" s="153"/>
      <c r="BZ2790" s="153"/>
      <c r="CA2790" s="152"/>
      <c r="CB2790" s="152"/>
    </row>
    <row r="2791" spans="1:80" s="87" customFormat="1" x14ac:dyDescent="0.2">
      <c r="A2791" s="152"/>
      <c r="B2791" s="683"/>
      <c r="C2791" s="683"/>
      <c r="D2791" s="698"/>
      <c r="E2791" s="215"/>
      <c r="F2791" s="215"/>
      <c r="G2791" s="153"/>
      <c r="H2791" s="153"/>
      <c r="I2791" s="315">
        <v>21</v>
      </c>
      <c r="J2791" s="312">
        <v>60</v>
      </c>
      <c r="K2791" s="150">
        <v>69</v>
      </c>
      <c r="L2791" s="656">
        <v>1449</v>
      </c>
      <c r="M2791" s="663">
        <v>34852</v>
      </c>
      <c r="N2791" s="600">
        <v>4.1336500000000003</v>
      </c>
      <c r="O2791" s="604">
        <v>2.529E-3</v>
      </c>
      <c r="P2791" s="150"/>
      <c r="Q2791" s="250"/>
      <c r="R2791" s="250"/>
      <c r="S2791" s="250">
        <v>3.9E-2</v>
      </c>
      <c r="T2791" s="250">
        <v>0.22</v>
      </c>
      <c r="U2791" s="250">
        <v>0.36700000000000005</v>
      </c>
      <c r="V2791" s="250">
        <v>4.8231000000000003E-2</v>
      </c>
      <c r="W2791" s="250">
        <v>0.15856199999999998</v>
      </c>
      <c r="X2791" s="250">
        <v>0.13300000000000001</v>
      </c>
      <c r="Y2791" s="250">
        <v>3.4000000000000002E-2</v>
      </c>
      <c r="Z2791" s="150">
        <v>6</v>
      </c>
      <c r="AA2791" s="150">
        <v>2.54</v>
      </c>
      <c r="AB2791" s="152"/>
      <c r="AC2791" s="152"/>
      <c r="AD2791" s="223"/>
      <c r="AE2791" s="223"/>
      <c r="AF2791" s="223"/>
      <c r="AG2791" s="223"/>
      <c r="AH2791" s="341"/>
      <c r="AI2791" s="218"/>
      <c r="AJ2791" s="218"/>
      <c r="AK2791" s="153"/>
      <c r="AL2791" s="152"/>
      <c r="AM2791" s="152"/>
      <c r="AN2791" s="152"/>
      <c r="AO2791" s="152"/>
      <c r="AP2791" s="152"/>
      <c r="AQ2791" s="152"/>
      <c r="AR2791" s="152"/>
      <c r="AS2791" s="152"/>
      <c r="AT2791" s="152"/>
      <c r="AU2791" s="153"/>
      <c r="AV2791" s="479"/>
      <c r="AW2791" s="479"/>
      <c r="AX2791" s="442"/>
      <c r="AY2791" s="153"/>
      <c r="AZ2791" s="152"/>
      <c r="BA2791" s="152"/>
      <c r="BB2791" s="152"/>
      <c r="BC2791" s="152"/>
      <c r="BD2791" s="152"/>
      <c r="BE2791" s="152"/>
      <c r="BF2791" s="152"/>
      <c r="BG2791" s="152"/>
      <c r="BH2791" s="152"/>
      <c r="BI2791" s="153"/>
      <c r="BJ2791" s="153"/>
      <c r="BK2791" s="153"/>
      <c r="BL2791" s="153"/>
      <c r="BM2791" s="153"/>
      <c r="BN2791" s="153"/>
      <c r="BO2791" s="153"/>
      <c r="BP2791" s="153"/>
      <c r="BQ2791" s="153"/>
      <c r="BR2791" s="153"/>
      <c r="BS2791" s="153"/>
      <c r="BT2791" s="153"/>
      <c r="BU2791" s="153"/>
      <c r="BV2791" s="153"/>
      <c r="BW2791" s="153"/>
      <c r="BX2791" s="153"/>
      <c r="BY2791" s="153"/>
      <c r="BZ2791" s="153"/>
      <c r="CA2791" s="152"/>
      <c r="CB2791" s="152"/>
    </row>
    <row r="2792" spans="1:80" s="87" customFormat="1" x14ac:dyDescent="0.2">
      <c r="A2792" s="152"/>
      <c r="B2792" s="683"/>
      <c r="C2792" s="683"/>
      <c r="D2792" s="698"/>
      <c r="E2792" s="215"/>
      <c r="F2792" s="215"/>
      <c r="G2792" s="153"/>
      <c r="H2792" s="153"/>
      <c r="I2792" s="315">
        <v>21</v>
      </c>
      <c r="J2792" s="312">
        <v>60</v>
      </c>
      <c r="K2792" s="150">
        <v>70</v>
      </c>
      <c r="L2792" s="656">
        <v>1470</v>
      </c>
      <c r="M2792" s="663">
        <v>34852</v>
      </c>
      <c r="N2792" s="600">
        <v>4.1336500000000003</v>
      </c>
      <c r="O2792" s="604">
        <v>8.4279999999999997E-3</v>
      </c>
      <c r="P2792" s="150"/>
      <c r="Q2792" s="250"/>
      <c r="R2792" s="250">
        <v>0.12300000000000001</v>
      </c>
      <c r="S2792" s="250">
        <v>8.900000000000001E-2</v>
      </c>
      <c r="T2792" s="250">
        <v>0.20899999999999999</v>
      </c>
      <c r="U2792" s="250">
        <v>0.32100000000000001</v>
      </c>
      <c r="V2792" s="250">
        <v>4.0774999999999999E-2</v>
      </c>
      <c r="W2792" s="250">
        <v>0.13405</v>
      </c>
      <c r="X2792" s="250">
        <v>7.2000000000000008E-2</v>
      </c>
      <c r="Y2792" s="250">
        <v>1.2E-2</v>
      </c>
      <c r="Z2792" s="150">
        <v>13</v>
      </c>
      <c r="AA2792" s="150">
        <v>3.37</v>
      </c>
      <c r="AB2792" s="152"/>
      <c r="AC2792" s="152"/>
      <c r="AD2792" s="223"/>
      <c r="AE2792" s="223"/>
      <c r="AF2792" s="223"/>
      <c r="AG2792" s="223"/>
      <c r="AH2792" s="341"/>
      <c r="AI2792" s="218"/>
      <c r="AJ2792" s="218"/>
      <c r="AK2792" s="153"/>
      <c r="AL2792" s="152"/>
      <c r="AM2792" s="152"/>
      <c r="AN2792" s="152"/>
      <c r="AO2792" s="152"/>
      <c r="AP2792" s="152"/>
      <c r="AQ2792" s="152"/>
      <c r="AR2792" s="152"/>
      <c r="AS2792" s="152"/>
      <c r="AT2792" s="152"/>
      <c r="AU2792" s="153"/>
      <c r="AV2792" s="479"/>
      <c r="AW2792" s="479"/>
      <c r="AX2792" s="442"/>
      <c r="AY2792" s="153"/>
      <c r="AZ2792" s="152"/>
      <c r="BA2792" s="152"/>
      <c r="BB2792" s="152"/>
      <c r="BC2792" s="152"/>
      <c r="BD2792" s="152"/>
      <c r="BE2792" s="152"/>
      <c r="BF2792" s="152"/>
      <c r="BG2792" s="152"/>
      <c r="BH2792" s="152"/>
      <c r="BI2792" s="153"/>
      <c r="BJ2792" s="153"/>
      <c r="BK2792" s="153"/>
      <c r="BL2792" s="153"/>
      <c r="BM2792" s="153"/>
      <c r="BN2792" s="153"/>
      <c r="BO2792" s="153"/>
      <c r="BP2792" s="153"/>
      <c r="BQ2792" s="153"/>
      <c r="BR2792" s="153"/>
      <c r="BS2792" s="153"/>
      <c r="BT2792" s="153"/>
      <c r="BU2792" s="153"/>
      <c r="BV2792" s="153"/>
      <c r="BW2792" s="153"/>
      <c r="BX2792" s="153"/>
      <c r="BY2792" s="153"/>
      <c r="BZ2792" s="153"/>
      <c r="CA2792" s="152"/>
      <c r="CB2792" s="152"/>
    </row>
    <row r="2793" spans="1:80" s="87" customFormat="1" x14ac:dyDescent="0.2">
      <c r="A2793" s="152"/>
      <c r="B2793" s="683"/>
      <c r="C2793" s="683"/>
      <c r="D2793" s="698"/>
      <c r="E2793" s="215"/>
      <c r="F2793" s="215"/>
      <c r="G2793" s="153"/>
      <c r="H2793" s="153"/>
      <c r="I2793" s="315">
        <v>24</v>
      </c>
      <c r="J2793" s="312">
        <v>60</v>
      </c>
      <c r="K2793" s="150">
        <v>71</v>
      </c>
      <c r="L2793" s="656">
        <v>1704</v>
      </c>
      <c r="M2793" s="663">
        <v>34856</v>
      </c>
      <c r="N2793" s="600">
        <v>5.0679699999999999</v>
      </c>
      <c r="O2793" s="604">
        <v>8.26E-3</v>
      </c>
      <c r="P2793" s="150"/>
      <c r="Q2793" s="250"/>
      <c r="R2793" s="250"/>
      <c r="S2793" s="250">
        <v>1.8000000000000002E-2</v>
      </c>
      <c r="T2793" s="250">
        <v>0.14000000000000001</v>
      </c>
      <c r="U2793" s="250">
        <v>0.38500000000000001</v>
      </c>
      <c r="V2793" s="250">
        <v>7.8287999999999996E-2</v>
      </c>
      <c r="W2793" s="250">
        <v>0.25737599999999999</v>
      </c>
      <c r="X2793" s="250">
        <v>0.115</v>
      </c>
      <c r="Y2793" s="250">
        <v>6.0000000000000001E-3</v>
      </c>
      <c r="Z2793" s="150">
        <v>8</v>
      </c>
      <c r="AA2793" s="150">
        <v>2.16</v>
      </c>
      <c r="AB2793" s="152"/>
      <c r="AC2793" s="152"/>
      <c r="AD2793" s="223">
        <v>11.58202</v>
      </c>
      <c r="AE2793" s="223">
        <v>0.59129259999999995</v>
      </c>
      <c r="AF2793" s="223">
        <v>6.8369983999999997</v>
      </c>
      <c r="AG2793" s="223">
        <v>0.7467355</v>
      </c>
      <c r="AH2793" s="341"/>
      <c r="AI2793" s="218"/>
      <c r="AJ2793" s="218"/>
      <c r="AK2793" s="153"/>
      <c r="AL2793" s="152"/>
      <c r="AM2793" s="152"/>
      <c r="AN2793" s="152"/>
      <c r="AO2793" s="152"/>
      <c r="AP2793" s="152"/>
      <c r="AQ2793" s="152"/>
      <c r="AR2793" s="152"/>
      <c r="AS2793" s="152"/>
      <c r="AT2793" s="152"/>
      <c r="AU2793" s="153"/>
      <c r="AV2793" s="479"/>
      <c r="AW2793" s="479"/>
      <c r="AX2793" s="442"/>
      <c r="AY2793" s="153"/>
      <c r="AZ2793" s="152"/>
      <c r="BA2793" s="152"/>
      <c r="BB2793" s="152"/>
      <c r="BC2793" s="152"/>
      <c r="BD2793" s="152"/>
      <c r="BE2793" s="152"/>
      <c r="BF2793" s="152"/>
      <c r="BG2793" s="152"/>
      <c r="BH2793" s="152"/>
      <c r="BI2793" s="153"/>
      <c r="BJ2793" s="153"/>
      <c r="BK2793" s="153"/>
      <c r="BL2793" s="153"/>
      <c r="BM2793" s="153"/>
      <c r="BN2793" s="153"/>
      <c r="BO2793" s="153"/>
      <c r="BP2793" s="153"/>
      <c r="BQ2793" s="153"/>
      <c r="BR2793" s="153"/>
      <c r="BS2793" s="153"/>
      <c r="BT2793" s="153"/>
      <c r="BU2793" s="153"/>
      <c r="BV2793" s="153"/>
      <c r="BW2793" s="153"/>
      <c r="BX2793" s="153"/>
      <c r="BY2793" s="153"/>
      <c r="BZ2793" s="153"/>
      <c r="CA2793" s="152"/>
      <c r="CB2793" s="152"/>
    </row>
    <row r="2794" spans="1:80" s="87" customFormat="1" x14ac:dyDescent="0.2">
      <c r="A2794" s="152"/>
      <c r="B2794" s="683"/>
      <c r="C2794" s="683"/>
      <c r="D2794" s="698"/>
      <c r="E2794" s="215"/>
      <c r="F2794" s="215"/>
      <c r="G2794" s="153"/>
      <c r="H2794" s="153"/>
      <c r="I2794" s="315">
        <v>24</v>
      </c>
      <c r="J2794" s="312">
        <v>60</v>
      </c>
      <c r="K2794" s="150">
        <v>72</v>
      </c>
      <c r="L2794" s="656">
        <v>1728</v>
      </c>
      <c r="M2794" s="663">
        <v>34856</v>
      </c>
      <c r="N2794" s="600">
        <v>5.0679699999999999</v>
      </c>
      <c r="O2794" s="604">
        <v>3.1589999999999999E-3</v>
      </c>
      <c r="P2794" s="150"/>
      <c r="Q2794" s="250"/>
      <c r="R2794" s="250"/>
      <c r="S2794" s="250">
        <v>0.11699999999999999</v>
      </c>
      <c r="T2794" s="250">
        <v>0.2</v>
      </c>
      <c r="U2794" s="250">
        <v>0.23800000000000002</v>
      </c>
      <c r="V2794" s="250">
        <v>6.2444000000000006E-2</v>
      </c>
      <c r="W2794" s="250">
        <v>0.205288</v>
      </c>
      <c r="X2794" s="250">
        <v>0.16600000000000001</v>
      </c>
      <c r="Y2794" s="250">
        <v>0.01</v>
      </c>
      <c r="Z2794" s="150">
        <v>8</v>
      </c>
      <c r="AA2794" s="150">
        <v>2.36</v>
      </c>
      <c r="AB2794" s="152"/>
      <c r="AC2794" s="152"/>
      <c r="AD2794" s="223">
        <v>11.58202</v>
      </c>
      <c r="AE2794" s="223">
        <v>0.59129259999999995</v>
      </c>
      <c r="AF2794" s="223">
        <v>6.8369983999999997</v>
      </c>
      <c r="AG2794" s="223">
        <v>0.7467355</v>
      </c>
      <c r="AH2794" s="341"/>
      <c r="AI2794" s="218"/>
      <c r="AJ2794" s="218"/>
      <c r="AK2794" s="153"/>
      <c r="AL2794" s="152"/>
      <c r="AM2794" s="152"/>
      <c r="AN2794" s="152"/>
      <c r="AO2794" s="152"/>
      <c r="AP2794" s="152"/>
      <c r="AQ2794" s="152"/>
      <c r="AR2794" s="152"/>
      <c r="AS2794" s="152"/>
      <c r="AT2794" s="152"/>
      <c r="AU2794" s="153"/>
      <c r="AV2794" s="479"/>
      <c r="AW2794" s="479"/>
      <c r="AX2794" s="442"/>
      <c r="AY2794" s="153"/>
      <c r="AZ2794" s="152"/>
      <c r="BA2794" s="152"/>
      <c r="BB2794" s="152"/>
      <c r="BC2794" s="152"/>
      <c r="BD2794" s="152"/>
      <c r="BE2794" s="152"/>
      <c r="BF2794" s="152"/>
      <c r="BG2794" s="152"/>
      <c r="BH2794" s="152"/>
      <c r="BI2794" s="153"/>
      <c r="BJ2794" s="153"/>
      <c r="BK2794" s="153"/>
      <c r="BL2794" s="153"/>
      <c r="BM2794" s="153"/>
      <c r="BN2794" s="153"/>
      <c r="BO2794" s="153"/>
      <c r="BP2794" s="153"/>
      <c r="BQ2794" s="153"/>
      <c r="BR2794" s="153"/>
      <c r="BS2794" s="153"/>
      <c r="BT2794" s="153"/>
      <c r="BU2794" s="153"/>
      <c r="BV2794" s="153"/>
      <c r="BW2794" s="153"/>
      <c r="BX2794" s="153"/>
      <c r="BY2794" s="153"/>
      <c r="BZ2794" s="153"/>
      <c r="CA2794" s="152"/>
      <c r="CB2794" s="152"/>
    </row>
    <row r="2795" spans="1:80" s="87" customFormat="1" x14ac:dyDescent="0.2">
      <c r="A2795" s="152"/>
      <c r="B2795" s="683"/>
      <c r="C2795" s="683"/>
      <c r="D2795" s="698"/>
      <c r="E2795" s="215"/>
      <c r="F2795" s="215"/>
      <c r="G2795" s="153"/>
      <c r="H2795" s="153"/>
      <c r="I2795" s="315">
        <v>21</v>
      </c>
      <c r="J2795" s="312">
        <v>60</v>
      </c>
      <c r="K2795" s="150">
        <v>73</v>
      </c>
      <c r="L2795" s="656">
        <v>1533</v>
      </c>
      <c r="M2795" s="663">
        <v>34858</v>
      </c>
      <c r="N2795" s="600">
        <v>4.1336500000000003</v>
      </c>
      <c r="O2795" s="604">
        <v>1.291E-2</v>
      </c>
      <c r="P2795" s="150"/>
      <c r="Q2795" s="250"/>
      <c r="R2795" s="250"/>
      <c r="S2795" s="250">
        <v>6.9000000000000006E-2</v>
      </c>
      <c r="T2795" s="250">
        <v>0.23600000000000002</v>
      </c>
      <c r="U2795" s="250">
        <v>0.36</v>
      </c>
      <c r="V2795" s="250">
        <v>5.545400000000001E-2</v>
      </c>
      <c r="W2795" s="250">
        <v>0.182308</v>
      </c>
      <c r="X2795" s="250">
        <v>0.09</v>
      </c>
      <c r="Y2795" s="250">
        <v>8.0000000000000002E-3</v>
      </c>
      <c r="Z2795" s="150">
        <v>9</v>
      </c>
      <c r="AA2795" s="150">
        <v>2.74</v>
      </c>
      <c r="AB2795" s="152"/>
      <c r="AC2795" s="152"/>
      <c r="AD2795" s="223"/>
      <c r="AE2795" s="223"/>
      <c r="AF2795" s="223"/>
      <c r="AG2795" s="223"/>
      <c r="AH2795" s="341"/>
      <c r="AI2795" s="218"/>
      <c r="AJ2795" s="218"/>
      <c r="AK2795" s="153"/>
      <c r="AL2795" s="152"/>
      <c r="AM2795" s="152"/>
      <c r="AN2795" s="152"/>
      <c r="AO2795" s="152"/>
      <c r="AP2795" s="152"/>
      <c r="AQ2795" s="152"/>
      <c r="AR2795" s="152"/>
      <c r="AS2795" s="152"/>
      <c r="AT2795" s="152"/>
      <c r="AU2795" s="153"/>
      <c r="AV2795" s="479"/>
      <c r="AW2795" s="479"/>
      <c r="AX2795" s="442"/>
      <c r="AY2795" s="153"/>
      <c r="AZ2795" s="152"/>
      <c r="BA2795" s="152"/>
      <c r="BB2795" s="152"/>
      <c r="BC2795" s="152"/>
      <c r="BD2795" s="152"/>
      <c r="BE2795" s="152"/>
      <c r="BF2795" s="152"/>
      <c r="BG2795" s="152"/>
      <c r="BH2795" s="152"/>
      <c r="BI2795" s="153"/>
      <c r="BJ2795" s="153"/>
      <c r="BK2795" s="153"/>
      <c r="BL2795" s="153"/>
      <c r="BM2795" s="153"/>
      <c r="BN2795" s="153"/>
      <c r="BO2795" s="153"/>
      <c r="BP2795" s="153"/>
      <c r="BQ2795" s="153"/>
      <c r="BR2795" s="153"/>
      <c r="BS2795" s="153"/>
      <c r="BT2795" s="153"/>
      <c r="BU2795" s="153"/>
      <c r="BV2795" s="153"/>
      <c r="BW2795" s="153"/>
      <c r="BX2795" s="153"/>
      <c r="BY2795" s="153"/>
      <c r="BZ2795" s="153"/>
      <c r="CA2795" s="152"/>
      <c r="CB2795" s="152"/>
    </row>
    <row r="2796" spans="1:80" s="87" customFormat="1" x14ac:dyDescent="0.2">
      <c r="A2796" s="152"/>
      <c r="B2796" s="683"/>
      <c r="C2796" s="683"/>
      <c r="D2796" s="698"/>
      <c r="E2796" s="215"/>
      <c r="F2796" s="215"/>
      <c r="G2796" s="153"/>
      <c r="H2796" s="153"/>
      <c r="I2796" s="315">
        <v>21</v>
      </c>
      <c r="J2796" s="312">
        <v>60</v>
      </c>
      <c r="K2796" s="150">
        <v>74</v>
      </c>
      <c r="L2796" s="656">
        <v>1554</v>
      </c>
      <c r="M2796" s="663">
        <v>34858</v>
      </c>
      <c r="N2796" s="600">
        <v>4.1336500000000003</v>
      </c>
      <c r="O2796" s="604">
        <v>1.5009E-2</v>
      </c>
      <c r="P2796" s="150"/>
      <c r="Q2796" s="250">
        <v>0.10300000000000001</v>
      </c>
      <c r="R2796" s="250">
        <v>6.0000000000000001E-3</v>
      </c>
      <c r="S2796" s="250">
        <v>7.0000000000000007E-2</v>
      </c>
      <c r="T2796" s="250">
        <v>0.222</v>
      </c>
      <c r="U2796" s="250">
        <v>0.38100000000000001</v>
      </c>
      <c r="V2796" s="250">
        <v>3.8678000000000011E-2</v>
      </c>
      <c r="W2796" s="250">
        <v>0.12715599999999999</v>
      </c>
      <c r="X2796" s="250">
        <v>4.4000000000000004E-2</v>
      </c>
      <c r="Y2796" s="250">
        <v>8.0000000000000002E-3</v>
      </c>
      <c r="Z2796" s="150">
        <v>24</v>
      </c>
      <c r="AA2796" s="150">
        <v>3.34</v>
      </c>
      <c r="AB2796" s="152"/>
      <c r="AC2796" s="152"/>
      <c r="AD2796" s="223"/>
      <c r="AE2796" s="223"/>
      <c r="AF2796" s="223"/>
      <c r="AG2796" s="223"/>
      <c r="AH2796" s="341"/>
      <c r="AI2796" s="218"/>
      <c r="AJ2796" s="218"/>
      <c r="AK2796" s="153"/>
      <c r="AL2796" s="152"/>
      <c r="AM2796" s="152"/>
      <c r="AN2796" s="152"/>
      <c r="AO2796" s="152"/>
      <c r="AP2796" s="152"/>
      <c r="AQ2796" s="152"/>
      <c r="AR2796" s="152"/>
      <c r="AS2796" s="152"/>
      <c r="AT2796" s="152"/>
      <c r="AU2796" s="153"/>
      <c r="AV2796" s="479"/>
      <c r="AW2796" s="479"/>
      <c r="AX2796" s="442"/>
      <c r="AY2796" s="153"/>
      <c r="AZ2796" s="152"/>
      <c r="BA2796" s="152"/>
      <c r="BB2796" s="152"/>
      <c r="BC2796" s="152"/>
      <c r="BD2796" s="152"/>
      <c r="BE2796" s="152"/>
      <c r="BF2796" s="152"/>
      <c r="BG2796" s="152"/>
      <c r="BH2796" s="152"/>
      <c r="BI2796" s="153"/>
      <c r="BJ2796" s="153"/>
      <c r="BK2796" s="153"/>
      <c r="BL2796" s="153"/>
      <c r="BM2796" s="153"/>
      <c r="BN2796" s="153"/>
      <c r="BO2796" s="153"/>
      <c r="BP2796" s="153"/>
      <c r="BQ2796" s="153"/>
      <c r="BR2796" s="153"/>
      <c r="BS2796" s="153"/>
      <c r="BT2796" s="153"/>
      <c r="BU2796" s="153"/>
      <c r="BV2796" s="153"/>
      <c r="BW2796" s="153"/>
      <c r="BX2796" s="153"/>
      <c r="BY2796" s="153"/>
      <c r="BZ2796" s="153"/>
      <c r="CA2796" s="152"/>
      <c r="CB2796" s="152"/>
    </row>
    <row r="2797" spans="1:80" s="87" customFormat="1" x14ac:dyDescent="0.2">
      <c r="A2797" s="152"/>
      <c r="B2797" s="683"/>
      <c r="C2797" s="683"/>
      <c r="D2797" s="698"/>
      <c r="E2797" s="215"/>
      <c r="F2797" s="215"/>
      <c r="G2797" s="153"/>
      <c r="H2797" s="153"/>
      <c r="I2797" s="315">
        <v>25</v>
      </c>
      <c r="J2797" s="312">
        <v>60</v>
      </c>
      <c r="K2797" s="150">
        <v>75</v>
      </c>
      <c r="L2797" s="656">
        <v>1875</v>
      </c>
      <c r="M2797" s="663">
        <v>34866</v>
      </c>
      <c r="N2797" s="600">
        <v>2.7718099999999999</v>
      </c>
      <c r="O2797" s="604">
        <v>2.3300000000000001E-2</v>
      </c>
      <c r="P2797" s="150"/>
      <c r="Q2797" s="250">
        <v>4.0999999999999995E-2</v>
      </c>
      <c r="R2797" s="250">
        <v>8.199999999999999E-2</v>
      </c>
      <c r="S2797" s="250">
        <v>0.16899999999999998</v>
      </c>
      <c r="T2797" s="250">
        <v>0.22399999999999998</v>
      </c>
      <c r="U2797" s="250">
        <v>0.22600000000000001</v>
      </c>
      <c r="V2797" s="250">
        <v>3.5415999999999996E-2</v>
      </c>
      <c r="W2797" s="250">
        <v>0.11643199999999998</v>
      </c>
      <c r="X2797" s="250">
        <v>9.6999999999999989E-2</v>
      </c>
      <c r="Y2797" s="250">
        <v>8.0000000000000002E-3</v>
      </c>
      <c r="Z2797" s="150">
        <v>22</v>
      </c>
      <c r="AA2797" s="150">
        <v>4.22</v>
      </c>
      <c r="AB2797" s="152"/>
      <c r="AC2797" s="152"/>
      <c r="AD2797" s="223">
        <v>11.277229999999999</v>
      </c>
      <c r="AE2797" s="223">
        <v>0.39927489999999999</v>
      </c>
      <c r="AF2797" s="223">
        <v>4.4867802000000001</v>
      </c>
      <c r="AG2797" s="223">
        <v>0.62177159999999998</v>
      </c>
      <c r="AH2797" s="341"/>
      <c r="AI2797" s="218"/>
      <c r="AJ2797" s="218"/>
      <c r="AK2797" s="153"/>
      <c r="AL2797" s="152"/>
      <c r="AM2797" s="152"/>
      <c r="AN2797" s="152"/>
      <c r="AO2797" s="152"/>
      <c r="AP2797" s="152"/>
      <c r="AQ2797" s="152"/>
      <c r="AR2797" s="152"/>
      <c r="AS2797" s="152"/>
      <c r="AT2797" s="152"/>
      <c r="AU2797" s="153"/>
      <c r="AV2797" s="479"/>
      <c r="AW2797" s="479"/>
      <c r="AX2797" s="442"/>
      <c r="AY2797" s="153"/>
      <c r="AZ2797" s="152"/>
      <c r="BA2797" s="152"/>
      <c r="BB2797" s="152"/>
      <c r="BC2797" s="152"/>
      <c r="BD2797" s="152"/>
      <c r="BE2797" s="152"/>
      <c r="BF2797" s="152"/>
      <c r="BG2797" s="152"/>
      <c r="BH2797" s="152"/>
      <c r="BI2797" s="153"/>
      <c r="BJ2797" s="153"/>
      <c r="BK2797" s="153"/>
      <c r="BL2797" s="153"/>
      <c r="BM2797" s="153"/>
      <c r="BN2797" s="153"/>
      <c r="BO2797" s="153"/>
      <c r="BP2797" s="153"/>
      <c r="BQ2797" s="153"/>
      <c r="BR2797" s="153"/>
      <c r="BS2797" s="153"/>
      <c r="BT2797" s="153"/>
      <c r="BU2797" s="153"/>
      <c r="BV2797" s="153"/>
      <c r="BW2797" s="153"/>
      <c r="BX2797" s="153"/>
      <c r="BY2797" s="153"/>
      <c r="BZ2797" s="153"/>
      <c r="CA2797" s="152"/>
      <c r="CB2797" s="152"/>
    </row>
    <row r="2798" spans="1:80" s="87" customFormat="1" x14ac:dyDescent="0.2">
      <c r="A2798" s="152"/>
      <c r="B2798" s="683"/>
      <c r="C2798" s="683"/>
      <c r="D2798" s="698"/>
      <c r="E2798" s="215"/>
      <c r="F2798" s="215"/>
      <c r="G2798" s="153"/>
      <c r="H2798" s="153"/>
      <c r="I2798" s="315">
        <v>25</v>
      </c>
      <c r="J2798" s="312">
        <v>60</v>
      </c>
      <c r="K2798" s="150">
        <v>76</v>
      </c>
      <c r="L2798" s="656">
        <v>1900</v>
      </c>
      <c r="M2798" s="663">
        <v>34866</v>
      </c>
      <c r="N2798" s="600">
        <v>2.7718099999999999</v>
      </c>
      <c r="O2798" s="604">
        <v>1.4589E-2</v>
      </c>
      <c r="P2798" s="150"/>
      <c r="Q2798" s="250"/>
      <c r="R2798" s="250">
        <v>0.08</v>
      </c>
      <c r="S2798" s="250">
        <v>0.19800000000000001</v>
      </c>
      <c r="T2798" s="250">
        <v>0.18100000000000002</v>
      </c>
      <c r="U2798" s="250">
        <v>0.24</v>
      </c>
      <c r="V2798" s="250">
        <v>4.6366999999999992E-2</v>
      </c>
      <c r="W2798" s="250">
        <v>0.15243399999999999</v>
      </c>
      <c r="X2798" s="250">
        <v>9.4E-2</v>
      </c>
      <c r="Y2798" s="250">
        <v>0.01</v>
      </c>
      <c r="Z2798" s="150">
        <v>13</v>
      </c>
      <c r="AA2798" s="150">
        <v>3.53</v>
      </c>
      <c r="AB2798" s="152"/>
      <c r="AC2798" s="152"/>
      <c r="AD2798" s="223">
        <v>11.277229999999999</v>
      </c>
      <c r="AE2798" s="223">
        <v>0.39927489999999999</v>
      </c>
      <c r="AF2798" s="223">
        <v>4.4867802000000001</v>
      </c>
      <c r="AG2798" s="223">
        <v>0.62177159999999998</v>
      </c>
      <c r="AH2798" s="341"/>
      <c r="AI2798" s="218"/>
      <c r="AJ2798" s="218"/>
      <c r="AK2798" s="153"/>
      <c r="AL2798" s="152"/>
      <c r="AM2798" s="152"/>
      <c r="AN2798" s="152"/>
      <c r="AO2798" s="152"/>
      <c r="AP2798" s="152"/>
      <c r="AQ2798" s="152"/>
      <c r="AR2798" s="152"/>
      <c r="AS2798" s="152"/>
      <c r="AT2798" s="152"/>
      <c r="AU2798" s="153"/>
      <c r="AV2798" s="479"/>
      <c r="AW2798" s="479"/>
      <c r="AX2798" s="442"/>
      <c r="AY2798" s="153"/>
      <c r="AZ2798" s="152"/>
      <c r="BA2798" s="152"/>
      <c r="BB2798" s="152"/>
      <c r="BC2798" s="152"/>
      <c r="BD2798" s="152"/>
      <c r="BE2798" s="152"/>
      <c r="BF2798" s="152"/>
      <c r="BG2798" s="152"/>
      <c r="BH2798" s="152"/>
      <c r="BI2798" s="153"/>
      <c r="BJ2798" s="153"/>
      <c r="BK2798" s="153"/>
      <c r="BL2798" s="153"/>
      <c r="BM2798" s="153"/>
      <c r="BN2798" s="153"/>
      <c r="BO2798" s="153"/>
      <c r="BP2798" s="153"/>
      <c r="BQ2798" s="153"/>
      <c r="BR2798" s="153"/>
      <c r="BS2798" s="153"/>
      <c r="BT2798" s="153"/>
      <c r="BU2798" s="153"/>
      <c r="BV2798" s="153"/>
      <c r="BW2798" s="153"/>
      <c r="BX2798" s="153"/>
      <c r="BY2798" s="153"/>
      <c r="BZ2798" s="153"/>
      <c r="CA2798" s="152"/>
      <c r="CB2798" s="152"/>
    </row>
    <row r="2799" spans="1:80" s="87" customFormat="1" x14ac:dyDescent="0.2">
      <c r="A2799" s="152"/>
      <c r="B2799" s="683"/>
      <c r="C2799" s="683"/>
      <c r="D2799" s="698"/>
      <c r="E2799" s="215"/>
      <c r="F2799" s="215"/>
      <c r="G2799" s="153"/>
      <c r="H2799" s="153"/>
      <c r="I2799" s="315">
        <v>25</v>
      </c>
      <c r="J2799" s="312">
        <v>60</v>
      </c>
      <c r="K2799" s="150">
        <v>77</v>
      </c>
      <c r="L2799" s="656">
        <v>1925</v>
      </c>
      <c r="M2799" s="663">
        <v>34872</v>
      </c>
      <c r="N2799" s="600">
        <v>2.6755499999999999</v>
      </c>
      <c r="O2799" s="604">
        <v>9.0159999999999997E-3</v>
      </c>
      <c r="P2799" s="150"/>
      <c r="Q2799" s="250"/>
      <c r="R2799" s="250">
        <v>1.1000000000000001E-2</v>
      </c>
      <c r="S2799" s="250">
        <v>0.17</v>
      </c>
      <c r="T2799" s="250">
        <v>0.19699999999999998</v>
      </c>
      <c r="U2799" s="250">
        <v>0.27200000000000002</v>
      </c>
      <c r="V2799" s="250">
        <v>5.5919999999999997E-2</v>
      </c>
      <c r="W2799" s="250">
        <v>0.18383999999999998</v>
      </c>
      <c r="X2799" s="250">
        <v>0.10099999999999999</v>
      </c>
      <c r="Y2799" s="250">
        <v>1.1000000000000001E-2</v>
      </c>
      <c r="Z2799" s="150">
        <v>9</v>
      </c>
      <c r="AA2799" s="150">
        <v>2.92</v>
      </c>
      <c r="AB2799" s="152"/>
      <c r="AC2799" s="152"/>
      <c r="AD2799" s="223">
        <v>11.277229999999999</v>
      </c>
      <c r="AE2799" s="223">
        <v>0.42975390000000002</v>
      </c>
      <c r="AF2799" s="223">
        <v>4.8397774</v>
      </c>
      <c r="AG2799" s="223">
        <v>0.57910099999999998</v>
      </c>
      <c r="AH2799" s="341"/>
      <c r="AI2799" s="218"/>
      <c r="AJ2799" s="218"/>
      <c r="AK2799" s="153"/>
      <c r="AL2799" s="152"/>
      <c r="AM2799" s="152"/>
      <c r="AN2799" s="152"/>
      <c r="AO2799" s="152"/>
      <c r="AP2799" s="152"/>
      <c r="AQ2799" s="152"/>
      <c r="AR2799" s="152"/>
      <c r="AS2799" s="152"/>
      <c r="AT2799" s="152"/>
      <c r="AU2799" s="153"/>
      <c r="AV2799" s="479"/>
      <c r="AW2799" s="479"/>
      <c r="AX2799" s="442"/>
      <c r="AY2799" s="153"/>
      <c r="AZ2799" s="152"/>
      <c r="BA2799" s="152"/>
      <c r="BB2799" s="152"/>
      <c r="BC2799" s="152"/>
      <c r="BD2799" s="152"/>
      <c r="BE2799" s="152"/>
      <c r="BF2799" s="152"/>
      <c r="BG2799" s="152"/>
      <c r="BH2799" s="152"/>
      <c r="BI2799" s="153"/>
      <c r="BJ2799" s="153"/>
      <c r="BK2799" s="153"/>
      <c r="BL2799" s="153"/>
      <c r="BM2799" s="153"/>
      <c r="BN2799" s="153"/>
      <c r="BO2799" s="153"/>
      <c r="BP2799" s="153"/>
      <c r="BQ2799" s="153"/>
      <c r="BR2799" s="153"/>
      <c r="BS2799" s="153"/>
      <c r="BT2799" s="153"/>
      <c r="BU2799" s="153"/>
      <c r="BV2799" s="153"/>
      <c r="BW2799" s="153"/>
      <c r="BX2799" s="153"/>
      <c r="BY2799" s="153"/>
      <c r="BZ2799" s="153"/>
      <c r="CA2799" s="152"/>
      <c r="CB2799" s="152"/>
    </row>
    <row r="2800" spans="1:80" s="87" customFormat="1" x14ac:dyDescent="0.2">
      <c r="A2800" s="152"/>
      <c r="B2800" s="683"/>
      <c r="C2800" s="683"/>
      <c r="D2800" s="698"/>
      <c r="E2800" s="215"/>
      <c r="F2800" s="215"/>
      <c r="G2800" s="153"/>
      <c r="H2800" s="153"/>
      <c r="I2800" s="315">
        <v>25</v>
      </c>
      <c r="J2800" s="312">
        <v>60</v>
      </c>
      <c r="K2800" s="150">
        <v>78</v>
      </c>
      <c r="L2800" s="656">
        <v>1950</v>
      </c>
      <c r="M2800" s="663">
        <v>34872</v>
      </c>
      <c r="N2800" s="600">
        <v>2.6755499999999999</v>
      </c>
      <c r="O2800" s="604">
        <v>2.0362000000000002E-2</v>
      </c>
      <c r="P2800" s="150"/>
      <c r="Q2800" s="250"/>
      <c r="R2800" s="250">
        <v>6.8000000000000005E-2</v>
      </c>
      <c r="S2800" s="250">
        <v>0.21100000000000002</v>
      </c>
      <c r="T2800" s="250">
        <v>0.25</v>
      </c>
      <c r="U2800" s="250">
        <v>0.24100000000000002</v>
      </c>
      <c r="V2800" s="250">
        <v>3.5415999999999996E-2</v>
      </c>
      <c r="W2800" s="250">
        <v>0.11643199999999998</v>
      </c>
      <c r="X2800" s="250">
        <v>6.9000000000000006E-2</v>
      </c>
      <c r="Y2800" s="250">
        <v>8.0000000000000002E-3</v>
      </c>
      <c r="Z2800" s="150">
        <v>19</v>
      </c>
      <c r="AA2800" s="150">
        <v>4.3499999999999996</v>
      </c>
      <c r="AB2800" s="152"/>
      <c r="AC2800" s="152"/>
      <c r="AD2800" s="223">
        <v>11.277229999999999</v>
      </c>
      <c r="AE2800" s="223">
        <v>0.42975390000000002</v>
      </c>
      <c r="AF2800" s="223">
        <v>4.8397774</v>
      </c>
      <c r="AG2800" s="223">
        <v>0.57910099999999998</v>
      </c>
      <c r="AH2800" s="341"/>
      <c r="AI2800" s="218"/>
      <c r="AJ2800" s="218"/>
      <c r="AK2800" s="153"/>
      <c r="AL2800" s="152"/>
      <c r="AM2800" s="152"/>
      <c r="AN2800" s="152"/>
      <c r="AO2800" s="152"/>
      <c r="AP2800" s="152"/>
      <c r="AQ2800" s="152"/>
      <c r="AR2800" s="152"/>
      <c r="AS2800" s="152"/>
      <c r="AT2800" s="152"/>
      <c r="AU2800" s="153"/>
      <c r="AV2800" s="479"/>
      <c r="AW2800" s="479"/>
      <c r="AX2800" s="442"/>
      <c r="AY2800" s="153"/>
      <c r="AZ2800" s="152"/>
      <c r="BA2800" s="152"/>
      <c r="BB2800" s="152"/>
      <c r="BC2800" s="152"/>
      <c r="BD2800" s="152"/>
      <c r="BE2800" s="152"/>
      <c r="BF2800" s="152"/>
      <c r="BG2800" s="152"/>
      <c r="BH2800" s="152"/>
      <c r="BI2800" s="153"/>
      <c r="BJ2800" s="153"/>
      <c r="BK2800" s="153"/>
      <c r="BL2800" s="153"/>
      <c r="BM2800" s="153"/>
      <c r="BN2800" s="153"/>
      <c r="BO2800" s="153"/>
      <c r="BP2800" s="153"/>
      <c r="BQ2800" s="153"/>
      <c r="BR2800" s="153"/>
      <c r="BS2800" s="153"/>
      <c r="BT2800" s="153"/>
      <c r="BU2800" s="153"/>
      <c r="BV2800" s="153"/>
      <c r="BW2800" s="153"/>
      <c r="BX2800" s="153"/>
      <c r="BY2800" s="153"/>
      <c r="BZ2800" s="153"/>
      <c r="CA2800" s="152"/>
      <c r="CB2800" s="152"/>
    </row>
    <row r="2801" spans="1:80" s="87" customFormat="1" x14ac:dyDescent="0.2">
      <c r="A2801" s="152"/>
      <c r="B2801" s="683"/>
      <c r="C2801" s="683"/>
      <c r="D2801" s="698"/>
      <c r="E2801" s="215"/>
      <c r="F2801" s="215"/>
      <c r="G2801" s="153"/>
      <c r="H2801" s="153"/>
      <c r="I2801" s="315">
        <v>26</v>
      </c>
      <c r="J2801" s="312">
        <v>60</v>
      </c>
      <c r="K2801" s="150">
        <v>79</v>
      </c>
      <c r="L2801" s="656">
        <v>2054</v>
      </c>
      <c r="M2801" s="663">
        <v>34880</v>
      </c>
      <c r="N2801" s="600">
        <v>1.8261700000000001</v>
      </c>
      <c r="O2801" s="604">
        <v>8.5330000000000007E-3</v>
      </c>
      <c r="P2801" s="150"/>
      <c r="Q2801" s="250"/>
      <c r="R2801" s="250">
        <v>6.2E-2</v>
      </c>
      <c r="S2801" s="250">
        <v>8.6999999999999994E-2</v>
      </c>
      <c r="T2801" s="250">
        <v>0.14400000000000002</v>
      </c>
      <c r="U2801" s="250">
        <v>0.28999999999999998</v>
      </c>
      <c r="V2801" s="250">
        <v>6.6404999999999992E-2</v>
      </c>
      <c r="W2801" s="250">
        <v>0.21830999999999995</v>
      </c>
      <c r="X2801" s="250">
        <v>0.122</v>
      </c>
      <c r="Y2801" s="250">
        <v>0.01</v>
      </c>
      <c r="Z2801" s="150">
        <v>12</v>
      </c>
      <c r="AA2801" s="150">
        <v>2.44</v>
      </c>
      <c r="AB2801" s="152"/>
      <c r="AC2801" s="152"/>
      <c r="AD2801" s="223">
        <v>11.277229999999999</v>
      </c>
      <c r="AE2801" s="223">
        <v>0.30174210000000001</v>
      </c>
      <c r="AF2801" s="223">
        <v>3.4092098000000002</v>
      </c>
      <c r="AG2801" s="223">
        <v>0.54252619999999996</v>
      </c>
      <c r="AH2801" s="341"/>
      <c r="AI2801" s="218"/>
      <c r="AJ2801" s="218"/>
      <c r="AK2801" s="153"/>
      <c r="AL2801" s="152"/>
      <c r="AM2801" s="152"/>
      <c r="AN2801" s="152"/>
      <c r="AO2801" s="152"/>
      <c r="AP2801" s="152"/>
      <c r="AQ2801" s="152"/>
      <c r="AR2801" s="152"/>
      <c r="AS2801" s="152"/>
      <c r="AT2801" s="152"/>
      <c r="AU2801" s="153"/>
      <c r="AV2801" s="479"/>
      <c r="AW2801" s="479"/>
      <c r="AX2801" s="442"/>
      <c r="AY2801" s="153"/>
      <c r="AZ2801" s="152"/>
      <c r="BA2801" s="152"/>
      <c r="BB2801" s="152"/>
      <c r="BC2801" s="152"/>
      <c r="BD2801" s="152"/>
      <c r="BE2801" s="152"/>
      <c r="BF2801" s="152"/>
      <c r="BG2801" s="152"/>
      <c r="BH2801" s="152"/>
      <c r="BI2801" s="153"/>
      <c r="BJ2801" s="153"/>
      <c r="BK2801" s="153"/>
      <c r="BL2801" s="153"/>
      <c r="BM2801" s="153"/>
      <c r="BN2801" s="153"/>
      <c r="BO2801" s="153"/>
      <c r="BP2801" s="153"/>
      <c r="BQ2801" s="153"/>
      <c r="BR2801" s="153"/>
      <c r="BS2801" s="153"/>
      <c r="BT2801" s="153"/>
      <c r="BU2801" s="153"/>
      <c r="BV2801" s="153"/>
      <c r="BW2801" s="153"/>
      <c r="BX2801" s="153"/>
      <c r="BY2801" s="153"/>
      <c r="BZ2801" s="153"/>
      <c r="CA2801" s="152"/>
      <c r="CB2801" s="152"/>
    </row>
    <row r="2802" spans="1:80" s="87" customFormat="1" x14ac:dyDescent="0.2">
      <c r="A2802" s="152"/>
      <c r="B2802" s="683"/>
      <c r="C2802" s="683"/>
      <c r="D2802" s="698"/>
      <c r="E2802" s="215"/>
      <c r="F2802" s="215"/>
      <c r="G2802" s="153"/>
      <c r="H2802" s="153"/>
      <c r="I2802" s="315">
        <v>26</v>
      </c>
      <c r="J2802" s="312">
        <v>60</v>
      </c>
      <c r="K2802" s="150">
        <v>80</v>
      </c>
      <c r="L2802" s="656">
        <v>2080</v>
      </c>
      <c r="M2802" s="663">
        <v>34880</v>
      </c>
      <c r="N2802" s="600">
        <v>1.8261700000000001</v>
      </c>
      <c r="O2802" s="604">
        <v>1.8787000000000002E-2</v>
      </c>
      <c r="P2802" s="150"/>
      <c r="Q2802" s="250">
        <v>0.22500000000000001</v>
      </c>
      <c r="R2802" s="250">
        <v>0.17699999999999999</v>
      </c>
      <c r="S2802" s="250">
        <v>0.15</v>
      </c>
      <c r="T2802" s="250">
        <v>0.12300000000000001</v>
      </c>
      <c r="U2802" s="250">
        <v>0.157</v>
      </c>
      <c r="V2802" s="250">
        <v>2.4930999999999995E-2</v>
      </c>
      <c r="W2802" s="250">
        <v>8.1961999999999993E-2</v>
      </c>
      <c r="X2802" s="250">
        <v>5.5E-2</v>
      </c>
      <c r="Y2802" s="250">
        <v>5.0000000000000001E-3</v>
      </c>
      <c r="Z2802" s="150">
        <v>24</v>
      </c>
      <c r="AA2802" s="150">
        <v>10.23</v>
      </c>
      <c r="AB2802" s="152"/>
      <c r="AC2802" s="152"/>
      <c r="AD2802" s="223">
        <v>11.277229999999999</v>
      </c>
      <c r="AE2802" s="223">
        <v>0.30174210000000001</v>
      </c>
      <c r="AF2802" s="223">
        <v>3.4092098000000002</v>
      </c>
      <c r="AG2802" s="223">
        <v>0.54252619999999996</v>
      </c>
      <c r="AH2802" s="341"/>
      <c r="AI2802" s="218"/>
      <c r="AJ2802" s="218"/>
      <c r="AK2802" s="153"/>
      <c r="AL2802" s="152"/>
      <c r="AM2802" s="152"/>
      <c r="AN2802" s="152"/>
      <c r="AO2802" s="152"/>
      <c r="AP2802" s="152"/>
      <c r="AQ2802" s="152"/>
      <c r="AR2802" s="152"/>
      <c r="AS2802" s="152"/>
      <c r="AT2802" s="152"/>
      <c r="AU2802" s="153"/>
      <c r="AV2802" s="479"/>
      <c r="AW2802" s="479"/>
      <c r="AX2802" s="442"/>
      <c r="AY2802" s="153"/>
      <c r="AZ2802" s="152"/>
      <c r="BA2802" s="152"/>
      <c r="BB2802" s="152"/>
      <c r="BC2802" s="152"/>
      <c r="BD2802" s="152"/>
      <c r="BE2802" s="152"/>
      <c r="BF2802" s="152"/>
      <c r="BG2802" s="152"/>
      <c r="BH2802" s="152"/>
      <c r="BI2802" s="153"/>
      <c r="BJ2802" s="153"/>
      <c r="BK2802" s="153"/>
      <c r="BL2802" s="153"/>
      <c r="BM2802" s="153"/>
      <c r="BN2802" s="153"/>
      <c r="BO2802" s="153"/>
      <c r="BP2802" s="153"/>
      <c r="BQ2802" s="153"/>
      <c r="BR2802" s="153"/>
      <c r="BS2802" s="153"/>
      <c r="BT2802" s="153"/>
      <c r="BU2802" s="153"/>
      <c r="BV2802" s="153"/>
      <c r="BW2802" s="153"/>
      <c r="BX2802" s="153"/>
      <c r="BY2802" s="153"/>
      <c r="BZ2802" s="153"/>
      <c r="CA2802" s="152"/>
      <c r="CB2802" s="152"/>
    </row>
    <row r="2803" spans="1:80" s="87" customFormat="1" ht="15" x14ac:dyDescent="0.25">
      <c r="A2803" s="152"/>
      <c r="B2803" s="683"/>
      <c r="C2803" s="683"/>
      <c r="D2803" s="698"/>
      <c r="E2803" s="215"/>
      <c r="F2803" s="215"/>
      <c r="G2803" s="153"/>
      <c r="H2803" s="153"/>
      <c r="I2803" s="165">
        <v>10</v>
      </c>
      <c r="J2803" s="312">
        <v>60</v>
      </c>
      <c r="K2803" s="150">
        <v>81</v>
      </c>
      <c r="L2803" s="656">
        <v>810</v>
      </c>
      <c r="M2803" s="663">
        <v>35551</v>
      </c>
      <c r="N2803" s="600">
        <v>14.7509</v>
      </c>
      <c r="O2803" s="604">
        <v>1.7108000000000002E-2</v>
      </c>
      <c r="P2803" s="150"/>
      <c r="Q2803" s="250"/>
      <c r="R2803" s="250"/>
      <c r="S2803" s="250"/>
      <c r="T2803" s="250">
        <v>3.1E-2</v>
      </c>
      <c r="U2803" s="250">
        <v>0.08</v>
      </c>
      <c r="V2803" s="250">
        <v>0.3367045933417615</v>
      </c>
      <c r="W2803" s="250">
        <v>0.4046916701783958</v>
      </c>
      <c r="X2803" s="250">
        <v>0.14075010535187527</v>
      </c>
      <c r="Y2803" s="250">
        <v>6.0401741817671028E-3</v>
      </c>
      <c r="Z2803" s="150">
        <v>6</v>
      </c>
      <c r="AA2803" s="150">
        <v>0.92</v>
      </c>
      <c r="AB2803" s="152"/>
      <c r="AC2803" s="152"/>
      <c r="AD2803" s="223">
        <v>10.972440000000001</v>
      </c>
      <c r="AE2803" s="223">
        <v>1.0941961</v>
      </c>
      <c r="AF2803" s="223">
        <v>12.0204836</v>
      </c>
      <c r="AG2803" s="223">
        <v>1.2587827</v>
      </c>
      <c r="AH2803" s="341"/>
      <c r="AI2803" s="218"/>
      <c r="AJ2803" s="218"/>
      <c r="AK2803" s="153"/>
      <c r="AL2803" s="152"/>
      <c r="AM2803" s="152"/>
      <c r="AN2803" s="152"/>
      <c r="AO2803" s="152"/>
      <c r="AP2803" s="152"/>
      <c r="AQ2803" s="152"/>
      <c r="AR2803" s="152"/>
      <c r="AS2803" s="152"/>
      <c r="AT2803" s="152"/>
      <c r="AU2803" s="153"/>
      <c r="AV2803" s="479"/>
      <c r="AW2803" s="479"/>
      <c r="AX2803" s="442"/>
      <c r="AY2803" s="153"/>
      <c r="AZ2803" s="152"/>
      <c r="BA2803" s="152"/>
      <c r="BB2803" s="152"/>
      <c r="BC2803" s="152"/>
      <c r="BD2803" s="152"/>
      <c r="BE2803" s="152"/>
      <c r="BF2803" s="152"/>
      <c r="BG2803" s="152"/>
      <c r="BH2803" s="152"/>
      <c r="BI2803" s="153"/>
      <c r="BJ2803" s="153"/>
      <c r="BK2803" s="153"/>
      <c r="BL2803" s="153"/>
      <c r="BM2803" s="153"/>
      <c r="BN2803" s="153"/>
      <c r="BO2803" s="153"/>
      <c r="BP2803" s="153"/>
      <c r="BQ2803" s="153"/>
      <c r="BR2803" s="153"/>
      <c r="BS2803" s="153"/>
      <c r="BT2803" s="153"/>
      <c r="BU2803" s="153"/>
      <c r="BV2803" s="153"/>
      <c r="BW2803" s="153"/>
      <c r="BX2803" s="153"/>
      <c r="BY2803" s="153"/>
      <c r="BZ2803" s="153"/>
      <c r="CA2803" s="152"/>
      <c r="CB2803" s="152"/>
    </row>
    <row r="2804" spans="1:80" s="87" customFormat="1" ht="15" x14ac:dyDescent="0.25">
      <c r="A2804" s="152"/>
      <c r="B2804" s="683"/>
      <c r="C2804" s="683"/>
      <c r="D2804" s="698"/>
      <c r="E2804" s="215"/>
      <c r="F2804" s="215"/>
      <c r="G2804" s="153"/>
      <c r="H2804" s="153"/>
      <c r="I2804" s="165">
        <v>10</v>
      </c>
      <c r="J2804" s="312">
        <v>60</v>
      </c>
      <c r="K2804" s="150">
        <v>82</v>
      </c>
      <c r="L2804" s="656">
        <v>820</v>
      </c>
      <c r="M2804" s="663">
        <v>35551</v>
      </c>
      <c r="N2804" s="600">
        <v>14.7509</v>
      </c>
      <c r="O2804" s="604">
        <v>2.9388000000000001E-2</v>
      </c>
      <c r="P2804" s="150"/>
      <c r="Q2804" s="250"/>
      <c r="R2804" s="250"/>
      <c r="S2804" s="250"/>
      <c r="T2804" s="250">
        <v>1.3000000000000001E-2</v>
      </c>
      <c r="U2804" s="250">
        <v>8.3000000000000004E-2</v>
      </c>
      <c r="V2804" s="250">
        <v>0.34959947686774562</v>
      </c>
      <c r="W2804" s="250">
        <v>0.43599803825404604</v>
      </c>
      <c r="X2804" s="250">
        <v>0.11353604708190289</v>
      </c>
      <c r="Y2804" s="250">
        <v>4.5774072257642635E-3</v>
      </c>
      <c r="Z2804" s="150">
        <v>6</v>
      </c>
      <c r="AA2804" s="150">
        <v>0.92</v>
      </c>
      <c r="AB2804" s="152"/>
      <c r="AC2804" s="152"/>
      <c r="AD2804" s="223">
        <v>10.972440000000001</v>
      </c>
      <c r="AE2804" s="223">
        <v>1.0941961</v>
      </c>
      <c r="AF2804" s="223">
        <v>12.0204836</v>
      </c>
      <c r="AG2804" s="223">
        <v>1.2587827</v>
      </c>
      <c r="AH2804" s="341"/>
      <c r="AI2804" s="218"/>
      <c r="AJ2804" s="218"/>
      <c r="AK2804" s="153"/>
      <c r="AL2804" s="152"/>
      <c r="AM2804" s="152"/>
      <c r="AN2804" s="152"/>
      <c r="AO2804" s="152"/>
      <c r="AP2804" s="152"/>
      <c r="AQ2804" s="152"/>
      <c r="AR2804" s="152"/>
      <c r="AS2804" s="152"/>
      <c r="AT2804" s="152"/>
      <c r="AU2804" s="153"/>
      <c r="AV2804" s="479"/>
      <c r="AW2804" s="479"/>
      <c r="AX2804" s="442"/>
      <c r="AY2804" s="153"/>
      <c r="AZ2804" s="152"/>
      <c r="BA2804" s="152"/>
      <c r="BB2804" s="152"/>
      <c r="BC2804" s="152"/>
      <c r="BD2804" s="152"/>
      <c r="BE2804" s="152"/>
      <c r="BF2804" s="152"/>
      <c r="BG2804" s="152"/>
      <c r="BH2804" s="152"/>
      <c r="BI2804" s="153"/>
      <c r="BJ2804" s="153"/>
      <c r="BK2804" s="153"/>
      <c r="BL2804" s="153"/>
      <c r="BM2804" s="153"/>
      <c r="BN2804" s="153"/>
      <c r="BO2804" s="153"/>
      <c r="BP2804" s="153"/>
      <c r="BQ2804" s="153"/>
      <c r="BR2804" s="153"/>
      <c r="BS2804" s="153"/>
      <c r="BT2804" s="153"/>
      <c r="BU2804" s="153"/>
      <c r="BV2804" s="153"/>
      <c r="BW2804" s="153"/>
      <c r="BX2804" s="153"/>
      <c r="BY2804" s="153"/>
      <c r="BZ2804" s="153"/>
      <c r="CA2804" s="152"/>
      <c r="CB2804" s="152"/>
    </row>
    <row r="2805" spans="1:80" s="87" customFormat="1" ht="15" x14ac:dyDescent="0.25">
      <c r="A2805" s="152"/>
      <c r="B2805" s="683"/>
      <c r="C2805" s="683"/>
      <c r="D2805" s="698"/>
      <c r="E2805" s="215"/>
      <c r="F2805" s="215"/>
      <c r="G2805" s="153"/>
      <c r="H2805" s="153"/>
      <c r="I2805" s="165">
        <v>10</v>
      </c>
      <c r="J2805" s="312">
        <v>60</v>
      </c>
      <c r="K2805" s="150">
        <v>83</v>
      </c>
      <c r="L2805" s="656">
        <v>830</v>
      </c>
      <c r="M2805" s="663">
        <v>35564</v>
      </c>
      <c r="N2805" s="600">
        <v>22.338699999999999</v>
      </c>
      <c r="O2805" s="604">
        <v>9.3937000000000007E-2</v>
      </c>
      <c r="P2805" s="150"/>
      <c r="Q2805" s="250"/>
      <c r="R2805" s="250">
        <v>4.2999999999999997E-2</v>
      </c>
      <c r="S2805" s="250">
        <v>5.5E-2</v>
      </c>
      <c r="T2805" s="250">
        <v>5.4000000000000006E-2</v>
      </c>
      <c r="U2805" s="250">
        <v>0.16899999999999998</v>
      </c>
      <c r="V2805" s="250">
        <v>0.29669768497503402</v>
      </c>
      <c r="W2805" s="250">
        <v>0.263702905129369</v>
      </c>
      <c r="X2805" s="250">
        <v>0.11107013163867453</v>
      </c>
      <c r="Y2805" s="250">
        <v>7.120971402632772E-3</v>
      </c>
      <c r="Z2805" s="150">
        <v>29</v>
      </c>
      <c r="AA2805" s="150">
        <v>1.32</v>
      </c>
      <c r="AB2805" s="152"/>
      <c r="AC2805" s="152"/>
      <c r="AD2805" s="223">
        <v>12.191599999999999</v>
      </c>
      <c r="AE2805" s="223">
        <v>1.3410759999999999</v>
      </c>
      <c r="AF2805" s="223">
        <v>16.340054599999998</v>
      </c>
      <c r="AG2805" s="223">
        <v>1.3959382</v>
      </c>
      <c r="AH2805" s="341"/>
      <c r="AI2805" s="218"/>
      <c r="AJ2805" s="218"/>
      <c r="AK2805" s="153"/>
      <c r="AL2805" s="152"/>
      <c r="AM2805" s="152"/>
      <c r="AN2805" s="152"/>
      <c r="AO2805" s="152"/>
      <c r="AP2805" s="152"/>
      <c r="AQ2805" s="152"/>
      <c r="AR2805" s="152"/>
      <c r="AS2805" s="152"/>
      <c r="AT2805" s="152"/>
      <c r="AU2805" s="153"/>
      <c r="AV2805" s="479"/>
      <c r="AW2805" s="479"/>
      <c r="AX2805" s="442"/>
      <c r="AY2805" s="153"/>
      <c r="AZ2805" s="152"/>
      <c r="BA2805" s="152"/>
      <c r="BB2805" s="152"/>
      <c r="BC2805" s="152"/>
      <c r="BD2805" s="152"/>
      <c r="BE2805" s="152"/>
      <c r="BF2805" s="152"/>
      <c r="BG2805" s="152"/>
      <c r="BH2805" s="152"/>
      <c r="BI2805" s="153"/>
      <c r="BJ2805" s="153"/>
      <c r="BK2805" s="153"/>
      <c r="BL2805" s="153"/>
      <c r="BM2805" s="153"/>
      <c r="BN2805" s="153"/>
      <c r="BO2805" s="153"/>
      <c r="BP2805" s="153"/>
      <c r="BQ2805" s="153"/>
      <c r="BR2805" s="153"/>
      <c r="BS2805" s="153"/>
      <c r="BT2805" s="153"/>
      <c r="BU2805" s="153"/>
      <c r="BV2805" s="153"/>
      <c r="BW2805" s="153"/>
      <c r="BX2805" s="153"/>
      <c r="BY2805" s="153"/>
      <c r="BZ2805" s="153"/>
      <c r="CA2805" s="152"/>
      <c r="CB2805" s="152"/>
    </row>
    <row r="2806" spans="1:80" s="87" customFormat="1" ht="15" x14ac:dyDescent="0.25">
      <c r="A2806" s="152"/>
      <c r="B2806" s="683"/>
      <c r="C2806" s="683"/>
      <c r="D2806" s="698"/>
      <c r="E2806" s="215"/>
      <c r="F2806" s="215"/>
      <c r="G2806" s="153"/>
      <c r="H2806" s="153"/>
      <c r="I2806" s="165">
        <v>10</v>
      </c>
      <c r="J2806" s="312">
        <v>60</v>
      </c>
      <c r="K2806" s="150">
        <v>84</v>
      </c>
      <c r="L2806" s="656">
        <v>840</v>
      </c>
      <c r="M2806" s="663">
        <v>35564</v>
      </c>
      <c r="N2806" s="600">
        <v>22.338699999999999</v>
      </c>
      <c r="O2806" s="604">
        <v>0.138543</v>
      </c>
      <c r="P2806" s="150"/>
      <c r="Q2806" s="250">
        <v>0.30199999999999999</v>
      </c>
      <c r="R2806" s="250">
        <v>0</v>
      </c>
      <c r="S2806" s="250">
        <v>8.0000000000000002E-3</v>
      </c>
      <c r="T2806" s="250">
        <v>2.7999999999999997E-2</v>
      </c>
      <c r="U2806" s="250">
        <v>9.0999999999999998E-2</v>
      </c>
      <c r="V2806" s="250">
        <v>0.22348499441383829</v>
      </c>
      <c r="W2806" s="250">
        <v>0.26649843972724119</v>
      </c>
      <c r="X2806" s="250">
        <v>7.8861193512347341E-2</v>
      </c>
      <c r="Y2806" s="250">
        <v>2.1574141849982666E-3</v>
      </c>
      <c r="Z2806" s="150">
        <v>55</v>
      </c>
      <c r="AA2806" s="150">
        <v>1.6</v>
      </c>
      <c r="AB2806" s="152"/>
      <c r="AC2806" s="152"/>
      <c r="AD2806" s="223">
        <v>12.191599999999999</v>
      </c>
      <c r="AE2806" s="223">
        <v>1.3410759999999999</v>
      </c>
      <c r="AF2806" s="223">
        <v>16.340054599999998</v>
      </c>
      <c r="AG2806" s="223">
        <v>1.3959382</v>
      </c>
      <c r="AH2806" s="341"/>
      <c r="AI2806" s="218"/>
      <c r="AJ2806" s="218"/>
      <c r="AK2806" s="153"/>
      <c r="AL2806" s="152"/>
      <c r="AM2806" s="152"/>
      <c r="AN2806" s="152"/>
      <c r="AO2806" s="152"/>
      <c r="AP2806" s="152"/>
      <c r="AQ2806" s="152"/>
      <c r="AR2806" s="152"/>
      <c r="AS2806" s="152"/>
      <c r="AT2806" s="152"/>
      <c r="AU2806" s="153"/>
      <c r="AV2806" s="479"/>
      <c r="AW2806" s="479"/>
      <c r="AX2806" s="442"/>
      <c r="AY2806" s="153"/>
      <c r="AZ2806" s="152"/>
      <c r="BA2806" s="152"/>
      <c r="BB2806" s="152"/>
      <c r="BC2806" s="152"/>
      <c r="BD2806" s="152"/>
      <c r="BE2806" s="152"/>
      <c r="BF2806" s="152"/>
      <c r="BG2806" s="152"/>
      <c r="BH2806" s="152"/>
      <c r="BI2806" s="153"/>
      <c r="BJ2806" s="153"/>
      <c r="BK2806" s="153"/>
      <c r="BL2806" s="153"/>
      <c r="BM2806" s="153"/>
      <c r="BN2806" s="153"/>
      <c r="BO2806" s="153"/>
      <c r="BP2806" s="153"/>
      <c r="BQ2806" s="153"/>
      <c r="BR2806" s="153"/>
      <c r="BS2806" s="153"/>
      <c r="BT2806" s="153"/>
      <c r="BU2806" s="153"/>
      <c r="BV2806" s="153"/>
      <c r="BW2806" s="153"/>
      <c r="BX2806" s="153"/>
      <c r="BY2806" s="153"/>
      <c r="BZ2806" s="153"/>
      <c r="CA2806" s="152"/>
      <c r="CB2806" s="152"/>
    </row>
    <row r="2807" spans="1:80" s="87" customFormat="1" ht="15" x14ac:dyDescent="0.25">
      <c r="A2807" s="152"/>
      <c r="B2807" s="683"/>
      <c r="C2807" s="683"/>
      <c r="D2807" s="698"/>
      <c r="E2807" s="215"/>
      <c r="F2807" s="215"/>
      <c r="G2807" s="153"/>
      <c r="H2807" s="153"/>
      <c r="I2807" s="165">
        <v>10</v>
      </c>
      <c r="J2807" s="312">
        <v>60</v>
      </c>
      <c r="K2807" s="150">
        <v>85</v>
      </c>
      <c r="L2807" s="656">
        <v>850</v>
      </c>
      <c r="M2807" s="663">
        <v>35565</v>
      </c>
      <c r="N2807" s="600">
        <v>22.905000000000001</v>
      </c>
      <c r="O2807" s="604">
        <v>0.14799000000000001</v>
      </c>
      <c r="P2807" s="150"/>
      <c r="Q2807" s="250"/>
      <c r="R2807" s="250">
        <v>1.2E-2</v>
      </c>
      <c r="S2807" s="250">
        <v>2.3E-2</v>
      </c>
      <c r="T2807" s="250">
        <v>5.2000000000000005E-2</v>
      </c>
      <c r="U2807" s="250">
        <v>0.21199999999999999</v>
      </c>
      <c r="V2807" s="250">
        <v>0.41731505273939379</v>
      </c>
      <c r="W2807" s="250">
        <v>0.22716572927710196</v>
      </c>
      <c r="X2807" s="250">
        <v>5.4446460980036297E-2</v>
      </c>
      <c r="Y2807" s="250">
        <v>2.2461411295394513E-3</v>
      </c>
      <c r="Z2807" s="150">
        <v>22</v>
      </c>
      <c r="AA2807" s="150">
        <v>1.43</v>
      </c>
      <c r="AB2807" s="152"/>
      <c r="AC2807" s="152"/>
      <c r="AD2807" s="223"/>
      <c r="AE2807" s="223"/>
      <c r="AF2807" s="223"/>
      <c r="AG2807" s="223"/>
      <c r="AH2807" s="341"/>
      <c r="AI2807" s="218"/>
      <c r="AJ2807" s="218"/>
      <c r="AK2807" s="153"/>
      <c r="AL2807" s="152"/>
      <c r="AM2807" s="152"/>
      <c r="AN2807" s="152"/>
      <c r="AO2807" s="152"/>
      <c r="AP2807" s="152"/>
      <c r="AQ2807" s="152"/>
      <c r="AR2807" s="152"/>
      <c r="AS2807" s="152"/>
      <c r="AT2807" s="152"/>
      <c r="AU2807" s="153"/>
      <c r="AV2807" s="479"/>
      <c r="AW2807" s="479"/>
      <c r="AX2807" s="442"/>
      <c r="AY2807" s="153"/>
      <c r="AZ2807" s="152"/>
      <c r="BA2807" s="152"/>
      <c r="BB2807" s="152"/>
      <c r="BC2807" s="152"/>
      <c r="BD2807" s="152"/>
      <c r="BE2807" s="152"/>
      <c r="BF2807" s="152"/>
      <c r="BG2807" s="152"/>
      <c r="BH2807" s="152"/>
      <c r="BI2807" s="153"/>
      <c r="BJ2807" s="153"/>
      <c r="BK2807" s="153"/>
      <c r="BL2807" s="153"/>
      <c r="BM2807" s="153"/>
      <c r="BN2807" s="153"/>
      <c r="BO2807" s="153"/>
      <c r="BP2807" s="153"/>
      <c r="BQ2807" s="153"/>
      <c r="BR2807" s="153"/>
      <c r="BS2807" s="153"/>
      <c r="BT2807" s="153"/>
      <c r="BU2807" s="153"/>
      <c r="BV2807" s="153"/>
      <c r="BW2807" s="153"/>
      <c r="BX2807" s="153"/>
      <c r="BY2807" s="153"/>
      <c r="BZ2807" s="153"/>
      <c r="CA2807" s="152"/>
      <c r="CB2807" s="152"/>
    </row>
    <row r="2808" spans="1:80" s="87" customFormat="1" ht="15" x14ac:dyDescent="0.25">
      <c r="A2808" s="152"/>
      <c r="B2808" s="683"/>
      <c r="C2808" s="683"/>
      <c r="D2808" s="698"/>
      <c r="E2808" s="215"/>
      <c r="F2808" s="215"/>
      <c r="G2808" s="153"/>
      <c r="H2808" s="153"/>
      <c r="I2808" s="165">
        <v>10</v>
      </c>
      <c r="J2808" s="312">
        <v>60</v>
      </c>
      <c r="K2808" s="150">
        <v>86</v>
      </c>
      <c r="L2808" s="656">
        <v>860</v>
      </c>
      <c r="M2808" s="663">
        <v>35565</v>
      </c>
      <c r="N2808" s="600">
        <v>22.905000000000001</v>
      </c>
      <c r="O2808" s="604">
        <v>0.128048</v>
      </c>
      <c r="P2808" s="150"/>
      <c r="Q2808" s="250"/>
      <c r="R2808" s="250"/>
      <c r="S2808" s="250">
        <v>9.0000000000000011E-3</v>
      </c>
      <c r="T2808" s="250">
        <v>2.7999999999999997E-2</v>
      </c>
      <c r="U2808" s="250">
        <v>0.156</v>
      </c>
      <c r="V2808" s="250">
        <v>0.39425668670951686</v>
      </c>
      <c r="W2808" s="250">
        <v>0.31855691478332987</v>
      </c>
      <c r="X2808" s="250">
        <v>8.8617043334024467E-2</v>
      </c>
      <c r="Y2808" s="250">
        <v>6.2616628654364502E-3</v>
      </c>
      <c r="Z2808" s="150">
        <v>17</v>
      </c>
      <c r="AA2808" s="150">
        <v>1.1599999999999999</v>
      </c>
      <c r="AB2808" s="152"/>
      <c r="AC2808" s="152"/>
      <c r="AD2808" s="223"/>
      <c r="AE2808" s="223"/>
      <c r="AF2808" s="223"/>
      <c r="AG2808" s="223"/>
      <c r="AH2808" s="341"/>
      <c r="AI2808" s="218"/>
      <c r="AJ2808" s="218"/>
      <c r="AK2808" s="153"/>
      <c r="AL2808" s="152"/>
      <c r="AM2808" s="152"/>
      <c r="AN2808" s="152"/>
      <c r="AO2808" s="152"/>
      <c r="AP2808" s="152"/>
      <c r="AQ2808" s="152"/>
      <c r="AR2808" s="152"/>
      <c r="AS2808" s="152"/>
      <c r="AT2808" s="152"/>
      <c r="AU2808" s="153"/>
      <c r="AV2808" s="479"/>
      <c r="AW2808" s="479"/>
      <c r="AX2808" s="442"/>
      <c r="AY2808" s="153"/>
      <c r="AZ2808" s="152"/>
      <c r="BA2808" s="152"/>
      <c r="BB2808" s="152"/>
      <c r="BC2808" s="152"/>
      <c r="BD2808" s="152"/>
      <c r="BE2808" s="152"/>
      <c r="BF2808" s="152"/>
      <c r="BG2808" s="152"/>
      <c r="BH2808" s="152"/>
      <c r="BI2808" s="153"/>
      <c r="BJ2808" s="153"/>
      <c r="BK2808" s="153"/>
      <c r="BL2808" s="153"/>
      <c r="BM2808" s="153"/>
      <c r="BN2808" s="153"/>
      <c r="BO2808" s="153"/>
      <c r="BP2808" s="153"/>
      <c r="BQ2808" s="153"/>
      <c r="BR2808" s="153"/>
      <c r="BS2808" s="153"/>
      <c r="BT2808" s="153"/>
      <c r="BU2808" s="153"/>
      <c r="BV2808" s="153"/>
      <c r="BW2808" s="153"/>
      <c r="BX2808" s="153"/>
      <c r="BY2808" s="153"/>
      <c r="BZ2808" s="153"/>
      <c r="CA2808" s="152"/>
      <c r="CB2808" s="152"/>
    </row>
    <row r="2809" spans="1:80" s="87" customFormat="1" ht="15" x14ac:dyDescent="0.25">
      <c r="A2809" s="152"/>
      <c r="B2809" s="683"/>
      <c r="C2809" s="683"/>
      <c r="D2809" s="698"/>
      <c r="E2809" s="215"/>
      <c r="F2809" s="215"/>
      <c r="G2809" s="153"/>
      <c r="H2809" s="153"/>
      <c r="I2809" s="165">
        <v>20</v>
      </c>
      <c r="J2809" s="312">
        <v>60</v>
      </c>
      <c r="K2809" s="150">
        <v>87</v>
      </c>
      <c r="L2809" s="656">
        <v>1740</v>
      </c>
      <c r="M2809" s="663">
        <v>35570</v>
      </c>
      <c r="N2809" s="600">
        <v>16.223199999999999</v>
      </c>
      <c r="O2809" s="604">
        <v>2.9283E-2</v>
      </c>
      <c r="P2809" s="150"/>
      <c r="Q2809" s="250"/>
      <c r="R2809" s="250"/>
      <c r="S2809" s="250">
        <v>6.2E-2</v>
      </c>
      <c r="T2809" s="250">
        <v>6.2E-2</v>
      </c>
      <c r="U2809" s="250">
        <v>0.17</v>
      </c>
      <c r="V2809" s="250">
        <v>0.31913442742192116</v>
      </c>
      <c r="W2809" s="250">
        <v>0.28444787925626219</v>
      </c>
      <c r="X2809" s="250">
        <v>9.9013501841160159E-2</v>
      </c>
      <c r="Y2809" s="250">
        <v>3.773241805700777E-3</v>
      </c>
      <c r="Z2809" s="150">
        <v>15</v>
      </c>
      <c r="AA2809" s="150">
        <v>1.28</v>
      </c>
      <c r="AB2809" s="152"/>
      <c r="AC2809" s="152"/>
      <c r="AD2809" s="223">
        <v>11.277229999999999</v>
      </c>
      <c r="AE2809" s="223">
        <v>1.0545734</v>
      </c>
      <c r="AF2809" s="223">
        <v>11.899721400000001</v>
      </c>
      <c r="AG2809" s="223">
        <v>1.4965189000000001</v>
      </c>
      <c r="AH2809" s="341"/>
      <c r="AI2809" s="218"/>
      <c r="AJ2809" s="218"/>
      <c r="AK2809" s="153"/>
      <c r="AL2809" s="152"/>
      <c r="AM2809" s="152"/>
      <c r="AN2809" s="152"/>
      <c r="AO2809" s="152"/>
      <c r="AP2809" s="152"/>
      <c r="AQ2809" s="152"/>
      <c r="AR2809" s="152"/>
      <c r="AS2809" s="152"/>
      <c r="AT2809" s="152"/>
      <c r="AU2809" s="153"/>
      <c r="AV2809" s="479"/>
      <c r="AW2809" s="479"/>
      <c r="AX2809" s="442"/>
      <c r="AY2809" s="153"/>
      <c r="AZ2809" s="152"/>
      <c r="BA2809" s="152"/>
      <c r="BB2809" s="152"/>
      <c r="BC2809" s="152"/>
      <c r="BD2809" s="152"/>
      <c r="BE2809" s="152"/>
      <c r="BF2809" s="152"/>
      <c r="BG2809" s="152"/>
      <c r="BH2809" s="152"/>
      <c r="BI2809" s="153"/>
      <c r="BJ2809" s="153"/>
      <c r="BK2809" s="153"/>
      <c r="BL2809" s="153"/>
      <c r="BM2809" s="153"/>
      <c r="BN2809" s="153"/>
      <c r="BO2809" s="153"/>
      <c r="BP2809" s="153"/>
      <c r="BQ2809" s="153"/>
      <c r="BR2809" s="153"/>
      <c r="BS2809" s="153"/>
      <c r="BT2809" s="153"/>
      <c r="BU2809" s="153"/>
      <c r="BV2809" s="153"/>
      <c r="BW2809" s="153"/>
      <c r="BX2809" s="153"/>
      <c r="BY2809" s="153"/>
      <c r="BZ2809" s="153"/>
      <c r="CA2809" s="152"/>
      <c r="CB2809" s="152"/>
    </row>
    <row r="2810" spans="1:80" s="87" customFormat="1" ht="15" x14ac:dyDescent="0.25">
      <c r="A2810" s="152"/>
      <c r="B2810" s="683"/>
      <c r="C2810" s="683"/>
      <c r="D2810" s="698"/>
      <c r="E2810" s="215"/>
      <c r="F2810" s="215"/>
      <c r="G2810" s="153"/>
      <c r="H2810" s="153"/>
      <c r="I2810" s="165">
        <v>20</v>
      </c>
      <c r="J2810" s="312">
        <v>60</v>
      </c>
      <c r="K2810" s="150">
        <v>88</v>
      </c>
      <c r="L2810" s="656">
        <v>1760</v>
      </c>
      <c r="M2810" s="663">
        <v>35570</v>
      </c>
      <c r="N2810" s="600">
        <v>16.223199999999999</v>
      </c>
      <c r="O2810" s="604">
        <v>2.4140000000000002E-2</v>
      </c>
      <c r="P2810" s="150"/>
      <c r="Q2810" s="250"/>
      <c r="R2810" s="250"/>
      <c r="S2810" s="250">
        <v>1.4999999999999999E-2</v>
      </c>
      <c r="T2810" s="250">
        <v>5.4000000000000006E-2</v>
      </c>
      <c r="U2810" s="250">
        <v>0.17399999999999999</v>
      </c>
      <c r="V2810" s="250">
        <v>0.36584018996079293</v>
      </c>
      <c r="W2810" s="250">
        <v>0.29024242089568725</v>
      </c>
      <c r="X2810" s="250">
        <v>9.7631012203876516E-2</v>
      </c>
      <c r="Y2810" s="250">
        <v>3.64459660942073E-3</v>
      </c>
      <c r="Z2810" s="150">
        <v>15</v>
      </c>
      <c r="AA2810" s="150">
        <v>1.23</v>
      </c>
      <c r="AB2810" s="152"/>
      <c r="AC2810" s="152"/>
      <c r="AD2810" s="223">
        <v>11.277229999999999</v>
      </c>
      <c r="AE2810" s="223">
        <v>1.0545734</v>
      </c>
      <c r="AF2810" s="223">
        <v>11.899721400000001</v>
      </c>
      <c r="AG2810" s="223">
        <v>1.4965189000000001</v>
      </c>
      <c r="AH2810" s="341"/>
      <c r="AI2810" s="218"/>
      <c r="AJ2810" s="218"/>
      <c r="AK2810" s="153"/>
      <c r="AL2810" s="152"/>
      <c r="AM2810" s="152"/>
      <c r="AN2810" s="152"/>
      <c r="AO2810" s="152"/>
      <c r="AP2810" s="152"/>
      <c r="AQ2810" s="152"/>
      <c r="AR2810" s="152"/>
      <c r="AS2810" s="152"/>
      <c r="AT2810" s="152"/>
      <c r="AU2810" s="153"/>
      <c r="AV2810" s="479"/>
      <c r="AW2810" s="479"/>
      <c r="AX2810" s="442"/>
      <c r="AY2810" s="153"/>
      <c r="AZ2810" s="152"/>
      <c r="BA2810" s="152"/>
      <c r="BB2810" s="152"/>
      <c r="BC2810" s="152"/>
      <c r="BD2810" s="152"/>
      <c r="BE2810" s="152"/>
      <c r="BF2810" s="152"/>
      <c r="BG2810" s="152"/>
      <c r="BH2810" s="152"/>
      <c r="BI2810" s="153"/>
      <c r="BJ2810" s="153"/>
      <c r="BK2810" s="153"/>
      <c r="BL2810" s="153"/>
      <c r="BM2810" s="153"/>
      <c r="BN2810" s="153"/>
      <c r="BO2810" s="153"/>
      <c r="BP2810" s="153"/>
      <c r="BQ2810" s="153"/>
      <c r="BR2810" s="153"/>
      <c r="BS2810" s="153"/>
      <c r="BT2810" s="153"/>
      <c r="BU2810" s="153"/>
      <c r="BV2810" s="153"/>
      <c r="BW2810" s="153"/>
      <c r="BX2810" s="153"/>
      <c r="BY2810" s="153"/>
      <c r="BZ2810" s="153"/>
      <c r="CA2810" s="152"/>
      <c r="CB2810" s="152"/>
    </row>
    <row r="2811" spans="1:80" ht="15" x14ac:dyDescent="0.25">
      <c r="A2811" s="9" t="s">
        <v>195</v>
      </c>
      <c r="B2811" s="639" t="s">
        <v>66</v>
      </c>
      <c r="C2811" s="639" t="s">
        <v>610</v>
      </c>
      <c r="D2811" s="4">
        <f>VLOOKUP(E2811,'Quality Code'!D4:E24,2,TRUE)*VLOOKUP(MROUND(F2811,10),'Quality Code'!D28:E69,2,TRUE)*VLOOKUP(COUNTA(CB2811:CB2821),'Quality Code'!D73:E93,2,TRUE)</f>
        <v>4.25</v>
      </c>
      <c r="E2811" s="14">
        <v>0.85</v>
      </c>
      <c r="F2811" s="18">
        <v>200</v>
      </c>
      <c r="G2811" s="12">
        <v>128.71</v>
      </c>
      <c r="H2811" s="2" t="s">
        <v>231</v>
      </c>
      <c r="I2811" s="10"/>
      <c r="J2811" s="10" t="s">
        <v>283</v>
      </c>
      <c r="K2811" s="10"/>
      <c r="L2811" s="640" t="s">
        <v>284</v>
      </c>
      <c r="M2811" s="640" t="s">
        <v>884</v>
      </c>
      <c r="N2811" s="579" t="s">
        <v>296</v>
      </c>
      <c r="O2811" s="579"/>
      <c r="P2811" s="10" t="s">
        <v>64</v>
      </c>
      <c r="Q2811" s="10" t="s">
        <v>64</v>
      </c>
      <c r="R2811" s="10" t="s">
        <v>64</v>
      </c>
      <c r="S2811" s="10" t="s">
        <v>64</v>
      </c>
      <c r="T2811" s="10" t="s">
        <v>64</v>
      </c>
      <c r="U2811" s="10" t="s">
        <v>64</v>
      </c>
      <c r="V2811" s="10"/>
      <c r="W2811" s="10"/>
      <c r="X2811" s="10"/>
      <c r="Y2811" s="10"/>
      <c r="Z2811" s="11"/>
      <c r="AA2811" s="81"/>
      <c r="AB2811" s="81"/>
      <c r="AC2811" s="116">
        <v>5.8999999999999999E-3</v>
      </c>
      <c r="AD2811" s="11"/>
      <c r="AE2811" s="11"/>
      <c r="AF2811" s="10"/>
      <c r="AG2811" s="10"/>
      <c r="AH2811" s="345" t="s">
        <v>340</v>
      </c>
      <c r="AI2811" s="18">
        <v>17.5</v>
      </c>
      <c r="AJ2811" s="17">
        <v>1</v>
      </c>
      <c r="AK2811" s="17">
        <v>0.96009999999999995</v>
      </c>
      <c r="AL2811" s="17">
        <v>0.84440000000000004</v>
      </c>
      <c r="AM2811" s="17">
        <v>0.62150000000000005</v>
      </c>
      <c r="AN2811" s="17">
        <v>0.48120000000000002</v>
      </c>
      <c r="AO2811" s="17">
        <v>0.37619999999999998</v>
      </c>
      <c r="AP2811" s="17">
        <v>0.2893</v>
      </c>
      <c r="AQ2811" s="17">
        <v>0.2157</v>
      </c>
      <c r="AR2811" s="17">
        <v>0.1144</v>
      </c>
      <c r="AS2811" s="17">
        <v>4.0099999999999997E-2</v>
      </c>
      <c r="AT2811" s="17">
        <v>7.6E-3</v>
      </c>
      <c r="AU2811" s="18">
        <v>57</v>
      </c>
      <c r="AV2811" s="17">
        <v>1</v>
      </c>
      <c r="AW2811" s="17">
        <v>1</v>
      </c>
      <c r="AX2811" s="17">
        <v>0.97840000000000005</v>
      </c>
      <c r="AY2811" s="17">
        <v>0.87980000000000003</v>
      </c>
      <c r="AZ2811" s="17">
        <v>0.55049999999999999</v>
      </c>
      <c r="BA2811" s="17">
        <v>0.29570000000000002</v>
      </c>
      <c r="BB2811" s="17">
        <v>0.20669999999999999</v>
      </c>
      <c r="BC2811" s="17">
        <v>0.1971</v>
      </c>
      <c r="BD2811" s="17">
        <v>0.1875</v>
      </c>
      <c r="BE2811" s="17">
        <v>0.1779</v>
      </c>
      <c r="BF2811" s="17">
        <v>2.3999999999999998E-3</v>
      </c>
      <c r="BG2811" s="17"/>
      <c r="BH2811" s="17"/>
      <c r="BI2811" s="4">
        <f>AU2811/AI2811</f>
        <v>3.2571428571428571</v>
      </c>
      <c r="BJ2811" s="2" t="s">
        <v>68</v>
      </c>
      <c r="BK2811" s="2" t="s">
        <v>175</v>
      </c>
      <c r="BL2811" s="12"/>
      <c r="BM2811" s="12">
        <v>9.3431899999999999</v>
      </c>
      <c r="BN2811" s="12">
        <v>10.972440000000001</v>
      </c>
      <c r="BO2811" s="12">
        <v>0.67968170000000006</v>
      </c>
      <c r="BP2811" s="12">
        <v>7.4408094</v>
      </c>
      <c r="BQ2811" s="12">
        <f>BN2811/BO2811</f>
        <v>16.143497757847534</v>
      </c>
      <c r="BR2811" s="12" t="s">
        <v>29</v>
      </c>
      <c r="BS2811" s="18">
        <v>3</v>
      </c>
      <c r="BT2811" s="12">
        <v>0.88389099999999998</v>
      </c>
      <c r="BU2811" s="2"/>
      <c r="BV2811" s="2"/>
      <c r="BW2811" s="2"/>
      <c r="BX2811" s="2"/>
      <c r="BY2811" s="2"/>
      <c r="BZ2811" s="2"/>
      <c r="CA2811" s="381"/>
      <c r="CB2811" s="9" t="s">
        <v>224</v>
      </c>
    </row>
    <row r="2812" spans="1:80" s="87" customFormat="1" ht="15" x14ac:dyDescent="0.2">
      <c r="A2812" s="152"/>
      <c r="B2812" s="683"/>
      <c r="C2812" s="683"/>
      <c r="D2812" s="698"/>
      <c r="E2812" s="215"/>
      <c r="F2812" s="215"/>
      <c r="G2812" s="153"/>
      <c r="H2812" s="153"/>
      <c r="I2812" s="306">
        <v>17</v>
      </c>
      <c r="J2812" s="306">
        <v>30</v>
      </c>
      <c r="K2812" s="150">
        <v>1</v>
      </c>
      <c r="L2812" s="656">
        <v>8.5</v>
      </c>
      <c r="M2812" s="663">
        <v>31482</v>
      </c>
      <c r="N2812" s="600">
        <v>3.5674000000000001</v>
      </c>
      <c r="O2812" s="604">
        <v>7.326E-3</v>
      </c>
      <c r="P2812" s="150"/>
      <c r="Q2812" s="250"/>
      <c r="R2812" s="250"/>
      <c r="S2812" s="250"/>
      <c r="T2812" s="250"/>
      <c r="U2812" s="250"/>
      <c r="V2812" s="250"/>
      <c r="W2812" s="250"/>
      <c r="X2812" s="250"/>
      <c r="Y2812" s="250"/>
      <c r="Z2812" s="150"/>
      <c r="AA2812" s="223">
        <v>0.58204666781706482</v>
      </c>
      <c r="AB2812" s="152"/>
      <c r="AC2812" s="152"/>
      <c r="AD2812" s="223">
        <v>10.36286</v>
      </c>
      <c r="AE2812" s="223">
        <v>0.32307740000000001</v>
      </c>
      <c r="AF2812" s="223">
        <v>3.3627628000000001</v>
      </c>
      <c r="AG2812" s="223">
        <v>1.0606692</v>
      </c>
      <c r="AH2812" s="341" t="s">
        <v>341</v>
      </c>
      <c r="AI2812" s="218"/>
      <c r="AJ2812" s="218"/>
      <c r="AK2812" s="153"/>
      <c r="AL2812" s="152"/>
      <c r="AM2812" s="152"/>
      <c r="AN2812" s="152"/>
      <c r="AO2812" s="152"/>
      <c r="AP2812" s="152"/>
      <c r="AQ2812" s="152"/>
      <c r="AR2812" s="152"/>
      <c r="AS2812" s="152"/>
      <c r="AT2812" s="152"/>
      <c r="AU2812" s="153"/>
      <c r="AV2812" s="479"/>
      <c r="AW2812" s="479"/>
      <c r="AX2812" s="442"/>
      <c r="AY2812" s="153"/>
      <c r="AZ2812" s="152"/>
      <c r="BA2812" s="152"/>
      <c r="BB2812" s="152"/>
      <c r="BC2812" s="152"/>
      <c r="BD2812" s="152"/>
      <c r="BE2812" s="152"/>
      <c r="BF2812" s="152"/>
      <c r="BG2812" s="152"/>
      <c r="BH2812" s="152"/>
      <c r="BI2812" s="153"/>
      <c r="BJ2812" s="153"/>
      <c r="BK2812" s="153"/>
      <c r="BL2812" s="153"/>
      <c r="BM2812" s="153"/>
      <c r="BN2812" s="153"/>
      <c r="BO2812" s="153"/>
      <c r="BP2812" s="153"/>
      <c r="BQ2812" s="153"/>
      <c r="BR2812" s="153"/>
      <c r="BS2812" s="153"/>
      <c r="BT2812" s="153"/>
      <c r="BU2812" s="153"/>
      <c r="BV2812" s="153"/>
      <c r="BW2812" s="153"/>
      <c r="BX2812" s="153"/>
      <c r="BY2812" s="153"/>
      <c r="BZ2812" s="153"/>
      <c r="CA2812" s="152"/>
      <c r="CB2812" s="486" t="s">
        <v>638</v>
      </c>
    </row>
    <row r="2813" spans="1:80" s="87" customFormat="1" ht="15" x14ac:dyDescent="0.2">
      <c r="A2813" s="152"/>
      <c r="B2813" s="683"/>
      <c r="C2813" s="683"/>
      <c r="D2813" s="698"/>
      <c r="E2813" s="215"/>
      <c r="F2813" s="215"/>
      <c r="G2813" s="153"/>
      <c r="H2813" s="153"/>
      <c r="I2813" s="306">
        <v>20</v>
      </c>
      <c r="J2813" s="306">
        <v>30</v>
      </c>
      <c r="K2813" s="150">
        <v>1</v>
      </c>
      <c r="L2813" s="656">
        <v>10</v>
      </c>
      <c r="M2813" s="663">
        <v>31519</v>
      </c>
      <c r="N2813" s="600">
        <v>3.68065</v>
      </c>
      <c r="O2813" s="604">
        <v>2.4559999999999998E-2</v>
      </c>
      <c r="P2813" s="150"/>
      <c r="Q2813" s="250"/>
      <c r="R2813" s="250"/>
      <c r="S2813" s="250"/>
      <c r="T2813" s="250"/>
      <c r="U2813" s="250"/>
      <c r="V2813" s="250"/>
      <c r="W2813" s="250"/>
      <c r="X2813" s="250"/>
      <c r="Y2813" s="250"/>
      <c r="Z2813" s="150"/>
      <c r="AA2813" s="223">
        <v>1.4655780362954709</v>
      </c>
      <c r="AB2813" s="152"/>
      <c r="AC2813" s="152"/>
      <c r="AD2813" s="223">
        <v>10.66765</v>
      </c>
      <c r="AE2813" s="223">
        <v>0.33831689999999998</v>
      </c>
      <c r="AF2813" s="223">
        <v>3.6228660000000001</v>
      </c>
      <c r="AG2813" s="223">
        <v>1.0088549</v>
      </c>
      <c r="AH2813" s="341"/>
      <c r="AI2813" s="218"/>
      <c r="AJ2813" s="218"/>
      <c r="AK2813" s="153"/>
      <c r="AL2813" s="152"/>
      <c r="AM2813" s="152"/>
      <c r="AN2813" s="152"/>
      <c r="AO2813" s="152"/>
      <c r="AP2813" s="152"/>
      <c r="AQ2813" s="152"/>
      <c r="AR2813" s="152"/>
      <c r="AS2813" s="152"/>
      <c r="AT2813" s="152"/>
      <c r="AU2813" s="153"/>
      <c r="AV2813" s="479"/>
      <c r="AW2813" s="479"/>
      <c r="AX2813" s="442"/>
      <c r="AY2813" s="153"/>
      <c r="AZ2813" s="152"/>
      <c r="BA2813" s="152"/>
      <c r="BB2813" s="152"/>
      <c r="BC2813" s="152"/>
      <c r="BD2813" s="152"/>
      <c r="BE2813" s="152"/>
      <c r="BF2813" s="152"/>
      <c r="BG2813" s="152"/>
      <c r="BH2813" s="152"/>
      <c r="BI2813" s="153"/>
      <c r="BJ2813" s="153"/>
      <c r="BK2813" s="153"/>
      <c r="BL2813" s="153"/>
      <c r="BM2813" s="153"/>
      <c r="BN2813" s="153"/>
      <c r="BO2813" s="153"/>
      <c r="BP2813" s="153"/>
      <c r="BQ2813" s="153"/>
      <c r="BR2813" s="153"/>
      <c r="BS2813" s="153"/>
      <c r="BT2813" s="153"/>
      <c r="BU2813" s="153"/>
      <c r="BV2813" s="153"/>
      <c r="BW2813" s="153"/>
      <c r="BX2813" s="153"/>
      <c r="BY2813" s="153"/>
      <c r="BZ2813" s="153"/>
      <c r="CA2813" s="152"/>
      <c r="CB2813" s="486" t="s">
        <v>639</v>
      </c>
    </row>
    <row r="2814" spans="1:80" s="87" customFormat="1" ht="15" x14ac:dyDescent="0.2">
      <c r="A2814" s="152"/>
      <c r="B2814" s="683"/>
      <c r="C2814" s="683"/>
      <c r="D2814" s="698"/>
      <c r="E2814" s="215"/>
      <c r="F2814" s="215"/>
      <c r="G2814" s="153"/>
      <c r="H2814" s="153"/>
      <c r="I2814" s="306">
        <v>20</v>
      </c>
      <c r="J2814" s="306">
        <v>30</v>
      </c>
      <c r="K2814" s="150">
        <v>1</v>
      </c>
      <c r="L2814" s="656">
        <v>10</v>
      </c>
      <c r="M2814" s="663">
        <v>31525</v>
      </c>
      <c r="N2814" s="600">
        <v>7.8143099999999999</v>
      </c>
      <c r="O2814" s="604">
        <v>7.4099999999999999E-2</v>
      </c>
      <c r="P2814" s="150"/>
      <c r="Q2814" s="250"/>
      <c r="R2814" s="250"/>
      <c r="S2814" s="250"/>
      <c r="T2814" s="250"/>
      <c r="U2814" s="250"/>
      <c r="V2814" s="250"/>
      <c r="W2814" s="250"/>
      <c r="X2814" s="250"/>
      <c r="Y2814" s="250"/>
      <c r="Z2814" s="150"/>
      <c r="AA2814" s="223">
        <v>1.7049134336119127</v>
      </c>
      <c r="AB2814" s="152"/>
      <c r="AC2814" s="152"/>
      <c r="AD2814" s="223">
        <v>10.972440000000001</v>
      </c>
      <c r="AE2814" s="223">
        <v>0.49071189999999998</v>
      </c>
      <c r="AF2814" s="223">
        <v>5.3692732000000003</v>
      </c>
      <c r="AG2814" s="223">
        <v>1.4568962000000001</v>
      </c>
      <c r="AH2814" s="341"/>
      <c r="AI2814" s="218"/>
      <c r="AJ2814" s="218"/>
      <c r="AK2814" s="153"/>
      <c r="AL2814" s="152"/>
      <c r="AM2814" s="152"/>
      <c r="AN2814" s="152"/>
      <c r="AO2814" s="152"/>
      <c r="AP2814" s="152"/>
      <c r="AQ2814" s="152"/>
      <c r="AR2814" s="152"/>
      <c r="AS2814" s="152"/>
      <c r="AT2814" s="152"/>
      <c r="AU2814" s="153"/>
      <c r="AV2814" s="479"/>
      <c r="AW2814" s="479"/>
      <c r="AX2814" s="442"/>
      <c r="AY2814" s="153"/>
      <c r="AZ2814" s="152"/>
      <c r="BA2814" s="152"/>
      <c r="BB2814" s="152"/>
      <c r="BC2814" s="152"/>
      <c r="BD2814" s="152"/>
      <c r="BE2814" s="152"/>
      <c r="BF2814" s="152"/>
      <c r="BG2814" s="152"/>
      <c r="BH2814" s="152"/>
      <c r="BI2814" s="153"/>
      <c r="BJ2814" s="153"/>
      <c r="BK2814" s="153"/>
      <c r="BL2814" s="153"/>
      <c r="BM2814" s="153"/>
      <c r="BN2814" s="153"/>
      <c r="BO2814" s="153"/>
      <c r="BP2814" s="153"/>
      <c r="BQ2814" s="153"/>
      <c r="BR2814" s="153"/>
      <c r="BS2814" s="153"/>
      <c r="BT2814" s="153"/>
      <c r="BU2814" s="153"/>
      <c r="BV2814" s="153"/>
      <c r="BW2814" s="153"/>
      <c r="BX2814" s="153"/>
      <c r="BY2814" s="153"/>
      <c r="BZ2814" s="153"/>
      <c r="CA2814" s="152"/>
      <c r="CB2814" s="486" t="s">
        <v>640</v>
      </c>
    </row>
    <row r="2815" spans="1:80" s="87" customFormat="1" x14ac:dyDescent="0.2">
      <c r="A2815" s="152"/>
      <c r="B2815" s="683"/>
      <c r="C2815" s="683"/>
      <c r="D2815" s="698"/>
      <c r="E2815" s="215"/>
      <c r="F2815" s="215"/>
      <c r="G2815" s="153"/>
      <c r="H2815" s="153"/>
      <c r="I2815" s="306">
        <v>18</v>
      </c>
      <c r="J2815" s="306">
        <v>30</v>
      </c>
      <c r="K2815" s="150">
        <v>1</v>
      </c>
      <c r="L2815" s="656">
        <v>9</v>
      </c>
      <c r="M2815" s="663">
        <v>31532</v>
      </c>
      <c r="N2815" s="600">
        <v>4.1336500000000003</v>
      </c>
      <c r="O2815" s="604">
        <v>3.7574999999999997E-2</v>
      </c>
      <c r="P2815" s="150"/>
      <c r="Q2815" s="250"/>
      <c r="R2815" s="250"/>
      <c r="S2815" s="250"/>
      <c r="T2815" s="250"/>
      <c r="U2815" s="250"/>
      <c r="V2815" s="250"/>
      <c r="W2815" s="250"/>
      <c r="X2815" s="250"/>
      <c r="Y2815" s="250"/>
      <c r="Z2815" s="150"/>
      <c r="AA2815" s="223">
        <v>2.0760083585454061</v>
      </c>
      <c r="AB2815" s="152"/>
      <c r="AC2815" s="152"/>
      <c r="AD2815" s="223">
        <v>10.66765</v>
      </c>
      <c r="AE2815" s="223">
        <v>0.3718438</v>
      </c>
      <c r="AF2815" s="223">
        <v>3.9758632</v>
      </c>
      <c r="AG2815" s="223">
        <v>1.0393338999999999</v>
      </c>
      <c r="AH2815" s="341"/>
      <c r="AI2815" s="218"/>
      <c r="AJ2815" s="218"/>
      <c r="AK2815" s="153"/>
      <c r="AL2815" s="152"/>
      <c r="AM2815" s="152"/>
      <c r="AN2815" s="152"/>
      <c r="AO2815" s="152"/>
      <c r="AP2815" s="152"/>
      <c r="AQ2815" s="152"/>
      <c r="AR2815" s="152"/>
      <c r="AS2815" s="152"/>
      <c r="AT2815" s="152"/>
      <c r="AU2815" s="153"/>
      <c r="AV2815" s="479"/>
      <c r="AW2815" s="479"/>
      <c r="AX2815" s="442"/>
      <c r="AY2815" s="153"/>
      <c r="AZ2815" s="152"/>
      <c r="BA2815" s="152"/>
      <c r="BB2815" s="152"/>
      <c r="BC2815" s="152"/>
      <c r="BD2815" s="152"/>
      <c r="BE2815" s="152"/>
      <c r="BF2815" s="152"/>
      <c r="BG2815" s="152"/>
      <c r="BH2815" s="152"/>
      <c r="BI2815" s="153"/>
      <c r="BJ2815" s="153"/>
      <c r="BK2815" s="153"/>
      <c r="BL2815" s="153"/>
      <c r="BM2815" s="153"/>
      <c r="BN2815" s="153"/>
      <c r="BO2815" s="153"/>
      <c r="BP2815" s="153"/>
      <c r="BQ2815" s="153"/>
      <c r="BR2815" s="153"/>
      <c r="BS2815" s="153"/>
      <c r="BT2815" s="153"/>
      <c r="BU2815" s="153"/>
      <c r="BV2815" s="153"/>
      <c r="BW2815" s="153"/>
      <c r="BX2815" s="153"/>
      <c r="BY2815" s="153"/>
      <c r="BZ2815" s="153"/>
      <c r="CA2815" s="152"/>
      <c r="CB2815" s="152"/>
    </row>
    <row r="2816" spans="1:80" s="87" customFormat="1" x14ac:dyDescent="0.2">
      <c r="A2816" s="152"/>
      <c r="B2816" s="683"/>
      <c r="C2816" s="683"/>
      <c r="D2816" s="698"/>
      <c r="E2816" s="215"/>
      <c r="F2816" s="215"/>
      <c r="G2816" s="153"/>
      <c r="H2816" s="153"/>
      <c r="I2816" s="306">
        <v>17</v>
      </c>
      <c r="J2816" s="306">
        <v>30</v>
      </c>
      <c r="K2816" s="150">
        <v>1</v>
      </c>
      <c r="L2816" s="656">
        <v>8.5</v>
      </c>
      <c r="M2816" s="663">
        <v>31555</v>
      </c>
      <c r="N2816" s="600">
        <v>8.6070600000000006</v>
      </c>
      <c r="O2816" s="604">
        <v>1.7423000000000001E-2</v>
      </c>
      <c r="P2816" s="150"/>
      <c r="Q2816" s="250"/>
      <c r="R2816" s="250"/>
      <c r="S2816" s="250"/>
      <c r="T2816" s="250"/>
      <c r="U2816" s="250"/>
      <c r="V2816" s="250"/>
      <c r="W2816" s="250"/>
      <c r="X2816" s="250"/>
      <c r="Y2816" s="250"/>
      <c r="Z2816" s="150"/>
      <c r="AA2816" s="223">
        <v>0.77836832022622127</v>
      </c>
      <c r="AB2816" s="152"/>
      <c r="AC2816" s="152"/>
      <c r="AD2816" s="223">
        <v>10.972440000000001</v>
      </c>
      <c r="AE2816" s="223">
        <v>0.51814300000000002</v>
      </c>
      <c r="AF2816" s="223">
        <v>5.6944021999999999</v>
      </c>
      <c r="AG2816" s="223">
        <v>2.1914400999999999</v>
      </c>
      <c r="AH2816" s="341"/>
      <c r="AI2816" s="218"/>
      <c r="AJ2816" s="218"/>
      <c r="AK2816" s="153"/>
      <c r="AL2816" s="152"/>
      <c r="AM2816" s="152"/>
      <c r="AN2816" s="152"/>
      <c r="AO2816" s="152"/>
      <c r="AP2816" s="152"/>
      <c r="AQ2816" s="152"/>
      <c r="AR2816" s="152"/>
      <c r="AS2816" s="152"/>
      <c r="AT2816" s="152"/>
      <c r="AU2816" s="153"/>
      <c r="AV2816" s="479"/>
      <c r="AW2816" s="479"/>
      <c r="AX2816" s="442"/>
      <c r="AY2816" s="153"/>
      <c r="AZ2816" s="152"/>
      <c r="BA2816" s="152"/>
      <c r="BB2816" s="152"/>
      <c r="BC2816" s="152"/>
      <c r="BD2816" s="152"/>
      <c r="BE2816" s="152"/>
      <c r="BF2816" s="152"/>
      <c r="BG2816" s="152"/>
      <c r="BH2816" s="152"/>
      <c r="BI2816" s="153"/>
      <c r="BJ2816" s="153"/>
      <c r="BK2816" s="153"/>
      <c r="BL2816" s="153"/>
      <c r="BM2816" s="153"/>
      <c r="BN2816" s="153"/>
      <c r="BO2816" s="153"/>
      <c r="BP2816" s="153"/>
      <c r="BQ2816" s="153"/>
      <c r="BR2816" s="153"/>
      <c r="BS2816" s="153"/>
      <c r="BT2816" s="153"/>
      <c r="BU2816" s="153"/>
      <c r="BV2816" s="153"/>
      <c r="BW2816" s="153"/>
      <c r="BX2816" s="153"/>
      <c r="BY2816" s="153"/>
      <c r="BZ2816" s="153"/>
      <c r="CA2816" s="152"/>
      <c r="CB2816" s="152"/>
    </row>
    <row r="2817" spans="1:80" s="87" customFormat="1" x14ac:dyDescent="0.2">
      <c r="A2817" s="152"/>
      <c r="B2817" s="683"/>
      <c r="C2817" s="683"/>
      <c r="D2817" s="698"/>
      <c r="E2817" s="215"/>
      <c r="F2817" s="215"/>
      <c r="G2817" s="153"/>
      <c r="H2817" s="153"/>
      <c r="I2817" s="306">
        <v>15</v>
      </c>
      <c r="J2817" s="306">
        <v>30</v>
      </c>
      <c r="K2817" s="150">
        <v>1</v>
      </c>
      <c r="L2817" s="656">
        <v>7.5</v>
      </c>
      <c r="M2817" s="663">
        <v>31565</v>
      </c>
      <c r="N2817" s="600">
        <v>6.0872299999999999</v>
      </c>
      <c r="O2817" s="604">
        <v>1.4799E-2</v>
      </c>
      <c r="P2817" s="150"/>
      <c r="Q2817" s="250"/>
      <c r="R2817" s="250"/>
      <c r="S2817" s="250"/>
      <c r="T2817" s="250"/>
      <c r="U2817" s="250"/>
      <c r="V2817" s="250"/>
      <c r="W2817" s="250"/>
      <c r="X2817" s="250"/>
      <c r="Y2817" s="250"/>
      <c r="Z2817" s="150"/>
      <c r="AA2817" s="223">
        <v>1.3046928797067618</v>
      </c>
      <c r="AB2817" s="152"/>
      <c r="AC2817" s="152"/>
      <c r="AD2817" s="223"/>
      <c r="AE2817" s="223"/>
      <c r="AF2817" s="223"/>
      <c r="AG2817" s="223"/>
      <c r="AH2817" s="341"/>
      <c r="AI2817" s="218"/>
      <c r="AJ2817" s="218"/>
      <c r="AK2817" s="153"/>
      <c r="AL2817" s="152"/>
      <c r="AM2817" s="152"/>
      <c r="AN2817" s="152"/>
      <c r="AO2817" s="152"/>
      <c r="AP2817" s="152"/>
      <c r="AQ2817" s="152"/>
      <c r="AR2817" s="152"/>
      <c r="AS2817" s="152"/>
      <c r="AT2817" s="152"/>
      <c r="AU2817" s="153"/>
      <c r="AV2817" s="479"/>
      <c r="AW2817" s="479"/>
      <c r="AX2817" s="442"/>
      <c r="AY2817" s="153"/>
      <c r="AZ2817" s="152"/>
      <c r="BA2817" s="152"/>
      <c r="BB2817" s="152"/>
      <c r="BC2817" s="152"/>
      <c r="BD2817" s="152"/>
      <c r="BE2817" s="152"/>
      <c r="BF2817" s="152"/>
      <c r="BG2817" s="152"/>
      <c r="BH2817" s="152"/>
      <c r="BI2817" s="153"/>
      <c r="BJ2817" s="153"/>
      <c r="BK2817" s="153"/>
      <c r="BL2817" s="153"/>
      <c r="BM2817" s="153"/>
      <c r="BN2817" s="153"/>
      <c r="BO2817" s="153"/>
      <c r="BP2817" s="153"/>
      <c r="BQ2817" s="153"/>
      <c r="BR2817" s="153"/>
      <c r="BS2817" s="153"/>
      <c r="BT2817" s="153"/>
      <c r="BU2817" s="153"/>
      <c r="BV2817" s="153"/>
      <c r="BW2817" s="153"/>
      <c r="BX2817" s="153"/>
      <c r="BY2817" s="153"/>
      <c r="BZ2817" s="153"/>
      <c r="CA2817" s="152"/>
      <c r="CB2817" s="152"/>
    </row>
    <row r="2818" spans="1:80" s="87" customFormat="1" x14ac:dyDescent="0.2">
      <c r="A2818" s="152"/>
      <c r="B2818" s="683"/>
      <c r="C2818" s="683"/>
      <c r="D2818" s="698"/>
      <c r="E2818" s="215"/>
      <c r="F2818" s="215"/>
      <c r="G2818" s="153"/>
      <c r="H2818" s="153"/>
      <c r="I2818" s="306">
        <v>17</v>
      </c>
      <c r="J2818" s="306">
        <v>30</v>
      </c>
      <c r="K2818" s="150">
        <v>1</v>
      </c>
      <c r="L2818" s="656">
        <v>8.5</v>
      </c>
      <c r="M2818" s="663">
        <v>31579</v>
      </c>
      <c r="N2818" s="600">
        <v>2.0356800000000002</v>
      </c>
      <c r="O2818" s="604">
        <v>1.0442999999999999E-2</v>
      </c>
      <c r="P2818" s="150"/>
      <c r="Q2818" s="250"/>
      <c r="R2818" s="250"/>
      <c r="S2818" s="250"/>
      <c r="T2818" s="250"/>
      <c r="U2818" s="250"/>
      <c r="V2818" s="250"/>
      <c r="W2818" s="250"/>
      <c r="X2818" s="250"/>
      <c r="Y2818" s="250"/>
      <c r="Z2818" s="150"/>
      <c r="AA2818" s="223">
        <v>1.5282050603569111</v>
      </c>
      <c r="AB2818" s="152"/>
      <c r="AC2818" s="152"/>
      <c r="AD2818" s="223">
        <v>10.058070000000001</v>
      </c>
      <c r="AE2818" s="223">
        <v>0.27735890000000002</v>
      </c>
      <c r="AF2818" s="223">
        <v>2.7775306</v>
      </c>
      <c r="AG2818" s="223">
        <v>0.80159769999999997</v>
      </c>
      <c r="AH2818" s="341"/>
      <c r="AI2818" s="218"/>
      <c r="AJ2818" s="218"/>
      <c r="AK2818" s="153"/>
      <c r="AL2818" s="152"/>
      <c r="AM2818" s="152"/>
      <c r="AN2818" s="152"/>
      <c r="AO2818" s="152"/>
      <c r="AP2818" s="152"/>
      <c r="AQ2818" s="152"/>
      <c r="AR2818" s="152"/>
      <c r="AS2818" s="152"/>
      <c r="AT2818" s="152"/>
      <c r="AU2818" s="153"/>
      <c r="AV2818" s="479"/>
      <c r="AW2818" s="479"/>
      <c r="AX2818" s="442"/>
      <c r="AY2818" s="153"/>
      <c r="AZ2818" s="152"/>
      <c r="BA2818" s="152"/>
      <c r="BB2818" s="152"/>
      <c r="BC2818" s="152"/>
      <c r="BD2818" s="152"/>
      <c r="BE2818" s="152"/>
      <c r="BF2818" s="152"/>
      <c r="BG2818" s="152"/>
      <c r="BH2818" s="152"/>
      <c r="BI2818" s="153"/>
      <c r="BJ2818" s="153"/>
      <c r="BK2818" s="153"/>
      <c r="BL2818" s="153"/>
      <c r="BM2818" s="153"/>
      <c r="BN2818" s="153"/>
      <c r="BO2818" s="153"/>
      <c r="BP2818" s="153"/>
      <c r="BQ2818" s="153"/>
      <c r="BR2818" s="153"/>
      <c r="BS2818" s="153"/>
      <c r="BT2818" s="153"/>
      <c r="BU2818" s="153"/>
      <c r="BV2818" s="153"/>
      <c r="BW2818" s="153"/>
      <c r="BX2818" s="153"/>
      <c r="BY2818" s="153"/>
      <c r="BZ2818" s="153"/>
      <c r="CA2818" s="152"/>
      <c r="CB2818" s="152"/>
    </row>
    <row r="2819" spans="1:80" s="87" customFormat="1" x14ac:dyDescent="0.2">
      <c r="A2819" s="152"/>
      <c r="B2819" s="683"/>
      <c r="C2819" s="683"/>
      <c r="D2819" s="698"/>
      <c r="E2819" s="215"/>
      <c r="F2819" s="215"/>
      <c r="G2819" s="153"/>
      <c r="H2819" s="153"/>
      <c r="I2819" s="306">
        <v>15</v>
      </c>
      <c r="J2819" s="306">
        <v>30</v>
      </c>
      <c r="K2819" s="150">
        <v>1</v>
      </c>
      <c r="L2819" s="656">
        <v>7.5</v>
      </c>
      <c r="M2819" s="663">
        <v>31589</v>
      </c>
      <c r="N2819" s="600">
        <v>1.4552700000000001</v>
      </c>
      <c r="O2819" s="604">
        <v>3.5799999999999997E-4</v>
      </c>
      <c r="P2819" s="150"/>
      <c r="Q2819" s="250"/>
      <c r="R2819" s="250"/>
      <c r="S2819" s="250"/>
      <c r="T2819" s="250"/>
      <c r="U2819" s="250"/>
      <c r="V2819" s="250"/>
      <c r="W2819" s="250"/>
      <c r="X2819" s="250"/>
      <c r="Y2819" s="250"/>
      <c r="Z2819" s="150"/>
      <c r="AA2819" s="223">
        <v>0.56368440039895595</v>
      </c>
      <c r="AB2819" s="152"/>
      <c r="AC2819" s="152"/>
      <c r="AD2819" s="223">
        <v>9.4484899999999996</v>
      </c>
      <c r="AE2819" s="223">
        <v>0.20116139999999999</v>
      </c>
      <c r="AF2819" s="223">
        <v>1.9136164</v>
      </c>
      <c r="AG2819" s="223">
        <v>0.65529850000000001</v>
      </c>
      <c r="AH2819" s="341"/>
      <c r="AI2819" s="218"/>
      <c r="AJ2819" s="218"/>
      <c r="AK2819" s="153"/>
      <c r="AL2819" s="152"/>
      <c r="AM2819" s="152"/>
      <c r="AN2819" s="152"/>
      <c r="AO2819" s="152"/>
      <c r="AP2819" s="152"/>
      <c r="AQ2819" s="152"/>
      <c r="AR2819" s="152"/>
      <c r="AS2819" s="152"/>
      <c r="AT2819" s="152"/>
      <c r="AU2819" s="153"/>
      <c r="AV2819" s="479"/>
      <c r="AW2819" s="479"/>
      <c r="AX2819" s="442"/>
      <c r="AY2819" s="153"/>
      <c r="AZ2819" s="152"/>
      <c r="BA2819" s="152"/>
      <c r="BB2819" s="152"/>
      <c r="BC2819" s="152"/>
      <c r="BD2819" s="152"/>
      <c r="BE2819" s="152"/>
      <c r="BF2819" s="152"/>
      <c r="BG2819" s="152"/>
      <c r="BH2819" s="152"/>
      <c r="BI2819" s="153"/>
      <c r="BJ2819" s="153"/>
      <c r="BK2819" s="153"/>
      <c r="BL2819" s="153"/>
      <c r="BM2819" s="153"/>
      <c r="BN2819" s="153"/>
      <c r="BO2819" s="153"/>
      <c r="BP2819" s="153"/>
      <c r="BQ2819" s="153"/>
      <c r="BR2819" s="153"/>
      <c r="BS2819" s="153"/>
      <c r="BT2819" s="153"/>
      <c r="BU2819" s="153"/>
      <c r="BV2819" s="153"/>
      <c r="BW2819" s="153"/>
      <c r="BX2819" s="153"/>
      <c r="BY2819" s="153"/>
      <c r="BZ2819" s="153"/>
      <c r="CA2819" s="152"/>
      <c r="CB2819" s="152"/>
    </row>
    <row r="2820" spans="1:80" s="87" customFormat="1" x14ac:dyDescent="0.2">
      <c r="A2820" s="152"/>
      <c r="B2820" s="683"/>
      <c r="C2820" s="683"/>
      <c r="D2820" s="698"/>
      <c r="E2820" s="215"/>
      <c r="F2820" s="215"/>
      <c r="G2820" s="153"/>
      <c r="H2820" s="153"/>
      <c r="I2820" s="306">
        <v>15</v>
      </c>
      <c r="J2820" s="306">
        <v>30</v>
      </c>
      <c r="K2820" s="150">
        <v>1</v>
      </c>
      <c r="L2820" s="656">
        <v>7.5</v>
      </c>
      <c r="M2820" s="663">
        <v>31603</v>
      </c>
      <c r="N2820" s="600">
        <v>1.4920800000000001</v>
      </c>
      <c r="O2820" s="604">
        <v>9.6100000000000005E-4</v>
      </c>
      <c r="P2820" s="150"/>
      <c r="Q2820" s="250"/>
      <c r="R2820" s="250"/>
      <c r="S2820" s="250"/>
      <c r="T2820" s="250"/>
      <c r="U2820" s="250"/>
      <c r="V2820" s="250"/>
      <c r="W2820" s="250"/>
      <c r="X2820" s="250"/>
      <c r="Y2820" s="250"/>
      <c r="Z2820" s="150"/>
      <c r="AA2820" s="223">
        <v>0.59605788353169209</v>
      </c>
      <c r="AB2820" s="152"/>
      <c r="AC2820" s="152"/>
      <c r="AD2820" s="223">
        <v>9.4484899999999996</v>
      </c>
      <c r="AE2820" s="223">
        <v>0.1859219</v>
      </c>
      <c r="AF2820" s="223">
        <v>1.7649859999999999</v>
      </c>
      <c r="AG2820" s="223">
        <v>0.66139429999999999</v>
      </c>
      <c r="AH2820" s="341"/>
      <c r="AI2820" s="218"/>
      <c r="AJ2820" s="218"/>
      <c r="AK2820" s="153"/>
      <c r="AL2820" s="152"/>
      <c r="AM2820" s="152"/>
      <c r="AN2820" s="152"/>
      <c r="AO2820" s="152"/>
      <c r="AP2820" s="152"/>
      <c r="AQ2820" s="152"/>
      <c r="AR2820" s="152"/>
      <c r="AS2820" s="152"/>
      <c r="AT2820" s="152"/>
      <c r="AU2820" s="153"/>
      <c r="AV2820" s="479"/>
      <c r="AW2820" s="479"/>
      <c r="AX2820" s="442"/>
      <c r="AY2820" s="153"/>
      <c r="AZ2820" s="152"/>
      <c r="BA2820" s="152"/>
      <c r="BB2820" s="152"/>
      <c r="BC2820" s="152"/>
      <c r="BD2820" s="152"/>
      <c r="BE2820" s="152"/>
      <c r="BF2820" s="152"/>
      <c r="BG2820" s="152"/>
      <c r="BH2820" s="152"/>
      <c r="BI2820" s="153"/>
      <c r="BJ2820" s="153"/>
      <c r="BK2820" s="153"/>
      <c r="BL2820" s="153"/>
      <c r="BM2820" s="153"/>
      <c r="BN2820" s="153"/>
      <c r="BO2820" s="153"/>
      <c r="BP2820" s="153"/>
      <c r="BQ2820" s="153"/>
      <c r="BR2820" s="153"/>
      <c r="BS2820" s="153"/>
      <c r="BT2820" s="153"/>
      <c r="BU2820" s="153"/>
      <c r="BV2820" s="153"/>
      <c r="BW2820" s="153"/>
      <c r="BX2820" s="153"/>
      <c r="BY2820" s="153"/>
      <c r="BZ2820" s="153"/>
      <c r="CA2820" s="152"/>
      <c r="CB2820" s="152"/>
    </row>
    <row r="2821" spans="1:80" s="87" customFormat="1" x14ac:dyDescent="0.2">
      <c r="A2821" s="152"/>
      <c r="B2821" s="683"/>
      <c r="C2821" s="683"/>
      <c r="D2821" s="698"/>
      <c r="E2821" s="215"/>
      <c r="F2821" s="215"/>
      <c r="G2821" s="153"/>
      <c r="H2821" s="153"/>
      <c r="I2821" s="306">
        <v>11</v>
      </c>
      <c r="J2821" s="306">
        <v>30</v>
      </c>
      <c r="K2821" s="150">
        <v>1</v>
      </c>
      <c r="L2821" s="656">
        <v>5.5</v>
      </c>
      <c r="M2821" s="663">
        <v>31643</v>
      </c>
      <c r="N2821" s="600">
        <v>0.37656000000000001</v>
      </c>
      <c r="O2821" s="604">
        <v>6.2399999999999999E-4</v>
      </c>
      <c r="P2821" s="150"/>
      <c r="Q2821" s="250"/>
      <c r="R2821" s="250"/>
      <c r="S2821" s="250"/>
      <c r="T2821" s="250"/>
      <c r="U2821" s="250"/>
      <c r="V2821" s="250"/>
      <c r="W2821" s="250"/>
      <c r="X2821" s="250"/>
      <c r="Y2821" s="250"/>
      <c r="Z2821" s="150"/>
      <c r="AA2821" s="223">
        <v>1.3910207418373723</v>
      </c>
      <c r="AB2821" s="152"/>
      <c r="AC2821" s="152"/>
      <c r="AD2821" s="223">
        <v>8.2293299999999991</v>
      </c>
      <c r="AE2821" s="223">
        <v>0.1036286</v>
      </c>
      <c r="AF2821" s="223">
        <v>0.86391419999999997</v>
      </c>
      <c r="AG2821" s="223">
        <v>0.47242450000000002</v>
      </c>
      <c r="AH2821" s="341"/>
      <c r="AI2821" s="218"/>
      <c r="AJ2821" s="218"/>
      <c r="AK2821" s="153"/>
      <c r="AL2821" s="152"/>
      <c r="AM2821" s="152"/>
      <c r="AN2821" s="152"/>
      <c r="AO2821" s="152"/>
      <c r="AP2821" s="152"/>
      <c r="AQ2821" s="152"/>
      <c r="AR2821" s="152"/>
      <c r="AS2821" s="152"/>
      <c r="AT2821" s="152"/>
      <c r="AU2821" s="153"/>
      <c r="AV2821" s="479"/>
      <c r="AW2821" s="479"/>
      <c r="AX2821" s="442"/>
      <c r="AY2821" s="153"/>
      <c r="AZ2821" s="152"/>
      <c r="BA2821" s="152"/>
      <c r="BB2821" s="152"/>
      <c r="BC2821" s="152"/>
      <c r="BD2821" s="152"/>
      <c r="BE2821" s="152"/>
      <c r="BF2821" s="152"/>
      <c r="BG2821" s="152"/>
      <c r="BH2821" s="152"/>
      <c r="BI2821" s="153"/>
      <c r="BJ2821" s="153"/>
      <c r="BK2821" s="153"/>
      <c r="BL2821" s="153"/>
      <c r="BM2821" s="153"/>
      <c r="BN2821" s="153"/>
      <c r="BO2821" s="153"/>
      <c r="BP2821" s="153"/>
      <c r="BQ2821" s="153"/>
      <c r="BR2821" s="153"/>
      <c r="BS2821" s="153"/>
      <c r="BT2821" s="153"/>
      <c r="BU2821" s="153"/>
      <c r="BV2821" s="153"/>
      <c r="BW2821" s="153"/>
      <c r="BX2821" s="153"/>
      <c r="BY2821" s="153"/>
      <c r="BZ2821" s="153"/>
      <c r="CA2821" s="152"/>
      <c r="CB2821" s="152"/>
    </row>
    <row r="2822" spans="1:80" s="87" customFormat="1" x14ac:dyDescent="0.2">
      <c r="A2822" s="152"/>
      <c r="B2822" s="683"/>
      <c r="C2822" s="683"/>
      <c r="D2822" s="698"/>
      <c r="E2822" s="215"/>
      <c r="F2822" s="215"/>
      <c r="G2822" s="153"/>
      <c r="H2822" s="153"/>
      <c r="I2822" s="306">
        <v>11</v>
      </c>
      <c r="J2822" s="306">
        <v>30</v>
      </c>
      <c r="K2822" s="150">
        <v>1</v>
      </c>
      <c r="L2822" s="656">
        <v>5.5</v>
      </c>
      <c r="M2822" s="663">
        <v>31672</v>
      </c>
      <c r="N2822" s="600">
        <v>0.50112999999999996</v>
      </c>
      <c r="O2822" s="604">
        <v>1.5799999999999999E-4</v>
      </c>
      <c r="P2822" s="150"/>
      <c r="Q2822" s="250"/>
      <c r="R2822" s="250"/>
      <c r="S2822" s="250"/>
      <c r="T2822" s="250"/>
      <c r="U2822" s="250"/>
      <c r="V2822" s="250"/>
      <c r="W2822" s="250"/>
      <c r="X2822" s="250"/>
      <c r="Y2822" s="250"/>
      <c r="Z2822" s="150"/>
      <c r="AA2822" s="223">
        <v>0.75760816862040448</v>
      </c>
      <c r="AB2822" s="152"/>
      <c r="AC2822" s="152"/>
      <c r="AD2822" s="223"/>
      <c r="AE2822" s="223"/>
      <c r="AF2822" s="223"/>
      <c r="AG2822" s="223"/>
      <c r="AH2822" s="341"/>
      <c r="AI2822" s="218"/>
      <c r="AJ2822" s="218"/>
      <c r="AK2822" s="153"/>
      <c r="AL2822" s="152"/>
      <c r="AM2822" s="152"/>
      <c r="AN2822" s="152"/>
      <c r="AO2822" s="152"/>
      <c r="AP2822" s="152"/>
      <c r="AQ2822" s="152"/>
      <c r="AR2822" s="152"/>
      <c r="AS2822" s="152"/>
      <c r="AT2822" s="152"/>
      <c r="AU2822" s="153"/>
      <c r="AV2822" s="479"/>
      <c r="AW2822" s="479"/>
      <c r="AX2822" s="442"/>
      <c r="AY2822" s="153"/>
      <c r="AZ2822" s="152"/>
      <c r="BA2822" s="152"/>
      <c r="BB2822" s="152"/>
      <c r="BC2822" s="152"/>
      <c r="BD2822" s="152"/>
      <c r="BE2822" s="152"/>
      <c r="BF2822" s="152"/>
      <c r="BG2822" s="152"/>
      <c r="BH2822" s="152"/>
      <c r="BI2822" s="153"/>
      <c r="BJ2822" s="153"/>
      <c r="BK2822" s="153"/>
      <c r="BL2822" s="153"/>
      <c r="BM2822" s="153"/>
      <c r="BN2822" s="153"/>
      <c r="BO2822" s="153"/>
      <c r="BP2822" s="153"/>
      <c r="BQ2822" s="153"/>
      <c r="BR2822" s="153"/>
      <c r="BS2822" s="153"/>
      <c r="BT2822" s="153"/>
      <c r="BU2822" s="153"/>
      <c r="BV2822" s="153"/>
      <c r="BW2822" s="153"/>
      <c r="BX2822" s="153"/>
      <c r="BY2822" s="153"/>
      <c r="BZ2822" s="153"/>
      <c r="CA2822" s="152"/>
      <c r="CB2822" s="152"/>
    </row>
    <row r="2823" spans="1:80" s="87" customFormat="1" x14ac:dyDescent="0.2">
      <c r="A2823" s="152"/>
      <c r="B2823" s="683"/>
      <c r="C2823" s="683"/>
      <c r="D2823" s="698"/>
      <c r="E2823" s="215"/>
      <c r="F2823" s="215"/>
      <c r="G2823" s="153"/>
      <c r="H2823" s="153"/>
      <c r="I2823" s="306">
        <v>17</v>
      </c>
      <c r="J2823" s="306">
        <v>30</v>
      </c>
      <c r="K2823" s="150">
        <v>1</v>
      </c>
      <c r="L2823" s="656">
        <v>8.5</v>
      </c>
      <c r="M2823" s="663">
        <v>31897</v>
      </c>
      <c r="N2823" s="600">
        <v>4.8414700000000002</v>
      </c>
      <c r="O2823" s="604">
        <v>1.9102000000000001E-2</v>
      </c>
      <c r="P2823" s="150"/>
      <c r="Q2823" s="250"/>
      <c r="R2823" s="250"/>
      <c r="S2823" s="250"/>
      <c r="T2823" s="250"/>
      <c r="U2823" s="250"/>
      <c r="V2823" s="250"/>
      <c r="W2823" s="250"/>
      <c r="X2823" s="250"/>
      <c r="Y2823" s="250"/>
      <c r="Z2823" s="150"/>
      <c r="AA2823" s="223">
        <v>2.0423136462048666</v>
      </c>
      <c r="AB2823" s="152"/>
      <c r="AC2823" s="152"/>
      <c r="AD2823" s="223">
        <v>11.58202</v>
      </c>
      <c r="AE2823" s="223">
        <v>0.46328079999999999</v>
      </c>
      <c r="AF2823" s="223">
        <v>5.3506944000000001</v>
      </c>
      <c r="AG2823" s="223">
        <v>1.0728607999999999</v>
      </c>
      <c r="AH2823" s="341"/>
      <c r="AI2823" s="218"/>
      <c r="AJ2823" s="218"/>
      <c r="AK2823" s="153"/>
      <c r="AL2823" s="152"/>
      <c r="AM2823" s="152"/>
      <c r="AN2823" s="152"/>
      <c r="AO2823" s="152"/>
      <c r="AP2823" s="152"/>
      <c r="AQ2823" s="152"/>
      <c r="AR2823" s="152"/>
      <c r="AS2823" s="152"/>
      <c r="AT2823" s="152"/>
      <c r="AU2823" s="153"/>
      <c r="AV2823" s="479"/>
      <c r="AW2823" s="479"/>
      <c r="AX2823" s="442"/>
      <c r="AY2823" s="153"/>
      <c r="AZ2823" s="152"/>
      <c r="BA2823" s="152"/>
      <c r="BB2823" s="152"/>
      <c r="BC2823" s="152"/>
      <c r="BD2823" s="152"/>
      <c r="BE2823" s="152"/>
      <c r="BF2823" s="152"/>
      <c r="BG2823" s="152"/>
      <c r="BH2823" s="152"/>
      <c r="BI2823" s="153"/>
      <c r="BJ2823" s="153"/>
      <c r="BK2823" s="153"/>
      <c r="BL2823" s="153"/>
      <c r="BM2823" s="153"/>
      <c r="BN2823" s="153"/>
      <c r="BO2823" s="153"/>
      <c r="BP2823" s="153"/>
      <c r="BQ2823" s="153"/>
      <c r="BR2823" s="153"/>
      <c r="BS2823" s="153"/>
      <c r="BT2823" s="153"/>
      <c r="BU2823" s="153"/>
      <c r="BV2823" s="153"/>
      <c r="BW2823" s="153"/>
      <c r="BX2823" s="153"/>
      <c r="BY2823" s="153"/>
      <c r="BZ2823" s="153"/>
      <c r="CA2823" s="152"/>
      <c r="CB2823" s="152"/>
    </row>
    <row r="2824" spans="1:80" s="87" customFormat="1" x14ac:dyDescent="0.2">
      <c r="A2824" s="152"/>
      <c r="B2824" s="683"/>
      <c r="C2824" s="683"/>
      <c r="D2824" s="698"/>
      <c r="E2824" s="215"/>
      <c r="F2824" s="215"/>
      <c r="G2824" s="153"/>
      <c r="H2824" s="153"/>
      <c r="I2824" s="306">
        <v>17</v>
      </c>
      <c r="J2824" s="306">
        <v>30</v>
      </c>
      <c r="K2824" s="150">
        <v>1</v>
      </c>
      <c r="L2824" s="656">
        <v>8.5</v>
      </c>
      <c r="M2824" s="663">
        <v>31908</v>
      </c>
      <c r="N2824" s="600">
        <v>2.67272</v>
      </c>
      <c r="O2824" s="604">
        <v>7.7039999999999999E-3</v>
      </c>
      <c r="P2824" s="150"/>
      <c r="Q2824" s="250"/>
      <c r="R2824" s="250"/>
      <c r="S2824" s="250"/>
      <c r="T2824" s="250"/>
      <c r="U2824" s="250"/>
      <c r="V2824" s="250"/>
      <c r="W2824" s="250"/>
      <c r="X2824" s="250"/>
      <c r="Y2824" s="250"/>
      <c r="Z2824" s="150"/>
      <c r="AA2824" s="223">
        <v>2.305857556256242</v>
      </c>
      <c r="AB2824" s="152"/>
      <c r="AC2824" s="152"/>
      <c r="AD2824" s="223">
        <v>10.972440000000001</v>
      </c>
      <c r="AE2824" s="223">
        <v>0.37793959999999999</v>
      </c>
      <c r="AF2824" s="223">
        <v>4.1430724000000003</v>
      </c>
      <c r="AG2824" s="223">
        <v>0.89608259999999995</v>
      </c>
      <c r="AH2824" s="341"/>
      <c r="AI2824" s="218"/>
      <c r="AJ2824" s="218"/>
      <c r="AK2824" s="153"/>
      <c r="AL2824" s="152"/>
      <c r="AM2824" s="152"/>
      <c r="AN2824" s="152"/>
      <c r="AO2824" s="152"/>
      <c r="AP2824" s="152"/>
      <c r="AQ2824" s="152"/>
      <c r="AR2824" s="152"/>
      <c r="AS2824" s="152"/>
      <c r="AT2824" s="152"/>
      <c r="AU2824" s="153"/>
      <c r="AV2824" s="479"/>
      <c r="AW2824" s="479"/>
      <c r="AX2824" s="442"/>
      <c r="AY2824" s="153"/>
      <c r="AZ2824" s="152"/>
      <c r="BA2824" s="152"/>
      <c r="BB2824" s="152"/>
      <c r="BC2824" s="152"/>
      <c r="BD2824" s="152"/>
      <c r="BE2824" s="152"/>
      <c r="BF2824" s="152"/>
      <c r="BG2824" s="152"/>
      <c r="BH2824" s="152"/>
      <c r="BI2824" s="153"/>
      <c r="BJ2824" s="153"/>
      <c r="BK2824" s="153"/>
      <c r="BL2824" s="153"/>
      <c r="BM2824" s="153"/>
      <c r="BN2824" s="153"/>
      <c r="BO2824" s="153"/>
      <c r="BP2824" s="153"/>
      <c r="BQ2824" s="153"/>
      <c r="BR2824" s="153"/>
      <c r="BS2824" s="153"/>
      <c r="BT2824" s="153"/>
      <c r="BU2824" s="153"/>
      <c r="BV2824" s="153"/>
      <c r="BW2824" s="153"/>
      <c r="BX2824" s="153"/>
      <c r="BY2824" s="153"/>
      <c r="BZ2824" s="153"/>
      <c r="CA2824" s="152"/>
      <c r="CB2824" s="152"/>
    </row>
    <row r="2825" spans="1:80" s="87" customFormat="1" x14ac:dyDescent="0.2">
      <c r="A2825" s="152"/>
      <c r="B2825" s="683"/>
      <c r="C2825" s="683"/>
      <c r="D2825" s="698"/>
      <c r="E2825" s="215"/>
      <c r="F2825" s="215"/>
      <c r="G2825" s="153"/>
      <c r="H2825" s="153"/>
      <c r="I2825" s="306">
        <v>17</v>
      </c>
      <c r="J2825" s="306">
        <v>30</v>
      </c>
      <c r="K2825" s="150">
        <v>1</v>
      </c>
      <c r="L2825" s="656">
        <v>8.5</v>
      </c>
      <c r="M2825" s="663">
        <v>31917</v>
      </c>
      <c r="N2825" s="600">
        <v>1.86581</v>
      </c>
      <c r="O2825" s="604">
        <v>9.6199999999999996E-4</v>
      </c>
      <c r="P2825" s="150"/>
      <c r="Q2825" s="250"/>
      <c r="R2825" s="250"/>
      <c r="S2825" s="250"/>
      <c r="T2825" s="250"/>
      <c r="U2825" s="250"/>
      <c r="V2825" s="250"/>
      <c r="W2825" s="250"/>
      <c r="X2825" s="250"/>
      <c r="Y2825" s="250"/>
      <c r="Z2825" s="150"/>
      <c r="AA2825" s="223">
        <v>2.0639935093609973</v>
      </c>
      <c r="AB2825" s="152"/>
      <c r="AC2825" s="152"/>
      <c r="AD2825" s="223">
        <v>10.36286</v>
      </c>
      <c r="AE2825" s="223">
        <v>0.20116139999999999</v>
      </c>
      <c r="AF2825" s="223">
        <v>2.0808255999999998</v>
      </c>
      <c r="AG2825" s="223">
        <v>0.68577750000000004</v>
      </c>
      <c r="AH2825" s="341"/>
      <c r="AI2825" s="218"/>
      <c r="AJ2825" s="218"/>
      <c r="AK2825" s="153"/>
      <c r="AL2825" s="152"/>
      <c r="AM2825" s="152"/>
      <c r="AN2825" s="152"/>
      <c r="AO2825" s="152"/>
      <c r="AP2825" s="152"/>
      <c r="AQ2825" s="152"/>
      <c r="AR2825" s="152"/>
      <c r="AS2825" s="152"/>
      <c r="AT2825" s="152"/>
      <c r="AU2825" s="153"/>
      <c r="AV2825" s="479"/>
      <c r="AW2825" s="479"/>
      <c r="AX2825" s="442"/>
      <c r="AY2825" s="153"/>
      <c r="AZ2825" s="152"/>
      <c r="BA2825" s="152"/>
      <c r="BB2825" s="152"/>
      <c r="BC2825" s="152"/>
      <c r="BD2825" s="152"/>
      <c r="BE2825" s="152"/>
      <c r="BF2825" s="152"/>
      <c r="BG2825" s="152"/>
      <c r="BH2825" s="152"/>
      <c r="BI2825" s="153"/>
      <c r="BJ2825" s="153"/>
      <c r="BK2825" s="153"/>
      <c r="BL2825" s="153"/>
      <c r="BM2825" s="153"/>
      <c r="BN2825" s="153"/>
      <c r="BO2825" s="153"/>
      <c r="BP2825" s="153"/>
      <c r="BQ2825" s="153"/>
      <c r="BR2825" s="153"/>
      <c r="BS2825" s="153"/>
      <c r="BT2825" s="153"/>
      <c r="BU2825" s="153"/>
      <c r="BV2825" s="153"/>
      <c r="BW2825" s="153"/>
      <c r="BX2825" s="153"/>
      <c r="BY2825" s="153"/>
      <c r="BZ2825" s="153"/>
      <c r="CA2825" s="152"/>
      <c r="CB2825" s="152"/>
    </row>
    <row r="2826" spans="1:80" s="87" customFormat="1" x14ac:dyDescent="0.2">
      <c r="A2826" s="152"/>
      <c r="B2826" s="683"/>
      <c r="C2826" s="683"/>
      <c r="D2826" s="698"/>
      <c r="E2826" s="215"/>
      <c r="F2826" s="215"/>
      <c r="G2826" s="153"/>
      <c r="H2826" s="153"/>
      <c r="I2826" s="306">
        <v>16</v>
      </c>
      <c r="J2826" s="306">
        <v>30</v>
      </c>
      <c r="K2826" s="150">
        <v>1</v>
      </c>
      <c r="L2826" s="656">
        <v>8</v>
      </c>
      <c r="M2826" s="663">
        <v>31924</v>
      </c>
      <c r="N2826" s="600">
        <v>2.4320599999999999</v>
      </c>
      <c r="O2826" s="604">
        <v>1.2700000000000001E-3</v>
      </c>
      <c r="P2826" s="150"/>
      <c r="Q2826" s="250"/>
      <c r="R2826" s="250"/>
      <c r="S2826" s="250"/>
      <c r="T2826" s="250"/>
      <c r="U2826" s="250"/>
      <c r="V2826" s="250"/>
      <c r="W2826" s="250"/>
      <c r="X2826" s="250"/>
      <c r="Y2826" s="250"/>
      <c r="Z2826" s="150"/>
      <c r="AA2826" s="223">
        <v>0.70415184496067518</v>
      </c>
      <c r="AB2826" s="152"/>
      <c r="AC2826" s="152"/>
      <c r="AD2826" s="223"/>
      <c r="AE2826" s="223"/>
      <c r="AF2826" s="223"/>
      <c r="AG2826" s="223"/>
      <c r="AH2826" s="341"/>
      <c r="AI2826" s="218"/>
      <c r="AJ2826" s="218"/>
      <c r="AK2826" s="153"/>
      <c r="AL2826" s="152"/>
      <c r="AM2826" s="152"/>
      <c r="AN2826" s="152"/>
      <c r="AO2826" s="152"/>
      <c r="AP2826" s="152"/>
      <c r="AQ2826" s="152"/>
      <c r="AR2826" s="152"/>
      <c r="AS2826" s="152"/>
      <c r="AT2826" s="152"/>
      <c r="AU2826" s="153"/>
      <c r="AV2826" s="479"/>
      <c r="AW2826" s="479"/>
      <c r="AX2826" s="442"/>
      <c r="AY2826" s="153"/>
      <c r="AZ2826" s="152"/>
      <c r="BA2826" s="152"/>
      <c r="BB2826" s="152"/>
      <c r="BC2826" s="152"/>
      <c r="BD2826" s="152"/>
      <c r="BE2826" s="152"/>
      <c r="BF2826" s="152"/>
      <c r="BG2826" s="152"/>
      <c r="BH2826" s="152"/>
      <c r="BI2826" s="153"/>
      <c r="BJ2826" s="153"/>
      <c r="BK2826" s="153"/>
      <c r="BL2826" s="153"/>
      <c r="BM2826" s="153"/>
      <c r="BN2826" s="153"/>
      <c r="BO2826" s="153"/>
      <c r="BP2826" s="153"/>
      <c r="BQ2826" s="153"/>
      <c r="BR2826" s="153"/>
      <c r="BS2826" s="153"/>
      <c r="BT2826" s="153"/>
      <c r="BU2826" s="153"/>
      <c r="BV2826" s="153"/>
      <c r="BW2826" s="153"/>
      <c r="BX2826" s="153"/>
      <c r="BY2826" s="153"/>
      <c r="BZ2826" s="153"/>
      <c r="CA2826" s="152"/>
      <c r="CB2826" s="152"/>
    </row>
    <row r="2827" spans="1:80" s="87" customFormat="1" x14ac:dyDescent="0.2">
      <c r="A2827" s="152"/>
      <c r="B2827" s="683"/>
      <c r="C2827" s="683"/>
      <c r="D2827" s="698"/>
      <c r="E2827" s="215"/>
      <c r="F2827" s="215"/>
      <c r="G2827" s="153"/>
      <c r="H2827" s="153"/>
      <c r="I2827" s="306">
        <v>18</v>
      </c>
      <c r="J2827" s="306">
        <v>30</v>
      </c>
      <c r="K2827" s="150">
        <v>1</v>
      </c>
      <c r="L2827" s="656">
        <v>9</v>
      </c>
      <c r="M2827" s="663">
        <v>31932</v>
      </c>
      <c r="N2827" s="600">
        <v>1.6364700000000001</v>
      </c>
      <c r="O2827" s="604">
        <v>6.0879999999999997E-3</v>
      </c>
      <c r="P2827" s="150"/>
      <c r="Q2827" s="250"/>
      <c r="R2827" s="250"/>
      <c r="S2827" s="250"/>
      <c r="T2827" s="250"/>
      <c r="U2827" s="250"/>
      <c r="V2827" s="250"/>
      <c r="W2827" s="250"/>
      <c r="X2827" s="250"/>
      <c r="Y2827" s="250"/>
      <c r="Z2827" s="150"/>
      <c r="AA2827" s="223">
        <v>1.85369679786561</v>
      </c>
      <c r="AB2827" s="152"/>
      <c r="AC2827" s="152"/>
      <c r="AD2827" s="223">
        <v>10.36286</v>
      </c>
      <c r="AE2827" s="223">
        <v>0.2407841</v>
      </c>
      <c r="AF2827" s="223">
        <v>2.5081380000000002</v>
      </c>
      <c r="AG2827" s="223">
        <v>0.57910099999999998</v>
      </c>
      <c r="AH2827" s="341"/>
      <c r="AI2827" s="218"/>
      <c r="AJ2827" s="218"/>
      <c r="AK2827" s="153"/>
      <c r="AL2827" s="152"/>
      <c r="AM2827" s="152"/>
      <c r="AN2827" s="152"/>
      <c r="AO2827" s="152"/>
      <c r="AP2827" s="152"/>
      <c r="AQ2827" s="152"/>
      <c r="AR2827" s="152"/>
      <c r="AS2827" s="152"/>
      <c r="AT2827" s="152"/>
      <c r="AU2827" s="153"/>
      <c r="AV2827" s="479"/>
      <c r="AW2827" s="479"/>
      <c r="AX2827" s="442"/>
      <c r="AY2827" s="153"/>
      <c r="AZ2827" s="152"/>
      <c r="BA2827" s="152"/>
      <c r="BB2827" s="152"/>
      <c r="BC2827" s="152"/>
      <c r="BD2827" s="152"/>
      <c r="BE2827" s="152"/>
      <c r="BF2827" s="152"/>
      <c r="BG2827" s="152"/>
      <c r="BH2827" s="152"/>
      <c r="BI2827" s="153"/>
      <c r="BJ2827" s="153"/>
      <c r="BK2827" s="153"/>
      <c r="BL2827" s="153"/>
      <c r="BM2827" s="153"/>
      <c r="BN2827" s="153"/>
      <c r="BO2827" s="153"/>
      <c r="BP2827" s="153"/>
      <c r="BQ2827" s="153"/>
      <c r="BR2827" s="153"/>
      <c r="BS2827" s="153"/>
      <c r="BT2827" s="153"/>
      <c r="BU2827" s="153"/>
      <c r="BV2827" s="153"/>
      <c r="BW2827" s="153"/>
      <c r="BX2827" s="153"/>
      <c r="BY2827" s="153"/>
      <c r="BZ2827" s="153"/>
      <c r="CA2827" s="152"/>
      <c r="CB2827" s="152"/>
    </row>
    <row r="2828" spans="1:80" s="87" customFormat="1" x14ac:dyDescent="0.2">
      <c r="A2828" s="152"/>
      <c r="B2828" s="683"/>
      <c r="C2828" s="683"/>
      <c r="D2828" s="698"/>
      <c r="E2828" s="215"/>
      <c r="F2828" s="215"/>
      <c r="G2828" s="153"/>
      <c r="H2828" s="153"/>
      <c r="I2828" s="306">
        <v>18</v>
      </c>
      <c r="J2828" s="306">
        <v>30</v>
      </c>
      <c r="K2828" s="150">
        <v>1</v>
      </c>
      <c r="L2828" s="656">
        <v>9</v>
      </c>
      <c r="M2828" s="663">
        <v>31952</v>
      </c>
      <c r="N2828" s="600">
        <v>1.2712399999999999</v>
      </c>
      <c r="O2828" s="604">
        <v>2.7399999999999999E-4</v>
      </c>
      <c r="P2828" s="150"/>
      <c r="Q2828" s="250"/>
      <c r="R2828" s="250"/>
      <c r="S2828" s="250"/>
      <c r="T2828" s="250"/>
      <c r="U2828" s="250"/>
      <c r="V2828" s="250"/>
      <c r="W2828" s="250"/>
      <c r="X2828" s="250"/>
      <c r="Y2828" s="250"/>
      <c r="Z2828" s="150"/>
      <c r="AA2828" s="223">
        <v>1.1747471222833672</v>
      </c>
      <c r="AB2828" s="152"/>
      <c r="AC2828" s="152"/>
      <c r="AD2828" s="223">
        <v>9.7532800000000002</v>
      </c>
      <c r="AE2828" s="223">
        <v>0.19201770000000001</v>
      </c>
      <c r="AF2828" s="223">
        <v>1.85788</v>
      </c>
      <c r="AG2828" s="223">
        <v>0.63701110000000005</v>
      </c>
      <c r="AH2828" s="341"/>
      <c r="AI2828" s="218"/>
      <c r="AJ2828" s="218"/>
      <c r="AK2828" s="153"/>
      <c r="AL2828" s="152"/>
      <c r="AM2828" s="152"/>
      <c r="AN2828" s="152"/>
      <c r="AO2828" s="152"/>
      <c r="AP2828" s="152"/>
      <c r="AQ2828" s="152"/>
      <c r="AR2828" s="152"/>
      <c r="AS2828" s="152"/>
      <c r="AT2828" s="152"/>
      <c r="AU2828" s="153"/>
      <c r="AV2828" s="479"/>
      <c r="AW2828" s="479"/>
      <c r="AX2828" s="442"/>
      <c r="AY2828" s="153"/>
      <c r="AZ2828" s="152"/>
      <c r="BA2828" s="152"/>
      <c r="BB2828" s="152"/>
      <c r="BC2828" s="152"/>
      <c r="BD2828" s="152"/>
      <c r="BE2828" s="152"/>
      <c r="BF2828" s="152"/>
      <c r="BG2828" s="152"/>
      <c r="BH2828" s="152"/>
      <c r="BI2828" s="153"/>
      <c r="BJ2828" s="153"/>
      <c r="BK2828" s="153"/>
      <c r="BL2828" s="153"/>
      <c r="BM2828" s="153"/>
      <c r="BN2828" s="153"/>
      <c r="BO2828" s="153"/>
      <c r="BP2828" s="153"/>
      <c r="BQ2828" s="153"/>
      <c r="BR2828" s="153"/>
      <c r="BS2828" s="153"/>
      <c r="BT2828" s="153"/>
      <c r="BU2828" s="153"/>
      <c r="BV2828" s="153"/>
      <c r="BW2828" s="153"/>
      <c r="BX2828" s="153"/>
      <c r="BY2828" s="153"/>
      <c r="BZ2828" s="153"/>
      <c r="CA2828" s="152"/>
      <c r="CB2828" s="152"/>
    </row>
    <row r="2829" spans="1:80" s="87" customFormat="1" x14ac:dyDescent="0.2">
      <c r="A2829" s="152"/>
      <c r="B2829" s="683"/>
      <c r="C2829" s="683"/>
      <c r="D2829" s="698"/>
      <c r="E2829" s="215"/>
      <c r="F2829" s="215"/>
      <c r="G2829" s="153"/>
      <c r="H2829" s="153"/>
      <c r="I2829" s="306">
        <v>13</v>
      </c>
      <c r="J2829" s="306">
        <v>30</v>
      </c>
      <c r="K2829" s="150">
        <v>1</v>
      </c>
      <c r="L2829" s="656">
        <v>6.5</v>
      </c>
      <c r="M2829" s="663">
        <v>32009</v>
      </c>
      <c r="N2829" s="600">
        <v>0.34825</v>
      </c>
      <c r="O2829" s="604">
        <v>9.0899999999999998E-4</v>
      </c>
      <c r="P2829" s="150"/>
      <c r="Q2829" s="250"/>
      <c r="R2829" s="250"/>
      <c r="S2829" s="250"/>
      <c r="T2829" s="250"/>
      <c r="U2829" s="250"/>
      <c r="V2829" s="250"/>
      <c r="W2829" s="250"/>
      <c r="X2829" s="250"/>
      <c r="Y2829" s="250"/>
      <c r="Z2829" s="150"/>
      <c r="AA2829" s="223">
        <v>2.1083887084413928</v>
      </c>
      <c r="AB2829" s="152"/>
      <c r="AC2829" s="152"/>
      <c r="AD2829" s="223">
        <v>7.9245400000000004</v>
      </c>
      <c r="AE2829" s="223">
        <v>0.10667649999999999</v>
      </c>
      <c r="AF2829" s="223">
        <v>0.84533539999999996</v>
      </c>
      <c r="AG2829" s="223">
        <v>0.4175623</v>
      </c>
      <c r="AH2829" s="341"/>
      <c r="AI2829" s="218"/>
      <c r="AJ2829" s="218"/>
      <c r="AK2829" s="153"/>
      <c r="AL2829" s="152"/>
      <c r="AM2829" s="152"/>
      <c r="AN2829" s="152"/>
      <c r="AO2829" s="152"/>
      <c r="AP2829" s="152"/>
      <c r="AQ2829" s="152"/>
      <c r="AR2829" s="152"/>
      <c r="AS2829" s="152"/>
      <c r="AT2829" s="152"/>
      <c r="AU2829" s="153"/>
      <c r="AV2829" s="479"/>
      <c r="AW2829" s="479"/>
      <c r="AX2829" s="442"/>
      <c r="AY2829" s="153"/>
      <c r="AZ2829" s="152"/>
      <c r="BA2829" s="152"/>
      <c r="BB2829" s="152"/>
      <c r="BC2829" s="152"/>
      <c r="BD2829" s="152"/>
      <c r="BE2829" s="152"/>
      <c r="BF2829" s="152"/>
      <c r="BG2829" s="152"/>
      <c r="BH2829" s="152"/>
      <c r="BI2829" s="153"/>
      <c r="BJ2829" s="153"/>
      <c r="BK2829" s="153"/>
      <c r="BL2829" s="153"/>
      <c r="BM2829" s="153"/>
      <c r="BN2829" s="153"/>
      <c r="BO2829" s="153"/>
      <c r="BP2829" s="153"/>
      <c r="BQ2829" s="153"/>
      <c r="BR2829" s="153"/>
      <c r="BS2829" s="153"/>
      <c r="BT2829" s="153"/>
      <c r="BU2829" s="153"/>
      <c r="BV2829" s="153"/>
      <c r="BW2829" s="153"/>
      <c r="BX2829" s="153"/>
      <c r="BY2829" s="153"/>
      <c r="BZ2829" s="153"/>
      <c r="CA2829" s="152"/>
      <c r="CB2829" s="152"/>
    </row>
    <row r="2830" spans="1:80" s="87" customFormat="1" x14ac:dyDescent="0.2">
      <c r="A2830" s="152"/>
      <c r="B2830" s="683"/>
      <c r="C2830" s="683"/>
      <c r="D2830" s="698"/>
      <c r="E2830" s="215"/>
      <c r="F2830" s="215"/>
      <c r="G2830" s="153"/>
      <c r="H2830" s="153"/>
      <c r="I2830" s="306">
        <v>11</v>
      </c>
      <c r="J2830" s="306">
        <v>30</v>
      </c>
      <c r="K2830" s="150">
        <v>1</v>
      </c>
      <c r="L2830" s="656">
        <v>5.5</v>
      </c>
      <c r="M2830" s="663">
        <v>32247</v>
      </c>
      <c r="N2830" s="600">
        <v>4.6149699999999996</v>
      </c>
      <c r="O2830" s="604">
        <v>6.8957000000000004E-2</v>
      </c>
      <c r="P2830" s="150"/>
      <c r="Q2830" s="250"/>
      <c r="R2830" s="250"/>
      <c r="S2830" s="250"/>
      <c r="T2830" s="250"/>
      <c r="U2830" s="250"/>
      <c r="V2830" s="250"/>
      <c r="W2830" s="250"/>
      <c r="X2830" s="250"/>
      <c r="Y2830" s="250"/>
      <c r="Z2830" s="150"/>
      <c r="AA2830" s="223">
        <v>1.7824041432848852</v>
      </c>
      <c r="AB2830" s="152"/>
      <c r="AC2830" s="152"/>
      <c r="AD2830" s="223">
        <v>10.66765</v>
      </c>
      <c r="AE2830" s="223">
        <v>0.42670599999999997</v>
      </c>
      <c r="AF2830" s="223">
        <v>4.551806</v>
      </c>
      <c r="AG2830" s="223">
        <v>1.0027591</v>
      </c>
      <c r="AH2830" s="341"/>
      <c r="AI2830" s="218"/>
      <c r="AJ2830" s="218"/>
      <c r="AK2830" s="153"/>
      <c r="AL2830" s="152"/>
      <c r="AM2830" s="152"/>
      <c r="AN2830" s="152"/>
      <c r="AO2830" s="152"/>
      <c r="AP2830" s="152"/>
      <c r="AQ2830" s="152"/>
      <c r="AR2830" s="152"/>
      <c r="AS2830" s="152"/>
      <c r="AT2830" s="152"/>
      <c r="AU2830" s="153"/>
      <c r="AV2830" s="479"/>
      <c r="AW2830" s="479"/>
      <c r="AX2830" s="442"/>
      <c r="AY2830" s="153"/>
      <c r="AZ2830" s="152"/>
      <c r="BA2830" s="152"/>
      <c r="BB2830" s="152"/>
      <c r="BC2830" s="152"/>
      <c r="BD2830" s="152"/>
      <c r="BE2830" s="152"/>
      <c r="BF2830" s="152"/>
      <c r="BG2830" s="152"/>
      <c r="BH2830" s="152"/>
      <c r="BI2830" s="153"/>
      <c r="BJ2830" s="153"/>
      <c r="BK2830" s="153"/>
      <c r="BL2830" s="153"/>
      <c r="BM2830" s="153"/>
      <c r="BN2830" s="153"/>
      <c r="BO2830" s="153"/>
      <c r="BP2830" s="153"/>
      <c r="BQ2830" s="153"/>
      <c r="BR2830" s="153"/>
      <c r="BS2830" s="153"/>
      <c r="BT2830" s="153"/>
      <c r="BU2830" s="153"/>
      <c r="BV2830" s="153"/>
      <c r="BW2830" s="153"/>
      <c r="BX2830" s="153"/>
      <c r="BY2830" s="153"/>
      <c r="BZ2830" s="153"/>
      <c r="CA2830" s="152"/>
      <c r="CB2830" s="152"/>
    </row>
    <row r="2831" spans="1:80" s="87" customFormat="1" x14ac:dyDescent="0.2">
      <c r="A2831" s="152"/>
      <c r="B2831" s="683"/>
      <c r="C2831" s="683"/>
      <c r="D2831" s="698"/>
      <c r="E2831" s="215"/>
      <c r="F2831" s="215"/>
      <c r="G2831" s="153"/>
      <c r="H2831" s="153"/>
      <c r="I2831" s="306">
        <v>17</v>
      </c>
      <c r="J2831" s="306">
        <v>30</v>
      </c>
      <c r="K2831" s="150">
        <v>1</v>
      </c>
      <c r="L2831" s="656">
        <v>8.5</v>
      </c>
      <c r="M2831" s="663">
        <v>32260</v>
      </c>
      <c r="N2831" s="600">
        <v>4.7848499999999996</v>
      </c>
      <c r="O2831" s="604">
        <v>7.1896000000000002E-2</v>
      </c>
      <c r="P2831" s="150"/>
      <c r="Q2831" s="250"/>
      <c r="R2831" s="250"/>
      <c r="S2831" s="250"/>
      <c r="T2831" s="250"/>
      <c r="U2831" s="250"/>
      <c r="V2831" s="250"/>
      <c r="W2831" s="250"/>
      <c r="X2831" s="250"/>
      <c r="Y2831" s="250"/>
      <c r="Z2831" s="150"/>
      <c r="AA2831" s="223">
        <v>0.98507779540713247</v>
      </c>
      <c r="AB2831" s="152"/>
      <c r="AC2831" s="152"/>
      <c r="AD2831" s="223">
        <v>9.7532800000000002</v>
      </c>
      <c r="AE2831" s="223">
        <v>0.47547240000000002</v>
      </c>
      <c r="AF2831" s="223">
        <v>4.6447000000000003</v>
      </c>
      <c r="AG2831" s="223">
        <v>1.0301902000000001</v>
      </c>
      <c r="AH2831" s="341"/>
      <c r="AI2831" s="218"/>
      <c r="AJ2831" s="218"/>
      <c r="AK2831" s="153"/>
      <c r="AL2831" s="152"/>
      <c r="AM2831" s="152"/>
      <c r="AN2831" s="152"/>
      <c r="AO2831" s="152"/>
      <c r="AP2831" s="152"/>
      <c r="AQ2831" s="152"/>
      <c r="AR2831" s="152"/>
      <c r="AS2831" s="152"/>
      <c r="AT2831" s="152"/>
      <c r="AU2831" s="153"/>
      <c r="AV2831" s="479"/>
      <c r="AW2831" s="479"/>
      <c r="AX2831" s="442"/>
      <c r="AY2831" s="153"/>
      <c r="AZ2831" s="152"/>
      <c r="BA2831" s="152"/>
      <c r="BB2831" s="152"/>
      <c r="BC2831" s="152"/>
      <c r="BD2831" s="152"/>
      <c r="BE2831" s="152"/>
      <c r="BF2831" s="152"/>
      <c r="BG2831" s="152"/>
      <c r="BH2831" s="152"/>
      <c r="BI2831" s="153"/>
      <c r="BJ2831" s="153"/>
      <c r="BK2831" s="153"/>
      <c r="BL2831" s="153"/>
      <c r="BM2831" s="153"/>
      <c r="BN2831" s="153"/>
      <c r="BO2831" s="153"/>
      <c r="BP2831" s="153"/>
      <c r="BQ2831" s="153"/>
      <c r="BR2831" s="153"/>
      <c r="BS2831" s="153"/>
      <c r="BT2831" s="153"/>
      <c r="BU2831" s="153"/>
      <c r="BV2831" s="153"/>
      <c r="BW2831" s="153"/>
      <c r="BX2831" s="153"/>
      <c r="BY2831" s="153"/>
      <c r="BZ2831" s="153"/>
      <c r="CA2831" s="152"/>
      <c r="CB2831" s="152"/>
    </row>
    <row r="2832" spans="1:80" s="87" customFormat="1" x14ac:dyDescent="0.2">
      <c r="A2832" s="152"/>
      <c r="B2832" s="683"/>
      <c r="C2832" s="683"/>
      <c r="D2832" s="698"/>
      <c r="E2832" s="215"/>
      <c r="F2832" s="215"/>
      <c r="G2832" s="153"/>
      <c r="H2832" s="153"/>
      <c r="I2832" s="306">
        <v>12</v>
      </c>
      <c r="J2832" s="306">
        <v>30</v>
      </c>
      <c r="K2832" s="150">
        <v>1</v>
      </c>
      <c r="L2832" s="656">
        <v>6</v>
      </c>
      <c r="M2832" s="663">
        <v>32268</v>
      </c>
      <c r="N2832" s="600">
        <v>6.0306100000000002</v>
      </c>
      <c r="O2832" s="604">
        <v>4.87E-2</v>
      </c>
      <c r="P2832" s="150"/>
      <c r="Q2832" s="250"/>
      <c r="R2832" s="250"/>
      <c r="S2832" s="250"/>
      <c r="T2832" s="250"/>
      <c r="U2832" s="250"/>
      <c r="V2832" s="250"/>
      <c r="W2832" s="250"/>
      <c r="X2832" s="250"/>
      <c r="Y2832" s="250"/>
      <c r="Z2832" s="150"/>
      <c r="AA2832" s="223">
        <v>1.9504932597958582</v>
      </c>
      <c r="AB2832" s="152"/>
      <c r="AC2832" s="152"/>
      <c r="AD2832" s="223">
        <v>10.972440000000001</v>
      </c>
      <c r="AE2832" s="223">
        <v>0.49680770000000002</v>
      </c>
      <c r="AF2832" s="223">
        <v>5.4342990000000002</v>
      </c>
      <c r="AG2832" s="223">
        <v>1.1033398000000001</v>
      </c>
      <c r="AH2832" s="341"/>
      <c r="AI2832" s="218"/>
      <c r="AJ2832" s="218"/>
      <c r="AK2832" s="153"/>
      <c r="AL2832" s="152"/>
      <c r="AM2832" s="152"/>
      <c r="AN2832" s="152"/>
      <c r="AO2832" s="152"/>
      <c r="AP2832" s="152"/>
      <c r="AQ2832" s="152"/>
      <c r="AR2832" s="152"/>
      <c r="AS2832" s="152"/>
      <c r="AT2832" s="152"/>
      <c r="AU2832" s="153"/>
      <c r="AV2832" s="479"/>
      <c r="AW2832" s="479"/>
      <c r="AX2832" s="442"/>
      <c r="AY2832" s="153"/>
      <c r="AZ2832" s="152"/>
      <c r="BA2832" s="152"/>
      <c r="BB2832" s="152"/>
      <c r="BC2832" s="152"/>
      <c r="BD2832" s="152"/>
      <c r="BE2832" s="152"/>
      <c r="BF2832" s="152"/>
      <c r="BG2832" s="152"/>
      <c r="BH2832" s="152"/>
      <c r="BI2832" s="153"/>
      <c r="BJ2832" s="153"/>
      <c r="BK2832" s="153"/>
      <c r="BL2832" s="153"/>
      <c r="BM2832" s="153"/>
      <c r="BN2832" s="153"/>
      <c r="BO2832" s="153"/>
      <c r="BP2832" s="153"/>
      <c r="BQ2832" s="153"/>
      <c r="BR2832" s="153"/>
      <c r="BS2832" s="153"/>
      <c r="BT2832" s="153"/>
      <c r="BU2832" s="153"/>
      <c r="BV2832" s="153"/>
      <c r="BW2832" s="153"/>
      <c r="BX2832" s="153"/>
      <c r="BY2832" s="153"/>
      <c r="BZ2832" s="153"/>
      <c r="CA2832" s="152"/>
      <c r="CB2832" s="152"/>
    </row>
    <row r="2833" spans="1:80" s="87" customFormat="1" x14ac:dyDescent="0.2">
      <c r="A2833" s="152"/>
      <c r="B2833" s="683"/>
      <c r="C2833" s="683"/>
      <c r="D2833" s="698"/>
      <c r="E2833" s="215"/>
      <c r="F2833" s="215"/>
      <c r="G2833" s="153"/>
      <c r="H2833" s="153"/>
      <c r="I2833" s="306">
        <v>12</v>
      </c>
      <c r="J2833" s="306">
        <v>30</v>
      </c>
      <c r="K2833" s="150">
        <v>1</v>
      </c>
      <c r="L2833" s="656">
        <v>6</v>
      </c>
      <c r="M2833" s="663">
        <v>32274</v>
      </c>
      <c r="N2833" s="600">
        <v>7.7576799999999997</v>
      </c>
      <c r="O2833" s="604">
        <v>0.16373299999999999</v>
      </c>
      <c r="P2833" s="150"/>
      <c r="Q2833" s="250"/>
      <c r="R2833" s="250"/>
      <c r="S2833" s="250"/>
      <c r="T2833" s="250"/>
      <c r="U2833" s="250"/>
      <c r="V2833" s="250"/>
      <c r="W2833" s="250"/>
      <c r="X2833" s="250"/>
      <c r="Y2833" s="250"/>
      <c r="Z2833" s="150"/>
      <c r="AA2833" s="223">
        <v>1.6931085424598993</v>
      </c>
      <c r="AB2833" s="152"/>
      <c r="AC2833" s="152"/>
      <c r="AD2833" s="223"/>
      <c r="AE2833" s="223"/>
      <c r="AF2833" s="223"/>
      <c r="AG2833" s="223"/>
      <c r="AH2833" s="341"/>
      <c r="AI2833" s="218"/>
      <c r="AJ2833" s="218"/>
      <c r="AK2833" s="153"/>
      <c r="AL2833" s="152"/>
      <c r="AM2833" s="152"/>
      <c r="AN2833" s="152"/>
      <c r="AO2833" s="152"/>
      <c r="AP2833" s="152"/>
      <c r="AQ2833" s="152"/>
      <c r="AR2833" s="152"/>
      <c r="AS2833" s="152"/>
      <c r="AT2833" s="152"/>
      <c r="AU2833" s="153"/>
      <c r="AV2833" s="479"/>
      <c r="AW2833" s="479"/>
      <c r="AX2833" s="442"/>
      <c r="AY2833" s="153"/>
      <c r="AZ2833" s="152"/>
      <c r="BA2833" s="152"/>
      <c r="BB2833" s="152"/>
      <c r="BC2833" s="152"/>
      <c r="BD2833" s="152"/>
      <c r="BE2833" s="152"/>
      <c r="BF2833" s="152"/>
      <c r="BG2833" s="152"/>
      <c r="BH2833" s="152"/>
      <c r="BI2833" s="153"/>
      <c r="BJ2833" s="153"/>
      <c r="BK2833" s="153"/>
      <c r="BL2833" s="153"/>
      <c r="BM2833" s="153"/>
      <c r="BN2833" s="153"/>
      <c r="BO2833" s="153"/>
      <c r="BP2833" s="153"/>
      <c r="BQ2833" s="153"/>
      <c r="BR2833" s="153"/>
      <c r="BS2833" s="153"/>
      <c r="BT2833" s="153"/>
      <c r="BU2833" s="153"/>
      <c r="BV2833" s="153"/>
      <c r="BW2833" s="153"/>
      <c r="BX2833" s="153"/>
      <c r="BY2833" s="153"/>
      <c r="BZ2833" s="153"/>
      <c r="CA2833" s="152"/>
      <c r="CB2833" s="152"/>
    </row>
    <row r="2834" spans="1:80" s="87" customFormat="1" x14ac:dyDescent="0.2">
      <c r="A2834" s="152"/>
      <c r="B2834" s="683"/>
      <c r="C2834" s="683"/>
      <c r="D2834" s="698"/>
      <c r="E2834" s="215"/>
      <c r="F2834" s="215"/>
      <c r="G2834" s="153"/>
      <c r="H2834" s="153"/>
      <c r="I2834" s="306">
        <v>15</v>
      </c>
      <c r="J2834" s="306">
        <v>30</v>
      </c>
      <c r="K2834" s="150">
        <v>1</v>
      </c>
      <c r="L2834" s="656">
        <v>7.5</v>
      </c>
      <c r="M2834" s="663">
        <v>32280</v>
      </c>
      <c r="N2834" s="600">
        <v>9.7395700000000005</v>
      </c>
      <c r="O2834" s="604">
        <v>1.4378999999999999E-2</v>
      </c>
      <c r="P2834" s="150"/>
      <c r="Q2834" s="250"/>
      <c r="R2834" s="250"/>
      <c r="S2834" s="250"/>
      <c r="T2834" s="250"/>
      <c r="U2834" s="250"/>
      <c r="V2834" s="250"/>
      <c r="W2834" s="250"/>
      <c r="X2834" s="250"/>
      <c r="Y2834" s="250"/>
      <c r="Z2834" s="150"/>
      <c r="AA2834" s="223">
        <v>1.184571802156011</v>
      </c>
      <c r="AB2834" s="152"/>
      <c r="AC2834" s="152"/>
      <c r="AD2834" s="223">
        <v>10.36286</v>
      </c>
      <c r="AE2834" s="223">
        <v>0.64615480000000003</v>
      </c>
      <c r="AF2834" s="223">
        <v>6.6976573999999998</v>
      </c>
      <c r="AG2834" s="223">
        <v>1.4599441</v>
      </c>
      <c r="AH2834" s="341"/>
      <c r="AI2834" s="218"/>
      <c r="AJ2834" s="218"/>
      <c r="AK2834" s="153"/>
      <c r="AL2834" s="152"/>
      <c r="AM2834" s="152"/>
      <c r="AN2834" s="152"/>
      <c r="AO2834" s="152"/>
      <c r="AP2834" s="152"/>
      <c r="AQ2834" s="152"/>
      <c r="AR2834" s="152"/>
      <c r="AS2834" s="152"/>
      <c r="AT2834" s="152"/>
      <c r="AU2834" s="153"/>
      <c r="AV2834" s="479"/>
      <c r="AW2834" s="479"/>
      <c r="AX2834" s="442"/>
      <c r="AY2834" s="153"/>
      <c r="AZ2834" s="152"/>
      <c r="BA2834" s="152"/>
      <c r="BB2834" s="152"/>
      <c r="BC2834" s="152"/>
      <c r="BD2834" s="152"/>
      <c r="BE2834" s="152"/>
      <c r="BF2834" s="152"/>
      <c r="BG2834" s="152"/>
      <c r="BH2834" s="152"/>
      <c r="BI2834" s="153"/>
      <c r="BJ2834" s="153"/>
      <c r="BK2834" s="153"/>
      <c r="BL2834" s="153"/>
      <c r="BM2834" s="153"/>
      <c r="BN2834" s="153"/>
      <c r="BO2834" s="153"/>
      <c r="BP2834" s="153"/>
      <c r="BQ2834" s="153"/>
      <c r="BR2834" s="153"/>
      <c r="BS2834" s="153"/>
      <c r="BT2834" s="153"/>
      <c r="BU2834" s="153"/>
      <c r="BV2834" s="153"/>
      <c r="BW2834" s="153"/>
      <c r="BX2834" s="153"/>
      <c r="BY2834" s="153"/>
      <c r="BZ2834" s="153"/>
      <c r="CA2834" s="152"/>
      <c r="CB2834" s="152"/>
    </row>
    <row r="2835" spans="1:80" s="87" customFormat="1" x14ac:dyDescent="0.2">
      <c r="A2835" s="152"/>
      <c r="B2835" s="683"/>
      <c r="C2835" s="683"/>
      <c r="D2835" s="698"/>
      <c r="E2835" s="215"/>
      <c r="F2835" s="215"/>
      <c r="G2835" s="153"/>
      <c r="H2835" s="153"/>
      <c r="I2835" s="306">
        <v>17</v>
      </c>
      <c r="J2835" s="306">
        <v>30</v>
      </c>
      <c r="K2835" s="150">
        <v>1</v>
      </c>
      <c r="L2835" s="656">
        <v>8.5</v>
      </c>
      <c r="M2835" s="663">
        <v>32620</v>
      </c>
      <c r="N2835" s="600">
        <v>8.5221199999999993</v>
      </c>
      <c r="O2835" s="604">
        <v>4.2403000000000003E-2</v>
      </c>
      <c r="P2835" s="150"/>
      <c r="Q2835" s="250"/>
      <c r="R2835" s="250"/>
      <c r="S2835" s="250"/>
      <c r="T2835" s="250"/>
      <c r="U2835" s="250"/>
      <c r="V2835" s="250"/>
      <c r="W2835" s="250"/>
      <c r="X2835" s="250"/>
      <c r="Y2835" s="250"/>
      <c r="Z2835" s="150"/>
      <c r="AA2835" s="223">
        <v>1.0386441373034991</v>
      </c>
      <c r="AB2835" s="152"/>
      <c r="AC2835" s="152"/>
      <c r="AD2835" s="223">
        <v>11.58202</v>
      </c>
      <c r="AE2835" s="223">
        <v>0.57910099999999998</v>
      </c>
      <c r="AF2835" s="223">
        <v>6.7069467999999999</v>
      </c>
      <c r="AG2835" s="223">
        <v>1.2039204999999999</v>
      </c>
      <c r="AH2835" s="341"/>
      <c r="AI2835" s="218"/>
      <c r="AJ2835" s="218"/>
      <c r="AK2835" s="153"/>
      <c r="AL2835" s="152"/>
      <c r="AM2835" s="152"/>
      <c r="AN2835" s="152"/>
      <c r="AO2835" s="152"/>
      <c r="AP2835" s="152"/>
      <c r="AQ2835" s="152"/>
      <c r="AR2835" s="152"/>
      <c r="AS2835" s="152"/>
      <c r="AT2835" s="152"/>
      <c r="AU2835" s="153"/>
      <c r="AV2835" s="479"/>
      <c r="AW2835" s="479"/>
      <c r="AX2835" s="442"/>
      <c r="AY2835" s="153"/>
      <c r="AZ2835" s="152"/>
      <c r="BA2835" s="152"/>
      <c r="BB2835" s="152"/>
      <c r="BC2835" s="152"/>
      <c r="BD2835" s="152"/>
      <c r="BE2835" s="152"/>
      <c r="BF2835" s="152"/>
      <c r="BG2835" s="152"/>
      <c r="BH2835" s="152"/>
      <c r="BI2835" s="153"/>
      <c r="BJ2835" s="153"/>
      <c r="BK2835" s="153"/>
      <c r="BL2835" s="153"/>
      <c r="BM2835" s="153"/>
      <c r="BN2835" s="153"/>
      <c r="BO2835" s="153"/>
      <c r="BP2835" s="153"/>
      <c r="BQ2835" s="153"/>
      <c r="BR2835" s="153"/>
      <c r="BS2835" s="153"/>
      <c r="BT2835" s="153"/>
      <c r="BU2835" s="153"/>
      <c r="BV2835" s="153"/>
      <c r="BW2835" s="153"/>
      <c r="BX2835" s="153"/>
      <c r="BY2835" s="153"/>
      <c r="BZ2835" s="153"/>
      <c r="CA2835" s="152"/>
      <c r="CB2835" s="152"/>
    </row>
    <row r="2836" spans="1:80" s="87" customFormat="1" x14ac:dyDescent="0.2">
      <c r="A2836" s="152"/>
      <c r="B2836" s="683"/>
      <c r="C2836" s="683"/>
      <c r="D2836" s="698"/>
      <c r="E2836" s="215"/>
      <c r="F2836" s="215"/>
      <c r="G2836" s="153"/>
      <c r="H2836" s="153"/>
      <c r="I2836" s="306">
        <v>17</v>
      </c>
      <c r="J2836" s="306">
        <v>30</v>
      </c>
      <c r="K2836" s="150">
        <v>1</v>
      </c>
      <c r="L2836" s="656">
        <v>8.5</v>
      </c>
      <c r="M2836" s="663">
        <v>32625</v>
      </c>
      <c r="N2836" s="600">
        <v>4.6715999999999998</v>
      </c>
      <c r="O2836" s="604">
        <v>3.8309000000000003E-2</v>
      </c>
      <c r="P2836" s="150"/>
      <c r="Q2836" s="250"/>
      <c r="R2836" s="250"/>
      <c r="S2836" s="250"/>
      <c r="T2836" s="250"/>
      <c r="U2836" s="250"/>
      <c r="V2836" s="250"/>
      <c r="W2836" s="250"/>
      <c r="X2836" s="250"/>
      <c r="Y2836" s="250"/>
      <c r="Z2836" s="150"/>
      <c r="AA2836" s="223">
        <v>1.5121866065482172</v>
      </c>
      <c r="AB2836" s="152"/>
      <c r="AC2836" s="152"/>
      <c r="AD2836" s="223">
        <v>11.094355999999999</v>
      </c>
      <c r="AE2836" s="223">
        <v>0.45413710000000002</v>
      </c>
      <c r="AF2836" s="223">
        <v>5.0255653999999996</v>
      </c>
      <c r="AG2836" s="223">
        <v>0.97532799999999997</v>
      </c>
      <c r="AH2836" s="341"/>
      <c r="AI2836" s="218"/>
      <c r="AJ2836" s="218"/>
      <c r="AK2836" s="153"/>
      <c r="AL2836" s="152"/>
      <c r="AM2836" s="152"/>
      <c r="AN2836" s="152"/>
      <c r="AO2836" s="152"/>
      <c r="AP2836" s="152"/>
      <c r="AQ2836" s="152"/>
      <c r="AR2836" s="152"/>
      <c r="AS2836" s="152"/>
      <c r="AT2836" s="152"/>
      <c r="AU2836" s="153"/>
      <c r="AV2836" s="479"/>
      <c r="AW2836" s="479"/>
      <c r="AX2836" s="442"/>
      <c r="AY2836" s="153"/>
      <c r="AZ2836" s="152"/>
      <c r="BA2836" s="152"/>
      <c r="BB2836" s="152"/>
      <c r="BC2836" s="152"/>
      <c r="BD2836" s="152"/>
      <c r="BE2836" s="152"/>
      <c r="BF2836" s="152"/>
      <c r="BG2836" s="152"/>
      <c r="BH2836" s="152"/>
      <c r="BI2836" s="153"/>
      <c r="BJ2836" s="153"/>
      <c r="BK2836" s="153"/>
      <c r="BL2836" s="153"/>
      <c r="BM2836" s="153"/>
      <c r="BN2836" s="153"/>
      <c r="BO2836" s="153"/>
      <c r="BP2836" s="153"/>
      <c r="BQ2836" s="153"/>
      <c r="BR2836" s="153"/>
      <c r="BS2836" s="153"/>
      <c r="BT2836" s="153"/>
      <c r="BU2836" s="153"/>
      <c r="BV2836" s="153"/>
      <c r="BW2836" s="153"/>
      <c r="BX2836" s="153"/>
      <c r="BY2836" s="153"/>
      <c r="BZ2836" s="153"/>
      <c r="CA2836" s="152"/>
      <c r="CB2836" s="152"/>
    </row>
    <row r="2837" spans="1:80" s="87" customFormat="1" x14ac:dyDescent="0.2">
      <c r="A2837" s="152"/>
      <c r="B2837" s="683"/>
      <c r="C2837" s="683"/>
      <c r="D2837" s="698"/>
      <c r="E2837" s="215"/>
      <c r="F2837" s="215"/>
      <c r="G2837" s="153"/>
      <c r="H2837" s="153"/>
      <c r="I2837" s="306">
        <v>16</v>
      </c>
      <c r="J2837" s="306">
        <v>30</v>
      </c>
      <c r="K2837" s="150">
        <v>1</v>
      </c>
      <c r="L2837" s="656">
        <v>8</v>
      </c>
      <c r="M2837" s="663">
        <v>32637</v>
      </c>
      <c r="N2837" s="600">
        <v>9.5413800000000002</v>
      </c>
      <c r="O2837" s="604">
        <v>4.7126000000000001E-2</v>
      </c>
      <c r="P2837" s="150"/>
      <c r="Q2837" s="250"/>
      <c r="R2837" s="250"/>
      <c r="S2837" s="250"/>
      <c r="T2837" s="250"/>
      <c r="U2837" s="250"/>
      <c r="V2837" s="250"/>
      <c r="W2837" s="250"/>
      <c r="X2837" s="250"/>
      <c r="Y2837" s="250"/>
      <c r="Z2837" s="150"/>
      <c r="AA2837" s="223">
        <v>1.4374170370816375</v>
      </c>
      <c r="AB2837" s="152"/>
      <c r="AC2837" s="152"/>
      <c r="AD2837" s="223">
        <v>11.58202</v>
      </c>
      <c r="AE2837" s="223">
        <v>0.63701110000000005</v>
      </c>
      <c r="AF2837" s="223">
        <v>7.3757836000000001</v>
      </c>
      <c r="AG2837" s="223">
        <v>1.2252558</v>
      </c>
      <c r="AH2837" s="341"/>
      <c r="AI2837" s="218"/>
      <c r="AJ2837" s="218"/>
      <c r="AK2837" s="153"/>
      <c r="AL2837" s="152"/>
      <c r="AM2837" s="152"/>
      <c r="AN2837" s="152"/>
      <c r="AO2837" s="152"/>
      <c r="AP2837" s="152"/>
      <c r="AQ2837" s="152"/>
      <c r="AR2837" s="152"/>
      <c r="AS2837" s="152"/>
      <c r="AT2837" s="152"/>
      <c r="AU2837" s="153"/>
      <c r="AV2837" s="479"/>
      <c r="AW2837" s="479"/>
      <c r="AX2837" s="442"/>
      <c r="AY2837" s="153"/>
      <c r="AZ2837" s="152"/>
      <c r="BA2837" s="152"/>
      <c r="BB2837" s="152"/>
      <c r="BC2837" s="152"/>
      <c r="BD2837" s="152"/>
      <c r="BE2837" s="152"/>
      <c r="BF2837" s="152"/>
      <c r="BG2837" s="152"/>
      <c r="BH2837" s="152"/>
      <c r="BI2837" s="153"/>
      <c r="BJ2837" s="153"/>
      <c r="BK2837" s="153"/>
      <c r="BL2837" s="153"/>
      <c r="BM2837" s="153"/>
      <c r="BN2837" s="153"/>
      <c r="BO2837" s="153"/>
      <c r="BP2837" s="153"/>
      <c r="BQ2837" s="153"/>
      <c r="BR2837" s="153"/>
      <c r="BS2837" s="153"/>
      <c r="BT2837" s="153"/>
      <c r="BU2837" s="153"/>
      <c r="BV2837" s="153"/>
      <c r="BW2837" s="153"/>
      <c r="BX2837" s="153"/>
      <c r="BY2837" s="153"/>
      <c r="BZ2837" s="153"/>
      <c r="CA2837" s="152"/>
      <c r="CB2837" s="152"/>
    </row>
    <row r="2838" spans="1:80" s="87" customFormat="1" x14ac:dyDescent="0.2">
      <c r="A2838" s="152"/>
      <c r="B2838" s="683"/>
      <c r="C2838" s="683"/>
      <c r="D2838" s="698"/>
      <c r="E2838" s="215"/>
      <c r="F2838" s="215"/>
      <c r="G2838" s="153"/>
      <c r="H2838" s="153"/>
      <c r="I2838" s="306">
        <v>16</v>
      </c>
      <c r="J2838" s="306">
        <v>30</v>
      </c>
      <c r="K2838" s="150">
        <v>1</v>
      </c>
      <c r="L2838" s="656">
        <v>8</v>
      </c>
      <c r="M2838" s="663">
        <v>32640</v>
      </c>
      <c r="N2838" s="600">
        <v>7.3329899999999997</v>
      </c>
      <c r="O2838" s="604">
        <v>5.3527999999999999E-2</v>
      </c>
      <c r="P2838" s="150"/>
      <c r="Q2838" s="250"/>
      <c r="R2838" s="250"/>
      <c r="S2838" s="250"/>
      <c r="T2838" s="250"/>
      <c r="U2838" s="250"/>
      <c r="V2838" s="250"/>
      <c r="W2838" s="250"/>
      <c r="X2838" s="250"/>
      <c r="Y2838" s="250"/>
      <c r="Z2838" s="150"/>
      <c r="AA2838" s="223">
        <v>1.783031473738681</v>
      </c>
      <c r="AB2838" s="152"/>
      <c r="AC2838" s="152"/>
      <c r="AD2838" s="223">
        <v>11.58202</v>
      </c>
      <c r="AE2838" s="223">
        <v>0.50899930000000004</v>
      </c>
      <c r="AF2838" s="223">
        <v>5.8801902000000004</v>
      </c>
      <c r="AG2838" s="223">
        <v>1.21916</v>
      </c>
      <c r="AH2838" s="341"/>
      <c r="AI2838" s="218"/>
      <c r="AJ2838" s="218"/>
      <c r="AK2838" s="153"/>
      <c r="AL2838" s="152"/>
      <c r="AM2838" s="152"/>
      <c r="AN2838" s="152"/>
      <c r="AO2838" s="152"/>
      <c r="AP2838" s="152"/>
      <c r="AQ2838" s="152"/>
      <c r="AR2838" s="152"/>
      <c r="AS2838" s="152"/>
      <c r="AT2838" s="152"/>
      <c r="AU2838" s="153"/>
      <c r="AV2838" s="479"/>
      <c r="AW2838" s="479"/>
      <c r="AX2838" s="442"/>
      <c r="AY2838" s="153"/>
      <c r="AZ2838" s="152"/>
      <c r="BA2838" s="152"/>
      <c r="BB2838" s="152"/>
      <c r="BC2838" s="152"/>
      <c r="BD2838" s="152"/>
      <c r="BE2838" s="152"/>
      <c r="BF2838" s="152"/>
      <c r="BG2838" s="152"/>
      <c r="BH2838" s="152"/>
      <c r="BI2838" s="153"/>
      <c r="BJ2838" s="153"/>
      <c r="BK2838" s="153"/>
      <c r="BL2838" s="153"/>
      <c r="BM2838" s="153"/>
      <c r="BN2838" s="153"/>
      <c r="BO2838" s="153"/>
      <c r="BP2838" s="153"/>
      <c r="BQ2838" s="153"/>
      <c r="BR2838" s="153"/>
      <c r="BS2838" s="153"/>
      <c r="BT2838" s="153"/>
      <c r="BU2838" s="153"/>
      <c r="BV2838" s="153"/>
      <c r="BW2838" s="153"/>
      <c r="BX2838" s="153"/>
      <c r="BY2838" s="153"/>
      <c r="BZ2838" s="153"/>
      <c r="CA2838" s="152"/>
      <c r="CB2838" s="152"/>
    </row>
    <row r="2839" spans="1:80" s="87" customFormat="1" x14ac:dyDescent="0.2">
      <c r="A2839" s="152"/>
      <c r="B2839" s="683"/>
      <c r="C2839" s="683"/>
      <c r="D2839" s="698"/>
      <c r="E2839" s="215"/>
      <c r="F2839" s="215"/>
      <c r="G2839" s="153"/>
      <c r="H2839" s="153"/>
      <c r="I2839" s="306">
        <v>15</v>
      </c>
      <c r="J2839" s="306">
        <v>30</v>
      </c>
      <c r="K2839" s="150">
        <v>1</v>
      </c>
      <c r="L2839" s="656">
        <v>7.5</v>
      </c>
      <c r="M2839" s="663">
        <v>32653</v>
      </c>
      <c r="N2839" s="600">
        <v>4.7848499999999996</v>
      </c>
      <c r="O2839" s="604">
        <v>2.5714999999999998E-2</v>
      </c>
      <c r="P2839" s="150"/>
      <c r="Q2839" s="250"/>
      <c r="R2839" s="250"/>
      <c r="S2839" s="250"/>
      <c r="T2839" s="250"/>
      <c r="U2839" s="250"/>
      <c r="V2839" s="250"/>
      <c r="W2839" s="250"/>
      <c r="X2839" s="250"/>
      <c r="Y2839" s="250"/>
      <c r="Z2839" s="150"/>
      <c r="AA2839" s="223">
        <v>1.8945487925827627</v>
      </c>
      <c r="AB2839" s="152"/>
      <c r="AC2839" s="152"/>
      <c r="AD2839" s="223">
        <v>10.606692000000001</v>
      </c>
      <c r="AE2839" s="223">
        <v>0.396227</v>
      </c>
      <c r="AF2839" s="223">
        <v>4.2173876000000003</v>
      </c>
      <c r="AG2839" s="223">
        <v>1.127723</v>
      </c>
      <c r="AH2839" s="341"/>
      <c r="AI2839" s="218"/>
      <c r="AJ2839" s="218"/>
      <c r="AK2839" s="153"/>
      <c r="AL2839" s="152"/>
      <c r="AM2839" s="152"/>
      <c r="AN2839" s="152"/>
      <c r="AO2839" s="152"/>
      <c r="AP2839" s="152"/>
      <c r="AQ2839" s="152"/>
      <c r="AR2839" s="152"/>
      <c r="AS2839" s="152"/>
      <c r="AT2839" s="152"/>
      <c r="AU2839" s="153"/>
      <c r="AV2839" s="479"/>
      <c r="AW2839" s="479"/>
      <c r="AX2839" s="442"/>
      <c r="AY2839" s="153"/>
      <c r="AZ2839" s="152"/>
      <c r="BA2839" s="152"/>
      <c r="BB2839" s="152"/>
      <c r="BC2839" s="152"/>
      <c r="BD2839" s="152"/>
      <c r="BE2839" s="152"/>
      <c r="BF2839" s="152"/>
      <c r="BG2839" s="152"/>
      <c r="BH2839" s="152"/>
      <c r="BI2839" s="153"/>
      <c r="BJ2839" s="153"/>
      <c r="BK2839" s="153"/>
      <c r="BL2839" s="153"/>
      <c r="BM2839" s="153"/>
      <c r="BN2839" s="153"/>
      <c r="BO2839" s="153"/>
      <c r="BP2839" s="153"/>
      <c r="BQ2839" s="153"/>
      <c r="BR2839" s="153"/>
      <c r="BS2839" s="153"/>
      <c r="BT2839" s="153"/>
      <c r="BU2839" s="153"/>
      <c r="BV2839" s="153"/>
      <c r="BW2839" s="153"/>
      <c r="BX2839" s="153"/>
      <c r="BY2839" s="153"/>
      <c r="BZ2839" s="153"/>
      <c r="CA2839" s="152"/>
      <c r="CB2839" s="152"/>
    </row>
    <row r="2840" spans="1:80" s="87" customFormat="1" x14ac:dyDescent="0.2">
      <c r="A2840" s="152"/>
      <c r="B2840" s="683"/>
      <c r="C2840" s="683"/>
      <c r="D2840" s="698"/>
      <c r="E2840" s="215"/>
      <c r="F2840" s="215"/>
      <c r="G2840" s="153"/>
      <c r="H2840" s="153"/>
      <c r="I2840" s="306">
        <v>15</v>
      </c>
      <c r="J2840" s="306">
        <v>30</v>
      </c>
      <c r="K2840" s="150">
        <v>1</v>
      </c>
      <c r="L2840" s="656">
        <v>7.5</v>
      </c>
      <c r="M2840" s="663">
        <v>32661</v>
      </c>
      <c r="N2840" s="600">
        <v>5.1529100000000003</v>
      </c>
      <c r="O2840" s="604">
        <v>4.3872000000000001E-2</v>
      </c>
      <c r="P2840" s="150"/>
      <c r="Q2840" s="250"/>
      <c r="R2840" s="250"/>
      <c r="S2840" s="250"/>
      <c r="T2840" s="250"/>
      <c r="U2840" s="250"/>
      <c r="V2840" s="250"/>
      <c r="W2840" s="250"/>
      <c r="X2840" s="250"/>
      <c r="Y2840" s="250"/>
      <c r="Z2840" s="150"/>
      <c r="AA2840" s="223">
        <v>2.0719744962980169</v>
      </c>
      <c r="AB2840" s="152"/>
      <c r="AC2840" s="152"/>
      <c r="AD2840" s="223">
        <v>11.063877</v>
      </c>
      <c r="AE2840" s="223">
        <v>0.41451440000000001</v>
      </c>
      <c r="AF2840" s="223">
        <v>4.5703848000000002</v>
      </c>
      <c r="AG2840" s="223">
        <v>1.127723</v>
      </c>
      <c r="AH2840" s="341"/>
      <c r="AI2840" s="218"/>
      <c r="AJ2840" s="218"/>
      <c r="AK2840" s="153"/>
      <c r="AL2840" s="152"/>
      <c r="AM2840" s="152"/>
      <c r="AN2840" s="152"/>
      <c r="AO2840" s="152"/>
      <c r="AP2840" s="152"/>
      <c r="AQ2840" s="152"/>
      <c r="AR2840" s="152"/>
      <c r="AS2840" s="152"/>
      <c r="AT2840" s="152"/>
      <c r="AU2840" s="153"/>
      <c r="AV2840" s="479"/>
      <c r="AW2840" s="479"/>
      <c r="AX2840" s="442"/>
      <c r="AY2840" s="153"/>
      <c r="AZ2840" s="152"/>
      <c r="BA2840" s="152"/>
      <c r="BB2840" s="152"/>
      <c r="BC2840" s="152"/>
      <c r="BD2840" s="152"/>
      <c r="BE2840" s="152"/>
      <c r="BF2840" s="152"/>
      <c r="BG2840" s="152"/>
      <c r="BH2840" s="152"/>
      <c r="BI2840" s="153"/>
      <c r="BJ2840" s="153"/>
      <c r="BK2840" s="153"/>
      <c r="BL2840" s="153"/>
      <c r="BM2840" s="153"/>
      <c r="BN2840" s="153"/>
      <c r="BO2840" s="153"/>
      <c r="BP2840" s="153"/>
      <c r="BQ2840" s="153"/>
      <c r="BR2840" s="153"/>
      <c r="BS2840" s="153"/>
      <c r="BT2840" s="153"/>
      <c r="BU2840" s="153"/>
      <c r="BV2840" s="153"/>
      <c r="BW2840" s="153"/>
      <c r="BX2840" s="153"/>
      <c r="BY2840" s="153"/>
      <c r="BZ2840" s="153"/>
      <c r="CA2840" s="152"/>
      <c r="CB2840" s="152"/>
    </row>
    <row r="2841" spans="1:80" s="87" customFormat="1" x14ac:dyDescent="0.2">
      <c r="A2841" s="152"/>
      <c r="B2841" s="683"/>
      <c r="C2841" s="683"/>
      <c r="D2841" s="698"/>
      <c r="E2841" s="215"/>
      <c r="F2841" s="215"/>
      <c r="G2841" s="153"/>
      <c r="H2841" s="153"/>
      <c r="I2841" s="306">
        <v>16</v>
      </c>
      <c r="J2841" s="306">
        <v>30</v>
      </c>
      <c r="K2841" s="150">
        <v>1</v>
      </c>
      <c r="L2841" s="656">
        <v>8</v>
      </c>
      <c r="M2841" s="663">
        <v>32668</v>
      </c>
      <c r="N2841" s="600">
        <v>3.5390899999999998</v>
      </c>
      <c r="O2841" s="604">
        <v>4.7549999999999997E-3</v>
      </c>
      <c r="P2841" s="150"/>
      <c r="Q2841" s="250"/>
      <c r="R2841" s="250"/>
      <c r="S2841" s="250"/>
      <c r="T2841" s="250"/>
      <c r="U2841" s="250"/>
      <c r="V2841" s="250"/>
      <c r="W2841" s="250"/>
      <c r="X2841" s="250"/>
      <c r="Y2841" s="250"/>
      <c r="Z2841" s="150"/>
      <c r="AA2841" s="223">
        <v>1.0331543203698557</v>
      </c>
      <c r="AB2841" s="152"/>
      <c r="AC2841" s="152"/>
      <c r="AD2841" s="223">
        <v>10.423818000000001</v>
      </c>
      <c r="AE2841" s="223">
        <v>0.34441270000000002</v>
      </c>
      <c r="AF2841" s="223">
        <v>3.5857084000000001</v>
      </c>
      <c r="AG2841" s="223">
        <v>0.99361540000000004</v>
      </c>
      <c r="AH2841" s="341"/>
      <c r="AI2841" s="218"/>
      <c r="AJ2841" s="218"/>
      <c r="AK2841" s="153"/>
      <c r="AL2841" s="152"/>
      <c r="AM2841" s="152"/>
      <c r="AN2841" s="152"/>
      <c r="AO2841" s="152"/>
      <c r="AP2841" s="152"/>
      <c r="AQ2841" s="152"/>
      <c r="AR2841" s="152"/>
      <c r="AS2841" s="152"/>
      <c r="AT2841" s="152"/>
      <c r="AU2841" s="153"/>
      <c r="AV2841" s="479"/>
      <c r="AW2841" s="479"/>
      <c r="AX2841" s="442"/>
      <c r="AY2841" s="153"/>
      <c r="AZ2841" s="152"/>
      <c r="BA2841" s="152"/>
      <c r="BB2841" s="152"/>
      <c r="BC2841" s="152"/>
      <c r="BD2841" s="152"/>
      <c r="BE2841" s="152"/>
      <c r="BF2841" s="152"/>
      <c r="BG2841" s="152"/>
      <c r="BH2841" s="152"/>
      <c r="BI2841" s="153"/>
      <c r="BJ2841" s="153"/>
      <c r="BK2841" s="153"/>
      <c r="BL2841" s="153"/>
      <c r="BM2841" s="153"/>
      <c r="BN2841" s="153"/>
      <c r="BO2841" s="153"/>
      <c r="BP2841" s="153"/>
      <c r="BQ2841" s="153"/>
      <c r="BR2841" s="153"/>
      <c r="BS2841" s="153"/>
      <c r="BT2841" s="153"/>
      <c r="BU2841" s="153"/>
      <c r="BV2841" s="153"/>
      <c r="BW2841" s="153"/>
      <c r="BX2841" s="153"/>
      <c r="BY2841" s="153"/>
      <c r="BZ2841" s="153"/>
      <c r="CA2841" s="152"/>
      <c r="CB2841" s="152"/>
    </row>
    <row r="2842" spans="1:80" s="87" customFormat="1" x14ac:dyDescent="0.2">
      <c r="A2842" s="152"/>
      <c r="B2842" s="683"/>
      <c r="C2842" s="683"/>
      <c r="D2842" s="698"/>
      <c r="E2842" s="215"/>
      <c r="F2842" s="215"/>
      <c r="G2842" s="153"/>
      <c r="H2842" s="153"/>
      <c r="I2842" s="306">
        <v>13</v>
      </c>
      <c r="J2842" s="306">
        <v>30</v>
      </c>
      <c r="K2842" s="150">
        <v>1</v>
      </c>
      <c r="L2842" s="656">
        <v>6.5</v>
      </c>
      <c r="M2842" s="663">
        <v>32679</v>
      </c>
      <c r="N2842" s="600">
        <v>3.2276500000000001</v>
      </c>
      <c r="O2842" s="604">
        <v>1.8158000000000001E-2</v>
      </c>
      <c r="P2842" s="150"/>
      <c r="Q2842" s="250"/>
      <c r="R2842" s="250"/>
      <c r="S2842" s="250"/>
      <c r="T2842" s="250"/>
      <c r="U2842" s="250"/>
      <c r="V2842" s="250"/>
      <c r="W2842" s="250"/>
      <c r="X2842" s="250"/>
      <c r="Y2842" s="250"/>
      <c r="Z2842" s="150"/>
      <c r="AA2842" s="223">
        <v>1.9044916187473049</v>
      </c>
      <c r="AB2842" s="152"/>
      <c r="AC2842" s="152"/>
      <c r="AD2842" s="223">
        <v>10.454297</v>
      </c>
      <c r="AE2842" s="223">
        <v>0.31393369999999998</v>
      </c>
      <c r="AF2842" s="223">
        <v>3.2977370000000001</v>
      </c>
      <c r="AG2842" s="223">
        <v>0.97837589999999997</v>
      </c>
      <c r="AH2842" s="341"/>
      <c r="AI2842" s="218"/>
      <c r="AJ2842" s="218"/>
      <c r="AK2842" s="153"/>
      <c r="AL2842" s="152"/>
      <c r="AM2842" s="152"/>
      <c r="AN2842" s="152"/>
      <c r="AO2842" s="152"/>
      <c r="AP2842" s="152"/>
      <c r="AQ2842" s="152"/>
      <c r="AR2842" s="152"/>
      <c r="AS2842" s="152"/>
      <c r="AT2842" s="152"/>
      <c r="AU2842" s="153"/>
      <c r="AV2842" s="479"/>
      <c r="AW2842" s="479"/>
      <c r="AX2842" s="442"/>
      <c r="AY2842" s="153"/>
      <c r="AZ2842" s="152"/>
      <c r="BA2842" s="152"/>
      <c r="BB2842" s="152"/>
      <c r="BC2842" s="152"/>
      <c r="BD2842" s="152"/>
      <c r="BE2842" s="152"/>
      <c r="BF2842" s="152"/>
      <c r="BG2842" s="152"/>
      <c r="BH2842" s="152"/>
      <c r="BI2842" s="153"/>
      <c r="BJ2842" s="153"/>
      <c r="BK2842" s="153"/>
      <c r="BL2842" s="153"/>
      <c r="BM2842" s="153"/>
      <c r="BN2842" s="153"/>
      <c r="BO2842" s="153"/>
      <c r="BP2842" s="153"/>
      <c r="BQ2842" s="153"/>
      <c r="BR2842" s="153"/>
      <c r="BS2842" s="153"/>
      <c r="BT2842" s="153"/>
      <c r="BU2842" s="153"/>
      <c r="BV2842" s="153"/>
      <c r="BW2842" s="153"/>
      <c r="BX2842" s="153"/>
      <c r="BY2842" s="153"/>
      <c r="BZ2842" s="153"/>
      <c r="CA2842" s="152"/>
      <c r="CB2842" s="152"/>
    </row>
    <row r="2843" spans="1:80" s="87" customFormat="1" x14ac:dyDescent="0.2">
      <c r="A2843" s="152"/>
      <c r="B2843" s="683"/>
      <c r="C2843" s="683"/>
      <c r="D2843" s="698"/>
      <c r="E2843" s="215"/>
      <c r="F2843" s="215"/>
      <c r="G2843" s="153"/>
      <c r="H2843" s="153"/>
      <c r="I2843" s="306">
        <v>14</v>
      </c>
      <c r="J2843" s="306">
        <v>30</v>
      </c>
      <c r="K2843" s="150">
        <v>1</v>
      </c>
      <c r="L2843" s="656">
        <v>7</v>
      </c>
      <c r="M2843" s="663">
        <v>32690</v>
      </c>
      <c r="N2843" s="600">
        <v>1.31654</v>
      </c>
      <c r="O2843" s="604">
        <v>2.3830000000000001E-3</v>
      </c>
      <c r="P2843" s="150"/>
      <c r="Q2843" s="250"/>
      <c r="R2843" s="250"/>
      <c r="S2843" s="250"/>
      <c r="T2843" s="250"/>
      <c r="U2843" s="250"/>
      <c r="V2843" s="250"/>
      <c r="W2843" s="250"/>
      <c r="X2843" s="250"/>
      <c r="Y2843" s="250"/>
      <c r="Z2843" s="150"/>
      <c r="AA2843" s="223">
        <v>1.3466176608265885</v>
      </c>
      <c r="AB2843" s="152"/>
      <c r="AC2843" s="152"/>
      <c r="AD2843" s="223">
        <v>9.1741790000000005</v>
      </c>
      <c r="AE2843" s="223">
        <v>0.23773620000000001</v>
      </c>
      <c r="AF2843" s="223">
        <v>2.1830090000000002</v>
      </c>
      <c r="AG2843" s="223">
        <v>0.60348420000000003</v>
      </c>
      <c r="AH2843" s="341"/>
      <c r="AI2843" s="218"/>
      <c r="AJ2843" s="218"/>
      <c r="AK2843" s="153"/>
      <c r="AL2843" s="152"/>
      <c r="AM2843" s="152"/>
      <c r="AN2843" s="152"/>
      <c r="AO2843" s="152"/>
      <c r="AP2843" s="152"/>
      <c r="AQ2843" s="152"/>
      <c r="AR2843" s="152"/>
      <c r="AS2843" s="152"/>
      <c r="AT2843" s="152"/>
      <c r="AU2843" s="153"/>
      <c r="AV2843" s="479"/>
      <c r="AW2843" s="479"/>
      <c r="AX2843" s="442"/>
      <c r="AY2843" s="153"/>
      <c r="AZ2843" s="152"/>
      <c r="BA2843" s="152"/>
      <c r="BB2843" s="152"/>
      <c r="BC2843" s="152"/>
      <c r="BD2843" s="152"/>
      <c r="BE2843" s="152"/>
      <c r="BF2843" s="152"/>
      <c r="BG2843" s="152"/>
      <c r="BH2843" s="152"/>
      <c r="BI2843" s="153"/>
      <c r="BJ2843" s="153"/>
      <c r="BK2843" s="153"/>
      <c r="BL2843" s="153"/>
      <c r="BM2843" s="153"/>
      <c r="BN2843" s="153"/>
      <c r="BO2843" s="153"/>
      <c r="BP2843" s="153"/>
      <c r="BQ2843" s="153"/>
      <c r="BR2843" s="153"/>
      <c r="BS2843" s="153"/>
      <c r="BT2843" s="153"/>
      <c r="BU2843" s="153"/>
      <c r="BV2843" s="153"/>
      <c r="BW2843" s="153"/>
      <c r="BX2843" s="153"/>
      <c r="BY2843" s="153"/>
      <c r="BZ2843" s="153"/>
      <c r="CA2843" s="152"/>
      <c r="CB2843" s="152"/>
    </row>
    <row r="2844" spans="1:80" s="87" customFormat="1" x14ac:dyDescent="0.2">
      <c r="A2844" s="152"/>
      <c r="B2844" s="683"/>
      <c r="C2844" s="683"/>
      <c r="D2844" s="698"/>
      <c r="E2844" s="215"/>
      <c r="F2844" s="215"/>
      <c r="G2844" s="153"/>
      <c r="H2844" s="153"/>
      <c r="I2844" s="306">
        <v>14</v>
      </c>
      <c r="J2844" s="306">
        <v>30</v>
      </c>
      <c r="K2844" s="150">
        <v>1</v>
      </c>
      <c r="L2844" s="656">
        <v>7</v>
      </c>
      <c r="M2844" s="663">
        <v>32699</v>
      </c>
      <c r="N2844" s="600">
        <v>0.92583000000000004</v>
      </c>
      <c r="O2844" s="604">
        <v>2.2900000000000001E-4</v>
      </c>
      <c r="P2844" s="150"/>
      <c r="Q2844" s="250"/>
      <c r="R2844" s="250"/>
      <c r="S2844" s="250"/>
      <c r="T2844" s="250"/>
      <c r="U2844" s="250"/>
      <c r="V2844" s="250"/>
      <c r="W2844" s="250"/>
      <c r="X2844" s="250"/>
      <c r="Y2844" s="250"/>
      <c r="Z2844" s="150"/>
      <c r="AA2844" s="223">
        <v>0.76684764271034622</v>
      </c>
      <c r="AB2844" s="152"/>
      <c r="AC2844" s="152"/>
      <c r="AD2844" s="223">
        <v>8.9608260000000008</v>
      </c>
      <c r="AE2844" s="223">
        <v>0.19506560000000001</v>
      </c>
      <c r="AF2844" s="223">
        <v>1.7371178</v>
      </c>
      <c r="AG2844" s="223">
        <v>0.53947829999999997</v>
      </c>
      <c r="AH2844" s="341"/>
      <c r="AI2844" s="218"/>
      <c r="AJ2844" s="218"/>
      <c r="AK2844" s="153"/>
      <c r="AL2844" s="152"/>
      <c r="AM2844" s="152"/>
      <c r="AN2844" s="152"/>
      <c r="AO2844" s="152"/>
      <c r="AP2844" s="152"/>
      <c r="AQ2844" s="152"/>
      <c r="AR2844" s="152"/>
      <c r="AS2844" s="152"/>
      <c r="AT2844" s="152"/>
      <c r="AU2844" s="153"/>
      <c r="AV2844" s="479"/>
      <c r="AW2844" s="479"/>
      <c r="AX2844" s="442"/>
      <c r="AY2844" s="153"/>
      <c r="AZ2844" s="152"/>
      <c r="BA2844" s="152"/>
      <c r="BB2844" s="152"/>
      <c r="BC2844" s="152"/>
      <c r="BD2844" s="152"/>
      <c r="BE2844" s="152"/>
      <c r="BF2844" s="152"/>
      <c r="BG2844" s="152"/>
      <c r="BH2844" s="152"/>
      <c r="BI2844" s="153"/>
      <c r="BJ2844" s="153"/>
      <c r="BK2844" s="153"/>
      <c r="BL2844" s="153"/>
      <c r="BM2844" s="153"/>
      <c r="BN2844" s="153"/>
      <c r="BO2844" s="153"/>
      <c r="BP2844" s="153"/>
      <c r="BQ2844" s="153"/>
      <c r="BR2844" s="153"/>
      <c r="BS2844" s="153"/>
      <c r="BT2844" s="153"/>
      <c r="BU2844" s="153"/>
      <c r="BV2844" s="153"/>
      <c r="BW2844" s="153"/>
      <c r="BX2844" s="153"/>
      <c r="BY2844" s="153"/>
      <c r="BZ2844" s="153"/>
      <c r="CA2844" s="152"/>
      <c r="CB2844" s="152"/>
    </row>
    <row r="2845" spans="1:80" s="87" customFormat="1" x14ac:dyDescent="0.2">
      <c r="A2845" s="152"/>
      <c r="B2845" s="683"/>
      <c r="C2845" s="683"/>
      <c r="D2845" s="698"/>
      <c r="E2845" s="215"/>
      <c r="F2845" s="215"/>
      <c r="G2845" s="153"/>
      <c r="H2845" s="153"/>
      <c r="I2845" s="306">
        <v>14</v>
      </c>
      <c r="J2845" s="306">
        <v>30</v>
      </c>
      <c r="K2845" s="150">
        <v>1</v>
      </c>
      <c r="L2845" s="656">
        <v>7</v>
      </c>
      <c r="M2845" s="663">
        <v>32729</v>
      </c>
      <c r="N2845" s="600">
        <v>0.72197</v>
      </c>
      <c r="O2845" s="604">
        <v>1.63E-4</v>
      </c>
      <c r="P2845" s="150"/>
      <c r="Q2845" s="250"/>
      <c r="R2845" s="250"/>
      <c r="S2845" s="250"/>
      <c r="T2845" s="250"/>
      <c r="U2845" s="250"/>
      <c r="V2845" s="250"/>
      <c r="W2845" s="250"/>
      <c r="X2845" s="250"/>
      <c r="Y2845" s="250"/>
      <c r="Z2845" s="150"/>
      <c r="AA2845" s="223">
        <v>0.57678579668368524</v>
      </c>
      <c r="AB2845" s="152"/>
      <c r="AC2845" s="152"/>
      <c r="AD2845" s="223">
        <v>9.0827419999999996</v>
      </c>
      <c r="AE2845" s="223">
        <v>0.16153870000000001</v>
      </c>
      <c r="AF2845" s="223">
        <v>1.4677252000000001</v>
      </c>
      <c r="AG2845" s="223">
        <v>0.49071189999999998</v>
      </c>
      <c r="AH2845" s="341"/>
      <c r="AI2845" s="218"/>
      <c r="AJ2845" s="218"/>
      <c r="AK2845" s="153"/>
      <c r="AL2845" s="152"/>
      <c r="AM2845" s="152"/>
      <c r="AN2845" s="152"/>
      <c r="AO2845" s="152"/>
      <c r="AP2845" s="152"/>
      <c r="AQ2845" s="152"/>
      <c r="AR2845" s="152"/>
      <c r="AS2845" s="152"/>
      <c r="AT2845" s="152"/>
      <c r="AU2845" s="153"/>
      <c r="AV2845" s="479"/>
      <c r="AW2845" s="479"/>
      <c r="AX2845" s="442"/>
      <c r="AY2845" s="153"/>
      <c r="AZ2845" s="152"/>
      <c r="BA2845" s="152"/>
      <c r="BB2845" s="152"/>
      <c r="BC2845" s="152"/>
      <c r="BD2845" s="152"/>
      <c r="BE2845" s="152"/>
      <c r="BF2845" s="152"/>
      <c r="BG2845" s="152"/>
      <c r="BH2845" s="152"/>
      <c r="BI2845" s="153"/>
      <c r="BJ2845" s="153"/>
      <c r="BK2845" s="153"/>
      <c r="BL2845" s="153"/>
      <c r="BM2845" s="153"/>
      <c r="BN2845" s="153"/>
      <c r="BO2845" s="153"/>
      <c r="BP2845" s="153"/>
      <c r="BQ2845" s="153"/>
      <c r="BR2845" s="153"/>
      <c r="BS2845" s="153"/>
      <c r="BT2845" s="153"/>
      <c r="BU2845" s="153"/>
      <c r="BV2845" s="153"/>
      <c r="BW2845" s="153"/>
      <c r="BX2845" s="153"/>
      <c r="BY2845" s="153"/>
      <c r="BZ2845" s="153"/>
      <c r="CA2845" s="152"/>
      <c r="CB2845" s="152"/>
    </row>
    <row r="2846" spans="1:80" s="87" customFormat="1" x14ac:dyDescent="0.2">
      <c r="A2846" s="152"/>
      <c r="B2846" s="683"/>
      <c r="C2846" s="683"/>
      <c r="D2846" s="698"/>
      <c r="E2846" s="215"/>
      <c r="F2846" s="215"/>
      <c r="G2846" s="153"/>
      <c r="H2846" s="153"/>
      <c r="I2846" s="306">
        <v>13</v>
      </c>
      <c r="J2846" s="306">
        <v>30</v>
      </c>
      <c r="K2846" s="150">
        <v>1</v>
      </c>
      <c r="L2846" s="656">
        <v>6.5</v>
      </c>
      <c r="M2846" s="663">
        <v>32743</v>
      </c>
      <c r="N2846" s="600">
        <v>1.0249200000000001</v>
      </c>
      <c r="O2846" s="604">
        <v>1.0709999999999999E-3</v>
      </c>
      <c r="P2846" s="150"/>
      <c r="Q2846" s="250"/>
      <c r="R2846" s="250"/>
      <c r="S2846" s="250"/>
      <c r="T2846" s="250"/>
      <c r="U2846" s="250"/>
      <c r="V2846" s="250"/>
      <c r="W2846" s="250"/>
      <c r="X2846" s="250"/>
      <c r="Y2846" s="250"/>
      <c r="Z2846" s="150"/>
      <c r="AA2846" s="223">
        <v>2.016875265922073</v>
      </c>
      <c r="AB2846" s="152"/>
      <c r="AC2846" s="152"/>
      <c r="AD2846" s="223">
        <v>9.1741790000000005</v>
      </c>
      <c r="AE2846" s="223">
        <v>0.21335299999999999</v>
      </c>
      <c r="AF2846" s="223">
        <v>1.9693528</v>
      </c>
      <c r="AG2846" s="223">
        <v>0.54862200000000005</v>
      </c>
      <c r="AH2846" s="341"/>
      <c r="AI2846" s="218"/>
      <c r="AJ2846" s="218"/>
      <c r="AK2846" s="153"/>
      <c r="AL2846" s="152"/>
      <c r="AM2846" s="152"/>
      <c r="AN2846" s="152"/>
      <c r="AO2846" s="152"/>
      <c r="AP2846" s="152"/>
      <c r="AQ2846" s="152"/>
      <c r="AR2846" s="152"/>
      <c r="AS2846" s="152"/>
      <c r="AT2846" s="152"/>
      <c r="AU2846" s="153"/>
      <c r="AV2846" s="479"/>
      <c r="AW2846" s="479"/>
      <c r="AX2846" s="442"/>
      <c r="AY2846" s="153"/>
      <c r="AZ2846" s="152"/>
      <c r="BA2846" s="152"/>
      <c r="BB2846" s="152"/>
      <c r="BC2846" s="152"/>
      <c r="BD2846" s="152"/>
      <c r="BE2846" s="152"/>
      <c r="BF2846" s="152"/>
      <c r="BG2846" s="152"/>
      <c r="BH2846" s="152"/>
      <c r="BI2846" s="153"/>
      <c r="BJ2846" s="153"/>
      <c r="BK2846" s="153"/>
      <c r="BL2846" s="153"/>
      <c r="BM2846" s="153"/>
      <c r="BN2846" s="153"/>
      <c r="BO2846" s="153"/>
      <c r="BP2846" s="153"/>
      <c r="BQ2846" s="153"/>
      <c r="BR2846" s="153"/>
      <c r="BS2846" s="153"/>
      <c r="BT2846" s="153"/>
      <c r="BU2846" s="153"/>
      <c r="BV2846" s="153"/>
      <c r="BW2846" s="153"/>
      <c r="BX2846" s="153"/>
      <c r="BY2846" s="153"/>
      <c r="BZ2846" s="153"/>
      <c r="CA2846" s="152"/>
      <c r="CB2846" s="152"/>
    </row>
    <row r="2847" spans="1:80" s="87" customFormat="1" x14ac:dyDescent="0.2">
      <c r="A2847" s="152"/>
      <c r="B2847" s="683"/>
      <c r="C2847" s="683"/>
      <c r="D2847" s="698"/>
      <c r="E2847" s="215"/>
      <c r="F2847" s="215"/>
      <c r="G2847" s="153"/>
      <c r="H2847" s="153"/>
      <c r="I2847" s="306">
        <v>29</v>
      </c>
      <c r="J2847" s="306">
        <v>30</v>
      </c>
      <c r="K2847" s="150">
        <v>1</v>
      </c>
      <c r="L2847" s="656">
        <v>14.5</v>
      </c>
      <c r="M2847" s="663">
        <v>32968</v>
      </c>
      <c r="N2847" s="600">
        <v>3.5107699999999999</v>
      </c>
      <c r="O2847" s="604">
        <v>2.0885999999999998E-2</v>
      </c>
      <c r="P2847" s="150"/>
      <c r="Q2847" s="250"/>
      <c r="R2847" s="250"/>
      <c r="S2847" s="250"/>
      <c r="T2847" s="250"/>
      <c r="U2847" s="250"/>
      <c r="V2847" s="250"/>
      <c r="W2847" s="250"/>
      <c r="X2847" s="250"/>
      <c r="Y2847" s="250"/>
      <c r="Z2847" s="150"/>
      <c r="AA2847" s="223">
        <v>1.5164352861830661</v>
      </c>
      <c r="AB2847" s="152"/>
      <c r="AC2847" s="152"/>
      <c r="AD2847" s="223">
        <v>9.6618429999999993</v>
      </c>
      <c r="AE2847" s="223">
        <v>0.36879590000000001</v>
      </c>
      <c r="AF2847" s="223">
        <v>3.576419</v>
      </c>
      <c r="AG2847" s="223">
        <v>0.97228009999999998</v>
      </c>
      <c r="AH2847" s="341"/>
      <c r="AI2847" s="218"/>
      <c r="AJ2847" s="218"/>
      <c r="AK2847" s="153"/>
      <c r="AL2847" s="152"/>
      <c r="AM2847" s="152"/>
      <c r="AN2847" s="152"/>
      <c r="AO2847" s="152"/>
      <c r="AP2847" s="152"/>
      <c r="AQ2847" s="152"/>
      <c r="AR2847" s="152"/>
      <c r="AS2847" s="152"/>
      <c r="AT2847" s="152"/>
      <c r="AU2847" s="153"/>
      <c r="AV2847" s="479"/>
      <c r="AW2847" s="479"/>
      <c r="AX2847" s="442"/>
      <c r="AY2847" s="153"/>
      <c r="AZ2847" s="152"/>
      <c r="BA2847" s="152"/>
      <c r="BB2847" s="152"/>
      <c r="BC2847" s="152"/>
      <c r="BD2847" s="152"/>
      <c r="BE2847" s="152"/>
      <c r="BF2847" s="152"/>
      <c r="BG2847" s="152"/>
      <c r="BH2847" s="152"/>
      <c r="BI2847" s="153"/>
      <c r="BJ2847" s="153"/>
      <c r="BK2847" s="153"/>
      <c r="BL2847" s="153"/>
      <c r="BM2847" s="153"/>
      <c r="BN2847" s="153"/>
      <c r="BO2847" s="153"/>
      <c r="BP2847" s="153"/>
      <c r="BQ2847" s="153"/>
      <c r="BR2847" s="153"/>
      <c r="BS2847" s="153"/>
      <c r="BT2847" s="153"/>
      <c r="BU2847" s="153"/>
      <c r="BV2847" s="153"/>
      <c r="BW2847" s="153"/>
      <c r="BX2847" s="153"/>
      <c r="BY2847" s="153"/>
      <c r="BZ2847" s="153"/>
      <c r="CA2847" s="152"/>
      <c r="CB2847" s="152"/>
    </row>
    <row r="2848" spans="1:80" s="87" customFormat="1" x14ac:dyDescent="0.2">
      <c r="A2848" s="152"/>
      <c r="B2848" s="683"/>
      <c r="C2848" s="683"/>
      <c r="D2848" s="698"/>
      <c r="E2848" s="215"/>
      <c r="F2848" s="215"/>
      <c r="G2848" s="153"/>
      <c r="H2848" s="153"/>
      <c r="I2848" s="306">
        <v>32</v>
      </c>
      <c r="J2848" s="306">
        <v>30</v>
      </c>
      <c r="K2848" s="150">
        <v>1</v>
      </c>
      <c r="L2848" s="656">
        <v>16</v>
      </c>
      <c r="M2848" s="663">
        <v>33000</v>
      </c>
      <c r="N2848" s="600">
        <v>4.4734100000000003</v>
      </c>
      <c r="O2848" s="604">
        <v>4.3451999999999998E-2</v>
      </c>
      <c r="P2848" s="150"/>
      <c r="Q2848" s="250"/>
      <c r="R2848" s="250"/>
      <c r="S2848" s="250"/>
      <c r="T2848" s="250"/>
      <c r="U2848" s="250"/>
      <c r="V2848" s="250"/>
      <c r="W2848" s="250"/>
      <c r="X2848" s="250"/>
      <c r="Y2848" s="250"/>
      <c r="Z2848" s="150"/>
      <c r="AA2848" s="223">
        <v>5.2793993325030675</v>
      </c>
      <c r="AB2848" s="152"/>
      <c r="AC2848" s="152"/>
      <c r="AD2848" s="223">
        <v>10.484776</v>
      </c>
      <c r="AE2848" s="223">
        <v>0.37489169999999999</v>
      </c>
      <c r="AF2848" s="223">
        <v>3.9294161999999999</v>
      </c>
      <c r="AG2848" s="223">
        <v>1.1460104</v>
      </c>
      <c r="AH2848" s="341"/>
      <c r="AI2848" s="218"/>
      <c r="AJ2848" s="218"/>
      <c r="AK2848" s="153"/>
      <c r="AL2848" s="152"/>
      <c r="AM2848" s="152"/>
      <c r="AN2848" s="152"/>
      <c r="AO2848" s="152"/>
      <c r="AP2848" s="152"/>
      <c r="AQ2848" s="152"/>
      <c r="AR2848" s="152"/>
      <c r="AS2848" s="152"/>
      <c r="AT2848" s="152"/>
      <c r="AU2848" s="153"/>
      <c r="AV2848" s="479"/>
      <c r="AW2848" s="479"/>
      <c r="AX2848" s="442"/>
      <c r="AY2848" s="153"/>
      <c r="AZ2848" s="152"/>
      <c r="BA2848" s="152"/>
      <c r="BB2848" s="152"/>
      <c r="BC2848" s="152"/>
      <c r="BD2848" s="152"/>
      <c r="BE2848" s="152"/>
      <c r="BF2848" s="152"/>
      <c r="BG2848" s="152"/>
      <c r="BH2848" s="152"/>
      <c r="BI2848" s="153"/>
      <c r="BJ2848" s="153"/>
      <c r="BK2848" s="153"/>
      <c r="BL2848" s="153"/>
      <c r="BM2848" s="153"/>
      <c r="BN2848" s="153"/>
      <c r="BO2848" s="153"/>
      <c r="BP2848" s="153"/>
      <c r="BQ2848" s="153"/>
      <c r="BR2848" s="153"/>
      <c r="BS2848" s="153"/>
      <c r="BT2848" s="153"/>
      <c r="BU2848" s="153"/>
      <c r="BV2848" s="153"/>
      <c r="BW2848" s="153"/>
      <c r="BX2848" s="153"/>
      <c r="BY2848" s="153"/>
      <c r="BZ2848" s="153"/>
      <c r="CA2848" s="152"/>
      <c r="CB2848" s="152"/>
    </row>
    <row r="2849" spans="1:80" s="87" customFormat="1" x14ac:dyDescent="0.2">
      <c r="A2849" s="152"/>
      <c r="B2849" s="683"/>
      <c r="C2849" s="683"/>
      <c r="D2849" s="698"/>
      <c r="E2849" s="215"/>
      <c r="F2849" s="215"/>
      <c r="G2849" s="153"/>
      <c r="H2849" s="153"/>
      <c r="I2849" s="306">
        <v>28</v>
      </c>
      <c r="J2849" s="306">
        <v>30</v>
      </c>
      <c r="K2849" s="150">
        <v>1</v>
      </c>
      <c r="L2849" s="656">
        <v>14</v>
      </c>
      <c r="M2849" s="663">
        <v>33043</v>
      </c>
      <c r="N2849" s="600">
        <v>2.4094099999999998</v>
      </c>
      <c r="O2849" s="604">
        <v>1.4378999999999999E-2</v>
      </c>
      <c r="P2849" s="150"/>
      <c r="Q2849" s="250"/>
      <c r="R2849" s="250"/>
      <c r="S2849" s="250"/>
      <c r="T2849" s="250"/>
      <c r="U2849" s="250"/>
      <c r="V2849" s="250"/>
      <c r="W2849" s="250"/>
      <c r="X2849" s="250"/>
      <c r="Y2849" s="250"/>
      <c r="Z2849" s="150"/>
      <c r="AA2849" s="223">
        <v>1.6681796934916633</v>
      </c>
      <c r="AB2849" s="152"/>
      <c r="AC2849" s="152"/>
      <c r="AD2849" s="223">
        <v>9.7837589999999999</v>
      </c>
      <c r="AE2849" s="223">
        <v>0.2865026</v>
      </c>
      <c r="AF2849" s="223">
        <v>2.8053987999999999</v>
      </c>
      <c r="AG2849" s="223">
        <v>0.87169940000000001</v>
      </c>
      <c r="AH2849" s="341"/>
      <c r="AI2849" s="218"/>
      <c r="AJ2849" s="218"/>
      <c r="AK2849" s="153"/>
      <c r="AL2849" s="152"/>
      <c r="AM2849" s="152"/>
      <c r="AN2849" s="152"/>
      <c r="AO2849" s="152"/>
      <c r="AP2849" s="152"/>
      <c r="AQ2849" s="152"/>
      <c r="AR2849" s="152"/>
      <c r="AS2849" s="152"/>
      <c r="AT2849" s="152"/>
      <c r="AU2849" s="153"/>
      <c r="AV2849" s="479"/>
      <c r="AW2849" s="479"/>
      <c r="AX2849" s="442"/>
      <c r="AY2849" s="153"/>
      <c r="AZ2849" s="152"/>
      <c r="BA2849" s="152"/>
      <c r="BB2849" s="152"/>
      <c r="BC2849" s="152"/>
      <c r="BD2849" s="152"/>
      <c r="BE2849" s="152"/>
      <c r="BF2849" s="152"/>
      <c r="BG2849" s="152"/>
      <c r="BH2849" s="152"/>
      <c r="BI2849" s="153"/>
      <c r="BJ2849" s="153"/>
      <c r="BK2849" s="153"/>
      <c r="BL2849" s="153"/>
      <c r="BM2849" s="153"/>
      <c r="BN2849" s="153"/>
      <c r="BO2849" s="153"/>
      <c r="BP2849" s="153"/>
      <c r="BQ2849" s="153"/>
      <c r="BR2849" s="153"/>
      <c r="BS2849" s="153"/>
      <c r="BT2849" s="153"/>
      <c r="BU2849" s="153"/>
      <c r="BV2849" s="153"/>
      <c r="BW2849" s="153"/>
      <c r="BX2849" s="153"/>
      <c r="BY2849" s="153"/>
      <c r="BZ2849" s="153"/>
      <c r="CA2849" s="152"/>
      <c r="CB2849" s="152"/>
    </row>
    <row r="2850" spans="1:80" s="87" customFormat="1" x14ac:dyDescent="0.2">
      <c r="A2850" s="152"/>
      <c r="B2850" s="683"/>
      <c r="C2850" s="683"/>
      <c r="D2850" s="698"/>
      <c r="E2850" s="215"/>
      <c r="F2850" s="215"/>
      <c r="G2850" s="153"/>
      <c r="H2850" s="153"/>
      <c r="I2850" s="306">
        <v>15</v>
      </c>
      <c r="J2850" s="306">
        <v>60</v>
      </c>
      <c r="K2850" s="150">
        <v>1</v>
      </c>
      <c r="L2850" s="656">
        <v>15</v>
      </c>
      <c r="M2850" s="663">
        <v>33330</v>
      </c>
      <c r="N2850" s="600">
        <v>2.17442</v>
      </c>
      <c r="O2850" s="604">
        <v>3.4636E-2</v>
      </c>
      <c r="P2850" s="150"/>
      <c r="Q2850" s="250"/>
      <c r="R2850" s="250"/>
      <c r="S2850" s="250"/>
      <c r="T2850" s="250"/>
      <c r="U2850" s="250"/>
      <c r="V2850" s="250"/>
      <c r="W2850" s="250"/>
      <c r="X2850" s="250"/>
      <c r="Y2850" s="250"/>
      <c r="Z2850" s="150"/>
      <c r="AA2850" s="223">
        <v>0.99073099146003063</v>
      </c>
      <c r="AB2850" s="152"/>
      <c r="AC2850" s="152"/>
      <c r="AD2850" s="223">
        <v>9.6008849999999999</v>
      </c>
      <c r="AE2850" s="223">
        <v>0.3291732</v>
      </c>
      <c r="AF2850" s="223">
        <v>3.1676853999999999</v>
      </c>
      <c r="AG2850" s="223">
        <v>0.67053799999999997</v>
      </c>
      <c r="AH2850" s="341"/>
      <c r="AI2850" s="218"/>
      <c r="AJ2850" s="218"/>
      <c r="AK2850" s="153"/>
      <c r="AL2850" s="152"/>
      <c r="AM2850" s="152"/>
      <c r="AN2850" s="152"/>
      <c r="AO2850" s="152"/>
      <c r="AP2850" s="152"/>
      <c r="AQ2850" s="152"/>
      <c r="AR2850" s="152"/>
      <c r="AS2850" s="152"/>
      <c r="AT2850" s="152"/>
      <c r="AU2850" s="153"/>
      <c r="AV2850" s="479"/>
      <c r="AW2850" s="479"/>
      <c r="AX2850" s="442"/>
      <c r="AY2850" s="153"/>
      <c r="AZ2850" s="152"/>
      <c r="BA2850" s="152"/>
      <c r="BB2850" s="152"/>
      <c r="BC2850" s="152"/>
      <c r="BD2850" s="152"/>
      <c r="BE2850" s="152"/>
      <c r="BF2850" s="152"/>
      <c r="BG2850" s="152"/>
      <c r="BH2850" s="152"/>
      <c r="BI2850" s="153"/>
      <c r="BJ2850" s="153"/>
      <c r="BK2850" s="153"/>
      <c r="BL2850" s="153"/>
      <c r="BM2850" s="153"/>
      <c r="BN2850" s="153"/>
      <c r="BO2850" s="153"/>
      <c r="BP2850" s="153"/>
      <c r="BQ2850" s="153"/>
      <c r="BR2850" s="153"/>
      <c r="BS2850" s="153"/>
      <c r="BT2850" s="153"/>
      <c r="BU2850" s="153"/>
      <c r="BV2850" s="153"/>
      <c r="BW2850" s="153"/>
      <c r="BX2850" s="153"/>
      <c r="BY2850" s="153"/>
      <c r="BZ2850" s="153"/>
      <c r="CA2850" s="152"/>
      <c r="CB2850" s="152"/>
    </row>
    <row r="2851" spans="1:80" s="87" customFormat="1" x14ac:dyDescent="0.2">
      <c r="A2851" s="152"/>
      <c r="B2851" s="683"/>
      <c r="C2851" s="683"/>
      <c r="D2851" s="698"/>
      <c r="E2851" s="215"/>
      <c r="F2851" s="215"/>
      <c r="G2851" s="153"/>
      <c r="H2851" s="153"/>
      <c r="I2851" s="306">
        <v>15</v>
      </c>
      <c r="J2851" s="306">
        <v>60</v>
      </c>
      <c r="K2851" s="150">
        <v>1</v>
      </c>
      <c r="L2851" s="656">
        <v>15</v>
      </c>
      <c r="M2851" s="663">
        <v>33336</v>
      </c>
      <c r="N2851" s="600">
        <v>2.8595799999999998</v>
      </c>
      <c r="O2851" s="604">
        <v>9.9919999999999991E-3</v>
      </c>
      <c r="P2851" s="150"/>
      <c r="Q2851" s="250"/>
      <c r="R2851" s="250"/>
      <c r="S2851" s="250"/>
      <c r="T2851" s="250"/>
      <c r="U2851" s="250"/>
      <c r="V2851" s="250"/>
      <c r="W2851" s="250"/>
      <c r="X2851" s="250"/>
      <c r="Y2851" s="250"/>
      <c r="Z2851" s="150"/>
      <c r="AA2851" s="223">
        <v>1.5440013213639598</v>
      </c>
      <c r="AB2851" s="152"/>
      <c r="AC2851" s="152"/>
      <c r="AD2851" s="223">
        <v>9.4484899999999996</v>
      </c>
      <c r="AE2851" s="223">
        <v>0.38098749999999998</v>
      </c>
      <c r="AF2851" s="223">
        <v>3.6033582599999998</v>
      </c>
      <c r="AG2851" s="223">
        <v>0.80159769999999997</v>
      </c>
      <c r="AH2851" s="341"/>
      <c r="AI2851" s="218"/>
      <c r="AJ2851" s="218"/>
      <c r="AK2851" s="153"/>
      <c r="AL2851" s="152"/>
      <c r="AM2851" s="152"/>
      <c r="AN2851" s="152"/>
      <c r="AO2851" s="152"/>
      <c r="AP2851" s="152"/>
      <c r="AQ2851" s="152"/>
      <c r="AR2851" s="152"/>
      <c r="AS2851" s="152"/>
      <c r="AT2851" s="152"/>
      <c r="AU2851" s="153"/>
      <c r="AV2851" s="479"/>
      <c r="AW2851" s="479"/>
      <c r="AX2851" s="442"/>
      <c r="AY2851" s="153"/>
      <c r="AZ2851" s="152"/>
      <c r="BA2851" s="152"/>
      <c r="BB2851" s="152"/>
      <c r="BC2851" s="152"/>
      <c r="BD2851" s="152"/>
      <c r="BE2851" s="152"/>
      <c r="BF2851" s="152"/>
      <c r="BG2851" s="152"/>
      <c r="BH2851" s="152"/>
      <c r="BI2851" s="153"/>
      <c r="BJ2851" s="153"/>
      <c r="BK2851" s="153"/>
      <c r="BL2851" s="153"/>
      <c r="BM2851" s="153"/>
      <c r="BN2851" s="153"/>
      <c r="BO2851" s="153"/>
      <c r="BP2851" s="153"/>
      <c r="BQ2851" s="153"/>
      <c r="BR2851" s="153"/>
      <c r="BS2851" s="153"/>
      <c r="BT2851" s="153"/>
      <c r="BU2851" s="153"/>
      <c r="BV2851" s="153"/>
      <c r="BW2851" s="153"/>
      <c r="BX2851" s="153"/>
      <c r="BY2851" s="153"/>
      <c r="BZ2851" s="153"/>
      <c r="CA2851" s="152"/>
      <c r="CB2851" s="152"/>
    </row>
    <row r="2852" spans="1:80" s="87" customFormat="1" x14ac:dyDescent="0.2">
      <c r="A2852" s="152"/>
      <c r="B2852" s="683"/>
      <c r="C2852" s="683"/>
      <c r="D2852" s="698"/>
      <c r="E2852" s="215"/>
      <c r="F2852" s="215"/>
      <c r="G2852" s="153"/>
      <c r="H2852" s="153"/>
      <c r="I2852" s="306">
        <v>13</v>
      </c>
      <c r="J2852" s="306">
        <v>60</v>
      </c>
      <c r="K2852" s="150">
        <v>1</v>
      </c>
      <c r="L2852" s="656">
        <v>13</v>
      </c>
      <c r="M2852" s="663">
        <v>33343</v>
      </c>
      <c r="N2852" s="600">
        <v>2.3357999999999999</v>
      </c>
      <c r="O2852" s="604">
        <v>2.0781999999999998E-2</v>
      </c>
      <c r="P2852" s="150"/>
      <c r="Q2852" s="250"/>
      <c r="R2852" s="250"/>
      <c r="S2852" s="250"/>
      <c r="T2852" s="250"/>
      <c r="U2852" s="250"/>
      <c r="V2852" s="250"/>
      <c r="W2852" s="250"/>
      <c r="X2852" s="250"/>
      <c r="Y2852" s="250"/>
      <c r="Z2852" s="150"/>
      <c r="AA2852" s="223">
        <v>2.8180891275387303</v>
      </c>
      <c r="AB2852" s="152"/>
      <c r="AC2852" s="152"/>
      <c r="AD2852" s="223">
        <v>9.4484899999999996</v>
      </c>
      <c r="AE2852" s="223">
        <v>0.35965219999999998</v>
      </c>
      <c r="AF2852" s="223">
        <v>3.3999204000000001</v>
      </c>
      <c r="AG2852" s="223">
        <v>0.67358589999999996</v>
      </c>
      <c r="AH2852" s="341"/>
      <c r="AI2852" s="218"/>
      <c r="AJ2852" s="218"/>
      <c r="AK2852" s="153"/>
      <c r="AL2852" s="152"/>
      <c r="AM2852" s="152"/>
      <c r="AN2852" s="152"/>
      <c r="AO2852" s="152"/>
      <c r="AP2852" s="152"/>
      <c r="AQ2852" s="152"/>
      <c r="AR2852" s="152"/>
      <c r="AS2852" s="152"/>
      <c r="AT2852" s="152"/>
      <c r="AU2852" s="153"/>
      <c r="AV2852" s="479"/>
      <c r="AW2852" s="479"/>
      <c r="AX2852" s="442"/>
      <c r="AY2852" s="153"/>
      <c r="AZ2852" s="152"/>
      <c r="BA2852" s="152"/>
      <c r="BB2852" s="152"/>
      <c r="BC2852" s="152"/>
      <c r="BD2852" s="152"/>
      <c r="BE2852" s="152"/>
      <c r="BF2852" s="152"/>
      <c r="BG2852" s="152"/>
      <c r="BH2852" s="152"/>
      <c r="BI2852" s="153"/>
      <c r="BJ2852" s="153"/>
      <c r="BK2852" s="153"/>
      <c r="BL2852" s="153"/>
      <c r="BM2852" s="153"/>
      <c r="BN2852" s="153"/>
      <c r="BO2852" s="153"/>
      <c r="BP2852" s="153"/>
      <c r="BQ2852" s="153"/>
      <c r="BR2852" s="153"/>
      <c r="BS2852" s="153"/>
      <c r="BT2852" s="153"/>
      <c r="BU2852" s="153"/>
      <c r="BV2852" s="153"/>
      <c r="BW2852" s="153"/>
      <c r="BX2852" s="153"/>
      <c r="BY2852" s="153"/>
      <c r="BZ2852" s="153"/>
      <c r="CA2852" s="152"/>
      <c r="CB2852" s="152"/>
    </row>
    <row r="2853" spans="1:80" s="87" customFormat="1" x14ac:dyDescent="0.2">
      <c r="A2853" s="152"/>
      <c r="B2853" s="683"/>
      <c r="C2853" s="683"/>
      <c r="D2853" s="698"/>
      <c r="E2853" s="215"/>
      <c r="F2853" s="215"/>
      <c r="G2853" s="153"/>
      <c r="H2853" s="153"/>
      <c r="I2853" s="306">
        <v>15</v>
      </c>
      <c r="J2853" s="306">
        <v>60</v>
      </c>
      <c r="K2853" s="150">
        <v>1</v>
      </c>
      <c r="L2853" s="656">
        <v>15</v>
      </c>
      <c r="M2853" s="663">
        <v>33350</v>
      </c>
      <c r="N2853" s="600">
        <v>4.2185899999999998</v>
      </c>
      <c r="O2853" s="604">
        <v>1.0296E-2</v>
      </c>
      <c r="P2853" s="150"/>
      <c r="Q2853" s="250"/>
      <c r="R2853" s="250"/>
      <c r="S2853" s="250"/>
      <c r="T2853" s="250"/>
      <c r="U2853" s="250"/>
      <c r="V2853" s="250"/>
      <c r="W2853" s="250"/>
      <c r="X2853" s="250"/>
      <c r="Y2853" s="250"/>
      <c r="Z2853" s="150"/>
      <c r="AA2853" s="223">
        <v>0.69345525092474292</v>
      </c>
      <c r="AB2853" s="152"/>
      <c r="AC2853" s="152"/>
      <c r="AD2853" s="223">
        <v>9.4484899999999996</v>
      </c>
      <c r="AE2853" s="223">
        <v>0.46632869999999998</v>
      </c>
      <c r="AF2853" s="223">
        <v>4.4124650000000001</v>
      </c>
      <c r="AG2853" s="223">
        <v>0.93570529999999996</v>
      </c>
      <c r="AH2853" s="341"/>
      <c r="AI2853" s="218"/>
      <c r="AJ2853" s="218"/>
      <c r="AK2853" s="153"/>
      <c r="AL2853" s="152"/>
      <c r="AM2853" s="152"/>
      <c r="AN2853" s="152"/>
      <c r="AO2853" s="152"/>
      <c r="AP2853" s="152"/>
      <c r="AQ2853" s="152"/>
      <c r="AR2853" s="152"/>
      <c r="AS2853" s="152"/>
      <c r="AT2853" s="152"/>
      <c r="AU2853" s="153"/>
      <c r="AV2853" s="479"/>
      <c r="AW2853" s="479"/>
      <c r="AX2853" s="442"/>
      <c r="AY2853" s="153"/>
      <c r="AZ2853" s="152"/>
      <c r="BA2853" s="152"/>
      <c r="BB2853" s="152"/>
      <c r="BC2853" s="152"/>
      <c r="BD2853" s="152"/>
      <c r="BE2853" s="152"/>
      <c r="BF2853" s="152"/>
      <c r="BG2853" s="152"/>
      <c r="BH2853" s="152"/>
      <c r="BI2853" s="153"/>
      <c r="BJ2853" s="153"/>
      <c r="BK2853" s="153"/>
      <c r="BL2853" s="153"/>
      <c r="BM2853" s="153"/>
      <c r="BN2853" s="153"/>
      <c r="BO2853" s="153"/>
      <c r="BP2853" s="153"/>
      <c r="BQ2853" s="153"/>
      <c r="BR2853" s="153"/>
      <c r="BS2853" s="153"/>
      <c r="BT2853" s="153"/>
      <c r="BU2853" s="153"/>
      <c r="BV2853" s="153"/>
      <c r="BW2853" s="153"/>
      <c r="BX2853" s="153"/>
      <c r="BY2853" s="153"/>
      <c r="BZ2853" s="153"/>
      <c r="CA2853" s="152"/>
      <c r="CB2853" s="152"/>
    </row>
    <row r="2854" spans="1:80" s="87" customFormat="1" x14ac:dyDescent="0.2">
      <c r="A2854" s="152"/>
      <c r="B2854" s="683"/>
      <c r="C2854" s="683"/>
      <c r="D2854" s="698"/>
      <c r="E2854" s="215"/>
      <c r="F2854" s="215"/>
      <c r="G2854" s="153"/>
      <c r="H2854" s="153"/>
      <c r="I2854" s="306">
        <v>15</v>
      </c>
      <c r="J2854" s="306">
        <v>60</v>
      </c>
      <c r="K2854" s="150">
        <v>1</v>
      </c>
      <c r="L2854" s="656">
        <v>15</v>
      </c>
      <c r="M2854" s="663">
        <v>33353</v>
      </c>
      <c r="N2854" s="600">
        <v>4.6149699999999996</v>
      </c>
      <c r="O2854" s="604">
        <v>6.0560000000000003E-2</v>
      </c>
      <c r="P2854" s="150"/>
      <c r="Q2854" s="250"/>
      <c r="R2854" s="250"/>
      <c r="S2854" s="250"/>
      <c r="T2854" s="250"/>
      <c r="U2854" s="250"/>
      <c r="V2854" s="250"/>
      <c r="W2854" s="250"/>
      <c r="X2854" s="250"/>
      <c r="Y2854" s="250"/>
      <c r="Z2854" s="150"/>
      <c r="AA2854" s="223">
        <v>1.794737383368999</v>
      </c>
      <c r="AB2854" s="152"/>
      <c r="AC2854" s="152"/>
      <c r="AD2854" s="223">
        <v>9.4484899999999996</v>
      </c>
      <c r="AE2854" s="223">
        <v>0.49071189999999998</v>
      </c>
      <c r="AF2854" s="223">
        <v>4.6447000000000003</v>
      </c>
      <c r="AG2854" s="223">
        <v>1.0301902000000001</v>
      </c>
      <c r="AH2854" s="341"/>
      <c r="AI2854" s="218"/>
      <c r="AJ2854" s="218"/>
      <c r="AK2854" s="153"/>
      <c r="AL2854" s="152"/>
      <c r="AM2854" s="152"/>
      <c r="AN2854" s="152"/>
      <c r="AO2854" s="152"/>
      <c r="AP2854" s="152"/>
      <c r="AQ2854" s="152"/>
      <c r="AR2854" s="152"/>
      <c r="AS2854" s="152"/>
      <c r="AT2854" s="152"/>
      <c r="AU2854" s="153"/>
      <c r="AV2854" s="479"/>
      <c r="AW2854" s="479"/>
      <c r="AX2854" s="442"/>
      <c r="AY2854" s="153"/>
      <c r="AZ2854" s="152"/>
      <c r="BA2854" s="152"/>
      <c r="BB2854" s="152"/>
      <c r="BC2854" s="152"/>
      <c r="BD2854" s="152"/>
      <c r="BE2854" s="152"/>
      <c r="BF2854" s="152"/>
      <c r="BG2854" s="152"/>
      <c r="BH2854" s="152"/>
      <c r="BI2854" s="153"/>
      <c r="BJ2854" s="153"/>
      <c r="BK2854" s="153"/>
      <c r="BL2854" s="153"/>
      <c r="BM2854" s="153"/>
      <c r="BN2854" s="153"/>
      <c r="BO2854" s="153"/>
      <c r="BP2854" s="153"/>
      <c r="BQ2854" s="153"/>
      <c r="BR2854" s="153"/>
      <c r="BS2854" s="153"/>
      <c r="BT2854" s="153"/>
      <c r="BU2854" s="153"/>
      <c r="BV2854" s="153"/>
      <c r="BW2854" s="153"/>
      <c r="BX2854" s="153"/>
      <c r="BY2854" s="153"/>
      <c r="BZ2854" s="153"/>
      <c r="CA2854" s="152"/>
      <c r="CB2854" s="152"/>
    </row>
    <row r="2855" spans="1:80" s="87" customFormat="1" x14ac:dyDescent="0.2">
      <c r="A2855" s="152"/>
      <c r="B2855" s="683"/>
      <c r="C2855" s="683"/>
      <c r="D2855" s="698"/>
      <c r="E2855" s="215"/>
      <c r="F2855" s="215"/>
      <c r="G2855" s="153"/>
      <c r="H2855" s="153"/>
      <c r="I2855" s="306">
        <v>14</v>
      </c>
      <c r="J2855" s="306">
        <v>60</v>
      </c>
      <c r="K2855" s="150">
        <v>1</v>
      </c>
      <c r="L2855" s="656">
        <v>14</v>
      </c>
      <c r="M2855" s="663">
        <v>33364</v>
      </c>
      <c r="N2855" s="600">
        <v>3.3409</v>
      </c>
      <c r="O2855" s="604">
        <v>4.5656000000000002E-2</v>
      </c>
      <c r="P2855" s="150"/>
      <c r="Q2855" s="250"/>
      <c r="R2855" s="250"/>
      <c r="S2855" s="250"/>
      <c r="T2855" s="250"/>
      <c r="U2855" s="250"/>
      <c r="V2855" s="250"/>
      <c r="W2855" s="250"/>
      <c r="X2855" s="250"/>
      <c r="Y2855" s="250"/>
      <c r="Z2855" s="150"/>
      <c r="AA2855" s="223">
        <v>1.7257925685042461</v>
      </c>
      <c r="AB2855" s="152"/>
      <c r="AC2855" s="152"/>
      <c r="AD2855" s="223">
        <v>9.6923220000000008</v>
      </c>
      <c r="AE2855" s="223">
        <v>0.4175623</v>
      </c>
      <c r="AF2855" s="223">
        <v>4.0501784000000001</v>
      </c>
      <c r="AG2855" s="223">
        <v>0.83817249999999999</v>
      </c>
      <c r="AH2855" s="341"/>
      <c r="AI2855" s="218"/>
      <c r="AJ2855" s="218"/>
      <c r="AK2855" s="153"/>
      <c r="AL2855" s="152"/>
      <c r="AM2855" s="152"/>
      <c r="AN2855" s="152"/>
      <c r="AO2855" s="152"/>
      <c r="AP2855" s="152"/>
      <c r="AQ2855" s="152"/>
      <c r="AR2855" s="152"/>
      <c r="AS2855" s="152"/>
      <c r="AT2855" s="152"/>
      <c r="AU2855" s="153"/>
      <c r="AV2855" s="479"/>
      <c r="AW2855" s="479"/>
      <c r="AX2855" s="442"/>
      <c r="AY2855" s="153"/>
      <c r="AZ2855" s="152"/>
      <c r="BA2855" s="152"/>
      <c r="BB2855" s="152"/>
      <c r="BC2855" s="152"/>
      <c r="BD2855" s="152"/>
      <c r="BE2855" s="152"/>
      <c r="BF2855" s="152"/>
      <c r="BG2855" s="152"/>
      <c r="BH2855" s="152"/>
      <c r="BI2855" s="153"/>
      <c r="BJ2855" s="153"/>
      <c r="BK2855" s="153"/>
      <c r="BL2855" s="153"/>
      <c r="BM2855" s="153"/>
      <c r="BN2855" s="153"/>
      <c r="BO2855" s="153"/>
      <c r="BP2855" s="153"/>
      <c r="BQ2855" s="153"/>
      <c r="BR2855" s="153"/>
      <c r="BS2855" s="153"/>
      <c r="BT2855" s="153"/>
      <c r="BU2855" s="153"/>
      <c r="BV2855" s="153"/>
      <c r="BW2855" s="153"/>
      <c r="BX2855" s="153"/>
      <c r="BY2855" s="153"/>
      <c r="BZ2855" s="153"/>
      <c r="CA2855" s="152"/>
      <c r="CB2855" s="152"/>
    </row>
    <row r="2856" spans="1:80" s="87" customFormat="1" x14ac:dyDescent="0.2">
      <c r="A2856" s="152"/>
      <c r="B2856" s="683"/>
      <c r="C2856" s="683"/>
      <c r="D2856" s="698"/>
      <c r="E2856" s="215"/>
      <c r="F2856" s="215"/>
      <c r="G2856" s="153"/>
      <c r="H2856" s="153"/>
      <c r="I2856" s="306">
        <v>14</v>
      </c>
      <c r="J2856" s="306">
        <v>60</v>
      </c>
      <c r="K2856" s="150">
        <v>1</v>
      </c>
      <c r="L2856" s="656">
        <v>14</v>
      </c>
      <c r="M2856" s="663">
        <v>33365</v>
      </c>
      <c r="N2856" s="600">
        <v>5.1812199999999997</v>
      </c>
      <c r="O2856" s="604">
        <v>0.100549</v>
      </c>
      <c r="P2856" s="150"/>
      <c r="Q2856" s="250"/>
      <c r="R2856" s="250"/>
      <c r="S2856" s="250"/>
      <c r="T2856" s="250"/>
      <c r="U2856" s="250"/>
      <c r="V2856" s="250"/>
      <c r="W2856" s="250"/>
      <c r="X2856" s="250"/>
      <c r="Y2856" s="250"/>
      <c r="Z2856" s="150"/>
      <c r="AA2856" s="223">
        <v>1.6490010698051132</v>
      </c>
      <c r="AB2856" s="152"/>
      <c r="AC2856" s="152"/>
      <c r="AD2856" s="223">
        <v>9.7532800000000002</v>
      </c>
      <c r="AE2856" s="223">
        <v>0.49680770000000002</v>
      </c>
      <c r="AF2856" s="223">
        <v>4.8304879999999999</v>
      </c>
      <c r="AG2856" s="223">
        <v>1.0484776</v>
      </c>
      <c r="AH2856" s="341"/>
      <c r="AI2856" s="218"/>
      <c r="AJ2856" s="218"/>
      <c r="AK2856" s="153"/>
      <c r="AL2856" s="152"/>
      <c r="AM2856" s="152"/>
      <c r="AN2856" s="152"/>
      <c r="AO2856" s="152"/>
      <c r="AP2856" s="152"/>
      <c r="AQ2856" s="152"/>
      <c r="AR2856" s="152"/>
      <c r="AS2856" s="152"/>
      <c r="AT2856" s="152"/>
      <c r="AU2856" s="153"/>
      <c r="AV2856" s="479"/>
      <c r="AW2856" s="479"/>
      <c r="AX2856" s="442"/>
      <c r="AY2856" s="153"/>
      <c r="AZ2856" s="152"/>
      <c r="BA2856" s="152"/>
      <c r="BB2856" s="152"/>
      <c r="BC2856" s="152"/>
      <c r="BD2856" s="152"/>
      <c r="BE2856" s="152"/>
      <c r="BF2856" s="152"/>
      <c r="BG2856" s="152"/>
      <c r="BH2856" s="152"/>
      <c r="BI2856" s="153"/>
      <c r="BJ2856" s="153"/>
      <c r="BK2856" s="153"/>
      <c r="BL2856" s="153"/>
      <c r="BM2856" s="153"/>
      <c r="BN2856" s="153"/>
      <c r="BO2856" s="153"/>
      <c r="BP2856" s="153"/>
      <c r="BQ2856" s="153"/>
      <c r="BR2856" s="153"/>
      <c r="BS2856" s="153"/>
      <c r="BT2856" s="153"/>
      <c r="BU2856" s="153"/>
      <c r="BV2856" s="153"/>
      <c r="BW2856" s="153"/>
      <c r="BX2856" s="153"/>
      <c r="BY2856" s="153"/>
      <c r="BZ2856" s="153"/>
      <c r="CA2856" s="152"/>
      <c r="CB2856" s="152"/>
    </row>
    <row r="2857" spans="1:80" s="87" customFormat="1" x14ac:dyDescent="0.2">
      <c r="A2857" s="152"/>
      <c r="B2857" s="683"/>
      <c r="C2857" s="683"/>
      <c r="D2857" s="698"/>
      <c r="E2857" s="215"/>
      <c r="F2857" s="215"/>
      <c r="G2857" s="153"/>
      <c r="H2857" s="153"/>
      <c r="I2857" s="306">
        <v>17</v>
      </c>
      <c r="J2857" s="306">
        <v>60</v>
      </c>
      <c r="K2857" s="150">
        <v>1</v>
      </c>
      <c r="L2857" s="656">
        <v>17</v>
      </c>
      <c r="M2857" s="663">
        <v>33366</v>
      </c>
      <c r="N2857" s="600">
        <v>10.560600000000001</v>
      </c>
      <c r="O2857" s="604">
        <v>5.8566E-2</v>
      </c>
      <c r="P2857" s="150"/>
      <c r="Q2857" s="250"/>
      <c r="R2857" s="250"/>
      <c r="S2857" s="250"/>
      <c r="T2857" s="250"/>
      <c r="U2857" s="250"/>
      <c r="V2857" s="250"/>
      <c r="W2857" s="250"/>
      <c r="X2857" s="250"/>
      <c r="Y2857" s="250"/>
      <c r="Z2857" s="150"/>
      <c r="AA2857" s="223">
        <v>1.3006725431973436</v>
      </c>
      <c r="AB2857" s="152"/>
      <c r="AC2857" s="152"/>
      <c r="AD2857" s="223">
        <v>12.191599999999999</v>
      </c>
      <c r="AE2857" s="223">
        <v>0.65225060000000001</v>
      </c>
      <c r="AF2857" s="223">
        <v>7.942437</v>
      </c>
      <c r="AG2857" s="223">
        <v>1.3319323000000001</v>
      </c>
      <c r="AH2857" s="341"/>
      <c r="AI2857" s="218"/>
      <c r="AJ2857" s="218"/>
      <c r="AK2857" s="153"/>
      <c r="AL2857" s="152"/>
      <c r="AM2857" s="152"/>
      <c r="AN2857" s="152"/>
      <c r="AO2857" s="152"/>
      <c r="AP2857" s="152"/>
      <c r="AQ2857" s="152"/>
      <c r="AR2857" s="152"/>
      <c r="AS2857" s="152"/>
      <c r="AT2857" s="152"/>
      <c r="AU2857" s="153"/>
      <c r="AV2857" s="479"/>
      <c r="AW2857" s="479"/>
      <c r="AX2857" s="442"/>
      <c r="AY2857" s="153"/>
      <c r="AZ2857" s="152"/>
      <c r="BA2857" s="152"/>
      <c r="BB2857" s="152"/>
      <c r="BC2857" s="152"/>
      <c r="BD2857" s="152"/>
      <c r="BE2857" s="152"/>
      <c r="BF2857" s="152"/>
      <c r="BG2857" s="152"/>
      <c r="BH2857" s="152"/>
      <c r="BI2857" s="153"/>
      <c r="BJ2857" s="153"/>
      <c r="BK2857" s="153"/>
      <c r="BL2857" s="153"/>
      <c r="BM2857" s="153"/>
      <c r="BN2857" s="153"/>
      <c r="BO2857" s="153"/>
      <c r="BP2857" s="153"/>
      <c r="BQ2857" s="153"/>
      <c r="BR2857" s="153"/>
      <c r="BS2857" s="153"/>
      <c r="BT2857" s="153"/>
      <c r="BU2857" s="153"/>
      <c r="BV2857" s="153"/>
      <c r="BW2857" s="153"/>
      <c r="BX2857" s="153"/>
      <c r="BY2857" s="153"/>
      <c r="BZ2857" s="153"/>
      <c r="CA2857" s="152"/>
      <c r="CB2857" s="152"/>
    </row>
    <row r="2858" spans="1:80" s="87" customFormat="1" x14ac:dyDescent="0.2">
      <c r="A2858" s="152"/>
      <c r="B2858" s="683"/>
      <c r="C2858" s="683"/>
      <c r="D2858" s="698"/>
      <c r="E2858" s="215"/>
      <c r="F2858" s="215"/>
      <c r="G2858" s="153"/>
      <c r="H2858" s="153"/>
      <c r="I2858" s="306">
        <v>15</v>
      </c>
      <c r="J2858" s="306">
        <v>60</v>
      </c>
      <c r="K2858" s="150">
        <v>1</v>
      </c>
      <c r="L2858" s="656">
        <v>15</v>
      </c>
      <c r="M2858" s="663">
        <v>33373</v>
      </c>
      <c r="N2858" s="600">
        <v>7.5877999999999997</v>
      </c>
      <c r="O2858" s="604">
        <v>0.20361699999999999</v>
      </c>
      <c r="P2858" s="150"/>
      <c r="Q2858" s="250"/>
      <c r="R2858" s="250"/>
      <c r="S2858" s="250"/>
      <c r="T2858" s="250"/>
      <c r="U2858" s="250"/>
      <c r="V2858" s="250"/>
      <c r="W2858" s="250"/>
      <c r="X2858" s="250"/>
      <c r="Y2858" s="250"/>
      <c r="Z2858" s="150"/>
      <c r="AA2858" s="223">
        <v>2.4190926408640219</v>
      </c>
      <c r="AB2858" s="152"/>
      <c r="AC2858" s="152"/>
      <c r="AD2858" s="223">
        <v>10.393338999999999</v>
      </c>
      <c r="AE2858" s="223">
        <v>0.53947829999999997</v>
      </c>
      <c r="AF2858" s="223">
        <v>5.6015081999999996</v>
      </c>
      <c r="AG2858" s="223">
        <v>1.3288844</v>
      </c>
      <c r="AH2858" s="341"/>
      <c r="AI2858" s="218"/>
      <c r="AJ2858" s="218"/>
      <c r="AK2858" s="153"/>
      <c r="AL2858" s="152"/>
      <c r="AM2858" s="152"/>
      <c r="AN2858" s="152"/>
      <c r="AO2858" s="152"/>
      <c r="AP2858" s="152"/>
      <c r="AQ2858" s="152"/>
      <c r="AR2858" s="152"/>
      <c r="AS2858" s="152"/>
      <c r="AT2858" s="152"/>
      <c r="AU2858" s="153"/>
      <c r="AV2858" s="479"/>
      <c r="AW2858" s="479"/>
      <c r="AX2858" s="442"/>
      <c r="AY2858" s="153"/>
      <c r="AZ2858" s="152"/>
      <c r="BA2858" s="152"/>
      <c r="BB2858" s="152"/>
      <c r="BC2858" s="152"/>
      <c r="BD2858" s="152"/>
      <c r="BE2858" s="152"/>
      <c r="BF2858" s="152"/>
      <c r="BG2858" s="152"/>
      <c r="BH2858" s="152"/>
      <c r="BI2858" s="153"/>
      <c r="BJ2858" s="153"/>
      <c r="BK2858" s="153"/>
      <c r="BL2858" s="153"/>
      <c r="BM2858" s="153"/>
      <c r="BN2858" s="153"/>
      <c r="BO2858" s="153"/>
      <c r="BP2858" s="153"/>
      <c r="BQ2858" s="153"/>
      <c r="BR2858" s="153"/>
      <c r="BS2858" s="153"/>
      <c r="BT2858" s="153"/>
      <c r="BU2858" s="153"/>
      <c r="BV2858" s="153"/>
      <c r="BW2858" s="153"/>
      <c r="BX2858" s="153"/>
      <c r="BY2858" s="153"/>
      <c r="BZ2858" s="153"/>
      <c r="CA2858" s="152"/>
      <c r="CB2858" s="152"/>
    </row>
    <row r="2859" spans="1:80" s="87" customFormat="1" x14ac:dyDescent="0.2">
      <c r="A2859" s="152"/>
      <c r="B2859" s="683"/>
      <c r="C2859" s="683"/>
      <c r="D2859" s="698"/>
      <c r="E2859" s="215"/>
      <c r="F2859" s="215"/>
      <c r="G2859" s="153"/>
      <c r="H2859" s="153"/>
      <c r="I2859" s="306">
        <v>17</v>
      </c>
      <c r="J2859" s="306">
        <v>60</v>
      </c>
      <c r="K2859" s="150">
        <v>1</v>
      </c>
      <c r="L2859" s="656">
        <v>17</v>
      </c>
      <c r="M2859" s="663">
        <v>33375</v>
      </c>
      <c r="N2859" s="600">
        <v>14.043100000000001</v>
      </c>
      <c r="O2859" s="604">
        <v>0.19941900000000001</v>
      </c>
      <c r="P2859" s="150"/>
      <c r="Q2859" s="250"/>
      <c r="R2859" s="250"/>
      <c r="S2859" s="250"/>
      <c r="T2859" s="250"/>
      <c r="U2859" s="250"/>
      <c r="V2859" s="250"/>
      <c r="W2859" s="250"/>
      <c r="X2859" s="250"/>
      <c r="Y2859" s="250"/>
      <c r="Z2859" s="150"/>
      <c r="AA2859" s="223">
        <v>1.537101826134456</v>
      </c>
      <c r="AB2859" s="152"/>
      <c r="AC2859" s="152"/>
      <c r="AD2859" s="223">
        <v>12.191599999999999</v>
      </c>
      <c r="AE2859" s="223">
        <v>0.74978339999999999</v>
      </c>
      <c r="AF2859" s="223">
        <v>9.1221908000000003</v>
      </c>
      <c r="AG2859" s="223">
        <v>1.4995668</v>
      </c>
      <c r="AH2859" s="341"/>
      <c r="AI2859" s="218"/>
      <c r="AJ2859" s="218"/>
      <c r="AK2859" s="153"/>
      <c r="AL2859" s="152"/>
      <c r="AM2859" s="152"/>
      <c r="AN2859" s="152"/>
      <c r="AO2859" s="152"/>
      <c r="AP2859" s="152"/>
      <c r="AQ2859" s="152"/>
      <c r="AR2859" s="152"/>
      <c r="AS2859" s="152"/>
      <c r="AT2859" s="152"/>
      <c r="AU2859" s="153"/>
      <c r="AV2859" s="479"/>
      <c r="AW2859" s="479"/>
      <c r="AX2859" s="442"/>
      <c r="AY2859" s="153"/>
      <c r="AZ2859" s="152"/>
      <c r="BA2859" s="152"/>
      <c r="BB2859" s="152"/>
      <c r="BC2859" s="152"/>
      <c r="BD2859" s="152"/>
      <c r="BE2859" s="152"/>
      <c r="BF2859" s="152"/>
      <c r="BG2859" s="152"/>
      <c r="BH2859" s="152"/>
      <c r="BI2859" s="153"/>
      <c r="BJ2859" s="153"/>
      <c r="BK2859" s="153"/>
      <c r="BL2859" s="153"/>
      <c r="BM2859" s="153"/>
      <c r="BN2859" s="153"/>
      <c r="BO2859" s="153"/>
      <c r="BP2859" s="153"/>
      <c r="BQ2859" s="153"/>
      <c r="BR2859" s="153"/>
      <c r="BS2859" s="153"/>
      <c r="BT2859" s="153"/>
      <c r="BU2859" s="153"/>
      <c r="BV2859" s="153"/>
      <c r="BW2859" s="153"/>
      <c r="BX2859" s="153"/>
      <c r="BY2859" s="153"/>
      <c r="BZ2859" s="153"/>
      <c r="CA2859" s="152"/>
      <c r="CB2859" s="152"/>
    </row>
    <row r="2860" spans="1:80" s="87" customFormat="1" x14ac:dyDescent="0.2">
      <c r="A2860" s="152"/>
      <c r="B2860" s="683"/>
      <c r="C2860" s="683"/>
      <c r="D2860" s="698"/>
      <c r="E2860" s="215"/>
      <c r="F2860" s="215"/>
      <c r="G2860" s="153"/>
      <c r="H2860" s="153"/>
      <c r="I2860" s="306">
        <v>16</v>
      </c>
      <c r="J2860" s="306">
        <v>60</v>
      </c>
      <c r="K2860" s="150">
        <v>1</v>
      </c>
      <c r="L2860" s="656">
        <v>16</v>
      </c>
      <c r="M2860" s="663">
        <v>33386</v>
      </c>
      <c r="N2860" s="600">
        <v>5.8607300000000002</v>
      </c>
      <c r="O2860" s="604">
        <v>4.1982999999999999E-2</v>
      </c>
      <c r="P2860" s="150"/>
      <c r="Q2860" s="250"/>
      <c r="R2860" s="250"/>
      <c r="S2860" s="250"/>
      <c r="T2860" s="250"/>
      <c r="U2860" s="250"/>
      <c r="V2860" s="250"/>
      <c r="W2860" s="250"/>
      <c r="X2860" s="250"/>
      <c r="Y2860" s="250"/>
      <c r="Z2860" s="150"/>
      <c r="AA2860" s="223">
        <v>0.85984081391400624</v>
      </c>
      <c r="AB2860" s="152"/>
      <c r="AC2860" s="152"/>
      <c r="AD2860" s="223"/>
      <c r="AE2860" s="223"/>
      <c r="AF2860" s="223"/>
      <c r="AG2860" s="223"/>
      <c r="AH2860" s="341"/>
      <c r="AI2860" s="218"/>
      <c r="AJ2860" s="218"/>
      <c r="AK2860" s="153"/>
      <c r="AL2860" s="152"/>
      <c r="AM2860" s="152"/>
      <c r="AN2860" s="152"/>
      <c r="AO2860" s="152"/>
      <c r="AP2860" s="152"/>
      <c r="AQ2860" s="152"/>
      <c r="AR2860" s="152"/>
      <c r="AS2860" s="152"/>
      <c r="AT2860" s="152"/>
      <c r="AU2860" s="153"/>
      <c r="AV2860" s="479"/>
      <c r="AW2860" s="479"/>
      <c r="AX2860" s="442"/>
      <c r="AY2860" s="153"/>
      <c r="AZ2860" s="152"/>
      <c r="BA2860" s="152"/>
      <c r="BB2860" s="152"/>
      <c r="BC2860" s="152"/>
      <c r="BD2860" s="152"/>
      <c r="BE2860" s="152"/>
      <c r="BF2860" s="152"/>
      <c r="BG2860" s="152"/>
      <c r="BH2860" s="152"/>
      <c r="BI2860" s="153"/>
      <c r="BJ2860" s="153"/>
      <c r="BK2860" s="153"/>
      <c r="BL2860" s="153"/>
      <c r="BM2860" s="153"/>
      <c r="BN2860" s="153"/>
      <c r="BO2860" s="153"/>
      <c r="BP2860" s="153"/>
      <c r="BQ2860" s="153"/>
      <c r="BR2860" s="153"/>
      <c r="BS2860" s="153"/>
      <c r="BT2860" s="153"/>
      <c r="BU2860" s="153"/>
      <c r="BV2860" s="153"/>
      <c r="BW2860" s="153"/>
      <c r="BX2860" s="153"/>
      <c r="BY2860" s="153"/>
      <c r="BZ2860" s="153"/>
      <c r="CA2860" s="152"/>
      <c r="CB2860" s="152"/>
    </row>
    <row r="2861" spans="1:80" s="87" customFormat="1" x14ac:dyDescent="0.2">
      <c r="A2861" s="152"/>
      <c r="B2861" s="683"/>
      <c r="C2861" s="683"/>
      <c r="D2861" s="698"/>
      <c r="E2861" s="215"/>
      <c r="F2861" s="215"/>
      <c r="G2861" s="153"/>
      <c r="H2861" s="153"/>
      <c r="I2861" s="306">
        <v>15</v>
      </c>
      <c r="J2861" s="306">
        <v>60</v>
      </c>
      <c r="K2861" s="150">
        <v>1</v>
      </c>
      <c r="L2861" s="656">
        <v>15</v>
      </c>
      <c r="M2861" s="663">
        <v>33394</v>
      </c>
      <c r="N2861" s="600">
        <v>5.1812199999999997</v>
      </c>
      <c r="O2861" s="604">
        <v>2.4140000000000002E-2</v>
      </c>
      <c r="P2861" s="150"/>
      <c r="Q2861" s="250"/>
      <c r="R2861" s="250"/>
      <c r="S2861" s="250"/>
      <c r="T2861" s="250"/>
      <c r="U2861" s="250"/>
      <c r="V2861" s="250"/>
      <c r="W2861" s="250"/>
      <c r="X2861" s="250"/>
      <c r="Y2861" s="250"/>
      <c r="Z2861" s="150"/>
      <c r="AA2861" s="223">
        <v>1.9021080900941592</v>
      </c>
      <c r="AB2861" s="152"/>
      <c r="AC2861" s="152"/>
      <c r="AD2861" s="223"/>
      <c r="AE2861" s="223"/>
      <c r="AF2861" s="223"/>
      <c r="AG2861" s="223"/>
      <c r="AH2861" s="341"/>
      <c r="AI2861" s="218"/>
      <c r="AJ2861" s="218"/>
      <c r="AK2861" s="153"/>
      <c r="AL2861" s="152"/>
      <c r="AM2861" s="152"/>
      <c r="AN2861" s="152"/>
      <c r="AO2861" s="152"/>
      <c r="AP2861" s="152"/>
      <c r="AQ2861" s="152"/>
      <c r="AR2861" s="152"/>
      <c r="AS2861" s="152"/>
      <c r="AT2861" s="152"/>
      <c r="AU2861" s="153"/>
      <c r="AV2861" s="479"/>
      <c r="AW2861" s="479"/>
      <c r="AX2861" s="442"/>
      <c r="AY2861" s="153"/>
      <c r="AZ2861" s="152"/>
      <c r="BA2861" s="152"/>
      <c r="BB2861" s="152"/>
      <c r="BC2861" s="152"/>
      <c r="BD2861" s="152"/>
      <c r="BE2861" s="152"/>
      <c r="BF2861" s="152"/>
      <c r="BG2861" s="152"/>
      <c r="BH2861" s="152"/>
      <c r="BI2861" s="153"/>
      <c r="BJ2861" s="153"/>
      <c r="BK2861" s="153"/>
      <c r="BL2861" s="153"/>
      <c r="BM2861" s="153"/>
      <c r="BN2861" s="153"/>
      <c r="BO2861" s="153"/>
      <c r="BP2861" s="153"/>
      <c r="BQ2861" s="153"/>
      <c r="BR2861" s="153"/>
      <c r="BS2861" s="153"/>
      <c r="BT2861" s="153"/>
      <c r="BU2861" s="153"/>
      <c r="BV2861" s="153"/>
      <c r="BW2861" s="153"/>
      <c r="BX2861" s="153"/>
      <c r="BY2861" s="153"/>
      <c r="BZ2861" s="153"/>
      <c r="CA2861" s="152"/>
      <c r="CB2861" s="152"/>
    </row>
    <row r="2862" spans="1:80" s="87" customFormat="1" x14ac:dyDescent="0.2">
      <c r="A2862" s="152"/>
      <c r="B2862" s="683"/>
      <c r="C2862" s="683"/>
      <c r="D2862" s="698"/>
      <c r="E2862" s="215"/>
      <c r="F2862" s="215"/>
      <c r="G2862" s="153"/>
      <c r="H2862" s="153"/>
      <c r="I2862" s="306">
        <v>13</v>
      </c>
      <c r="J2862" s="306">
        <v>60</v>
      </c>
      <c r="K2862" s="150">
        <v>1</v>
      </c>
      <c r="L2862" s="656">
        <v>13</v>
      </c>
      <c r="M2862" s="663">
        <v>33413</v>
      </c>
      <c r="N2862" s="600">
        <v>1.9394199999999999</v>
      </c>
      <c r="O2862" s="604">
        <v>1.0706E-2</v>
      </c>
      <c r="P2862" s="150"/>
      <c r="Q2862" s="250"/>
      <c r="R2862" s="250"/>
      <c r="S2862" s="250"/>
      <c r="T2862" s="250"/>
      <c r="U2862" s="250"/>
      <c r="V2862" s="250"/>
      <c r="W2862" s="250"/>
      <c r="X2862" s="250"/>
      <c r="Y2862" s="250"/>
      <c r="Z2862" s="150"/>
      <c r="AA2862" s="223">
        <v>0.59918567142631574</v>
      </c>
      <c r="AB2862" s="152"/>
      <c r="AC2862" s="152"/>
      <c r="AD2862" s="223">
        <v>9.2960949999999993</v>
      </c>
      <c r="AE2862" s="223">
        <v>0.31698159999999997</v>
      </c>
      <c r="AF2862" s="223">
        <v>2.9540291999999999</v>
      </c>
      <c r="AG2862" s="223">
        <v>0.67358589999999996</v>
      </c>
      <c r="AH2862" s="341"/>
      <c r="AI2862" s="218"/>
      <c r="AJ2862" s="218"/>
      <c r="AK2862" s="153"/>
      <c r="AL2862" s="152"/>
      <c r="AM2862" s="152"/>
      <c r="AN2862" s="152"/>
      <c r="AO2862" s="152"/>
      <c r="AP2862" s="152"/>
      <c r="AQ2862" s="152"/>
      <c r="AR2862" s="152"/>
      <c r="AS2862" s="152"/>
      <c r="AT2862" s="152"/>
      <c r="AU2862" s="153"/>
      <c r="AV2862" s="479"/>
      <c r="AW2862" s="479"/>
      <c r="AX2862" s="442"/>
      <c r="AY2862" s="153"/>
      <c r="AZ2862" s="152"/>
      <c r="BA2862" s="152"/>
      <c r="BB2862" s="152"/>
      <c r="BC2862" s="152"/>
      <c r="BD2862" s="152"/>
      <c r="BE2862" s="152"/>
      <c r="BF2862" s="152"/>
      <c r="BG2862" s="152"/>
      <c r="BH2862" s="152"/>
      <c r="BI2862" s="153"/>
      <c r="BJ2862" s="153"/>
      <c r="BK2862" s="153"/>
      <c r="BL2862" s="153"/>
      <c r="BM2862" s="153"/>
      <c r="BN2862" s="153"/>
      <c r="BO2862" s="153"/>
      <c r="BP2862" s="153"/>
      <c r="BQ2862" s="153"/>
      <c r="BR2862" s="153"/>
      <c r="BS2862" s="153"/>
      <c r="BT2862" s="153"/>
      <c r="BU2862" s="153"/>
      <c r="BV2862" s="153"/>
      <c r="BW2862" s="153"/>
      <c r="BX2862" s="153"/>
      <c r="BY2862" s="153"/>
      <c r="BZ2862" s="153"/>
      <c r="CA2862" s="152"/>
      <c r="CB2862" s="152"/>
    </row>
    <row r="2863" spans="1:80" s="87" customFormat="1" x14ac:dyDescent="0.2">
      <c r="A2863" s="152"/>
      <c r="B2863" s="683"/>
      <c r="C2863" s="683"/>
      <c r="D2863" s="698"/>
      <c r="E2863" s="215"/>
      <c r="F2863" s="215"/>
      <c r="G2863" s="153"/>
      <c r="H2863" s="153"/>
      <c r="I2863" s="306">
        <v>14</v>
      </c>
      <c r="J2863" s="306">
        <v>60</v>
      </c>
      <c r="K2863" s="150">
        <v>1</v>
      </c>
      <c r="L2863" s="656">
        <v>14</v>
      </c>
      <c r="M2863" s="663">
        <v>33429</v>
      </c>
      <c r="N2863" s="600">
        <v>1.1919599999999999</v>
      </c>
      <c r="O2863" s="604">
        <v>9.4600000000000001E-4</v>
      </c>
      <c r="P2863" s="150"/>
      <c r="Q2863" s="250"/>
      <c r="R2863" s="250"/>
      <c r="S2863" s="250"/>
      <c r="T2863" s="250"/>
      <c r="U2863" s="250"/>
      <c r="V2863" s="250"/>
      <c r="W2863" s="250"/>
      <c r="X2863" s="250"/>
      <c r="Y2863" s="250"/>
      <c r="Z2863" s="150"/>
      <c r="AA2863" s="223">
        <v>0.68060873645388442</v>
      </c>
      <c r="AB2863" s="152"/>
      <c r="AC2863" s="152"/>
      <c r="AD2863" s="223">
        <v>9.0217840000000002</v>
      </c>
      <c r="AE2863" s="223">
        <v>0.35355639999999999</v>
      </c>
      <c r="AF2863" s="223">
        <v>3.1862642000000001</v>
      </c>
      <c r="AG2863" s="223">
        <v>0.38403540000000003</v>
      </c>
      <c r="AH2863" s="341"/>
      <c r="AI2863" s="218"/>
      <c r="AJ2863" s="218"/>
      <c r="AK2863" s="153"/>
      <c r="AL2863" s="152"/>
      <c r="AM2863" s="152"/>
      <c r="AN2863" s="152"/>
      <c r="AO2863" s="152"/>
      <c r="AP2863" s="152"/>
      <c r="AQ2863" s="152"/>
      <c r="AR2863" s="152"/>
      <c r="AS2863" s="152"/>
      <c r="AT2863" s="152"/>
      <c r="AU2863" s="153"/>
      <c r="AV2863" s="479"/>
      <c r="AW2863" s="479"/>
      <c r="AX2863" s="442"/>
      <c r="AY2863" s="153"/>
      <c r="AZ2863" s="152"/>
      <c r="BA2863" s="152"/>
      <c r="BB2863" s="152"/>
      <c r="BC2863" s="152"/>
      <c r="BD2863" s="152"/>
      <c r="BE2863" s="152"/>
      <c r="BF2863" s="152"/>
      <c r="BG2863" s="152"/>
      <c r="BH2863" s="152"/>
      <c r="BI2863" s="153"/>
      <c r="BJ2863" s="153"/>
      <c r="BK2863" s="153"/>
      <c r="BL2863" s="153"/>
      <c r="BM2863" s="153"/>
      <c r="BN2863" s="153"/>
      <c r="BO2863" s="153"/>
      <c r="BP2863" s="153"/>
      <c r="BQ2863" s="153"/>
      <c r="BR2863" s="153"/>
      <c r="BS2863" s="153"/>
      <c r="BT2863" s="153"/>
      <c r="BU2863" s="153"/>
      <c r="BV2863" s="153"/>
      <c r="BW2863" s="153"/>
      <c r="BX2863" s="153"/>
      <c r="BY2863" s="153"/>
      <c r="BZ2863" s="153"/>
      <c r="CA2863" s="152"/>
      <c r="CB2863" s="152"/>
    </row>
    <row r="2864" spans="1:80" s="87" customFormat="1" x14ac:dyDescent="0.2">
      <c r="A2864" s="152"/>
      <c r="B2864" s="683"/>
      <c r="C2864" s="683"/>
      <c r="D2864" s="698"/>
      <c r="E2864" s="215"/>
      <c r="F2864" s="215"/>
      <c r="G2864" s="153"/>
      <c r="H2864" s="153"/>
      <c r="I2864" s="306">
        <v>14</v>
      </c>
      <c r="J2864" s="306">
        <v>60</v>
      </c>
      <c r="K2864" s="150">
        <v>1</v>
      </c>
      <c r="L2864" s="656">
        <v>14</v>
      </c>
      <c r="M2864" s="663">
        <v>33686</v>
      </c>
      <c r="N2864" s="600">
        <v>1.5090699999999999</v>
      </c>
      <c r="O2864" s="604">
        <v>3.705E-2</v>
      </c>
      <c r="P2864" s="150"/>
      <c r="Q2864" s="250"/>
      <c r="R2864" s="250"/>
      <c r="S2864" s="250"/>
      <c r="T2864" s="250"/>
      <c r="U2864" s="250"/>
      <c r="V2864" s="250"/>
      <c r="W2864" s="250"/>
      <c r="X2864" s="250"/>
      <c r="Y2864" s="250"/>
      <c r="Z2864" s="150"/>
      <c r="AA2864" s="223">
        <v>1.4371450456618104</v>
      </c>
      <c r="AB2864" s="152"/>
      <c r="AC2864" s="152"/>
      <c r="AD2864" s="223"/>
      <c r="AE2864" s="223"/>
      <c r="AF2864" s="223"/>
      <c r="AG2864" s="223"/>
      <c r="AH2864" s="341"/>
      <c r="AI2864" s="218"/>
      <c r="AJ2864" s="218"/>
      <c r="AK2864" s="153"/>
      <c r="AL2864" s="152"/>
      <c r="AM2864" s="152"/>
      <c r="AN2864" s="152"/>
      <c r="AO2864" s="152"/>
      <c r="AP2864" s="152"/>
      <c r="AQ2864" s="152"/>
      <c r="AR2864" s="152"/>
      <c r="AS2864" s="152"/>
      <c r="AT2864" s="152"/>
      <c r="AU2864" s="153"/>
      <c r="AV2864" s="479"/>
      <c r="AW2864" s="479"/>
      <c r="AX2864" s="442"/>
      <c r="AY2864" s="153"/>
      <c r="AZ2864" s="152"/>
      <c r="BA2864" s="152"/>
      <c r="BB2864" s="152"/>
      <c r="BC2864" s="152"/>
      <c r="BD2864" s="152"/>
      <c r="BE2864" s="152"/>
      <c r="BF2864" s="152"/>
      <c r="BG2864" s="152"/>
      <c r="BH2864" s="152"/>
      <c r="BI2864" s="153"/>
      <c r="BJ2864" s="153"/>
      <c r="BK2864" s="153"/>
      <c r="BL2864" s="153"/>
      <c r="BM2864" s="153"/>
      <c r="BN2864" s="153"/>
      <c r="BO2864" s="153"/>
      <c r="BP2864" s="153"/>
      <c r="BQ2864" s="153"/>
      <c r="BR2864" s="153"/>
      <c r="BS2864" s="153"/>
      <c r="BT2864" s="153"/>
      <c r="BU2864" s="153"/>
      <c r="BV2864" s="153"/>
      <c r="BW2864" s="153"/>
      <c r="BX2864" s="153"/>
      <c r="BY2864" s="153"/>
      <c r="BZ2864" s="153"/>
      <c r="CA2864" s="152"/>
      <c r="CB2864" s="152"/>
    </row>
    <row r="2865" spans="1:80" s="87" customFormat="1" x14ac:dyDescent="0.2">
      <c r="A2865" s="152"/>
      <c r="B2865" s="683"/>
      <c r="C2865" s="683"/>
      <c r="D2865" s="698"/>
      <c r="E2865" s="215"/>
      <c r="F2865" s="215"/>
      <c r="G2865" s="153"/>
      <c r="H2865" s="153"/>
      <c r="I2865" s="306">
        <v>14</v>
      </c>
      <c r="J2865" s="306">
        <v>60</v>
      </c>
      <c r="K2865" s="150">
        <v>1</v>
      </c>
      <c r="L2865" s="656">
        <v>14</v>
      </c>
      <c r="M2865" s="663">
        <v>33693</v>
      </c>
      <c r="N2865" s="600">
        <v>1.5090699999999999</v>
      </c>
      <c r="O2865" s="604">
        <v>5.6499999999999996E-4</v>
      </c>
      <c r="P2865" s="150"/>
      <c r="Q2865" s="250"/>
      <c r="R2865" s="250"/>
      <c r="S2865" s="250"/>
      <c r="T2865" s="250"/>
      <c r="U2865" s="250"/>
      <c r="V2865" s="250"/>
      <c r="W2865" s="250"/>
      <c r="X2865" s="250"/>
      <c r="Y2865" s="250"/>
      <c r="Z2865" s="150"/>
      <c r="AA2865" s="223">
        <v>0.56060835900040229</v>
      </c>
      <c r="AB2865" s="152"/>
      <c r="AC2865" s="152"/>
      <c r="AD2865" s="223">
        <v>9.0217840000000002</v>
      </c>
      <c r="AE2865" s="223">
        <v>0.32307740000000001</v>
      </c>
      <c r="AF2865" s="223">
        <v>2.9075821999999998</v>
      </c>
      <c r="AG2865" s="223">
        <v>0.5242388</v>
      </c>
      <c r="AH2865" s="341"/>
      <c r="AI2865" s="218"/>
      <c r="AJ2865" s="218"/>
      <c r="AK2865" s="153"/>
      <c r="AL2865" s="152"/>
      <c r="AM2865" s="152"/>
      <c r="AN2865" s="152"/>
      <c r="AO2865" s="152"/>
      <c r="AP2865" s="152"/>
      <c r="AQ2865" s="152"/>
      <c r="AR2865" s="152"/>
      <c r="AS2865" s="152"/>
      <c r="AT2865" s="152"/>
      <c r="AU2865" s="153"/>
      <c r="AV2865" s="479"/>
      <c r="AW2865" s="479"/>
      <c r="AX2865" s="442"/>
      <c r="AY2865" s="153"/>
      <c r="AZ2865" s="152"/>
      <c r="BA2865" s="152"/>
      <c r="BB2865" s="152"/>
      <c r="BC2865" s="152"/>
      <c r="BD2865" s="152"/>
      <c r="BE2865" s="152"/>
      <c r="BF2865" s="152"/>
      <c r="BG2865" s="152"/>
      <c r="BH2865" s="152"/>
      <c r="BI2865" s="153"/>
      <c r="BJ2865" s="153"/>
      <c r="BK2865" s="153"/>
      <c r="BL2865" s="153"/>
      <c r="BM2865" s="153"/>
      <c r="BN2865" s="153"/>
      <c r="BO2865" s="153"/>
      <c r="BP2865" s="153"/>
      <c r="BQ2865" s="153"/>
      <c r="BR2865" s="153"/>
      <c r="BS2865" s="153"/>
      <c r="BT2865" s="153"/>
      <c r="BU2865" s="153"/>
      <c r="BV2865" s="153"/>
      <c r="BW2865" s="153"/>
      <c r="BX2865" s="153"/>
      <c r="BY2865" s="153"/>
      <c r="BZ2865" s="153"/>
      <c r="CA2865" s="152"/>
      <c r="CB2865" s="152"/>
    </row>
    <row r="2866" spans="1:80" s="87" customFormat="1" x14ac:dyDescent="0.2">
      <c r="A2866" s="152"/>
      <c r="B2866" s="683"/>
      <c r="C2866" s="683"/>
      <c r="D2866" s="698"/>
      <c r="E2866" s="215"/>
      <c r="F2866" s="215"/>
      <c r="G2866" s="153"/>
      <c r="H2866" s="153"/>
      <c r="I2866" s="306">
        <v>15</v>
      </c>
      <c r="J2866" s="306">
        <v>60</v>
      </c>
      <c r="K2866" s="150">
        <v>1</v>
      </c>
      <c r="L2866" s="656">
        <v>15</v>
      </c>
      <c r="M2866" s="663">
        <v>33696</v>
      </c>
      <c r="N2866" s="600">
        <v>2.00454</v>
      </c>
      <c r="O2866" s="604">
        <v>2.9808000000000001E-2</v>
      </c>
      <c r="P2866" s="150"/>
      <c r="Q2866" s="250"/>
      <c r="R2866" s="250"/>
      <c r="S2866" s="250"/>
      <c r="T2866" s="250"/>
      <c r="U2866" s="250"/>
      <c r="V2866" s="250"/>
      <c r="W2866" s="250"/>
      <c r="X2866" s="250"/>
      <c r="Y2866" s="250"/>
      <c r="Z2866" s="150"/>
      <c r="AA2866" s="223">
        <v>1.3198936381604318</v>
      </c>
      <c r="AB2866" s="152"/>
      <c r="AC2866" s="152"/>
      <c r="AD2866" s="223"/>
      <c r="AE2866" s="223"/>
      <c r="AF2866" s="223"/>
      <c r="AG2866" s="223"/>
      <c r="AH2866" s="341"/>
      <c r="AI2866" s="218"/>
      <c r="AJ2866" s="218"/>
      <c r="AK2866" s="153"/>
      <c r="AL2866" s="152"/>
      <c r="AM2866" s="152"/>
      <c r="AN2866" s="152"/>
      <c r="AO2866" s="152"/>
      <c r="AP2866" s="152"/>
      <c r="AQ2866" s="152"/>
      <c r="AR2866" s="152"/>
      <c r="AS2866" s="152"/>
      <c r="AT2866" s="152"/>
      <c r="AU2866" s="153"/>
      <c r="AV2866" s="479"/>
      <c r="AW2866" s="479"/>
      <c r="AX2866" s="442"/>
      <c r="AY2866" s="153"/>
      <c r="AZ2866" s="152"/>
      <c r="BA2866" s="152"/>
      <c r="BB2866" s="152"/>
      <c r="BC2866" s="152"/>
      <c r="BD2866" s="152"/>
      <c r="BE2866" s="152"/>
      <c r="BF2866" s="152"/>
      <c r="BG2866" s="152"/>
      <c r="BH2866" s="152"/>
      <c r="BI2866" s="153"/>
      <c r="BJ2866" s="153"/>
      <c r="BK2866" s="153"/>
      <c r="BL2866" s="153"/>
      <c r="BM2866" s="153"/>
      <c r="BN2866" s="153"/>
      <c r="BO2866" s="153"/>
      <c r="BP2866" s="153"/>
      <c r="BQ2866" s="153"/>
      <c r="BR2866" s="153"/>
      <c r="BS2866" s="153"/>
      <c r="BT2866" s="153"/>
      <c r="BU2866" s="153"/>
      <c r="BV2866" s="153"/>
      <c r="BW2866" s="153"/>
      <c r="BX2866" s="153"/>
      <c r="BY2866" s="153"/>
      <c r="BZ2866" s="153"/>
      <c r="CA2866" s="152"/>
      <c r="CB2866" s="152"/>
    </row>
    <row r="2867" spans="1:80" s="87" customFormat="1" x14ac:dyDescent="0.2">
      <c r="A2867" s="152"/>
      <c r="B2867" s="683"/>
      <c r="C2867" s="683"/>
      <c r="D2867" s="698"/>
      <c r="E2867" s="215"/>
      <c r="F2867" s="215"/>
      <c r="G2867" s="153"/>
      <c r="H2867" s="153"/>
      <c r="I2867" s="306">
        <v>15</v>
      </c>
      <c r="J2867" s="306">
        <v>60</v>
      </c>
      <c r="K2867" s="150">
        <v>1</v>
      </c>
      <c r="L2867" s="656">
        <v>15</v>
      </c>
      <c r="M2867" s="663">
        <v>33698</v>
      </c>
      <c r="N2867" s="600">
        <v>3.1143999999999998</v>
      </c>
      <c r="O2867" s="604">
        <v>7.6934000000000002E-2</v>
      </c>
      <c r="P2867" s="150"/>
      <c r="Q2867" s="250"/>
      <c r="R2867" s="250"/>
      <c r="S2867" s="250"/>
      <c r="T2867" s="250"/>
      <c r="U2867" s="250"/>
      <c r="V2867" s="250"/>
      <c r="W2867" s="250"/>
      <c r="X2867" s="250"/>
      <c r="Y2867" s="250"/>
      <c r="Z2867" s="150"/>
      <c r="AA2867" s="223">
        <v>1.1118291217096008</v>
      </c>
      <c r="AB2867" s="152"/>
      <c r="AC2867" s="152"/>
      <c r="AD2867" s="223">
        <v>9.5094480000000008</v>
      </c>
      <c r="AE2867" s="223">
        <v>0.41451440000000001</v>
      </c>
      <c r="AF2867" s="223">
        <v>3.9479950000000001</v>
      </c>
      <c r="AG2867" s="223">
        <v>0.76807080000000005</v>
      </c>
      <c r="AH2867" s="341"/>
      <c r="AI2867" s="218"/>
      <c r="AJ2867" s="218"/>
      <c r="AK2867" s="153"/>
      <c r="AL2867" s="152"/>
      <c r="AM2867" s="152"/>
      <c r="AN2867" s="152"/>
      <c r="AO2867" s="152"/>
      <c r="AP2867" s="152"/>
      <c r="AQ2867" s="152"/>
      <c r="AR2867" s="152"/>
      <c r="AS2867" s="152"/>
      <c r="AT2867" s="152"/>
      <c r="AU2867" s="153"/>
      <c r="AV2867" s="479"/>
      <c r="AW2867" s="479"/>
      <c r="AX2867" s="442"/>
      <c r="AY2867" s="153"/>
      <c r="AZ2867" s="152"/>
      <c r="BA2867" s="152"/>
      <c r="BB2867" s="152"/>
      <c r="BC2867" s="152"/>
      <c r="BD2867" s="152"/>
      <c r="BE2867" s="152"/>
      <c r="BF2867" s="152"/>
      <c r="BG2867" s="152"/>
      <c r="BH2867" s="152"/>
      <c r="BI2867" s="153"/>
      <c r="BJ2867" s="153"/>
      <c r="BK2867" s="153"/>
      <c r="BL2867" s="153"/>
      <c r="BM2867" s="153"/>
      <c r="BN2867" s="153"/>
      <c r="BO2867" s="153"/>
      <c r="BP2867" s="153"/>
      <c r="BQ2867" s="153"/>
      <c r="BR2867" s="153"/>
      <c r="BS2867" s="153"/>
      <c r="BT2867" s="153"/>
      <c r="BU2867" s="153"/>
      <c r="BV2867" s="153"/>
      <c r="BW2867" s="153"/>
      <c r="BX2867" s="153"/>
      <c r="BY2867" s="153"/>
      <c r="BZ2867" s="153"/>
      <c r="CA2867" s="152"/>
      <c r="CB2867" s="152"/>
    </row>
    <row r="2868" spans="1:80" s="87" customFormat="1" x14ac:dyDescent="0.2">
      <c r="A2868" s="152"/>
      <c r="B2868" s="683"/>
      <c r="C2868" s="683"/>
      <c r="D2868" s="698"/>
      <c r="E2868" s="215"/>
      <c r="F2868" s="215"/>
      <c r="G2868" s="153"/>
      <c r="H2868" s="153"/>
      <c r="I2868" s="306">
        <v>15</v>
      </c>
      <c r="J2868" s="306">
        <v>60</v>
      </c>
      <c r="K2868" s="150">
        <v>1</v>
      </c>
      <c r="L2868" s="656">
        <v>15</v>
      </c>
      <c r="M2868" s="663">
        <v>33704</v>
      </c>
      <c r="N2868" s="600">
        <v>3.00115</v>
      </c>
      <c r="O2868" s="604">
        <v>7.7038999999999996E-2</v>
      </c>
      <c r="P2868" s="150"/>
      <c r="Q2868" s="250"/>
      <c r="R2868" s="250"/>
      <c r="S2868" s="250"/>
      <c r="T2868" s="250"/>
      <c r="U2868" s="250"/>
      <c r="V2868" s="250"/>
      <c r="W2868" s="250"/>
      <c r="X2868" s="250"/>
      <c r="Y2868" s="250"/>
      <c r="Z2868" s="150"/>
      <c r="AA2868" s="223">
        <v>1.7415609575211033</v>
      </c>
      <c r="AB2868" s="152"/>
      <c r="AC2868" s="152"/>
      <c r="AD2868" s="223">
        <v>9.5704060000000002</v>
      </c>
      <c r="AE2868" s="223">
        <v>0.39927489999999999</v>
      </c>
      <c r="AF2868" s="223">
        <v>3.8272328</v>
      </c>
      <c r="AG2868" s="223">
        <v>0.77721450000000003</v>
      </c>
      <c r="AH2868" s="341"/>
      <c r="AI2868" s="218"/>
      <c r="AJ2868" s="218"/>
      <c r="AK2868" s="153"/>
      <c r="AL2868" s="152"/>
      <c r="AM2868" s="152"/>
      <c r="AN2868" s="152"/>
      <c r="AO2868" s="152"/>
      <c r="AP2868" s="152"/>
      <c r="AQ2868" s="152"/>
      <c r="AR2868" s="152"/>
      <c r="AS2868" s="152"/>
      <c r="AT2868" s="152"/>
      <c r="AU2868" s="153"/>
      <c r="AV2868" s="479"/>
      <c r="AW2868" s="479"/>
      <c r="AX2868" s="442"/>
      <c r="AY2868" s="153"/>
      <c r="AZ2868" s="152"/>
      <c r="BA2868" s="152"/>
      <c r="BB2868" s="152"/>
      <c r="BC2868" s="152"/>
      <c r="BD2868" s="152"/>
      <c r="BE2868" s="152"/>
      <c r="BF2868" s="152"/>
      <c r="BG2868" s="152"/>
      <c r="BH2868" s="152"/>
      <c r="BI2868" s="153"/>
      <c r="BJ2868" s="153"/>
      <c r="BK2868" s="153"/>
      <c r="BL2868" s="153"/>
      <c r="BM2868" s="153"/>
      <c r="BN2868" s="153"/>
      <c r="BO2868" s="153"/>
      <c r="BP2868" s="153"/>
      <c r="BQ2868" s="153"/>
      <c r="BR2868" s="153"/>
      <c r="BS2868" s="153"/>
      <c r="BT2868" s="153"/>
      <c r="BU2868" s="153"/>
      <c r="BV2868" s="153"/>
      <c r="BW2868" s="153"/>
      <c r="BX2868" s="153"/>
      <c r="BY2868" s="153"/>
      <c r="BZ2868" s="153"/>
      <c r="CA2868" s="152"/>
      <c r="CB2868" s="152"/>
    </row>
    <row r="2869" spans="1:80" s="87" customFormat="1" x14ac:dyDescent="0.2">
      <c r="A2869" s="152"/>
      <c r="B2869" s="683"/>
      <c r="C2869" s="683"/>
      <c r="D2869" s="698"/>
      <c r="E2869" s="215"/>
      <c r="F2869" s="215"/>
      <c r="G2869" s="153"/>
      <c r="H2869" s="153"/>
      <c r="I2869" s="306">
        <v>15</v>
      </c>
      <c r="J2869" s="306">
        <v>30</v>
      </c>
      <c r="K2869" s="150">
        <v>1</v>
      </c>
      <c r="L2869" s="656">
        <v>7.5</v>
      </c>
      <c r="M2869" s="663">
        <v>33711</v>
      </c>
      <c r="N2869" s="600">
        <v>4.7565299999999997</v>
      </c>
      <c r="O2869" s="604">
        <v>0.247699</v>
      </c>
      <c r="P2869" s="150"/>
      <c r="Q2869" s="250"/>
      <c r="R2869" s="250"/>
      <c r="S2869" s="250"/>
      <c r="T2869" s="250"/>
      <c r="U2869" s="250"/>
      <c r="V2869" s="250"/>
      <c r="W2869" s="250"/>
      <c r="X2869" s="250"/>
      <c r="Y2869" s="250"/>
      <c r="Z2869" s="150"/>
      <c r="AA2869" s="223">
        <v>2.0126808700769883</v>
      </c>
      <c r="AB2869" s="152"/>
      <c r="AC2869" s="152"/>
      <c r="AD2869" s="223">
        <v>9.8751960000000008</v>
      </c>
      <c r="AE2869" s="223">
        <v>0.48461609999999999</v>
      </c>
      <c r="AF2869" s="223">
        <v>4.7747516000000001</v>
      </c>
      <c r="AG2869" s="223">
        <v>0.98447169999999995</v>
      </c>
      <c r="AH2869" s="341"/>
      <c r="AI2869" s="218"/>
      <c r="AJ2869" s="218"/>
      <c r="AK2869" s="153"/>
      <c r="AL2869" s="152"/>
      <c r="AM2869" s="152"/>
      <c r="AN2869" s="152"/>
      <c r="AO2869" s="152"/>
      <c r="AP2869" s="152"/>
      <c r="AQ2869" s="152"/>
      <c r="AR2869" s="152"/>
      <c r="AS2869" s="152"/>
      <c r="AT2869" s="152"/>
      <c r="AU2869" s="153"/>
      <c r="AV2869" s="479"/>
      <c r="AW2869" s="479"/>
      <c r="AX2869" s="442"/>
      <c r="AY2869" s="153"/>
      <c r="AZ2869" s="152"/>
      <c r="BA2869" s="152"/>
      <c r="BB2869" s="152"/>
      <c r="BC2869" s="152"/>
      <c r="BD2869" s="152"/>
      <c r="BE2869" s="152"/>
      <c r="BF2869" s="152"/>
      <c r="BG2869" s="152"/>
      <c r="BH2869" s="152"/>
      <c r="BI2869" s="153"/>
      <c r="BJ2869" s="153"/>
      <c r="BK2869" s="153"/>
      <c r="BL2869" s="153"/>
      <c r="BM2869" s="153"/>
      <c r="BN2869" s="153"/>
      <c r="BO2869" s="153"/>
      <c r="BP2869" s="153"/>
      <c r="BQ2869" s="153"/>
      <c r="BR2869" s="153"/>
      <c r="BS2869" s="153"/>
      <c r="BT2869" s="153"/>
      <c r="BU2869" s="153"/>
      <c r="BV2869" s="153"/>
      <c r="BW2869" s="153"/>
      <c r="BX2869" s="153"/>
      <c r="BY2869" s="153"/>
      <c r="BZ2869" s="153"/>
      <c r="CA2869" s="152"/>
      <c r="CB2869" s="152"/>
    </row>
    <row r="2870" spans="1:80" s="87" customFormat="1" x14ac:dyDescent="0.2">
      <c r="A2870" s="152"/>
      <c r="B2870" s="683"/>
      <c r="C2870" s="683"/>
      <c r="D2870" s="698"/>
      <c r="E2870" s="215"/>
      <c r="F2870" s="215"/>
      <c r="G2870" s="153"/>
      <c r="H2870" s="153"/>
      <c r="I2870" s="306">
        <v>15</v>
      </c>
      <c r="J2870" s="306">
        <v>60</v>
      </c>
      <c r="K2870" s="150">
        <v>1</v>
      </c>
      <c r="L2870" s="656">
        <v>15</v>
      </c>
      <c r="M2870" s="663">
        <v>33721</v>
      </c>
      <c r="N2870" s="600">
        <v>3.4824600000000001</v>
      </c>
      <c r="O2870" s="604">
        <v>0.113354</v>
      </c>
      <c r="P2870" s="150"/>
      <c r="Q2870" s="250"/>
      <c r="R2870" s="250"/>
      <c r="S2870" s="250"/>
      <c r="T2870" s="250"/>
      <c r="U2870" s="250"/>
      <c r="V2870" s="250"/>
      <c r="W2870" s="250"/>
      <c r="X2870" s="250"/>
      <c r="Y2870" s="250"/>
      <c r="Z2870" s="150"/>
      <c r="AA2870" s="223">
        <v>2.6678318589172862</v>
      </c>
      <c r="AB2870" s="152"/>
      <c r="AC2870" s="152"/>
      <c r="AD2870" s="223"/>
      <c r="AE2870" s="223"/>
      <c r="AF2870" s="223"/>
      <c r="AG2870" s="223"/>
      <c r="AH2870" s="341"/>
      <c r="AI2870" s="218"/>
      <c r="AJ2870" s="218"/>
      <c r="AK2870" s="153"/>
      <c r="AL2870" s="152"/>
      <c r="AM2870" s="152"/>
      <c r="AN2870" s="152"/>
      <c r="AO2870" s="152"/>
      <c r="AP2870" s="152"/>
      <c r="AQ2870" s="152"/>
      <c r="AR2870" s="152"/>
      <c r="AS2870" s="152"/>
      <c r="AT2870" s="152"/>
      <c r="AU2870" s="153"/>
      <c r="AV2870" s="479"/>
      <c r="AW2870" s="479"/>
      <c r="AX2870" s="442"/>
      <c r="AY2870" s="153"/>
      <c r="AZ2870" s="152"/>
      <c r="BA2870" s="152"/>
      <c r="BB2870" s="152"/>
      <c r="BC2870" s="152"/>
      <c r="BD2870" s="152"/>
      <c r="BE2870" s="152"/>
      <c r="BF2870" s="152"/>
      <c r="BG2870" s="152"/>
      <c r="BH2870" s="152"/>
      <c r="BI2870" s="153"/>
      <c r="BJ2870" s="153"/>
      <c r="BK2870" s="153"/>
      <c r="BL2870" s="153"/>
      <c r="BM2870" s="153"/>
      <c r="BN2870" s="153"/>
      <c r="BO2870" s="153"/>
      <c r="BP2870" s="153"/>
      <c r="BQ2870" s="153"/>
      <c r="BR2870" s="153"/>
      <c r="BS2870" s="153"/>
      <c r="BT2870" s="153"/>
      <c r="BU2870" s="153"/>
      <c r="BV2870" s="153"/>
      <c r="BW2870" s="153"/>
      <c r="BX2870" s="153"/>
      <c r="BY2870" s="153"/>
      <c r="BZ2870" s="153"/>
      <c r="CA2870" s="152"/>
      <c r="CB2870" s="152"/>
    </row>
    <row r="2871" spans="1:80" s="87" customFormat="1" x14ac:dyDescent="0.2">
      <c r="A2871" s="152"/>
      <c r="B2871" s="683"/>
      <c r="C2871" s="683"/>
      <c r="D2871" s="698"/>
      <c r="E2871" s="215"/>
      <c r="F2871" s="215"/>
      <c r="G2871" s="153"/>
      <c r="H2871" s="153"/>
      <c r="I2871" s="306">
        <v>15</v>
      </c>
      <c r="J2871" s="306">
        <v>30</v>
      </c>
      <c r="K2871" s="150">
        <v>1</v>
      </c>
      <c r="L2871" s="656">
        <v>7.5</v>
      </c>
      <c r="M2871" s="663">
        <v>33728</v>
      </c>
      <c r="N2871" s="600">
        <v>3.00115</v>
      </c>
      <c r="O2871" s="604">
        <v>1.3644E-2</v>
      </c>
      <c r="P2871" s="150"/>
      <c r="Q2871" s="250"/>
      <c r="R2871" s="250"/>
      <c r="S2871" s="250"/>
      <c r="T2871" s="250"/>
      <c r="U2871" s="250"/>
      <c r="V2871" s="250"/>
      <c r="W2871" s="250"/>
      <c r="X2871" s="250"/>
      <c r="Y2871" s="250"/>
      <c r="Z2871" s="150"/>
      <c r="AA2871" s="223">
        <v>0.67881180781160655</v>
      </c>
      <c r="AB2871" s="152"/>
      <c r="AC2871" s="152"/>
      <c r="AD2871" s="223">
        <v>9.5094480000000008</v>
      </c>
      <c r="AE2871" s="223">
        <v>0.39927489999999999</v>
      </c>
      <c r="AF2871" s="223">
        <v>3.7900752</v>
      </c>
      <c r="AG2871" s="223">
        <v>0.76197499999999996</v>
      </c>
      <c r="AH2871" s="341"/>
      <c r="AI2871" s="218"/>
      <c r="AJ2871" s="218"/>
      <c r="AK2871" s="153"/>
      <c r="AL2871" s="152"/>
      <c r="AM2871" s="152"/>
      <c r="AN2871" s="152"/>
      <c r="AO2871" s="152"/>
      <c r="AP2871" s="152"/>
      <c r="AQ2871" s="152"/>
      <c r="AR2871" s="152"/>
      <c r="AS2871" s="152"/>
      <c r="AT2871" s="152"/>
      <c r="AU2871" s="153"/>
      <c r="AV2871" s="479"/>
      <c r="AW2871" s="479"/>
      <c r="AX2871" s="442"/>
      <c r="AY2871" s="153"/>
      <c r="AZ2871" s="152"/>
      <c r="BA2871" s="152"/>
      <c r="BB2871" s="152"/>
      <c r="BC2871" s="152"/>
      <c r="BD2871" s="152"/>
      <c r="BE2871" s="152"/>
      <c r="BF2871" s="152"/>
      <c r="BG2871" s="152"/>
      <c r="BH2871" s="152"/>
      <c r="BI2871" s="153"/>
      <c r="BJ2871" s="153"/>
      <c r="BK2871" s="153"/>
      <c r="BL2871" s="153"/>
      <c r="BM2871" s="153"/>
      <c r="BN2871" s="153"/>
      <c r="BO2871" s="153"/>
      <c r="BP2871" s="153"/>
      <c r="BQ2871" s="153"/>
      <c r="BR2871" s="153"/>
      <c r="BS2871" s="153"/>
      <c r="BT2871" s="153"/>
      <c r="BU2871" s="153"/>
      <c r="BV2871" s="153"/>
      <c r="BW2871" s="153"/>
      <c r="BX2871" s="153"/>
      <c r="BY2871" s="153"/>
      <c r="BZ2871" s="153"/>
      <c r="CA2871" s="152"/>
      <c r="CB2871" s="152"/>
    </row>
    <row r="2872" spans="1:80" s="87" customFormat="1" x14ac:dyDescent="0.2">
      <c r="A2872" s="152"/>
      <c r="B2872" s="683"/>
      <c r="C2872" s="683"/>
      <c r="D2872" s="698"/>
      <c r="E2872" s="215"/>
      <c r="F2872" s="215"/>
      <c r="G2872" s="153"/>
      <c r="H2872" s="153"/>
      <c r="I2872" s="306">
        <v>15</v>
      </c>
      <c r="J2872" s="306">
        <v>60</v>
      </c>
      <c r="K2872" s="150">
        <v>1</v>
      </c>
      <c r="L2872" s="656">
        <v>15</v>
      </c>
      <c r="M2872" s="663">
        <v>33735</v>
      </c>
      <c r="N2872" s="600">
        <v>2.2395299999999998</v>
      </c>
      <c r="O2872" s="604">
        <v>5.8460999999999999E-2</v>
      </c>
      <c r="P2872" s="150"/>
      <c r="Q2872" s="250"/>
      <c r="R2872" s="250"/>
      <c r="S2872" s="250"/>
      <c r="T2872" s="250"/>
      <c r="U2872" s="250"/>
      <c r="V2872" s="250"/>
      <c r="W2872" s="250"/>
      <c r="X2872" s="250"/>
      <c r="Y2872" s="250"/>
      <c r="Z2872" s="150"/>
      <c r="AA2872" s="223">
        <v>1.9298484507334788</v>
      </c>
      <c r="AB2872" s="152"/>
      <c r="AC2872" s="152"/>
      <c r="AD2872" s="223"/>
      <c r="AE2872" s="223"/>
      <c r="AF2872" s="223"/>
      <c r="AG2872" s="223"/>
      <c r="AH2872" s="341"/>
      <c r="AI2872" s="218"/>
      <c r="AJ2872" s="218"/>
      <c r="AK2872" s="153"/>
      <c r="AL2872" s="152"/>
      <c r="AM2872" s="152"/>
      <c r="AN2872" s="152"/>
      <c r="AO2872" s="152"/>
      <c r="AP2872" s="152"/>
      <c r="AQ2872" s="152"/>
      <c r="AR2872" s="152"/>
      <c r="AS2872" s="152"/>
      <c r="AT2872" s="152"/>
      <c r="AU2872" s="153"/>
      <c r="AV2872" s="479"/>
      <c r="AW2872" s="479"/>
      <c r="AX2872" s="442"/>
      <c r="AY2872" s="153"/>
      <c r="AZ2872" s="152"/>
      <c r="BA2872" s="152"/>
      <c r="BB2872" s="152"/>
      <c r="BC2872" s="152"/>
      <c r="BD2872" s="152"/>
      <c r="BE2872" s="152"/>
      <c r="BF2872" s="152"/>
      <c r="BG2872" s="152"/>
      <c r="BH2872" s="152"/>
      <c r="BI2872" s="153"/>
      <c r="BJ2872" s="153"/>
      <c r="BK2872" s="153"/>
      <c r="BL2872" s="153"/>
      <c r="BM2872" s="153"/>
      <c r="BN2872" s="153"/>
      <c r="BO2872" s="153"/>
      <c r="BP2872" s="153"/>
      <c r="BQ2872" s="153"/>
      <c r="BR2872" s="153"/>
      <c r="BS2872" s="153"/>
      <c r="BT2872" s="153"/>
      <c r="BU2872" s="153"/>
      <c r="BV2872" s="153"/>
      <c r="BW2872" s="153"/>
      <c r="BX2872" s="153"/>
      <c r="BY2872" s="153"/>
      <c r="BZ2872" s="153"/>
      <c r="CA2872" s="152"/>
      <c r="CB2872" s="152"/>
    </row>
    <row r="2873" spans="1:80" s="87" customFormat="1" x14ac:dyDescent="0.2">
      <c r="A2873" s="152"/>
      <c r="B2873" s="683"/>
      <c r="C2873" s="683"/>
      <c r="D2873" s="698"/>
      <c r="E2873" s="215"/>
      <c r="F2873" s="215"/>
      <c r="G2873" s="153"/>
      <c r="H2873" s="153"/>
      <c r="I2873" s="306">
        <v>15</v>
      </c>
      <c r="J2873" s="306">
        <v>60</v>
      </c>
      <c r="K2873" s="150">
        <v>1</v>
      </c>
      <c r="L2873" s="656">
        <v>15</v>
      </c>
      <c r="M2873" s="663">
        <v>33744</v>
      </c>
      <c r="N2873" s="600">
        <v>2.2395299999999998</v>
      </c>
      <c r="O2873" s="604">
        <v>1.4484E-2</v>
      </c>
      <c r="P2873" s="150"/>
      <c r="Q2873" s="250"/>
      <c r="R2873" s="250"/>
      <c r="S2873" s="250"/>
      <c r="T2873" s="250"/>
      <c r="U2873" s="250"/>
      <c r="V2873" s="250"/>
      <c r="W2873" s="250"/>
      <c r="X2873" s="250"/>
      <c r="Y2873" s="250"/>
      <c r="Z2873" s="150"/>
      <c r="AA2873" s="223">
        <v>1.7003132009752602</v>
      </c>
      <c r="AB2873" s="152"/>
      <c r="AC2873" s="152"/>
      <c r="AD2873" s="223"/>
      <c r="AE2873" s="223"/>
      <c r="AF2873" s="223"/>
      <c r="AG2873" s="223"/>
      <c r="AH2873" s="341"/>
      <c r="AI2873" s="218"/>
      <c r="AJ2873" s="218"/>
      <c r="AK2873" s="153"/>
      <c r="AL2873" s="152"/>
      <c r="AM2873" s="152"/>
      <c r="AN2873" s="152"/>
      <c r="AO2873" s="152"/>
      <c r="AP2873" s="152"/>
      <c r="AQ2873" s="152"/>
      <c r="AR2873" s="152"/>
      <c r="AS2873" s="152"/>
      <c r="AT2873" s="152"/>
      <c r="AU2873" s="153"/>
      <c r="AV2873" s="479"/>
      <c r="AW2873" s="479"/>
      <c r="AX2873" s="442"/>
      <c r="AY2873" s="153"/>
      <c r="AZ2873" s="152"/>
      <c r="BA2873" s="152"/>
      <c r="BB2873" s="152"/>
      <c r="BC2873" s="152"/>
      <c r="BD2873" s="152"/>
      <c r="BE2873" s="152"/>
      <c r="BF2873" s="152"/>
      <c r="BG2873" s="152"/>
      <c r="BH2873" s="152"/>
      <c r="BI2873" s="153"/>
      <c r="BJ2873" s="153"/>
      <c r="BK2873" s="153"/>
      <c r="BL2873" s="153"/>
      <c r="BM2873" s="153"/>
      <c r="BN2873" s="153"/>
      <c r="BO2873" s="153"/>
      <c r="BP2873" s="153"/>
      <c r="BQ2873" s="153"/>
      <c r="BR2873" s="153"/>
      <c r="BS2873" s="153"/>
      <c r="BT2873" s="153"/>
      <c r="BU2873" s="153"/>
      <c r="BV2873" s="153"/>
      <c r="BW2873" s="153"/>
      <c r="BX2873" s="153"/>
      <c r="BY2873" s="153"/>
      <c r="BZ2873" s="153"/>
      <c r="CA2873" s="152"/>
      <c r="CB2873" s="152"/>
    </row>
    <row r="2874" spans="1:80" s="87" customFormat="1" x14ac:dyDescent="0.2">
      <c r="A2874" s="152"/>
      <c r="B2874" s="683"/>
      <c r="C2874" s="683"/>
      <c r="D2874" s="698"/>
      <c r="E2874" s="215"/>
      <c r="F2874" s="215"/>
      <c r="G2874" s="153"/>
      <c r="H2874" s="153"/>
      <c r="I2874" s="306">
        <v>15</v>
      </c>
      <c r="J2874" s="306">
        <v>60</v>
      </c>
      <c r="K2874" s="150">
        <v>1</v>
      </c>
      <c r="L2874" s="656">
        <v>15</v>
      </c>
      <c r="M2874" s="663">
        <v>33750</v>
      </c>
      <c r="N2874" s="600">
        <v>1.5402100000000001</v>
      </c>
      <c r="O2874" s="604">
        <v>4.2300000000000003E-3</v>
      </c>
      <c r="P2874" s="150"/>
      <c r="Q2874" s="250"/>
      <c r="R2874" s="250"/>
      <c r="S2874" s="250"/>
      <c r="T2874" s="250"/>
      <c r="U2874" s="250"/>
      <c r="V2874" s="250"/>
      <c r="W2874" s="250"/>
      <c r="X2874" s="250"/>
      <c r="Y2874" s="250"/>
      <c r="Z2874" s="150"/>
      <c r="AA2874" s="223">
        <v>1.5977405939633493</v>
      </c>
      <c r="AB2874" s="152"/>
      <c r="AC2874" s="152"/>
      <c r="AD2874" s="223"/>
      <c r="AE2874" s="223"/>
      <c r="AF2874" s="223"/>
      <c r="AG2874" s="223"/>
      <c r="AH2874" s="341"/>
      <c r="AI2874" s="218"/>
      <c r="AJ2874" s="218"/>
      <c r="AK2874" s="153"/>
      <c r="AL2874" s="152"/>
      <c r="AM2874" s="152"/>
      <c r="AN2874" s="152"/>
      <c r="AO2874" s="152"/>
      <c r="AP2874" s="152"/>
      <c r="AQ2874" s="152"/>
      <c r="AR2874" s="152"/>
      <c r="AS2874" s="152"/>
      <c r="AT2874" s="152"/>
      <c r="AU2874" s="153"/>
      <c r="AV2874" s="479"/>
      <c r="AW2874" s="479"/>
      <c r="AX2874" s="442"/>
      <c r="AY2874" s="153"/>
      <c r="AZ2874" s="152"/>
      <c r="BA2874" s="152"/>
      <c r="BB2874" s="152"/>
      <c r="BC2874" s="152"/>
      <c r="BD2874" s="152"/>
      <c r="BE2874" s="152"/>
      <c r="BF2874" s="152"/>
      <c r="BG2874" s="152"/>
      <c r="BH2874" s="152"/>
      <c r="BI2874" s="153"/>
      <c r="BJ2874" s="153"/>
      <c r="BK2874" s="153"/>
      <c r="BL2874" s="153"/>
      <c r="BM2874" s="153"/>
      <c r="BN2874" s="153"/>
      <c r="BO2874" s="153"/>
      <c r="BP2874" s="153"/>
      <c r="BQ2874" s="153"/>
      <c r="BR2874" s="153"/>
      <c r="BS2874" s="153"/>
      <c r="BT2874" s="153"/>
      <c r="BU2874" s="153"/>
      <c r="BV2874" s="153"/>
      <c r="BW2874" s="153"/>
      <c r="BX2874" s="153"/>
      <c r="BY2874" s="153"/>
      <c r="BZ2874" s="153"/>
      <c r="CA2874" s="152"/>
      <c r="CB2874" s="152"/>
    </row>
    <row r="2875" spans="1:80" s="87" customFormat="1" x14ac:dyDescent="0.2">
      <c r="A2875" s="152"/>
      <c r="B2875" s="683"/>
      <c r="C2875" s="683"/>
      <c r="D2875" s="698"/>
      <c r="E2875" s="215"/>
      <c r="F2875" s="215"/>
      <c r="G2875" s="153"/>
      <c r="H2875" s="153"/>
      <c r="I2875" s="306">
        <v>15</v>
      </c>
      <c r="J2875" s="306">
        <v>60</v>
      </c>
      <c r="K2875" s="150">
        <v>1</v>
      </c>
      <c r="L2875" s="656">
        <v>15</v>
      </c>
      <c r="M2875" s="663">
        <v>33784</v>
      </c>
      <c r="N2875" s="600">
        <v>0.93998000000000004</v>
      </c>
      <c r="O2875" s="604">
        <v>7.5669999999999999E-3</v>
      </c>
      <c r="P2875" s="150"/>
      <c r="Q2875" s="250"/>
      <c r="R2875" s="250"/>
      <c r="S2875" s="250"/>
      <c r="T2875" s="250"/>
      <c r="U2875" s="250"/>
      <c r="V2875" s="250"/>
      <c r="W2875" s="250"/>
      <c r="X2875" s="250"/>
      <c r="Y2875" s="250"/>
      <c r="Z2875" s="150"/>
      <c r="AA2875" s="223">
        <v>1.9004415328290925</v>
      </c>
      <c r="AB2875" s="152"/>
      <c r="AC2875" s="152"/>
      <c r="AD2875" s="223"/>
      <c r="AE2875" s="223"/>
      <c r="AF2875" s="223"/>
      <c r="AG2875" s="223"/>
      <c r="AH2875" s="341"/>
      <c r="AI2875" s="218"/>
      <c r="AJ2875" s="218"/>
      <c r="AK2875" s="153"/>
      <c r="AL2875" s="152"/>
      <c r="AM2875" s="152"/>
      <c r="AN2875" s="152"/>
      <c r="AO2875" s="152"/>
      <c r="AP2875" s="152"/>
      <c r="AQ2875" s="152"/>
      <c r="AR2875" s="152"/>
      <c r="AS2875" s="152"/>
      <c r="AT2875" s="152"/>
      <c r="AU2875" s="153"/>
      <c r="AV2875" s="479"/>
      <c r="AW2875" s="479"/>
      <c r="AX2875" s="442"/>
      <c r="AY2875" s="153"/>
      <c r="AZ2875" s="152"/>
      <c r="BA2875" s="152"/>
      <c r="BB2875" s="152"/>
      <c r="BC2875" s="152"/>
      <c r="BD2875" s="152"/>
      <c r="BE2875" s="152"/>
      <c r="BF2875" s="152"/>
      <c r="BG2875" s="152"/>
      <c r="BH2875" s="152"/>
      <c r="BI2875" s="153"/>
      <c r="BJ2875" s="153"/>
      <c r="BK2875" s="153"/>
      <c r="BL2875" s="153"/>
      <c r="BM2875" s="153"/>
      <c r="BN2875" s="153"/>
      <c r="BO2875" s="153"/>
      <c r="BP2875" s="153"/>
      <c r="BQ2875" s="153"/>
      <c r="BR2875" s="153"/>
      <c r="BS2875" s="153"/>
      <c r="BT2875" s="153"/>
      <c r="BU2875" s="153"/>
      <c r="BV2875" s="153"/>
      <c r="BW2875" s="153"/>
      <c r="BX2875" s="153"/>
      <c r="BY2875" s="153"/>
      <c r="BZ2875" s="153"/>
      <c r="CA2875" s="152"/>
      <c r="CB2875" s="152"/>
    </row>
    <row r="2876" spans="1:80" s="87" customFormat="1" x14ac:dyDescent="0.2">
      <c r="A2876" s="152"/>
      <c r="B2876" s="683"/>
      <c r="C2876" s="683"/>
      <c r="D2876" s="698"/>
      <c r="E2876" s="215"/>
      <c r="F2876" s="215"/>
      <c r="G2876" s="153"/>
      <c r="H2876" s="153"/>
      <c r="I2876" s="306">
        <v>13</v>
      </c>
      <c r="J2876" s="306">
        <v>60</v>
      </c>
      <c r="K2876" s="150">
        <v>1</v>
      </c>
      <c r="L2876" s="656">
        <v>13</v>
      </c>
      <c r="M2876" s="663">
        <v>33806</v>
      </c>
      <c r="N2876" s="600">
        <v>0.58323999999999998</v>
      </c>
      <c r="O2876" s="604">
        <v>6.9099999999999999E-4</v>
      </c>
      <c r="P2876" s="150"/>
      <c r="Q2876" s="250"/>
      <c r="R2876" s="250"/>
      <c r="S2876" s="250"/>
      <c r="T2876" s="250"/>
      <c r="U2876" s="250"/>
      <c r="V2876" s="250"/>
      <c r="W2876" s="250"/>
      <c r="X2876" s="250"/>
      <c r="Y2876" s="250"/>
      <c r="Z2876" s="150"/>
      <c r="AA2876" s="223">
        <v>1.9788696570508133</v>
      </c>
      <c r="AB2876" s="152"/>
      <c r="AC2876" s="152"/>
      <c r="AD2876" s="223">
        <v>8.5341199999999997</v>
      </c>
      <c r="AE2876" s="223">
        <v>0.22554460000000001</v>
      </c>
      <c r="AF2876" s="223">
        <v>1.9321952</v>
      </c>
      <c r="AG2876" s="223">
        <v>0.3078379</v>
      </c>
      <c r="AH2876" s="341"/>
      <c r="AI2876" s="218"/>
      <c r="AJ2876" s="218"/>
      <c r="AK2876" s="153"/>
      <c r="AL2876" s="152"/>
      <c r="AM2876" s="152"/>
      <c r="AN2876" s="152"/>
      <c r="AO2876" s="152"/>
      <c r="AP2876" s="152"/>
      <c r="AQ2876" s="152"/>
      <c r="AR2876" s="152"/>
      <c r="AS2876" s="152"/>
      <c r="AT2876" s="152"/>
      <c r="AU2876" s="153"/>
      <c r="AV2876" s="479"/>
      <c r="AW2876" s="479"/>
      <c r="AX2876" s="442"/>
      <c r="AY2876" s="153"/>
      <c r="AZ2876" s="152"/>
      <c r="BA2876" s="152"/>
      <c r="BB2876" s="152"/>
      <c r="BC2876" s="152"/>
      <c r="BD2876" s="152"/>
      <c r="BE2876" s="152"/>
      <c r="BF2876" s="152"/>
      <c r="BG2876" s="152"/>
      <c r="BH2876" s="152"/>
      <c r="BI2876" s="153"/>
      <c r="BJ2876" s="153"/>
      <c r="BK2876" s="153"/>
      <c r="BL2876" s="153"/>
      <c r="BM2876" s="153"/>
      <c r="BN2876" s="153"/>
      <c r="BO2876" s="153"/>
      <c r="BP2876" s="153"/>
      <c r="BQ2876" s="153"/>
      <c r="BR2876" s="153"/>
      <c r="BS2876" s="153"/>
      <c r="BT2876" s="153"/>
      <c r="BU2876" s="153"/>
      <c r="BV2876" s="153"/>
      <c r="BW2876" s="153"/>
      <c r="BX2876" s="153"/>
      <c r="BY2876" s="153"/>
      <c r="BZ2876" s="153"/>
      <c r="CA2876" s="152"/>
      <c r="CB2876" s="152"/>
    </row>
    <row r="2877" spans="1:80" s="87" customFormat="1" x14ac:dyDescent="0.2">
      <c r="A2877" s="152"/>
      <c r="B2877" s="683"/>
      <c r="C2877" s="683"/>
      <c r="D2877" s="698"/>
      <c r="E2877" s="215"/>
      <c r="F2877" s="215"/>
      <c r="G2877" s="153"/>
      <c r="H2877" s="153"/>
      <c r="I2877" s="306">
        <v>14</v>
      </c>
      <c r="J2877" s="306">
        <v>30</v>
      </c>
      <c r="K2877" s="150">
        <v>1</v>
      </c>
      <c r="L2877" s="656">
        <v>7</v>
      </c>
      <c r="M2877" s="663">
        <v>34059</v>
      </c>
      <c r="N2877" s="600">
        <v>2.25935</v>
      </c>
      <c r="O2877" s="604">
        <v>7.7878000000000003E-2</v>
      </c>
      <c r="P2877" s="150"/>
      <c r="Q2877" s="250"/>
      <c r="R2877" s="250"/>
      <c r="S2877" s="250"/>
      <c r="T2877" s="250"/>
      <c r="U2877" s="250"/>
      <c r="V2877" s="250"/>
      <c r="W2877" s="250"/>
      <c r="X2877" s="250"/>
      <c r="Y2877" s="250"/>
      <c r="Z2877" s="150"/>
      <c r="AA2877" s="223">
        <v>1.21403238348251</v>
      </c>
      <c r="AB2877" s="152"/>
      <c r="AC2877" s="152"/>
      <c r="AD2877" s="223">
        <v>9.2656159999999996</v>
      </c>
      <c r="AE2877" s="223">
        <v>0.35965219999999998</v>
      </c>
      <c r="AF2877" s="223">
        <v>3.3348946000000002</v>
      </c>
      <c r="AG2877" s="223">
        <v>0.65529850000000001</v>
      </c>
      <c r="AH2877" s="341"/>
      <c r="AI2877" s="218"/>
      <c r="AJ2877" s="218"/>
      <c r="AK2877" s="153"/>
      <c r="AL2877" s="152"/>
      <c r="AM2877" s="152"/>
      <c r="AN2877" s="152"/>
      <c r="AO2877" s="152"/>
      <c r="AP2877" s="152"/>
      <c r="AQ2877" s="152"/>
      <c r="AR2877" s="152"/>
      <c r="AS2877" s="152"/>
      <c r="AT2877" s="152"/>
      <c r="AU2877" s="153"/>
      <c r="AV2877" s="479"/>
      <c r="AW2877" s="479"/>
      <c r="AX2877" s="442"/>
      <c r="AY2877" s="153"/>
      <c r="AZ2877" s="152"/>
      <c r="BA2877" s="152"/>
      <c r="BB2877" s="152"/>
      <c r="BC2877" s="152"/>
      <c r="BD2877" s="152"/>
      <c r="BE2877" s="152"/>
      <c r="BF2877" s="152"/>
      <c r="BG2877" s="152"/>
      <c r="BH2877" s="152"/>
      <c r="BI2877" s="153"/>
      <c r="BJ2877" s="153"/>
      <c r="BK2877" s="153"/>
      <c r="BL2877" s="153"/>
      <c r="BM2877" s="153"/>
      <c r="BN2877" s="153"/>
      <c r="BO2877" s="153"/>
      <c r="BP2877" s="153"/>
      <c r="BQ2877" s="153"/>
      <c r="BR2877" s="153"/>
      <c r="BS2877" s="153"/>
      <c r="BT2877" s="153"/>
      <c r="BU2877" s="153"/>
      <c r="BV2877" s="153"/>
      <c r="BW2877" s="153"/>
      <c r="BX2877" s="153"/>
      <c r="BY2877" s="153"/>
      <c r="BZ2877" s="153"/>
      <c r="CA2877" s="152"/>
      <c r="CB2877" s="152"/>
    </row>
    <row r="2878" spans="1:80" s="87" customFormat="1" x14ac:dyDescent="0.2">
      <c r="A2878" s="152"/>
      <c r="B2878" s="683"/>
      <c r="C2878" s="683"/>
      <c r="D2878" s="698"/>
      <c r="E2878" s="215"/>
      <c r="F2878" s="215"/>
      <c r="G2878" s="153"/>
      <c r="H2878" s="153"/>
      <c r="I2878" s="306">
        <v>17</v>
      </c>
      <c r="J2878" s="306">
        <v>30</v>
      </c>
      <c r="K2878" s="150">
        <v>1</v>
      </c>
      <c r="L2878" s="656">
        <v>8.5</v>
      </c>
      <c r="M2878" s="663">
        <v>34092</v>
      </c>
      <c r="N2878" s="600">
        <v>6.4836099999999997</v>
      </c>
      <c r="O2878" s="604">
        <v>2.1096E-2</v>
      </c>
      <c r="P2878" s="150"/>
      <c r="Q2878" s="250"/>
      <c r="R2878" s="250"/>
      <c r="S2878" s="250"/>
      <c r="T2878" s="250"/>
      <c r="U2878" s="250"/>
      <c r="V2878" s="250"/>
      <c r="W2878" s="250"/>
      <c r="X2878" s="250"/>
      <c r="Y2878" s="250"/>
      <c r="Z2878" s="150"/>
      <c r="AA2878" s="223">
        <v>1.4869112475263837</v>
      </c>
      <c r="AB2878" s="152"/>
      <c r="AC2878" s="152"/>
      <c r="AD2878" s="223">
        <v>10.210464999999999</v>
      </c>
      <c r="AE2878" s="223">
        <v>0.54557409999999995</v>
      </c>
      <c r="AF2878" s="223">
        <v>5.5829294000000003</v>
      </c>
      <c r="AG2878" s="223">
        <v>1.1521062</v>
      </c>
      <c r="AH2878" s="341"/>
      <c r="AI2878" s="218"/>
      <c r="AJ2878" s="218"/>
      <c r="AK2878" s="153"/>
      <c r="AL2878" s="152"/>
      <c r="AM2878" s="152"/>
      <c r="AN2878" s="152"/>
      <c r="AO2878" s="152"/>
      <c r="AP2878" s="152"/>
      <c r="AQ2878" s="152"/>
      <c r="AR2878" s="152"/>
      <c r="AS2878" s="152"/>
      <c r="AT2878" s="152"/>
      <c r="AU2878" s="153"/>
      <c r="AV2878" s="479"/>
      <c r="AW2878" s="479"/>
      <c r="AX2878" s="442"/>
      <c r="AY2878" s="153"/>
      <c r="AZ2878" s="152"/>
      <c r="BA2878" s="152"/>
      <c r="BB2878" s="152"/>
      <c r="BC2878" s="152"/>
      <c r="BD2878" s="152"/>
      <c r="BE2878" s="152"/>
      <c r="BF2878" s="152"/>
      <c r="BG2878" s="152"/>
      <c r="BH2878" s="152"/>
      <c r="BI2878" s="153"/>
      <c r="BJ2878" s="153"/>
      <c r="BK2878" s="153"/>
      <c r="BL2878" s="153"/>
      <c r="BM2878" s="153"/>
      <c r="BN2878" s="153"/>
      <c r="BO2878" s="153"/>
      <c r="BP2878" s="153"/>
      <c r="BQ2878" s="153"/>
      <c r="BR2878" s="153"/>
      <c r="BS2878" s="153"/>
      <c r="BT2878" s="153"/>
      <c r="BU2878" s="153"/>
      <c r="BV2878" s="153"/>
      <c r="BW2878" s="153"/>
      <c r="BX2878" s="153"/>
      <c r="BY2878" s="153"/>
      <c r="BZ2878" s="153"/>
      <c r="CA2878" s="152"/>
      <c r="CB2878" s="152"/>
    </row>
    <row r="2879" spans="1:80" s="87" customFormat="1" x14ac:dyDescent="0.2">
      <c r="A2879" s="152"/>
      <c r="B2879" s="683"/>
      <c r="C2879" s="683"/>
      <c r="D2879" s="698"/>
      <c r="E2879" s="215"/>
      <c r="F2879" s="215"/>
      <c r="G2879" s="153"/>
      <c r="H2879" s="153"/>
      <c r="I2879" s="306">
        <v>17</v>
      </c>
      <c r="J2879" s="306">
        <v>30</v>
      </c>
      <c r="K2879" s="150">
        <v>1</v>
      </c>
      <c r="L2879" s="656">
        <v>8.5</v>
      </c>
      <c r="M2879" s="663">
        <v>34095</v>
      </c>
      <c r="N2879" s="600">
        <v>11.0136</v>
      </c>
      <c r="O2879" s="604">
        <v>8.5224999999999995E-2</v>
      </c>
      <c r="P2879" s="150"/>
      <c r="Q2879" s="250"/>
      <c r="R2879" s="250"/>
      <c r="S2879" s="250"/>
      <c r="T2879" s="250"/>
      <c r="U2879" s="250"/>
      <c r="V2879" s="250"/>
      <c r="W2879" s="250"/>
      <c r="X2879" s="250"/>
      <c r="Y2879" s="250"/>
      <c r="Z2879" s="150"/>
      <c r="AA2879" s="223">
        <v>1.4057575858406837</v>
      </c>
      <c r="AB2879" s="152"/>
      <c r="AC2879" s="152"/>
      <c r="AD2879" s="223">
        <v>10.972440000000001</v>
      </c>
      <c r="AE2879" s="223">
        <v>0.64310690000000004</v>
      </c>
      <c r="AF2879" s="223">
        <v>7.0599439999999998</v>
      </c>
      <c r="AG2879" s="223">
        <v>1.5269979</v>
      </c>
      <c r="AH2879" s="341"/>
      <c r="AI2879" s="218"/>
      <c r="AJ2879" s="218"/>
      <c r="AK2879" s="153"/>
      <c r="AL2879" s="152"/>
      <c r="AM2879" s="152"/>
      <c r="AN2879" s="152"/>
      <c r="AO2879" s="152"/>
      <c r="AP2879" s="152"/>
      <c r="AQ2879" s="152"/>
      <c r="AR2879" s="152"/>
      <c r="AS2879" s="152"/>
      <c r="AT2879" s="152"/>
      <c r="AU2879" s="153"/>
      <c r="AV2879" s="479"/>
      <c r="AW2879" s="479"/>
      <c r="AX2879" s="442"/>
      <c r="AY2879" s="153"/>
      <c r="AZ2879" s="152"/>
      <c r="BA2879" s="152"/>
      <c r="BB2879" s="152"/>
      <c r="BC2879" s="152"/>
      <c r="BD2879" s="152"/>
      <c r="BE2879" s="152"/>
      <c r="BF2879" s="152"/>
      <c r="BG2879" s="152"/>
      <c r="BH2879" s="152"/>
      <c r="BI2879" s="153"/>
      <c r="BJ2879" s="153"/>
      <c r="BK2879" s="153"/>
      <c r="BL2879" s="153"/>
      <c r="BM2879" s="153"/>
      <c r="BN2879" s="153"/>
      <c r="BO2879" s="153"/>
      <c r="BP2879" s="153"/>
      <c r="BQ2879" s="153"/>
      <c r="BR2879" s="153"/>
      <c r="BS2879" s="153"/>
      <c r="BT2879" s="153"/>
      <c r="BU2879" s="153"/>
      <c r="BV2879" s="153"/>
      <c r="BW2879" s="153"/>
      <c r="BX2879" s="153"/>
      <c r="BY2879" s="153"/>
      <c r="BZ2879" s="153"/>
      <c r="CA2879" s="152"/>
      <c r="CB2879" s="152"/>
    </row>
    <row r="2880" spans="1:80" s="87" customFormat="1" x14ac:dyDescent="0.2">
      <c r="A2880" s="152"/>
      <c r="B2880" s="683"/>
      <c r="C2880" s="683"/>
      <c r="D2880" s="698"/>
      <c r="E2880" s="215"/>
      <c r="F2880" s="215"/>
      <c r="G2880" s="153"/>
      <c r="H2880" s="153"/>
      <c r="I2880" s="306">
        <v>17</v>
      </c>
      <c r="J2880" s="306">
        <v>30</v>
      </c>
      <c r="K2880" s="150">
        <v>1</v>
      </c>
      <c r="L2880" s="656">
        <v>8.5</v>
      </c>
      <c r="M2880" s="663">
        <v>34102</v>
      </c>
      <c r="N2880" s="600">
        <v>11.098599999999999</v>
      </c>
      <c r="O2880" s="604">
        <v>0.21201300000000001</v>
      </c>
      <c r="P2880" s="150"/>
      <c r="Q2880" s="250"/>
      <c r="R2880" s="250"/>
      <c r="S2880" s="250"/>
      <c r="T2880" s="250"/>
      <c r="U2880" s="250"/>
      <c r="V2880" s="250"/>
      <c r="W2880" s="250"/>
      <c r="X2880" s="250"/>
      <c r="Y2880" s="250"/>
      <c r="Z2880" s="150"/>
      <c r="AA2880" s="223">
        <v>2.0470733688817204</v>
      </c>
      <c r="AB2880" s="152"/>
      <c r="AC2880" s="152"/>
      <c r="AD2880" s="223">
        <v>10.972440000000001</v>
      </c>
      <c r="AE2880" s="223">
        <v>0.71016069999999998</v>
      </c>
      <c r="AF2880" s="223">
        <v>7.803096</v>
      </c>
      <c r="AG2880" s="223">
        <v>1.4233693000000001</v>
      </c>
      <c r="AH2880" s="341"/>
      <c r="AI2880" s="218"/>
      <c r="AJ2880" s="218"/>
      <c r="AK2880" s="153"/>
      <c r="AL2880" s="152"/>
      <c r="AM2880" s="152"/>
      <c r="AN2880" s="152"/>
      <c r="AO2880" s="152"/>
      <c r="AP2880" s="152"/>
      <c r="AQ2880" s="152"/>
      <c r="AR2880" s="152"/>
      <c r="AS2880" s="152"/>
      <c r="AT2880" s="152"/>
      <c r="AU2880" s="153"/>
      <c r="AV2880" s="479"/>
      <c r="AW2880" s="479"/>
      <c r="AX2880" s="442"/>
      <c r="AY2880" s="153"/>
      <c r="AZ2880" s="152"/>
      <c r="BA2880" s="152"/>
      <c r="BB2880" s="152"/>
      <c r="BC2880" s="152"/>
      <c r="BD2880" s="152"/>
      <c r="BE2880" s="152"/>
      <c r="BF2880" s="152"/>
      <c r="BG2880" s="152"/>
      <c r="BH2880" s="152"/>
      <c r="BI2880" s="153"/>
      <c r="BJ2880" s="153"/>
      <c r="BK2880" s="153"/>
      <c r="BL2880" s="153"/>
      <c r="BM2880" s="153"/>
      <c r="BN2880" s="153"/>
      <c r="BO2880" s="153"/>
      <c r="BP2880" s="153"/>
      <c r="BQ2880" s="153"/>
      <c r="BR2880" s="153"/>
      <c r="BS2880" s="153"/>
      <c r="BT2880" s="153"/>
      <c r="BU2880" s="153"/>
      <c r="BV2880" s="153"/>
      <c r="BW2880" s="153"/>
      <c r="BX2880" s="153"/>
      <c r="BY2880" s="153"/>
      <c r="BZ2880" s="153"/>
      <c r="CA2880" s="152"/>
      <c r="CB2880" s="152"/>
    </row>
    <row r="2881" spans="1:80" s="87" customFormat="1" x14ac:dyDescent="0.2">
      <c r="A2881" s="152"/>
      <c r="B2881" s="683"/>
      <c r="C2881" s="683"/>
      <c r="D2881" s="698"/>
      <c r="E2881" s="215"/>
      <c r="F2881" s="215"/>
      <c r="G2881" s="153"/>
      <c r="H2881" s="153"/>
      <c r="I2881" s="306">
        <v>17</v>
      </c>
      <c r="J2881" s="306">
        <v>60</v>
      </c>
      <c r="K2881" s="150">
        <v>1</v>
      </c>
      <c r="L2881" s="656">
        <v>17</v>
      </c>
      <c r="M2881" s="663">
        <v>34134</v>
      </c>
      <c r="N2881" s="600">
        <v>8.4088700000000003</v>
      </c>
      <c r="O2881" s="604">
        <v>3.705E-2</v>
      </c>
      <c r="P2881" s="150"/>
      <c r="Q2881" s="250"/>
      <c r="R2881" s="250"/>
      <c r="S2881" s="250"/>
      <c r="T2881" s="250"/>
      <c r="U2881" s="250"/>
      <c r="V2881" s="250"/>
      <c r="W2881" s="250"/>
      <c r="X2881" s="250"/>
      <c r="Y2881" s="250"/>
      <c r="Z2881" s="150"/>
      <c r="AA2881" s="223">
        <v>1.7666522078175013</v>
      </c>
      <c r="AB2881" s="152"/>
      <c r="AC2881" s="152"/>
      <c r="AD2881" s="223">
        <v>10.972440000000001</v>
      </c>
      <c r="AE2881" s="223">
        <v>0.61872369999999999</v>
      </c>
      <c r="AF2881" s="223">
        <v>6.7998408000000001</v>
      </c>
      <c r="AG2881" s="223">
        <v>1.2283037000000001</v>
      </c>
      <c r="AH2881" s="341"/>
      <c r="AI2881" s="218"/>
      <c r="AJ2881" s="218"/>
      <c r="AK2881" s="153"/>
      <c r="AL2881" s="152"/>
      <c r="AM2881" s="152"/>
      <c r="AN2881" s="152"/>
      <c r="AO2881" s="152"/>
      <c r="AP2881" s="152"/>
      <c r="AQ2881" s="152"/>
      <c r="AR2881" s="152"/>
      <c r="AS2881" s="152"/>
      <c r="AT2881" s="152"/>
      <c r="AU2881" s="153"/>
      <c r="AV2881" s="479"/>
      <c r="AW2881" s="479"/>
      <c r="AX2881" s="442"/>
      <c r="AY2881" s="153"/>
      <c r="AZ2881" s="152"/>
      <c r="BA2881" s="152"/>
      <c r="BB2881" s="152"/>
      <c r="BC2881" s="152"/>
      <c r="BD2881" s="152"/>
      <c r="BE2881" s="152"/>
      <c r="BF2881" s="152"/>
      <c r="BG2881" s="152"/>
      <c r="BH2881" s="152"/>
      <c r="BI2881" s="153"/>
      <c r="BJ2881" s="153"/>
      <c r="BK2881" s="153"/>
      <c r="BL2881" s="153"/>
      <c r="BM2881" s="153"/>
      <c r="BN2881" s="153"/>
      <c r="BO2881" s="153"/>
      <c r="BP2881" s="153"/>
      <c r="BQ2881" s="153"/>
      <c r="BR2881" s="153"/>
      <c r="BS2881" s="153"/>
      <c r="BT2881" s="153"/>
      <c r="BU2881" s="153"/>
      <c r="BV2881" s="153"/>
      <c r="BW2881" s="153"/>
      <c r="BX2881" s="153"/>
      <c r="BY2881" s="153"/>
      <c r="BZ2881" s="153"/>
      <c r="CA2881" s="152"/>
      <c r="CB2881" s="152"/>
    </row>
    <row r="2882" spans="1:80" s="87" customFormat="1" x14ac:dyDescent="0.2">
      <c r="A2882" s="152"/>
      <c r="B2882" s="683"/>
      <c r="C2882" s="683"/>
      <c r="D2882" s="698"/>
      <c r="E2882" s="215"/>
      <c r="F2882" s="215"/>
      <c r="G2882" s="153"/>
      <c r="H2882" s="153"/>
      <c r="I2882" s="306">
        <v>17</v>
      </c>
      <c r="J2882" s="306">
        <v>30</v>
      </c>
      <c r="K2882" s="150">
        <v>1</v>
      </c>
      <c r="L2882" s="656">
        <v>8.5</v>
      </c>
      <c r="M2882" s="663">
        <v>34136</v>
      </c>
      <c r="N2882" s="600">
        <v>13.9298</v>
      </c>
      <c r="O2882" s="604">
        <v>0.160584</v>
      </c>
      <c r="P2882" s="150"/>
      <c r="Q2882" s="250"/>
      <c r="R2882" s="250"/>
      <c r="S2882" s="250"/>
      <c r="T2882" s="250"/>
      <c r="U2882" s="250"/>
      <c r="V2882" s="250"/>
      <c r="W2882" s="250"/>
      <c r="X2882" s="250"/>
      <c r="Y2882" s="250"/>
      <c r="Z2882" s="150"/>
      <c r="AA2882" s="223">
        <v>1.5793044962341836</v>
      </c>
      <c r="AB2882" s="152"/>
      <c r="AC2882" s="152"/>
      <c r="AD2882" s="223">
        <v>10.972440000000001</v>
      </c>
      <c r="AE2882" s="223">
        <v>0.82598090000000002</v>
      </c>
      <c r="AF2882" s="223">
        <v>9.0478755999999994</v>
      </c>
      <c r="AG2882" s="223">
        <v>1.4782314999999999</v>
      </c>
      <c r="AH2882" s="341"/>
      <c r="AI2882" s="218"/>
      <c r="AJ2882" s="218"/>
      <c r="AK2882" s="153"/>
      <c r="AL2882" s="152"/>
      <c r="AM2882" s="152"/>
      <c r="AN2882" s="152"/>
      <c r="AO2882" s="152"/>
      <c r="AP2882" s="152"/>
      <c r="AQ2882" s="152"/>
      <c r="AR2882" s="152"/>
      <c r="AS2882" s="152"/>
      <c r="AT2882" s="152"/>
      <c r="AU2882" s="153"/>
      <c r="AV2882" s="479"/>
      <c r="AW2882" s="479"/>
      <c r="AX2882" s="442"/>
      <c r="AY2882" s="153"/>
      <c r="AZ2882" s="152"/>
      <c r="BA2882" s="152"/>
      <c r="BB2882" s="152"/>
      <c r="BC2882" s="152"/>
      <c r="BD2882" s="152"/>
      <c r="BE2882" s="152"/>
      <c r="BF2882" s="152"/>
      <c r="BG2882" s="152"/>
      <c r="BH2882" s="152"/>
      <c r="BI2882" s="153"/>
      <c r="BJ2882" s="153"/>
      <c r="BK2882" s="153"/>
      <c r="BL2882" s="153"/>
      <c r="BM2882" s="153"/>
      <c r="BN2882" s="153"/>
      <c r="BO2882" s="153"/>
      <c r="BP2882" s="153"/>
      <c r="BQ2882" s="153"/>
      <c r="BR2882" s="153"/>
      <c r="BS2882" s="153"/>
      <c r="BT2882" s="153"/>
      <c r="BU2882" s="153"/>
      <c r="BV2882" s="153"/>
      <c r="BW2882" s="153"/>
      <c r="BX2882" s="153"/>
      <c r="BY2882" s="153"/>
      <c r="BZ2882" s="153"/>
      <c r="CA2882" s="152"/>
      <c r="CB2882" s="152"/>
    </row>
    <row r="2883" spans="1:80" s="87" customFormat="1" x14ac:dyDescent="0.2">
      <c r="A2883" s="152"/>
      <c r="B2883" s="683"/>
      <c r="C2883" s="683"/>
      <c r="D2883" s="698"/>
      <c r="E2883" s="215"/>
      <c r="F2883" s="215"/>
      <c r="G2883" s="153"/>
      <c r="H2883" s="153"/>
      <c r="I2883" s="306">
        <v>16</v>
      </c>
      <c r="J2883" s="306">
        <v>30</v>
      </c>
      <c r="K2883" s="150">
        <v>1</v>
      </c>
      <c r="L2883" s="656">
        <v>8</v>
      </c>
      <c r="M2883" s="663">
        <v>34148</v>
      </c>
      <c r="N2883" s="600">
        <v>3.0577700000000001</v>
      </c>
      <c r="O2883" s="604">
        <v>9.01E-4</v>
      </c>
      <c r="P2883" s="150"/>
      <c r="Q2883" s="250"/>
      <c r="R2883" s="250"/>
      <c r="S2883" s="250"/>
      <c r="T2883" s="250"/>
      <c r="U2883" s="250"/>
      <c r="V2883" s="250"/>
      <c r="W2883" s="250"/>
      <c r="X2883" s="250"/>
      <c r="Y2883" s="250"/>
      <c r="Z2883" s="150"/>
      <c r="AA2883" s="223">
        <v>0.75877004268751003</v>
      </c>
      <c r="AB2883" s="152"/>
      <c r="AC2883" s="152"/>
      <c r="AD2883" s="223">
        <v>9.6618429999999993</v>
      </c>
      <c r="AE2883" s="223">
        <v>0.39013120000000001</v>
      </c>
      <c r="AF2883" s="223">
        <v>3.7807857999999999</v>
      </c>
      <c r="AG2883" s="223">
        <v>0.79245399999999999</v>
      </c>
      <c r="AH2883" s="341"/>
      <c r="AI2883" s="218"/>
      <c r="AJ2883" s="218"/>
      <c r="AK2883" s="153"/>
      <c r="AL2883" s="152"/>
      <c r="AM2883" s="152"/>
      <c r="AN2883" s="152"/>
      <c r="AO2883" s="152"/>
      <c r="AP2883" s="152"/>
      <c r="AQ2883" s="152"/>
      <c r="AR2883" s="152"/>
      <c r="AS2883" s="152"/>
      <c r="AT2883" s="152"/>
      <c r="AU2883" s="153"/>
      <c r="AV2883" s="479"/>
      <c r="AW2883" s="479"/>
      <c r="AX2883" s="442"/>
      <c r="AY2883" s="153"/>
      <c r="AZ2883" s="152"/>
      <c r="BA2883" s="152"/>
      <c r="BB2883" s="152"/>
      <c r="BC2883" s="152"/>
      <c r="BD2883" s="152"/>
      <c r="BE2883" s="152"/>
      <c r="BF2883" s="152"/>
      <c r="BG2883" s="152"/>
      <c r="BH2883" s="152"/>
      <c r="BI2883" s="153"/>
      <c r="BJ2883" s="153"/>
      <c r="BK2883" s="153"/>
      <c r="BL2883" s="153"/>
      <c r="BM2883" s="153"/>
      <c r="BN2883" s="153"/>
      <c r="BO2883" s="153"/>
      <c r="BP2883" s="153"/>
      <c r="BQ2883" s="153"/>
      <c r="BR2883" s="153"/>
      <c r="BS2883" s="153"/>
      <c r="BT2883" s="153"/>
      <c r="BU2883" s="153"/>
      <c r="BV2883" s="153"/>
      <c r="BW2883" s="153"/>
      <c r="BX2883" s="153"/>
      <c r="BY2883" s="153"/>
      <c r="BZ2883" s="153"/>
      <c r="CA2883" s="152"/>
      <c r="CB2883" s="152"/>
    </row>
    <row r="2884" spans="1:80" s="87" customFormat="1" x14ac:dyDescent="0.2">
      <c r="A2884" s="152"/>
      <c r="B2884" s="683"/>
      <c r="C2884" s="683"/>
      <c r="D2884" s="698"/>
      <c r="E2884" s="215"/>
      <c r="F2884" s="215"/>
      <c r="G2884" s="153"/>
      <c r="H2884" s="153"/>
      <c r="I2884" s="306">
        <v>15</v>
      </c>
      <c r="J2884" s="306">
        <v>30</v>
      </c>
      <c r="K2884" s="150">
        <v>1</v>
      </c>
      <c r="L2884" s="656">
        <v>7.5</v>
      </c>
      <c r="M2884" s="663">
        <v>34162</v>
      </c>
      <c r="N2884" s="600">
        <v>1.9592400000000001</v>
      </c>
      <c r="O2884" s="604">
        <v>3.6740000000000002E-3</v>
      </c>
      <c r="P2884" s="150"/>
      <c r="Q2884" s="250"/>
      <c r="R2884" s="250"/>
      <c r="S2884" s="250"/>
      <c r="T2884" s="250"/>
      <c r="U2884" s="250"/>
      <c r="V2884" s="250"/>
      <c r="W2884" s="250"/>
      <c r="X2884" s="250"/>
      <c r="Y2884" s="250"/>
      <c r="Z2884" s="150"/>
      <c r="AA2884" s="223">
        <v>1.7456201999541137</v>
      </c>
      <c r="AB2884" s="152"/>
      <c r="AC2884" s="152"/>
      <c r="AD2884" s="223">
        <v>9.3875320000000002</v>
      </c>
      <c r="AE2884" s="223">
        <v>0.32307740000000001</v>
      </c>
      <c r="AF2884" s="223">
        <v>3.0283443999999999</v>
      </c>
      <c r="AG2884" s="223">
        <v>0.64615480000000003</v>
      </c>
      <c r="AH2884" s="341"/>
      <c r="AI2884" s="218"/>
      <c r="AJ2884" s="218"/>
      <c r="AK2884" s="153"/>
      <c r="AL2884" s="152"/>
      <c r="AM2884" s="152"/>
      <c r="AN2884" s="152"/>
      <c r="AO2884" s="152"/>
      <c r="AP2884" s="152"/>
      <c r="AQ2884" s="152"/>
      <c r="AR2884" s="152"/>
      <c r="AS2884" s="152"/>
      <c r="AT2884" s="152"/>
      <c r="AU2884" s="153"/>
      <c r="AV2884" s="479"/>
      <c r="AW2884" s="479"/>
      <c r="AX2884" s="442"/>
      <c r="AY2884" s="153"/>
      <c r="AZ2884" s="152"/>
      <c r="BA2884" s="152"/>
      <c r="BB2884" s="152"/>
      <c r="BC2884" s="152"/>
      <c r="BD2884" s="152"/>
      <c r="BE2884" s="152"/>
      <c r="BF2884" s="152"/>
      <c r="BG2884" s="152"/>
      <c r="BH2884" s="152"/>
      <c r="BI2884" s="153"/>
      <c r="BJ2884" s="153"/>
      <c r="BK2884" s="153"/>
      <c r="BL2884" s="153"/>
      <c r="BM2884" s="153"/>
      <c r="BN2884" s="153"/>
      <c r="BO2884" s="153"/>
      <c r="BP2884" s="153"/>
      <c r="BQ2884" s="153"/>
      <c r="BR2884" s="153"/>
      <c r="BS2884" s="153"/>
      <c r="BT2884" s="153"/>
      <c r="BU2884" s="153"/>
      <c r="BV2884" s="153"/>
      <c r="BW2884" s="153"/>
      <c r="BX2884" s="153"/>
      <c r="BY2884" s="153"/>
      <c r="BZ2884" s="153"/>
      <c r="CA2884" s="152"/>
      <c r="CB2884" s="152"/>
    </row>
    <row r="2885" spans="1:80" s="87" customFormat="1" x14ac:dyDescent="0.2">
      <c r="A2885" s="152"/>
      <c r="B2885" s="683"/>
      <c r="C2885" s="683"/>
      <c r="D2885" s="698"/>
      <c r="E2885" s="215"/>
      <c r="F2885" s="215"/>
      <c r="G2885" s="153"/>
      <c r="H2885" s="153"/>
      <c r="I2885" s="306">
        <v>14</v>
      </c>
      <c r="J2885" s="306">
        <v>30</v>
      </c>
      <c r="K2885" s="150">
        <v>1</v>
      </c>
      <c r="L2885" s="656">
        <v>7</v>
      </c>
      <c r="M2885" s="663">
        <v>34205</v>
      </c>
      <c r="N2885" s="600">
        <v>0.59740000000000004</v>
      </c>
      <c r="O2885" s="604">
        <v>5.6700000000000003E-5</v>
      </c>
      <c r="P2885" s="150"/>
      <c r="Q2885" s="250"/>
      <c r="R2885" s="250"/>
      <c r="S2885" s="250"/>
      <c r="T2885" s="250"/>
      <c r="U2885" s="250"/>
      <c r="V2885" s="250"/>
      <c r="W2885" s="250"/>
      <c r="X2885" s="250"/>
      <c r="Y2885" s="250"/>
      <c r="Z2885" s="150"/>
      <c r="AA2885" s="223">
        <v>1.7520944178988132</v>
      </c>
      <c r="AB2885" s="152"/>
      <c r="AC2885" s="152"/>
      <c r="AD2885" s="223">
        <v>8.7779520000000009</v>
      </c>
      <c r="AE2885" s="223">
        <v>0.21335299999999999</v>
      </c>
      <c r="AF2885" s="223">
        <v>1.8764588</v>
      </c>
      <c r="AG2885" s="223">
        <v>0.31393369999999998</v>
      </c>
      <c r="AH2885" s="341"/>
      <c r="AI2885" s="218"/>
      <c r="AJ2885" s="218"/>
      <c r="AK2885" s="153"/>
      <c r="AL2885" s="152"/>
      <c r="AM2885" s="152"/>
      <c r="AN2885" s="152"/>
      <c r="AO2885" s="152"/>
      <c r="AP2885" s="152"/>
      <c r="AQ2885" s="152"/>
      <c r="AR2885" s="152"/>
      <c r="AS2885" s="152"/>
      <c r="AT2885" s="152"/>
      <c r="AU2885" s="153"/>
      <c r="AV2885" s="479"/>
      <c r="AW2885" s="479"/>
      <c r="AX2885" s="442"/>
      <c r="AY2885" s="153"/>
      <c r="AZ2885" s="152"/>
      <c r="BA2885" s="152"/>
      <c r="BB2885" s="152"/>
      <c r="BC2885" s="152"/>
      <c r="BD2885" s="152"/>
      <c r="BE2885" s="152"/>
      <c r="BF2885" s="152"/>
      <c r="BG2885" s="152"/>
      <c r="BH2885" s="152"/>
      <c r="BI2885" s="153"/>
      <c r="BJ2885" s="153"/>
      <c r="BK2885" s="153"/>
      <c r="BL2885" s="153"/>
      <c r="BM2885" s="153"/>
      <c r="BN2885" s="153"/>
      <c r="BO2885" s="153"/>
      <c r="BP2885" s="153"/>
      <c r="BQ2885" s="153"/>
      <c r="BR2885" s="153"/>
      <c r="BS2885" s="153"/>
      <c r="BT2885" s="153"/>
      <c r="BU2885" s="153"/>
      <c r="BV2885" s="153"/>
      <c r="BW2885" s="153"/>
      <c r="BX2885" s="153"/>
      <c r="BY2885" s="153"/>
      <c r="BZ2885" s="153"/>
      <c r="CA2885" s="152"/>
      <c r="CB2885" s="152"/>
    </row>
    <row r="2886" spans="1:80" s="87" customFormat="1" ht="15" x14ac:dyDescent="0.25">
      <c r="A2886" s="152"/>
      <c r="B2886" s="683"/>
      <c r="C2886" s="683"/>
      <c r="D2886" s="698"/>
      <c r="E2886" s="215"/>
      <c r="F2886" s="215"/>
      <c r="G2886" s="153"/>
      <c r="H2886" s="153"/>
      <c r="I2886" s="316">
        <v>21</v>
      </c>
      <c r="J2886" s="306">
        <v>60</v>
      </c>
      <c r="K2886" s="150">
        <v>1</v>
      </c>
      <c r="L2886" s="656">
        <v>21</v>
      </c>
      <c r="M2886" s="663">
        <v>34430</v>
      </c>
      <c r="N2886" s="600">
        <v>2.2282099999999998</v>
      </c>
      <c r="O2886" s="604">
        <v>2.1831E-2</v>
      </c>
      <c r="P2886" s="150"/>
      <c r="Q2886" s="250"/>
      <c r="R2886" s="250">
        <v>5.7999999999999996E-2</v>
      </c>
      <c r="S2886" s="250">
        <v>1.3999999999999999E-2</v>
      </c>
      <c r="T2886" s="250">
        <v>8.3000000000000004E-2</v>
      </c>
      <c r="U2886" s="250">
        <v>0.11699999999999999</v>
      </c>
      <c r="V2886" s="250">
        <v>0.31179800000000002</v>
      </c>
      <c r="W2886" s="250">
        <v>0.29280400000000001</v>
      </c>
      <c r="X2886" s="250">
        <v>0.11868499999999998</v>
      </c>
      <c r="Y2886" s="250">
        <v>4.4269999999999995E-3</v>
      </c>
      <c r="Z2886" s="150"/>
      <c r="AA2886" s="223">
        <v>1.21</v>
      </c>
      <c r="AB2886" s="152"/>
      <c r="AC2886" s="152"/>
      <c r="AD2886" s="223">
        <v>9.4180109999999999</v>
      </c>
      <c r="AE2886" s="223">
        <v>0.36574800000000002</v>
      </c>
      <c r="AF2886" s="223">
        <v>3.4370780000000001</v>
      </c>
      <c r="AG2886" s="223">
        <v>0.66139429999999999</v>
      </c>
      <c r="AH2886" s="341"/>
      <c r="AI2886" s="218"/>
      <c r="AJ2886" s="218"/>
      <c r="AK2886" s="153"/>
      <c r="AL2886" s="152"/>
      <c r="AM2886" s="152"/>
      <c r="AN2886" s="152"/>
      <c r="AO2886" s="152"/>
      <c r="AP2886" s="152"/>
      <c r="AQ2886" s="152"/>
      <c r="AR2886" s="152"/>
      <c r="AS2886" s="152"/>
      <c r="AT2886" s="152"/>
      <c r="AU2886" s="153"/>
      <c r="AV2886" s="479"/>
      <c r="AW2886" s="479"/>
      <c r="AX2886" s="442"/>
      <c r="AY2886" s="153"/>
      <c r="AZ2886" s="152"/>
      <c r="BA2886" s="152"/>
      <c r="BB2886" s="152"/>
      <c r="BC2886" s="152"/>
      <c r="BD2886" s="152"/>
      <c r="BE2886" s="152"/>
      <c r="BF2886" s="152"/>
      <c r="BG2886" s="152"/>
      <c r="BH2886" s="152"/>
      <c r="BI2886" s="153"/>
      <c r="BJ2886" s="153"/>
      <c r="BK2886" s="153"/>
      <c r="BL2886" s="153"/>
      <c r="BM2886" s="153"/>
      <c r="BN2886" s="153"/>
      <c r="BO2886" s="153"/>
      <c r="BP2886" s="153"/>
      <c r="BQ2886" s="153"/>
      <c r="BR2886" s="153"/>
      <c r="BS2886" s="153"/>
      <c r="BT2886" s="153"/>
      <c r="BU2886" s="153"/>
      <c r="BV2886" s="153"/>
      <c r="BW2886" s="153"/>
      <c r="BX2886" s="153"/>
      <c r="BY2886" s="153"/>
      <c r="BZ2886" s="153"/>
      <c r="CA2886" s="152"/>
      <c r="CB2886" s="152"/>
    </row>
    <row r="2887" spans="1:80" s="87" customFormat="1" ht="15" x14ac:dyDescent="0.25">
      <c r="A2887" s="152"/>
      <c r="B2887" s="683"/>
      <c r="C2887" s="683"/>
      <c r="D2887" s="698"/>
      <c r="E2887" s="215"/>
      <c r="F2887" s="215"/>
      <c r="G2887" s="153"/>
      <c r="H2887" s="153"/>
      <c r="I2887" s="316">
        <v>21</v>
      </c>
      <c r="J2887" s="306">
        <v>60</v>
      </c>
      <c r="K2887" s="150">
        <v>1</v>
      </c>
      <c r="L2887" s="656">
        <v>21</v>
      </c>
      <c r="M2887" s="663">
        <v>34430</v>
      </c>
      <c r="N2887" s="600">
        <v>2.2282099999999998</v>
      </c>
      <c r="O2887" s="604">
        <v>3.5999999999999997E-2</v>
      </c>
      <c r="P2887" s="150"/>
      <c r="Q2887" s="250"/>
      <c r="R2887" s="250"/>
      <c r="S2887" s="250">
        <v>1.2E-2</v>
      </c>
      <c r="T2887" s="250">
        <v>0.09</v>
      </c>
      <c r="U2887" s="250">
        <v>0.19699999999999998</v>
      </c>
      <c r="V2887" s="250">
        <v>0.39964300000000003</v>
      </c>
      <c r="W2887" s="250">
        <v>0.217943</v>
      </c>
      <c r="X2887" s="250">
        <v>8.0405999999999991E-2</v>
      </c>
      <c r="Y2887" s="250">
        <v>3.4020000000000001E-3</v>
      </c>
      <c r="Z2887" s="150"/>
      <c r="AA2887" s="223">
        <v>1.41</v>
      </c>
      <c r="AB2887" s="152"/>
      <c r="AC2887" s="152"/>
      <c r="AD2887" s="223">
        <v>9.4180109999999999</v>
      </c>
      <c r="AE2887" s="223">
        <v>0.36574800000000002</v>
      </c>
      <c r="AF2887" s="223">
        <v>3.4370780000000001</v>
      </c>
      <c r="AG2887" s="223">
        <v>0.66139429999999999</v>
      </c>
      <c r="AH2887" s="341"/>
      <c r="AI2887" s="218"/>
      <c r="AJ2887" s="218"/>
      <c r="AK2887" s="153"/>
      <c r="AL2887" s="152"/>
      <c r="AM2887" s="152"/>
      <c r="AN2887" s="152"/>
      <c r="AO2887" s="152"/>
      <c r="AP2887" s="152"/>
      <c r="AQ2887" s="152"/>
      <c r="AR2887" s="152"/>
      <c r="AS2887" s="152"/>
      <c r="AT2887" s="152"/>
      <c r="AU2887" s="153"/>
      <c r="AV2887" s="479"/>
      <c r="AW2887" s="479"/>
      <c r="AX2887" s="442"/>
      <c r="AY2887" s="153"/>
      <c r="AZ2887" s="152"/>
      <c r="BA2887" s="152"/>
      <c r="BB2887" s="152"/>
      <c r="BC2887" s="152"/>
      <c r="BD2887" s="152"/>
      <c r="BE2887" s="152"/>
      <c r="BF2887" s="152"/>
      <c r="BG2887" s="152"/>
      <c r="BH2887" s="152"/>
      <c r="BI2887" s="153"/>
      <c r="BJ2887" s="153"/>
      <c r="BK2887" s="153"/>
      <c r="BL2887" s="153"/>
      <c r="BM2887" s="153"/>
      <c r="BN2887" s="153"/>
      <c r="BO2887" s="153"/>
      <c r="BP2887" s="153"/>
      <c r="BQ2887" s="153"/>
      <c r="BR2887" s="153"/>
      <c r="BS2887" s="153"/>
      <c r="BT2887" s="153"/>
      <c r="BU2887" s="153"/>
      <c r="BV2887" s="153"/>
      <c r="BW2887" s="153"/>
      <c r="BX2887" s="153"/>
      <c r="BY2887" s="153"/>
      <c r="BZ2887" s="153"/>
      <c r="CA2887" s="152"/>
      <c r="CB2887" s="152"/>
    </row>
    <row r="2888" spans="1:80" s="87" customFormat="1" ht="15" x14ac:dyDescent="0.25">
      <c r="A2888" s="152"/>
      <c r="B2888" s="683"/>
      <c r="C2888" s="683"/>
      <c r="D2888" s="698"/>
      <c r="E2888" s="215"/>
      <c r="F2888" s="215"/>
      <c r="G2888" s="153"/>
      <c r="H2888" s="153"/>
      <c r="I2888" s="316">
        <v>19</v>
      </c>
      <c r="J2888" s="306">
        <v>60</v>
      </c>
      <c r="K2888" s="150">
        <v>1</v>
      </c>
      <c r="L2888" s="656">
        <v>19</v>
      </c>
      <c r="M2888" s="663">
        <v>34436</v>
      </c>
      <c r="N2888" s="600">
        <v>2.5934400000000002</v>
      </c>
      <c r="O2888" s="604">
        <v>8.1030000000000008E-3</v>
      </c>
      <c r="P2888" s="150"/>
      <c r="Q2888" s="250"/>
      <c r="R2888" s="250"/>
      <c r="S2888" s="250">
        <v>4.2000000000000003E-2</v>
      </c>
      <c r="T2888" s="250">
        <v>4.7E-2</v>
      </c>
      <c r="U2888" s="250">
        <v>7.2999999999999995E-2</v>
      </c>
      <c r="V2888" s="250">
        <v>0.17839200000000002</v>
      </c>
      <c r="W2888" s="250">
        <v>0.51815600000000006</v>
      </c>
      <c r="X2888" s="250">
        <v>0.136461</v>
      </c>
      <c r="Y2888" s="250">
        <v>5.1980000000000004E-3</v>
      </c>
      <c r="Z2888" s="150"/>
      <c r="AA2888" s="223">
        <v>0.81</v>
      </c>
      <c r="AB2888" s="152"/>
      <c r="AC2888" s="152"/>
      <c r="AD2888" s="223">
        <v>9.5704060000000002</v>
      </c>
      <c r="AE2888" s="223">
        <v>0.37489169999999999</v>
      </c>
      <c r="AF2888" s="223">
        <v>3.5857084000000001</v>
      </c>
      <c r="AG2888" s="223">
        <v>0.67663379999999995</v>
      </c>
      <c r="AH2888" s="341"/>
      <c r="AI2888" s="218"/>
      <c r="AJ2888" s="218"/>
      <c r="AK2888" s="153"/>
      <c r="AL2888" s="152"/>
      <c r="AM2888" s="152"/>
      <c r="AN2888" s="152"/>
      <c r="AO2888" s="152"/>
      <c r="AP2888" s="152"/>
      <c r="AQ2888" s="152"/>
      <c r="AR2888" s="152"/>
      <c r="AS2888" s="152"/>
      <c r="AT2888" s="152"/>
      <c r="AU2888" s="153"/>
      <c r="AV2888" s="479"/>
      <c r="AW2888" s="479"/>
      <c r="AX2888" s="442"/>
      <c r="AY2888" s="153"/>
      <c r="AZ2888" s="152"/>
      <c r="BA2888" s="152"/>
      <c r="BB2888" s="152"/>
      <c r="BC2888" s="152"/>
      <c r="BD2888" s="152"/>
      <c r="BE2888" s="152"/>
      <c r="BF2888" s="152"/>
      <c r="BG2888" s="152"/>
      <c r="BH2888" s="152"/>
      <c r="BI2888" s="153"/>
      <c r="BJ2888" s="153"/>
      <c r="BK2888" s="153"/>
      <c r="BL2888" s="153"/>
      <c r="BM2888" s="153"/>
      <c r="BN2888" s="153"/>
      <c r="BO2888" s="153"/>
      <c r="BP2888" s="153"/>
      <c r="BQ2888" s="153"/>
      <c r="BR2888" s="153"/>
      <c r="BS2888" s="153"/>
      <c r="BT2888" s="153"/>
      <c r="BU2888" s="153"/>
      <c r="BV2888" s="153"/>
      <c r="BW2888" s="153"/>
      <c r="BX2888" s="153"/>
      <c r="BY2888" s="153"/>
      <c r="BZ2888" s="153"/>
      <c r="CA2888" s="152"/>
      <c r="CB2888" s="152"/>
    </row>
    <row r="2889" spans="1:80" s="87" customFormat="1" ht="15" x14ac:dyDescent="0.25">
      <c r="A2889" s="152"/>
      <c r="B2889" s="683"/>
      <c r="C2889" s="683"/>
      <c r="D2889" s="698"/>
      <c r="E2889" s="215"/>
      <c r="F2889" s="215"/>
      <c r="G2889" s="153"/>
      <c r="H2889" s="153"/>
      <c r="I2889" s="316">
        <v>19</v>
      </c>
      <c r="J2889" s="306">
        <v>60</v>
      </c>
      <c r="K2889" s="150">
        <v>1</v>
      </c>
      <c r="L2889" s="656">
        <v>19</v>
      </c>
      <c r="M2889" s="663">
        <v>34436</v>
      </c>
      <c r="N2889" s="600">
        <v>2.5934400000000002</v>
      </c>
      <c r="O2889" s="604">
        <v>2.3830000000000001E-3</v>
      </c>
      <c r="P2889" s="150"/>
      <c r="Q2889" s="250"/>
      <c r="R2889" s="250"/>
      <c r="S2889" s="250"/>
      <c r="T2889" s="250"/>
      <c r="U2889" s="250">
        <v>5.7999999999999996E-2</v>
      </c>
      <c r="V2889" s="250">
        <v>0.30107700000000004</v>
      </c>
      <c r="W2889" s="250">
        <v>0.39673200000000003</v>
      </c>
      <c r="X2889" s="250">
        <v>0.23704999999999998</v>
      </c>
      <c r="Y2889" s="250">
        <v>6.9520000000000007E-3</v>
      </c>
      <c r="Z2889" s="150"/>
      <c r="AA2889" s="223">
        <v>0.78</v>
      </c>
      <c r="AB2889" s="152"/>
      <c r="AC2889" s="152"/>
      <c r="AD2889" s="223">
        <v>9.5704060000000002</v>
      </c>
      <c r="AE2889" s="223">
        <v>0.37489169999999999</v>
      </c>
      <c r="AF2889" s="223">
        <v>3.5857084000000001</v>
      </c>
      <c r="AG2889" s="223">
        <v>0.67663379999999995</v>
      </c>
      <c r="AH2889" s="341"/>
      <c r="AI2889" s="218"/>
      <c r="AJ2889" s="218"/>
      <c r="AK2889" s="153"/>
      <c r="AL2889" s="152"/>
      <c r="AM2889" s="152"/>
      <c r="AN2889" s="152"/>
      <c r="AO2889" s="152"/>
      <c r="AP2889" s="152"/>
      <c r="AQ2889" s="152"/>
      <c r="AR2889" s="152"/>
      <c r="AS2889" s="152"/>
      <c r="AT2889" s="152"/>
      <c r="AU2889" s="153"/>
      <c r="AV2889" s="479"/>
      <c r="AW2889" s="479"/>
      <c r="AX2889" s="442"/>
      <c r="AY2889" s="153"/>
      <c r="AZ2889" s="152"/>
      <c r="BA2889" s="152"/>
      <c r="BB2889" s="152"/>
      <c r="BC2889" s="152"/>
      <c r="BD2889" s="152"/>
      <c r="BE2889" s="152"/>
      <c r="BF2889" s="152"/>
      <c r="BG2889" s="152"/>
      <c r="BH2889" s="152"/>
      <c r="BI2889" s="153"/>
      <c r="BJ2889" s="153"/>
      <c r="BK2889" s="153"/>
      <c r="BL2889" s="153"/>
      <c r="BM2889" s="153"/>
      <c r="BN2889" s="153"/>
      <c r="BO2889" s="153"/>
      <c r="BP2889" s="153"/>
      <c r="BQ2889" s="153"/>
      <c r="BR2889" s="153"/>
      <c r="BS2889" s="153"/>
      <c r="BT2889" s="153"/>
      <c r="BU2889" s="153"/>
      <c r="BV2889" s="153"/>
      <c r="BW2889" s="153"/>
      <c r="BX2889" s="153"/>
      <c r="BY2889" s="153"/>
      <c r="BZ2889" s="153"/>
      <c r="CA2889" s="152"/>
      <c r="CB2889" s="152"/>
    </row>
    <row r="2890" spans="1:80" s="87" customFormat="1" ht="15" x14ac:dyDescent="0.25">
      <c r="A2890" s="152"/>
      <c r="B2890" s="683"/>
      <c r="C2890" s="683"/>
      <c r="D2890" s="698"/>
      <c r="E2890" s="215"/>
      <c r="F2890" s="215"/>
      <c r="G2890" s="153"/>
      <c r="H2890" s="153"/>
      <c r="I2890" s="316">
        <v>23</v>
      </c>
      <c r="J2890" s="306">
        <v>60</v>
      </c>
      <c r="K2890" s="150">
        <v>1</v>
      </c>
      <c r="L2890" s="656">
        <v>23</v>
      </c>
      <c r="M2890" s="663">
        <v>34444</v>
      </c>
      <c r="N2890" s="600">
        <v>8.0691199999999998</v>
      </c>
      <c r="O2890" s="604">
        <v>7.1475999999999998E-2</v>
      </c>
      <c r="P2890" s="150"/>
      <c r="Q2890" s="250"/>
      <c r="R2890" s="250"/>
      <c r="S2890" s="250">
        <v>3.0000000000000001E-3</v>
      </c>
      <c r="T2890" s="250">
        <v>4.8000000000000001E-2</v>
      </c>
      <c r="U2890" s="250">
        <v>0.19399999999999998</v>
      </c>
      <c r="V2890" s="250">
        <v>0.32110700000000003</v>
      </c>
      <c r="W2890" s="250">
        <v>0.34176000000000001</v>
      </c>
      <c r="X2890" s="250">
        <v>9.0937000000000004E-2</v>
      </c>
      <c r="Y2890" s="250">
        <v>1.897E-3</v>
      </c>
      <c r="Z2890" s="150"/>
      <c r="AA2890" s="223">
        <v>1.1499999999999999</v>
      </c>
      <c r="AB2890" s="152"/>
      <c r="AC2890" s="152"/>
      <c r="AD2890" s="223">
        <v>10.515255</v>
      </c>
      <c r="AE2890" s="223">
        <v>0.60653210000000002</v>
      </c>
      <c r="AF2890" s="223">
        <v>6.3725284000000002</v>
      </c>
      <c r="AG2890" s="223">
        <v>1.4477525</v>
      </c>
      <c r="AH2890" s="341"/>
      <c r="AI2890" s="218"/>
      <c r="AJ2890" s="218"/>
      <c r="AK2890" s="153"/>
      <c r="AL2890" s="152"/>
      <c r="AM2890" s="152"/>
      <c r="AN2890" s="152"/>
      <c r="AO2890" s="152"/>
      <c r="AP2890" s="152"/>
      <c r="AQ2890" s="152"/>
      <c r="AR2890" s="152"/>
      <c r="AS2890" s="152"/>
      <c r="AT2890" s="152"/>
      <c r="AU2890" s="153"/>
      <c r="AV2890" s="479"/>
      <c r="AW2890" s="479"/>
      <c r="AX2890" s="442"/>
      <c r="AY2890" s="153"/>
      <c r="AZ2890" s="152"/>
      <c r="BA2890" s="152"/>
      <c r="BB2890" s="152"/>
      <c r="BC2890" s="152"/>
      <c r="BD2890" s="152"/>
      <c r="BE2890" s="152"/>
      <c r="BF2890" s="152"/>
      <c r="BG2890" s="152"/>
      <c r="BH2890" s="152"/>
      <c r="BI2890" s="153"/>
      <c r="BJ2890" s="153"/>
      <c r="BK2890" s="153"/>
      <c r="BL2890" s="153"/>
      <c r="BM2890" s="153"/>
      <c r="BN2890" s="153"/>
      <c r="BO2890" s="153"/>
      <c r="BP2890" s="153"/>
      <c r="BQ2890" s="153"/>
      <c r="BR2890" s="153"/>
      <c r="BS2890" s="153"/>
      <c r="BT2890" s="153"/>
      <c r="BU2890" s="153"/>
      <c r="BV2890" s="153"/>
      <c r="BW2890" s="153"/>
      <c r="BX2890" s="153"/>
      <c r="BY2890" s="153"/>
      <c r="BZ2890" s="153"/>
      <c r="CA2890" s="152"/>
      <c r="CB2890" s="152"/>
    </row>
    <row r="2891" spans="1:80" s="87" customFormat="1" ht="15" x14ac:dyDescent="0.25">
      <c r="A2891" s="152"/>
      <c r="B2891" s="683"/>
      <c r="C2891" s="683"/>
      <c r="D2891" s="698"/>
      <c r="E2891" s="215"/>
      <c r="F2891" s="215"/>
      <c r="G2891" s="153"/>
      <c r="H2891" s="153"/>
      <c r="I2891" s="316">
        <v>23</v>
      </c>
      <c r="J2891" s="306">
        <v>60</v>
      </c>
      <c r="K2891" s="150">
        <v>1</v>
      </c>
      <c r="L2891" s="656">
        <v>23</v>
      </c>
      <c r="M2891" s="663">
        <v>34444</v>
      </c>
      <c r="N2891" s="600">
        <v>8.0691199999999998</v>
      </c>
      <c r="O2891" s="604">
        <v>8.1237000000000004E-2</v>
      </c>
      <c r="P2891" s="150"/>
      <c r="Q2891" s="250"/>
      <c r="R2891" s="250"/>
      <c r="S2891" s="250">
        <v>1.1000000000000001E-2</v>
      </c>
      <c r="T2891" s="250">
        <v>4.9000000000000002E-2</v>
      </c>
      <c r="U2891" s="250">
        <v>0.16500000000000001</v>
      </c>
      <c r="V2891" s="250">
        <v>0.37229100000000004</v>
      </c>
      <c r="W2891" s="250">
        <v>0.33652500000000002</v>
      </c>
      <c r="X2891" s="250">
        <v>6.4791000000000001E-2</v>
      </c>
      <c r="Y2891" s="250">
        <v>1.4840000000000001E-3</v>
      </c>
      <c r="Z2891" s="150"/>
      <c r="AA2891" s="223">
        <v>1.2</v>
      </c>
      <c r="AB2891" s="152"/>
      <c r="AC2891" s="152"/>
      <c r="AD2891" s="223">
        <v>10.515255</v>
      </c>
      <c r="AE2891" s="223">
        <v>0.60653210000000002</v>
      </c>
      <c r="AF2891" s="223">
        <v>6.3725284000000002</v>
      </c>
      <c r="AG2891" s="223">
        <v>1.4477525</v>
      </c>
      <c r="AH2891" s="341"/>
      <c r="AI2891" s="218"/>
      <c r="AJ2891" s="218"/>
      <c r="AK2891" s="153"/>
      <c r="AL2891" s="152"/>
      <c r="AM2891" s="152"/>
      <c r="AN2891" s="152"/>
      <c r="AO2891" s="152"/>
      <c r="AP2891" s="152"/>
      <c r="AQ2891" s="152"/>
      <c r="AR2891" s="152"/>
      <c r="AS2891" s="152"/>
      <c r="AT2891" s="152"/>
      <c r="AU2891" s="153"/>
      <c r="AV2891" s="479"/>
      <c r="AW2891" s="479"/>
      <c r="AX2891" s="442"/>
      <c r="AY2891" s="153"/>
      <c r="AZ2891" s="152"/>
      <c r="BA2891" s="152"/>
      <c r="BB2891" s="152"/>
      <c r="BC2891" s="152"/>
      <c r="BD2891" s="152"/>
      <c r="BE2891" s="152"/>
      <c r="BF2891" s="152"/>
      <c r="BG2891" s="152"/>
      <c r="BH2891" s="152"/>
      <c r="BI2891" s="153"/>
      <c r="BJ2891" s="153"/>
      <c r="BK2891" s="153"/>
      <c r="BL2891" s="153"/>
      <c r="BM2891" s="153"/>
      <c r="BN2891" s="153"/>
      <c r="BO2891" s="153"/>
      <c r="BP2891" s="153"/>
      <c r="BQ2891" s="153"/>
      <c r="BR2891" s="153"/>
      <c r="BS2891" s="153"/>
      <c r="BT2891" s="153"/>
      <c r="BU2891" s="153"/>
      <c r="BV2891" s="153"/>
      <c r="BW2891" s="153"/>
      <c r="BX2891" s="153"/>
      <c r="BY2891" s="153"/>
      <c r="BZ2891" s="153"/>
      <c r="CA2891" s="152"/>
      <c r="CB2891" s="152"/>
    </row>
    <row r="2892" spans="1:80" s="87" customFormat="1" ht="15" x14ac:dyDescent="0.25">
      <c r="A2892" s="152"/>
      <c r="B2892" s="683"/>
      <c r="C2892" s="683"/>
      <c r="D2892" s="698"/>
      <c r="E2892" s="215"/>
      <c r="F2892" s="215"/>
      <c r="G2892" s="153"/>
      <c r="H2892" s="153"/>
      <c r="I2892" s="316">
        <v>19</v>
      </c>
      <c r="J2892" s="306">
        <v>60</v>
      </c>
      <c r="K2892" s="150">
        <v>1</v>
      </c>
      <c r="L2892" s="656">
        <v>19</v>
      </c>
      <c r="M2892" s="663">
        <v>34450</v>
      </c>
      <c r="N2892" s="600">
        <v>8.5787499999999994</v>
      </c>
      <c r="O2892" s="604">
        <v>0.112304</v>
      </c>
      <c r="P2892" s="150"/>
      <c r="Q2892" s="250"/>
      <c r="R2892" s="250">
        <v>1.2E-2</v>
      </c>
      <c r="S2892" s="250">
        <v>1.1000000000000001E-2</v>
      </c>
      <c r="T2892" s="250">
        <v>5.2000000000000005E-2</v>
      </c>
      <c r="U2892" s="250">
        <v>0.16500000000000001</v>
      </c>
      <c r="V2892" s="250">
        <v>0.415524</v>
      </c>
      <c r="W2892" s="250">
        <v>0.291937</v>
      </c>
      <c r="X2892" s="250">
        <v>5.1147999999999999E-2</v>
      </c>
      <c r="Y2892" s="250">
        <v>1.6919999999999999E-3</v>
      </c>
      <c r="Z2892" s="150"/>
      <c r="AA2892" s="223">
        <v>1.3</v>
      </c>
      <c r="AB2892" s="152"/>
      <c r="AC2892" s="152"/>
      <c r="AD2892" s="223">
        <v>12.343995</v>
      </c>
      <c r="AE2892" s="223">
        <v>0.54862200000000005</v>
      </c>
      <c r="AF2892" s="223">
        <v>6.7719725999999998</v>
      </c>
      <c r="AG2892" s="223">
        <v>1.2161120999999999</v>
      </c>
      <c r="AH2892" s="341"/>
      <c r="AI2892" s="218"/>
      <c r="AJ2892" s="218"/>
      <c r="AK2892" s="153"/>
      <c r="AL2892" s="152"/>
      <c r="AM2892" s="152"/>
      <c r="AN2892" s="152"/>
      <c r="AO2892" s="152"/>
      <c r="AP2892" s="152"/>
      <c r="AQ2892" s="152"/>
      <c r="AR2892" s="152"/>
      <c r="AS2892" s="152"/>
      <c r="AT2892" s="152"/>
      <c r="AU2892" s="153"/>
      <c r="AV2892" s="479"/>
      <c r="AW2892" s="479"/>
      <c r="AX2892" s="442"/>
      <c r="AY2892" s="153"/>
      <c r="AZ2892" s="152"/>
      <c r="BA2892" s="152"/>
      <c r="BB2892" s="152"/>
      <c r="BC2892" s="152"/>
      <c r="BD2892" s="152"/>
      <c r="BE2892" s="152"/>
      <c r="BF2892" s="152"/>
      <c r="BG2892" s="152"/>
      <c r="BH2892" s="152"/>
      <c r="BI2892" s="153"/>
      <c r="BJ2892" s="153"/>
      <c r="BK2892" s="153"/>
      <c r="BL2892" s="153"/>
      <c r="BM2892" s="153"/>
      <c r="BN2892" s="153"/>
      <c r="BO2892" s="153"/>
      <c r="BP2892" s="153"/>
      <c r="BQ2892" s="153"/>
      <c r="BR2892" s="153"/>
      <c r="BS2892" s="153"/>
      <c r="BT2892" s="153"/>
      <c r="BU2892" s="153"/>
      <c r="BV2892" s="153"/>
      <c r="BW2892" s="153"/>
      <c r="BX2892" s="153"/>
      <c r="BY2892" s="153"/>
      <c r="BZ2892" s="153"/>
      <c r="CA2892" s="152"/>
      <c r="CB2892" s="152"/>
    </row>
    <row r="2893" spans="1:80" s="87" customFormat="1" ht="15" x14ac:dyDescent="0.25">
      <c r="A2893" s="152"/>
      <c r="B2893" s="683"/>
      <c r="C2893" s="683"/>
      <c r="D2893" s="698"/>
      <c r="E2893" s="215"/>
      <c r="F2893" s="215"/>
      <c r="G2893" s="153"/>
      <c r="H2893" s="153"/>
      <c r="I2893" s="316">
        <v>19</v>
      </c>
      <c r="J2893" s="306">
        <v>60</v>
      </c>
      <c r="K2893" s="150">
        <v>1</v>
      </c>
      <c r="L2893" s="656">
        <v>19</v>
      </c>
      <c r="M2893" s="663">
        <v>34450</v>
      </c>
      <c r="N2893" s="600">
        <v>8.5787499999999994</v>
      </c>
      <c r="O2893" s="604">
        <v>2.6764E-2</v>
      </c>
      <c r="P2893" s="150"/>
      <c r="Q2893" s="250"/>
      <c r="R2893" s="250">
        <v>3.6000000000000004E-2</v>
      </c>
      <c r="S2893" s="250">
        <v>0</v>
      </c>
      <c r="T2893" s="250">
        <v>2.3E-2</v>
      </c>
      <c r="U2893" s="250">
        <v>0.106</v>
      </c>
      <c r="V2893" s="250">
        <v>0.41769300000000004</v>
      </c>
      <c r="W2893" s="250">
        <v>0.33019599999999999</v>
      </c>
      <c r="X2893" s="250">
        <v>8.3792000000000005E-2</v>
      </c>
      <c r="Y2893" s="250">
        <v>3.271E-3</v>
      </c>
      <c r="Z2893" s="150"/>
      <c r="AA2893" s="223">
        <v>1.1499999999999999</v>
      </c>
      <c r="AB2893" s="152"/>
      <c r="AC2893" s="152"/>
      <c r="AD2893" s="223">
        <v>12.343995</v>
      </c>
      <c r="AE2893" s="223">
        <v>0.54862200000000005</v>
      </c>
      <c r="AF2893" s="223">
        <v>6.7719725999999998</v>
      </c>
      <c r="AG2893" s="223">
        <v>1.2161120999999999</v>
      </c>
      <c r="AH2893" s="341"/>
      <c r="AI2893" s="218"/>
      <c r="AJ2893" s="218"/>
      <c r="AK2893" s="153"/>
      <c r="AL2893" s="152"/>
      <c r="AM2893" s="152"/>
      <c r="AN2893" s="152"/>
      <c r="AO2893" s="152"/>
      <c r="AP2893" s="152"/>
      <c r="AQ2893" s="152"/>
      <c r="AR2893" s="152"/>
      <c r="AS2893" s="152"/>
      <c r="AT2893" s="152"/>
      <c r="AU2893" s="153"/>
      <c r="AV2893" s="479"/>
      <c r="AW2893" s="479"/>
      <c r="AX2893" s="442"/>
      <c r="AY2893" s="153"/>
      <c r="AZ2893" s="152"/>
      <c r="BA2893" s="152"/>
      <c r="BB2893" s="152"/>
      <c r="BC2893" s="152"/>
      <c r="BD2893" s="152"/>
      <c r="BE2893" s="152"/>
      <c r="BF2893" s="152"/>
      <c r="BG2893" s="152"/>
      <c r="BH2893" s="152"/>
      <c r="BI2893" s="153"/>
      <c r="BJ2893" s="153"/>
      <c r="BK2893" s="153"/>
      <c r="BL2893" s="153"/>
      <c r="BM2893" s="153"/>
      <c r="BN2893" s="153"/>
      <c r="BO2893" s="153"/>
      <c r="BP2893" s="153"/>
      <c r="BQ2893" s="153"/>
      <c r="BR2893" s="153"/>
      <c r="BS2893" s="153"/>
      <c r="BT2893" s="153"/>
      <c r="BU2893" s="153"/>
      <c r="BV2893" s="153"/>
      <c r="BW2893" s="153"/>
      <c r="BX2893" s="153"/>
      <c r="BY2893" s="153"/>
      <c r="BZ2893" s="153"/>
      <c r="CA2893" s="152"/>
      <c r="CB2893" s="152"/>
    </row>
    <row r="2894" spans="1:80" s="87" customFormat="1" ht="15" x14ac:dyDescent="0.25">
      <c r="A2894" s="152"/>
      <c r="B2894" s="683"/>
      <c r="C2894" s="683"/>
      <c r="D2894" s="698"/>
      <c r="E2894" s="215"/>
      <c r="F2894" s="215"/>
      <c r="G2894" s="153"/>
      <c r="H2894" s="153"/>
      <c r="I2894" s="316">
        <v>20</v>
      </c>
      <c r="J2894" s="306">
        <v>60</v>
      </c>
      <c r="K2894" s="150">
        <v>1</v>
      </c>
      <c r="L2894" s="656">
        <v>20</v>
      </c>
      <c r="M2894" s="663">
        <v>34457</v>
      </c>
      <c r="N2894" s="600">
        <v>4.1902799999999996</v>
      </c>
      <c r="O2894" s="604">
        <v>1.2175E-2</v>
      </c>
      <c r="P2894" s="150"/>
      <c r="Q2894" s="250"/>
      <c r="R2894" s="250"/>
      <c r="S2894" s="250"/>
      <c r="T2894" s="250">
        <v>0.17399999999999999</v>
      </c>
      <c r="U2894" s="250">
        <v>0.40500000000000003</v>
      </c>
      <c r="V2894" s="250">
        <v>9.0081000000000008E-2</v>
      </c>
      <c r="W2894" s="250">
        <v>0.32577899999999999</v>
      </c>
      <c r="X2894" s="250">
        <v>2.735E-3</v>
      </c>
      <c r="Y2894" s="250">
        <v>1.9940000000000001E-3</v>
      </c>
      <c r="Z2894" s="150"/>
      <c r="AA2894" s="223">
        <v>2.29</v>
      </c>
      <c r="AB2894" s="152"/>
      <c r="AC2894" s="152"/>
      <c r="AD2894" s="223">
        <v>9.8447169999999993</v>
      </c>
      <c r="AE2894" s="223">
        <v>0.49680770000000002</v>
      </c>
      <c r="AF2894" s="223">
        <v>4.8955137999999998</v>
      </c>
      <c r="AG2894" s="223">
        <v>0.91437000000000002</v>
      </c>
      <c r="AH2894" s="341"/>
      <c r="AI2894" s="218"/>
      <c r="AJ2894" s="218"/>
      <c r="AK2894" s="153"/>
      <c r="AL2894" s="152"/>
      <c r="AM2894" s="152"/>
      <c r="AN2894" s="152"/>
      <c r="AO2894" s="152"/>
      <c r="AP2894" s="152"/>
      <c r="AQ2894" s="152"/>
      <c r="AR2894" s="152"/>
      <c r="AS2894" s="152"/>
      <c r="AT2894" s="152"/>
      <c r="AU2894" s="153"/>
      <c r="AV2894" s="479"/>
      <c r="AW2894" s="479"/>
      <c r="AX2894" s="442"/>
      <c r="AY2894" s="153"/>
      <c r="AZ2894" s="152"/>
      <c r="BA2894" s="152"/>
      <c r="BB2894" s="152"/>
      <c r="BC2894" s="152"/>
      <c r="BD2894" s="152"/>
      <c r="BE2894" s="152"/>
      <c r="BF2894" s="152"/>
      <c r="BG2894" s="152"/>
      <c r="BH2894" s="152"/>
      <c r="BI2894" s="153"/>
      <c r="BJ2894" s="153"/>
      <c r="BK2894" s="153"/>
      <c r="BL2894" s="153"/>
      <c r="BM2894" s="153"/>
      <c r="BN2894" s="153"/>
      <c r="BO2894" s="153"/>
      <c r="BP2894" s="153"/>
      <c r="BQ2894" s="153"/>
      <c r="BR2894" s="153"/>
      <c r="BS2894" s="153"/>
      <c r="BT2894" s="153"/>
      <c r="BU2894" s="153"/>
      <c r="BV2894" s="153"/>
      <c r="BW2894" s="153"/>
      <c r="BX2894" s="153"/>
      <c r="BY2894" s="153"/>
      <c r="BZ2894" s="153"/>
      <c r="CA2894" s="152"/>
      <c r="CB2894" s="152"/>
    </row>
    <row r="2895" spans="1:80" s="87" customFormat="1" ht="15" x14ac:dyDescent="0.25">
      <c r="A2895" s="152"/>
      <c r="B2895" s="683"/>
      <c r="C2895" s="683"/>
      <c r="D2895" s="698"/>
      <c r="E2895" s="215"/>
      <c r="F2895" s="215"/>
      <c r="G2895" s="153"/>
      <c r="H2895" s="153"/>
      <c r="I2895" s="316">
        <v>20</v>
      </c>
      <c r="J2895" s="306">
        <v>60</v>
      </c>
      <c r="K2895" s="150">
        <v>1</v>
      </c>
      <c r="L2895" s="656">
        <v>20</v>
      </c>
      <c r="M2895" s="663">
        <v>34457</v>
      </c>
      <c r="N2895" s="600">
        <v>4.1902799999999996</v>
      </c>
      <c r="O2895" s="604">
        <v>9.7610000000000006E-3</v>
      </c>
      <c r="P2895" s="150"/>
      <c r="Q2895" s="250"/>
      <c r="R2895" s="250"/>
      <c r="S2895" s="250"/>
      <c r="T2895" s="250">
        <v>0.04</v>
      </c>
      <c r="U2895" s="250">
        <v>0.14699999999999999</v>
      </c>
      <c r="V2895" s="250">
        <v>0.28868099999999997</v>
      </c>
      <c r="W2895" s="250">
        <v>0.42280000000000001</v>
      </c>
      <c r="X2895" s="250">
        <v>9.8300999999999999E-2</v>
      </c>
      <c r="Y2895" s="250">
        <v>3.0839999999999999E-3</v>
      </c>
      <c r="Z2895" s="150"/>
      <c r="AA2895" s="223">
        <v>0.96</v>
      </c>
      <c r="AB2895" s="152"/>
      <c r="AC2895" s="152"/>
      <c r="AD2895" s="223">
        <v>9.8447169999999993</v>
      </c>
      <c r="AE2895" s="223">
        <v>0.49680770000000002</v>
      </c>
      <c r="AF2895" s="223">
        <v>4.8955137999999998</v>
      </c>
      <c r="AG2895" s="223">
        <v>0.91437000000000002</v>
      </c>
      <c r="AH2895" s="341"/>
      <c r="AI2895" s="218"/>
      <c r="AJ2895" s="218"/>
      <c r="AK2895" s="153"/>
      <c r="AL2895" s="152"/>
      <c r="AM2895" s="152"/>
      <c r="AN2895" s="152"/>
      <c r="AO2895" s="152"/>
      <c r="AP2895" s="152"/>
      <c r="AQ2895" s="152"/>
      <c r="AR2895" s="152"/>
      <c r="AS2895" s="152"/>
      <c r="AT2895" s="152"/>
      <c r="AU2895" s="153"/>
      <c r="AV2895" s="479"/>
      <c r="AW2895" s="479"/>
      <c r="AX2895" s="442"/>
      <c r="AY2895" s="153"/>
      <c r="AZ2895" s="152"/>
      <c r="BA2895" s="152"/>
      <c r="BB2895" s="152"/>
      <c r="BC2895" s="152"/>
      <c r="BD2895" s="152"/>
      <c r="BE2895" s="152"/>
      <c r="BF2895" s="152"/>
      <c r="BG2895" s="152"/>
      <c r="BH2895" s="152"/>
      <c r="BI2895" s="153"/>
      <c r="BJ2895" s="153"/>
      <c r="BK2895" s="153"/>
      <c r="BL2895" s="153"/>
      <c r="BM2895" s="153"/>
      <c r="BN2895" s="153"/>
      <c r="BO2895" s="153"/>
      <c r="BP2895" s="153"/>
      <c r="BQ2895" s="153"/>
      <c r="BR2895" s="153"/>
      <c r="BS2895" s="153"/>
      <c r="BT2895" s="153"/>
      <c r="BU2895" s="153"/>
      <c r="BV2895" s="153"/>
      <c r="BW2895" s="153"/>
      <c r="BX2895" s="153"/>
      <c r="BY2895" s="153"/>
      <c r="BZ2895" s="153"/>
      <c r="CA2895" s="152"/>
      <c r="CB2895" s="152"/>
    </row>
    <row r="2896" spans="1:80" s="87" customFormat="1" ht="15" x14ac:dyDescent="0.25">
      <c r="A2896" s="152"/>
      <c r="B2896" s="683"/>
      <c r="C2896" s="683"/>
      <c r="D2896" s="698"/>
      <c r="E2896" s="215"/>
      <c r="F2896" s="215"/>
      <c r="G2896" s="153"/>
      <c r="H2896" s="153"/>
      <c r="I2896" s="316">
        <v>31</v>
      </c>
      <c r="J2896" s="306">
        <v>60</v>
      </c>
      <c r="K2896" s="150">
        <v>1</v>
      </c>
      <c r="L2896" s="656">
        <v>31</v>
      </c>
      <c r="M2896" s="663">
        <v>34459</v>
      </c>
      <c r="N2896" s="600">
        <v>4.5583400000000003</v>
      </c>
      <c r="O2896" s="604">
        <v>0.10212300000000001</v>
      </c>
      <c r="P2896" s="150"/>
      <c r="Q2896" s="250">
        <v>5.7999999999999996E-2</v>
      </c>
      <c r="R2896" s="250">
        <v>4.9000000000000002E-2</v>
      </c>
      <c r="S2896" s="250">
        <v>2.6000000000000002E-2</v>
      </c>
      <c r="T2896" s="250">
        <v>7.0999999999999994E-2</v>
      </c>
      <c r="U2896" s="250">
        <v>0.20800000000000002</v>
      </c>
      <c r="V2896" s="250">
        <v>0.276335</v>
      </c>
      <c r="W2896" s="250">
        <v>0.25506200000000001</v>
      </c>
      <c r="X2896" s="250">
        <v>5.4563E-2</v>
      </c>
      <c r="Y2896" s="250">
        <v>2.428E-3</v>
      </c>
      <c r="Z2896" s="150"/>
      <c r="AA2896" s="223">
        <v>1.6</v>
      </c>
      <c r="AB2896" s="152"/>
      <c r="AC2896" s="152"/>
      <c r="AD2896" s="223">
        <v>9.7532800000000002</v>
      </c>
      <c r="AE2896" s="223">
        <v>0.51509510000000003</v>
      </c>
      <c r="AF2896" s="223">
        <v>5.0255653999999996</v>
      </c>
      <c r="AG2896" s="223">
        <v>0.92351369999999999</v>
      </c>
      <c r="AH2896" s="341"/>
      <c r="AI2896" s="218"/>
      <c r="AJ2896" s="218"/>
      <c r="AK2896" s="153"/>
      <c r="AL2896" s="152"/>
      <c r="AM2896" s="152"/>
      <c r="AN2896" s="152"/>
      <c r="AO2896" s="152"/>
      <c r="AP2896" s="152"/>
      <c r="AQ2896" s="152"/>
      <c r="AR2896" s="152"/>
      <c r="AS2896" s="152"/>
      <c r="AT2896" s="152"/>
      <c r="AU2896" s="153"/>
      <c r="AV2896" s="479"/>
      <c r="AW2896" s="479"/>
      <c r="AX2896" s="442"/>
      <c r="AY2896" s="153"/>
      <c r="AZ2896" s="152"/>
      <c r="BA2896" s="152"/>
      <c r="BB2896" s="152"/>
      <c r="BC2896" s="152"/>
      <c r="BD2896" s="152"/>
      <c r="BE2896" s="152"/>
      <c r="BF2896" s="152"/>
      <c r="BG2896" s="152"/>
      <c r="BH2896" s="152"/>
      <c r="BI2896" s="153"/>
      <c r="BJ2896" s="153"/>
      <c r="BK2896" s="153"/>
      <c r="BL2896" s="153"/>
      <c r="BM2896" s="153"/>
      <c r="BN2896" s="153"/>
      <c r="BO2896" s="153"/>
      <c r="BP2896" s="153"/>
      <c r="BQ2896" s="153"/>
      <c r="BR2896" s="153"/>
      <c r="BS2896" s="153"/>
      <c r="BT2896" s="153"/>
      <c r="BU2896" s="153"/>
      <c r="BV2896" s="153"/>
      <c r="BW2896" s="153"/>
      <c r="BX2896" s="153"/>
      <c r="BY2896" s="153"/>
      <c r="BZ2896" s="153"/>
      <c r="CA2896" s="152"/>
      <c r="CB2896" s="152"/>
    </row>
    <row r="2897" spans="1:80" s="87" customFormat="1" ht="15" x14ac:dyDescent="0.25">
      <c r="A2897" s="152"/>
      <c r="B2897" s="683"/>
      <c r="C2897" s="683"/>
      <c r="D2897" s="698"/>
      <c r="E2897" s="215"/>
      <c r="F2897" s="215"/>
      <c r="G2897" s="153"/>
      <c r="H2897" s="153"/>
      <c r="I2897" s="316">
        <v>31</v>
      </c>
      <c r="J2897" s="306">
        <v>60</v>
      </c>
      <c r="K2897" s="150">
        <v>1</v>
      </c>
      <c r="L2897" s="656">
        <v>31</v>
      </c>
      <c r="M2897" s="663">
        <v>34459</v>
      </c>
      <c r="N2897" s="600">
        <v>4.5583400000000003</v>
      </c>
      <c r="O2897" s="604">
        <v>0.10401299999999999</v>
      </c>
      <c r="P2897" s="150"/>
      <c r="Q2897" s="250">
        <v>2.5000000000000001E-2</v>
      </c>
      <c r="R2897" s="250">
        <v>0</v>
      </c>
      <c r="S2897" s="250">
        <v>1.3999999999999999E-2</v>
      </c>
      <c r="T2897" s="250">
        <v>4.7E-2</v>
      </c>
      <c r="U2897" s="250">
        <v>0.221</v>
      </c>
      <c r="V2897" s="250">
        <v>0.43046999999999996</v>
      </c>
      <c r="W2897" s="250">
        <v>0.223219</v>
      </c>
      <c r="X2897" s="250">
        <v>3.7568999999999998E-2</v>
      </c>
      <c r="Y2897" s="250">
        <v>1.8450000000000001E-3</v>
      </c>
      <c r="Z2897" s="150"/>
      <c r="AA2897" s="223">
        <v>1.47</v>
      </c>
      <c r="AB2897" s="152"/>
      <c r="AC2897" s="152"/>
      <c r="AD2897" s="223">
        <v>9.7532800000000002</v>
      </c>
      <c r="AE2897" s="223">
        <v>0.51509510000000003</v>
      </c>
      <c r="AF2897" s="223">
        <v>5.0255653999999996</v>
      </c>
      <c r="AG2897" s="223">
        <v>0.92351369999999999</v>
      </c>
      <c r="AH2897" s="341"/>
      <c r="AI2897" s="218"/>
      <c r="AJ2897" s="218"/>
      <c r="AK2897" s="153"/>
      <c r="AL2897" s="152"/>
      <c r="AM2897" s="152"/>
      <c r="AN2897" s="152"/>
      <c r="AO2897" s="152"/>
      <c r="AP2897" s="152"/>
      <c r="AQ2897" s="152"/>
      <c r="AR2897" s="152"/>
      <c r="AS2897" s="152"/>
      <c r="AT2897" s="152"/>
      <c r="AU2897" s="153"/>
      <c r="AV2897" s="479"/>
      <c r="AW2897" s="479"/>
      <c r="AX2897" s="442"/>
      <c r="AY2897" s="153"/>
      <c r="AZ2897" s="152"/>
      <c r="BA2897" s="152"/>
      <c r="BB2897" s="152"/>
      <c r="BC2897" s="152"/>
      <c r="BD2897" s="152"/>
      <c r="BE2897" s="152"/>
      <c r="BF2897" s="152"/>
      <c r="BG2897" s="152"/>
      <c r="BH2897" s="152"/>
      <c r="BI2897" s="153"/>
      <c r="BJ2897" s="153"/>
      <c r="BK2897" s="153"/>
      <c r="BL2897" s="153"/>
      <c r="BM2897" s="153"/>
      <c r="BN2897" s="153"/>
      <c r="BO2897" s="153"/>
      <c r="BP2897" s="153"/>
      <c r="BQ2897" s="153"/>
      <c r="BR2897" s="153"/>
      <c r="BS2897" s="153"/>
      <c r="BT2897" s="153"/>
      <c r="BU2897" s="153"/>
      <c r="BV2897" s="153"/>
      <c r="BW2897" s="153"/>
      <c r="BX2897" s="153"/>
      <c r="BY2897" s="153"/>
      <c r="BZ2897" s="153"/>
      <c r="CA2897" s="152"/>
      <c r="CB2897" s="152"/>
    </row>
    <row r="2898" spans="1:80" s="87" customFormat="1" ht="15" x14ac:dyDescent="0.25">
      <c r="A2898" s="152"/>
      <c r="B2898" s="683"/>
      <c r="C2898" s="683"/>
      <c r="D2898" s="698"/>
      <c r="E2898" s="215"/>
      <c r="F2898" s="215"/>
      <c r="G2898" s="153"/>
      <c r="H2898" s="153"/>
      <c r="I2898" s="316">
        <v>20</v>
      </c>
      <c r="J2898" s="306">
        <v>60</v>
      </c>
      <c r="K2898" s="150">
        <v>1</v>
      </c>
      <c r="L2898" s="656">
        <v>20</v>
      </c>
      <c r="M2898" s="663">
        <v>34463</v>
      </c>
      <c r="N2898" s="600">
        <v>4.8131599999999999</v>
      </c>
      <c r="O2898" s="604">
        <v>2.6134000000000001E-2</v>
      </c>
      <c r="P2898" s="150"/>
      <c r="Q2898" s="250"/>
      <c r="R2898" s="250"/>
      <c r="S2898" s="250">
        <v>3.0000000000000001E-3</v>
      </c>
      <c r="T2898" s="250">
        <v>9.9000000000000005E-2</v>
      </c>
      <c r="U2898" s="250">
        <v>0.29199999999999998</v>
      </c>
      <c r="V2898" s="250">
        <v>0.35383400000000004</v>
      </c>
      <c r="W2898" s="250">
        <v>0.19416899999999998</v>
      </c>
      <c r="X2898" s="250">
        <v>5.6089E-2</v>
      </c>
      <c r="Y2898" s="250">
        <v>2.3669999999999997E-3</v>
      </c>
      <c r="Z2898" s="150"/>
      <c r="AA2898" s="223">
        <v>1.62</v>
      </c>
      <c r="AB2898" s="152"/>
      <c r="AC2898" s="152"/>
      <c r="AD2898" s="223">
        <v>9.9666329999999999</v>
      </c>
      <c r="AE2898" s="223">
        <v>0.51814300000000002</v>
      </c>
      <c r="AF2898" s="223">
        <v>5.1741957999999997</v>
      </c>
      <c r="AG2898" s="223">
        <v>0.95704060000000002</v>
      </c>
      <c r="AH2898" s="341"/>
      <c r="AI2898" s="218"/>
      <c r="AJ2898" s="218"/>
      <c r="AK2898" s="153"/>
      <c r="AL2898" s="152"/>
      <c r="AM2898" s="152"/>
      <c r="AN2898" s="152"/>
      <c r="AO2898" s="152"/>
      <c r="AP2898" s="152"/>
      <c r="AQ2898" s="152"/>
      <c r="AR2898" s="152"/>
      <c r="AS2898" s="152"/>
      <c r="AT2898" s="152"/>
      <c r="AU2898" s="153"/>
      <c r="AV2898" s="479"/>
      <c r="AW2898" s="479"/>
      <c r="AX2898" s="442"/>
      <c r="AY2898" s="153"/>
      <c r="AZ2898" s="152"/>
      <c r="BA2898" s="152"/>
      <c r="BB2898" s="152"/>
      <c r="BC2898" s="152"/>
      <c r="BD2898" s="152"/>
      <c r="BE2898" s="152"/>
      <c r="BF2898" s="152"/>
      <c r="BG2898" s="152"/>
      <c r="BH2898" s="152"/>
      <c r="BI2898" s="153"/>
      <c r="BJ2898" s="153"/>
      <c r="BK2898" s="153"/>
      <c r="BL2898" s="153"/>
      <c r="BM2898" s="153"/>
      <c r="BN2898" s="153"/>
      <c r="BO2898" s="153"/>
      <c r="BP2898" s="153"/>
      <c r="BQ2898" s="153"/>
      <c r="BR2898" s="153"/>
      <c r="BS2898" s="153"/>
      <c r="BT2898" s="153"/>
      <c r="BU2898" s="153"/>
      <c r="BV2898" s="153"/>
      <c r="BW2898" s="153"/>
      <c r="BX2898" s="153"/>
      <c r="BY2898" s="153"/>
      <c r="BZ2898" s="153"/>
      <c r="CA2898" s="152"/>
      <c r="CB2898" s="152"/>
    </row>
    <row r="2899" spans="1:80" s="87" customFormat="1" ht="15" x14ac:dyDescent="0.25">
      <c r="A2899" s="152"/>
      <c r="B2899" s="683"/>
      <c r="C2899" s="683"/>
      <c r="D2899" s="698"/>
      <c r="E2899" s="215"/>
      <c r="F2899" s="215"/>
      <c r="G2899" s="153"/>
      <c r="H2899" s="153"/>
      <c r="I2899" s="316">
        <v>20</v>
      </c>
      <c r="J2899" s="306">
        <v>60</v>
      </c>
      <c r="K2899" s="150">
        <v>1</v>
      </c>
      <c r="L2899" s="656">
        <v>20</v>
      </c>
      <c r="M2899" s="663">
        <v>34463</v>
      </c>
      <c r="N2899" s="600">
        <v>4.8131599999999999</v>
      </c>
      <c r="O2899" s="604">
        <v>1.4378999999999999E-2</v>
      </c>
      <c r="P2899" s="150"/>
      <c r="Q2899" s="250"/>
      <c r="R2899" s="250"/>
      <c r="S2899" s="250">
        <v>6.0000000000000001E-3</v>
      </c>
      <c r="T2899" s="250">
        <v>3.6000000000000004E-2</v>
      </c>
      <c r="U2899" s="250">
        <v>0.122</v>
      </c>
      <c r="V2899" s="250">
        <v>0.22071200000000002</v>
      </c>
      <c r="W2899" s="250">
        <v>0.48496300000000003</v>
      </c>
      <c r="X2899" s="250">
        <v>0.12731199999999998</v>
      </c>
      <c r="Y2899" s="250">
        <v>3.382E-3</v>
      </c>
      <c r="Z2899" s="150"/>
      <c r="AA2899" s="223">
        <v>0.85</v>
      </c>
      <c r="AB2899" s="152"/>
      <c r="AC2899" s="152"/>
      <c r="AD2899" s="223">
        <v>9.9666329999999999</v>
      </c>
      <c r="AE2899" s="223">
        <v>0.51814300000000002</v>
      </c>
      <c r="AF2899" s="223">
        <v>5.1741957999999997</v>
      </c>
      <c r="AG2899" s="223">
        <v>0.95704060000000002</v>
      </c>
      <c r="AH2899" s="341"/>
      <c r="AI2899" s="218"/>
      <c r="AJ2899" s="218"/>
      <c r="AK2899" s="153"/>
      <c r="AL2899" s="152"/>
      <c r="AM2899" s="152"/>
      <c r="AN2899" s="152"/>
      <c r="AO2899" s="152"/>
      <c r="AP2899" s="152"/>
      <c r="AQ2899" s="152"/>
      <c r="AR2899" s="152"/>
      <c r="AS2899" s="152"/>
      <c r="AT2899" s="152"/>
      <c r="AU2899" s="153"/>
      <c r="AV2899" s="479"/>
      <c r="AW2899" s="479"/>
      <c r="AX2899" s="442"/>
      <c r="AY2899" s="153"/>
      <c r="AZ2899" s="152"/>
      <c r="BA2899" s="152"/>
      <c r="BB2899" s="152"/>
      <c r="BC2899" s="152"/>
      <c r="BD2899" s="152"/>
      <c r="BE2899" s="152"/>
      <c r="BF2899" s="152"/>
      <c r="BG2899" s="152"/>
      <c r="BH2899" s="152"/>
      <c r="BI2899" s="153"/>
      <c r="BJ2899" s="153"/>
      <c r="BK2899" s="153"/>
      <c r="BL2899" s="153"/>
      <c r="BM2899" s="153"/>
      <c r="BN2899" s="153"/>
      <c r="BO2899" s="153"/>
      <c r="BP2899" s="153"/>
      <c r="BQ2899" s="153"/>
      <c r="BR2899" s="153"/>
      <c r="BS2899" s="153"/>
      <c r="BT2899" s="153"/>
      <c r="BU2899" s="153"/>
      <c r="BV2899" s="153"/>
      <c r="BW2899" s="153"/>
      <c r="BX2899" s="153"/>
      <c r="BY2899" s="153"/>
      <c r="BZ2899" s="153"/>
      <c r="CA2899" s="152"/>
      <c r="CB2899" s="152"/>
    </row>
    <row r="2900" spans="1:80" s="87" customFormat="1" ht="15" x14ac:dyDescent="0.25">
      <c r="A2900" s="152"/>
      <c r="B2900" s="683"/>
      <c r="C2900" s="683"/>
      <c r="D2900" s="698"/>
      <c r="E2900" s="215"/>
      <c r="F2900" s="215"/>
      <c r="G2900" s="153"/>
      <c r="H2900" s="153"/>
      <c r="I2900" s="316">
        <v>21</v>
      </c>
      <c r="J2900" s="306">
        <v>60</v>
      </c>
      <c r="K2900" s="150">
        <v>1</v>
      </c>
      <c r="L2900" s="656">
        <v>21</v>
      </c>
      <c r="M2900" s="663">
        <v>34464</v>
      </c>
      <c r="N2900" s="600">
        <v>4.69991</v>
      </c>
      <c r="O2900" s="604">
        <v>6.5598000000000004E-2</v>
      </c>
      <c r="P2900" s="250">
        <v>0.35299999999999998</v>
      </c>
      <c r="Q2900" s="250">
        <v>0</v>
      </c>
      <c r="R2900" s="250">
        <v>0</v>
      </c>
      <c r="S2900" s="250">
        <v>2.2000000000000002E-2</v>
      </c>
      <c r="T2900" s="250">
        <v>4.4999999999999998E-2</v>
      </c>
      <c r="U2900" s="250">
        <v>0.152</v>
      </c>
      <c r="V2900" s="250">
        <v>0.203654</v>
      </c>
      <c r="W2900" s="250">
        <v>0.154366</v>
      </c>
      <c r="X2900" s="250">
        <v>6.6966999999999999E-2</v>
      </c>
      <c r="Y2900" s="250">
        <v>2.2669999999999999E-3</v>
      </c>
      <c r="Z2900" s="150"/>
      <c r="AA2900" s="223">
        <v>2.79</v>
      </c>
      <c r="AB2900" s="152"/>
      <c r="AC2900" s="152"/>
      <c r="AD2900" s="223">
        <v>9.9361540000000002</v>
      </c>
      <c r="AE2900" s="223">
        <v>0.51509510000000003</v>
      </c>
      <c r="AF2900" s="223">
        <v>5.1184593999999999</v>
      </c>
      <c r="AG2900" s="223">
        <v>0.94180109999999995</v>
      </c>
      <c r="AH2900" s="341"/>
      <c r="AI2900" s="218"/>
      <c r="AJ2900" s="218"/>
      <c r="AK2900" s="153"/>
      <c r="AL2900" s="152"/>
      <c r="AM2900" s="152"/>
      <c r="AN2900" s="152"/>
      <c r="AO2900" s="152"/>
      <c r="AP2900" s="152"/>
      <c r="AQ2900" s="152"/>
      <c r="AR2900" s="152"/>
      <c r="AS2900" s="152"/>
      <c r="AT2900" s="152"/>
      <c r="AU2900" s="153"/>
      <c r="AV2900" s="479"/>
      <c r="AW2900" s="479"/>
      <c r="AX2900" s="442"/>
      <c r="AY2900" s="153"/>
      <c r="AZ2900" s="152"/>
      <c r="BA2900" s="152"/>
      <c r="BB2900" s="152"/>
      <c r="BC2900" s="152"/>
      <c r="BD2900" s="152"/>
      <c r="BE2900" s="152"/>
      <c r="BF2900" s="152"/>
      <c r="BG2900" s="152"/>
      <c r="BH2900" s="152"/>
      <c r="BI2900" s="153"/>
      <c r="BJ2900" s="153"/>
      <c r="BK2900" s="153"/>
      <c r="BL2900" s="153"/>
      <c r="BM2900" s="153"/>
      <c r="BN2900" s="153"/>
      <c r="BO2900" s="153"/>
      <c r="BP2900" s="153"/>
      <c r="BQ2900" s="153"/>
      <c r="BR2900" s="153"/>
      <c r="BS2900" s="153"/>
      <c r="BT2900" s="153"/>
      <c r="BU2900" s="153"/>
      <c r="BV2900" s="153"/>
      <c r="BW2900" s="153"/>
      <c r="BX2900" s="153"/>
      <c r="BY2900" s="153"/>
      <c r="BZ2900" s="153"/>
      <c r="CA2900" s="152"/>
      <c r="CB2900" s="152"/>
    </row>
    <row r="2901" spans="1:80" s="87" customFormat="1" ht="15" x14ac:dyDescent="0.25">
      <c r="A2901" s="152"/>
      <c r="B2901" s="683"/>
      <c r="C2901" s="683"/>
      <c r="D2901" s="698"/>
      <c r="E2901" s="215"/>
      <c r="F2901" s="215"/>
      <c r="G2901" s="153"/>
      <c r="H2901" s="153"/>
      <c r="I2901" s="316">
        <v>21</v>
      </c>
      <c r="J2901" s="306">
        <v>60</v>
      </c>
      <c r="K2901" s="150">
        <v>1</v>
      </c>
      <c r="L2901" s="656">
        <v>21</v>
      </c>
      <c r="M2901" s="663">
        <v>34464</v>
      </c>
      <c r="N2901" s="600">
        <v>4.69991</v>
      </c>
      <c r="O2901" s="604">
        <v>5.0903999999999998E-2</v>
      </c>
      <c r="P2901" s="150"/>
      <c r="Q2901" s="250"/>
      <c r="R2901" s="250"/>
      <c r="S2901" s="250">
        <v>9.0000000000000011E-3</v>
      </c>
      <c r="T2901" s="250">
        <v>6.5000000000000002E-2</v>
      </c>
      <c r="U2901" s="250">
        <v>0.26300000000000001</v>
      </c>
      <c r="V2901" s="250">
        <v>0.39634399999999997</v>
      </c>
      <c r="W2901" s="250">
        <v>0.18823100000000001</v>
      </c>
      <c r="X2901" s="250">
        <v>7.610299999999999E-2</v>
      </c>
      <c r="Y2901" s="250">
        <v>2.2780000000000001E-3</v>
      </c>
      <c r="Z2901" s="150"/>
      <c r="AA2901" s="223">
        <v>1.5</v>
      </c>
      <c r="AB2901" s="152"/>
      <c r="AC2901" s="152"/>
      <c r="AD2901" s="223">
        <v>9.9361540000000002</v>
      </c>
      <c r="AE2901" s="223">
        <v>0.51509510000000003</v>
      </c>
      <c r="AF2901" s="223">
        <v>5.1184593999999999</v>
      </c>
      <c r="AG2901" s="223">
        <v>0.94180109999999995</v>
      </c>
      <c r="AH2901" s="341"/>
      <c r="AI2901" s="218"/>
      <c r="AJ2901" s="218"/>
      <c r="AK2901" s="153"/>
      <c r="AL2901" s="152"/>
      <c r="AM2901" s="152"/>
      <c r="AN2901" s="152"/>
      <c r="AO2901" s="152"/>
      <c r="AP2901" s="152"/>
      <c r="AQ2901" s="152"/>
      <c r="AR2901" s="152"/>
      <c r="AS2901" s="152"/>
      <c r="AT2901" s="152"/>
      <c r="AU2901" s="153"/>
      <c r="AV2901" s="479"/>
      <c r="AW2901" s="479"/>
      <c r="AX2901" s="442"/>
      <c r="AY2901" s="153"/>
      <c r="AZ2901" s="152"/>
      <c r="BA2901" s="152"/>
      <c r="BB2901" s="152"/>
      <c r="BC2901" s="152"/>
      <c r="BD2901" s="152"/>
      <c r="BE2901" s="152"/>
      <c r="BF2901" s="152"/>
      <c r="BG2901" s="152"/>
      <c r="BH2901" s="152"/>
      <c r="BI2901" s="153"/>
      <c r="BJ2901" s="153"/>
      <c r="BK2901" s="153"/>
      <c r="BL2901" s="153"/>
      <c r="BM2901" s="153"/>
      <c r="BN2901" s="153"/>
      <c r="BO2901" s="153"/>
      <c r="BP2901" s="153"/>
      <c r="BQ2901" s="153"/>
      <c r="BR2901" s="153"/>
      <c r="BS2901" s="153"/>
      <c r="BT2901" s="153"/>
      <c r="BU2901" s="153"/>
      <c r="BV2901" s="153"/>
      <c r="BW2901" s="153"/>
      <c r="BX2901" s="153"/>
      <c r="BY2901" s="153"/>
      <c r="BZ2901" s="153"/>
      <c r="CA2901" s="152"/>
      <c r="CB2901" s="152"/>
    </row>
    <row r="2902" spans="1:80" s="87" customFormat="1" ht="15" x14ac:dyDescent="0.25">
      <c r="A2902" s="152"/>
      <c r="B2902" s="683"/>
      <c r="C2902" s="683"/>
      <c r="D2902" s="698"/>
      <c r="E2902" s="215"/>
      <c r="F2902" s="215"/>
      <c r="G2902" s="153"/>
      <c r="H2902" s="153"/>
      <c r="I2902" s="316">
        <v>20</v>
      </c>
      <c r="J2902" s="306">
        <v>60</v>
      </c>
      <c r="K2902" s="150">
        <v>1</v>
      </c>
      <c r="L2902" s="656">
        <v>20</v>
      </c>
      <c r="M2902" s="663">
        <v>34466</v>
      </c>
      <c r="N2902" s="600">
        <v>4.27522</v>
      </c>
      <c r="O2902" s="604">
        <v>2.0257000000000001E-2</v>
      </c>
      <c r="P2902" s="150"/>
      <c r="Q2902" s="250"/>
      <c r="R2902" s="250"/>
      <c r="S2902" s="250">
        <v>1.2E-2</v>
      </c>
      <c r="T2902" s="250">
        <v>4.8000000000000001E-2</v>
      </c>
      <c r="U2902" s="250">
        <v>0.19399999999999998</v>
      </c>
      <c r="V2902" s="250">
        <v>0.42491899999999999</v>
      </c>
      <c r="W2902" s="250">
        <v>0.27128399999999997</v>
      </c>
      <c r="X2902" s="250">
        <v>4.7973000000000002E-2</v>
      </c>
      <c r="Y2902" s="250">
        <v>2.202E-3</v>
      </c>
      <c r="Z2902" s="150"/>
      <c r="AA2902" s="223">
        <v>1.34</v>
      </c>
      <c r="AB2902" s="152"/>
      <c r="AC2902" s="152"/>
      <c r="AD2902" s="223">
        <v>9.8142379999999996</v>
      </c>
      <c r="AE2902" s="223">
        <v>0.49985560000000001</v>
      </c>
      <c r="AF2902" s="223">
        <v>4.9140926</v>
      </c>
      <c r="AG2902" s="223">
        <v>0.86865150000000002</v>
      </c>
      <c r="AH2902" s="341"/>
      <c r="AI2902" s="218"/>
      <c r="AJ2902" s="218"/>
      <c r="AK2902" s="153"/>
      <c r="AL2902" s="152"/>
      <c r="AM2902" s="152"/>
      <c r="AN2902" s="152"/>
      <c r="AO2902" s="152"/>
      <c r="AP2902" s="152"/>
      <c r="AQ2902" s="152"/>
      <c r="AR2902" s="152"/>
      <c r="AS2902" s="152"/>
      <c r="AT2902" s="152"/>
      <c r="AU2902" s="153"/>
      <c r="AV2902" s="479"/>
      <c r="AW2902" s="479"/>
      <c r="AX2902" s="442"/>
      <c r="AY2902" s="153"/>
      <c r="AZ2902" s="152"/>
      <c r="BA2902" s="152"/>
      <c r="BB2902" s="152"/>
      <c r="BC2902" s="152"/>
      <c r="BD2902" s="152"/>
      <c r="BE2902" s="152"/>
      <c r="BF2902" s="152"/>
      <c r="BG2902" s="152"/>
      <c r="BH2902" s="152"/>
      <c r="BI2902" s="153"/>
      <c r="BJ2902" s="153"/>
      <c r="BK2902" s="153"/>
      <c r="BL2902" s="153"/>
      <c r="BM2902" s="153"/>
      <c r="BN2902" s="153"/>
      <c r="BO2902" s="153"/>
      <c r="BP2902" s="153"/>
      <c r="BQ2902" s="153"/>
      <c r="BR2902" s="153"/>
      <c r="BS2902" s="153"/>
      <c r="BT2902" s="153"/>
      <c r="BU2902" s="153"/>
      <c r="BV2902" s="153"/>
      <c r="BW2902" s="153"/>
      <c r="BX2902" s="153"/>
      <c r="BY2902" s="153"/>
      <c r="BZ2902" s="153"/>
      <c r="CA2902" s="152"/>
      <c r="CB2902" s="152"/>
    </row>
    <row r="2903" spans="1:80" s="87" customFormat="1" ht="15" x14ac:dyDescent="0.25">
      <c r="A2903" s="152"/>
      <c r="B2903" s="683"/>
      <c r="C2903" s="683"/>
      <c r="D2903" s="698"/>
      <c r="E2903" s="215"/>
      <c r="F2903" s="215"/>
      <c r="G2903" s="153"/>
      <c r="H2903" s="153"/>
      <c r="I2903" s="316">
        <v>20</v>
      </c>
      <c r="J2903" s="306">
        <v>60</v>
      </c>
      <c r="K2903" s="150">
        <v>1</v>
      </c>
      <c r="L2903" s="656">
        <v>20</v>
      </c>
      <c r="M2903" s="663">
        <v>34466</v>
      </c>
      <c r="N2903" s="600">
        <v>4.27522</v>
      </c>
      <c r="O2903" s="604">
        <v>9.247E-3</v>
      </c>
      <c r="P2903" s="150"/>
      <c r="Q2903" s="250"/>
      <c r="R2903" s="250"/>
      <c r="S2903" s="250"/>
      <c r="T2903" s="250">
        <v>1.9E-2</v>
      </c>
      <c r="U2903" s="250">
        <v>0.124</v>
      </c>
      <c r="V2903" s="250">
        <v>0.31638699999999997</v>
      </c>
      <c r="W2903" s="250">
        <v>0.39891500000000002</v>
      </c>
      <c r="X2903" s="250">
        <v>0.13753899999999999</v>
      </c>
      <c r="Y2903" s="250">
        <v>4.1410000000000006E-3</v>
      </c>
      <c r="Z2903" s="150"/>
      <c r="AA2903" s="223">
        <v>0.93</v>
      </c>
      <c r="AB2903" s="152"/>
      <c r="AC2903" s="152"/>
      <c r="AD2903" s="223">
        <v>9.8142379999999996</v>
      </c>
      <c r="AE2903" s="223">
        <v>0.49985560000000001</v>
      </c>
      <c r="AF2903" s="223">
        <v>4.9140926</v>
      </c>
      <c r="AG2903" s="223">
        <v>0.86865150000000002</v>
      </c>
      <c r="AH2903" s="341"/>
      <c r="AI2903" s="218"/>
      <c r="AJ2903" s="218"/>
      <c r="AK2903" s="153"/>
      <c r="AL2903" s="152"/>
      <c r="AM2903" s="152"/>
      <c r="AN2903" s="152"/>
      <c r="AO2903" s="152"/>
      <c r="AP2903" s="152"/>
      <c r="AQ2903" s="152"/>
      <c r="AR2903" s="152"/>
      <c r="AS2903" s="152"/>
      <c r="AT2903" s="152"/>
      <c r="AU2903" s="153"/>
      <c r="AV2903" s="479"/>
      <c r="AW2903" s="479"/>
      <c r="AX2903" s="442"/>
      <c r="AY2903" s="153"/>
      <c r="AZ2903" s="152"/>
      <c r="BA2903" s="152"/>
      <c r="BB2903" s="152"/>
      <c r="BC2903" s="152"/>
      <c r="BD2903" s="152"/>
      <c r="BE2903" s="152"/>
      <c r="BF2903" s="152"/>
      <c r="BG2903" s="152"/>
      <c r="BH2903" s="152"/>
      <c r="BI2903" s="153"/>
      <c r="BJ2903" s="153"/>
      <c r="BK2903" s="153"/>
      <c r="BL2903" s="153"/>
      <c r="BM2903" s="153"/>
      <c r="BN2903" s="153"/>
      <c r="BO2903" s="153"/>
      <c r="BP2903" s="153"/>
      <c r="BQ2903" s="153"/>
      <c r="BR2903" s="153"/>
      <c r="BS2903" s="153"/>
      <c r="BT2903" s="153"/>
      <c r="BU2903" s="153"/>
      <c r="BV2903" s="153"/>
      <c r="BW2903" s="153"/>
      <c r="BX2903" s="153"/>
      <c r="BY2903" s="153"/>
      <c r="BZ2903" s="153"/>
      <c r="CA2903" s="152"/>
      <c r="CB2903" s="152"/>
    </row>
    <row r="2904" spans="1:80" s="87" customFormat="1" ht="15" x14ac:dyDescent="0.25">
      <c r="A2904" s="152"/>
      <c r="B2904" s="683"/>
      <c r="C2904" s="683"/>
      <c r="D2904" s="698"/>
      <c r="E2904" s="215"/>
      <c r="F2904" s="215"/>
      <c r="G2904" s="153"/>
      <c r="H2904" s="153"/>
      <c r="I2904" s="316">
        <v>20</v>
      </c>
      <c r="J2904" s="306">
        <v>60</v>
      </c>
      <c r="K2904" s="150">
        <v>1</v>
      </c>
      <c r="L2904" s="656">
        <v>20</v>
      </c>
      <c r="M2904" s="663">
        <v>34470</v>
      </c>
      <c r="N2904" s="600">
        <v>2.83127</v>
      </c>
      <c r="O2904" s="604">
        <v>3.999E-3</v>
      </c>
      <c r="P2904" s="150"/>
      <c r="Q2904" s="250"/>
      <c r="R2904" s="250"/>
      <c r="S2904" s="250"/>
      <c r="T2904" s="250">
        <v>1.2E-2</v>
      </c>
      <c r="U2904" s="250">
        <v>0.14400000000000002</v>
      </c>
      <c r="V2904" s="250">
        <v>0.58004500000000003</v>
      </c>
      <c r="W2904" s="250">
        <v>0.20979500000000001</v>
      </c>
      <c r="X2904" s="250">
        <v>4.8652000000000001E-2</v>
      </c>
      <c r="Y2904" s="250">
        <v>4.8389999999999996E-3</v>
      </c>
      <c r="Z2904" s="150"/>
      <c r="AA2904" s="223">
        <v>1.33</v>
      </c>
      <c r="AB2904" s="152"/>
      <c r="AC2904" s="152"/>
      <c r="AD2904" s="223">
        <v>9.6313639999999996</v>
      </c>
      <c r="AE2904" s="223">
        <v>0.42061019999999999</v>
      </c>
      <c r="AF2904" s="223">
        <v>4.0594678000000002</v>
      </c>
      <c r="AG2904" s="223">
        <v>0.71016069999999998</v>
      </c>
      <c r="AH2904" s="341"/>
      <c r="AI2904" s="218"/>
      <c r="AJ2904" s="218"/>
      <c r="AK2904" s="153"/>
      <c r="AL2904" s="152"/>
      <c r="AM2904" s="152"/>
      <c r="AN2904" s="152"/>
      <c r="AO2904" s="152"/>
      <c r="AP2904" s="152"/>
      <c r="AQ2904" s="152"/>
      <c r="AR2904" s="152"/>
      <c r="AS2904" s="152"/>
      <c r="AT2904" s="152"/>
      <c r="AU2904" s="153"/>
      <c r="AV2904" s="479"/>
      <c r="AW2904" s="479"/>
      <c r="AX2904" s="442"/>
      <c r="AY2904" s="153"/>
      <c r="AZ2904" s="152"/>
      <c r="BA2904" s="152"/>
      <c r="BB2904" s="152"/>
      <c r="BC2904" s="152"/>
      <c r="BD2904" s="152"/>
      <c r="BE2904" s="152"/>
      <c r="BF2904" s="152"/>
      <c r="BG2904" s="152"/>
      <c r="BH2904" s="152"/>
      <c r="BI2904" s="153"/>
      <c r="BJ2904" s="153"/>
      <c r="BK2904" s="153"/>
      <c r="BL2904" s="153"/>
      <c r="BM2904" s="153"/>
      <c r="BN2904" s="153"/>
      <c r="BO2904" s="153"/>
      <c r="BP2904" s="153"/>
      <c r="BQ2904" s="153"/>
      <c r="BR2904" s="153"/>
      <c r="BS2904" s="153"/>
      <c r="BT2904" s="153"/>
      <c r="BU2904" s="153"/>
      <c r="BV2904" s="153"/>
      <c r="BW2904" s="153"/>
      <c r="BX2904" s="153"/>
      <c r="BY2904" s="153"/>
      <c r="BZ2904" s="153"/>
      <c r="CA2904" s="152"/>
      <c r="CB2904" s="152"/>
    </row>
    <row r="2905" spans="1:80" s="87" customFormat="1" ht="15" x14ac:dyDescent="0.25">
      <c r="A2905" s="152"/>
      <c r="B2905" s="683"/>
      <c r="C2905" s="683"/>
      <c r="D2905" s="698"/>
      <c r="E2905" s="215"/>
      <c r="F2905" s="215"/>
      <c r="G2905" s="153"/>
      <c r="H2905" s="153"/>
      <c r="I2905" s="316">
        <v>20</v>
      </c>
      <c r="J2905" s="306">
        <v>60</v>
      </c>
      <c r="K2905" s="150">
        <v>1</v>
      </c>
      <c r="L2905" s="656">
        <v>20</v>
      </c>
      <c r="M2905" s="663">
        <v>34470</v>
      </c>
      <c r="N2905" s="600">
        <v>2.83127</v>
      </c>
      <c r="O2905" s="604">
        <v>4.5030000000000001E-3</v>
      </c>
      <c r="P2905" s="150"/>
      <c r="Q2905" s="250"/>
      <c r="R2905" s="250"/>
      <c r="S2905" s="250"/>
      <c r="T2905" s="250"/>
      <c r="U2905" s="250">
        <v>5.0999999999999997E-2</v>
      </c>
      <c r="V2905" s="250">
        <v>0.36419899999999999</v>
      </c>
      <c r="W2905" s="250">
        <v>0.46918700000000002</v>
      </c>
      <c r="X2905" s="250">
        <v>0.10896599999999999</v>
      </c>
      <c r="Y2905" s="250">
        <v>6.4170000000000008E-3</v>
      </c>
      <c r="Z2905" s="150"/>
      <c r="AA2905" s="223">
        <v>0.88</v>
      </c>
      <c r="AB2905" s="152"/>
      <c r="AC2905" s="152"/>
      <c r="AD2905" s="223">
        <v>9.6313639999999996</v>
      </c>
      <c r="AE2905" s="223">
        <v>0.42061019999999999</v>
      </c>
      <c r="AF2905" s="223">
        <v>4.0594678000000002</v>
      </c>
      <c r="AG2905" s="223">
        <v>0.71016069999999998</v>
      </c>
      <c r="AH2905" s="341"/>
      <c r="AI2905" s="218"/>
      <c r="AJ2905" s="218"/>
      <c r="AK2905" s="153"/>
      <c r="AL2905" s="152"/>
      <c r="AM2905" s="152"/>
      <c r="AN2905" s="152"/>
      <c r="AO2905" s="152"/>
      <c r="AP2905" s="152"/>
      <c r="AQ2905" s="152"/>
      <c r="AR2905" s="152"/>
      <c r="AS2905" s="152"/>
      <c r="AT2905" s="152"/>
      <c r="AU2905" s="153"/>
      <c r="AV2905" s="479"/>
      <c r="AW2905" s="479"/>
      <c r="AX2905" s="442"/>
      <c r="AY2905" s="153"/>
      <c r="AZ2905" s="152"/>
      <c r="BA2905" s="152"/>
      <c r="BB2905" s="152"/>
      <c r="BC2905" s="152"/>
      <c r="BD2905" s="152"/>
      <c r="BE2905" s="152"/>
      <c r="BF2905" s="152"/>
      <c r="BG2905" s="152"/>
      <c r="BH2905" s="152"/>
      <c r="BI2905" s="153"/>
      <c r="BJ2905" s="153"/>
      <c r="BK2905" s="153"/>
      <c r="BL2905" s="153"/>
      <c r="BM2905" s="153"/>
      <c r="BN2905" s="153"/>
      <c r="BO2905" s="153"/>
      <c r="BP2905" s="153"/>
      <c r="BQ2905" s="153"/>
      <c r="BR2905" s="153"/>
      <c r="BS2905" s="153"/>
      <c r="BT2905" s="153"/>
      <c r="BU2905" s="153"/>
      <c r="BV2905" s="153"/>
      <c r="BW2905" s="153"/>
      <c r="BX2905" s="153"/>
      <c r="BY2905" s="153"/>
      <c r="BZ2905" s="153"/>
      <c r="CA2905" s="152"/>
      <c r="CB2905" s="152"/>
    </row>
    <row r="2906" spans="1:80" s="87" customFormat="1" ht="15" x14ac:dyDescent="0.25">
      <c r="A2906" s="152"/>
      <c r="B2906" s="683"/>
      <c r="C2906" s="683"/>
      <c r="D2906" s="698"/>
      <c r="E2906" s="215"/>
      <c r="F2906" s="215"/>
      <c r="G2906" s="153"/>
      <c r="H2906" s="153"/>
      <c r="I2906" s="316">
        <v>20</v>
      </c>
      <c r="J2906" s="306">
        <v>60</v>
      </c>
      <c r="K2906" s="150">
        <v>1</v>
      </c>
      <c r="L2906" s="656">
        <v>20</v>
      </c>
      <c r="M2906" s="663">
        <v>34471</v>
      </c>
      <c r="N2906" s="600">
        <v>4.6432799999999999</v>
      </c>
      <c r="O2906" s="604">
        <v>3.9253999999999997E-2</v>
      </c>
      <c r="P2906" s="150"/>
      <c r="Q2906" s="250"/>
      <c r="R2906" s="250"/>
      <c r="S2906" s="250">
        <v>0.01</v>
      </c>
      <c r="T2906" s="250">
        <v>3.7000000000000005E-2</v>
      </c>
      <c r="U2906" s="250">
        <v>0.187</v>
      </c>
      <c r="V2906" s="250">
        <v>0.473688</v>
      </c>
      <c r="W2906" s="250">
        <v>0.24185100000000001</v>
      </c>
      <c r="X2906" s="250">
        <v>4.7187E-2</v>
      </c>
      <c r="Y2906" s="250">
        <v>2.7389999999999997E-3</v>
      </c>
      <c r="Z2906" s="150"/>
      <c r="AA2906" s="223">
        <v>1.36</v>
      </c>
      <c r="AB2906" s="152"/>
      <c r="AC2906" s="152"/>
      <c r="AD2906" s="223">
        <v>9.8751960000000008</v>
      </c>
      <c r="AE2906" s="223">
        <v>0.50290349999999995</v>
      </c>
      <c r="AF2906" s="223">
        <v>4.9791183999999999</v>
      </c>
      <c r="AG2906" s="223">
        <v>0.9204658</v>
      </c>
      <c r="AH2906" s="341"/>
      <c r="AI2906" s="218"/>
      <c r="AJ2906" s="218"/>
      <c r="AK2906" s="153"/>
      <c r="AL2906" s="152"/>
      <c r="AM2906" s="152"/>
      <c r="AN2906" s="152"/>
      <c r="AO2906" s="152"/>
      <c r="AP2906" s="152"/>
      <c r="AQ2906" s="152"/>
      <c r="AR2906" s="152"/>
      <c r="AS2906" s="152"/>
      <c r="AT2906" s="152"/>
      <c r="AU2906" s="153"/>
      <c r="AV2906" s="479"/>
      <c r="AW2906" s="479"/>
      <c r="AX2906" s="442"/>
      <c r="AY2906" s="153"/>
      <c r="AZ2906" s="152"/>
      <c r="BA2906" s="152"/>
      <c r="BB2906" s="152"/>
      <c r="BC2906" s="152"/>
      <c r="BD2906" s="152"/>
      <c r="BE2906" s="152"/>
      <c r="BF2906" s="152"/>
      <c r="BG2906" s="152"/>
      <c r="BH2906" s="152"/>
      <c r="BI2906" s="153"/>
      <c r="BJ2906" s="153"/>
      <c r="BK2906" s="153"/>
      <c r="BL2906" s="153"/>
      <c r="BM2906" s="153"/>
      <c r="BN2906" s="153"/>
      <c r="BO2906" s="153"/>
      <c r="BP2906" s="153"/>
      <c r="BQ2906" s="153"/>
      <c r="BR2906" s="153"/>
      <c r="BS2906" s="153"/>
      <c r="BT2906" s="153"/>
      <c r="BU2906" s="153"/>
      <c r="BV2906" s="153"/>
      <c r="BW2906" s="153"/>
      <c r="BX2906" s="153"/>
      <c r="BY2906" s="153"/>
      <c r="BZ2906" s="153"/>
      <c r="CA2906" s="152"/>
      <c r="CB2906" s="152"/>
    </row>
    <row r="2907" spans="1:80" s="87" customFormat="1" ht="15" x14ac:dyDescent="0.25">
      <c r="A2907" s="152"/>
      <c r="B2907" s="683"/>
      <c r="C2907" s="683"/>
      <c r="D2907" s="698"/>
      <c r="E2907" s="215"/>
      <c r="F2907" s="215"/>
      <c r="G2907" s="153"/>
      <c r="H2907" s="153"/>
      <c r="I2907" s="316">
        <v>20</v>
      </c>
      <c r="J2907" s="306">
        <v>60</v>
      </c>
      <c r="K2907" s="150">
        <v>1</v>
      </c>
      <c r="L2907" s="656">
        <v>20</v>
      </c>
      <c r="M2907" s="663">
        <v>34471</v>
      </c>
      <c r="N2907" s="600">
        <v>4.6432799999999999</v>
      </c>
      <c r="O2907" s="604">
        <v>4.5656000000000002E-2</v>
      </c>
      <c r="P2907" s="150"/>
      <c r="Q2907" s="250"/>
      <c r="R2907" s="250"/>
      <c r="S2907" s="250">
        <v>4.0000000000000001E-3</v>
      </c>
      <c r="T2907" s="250">
        <v>4.5999999999999999E-2</v>
      </c>
      <c r="U2907" s="250">
        <v>0.249</v>
      </c>
      <c r="V2907" s="250">
        <v>0.39878000000000002</v>
      </c>
      <c r="W2907" s="250">
        <v>0.25508899999999995</v>
      </c>
      <c r="X2907" s="250">
        <v>4.3795000000000001E-2</v>
      </c>
      <c r="Y2907" s="250">
        <v>2.8549999999999999E-3</v>
      </c>
      <c r="Z2907" s="150"/>
      <c r="AA2907" s="223">
        <v>1.41</v>
      </c>
      <c r="AB2907" s="152"/>
      <c r="AC2907" s="152"/>
      <c r="AD2907" s="223">
        <v>9.8751960000000008</v>
      </c>
      <c r="AE2907" s="223">
        <v>0.50290349999999995</v>
      </c>
      <c r="AF2907" s="223">
        <v>4.9791183999999999</v>
      </c>
      <c r="AG2907" s="223">
        <v>0.9204658</v>
      </c>
      <c r="AH2907" s="341"/>
      <c r="AI2907" s="218"/>
      <c r="AJ2907" s="218"/>
      <c r="AK2907" s="153"/>
      <c r="AL2907" s="152"/>
      <c r="AM2907" s="152"/>
      <c r="AN2907" s="152"/>
      <c r="AO2907" s="152"/>
      <c r="AP2907" s="152"/>
      <c r="AQ2907" s="152"/>
      <c r="AR2907" s="152"/>
      <c r="AS2907" s="152"/>
      <c r="AT2907" s="152"/>
      <c r="AU2907" s="153"/>
      <c r="AV2907" s="479"/>
      <c r="AW2907" s="479"/>
      <c r="AX2907" s="442"/>
      <c r="AY2907" s="153"/>
      <c r="AZ2907" s="152"/>
      <c r="BA2907" s="152"/>
      <c r="BB2907" s="152"/>
      <c r="BC2907" s="152"/>
      <c r="BD2907" s="152"/>
      <c r="BE2907" s="152"/>
      <c r="BF2907" s="152"/>
      <c r="BG2907" s="152"/>
      <c r="BH2907" s="152"/>
      <c r="BI2907" s="153"/>
      <c r="BJ2907" s="153"/>
      <c r="BK2907" s="153"/>
      <c r="BL2907" s="153"/>
      <c r="BM2907" s="153"/>
      <c r="BN2907" s="153"/>
      <c r="BO2907" s="153"/>
      <c r="BP2907" s="153"/>
      <c r="BQ2907" s="153"/>
      <c r="BR2907" s="153"/>
      <c r="BS2907" s="153"/>
      <c r="BT2907" s="153"/>
      <c r="BU2907" s="153"/>
      <c r="BV2907" s="153"/>
      <c r="BW2907" s="153"/>
      <c r="BX2907" s="153"/>
      <c r="BY2907" s="153"/>
      <c r="BZ2907" s="153"/>
      <c r="CA2907" s="152"/>
      <c r="CB2907" s="152"/>
    </row>
    <row r="2908" spans="1:80" s="87" customFormat="1" ht="15" x14ac:dyDescent="0.25">
      <c r="A2908" s="152"/>
      <c r="B2908" s="683"/>
      <c r="C2908" s="683"/>
      <c r="D2908" s="698"/>
      <c r="E2908" s="215"/>
      <c r="F2908" s="215"/>
      <c r="G2908" s="153"/>
      <c r="H2908" s="153"/>
      <c r="I2908" s="316">
        <v>20</v>
      </c>
      <c r="J2908" s="306">
        <v>60</v>
      </c>
      <c r="K2908" s="150">
        <v>1</v>
      </c>
      <c r="L2908" s="656">
        <v>20</v>
      </c>
      <c r="M2908" s="663">
        <v>34474</v>
      </c>
      <c r="N2908" s="600">
        <v>3.93547</v>
      </c>
      <c r="O2908" s="604">
        <v>0.109155</v>
      </c>
      <c r="P2908" s="150"/>
      <c r="Q2908" s="250"/>
      <c r="R2908" s="250"/>
      <c r="S2908" s="250">
        <v>2E-3</v>
      </c>
      <c r="T2908" s="250">
        <v>3.5000000000000003E-2</v>
      </c>
      <c r="U2908" s="250">
        <v>0.184</v>
      </c>
      <c r="V2908" s="250">
        <v>0.41824100000000003</v>
      </c>
      <c r="W2908" s="250">
        <v>0.32216</v>
      </c>
      <c r="X2908" s="250">
        <v>3.7608000000000003E-2</v>
      </c>
      <c r="Y2908" s="250">
        <v>9.8799999999999995E-4</v>
      </c>
      <c r="Z2908" s="150"/>
      <c r="AA2908" s="223">
        <v>1.26</v>
      </c>
      <c r="AB2908" s="152"/>
      <c r="AC2908" s="152"/>
      <c r="AD2908" s="223">
        <v>9.7228010000000005</v>
      </c>
      <c r="AE2908" s="223">
        <v>0.48766399999999999</v>
      </c>
      <c r="AF2908" s="223">
        <v>4.7283046000000004</v>
      </c>
      <c r="AG2908" s="223">
        <v>0.86255570000000004</v>
      </c>
      <c r="AH2908" s="341"/>
      <c r="AI2908" s="218"/>
      <c r="AJ2908" s="218"/>
      <c r="AK2908" s="153"/>
      <c r="AL2908" s="152"/>
      <c r="AM2908" s="152"/>
      <c r="AN2908" s="152"/>
      <c r="AO2908" s="152"/>
      <c r="AP2908" s="152"/>
      <c r="AQ2908" s="152"/>
      <c r="AR2908" s="152"/>
      <c r="AS2908" s="152"/>
      <c r="AT2908" s="152"/>
      <c r="AU2908" s="153"/>
      <c r="AV2908" s="479"/>
      <c r="AW2908" s="479"/>
      <c r="AX2908" s="442"/>
      <c r="AY2908" s="153"/>
      <c r="AZ2908" s="152"/>
      <c r="BA2908" s="152"/>
      <c r="BB2908" s="152"/>
      <c r="BC2908" s="152"/>
      <c r="BD2908" s="152"/>
      <c r="BE2908" s="152"/>
      <c r="BF2908" s="152"/>
      <c r="BG2908" s="152"/>
      <c r="BH2908" s="152"/>
      <c r="BI2908" s="153"/>
      <c r="BJ2908" s="153"/>
      <c r="BK2908" s="153"/>
      <c r="BL2908" s="153"/>
      <c r="BM2908" s="153"/>
      <c r="BN2908" s="153"/>
      <c r="BO2908" s="153"/>
      <c r="BP2908" s="153"/>
      <c r="BQ2908" s="153"/>
      <c r="BR2908" s="153"/>
      <c r="BS2908" s="153"/>
      <c r="BT2908" s="153"/>
      <c r="BU2908" s="153"/>
      <c r="BV2908" s="153"/>
      <c r="BW2908" s="153"/>
      <c r="BX2908" s="153"/>
      <c r="BY2908" s="153"/>
      <c r="BZ2908" s="153"/>
      <c r="CA2908" s="152"/>
      <c r="CB2908" s="152"/>
    </row>
    <row r="2909" spans="1:80" s="87" customFormat="1" ht="15" x14ac:dyDescent="0.25">
      <c r="A2909" s="152"/>
      <c r="B2909" s="683"/>
      <c r="C2909" s="683"/>
      <c r="D2909" s="698"/>
      <c r="E2909" s="215"/>
      <c r="F2909" s="215"/>
      <c r="G2909" s="153"/>
      <c r="H2909" s="153"/>
      <c r="I2909" s="316">
        <v>20</v>
      </c>
      <c r="J2909" s="306">
        <v>60</v>
      </c>
      <c r="K2909" s="150">
        <v>1</v>
      </c>
      <c r="L2909" s="656">
        <v>20</v>
      </c>
      <c r="M2909" s="663">
        <v>34474</v>
      </c>
      <c r="N2909" s="600">
        <v>3.93547</v>
      </c>
      <c r="O2909" s="604">
        <v>8.4805000000000005E-2</v>
      </c>
      <c r="P2909" s="150"/>
      <c r="Q2909" s="250"/>
      <c r="R2909" s="250"/>
      <c r="S2909" s="250">
        <v>4.0000000000000001E-3</v>
      </c>
      <c r="T2909" s="250">
        <v>4.2000000000000003E-2</v>
      </c>
      <c r="U2909" s="250">
        <v>0.16699999999999998</v>
      </c>
      <c r="V2909" s="250">
        <v>0.46750599999999998</v>
      </c>
      <c r="W2909" s="250">
        <v>0.26559399999999994</v>
      </c>
      <c r="X2909" s="250">
        <v>5.2066999999999995E-2</v>
      </c>
      <c r="Y2909" s="250">
        <v>1.389E-3</v>
      </c>
      <c r="Z2909" s="150"/>
      <c r="AA2909" s="223">
        <v>1.31</v>
      </c>
      <c r="AB2909" s="152"/>
      <c r="AC2909" s="152"/>
      <c r="AD2909" s="223">
        <v>9.7228010000000005</v>
      </c>
      <c r="AE2909" s="223">
        <v>0.48766399999999999</v>
      </c>
      <c r="AF2909" s="223">
        <v>4.7283046000000004</v>
      </c>
      <c r="AG2909" s="223">
        <v>0.86255570000000004</v>
      </c>
      <c r="AH2909" s="341"/>
      <c r="AI2909" s="218"/>
      <c r="AJ2909" s="218"/>
      <c r="AK2909" s="153"/>
      <c r="AL2909" s="152"/>
      <c r="AM2909" s="152"/>
      <c r="AN2909" s="152"/>
      <c r="AO2909" s="152"/>
      <c r="AP2909" s="152"/>
      <c r="AQ2909" s="152"/>
      <c r="AR2909" s="152"/>
      <c r="AS2909" s="152"/>
      <c r="AT2909" s="152"/>
      <c r="AU2909" s="153"/>
      <c r="AV2909" s="479"/>
      <c r="AW2909" s="479"/>
      <c r="AX2909" s="442"/>
      <c r="AY2909" s="153"/>
      <c r="AZ2909" s="152"/>
      <c r="BA2909" s="152"/>
      <c r="BB2909" s="152"/>
      <c r="BC2909" s="152"/>
      <c r="BD2909" s="152"/>
      <c r="BE2909" s="152"/>
      <c r="BF2909" s="152"/>
      <c r="BG2909" s="152"/>
      <c r="BH2909" s="152"/>
      <c r="BI2909" s="153"/>
      <c r="BJ2909" s="153"/>
      <c r="BK2909" s="153"/>
      <c r="BL2909" s="153"/>
      <c r="BM2909" s="153"/>
      <c r="BN2909" s="153"/>
      <c r="BO2909" s="153"/>
      <c r="BP2909" s="153"/>
      <c r="BQ2909" s="153"/>
      <c r="BR2909" s="153"/>
      <c r="BS2909" s="153"/>
      <c r="BT2909" s="153"/>
      <c r="BU2909" s="153"/>
      <c r="BV2909" s="153"/>
      <c r="BW2909" s="153"/>
      <c r="BX2909" s="153"/>
      <c r="BY2909" s="153"/>
      <c r="BZ2909" s="153"/>
      <c r="CA2909" s="152"/>
      <c r="CB2909" s="152"/>
    </row>
    <row r="2910" spans="1:80" s="87" customFormat="1" ht="15" x14ac:dyDescent="0.25">
      <c r="A2910" s="152"/>
      <c r="B2910" s="683"/>
      <c r="C2910" s="683"/>
      <c r="D2910" s="698"/>
      <c r="E2910" s="215"/>
      <c r="F2910" s="215"/>
      <c r="G2910" s="153"/>
      <c r="H2910" s="153"/>
      <c r="I2910" s="316">
        <v>20</v>
      </c>
      <c r="J2910" s="306">
        <v>60</v>
      </c>
      <c r="K2910" s="150">
        <v>1</v>
      </c>
      <c r="L2910" s="656">
        <v>20</v>
      </c>
      <c r="M2910" s="663">
        <v>34477</v>
      </c>
      <c r="N2910" s="600">
        <v>3.1143999999999998</v>
      </c>
      <c r="O2910" s="604">
        <v>4.2193000000000001E-2</v>
      </c>
      <c r="P2910" s="150"/>
      <c r="Q2910" s="250"/>
      <c r="R2910" s="250"/>
      <c r="S2910" s="250"/>
      <c r="T2910" s="250">
        <v>3.1E-2</v>
      </c>
      <c r="U2910" s="250">
        <v>0.23</v>
      </c>
      <c r="V2910" s="250">
        <v>0.25786000000000003</v>
      </c>
      <c r="W2910" s="250">
        <v>0.352435</v>
      </c>
      <c r="X2910" s="250">
        <v>0.12496600000000001</v>
      </c>
      <c r="Y2910" s="250">
        <v>3.8800000000000002E-3</v>
      </c>
      <c r="Z2910" s="150"/>
      <c r="AA2910" s="223">
        <v>1.05</v>
      </c>
      <c r="AB2910" s="152"/>
      <c r="AC2910" s="152"/>
      <c r="AD2910" s="223">
        <v>9.7228010000000005</v>
      </c>
      <c r="AE2910" s="223">
        <v>0.42670599999999997</v>
      </c>
      <c r="AF2910" s="223">
        <v>4.1523618000000004</v>
      </c>
      <c r="AG2910" s="223">
        <v>0.73759180000000002</v>
      </c>
      <c r="AH2910" s="341"/>
      <c r="AI2910" s="218"/>
      <c r="AJ2910" s="218"/>
      <c r="AK2910" s="153"/>
      <c r="AL2910" s="152"/>
      <c r="AM2910" s="152"/>
      <c r="AN2910" s="152"/>
      <c r="AO2910" s="152"/>
      <c r="AP2910" s="152"/>
      <c r="AQ2910" s="152"/>
      <c r="AR2910" s="152"/>
      <c r="AS2910" s="152"/>
      <c r="AT2910" s="152"/>
      <c r="AU2910" s="153"/>
      <c r="AV2910" s="479"/>
      <c r="AW2910" s="479"/>
      <c r="AX2910" s="442"/>
      <c r="AY2910" s="153"/>
      <c r="AZ2910" s="152"/>
      <c r="BA2910" s="152"/>
      <c r="BB2910" s="152"/>
      <c r="BC2910" s="152"/>
      <c r="BD2910" s="152"/>
      <c r="BE2910" s="152"/>
      <c r="BF2910" s="152"/>
      <c r="BG2910" s="152"/>
      <c r="BH2910" s="152"/>
      <c r="BI2910" s="153"/>
      <c r="BJ2910" s="153"/>
      <c r="BK2910" s="153"/>
      <c r="BL2910" s="153"/>
      <c r="BM2910" s="153"/>
      <c r="BN2910" s="153"/>
      <c r="BO2910" s="153"/>
      <c r="BP2910" s="153"/>
      <c r="BQ2910" s="153"/>
      <c r="BR2910" s="153"/>
      <c r="BS2910" s="153"/>
      <c r="BT2910" s="153"/>
      <c r="BU2910" s="153"/>
      <c r="BV2910" s="153"/>
      <c r="BW2910" s="153"/>
      <c r="BX2910" s="153"/>
      <c r="BY2910" s="153"/>
      <c r="BZ2910" s="153"/>
      <c r="CA2910" s="152"/>
      <c r="CB2910" s="152"/>
    </row>
    <row r="2911" spans="1:80" s="87" customFormat="1" ht="15" x14ac:dyDescent="0.25">
      <c r="A2911" s="152"/>
      <c r="B2911" s="683"/>
      <c r="C2911" s="683"/>
      <c r="D2911" s="698"/>
      <c r="E2911" s="215"/>
      <c r="F2911" s="215"/>
      <c r="G2911" s="153"/>
      <c r="H2911" s="153"/>
      <c r="I2911" s="316">
        <v>20</v>
      </c>
      <c r="J2911" s="306">
        <v>60</v>
      </c>
      <c r="K2911" s="150">
        <v>1</v>
      </c>
      <c r="L2911" s="656">
        <v>20</v>
      </c>
      <c r="M2911" s="663">
        <v>34477</v>
      </c>
      <c r="N2911" s="600">
        <v>3.1143999999999998</v>
      </c>
      <c r="O2911" s="604">
        <v>5.0484000000000001E-2</v>
      </c>
      <c r="P2911" s="150"/>
      <c r="Q2911" s="250"/>
      <c r="R2911" s="250">
        <v>4.2999999999999997E-2</v>
      </c>
      <c r="S2911" s="250">
        <v>0</v>
      </c>
      <c r="T2911" s="250">
        <v>2.1000000000000001E-2</v>
      </c>
      <c r="U2911" s="250">
        <v>0.21100000000000002</v>
      </c>
      <c r="V2911" s="250">
        <v>0.350387</v>
      </c>
      <c r="W2911" s="250">
        <v>0.30610799999999999</v>
      </c>
      <c r="X2911" s="250">
        <v>6.6988000000000006E-2</v>
      </c>
      <c r="Y2911" s="250">
        <v>1.565E-3</v>
      </c>
      <c r="Z2911" s="150"/>
      <c r="AA2911" s="223">
        <v>1.28</v>
      </c>
      <c r="AB2911" s="152"/>
      <c r="AC2911" s="152"/>
      <c r="AD2911" s="223">
        <v>9.7228010000000005</v>
      </c>
      <c r="AE2911" s="223">
        <v>0.42670599999999997</v>
      </c>
      <c r="AF2911" s="223">
        <v>4.1523618000000004</v>
      </c>
      <c r="AG2911" s="223">
        <v>0.73759180000000002</v>
      </c>
      <c r="AH2911" s="341"/>
      <c r="AI2911" s="218"/>
      <c r="AJ2911" s="218"/>
      <c r="AK2911" s="153"/>
      <c r="AL2911" s="152"/>
      <c r="AM2911" s="152"/>
      <c r="AN2911" s="152"/>
      <c r="AO2911" s="152"/>
      <c r="AP2911" s="152"/>
      <c r="AQ2911" s="152"/>
      <c r="AR2911" s="152"/>
      <c r="AS2911" s="152"/>
      <c r="AT2911" s="152"/>
      <c r="AU2911" s="153"/>
      <c r="AV2911" s="479"/>
      <c r="AW2911" s="479"/>
      <c r="AX2911" s="442"/>
      <c r="AY2911" s="153"/>
      <c r="AZ2911" s="152"/>
      <c r="BA2911" s="152"/>
      <c r="BB2911" s="152"/>
      <c r="BC2911" s="152"/>
      <c r="BD2911" s="152"/>
      <c r="BE2911" s="152"/>
      <c r="BF2911" s="152"/>
      <c r="BG2911" s="152"/>
      <c r="BH2911" s="152"/>
      <c r="BI2911" s="153"/>
      <c r="BJ2911" s="153"/>
      <c r="BK2911" s="153"/>
      <c r="BL2911" s="153"/>
      <c r="BM2911" s="153"/>
      <c r="BN2911" s="153"/>
      <c r="BO2911" s="153"/>
      <c r="BP2911" s="153"/>
      <c r="BQ2911" s="153"/>
      <c r="BR2911" s="153"/>
      <c r="BS2911" s="153"/>
      <c r="BT2911" s="153"/>
      <c r="BU2911" s="153"/>
      <c r="BV2911" s="153"/>
      <c r="BW2911" s="153"/>
      <c r="BX2911" s="153"/>
      <c r="BY2911" s="153"/>
      <c r="BZ2911" s="153"/>
      <c r="CA2911" s="152"/>
      <c r="CB2911" s="152"/>
    </row>
    <row r="2912" spans="1:80" s="87" customFormat="1" ht="15" x14ac:dyDescent="0.25">
      <c r="A2912" s="152"/>
      <c r="B2912" s="683"/>
      <c r="C2912" s="683"/>
      <c r="D2912" s="698"/>
      <c r="E2912" s="215"/>
      <c r="F2912" s="215"/>
      <c r="G2912" s="153"/>
      <c r="H2912" s="153"/>
      <c r="I2912" s="316">
        <v>20</v>
      </c>
      <c r="J2912" s="306">
        <v>60</v>
      </c>
      <c r="K2912" s="150">
        <v>1</v>
      </c>
      <c r="L2912" s="656">
        <v>20</v>
      </c>
      <c r="M2912" s="663">
        <v>34478</v>
      </c>
      <c r="N2912" s="600">
        <v>3.0294599999999998</v>
      </c>
      <c r="O2912" s="604">
        <v>8.1030000000000008E-3</v>
      </c>
      <c r="P2912" s="150"/>
      <c r="Q2912" s="250"/>
      <c r="R2912" s="250"/>
      <c r="S2912" s="250"/>
      <c r="T2912" s="250">
        <v>1.3999999999999999E-2</v>
      </c>
      <c r="U2912" s="250">
        <v>0.192</v>
      </c>
      <c r="V2912" s="250">
        <v>0.41318699999999997</v>
      </c>
      <c r="W2912" s="250">
        <v>0.33781799999999995</v>
      </c>
      <c r="X2912" s="250">
        <v>4.1376999999999997E-2</v>
      </c>
      <c r="Y2912" s="250">
        <v>2.0040000000000001E-3</v>
      </c>
      <c r="Z2912" s="150"/>
      <c r="AA2912" s="223">
        <v>1.22</v>
      </c>
      <c r="AB2912" s="152"/>
      <c r="AC2912" s="152"/>
      <c r="AD2912" s="223">
        <v>9.6313639999999996</v>
      </c>
      <c r="AE2912" s="223">
        <v>0.43584970000000001</v>
      </c>
      <c r="AF2912" s="223">
        <v>4.1988088000000001</v>
      </c>
      <c r="AG2912" s="223">
        <v>0.71625649999999996</v>
      </c>
      <c r="AH2912" s="341"/>
      <c r="AI2912" s="218"/>
      <c r="AJ2912" s="218"/>
      <c r="AK2912" s="153"/>
      <c r="AL2912" s="152"/>
      <c r="AM2912" s="152"/>
      <c r="AN2912" s="152"/>
      <c r="AO2912" s="152"/>
      <c r="AP2912" s="152"/>
      <c r="AQ2912" s="152"/>
      <c r="AR2912" s="152"/>
      <c r="AS2912" s="152"/>
      <c r="AT2912" s="152"/>
      <c r="AU2912" s="153"/>
      <c r="AV2912" s="479"/>
      <c r="AW2912" s="479"/>
      <c r="AX2912" s="442"/>
      <c r="AY2912" s="153"/>
      <c r="AZ2912" s="152"/>
      <c r="BA2912" s="152"/>
      <c r="BB2912" s="152"/>
      <c r="BC2912" s="152"/>
      <c r="BD2912" s="152"/>
      <c r="BE2912" s="152"/>
      <c r="BF2912" s="152"/>
      <c r="BG2912" s="152"/>
      <c r="BH2912" s="152"/>
      <c r="BI2912" s="153"/>
      <c r="BJ2912" s="153"/>
      <c r="BK2912" s="153"/>
      <c r="BL2912" s="153"/>
      <c r="BM2912" s="153"/>
      <c r="BN2912" s="153"/>
      <c r="BO2912" s="153"/>
      <c r="BP2912" s="153"/>
      <c r="BQ2912" s="153"/>
      <c r="BR2912" s="153"/>
      <c r="BS2912" s="153"/>
      <c r="BT2912" s="153"/>
      <c r="BU2912" s="153"/>
      <c r="BV2912" s="153"/>
      <c r="BW2912" s="153"/>
      <c r="BX2912" s="153"/>
      <c r="BY2912" s="153"/>
      <c r="BZ2912" s="153"/>
      <c r="CA2912" s="152"/>
      <c r="CB2912" s="152"/>
    </row>
    <row r="2913" spans="1:80" s="87" customFormat="1" ht="15" x14ac:dyDescent="0.25">
      <c r="A2913" s="152"/>
      <c r="B2913" s="683"/>
      <c r="C2913" s="683"/>
      <c r="D2913" s="698"/>
      <c r="E2913" s="215"/>
      <c r="F2913" s="215"/>
      <c r="G2913" s="153"/>
      <c r="H2913" s="153"/>
      <c r="I2913" s="316">
        <v>20</v>
      </c>
      <c r="J2913" s="306">
        <v>60</v>
      </c>
      <c r="K2913" s="150">
        <v>1</v>
      </c>
      <c r="L2913" s="656">
        <v>20</v>
      </c>
      <c r="M2913" s="663">
        <v>34478</v>
      </c>
      <c r="N2913" s="600">
        <v>3.0294599999999998</v>
      </c>
      <c r="O2913" s="604">
        <v>1.333E-2</v>
      </c>
      <c r="P2913" s="150"/>
      <c r="Q2913" s="250"/>
      <c r="R2913" s="250"/>
      <c r="S2913" s="250"/>
      <c r="T2913" s="250">
        <v>4.0000000000000001E-3</v>
      </c>
      <c r="U2913" s="250">
        <v>0.114</v>
      </c>
      <c r="V2913" s="250">
        <v>0.45641199999999998</v>
      </c>
      <c r="W2913" s="250">
        <v>0.37921300000000002</v>
      </c>
      <c r="X2913" s="250">
        <v>4.4382999999999999E-2</v>
      </c>
      <c r="Y2913" s="250">
        <v>1.7080000000000001E-3</v>
      </c>
      <c r="Z2913" s="150"/>
      <c r="AA2913" s="223">
        <v>1.1200000000000001</v>
      </c>
      <c r="AB2913" s="152"/>
      <c r="AC2913" s="152"/>
      <c r="AD2913" s="223">
        <v>9.6313639999999996</v>
      </c>
      <c r="AE2913" s="223">
        <v>0.43584970000000001</v>
      </c>
      <c r="AF2913" s="223">
        <v>4.1988088000000001</v>
      </c>
      <c r="AG2913" s="223">
        <v>0.71625649999999996</v>
      </c>
      <c r="AH2913" s="341"/>
      <c r="AI2913" s="218"/>
      <c r="AJ2913" s="218"/>
      <c r="AK2913" s="153"/>
      <c r="AL2913" s="152"/>
      <c r="AM2913" s="152"/>
      <c r="AN2913" s="152"/>
      <c r="AO2913" s="152"/>
      <c r="AP2913" s="152"/>
      <c r="AQ2913" s="152"/>
      <c r="AR2913" s="152"/>
      <c r="AS2913" s="152"/>
      <c r="AT2913" s="152"/>
      <c r="AU2913" s="153"/>
      <c r="AV2913" s="479"/>
      <c r="AW2913" s="479"/>
      <c r="AX2913" s="442"/>
      <c r="AY2913" s="153"/>
      <c r="AZ2913" s="152"/>
      <c r="BA2913" s="152"/>
      <c r="BB2913" s="152"/>
      <c r="BC2913" s="152"/>
      <c r="BD2913" s="152"/>
      <c r="BE2913" s="152"/>
      <c r="BF2913" s="152"/>
      <c r="BG2913" s="152"/>
      <c r="BH2913" s="152"/>
      <c r="BI2913" s="153"/>
      <c r="BJ2913" s="153"/>
      <c r="BK2913" s="153"/>
      <c r="BL2913" s="153"/>
      <c r="BM2913" s="153"/>
      <c r="BN2913" s="153"/>
      <c r="BO2913" s="153"/>
      <c r="BP2913" s="153"/>
      <c r="BQ2913" s="153"/>
      <c r="BR2913" s="153"/>
      <c r="BS2913" s="153"/>
      <c r="BT2913" s="153"/>
      <c r="BU2913" s="153"/>
      <c r="BV2913" s="153"/>
      <c r="BW2913" s="153"/>
      <c r="BX2913" s="153"/>
      <c r="BY2913" s="153"/>
      <c r="BZ2913" s="153"/>
      <c r="CA2913" s="152"/>
      <c r="CB2913" s="152"/>
    </row>
    <row r="2914" spans="1:80" s="87" customFormat="1" ht="15" x14ac:dyDescent="0.25">
      <c r="A2914" s="152"/>
      <c r="B2914" s="683"/>
      <c r="C2914" s="683"/>
      <c r="D2914" s="698"/>
      <c r="E2914" s="215"/>
      <c r="F2914" s="215"/>
      <c r="G2914" s="153"/>
      <c r="H2914" s="153"/>
      <c r="I2914" s="316">
        <v>20</v>
      </c>
      <c r="J2914" s="306">
        <v>60</v>
      </c>
      <c r="K2914" s="150">
        <v>1</v>
      </c>
      <c r="L2914" s="656">
        <v>20</v>
      </c>
      <c r="M2914" s="663">
        <v>34479</v>
      </c>
      <c r="N2914" s="600">
        <v>2.9445199999999998</v>
      </c>
      <c r="O2914" s="604">
        <v>3.0230000000000001E-3</v>
      </c>
      <c r="P2914" s="150"/>
      <c r="Q2914" s="250"/>
      <c r="R2914" s="250"/>
      <c r="S2914" s="250"/>
      <c r="T2914" s="250">
        <v>5.0000000000000001E-3</v>
      </c>
      <c r="U2914" s="250">
        <v>0.08</v>
      </c>
      <c r="V2914" s="250">
        <v>0.35793900000000001</v>
      </c>
      <c r="W2914" s="250">
        <v>0.33871600000000002</v>
      </c>
      <c r="X2914" s="250">
        <v>0.208678</v>
      </c>
      <c r="Y2914" s="250">
        <v>9.7789999999999995E-3</v>
      </c>
      <c r="Z2914" s="150"/>
      <c r="AA2914" s="223">
        <v>0.89</v>
      </c>
      <c r="AB2914" s="152"/>
      <c r="AC2914" s="152"/>
      <c r="AD2914" s="223">
        <v>9.6008849999999999</v>
      </c>
      <c r="AE2914" s="223">
        <v>0.42975390000000002</v>
      </c>
      <c r="AF2914" s="223">
        <v>4.1244936000000001</v>
      </c>
      <c r="AG2914" s="223">
        <v>0.70711279999999999</v>
      </c>
      <c r="AH2914" s="341"/>
      <c r="AI2914" s="218"/>
      <c r="AJ2914" s="218"/>
      <c r="AK2914" s="153"/>
      <c r="AL2914" s="152"/>
      <c r="AM2914" s="152"/>
      <c r="AN2914" s="152"/>
      <c r="AO2914" s="152"/>
      <c r="AP2914" s="152"/>
      <c r="AQ2914" s="152"/>
      <c r="AR2914" s="152"/>
      <c r="AS2914" s="152"/>
      <c r="AT2914" s="152"/>
      <c r="AU2914" s="153"/>
      <c r="AV2914" s="479"/>
      <c r="AW2914" s="479"/>
      <c r="AX2914" s="442"/>
      <c r="AY2914" s="153"/>
      <c r="AZ2914" s="152"/>
      <c r="BA2914" s="152"/>
      <c r="BB2914" s="152"/>
      <c r="BC2914" s="152"/>
      <c r="BD2914" s="152"/>
      <c r="BE2914" s="152"/>
      <c r="BF2914" s="152"/>
      <c r="BG2914" s="152"/>
      <c r="BH2914" s="152"/>
      <c r="BI2914" s="153"/>
      <c r="BJ2914" s="153"/>
      <c r="BK2914" s="153"/>
      <c r="BL2914" s="153"/>
      <c r="BM2914" s="153"/>
      <c r="BN2914" s="153"/>
      <c r="BO2914" s="153"/>
      <c r="BP2914" s="153"/>
      <c r="BQ2914" s="153"/>
      <c r="BR2914" s="153"/>
      <c r="BS2914" s="153"/>
      <c r="BT2914" s="153"/>
      <c r="BU2914" s="153"/>
      <c r="BV2914" s="153"/>
      <c r="BW2914" s="153"/>
      <c r="BX2914" s="153"/>
      <c r="BY2914" s="153"/>
      <c r="BZ2914" s="153"/>
      <c r="CA2914" s="152"/>
      <c r="CB2914" s="152"/>
    </row>
    <row r="2915" spans="1:80" s="87" customFormat="1" ht="15" x14ac:dyDescent="0.25">
      <c r="A2915" s="152"/>
      <c r="B2915" s="683"/>
      <c r="C2915" s="683"/>
      <c r="D2915" s="698"/>
      <c r="E2915" s="215"/>
      <c r="F2915" s="215"/>
      <c r="G2915" s="153"/>
      <c r="H2915" s="153"/>
      <c r="I2915" s="316">
        <v>20</v>
      </c>
      <c r="J2915" s="306">
        <v>60</v>
      </c>
      <c r="K2915" s="150">
        <v>1</v>
      </c>
      <c r="L2915" s="656">
        <v>20</v>
      </c>
      <c r="M2915" s="663">
        <v>34479</v>
      </c>
      <c r="N2915" s="600">
        <v>2.9445199999999998</v>
      </c>
      <c r="O2915" s="604">
        <v>6.4339999999999996E-3</v>
      </c>
      <c r="P2915" s="150"/>
      <c r="Q2915" s="250"/>
      <c r="R2915" s="250"/>
      <c r="S2915" s="250"/>
      <c r="T2915" s="250">
        <v>0.02</v>
      </c>
      <c r="U2915" s="250">
        <v>6.6000000000000003E-2</v>
      </c>
      <c r="V2915" s="250">
        <v>0.35097200000000001</v>
      </c>
      <c r="W2915" s="250">
        <v>0.44317300000000004</v>
      </c>
      <c r="X2915" s="250">
        <v>0.116884</v>
      </c>
      <c r="Y2915" s="250">
        <v>3.5410000000000003E-3</v>
      </c>
      <c r="Z2915" s="150"/>
      <c r="AA2915" s="223">
        <v>0.91</v>
      </c>
      <c r="AB2915" s="152"/>
      <c r="AC2915" s="152"/>
      <c r="AD2915" s="223">
        <v>9.6008849999999999</v>
      </c>
      <c r="AE2915" s="223">
        <v>0.42975390000000002</v>
      </c>
      <c r="AF2915" s="223">
        <v>4.1244936000000001</v>
      </c>
      <c r="AG2915" s="223">
        <v>0.70711279999999999</v>
      </c>
      <c r="AH2915" s="341"/>
      <c r="AI2915" s="218"/>
      <c r="AJ2915" s="218"/>
      <c r="AK2915" s="153"/>
      <c r="AL2915" s="152"/>
      <c r="AM2915" s="152"/>
      <c r="AN2915" s="152"/>
      <c r="AO2915" s="152"/>
      <c r="AP2915" s="152"/>
      <c r="AQ2915" s="152"/>
      <c r="AR2915" s="152"/>
      <c r="AS2915" s="152"/>
      <c r="AT2915" s="152"/>
      <c r="AU2915" s="153"/>
      <c r="AV2915" s="479"/>
      <c r="AW2915" s="479"/>
      <c r="AX2915" s="442"/>
      <c r="AY2915" s="153"/>
      <c r="AZ2915" s="152"/>
      <c r="BA2915" s="152"/>
      <c r="BB2915" s="152"/>
      <c r="BC2915" s="152"/>
      <c r="BD2915" s="152"/>
      <c r="BE2915" s="152"/>
      <c r="BF2915" s="152"/>
      <c r="BG2915" s="152"/>
      <c r="BH2915" s="152"/>
      <c r="BI2915" s="153"/>
      <c r="BJ2915" s="153"/>
      <c r="BK2915" s="153"/>
      <c r="BL2915" s="153"/>
      <c r="BM2915" s="153"/>
      <c r="BN2915" s="153"/>
      <c r="BO2915" s="153"/>
      <c r="BP2915" s="153"/>
      <c r="BQ2915" s="153"/>
      <c r="BR2915" s="153"/>
      <c r="BS2915" s="153"/>
      <c r="BT2915" s="153"/>
      <c r="BU2915" s="153"/>
      <c r="BV2915" s="153"/>
      <c r="BW2915" s="153"/>
      <c r="BX2915" s="153"/>
      <c r="BY2915" s="153"/>
      <c r="BZ2915" s="153"/>
      <c r="CA2915" s="152"/>
      <c r="CB2915" s="152"/>
    </row>
    <row r="2916" spans="1:80" s="87" customFormat="1" ht="15" x14ac:dyDescent="0.25">
      <c r="A2916" s="152"/>
      <c r="B2916" s="683"/>
      <c r="C2916" s="683"/>
      <c r="D2916" s="698"/>
      <c r="E2916" s="215"/>
      <c r="F2916" s="215"/>
      <c r="G2916" s="153"/>
      <c r="H2916" s="153"/>
      <c r="I2916" s="316">
        <v>20</v>
      </c>
      <c r="J2916" s="306">
        <v>60</v>
      </c>
      <c r="K2916" s="150">
        <v>1</v>
      </c>
      <c r="L2916" s="656">
        <v>20</v>
      </c>
      <c r="M2916" s="663">
        <v>34480</v>
      </c>
      <c r="N2916" s="600">
        <v>2.6783800000000002</v>
      </c>
      <c r="O2916" s="604">
        <v>3.4529999999999999E-3</v>
      </c>
      <c r="P2916" s="150"/>
      <c r="Q2916" s="250"/>
      <c r="R2916" s="250"/>
      <c r="S2916" s="250"/>
      <c r="T2916" s="250">
        <v>8.6999999999999994E-2</v>
      </c>
      <c r="U2916" s="250">
        <v>0.439</v>
      </c>
      <c r="V2916" s="250">
        <v>0.26178699999999999</v>
      </c>
      <c r="W2916" s="250">
        <v>0.16802399999999998</v>
      </c>
      <c r="X2916" s="250">
        <v>3.7819999999999999E-2</v>
      </c>
      <c r="Y2916" s="250">
        <v>6.3720000000000001E-3</v>
      </c>
      <c r="Z2916" s="150"/>
      <c r="AA2916" s="223">
        <v>2.08</v>
      </c>
      <c r="AB2916" s="152"/>
      <c r="AC2916" s="152"/>
      <c r="AD2916" s="223">
        <v>9.5704060000000002</v>
      </c>
      <c r="AE2916" s="223">
        <v>0.41146650000000001</v>
      </c>
      <c r="AF2916" s="223">
        <v>3.9387056</v>
      </c>
      <c r="AG2916" s="223">
        <v>0.67358589999999996</v>
      </c>
      <c r="AH2916" s="341"/>
      <c r="AI2916" s="218"/>
      <c r="AJ2916" s="218"/>
      <c r="AK2916" s="153"/>
      <c r="AL2916" s="152"/>
      <c r="AM2916" s="152"/>
      <c r="AN2916" s="152"/>
      <c r="AO2916" s="152"/>
      <c r="AP2916" s="152"/>
      <c r="AQ2916" s="152"/>
      <c r="AR2916" s="152"/>
      <c r="AS2916" s="152"/>
      <c r="AT2916" s="152"/>
      <c r="AU2916" s="153"/>
      <c r="AV2916" s="479"/>
      <c r="AW2916" s="479"/>
      <c r="AX2916" s="442"/>
      <c r="AY2916" s="153"/>
      <c r="AZ2916" s="152"/>
      <c r="BA2916" s="152"/>
      <c r="BB2916" s="152"/>
      <c r="BC2916" s="152"/>
      <c r="BD2916" s="152"/>
      <c r="BE2916" s="152"/>
      <c r="BF2916" s="152"/>
      <c r="BG2916" s="152"/>
      <c r="BH2916" s="152"/>
      <c r="BI2916" s="153"/>
      <c r="BJ2916" s="153"/>
      <c r="BK2916" s="153"/>
      <c r="BL2916" s="153"/>
      <c r="BM2916" s="153"/>
      <c r="BN2916" s="153"/>
      <c r="BO2916" s="153"/>
      <c r="BP2916" s="153"/>
      <c r="BQ2916" s="153"/>
      <c r="BR2916" s="153"/>
      <c r="BS2916" s="153"/>
      <c r="BT2916" s="153"/>
      <c r="BU2916" s="153"/>
      <c r="BV2916" s="153"/>
      <c r="BW2916" s="153"/>
      <c r="BX2916" s="153"/>
      <c r="BY2916" s="153"/>
      <c r="BZ2916" s="153"/>
      <c r="CA2916" s="152"/>
      <c r="CB2916" s="152"/>
    </row>
    <row r="2917" spans="1:80" s="87" customFormat="1" ht="15" x14ac:dyDescent="0.25">
      <c r="A2917" s="152"/>
      <c r="B2917" s="683"/>
      <c r="C2917" s="683"/>
      <c r="D2917" s="698"/>
      <c r="E2917" s="215"/>
      <c r="F2917" s="215"/>
      <c r="G2917" s="153"/>
      <c r="H2917" s="153"/>
      <c r="I2917" s="316">
        <v>20</v>
      </c>
      <c r="J2917" s="306">
        <v>60</v>
      </c>
      <c r="K2917" s="150">
        <v>1</v>
      </c>
      <c r="L2917" s="656">
        <v>20</v>
      </c>
      <c r="M2917" s="663">
        <v>34480</v>
      </c>
      <c r="N2917" s="600">
        <v>2.6783800000000002</v>
      </c>
      <c r="O2917" s="604">
        <v>3.862E-3</v>
      </c>
      <c r="P2917" s="150"/>
      <c r="Q2917" s="250"/>
      <c r="R2917" s="250"/>
      <c r="S2917" s="250"/>
      <c r="T2917" s="250">
        <v>1.3000000000000001E-2</v>
      </c>
      <c r="U2917" s="250">
        <v>0.124</v>
      </c>
      <c r="V2917" s="250">
        <v>0.36603400000000003</v>
      </c>
      <c r="W2917" s="250">
        <v>0.39216600000000001</v>
      </c>
      <c r="X2917" s="250">
        <v>9.8777000000000004E-2</v>
      </c>
      <c r="Y2917" s="250">
        <v>6.0209999999999994E-3</v>
      </c>
      <c r="Z2917" s="150"/>
      <c r="AA2917" s="223">
        <v>1.01</v>
      </c>
      <c r="AB2917" s="152"/>
      <c r="AC2917" s="152"/>
      <c r="AD2917" s="223">
        <v>9.5704060000000002</v>
      </c>
      <c r="AE2917" s="223">
        <v>0.41146650000000001</v>
      </c>
      <c r="AF2917" s="223">
        <v>3.9387056</v>
      </c>
      <c r="AG2917" s="223">
        <v>0.67358589999999996</v>
      </c>
      <c r="AH2917" s="341"/>
      <c r="AI2917" s="218"/>
      <c r="AJ2917" s="218"/>
      <c r="AK2917" s="153"/>
      <c r="AL2917" s="152"/>
      <c r="AM2917" s="152"/>
      <c r="AN2917" s="152"/>
      <c r="AO2917" s="152"/>
      <c r="AP2917" s="152"/>
      <c r="AQ2917" s="152"/>
      <c r="AR2917" s="152"/>
      <c r="AS2917" s="152"/>
      <c r="AT2917" s="152"/>
      <c r="AU2917" s="153"/>
      <c r="AV2917" s="479"/>
      <c r="AW2917" s="479"/>
      <c r="AX2917" s="442"/>
      <c r="AY2917" s="153"/>
      <c r="AZ2917" s="152"/>
      <c r="BA2917" s="152"/>
      <c r="BB2917" s="152"/>
      <c r="BC2917" s="152"/>
      <c r="BD2917" s="152"/>
      <c r="BE2917" s="152"/>
      <c r="BF2917" s="152"/>
      <c r="BG2917" s="152"/>
      <c r="BH2917" s="152"/>
      <c r="BI2917" s="153"/>
      <c r="BJ2917" s="153"/>
      <c r="BK2917" s="153"/>
      <c r="BL2917" s="153"/>
      <c r="BM2917" s="153"/>
      <c r="BN2917" s="153"/>
      <c r="BO2917" s="153"/>
      <c r="BP2917" s="153"/>
      <c r="BQ2917" s="153"/>
      <c r="BR2917" s="153"/>
      <c r="BS2917" s="153"/>
      <c r="BT2917" s="153"/>
      <c r="BU2917" s="153"/>
      <c r="BV2917" s="153"/>
      <c r="BW2917" s="153"/>
      <c r="BX2917" s="153"/>
      <c r="BY2917" s="153"/>
      <c r="BZ2917" s="153"/>
      <c r="CA2917" s="152"/>
      <c r="CB2917" s="152"/>
    </row>
    <row r="2918" spans="1:80" s="87" customFormat="1" ht="15" x14ac:dyDescent="0.25">
      <c r="A2918" s="152"/>
      <c r="B2918" s="683"/>
      <c r="C2918" s="683"/>
      <c r="D2918" s="698"/>
      <c r="E2918" s="215"/>
      <c r="F2918" s="215"/>
      <c r="G2918" s="153"/>
      <c r="H2918" s="153"/>
      <c r="I2918" s="316">
        <v>20</v>
      </c>
      <c r="J2918" s="306">
        <v>60</v>
      </c>
      <c r="K2918" s="150">
        <v>1</v>
      </c>
      <c r="L2918" s="656">
        <v>20</v>
      </c>
      <c r="M2918" s="663">
        <v>34485</v>
      </c>
      <c r="N2918" s="600">
        <v>2.2282099999999998</v>
      </c>
      <c r="O2918" s="604">
        <v>1.1969999999999999E-3</v>
      </c>
      <c r="P2918" s="150"/>
      <c r="Q2918" s="250"/>
      <c r="R2918" s="250"/>
      <c r="S2918" s="250"/>
      <c r="T2918" s="250"/>
      <c r="U2918" s="250">
        <v>2.8999999999999998E-2</v>
      </c>
      <c r="V2918" s="250">
        <v>0.10130599999999999</v>
      </c>
      <c r="W2918" s="250">
        <v>0.37159900000000001</v>
      </c>
      <c r="X2918" s="250">
        <v>0.47073199999999998</v>
      </c>
      <c r="Y2918" s="250">
        <v>2.7559999999999998E-2</v>
      </c>
      <c r="Z2918" s="150"/>
      <c r="AA2918" s="223">
        <v>0.5</v>
      </c>
      <c r="AB2918" s="152"/>
      <c r="AC2918" s="152"/>
      <c r="AD2918" s="223">
        <v>9.4484899999999996</v>
      </c>
      <c r="AE2918" s="223">
        <v>0.3931791</v>
      </c>
      <c r="AF2918" s="223">
        <v>3.7064705999999998</v>
      </c>
      <c r="AG2918" s="223">
        <v>0.59738840000000004</v>
      </c>
      <c r="AH2918" s="341"/>
      <c r="AI2918" s="218"/>
      <c r="AJ2918" s="218"/>
      <c r="AK2918" s="153"/>
      <c r="AL2918" s="152"/>
      <c r="AM2918" s="152"/>
      <c r="AN2918" s="152"/>
      <c r="AO2918" s="152"/>
      <c r="AP2918" s="152"/>
      <c r="AQ2918" s="152"/>
      <c r="AR2918" s="152"/>
      <c r="AS2918" s="152"/>
      <c r="AT2918" s="152"/>
      <c r="AU2918" s="153"/>
      <c r="AV2918" s="479"/>
      <c r="AW2918" s="479"/>
      <c r="AX2918" s="442"/>
      <c r="AY2918" s="153"/>
      <c r="AZ2918" s="152"/>
      <c r="BA2918" s="152"/>
      <c r="BB2918" s="152"/>
      <c r="BC2918" s="152"/>
      <c r="BD2918" s="152"/>
      <c r="BE2918" s="152"/>
      <c r="BF2918" s="152"/>
      <c r="BG2918" s="152"/>
      <c r="BH2918" s="152"/>
      <c r="BI2918" s="153"/>
      <c r="BJ2918" s="153"/>
      <c r="BK2918" s="153"/>
      <c r="BL2918" s="153"/>
      <c r="BM2918" s="153"/>
      <c r="BN2918" s="153"/>
      <c r="BO2918" s="153"/>
      <c r="BP2918" s="153"/>
      <c r="BQ2918" s="153"/>
      <c r="BR2918" s="153"/>
      <c r="BS2918" s="153"/>
      <c r="BT2918" s="153"/>
      <c r="BU2918" s="153"/>
      <c r="BV2918" s="153"/>
      <c r="BW2918" s="153"/>
      <c r="BX2918" s="153"/>
      <c r="BY2918" s="153"/>
      <c r="BZ2918" s="153"/>
      <c r="CA2918" s="152"/>
      <c r="CB2918" s="152"/>
    </row>
    <row r="2919" spans="1:80" s="87" customFormat="1" ht="15" x14ac:dyDescent="0.25">
      <c r="A2919" s="152"/>
      <c r="B2919" s="683"/>
      <c r="C2919" s="683"/>
      <c r="D2919" s="698"/>
      <c r="E2919" s="215"/>
      <c r="F2919" s="215"/>
      <c r="G2919" s="153"/>
      <c r="H2919" s="153"/>
      <c r="I2919" s="316">
        <v>20</v>
      </c>
      <c r="J2919" s="306">
        <v>60</v>
      </c>
      <c r="K2919" s="150">
        <v>1</v>
      </c>
      <c r="L2919" s="656">
        <v>20</v>
      </c>
      <c r="M2919" s="663">
        <v>34485</v>
      </c>
      <c r="N2919" s="600">
        <v>2.2282099999999998</v>
      </c>
      <c r="O2919" s="604">
        <v>5.3530000000000001E-3</v>
      </c>
      <c r="P2919" s="150"/>
      <c r="Q2919" s="250"/>
      <c r="R2919" s="250"/>
      <c r="S2919" s="250"/>
      <c r="T2919" s="250"/>
      <c r="U2919" s="250">
        <v>4.9000000000000002E-2</v>
      </c>
      <c r="V2919" s="250">
        <v>0.18612200000000001</v>
      </c>
      <c r="W2919" s="250">
        <v>0.6063630000000001</v>
      </c>
      <c r="X2919" s="250">
        <v>0.152758</v>
      </c>
      <c r="Y2919" s="250">
        <v>6.2539999999999991E-3</v>
      </c>
      <c r="Z2919" s="150"/>
      <c r="AA2919" s="223">
        <v>0.74</v>
      </c>
      <c r="AB2919" s="152"/>
      <c r="AC2919" s="152"/>
      <c r="AD2919" s="223">
        <v>9.4484899999999996</v>
      </c>
      <c r="AE2919" s="223">
        <v>0.3931791</v>
      </c>
      <c r="AF2919" s="223">
        <v>3.7064705999999998</v>
      </c>
      <c r="AG2919" s="223">
        <v>0.59738840000000004</v>
      </c>
      <c r="AH2919" s="341"/>
      <c r="AI2919" s="218"/>
      <c r="AJ2919" s="218"/>
      <c r="AK2919" s="153"/>
      <c r="AL2919" s="152"/>
      <c r="AM2919" s="152"/>
      <c r="AN2919" s="152"/>
      <c r="AO2919" s="152"/>
      <c r="AP2919" s="152"/>
      <c r="AQ2919" s="152"/>
      <c r="AR2919" s="152"/>
      <c r="AS2919" s="152"/>
      <c r="AT2919" s="152"/>
      <c r="AU2919" s="153"/>
      <c r="AV2919" s="479"/>
      <c r="AW2919" s="479"/>
      <c r="AX2919" s="442"/>
      <c r="AY2919" s="153"/>
      <c r="AZ2919" s="152"/>
      <c r="BA2919" s="152"/>
      <c r="BB2919" s="152"/>
      <c r="BC2919" s="152"/>
      <c r="BD2919" s="152"/>
      <c r="BE2919" s="152"/>
      <c r="BF2919" s="152"/>
      <c r="BG2919" s="152"/>
      <c r="BH2919" s="152"/>
      <c r="BI2919" s="153"/>
      <c r="BJ2919" s="153"/>
      <c r="BK2919" s="153"/>
      <c r="BL2919" s="153"/>
      <c r="BM2919" s="153"/>
      <c r="BN2919" s="153"/>
      <c r="BO2919" s="153"/>
      <c r="BP2919" s="153"/>
      <c r="BQ2919" s="153"/>
      <c r="BR2919" s="153"/>
      <c r="BS2919" s="153"/>
      <c r="BT2919" s="153"/>
      <c r="BU2919" s="153"/>
      <c r="BV2919" s="153"/>
      <c r="BW2919" s="153"/>
      <c r="BX2919" s="153"/>
      <c r="BY2919" s="153"/>
      <c r="BZ2919" s="153"/>
      <c r="CA2919" s="152"/>
      <c r="CB2919" s="152"/>
    </row>
    <row r="2920" spans="1:80" s="87" customFormat="1" ht="15" x14ac:dyDescent="0.25">
      <c r="A2920" s="152"/>
      <c r="B2920" s="683"/>
      <c r="C2920" s="683"/>
      <c r="D2920" s="698"/>
      <c r="E2920" s="215"/>
      <c r="F2920" s="215"/>
      <c r="G2920" s="153"/>
      <c r="H2920" s="153"/>
      <c r="I2920" s="316">
        <v>21</v>
      </c>
      <c r="J2920" s="306">
        <v>60</v>
      </c>
      <c r="K2920" s="150">
        <v>1</v>
      </c>
      <c r="L2920" s="656">
        <v>21</v>
      </c>
      <c r="M2920" s="663">
        <v>34487</v>
      </c>
      <c r="N2920" s="600">
        <v>2.55097</v>
      </c>
      <c r="O2920" s="604">
        <v>1.1124999999999999E-2</v>
      </c>
      <c r="P2920" s="150"/>
      <c r="Q2920" s="250"/>
      <c r="R2920" s="250"/>
      <c r="S2920" s="250"/>
      <c r="T2920" s="250"/>
      <c r="U2920" s="250">
        <v>5.0999999999999997E-2</v>
      </c>
      <c r="V2920" s="250">
        <v>0.30959900000000001</v>
      </c>
      <c r="W2920" s="250">
        <v>0.51349599999999995</v>
      </c>
      <c r="X2920" s="250">
        <v>0.12195700000000001</v>
      </c>
      <c r="Y2920" s="250">
        <v>4.339E-3</v>
      </c>
      <c r="Z2920" s="150"/>
      <c r="AA2920" s="223">
        <v>0.83</v>
      </c>
      <c r="AB2920" s="152"/>
      <c r="AC2920" s="152"/>
      <c r="AD2920" s="223">
        <v>9.5704060000000002</v>
      </c>
      <c r="AE2920" s="223">
        <v>0.41451440000000001</v>
      </c>
      <c r="AF2920" s="223">
        <v>3.9572843999999998</v>
      </c>
      <c r="AG2920" s="223">
        <v>0.67053799999999997</v>
      </c>
      <c r="AH2920" s="341"/>
      <c r="AI2920" s="218"/>
      <c r="AJ2920" s="218"/>
      <c r="AK2920" s="153"/>
      <c r="AL2920" s="152"/>
      <c r="AM2920" s="152"/>
      <c r="AN2920" s="152"/>
      <c r="AO2920" s="152"/>
      <c r="AP2920" s="152"/>
      <c r="AQ2920" s="152"/>
      <c r="AR2920" s="152"/>
      <c r="AS2920" s="152"/>
      <c r="AT2920" s="152"/>
      <c r="AU2920" s="153"/>
      <c r="AV2920" s="479"/>
      <c r="AW2920" s="479"/>
      <c r="AX2920" s="442"/>
      <c r="AY2920" s="153"/>
      <c r="AZ2920" s="152"/>
      <c r="BA2920" s="152"/>
      <c r="BB2920" s="152"/>
      <c r="BC2920" s="152"/>
      <c r="BD2920" s="152"/>
      <c r="BE2920" s="152"/>
      <c r="BF2920" s="152"/>
      <c r="BG2920" s="152"/>
      <c r="BH2920" s="152"/>
      <c r="BI2920" s="153"/>
      <c r="BJ2920" s="153"/>
      <c r="BK2920" s="153"/>
      <c r="BL2920" s="153"/>
      <c r="BM2920" s="153"/>
      <c r="BN2920" s="153"/>
      <c r="BO2920" s="153"/>
      <c r="BP2920" s="153"/>
      <c r="BQ2920" s="153"/>
      <c r="BR2920" s="153"/>
      <c r="BS2920" s="153"/>
      <c r="BT2920" s="153"/>
      <c r="BU2920" s="153"/>
      <c r="BV2920" s="153"/>
      <c r="BW2920" s="153"/>
      <c r="BX2920" s="153"/>
      <c r="BY2920" s="153"/>
      <c r="BZ2920" s="153"/>
      <c r="CA2920" s="152"/>
      <c r="CB2920" s="152"/>
    </row>
    <row r="2921" spans="1:80" s="87" customFormat="1" ht="15" x14ac:dyDescent="0.25">
      <c r="A2921" s="152"/>
      <c r="B2921" s="683"/>
      <c r="C2921" s="683"/>
      <c r="D2921" s="698"/>
      <c r="E2921" s="215"/>
      <c r="F2921" s="215"/>
      <c r="G2921" s="153"/>
      <c r="H2921" s="153"/>
      <c r="I2921" s="316">
        <v>21</v>
      </c>
      <c r="J2921" s="306">
        <v>60</v>
      </c>
      <c r="K2921" s="150">
        <v>1</v>
      </c>
      <c r="L2921" s="656">
        <v>21</v>
      </c>
      <c r="M2921" s="663">
        <v>34487</v>
      </c>
      <c r="N2921" s="600">
        <v>2.55097</v>
      </c>
      <c r="O2921" s="604">
        <v>9.2359999999999994E-3</v>
      </c>
      <c r="P2921" s="150"/>
      <c r="Q2921" s="250"/>
      <c r="R2921" s="250"/>
      <c r="S2921" s="250"/>
      <c r="T2921" s="250">
        <v>2.4E-2</v>
      </c>
      <c r="U2921" s="250">
        <v>5.7000000000000002E-2</v>
      </c>
      <c r="V2921" s="250">
        <v>0.132192</v>
      </c>
      <c r="W2921" s="250">
        <v>0.44046799999999997</v>
      </c>
      <c r="X2921" s="250">
        <v>0.33461199999999997</v>
      </c>
      <c r="Y2921" s="250">
        <v>1.2244999999999999E-2</v>
      </c>
      <c r="Z2921" s="150"/>
      <c r="AA2921" s="223">
        <v>0.64</v>
      </c>
      <c r="AB2921" s="152"/>
      <c r="AC2921" s="152"/>
      <c r="AD2921" s="223">
        <v>9.5704060000000002</v>
      </c>
      <c r="AE2921" s="223">
        <v>0.41451440000000001</v>
      </c>
      <c r="AF2921" s="223">
        <v>3.9572843999999998</v>
      </c>
      <c r="AG2921" s="223">
        <v>0.67053799999999997</v>
      </c>
      <c r="AH2921" s="341"/>
      <c r="AI2921" s="218"/>
      <c r="AJ2921" s="218"/>
      <c r="AK2921" s="153"/>
      <c r="AL2921" s="152"/>
      <c r="AM2921" s="152"/>
      <c r="AN2921" s="152"/>
      <c r="AO2921" s="152"/>
      <c r="AP2921" s="152"/>
      <c r="AQ2921" s="152"/>
      <c r="AR2921" s="152"/>
      <c r="AS2921" s="152"/>
      <c r="AT2921" s="152"/>
      <c r="AU2921" s="153"/>
      <c r="AV2921" s="479"/>
      <c r="AW2921" s="479"/>
      <c r="AX2921" s="442"/>
      <c r="AY2921" s="153"/>
      <c r="AZ2921" s="152"/>
      <c r="BA2921" s="152"/>
      <c r="BB2921" s="152"/>
      <c r="BC2921" s="152"/>
      <c r="BD2921" s="152"/>
      <c r="BE2921" s="152"/>
      <c r="BF2921" s="152"/>
      <c r="BG2921" s="152"/>
      <c r="BH2921" s="152"/>
      <c r="BI2921" s="153"/>
      <c r="BJ2921" s="153"/>
      <c r="BK2921" s="153"/>
      <c r="BL2921" s="153"/>
      <c r="BM2921" s="153"/>
      <c r="BN2921" s="153"/>
      <c r="BO2921" s="153"/>
      <c r="BP2921" s="153"/>
      <c r="BQ2921" s="153"/>
      <c r="BR2921" s="153"/>
      <c r="BS2921" s="153"/>
      <c r="BT2921" s="153"/>
      <c r="BU2921" s="153"/>
      <c r="BV2921" s="153"/>
      <c r="BW2921" s="153"/>
      <c r="BX2921" s="153"/>
      <c r="BY2921" s="153"/>
      <c r="BZ2921" s="153"/>
      <c r="CA2921" s="152"/>
      <c r="CB2921" s="152"/>
    </row>
    <row r="2922" spans="1:80" s="87" customFormat="1" ht="15" x14ac:dyDescent="0.25">
      <c r="A2922" s="152"/>
      <c r="B2922" s="683"/>
      <c r="C2922" s="683"/>
      <c r="D2922" s="698"/>
      <c r="E2922" s="215"/>
      <c r="F2922" s="215"/>
      <c r="G2922" s="153"/>
      <c r="H2922" s="153"/>
      <c r="I2922" s="316">
        <v>21</v>
      </c>
      <c r="J2922" s="306">
        <v>60</v>
      </c>
      <c r="K2922" s="150">
        <v>1</v>
      </c>
      <c r="L2922" s="656">
        <v>21</v>
      </c>
      <c r="M2922" s="663">
        <v>34491</v>
      </c>
      <c r="N2922" s="600">
        <v>2.1885699999999999</v>
      </c>
      <c r="O2922" s="604">
        <v>3.212E-3</v>
      </c>
      <c r="P2922" s="150"/>
      <c r="Q2922" s="250"/>
      <c r="R2922" s="250"/>
      <c r="S2922" s="250"/>
      <c r="T2922" s="250"/>
      <c r="U2922" s="250">
        <v>6.3E-2</v>
      </c>
      <c r="V2922" s="250">
        <v>0.25468499999999999</v>
      </c>
      <c r="W2922" s="250">
        <v>0.58982999999999997</v>
      </c>
      <c r="X2922" s="250">
        <v>9.2415999999999998E-2</v>
      </c>
      <c r="Y2922" s="250">
        <v>0</v>
      </c>
      <c r="Z2922" s="150"/>
      <c r="AA2922" s="223">
        <v>0.81</v>
      </c>
      <c r="AB2922" s="152"/>
      <c r="AC2922" s="152"/>
      <c r="AD2922" s="223">
        <v>9.4484899999999996</v>
      </c>
      <c r="AE2922" s="223">
        <v>0.36879590000000001</v>
      </c>
      <c r="AF2922" s="223">
        <v>3.4928143999999999</v>
      </c>
      <c r="AG2922" s="223">
        <v>0.60348420000000003</v>
      </c>
      <c r="AH2922" s="341"/>
      <c r="AI2922" s="218"/>
      <c r="AJ2922" s="218"/>
      <c r="AK2922" s="153"/>
      <c r="AL2922" s="152"/>
      <c r="AM2922" s="152"/>
      <c r="AN2922" s="152"/>
      <c r="AO2922" s="152"/>
      <c r="AP2922" s="152"/>
      <c r="AQ2922" s="152"/>
      <c r="AR2922" s="152"/>
      <c r="AS2922" s="152"/>
      <c r="AT2922" s="152"/>
      <c r="AU2922" s="153"/>
      <c r="AV2922" s="479"/>
      <c r="AW2922" s="479"/>
      <c r="AX2922" s="442"/>
      <c r="AY2922" s="153"/>
      <c r="AZ2922" s="152"/>
      <c r="BA2922" s="152"/>
      <c r="BB2922" s="152"/>
      <c r="BC2922" s="152"/>
      <c r="BD2922" s="152"/>
      <c r="BE2922" s="152"/>
      <c r="BF2922" s="152"/>
      <c r="BG2922" s="152"/>
      <c r="BH2922" s="152"/>
      <c r="BI2922" s="153"/>
      <c r="BJ2922" s="153"/>
      <c r="BK2922" s="153"/>
      <c r="BL2922" s="153"/>
      <c r="BM2922" s="153"/>
      <c r="BN2922" s="153"/>
      <c r="BO2922" s="153"/>
      <c r="BP2922" s="153"/>
      <c r="BQ2922" s="153"/>
      <c r="BR2922" s="153"/>
      <c r="BS2922" s="153"/>
      <c r="BT2922" s="153"/>
      <c r="BU2922" s="153"/>
      <c r="BV2922" s="153"/>
      <c r="BW2922" s="153"/>
      <c r="BX2922" s="153"/>
      <c r="BY2922" s="153"/>
      <c r="BZ2922" s="153"/>
      <c r="CA2922" s="152"/>
      <c r="CB2922" s="152"/>
    </row>
    <row r="2923" spans="1:80" s="87" customFormat="1" ht="15" x14ac:dyDescent="0.25">
      <c r="A2923" s="152"/>
      <c r="B2923" s="683"/>
      <c r="C2923" s="683"/>
      <c r="D2923" s="698"/>
      <c r="E2923" s="215"/>
      <c r="F2923" s="215"/>
      <c r="G2923" s="153"/>
      <c r="H2923" s="153"/>
      <c r="I2923" s="316">
        <v>21</v>
      </c>
      <c r="J2923" s="306">
        <v>60</v>
      </c>
      <c r="K2923" s="150">
        <v>1</v>
      </c>
      <c r="L2923" s="656">
        <v>21</v>
      </c>
      <c r="M2923" s="663">
        <v>34491</v>
      </c>
      <c r="N2923" s="600">
        <v>2.1885699999999999</v>
      </c>
      <c r="O2923" s="604">
        <v>5.4050000000000001E-3</v>
      </c>
      <c r="P2923" s="150"/>
      <c r="Q2923" s="250"/>
      <c r="R2923" s="250"/>
      <c r="S2923" s="250"/>
      <c r="T2923" s="250">
        <v>6.9999999999999993E-3</v>
      </c>
      <c r="U2923" s="250">
        <v>1.6E-2</v>
      </c>
      <c r="V2923" s="250">
        <v>0.18010100000000001</v>
      </c>
      <c r="W2923" s="250">
        <v>0.70520099999999997</v>
      </c>
      <c r="X2923" s="250">
        <v>8.6864000000000011E-2</v>
      </c>
      <c r="Y2923" s="250">
        <v>4.8259999999999996E-3</v>
      </c>
      <c r="Z2923" s="150"/>
      <c r="AA2923" s="223">
        <v>0.75</v>
      </c>
      <c r="AB2923" s="152"/>
      <c r="AC2923" s="152"/>
      <c r="AD2923" s="223">
        <v>9.4484899999999996</v>
      </c>
      <c r="AE2923" s="223">
        <v>0.36879590000000001</v>
      </c>
      <c r="AF2923" s="223">
        <v>3.4928143999999999</v>
      </c>
      <c r="AG2923" s="223">
        <v>0.60348420000000003</v>
      </c>
      <c r="AH2923" s="341"/>
      <c r="AI2923" s="218"/>
      <c r="AJ2923" s="218"/>
      <c r="AK2923" s="153"/>
      <c r="AL2923" s="152"/>
      <c r="AM2923" s="152"/>
      <c r="AN2923" s="152"/>
      <c r="AO2923" s="152"/>
      <c r="AP2923" s="152"/>
      <c r="AQ2923" s="152"/>
      <c r="AR2923" s="152"/>
      <c r="AS2923" s="152"/>
      <c r="AT2923" s="152"/>
      <c r="AU2923" s="153"/>
      <c r="AV2923" s="479"/>
      <c r="AW2923" s="479"/>
      <c r="AX2923" s="442"/>
      <c r="AY2923" s="153"/>
      <c r="AZ2923" s="152"/>
      <c r="BA2923" s="152"/>
      <c r="BB2923" s="152"/>
      <c r="BC2923" s="152"/>
      <c r="BD2923" s="152"/>
      <c r="BE2923" s="152"/>
      <c r="BF2923" s="152"/>
      <c r="BG2923" s="152"/>
      <c r="BH2923" s="152"/>
      <c r="BI2923" s="153"/>
      <c r="BJ2923" s="153"/>
      <c r="BK2923" s="153"/>
      <c r="BL2923" s="153"/>
      <c r="BM2923" s="153"/>
      <c r="BN2923" s="153"/>
      <c r="BO2923" s="153"/>
      <c r="BP2923" s="153"/>
      <c r="BQ2923" s="153"/>
      <c r="BR2923" s="153"/>
      <c r="BS2923" s="153"/>
      <c r="BT2923" s="153"/>
      <c r="BU2923" s="153"/>
      <c r="BV2923" s="153"/>
      <c r="BW2923" s="153"/>
      <c r="BX2923" s="153"/>
      <c r="BY2923" s="153"/>
      <c r="BZ2923" s="153"/>
      <c r="CA2923" s="152"/>
      <c r="CB2923" s="152"/>
    </row>
    <row r="2924" spans="1:80" s="87" customFormat="1" ht="15" x14ac:dyDescent="0.25">
      <c r="A2924" s="152"/>
      <c r="B2924" s="683"/>
      <c r="C2924" s="683"/>
      <c r="D2924" s="698"/>
      <c r="E2924" s="215"/>
      <c r="F2924" s="215"/>
      <c r="G2924" s="153"/>
      <c r="H2924" s="153"/>
      <c r="I2924" s="316">
        <v>21</v>
      </c>
      <c r="J2924" s="306">
        <v>60</v>
      </c>
      <c r="K2924" s="150">
        <v>1</v>
      </c>
      <c r="L2924" s="656">
        <v>21</v>
      </c>
      <c r="M2924" s="663">
        <v>34494</v>
      </c>
      <c r="N2924" s="600">
        <v>2.0724900000000002</v>
      </c>
      <c r="O2924" s="604">
        <v>5.6680000000000003E-3</v>
      </c>
      <c r="P2924" s="150"/>
      <c r="Q2924" s="250"/>
      <c r="R2924" s="250"/>
      <c r="S2924" s="250"/>
      <c r="T2924" s="250">
        <v>1.4999999999999999E-2</v>
      </c>
      <c r="U2924" s="250">
        <v>0.10800000000000001</v>
      </c>
      <c r="V2924" s="250">
        <v>0.32722299999999999</v>
      </c>
      <c r="W2924" s="250">
        <v>0.40901699999999996</v>
      </c>
      <c r="X2924" s="250">
        <v>0.13550700000000002</v>
      </c>
      <c r="Y2924" s="250">
        <v>4.9249999999999997E-3</v>
      </c>
      <c r="Z2924" s="150"/>
      <c r="AA2924" s="223">
        <v>0.92</v>
      </c>
      <c r="AB2924" s="152"/>
      <c r="AC2924" s="152"/>
      <c r="AD2924" s="223">
        <v>9.4180109999999999</v>
      </c>
      <c r="AE2924" s="223">
        <v>0.36270010000000003</v>
      </c>
      <c r="AF2924" s="223">
        <v>3.4184991999999998</v>
      </c>
      <c r="AG2924" s="223">
        <v>0.58519679999999996</v>
      </c>
      <c r="AH2924" s="341"/>
      <c r="AI2924" s="218"/>
      <c r="AJ2924" s="218"/>
      <c r="AK2924" s="153"/>
      <c r="AL2924" s="152"/>
      <c r="AM2924" s="152"/>
      <c r="AN2924" s="152"/>
      <c r="AO2924" s="152"/>
      <c r="AP2924" s="152"/>
      <c r="AQ2924" s="152"/>
      <c r="AR2924" s="152"/>
      <c r="AS2924" s="152"/>
      <c r="AT2924" s="152"/>
      <c r="AU2924" s="153"/>
      <c r="AV2924" s="479"/>
      <c r="AW2924" s="479"/>
      <c r="AX2924" s="442"/>
      <c r="AY2924" s="153"/>
      <c r="AZ2924" s="152"/>
      <c r="BA2924" s="152"/>
      <c r="BB2924" s="152"/>
      <c r="BC2924" s="152"/>
      <c r="BD2924" s="152"/>
      <c r="BE2924" s="152"/>
      <c r="BF2924" s="152"/>
      <c r="BG2924" s="152"/>
      <c r="BH2924" s="152"/>
      <c r="BI2924" s="153"/>
      <c r="BJ2924" s="153"/>
      <c r="BK2924" s="153"/>
      <c r="BL2924" s="153"/>
      <c r="BM2924" s="153"/>
      <c r="BN2924" s="153"/>
      <c r="BO2924" s="153"/>
      <c r="BP2924" s="153"/>
      <c r="BQ2924" s="153"/>
      <c r="BR2924" s="153"/>
      <c r="BS2924" s="153"/>
      <c r="BT2924" s="153"/>
      <c r="BU2924" s="153"/>
      <c r="BV2924" s="153"/>
      <c r="BW2924" s="153"/>
      <c r="BX2924" s="153"/>
      <c r="BY2924" s="153"/>
      <c r="BZ2924" s="153"/>
      <c r="CA2924" s="152"/>
      <c r="CB2924" s="152"/>
    </row>
    <row r="2925" spans="1:80" s="87" customFormat="1" ht="15" x14ac:dyDescent="0.25">
      <c r="A2925" s="152"/>
      <c r="B2925" s="683"/>
      <c r="C2925" s="683"/>
      <c r="D2925" s="698"/>
      <c r="E2925" s="215"/>
      <c r="F2925" s="215"/>
      <c r="G2925" s="153"/>
      <c r="H2925" s="153"/>
      <c r="I2925" s="316">
        <v>21</v>
      </c>
      <c r="J2925" s="306">
        <v>60</v>
      </c>
      <c r="K2925" s="150">
        <v>1</v>
      </c>
      <c r="L2925" s="656">
        <v>21</v>
      </c>
      <c r="M2925" s="663">
        <v>34494</v>
      </c>
      <c r="N2925" s="600">
        <v>2.0724900000000002</v>
      </c>
      <c r="O2925" s="604">
        <v>1.2700000000000001E-3</v>
      </c>
      <c r="P2925" s="150"/>
      <c r="Q2925" s="250"/>
      <c r="R2925" s="250"/>
      <c r="S2925" s="250"/>
      <c r="T2925" s="250"/>
      <c r="U2925" s="250">
        <v>5.5E-2</v>
      </c>
      <c r="V2925" s="250">
        <v>0.18630400000000003</v>
      </c>
      <c r="W2925" s="250">
        <v>0.54433899999999991</v>
      </c>
      <c r="X2925" s="250">
        <v>0.20125199999999999</v>
      </c>
      <c r="Y2925" s="250">
        <v>1.3098E-2</v>
      </c>
      <c r="Z2925" s="150"/>
      <c r="AA2925" s="223">
        <v>0.72</v>
      </c>
      <c r="AB2925" s="152"/>
      <c r="AC2925" s="152"/>
      <c r="AD2925" s="223">
        <v>9.4180109999999999</v>
      </c>
      <c r="AE2925" s="223">
        <v>0.36270010000000003</v>
      </c>
      <c r="AF2925" s="223">
        <v>3.4184991999999998</v>
      </c>
      <c r="AG2925" s="223">
        <v>0.58519679999999996</v>
      </c>
      <c r="AH2925" s="341"/>
      <c r="AI2925" s="218"/>
      <c r="AJ2925" s="218"/>
      <c r="AK2925" s="153"/>
      <c r="AL2925" s="152"/>
      <c r="AM2925" s="152"/>
      <c r="AN2925" s="152"/>
      <c r="AO2925" s="152"/>
      <c r="AP2925" s="152"/>
      <c r="AQ2925" s="152"/>
      <c r="AR2925" s="152"/>
      <c r="AS2925" s="152"/>
      <c r="AT2925" s="152"/>
      <c r="AU2925" s="153"/>
      <c r="AV2925" s="479"/>
      <c r="AW2925" s="479"/>
      <c r="AX2925" s="442"/>
      <c r="AY2925" s="153"/>
      <c r="AZ2925" s="152"/>
      <c r="BA2925" s="152"/>
      <c r="BB2925" s="152"/>
      <c r="BC2925" s="152"/>
      <c r="BD2925" s="152"/>
      <c r="BE2925" s="152"/>
      <c r="BF2925" s="152"/>
      <c r="BG2925" s="152"/>
      <c r="BH2925" s="152"/>
      <c r="BI2925" s="153"/>
      <c r="BJ2925" s="153"/>
      <c r="BK2925" s="153"/>
      <c r="BL2925" s="153"/>
      <c r="BM2925" s="153"/>
      <c r="BN2925" s="153"/>
      <c r="BO2925" s="153"/>
      <c r="BP2925" s="153"/>
      <c r="BQ2925" s="153"/>
      <c r="BR2925" s="153"/>
      <c r="BS2925" s="153"/>
      <c r="BT2925" s="153"/>
      <c r="BU2925" s="153"/>
      <c r="BV2925" s="153"/>
      <c r="BW2925" s="153"/>
      <c r="BX2925" s="153"/>
      <c r="BY2925" s="153"/>
      <c r="BZ2925" s="153"/>
      <c r="CA2925" s="152"/>
      <c r="CB2925" s="152"/>
    </row>
    <row r="2926" spans="1:80" s="87" customFormat="1" ht="15" x14ac:dyDescent="0.25">
      <c r="A2926" s="152"/>
      <c r="B2926" s="683"/>
      <c r="C2926" s="683"/>
      <c r="D2926" s="698"/>
      <c r="E2926" s="215"/>
      <c r="F2926" s="215"/>
      <c r="G2926" s="153"/>
      <c r="H2926" s="153"/>
      <c r="I2926" s="316">
        <v>20</v>
      </c>
      <c r="J2926" s="306">
        <v>60</v>
      </c>
      <c r="K2926" s="150">
        <v>1</v>
      </c>
      <c r="L2926" s="656">
        <v>20</v>
      </c>
      <c r="M2926" s="663">
        <v>34507</v>
      </c>
      <c r="N2926" s="600">
        <v>2.14893</v>
      </c>
      <c r="O2926" s="604">
        <v>2.7810000000000001E-3</v>
      </c>
      <c r="P2926" s="150"/>
      <c r="Q2926" s="250"/>
      <c r="R2926" s="250"/>
      <c r="S2926" s="250"/>
      <c r="T2926" s="250"/>
      <c r="U2926" s="250">
        <v>8.3000000000000004E-2</v>
      </c>
      <c r="V2926" s="250">
        <v>0.35597200000000001</v>
      </c>
      <c r="W2926" s="250">
        <v>0.32352199999999998</v>
      </c>
      <c r="X2926" s="250">
        <v>0.22567100000000001</v>
      </c>
      <c r="Y2926" s="250">
        <v>1.1372E-2</v>
      </c>
      <c r="Z2926" s="150"/>
      <c r="AA2926" s="223">
        <v>0.88</v>
      </c>
      <c r="AB2926" s="152"/>
      <c r="AC2926" s="152"/>
      <c r="AD2926" s="223">
        <v>9.4789689999999993</v>
      </c>
      <c r="AE2926" s="223">
        <v>0.3505085</v>
      </c>
      <c r="AF2926" s="223">
        <v>3.3163157999999999</v>
      </c>
      <c r="AG2926" s="223">
        <v>0.64615480000000003</v>
      </c>
      <c r="AH2926" s="341"/>
      <c r="AI2926" s="218"/>
      <c r="AJ2926" s="218"/>
      <c r="AK2926" s="153"/>
      <c r="AL2926" s="152"/>
      <c r="AM2926" s="152"/>
      <c r="AN2926" s="152"/>
      <c r="AO2926" s="152"/>
      <c r="AP2926" s="152"/>
      <c r="AQ2926" s="152"/>
      <c r="AR2926" s="152"/>
      <c r="AS2926" s="152"/>
      <c r="AT2926" s="152"/>
      <c r="AU2926" s="153"/>
      <c r="AV2926" s="479"/>
      <c r="AW2926" s="479"/>
      <c r="AX2926" s="442"/>
      <c r="AY2926" s="153"/>
      <c r="AZ2926" s="152"/>
      <c r="BA2926" s="152"/>
      <c r="BB2926" s="152"/>
      <c r="BC2926" s="152"/>
      <c r="BD2926" s="152"/>
      <c r="BE2926" s="152"/>
      <c r="BF2926" s="152"/>
      <c r="BG2926" s="152"/>
      <c r="BH2926" s="152"/>
      <c r="BI2926" s="153"/>
      <c r="BJ2926" s="153"/>
      <c r="BK2926" s="153"/>
      <c r="BL2926" s="153"/>
      <c r="BM2926" s="153"/>
      <c r="BN2926" s="153"/>
      <c r="BO2926" s="153"/>
      <c r="BP2926" s="153"/>
      <c r="BQ2926" s="153"/>
      <c r="BR2926" s="153"/>
      <c r="BS2926" s="153"/>
      <c r="BT2926" s="153"/>
      <c r="BU2926" s="153"/>
      <c r="BV2926" s="153"/>
      <c r="BW2926" s="153"/>
      <c r="BX2926" s="153"/>
      <c r="BY2926" s="153"/>
      <c r="BZ2926" s="153"/>
      <c r="CA2926" s="152"/>
      <c r="CB2926" s="152"/>
    </row>
    <row r="2927" spans="1:80" s="87" customFormat="1" ht="15" x14ac:dyDescent="0.25">
      <c r="A2927" s="152"/>
      <c r="B2927" s="683"/>
      <c r="C2927" s="683"/>
      <c r="D2927" s="698"/>
      <c r="E2927" s="215"/>
      <c r="F2927" s="215"/>
      <c r="G2927" s="153"/>
      <c r="H2927" s="153"/>
      <c r="I2927" s="316">
        <v>20</v>
      </c>
      <c r="J2927" s="306">
        <v>60</v>
      </c>
      <c r="K2927" s="150">
        <v>1</v>
      </c>
      <c r="L2927" s="656">
        <v>20</v>
      </c>
      <c r="M2927" s="663">
        <v>34507</v>
      </c>
      <c r="N2927" s="600">
        <v>2.14893</v>
      </c>
      <c r="O2927" s="604">
        <v>1.0709999999999999E-3</v>
      </c>
      <c r="P2927" s="150"/>
      <c r="Q2927" s="250"/>
      <c r="R2927" s="250"/>
      <c r="S2927" s="250"/>
      <c r="T2927" s="250"/>
      <c r="U2927" s="250">
        <v>0.02</v>
      </c>
      <c r="V2927" s="250">
        <v>0.107456</v>
      </c>
      <c r="W2927" s="250">
        <v>0.41984899999999997</v>
      </c>
      <c r="X2927" s="250">
        <v>0.41967300000000002</v>
      </c>
      <c r="Y2927" s="250">
        <v>3.2735E-2</v>
      </c>
      <c r="Z2927" s="150"/>
      <c r="AA2927" s="223">
        <v>0.54</v>
      </c>
      <c r="AB2927" s="152"/>
      <c r="AC2927" s="152"/>
      <c r="AD2927" s="223">
        <v>9.4789689999999993</v>
      </c>
      <c r="AE2927" s="223">
        <v>0.3505085</v>
      </c>
      <c r="AF2927" s="223">
        <v>3.3163157999999999</v>
      </c>
      <c r="AG2927" s="223">
        <v>0.64615480000000003</v>
      </c>
      <c r="AH2927" s="341"/>
      <c r="AI2927" s="218"/>
      <c r="AJ2927" s="218"/>
      <c r="AK2927" s="153"/>
      <c r="AL2927" s="152"/>
      <c r="AM2927" s="152"/>
      <c r="AN2927" s="152"/>
      <c r="AO2927" s="152"/>
      <c r="AP2927" s="152"/>
      <c r="AQ2927" s="152"/>
      <c r="AR2927" s="152"/>
      <c r="AS2927" s="152"/>
      <c r="AT2927" s="152"/>
      <c r="AU2927" s="153"/>
      <c r="AV2927" s="479"/>
      <c r="AW2927" s="479"/>
      <c r="AX2927" s="442"/>
      <c r="AY2927" s="153"/>
      <c r="AZ2927" s="152"/>
      <c r="BA2927" s="152"/>
      <c r="BB2927" s="152"/>
      <c r="BC2927" s="152"/>
      <c r="BD2927" s="152"/>
      <c r="BE2927" s="152"/>
      <c r="BF2927" s="152"/>
      <c r="BG2927" s="152"/>
      <c r="BH2927" s="152"/>
      <c r="BI2927" s="153"/>
      <c r="BJ2927" s="153"/>
      <c r="BK2927" s="153"/>
      <c r="BL2927" s="153"/>
      <c r="BM2927" s="153"/>
      <c r="BN2927" s="153"/>
      <c r="BO2927" s="153"/>
      <c r="BP2927" s="153"/>
      <c r="BQ2927" s="153"/>
      <c r="BR2927" s="153"/>
      <c r="BS2927" s="153"/>
      <c r="BT2927" s="153"/>
      <c r="BU2927" s="153"/>
      <c r="BV2927" s="153"/>
      <c r="BW2927" s="153"/>
      <c r="BX2927" s="153"/>
      <c r="BY2927" s="153"/>
      <c r="BZ2927" s="153"/>
      <c r="CA2927" s="152"/>
      <c r="CB2927" s="152"/>
    </row>
    <row r="2928" spans="1:80" s="87" customFormat="1" ht="15" x14ac:dyDescent="0.25">
      <c r="A2928" s="152"/>
      <c r="B2928" s="683"/>
      <c r="C2928" s="683"/>
      <c r="D2928" s="698"/>
      <c r="E2928" s="215"/>
      <c r="F2928" s="215"/>
      <c r="G2928" s="153"/>
      <c r="H2928" s="153"/>
      <c r="I2928" s="316">
        <v>20</v>
      </c>
      <c r="J2928" s="306">
        <v>60</v>
      </c>
      <c r="K2928" s="150">
        <v>1</v>
      </c>
      <c r="L2928" s="656">
        <v>20</v>
      </c>
      <c r="M2928" s="663">
        <v>34512</v>
      </c>
      <c r="N2928" s="600">
        <v>1.7780400000000001</v>
      </c>
      <c r="O2928" s="604">
        <v>7.7099999999999998E-4</v>
      </c>
      <c r="P2928" s="150"/>
      <c r="Q2928" s="250"/>
      <c r="R2928" s="250"/>
      <c r="S2928" s="250"/>
      <c r="T2928" s="250"/>
      <c r="U2928" s="250">
        <v>0.113</v>
      </c>
      <c r="V2928" s="250">
        <v>0.143509</v>
      </c>
      <c r="W2928" s="250">
        <v>0.32400600000000002</v>
      </c>
      <c r="X2928" s="250">
        <v>0.39609099999999997</v>
      </c>
      <c r="Y2928" s="250">
        <v>2.2926999999999999E-2</v>
      </c>
      <c r="Z2928" s="150"/>
      <c r="AA2928" s="223">
        <v>0.59</v>
      </c>
      <c r="AB2928" s="152"/>
      <c r="AC2928" s="152"/>
      <c r="AD2928" s="223">
        <v>9.3875320000000002</v>
      </c>
      <c r="AE2928" s="223">
        <v>0.35355639999999999</v>
      </c>
      <c r="AF2928" s="223">
        <v>3.3163157999999999</v>
      </c>
      <c r="AG2928" s="223">
        <v>0.56081360000000002</v>
      </c>
      <c r="AH2928" s="341"/>
      <c r="AI2928" s="218"/>
      <c r="AJ2928" s="218"/>
      <c r="AK2928" s="153"/>
      <c r="AL2928" s="152"/>
      <c r="AM2928" s="152"/>
      <c r="AN2928" s="152"/>
      <c r="AO2928" s="152"/>
      <c r="AP2928" s="152"/>
      <c r="AQ2928" s="152"/>
      <c r="AR2928" s="152"/>
      <c r="AS2928" s="152"/>
      <c r="AT2928" s="152"/>
      <c r="AU2928" s="153"/>
      <c r="AV2928" s="479"/>
      <c r="AW2928" s="479"/>
      <c r="AX2928" s="442"/>
      <c r="AY2928" s="153"/>
      <c r="AZ2928" s="152"/>
      <c r="BA2928" s="152"/>
      <c r="BB2928" s="152"/>
      <c r="BC2928" s="152"/>
      <c r="BD2928" s="152"/>
      <c r="BE2928" s="152"/>
      <c r="BF2928" s="152"/>
      <c r="BG2928" s="152"/>
      <c r="BH2928" s="152"/>
      <c r="BI2928" s="153"/>
      <c r="BJ2928" s="153"/>
      <c r="BK2928" s="153"/>
      <c r="BL2928" s="153"/>
      <c r="BM2928" s="153"/>
      <c r="BN2928" s="153"/>
      <c r="BO2928" s="153"/>
      <c r="BP2928" s="153"/>
      <c r="BQ2928" s="153"/>
      <c r="BR2928" s="153"/>
      <c r="BS2928" s="153"/>
      <c r="BT2928" s="153"/>
      <c r="BU2928" s="153"/>
      <c r="BV2928" s="153"/>
      <c r="BW2928" s="153"/>
      <c r="BX2928" s="153"/>
      <c r="BY2928" s="153"/>
      <c r="BZ2928" s="153"/>
      <c r="CA2928" s="152"/>
      <c r="CB2928" s="152"/>
    </row>
    <row r="2929" spans="1:80" s="87" customFormat="1" ht="15" x14ac:dyDescent="0.25">
      <c r="A2929" s="152"/>
      <c r="B2929" s="683"/>
      <c r="C2929" s="683"/>
      <c r="D2929" s="698"/>
      <c r="E2929" s="215"/>
      <c r="F2929" s="215"/>
      <c r="G2929" s="153"/>
      <c r="H2929" s="153"/>
      <c r="I2929" s="316">
        <v>20</v>
      </c>
      <c r="J2929" s="306">
        <v>60</v>
      </c>
      <c r="K2929" s="150">
        <v>1</v>
      </c>
      <c r="L2929" s="656">
        <v>20</v>
      </c>
      <c r="M2929" s="663">
        <v>34512</v>
      </c>
      <c r="N2929" s="600">
        <v>1.7780400000000001</v>
      </c>
      <c r="O2929" s="604">
        <v>3.0200000000000002E-4</v>
      </c>
      <c r="P2929" s="150"/>
      <c r="Q2929" s="250"/>
      <c r="R2929" s="250"/>
      <c r="S2929" s="250"/>
      <c r="T2929" s="250"/>
      <c r="U2929" s="250">
        <v>0.05</v>
      </c>
      <c r="V2929" s="250">
        <v>0.18698000000000001</v>
      </c>
      <c r="W2929" s="250">
        <v>0.32797400000000004</v>
      </c>
      <c r="X2929" s="250">
        <v>0.38472200000000001</v>
      </c>
      <c r="Y2929" s="250">
        <v>5.0738999999999999E-2</v>
      </c>
      <c r="Z2929" s="150"/>
      <c r="AA2929" s="223">
        <v>0.56999999999999995</v>
      </c>
      <c r="AB2929" s="152"/>
      <c r="AC2929" s="152"/>
      <c r="AD2929" s="223">
        <v>9.3875320000000002</v>
      </c>
      <c r="AE2929" s="223">
        <v>0.35355639999999999</v>
      </c>
      <c r="AF2929" s="223">
        <v>3.3163157999999999</v>
      </c>
      <c r="AG2929" s="223">
        <v>0.56081360000000002</v>
      </c>
      <c r="AH2929" s="341"/>
      <c r="AI2929" s="218"/>
      <c r="AJ2929" s="218"/>
      <c r="AK2929" s="153"/>
      <c r="AL2929" s="152"/>
      <c r="AM2929" s="152"/>
      <c r="AN2929" s="152"/>
      <c r="AO2929" s="152"/>
      <c r="AP2929" s="152"/>
      <c r="AQ2929" s="152"/>
      <c r="AR2929" s="152"/>
      <c r="AS2929" s="152"/>
      <c r="AT2929" s="152"/>
      <c r="AU2929" s="153"/>
      <c r="AV2929" s="479"/>
      <c r="AW2929" s="479"/>
      <c r="AX2929" s="442"/>
      <c r="AY2929" s="153"/>
      <c r="AZ2929" s="152"/>
      <c r="BA2929" s="152"/>
      <c r="BB2929" s="152"/>
      <c r="BC2929" s="152"/>
      <c r="BD2929" s="152"/>
      <c r="BE2929" s="152"/>
      <c r="BF2929" s="152"/>
      <c r="BG2929" s="152"/>
      <c r="BH2929" s="152"/>
      <c r="BI2929" s="153"/>
      <c r="BJ2929" s="153"/>
      <c r="BK2929" s="153"/>
      <c r="BL2929" s="153"/>
      <c r="BM2929" s="153"/>
      <c r="BN2929" s="153"/>
      <c r="BO2929" s="153"/>
      <c r="BP2929" s="153"/>
      <c r="BQ2929" s="153"/>
      <c r="BR2929" s="153"/>
      <c r="BS2929" s="153"/>
      <c r="BT2929" s="153"/>
      <c r="BU2929" s="153"/>
      <c r="BV2929" s="153"/>
      <c r="BW2929" s="153"/>
      <c r="BX2929" s="153"/>
      <c r="BY2929" s="153"/>
      <c r="BZ2929" s="153"/>
      <c r="CA2929" s="152"/>
      <c r="CB2929" s="152"/>
    </row>
    <row r="2930" spans="1:80" s="87" customFormat="1" ht="15" x14ac:dyDescent="0.25">
      <c r="A2930" s="152"/>
      <c r="B2930" s="683"/>
      <c r="C2930" s="683"/>
      <c r="D2930" s="698"/>
      <c r="E2930" s="215"/>
      <c r="F2930" s="215"/>
      <c r="G2930" s="153"/>
      <c r="H2930" s="153"/>
      <c r="I2930" s="316">
        <v>28</v>
      </c>
      <c r="J2930" s="306">
        <v>60</v>
      </c>
      <c r="K2930" s="150">
        <v>1</v>
      </c>
      <c r="L2930" s="656">
        <v>28</v>
      </c>
      <c r="M2930" s="663">
        <v>34528</v>
      </c>
      <c r="N2930" s="600">
        <v>0.91732999999999998</v>
      </c>
      <c r="O2930" s="604">
        <v>1.84E-4</v>
      </c>
      <c r="P2930" s="150"/>
      <c r="Q2930" s="250"/>
      <c r="R2930" s="250"/>
      <c r="S2930" s="250"/>
      <c r="T2930" s="250"/>
      <c r="U2930" s="250">
        <v>9.6000000000000002E-2</v>
      </c>
      <c r="V2930" s="250">
        <v>0.16902200000000001</v>
      </c>
      <c r="W2930" s="250">
        <v>0.434782</v>
      </c>
      <c r="X2930" s="250">
        <v>0.26507200000000003</v>
      </c>
      <c r="Y2930" s="250">
        <v>3.5616000000000002E-2</v>
      </c>
      <c r="Z2930" s="150"/>
      <c r="AA2930" s="223">
        <v>0.69</v>
      </c>
      <c r="AB2930" s="152"/>
      <c r="AC2930" s="152"/>
      <c r="AD2930" s="223">
        <v>8.9608260000000008</v>
      </c>
      <c r="AE2930" s="223">
        <v>0.30174210000000001</v>
      </c>
      <c r="AF2930" s="223">
        <v>2.69949964</v>
      </c>
      <c r="AG2930" s="223">
        <v>0.35965219999999998</v>
      </c>
      <c r="AH2930" s="341"/>
      <c r="AI2930" s="218"/>
      <c r="AJ2930" s="218"/>
      <c r="AK2930" s="153"/>
      <c r="AL2930" s="152"/>
      <c r="AM2930" s="152"/>
      <c r="AN2930" s="152"/>
      <c r="AO2930" s="152"/>
      <c r="AP2930" s="152"/>
      <c r="AQ2930" s="152"/>
      <c r="AR2930" s="152"/>
      <c r="AS2930" s="152"/>
      <c r="AT2930" s="152"/>
      <c r="AU2930" s="153"/>
      <c r="AV2930" s="479"/>
      <c r="AW2930" s="479"/>
      <c r="AX2930" s="442"/>
      <c r="AY2930" s="153"/>
      <c r="AZ2930" s="152"/>
      <c r="BA2930" s="152"/>
      <c r="BB2930" s="152"/>
      <c r="BC2930" s="152"/>
      <c r="BD2930" s="152"/>
      <c r="BE2930" s="152"/>
      <c r="BF2930" s="152"/>
      <c r="BG2930" s="152"/>
      <c r="BH2930" s="152"/>
      <c r="BI2930" s="153"/>
      <c r="BJ2930" s="153"/>
      <c r="BK2930" s="153"/>
      <c r="BL2930" s="153"/>
      <c r="BM2930" s="153"/>
      <c r="BN2930" s="153"/>
      <c r="BO2930" s="153"/>
      <c r="BP2930" s="153"/>
      <c r="BQ2930" s="153"/>
      <c r="BR2930" s="153"/>
      <c r="BS2930" s="153"/>
      <c r="BT2930" s="153"/>
      <c r="BU2930" s="153"/>
      <c r="BV2930" s="153"/>
      <c r="BW2930" s="153"/>
      <c r="BX2930" s="153"/>
      <c r="BY2930" s="153"/>
      <c r="BZ2930" s="153"/>
      <c r="CA2930" s="152"/>
      <c r="CB2930" s="152"/>
    </row>
    <row r="2931" spans="1:80" s="87" customFormat="1" ht="15" x14ac:dyDescent="0.25">
      <c r="A2931" s="152"/>
      <c r="B2931" s="683"/>
      <c r="C2931" s="683"/>
      <c r="D2931" s="698"/>
      <c r="E2931" s="215"/>
      <c r="F2931" s="215"/>
      <c r="G2931" s="153"/>
      <c r="H2931" s="153"/>
      <c r="I2931" s="316">
        <v>28</v>
      </c>
      <c r="J2931" s="306">
        <v>60</v>
      </c>
      <c r="K2931" s="150">
        <v>1</v>
      </c>
      <c r="L2931" s="656">
        <v>28</v>
      </c>
      <c r="M2931" s="663">
        <v>34528</v>
      </c>
      <c r="N2931" s="600">
        <v>0.91732999999999998</v>
      </c>
      <c r="O2931" s="604">
        <v>3.4400000000000001E-4</v>
      </c>
      <c r="P2931" s="150"/>
      <c r="Q2931" s="250"/>
      <c r="R2931" s="250"/>
      <c r="S2931" s="250"/>
      <c r="T2931" s="250"/>
      <c r="U2931" s="250">
        <v>4.0999999999999995E-2</v>
      </c>
      <c r="V2931" s="250">
        <v>0.10528999999999999</v>
      </c>
      <c r="W2931" s="250">
        <v>0.45557000000000003</v>
      </c>
      <c r="X2931" s="250">
        <v>0.36913400000000002</v>
      </c>
      <c r="Y2931" s="250">
        <v>2.887E-2</v>
      </c>
      <c r="Z2931" s="150"/>
      <c r="AA2931" s="223">
        <v>0.57999999999999996</v>
      </c>
      <c r="AB2931" s="152"/>
      <c r="AC2931" s="152"/>
      <c r="AD2931" s="223">
        <v>8.9608260000000008</v>
      </c>
      <c r="AE2931" s="223">
        <v>0.30174210000000001</v>
      </c>
      <c r="AF2931" s="223">
        <v>2.69949964</v>
      </c>
      <c r="AG2931" s="223">
        <v>0.35965219999999998</v>
      </c>
      <c r="AH2931" s="341"/>
      <c r="AI2931" s="218"/>
      <c r="AJ2931" s="218"/>
      <c r="AK2931" s="153"/>
      <c r="AL2931" s="152"/>
      <c r="AM2931" s="152"/>
      <c r="AN2931" s="152"/>
      <c r="AO2931" s="152"/>
      <c r="AP2931" s="152"/>
      <c r="AQ2931" s="152"/>
      <c r="AR2931" s="152"/>
      <c r="AS2931" s="152"/>
      <c r="AT2931" s="152"/>
      <c r="AU2931" s="153"/>
      <c r="AV2931" s="479"/>
      <c r="AW2931" s="479"/>
      <c r="AX2931" s="442"/>
      <c r="AY2931" s="153"/>
      <c r="AZ2931" s="152"/>
      <c r="BA2931" s="152"/>
      <c r="BB2931" s="152"/>
      <c r="BC2931" s="152"/>
      <c r="BD2931" s="152"/>
      <c r="BE2931" s="152"/>
      <c r="BF2931" s="152"/>
      <c r="BG2931" s="152"/>
      <c r="BH2931" s="152"/>
      <c r="BI2931" s="153"/>
      <c r="BJ2931" s="153"/>
      <c r="BK2931" s="153"/>
      <c r="BL2931" s="153"/>
      <c r="BM2931" s="153"/>
      <c r="BN2931" s="153"/>
      <c r="BO2931" s="153"/>
      <c r="BP2931" s="153"/>
      <c r="BQ2931" s="153"/>
      <c r="BR2931" s="153"/>
      <c r="BS2931" s="153"/>
      <c r="BT2931" s="153"/>
      <c r="BU2931" s="153"/>
      <c r="BV2931" s="153"/>
      <c r="BW2931" s="153"/>
      <c r="BX2931" s="153"/>
      <c r="BY2931" s="153"/>
      <c r="BZ2931" s="153"/>
      <c r="CA2931" s="152"/>
      <c r="CB2931" s="152"/>
    </row>
    <row r="2932" spans="1:80" s="87" customFormat="1" ht="15" x14ac:dyDescent="0.25">
      <c r="A2932" s="152"/>
      <c r="B2932" s="683"/>
      <c r="C2932" s="683"/>
      <c r="D2932" s="698"/>
      <c r="E2932" s="215"/>
      <c r="F2932" s="215"/>
      <c r="G2932" s="153"/>
      <c r="H2932" s="153"/>
      <c r="I2932" s="316">
        <v>28</v>
      </c>
      <c r="J2932" s="306">
        <v>60</v>
      </c>
      <c r="K2932" s="150">
        <v>1</v>
      </c>
      <c r="L2932" s="656">
        <v>28</v>
      </c>
      <c r="M2932" s="663">
        <v>34543</v>
      </c>
      <c r="N2932" s="600">
        <v>0.48698000000000002</v>
      </c>
      <c r="O2932" s="604">
        <v>9.4499999999999993E-6</v>
      </c>
      <c r="P2932" s="150"/>
      <c r="Q2932" s="250"/>
      <c r="R2932" s="250"/>
      <c r="S2932" s="250"/>
      <c r="T2932" s="250"/>
      <c r="U2932" s="250"/>
      <c r="V2932" s="250">
        <v>0.122421</v>
      </c>
      <c r="W2932" s="250">
        <v>0.55295699999999992</v>
      </c>
      <c r="X2932" s="250">
        <v>0.18019300000000002</v>
      </c>
      <c r="Y2932" s="250">
        <v>0.144429</v>
      </c>
      <c r="Z2932" s="150"/>
      <c r="AA2932" s="223">
        <v>0.62</v>
      </c>
      <c r="AB2932" s="152"/>
      <c r="AC2932" s="152"/>
      <c r="AD2932" s="223">
        <v>8.686515</v>
      </c>
      <c r="AE2932" s="223">
        <v>0.2407841</v>
      </c>
      <c r="AF2932" s="223">
        <v>2.0798966600000002</v>
      </c>
      <c r="AG2932" s="223">
        <v>0.2285925</v>
      </c>
      <c r="AH2932" s="341"/>
      <c r="AI2932" s="218"/>
      <c r="AJ2932" s="218"/>
      <c r="AK2932" s="153"/>
      <c r="AL2932" s="152"/>
      <c r="AM2932" s="152"/>
      <c r="AN2932" s="152"/>
      <c r="AO2932" s="152"/>
      <c r="AP2932" s="152"/>
      <c r="AQ2932" s="152"/>
      <c r="AR2932" s="152"/>
      <c r="AS2932" s="152"/>
      <c r="AT2932" s="152"/>
      <c r="AU2932" s="153"/>
      <c r="AV2932" s="479"/>
      <c r="AW2932" s="479"/>
      <c r="AX2932" s="442"/>
      <c r="AY2932" s="153"/>
      <c r="AZ2932" s="152"/>
      <c r="BA2932" s="152"/>
      <c r="BB2932" s="152"/>
      <c r="BC2932" s="152"/>
      <c r="BD2932" s="152"/>
      <c r="BE2932" s="152"/>
      <c r="BF2932" s="152"/>
      <c r="BG2932" s="152"/>
      <c r="BH2932" s="152"/>
      <c r="BI2932" s="153"/>
      <c r="BJ2932" s="153"/>
      <c r="BK2932" s="153"/>
      <c r="BL2932" s="153"/>
      <c r="BM2932" s="153"/>
      <c r="BN2932" s="153"/>
      <c r="BO2932" s="153"/>
      <c r="BP2932" s="153"/>
      <c r="BQ2932" s="153"/>
      <c r="BR2932" s="153"/>
      <c r="BS2932" s="153"/>
      <c r="BT2932" s="153"/>
      <c r="BU2932" s="153"/>
      <c r="BV2932" s="153"/>
      <c r="BW2932" s="153"/>
      <c r="BX2932" s="153"/>
      <c r="BY2932" s="153"/>
      <c r="BZ2932" s="153"/>
      <c r="CA2932" s="152"/>
      <c r="CB2932" s="152"/>
    </row>
    <row r="2933" spans="1:80" s="87" customFormat="1" ht="15" x14ac:dyDescent="0.25">
      <c r="A2933" s="152"/>
      <c r="B2933" s="683"/>
      <c r="C2933" s="683"/>
      <c r="D2933" s="698"/>
      <c r="E2933" s="215"/>
      <c r="F2933" s="215"/>
      <c r="G2933" s="153"/>
      <c r="H2933" s="153"/>
      <c r="I2933" s="316">
        <v>20</v>
      </c>
      <c r="J2933" s="306">
        <v>60</v>
      </c>
      <c r="K2933" s="150">
        <v>1</v>
      </c>
      <c r="L2933" s="656">
        <v>20</v>
      </c>
      <c r="M2933" s="663">
        <v>34576</v>
      </c>
      <c r="N2933" s="600">
        <v>0.29444999999999999</v>
      </c>
      <c r="O2933" s="604">
        <v>1.15E-5</v>
      </c>
      <c r="P2933" s="150"/>
      <c r="Q2933" s="250"/>
      <c r="R2933" s="250"/>
      <c r="S2933" s="250"/>
      <c r="T2933" s="250"/>
      <c r="U2933" s="250"/>
      <c r="V2933" s="250">
        <v>0.36076399999999997</v>
      </c>
      <c r="W2933" s="250">
        <v>0.374724</v>
      </c>
      <c r="X2933" s="250">
        <v>0.171932</v>
      </c>
      <c r="Y2933" s="250">
        <v>9.2578999999999995E-2</v>
      </c>
      <c r="Z2933" s="150"/>
      <c r="AA2933" s="223">
        <v>0.77</v>
      </c>
      <c r="AB2933" s="152"/>
      <c r="AC2933" s="152"/>
      <c r="AD2933" s="223">
        <v>8.4731620000000003</v>
      </c>
      <c r="AE2933" s="223">
        <v>0.18896979999999999</v>
      </c>
      <c r="AF2933" s="223">
        <v>1.6070662</v>
      </c>
      <c r="AG2933" s="223">
        <v>0.1859219</v>
      </c>
      <c r="AH2933" s="341"/>
      <c r="AI2933" s="218"/>
      <c r="AJ2933" s="218"/>
      <c r="AK2933" s="153"/>
      <c r="AL2933" s="152"/>
      <c r="AM2933" s="152"/>
      <c r="AN2933" s="152"/>
      <c r="AO2933" s="152"/>
      <c r="AP2933" s="152"/>
      <c r="AQ2933" s="152"/>
      <c r="AR2933" s="152"/>
      <c r="AS2933" s="152"/>
      <c r="AT2933" s="152"/>
      <c r="AU2933" s="153"/>
      <c r="AV2933" s="479"/>
      <c r="AW2933" s="479"/>
      <c r="AX2933" s="442"/>
      <c r="AY2933" s="153"/>
      <c r="AZ2933" s="152"/>
      <c r="BA2933" s="152"/>
      <c r="BB2933" s="152"/>
      <c r="BC2933" s="152"/>
      <c r="BD2933" s="152"/>
      <c r="BE2933" s="152"/>
      <c r="BF2933" s="152"/>
      <c r="BG2933" s="152"/>
      <c r="BH2933" s="152"/>
      <c r="BI2933" s="153"/>
      <c r="BJ2933" s="153"/>
      <c r="BK2933" s="153"/>
      <c r="BL2933" s="153"/>
      <c r="BM2933" s="153"/>
      <c r="BN2933" s="153"/>
      <c r="BO2933" s="153"/>
      <c r="BP2933" s="153"/>
      <c r="BQ2933" s="153"/>
      <c r="BR2933" s="153"/>
      <c r="BS2933" s="153"/>
      <c r="BT2933" s="153"/>
      <c r="BU2933" s="153"/>
      <c r="BV2933" s="153"/>
      <c r="BW2933" s="153"/>
      <c r="BX2933" s="153"/>
      <c r="BY2933" s="153"/>
      <c r="BZ2933" s="153"/>
      <c r="CA2933" s="152"/>
      <c r="CB2933" s="152"/>
    </row>
    <row r="2934" spans="1:80" s="87" customFormat="1" ht="15" x14ac:dyDescent="0.25">
      <c r="A2934" s="152"/>
      <c r="B2934" s="683"/>
      <c r="C2934" s="683"/>
      <c r="D2934" s="698"/>
      <c r="E2934" s="215"/>
      <c r="F2934" s="215"/>
      <c r="G2934" s="153"/>
      <c r="H2934" s="153"/>
      <c r="I2934" s="316">
        <v>20</v>
      </c>
      <c r="J2934" s="306">
        <v>60</v>
      </c>
      <c r="K2934" s="150">
        <v>1</v>
      </c>
      <c r="L2934" s="656">
        <v>20</v>
      </c>
      <c r="M2934" s="663">
        <v>34576</v>
      </c>
      <c r="N2934" s="600">
        <v>0.29444999999999999</v>
      </c>
      <c r="O2934" s="604">
        <v>1.0499999999999999E-5</v>
      </c>
      <c r="P2934" s="150"/>
      <c r="Q2934" s="250"/>
      <c r="R2934" s="250"/>
      <c r="S2934" s="250"/>
      <c r="T2934" s="250"/>
      <c r="U2934" s="250"/>
      <c r="V2934" s="250">
        <v>0.36086599999999996</v>
      </c>
      <c r="W2934" s="250">
        <v>0.41780299999999998</v>
      </c>
      <c r="X2934" s="250">
        <v>0.12349600000000001</v>
      </c>
      <c r="Y2934" s="250">
        <v>9.7835000000000005E-2</v>
      </c>
      <c r="Z2934" s="150"/>
      <c r="AA2934" s="223">
        <v>0.79</v>
      </c>
      <c r="AB2934" s="152"/>
      <c r="AC2934" s="152"/>
      <c r="AD2934" s="223">
        <v>8.4731620000000003</v>
      </c>
      <c r="AE2934" s="223">
        <v>0.18896979999999999</v>
      </c>
      <c r="AF2934" s="223">
        <v>1.6070662</v>
      </c>
      <c r="AG2934" s="223">
        <v>0.1859219</v>
      </c>
      <c r="AH2934" s="341"/>
      <c r="AI2934" s="218"/>
      <c r="AJ2934" s="218"/>
      <c r="AK2934" s="153"/>
      <c r="AL2934" s="152"/>
      <c r="AM2934" s="152"/>
      <c r="AN2934" s="152"/>
      <c r="AO2934" s="152"/>
      <c r="AP2934" s="152"/>
      <c r="AQ2934" s="152"/>
      <c r="AR2934" s="152"/>
      <c r="AS2934" s="152"/>
      <c r="AT2934" s="152"/>
      <c r="AU2934" s="153"/>
      <c r="AV2934" s="479"/>
      <c r="AW2934" s="479"/>
      <c r="AX2934" s="442"/>
      <c r="AY2934" s="153"/>
      <c r="AZ2934" s="152"/>
      <c r="BA2934" s="152"/>
      <c r="BB2934" s="152"/>
      <c r="BC2934" s="152"/>
      <c r="BD2934" s="152"/>
      <c r="BE2934" s="152"/>
      <c r="BF2934" s="152"/>
      <c r="BG2934" s="152"/>
      <c r="BH2934" s="152"/>
      <c r="BI2934" s="153"/>
      <c r="BJ2934" s="153"/>
      <c r="BK2934" s="153"/>
      <c r="BL2934" s="153"/>
      <c r="BM2934" s="153"/>
      <c r="BN2934" s="153"/>
      <c r="BO2934" s="153"/>
      <c r="BP2934" s="153"/>
      <c r="BQ2934" s="153"/>
      <c r="BR2934" s="153"/>
      <c r="BS2934" s="153"/>
      <c r="BT2934" s="153"/>
      <c r="BU2934" s="153"/>
      <c r="BV2934" s="153"/>
      <c r="BW2934" s="153"/>
      <c r="BX2934" s="153"/>
      <c r="BY2934" s="153"/>
      <c r="BZ2934" s="153"/>
      <c r="CA2934" s="152"/>
      <c r="CB2934" s="152"/>
    </row>
    <row r="2935" spans="1:80" s="87" customFormat="1" ht="15" x14ac:dyDescent="0.25">
      <c r="A2935" s="152"/>
      <c r="B2935" s="683"/>
      <c r="C2935" s="683"/>
      <c r="D2935" s="698"/>
      <c r="E2935" s="215"/>
      <c r="F2935" s="215"/>
      <c r="G2935" s="153"/>
      <c r="H2935" s="153"/>
      <c r="I2935" s="316">
        <v>26</v>
      </c>
      <c r="J2935" s="306">
        <v>60</v>
      </c>
      <c r="K2935" s="150">
        <v>1</v>
      </c>
      <c r="L2935" s="656">
        <v>26</v>
      </c>
      <c r="M2935" s="663">
        <v>34597</v>
      </c>
      <c r="N2935" s="600">
        <v>0.27972999999999998</v>
      </c>
      <c r="O2935" s="604">
        <v>8.3999999999999992E-6</v>
      </c>
      <c r="P2935" s="150"/>
      <c r="Q2935" s="250"/>
      <c r="R2935" s="250"/>
      <c r="S2935" s="250"/>
      <c r="T2935" s="250"/>
      <c r="U2935" s="250">
        <v>0.13500000000000001</v>
      </c>
      <c r="V2935" s="250">
        <v>0.26913799999999999</v>
      </c>
      <c r="W2935" s="250">
        <v>0.415794</v>
      </c>
      <c r="X2935" s="250">
        <v>0.100725</v>
      </c>
      <c r="Y2935" s="250">
        <v>7.8968999999999998E-2</v>
      </c>
      <c r="Z2935" s="150"/>
      <c r="AA2935" s="223">
        <v>0.85</v>
      </c>
      <c r="AB2935" s="152"/>
      <c r="AC2935" s="152"/>
      <c r="AD2935" s="223">
        <v>8.3817249999999994</v>
      </c>
      <c r="AE2935" s="223">
        <v>0.18287400000000001</v>
      </c>
      <c r="AF2935" s="223">
        <v>1.5299641799999999</v>
      </c>
      <c r="AG2935" s="223">
        <v>0.17068240000000001</v>
      </c>
      <c r="AH2935" s="341"/>
      <c r="AI2935" s="218"/>
      <c r="AJ2935" s="218"/>
      <c r="AK2935" s="153"/>
      <c r="AL2935" s="152"/>
      <c r="AM2935" s="152"/>
      <c r="AN2935" s="152"/>
      <c r="AO2935" s="152"/>
      <c r="AP2935" s="152"/>
      <c r="AQ2935" s="152"/>
      <c r="AR2935" s="152"/>
      <c r="AS2935" s="152"/>
      <c r="AT2935" s="152"/>
      <c r="AU2935" s="153"/>
      <c r="AV2935" s="479"/>
      <c r="AW2935" s="479"/>
      <c r="AX2935" s="442"/>
      <c r="AY2935" s="153"/>
      <c r="AZ2935" s="152"/>
      <c r="BA2935" s="152"/>
      <c r="BB2935" s="152"/>
      <c r="BC2935" s="152"/>
      <c r="BD2935" s="152"/>
      <c r="BE2935" s="152"/>
      <c r="BF2935" s="152"/>
      <c r="BG2935" s="152"/>
      <c r="BH2935" s="152"/>
      <c r="BI2935" s="153"/>
      <c r="BJ2935" s="153"/>
      <c r="BK2935" s="153"/>
      <c r="BL2935" s="153"/>
      <c r="BM2935" s="153"/>
      <c r="BN2935" s="153"/>
      <c r="BO2935" s="153"/>
      <c r="BP2935" s="153"/>
      <c r="BQ2935" s="153"/>
      <c r="BR2935" s="153"/>
      <c r="BS2935" s="153"/>
      <c r="BT2935" s="153"/>
      <c r="BU2935" s="153"/>
      <c r="BV2935" s="153"/>
      <c r="BW2935" s="153"/>
      <c r="BX2935" s="153"/>
      <c r="BY2935" s="153"/>
      <c r="BZ2935" s="153"/>
      <c r="CA2935" s="152"/>
      <c r="CB2935" s="152"/>
    </row>
    <row r="2936" spans="1:80" s="87" customFormat="1" ht="15" x14ac:dyDescent="0.25">
      <c r="A2936" s="152"/>
      <c r="B2936" s="683"/>
      <c r="C2936" s="683"/>
      <c r="D2936" s="698"/>
      <c r="E2936" s="215"/>
      <c r="F2936" s="215"/>
      <c r="G2936" s="153"/>
      <c r="H2936" s="153"/>
      <c r="I2936" s="316">
        <v>26</v>
      </c>
      <c r="J2936" s="306">
        <v>60</v>
      </c>
      <c r="K2936" s="150">
        <v>1</v>
      </c>
      <c r="L2936" s="656">
        <v>26</v>
      </c>
      <c r="M2936" s="663">
        <v>34597</v>
      </c>
      <c r="N2936" s="600">
        <v>0.27972999999999998</v>
      </c>
      <c r="O2936" s="604">
        <v>4.1999999999999996E-6</v>
      </c>
      <c r="P2936" s="150"/>
      <c r="Q2936" s="250"/>
      <c r="R2936" s="250"/>
      <c r="S2936" s="250"/>
      <c r="T2936" s="250"/>
      <c r="U2936" s="250"/>
      <c r="V2936" s="250">
        <v>8.1896999999999998E-2</v>
      </c>
      <c r="W2936" s="250">
        <v>0.59195399999999987</v>
      </c>
      <c r="X2936" s="250">
        <v>0.20833300000000002</v>
      </c>
      <c r="Y2936" s="250">
        <v>0.11781599999999999</v>
      </c>
      <c r="Z2936" s="150"/>
      <c r="AA2936" s="223">
        <v>0.61</v>
      </c>
      <c r="AB2936" s="152"/>
      <c r="AC2936" s="152"/>
      <c r="AD2936" s="223">
        <v>8.3817249999999994</v>
      </c>
      <c r="AE2936" s="223">
        <v>0.18287400000000001</v>
      </c>
      <c r="AF2936" s="223">
        <v>1.5299641799999999</v>
      </c>
      <c r="AG2936" s="223">
        <v>0.17068240000000001</v>
      </c>
      <c r="AH2936" s="341"/>
      <c r="AI2936" s="218"/>
      <c r="AJ2936" s="218"/>
      <c r="AK2936" s="153"/>
      <c r="AL2936" s="152"/>
      <c r="AM2936" s="152"/>
      <c r="AN2936" s="152"/>
      <c r="AO2936" s="152"/>
      <c r="AP2936" s="152"/>
      <c r="AQ2936" s="152"/>
      <c r="AR2936" s="152"/>
      <c r="AS2936" s="152"/>
      <c r="AT2936" s="152"/>
      <c r="AU2936" s="153"/>
      <c r="AV2936" s="479"/>
      <c r="AW2936" s="479"/>
      <c r="AX2936" s="442"/>
      <c r="AY2936" s="153"/>
      <c r="AZ2936" s="152"/>
      <c r="BA2936" s="152"/>
      <c r="BB2936" s="152"/>
      <c r="BC2936" s="152"/>
      <c r="BD2936" s="152"/>
      <c r="BE2936" s="152"/>
      <c r="BF2936" s="152"/>
      <c r="BG2936" s="152"/>
      <c r="BH2936" s="152"/>
      <c r="BI2936" s="153"/>
      <c r="BJ2936" s="153"/>
      <c r="BK2936" s="153"/>
      <c r="BL2936" s="153"/>
      <c r="BM2936" s="153"/>
      <c r="BN2936" s="153"/>
      <c r="BO2936" s="153"/>
      <c r="BP2936" s="153"/>
      <c r="BQ2936" s="153"/>
      <c r="BR2936" s="153"/>
      <c r="BS2936" s="153"/>
      <c r="BT2936" s="153"/>
      <c r="BU2936" s="153"/>
      <c r="BV2936" s="153"/>
      <c r="BW2936" s="153"/>
      <c r="BX2936" s="153"/>
      <c r="BY2936" s="153"/>
      <c r="BZ2936" s="153"/>
      <c r="CA2936" s="152"/>
      <c r="CB2936" s="152"/>
    </row>
    <row r="2937" spans="1:80" s="87" customFormat="1" ht="15" x14ac:dyDescent="0.25">
      <c r="A2937" s="152"/>
      <c r="B2937" s="683"/>
      <c r="C2937" s="683"/>
      <c r="D2937" s="698"/>
      <c r="E2937" s="215"/>
      <c r="F2937" s="215"/>
      <c r="G2937" s="153"/>
      <c r="H2937" s="153"/>
      <c r="I2937" s="316">
        <v>20</v>
      </c>
      <c r="J2937" s="306">
        <v>60</v>
      </c>
      <c r="K2937" s="150">
        <v>1</v>
      </c>
      <c r="L2937" s="656">
        <v>20</v>
      </c>
      <c r="M2937" s="663">
        <v>34792</v>
      </c>
      <c r="N2937" s="600">
        <v>1.2655799999999999</v>
      </c>
      <c r="O2937" s="604">
        <v>2.5500000000000002E-3</v>
      </c>
      <c r="P2937" s="150"/>
      <c r="Q2937" s="250"/>
      <c r="R2937" s="250"/>
      <c r="S2937" s="250"/>
      <c r="T2937" s="250"/>
      <c r="U2937" s="250">
        <v>4.0000000000000001E-3</v>
      </c>
      <c r="V2937" s="250">
        <v>5.7999999999999996E-2</v>
      </c>
      <c r="W2937" s="250">
        <v>0.49</v>
      </c>
      <c r="X2937" s="250">
        <v>0.41700000000000004</v>
      </c>
      <c r="Y2937" s="250">
        <v>3.1E-2</v>
      </c>
      <c r="Z2937" s="150">
        <v>3</v>
      </c>
      <c r="AA2937" s="223">
        <v>0.54</v>
      </c>
      <c r="AB2937" s="152"/>
      <c r="AC2937" s="152"/>
      <c r="AD2937" s="223">
        <v>8.9913050000000005</v>
      </c>
      <c r="AE2937" s="223">
        <v>0.32612530000000001</v>
      </c>
      <c r="AF2937" s="223">
        <v>2.9354504000000001</v>
      </c>
      <c r="AG2937" s="223">
        <v>0.42061019999999999</v>
      </c>
      <c r="AH2937" s="341"/>
      <c r="AI2937" s="218"/>
      <c r="AJ2937" s="218"/>
      <c r="AK2937" s="153"/>
      <c r="AL2937" s="152"/>
      <c r="AM2937" s="152"/>
      <c r="AN2937" s="152"/>
      <c r="AO2937" s="152"/>
      <c r="AP2937" s="152"/>
      <c r="AQ2937" s="152"/>
      <c r="AR2937" s="152"/>
      <c r="AS2937" s="152"/>
      <c r="AT2937" s="152"/>
      <c r="AU2937" s="153"/>
      <c r="AV2937" s="479"/>
      <c r="AW2937" s="479"/>
      <c r="AX2937" s="442"/>
      <c r="AY2937" s="153"/>
      <c r="AZ2937" s="152"/>
      <c r="BA2937" s="152"/>
      <c r="BB2937" s="152"/>
      <c r="BC2937" s="152"/>
      <c r="BD2937" s="152"/>
      <c r="BE2937" s="152"/>
      <c r="BF2937" s="152"/>
      <c r="BG2937" s="152"/>
      <c r="BH2937" s="152"/>
      <c r="BI2937" s="153"/>
      <c r="BJ2937" s="153"/>
      <c r="BK2937" s="153"/>
      <c r="BL2937" s="153"/>
      <c r="BM2937" s="153"/>
      <c r="BN2937" s="153"/>
      <c r="BO2937" s="153"/>
      <c r="BP2937" s="153"/>
      <c r="BQ2937" s="153"/>
      <c r="BR2937" s="153"/>
      <c r="BS2937" s="153"/>
      <c r="BT2937" s="153"/>
      <c r="BU2937" s="153"/>
      <c r="BV2937" s="153"/>
      <c r="BW2937" s="153"/>
      <c r="BX2937" s="153"/>
      <c r="BY2937" s="153"/>
      <c r="BZ2937" s="153"/>
      <c r="CA2937" s="152"/>
      <c r="CB2937" s="152"/>
    </row>
    <row r="2938" spans="1:80" s="87" customFormat="1" ht="15" x14ac:dyDescent="0.25">
      <c r="A2938" s="152"/>
      <c r="B2938" s="683"/>
      <c r="C2938" s="683"/>
      <c r="D2938" s="698"/>
      <c r="E2938" s="215"/>
      <c r="F2938" s="215"/>
      <c r="G2938" s="153"/>
      <c r="H2938" s="153"/>
      <c r="I2938" s="316">
        <v>20</v>
      </c>
      <c r="J2938" s="306">
        <v>60</v>
      </c>
      <c r="K2938" s="150">
        <v>1</v>
      </c>
      <c r="L2938" s="656">
        <v>20</v>
      </c>
      <c r="M2938" s="663">
        <v>34792</v>
      </c>
      <c r="N2938" s="600">
        <v>1.2655799999999999</v>
      </c>
      <c r="O2938" s="604">
        <v>1.042E-3</v>
      </c>
      <c r="P2938" s="150"/>
      <c r="Q2938" s="250"/>
      <c r="R2938" s="250"/>
      <c r="S2938" s="250"/>
      <c r="T2938" s="250"/>
      <c r="U2938" s="250">
        <v>0.01</v>
      </c>
      <c r="V2938" s="250">
        <v>0.105</v>
      </c>
      <c r="W2938" s="250">
        <v>0.45700000000000002</v>
      </c>
      <c r="X2938" s="250">
        <v>0.4</v>
      </c>
      <c r="Y2938" s="250">
        <v>2.7999999999999997E-2</v>
      </c>
      <c r="Z2938" s="150">
        <v>4</v>
      </c>
      <c r="AA2938" s="223">
        <v>0.56000000000000005</v>
      </c>
      <c r="AB2938" s="152"/>
      <c r="AC2938" s="152"/>
      <c r="AD2938" s="223">
        <v>8.9913050000000005</v>
      </c>
      <c r="AE2938" s="223">
        <v>0.32612530000000001</v>
      </c>
      <c r="AF2938" s="223">
        <v>2.9354504000000001</v>
      </c>
      <c r="AG2938" s="223">
        <v>0.42061019999999999</v>
      </c>
      <c r="AH2938" s="341"/>
      <c r="AI2938" s="218"/>
      <c r="AJ2938" s="218"/>
      <c r="AK2938" s="153"/>
      <c r="AL2938" s="152"/>
      <c r="AM2938" s="152"/>
      <c r="AN2938" s="152"/>
      <c r="AO2938" s="152"/>
      <c r="AP2938" s="152"/>
      <c r="AQ2938" s="152"/>
      <c r="AR2938" s="152"/>
      <c r="AS2938" s="152"/>
      <c r="AT2938" s="152"/>
      <c r="AU2938" s="153"/>
      <c r="AV2938" s="479"/>
      <c r="AW2938" s="479"/>
      <c r="AX2938" s="442"/>
      <c r="AY2938" s="153"/>
      <c r="AZ2938" s="152"/>
      <c r="BA2938" s="152"/>
      <c r="BB2938" s="152"/>
      <c r="BC2938" s="152"/>
      <c r="BD2938" s="152"/>
      <c r="BE2938" s="152"/>
      <c r="BF2938" s="152"/>
      <c r="BG2938" s="152"/>
      <c r="BH2938" s="152"/>
      <c r="BI2938" s="153"/>
      <c r="BJ2938" s="153"/>
      <c r="BK2938" s="153"/>
      <c r="BL2938" s="153"/>
      <c r="BM2938" s="153"/>
      <c r="BN2938" s="153"/>
      <c r="BO2938" s="153"/>
      <c r="BP2938" s="153"/>
      <c r="BQ2938" s="153"/>
      <c r="BR2938" s="153"/>
      <c r="BS2938" s="153"/>
      <c r="BT2938" s="153"/>
      <c r="BU2938" s="153"/>
      <c r="BV2938" s="153"/>
      <c r="BW2938" s="153"/>
      <c r="BX2938" s="153"/>
      <c r="BY2938" s="153"/>
      <c r="BZ2938" s="153"/>
      <c r="CA2938" s="152"/>
      <c r="CB2938" s="152"/>
    </row>
    <row r="2939" spans="1:80" s="87" customFormat="1" ht="15" x14ac:dyDescent="0.25">
      <c r="A2939" s="152"/>
      <c r="B2939" s="683"/>
      <c r="C2939" s="683"/>
      <c r="D2939" s="698"/>
      <c r="E2939" s="215"/>
      <c r="F2939" s="215"/>
      <c r="G2939" s="153"/>
      <c r="H2939" s="153"/>
      <c r="I2939" s="316">
        <v>20</v>
      </c>
      <c r="J2939" s="306">
        <v>60</v>
      </c>
      <c r="K2939" s="150">
        <v>1</v>
      </c>
      <c r="L2939" s="656">
        <v>20</v>
      </c>
      <c r="M2939" s="663">
        <v>34801</v>
      </c>
      <c r="N2939" s="600">
        <v>2.2536900000000002</v>
      </c>
      <c r="O2939" s="604">
        <v>1.5740000000000001E-3</v>
      </c>
      <c r="P2939" s="150"/>
      <c r="Q2939" s="250"/>
      <c r="R2939" s="250"/>
      <c r="S2939" s="250"/>
      <c r="T2939" s="250">
        <v>1.2E-2</v>
      </c>
      <c r="U2939" s="250">
        <v>7.400000000000001E-2</v>
      </c>
      <c r="V2939" s="250">
        <v>0.23899999999999999</v>
      </c>
      <c r="W2939" s="250">
        <v>0.33700000000000002</v>
      </c>
      <c r="X2939" s="250">
        <v>0.31900000000000001</v>
      </c>
      <c r="Y2939" s="250">
        <v>1.9E-2</v>
      </c>
      <c r="Z2939" s="150">
        <v>5</v>
      </c>
      <c r="AA2939" s="223">
        <v>0.7</v>
      </c>
      <c r="AB2939" s="152"/>
      <c r="AC2939" s="152"/>
      <c r="AD2939" s="223">
        <v>9.4789689999999993</v>
      </c>
      <c r="AE2939" s="223">
        <v>0.3931791</v>
      </c>
      <c r="AF2939" s="223">
        <v>3.7250494000000001</v>
      </c>
      <c r="AG2939" s="223">
        <v>0.64310690000000004</v>
      </c>
      <c r="AH2939" s="341"/>
      <c r="AI2939" s="218"/>
      <c r="AJ2939" s="218"/>
      <c r="AK2939" s="153"/>
      <c r="AL2939" s="152"/>
      <c r="AM2939" s="152"/>
      <c r="AN2939" s="152"/>
      <c r="AO2939" s="152"/>
      <c r="AP2939" s="152"/>
      <c r="AQ2939" s="152"/>
      <c r="AR2939" s="152"/>
      <c r="AS2939" s="152"/>
      <c r="AT2939" s="152"/>
      <c r="AU2939" s="153"/>
      <c r="AV2939" s="479"/>
      <c r="AW2939" s="479"/>
      <c r="AX2939" s="442"/>
      <c r="AY2939" s="153"/>
      <c r="AZ2939" s="152"/>
      <c r="BA2939" s="152"/>
      <c r="BB2939" s="152"/>
      <c r="BC2939" s="152"/>
      <c r="BD2939" s="152"/>
      <c r="BE2939" s="152"/>
      <c r="BF2939" s="152"/>
      <c r="BG2939" s="152"/>
      <c r="BH2939" s="152"/>
      <c r="BI2939" s="153"/>
      <c r="BJ2939" s="153"/>
      <c r="BK2939" s="153"/>
      <c r="BL2939" s="153"/>
      <c r="BM2939" s="153"/>
      <c r="BN2939" s="153"/>
      <c r="BO2939" s="153"/>
      <c r="BP2939" s="153"/>
      <c r="BQ2939" s="153"/>
      <c r="BR2939" s="153"/>
      <c r="BS2939" s="153"/>
      <c r="BT2939" s="153"/>
      <c r="BU2939" s="153"/>
      <c r="BV2939" s="153"/>
      <c r="BW2939" s="153"/>
      <c r="BX2939" s="153"/>
      <c r="BY2939" s="153"/>
      <c r="BZ2939" s="153"/>
      <c r="CA2939" s="152"/>
      <c r="CB2939" s="152"/>
    </row>
    <row r="2940" spans="1:80" s="87" customFormat="1" ht="15" x14ac:dyDescent="0.25">
      <c r="A2940" s="152"/>
      <c r="B2940" s="683"/>
      <c r="C2940" s="683"/>
      <c r="D2940" s="698"/>
      <c r="E2940" s="215"/>
      <c r="F2940" s="215"/>
      <c r="G2940" s="153"/>
      <c r="H2940" s="153"/>
      <c r="I2940" s="316">
        <v>20</v>
      </c>
      <c r="J2940" s="306">
        <v>60</v>
      </c>
      <c r="K2940" s="150">
        <v>1</v>
      </c>
      <c r="L2940" s="656">
        <v>20</v>
      </c>
      <c r="M2940" s="663">
        <v>34801</v>
      </c>
      <c r="N2940" s="600">
        <v>2.2536900000000002</v>
      </c>
      <c r="O2940" s="604">
        <v>3.7889999999999998E-3</v>
      </c>
      <c r="P2940" s="150"/>
      <c r="Q2940" s="250"/>
      <c r="R2940" s="250"/>
      <c r="S2940" s="250"/>
      <c r="T2940" s="250">
        <v>1.3000000000000001E-2</v>
      </c>
      <c r="U2940" s="250">
        <v>0.21899999999999997</v>
      </c>
      <c r="V2940" s="250">
        <v>0.5</v>
      </c>
      <c r="W2940" s="250">
        <v>0.155</v>
      </c>
      <c r="X2940" s="250">
        <v>0.10300000000000001</v>
      </c>
      <c r="Y2940" s="250">
        <v>0.01</v>
      </c>
      <c r="Z2940" s="150">
        <v>6</v>
      </c>
      <c r="AA2940" s="223">
        <v>1.38</v>
      </c>
      <c r="AB2940" s="152"/>
      <c r="AC2940" s="152"/>
      <c r="AD2940" s="223">
        <v>9.4789689999999993</v>
      </c>
      <c r="AE2940" s="223">
        <v>0.3931791</v>
      </c>
      <c r="AF2940" s="223">
        <v>3.7250494000000001</v>
      </c>
      <c r="AG2940" s="223">
        <v>0.64310690000000004</v>
      </c>
      <c r="AH2940" s="341"/>
      <c r="AI2940" s="218"/>
      <c r="AJ2940" s="218"/>
      <c r="AK2940" s="153"/>
      <c r="AL2940" s="152"/>
      <c r="AM2940" s="152"/>
      <c r="AN2940" s="152"/>
      <c r="AO2940" s="152"/>
      <c r="AP2940" s="152"/>
      <c r="AQ2940" s="152"/>
      <c r="AR2940" s="152"/>
      <c r="AS2940" s="152"/>
      <c r="AT2940" s="152"/>
      <c r="AU2940" s="153"/>
      <c r="AV2940" s="479"/>
      <c r="AW2940" s="479"/>
      <c r="AX2940" s="442"/>
      <c r="AY2940" s="153"/>
      <c r="AZ2940" s="152"/>
      <c r="BA2940" s="152"/>
      <c r="BB2940" s="152"/>
      <c r="BC2940" s="152"/>
      <c r="BD2940" s="152"/>
      <c r="BE2940" s="152"/>
      <c r="BF2940" s="152"/>
      <c r="BG2940" s="152"/>
      <c r="BH2940" s="152"/>
      <c r="BI2940" s="153"/>
      <c r="BJ2940" s="153"/>
      <c r="BK2940" s="153"/>
      <c r="BL2940" s="153"/>
      <c r="BM2940" s="153"/>
      <c r="BN2940" s="153"/>
      <c r="BO2940" s="153"/>
      <c r="BP2940" s="153"/>
      <c r="BQ2940" s="153"/>
      <c r="BR2940" s="153"/>
      <c r="BS2940" s="153"/>
      <c r="BT2940" s="153"/>
      <c r="BU2940" s="153"/>
      <c r="BV2940" s="153"/>
      <c r="BW2940" s="153"/>
      <c r="BX2940" s="153"/>
      <c r="BY2940" s="153"/>
      <c r="BZ2940" s="153"/>
      <c r="CA2940" s="152"/>
      <c r="CB2940" s="152"/>
    </row>
    <row r="2941" spans="1:80" s="87" customFormat="1" ht="15" x14ac:dyDescent="0.25">
      <c r="A2941" s="152"/>
      <c r="B2941" s="683"/>
      <c r="C2941" s="683"/>
      <c r="D2941" s="698"/>
      <c r="E2941" s="215"/>
      <c r="F2941" s="215"/>
      <c r="G2941" s="153"/>
      <c r="H2941" s="153"/>
      <c r="I2941" s="316">
        <v>20</v>
      </c>
      <c r="J2941" s="306">
        <v>60</v>
      </c>
      <c r="K2941" s="150">
        <v>1</v>
      </c>
      <c r="L2941" s="656">
        <v>20</v>
      </c>
      <c r="M2941" s="663">
        <v>34806</v>
      </c>
      <c r="N2941" s="600">
        <v>2.2140499999999999</v>
      </c>
      <c r="O2941" s="604">
        <v>1.879E-3</v>
      </c>
      <c r="P2941" s="150"/>
      <c r="Q2941" s="250"/>
      <c r="R2941" s="250"/>
      <c r="S2941" s="250"/>
      <c r="T2941" s="250"/>
      <c r="U2941" s="250">
        <v>0.106</v>
      </c>
      <c r="V2941" s="250">
        <v>0.30599999999999999</v>
      </c>
      <c r="W2941" s="250">
        <v>0.32200000000000001</v>
      </c>
      <c r="X2941" s="250">
        <v>0.25600000000000001</v>
      </c>
      <c r="Y2941" s="250">
        <v>0.01</v>
      </c>
      <c r="Z2941" s="150">
        <v>3</v>
      </c>
      <c r="AA2941" s="223">
        <v>0.83</v>
      </c>
      <c r="AB2941" s="152"/>
      <c r="AC2941" s="152"/>
      <c r="AD2941" s="223">
        <v>9.4484899999999996</v>
      </c>
      <c r="AE2941" s="223">
        <v>0.39013120000000001</v>
      </c>
      <c r="AF2941" s="223">
        <v>3.6971812000000002</v>
      </c>
      <c r="AG2941" s="223">
        <v>0.63091529999999996</v>
      </c>
      <c r="AH2941" s="341"/>
      <c r="AI2941" s="218"/>
      <c r="AJ2941" s="218"/>
      <c r="AK2941" s="153"/>
      <c r="AL2941" s="152"/>
      <c r="AM2941" s="152"/>
      <c r="AN2941" s="152"/>
      <c r="AO2941" s="152"/>
      <c r="AP2941" s="152"/>
      <c r="AQ2941" s="152"/>
      <c r="AR2941" s="152"/>
      <c r="AS2941" s="152"/>
      <c r="AT2941" s="152"/>
      <c r="AU2941" s="153"/>
      <c r="AV2941" s="479"/>
      <c r="AW2941" s="479"/>
      <c r="AX2941" s="442"/>
      <c r="AY2941" s="153"/>
      <c r="AZ2941" s="152"/>
      <c r="BA2941" s="152"/>
      <c r="BB2941" s="152"/>
      <c r="BC2941" s="152"/>
      <c r="BD2941" s="152"/>
      <c r="BE2941" s="152"/>
      <c r="BF2941" s="152"/>
      <c r="BG2941" s="152"/>
      <c r="BH2941" s="152"/>
      <c r="BI2941" s="153"/>
      <c r="BJ2941" s="153"/>
      <c r="BK2941" s="153"/>
      <c r="BL2941" s="153"/>
      <c r="BM2941" s="153"/>
      <c r="BN2941" s="153"/>
      <c r="BO2941" s="153"/>
      <c r="BP2941" s="153"/>
      <c r="BQ2941" s="153"/>
      <c r="BR2941" s="153"/>
      <c r="BS2941" s="153"/>
      <c r="BT2941" s="153"/>
      <c r="BU2941" s="153"/>
      <c r="BV2941" s="153"/>
      <c r="BW2941" s="153"/>
      <c r="BX2941" s="153"/>
      <c r="BY2941" s="153"/>
      <c r="BZ2941" s="153"/>
      <c r="CA2941" s="152"/>
      <c r="CB2941" s="152"/>
    </row>
    <row r="2942" spans="1:80" s="87" customFormat="1" ht="15" x14ac:dyDescent="0.25">
      <c r="A2942" s="152"/>
      <c r="B2942" s="683"/>
      <c r="C2942" s="683"/>
      <c r="D2942" s="698"/>
      <c r="E2942" s="215"/>
      <c r="F2942" s="215"/>
      <c r="G2942" s="153"/>
      <c r="H2942" s="153"/>
      <c r="I2942" s="316">
        <v>20</v>
      </c>
      <c r="J2942" s="306">
        <v>60</v>
      </c>
      <c r="K2942" s="150">
        <v>1</v>
      </c>
      <c r="L2942" s="656">
        <v>20</v>
      </c>
      <c r="M2942" s="663">
        <v>34806</v>
      </c>
      <c r="N2942" s="600">
        <v>2.2140499999999999</v>
      </c>
      <c r="O2942" s="604">
        <v>1.8890000000000001E-3</v>
      </c>
      <c r="P2942" s="150"/>
      <c r="Q2942" s="250"/>
      <c r="R2942" s="250"/>
      <c r="S2942" s="250">
        <v>6.4000000000000001E-2</v>
      </c>
      <c r="T2942" s="250">
        <v>1.1000000000000001E-2</v>
      </c>
      <c r="U2942" s="250">
        <v>0.16300000000000001</v>
      </c>
      <c r="V2942" s="250">
        <v>0.26400000000000001</v>
      </c>
      <c r="W2942" s="250">
        <v>0.29199999999999998</v>
      </c>
      <c r="X2942" s="250">
        <v>0.191</v>
      </c>
      <c r="Y2942" s="250">
        <v>1.4999999999999999E-2</v>
      </c>
      <c r="Z2942" s="150">
        <v>10</v>
      </c>
      <c r="AA2942" s="223">
        <v>1.01</v>
      </c>
      <c r="AB2942" s="152"/>
      <c r="AC2942" s="152"/>
      <c r="AD2942" s="223">
        <v>9.4484899999999996</v>
      </c>
      <c r="AE2942" s="223">
        <v>0.39013120000000001</v>
      </c>
      <c r="AF2942" s="223">
        <v>3.6971812000000002</v>
      </c>
      <c r="AG2942" s="223">
        <v>0.63091529999999996</v>
      </c>
      <c r="AH2942" s="341"/>
      <c r="AI2942" s="218"/>
      <c r="AJ2942" s="218"/>
      <c r="AK2942" s="153"/>
      <c r="AL2942" s="152"/>
      <c r="AM2942" s="152"/>
      <c r="AN2942" s="152"/>
      <c r="AO2942" s="152"/>
      <c r="AP2942" s="152"/>
      <c r="AQ2942" s="152"/>
      <c r="AR2942" s="152"/>
      <c r="AS2942" s="152"/>
      <c r="AT2942" s="152"/>
      <c r="AU2942" s="153"/>
      <c r="AV2942" s="479"/>
      <c r="AW2942" s="479"/>
      <c r="AX2942" s="442"/>
      <c r="AY2942" s="153"/>
      <c r="AZ2942" s="152"/>
      <c r="BA2942" s="152"/>
      <c r="BB2942" s="152"/>
      <c r="BC2942" s="152"/>
      <c r="BD2942" s="152"/>
      <c r="BE2942" s="152"/>
      <c r="BF2942" s="152"/>
      <c r="BG2942" s="152"/>
      <c r="BH2942" s="152"/>
      <c r="BI2942" s="153"/>
      <c r="BJ2942" s="153"/>
      <c r="BK2942" s="153"/>
      <c r="BL2942" s="153"/>
      <c r="BM2942" s="153"/>
      <c r="BN2942" s="153"/>
      <c r="BO2942" s="153"/>
      <c r="BP2942" s="153"/>
      <c r="BQ2942" s="153"/>
      <c r="BR2942" s="153"/>
      <c r="BS2942" s="153"/>
      <c r="BT2942" s="153"/>
      <c r="BU2942" s="153"/>
      <c r="BV2942" s="153"/>
      <c r="BW2942" s="153"/>
      <c r="BX2942" s="153"/>
      <c r="BY2942" s="153"/>
      <c r="BZ2942" s="153"/>
      <c r="CA2942" s="152"/>
      <c r="CB2942" s="152"/>
    </row>
    <row r="2943" spans="1:80" s="87" customFormat="1" ht="15" x14ac:dyDescent="0.25">
      <c r="A2943" s="152"/>
      <c r="B2943" s="683"/>
      <c r="C2943" s="683"/>
      <c r="D2943" s="698"/>
      <c r="E2943" s="215"/>
      <c r="F2943" s="215"/>
      <c r="G2943" s="153"/>
      <c r="H2943" s="153"/>
      <c r="I2943" s="316">
        <v>20</v>
      </c>
      <c r="J2943" s="306">
        <v>60</v>
      </c>
      <c r="K2943" s="150">
        <v>1</v>
      </c>
      <c r="L2943" s="656">
        <v>20</v>
      </c>
      <c r="M2943" s="663">
        <v>34816</v>
      </c>
      <c r="N2943" s="600">
        <v>2.5566399999999998</v>
      </c>
      <c r="O2943" s="604">
        <v>1.0600999999999999E-2</v>
      </c>
      <c r="P2943" s="150"/>
      <c r="Q2943" s="250"/>
      <c r="R2943" s="250"/>
      <c r="S2943" s="250">
        <v>1.3999999999999999E-2</v>
      </c>
      <c r="T2943" s="250">
        <v>2.2000000000000002E-2</v>
      </c>
      <c r="U2943" s="250">
        <v>0.27699999999999997</v>
      </c>
      <c r="V2943" s="250">
        <v>0.45899999999999996</v>
      </c>
      <c r="W2943" s="250">
        <v>0.114</v>
      </c>
      <c r="X2943" s="250">
        <v>0.10400000000000001</v>
      </c>
      <c r="Y2943" s="250">
        <v>0.01</v>
      </c>
      <c r="Z2943" s="150">
        <v>11</v>
      </c>
      <c r="AA2943" s="223">
        <v>1.51</v>
      </c>
      <c r="AB2943" s="152"/>
      <c r="AC2943" s="152"/>
      <c r="AD2943" s="223">
        <v>9.5399270000000005</v>
      </c>
      <c r="AE2943" s="223">
        <v>0.40232279999999998</v>
      </c>
      <c r="AF2943" s="223">
        <v>3.8458116000000002</v>
      </c>
      <c r="AG2943" s="223">
        <v>0.67968170000000006</v>
      </c>
      <c r="AH2943" s="341"/>
      <c r="AI2943" s="218"/>
      <c r="AJ2943" s="218"/>
      <c r="AK2943" s="153"/>
      <c r="AL2943" s="152"/>
      <c r="AM2943" s="152"/>
      <c r="AN2943" s="152"/>
      <c r="AO2943" s="152"/>
      <c r="AP2943" s="152"/>
      <c r="AQ2943" s="152"/>
      <c r="AR2943" s="152"/>
      <c r="AS2943" s="152"/>
      <c r="AT2943" s="152"/>
      <c r="AU2943" s="153"/>
      <c r="AV2943" s="479"/>
      <c r="AW2943" s="479"/>
      <c r="AX2943" s="442"/>
      <c r="AY2943" s="153"/>
      <c r="AZ2943" s="152"/>
      <c r="BA2943" s="152"/>
      <c r="BB2943" s="152"/>
      <c r="BC2943" s="152"/>
      <c r="BD2943" s="152"/>
      <c r="BE2943" s="152"/>
      <c r="BF2943" s="152"/>
      <c r="BG2943" s="152"/>
      <c r="BH2943" s="152"/>
      <c r="BI2943" s="153"/>
      <c r="BJ2943" s="153"/>
      <c r="BK2943" s="153"/>
      <c r="BL2943" s="153"/>
      <c r="BM2943" s="153"/>
      <c r="BN2943" s="153"/>
      <c r="BO2943" s="153"/>
      <c r="BP2943" s="153"/>
      <c r="BQ2943" s="153"/>
      <c r="BR2943" s="153"/>
      <c r="BS2943" s="153"/>
      <c r="BT2943" s="153"/>
      <c r="BU2943" s="153"/>
      <c r="BV2943" s="153"/>
      <c r="BW2943" s="153"/>
      <c r="BX2943" s="153"/>
      <c r="BY2943" s="153"/>
      <c r="BZ2943" s="153"/>
      <c r="CA2943" s="152"/>
      <c r="CB2943" s="152"/>
    </row>
    <row r="2944" spans="1:80" s="87" customFormat="1" ht="15" x14ac:dyDescent="0.25">
      <c r="A2944" s="152"/>
      <c r="B2944" s="683"/>
      <c r="C2944" s="683"/>
      <c r="D2944" s="698"/>
      <c r="E2944" s="215"/>
      <c r="F2944" s="215"/>
      <c r="G2944" s="153"/>
      <c r="H2944" s="153"/>
      <c r="I2944" s="316">
        <v>20</v>
      </c>
      <c r="J2944" s="306">
        <v>60</v>
      </c>
      <c r="K2944" s="150">
        <v>1</v>
      </c>
      <c r="L2944" s="656">
        <v>20</v>
      </c>
      <c r="M2944" s="663">
        <v>34816</v>
      </c>
      <c r="N2944" s="600">
        <v>2.5566399999999998</v>
      </c>
      <c r="O2944" s="604">
        <v>1.312E-3</v>
      </c>
      <c r="P2944" s="150"/>
      <c r="Q2944" s="250"/>
      <c r="R2944" s="250"/>
      <c r="S2944" s="250"/>
      <c r="T2944" s="250">
        <v>6.0999999999999999E-2</v>
      </c>
      <c r="U2944" s="250">
        <v>0.19600000000000001</v>
      </c>
      <c r="V2944" s="250">
        <v>0.318</v>
      </c>
      <c r="W2944" s="250">
        <v>0.17100000000000001</v>
      </c>
      <c r="X2944" s="250">
        <v>0.22899999999999998</v>
      </c>
      <c r="Y2944" s="250">
        <v>2.5000000000000001E-2</v>
      </c>
      <c r="Z2944" s="150">
        <v>6</v>
      </c>
      <c r="AA2944" s="223">
        <v>1.18</v>
      </c>
      <c r="AB2944" s="152"/>
      <c r="AC2944" s="152"/>
      <c r="AD2944" s="223">
        <v>9.5399270000000005</v>
      </c>
      <c r="AE2944" s="223">
        <v>0.40232279999999998</v>
      </c>
      <c r="AF2944" s="223">
        <v>3.8458116000000002</v>
      </c>
      <c r="AG2944" s="223">
        <v>0.67968170000000006</v>
      </c>
      <c r="AH2944" s="341"/>
      <c r="AI2944" s="218"/>
      <c r="AJ2944" s="218"/>
      <c r="AK2944" s="153"/>
      <c r="AL2944" s="152"/>
      <c r="AM2944" s="152"/>
      <c r="AN2944" s="152"/>
      <c r="AO2944" s="152"/>
      <c r="AP2944" s="152"/>
      <c r="AQ2944" s="152"/>
      <c r="AR2944" s="152"/>
      <c r="AS2944" s="152"/>
      <c r="AT2944" s="152"/>
      <c r="AU2944" s="153"/>
      <c r="AV2944" s="479"/>
      <c r="AW2944" s="479"/>
      <c r="AX2944" s="442"/>
      <c r="AY2944" s="153"/>
      <c r="AZ2944" s="152"/>
      <c r="BA2944" s="152"/>
      <c r="BB2944" s="152"/>
      <c r="BC2944" s="152"/>
      <c r="BD2944" s="152"/>
      <c r="BE2944" s="152"/>
      <c r="BF2944" s="152"/>
      <c r="BG2944" s="152"/>
      <c r="BH2944" s="152"/>
      <c r="BI2944" s="153"/>
      <c r="BJ2944" s="153"/>
      <c r="BK2944" s="153"/>
      <c r="BL2944" s="153"/>
      <c r="BM2944" s="153"/>
      <c r="BN2944" s="153"/>
      <c r="BO2944" s="153"/>
      <c r="BP2944" s="153"/>
      <c r="BQ2944" s="153"/>
      <c r="BR2944" s="153"/>
      <c r="BS2944" s="153"/>
      <c r="BT2944" s="153"/>
      <c r="BU2944" s="153"/>
      <c r="BV2944" s="153"/>
      <c r="BW2944" s="153"/>
      <c r="BX2944" s="153"/>
      <c r="BY2944" s="153"/>
      <c r="BZ2944" s="153"/>
      <c r="CA2944" s="152"/>
      <c r="CB2944" s="152"/>
    </row>
    <row r="2945" spans="1:80" s="87" customFormat="1" ht="15" x14ac:dyDescent="0.25">
      <c r="A2945" s="152"/>
      <c r="B2945" s="683"/>
      <c r="C2945" s="683"/>
      <c r="D2945" s="698"/>
      <c r="E2945" s="215"/>
      <c r="F2945" s="215"/>
      <c r="G2945" s="153"/>
      <c r="H2945" s="153"/>
      <c r="I2945" s="316">
        <v>22</v>
      </c>
      <c r="J2945" s="306">
        <v>60</v>
      </c>
      <c r="K2945" s="150">
        <v>1</v>
      </c>
      <c r="L2945" s="656">
        <v>22</v>
      </c>
      <c r="M2945" s="663">
        <v>34824</v>
      </c>
      <c r="N2945" s="600">
        <v>6.1155400000000002</v>
      </c>
      <c r="O2945" s="604">
        <v>2.0466999999999999E-2</v>
      </c>
      <c r="P2945" s="150"/>
      <c r="Q2945" s="250"/>
      <c r="R2945" s="250"/>
      <c r="S2945" s="250">
        <v>8.0000000000000002E-3</v>
      </c>
      <c r="T2945" s="250">
        <v>7.8E-2</v>
      </c>
      <c r="U2945" s="250">
        <v>0.28399999999999997</v>
      </c>
      <c r="V2945" s="250">
        <v>0.311</v>
      </c>
      <c r="W2945" s="250">
        <v>0.17899999999999999</v>
      </c>
      <c r="X2945" s="250">
        <v>0.13</v>
      </c>
      <c r="Y2945" s="250">
        <v>0.01</v>
      </c>
      <c r="Z2945" s="150">
        <v>9</v>
      </c>
      <c r="AA2945" s="223">
        <v>1.5</v>
      </c>
      <c r="AB2945" s="152"/>
      <c r="AC2945" s="152"/>
      <c r="AD2945" s="223">
        <v>10.210464999999999</v>
      </c>
      <c r="AE2945" s="223">
        <v>0.5699573</v>
      </c>
      <c r="AF2945" s="223">
        <v>5.8058750000000003</v>
      </c>
      <c r="AG2945" s="223">
        <v>1.0393338999999999</v>
      </c>
      <c r="AH2945" s="341"/>
      <c r="AI2945" s="218"/>
      <c r="AJ2945" s="218"/>
      <c r="AK2945" s="153"/>
      <c r="AL2945" s="152"/>
      <c r="AM2945" s="152"/>
      <c r="AN2945" s="152"/>
      <c r="AO2945" s="152"/>
      <c r="AP2945" s="152"/>
      <c r="AQ2945" s="152"/>
      <c r="AR2945" s="152"/>
      <c r="AS2945" s="152"/>
      <c r="AT2945" s="152"/>
      <c r="AU2945" s="153"/>
      <c r="AV2945" s="479"/>
      <c r="AW2945" s="479"/>
      <c r="AX2945" s="442"/>
      <c r="AY2945" s="153"/>
      <c r="AZ2945" s="152"/>
      <c r="BA2945" s="152"/>
      <c r="BB2945" s="152"/>
      <c r="BC2945" s="152"/>
      <c r="BD2945" s="152"/>
      <c r="BE2945" s="152"/>
      <c r="BF2945" s="152"/>
      <c r="BG2945" s="152"/>
      <c r="BH2945" s="152"/>
      <c r="BI2945" s="153"/>
      <c r="BJ2945" s="153"/>
      <c r="BK2945" s="153"/>
      <c r="BL2945" s="153"/>
      <c r="BM2945" s="153"/>
      <c r="BN2945" s="153"/>
      <c r="BO2945" s="153"/>
      <c r="BP2945" s="153"/>
      <c r="BQ2945" s="153"/>
      <c r="BR2945" s="153"/>
      <c r="BS2945" s="153"/>
      <c r="BT2945" s="153"/>
      <c r="BU2945" s="153"/>
      <c r="BV2945" s="153"/>
      <c r="BW2945" s="153"/>
      <c r="BX2945" s="153"/>
      <c r="BY2945" s="153"/>
      <c r="BZ2945" s="153"/>
      <c r="CA2945" s="152"/>
      <c r="CB2945" s="152"/>
    </row>
    <row r="2946" spans="1:80" s="87" customFormat="1" ht="15" x14ac:dyDescent="0.25">
      <c r="A2946" s="152"/>
      <c r="B2946" s="683"/>
      <c r="C2946" s="683"/>
      <c r="D2946" s="698"/>
      <c r="E2946" s="215"/>
      <c r="F2946" s="215"/>
      <c r="G2946" s="153"/>
      <c r="H2946" s="153"/>
      <c r="I2946" s="316">
        <v>22</v>
      </c>
      <c r="J2946" s="306">
        <v>60</v>
      </c>
      <c r="K2946" s="150">
        <v>1</v>
      </c>
      <c r="L2946" s="656">
        <v>22</v>
      </c>
      <c r="M2946" s="663">
        <v>34824</v>
      </c>
      <c r="N2946" s="600">
        <v>6.1155400000000002</v>
      </c>
      <c r="O2946" s="604">
        <v>1.8787000000000002E-2</v>
      </c>
      <c r="P2946" s="150"/>
      <c r="Q2946" s="250"/>
      <c r="R2946" s="250"/>
      <c r="S2946" s="250">
        <v>3.5000000000000003E-2</v>
      </c>
      <c r="T2946" s="250">
        <v>4.4999999999999998E-2</v>
      </c>
      <c r="U2946" s="250">
        <v>0.10800000000000001</v>
      </c>
      <c r="V2946" s="250">
        <v>0.28399999999999997</v>
      </c>
      <c r="W2946" s="250">
        <v>0.32899999999999996</v>
      </c>
      <c r="X2946" s="250">
        <v>0.185</v>
      </c>
      <c r="Y2946" s="250">
        <v>1.3999999999999999E-2</v>
      </c>
      <c r="Z2946" s="150">
        <v>12</v>
      </c>
      <c r="AA2946" s="223">
        <v>0.94</v>
      </c>
      <c r="AB2946" s="152"/>
      <c r="AC2946" s="152"/>
      <c r="AD2946" s="223">
        <v>10.210464999999999</v>
      </c>
      <c r="AE2946" s="223">
        <v>0.5699573</v>
      </c>
      <c r="AF2946" s="223">
        <v>5.8058750000000003</v>
      </c>
      <c r="AG2946" s="223">
        <v>1.0393338999999999</v>
      </c>
      <c r="AH2946" s="341"/>
      <c r="AI2946" s="218"/>
      <c r="AJ2946" s="218"/>
      <c r="AK2946" s="153"/>
      <c r="AL2946" s="152"/>
      <c r="AM2946" s="152"/>
      <c r="AN2946" s="152"/>
      <c r="AO2946" s="152"/>
      <c r="AP2946" s="152"/>
      <c r="AQ2946" s="152"/>
      <c r="AR2946" s="152"/>
      <c r="AS2946" s="152"/>
      <c r="AT2946" s="152"/>
      <c r="AU2946" s="153"/>
      <c r="AV2946" s="479"/>
      <c r="AW2946" s="479"/>
      <c r="AX2946" s="442"/>
      <c r="AY2946" s="153"/>
      <c r="AZ2946" s="152"/>
      <c r="BA2946" s="152"/>
      <c r="BB2946" s="152"/>
      <c r="BC2946" s="152"/>
      <c r="BD2946" s="152"/>
      <c r="BE2946" s="152"/>
      <c r="BF2946" s="152"/>
      <c r="BG2946" s="152"/>
      <c r="BH2946" s="152"/>
      <c r="BI2946" s="153"/>
      <c r="BJ2946" s="153"/>
      <c r="BK2946" s="153"/>
      <c r="BL2946" s="153"/>
      <c r="BM2946" s="153"/>
      <c r="BN2946" s="153"/>
      <c r="BO2946" s="153"/>
      <c r="BP2946" s="153"/>
      <c r="BQ2946" s="153"/>
      <c r="BR2946" s="153"/>
      <c r="BS2946" s="153"/>
      <c r="BT2946" s="153"/>
      <c r="BU2946" s="153"/>
      <c r="BV2946" s="153"/>
      <c r="BW2946" s="153"/>
      <c r="BX2946" s="153"/>
      <c r="BY2946" s="153"/>
      <c r="BZ2946" s="153"/>
      <c r="CA2946" s="152"/>
      <c r="CB2946" s="152"/>
    </row>
    <row r="2947" spans="1:80" s="87" customFormat="1" ht="15" x14ac:dyDescent="0.25">
      <c r="A2947" s="152"/>
      <c r="B2947" s="683"/>
      <c r="C2947" s="683"/>
      <c r="D2947" s="698"/>
      <c r="E2947" s="215"/>
      <c r="F2947" s="215"/>
      <c r="G2947" s="153"/>
      <c r="H2947" s="153"/>
      <c r="I2947" s="316">
        <v>21</v>
      </c>
      <c r="J2947" s="306">
        <v>60</v>
      </c>
      <c r="K2947" s="150">
        <v>1</v>
      </c>
      <c r="L2947" s="656">
        <v>21</v>
      </c>
      <c r="M2947" s="663">
        <v>34827</v>
      </c>
      <c r="N2947" s="600">
        <v>9.9943799999999996</v>
      </c>
      <c r="O2947" s="604">
        <v>3.2537000000000003E-2</v>
      </c>
      <c r="P2947" s="150"/>
      <c r="Q2947" s="250"/>
      <c r="R2947" s="250"/>
      <c r="S2947" s="250">
        <v>1.3000000000000001E-2</v>
      </c>
      <c r="T2947" s="250">
        <v>0.10800000000000001</v>
      </c>
      <c r="U2947" s="250">
        <v>0.19899999999999998</v>
      </c>
      <c r="V2947" s="250">
        <v>0.3</v>
      </c>
      <c r="W2947" s="250">
        <v>0.26700000000000002</v>
      </c>
      <c r="X2947" s="250">
        <v>0.10800000000000001</v>
      </c>
      <c r="Y2947" s="250">
        <v>5.0000000000000001E-3</v>
      </c>
      <c r="Z2947" s="150">
        <v>10</v>
      </c>
      <c r="AA2947" s="223">
        <v>1.32</v>
      </c>
      <c r="AB2947" s="152"/>
      <c r="AC2947" s="152"/>
      <c r="AD2947" s="223">
        <v>13.71555</v>
      </c>
      <c r="AE2947" s="223">
        <v>0.59434050000000005</v>
      </c>
      <c r="AF2947" s="223">
        <v>8.1560932000000008</v>
      </c>
      <c r="AG2947" s="223">
        <v>1.2496389999999999</v>
      </c>
      <c r="AH2947" s="341"/>
      <c r="AI2947" s="218"/>
      <c r="AJ2947" s="218"/>
      <c r="AK2947" s="153"/>
      <c r="AL2947" s="152"/>
      <c r="AM2947" s="152"/>
      <c r="AN2947" s="152"/>
      <c r="AO2947" s="152"/>
      <c r="AP2947" s="152"/>
      <c r="AQ2947" s="152"/>
      <c r="AR2947" s="152"/>
      <c r="AS2947" s="152"/>
      <c r="AT2947" s="152"/>
      <c r="AU2947" s="153"/>
      <c r="AV2947" s="479"/>
      <c r="AW2947" s="479"/>
      <c r="AX2947" s="442"/>
      <c r="AY2947" s="153"/>
      <c r="AZ2947" s="152"/>
      <c r="BA2947" s="152"/>
      <c r="BB2947" s="152"/>
      <c r="BC2947" s="152"/>
      <c r="BD2947" s="152"/>
      <c r="BE2947" s="152"/>
      <c r="BF2947" s="152"/>
      <c r="BG2947" s="152"/>
      <c r="BH2947" s="152"/>
      <c r="BI2947" s="153"/>
      <c r="BJ2947" s="153"/>
      <c r="BK2947" s="153"/>
      <c r="BL2947" s="153"/>
      <c r="BM2947" s="153"/>
      <c r="BN2947" s="153"/>
      <c r="BO2947" s="153"/>
      <c r="BP2947" s="153"/>
      <c r="BQ2947" s="153"/>
      <c r="BR2947" s="153"/>
      <c r="BS2947" s="153"/>
      <c r="BT2947" s="153"/>
      <c r="BU2947" s="153"/>
      <c r="BV2947" s="153"/>
      <c r="BW2947" s="153"/>
      <c r="BX2947" s="153"/>
      <c r="BY2947" s="153"/>
      <c r="BZ2947" s="153"/>
      <c r="CA2947" s="152"/>
      <c r="CB2947" s="152"/>
    </row>
    <row r="2948" spans="1:80" s="87" customFormat="1" ht="15" x14ac:dyDescent="0.25">
      <c r="A2948" s="152"/>
      <c r="B2948" s="683"/>
      <c r="C2948" s="683"/>
      <c r="D2948" s="698"/>
      <c r="E2948" s="215"/>
      <c r="F2948" s="215"/>
      <c r="G2948" s="153"/>
      <c r="H2948" s="153"/>
      <c r="I2948" s="316">
        <v>21</v>
      </c>
      <c r="J2948" s="306">
        <v>60</v>
      </c>
      <c r="K2948" s="150">
        <v>1</v>
      </c>
      <c r="L2948" s="656">
        <v>21</v>
      </c>
      <c r="M2948" s="663">
        <v>34827</v>
      </c>
      <c r="N2948" s="600">
        <v>9.9943799999999996</v>
      </c>
      <c r="O2948" s="604">
        <v>4.6286000000000001E-2</v>
      </c>
      <c r="P2948" s="150"/>
      <c r="Q2948" s="250"/>
      <c r="R2948" s="250"/>
      <c r="S2948" s="250">
        <v>6.9999999999999993E-3</v>
      </c>
      <c r="T2948" s="250">
        <v>4.9000000000000002E-2</v>
      </c>
      <c r="U2948" s="250">
        <v>0.21299999999999999</v>
      </c>
      <c r="V2948" s="250">
        <v>0.38</v>
      </c>
      <c r="W2948" s="250">
        <v>0.254</v>
      </c>
      <c r="X2948" s="250">
        <v>9.0999999999999998E-2</v>
      </c>
      <c r="Y2948" s="250">
        <v>6.0000000000000001E-3</v>
      </c>
      <c r="Z2948" s="150">
        <v>12</v>
      </c>
      <c r="AA2948" s="223">
        <v>1.31</v>
      </c>
      <c r="AB2948" s="152"/>
      <c r="AC2948" s="152"/>
      <c r="AD2948" s="223">
        <v>13.71555</v>
      </c>
      <c r="AE2948" s="223">
        <v>0.59434050000000005</v>
      </c>
      <c r="AF2948" s="223">
        <v>8.1560932000000008</v>
      </c>
      <c r="AG2948" s="223">
        <v>1.2496389999999999</v>
      </c>
      <c r="AH2948" s="341"/>
      <c r="AI2948" s="218"/>
      <c r="AJ2948" s="218"/>
      <c r="AK2948" s="153"/>
      <c r="AL2948" s="152"/>
      <c r="AM2948" s="152"/>
      <c r="AN2948" s="152"/>
      <c r="AO2948" s="152"/>
      <c r="AP2948" s="152"/>
      <c r="AQ2948" s="152"/>
      <c r="AR2948" s="152"/>
      <c r="AS2948" s="152"/>
      <c r="AT2948" s="152"/>
      <c r="AU2948" s="153"/>
      <c r="AV2948" s="479"/>
      <c r="AW2948" s="479"/>
      <c r="AX2948" s="442"/>
      <c r="AY2948" s="153"/>
      <c r="AZ2948" s="152"/>
      <c r="BA2948" s="152"/>
      <c r="BB2948" s="152"/>
      <c r="BC2948" s="152"/>
      <c r="BD2948" s="152"/>
      <c r="BE2948" s="152"/>
      <c r="BF2948" s="152"/>
      <c r="BG2948" s="152"/>
      <c r="BH2948" s="152"/>
      <c r="BI2948" s="153"/>
      <c r="BJ2948" s="153"/>
      <c r="BK2948" s="153"/>
      <c r="BL2948" s="153"/>
      <c r="BM2948" s="153"/>
      <c r="BN2948" s="153"/>
      <c r="BO2948" s="153"/>
      <c r="BP2948" s="153"/>
      <c r="BQ2948" s="153"/>
      <c r="BR2948" s="153"/>
      <c r="BS2948" s="153"/>
      <c r="BT2948" s="153"/>
      <c r="BU2948" s="153"/>
      <c r="BV2948" s="153"/>
      <c r="BW2948" s="153"/>
      <c r="BX2948" s="153"/>
      <c r="BY2948" s="153"/>
      <c r="BZ2948" s="153"/>
      <c r="CA2948" s="152"/>
      <c r="CB2948" s="152"/>
    </row>
    <row r="2949" spans="1:80" s="87" customFormat="1" ht="15" x14ac:dyDescent="0.25">
      <c r="A2949" s="152"/>
      <c r="B2949" s="683"/>
      <c r="C2949" s="683"/>
      <c r="D2949" s="698"/>
      <c r="E2949" s="215"/>
      <c r="F2949" s="215"/>
      <c r="G2949" s="153"/>
      <c r="H2949" s="153"/>
      <c r="I2949" s="316">
        <v>17</v>
      </c>
      <c r="J2949" s="306">
        <v>60</v>
      </c>
      <c r="K2949" s="150">
        <v>1</v>
      </c>
      <c r="L2949" s="656">
        <v>17</v>
      </c>
      <c r="M2949" s="663">
        <v>34830</v>
      </c>
      <c r="N2949" s="600">
        <v>9.2582500000000003</v>
      </c>
      <c r="O2949" s="604">
        <v>9.74E-2</v>
      </c>
      <c r="P2949" s="150"/>
      <c r="Q2949" s="250"/>
      <c r="R2949" s="250"/>
      <c r="S2949" s="250">
        <v>5.0000000000000001E-3</v>
      </c>
      <c r="T2949" s="250">
        <v>6.5000000000000002E-2</v>
      </c>
      <c r="U2949" s="250">
        <v>0.23600000000000002</v>
      </c>
      <c r="V2949" s="250">
        <v>0.44500000000000001</v>
      </c>
      <c r="W2949" s="250">
        <v>0.185</v>
      </c>
      <c r="X2949" s="250">
        <v>6.0999999999999999E-2</v>
      </c>
      <c r="Y2949" s="250">
        <v>3.0000000000000001E-3</v>
      </c>
      <c r="Z2949" s="150">
        <v>13</v>
      </c>
      <c r="AA2949" s="223">
        <v>1.48</v>
      </c>
      <c r="AB2949" s="152"/>
      <c r="AC2949" s="152"/>
      <c r="AD2949" s="223">
        <v>12.191599999999999</v>
      </c>
      <c r="AE2949" s="223">
        <v>0.59129259999999995</v>
      </c>
      <c r="AF2949" s="223">
        <v>7.1992849999999997</v>
      </c>
      <c r="AG2949" s="223">
        <v>1.3502197</v>
      </c>
      <c r="AH2949" s="341"/>
      <c r="AI2949" s="218"/>
      <c r="AJ2949" s="218"/>
      <c r="AK2949" s="153"/>
      <c r="AL2949" s="152"/>
      <c r="AM2949" s="152"/>
      <c r="AN2949" s="152"/>
      <c r="AO2949" s="152"/>
      <c r="AP2949" s="152"/>
      <c r="AQ2949" s="152"/>
      <c r="AR2949" s="152"/>
      <c r="AS2949" s="152"/>
      <c r="AT2949" s="152"/>
      <c r="AU2949" s="153"/>
      <c r="AV2949" s="479"/>
      <c r="AW2949" s="479"/>
      <c r="AX2949" s="442"/>
      <c r="AY2949" s="153"/>
      <c r="AZ2949" s="152"/>
      <c r="BA2949" s="152"/>
      <c r="BB2949" s="152"/>
      <c r="BC2949" s="152"/>
      <c r="BD2949" s="152"/>
      <c r="BE2949" s="152"/>
      <c r="BF2949" s="152"/>
      <c r="BG2949" s="152"/>
      <c r="BH2949" s="152"/>
      <c r="BI2949" s="153"/>
      <c r="BJ2949" s="153"/>
      <c r="BK2949" s="153"/>
      <c r="BL2949" s="153"/>
      <c r="BM2949" s="153"/>
      <c r="BN2949" s="153"/>
      <c r="BO2949" s="153"/>
      <c r="BP2949" s="153"/>
      <c r="BQ2949" s="153"/>
      <c r="BR2949" s="153"/>
      <c r="BS2949" s="153"/>
      <c r="BT2949" s="153"/>
      <c r="BU2949" s="153"/>
      <c r="BV2949" s="153"/>
      <c r="BW2949" s="153"/>
      <c r="BX2949" s="153"/>
      <c r="BY2949" s="153"/>
      <c r="BZ2949" s="153"/>
      <c r="CA2949" s="152"/>
      <c r="CB2949" s="152"/>
    </row>
    <row r="2950" spans="1:80" s="87" customFormat="1" ht="15" x14ac:dyDescent="0.25">
      <c r="A2950" s="152"/>
      <c r="B2950" s="683"/>
      <c r="C2950" s="683"/>
      <c r="D2950" s="698"/>
      <c r="E2950" s="215"/>
      <c r="F2950" s="215"/>
      <c r="G2950" s="153"/>
      <c r="H2950" s="153"/>
      <c r="I2950" s="316">
        <v>17</v>
      </c>
      <c r="J2950" s="306">
        <v>60</v>
      </c>
      <c r="K2950" s="150">
        <v>1</v>
      </c>
      <c r="L2950" s="656">
        <v>17</v>
      </c>
      <c r="M2950" s="663">
        <v>34830</v>
      </c>
      <c r="N2950" s="600">
        <v>9.2582500000000003</v>
      </c>
      <c r="O2950" s="604">
        <v>3.1801999999999997E-2</v>
      </c>
      <c r="P2950" s="150"/>
      <c r="Q2950" s="250"/>
      <c r="R2950" s="250"/>
      <c r="S2950" s="250"/>
      <c r="T2950" s="250">
        <v>0.02</v>
      </c>
      <c r="U2950" s="250">
        <v>0.10800000000000001</v>
      </c>
      <c r="V2950" s="250">
        <v>0.43700000000000006</v>
      </c>
      <c r="W2950" s="250">
        <v>0.34200000000000003</v>
      </c>
      <c r="X2950" s="250">
        <v>9.0999999999999998E-2</v>
      </c>
      <c r="Y2950" s="250">
        <v>2E-3</v>
      </c>
      <c r="Z2950" s="150">
        <v>7</v>
      </c>
      <c r="AA2950" s="223">
        <v>1.1100000000000001</v>
      </c>
      <c r="AB2950" s="152"/>
      <c r="AC2950" s="152"/>
      <c r="AD2950" s="223">
        <v>12.191599999999999</v>
      </c>
      <c r="AE2950" s="223">
        <v>0.59129259999999995</v>
      </c>
      <c r="AF2950" s="223">
        <v>7.1992849999999997</v>
      </c>
      <c r="AG2950" s="223">
        <v>1.3502197</v>
      </c>
      <c r="AH2950" s="341"/>
      <c r="AI2950" s="218"/>
      <c r="AJ2950" s="218"/>
      <c r="AK2950" s="153"/>
      <c r="AL2950" s="152"/>
      <c r="AM2950" s="152"/>
      <c r="AN2950" s="152"/>
      <c r="AO2950" s="152"/>
      <c r="AP2950" s="152"/>
      <c r="AQ2950" s="152"/>
      <c r="AR2950" s="152"/>
      <c r="AS2950" s="152"/>
      <c r="AT2950" s="152"/>
      <c r="AU2950" s="153"/>
      <c r="AV2950" s="479"/>
      <c r="AW2950" s="479"/>
      <c r="AX2950" s="442"/>
      <c r="AY2950" s="153"/>
      <c r="AZ2950" s="152"/>
      <c r="BA2950" s="152"/>
      <c r="BB2950" s="152"/>
      <c r="BC2950" s="152"/>
      <c r="BD2950" s="152"/>
      <c r="BE2950" s="152"/>
      <c r="BF2950" s="152"/>
      <c r="BG2950" s="152"/>
      <c r="BH2950" s="152"/>
      <c r="BI2950" s="153"/>
      <c r="BJ2950" s="153"/>
      <c r="BK2950" s="153"/>
      <c r="BL2950" s="153"/>
      <c r="BM2950" s="153"/>
      <c r="BN2950" s="153"/>
      <c r="BO2950" s="153"/>
      <c r="BP2950" s="153"/>
      <c r="BQ2950" s="153"/>
      <c r="BR2950" s="153"/>
      <c r="BS2950" s="153"/>
      <c r="BT2950" s="153"/>
      <c r="BU2950" s="153"/>
      <c r="BV2950" s="153"/>
      <c r="BW2950" s="153"/>
      <c r="BX2950" s="153"/>
      <c r="BY2950" s="153"/>
      <c r="BZ2950" s="153"/>
      <c r="CA2950" s="152"/>
      <c r="CB2950" s="152"/>
    </row>
    <row r="2951" spans="1:80" s="87" customFormat="1" ht="15" x14ac:dyDescent="0.25">
      <c r="A2951" s="152"/>
      <c r="B2951" s="683"/>
      <c r="C2951" s="683"/>
      <c r="D2951" s="698"/>
      <c r="E2951" s="215"/>
      <c r="F2951" s="215"/>
      <c r="G2951" s="153"/>
      <c r="H2951" s="153"/>
      <c r="I2951" s="316">
        <v>20</v>
      </c>
      <c r="J2951" s="306">
        <v>60</v>
      </c>
      <c r="K2951" s="150">
        <v>1</v>
      </c>
      <c r="L2951" s="656">
        <v>20</v>
      </c>
      <c r="M2951" s="663">
        <v>34831</v>
      </c>
      <c r="N2951" s="600">
        <v>9.0883800000000008</v>
      </c>
      <c r="O2951" s="604">
        <v>1.3539000000000001E-2</v>
      </c>
      <c r="P2951" s="150"/>
      <c r="Q2951" s="250"/>
      <c r="R2951" s="250"/>
      <c r="S2951" s="250">
        <v>1.6E-2</v>
      </c>
      <c r="T2951" s="250">
        <v>0.127</v>
      </c>
      <c r="U2951" s="250">
        <v>0.314</v>
      </c>
      <c r="V2951" s="250">
        <v>0.32700000000000001</v>
      </c>
      <c r="W2951" s="250">
        <v>0.13200000000000001</v>
      </c>
      <c r="X2951" s="250">
        <v>7.9000000000000001E-2</v>
      </c>
      <c r="Y2951" s="250">
        <v>5.0000000000000001E-3</v>
      </c>
      <c r="Z2951" s="150">
        <v>9</v>
      </c>
      <c r="AA2951" s="223">
        <v>1.83</v>
      </c>
      <c r="AB2951" s="152"/>
      <c r="AC2951" s="152"/>
      <c r="AD2951" s="223">
        <v>13.349802</v>
      </c>
      <c r="AE2951" s="223">
        <v>0.54862200000000005</v>
      </c>
      <c r="AF2951" s="223">
        <v>7.3200472000000003</v>
      </c>
      <c r="AG2951" s="223">
        <v>1.2557347999999999</v>
      </c>
      <c r="AH2951" s="341"/>
      <c r="AI2951" s="218"/>
      <c r="AJ2951" s="218"/>
      <c r="AK2951" s="153"/>
      <c r="AL2951" s="152"/>
      <c r="AM2951" s="152"/>
      <c r="AN2951" s="152"/>
      <c r="AO2951" s="152"/>
      <c r="AP2951" s="152"/>
      <c r="AQ2951" s="152"/>
      <c r="AR2951" s="152"/>
      <c r="AS2951" s="152"/>
      <c r="AT2951" s="152"/>
      <c r="AU2951" s="153"/>
      <c r="AV2951" s="479"/>
      <c r="AW2951" s="479"/>
      <c r="AX2951" s="442"/>
      <c r="AY2951" s="153"/>
      <c r="AZ2951" s="152"/>
      <c r="BA2951" s="152"/>
      <c r="BB2951" s="152"/>
      <c r="BC2951" s="152"/>
      <c r="BD2951" s="152"/>
      <c r="BE2951" s="152"/>
      <c r="BF2951" s="152"/>
      <c r="BG2951" s="152"/>
      <c r="BH2951" s="152"/>
      <c r="BI2951" s="153"/>
      <c r="BJ2951" s="153"/>
      <c r="BK2951" s="153"/>
      <c r="BL2951" s="153"/>
      <c r="BM2951" s="153"/>
      <c r="BN2951" s="153"/>
      <c r="BO2951" s="153"/>
      <c r="BP2951" s="153"/>
      <c r="BQ2951" s="153"/>
      <c r="BR2951" s="153"/>
      <c r="BS2951" s="153"/>
      <c r="BT2951" s="153"/>
      <c r="BU2951" s="153"/>
      <c r="BV2951" s="153"/>
      <c r="BW2951" s="153"/>
      <c r="BX2951" s="153"/>
      <c r="BY2951" s="153"/>
      <c r="BZ2951" s="153"/>
      <c r="CA2951" s="152"/>
      <c r="CB2951" s="152"/>
    </row>
    <row r="2952" spans="1:80" s="87" customFormat="1" ht="15" x14ac:dyDescent="0.25">
      <c r="A2952" s="152"/>
      <c r="B2952" s="683"/>
      <c r="C2952" s="683"/>
      <c r="D2952" s="698"/>
      <c r="E2952" s="215"/>
      <c r="F2952" s="215"/>
      <c r="G2952" s="153"/>
      <c r="H2952" s="153"/>
      <c r="I2952" s="316">
        <v>20</v>
      </c>
      <c r="J2952" s="306">
        <v>60</v>
      </c>
      <c r="K2952" s="150">
        <v>1</v>
      </c>
      <c r="L2952" s="656">
        <v>20</v>
      </c>
      <c r="M2952" s="663">
        <v>34831</v>
      </c>
      <c r="N2952" s="600">
        <v>9.0883800000000008</v>
      </c>
      <c r="O2952" s="604">
        <v>3.5790000000000002E-2</v>
      </c>
      <c r="P2952" s="150"/>
      <c r="Q2952" s="250"/>
      <c r="R2952" s="250"/>
      <c r="S2952" s="250">
        <v>3.0000000000000001E-3</v>
      </c>
      <c r="T2952" s="250">
        <v>6.4000000000000001E-2</v>
      </c>
      <c r="U2952" s="250">
        <v>0.25900000000000001</v>
      </c>
      <c r="V2952" s="250">
        <v>0.435</v>
      </c>
      <c r="W2952" s="250">
        <v>0.18600000000000003</v>
      </c>
      <c r="X2952" s="250">
        <v>0.05</v>
      </c>
      <c r="Y2952" s="250">
        <v>3.0000000000000001E-3</v>
      </c>
      <c r="Z2952" s="150">
        <v>11</v>
      </c>
      <c r="AA2952" s="223">
        <v>1.52</v>
      </c>
      <c r="AB2952" s="152"/>
      <c r="AC2952" s="152"/>
      <c r="AD2952" s="223">
        <v>13.349802</v>
      </c>
      <c r="AE2952" s="223">
        <v>0.54862200000000005</v>
      </c>
      <c r="AF2952" s="223">
        <v>7.3200472000000003</v>
      </c>
      <c r="AG2952" s="223">
        <v>1.2557347999999999</v>
      </c>
      <c r="AH2952" s="341"/>
      <c r="AI2952" s="218"/>
      <c r="AJ2952" s="218"/>
      <c r="AK2952" s="153"/>
      <c r="AL2952" s="152"/>
      <c r="AM2952" s="152"/>
      <c r="AN2952" s="152"/>
      <c r="AO2952" s="152"/>
      <c r="AP2952" s="152"/>
      <c r="AQ2952" s="152"/>
      <c r="AR2952" s="152"/>
      <c r="AS2952" s="152"/>
      <c r="AT2952" s="152"/>
      <c r="AU2952" s="153"/>
      <c r="AV2952" s="479"/>
      <c r="AW2952" s="479"/>
      <c r="AX2952" s="442"/>
      <c r="AY2952" s="153"/>
      <c r="AZ2952" s="152"/>
      <c r="BA2952" s="152"/>
      <c r="BB2952" s="152"/>
      <c r="BC2952" s="152"/>
      <c r="BD2952" s="152"/>
      <c r="BE2952" s="152"/>
      <c r="BF2952" s="152"/>
      <c r="BG2952" s="152"/>
      <c r="BH2952" s="152"/>
      <c r="BI2952" s="153"/>
      <c r="BJ2952" s="153"/>
      <c r="BK2952" s="153"/>
      <c r="BL2952" s="153"/>
      <c r="BM2952" s="153"/>
      <c r="BN2952" s="153"/>
      <c r="BO2952" s="153"/>
      <c r="BP2952" s="153"/>
      <c r="BQ2952" s="153"/>
      <c r="BR2952" s="153"/>
      <c r="BS2952" s="153"/>
      <c r="BT2952" s="153"/>
      <c r="BU2952" s="153"/>
      <c r="BV2952" s="153"/>
      <c r="BW2952" s="153"/>
      <c r="BX2952" s="153"/>
      <c r="BY2952" s="153"/>
      <c r="BZ2952" s="153"/>
      <c r="CA2952" s="152"/>
      <c r="CB2952" s="152"/>
    </row>
    <row r="2953" spans="1:80" s="87" customFormat="1" ht="15" x14ac:dyDescent="0.25">
      <c r="A2953" s="152"/>
      <c r="B2953" s="683"/>
      <c r="C2953" s="683"/>
      <c r="D2953" s="698"/>
      <c r="E2953" s="215"/>
      <c r="F2953" s="215"/>
      <c r="G2953" s="153"/>
      <c r="H2953" s="153"/>
      <c r="I2953" s="316">
        <v>20</v>
      </c>
      <c r="J2953" s="306">
        <v>60</v>
      </c>
      <c r="K2953" s="150">
        <v>1</v>
      </c>
      <c r="L2953" s="656">
        <v>20</v>
      </c>
      <c r="M2953" s="663">
        <v>34835</v>
      </c>
      <c r="N2953" s="600">
        <v>5.4360400000000002</v>
      </c>
      <c r="O2953" s="604">
        <v>9.4149999999999998E-3</v>
      </c>
      <c r="P2953" s="150"/>
      <c r="Q2953" s="250"/>
      <c r="R2953" s="250"/>
      <c r="S2953" s="250">
        <v>2.7000000000000003E-2</v>
      </c>
      <c r="T2953" s="250">
        <v>7.4999999999999997E-2</v>
      </c>
      <c r="U2953" s="250">
        <v>0.13300000000000001</v>
      </c>
      <c r="V2953" s="250">
        <v>0.192</v>
      </c>
      <c r="W2953" s="250">
        <v>0.316</v>
      </c>
      <c r="X2953" s="250">
        <v>0.248</v>
      </c>
      <c r="Y2953" s="250">
        <v>9.0000000000000011E-3</v>
      </c>
      <c r="Z2953" s="150">
        <v>10</v>
      </c>
      <c r="AA2953" s="223">
        <v>0.85</v>
      </c>
      <c r="AB2953" s="152"/>
      <c r="AC2953" s="152"/>
      <c r="AD2953" s="223">
        <v>9.9666329999999999</v>
      </c>
      <c r="AE2953" s="223">
        <v>0.53643039999999997</v>
      </c>
      <c r="AF2953" s="223">
        <v>5.3506944000000001</v>
      </c>
      <c r="AG2953" s="223">
        <v>0.96923219999999999</v>
      </c>
      <c r="AH2953" s="341"/>
      <c r="AI2953" s="218"/>
      <c r="AJ2953" s="218"/>
      <c r="AK2953" s="153"/>
      <c r="AL2953" s="152"/>
      <c r="AM2953" s="152"/>
      <c r="AN2953" s="152"/>
      <c r="AO2953" s="152"/>
      <c r="AP2953" s="152"/>
      <c r="AQ2953" s="152"/>
      <c r="AR2953" s="152"/>
      <c r="AS2953" s="152"/>
      <c r="AT2953" s="152"/>
      <c r="AU2953" s="153"/>
      <c r="AV2953" s="479"/>
      <c r="AW2953" s="479"/>
      <c r="AX2953" s="442"/>
      <c r="AY2953" s="153"/>
      <c r="AZ2953" s="152"/>
      <c r="BA2953" s="152"/>
      <c r="BB2953" s="152"/>
      <c r="BC2953" s="152"/>
      <c r="BD2953" s="152"/>
      <c r="BE2953" s="152"/>
      <c r="BF2953" s="152"/>
      <c r="BG2953" s="152"/>
      <c r="BH2953" s="152"/>
      <c r="BI2953" s="153"/>
      <c r="BJ2953" s="153"/>
      <c r="BK2953" s="153"/>
      <c r="BL2953" s="153"/>
      <c r="BM2953" s="153"/>
      <c r="BN2953" s="153"/>
      <c r="BO2953" s="153"/>
      <c r="BP2953" s="153"/>
      <c r="BQ2953" s="153"/>
      <c r="BR2953" s="153"/>
      <c r="BS2953" s="153"/>
      <c r="BT2953" s="153"/>
      <c r="BU2953" s="153"/>
      <c r="BV2953" s="153"/>
      <c r="BW2953" s="153"/>
      <c r="BX2953" s="153"/>
      <c r="BY2953" s="153"/>
      <c r="BZ2953" s="153"/>
      <c r="CA2953" s="152"/>
      <c r="CB2953" s="152"/>
    </row>
    <row r="2954" spans="1:80" s="87" customFormat="1" ht="15" x14ac:dyDescent="0.25">
      <c r="A2954" s="152"/>
      <c r="B2954" s="683"/>
      <c r="C2954" s="683"/>
      <c r="D2954" s="698"/>
      <c r="E2954" s="215"/>
      <c r="F2954" s="215"/>
      <c r="G2954" s="153"/>
      <c r="H2954" s="153"/>
      <c r="I2954" s="316">
        <v>20</v>
      </c>
      <c r="J2954" s="306">
        <v>60</v>
      </c>
      <c r="K2954" s="150">
        <v>1</v>
      </c>
      <c r="L2954" s="656">
        <v>20</v>
      </c>
      <c r="M2954" s="663">
        <v>34835</v>
      </c>
      <c r="N2954" s="600">
        <v>5.4360400000000002</v>
      </c>
      <c r="O2954" s="604">
        <v>1.291E-2</v>
      </c>
      <c r="P2954" s="150"/>
      <c r="Q2954" s="250"/>
      <c r="R2954" s="250"/>
      <c r="S2954" s="250">
        <v>0.03</v>
      </c>
      <c r="T2954" s="250">
        <v>0.23199999999999998</v>
      </c>
      <c r="U2954" s="250">
        <v>0.217</v>
      </c>
      <c r="V2954" s="250">
        <v>9.6999999999999989E-2</v>
      </c>
      <c r="W2954" s="250">
        <v>0.214</v>
      </c>
      <c r="X2954" s="250">
        <v>0.20199999999999999</v>
      </c>
      <c r="Y2954" s="250">
        <v>8.0000000000000002E-3</v>
      </c>
      <c r="Z2954" s="150">
        <v>12</v>
      </c>
      <c r="AA2954" s="223">
        <v>1.72</v>
      </c>
      <c r="AB2954" s="152"/>
      <c r="AC2954" s="152"/>
      <c r="AD2954" s="223">
        <v>9.9666329999999999</v>
      </c>
      <c r="AE2954" s="223">
        <v>0.53643039999999997</v>
      </c>
      <c r="AF2954" s="223">
        <v>5.3506944000000001</v>
      </c>
      <c r="AG2954" s="223">
        <v>0.96923219999999999</v>
      </c>
      <c r="AH2954" s="341"/>
      <c r="AI2954" s="218"/>
      <c r="AJ2954" s="218"/>
      <c r="AK2954" s="153"/>
      <c r="AL2954" s="152"/>
      <c r="AM2954" s="152"/>
      <c r="AN2954" s="152"/>
      <c r="AO2954" s="152"/>
      <c r="AP2954" s="152"/>
      <c r="AQ2954" s="152"/>
      <c r="AR2954" s="152"/>
      <c r="AS2954" s="152"/>
      <c r="AT2954" s="152"/>
      <c r="AU2954" s="153"/>
      <c r="AV2954" s="479"/>
      <c r="AW2954" s="479"/>
      <c r="AX2954" s="442"/>
      <c r="AY2954" s="153"/>
      <c r="AZ2954" s="152"/>
      <c r="BA2954" s="152"/>
      <c r="BB2954" s="152"/>
      <c r="BC2954" s="152"/>
      <c r="BD2954" s="152"/>
      <c r="BE2954" s="152"/>
      <c r="BF2954" s="152"/>
      <c r="BG2954" s="152"/>
      <c r="BH2954" s="152"/>
      <c r="BI2954" s="153"/>
      <c r="BJ2954" s="153"/>
      <c r="BK2954" s="153"/>
      <c r="BL2954" s="153"/>
      <c r="BM2954" s="153"/>
      <c r="BN2954" s="153"/>
      <c r="BO2954" s="153"/>
      <c r="BP2954" s="153"/>
      <c r="BQ2954" s="153"/>
      <c r="BR2954" s="153"/>
      <c r="BS2954" s="153"/>
      <c r="BT2954" s="153"/>
      <c r="BU2954" s="153"/>
      <c r="BV2954" s="153"/>
      <c r="BW2954" s="153"/>
      <c r="BX2954" s="153"/>
      <c r="BY2954" s="153"/>
      <c r="BZ2954" s="153"/>
      <c r="CA2954" s="152"/>
      <c r="CB2954" s="152"/>
    </row>
    <row r="2955" spans="1:80" s="87" customFormat="1" ht="15" x14ac:dyDescent="0.25">
      <c r="A2955" s="152"/>
      <c r="B2955" s="683"/>
      <c r="C2955" s="683"/>
      <c r="D2955" s="698"/>
      <c r="E2955" s="215"/>
      <c r="F2955" s="215"/>
      <c r="G2955" s="153"/>
      <c r="H2955" s="153"/>
      <c r="I2955" s="316">
        <v>20</v>
      </c>
      <c r="J2955" s="306">
        <v>60</v>
      </c>
      <c r="K2955" s="150">
        <v>1</v>
      </c>
      <c r="L2955" s="656">
        <v>20</v>
      </c>
      <c r="M2955" s="663">
        <v>34836</v>
      </c>
      <c r="N2955" s="600">
        <v>5.6342299999999996</v>
      </c>
      <c r="O2955" s="604">
        <v>8.3129999999999992E-3</v>
      </c>
      <c r="P2955" s="150"/>
      <c r="Q2955" s="250"/>
      <c r="R2955" s="250"/>
      <c r="S2955" s="250"/>
      <c r="T2955" s="250">
        <v>5.7000000000000002E-2</v>
      </c>
      <c r="U2955" s="250">
        <v>0.19699999999999998</v>
      </c>
      <c r="V2955" s="250">
        <v>0.315</v>
      </c>
      <c r="W2955" s="250">
        <v>0.32100000000000001</v>
      </c>
      <c r="X2955" s="250">
        <v>0.10099999999999999</v>
      </c>
      <c r="Y2955" s="250">
        <v>9.0000000000000011E-3</v>
      </c>
      <c r="Z2955" s="150">
        <v>7</v>
      </c>
      <c r="AA2955" s="223">
        <v>1.1599999999999999</v>
      </c>
      <c r="AB2955" s="152"/>
      <c r="AC2955" s="152"/>
      <c r="AD2955" s="223">
        <v>10.058070000000001</v>
      </c>
      <c r="AE2955" s="223">
        <v>0.56386150000000002</v>
      </c>
      <c r="AF2955" s="223">
        <v>5.6758233999999996</v>
      </c>
      <c r="AG2955" s="223">
        <v>1.0271423</v>
      </c>
      <c r="AH2955" s="341"/>
      <c r="AI2955" s="218"/>
      <c r="AJ2955" s="218"/>
      <c r="AK2955" s="153"/>
      <c r="AL2955" s="152"/>
      <c r="AM2955" s="152"/>
      <c r="AN2955" s="152"/>
      <c r="AO2955" s="152"/>
      <c r="AP2955" s="152"/>
      <c r="AQ2955" s="152"/>
      <c r="AR2955" s="152"/>
      <c r="AS2955" s="152"/>
      <c r="AT2955" s="152"/>
      <c r="AU2955" s="153"/>
      <c r="AV2955" s="479"/>
      <c r="AW2955" s="479"/>
      <c r="AX2955" s="442"/>
      <c r="AY2955" s="153"/>
      <c r="AZ2955" s="152"/>
      <c r="BA2955" s="152"/>
      <c r="BB2955" s="152"/>
      <c r="BC2955" s="152"/>
      <c r="BD2955" s="152"/>
      <c r="BE2955" s="152"/>
      <c r="BF2955" s="152"/>
      <c r="BG2955" s="152"/>
      <c r="BH2955" s="152"/>
      <c r="BI2955" s="153"/>
      <c r="BJ2955" s="153"/>
      <c r="BK2955" s="153"/>
      <c r="BL2955" s="153"/>
      <c r="BM2955" s="153"/>
      <c r="BN2955" s="153"/>
      <c r="BO2955" s="153"/>
      <c r="BP2955" s="153"/>
      <c r="BQ2955" s="153"/>
      <c r="BR2955" s="153"/>
      <c r="BS2955" s="153"/>
      <c r="BT2955" s="153"/>
      <c r="BU2955" s="153"/>
      <c r="BV2955" s="153"/>
      <c r="BW2955" s="153"/>
      <c r="BX2955" s="153"/>
      <c r="BY2955" s="153"/>
      <c r="BZ2955" s="153"/>
      <c r="CA2955" s="152"/>
      <c r="CB2955" s="152"/>
    </row>
    <row r="2956" spans="1:80" s="87" customFormat="1" ht="15" x14ac:dyDescent="0.25">
      <c r="A2956" s="152"/>
      <c r="B2956" s="683"/>
      <c r="C2956" s="683"/>
      <c r="D2956" s="698"/>
      <c r="E2956" s="215"/>
      <c r="F2956" s="215"/>
      <c r="G2956" s="153"/>
      <c r="H2956" s="153"/>
      <c r="I2956" s="316">
        <v>20</v>
      </c>
      <c r="J2956" s="306">
        <v>60</v>
      </c>
      <c r="K2956" s="150">
        <v>1</v>
      </c>
      <c r="L2956" s="656">
        <v>20</v>
      </c>
      <c r="M2956" s="663">
        <v>34836</v>
      </c>
      <c r="N2956" s="600">
        <v>5.6342299999999996</v>
      </c>
      <c r="O2956" s="604">
        <v>2.5714999999999998E-2</v>
      </c>
      <c r="P2956" s="150"/>
      <c r="Q2956" s="250"/>
      <c r="R2956" s="250"/>
      <c r="S2956" s="250">
        <v>1.4999999999999999E-2</v>
      </c>
      <c r="T2956" s="250">
        <v>7.5999999999999998E-2</v>
      </c>
      <c r="U2956" s="250">
        <v>0.23699999999999999</v>
      </c>
      <c r="V2956" s="250">
        <v>0.36599999999999999</v>
      </c>
      <c r="W2956" s="250">
        <v>0.253</v>
      </c>
      <c r="X2956" s="250">
        <v>5.0999999999999997E-2</v>
      </c>
      <c r="Y2956" s="250">
        <v>2E-3</v>
      </c>
      <c r="Z2956" s="150">
        <v>11</v>
      </c>
      <c r="AA2956" s="223">
        <v>1.44</v>
      </c>
      <c r="AB2956" s="152"/>
      <c r="AC2956" s="152"/>
      <c r="AD2956" s="223">
        <v>10.058070000000001</v>
      </c>
      <c r="AE2956" s="223">
        <v>0.56386150000000002</v>
      </c>
      <c r="AF2956" s="223">
        <v>5.6758233999999996</v>
      </c>
      <c r="AG2956" s="223">
        <v>1.0271423</v>
      </c>
      <c r="AH2956" s="341"/>
      <c r="AI2956" s="218"/>
      <c r="AJ2956" s="218"/>
      <c r="AK2956" s="153"/>
      <c r="AL2956" s="152"/>
      <c r="AM2956" s="152"/>
      <c r="AN2956" s="152"/>
      <c r="AO2956" s="152"/>
      <c r="AP2956" s="152"/>
      <c r="AQ2956" s="152"/>
      <c r="AR2956" s="152"/>
      <c r="AS2956" s="152"/>
      <c r="AT2956" s="152"/>
      <c r="AU2956" s="153"/>
      <c r="AV2956" s="479"/>
      <c r="AW2956" s="479"/>
      <c r="AX2956" s="442"/>
      <c r="AY2956" s="153"/>
      <c r="AZ2956" s="152"/>
      <c r="BA2956" s="152"/>
      <c r="BB2956" s="152"/>
      <c r="BC2956" s="152"/>
      <c r="BD2956" s="152"/>
      <c r="BE2956" s="152"/>
      <c r="BF2956" s="152"/>
      <c r="BG2956" s="152"/>
      <c r="BH2956" s="152"/>
      <c r="BI2956" s="153"/>
      <c r="BJ2956" s="153"/>
      <c r="BK2956" s="153"/>
      <c r="BL2956" s="153"/>
      <c r="BM2956" s="153"/>
      <c r="BN2956" s="153"/>
      <c r="BO2956" s="153"/>
      <c r="BP2956" s="153"/>
      <c r="BQ2956" s="153"/>
      <c r="BR2956" s="153"/>
      <c r="BS2956" s="153"/>
      <c r="BT2956" s="153"/>
      <c r="BU2956" s="153"/>
      <c r="BV2956" s="153"/>
      <c r="BW2956" s="153"/>
      <c r="BX2956" s="153"/>
      <c r="BY2956" s="153"/>
      <c r="BZ2956" s="153"/>
      <c r="CA2956" s="152"/>
      <c r="CB2956" s="152"/>
    </row>
    <row r="2957" spans="1:80" s="87" customFormat="1" ht="15" x14ac:dyDescent="0.25">
      <c r="A2957" s="152"/>
      <c r="B2957" s="683"/>
      <c r="C2957" s="683"/>
      <c r="D2957" s="698"/>
      <c r="E2957" s="215"/>
      <c r="F2957" s="215"/>
      <c r="G2957" s="153"/>
      <c r="H2957" s="153"/>
      <c r="I2957" s="316">
        <v>20</v>
      </c>
      <c r="J2957" s="306">
        <v>60</v>
      </c>
      <c r="K2957" s="150">
        <v>1</v>
      </c>
      <c r="L2957" s="656">
        <v>20</v>
      </c>
      <c r="M2957" s="663">
        <v>34843</v>
      </c>
      <c r="N2957" s="600">
        <v>3.9071500000000001</v>
      </c>
      <c r="O2957" s="604">
        <v>2.0572E-2</v>
      </c>
      <c r="P2957" s="150"/>
      <c r="Q2957" s="250"/>
      <c r="R2957" s="250"/>
      <c r="S2957" s="250"/>
      <c r="T2957" s="250">
        <v>2.2000000000000002E-2</v>
      </c>
      <c r="U2957" s="250">
        <v>0.09</v>
      </c>
      <c r="V2957" s="250">
        <v>0.36599999999999999</v>
      </c>
      <c r="W2957" s="250">
        <v>0.44799999999999995</v>
      </c>
      <c r="X2957" s="250">
        <v>7.0999999999999994E-2</v>
      </c>
      <c r="Y2957" s="250">
        <v>3.0000000000000001E-3</v>
      </c>
      <c r="Z2957" s="150">
        <v>8</v>
      </c>
      <c r="AA2957" s="223">
        <v>0.97</v>
      </c>
      <c r="AB2957" s="152"/>
      <c r="AC2957" s="152"/>
      <c r="AD2957" s="223">
        <v>9.7532800000000002</v>
      </c>
      <c r="AE2957" s="223">
        <v>0.49071189999999998</v>
      </c>
      <c r="AF2957" s="223">
        <v>4.7840410000000002</v>
      </c>
      <c r="AG2957" s="223">
        <v>0.85950780000000004</v>
      </c>
      <c r="AH2957" s="341"/>
      <c r="AI2957" s="218"/>
      <c r="AJ2957" s="218"/>
      <c r="AK2957" s="153"/>
      <c r="AL2957" s="152"/>
      <c r="AM2957" s="152"/>
      <c r="AN2957" s="152"/>
      <c r="AO2957" s="152"/>
      <c r="AP2957" s="152"/>
      <c r="AQ2957" s="152"/>
      <c r="AR2957" s="152"/>
      <c r="AS2957" s="152"/>
      <c r="AT2957" s="152"/>
      <c r="AU2957" s="153"/>
      <c r="AV2957" s="479"/>
      <c r="AW2957" s="479"/>
      <c r="AX2957" s="442"/>
      <c r="AY2957" s="153"/>
      <c r="AZ2957" s="152"/>
      <c r="BA2957" s="152"/>
      <c r="BB2957" s="152"/>
      <c r="BC2957" s="152"/>
      <c r="BD2957" s="152"/>
      <c r="BE2957" s="152"/>
      <c r="BF2957" s="152"/>
      <c r="BG2957" s="152"/>
      <c r="BH2957" s="152"/>
      <c r="BI2957" s="153"/>
      <c r="BJ2957" s="153"/>
      <c r="BK2957" s="153"/>
      <c r="BL2957" s="153"/>
      <c r="BM2957" s="153"/>
      <c r="BN2957" s="153"/>
      <c r="BO2957" s="153"/>
      <c r="BP2957" s="153"/>
      <c r="BQ2957" s="153"/>
      <c r="BR2957" s="153"/>
      <c r="BS2957" s="153"/>
      <c r="BT2957" s="153"/>
      <c r="BU2957" s="153"/>
      <c r="BV2957" s="153"/>
      <c r="BW2957" s="153"/>
      <c r="BX2957" s="153"/>
      <c r="BY2957" s="153"/>
      <c r="BZ2957" s="153"/>
      <c r="CA2957" s="152"/>
      <c r="CB2957" s="152"/>
    </row>
    <row r="2958" spans="1:80" s="87" customFormat="1" ht="15" x14ac:dyDescent="0.25">
      <c r="A2958" s="152"/>
      <c r="B2958" s="683"/>
      <c r="C2958" s="683"/>
      <c r="D2958" s="698"/>
      <c r="E2958" s="215"/>
      <c r="F2958" s="215"/>
      <c r="G2958" s="153"/>
      <c r="H2958" s="153"/>
      <c r="I2958" s="316">
        <v>20</v>
      </c>
      <c r="J2958" s="306">
        <v>60</v>
      </c>
      <c r="K2958" s="150">
        <v>1</v>
      </c>
      <c r="L2958" s="656">
        <v>20</v>
      </c>
      <c r="M2958" s="663">
        <v>34843</v>
      </c>
      <c r="N2958" s="600">
        <v>3.9071500000000001</v>
      </c>
      <c r="O2958" s="604">
        <v>4.8175000000000003E-2</v>
      </c>
      <c r="P2958" s="150"/>
      <c r="Q2958" s="250"/>
      <c r="R2958" s="250"/>
      <c r="S2958" s="250"/>
      <c r="T2958" s="250">
        <v>3.6000000000000004E-2</v>
      </c>
      <c r="U2958" s="250">
        <v>0.223</v>
      </c>
      <c r="V2958" s="250">
        <v>0.495</v>
      </c>
      <c r="W2958" s="250">
        <v>0.19600000000000001</v>
      </c>
      <c r="X2958" s="250">
        <v>4.4999999999999998E-2</v>
      </c>
      <c r="Y2958" s="250">
        <v>5.0000000000000001E-3</v>
      </c>
      <c r="Z2958" s="150">
        <v>10</v>
      </c>
      <c r="AA2958" s="223">
        <v>1.43</v>
      </c>
      <c r="AB2958" s="152"/>
      <c r="AC2958" s="152"/>
      <c r="AD2958" s="223">
        <v>9.7532800000000002</v>
      </c>
      <c r="AE2958" s="223">
        <v>0.49071189999999998</v>
      </c>
      <c r="AF2958" s="223">
        <v>4.7840410000000002</v>
      </c>
      <c r="AG2958" s="223">
        <v>0.85950780000000004</v>
      </c>
      <c r="AH2958" s="341"/>
      <c r="AI2958" s="218"/>
      <c r="AJ2958" s="218"/>
      <c r="AK2958" s="153"/>
      <c r="AL2958" s="152"/>
      <c r="AM2958" s="152"/>
      <c r="AN2958" s="152"/>
      <c r="AO2958" s="152"/>
      <c r="AP2958" s="152"/>
      <c r="AQ2958" s="152"/>
      <c r="AR2958" s="152"/>
      <c r="AS2958" s="152"/>
      <c r="AT2958" s="152"/>
      <c r="AU2958" s="153"/>
      <c r="AV2958" s="479"/>
      <c r="AW2958" s="479"/>
      <c r="AX2958" s="442"/>
      <c r="AY2958" s="153"/>
      <c r="AZ2958" s="152"/>
      <c r="BA2958" s="152"/>
      <c r="BB2958" s="152"/>
      <c r="BC2958" s="152"/>
      <c r="BD2958" s="152"/>
      <c r="BE2958" s="152"/>
      <c r="BF2958" s="152"/>
      <c r="BG2958" s="152"/>
      <c r="BH2958" s="152"/>
      <c r="BI2958" s="153"/>
      <c r="BJ2958" s="153"/>
      <c r="BK2958" s="153"/>
      <c r="BL2958" s="153"/>
      <c r="BM2958" s="153"/>
      <c r="BN2958" s="153"/>
      <c r="BO2958" s="153"/>
      <c r="BP2958" s="153"/>
      <c r="BQ2958" s="153"/>
      <c r="BR2958" s="153"/>
      <c r="BS2958" s="153"/>
      <c r="BT2958" s="153"/>
      <c r="BU2958" s="153"/>
      <c r="BV2958" s="153"/>
      <c r="BW2958" s="153"/>
      <c r="BX2958" s="153"/>
      <c r="BY2958" s="153"/>
      <c r="BZ2958" s="153"/>
      <c r="CA2958" s="152"/>
      <c r="CB2958" s="152"/>
    </row>
    <row r="2959" spans="1:80" s="87" customFormat="1" ht="15" x14ac:dyDescent="0.25">
      <c r="A2959" s="152"/>
      <c r="B2959" s="683"/>
      <c r="C2959" s="683"/>
      <c r="D2959" s="698"/>
      <c r="E2959" s="215"/>
      <c r="F2959" s="215"/>
      <c r="G2959" s="153"/>
      <c r="H2959" s="153"/>
      <c r="I2959" s="316">
        <v>20</v>
      </c>
      <c r="J2959" s="306">
        <v>60</v>
      </c>
      <c r="K2959" s="150">
        <v>1</v>
      </c>
      <c r="L2959" s="656">
        <v>20</v>
      </c>
      <c r="M2959" s="663">
        <v>34844</v>
      </c>
      <c r="N2959" s="600">
        <v>3.68065</v>
      </c>
      <c r="O2959" s="604">
        <v>1.1650000000000001E-2</v>
      </c>
      <c r="P2959" s="150"/>
      <c r="Q2959" s="250"/>
      <c r="R2959" s="250"/>
      <c r="S2959" s="250">
        <v>1.3999999999999999E-2</v>
      </c>
      <c r="T2959" s="250">
        <v>3.0000000000000001E-3</v>
      </c>
      <c r="U2959" s="250">
        <v>6.4000000000000001E-2</v>
      </c>
      <c r="V2959" s="250">
        <v>0.247</v>
      </c>
      <c r="W2959" s="250">
        <v>0.53200000000000003</v>
      </c>
      <c r="X2959" s="250">
        <v>0.13400000000000001</v>
      </c>
      <c r="Y2959" s="250">
        <v>6.0000000000000001E-3</v>
      </c>
      <c r="Z2959" s="150">
        <v>13</v>
      </c>
      <c r="AA2959" s="223">
        <v>0.8</v>
      </c>
      <c r="AB2959" s="152"/>
      <c r="AC2959" s="152"/>
      <c r="AD2959" s="223">
        <v>9.6923220000000008</v>
      </c>
      <c r="AE2959" s="223">
        <v>0.4815682</v>
      </c>
      <c r="AF2959" s="223">
        <v>4.6539894000000004</v>
      </c>
      <c r="AG2959" s="223">
        <v>0.80769349999999995</v>
      </c>
      <c r="AH2959" s="341"/>
      <c r="AI2959" s="218"/>
      <c r="AJ2959" s="218"/>
      <c r="AK2959" s="153"/>
      <c r="AL2959" s="152"/>
      <c r="AM2959" s="152"/>
      <c r="AN2959" s="152"/>
      <c r="AO2959" s="152"/>
      <c r="AP2959" s="152"/>
      <c r="AQ2959" s="152"/>
      <c r="AR2959" s="152"/>
      <c r="AS2959" s="152"/>
      <c r="AT2959" s="152"/>
      <c r="AU2959" s="153"/>
      <c r="AV2959" s="479"/>
      <c r="AW2959" s="479"/>
      <c r="AX2959" s="442"/>
      <c r="AY2959" s="153"/>
      <c r="AZ2959" s="152"/>
      <c r="BA2959" s="152"/>
      <c r="BB2959" s="152"/>
      <c r="BC2959" s="152"/>
      <c r="BD2959" s="152"/>
      <c r="BE2959" s="152"/>
      <c r="BF2959" s="152"/>
      <c r="BG2959" s="152"/>
      <c r="BH2959" s="152"/>
      <c r="BI2959" s="153"/>
      <c r="BJ2959" s="153"/>
      <c r="BK2959" s="153"/>
      <c r="BL2959" s="153"/>
      <c r="BM2959" s="153"/>
      <c r="BN2959" s="153"/>
      <c r="BO2959" s="153"/>
      <c r="BP2959" s="153"/>
      <c r="BQ2959" s="153"/>
      <c r="BR2959" s="153"/>
      <c r="BS2959" s="153"/>
      <c r="BT2959" s="153"/>
      <c r="BU2959" s="153"/>
      <c r="BV2959" s="153"/>
      <c r="BW2959" s="153"/>
      <c r="BX2959" s="153"/>
      <c r="BY2959" s="153"/>
      <c r="BZ2959" s="153"/>
      <c r="CA2959" s="152"/>
      <c r="CB2959" s="152"/>
    </row>
    <row r="2960" spans="1:80" s="87" customFormat="1" ht="15" x14ac:dyDescent="0.25">
      <c r="A2960" s="152"/>
      <c r="B2960" s="683"/>
      <c r="C2960" s="683"/>
      <c r="D2960" s="698"/>
      <c r="E2960" s="215"/>
      <c r="F2960" s="215"/>
      <c r="G2960" s="153"/>
      <c r="H2960" s="153"/>
      <c r="I2960" s="316">
        <v>20</v>
      </c>
      <c r="J2960" s="306">
        <v>60</v>
      </c>
      <c r="K2960" s="150">
        <v>1</v>
      </c>
      <c r="L2960" s="656">
        <v>20</v>
      </c>
      <c r="M2960" s="663">
        <v>34844</v>
      </c>
      <c r="N2960" s="600">
        <v>3.68065</v>
      </c>
      <c r="O2960" s="604">
        <v>6.3600000000000002E-3</v>
      </c>
      <c r="P2960" s="150"/>
      <c r="Q2960" s="250"/>
      <c r="R2960" s="250"/>
      <c r="S2960" s="250"/>
      <c r="T2960" s="250">
        <v>2.2000000000000002E-2</v>
      </c>
      <c r="U2960" s="250">
        <v>6.3E-2</v>
      </c>
      <c r="V2960" s="250">
        <v>0.254</v>
      </c>
      <c r="W2960" s="250">
        <v>0.504</v>
      </c>
      <c r="X2960" s="250">
        <v>0.152</v>
      </c>
      <c r="Y2960" s="250">
        <v>5.0000000000000001E-3</v>
      </c>
      <c r="Z2960" s="150">
        <v>7</v>
      </c>
      <c r="AA2960" s="223">
        <v>0.8</v>
      </c>
      <c r="AB2960" s="152"/>
      <c r="AC2960" s="152"/>
      <c r="AD2960" s="223">
        <v>9.6923220000000008</v>
      </c>
      <c r="AE2960" s="223">
        <v>0.4815682</v>
      </c>
      <c r="AF2960" s="223">
        <v>4.6539894000000004</v>
      </c>
      <c r="AG2960" s="223">
        <v>0.80769349999999995</v>
      </c>
      <c r="AH2960" s="341"/>
      <c r="AI2960" s="218"/>
      <c r="AJ2960" s="218"/>
      <c r="AK2960" s="153"/>
      <c r="AL2960" s="152"/>
      <c r="AM2960" s="152"/>
      <c r="AN2960" s="152"/>
      <c r="AO2960" s="152"/>
      <c r="AP2960" s="152"/>
      <c r="AQ2960" s="152"/>
      <c r="AR2960" s="152"/>
      <c r="AS2960" s="152"/>
      <c r="AT2960" s="152"/>
      <c r="AU2960" s="153"/>
      <c r="AV2960" s="479"/>
      <c r="AW2960" s="479"/>
      <c r="AX2960" s="442"/>
      <c r="AY2960" s="153"/>
      <c r="AZ2960" s="152"/>
      <c r="BA2960" s="152"/>
      <c r="BB2960" s="152"/>
      <c r="BC2960" s="152"/>
      <c r="BD2960" s="152"/>
      <c r="BE2960" s="152"/>
      <c r="BF2960" s="152"/>
      <c r="BG2960" s="152"/>
      <c r="BH2960" s="152"/>
      <c r="BI2960" s="153"/>
      <c r="BJ2960" s="153"/>
      <c r="BK2960" s="153"/>
      <c r="BL2960" s="153"/>
      <c r="BM2960" s="153"/>
      <c r="BN2960" s="153"/>
      <c r="BO2960" s="153"/>
      <c r="BP2960" s="153"/>
      <c r="BQ2960" s="153"/>
      <c r="BR2960" s="153"/>
      <c r="BS2960" s="153"/>
      <c r="BT2960" s="153"/>
      <c r="BU2960" s="153"/>
      <c r="BV2960" s="153"/>
      <c r="BW2960" s="153"/>
      <c r="BX2960" s="153"/>
      <c r="BY2960" s="153"/>
      <c r="BZ2960" s="153"/>
      <c r="CA2960" s="152"/>
      <c r="CB2960" s="152"/>
    </row>
    <row r="2961" spans="1:80" s="87" customFormat="1" ht="15" x14ac:dyDescent="0.25">
      <c r="A2961" s="152"/>
      <c r="B2961" s="683"/>
      <c r="C2961" s="683"/>
      <c r="D2961" s="698"/>
      <c r="E2961" s="215"/>
      <c r="F2961" s="215"/>
      <c r="G2961" s="153"/>
      <c r="H2961" s="153"/>
      <c r="I2961" s="316">
        <v>20</v>
      </c>
      <c r="J2961" s="306">
        <v>60</v>
      </c>
      <c r="K2961" s="150">
        <v>1</v>
      </c>
      <c r="L2961" s="656">
        <v>20</v>
      </c>
      <c r="M2961" s="663">
        <v>34851</v>
      </c>
      <c r="N2961" s="600">
        <v>2.83127</v>
      </c>
      <c r="O2961" s="604">
        <v>1.5114000000000001E-2</v>
      </c>
      <c r="P2961" s="150"/>
      <c r="Q2961" s="250"/>
      <c r="R2961" s="250"/>
      <c r="S2961" s="250"/>
      <c r="T2961" s="250">
        <v>2.7999999999999997E-2</v>
      </c>
      <c r="U2961" s="250">
        <v>0.14199999999999999</v>
      </c>
      <c r="V2961" s="250">
        <v>0.38799999999999996</v>
      </c>
      <c r="W2961" s="250">
        <v>0.28999999999999998</v>
      </c>
      <c r="X2961" s="250">
        <v>0.14699999999999999</v>
      </c>
      <c r="Y2961" s="250">
        <v>5.0000000000000001E-3</v>
      </c>
      <c r="Z2961" s="150">
        <v>6</v>
      </c>
      <c r="AA2961" s="223">
        <v>1.1100000000000001</v>
      </c>
      <c r="AB2961" s="152"/>
      <c r="AC2961" s="152"/>
      <c r="AD2961" s="223">
        <v>9.6313639999999996</v>
      </c>
      <c r="AE2961" s="223">
        <v>0.42061019999999999</v>
      </c>
      <c r="AF2961" s="223">
        <v>4.0501784000000001</v>
      </c>
      <c r="AG2961" s="223">
        <v>0.71930439999999995</v>
      </c>
      <c r="AH2961" s="341"/>
      <c r="AI2961" s="218"/>
      <c r="AJ2961" s="218"/>
      <c r="AK2961" s="153"/>
      <c r="AL2961" s="152"/>
      <c r="AM2961" s="152"/>
      <c r="AN2961" s="152"/>
      <c r="AO2961" s="152"/>
      <c r="AP2961" s="152"/>
      <c r="AQ2961" s="152"/>
      <c r="AR2961" s="152"/>
      <c r="AS2961" s="152"/>
      <c r="AT2961" s="152"/>
      <c r="AU2961" s="153"/>
      <c r="AV2961" s="479"/>
      <c r="AW2961" s="479"/>
      <c r="AX2961" s="442"/>
      <c r="AY2961" s="153"/>
      <c r="AZ2961" s="152"/>
      <c r="BA2961" s="152"/>
      <c r="BB2961" s="152"/>
      <c r="BC2961" s="152"/>
      <c r="BD2961" s="152"/>
      <c r="BE2961" s="152"/>
      <c r="BF2961" s="152"/>
      <c r="BG2961" s="152"/>
      <c r="BH2961" s="152"/>
      <c r="BI2961" s="153"/>
      <c r="BJ2961" s="153"/>
      <c r="BK2961" s="153"/>
      <c r="BL2961" s="153"/>
      <c r="BM2961" s="153"/>
      <c r="BN2961" s="153"/>
      <c r="BO2961" s="153"/>
      <c r="BP2961" s="153"/>
      <c r="BQ2961" s="153"/>
      <c r="BR2961" s="153"/>
      <c r="BS2961" s="153"/>
      <c r="BT2961" s="153"/>
      <c r="BU2961" s="153"/>
      <c r="BV2961" s="153"/>
      <c r="BW2961" s="153"/>
      <c r="BX2961" s="153"/>
      <c r="BY2961" s="153"/>
      <c r="BZ2961" s="153"/>
      <c r="CA2961" s="152"/>
      <c r="CB2961" s="152"/>
    </row>
    <row r="2962" spans="1:80" s="87" customFormat="1" ht="15" x14ac:dyDescent="0.25">
      <c r="A2962" s="152"/>
      <c r="B2962" s="683"/>
      <c r="C2962" s="683"/>
      <c r="D2962" s="698"/>
      <c r="E2962" s="215"/>
      <c r="F2962" s="215"/>
      <c r="G2962" s="153"/>
      <c r="H2962" s="153"/>
      <c r="I2962" s="316">
        <v>20</v>
      </c>
      <c r="J2962" s="306">
        <v>60</v>
      </c>
      <c r="K2962" s="150">
        <v>1</v>
      </c>
      <c r="L2962" s="656">
        <v>20</v>
      </c>
      <c r="M2962" s="663">
        <v>34851</v>
      </c>
      <c r="N2962" s="600">
        <v>2.83127</v>
      </c>
      <c r="O2962" s="604">
        <v>1.0916E-2</v>
      </c>
      <c r="P2962" s="150"/>
      <c r="Q2962" s="250"/>
      <c r="R2962" s="250"/>
      <c r="S2962" s="250">
        <v>1.3999999999999999E-2</v>
      </c>
      <c r="T2962" s="250">
        <v>6.0999999999999999E-2</v>
      </c>
      <c r="U2962" s="250">
        <v>0.11</v>
      </c>
      <c r="V2962" s="250">
        <v>0.40899999999999997</v>
      </c>
      <c r="W2962" s="250">
        <v>0.33</v>
      </c>
      <c r="X2962" s="250">
        <v>6.9000000000000006E-2</v>
      </c>
      <c r="Y2962" s="250">
        <v>6.9999999999999993E-3</v>
      </c>
      <c r="Z2962" s="150">
        <v>13</v>
      </c>
      <c r="AA2962" s="223">
        <v>1.17</v>
      </c>
      <c r="AB2962" s="152"/>
      <c r="AC2962" s="152"/>
      <c r="AD2962" s="223">
        <v>9.6313639999999996</v>
      </c>
      <c r="AE2962" s="223">
        <v>0.42061019999999999</v>
      </c>
      <c r="AF2962" s="223">
        <v>4.0501784000000001</v>
      </c>
      <c r="AG2962" s="223">
        <v>0.71930439999999995</v>
      </c>
      <c r="AH2962" s="341"/>
      <c r="AI2962" s="218"/>
      <c r="AJ2962" s="218"/>
      <c r="AK2962" s="153"/>
      <c r="AL2962" s="152"/>
      <c r="AM2962" s="152"/>
      <c r="AN2962" s="152"/>
      <c r="AO2962" s="152"/>
      <c r="AP2962" s="152"/>
      <c r="AQ2962" s="152"/>
      <c r="AR2962" s="152"/>
      <c r="AS2962" s="152"/>
      <c r="AT2962" s="152"/>
      <c r="AU2962" s="153"/>
      <c r="AV2962" s="479"/>
      <c r="AW2962" s="479"/>
      <c r="AX2962" s="442"/>
      <c r="AY2962" s="153"/>
      <c r="AZ2962" s="152"/>
      <c r="BA2962" s="152"/>
      <c r="BB2962" s="152"/>
      <c r="BC2962" s="152"/>
      <c r="BD2962" s="152"/>
      <c r="BE2962" s="152"/>
      <c r="BF2962" s="152"/>
      <c r="BG2962" s="152"/>
      <c r="BH2962" s="152"/>
      <c r="BI2962" s="153"/>
      <c r="BJ2962" s="153"/>
      <c r="BK2962" s="153"/>
      <c r="BL2962" s="153"/>
      <c r="BM2962" s="153"/>
      <c r="BN2962" s="153"/>
      <c r="BO2962" s="153"/>
      <c r="BP2962" s="153"/>
      <c r="BQ2962" s="153"/>
      <c r="BR2962" s="153"/>
      <c r="BS2962" s="153"/>
      <c r="BT2962" s="153"/>
      <c r="BU2962" s="153"/>
      <c r="BV2962" s="153"/>
      <c r="BW2962" s="153"/>
      <c r="BX2962" s="153"/>
      <c r="BY2962" s="153"/>
      <c r="BZ2962" s="153"/>
      <c r="CA2962" s="152"/>
      <c r="CB2962" s="152"/>
    </row>
    <row r="2963" spans="1:80" s="87" customFormat="1" ht="15" x14ac:dyDescent="0.25">
      <c r="A2963" s="152"/>
      <c r="B2963" s="683"/>
      <c r="C2963" s="683"/>
      <c r="D2963" s="698"/>
      <c r="E2963" s="215"/>
      <c r="F2963" s="215"/>
      <c r="G2963" s="153"/>
      <c r="H2963" s="153"/>
      <c r="I2963" s="316">
        <v>20</v>
      </c>
      <c r="J2963" s="306">
        <v>60</v>
      </c>
      <c r="K2963" s="150">
        <v>1</v>
      </c>
      <c r="L2963" s="656">
        <v>20</v>
      </c>
      <c r="M2963" s="663">
        <v>34858</v>
      </c>
      <c r="N2963" s="600">
        <v>3.7089599999999998</v>
      </c>
      <c r="O2963" s="604">
        <v>8.1869999999999998E-3</v>
      </c>
      <c r="P2963" s="150"/>
      <c r="Q2963" s="250"/>
      <c r="R2963" s="250"/>
      <c r="S2963" s="250"/>
      <c r="T2963" s="250">
        <v>0.03</v>
      </c>
      <c r="U2963" s="250">
        <v>0.152</v>
      </c>
      <c r="V2963" s="250">
        <v>0.317</v>
      </c>
      <c r="W2963" s="250">
        <v>0.26300000000000001</v>
      </c>
      <c r="X2963" s="250">
        <v>0.22899999999999998</v>
      </c>
      <c r="Y2963" s="250">
        <v>9.0000000000000011E-3</v>
      </c>
      <c r="Z2963" s="150">
        <v>6</v>
      </c>
      <c r="AA2963" s="223">
        <v>1</v>
      </c>
      <c r="AB2963" s="152"/>
      <c r="AC2963" s="152"/>
      <c r="AD2963" s="223">
        <v>9.6923220000000008</v>
      </c>
      <c r="AE2963" s="223">
        <v>0.47242450000000002</v>
      </c>
      <c r="AF2963" s="223">
        <v>4.5703848000000002</v>
      </c>
      <c r="AG2963" s="223">
        <v>0.82293300000000003</v>
      </c>
      <c r="AH2963" s="341"/>
      <c r="AI2963" s="218"/>
      <c r="AJ2963" s="218"/>
      <c r="AK2963" s="153"/>
      <c r="AL2963" s="152"/>
      <c r="AM2963" s="152"/>
      <c r="AN2963" s="152"/>
      <c r="AO2963" s="152"/>
      <c r="AP2963" s="152"/>
      <c r="AQ2963" s="152"/>
      <c r="AR2963" s="152"/>
      <c r="AS2963" s="152"/>
      <c r="AT2963" s="152"/>
      <c r="AU2963" s="153"/>
      <c r="AV2963" s="479"/>
      <c r="AW2963" s="479"/>
      <c r="AX2963" s="442"/>
      <c r="AY2963" s="153"/>
      <c r="AZ2963" s="152"/>
      <c r="BA2963" s="152"/>
      <c r="BB2963" s="152"/>
      <c r="BC2963" s="152"/>
      <c r="BD2963" s="152"/>
      <c r="BE2963" s="152"/>
      <c r="BF2963" s="152"/>
      <c r="BG2963" s="152"/>
      <c r="BH2963" s="152"/>
      <c r="BI2963" s="153"/>
      <c r="BJ2963" s="153"/>
      <c r="BK2963" s="153"/>
      <c r="BL2963" s="153"/>
      <c r="BM2963" s="153"/>
      <c r="BN2963" s="153"/>
      <c r="BO2963" s="153"/>
      <c r="BP2963" s="153"/>
      <c r="BQ2963" s="153"/>
      <c r="BR2963" s="153"/>
      <c r="BS2963" s="153"/>
      <c r="BT2963" s="153"/>
      <c r="BU2963" s="153"/>
      <c r="BV2963" s="153"/>
      <c r="BW2963" s="153"/>
      <c r="BX2963" s="153"/>
      <c r="BY2963" s="153"/>
      <c r="BZ2963" s="153"/>
      <c r="CA2963" s="152"/>
      <c r="CB2963" s="152"/>
    </row>
    <row r="2964" spans="1:80" s="87" customFormat="1" ht="15" x14ac:dyDescent="0.25">
      <c r="A2964" s="152"/>
      <c r="B2964" s="683"/>
      <c r="C2964" s="683"/>
      <c r="D2964" s="698"/>
      <c r="E2964" s="215"/>
      <c r="F2964" s="215"/>
      <c r="G2964" s="153"/>
      <c r="H2964" s="153"/>
      <c r="I2964" s="316">
        <v>20</v>
      </c>
      <c r="J2964" s="306">
        <v>60</v>
      </c>
      <c r="K2964" s="150">
        <v>1</v>
      </c>
      <c r="L2964" s="656">
        <v>20</v>
      </c>
      <c r="M2964" s="663">
        <v>34858</v>
      </c>
      <c r="N2964" s="600">
        <v>3.7089599999999998</v>
      </c>
      <c r="O2964" s="604">
        <v>1.4168999999999999E-2</v>
      </c>
      <c r="P2964" s="150"/>
      <c r="Q2964" s="250">
        <v>0.45399999999999996</v>
      </c>
      <c r="R2964" s="250">
        <v>0</v>
      </c>
      <c r="S2964" s="250">
        <v>0</v>
      </c>
      <c r="T2964" s="250">
        <v>1.6E-2</v>
      </c>
      <c r="U2964" s="250">
        <v>4.8000000000000001E-2</v>
      </c>
      <c r="V2964" s="250">
        <v>0.19</v>
      </c>
      <c r="W2964" s="250">
        <v>0.19500000000000001</v>
      </c>
      <c r="X2964" s="250">
        <v>9.3000000000000013E-2</v>
      </c>
      <c r="Y2964" s="250">
        <v>4.0000000000000001E-3</v>
      </c>
      <c r="Z2964" s="150">
        <v>42</v>
      </c>
      <c r="AA2964" s="223">
        <v>2.59</v>
      </c>
      <c r="AB2964" s="152"/>
      <c r="AC2964" s="152"/>
      <c r="AD2964" s="223">
        <v>9.6923220000000008</v>
      </c>
      <c r="AE2964" s="223">
        <v>0.47242450000000002</v>
      </c>
      <c r="AF2964" s="223">
        <v>4.5703848000000002</v>
      </c>
      <c r="AG2964" s="223">
        <v>0.82293300000000003</v>
      </c>
      <c r="AH2964" s="341"/>
      <c r="AI2964" s="218"/>
      <c r="AJ2964" s="218"/>
      <c r="AK2964" s="153"/>
      <c r="AL2964" s="152"/>
      <c r="AM2964" s="152"/>
      <c r="AN2964" s="152"/>
      <c r="AO2964" s="152"/>
      <c r="AP2964" s="152"/>
      <c r="AQ2964" s="152"/>
      <c r="AR2964" s="152"/>
      <c r="AS2964" s="152"/>
      <c r="AT2964" s="152"/>
      <c r="AU2964" s="153"/>
      <c r="AV2964" s="479"/>
      <c r="AW2964" s="479"/>
      <c r="AX2964" s="442"/>
      <c r="AY2964" s="153"/>
      <c r="AZ2964" s="152"/>
      <c r="BA2964" s="152"/>
      <c r="BB2964" s="152"/>
      <c r="BC2964" s="152"/>
      <c r="BD2964" s="152"/>
      <c r="BE2964" s="152"/>
      <c r="BF2964" s="152"/>
      <c r="BG2964" s="152"/>
      <c r="BH2964" s="152"/>
      <c r="BI2964" s="153"/>
      <c r="BJ2964" s="153"/>
      <c r="BK2964" s="153"/>
      <c r="BL2964" s="153"/>
      <c r="BM2964" s="153"/>
      <c r="BN2964" s="153"/>
      <c r="BO2964" s="153"/>
      <c r="BP2964" s="153"/>
      <c r="BQ2964" s="153"/>
      <c r="BR2964" s="153"/>
      <c r="BS2964" s="153"/>
      <c r="BT2964" s="153"/>
      <c r="BU2964" s="153"/>
      <c r="BV2964" s="153"/>
      <c r="BW2964" s="153"/>
      <c r="BX2964" s="153"/>
      <c r="BY2964" s="153"/>
      <c r="BZ2964" s="153"/>
      <c r="CA2964" s="152"/>
      <c r="CB2964" s="152"/>
    </row>
    <row r="2965" spans="1:80" s="87" customFormat="1" ht="15" x14ac:dyDescent="0.25">
      <c r="A2965" s="152"/>
      <c r="B2965" s="683"/>
      <c r="C2965" s="683"/>
      <c r="D2965" s="698"/>
      <c r="E2965" s="215"/>
      <c r="F2965" s="215"/>
      <c r="G2965" s="153"/>
      <c r="H2965" s="153"/>
      <c r="I2965" s="316">
        <v>20</v>
      </c>
      <c r="J2965" s="306">
        <v>60</v>
      </c>
      <c r="K2965" s="150">
        <v>1</v>
      </c>
      <c r="L2965" s="656">
        <v>20</v>
      </c>
      <c r="M2965" s="663">
        <v>34863</v>
      </c>
      <c r="N2965" s="600">
        <v>2.5792899999999999</v>
      </c>
      <c r="O2965" s="604">
        <v>1.8680000000000001E-3</v>
      </c>
      <c r="P2965" s="150"/>
      <c r="Q2965" s="250"/>
      <c r="R2965" s="250"/>
      <c r="S2965" s="250"/>
      <c r="T2965" s="250"/>
      <c r="U2965" s="250">
        <v>7.2000000000000008E-2</v>
      </c>
      <c r="V2965" s="250">
        <v>0.26700000000000002</v>
      </c>
      <c r="W2965" s="250">
        <v>0.439</v>
      </c>
      <c r="X2965" s="250">
        <v>0.20600000000000002</v>
      </c>
      <c r="Y2965" s="250">
        <v>1.6E-2</v>
      </c>
      <c r="Z2965" s="150">
        <v>4</v>
      </c>
      <c r="AA2965" s="223">
        <v>0.78</v>
      </c>
      <c r="AB2965" s="152"/>
      <c r="AC2965" s="152"/>
      <c r="AD2965" s="223">
        <v>9.5094480000000008</v>
      </c>
      <c r="AE2965" s="223">
        <v>0.40537069999999997</v>
      </c>
      <c r="AF2965" s="223">
        <v>3.8643904</v>
      </c>
      <c r="AG2965" s="223">
        <v>0.67968170000000006</v>
      </c>
      <c r="AH2965" s="341"/>
      <c r="AI2965" s="218"/>
      <c r="AJ2965" s="218"/>
      <c r="AK2965" s="153"/>
      <c r="AL2965" s="152"/>
      <c r="AM2965" s="152"/>
      <c r="AN2965" s="152"/>
      <c r="AO2965" s="152"/>
      <c r="AP2965" s="152"/>
      <c r="AQ2965" s="152"/>
      <c r="AR2965" s="152"/>
      <c r="AS2965" s="152"/>
      <c r="AT2965" s="152"/>
      <c r="AU2965" s="153"/>
      <c r="AV2965" s="479"/>
      <c r="AW2965" s="479"/>
      <c r="AX2965" s="442"/>
      <c r="AY2965" s="153"/>
      <c r="AZ2965" s="152"/>
      <c r="BA2965" s="152"/>
      <c r="BB2965" s="152"/>
      <c r="BC2965" s="152"/>
      <c r="BD2965" s="152"/>
      <c r="BE2965" s="152"/>
      <c r="BF2965" s="152"/>
      <c r="BG2965" s="152"/>
      <c r="BH2965" s="152"/>
      <c r="BI2965" s="153"/>
      <c r="BJ2965" s="153"/>
      <c r="BK2965" s="153"/>
      <c r="BL2965" s="153"/>
      <c r="BM2965" s="153"/>
      <c r="BN2965" s="153"/>
      <c r="BO2965" s="153"/>
      <c r="BP2965" s="153"/>
      <c r="BQ2965" s="153"/>
      <c r="BR2965" s="153"/>
      <c r="BS2965" s="153"/>
      <c r="BT2965" s="153"/>
      <c r="BU2965" s="153"/>
      <c r="BV2965" s="153"/>
      <c r="BW2965" s="153"/>
      <c r="BX2965" s="153"/>
      <c r="BY2965" s="153"/>
      <c r="BZ2965" s="153"/>
      <c r="CA2965" s="152"/>
      <c r="CB2965" s="152"/>
    </row>
    <row r="2966" spans="1:80" s="87" customFormat="1" ht="15" x14ac:dyDescent="0.25">
      <c r="A2966" s="152"/>
      <c r="B2966" s="683"/>
      <c r="C2966" s="683"/>
      <c r="D2966" s="698"/>
      <c r="E2966" s="215"/>
      <c r="F2966" s="215"/>
      <c r="G2966" s="153"/>
      <c r="H2966" s="153"/>
      <c r="I2966" s="316">
        <v>20</v>
      </c>
      <c r="J2966" s="306">
        <v>60</v>
      </c>
      <c r="K2966" s="150">
        <v>1</v>
      </c>
      <c r="L2966" s="656">
        <v>20</v>
      </c>
      <c r="M2966" s="663">
        <v>34863</v>
      </c>
      <c r="N2966" s="600">
        <v>2.5792899999999999</v>
      </c>
      <c r="O2966" s="604">
        <v>3.9150000000000001E-3</v>
      </c>
      <c r="P2966" s="150"/>
      <c r="Q2966" s="250"/>
      <c r="R2966" s="250"/>
      <c r="S2966" s="250"/>
      <c r="T2966" s="250">
        <v>3.0000000000000001E-3</v>
      </c>
      <c r="U2966" s="250">
        <v>0.14699999999999999</v>
      </c>
      <c r="V2966" s="250">
        <v>0.45200000000000001</v>
      </c>
      <c r="W2966" s="250">
        <v>0.251</v>
      </c>
      <c r="X2966" s="250">
        <v>0.14199999999999999</v>
      </c>
      <c r="Y2966" s="250">
        <v>5.0000000000000001E-3</v>
      </c>
      <c r="Z2966" s="150">
        <v>5</v>
      </c>
      <c r="AA2966" s="223">
        <v>1.17</v>
      </c>
      <c r="AB2966" s="152"/>
      <c r="AC2966" s="152"/>
      <c r="AD2966" s="223">
        <v>9.5094480000000008</v>
      </c>
      <c r="AE2966" s="223">
        <v>0.40537069999999997</v>
      </c>
      <c r="AF2966" s="223">
        <v>3.8643904</v>
      </c>
      <c r="AG2966" s="223">
        <v>0.67968170000000006</v>
      </c>
      <c r="AH2966" s="341"/>
      <c r="AI2966" s="218"/>
      <c r="AJ2966" s="218"/>
      <c r="AK2966" s="153"/>
      <c r="AL2966" s="152"/>
      <c r="AM2966" s="152"/>
      <c r="AN2966" s="152"/>
      <c r="AO2966" s="152"/>
      <c r="AP2966" s="152"/>
      <c r="AQ2966" s="152"/>
      <c r="AR2966" s="152"/>
      <c r="AS2966" s="152"/>
      <c r="AT2966" s="152"/>
      <c r="AU2966" s="153"/>
      <c r="AV2966" s="479"/>
      <c r="AW2966" s="479"/>
      <c r="AX2966" s="442"/>
      <c r="AY2966" s="153"/>
      <c r="AZ2966" s="152"/>
      <c r="BA2966" s="152"/>
      <c r="BB2966" s="152"/>
      <c r="BC2966" s="152"/>
      <c r="BD2966" s="152"/>
      <c r="BE2966" s="152"/>
      <c r="BF2966" s="152"/>
      <c r="BG2966" s="152"/>
      <c r="BH2966" s="152"/>
      <c r="BI2966" s="153"/>
      <c r="BJ2966" s="153"/>
      <c r="BK2966" s="153"/>
      <c r="BL2966" s="153"/>
      <c r="BM2966" s="153"/>
      <c r="BN2966" s="153"/>
      <c r="BO2966" s="153"/>
      <c r="BP2966" s="153"/>
      <c r="BQ2966" s="153"/>
      <c r="BR2966" s="153"/>
      <c r="BS2966" s="153"/>
      <c r="BT2966" s="153"/>
      <c r="BU2966" s="153"/>
      <c r="BV2966" s="153"/>
      <c r="BW2966" s="153"/>
      <c r="BX2966" s="153"/>
      <c r="BY2966" s="153"/>
      <c r="BZ2966" s="153"/>
      <c r="CA2966" s="152"/>
      <c r="CB2966" s="152"/>
    </row>
    <row r="2967" spans="1:80" s="87" customFormat="1" ht="15" x14ac:dyDescent="0.25">
      <c r="A2967" s="152"/>
      <c r="B2967" s="683"/>
      <c r="C2967" s="683"/>
      <c r="D2967" s="698"/>
      <c r="E2967" s="215"/>
      <c r="F2967" s="215"/>
      <c r="G2967" s="153"/>
      <c r="H2967" s="153"/>
      <c r="I2967" s="316">
        <v>20</v>
      </c>
      <c r="J2967" s="306">
        <v>60</v>
      </c>
      <c r="K2967" s="150">
        <v>1</v>
      </c>
      <c r="L2967" s="656">
        <v>20</v>
      </c>
      <c r="M2967" s="663">
        <v>34872</v>
      </c>
      <c r="N2967" s="600">
        <v>2.59911</v>
      </c>
      <c r="O2967" s="604">
        <v>1.0920000000000001E-3</v>
      </c>
      <c r="P2967" s="150"/>
      <c r="Q2967" s="250"/>
      <c r="R2967" s="250"/>
      <c r="S2967" s="250"/>
      <c r="T2967" s="250"/>
      <c r="U2967" s="250">
        <v>5.9000000000000004E-2</v>
      </c>
      <c r="V2967" s="250">
        <v>0.218</v>
      </c>
      <c r="W2967" s="250">
        <v>0.34700000000000003</v>
      </c>
      <c r="X2967" s="250">
        <v>0.35600000000000004</v>
      </c>
      <c r="Y2967" s="250">
        <v>0.02</v>
      </c>
      <c r="Z2967" s="150">
        <v>4</v>
      </c>
      <c r="AA2967" s="223">
        <v>0.64</v>
      </c>
      <c r="AB2967" s="152"/>
      <c r="AC2967" s="152"/>
      <c r="AD2967" s="223">
        <v>9.6923220000000008</v>
      </c>
      <c r="AE2967" s="223">
        <v>0.43584970000000001</v>
      </c>
      <c r="AF2967" s="223">
        <v>4.2173876000000003</v>
      </c>
      <c r="AG2967" s="223">
        <v>0.67663379999999995</v>
      </c>
      <c r="AH2967" s="341"/>
      <c r="AI2967" s="218"/>
      <c r="AJ2967" s="218"/>
      <c r="AK2967" s="153"/>
      <c r="AL2967" s="152"/>
      <c r="AM2967" s="152"/>
      <c r="AN2967" s="152"/>
      <c r="AO2967" s="152"/>
      <c r="AP2967" s="152"/>
      <c r="AQ2967" s="152"/>
      <c r="AR2967" s="152"/>
      <c r="AS2967" s="152"/>
      <c r="AT2967" s="152"/>
      <c r="AU2967" s="153"/>
      <c r="AV2967" s="479"/>
      <c r="AW2967" s="479"/>
      <c r="AX2967" s="442"/>
      <c r="AY2967" s="153"/>
      <c r="AZ2967" s="152"/>
      <c r="BA2967" s="152"/>
      <c r="BB2967" s="152"/>
      <c r="BC2967" s="152"/>
      <c r="BD2967" s="152"/>
      <c r="BE2967" s="152"/>
      <c r="BF2967" s="152"/>
      <c r="BG2967" s="152"/>
      <c r="BH2967" s="152"/>
      <c r="BI2967" s="153"/>
      <c r="BJ2967" s="153"/>
      <c r="BK2967" s="153"/>
      <c r="BL2967" s="153"/>
      <c r="BM2967" s="153"/>
      <c r="BN2967" s="153"/>
      <c r="BO2967" s="153"/>
      <c r="BP2967" s="153"/>
      <c r="BQ2967" s="153"/>
      <c r="BR2967" s="153"/>
      <c r="BS2967" s="153"/>
      <c r="BT2967" s="153"/>
      <c r="BU2967" s="153"/>
      <c r="BV2967" s="153"/>
      <c r="BW2967" s="153"/>
      <c r="BX2967" s="153"/>
      <c r="BY2967" s="153"/>
      <c r="BZ2967" s="153"/>
      <c r="CA2967" s="152"/>
      <c r="CB2967" s="152"/>
    </row>
    <row r="2968" spans="1:80" s="87" customFormat="1" ht="15" x14ac:dyDescent="0.25">
      <c r="A2968" s="152"/>
      <c r="B2968" s="683"/>
      <c r="C2968" s="683"/>
      <c r="D2968" s="698"/>
      <c r="E2968" s="215"/>
      <c r="F2968" s="215"/>
      <c r="G2968" s="153"/>
      <c r="H2968" s="153"/>
      <c r="I2968" s="316">
        <v>20</v>
      </c>
      <c r="J2968" s="306">
        <v>60</v>
      </c>
      <c r="K2968" s="150">
        <v>1</v>
      </c>
      <c r="L2968" s="656">
        <v>20</v>
      </c>
      <c r="M2968" s="663">
        <v>34872</v>
      </c>
      <c r="N2968" s="600">
        <v>2.59911</v>
      </c>
      <c r="O2968" s="604">
        <v>3.663E-3</v>
      </c>
      <c r="P2968" s="150"/>
      <c r="Q2968" s="250"/>
      <c r="R2968" s="250"/>
      <c r="S2968" s="250"/>
      <c r="T2968" s="250">
        <v>9.0000000000000011E-3</v>
      </c>
      <c r="U2968" s="250">
        <v>6.0999999999999999E-2</v>
      </c>
      <c r="V2968" s="250">
        <v>0.47200000000000003</v>
      </c>
      <c r="W2968" s="250">
        <v>0.28000000000000003</v>
      </c>
      <c r="X2968" s="250">
        <v>0.17199999999999999</v>
      </c>
      <c r="Y2968" s="250">
        <v>6.0000000000000001E-3</v>
      </c>
      <c r="Z2968" s="150">
        <v>5</v>
      </c>
      <c r="AA2968" s="223">
        <v>1.06</v>
      </c>
      <c r="AB2968" s="152"/>
      <c r="AC2968" s="152"/>
      <c r="AD2968" s="223">
        <v>9.6923220000000008</v>
      </c>
      <c r="AE2968" s="223">
        <v>0.43584970000000001</v>
      </c>
      <c r="AF2968" s="223">
        <v>4.2173876000000003</v>
      </c>
      <c r="AG2968" s="223">
        <v>0.67663379999999995</v>
      </c>
      <c r="AH2968" s="341"/>
      <c r="AI2968" s="218"/>
      <c r="AJ2968" s="218"/>
      <c r="AK2968" s="153"/>
      <c r="AL2968" s="152"/>
      <c r="AM2968" s="152"/>
      <c r="AN2968" s="152"/>
      <c r="AO2968" s="152"/>
      <c r="AP2968" s="152"/>
      <c r="AQ2968" s="152"/>
      <c r="AR2968" s="152"/>
      <c r="AS2968" s="152"/>
      <c r="AT2968" s="152"/>
      <c r="AU2968" s="153"/>
      <c r="AV2968" s="479"/>
      <c r="AW2968" s="479"/>
      <c r="AX2968" s="442"/>
      <c r="AY2968" s="153"/>
      <c r="AZ2968" s="152"/>
      <c r="BA2968" s="152"/>
      <c r="BB2968" s="152"/>
      <c r="BC2968" s="152"/>
      <c r="BD2968" s="152"/>
      <c r="BE2968" s="152"/>
      <c r="BF2968" s="152"/>
      <c r="BG2968" s="152"/>
      <c r="BH2968" s="152"/>
      <c r="BI2968" s="153"/>
      <c r="BJ2968" s="153"/>
      <c r="BK2968" s="153"/>
      <c r="BL2968" s="153"/>
      <c r="BM2968" s="153"/>
      <c r="BN2968" s="153"/>
      <c r="BO2968" s="153"/>
      <c r="BP2968" s="153"/>
      <c r="BQ2968" s="153"/>
      <c r="BR2968" s="153"/>
      <c r="BS2968" s="153"/>
      <c r="BT2968" s="153"/>
      <c r="BU2968" s="153"/>
      <c r="BV2968" s="153"/>
      <c r="BW2968" s="153"/>
      <c r="BX2968" s="153"/>
      <c r="BY2968" s="153"/>
      <c r="BZ2968" s="153"/>
      <c r="CA2968" s="152"/>
      <c r="CB2968" s="152"/>
    </row>
    <row r="2969" spans="1:80" s="87" customFormat="1" ht="15" x14ac:dyDescent="0.25">
      <c r="A2969" s="152"/>
      <c r="B2969" s="683"/>
      <c r="C2969" s="683"/>
      <c r="D2969" s="698"/>
      <c r="E2969" s="215"/>
      <c r="F2969" s="215"/>
      <c r="G2969" s="153"/>
      <c r="H2969" s="153"/>
      <c r="I2969" s="316">
        <v>20</v>
      </c>
      <c r="J2969" s="306">
        <v>60</v>
      </c>
      <c r="K2969" s="150">
        <v>1</v>
      </c>
      <c r="L2969" s="656">
        <v>20</v>
      </c>
      <c r="M2969" s="663">
        <v>34880</v>
      </c>
      <c r="N2969" s="600">
        <v>1.34202</v>
      </c>
      <c r="O2969" s="604">
        <v>4.4700000000000002E-4</v>
      </c>
      <c r="P2969" s="150"/>
      <c r="Q2969" s="250"/>
      <c r="R2969" s="250"/>
      <c r="S2969" s="250"/>
      <c r="T2969" s="250"/>
      <c r="U2969" s="250">
        <v>4.7E-2</v>
      </c>
      <c r="V2969" s="250">
        <v>0.37200000000000005</v>
      </c>
      <c r="W2969" s="250">
        <v>0.46500000000000002</v>
      </c>
      <c r="X2969" s="250">
        <v>0.11599999999999999</v>
      </c>
      <c r="Y2969" s="250">
        <v>0</v>
      </c>
      <c r="Z2969" s="150">
        <v>3</v>
      </c>
      <c r="AA2969" s="223">
        <v>0.89</v>
      </c>
      <c r="AB2969" s="152"/>
      <c r="AC2969" s="152"/>
      <c r="AD2969" s="223">
        <v>9.0827419999999996</v>
      </c>
      <c r="AE2969" s="223">
        <v>0.3291732</v>
      </c>
      <c r="AF2969" s="223">
        <v>2.9818973999999998</v>
      </c>
      <c r="AG2969" s="223">
        <v>0.44804129999999998</v>
      </c>
      <c r="AH2969" s="341"/>
      <c r="AI2969" s="218"/>
      <c r="AJ2969" s="218"/>
      <c r="AK2969" s="153"/>
      <c r="AL2969" s="152"/>
      <c r="AM2969" s="152"/>
      <c r="AN2969" s="152"/>
      <c r="AO2969" s="152"/>
      <c r="AP2969" s="152"/>
      <c r="AQ2969" s="152"/>
      <c r="AR2969" s="152"/>
      <c r="AS2969" s="152"/>
      <c r="AT2969" s="152"/>
      <c r="AU2969" s="153"/>
      <c r="AV2969" s="479"/>
      <c r="AW2969" s="479"/>
      <c r="AX2969" s="442"/>
      <c r="AY2969" s="153"/>
      <c r="AZ2969" s="152"/>
      <c r="BA2969" s="152"/>
      <c r="BB2969" s="152"/>
      <c r="BC2969" s="152"/>
      <c r="BD2969" s="152"/>
      <c r="BE2969" s="152"/>
      <c r="BF2969" s="152"/>
      <c r="BG2969" s="152"/>
      <c r="BH2969" s="152"/>
      <c r="BI2969" s="153"/>
      <c r="BJ2969" s="153"/>
      <c r="BK2969" s="153"/>
      <c r="BL2969" s="153"/>
      <c r="BM2969" s="153"/>
      <c r="BN2969" s="153"/>
      <c r="BO2969" s="153"/>
      <c r="BP2969" s="153"/>
      <c r="BQ2969" s="153"/>
      <c r="BR2969" s="153"/>
      <c r="BS2969" s="153"/>
      <c r="BT2969" s="153"/>
      <c r="BU2969" s="153"/>
      <c r="BV2969" s="153"/>
      <c r="BW2969" s="153"/>
      <c r="BX2969" s="153"/>
      <c r="BY2969" s="153"/>
      <c r="BZ2969" s="153"/>
      <c r="CA2969" s="152"/>
      <c r="CB2969" s="152"/>
    </row>
    <row r="2970" spans="1:80" s="87" customFormat="1" ht="15" x14ac:dyDescent="0.25">
      <c r="A2970" s="152"/>
      <c r="B2970" s="683"/>
      <c r="C2970" s="683"/>
      <c r="D2970" s="698"/>
      <c r="E2970" s="215"/>
      <c r="F2970" s="215"/>
      <c r="G2970" s="153"/>
      <c r="H2970" s="153"/>
      <c r="I2970" s="316">
        <v>20</v>
      </c>
      <c r="J2970" s="306">
        <v>60</v>
      </c>
      <c r="K2970" s="150">
        <v>1</v>
      </c>
      <c r="L2970" s="656">
        <v>20</v>
      </c>
      <c r="M2970" s="663">
        <v>34880</v>
      </c>
      <c r="N2970" s="600">
        <v>1.34202</v>
      </c>
      <c r="O2970" s="604">
        <v>2.2900000000000001E-4</v>
      </c>
      <c r="P2970" s="150"/>
      <c r="Q2970" s="250"/>
      <c r="R2970" s="250"/>
      <c r="S2970" s="250"/>
      <c r="T2970" s="250"/>
      <c r="U2970" s="250">
        <v>4.2999999999999997E-2</v>
      </c>
      <c r="V2970" s="250">
        <v>0.17399999999999999</v>
      </c>
      <c r="W2970" s="250">
        <v>0.34799999999999998</v>
      </c>
      <c r="X2970" s="250">
        <v>0.39100000000000001</v>
      </c>
      <c r="Y2970" s="250">
        <v>4.4000000000000004E-2</v>
      </c>
      <c r="Z2970" s="150">
        <v>2</v>
      </c>
      <c r="AA2970" s="223">
        <v>0.56999999999999995</v>
      </c>
      <c r="AB2970" s="152"/>
      <c r="AC2970" s="152"/>
      <c r="AD2970" s="223">
        <v>9.0827419999999996</v>
      </c>
      <c r="AE2970" s="223">
        <v>0.3291732</v>
      </c>
      <c r="AF2970" s="223">
        <v>2.9818973999999998</v>
      </c>
      <c r="AG2970" s="223">
        <v>0.44804129999999998</v>
      </c>
      <c r="AH2970" s="341"/>
      <c r="AI2970" s="218"/>
      <c r="AJ2970" s="218"/>
      <c r="AK2970" s="153"/>
      <c r="AL2970" s="152"/>
      <c r="AM2970" s="152"/>
      <c r="AN2970" s="152"/>
      <c r="AO2970" s="152"/>
      <c r="AP2970" s="152"/>
      <c r="AQ2970" s="152"/>
      <c r="AR2970" s="152"/>
      <c r="AS2970" s="152"/>
      <c r="AT2970" s="152"/>
      <c r="AU2970" s="153"/>
      <c r="AV2970" s="479"/>
      <c r="AW2970" s="479"/>
      <c r="AX2970" s="442"/>
      <c r="AY2970" s="153"/>
      <c r="AZ2970" s="152"/>
      <c r="BA2970" s="152"/>
      <c r="BB2970" s="152"/>
      <c r="BC2970" s="152"/>
      <c r="BD2970" s="152"/>
      <c r="BE2970" s="152"/>
      <c r="BF2970" s="152"/>
      <c r="BG2970" s="152"/>
      <c r="BH2970" s="152"/>
      <c r="BI2970" s="153"/>
      <c r="BJ2970" s="153"/>
      <c r="BK2970" s="153"/>
      <c r="BL2970" s="153"/>
      <c r="BM2970" s="153"/>
      <c r="BN2970" s="153"/>
      <c r="BO2970" s="153"/>
      <c r="BP2970" s="153"/>
      <c r="BQ2970" s="153"/>
      <c r="BR2970" s="153"/>
      <c r="BS2970" s="153"/>
      <c r="BT2970" s="153"/>
      <c r="BU2970" s="153"/>
      <c r="BV2970" s="153"/>
      <c r="BW2970" s="153"/>
      <c r="BX2970" s="153"/>
      <c r="BY2970" s="153"/>
      <c r="BZ2970" s="153"/>
      <c r="CA2970" s="152"/>
      <c r="CB2970" s="152"/>
    </row>
    <row r="2971" spans="1:80" s="87" customFormat="1" ht="15" x14ac:dyDescent="0.25">
      <c r="A2971" s="152"/>
      <c r="B2971" s="683"/>
      <c r="C2971" s="683"/>
      <c r="D2971" s="698"/>
      <c r="E2971" s="215"/>
      <c r="F2971" s="215"/>
      <c r="G2971" s="153"/>
      <c r="H2971" s="153"/>
      <c r="I2971" s="316">
        <v>17</v>
      </c>
      <c r="J2971" s="306">
        <v>60</v>
      </c>
      <c r="K2971" s="150">
        <v>1</v>
      </c>
      <c r="L2971" s="656">
        <v>17</v>
      </c>
      <c r="M2971" s="663">
        <v>34883</v>
      </c>
      <c r="N2971" s="600">
        <v>4.6715999999999998</v>
      </c>
      <c r="O2971" s="604">
        <v>4.2193000000000001E-2</v>
      </c>
      <c r="P2971" s="150"/>
      <c r="Q2971" s="250"/>
      <c r="R2971" s="250"/>
      <c r="S2971" s="250">
        <v>4.0000000000000001E-3</v>
      </c>
      <c r="T2971" s="250">
        <v>0.128</v>
      </c>
      <c r="U2971" s="250">
        <v>0.45500000000000002</v>
      </c>
      <c r="V2971" s="250">
        <v>0.24199999999999999</v>
      </c>
      <c r="W2971" s="250">
        <v>0.11</v>
      </c>
      <c r="X2971" s="250">
        <v>5.5999999999999994E-2</v>
      </c>
      <c r="Y2971" s="250">
        <v>5.0000000000000001E-3</v>
      </c>
      <c r="Z2971" s="150">
        <v>8</v>
      </c>
      <c r="AA2971" s="223">
        <v>2.2799999999999998</v>
      </c>
      <c r="AB2971" s="152"/>
      <c r="AC2971" s="152"/>
      <c r="AD2971" s="223">
        <v>9.9971119999999996</v>
      </c>
      <c r="AE2971" s="223">
        <v>0.53947829999999997</v>
      </c>
      <c r="AF2971" s="223">
        <v>5.3878519999999996</v>
      </c>
      <c r="AG2971" s="223">
        <v>1.0027591</v>
      </c>
      <c r="AH2971" s="341"/>
      <c r="AI2971" s="218"/>
      <c r="AJ2971" s="218"/>
      <c r="AK2971" s="153"/>
      <c r="AL2971" s="152"/>
      <c r="AM2971" s="152"/>
      <c r="AN2971" s="152"/>
      <c r="AO2971" s="152"/>
      <c r="AP2971" s="152"/>
      <c r="AQ2971" s="152"/>
      <c r="AR2971" s="152"/>
      <c r="AS2971" s="152"/>
      <c r="AT2971" s="152"/>
      <c r="AU2971" s="153"/>
      <c r="AV2971" s="479"/>
      <c r="AW2971" s="479"/>
      <c r="AX2971" s="442"/>
      <c r="AY2971" s="153"/>
      <c r="AZ2971" s="152"/>
      <c r="BA2971" s="152"/>
      <c r="BB2971" s="152"/>
      <c r="BC2971" s="152"/>
      <c r="BD2971" s="152"/>
      <c r="BE2971" s="152"/>
      <c r="BF2971" s="152"/>
      <c r="BG2971" s="152"/>
      <c r="BH2971" s="152"/>
      <c r="BI2971" s="153"/>
      <c r="BJ2971" s="153"/>
      <c r="BK2971" s="153"/>
      <c r="BL2971" s="153"/>
      <c r="BM2971" s="153"/>
      <c r="BN2971" s="153"/>
      <c r="BO2971" s="153"/>
      <c r="BP2971" s="153"/>
      <c r="BQ2971" s="153"/>
      <c r="BR2971" s="153"/>
      <c r="BS2971" s="153"/>
      <c r="BT2971" s="153"/>
      <c r="BU2971" s="153"/>
      <c r="BV2971" s="153"/>
      <c r="BW2971" s="153"/>
      <c r="BX2971" s="153"/>
      <c r="BY2971" s="153"/>
      <c r="BZ2971" s="153"/>
      <c r="CA2971" s="152"/>
      <c r="CB2971" s="152"/>
    </row>
    <row r="2972" spans="1:80" s="87" customFormat="1" ht="15" x14ac:dyDescent="0.25">
      <c r="A2972" s="152"/>
      <c r="B2972" s="683"/>
      <c r="C2972" s="683"/>
      <c r="D2972" s="698"/>
      <c r="E2972" s="215"/>
      <c r="F2972" s="215"/>
      <c r="G2972" s="153"/>
      <c r="H2972" s="153"/>
      <c r="I2972" s="316">
        <v>17</v>
      </c>
      <c r="J2972" s="306">
        <v>60</v>
      </c>
      <c r="K2972" s="150">
        <v>1</v>
      </c>
      <c r="L2972" s="656">
        <v>17</v>
      </c>
      <c r="M2972" s="663">
        <v>34883</v>
      </c>
      <c r="N2972" s="600">
        <v>4.6715999999999998</v>
      </c>
      <c r="O2972" s="604">
        <v>1.3225000000000001E-2</v>
      </c>
      <c r="P2972" s="150"/>
      <c r="Q2972" s="250"/>
      <c r="R2972" s="250"/>
      <c r="S2972" s="250"/>
      <c r="T2972" s="250">
        <v>8.1000000000000003E-2</v>
      </c>
      <c r="U2972" s="250">
        <v>0.26800000000000002</v>
      </c>
      <c r="V2972" s="250">
        <v>0.34600000000000003</v>
      </c>
      <c r="W2972" s="250">
        <v>0.14199999999999999</v>
      </c>
      <c r="X2972" s="250">
        <v>0.153</v>
      </c>
      <c r="Y2972" s="250">
        <v>0.01</v>
      </c>
      <c r="Z2972" s="150">
        <v>7</v>
      </c>
      <c r="AA2972" s="223">
        <v>1.48</v>
      </c>
      <c r="AB2972" s="152"/>
      <c r="AC2972" s="152"/>
      <c r="AD2972" s="223">
        <v>9.9971119999999996</v>
      </c>
      <c r="AE2972" s="223">
        <v>0.53947829999999997</v>
      </c>
      <c r="AF2972" s="223">
        <v>5.3878519999999996</v>
      </c>
      <c r="AG2972" s="223">
        <v>1.0027591</v>
      </c>
      <c r="AH2972" s="341"/>
      <c r="AI2972" s="218"/>
      <c r="AJ2972" s="218"/>
      <c r="AK2972" s="153"/>
      <c r="AL2972" s="152"/>
      <c r="AM2972" s="152"/>
      <c r="AN2972" s="152"/>
      <c r="AO2972" s="152"/>
      <c r="AP2972" s="152"/>
      <c r="AQ2972" s="152"/>
      <c r="AR2972" s="152"/>
      <c r="AS2972" s="152"/>
      <c r="AT2972" s="152"/>
      <c r="AU2972" s="153"/>
      <c r="AV2972" s="479"/>
      <c r="AW2972" s="479"/>
      <c r="AX2972" s="442"/>
      <c r="AY2972" s="153"/>
      <c r="AZ2972" s="152"/>
      <c r="BA2972" s="152"/>
      <c r="BB2972" s="152"/>
      <c r="BC2972" s="152"/>
      <c r="BD2972" s="152"/>
      <c r="BE2972" s="152"/>
      <c r="BF2972" s="152"/>
      <c r="BG2972" s="152"/>
      <c r="BH2972" s="152"/>
      <c r="BI2972" s="153"/>
      <c r="BJ2972" s="153"/>
      <c r="BK2972" s="153"/>
      <c r="BL2972" s="153"/>
      <c r="BM2972" s="153"/>
      <c r="BN2972" s="153"/>
      <c r="BO2972" s="153"/>
      <c r="BP2972" s="153"/>
      <c r="BQ2972" s="153"/>
      <c r="BR2972" s="153"/>
      <c r="BS2972" s="153"/>
      <c r="BT2972" s="153"/>
      <c r="BU2972" s="153"/>
      <c r="BV2972" s="153"/>
      <c r="BW2972" s="153"/>
      <c r="BX2972" s="153"/>
      <c r="BY2972" s="153"/>
      <c r="BZ2972" s="153"/>
      <c r="CA2972" s="152"/>
      <c r="CB2972" s="152"/>
    </row>
    <row r="2973" spans="1:80" s="87" customFormat="1" ht="15" x14ac:dyDescent="0.25">
      <c r="A2973" s="152"/>
      <c r="B2973" s="683"/>
      <c r="C2973" s="683"/>
      <c r="D2973" s="698"/>
      <c r="E2973" s="215"/>
      <c r="F2973" s="215"/>
      <c r="G2973" s="153"/>
      <c r="H2973" s="153"/>
      <c r="I2973" s="316">
        <v>20</v>
      </c>
      <c r="J2973" s="306">
        <v>60</v>
      </c>
      <c r="K2973" s="150">
        <v>1</v>
      </c>
      <c r="L2973" s="656">
        <v>20</v>
      </c>
      <c r="M2973" s="663">
        <v>34904</v>
      </c>
      <c r="N2973" s="600">
        <v>1.0192600000000001</v>
      </c>
      <c r="O2973" s="604">
        <v>6.11E-4</v>
      </c>
      <c r="P2973" s="150"/>
      <c r="Q2973" s="250"/>
      <c r="R2973" s="250"/>
      <c r="S2973" s="250"/>
      <c r="T2973" s="250"/>
      <c r="U2973" s="250">
        <v>0.10300000000000001</v>
      </c>
      <c r="V2973" s="250">
        <v>0.47100000000000003</v>
      </c>
      <c r="W2973" s="250">
        <v>0.29399999999999998</v>
      </c>
      <c r="X2973" s="250">
        <v>0.11800000000000001</v>
      </c>
      <c r="Y2973" s="250">
        <v>1.3999999999999999E-2</v>
      </c>
      <c r="Z2973" s="150">
        <v>3</v>
      </c>
      <c r="AA2973" s="223">
        <v>1.1200000000000001</v>
      </c>
      <c r="AB2973" s="152"/>
      <c r="AC2973" s="152"/>
      <c r="AD2973" s="223">
        <v>9.0522629999999999</v>
      </c>
      <c r="AE2973" s="223">
        <v>0.30479000000000001</v>
      </c>
      <c r="AF2973" s="223">
        <v>2.7496624000000001</v>
      </c>
      <c r="AG2973" s="223">
        <v>0.38708330000000002</v>
      </c>
      <c r="AH2973" s="341"/>
      <c r="AI2973" s="218"/>
      <c r="AJ2973" s="218"/>
      <c r="AK2973" s="153"/>
      <c r="AL2973" s="152"/>
      <c r="AM2973" s="152"/>
      <c r="AN2973" s="152"/>
      <c r="AO2973" s="152"/>
      <c r="AP2973" s="152"/>
      <c r="AQ2973" s="152"/>
      <c r="AR2973" s="152"/>
      <c r="AS2973" s="152"/>
      <c r="AT2973" s="152"/>
      <c r="AU2973" s="153"/>
      <c r="AV2973" s="479"/>
      <c r="AW2973" s="479"/>
      <c r="AX2973" s="442"/>
      <c r="AY2973" s="153"/>
      <c r="AZ2973" s="152"/>
      <c r="BA2973" s="152"/>
      <c r="BB2973" s="152"/>
      <c r="BC2973" s="152"/>
      <c r="BD2973" s="152"/>
      <c r="BE2973" s="152"/>
      <c r="BF2973" s="152"/>
      <c r="BG2973" s="152"/>
      <c r="BH2973" s="152"/>
      <c r="BI2973" s="153"/>
      <c r="BJ2973" s="153"/>
      <c r="BK2973" s="153"/>
      <c r="BL2973" s="153"/>
      <c r="BM2973" s="153"/>
      <c r="BN2973" s="153"/>
      <c r="BO2973" s="153"/>
      <c r="BP2973" s="153"/>
      <c r="BQ2973" s="153"/>
      <c r="BR2973" s="153"/>
      <c r="BS2973" s="153"/>
      <c r="BT2973" s="153"/>
      <c r="BU2973" s="153"/>
      <c r="BV2973" s="153"/>
      <c r="BW2973" s="153"/>
      <c r="BX2973" s="153"/>
      <c r="BY2973" s="153"/>
      <c r="BZ2973" s="153"/>
      <c r="CA2973" s="152"/>
      <c r="CB2973" s="152"/>
    </row>
    <row r="2974" spans="1:80" s="87" customFormat="1" ht="15" x14ac:dyDescent="0.25">
      <c r="A2974" s="152"/>
      <c r="B2974" s="683"/>
      <c r="C2974" s="683"/>
      <c r="D2974" s="698"/>
      <c r="E2974" s="215"/>
      <c r="F2974" s="215"/>
      <c r="G2974" s="153"/>
      <c r="H2974" s="153"/>
      <c r="I2974" s="316">
        <v>20</v>
      </c>
      <c r="J2974" s="306">
        <v>60</v>
      </c>
      <c r="K2974" s="150">
        <v>1</v>
      </c>
      <c r="L2974" s="656">
        <v>20</v>
      </c>
      <c r="M2974" s="663">
        <v>34904</v>
      </c>
      <c r="N2974" s="600">
        <v>1.0192600000000001</v>
      </c>
      <c r="O2974" s="604">
        <v>5.6700000000000003E-5</v>
      </c>
      <c r="P2974" s="150"/>
      <c r="Q2974" s="250"/>
      <c r="R2974" s="250"/>
      <c r="S2974" s="250"/>
      <c r="T2974" s="250"/>
      <c r="U2974" s="250">
        <v>0.14300000000000002</v>
      </c>
      <c r="V2974" s="250">
        <v>0.28600000000000003</v>
      </c>
      <c r="W2974" s="250">
        <v>0.28600000000000003</v>
      </c>
      <c r="X2974" s="250">
        <v>0.28499999999999998</v>
      </c>
      <c r="Y2974" s="250">
        <v>0</v>
      </c>
      <c r="Z2974" s="150">
        <v>3</v>
      </c>
      <c r="AA2974" s="223">
        <v>0.84</v>
      </c>
      <c r="AB2974" s="152"/>
      <c r="AC2974" s="152"/>
      <c r="AD2974" s="223">
        <v>9.0522629999999999</v>
      </c>
      <c r="AE2974" s="223">
        <v>0.30479000000000001</v>
      </c>
      <c r="AF2974" s="223">
        <v>2.7496624000000001</v>
      </c>
      <c r="AG2974" s="223">
        <v>0.38708330000000002</v>
      </c>
      <c r="AH2974" s="341"/>
      <c r="AI2974" s="218"/>
      <c r="AJ2974" s="218"/>
      <c r="AK2974" s="153"/>
      <c r="AL2974" s="152"/>
      <c r="AM2974" s="152"/>
      <c r="AN2974" s="152"/>
      <c r="AO2974" s="152"/>
      <c r="AP2974" s="152"/>
      <c r="AQ2974" s="152"/>
      <c r="AR2974" s="152"/>
      <c r="AS2974" s="152"/>
      <c r="AT2974" s="152"/>
      <c r="AU2974" s="153"/>
      <c r="AV2974" s="479"/>
      <c r="AW2974" s="479"/>
      <c r="AX2974" s="442"/>
      <c r="AY2974" s="153"/>
      <c r="AZ2974" s="152"/>
      <c r="BA2974" s="152"/>
      <c r="BB2974" s="152"/>
      <c r="BC2974" s="152"/>
      <c r="BD2974" s="152"/>
      <c r="BE2974" s="152"/>
      <c r="BF2974" s="152"/>
      <c r="BG2974" s="152"/>
      <c r="BH2974" s="152"/>
      <c r="BI2974" s="153"/>
      <c r="BJ2974" s="153"/>
      <c r="BK2974" s="153"/>
      <c r="BL2974" s="153"/>
      <c r="BM2974" s="153"/>
      <c r="BN2974" s="153"/>
      <c r="BO2974" s="153"/>
      <c r="BP2974" s="153"/>
      <c r="BQ2974" s="153"/>
      <c r="BR2974" s="153"/>
      <c r="BS2974" s="153"/>
      <c r="BT2974" s="153"/>
      <c r="BU2974" s="153"/>
      <c r="BV2974" s="153"/>
      <c r="BW2974" s="153"/>
      <c r="BX2974" s="153"/>
      <c r="BY2974" s="153"/>
      <c r="BZ2974" s="153"/>
      <c r="CA2974" s="152"/>
      <c r="CB2974" s="152"/>
    </row>
    <row r="2975" spans="1:80" s="87" customFormat="1" ht="15" x14ac:dyDescent="0.25">
      <c r="A2975" s="152"/>
      <c r="B2975" s="683"/>
      <c r="C2975" s="683"/>
      <c r="D2975" s="698"/>
      <c r="E2975" s="215"/>
      <c r="F2975" s="215"/>
      <c r="G2975" s="153"/>
      <c r="H2975" s="153"/>
      <c r="I2975" s="316">
        <v>20</v>
      </c>
      <c r="J2975" s="306">
        <v>60</v>
      </c>
      <c r="K2975" s="150">
        <v>1</v>
      </c>
      <c r="L2975" s="656">
        <v>20</v>
      </c>
      <c r="M2975" s="663">
        <v>34914</v>
      </c>
      <c r="N2975" s="600">
        <v>0.71631</v>
      </c>
      <c r="O2975" s="604">
        <v>1.75E-4</v>
      </c>
      <c r="P2975" s="150"/>
      <c r="Q2975" s="250"/>
      <c r="R2975" s="250"/>
      <c r="S2975" s="250"/>
      <c r="T2975" s="250"/>
      <c r="U2975" s="250">
        <v>0.222</v>
      </c>
      <c r="V2975" s="250">
        <v>0.222</v>
      </c>
      <c r="W2975" s="250">
        <v>0.222</v>
      </c>
      <c r="X2975" s="250">
        <v>0.27800000000000002</v>
      </c>
      <c r="Y2975" s="250">
        <v>5.5999999999999994E-2</v>
      </c>
      <c r="Z2975" s="150">
        <v>2</v>
      </c>
      <c r="AA2975" s="223">
        <v>0.84</v>
      </c>
      <c r="AB2975" s="152"/>
      <c r="AC2975" s="152"/>
      <c r="AD2975" s="223">
        <v>8.9303469999999994</v>
      </c>
      <c r="AE2975" s="223">
        <v>0.27735890000000002</v>
      </c>
      <c r="AF2975" s="223">
        <v>2.4709804000000002</v>
      </c>
      <c r="AG2975" s="223">
        <v>0.30174210000000001</v>
      </c>
      <c r="AH2975" s="341"/>
      <c r="AI2975" s="218"/>
      <c r="AJ2975" s="218"/>
      <c r="AK2975" s="153"/>
      <c r="AL2975" s="152"/>
      <c r="AM2975" s="152"/>
      <c r="AN2975" s="152"/>
      <c r="AO2975" s="152"/>
      <c r="AP2975" s="152"/>
      <c r="AQ2975" s="152"/>
      <c r="AR2975" s="152"/>
      <c r="AS2975" s="152"/>
      <c r="AT2975" s="152"/>
      <c r="AU2975" s="153"/>
      <c r="AV2975" s="479"/>
      <c r="AW2975" s="479"/>
      <c r="AX2975" s="442"/>
      <c r="AY2975" s="153"/>
      <c r="AZ2975" s="152"/>
      <c r="BA2975" s="152"/>
      <c r="BB2975" s="152"/>
      <c r="BC2975" s="152"/>
      <c r="BD2975" s="152"/>
      <c r="BE2975" s="152"/>
      <c r="BF2975" s="152"/>
      <c r="BG2975" s="152"/>
      <c r="BH2975" s="152"/>
      <c r="BI2975" s="153"/>
      <c r="BJ2975" s="153"/>
      <c r="BK2975" s="153"/>
      <c r="BL2975" s="153"/>
      <c r="BM2975" s="153"/>
      <c r="BN2975" s="153"/>
      <c r="BO2975" s="153"/>
      <c r="BP2975" s="153"/>
      <c r="BQ2975" s="153"/>
      <c r="BR2975" s="153"/>
      <c r="BS2975" s="153"/>
      <c r="BT2975" s="153"/>
      <c r="BU2975" s="153"/>
      <c r="BV2975" s="153"/>
      <c r="BW2975" s="153"/>
      <c r="BX2975" s="153"/>
      <c r="BY2975" s="153"/>
      <c r="BZ2975" s="153"/>
      <c r="CA2975" s="152"/>
      <c r="CB2975" s="152"/>
    </row>
    <row r="2976" spans="1:80" s="87" customFormat="1" ht="15" x14ac:dyDescent="0.25">
      <c r="A2976" s="152"/>
      <c r="B2976" s="683"/>
      <c r="C2976" s="683"/>
      <c r="D2976" s="698"/>
      <c r="E2976" s="215"/>
      <c r="F2976" s="215"/>
      <c r="G2976" s="153"/>
      <c r="H2976" s="153"/>
      <c r="I2976" s="316">
        <v>20</v>
      </c>
      <c r="J2976" s="306">
        <v>60</v>
      </c>
      <c r="K2976" s="150">
        <v>1</v>
      </c>
      <c r="L2976" s="656">
        <v>20</v>
      </c>
      <c r="M2976" s="663">
        <v>34914</v>
      </c>
      <c r="N2976" s="600">
        <v>0.71631</v>
      </c>
      <c r="O2976" s="604">
        <v>5.8799999999999999E-5</v>
      </c>
      <c r="P2976" s="150"/>
      <c r="Q2976" s="250"/>
      <c r="R2976" s="250"/>
      <c r="S2976" s="250"/>
      <c r="T2976" s="250">
        <v>0.16699999999999998</v>
      </c>
      <c r="U2976" s="250">
        <v>0.41700000000000004</v>
      </c>
      <c r="V2976" s="250">
        <v>0.20800000000000002</v>
      </c>
      <c r="W2976" s="250">
        <v>0</v>
      </c>
      <c r="X2976" s="250">
        <v>0.20800000000000002</v>
      </c>
      <c r="Y2976" s="250">
        <v>0</v>
      </c>
      <c r="Z2976" s="150">
        <v>4</v>
      </c>
      <c r="AA2976" s="223">
        <v>2.2999999999999998</v>
      </c>
      <c r="AB2976" s="152"/>
      <c r="AC2976" s="152"/>
      <c r="AD2976" s="223">
        <v>8.9303469999999994</v>
      </c>
      <c r="AE2976" s="223">
        <v>0.27735890000000002</v>
      </c>
      <c r="AF2976" s="223">
        <v>2.4709804000000002</v>
      </c>
      <c r="AG2976" s="223">
        <v>0.30174210000000001</v>
      </c>
      <c r="AH2976" s="341"/>
      <c r="AI2976" s="218"/>
      <c r="AJ2976" s="218"/>
      <c r="AK2976" s="153"/>
      <c r="AL2976" s="152"/>
      <c r="AM2976" s="152"/>
      <c r="AN2976" s="152"/>
      <c r="AO2976" s="152"/>
      <c r="AP2976" s="152"/>
      <c r="AQ2976" s="152"/>
      <c r="AR2976" s="152"/>
      <c r="AS2976" s="152"/>
      <c r="AT2976" s="152"/>
      <c r="AU2976" s="153"/>
      <c r="AV2976" s="479"/>
      <c r="AW2976" s="479"/>
      <c r="AX2976" s="442"/>
      <c r="AY2976" s="153"/>
      <c r="AZ2976" s="152"/>
      <c r="BA2976" s="152"/>
      <c r="BB2976" s="152"/>
      <c r="BC2976" s="152"/>
      <c r="BD2976" s="152"/>
      <c r="BE2976" s="152"/>
      <c r="BF2976" s="152"/>
      <c r="BG2976" s="152"/>
      <c r="BH2976" s="152"/>
      <c r="BI2976" s="153"/>
      <c r="BJ2976" s="153"/>
      <c r="BK2976" s="153"/>
      <c r="BL2976" s="153"/>
      <c r="BM2976" s="153"/>
      <c r="BN2976" s="153"/>
      <c r="BO2976" s="153"/>
      <c r="BP2976" s="153"/>
      <c r="BQ2976" s="153"/>
      <c r="BR2976" s="153"/>
      <c r="BS2976" s="153"/>
      <c r="BT2976" s="153"/>
      <c r="BU2976" s="153"/>
      <c r="BV2976" s="153"/>
      <c r="BW2976" s="153"/>
      <c r="BX2976" s="153"/>
      <c r="BY2976" s="153"/>
      <c r="BZ2976" s="153"/>
      <c r="CA2976" s="152"/>
      <c r="CB2976" s="152"/>
    </row>
    <row r="2977" spans="1:80" s="87" customFormat="1" ht="15" x14ac:dyDescent="0.25">
      <c r="A2977" s="152"/>
      <c r="B2977" s="683"/>
      <c r="C2977" s="683"/>
      <c r="D2977" s="698"/>
      <c r="E2977" s="215"/>
      <c r="F2977" s="215"/>
      <c r="G2977" s="153"/>
      <c r="H2977" s="153"/>
      <c r="I2977" s="316">
        <v>17</v>
      </c>
      <c r="J2977" s="306">
        <v>60</v>
      </c>
      <c r="K2977" s="150">
        <v>1</v>
      </c>
      <c r="L2977" s="656">
        <v>17</v>
      </c>
      <c r="M2977" s="663">
        <v>34983</v>
      </c>
      <c r="N2977" s="600">
        <v>0.59740000000000004</v>
      </c>
      <c r="O2977" s="604">
        <v>7.3499999999999998E-5</v>
      </c>
      <c r="P2977" s="150"/>
      <c r="Q2977" s="250"/>
      <c r="R2977" s="250"/>
      <c r="S2977" s="250"/>
      <c r="T2977" s="250"/>
      <c r="U2977" s="250"/>
      <c r="V2977" s="250">
        <v>0.1818181818181818</v>
      </c>
      <c r="W2977" s="250">
        <v>0.4242424242424242</v>
      </c>
      <c r="X2977" s="250">
        <v>0.31818181818181818</v>
      </c>
      <c r="Y2977" s="250">
        <v>7.575757575757576E-2</v>
      </c>
      <c r="Z2977" s="150">
        <v>2</v>
      </c>
      <c r="AA2977" s="223">
        <v>0.59</v>
      </c>
      <c r="AB2977" s="152"/>
      <c r="AC2977" s="152"/>
      <c r="AD2977" s="223">
        <v>8.686515</v>
      </c>
      <c r="AE2977" s="223">
        <v>0.24687990000000001</v>
      </c>
      <c r="AF2977" s="223">
        <v>2.1551407999999999</v>
      </c>
      <c r="AG2977" s="223">
        <v>0.27431100000000003</v>
      </c>
      <c r="AH2977" s="341"/>
      <c r="AI2977" s="218"/>
      <c r="AJ2977" s="218"/>
      <c r="AK2977" s="153"/>
      <c r="AL2977" s="152"/>
      <c r="AM2977" s="152"/>
      <c r="AN2977" s="152"/>
      <c r="AO2977" s="152"/>
      <c r="AP2977" s="152"/>
      <c r="AQ2977" s="152"/>
      <c r="AR2977" s="152"/>
      <c r="AS2977" s="152"/>
      <c r="AT2977" s="152"/>
      <c r="AU2977" s="153"/>
      <c r="AV2977" s="479"/>
      <c r="AW2977" s="479"/>
      <c r="AX2977" s="442"/>
      <c r="AY2977" s="153"/>
      <c r="AZ2977" s="152"/>
      <c r="BA2977" s="152"/>
      <c r="BB2977" s="152"/>
      <c r="BC2977" s="152"/>
      <c r="BD2977" s="152"/>
      <c r="BE2977" s="152"/>
      <c r="BF2977" s="152"/>
      <c r="BG2977" s="152"/>
      <c r="BH2977" s="152"/>
      <c r="BI2977" s="153"/>
      <c r="BJ2977" s="153"/>
      <c r="BK2977" s="153"/>
      <c r="BL2977" s="153"/>
      <c r="BM2977" s="153"/>
      <c r="BN2977" s="153"/>
      <c r="BO2977" s="153"/>
      <c r="BP2977" s="153"/>
      <c r="BQ2977" s="153"/>
      <c r="BR2977" s="153"/>
      <c r="BS2977" s="153"/>
      <c r="BT2977" s="153"/>
      <c r="BU2977" s="153"/>
      <c r="BV2977" s="153"/>
      <c r="BW2977" s="153"/>
      <c r="BX2977" s="153"/>
      <c r="BY2977" s="153"/>
      <c r="BZ2977" s="153"/>
      <c r="CA2977" s="152"/>
      <c r="CB2977" s="152"/>
    </row>
    <row r="2978" spans="1:80" s="87" customFormat="1" ht="15" x14ac:dyDescent="0.25">
      <c r="A2978" s="152"/>
      <c r="B2978" s="683"/>
      <c r="C2978" s="683"/>
      <c r="D2978" s="698"/>
      <c r="E2978" s="215"/>
      <c r="F2978" s="215"/>
      <c r="G2978" s="153"/>
      <c r="H2978" s="153"/>
      <c r="I2978" s="316">
        <v>20</v>
      </c>
      <c r="J2978" s="306">
        <v>60</v>
      </c>
      <c r="K2978" s="150">
        <v>1</v>
      </c>
      <c r="L2978" s="656">
        <v>20</v>
      </c>
      <c r="M2978" s="663">
        <v>35165</v>
      </c>
      <c r="N2978" s="600">
        <v>12.825699999999999</v>
      </c>
      <c r="O2978" s="604">
        <v>0.19731899999999999</v>
      </c>
      <c r="P2978" s="150"/>
      <c r="Q2978" s="250"/>
      <c r="R2978" s="250"/>
      <c r="S2978" s="250">
        <v>3.0000000000000001E-3</v>
      </c>
      <c r="T2978" s="250">
        <v>6.8000000000000005E-2</v>
      </c>
      <c r="U2978" s="250">
        <v>0.248</v>
      </c>
      <c r="V2978" s="250">
        <v>0.3667738299561954</v>
      </c>
      <c r="W2978" s="250">
        <v>0.22537592540410378</v>
      </c>
      <c r="X2978" s="250">
        <v>8.514998591080257E-2</v>
      </c>
      <c r="Y2978" s="250">
        <v>3.5030868150728793E-3</v>
      </c>
      <c r="Z2978" s="150">
        <v>11</v>
      </c>
      <c r="AA2978" s="223">
        <v>1.42</v>
      </c>
      <c r="AB2978" s="152"/>
      <c r="AC2978" s="152"/>
      <c r="AD2978" s="223">
        <v>12.191599999999999</v>
      </c>
      <c r="AE2978" s="223">
        <v>0.81683720000000004</v>
      </c>
      <c r="AF2978" s="223">
        <v>9.9396579999999997</v>
      </c>
      <c r="AG2978" s="223">
        <v>1.21916</v>
      </c>
      <c r="AH2978" s="341"/>
      <c r="AI2978" s="218"/>
      <c r="AJ2978" s="218"/>
      <c r="AK2978" s="153"/>
      <c r="AL2978" s="152"/>
      <c r="AM2978" s="152"/>
      <c r="AN2978" s="152"/>
      <c r="AO2978" s="152"/>
      <c r="AP2978" s="152"/>
      <c r="AQ2978" s="152"/>
      <c r="AR2978" s="152"/>
      <c r="AS2978" s="152"/>
      <c r="AT2978" s="152"/>
      <c r="AU2978" s="153"/>
      <c r="AV2978" s="479"/>
      <c r="AW2978" s="479"/>
      <c r="AX2978" s="442"/>
      <c r="AY2978" s="153"/>
      <c r="AZ2978" s="152"/>
      <c r="BA2978" s="152"/>
      <c r="BB2978" s="152"/>
      <c r="BC2978" s="152"/>
      <c r="BD2978" s="152"/>
      <c r="BE2978" s="152"/>
      <c r="BF2978" s="152"/>
      <c r="BG2978" s="152"/>
      <c r="BH2978" s="152"/>
      <c r="BI2978" s="153"/>
      <c r="BJ2978" s="153"/>
      <c r="BK2978" s="153"/>
      <c r="BL2978" s="153"/>
      <c r="BM2978" s="153"/>
      <c r="BN2978" s="153"/>
      <c r="BO2978" s="153"/>
      <c r="BP2978" s="153"/>
      <c r="BQ2978" s="153"/>
      <c r="BR2978" s="153"/>
      <c r="BS2978" s="153"/>
      <c r="BT2978" s="153"/>
      <c r="BU2978" s="153"/>
      <c r="BV2978" s="153"/>
      <c r="BW2978" s="153"/>
      <c r="BX2978" s="153"/>
      <c r="BY2978" s="153"/>
      <c r="BZ2978" s="153"/>
      <c r="CA2978" s="152"/>
      <c r="CB2978" s="152"/>
    </row>
    <row r="2979" spans="1:80" s="87" customFormat="1" ht="15" x14ac:dyDescent="0.25">
      <c r="A2979" s="152"/>
      <c r="B2979" s="683"/>
      <c r="C2979" s="683"/>
      <c r="D2979" s="698"/>
      <c r="E2979" s="215"/>
      <c r="F2979" s="215"/>
      <c r="G2979" s="153"/>
      <c r="H2979" s="153"/>
      <c r="I2979" s="316">
        <v>20</v>
      </c>
      <c r="J2979" s="306">
        <v>60</v>
      </c>
      <c r="K2979" s="150">
        <v>1</v>
      </c>
      <c r="L2979" s="656">
        <v>20</v>
      </c>
      <c r="M2979" s="663">
        <v>35179</v>
      </c>
      <c r="N2979" s="600">
        <v>7.8709300000000004</v>
      </c>
      <c r="O2979" s="604">
        <v>2.2041000000000002E-2</v>
      </c>
      <c r="P2979" s="150"/>
      <c r="Q2979" s="250"/>
      <c r="R2979" s="250"/>
      <c r="S2979" s="250">
        <v>6.9999999999999993E-3</v>
      </c>
      <c r="T2979" s="250">
        <v>3.6000000000000004E-2</v>
      </c>
      <c r="U2979" s="250">
        <v>0.161</v>
      </c>
      <c r="V2979" s="250">
        <v>0.28746195982957995</v>
      </c>
      <c r="W2979" s="250">
        <v>0.37881923311016424</v>
      </c>
      <c r="X2979" s="250">
        <v>0.12507608034083989</v>
      </c>
      <c r="Y2979" s="250">
        <v>5.2343274497869737E-3</v>
      </c>
      <c r="Z2979" s="150">
        <v>11</v>
      </c>
      <c r="AA2979" s="223">
        <v>0.98</v>
      </c>
      <c r="AB2979" s="152"/>
      <c r="AC2979" s="152"/>
      <c r="AD2979" s="223">
        <v>12.283037</v>
      </c>
      <c r="AE2979" s="223">
        <v>0.53338249999999998</v>
      </c>
      <c r="AF2979" s="223">
        <v>6.5490269999999997</v>
      </c>
      <c r="AG2979" s="223">
        <v>1.1764893999999999</v>
      </c>
      <c r="AH2979" s="341"/>
      <c r="AI2979" s="218"/>
      <c r="AJ2979" s="218"/>
      <c r="AK2979" s="153"/>
      <c r="AL2979" s="152"/>
      <c r="AM2979" s="152"/>
      <c r="AN2979" s="152"/>
      <c r="AO2979" s="152"/>
      <c r="AP2979" s="152"/>
      <c r="AQ2979" s="152"/>
      <c r="AR2979" s="152"/>
      <c r="AS2979" s="152"/>
      <c r="AT2979" s="152"/>
      <c r="AU2979" s="153"/>
      <c r="AV2979" s="479"/>
      <c r="AW2979" s="479"/>
      <c r="AX2979" s="442"/>
      <c r="AY2979" s="153"/>
      <c r="AZ2979" s="152"/>
      <c r="BA2979" s="152"/>
      <c r="BB2979" s="152"/>
      <c r="BC2979" s="152"/>
      <c r="BD2979" s="152"/>
      <c r="BE2979" s="152"/>
      <c r="BF2979" s="152"/>
      <c r="BG2979" s="152"/>
      <c r="BH2979" s="152"/>
      <c r="BI2979" s="153"/>
      <c r="BJ2979" s="153"/>
      <c r="BK2979" s="153"/>
      <c r="BL2979" s="153"/>
      <c r="BM2979" s="153"/>
      <c r="BN2979" s="153"/>
      <c r="BO2979" s="153"/>
      <c r="BP2979" s="153"/>
      <c r="BQ2979" s="153"/>
      <c r="BR2979" s="153"/>
      <c r="BS2979" s="153"/>
      <c r="BT2979" s="153"/>
      <c r="BU2979" s="153"/>
      <c r="BV2979" s="153"/>
      <c r="BW2979" s="153"/>
      <c r="BX2979" s="153"/>
      <c r="BY2979" s="153"/>
      <c r="BZ2979" s="153"/>
      <c r="CA2979" s="152"/>
      <c r="CB2979" s="152"/>
    </row>
    <row r="2980" spans="1:80" s="87" customFormat="1" ht="15" x14ac:dyDescent="0.25">
      <c r="A2980" s="152"/>
      <c r="B2980" s="683"/>
      <c r="C2980" s="683"/>
      <c r="D2980" s="698"/>
      <c r="E2980" s="215"/>
      <c r="F2980" s="215"/>
      <c r="G2980" s="153"/>
      <c r="H2980" s="153"/>
      <c r="I2980" s="316">
        <v>20</v>
      </c>
      <c r="J2980" s="306">
        <v>60</v>
      </c>
      <c r="K2980" s="150">
        <v>1</v>
      </c>
      <c r="L2980" s="656">
        <v>20</v>
      </c>
      <c r="M2980" s="663">
        <v>35198</v>
      </c>
      <c r="N2980" s="600">
        <v>7.6727400000000001</v>
      </c>
      <c r="O2980" s="604">
        <v>3.3901000000000001E-2</v>
      </c>
      <c r="P2980" s="150"/>
      <c r="Q2980" s="250"/>
      <c r="R2980" s="250"/>
      <c r="S2980" s="250"/>
      <c r="T2980" s="250">
        <v>3.7000000000000005E-2</v>
      </c>
      <c r="U2980" s="250">
        <v>0.20699999999999999</v>
      </c>
      <c r="V2980" s="250">
        <v>0.39563159810702581</v>
      </c>
      <c r="W2980" s="250">
        <v>0.23651255915544225</v>
      </c>
      <c r="X2980" s="250">
        <v>0.12060429559519474</v>
      </c>
      <c r="Y2980" s="250">
        <v>3.3491081179468506E-3</v>
      </c>
      <c r="Z2980" s="150">
        <v>8</v>
      </c>
      <c r="AA2980" s="223">
        <v>1.28</v>
      </c>
      <c r="AB2980" s="152"/>
      <c r="AC2980" s="152"/>
      <c r="AD2980" s="223">
        <v>12.191599999999999</v>
      </c>
      <c r="AE2980" s="223">
        <v>0.53033459999999999</v>
      </c>
      <c r="AF2980" s="223">
        <v>6.4747117999999997</v>
      </c>
      <c r="AG2980" s="223">
        <v>1.1795373</v>
      </c>
      <c r="AH2980" s="341"/>
      <c r="AI2980" s="218"/>
      <c r="AJ2980" s="218"/>
      <c r="AK2980" s="153"/>
      <c r="AL2980" s="152"/>
      <c r="AM2980" s="152"/>
      <c r="AN2980" s="152"/>
      <c r="AO2980" s="152"/>
      <c r="AP2980" s="152"/>
      <c r="AQ2980" s="152"/>
      <c r="AR2980" s="152"/>
      <c r="AS2980" s="152"/>
      <c r="AT2980" s="152"/>
      <c r="AU2980" s="153"/>
      <c r="AV2980" s="479"/>
      <c r="AW2980" s="479"/>
      <c r="AX2980" s="442"/>
      <c r="AY2980" s="153"/>
      <c r="AZ2980" s="152"/>
      <c r="BA2980" s="152"/>
      <c r="BB2980" s="152"/>
      <c r="BC2980" s="152"/>
      <c r="BD2980" s="152"/>
      <c r="BE2980" s="152"/>
      <c r="BF2980" s="152"/>
      <c r="BG2980" s="152"/>
      <c r="BH2980" s="152"/>
      <c r="BI2980" s="153"/>
      <c r="BJ2980" s="153"/>
      <c r="BK2980" s="153"/>
      <c r="BL2980" s="153"/>
      <c r="BM2980" s="153"/>
      <c r="BN2980" s="153"/>
      <c r="BO2980" s="153"/>
      <c r="BP2980" s="153"/>
      <c r="BQ2980" s="153"/>
      <c r="BR2980" s="153"/>
      <c r="BS2980" s="153"/>
      <c r="BT2980" s="153"/>
      <c r="BU2980" s="153"/>
      <c r="BV2980" s="153"/>
      <c r="BW2980" s="153"/>
      <c r="BX2980" s="153"/>
      <c r="BY2980" s="153"/>
      <c r="BZ2980" s="153"/>
      <c r="CA2980" s="152"/>
      <c r="CB2980" s="152"/>
    </row>
    <row r="2981" spans="1:80" s="87" customFormat="1" ht="15" x14ac:dyDescent="0.25">
      <c r="A2981" s="152"/>
      <c r="B2981" s="683"/>
      <c r="C2981" s="683"/>
      <c r="D2981" s="698"/>
      <c r="E2981" s="215"/>
      <c r="F2981" s="215"/>
      <c r="G2981" s="153"/>
      <c r="H2981" s="153"/>
      <c r="I2981" s="316">
        <v>20</v>
      </c>
      <c r="J2981" s="306">
        <v>60</v>
      </c>
      <c r="K2981" s="150">
        <v>1</v>
      </c>
      <c r="L2981" s="656">
        <v>20</v>
      </c>
      <c r="M2981" s="663">
        <v>35201</v>
      </c>
      <c r="N2981" s="600">
        <v>13.7883</v>
      </c>
      <c r="O2981" s="604">
        <v>7.7353000000000005E-2</v>
      </c>
      <c r="P2981" s="150"/>
      <c r="Q2981" s="250"/>
      <c r="R2981" s="250">
        <v>0.01</v>
      </c>
      <c r="S2981" s="250">
        <v>9.0000000000000011E-3</v>
      </c>
      <c r="T2981" s="250">
        <v>3.1E-2</v>
      </c>
      <c r="U2981" s="250">
        <v>0.121</v>
      </c>
      <c r="V2981" s="250">
        <v>0.31606938646164873</v>
      </c>
      <c r="W2981" s="250">
        <v>0.37946237892503343</v>
      </c>
      <c r="X2981" s="250">
        <v>0.12674465065652599</v>
      </c>
      <c r="Y2981" s="250">
        <v>5.8005759241653923E-3</v>
      </c>
      <c r="Z2981" s="150">
        <v>18</v>
      </c>
      <c r="AA2981" s="223">
        <v>0.98</v>
      </c>
      <c r="AB2981" s="152"/>
      <c r="AC2981" s="152"/>
      <c r="AD2981" s="223">
        <v>12.252558000000001</v>
      </c>
      <c r="AE2981" s="223">
        <v>0.87169940000000001</v>
      </c>
      <c r="AF2981" s="223">
        <v>10.68281</v>
      </c>
      <c r="AG2981" s="223">
        <v>1.2801180000000001</v>
      </c>
      <c r="AH2981" s="341"/>
      <c r="AI2981" s="218"/>
      <c r="AJ2981" s="218"/>
      <c r="AK2981" s="153"/>
      <c r="AL2981" s="152"/>
      <c r="AM2981" s="152"/>
      <c r="AN2981" s="152"/>
      <c r="AO2981" s="152"/>
      <c r="AP2981" s="152"/>
      <c r="AQ2981" s="152"/>
      <c r="AR2981" s="152"/>
      <c r="AS2981" s="152"/>
      <c r="AT2981" s="152"/>
      <c r="AU2981" s="153"/>
      <c r="AV2981" s="479"/>
      <c r="AW2981" s="479"/>
      <c r="AX2981" s="442"/>
      <c r="AY2981" s="153"/>
      <c r="AZ2981" s="152"/>
      <c r="BA2981" s="152"/>
      <c r="BB2981" s="152"/>
      <c r="BC2981" s="152"/>
      <c r="BD2981" s="152"/>
      <c r="BE2981" s="152"/>
      <c r="BF2981" s="152"/>
      <c r="BG2981" s="152"/>
      <c r="BH2981" s="152"/>
      <c r="BI2981" s="153"/>
      <c r="BJ2981" s="153"/>
      <c r="BK2981" s="153"/>
      <c r="BL2981" s="153"/>
      <c r="BM2981" s="153"/>
      <c r="BN2981" s="153"/>
      <c r="BO2981" s="153"/>
      <c r="BP2981" s="153"/>
      <c r="BQ2981" s="153"/>
      <c r="BR2981" s="153"/>
      <c r="BS2981" s="153"/>
      <c r="BT2981" s="153"/>
      <c r="BU2981" s="153"/>
      <c r="BV2981" s="153"/>
      <c r="BW2981" s="153"/>
      <c r="BX2981" s="153"/>
      <c r="BY2981" s="153"/>
      <c r="BZ2981" s="153"/>
      <c r="CA2981" s="152"/>
      <c r="CB2981" s="152"/>
    </row>
    <row r="2982" spans="1:80" s="87" customFormat="1" ht="15" x14ac:dyDescent="0.25">
      <c r="A2982" s="152"/>
      <c r="B2982" s="683"/>
      <c r="C2982" s="683"/>
      <c r="D2982" s="698"/>
      <c r="E2982" s="215"/>
      <c r="F2982" s="215"/>
      <c r="G2982" s="153"/>
      <c r="H2982" s="153"/>
      <c r="I2982" s="316">
        <v>20</v>
      </c>
      <c r="J2982" s="306">
        <v>60</v>
      </c>
      <c r="K2982" s="150">
        <v>1</v>
      </c>
      <c r="L2982" s="656">
        <v>20</v>
      </c>
      <c r="M2982" s="663">
        <v>35204</v>
      </c>
      <c r="N2982" s="600">
        <v>18.29</v>
      </c>
      <c r="O2982" s="604">
        <v>0.23825299999999999</v>
      </c>
      <c r="P2982" s="150"/>
      <c r="Q2982" s="250"/>
      <c r="R2982" s="250">
        <v>3.0000000000000001E-3</v>
      </c>
      <c r="S2982" s="250">
        <v>3.2000000000000001E-2</v>
      </c>
      <c r="T2982" s="250">
        <v>0.09</v>
      </c>
      <c r="U2982" s="250">
        <v>0.22600000000000001</v>
      </c>
      <c r="V2982" s="250">
        <v>0.36311356428961061</v>
      </c>
      <c r="W2982" s="250">
        <v>0.23679952662284226</v>
      </c>
      <c r="X2982" s="250">
        <v>4.8040384988766532E-2</v>
      </c>
      <c r="Y2982" s="250">
        <v>1.4608123225991363E-3</v>
      </c>
      <c r="Z2982" s="150">
        <v>41</v>
      </c>
      <c r="AA2982" s="223">
        <v>1.5</v>
      </c>
      <c r="AB2982" s="152"/>
      <c r="AC2982" s="152"/>
      <c r="AD2982" s="223">
        <v>12.252558000000001</v>
      </c>
      <c r="AE2982" s="223">
        <v>0.95399270000000003</v>
      </c>
      <c r="AF2982" s="223">
        <v>11.704644</v>
      </c>
      <c r="AG2982" s="223">
        <v>1.4690878000000001</v>
      </c>
      <c r="AH2982" s="341"/>
      <c r="AI2982" s="218"/>
      <c r="AJ2982" s="218"/>
      <c r="AK2982" s="153"/>
      <c r="AL2982" s="152"/>
      <c r="AM2982" s="152"/>
      <c r="AN2982" s="152"/>
      <c r="AO2982" s="152"/>
      <c r="AP2982" s="152"/>
      <c r="AQ2982" s="152"/>
      <c r="AR2982" s="152"/>
      <c r="AS2982" s="152"/>
      <c r="AT2982" s="152"/>
      <c r="AU2982" s="153"/>
      <c r="AV2982" s="479"/>
      <c r="AW2982" s="479"/>
      <c r="AX2982" s="442"/>
      <c r="AY2982" s="153"/>
      <c r="AZ2982" s="152"/>
      <c r="BA2982" s="152"/>
      <c r="BB2982" s="152"/>
      <c r="BC2982" s="152"/>
      <c r="BD2982" s="152"/>
      <c r="BE2982" s="152"/>
      <c r="BF2982" s="152"/>
      <c r="BG2982" s="152"/>
      <c r="BH2982" s="152"/>
      <c r="BI2982" s="153"/>
      <c r="BJ2982" s="153"/>
      <c r="BK2982" s="153"/>
      <c r="BL2982" s="153"/>
      <c r="BM2982" s="153"/>
      <c r="BN2982" s="153"/>
      <c r="BO2982" s="153"/>
      <c r="BP2982" s="153"/>
      <c r="BQ2982" s="153"/>
      <c r="BR2982" s="153"/>
      <c r="BS2982" s="153"/>
      <c r="BT2982" s="153"/>
      <c r="BU2982" s="153"/>
      <c r="BV2982" s="153"/>
      <c r="BW2982" s="153"/>
      <c r="BX2982" s="153"/>
      <c r="BY2982" s="153"/>
      <c r="BZ2982" s="153"/>
      <c r="CA2982" s="152"/>
      <c r="CB2982" s="152"/>
    </row>
    <row r="2983" spans="1:80" s="87" customFormat="1" ht="15" x14ac:dyDescent="0.25">
      <c r="A2983" s="152"/>
      <c r="B2983" s="683"/>
      <c r="C2983" s="683"/>
      <c r="D2983" s="698"/>
      <c r="E2983" s="215"/>
      <c r="F2983" s="215"/>
      <c r="G2983" s="153"/>
      <c r="H2983" s="153"/>
      <c r="I2983" s="316">
        <v>20</v>
      </c>
      <c r="J2983" s="306">
        <v>60</v>
      </c>
      <c r="K2983" s="150">
        <v>1</v>
      </c>
      <c r="L2983" s="656">
        <v>20</v>
      </c>
      <c r="M2983" s="663">
        <v>35227</v>
      </c>
      <c r="N2983" s="600">
        <v>4.10534</v>
      </c>
      <c r="O2983" s="604">
        <v>8.2710000000000006E-3</v>
      </c>
      <c r="P2983" s="150"/>
      <c r="Q2983" s="250"/>
      <c r="R2983" s="250"/>
      <c r="S2983" s="250"/>
      <c r="T2983" s="250">
        <v>1.3000000000000001E-2</v>
      </c>
      <c r="U2983" s="250">
        <v>7.8E-2</v>
      </c>
      <c r="V2983" s="250">
        <v>0.12877211238293446</v>
      </c>
      <c r="W2983" s="250">
        <v>0.37552029136316345</v>
      </c>
      <c r="X2983" s="250">
        <v>0.38722684703433929</v>
      </c>
      <c r="Y2983" s="250">
        <v>1.7950052029136316E-2</v>
      </c>
      <c r="Z2983" s="150">
        <v>5</v>
      </c>
      <c r="AA2983" s="223">
        <v>0.6</v>
      </c>
      <c r="AB2983" s="152"/>
      <c r="AC2983" s="152"/>
      <c r="AD2983" s="223">
        <v>9.8447169999999993</v>
      </c>
      <c r="AE2983" s="223">
        <v>0.4815682</v>
      </c>
      <c r="AF2983" s="223">
        <v>4.7375939999999996</v>
      </c>
      <c r="AG2983" s="223">
        <v>0.92656159999999999</v>
      </c>
      <c r="AH2983" s="341"/>
      <c r="AI2983" s="218"/>
      <c r="AJ2983" s="218"/>
      <c r="AK2983" s="153"/>
      <c r="AL2983" s="152"/>
      <c r="AM2983" s="152"/>
      <c r="AN2983" s="152"/>
      <c r="AO2983" s="152"/>
      <c r="AP2983" s="152"/>
      <c r="AQ2983" s="152"/>
      <c r="AR2983" s="152"/>
      <c r="AS2983" s="152"/>
      <c r="AT2983" s="152"/>
      <c r="AU2983" s="153"/>
      <c r="AV2983" s="479"/>
      <c r="AW2983" s="479"/>
      <c r="AX2983" s="442"/>
      <c r="AY2983" s="153"/>
      <c r="AZ2983" s="152"/>
      <c r="BA2983" s="152"/>
      <c r="BB2983" s="152"/>
      <c r="BC2983" s="152"/>
      <c r="BD2983" s="152"/>
      <c r="BE2983" s="152"/>
      <c r="BF2983" s="152"/>
      <c r="BG2983" s="152"/>
      <c r="BH2983" s="152"/>
      <c r="BI2983" s="153"/>
      <c r="BJ2983" s="153"/>
      <c r="BK2983" s="153"/>
      <c r="BL2983" s="153"/>
      <c r="BM2983" s="153"/>
      <c r="BN2983" s="153"/>
      <c r="BO2983" s="153"/>
      <c r="BP2983" s="153"/>
      <c r="BQ2983" s="153"/>
      <c r="BR2983" s="153"/>
      <c r="BS2983" s="153"/>
      <c r="BT2983" s="153"/>
      <c r="BU2983" s="153"/>
      <c r="BV2983" s="153"/>
      <c r="BW2983" s="153"/>
      <c r="BX2983" s="153"/>
      <c r="BY2983" s="153"/>
      <c r="BZ2983" s="153"/>
      <c r="CA2983" s="152"/>
      <c r="CB2983" s="152"/>
    </row>
    <row r="2984" spans="1:80" s="87" customFormat="1" ht="15" x14ac:dyDescent="0.25">
      <c r="A2984" s="152"/>
      <c r="B2984" s="683"/>
      <c r="C2984" s="683"/>
      <c r="D2984" s="698"/>
      <c r="E2984" s="215"/>
      <c r="F2984" s="215"/>
      <c r="G2984" s="153"/>
      <c r="H2984" s="153"/>
      <c r="I2984" s="316">
        <v>20</v>
      </c>
      <c r="J2984" s="306">
        <v>60</v>
      </c>
      <c r="K2984" s="150">
        <v>1</v>
      </c>
      <c r="L2984" s="656">
        <v>20</v>
      </c>
      <c r="M2984" s="663">
        <v>35244</v>
      </c>
      <c r="N2984" s="600">
        <v>2.2989899999999999</v>
      </c>
      <c r="O2984" s="604">
        <v>9.4249999999999994E-3</v>
      </c>
      <c r="P2984" s="150"/>
      <c r="Q2984" s="250"/>
      <c r="R2984" s="250"/>
      <c r="S2984" s="250"/>
      <c r="T2984" s="250">
        <v>2.4E-2</v>
      </c>
      <c r="U2984" s="250">
        <v>0.254</v>
      </c>
      <c r="V2984" s="250">
        <v>0.37534583461420234</v>
      </c>
      <c r="W2984" s="250">
        <v>0.20852546367455685</v>
      </c>
      <c r="X2984" s="250">
        <v>0.13249308330771598</v>
      </c>
      <c r="Y2984" s="250">
        <v>6.2506404344707459E-3</v>
      </c>
      <c r="Z2984" s="150">
        <v>6</v>
      </c>
      <c r="AA2984" s="223">
        <v>1.33</v>
      </c>
      <c r="AB2984" s="152"/>
      <c r="AC2984" s="152"/>
      <c r="AD2984" s="223">
        <v>9.4484899999999996</v>
      </c>
      <c r="AE2984" s="223">
        <v>0.37489169999999999</v>
      </c>
      <c r="AF2984" s="223">
        <v>3.5392614</v>
      </c>
      <c r="AG2984" s="223">
        <v>0.65225060000000001</v>
      </c>
      <c r="AH2984" s="341"/>
      <c r="AI2984" s="218"/>
      <c r="AJ2984" s="218"/>
      <c r="AK2984" s="153"/>
      <c r="AL2984" s="152"/>
      <c r="AM2984" s="152"/>
      <c r="AN2984" s="152"/>
      <c r="AO2984" s="152"/>
      <c r="AP2984" s="152"/>
      <c r="AQ2984" s="152"/>
      <c r="AR2984" s="152"/>
      <c r="AS2984" s="152"/>
      <c r="AT2984" s="152"/>
      <c r="AU2984" s="153"/>
      <c r="AV2984" s="479"/>
      <c r="AW2984" s="479"/>
      <c r="AX2984" s="442"/>
      <c r="AY2984" s="153"/>
      <c r="AZ2984" s="152"/>
      <c r="BA2984" s="152"/>
      <c r="BB2984" s="152"/>
      <c r="BC2984" s="152"/>
      <c r="BD2984" s="152"/>
      <c r="BE2984" s="152"/>
      <c r="BF2984" s="152"/>
      <c r="BG2984" s="152"/>
      <c r="BH2984" s="152"/>
      <c r="BI2984" s="153"/>
      <c r="BJ2984" s="153"/>
      <c r="BK2984" s="153"/>
      <c r="BL2984" s="153"/>
      <c r="BM2984" s="153"/>
      <c r="BN2984" s="153"/>
      <c r="BO2984" s="153"/>
      <c r="BP2984" s="153"/>
      <c r="BQ2984" s="153"/>
      <c r="BR2984" s="153"/>
      <c r="BS2984" s="153"/>
      <c r="BT2984" s="153"/>
      <c r="BU2984" s="153"/>
      <c r="BV2984" s="153"/>
      <c r="BW2984" s="153"/>
      <c r="BX2984" s="153"/>
      <c r="BY2984" s="153"/>
      <c r="BZ2984" s="153"/>
      <c r="CA2984" s="152"/>
      <c r="CB2984" s="152"/>
    </row>
    <row r="2985" spans="1:80" s="87" customFormat="1" ht="15" x14ac:dyDescent="0.25">
      <c r="A2985" s="152"/>
      <c r="B2985" s="683"/>
      <c r="C2985" s="683"/>
      <c r="D2985" s="698"/>
      <c r="E2985" s="215"/>
      <c r="F2985" s="215"/>
      <c r="G2985" s="153"/>
      <c r="H2985" s="153"/>
      <c r="I2985" s="316">
        <v>20</v>
      </c>
      <c r="J2985" s="306">
        <v>60</v>
      </c>
      <c r="K2985" s="150">
        <v>1</v>
      </c>
      <c r="L2985" s="656">
        <v>20</v>
      </c>
      <c r="M2985" s="663">
        <v>35271</v>
      </c>
      <c r="N2985" s="600">
        <v>0.57757999999999998</v>
      </c>
      <c r="O2985" s="604">
        <v>0</v>
      </c>
      <c r="P2985" s="150"/>
      <c r="Q2985" s="250"/>
      <c r="R2985" s="250"/>
      <c r="S2985" s="250"/>
      <c r="T2985" s="250"/>
      <c r="U2985" s="250"/>
      <c r="V2985" s="250">
        <v>0</v>
      </c>
      <c r="W2985" s="250">
        <v>0</v>
      </c>
      <c r="X2985" s="250">
        <v>0</v>
      </c>
      <c r="Y2985" s="250">
        <v>0</v>
      </c>
      <c r="Z2985" s="150"/>
      <c r="AA2985" s="223"/>
      <c r="AB2985" s="152"/>
      <c r="AC2985" s="152"/>
      <c r="AD2985" s="223">
        <v>8.7779520000000009</v>
      </c>
      <c r="AE2985" s="223">
        <v>0.23468829999999999</v>
      </c>
      <c r="AF2985" s="223">
        <v>2.0622468</v>
      </c>
      <c r="AG2985" s="223">
        <v>0.2865026</v>
      </c>
      <c r="AH2985" s="341"/>
      <c r="AI2985" s="218"/>
      <c r="AJ2985" s="218"/>
      <c r="AK2985" s="153"/>
      <c r="AL2985" s="152"/>
      <c r="AM2985" s="152"/>
      <c r="AN2985" s="152"/>
      <c r="AO2985" s="152"/>
      <c r="AP2985" s="152"/>
      <c r="AQ2985" s="152"/>
      <c r="AR2985" s="152"/>
      <c r="AS2985" s="152"/>
      <c r="AT2985" s="152"/>
      <c r="AU2985" s="153"/>
      <c r="AV2985" s="479"/>
      <c r="AW2985" s="479"/>
      <c r="AX2985" s="442"/>
      <c r="AY2985" s="153"/>
      <c r="AZ2985" s="152"/>
      <c r="BA2985" s="152"/>
      <c r="BB2985" s="152"/>
      <c r="BC2985" s="152"/>
      <c r="BD2985" s="152"/>
      <c r="BE2985" s="152"/>
      <c r="BF2985" s="152"/>
      <c r="BG2985" s="152"/>
      <c r="BH2985" s="152"/>
      <c r="BI2985" s="153"/>
      <c r="BJ2985" s="153"/>
      <c r="BK2985" s="153"/>
      <c r="BL2985" s="153"/>
      <c r="BM2985" s="153"/>
      <c r="BN2985" s="153"/>
      <c r="BO2985" s="153"/>
      <c r="BP2985" s="153"/>
      <c r="BQ2985" s="153"/>
      <c r="BR2985" s="153"/>
      <c r="BS2985" s="153"/>
      <c r="BT2985" s="153"/>
      <c r="BU2985" s="153"/>
      <c r="BV2985" s="153"/>
      <c r="BW2985" s="153"/>
      <c r="BX2985" s="153"/>
      <c r="BY2985" s="153"/>
      <c r="BZ2985" s="153"/>
      <c r="CA2985" s="152"/>
      <c r="CB2985" s="152"/>
    </row>
    <row r="2986" spans="1:80" s="87" customFormat="1" ht="15" x14ac:dyDescent="0.25">
      <c r="A2986" s="152"/>
      <c r="B2986" s="683"/>
      <c r="C2986" s="683"/>
      <c r="D2986" s="698"/>
      <c r="E2986" s="215"/>
      <c r="F2986" s="215"/>
      <c r="G2986" s="153"/>
      <c r="H2986" s="153"/>
      <c r="I2986" s="316" t="s">
        <v>29</v>
      </c>
      <c r="J2986" s="306" t="s">
        <v>29</v>
      </c>
      <c r="K2986" s="150">
        <v>1</v>
      </c>
      <c r="L2986" s="656" t="s">
        <v>29</v>
      </c>
      <c r="M2986" s="663">
        <v>35298</v>
      </c>
      <c r="N2986" s="600">
        <v>0.38222</v>
      </c>
      <c r="O2986" s="604">
        <v>0</v>
      </c>
      <c r="P2986" s="150"/>
      <c r="Q2986" s="250"/>
      <c r="R2986" s="250"/>
      <c r="S2986" s="250"/>
      <c r="T2986" s="250"/>
      <c r="U2986" s="250"/>
      <c r="V2986" s="250">
        <v>0</v>
      </c>
      <c r="W2986" s="250">
        <v>0</v>
      </c>
      <c r="X2986" s="250">
        <v>0</v>
      </c>
      <c r="Y2986" s="250">
        <v>0</v>
      </c>
      <c r="Z2986" s="150"/>
      <c r="AA2986" s="223"/>
      <c r="AB2986" s="152"/>
      <c r="AC2986" s="152"/>
      <c r="AD2986" s="223">
        <v>8.6255570000000006</v>
      </c>
      <c r="AE2986" s="223">
        <v>0.1981135</v>
      </c>
      <c r="AF2986" s="223">
        <v>1.718539</v>
      </c>
      <c r="AG2986" s="223">
        <v>0.2316404</v>
      </c>
      <c r="AH2986" s="341"/>
      <c r="AI2986" s="218"/>
      <c r="AJ2986" s="218"/>
      <c r="AK2986" s="153"/>
      <c r="AL2986" s="152"/>
      <c r="AM2986" s="152"/>
      <c r="AN2986" s="152"/>
      <c r="AO2986" s="152"/>
      <c r="AP2986" s="152"/>
      <c r="AQ2986" s="152"/>
      <c r="AR2986" s="152"/>
      <c r="AS2986" s="152"/>
      <c r="AT2986" s="152"/>
      <c r="AU2986" s="153"/>
      <c r="AV2986" s="479"/>
      <c r="AW2986" s="479"/>
      <c r="AX2986" s="442"/>
      <c r="AY2986" s="153"/>
      <c r="AZ2986" s="152"/>
      <c r="BA2986" s="152"/>
      <c r="BB2986" s="152"/>
      <c r="BC2986" s="152"/>
      <c r="BD2986" s="152"/>
      <c r="BE2986" s="152"/>
      <c r="BF2986" s="152"/>
      <c r="BG2986" s="152"/>
      <c r="BH2986" s="152"/>
      <c r="BI2986" s="153"/>
      <c r="BJ2986" s="153"/>
      <c r="BK2986" s="153"/>
      <c r="BL2986" s="153"/>
      <c r="BM2986" s="153"/>
      <c r="BN2986" s="153"/>
      <c r="BO2986" s="153"/>
      <c r="BP2986" s="153"/>
      <c r="BQ2986" s="153"/>
      <c r="BR2986" s="153"/>
      <c r="BS2986" s="153"/>
      <c r="BT2986" s="153"/>
      <c r="BU2986" s="153"/>
      <c r="BV2986" s="153"/>
      <c r="BW2986" s="153"/>
      <c r="BX2986" s="153"/>
      <c r="BY2986" s="153"/>
      <c r="BZ2986" s="153"/>
      <c r="CA2986" s="152"/>
      <c r="CB2986" s="152"/>
    </row>
    <row r="2987" spans="1:80" s="87" customFormat="1" ht="15" x14ac:dyDescent="0.25">
      <c r="A2987" s="152"/>
      <c r="B2987" s="683"/>
      <c r="C2987" s="683"/>
      <c r="D2987" s="698"/>
      <c r="E2987" s="215"/>
      <c r="F2987" s="215"/>
      <c r="G2987" s="153"/>
      <c r="H2987" s="153"/>
      <c r="I2987" s="316" t="s">
        <v>29</v>
      </c>
      <c r="J2987" s="306" t="s">
        <v>29</v>
      </c>
      <c r="K2987" s="150">
        <v>1</v>
      </c>
      <c r="L2987" s="656" t="s">
        <v>29</v>
      </c>
      <c r="M2987" s="663">
        <v>35331</v>
      </c>
      <c r="N2987" s="600">
        <v>0.41053000000000001</v>
      </c>
      <c r="O2987" s="604">
        <v>0</v>
      </c>
      <c r="P2987" s="150"/>
      <c r="Q2987" s="250"/>
      <c r="R2987" s="250"/>
      <c r="S2987" s="250"/>
      <c r="T2987" s="250"/>
      <c r="U2987" s="250"/>
      <c r="V2987" s="250">
        <v>0</v>
      </c>
      <c r="W2987" s="250">
        <v>0</v>
      </c>
      <c r="X2987" s="250">
        <v>0</v>
      </c>
      <c r="Y2987" s="250">
        <v>0</v>
      </c>
      <c r="Z2987" s="150"/>
      <c r="AA2987" s="223"/>
      <c r="AB2987" s="152"/>
      <c r="AC2987" s="152"/>
      <c r="AD2987" s="223">
        <v>8.5950780000000009</v>
      </c>
      <c r="AE2987" s="223">
        <v>0.21640090000000001</v>
      </c>
      <c r="AF2987" s="223">
        <v>1.85788</v>
      </c>
      <c r="AG2987" s="223">
        <v>0.24992780000000001</v>
      </c>
      <c r="AH2987" s="341"/>
      <c r="AI2987" s="218"/>
      <c r="AJ2987" s="218"/>
      <c r="AK2987" s="153"/>
      <c r="AL2987" s="152"/>
      <c r="AM2987" s="152"/>
      <c r="AN2987" s="152"/>
      <c r="AO2987" s="152"/>
      <c r="AP2987" s="152"/>
      <c r="AQ2987" s="152"/>
      <c r="AR2987" s="152"/>
      <c r="AS2987" s="152"/>
      <c r="AT2987" s="152"/>
      <c r="AU2987" s="153"/>
      <c r="AV2987" s="479"/>
      <c r="AW2987" s="479"/>
      <c r="AX2987" s="442"/>
      <c r="AY2987" s="153"/>
      <c r="AZ2987" s="152"/>
      <c r="BA2987" s="152"/>
      <c r="BB2987" s="152"/>
      <c r="BC2987" s="152"/>
      <c r="BD2987" s="152"/>
      <c r="BE2987" s="152"/>
      <c r="BF2987" s="152"/>
      <c r="BG2987" s="152"/>
      <c r="BH2987" s="152"/>
      <c r="BI2987" s="153"/>
      <c r="BJ2987" s="153"/>
      <c r="BK2987" s="153"/>
      <c r="BL2987" s="153"/>
      <c r="BM2987" s="153"/>
      <c r="BN2987" s="153"/>
      <c r="BO2987" s="153"/>
      <c r="BP2987" s="153"/>
      <c r="BQ2987" s="153"/>
      <c r="BR2987" s="153"/>
      <c r="BS2987" s="153"/>
      <c r="BT2987" s="153"/>
      <c r="BU2987" s="153"/>
      <c r="BV2987" s="153"/>
      <c r="BW2987" s="153"/>
      <c r="BX2987" s="153"/>
      <c r="BY2987" s="153"/>
      <c r="BZ2987" s="153"/>
      <c r="CA2987" s="152"/>
      <c r="CB2987" s="152"/>
    </row>
    <row r="2988" spans="1:80" s="87" customFormat="1" ht="15" x14ac:dyDescent="0.25">
      <c r="A2988" s="152"/>
      <c r="B2988" s="683"/>
      <c r="C2988" s="683"/>
      <c r="D2988" s="698"/>
      <c r="E2988" s="215"/>
      <c r="F2988" s="215"/>
      <c r="G2988" s="153"/>
      <c r="H2988" s="153"/>
      <c r="I2988" s="316">
        <v>20</v>
      </c>
      <c r="J2988" s="306">
        <v>60</v>
      </c>
      <c r="K2988" s="150">
        <v>1</v>
      </c>
      <c r="L2988" s="656">
        <v>20</v>
      </c>
      <c r="M2988" s="663">
        <v>35517</v>
      </c>
      <c r="N2988" s="600">
        <v>3.2276500000000001</v>
      </c>
      <c r="O2988" s="604">
        <v>6.9059999999999998E-3</v>
      </c>
      <c r="P2988" s="150"/>
      <c r="Q2988" s="250"/>
      <c r="R2988" s="250"/>
      <c r="S2988" s="250"/>
      <c r="T2988" s="250">
        <v>0.1</v>
      </c>
      <c r="U2988" s="250">
        <v>0.184</v>
      </c>
      <c r="V2988" s="250">
        <v>0.27782711663706339</v>
      </c>
      <c r="W2988" s="250">
        <v>0.31808762581409128</v>
      </c>
      <c r="X2988" s="250">
        <v>0.11574896388395503</v>
      </c>
      <c r="Y2988" s="250">
        <v>4.4404973357015992E-3</v>
      </c>
      <c r="Z2988" s="150">
        <v>8</v>
      </c>
      <c r="AA2988" s="223">
        <v>1.17</v>
      </c>
      <c r="AB2988" s="152"/>
      <c r="AC2988" s="152"/>
      <c r="AD2988" s="223">
        <v>9.3570530000000005</v>
      </c>
      <c r="AE2988" s="223">
        <v>0.4388976</v>
      </c>
      <c r="AF2988" s="223">
        <v>4.0966253999999998</v>
      </c>
      <c r="AG2988" s="223">
        <v>0.83512459999999999</v>
      </c>
      <c r="AH2988" s="341"/>
      <c r="AI2988" s="218"/>
      <c r="AJ2988" s="218"/>
      <c r="AK2988" s="153"/>
      <c r="AL2988" s="152"/>
      <c r="AM2988" s="152"/>
      <c r="AN2988" s="152"/>
      <c r="AO2988" s="152"/>
      <c r="AP2988" s="152"/>
      <c r="AQ2988" s="152"/>
      <c r="AR2988" s="152"/>
      <c r="AS2988" s="152"/>
      <c r="AT2988" s="152"/>
      <c r="AU2988" s="153"/>
      <c r="AV2988" s="479"/>
      <c r="AW2988" s="479"/>
      <c r="AX2988" s="442"/>
      <c r="AY2988" s="153"/>
      <c r="AZ2988" s="152"/>
      <c r="BA2988" s="152"/>
      <c r="BB2988" s="152"/>
      <c r="BC2988" s="152"/>
      <c r="BD2988" s="152"/>
      <c r="BE2988" s="152"/>
      <c r="BF2988" s="152"/>
      <c r="BG2988" s="152"/>
      <c r="BH2988" s="152"/>
      <c r="BI2988" s="153"/>
      <c r="BJ2988" s="153"/>
      <c r="BK2988" s="153"/>
      <c r="BL2988" s="153"/>
      <c r="BM2988" s="153"/>
      <c r="BN2988" s="153"/>
      <c r="BO2988" s="153"/>
      <c r="BP2988" s="153"/>
      <c r="BQ2988" s="153"/>
      <c r="BR2988" s="153"/>
      <c r="BS2988" s="153"/>
      <c r="BT2988" s="153"/>
      <c r="BU2988" s="153"/>
      <c r="BV2988" s="153"/>
      <c r="BW2988" s="153"/>
      <c r="BX2988" s="153"/>
      <c r="BY2988" s="153"/>
      <c r="BZ2988" s="153"/>
      <c r="CA2988" s="152"/>
      <c r="CB2988" s="152"/>
    </row>
    <row r="2989" spans="1:80" s="87" customFormat="1" ht="15" x14ac:dyDescent="0.25">
      <c r="A2989" s="152"/>
      <c r="B2989" s="683"/>
      <c r="C2989" s="683"/>
      <c r="D2989" s="698"/>
      <c r="E2989" s="215"/>
      <c r="F2989" s="215"/>
      <c r="G2989" s="153"/>
      <c r="H2989" s="153"/>
      <c r="I2989" s="316">
        <v>20</v>
      </c>
      <c r="J2989" s="306">
        <v>60</v>
      </c>
      <c r="K2989" s="150">
        <v>1</v>
      </c>
      <c r="L2989" s="656">
        <v>20</v>
      </c>
      <c r="M2989" s="663">
        <v>35550</v>
      </c>
      <c r="N2989" s="600">
        <v>9.7678799999999999</v>
      </c>
      <c r="O2989" s="604">
        <v>1.7108000000000002E-2</v>
      </c>
      <c r="P2989" s="150"/>
      <c r="Q2989" s="250"/>
      <c r="R2989" s="250"/>
      <c r="S2989" s="250"/>
      <c r="T2989" s="250">
        <v>1E-3</v>
      </c>
      <c r="U2989" s="250">
        <v>2.7999999999999997E-2</v>
      </c>
      <c r="V2989" s="250">
        <v>0.18613352040219805</v>
      </c>
      <c r="W2989" s="250">
        <v>0.55822518414591371</v>
      </c>
      <c r="X2989" s="250">
        <v>0.21980591605284697</v>
      </c>
      <c r="Y2989" s="250">
        <v>6.3720332047234899E-3</v>
      </c>
      <c r="Z2989" s="150">
        <v>6</v>
      </c>
      <c r="AA2989" s="223">
        <v>0.7</v>
      </c>
      <c r="AB2989" s="152"/>
      <c r="AC2989" s="152"/>
      <c r="AD2989" s="223">
        <v>11.734415</v>
      </c>
      <c r="AE2989" s="223">
        <v>0.62481949999999997</v>
      </c>
      <c r="AF2989" s="223">
        <v>7.3293366000000004</v>
      </c>
      <c r="AG2989" s="223">
        <v>1.2679263999999999</v>
      </c>
      <c r="AH2989" s="341"/>
      <c r="AI2989" s="218"/>
      <c r="AJ2989" s="218"/>
      <c r="AK2989" s="153"/>
      <c r="AL2989" s="152"/>
      <c r="AM2989" s="152"/>
      <c r="AN2989" s="152"/>
      <c r="AO2989" s="152"/>
      <c r="AP2989" s="152"/>
      <c r="AQ2989" s="152"/>
      <c r="AR2989" s="152"/>
      <c r="AS2989" s="152"/>
      <c r="AT2989" s="152"/>
      <c r="AU2989" s="153"/>
      <c r="AV2989" s="479"/>
      <c r="AW2989" s="479"/>
      <c r="AX2989" s="442"/>
      <c r="AY2989" s="153"/>
      <c r="AZ2989" s="152"/>
      <c r="BA2989" s="152"/>
      <c r="BB2989" s="152"/>
      <c r="BC2989" s="152"/>
      <c r="BD2989" s="152"/>
      <c r="BE2989" s="152"/>
      <c r="BF2989" s="152"/>
      <c r="BG2989" s="152"/>
      <c r="BH2989" s="152"/>
      <c r="BI2989" s="153"/>
      <c r="BJ2989" s="153"/>
      <c r="BK2989" s="153"/>
      <c r="BL2989" s="153"/>
      <c r="BM2989" s="153"/>
      <c r="BN2989" s="153"/>
      <c r="BO2989" s="153"/>
      <c r="BP2989" s="153"/>
      <c r="BQ2989" s="153"/>
      <c r="BR2989" s="153"/>
      <c r="BS2989" s="153"/>
      <c r="BT2989" s="153"/>
      <c r="BU2989" s="153"/>
      <c r="BV2989" s="153"/>
      <c r="BW2989" s="153"/>
      <c r="BX2989" s="153"/>
      <c r="BY2989" s="153"/>
      <c r="BZ2989" s="153"/>
      <c r="CA2989" s="152"/>
      <c r="CB2989" s="152"/>
    </row>
    <row r="2990" spans="1:80" s="87" customFormat="1" ht="15" x14ac:dyDescent="0.25">
      <c r="A2990" s="152"/>
      <c r="B2990" s="683"/>
      <c r="C2990" s="683"/>
      <c r="D2990" s="698"/>
      <c r="E2990" s="215"/>
      <c r="F2990" s="215"/>
      <c r="G2990" s="153"/>
      <c r="H2990" s="153"/>
      <c r="I2990" s="316">
        <v>20</v>
      </c>
      <c r="J2990" s="306">
        <v>60</v>
      </c>
      <c r="K2990" s="150">
        <v>1</v>
      </c>
      <c r="L2990" s="656">
        <v>20</v>
      </c>
      <c r="M2990" s="663">
        <v>35558</v>
      </c>
      <c r="N2990" s="600">
        <v>10.192600000000001</v>
      </c>
      <c r="O2990" s="604">
        <v>4.4082000000000003E-2</v>
      </c>
      <c r="P2990" s="150"/>
      <c r="Q2990" s="250"/>
      <c r="R2990" s="250"/>
      <c r="S2990" s="250">
        <v>2.3E-2</v>
      </c>
      <c r="T2990" s="250">
        <v>2.8999999999999998E-2</v>
      </c>
      <c r="U2990" s="250">
        <v>0.128</v>
      </c>
      <c r="V2990" s="250">
        <v>0.33339789840685685</v>
      </c>
      <c r="W2990" s="250">
        <v>0.37894048714347972</v>
      </c>
      <c r="X2990" s="250">
        <v>0.10505544525688829</v>
      </c>
      <c r="Y2990" s="250">
        <v>2.7359449905573581E-3</v>
      </c>
      <c r="Z2990" s="150">
        <v>14</v>
      </c>
      <c r="AA2990" s="223">
        <v>1.03</v>
      </c>
      <c r="AB2990" s="152"/>
      <c r="AC2990" s="152"/>
      <c r="AD2990" s="223">
        <v>11.734415</v>
      </c>
      <c r="AE2990" s="223">
        <v>0.67358589999999996</v>
      </c>
      <c r="AF2990" s="223">
        <v>7.9052794000000004</v>
      </c>
      <c r="AG2990" s="223">
        <v>1.2557347999999999</v>
      </c>
      <c r="AH2990" s="341"/>
      <c r="AI2990" s="218"/>
      <c r="AJ2990" s="218"/>
      <c r="AK2990" s="153"/>
      <c r="AL2990" s="152"/>
      <c r="AM2990" s="152"/>
      <c r="AN2990" s="152"/>
      <c r="AO2990" s="152"/>
      <c r="AP2990" s="152"/>
      <c r="AQ2990" s="152"/>
      <c r="AR2990" s="152"/>
      <c r="AS2990" s="152"/>
      <c r="AT2990" s="152"/>
      <c r="AU2990" s="153"/>
      <c r="AV2990" s="479"/>
      <c r="AW2990" s="479"/>
      <c r="AX2990" s="442"/>
      <c r="AY2990" s="153"/>
      <c r="AZ2990" s="152"/>
      <c r="BA2990" s="152"/>
      <c r="BB2990" s="152"/>
      <c r="BC2990" s="152"/>
      <c r="BD2990" s="152"/>
      <c r="BE2990" s="152"/>
      <c r="BF2990" s="152"/>
      <c r="BG2990" s="152"/>
      <c r="BH2990" s="152"/>
      <c r="BI2990" s="153"/>
      <c r="BJ2990" s="153"/>
      <c r="BK2990" s="153"/>
      <c r="BL2990" s="153"/>
      <c r="BM2990" s="153"/>
      <c r="BN2990" s="153"/>
      <c r="BO2990" s="153"/>
      <c r="BP2990" s="153"/>
      <c r="BQ2990" s="153"/>
      <c r="BR2990" s="153"/>
      <c r="BS2990" s="153"/>
      <c r="BT2990" s="153"/>
      <c r="BU2990" s="153"/>
      <c r="BV2990" s="153"/>
      <c r="BW2990" s="153"/>
      <c r="BX2990" s="153"/>
      <c r="BY2990" s="153"/>
      <c r="BZ2990" s="153"/>
      <c r="CA2990" s="152"/>
      <c r="CB2990" s="152"/>
    </row>
    <row r="2991" spans="1:80" s="87" customFormat="1" ht="15" x14ac:dyDescent="0.25">
      <c r="A2991" s="152"/>
      <c r="B2991" s="683"/>
      <c r="C2991" s="683"/>
      <c r="D2991" s="698"/>
      <c r="E2991" s="215"/>
      <c r="F2991" s="215"/>
      <c r="G2991" s="153"/>
      <c r="H2991" s="153"/>
      <c r="I2991" s="316">
        <v>20</v>
      </c>
      <c r="J2991" s="306">
        <v>60</v>
      </c>
      <c r="K2991" s="150">
        <v>1</v>
      </c>
      <c r="L2991" s="656">
        <v>20</v>
      </c>
      <c r="M2991" s="663">
        <v>35560</v>
      </c>
      <c r="N2991" s="600">
        <v>11.126899999999999</v>
      </c>
      <c r="O2991" s="604">
        <v>2.1305999999999999E-2</v>
      </c>
      <c r="P2991" s="150"/>
      <c r="Q2991" s="250"/>
      <c r="R2991" s="250"/>
      <c r="S2991" s="250">
        <v>3.0000000000000001E-3</v>
      </c>
      <c r="T2991" s="250">
        <v>1.1000000000000001E-2</v>
      </c>
      <c r="U2991" s="250">
        <v>9.3000000000000013E-2</v>
      </c>
      <c r="V2991" s="250">
        <v>0.28181362725450898</v>
      </c>
      <c r="W2991" s="250">
        <v>0.44408817635270537</v>
      </c>
      <c r="X2991" s="250">
        <v>0.16137274549098199</v>
      </c>
      <c r="Y2991" s="250">
        <v>6.1122244488977951E-3</v>
      </c>
      <c r="Z2991" s="150">
        <v>8</v>
      </c>
      <c r="AA2991" s="223">
        <v>0.84</v>
      </c>
      <c r="AB2991" s="152"/>
      <c r="AC2991" s="152"/>
      <c r="AD2991" s="223">
        <v>11.734415</v>
      </c>
      <c r="AE2991" s="223">
        <v>0.71320859999999997</v>
      </c>
      <c r="AF2991" s="223">
        <v>8.3604599999999998</v>
      </c>
      <c r="AG2991" s="223">
        <v>1.2740222000000001</v>
      </c>
      <c r="AH2991" s="341"/>
      <c r="AI2991" s="218"/>
      <c r="AJ2991" s="218"/>
      <c r="AK2991" s="153"/>
      <c r="AL2991" s="152"/>
      <c r="AM2991" s="152"/>
      <c r="AN2991" s="152"/>
      <c r="AO2991" s="152"/>
      <c r="AP2991" s="152"/>
      <c r="AQ2991" s="152"/>
      <c r="AR2991" s="152"/>
      <c r="AS2991" s="152"/>
      <c r="AT2991" s="152"/>
      <c r="AU2991" s="153"/>
      <c r="AV2991" s="479"/>
      <c r="AW2991" s="479"/>
      <c r="AX2991" s="442"/>
      <c r="AY2991" s="153"/>
      <c r="AZ2991" s="152"/>
      <c r="BA2991" s="152"/>
      <c r="BB2991" s="152"/>
      <c r="BC2991" s="152"/>
      <c r="BD2991" s="152"/>
      <c r="BE2991" s="152"/>
      <c r="BF2991" s="152"/>
      <c r="BG2991" s="152"/>
      <c r="BH2991" s="152"/>
      <c r="BI2991" s="153"/>
      <c r="BJ2991" s="153"/>
      <c r="BK2991" s="153"/>
      <c r="BL2991" s="153"/>
      <c r="BM2991" s="153"/>
      <c r="BN2991" s="153"/>
      <c r="BO2991" s="153"/>
      <c r="BP2991" s="153"/>
      <c r="BQ2991" s="153"/>
      <c r="BR2991" s="153"/>
      <c r="BS2991" s="153"/>
      <c r="BT2991" s="153"/>
      <c r="BU2991" s="153"/>
      <c r="BV2991" s="153"/>
      <c r="BW2991" s="153"/>
      <c r="BX2991" s="153"/>
      <c r="BY2991" s="153"/>
      <c r="BZ2991" s="153"/>
      <c r="CA2991" s="152"/>
      <c r="CB2991" s="152"/>
    </row>
    <row r="2992" spans="1:80" s="87" customFormat="1" ht="15" x14ac:dyDescent="0.25">
      <c r="A2992" s="152"/>
      <c r="B2992" s="683"/>
      <c r="C2992" s="683"/>
      <c r="D2992" s="698"/>
      <c r="E2992" s="215"/>
      <c r="F2992" s="215"/>
      <c r="G2992" s="153"/>
      <c r="H2992" s="153"/>
      <c r="I2992" s="316">
        <v>17</v>
      </c>
      <c r="J2992" s="306">
        <v>60</v>
      </c>
      <c r="K2992" s="150">
        <v>1</v>
      </c>
      <c r="L2992" s="656">
        <v>17</v>
      </c>
      <c r="M2992" s="663">
        <v>35563</v>
      </c>
      <c r="N2992" s="600">
        <v>13.420199999999999</v>
      </c>
      <c r="O2992" s="604">
        <v>6.4654000000000003E-2</v>
      </c>
      <c r="P2992" s="150"/>
      <c r="Q2992" s="250"/>
      <c r="R2992" s="250">
        <v>3.7999999999999999E-2</v>
      </c>
      <c r="S2992" s="250">
        <v>6.9999999999999993E-3</v>
      </c>
      <c r="T2992" s="250">
        <v>3.4000000000000002E-2</v>
      </c>
      <c r="U2992" s="250">
        <v>0.14099999999999999</v>
      </c>
      <c r="V2992" s="250">
        <v>0.3903675016479895</v>
      </c>
      <c r="W2992" s="250">
        <v>0.27904581410678975</v>
      </c>
      <c r="X2992" s="250">
        <v>0.10856130520764669</v>
      </c>
      <c r="Y2992" s="250">
        <v>2.2041858932102839E-3</v>
      </c>
      <c r="Z2992" s="150">
        <v>30</v>
      </c>
      <c r="AA2992" s="223">
        <v>1.22</v>
      </c>
      <c r="AB2992" s="152"/>
      <c r="AC2992" s="152"/>
      <c r="AD2992" s="223">
        <v>12.039205000000001</v>
      </c>
      <c r="AE2992" s="223">
        <v>0.82598090000000002</v>
      </c>
      <c r="AF2992" s="223">
        <v>9.9396579999999997</v>
      </c>
      <c r="AG2992" s="223">
        <v>1.3471717999999999</v>
      </c>
      <c r="AH2992" s="341"/>
      <c r="AI2992" s="218"/>
      <c r="AJ2992" s="218"/>
      <c r="AK2992" s="153"/>
      <c r="AL2992" s="152"/>
      <c r="AM2992" s="152"/>
      <c r="AN2992" s="152"/>
      <c r="AO2992" s="152"/>
      <c r="AP2992" s="152"/>
      <c r="AQ2992" s="152"/>
      <c r="AR2992" s="152"/>
      <c r="AS2992" s="152"/>
      <c r="AT2992" s="152"/>
      <c r="AU2992" s="153"/>
      <c r="AV2992" s="479"/>
      <c r="AW2992" s="479"/>
      <c r="AX2992" s="442"/>
      <c r="AY2992" s="153"/>
      <c r="AZ2992" s="152"/>
      <c r="BA2992" s="152"/>
      <c r="BB2992" s="152"/>
      <c r="BC2992" s="152"/>
      <c r="BD2992" s="152"/>
      <c r="BE2992" s="152"/>
      <c r="BF2992" s="152"/>
      <c r="BG2992" s="152"/>
      <c r="BH2992" s="152"/>
      <c r="BI2992" s="153"/>
      <c r="BJ2992" s="153"/>
      <c r="BK2992" s="153"/>
      <c r="BL2992" s="153"/>
      <c r="BM2992" s="153"/>
      <c r="BN2992" s="153"/>
      <c r="BO2992" s="153"/>
      <c r="BP2992" s="153"/>
      <c r="BQ2992" s="153"/>
      <c r="BR2992" s="153"/>
      <c r="BS2992" s="153"/>
      <c r="BT2992" s="153"/>
      <c r="BU2992" s="153"/>
      <c r="BV2992" s="153"/>
      <c r="BW2992" s="153"/>
      <c r="BX2992" s="153"/>
      <c r="BY2992" s="153"/>
      <c r="BZ2992" s="153"/>
      <c r="CA2992" s="152"/>
      <c r="CB2992" s="152"/>
    </row>
    <row r="2993" spans="1:80" s="87" customFormat="1" ht="15" x14ac:dyDescent="0.25">
      <c r="A2993" s="152"/>
      <c r="B2993" s="683"/>
      <c r="C2993" s="683"/>
      <c r="D2993" s="698"/>
      <c r="E2993" s="215"/>
      <c r="F2993" s="215"/>
      <c r="G2993" s="153"/>
      <c r="H2993" s="153"/>
      <c r="I2993" s="316">
        <v>17</v>
      </c>
      <c r="J2993" s="306">
        <v>60</v>
      </c>
      <c r="K2993" s="150">
        <v>1</v>
      </c>
      <c r="L2993" s="656">
        <v>17</v>
      </c>
      <c r="M2993" s="663">
        <v>35565</v>
      </c>
      <c r="N2993" s="600">
        <v>14.7509</v>
      </c>
      <c r="O2993" s="604">
        <v>7.5883999999999993E-2</v>
      </c>
      <c r="P2993" s="150"/>
      <c r="Q2993" s="250"/>
      <c r="R2993" s="250"/>
      <c r="S2993" s="250">
        <v>4.8000000000000001E-2</v>
      </c>
      <c r="T2993" s="250">
        <v>0.14099999999999999</v>
      </c>
      <c r="U2993" s="250">
        <v>0.21100000000000002</v>
      </c>
      <c r="V2993" s="250">
        <v>0.22616641771373341</v>
      </c>
      <c r="W2993" s="250">
        <v>0.26900975309726738</v>
      </c>
      <c r="X2993" s="250">
        <v>0.10101045602319654</v>
      </c>
      <c r="Y2993" s="250">
        <v>4.463579650294351E-3</v>
      </c>
      <c r="Z2993" s="150">
        <v>15</v>
      </c>
      <c r="AA2993" s="223">
        <v>1.47</v>
      </c>
      <c r="AB2993" s="152"/>
      <c r="AC2993" s="152"/>
      <c r="AD2993" s="223">
        <v>12.49639</v>
      </c>
      <c r="AE2993" s="223">
        <v>0.85645990000000005</v>
      </c>
      <c r="AF2993" s="223">
        <v>10.7199676</v>
      </c>
      <c r="AG2993" s="223">
        <v>1.402034</v>
      </c>
      <c r="AH2993" s="341"/>
      <c r="AI2993" s="218"/>
      <c r="AJ2993" s="218"/>
      <c r="AK2993" s="153"/>
      <c r="AL2993" s="152"/>
      <c r="AM2993" s="152"/>
      <c r="AN2993" s="152"/>
      <c r="AO2993" s="152"/>
      <c r="AP2993" s="152"/>
      <c r="AQ2993" s="152"/>
      <c r="AR2993" s="152"/>
      <c r="AS2993" s="152"/>
      <c r="AT2993" s="152"/>
      <c r="AU2993" s="153"/>
      <c r="AV2993" s="479"/>
      <c r="AW2993" s="479"/>
      <c r="AX2993" s="442"/>
      <c r="AY2993" s="153"/>
      <c r="AZ2993" s="152"/>
      <c r="BA2993" s="152"/>
      <c r="BB2993" s="152"/>
      <c r="BC2993" s="152"/>
      <c r="BD2993" s="152"/>
      <c r="BE2993" s="152"/>
      <c r="BF2993" s="152"/>
      <c r="BG2993" s="152"/>
      <c r="BH2993" s="152"/>
      <c r="BI2993" s="153"/>
      <c r="BJ2993" s="153"/>
      <c r="BK2993" s="153"/>
      <c r="BL2993" s="153"/>
      <c r="BM2993" s="153"/>
      <c r="BN2993" s="153"/>
      <c r="BO2993" s="153"/>
      <c r="BP2993" s="153"/>
      <c r="BQ2993" s="153"/>
      <c r="BR2993" s="153"/>
      <c r="BS2993" s="153"/>
      <c r="BT2993" s="153"/>
      <c r="BU2993" s="153"/>
      <c r="BV2993" s="153"/>
      <c r="BW2993" s="153"/>
      <c r="BX2993" s="153"/>
      <c r="BY2993" s="153"/>
      <c r="BZ2993" s="153"/>
      <c r="CA2993" s="152"/>
      <c r="CB2993" s="152"/>
    </row>
    <row r="2994" spans="1:80" s="87" customFormat="1" ht="15" x14ac:dyDescent="0.25">
      <c r="A2994" s="152"/>
      <c r="B2994" s="683"/>
      <c r="C2994" s="683"/>
      <c r="D2994" s="698"/>
      <c r="E2994" s="215"/>
      <c r="F2994" s="215"/>
      <c r="G2994" s="153"/>
      <c r="H2994" s="153"/>
      <c r="I2994" s="316">
        <v>20</v>
      </c>
      <c r="J2994" s="306">
        <v>60</v>
      </c>
      <c r="K2994" s="150">
        <v>1</v>
      </c>
      <c r="L2994" s="656">
        <v>20</v>
      </c>
      <c r="M2994" s="663">
        <v>35579</v>
      </c>
      <c r="N2994" s="600">
        <v>8.5787499999999994</v>
      </c>
      <c r="O2994" s="604">
        <v>1.0600999999999999E-2</v>
      </c>
      <c r="P2994" s="150"/>
      <c r="Q2994" s="250"/>
      <c r="R2994" s="250"/>
      <c r="S2994" s="250"/>
      <c r="T2994" s="250">
        <v>5.0000000000000001E-3</v>
      </c>
      <c r="U2994" s="250">
        <v>0.107</v>
      </c>
      <c r="V2994" s="250">
        <v>0.33063529411764703</v>
      </c>
      <c r="W2994" s="250">
        <v>0.44338823529411764</v>
      </c>
      <c r="X2994" s="250">
        <v>0.11030588235294118</v>
      </c>
      <c r="Y2994" s="250">
        <v>3.8588235294117644E-3</v>
      </c>
      <c r="Z2994" s="150">
        <v>4</v>
      </c>
      <c r="AA2994" s="223">
        <v>0.91</v>
      </c>
      <c r="AB2994" s="152"/>
      <c r="AC2994" s="152"/>
      <c r="AD2994" s="223">
        <v>11.734415</v>
      </c>
      <c r="AE2994" s="223">
        <v>0.55776570000000003</v>
      </c>
      <c r="AF2994" s="223">
        <v>6.5490269999999997</v>
      </c>
      <c r="AG2994" s="223">
        <v>1.2740222000000001</v>
      </c>
      <c r="AH2994" s="341"/>
      <c r="AI2994" s="218"/>
      <c r="AJ2994" s="218"/>
      <c r="AK2994" s="153"/>
      <c r="AL2994" s="152"/>
      <c r="AM2994" s="152"/>
      <c r="AN2994" s="152"/>
      <c r="AO2994" s="152"/>
      <c r="AP2994" s="152"/>
      <c r="AQ2994" s="152"/>
      <c r="AR2994" s="152"/>
      <c r="AS2994" s="152"/>
      <c r="AT2994" s="152"/>
      <c r="AU2994" s="153"/>
      <c r="AV2994" s="479"/>
      <c r="AW2994" s="479"/>
      <c r="AX2994" s="442"/>
      <c r="AY2994" s="153"/>
      <c r="AZ2994" s="152"/>
      <c r="BA2994" s="152"/>
      <c r="BB2994" s="152"/>
      <c r="BC2994" s="152"/>
      <c r="BD2994" s="152"/>
      <c r="BE2994" s="152"/>
      <c r="BF2994" s="152"/>
      <c r="BG2994" s="152"/>
      <c r="BH2994" s="152"/>
      <c r="BI2994" s="153"/>
      <c r="BJ2994" s="153"/>
      <c r="BK2994" s="153"/>
      <c r="BL2994" s="153"/>
      <c r="BM2994" s="153"/>
      <c r="BN2994" s="153"/>
      <c r="BO2994" s="153"/>
      <c r="BP2994" s="153"/>
      <c r="BQ2994" s="153"/>
      <c r="BR2994" s="153"/>
      <c r="BS2994" s="153"/>
      <c r="BT2994" s="153"/>
      <c r="BU2994" s="153"/>
      <c r="BV2994" s="153"/>
      <c r="BW2994" s="153"/>
      <c r="BX2994" s="153"/>
      <c r="BY2994" s="153"/>
      <c r="BZ2994" s="153"/>
      <c r="CA2994" s="152"/>
      <c r="CB2994" s="152"/>
    </row>
    <row r="2995" spans="1:80" s="87" customFormat="1" ht="15" x14ac:dyDescent="0.25">
      <c r="A2995" s="152"/>
      <c r="B2995" s="683"/>
      <c r="C2995" s="683"/>
      <c r="D2995" s="698"/>
      <c r="E2995" s="215"/>
      <c r="F2995" s="215"/>
      <c r="G2995" s="153"/>
      <c r="H2995" s="153"/>
      <c r="I2995" s="316">
        <v>20</v>
      </c>
      <c r="J2995" s="306">
        <v>60</v>
      </c>
      <c r="K2995" s="150">
        <v>1</v>
      </c>
      <c r="L2995" s="656">
        <v>20</v>
      </c>
      <c r="M2995" s="663">
        <v>35590</v>
      </c>
      <c r="N2995" s="600">
        <v>4.1619700000000002</v>
      </c>
      <c r="O2995" s="604">
        <v>5.594E-3</v>
      </c>
      <c r="P2995" s="150"/>
      <c r="Q2995" s="250"/>
      <c r="R2995" s="250">
        <v>0.26899999999999996</v>
      </c>
      <c r="S2995" s="250">
        <v>0</v>
      </c>
      <c r="T2995" s="250">
        <v>2.5000000000000001E-2</v>
      </c>
      <c r="U2995" s="250">
        <v>0.08</v>
      </c>
      <c r="V2995" s="250">
        <v>0.21246206034636667</v>
      </c>
      <c r="W2995" s="250">
        <v>0.22210319585788252</v>
      </c>
      <c r="X2995" s="250">
        <v>0.18496697018389571</v>
      </c>
      <c r="Y2995" s="250">
        <v>6.6059632208534183E-3</v>
      </c>
      <c r="Z2995" s="150">
        <v>29</v>
      </c>
      <c r="AA2995" s="223">
        <v>1.33</v>
      </c>
      <c r="AB2995" s="152"/>
      <c r="AC2995" s="152"/>
      <c r="AD2995" s="223">
        <v>9.8447169999999993</v>
      </c>
      <c r="AE2995" s="223">
        <v>0.44499339999999998</v>
      </c>
      <c r="AF2995" s="223">
        <v>4.3753073999999996</v>
      </c>
      <c r="AG2995" s="223">
        <v>0.95094480000000003</v>
      </c>
      <c r="AH2995" s="341"/>
      <c r="AI2995" s="218"/>
      <c r="AJ2995" s="218"/>
      <c r="AK2995" s="153"/>
      <c r="AL2995" s="152"/>
      <c r="AM2995" s="152"/>
      <c r="AN2995" s="152"/>
      <c r="AO2995" s="152"/>
      <c r="AP2995" s="152"/>
      <c r="AQ2995" s="152"/>
      <c r="AR2995" s="152"/>
      <c r="AS2995" s="152"/>
      <c r="AT2995" s="152"/>
      <c r="AU2995" s="153"/>
      <c r="AV2995" s="479"/>
      <c r="AW2995" s="479"/>
      <c r="AX2995" s="442"/>
      <c r="AY2995" s="153"/>
      <c r="AZ2995" s="152"/>
      <c r="BA2995" s="152"/>
      <c r="BB2995" s="152"/>
      <c r="BC2995" s="152"/>
      <c r="BD2995" s="152"/>
      <c r="BE2995" s="152"/>
      <c r="BF2995" s="152"/>
      <c r="BG2995" s="152"/>
      <c r="BH2995" s="152"/>
      <c r="BI2995" s="153"/>
      <c r="BJ2995" s="153"/>
      <c r="BK2995" s="153"/>
      <c r="BL2995" s="153"/>
      <c r="BM2995" s="153"/>
      <c r="BN2995" s="153"/>
      <c r="BO2995" s="153"/>
      <c r="BP2995" s="153"/>
      <c r="BQ2995" s="153"/>
      <c r="BR2995" s="153"/>
      <c r="BS2995" s="153"/>
      <c r="BT2995" s="153"/>
      <c r="BU2995" s="153"/>
      <c r="BV2995" s="153"/>
      <c r="BW2995" s="153"/>
      <c r="BX2995" s="153"/>
      <c r="BY2995" s="153"/>
      <c r="BZ2995" s="153"/>
      <c r="CA2995" s="152"/>
      <c r="CB2995" s="152"/>
    </row>
    <row r="2996" spans="1:80" s="87" customFormat="1" ht="15" x14ac:dyDescent="0.25">
      <c r="A2996" s="152"/>
      <c r="B2996" s="683"/>
      <c r="C2996" s="683"/>
      <c r="D2996" s="698"/>
      <c r="E2996" s="215"/>
      <c r="F2996" s="215"/>
      <c r="G2996" s="153"/>
      <c r="H2996" s="153"/>
      <c r="I2996" s="316">
        <v>20</v>
      </c>
      <c r="J2996" s="306">
        <v>60</v>
      </c>
      <c r="K2996" s="150">
        <v>1</v>
      </c>
      <c r="L2996" s="656">
        <v>20</v>
      </c>
      <c r="M2996" s="663">
        <v>35604</v>
      </c>
      <c r="N2996" s="600">
        <v>2.8879000000000001</v>
      </c>
      <c r="O2996" s="604">
        <v>1.5430000000000001E-3</v>
      </c>
      <c r="P2996" s="150"/>
      <c r="Q2996" s="250"/>
      <c r="R2996" s="250"/>
      <c r="S2996" s="250"/>
      <c r="T2996" s="250"/>
      <c r="U2996" s="250">
        <v>6.5000000000000002E-2</v>
      </c>
      <c r="V2996" s="250">
        <v>0.10020449897750511</v>
      </c>
      <c r="W2996" s="250">
        <v>0.43081117927743695</v>
      </c>
      <c r="X2996" s="250">
        <v>0.37559645535105657</v>
      </c>
      <c r="Y2996" s="250">
        <v>2.7948193592365375E-2</v>
      </c>
      <c r="Z2996" s="150"/>
      <c r="AA2996" s="223">
        <v>0.57999999999999996</v>
      </c>
      <c r="AB2996" s="152"/>
      <c r="AC2996" s="152"/>
      <c r="AD2996" s="223">
        <v>9.6313639999999996</v>
      </c>
      <c r="AE2996" s="223">
        <v>0.38708330000000002</v>
      </c>
      <c r="AF2996" s="223">
        <v>3.7343388000000002</v>
      </c>
      <c r="AG2996" s="223">
        <v>0.77416660000000004</v>
      </c>
      <c r="AH2996" s="341"/>
      <c r="AI2996" s="218"/>
      <c r="AJ2996" s="218"/>
      <c r="AK2996" s="153"/>
      <c r="AL2996" s="152"/>
      <c r="AM2996" s="152"/>
      <c r="AN2996" s="152"/>
      <c r="AO2996" s="152"/>
      <c r="AP2996" s="152"/>
      <c r="AQ2996" s="152"/>
      <c r="AR2996" s="152"/>
      <c r="AS2996" s="152"/>
      <c r="AT2996" s="152"/>
      <c r="AU2996" s="153"/>
      <c r="AV2996" s="479"/>
      <c r="AW2996" s="479"/>
      <c r="AX2996" s="442"/>
      <c r="AY2996" s="153"/>
      <c r="AZ2996" s="152"/>
      <c r="BA2996" s="152"/>
      <c r="BB2996" s="152"/>
      <c r="BC2996" s="152"/>
      <c r="BD2996" s="152"/>
      <c r="BE2996" s="152"/>
      <c r="BF2996" s="152"/>
      <c r="BG2996" s="152"/>
      <c r="BH2996" s="152"/>
      <c r="BI2996" s="153"/>
      <c r="BJ2996" s="153"/>
      <c r="BK2996" s="153"/>
      <c r="BL2996" s="153"/>
      <c r="BM2996" s="153"/>
      <c r="BN2996" s="153"/>
      <c r="BO2996" s="153"/>
      <c r="BP2996" s="153"/>
      <c r="BQ2996" s="153"/>
      <c r="BR2996" s="153"/>
      <c r="BS2996" s="153"/>
      <c r="BT2996" s="153"/>
      <c r="BU2996" s="153"/>
      <c r="BV2996" s="153"/>
      <c r="BW2996" s="153"/>
      <c r="BX2996" s="153"/>
      <c r="BY2996" s="153"/>
      <c r="BZ2996" s="153"/>
      <c r="CA2996" s="152"/>
      <c r="CB2996" s="152"/>
    </row>
    <row r="2997" spans="1:80" s="87" customFormat="1" ht="15" x14ac:dyDescent="0.25">
      <c r="A2997" s="152"/>
      <c r="B2997" s="683"/>
      <c r="C2997" s="683"/>
      <c r="D2997" s="698"/>
      <c r="E2997" s="215"/>
      <c r="F2997" s="215"/>
      <c r="G2997" s="153"/>
      <c r="H2997" s="153"/>
      <c r="I2997" s="316">
        <v>20</v>
      </c>
      <c r="J2997" s="306">
        <v>60</v>
      </c>
      <c r="K2997" s="150">
        <v>1</v>
      </c>
      <c r="L2997" s="656">
        <v>20</v>
      </c>
      <c r="M2997" s="663">
        <v>35638</v>
      </c>
      <c r="N2997" s="600">
        <v>1.6902699999999999</v>
      </c>
      <c r="O2997" s="604">
        <v>5.4600000000000004E-4</v>
      </c>
      <c r="P2997" s="150"/>
      <c r="Q2997" s="250"/>
      <c r="R2997" s="250"/>
      <c r="S2997" s="250"/>
      <c r="T2997" s="250"/>
      <c r="U2997" s="250"/>
      <c r="V2997" s="250">
        <v>1.8450184501845018E-2</v>
      </c>
      <c r="W2997" s="250">
        <v>0.23800738007380073</v>
      </c>
      <c r="X2997" s="250">
        <v>0.35424354243542433</v>
      </c>
      <c r="Y2997" s="250">
        <v>0.38929889298892989</v>
      </c>
      <c r="Z2997" s="150">
        <v>3</v>
      </c>
      <c r="AA2997" s="223">
        <v>0.31</v>
      </c>
      <c r="AB2997" s="152"/>
      <c r="AC2997" s="152"/>
      <c r="AD2997" s="223">
        <v>9.2960949999999993</v>
      </c>
      <c r="AE2997" s="223">
        <v>0.3078379</v>
      </c>
      <c r="AF2997" s="223">
        <v>2.8518458</v>
      </c>
      <c r="AG2997" s="223">
        <v>0.55471780000000004</v>
      </c>
      <c r="AH2997" s="341"/>
      <c r="AI2997" s="218"/>
      <c r="AJ2997" s="218"/>
      <c r="AK2997" s="153"/>
      <c r="AL2997" s="152"/>
      <c r="AM2997" s="152"/>
      <c r="AN2997" s="152"/>
      <c r="AO2997" s="152"/>
      <c r="AP2997" s="152"/>
      <c r="AQ2997" s="152"/>
      <c r="AR2997" s="152"/>
      <c r="AS2997" s="152"/>
      <c r="AT2997" s="152"/>
      <c r="AU2997" s="153"/>
      <c r="AV2997" s="479"/>
      <c r="AW2997" s="479"/>
      <c r="AX2997" s="442"/>
      <c r="AY2997" s="153"/>
      <c r="AZ2997" s="152"/>
      <c r="BA2997" s="152"/>
      <c r="BB2997" s="152"/>
      <c r="BC2997" s="152"/>
      <c r="BD2997" s="152"/>
      <c r="BE2997" s="152"/>
      <c r="BF2997" s="152"/>
      <c r="BG2997" s="152"/>
      <c r="BH2997" s="152"/>
      <c r="BI2997" s="153"/>
      <c r="BJ2997" s="153"/>
      <c r="BK2997" s="153"/>
      <c r="BL2997" s="153"/>
      <c r="BM2997" s="153"/>
      <c r="BN2997" s="153"/>
      <c r="BO2997" s="153"/>
      <c r="BP2997" s="153"/>
      <c r="BQ2997" s="153"/>
      <c r="BR2997" s="153"/>
      <c r="BS2997" s="153"/>
      <c r="BT2997" s="153"/>
      <c r="BU2997" s="153"/>
      <c r="BV2997" s="153"/>
      <c r="BW2997" s="153"/>
      <c r="BX2997" s="153"/>
      <c r="BY2997" s="153"/>
      <c r="BZ2997" s="153"/>
      <c r="CA2997" s="152"/>
      <c r="CB2997" s="152"/>
    </row>
    <row r="2998" spans="1:80" s="87" customFormat="1" ht="15" x14ac:dyDescent="0.25">
      <c r="A2998" s="152"/>
      <c r="B2998" s="683"/>
      <c r="C2998" s="683"/>
      <c r="D2998" s="698"/>
      <c r="E2998" s="215"/>
      <c r="F2998" s="215"/>
      <c r="G2998" s="153"/>
      <c r="H2998" s="153"/>
      <c r="I2998" s="316">
        <v>20</v>
      </c>
      <c r="J2998" s="306">
        <v>60</v>
      </c>
      <c r="K2998" s="150">
        <v>1</v>
      </c>
      <c r="L2998" s="656">
        <v>20</v>
      </c>
      <c r="M2998" s="663">
        <v>35665</v>
      </c>
      <c r="N2998" s="600">
        <v>0.62004999999999999</v>
      </c>
      <c r="O2998" s="604">
        <v>0</v>
      </c>
      <c r="P2998" s="150"/>
      <c r="Q2998" s="250"/>
      <c r="R2998" s="250"/>
      <c r="S2998" s="250"/>
      <c r="T2998" s="250"/>
      <c r="U2998" s="250"/>
      <c r="V2998" s="250">
        <v>0</v>
      </c>
      <c r="W2998" s="250">
        <v>0</v>
      </c>
      <c r="X2998" s="250">
        <v>0</v>
      </c>
      <c r="Y2998" s="250">
        <v>0</v>
      </c>
      <c r="Z2998" s="150"/>
      <c r="AA2998" s="223"/>
      <c r="AB2998" s="152"/>
      <c r="AC2998" s="152"/>
      <c r="AD2998" s="223">
        <v>9.1437000000000008</v>
      </c>
      <c r="AE2998" s="223">
        <v>0.21030509999999999</v>
      </c>
      <c r="AF2998" s="223">
        <v>1.9136164</v>
      </c>
      <c r="AG2998" s="223">
        <v>0.32612530000000001</v>
      </c>
      <c r="AH2998" s="341"/>
      <c r="AI2998" s="218"/>
      <c r="AJ2998" s="218"/>
      <c r="AK2998" s="153"/>
      <c r="AL2998" s="152"/>
      <c r="AM2998" s="152"/>
      <c r="AN2998" s="152"/>
      <c r="AO2998" s="152"/>
      <c r="AP2998" s="152"/>
      <c r="AQ2998" s="152"/>
      <c r="AR2998" s="152"/>
      <c r="AS2998" s="152"/>
      <c r="AT2998" s="152"/>
      <c r="AU2998" s="153"/>
      <c r="AV2998" s="479"/>
      <c r="AW2998" s="479"/>
      <c r="AX2998" s="442"/>
      <c r="AY2998" s="153"/>
      <c r="AZ2998" s="152"/>
      <c r="BA2998" s="152"/>
      <c r="BB2998" s="152"/>
      <c r="BC2998" s="152"/>
      <c r="BD2998" s="152"/>
      <c r="BE2998" s="152"/>
      <c r="BF2998" s="152"/>
      <c r="BG2998" s="152"/>
      <c r="BH2998" s="152"/>
      <c r="BI2998" s="153"/>
      <c r="BJ2998" s="153"/>
      <c r="BK2998" s="153"/>
      <c r="BL2998" s="153"/>
      <c r="BM2998" s="153"/>
      <c r="BN2998" s="153"/>
      <c r="BO2998" s="153"/>
      <c r="BP2998" s="153"/>
      <c r="BQ2998" s="153"/>
      <c r="BR2998" s="153"/>
      <c r="BS2998" s="153"/>
      <c r="BT2998" s="153"/>
      <c r="BU2998" s="153"/>
      <c r="BV2998" s="153"/>
      <c r="BW2998" s="153"/>
      <c r="BX2998" s="153"/>
      <c r="BY2998" s="153"/>
      <c r="BZ2998" s="153"/>
      <c r="CA2998" s="152"/>
      <c r="CB2998" s="152"/>
    </row>
    <row r="2999" spans="1:80" s="87" customFormat="1" ht="15" x14ac:dyDescent="0.25">
      <c r="A2999" s="152"/>
      <c r="B2999" s="683"/>
      <c r="C2999" s="683"/>
      <c r="D2999" s="698"/>
      <c r="E2999" s="215"/>
      <c r="F2999" s="215"/>
      <c r="G2999" s="153"/>
      <c r="H2999" s="153"/>
      <c r="I2999" s="316">
        <v>20</v>
      </c>
      <c r="J2999" s="316">
        <v>60</v>
      </c>
      <c r="K2999" s="150">
        <v>1</v>
      </c>
      <c r="L2999" s="656">
        <v>20</v>
      </c>
      <c r="M2999" s="663">
        <v>35898</v>
      </c>
      <c r="N2999" s="600">
        <v>2.5000100000000001</v>
      </c>
      <c r="O2999" s="604">
        <v>4.9600000000000002E-4</v>
      </c>
      <c r="P2999" s="150"/>
      <c r="Q2999" s="250"/>
      <c r="R2999" s="250"/>
      <c r="S2999" s="250"/>
      <c r="T2999" s="250"/>
      <c r="U2999" s="250">
        <v>0.3</v>
      </c>
      <c r="V2999" s="250">
        <v>0.24299999999999999</v>
      </c>
      <c r="W2999" s="250">
        <v>0.19699999999999998</v>
      </c>
      <c r="X2999" s="250">
        <v>0.23699999999999999</v>
      </c>
      <c r="Y2999" s="250">
        <v>2.2000000000000002E-2</v>
      </c>
      <c r="Z2999" s="150">
        <v>4</v>
      </c>
      <c r="AA2999" s="223">
        <v>1.1299999999999999</v>
      </c>
      <c r="AB2999" s="152"/>
      <c r="AC2999" s="152"/>
      <c r="AD2999" s="223"/>
      <c r="AE2999" s="223"/>
      <c r="AF2999" s="223"/>
      <c r="AG2999" s="223"/>
      <c r="AH2999" s="341"/>
      <c r="AI2999" s="218"/>
      <c r="AJ2999" s="218"/>
      <c r="AK2999" s="153"/>
      <c r="AL2999" s="152"/>
      <c r="AM2999" s="152"/>
      <c r="AN2999" s="152"/>
      <c r="AO2999" s="152"/>
      <c r="AP2999" s="152"/>
      <c r="AQ2999" s="152"/>
      <c r="AR2999" s="152"/>
      <c r="AS2999" s="152"/>
      <c r="AT2999" s="152"/>
      <c r="AU2999" s="153"/>
      <c r="AV2999" s="479"/>
      <c r="AW2999" s="479"/>
      <c r="AX2999" s="442"/>
      <c r="AY2999" s="153"/>
      <c r="AZ2999" s="152"/>
      <c r="BA2999" s="152"/>
      <c r="BB2999" s="152"/>
      <c r="BC2999" s="152"/>
      <c r="BD2999" s="152"/>
      <c r="BE2999" s="152"/>
      <c r="BF2999" s="152"/>
      <c r="BG2999" s="152"/>
      <c r="BH2999" s="152"/>
      <c r="BI2999" s="153"/>
      <c r="BJ2999" s="153"/>
      <c r="BK2999" s="153"/>
      <c r="BL2999" s="153"/>
      <c r="BM2999" s="153"/>
      <c r="BN2999" s="153"/>
      <c r="BO2999" s="153"/>
      <c r="BP2999" s="153"/>
      <c r="BQ2999" s="153"/>
      <c r="BR2999" s="153"/>
      <c r="BS2999" s="153"/>
      <c r="BT2999" s="153"/>
      <c r="BU2999" s="153"/>
      <c r="BV2999" s="153"/>
      <c r="BW2999" s="153"/>
      <c r="BX2999" s="153"/>
      <c r="BY2999" s="153"/>
      <c r="BZ2999" s="153"/>
      <c r="CA2999" s="152"/>
      <c r="CB2999" s="152"/>
    </row>
    <row r="3000" spans="1:80" s="87" customFormat="1" ht="15" x14ac:dyDescent="0.25">
      <c r="A3000" s="152"/>
      <c r="B3000" s="683"/>
      <c r="C3000" s="683"/>
      <c r="D3000" s="698"/>
      <c r="E3000" s="215"/>
      <c r="F3000" s="215"/>
      <c r="G3000" s="153"/>
      <c r="H3000" s="153"/>
      <c r="I3000" s="316">
        <v>20</v>
      </c>
      <c r="J3000" s="316">
        <v>60</v>
      </c>
      <c r="K3000" s="150">
        <v>1</v>
      </c>
      <c r="L3000" s="656">
        <v>20</v>
      </c>
      <c r="M3000" s="663">
        <v>35916</v>
      </c>
      <c r="N3000" s="600">
        <v>8.9184999999999999</v>
      </c>
      <c r="O3000" s="604">
        <v>6.4023999999999998E-2</v>
      </c>
      <c r="P3000" s="150"/>
      <c r="Q3000" s="250">
        <v>0.69499999999999995</v>
      </c>
      <c r="R3000" s="250">
        <v>0</v>
      </c>
      <c r="S3000" s="250">
        <v>0</v>
      </c>
      <c r="T3000" s="250">
        <v>4.0000000000000001E-3</v>
      </c>
      <c r="U3000" s="250">
        <v>2.2000000000000002E-2</v>
      </c>
      <c r="V3000" s="250">
        <v>8.900000000000001E-2</v>
      </c>
      <c r="W3000" s="250">
        <v>0.15</v>
      </c>
      <c r="X3000" s="250">
        <v>3.9E-2</v>
      </c>
      <c r="Y3000" s="250">
        <v>1E-3</v>
      </c>
      <c r="Z3000" s="150">
        <v>60</v>
      </c>
      <c r="AA3000" s="223">
        <v>38.9</v>
      </c>
      <c r="AB3000" s="152"/>
      <c r="AC3000" s="152"/>
      <c r="AD3000" s="223"/>
      <c r="AE3000" s="223"/>
      <c r="AF3000" s="223"/>
      <c r="AG3000" s="223"/>
      <c r="AH3000" s="341"/>
      <c r="AI3000" s="218"/>
      <c r="AJ3000" s="218"/>
      <c r="AK3000" s="153"/>
      <c r="AL3000" s="152"/>
      <c r="AM3000" s="152"/>
      <c r="AN3000" s="152"/>
      <c r="AO3000" s="152"/>
      <c r="AP3000" s="152"/>
      <c r="AQ3000" s="152"/>
      <c r="AR3000" s="152"/>
      <c r="AS3000" s="152"/>
      <c r="AT3000" s="152"/>
      <c r="AU3000" s="153"/>
      <c r="AV3000" s="479"/>
      <c r="AW3000" s="479"/>
      <c r="AX3000" s="442"/>
      <c r="AY3000" s="153"/>
      <c r="AZ3000" s="152"/>
      <c r="BA3000" s="152"/>
      <c r="BB3000" s="152"/>
      <c r="BC3000" s="152"/>
      <c r="BD3000" s="152"/>
      <c r="BE3000" s="152"/>
      <c r="BF3000" s="152"/>
      <c r="BG3000" s="152"/>
      <c r="BH3000" s="152"/>
      <c r="BI3000" s="153"/>
      <c r="BJ3000" s="153"/>
      <c r="BK3000" s="153"/>
      <c r="BL3000" s="153"/>
      <c r="BM3000" s="153"/>
      <c r="BN3000" s="153"/>
      <c r="BO3000" s="153"/>
      <c r="BP3000" s="153"/>
      <c r="BQ3000" s="153"/>
      <c r="BR3000" s="153"/>
      <c r="BS3000" s="153"/>
      <c r="BT3000" s="153"/>
      <c r="BU3000" s="153"/>
      <c r="BV3000" s="153"/>
      <c r="BW3000" s="153"/>
      <c r="BX3000" s="153"/>
      <c r="BY3000" s="153"/>
      <c r="BZ3000" s="153"/>
      <c r="CA3000" s="152"/>
      <c r="CB3000" s="152"/>
    </row>
    <row r="3001" spans="1:80" s="87" customFormat="1" ht="15" x14ac:dyDescent="0.25">
      <c r="A3001" s="152"/>
      <c r="B3001" s="683"/>
      <c r="C3001" s="683"/>
      <c r="D3001" s="698"/>
      <c r="E3001" s="215"/>
      <c r="F3001" s="215"/>
      <c r="G3001" s="153"/>
      <c r="H3001" s="153"/>
      <c r="I3001" s="316">
        <v>20</v>
      </c>
      <c r="J3001" s="316">
        <v>60</v>
      </c>
      <c r="K3001" s="150">
        <v>1</v>
      </c>
      <c r="L3001" s="656">
        <v>20</v>
      </c>
      <c r="M3001" s="663">
        <v>35919</v>
      </c>
      <c r="N3001" s="600">
        <v>11.6648</v>
      </c>
      <c r="O3001" s="604">
        <v>0.120701</v>
      </c>
      <c r="P3001" s="150"/>
      <c r="Q3001" s="250"/>
      <c r="R3001" s="250">
        <v>4.8000000000000001E-2</v>
      </c>
      <c r="S3001" s="250">
        <v>1.4999999999999999E-2</v>
      </c>
      <c r="T3001" s="250">
        <v>6.8000000000000005E-2</v>
      </c>
      <c r="U3001" s="250">
        <v>0.222</v>
      </c>
      <c r="V3001" s="250">
        <v>0.316</v>
      </c>
      <c r="W3001" s="250">
        <v>0.26300000000000001</v>
      </c>
      <c r="X3001" s="250">
        <v>6.4000000000000001E-2</v>
      </c>
      <c r="Y3001" s="250">
        <v>2E-3</v>
      </c>
      <c r="Z3001" s="150">
        <v>25</v>
      </c>
      <c r="AA3001" s="223">
        <v>1.46</v>
      </c>
      <c r="AB3001" s="152"/>
      <c r="AC3001" s="152"/>
      <c r="AD3001" s="223"/>
      <c r="AE3001" s="223"/>
      <c r="AF3001" s="223"/>
      <c r="AG3001" s="223"/>
      <c r="AH3001" s="341"/>
      <c r="AI3001" s="218"/>
      <c r="AJ3001" s="218"/>
      <c r="AK3001" s="153"/>
      <c r="AL3001" s="152"/>
      <c r="AM3001" s="152"/>
      <c r="AN3001" s="152"/>
      <c r="AO3001" s="152"/>
      <c r="AP3001" s="152"/>
      <c r="AQ3001" s="152"/>
      <c r="AR3001" s="152"/>
      <c r="AS3001" s="152"/>
      <c r="AT3001" s="152"/>
      <c r="AU3001" s="153"/>
      <c r="AV3001" s="479"/>
      <c r="AW3001" s="479"/>
      <c r="AX3001" s="442"/>
      <c r="AY3001" s="153"/>
      <c r="AZ3001" s="152"/>
      <c r="BA3001" s="152"/>
      <c r="BB3001" s="152"/>
      <c r="BC3001" s="152"/>
      <c r="BD3001" s="152"/>
      <c r="BE3001" s="152"/>
      <c r="BF3001" s="152"/>
      <c r="BG3001" s="152"/>
      <c r="BH3001" s="152"/>
      <c r="BI3001" s="153"/>
      <c r="BJ3001" s="153"/>
      <c r="BK3001" s="153"/>
      <c r="BL3001" s="153"/>
      <c r="BM3001" s="153"/>
      <c r="BN3001" s="153"/>
      <c r="BO3001" s="153"/>
      <c r="BP3001" s="153"/>
      <c r="BQ3001" s="153"/>
      <c r="BR3001" s="153"/>
      <c r="BS3001" s="153"/>
      <c r="BT3001" s="153"/>
      <c r="BU3001" s="153"/>
      <c r="BV3001" s="153"/>
      <c r="BW3001" s="153"/>
      <c r="BX3001" s="153"/>
      <c r="BY3001" s="153"/>
      <c r="BZ3001" s="153"/>
      <c r="CA3001" s="152"/>
      <c r="CB3001" s="152"/>
    </row>
    <row r="3002" spans="1:80" s="87" customFormat="1" ht="15" x14ac:dyDescent="0.25">
      <c r="A3002" s="152"/>
      <c r="B3002" s="683"/>
      <c r="C3002" s="683"/>
      <c r="D3002" s="698"/>
      <c r="E3002" s="215"/>
      <c r="F3002" s="215"/>
      <c r="G3002" s="153"/>
      <c r="H3002" s="153"/>
      <c r="I3002" s="316">
        <v>20</v>
      </c>
      <c r="J3002" s="316">
        <v>60</v>
      </c>
      <c r="K3002" s="150">
        <v>1</v>
      </c>
      <c r="L3002" s="656">
        <v>20</v>
      </c>
      <c r="M3002" s="663">
        <v>35925</v>
      </c>
      <c r="N3002" s="600">
        <v>7.4745499999999998</v>
      </c>
      <c r="O3002" s="604">
        <v>2.3824999999999999E-2</v>
      </c>
      <c r="P3002" s="150"/>
      <c r="Q3002" s="250"/>
      <c r="R3002" s="250"/>
      <c r="S3002" s="250">
        <v>3.3000000000000002E-2</v>
      </c>
      <c r="T3002" s="250">
        <v>5.9000000000000004E-2</v>
      </c>
      <c r="U3002" s="250">
        <v>7.5999999999999998E-2</v>
      </c>
      <c r="V3002" s="250">
        <v>0.22399999999999998</v>
      </c>
      <c r="W3002" s="250">
        <v>0.46299999999999997</v>
      </c>
      <c r="X3002" s="250">
        <v>0.14099999999999999</v>
      </c>
      <c r="Y3002" s="250">
        <v>5.0000000000000001E-3</v>
      </c>
      <c r="Z3002" s="150">
        <v>15</v>
      </c>
      <c r="AA3002" s="223">
        <v>0.85</v>
      </c>
      <c r="AB3002" s="152"/>
      <c r="AC3002" s="152"/>
      <c r="AD3002" s="223"/>
      <c r="AE3002" s="223"/>
      <c r="AF3002" s="223"/>
      <c r="AG3002" s="223"/>
      <c r="AH3002" s="341"/>
      <c r="AI3002" s="218"/>
      <c r="AJ3002" s="218"/>
      <c r="AK3002" s="153"/>
      <c r="AL3002" s="152"/>
      <c r="AM3002" s="152"/>
      <c r="AN3002" s="152"/>
      <c r="AO3002" s="152"/>
      <c r="AP3002" s="152"/>
      <c r="AQ3002" s="152"/>
      <c r="AR3002" s="152"/>
      <c r="AS3002" s="152"/>
      <c r="AT3002" s="152"/>
      <c r="AU3002" s="153"/>
      <c r="AV3002" s="479"/>
      <c r="AW3002" s="479"/>
      <c r="AX3002" s="442"/>
      <c r="AY3002" s="153"/>
      <c r="AZ3002" s="152"/>
      <c r="BA3002" s="152"/>
      <c r="BB3002" s="152"/>
      <c r="BC3002" s="152"/>
      <c r="BD3002" s="152"/>
      <c r="BE3002" s="152"/>
      <c r="BF3002" s="152"/>
      <c r="BG3002" s="152"/>
      <c r="BH3002" s="152"/>
      <c r="BI3002" s="153"/>
      <c r="BJ3002" s="153"/>
      <c r="BK3002" s="153"/>
      <c r="BL3002" s="153"/>
      <c r="BM3002" s="153"/>
      <c r="BN3002" s="153"/>
      <c r="BO3002" s="153"/>
      <c r="BP3002" s="153"/>
      <c r="BQ3002" s="153"/>
      <c r="BR3002" s="153"/>
      <c r="BS3002" s="153"/>
      <c r="BT3002" s="153"/>
      <c r="BU3002" s="153"/>
      <c r="BV3002" s="153"/>
      <c r="BW3002" s="153"/>
      <c r="BX3002" s="153"/>
      <c r="BY3002" s="153"/>
      <c r="BZ3002" s="153"/>
      <c r="CA3002" s="152"/>
      <c r="CB3002" s="152"/>
    </row>
    <row r="3003" spans="1:80" s="87" customFormat="1" ht="15" x14ac:dyDescent="0.25">
      <c r="A3003" s="152"/>
      <c r="B3003" s="683"/>
      <c r="C3003" s="683"/>
      <c r="D3003" s="698"/>
      <c r="E3003" s="215"/>
      <c r="F3003" s="215"/>
      <c r="G3003" s="153"/>
      <c r="H3003" s="153"/>
      <c r="I3003" s="316">
        <v>20</v>
      </c>
      <c r="J3003" s="316">
        <v>60</v>
      </c>
      <c r="K3003" s="150">
        <v>1</v>
      </c>
      <c r="L3003" s="656">
        <v>20</v>
      </c>
      <c r="M3003" s="663">
        <v>35933</v>
      </c>
      <c r="N3003" s="600">
        <v>4.7848499999999996</v>
      </c>
      <c r="O3003" s="604">
        <v>1.7318E-2</v>
      </c>
      <c r="P3003" s="150"/>
      <c r="Q3003" s="250"/>
      <c r="R3003" s="250"/>
      <c r="S3003" s="250">
        <v>2.8999999999999998E-2</v>
      </c>
      <c r="T3003" s="250">
        <v>3.2000000000000001E-2</v>
      </c>
      <c r="U3003" s="250">
        <v>0.221</v>
      </c>
      <c r="V3003" s="250">
        <v>0.28000000000000003</v>
      </c>
      <c r="W3003" s="250">
        <v>0.31900000000000001</v>
      </c>
      <c r="X3003" s="250">
        <v>0.11800000000000001</v>
      </c>
      <c r="Y3003" s="250">
        <v>1E-3</v>
      </c>
      <c r="Z3003" s="150">
        <v>8</v>
      </c>
      <c r="AA3003" s="223">
        <v>1.17</v>
      </c>
      <c r="AB3003" s="152"/>
      <c r="AC3003" s="152"/>
      <c r="AD3003" s="223"/>
      <c r="AE3003" s="223"/>
      <c r="AF3003" s="223"/>
      <c r="AG3003" s="223"/>
      <c r="AH3003" s="341"/>
      <c r="AI3003" s="218"/>
      <c r="AJ3003" s="218"/>
      <c r="AK3003" s="153"/>
      <c r="AL3003" s="152"/>
      <c r="AM3003" s="152"/>
      <c r="AN3003" s="152"/>
      <c r="AO3003" s="152"/>
      <c r="AP3003" s="152"/>
      <c r="AQ3003" s="152"/>
      <c r="AR3003" s="152"/>
      <c r="AS3003" s="152"/>
      <c r="AT3003" s="152"/>
      <c r="AU3003" s="153"/>
      <c r="AV3003" s="479"/>
      <c r="AW3003" s="479"/>
      <c r="AX3003" s="442"/>
      <c r="AY3003" s="153"/>
      <c r="AZ3003" s="152"/>
      <c r="BA3003" s="152"/>
      <c r="BB3003" s="152"/>
      <c r="BC3003" s="152"/>
      <c r="BD3003" s="152"/>
      <c r="BE3003" s="152"/>
      <c r="BF3003" s="152"/>
      <c r="BG3003" s="152"/>
      <c r="BH3003" s="152"/>
      <c r="BI3003" s="153"/>
      <c r="BJ3003" s="153"/>
      <c r="BK3003" s="153"/>
      <c r="BL3003" s="153"/>
      <c r="BM3003" s="153"/>
      <c r="BN3003" s="153"/>
      <c r="BO3003" s="153"/>
      <c r="BP3003" s="153"/>
      <c r="BQ3003" s="153"/>
      <c r="BR3003" s="153"/>
      <c r="BS3003" s="153"/>
      <c r="BT3003" s="153"/>
      <c r="BU3003" s="153"/>
      <c r="BV3003" s="153"/>
      <c r="BW3003" s="153"/>
      <c r="BX3003" s="153"/>
      <c r="BY3003" s="153"/>
      <c r="BZ3003" s="153"/>
      <c r="CA3003" s="152"/>
      <c r="CB3003" s="152"/>
    </row>
    <row r="3004" spans="1:80" s="87" customFormat="1" ht="15" x14ac:dyDescent="0.25">
      <c r="A3004" s="152"/>
      <c r="B3004" s="683"/>
      <c r="C3004" s="683"/>
      <c r="D3004" s="698"/>
      <c r="E3004" s="215"/>
      <c r="F3004" s="215"/>
      <c r="G3004" s="153"/>
      <c r="H3004" s="153"/>
      <c r="I3004" s="316">
        <v>20</v>
      </c>
      <c r="J3004" s="316">
        <v>60</v>
      </c>
      <c r="K3004" s="150">
        <v>1</v>
      </c>
      <c r="L3004" s="656">
        <v>20</v>
      </c>
      <c r="M3004" s="663">
        <v>35957</v>
      </c>
      <c r="N3004" s="600">
        <v>2.8595799999999998</v>
      </c>
      <c r="O3004" s="604">
        <v>6.78E-4</v>
      </c>
      <c r="P3004" s="150"/>
      <c r="Q3004" s="250"/>
      <c r="R3004" s="250"/>
      <c r="S3004" s="250"/>
      <c r="T3004" s="250"/>
      <c r="U3004" s="250">
        <v>7.4999999999999997E-2</v>
      </c>
      <c r="V3004" s="250">
        <v>0.17399999999999999</v>
      </c>
      <c r="W3004" s="250">
        <v>0.44400000000000001</v>
      </c>
      <c r="X3004" s="250">
        <v>0.27899999999999997</v>
      </c>
      <c r="Y3004" s="250">
        <v>2.7999999999999997E-2</v>
      </c>
      <c r="Z3004" s="150">
        <v>3</v>
      </c>
      <c r="AA3004" s="223">
        <v>0.68</v>
      </c>
      <c r="AB3004" s="152"/>
      <c r="AC3004" s="152"/>
      <c r="AD3004" s="223"/>
      <c r="AE3004" s="223"/>
      <c r="AF3004" s="223"/>
      <c r="AG3004" s="223"/>
      <c r="AH3004" s="341"/>
      <c r="AI3004" s="218"/>
      <c r="AJ3004" s="218"/>
      <c r="AK3004" s="153"/>
      <c r="AL3004" s="152"/>
      <c r="AM3004" s="152"/>
      <c r="AN3004" s="152"/>
      <c r="AO3004" s="152"/>
      <c r="AP3004" s="152"/>
      <c r="AQ3004" s="152"/>
      <c r="AR3004" s="152"/>
      <c r="AS3004" s="152"/>
      <c r="AT3004" s="152"/>
      <c r="AU3004" s="153"/>
      <c r="AV3004" s="479"/>
      <c r="AW3004" s="479"/>
      <c r="AX3004" s="442"/>
      <c r="AY3004" s="153"/>
      <c r="AZ3004" s="152"/>
      <c r="BA3004" s="152"/>
      <c r="BB3004" s="152"/>
      <c r="BC3004" s="152"/>
      <c r="BD3004" s="152"/>
      <c r="BE3004" s="152"/>
      <c r="BF3004" s="152"/>
      <c r="BG3004" s="152"/>
      <c r="BH3004" s="152"/>
      <c r="BI3004" s="153"/>
      <c r="BJ3004" s="153"/>
      <c r="BK3004" s="153"/>
      <c r="BL3004" s="153"/>
      <c r="BM3004" s="153"/>
      <c r="BN3004" s="153"/>
      <c r="BO3004" s="153"/>
      <c r="BP3004" s="153"/>
      <c r="BQ3004" s="153"/>
      <c r="BR3004" s="153"/>
      <c r="BS3004" s="153"/>
      <c r="BT3004" s="153"/>
      <c r="BU3004" s="153"/>
      <c r="BV3004" s="153"/>
      <c r="BW3004" s="153"/>
      <c r="BX3004" s="153"/>
      <c r="BY3004" s="153"/>
      <c r="BZ3004" s="153"/>
      <c r="CA3004" s="152"/>
      <c r="CB3004" s="152"/>
    </row>
    <row r="3005" spans="1:80" s="87" customFormat="1" ht="15" x14ac:dyDescent="0.25">
      <c r="A3005" s="152"/>
      <c r="B3005" s="683"/>
      <c r="C3005" s="683"/>
      <c r="D3005" s="698"/>
      <c r="E3005" s="215"/>
      <c r="F3005" s="215"/>
      <c r="G3005" s="153"/>
      <c r="H3005" s="153"/>
      <c r="I3005" s="316">
        <v>20</v>
      </c>
      <c r="J3005" s="316">
        <v>60</v>
      </c>
      <c r="K3005" s="150">
        <v>1</v>
      </c>
      <c r="L3005" s="656">
        <v>20</v>
      </c>
      <c r="M3005" s="663">
        <v>36000</v>
      </c>
      <c r="N3005" s="600">
        <v>1.99038</v>
      </c>
      <c r="O3005" s="604">
        <v>1.753E-3</v>
      </c>
      <c r="P3005" s="150"/>
      <c r="Q3005" s="250"/>
      <c r="R3005" s="250"/>
      <c r="S3005" s="250"/>
      <c r="T3005" s="250"/>
      <c r="U3005" s="250">
        <v>6.7000000000000004E-2</v>
      </c>
      <c r="V3005" s="250">
        <v>0.191</v>
      </c>
      <c r="W3005" s="250">
        <v>0.40700000000000003</v>
      </c>
      <c r="X3005" s="250">
        <v>0.315</v>
      </c>
      <c r="Y3005" s="250">
        <v>2.1000000000000001E-2</v>
      </c>
      <c r="Z3005" s="150">
        <v>3</v>
      </c>
      <c r="AA3005" s="223">
        <v>0.66</v>
      </c>
      <c r="AB3005" s="152"/>
      <c r="AC3005" s="152"/>
      <c r="AD3005" s="223"/>
      <c r="AE3005" s="223"/>
      <c r="AF3005" s="223"/>
      <c r="AG3005" s="223"/>
      <c r="AH3005" s="341"/>
      <c r="AI3005" s="218"/>
      <c r="AJ3005" s="218"/>
      <c r="AK3005" s="153"/>
      <c r="AL3005" s="152"/>
      <c r="AM3005" s="152"/>
      <c r="AN3005" s="152"/>
      <c r="AO3005" s="152"/>
      <c r="AP3005" s="152"/>
      <c r="AQ3005" s="152"/>
      <c r="AR3005" s="152"/>
      <c r="AS3005" s="152"/>
      <c r="AT3005" s="152"/>
      <c r="AU3005" s="153"/>
      <c r="AV3005" s="479"/>
      <c r="AW3005" s="479"/>
      <c r="AX3005" s="442"/>
      <c r="AY3005" s="153"/>
      <c r="AZ3005" s="152"/>
      <c r="BA3005" s="152"/>
      <c r="BB3005" s="152"/>
      <c r="BC3005" s="152"/>
      <c r="BD3005" s="152"/>
      <c r="BE3005" s="152"/>
      <c r="BF3005" s="152"/>
      <c r="BG3005" s="152"/>
      <c r="BH3005" s="152"/>
      <c r="BI3005" s="153"/>
      <c r="BJ3005" s="153"/>
      <c r="BK3005" s="153"/>
      <c r="BL3005" s="153"/>
      <c r="BM3005" s="153"/>
      <c r="BN3005" s="153"/>
      <c r="BO3005" s="153"/>
      <c r="BP3005" s="153"/>
      <c r="BQ3005" s="153"/>
      <c r="BR3005" s="153"/>
      <c r="BS3005" s="153"/>
      <c r="BT3005" s="153"/>
      <c r="BU3005" s="153"/>
      <c r="BV3005" s="153"/>
      <c r="BW3005" s="153"/>
      <c r="BX3005" s="153"/>
      <c r="BY3005" s="153"/>
      <c r="BZ3005" s="153"/>
      <c r="CA3005" s="152"/>
      <c r="CB3005" s="152"/>
    </row>
    <row r="3006" spans="1:80" s="87" customFormat="1" ht="15" x14ac:dyDescent="0.25">
      <c r="A3006" s="152"/>
      <c r="B3006" s="683"/>
      <c r="C3006" s="683"/>
      <c r="D3006" s="698"/>
      <c r="E3006" s="215"/>
      <c r="F3006" s="215"/>
      <c r="G3006" s="153"/>
      <c r="H3006" s="153"/>
      <c r="I3006" s="316">
        <v>20</v>
      </c>
      <c r="J3006" s="316">
        <v>60</v>
      </c>
      <c r="K3006" s="150">
        <v>1</v>
      </c>
      <c r="L3006" s="656">
        <v>20</v>
      </c>
      <c r="M3006" s="663">
        <v>36249</v>
      </c>
      <c r="N3006" s="600">
        <v>2.0923099999999999</v>
      </c>
      <c r="O3006" s="604">
        <v>9.8969999999999995E-3</v>
      </c>
      <c r="P3006" s="150"/>
      <c r="Q3006" s="250"/>
      <c r="R3006" s="250"/>
      <c r="S3006" s="250"/>
      <c r="T3006" s="250">
        <v>3.2000000000000001E-2</v>
      </c>
      <c r="U3006" s="250">
        <v>0.185</v>
      </c>
      <c r="V3006" s="250">
        <v>0.33200000000000002</v>
      </c>
      <c r="W3006" s="250">
        <v>0.30499999999999999</v>
      </c>
      <c r="X3006" s="250">
        <v>0.14199999999999999</v>
      </c>
      <c r="Y3006" s="250">
        <v>5.0000000000000001E-3</v>
      </c>
      <c r="Z3006" s="150">
        <v>8</v>
      </c>
      <c r="AA3006" s="223">
        <v>1.1100000000000001</v>
      </c>
      <c r="AB3006" s="152"/>
      <c r="AC3006" s="152"/>
      <c r="AD3006" s="223"/>
      <c r="AE3006" s="223"/>
      <c r="AF3006" s="223"/>
      <c r="AG3006" s="223"/>
      <c r="AH3006" s="341"/>
      <c r="AI3006" s="218"/>
      <c r="AJ3006" s="218"/>
      <c r="AK3006" s="153"/>
      <c r="AL3006" s="152"/>
      <c r="AM3006" s="152"/>
      <c r="AN3006" s="152"/>
      <c r="AO3006" s="152"/>
      <c r="AP3006" s="152"/>
      <c r="AQ3006" s="152"/>
      <c r="AR3006" s="152"/>
      <c r="AS3006" s="152"/>
      <c r="AT3006" s="152"/>
      <c r="AU3006" s="153"/>
      <c r="AV3006" s="479"/>
      <c r="AW3006" s="479"/>
      <c r="AX3006" s="442"/>
      <c r="AY3006" s="153"/>
      <c r="AZ3006" s="152"/>
      <c r="BA3006" s="152"/>
      <c r="BB3006" s="152"/>
      <c r="BC3006" s="152"/>
      <c r="BD3006" s="152"/>
      <c r="BE3006" s="152"/>
      <c r="BF3006" s="152"/>
      <c r="BG3006" s="152"/>
      <c r="BH3006" s="152"/>
      <c r="BI3006" s="153"/>
      <c r="BJ3006" s="153"/>
      <c r="BK3006" s="153"/>
      <c r="BL3006" s="153"/>
      <c r="BM3006" s="153"/>
      <c r="BN3006" s="153"/>
      <c r="BO3006" s="153"/>
      <c r="BP3006" s="153"/>
      <c r="BQ3006" s="153"/>
      <c r="BR3006" s="153"/>
      <c r="BS3006" s="153"/>
      <c r="BT3006" s="153"/>
      <c r="BU3006" s="153"/>
      <c r="BV3006" s="153"/>
      <c r="BW3006" s="153"/>
      <c r="BX3006" s="153"/>
      <c r="BY3006" s="153"/>
      <c r="BZ3006" s="153"/>
      <c r="CA3006" s="152"/>
      <c r="CB3006" s="152"/>
    </row>
    <row r="3007" spans="1:80" s="87" customFormat="1" ht="15" x14ac:dyDescent="0.25">
      <c r="A3007" s="152"/>
      <c r="B3007" s="683"/>
      <c r="C3007" s="683"/>
      <c r="D3007" s="698"/>
      <c r="E3007" s="215"/>
      <c r="F3007" s="215"/>
      <c r="G3007" s="153"/>
      <c r="H3007" s="153"/>
      <c r="I3007" s="316">
        <v>20</v>
      </c>
      <c r="J3007" s="316">
        <v>60</v>
      </c>
      <c r="K3007" s="150">
        <v>1</v>
      </c>
      <c r="L3007" s="656">
        <v>20</v>
      </c>
      <c r="M3007" s="663">
        <v>36266</v>
      </c>
      <c r="N3007" s="600">
        <v>2.0923099999999999</v>
      </c>
      <c r="O3007" s="604">
        <v>1.4274E-2</v>
      </c>
      <c r="P3007" s="150"/>
      <c r="Q3007" s="250"/>
      <c r="R3007" s="250"/>
      <c r="S3007" s="250"/>
      <c r="T3007" s="250"/>
      <c r="U3007" s="250">
        <v>1.3000000000000001E-2</v>
      </c>
      <c r="V3007" s="250">
        <v>0.187</v>
      </c>
      <c r="W3007" s="250">
        <v>0.60199999999999998</v>
      </c>
      <c r="X3007" s="250">
        <v>0.193</v>
      </c>
      <c r="Y3007" s="250">
        <v>6.0000000000000001E-3</v>
      </c>
      <c r="Z3007" s="150">
        <v>3</v>
      </c>
      <c r="AA3007" s="223">
        <v>0.71</v>
      </c>
      <c r="AB3007" s="152"/>
      <c r="AC3007" s="152"/>
      <c r="AD3007" s="223"/>
      <c r="AE3007" s="223"/>
      <c r="AF3007" s="223"/>
      <c r="AG3007" s="223"/>
      <c r="AH3007" s="341"/>
      <c r="AI3007" s="218"/>
      <c r="AJ3007" s="218"/>
      <c r="AK3007" s="153"/>
      <c r="AL3007" s="152"/>
      <c r="AM3007" s="152"/>
      <c r="AN3007" s="152"/>
      <c r="AO3007" s="152"/>
      <c r="AP3007" s="152"/>
      <c r="AQ3007" s="152"/>
      <c r="AR3007" s="152"/>
      <c r="AS3007" s="152"/>
      <c r="AT3007" s="152"/>
      <c r="AU3007" s="153"/>
      <c r="AV3007" s="479"/>
      <c r="AW3007" s="479"/>
      <c r="AX3007" s="442"/>
      <c r="AY3007" s="153"/>
      <c r="AZ3007" s="152"/>
      <c r="BA3007" s="152"/>
      <c r="BB3007" s="152"/>
      <c r="BC3007" s="152"/>
      <c r="BD3007" s="152"/>
      <c r="BE3007" s="152"/>
      <c r="BF3007" s="152"/>
      <c r="BG3007" s="152"/>
      <c r="BH3007" s="152"/>
      <c r="BI3007" s="153"/>
      <c r="BJ3007" s="153"/>
      <c r="BK3007" s="153"/>
      <c r="BL3007" s="153"/>
      <c r="BM3007" s="153"/>
      <c r="BN3007" s="153"/>
      <c r="BO3007" s="153"/>
      <c r="BP3007" s="153"/>
      <c r="BQ3007" s="153"/>
      <c r="BR3007" s="153"/>
      <c r="BS3007" s="153"/>
      <c r="BT3007" s="153"/>
      <c r="BU3007" s="153"/>
      <c r="BV3007" s="153"/>
      <c r="BW3007" s="153"/>
      <c r="BX3007" s="153"/>
      <c r="BY3007" s="153"/>
      <c r="BZ3007" s="153"/>
      <c r="CA3007" s="152"/>
      <c r="CB3007" s="152"/>
    </row>
    <row r="3008" spans="1:80" s="87" customFormat="1" ht="15" x14ac:dyDescent="0.25">
      <c r="A3008" s="152"/>
      <c r="B3008" s="683"/>
      <c r="C3008" s="683"/>
      <c r="D3008" s="698"/>
      <c r="E3008" s="215"/>
      <c r="F3008" s="215"/>
      <c r="G3008" s="153"/>
      <c r="H3008" s="153"/>
      <c r="I3008" s="316">
        <v>20</v>
      </c>
      <c r="J3008" s="316">
        <v>60</v>
      </c>
      <c r="K3008" s="150">
        <v>1</v>
      </c>
      <c r="L3008" s="656">
        <v>20</v>
      </c>
      <c r="M3008" s="663">
        <v>36286</v>
      </c>
      <c r="N3008" s="600">
        <v>4.6715999999999998</v>
      </c>
      <c r="O3008" s="604">
        <v>1.9626999999999999E-2</v>
      </c>
      <c r="P3008" s="150"/>
      <c r="Q3008" s="250"/>
      <c r="R3008" s="250"/>
      <c r="S3008" s="250"/>
      <c r="T3008" s="250">
        <v>3.1E-2</v>
      </c>
      <c r="U3008" s="250">
        <v>0.20699999999999999</v>
      </c>
      <c r="V3008" s="250">
        <v>0.36899999999999999</v>
      </c>
      <c r="W3008" s="250">
        <v>0.29399999999999998</v>
      </c>
      <c r="X3008" s="250">
        <v>9.8000000000000004E-2</v>
      </c>
      <c r="Y3008" s="250">
        <v>2E-3</v>
      </c>
      <c r="Z3008" s="150">
        <v>5</v>
      </c>
      <c r="AA3008" s="223">
        <v>1.22</v>
      </c>
      <c r="AB3008" s="152"/>
      <c r="AC3008" s="152"/>
      <c r="AD3008" s="223"/>
      <c r="AE3008" s="223"/>
      <c r="AF3008" s="223"/>
      <c r="AG3008" s="223"/>
      <c r="AH3008" s="341"/>
      <c r="AI3008" s="218"/>
      <c r="AJ3008" s="218"/>
      <c r="AK3008" s="153"/>
      <c r="AL3008" s="152"/>
      <c r="AM3008" s="152"/>
      <c r="AN3008" s="152"/>
      <c r="AO3008" s="152"/>
      <c r="AP3008" s="152"/>
      <c r="AQ3008" s="152"/>
      <c r="AR3008" s="152"/>
      <c r="AS3008" s="152"/>
      <c r="AT3008" s="152"/>
      <c r="AU3008" s="153"/>
      <c r="AV3008" s="479"/>
      <c r="AW3008" s="479"/>
      <c r="AX3008" s="442"/>
      <c r="AY3008" s="153"/>
      <c r="AZ3008" s="152"/>
      <c r="BA3008" s="152"/>
      <c r="BB3008" s="152"/>
      <c r="BC3008" s="152"/>
      <c r="BD3008" s="152"/>
      <c r="BE3008" s="152"/>
      <c r="BF3008" s="152"/>
      <c r="BG3008" s="152"/>
      <c r="BH3008" s="152"/>
      <c r="BI3008" s="153"/>
      <c r="BJ3008" s="153"/>
      <c r="BK3008" s="153"/>
      <c r="BL3008" s="153"/>
      <c r="BM3008" s="153"/>
      <c r="BN3008" s="153"/>
      <c r="BO3008" s="153"/>
      <c r="BP3008" s="153"/>
      <c r="BQ3008" s="153"/>
      <c r="BR3008" s="153"/>
      <c r="BS3008" s="153"/>
      <c r="BT3008" s="153"/>
      <c r="BU3008" s="153"/>
      <c r="BV3008" s="153"/>
      <c r="BW3008" s="153"/>
      <c r="BX3008" s="153"/>
      <c r="BY3008" s="153"/>
      <c r="BZ3008" s="153"/>
      <c r="CA3008" s="152"/>
      <c r="CB3008" s="152"/>
    </row>
    <row r="3009" spans="1:80" s="87" customFormat="1" ht="15" x14ac:dyDescent="0.25">
      <c r="A3009" s="152"/>
      <c r="B3009" s="683"/>
      <c r="C3009" s="683"/>
      <c r="D3009" s="698"/>
      <c r="E3009" s="215"/>
      <c r="F3009" s="215"/>
      <c r="G3009" s="153"/>
      <c r="H3009" s="153"/>
      <c r="I3009" s="316">
        <v>20</v>
      </c>
      <c r="J3009" s="316">
        <v>60</v>
      </c>
      <c r="K3009" s="150">
        <v>1</v>
      </c>
      <c r="L3009" s="656">
        <v>20</v>
      </c>
      <c r="M3009" s="663">
        <v>36302</v>
      </c>
      <c r="N3009" s="600">
        <v>7.2763600000000004</v>
      </c>
      <c r="O3009" s="604">
        <v>6.5388000000000002E-2</v>
      </c>
      <c r="P3009" s="150"/>
      <c r="Q3009" s="250"/>
      <c r="R3009" s="250">
        <v>4.0999999999999995E-2</v>
      </c>
      <c r="S3009" s="250">
        <v>3.9E-2</v>
      </c>
      <c r="T3009" s="250">
        <v>0.11</v>
      </c>
      <c r="U3009" s="250">
        <v>0.20699999999999999</v>
      </c>
      <c r="V3009" s="250">
        <v>0.26899999999999996</v>
      </c>
      <c r="W3009" s="250">
        <v>0.22600000000000001</v>
      </c>
      <c r="X3009" s="250">
        <v>0.107</v>
      </c>
      <c r="Y3009" s="250">
        <v>2E-3</v>
      </c>
      <c r="Z3009" s="150">
        <v>25</v>
      </c>
      <c r="AA3009" s="223">
        <v>1.53</v>
      </c>
      <c r="AB3009" s="152"/>
      <c r="AC3009" s="152"/>
      <c r="AD3009" s="223"/>
      <c r="AE3009" s="223"/>
      <c r="AF3009" s="223"/>
      <c r="AG3009" s="223"/>
      <c r="AH3009" s="341"/>
      <c r="AI3009" s="218"/>
      <c r="AJ3009" s="218"/>
      <c r="AK3009" s="153"/>
      <c r="AL3009" s="152"/>
      <c r="AM3009" s="152"/>
      <c r="AN3009" s="152"/>
      <c r="AO3009" s="152"/>
      <c r="AP3009" s="152"/>
      <c r="AQ3009" s="152"/>
      <c r="AR3009" s="152"/>
      <c r="AS3009" s="152"/>
      <c r="AT3009" s="152"/>
      <c r="AU3009" s="153"/>
      <c r="AV3009" s="479"/>
      <c r="AW3009" s="479"/>
      <c r="AX3009" s="442"/>
      <c r="AY3009" s="153"/>
      <c r="AZ3009" s="152"/>
      <c r="BA3009" s="152"/>
      <c r="BB3009" s="152"/>
      <c r="BC3009" s="152"/>
      <c r="BD3009" s="152"/>
      <c r="BE3009" s="152"/>
      <c r="BF3009" s="152"/>
      <c r="BG3009" s="152"/>
      <c r="BH3009" s="152"/>
      <c r="BI3009" s="153"/>
      <c r="BJ3009" s="153"/>
      <c r="BK3009" s="153"/>
      <c r="BL3009" s="153"/>
      <c r="BM3009" s="153"/>
      <c r="BN3009" s="153"/>
      <c r="BO3009" s="153"/>
      <c r="BP3009" s="153"/>
      <c r="BQ3009" s="153"/>
      <c r="BR3009" s="153"/>
      <c r="BS3009" s="153"/>
      <c r="BT3009" s="153"/>
      <c r="BU3009" s="153"/>
      <c r="BV3009" s="153"/>
      <c r="BW3009" s="153"/>
      <c r="BX3009" s="153"/>
      <c r="BY3009" s="153"/>
      <c r="BZ3009" s="153"/>
      <c r="CA3009" s="152"/>
      <c r="CB3009" s="152"/>
    </row>
    <row r="3010" spans="1:80" s="87" customFormat="1" ht="15" x14ac:dyDescent="0.25">
      <c r="A3010" s="152"/>
      <c r="B3010" s="683"/>
      <c r="C3010" s="683"/>
      <c r="D3010" s="698"/>
      <c r="E3010" s="215"/>
      <c r="F3010" s="215"/>
      <c r="G3010" s="153"/>
      <c r="H3010" s="153"/>
      <c r="I3010" s="316">
        <v>20</v>
      </c>
      <c r="J3010" s="316">
        <v>60</v>
      </c>
      <c r="K3010" s="150">
        <v>1</v>
      </c>
      <c r="L3010" s="656">
        <v>20</v>
      </c>
      <c r="M3010" s="663">
        <v>36315</v>
      </c>
      <c r="N3010" s="600">
        <v>7.4179300000000001</v>
      </c>
      <c r="O3010" s="604">
        <v>2.2460999999999998E-2</v>
      </c>
      <c r="P3010" s="150"/>
      <c r="Q3010" s="250"/>
      <c r="R3010" s="250"/>
      <c r="S3010" s="250">
        <v>1.3000000000000001E-2</v>
      </c>
      <c r="T3010" s="250">
        <v>6.3E-2</v>
      </c>
      <c r="U3010" s="250">
        <v>0.154</v>
      </c>
      <c r="V3010" s="250">
        <v>0.36799999999999999</v>
      </c>
      <c r="W3010" s="250">
        <v>0.32700000000000001</v>
      </c>
      <c r="X3010" s="250">
        <v>7.0999999999999994E-2</v>
      </c>
      <c r="Y3010" s="250">
        <v>3.0000000000000001E-3</v>
      </c>
      <c r="Z3010" s="150">
        <v>15</v>
      </c>
      <c r="AA3010" s="223">
        <v>1.2</v>
      </c>
      <c r="AB3010" s="152"/>
      <c r="AC3010" s="152"/>
      <c r="AD3010" s="223"/>
      <c r="AE3010" s="223"/>
      <c r="AF3010" s="223"/>
      <c r="AG3010" s="223"/>
      <c r="AH3010" s="341"/>
      <c r="AI3010" s="218"/>
      <c r="AJ3010" s="218"/>
      <c r="AK3010" s="153"/>
      <c r="AL3010" s="152"/>
      <c r="AM3010" s="152"/>
      <c r="AN3010" s="152"/>
      <c r="AO3010" s="152"/>
      <c r="AP3010" s="152"/>
      <c r="AQ3010" s="152"/>
      <c r="AR3010" s="152"/>
      <c r="AS3010" s="152"/>
      <c r="AT3010" s="152"/>
      <c r="AU3010" s="153"/>
      <c r="AV3010" s="479"/>
      <c r="AW3010" s="479"/>
      <c r="AX3010" s="442"/>
      <c r="AY3010" s="153"/>
      <c r="AZ3010" s="152"/>
      <c r="BA3010" s="152"/>
      <c r="BB3010" s="152"/>
      <c r="BC3010" s="152"/>
      <c r="BD3010" s="152"/>
      <c r="BE3010" s="152"/>
      <c r="BF3010" s="152"/>
      <c r="BG3010" s="152"/>
      <c r="BH3010" s="152"/>
      <c r="BI3010" s="153"/>
      <c r="BJ3010" s="153"/>
      <c r="BK3010" s="153"/>
      <c r="BL3010" s="153"/>
      <c r="BM3010" s="153"/>
      <c r="BN3010" s="153"/>
      <c r="BO3010" s="153"/>
      <c r="BP3010" s="153"/>
      <c r="BQ3010" s="153"/>
      <c r="BR3010" s="153"/>
      <c r="BS3010" s="153"/>
      <c r="BT3010" s="153"/>
      <c r="BU3010" s="153"/>
      <c r="BV3010" s="153"/>
      <c r="BW3010" s="153"/>
      <c r="BX3010" s="153"/>
      <c r="BY3010" s="153"/>
      <c r="BZ3010" s="153"/>
      <c r="CA3010" s="152"/>
      <c r="CB3010" s="152"/>
    </row>
    <row r="3011" spans="1:80" s="87" customFormat="1" ht="15" x14ac:dyDescent="0.25">
      <c r="A3011" s="152"/>
      <c r="B3011" s="683"/>
      <c r="C3011" s="683"/>
      <c r="D3011" s="698"/>
      <c r="E3011" s="215"/>
      <c r="F3011" s="215"/>
      <c r="G3011" s="153"/>
      <c r="H3011" s="153"/>
      <c r="I3011" s="316">
        <v>20</v>
      </c>
      <c r="J3011" s="316">
        <v>60</v>
      </c>
      <c r="K3011" s="150">
        <v>1</v>
      </c>
      <c r="L3011" s="656">
        <v>20</v>
      </c>
      <c r="M3011" s="663">
        <v>36326</v>
      </c>
      <c r="N3011" s="600">
        <v>3.85053</v>
      </c>
      <c r="O3011" s="604">
        <v>1.123E-2</v>
      </c>
      <c r="P3011" s="150"/>
      <c r="Q3011" s="250"/>
      <c r="R3011" s="250"/>
      <c r="S3011" s="250">
        <v>4.5999999999999999E-2</v>
      </c>
      <c r="T3011" s="250">
        <v>4.8000000000000001E-2</v>
      </c>
      <c r="U3011" s="250">
        <v>0.16500000000000001</v>
      </c>
      <c r="V3011" s="250">
        <v>0.36</v>
      </c>
      <c r="W3011" s="250">
        <v>0.26100000000000001</v>
      </c>
      <c r="X3011" s="250">
        <v>0.11599999999999999</v>
      </c>
      <c r="Y3011" s="250">
        <v>3.0000000000000001E-3</v>
      </c>
      <c r="Z3011" s="150">
        <v>14</v>
      </c>
      <c r="AA3011" s="223">
        <v>1.26</v>
      </c>
      <c r="AB3011" s="152"/>
      <c r="AC3011" s="152"/>
      <c r="AD3011" s="223"/>
      <c r="AE3011" s="223"/>
      <c r="AF3011" s="223"/>
      <c r="AG3011" s="223"/>
      <c r="AH3011" s="341"/>
      <c r="AI3011" s="218"/>
      <c r="AJ3011" s="218"/>
      <c r="AK3011" s="153"/>
      <c r="AL3011" s="152"/>
      <c r="AM3011" s="152"/>
      <c r="AN3011" s="152"/>
      <c r="AO3011" s="152"/>
      <c r="AP3011" s="152"/>
      <c r="AQ3011" s="152"/>
      <c r="AR3011" s="152"/>
      <c r="AS3011" s="152"/>
      <c r="AT3011" s="152"/>
      <c r="AU3011" s="153"/>
      <c r="AV3011" s="479"/>
      <c r="AW3011" s="479"/>
      <c r="AX3011" s="442"/>
      <c r="AY3011" s="153"/>
      <c r="AZ3011" s="152"/>
      <c r="BA3011" s="152"/>
      <c r="BB3011" s="152"/>
      <c r="BC3011" s="152"/>
      <c r="BD3011" s="152"/>
      <c r="BE3011" s="152"/>
      <c r="BF3011" s="152"/>
      <c r="BG3011" s="152"/>
      <c r="BH3011" s="152"/>
      <c r="BI3011" s="153"/>
      <c r="BJ3011" s="153"/>
      <c r="BK3011" s="153"/>
      <c r="BL3011" s="153"/>
      <c r="BM3011" s="153"/>
      <c r="BN3011" s="153"/>
      <c r="BO3011" s="153"/>
      <c r="BP3011" s="153"/>
      <c r="BQ3011" s="153"/>
      <c r="BR3011" s="153"/>
      <c r="BS3011" s="153"/>
      <c r="BT3011" s="153"/>
      <c r="BU3011" s="153"/>
      <c r="BV3011" s="153"/>
      <c r="BW3011" s="153"/>
      <c r="BX3011" s="153"/>
      <c r="BY3011" s="153"/>
      <c r="BZ3011" s="153"/>
      <c r="CA3011" s="152"/>
      <c r="CB3011" s="152"/>
    </row>
    <row r="3012" spans="1:80" ht="15" x14ac:dyDescent="0.25">
      <c r="A3012" s="9" t="s">
        <v>196</v>
      </c>
      <c r="B3012" s="639" t="s">
        <v>66</v>
      </c>
      <c r="C3012" s="639"/>
      <c r="D3012" s="4">
        <f>VLOOKUP(E3012,'Quality Code'!D4:E24,2,TRUE)*VLOOKUP(MROUND(F3012,10),'Quality Code'!D28:E69,2,TRUE)*VLOOKUP(COUNTA(CB3012:CB3022),'Quality Code'!D73:E93,2,TRUE)</f>
        <v>3.75</v>
      </c>
      <c r="E3012" s="14">
        <v>0.75</v>
      </c>
      <c r="F3012" s="18">
        <v>98</v>
      </c>
      <c r="G3012" s="12">
        <v>205.88399999999999</v>
      </c>
      <c r="H3012" s="2" t="s">
        <v>231</v>
      </c>
      <c r="I3012" s="10"/>
      <c r="J3012" s="10" t="s">
        <v>283</v>
      </c>
      <c r="K3012" s="10"/>
      <c r="L3012" s="640" t="s">
        <v>284</v>
      </c>
      <c r="M3012" s="640" t="s">
        <v>841</v>
      </c>
      <c r="N3012" s="579"/>
      <c r="O3012" s="579"/>
      <c r="P3012" s="10" t="s">
        <v>64</v>
      </c>
      <c r="Q3012" s="10" t="s">
        <v>64</v>
      </c>
      <c r="R3012" s="10" t="s">
        <v>64</v>
      </c>
      <c r="S3012" s="10" t="s">
        <v>64</v>
      </c>
      <c r="T3012" s="10" t="s">
        <v>64</v>
      </c>
      <c r="U3012" s="10" t="s">
        <v>64</v>
      </c>
      <c r="V3012" s="162"/>
      <c r="W3012" s="162"/>
      <c r="X3012" s="10"/>
      <c r="Y3012" s="10"/>
      <c r="Z3012" s="11"/>
      <c r="AA3012" s="81"/>
      <c r="AB3012" s="81"/>
      <c r="AC3012" s="116">
        <v>6.0000000000000001E-3</v>
      </c>
      <c r="AD3012" s="11"/>
      <c r="AE3012" s="11"/>
      <c r="AF3012" s="10"/>
      <c r="AG3012" s="10"/>
      <c r="AH3012" s="345" t="s">
        <v>342</v>
      </c>
      <c r="AI3012" s="18"/>
      <c r="AJ3012" s="18"/>
      <c r="AK3012" s="10"/>
      <c r="AL3012" s="17"/>
      <c r="AM3012" s="17"/>
      <c r="AN3012" s="17"/>
      <c r="AO3012" s="17"/>
      <c r="AP3012" s="17"/>
      <c r="AQ3012" s="17"/>
      <c r="AR3012" s="17"/>
      <c r="AS3012" s="17"/>
      <c r="AT3012" s="17"/>
      <c r="AU3012" s="18">
        <v>56</v>
      </c>
      <c r="AV3012" s="17">
        <v>1</v>
      </c>
      <c r="AW3012" s="17">
        <v>1</v>
      </c>
      <c r="AX3012" s="17">
        <v>0.98950000000000005</v>
      </c>
      <c r="AY3012" s="17">
        <v>0.84209999999999996</v>
      </c>
      <c r="AZ3012" s="17">
        <v>0.57889999999999997</v>
      </c>
      <c r="BA3012" s="17">
        <v>0.1263</v>
      </c>
      <c r="BB3012" s="17">
        <v>4.2099999999999999E-2</v>
      </c>
      <c r="BC3012" s="17">
        <v>2.1099999999999997E-2</v>
      </c>
      <c r="BD3012" s="17">
        <v>2.1100000000000001E-2</v>
      </c>
      <c r="BE3012" s="17">
        <v>0</v>
      </c>
      <c r="BF3012" s="17"/>
      <c r="BG3012" s="17"/>
      <c r="BH3012" s="17"/>
      <c r="BI3012" s="4"/>
      <c r="BJ3012" s="2"/>
      <c r="BK3012" s="2" t="s">
        <v>175</v>
      </c>
      <c r="BL3012" s="12"/>
      <c r="BM3012" s="12">
        <v>20.781500000000001</v>
      </c>
      <c r="BN3012" s="12"/>
      <c r="BO3012" s="12"/>
      <c r="BP3012" s="12"/>
      <c r="BQ3012" s="12"/>
      <c r="BR3012" s="12" t="s">
        <v>276</v>
      </c>
      <c r="BS3012" s="12"/>
      <c r="BT3012" s="12"/>
      <c r="BU3012" s="2"/>
      <c r="BV3012" s="2"/>
      <c r="BW3012" s="2"/>
      <c r="BX3012" s="2"/>
      <c r="BY3012" s="2" t="s">
        <v>83</v>
      </c>
      <c r="BZ3012" s="2"/>
      <c r="CA3012" s="381"/>
      <c r="CB3012" s="9" t="s">
        <v>224</v>
      </c>
    </row>
    <row r="3013" spans="1:80" s="87" customFormat="1" ht="16.5" x14ac:dyDescent="0.3">
      <c r="A3013" s="152"/>
      <c r="B3013" s="683"/>
      <c r="C3013" s="683"/>
      <c r="D3013" s="698"/>
      <c r="E3013" s="215"/>
      <c r="F3013" s="215"/>
      <c r="G3013" s="153"/>
      <c r="H3013" s="153"/>
      <c r="I3013" s="317">
        <v>42</v>
      </c>
      <c r="J3013" s="317">
        <v>30</v>
      </c>
      <c r="K3013" s="168">
        <v>1</v>
      </c>
      <c r="L3013" s="642">
        <v>21</v>
      </c>
      <c r="M3013" s="663">
        <v>34456</v>
      </c>
      <c r="N3013" s="600">
        <v>3.1427100000000001</v>
      </c>
      <c r="O3013" s="604">
        <v>3.2959999999999999E-3</v>
      </c>
      <c r="P3013" s="150"/>
      <c r="Q3013" s="250"/>
      <c r="R3013" s="250"/>
      <c r="S3013" s="250"/>
      <c r="T3013" s="250">
        <v>7.1099999999999997E-2</v>
      </c>
      <c r="U3013" s="250">
        <v>7.0400000000000004E-2</v>
      </c>
      <c r="V3013" s="250">
        <v>0.19768628785301121</v>
      </c>
      <c r="W3013" s="250">
        <v>0.3725757060224566</v>
      </c>
      <c r="X3013" s="250">
        <v>0.28581150051037768</v>
      </c>
      <c r="Y3013" s="250">
        <v>2.3817625042531474E-3</v>
      </c>
      <c r="Z3013" s="150">
        <v>7.9</v>
      </c>
      <c r="AA3013" s="150">
        <v>0.69</v>
      </c>
      <c r="AB3013" s="152"/>
      <c r="AC3013" s="152"/>
      <c r="AD3013" s="223">
        <v>11.002919</v>
      </c>
      <c r="AE3013" s="223">
        <v>0.41451440000000001</v>
      </c>
      <c r="AF3013" s="223">
        <v>4.5472281839999997</v>
      </c>
      <c r="AG3013" s="223">
        <v>0.75892709999999997</v>
      </c>
      <c r="AH3013" s="341" t="s">
        <v>343</v>
      </c>
      <c r="AI3013" s="218"/>
      <c r="AJ3013" s="218"/>
      <c r="AK3013" s="153"/>
      <c r="AL3013" s="152"/>
      <c r="AM3013" s="152"/>
      <c r="AN3013" s="152"/>
      <c r="AO3013" s="152"/>
      <c r="AP3013" s="152"/>
      <c r="AQ3013" s="152"/>
      <c r="AR3013" s="152"/>
      <c r="AS3013" s="152"/>
      <c r="AT3013" s="152"/>
      <c r="AU3013" s="153"/>
      <c r="AV3013" s="479"/>
      <c r="AW3013" s="479"/>
      <c r="AX3013" s="442"/>
      <c r="AY3013" s="153"/>
      <c r="AZ3013" s="152"/>
      <c r="BA3013" s="152"/>
      <c r="BB3013" s="152"/>
      <c r="BC3013" s="152"/>
      <c r="BD3013" s="152"/>
      <c r="BE3013" s="152"/>
      <c r="BF3013" s="152"/>
      <c r="BG3013" s="152"/>
      <c r="BH3013" s="152"/>
      <c r="BI3013" s="153"/>
      <c r="BJ3013" s="153"/>
      <c r="BK3013" s="153"/>
      <c r="BL3013" s="153"/>
      <c r="BM3013" s="153"/>
      <c r="BN3013" s="153"/>
      <c r="BO3013" s="153"/>
      <c r="BP3013" s="153"/>
      <c r="BQ3013" s="153"/>
      <c r="BR3013" s="153"/>
      <c r="BS3013" s="153"/>
      <c r="BT3013" s="153"/>
      <c r="BU3013" s="153"/>
      <c r="BV3013" s="153"/>
      <c r="BW3013" s="153"/>
      <c r="BX3013" s="153"/>
      <c r="BY3013" s="153"/>
      <c r="BZ3013" s="153"/>
      <c r="CA3013" s="152"/>
      <c r="CB3013" s="154" t="s">
        <v>597</v>
      </c>
    </row>
    <row r="3014" spans="1:80" s="87" customFormat="1" ht="16.5" x14ac:dyDescent="0.3">
      <c r="A3014" s="152"/>
      <c r="B3014" s="683"/>
      <c r="C3014" s="683"/>
      <c r="D3014" s="698"/>
      <c r="E3014" s="215"/>
      <c r="F3014" s="215"/>
      <c r="G3014" s="153"/>
      <c r="H3014" s="153"/>
      <c r="I3014" s="317">
        <v>19</v>
      </c>
      <c r="J3014" s="317">
        <v>30</v>
      </c>
      <c r="K3014" s="168">
        <v>1</v>
      </c>
      <c r="L3014" s="642">
        <v>9.5</v>
      </c>
      <c r="M3014" s="663">
        <v>34460</v>
      </c>
      <c r="N3014" s="600">
        <v>3.59571</v>
      </c>
      <c r="O3014" s="604">
        <v>9.4780000000000003E-3</v>
      </c>
      <c r="P3014" s="150"/>
      <c r="Q3014" s="250"/>
      <c r="R3014" s="250"/>
      <c r="S3014" s="250"/>
      <c r="T3014" s="250">
        <v>6.9400000000000003E-2</v>
      </c>
      <c r="U3014" s="250">
        <v>0.32049999999999995</v>
      </c>
      <c r="V3014" s="250">
        <v>0.42361287053458324</v>
      </c>
      <c r="W3014" s="250">
        <v>0.16012161135039271</v>
      </c>
      <c r="X3014" s="250">
        <v>2.5589054978464656E-2</v>
      </c>
      <c r="Y3014" s="250">
        <v>7.6007093995439574E-4</v>
      </c>
      <c r="Z3014" s="150">
        <v>7.5</v>
      </c>
      <c r="AA3014" s="150">
        <v>1.71</v>
      </c>
      <c r="AB3014" s="152"/>
      <c r="AC3014" s="152"/>
      <c r="AD3014" s="223">
        <v>11.094355999999999</v>
      </c>
      <c r="AE3014" s="223">
        <v>0.42670599999999997</v>
      </c>
      <c r="AF3014" s="223">
        <v>4.7405603359999997</v>
      </c>
      <c r="AG3014" s="223">
        <v>0.7436876</v>
      </c>
      <c r="AH3014" s="341" t="s">
        <v>344</v>
      </c>
      <c r="AI3014" s="218"/>
      <c r="AJ3014" s="218"/>
      <c r="AK3014" s="153"/>
      <c r="AL3014" s="152"/>
      <c r="AM3014" s="152"/>
      <c r="AN3014" s="152"/>
      <c r="AO3014" s="152"/>
      <c r="AP3014" s="152"/>
      <c r="AQ3014" s="152"/>
      <c r="AR3014" s="152"/>
      <c r="AS3014" s="152"/>
      <c r="AT3014" s="152"/>
      <c r="AU3014" s="153"/>
      <c r="AV3014" s="479"/>
      <c r="AW3014" s="479"/>
      <c r="AX3014" s="442"/>
      <c r="AY3014" s="153"/>
      <c r="AZ3014" s="152"/>
      <c r="BA3014" s="152"/>
      <c r="BB3014" s="152"/>
      <c r="BC3014" s="152"/>
      <c r="BD3014" s="152"/>
      <c r="BE3014" s="152"/>
      <c r="BF3014" s="152"/>
      <c r="BG3014" s="152"/>
      <c r="BH3014" s="152"/>
      <c r="BI3014" s="153"/>
      <c r="BJ3014" s="153"/>
      <c r="BK3014" s="153"/>
      <c r="BL3014" s="153"/>
      <c r="BM3014" s="153"/>
      <c r="BN3014" s="153"/>
      <c r="BO3014" s="153"/>
      <c r="BP3014" s="153"/>
      <c r="BQ3014" s="153"/>
      <c r="BR3014" s="153"/>
      <c r="BS3014" s="153"/>
      <c r="BT3014" s="153"/>
      <c r="BU3014" s="153"/>
      <c r="BV3014" s="153"/>
      <c r="BW3014" s="153"/>
      <c r="BX3014" s="153"/>
      <c r="BY3014" s="153"/>
      <c r="BZ3014" s="153"/>
      <c r="CA3014" s="152"/>
      <c r="CB3014" s="486" t="s">
        <v>639</v>
      </c>
    </row>
    <row r="3015" spans="1:80" s="87" customFormat="1" ht="16.5" x14ac:dyDescent="0.3">
      <c r="A3015" s="152"/>
      <c r="B3015" s="683"/>
      <c r="C3015" s="683"/>
      <c r="D3015" s="698"/>
      <c r="E3015" s="215"/>
      <c r="F3015" s="215"/>
      <c r="G3015" s="153"/>
      <c r="H3015" s="153"/>
      <c r="I3015" s="317">
        <v>19</v>
      </c>
      <c r="J3015" s="317">
        <v>30</v>
      </c>
      <c r="K3015" s="168">
        <v>1</v>
      </c>
      <c r="L3015" s="642">
        <v>9.5</v>
      </c>
      <c r="M3015" s="663">
        <v>34460</v>
      </c>
      <c r="N3015" s="600">
        <v>3.59571</v>
      </c>
      <c r="O3015" s="604">
        <v>4.7759999999999999E-3</v>
      </c>
      <c r="P3015" s="150"/>
      <c r="Q3015" s="250"/>
      <c r="R3015" s="250"/>
      <c r="S3015" s="250"/>
      <c r="T3015" s="250">
        <v>0.1183</v>
      </c>
      <c r="U3015" s="250">
        <v>0.17519999999999999</v>
      </c>
      <c r="V3015" s="250">
        <v>0.37684103605891311</v>
      </c>
      <c r="W3015" s="250">
        <v>0.26155408836973071</v>
      </c>
      <c r="X3015" s="250">
        <v>6.5515490096495668E-2</v>
      </c>
      <c r="Y3015" s="250">
        <v>2.5393600812595217E-3</v>
      </c>
      <c r="Z3015" s="150">
        <v>8</v>
      </c>
      <c r="AA3015" s="150">
        <v>1.34</v>
      </c>
      <c r="AB3015" s="152"/>
      <c r="AC3015" s="152"/>
      <c r="AD3015" s="223">
        <v>11.094355999999999</v>
      </c>
      <c r="AE3015" s="223">
        <v>0.42670599999999997</v>
      </c>
      <c r="AF3015" s="223">
        <v>4.7405603359999997</v>
      </c>
      <c r="AG3015" s="223">
        <v>0.7436876</v>
      </c>
      <c r="AH3015" s="341" t="s">
        <v>345</v>
      </c>
      <c r="AI3015" s="218"/>
      <c r="AJ3015" s="218"/>
      <c r="AK3015" s="153"/>
      <c r="AL3015" s="152"/>
      <c r="AM3015" s="152"/>
      <c r="AN3015" s="152"/>
      <c r="AO3015" s="152"/>
      <c r="AP3015" s="152"/>
      <c r="AQ3015" s="152"/>
      <c r="AR3015" s="152"/>
      <c r="AS3015" s="152"/>
      <c r="AT3015" s="152"/>
      <c r="AU3015" s="153"/>
      <c r="AV3015" s="479"/>
      <c r="AW3015" s="479"/>
      <c r="AX3015" s="442"/>
      <c r="AY3015" s="153"/>
      <c r="AZ3015" s="152"/>
      <c r="BA3015" s="152"/>
      <c r="BB3015" s="152"/>
      <c r="BC3015" s="152"/>
      <c r="BD3015" s="152"/>
      <c r="BE3015" s="152"/>
      <c r="BF3015" s="152"/>
      <c r="BG3015" s="152"/>
      <c r="BH3015" s="152"/>
      <c r="BI3015" s="153"/>
      <c r="BJ3015" s="153"/>
      <c r="BK3015" s="153"/>
      <c r="BL3015" s="153"/>
      <c r="BM3015" s="153"/>
      <c r="BN3015" s="153"/>
      <c r="BO3015" s="153"/>
      <c r="BP3015" s="153"/>
      <c r="BQ3015" s="153"/>
      <c r="BR3015" s="153"/>
      <c r="BS3015" s="153"/>
      <c r="BT3015" s="153"/>
      <c r="BU3015" s="153"/>
      <c r="BV3015" s="153"/>
      <c r="BW3015" s="153"/>
      <c r="BX3015" s="153"/>
      <c r="BY3015" s="153"/>
      <c r="BZ3015" s="153"/>
      <c r="CA3015" s="152"/>
      <c r="CB3015" s="486" t="s">
        <v>640</v>
      </c>
    </row>
    <row r="3016" spans="1:80" s="87" customFormat="1" ht="16.5" x14ac:dyDescent="0.3">
      <c r="A3016" s="152"/>
      <c r="B3016" s="683"/>
      <c r="C3016" s="683"/>
      <c r="D3016" s="698"/>
      <c r="E3016" s="215"/>
      <c r="F3016" s="215"/>
      <c r="G3016" s="153"/>
      <c r="H3016" s="153"/>
      <c r="I3016" s="317">
        <v>21</v>
      </c>
      <c r="J3016" s="317">
        <v>30</v>
      </c>
      <c r="K3016" s="168">
        <v>1</v>
      </c>
      <c r="L3016" s="642">
        <v>10.5</v>
      </c>
      <c r="M3016" s="663">
        <v>34461</v>
      </c>
      <c r="N3016" s="600">
        <v>4.3601599999999996</v>
      </c>
      <c r="O3016" s="604">
        <v>2.0152E-2</v>
      </c>
      <c r="P3016" s="150"/>
      <c r="Q3016" s="250"/>
      <c r="R3016" s="250"/>
      <c r="S3016" s="250">
        <v>4.0500000000000001E-2</v>
      </c>
      <c r="T3016" s="250">
        <v>4.3200000000000002E-2</v>
      </c>
      <c r="U3016" s="250">
        <v>0.18859999999999999</v>
      </c>
      <c r="V3016" s="250">
        <v>0.38045395742679056</v>
      </c>
      <c r="W3016" s="250">
        <v>0.27684346701164292</v>
      </c>
      <c r="X3016" s="250">
        <v>6.8916852875455722E-2</v>
      </c>
      <c r="Y3016" s="250">
        <v>1.5288721627660826E-3</v>
      </c>
      <c r="Z3016" s="150">
        <v>10.199999999999999</v>
      </c>
      <c r="AA3016" s="150">
        <v>1.29</v>
      </c>
      <c r="AB3016" s="152"/>
      <c r="AC3016" s="152"/>
      <c r="AD3016" s="223">
        <v>11.338188000000001</v>
      </c>
      <c r="AE3016" s="223">
        <v>0.43584970000000001</v>
      </c>
      <c r="AF3016" s="223">
        <v>4.9306206320000001</v>
      </c>
      <c r="AG3016" s="223">
        <v>0.85341199999999995</v>
      </c>
      <c r="AH3016" s="341" t="s">
        <v>346</v>
      </c>
      <c r="AI3016" s="218"/>
      <c r="AJ3016" s="218"/>
      <c r="AK3016" s="153"/>
      <c r="AL3016" s="152"/>
      <c r="AM3016" s="152"/>
      <c r="AN3016" s="152"/>
      <c r="AO3016" s="152"/>
      <c r="AP3016" s="152"/>
      <c r="AQ3016" s="152"/>
      <c r="AR3016" s="152"/>
      <c r="AS3016" s="152"/>
      <c r="AT3016" s="152"/>
      <c r="AU3016" s="153"/>
      <c r="AV3016" s="479"/>
      <c r="AW3016" s="479"/>
      <c r="AX3016" s="442"/>
      <c r="AY3016" s="153"/>
      <c r="AZ3016" s="152"/>
      <c r="BA3016" s="152"/>
      <c r="BB3016" s="152"/>
      <c r="BC3016" s="152"/>
      <c r="BD3016" s="152"/>
      <c r="BE3016" s="152"/>
      <c r="BF3016" s="152"/>
      <c r="BG3016" s="152"/>
      <c r="BH3016" s="152"/>
      <c r="BI3016" s="153"/>
      <c r="BJ3016" s="153"/>
      <c r="BK3016" s="153"/>
      <c r="BL3016" s="153"/>
      <c r="BM3016" s="153"/>
      <c r="BN3016" s="153"/>
      <c r="BO3016" s="153"/>
      <c r="BP3016" s="153"/>
      <c r="BQ3016" s="153"/>
      <c r="BR3016" s="153"/>
      <c r="BS3016" s="153"/>
      <c r="BT3016" s="153"/>
      <c r="BU3016" s="153"/>
      <c r="BV3016" s="153"/>
      <c r="BW3016" s="153"/>
      <c r="BX3016" s="153"/>
      <c r="BY3016" s="153"/>
      <c r="BZ3016" s="153"/>
      <c r="CA3016" s="152"/>
      <c r="CB3016" s="152"/>
    </row>
    <row r="3017" spans="1:80" s="87" customFormat="1" ht="16.5" x14ac:dyDescent="0.3">
      <c r="A3017" s="152"/>
      <c r="B3017" s="683"/>
      <c r="C3017" s="683"/>
      <c r="D3017" s="698"/>
      <c r="E3017" s="215"/>
      <c r="F3017" s="215"/>
      <c r="G3017" s="153"/>
      <c r="H3017" s="153"/>
      <c r="I3017" s="317">
        <v>21</v>
      </c>
      <c r="J3017" s="317">
        <v>30</v>
      </c>
      <c r="K3017" s="168">
        <v>1</v>
      </c>
      <c r="L3017" s="642">
        <v>10.5</v>
      </c>
      <c r="M3017" s="663">
        <v>34461</v>
      </c>
      <c r="N3017" s="600">
        <v>4.3601599999999996</v>
      </c>
      <c r="O3017" s="604">
        <v>1.732E-3</v>
      </c>
      <c r="P3017" s="150"/>
      <c r="Q3017" s="250"/>
      <c r="R3017" s="250"/>
      <c r="S3017" s="250"/>
      <c r="T3017" s="250"/>
      <c r="U3017" s="250">
        <v>9.4299999999999995E-2</v>
      </c>
      <c r="V3017" s="250">
        <v>0.31761442441054094</v>
      </c>
      <c r="W3017" s="250">
        <v>0.38973647711511794</v>
      </c>
      <c r="X3017" s="250">
        <v>0.19556171983356452</v>
      </c>
      <c r="Y3017" s="250">
        <v>2.7739251040221919E-3</v>
      </c>
      <c r="Z3017" s="150">
        <v>4</v>
      </c>
      <c r="AA3017" s="150">
        <v>0.85</v>
      </c>
      <c r="AB3017" s="152"/>
      <c r="AC3017" s="152"/>
      <c r="AD3017" s="223">
        <v>11.338188000000001</v>
      </c>
      <c r="AE3017" s="223">
        <v>0.43584970000000001</v>
      </c>
      <c r="AF3017" s="223">
        <v>4.9306206320000001</v>
      </c>
      <c r="AG3017" s="223">
        <v>0.85341199999999995</v>
      </c>
      <c r="AH3017" s="341"/>
      <c r="AI3017" s="218"/>
      <c r="AJ3017" s="218"/>
      <c r="AK3017" s="153"/>
      <c r="AL3017" s="152"/>
      <c r="AM3017" s="152"/>
      <c r="AN3017" s="152"/>
      <c r="AO3017" s="152"/>
      <c r="AP3017" s="152"/>
      <c r="AQ3017" s="152"/>
      <c r="AR3017" s="152"/>
      <c r="AS3017" s="152"/>
      <c r="AT3017" s="152"/>
      <c r="AU3017" s="153"/>
      <c r="AV3017" s="479"/>
      <c r="AW3017" s="479"/>
      <c r="AX3017" s="442"/>
      <c r="AY3017" s="153"/>
      <c r="AZ3017" s="152"/>
      <c r="BA3017" s="152"/>
      <c r="BB3017" s="152"/>
      <c r="BC3017" s="152"/>
      <c r="BD3017" s="152"/>
      <c r="BE3017" s="152"/>
      <c r="BF3017" s="152"/>
      <c r="BG3017" s="152"/>
      <c r="BH3017" s="152"/>
      <c r="BI3017" s="153"/>
      <c r="BJ3017" s="153"/>
      <c r="BK3017" s="153"/>
      <c r="BL3017" s="153"/>
      <c r="BM3017" s="153"/>
      <c r="BN3017" s="153"/>
      <c r="BO3017" s="153"/>
      <c r="BP3017" s="153"/>
      <c r="BQ3017" s="153"/>
      <c r="BR3017" s="153"/>
      <c r="BS3017" s="153"/>
      <c r="BT3017" s="153"/>
      <c r="BU3017" s="153"/>
      <c r="BV3017" s="153"/>
      <c r="BW3017" s="153"/>
      <c r="BX3017" s="153"/>
      <c r="BY3017" s="153"/>
      <c r="BZ3017" s="153"/>
      <c r="CA3017" s="152"/>
      <c r="CB3017" s="152"/>
    </row>
    <row r="3018" spans="1:80" s="87" customFormat="1" ht="16.5" x14ac:dyDescent="0.3">
      <c r="A3018" s="152"/>
      <c r="B3018" s="683"/>
      <c r="C3018" s="683"/>
      <c r="D3018" s="698"/>
      <c r="E3018" s="215"/>
      <c r="F3018" s="215"/>
      <c r="G3018" s="153"/>
      <c r="H3018" s="153"/>
      <c r="I3018" s="317">
        <v>22</v>
      </c>
      <c r="J3018" s="317">
        <v>30</v>
      </c>
      <c r="K3018" s="168">
        <v>1</v>
      </c>
      <c r="L3018" s="642">
        <v>11</v>
      </c>
      <c r="M3018" s="663">
        <v>34463</v>
      </c>
      <c r="N3018" s="600">
        <v>6.0589199999999996</v>
      </c>
      <c r="O3018" s="604">
        <v>2.6658999999999999E-2</v>
      </c>
      <c r="P3018" s="150"/>
      <c r="Q3018" s="250"/>
      <c r="R3018" s="250"/>
      <c r="S3018" s="250">
        <v>8.8200000000000001E-2</v>
      </c>
      <c r="T3018" s="250">
        <v>0.12470000000000001</v>
      </c>
      <c r="U3018" s="250">
        <v>0.26530000000000004</v>
      </c>
      <c r="V3018" s="250">
        <v>0.27708095781071834</v>
      </c>
      <c r="W3018" s="250">
        <v>0.18305411805981933</v>
      </c>
      <c r="X3018" s="250">
        <v>6.0696430137707223E-2</v>
      </c>
      <c r="Y3018" s="250">
        <v>9.6482764669765812E-4</v>
      </c>
      <c r="Z3018" s="150">
        <v>13.7</v>
      </c>
      <c r="AA3018" s="150">
        <v>1.9</v>
      </c>
      <c r="AB3018" s="152"/>
      <c r="AC3018" s="152"/>
      <c r="AD3018" s="223">
        <v>11.734415</v>
      </c>
      <c r="AE3018" s="223">
        <v>0.50899930000000004</v>
      </c>
      <c r="AF3018" s="223">
        <v>5.9847549219999996</v>
      </c>
      <c r="AG3018" s="223">
        <v>1.0301902000000001</v>
      </c>
      <c r="AH3018" s="341"/>
      <c r="AI3018" s="218"/>
      <c r="AJ3018" s="218"/>
      <c r="AK3018" s="153"/>
      <c r="AL3018" s="152"/>
      <c r="AM3018" s="152"/>
      <c r="AN3018" s="152"/>
      <c r="AO3018" s="152"/>
      <c r="AP3018" s="152"/>
      <c r="AQ3018" s="152"/>
      <c r="AR3018" s="152"/>
      <c r="AS3018" s="152"/>
      <c r="AT3018" s="152"/>
      <c r="AU3018" s="153"/>
      <c r="AV3018" s="479"/>
      <c r="AW3018" s="479"/>
      <c r="AX3018" s="442"/>
      <c r="AY3018" s="153"/>
      <c r="AZ3018" s="152"/>
      <c r="BA3018" s="152"/>
      <c r="BB3018" s="152"/>
      <c r="BC3018" s="152"/>
      <c r="BD3018" s="152"/>
      <c r="BE3018" s="152"/>
      <c r="BF3018" s="152"/>
      <c r="BG3018" s="152"/>
      <c r="BH3018" s="152"/>
      <c r="BI3018" s="153"/>
      <c r="BJ3018" s="153"/>
      <c r="BK3018" s="153"/>
      <c r="BL3018" s="153"/>
      <c r="BM3018" s="153"/>
      <c r="BN3018" s="153"/>
      <c r="BO3018" s="153"/>
      <c r="BP3018" s="153"/>
      <c r="BQ3018" s="153"/>
      <c r="BR3018" s="153"/>
      <c r="BS3018" s="153"/>
      <c r="BT3018" s="153"/>
      <c r="BU3018" s="153"/>
      <c r="BV3018" s="153"/>
      <c r="BW3018" s="153"/>
      <c r="BX3018" s="153"/>
      <c r="BY3018" s="153"/>
      <c r="BZ3018" s="153"/>
      <c r="CA3018" s="152"/>
      <c r="CB3018" s="152"/>
    </row>
    <row r="3019" spans="1:80" s="87" customFormat="1" ht="16.5" x14ac:dyDescent="0.3">
      <c r="A3019" s="152"/>
      <c r="B3019" s="683"/>
      <c r="C3019" s="683"/>
      <c r="D3019" s="698"/>
      <c r="E3019" s="215"/>
      <c r="F3019" s="215"/>
      <c r="G3019" s="153"/>
      <c r="H3019" s="153"/>
      <c r="I3019" s="317">
        <v>22</v>
      </c>
      <c r="J3019" s="317">
        <v>30</v>
      </c>
      <c r="K3019" s="168">
        <v>1</v>
      </c>
      <c r="L3019" s="642">
        <v>11</v>
      </c>
      <c r="M3019" s="663">
        <v>34463</v>
      </c>
      <c r="N3019" s="600">
        <v>6.0589199999999996</v>
      </c>
      <c r="O3019" s="604">
        <v>2.1410999999999999E-2</v>
      </c>
      <c r="P3019" s="150"/>
      <c r="Q3019" s="250"/>
      <c r="R3019" s="250"/>
      <c r="S3019" s="250">
        <v>8.5000000000000006E-3</v>
      </c>
      <c r="T3019" s="250">
        <v>0.11560000000000001</v>
      </c>
      <c r="U3019" s="250">
        <v>0.2034</v>
      </c>
      <c r="V3019" s="250">
        <v>0.3481918496667758</v>
      </c>
      <c r="W3019" s="250">
        <v>0.25346880804107941</v>
      </c>
      <c r="X3019" s="250">
        <v>6.9157653228449689E-2</v>
      </c>
      <c r="Y3019" s="250">
        <v>1.638806948541462E-3</v>
      </c>
      <c r="Z3019" s="150">
        <v>9.9</v>
      </c>
      <c r="AA3019" s="150">
        <v>1.39</v>
      </c>
      <c r="AB3019" s="152"/>
      <c r="AC3019" s="152"/>
      <c r="AD3019" s="223">
        <v>11.734415</v>
      </c>
      <c r="AE3019" s="223">
        <v>0.50899930000000004</v>
      </c>
      <c r="AF3019" s="223">
        <v>5.9847549219999996</v>
      </c>
      <c r="AG3019" s="223">
        <v>1.0301902000000001</v>
      </c>
      <c r="AH3019" s="341"/>
      <c r="AI3019" s="218"/>
      <c r="AJ3019" s="218"/>
      <c r="AK3019" s="153"/>
      <c r="AL3019" s="152"/>
      <c r="AM3019" s="152"/>
      <c r="AN3019" s="152"/>
      <c r="AO3019" s="152"/>
      <c r="AP3019" s="152"/>
      <c r="AQ3019" s="152"/>
      <c r="AR3019" s="152"/>
      <c r="AS3019" s="152"/>
      <c r="AT3019" s="152"/>
      <c r="AU3019" s="153"/>
      <c r="AV3019" s="479"/>
      <c r="AW3019" s="479"/>
      <c r="AX3019" s="442"/>
      <c r="AY3019" s="153"/>
      <c r="AZ3019" s="152"/>
      <c r="BA3019" s="152"/>
      <c r="BB3019" s="152"/>
      <c r="BC3019" s="152"/>
      <c r="BD3019" s="152"/>
      <c r="BE3019" s="152"/>
      <c r="BF3019" s="152"/>
      <c r="BG3019" s="152"/>
      <c r="BH3019" s="152"/>
      <c r="BI3019" s="153"/>
      <c r="BJ3019" s="153"/>
      <c r="BK3019" s="153"/>
      <c r="BL3019" s="153"/>
      <c r="BM3019" s="153"/>
      <c r="BN3019" s="153"/>
      <c r="BO3019" s="153"/>
      <c r="BP3019" s="153"/>
      <c r="BQ3019" s="153"/>
      <c r="BR3019" s="153"/>
      <c r="BS3019" s="153"/>
      <c r="BT3019" s="153"/>
      <c r="BU3019" s="153"/>
      <c r="BV3019" s="153"/>
      <c r="BW3019" s="153"/>
      <c r="BX3019" s="153"/>
      <c r="BY3019" s="153"/>
      <c r="BZ3019" s="153"/>
      <c r="CA3019" s="152"/>
      <c r="CB3019" s="152"/>
    </row>
    <row r="3020" spans="1:80" s="87" customFormat="1" ht="16.5" x14ac:dyDescent="0.3">
      <c r="A3020" s="152"/>
      <c r="B3020" s="683"/>
      <c r="C3020" s="683"/>
      <c r="D3020" s="698"/>
      <c r="E3020" s="215"/>
      <c r="F3020" s="215"/>
      <c r="G3020" s="153"/>
      <c r="H3020" s="153"/>
      <c r="I3020" s="317">
        <v>23</v>
      </c>
      <c r="J3020" s="317">
        <v>30</v>
      </c>
      <c r="K3020" s="168">
        <v>1</v>
      </c>
      <c r="L3020" s="642">
        <v>11.5</v>
      </c>
      <c r="M3020" s="663">
        <v>34465</v>
      </c>
      <c r="N3020" s="600">
        <v>7.4462400000000004</v>
      </c>
      <c r="O3020" s="604">
        <v>3.4530999999999999E-2</v>
      </c>
      <c r="P3020" s="150"/>
      <c r="Q3020" s="250"/>
      <c r="R3020" s="250">
        <v>7.5600000000000001E-2</v>
      </c>
      <c r="S3020" s="250">
        <v>3.9900000000000005E-2</v>
      </c>
      <c r="T3020" s="250">
        <v>9.2399999999999996E-2</v>
      </c>
      <c r="U3020" s="250">
        <v>0.18109999999999998</v>
      </c>
      <c r="V3020" s="250">
        <v>0.33244990303813843</v>
      </c>
      <c r="W3020" s="250">
        <v>0.2247575953458307</v>
      </c>
      <c r="X3020" s="250">
        <v>5.3005817711700071E-2</v>
      </c>
      <c r="Y3020" s="250">
        <v>9.0497737556561122E-4</v>
      </c>
      <c r="Z3020" s="150">
        <v>20.100000000000001</v>
      </c>
      <c r="AA3020" s="150">
        <v>1.54</v>
      </c>
      <c r="AB3020" s="152"/>
      <c r="AC3020" s="152"/>
      <c r="AD3020" s="223">
        <v>11.703936000000001</v>
      </c>
      <c r="AE3020" s="223">
        <v>0.56690940000000001</v>
      </c>
      <c r="AF3020" s="223">
        <v>6.6420104850000001</v>
      </c>
      <c r="AG3020" s="223">
        <v>1.0820045</v>
      </c>
      <c r="AH3020" s="341"/>
      <c r="AI3020" s="218"/>
      <c r="AJ3020" s="218"/>
      <c r="AK3020" s="153"/>
      <c r="AL3020" s="152"/>
      <c r="AM3020" s="152"/>
      <c r="AN3020" s="152"/>
      <c r="AO3020" s="152"/>
      <c r="AP3020" s="152"/>
      <c r="AQ3020" s="152"/>
      <c r="AR3020" s="152"/>
      <c r="AS3020" s="152"/>
      <c r="AT3020" s="152"/>
      <c r="AU3020" s="153"/>
      <c r="AV3020" s="479"/>
      <c r="AW3020" s="479"/>
      <c r="AX3020" s="442"/>
      <c r="AY3020" s="153"/>
      <c r="AZ3020" s="152"/>
      <c r="BA3020" s="152"/>
      <c r="BB3020" s="152"/>
      <c r="BC3020" s="152"/>
      <c r="BD3020" s="152"/>
      <c r="BE3020" s="152"/>
      <c r="BF3020" s="152"/>
      <c r="BG3020" s="152"/>
      <c r="BH3020" s="152"/>
      <c r="BI3020" s="153"/>
      <c r="BJ3020" s="153"/>
      <c r="BK3020" s="153"/>
      <c r="BL3020" s="153"/>
      <c r="BM3020" s="153"/>
      <c r="BN3020" s="153"/>
      <c r="BO3020" s="153"/>
      <c r="BP3020" s="153"/>
      <c r="BQ3020" s="153"/>
      <c r="BR3020" s="153"/>
      <c r="BS3020" s="153"/>
      <c r="BT3020" s="153"/>
      <c r="BU3020" s="153"/>
      <c r="BV3020" s="153"/>
      <c r="BW3020" s="153"/>
      <c r="BX3020" s="153"/>
      <c r="BY3020" s="153"/>
      <c r="BZ3020" s="153"/>
      <c r="CA3020" s="152"/>
      <c r="CB3020" s="152"/>
    </row>
    <row r="3021" spans="1:80" s="87" customFormat="1" ht="16.5" x14ac:dyDescent="0.3">
      <c r="A3021" s="152"/>
      <c r="B3021" s="683"/>
      <c r="C3021" s="683"/>
      <c r="D3021" s="698"/>
      <c r="E3021" s="215"/>
      <c r="F3021" s="215"/>
      <c r="G3021" s="153"/>
      <c r="H3021" s="153"/>
      <c r="I3021" s="317">
        <v>23</v>
      </c>
      <c r="J3021" s="317">
        <v>30</v>
      </c>
      <c r="K3021" s="168">
        <v>1</v>
      </c>
      <c r="L3021" s="642">
        <v>11.5</v>
      </c>
      <c r="M3021" s="663">
        <v>34465</v>
      </c>
      <c r="N3021" s="600">
        <v>7.4462400000000004</v>
      </c>
      <c r="O3021" s="604">
        <v>7.9242999999999994E-2</v>
      </c>
      <c r="P3021" s="150"/>
      <c r="Q3021" s="250"/>
      <c r="R3021" s="250"/>
      <c r="S3021" s="250">
        <v>6.4600000000000005E-2</v>
      </c>
      <c r="T3021" s="250">
        <v>8.1799999999999998E-2</v>
      </c>
      <c r="U3021" s="250">
        <v>0.2346</v>
      </c>
      <c r="V3021" s="250">
        <v>0.36972851315234206</v>
      </c>
      <c r="W3021" s="250">
        <v>0.20340413560275705</v>
      </c>
      <c r="X3021" s="250">
        <v>4.4844563229708818E-2</v>
      </c>
      <c r="Y3021" s="250">
        <v>1.0690673793782529E-3</v>
      </c>
      <c r="Z3021" s="150">
        <v>12.4</v>
      </c>
      <c r="AA3021" s="150">
        <v>1.59</v>
      </c>
      <c r="AB3021" s="152"/>
      <c r="AC3021" s="152"/>
      <c r="AD3021" s="223">
        <v>11.703936000000001</v>
      </c>
      <c r="AE3021" s="223">
        <v>0.56690940000000001</v>
      </c>
      <c r="AF3021" s="223">
        <v>6.6420104850000001</v>
      </c>
      <c r="AG3021" s="223">
        <v>1.0820045</v>
      </c>
      <c r="AH3021" s="341"/>
      <c r="AI3021" s="218"/>
      <c r="AJ3021" s="218"/>
      <c r="AK3021" s="153"/>
      <c r="AL3021" s="152"/>
      <c r="AM3021" s="152"/>
      <c r="AN3021" s="152"/>
      <c r="AO3021" s="152"/>
      <c r="AP3021" s="152"/>
      <c r="AQ3021" s="152"/>
      <c r="AR3021" s="152"/>
      <c r="AS3021" s="152"/>
      <c r="AT3021" s="152"/>
      <c r="AU3021" s="153"/>
      <c r="AV3021" s="479"/>
      <c r="AW3021" s="479"/>
      <c r="AX3021" s="442"/>
      <c r="AY3021" s="153"/>
      <c r="AZ3021" s="152"/>
      <c r="BA3021" s="152"/>
      <c r="BB3021" s="152"/>
      <c r="BC3021" s="152"/>
      <c r="BD3021" s="152"/>
      <c r="BE3021" s="152"/>
      <c r="BF3021" s="152"/>
      <c r="BG3021" s="152"/>
      <c r="BH3021" s="152"/>
      <c r="BI3021" s="153"/>
      <c r="BJ3021" s="153"/>
      <c r="BK3021" s="153"/>
      <c r="BL3021" s="153"/>
      <c r="BM3021" s="153"/>
      <c r="BN3021" s="153"/>
      <c r="BO3021" s="153"/>
      <c r="BP3021" s="153"/>
      <c r="BQ3021" s="153"/>
      <c r="BR3021" s="153"/>
      <c r="BS3021" s="153"/>
      <c r="BT3021" s="153"/>
      <c r="BU3021" s="153"/>
      <c r="BV3021" s="153"/>
      <c r="BW3021" s="153"/>
      <c r="BX3021" s="153"/>
      <c r="BY3021" s="153"/>
      <c r="BZ3021" s="153"/>
      <c r="CA3021" s="152"/>
      <c r="CB3021" s="152"/>
    </row>
    <row r="3022" spans="1:80" s="87" customFormat="1" ht="16.5" x14ac:dyDescent="0.3">
      <c r="A3022" s="152"/>
      <c r="B3022" s="683"/>
      <c r="C3022" s="683"/>
      <c r="D3022" s="698"/>
      <c r="E3022" s="215"/>
      <c r="F3022" s="215"/>
      <c r="G3022" s="153"/>
      <c r="H3022" s="153"/>
      <c r="I3022" s="317">
        <v>23</v>
      </c>
      <c r="J3022" s="317">
        <v>30</v>
      </c>
      <c r="K3022" s="168">
        <v>1</v>
      </c>
      <c r="L3022" s="642">
        <v>11.5</v>
      </c>
      <c r="M3022" s="663">
        <v>34467</v>
      </c>
      <c r="N3022" s="600">
        <v>8.5787499999999994</v>
      </c>
      <c r="O3022" s="604">
        <v>0.25189699999999998</v>
      </c>
      <c r="P3022" s="250">
        <v>8.2400000000000001E-2</v>
      </c>
      <c r="Q3022" s="250">
        <v>7.0699999999999999E-2</v>
      </c>
      <c r="R3022" s="250">
        <v>5.2499999999999998E-2</v>
      </c>
      <c r="S3022" s="250">
        <v>9.4299999999999995E-2</v>
      </c>
      <c r="T3022" s="250">
        <v>0.1139</v>
      </c>
      <c r="U3022" s="250">
        <v>0.2364</v>
      </c>
      <c r="V3022" s="250">
        <v>0.24920515043868233</v>
      </c>
      <c r="W3022" s="250">
        <v>8.7540674852917846E-2</v>
      </c>
      <c r="X3022" s="250">
        <v>1.2447204274006318E-2</v>
      </c>
      <c r="Y3022" s="250">
        <v>5.780724082310051E-4</v>
      </c>
      <c r="Z3022" s="150">
        <v>60.8</v>
      </c>
      <c r="AA3022" s="150">
        <v>2.98</v>
      </c>
      <c r="AB3022" s="152"/>
      <c r="AC3022" s="152"/>
      <c r="AD3022" s="223">
        <v>12.80118</v>
      </c>
      <c r="AE3022" s="223">
        <v>0.59738840000000004</v>
      </c>
      <c r="AF3022" s="223">
        <v>7.6595890080000002</v>
      </c>
      <c r="AG3022" s="223">
        <v>1.1612499000000001</v>
      </c>
      <c r="AH3022" s="341"/>
      <c r="AI3022" s="218"/>
      <c r="AJ3022" s="218"/>
      <c r="AK3022" s="153"/>
      <c r="AL3022" s="152"/>
      <c r="AM3022" s="152"/>
      <c r="AN3022" s="152"/>
      <c r="AO3022" s="152"/>
      <c r="AP3022" s="152"/>
      <c r="AQ3022" s="152"/>
      <c r="AR3022" s="152"/>
      <c r="AS3022" s="152"/>
      <c r="AT3022" s="152"/>
      <c r="AU3022" s="153"/>
      <c r="AV3022" s="479"/>
      <c r="AW3022" s="479"/>
      <c r="AX3022" s="442"/>
      <c r="AY3022" s="153"/>
      <c r="AZ3022" s="152"/>
      <c r="BA3022" s="152"/>
      <c r="BB3022" s="152"/>
      <c r="BC3022" s="152"/>
      <c r="BD3022" s="152"/>
      <c r="BE3022" s="152"/>
      <c r="BF3022" s="152"/>
      <c r="BG3022" s="152"/>
      <c r="BH3022" s="152"/>
      <c r="BI3022" s="153"/>
      <c r="BJ3022" s="153"/>
      <c r="BK3022" s="153"/>
      <c r="BL3022" s="153"/>
      <c r="BM3022" s="153"/>
      <c r="BN3022" s="153"/>
      <c r="BO3022" s="153"/>
      <c r="BP3022" s="153"/>
      <c r="BQ3022" s="153"/>
      <c r="BR3022" s="153"/>
      <c r="BS3022" s="153"/>
      <c r="BT3022" s="153"/>
      <c r="BU3022" s="153"/>
      <c r="BV3022" s="153"/>
      <c r="BW3022" s="153"/>
      <c r="BX3022" s="153"/>
      <c r="BY3022" s="153"/>
      <c r="BZ3022" s="153"/>
      <c r="CA3022" s="152"/>
      <c r="CB3022" s="152"/>
    </row>
    <row r="3023" spans="1:80" s="87" customFormat="1" ht="16.5" x14ac:dyDescent="0.3">
      <c r="A3023" s="152"/>
      <c r="B3023" s="683"/>
      <c r="C3023" s="683"/>
      <c r="D3023" s="698"/>
      <c r="E3023" s="215"/>
      <c r="F3023" s="215"/>
      <c r="G3023" s="153"/>
      <c r="H3023" s="153"/>
      <c r="I3023" s="317">
        <v>23</v>
      </c>
      <c r="J3023" s="317">
        <v>30</v>
      </c>
      <c r="K3023" s="168">
        <v>1</v>
      </c>
      <c r="L3023" s="642">
        <v>11.5</v>
      </c>
      <c r="M3023" s="663">
        <v>34467</v>
      </c>
      <c r="N3023" s="600">
        <v>8.5787499999999994</v>
      </c>
      <c r="O3023" s="604">
        <v>0.18892300000000001</v>
      </c>
      <c r="P3023" s="250">
        <v>0.1754</v>
      </c>
      <c r="Q3023" s="250">
        <v>8.6400000000000005E-2</v>
      </c>
      <c r="R3023" s="250">
        <v>6.83E-2</v>
      </c>
      <c r="S3023" s="250">
        <v>5.2699999999999997E-2</v>
      </c>
      <c r="T3023" s="250">
        <v>6.2199999999999998E-2</v>
      </c>
      <c r="U3023" s="250">
        <v>0.1646</v>
      </c>
      <c r="V3023" s="250">
        <v>0.22814467165791336</v>
      </c>
      <c r="W3023" s="250">
        <v>0.13016972721967693</v>
      </c>
      <c r="X3023" s="250">
        <v>3.0729690468208743E-2</v>
      </c>
      <c r="Y3023" s="250">
        <v>1.3657640208092775E-3</v>
      </c>
      <c r="Z3023" s="150">
        <v>56.3</v>
      </c>
      <c r="AA3023" s="150">
        <v>2.91</v>
      </c>
      <c r="AB3023" s="152"/>
      <c r="AC3023" s="152"/>
      <c r="AD3023" s="223">
        <v>12.80118</v>
      </c>
      <c r="AE3023" s="223">
        <v>0.59738840000000004</v>
      </c>
      <c r="AF3023" s="223">
        <v>7.6595890080000002</v>
      </c>
      <c r="AG3023" s="223">
        <v>1.1612499000000001</v>
      </c>
      <c r="AH3023" s="341"/>
      <c r="AI3023" s="218"/>
      <c r="AJ3023" s="218"/>
      <c r="AK3023" s="153"/>
      <c r="AL3023" s="152"/>
      <c r="AM3023" s="152"/>
      <c r="AN3023" s="152"/>
      <c r="AO3023" s="152"/>
      <c r="AP3023" s="152"/>
      <c r="AQ3023" s="152"/>
      <c r="AR3023" s="152"/>
      <c r="AS3023" s="152"/>
      <c r="AT3023" s="152"/>
      <c r="AU3023" s="153"/>
      <c r="AV3023" s="479"/>
      <c r="AW3023" s="479"/>
      <c r="AX3023" s="442"/>
      <c r="AY3023" s="153"/>
      <c r="AZ3023" s="152"/>
      <c r="BA3023" s="152"/>
      <c r="BB3023" s="152"/>
      <c r="BC3023" s="152"/>
      <c r="BD3023" s="152"/>
      <c r="BE3023" s="152"/>
      <c r="BF3023" s="152"/>
      <c r="BG3023" s="152"/>
      <c r="BH3023" s="152"/>
      <c r="BI3023" s="153"/>
      <c r="BJ3023" s="153"/>
      <c r="BK3023" s="153"/>
      <c r="BL3023" s="153"/>
      <c r="BM3023" s="153"/>
      <c r="BN3023" s="153"/>
      <c r="BO3023" s="153"/>
      <c r="BP3023" s="153"/>
      <c r="BQ3023" s="153"/>
      <c r="BR3023" s="153"/>
      <c r="BS3023" s="153"/>
      <c r="BT3023" s="153"/>
      <c r="BU3023" s="153"/>
      <c r="BV3023" s="153"/>
      <c r="BW3023" s="153"/>
      <c r="BX3023" s="153"/>
      <c r="BY3023" s="153"/>
      <c r="BZ3023" s="153"/>
      <c r="CA3023" s="152"/>
      <c r="CB3023" s="152"/>
    </row>
    <row r="3024" spans="1:80" s="87" customFormat="1" ht="16.5" x14ac:dyDescent="0.3">
      <c r="A3024" s="152"/>
      <c r="B3024" s="683"/>
      <c r="C3024" s="683"/>
      <c r="D3024" s="698"/>
      <c r="E3024" s="215"/>
      <c r="F3024" s="215"/>
      <c r="G3024" s="153"/>
      <c r="H3024" s="153"/>
      <c r="I3024" s="317">
        <v>23</v>
      </c>
      <c r="J3024" s="317">
        <v>30</v>
      </c>
      <c r="K3024" s="168">
        <v>1</v>
      </c>
      <c r="L3024" s="642">
        <v>11.5</v>
      </c>
      <c r="M3024" s="663">
        <v>34468</v>
      </c>
      <c r="N3024" s="600">
        <v>7.53118</v>
      </c>
      <c r="O3024" s="604">
        <v>0.15428700000000001</v>
      </c>
      <c r="P3024" s="150"/>
      <c r="Q3024" s="250"/>
      <c r="R3024" s="250">
        <v>3.5000000000000003E-2</v>
      </c>
      <c r="S3024" s="250">
        <v>0.12130000000000001</v>
      </c>
      <c r="T3024" s="250">
        <v>0.1326</v>
      </c>
      <c r="U3024" s="250">
        <v>0.26280000000000003</v>
      </c>
      <c r="V3024" s="250">
        <v>0.31357128453317201</v>
      </c>
      <c r="W3024" s="250">
        <v>0.11815458185694119</v>
      </c>
      <c r="X3024" s="250">
        <v>1.6103477083513385E-2</v>
      </c>
      <c r="Y3024" s="250">
        <v>4.609224209950163E-4</v>
      </c>
      <c r="Z3024" s="150">
        <v>18.8</v>
      </c>
      <c r="AA3024" s="150">
        <v>2.25</v>
      </c>
      <c r="AB3024" s="152"/>
      <c r="AC3024" s="152"/>
      <c r="AD3024" s="223"/>
      <c r="AE3024" s="223"/>
      <c r="AF3024" s="223"/>
      <c r="AG3024" s="223"/>
      <c r="AH3024" s="341"/>
      <c r="AI3024" s="218"/>
      <c r="AJ3024" s="218"/>
      <c r="AK3024" s="153"/>
      <c r="AL3024" s="152"/>
      <c r="AM3024" s="152"/>
      <c r="AN3024" s="152"/>
      <c r="AO3024" s="152"/>
      <c r="AP3024" s="152"/>
      <c r="AQ3024" s="152"/>
      <c r="AR3024" s="152"/>
      <c r="AS3024" s="152"/>
      <c r="AT3024" s="152"/>
      <c r="AU3024" s="153"/>
      <c r="AV3024" s="479"/>
      <c r="AW3024" s="479"/>
      <c r="AX3024" s="442"/>
      <c r="AY3024" s="153"/>
      <c r="AZ3024" s="152"/>
      <c r="BA3024" s="152"/>
      <c r="BB3024" s="152"/>
      <c r="BC3024" s="152"/>
      <c r="BD3024" s="152"/>
      <c r="BE3024" s="152"/>
      <c r="BF3024" s="152"/>
      <c r="BG3024" s="152"/>
      <c r="BH3024" s="152"/>
      <c r="BI3024" s="153"/>
      <c r="BJ3024" s="153"/>
      <c r="BK3024" s="153"/>
      <c r="BL3024" s="153"/>
      <c r="BM3024" s="153"/>
      <c r="BN3024" s="153"/>
      <c r="BO3024" s="153"/>
      <c r="BP3024" s="153"/>
      <c r="BQ3024" s="153"/>
      <c r="BR3024" s="153"/>
      <c r="BS3024" s="153"/>
      <c r="BT3024" s="153"/>
      <c r="BU3024" s="153"/>
      <c r="BV3024" s="153"/>
      <c r="BW3024" s="153"/>
      <c r="BX3024" s="153"/>
      <c r="BY3024" s="153"/>
      <c r="BZ3024" s="153"/>
      <c r="CA3024" s="152"/>
      <c r="CB3024" s="152"/>
    </row>
    <row r="3025" spans="1:80" s="87" customFormat="1" ht="16.5" x14ac:dyDescent="0.3">
      <c r="A3025" s="152"/>
      <c r="B3025" s="683"/>
      <c r="C3025" s="683"/>
      <c r="D3025" s="698"/>
      <c r="E3025" s="215"/>
      <c r="F3025" s="215"/>
      <c r="G3025" s="153"/>
      <c r="H3025" s="153"/>
      <c r="I3025" s="317">
        <v>23</v>
      </c>
      <c r="J3025" s="317">
        <v>30</v>
      </c>
      <c r="K3025" s="168">
        <v>1</v>
      </c>
      <c r="L3025" s="642">
        <v>11.5</v>
      </c>
      <c r="M3025" s="663">
        <v>34468</v>
      </c>
      <c r="N3025" s="600">
        <v>7.53118</v>
      </c>
      <c r="O3025" s="604">
        <v>8.0292000000000002E-2</v>
      </c>
      <c r="P3025" s="150"/>
      <c r="Q3025" s="250"/>
      <c r="R3025" s="250">
        <v>5.3200000000000004E-2</v>
      </c>
      <c r="S3025" s="250">
        <v>3.8399999999999997E-2</v>
      </c>
      <c r="T3025" s="250">
        <v>0.1321</v>
      </c>
      <c r="U3025" s="250">
        <v>0.28270000000000001</v>
      </c>
      <c r="V3025" s="250">
        <v>0.35055955124822974</v>
      </c>
      <c r="W3025" s="250">
        <v>0.12076865402238206</v>
      </c>
      <c r="X3025" s="250">
        <v>2.1909971953014359E-2</v>
      </c>
      <c r="Y3025" s="250">
        <v>3.8877009802560335E-4</v>
      </c>
      <c r="Z3025" s="150">
        <v>24.1</v>
      </c>
      <c r="AA3025" s="150">
        <v>2.0299999999999998</v>
      </c>
      <c r="AB3025" s="152"/>
      <c r="AC3025" s="152"/>
      <c r="AD3025" s="223"/>
      <c r="AE3025" s="223"/>
      <c r="AF3025" s="223"/>
      <c r="AG3025" s="223"/>
      <c r="AH3025" s="341"/>
      <c r="AI3025" s="218"/>
      <c r="AJ3025" s="218"/>
      <c r="AK3025" s="153"/>
      <c r="AL3025" s="152"/>
      <c r="AM3025" s="152"/>
      <c r="AN3025" s="152"/>
      <c r="AO3025" s="152"/>
      <c r="AP3025" s="152"/>
      <c r="AQ3025" s="152"/>
      <c r="AR3025" s="152"/>
      <c r="AS3025" s="152"/>
      <c r="AT3025" s="152"/>
      <c r="AU3025" s="153"/>
      <c r="AV3025" s="479"/>
      <c r="AW3025" s="479"/>
      <c r="AX3025" s="442"/>
      <c r="AY3025" s="153"/>
      <c r="AZ3025" s="152"/>
      <c r="BA3025" s="152"/>
      <c r="BB3025" s="152"/>
      <c r="BC3025" s="152"/>
      <c r="BD3025" s="152"/>
      <c r="BE3025" s="152"/>
      <c r="BF3025" s="152"/>
      <c r="BG3025" s="152"/>
      <c r="BH3025" s="152"/>
      <c r="BI3025" s="153"/>
      <c r="BJ3025" s="153"/>
      <c r="BK3025" s="153"/>
      <c r="BL3025" s="153"/>
      <c r="BM3025" s="153"/>
      <c r="BN3025" s="153"/>
      <c r="BO3025" s="153"/>
      <c r="BP3025" s="153"/>
      <c r="BQ3025" s="153"/>
      <c r="BR3025" s="153"/>
      <c r="BS3025" s="153"/>
      <c r="BT3025" s="153"/>
      <c r="BU3025" s="153"/>
      <c r="BV3025" s="153"/>
      <c r="BW3025" s="153"/>
      <c r="BX3025" s="153"/>
      <c r="BY3025" s="153"/>
      <c r="BZ3025" s="153"/>
      <c r="CA3025" s="152"/>
      <c r="CB3025" s="152"/>
    </row>
    <row r="3026" spans="1:80" s="87" customFormat="1" ht="16.5" x14ac:dyDescent="0.3">
      <c r="A3026" s="152"/>
      <c r="B3026" s="683"/>
      <c r="C3026" s="683"/>
      <c r="D3026" s="698"/>
      <c r="E3026" s="215"/>
      <c r="F3026" s="215"/>
      <c r="G3026" s="153"/>
      <c r="H3026" s="153"/>
      <c r="I3026" s="317">
        <v>23</v>
      </c>
      <c r="J3026" s="317">
        <v>30</v>
      </c>
      <c r="K3026" s="168">
        <v>1</v>
      </c>
      <c r="L3026" s="642">
        <v>11.5</v>
      </c>
      <c r="M3026" s="663">
        <v>34469</v>
      </c>
      <c r="N3026" s="600">
        <v>7.10649</v>
      </c>
      <c r="O3026" s="604">
        <v>0.106007</v>
      </c>
      <c r="P3026" s="150"/>
      <c r="Q3026" s="250"/>
      <c r="R3026" s="250"/>
      <c r="S3026" s="250">
        <v>0.13220000000000001</v>
      </c>
      <c r="T3026" s="250">
        <v>0.14990000000000001</v>
      </c>
      <c r="U3026" s="250">
        <v>0.26170000000000004</v>
      </c>
      <c r="V3026" s="250">
        <v>0.31138168343038641</v>
      </c>
      <c r="W3026" s="250">
        <v>0.1271784012705135</v>
      </c>
      <c r="X3026" s="250">
        <v>1.7406034939121226E-2</v>
      </c>
      <c r="Y3026" s="250">
        <v>2.9645314981471675E-4</v>
      </c>
      <c r="Z3026" s="150">
        <v>18.2</v>
      </c>
      <c r="AA3026" s="150">
        <v>2.23</v>
      </c>
      <c r="AB3026" s="152"/>
      <c r="AC3026" s="152"/>
      <c r="AD3026" s="223">
        <v>11.795373</v>
      </c>
      <c r="AE3026" s="223">
        <v>0.56081360000000002</v>
      </c>
      <c r="AF3026" s="223">
        <v>6.5997547919999997</v>
      </c>
      <c r="AG3026" s="223">
        <v>1.0820045</v>
      </c>
      <c r="AH3026" s="341"/>
      <c r="AI3026" s="218"/>
      <c r="AJ3026" s="218"/>
      <c r="AK3026" s="153"/>
      <c r="AL3026" s="152"/>
      <c r="AM3026" s="152"/>
      <c r="AN3026" s="152"/>
      <c r="AO3026" s="152"/>
      <c r="AP3026" s="152"/>
      <c r="AQ3026" s="152"/>
      <c r="AR3026" s="152"/>
      <c r="AS3026" s="152"/>
      <c r="AT3026" s="152"/>
      <c r="AU3026" s="153"/>
      <c r="AV3026" s="479"/>
      <c r="AW3026" s="479"/>
      <c r="AX3026" s="442"/>
      <c r="AY3026" s="153"/>
      <c r="AZ3026" s="152"/>
      <c r="BA3026" s="152"/>
      <c r="BB3026" s="152"/>
      <c r="BC3026" s="152"/>
      <c r="BD3026" s="152"/>
      <c r="BE3026" s="152"/>
      <c r="BF3026" s="152"/>
      <c r="BG3026" s="152"/>
      <c r="BH3026" s="152"/>
      <c r="BI3026" s="153"/>
      <c r="BJ3026" s="153"/>
      <c r="BK3026" s="153"/>
      <c r="BL3026" s="153"/>
      <c r="BM3026" s="153"/>
      <c r="BN3026" s="153"/>
      <c r="BO3026" s="153"/>
      <c r="BP3026" s="153"/>
      <c r="BQ3026" s="153"/>
      <c r="BR3026" s="153"/>
      <c r="BS3026" s="153"/>
      <c r="BT3026" s="153"/>
      <c r="BU3026" s="153"/>
      <c r="BV3026" s="153"/>
      <c r="BW3026" s="153"/>
      <c r="BX3026" s="153"/>
      <c r="BY3026" s="153"/>
      <c r="BZ3026" s="153"/>
      <c r="CA3026" s="152"/>
      <c r="CB3026" s="152"/>
    </row>
    <row r="3027" spans="1:80" s="87" customFormat="1" ht="16.5" x14ac:dyDescent="0.3">
      <c r="A3027" s="152"/>
      <c r="B3027" s="683"/>
      <c r="C3027" s="683"/>
      <c r="D3027" s="698"/>
      <c r="E3027" s="215"/>
      <c r="F3027" s="215"/>
      <c r="G3027" s="153"/>
      <c r="H3027" s="153"/>
      <c r="I3027" s="317">
        <v>23</v>
      </c>
      <c r="J3027" s="317">
        <v>30</v>
      </c>
      <c r="K3027" s="168">
        <v>1</v>
      </c>
      <c r="L3027" s="642">
        <v>11.5</v>
      </c>
      <c r="M3027" s="663">
        <v>34469</v>
      </c>
      <c r="N3027" s="600">
        <v>7.10649</v>
      </c>
      <c r="O3027" s="604">
        <v>4.9329999999999999E-2</v>
      </c>
      <c r="P3027" s="150"/>
      <c r="Q3027" s="250"/>
      <c r="R3027" s="250"/>
      <c r="S3027" s="250">
        <v>5.57E-2</v>
      </c>
      <c r="T3027" s="250">
        <v>0.14249999999999999</v>
      </c>
      <c r="U3027" s="250">
        <v>0.2984</v>
      </c>
      <c r="V3027" s="250">
        <v>0.35964154119092029</v>
      </c>
      <c r="W3027" s="250">
        <v>0.12414138197698221</v>
      </c>
      <c r="X3027" s="250">
        <v>1.9378610744666337E-2</v>
      </c>
      <c r="Y3027" s="250">
        <v>2.2744848291861893E-4</v>
      </c>
      <c r="Z3027" s="150">
        <v>13</v>
      </c>
      <c r="AA3027" s="150">
        <v>1.99</v>
      </c>
      <c r="AB3027" s="152"/>
      <c r="AC3027" s="152"/>
      <c r="AD3027" s="223">
        <v>11.795373</v>
      </c>
      <c r="AE3027" s="223">
        <v>0.56081360000000002</v>
      </c>
      <c r="AF3027" s="223">
        <v>6.5997547919999997</v>
      </c>
      <c r="AG3027" s="223">
        <v>1.0820045</v>
      </c>
      <c r="AH3027" s="341"/>
      <c r="AI3027" s="218"/>
      <c r="AJ3027" s="218"/>
      <c r="AK3027" s="153"/>
      <c r="AL3027" s="152"/>
      <c r="AM3027" s="152"/>
      <c r="AN3027" s="152"/>
      <c r="AO3027" s="152"/>
      <c r="AP3027" s="152"/>
      <c r="AQ3027" s="152"/>
      <c r="AR3027" s="152"/>
      <c r="AS3027" s="152"/>
      <c r="AT3027" s="152"/>
      <c r="AU3027" s="153"/>
      <c r="AV3027" s="479"/>
      <c r="AW3027" s="479"/>
      <c r="AX3027" s="442"/>
      <c r="AY3027" s="153"/>
      <c r="AZ3027" s="152"/>
      <c r="BA3027" s="152"/>
      <c r="BB3027" s="152"/>
      <c r="BC3027" s="152"/>
      <c r="BD3027" s="152"/>
      <c r="BE3027" s="152"/>
      <c r="BF3027" s="152"/>
      <c r="BG3027" s="152"/>
      <c r="BH3027" s="152"/>
      <c r="BI3027" s="153"/>
      <c r="BJ3027" s="153"/>
      <c r="BK3027" s="153"/>
      <c r="BL3027" s="153"/>
      <c r="BM3027" s="153"/>
      <c r="BN3027" s="153"/>
      <c r="BO3027" s="153"/>
      <c r="BP3027" s="153"/>
      <c r="BQ3027" s="153"/>
      <c r="BR3027" s="153"/>
      <c r="BS3027" s="153"/>
      <c r="BT3027" s="153"/>
      <c r="BU3027" s="153"/>
      <c r="BV3027" s="153"/>
      <c r="BW3027" s="153"/>
      <c r="BX3027" s="153"/>
      <c r="BY3027" s="153"/>
      <c r="BZ3027" s="153"/>
      <c r="CA3027" s="152"/>
      <c r="CB3027" s="152"/>
    </row>
    <row r="3028" spans="1:80" s="87" customFormat="1" ht="16.5" x14ac:dyDescent="0.3">
      <c r="A3028" s="152"/>
      <c r="B3028" s="683"/>
      <c r="C3028" s="683"/>
      <c r="D3028" s="698"/>
      <c r="E3028" s="215"/>
      <c r="F3028" s="215"/>
      <c r="G3028" s="153"/>
      <c r="H3028" s="153"/>
      <c r="I3028" s="317">
        <v>23</v>
      </c>
      <c r="J3028" s="317">
        <v>30</v>
      </c>
      <c r="K3028" s="168">
        <v>1</v>
      </c>
      <c r="L3028" s="642">
        <v>11.5</v>
      </c>
      <c r="M3028" s="663">
        <v>34469</v>
      </c>
      <c r="N3028" s="600">
        <v>7.10649</v>
      </c>
      <c r="O3028" s="604">
        <v>0.120701</v>
      </c>
      <c r="P3028" s="150"/>
      <c r="Q3028" s="250"/>
      <c r="R3028" s="250">
        <v>4.1900000000000007E-2</v>
      </c>
      <c r="S3028" s="250">
        <v>5.5500000000000001E-2</v>
      </c>
      <c r="T3028" s="250">
        <v>0.15490000000000001</v>
      </c>
      <c r="U3028" s="250">
        <v>0.2697</v>
      </c>
      <c r="V3028" s="250">
        <v>0.31365197215777257</v>
      </c>
      <c r="W3028" s="250">
        <v>0.14201392111368907</v>
      </c>
      <c r="X3028" s="250">
        <v>2.1883990719257538E-2</v>
      </c>
      <c r="Y3028" s="250">
        <v>3.7122969837586998E-4</v>
      </c>
      <c r="Z3028" s="150">
        <v>25.8</v>
      </c>
      <c r="AA3028" s="150">
        <v>2.1</v>
      </c>
      <c r="AB3028" s="152"/>
      <c r="AC3028" s="152"/>
      <c r="AD3028" s="223">
        <v>11.795373</v>
      </c>
      <c r="AE3028" s="223">
        <v>0.56081360000000002</v>
      </c>
      <c r="AF3028" s="223">
        <v>6.5997547919999997</v>
      </c>
      <c r="AG3028" s="223">
        <v>1.0820045</v>
      </c>
      <c r="AH3028" s="341"/>
      <c r="AI3028" s="218"/>
      <c r="AJ3028" s="218"/>
      <c r="AK3028" s="153"/>
      <c r="AL3028" s="152"/>
      <c r="AM3028" s="152"/>
      <c r="AN3028" s="152"/>
      <c r="AO3028" s="152"/>
      <c r="AP3028" s="152"/>
      <c r="AQ3028" s="152"/>
      <c r="AR3028" s="152"/>
      <c r="AS3028" s="152"/>
      <c r="AT3028" s="152"/>
      <c r="AU3028" s="153"/>
      <c r="AV3028" s="479"/>
      <c r="AW3028" s="479"/>
      <c r="AX3028" s="442"/>
      <c r="AY3028" s="153"/>
      <c r="AZ3028" s="152"/>
      <c r="BA3028" s="152"/>
      <c r="BB3028" s="152"/>
      <c r="BC3028" s="152"/>
      <c r="BD3028" s="152"/>
      <c r="BE3028" s="152"/>
      <c r="BF3028" s="152"/>
      <c r="BG3028" s="152"/>
      <c r="BH3028" s="152"/>
      <c r="BI3028" s="153"/>
      <c r="BJ3028" s="153"/>
      <c r="BK3028" s="153"/>
      <c r="BL3028" s="153"/>
      <c r="BM3028" s="153"/>
      <c r="BN3028" s="153"/>
      <c r="BO3028" s="153"/>
      <c r="BP3028" s="153"/>
      <c r="BQ3028" s="153"/>
      <c r="BR3028" s="153"/>
      <c r="BS3028" s="153"/>
      <c r="BT3028" s="153"/>
      <c r="BU3028" s="153"/>
      <c r="BV3028" s="153"/>
      <c r="BW3028" s="153"/>
      <c r="BX3028" s="153"/>
      <c r="BY3028" s="153"/>
      <c r="BZ3028" s="153"/>
      <c r="CA3028" s="152"/>
      <c r="CB3028" s="152"/>
    </row>
    <row r="3029" spans="1:80" s="87" customFormat="1" ht="16.5" x14ac:dyDescent="0.3">
      <c r="A3029" s="152"/>
      <c r="B3029" s="683"/>
      <c r="C3029" s="683"/>
      <c r="D3029" s="698"/>
      <c r="E3029" s="215"/>
      <c r="F3029" s="215"/>
      <c r="G3029" s="153"/>
      <c r="H3029" s="153"/>
      <c r="I3029" s="317">
        <v>23</v>
      </c>
      <c r="J3029" s="317">
        <v>30</v>
      </c>
      <c r="K3029" s="168">
        <v>1</v>
      </c>
      <c r="L3029" s="642">
        <v>11.5</v>
      </c>
      <c r="M3029" s="663">
        <v>34471</v>
      </c>
      <c r="N3029" s="600">
        <v>6.8799900000000003</v>
      </c>
      <c r="O3029" s="604">
        <v>2.7289000000000001E-2</v>
      </c>
      <c r="P3029" s="150"/>
      <c r="Q3029" s="250"/>
      <c r="R3029" s="250"/>
      <c r="S3029" s="250"/>
      <c r="T3029" s="250">
        <v>9.5600000000000004E-2</v>
      </c>
      <c r="U3029" s="250">
        <v>0.27300000000000002</v>
      </c>
      <c r="V3029" s="250">
        <v>0.42852488392929866</v>
      </c>
      <c r="W3029" s="250">
        <v>0.16266188808340801</v>
      </c>
      <c r="X3029" s="250">
        <v>3.6979718172191901E-2</v>
      </c>
      <c r="Y3029" s="250">
        <v>3.1766718253645027E-3</v>
      </c>
      <c r="Z3029" s="150">
        <v>5.5</v>
      </c>
      <c r="AA3029" s="150">
        <v>1.63</v>
      </c>
      <c r="AB3029" s="152"/>
      <c r="AC3029" s="152"/>
      <c r="AD3029" s="223">
        <v>11.703936000000001</v>
      </c>
      <c r="AE3029" s="223">
        <v>0.57910099999999998</v>
      </c>
      <c r="AF3029" s="223">
        <v>6.7601867489999998</v>
      </c>
      <c r="AG3029" s="223">
        <v>1.0210465</v>
      </c>
      <c r="AH3029" s="341"/>
      <c r="AI3029" s="218"/>
      <c r="AJ3029" s="218"/>
      <c r="AK3029" s="153"/>
      <c r="AL3029" s="152"/>
      <c r="AM3029" s="152"/>
      <c r="AN3029" s="152"/>
      <c r="AO3029" s="152"/>
      <c r="AP3029" s="152"/>
      <c r="AQ3029" s="152"/>
      <c r="AR3029" s="152"/>
      <c r="AS3029" s="152"/>
      <c r="AT3029" s="152"/>
      <c r="AU3029" s="153"/>
      <c r="AV3029" s="479"/>
      <c r="AW3029" s="479"/>
      <c r="AX3029" s="442"/>
      <c r="AY3029" s="153"/>
      <c r="AZ3029" s="152"/>
      <c r="BA3029" s="152"/>
      <c r="BB3029" s="152"/>
      <c r="BC3029" s="152"/>
      <c r="BD3029" s="152"/>
      <c r="BE3029" s="152"/>
      <c r="BF3029" s="152"/>
      <c r="BG3029" s="152"/>
      <c r="BH3029" s="152"/>
      <c r="BI3029" s="153"/>
      <c r="BJ3029" s="153"/>
      <c r="BK3029" s="153"/>
      <c r="BL3029" s="153"/>
      <c r="BM3029" s="153"/>
      <c r="BN3029" s="153"/>
      <c r="BO3029" s="153"/>
      <c r="BP3029" s="153"/>
      <c r="BQ3029" s="153"/>
      <c r="BR3029" s="153"/>
      <c r="BS3029" s="153"/>
      <c r="BT3029" s="153"/>
      <c r="BU3029" s="153"/>
      <c r="BV3029" s="153"/>
      <c r="BW3029" s="153"/>
      <c r="BX3029" s="153"/>
      <c r="BY3029" s="153"/>
      <c r="BZ3029" s="153"/>
      <c r="CA3029" s="152"/>
      <c r="CB3029" s="152"/>
    </row>
    <row r="3030" spans="1:80" s="87" customFormat="1" ht="16.5" x14ac:dyDescent="0.3">
      <c r="A3030" s="152"/>
      <c r="B3030" s="683"/>
      <c r="C3030" s="683"/>
      <c r="D3030" s="698"/>
      <c r="E3030" s="215"/>
      <c r="F3030" s="215"/>
      <c r="G3030" s="153"/>
      <c r="H3030" s="153"/>
      <c r="I3030" s="317">
        <v>23</v>
      </c>
      <c r="J3030" s="317">
        <v>30</v>
      </c>
      <c r="K3030" s="168">
        <v>1</v>
      </c>
      <c r="L3030" s="642">
        <v>11.5</v>
      </c>
      <c r="M3030" s="663">
        <v>34471</v>
      </c>
      <c r="N3030" s="600">
        <v>6.8799900000000003</v>
      </c>
      <c r="O3030" s="604">
        <v>1.9626999999999999E-2</v>
      </c>
      <c r="P3030" s="150"/>
      <c r="Q3030" s="250"/>
      <c r="R3030" s="250">
        <v>0.20079999999999998</v>
      </c>
      <c r="S3030" s="250">
        <v>3.7900000000000003E-2</v>
      </c>
      <c r="T3030" s="250">
        <v>0.10150000000000001</v>
      </c>
      <c r="U3030" s="250">
        <v>0.19739999999999999</v>
      </c>
      <c r="V3030" s="250">
        <v>0.32973280272882322</v>
      </c>
      <c r="W3030" s="250">
        <v>0.11176805002842524</v>
      </c>
      <c r="X3030" s="250">
        <v>2.001137009664582E-2</v>
      </c>
      <c r="Y3030" s="250">
        <v>9.0960773166571922E-4</v>
      </c>
      <c r="Z3030" s="150">
        <v>18.899999999999999</v>
      </c>
      <c r="AA3030" s="150">
        <v>2.2200000000000002</v>
      </c>
      <c r="AB3030" s="152"/>
      <c r="AC3030" s="152"/>
      <c r="AD3030" s="223">
        <v>11.703936000000001</v>
      </c>
      <c r="AE3030" s="223">
        <v>0.57910099999999998</v>
      </c>
      <c r="AF3030" s="223">
        <v>6.7601867489999998</v>
      </c>
      <c r="AG3030" s="223">
        <v>1.0210465</v>
      </c>
      <c r="AH3030" s="341"/>
      <c r="AI3030" s="218"/>
      <c r="AJ3030" s="218"/>
      <c r="AK3030" s="153"/>
      <c r="AL3030" s="152"/>
      <c r="AM3030" s="152"/>
      <c r="AN3030" s="152"/>
      <c r="AO3030" s="152"/>
      <c r="AP3030" s="152"/>
      <c r="AQ3030" s="152"/>
      <c r="AR3030" s="152"/>
      <c r="AS3030" s="152"/>
      <c r="AT3030" s="152"/>
      <c r="AU3030" s="153"/>
      <c r="AV3030" s="479"/>
      <c r="AW3030" s="479"/>
      <c r="AX3030" s="442"/>
      <c r="AY3030" s="153"/>
      <c r="AZ3030" s="152"/>
      <c r="BA3030" s="152"/>
      <c r="BB3030" s="152"/>
      <c r="BC3030" s="152"/>
      <c r="BD3030" s="152"/>
      <c r="BE3030" s="152"/>
      <c r="BF3030" s="152"/>
      <c r="BG3030" s="152"/>
      <c r="BH3030" s="152"/>
      <c r="BI3030" s="153"/>
      <c r="BJ3030" s="153"/>
      <c r="BK3030" s="153"/>
      <c r="BL3030" s="153"/>
      <c r="BM3030" s="153"/>
      <c r="BN3030" s="153"/>
      <c r="BO3030" s="153"/>
      <c r="BP3030" s="153"/>
      <c r="BQ3030" s="153"/>
      <c r="BR3030" s="153"/>
      <c r="BS3030" s="153"/>
      <c r="BT3030" s="153"/>
      <c r="BU3030" s="153"/>
      <c r="BV3030" s="153"/>
      <c r="BW3030" s="153"/>
      <c r="BX3030" s="153"/>
      <c r="BY3030" s="153"/>
      <c r="BZ3030" s="153"/>
      <c r="CA3030" s="152"/>
      <c r="CB3030" s="152"/>
    </row>
    <row r="3031" spans="1:80" s="87" customFormat="1" ht="16.5" x14ac:dyDescent="0.3">
      <c r="A3031" s="152"/>
      <c r="B3031" s="683"/>
      <c r="C3031" s="683"/>
      <c r="D3031" s="698"/>
      <c r="E3031" s="215"/>
      <c r="F3031" s="215"/>
      <c r="G3031" s="153"/>
      <c r="H3031" s="153"/>
      <c r="I3031" s="317">
        <v>23</v>
      </c>
      <c r="J3031" s="317">
        <v>30</v>
      </c>
      <c r="K3031" s="168">
        <v>1</v>
      </c>
      <c r="L3031" s="642">
        <v>11.5</v>
      </c>
      <c r="M3031" s="663">
        <v>34471</v>
      </c>
      <c r="N3031" s="600">
        <v>6.8799900000000003</v>
      </c>
      <c r="O3031" s="604">
        <v>2.6238999999999998E-2</v>
      </c>
      <c r="P3031" s="150"/>
      <c r="Q3031" s="250"/>
      <c r="R3031" s="250"/>
      <c r="S3031" s="250">
        <v>4.0099999999999997E-2</v>
      </c>
      <c r="T3031" s="250">
        <v>0.11650000000000001</v>
      </c>
      <c r="U3031" s="250">
        <v>0.31559999999999999</v>
      </c>
      <c r="V3031" s="250">
        <v>0.35647439169644379</v>
      </c>
      <c r="W3031" s="250">
        <v>0.14233452441721969</v>
      </c>
      <c r="X3031" s="250">
        <v>2.8075548749361925E-2</v>
      </c>
      <c r="Y3031" s="250">
        <v>1.0209290454313426E-3</v>
      </c>
      <c r="Z3031" s="150">
        <v>12.1</v>
      </c>
      <c r="AA3031" s="150">
        <v>1.9</v>
      </c>
      <c r="AB3031" s="152"/>
      <c r="AC3031" s="152"/>
      <c r="AD3031" s="223">
        <v>11.703936000000001</v>
      </c>
      <c r="AE3031" s="223">
        <v>0.57910099999999998</v>
      </c>
      <c r="AF3031" s="223">
        <v>6.7601867489999998</v>
      </c>
      <c r="AG3031" s="223">
        <v>1.0210465</v>
      </c>
      <c r="AH3031" s="341"/>
      <c r="AI3031" s="218"/>
      <c r="AJ3031" s="218"/>
      <c r="AK3031" s="153"/>
      <c r="AL3031" s="152"/>
      <c r="AM3031" s="152"/>
      <c r="AN3031" s="152"/>
      <c r="AO3031" s="152"/>
      <c r="AP3031" s="152"/>
      <c r="AQ3031" s="152"/>
      <c r="AR3031" s="152"/>
      <c r="AS3031" s="152"/>
      <c r="AT3031" s="152"/>
      <c r="AU3031" s="153"/>
      <c r="AV3031" s="479"/>
      <c r="AW3031" s="479"/>
      <c r="AX3031" s="442"/>
      <c r="AY3031" s="153"/>
      <c r="AZ3031" s="152"/>
      <c r="BA3031" s="152"/>
      <c r="BB3031" s="152"/>
      <c r="BC3031" s="152"/>
      <c r="BD3031" s="152"/>
      <c r="BE3031" s="152"/>
      <c r="BF3031" s="152"/>
      <c r="BG3031" s="152"/>
      <c r="BH3031" s="152"/>
      <c r="BI3031" s="153"/>
      <c r="BJ3031" s="153"/>
      <c r="BK3031" s="153"/>
      <c r="BL3031" s="153"/>
      <c r="BM3031" s="153"/>
      <c r="BN3031" s="153"/>
      <c r="BO3031" s="153"/>
      <c r="BP3031" s="153"/>
      <c r="BQ3031" s="153"/>
      <c r="BR3031" s="153"/>
      <c r="BS3031" s="153"/>
      <c r="BT3031" s="153"/>
      <c r="BU3031" s="153"/>
      <c r="BV3031" s="153"/>
      <c r="BW3031" s="153"/>
      <c r="BX3031" s="153"/>
      <c r="BY3031" s="153"/>
      <c r="BZ3031" s="153"/>
      <c r="CA3031" s="152"/>
      <c r="CB3031" s="152"/>
    </row>
    <row r="3032" spans="1:80" s="87" customFormat="1" ht="16.5" x14ac:dyDescent="0.3">
      <c r="A3032" s="152"/>
      <c r="B3032" s="683"/>
      <c r="C3032" s="683"/>
      <c r="D3032" s="698"/>
      <c r="E3032" s="215"/>
      <c r="F3032" s="215"/>
      <c r="G3032" s="153"/>
      <c r="H3032" s="153"/>
      <c r="I3032" s="317">
        <v>23</v>
      </c>
      <c r="J3032" s="317">
        <v>30</v>
      </c>
      <c r="K3032" s="168">
        <v>1</v>
      </c>
      <c r="L3032" s="642">
        <v>11.5</v>
      </c>
      <c r="M3032" s="663">
        <v>34473</v>
      </c>
      <c r="N3032" s="600">
        <v>5.3227900000000004</v>
      </c>
      <c r="O3032" s="604">
        <v>1.2385E-2</v>
      </c>
      <c r="P3032" s="150"/>
      <c r="Q3032" s="250"/>
      <c r="R3032" s="250">
        <v>0.50309999999999999</v>
      </c>
      <c r="S3032" s="250">
        <v>0</v>
      </c>
      <c r="T3032" s="250">
        <v>3.3099999999999997E-2</v>
      </c>
      <c r="U3032" s="250">
        <v>0.1278</v>
      </c>
      <c r="V3032" s="250">
        <v>0.24267100977198697</v>
      </c>
      <c r="W3032" s="250">
        <v>8.4509591024249001E-2</v>
      </c>
      <c r="X3032" s="250">
        <v>8.505247918928701E-3</v>
      </c>
      <c r="Y3032" s="250">
        <v>3.6192544335866811E-4</v>
      </c>
      <c r="Z3032" s="150">
        <v>31</v>
      </c>
      <c r="AA3032" s="150">
        <v>22.65</v>
      </c>
      <c r="AB3032" s="152"/>
      <c r="AC3032" s="152"/>
      <c r="AD3032" s="223">
        <v>11.703936000000001</v>
      </c>
      <c r="AE3032" s="223">
        <v>0.48461609999999999</v>
      </c>
      <c r="AF3032" s="223">
        <v>5.6589725069999997</v>
      </c>
      <c r="AG3032" s="223">
        <v>0.94789690000000004</v>
      </c>
      <c r="AH3032" s="341"/>
      <c r="AI3032" s="218"/>
      <c r="AJ3032" s="218"/>
      <c r="AK3032" s="153"/>
      <c r="AL3032" s="152"/>
      <c r="AM3032" s="152"/>
      <c r="AN3032" s="152"/>
      <c r="AO3032" s="152"/>
      <c r="AP3032" s="152"/>
      <c r="AQ3032" s="152"/>
      <c r="AR3032" s="152"/>
      <c r="AS3032" s="152"/>
      <c r="AT3032" s="152"/>
      <c r="AU3032" s="153"/>
      <c r="AV3032" s="479"/>
      <c r="AW3032" s="479"/>
      <c r="AX3032" s="442"/>
      <c r="AY3032" s="153"/>
      <c r="AZ3032" s="152"/>
      <c r="BA3032" s="152"/>
      <c r="BB3032" s="152"/>
      <c r="BC3032" s="152"/>
      <c r="BD3032" s="152"/>
      <c r="BE3032" s="152"/>
      <c r="BF3032" s="152"/>
      <c r="BG3032" s="152"/>
      <c r="BH3032" s="152"/>
      <c r="BI3032" s="153"/>
      <c r="BJ3032" s="153"/>
      <c r="BK3032" s="153"/>
      <c r="BL3032" s="153"/>
      <c r="BM3032" s="153"/>
      <c r="BN3032" s="153"/>
      <c r="BO3032" s="153"/>
      <c r="BP3032" s="153"/>
      <c r="BQ3032" s="153"/>
      <c r="BR3032" s="153"/>
      <c r="BS3032" s="153"/>
      <c r="BT3032" s="153"/>
      <c r="BU3032" s="153"/>
      <c r="BV3032" s="153"/>
      <c r="BW3032" s="153"/>
      <c r="BX3032" s="153"/>
      <c r="BY3032" s="153"/>
      <c r="BZ3032" s="153"/>
      <c r="CA3032" s="152"/>
      <c r="CB3032" s="152"/>
    </row>
    <row r="3033" spans="1:80" s="87" customFormat="1" ht="16.5" x14ac:dyDescent="0.3">
      <c r="A3033" s="152"/>
      <c r="B3033" s="683"/>
      <c r="C3033" s="683"/>
      <c r="D3033" s="698"/>
      <c r="E3033" s="215"/>
      <c r="F3033" s="215"/>
      <c r="G3033" s="153"/>
      <c r="H3033" s="153"/>
      <c r="I3033" s="317">
        <v>23</v>
      </c>
      <c r="J3033" s="317">
        <v>30</v>
      </c>
      <c r="K3033" s="168">
        <v>1</v>
      </c>
      <c r="L3033" s="642">
        <v>11.5</v>
      </c>
      <c r="M3033" s="663">
        <v>34473</v>
      </c>
      <c r="N3033" s="600">
        <v>5.3227900000000004</v>
      </c>
      <c r="O3033" s="604">
        <v>9.2569999999999996E-3</v>
      </c>
      <c r="P3033" s="150"/>
      <c r="Q3033" s="250"/>
      <c r="R3033" s="250">
        <v>0.16899999999999998</v>
      </c>
      <c r="S3033" s="250">
        <v>1.9699999999999999E-2</v>
      </c>
      <c r="T3033" s="250">
        <v>0.11650000000000001</v>
      </c>
      <c r="U3033" s="250">
        <v>0.26960000000000001</v>
      </c>
      <c r="V3033" s="250">
        <v>0.31415503129513722</v>
      </c>
      <c r="W3033" s="250">
        <v>9.6533461723639857E-2</v>
      </c>
      <c r="X3033" s="250">
        <v>1.3962445835339432E-2</v>
      </c>
      <c r="Y3033" s="250">
        <v>4.8146364949446316E-4</v>
      </c>
      <c r="Z3033" s="150">
        <v>17.8</v>
      </c>
      <c r="AA3033" s="150">
        <v>2.37</v>
      </c>
      <c r="AB3033" s="152"/>
      <c r="AC3033" s="152"/>
      <c r="AD3033" s="223">
        <v>11.703936000000001</v>
      </c>
      <c r="AE3033" s="223">
        <v>0.48461609999999999</v>
      </c>
      <c r="AF3033" s="223">
        <v>5.6589725069999997</v>
      </c>
      <c r="AG3033" s="223">
        <v>0.94789690000000004</v>
      </c>
      <c r="AH3033" s="341"/>
      <c r="AI3033" s="218"/>
      <c r="AJ3033" s="218"/>
      <c r="AK3033" s="153"/>
      <c r="AL3033" s="152"/>
      <c r="AM3033" s="152"/>
      <c r="AN3033" s="152"/>
      <c r="AO3033" s="152"/>
      <c r="AP3033" s="152"/>
      <c r="AQ3033" s="152"/>
      <c r="AR3033" s="152"/>
      <c r="AS3033" s="152"/>
      <c r="AT3033" s="152"/>
      <c r="AU3033" s="153"/>
      <c r="AV3033" s="479"/>
      <c r="AW3033" s="479"/>
      <c r="AX3033" s="442"/>
      <c r="AY3033" s="153"/>
      <c r="AZ3033" s="152"/>
      <c r="BA3033" s="152"/>
      <c r="BB3033" s="152"/>
      <c r="BC3033" s="152"/>
      <c r="BD3033" s="152"/>
      <c r="BE3033" s="152"/>
      <c r="BF3033" s="152"/>
      <c r="BG3033" s="152"/>
      <c r="BH3033" s="152"/>
      <c r="BI3033" s="153"/>
      <c r="BJ3033" s="153"/>
      <c r="BK3033" s="153"/>
      <c r="BL3033" s="153"/>
      <c r="BM3033" s="153"/>
      <c r="BN3033" s="153"/>
      <c r="BO3033" s="153"/>
      <c r="BP3033" s="153"/>
      <c r="BQ3033" s="153"/>
      <c r="BR3033" s="153"/>
      <c r="BS3033" s="153"/>
      <c r="BT3033" s="153"/>
      <c r="BU3033" s="153"/>
      <c r="BV3033" s="153"/>
      <c r="BW3033" s="153"/>
      <c r="BX3033" s="153"/>
      <c r="BY3033" s="153"/>
      <c r="BZ3033" s="153"/>
      <c r="CA3033" s="152"/>
      <c r="CB3033" s="152"/>
    </row>
    <row r="3034" spans="1:80" s="87" customFormat="1" ht="16.5" x14ac:dyDescent="0.3">
      <c r="A3034" s="152"/>
      <c r="B3034" s="683"/>
      <c r="C3034" s="683"/>
      <c r="D3034" s="698"/>
      <c r="E3034" s="215"/>
      <c r="F3034" s="215"/>
      <c r="G3034" s="153"/>
      <c r="H3034" s="153"/>
      <c r="I3034" s="317">
        <v>23</v>
      </c>
      <c r="J3034" s="317">
        <v>30</v>
      </c>
      <c r="K3034" s="168">
        <v>1</v>
      </c>
      <c r="L3034" s="642">
        <v>11.5</v>
      </c>
      <c r="M3034" s="663">
        <v>34473</v>
      </c>
      <c r="N3034" s="600">
        <v>5.3227900000000004</v>
      </c>
      <c r="O3034" s="604">
        <v>8.9840000000000007E-3</v>
      </c>
      <c r="P3034" s="150"/>
      <c r="Q3034" s="250"/>
      <c r="R3034" s="250"/>
      <c r="S3034" s="250">
        <v>0.1477</v>
      </c>
      <c r="T3034" s="250">
        <v>0.09</v>
      </c>
      <c r="U3034" s="250">
        <v>0.25059999999999999</v>
      </c>
      <c r="V3034" s="250">
        <v>0.37472118959107803</v>
      </c>
      <c r="W3034" s="250">
        <v>0.12441140024783147</v>
      </c>
      <c r="X3034" s="250">
        <v>1.2143742255266418E-2</v>
      </c>
      <c r="Y3034" s="250">
        <v>4.9566294919454763E-4</v>
      </c>
      <c r="Z3034" s="150">
        <v>13.5</v>
      </c>
      <c r="AA3034" s="150">
        <v>1.96</v>
      </c>
      <c r="AB3034" s="152"/>
      <c r="AC3034" s="152"/>
      <c r="AD3034" s="223">
        <v>11.703936000000001</v>
      </c>
      <c r="AE3034" s="223">
        <v>0.48461609999999999</v>
      </c>
      <c r="AF3034" s="223">
        <v>5.6589725069999997</v>
      </c>
      <c r="AG3034" s="223">
        <v>0.94789690000000004</v>
      </c>
      <c r="AH3034" s="341"/>
      <c r="AI3034" s="218"/>
      <c r="AJ3034" s="218"/>
      <c r="AK3034" s="153"/>
      <c r="AL3034" s="152"/>
      <c r="AM3034" s="152"/>
      <c r="AN3034" s="152"/>
      <c r="AO3034" s="152"/>
      <c r="AP3034" s="152"/>
      <c r="AQ3034" s="152"/>
      <c r="AR3034" s="152"/>
      <c r="AS3034" s="152"/>
      <c r="AT3034" s="152"/>
      <c r="AU3034" s="153"/>
      <c r="AV3034" s="479"/>
      <c r="AW3034" s="479"/>
      <c r="AX3034" s="442"/>
      <c r="AY3034" s="153"/>
      <c r="AZ3034" s="152"/>
      <c r="BA3034" s="152"/>
      <c r="BB3034" s="152"/>
      <c r="BC3034" s="152"/>
      <c r="BD3034" s="152"/>
      <c r="BE3034" s="152"/>
      <c r="BF3034" s="152"/>
      <c r="BG3034" s="152"/>
      <c r="BH3034" s="152"/>
      <c r="BI3034" s="153"/>
      <c r="BJ3034" s="153"/>
      <c r="BK3034" s="153"/>
      <c r="BL3034" s="153"/>
      <c r="BM3034" s="153"/>
      <c r="BN3034" s="153"/>
      <c r="BO3034" s="153"/>
      <c r="BP3034" s="153"/>
      <c r="BQ3034" s="153"/>
      <c r="BR3034" s="153"/>
      <c r="BS3034" s="153"/>
      <c r="BT3034" s="153"/>
      <c r="BU3034" s="153"/>
      <c r="BV3034" s="153"/>
      <c r="BW3034" s="153"/>
      <c r="BX3034" s="153"/>
      <c r="BY3034" s="153"/>
      <c r="BZ3034" s="153"/>
      <c r="CA3034" s="152"/>
      <c r="CB3034" s="152"/>
    </row>
    <row r="3035" spans="1:80" s="87" customFormat="1" ht="16.5" x14ac:dyDescent="0.3">
      <c r="A3035" s="152"/>
      <c r="B3035" s="683"/>
      <c r="C3035" s="683"/>
      <c r="D3035" s="698"/>
      <c r="E3035" s="215"/>
      <c r="F3035" s="215"/>
      <c r="G3035" s="153"/>
      <c r="H3035" s="153"/>
      <c r="I3035" s="317">
        <v>22</v>
      </c>
      <c r="J3035" s="317">
        <v>30</v>
      </c>
      <c r="K3035" s="168">
        <v>1</v>
      </c>
      <c r="L3035" s="642">
        <v>11</v>
      </c>
      <c r="M3035" s="663">
        <v>34477</v>
      </c>
      <c r="N3035" s="600">
        <v>4.5017199999999997</v>
      </c>
      <c r="O3035" s="604">
        <v>2.2100000000000001E-4</v>
      </c>
      <c r="P3035" s="150"/>
      <c r="Q3035" s="250"/>
      <c r="R3035" s="250"/>
      <c r="S3035" s="250"/>
      <c r="T3035" s="250"/>
      <c r="U3035" s="250"/>
      <c r="V3035" s="250">
        <v>0.31578947368421045</v>
      </c>
      <c r="W3035" s="250">
        <v>0.45263157894736833</v>
      </c>
      <c r="X3035" s="250">
        <v>0.22105263157894736</v>
      </c>
      <c r="Y3035" s="250">
        <v>1.0526315789473684E-2</v>
      </c>
      <c r="Z3035" s="150">
        <v>2.1</v>
      </c>
      <c r="AA3035" s="150">
        <v>0.71</v>
      </c>
      <c r="AB3035" s="152"/>
      <c r="AC3035" s="152"/>
      <c r="AD3035" s="223"/>
      <c r="AE3035" s="223"/>
      <c r="AF3035" s="223"/>
      <c r="AG3035" s="223"/>
      <c r="AH3035" s="341"/>
      <c r="AI3035" s="218"/>
      <c r="AJ3035" s="218"/>
      <c r="AK3035" s="153"/>
      <c r="AL3035" s="152"/>
      <c r="AM3035" s="152"/>
      <c r="AN3035" s="152"/>
      <c r="AO3035" s="152"/>
      <c r="AP3035" s="152"/>
      <c r="AQ3035" s="152"/>
      <c r="AR3035" s="152"/>
      <c r="AS3035" s="152"/>
      <c r="AT3035" s="152"/>
      <c r="AU3035" s="153"/>
      <c r="AV3035" s="479"/>
      <c r="AW3035" s="479"/>
      <c r="AX3035" s="442"/>
      <c r="AY3035" s="153"/>
      <c r="AZ3035" s="152"/>
      <c r="BA3035" s="152"/>
      <c r="BB3035" s="152"/>
      <c r="BC3035" s="152"/>
      <c r="BD3035" s="152"/>
      <c r="BE3035" s="152"/>
      <c r="BF3035" s="152"/>
      <c r="BG3035" s="152"/>
      <c r="BH3035" s="152"/>
      <c r="BI3035" s="153"/>
      <c r="BJ3035" s="153"/>
      <c r="BK3035" s="153"/>
      <c r="BL3035" s="153"/>
      <c r="BM3035" s="153"/>
      <c r="BN3035" s="153"/>
      <c r="BO3035" s="153"/>
      <c r="BP3035" s="153"/>
      <c r="BQ3035" s="153"/>
      <c r="BR3035" s="153"/>
      <c r="BS3035" s="153"/>
      <c r="BT3035" s="153"/>
      <c r="BU3035" s="153"/>
      <c r="BV3035" s="153"/>
      <c r="BW3035" s="153"/>
      <c r="BX3035" s="153"/>
      <c r="BY3035" s="153"/>
      <c r="BZ3035" s="153"/>
      <c r="CA3035" s="152"/>
      <c r="CB3035" s="152"/>
    </row>
    <row r="3036" spans="1:80" s="87" customFormat="1" ht="16.5" x14ac:dyDescent="0.3">
      <c r="A3036" s="152"/>
      <c r="B3036" s="683"/>
      <c r="C3036" s="683"/>
      <c r="D3036" s="698"/>
      <c r="E3036" s="215"/>
      <c r="F3036" s="215"/>
      <c r="G3036" s="153"/>
      <c r="H3036" s="153"/>
      <c r="I3036" s="317">
        <v>22</v>
      </c>
      <c r="J3036" s="317">
        <v>30</v>
      </c>
      <c r="K3036" s="168">
        <v>1</v>
      </c>
      <c r="L3036" s="642">
        <v>11</v>
      </c>
      <c r="M3036" s="663">
        <v>34478</v>
      </c>
      <c r="N3036" s="600">
        <v>4.5866600000000002</v>
      </c>
      <c r="O3036" s="604">
        <v>2.24E-4</v>
      </c>
      <c r="P3036" s="150"/>
      <c r="Q3036" s="250"/>
      <c r="R3036" s="250"/>
      <c r="S3036" s="250"/>
      <c r="T3036" s="250"/>
      <c r="U3036" s="250">
        <v>4.2099999999999999E-2</v>
      </c>
      <c r="V3036" s="250">
        <v>0.25263157894736837</v>
      </c>
      <c r="W3036" s="250">
        <v>0.51578947368421046</v>
      </c>
      <c r="X3036" s="250">
        <v>0.1789473684210526</v>
      </c>
      <c r="Y3036" s="250">
        <v>1.0526315789473684E-2</v>
      </c>
      <c r="Z3036" s="150">
        <v>2.1</v>
      </c>
      <c r="AA3036" s="150">
        <v>0.75</v>
      </c>
      <c r="AB3036" s="152"/>
      <c r="AC3036" s="152"/>
      <c r="AD3036" s="223">
        <v>11.490583000000001</v>
      </c>
      <c r="AE3036" s="223">
        <v>0.48766399999999999</v>
      </c>
      <c r="AF3036" s="223">
        <v>5.5890064060000002</v>
      </c>
      <c r="AG3036" s="223">
        <v>0.76197499999999996</v>
      </c>
      <c r="AH3036" s="341"/>
      <c r="AI3036" s="218"/>
      <c r="AJ3036" s="218"/>
      <c r="AK3036" s="153"/>
      <c r="AL3036" s="152"/>
      <c r="AM3036" s="152"/>
      <c r="AN3036" s="152"/>
      <c r="AO3036" s="152"/>
      <c r="AP3036" s="152"/>
      <c r="AQ3036" s="152"/>
      <c r="AR3036" s="152"/>
      <c r="AS3036" s="152"/>
      <c r="AT3036" s="152"/>
      <c r="AU3036" s="153"/>
      <c r="AV3036" s="479"/>
      <c r="AW3036" s="479"/>
      <c r="AX3036" s="442"/>
      <c r="AY3036" s="153"/>
      <c r="AZ3036" s="152"/>
      <c r="BA3036" s="152"/>
      <c r="BB3036" s="152"/>
      <c r="BC3036" s="152"/>
      <c r="BD3036" s="152"/>
      <c r="BE3036" s="152"/>
      <c r="BF3036" s="152"/>
      <c r="BG3036" s="152"/>
      <c r="BH3036" s="152"/>
      <c r="BI3036" s="153"/>
      <c r="BJ3036" s="153"/>
      <c r="BK3036" s="153"/>
      <c r="BL3036" s="153"/>
      <c r="BM3036" s="153"/>
      <c r="BN3036" s="153"/>
      <c r="BO3036" s="153"/>
      <c r="BP3036" s="153"/>
      <c r="BQ3036" s="153"/>
      <c r="BR3036" s="153"/>
      <c r="BS3036" s="153"/>
      <c r="BT3036" s="153"/>
      <c r="BU3036" s="153"/>
      <c r="BV3036" s="153"/>
      <c r="BW3036" s="153"/>
      <c r="BX3036" s="153"/>
      <c r="BY3036" s="153"/>
      <c r="BZ3036" s="153"/>
      <c r="CA3036" s="152"/>
      <c r="CB3036" s="152"/>
    </row>
    <row r="3037" spans="1:80" s="87" customFormat="1" ht="16.5" x14ac:dyDescent="0.3">
      <c r="A3037" s="152"/>
      <c r="B3037" s="683"/>
      <c r="C3037" s="683"/>
      <c r="D3037" s="698"/>
      <c r="E3037" s="215"/>
      <c r="F3037" s="215"/>
      <c r="G3037" s="153"/>
      <c r="H3037" s="153"/>
      <c r="I3037" s="317">
        <v>22</v>
      </c>
      <c r="J3037" s="317">
        <v>30</v>
      </c>
      <c r="K3037" s="168">
        <v>1</v>
      </c>
      <c r="L3037" s="642">
        <v>11</v>
      </c>
      <c r="M3037" s="663">
        <v>34478</v>
      </c>
      <c r="N3037" s="600">
        <v>4.5866600000000002</v>
      </c>
      <c r="O3037" s="604">
        <v>6.4700000000000001E-4</v>
      </c>
      <c r="P3037" s="150"/>
      <c r="Q3037" s="250"/>
      <c r="R3037" s="250"/>
      <c r="S3037" s="250"/>
      <c r="T3037" s="250">
        <v>0.2964</v>
      </c>
      <c r="U3037" s="250">
        <v>0.40710000000000002</v>
      </c>
      <c r="V3037" s="250">
        <v>0.21071428571428574</v>
      </c>
      <c r="W3037" s="250">
        <v>7.5000000000000011E-2</v>
      </c>
      <c r="X3037" s="250">
        <v>1.0714285714285716E-2</v>
      </c>
      <c r="Y3037" s="250">
        <v>0</v>
      </c>
      <c r="Z3037" s="150">
        <v>4.8</v>
      </c>
      <c r="AA3037" s="150">
        <v>2.89</v>
      </c>
      <c r="AB3037" s="152"/>
      <c r="AC3037" s="152"/>
      <c r="AD3037" s="223">
        <v>11.490583000000001</v>
      </c>
      <c r="AE3037" s="223">
        <v>0.48766399999999999</v>
      </c>
      <c r="AF3037" s="223">
        <v>5.5890064060000002</v>
      </c>
      <c r="AG3037" s="223">
        <v>0.76197499999999996</v>
      </c>
      <c r="AH3037" s="341"/>
      <c r="AI3037" s="218"/>
      <c r="AJ3037" s="218"/>
      <c r="AK3037" s="153"/>
      <c r="AL3037" s="152"/>
      <c r="AM3037" s="152"/>
      <c r="AN3037" s="152"/>
      <c r="AO3037" s="152"/>
      <c r="AP3037" s="152"/>
      <c r="AQ3037" s="152"/>
      <c r="AR3037" s="152"/>
      <c r="AS3037" s="152"/>
      <c r="AT3037" s="152"/>
      <c r="AU3037" s="153"/>
      <c r="AV3037" s="479"/>
      <c r="AW3037" s="479"/>
      <c r="AX3037" s="442"/>
      <c r="AY3037" s="153"/>
      <c r="AZ3037" s="152"/>
      <c r="BA3037" s="152"/>
      <c r="BB3037" s="152"/>
      <c r="BC3037" s="152"/>
      <c r="BD3037" s="152"/>
      <c r="BE3037" s="152"/>
      <c r="BF3037" s="152"/>
      <c r="BG3037" s="152"/>
      <c r="BH3037" s="152"/>
      <c r="BI3037" s="153"/>
      <c r="BJ3037" s="153"/>
      <c r="BK3037" s="153"/>
      <c r="BL3037" s="153"/>
      <c r="BM3037" s="153"/>
      <c r="BN3037" s="153"/>
      <c r="BO3037" s="153"/>
      <c r="BP3037" s="153"/>
      <c r="BQ3037" s="153"/>
      <c r="BR3037" s="153"/>
      <c r="BS3037" s="153"/>
      <c r="BT3037" s="153"/>
      <c r="BU3037" s="153"/>
      <c r="BV3037" s="153"/>
      <c r="BW3037" s="153"/>
      <c r="BX3037" s="153"/>
      <c r="BY3037" s="153"/>
      <c r="BZ3037" s="153"/>
      <c r="CA3037" s="152"/>
      <c r="CB3037" s="152"/>
    </row>
    <row r="3038" spans="1:80" s="87" customFormat="1" ht="16.5" x14ac:dyDescent="0.3">
      <c r="A3038" s="152"/>
      <c r="B3038" s="683"/>
      <c r="C3038" s="683"/>
      <c r="D3038" s="698"/>
      <c r="E3038" s="215"/>
      <c r="F3038" s="215"/>
      <c r="G3038" s="153"/>
      <c r="H3038" s="153"/>
      <c r="I3038" s="317">
        <v>22</v>
      </c>
      <c r="J3038" s="317">
        <v>30</v>
      </c>
      <c r="K3038" s="168">
        <v>1</v>
      </c>
      <c r="L3038" s="642">
        <v>11</v>
      </c>
      <c r="M3038" s="663">
        <v>34480</v>
      </c>
      <c r="N3038" s="600">
        <v>4.8697800000000004</v>
      </c>
      <c r="O3038" s="604">
        <v>1.2175E-2</v>
      </c>
      <c r="P3038" s="150"/>
      <c r="Q3038" s="250"/>
      <c r="R3038" s="250"/>
      <c r="S3038" s="250"/>
      <c r="T3038" s="250">
        <v>6.7900000000000002E-2</v>
      </c>
      <c r="U3038" s="250">
        <v>0.1585</v>
      </c>
      <c r="V3038" s="250">
        <v>0.43277553375649164</v>
      </c>
      <c r="W3038" s="250">
        <v>0.28024620119253707</v>
      </c>
      <c r="X3038" s="250">
        <v>5.9626851317561069E-2</v>
      </c>
      <c r="Y3038" s="250">
        <v>9.6172340834775908E-4</v>
      </c>
      <c r="Z3038" s="150">
        <v>5.8</v>
      </c>
      <c r="AA3038" s="150">
        <v>1.26</v>
      </c>
      <c r="AB3038" s="152"/>
      <c r="AC3038" s="152"/>
      <c r="AD3038" s="223"/>
      <c r="AE3038" s="223"/>
      <c r="AF3038" s="223"/>
      <c r="AG3038" s="223"/>
      <c r="AH3038" s="341"/>
      <c r="AI3038" s="218"/>
      <c r="AJ3038" s="218"/>
      <c r="AK3038" s="153"/>
      <c r="AL3038" s="152"/>
      <c r="AM3038" s="152"/>
      <c r="AN3038" s="152"/>
      <c r="AO3038" s="152"/>
      <c r="AP3038" s="152"/>
      <c r="AQ3038" s="152"/>
      <c r="AR3038" s="152"/>
      <c r="AS3038" s="152"/>
      <c r="AT3038" s="152"/>
      <c r="AU3038" s="153"/>
      <c r="AV3038" s="479"/>
      <c r="AW3038" s="479"/>
      <c r="AX3038" s="442"/>
      <c r="AY3038" s="153"/>
      <c r="AZ3038" s="152"/>
      <c r="BA3038" s="152"/>
      <c r="BB3038" s="152"/>
      <c r="BC3038" s="152"/>
      <c r="BD3038" s="152"/>
      <c r="BE3038" s="152"/>
      <c r="BF3038" s="152"/>
      <c r="BG3038" s="152"/>
      <c r="BH3038" s="152"/>
      <c r="BI3038" s="153"/>
      <c r="BJ3038" s="153"/>
      <c r="BK3038" s="153"/>
      <c r="BL3038" s="153"/>
      <c r="BM3038" s="153"/>
      <c r="BN3038" s="153"/>
      <c r="BO3038" s="153"/>
      <c r="BP3038" s="153"/>
      <c r="BQ3038" s="153"/>
      <c r="BR3038" s="153"/>
      <c r="BS3038" s="153"/>
      <c r="BT3038" s="153"/>
      <c r="BU3038" s="153"/>
      <c r="BV3038" s="153"/>
      <c r="BW3038" s="153"/>
      <c r="BX3038" s="153"/>
      <c r="BY3038" s="153"/>
      <c r="BZ3038" s="153"/>
      <c r="CA3038" s="152"/>
      <c r="CB3038" s="152"/>
    </row>
    <row r="3039" spans="1:80" s="87" customFormat="1" ht="16.5" x14ac:dyDescent="0.3">
      <c r="A3039" s="152"/>
      <c r="B3039" s="683"/>
      <c r="C3039" s="683"/>
      <c r="D3039" s="698"/>
      <c r="E3039" s="215"/>
      <c r="F3039" s="215"/>
      <c r="G3039" s="153"/>
      <c r="H3039" s="153"/>
      <c r="I3039" s="317">
        <v>22</v>
      </c>
      <c r="J3039" s="317">
        <v>30</v>
      </c>
      <c r="K3039" s="168">
        <v>1</v>
      </c>
      <c r="L3039" s="642">
        <v>11</v>
      </c>
      <c r="M3039" s="663">
        <v>34480</v>
      </c>
      <c r="N3039" s="600">
        <v>4.8697800000000004</v>
      </c>
      <c r="O3039" s="604">
        <v>7.1999999999999998E-3</v>
      </c>
      <c r="P3039" s="150"/>
      <c r="Q3039" s="250"/>
      <c r="R3039" s="250"/>
      <c r="S3039" s="250"/>
      <c r="T3039" s="250">
        <v>0.11869999999999999</v>
      </c>
      <c r="U3039" s="250">
        <v>0.29969999999999997</v>
      </c>
      <c r="V3039" s="250">
        <v>0.40869283165747644</v>
      </c>
      <c r="W3039" s="250">
        <v>0.15115147583522542</v>
      </c>
      <c r="X3039" s="250">
        <v>2.0759000973078166E-2</v>
      </c>
      <c r="Y3039" s="250">
        <v>9.7307817061303926E-4</v>
      </c>
      <c r="Z3039" s="150">
        <v>8.1999999999999993</v>
      </c>
      <c r="AA3039" s="150">
        <v>1.76</v>
      </c>
      <c r="AB3039" s="152"/>
      <c r="AC3039" s="152"/>
      <c r="AD3039" s="223"/>
      <c r="AE3039" s="223"/>
      <c r="AF3039" s="223"/>
      <c r="AG3039" s="223"/>
      <c r="AH3039" s="341"/>
      <c r="AI3039" s="218"/>
      <c r="AJ3039" s="218"/>
      <c r="AK3039" s="153"/>
      <c r="AL3039" s="152"/>
      <c r="AM3039" s="152"/>
      <c r="AN3039" s="152"/>
      <c r="AO3039" s="152"/>
      <c r="AP3039" s="152"/>
      <c r="AQ3039" s="152"/>
      <c r="AR3039" s="152"/>
      <c r="AS3039" s="152"/>
      <c r="AT3039" s="152"/>
      <c r="AU3039" s="153"/>
      <c r="AV3039" s="479"/>
      <c r="AW3039" s="479"/>
      <c r="AX3039" s="442"/>
      <c r="AY3039" s="153"/>
      <c r="AZ3039" s="152"/>
      <c r="BA3039" s="152"/>
      <c r="BB3039" s="152"/>
      <c r="BC3039" s="152"/>
      <c r="BD3039" s="152"/>
      <c r="BE3039" s="152"/>
      <c r="BF3039" s="152"/>
      <c r="BG3039" s="152"/>
      <c r="BH3039" s="152"/>
      <c r="BI3039" s="153"/>
      <c r="BJ3039" s="153"/>
      <c r="BK3039" s="153"/>
      <c r="BL3039" s="153"/>
      <c r="BM3039" s="153"/>
      <c r="BN3039" s="153"/>
      <c r="BO3039" s="153"/>
      <c r="BP3039" s="153"/>
      <c r="BQ3039" s="153"/>
      <c r="BR3039" s="153"/>
      <c r="BS3039" s="153"/>
      <c r="BT3039" s="153"/>
      <c r="BU3039" s="153"/>
      <c r="BV3039" s="153"/>
      <c r="BW3039" s="153"/>
      <c r="BX3039" s="153"/>
      <c r="BY3039" s="153"/>
      <c r="BZ3039" s="153"/>
      <c r="CA3039" s="152"/>
      <c r="CB3039" s="152"/>
    </row>
    <row r="3040" spans="1:80" s="87" customFormat="1" ht="16.5" x14ac:dyDescent="0.3">
      <c r="A3040" s="152"/>
      <c r="B3040" s="683"/>
      <c r="C3040" s="683"/>
      <c r="D3040" s="698"/>
      <c r="E3040" s="215"/>
      <c r="F3040" s="215"/>
      <c r="G3040" s="153"/>
      <c r="H3040" s="153"/>
      <c r="I3040" s="317">
        <v>22</v>
      </c>
      <c r="J3040" s="317">
        <v>30</v>
      </c>
      <c r="K3040" s="168">
        <v>1</v>
      </c>
      <c r="L3040" s="642">
        <v>11</v>
      </c>
      <c r="M3040" s="663">
        <v>34481</v>
      </c>
      <c r="N3040" s="600">
        <v>6.7667400000000004</v>
      </c>
      <c r="O3040" s="604">
        <v>2.5190000000000001E-2</v>
      </c>
      <c r="P3040" s="150"/>
      <c r="Q3040" s="250"/>
      <c r="R3040" s="250"/>
      <c r="S3040" s="250">
        <v>6.0199999999999997E-2</v>
      </c>
      <c r="T3040" s="250">
        <v>0.25269999999999998</v>
      </c>
      <c r="U3040" s="250">
        <v>0.27239999999999998</v>
      </c>
      <c r="V3040" s="250">
        <v>0.27011548211435543</v>
      </c>
      <c r="W3040" s="250">
        <v>0.12045817294150787</v>
      </c>
      <c r="X3040" s="250">
        <v>2.3096422871091916E-2</v>
      </c>
      <c r="Y3040" s="250">
        <v>1.1266547741996058E-3</v>
      </c>
      <c r="Z3040" s="150">
        <v>12</v>
      </c>
      <c r="AA3040" s="150">
        <v>2.46</v>
      </c>
      <c r="AB3040" s="152"/>
      <c r="AC3040" s="152"/>
      <c r="AD3040" s="223">
        <v>11.886810000000001</v>
      </c>
      <c r="AE3040" s="223">
        <v>0.53643039999999997</v>
      </c>
      <c r="AF3040" s="223">
        <v>6.3967103099999996</v>
      </c>
      <c r="AG3040" s="223">
        <v>1.1124835</v>
      </c>
      <c r="AH3040" s="341"/>
      <c r="AI3040" s="218"/>
      <c r="AJ3040" s="218"/>
      <c r="AK3040" s="153"/>
      <c r="AL3040" s="152"/>
      <c r="AM3040" s="152"/>
      <c r="AN3040" s="152"/>
      <c r="AO3040" s="152"/>
      <c r="AP3040" s="152"/>
      <c r="AQ3040" s="152"/>
      <c r="AR3040" s="152"/>
      <c r="AS3040" s="152"/>
      <c r="AT3040" s="152"/>
      <c r="AU3040" s="153"/>
      <c r="AV3040" s="479"/>
      <c r="AW3040" s="479"/>
      <c r="AX3040" s="442"/>
      <c r="AY3040" s="153"/>
      <c r="AZ3040" s="152"/>
      <c r="BA3040" s="152"/>
      <c r="BB3040" s="152"/>
      <c r="BC3040" s="152"/>
      <c r="BD3040" s="152"/>
      <c r="BE3040" s="152"/>
      <c r="BF3040" s="152"/>
      <c r="BG3040" s="152"/>
      <c r="BH3040" s="152"/>
      <c r="BI3040" s="153"/>
      <c r="BJ3040" s="153"/>
      <c r="BK3040" s="153"/>
      <c r="BL3040" s="153"/>
      <c r="BM3040" s="153"/>
      <c r="BN3040" s="153"/>
      <c r="BO3040" s="153"/>
      <c r="BP3040" s="153"/>
      <c r="BQ3040" s="153"/>
      <c r="BR3040" s="153"/>
      <c r="BS3040" s="153"/>
      <c r="BT3040" s="153"/>
      <c r="BU3040" s="153"/>
      <c r="BV3040" s="153"/>
      <c r="BW3040" s="153"/>
      <c r="BX3040" s="153"/>
      <c r="BY3040" s="153"/>
      <c r="BZ3040" s="153"/>
      <c r="CA3040" s="152"/>
      <c r="CB3040" s="152"/>
    </row>
    <row r="3041" spans="1:80" s="87" customFormat="1" ht="16.5" x14ac:dyDescent="0.3">
      <c r="A3041" s="152"/>
      <c r="B3041" s="683"/>
      <c r="C3041" s="683"/>
      <c r="D3041" s="698"/>
      <c r="E3041" s="215"/>
      <c r="F3041" s="215"/>
      <c r="G3041" s="153"/>
      <c r="H3041" s="153"/>
      <c r="I3041" s="317">
        <v>22</v>
      </c>
      <c r="J3041" s="317">
        <v>30</v>
      </c>
      <c r="K3041" s="168">
        <v>1</v>
      </c>
      <c r="L3041" s="642">
        <v>11</v>
      </c>
      <c r="M3041" s="663">
        <v>34481</v>
      </c>
      <c r="N3041" s="600">
        <v>6.7667400000000004</v>
      </c>
      <c r="O3041" s="604">
        <v>3.6420000000000001E-2</v>
      </c>
      <c r="P3041" s="150"/>
      <c r="Q3041" s="250"/>
      <c r="R3041" s="250"/>
      <c r="S3041" s="250">
        <v>2.1400000000000002E-2</v>
      </c>
      <c r="T3041" s="250">
        <v>9.74E-2</v>
      </c>
      <c r="U3041" s="250">
        <v>0.27410000000000001</v>
      </c>
      <c r="V3041" s="250">
        <v>0.39936351237254009</v>
      </c>
      <c r="W3041" s="250">
        <v>0.18081444437228028</v>
      </c>
      <c r="X3041" s="250">
        <v>2.6173929986360981E-2</v>
      </c>
      <c r="Y3041" s="250">
        <v>8.4432032214067673E-4</v>
      </c>
      <c r="Z3041" s="150">
        <v>9.3000000000000007</v>
      </c>
      <c r="AA3041" s="150">
        <v>1.66</v>
      </c>
      <c r="AB3041" s="152"/>
      <c r="AC3041" s="152"/>
      <c r="AD3041" s="223">
        <v>11.886810000000001</v>
      </c>
      <c r="AE3041" s="223">
        <v>0.53643039999999997</v>
      </c>
      <c r="AF3041" s="223">
        <v>6.3967103099999996</v>
      </c>
      <c r="AG3041" s="223">
        <v>1.1124835</v>
      </c>
      <c r="AH3041" s="341"/>
      <c r="AI3041" s="218"/>
      <c r="AJ3041" s="218"/>
      <c r="AK3041" s="153"/>
      <c r="AL3041" s="152"/>
      <c r="AM3041" s="152"/>
      <c r="AN3041" s="152"/>
      <c r="AO3041" s="152"/>
      <c r="AP3041" s="152"/>
      <c r="AQ3041" s="152"/>
      <c r="AR3041" s="152"/>
      <c r="AS3041" s="152"/>
      <c r="AT3041" s="152"/>
      <c r="AU3041" s="153"/>
      <c r="AV3041" s="479"/>
      <c r="AW3041" s="479"/>
      <c r="AX3041" s="442"/>
      <c r="AY3041" s="153"/>
      <c r="AZ3041" s="152"/>
      <c r="BA3041" s="152"/>
      <c r="BB3041" s="152"/>
      <c r="BC3041" s="152"/>
      <c r="BD3041" s="152"/>
      <c r="BE3041" s="152"/>
      <c r="BF3041" s="152"/>
      <c r="BG3041" s="152"/>
      <c r="BH3041" s="152"/>
      <c r="BI3041" s="153"/>
      <c r="BJ3041" s="153"/>
      <c r="BK3041" s="153"/>
      <c r="BL3041" s="153"/>
      <c r="BM3041" s="153"/>
      <c r="BN3041" s="153"/>
      <c r="BO3041" s="153"/>
      <c r="BP3041" s="153"/>
      <c r="BQ3041" s="153"/>
      <c r="BR3041" s="153"/>
      <c r="BS3041" s="153"/>
      <c r="BT3041" s="153"/>
      <c r="BU3041" s="153"/>
      <c r="BV3041" s="153"/>
      <c r="BW3041" s="153"/>
      <c r="BX3041" s="153"/>
      <c r="BY3041" s="153"/>
      <c r="BZ3041" s="153"/>
      <c r="CA3041" s="152"/>
      <c r="CB3041" s="152"/>
    </row>
    <row r="3042" spans="1:80" s="87" customFormat="1" ht="16.5" x14ac:dyDescent="0.3">
      <c r="A3042" s="152"/>
      <c r="B3042" s="683"/>
      <c r="C3042" s="683"/>
      <c r="D3042" s="698"/>
      <c r="E3042" s="215"/>
      <c r="F3042" s="215"/>
      <c r="G3042" s="153"/>
      <c r="H3042" s="153"/>
      <c r="I3042" s="317">
        <v>22</v>
      </c>
      <c r="J3042" s="317">
        <v>30</v>
      </c>
      <c r="K3042" s="168">
        <v>1</v>
      </c>
      <c r="L3042" s="642">
        <v>11</v>
      </c>
      <c r="M3042" s="663">
        <v>34484</v>
      </c>
      <c r="N3042" s="600">
        <v>4.9264099999999997</v>
      </c>
      <c r="O3042" s="604">
        <v>1.6478E-2</v>
      </c>
      <c r="P3042" s="150"/>
      <c r="Q3042" s="250"/>
      <c r="R3042" s="250"/>
      <c r="S3042" s="250">
        <v>6.3E-2</v>
      </c>
      <c r="T3042" s="250">
        <v>0.11310000000000001</v>
      </c>
      <c r="U3042" s="250">
        <v>0.20199999999999999</v>
      </c>
      <c r="V3042" s="250">
        <v>0.43665251335433508</v>
      </c>
      <c r="W3042" s="250">
        <v>0.17079852075058213</v>
      </c>
      <c r="X3042" s="250">
        <v>1.397068894671963E-2</v>
      </c>
      <c r="Y3042" s="250">
        <v>4.109026160799891E-4</v>
      </c>
      <c r="Z3042" s="150">
        <v>14.7</v>
      </c>
      <c r="AA3042" s="150">
        <v>1.61</v>
      </c>
      <c r="AB3042" s="152"/>
      <c r="AC3042" s="152"/>
      <c r="AD3042" s="223">
        <v>11.338188000000001</v>
      </c>
      <c r="AE3042" s="223">
        <v>0.47547240000000002</v>
      </c>
      <c r="AF3042" s="223">
        <v>5.3845340439999996</v>
      </c>
      <c r="AG3042" s="223">
        <v>0.88389099999999998</v>
      </c>
      <c r="AH3042" s="341"/>
      <c r="AI3042" s="218"/>
      <c r="AJ3042" s="218"/>
      <c r="AK3042" s="153"/>
      <c r="AL3042" s="152"/>
      <c r="AM3042" s="152"/>
      <c r="AN3042" s="152"/>
      <c r="AO3042" s="152"/>
      <c r="AP3042" s="152"/>
      <c r="AQ3042" s="152"/>
      <c r="AR3042" s="152"/>
      <c r="AS3042" s="152"/>
      <c r="AT3042" s="152"/>
      <c r="AU3042" s="153"/>
      <c r="AV3042" s="479"/>
      <c r="AW3042" s="479"/>
      <c r="AX3042" s="442"/>
      <c r="AY3042" s="153"/>
      <c r="AZ3042" s="152"/>
      <c r="BA3042" s="152"/>
      <c r="BB3042" s="152"/>
      <c r="BC3042" s="152"/>
      <c r="BD3042" s="152"/>
      <c r="BE3042" s="152"/>
      <c r="BF3042" s="152"/>
      <c r="BG3042" s="152"/>
      <c r="BH3042" s="152"/>
      <c r="BI3042" s="153"/>
      <c r="BJ3042" s="153"/>
      <c r="BK3042" s="153"/>
      <c r="BL3042" s="153"/>
      <c r="BM3042" s="153"/>
      <c r="BN3042" s="153"/>
      <c r="BO3042" s="153"/>
      <c r="BP3042" s="153"/>
      <c r="BQ3042" s="153"/>
      <c r="BR3042" s="153"/>
      <c r="BS3042" s="153"/>
      <c r="BT3042" s="153"/>
      <c r="BU3042" s="153"/>
      <c r="BV3042" s="153"/>
      <c r="BW3042" s="153"/>
      <c r="BX3042" s="153"/>
      <c r="BY3042" s="153"/>
      <c r="BZ3042" s="153"/>
      <c r="CA3042" s="152"/>
      <c r="CB3042" s="152"/>
    </row>
    <row r="3043" spans="1:80" s="87" customFormat="1" ht="16.5" x14ac:dyDescent="0.3">
      <c r="A3043" s="152"/>
      <c r="B3043" s="683"/>
      <c r="C3043" s="683"/>
      <c r="D3043" s="698"/>
      <c r="E3043" s="215"/>
      <c r="F3043" s="215"/>
      <c r="G3043" s="153"/>
      <c r="H3043" s="153"/>
      <c r="I3043" s="317">
        <v>22</v>
      </c>
      <c r="J3043" s="317">
        <v>30</v>
      </c>
      <c r="K3043" s="168">
        <v>1</v>
      </c>
      <c r="L3043" s="642">
        <v>11</v>
      </c>
      <c r="M3043" s="663">
        <v>34484</v>
      </c>
      <c r="N3043" s="600">
        <v>4.9264099999999997</v>
      </c>
      <c r="O3043" s="604">
        <v>2.7498999999999999E-2</v>
      </c>
      <c r="P3043" s="150"/>
      <c r="Q3043" s="250"/>
      <c r="R3043" s="250"/>
      <c r="S3043" s="250">
        <v>4.24E-2</v>
      </c>
      <c r="T3043" s="250">
        <v>7.5499999999999998E-2</v>
      </c>
      <c r="U3043" s="250">
        <v>0.25619999999999998</v>
      </c>
      <c r="V3043" s="250">
        <v>0.42682726974762375</v>
      </c>
      <c r="W3043" s="250">
        <v>0.18125204850868568</v>
      </c>
      <c r="X3043" s="250">
        <v>1.7207472959685347E-2</v>
      </c>
      <c r="Y3043" s="250">
        <v>5.7358243198951176E-4</v>
      </c>
      <c r="Z3043" s="150">
        <v>13.6</v>
      </c>
      <c r="AA3043" s="150">
        <v>1.64</v>
      </c>
      <c r="AB3043" s="152"/>
      <c r="AC3043" s="152"/>
      <c r="AD3043" s="223">
        <v>11.338188000000001</v>
      </c>
      <c r="AE3043" s="223">
        <v>0.47547240000000002</v>
      </c>
      <c r="AF3043" s="223">
        <v>5.3845340439999996</v>
      </c>
      <c r="AG3043" s="223">
        <v>0.88389099999999998</v>
      </c>
      <c r="AH3043" s="341"/>
      <c r="AI3043" s="218"/>
      <c r="AJ3043" s="218"/>
      <c r="AK3043" s="153"/>
      <c r="AL3043" s="152"/>
      <c r="AM3043" s="152"/>
      <c r="AN3043" s="152"/>
      <c r="AO3043" s="152"/>
      <c r="AP3043" s="152"/>
      <c r="AQ3043" s="152"/>
      <c r="AR3043" s="152"/>
      <c r="AS3043" s="152"/>
      <c r="AT3043" s="152"/>
      <c r="AU3043" s="153"/>
      <c r="AV3043" s="479"/>
      <c r="AW3043" s="479"/>
      <c r="AX3043" s="442"/>
      <c r="AY3043" s="153"/>
      <c r="AZ3043" s="152"/>
      <c r="BA3043" s="152"/>
      <c r="BB3043" s="152"/>
      <c r="BC3043" s="152"/>
      <c r="BD3043" s="152"/>
      <c r="BE3043" s="152"/>
      <c r="BF3043" s="152"/>
      <c r="BG3043" s="152"/>
      <c r="BH3043" s="152"/>
      <c r="BI3043" s="153"/>
      <c r="BJ3043" s="153"/>
      <c r="BK3043" s="153"/>
      <c r="BL3043" s="153"/>
      <c r="BM3043" s="153"/>
      <c r="BN3043" s="153"/>
      <c r="BO3043" s="153"/>
      <c r="BP3043" s="153"/>
      <c r="BQ3043" s="153"/>
      <c r="BR3043" s="153"/>
      <c r="BS3043" s="153"/>
      <c r="BT3043" s="153"/>
      <c r="BU3043" s="153"/>
      <c r="BV3043" s="153"/>
      <c r="BW3043" s="153"/>
      <c r="BX3043" s="153"/>
      <c r="BY3043" s="153"/>
      <c r="BZ3043" s="153"/>
      <c r="CA3043" s="152"/>
      <c r="CB3043" s="152"/>
    </row>
    <row r="3044" spans="1:80" s="87" customFormat="1" ht="16.5" x14ac:dyDescent="0.3">
      <c r="A3044" s="152"/>
      <c r="B3044" s="683"/>
      <c r="C3044" s="683"/>
      <c r="D3044" s="698"/>
      <c r="E3044" s="215"/>
      <c r="F3044" s="215"/>
      <c r="G3044" s="153"/>
      <c r="H3044" s="153"/>
      <c r="I3044" s="317">
        <v>23</v>
      </c>
      <c r="J3044" s="317">
        <v>30</v>
      </c>
      <c r="K3044" s="168">
        <v>1</v>
      </c>
      <c r="L3044" s="642">
        <v>11.5</v>
      </c>
      <c r="M3044" s="663">
        <v>34487</v>
      </c>
      <c r="N3044" s="600">
        <v>5.1529100000000003</v>
      </c>
      <c r="O3044" s="604">
        <v>2.9910000000000002E-3</v>
      </c>
      <c r="P3044" s="150"/>
      <c r="Q3044" s="250"/>
      <c r="R3044" s="250"/>
      <c r="S3044" s="250"/>
      <c r="T3044" s="250">
        <v>7.3599999999999999E-2</v>
      </c>
      <c r="U3044" s="250">
        <v>0.33950000000000002</v>
      </c>
      <c r="V3044" s="250">
        <v>0.38733431516936667</v>
      </c>
      <c r="W3044" s="250">
        <v>0.16936671575846834</v>
      </c>
      <c r="X3044" s="250">
        <v>2.9455081001472757E-2</v>
      </c>
      <c r="Y3044" s="250">
        <v>7.3637702503681884E-4</v>
      </c>
      <c r="Z3044" s="150">
        <v>5.5</v>
      </c>
      <c r="AA3044" s="150">
        <v>1.75</v>
      </c>
      <c r="AB3044" s="152"/>
      <c r="AC3044" s="152"/>
      <c r="AD3044" s="223">
        <v>11.551541</v>
      </c>
      <c r="AE3044" s="223">
        <v>0.4815682</v>
      </c>
      <c r="AF3044" s="223">
        <v>5.5663507159999996</v>
      </c>
      <c r="AG3044" s="223">
        <v>0.91741790000000001</v>
      </c>
      <c r="AH3044" s="341"/>
      <c r="AI3044" s="218"/>
      <c r="AJ3044" s="218"/>
      <c r="AK3044" s="153"/>
      <c r="AL3044" s="152"/>
      <c r="AM3044" s="152"/>
      <c r="AN3044" s="152"/>
      <c r="AO3044" s="152"/>
      <c r="AP3044" s="152"/>
      <c r="AQ3044" s="152"/>
      <c r="AR3044" s="152"/>
      <c r="AS3044" s="152"/>
      <c r="AT3044" s="152"/>
      <c r="AU3044" s="153"/>
      <c r="AV3044" s="479"/>
      <c r="AW3044" s="479"/>
      <c r="AX3044" s="442"/>
      <c r="AY3044" s="153"/>
      <c r="AZ3044" s="152"/>
      <c r="BA3044" s="152"/>
      <c r="BB3044" s="152"/>
      <c r="BC3044" s="152"/>
      <c r="BD3044" s="152"/>
      <c r="BE3044" s="152"/>
      <c r="BF3044" s="152"/>
      <c r="BG3044" s="152"/>
      <c r="BH3044" s="152"/>
      <c r="BI3044" s="153"/>
      <c r="BJ3044" s="153"/>
      <c r="BK3044" s="153"/>
      <c r="BL3044" s="153"/>
      <c r="BM3044" s="153"/>
      <c r="BN3044" s="153"/>
      <c r="BO3044" s="153"/>
      <c r="BP3044" s="153"/>
      <c r="BQ3044" s="153"/>
      <c r="BR3044" s="153"/>
      <c r="BS3044" s="153"/>
      <c r="BT3044" s="153"/>
      <c r="BU3044" s="153"/>
      <c r="BV3044" s="153"/>
      <c r="BW3044" s="153"/>
      <c r="BX3044" s="153"/>
      <c r="BY3044" s="153"/>
      <c r="BZ3044" s="153"/>
      <c r="CA3044" s="152"/>
      <c r="CB3044" s="152"/>
    </row>
    <row r="3045" spans="1:80" s="87" customFormat="1" ht="16.5" x14ac:dyDescent="0.3">
      <c r="A3045" s="152"/>
      <c r="B3045" s="683"/>
      <c r="C3045" s="683"/>
      <c r="D3045" s="698"/>
      <c r="E3045" s="215"/>
      <c r="F3045" s="215"/>
      <c r="G3045" s="153"/>
      <c r="H3045" s="153"/>
      <c r="I3045" s="317">
        <v>23</v>
      </c>
      <c r="J3045" s="317">
        <v>30</v>
      </c>
      <c r="K3045" s="168">
        <v>1</v>
      </c>
      <c r="L3045" s="642">
        <v>11.5</v>
      </c>
      <c r="M3045" s="663">
        <v>34487</v>
      </c>
      <c r="N3045" s="600">
        <v>5.1529100000000003</v>
      </c>
      <c r="O3045" s="604">
        <v>8.7010000000000004E-3</v>
      </c>
      <c r="P3045" s="150"/>
      <c r="Q3045" s="250"/>
      <c r="R3045" s="250"/>
      <c r="S3045" s="250"/>
      <c r="T3045" s="250">
        <v>0.1124</v>
      </c>
      <c r="U3045" s="250">
        <v>0.41460000000000002</v>
      </c>
      <c r="V3045" s="250">
        <v>0.37651515151515158</v>
      </c>
      <c r="W3045" s="250">
        <v>8.4595959595959586E-2</v>
      </c>
      <c r="X3045" s="250">
        <v>1.1363636363636362E-2</v>
      </c>
      <c r="Y3045" s="250">
        <v>5.0505050505050505E-4</v>
      </c>
      <c r="Z3045" s="150">
        <v>6.3</v>
      </c>
      <c r="AA3045" s="150">
        <v>2.08</v>
      </c>
      <c r="AB3045" s="152"/>
      <c r="AC3045" s="152"/>
      <c r="AD3045" s="223">
        <v>11.551541</v>
      </c>
      <c r="AE3045" s="223">
        <v>0.4815682</v>
      </c>
      <c r="AF3045" s="223">
        <v>5.5663507159999996</v>
      </c>
      <c r="AG3045" s="223">
        <v>0.91741790000000001</v>
      </c>
      <c r="AH3045" s="341"/>
      <c r="AI3045" s="218"/>
      <c r="AJ3045" s="218"/>
      <c r="AK3045" s="153"/>
      <c r="AL3045" s="152"/>
      <c r="AM3045" s="152"/>
      <c r="AN3045" s="152"/>
      <c r="AO3045" s="152"/>
      <c r="AP3045" s="152"/>
      <c r="AQ3045" s="152"/>
      <c r="AR3045" s="152"/>
      <c r="AS3045" s="152"/>
      <c r="AT3045" s="152"/>
      <c r="AU3045" s="153"/>
      <c r="AV3045" s="479"/>
      <c r="AW3045" s="479"/>
      <c r="AX3045" s="442"/>
      <c r="AY3045" s="153"/>
      <c r="AZ3045" s="152"/>
      <c r="BA3045" s="152"/>
      <c r="BB3045" s="152"/>
      <c r="BC3045" s="152"/>
      <c r="BD3045" s="152"/>
      <c r="BE3045" s="152"/>
      <c r="BF3045" s="152"/>
      <c r="BG3045" s="152"/>
      <c r="BH3045" s="152"/>
      <c r="BI3045" s="153"/>
      <c r="BJ3045" s="153"/>
      <c r="BK3045" s="153"/>
      <c r="BL3045" s="153"/>
      <c r="BM3045" s="153"/>
      <c r="BN3045" s="153"/>
      <c r="BO3045" s="153"/>
      <c r="BP3045" s="153"/>
      <c r="BQ3045" s="153"/>
      <c r="BR3045" s="153"/>
      <c r="BS3045" s="153"/>
      <c r="BT3045" s="153"/>
      <c r="BU3045" s="153"/>
      <c r="BV3045" s="153"/>
      <c r="BW3045" s="153"/>
      <c r="BX3045" s="153"/>
      <c r="BY3045" s="153"/>
      <c r="BZ3045" s="153"/>
      <c r="CA3045" s="152"/>
      <c r="CB3045" s="152"/>
    </row>
    <row r="3046" spans="1:80" s="87" customFormat="1" ht="16.5" x14ac:dyDescent="0.3">
      <c r="A3046" s="152"/>
      <c r="B3046" s="683"/>
      <c r="C3046" s="683"/>
      <c r="D3046" s="698"/>
      <c r="E3046" s="215"/>
      <c r="F3046" s="215"/>
      <c r="G3046" s="153"/>
      <c r="H3046" s="153"/>
      <c r="I3046" s="317">
        <v>22</v>
      </c>
      <c r="J3046" s="317">
        <v>30</v>
      </c>
      <c r="K3046" s="168">
        <v>1</v>
      </c>
      <c r="L3046" s="642">
        <v>11</v>
      </c>
      <c r="M3046" s="663">
        <v>34488</v>
      </c>
      <c r="N3046" s="600">
        <v>4.6715999999999998</v>
      </c>
      <c r="O3046" s="604">
        <v>3.81E-3</v>
      </c>
      <c r="P3046" s="150"/>
      <c r="Q3046" s="250"/>
      <c r="R3046" s="250"/>
      <c r="S3046" s="250"/>
      <c r="T3046" s="250">
        <v>8.9800000000000005E-2</v>
      </c>
      <c r="U3046" s="250">
        <v>0.17899999999999999</v>
      </c>
      <c r="V3046" s="250">
        <v>0.41350210970464135</v>
      </c>
      <c r="W3046" s="250">
        <v>0.25858951175406875</v>
      </c>
      <c r="X3046" s="250">
        <v>5.7263411693791434E-2</v>
      </c>
      <c r="Y3046" s="250">
        <v>1.8083182640144665E-3</v>
      </c>
      <c r="Z3046" s="150">
        <v>7</v>
      </c>
      <c r="AA3046" s="150">
        <v>1.32</v>
      </c>
      <c r="AB3046" s="152"/>
      <c r="AC3046" s="152"/>
      <c r="AD3046" s="223">
        <v>11.551541</v>
      </c>
      <c r="AE3046" s="223">
        <v>0.45413710000000002</v>
      </c>
      <c r="AF3046" s="223">
        <v>5.2450778009999999</v>
      </c>
      <c r="AG3046" s="223">
        <v>0.88998679999999997</v>
      </c>
      <c r="AH3046" s="341"/>
      <c r="AI3046" s="218"/>
      <c r="AJ3046" s="218"/>
      <c r="AK3046" s="153"/>
      <c r="AL3046" s="152"/>
      <c r="AM3046" s="152"/>
      <c r="AN3046" s="152"/>
      <c r="AO3046" s="152"/>
      <c r="AP3046" s="152"/>
      <c r="AQ3046" s="152"/>
      <c r="AR3046" s="152"/>
      <c r="AS3046" s="152"/>
      <c r="AT3046" s="152"/>
      <c r="AU3046" s="153"/>
      <c r="AV3046" s="479"/>
      <c r="AW3046" s="479"/>
      <c r="AX3046" s="442"/>
      <c r="AY3046" s="153"/>
      <c r="AZ3046" s="152"/>
      <c r="BA3046" s="152"/>
      <c r="BB3046" s="152"/>
      <c r="BC3046" s="152"/>
      <c r="BD3046" s="152"/>
      <c r="BE3046" s="152"/>
      <c r="BF3046" s="152"/>
      <c r="BG3046" s="152"/>
      <c r="BH3046" s="152"/>
      <c r="BI3046" s="153"/>
      <c r="BJ3046" s="153"/>
      <c r="BK3046" s="153"/>
      <c r="BL3046" s="153"/>
      <c r="BM3046" s="153"/>
      <c r="BN3046" s="153"/>
      <c r="BO3046" s="153"/>
      <c r="BP3046" s="153"/>
      <c r="BQ3046" s="153"/>
      <c r="BR3046" s="153"/>
      <c r="BS3046" s="153"/>
      <c r="BT3046" s="153"/>
      <c r="BU3046" s="153"/>
      <c r="BV3046" s="153"/>
      <c r="BW3046" s="153"/>
      <c r="BX3046" s="153"/>
      <c r="BY3046" s="153"/>
      <c r="BZ3046" s="153"/>
      <c r="CA3046" s="152"/>
      <c r="CB3046" s="152"/>
    </row>
    <row r="3047" spans="1:80" s="87" customFormat="1" ht="16.5" x14ac:dyDescent="0.3">
      <c r="A3047" s="152"/>
      <c r="B3047" s="683"/>
      <c r="C3047" s="683"/>
      <c r="D3047" s="698"/>
      <c r="E3047" s="215"/>
      <c r="F3047" s="215"/>
      <c r="G3047" s="153"/>
      <c r="H3047" s="153"/>
      <c r="I3047" s="317">
        <v>22</v>
      </c>
      <c r="J3047" s="317">
        <v>30</v>
      </c>
      <c r="K3047" s="168">
        <v>1</v>
      </c>
      <c r="L3047" s="642">
        <v>11</v>
      </c>
      <c r="M3047" s="663">
        <v>34488</v>
      </c>
      <c r="N3047" s="600">
        <v>4.6715999999999998</v>
      </c>
      <c r="O3047" s="604">
        <v>8.1449999999999995E-3</v>
      </c>
      <c r="P3047" s="150"/>
      <c r="Q3047" s="250"/>
      <c r="R3047" s="250"/>
      <c r="S3047" s="250">
        <v>6.5199999999999994E-2</v>
      </c>
      <c r="T3047" s="250">
        <v>4.8000000000000001E-2</v>
      </c>
      <c r="U3047" s="250">
        <v>0.18840000000000001</v>
      </c>
      <c r="V3047" s="250">
        <v>0.34481784806551813</v>
      </c>
      <c r="W3047" s="250">
        <v>0.22818412877718156</v>
      </c>
      <c r="X3047" s="250">
        <v>0.11578650098842132</v>
      </c>
      <c r="Y3047" s="250">
        <v>9.6018073990398172E-3</v>
      </c>
      <c r="Z3047" s="150">
        <v>9.3000000000000007</v>
      </c>
      <c r="AA3047" s="150">
        <v>1.32</v>
      </c>
      <c r="AB3047" s="152"/>
      <c r="AC3047" s="152"/>
      <c r="AD3047" s="223">
        <v>11.551541</v>
      </c>
      <c r="AE3047" s="223">
        <v>0.45413710000000002</v>
      </c>
      <c r="AF3047" s="223">
        <v>5.2450778009999999</v>
      </c>
      <c r="AG3047" s="223">
        <v>0.88998679999999997</v>
      </c>
      <c r="AH3047" s="341"/>
      <c r="AI3047" s="218"/>
      <c r="AJ3047" s="218"/>
      <c r="AK3047" s="153"/>
      <c r="AL3047" s="152"/>
      <c r="AM3047" s="152"/>
      <c r="AN3047" s="152"/>
      <c r="AO3047" s="152"/>
      <c r="AP3047" s="152"/>
      <c r="AQ3047" s="152"/>
      <c r="AR3047" s="152"/>
      <c r="AS3047" s="152"/>
      <c r="AT3047" s="152"/>
      <c r="AU3047" s="153"/>
      <c r="AV3047" s="479"/>
      <c r="AW3047" s="479"/>
      <c r="AX3047" s="442"/>
      <c r="AY3047" s="153"/>
      <c r="AZ3047" s="152"/>
      <c r="BA3047" s="152"/>
      <c r="BB3047" s="152"/>
      <c r="BC3047" s="152"/>
      <c r="BD3047" s="152"/>
      <c r="BE3047" s="152"/>
      <c r="BF3047" s="152"/>
      <c r="BG3047" s="152"/>
      <c r="BH3047" s="152"/>
      <c r="BI3047" s="153"/>
      <c r="BJ3047" s="153"/>
      <c r="BK3047" s="153"/>
      <c r="BL3047" s="153"/>
      <c r="BM3047" s="153"/>
      <c r="BN3047" s="153"/>
      <c r="BO3047" s="153"/>
      <c r="BP3047" s="153"/>
      <c r="BQ3047" s="153"/>
      <c r="BR3047" s="153"/>
      <c r="BS3047" s="153"/>
      <c r="BT3047" s="153"/>
      <c r="BU3047" s="153"/>
      <c r="BV3047" s="153"/>
      <c r="BW3047" s="153"/>
      <c r="BX3047" s="153"/>
      <c r="BY3047" s="153"/>
      <c r="BZ3047" s="153"/>
      <c r="CA3047" s="152"/>
      <c r="CB3047" s="152"/>
    </row>
    <row r="3048" spans="1:80" s="87" customFormat="1" ht="16.5" x14ac:dyDescent="0.3">
      <c r="A3048" s="152"/>
      <c r="B3048" s="683"/>
      <c r="C3048" s="683"/>
      <c r="D3048" s="698"/>
      <c r="E3048" s="215"/>
      <c r="F3048" s="215"/>
      <c r="G3048" s="153"/>
      <c r="H3048" s="153"/>
      <c r="I3048" s="317">
        <v>22</v>
      </c>
      <c r="J3048" s="317">
        <v>30</v>
      </c>
      <c r="K3048" s="168">
        <v>1</v>
      </c>
      <c r="L3048" s="642">
        <v>11</v>
      </c>
      <c r="M3048" s="663">
        <v>34490</v>
      </c>
      <c r="N3048" s="600">
        <v>4.3318399999999997</v>
      </c>
      <c r="O3048" s="604">
        <v>5.7520000000000002E-3</v>
      </c>
      <c r="P3048" s="150"/>
      <c r="Q3048" s="250"/>
      <c r="R3048" s="250"/>
      <c r="S3048" s="250">
        <v>0.14980000000000002</v>
      </c>
      <c r="T3048" s="250">
        <v>0.1072</v>
      </c>
      <c r="U3048" s="250">
        <v>0.2404</v>
      </c>
      <c r="V3048" s="250">
        <v>0.37434023548518069</v>
      </c>
      <c r="W3048" s="250">
        <v>0.11530653674380838</v>
      </c>
      <c r="X3048" s="250">
        <v>1.2180267965895251E-2</v>
      </c>
      <c r="Y3048" s="250">
        <v>8.1201786439301675E-4</v>
      </c>
      <c r="Z3048" s="150">
        <v>15.2</v>
      </c>
      <c r="AA3048" s="150">
        <v>1.99</v>
      </c>
      <c r="AB3048" s="152"/>
      <c r="AC3048" s="152"/>
      <c r="AD3048" s="223">
        <v>11.703936000000001</v>
      </c>
      <c r="AE3048" s="223">
        <v>0.46328079999999999</v>
      </c>
      <c r="AF3048" s="223">
        <v>5.434319447</v>
      </c>
      <c r="AG3048" s="223">
        <v>0.7467355</v>
      </c>
      <c r="AH3048" s="341"/>
      <c r="AI3048" s="218"/>
      <c r="AJ3048" s="218"/>
      <c r="AK3048" s="153"/>
      <c r="AL3048" s="152"/>
      <c r="AM3048" s="152"/>
      <c r="AN3048" s="152"/>
      <c r="AO3048" s="152"/>
      <c r="AP3048" s="152"/>
      <c r="AQ3048" s="152"/>
      <c r="AR3048" s="152"/>
      <c r="AS3048" s="152"/>
      <c r="AT3048" s="152"/>
      <c r="AU3048" s="153"/>
      <c r="AV3048" s="479"/>
      <c r="AW3048" s="479"/>
      <c r="AX3048" s="442"/>
      <c r="AY3048" s="153"/>
      <c r="AZ3048" s="152"/>
      <c r="BA3048" s="152"/>
      <c r="BB3048" s="152"/>
      <c r="BC3048" s="152"/>
      <c r="BD3048" s="152"/>
      <c r="BE3048" s="152"/>
      <c r="BF3048" s="152"/>
      <c r="BG3048" s="152"/>
      <c r="BH3048" s="152"/>
      <c r="BI3048" s="153"/>
      <c r="BJ3048" s="153"/>
      <c r="BK3048" s="153"/>
      <c r="BL3048" s="153"/>
      <c r="BM3048" s="153"/>
      <c r="BN3048" s="153"/>
      <c r="BO3048" s="153"/>
      <c r="BP3048" s="153"/>
      <c r="BQ3048" s="153"/>
      <c r="BR3048" s="153"/>
      <c r="BS3048" s="153"/>
      <c r="BT3048" s="153"/>
      <c r="BU3048" s="153"/>
      <c r="BV3048" s="153"/>
      <c r="BW3048" s="153"/>
      <c r="BX3048" s="153"/>
      <c r="BY3048" s="153"/>
      <c r="BZ3048" s="153"/>
      <c r="CA3048" s="152"/>
      <c r="CB3048" s="152"/>
    </row>
    <row r="3049" spans="1:80" s="87" customFormat="1" ht="16.5" x14ac:dyDescent="0.3">
      <c r="A3049" s="152"/>
      <c r="B3049" s="683"/>
      <c r="C3049" s="683"/>
      <c r="D3049" s="698"/>
      <c r="E3049" s="215"/>
      <c r="F3049" s="215"/>
      <c r="G3049" s="153"/>
      <c r="H3049" s="153"/>
      <c r="I3049" s="317">
        <v>22</v>
      </c>
      <c r="J3049" s="317">
        <v>30</v>
      </c>
      <c r="K3049" s="168">
        <v>1</v>
      </c>
      <c r="L3049" s="642">
        <v>11</v>
      </c>
      <c r="M3049" s="663">
        <v>34490</v>
      </c>
      <c r="N3049" s="600">
        <v>4.3318399999999997</v>
      </c>
      <c r="O3049" s="604">
        <v>1.2279999999999999E-3</v>
      </c>
      <c r="P3049" s="150"/>
      <c r="Q3049" s="250"/>
      <c r="R3049" s="250"/>
      <c r="S3049" s="250"/>
      <c r="T3049" s="250">
        <v>0.1648</v>
      </c>
      <c r="U3049" s="250">
        <v>0.20600000000000002</v>
      </c>
      <c r="V3049" s="250">
        <v>0.34269662921348315</v>
      </c>
      <c r="W3049" s="250">
        <v>0.23220973782771537</v>
      </c>
      <c r="X3049" s="250">
        <v>5.4307116104868915E-2</v>
      </c>
      <c r="Y3049" s="250">
        <v>0</v>
      </c>
      <c r="Z3049" s="150">
        <v>7.5</v>
      </c>
      <c r="AA3049" s="150">
        <v>1.5</v>
      </c>
      <c r="AB3049" s="152"/>
      <c r="AC3049" s="152"/>
      <c r="AD3049" s="223">
        <v>11.703936000000001</v>
      </c>
      <c r="AE3049" s="223">
        <v>0.46328079999999999</v>
      </c>
      <c r="AF3049" s="223">
        <v>5.434319447</v>
      </c>
      <c r="AG3049" s="223">
        <v>0.7467355</v>
      </c>
      <c r="AH3049" s="341"/>
      <c r="AI3049" s="218"/>
      <c r="AJ3049" s="218"/>
      <c r="AK3049" s="153"/>
      <c r="AL3049" s="152"/>
      <c r="AM3049" s="152"/>
      <c r="AN3049" s="152"/>
      <c r="AO3049" s="152"/>
      <c r="AP3049" s="152"/>
      <c r="AQ3049" s="152"/>
      <c r="AR3049" s="152"/>
      <c r="AS3049" s="152"/>
      <c r="AT3049" s="152"/>
      <c r="AU3049" s="153"/>
      <c r="AV3049" s="479"/>
      <c r="AW3049" s="479"/>
      <c r="AX3049" s="442"/>
      <c r="AY3049" s="153"/>
      <c r="AZ3049" s="152"/>
      <c r="BA3049" s="152"/>
      <c r="BB3049" s="152"/>
      <c r="BC3049" s="152"/>
      <c r="BD3049" s="152"/>
      <c r="BE3049" s="152"/>
      <c r="BF3049" s="152"/>
      <c r="BG3049" s="152"/>
      <c r="BH3049" s="152"/>
      <c r="BI3049" s="153"/>
      <c r="BJ3049" s="153"/>
      <c r="BK3049" s="153"/>
      <c r="BL3049" s="153"/>
      <c r="BM3049" s="153"/>
      <c r="BN3049" s="153"/>
      <c r="BO3049" s="153"/>
      <c r="BP3049" s="153"/>
      <c r="BQ3049" s="153"/>
      <c r="BR3049" s="153"/>
      <c r="BS3049" s="153"/>
      <c r="BT3049" s="153"/>
      <c r="BU3049" s="153"/>
      <c r="BV3049" s="153"/>
      <c r="BW3049" s="153"/>
      <c r="BX3049" s="153"/>
      <c r="BY3049" s="153"/>
      <c r="BZ3049" s="153"/>
      <c r="CA3049" s="152"/>
      <c r="CB3049" s="152"/>
    </row>
    <row r="3050" spans="1:80" s="87" customFormat="1" ht="16.5" x14ac:dyDescent="0.3">
      <c r="A3050" s="152"/>
      <c r="B3050" s="683"/>
      <c r="C3050" s="683"/>
      <c r="D3050" s="698"/>
      <c r="E3050" s="215"/>
      <c r="F3050" s="215"/>
      <c r="G3050" s="153"/>
      <c r="H3050" s="153"/>
      <c r="I3050" s="317">
        <v>21</v>
      </c>
      <c r="J3050" s="317">
        <v>30</v>
      </c>
      <c r="K3050" s="168">
        <v>1</v>
      </c>
      <c r="L3050" s="642">
        <v>10.5</v>
      </c>
      <c r="M3050" s="663">
        <v>34494</v>
      </c>
      <c r="N3050" s="600">
        <v>3.3692099999999998</v>
      </c>
      <c r="O3050" s="604">
        <v>2.33E-3</v>
      </c>
      <c r="P3050" s="150"/>
      <c r="Q3050" s="250"/>
      <c r="R3050" s="250"/>
      <c r="S3050" s="250"/>
      <c r="T3050" s="250">
        <v>8.2299999999999998E-2</v>
      </c>
      <c r="U3050" s="250">
        <v>0.20079999999999998</v>
      </c>
      <c r="V3050" s="250">
        <v>0.47389558232931728</v>
      </c>
      <c r="W3050" s="250">
        <v>0.22289156626506026</v>
      </c>
      <c r="X3050" s="250">
        <v>1.6064257028112448E-2</v>
      </c>
      <c r="Y3050" s="250">
        <v>4.0160642570281129E-3</v>
      </c>
      <c r="Z3050" s="150">
        <v>5.5</v>
      </c>
      <c r="AA3050" s="150">
        <v>1.42</v>
      </c>
      <c r="AB3050" s="152"/>
      <c r="AC3050" s="152"/>
      <c r="AD3050" s="223">
        <v>11.094355999999999</v>
      </c>
      <c r="AE3050" s="223">
        <v>0.41146650000000001</v>
      </c>
      <c r="AF3050" s="223">
        <v>4.5813993540000002</v>
      </c>
      <c r="AG3050" s="223">
        <v>0.70406489999999999</v>
      </c>
      <c r="AH3050" s="341"/>
      <c r="AI3050" s="218"/>
      <c r="AJ3050" s="218"/>
      <c r="AK3050" s="153"/>
      <c r="AL3050" s="152"/>
      <c r="AM3050" s="152"/>
      <c r="AN3050" s="152"/>
      <c r="AO3050" s="152"/>
      <c r="AP3050" s="152"/>
      <c r="AQ3050" s="152"/>
      <c r="AR3050" s="152"/>
      <c r="AS3050" s="152"/>
      <c r="AT3050" s="152"/>
      <c r="AU3050" s="153"/>
      <c r="AV3050" s="479"/>
      <c r="AW3050" s="479"/>
      <c r="AX3050" s="442"/>
      <c r="AY3050" s="153"/>
      <c r="AZ3050" s="152"/>
      <c r="BA3050" s="152"/>
      <c r="BB3050" s="152"/>
      <c r="BC3050" s="152"/>
      <c r="BD3050" s="152"/>
      <c r="BE3050" s="152"/>
      <c r="BF3050" s="152"/>
      <c r="BG3050" s="152"/>
      <c r="BH3050" s="152"/>
      <c r="BI3050" s="153"/>
      <c r="BJ3050" s="153"/>
      <c r="BK3050" s="153"/>
      <c r="BL3050" s="153"/>
      <c r="BM3050" s="153"/>
      <c r="BN3050" s="153"/>
      <c r="BO3050" s="153"/>
      <c r="BP3050" s="153"/>
      <c r="BQ3050" s="153"/>
      <c r="BR3050" s="153"/>
      <c r="BS3050" s="153"/>
      <c r="BT3050" s="153"/>
      <c r="BU3050" s="153"/>
      <c r="BV3050" s="153"/>
      <c r="BW3050" s="153"/>
      <c r="BX3050" s="153"/>
      <c r="BY3050" s="153"/>
      <c r="BZ3050" s="153"/>
      <c r="CA3050" s="152"/>
      <c r="CB3050" s="152"/>
    </row>
    <row r="3051" spans="1:80" s="87" customFormat="1" ht="16.5" x14ac:dyDescent="0.3">
      <c r="A3051" s="152"/>
      <c r="B3051" s="683"/>
      <c r="C3051" s="683"/>
      <c r="D3051" s="698"/>
      <c r="E3051" s="215"/>
      <c r="F3051" s="215"/>
      <c r="G3051" s="153"/>
      <c r="H3051" s="153"/>
      <c r="I3051" s="317">
        <v>21</v>
      </c>
      <c r="J3051" s="317">
        <v>30</v>
      </c>
      <c r="K3051" s="168">
        <v>1</v>
      </c>
      <c r="L3051" s="642">
        <v>10.5</v>
      </c>
      <c r="M3051" s="663">
        <v>34494</v>
      </c>
      <c r="N3051" s="600">
        <v>3.3692099999999998</v>
      </c>
      <c r="O3051" s="604">
        <v>6.7699999999999998E-4</v>
      </c>
      <c r="P3051" s="150"/>
      <c r="Q3051" s="250"/>
      <c r="R3051" s="250"/>
      <c r="S3051" s="250"/>
      <c r="T3051" s="250">
        <v>3.1099999999999999E-2</v>
      </c>
      <c r="U3051" s="250">
        <v>0.25950000000000001</v>
      </c>
      <c r="V3051" s="250">
        <v>0.49480968858131491</v>
      </c>
      <c r="W3051" s="250">
        <v>0.20069204152249134</v>
      </c>
      <c r="X3051" s="250">
        <v>1.0380622837370243E-2</v>
      </c>
      <c r="Y3051" s="250">
        <v>3.4602076124567475E-3</v>
      </c>
      <c r="Z3051" s="150">
        <v>4.9000000000000004</v>
      </c>
      <c r="AA3051" s="150">
        <v>1.47</v>
      </c>
      <c r="AB3051" s="152"/>
      <c r="AC3051" s="152"/>
      <c r="AD3051" s="223">
        <v>11.094355999999999</v>
      </c>
      <c r="AE3051" s="223">
        <v>0.41146650000000001</v>
      </c>
      <c r="AF3051" s="223">
        <v>4.5813993540000002</v>
      </c>
      <c r="AG3051" s="223">
        <v>0.70406489999999999</v>
      </c>
      <c r="AH3051" s="341"/>
      <c r="AI3051" s="218"/>
      <c r="AJ3051" s="218"/>
      <c r="AK3051" s="153"/>
      <c r="AL3051" s="152"/>
      <c r="AM3051" s="152"/>
      <c r="AN3051" s="152"/>
      <c r="AO3051" s="152"/>
      <c r="AP3051" s="152"/>
      <c r="AQ3051" s="152"/>
      <c r="AR3051" s="152"/>
      <c r="AS3051" s="152"/>
      <c r="AT3051" s="152"/>
      <c r="AU3051" s="153"/>
      <c r="AV3051" s="479"/>
      <c r="AW3051" s="479"/>
      <c r="AX3051" s="442"/>
      <c r="AY3051" s="153"/>
      <c r="AZ3051" s="152"/>
      <c r="BA3051" s="152"/>
      <c r="BB3051" s="152"/>
      <c r="BC3051" s="152"/>
      <c r="BD3051" s="152"/>
      <c r="BE3051" s="152"/>
      <c r="BF3051" s="152"/>
      <c r="BG3051" s="152"/>
      <c r="BH3051" s="152"/>
      <c r="BI3051" s="153"/>
      <c r="BJ3051" s="153"/>
      <c r="BK3051" s="153"/>
      <c r="BL3051" s="153"/>
      <c r="BM3051" s="153"/>
      <c r="BN3051" s="153"/>
      <c r="BO3051" s="153"/>
      <c r="BP3051" s="153"/>
      <c r="BQ3051" s="153"/>
      <c r="BR3051" s="153"/>
      <c r="BS3051" s="153"/>
      <c r="BT3051" s="153"/>
      <c r="BU3051" s="153"/>
      <c r="BV3051" s="153"/>
      <c r="BW3051" s="153"/>
      <c r="BX3051" s="153"/>
      <c r="BY3051" s="153"/>
      <c r="BZ3051" s="153"/>
      <c r="CA3051" s="152"/>
      <c r="CB3051" s="152"/>
    </row>
    <row r="3052" spans="1:80" s="87" customFormat="1" ht="16.5" x14ac:dyDescent="0.3">
      <c r="A3052" s="152"/>
      <c r="B3052" s="683"/>
      <c r="C3052" s="683"/>
      <c r="D3052" s="698"/>
      <c r="E3052" s="215"/>
      <c r="F3052" s="215"/>
      <c r="G3052" s="153"/>
      <c r="H3052" s="153"/>
      <c r="I3052" s="317">
        <v>21</v>
      </c>
      <c r="J3052" s="317">
        <v>30</v>
      </c>
      <c r="K3052" s="168">
        <v>1</v>
      </c>
      <c r="L3052" s="642">
        <v>10.5</v>
      </c>
      <c r="M3052" s="663">
        <v>34496</v>
      </c>
      <c r="N3052" s="600">
        <v>2.7265100000000002</v>
      </c>
      <c r="O3052" s="604">
        <v>6.8900000000000005E-4</v>
      </c>
      <c r="P3052" s="150"/>
      <c r="Q3052" s="250"/>
      <c r="R3052" s="250"/>
      <c r="S3052" s="250"/>
      <c r="T3052" s="250"/>
      <c r="U3052" s="250">
        <v>0.23699999999999999</v>
      </c>
      <c r="V3052" s="250">
        <v>0.43181818181818188</v>
      </c>
      <c r="W3052" s="250">
        <v>0.27272727272727276</v>
      </c>
      <c r="X3052" s="250">
        <v>5.5194805194805206E-2</v>
      </c>
      <c r="Y3052" s="250">
        <v>3.2467532467532474E-3</v>
      </c>
      <c r="Z3052" s="150">
        <v>4</v>
      </c>
      <c r="AA3052" s="150">
        <v>1.27</v>
      </c>
      <c r="AB3052" s="152"/>
      <c r="AC3052" s="152"/>
      <c r="AD3052" s="223">
        <v>10.698129</v>
      </c>
      <c r="AE3052" s="223">
        <v>0.40537069999999997</v>
      </c>
      <c r="AF3052" s="223">
        <v>4.3308540769999997</v>
      </c>
      <c r="AG3052" s="223">
        <v>0.60653210000000002</v>
      </c>
      <c r="AH3052" s="341"/>
      <c r="AI3052" s="218"/>
      <c r="AJ3052" s="218"/>
      <c r="AK3052" s="153"/>
      <c r="AL3052" s="152"/>
      <c r="AM3052" s="152"/>
      <c r="AN3052" s="152"/>
      <c r="AO3052" s="152"/>
      <c r="AP3052" s="152"/>
      <c r="AQ3052" s="152"/>
      <c r="AR3052" s="152"/>
      <c r="AS3052" s="152"/>
      <c r="AT3052" s="152"/>
      <c r="AU3052" s="153"/>
      <c r="AV3052" s="479"/>
      <c r="AW3052" s="479"/>
      <c r="AX3052" s="442"/>
      <c r="AY3052" s="153"/>
      <c r="AZ3052" s="152"/>
      <c r="BA3052" s="152"/>
      <c r="BB3052" s="152"/>
      <c r="BC3052" s="152"/>
      <c r="BD3052" s="152"/>
      <c r="BE3052" s="152"/>
      <c r="BF3052" s="152"/>
      <c r="BG3052" s="152"/>
      <c r="BH3052" s="152"/>
      <c r="BI3052" s="153"/>
      <c r="BJ3052" s="153"/>
      <c r="BK3052" s="153"/>
      <c r="BL3052" s="153"/>
      <c r="BM3052" s="153"/>
      <c r="BN3052" s="153"/>
      <c r="BO3052" s="153"/>
      <c r="BP3052" s="153"/>
      <c r="BQ3052" s="153"/>
      <c r="BR3052" s="153"/>
      <c r="BS3052" s="153"/>
      <c r="BT3052" s="153"/>
      <c r="BU3052" s="153"/>
      <c r="BV3052" s="153"/>
      <c r="BW3052" s="153"/>
      <c r="BX3052" s="153"/>
      <c r="BY3052" s="153"/>
      <c r="BZ3052" s="153"/>
      <c r="CA3052" s="152"/>
      <c r="CB3052" s="152"/>
    </row>
    <row r="3053" spans="1:80" s="87" customFormat="1" ht="16.5" x14ac:dyDescent="0.3">
      <c r="A3053" s="152"/>
      <c r="B3053" s="683"/>
      <c r="C3053" s="683"/>
      <c r="D3053" s="698"/>
      <c r="E3053" s="215"/>
      <c r="F3053" s="215"/>
      <c r="G3053" s="153"/>
      <c r="H3053" s="153"/>
      <c r="I3053" s="317">
        <v>21</v>
      </c>
      <c r="J3053" s="317">
        <v>30</v>
      </c>
      <c r="K3053" s="168">
        <v>1</v>
      </c>
      <c r="L3053" s="642">
        <v>10.5</v>
      </c>
      <c r="M3053" s="663">
        <v>34496</v>
      </c>
      <c r="N3053" s="600">
        <v>2.7265100000000002</v>
      </c>
      <c r="O3053" s="604">
        <v>5.22E-4</v>
      </c>
      <c r="P3053" s="150"/>
      <c r="Q3053" s="250"/>
      <c r="R3053" s="250"/>
      <c r="S3053" s="250"/>
      <c r="T3053" s="250">
        <v>5.5800000000000002E-2</v>
      </c>
      <c r="U3053" s="250">
        <v>0.1159</v>
      </c>
      <c r="V3053" s="250">
        <v>0.31330472103004292</v>
      </c>
      <c r="W3053" s="250">
        <v>0.33905579399141628</v>
      </c>
      <c r="X3053" s="250">
        <v>0.17167381974248927</v>
      </c>
      <c r="Y3053" s="250">
        <v>4.2918454935622317E-3</v>
      </c>
      <c r="Z3053" s="150">
        <v>4.0999999999999996</v>
      </c>
      <c r="AA3053" s="150">
        <v>0.97</v>
      </c>
      <c r="AB3053" s="152"/>
      <c r="AC3053" s="152"/>
      <c r="AD3053" s="223">
        <v>10.698129</v>
      </c>
      <c r="AE3053" s="223">
        <v>0.40537069999999997</v>
      </c>
      <c r="AF3053" s="223">
        <v>4.3308540769999997</v>
      </c>
      <c r="AG3053" s="223">
        <v>0.60653210000000002</v>
      </c>
      <c r="AH3053" s="341"/>
      <c r="AI3053" s="218"/>
      <c r="AJ3053" s="218"/>
      <c r="AK3053" s="153"/>
      <c r="AL3053" s="152"/>
      <c r="AM3053" s="152"/>
      <c r="AN3053" s="152"/>
      <c r="AO3053" s="152"/>
      <c r="AP3053" s="152"/>
      <c r="AQ3053" s="152"/>
      <c r="AR3053" s="152"/>
      <c r="AS3053" s="152"/>
      <c r="AT3053" s="152"/>
      <c r="AU3053" s="153"/>
      <c r="AV3053" s="479"/>
      <c r="AW3053" s="479"/>
      <c r="AX3053" s="442"/>
      <c r="AY3053" s="153"/>
      <c r="AZ3053" s="152"/>
      <c r="BA3053" s="152"/>
      <c r="BB3053" s="152"/>
      <c r="BC3053" s="152"/>
      <c r="BD3053" s="152"/>
      <c r="BE3053" s="152"/>
      <c r="BF3053" s="152"/>
      <c r="BG3053" s="152"/>
      <c r="BH3053" s="152"/>
      <c r="BI3053" s="153"/>
      <c r="BJ3053" s="153"/>
      <c r="BK3053" s="153"/>
      <c r="BL3053" s="153"/>
      <c r="BM3053" s="153"/>
      <c r="BN3053" s="153"/>
      <c r="BO3053" s="153"/>
      <c r="BP3053" s="153"/>
      <c r="BQ3053" s="153"/>
      <c r="BR3053" s="153"/>
      <c r="BS3053" s="153"/>
      <c r="BT3053" s="153"/>
      <c r="BU3053" s="153"/>
      <c r="BV3053" s="153"/>
      <c r="BW3053" s="153"/>
      <c r="BX3053" s="153"/>
      <c r="BY3053" s="153"/>
      <c r="BZ3053" s="153"/>
      <c r="CA3053" s="152"/>
      <c r="CB3053" s="152"/>
    </row>
    <row r="3054" spans="1:80" s="87" customFormat="1" ht="16.5" x14ac:dyDescent="0.3">
      <c r="A3054" s="152"/>
      <c r="B3054" s="683"/>
      <c r="C3054" s="683"/>
      <c r="D3054" s="698"/>
      <c r="E3054" s="215"/>
      <c r="F3054" s="215"/>
      <c r="G3054" s="153"/>
      <c r="H3054" s="153"/>
      <c r="I3054" s="317">
        <v>22</v>
      </c>
      <c r="J3054" s="317">
        <v>30</v>
      </c>
      <c r="K3054" s="168">
        <v>1</v>
      </c>
      <c r="L3054" s="642">
        <v>11</v>
      </c>
      <c r="M3054" s="663">
        <v>34498</v>
      </c>
      <c r="N3054" s="600">
        <v>2.7944599999999999</v>
      </c>
      <c r="O3054" s="604">
        <v>2.13E-4</v>
      </c>
      <c r="P3054" s="150"/>
      <c r="Q3054" s="250"/>
      <c r="R3054" s="250"/>
      <c r="S3054" s="250"/>
      <c r="T3054" s="250"/>
      <c r="U3054" s="250">
        <v>0.25530000000000003</v>
      </c>
      <c r="V3054" s="250">
        <v>0.64893617021276584</v>
      </c>
      <c r="W3054" s="250">
        <v>6.3829787234042548E-2</v>
      </c>
      <c r="X3054" s="250">
        <v>2.1276595744680851E-2</v>
      </c>
      <c r="Y3054" s="250">
        <v>1.0638297872340425E-2</v>
      </c>
      <c r="Z3054" s="150">
        <v>3.8</v>
      </c>
      <c r="AA3054" s="150">
        <v>1.6</v>
      </c>
      <c r="AB3054" s="152"/>
      <c r="AC3054" s="152"/>
      <c r="AD3054" s="223">
        <v>10.911481999999999</v>
      </c>
      <c r="AE3054" s="223">
        <v>0.39927489999999999</v>
      </c>
      <c r="AF3054" s="223">
        <v>4.3600780129999999</v>
      </c>
      <c r="AG3054" s="223">
        <v>0.69796910000000001</v>
      </c>
      <c r="AH3054" s="341"/>
      <c r="AI3054" s="218"/>
      <c r="AJ3054" s="218"/>
      <c r="AK3054" s="153"/>
      <c r="AL3054" s="152"/>
      <c r="AM3054" s="152"/>
      <c r="AN3054" s="152"/>
      <c r="AO3054" s="152"/>
      <c r="AP3054" s="152"/>
      <c r="AQ3054" s="152"/>
      <c r="AR3054" s="152"/>
      <c r="AS3054" s="152"/>
      <c r="AT3054" s="152"/>
      <c r="AU3054" s="153"/>
      <c r="AV3054" s="479"/>
      <c r="AW3054" s="479"/>
      <c r="AX3054" s="442"/>
      <c r="AY3054" s="153"/>
      <c r="AZ3054" s="152"/>
      <c r="BA3054" s="152"/>
      <c r="BB3054" s="152"/>
      <c r="BC3054" s="152"/>
      <c r="BD3054" s="152"/>
      <c r="BE3054" s="152"/>
      <c r="BF3054" s="152"/>
      <c r="BG3054" s="152"/>
      <c r="BH3054" s="152"/>
      <c r="BI3054" s="153"/>
      <c r="BJ3054" s="153"/>
      <c r="BK3054" s="153"/>
      <c r="BL3054" s="153"/>
      <c r="BM3054" s="153"/>
      <c r="BN3054" s="153"/>
      <c r="BO3054" s="153"/>
      <c r="BP3054" s="153"/>
      <c r="BQ3054" s="153"/>
      <c r="BR3054" s="153"/>
      <c r="BS3054" s="153"/>
      <c r="BT3054" s="153"/>
      <c r="BU3054" s="153"/>
      <c r="BV3054" s="153"/>
      <c r="BW3054" s="153"/>
      <c r="BX3054" s="153"/>
      <c r="BY3054" s="153"/>
      <c r="BZ3054" s="153"/>
      <c r="CA3054" s="152"/>
      <c r="CB3054" s="152"/>
    </row>
    <row r="3055" spans="1:80" s="87" customFormat="1" ht="16.5" x14ac:dyDescent="0.3">
      <c r="A3055" s="152"/>
      <c r="B3055" s="683"/>
      <c r="C3055" s="683"/>
      <c r="D3055" s="698"/>
      <c r="E3055" s="215"/>
      <c r="F3055" s="215"/>
      <c r="G3055" s="153"/>
      <c r="H3055" s="153"/>
      <c r="I3055" s="317">
        <v>22</v>
      </c>
      <c r="J3055" s="317">
        <v>30</v>
      </c>
      <c r="K3055" s="168">
        <v>1</v>
      </c>
      <c r="L3055" s="642">
        <v>11</v>
      </c>
      <c r="M3055" s="663">
        <v>34498</v>
      </c>
      <c r="N3055" s="600">
        <v>2.7944599999999999</v>
      </c>
      <c r="O3055" s="604">
        <v>5.6779999999999999E-3</v>
      </c>
      <c r="P3055" s="150"/>
      <c r="Q3055" s="250"/>
      <c r="R3055" s="250"/>
      <c r="S3055" s="250"/>
      <c r="T3055" s="250">
        <v>9.6199999999999994E-2</v>
      </c>
      <c r="U3055" s="250">
        <v>0.29389999999999999</v>
      </c>
      <c r="V3055" s="250">
        <v>0.47739463601532556</v>
      </c>
      <c r="W3055" s="250">
        <v>0.12337164750957852</v>
      </c>
      <c r="X3055" s="250">
        <v>8.8122605363984644E-3</v>
      </c>
      <c r="Y3055" s="250">
        <v>3.8314176245210718E-4</v>
      </c>
      <c r="Z3055" s="150">
        <v>7.6</v>
      </c>
      <c r="AA3055" s="150">
        <v>1.73</v>
      </c>
      <c r="AB3055" s="152"/>
      <c r="AC3055" s="152"/>
      <c r="AD3055" s="223">
        <v>10.911481999999999</v>
      </c>
      <c r="AE3055" s="223">
        <v>0.39927489999999999</v>
      </c>
      <c r="AF3055" s="223">
        <v>4.3600780129999999</v>
      </c>
      <c r="AG3055" s="223">
        <v>0.69796910000000001</v>
      </c>
      <c r="AH3055" s="341"/>
      <c r="AI3055" s="218"/>
      <c r="AJ3055" s="218"/>
      <c r="AK3055" s="153"/>
      <c r="AL3055" s="152"/>
      <c r="AM3055" s="152"/>
      <c r="AN3055" s="152"/>
      <c r="AO3055" s="152"/>
      <c r="AP3055" s="152"/>
      <c r="AQ3055" s="152"/>
      <c r="AR3055" s="152"/>
      <c r="AS3055" s="152"/>
      <c r="AT3055" s="152"/>
      <c r="AU3055" s="153"/>
      <c r="AV3055" s="479"/>
      <c r="AW3055" s="479"/>
      <c r="AX3055" s="442"/>
      <c r="AY3055" s="153"/>
      <c r="AZ3055" s="152"/>
      <c r="BA3055" s="152"/>
      <c r="BB3055" s="152"/>
      <c r="BC3055" s="152"/>
      <c r="BD3055" s="152"/>
      <c r="BE3055" s="152"/>
      <c r="BF3055" s="152"/>
      <c r="BG3055" s="152"/>
      <c r="BH3055" s="152"/>
      <c r="BI3055" s="153"/>
      <c r="BJ3055" s="153"/>
      <c r="BK3055" s="153"/>
      <c r="BL3055" s="153"/>
      <c r="BM3055" s="153"/>
      <c r="BN3055" s="153"/>
      <c r="BO3055" s="153"/>
      <c r="BP3055" s="153"/>
      <c r="BQ3055" s="153"/>
      <c r="BR3055" s="153"/>
      <c r="BS3055" s="153"/>
      <c r="BT3055" s="153"/>
      <c r="BU3055" s="153"/>
      <c r="BV3055" s="153"/>
      <c r="BW3055" s="153"/>
      <c r="BX3055" s="153"/>
      <c r="BY3055" s="153"/>
      <c r="BZ3055" s="153"/>
      <c r="CA3055" s="152"/>
      <c r="CB3055" s="152"/>
    </row>
    <row r="3056" spans="1:80" s="87" customFormat="1" ht="16.5" x14ac:dyDescent="0.3">
      <c r="A3056" s="152"/>
      <c r="B3056" s="683"/>
      <c r="C3056" s="683"/>
      <c r="D3056" s="698"/>
      <c r="E3056" s="215"/>
      <c r="F3056" s="215"/>
      <c r="G3056" s="153"/>
      <c r="H3056" s="153"/>
      <c r="I3056" s="317">
        <v>22</v>
      </c>
      <c r="J3056" s="317">
        <v>30</v>
      </c>
      <c r="K3056" s="168">
        <v>1</v>
      </c>
      <c r="L3056" s="642">
        <v>11</v>
      </c>
      <c r="M3056" s="663">
        <v>34498</v>
      </c>
      <c r="N3056" s="600">
        <v>2.7944599999999999</v>
      </c>
      <c r="O3056" s="604">
        <v>3.3399999999999999E-4</v>
      </c>
      <c r="P3056" s="150"/>
      <c r="Q3056" s="250"/>
      <c r="R3056" s="250"/>
      <c r="S3056" s="250"/>
      <c r="T3056" s="250">
        <v>0.1</v>
      </c>
      <c r="U3056" s="250">
        <v>0.54</v>
      </c>
      <c r="V3056" s="250">
        <v>0.24666666666666667</v>
      </c>
      <c r="W3056" s="250">
        <v>0.11333333333333333</v>
      </c>
      <c r="X3056" s="250">
        <v>0</v>
      </c>
      <c r="Y3056" s="250">
        <v>0</v>
      </c>
      <c r="Z3056" s="150">
        <v>4.7</v>
      </c>
      <c r="AA3056" s="150">
        <v>2.59</v>
      </c>
      <c r="AB3056" s="152"/>
      <c r="AC3056" s="152"/>
      <c r="AD3056" s="223">
        <v>10.911481999999999</v>
      </c>
      <c r="AE3056" s="223">
        <v>0.39927489999999999</v>
      </c>
      <c r="AF3056" s="223">
        <v>4.3600780129999999</v>
      </c>
      <c r="AG3056" s="223">
        <v>0.69796910000000001</v>
      </c>
      <c r="AH3056" s="341"/>
      <c r="AI3056" s="218"/>
      <c r="AJ3056" s="218"/>
      <c r="AK3056" s="153"/>
      <c r="AL3056" s="152"/>
      <c r="AM3056" s="152"/>
      <c r="AN3056" s="152"/>
      <c r="AO3056" s="152"/>
      <c r="AP3056" s="152"/>
      <c r="AQ3056" s="152"/>
      <c r="AR3056" s="152"/>
      <c r="AS3056" s="152"/>
      <c r="AT3056" s="152"/>
      <c r="AU3056" s="153"/>
      <c r="AV3056" s="479"/>
      <c r="AW3056" s="479"/>
      <c r="AX3056" s="442"/>
      <c r="AY3056" s="153"/>
      <c r="AZ3056" s="152"/>
      <c r="BA3056" s="152"/>
      <c r="BB3056" s="152"/>
      <c r="BC3056" s="152"/>
      <c r="BD3056" s="152"/>
      <c r="BE3056" s="152"/>
      <c r="BF3056" s="152"/>
      <c r="BG3056" s="152"/>
      <c r="BH3056" s="152"/>
      <c r="BI3056" s="153"/>
      <c r="BJ3056" s="153"/>
      <c r="BK3056" s="153"/>
      <c r="BL3056" s="153"/>
      <c r="BM3056" s="153"/>
      <c r="BN3056" s="153"/>
      <c r="BO3056" s="153"/>
      <c r="BP3056" s="153"/>
      <c r="BQ3056" s="153"/>
      <c r="BR3056" s="153"/>
      <c r="BS3056" s="153"/>
      <c r="BT3056" s="153"/>
      <c r="BU3056" s="153"/>
      <c r="BV3056" s="153"/>
      <c r="BW3056" s="153"/>
      <c r="BX3056" s="153"/>
      <c r="BY3056" s="153"/>
      <c r="BZ3056" s="153"/>
      <c r="CA3056" s="152"/>
      <c r="CB3056" s="152"/>
    </row>
    <row r="3057" spans="1:80" s="87" customFormat="1" ht="16.5" x14ac:dyDescent="0.3">
      <c r="A3057" s="152"/>
      <c r="B3057" s="683"/>
      <c r="C3057" s="683"/>
      <c r="D3057" s="698"/>
      <c r="E3057" s="215"/>
      <c r="F3057" s="215"/>
      <c r="G3057" s="153"/>
      <c r="H3057" s="153"/>
      <c r="I3057" s="317">
        <v>20</v>
      </c>
      <c r="J3057" s="317">
        <v>30</v>
      </c>
      <c r="K3057" s="168">
        <v>1</v>
      </c>
      <c r="L3057" s="642">
        <v>10</v>
      </c>
      <c r="M3057" s="663">
        <v>34510</v>
      </c>
      <c r="N3057" s="600">
        <v>2.0130300000000001</v>
      </c>
      <c r="O3057" s="604">
        <v>7.3700000000000002E-4</v>
      </c>
      <c r="P3057" s="150"/>
      <c r="Q3057" s="250"/>
      <c r="R3057" s="250"/>
      <c r="S3057" s="250"/>
      <c r="T3057" s="250">
        <v>0.1489</v>
      </c>
      <c r="U3057" s="250">
        <v>0.30099999999999999</v>
      </c>
      <c r="V3057" s="250">
        <v>0.27508090614886732</v>
      </c>
      <c r="W3057" s="250">
        <v>0.1941747572815534</v>
      </c>
      <c r="X3057" s="250">
        <v>7.7669902912621366E-2</v>
      </c>
      <c r="Y3057" s="250">
        <v>3.2362459546925572E-3</v>
      </c>
      <c r="Z3057" s="150">
        <v>4.7</v>
      </c>
      <c r="AA3057" s="150">
        <v>1.77</v>
      </c>
      <c r="AB3057" s="152"/>
      <c r="AC3057" s="152"/>
      <c r="AD3057" s="223"/>
      <c r="AE3057" s="223"/>
      <c r="AF3057" s="223"/>
      <c r="AG3057" s="223"/>
      <c r="AH3057" s="341"/>
      <c r="AI3057" s="218"/>
      <c r="AJ3057" s="218"/>
      <c r="AK3057" s="153"/>
      <c r="AL3057" s="152"/>
      <c r="AM3057" s="152"/>
      <c r="AN3057" s="152"/>
      <c r="AO3057" s="152"/>
      <c r="AP3057" s="152"/>
      <c r="AQ3057" s="152"/>
      <c r="AR3057" s="152"/>
      <c r="AS3057" s="152"/>
      <c r="AT3057" s="152"/>
      <c r="AU3057" s="153"/>
      <c r="AV3057" s="479"/>
      <c r="AW3057" s="479"/>
      <c r="AX3057" s="442"/>
      <c r="AY3057" s="153"/>
      <c r="AZ3057" s="152"/>
      <c r="BA3057" s="152"/>
      <c r="BB3057" s="152"/>
      <c r="BC3057" s="152"/>
      <c r="BD3057" s="152"/>
      <c r="BE3057" s="152"/>
      <c r="BF3057" s="152"/>
      <c r="BG3057" s="152"/>
      <c r="BH3057" s="152"/>
      <c r="BI3057" s="153"/>
      <c r="BJ3057" s="153"/>
      <c r="BK3057" s="153"/>
      <c r="BL3057" s="153"/>
      <c r="BM3057" s="153"/>
      <c r="BN3057" s="153"/>
      <c r="BO3057" s="153"/>
      <c r="BP3057" s="153"/>
      <c r="BQ3057" s="153"/>
      <c r="BR3057" s="153"/>
      <c r="BS3057" s="153"/>
      <c r="BT3057" s="153"/>
      <c r="BU3057" s="153"/>
      <c r="BV3057" s="153"/>
      <c r="BW3057" s="153"/>
      <c r="BX3057" s="153"/>
      <c r="BY3057" s="153"/>
      <c r="BZ3057" s="153"/>
      <c r="CA3057" s="152"/>
      <c r="CB3057" s="152"/>
    </row>
    <row r="3058" spans="1:80" s="87" customFormat="1" ht="16.5" x14ac:dyDescent="0.3">
      <c r="A3058" s="152"/>
      <c r="B3058" s="683"/>
      <c r="C3058" s="683"/>
      <c r="D3058" s="698"/>
      <c r="E3058" s="215"/>
      <c r="F3058" s="215"/>
      <c r="G3058" s="153"/>
      <c r="H3058" s="153"/>
      <c r="I3058" s="317">
        <v>20</v>
      </c>
      <c r="J3058" s="317">
        <v>30</v>
      </c>
      <c r="K3058" s="168">
        <v>1</v>
      </c>
      <c r="L3058" s="642">
        <v>10</v>
      </c>
      <c r="M3058" s="663">
        <v>34510</v>
      </c>
      <c r="N3058" s="600">
        <v>2.0130300000000001</v>
      </c>
      <c r="O3058" s="604">
        <v>7.8899999999999999E-4</v>
      </c>
      <c r="P3058" s="150"/>
      <c r="Q3058" s="250"/>
      <c r="R3058" s="250"/>
      <c r="S3058" s="250"/>
      <c r="T3058" s="250"/>
      <c r="U3058" s="250">
        <v>0.25379999999999997</v>
      </c>
      <c r="V3058" s="250">
        <v>0.55963302752293587</v>
      </c>
      <c r="W3058" s="250">
        <v>0.15596330275229361</v>
      </c>
      <c r="X3058" s="250">
        <v>2.7522935779816522E-2</v>
      </c>
      <c r="Y3058" s="250">
        <v>3.0581039755351687E-3</v>
      </c>
      <c r="Z3058" s="150">
        <v>3</v>
      </c>
      <c r="AA3058" s="150">
        <v>1.54</v>
      </c>
      <c r="AB3058" s="152"/>
      <c r="AC3058" s="152"/>
      <c r="AD3058" s="223"/>
      <c r="AE3058" s="223"/>
      <c r="AF3058" s="223"/>
      <c r="AG3058" s="223"/>
      <c r="AH3058" s="341"/>
      <c r="AI3058" s="218"/>
      <c r="AJ3058" s="218"/>
      <c r="AK3058" s="153"/>
      <c r="AL3058" s="152"/>
      <c r="AM3058" s="152"/>
      <c r="AN3058" s="152"/>
      <c r="AO3058" s="152"/>
      <c r="AP3058" s="152"/>
      <c r="AQ3058" s="152"/>
      <c r="AR3058" s="152"/>
      <c r="AS3058" s="152"/>
      <c r="AT3058" s="152"/>
      <c r="AU3058" s="153"/>
      <c r="AV3058" s="479"/>
      <c r="AW3058" s="479"/>
      <c r="AX3058" s="442"/>
      <c r="AY3058" s="153"/>
      <c r="AZ3058" s="152"/>
      <c r="BA3058" s="152"/>
      <c r="BB3058" s="152"/>
      <c r="BC3058" s="152"/>
      <c r="BD3058" s="152"/>
      <c r="BE3058" s="152"/>
      <c r="BF3058" s="152"/>
      <c r="BG3058" s="152"/>
      <c r="BH3058" s="152"/>
      <c r="BI3058" s="153"/>
      <c r="BJ3058" s="153"/>
      <c r="BK3058" s="153"/>
      <c r="BL3058" s="153"/>
      <c r="BM3058" s="153"/>
      <c r="BN3058" s="153"/>
      <c r="BO3058" s="153"/>
      <c r="BP3058" s="153"/>
      <c r="BQ3058" s="153"/>
      <c r="BR3058" s="153"/>
      <c r="BS3058" s="153"/>
      <c r="BT3058" s="153"/>
      <c r="BU3058" s="153"/>
      <c r="BV3058" s="153"/>
      <c r="BW3058" s="153"/>
      <c r="BX3058" s="153"/>
      <c r="BY3058" s="153"/>
      <c r="BZ3058" s="153"/>
      <c r="CA3058" s="152"/>
      <c r="CB3058" s="152"/>
    </row>
    <row r="3059" spans="1:80" s="87" customFormat="1" ht="16.5" x14ac:dyDescent="0.3">
      <c r="A3059" s="152"/>
      <c r="B3059" s="683"/>
      <c r="C3059" s="683"/>
      <c r="D3059" s="698"/>
      <c r="E3059" s="215"/>
      <c r="F3059" s="215"/>
      <c r="G3059" s="153"/>
      <c r="H3059" s="153"/>
      <c r="I3059" s="317">
        <v>21</v>
      </c>
      <c r="J3059" s="317">
        <v>30</v>
      </c>
      <c r="K3059" s="168">
        <v>1</v>
      </c>
      <c r="L3059" s="642">
        <v>10.5</v>
      </c>
      <c r="M3059" s="663">
        <v>34628</v>
      </c>
      <c r="N3059" s="600">
        <v>0.89185000000000003</v>
      </c>
      <c r="O3059" s="604">
        <v>2.3799999999999999E-5</v>
      </c>
      <c r="P3059" s="150"/>
      <c r="Q3059" s="250"/>
      <c r="R3059" s="250"/>
      <c r="S3059" s="250"/>
      <c r="T3059" s="250"/>
      <c r="U3059" s="250">
        <v>0.1333</v>
      </c>
      <c r="V3059" s="250">
        <v>0.66666666666666674</v>
      </c>
      <c r="W3059" s="250">
        <v>0.2</v>
      </c>
      <c r="X3059" s="250">
        <v>0</v>
      </c>
      <c r="Y3059" s="250">
        <v>0</v>
      </c>
      <c r="Z3059" s="150">
        <v>2.1</v>
      </c>
      <c r="AA3059" s="150">
        <v>1.29</v>
      </c>
      <c r="AB3059" s="152"/>
      <c r="AC3059" s="152"/>
      <c r="AD3059" s="223">
        <v>8.8084310000000006</v>
      </c>
      <c r="AE3059" s="223">
        <v>0.29229360999999998</v>
      </c>
      <c r="AF3059" s="223">
        <v>2.570183315</v>
      </c>
      <c r="AG3059" s="223">
        <v>0.3505085</v>
      </c>
      <c r="AH3059" s="341"/>
      <c r="AI3059" s="218"/>
      <c r="AJ3059" s="218"/>
      <c r="AK3059" s="153"/>
      <c r="AL3059" s="152"/>
      <c r="AM3059" s="152"/>
      <c r="AN3059" s="152"/>
      <c r="AO3059" s="152"/>
      <c r="AP3059" s="152"/>
      <c r="AQ3059" s="152"/>
      <c r="AR3059" s="152"/>
      <c r="AS3059" s="152"/>
      <c r="AT3059" s="152"/>
      <c r="AU3059" s="153"/>
      <c r="AV3059" s="479"/>
      <c r="AW3059" s="479"/>
      <c r="AX3059" s="442"/>
      <c r="AY3059" s="153"/>
      <c r="AZ3059" s="152"/>
      <c r="BA3059" s="152"/>
      <c r="BB3059" s="152"/>
      <c r="BC3059" s="152"/>
      <c r="BD3059" s="152"/>
      <c r="BE3059" s="152"/>
      <c r="BF3059" s="152"/>
      <c r="BG3059" s="152"/>
      <c r="BH3059" s="152"/>
      <c r="BI3059" s="153"/>
      <c r="BJ3059" s="153"/>
      <c r="BK3059" s="153"/>
      <c r="BL3059" s="153"/>
      <c r="BM3059" s="153"/>
      <c r="BN3059" s="153"/>
      <c r="BO3059" s="153"/>
      <c r="BP3059" s="153"/>
      <c r="BQ3059" s="153"/>
      <c r="BR3059" s="153"/>
      <c r="BS3059" s="153"/>
      <c r="BT3059" s="153"/>
      <c r="BU3059" s="153"/>
      <c r="BV3059" s="153"/>
      <c r="BW3059" s="153"/>
      <c r="BX3059" s="153"/>
      <c r="BY3059" s="153"/>
      <c r="BZ3059" s="153"/>
      <c r="CA3059" s="152"/>
      <c r="CB3059" s="152"/>
    </row>
    <row r="3060" spans="1:80" s="87" customFormat="1" ht="16.5" x14ac:dyDescent="0.3">
      <c r="A3060" s="152"/>
      <c r="B3060" s="683"/>
      <c r="C3060" s="683"/>
      <c r="D3060" s="698"/>
      <c r="E3060" s="215"/>
      <c r="F3060" s="215"/>
      <c r="G3060" s="153"/>
      <c r="H3060" s="153"/>
      <c r="I3060" s="317">
        <v>21</v>
      </c>
      <c r="J3060" s="317">
        <v>30</v>
      </c>
      <c r="K3060" s="168">
        <v>1</v>
      </c>
      <c r="L3060" s="642">
        <v>10.5</v>
      </c>
      <c r="M3060" s="663">
        <v>34628</v>
      </c>
      <c r="N3060" s="600">
        <v>0.89185000000000003</v>
      </c>
      <c r="O3060" s="604">
        <v>6.6000000000000005E-5</v>
      </c>
      <c r="P3060" s="150"/>
      <c r="Q3060" s="250"/>
      <c r="R3060" s="250"/>
      <c r="S3060" s="250"/>
      <c r="T3060" s="250"/>
      <c r="U3060" s="250"/>
      <c r="V3060" s="250">
        <v>0.36842105263157893</v>
      </c>
      <c r="W3060" s="250">
        <v>0.52631578947368418</v>
      </c>
      <c r="X3060" s="250">
        <v>0.10526315789473685</v>
      </c>
      <c r="Y3060" s="250">
        <v>0</v>
      </c>
      <c r="Z3060" s="150">
        <v>1.3</v>
      </c>
      <c r="AA3060" s="150">
        <v>0.84</v>
      </c>
      <c r="AB3060" s="152"/>
      <c r="AC3060" s="152"/>
      <c r="AD3060" s="223">
        <v>8.8084310000000006</v>
      </c>
      <c r="AE3060" s="223">
        <v>0.29229360999999998</v>
      </c>
      <c r="AF3060" s="223">
        <v>2.570183315</v>
      </c>
      <c r="AG3060" s="223">
        <v>0.3505085</v>
      </c>
      <c r="AH3060" s="341"/>
      <c r="AI3060" s="218"/>
      <c r="AJ3060" s="218"/>
      <c r="AK3060" s="153"/>
      <c r="AL3060" s="152"/>
      <c r="AM3060" s="152"/>
      <c r="AN3060" s="152"/>
      <c r="AO3060" s="152"/>
      <c r="AP3060" s="152"/>
      <c r="AQ3060" s="152"/>
      <c r="AR3060" s="152"/>
      <c r="AS3060" s="152"/>
      <c r="AT3060" s="152"/>
      <c r="AU3060" s="153"/>
      <c r="AV3060" s="479"/>
      <c r="AW3060" s="479"/>
      <c r="AX3060" s="442"/>
      <c r="AY3060" s="153"/>
      <c r="AZ3060" s="152"/>
      <c r="BA3060" s="152"/>
      <c r="BB3060" s="152"/>
      <c r="BC3060" s="152"/>
      <c r="BD3060" s="152"/>
      <c r="BE3060" s="152"/>
      <c r="BF3060" s="152"/>
      <c r="BG3060" s="152"/>
      <c r="BH3060" s="152"/>
      <c r="BI3060" s="153"/>
      <c r="BJ3060" s="153"/>
      <c r="BK3060" s="153"/>
      <c r="BL3060" s="153"/>
      <c r="BM3060" s="153"/>
      <c r="BN3060" s="153"/>
      <c r="BO3060" s="153"/>
      <c r="BP3060" s="153"/>
      <c r="BQ3060" s="153"/>
      <c r="BR3060" s="153"/>
      <c r="BS3060" s="153"/>
      <c r="BT3060" s="153"/>
      <c r="BU3060" s="153"/>
      <c r="BV3060" s="153"/>
      <c r="BW3060" s="153"/>
      <c r="BX3060" s="153"/>
      <c r="BY3060" s="153"/>
      <c r="BZ3060" s="153"/>
      <c r="CA3060" s="152"/>
      <c r="CB3060" s="152"/>
    </row>
    <row r="3061" spans="1:80" s="87" customFormat="1" ht="16.5" x14ac:dyDescent="0.3">
      <c r="A3061" s="152"/>
      <c r="B3061" s="683"/>
      <c r="C3061" s="683"/>
      <c r="D3061" s="698"/>
      <c r="E3061" s="215"/>
      <c r="F3061" s="215"/>
      <c r="G3061" s="153"/>
      <c r="H3061" s="153"/>
      <c r="I3061" s="317">
        <v>22</v>
      </c>
      <c r="J3061" s="317">
        <v>60</v>
      </c>
      <c r="K3061" s="168">
        <v>1</v>
      </c>
      <c r="L3061" s="642">
        <v>22</v>
      </c>
      <c r="M3061" s="663">
        <v>34827</v>
      </c>
      <c r="N3061" s="600">
        <v>5.3227900000000004</v>
      </c>
      <c r="O3061" s="604">
        <v>7.4624999999999997E-2</v>
      </c>
      <c r="P3061" s="150"/>
      <c r="Q3061" s="250"/>
      <c r="R3061" s="250">
        <v>0.32140000000000002</v>
      </c>
      <c r="S3061" s="250">
        <v>4.0800000000000003E-2</v>
      </c>
      <c r="T3061" s="250">
        <v>6.0199999999999997E-2</v>
      </c>
      <c r="U3061" s="250">
        <v>0.14779999999999999</v>
      </c>
      <c r="V3061" s="250">
        <v>0.23022005528589776</v>
      </c>
      <c r="W3061" s="250">
        <v>0.14572404936551817</v>
      </c>
      <c r="X3061" s="250">
        <v>5.0018501186252534E-2</v>
      </c>
      <c r="Y3061" s="250">
        <v>3.8525999608210178E-3</v>
      </c>
      <c r="Z3061" s="150">
        <v>52</v>
      </c>
      <c r="AA3061" s="150">
        <v>2.63</v>
      </c>
      <c r="AB3061" s="152"/>
      <c r="AC3061" s="152"/>
      <c r="AD3061" s="223">
        <v>16.336743999999999</v>
      </c>
      <c r="AE3061" s="223">
        <v>0.39013120000000001</v>
      </c>
      <c r="AF3061" s="223">
        <v>6.3983285739999998</v>
      </c>
      <c r="AG3061" s="223">
        <v>0.86560360000000003</v>
      </c>
      <c r="AH3061" s="341"/>
      <c r="AI3061" s="218"/>
      <c r="AJ3061" s="218"/>
      <c r="AK3061" s="153"/>
      <c r="AL3061" s="152"/>
      <c r="AM3061" s="152"/>
      <c r="AN3061" s="152"/>
      <c r="AO3061" s="152"/>
      <c r="AP3061" s="152"/>
      <c r="AQ3061" s="152"/>
      <c r="AR3061" s="152"/>
      <c r="AS3061" s="152"/>
      <c r="AT3061" s="152"/>
      <c r="AU3061" s="153"/>
      <c r="AV3061" s="479"/>
      <c r="AW3061" s="479"/>
      <c r="AX3061" s="442"/>
      <c r="AY3061" s="153"/>
      <c r="AZ3061" s="152"/>
      <c r="BA3061" s="152"/>
      <c r="BB3061" s="152"/>
      <c r="BC3061" s="152"/>
      <c r="BD3061" s="152"/>
      <c r="BE3061" s="152"/>
      <c r="BF3061" s="152"/>
      <c r="BG3061" s="152"/>
      <c r="BH3061" s="152"/>
      <c r="BI3061" s="153"/>
      <c r="BJ3061" s="153"/>
      <c r="BK3061" s="153"/>
      <c r="BL3061" s="153"/>
      <c r="BM3061" s="153"/>
      <c r="BN3061" s="153"/>
      <c r="BO3061" s="153"/>
      <c r="BP3061" s="153"/>
      <c r="BQ3061" s="153"/>
      <c r="BR3061" s="153"/>
      <c r="BS3061" s="153"/>
      <c r="BT3061" s="153"/>
      <c r="BU3061" s="153"/>
      <c r="BV3061" s="153"/>
      <c r="BW3061" s="153"/>
      <c r="BX3061" s="153"/>
      <c r="BY3061" s="153"/>
      <c r="BZ3061" s="153"/>
      <c r="CA3061" s="152"/>
      <c r="CB3061" s="152"/>
    </row>
    <row r="3062" spans="1:80" s="87" customFormat="1" ht="16.5" x14ac:dyDescent="0.3">
      <c r="A3062" s="152"/>
      <c r="B3062" s="683"/>
      <c r="C3062" s="683"/>
      <c r="D3062" s="698"/>
      <c r="E3062" s="215"/>
      <c r="F3062" s="215"/>
      <c r="G3062" s="153"/>
      <c r="H3062" s="153"/>
      <c r="I3062" s="317">
        <v>22</v>
      </c>
      <c r="J3062" s="317">
        <v>60</v>
      </c>
      <c r="K3062" s="168">
        <v>1</v>
      </c>
      <c r="L3062" s="642">
        <v>22</v>
      </c>
      <c r="M3062" s="663">
        <v>34827</v>
      </c>
      <c r="N3062" s="600">
        <v>5.3227900000000004</v>
      </c>
      <c r="O3062" s="604">
        <v>0.126998</v>
      </c>
      <c r="P3062" s="150"/>
      <c r="Q3062" s="250"/>
      <c r="R3062" s="250">
        <v>0.185</v>
      </c>
      <c r="S3062" s="250">
        <v>0.21050000000000002</v>
      </c>
      <c r="T3062" s="250">
        <v>0.14990000000000001</v>
      </c>
      <c r="U3062" s="250">
        <v>0.1502</v>
      </c>
      <c r="V3062" s="250">
        <v>0.15896250642013357</v>
      </c>
      <c r="W3062" s="250">
        <v>0.10246533127889061</v>
      </c>
      <c r="X3062" s="250">
        <v>4.0254237288135597E-2</v>
      </c>
      <c r="Y3062" s="250">
        <v>2.6836158192090399E-3</v>
      </c>
      <c r="Z3062" s="150">
        <v>38</v>
      </c>
      <c r="AA3062" s="150">
        <v>5.12</v>
      </c>
      <c r="AB3062" s="152"/>
      <c r="AC3062" s="152"/>
      <c r="AD3062" s="223">
        <v>16.336743999999999</v>
      </c>
      <c r="AE3062" s="223">
        <v>0.39013120000000001</v>
      </c>
      <c r="AF3062" s="223">
        <v>6.3983285739999998</v>
      </c>
      <c r="AG3062" s="223">
        <v>0.86560360000000003</v>
      </c>
      <c r="AH3062" s="341"/>
      <c r="AI3062" s="218"/>
      <c r="AJ3062" s="218"/>
      <c r="AK3062" s="153"/>
      <c r="AL3062" s="152"/>
      <c r="AM3062" s="152"/>
      <c r="AN3062" s="152"/>
      <c r="AO3062" s="152"/>
      <c r="AP3062" s="152"/>
      <c r="AQ3062" s="152"/>
      <c r="AR3062" s="152"/>
      <c r="AS3062" s="152"/>
      <c r="AT3062" s="152"/>
      <c r="AU3062" s="153"/>
      <c r="AV3062" s="479"/>
      <c r="AW3062" s="479"/>
      <c r="AX3062" s="442"/>
      <c r="AY3062" s="153"/>
      <c r="AZ3062" s="152"/>
      <c r="BA3062" s="152"/>
      <c r="BB3062" s="152"/>
      <c r="BC3062" s="152"/>
      <c r="BD3062" s="152"/>
      <c r="BE3062" s="152"/>
      <c r="BF3062" s="152"/>
      <c r="BG3062" s="152"/>
      <c r="BH3062" s="152"/>
      <c r="BI3062" s="153"/>
      <c r="BJ3062" s="153"/>
      <c r="BK3062" s="153"/>
      <c r="BL3062" s="153"/>
      <c r="BM3062" s="153"/>
      <c r="BN3062" s="153"/>
      <c r="BO3062" s="153"/>
      <c r="BP3062" s="153"/>
      <c r="BQ3062" s="153"/>
      <c r="BR3062" s="153"/>
      <c r="BS3062" s="153"/>
      <c r="BT3062" s="153"/>
      <c r="BU3062" s="153"/>
      <c r="BV3062" s="153"/>
      <c r="BW3062" s="153"/>
      <c r="BX3062" s="153"/>
      <c r="BY3062" s="153"/>
      <c r="BZ3062" s="153"/>
      <c r="CA3062" s="152"/>
      <c r="CB3062" s="152"/>
    </row>
    <row r="3063" spans="1:80" s="87" customFormat="1" ht="16.5" x14ac:dyDescent="0.3">
      <c r="A3063" s="152"/>
      <c r="B3063" s="683"/>
      <c r="C3063" s="683"/>
      <c r="D3063" s="698"/>
      <c r="E3063" s="215"/>
      <c r="F3063" s="215"/>
      <c r="G3063" s="153"/>
      <c r="H3063" s="153"/>
      <c r="I3063" s="317">
        <v>22</v>
      </c>
      <c r="J3063" s="317">
        <v>60</v>
      </c>
      <c r="K3063" s="168">
        <v>1</v>
      </c>
      <c r="L3063" s="642">
        <v>22</v>
      </c>
      <c r="M3063" s="663">
        <v>34829</v>
      </c>
      <c r="N3063" s="600">
        <v>6.2571099999999999</v>
      </c>
      <c r="O3063" s="604">
        <v>2.7604E-2</v>
      </c>
      <c r="P3063" s="150"/>
      <c r="Q3063" s="250"/>
      <c r="R3063" s="250">
        <v>5.2499999999999998E-2</v>
      </c>
      <c r="S3063" s="250">
        <v>4.2800000000000005E-2</v>
      </c>
      <c r="T3063" s="250">
        <v>3.4700000000000002E-2</v>
      </c>
      <c r="U3063" s="250">
        <v>0.1229</v>
      </c>
      <c r="V3063" s="250">
        <v>0.29535767768690246</v>
      </c>
      <c r="W3063" s="250">
        <v>0.32824559382559615</v>
      </c>
      <c r="X3063" s="250">
        <v>0.11611565487847023</v>
      </c>
      <c r="Y3063" s="250">
        <v>7.4300195829973513E-3</v>
      </c>
      <c r="Z3063" s="150">
        <v>18</v>
      </c>
      <c r="AA3063" s="150">
        <v>1.1000000000000001</v>
      </c>
      <c r="AB3063" s="152"/>
      <c r="AC3063" s="152"/>
      <c r="AD3063" s="223">
        <v>16.001474999999999</v>
      </c>
      <c r="AE3063" s="223">
        <v>0.33831689999999998</v>
      </c>
      <c r="AF3063" s="223">
        <v>5.3961474650000003</v>
      </c>
      <c r="AG3063" s="223">
        <v>1.0881003</v>
      </c>
      <c r="AH3063" s="341"/>
      <c r="AI3063" s="218"/>
      <c r="AJ3063" s="218"/>
      <c r="AK3063" s="153"/>
      <c r="AL3063" s="152"/>
      <c r="AM3063" s="152"/>
      <c r="AN3063" s="152"/>
      <c r="AO3063" s="152"/>
      <c r="AP3063" s="152"/>
      <c r="AQ3063" s="152"/>
      <c r="AR3063" s="152"/>
      <c r="AS3063" s="152"/>
      <c r="AT3063" s="152"/>
      <c r="AU3063" s="153"/>
      <c r="AV3063" s="479"/>
      <c r="AW3063" s="479"/>
      <c r="AX3063" s="442"/>
      <c r="AY3063" s="153"/>
      <c r="AZ3063" s="152"/>
      <c r="BA3063" s="152"/>
      <c r="BB3063" s="152"/>
      <c r="BC3063" s="152"/>
      <c r="BD3063" s="152"/>
      <c r="BE3063" s="152"/>
      <c r="BF3063" s="152"/>
      <c r="BG3063" s="152"/>
      <c r="BH3063" s="152"/>
      <c r="BI3063" s="153"/>
      <c r="BJ3063" s="153"/>
      <c r="BK3063" s="153"/>
      <c r="BL3063" s="153"/>
      <c r="BM3063" s="153"/>
      <c r="BN3063" s="153"/>
      <c r="BO3063" s="153"/>
      <c r="BP3063" s="153"/>
      <c r="BQ3063" s="153"/>
      <c r="BR3063" s="153"/>
      <c r="BS3063" s="153"/>
      <c r="BT3063" s="153"/>
      <c r="BU3063" s="153"/>
      <c r="BV3063" s="153"/>
      <c r="BW3063" s="153"/>
      <c r="BX3063" s="153"/>
      <c r="BY3063" s="153"/>
      <c r="BZ3063" s="153"/>
      <c r="CA3063" s="152"/>
      <c r="CB3063" s="152"/>
    </row>
    <row r="3064" spans="1:80" s="87" customFormat="1" ht="16.5" x14ac:dyDescent="0.3">
      <c r="A3064" s="152"/>
      <c r="B3064" s="683"/>
      <c r="C3064" s="683"/>
      <c r="D3064" s="698"/>
      <c r="E3064" s="215"/>
      <c r="F3064" s="215"/>
      <c r="G3064" s="153"/>
      <c r="H3064" s="153"/>
      <c r="I3064" s="317">
        <v>22</v>
      </c>
      <c r="J3064" s="317">
        <v>60</v>
      </c>
      <c r="K3064" s="168">
        <v>1</v>
      </c>
      <c r="L3064" s="642">
        <v>22</v>
      </c>
      <c r="M3064" s="663">
        <v>34829</v>
      </c>
      <c r="N3064" s="600">
        <v>6.2571099999999999</v>
      </c>
      <c r="O3064" s="604">
        <v>4.6496000000000003E-2</v>
      </c>
      <c r="P3064" s="150"/>
      <c r="Q3064" s="250"/>
      <c r="R3064" s="250"/>
      <c r="S3064" s="250">
        <v>6.7099999999999993E-2</v>
      </c>
      <c r="T3064" s="250">
        <v>0.1051</v>
      </c>
      <c r="U3064" s="250">
        <v>0.18679999999999999</v>
      </c>
      <c r="V3064" s="250">
        <v>0.30851245600246036</v>
      </c>
      <c r="W3064" s="250">
        <v>0.25882513754570613</v>
      </c>
      <c r="X3064" s="250">
        <v>7.0054334825547612E-2</v>
      </c>
      <c r="Y3064" s="250">
        <v>3.5881488569182922E-3</v>
      </c>
      <c r="Z3064" s="150">
        <v>11.5</v>
      </c>
      <c r="AA3064" s="150">
        <v>1.41</v>
      </c>
      <c r="AB3064" s="152"/>
      <c r="AC3064" s="152"/>
      <c r="AD3064" s="223">
        <v>16.001474999999999</v>
      </c>
      <c r="AE3064" s="223">
        <v>0.33831689999999998</v>
      </c>
      <c r="AF3064" s="223">
        <v>5.3961474650000003</v>
      </c>
      <c r="AG3064" s="223">
        <v>1.0881003</v>
      </c>
      <c r="AH3064" s="341"/>
      <c r="AI3064" s="218"/>
      <c r="AJ3064" s="218"/>
      <c r="AK3064" s="153"/>
      <c r="AL3064" s="152"/>
      <c r="AM3064" s="152"/>
      <c r="AN3064" s="152"/>
      <c r="AO3064" s="152"/>
      <c r="AP3064" s="152"/>
      <c r="AQ3064" s="152"/>
      <c r="AR3064" s="152"/>
      <c r="AS3064" s="152"/>
      <c r="AT3064" s="152"/>
      <c r="AU3064" s="153"/>
      <c r="AV3064" s="479"/>
      <c r="AW3064" s="479"/>
      <c r="AX3064" s="442"/>
      <c r="AY3064" s="153"/>
      <c r="AZ3064" s="152"/>
      <c r="BA3064" s="152"/>
      <c r="BB3064" s="152"/>
      <c r="BC3064" s="152"/>
      <c r="BD3064" s="152"/>
      <c r="BE3064" s="152"/>
      <c r="BF3064" s="152"/>
      <c r="BG3064" s="152"/>
      <c r="BH3064" s="152"/>
      <c r="BI3064" s="153"/>
      <c r="BJ3064" s="153"/>
      <c r="BK3064" s="153"/>
      <c r="BL3064" s="153"/>
      <c r="BM3064" s="153"/>
      <c r="BN3064" s="153"/>
      <c r="BO3064" s="153"/>
      <c r="BP3064" s="153"/>
      <c r="BQ3064" s="153"/>
      <c r="BR3064" s="153"/>
      <c r="BS3064" s="153"/>
      <c r="BT3064" s="153"/>
      <c r="BU3064" s="153"/>
      <c r="BV3064" s="153"/>
      <c r="BW3064" s="153"/>
      <c r="BX3064" s="153"/>
      <c r="BY3064" s="153"/>
      <c r="BZ3064" s="153"/>
      <c r="CA3064" s="152"/>
      <c r="CB3064" s="152"/>
    </row>
    <row r="3065" spans="1:80" s="87" customFormat="1" ht="16.5" x14ac:dyDescent="0.3">
      <c r="A3065" s="152"/>
      <c r="B3065" s="683"/>
      <c r="C3065" s="683"/>
      <c r="D3065" s="698"/>
      <c r="E3065" s="215"/>
      <c r="F3065" s="215"/>
      <c r="G3065" s="153"/>
      <c r="H3065" s="153"/>
      <c r="I3065" s="317">
        <v>21</v>
      </c>
      <c r="J3065" s="317">
        <v>60</v>
      </c>
      <c r="K3065" s="168">
        <v>1</v>
      </c>
      <c r="L3065" s="642">
        <v>21</v>
      </c>
      <c r="M3065" s="663">
        <v>34830</v>
      </c>
      <c r="N3065" s="600">
        <v>7.9275599999999997</v>
      </c>
      <c r="O3065" s="604">
        <v>7.2840000000000002E-2</v>
      </c>
      <c r="P3065" s="150"/>
      <c r="Q3065" s="250"/>
      <c r="R3065" s="250">
        <v>0.2596</v>
      </c>
      <c r="S3065" s="250">
        <v>7.2000000000000008E-2</v>
      </c>
      <c r="T3065" s="250">
        <v>9.5600000000000004E-2</v>
      </c>
      <c r="U3065" s="250">
        <v>0.1394</v>
      </c>
      <c r="V3065" s="250">
        <v>0.18590664491465575</v>
      </c>
      <c r="W3065" s="250">
        <v>0.14782439309454817</v>
      </c>
      <c r="X3065" s="250">
        <v>9.0506221237429685E-2</v>
      </c>
      <c r="Y3065" s="250">
        <v>9.1309747011127599E-3</v>
      </c>
      <c r="Z3065" s="150">
        <v>48</v>
      </c>
      <c r="AA3065" s="150">
        <v>2.72</v>
      </c>
      <c r="AB3065" s="152"/>
      <c r="AC3065" s="152"/>
      <c r="AD3065" s="223">
        <v>17.007282</v>
      </c>
      <c r="AE3065" s="223">
        <v>0.38098749999999998</v>
      </c>
      <c r="AF3065" s="223">
        <v>6.4734540799999998</v>
      </c>
      <c r="AG3065" s="223">
        <v>1.2435432</v>
      </c>
      <c r="AH3065" s="341"/>
      <c r="AI3065" s="218"/>
      <c r="AJ3065" s="218"/>
      <c r="AK3065" s="153"/>
      <c r="AL3065" s="152"/>
      <c r="AM3065" s="152"/>
      <c r="AN3065" s="152"/>
      <c r="AO3065" s="152"/>
      <c r="AP3065" s="152"/>
      <c r="AQ3065" s="152"/>
      <c r="AR3065" s="152"/>
      <c r="AS3065" s="152"/>
      <c r="AT3065" s="152"/>
      <c r="AU3065" s="153"/>
      <c r="AV3065" s="479"/>
      <c r="AW3065" s="479"/>
      <c r="AX3065" s="442"/>
      <c r="AY3065" s="153"/>
      <c r="AZ3065" s="152"/>
      <c r="BA3065" s="152"/>
      <c r="BB3065" s="152"/>
      <c r="BC3065" s="152"/>
      <c r="BD3065" s="152"/>
      <c r="BE3065" s="152"/>
      <c r="BF3065" s="152"/>
      <c r="BG3065" s="152"/>
      <c r="BH3065" s="152"/>
      <c r="BI3065" s="153"/>
      <c r="BJ3065" s="153"/>
      <c r="BK3065" s="153"/>
      <c r="BL3065" s="153"/>
      <c r="BM3065" s="153"/>
      <c r="BN3065" s="153"/>
      <c r="BO3065" s="153"/>
      <c r="BP3065" s="153"/>
      <c r="BQ3065" s="153"/>
      <c r="BR3065" s="153"/>
      <c r="BS3065" s="153"/>
      <c r="BT3065" s="153"/>
      <c r="BU3065" s="153"/>
      <c r="BV3065" s="153"/>
      <c r="BW3065" s="153"/>
      <c r="BX3065" s="153"/>
      <c r="BY3065" s="153"/>
      <c r="BZ3065" s="153"/>
      <c r="CA3065" s="152"/>
      <c r="CB3065" s="152"/>
    </row>
    <row r="3066" spans="1:80" s="87" customFormat="1" ht="16.5" x14ac:dyDescent="0.3">
      <c r="A3066" s="152"/>
      <c r="B3066" s="683"/>
      <c r="C3066" s="683"/>
      <c r="D3066" s="698"/>
      <c r="E3066" s="215"/>
      <c r="F3066" s="215"/>
      <c r="G3066" s="153"/>
      <c r="H3066" s="153"/>
      <c r="I3066" s="317">
        <v>21</v>
      </c>
      <c r="J3066" s="317">
        <v>60</v>
      </c>
      <c r="K3066" s="168">
        <v>1</v>
      </c>
      <c r="L3066" s="642">
        <v>21</v>
      </c>
      <c r="M3066" s="663">
        <v>34830</v>
      </c>
      <c r="N3066" s="600">
        <v>7.9275599999999997</v>
      </c>
      <c r="O3066" s="604">
        <v>9.887E-2</v>
      </c>
      <c r="P3066" s="150"/>
      <c r="Q3066" s="250"/>
      <c r="R3066" s="250">
        <v>1.15E-2</v>
      </c>
      <c r="S3066" s="250">
        <v>4.0500000000000001E-2</v>
      </c>
      <c r="T3066" s="250">
        <v>8.3100000000000007E-2</v>
      </c>
      <c r="U3066" s="250">
        <v>0.23629999999999998</v>
      </c>
      <c r="V3066" s="250">
        <v>0.30505039635567982</v>
      </c>
      <c r="W3066" s="250">
        <v>0.21535923096237305</v>
      </c>
      <c r="X3066" s="250">
        <v>9.8371534129631594E-2</v>
      </c>
      <c r="Y3066" s="250">
        <v>9.8102514437390115E-3</v>
      </c>
      <c r="Z3066" s="150">
        <v>18.5</v>
      </c>
      <c r="AA3066" s="150">
        <v>1.51</v>
      </c>
      <c r="AB3066" s="152"/>
      <c r="AC3066" s="152"/>
      <c r="AD3066" s="223">
        <v>17.007282</v>
      </c>
      <c r="AE3066" s="223">
        <v>0.38098749999999998</v>
      </c>
      <c r="AF3066" s="223">
        <v>6.4734540799999998</v>
      </c>
      <c r="AG3066" s="223">
        <v>1.2435432</v>
      </c>
      <c r="AH3066" s="341"/>
      <c r="AI3066" s="218"/>
      <c r="AJ3066" s="218"/>
      <c r="AK3066" s="153"/>
      <c r="AL3066" s="152"/>
      <c r="AM3066" s="152"/>
      <c r="AN3066" s="152"/>
      <c r="AO3066" s="152"/>
      <c r="AP3066" s="152"/>
      <c r="AQ3066" s="152"/>
      <c r="AR3066" s="152"/>
      <c r="AS3066" s="152"/>
      <c r="AT3066" s="152"/>
      <c r="AU3066" s="153"/>
      <c r="AV3066" s="479"/>
      <c r="AW3066" s="479"/>
      <c r="AX3066" s="442"/>
      <c r="AY3066" s="153"/>
      <c r="AZ3066" s="152"/>
      <c r="BA3066" s="152"/>
      <c r="BB3066" s="152"/>
      <c r="BC3066" s="152"/>
      <c r="BD3066" s="152"/>
      <c r="BE3066" s="152"/>
      <c r="BF3066" s="152"/>
      <c r="BG3066" s="152"/>
      <c r="BH3066" s="152"/>
      <c r="BI3066" s="153"/>
      <c r="BJ3066" s="153"/>
      <c r="BK3066" s="153"/>
      <c r="BL3066" s="153"/>
      <c r="BM3066" s="153"/>
      <c r="BN3066" s="153"/>
      <c r="BO3066" s="153"/>
      <c r="BP3066" s="153"/>
      <c r="BQ3066" s="153"/>
      <c r="BR3066" s="153"/>
      <c r="BS3066" s="153"/>
      <c r="BT3066" s="153"/>
      <c r="BU3066" s="153"/>
      <c r="BV3066" s="153"/>
      <c r="BW3066" s="153"/>
      <c r="BX3066" s="153"/>
      <c r="BY3066" s="153"/>
      <c r="BZ3066" s="153"/>
      <c r="CA3066" s="152"/>
      <c r="CB3066" s="152"/>
    </row>
    <row r="3067" spans="1:80" s="87" customFormat="1" ht="16.5" x14ac:dyDescent="0.3">
      <c r="A3067" s="152"/>
      <c r="B3067" s="683"/>
      <c r="C3067" s="683"/>
      <c r="D3067" s="698"/>
      <c r="E3067" s="215"/>
      <c r="F3067" s="215"/>
      <c r="G3067" s="153"/>
      <c r="H3067" s="153"/>
      <c r="I3067" s="317">
        <v>22</v>
      </c>
      <c r="J3067" s="317">
        <v>60</v>
      </c>
      <c r="K3067" s="168">
        <v>1</v>
      </c>
      <c r="L3067" s="642">
        <v>22</v>
      </c>
      <c r="M3067" s="663">
        <v>34831</v>
      </c>
      <c r="N3067" s="600">
        <v>7.5877999999999997</v>
      </c>
      <c r="O3067" s="604">
        <v>6.7696999999999993E-2</v>
      </c>
      <c r="P3067" s="150"/>
      <c r="Q3067" s="250"/>
      <c r="R3067" s="250">
        <v>5.2499999999999998E-2</v>
      </c>
      <c r="S3067" s="250">
        <v>4.9800000000000004E-2</v>
      </c>
      <c r="T3067" s="250">
        <v>7.2599999999999998E-2</v>
      </c>
      <c r="U3067" s="250">
        <v>0.1867</v>
      </c>
      <c r="V3067" s="250">
        <v>0.31072377836843179</v>
      </c>
      <c r="W3067" s="250">
        <v>0.24141279901860557</v>
      </c>
      <c r="X3067" s="250">
        <v>8.1910652218360247E-2</v>
      </c>
      <c r="Y3067" s="250">
        <v>4.4213862195869964E-3</v>
      </c>
      <c r="Z3067" s="150">
        <v>21</v>
      </c>
      <c r="AA3067" s="150">
        <v>1.48</v>
      </c>
      <c r="AB3067" s="152"/>
      <c r="AC3067" s="152"/>
      <c r="AD3067" s="223">
        <v>17.403509</v>
      </c>
      <c r="AE3067" s="223">
        <v>0.36879590000000001</v>
      </c>
      <c r="AF3067" s="223">
        <v>6.4323501849999998</v>
      </c>
      <c r="AG3067" s="223">
        <v>1.2100162999999999</v>
      </c>
      <c r="AH3067" s="341"/>
      <c r="AI3067" s="218"/>
      <c r="AJ3067" s="218"/>
      <c r="AK3067" s="153"/>
      <c r="AL3067" s="152"/>
      <c r="AM3067" s="152"/>
      <c r="AN3067" s="152"/>
      <c r="AO3067" s="152"/>
      <c r="AP3067" s="152"/>
      <c r="AQ3067" s="152"/>
      <c r="AR3067" s="152"/>
      <c r="AS3067" s="152"/>
      <c r="AT3067" s="152"/>
      <c r="AU3067" s="153"/>
      <c r="AV3067" s="479"/>
      <c r="AW3067" s="479"/>
      <c r="AX3067" s="442"/>
      <c r="AY3067" s="153"/>
      <c r="AZ3067" s="152"/>
      <c r="BA3067" s="152"/>
      <c r="BB3067" s="152"/>
      <c r="BC3067" s="152"/>
      <c r="BD3067" s="152"/>
      <c r="BE3067" s="152"/>
      <c r="BF3067" s="152"/>
      <c r="BG3067" s="152"/>
      <c r="BH3067" s="152"/>
      <c r="BI3067" s="153"/>
      <c r="BJ3067" s="153"/>
      <c r="BK3067" s="153"/>
      <c r="BL3067" s="153"/>
      <c r="BM3067" s="153"/>
      <c r="BN3067" s="153"/>
      <c r="BO3067" s="153"/>
      <c r="BP3067" s="153"/>
      <c r="BQ3067" s="153"/>
      <c r="BR3067" s="153"/>
      <c r="BS3067" s="153"/>
      <c r="BT3067" s="153"/>
      <c r="BU3067" s="153"/>
      <c r="BV3067" s="153"/>
      <c r="BW3067" s="153"/>
      <c r="BX3067" s="153"/>
      <c r="BY3067" s="153"/>
      <c r="BZ3067" s="153"/>
      <c r="CA3067" s="152"/>
      <c r="CB3067" s="152"/>
    </row>
    <row r="3068" spans="1:80" s="87" customFormat="1" ht="16.5" x14ac:dyDescent="0.3">
      <c r="A3068" s="152"/>
      <c r="B3068" s="683"/>
      <c r="C3068" s="683"/>
      <c r="D3068" s="698"/>
      <c r="E3068" s="215"/>
      <c r="F3068" s="215"/>
      <c r="G3068" s="153"/>
      <c r="H3068" s="153"/>
      <c r="I3068" s="317">
        <v>22</v>
      </c>
      <c r="J3068" s="317">
        <v>60</v>
      </c>
      <c r="K3068" s="168">
        <v>1</v>
      </c>
      <c r="L3068" s="642">
        <v>22</v>
      </c>
      <c r="M3068" s="663">
        <v>34831</v>
      </c>
      <c r="N3068" s="600">
        <v>7.5877999999999997</v>
      </c>
      <c r="O3068" s="604">
        <v>9.4671000000000005E-2</v>
      </c>
      <c r="P3068" s="150"/>
      <c r="Q3068" s="250"/>
      <c r="R3068" s="250">
        <v>8.6E-3</v>
      </c>
      <c r="S3068" s="250">
        <v>0.11699999999999999</v>
      </c>
      <c r="T3068" s="250">
        <v>0.10730000000000001</v>
      </c>
      <c r="U3068" s="250">
        <v>0.2094</v>
      </c>
      <c r="V3068" s="250">
        <v>0.2877022949620554</v>
      </c>
      <c r="W3068" s="250">
        <v>0.2040596141537899</v>
      </c>
      <c r="X3068" s="250">
        <v>6.2375422876474351E-2</v>
      </c>
      <c r="Y3068" s="250">
        <v>3.5293041967632806E-3</v>
      </c>
      <c r="Z3068" s="150">
        <v>17</v>
      </c>
      <c r="AA3068" s="150">
        <v>1.74</v>
      </c>
      <c r="AB3068" s="152"/>
      <c r="AC3068" s="152"/>
      <c r="AD3068" s="223">
        <v>17.403509</v>
      </c>
      <c r="AE3068" s="223">
        <v>0.36879590000000001</v>
      </c>
      <c r="AF3068" s="223">
        <v>6.4323501849999998</v>
      </c>
      <c r="AG3068" s="223">
        <v>1.2100162999999999</v>
      </c>
      <c r="AH3068" s="341"/>
      <c r="AI3068" s="218"/>
      <c r="AJ3068" s="218"/>
      <c r="AK3068" s="153"/>
      <c r="AL3068" s="152"/>
      <c r="AM3068" s="152"/>
      <c r="AN3068" s="152"/>
      <c r="AO3068" s="152"/>
      <c r="AP3068" s="152"/>
      <c r="AQ3068" s="152"/>
      <c r="AR3068" s="152"/>
      <c r="AS3068" s="152"/>
      <c r="AT3068" s="152"/>
      <c r="AU3068" s="153"/>
      <c r="AV3068" s="479"/>
      <c r="AW3068" s="479"/>
      <c r="AX3068" s="442"/>
      <c r="AY3068" s="153"/>
      <c r="AZ3068" s="152"/>
      <c r="BA3068" s="152"/>
      <c r="BB3068" s="152"/>
      <c r="BC3068" s="152"/>
      <c r="BD3068" s="152"/>
      <c r="BE3068" s="152"/>
      <c r="BF3068" s="152"/>
      <c r="BG3068" s="152"/>
      <c r="BH3068" s="152"/>
      <c r="BI3068" s="153"/>
      <c r="BJ3068" s="153"/>
      <c r="BK3068" s="153"/>
      <c r="BL3068" s="153"/>
      <c r="BM3068" s="153"/>
      <c r="BN3068" s="153"/>
      <c r="BO3068" s="153"/>
      <c r="BP3068" s="153"/>
      <c r="BQ3068" s="153"/>
      <c r="BR3068" s="153"/>
      <c r="BS3068" s="153"/>
      <c r="BT3068" s="153"/>
      <c r="BU3068" s="153"/>
      <c r="BV3068" s="153"/>
      <c r="BW3068" s="153"/>
      <c r="BX3068" s="153"/>
      <c r="BY3068" s="153"/>
      <c r="BZ3068" s="153"/>
      <c r="CA3068" s="152"/>
      <c r="CB3068" s="152"/>
    </row>
    <row r="3069" spans="1:80" s="87" customFormat="1" ht="16.5" x14ac:dyDescent="0.3">
      <c r="A3069" s="152"/>
      <c r="B3069" s="683"/>
      <c r="C3069" s="683"/>
      <c r="D3069" s="698"/>
      <c r="E3069" s="215"/>
      <c r="F3069" s="215"/>
      <c r="G3069" s="153"/>
      <c r="H3069" s="153"/>
      <c r="I3069" s="317">
        <v>22</v>
      </c>
      <c r="J3069" s="317">
        <v>60</v>
      </c>
      <c r="K3069" s="168">
        <v>1</v>
      </c>
      <c r="L3069" s="642">
        <v>22</v>
      </c>
      <c r="M3069" s="663">
        <v>34834</v>
      </c>
      <c r="N3069" s="600">
        <v>7.4745499999999998</v>
      </c>
      <c r="O3069" s="604">
        <v>4.6286000000000001E-2</v>
      </c>
      <c r="P3069" s="150"/>
      <c r="Q3069" s="250"/>
      <c r="R3069" s="250">
        <v>2.2599999999999999E-2</v>
      </c>
      <c r="S3069" s="250">
        <v>3.7100000000000001E-2</v>
      </c>
      <c r="T3069" s="250">
        <v>5.3099999999999994E-2</v>
      </c>
      <c r="U3069" s="250">
        <v>0.1431</v>
      </c>
      <c r="V3069" s="250">
        <v>0.28681111808349641</v>
      </c>
      <c r="W3069" s="250">
        <v>0.30807279170204127</v>
      </c>
      <c r="X3069" s="250">
        <v>0.14347938429736815</v>
      </c>
      <c r="Y3069" s="250">
        <v>5.8321951939758598E-3</v>
      </c>
      <c r="Z3069" s="150">
        <v>21</v>
      </c>
      <c r="AA3069" s="150">
        <v>1.1000000000000001</v>
      </c>
      <c r="AB3069" s="152"/>
      <c r="AC3069" s="152"/>
      <c r="AD3069" s="223"/>
      <c r="AE3069" s="223"/>
      <c r="AF3069" s="223"/>
      <c r="AG3069" s="223"/>
      <c r="AH3069" s="341"/>
      <c r="AI3069" s="218"/>
      <c r="AJ3069" s="218"/>
      <c r="AK3069" s="153"/>
      <c r="AL3069" s="152"/>
      <c r="AM3069" s="152"/>
      <c r="AN3069" s="152"/>
      <c r="AO3069" s="152"/>
      <c r="AP3069" s="152"/>
      <c r="AQ3069" s="152"/>
      <c r="AR3069" s="152"/>
      <c r="AS3069" s="152"/>
      <c r="AT3069" s="152"/>
      <c r="AU3069" s="153"/>
      <c r="AV3069" s="479"/>
      <c r="AW3069" s="479"/>
      <c r="AX3069" s="442"/>
      <c r="AY3069" s="153"/>
      <c r="AZ3069" s="152"/>
      <c r="BA3069" s="152"/>
      <c r="BB3069" s="152"/>
      <c r="BC3069" s="152"/>
      <c r="BD3069" s="152"/>
      <c r="BE3069" s="152"/>
      <c r="BF3069" s="152"/>
      <c r="BG3069" s="152"/>
      <c r="BH3069" s="152"/>
      <c r="BI3069" s="153"/>
      <c r="BJ3069" s="153"/>
      <c r="BK3069" s="153"/>
      <c r="BL3069" s="153"/>
      <c r="BM3069" s="153"/>
      <c r="BN3069" s="153"/>
      <c r="BO3069" s="153"/>
      <c r="BP3069" s="153"/>
      <c r="BQ3069" s="153"/>
      <c r="BR3069" s="153"/>
      <c r="BS3069" s="153"/>
      <c r="BT3069" s="153"/>
      <c r="BU3069" s="153"/>
      <c r="BV3069" s="153"/>
      <c r="BW3069" s="153"/>
      <c r="BX3069" s="153"/>
      <c r="BY3069" s="153"/>
      <c r="BZ3069" s="153"/>
      <c r="CA3069" s="152"/>
      <c r="CB3069" s="152"/>
    </row>
    <row r="3070" spans="1:80" s="87" customFormat="1" ht="16.5" x14ac:dyDescent="0.3">
      <c r="A3070" s="152"/>
      <c r="B3070" s="683"/>
      <c r="C3070" s="683"/>
      <c r="D3070" s="698"/>
      <c r="E3070" s="215"/>
      <c r="F3070" s="215"/>
      <c r="G3070" s="153"/>
      <c r="H3070" s="153"/>
      <c r="I3070" s="317">
        <v>22</v>
      </c>
      <c r="J3070" s="317">
        <v>60</v>
      </c>
      <c r="K3070" s="168">
        <v>1</v>
      </c>
      <c r="L3070" s="642">
        <v>22</v>
      </c>
      <c r="M3070" s="663">
        <v>34834</v>
      </c>
      <c r="N3070" s="600">
        <v>7.4745499999999998</v>
      </c>
      <c r="O3070" s="604">
        <v>4.6810999999999998E-2</v>
      </c>
      <c r="P3070" s="150"/>
      <c r="Q3070" s="250"/>
      <c r="R3070" s="250">
        <v>6.5000000000000002E-2</v>
      </c>
      <c r="S3070" s="250">
        <v>1.7899999999999999E-2</v>
      </c>
      <c r="T3070" s="250">
        <v>5.9200000000000003E-2</v>
      </c>
      <c r="U3070" s="250">
        <v>0.1565</v>
      </c>
      <c r="V3070" s="250">
        <v>0.28745396871695772</v>
      </c>
      <c r="W3070" s="250">
        <v>0.28399022860684731</v>
      </c>
      <c r="X3070" s="250">
        <v>0.12046523498742115</v>
      </c>
      <c r="Y3070" s="250">
        <v>9.5161701972508849E-3</v>
      </c>
      <c r="Z3070" s="150">
        <v>18</v>
      </c>
      <c r="AA3070" s="150">
        <v>1.21</v>
      </c>
      <c r="AB3070" s="152"/>
      <c r="AC3070" s="152"/>
      <c r="AD3070" s="223"/>
      <c r="AE3070" s="223"/>
      <c r="AF3070" s="223"/>
      <c r="AG3070" s="223"/>
      <c r="AH3070" s="341"/>
      <c r="AI3070" s="218"/>
      <c r="AJ3070" s="218"/>
      <c r="AK3070" s="153"/>
      <c r="AL3070" s="152"/>
      <c r="AM3070" s="152"/>
      <c r="AN3070" s="152"/>
      <c r="AO3070" s="152"/>
      <c r="AP3070" s="152"/>
      <c r="AQ3070" s="152"/>
      <c r="AR3070" s="152"/>
      <c r="AS3070" s="152"/>
      <c r="AT3070" s="152"/>
      <c r="AU3070" s="153"/>
      <c r="AV3070" s="479"/>
      <c r="AW3070" s="479"/>
      <c r="AX3070" s="442"/>
      <c r="AY3070" s="153"/>
      <c r="AZ3070" s="152"/>
      <c r="BA3070" s="152"/>
      <c r="BB3070" s="152"/>
      <c r="BC3070" s="152"/>
      <c r="BD3070" s="152"/>
      <c r="BE3070" s="152"/>
      <c r="BF3070" s="152"/>
      <c r="BG3070" s="152"/>
      <c r="BH3070" s="152"/>
      <c r="BI3070" s="153"/>
      <c r="BJ3070" s="153"/>
      <c r="BK3070" s="153"/>
      <c r="BL3070" s="153"/>
      <c r="BM3070" s="153"/>
      <c r="BN3070" s="153"/>
      <c r="BO3070" s="153"/>
      <c r="BP3070" s="153"/>
      <c r="BQ3070" s="153"/>
      <c r="BR3070" s="153"/>
      <c r="BS3070" s="153"/>
      <c r="BT3070" s="153"/>
      <c r="BU3070" s="153"/>
      <c r="BV3070" s="153"/>
      <c r="BW3070" s="153"/>
      <c r="BX3070" s="153"/>
      <c r="BY3070" s="153"/>
      <c r="BZ3070" s="153"/>
      <c r="CA3070" s="152"/>
      <c r="CB3070" s="152"/>
    </row>
    <row r="3071" spans="1:80" s="87" customFormat="1" ht="16.5" x14ac:dyDescent="0.3">
      <c r="A3071" s="152"/>
      <c r="B3071" s="683"/>
      <c r="C3071" s="683"/>
      <c r="D3071" s="698"/>
      <c r="E3071" s="215"/>
      <c r="F3071" s="215"/>
      <c r="G3071" s="153"/>
      <c r="H3071" s="153"/>
      <c r="I3071" s="317">
        <v>24</v>
      </c>
      <c r="J3071" s="317">
        <v>60</v>
      </c>
      <c r="K3071" s="168">
        <v>1</v>
      </c>
      <c r="L3071" s="642">
        <v>24</v>
      </c>
      <c r="M3071" s="663">
        <v>34835</v>
      </c>
      <c r="N3071" s="600">
        <v>9.7961899999999993</v>
      </c>
      <c r="O3071" s="604">
        <v>0.26239299999999999</v>
      </c>
      <c r="P3071" s="150"/>
      <c r="Q3071" s="250"/>
      <c r="R3071" s="250">
        <v>5.0799999999999998E-2</v>
      </c>
      <c r="S3071" s="250">
        <v>8.3800000000000013E-2</v>
      </c>
      <c r="T3071" s="250">
        <v>0.11359999999999999</v>
      </c>
      <c r="U3071" s="250">
        <v>0.16079999999999997</v>
      </c>
      <c r="V3071" s="250">
        <v>0.21744421630882615</v>
      </c>
      <c r="W3071" s="250">
        <v>0.23456345267394585</v>
      </c>
      <c r="X3071" s="250">
        <v>0.12990359381586283</v>
      </c>
      <c r="Y3071" s="250">
        <v>9.0695239519736764E-3</v>
      </c>
      <c r="Z3071" s="150">
        <v>19</v>
      </c>
      <c r="AA3071" s="150">
        <v>1.46</v>
      </c>
      <c r="AB3071" s="152"/>
      <c r="AC3071" s="152"/>
      <c r="AD3071" s="223">
        <v>19.597996999999999</v>
      </c>
      <c r="AE3071" s="223">
        <v>0.40232279999999998</v>
      </c>
      <c r="AF3071" s="223">
        <v>7.9071213709999997</v>
      </c>
      <c r="AG3071" s="223">
        <v>1.2618305999999999</v>
      </c>
      <c r="AH3071" s="341"/>
      <c r="AI3071" s="218"/>
      <c r="AJ3071" s="218"/>
      <c r="AK3071" s="153"/>
      <c r="AL3071" s="152"/>
      <c r="AM3071" s="152"/>
      <c r="AN3071" s="152"/>
      <c r="AO3071" s="152"/>
      <c r="AP3071" s="152"/>
      <c r="AQ3071" s="152"/>
      <c r="AR3071" s="152"/>
      <c r="AS3071" s="152"/>
      <c r="AT3071" s="152"/>
      <c r="AU3071" s="153"/>
      <c r="AV3071" s="479"/>
      <c r="AW3071" s="479"/>
      <c r="AX3071" s="442"/>
      <c r="AY3071" s="153"/>
      <c r="AZ3071" s="152"/>
      <c r="BA3071" s="152"/>
      <c r="BB3071" s="152"/>
      <c r="BC3071" s="152"/>
      <c r="BD3071" s="152"/>
      <c r="BE3071" s="152"/>
      <c r="BF3071" s="152"/>
      <c r="BG3071" s="152"/>
      <c r="BH3071" s="152"/>
      <c r="BI3071" s="153"/>
      <c r="BJ3071" s="153"/>
      <c r="BK3071" s="153"/>
      <c r="BL3071" s="153"/>
      <c r="BM3071" s="153"/>
      <c r="BN3071" s="153"/>
      <c r="BO3071" s="153"/>
      <c r="BP3071" s="153"/>
      <c r="BQ3071" s="153"/>
      <c r="BR3071" s="153"/>
      <c r="BS3071" s="153"/>
      <c r="BT3071" s="153"/>
      <c r="BU3071" s="153"/>
      <c r="BV3071" s="153"/>
      <c r="BW3071" s="153"/>
      <c r="BX3071" s="153"/>
      <c r="BY3071" s="153"/>
      <c r="BZ3071" s="153"/>
      <c r="CA3071" s="152"/>
      <c r="CB3071" s="152"/>
    </row>
    <row r="3072" spans="1:80" s="87" customFormat="1" ht="16.5" x14ac:dyDescent="0.3">
      <c r="A3072" s="152"/>
      <c r="B3072" s="683"/>
      <c r="C3072" s="683"/>
      <c r="D3072" s="698"/>
      <c r="E3072" s="215"/>
      <c r="F3072" s="215"/>
      <c r="G3072" s="153"/>
      <c r="H3072" s="153"/>
      <c r="I3072" s="317">
        <v>24</v>
      </c>
      <c r="J3072" s="317">
        <v>60</v>
      </c>
      <c r="K3072" s="168">
        <v>1</v>
      </c>
      <c r="L3072" s="642">
        <v>24</v>
      </c>
      <c r="M3072" s="663">
        <v>34835</v>
      </c>
      <c r="N3072" s="600">
        <v>9.7961899999999993</v>
      </c>
      <c r="O3072" s="604">
        <v>0.30962400000000001</v>
      </c>
      <c r="P3072" s="150"/>
      <c r="Q3072" s="250"/>
      <c r="R3072" s="250">
        <v>0.15759999999999999</v>
      </c>
      <c r="S3072" s="250">
        <v>6.3500000000000001E-2</v>
      </c>
      <c r="T3072" s="250">
        <v>8.4399999999999989E-2</v>
      </c>
      <c r="U3072" s="250">
        <v>0.17530000000000001</v>
      </c>
      <c r="V3072" s="250">
        <v>0.2307284187701481</v>
      </c>
      <c r="W3072" s="250">
        <v>0.20189385420090766</v>
      </c>
      <c r="X3072" s="250">
        <v>8.0852119052150173E-2</v>
      </c>
      <c r="Y3072" s="250">
        <v>5.7496121751065433E-3</v>
      </c>
      <c r="Z3072" s="150">
        <v>36</v>
      </c>
      <c r="AA3072" s="150">
        <v>1.88</v>
      </c>
      <c r="AB3072" s="152"/>
      <c r="AC3072" s="152"/>
      <c r="AD3072" s="223">
        <v>19.597996999999999</v>
      </c>
      <c r="AE3072" s="223">
        <v>0.40232279999999998</v>
      </c>
      <c r="AF3072" s="223">
        <v>7.9071213709999997</v>
      </c>
      <c r="AG3072" s="223">
        <v>1.2618305999999999</v>
      </c>
      <c r="AH3072" s="341"/>
      <c r="AI3072" s="218"/>
      <c r="AJ3072" s="218"/>
      <c r="AK3072" s="153"/>
      <c r="AL3072" s="152"/>
      <c r="AM3072" s="152"/>
      <c r="AN3072" s="152"/>
      <c r="AO3072" s="152"/>
      <c r="AP3072" s="152"/>
      <c r="AQ3072" s="152"/>
      <c r="AR3072" s="152"/>
      <c r="AS3072" s="152"/>
      <c r="AT3072" s="152"/>
      <c r="AU3072" s="153"/>
      <c r="AV3072" s="479"/>
      <c r="AW3072" s="479"/>
      <c r="AX3072" s="442"/>
      <c r="AY3072" s="153"/>
      <c r="AZ3072" s="152"/>
      <c r="BA3072" s="152"/>
      <c r="BB3072" s="152"/>
      <c r="BC3072" s="152"/>
      <c r="BD3072" s="152"/>
      <c r="BE3072" s="152"/>
      <c r="BF3072" s="152"/>
      <c r="BG3072" s="152"/>
      <c r="BH3072" s="152"/>
      <c r="BI3072" s="153"/>
      <c r="BJ3072" s="153"/>
      <c r="BK3072" s="153"/>
      <c r="BL3072" s="153"/>
      <c r="BM3072" s="153"/>
      <c r="BN3072" s="153"/>
      <c r="BO3072" s="153"/>
      <c r="BP3072" s="153"/>
      <c r="BQ3072" s="153"/>
      <c r="BR3072" s="153"/>
      <c r="BS3072" s="153"/>
      <c r="BT3072" s="153"/>
      <c r="BU3072" s="153"/>
      <c r="BV3072" s="153"/>
      <c r="BW3072" s="153"/>
      <c r="BX3072" s="153"/>
      <c r="BY3072" s="153"/>
      <c r="BZ3072" s="153"/>
      <c r="CA3072" s="152"/>
      <c r="CB3072" s="152"/>
    </row>
    <row r="3073" spans="1:80" s="87" customFormat="1" ht="16.5" x14ac:dyDescent="0.3">
      <c r="A3073" s="152"/>
      <c r="B3073" s="683"/>
      <c r="C3073" s="683"/>
      <c r="D3073" s="698"/>
      <c r="E3073" s="215"/>
      <c r="F3073" s="215"/>
      <c r="G3073" s="153"/>
      <c r="H3073" s="153"/>
      <c r="I3073" s="317">
        <v>24</v>
      </c>
      <c r="J3073" s="317">
        <v>60</v>
      </c>
      <c r="K3073" s="168">
        <v>1</v>
      </c>
      <c r="L3073" s="642">
        <v>24</v>
      </c>
      <c r="M3073" s="663">
        <v>34840</v>
      </c>
      <c r="N3073" s="600">
        <v>14.411199999999999</v>
      </c>
      <c r="O3073" s="604">
        <v>0.10810599999999999</v>
      </c>
      <c r="P3073" s="150"/>
      <c r="Q3073" s="250"/>
      <c r="R3073" s="250">
        <v>9.6199999999999994E-2</v>
      </c>
      <c r="S3073" s="250">
        <v>0.1198</v>
      </c>
      <c r="T3073" s="250">
        <v>0.1225</v>
      </c>
      <c r="U3073" s="250">
        <v>0.1585</v>
      </c>
      <c r="V3073" s="250">
        <v>0.232101921165277</v>
      </c>
      <c r="W3073" s="250">
        <v>0.19682307832755158</v>
      </c>
      <c r="X3073" s="250">
        <v>7.0760554236909898E-2</v>
      </c>
      <c r="Y3073" s="250">
        <v>3.2661838394903936E-3</v>
      </c>
      <c r="Z3073" s="150">
        <v>27</v>
      </c>
      <c r="AA3073" s="150">
        <v>1.98</v>
      </c>
      <c r="AB3073" s="152"/>
      <c r="AC3073" s="152"/>
      <c r="AD3073" s="223">
        <v>24.078410000000002</v>
      </c>
      <c r="AE3073" s="223">
        <v>0.49375980000000003</v>
      </c>
      <c r="AF3073" s="223">
        <v>11.90918237</v>
      </c>
      <c r="AG3073" s="223">
        <v>1.1612499000000001</v>
      </c>
      <c r="AH3073" s="341"/>
      <c r="AI3073" s="218"/>
      <c r="AJ3073" s="218"/>
      <c r="AK3073" s="153"/>
      <c r="AL3073" s="152"/>
      <c r="AM3073" s="152"/>
      <c r="AN3073" s="152"/>
      <c r="AO3073" s="152"/>
      <c r="AP3073" s="152"/>
      <c r="AQ3073" s="152"/>
      <c r="AR3073" s="152"/>
      <c r="AS3073" s="152"/>
      <c r="AT3073" s="152"/>
      <c r="AU3073" s="153"/>
      <c r="AV3073" s="479"/>
      <c r="AW3073" s="479"/>
      <c r="AX3073" s="442"/>
      <c r="AY3073" s="153"/>
      <c r="AZ3073" s="152"/>
      <c r="BA3073" s="152"/>
      <c r="BB3073" s="152"/>
      <c r="BC3073" s="152"/>
      <c r="BD3073" s="152"/>
      <c r="BE3073" s="152"/>
      <c r="BF3073" s="152"/>
      <c r="BG3073" s="152"/>
      <c r="BH3073" s="152"/>
      <c r="BI3073" s="153"/>
      <c r="BJ3073" s="153"/>
      <c r="BK3073" s="153"/>
      <c r="BL3073" s="153"/>
      <c r="BM3073" s="153"/>
      <c r="BN3073" s="153"/>
      <c r="BO3073" s="153"/>
      <c r="BP3073" s="153"/>
      <c r="BQ3073" s="153"/>
      <c r="BR3073" s="153"/>
      <c r="BS3073" s="153"/>
      <c r="BT3073" s="153"/>
      <c r="BU3073" s="153"/>
      <c r="BV3073" s="153"/>
      <c r="BW3073" s="153"/>
      <c r="BX3073" s="153"/>
      <c r="BY3073" s="153"/>
      <c r="BZ3073" s="153"/>
      <c r="CA3073" s="152"/>
      <c r="CB3073" s="152"/>
    </row>
    <row r="3074" spans="1:80" s="87" customFormat="1" ht="16.5" x14ac:dyDescent="0.3">
      <c r="A3074" s="152"/>
      <c r="B3074" s="683"/>
      <c r="C3074" s="683"/>
      <c r="D3074" s="698"/>
      <c r="E3074" s="215"/>
      <c r="F3074" s="215"/>
      <c r="G3074" s="153"/>
      <c r="H3074" s="153"/>
      <c r="I3074" s="317">
        <v>24</v>
      </c>
      <c r="J3074" s="317">
        <v>60</v>
      </c>
      <c r="K3074" s="168">
        <v>1</v>
      </c>
      <c r="L3074" s="642">
        <v>24</v>
      </c>
      <c r="M3074" s="663">
        <v>34840</v>
      </c>
      <c r="N3074" s="600">
        <v>14.411199999999999</v>
      </c>
      <c r="O3074" s="604">
        <v>9.7295000000000006E-2</v>
      </c>
      <c r="P3074" s="150"/>
      <c r="Q3074" s="250"/>
      <c r="R3074" s="250">
        <v>0.23829999999999998</v>
      </c>
      <c r="S3074" s="250">
        <v>0.14880000000000002</v>
      </c>
      <c r="T3074" s="250">
        <v>7.5600000000000001E-2</v>
      </c>
      <c r="U3074" s="250">
        <v>0.1186</v>
      </c>
      <c r="V3074" s="250">
        <v>0.18941171163042497</v>
      </c>
      <c r="W3074" s="250">
        <v>0.15661373274384188</v>
      </c>
      <c r="X3074" s="250">
        <v>6.8799061625913552E-2</v>
      </c>
      <c r="Y3074" s="250">
        <v>3.857258864928268E-3</v>
      </c>
      <c r="Z3074" s="150">
        <v>26</v>
      </c>
      <c r="AA3074" s="150">
        <v>3.1</v>
      </c>
      <c r="AB3074" s="152"/>
      <c r="AC3074" s="152"/>
      <c r="AD3074" s="223">
        <v>24.078410000000002</v>
      </c>
      <c r="AE3074" s="223">
        <v>0.49375980000000003</v>
      </c>
      <c r="AF3074" s="223">
        <v>11.90918237</v>
      </c>
      <c r="AG3074" s="223">
        <v>1.1612499000000001</v>
      </c>
      <c r="AH3074" s="341"/>
      <c r="AI3074" s="218"/>
      <c r="AJ3074" s="218"/>
      <c r="AK3074" s="153"/>
      <c r="AL3074" s="152"/>
      <c r="AM3074" s="152"/>
      <c r="AN3074" s="152"/>
      <c r="AO3074" s="152"/>
      <c r="AP3074" s="152"/>
      <c r="AQ3074" s="152"/>
      <c r="AR3074" s="152"/>
      <c r="AS3074" s="152"/>
      <c r="AT3074" s="152"/>
      <c r="AU3074" s="153"/>
      <c r="AV3074" s="479"/>
      <c r="AW3074" s="479"/>
      <c r="AX3074" s="442"/>
      <c r="AY3074" s="153"/>
      <c r="AZ3074" s="152"/>
      <c r="BA3074" s="152"/>
      <c r="BB3074" s="152"/>
      <c r="BC3074" s="152"/>
      <c r="BD3074" s="152"/>
      <c r="BE3074" s="152"/>
      <c r="BF3074" s="152"/>
      <c r="BG3074" s="152"/>
      <c r="BH3074" s="152"/>
      <c r="BI3074" s="153"/>
      <c r="BJ3074" s="153"/>
      <c r="BK3074" s="153"/>
      <c r="BL3074" s="153"/>
      <c r="BM3074" s="153"/>
      <c r="BN3074" s="153"/>
      <c r="BO3074" s="153"/>
      <c r="BP3074" s="153"/>
      <c r="BQ3074" s="153"/>
      <c r="BR3074" s="153"/>
      <c r="BS3074" s="153"/>
      <c r="BT3074" s="153"/>
      <c r="BU3074" s="153"/>
      <c r="BV3074" s="153"/>
      <c r="BW3074" s="153"/>
      <c r="BX3074" s="153"/>
      <c r="BY3074" s="153"/>
      <c r="BZ3074" s="153"/>
      <c r="CA3074" s="152"/>
      <c r="CB3074" s="152"/>
    </row>
    <row r="3075" spans="1:80" s="87" customFormat="1" ht="16.5" x14ac:dyDescent="0.3">
      <c r="A3075" s="152"/>
      <c r="B3075" s="683"/>
      <c r="C3075" s="683"/>
      <c r="D3075" s="698"/>
      <c r="E3075" s="215"/>
      <c r="F3075" s="215"/>
      <c r="G3075" s="153"/>
      <c r="H3075" s="153"/>
      <c r="I3075" s="317">
        <v>24</v>
      </c>
      <c r="J3075" s="317">
        <v>60</v>
      </c>
      <c r="K3075" s="168">
        <v>1</v>
      </c>
      <c r="L3075" s="642">
        <v>24</v>
      </c>
      <c r="M3075" s="663">
        <v>34841</v>
      </c>
      <c r="N3075" s="600">
        <v>14.7509</v>
      </c>
      <c r="O3075" s="604">
        <v>9.3201999999999993E-2</v>
      </c>
      <c r="P3075" s="150"/>
      <c r="Q3075" s="250"/>
      <c r="R3075" s="250">
        <v>0.12619999999999998</v>
      </c>
      <c r="S3075" s="250">
        <v>0.1045</v>
      </c>
      <c r="T3075" s="250">
        <v>0.12300000000000001</v>
      </c>
      <c r="U3075" s="250">
        <v>0.1666</v>
      </c>
      <c r="V3075" s="250">
        <v>0.21932759152490097</v>
      </c>
      <c r="W3075" s="250">
        <v>0.18331079317626403</v>
      </c>
      <c r="X3075" s="250">
        <v>7.2342040951906425E-2</v>
      </c>
      <c r="Y3075" s="250">
        <v>4.6503903006145167E-3</v>
      </c>
      <c r="Z3075" s="150">
        <v>20</v>
      </c>
      <c r="AA3075" s="150">
        <v>2.16</v>
      </c>
      <c r="AB3075" s="152"/>
      <c r="AC3075" s="152"/>
      <c r="AD3075" s="223">
        <v>24.261284</v>
      </c>
      <c r="AE3075" s="223">
        <v>0.51814300000000002</v>
      </c>
      <c r="AF3075" s="223">
        <v>12.599762070000001</v>
      </c>
      <c r="AG3075" s="223">
        <v>1.1490583000000001</v>
      </c>
      <c r="AH3075" s="341"/>
      <c r="AI3075" s="218"/>
      <c r="AJ3075" s="218"/>
      <c r="AK3075" s="153"/>
      <c r="AL3075" s="152"/>
      <c r="AM3075" s="152"/>
      <c r="AN3075" s="152"/>
      <c r="AO3075" s="152"/>
      <c r="AP3075" s="152"/>
      <c r="AQ3075" s="152"/>
      <c r="AR3075" s="152"/>
      <c r="AS3075" s="152"/>
      <c r="AT3075" s="152"/>
      <c r="AU3075" s="153"/>
      <c r="AV3075" s="479"/>
      <c r="AW3075" s="479"/>
      <c r="AX3075" s="442"/>
      <c r="AY3075" s="153"/>
      <c r="AZ3075" s="152"/>
      <c r="BA3075" s="152"/>
      <c r="BB3075" s="152"/>
      <c r="BC3075" s="152"/>
      <c r="BD3075" s="152"/>
      <c r="BE3075" s="152"/>
      <c r="BF3075" s="152"/>
      <c r="BG3075" s="152"/>
      <c r="BH3075" s="152"/>
      <c r="BI3075" s="153"/>
      <c r="BJ3075" s="153"/>
      <c r="BK3075" s="153"/>
      <c r="BL3075" s="153"/>
      <c r="BM3075" s="153"/>
      <c r="BN3075" s="153"/>
      <c r="BO3075" s="153"/>
      <c r="BP3075" s="153"/>
      <c r="BQ3075" s="153"/>
      <c r="BR3075" s="153"/>
      <c r="BS3075" s="153"/>
      <c r="BT3075" s="153"/>
      <c r="BU3075" s="153"/>
      <c r="BV3075" s="153"/>
      <c r="BW3075" s="153"/>
      <c r="BX3075" s="153"/>
      <c r="BY3075" s="153"/>
      <c r="BZ3075" s="153"/>
      <c r="CA3075" s="152"/>
      <c r="CB3075" s="152"/>
    </row>
    <row r="3076" spans="1:80" s="87" customFormat="1" ht="16.5" x14ac:dyDescent="0.3">
      <c r="A3076" s="152"/>
      <c r="B3076" s="683"/>
      <c r="C3076" s="683"/>
      <c r="D3076" s="698"/>
      <c r="E3076" s="215"/>
      <c r="F3076" s="215"/>
      <c r="G3076" s="153"/>
      <c r="H3076" s="153"/>
      <c r="I3076" s="317">
        <v>24</v>
      </c>
      <c r="J3076" s="317">
        <v>60</v>
      </c>
      <c r="K3076" s="168">
        <v>1</v>
      </c>
      <c r="L3076" s="642">
        <v>24</v>
      </c>
      <c r="M3076" s="663">
        <v>34841</v>
      </c>
      <c r="N3076" s="600">
        <v>14.7509</v>
      </c>
      <c r="O3076" s="604">
        <v>0.109155</v>
      </c>
      <c r="P3076" s="150"/>
      <c r="Q3076" s="250"/>
      <c r="R3076" s="250">
        <v>9.06E-2</v>
      </c>
      <c r="S3076" s="250">
        <v>0.11109999999999999</v>
      </c>
      <c r="T3076" s="250">
        <v>0.13369999999999999</v>
      </c>
      <c r="U3076" s="250">
        <v>0.17629999999999998</v>
      </c>
      <c r="V3076" s="250">
        <v>0.24054968887447553</v>
      </c>
      <c r="W3076" s="250">
        <v>0.1848916634574457</v>
      </c>
      <c r="X3076" s="250">
        <v>5.91847903196384E-2</v>
      </c>
      <c r="Y3076" s="250">
        <v>3.7294525406895433E-3</v>
      </c>
      <c r="Z3076" s="150">
        <v>29</v>
      </c>
      <c r="AA3076" s="150">
        <v>2.08</v>
      </c>
      <c r="AB3076" s="152"/>
      <c r="AC3076" s="152"/>
      <c r="AD3076" s="223">
        <v>24.261284</v>
      </c>
      <c r="AE3076" s="223">
        <v>0.51814300000000002</v>
      </c>
      <c r="AF3076" s="223">
        <v>12.599762070000001</v>
      </c>
      <c r="AG3076" s="223">
        <v>1.1490583000000001</v>
      </c>
      <c r="AH3076" s="341"/>
      <c r="AI3076" s="218"/>
      <c r="AJ3076" s="218"/>
      <c r="AK3076" s="153"/>
      <c r="AL3076" s="152"/>
      <c r="AM3076" s="152"/>
      <c r="AN3076" s="152"/>
      <c r="AO3076" s="152"/>
      <c r="AP3076" s="152"/>
      <c r="AQ3076" s="152"/>
      <c r="AR3076" s="152"/>
      <c r="AS3076" s="152"/>
      <c r="AT3076" s="152"/>
      <c r="AU3076" s="153"/>
      <c r="AV3076" s="479"/>
      <c r="AW3076" s="479"/>
      <c r="AX3076" s="442"/>
      <c r="AY3076" s="153"/>
      <c r="AZ3076" s="152"/>
      <c r="BA3076" s="152"/>
      <c r="BB3076" s="152"/>
      <c r="BC3076" s="152"/>
      <c r="BD3076" s="152"/>
      <c r="BE3076" s="152"/>
      <c r="BF3076" s="152"/>
      <c r="BG3076" s="152"/>
      <c r="BH3076" s="152"/>
      <c r="BI3076" s="153"/>
      <c r="BJ3076" s="153"/>
      <c r="BK3076" s="153"/>
      <c r="BL3076" s="153"/>
      <c r="BM3076" s="153"/>
      <c r="BN3076" s="153"/>
      <c r="BO3076" s="153"/>
      <c r="BP3076" s="153"/>
      <c r="BQ3076" s="153"/>
      <c r="BR3076" s="153"/>
      <c r="BS3076" s="153"/>
      <c r="BT3076" s="153"/>
      <c r="BU3076" s="153"/>
      <c r="BV3076" s="153"/>
      <c r="BW3076" s="153"/>
      <c r="BX3076" s="153"/>
      <c r="BY3076" s="153"/>
      <c r="BZ3076" s="153"/>
      <c r="CA3076" s="152"/>
      <c r="CB3076" s="152"/>
    </row>
    <row r="3077" spans="1:80" s="87" customFormat="1" ht="16.5" x14ac:dyDescent="0.3">
      <c r="A3077" s="152"/>
      <c r="B3077" s="683"/>
      <c r="C3077" s="683"/>
      <c r="D3077" s="698"/>
      <c r="E3077" s="215"/>
      <c r="F3077" s="215"/>
      <c r="G3077" s="153"/>
      <c r="H3077" s="153"/>
      <c r="I3077" s="317">
        <v>24</v>
      </c>
      <c r="J3077" s="317">
        <v>60</v>
      </c>
      <c r="K3077" s="168">
        <v>1</v>
      </c>
      <c r="L3077" s="642">
        <v>24</v>
      </c>
      <c r="M3077" s="663">
        <v>34843</v>
      </c>
      <c r="N3077" s="600">
        <v>14.439500000000001</v>
      </c>
      <c r="O3077" s="604">
        <v>6.6123000000000001E-2</v>
      </c>
      <c r="P3077" s="150"/>
      <c r="Q3077" s="250"/>
      <c r="R3077" s="250">
        <v>0.35729999999999995</v>
      </c>
      <c r="S3077" s="250">
        <v>7.9899999999999999E-2</v>
      </c>
      <c r="T3077" s="250">
        <v>5.9299999999999999E-2</v>
      </c>
      <c r="U3077" s="250">
        <v>0.1043</v>
      </c>
      <c r="V3077" s="250">
        <v>0.17393339574695738</v>
      </c>
      <c r="W3077" s="250">
        <v>0.16116089340644649</v>
      </c>
      <c r="X3077" s="250">
        <v>6.1722616022468924E-2</v>
      </c>
      <c r="Y3077" s="250">
        <v>2.3739467700949583E-3</v>
      </c>
      <c r="Z3077" s="150">
        <v>49</v>
      </c>
      <c r="AA3077" s="150">
        <v>3.89</v>
      </c>
      <c r="AB3077" s="152"/>
      <c r="AC3077" s="152"/>
      <c r="AD3077" s="223">
        <v>24.230805</v>
      </c>
      <c r="AE3077" s="223">
        <v>0.49680770000000002</v>
      </c>
      <c r="AF3077" s="223">
        <v>12.0202714</v>
      </c>
      <c r="AG3077" s="223">
        <v>1.1795373</v>
      </c>
      <c r="AH3077" s="341"/>
      <c r="AI3077" s="218"/>
      <c r="AJ3077" s="218"/>
      <c r="AK3077" s="153"/>
      <c r="AL3077" s="152"/>
      <c r="AM3077" s="152"/>
      <c r="AN3077" s="152"/>
      <c r="AO3077" s="152"/>
      <c r="AP3077" s="152"/>
      <c r="AQ3077" s="152"/>
      <c r="AR3077" s="152"/>
      <c r="AS3077" s="152"/>
      <c r="AT3077" s="152"/>
      <c r="AU3077" s="153"/>
      <c r="AV3077" s="479"/>
      <c r="AW3077" s="479"/>
      <c r="AX3077" s="442"/>
      <c r="AY3077" s="153"/>
      <c r="AZ3077" s="152"/>
      <c r="BA3077" s="152"/>
      <c r="BB3077" s="152"/>
      <c r="BC3077" s="152"/>
      <c r="BD3077" s="152"/>
      <c r="BE3077" s="152"/>
      <c r="BF3077" s="152"/>
      <c r="BG3077" s="152"/>
      <c r="BH3077" s="152"/>
      <c r="BI3077" s="153"/>
      <c r="BJ3077" s="153"/>
      <c r="BK3077" s="153"/>
      <c r="BL3077" s="153"/>
      <c r="BM3077" s="153"/>
      <c r="BN3077" s="153"/>
      <c r="BO3077" s="153"/>
      <c r="BP3077" s="153"/>
      <c r="BQ3077" s="153"/>
      <c r="BR3077" s="153"/>
      <c r="BS3077" s="153"/>
      <c r="BT3077" s="153"/>
      <c r="BU3077" s="153"/>
      <c r="BV3077" s="153"/>
      <c r="BW3077" s="153"/>
      <c r="BX3077" s="153"/>
      <c r="BY3077" s="153"/>
      <c r="BZ3077" s="153"/>
      <c r="CA3077" s="152"/>
      <c r="CB3077" s="152"/>
    </row>
    <row r="3078" spans="1:80" s="87" customFormat="1" ht="16.5" x14ac:dyDescent="0.3">
      <c r="A3078" s="152"/>
      <c r="B3078" s="683"/>
      <c r="C3078" s="683"/>
      <c r="D3078" s="698"/>
      <c r="E3078" s="215"/>
      <c r="F3078" s="215"/>
      <c r="G3078" s="153"/>
      <c r="H3078" s="153"/>
      <c r="I3078" s="317">
        <v>24</v>
      </c>
      <c r="J3078" s="317">
        <v>60</v>
      </c>
      <c r="K3078" s="168">
        <v>1</v>
      </c>
      <c r="L3078" s="642">
        <v>24</v>
      </c>
      <c r="M3078" s="663">
        <v>34843</v>
      </c>
      <c r="N3078" s="600">
        <v>14.439500000000001</v>
      </c>
      <c r="O3078" s="604">
        <v>4.9540000000000001E-2</v>
      </c>
      <c r="P3078" s="150"/>
      <c r="Q3078" s="250"/>
      <c r="R3078" s="250"/>
      <c r="S3078" s="250">
        <v>0.11869999999999999</v>
      </c>
      <c r="T3078" s="250">
        <v>0.1419</v>
      </c>
      <c r="U3078" s="250">
        <v>0.2296</v>
      </c>
      <c r="V3078" s="250">
        <v>0.28070019152821701</v>
      </c>
      <c r="W3078" s="250">
        <v>0.16324439891318876</v>
      </c>
      <c r="X3078" s="250">
        <v>6.2046234020756319E-2</v>
      </c>
      <c r="Y3078" s="250">
        <v>3.9196472317491425E-3</v>
      </c>
      <c r="Z3078" s="150">
        <v>13.5</v>
      </c>
      <c r="AA3078" s="150">
        <v>1.95</v>
      </c>
      <c r="AB3078" s="152"/>
      <c r="AC3078" s="152"/>
      <c r="AD3078" s="223">
        <v>24.230805</v>
      </c>
      <c r="AE3078" s="223">
        <v>0.49680770000000002</v>
      </c>
      <c r="AF3078" s="223">
        <v>12.0202714</v>
      </c>
      <c r="AG3078" s="223">
        <v>1.1795373</v>
      </c>
      <c r="AH3078" s="341"/>
      <c r="AI3078" s="218"/>
      <c r="AJ3078" s="218"/>
      <c r="AK3078" s="153"/>
      <c r="AL3078" s="152"/>
      <c r="AM3078" s="152"/>
      <c r="AN3078" s="152"/>
      <c r="AO3078" s="152"/>
      <c r="AP3078" s="152"/>
      <c r="AQ3078" s="152"/>
      <c r="AR3078" s="152"/>
      <c r="AS3078" s="152"/>
      <c r="AT3078" s="152"/>
      <c r="AU3078" s="153"/>
      <c r="AV3078" s="479"/>
      <c r="AW3078" s="479"/>
      <c r="AX3078" s="442"/>
      <c r="AY3078" s="153"/>
      <c r="AZ3078" s="152"/>
      <c r="BA3078" s="152"/>
      <c r="BB3078" s="152"/>
      <c r="BC3078" s="152"/>
      <c r="BD3078" s="152"/>
      <c r="BE3078" s="152"/>
      <c r="BF3078" s="152"/>
      <c r="BG3078" s="152"/>
      <c r="BH3078" s="152"/>
      <c r="BI3078" s="153"/>
      <c r="BJ3078" s="153"/>
      <c r="BK3078" s="153"/>
      <c r="BL3078" s="153"/>
      <c r="BM3078" s="153"/>
      <c r="BN3078" s="153"/>
      <c r="BO3078" s="153"/>
      <c r="BP3078" s="153"/>
      <c r="BQ3078" s="153"/>
      <c r="BR3078" s="153"/>
      <c r="BS3078" s="153"/>
      <c r="BT3078" s="153"/>
      <c r="BU3078" s="153"/>
      <c r="BV3078" s="153"/>
      <c r="BW3078" s="153"/>
      <c r="BX3078" s="153"/>
      <c r="BY3078" s="153"/>
      <c r="BZ3078" s="153"/>
      <c r="CA3078" s="152"/>
      <c r="CB3078" s="152"/>
    </row>
    <row r="3079" spans="1:80" s="87" customFormat="1" ht="16.5" x14ac:dyDescent="0.3">
      <c r="A3079" s="152"/>
      <c r="B3079" s="683"/>
      <c r="C3079" s="683"/>
      <c r="D3079" s="698"/>
      <c r="E3079" s="215"/>
      <c r="F3079" s="215"/>
      <c r="G3079" s="153"/>
      <c r="H3079" s="153"/>
      <c r="I3079" s="317">
        <v>24</v>
      </c>
      <c r="J3079" s="317">
        <v>60</v>
      </c>
      <c r="K3079" s="168">
        <v>1</v>
      </c>
      <c r="L3079" s="642">
        <v>24</v>
      </c>
      <c r="M3079" s="663">
        <v>34845</v>
      </c>
      <c r="N3079" s="600">
        <v>13.844900000000001</v>
      </c>
      <c r="O3079" s="604">
        <v>9.2676999999999995E-2</v>
      </c>
      <c r="P3079" s="150"/>
      <c r="Q3079" s="250"/>
      <c r="R3079" s="250">
        <v>0.19239999999999999</v>
      </c>
      <c r="S3079" s="250">
        <v>4.36E-2</v>
      </c>
      <c r="T3079" s="250">
        <v>9.6500000000000002E-2</v>
      </c>
      <c r="U3079" s="250">
        <v>0.20899999999999999</v>
      </c>
      <c r="V3079" s="250">
        <v>0.2610992148465382</v>
      </c>
      <c r="W3079" s="250">
        <v>0.14656197953842492</v>
      </c>
      <c r="X3079" s="250">
        <v>4.7822983583154892E-2</v>
      </c>
      <c r="Y3079" s="250">
        <v>2.9978586723768737E-3</v>
      </c>
      <c r="Z3079" s="150">
        <v>30</v>
      </c>
      <c r="AA3079" s="150">
        <v>2.25</v>
      </c>
      <c r="AB3079" s="152"/>
      <c r="AC3079" s="152"/>
      <c r="AD3079" s="223">
        <v>24.200326</v>
      </c>
      <c r="AE3079" s="223">
        <v>0.46328079999999999</v>
      </c>
      <c r="AF3079" s="223">
        <v>11.18260106</v>
      </c>
      <c r="AG3079" s="223">
        <v>1.2496389999999999</v>
      </c>
      <c r="AH3079" s="341"/>
      <c r="AI3079" s="218"/>
      <c r="AJ3079" s="218"/>
      <c r="AK3079" s="153"/>
      <c r="AL3079" s="152"/>
      <c r="AM3079" s="152"/>
      <c r="AN3079" s="152"/>
      <c r="AO3079" s="152"/>
      <c r="AP3079" s="152"/>
      <c r="AQ3079" s="152"/>
      <c r="AR3079" s="152"/>
      <c r="AS3079" s="152"/>
      <c r="AT3079" s="152"/>
      <c r="AU3079" s="153"/>
      <c r="AV3079" s="479"/>
      <c r="AW3079" s="479"/>
      <c r="AX3079" s="442"/>
      <c r="AY3079" s="153"/>
      <c r="AZ3079" s="152"/>
      <c r="BA3079" s="152"/>
      <c r="BB3079" s="152"/>
      <c r="BC3079" s="152"/>
      <c r="BD3079" s="152"/>
      <c r="BE3079" s="152"/>
      <c r="BF3079" s="152"/>
      <c r="BG3079" s="152"/>
      <c r="BH3079" s="152"/>
      <c r="BI3079" s="153"/>
      <c r="BJ3079" s="153"/>
      <c r="BK3079" s="153"/>
      <c r="BL3079" s="153"/>
      <c r="BM3079" s="153"/>
      <c r="BN3079" s="153"/>
      <c r="BO3079" s="153"/>
      <c r="BP3079" s="153"/>
      <c r="BQ3079" s="153"/>
      <c r="BR3079" s="153"/>
      <c r="BS3079" s="153"/>
      <c r="BT3079" s="153"/>
      <c r="BU3079" s="153"/>
      <c r="BV3079" s="153"/>
      <c r="BW3079" s="153"/>
      <c r="BX3079" s="153"/>
      <c r="BY3079" s="153"/>
      <c r="BZ3079" s="153"/>
      <c r="CA3079" s="152"/>
      <c r="CB3079" s="152"/>
    </row>
    <row r="3080" spans="1:80" s="87" customFormat="1" ht="16.5" x14ac:dyDescent="0.3">
      <c r="A3080" s="152"/>
      <c r="B3080" s="683"/>
      <c r="C3080" s="683"/>
      <c r="D3080" s="698"/>
      <c r="E3080" s="215"/>
      <c r="F3080" s="215"/>
      <c r="G3080" s="153"/>
      <c r="H3080" s="153"/>
      <c r="I3080" s="317">
        <v>24</v>
      </c>
      <c r="J3080" s="317">
        <v>60</v>
      </c>
      <c r="K3080" s="168">
        <v>1</v>
      </c>
      <c r="L3080" s="642">
        <v>24</v>
      </c>
      <c r="M3080" s="663">
        <v>34845</v>
      </c>
      <c r="N3080" s="600">
        <v>13.844900000000001</v>
      </c>
      <c r="O3080" s="604">
        <v>0.10401299999999999</v>
      </c>
      <c r="P3080" s="150"/>
      <c r="Q3080" s="250"/>
      <c r="R3080" s="250">
        <v>3.4700000000000002E-2</v>
      </c>
      <c r="S3080" s="250">
        <v>0.1411</v>
      </c>
      <c r="T3080" s="250">
        <v>0.1656</v>
      </c>
      <c r="U3080" s="250">
        <v>0.2288</v>
      </c>
      <c r="V3080" s="250">
        <v>0.25262867802933942</v>
      </c>
      <c r="W3080" s="250">
        <v>0.1349741372000339</v>
      </c>
      <c r="X3080" s="250">
        <v>3.9748155685576186E-2</v>
      </c>
      <c r="Y3080" s="250">
        <v>2.395488849317391E-3</v>
      </c>
      <c r="Z3080" s="150">
        <v>18</v>
      </c>
      <c r="AA3080" s="150">
        <v>2.4300000000000002</v>
      </c>
      <c r="AB3080" s="152"/>
      <c r="AC3080" s="152"/>
      <c r="AD3080" s="223">
        <v>24.200326</v>
      </c>
      <c r="AE3080" s="223">
        <v>0.46328079999999999</v>
      </c>
      <c r="AF3080" s="223">
        <v>11.18260106</v>
      </c>
      <c r="AG3080" s="223">
        <v>1.2496389999999999</v>
      </c>
      <c r="AH3080" s="341"/>
      <c r="AI3080" s="218"/>
      <c r="AJ3080" s="218"/>
      <c r="AK3080" s="153"/>
      <c r="AL3080" s="152"/>
      <c r="AM3080" s="152"/>
      <c r="AN3080" s="152"/>
      <c r="AO3080" s="152"/>
      <c r="AP3080" s="152"/>
      <c r="AQ3080" s="152"/>
      <c r="AR3080" s="152"/>
      <c r="AS3080" s="152"/>
      <c r="AT3080" s="152"/>
      <c r="AU3080" s="153"/>
      <c r="AV3080" s="479"/>
      <c r="AW3080" s="479"/>
      <c r="AX3080" s="442"/>
      <c r="AY3080" s="153"/>
      <c r="AZ3080" s="152"/>
      <c r="BA3080" s="152"/>
      <c r="BB3080" s="152"/>
      <c r="BC3080" s="152"/>
      <c r="BD3080" s="152"/>
      <c r="BE3080" s="152"/>
      <c r="BF3080" s="152"/>
      <c r="BG3080" s="152"/>
      <c r="BH3080" s="152"/>
      <c r="BI3080" s="153"/>
      <c r="BJ3080" s="153"/>
      <c r="BK3080" s="153"/>
      <c r="BL3080" s="153"/>
      <c r="BM3080" s="153"/>
      <c r="BN3080" s="153"/>
      <c r="BO3080" s="153"/>
      <c r="BP3080" s="153"/>
      <c r="BQ3080" s="153"/>
      <c r="BR3080" s="153"/>
      <c r="BS3080" s="153"/>
      <c r="BT3080" s="153"/>
      <c r="BU3080" s="153"/>
      <c r="BV3080" s="153"/>
      <c r="BW3080" s="153"/>
      <c r="BX3080" s="153"/>
      <c r="BY3080" s="153"/>
      <c r="BZ3080" s="153"/>
      <c r="CA3080" s="152"/>
      <c r="CB3080" s="152"/>
    </row>
    <row r="3081" spans="1:80" s="87" customFormat="1" ht="16.5" x14ac:dyDescent="0.3">
      <c r="A3081" s="152"/>
      <c r="B3081" s="683"/>
      <c r="C3081" s="683"/>
      <c r="D3081" s="698"/>
      <c r="E3081" s="215"/>
      <c r="F3081" s="215"/>
      <c r="G3081" s="153"/>
      <c r="H3081" s="153"/>
      <c r="I3081" s="317">
        <v>24</v>
      </c>
      <c r="J3081" s="317">
        <v>60</v>
      </c>
      <c r="K3081" s="168">
        <v>1</v>
      </c>
      <c r="L3081" s="642">
        <v>24</v>
      </c>
      <c r="M3081" s="663">
        <v>34847</v>
      </c>
      <c r="N3081" s="600">
        <v>11.919600000000001</v>
      </c>
      <c r="O3081" s="604">
        <v>3.0332999999999999E-2</v>
      </c>
      <c r="P3081" s="150"/>
      <c r="Q3081" s="250"/>
      <c r="R3081" s="250"/>
      <c r="S3081" s="250">
        <v>0.16699999999999998</v>
      </c>
      <c r="T3081" s="250">
        <v>0.1225</v>
      </c>
      <c r="U3081" s="250">
        <v>0.17980000000000002</v>
      </c>
      <c r="V3081" s="250">
        <v>0.26417282876613013</v>
      </c>
      <c r="W3081" s="250">
        <v>0.19515731477453963</v>
      </c>
      <c r="X3081" s="250">
        <v>6.8218065825721319E-2</v>
      </c>
      <c r="Y3081" s="250">
        <v>3.1897926634768736E-3</v>
      </c>
      <c r="Z3081" s="150">
        <v>12</v>
      </c>
      <c r="AA3081" s="150">
        <v>1.84</v>
      </c>
      <c r="AB3081" s="152"/>
      <c r="AC3081" s="152"/>
      <c r="AD3081" s="223">
        <v>24.078410000000002</v>
      </c>
      <c r="AE3081" s="223">
        <v>0.48766399999999999</v>
      </c>
      <c r="AF3081" s="223">
        <v>11.72403398</v>
      </c>
      <c r="AG3081" s="223">
        <v>0.96923219999999999</v>
      </c>
      <c r="AH3081" s="341"/>
      <c r="AI3081" s="218"/>
      <c r="AJ3081" s="218"/>
      <c r="AK3081" s="153"/>
      <c r="AL3081" s="152"/>
      <c r="AM3081" s="152"/>
      <c r="AN3081" s="152"/>
      <c r="AO3081" s="152"/>
      <c r="AP3081" s="152"/>
      <c r="AQ3081" s="152"/>
      <c r="AR3081" s="152"/>
      <c r="AS3081" s="152"/>
      <c r="AT3081" s="152"/>
      <c r="AU3081" s="153"/>
      <c r="AV3081" s="479"/>
      <c r="AW3081" s="479"/>
      <c r="AX3081" s="442"/>
      <c r="AY3081" s="153"/>
      <c r="AZ3081" s="152"/>
      <c r="BA3081" s="152"/>
      <c r="BB3081" s="152"/>
      <c r="BC3081" s="152"/>
      <c r="BD3081" s="152"/>
      <c r="BE3081" s="152"/>
      <c r="BF3081" s="152"/>
      <c r="BG3081" s="152"/>
      <c r="BH3081" s="152"/>
      <c r="BI3081" s="153"/>
      <c r="BJ3081" s="153"/>
      <c r="BK3081" s="153"/>
      <c r="BL3081" s="153"/>
      <c r="BM3081" s="153"/>
      <c r="BN3081" s="153"/>
      <c r="BO3081" s="153"/>
      <c r="BP3081" s="153"/>
      <c r="BQ3081" s="153"/>
      <c r="BR3081" s="153"/>
      <c r="BS3081" s="153"/>
      <c r="BT3081" s="153"/>
      <c r="BU3081" s="153"/>
      <c r="BV3081" s="153"/>
      <c r="BW3081" s="153"/>
      <c r="BX3081" s="153"/>
      <c r="BY3081" s="153"/>
      <c r="BZ3081" s="153"/>
      <c r="CA3081" s="152"/>
      <c r="CB3081" s="152"/>
    </row>
    <row r="3082" spans="1:80" s="87" customFormat="1" ht="16.5" x14ac:dyDescent="0.3">
      <c r="A3082" s="152"/>
      <c r="B3082" s="683"/>
      <c r="C3082" s="683"/>
      <c r="D3082" s="698"/>
      <c r="E3082" s="215"/>
      <c r="F3082" s="215"/>
      <c r="G3082" s="153"/>
      <c r="H3082" s="153"/>
      <c r="I3082" s="317">
        <v>24</v>
      </c>
      <c r="J3082" s="317">
        <v>60</v>
      </c>
      <c r="K3082" s="168">
        <v>1</v>
      </c>
      <c r="L3082" s="642">
        <v>24</v>
      </c>
      <c r="M3082" s="663">
        <v>34847</v>
      </c>
      <c r="N3082" s="600">
        <v>11.919600000000001</v>
      </c>
      <c r="O3082" s="604">
        <v>4.5761000000000003E-2</v>
      </c>
      <c r="P3082" s="150"/>
      <c r="Q3082" s="250"/>
      <c r="R3082" s="250">
        <v>0.16039999999999999</v>
      </c>
      <c r="S3082" s="250">
        <v>5.7300000000000004E-2</v>
      </c>
      <c r="T3082" s="250">
        <v>9.1700000000000004E-2</v>
      </c>
      <c r="U3082" s="250">
        <v>0.2024</v>
      </c>
      <c r="V3082" s="250">
        <v>0.27457562098398386</v>
      </c>
      <c r="W3082" s="250">
        <v>0.16735398484703176</v>
      </c>
      <c r="X3082" s="250">
        <v>4.3396950225376429E-2</v>
      </c>
      <c r="Y3082" s="250">
        <v>2.8771458712956743E-3</v>
      </c>
      <c r="Z3082" s="150">
        <v>22.6</v>
      </c>
      <c r="AA3082" s="150">
        <v>2.08</v>
      </c>
      <c r="AB3082" s="152"/>
      <c r="AC3082" s="152"/>
      <c r="AD3082" s="223">
        <v>24.078410000000002</v>
      </c>
      <c r="AE3082" s="223">
        <v>0.48766399999999999</v>
      </c>
      <c r="AF3082" s="223">
        <v>11.72403398</v>
      </c>
      <c r="AG3082" s="223">
        <v>0.96923219999999999</v>
      </c>
      <c r="AH3082" s="341"/>
      <c r="AI3082" s="218"/>
      <c r="AJ3082" s="218"/>
      <c r="AK3082" s="153"/>
      <c r="AL3082" s="152"/>
      <c r="AM3082" s="152"/>
      <c r="AN3082" s="152"/>
      <c r="AO3082" s="152"/>
      <c r="AP3082" s="152"/>
      <c r="AQ3082" s="152"/>
      <c r="AR3082" s="152"/>
      <c r="AS3082" s="152"/>
      <c r="AT3082" s="152"/>
      <c r="AU3082" s="153"/>
      <c r="AV3082" s="479"/>
      <c r="AW3082" s="479"/>
      <c r="AX3082" s="442"/>
      <c r="AY3082" s="153"/>
      <c r="AZ3082" s="152"/>
      <c r="BA3082" s="152"/>
      <c r="BB3082" s="152"/>
      <c r="BC3082" s="152"/>
      <c r="BD3082" s="152"/>
      <c r="BE3082" s="152"/>
      <c r="BF3082" s="152"/>
      <c r="BG3082" s="152"/>
      <c r="BH3082" s="152"/>
      <c r="BI3082" s="153"/>
      <c r="BJ3082" s="153"/>
      <c r="BK3082" s="153"/>
      <c r="BL3082" s="153"/>
      <c r="BM3082" s="153"/>
      <c r="BN3082" s="153"/>
      <c r="BO3082" s="153"/>
      <c r="BP3082" s="153"/>
      <c r="BQ3082" s="153"/>
      <c r="BR3082" s="153"/>
      <c r="BS3082" s="153"/>
      <c r="BT3082" s="153"/>
      <c r="BU3082" s="153"/>
      <c r="BV3082" s="153"/>
      <c r="BW3082" s="153"/>
      <c r="BX3082" s="153"/>
      <c r="BY3082" s="153"/>
      <c r="BZ3082" s="153"/>
      <c r="CA3082" s="152"/>
      <c r="CB3082" s="152"/>
    </row>
    <row r="3083" spans="1:80" s="87" customFormat="1" ht="16.5" x14ac:dyDescent="0.3">
      <c r="A3083" s="152"/>
      <c r="B3083" s="683"/>
      <c r="C3083" s="683"/>
      <c r="D3083" s="698"/>
      <c r="E3083" s="215"/>
      <c r="F3083" s="215"/>
      <c r="G3083" s="153"/>
      <c r="H3083" s="153"/>
      <c r="I3083" s="317">
        <v>20</v>
      </c>
      <c r="J3083" s="317">
        <v>60</v>
      </c>
      <c r="K3083" s="168">
        <v>1</v>
      </c>
      <c r="L3083" s="642">
        <v>20</v>
      </c>
      <c r="M3083" s="663">
        <v>34848</v>
      </c>
      <c r="N3083" s="600">
        <v>13.420199999999999</v>
      </c>
      <c r="O3083" s="604">
        <v>2.9912999999999999E-2</v>
      </c>
      <c r="P3083" s="150"/>
      <c r="Q3083" s="250"/>
      <c r="R3083" s="250"/>
      <c r="S3083" s="250">
        <v>5.1299999999999998E-2</v>
      </c>
      <c r="T3083" s="250">
        <v>0.1011</v>
      </c>
      <c r="U3083" s="250">
        <v>0.17699999999999999</v>
      </c>
      <c r="V3083" s="250">
        <v>0.27371874445823735</v>
      </c>
      <c r="W3083" s="250">
        <v>0.26573860613583977</v>
      </c>
      <c r="X3083" s="250">
        <v>0.12502216705089558</v>
      </c>
      <c r="Y3083" s="250">
        <v>6.2067742507536808E-3</v>
      </c>
      <c r="Z3083" s="150">
        <v>11.5</v>
      </c>
      <c r="AA3083" s="150">
        <v>1.27</v>
      </c>
      <c r="AB3083" s="152"/>
      <c r="AC3083" s="152"/>
      <c r="AD3083" s="223">
        <v>24.200326</v>
      </c>
      <c r="AE3083" s="223">
        <v>0.4815682</v>
      </c>
      <c r="AF3083" s="223">
        <v>11.6601792</v>
      </c>
      <c r="AG3083" s="223">
        <v>1.1124835</v>
      </c>
      <c r="AH3083" s="341"/>
      <c r="AI3083" s="218"/>
      <c r="AJ3083" s="218"/>
      <c r="AK3083" s="153"/>
      <c r="AL3083" s="152"/>
      <c r="AM3083" s="152"/>
      <c r="AN3083" s="152"/>
      <c r="AO3083" s="152"/>
      <c r="AP3083" s="152"/>
      <c r="AQ3083" s="152"/>
      <c r="AR3083" s="152"/>
      <c r="AS3083" s="152"/>
      <c r="AT3083" s="152"/>
      <c r="AU3083" s="153"/>
      <c r="AV3083" s="479"/>
      <c r="AW3083" s="479"/>
      <c r="AX3083" s="442"/>
      <c r="AY3083" s="153"/>
      <c r="AZ3083" s="152"/>
      <c r="BA3083" s="152"/>
      <c r="BB3083" s="152"/>
      <c r="BC3083" s="152"/>
      <c r="BD3083" s="152"/>
      <c r="BE3083" s="152"/>
      <c r="BF3083" s="152"/>
      <c r="BG3083" s="152"/>
      <c r="BH3083" s="152"/>
      <c r="BI3083" s="153"/>
      <c r="BJ3083" s="153"/>
      <c r="BK3083" s="153"/>
      <c r="BL3083" s="153"/>
      <c r="BM3083" s="153"/>
      <c r="BN3083" s="153"/>
      <c r="BO3083" s="153"/>
      <c r="BP3083" s="153"/>
      <c r="BQ3083" s="153"/>
      <c r="BR3083" s="153"/>
      <c r="BS3083" s="153"/>
      <c r="BT3083" s="153"/>
      <c r="BU3083" s="153"/>
      <c r="BV3083" s="153"/>
      <c r="BW3083" s="153"/>
      <c r="BX3083" s="153"/>
      <c r="BY3083" s="153"/>
      <c r="BZ3083" s="153"/>
      <c r="CA3083" s="152"/>
      <c r="CB3083" s="152"/>
    </row>
    <row r="3084" spans="1:80" s="87" customFormat="1" ht="16.5" x14ac:dyDescent="0.3">
      <c r="A3084" s="152"/>
      <c r="B3084" s="683"/>
      <c r="C3084" s="683"/>
      <c r="D3084" s="698"/>
      <c r="E3084" s="215"/>
      <c r="F3084" s="215"/>
      <c r="G3084" s="153"/>
      <c r="H3084" s="153"/>
      <c r="I3084" s="317">
        <v>20</v>
      </c>
      <c r="J3084" s="317">
        <v>60</v>
      </c>
      <c r="K3084" s="168">
        <v>1</v>
      </c>
      <c r="L3084" s="642">
        <v>20</v>
      </c>
      <c r="M3084" s="663">
        <v>34848</v>
      </c>
      <c r="N3084" s="600">
        <v>13.420199999999999</v>
      </c>
      <c r="O3084" s="604">
        <v>0.12280000000000001</v>
      </c>
      <c r="P3084" s="150"/>
      <c r="Q3084" s="250"/>
      <c r="R3084" s="250">
        <v>2.2599999999999999E-2</v>
      </c>
      <c r="S3084" s="250">
        <v>0.1376</v>
      </c>
      <c r="T3084" s="250">
        <v>0.1143</v>
      </c>
      <c r="U3084" s="250">
        <v>0.20920000000000002</v>
      </c>
      <c r="V3084" s="250">
        <v>0.27976714712263445</v>
      </c>
      <c r="W3084" s="250">
        <v>0.17451077266771209</v>
      </c>
      <c r="X3084" s="250">
        <v>5.8750241660043397E-2</v>
      </c>
      <c r="Y3084" s="250">
        <v>3.2865765901230861E-3</v>
      </c>
      <c r="Z3084" s="150">
        <v>21</v>
      </c>
      <c r="AA3084" s="150">
        <v>1.92</v>
      </c>
      <c r="AB3084" s="152"/>
      <c r="AC3084" s="152"/>
      <c r="AD3084" s="223">
        <v>24.200326</v>
      </c>
      <c r="AE3084" s="223">
        <v>0.4815682</v>
      </c>
      <c r="AF3084" s="223">
        <v>11.6601792</v>
      </c>
      <c r="AG3084" s="223">
        <v>1.1124835</v>
      </c>
      <c r="AH3084" s="341"/>
      <c r="AI3084" s="218"/>
      <c r="AJ3084" s="218"/>
      <c r="AK3084" s="153"/>
      <c r="AL3084" s="152"/>
      <c r="AM3084" s="152"/>
      <c r="AN3084" s="152"/>
      <c r="AO3084" s="152"/>
      <c r="AP3084" s="152"/>
      <c r="AQ3084" s="152"/>
      <c r="AR3084" s="152"/>
      <c r="AS3084" s="152"/>
      <c r="AT3084" s="152"/>
      <c r="AU3084" s="153"/>
      <c r="AV3084" s="479"/>
      <c r="AW3084" s="479"/>
      <c r="AX3084" s="442"/>
      <c r="AY3084" s="153"/>
      <c r="AZ3084" s="152"/>
      <c r="BA3084" s="152"/>
      <c r="BB3084" s="152"/>
      <c r="BC3084" s="152"/>
      <c r="BD3084" s="152"/>
      <c r="BE3084" s="152"/>
      <c r="BF3084" s="152"/>
      <c r="BG3084" s="152"/>
      <c r="BH3084" s="152"/>
      <c r="BI3084" s="153"/>
      <c r="BJ3084" s="153"/>
      <c r="BK3084" s="153"/>
      <c r="BL3084" s="153"/>
      <c r="BM3084" s="153"/>
      <c r="BN3084" s="153"/>
      <c r="BO3084" s="153"/>
      <c r="BP3084" s="153"/>
      <c r="BQ3084" s="153"/>
      <c r="BR3084" s="153"/>
      <c r="BS3084" s="153"/>
      <c r="BT3084" s="153"/>
      <c r="BU3084" s="153"/>
      <c r="BV3084" s="153"/>
      <c r="BW3084" s="153"/>
      <c r="BX3084" s="153"/>
      <c r="BY3084" s="153"/>
      <c r="BZ3084" s="153"/>
      <c r="CA3084" s="152"/>
      <c r="CB3084" s="152"/>
    </row>
    <row r="3085" spans="1:80" s="87" customFormat="1" ht="16.5" x14ac:dyDescent="0.3">
      <c r="A3085" s="152"/>
      <c r="B3085" s="683"/>
      <c r="C3085" s="683"/>
      <c r="D3085" s="698"/>
      <c r="E3085" s="215"/>
      <c r="F3085" s="215"/>
      <c r="G3085" s="153"/>
      <c r="H3085" s="153"/>
      <c r="I3085" s="317">
        <v>20</v>
      </c>
      <c r="J3085" s="317">
        <v>60</v>
      </c>
      <c r="K3085" s="168">
        <v>1</v>
      </c>
      <c r="L3085" s="642">
        <v>20</v>
      </c>
      <c r="M3085" s="663">
        <v>34849</v>
      </c>
      <c r="N3085" s="600">
        <v>16.478000000000002</v>
      </c>
      <c r="O3085" s="604">
        <v>6.5178E-2</v>
      </c>
      <c r="P3085" s="150"/>
      <c r="Q3085" s="250"/>
      <c r="R3085" s="250">
        <v>5.7800000000000004E-2</v>
      </c>
      <c r="S3085" s="250">
        <v>8.5800000000000001E-2</v>
      </c>
      <c r="T3085" s="250">
        <v>9.6099999999999991E-2</v>
      </c>
      <c r="U3085" s="250">
        <v>0.18780000000000002</v>
      </c>
      <c r="V3085" s="250">
        <v>0.26714461286358054</v>
      </c>
      <c r="W3085" s="250">
        <v>0.20979106923392052</v>
      </c>
      <c r="X3085" s="250">
        <v>8.9758295780417857E-2</v>
      </c>
      <c r="Y3085" s="250">
        <v>5.6943875460876694E-3</v>
      </c>
      <c r="Z3085" s="150">
        <v>21</v>
      </c>
      <c r="AA3085" s="150">
        <v>1.64</v>
      </c>
      <c r="AB3085" s="152"/>
      <c r="AC3085" s="152"/>
      <c r="AD3085" s="223">
        <v>24.383199999999999</v>
      </c>
      <c r="AE3085" s="223">
        <v>0.53033459999999999</v>
      </c>
      <c r="AF3085" s="223">
        <v>12.91930468</v>
      </c>
      <c r="AG3085" s="223">
        <v>1.1886810000000001</v>
      </c>
      <c r="AH3085" s="341"/>
      <c r="AI3085" s="218"/>
      <c r="AJ3085" s="218"/>
      <c r="AK3085" s="153"/>
      <c r="AL3085" s="152"/>
      <c r="AM3085" s="152"/>
      <c r="AN3085" s="152"/>
      <c r="AO3085" s="152"/>
      <c r="AP3085" s="152"/>
      <c r="AQ3085" s="152"/>
      <c r="AR3085" s="152"/>
      <c r="AS3085" s="152"/>
      <c r="AT3085" s="152"/>
      <c r="AU3085" s="153"/>
      <c r="AV3085" s="479"/>
      <c r="AW3085" s="479"/>
      <c r="AX3085" s="442"/>
      <c r="AY3085" s="153"/>
      <c r="AZ3085" s="152"/>
      <c r="BA3085" s="152"/>
      <c r="BB3085" s="152"/>
      <c r="BC3085" s="152"/>
      <c r="BD3085" s="152"/>
      <c r="BE3085" s="152"/>
      <c r="BF3085" s="152"/>
      <c r="BG3085" s="152"/>
      <c r="BH3085" s="152"/>
      <c r="BI3085" s="153"/>
      <c r="BJ3085" s="153"/>
      <c r="BK3085" s="153"/>
      <c r="BL3085" s="153"/>
      <c r="BM3085" s="153"/>
      <c r="BN3085" s="153"/>
      <c r="BO3085" s="153"/>
      <c r="BP3085" s="153"/>
      <c r="BQ3085" s="153"/>
      <c r="BR3085" s="153"/>
      <c r="BS3085" s="153"/>
      <c r="BT3085" s="153"/>
      <c r="BU3085" s="153"/>
      <c r="BV3085" s="153"/>
      <c r="BW3085" s="153"/>
      <c r="BX3085" s="153"/>
      <c r="BY3085" s="153"/>
      <c r="BZ3085" s="153"/>
      <c r="CA3085" s="152"/>
      <c r="CB3085" s="152"/>
    </row>
    <row r="3086" spans="1:80" s="87" customFormat="1" ht="16.5" x14ac:dyDescent="0.3">
      <c r="A3086" s="152"/>
      <c r="B3086" s="683"/>
      <c r="C3086" s="683"/>
      <c r="D3086" s="698"/>
      <c r="E3086" s="215"/>
      <c r="F3086" s="215"/>
      <c r="G3086" s="153"/>
      <c r="H3086" s="153"/>
      <c r="I3086" s="317">
        <v>20</v>
      </c>
      <c r="J3086" s="317">
        <v>60</v>
      </c>
      <c r="K3086" s="168">
        <v>1</v>
      </c>
      <c r="L3086" s="642">
        <v>20</v>
      </c>
      <c r="M3086" s="663">
        <v>34849</v>
      </c>
      <c r="N3086" s="600">
        <v>16.478000000000002</v>
      </c>
      <c r="O3086" s="604">
        <v>7.3154999999999998E-2</v>
      </c>
      <c r="P3086" s="150"/>
      <c r="Q3086" s="250"/>
      <c r="R3086" s="250">
        <v>0.13390000000000002</v>
      </c>
      <c r="S3086" s="250">
        <v>0.10339999999999999</v>
      </c>
      <c r="T3086" s="250">
        <v>0.1108</v>
      </c>
      <c r="U3086" s="250">
        <v>0.19440000000000002</v>
      </c>
      <c r="V3086" s="250">
        <v>0.2343254763379358</v>
      </c>
      <c r="W3086" s="250">
        <v>0.15720062661663448</v>
      </c>
      <c r="X3086" s="250">
        <v>6.2370213851142109E-2</v>
      </c>
      <c r="Y3086" s="250">
        <v>3.5702575685817332E-3</v>
      </c>
      <c r="Z3086" s="150">
        <v>22</v>
      </c>
      <c r="AA3086" s="150">
        <v>2.29</v>
      </c>
      <c r="AB3086" s="152"/>
      <c r="AC3086" s="152"/>
      <c r="AD3086" s="223">
        <v>24.383199999999999</v>
      </c>
      <c r="AE3086" s="223">
        <v>0.53033459999999999</v>
      </c>
      <c r="AF3086" s="223">
        <v>12.91930468</v>
      </c>
      <c r="AG3086" s="223">
        <v>1.1886810000000001</v>
      </c>
      <c r="AH3086" s="341"/>
      <c r="AI3086" s="218"/>
      <c r="AJ3086" s="218"/>
      <c r="AK3086" s="153"/>
      <c r="AL3086" s="152"/>
      <c r="AM3086" s="152"/>
      <c r="AN3086" s="152"/>
      <c r="AO3086" s="152"/>
      <c r="AP3086" s="152"/>
      <c r="AQ3086" s="152"/>
      <c r="AR3086" s="152"/>
      <c r="AS3086" s="152"/>
      <c r="AT3086" s="152"/>
      <c r="AU3086" s="153"/>
      <c r="AV3086" s="479"/>
      <c r="AW3086" s="479"/>
      <c r="AX3086" s="442"/>
      <c r="AY3086" s="153"/>
      <c r="AZ3086" s="152"/>
      <c r="BA3086" s="152"/>
      <c r="BB3086" s="152"/>
      <c r="BC3086" s="152"/>
      <c r="BD3086" s="152"/>
      <c r="BE3086" s="152"/>
      <c r="BF3086" s="152"/>
      <c r="BG3086" s="152"/>
      <c r="BH3086" s="152"/>
      <c r="BI3086" s="153"/>
      <c r="BJ3086" s="153"/>
      <c r="BK3086" s="153"/>
      <c r="BL3086" s="153"/>
      <c r="BM3086" s="153"/>
      <c r="BN3086" s="153"/>
      <c r="BO3086" s="153"/>
      <c r="BP3086" s="153"/>
      <c r="BQ3086" s="153"/>
      <c r="BR3086" s="153"/>
      <c r="BS3086" s="153"/>
      <c r="BT3086" s="153"/>
      <c r="BU3086" s="153"/>
      <c r="BV3086" s="153"/>
      <c r="BW3086" s="153"/>
      <c r="BX3086" s="153"/>
      <c r="BY3086" s="153"/>
      <c r="BZ3086" s="153"/>
      <c r="CA3086" s="152"/>
      <c r="CB3086" s="152"/>
    </row>
    <row r="3087" spans="1:80" s="87" customFormat="1" ht="16.5" x14ac:dyDescent="0.3">
      <c r="A3087" s="152"/>
      <c r="B3087" s="683"/>
      <c r="C3087" s="683"/>
      <c r="D3087" s="698"/>
      <c r="E3087" s="215"/>
      <c r="F3087" s="215"/>
      <c r="G3087" s="153"/>
      <c r="H3087" s="153"/>
      <c r="I3087" s="317">
        <v>21</v>
      </c>
      <c r="J3087" s="317">
        <v>60</v>
      </c>
      <c r="K3087" s="168">
        <v>1</v>
      </c>
      <c r="L3087" s="642">
        <v>21</v>
      </c>
      <c r="M3087" s="663">
        <v>34854</v>
      </c>
      <c r="N3087" s="600">
        <v>23.244700000000002</v>
      </c>
      <c r="O3087" s="604">
        <v>0.13644400000000001</v>
      </c>
      <c r="P3087" s="150"/>
      <c r="Q3087" s="250"/>
      <c r="R3087" s="250">
        <v>3.95E-2</v>
      </c>
      <c r="S3087" s="250">
        <v>0.15909999999999999</v>
      </c>
      <c r="T3087" s="250">
        <v>0.13780000000000001</v>
      </c>
      <c r="U3087" s="250">
        <v>0.18</v>
      </c>
      <c r="V3087" s="250">
        <v>0.22758156744029606</v>
      </c>
      <c r="W3087" s="250">
        <v>0.17783383787420118</v>
      </c>
      <c r="X3087" s="250">
        <v>7.5669918152259236E-2</v>
      </c>
      <c r="Y3087" s="250">
        <v>2.5675524161901564E-3</v>
      </c>
      <c r="Z3087" s="150">
        <v>24</v>
      </c>
      <c r="AA3087" s="150">
        <v>2.12</v>
      </c>
      <c r="AB3087" s="152"/>
      <c r="AC3087" s="152"/>
      <c r="AD3087" s="223">
        <v>14.660399</v>
      </c>
      <c r="AE3087" s="223">
        <v>0.91437000000000002</v>
      </c>
      <c r="AF3087" s="223">
        <v>13.408514179999999</v>
      </c>
      <c r="AG3087" s="223">
        <v>1.8378836999999999</v>
      </c>
      <c r="AH3087" s="341"/>
      <c r="AI3087" s="218"/>
      <c r="AJ3087" s="218"/>
      <c r="AK3087" s="153"/>
      <c r="AL3087" s="152"/>
      <c r="AM3087" s="152"/>
      <c r="AN3087" s="152"/>
      <c r="AO3087" s="152"/>
      <c r="AP3087" s="152"/>
      <c r="AQ3087" s="152"/>
      <c r="AR3087" s="152"/>
      <c r="AS3087" s="152"/>
      <c r="AT3087" s="152"/>
      <c r="AU3087" s="153"/>
      <c r="AV3087" s="479"/>
      <c r="AW3087" s="479"/>
      <c r="AX3087" s="442"/>
      <c r="AY3087" s="153"/>
      <c r="AZ3087" s="152"/>
      <c r="BA3087" s="152"/>
      <c r="BB3087" s="152"/>
      <c r="BC3087" s="152"/>
      <c r="BD3087" s="152"/>
      <c r="BE3087" s="152"/>
      <c r="BF3087" s="152"/>
      <c r="BG3087" s="152"/>
      <c r="BH3087" s="152"/>
      <c r="BI3087" s="153"/>
      <c r="BJ3087" s="153"/>
      <c r="BK3087" s="153"/>
      <c r="BL3087" s="153"/>
      <c r="BM3087" s="153"/>
      <c r="BN3087" s="153"/>
      <c r="BO3087" s="153"/>
      <c r="BP3087" s="153"/>
      <c r="BQ3087" s="153"/>
      <c r="BR3087" s="153"/>
      <c r="BS3087" s="153"/>
      <c r="BT3087" s="153"/>
      <c r="BU3087" s="153"/>
      <c r="BV3087" s="153"/>
      <c r="BW3087" s="153"/>
      <c r="BX3087" s="153"/>
      <c r="BY3087" s="153"/>
      <c r="BZ3087" s="153"/>
      <c r="CA3087" s="152"/>
      <c r="CB3087" s="152"/>
    </row>
    <row r="3088" spans="1:80" s="87" customFormat="1" ht="16.5" x14ac:dyDescent="0.3">
      <c r="A3088" s="152"/>
      <c r="B3088" s="683"/>
      <c r="C3088" s="683"/>
      <c r="D3088" s="698"/>
      <c r="E3088" s="215"/>
      <c r="F3088" s="215"/>
      <c r="G3088" s="153"/>
      <c r="H3088" s="153"/>
      <c r="I3088" s="317">
        <v>21</v>
      </c>
      <c r="J3088" s="317">
        <v>60</v>
      </c>
      <c r="K3088" s="168">
        <v>1</v>
      </c>
      <c r="L3088" s="642">
        <v>21</v>
      </c>
      <c r="M3088" s="663">
        <v>34854</v>
      </c>
      <c r="N3088" s="600">
        <v>23.244700000000002</v>
      </c>
      <c r="O3088" s="604">
        <v>8.5014999999999993E-2</v>
      </c>
      <c r="P3088" s="150"/>
      <c r="Q3088" s="250"/>
      <c r="R3088" s="250">
        <v>3.1200000000000002E-2</v>
      </c>
      <c r="S3088" s="250">
        <v>0.10630000000000001</v>
      </c>
      <c r="T3088" s="250">
        <v>0.1386</v>
      </c>
      <c r="U3088" s="250">
        <v>0.19579999999999997</v>
      </c>
      <c r="V3088" s="250">
        <v>0.26237481603790513</v>
      </c>
      <c r="W3088" s="250">
        <v>0.19220000717900856</v>
      </c>
      <c r="X3088" s="250">
        <v>7.056965433073692E-2</v>
      </c>
      <c r="Y3088" s="250">
        <v>2.907498474460677E-3</v>
      </c>
      <c r="Z3088" s="150">
        <v>19</v>
      </c>
      <c r="AA3088" s="150">
        <v>1.85</v>
      </c>
      <c r="AB3088" s="152"/>
      <c r="AC3088" s="152"/>
      <c r="AD3088" s="223">
        <v>14.660399</v>
      </c>
      <c r="AE3088" s="223">
        <v>0.91437000000000002</v>
      </c>
      <c r="AF3088" s="223">
        <v>13.408514179999999</v>
      </c>
      <c r="AG3088" s="223">
        <v>1.8378836999999999</v>
      </c>
      <c r="AH3088" s="341"/>
      <c r="AI3088" s="218"/>
      <c r="AJ3088" s="218"/>
      <c r="AK3088" s="153"/>
      <c r="AL3088" s="152"/>
      <c r="AM3088" s="152"/>
      <c r="AN3088" s="152"/>
      <c r="AO3088" s="152"/>
      <c r="AP3088" s="152"/>
      <c r="AQ3088" s="152"/>
      <c r="AR3088" s="152"/>
      <c r="AS3088" s="152"/>
      <c r="AT3088" s="152"/>
      <c r="AU3088" s="153"/>
      <c r="AV3088" s="479"/>
      <c r="AW3088" s="479"/>
      <c r="AX3088" s="442"/>
      <c r="AY3088" s="153"/>
      <c r="AZ3088" s="152"/>
      <c r="BA3088" s="152"/>
      <c r="BB3088" s="152"/>
      <c r="BC3088" s="152"/>
      <c r="BD3088" s="152"/>
      <c r="BE3088" s="152"/>
      <c r="BF3088" s="152"/>
      <c r="BG3088" s="152"/>
      <c r="BH3088" s="152"/>
      <c r="BI3088" s="153"/>
      <c r="BJ3088" s="153"/>
      <c r="BK3088" s="153"/>
      <c r="BL3088" s="153"/>
      <c r="BM3088" s="153"/>
      <c r="BN3088" s="153"/>
      <c r="BO3088" s="153"/>
      <c r="BP3088" s="153"/>
      <c r="BQ3088" s="153"/>
      <c r="BR3088" s="153"/>
      <c r="BS3088" s="153"/>
      <c r="BT3088" s="153"/>
      <c r="BU3088" s="153"/>
      <c r="BV3088" s="153"/>
      <c r="BW3088" s="153"/>
      <c r="BX3088" s="153"/>
      <c r="BY3088" s="153"/>
      <c r="BZ3088" s="153"/>
      <c r="CA3088" s="152"/>
      <c r="CB3088" s="152"/>
    </row>
    <row r="3089" spans="1:80" s="87" customFormat="1" ht="16.5" x14ac:dyDescent="0.3">
      <c r="A3089" s="152"/>
      <c r="B3089" s="683"/>
      <c r="C3089" s="683"/>
      <c r="D3089" s="698"/>
      <c r="E3089" s="215"/>
      <c r="F3089" s="215"/>
      <c r="G3089" s="153"/>
      <c r="H3089" s="153"/>
      <c r="I3089" s="317">
        <v>21</v>
      </c>
      <c r="J3089" s="317">
        <v>60</v>
      </c>
      <c r="K3089" s="168">
        <v>1</v>
      </c>
      <c r="L3089" s="642">
        <v>21</v>
      </c>
      <c r="M3089" s="663">
        <v>34856</v>
      </c>
      <c r="N3089" s="600">
        <v>23.244700000000002</v>
      </c>
      <c r="O3089" s="604">
        <v>0.35475499999999999</v>
      </c>
      <c r="P3089" s="150"/>
      <c r="Q3089" s="250"/>
      <c r="R3089" s="250">
        <v>0.16309999999999999</v>
      </c>
      <c r="S3089" s="250">
        <v>0.1431</v>
      </c>
      <c r="T3089" s="250">
        <v>0.15539999999999998</v>
      </c>
      <c r="U3089" s="250">
        <v>0.19450000000000001</v>
      </c>
      <c r="V3089" s="250">
        <v>0.17408021355837333</v>
      </c>
      <c r="W3089" s="250">
        <v>0.11666056704914858</v>
      </c>
      <c r="X3089" s="250">
        <v>5.1154980517104043E-2</v>
      </c>
      <c r="Y3089" s="250">
        <v>2.1054444468364512E-3</v>
      </c>
      <c r="Z3089" s="150">
        <v>47</v>
      </c>
      <c r="AA3089" s="150">
        <v>3.49</v>
      </c>
      <c r="AB3089" s="152"/>
      <c r="AC3089" s="152"/>
      <c r="AD3089" s="223">
        <v>14.660399</v>
      </c>
      <c r="AE3089" s="223">
        <v>0.93265739999999997</v>
      </c>
      <c r="AF3089" s="223">
        <v>13.665857320000001</v>
      </c>
      <c r="AG3089" s="223">
        <v>1.7921651999999999</v>
      </c>
      <c r="AH3089" s="341"/>
      <c r="AI3089" s="218"/>
      <c r="AJ3089" s="218"/>
      <c r="AK3089" s="153"/>
      <c r="AL3089" s="152"/>
      <c r="AM3089" s="152"/>
      <c r="AN3089" s="152"/>
      <c r="AO3089" s="152"/>
      <c r="AP3089" s="152"/>
      <c r="AQ3089" s="152"/>
      <c r="AR3089" s="152"/>
      <c r="AS3089" s="152"/>
      <c r="AT3089" s="152"/>
      <c r="AU3089" s="153"/>
      <c r="AV3089" s="479"/>
      <c r="AW3089" s="479"/>
      <c r="AX3089" s="442"/>
      <c r="AY3089" s="153"/>
      <c r="AZ3089" s="152"/>
      <c r="BA3089" s="152"/>
      <c r="BB3089" s="152"/>
      <c r="BC3089" s="152"/>
      <c r="BD3089" s="152"/>
      <c r="BE3089" s="152"/>
      <c r="BF3089" s="152"/>
      <c r="BG3089" s="152"/>
      <c r="BH3089" s="152"/>
      <c r="BI3089" s="153"/>
      <c r="BJ3089" s="153"/>
      <c r="BK3089" s="153"/>
      <c r="BL3089" s="153"/>
      <c r="BM3089" s="153"/>
      <c r="BN3089" s="153"/>
      <c r="BO3089" s="153"/>
      <c r="BP3089" s="153"/>
      <c r="BQ3089" s="153"/>
      <c r="BR3089" s="153"/>
      <c r="BS3089" s="153"/>
      <c r="BT3089" s="153"/>
      <c r="BU3089" s="153"/>
      <c r="BV3089" s="153"/>
      <c r="BW3089" s="153"/>
      <c r="BX3089" s="153"/>
      <c r="BY3089" s="153"/>
      <c r="BZ3089" s="153"/>
      <c r="CA3089" s="152"/>
      <c r="CB3089" s="152"/>
    </row>
    <row r="3090" spans="1:80" s="87" customFormat="1" ht="16.5" x14ac:dyDescent="0.3">
      <c r="A3090" s="152"/>
      <c r="B3090" s="683"/>
      <c r="C3090" s="683"/>
      <c r="D3090" s="698"/>
      <c r="E3090" s="215"/>
      <c r="F3090" s="215"/>
      <c r="G3090" s="153"/>
      <c r="H3090" s="153"/>
      <c r="I3090" s="317">
        <v>21</v>
      </c>
      <c r="J3090" s="317">
        <v>60</v>
      </c>
      <c r="K3090" s="168">
        <v>1</v>
      </c>
      <c r="L3090" s="642">
        <v>21</v>
      </c>
      <c r="M3090" s="663">
        <v>34856</v>
      </c>
      <c r="N3090" s="600">
        <v>23.244700000000002</v>
      </c>
      <c r="O3090" s="604">
        <v>0.40828300000000001</v>
      </c>
      <c r="P3090" s="150"/>
      <c r="Q3090" s="250"/>
      <c r="R3090" s="250">
        <v>6.3700000000000007E-2</v>
      </c>
      <c r="S3090" s="250">
        <v>0.13390000000000002</v>
      </c>
      <c r="T3090" s="250">
        <v>0.2306</v>
      </c>
      <c r="U3090" s="250">
        <v>0.307</v>
      </c>
      <c r="V3090" s="250">
        <v>0.1949526955493788</v>
      </c>
      <c r="W3090" s="250">
        <v>5.082843579201754E-2</v>
      </c>
      <c r="X3090" s="250">
        <v>1.7769564290283604E-2</v>
      </c>
      <c r="Y3090" s="250">
        <v>1.2008484499328497E-3</v>
      </c>
      <c r="Z3090" s="150">
        <v>31</v>
      </c>
      <c r="AA3090" s="150">
        <v>3.42</v>
      </c>
      <c r="AB3090" s="152"/>
      <c r="AC3090" s="152"/>
      <c r="AD3090" s="223">
        <v>14.660399</v>
      </c>
      <c r="AE3090" s="223">
        <v>0.93265739999999997</v>
      </c>
      <c r="AF3090" s="223">
        <v>13.665857320000001</v>
      </c>
      <c r="AG3090" s="223">
        <v>1.7921651999999999</v>
      </c>
      <c r="AH3090" s="341"/>
      <c r="AI3090" s="218"/>
      <c r="AJ3090" s="218"/>
      <c r="AK3090" s="153"/>
      <c r="AL3090" s="152"/>
      <c r="AM3090" s="152"/>
      <c r="AN3090" s="152"/>
      <c r="AO3090" s="152"/>
      <c r="AP3090" s="152"/>
      <c r="AQ3090" s="152"/>
      <c r="AR3090" s="152"/>
      <c r="AS3090" s="152"/>
      <c r="AT3090" s="152"/>
      <c r="AU3090" s="153"/>
      <c r="AV3090" s="479"/>
      <c r="AW3090" s="479"/>
      <c r="AX3090" s="442"/>
      <c r="AY3090" s="153"/>
      <c r="AZ3090" s="152"/>
      <c r="BA3090" s="152"/>
      <c r="BB3090" s="152"/>
      <c r="BC3090" s="152"/>
      <c r="BD3090" s="152"/>
      <c r="BE3090" s="152"/>
      <c r="BF3090" s="152"/>
      <c r="BG3090" s="152"/>
      <c r="BH3090" s="152"/>
      <c r="BI3090" s="153"/>
      <c r="BJ3090" s="153"/>
      <c r="BK3090" s="153"/>
      <c r="BL3090" s="153"/>
      <c r="BM3090" s="153"/>
      <c r="BN3090" s="153"/>
      <c r="BO3090" s="153"/>
      <c r="BP3090" s="153"/>
      <c r="BQ3090" s="153"/>
      <c r="BR3090" s="153"/>
      <c r="BS3090" s="153"/>
      <c r="BT3090" s="153"/>
      <c r="BU3090" s="153"/>
      <c r="BV3090" s="153"/>
      <c r="BW3090" s="153"/>
      <c r="BX3090" s="153"/>
      <c r="BY3090" s="153"/>
      <c r="BZ3090" s="153"/>
      <c r="CA3090" s="152"/>
      <c r="CB3090" s="152"/>
    </row>
    <row r="3091" spans="1:80" s="87" customFormat="1" ht="16.5" x14ac:dyDescent="0.3">
      <c r="A3091" s="152"/>
      <c r="B3091" s="683"/>
      <c r="C3091" s="683"/>
      <c r="D3091" s="698"/>
      <c r="E3091" s="215"/>
      <c r="F3091" s="215"/>
      <c r="G3091" s="153"/>
      <c r="H3091" s="153"/>
      <c r="I3091" s="317">
        <v>22</v>
      </c>
      <c r="J3091" s="317">
        <v>60</v>
      </c>
      <c r="K3091" s="168">
        <v>1</v>
      </c>
      <c r="L3091" s="642">
        <v>22</v>
      </c>
      <c r="M3091" s="663">
        <v>34858</v>
      </c>
      <c r="N3091" s="600">
        <v>16.1099</v>
      </c>
      <c r="O3091" s="604">
        <v>5.4473000000000001E-2</v>
      </c>
      <c r="P3091" s="150"/>
      <c r="Q3091" s="250"/>
      <c r="R3091" s="250">
        <v>0.38969999999999999</v>
      </c>
      <c r="S3091" s="250">
        <v>0.11359999999999999</v>
      </c>
      <c r="T3091" s="250">
        <v>0.1188</v>
      </c>
      <c r="U3091" s="250">
        <v>0.1048</v>
      </c>
      <c r="V3091" s="250">
        <v>0.10381638644248731</v>
      </c>
      <c r="W3091" s="250">
        <v>0.102526465616938</v>
      </c>
      <c r="X3091" s="250">
        <v>6.3428520594253177E-2</v>
      </c>
      <c r="Y3091" s="250">
        <v>3.2915221065741487E-3</v>
      </c>
      <c r="Z3091" s="150">
        <v>40</v>
      </c>
      <c r="AA3091" s="150">
        <v>8.2100000000000009</v>
      </c>
      <c r="AB3091" s="152"/>
      <c r="AC3091" s="152"/>
      <c r="AD3091" s="223">
        <v>24.383199999999999</v>
      </c>
      <c r="AE3091" s="223">
        <v>0.55776570000000003</v>
      </c>
      <c r="AF3091" s="223">
        <v>13.59581281</v>
      </c>
      <c r="AG3091" s="223">
        <v>1.1642977999999999</v>
      </c>
      <c r="AH3091" s="341"/>
      <c r="AI3091" s="218"/>
      <c r="AJ3091" s="218"/>
      <c r="AK3091" s="153"/>
      <c r="AL3091" s="152"/>
      <c r="AM3091" s="152"/>
      <c r="AN3091" s="152"/>
      <c r="AO3091" s="152"/>
      <c r="AP3091" s="152"/>
      <c r="AQ3091" s="152"/>
      <c r="AR3091" s="152"/>
      <c r="AS3091" s="152"/>
      <c r="AT3091" s="152"/>
      <c r="AU3091" s="153"/>
      <c r="AV3091" s="479"/>
      <c r="AW3091" s="479"/>
      <c r="AX3091" s="442"/>
      <c r="AY3091" s="153"/>
      <c r="AZ3091" s="152"/>
      <c r="BA3091" s="152"/>
      <c r="BB3091" s="152"/>
      <c r="BC3091" s="152"/>
      <c r="BD3091" s="152"/>
      <c r="BE3091" s="152"/>
      <c r="BF3091" s="152"/>
      <c r="BG3091" s="152"/>
      <c r="BH3091" s="152"/>
      <c r="BI3091" s="153"/>
      <c r="BJ3091" s="153"/>
      <c r="BK3091" s="153"/>
      <c r="BL3091" s="153"/>
      <c r="BM3091" s="153"/>
      <c r="BN3091" s="153"/>
      <c r="BO3091" s="153"/>
      <c r="BP3091" s="153"/>
      <c r="BQ3091" s="153"/>
      <c r="BR3091" s="153"/>
      <c r="BS3091" s="153"/>
      <c r="BT3091" s="153"/>
      <c r="BU3091" s="153"/>
      <c r="BV3091" s="153"/>
      <c r="BW3091" s="153"/>
      <c r="BX3091" s="153"/>
      <c r="BY3091" s="153"/>
      <c r="BZ3091" s="153"/>
      <c r="CA3091" s="152"/>
      <c r="CB3091" s="152"/>
    </row>
    <row r="3092" spans="1:80" s="87" customFormat="1" ht="16.5" x14ac:dyDescent="0.3">
      <c r="A3092" s="152"/>
      <c r="B3092" s="683"/>
      <c r="C3092" s="683"/>
      <c r="D3092" s="698"/>
      <c r="E3092" s="215"/>
      <c r="F3092" s="215"/>
      <c r="G3092" s="153"/>
      <c r="H3092" s="153"/>
      <c r="I3092" s="317">
        <v>22</v>
      </c>
      <c r="J3092" s="317">
        <v>60</v>
      </c>
      <c r="K3092" s="168">
        <v>1</v>
      </c>
      <c r="L3092" s="642">
        <v>22</v>
      </c>
      <c r="M3092" s="663">
        <v>34858</v>
      </c>
      <c r="N3092" s="600">
        <v>16.1099</v>
      </c>
      <c r="O3092" s="604">
        <v>0.214113</v>
      </c>
      <c r="P3092" s="150"/>
      <c r="Q3092" s="250"/>
      <c r="R3092" s="250">
        <v>0.60020000000000007</v>
      </c>
      <c r="S3092" s="250">
        <v>5.79E-2</v>
      </c>
      <c r="T3092" s="250">
        <v>7.46E-2</v>
      </c>
      <c r="U3092" s="250">
        <v>8.2100000000000006E-2</v>
      </c>
      <c r="V3092" s="250">
        <v>8.4887721839913083E-2</v>
      </c>
      <c r="W3092" s="250">
        <v>6.8917511771097437E-2</v>
      </c>
      <c r="X3092" s="250">
        <v>2.9597519014849697E-2</v>
      </c>
      <c r="Y3092" s="250">
        <v>1.8675298804780879E-3</v>
      </c>
      <c r="Z3092" s="150">
        <v>65</v>
      </c>
      <c r="AA3092" s="150">
        <v>23.36</v>
      </c>
      <c r="AB3092" s="152"/>
      <c r="AC3092" s="152"/>
      <c r="AD3092" s="223">
        <v>24.383199999999999</v>
      </c>
      <c r="AE3092" s="223">
        <v>0.55776570000000003</v>
      </c>
      <c r="AF3092" s="223">
        <v>13.59581281</v>
      </c>
      <c r="AG3092" s="223">
        <v>1.1642977999999999</v>
      </c>
      <c r="AH3092" s="341"/>
      <c r="AI3092" s="218"/>
      <c r="AJ3092" s="218"/>
      <c r="AK3092" s="153"/>
      <c r="AL3092" s="152"/>
      <c r="AM3092" s="152"/>
      <c r="AN3092" s="152"/>
      <c r="AO3092" s="152"/>
      <c r="AP3092" s="152"/>
      <c r="AQ3092" s="152"/>
      <c r="AR3092" s="152"/>
      <c r="AS3092" s="152"/>
      <c r="AT3092" s="152"/>
      <c r="AU3092" s="153"/>
      <c r="AV3092" s="479"/>
      <c r="AW3092" s="479"/>
      <c r="AX3092" s="442"/>
      <c r="AY3092" s="153"/>
      <c r="AZ3092" s="152"/>
      <c r="BA3092" s="152"/>
      <c r="BB3092" s="152"/>
      <c r="BC3092" s="152"/>
      <c r="BD3092" s="152"/>
      <c r="BE3092" s="152"/>
      <c r="BF3092" s="152"/>
      <c r="BG3092" s="152"/>
      <c r="BH3092" s="152"/>
      <c r="BI3092" s="153"/>
      <c r="BJ3092" s="153"/>
      <c r="BK3092" s="153"/>
      <c r="BL3092" s="153"/>
      <c r="BM3092" s="153"/>
      <c r="BN3092" s="153"/>
      <c r="BO3092" s="153"/>
      <c r="BP3092" s="153"/>
      <c r="BQ3092" s="153"/>
      <c r="BR3092" s="153"/>
      <c r="BS3092" s="153"/>
      <c r="BT3092" s="153"/>
      <c r="BU3092" s="153"/>
      <c r="BV3092" s="153"/>
      <c r="BW3092" s="153"/>
      <c r="BX3092" s="153"/>
      <c r="BY3092" s="153"/>
      <c r="BZ3092" s="153"/>
      <c r="CA3092" s="152"/>
      <c r="CB3092" s="152"/>
    </row>
    <row r="3093" spans="1:80" s="87" customFormat="1" ht="16.5" x14ac:dyDescent="0.3">
      <c r="A3093" s="152"/>
      <c r="B3093" s="683"/>
      <c r="C3093" s="683"/>
      <c r="D3093" s="698"/>
      <c r="E3093" s="215"/>
      <c r="F3093" s="215"/>
      <c r="G3093" s="153"/>
      <c r="H3093" s="153"/>
      <c r="I3093" s="317">
        <v>22</v>
      </c>
      <c r="J3093" s="317">
        <v>60</v>
      </c>
      <c r="K3093" s="168">
        <v>1</v>
      </c>
      <c r="L3093" s="642">
        <v>22</v>
      </c>
      <c r="M3093" s="663">
        <v>34858</v>
      </c>
      <c r="N3093" s="600">
        <v>16.1099</v>
      </c>
      <c r="O3093" s="604">
        <v>0.13539499999999999</v>
      </c>
      <c r="P3093" s="150"/>
      <c r="Q3093" s="250"/>
      <c r="R3093" s="250">
        <v>0.3281</v>
      </c>
      <c r="S3093" s="250">
        <v>0.1588</v>
      </c>
      <c r="T3093" s="250">
        <v>0.10970000000000001</v>
      </c>
      <c r="U3093" s="250">
        <v>0.13140000000000002</v>
      </c>
      <c r="V3093" s="250">
        <v>0.14080146045496034</v>
      </c>
      <c r="W3093" s="250">
        <v>9.4768492831958179E-2</v>
      </c>
      <c r="X3093" s="250">
        <v>3.4685805308467411E-2</v>
      </c>
      <c r="Y3093" s="250">
        <v>1.7002845739444812E-3</v>
      </c>
      <c r="Z3093" s="150">
        <v>38</v>
      </c>
      <c r="AA3093" s="150">
        <v>7.34</v>
      </c>
      <c r="AB3093" s="152"/>
      <c r="AC3093" s="152"/>
      <c r="AD3093" s="223">
        <v>24.383199999999999</v>
      </c>
      <c r="AE3093" s="223">
        <v>0.55776570000000003</v>
      </c>
      <c r="AF3093" s="223">
        <v>13.59581281</v>
      </c>
      <c r="AG3093" s="223">
        <v>1.1642977999999999</v>
      </c>
      <c r="AH3093" s="341"/>
      <c r="AI3093" s="218"/>
      <c r="AJ3093" s="218"/>
      <c r="AK3093" s="153"/>
      <c r="AL3093" s="152"/>
      <c r="AM3093" s="152"/>
      <c r="AN3093" s="152"/>
      <c r="AO3093" s="152"/>
      <c r="AP3093" s="152"/>
      <c r="AQ3093" s="152"/>
      <c r="AR3093" s="152"/>
      <c r="AS3093" s="152"/>
      <c r="AT3093" s="152"/>
      <c r="AU3093" s="153"/>
      <c r="AV3093" s="479"/>
      <c r="AW3093" s="479"/>
      <c r="AX3093" s="442"/>
      <c r="AY3093" s="153"/>
      <c r="AZ3093" s="152"/>
      <c r="BA3093" s="152"/>
      <c r="BB3093" s="152"/>
      <c r="BC3093" s="152"/>
      <c r="BD3093" s="152"/>
      <c r="BE3093" s="152"/>
      <c r="BF3093" s="152"/>
      <c r="BG3093" s="152"/>
      <c r="BH3093" s="152"/>
      <c r="BI3093" s="153"/>
      <c r="BJ3093" s="153"/>
      <c r="BK3093" s="153"/>
      <c r="BL3093" s="153"/>
      <c r="BM3093" s="153"/>
      <c r="BN3093" s="153"/>
      <c r="BO3093" s="153"/>
      <c r="BP3093" s="153"/>
      <c r="BQ3093" s="153"/>
      <c r="BR3093" s="153"/>
      <c r="BS3093" s="153"/>
      <c r="BT3093" s="153"/>
      <c r="BU3093" s="153"/>
      <c r="BV3093" s="153"/>
      <c r="BW3093" s="153"/>
      <c r="BX3093" s="153"/>
      <c r="BY3093" s="153"/>
      <c r="BZ3093" s="153"/>
      <c r="CA3093" s="152"/>
      <c r="CB3093" s="152"/>
    </row>
    <row r="3094" spans="1:80" s="87" customFormat="1" ht="16.5" x14ac:dyDescent="0.3">
      <c r="A3094" s="152"/>
      <c r="B3094" s="683"/>
      <c r="C3094" s="683"/>
      <c r="D3094" s="698"/>
      <c r="E3094" s="215"/>
      <c r="F3094" s="215"/>
      <c r="G3094" s="153"/>
      <c r="H3094" s="153"/>
      <c r="I3094" s="317">
        <v>24</v>
      </c>
      <c r="J3094" s="317">
        <v>60</v>
      </c>
      <c r="K3094" s="168">
        <v>1</v>
      </c>
      <c r="L3094" s="642">
        <v>24</v>
      </c>
      <c r="M3094" s="663">
        <v>34861</v>
      </c>
      <c r="N3094" s="600">
        <v>13.448499999999999</v>
      </c>
      <c r="O3094" s="604">
        <v>0.12594900000000001</v>
      </c>
      <c r="P3094" s="150"/>
      <c r="Q3094" s="250"/>
      <c r="R3094" s="250">
        <v>0.1244</v>
      </c>
      <c r="S3094" s="250">
        <v>6.6699999999999995E-2</v>
      </c>
      <c r="T3094" s="250">
        <v>0.13039999999999999</v>
      </c>
      <c r="U3094" s="250">
        <v>0.19539999999999999</v>
      </c>
      <c r="V3094" s="250">
        <v>0.22068398207784931</v>
      </c>
      <c r="W3094" s="250">
        <v>0.18707994959395127</v>
      </c>
      <c r="X3094" s="250">
        <v>7.3018762251470179E-2</v>
      </c>
      <c r="Y3094" s="250">
        <v>2.3802856342761132E-3</v>
      </c>
      <c r="Z3094" s="150">
        <v>23</v>
      </c>
      <c r="AA3094" s="150">
        <v>2.11</v>
      </c>
      <c r="AB3094" s="152"/>
      <c r="AC3094" s="152"/>
      <c r="AD3094" s="223">
        <v>24.200326</v>
      </c>
      <c r="AE3094" s="223">
        <v>0.50899930000000004</v>
      </c>
      <c r="AF3094" s="223">
        <v>12.33505222</v>
      </c>
      <c r="AG3094" s="223">
        <v>1.1521062</v>
      </c>
      <c r="AH3094" s="341"/>
      <c r="AI3094" s="218"/>
      <c r="AJ3094" s="218"/>
      <c r="AK3094" s="153"/>
      <c r="AL3094" s="152"/>
      <c r="AM3094" s="152"/>
      <c r="AN3094" s="152"/>
      <c r="AO3094" s="152"/>
      <c r="AP3094" s="152"/>
      <c r="AQ3094" s="152"/>
      <c r="AR3094" s="152"/>
      <c r="AS3094" s="152"/>
      <c r="AT3094" s="152"/>
      <c r="AU3094" s="153"/>
      <c r="AV3094" s="479"/>
      <c r="AW3094" s="479"/>
      <c r="AX3094" s="442"/>
      <c r="AY3094" s="153"/>
      <c r="AZ3094" s="152"/>
      <c r="BA3094" s="152"/>
      <c r="BB3094" s="152"/>
      <c r="BC3094" s="152"/>
      <c r="BD3094" s="152"/>
      <c r="BE3094" s="152"/>
      <c r="BF3094" s="152"/>
      <c r="BG3094" s="152"/>
      <c r="BH3094" s="152"/>
      <c r="BI3094" s="153"/>
      <c r="BJ3094" s="153"/>
      <c r="BK3094" s="153"/>
      <c r="BL3094" s="153"/>
      <c r="BM3094" s="153"/>
      <c r="BN3094" s="153"/>
      <c r="BO3094" s="153"/>
      <c r="BP3094" s="153"/>
      <c r="BQ3094" s="153"/>
      <c r="BR3094" s="153"/>
      <c r="BS3094" s="153"/>
      <c r="BT3094" s="153"/>
      <c r="BU3094" s="153"/>
      <c r="BV3094" s="153"/>
      <c r="BW3094" s="153"/>
      <c r="BX3094" s="153"/>
      <c r="BY3094" s="153"/>
      <c r="BZ3094" s="153"/>
      <c r="CA3094" s="152"/>
      <c r="CB3094" s="152"/>
    </row>
    <row r="3095" spans="1:80" s="87" customFormat="1" ht="16.5" x14ac:dyDescent="0.3">
      <c r="A3095" s="152"/>
      <c r="B3095" s="683"/>
      <c r="C3095" s="683"/>
      <c r="D3095" s="698"/>
      <c r="E3095" s="215"/>
      <c r="F3095" s="215"/>
      <c r="G3095" s="153"/>
      <c r="H3095" s="153"/>
      <c r="I3095" s="317">
        <v>24</v>
      </c>
      <c r="J3095" s="317">
        <v>60</v>
      </c>
      <c r="K3095" s="168">
        <v>1</v>
      </c>
      <c r="L3095" s="642">
        <v>24</v>
      </c>
      <c r="M3095" s="663">
        <v>34861</v>
      </c>
      <c r="N3095" s="600">
        <v>13.448499999999999</v>
      </c>
      <c r="O3095" s="604">
        <v>7.4414999999999995E-2</v>
      </c>
      <c r="P3095" s="150"/>
      <c r="Q3095" s="250"/>
      <c r="R3095" s="250">
        <v>0.24979999999999999</v>
      </c>
      <c r="S3095" s="250">
        <v>0.111</v>
      </c>
      <c r="T3095" s="250">
        <v>0.11460000000000001</v>
      </c>
      <c r="U3095" s="250">
        <v>0.16039999999999999</v>
      </c>
      <c r="V3095" s="250">
        <v>0.18818750555934416</v>
      </c>
      <c r="W3095" s="250">
        <v>0.12636759865982744</v>
      </c>
      <c r="X3095" s="250">
        <v>4.7113588519583721E-2</v>
      </c>
      <c r="Y3095" s="250">
        <v>2.549885848133543E-3</v>
      </c>
      <c r="Z3095" s="150">
        <v>26</v>
      </c>
      <c r="AA3095" s="150">
        <v>3.54</v>
      </c>
      <c r="AB3095" s="152"/>
      <c r="AC3095" s="152"/>
      <c r="AD3095" s="223">
        <v>24.200326</v>
      </c>
      <c r="AE3095" s="223">
        <v>0.50899930000000004</v>
      </c>
      <c r="AF3095" s="223">
        <v>12.33505222</v>
      </c>
      <c r="AG3095" s="223">
        <v>1.1521062</v>
      </c>
      <c r="AH3095" s="341"/>
      <c r="AI3095" s="218"/>
      <c r="AJ3095" s="218"/>
      <c r="AK3095" s="153"/>
      <c r="AL3095" s="152"/>
      <c r="AM3095" s="152"/>
      <c r="AN3095" s="152"/>
      <c r="AO3095" s="152"/>
      <c r="AP3095" s="152"/>
      <c r="AQ3095" s="152"/>
      <c r="AR3095" s="152"/>
      <c r="AS3095" s="152"/>
      <c r="AT3095" s="152"/>
      <c r="AU3095" s="153"/>
      <c r="AV3095" s="479"/>
      <c r="AW3095" s="479"/>
      <c r="AX3095" s="442"/>
      <c r="AY3095" s="153"/>
      <c r="AZ3095" s="152"/>
      <c r="BA3095" s="152"/>
      <c r="BB3095" s="152"/>
      <c r="BC3095" s="152"/>
      <c r="BD3095" s="152"/>
      <c r="BE3095" s="152"/>
      <c r="BF3095" s="152"/>
      <c r="BG3095" s="152"/>
      <c r="BH3095" s="152"/>
      <c r="BI3095" s="153"/>
      <c r="BJ3095" s="153"/>
      <c r="BK3095" s="153"/>
      <c r="BL3095" s="153"/>
      <c r="BM3095" s="153"/>
      <c r="BN3095" s="153"/>
      <c r="BO3095" s="153"/>
      <c r="BP3095" s="153"/>
      <c r="BQ3095" s="153"/>
      <c r="BR3095" s="153"/>
      <c r="BS3095" s="153"/>
      <c r="BT3095" s="153"/>
      <c r="BU3095" s="153"/>
      <c r="BV3095" s="153"/>
      <c r="BW3095" s="153"/>
      <c r="BX3095" s="153"/>
      <c r="BY3095" s="153"/>
      <c r="BZ3095" s="153"/>
      <c r="CA3095" s="152"/>
      <c r="CB3095" s="152"/>
    </row>
    <row r="3096" spans="1:80" s="87" customFormat="1" ht="16.5" x14ac:dyDescent="0.3">
      <c r="A3096" s="152"/>
      <c r="B3096" s="683"/>
      <c r="C3096" s="683"/>
      <c r="D3096" s="698"/>
      <c r="E3096" s="215"/>
      <c r="F3096" s="215"/>
      <c r="G3096" s="153"/>
      <c r="H3096" s="153"/>
      <c r="I3096" s="317">
        <v>22</v>
      </c>
      <c r="J3096" s="317">
        <v>60</v>
      </c>
      <c r="K3096" s="168">
        <v>1</v>
      </c>
      <c r="L3096" s="642">
        <v>22</v>
      </c>
      <c r="M3096" s="663">
        <v>34863</v>
      </c>
      <c r="N3096" s="600">
        <v>18.714700000000001</v>
      </c>
      <c r="O3096" s="604">
        <v>0.15113799999999999</v>
      </c>
      <c r="P3096" s="150"/>
      <c r="Q3096" s="250"/>
      <c r="R3096" s="250">
        <v>0.34159999999999996</v>
      </c>
      <c r="S3096" s="250">
        <v>7.980000000000001E-2</v>
      </c>
      <c r="T3096" s="250">
        <v>6.6100000000000006E-2</v>
      </c>
      <c r="U3096" s="250">
        <v>0.1137</v>
      </c>
      <c r="V3096" s="250">
        <v>0.17698064686294543</v>
      </c>
      <c r="W3096" s="250">
        <v>0.16567208466585337</v>
      </c>
      <c r="X3096" s="250">
        <v>5.4333849856582364E-2</v>
      </c>
      <c r="Y3096" s="250">
        <v>1.7968415152813952E-3</v>
      </c>
      <c r="Z3096" s="150">
        <v>45</v>
      </c>
      <c r="AA3096" s="150">
        <v>3.65</v>
      </c>
      <c r="AB3096" s="152"/>
      <c r="AC3096" s="152"/>
      <c r="AD3096" s="223">
        <v>24.99278</v>
      </c>
      <c r="AE3096" s="223">
        <v>0.60348420000000003</v>
      </c>
      <c r="AF3096" s="223">
        <v>15.064720169999999</v>
      </c>
      <c r="AG3096" s="223">
        <v>1.2526869</v>
      </c>
      <c r="AH3096" s="341"/>
      <c r="AI3096" s="218"/>
      <c r="AJ3096" s="218"/>
      <c r="AK3096" s="153"/>
      <c r="AL3096" s="152"/>
      <c r="AM3096" s="152"/>
      <c r="AN3096" s="152"/>
      <c r="AO3096" s="152"/>
      <c r="AP3096" s="152"/>
      <c r="AQ3096" s="152"/>
      <c r="AR3096" s="152"/>
      <c r="AS3096" s="152"/>
      <c r="AT3096" s="152"/>
      <c r="AU3096" s="153"/>
      <c r="AV3096" s="479"/>
      <c r="AW3096" s="479"/>
      <c r="AX3096" s="442"/>
      <c r="AY3096" s="153"/>
      <c r="AZ3096" s="152"/>
      <c r="BA3096" s="152"/>
      <c r="BB3096" s="152"/>
      <c r="BC3096" s="152"/>
      <c r="BD3096" s="152"/>
      <c r="BE3096" s="152"/>
      <c r="BF3096" s="152"/>
      <c r="BG3096" s="152"/>
      <c r="BH3096" s="152"/>
      <c r="BI3096" s="153"/>
      <c r="BJ3096" s="153"/>
      <c r="BK3096" s="153"/>
      <c r="BL3096" s="153"/>
      <c r="BM3096" s="153"/>
      <c r="BN3096" s="153"/>
      <c r="BO3096" s="153"/>
      <c r="BP3096" s="153"/>
      <c r="BQ3096" s="153"/>
      <c r="BR3096" s="153"/>
      <c r="BS3096" s="153"/>
      <c r="BT3096" s="153"/>
      <c r="BU3096" s="153"/>
      <c r="BV3096" s="153"/>
      <c r="BW3096" s="153"/>
      <c r="BX3096" s="153"/>
      <c r="BY3096" s="153"/>
      <c r="BZ3096" s="153"/>
      <c r="CA3096" s="152"/>
      <c r="CB3096" s="152"/>
    </row>
    <row r="3097" spans="1:80" s="87" customFormat="1" ht="16.5" x14ac:dyDescent="0.3">
      <c r="A3097" s="152"/>
      <c r="B3097" s="683"/>
      <c r="C3097" s="683"/>
      <c r="D3097" s="698"/>
      <c r="E3097" s="215"/>
      <c r="F3097" s="215"/>
      <c r="G3097" s="153"/>
      <c r="H3097" s="153"/>
      <c r="I3097" s="317">
        <v>22</v>
      </c>
      <c r="J3097" s="317">
        <v>60</v>
      </c>
      <c r="K3097" s="168">
        <v>1</v>
      </c>
      <c r="L3097" s="642">
        <v>22</v>
      </c>
      <c r="M3097" s="663">
        <v>34863</v>
      </c>
      <c r="N3097" s="600">
        <v>18.714700000000001</v>
      </c>
      <c r="O3097" s="604">
        <v>0.18157599999999999</v>
      </c>
      <c r="P3097" s="150"/>
      <c r="Q3097" s="250"/>
      <c r="R3097" s="250">
        <v>0.23449999999999999</v>
      </c>
      <c r="S3097" s="250">
        <v>7.0499999999999993E-2</v>
      </c>
      <c r="T3097" s="250">
        <v>9.2699999999999991E-2</v>
      </c>
      <c r="U3097" s="250">
        <v>0.16539999999999999</v>
      </c>
      <c r="V3097" s="250">
        <v>0.2176741516215884</v>
      </c>
      <c r="W3097" s="250">
        <v>0.16650494061692797</v>
      </c>
      <c r="X3097" s="250">
        <v>5.0335524607415714E-2</v>
      </c>
      <c r="Y3097" s="250">
        <v>2.4737252114966721E-3</v>
      </c>
      <c r="Z3097" s="150">
        <v>44</v>
      </c>
      <c r="AA3097" s="150">
        <v>2.5299999999999998</v>
      </c>
      <c r="AB3097" s="152"/>
      <c r="AC3097" s="152"/>
      <c r="AD3097" s="223">
        <v>24.99278</v>
      </c>
      <c r="AE3097" s="223">
        <v>0.60348420000000003</v>
      </c>
      <c r="AF3097" s="223">
        <v>15.064720169999999</v>
      </c>
      <c r="AG3097" s="223">
        <v>1.2526869</v>
      </c>
      <c r="AH3097" s="341"/>
      <c r="AI3097" s="218"/>
      <c r="AJ3097" s="218"/>
      <c r="AK3097" s="153"/>
      <c r="AL3097" s="152"/>
      <c r="AM3097" s="152"/>
      <c r="AN3097" s="152"/>
      <c r="AO3097" s="152"/>
      <c r="AP3097" s="152"/>
      <c r="AQ3097" s="152"/>
      <c r="AR3097" s="152"/>
      <c r="AS3097" s="152"/>
      <c r="AT3097" s="152"/>
      <c r="AU3097" s="153"/>
      <c r="AV3097" s="479"/>
      <c r="AW3097" s="479"/>
      <c r="AX3097" s="442"/>
      <c r="AY3097" s="153"/>
      <c r="AZ3097" s="152"/>
      <c r="BA3097" s="152"/>
      <c r="BB3097" s="152"/>
      <c r="BC3097" s="152"/>
      <c r="BD3097" s="152"/>
      <c r="BE3097" s="152"/>
      <c r="BF3097" s="152"/>
      <c r="BG3097" s="152"/>
      <c r="BH3097" s="152"/>
      <c r="BI3097" s="153"/>
      <c r="BJ3097" s="153"/>
      <c r="BK3097" s="153"/>
      <c r="BL3097" s="153"/>
      <c r="BM3097" s="153"/>
      <c r="BN3097" s="153"/>
      <c r="BO3097" s="153"/>
      <c r="BP3097" s="153"/>
      <c r="BQ3097" s="153"/>
      <c r="BR3097" s="153"/>
      <c r="BS3097" s="153"/>
      <c r="BT3097" s="153"/>
      <c r="BU3097" s="153"/>
      <c r="BV3097" s="153"/>
      <c r="BW3097" s="153"/>
      <c r="BX3097" s="153"/>
      <c r="BY3097" s="153"/>
      <c r="BZ3097" s="153"/>
      <c r="CA3097" s="152"/>
      <c r="CB3097" s="152"/>
    </row>
    <row r="3098" spans="1:80" s="87" customFormat="1" ht="16.5" x14ac:dyDescent="0.3">
      <c r="A3098" s="152"/>
      <c r="B3098" s="683"/>
      <c r="C3098" s="683"/>
      <c r="D3098" s="698"/>
      <c r="E3098" s="215"/>
      <c r="F3098" s="215"/>
      <c r="G3098" s="153"/>
      <c r="H3098" s="153"/>
      <c r="I3098" s="317">
        <v>21</v>
      </c>
      <c r="J3098" s="317">
        <v>60</v>
      </c>
      <c r="K3098" s="168">
        <v>1</v>
      </c>
      <c r="L3098" s="642">
        <v>21</v>
      </c>
      <c r="M3098" s="663">
        <v>34865</v>
      </c>
      <c r="N3098" s="600">
        <v>19.139399999999998</v>
      </c>
      <c r="O3098" s="604">
        <v>0.28548299999999999</v>
      </c>
      <c r="P3098" s="150"/>
      <c r="Q3098" s="250"/>
      <c r="R3098" s="250">
        <v>0.37020000000000003</v>
      </c>
      <c r="S3098" s="250">
        <v>7.0800000000000002E-2</v>
      </c>
      <c r="T3098" s="250">
        <v>0.10220000000000001</v>
      </c>
      <c r="U3098" s="250">
        <v>0.1678</v>
      </c>
      <c r="V3098" s="250">
        <v>0.174843527015976</v>
      </c>
      <c r="W3098" s="250">
        <v>8.4850849577482845E-2</v>
      </c>
      <c r="X3098" s="250">
        <v>2.7718835017878803E-2</v>
      </c>
      <c r="Y3098" s="250">
        <v>1.6195154281560505E-3</v>
      </c>
      <c r="Z3098" s="150">
        <v>66</v>
      </c>
      <c r="AA3098" s="150">
        <v>5.23</v>
      </c>
      <c r="AB3098" s="152"/>
      <c r="AC3098" s="152"/>
      <c r="AD3098" s="223">
        <v>14.660399</v>
      </c>
      <c r="AE3098" s="223">
        <v>0.83512459999999999</v>
      </c>
      <c r="AF3098" s="223">
        <v>12.24499217</v>
      </c>
      <c r="AG3098" s="223">
        <v>1.5056626</v>
      </c>
      <c r="AH3098" s="341"/>
      <c r="AI3098" s="218"/>
      <c r="AJ3098" s="218"/>
      <c r="AK3098" s="153"/>
      <c r="AL3098" s="152"/>
      <c r="AM3098" s="152"/>
      <c r="AN3098" s="152"/>
      <c r="AO3098" s="152"/>
      <c r="AP3098" s="152"/>
      <c r="AQ3098" s="152"/>
      <c r="AR3098" s="152"/>
      <c r="AS3098" s="152"/>
      <c r="AT3098" s="152"/>
      <c r="AU3098" s="153"/>
      <c r="AV3098" s="479"/>
      <c r="AW3098" s="479"/>
      <c r="AX3098" s="442"/>
      <c r="AY3098" s="153"/>
      <c r="AZ3098" s="152"/>
      <c r="BA3098" s="152"/>
      <c r="BB3098" s="152"/>
      <c r="BC3098" s="152"/>
      <c r="BD3098" s="152"/>
      <c r="BE3098" s="152"/>
      <c r="BF3098" s="152"/>
      <c r="BG3098" s="152"/>
      <c r="BH3098" s="152"/>
      <c r="BI3098" s="153"/>
      <c r="BJ3098" s="153"/>
      <c r="BK3098" s="153"/>
      <c r="BL3098" s="153"/>
      <c r="BM3098" s="153"/>
      <c r="BN3098" s="153"/>
      <c r="BO3098" s="153"/>
      <c r="BP3098" s="153"/>
      <c r="BQ3098" s="153"/>
      <c r="BR3098" s="153"/>
      <c r="BS3098" s="153"/>
      <c r="BT3098" s="153"/>
      <c r="BU3098" s="153"/>
      <c r="BV3098" s="153"/>
      <c r="BW3098" s="153"/>
      <c r="BX3098" s="153"/>
      <c r="BY3098" s="153"/>
      <c r="BZ3098" s="153"/>
      <c r="CA3098" s="152"/>
      <c r="CB3098" s="152"/>
    </row>
    <row r="3099" spans="1:80" s="87" customFormat="1" ht="16.5" x14ac:dyDescent="0.3">
      <c r="A3099" s="152"/>
      <c r="B3099" s="683"/>
      <c r="C3099" s="683"/>
      <c r="D3099" s="698"/>
      <c r="E3099" s="215"/>
      <c r="F3099" s="215"/>
      <c r="G3099" s="153"/>
      <c r="H3099" s="153"/>
      <c r="I3099" s="317">
        <v>21</v>
      </c>
      <c r="J3099" s="317">
        <v>60</v>
      </c>
      <c r="K3099" s="168">
        <v>1</v>
      </c>
      <c r="L3099" s="642">
        <v>21</v>
      </c>
      <c r="M3099" s="663">
        <v>34865</v>
      </c>
      <c r="N3099" s="600">
        <v>19.139399999999998</v>
      </c>
      <c r="O3099" s="604">
        <v>0.22355900000000001</v>
      </c>
      <c r="P3099" s="150"/>
      <c r="Q3099" s="250"/>
      <c r="R3099" s="250">
        <v>0.22550000000000001</v>
      </c>
      <c r="S3099" s="250">
        <v>0.1225</v>
      </c>
      <c r="T3099" s="250">
        <v>0.1222</v>
      </c>
      <c r="U3099" s="250">
        <v>0.20420000000000002</v>
      </c>
      <c r="V3099" s="250">
        <v>0.20904478751841146</v>
      </c>
      <c r="W3099" s="250">
        <v>8.7249740876111523E-2</v>
      </c>
      <c r="X3099" s="250">
        <v>2.7453494081064865E-2</v>
      </c>
      <c r="Y3099" s="250">
        <v>1.7320386230974855E-3</v>
      </c>
      <c r="Z3099" s="150">
        <v>34</v>
      </c>
      <c r="AA3099" s="150">
        <v>3.56</v>
      </c>
      <c r="AB3099" s="152"/>
      <c r="AC3099" s="152"/>
      <c r="AD3099" s="223">
        <v>14.660399</v>
      </c>
      <c r="AE3099" s="223">
        <v>0.83512459999999999</v>
      </c>
      <c r="AF3099" s="223">
        <v>12.24499217</v>
      </c>
      <c r="AG3099" s="223">
        <v>1.5056626</v>
      </c>
      <c r="AH3099" s="341"/>
      <c r="AI3099" s="218"/>
      <c r="AJ3099" s="218"/>
      <c r="AK3099" s="153"/>
      <c r="AL3099" s="152"/>
      <c r="AM3099" s="152"/>
      <c r="AN3099" s="152"/>
      <c r="AO3099" s="152"/>
      <c r="AP3099" s="152"/>
      <c r="AQ3099" s="152"/>
      <c r="AR3099" s="152"/>
      <c r="AS3099" s="152"/>
      <c r="AT3099" s="152"/>
      <c r="AU3099" s="153"/>
      <c r="AV3099" s="479"/>
      <c r="AW3099" s="479"/>
      <c r="AX3099" s="442"/>
      <c r="AY3099" s="153"/>
      <c r="AZ3099" s="152"/>
      <c r="BA3099" s="152"/>
      <c r="BB3099" s="152"/>
      <c r="BC3099" s="152"/>
      <c r="BD3099" s="152"/>
      <c r="BE3099" s="152"/>
      <c r="BF3099" s="152"/>
      <c r="BG3099" s="152"/>
      <c r="BH3099" s="152"/>
      <c r="BI3099" s="153"/>
      <c r="BJ3099" s="153"/>
      <c r="BK3099" s="153"/>
      <c r="BL3099" s="153"/>
      <c r="BM3099" s="153"/>
      <c r="BN3099" s="153"/>
      <c r="BO3099" s="153"/>
      <c r="BP3099" s="153"/>
      <c r="BQ3099" s="153"/>
      <c r="BR3099" s="153"/>
      <c r="BS3099" s="153"/>
      <c r="BT3099" s="153"/>
      <c r="BU3099" s="153"/>
      <c r="BV3099" s="153"/>
      <c r="BW3099" s="153"/>
      <c r="BX3099" s="153"/>
      <c r="BY3099" s="153"/>
      <c r="BZ3099" s="153"/>
      <c r="CA3099" s="152"/>
      <c r="CB3099" s="152"/>
    </row>
    <row r="3100" spans="1:80" s="87" customFormat="1" ht="16.5" x14ac:dyDescent="0.3">
      <c r="A3100" s="152"/>
      <c r="B3100" s="683"/>
      <c r="C3100" s="683"/>
      <c r="D3100" s="698"/>
      <c r="E3100" s="215"/>
      <c r="F3100" s="215"/>
      <c r="G3100" s="153"/>
      <c r="H3100" s="153"/>
      <c r="I3100" s="317">
        <v>22</v>
      </c>
      <c r="J3100" s="317">
        <v>60</v>
      </c>
      <c r="K3100" s="168">
        <v>1</v>
      </c>
      <c r="L3100" s="642">
        <v>22</v>
      </c>
      <c r="M3100" s="663">
        <v>34870</v>
      </c>
      <c r="N3100" s="600">
        <v>16.0533</v>
      </c>
      <c r="O3100" s="604">
        <v>5.6362000000000002E-2</v>
      </c>
      <c r="P3100" s="150"/>
      <c r="Q3100" s="250"/>
      <c r="R3100" s="250"/>
      <c r="S3100" s="250">
        <v>9.6999999999999989E-2</v>
      </c>
      <c r="T3100" s="250">
        <v>0.11900000000000001</v>
      </c>
      <c r="U3100" s="250">
        <v>0.2011</v>
      </c>
      <c r="V3100" s="250">
        <v>0.2697939613839575</v>
      </c>
      <c r="W3100" s="250">
        <v>0.21649172821908336</v>
      </c>
      <c r="X3100" s="250">
        <v>9.3430089412984307E-2</v>
      </c>
      <c r="Y3100" s="250">
        <v>3.1964062027558205E-3</v>
      </c>
      <c r="Z3100" s="150">
        <v>15</v>
      </c>
      <c r="AA3100" s="150">
        <v>1.61</v>
      </c>
      <c r="AB3100" s="152"/>
      <c r="AC3100" s="152"/>
      <c r="AD3100" s="223">
        <v>24.444158000000002</v>
      </c>
      <c r="AE3100" s="223">
        <v>0.53947829999999997</v>
      </c>
      <c r="AF3100" s="223">
        <v>13.164364709999999</v>
      </c>
      <c r="AG3100" s="223">
        <v>1.2008726000000001</v>
      </c>
      <c r="AH3100" s="341"/>
      <c r="AI3100" s="218"/>
      <c r="AJ3100" s="218"/>
      <c r="AK3100" s="153"/>
      <c r="AL3100" s="152"/>
      <c r="AM3100" s="152"/>
      <c r="AN3100" s="152"/>
      <c r="AO3100" s="152"/>
      <c r="AP3100" s="152"/>
      <c r="AQ3100" s="152"/>
      <c r="AR3100" s="152"/>
      <c r="AS3100" s="152"/>
      <c r="AT3100" s="152"/>
      <c r="AU3100" s="153"/>
      <c r="AV3100" s="479"/>
      <c r="AW3100" s="479"/>
      <c r="AX3100" s="442"/>
      <c r="AY3100" s="153"/>
      <c r="AZ3100" s="152"/>
      <c r="BA3100" s="152"/>
      <c r="BB3100" s="152"/>
      <c r="BC3100" s="152"/>
      <c r="BD3100" s="152"/>
      <c r="BE3100" s="152"/>
      <c r="BF3100" s="152"/>
      <c r="BG3100" s="152"/>
      <c r="BH3100" s="152"/>
      <c r="BI3100" s="153"/>
      <c r="BJ3100" s="153"/>
      <c r="BK3100" s="153"/>
      <c r="BL3100" s="153"/>
      <c r="BM3100" s="153"/>
      <c r="BN3100" s="153"/>
      <c r="BO3100" s="153"/>
      <c r="BP3100" s="153"/>
      <c r="BQ3100" s="153"/>
      <c r="BR3100" s="153"/>
      <c r="BS3100" s="153"/>
      <c r="BT3100" s="153"/>
      <c r="BU3100" s="153"/>
      <c r="BV3100" s="153"/>
      <c r="BW3100" s="153"/>
      <c r="BX3100" s="153"/>
      <c r="BY3100" s="153"/>
      <c r="BZ3100" s="153"/>
      <c r="CA3100" s="152"/>
      <c r="CB3100" s="152"/>
    </row>
    <row r="3101" spans="1:80" s="87" customFormat="1" ht="16.5" x14ac:dyDescent="0.3">
      <c r="A3101" s="152"/>
      <c r="B3101" s="683"/>
      <c r="C3101" s="683"/>
      <c r="D3101" s="698"/>
      <c r="E3101" s="215"/>
      <c r="F3101" s="215"/>
      <c r="G3101" s="153"/>
      <c r="H3101" s="153"/>
      <c r="I3101" s="317">
        <v>22</v>
      </c>
      <c r="J3101" s="317">
        <v>60</v>
      </c>
      <c r="K3101" s="168">
        <v>1</v>
      </c>
      <c r="L3101" s="642">
        <v>22</v>
      </c>
      <c r="M3101" s="663">
        <v>34870</v>
      </c>
      <c r="N3101" s="600">
        <v>16.0533</v>
      </c>
      <c r="O3101" s="604">
        <v>7.5254000000000001E-2</v>
      </c>
      <c r="P3101" s="150"/>
      <c r="Q3101" s="250"/>
      <c r="R3101" s="250">
        <v>6.5599999999999992E-2</v>
      </c>
      <c r="S3101" s="250">
        <v>4.3099999999999999E-2</v>
      </c>
      <c r="T3101" s="250">
        <v>0.14380000000000001</v>
      </c>
      <c r="U3101" s="250">
        <v>0.21179999999999999</v>
      </c>
      <c r="V3101" s="250">
        <v>0.2762073978355678</v>
      </c>
      <c r="W3101" s="250">
        <v>0.1990631561944759</v>
      </c>
      <c r="X3101" s="250">
        <v>5.7955096107252475E-2</v>
      </c>
      <c r="Y3101" s="250">
        <v>2.4874818284606691E-3</v>
      </c>
      <c r="Z3101" s="150">
        <v>28</v>
      </c>
      <c r="AA3101" s="150">
        <v>1.82</v>
      </c>
      <c r="AB3101" s="152"/>
      <c r="AC3101" s="152"/>
      <c r="AD3101" s="223">
        <v>24.444158000000002</v>
      </c>
      <c r="AE3101" s="223">
        <v>0.53947829999999997</v>
      </c>
      <c r="AF3101" s="223">
        <v>13.164364709999999</v>
      </c>
      <c r="AG3101" s="223">
        <v>1.2008726000000001</v>
      </c>
      <c r="AH3101" s="341"/>
      <c r="AI3101" s="218"/>
      <c r="AJ3101" s="218"/>
      <c r="AK3101" s="153"/>
      <c r="AL3101" s="152"/>
      <c r="AM3101" s="152"/>
      <c r="AN3101" s="152"/>
      <c r="AO3101" s="152"/>
      <c r="AP3101" s="152"/>
      <c r="AQ3101" s="152"/>
      <c r="AR3101" s="152"/>
      <c r="AS3101" s="152"/>
      <c r="AT3101" s="152"/>
      <c r="AU3101" s="153"/>
      <c r="AV3101" s="479"/>
      <c r="AW3101" s="479"/>
      <c r="AX3101" s="442"/>
      <c r="AY3101" s="153"/>
      <c r="AZ3101" s="152"/>
      <c r="BA3101" s="152"/>
      <c r="BB3101" s="152"/>
      <c r="BC3101" s="152"/>
      <c r="BD3101" s="152"/>
      <c r="BE3101" s="152"/>
      <c r="BF3101" s="152"/>
      <c r="BG3101" s="152"/>
      <c r="BH3101" s="152"/>
      <c r="BI3101" s="153"/>
      <c r="BJ3101" s="153"/>
      <c r="BK3101" s="153"/>
      <c r="BL3101" s="153"/>
      <c r="BM3101" s="153"/>
      <c r="BN3101" s="153"/>
      <c r="BO3101" s="153"/>
      <c r="BP3101" s="153"/>
      <c r="BQ3101" s="153"/>
      <c r="BR3101" s="153"/>
      <c r="BS3101" s="153"/>
      <c r="BT3101" s="153"/>
      <c r="BU3101" s="153"/>
      <c r="BV3101" s="153"/>
      <c r="BW3101" s="153"/>
      <c r="BX3101" s="153"/>
      <c r="BY3101" s="153"/>
      <c r="BZ3101" s="153"/>
      <c r="CA3101" s="152"/>
      <c r="CB3101" s="152"/>
    </row>
    <row r="3102" spans="1:80" s="87" customFormat="1" ht="16.5" x14ac:dyDescent="0.3">
      <c r="A3102" s="152"/>
      <c r="B3102" s="683"/>
      <c r="C3102" s="683"/>
      <c r="D3102" s="698"/>
      <c r="E3102" s="215"/>
      <c r="F3102" s="215"/>
      <c r="G3102" s="153"/>
      <c r="H3102" s="153"/>
      <c r="I3102" s="317">
        <v>22</v>
      </c>
      <c r="J3102" s="317">
        <v>60</v>
      </c>
      <c r="K3102" s="168">
        <v>1</v>
      </c>
      <c r="L3102" s="642">
        <v>22</v>
      </c>
      <c r="M3102" s="663">
        <v>34872</v>
      </c>
      <c r="N3102" s="600">
        <v>14.014799999999999</v>
      </c>
      <c r="O3102" s="604">
        <v>8.8164000000000006E-2</v>
      </c>
      <c r="P3102" s="150"/>
      <c r="Q3102" s="250">
        <v>0.1993</v>
      </c>
      <c r="R3102" s="250">
        <v>0.15010000000000001</v>
      </c>
      <c r="S3102" s="250">
        <v>0.1027</v>
      </c>
      <c r="T3102" s="250">
        <v>9.2799999999999994E-2</v>
      </c>
      <c r="U3102" s="250">
        <v>0.12869999999999998</v>
      </c>
      <c r="V3102" s="250">
        <v>0.16128504863892751</v>
      </c>
      <c r="W3102" s="250">
        <v>0.12711518025014304</v>
      </c>
      <c r="X3102" s="250">
        <v>3.6431510395378619E-2</v>
      </c>
      <c r="Y3102" s="250">
        <v>1.6076732336030954E-3</v>
      </c>
      <c r="Z3102" s="150">
        <v>47</v>
      </c>
      <c r="AA3102" s="150">
        <v>5.53</v>
      </c>
      <c r="AB3102" s="152"/>
      <c r="AC3102" s="152"/>
      <c r="AD3102" s="223">
        <v>24.169847000000001</v>
      </c>
      <c r="AE3102" s="223">
        <v>0.50899930000000004</v>
      </c>
      <c r="AF3102" s="223">
        <v>12.34015451</v>
      </c>
      <c r="AG3102" s="223">
        <v>1.1216272</v>
      </c>
      <c r="AH3102" s="341"/>
      <c r="AI3102" s="218"/>
      <c r="AJ3102" s="218"/>
      <c r="AK3102" s="153"/>
      <c r="AL3102" s="152"/>
      <c r="AM3102" s="152"/>
      <c r="AN3102" s="152"/>
      <c r="AO3102" s="152"/>
      <c r="AP3102" s="152"/>
      <c r="AQ3102" s="152"/>
      <c r="AR3102" s="152"/>
      <c r="AS3102" s="152"/>
      <c r="AT3102" s="152"/>
      <c r="AU3102" s="153"/>
      <c r="AV3102" s="479"/>
      <c r="AW3102" s="479"/>
      <c r="AX3102" s="442"/>
      <c r="AY3102" s="153"/>
      <c r="AZ3102" s="152"/>
      <c r="BA3102" s="152"/>
      <c r="BB3102" s="152"/>
      <c r="BC3102" s="152"/>
      <c r="BD3102" s="152"/>
      <c r="BE3102" s="152"/>
      <c r="BF3102" s="152"/>
      <c r="BG3102" s="152"/>
      <c r="BH3102" s="152"/>
      <c r="BI3102" s="153"/>
      <c r="BJ3102" s="153"/>
      <c r="BK3102" s="153"/>
      <c r="BL3102" s="153"/>
      <c r="BM3102" s="153"/>
      <c r="BN3102" s="153"/>
      <c r="BO3102" s="153"/>
      <c r="BP3102" s="153"/>
      <c r="BQ3102" s="153"/>
      <c r="BR3102" s="153"/>
      <c r="BS3102" s="153"/>
      <c r="BT3102" s="153"/>
      <c r="BU3102" s="153"/>
      <c r="BV3102" s="153"/>
      <c r="BW3102" s="153"/>
      <c r="BX3102" s="153"/>
      <c r="BY3102" s="153"/>
      <c r="BZ3102" s="153"/>
      <c r="CA3102" s="152"/>
      <c r="CB3102" s="152"/>
    </row>
    <row r="3103" spans="1:80" s="87" customFormat="1" ht="16.5" x14ac:dyDescent="0.3">
      <c r="A3103" s="152"/>
      <c r="B3103" s="683"/>
      <c r="C3103" s="683"/>
      <c r="D3103" s="698"/>
      <c r="E3103" s="215"/>
      <c r="F3103" s="215"/>
      <c r="G3103" s="153"/>
      <c r="H3103" s="153"/>
      <c r="I3103" s="317">
        <v>22</v>
      </c>
      <c r="J3103" s="317">
        <v>60</v>
      </c>
      <c r="K3103" s="168">
        <v>1</v>
      </c>
      <c r="L3103" s="642">
        <v>22</v>
      </c>
      <c r="M3103" s="663">
        <v>34872</v>
      </c>
      <c r="N3103" s="600">
        <v>14.014799999999999</v>
      </c>
      <c r="O3103" s="604">
        <v>7.1161000000000002E-2</v>
      </c>
      <c r="P3103" s="150"/>
      <c r="Q3103" s="250"/>
      <c r="R3103" s="250">
        <v>7.2700000000000001E-2</v>
      </c>
      <c r="S3103" s="250">
        <v>9.2899999999999996E-2</v>
      </c>
      <c r="T3103" s="250">
        <v>9.0200000000000002E-2</v>
      </c>
      <c r="U3103" s="250">
        <v>0.20250000000000001</v>
      </c>
      <c r="V3103" s="250">
        <v>0.26497314461372157</v>
      </c>
      <c r="W3103" s="250">
        <v>0.21180285781846434</v>
      </c>
      <c r="X3103" s="250">
        <v>6.2899030503665174E-2</v>
      </c>
      <c r="Y3103" s="250">
        <v>2.0268216059183188E-3</v>
      </c>
      <c r="Z3103" s="150">
        <v>21</v>
      </c>
      <c r="AA3103" s="150">
        <v>1.79</v>
      </c>
      <c r="AB3103" s="152"/>
      <c r="AC3103" s="152"/>
      <c r="AD3103" s="223">
        <v>24.169847000000001</v>
      </c>
      <c r="AE3103" s="223">
        <v>0.50899930000000004</v>
      </c>
      <c r="AF3103" s="223">
        <v>12.34015451</v>
      </c>
      <c r="AG3103" s="223">
        <v>1.1216272</v>
      </c>
      <c r="AH3103" s="341"/>
      <c r="AI3103" s="218"/>
      <c r="AJ3103" s="218"/>
      <c r="AK3103" s="153"/>
      <c r="AL3103" s="152"/>
      <c r="AM3103" s="152"/>
      <c r="AN3103" s="152"/>
      <c r="AO3103" s="152"/>
      <c r="AP3103" s="152"/>
      <c r="AQ3103" s="152"/>
      <c r="AR3103" s="152"/>
      <c r="AS3103" s="152"/>
      <c r="AT3103" s="152"/>
      <c r="AU3103" s="153"/>
      <c r="AV3103" s="479"/>
      <c r="AW3103" s="479"/>
      <c r="AX3103" s="442"/>
      <c r="AY3103" s="153"/>
      <c r="AZ3103" s="152"/>
      <c r="BA3103" s="152"/>
      <c r="BB3103" s="152"/>
      <c r="BC3103" s="152"/>
      <c r="BD3103" s="152"/>
      <c r="BE3103" s="152"/>
      <c r="BF3103" s="152"/>
      <c r="BG3103" s="152"/>
      <c r="BH3103" s="152"/>
      <c r="BI3103" s="153"/>
      <c r="BJ3103" s="153"/>
      <c r="BK3103" s="153"/>
      <c r="BL3103" s="153"/>
      <c r="BM3103" s="153"/>
      <c r="BN3103" s="153"/>
      <c r="BO3103" s="153"/>
      <c r="BP3103" s="153"/>
      <c r="BQ3103" s="153"/>
      <c r="BR3103" s="153"/>
      <c r="BS3103" s="153"/>
      <c r="BT3103" s="153"/>
      <c r="BU3103" s="153"/>
      <c r="BV3103" s="153"/>
      <c r="BW3103" s="153"/>
      <c r="BX3103" s="153"/>
      <c r="BY3103" s="153"/>
      <c r="BZ3103" s="153"/>
      <c r="CA3103" s="152"/>
      <c r="CB3103" s="152"/>
    </row>
    <row r="3104" spans="1:80" s="87" customFormat="1" ht="16.5" x14ac:dyDescent="0.3">
      <c r="A3104" s="152"/>
      <c r="B3104" s="683"/>
      <c r="C3104" s="683"/>
      <c r="D3104" s="698"/>
      <c r="E3104" s="215"/>
      <c r="F3104" s="215"/>
      <c r="G3104" s="153"/>
      <c r="H3104" s="153"/>
      <c r="I3104" s="317">
        <v>22</v>
      </c>
      <c r="J3104" s="317">
        <v>60</v>
      </c>
      <c r="K3104" s="168">
        <v>1</v>
      </c>
      <c r="L3104" s="642">
        <v>22</v>
      </c>
      <c r="M3104" s="663">
        <v>34872</v>
      </c>
      <c r="N3104" s="600">
        <v>14.014799999999999</v>
      </c>
      <c r="O3104" s="604">
        <v>0.18262500000000001</v>
      </c>
      <c r="P3104" s="150"/>
      <c r="Q3104" s="250">
        <v>9.9499999999999991E-2</v>
      </c>
      <c r="R3104" s="250">
        <v>6.6100000000000006E-2</v>
      </c>
      <c r="S3104" s="250">
        <v>6.3899999999999998E-2</v>
      </c>
      <c r="T3104" s="250">
        <v>0.12770000000000001</v>
      </c>
      <c r="U3104" s="250">
        <v>0.21719999999999998</v>
      </c>
      <c r="V3104" s="250">
        <v>0.22522829851999582</v>
      </c>
      <c r="W3104" s="250">
        <v>0.15777527028445471</v>
      </c>
      <c r="X3104" s="250">
        <v>4.1015009971659494E-2</v>
      </c>
      <c r="Y3104" s="250">
        <v>1.4301459011231241E-3</v>
      </c>
      <c r="Z3104" s="150"/>
      <c r="AA3104" s="150">
        <v>2.44</v>
      </c>
      <c r="AB3104" s="152"/>
      <c r="AC3104" s="152"/>
      <c r="AD3104" s="223">
        <v>24.169847000000001</v>
      </c>
      <c r="AE3104" s="223">
        <v>0.50899930000000004</v>
      </c>
      <c r="AF3104" s="223">
        <v>12.34015451</v>
      </c>
      <c r="AG3104" s="223">
        <v>1.1216272</v>
      </c>
      <c r="AH3104" s="341"/>
      <c r="AI3104" s="218"/>
      <c r="AJ3104" s="218"/>
      <c r="AK3104" s="153"/>
      <c r="AL3104" s="152"/>
      <c r="AM3104" s="152"/>
      <c r="AN3104" s="152"/>
      <c r="AO3104" s="152"/>
      <c r="AP3104" s="152"/>
      <c r="AQ3104" s="152"/>
      <c r="AR3104" s="152"/>
      <c r="AS3104" s="152"/>
      <c r="AT3104" s="152"/>
      <c r="AU3104" s="153"/>
      <c r="AV3104" s="479"/>
      <c r="AW3104" s="479"/>
      <c r="AX3104" s="442"/>
      <c r="AY3104" s="153"/>
      <c r="AZ3104" s="152"/>
      <c r="BA3104" s="152"/>
      <c r="BB3104" s="152"/>
      <c r="BC3104" s="152"/>
      <c r="BD3104" s="152"/>
      <c r="BE3104" s="152"/>
      <c r="BF3104" s="152"/>
      <c r="BG3104" s="152"/>
      <c r="BH3104" s="152"/>
      <c r="BI3104" s="153"/>
      <c r="BJ3104" s="153"/>
      <c r="BK3104" s="153"/>
      <c r="BL3104" s="153"/>
      <c r="BM3104" s="153"/>
      <c r="BN3104" s="153"/>
      <c r="BO3104" s="153"/>
      <c r="BP3104" s="153"/>
      <c r="BQ3104" s="153"/>
      <c r="BR3104" s="153"/>
      <c r="BS3104" s="153"/>
      <c r="BT3104" s="153"/>
      <c r="BU3104" s="153"/>
      <c r="BV3104" s="153"/>
      <c r="BW3104" s="153"/>
      <c r="BX3104" s="153"/>
      <c r="BY3104" s="153"/>
      <c r="BZ3104" s="153"/>
      <c r="CA3104" s="152"/>
      <c r="CB3104" s="152"/>
    </row>
    <row r="3105" spans="1:80" s="87" customFormat="1" ht="16.5" x14ac:dyDescent="0.3">
      <c r="A3105" s="152"/>
      <c r="B3105" s="683"/>
      <c r="C3105" s="683"/>
      <c r="D3105" s="698"/>
      <c r="E3105" s="215"/>
      <c r="F3105" s="215"/>
      <c r="G3105" s="153"/>
      <c r="H3105" s="153"/>
      <c r="I3105" s="317">
        <v>24</v>
      </c>
      <c r="J3105" s="317">
        <v>60</v>
      </c>
      <c r="K3105" s="168">
        <v>1</v>
      </c>
      <c r="L3105" s="642">
        <v>24</v>
      </c>
      <c r="M3105" s="663">
        <v>34876</v>
      </c>
      <c r="N3105" s="600">
        <v>16.0533</v>
      </c>
      <c r="O3105" s="604">
        <v>5.2478999999999998E-2</v>
      </c>
      <c r="P3105" s="150"/>
      <c r="Q3105" s="250"/>
      <c r="R3105" s="250">
        <v>3.6299999999999999E-2</v>
      </c>
      <c r="S3105" s="250">
        <v>0.128</v>
      </c>
      <c r="T3105" s="250">
        <v>0.12210000000000001</v>
      </c>
      <c r="U3105" s="250">
        <v>0.2082</v>
      </c>
      <c r="V3105" s="250">
        <v>0.23892749051536719</v>
      </c>
      <c r="W3105" s="250">
        <v>0.18918112451511143</v>
      </c>
      <c r="X3105" s="250">
        <v>7.3873566648194708E-2</v>
      </c>
      <c r="Y3105" s="250">
        <v>3.4528326015601683E-3</v>
      </c>
      <c r="Z3105" s="150">
        <v>18</v>
      </c>
      <c r="AA3105" s="150">
        <v>1.97</v>
      </c>
      <c r="AB3105" s="152"/>
      <c r="AC3105" s="152"/>
      <c r="AD3105" s="223">
        <v>24.535595000000001</v>
      </c>
      <c r="AE3105" s="223">
        <v>0.56386150000000002</v>
      </c>
      <c r="AF3105" s="223">
        <v>13.87375434</v>
      </c>
      <c r="AG3105" s="223">
        <v>1.1673457</v>
      </c>
      <c r="AH3105" s="341"/>
      <c r="AI3105" s="218"/>
      <c r="AJ3105" s="218"/>
      <c r="AK3105" s="153"/>
      <c r="AL3105" s="152"/>
      <c r="AM3105" s="152"/>
      <c r="AN3105" s="152"/>
      <c r="AO3105" s="152"/>
      <c r="AP3105" s="152"/>
      <c r="AQ3105" s="152"/>
      <c r="AR3105" s="152"/>
      <c r="AS3105" s="152"/>
      <c r="AT3105" s="152"/>
      <c r="AU3105" s="153"/>
      <c r="AV3105" s="479"/>
      <c r="AW3105" s="479"/>
      <c r="AX3105" s="442"/>
      <c r="AY3105" s="153"/>
      <c r="AZ3105" s="152"/>
      <c r="BA3105" s="152"/>
      <c r="BB3105" s="152"/>
      <c r="BC3105" s="152"/>
      <c r="BD3105" s="152"/>
      <c r="BE3105" s="152"/>
      <c r="BF3105" s="152"/>
      <c r="BG3105" s="152"/>
      <c r="BH3105" s="152"/>
      <c r="BI3105" s="153"/>
      <c r="BJ3105" s="153"/>
      <c r="BK3105" s="153"/>
      <c r="BL3105" s="153"/>
      <c r="BM3105" s="153"/>
      <c r="BN3105" s="153"/>
      <c r="BO3105" s="153"/>
      <c r="BP3105" s="153"/>
      <c r="BQ3105" s="153"/>
      <c r="BR3105" s="153"/>
      <c r="BS3105" s="153"/>
      <c r="BT3105" s="153"/>
      <c r="BU3105" s="153"/>
      <c r="BV3105" s="153"/>
      <c r="BW3105" s="153"/>
      <c r="BX3105" s="153"/>
      <c r="BY3105" s="153"/>
      <c r="BZ3105" s="153"/>
      <c r="CA3105" s="152"/>
      <c r="CB3105" s="152"/>
    </row>
    <row r="3106" spans="1:80" s="87" customFormat="1" ht="16.5" x14ac:dyDescent="0.3">
      <c r="A3106" s="152"/>
      <c r="B3106" s="683"/>
      <c r="C3106" s="683"/>
      <c r="D3106" s="698"/>
      <c r="E3106" s="215"/>
      <c r="F3106" s="215"/>
      <c r="G3106" s="153"/>
      <c r="H3106" s="153"/>
      <c r="I3106" s="317">
        <v>24</v>
      </c>
      <c r="J3106" s="317">
        <v>60</v>
      </c>
      <c r="K3106" s="168">
        <v>1</v>
      </c>
      <c r="L3106" s="642">
        <v>24</v>
      </c>
      <c r="M3106" s="663">
        <v>34876</v>
      </c>
      <c r="N3106" s="600">
        <v>16.0533</v>
      </c>
      <c r="O3106" s="604">
        <v>6.0664999999999997E-2</v>
      </c>
      <c r="P3106" s="150"/>
      <c r="Q3106" s="250"/>
      <c r="R3106" s="250">
        <v>3.5499999999999997E-2</v>
      </c>
      <c r="S3106" s="250">
        <v>8.9200000000000002E-2</v>
      </c>
      <c r="T3106" s="250">
        <v>7.2000000000000008E-2</v>
      </c>
      <c r="U3106" s="250">
        <v>0.18440000000000001</v>
      </c>
      <c r="V3106" s="250">
        <v>0.28787040112181256</v>
      </c>
      <c r="W3106" s="250">
        <v>0.24144802391232148</v>
      </c>
      <c r="X3106" s="250">
        <v>8.660836193217461E-2</v>
      </c>
      <c r="Y3106" s="250">
        <v>3.0259419166758918E-3</v>
      </c>
      <c r="Z3106" s="150">
        <v>20</v>
      </c>
      <c r="AA3106" s="150">
        <v>1.48</v>
      </c>
      <c r="AB3106" s="152"/>
      <c r="AC3106" s="152"/>
      <c r="AD3106" s="223">
        <v>24.535595000000001</v>
      </c>
      <c r="AE3106" s="223">
        <v>0.56386150000000002</v>
      </c>
      <c r="AF3106" s="223">
        <v>13.87375434</v>
      </c>
      <c r="AG3106" s="223">
        <v>1.1673457</v>
      </c>
      <c r="AH3106" s="341"/>
      <c r="AI3106" s="218"/>
      <c r="AJ3106" s="218"/>
      <c r="AK3106" s="153"/>
      <c r="AL3106" s="152"/>
      <c r="AM3106" s="152"/>
      <c r="AN3106" s="152"/>
      <c r="AO3106" s="152"/>
      <c r="AP3106" s="152"/>
      <c r="AQ3106" s="152"/>
      <c r="AR3106" s="152"/>
      <c r="AS3106" s="152"/>
      <c r="AT3106" s="152"/>
      <c r="AU3106" s="153"/>
      <c r="AV3106" s="479"/>
      <c r="AW3106" s="479"/>
      <c r="AX3106" s="442"/>
      <c r="AY3106" s="153"/>
      <c r="AZ3106" s="152"/>
      <c r="BA3106" s="152"/>
      <c r="BB3106" s="152"/>
      <c r="BC3106" s="152"/>
      <c r="BD3106" s="152"/>
      <c r="BE3106" s="152"/>
      <c r="BF3106" s="152"/>
      <c r="BG3106" s="152"/>
      <c r="BH3106" s="152"/>
      <c r="BI3106" s="153"/>
      <c r="BJ3106" s="153"/>
      <c r="BK3106" s="153"/>
      <c r="BL3106" s="153"/>
      <c r="BM3106" s="153"/>
      <c r="BN3106" s="153"/>
      <c r="BO3106" s="153"/>
      <c r="BP3106" s="153"/>
      <c r="BQ3106" s="153"/>
      <c r="BR3106" s="153"/>
      <c r="BS3106" s="153"/>
      <c r="BT3106" s="153"/>
      <c r="BU3106" s="153"/>
      <c r="BV3106" s="153"/>
      <c r="BW3106" s="153"/>
      <c r="BX3106" s="153"/>
      <c r="BY3106" s="153"/>
      <c r="BZ3106" s="153"/>
      <c r="CA3106" s="152"/>
      <c r="CB3106" s="152"/>
    </row>
    <row r="3107" spans="1:80" s="87" customFormat="1" ht="16.5" x14ac:dyDescent="0.3">
      <c r="A3107" s="152"/>
      <c r="B3107" s="683"/>
      <c r="C3107" s="683"/>
      <c r="D3107" s="698"/>
      <c r="E3107" s="215"/>
      <c r="F3107" s="215"/>
      <c r="G3107" s="153"/>
      <c r="H3107" s="153"/>
      <c r="I3107" s="317">
        <v>22</v>
      </c>
      <c r="J3107" s="317">
        <v>60</v>
      </c>
      <c r="K3107" s="168">
        <v>1</v>
      </c>
      <c r="L3107" s="642">
        <v>22</v>
      </c>
      <c r="M3107" s="663">
        <v>34880</v>
      </c>
      <c r="N3107" s="600">
        <v>14.212999999999999</v>
      </c>
      <c r="O3107" s="604">
        <v>8.1972000000000003E-2</v>
      </c>
      <c r="P3107" s="150"/>
      <c r="Q3107" s="250"/>
      <c r="R3107" s="250">
        <v>3.2599999999999997E-2</v>
      </c>
      <c r="S3107" s="250">
        <v>6.6400000000000001E-2</v>
      </c>
      <c r="T3107" s="250">
        <v>0.11220000000000001</v>
      </c>
      <c r="U3107" s="250">
        <v>0.25069999999999998</v>
      </c>
      <c r="V3107" s="250">
        <v>0.29387551086413227</v>
      </c>
      <c r="W3107" s="250">
        <v>0.19099703037252655</v>
      </c>
      <c r="X3107" s="250">
        <v>5.1747963894034292E-2</v>
      </c>
      <c r="Y3107" s="250">
        <v>1.470112610625974E-3</v>
      </c>
      <c r="Z3107" s="150">
        <v>18.5</v>
      </c>
      <c r="AA3107" s="150">
        <v>1.83</v>
      </c>
      <c r="AB3107" s="152"/>
      <c r="AC3107" s="152"/>
      <c r="AD3107" s="223">
        <v>24.230805</v>
      </c>
      <c r="AE3107" s="223">
        <v>0.51509510000000003</v>
      </c>
      <c r="AF3107" s="223">
        <v>12.48654073</v>
      </c>
      <c r="AG3107" s="223">
        <v>1.1338188</v>
      </c>
      <c r="AH3107" s="341"/>
      <c r="AI3107" s="218"/>
      <c r="AJ3107" s="218"/>
      <c r="AK3107" s="153"/>
      <c r="AL3107" s="152"/>
      <c r="AM3107" s="152"/>
      <c r="AN3107" s="152"/>
      <c r="AO3107" s="152"/>
      <c r="AP3107" s="152"/>
      <c r="AQ3107" s="152"/>
      <c r="AR3107" s="152"/>
      <c r="AS3107" s="152"/>
      <c r="AT3107" s="152"/>
      <c r="AU3107" s="153"/>
      <c r="AV3107" s="479"/>
      <c r="AW3107" s="479"/>
      <c r="AX3107" s="442"/>
      <c r="AY3107" s="153"/>
      <c r="AZ3107" s="152"/>
      <c r="BA3107" s="152"/>
      <c r="BB3107" s="152"/>
      <c r="BC3107" s="152"/>
      <c r="BD3107" s="152"/>
      <c r="BE3107" s="152"/>
      <c r="BF3107" s="152"/>
      <c r="BG3107" s="152"/>
      <c r="BH3107" s="152"/>
      <c r="BI3107" s="153"/>
      <c r="BJ3107" s="153"/>
      <c r="BK3107" s="153"/>
      <c r="BL3107" s="153"/>
      <c r="BM3107" s="153"/>
      <c r="BN3107" s="153"/>
      <c r="BO3107" s="153"/>
      <c r="BP3107" s="153"/>
      <c r="BQ3107" s="153"/>
      <c r="BR3107" s="153"/>
      <c r="BS3107" s="153"/>
      <c r="BT3107" s="153"/>
      <c r="BU3107" s="153"/>
      <c r="BV3107" s="153"/>
      <c r="BW3107" s="153"/>
      <c r="BX3107" s="153"/>
      <c r="BY3107" s="153"/>
      <c r="BZ3107" s="153"/>
      <c r="CA3107" s="152"/>
      <c r="CB3107" s="152"/>
    </row>
    <row r="3108" spans="1:80" s="87" customFormat="1" ht="16.5" x14ac:dyDescent="0.3">
      <c r="A3108" s="152"/>
      <c r="B3108" s="683"/>
      <c r="C3108" s="683"/>
      <c r="D3108" s="698"/>
      <c r="E3108" s="215"/>
      <c r="F3108" s="215"/>
      <c r="G3108" s="153"/>
      <c r="H3108" s="153"/>
      <c r="I3108" s="317">
        <v>22</v>
      </c>
      <c r="J3108" s="317">
        <v>60</v>
      </c>
      <c r="K3108" s="168">
        <v>1</v>
      </c>
      <c r="L3108" s="642">
        <v>22</v>
      </c>
      <c r="M3108" s="663">
        <v>34880</v>
      </c>
      <c r="N3108" s="600">
        <v>14.212999999999999</v>
      </c>
      <c r="O3108" s="604">
        <v>6.6123000000000001E-2</v>
      </c>
      <c r="P3108" s="150"/>
      <c r="Q3108" s="250"/>
      <c r="R3108" s="250"/>
      <c r="S3108" s="250">
        <v>0.1409</v>
      </c>
      <c r="T3108" s="250">
        <v>0.1079</v>
      </c>
      <c r="U3108" s="250">
        <v>0.1852</v>
      </c>
      <c r="V3108" s="250">
        <v>0.27509754585566859</v>
      </c>
      <c r="W3108" s="250">
        <v>0.23268788972760091</v>
      </c>
      <c r="X3108" s="250">
        <v>5.6266637494074317E-2</v>
      </c>
      <c r="Y3108" s="250">
        <v>2.0056157240272766E-3</v>
      </c>
      <c r="Z3108" s="150">
        <v>16</v>
      </c>
      <c r="AA3108" s="150">
        <v>1.67</v>
      </c>
      <c r="AB3108" s="152"/>
      <c r="AC3108" s="152"/>
      <c r="AD3108" s="223">
        <v>24.230805</v>
      </c>
      <c r="AE3108" s="223">
        <v>0.51509510000000003</v>
      </c>
      <c r="AF3108" s="223">
        <v>12.48654073</v>
      </c>
      <c r="AG3108" s="223">
        <v>1.1338188</v>
      </c>
      <c r="AH3108" s="341"/>
      <c r="AI3108" s="218"/>
      <c r="AJ3108" s="218"/>
      <c r="AK3108" s="153"/>
      <c r="AL3108" s="152"/>
      <c r="AM3108" s="152"/>
      <c r="AN3108" s="152"/>
      <c r="AO3108" s="152"/>
      <c r="AP3108" s="152"/>
      <c r="AQ3108" s="152"/>
      <c r="AR3108" s="152"/>
      <c r="AS3108" s="152"/>
      <c r="AT3108" s="152"/>
      <c r="AU3108" s="153"/>
      <c r="AV3108" s="479"/>
      <c r="AW3108" s="479"/>
      <c r="AX3108" s="442"/>
      <c r="AY3108" s="153"/>
      <c r="AZ3108" s="152"/>
      <c r="BA3108" s="152"/>
      <c r="BB3108" s="152"/>
      <c r="BC3108" s="152"/>
      <c r="BD3108" s="152"/>
      <c r="BE3108" s="152"/>
      <c r="BF3108" s="152"/>
      <c r="BG3108" s="152"/>
      <c r="BH3108" s="152"/>
      <c r="BI3108" s="153"/>
      <c r="BJ3108" s="153"/>
      <c r="BK3108" s="153"/>
      <c r="BL3108" s="153"/>
      <c r="BM3108" s="153"/>
      <c r="BN3108" s="153"/>
      <c r="BO3108" s="153"/>
      <c r="BP3108" s="153"/>
      <c r="BQ3108" s="153"/>
      <c r="BR3108" s="153"/>
      <c r="BS3108" s="153"/>
      <c r="BT3108" s="153"/>
      <c r="BU3108" s="153"/>
      <c r="BV3108" s="153"/>
      <c r="BW3108" s="153"/>
      <c r="BX3108" s="153"/>
      <c r="BY3108" s="153"/>
      <c r="BZ3108" s="153"/>
      <c r="CA3108" s="152"/>
      <c r="CB3108" s="152"/>
    </row>
    <row r="3109" spans="1:80" s="87" customFormat="1" ht="16.5" x14ac:dyDescent="0.3">
      <c r="A3109" s="152"/>
      <c r="B3109" s="683"/>
      <c r="C3109" s="683"/>
      <c r="D3109" s="698"/>
      <c r="E3109" s="215"/>
      <c r="F3109" s="215"/>
      <c r="G3109" s="153"/>
      <c r="H3109" s="153"/>
      <c r="I3109" s="317">
        <v>24</v>
      </c>
      <c r="J3109" s="317">
        <v>60</v>
      </c>
      <c r="K3109" s="168">
        <v>1</v>
      </c>
      <c r="L3109" s="642">
        <v>24</v>
      </c>
      <c r="M3109" s="663">
        <v>34884</v>
      </c>
      <c r="N3109" s="600">
        <v>11.353400000000001</v>
      </c>
      <c r="O3109" s="604">
        <v>2.6343999999999999E-2</v>
      </c>
      <c r="P3109" s="150"/>
      <c r="Q3109" s="250"/>
      <c r="R3109" s="250"/>
      <c r="S3109" s="250">
        <v>6.8499999999999991E-2</v>
      </c>
      <c r="T3109" s="250">
        <v>0.12839999999999999</v>
      </c>
      <c r="U3109" s="250">
        <v>0.2402</v>
      </c>
      <c r="V3109" s="250">
        <v>0.25689898069114114</v>
      </c>
      <c r="W3109" s="250">
        <v>0.22317063064556231</v>
      </c>
      <c r="X3109" s="250">
        <v>8.1047484876108411E-2</v>
      </c>
      <c r="Y3109" s="250">
        <v>1.906024695450402E-3</v>
      </c>
      <c r="Z3109" s="150">
        <v>9</v>
      </c>
      <c r="AA3109" s="150">
        <v>1.7</v>
      </c>
      <c r="AB3109" s="152"/>
      <c r="AC3109" s="152"/>
      <c r="AD3109" s="223">
        <v>23.956493999999999</v>
      </c>
      <c r="AE3109" s="223">
        <v>0.45718500000000001</v>
      </c>
      <c r="AF3109" s="223">
        <v>10.923736010000001</v>
      </c>
      <c r="AG3109" s="223">
        <v>1.1063877</v>
      </c>
      <c r="AH3109" s="341"/>
      <c r="AI3109" s="218"/>
      <c r="AJ3109" s="218"/>
      <c r="AK3109" s="153"/>
      <c r="AL3109" s="152"/>
      <c r="AM3109" s="152"/>
      <c r="AN3109" s="152"/>
      <c r="AO3109" s="152"/>
      <c r="AP3109" s="152"/>
      <c r="AQ3109" s="152"/>
      <c r="AR3109" s="152"/>
      <c r="AS3109" s="152"/>
      <c r="AT3109" s="152"/>
      <c r="AU3109" s="153"/>
      <c r="AV3109" s="479"/>
      <c r="AW3109" s="479"/>
      <c r="AX3109" s="442"/>
      <c r="AY3109" s="153"/>
      <c r="AZ3109" s="152"/>
      <c r="BA3109" s="152"/>
      <c r="BB3109" s="152"/>
      <c r="BC3109" s="152"/>
      <c r="BD3109" s="152"/>
      <c r="BE3109" s="152"/>
      <c r="BF3109" s="152"/>
      <c r="BG3109" s="152"/>
      <c r="BH3109" s="152"/>
      <c r="BI3109" s="153"/>
      <c r="BJ3109" s="153"/>
      <c r="BK3109" s="153"/>
      <c r="BL3109" s="153"/>
      <c r="BM3109" s="153"/>
      <c r="BN3109" s="153"/>
      <c r="BO3109" s="153"/>
      <c r="BP3109" s="153"/>
      <c r="BQ3109" s="153"/>
      <c r="BR3109" s="153"/>
      <c r="BS3109" s="153"/>
      <c r="BT3109" s="153"/>
      <c r="BU3109" s="153"/>
      <c r="BV3109" s="153"/>
      <c r="BW3109" s="153"/>
      <c r="BX3109" s="153"/>
      <c r="BY3109" s="153"/>
      <c r="BZ3109" s="153"/>
      <c r="CA3109" s="152"/>
      <c r="CB3109" s="152"/>
    </row>
    <row r="3110" spans="1:80" s="87" customFormat="1" ht="16.5" x14ac:dyDescent="0.3">
      <c r="A3110" s="152"/>
      <c r="B3110" s="683"/>
      <c r="C3110" s="683"/>
      <c r="D3110" s="698"/>
      <c r="E3110" s="215"/>
      <c r="F3110" s="215"/>
      <c r="G3110" s="153"/>
      <c r="H3110" s="153"/>
      <c r="I3110" s="317">
        <v>24</v>
      </c>
      <c r="J3110" s="317">
        <v>60</v>
      </c>
      <c r="K3110" s="168">
        <v>1</v>
      </c>
      <c r="L3110" s="642">
        <v>24</v>
      </c>
      <c r="M3110" s="663">
        <v>34884</v>
      </c>
      <c r="N3110" s="600">
        <v>11.353400000000001</v>
      </c>
      <c r="O3110" s="604">
        <v>1.6372999999999999E-2</v>
      </c>
      <c r="P3110" s="150"/>
      <c r="Q3110" s="250"/>
      <c r="R3110" s="250">
        <v>0.1173</v>
      </c>
      <c r="S3110" s="250">
        <v>5.6100000000000004E-2</v>
      </c>
      <c r="T3110" s="250">
        <v>0.1231</v>
      </c>
      <c r="U3110" s="250">
        <v>0.19550000000000001</v>
      </c>
      <c r="V3110" s="250">
        <v>0.26265316995205112</v>
      </c>
      <c r="W3110" s="250">
        <v>0.18167288225892381</v>
      </c>
      <c r="X3110" s="250">
        <v>6.1667554608417691E-2</v>
      </c>
      <c r="Y3110" s="250">
        <v>1.9978689397975495E-3</v>
      </c>
      <c r="Z3110" s="150">
        <v>19</v>
      </c>
      <c r="AA3110" s="150">
        <v>1.96</v>
      </c>
      <c r="AB3110" s="152"/>
      <c r="AC3110" s="152"/>
      <c r="AD3110" s="223">
        <v>23.956493999999999</v>
      </c>
      <c r="AE3110" s="223">
        <v>0.45718500000000001</v>
      </c>
      <c r="AF3110" s="223">
        <v>10.923736010000001</v>
      </c>
      <c r="AG3110" s="223">
        <v>1.1063877</v>
      </c>
      <c r="AH3110" s="341"/>
      <c r="AI3110" s="218"/>
      <c r="AJ3110" s="218"/>
      <c r="AK3110" s="153"/>
      <c r="AL3110" s="152"/>
      <c r="AM3110" s="152"/>
      <c r="AN3110" s="152"/>
      <c r="AO3110" s="152"/>
      <c r="AP3110" s="152"/>
      <c r="AQ3110" s="152"/>
      <c r="AR3110" s="152"/>
      <c r="AS3110" s="152"/>
      <c r="AT3110" s="152"/>
      <c r="AU3110" s="153"/>
      <c r="AV3110" s="479"/>
      <c r="AW3110" s="479"/>
      <c r="AX3110" s="442"/>
      <c r="AY3110" s="153"/>
      <c r="AZ3110" s="152"/>
      <c r="BA3110" s="152"/>
      <c r="BB3110" s="152"/>
      <c r="BC3110" s="152"/>
      <c r="BD3110" s="152"/>
      <c r="BE3110" s="152"/>
      <c r="BF3110" s="152"/>
      <c r="BG3110" s="152"/>
      <c r="BH3110" s="152"/>
      <c r="BI3110" s="153"/>
      <c r="BJ3110" s="153"/>
      <c r="BK3110" s="153"/>
      <c r="BL3110" s="153"/>
      <c r="BM3110" s="153"/>
      <c r="BN3110" s="153"/>
      <c r="BO3110" s="153"/>
      <c r="BP3110" s="153"/>
      <c r="BQ3110" s="153"/>
      <c r="BR3110" s="153"/>
      <c r="BS3110" s="153"/>
      <c r="BT3110" s="153"/>
      <c r="BU3110" s="153"/>
      <c r="BV3110" s="153"/>
      <c r="BW3110" s="153"/>
      <c r="BX3110" s="153"/>
      <c r="BY3110" s="153"/>
      <c r="BZ3110" s="153"/>
      <c r="CA3110" s="152"/>
      <c r="CB3110" s="152"/>
    </row>
    <row r="3111" spans="1:80" ht="15" x14ac:dyDescent="0.25">
      <c r="A3111" s="9" t="s">
        <v>197</v>
      </c>
      <c r="B3111" s="639" t="s">
        <v>66</v>
      </c>
      <c r="C3111" s="639" t="s">
        <v>600</v>
      </c>
      <c r="D3111" s="4">
        <f>VLOOKUP(E3111,'Quality Code'!D4:E24,2,TRUE)*VLOOKUP(MROUND(F3111,10),'Quality Code'!D28:E69,2,TRUE)*VLOOKUP(COUNTA(CB3111:CB3121),'Quality Code'!D73:E93,2,TRUE)</f>
        <v>2.4000000000000004</v>
      </c>
      <c r="E3111" s="14">
        <v>0.8</v>
      </c>
      <c r="F3111" s="18">
        <v>64</v>
      </c>
      <c r="G3111" s="12">
        <v>2693.33</v>
      </c>
      <c r="H3111" s="2" t="s">
        <v>231</v>
      </c>
      <c r="I3111" s="10"/>
      <c r="J3111" s="10" t="s">
        <v>283</v>
      </c>
      <c r="K3111" s="10"/>
      <c r="L3111" s="640" t="s">
        <v>284</v>
      </c>
      <c r="M3111" s="640">
        <v>1997</v>
      </c>
      <c r="N3111" s="579" t="s">
        <v>285</v>
      </c>
      <c r="O3111" s="579"/>
      <c r="P3111" s="10" t="s">
        <v>64</v>
      </c>
      <c r="Q3111" s="10" t="s">
        <v>64</v>
      </c>
      <c r="R3111" s="10" t="s">
        <v>64</v>
      </c>
      <c r="S3111" s="10" t="s">
        <v>64</v>
      </c>
      <c r="T3111" s="10" t="s">
        <v>64</v>
      </c>
      <c r="U3111" s="10" t="s">
        <v>64</v>
      </c>
      <c r="V3111" s="10"/>
      <c r="W3111" s="10"/>
      <c r="X3111" s="10"/>
      <c r="Y3111" s="10"/>
      <c r="Z3111" s="11"/>
      <c r="AA3111" s="81"/>
      <c r="AB3111" s="81"/>
      <c r="AC3111" s="116">
        <v>4.1000000000000003E-3</v>
      </c>
      <c r="AD3111" s="11"/>
      <c r="AE3111" s="11"/>
      <c r="AF3111" s="10"/>
      <c r="AG3111" s="10"/>
      <c r="AH3111" s="345" t="s">
        <v>347</v>
      </c>
      <c r="AI3111" s="18">
        <v>35.799999999999997</v>
      </c>
      <c r="AJ3111" s="17">
        <v>1</v>
      </c>
      <c r="AK3111" s="17">
        <v>0.73799999999999999</v>
      </c>
      <c r="AL3111" s="17">
        <v>0.60699999999999998</v>
      </c>
      <c r="AM3111" s="17">
        <v>0.47549999999999998</v>
      </c>
      <c r="AN3111" s="17">
        <v>0.33539999999999998</v>
      </c>
      <c r="AO3111" s="17">
        <v>0.2414</v>
      </c>
      <c r="AP3111" s="17">
        <v>0.1804</v>
      </c>
      <c r="AQ3111" s="17">
        <v>0.12870000000000001</v>
      </c>
      <c r="AR3111" s="17">
        <v>6.4000000000000001E-2</v>
      </c>
      <c r="AS3111" s="17">
        <v>1.7500000000000002E-2</v>
      </c>
      <c r="AT3111" s="17">
        <v>4.7999999999999996E-3</v>
      </c>
      <c r="AU3111" s="18">
        <v>127.6</v>
      </c>
      <c r="AV3111" s="17">
        <v>1</v>
      </c>
      <c r="AW3111" s="17">
        <v>1</v>
      </c>
      <c r="AX3111" s="17">
        <v>1</v>
      </c>
      <c r="AY3111" s="17">
        <v>0.50129999999999997</v>
      </c>
      <c r="AZ3111" s="17">
        <v>0.21690000000000001</v>
      </c>
      <c r="BA3111" s="17">
        <v>6.6000000000000003E-2</v>
      </c>
      <c r="BB3111" s="17">
        <v>1.89E-2</v>
      </c>
      <c r="BC3111" s="17">
        <v>8.6999999999999994E-3</v>
      </c>
      <c r="BD3111" s="17">
        <v>5.5999999999999999E-3</v>
      </c>
      <c r="BE3111" s="17">
        <v>3.2000000000000002E-3</v>
      </c>
      <c r="BF3111" s="17">
        <v>1.6000000000000001E-3</v>
      </c>
      <c r="BG3111" s="17">
        <v>8.9999999999999998E-4</v>
      </c>
      <c r="BH3111" s="17">
        <v>5.9999999999999995E-4</v>
      </c>
      <c r="BI3111" s="4">
        <f>AU3111/AI3111</f>
        <v>3.564245810055866</v>
      </c>
      <c r="BJ3111" s="2" t="s">
        <v>68</v>
      </c>
      <c r="BK3111" s="2" t="s">
        <v>68</v>
      </c>
      <c r="BL3111" s="12">
        <v>213.761</v>
      </c>
      <c r="BM3111" s="12"/>
      <c r="BN3111" s="12">
        <v>62.02</v>
      </c>
      <c r="BO3111" s="12">
        <v>1.38</v>
      </c>
      <c r="BP3111" s="12">
        <f>BO3111*BN3111</f>
        <v>85.587599999999995</v>
      </c>
      <c r="BQ3111" s="12">
        <f>BN3111/BO3111</f>
        <v>44.94202898550725</v>
      </c>
      <c r="BR3111" s="12" t="s">
        <v>29</v>
      </c>
      <c r="BS3111" s="18">
        <v>6</v>
      </c>
      <c r="BT3111" s="12"/>
      <c r="BU3111" s="2"/>
      <c r="BV3111" s="2"/>
      <c r="BW3111" s="2"/>
      <c r="BX3111" s="2"/>
      <c r="BY3111" s="2"/>
      <c r="BZ3111" s="2"/>
      <c r="CA3111" s="381"/>
      <c r="CB3111" s="9" t="s">
        <v>224</v>
      </c>
    </row>
    <row r="3112" spans="1:80" s="87" customFormat="1" ht="15" x14ac:dyDescent="0.25">
      <c r="A3112" s="152"/>
      <c r="B3112" s="683"/>
      <c r="C3112" s="683"/>
      <c r="D3112" s="698"/>
      <c r="E3112" s="215"/>
      <c r="F3112" s="215"/>
      <c r="G3112" s="153"/>
      <c r="H3112" s="153"/>
      <c r="I3112" s="318">
        <v>20</v>
      </c>
      <c r="J3112" s="318">
        <v>30</v>
      </c>
      <c r="K3112" s="150">
        <v>1</v>
      </c>
      <c r="L3112" s="656">
        <v>10</v>
      </c>
      <c r="M3112" s="663">
        <v>35545</v>
      </c>
      <c r="N3112" s="600">
        <v>83.522499999999994</v>
      </c>
      <c r="O3112" s="604">
        <v>5.2478999999999998E-2</v>
      </c>
      <c r="P3112" s="150"/>
      <c r="Q3112" s="250"/>
      <c r="R3112" s="250"/>
      <c r="S3112" s="250"/>
      <c r="T3112" s="250"/>
      <c r="U3112" s="250">
        <v>4.5999999999999999E-2</v>
      </c>
      <c r="V3112" s="250">
        <v>0.25800000000000001</v>
      </c>
      <c r="W3112" s="250">
        <v>0.4</v>
      </c>
      <c r="X3112" s="250">
        <v>0.27500000000000002</v>
      </c>
      <c r="Y3112" s="250">
        <v>2.1000000000000001E-2</v>
      </c>
      <c r="Z3112" s="150">
        <v>5</v>
      </c>
      <c r="AA3112" s="150">
        <v>0.71</v>
      </c>
      <c r="AB3112" s="152"/>
      <c r="AC3112" s="152"/>
      <c r="AD3112" s="223"/>
      <c r="AE3112" s="223"/>
      <c r="AF3112" s="223"/>
      <c r="AG3112" s="223"/>
      <c r="AH3112" s="341"/>
      <c r="AI3112" s="218"/>
      <c r="AJ3112" s="218"/>
      <c r="AK3112" s="153"/>
      <c r="AL3112" s="152"/>
      <c r="AM3112" s="152"/>
      <c r="AN3112" s="152"/>
      <c r="AO3112" s="152"/>
      <c r="AP3112" s="152"/>
      <c r="AQ3112" s="152"/>
      <c r="AR3112" s="152"/>
      <c r="AS3112" s="152"/>
      <c r="AT3112" s="152"/>
      <c r="AU3112" s="157">
        <v>146</v>
      </c>
      <c r="AV3112" s="158">
        <v>0.99480000000000002</v>
      </c>
      <c r="AW3112" s="158">
        <v>0.96330000000000005</v>
      </c>
      <c r="AX3112" s="158">
        <v>0.76900000000000002</v>
      </c>
      <c r="AY3112" s="158">
        <v>0.44619999999999999</v>
      </c>
      <c r="AZ3112" s="158">
        <v>0.2283</v>
      </c>
      <c r="BA3112" s="158">
        <v>9.1899999999999996E-2</v>
      </c>
      <c r="BB3112" s="158">
        <v>4.7199999999999999E-2</v>
      </c>
      <c r="BC3112" s="158">
        <v>2.8899999999999999E-2</v>
      </c>
      <c r="BD3112" s="158">
        <v>2.1000000000000001E-2</v>
      </c>
      <c r="BE3112" s="158">
        <v>2.1000000000000001E-2</v>
      </c>
      <c r="BF3112" s="158"/>
      <c r="BG3112" s="158"/>
      <c r="BH3112" s="158"/>
      <c r="BI3112" s="156">
        <f>AU3112/AI3111</f>
        <v>4.078212290502794</v>
      </c>
      <c r="BJ3112" s="155" t="s">
        <v>68</v>
      </c>
      <c r="BK3112" s="155" t="s">
        <v>175</v>
      </c>
      <c r="BL3112" s="153"/>
      <c r="BM3112" s="153"/>
      <c r="BN3112" s="153"/>
      <c r="BO3112" s="153"/>
      <c r="BP3112" s="153"/>
      <c r="BQ3112" s="153"/>
      <c r="BR3112" s="153"/>
      <c r="BS3112" s="153"/>
      <c r="BT3112" s="153"/>
      <c r="BU3112" s="153"/>
      <c r="BV3112" s="153"/>
      <c r="BW3112" s="153"/>
      <c r="BX3112" s="153"/>
      <c r="BY3112" s="153"/>
      <c r="BZ3112" s="153"/>
      <c r="CA3112" s="152"/>
      <c r="CB3112" s="486" t="s">
        <v>638</v>
      </c>
    </row>
    <row r="3113" spans="1:80" s="87" customFormat="1" ht="15" x14ac:dyDescent="0.25">
      <c r="A3113" s="152"/>
      <c r="B3113" s="683"/>
      <c r="C3113" s="683"/>
      <c r="D3113" s="698"/>
      <c r="E3113" s="215"/>
      <c r="F3113" s="215"/>
      <c r="G3113" s="153"/>
      <c r="H3113" s="153"/>
      <c r="I3113" s="318">
        <v>20</v>
      </c>
      <c r="J3113" s="318">
        <v>30</v>
      </c>
      <c r="K3113" s="150">
        <v>1</v>
      </c>
      <c r="L3113" s="656">
        <v>10</v>
      </c>
      <c r="M3113" s="663">
        <v>35545</v>
      </c>
      <c r="N3113" s="600">
        <v>84.088700000000003</v>
      </c>
      <c r="O3113" s="604">
        <v>2.8549999999999999E-3</v>
      </c>
      <c r="P3113" s="150"/>
      <c r="Q3113" s="250"/>
      <c r="R3113" s="250"/>
      <c r="S3113" s="250"/>
      <c r="T3113" s="250"/>
      <c r="U3113" s="250"/>
      <c r="V3113" s="250">
        <v>0.125</v>
      </c>
      <c r="W3113" s="250">
        <v>0.316</v>
      </c>
      <c r="X3113" s="250">
        <v>0.50700000000000001</v>
      </c>
      <c r="Y3113" s="250">
        <v>5.2000000000000005E-2</v>
      </c>
      <c r="Z3113" s="150">
        <v>2</v>
      </c>
      <c r="AA3113" s="150">
        <v>0.46</v>
      </c>
      <c r="AB3113" s="152"/>
      <c r="AC3113" s="152"/>
      <c r="AD3113" s="223"/>
      <c r="AE3113" s="223"/>
      <c r="AF3113" s="223"/>
      <c r="AG3113" s="223"/>
      <c r="AH3113" s="341"/>
      <c r="AI3113" s="218"/>
      <c r="AJ3113" s="218"/>
      <c r="AK3113" s="153"/>
      <c r="AL3113" s="152"/>
      <c r="AM3113" s="152"/>
      <c r="AN3113" s="152"/>
      <c r="AO3113" s="152"/>
      <c r="AP3113" s="152"/>
      <c r="AQ3113" s="152"/>
      <c r="AR3113" s="152"/>
      <c r="AS3113" s="152"/>
      <c r="AT3113" s="152"/>
      <c r="AU3113" s="153"/>
      <c r="AV3113" s="479"/>
      <c r="AW3113" s="479"/>
      <c r="AX3113" s="442"/>
      <c r="AY3113" s="153"/>
      <c r="AZ3113" s="152"/>
      <c r="BA3113" s="152"/>
      <c r="BB3113" s="152"/>
      <c r="BC3113" s="152"/>
      <c r="BD3113" s="152"/>
      <c r="BE3113" s="152"/>
      <c r="BF3113" s="152"/>
      <c r="BG3113" s="152"/>
      <c r="BH3113" s="152"/>
      <c r="BI3113" s="153"/>
      <c r="BJ3113" s="153"/>
      <c r="BK3113" s="153"/>
      <c r="BL3113" s="153"/>
      <c r="BM3113" s="153"/>
      <c r="BN3113" s="153"/>
      <c r="BO3113" s="153"/>
      <c r="BP3113" s="153"/>
      <c r="BQ3113" s="153"/>
      <c r="BR3113" s="153"/>
      <c r="BS3113" s="153"/>
      <c r="BT3113" s="153"/>
      <c r="BU3113" s="153"/>
      <c r="BV3113" s="153"/>
      <c r="BW3113" s="153"/>
      <c r="BX3113" s="153"/>
      <c r="BY3113" s="153"/>
      <c r="BZ3113" s="153"/>
      <c r="CA3113" s="152"/>
      <c r="CB3113" s="486" t="s">
        <v>639</v>
      </c>
    </row>
    <row r="3114" spans="1:80" s="87" customFormat="1" ht="15" x14ac:dyDescent="0.25">
      <c r="A3114" s="152"/>
      <c r="B3114" s="683"/>
      <c r="C3114" s="683"/>
      <c r="D3114" s="698"/>
      <c r="E3114" s="215"/>
      <c r="F3114" s="215"/>
      <c r="G3114" s="153"/>
      <c r="H3114" s="153"/>
      <c r="I3114" s="318">
        <v>20</v>
      </c>
      <c r="J3114" s="318">
        <v>30</v>
      </c>
      <c r="K3114" s="150">
        <v>1</v>
      </c>
      <c r="L3114" s="656">
        <v>10</v>
      </c>
      <c r="M3114" s="663">
        <v>35562</v>
      </c>
      <c r="N3114" s="600">
        <v>294.452</v>
      </c>
      <c r="O3114" s="604">
        <v>5.4997550000000004</v>
      </c>
      <c r="P3114" s="150"/>
      <c r="Q3114" s="250">
        <v>0.11800000000000001</v>
      </c>
      <c r="R3114" s="250">
        <v>0.109</v>
      </c>
      <c r="S3114" s="250">
        <v>0.09</v>
      </c>
      <c r="T3114" s="250">
        <v>6.7000000000000004E-2</v>
      </c>
      <c r="U3114" s="250">
        <v>7.6999999999999999E-2</v>
      </c>
      <c r="V3114" s="250">
        <v>0.17499999999999999</v>
      </c>
      <c r="W3114" s="250">
        <v>0.245</v>
      </c>
      <c r="X3114" s="250">
        <v>0.113</v>
      </c>
      <c r="Y3114" s="250">
        <v>8.0000000000000002E-3</v>
      </c>
      <c r="Z3114" s="150">
        <v>67</v>
      </c>
      <c r="AA3114" s="150">
        <v>1.7</v>
      </c>
      <c r="AB3114" s="152"/>
      <c r="AC3114" s="152"/>
      <c r="AD3114" s="223">
        <v>64.127815999999996</v>
      </c>
      <c r="AE3114" s="223">
        <v>1.6034793300000001</v>
      </c>
      <c r="AF3114" s="223">
        <v>102.8243686</v>
      </c>
      <c r="AG3114" s="223">
        <v>2.720503388</v>
      </c>
      <c r="AH3114" s="341"/>
      <c r="AI3114" s="218"/>
      <c r="AJ3114" s="218"/>
      <c r="AK3114" s="153"/>
      <c r="AL3114" s="152"/>
      <c r="AM3114" s="152"/>
      <c r="AN3114" s="152"/>
      <c r="AO3114" s="152"/>
      <c r="AP3114" s="152"/>
      <c r="AQ3114" s="152"/>
      <c r="AR3114" s="152"/>
      <c r="AS3114" s="152"/>
      <c r="AT3114" s="152"/>
      <c r="AU3114" s="153"/>
      <c r="AV3114" s="479"/>
      <c r="AW3114" s="479"/>
      <c r="AX3114" s="442"/>
      <c r="AY3114" s="153"/>
      <c r="AZ3114" s="152"/>
      <c r="BA3114" s="152"/>
      <c r="BB3114" s="152"/>
      <c r="BC3114" s="152"/>
      <c r="BD3114" s="152"/>
      <c r="BE3114" s="152"/>
      <c r="BF3114" s="152"/>
      <c r="BG3114" s="152"/>
      <c r="BH3114" s="152"/>
      <c r="BI3114" s="153"/>
      <c r="BJ3114" s="153"/>
      <c r="BK3114" s="153"/>
      <c r="BL3114" s="153"/>
      <c r="BM3114" s="153"/>
      <c r="BN3114" s="153"/>
      <c r="BO3114" s="153"/>
      <c r="BP3114" s="153"/>
      <c r="BQ3114" s="153"/>
      <c r="BR3114" s="153"/>
      <c r="BS3114" s="153"/>
      <c r="BT3114" s="153"/>
      <c r="BU3114" s="153"/>
      <c r="BV3114" s="153"/>
      <c r="BW3114" s="153"/>
      <c r="BX3114" s="153"/>
      <c r="BY3114" s="153"/>
      <c r="BZ3114" s="153"/>
      <c r="CA3114" s="152"/>
      <c r="CB3114" s="486" t="s">
        <v>640</v>
      </c>
    </row>
    <row r="3115" spans="1:80" s="87" customFormat="1" ht="15" x14ac:dyDescent="0.25">
      <c r="A3115" s="152"/>
      <c r="B3115" s="683"/>
      <c r="C3115" s="683"/>
      <c r="D3115" s="698"/>
      <c r="E3115" s="215"/>
      <c r="F3115" s="215"/>
      <c r="G3115" s="153"/>
      <c r="H3115" s="153"/>
      <c r="I3115" s="318">
        <v>20</v>
      </c>
      <c r="J3115" s="318">
        <v>30</v>
      </c>
      <c r="K3115" s="150">
        <v>1</v>
      </c>
      <c r="L3115" s="656">
        <v>10</v>
      </c>
      <c r="M3115" s="663">
        <v>35562</v>
      </c>
      <c r="N3115" s="600">
        <v>297.28300000000002</v>
      </c>
      <c r="O3115" s="604">
        <v>4.450183</v>
      </c>
      <c r="P3115" s="150"/>
      <c r="Q3115" s="250">
        <v>0.158</v>
      </c>
      <c r="R3115" s="250">
        <v>0.106</v>
      </c>
      <c r="S3115" s="250">
        <v>4.2000000000000003E-2</v>
      </c>
      <c r="T3115" s="250">
        <v>2.7999999999999997E-2</v>
      </c>
      <c r="U3115" s="250">
        <v>4.4999999999999998E-2</v>
      </c>
      <c r="V3115" s="250">
        <v>0.15</v>
      </c>
      <c r="W3115" s="250">
        <v>0.29499999999999998</v>
      </c>
      <c r="X3115" s="250">
        <v>0.16600000000000001</v>
      </c>
      <c r="Y3115" s="250">
        <v>0.01</v>
      </c>
      <c r="Z3115" s="150">
        <v>55</v>
      </c>
      <c r="AA3115" s="150">
        <v>1.1399999999999999</v>
      </c>
      <c r="AB3115" s="152"/>
      <c r="AC3115" s="152"/>
      <c r="AD3115" s="223">
        <v>64.127815999999996</v>
      </c>
      <c r="AE3115" s="223">
        <v>1.6034793300000001</v>
      </c>
      <c r="AF3115" s="223">
        <v>102.8243686</v>
      </c>
      <c r="AG3115" s="223">
        <v>2.720503388</v>
      </c>
      <c r="AH3115" s="341"/>
      <c r="AI3115" s="218"/>
      <c r="AJ3115" s="218"/>
      <c r="AK3115" s="153"/>
      <c r="AL3115" s="152"/>
      <c r="AM3115" s="152"/>
      <c r="AN3115" s="152"/>
      <c r="AO3115" s="152"/>
      <c r="AP3115" s="152"/>
      <c r="AQ3115" s="152"/>
      <c r="AR3115" s="152"/>
      <c r="AS3115" s="152"/>
      <c r="AT3115" s="152"/>
      <c r="AU3115" s="153"/>
      <c r="AV3115" s="479"/>
      <c r="AW3115" s="479"/>
      <c r="AX3115" s="442"/>
      <c r="AY3115" s="153"/>
      <c r="AZ3115" s="152"/>
      <c r="BA3115" s="152"/>
      <c r="BB3115" s="152"/>
      <c r="BC3115" s="152"/>
      <c r="BD3115" s="152"/>
      <c r="BE3115" s="152"/>
      <c r="BF3115" s="152"/>
      <c r="BG3115" s="152"/>
      <c r="BH3115" s="152"/>
      <c r="BI3115" s="153"/>
      <c r="BJ3115" s="153"/>
      <c r="BK3115" s="153"/>
      <c r="BL3115" s="153"/>
      <c r="BM3115" s="153"/>
      <c r="BN3115" s="153"/>
      <c r="BO3115" s="153"/>
      <c r="BP3115" s="153"/>
      <c r="BQ3115" s="153"/>
      <c r="BR3115" s="153"/>
      <c r="BS3115" s="153"/>
      <c r="BT3115" s="153"/>
      <c r="BU3115" s="153"/>
      <c r="BV3115" s="153"/>
      <c r="BW3115" s="153"/>
      <c r="BX3115" s="153"/>
      <c r="BY3115" s="153"/>
      <c r="BZ3115" s="153"/>
      <c r="CA3115" s="152"/>
      <c r="CB3115" s="152"/>
    </row>
    <row r="3116" spans="1:80" s="87" customFormat="1" ht="15" x14ac:dyDescent="0.25">
      <c r="A3116" s="152"/>
      <c r="B3116" s="683"/>
      <c r="C3116" s="683"/>
      <c r="D3116" s="698"/>
      <c r="E3116" s="215"/>
      <c r="F3116" s="215"/>
      <c r="G3116" s="153"/>
      <c r="H3116" s="153"/>
      <c r="I3116" s="318">
        <v>20</v>
      </c>
      <c r="J3116" s="318">
        <v>30</v>
      </c>
      <c r="K3116" s="150">
        <v>1</v>
      </c>
      <c r="L3116" s="656">
        <v>10</v>
      </c>
      <c r="M3116" s="663">
        <v>35563</v>
      </c>
      <c r="N3116" s="600">
        <v>331.25900000000001</v>
      </c>
      <c r="O3116" s="604">
        <v>5.3003359999999997</v>
      </c>
      <c r="P3116" s="150"/>
      <c r="Q3116" s="250">
        <v>0.105</v>
      </c>
      <c r="R3116" s="250">
        <v>4.4000000000000004E-2</v>
      </c>
      <c r="S3116" s="250">
        <v>4.2000000000000003E-2</v>
      </c>
      <c r="T3116" s="250">
        <v>4.2000000000000003E-2</v>
      </c>
      <c r="U3116" s="250">
        <v>7.5999999999999998E-2</v>
      </c>
      <c r="V3116" s="250">
        <v>0.19800000000000001</v>
      </c>
      <c r="W3116" s="250">
        <v>0.34</v>
      </c>
      <c r="X3116" s="250">
        <v>0.14400000000000002</v>
      </c>
      <c r="Y3116" s="250">
        <v>9.0000000000000011E-3</v>
      </c>
      <c r="Z3116" s="150">
        <v>53</v>
      </c>
      <c r="AA3116" s="150">
        <v>1.02</v>
      </c>
      <c r="AB3116" s="152"/>
      <c r="AC3116" s="152"/>
      <c r="AD3116" s="223">
        <v>64.920270000000002</v>
      </c>
      <c r="AE3116" s="223">
        <v>1.7737919440000001</v>
      </c>
      <c r="AF3116" s="223">
        <v>115.15140239999999</v>
      </c>
      <c r="AG3116" s="223">
        <v>2.8275935790000002</v>
      </c>
      <c r="AH3116" s="341"/>
      <c r="AI3116" s="218"/>
      <c r="AJ3116" s="218"/>
      <c r="AK3116" s="153"/>
      <c r="AL3116" s="152"/>
      <c r="AM3116" s="152"/>
      <c r="AN3116" s="152"/>
      <c r="AO3116" s="152"/>
      <c r="AP3116" s="152"/>
      <c r="AQ3116" s="152"/>
      <c r="AR3116" s="152"/>
      <c r="AS3116" s="152"/>
      <c r="AT3116" s="152"/>
      <c r="AU3116" s="153"/>
      <c r="AV3116" s="479"/>
      <c r="AW3116" s="479"/>
      <c r="AX3116" s="442"/>
      <c r="AY3116" s="153"/>
      <c r="AZ3116" s="152"/>
      <c r="BA3116" s="152"/>
      <c r="BB3116" s="152"/>
      <c r="BC3116" s="152"/>
      <c r="BD3116" s="152"/>
      <c r="BE3116" s="152"/>
      <c r="BF3116" s="152"/>
      <c r="BG3116" s="152"/>
      <c r="BH3116" s="152"/>
      <c r="BI3116" s="153"/>
      <c r="BJ3116" s="153"/>
      <c r="BK3116" s="153"/>
      <c r="BL3116" s="153"/>
      <c r="BM3116" s="153"/>
      <c r="BN3116" s="153"/>
      <c r="BO3116" s="153"/>
      <c r="BP3116" s="153"/>
      <c r="BQ3116" s="153"/>
      <c r="BR3116" s="153"/>
      <c r="BS3116" s="153"/>
      <c r="BT3116" s="153"/>
      <c r="BU3116" s="153"/>
      <c r="BV3116" s="153"/>
      <c r="BW3116" s="153"/>
      <c r="BX3116" s="153"/>
      <c r="BY3116" s="153"/>
      <c r="BZ3116" s="153"/>
      <c r="CA3116" s="152"/>
      <c r="CB3116" s="152"/>
    </row>
    <row r="3117" spans="1:80" s="87" customFormat="1" ht="15" x14ac:dyDescent="0.25">
      <c r="A3117" s="152"/>
      <c r="B3117" s="683"/>
      <c r="C3117" s="683"/>
      <c r="D3117" s="698"/>
      <c r="E3117" s="215"/>
      <c r="F3117" s="215"/>
      <c r="G3117" s="153"/>
      <c r="H3117" s="153"/>
      <c r="I3117" s="318">
        <v>20</v>
      </c>
      <c r="J3117" s="318">
        <v>30</v>
      </c>
      <c r="K3117" s="150">
        <v>1</v>
      </c>
      <c r="L3117" s="656">
        <v>10</v>
      </c>
      <c r="M3117" s="663">
        <v>35563</v>
      </c>
      <c r="N3117" s="600">
        <v>331.25900000000001</v>
      </c>
      <c r="O3117" s="604">
        <v>9.4356480000000005</v>
      </c>
      <c r="P3117" s="150"/>
      <c r="Q3117" s="250">
        <v>0.27600000000000002</v>
      </c>
      <c r="R3117" s="250">
        <v>7.0999999999999994E-2</v>
      </c>
      <c r="S3117" s="250">
        <v>5.7999999999999996E-2</v>
      </c>
      <c r="T3117" s="250">
        <v>6.7000000000000004E-2</v>
      </c>
      <c r="U3117" s="250">
        <v>0.11599999999999999</v>
      </c>
      <c r="V3117" s="250">
        <v>0.16500000000000001</v>
      </c>
      <c r="W3117" s="250">
        <v>0.16300000000000001</v>
      </c>
      <c r="X3117" s="250">
        <v>7.2000000000000008E-2</v>
      </c>
      <c r="Y3117" s="250">
        <v>1.1000000000000001E-2</v>
      </c>
      <c r="Z3117" s="150">
        <v>75</v>
      </c>
      <c r="AA3117" s="150">
        <v>3.4</v>
      </c>
      <c r="AB3117" s="152"/>
      <c r="AC3117" s="152"/>
      <c r="AD3117" s="223">
        <v>64.920270000000002</v>
      </c>
      <c r="AE3117" s="223">
        <v>1.7737919440000001</v>
      </c>
      <c r="AF3117" s="223">
        <v>115.15140239999999</v>
      </c>
      <c r="AG3117" s="223">
        <v>2.8275935790000002</v>
      </c>
      <c r="AH3117" s="341"/>
      <c r="AI3117" s="218"/>
      <c r="AJ3117" s="218"/>
      <c r="AK3117" s="153"/>
      <c r="AL3117" s="152"/>
      <c r="AM3117" s="152"/>
      <c r="AN3117" s="152"/>
      <c r="AO3117" s="152"/>
      <c r="AP3117" s="152"/>
      <c r="AQ3117" s="152"/>
      <c r="AR3117" s="152"/>
      <c r="AS3117" s="152"/>
      <c r="AT3117" s="152"/>
      <c r="AU3117" s="153"/>
      <c r="AV3117" s="479"/>
      <c r="AW3117" s="479"/>
      <c r="AX3117" s="442"/>
      <c r="AY3117" s="153"/>
      <c r="AZ3117" s="152"/>
      <c r="BA3117" s="152"/>
      <c r="BB3117" s="152"/>
      <c r="BC3117" s="152"/>
      <c r="BD3117" s="152"/>
      <c r="BE3117" s="152"/>
      <c r="BF3117" s="152"/>
      <c r="BG3117" s="152"/>
      <c r="BH3117" s="152"/>
      <c r="BI3117" s="153"/>
      <c r="BJ3117" s="153"/>
      <c r="BK3117" s="153"/>
      <c r="BL3117" s="153"/>
      <c r="BM3117" s="153"/>
      <c r="BN3117" s="153"/>
      <c r="BO3117" s="153"/>
      <c r="BP3117" s="153"/>
      <c r="BQ3117" s="153"/>
      <c r="BR3117" s="153"/>
      <c r="BS3117" s="153"/>
      <c r="BT3117" s="153"/>
      <c r="BU3117" s="153"/>
      <c r="BV3117" s="153"/>
      <c r="BW3117" s="153"/>
      <c r="BX3117" s="153"/>
      <c r="BY3117" s="153"/>
      <c r="BZ3117" s="153"/>
      <c r="CA3117" s="152"/>
      <c r="CB3117" s="152"/>
    </row>
    <row r="3118" spans="1:80" s="87" customFormat="1" ht="15" x14ac:dyDescent="0.25">
      <c r="A3118" s="152"/>
      <c r="B3118" s="683"/>
      <c r="C3118" s="683"/>
      <c r="D3118" s="698"/>
      <c r="E3118" s="215"/>
      <c r="F3118" s="215"/>
      <c r="G3118" s="153"/>
      <c r="H3118" s="153"/>
      <c r="I3118" s="318">
        <v>21</v>
      </c>
      <c r="J3118" s="318">
        <v>30</v>
      </c>
      <c r="K3118" s="150">
        <v>1</v>
      </c>
      <c r="L3118" s="656">
        <v>10.5</v>
      </c>
      <c r="M3118" s="663">
        <v>35565</v>
      </c>
      <c r="N3118" s="600">
        <v>382.221</v>
      </c>
      <c r="O3118" s="604">
        <v>16.37332</v>
      </c>
      <c r="P3118" s="150"/>
      <c r="Q3118" s="250">
        <v>0.109</v>
      </c>
      <c r="R3118" s="250">
        <v>0.26500000000000001</v>
      </c>
      <c r="S3118" s="250">
        <v>0.21899999999999997</v>
      </c>
      <c r="T3118" s="250">
        <v>0.127</v>
      </c>
      <c r="U3118" s="250">
        <v>7.0000000000000007E-2</v>
      </c>
      <c r="V3118" s="250">
        <v>6.6000000000000003E-2</v>
      </c>
      <c r="W3118" s="250">
        <v>8.6999999999999994E-2</v>
      </c>
      <c r="X3118" s="250">
        <v>4.7E-2</v>
      </c>
      <c r="Y3118" s="250">
        <v>1.1000000000000001E-2</v>
      </c>
      <c r="Z3118" s="150">
        <v>52</v>
      </c>
      <c r="AA3118" s="150">
        <v>10.7</v>
      </c>
      <c r="AB3118" s="152"/>
      <c r="AC3118" s="152"/>
      <c r="AD3118" s="223">
        <v>67.053799999999995</v>
      </c>
      <c r="AE3118" s="223">
        <v>1.911448923</v>
      </c>
      <c r="AF3118" s="223">
        <v>128.16585180000001</v>
      </c>
      <c r="AG3118" s="223">
        <v>3.269473074</v>
      </c>
      <c r="AH3118" s="341"/>
      <c r="AI3118" s="218"/>
      <c r="AJ3118" s="218"/>
      <c r="AK3118" s="153"/>
      <c r="AL3118" s="152"/>
      <c r="AM3118" s="152"/>
      <c r="AN3118" s="152"/>
      <c r="AO3118" s="152"/>
      <c r="AP3118" s="152"/>
      <c r="AQ3118" s="152"/>
      <c r="AR3118" s="152"/>
      <c r="AS3118" s="152"/>
      <c r="AT3118" s="152"/>
      <c r="AU3118" s="153"/>
      <c r="AV3118" s="479"/>
      <c r="AW3118" s="479"/>
      <c r="AX3118" s="442"/>
      <c r="AY3118" s="153"/>
      <c r="AZ3118" s="152"/>
      <c r="BA3118" s="152"/>
      <c r="BB3118" s="152"/>
      <c r="BC3118" s="152"/>
      <c r="BD3118" s="152"/>
      <c r="BE3118" s="152"/>
      <c r="BF3118" s="152"/>
      <c r="BG3118" s="152"/>
      <c r="BH3118" s="152"/>
      <c r="BI3118" s="153"/>
      <c r="BJ3118" s="153"/>
      <c r="BK3118" s="153"/>
      <c r="BL3118" s="153"/>
      <c r="BM3118" s="153"/>
      <c r="BN3118" s="153"/>
      <c r="BO3118" s="153"/>
      <c r="BP3118" s="153"/>
      <c r="BQ3118" s="153"/>
      <c r="BR3118" s="153"/>
      <c r="BS3118" s="153"/>
      <c r="BT3118" s="153"/>
      <c r="BU3118" s="153"/>
      <c r="BV3118" s="153"/>
      <c r="BW3118" s="153"/>
      <c r="BX3118" s="153"/>
      <c r="BY3118" s="153"/>
      <c r="BZ3118" s="153"/>
      <c r="CA3118" s="152"/>
      <c r="CB3118" s="152"/>
    </row>
    <row r="3119" spans="1:80" s="87" customFormat="1" ht="15" x14ac:dyDescent="0.25">
      <c r="A3119" s="152"/>
      <c r="B3119" s="683"/>
      <c r="C3119" s="683"/>
      <c r="D3119" s="698"/>
      <c r="E3119" s="215"/>
      <c r="F3119" s="215"/>
      <c r="G3119" s="153"/>
      <c r="H3119" s="153"/>
      <c r="I3119" s="318">
        <v>21</v>
      </c>
      <c r="J3119" s="318">
        <v>30</v>
      </c>
      <c r="K3119" s="150">
        <v>1</v>
      </c>
      <c r="L3119" s="656">
        <v>10.5</v>
      </c>
      <c r="M3119" s="663">
        <v>35565</v>
      </c>
      <c r="N3119" s="600">
        <v>382.221</v>
      </c>
      <c r="O3119" s="604">
        <v>19.1022</v>
      </c>
      <c r="P3119" s="250">
        <v>0.05</v>
      </c>
      <c r="Q3119" s="250">
        <v>0.111</v>
      </c>
      <c r="R3119" s="250">
        <v>0.151</v>
      </c>
      <c r="S3119" s="250">
        <v>0.121</v>
      </c>
      <c r="T3119" s="250">
        <v>0.122</v>
      </c>
      <c r="U3119" s="250">
        <v>0.16300000000000001</v>
      </c>
      <c r="V3119" s="250">
        <v>0.13900000000000001</v>
      </c>
      <c r="W3119" s="250">
        <v>0.09</v>
      </c>
      <c r="X3119" s="250">
        <v>4.2000000000000003E-2</v>
      </c>
      <c r="Y3119" s="250">
        <v>1.1000000000000001E-2</v>
      </c>
      <c r="Z3119" s="150">
        <v>63</v>
      </c>
      <c r="AA3119" s="150">
        <v>5.47</v>
      </c>
      <c r="AB3119" s="152"/>
      <c r="AC3119" s="152"/>
      <c r="AD3119" s="223">
        <v>67.053799999999995</v>
      </c>
      <c r="AE3119" s="223">
        <v>1.911448923</v>
      </c>
      <c r="AF3119" s="223">
        <v>128.16585180000001</v>
      </c>
      <c r="AG3119" s="223">
        <v>3.269473074</v>
      </c>
      <c r="AH3119" s="341"/>
      <c r="AI3119" s="218"/>
      <c r="AJ3119" s="218"/>
      <c r="AK3119" s="153"/>
      <c r="AL3119" s="152"/>
      <c r="AM3119" s="152"/>
      <c r="AN3119" s="152"/>
      <c r="AO3119" s="152"/>
      <c r="AP3119" s="152"/>
      <c r="AQ3119" s="152"/>
      <c r="AR3119" s="152"/>
      <c r="AS3119" s="152"/>
      <c r="AT3119" s="152"/>
      <c r="AU3119" s="153"/>
      <c r="AV3119" s="479"/>
      <c r="AW3119" s="479"/>
      <c r="AX3119" s="442"/>
      <c r="AY3119" s="153"/>
      <c r="AZ3119" s="152"/>
      <c r="BA3119" s="152"/>
      <c r="BB3119" s="152"/>
      <c r="BC3119" s="152"/>
      <c r="BD3119" s="152"/>
      <c r="BE3119" s="152"/>
      <c r="BF3119" s="152"/>
      <c r="BG3119" s="152"/>
      <c r="BH3119" s="152"/>
      <c r="BI3119" s="153"/>
      <c r="BJ3119" s="153"/>
      <c r="BK3119" s="153"/>
      <c r="BL3119" s="153"/>
      <c r="BM3119" s="153"/>
      <c r="BN3119" s="153"/>
      <c r="BO3119" s="153"/>
      <c r="BP3119" s="153"/>
      <c r="BQ3119" s="153"/>
      <c r="BR3119" s="153"/>
      <c r="BS3119" s="153"/>
      <c r="BT3119" s="153"/>
      <c r="BU3119" s="153"/>
      <c r="BV3119" s="153"/>
      <c r="BW3119" s="153"/>
      <c r="BX3119" s="153"/>
      <c r="BY3119" s="153"/>
      <c r="BZ3119" s="153"/>
      <c r="CA3119" s="152"/>
      <c r="CB3119" s="152"/>
    </row>
    <row r="3120" spans="1:80" s="87" customFormat="1" ht="15" x14ac:dyDescent="0.25">
      <c r="A3120" s="152"/>
      <c r="B3120" s="683"/>
      <c r="C3120" s="683"/>
      <c r="D3120" s="698"/>
      <c r="E3120" s="215"/>
      <c r="F3120" s="215"/>
      <c r="G3120" s="153"/>
      <c r="H3120" s="153"/>
      <c r="I3120" s="318">
        <v>21</v>
      </c>
      <c r="J3120" s="318">
        <v>20</v>
      </c>
      <c r="K3120" s="150">
        <v>1</v>
      </c>
      <c r="L3120" s="656">
        <v>7</v>
      </c>
      <c r="M3120" s="663">
        <v>35566</v>
      </c>
      <c r="N3120" s="600">
        <v>413.36500000000001</v>
      </c>
      <c r="O3120" s="604">
        <v>23.30049</v>
      </c>
      <c r="P3120" s="250">
        <v>9.5000000000000001E-2</v>
      </c>
      <c r="Q3120" s="250">
        <v>0.26200000000000001</v>
      </c>
      <c r="R3120" s="250">
        <v>0.12</v>
      </c>
      <c r="S3120" s="250">
        <v>0.157</v>
      </c>
      <c r="T3120" s="250">
        <v>6.0999999999999999E-2</v>
      </c>
      <c r="U3120" s="250">
        <v>3.7000000000000005E-2</v>
      </c>
      <c r="V3120" s="250">
        <v>7.0999999999999994E-2</v>
      </c>
      <c r="W3120" s="250">
        <v>0.11800000000000001</v>
      </c>
      <c r="X3120" s="250">
        <v>6.4000000000000001E-2</v>
      </c>
      <c r="Y3120" s="250">
        <v>1.3999999999999999E-2</v>
      </c>
      <c r="Z3120" s="150">
        <v>62</v>
      </c>
      <c r="AA3120" s="150">
        <v>14.52</v>
      </c>
      <c r="AB3120" s="152"/>
      <c r="AC3120" s="152"/>
      <c r="AD3120" s="223"/>
      <c r="AE3120" s="223"/>
      <c r="AF3120" s="223"/>
      <c r="AG3120" s="223"/>
      <c r="AH3120" s="341"/>
      <c r="AI3120" s="218"/>
      <c r="AJ3120" s="218"/>
      <c r="AK3120" s="153"/>
      <c r="AL3120" s="152"/>
      <c r="AM3120" s="152"/>
      <c r="AN3120" s="152"/>
      <c r="AO3120" s="152"/>
      <c r="AP3120" s="152"/>
      <c r="AQ3120" s="152"/>
      <c r="AR3120" s="152"/>
      <c r="AS3120" s="152"/>
      <c r="AT3120" s="152"/>
      <c r="AU3120" s="153"/>
      <c r="AV3120" s="479"/>
      <c r="AW3120" s="479"/>
      <c r="AX3120" s="442"/>
      <c r="AY3120" s="153"/>
      <c r="AZ3120" s="152"/>
      <c r="BA3120" s="152"/>
      <c r="BB3120" s="152"/>
      <c r="BC3120" s="152"/>
      <c r="BD3120" s="152"/>
      <c r="BE3120" s="152"/>
      <c r="BF3120" s="152"/>
      <c r="BG3120" s="152"/>
      <c r="BH3120" s="152"/>
      <c r="BI3120" s="153"/>
      <c r="BJ3120" s="153"/>
      <c r="BK3120" s="153"/>
      <c r="BL3120" s="153"/>
      <c r="BM3120" s="153"/>
      <c r="BN3120" s="153"/>
      <c r="BO3120" s="153"/>
      <c r="BP3120" s="153"/>
      <c r="BQ3120" s="153"/>
      <c r="BR3120" s="153"/>
      <c r="BS3120" s="153"/>
      <c r="BT3120" s="153"/>
      <c r="BU3120" s="153"/>
      <c r="BV3120" s="153"/>
      <c r="BW3120" s="153"/>
      <c r="BX3120" s="153"/>
      <c r="BY3120" s="153"/>
      <c r="BZ3120" s="153"/>
      <c r="CA3120" s="152"/>
      <c r="CB3120" s="152"/>
    </row>
    <row r="3121" spans="1:80" s="87" customFormat="1" ht="15" x14ac:dyDescent="0.25">
      <c r="A3121" s="152"/>
      <c r="B3121" s="683"/>
      <c r="C3121" s="683"/>
      <c r="D3121" s="698"/>
      <c r="E3121" s="215"/>
      <c r="F3121" s="215"/>
      <c r="G3121" s="153"/>
      <c r="H3121" s="153"/>
      <c r="I3121" s="318">
        <v>21</v>
      </c>
      <c r="J3121" s="318">
        <v>20</v>
      </c>
      <c r="K3121" s="150">
        <v>1</v>
      </c>
      <c r="L3121" s="656">
        <v>7</v>
      </c>
      <c r="M3121" s="663">
        <v>35566</v>
      </c>
      <c r="N3121" s="600">
        <v>407.70299999999997</v>
      </c>
      <c r="O3121" s="604">
        <v>15.84853</v>
      </c>
      <c r="P3121" s="150"/>
      <c r="Q3121" s="250">
        <v>4.9000000000000002E-2</v>
      </c>
      <c r="R3121" s="250">
        <v>0.11800000000000001</v>
      </c>
      <c r="S3121" s="250">
        <v>0.11900000000000001</v>
      </c>
      <c r="T3121" s="250">
        <v>0.09</v>
      </c>
      <c r="U3121" s="250">
        <v>0.13200000000000001</v>
      </c>
      <c r="V3121" s="250">
        <v>0.17699999999999999</v>
      </c>
      <c r="W3121" s="250">
        <v>0.20300000000000001</v>
      </c>
      <c r="X3121" s="250">
        <v>0.09</v>
      </c>
      <c r="Y3121" s="250">
        <v>2.2000000000000002E-2</v>
      </c>
      <c r="Z3121" s="150">
        <v>38</v>
      </c>
      <c r="AA3121" s="150">
        <v>2.09</v>
      </c>
      <c r="AB3121" s="152"/>
      <c r="AC3121" s="152"/>
      <c r="AD3121" s="223"/>
      <c r="AE3121" s="223"/>
      <c r="AF3121" s="223"/>
      <c r="AG3121" s="223"/>
      <c r="AH3121" s="341"/>
      <c r="AI3121" s="218"/>
      <c r="AJ3121" s="218"/>
      <c r="AK3121" s="153"/>
      <c r="AL3121" s="152"/>
      <c r="AM3121" s="152"/>
      <c r="AN3121" s="152"/>
      <c r="AO3121" s="152"/>
      <c r="AP3121" s="152"/>
      <c r="AQ3121" s="152"/>
      <c r="AR3121" s="152"/>
      <c r="AS3121" s="152"/>
      <c r="AT3121" s="152"/>
      <c r="AU3121" s="153"/>
      <c r="AV3121" s="479"/>
      <c r="AW3121" s="479"/>
      <c r="AX3121" s="442"/>
      <c r="AY3121" s="153"/>
      <c r="AZ3121" s="152"/>
      <c r="BA3121" s="152"/>
      <c r="BB3121" s="152"/>
      <c r="BC3121" s="152"/>
      <c r="BD3121" s="152"/>
      <c r="BE3121" s="152"/>
      <c r="BF3121" s="152"/>
      <c r="BG3121" s="152"/>
      <c r="BH3121" s="152"/>
      <c r="BI3121" s="153"/>
      <c r="BJ3121" s="153"/>
      <c r="BK3121" s="153"/>
      <c r="BL3121" s="153"/>
      <c r="BM3121" s="153"/>
      <c r="BN3121" s="153"/>
      <c r="BO3121" s="153"/>
      <c r="BP3121" s="153"/>
      <c r="BQ3121" s="153"/>
      <c r="BR3121" s="153"/>
      <c r="BS3121" s="153"/>
      <c r="BT3121" s="153"/>
      <c r="BU3121" s="153"/>
      <c r="BV3121" s="153"/>
      <c r="BW3121" s="153"/>
      <c r="BX3121" s="153"/>
      <c r="BY3121" s="153"/>
      <c r="BZ3121" s="153"/>
      <c r="CA3121" s="152"/>
      <c r="CB3121" s="152"/>
    </row>
    <row r="3122" spans="1:80" s="87" customFormat="1" ht="15" x14ac:dyDescent="0.25">
      <c r="A3122" s="152"/>
      <c r="B3122" s="683"/>
      <c r="C3122" s="683"/>
      <c r="D3122" s="698"/>
      <c r="E3122" s="215"/>
      <c r="F3122" s="215"/>
      <c r="G3122" s="153"/>
      <c r="H3122" s="153"/>
      <c r="I3122" s="318">
        <v>21</v>
      </c>
      <c r="J3122" s="318">
        <v>20</v>
      </c>
      <c r="K3122" s="150">
        <v>1</v>
      </c>
      <c r="L3122" s="656">
        <v>7</v>
      </c>
      <c r="M3122" s="663">
        <v>35567</v>
      </c>
      <c r="N3122" s="600">
        <v>433.18400000000003</v>
      </c>
      <c r="O3122" s="604">
        <v>7.3050179999999996</v>
      </c>
      <c r="P3122" s="150"/>
      <c r="Q3122" s="250"/>
      <c r="R3122" s="250">
        <v>3.9E-2</v>
      </c>
      <c r="S3122" s="250">
        <v>1.1000000000000001E-2</v>
      </c>
      <c r="T3122" s="250">
        <v>2.3E-2</v>
      </c>
      <c r="U3122" s="250">
        <v>5.7999999999999996E-2</v>
      </c>
      <c r="V3122" s="250">
        <v>0.18100000000000002</v>
      </c>
      <c r="W3122" s="250">
        <v>0.42</v>
      </c>
      <c r="X3122" s="250">
        <v>0.22</v>
      </c>
      <c r="Y3122" s="250">
        <v>4.9000000000000002E-2</v>
      </c>
      <c r="Z3122" s="150"/>
      <c r="AA3122" s="150">
        <v>0.73</v>
      </c>
      <c r="AB3122" s="152"/>
      <c r="AC3122" s="152"/>
      <c r="AD3122" s="223">
        <v>67.510985000000005</v>
      </c>
      <c r="AE3122" s="223">
        <v>1.96028819</v>
      </c>
      <c r="AF3122" s="223">
        <v>132.33679240000001</v>
      </c>
      <c r="AG3122" s="223">
        <v>3.4231643969999999</v>
      </c>
      <c r="AH3122" s="341"/>
      <c r="AI3122" s="218"/>
      <c r="AJ3122" s="218"/>
      <c r="AK3122" s="153"/>
      <c r="AL3122" s="152"/>
      <c r="AM3122" s="152"/>
      <c r="AN3122" s="152"/>
      <c r="AO3122" s="152"/>
      <c r="AP3122" s="152"/>
      <c r="AQ3122" s="152"/>
      <c r="AR3122" s="152"/>
      <c r="AS3122" s="152"/>
      <c r="AT3122" s="152"/>
      <c r="AU3122" s="153"/>
      <c r="AV3122" s="479"/>
      <c r="AW3122" s="479"/>
      <c r="AX3122" s="442"/>
      <c r="AY3122" s="153"/>
      <c r="AZ3122" s="152"/>
      <c r="BA3122" s="152"/>
      <c r="BB3122" s="152"/>
      <c r="BC3122" s="152"/>
      <c r="BD3122" s="152"/>
      <c r="BE3122" s="152"/>
      <c r="BF3122" s="152"/>
      <c r="BG3122" s="152"/>
      <c r="BH3122" s="152"/>
      <c r="BI3122" s="153"/>
      <c r="BJ3122" s="153"/>
      <c r="BK3122" s="153"/>
      <c r="BL3122" s="153"/>
      <c r="BM3122" s="153"/>
      <c r="BN3122" s="153"/>
      <c r="BO3122" s="153"/>
      <c r="BP3122" s="153"/>
      <c r="BQ3122" s="153"/>
      <c r="BR3122" s="153"/>
      <c r="BS3122" s="153"/>
      <c r="BT3122" s="153"/>
      <c r="BU3122" s="153"/>
      <c r="BV3122" s="153"/>
      <c r="BW3122" s="153"/>
      <c r="BX3122" s="153"/>
      <c r="BY3122" s="153"/>
      <c r="BZ3122" s="153"/>
      <c r="CA3122" s="152"/>
      <c r="CB3122" s="152"/>
    </row>
    <row r="3123" spans="1:80" s="87" customFormat="1" ht="15" x14ac:dyDescent="0.25">
      <c r="A3123" s="152"/>
      <c r="B3123" s="683"/>
      <c r="C3123" s="683"/>
      <c r="D3123" s="698"/>
      <c r="E3123" s="215"/>
      <c r="F3123" s="215"/>
      <c r="G3123" s="153"/>
      <c r="H3123" s="153"/>
      <c r="I3123" s="318">
        <v>21</v>
      </c>
      <c r="J3123" s="318">
        <v>20</v>
      </c>
      <c r="K3123" s="150">
        <v>1</v>
      </c>
      <c r="L3123" s="656">
        <v>7</v>
      </c>
      <c r="M3123" s="663">
        <v>35567</v>
      </c>
      <c r="N3123" s="600">
        <v>433.18400000000003</v>
      </c>
      <c r="O3123" s="604">
        <v>17.6328</v>
      </c>
      <c r="P3123" s="150"/>
      <c r="Q3123" s="250">
        <v>0.16699999999999998</v>
      </c>
      <c r="R3123" s="250">
        <v>9.3000000000000013E-2</v>
      </c>
      <c r="S3123" s="250">
        <v>8.5999999999999993E-2</v>
      </c>
      <c r="T3123" s="250">
        <v>0.09</v>
      </c>
      <c r="U3123" s="250">
        <v>0.11800000000000001</v>
      </c>
      <c r="V3123" s="250">
        <v>0.16399999999999998</v>
      </c>
      <c r="W3123" s="250">
        <v>0.18899999999999997</v>
      </c>
      <c r="X3123" s="250">
        <v>7.5999999999999998E-2</v>
      </c>
      <c r="Y3123" s="250">
        <v>1.7000000000000001E-2</v>
      </c>
      <c r="Z3123" s="150">
        <v>51</v>
      </c>
      <c r="AA3123" s="150">
        <v>2.75</v>
      </c>
      <c r="AB3123" s="152"/>
      <c r="AC3123" s="152"/>
      <c r="AD3123" s="223">
        <v>67.510985000000005</v>
      </c>
      <c r="AE3123" s="223">
        <v>1.96028819</v>
      </c>
      <c r="AF3123" s="223">
        <v>132.33679240000001</v>
      </c>
      <c r="AG3123" s="223">
        <v>3.4231643969999999</v>
      </c>
      <c r="AH3123" s="341"/>
      <c r="AI3123" s="218"/>
      <c r="AJ3123" s="218"/>
      <c r="AK3123" s="153"/>
      <c r="AL3123" s="152"/>
      <c r="AM3123" s="152"/>
      <c r="AN3123" s="152"/>
      <c r="AO3123" s="152"/>
      <c r="AP3123" s="152"/>
      <c r="AQ3123" s="152"/>
      <c r="AR3123" s="152"/>
      <c r="AS3123" s="152"/>
      <c r="AT3123" s="152"/>
      <c r="AU3123" s="153"/>
      <c r="AV3123" s="479"/>
      <c r="AW3123" s="479"/>
      <c r="AX3123" s="442"/>
      <c r="AY3123" s="153"/>
      <c r="AZ3123" s="152"/>
      <c r="BA3123" s="152"/>
      <c r="BB3123" s="152"/>
      <c r="BC3123" s="152"/>
      <c r="BD3123" s="152"/>
      <c r="BE3123" s="152"/>
      <c r="BF3123" s="152"/>
      <c r="BG3123" s="152"/>
      <c r="BH3123" s="152"/>
      <c r="BI3123" s="153"/>
      <c r="BJ3123" s="153"/>
      <c r="BK3123" s="153"/>
      <c r="BL3123" s="153"/>
      <c r="BM3123" s="153"/>
      <c r="BN3123" s="153"/>
      <c r="BO3123" s="153"/>
      <c r="BP3123" s="153"/>
      <c r="BQ3123" s="153"/>
      <c r="BR3123" s="153"/>
      <c r="BS3123" s="153"/>
      <c r="BT3123" s="153"/>
      <c r="BU3123" s="153"/>
      <c r="BV3123" s="153"/>
      <c r="BW3123" s="153"/>
      <c r="BX3123" s="153"/>
      <c r="BY3123" s="153"/>
      <c r="BZ3123" s="153"/>
      <c r="CA3123" s="152"/>
      <c r="CB3123" s="152"/>
    </row>
    <row r="3124" spans="1:80" s="87" customFormat="1" ht="15" x14ac:dyDescent="0.25">
      <c r="A3124" s="152"/>
      <c r="B3124" s="683"/>
      <c r="C3124" s="683"/>
      <c r="D3124" s="698"/>
      <c r="E3124" s="215"/>
      <c r="F3124" s="215"/>
      <c r="G3124" s="153"/>
      <c r="H3124" s="153"/>
      <c r="I3124" s="318">
        <v>21</v>
      </c>
      <c r="J3124" s="318">
        <v>20</v>
      </c>
      <c r="K3124" s="150">
        <v>1</v>
      </c>
      <c r="L3124" s="656">
        <v>7</v>
      </c>
      <c r="M3124" s="663">
        <v>35568</v>
      </c>
      <c r="N3124" s="600">
        <v>424.69099999999997</v>
      </c>
      <c r="O3124" s="604">
        <v>43.347299999999997</v>
      </c>
      <c r="P3124" s="250">
        <v>0.03</v>
      </c>
      <c r="Q3124" s="250">
        <v>0.13699999999999998</v>
      </c>
      <c r="R3124" s="250">
        <v>0.223</v>
      </c>
      <c r="S3124" s="250">
        <v>0.13900000000000001</v>
      </c>
      <c r="T3124" s="250">
        <v>0.10800000000000001</v>
      </c>
      <c r="U3124" s="250">
        <v>0.10199999999999999</v>
      </c>
      <c r="V3124" s="250">
        <v>0.11900000000000001</v>
      </c>
      <c r="W3124" s="250">
        <v>0.106</v>
      </c>
      <c r="X3124" s="250">
        <v>3.4000000000000002E-2</v>
      </c>
      <c r="Y3124" s="250">
        <v>3.0000000000000001E-3</v>
      </c>
      <c r="Z3124" s="150">
        <v>65</v>
      </c>
      <c r="AA3124" s="150">
        <v>9.1999999999999993</v>
      </c>
      <c r="AB3124" s="152"/>
      <c r="AC3124" s="152"/>
      <c r="AD3124" s="223"/>
      <c r="AE3124" s="223"/>
      <c r="AF3124" s="223"/>
      <c r="AG3124" s="223"/>
      <c r="AH3124" s="341"/>
      <c r="AI3124" s="218"/>
      <c r="AJ3124" s="218"/>
      <c r="AK3124" s="153"/>
      <c r="AL3124" s="152"/>
      <c r="AM3124" s="152"/>
      <c r="AN3124" s="152"/>
      <c r="AO3124" s="152"/>
      <c r="AP3124" s="152"/>
      <c r="AQ3124" s="152"/>
      <c r="AR3124" s="152"/>
      <c r="AS3124" s="152"/>
      <c r="AT3124" s="152"/>
      <c r="AU3124" s="153"/>
      <c r="AV3124" s="479"/>
      <c r="AW3124" s="479"/>
      <c r="AX3124" s="442"/>
      <c r="AY3124" s="153"/>
      <c r="AZ3124" s="152"/>
      <c r="BA3124" s="152"/>
      <c r="BB3124" s="152"/>
      <c r="BC3124" s="152"/>
      <c r="BD3124" s="152"/>
      <c r="BE3124" s="152"/>
      <c r="BF3124" s="152"/>
      <c r="BG3124" s="152"/>
      <c r="BH3124" s="152"/>
      <c r="BI3124" s="153"/>
      <c r="BJ3124" s="153"/>
      <c r="BK3124" s="153"/>
      <c r="BL3124" s="153"/>
      <c r="BM3124" s="153"/>
      <c r="BN3124" s="153"/>
      <c r="BO3124" s="153"/>
      <c r="BP3124" s="153"/>
      <c r="BQ3124" s="153"/>
      <c r="BR3124" s="153"/>
      <c r="BS3124" s="153"/>
      <c r="BT3124" s="153"/>
      <c r="BU3124" s="153"/>
      <c r="BV3124" s="153"/>
      <c r="BW3124" s="153"/>
      <c r="BX3124" s="153"/>
      <c r="BY3124" s="153"/>
      <c r="BZ3124" s="153"/>
      <c r="CA3124" s="152"/>
      <c r="CB3124" s="152"/>
    </row>
    <row r="3125" spans="1:80" s="87" customFormat="1" ht="15" x14ac:dyDescent="0.25">
      <c r="A3125" s="152"/>
      <c r="B3125" s="683"/>
      <c r="C3125" s="683"/>
      <c r="D3125" s="698"/>
      <c r="E3125" s="215"/>
      <c r="F3125" s="215"/>
      <c r="G3125" s="153"/>
      <c r="H3125" s="153"/>
      <c r="I3125" s="318">
        <v>21</v>
      </c>
      <c r="J3125" s="318">
        <v>20</v>
      </c>
      <c r="K3125" s="150">
        <v>1</v>
      </c>
      <c r="L3125" s="656">
        <v>7</v>
      </c>
      <c r="M3125" s="663">
        <v>35568</v>
      </c>
      <c r="N3125" s="600">
        <v>419.02800000000002</v>
      </c>
      <c r="O3125" s="604">
        <v>25.714500000000001</v>
      </c>
      <c r="P3125" s="250">
        <v>3.1E-2</v>
      </c>
      <c r="Q3125" s="250">
        <v>0.22</v>
      </c>
      <c r="R3125" s="250">
        <v>0.13300000000000001</v>
      </c>
      <c r="S3125" s="250">
        <v>0.13900000000000001</v>
      </c>
      <c r="T3125" s="250">
        <v>0.13300000000000001</v>
      </c>
      <c r="U3125" s="250">
        <v>9.9000000000000005E-2</v>
      </c>
      <c r="V3125" s="250">
        <v>0.1</v>
      </c>
      <c r="W3125" s="250">
        <v>0.10400000000000001</v>
      </c>
      <c r="X3125" s="250">
        <v>3.9E-2</v>
      </c>
      <c r="Y3125" s="250">
        <v>3.0000000000000001E-3</v>
      </c>
      <c r="Z3125" s="150"/>
      <c r="AA3125" s="150">
        <v>8.93</v>
      </c>
      <c r="AB3125" s="152"/>
      <c r="AC3125" s="152"/>
      <c r="AD3125" s="223"/>
      <c r="AE3125" s="223"/>
      <c r="AF3125" s="223"/>
      <c r="AG3125" s="223"/>
      <c r="AH3125" s="341"/>
      <c r="AI3125" s="218"/>
      <c r="AJ3125" s="218"/>
      <c r="AK3125" s="153"/>
      <c r="AL3125" s="152"/>
      <c r="AM3125" s="152"/>
      <c r="AN3125" s="152"/>
      <c r="AO3125" s="152"/>
      <c r="AP3125" s="152"/>
      <c r="AQ3125" s="152"/>
      <c r="AR3125" s="152"/>
      <c r="AS3125" s="152"/>
      <c r="AT3125" s="152"/>
      <c r="AU3125" s="153"/>
      <c r="AV3125" s="479"/>
      <c r="AW3125" s="479"/>
      <c r="AX3125" s="442"/>
      <c r="AY3125" s="153"/>
      <c r="AZ3125" s="152"/>
      <c r="BA3125" s="152"/>
      <c r="BB3125" s="152"/>
      <c r="BC3125" s="152"/>
      <c r="BD3125" s="152"/>
      <c r="BE3125" s="152"/>
      <c r="BF3125" s="152"/>
      <c r="BG3125" s="152"/>
      <c r="BH3125" s="152"/>
      <c r="BI3125" s="153"/>
      <c r="BJ3125" s="153"/>
      <c r="BK3125" s="153"/>
      <c r="BL3125" s="153"/>
      <c r="BM3125" s="153"/>
      <c r="BN3125" s="153"/>
      <c r="BO3125" s="153"/>
      <c r="BP3125" s="153"/>
      <c r="BQ3125" s="153"/>
      <c r="BR3125" s="153"/>
      <c r="BS3125" s="153"/>
      <c r="BT3125" s="153"/>
      <c r="BU3125" s="153"/>
      <c r="BV3125" s="153"/>
      <c r="BW3125" s="153"/>
      <c r="BX3125" s="153"/>
      <c r="BY3125" s="153"/>
      <c r="BZ3125" s="153"/>
      <c r="CA3125" s="152"/>
      <c r="CB3125" s="152"/>
    </row>
    <row r="3126" spans="1:80" s="87" customFormat="1" ht="15" x14ac:dyDescent="0.25">
      <c r="A3126" s="152"/>
      <c r="B3126" s="683"/>
      <c r="C3126" s="683"/>
      <c r="D3126" s="698"/>
      <c r="E3126" s="215"/>
      <c r="F3126" s="215"/>
      <c r="G3126" s="153"/>
      <c r="H3126" s="153"/>
      <c r="I3126" s="318">
        <v>21</v>
      </c>
      <c r="J3126" s="318">
        <v>20</v>
      </c>
      <c r="K3126" s="150">
        <v>1</v>
      </c>
      <c r="L3126" s="656">
        <v>7</v>
      </c>
      <c r="M3126" s="663">
        <v>35572</v>
      </c>
      <c r="N3126" s="600">
        <v>348.24599999999998</v>
      </c>
      <c r="O3126" s="604">
        <v>8.7744180000000007</v>
      </c>
      <c r="P3126" s="150"/>
      <c r="Q3126" s="250">
        <v>0.16699999999999998</v>
      </c>
      <c r="R3126" s="250">
        <v>0.13699999999999998</v>
      </c>
      <c r="S3126" s="250">
        <v>0.08</v>
      </c>
      <c r="T3126" s="250">
        <v>6.4000000000000001E-2</v>
      </c>
      <c r="U3126" s="250">
        <v>8.4000000000000005E-2</v>
      </c>
      <c r="V3126" s="250">
        <v>0.157</v>
      </c>
      <c r="W3126" s="250">
        <v>0.19699999999999998</v>
      </c>
      <c r="X3126" s="250">
        <v>9.4E-2</v>
      </c>
      <c r="Y3126" s="250">
        <v>0.02</v>
      </c>
      <c r="Z3126" s="150">
        <v>52</v>
      </c>
      <c r="AA3126" s="150">
        <v>2.6</v>
      </c>
      <c r="AB3126" s="152"/>
      <c r="AC3126" s="152"/>
      <c r="AD3126" s="223"/>
      <c r="AE3126" s="223"/>
      <c r="AF3126" s="223"/>
      <c r="AG3126" s="223"/>
      <c r="AH3126" s="341"/>
      <c r="AI3126" s="218"/>
      <c r="AJ3126" s="218"/>
      <c r="AK3126" s="153"/>
      <c r="AL3126" s="152"/>
      <c r="AM3126" s="152"/>
      <c r="AN3126" s="152"/>
      <c r="AO3126" s="152"/>
      <c r="AP3126" s="152"/>
      <c r="AQ3126" s="152"/>
      <c r="AR3126" s="152"/>
      <c r="AS3126" s="152"/>
      <c r="AT3126" s="152"/>
      <c r="AU3126" s="153"/>
      <c r="AV3126" s="479"/>
      <c r="AW3126" s="479"/>
      <c r="AX3126" s="442"/>
      <c r="AY3126" s="153"/>
      <c r="AZ3126" s="152"/>
      <c r="BA3126" s="152"/>
      <c r="BB3126" s="152"/>
      <c r="BC3126" s="152"/>
      <c r="BD3126" s="152"/>
      <c r="BE3126" s="152"/>
      <c r="BF3126" s="152"/>
      <c r="BG3126" s="152"/>
      <c r="BH3126" s="152"/>
      <c r="BI3126" s="153"/>
      <c r="BJ3126" s="153"/>
      <c r="BK3126" s="153"/>
      <c r="BL3126" s="153"/>
      <c r="BM3126" s="153"/>
      <c r="BN3126" s="153"/>
      <c r="BO3126" s="153"/>
      <c r="BP3126" s="153"/>
      <c r="BQ3126" s="153"/>
      <c r="BR3126" s="153"/>
      <c r="BS3126" s="153"/>
      <c r="BT3126" s="153"/>
      <c r="BU3126" s="153"/>
      <c r="BV3126" s="153"/>
      <c r="BW3126" s="153"/>
      <c r="BX3126" s="153"/>
      <c r="BY3126" s="153"/>
      <c r="BZ3126" s="153"/>
      <c r="CA3126" s="152"/>
      <c r="CB3126" s="152"/>
    </row>
    <row r="3127" spans="1:80" s="87" customFormat="1" ht="15" x14ac:dyDescent="0.25">
      <c r="A3127" s="152"/>
      <c r="B3127" s="683"/>
      <c r="C3127" s="683"/>
      <c r="D3127" s="698"/>
      <c r="E3127" s="215"/>
      <c r="F3127" s="215"/>
      <c r="G3127" s="153"/>
      <c r="H3127" s="153"/>
      <c r="I3127" s="318">
        <v>21</v>
      </c>
      <c r="J3127" s="318">
        <v>20</v>
      </c>
      <c r="K3127" s="150">
        <v>1</v>
      </c>
      <c r="L3127" s="656">
        <v>7</v>
      </c>
      <c r="M3127" s="663">
        <v>35572</v>
      </c>
      <c r="N3127" s="600">
        <v>348.24599999999998</v>
      </c>
      <c r="O3127" s="604">
        <v>18.3675</v>
      </c>
      <c r="P3127" s="250">
        <v>6.5000000000000002E-2</v>
      </c>
      <c r="Q3127" s="250">
        <v>0.309</v>
      </c>
      <c r="R3127" s="250">
        <v>0.33600000000000002</v>
      </c>
      <c r="S3127" s="250">
        <v>0.08</v>
      </c>
      <c r="T3127" s="250">
        <v>1.8000000000000002E-2</v>
      </c>
      <c r="U3127" s="250">
        <v>2.4E-2</v>
      </c>
      <c r="V3127" s="250">
        <v>4.9000000000000002E-2</v>
      </c>
      <c r="W3127" s="250">
        <v>7.2999999999999995E-2</v>
      </c>
      <c r="X3127" s="250">
        <v>3.7999999999999999E-2</v>
      </c>
      <c r="Y3127" s="250">
        <v>8.0000000000000002E-3</v>
      </c>
      <c r="Z3127" s="150">
        <v>77</v>
      </c>
      <c r="AA3127" s="150">
        <v>24.68</v>
      </c>
      <c r="AB3127" s="152"/>
      <c r="AC3127" s="152"/>
      <c r="AD3127" s="223"/>
      <c r="AE3127" s="223"/>
      <c r="AF3127" s="223"/>
      <c r="AG3127" s="223"/>
      <c r="AH3127" s="341"/>
      <c r="AI3127" s="218"/>
      <c r="AJ3127" s="218"/>
      <c r="AK3127" s="153"/>
      <c r="AL3127" s="152"/>
      <c r="AM3127" s="152"/>
      <c r="AN3127" s="152"/>
      <c r="AO3127" s="152"/>
      <c r="AP3127" s="152"/>
      <c r="AQ3127" s="152"/>
      <c r="AR3127" s="152"/>
      <c r="AS3127" s="152"/>
      <c r="AT3127" s="152"/>
      <c r="AU3127" s="153"/>
      <c r="AV3127" s="479"/>
      <c r="AW3127" s="479"/>
      <c r="AX3127" s="442"/>
      <c r="AY3127" s="153"/>
      <c r="AZ3127" s="152"/>
      <c r="BA3127" s="152"/>
      <c r="BB3127" s="152"/>
      <c r="BC3127" s="152"/>
      <c r="BD3127" s="152"/>
      <c r="BE3127" s="152"/>
      <c r="BF3127" s="152"/>
      <c r="BG3127" s="152"/>
      <c r="BH3127" s="152"/>
      <c r="BI3127" s="153"/>
      <c r="BJ3127" s="153"/>
      <c r="BK3127" s="153"/>
      <c r="BL3127" s="153"/>
      <c r="BM3127" s="153"/>
      <c r="BN3127" s="153"/>
      <c r="BO3127" s="153"/>
      <c r="BP3127" s="153"/>
      <c r="BQ3127" s="153"/>
      <c r="BR3127" s="153"/>
      <c r="BS3127" s="153"/>
      <c r="BT3127" s="153"/>
      <c r="BU3127" s="153"/>
      <c r="BV3127" s="153"/>
      <c r="BW3127" s="153"/>
      <c r="BX3127" s="153"/>
      <c r="BY3127" s="153"/>
      <c r="BZ3127" s="153"/>
      <c r="CA3127" s="152"/>
      <c r="CB3127" s="152"/>
    </row>
    <row r="3128" spans="1:80" s="87" customFormat="1" ht="15" x14ac:dyDescent="0.25">
      <c r="A3128" s="152"/>
      <c r="B3128" s="683"/>
      <c r="C3128" s="683"/>
      <c r="D3128" s="698"/>
      <c r="E3128" s="215"/>
      <c r="F3128" s="215"/>
      <c r="G3128" s="153"/>
      <c r="H3128" s="153"/>
      <c r="I3128" s="318">
        <v>21</v>
      </c>
      <c r="J3128" s="318">
        <v>20</v>
      </c>
      <c r="K3128" s="150">
        <v>1</v>
      </c>
      <c r="L3128" s="656">
        <v>7</v>
      </c>
      <c r="M3128" s="663">
        <v>35573</v>
      </c>
      <c r="N3128" s="600">
        <v>336.92099999999999</v>
      </c>
      <c r="O3128" s="604">
        <v>3.6525089999999998</v>
      </c>
      <c r="P3128" s="150"/>
      <c r="Q3128" s="250"/>
      <c r="R3128" s="250">
        <v>8.1000000000000003E-2</v>
      </c>
      <c r="S3128" s="250">
        <v>2.3E-2</v>
      </c>
      <c r="T3128" s="250">
        <v>3.6000000000000004E-2</v>
      </c>
      <c r="U3128" s="250">
        <v>9.0999999999999998E-2</v>
      </c>
      <c r="V3128" s="250">
        <v>0.21</v>
      </c>
      <c r="W3128" s="250">
        <v>0.33700000000000002</v>
      </c>
      <c r="X3128" s="250">
        <v>0.18100000000000002</v>
      </c>
      <c r="Y3128" s="250">
        <v>4.0999999999999995E-2</v>
      </c>
      <c r="Z3128" s="150">
        <v>32</v>
      </c>
      <c r="AA3128" s="150">
        <v>0.89</v>
      </c>
      <c r="AB3128" s="152"/>
      <c r="AC3128" s="152"/>
      <c r="AD3128" s="223">
        <v>65.682244999999995</v>
      </c>
      <c r="AE3128" s="223">
        <v>1.7399195270000001</v>
      </c>
      <c r="AF3128" s="223">
        <v>114.2781988</v>
      </c>
      <c r="AG3128" s="223">
        <v>2.8739749630000002</v>
      </c>
      <c r="AH3128" s="341"/>
      <c r="AI3128" s="218"/>
      <c r="AJ3128" s="218"/>
      <c r="AK3128" s="153"/>
      <c r="AL3128" s="152"/>
      <c r="AM3128" s="152"/>
      <c r="AN3128" s="152"/>
      <c r="AO3128" s="152"/>
      <c r="AP3128" s="152"/>
      <c r="AQ3128" s="152"/>
      <c r="AR3128" s="152"/>
      <c r="AS3128" s="152"/>
      <c r="AT3128" s="152"/>
      <c r="AU3128" s="153"/>
      <c r="AV3128" s="479"/>
      <c r="AW3128" s="479"/>
      <c r="AX3128" s="442"/>
      <c r="AY3128" s="153"/>
      <c r="AZ3128" s="152"/>
      <c r="BA3128" s="152"/>
      <c r="BB3128" s="152"/>
      <c r="BC3128" s="152"/>
      <c r="BD3128" s="152"/>
      <c r="BE3128" s="152"/>
      <c r="BF3128" s="152"/>
      <c r="BG3128" s="152"/>
      <c r="BH3128" s="152"/>
      <c r="BI3128" s="153"/>
      <c r="BJ3128" s="153"/>
      <c r="BK3128" s="153"/>
      <c r="BL3128" s="153"/>
      <c r="BM3128" s="153"/>
      <c r="BN3128" s="153"/>
      <c r="BO3128" s="153"/>
      <c r="BP3128" s="153"/>
      <c r="BQ3128" s="153"/>
      <c r="BR3128" s="153"/>
      <c r="BS3128" s="153"/>
      <c r="BT3128" s="153"/>
      <c r="BU3128" s="153"/>
      <c r="BV3128" s="153"/>
      <c r="BW3128" s="153"/>
      <c r="BX3128" s="153"/>
      <c r="BY3128" s="153"/>
      <c r="BZ3128" s="153"/>
      <c r="CA3128" s="152"/>
      <c r="CB3128" s="152"/>
    </row>
    <row r="3129" spans="1:80" s="87" customFormat="1" ht="15" x14ac:dyDescent="0.25">
      <c r="A3129" s="152"/>
      <c r="B3129" s="683"/>
      <c r="C3129" s="683"/>
      <c r="D3129" s="698"/>
      <c r="E3129" s="215"/>
      <c r="F3129" s="215"/>
      <c r="G3129" s="153"/>
      <c r="H3129" s="153"/>
      <c r="I3129" s="318">
        <v>21</v>
      </c>
      <c r="J3129" s="318">
        <v>20</v>
      </c>
      <c r="K3129" s="150">
        <v>1</v>
      </c>
      <c r="L3129" s="656">
        <v>7</v>
      </c>
      <c r="M3129" s="663">
        <v>35573</v>
      </c>
      <c r="N3129" s="600">
        <v>331.25900000000001</v>
      </c>
      <c r="O3129" s="604">
        <v>8.8478879999999993</v>
      </c>
      <c r="P3129" s="150"/>
      <c r="Q3129" s="250">
        <v>0.26100000000000001</v>
      </c>
      <c r="R3129" s="250">
        <v>0.105</v>
      </c>
      <c r="S3129" s="250">
        <v>4.8000000000000001E-2</v>
      </c>
      <c r="T3129" s="250">
        <v>5.9000000000000004E-2</v>
      </c>
      <c r="U3129" s="250">
        <v>8.900000000000001E-2</v>
      </c>
      <c r="V3129" s="250">
        <v>0.16899999999999998</v>
      </c>
      <c r="W3129" s="250">
        <v>0.18600000000000003</v>
      </c>
      <c r="X3129" s="250">
        <v>6.9000000000000006E-2</v>
      </c>
      <c r="Y3129" s="250">
        <v>1.3999999999999999E-2</v>
      </c>
      <c r="Z3129" s="150">
        <v>52</v>
      </c>
      <c r="AA3129" s="150">
        <v>3.24</v>
      </c>
      <c r="AB3129" s="152"/>
      <c r="AC3129" s="152"/>
      <c r="AD3129" s="223">
        <v>65.682244999999995</v>
      </c>
      <c r="AE3129" s="223">
        <v>1.7399195270000001</v>
      </c>
      <c r="AF3129" s="223">
        <v>114.2781988</v>
      </c>
      <c r="AG3129" s="223">
        <v>2.8739749630000002</v>
      </c>
      <c r="AH3129" s="341"/>
      <c r="AI3129" s="218"/>
      <c r="AJ3129" s="218"/>
      <c r="AK3129" s="153"/>
      <c r="AL3129" s="152"/>
      <c r="AM3129" s="152"/>
      <c r="AN3129" s="152"/>
      <c r="AO3129" s="152"/>
      <c r="AP3129" s="152"/>
      <c r="AQ3129" s="152"/>
      <c r="AR3129" s="152"/>
      <c r="AS3129" s="152"/>
      <c r="AT3129" s="152"/>
      <c r="AU3129" s="153"/>
      <c r="AV3129" s="479"/>
      <c r="AW3129" s="479"/>
      <c r="AX3129" s="442"/>
      <c r="AY3129" s="153"/>
      <c r="AZ3129" s="152"/>
      <c r="BA3129" s="152"/>
      <c r="BB3129" s="152"/>
      <c r="BC3129" s="152"/>
      <c r="BD3129" s="152"/>
      <c r="BE3129" s="152"/>
      <c r="BF3129" s="152"/>
      <c r="BG3129" s="152"/>
      <c r="BH3129" s="152"/>
      <c r="BI3129" s="153"/>
      <c r="BJ3129" s="153"/>
      <c r="BK3129" s="153"/>
      <c r="BL3129" s="153"/>
      <c r="BM3129" s="153"/>
      <c r="BN3129" s="153"/>
      <c r="BO3129" s="153"/>
      <c r="BP3129" s="153"/>
      <c r="BQ3129" s="153"/>
      <c r="BR3129" s="153"/>
      <c r="BS3129" s="153"/>
      <c r="BT3129" s="153"/>
      <c r="BU3129" s="153"/>
      <c r="BV3129" s="153"/>
      <c r="BW3129" s="153"/>
      <c r="BX3129" s="153"/>
      <c r="BY3129" s="153"/>
      <c r="BZ3129" s="153"/>
      <c r="CA3129" s="152"/>
      <c r="CB3129" s="152"/>
    </row>
    <row r="3130" spans="1:80" s="87" customFormat="1" ht="15" x14ac:dyDescent="0.25">
      <c r="A3130" s="152"/>
      <c r="B3130" s="683"/>
      <c r="C3130" s="683"/>
      <c r="D3130" s="698"/>
      <c r="E3130" s="215"/>
      <c r="F3130" s="215"/>
      <c r="G3130" s="153"/>
      <c r="H3130" s="153"/>
      <c r="I3130" s="318">
        <v>21</v>
      </c>
      <c r="J3130" s="318">
        <v>20</v>
      </c>
      <c r="K3130" s="150">
        <v>1</v>
      </c>
      <c r="L3130" s="656">
        <v>7</v>
      </c>
      <c r="M3130" s="663">
        <v>35574</v>
      </c>
      <c r="N3130" s="600">
        <v>319.93400000000003</v>
      </c>
      <c r="O3130" s="604">
        <v>2.6344240000000001</v>
      </c>
      <c r="P3130" s="150"/>
      <c r="Q3130" s="250">
        <v>0.11599999999999999</v>
      </c>
      <c r="R3130" s="250">
        <v>3.3000000000000002E-2</v>
      </c>
      <c r="S3130" s="250">
        <v>2.3E-2</v>
      </c>
      <c r="T3130" s="250">
        <v>1.9E-2</v>
      </c>
      <c r="U3130" s="250">
        <v>4.8000000000000001E-2</v>
      </c>
      <c r="V3130" s="250">
        <v>0.16500000000000001</v>
      </c>
      <c r="W3130" s="250">
        <v>0.35299999999999998</v>
      </c>
      <c r="X3130" s="250">
        <v>0.19899999999999998</v>
      </c>
      <c r="Y3130" s="250">
        <v>4.2999999999999997E-2</v>
      </c>
      <c r="Z3130" s="150">
        <v>46</v>
      </c>
      <c r="AA3130" s="150">
        <v>0.83</v>
      </c>
      <c r="AB3130" s="152"/>
      <c r="AC3130" s="152"/>
      <c r="AD3130" s="223"/>
      <c r="AE3130" s="223"/>
      <c r="AF3130" s="223"/>
      <c r="AG3130" s="223"/>
      <c r="AH3130" s="341"/>
      <c r="AI3130" s="218"/>
      <c r="AJ3130" s="218"/>
      <c r="AK3130" s="153"/>
      <c r="AL3130" s="152"/>
      <c r="AM3130" s="152"/>
      <c r="AN3130" s="152"/>
      <c r="AO3130" s="152"/>
      <c r="AP3130" s="152"/>
      <c r="AQ3130" s="152"/>
      <c r="AR3130" s="152"/>
      <c r="AS3130" s="152"/>
      <c r="AT3130" s="152"/>
      <c r="AU3130" s="153"/>
      <c r="AV3130" s="479"/>
      <c r="AW3130" s="479"/>
      <c r="AX3130" s="442"/>
      <c r="AY3130" s="153"/>
      <c r="AZ3130" s="152"/>
      <c r="BA3130" s="152"/>
      <c r="BB3130" s="152"/>
      <c r="BC3130" s="152"/>
      <c r="BD3130" s="152"/>
      <c r="BE3130" s="152"/>
      <c r="BF3130" s="152"/>
      <c r="BG3130" s="152"/>
      <c r="BH3130" s="152"/>
      <c r="BI3130" s="153"/>
      <c r="BJ3130" s="153"/>
      <c r="BK3130" s="153"/>
      <c r="BL3130" s="153"/>
      <c r="BM3130" s="153"/>
      <c r="BN3130" s="153"/>
      <c r="BO3130" s="153"/>
      <c r="BP3130" s="153"/>
      <c r="BQ3130" s="153"/>
      <c r="BR3130" s="153"/>
      <c r="BS3130" s="153"/>
      <c r="BT3130" s="153"/>
      <c r="BU3130" s="153"/>
      <c r="BV3130" s="153"/>
      <c r="BW3130" s="153"/>
      <c r="BX3130" s="153"/>
      <c r="BY3130" s="153"/>
      <c r="BZ3130" s="153"/>
      <c r="CA3130" s="152"/>
      <c r="CB3130" s="152"/>
    </row>
    <row r="3131" spans="1:80" s="87" customFormat="1" ht="15" x14ac:dyDescent="0.25">
      <c r="A3131" s="152"/>
      <c r="B3131" s="683"/>
      <c r="C3131" s="683"/>
      <c r="D3131" s="698"/>
      <c r="E3131" s="215"/>
      <c r="F3131" s="215"/>
      <c r="G3131" s="153"/>
      <c r="H3131" s="153"/>
      <c r="I3131" s="318">
        <v>21</v>
      </c>
      <c r="J3131" s="318">
        <v>30</v>
      </c>
      <c r="K3131" s="150">
        <v>1</v>
      </c>
      <c r="L3131" s="656">
        <v>10.5</v>
      </c>
      <c r="M3131" s="663">
        <v>35574</v>
      </c>
      <c r="N3131" s="600">
        <v>319.93400000000003</v>
      </c>
      <c r="O3131" s="604">
        <v>4.2822519999999997</v>
      </c>
      <c r="P3131" s="150"/>
      <c r="Q3131" s="250">
        <v>0.11599999999999999</v>
      </c>
      <c r="R3131" s="250">
        <v>6.7000000000000004E-2</v>
      </c>
      <c r="S3131" s="250">
        <v>8.1000000000000003E-2</v>
      </c>
      <c r="T3131" s="250">
        <v>8.6999999999999994E-2</v>
      </c>
      <c r="U3131" s="250">
        <v>0.10199999999999999</v>
      </c>
      <c r="V3131" s="250">
        <v>0.187</v>
      </c>
      <c r="W3131" s="250">
        <v>0.23600000000000002</v>
      </c>
      <c r="X3131" s="250">
        <v>0.10300000000000001</v>
      </c>
      <c r="Y3131" s="250">
        <v>2.1000000000000001E-2</v>
      </c>
      <c r="Z3131" s="150">
        <v>44</v>
      </c>
      <c r="AA3131" s="150">
        <v>1.68</v>
      </c>
      <c r="AB3131" s="152"/>
      <c r="AC3131" s="152"/>
      <c r="AD3131" s="223"/>
      <c r="AE3131" s="223"/>
      <c r="AF3131" s="223"/>
      <c r="AG3131" s="223"/>
      <c r="AH3131" s="341"/>
      <c r="AI3131" s="218"/>
      <c r="AJ3131" s="218"/>
      <c r="AK3131" s="153"/>
      <c r="AL3131" s="152"/>
      <c r="AM3131" s="152"/>
      <c r="AN3131" s="152"/>
      <c r="AO3131" s="152"/>
      <c r="AP3131" s="152"/>
      <c r="AQ3131" s="152"/>
      <c r="AR3131" s="152"/>
      <c r="AS3131" s="152"/>
      <c r="AT3131" s="152"/>
      <c r="AU3131" s="153"/>
      <c r="AV3131" s="479"/>
      <c r="AW3131" s="479"/>
      <c r="AX3131" s="442"/>
      <c r="AY3131" s="153"/>
      <c r="AZ3131" s="152"/>
      <c r="BA3131" s="152"/>
      <c r="BB3131" s="152"/>
      <c r="BC3131" s="152"/>
      <c r="BD3131" s="152"/>
      <c r="BE3131" s="152"/>
      <c r="BF3131" s="152"/>
      <c r="BG3131" s="152"/>
      <c r="BH3131" s="152"/>
      <c r="BI3131" s="153"/>
      <c r="BJ3131" s="153"/>
      <c r="BK3131" s="153"/>
      <c r="BL3131" s="153"/>
      <c r="BM3131" s="153"/>
      <c r="BN3131" s="153"/>
      <c r="BO3131" s="153"/>
      <c r="BP3131" s="153"/>
      <c r="BQ3131" s="153"/>
      <c r="BR3131" s="153"/>
      <c r="BS3131" s="153"/>
      <c r="BT3131" s="153"/>
      <c r="BU3131" s="153"/>
      <c r="BV3131" s="153"/>
      <c r="BW3131" s="153"/>
      <c r="BX3131" s="153"/>
      <c r="BY3131" s="153"/>
      <c r="BZ3131" s="153"/>
      <c r="CA3131" s="152"/>
      <c r="CB3131" s="152"/>
    </row>
    <row r="3132" spans="1:80" s="87" customFormat="1" ht="15" x14ac:dyDescent="0.25">
      <c r="A3132" s="152"/>
      <c r="B3132" s="683"/>
      <c r="C3132" s="683"/>
      <c r="D3132" s="698"/>
      <c r="E3132" s="215"/>
      <c r="F3132" s="215"/>
      <c r="G3132" s="153"/>
      <c r="H3132" s="153"/>
      <c r="I3132" s="318">
        <v>20</v>
      </c>
      <c r="J3132" s="318">
        <v>30</v>
      </c>
      <c r="K3132" s="150">
        <v>1</v>
      </c>
      <c r="L3132" s="656">
        <v>10</v>
      </c>
      <c r="M3132" s="663">
        <v>35576</v>
      </c>
      <c r="N3132" s="600">
        <v>277.74799999999999</v>
      </c>
      <c r="O3132" s="604">
        <v>5.7306600000000003</v>
      </c>
      <c r="P3132" s="150"/>
      <c r="Q3132" s="250">
        <v>0.26600000000000001</v>
      </c>
      <c r="R3132" s="250">
        <v>0.10300000000000001</v>
      </c>
      <c r="S3132" s="250">
        <v>3.7999999999999999E-2</v>
      </c>
      <c r="T3132" s="250">
        <v>5.7999999999999996E-2</v>
      </c>
      <c r="U3132" s="250">
        <v>9.5000000000000001E-2</v>
      </c>
      <c r="V3132" s="250">
        <v>0.16899999999999998</v>
      </c>
      <c r="W3132" s="250">
        <v>0.18600000000000003</v>
      </c>
      <c r="X3132" s="250">
        <v>7.0000000000000007E-2</v>
      </c>
      <c r="Y3132" s="250">
        <v>1.6E-2</v>
      </c>
      <c r="Z3132" s="150">
        <v>67</v>
      </c>
      <c r="AA3132" s="150">
        <v>3.08</v>
      </c>
      <c r="AB3132" s="152"/>
      <c r="AC3132" s="152"/>
      <c r="AD3132" s="223">
        <v>64.310689999999994</v>
      </c>
      <c r="AE3132" s="223">
        <v>1.6119924189999999</v>
      </c>
      <c r="AF3132" s="223">
        <v>103.6650593</v>
      </c>
      <c r="AG3132" s="223">
        <v>2.5509553299999999</v>
      </c>
      <c r="AH3132" s="341"/>
      <c r="AI3132" s="218"/>
      <c r="AJ3132" s="218"/>
      <c r="AK3132" s="153"/>
      <c r="AL3132" s="152"/>
      <c r="AM3132" s="152"/>
      <c r="AN3132" s="152"/>
      <c r="AO3132" s="152"/>
      <c r="AP3132" s="152"/>
      <c r="AQ3132" s="152"/>
      <c r="AR3132" s="152"/>
      <c r="AS3132" s="152"/>
      <c r="AT3132" s="152"/>
      <c r="AU3132" s="153"/>
      <c r="AV3132" s="479"/>
      <c r="AW3132" s="479"/>
      <c r="AX3132" s="442"/>
      <c r="AY3132" s="153"/>
      <c r="AZ3132" s="152"/>
      <c r="BA3132" s="152"/>
      <c r="BB3132" s="152"/>
      <c r="BC3132" s="152"/>
      <c r="BD3132" s="152"/>
      <c r="BE3132" s="152"/>
      <c r="BF3132" s="152"/>
      <c r="BG3132" s="152"/>
      <c r="BH3132" s="152"/>
      <c r="BI3132" s="153"/>
      <c r="BJ3132" s="153"/>
      <c r="BK3132" s="153"/>
      <c r="BL3132" s="153"/>
      <c r="BM3132" s="153"/>
      <c r="BN3132" s="153"/>
      <c r="BO3132" s="153"/>
      <c r="BP3132" s="153"/>
      <c r="BQ3132" s="153"/>
      <c r="BR3132" s="153"/>
      <c r="BS3132" s="153"/>
      <c r="BT3132" s="153"/>
      <c r="BU3132" s="153"/>
      <c r="BV3132" s="153"/>
      <c r="BW3132" s="153"/>
      <c r="BX3132" s="153"/>
      <c r="BY3132" s="153"/>
      <c r="BZ3132" s="153"/>
      <c r="CA3132" s="152"/>
      <c r="CB3132" s="152"/>
    </row>
    <row r="3133" spans="1:80" s="87" customFormat="1" ht="15" x14ac:dyDescent="0.25">
      <c r="A3133" s="152"/>
      <c r="B3133" s="683"/>
      <c r="C3133" s="683"/>
      <c r="D3133" s="698"/>
      <c r="E3133" s="215"/>
      <c r="F3133" s="215"/>
      <c r="G3133" s="153"/>
      <c r="H3133" s="153"/>
      <c r="I3133" s="318">
        <v>20</v>
      </c>
      <c r="J3133" s="318">
        <v>30</v>
      </c>
      <c r="K3133" s="150">
        <v>1</v>
      </c>
      <c r="L3133" s="656">
        <v>10</v>
      </c>
      <c r="M3133" s="663">
        <v>35576</v>
      </c>
      <c r="N3133" s="600">
        <v>280.57900000000001</v>
      </c>
      <c r="O3133" s="604">
        <v>1.899724</v>
      </c>
      <c r="P3133" s="150"/>
      <c r="Q3133" s="250"/>
      <c r="R3133" s="250">
        <v>5.9000000000000004E-2</v>
      </c>
      <c r="S3133" s="250">
        <v>0.04</v>
      </c>
      <c r="T3133" s="250">
        <v>3.3000000000000002E-2</v>
      </c>
      <c r="U3133" s="250">
        <v>7.0999999999999994E-2</v>
      </c>
      <c r="V3133" s="250">
        <v>0.221</v>
      </c>
      <c r="W3133" s="250">
        <v>0.37799999999999995</v>
      </c>
      <c r="X3133" s="250">
        <v>0.16500000000000001</v>
      </c>
      <c r="Y3133" s="250">
        <v>3.4000000000000002E-2</v>
      </c>
      <c r="Z3133" s="150">
        <v>27</v>
      </c>
      <c r="AA3133" s="150">
        <v>0.87</v>
      </c>
      <c r="AB3133" s="152"/>
      <c r="AC3133" s="152"/>
      <c r="AD3133" s="223">
        <v>64.310689999999994</v>
      </c>
      <c r="AE3133" s="223">
        <v>1.6119924189999999</v>
      </c>
      <c r="AF3133" s="223">
        <v>103.6650593</v>
      </c>
      <c r="AG3133" s="223">
        <v>2.5509553299999999</v>
      </c>
      <c r="AH3133" s="341"/>
      <c r="AI3133" s="218"/>
      <c r="AJ3133" s="218"/>
      <c r="AK3133" s="153"/>
      <c r="AL3133" s="152"/>
      <c r="AM3133" s="152"/>
      <c r="AN3133" s="152"/>
      <c r="AO3133" s="152"/>
      <c r="AP3133" s="152"/>
      <c r="AQ3133" s="152"/>
      <c r="AR3133" s="152"/>
      <c r="AS3133" s="152"/>
      <c r="AT3133" s="152"/>
      <c r="AU3133" s="153"/>
      <c r="AV3133" s="479"/>
      <c r="AW3133" s="479"/>
      <c r="AX3133" s="442"/>
      <c r="AY3133" s="153"/>
      <c r="AZ3133" s="152"/>
      <c r="BA3133" s="152"/>
      <c r="BB3133" s="152"/>
      <c r="BC3133" s="152"/>
      <c r="BD3133" s="152"/>
      <c r="BE3133" s="152"/>
      <c r="BF3133" s="152"/>
      <c r="BG3133" s="152"/>
      <c r="BH3133" s="152"/>
      <c r="BI3133" s="153"/>
      <c r="BJ3133" s="153"/>
      <c r="BK3133" s="153"/>
      <c r="BL3133" s="153"/>
      <c r="BM3133" s="153"/>
      <c r="BN3133" s="153"/>
      <c r="BO3133" s="153"/>
      <c r="BP3133" s="153"/>
      <c r="BQ3133" s="153"/>
      <c r="BR3133" s="153"/>
      <c r="BS3133" s="153"/>
      <c r="BT3133" s="153"/>
      <c r="BU3133" s="153"/>
      <c r="BV3133" s="153"/>
      <c r="BW3133" s="153"/>
      <c r="BX3133" s="153"/>
      <c r="BY3133" s="153"/>
      <c r="BZ3133" s="153"/>
      <c r="CA3133" s="152"/>
      <c r="CB3133" s="152"/>
    </row>
    <row r="3134" spans="1:80" s="87" customFormat="1" ht="15" x14ac:dyDescent="0.25">
      <c r="A3134" s="152"/>
      <c r="B3134" s="683"/>
      <c r="C3134" s="683"/>
      <c r="D3134" s="698"/>
      <c r="E3134" s="215"/>
      <c r="F3134" s="215"/>
      <c r="G3134" s="153"/>
      <c r="H3134" s="153"/>
      <c r="I3134" s="318">
        <v>20</v>
      </c>
      <c r="J3134" s="318">
        <v>30</v>
      </c>
      <c r="K3134" s="150">
        <v>1</v>
      </c>
      <c r="L3134" s="656">
        <v>10</v>
      </c>
      <c r="M3134" s="663">
        <v>35577</v>
      </c>
      <c r="N3134" s="600">
        <v>250.56700000000001</v>
      </c>
      <c r="O3134" s="604">
        <v>3.0857399999999999</v>
      </c>
      <c r="P3134" s="150"/>
      <c r="Q3134" s="250">
        <v>0.247</v>
      </c>
      <c r="R3134" s="250">
        <v>0.21899999999999997</v>
      </c>
      <c r="S3134" s="250">
        <v>0.107</v>
      </c>
      <c r="T3134" s="250">
        <v>6.5000000000000002E-2</v>
      </c>
      <c r="U3134" s="250">
        <v>5.9000000000000004E-2</v>
      </c>
      <c r="V3134" s="250">
        <v>0.109</v>
      </c>
      <c r="W3134" s="250">
        <v>0.13400000000000001</v>
      </c>
      <c r="X3134" s="250">
        <v>5.5999999999999994E-2</v>
      </c>
      <c r="Y3134" s="250">
        <v>3.0000000000000001E-3</v>
      </c>
      <c r="Z3134" s="150">
        <v>40</v>
      </c>
      <c r="AA3134" s="150">
        <v>12.92</v>
      </c>
      <c r="AB3134" s="152"/>
      <c r="AC3134" s="152"/>
      <c r="AD3134" s="223">
        <v>63.091529999999999</v>
      </c>
      <c r="AE3134" s="223">
        <v>1.484562886</v>
      </c>
      <c r="AF3134" s="223">
        <v>93.660375500000001</v>
      </c>
      <c r="AG3134" s="223">
        <v>2.5725394499999998</v>
      </c>
      <c r="AH3134" s="341"/>
      <c r="AI3134" s="218"/>
      <c r="AJ3134" s="218"/>
      <c r="AK3134" s="153"/>
      <c r="AL3134" s="152"/>
      <c r="AM3134" s="152"/>
      <c r="AN3134" s="152"/>
      <c r="AO3134" s="152"/>
      <c r="AP3134" s="152"/>
      <c r="AQ3134" s="152"/>
      <c r="AR3134" s="152"/>
      <c r="AS3134" s="152"/>
      <c r="AT3134" s="152"/>
      <c r="AU3134" s="153"/>
      <c r="AV3134" s="479"/>
      <c r="AW3134" s="479"/>
      <c r="AX3134" s="442"/>
      <c r="AY3134" s="153"/>
      <c r="AZ3134" s="152"/>
      <c r="BA3134" s="152"/>
      <c r="BB3134" s="152"/>
      <c r="BC3134" s="152"/>
      <c r="BD3134" s="152"/>
      <c r="BE3134" s="152"/>
      <c r="BF3134" s="152"/>
      <c r="BG3134" s="152"/>
      <c r="BH3134" s="152"/>
      <c r="BI3134" s="153"/>
      <c r="BJ3134" s="153"/>
      <c r="BK3134" s="153"/>
      <c r="BL3134" s="153"/>
      <c r="BM3134" s="153"/>
      <c r="BN3134" s="153"/>
      <c r="BO3134" s="153"/>
      <c r="BP3134" s="153"/>
      <c r="BQ3134" s="153"/>
      <c r="BR3134" s="153"/>
      <c r="BS3134" s="153"/>
      <c r="BT3134" s="153"/>
      <c r="BU3134" s="153"/>
      <c r="BV3134" s="153"/>
      <c r="BW3134" s="153"/>
      <c r="BX3134" s="153"/>
      <c r="BY3134" s="153"/>
      <c r="BZ3134" s="153"/>
      <c r="CA3134" s="152"/>
      <c r="CB3134" s="152"/>
    </row>
    <row r="3135" spans="1:80" s="87" customFormat="1" ht="15" x14ac:dyDescent="0.25">
      <c r="A3135" s="152"/>
      <c r="B3135" s="683"/>
      <c r="C3135" s="683"/>
      <c r="D3135" s="698"/>
      <c r="E3135" s="215"/>
      <c r="F3135" s="215"/>
      <c r="G3135" s="153"/>
      <c r="H3135" s="153"/>
      <c r="I3135" s="318">
        <v>20</v>
      </c>
      <c r="J3135" s="318">
        <v>30</v>
      </c>
      <c r="K3135" s="150">
        <v>1</v>
      </c>
      <c r="L3135" s="656">
        <v>10</v>
      </c>
      <c r="M3135" s="663">
        <v>35577</v>
      </c>
      <c r="N3135" s="600">
        <v>252.83199999999999</v>
      </c>
      <c r="O3135" s="604">
        <v>2.2565789999999999</v>
      </c>
      <c r="P3135" s="150"/>
      <c r="Q3135" s="250">
        <v>0.48499999999999999</v>
      </c>
      <c r="R3135" s="250">
        <v>0.14899999999999999</v>
      </c>
      <c r="S3135" s="250">
        <v>1.4999999999999999E-2</v>
      </c>
      <c r="T3135" s="250">
        <v>0.02</v>
      </c>
      <c r="U3135" s="250">
        <v>0.04</v>
      </c>
      <c r="V3135" s="250">
        <v>8.5000000000000006E-2</v>
      </c>
      <c r="W3135" s="250">
        <v>0.13400000000000001</v>
      </c>
      <c r="X3135" s="250">
        <v>6.8000000000000005E-2</v>
      </c>
      <c r="Y3135" s="250">
        <v>4.0000000000000001E-3</v>
      </c>
      <c r="Z3135" s="150">
        <v>51</v>
      </c>
      <c r="AA3135" s="150">
        <v>29.84</v>
      </c>
      <c r="AB3135" s="152"/>
      <c r="AC3135" s="152"/>
      <c r="AD3135" s="223">
        <v>63.091529999999999</v>
      </c>
      <c r="AE3135" s="223">
        <v>1.484562886</v>
      </c>
      <c r="AF3135" s="223">
        <v>93.660375500000001</v>
      </c>
      <c r="AG3135" s="223">
        <v>2.5725394499999998</v>
      </c>
      <c r="AH3135" s="341"/>
      <c r="AI3135" s="218"/>
      <c r="AJ3135" s="218"/>
      <c r="AK3135" s="153"/>
      <c r="AL3135" s="152"/>
      <c r="AM3135" s="152"/>
      <c r="AN3135" s="152"/>
      <c r="AO3135" s="152"/>
      <c r="AP3135" s="152"/>
      <c r="AQ3135" s="152"/>
      <c r="AR3135" s="152"/>
      <c r="AS3135" s="152"/>
      <c r="AT3135" s="152"/>
      <c r="AU3135" s="153"/>
      <c r="AV3135" s="479"/>
      <c r="AW3135" s="479"/>
      <c r="AX3135" s="442"/>
      <c r="AY3135" s="153"/>
      <c r="AZ3135" s="152"/>
      <c r="BA3135" s="152"/>
      <c r="BB3135" s="152"/>
      <c r="BC3135" s="152"/>
      <c r="BD3135" s="152"/>
      <c r="BE3135" s="152"/>
      <c r="BF3135" s="152"/>
      <c r="BG3135" s="152"/>
      <c r="BH3135" s="152"/>
      <c r="BI3135" s="153"/>
      <c r="BJ3135" s="153"/>
      <c r="BK3135" s="153"/>
      <c r="BL3135" s="153"/>
      <c r="BM3135" s="153"/>
      <c r="BN3135" s="153"/>
      <c r="BO3135" s="153"/>
      <c r="BP3135" s="153"/>
      <c r="BQ3135" s="153"/>
      <c r="BR3135" s="153"/>
      <c r="BS3135" s="153"/>
      <c r="BT3135" s="153"/>
      <c r="BU3135" s="153"/>
      <c r="BV3135" s="153"/>
      <c r="BW3135" s="153"/>
      <c r="BX3135" s="153"/>
      <c r="BY3135" s="153"/>
      <c r="BZ3135" s="153"/>
      <c r="CA3135" s="152"/>
      <c r="CB3135" s="152"/>
    </row>
    <row r="3136" spans="1:80" s="87" customFormat="1" ht="15" x14ac:dyDescent="0.25">
      <c r="A3136" s="152"/>
      <c r="B3136" s="683"/>
      <c r="C3136" s="683"/>
      <c r="D3136" s="698"/>
      <c r="E3136" s="215"/>
      <c r="F3136" s="215"/>
      <c r="G3136" s="153"/>
      <c r="H3136" s="153"/>
      <c r="I3136" s="318">
        <v>20</v>
      </c>
      <c r="J3136" s="318">
        <v>30</v>
      </c>
      <c r="K3136" s="150">
        <v>1</v>
      </c>
      <c r="L3136" s="656">
        <v>10</v>
      </c>
      <c r="M3136" s="663">
        <v>35578</v>
      </c>
      <c r="N3136" s="600">
        <v>235.845</v>
      </c>
      <c r="O3136" s="604">
        <v>4.2087820000000002</v>
      </c>
      <c r="P3136" s="150"/>
      <c r="Q3136" s="250">
        <v>0.44799999999999995</v>
      </c>
      <c r="R3136" s="250">
        <v>0.187</v>
      </c>
      <c r="S3136" s="250">
        <v>7.0999999999999994E-2</v>
      </c>
      <c r="T3136" s="250">
        <v>3.4000000000000002E-2</v>
      </c>
      <c r="U3136" s="250">
        <v>3.9E-2</v>
      </c>
      <c r="V3136" s="250">
        <v>7.400000000000001E-2</v>
      </c>
      <c r="W3136" s="250">
        <v>0.106</v>
      </c>
      <c r="X3136" s="250">
        <v>3.7999999999999999E-2</v>
      </c>
      <c r="Y3136" s="250">
        <v>3.0000000000000001E-3</v>
      </c>
      <c r="Z3136" s="150">
        <v>65</v>
      </c>
      <c r="AA3136" s="150">
        <v>26.39</v>
      </c>
      <c r="AB3136" s="152"/>
      <c r="AC3136" s="152"/>
      <c r="AD3136" s="223"/>
      <c r="AE3136" s="223"/>
      <c r="AF3136" s="223"/>
      <c r="AG3136" s="223"/>
      <c r="AH3136" s="341"/>
      <c r="AI3136" s="218"/>
      <c r="AJ3136" s="218"/>
      <c r="AK3136" s="153"/>
      <c r="AL3136" s="152"/>
      <c r="AM3136" s="152"/>
      <c r="AN3136" s="152"/>
      <c r="AO3136" s="152"/>
      <c r="AP3136" s="152"/>
      <c r="AQ3136" s="152"/>
      <c r="AR3136" s="152"/>
      <c r="AS3136" s="152"/>
      <c r="AT3136" s="152"/>
      <c r="AU3136" s="153"/>
      <c r="AV3136" s="479"/>
      <c r="AW3136" s="479"/>
      <c r="AX3136" s="442"/>
      <c r="AY3136" s="153"/>
      <c r="AZ3136" s="152"/>
      <c r="BA3136" s="152"/>
      <c r="BB3136" s="152"/>
      <c r="BC3136" s="152"/>
      <c r="BD3136" s="152"/>
      <c r="BE3136" s="152"/>
      <c r="BF3136" s="152"/>
      <c r="BG3136" s="152"/>
      <c r="BH3136" s="152"/>
      <c r="BI3136" s="153"/>
      <c r="BJ3136" s="153"/>
      <c r="BK3136" s="153"/>
      <c r="BL3136" s="153"/>
      <c r="BM3136" s="153"/>
      <c r="BN3136" s="153"/>
      <c r="BO3136" s="153"/>
      <c r="BP3136" s="153"/>
      <c r="BQ3136" s="153"/>
      <c r="BR3136" s="153"/>
      <c r="BS3136" s="153"/>
      <c r="BT3136" s="153"/>
      <c r="BU3136" s="153"/>
      <c r="BV3136" s="153"/>
      <c r="BW3136" s="153"/>
      <c r="BX3136" s="153"/>
      <c r="BY3136" s="153"/>
      <c r="BZ3136" s="153"/>
      <c r="CA3136" s="152"/>
      <c r="CB3136" s="152"/>
    </row>
    <row r="3137" spans="1:80" s="87" customFormat="1" ht="15" x14ac:dyDescent="0.25">
      <c r="A3137" s="152"/>
      <c r="B3137" s="683"/>
      <c r="C3137" s="683"/>
      <c r="D3137" s="698"/>
      <c r="E3137" s="215"/>
      <c r="F3137" s="215"/>
      <c r="G3137" s="153"/>
      <c r="H3137" s="153"/>
      <c r="I3137" s="318">
        <v>20</v>
      </c>
      <c r="J3137" s="318">
        <v>30</v>
      </c>
      <c r="K3137" s="150">
        <v>1</v>
      </c>
      <c r="L3137" s="656">
        <v>10</v>
      </c>
      <c r="M3137" s="663">
        <v>35578</v>
      </c>
      <c r="N3137" s="600">
        <v>235.845</v>
      </c>
      <c r="O3137" s="604">
        <v>17.10802</v>
      </c>
      <c r="P3137" s="150"/>
      <c r="Q3137" s="250">
        <v>0.21</v>
      </c>
      <c r="R3137" s="250">
        <v>0.25800000000000001</v>
      </c>
      <c r="S3137" s="250">
        <v>0.16399999999999998</v>
      </c>
      <c r="T3137" s="250">
        <v>0.107</v>
      </c>
      <c r="U3137" s="250">
        <v>0.10099999999999999</v>
      </c>
      <c r="V3137" s="250">
        <v>0.10400000000000001</v>
      </c>
      <c r="W3137" s="250">
        <v>4.8000000000000001E-2</v>
      </c>
      <c r="X3137" s="250">
        <v>8.0000000000000002E-3</v>
      </c>
      <c r="Y3137" s="250">
        <v>1E-3</v>
      </c>
      <c r="Z3137" s="150">
        <v>57</v>
      </c>
      <c r="AA3137" s="150">
        <v>13.92</v>
      </c>
      <c r="AB3137" s="152"/>
      <c r="AC3137" s="152"/>
      <c r="AD3137" s="223"/>
      <c r="AE3137" s="223"/>
      <c r="AF3137" s="223"/>
      <c r="AG3137" s="223"/>
      <c r="AH3137" s="341"/>
      <c r="AI3137" s="218"/>
      <c r="AJ3137" s="218"/>
      <c r="AK3137" s="153"/>
      <c r="AL3137" s="152"/>
      <c r="AM3137" s="152"/>
      <c r="AN3137" s="152"/>
      <c r="AO3137" s="152"/>
      <c r="AP3137" s="152"/>
      <c r="AQ3137" s="152"/>
      <c r="AR3137" s="152"/>
      <c r="AS3137" s="152"/>
      <c r="AT3137" s="152"/>
      <c r="AU3137" s="153"/>
      <c r="AV3137" s="479"/>
      <c r="AW3137" s="479"/>
      <c r="AX3137" s="442"/>
      <c r="AY3137" s="153"/>
      <c r="AZ3137" s="152"/>
      <c r="BA3137" s="152"/>
      <c r="BB3137" s="152"/>
      <c r="BC3137" s="152"/>
      <c r="BD3137" s="152"/>
      <c r="BE3137" s="152"/>
      <c r="BF3137" s="152"/>
      <c r="BG3137" s="152"/>
      <c r="BH3137" s="152"/>
      <c r="BI3137" s="153"/>
      <c r="BJ3137" s="153"/>
      <c r="BK3137" s="153"/>
      <c r="BL3137" s="153"/>
      <c r="BM3137" s="153"/>
      <c r="BN3137" s="153"/>
      <c r="BO3137" s="153"/>
      <c r="BP3137" s="153"/>
      <c r="BQ3137" s="153"/>
      <c r="BR3137" s="153"/>
      <c r="BS3137" s="153"/>
      <c r="BT3137" s="153"/>
      <c r="BU3137" s="153"/>
      <c r="BV3137" s="153"/>
      <c r="BW3137" s="153"/>
      <c r="BX3137" s="153"/>
      <c r="BY3137" s="153"/>
      <c r="BZ3137" s="153"/>
      <c r="CA3137" s="152"/>
      <c r="CB3137" s="152"/>
    </row>
    <row r="3138" spans="1:80" s="87" customFormat="1" ht="15" x14ac:dyDescent="0.25">
      <c r="A3138" s="152"/>
      <c r="B3138" s="683"/>
      <c r="C3138" s="683"/>
      <c r="D3138" s="698"/>
      <c r="E3138" s="215"/>
      <c r="F3138" s="215"/>
      <c r="G3138" s="153"/>
      <c r="H3138" s="153"/>
      <c r="I3138" s="318">
        <v>20</v>
      </c>
      <c r="J3138" s="318">
        <v>30</v>
      </c>
      <c r="K3138" s="150">
        <v>1</v>
      </c>
      <c r="L3138" s="656">
        <v>10</v>
      </c>
      <c r="M3138" s="663">
        <v>35579</v>
      </c>
      <c r="N3138" s="600">
        <v>250.001</v>
      </c>
      <c r="O3138" s="604">
        <v>1.035927</v>
      </c>
      <c r="P3138" s="150"/>
      <c r="Q3138" s="250"/>
      <c r="R3138" s="250">
        <v>3.3000000000000002E-2</v>
      </c>
      <c r="S3138" s="250">
        <v>7.8E-2</v>
      </c>
      <c r="T3138" s="250">
        <v>0.04</v>
      </c>
      <c r="U3138" s="250">
        <v>8.4000000000000005E-2</v>
      </c>
      <c r="V3138" s="250">
        <v>0.21299999999999999</v>
      </c>
      <c r="W3138" s="250">
        <v>0.34399999999999997</v>
      </c>
      <c r="X3138" s="250">
        <v>0.19500000000000001</v>
      </c>
      <c r="Y3138" s="250">
        <v>1.3999999999999999E-2</v>
      </c>
      <c r="Z3138" s="150">
        <v>22</v>
      </c>
      <c r="AA3138" s="150">
        <v>0.9</v>
      </c>
      <c r="AB3138" s="152"/>
      <c r="AC3138" s="152"/>
      <c r="AD3138" s="223"/>
      <c r="AE3138" s="223"/>
      <c r="AF3138" s="223"/>
      <c r="AG3138" s="223"/>
      <c r="AH3138" s="341"/>
      <c r="AI3138" s="218"/>
      <c r="AJ3138" s="218"/>
      <c r="AK3138" s="153"/>
      <c r="AL3138" s="152"/>
      <c r="AM3138" s="152"/>
      <c r="AN3138" s="152"/>
      <c r="AO3138" s="152"/>
      <c r="AP3138" s="152"/>
      <c r="AQ3138" s="152"/>
      <c r="AR3138" s="152"/>
      <c r="AS3138" s="152"/>
      <c r="AT3138" s="152"/>
      <c r="AU3138" s="153"/>
      <c r="AV3138" s="479"/>
      <c r="AW3138" s="479"/>
      <c r="AX3138" s="442"/>
      <c r="AY3138" s="153"/>
      <c r="AZ3138" s="152"/>
      <c r="BA3138" s="152"/>
      <c r="BB3138" s="152"/>
      <c r="BC3138" s="152"/>
      <c r="BD3138" s="152"/>
      <c r="BE3138" s="152"/>
      <c r="BF3138" s="152"/>
      <c r="BG3138" s="152"/>
      <c r="BH3138" s="152"/>
      <c r="BI3138" s="153"/>
      <c r="BJ3138" s="153"/>
      <c r="BK3138" s="153"/>
      <c r="BL3138" s="153"/>
      <c r="BM3138" s="153"/>
      <c r="BN3138" s="153"/>
      <c r="BO3138" s="153"/>
      <c r="BP3138" s="153"/>
      <c r="BQ3138" s="153"/>
      <c r="BR3138" s="153"/>
      <c r="BS3138" s="153"/>
      <c r="BT3138" s="153"/>
      <c r="BU3138" s="153"/>
      <c r="BV3138" s="153"/>
      <c r="BW3138" s="153"/>
      <c r="BX3138" s="153"/>
      <c r="BY3138" s="153"/>
      <c r="BZ3138" s="153"/>
      <c r="CA3138" s="152"/>
      <c r="CB3138" s="152"/>
    </row>
    <row r="3139" spans="1:80" s="87" customFormat="1" ht="15" x14ac:dyDescent="0.25">
      <c r="A3139" s="152"/>
      <c r="B3139" s="683"/>
      <c r="C3139" s="683"/>
      <c r="D3139" s="698"/>
      <c r="E3139" s="215"/>
      <c r="F3139" s="215"/>
      <c r="G3139" s="153"/>
      <c r="H3139" s="153"/>
      <c r="I3139" s="318">
        <v>20</v>
      </c>
      <c r="J3139" s="318">
        <v>30</v>
      </c>
      <c r="K3139" s="150">
        <v>1</v>
      </c>
      <c r="L3139" s="656">
        <v>10</v>
      </c>
      <c r="M3139" s="663">
        <v>35579</v>
      </c>
      <c r="N3139" s="600">
        <v>251.983</v>
      </c>
      <c r="O3139" s="604">
        <v>6.3184199999999997</v>
      </c>
      <c r="P3139" s="150"/>
      <c r="Q3139" s="250">
        <v>0.23800000000000002</v>
      </c>
      <c r="R3139" s="250">
        <v>0.309</v>
      </c>
      <c r="S3139" s="250">
        <v>0.11599999999999999</v>
      </c>
      <c r="T3139" s="250">
        <v>4.4999999999999998E-2</v>
      </c>
      <c r="U3139" s="250">
        <v>5.5999999999999994E-2</v>
      </c>
      <c r="V3139" s="250">
        <v>9.3000000000000013E-2</v>
      </c>
      <c r="W3139" s="250">
        <v>0.10099999999999999</v>
      </c>
      <c r="X3139" s="250">
        <v>3.7999999999999999E-2</v>
      </c>
      <c r="Y3139" s="250">
        <v>3.0000000000000001E-3</v>
      </c>
      <c r="Z3139" s="150">
        <v>52</v>
      </c>
      <c r="AA3139" s="150">
        <v>17.82</v>
      </c>
      <c r="AB3139" s="152"/>
      <c r="AC3139" s="152"/>
      <c r="AD3139" s="223"/>
      <c r="AE3139" s="223"/>
      <c r="AF3139" s="223"/>
      <c r="AG3139" s="223"/>
      <c r="AH3139" s="341"/>
      <c r="AI3139" s="218"/>
      <c r="AJ3139" s="218"/>
      <c r="AK3139" s="153"/>
      <c r="AL3139" s="152"/>
      <c r="AM3139" s="152"/>
      <c r="AN3139" s="152"/>
      <c r="AO3139" s="152"/>
      <c r="AP3139" s="152"/>
      <c r="AQ3139" s="152"/>
      <c r="AR3139" s="152"/>
      <c r="AS3139" s="152"/>
      <c r="AT3139" s="152"/>
      <c r="AU3139" s="153"/>
      <c r="AV3139" s="479"/>
      <c r="AW3139" s="479"/>
      <c r="AX3139" s="442"/>
      <c r="AY3139" s="153"/>
      <c r="AZ3139" s="152"/>
      <c r="BA3139" s="152"/>
      <c r="BB3139" s="152"/>
      <c r="BC3139" s="152"/>
      <c r="BD3139" s="152"/>
      <c r="BE3139" s="152"/>
      <c r="BF3139" s="152"/>
      <c r="BG3139" s="152"/>
      <c r="BH3139" s="152"/>
      <c r="BI3139" s="153"/>
      <c r="BJ3139" s="153"/>
      <c r="BK3139" s="153"/>
      <c r="BL3139" s="153"/>
      <c r="BM3139" s="153"/>
      <c r="BN3139" s="153"/>
      <c r="BO3139" s="153"/>
      <c r="BP3139" s="153"/>
      <c r="BQ3139" s="153"/>
      <c r="BR3139" s="153"/>
      <c r="BS3139" s="153"/>
      <c r="BT3139" s="153"/>
      <c r="BU3139" s="153"/>
      <c r="BV3139" s="153"/>
      <c r="BW3139" s="153"/>
      <c r="BX3139" s="153"/>
      <c r="BY3139" s="153"/>
      <c r="BZ3139" s="153"/>
      <c r="CA3139" s="152"/>
      <c r="CB3139" s="152"/>
    </row>
    <row r="3140" spans="1:80" s="87" customFormat="1" ht="15" x14ac:dyDescent="0.25">
      <c r="A3140" s="152"/>
      <c r="B3140" s="683"/>
      <c r="C3140" s="683"/>
      <c r="D3140" s="698"/>
      <c r="E3140" s="215"/>
      <c r="F3140" s="215"/>
      <c r="G3140" s="153"/>
      <c r="H3140" s="153"/>
      <c r="I3140" s="318">
        <v>20</v>
      </c>
      <c r="J3140" s="318">
        <v>30</v>
      </c>
      <c r="K3140" s="150">
        <v>1</v>
      </c>
      <c r="L3140" s="656">
        <v>10</v>
      </c>
      <c r="M3140" s="663">
        <v>35580</v>
      </c>
      <c r="N3140" s="600">
        <v>280.01299999999998</v>
      </c>
      <c r="O3140" s="604">
        <v>2.3720319999999999</v>
      </c>
      <c r="P3140" s="150"/>
      <c r="Q3140" s="250"/>
      <c r="R3140" s="250">
        <v>0.13800000000000001</v>
      </c>
      <c r="S3140" s="250">
        <v>4.0999999999999995E-2</v>
      </c>
      <c r="T3140" s="250">
        <v>5.5E-2</v>
      </c>
      <c r="U3140" s="250">
        <v>0.105</v>
      </c>
      <c r="V3140" s="250">
        <v>0.23499999999999999</v>
      </c>
      <c r="W3140" s="250">
        <v>0.28100000000000003</v>
      </c>
      <c r="X3140" s="250">
        <v>0.13200000000000001</v>
      </c>
      <c r="Y3140" s="250">
        <v>1.2E-2</v>
      </c>
      <c r="Z3140" s="150">
        <v>32</v>
      </c>
      <c r="AA3140" s="150">
        <v>1.25</v>
      </c>
      <c r="AB3140" s="152"/>
      <c r="AC3140" s="152"/>
      <c r="AD3140" s="223">
        <v>64.158294999999995</v>
      </c>
      <c r="AE3140" s="223">
        <v>1.570464863</v>
      </c>
      <c r="AF3140" s="223">
        <v>100.7551548</v>
      </c>
      <c r="AG3140" s="223">
        <v>2.6808312550000002</v>
      </c>
      <c r="AH3140" s="341"/>
      <c r="AI3140" s="218"/>
      <c r="AJ3140" s="218"/>
      <c r="AK3140" s="153"/>
      <c r="AL3140" s="152"/>
      <c r="AM3140" s="152"/>
      <c r="AN3140" s="152"/>
      <c r="AO3140" s="152"/>
      <c r="AP3140" s="152"/>
      <c r="AQ3140" s="152"/>
      <c r="AR3140" s="152"/>
      <c r="AS3140" s="152"/>
      <c r="AT3140" s="152"/>
      <c r="AU3140" s="153"/>
      <c r="AV3140" s="479"/>
      <c r="AW3140" s="479"/>
      <c r="AX3140" s="442"/>
      <c r="AY3140" s="153"/>
      <c r="AZ3140" s="152"/>
      <c r="BA3140" s="152"/>
      <c r="BB3140" s="152"/>
      <c r="BC3140" s="152"/>
      <c r="BD3140" s="152"/>
      <c r="BE3140" s="152"/>
      <c r="BF3140" s="152"/>
      <c r="BG3140" s="152"/>
      <c r="BH3140" s="152"/>
      <c r="BI3140" s="153"/>
      <c r="BJ3140" s="153"/>
      <c r="BK3140" s="153"/>
      <c r="BL3140" s="153"/>
      <c r="BM3140" s="153"/>
      <c r="BN3140" s="153"/>
      <c r="BO3140" s="153"/>
      <c r="BP3140" s="153"/>
      <c r="BQ3140" s="153"/>
      <c r="BR3140" s="153"/>
      <c r="BS3140" s="153"/>
      <c r="BT3140" s="153"/>
      <c r="BU3140" s="153"/>
      <c r="BV3140" s="153"/>
      <c r="BW3140" s="153"/>
      <c r="BX3140" s="153"/>
      <c r="BY3140" s="153"/>
      <c r="BZ3140" s="153"/>
      <c r="CA3140" s="152"/>
      <c r="CB3140" s="152"/>
    </row>
    <row r="3141" spans="1:80" s="87" customFormat="1" ht="15" x14ac:dyDescent="0.25">
      <c r="A3141" s="152"/>
      <c r="B3141" s="683"/>
      <c r="C3141" s="683"/>
      <c r="D3141" s="698"/>
      <c r="E3141" s="215"/>
      <c r="F3141" s="215"/>
      <c r="G3141" s="153"/>
      <c r="H3141" s="153"/>
      <c r="I3141" s="318">
        <v>20</v>
      </c>
      <c r="J3141" s="318">
        <v>30</v>
      </c>
      <c r="K3141" s="150">
        <v>1</v>
      </c>
      <c r="L3141" s="656">
        <v>10</v>
      </c>
      <c r="M3141" s="663">
        <v>35580</v>
      </c>
      <c r="N3141" s="600">
        <v>283.12700000000001</v>
      </c>
      <c r="O3141" s="604">
        <v>7.8193080000000004</v>
      </c>
      <c r="P3141" s="150"/>
      <c r="Q3141" s="250">
        <v>1.2E-2</v>
      </c>
      <c r="R3141" s="250">
        <v>0.08</v>
      </c>
      <c r="S3141" s="250">
        <v>0.14099999999999999</v>
      </c>
      <c r="T3141" s="250">
        <v>0.18600000000000003</v>
      </c>
      <c r="U3141" s="250">
        <v>0.20699999999999999</v>
      </c>
      <c r="V3141" s="250">
        <v>0.191</v>
      </c>
      <c r="W3141" s="250">
        <v>0.13</v>
      </c>
      <c r="X3141" s="250">
        <v>4.8000000000000001E-2</v>
      </c>
      <c r="Y3141" s="250">
        <v>4.0000000000000001E-3</v>
      </c>
      <c r="Z3141" s="150">
        <v>33</v>
      </c>
      <c r="AA3141" s="150">
        <v>3.06</v>
      </c>
      <c r="AB3141" s="152"/>
      <c r="AC3141" s="152"/>
      <c r="AD3141" s="223">
        <v>64.158294999999995</v>
      </c>
      <c r="AE3141" s="223">
        <v>1.570464863</v>
      </c>
      <c r="AF3141" s="223">
        <v>100.7551548</v>
      </c>
      <c r="AG3141" s="223">
        <v>2.6808312550000002</v>
      </c>
      <c r="AH3141" s="341"/>
      <c r="AI3141" s="218"/>
      <c r="AJ3141" s="218"/>
      <c r="AK3141" s="153"/>
      <c r="AL3141" s="152"/>
      <c r="AM3141" s="152"/>
      <c r="AN3141" s="152"/>
      <c r="AO3141" s="152"/>
      <c r="AP3141" s="152"/>
      <c r="AQ3141" s="152"/>
      <c r="AR3141" s="152"/>
      <c r="AS3141" s="152"/>
      <c r="AT3141" s="152"/>
      <c r="AU3141" s="153"/>
      <c r="AV3141" s="479"/>
      <c r="AW3141" s="479"/>
      <c r="AX3141" s="442"/>
      <c r="AY3141" s="153"/>
      <c r="AZ3141" s="152"/>
      <c r="BA3141" s="152"/>
      <c r="BB3141" s="152"/>
      <c r="BC3141" s="152"/>
      <c r="BD3141" s="152"/>
      <c r="BE3141" s="152"/>
      <c r="BF3141" s="152"/>
      <c r="BG3141" s="152"/>
      <c r="BH3141" s="152"/>
      <c r="BI3141" s="153"/>
      <c r="BJ3141" s="153"/>
      <c r="BK3141" s="153"/>
      <c r="BL3141" s="153"/>
      <c r="BM3141" s="153"/>
      <c r="BN3141" s="153"/>
      <c r="BO3141" s="153"/>
      <c r="BP3141" s="153"/>
      <c r="BQ3141" s="153"/>
      <c r="BR3141" s="153"/>
      <c r="BS3141" s="153"/>
      <c r="BT3141" s="153"/>
      <c r="BU3141" s="153"/>
      <c r="BV3141" s="153"/>
      <c r="BW3141" s="153"/>
      <c r="BX3141" s="153"/>
      <c r="BY3141" s="153"/>
      <c r="BZ3141" s="153"/>
      <c r="CA3141" s="152"/>
      <c r="CB3141" s="152"/>
    </row>
    <row r="3142" spans="1:80" s="87" customFormat="1" ht="15" x14ac:dyDescent="0.25">
      <c r="A3142" s="152"/>
      <c r="B3142" s="683"/>
      <c r="C3142" s="683"/>
      <c r="D3142" s="698"/>
      <c r="E3142" s="215"/>
      <c r="F3142" s="215"/>
      <c r="G3142" s="153"/>
      <c r="H3142" s="153"/>
      <c r="I3142" s="318">
        <v>19</v>
      </c>
      <c r="J3142" s="318">
        <v>30</v>
      </c>
      <c r="K3142" s="150">
        <v>1</v>
      </c>
      <c r="L3142" s="656">
        <v>9.5</v>
      </c>
      <c r="M3142" s="663">
        <v>35581</v>
      </c>
      <c r="N3142" s="600">
        <v>308.608</v>
      </c>
      <c r="O3142" s="604">
        <v>11.86016</v>
      </c>
      <c r="P3142" s="150"/>
      <c r="Q3142" s="250">
        <v>0.153</v>
      </c>
      <c r="R3142" s="250">
        <v>0.32</v>
      </c>
      <c r="S3142" s="250">
        <v>0.17800000000000002</v>
      </c>
      <c r="T3142" s="250">
        <v>6.4000000000000001E-2</v>
      </c>
      <c r="U3142" s="250">
        <v>5.4000000000000006E-2</v>
      </c>
      <c r="V3142" s="250">
        <v>9.6000000000000002E-2</v>
      </c>
      <c r="W3142" s="250">
        <v>9.6000000000000002E-2</v>
      </c>
      <c r="X3142" s="250">
        <v>3.5000000000000003E-2</v>
      </c>
      <c r="Y3142" s="250">
        <v>3.0000000000000001E-3</v>
      </c>
      <c r="Z3142" s="150">
        <v>50</v>
      </c>
      <c r="AA3142" s="150">
        <v>14.46</v>
      </c>
      <c r="AB3142" s="152"/>
      <c r="AC3142" s="152"/>
      <c r="AD3142" s="223"/>
      <c r="AE3142" s="223"/>
      <c r="AF3142" s="223"/>
      <c r="AG3142" s="223"/>
      <c r="AH3142" s="341"/>
      <c r="AI3142" s="218"/>
      <c r="AJ3142" s="218"/>
      <c r="AK3142" s="153"/>
      <c r="AL3142" s="152"/>
      <c r="AM3142" s="152"/>
      <c r="AN3142" s="152"/>
      <c r="AO3142" s="152"/>
      <c r="AP3142" s="152"/>
      <c r="AQ3142" s="152"/>
      <c r="AR3142" s="152"/>
      <c r="AS3142" s="152"/>
      <c r="AT3142" s="152"/>
      <c r="AU3142" s="153"/>
      <c r="AV3142" s="479"/>
      <c r="AW3142" s="479"/>
      <c r="AX3142" s="442"/>
      <c r="AY3142" s="153"/>
      <c r="AZ3142" s="152"/>
      <c r="BA3142" s="152"/>
      <c r="BB3142" s="152"/>
      <c r="BC3142" s="152"/>
      <c r="BD3142" s="152"/>
      <c r="BE3142" s="152"/>
      <c r="BF3142" s="152"/>
      <c r="BG3142" s="152"/>
      <c r="BH3142" s="152"/>
      <c r="BI3142" s="153"/>
      <c r="BJ3142" s="153"/>
      <c r="BK3142" s="153"/>
      <c r="BL3142" s="153"/>
      <c r="BM3142" s="153"/>
      <c r="BN3142" s="153"/>
      <c r="BO3142" s="153"/>
      <c r="BP3142" s="153"/>
      <c r="BQ3142" s="153"/>
      <c r="BR3142" s="153"/>
      <c r="BS3142" s="153"/>
      <c r="BT3142" s="153"/>
      <c r="BU3142" s="153"/>
      <c r="BV3142" s="153"/>
      <c r="BW3142" s="153"/>
      <c r="BX3142" s="153"/>
      <c r="BY3142" s="153"/>
      <c r="BZ3142" s="153"/>
      <c r="CA3142" s="152"/>
      <c r="CB3142" s="152"/>
    </row>
    <row r="3143" spans="1:80" s="87" customFormat="1" ht="15" x14ac:dyDescent="0.25">
      <c r="A3143" s="152"/>
      <c r="B3143" s="683"/>
      <c r="C3143" s="683"/>
      <c r="D3143" s="698"/>
      <c r="E3143" s="215"/>
      <c r="F3143" s="215"/>
      <c r="G3143" s="153"/>
      <c r="H3143" s="153"/>
      <c r="I3143" s="318">
        <v>19</v>
      </c>
      <c r="J3143" s="318">
        <v>30</v>
      </c>
      <c r="K3143" s="150">
        <v>1</v>
      </c>
      <c r="L3143" s="656">
        <v>9.5</v>
      </c>
      <c r="M3143" s="663">
        <v>35581</v>
      </c>
      <c r="N3143" s="600">
        <v>314.27100000000002</v>
      </c>
      <c r="O3143" s="604">
        <v>15.21879</v>
      </c>
      <c r="P3143" s="150"/>
      <c r="Q3143" s="250">
        <v>0.19800000000000001</v>
      </c>
      <c r="R3143" s="250">
        <v>0.217</v>
      </c>
      <c r="S3143" s="250">
        <v>0.14599999999999999</v>
      </c>
      <c r="T3143" s="250">
        <v>8.5999999999999993E-2</v>
      </c>
      <c r="U3143" s="250">
        <v>9.4E-2</v>
      </c>
      <c r="V3143" s="250">
        <v>0.12</v>
      </c>
      <c r="W3143" s="250">
        <v>0.10300000000000001</v>
      </c>
      <c r="X3143" s="250">
        <v>3.3000000000000002E-2</v>
      </c>
      <c r="Y3143" s="250">
        <v>3.0000000000000001E-3</v>
      </c>
      <c r="Z3143" s="150">
        <v>56</v>
      </c>
      <c r="AA3143" s="150">
        <v>10.69</v>
      </c>
      <c r="AB3143" s="152"/>
      <c r="AC3143" s="152"/>
      <c r="AD3143" s="223"/>
      <c r="AE3143" s="223"/>
      <c r="AF3143" s="223"/>
      <c r="AG3143" s="223"/>
      <c r="AH3143" s="341"/>
      <c r="AI3143" s="218"/>
      <c r="AJ3143" s="218"/>
      <c r="AK3143" s="153"/>
      <c r="AL3143" s="152"/>
      <c r="AM3143" s="152"/>
      <c r="AN3143" s="152"/>
      <c r="AO3143" s="152"/>
      <c r="AP3143" s="152"/>
      <c r="AQ3143" s="152"/>
      <c r="AR3143" s="152"/>
      <c r="AS3143" s="152"/>
      <c r="AT3143" s="152"/>
      <c r="AU3143" s="153"/>
      <c r="AV3143" s="479"/>
      <c r="AW3143" s="479"/>
      <c r="AX3143" s="442"/>
      <c r="AY3143" s="153"/>
      <c r="AZ3143" s="152"/>
      <c r="BA3143" s="152"/>
      <c r="BB3143" s="152"/>
      <c r="BC3143" s="152"/>
      <c r="BD3143" s="152"/>
      <c r="BE3143" s="152"/>
      <c r="BF3143" s="152"/>
      <c r="BG3143" s="152"/>
      <c r="BH3143" s="152"/>
      <c r="BI3143" s="153"/>
      <c r="BJ3143" s="153"/>
      <c r="BK3143" s="153"/>
      <c r="BL3143" s="153"/>
      <c r="BM3143" s="153"/>
      <c r="BN3143" s="153"/>
      <c r="BO3143" s="153"/>
      <c r="BP3143" s="153"/>
      <c r="BQ3143" s="153"/>
      <c r="BR3143" s="153"/>
      <c r="BS3143" s="153"/>
      <c r="BT3143" s="153"/>
      <c r="BU3143" s="153"/>
      <c r="BV3143" s="153"/>
      <c r="BW3143" s="153"/>
      <c r="BX3143" s="153"/>
      <c r="BY3143" s="153"/>
      <c r="BZ3143" s="153"/>
      <c r="CA3143" s="152"/>
      <c r="CB3143" s="152"/>
    </row>
    <row r="3144" spans="1:80" s="87" customFormat="1" ht="15" x14ac:dyDescent="0.25">
      <c r="A3144" s="152"/>
      <c r="B3144" s="683"/>
      <c r="C3144" s="683"/>
      <c r="D3144" s="698"/>
      <c r="E3144" s="215"/>
      <c r="F3144" s="215"/>
      <c r="G3144" s="153"/>
      <c r="H3144" s="153"/>
      <c r="I3144" s="318">
        <v>21</v>
      </c>
      <c r="J3144" s="318">
        <v>20</v>
      </c>
      <c r="K3144" s="150">
        <v>1</v>
      </c>
      <c r="L3144" s="656">
        <v>7</v>
      </c>
      <c r="M3144" s="663">
        <v>35583</v>
      </c>
      <c r="N3144" s="600">
        <v>342.584</v>
      </c>
      <c r="O3144" s="604">
        <v>3.8309359999999999</v>
      </c>
      <c r="P3144" s="150"/>
      <c r="Q3144" s="250">
        <v>0.192</v>
      </c>
      <c r="R3144" s="250">
        <v>0.14099999999999999</v>
      </c>
      <c r="S3144" s="250">
        <v>3.2000000000000001E-2</v>
      </c>
      <c r="T3144" s="250">
        <v>0.02</v>
      </c>
      <c r="U3144" s="250">
        <v>3.3000000000000002E-2</v>
      </c>
      <c r="V3144" s="250">
        <v>0.14899999999999999</v>
      </c>
      <c r="W3144" s="250">
        <v>0.29600000000000004</v>
      </c>
      <c r="X3144" s="250">
        <v>0.13100000000000001</v>
      </c>
      <c r="Y3144" s="250">
        <v>8.0000000000000002E-3</v>
      </c>
      <c r="Z3144" s="150">
        <v>40</v>
      </c>
      <c r="AA3144" s="150">
        <v>1.35</v>
      </c>
      <c r="AB3144" s="152"/>
      <c r="AC3144" s="152"/>
      <c r="AD3144" s="223"/>
      <c r="AE3144" s="223"/>
      <c r="AF3144" s="223"/>
      <c r="AG3144" s="223"/>
      <c r="AH3144" s="341"/>
      <c r="AI3144" s="218"/>
      <c r="AJ3144" s="218"/>
      <c r="AK3144" s="153"/>
      <c r="AL3144" s="152"/>
      <c r="AM3144" s="152"/>
      <c r="AN3144" s="152"/>
      <c r="AO3144" s="152"/>
      <c r="AP3144" s="152"/>
      <c r="AQ3144" s="152"/>
      <c r="AR3144" s="152"/>
      <c r="AS3144" s="152"/>
      <c r="AT3144" s="152"/>
      <c r="AU3144" s="153"/>
      <c r="AV3144" s="479"/>
      <c r="AW3144" s="479"/>
      <c r="AX3144" s="442"/>
      <c r="AY3144" s="153"/>
      <c r="AZ3144" s="152"/>
      <c r="BA3144" s="152"/>
      <c r="BB3144" s="152"/>
      <c r="BC3144" s="152"/>
      <c r="BD3144" s="152"/>
      <c r="BE3144" s="152"/>
      <c r="BF3144" s="152"/>
      <c r="BG3144" s="152"/>
      <c r="BH3144" s="152"/>
      <c r="BI3144" s="153"/>
      <c r="BJ3144" s="153"/>
      <c r="BK3144" s="153"/>
      <c r="BL3144" s="153"/>
      <c r="BM3144" s="153"/>
      <c r="BN3144" s="153"/>
      <c r="BO3144" s="153"/>
      <c r="BP3144" s="153"/>
      <c r="BQ3144" s="153"/>
      <c r="BR3144" s="153"/>
      <c r="BS3144" s="153"/>
      <c r="BT3144" s="153"/>
      <c r="BU3144" s="153"/>
      <c r="BV3144" s="153"/>
      <c r="BW3144" s="153"/>
      <c r="BX3144" s="153"/>
      <c r="BY3144" s="153"/>
      <c r="BZ3144" s="153"/>
      <c r="CA3144" s="152"/>
      <c r="CB3144" s="152"/>
    </row>
    <row r="3145" spans="1:80" s="87" customFormat="1" ht="15" x14ac:dyDescent="0.25">
      <c r="A3145" s="152"/>
      <c r="B3145" s="683"/>
      <c r="C3145" s="683"/>
      <c r="D3145" s="698"/>
      <c r="E3145" s="215"/>
      <c r="F3145" s="215"/>
      <c r="G3145" s="153"/>
      <c r="H3145" s="153"/>
      <c r="I3145" s="318">
        <v>21</v>
      </c>
      <c r="J3145" s="318">
        <v>20</v>
      </c>
      <c r="K3145" s="150">
        <v>1</v>
      </c>
      <c r="L3145" s="656">
        <v>7</v>
      </c>
      <c r="M3145" s="663">
        <v>35583</v>
      </c>
      <c r="N3145" s="600">
        <v>336.92099999999999</v>
      </c>
      <c r="O3145" s="604">
        <v>10.810589999999999</v>
      </c>
      <c r="P3145" s="250">
        <v>8.4000000000000005E-2</v>
      </c>
      <c r="Q3145" s="250">
        <v>0.19</v>
      </c>
      <c r="R3145" s="250">
        <v>0.188</v>
      </c>
      <c r="S3145" s="250">
        <v>0.105</v>
      </c>
      <c r="T3145" s="250">
        <v>7.2999999999999995E-2</v>
      </c>
      <c r="U3145" s="250">
        <v>6.0999999999999999E-2</v>
      </c>
      <c r="V3145" s="250">
        <v>0.111</v>
      </c>
      <c r="W3145" s="250">
        <v>0.13300000000000001</v>
      </c>
      <c r="X3145" s="250">
        <v>5.0999999999999997E-2</v>
      </c>
      <c r="Y3145" s="250">
        <v>4.0000000000000001E-3</v>
      </c>
      <c r="Z3145" s="150">
        <v>83</v>
      </c>
      <c r="AA3145" s="150">
        <v>12.45</v>
      </c>
      <c r="AB3145" s="152"/>
      <c r="AC3145" s="152"/>
      <c r="AD3145" s="223"/>
      <c r="AE3145" s="223"/>
      <c r="AF3145" s="223"/>
      <c r="AG3145" s="223"/>
      <c r="AH3145" s="341"/>
      <c r="AI3145" s="218"/>
      <c r="AJ3145" s="218"/>
      <c r="AK3145" s="153"/>
      <c r="AL3145" s="152"/>
      <c r="AM3145" s="152"/>
      <c r="AN3145" s="152"/>
      <c r="AO3145" s="152"/>
      <c r="AP3145" s="152"/>
      <c r="AQ3145" s="152"/>
      <c r="AR3145" s="152"/>
      <c r="AS3145" s="152"/>
      <c r="AT3145" s="152"/>
      <c r="AU3145" s="153"/>
      <c r="AV3145" s="479"/>
      <c r="AW3145" s="479"/>
      <c r="AX3145" s="442"/>
      <c r="AY3145" s="153"/>
      <c r="AZ3145" s="152"/>
      <c r="BA3145" s="152"/>
      <c r="BB3145" s="152"/>
      <c r="BC3145" s="152"/>
      <c r="BD3145" s="152"/>
      <c r="BE3145" s="152"/>
      <c r="BF3145" s="152"/>
      <c r="BG3145" s="152"/>
      <c r="BH3145" s="152"/>
      <c r="BI3145" s="153"/>
      <c r="BJ3145" s="153"/>
      <c r="BK3145" s="153"/>
      <c r="BL3145" s="153"/>
      <c r="BM3145" s="153"/>
      <c r="BN3145" s="153"/>
      <c r="BO3145" s="153"/>
      <c r="BP3145" s="153"/>
      <c r="BQ3145" s="153"/>
      <c r="BR3145" s="153"/>
      <c r="BS3145" s="153"/>
      <c r="BT3145" s="153"/>
      <c r="BU3145" s="153"/>
      <c r="BV3145" s="153"/>
      <c r="BW3145" s="153"/>
      <c r="BX3145" s="153"/>
      <c r="BY3145" s="153"/>
      <c r="BZ3145" s="153"/>
      <c r="CA3145" s="152"/>
      <c r="CB3145" s="152"/>
    </row>
    <row r="3146" spans="1:80" s="87" customFormat="1" ht="15" x14ac:dyDescent="0.25">
      <c r="A3146" s="152"/>
      <c r="B3146" s="683"/>
      <c r="C3146" s="683"/>
      <c r="D3146" s="698"/>
      <c r="E3146" s="215"/>
      <c r="F3146" s="215"/>
      <c r="G3146" s="153"/>
      <c r="H3146" s="153"/>
      <c r="I3146" s="318">
        <v>21</v>
      </c>
      <c r="J3146" s="318">
        <v>30</v>
      </c>
      <c r="K3146" s="150">
        <v>1</v>
      </c>
      <c r="L3146" s="656">
        <v>10.5</v>
      </c>
      <c r="M3146" s="663">
        <v>35584</v>
      </c>
      <c r="N3146" s="600">
        <v>317.10199999999998</v>
      </c>
      <c r="O3146" s="604">
        <v>20.5716</v>
      </c>
      <c r="P3146" s="150"/>
      <c r="Q3146" s="250">
        <v>0.159</v>
      </c>
      <c r="R3146" s="250">
        <v>0.26200000000000001</v>
      </c>
      <c r="S3146" s="250">
        <v>0.17600000000000002</v>
      </c>
      <c r="T3146" s="250">
        <v>0.115</v>
      </c>
      <c r="U3146" s="250">
        <v>0.105</v>
      </c>
      <c r="V3146" s="250">
        <v>9.5000000000000001E-2</v>
      </c>
      <c r="W3146" s="250">
        <v>6.4000000000000001E-2</v>
      </c>
      <c r="X3146" s="250">
        <v>2.2000000000000002E-2</v>
      </c>
      <c r="Y3146" s="250">
        <v>2E-3</v>
      </c>
      <c r="Z3146" s="150">
        <v>75</v>
      </c>
      <c r="AA3146" s="150">
        <v>11.72</v>
      </c>
      <c r="AB3146" s="152"/>
      <c r="AC3146" s="152"/>
      <c r="AD3146" s="223">
        <v>65.529849999999996</v>
      </c>
      <c r="AE3146" s="223">
        <v>1.7032799300000001</v>
      </c>
      <c r="AF3146" s="223">
        <v>111.61214099999999</v>
      </c>
      <c r="AG3146" s="223">
        <v>2.7396853929999998</v>
      </c>
      <c r="AH3146" s="341"/>
      <c r="AI3146" s="218"/>
      <c r="AJ3146" s="218"/>
      <c r="AK3146" s="153"/>
      <c r="AL3146" s="152"/>
      <c r="AM3146" s="152"/>
      <c r="AN3146" s="152"/>
      <c r="AO3146" s="152"/>
      <c r="AP3146" s="152"/>
      <c r="AQ3146" s="152"/>
      <c r="AR3146" s="152"/>
      <c r="AS3146" s="152"/>
      <c r="AT3146" s="152"/>
      <c r="AU3146" s="153"/>
      <c r="AV3146" s="479"/>
      <c r="AW3146" s="479"/>
      <c r="AX3146" s="442"/>
      <c r="AY3146" s="153"/>
      <c r="AZ3146" s="152"/>
      <c r="BA3146" s="152"/>
      <c r="BB3146" s="152"/>
      <c r="BC3146" s="152"/>
      <c r="BD3146" s="152"/>
      <c r="BE3146" s="152"/>
      <c r="BF3146" s="152"/>
      <c r="BG3146" s="152"/>
      <c r="BH3146" s="152"/>
      <c r="BI3146" s="153"/>
      <c r="BJ3146" s="153"/>
      <c r="BK3146" s="153"/>
      <c r="BL3146" s="153"/>
      <c r="BM3146" s="153"/>
      <c r="BN3146" s="153"/>
      <c r="BO3146" s="153"/>
      <c r="BP3146" s="153"/>
      <c r="BQ3146" s="153"/>
      <c r="BR3146" s="153"/>
      <c r="BS3146" s="153"/>
      <c r="BT3146" s="153"/>
      <c r="BU3146" s="153"/>
      <c r="BV3146" s="153"/>
      <c r="BW3146" s="153"/>
      <c r="BX3146" s="153"/>
      <c r="BY3146" s="153"/>
      <c r="BZ3146" s="153"/>
      <c r="CA3146" s="152"/>
      <c r="CB3146" s="152"/>
    </row>
    <row r="3147" spans="1:80" s="87" customFormat="1" ht="15" x14ac:dyDescent="0.25">
      <c r="A3147" s="152"/>
      <c r="B3147" s="683"/>
      <c r="C3147" s="683"/>
      <c r="D3147" s="698"/>
      <c r="E3147" s="215"/>
      <c r="F3147" s="215"/>
      <c r="G3147" s="153"/>
      <c r="H3147" s="153"/>
      <c r="I3147" s="318">
        <v>21</v>
      </c>
      <c r="J3147" s="318">
        <v>20</v>
      </c>
      <c r="K3147" s="150">
        <v>1</v>
      </c>
      <c r="L3147" s="656">
        <v>7</v>
      </c>
      <c r="M3147" s="663">
        <v>35584</v>
      </c>
      <c r="N3147" s="600">
        <v>317.10199999999998</v>
      </c>
      <c r="O3147" s="604">
        <v>3.3061500000000001</v>
      </c>
      <c r="P3147" s="150"/>
      <c r="Q3147" s="250">
        <v>0.23600000000000002</v>
      </c>
      <c r="R3147" s="250">
        <v>0.16</v>
      </c>
      <c r="S3147" s="250">
        <v>6.7000000000000004E-2</v>
      </c>
      <c r="T3147" s="250">
        <v>0.03</v>
      </c>
      <c r="U3147" s="250">
        <v>4.5999999999999999E-2</v>
      </c>
      <c r="V3147" s="250">
        <v>0.122</v>
      </c>
      <c r="W3147" s="250">
        <v>0.223</v>
      </c>
      <c r="X3147" s="250">
        <v>0.107</v>
      </c>
      <c r="Y3147" s="250">
        <v>8.0000000000000002E-3</v>
      </c>
      <c r="Z3147" s="150">
        <v>40</v>
      </c>
      <c r="AA3147" s="150">
        <v>3.65</v>
      </c>
      <c r="AB3147" s="152"/>
      <c r="AC3147" s="152"/>
      <c r="AD3147" s="223">
        <v>65.529849999999996</v>
      </c>
      <c r="AE3147" s="223">
        <v>1.7032799300000001</v>
      </c>
      <c r="AF3147" s="223">
        <v>111.61214099999999</v>
      </c>
      <c r="AG3147" s="223">
        <v>2.7396853929999998</v>
      </c>
      <c r="AH3147" s="341"/>
      <c r="AI3147" s="218"/>
      <c r="AJ3147" s="218"/>
      <c r="AK3147" s="153"/>
      <c r="AL3147" s="152"/>
      <c r="AM3147" s="152"/>
      <c r="AN3147" s="152"/>
      <c r="AO3147" s="152"/>
      <c r="AP3147" s="152"/>
      <c r="AQ3147" s="152"/>
      <c r="AR3147" s="152"/>
      <c r="AS3147" s="152"/>
      <c r="AT3147" s="152"/>
      <c r="AU3147" s="153"/>
      <c r="AV3147" s="479"/>
      <c r="AW3147" s="479"/>
      <c r="AX3147" s="442"/>
      <c r="AY3147" s="153"/>
      <c r="AZ3147" s="152"/>
      <c r="BA3147" s="152"/>
      <c r="BB3147" s="152"/>
      <c r="BC3147" s="152"/>
      <c r="BD3147" s="152"/>
      <c r="BE3147" s="152"/>
      <c r="BF3147" s="152"/>
      <c r="BG3147" s="152"/>
      <c r="BH3147" s="152"/>
      <c r="BI3147" s="153"/>
      <c r="BJ3147" s="153"/>
      <c r="BK3147" s="153"/>
      <c r="BL3147" s="153"/>
      <c r="BM3147" s="153"/>
      <c r="BN3147" s="153"/>
      <c r="BO3147" s="153"/>
      <c r="BP3147" s="153"/>
      <c r="BQ3147" s="153"/>
      <c r="BR3147" s="153"/>
      <c r="BS3147" s="153"/>
      <c r="BT3147" s="153"/>
      <c r="BU3147" s="153"/>
      <c r="BV3147" s="153"/>
      <c r="BW3147" s="153"/>
      <c r="BX3147" s="153"/>
      <c r="BY3147" s="153"/>
      <c r="BZ3147" s="153"/>
      <c r="CA3147" s="152"/>
      <c r="CB3147" s="152"/>
    </row>
    <row r="3148" spans="1:80" s="87" customFormat="1" ht="15" x14ac:dyDescent="0.25">
      <c r="A3148" s="152"/>
      <c r="B3148" s="683"/>
      <c r="C3148" s="683"/>
      <c r="D3148" s="698"/>
      <c r="E3148" s="215"/>
      <c r="F3148" s="215"/>
      <c r="G3148" s="153"/>
      <c r="H3148" s="153"/>
      <c r="I3148" s="318">
        <v>21</v>
      </c>
      <c r="J3148" s="318">
        <v>20</v>
      </c>
      <c r="K3148" s="150">
        <v>1</v>
      </c>
      <c r="L3148" s="656">
        <v>7</v>
      </c>
      <c r="M3148" s="663">
        <v>35585</v>
      </c>
      <c r="N3148" s="600">
        <v>328.42700000000002</v>
      </c>
      <c r="O3148" s="604">
        <v>4.6496019999999998</v>
      </c>
      <c r="P3148" s="150"/>
      <c r="Q3148" s="250"/>
      <c r="R3148" s="250">
        <v>5.2999999999999999E-2</v>
      </c>
      <c r="S3148" s="250">
        <v>9.3000000000000013E-2</v>
      </c>
      <c r="T3148" s="250">
        <v>0.114</v>
      </c>
      <c r="U3148" s="250">
        <v>0.14099999999999999</v>
      </c>
      <c r="V3148" s="250">
        <v>0.22899999999999998</v>
      </c>
      <c r="W3148" s="250">
        <v>0.26100000000000001</v>
      </c>
      <c r="X3148" s="250">
        <v>0.10199999999999999</v>
      </c>
      <c r="Y3148" s="250">
        <v>6.9999999999999993E-3</v>
      </c>
      <c r="Z3148" s="150">
        <v>28</v>
      </c>
      <c r="AA3148" s="150">
        <v>1.48</v>
      </c>
      <c r="AB3148" s="152"/>
      <c r="AC3148" s="152"/>
      <c r="AD3148" s="223"/>
      <c r="AE3148" s="223"/>
      <c r="AF3148" s="223"/>
      <c r="AG3148" s="223"/>
      <c r="AH3148" s="341"/>
      <c r="AI3148" s="218"/>
      <c r="AJ3148" s="218"/>
      <c r="AK3148" s="153"/>
      <c r="AL3148" s="152"/>
      <c r="AM3148" s="152"/>
      <c r="AN3148" s="152"/>
      <c r="AO3148" s="152"/>
      <c r="AP3148" s="152"/>
      <c r="AQ3148" s="152"/>
      <c r="AR3148" s="152"/>
      <c r="AS3148" s="152"/>
      <c r="AT3148" s="152"/>
      <c r="AU3148" s="153"/>
      <c r="AV3148" s="479"/>
      <c r="AW3148" s="479"/>
      <c r="AX3148" s="442"/>
      <c r="AY3148" s="153"/>
      <c r="AZ3148" s="152"/>
      <c r="BA3148" s="152"/>
      <c r="BB3148" s="152"/>
      <c r="BC3148" s="152"/>
      <c r="BD3148" s="152"/>
      <c r="BE3148" s="152"/>
      <c r="BF3148" s="152"/>
      <c r="BG3148" s="152"/>
      <c r="BH3148" s="152"/>
      <c r="BI3148" s="153"/>
      <c r="BJ3148" s="153"/>
      <c r="BK3148" s="153"/>
      <c r="BL3148" s="153"/>
      <c r="BM3148" s="153"/>
      <c r="BN3148" s="153"/>
      <c r="BO3148" s="153"/>
      <c r="BP3148" s="153"/>
      <c r="BQ3148" s="153"/>
      <c r="BR3148" s="153"/>
      <c r="BS3148" s="153"/>
      <c r="BT3148" s="153"/>
      <c r="BU3148" s="153"/>
      <c r="BV3148" s="153"/>
      <c r="BW3148" s="153"/>
      <c r="BX3148" s="153"/>
      <c r="BY3148" s="153"/>
      <c r="BZ3148" s="153"/>
      <c r="CA3148" s="152"/>
      <c r="CB3148" s="152"/>
    </row>
    <row r="3149" spans="1:80" s="87" customFormat="1" ht="15" x14ac:dyDescent="0.25">
      <c r="A3149" s="152"/>
      <c r="B3149" s="683"/>
      <c r="C3149" s="683"/>
      <c r="D3149" s="698"/>
      <c r="E3149" s="215"/>
      <c r="F3149" s="215"/>
      <c r="G3149" s="153"/>
      <c r="H3149" s="153"/>
      <c r="I3149" s="318">
        <v>21</v>
      </c>
      <c r="J3149" s="318">
        <v>20</v>
      </c>
      <c r="K3149" s="150">
        <v>1</v>
      </c>
      <c r="L3149" s="656">
        <v>7</v>
      </c>
      <c r="M3149" s="663">
        <v>35585</v>
      </c>
      <c r="N3149" s="600">
        <v>328.42700000000002</v>
      </c>
      <c r="O3149" s="604">
        <v>21.83109</v>
      </c>
      <c r="P3149" s="250">
        <v>5.7000000000000002E-2</v>
      </c>
      <c r="Q3149" s="250">
        <v>3.2000000000000001E-2</v>
      </c>
      <c r="R3149" s="250">
        <v>0.126</v>
      </c>
      <c r="S3149" s="250">
        <v>0.20499999999999999</v>
      </c>
      <c r="T3149" s="250">
        <v>0.21600000000000003</v>
      </c>
      <c r="U3149" s="250">
        <v>0.19500000000000001</v>
      </c>
      <c r="V3149" s="250">
        <v>0.105</v>
      </c>
      <c r="W3149" s="250">
        <v>4.4000000000000004E-2</v>
      </c>
      <c r="X3149" s="250">
        <v>1.8000000000000002E-2</v>
      </c>
      <c r="Y3149" s="250">
        <v>2E-3</v>
      </c>
      <c r="Z3149" s="150">
        <v>71</v>
      </c>
      <c r="AA3149" s="150">
        <v>6.19</v>
      </c>
      <c r="AB3149" s="152"/>
      <c r="AC3149" s="152"/>
      <c r="AD3149" s="223"/>
      <c r="AE3149" s="223"/>
      <c r="AF3149" s="223"/>
      <c r="AG3149" s="223"/>
      <c r="AH3149" s="341"/>
      <c r="AI3149" s="218"/>
      <c r="AJ3149" s="218"/>
      <c r="AK3149" s="153"/>
      <c r="AL3149" s="152"/>
      <c r="AM3149" s="152"/>
      <c r="AN3149" s="152"/>
      <c r="AO3149" s="152"/>
      <c r="AP3149" s="152"/>
      <c r="AQ3149" s="152"/>
      <c r="AR3149" s="152"/>
      <c r="AS3149" s="152"/>
      <c r="AT3149" s="152"/>
      <c r="AU3149" s="153"/>
      <c r="AV3149" s="479"/>
      <c r="AW3149" s="479"/>
      <c r="AX3149" s="442"/>
      <c r="AY3149" s="153"/>
      <c r="AZ3149" s="152"/>
      <c r="BA3149" s="152"/>
      <c r="BB3149" s="152"/>
      <c r="BC3149" s="152"/>
      <c r="BD3149" s="152"/>
      <c r="BE3149" s="152"/>
      <c r="BF3149" s="152"/>
      <c r="BG3149" s="152"/>
      <c r="BH3149" s="152"/>
      <c r="BI3149" s="153"/>
      <c r="BJ3149" s="153"/>
      <c r="BK3149" s="153"/>
      <c r="BL3149" s="153"/>
      <c r="BM3149" s="153"/>
      <c r="BN3149" s="153"/>
      <c r="BO3149" s="153"/>
      <c r="BP3149" s="153"/>
      <c r="BQ3149" s="153"/>
      <c r="BR3149" s="153"/>
      <c r="BS3149" s="153"/>
      <c r="BT3149" s="153"/>
      <c r="BU3149" s="153"/>
      <c r="BV3149" s="153"/>
      <c r="BW3149" s="153"/>
      <c r="BX3149" s="153"/>
      <c r="BY3149" s="153"/>
      <c r="BZ3149" s="153"/>
      <c r="CA3149" s="152"/>
      <c r="CB3149" s="152"/>
    </row>
    <row r="3150" spans="1:80" s="87" customFormat="1" ht="15" x14ac:dyDescent="0.25">
      <c r="A3150" s="152"/>
      <c r="B3150" s="683"/>
      <c r="C3150" s="683"/>
      <c r="D3150" s="698"/>
      <c r="E3150" s="215"/>
      <c r="F3150" s="215"/>
      <c r="G3150" s="153"/>
      <c r="H3150" s="153"/>
      <c r="I3150" s="318">
        <v>21</v>
      </c>
      <c r="J3150" s="318">
        <v>20</v>
      </c>
      <c r="K3150" s="150">
        <v>1</v>
      </c>
      <c r="L3150" s="656">
        <v>7</v>
      </c>
      <c r="M3150" s="663">
        <v>35586</v>
      </c>
      <c r="N3150" s="600">
        <v>339.75200000000001</v>
      </c>
      <c r="O3150" s="604">
        <v>5.8356170000000001</v>
      </c>
      <c r="P3150" s="250"/>
      <c r="Q3150" s="250">
        <v>0.111</v>
      </c>
      <c r="R3150" s="250">
        <v>0.253</v>
      </c>
      <c r="S3150" s="250">
        <v>0.125</v>
      </c>
      <c r="T3150" s="250">
        <v>8.1000000000000003E-2</v>
      </c>
      <c r="U3150" s="250">
        <v>7.0000000000000007E-2</v>
      </c>
      <c r="V3150" s="250">
        <v>0.11800000000000001</v>
      </c>
      <c r="W3150" s="250">
        <v>0.16699999999999998</v>
      </c>
      <c r="X3150" s="250">
        <v>7.0999999999999994E-2</v>
      </c>
      <c r="Y3150" s="250">
        <v>5.0000000000000001E-3</v>
      </c>
      <c r="Z3150" s="150"/>
      <c r="AA3150" s="150">
        <v>7.22</v>
      </c>
      <c r="AB3150" s="152"/>
      <c r="AC3150" s="152"/>
      <c r="AD3150" s="223"/>
      <c r="AE3150" s="223"/>
      <c r="AF3150" s="223"/>
      <c r="AG3150" s="223"/>
      <c r="AH3150" s="341"/>
      <c r="AI3150" s="218"/>
      <c r="AJ3150" s="218"/>
      <c r="AK3150" s="153"/>
      <c r="AL3150" s="152"/>
      <c r="AM3150" s="152"/>
      <c r="AN3150" s="152"/>
      <c r="AO3150" s="152"/>
      <c r="AP3150" s="152"/>
      <c r="AQ3150" s="152"/>
      <c r="AR3150" s="152"/>
      <c r="AS3150" s="152"/>
      <c r="AT3150" s="152"/>
      <c r="AU3150" s="153"/>
      <c r="AV3150" s="479"/>
      <c r="AW3150" s="479"/>
      <c r="AX3150" s="442"/>
      <c r="AY3150" s="153"/>
      <c r="AZ3150" s="152"/>
      <c r="BA3150" s="152"/>
      <c r="BB3150" s="152"/>
      <c r="BC3150" s="152"/>
      <c r="BD3150" s="152"/>
      <c r="BE3150" s="152"/>
      <c r="BF3150" s="152"/>
      <c r="BG3150" s="152"/>
      <c r="BH3150" s="152"/>
      <c r="BI3150" s="153"/>
      <c r="BJ3150" s="153"/>
      <c r="BK3150" s="153"/>
      <c r="BL3150" s="153"/>
      <c r="BM3150" s="153"/>
      <c r="BN3150" s="153"/>
      <c r="BO3150" s="153"/>
      <c r="BP3150" s="153"/>
      <c r="BQ3150" s="153"/>
      <c r="BR3150" s="153"/>
      <c r="BS3150" s="153"/>
      <c r="BT3150" s="153"/>
      <c r="BU3150" s="153"/>
      <c r="BV3150" s="153"/>
      <c r="BW3150" s="153"/>
      <c r="BX3150" s="153"/>
      <c r="BY3150" s="153"/>
      <c r="BZ3150" s="153"/>
      <c r="CA3150" s="152"/>
      <c r="CB3150" s="152"/>
    </row>
    <row r="3151" spans="1:80" s="87" customFormat="1" ht="15" x14ac:dyDescent="0.25">
      <c r="A3151" s="152"/>
      <c r="B3151" s="683"/>
      <c r="C3151" s="683"/>
      <c r="D3151" s="698"/>
      <c r="E3151" s="215"/>
      <c r="F3151" s="215"/>
      <c r="G3151" s="153"/>
      <c r="H3151" s="153"/>
      <c r="I3151" s="318">
        <v>21</v>
      </c>
      <c r="J3151" s="318">
        <v>20</v>
      </c>
      <c r="K3151" s="150">
        <v>1</v>
      </c>
      <c r="L3151" s="656">
        <v>7</v>
      </c>
      <c r="M3151" s="663">
        <v>35586</v>
      </c>
      <c r="N3151" s="600">
        <v>339.75200000000001</v>
      </c>
      <c r="O3151" s="604">
        <v>17.527840000000001</v>
      </c>
      <c r="P3151" s="150"/>
      <c r="Q3151" s="250">
        <v>0.21600000000000003</v>
      </c>
      <c r="R3151" s="250">
        <v>0.21899999999999997</v>
      </c>
      <c r="S3151" s="250">
        <v>0.21</v>
      </c>
      <c r="T3151" s="250">
        <v>0.13300000000000001</v>
      </c>
      <c r="U3151" s="250">
        <v>8.4000000000000005E-2</v>
      </c>
      <c r="V3151" s="250">
        <v>6.2E-2</v>
      </c>
      <c r="W3151" s="250">
        <v>5.4000000000000006E-2</v>
      </c>
      <c r="X3151" s="250">
        <v>0.02</v>
      </c>
      <c r="Y3151" s="250">
        <v>2E-3</v>
      </c>
      <c r="Z3151" s="150">
        <v>60</v>
      </c>
      <c r="AA3151" s="150">
        <v>12.91</v>
      </c>
      <c r="AB3151" s="152"/>
      <c r="AC3151" s="152"/>
      <c r="AD3151" s="223"/>
      <c r="AE3151" s="223"/>
      <c r="AF3151" s="223"/>
      <c r="AG3151" s="223"/>
      <c r="AH3151" s="341"/>
      <c r="AI3151" s="218"/>
      <c r="AJ3151" s="218"/>
      <c r="AK3151" s="153"/>
      <c r="AL3151" s="152"/>
      <c r="AM3151" s="152"/>
      <c r="AN3151" s="152"/>
      <c r="AO3151" s="152"/>
      <c r="AP3151" s="152"/>
      <c r="AQ3151" s="152"/>
      <c r="AR3151" s="152"/>
      <c r="AS3151" s="152"/>
      <c r="AT3151" s="152"/>
      <c r="AU3151" s="153"/>
      <c r="AV3151" s="479"/>
      <c r="AW3151" s="479"/>
      <c r="AX3151" s="442"/>
      <c r="AY3151" s="153"/>
      <c r="AZ3151" s="152"/>
      <c r="BA3151" s="152"/>
      <c r="BB3151" s="152"/>
      <c r="BC3151" s="152"/>
      <c r="BD3151" s="152"/>
      <c r="BE3151" s="152"/>
      <c r="BF3151" s="152"/>
      <c r="BG3151" s="152"/>
      <c r="BH3151" s="152"/>
      <c r="BI3151" s="153"/>
      <c r="BJ3151" s="153"/>
      <c r="BK3151" s="153"/>
      <c r="BL3151" s="153"/>
      <c r="BM3151" s="153"/>
      <c r="BN3151" s="153"/>
      <c r="BO3151" s="153"/>
      <c r="BP3151" s="153"/>
      <c r="BQ3151" s="153"/>
      <c r="BR3151" s="153"/>
      <c r="BS3151" s="153"/>
      <c r="BT3151" s="153"/>
      <c r="BU3151" s="153"/>
      <c r="BV3151" s="153"/>
      <c r="BW3151" s="153"/>
      <c r="BX3151" s="153"/>
      <c r="BY3151" s="153"/>
      <c r="BZ3151" s="153"/>
      <c r="CA3151" s="152"/>
      <c r="CB3151" s="152"/>
    </row>
    <row r="3152" spans="1:80" s="87" customFormat="1" ht="15" x14ac:dyDescent="0.25">
      <c r="A3152" s="152"/>
      <c r="B3152" s="683"/>
      <c r="C3152" s="683"/>
      <c r="D3152" s="698"/>
      <c r="E3152" s="215"/>
      <c r="F3152" s="215"/>
      <c r="G3152" s="153"/>
      <c r="H3152" s="153"/>
      <c r="I3152" s="318">
        <v>21</v>
      </c>
      <c r="J3152" s="318">
        <v>20</v>
      </c>
      <c r="K3152" s="150">
        <v>1</v>
      </c>
      <c r="L3152" s="656">
        <v>7</v>
      </c>
      <c r="M3152" s="663">
        <v>35587</v>
      </c>
      <c r="N3152" s="600">
        <v>317.10199999999998</v>
      </c>
      <c r="O3152" s="604">
        <v>2.686903</v>
      </c>
      <c r="P3152" s="150"/>
      <c r="Q3152" s="250">
        <v>0.13500000000000001</v>
      </c>
      <c r="R3152" s="250">
        <v>0.06</v>
      </c>
      <c r="S3152" s="250">
        <v>7.5999999999999998E-2</v>
      </c>
      <c r="T3152" s="250">
        <v>9.8000000000000004E-2</v>
      </c>
      <c r="U3152" s="250">
        <v>0.13400000000000001</v>
      </c>
      <c r="V3152" s="250">
        <v>0.193</v>
      </c>
      <c r="W3152" s="250">
        <v>0.19699999999999998</v>
      </c>
      <c r="X3152" s="250">
        <v>0.1</v>
      </c>
      <c r="Y3152" s="250">
        <v>6.9999999999999993E-3</v>
      </c>
      <c r="Z3152" s="150">
        <v>52</v>
      </c>
      <c r="AA3152" s="150">
        <v>2.0299999999999998</v>
      </c>
      <c r="AB3152" s="152"/>
      <c r="AC3152" s="152"/>
      <c r="AD3152" s="223"/>
      <c r="AE3152" s="223"/>
      <c r="AF3152" s="223"/>
      <c r="AG3152" s="223"/>
      <c r="AH3152" s="341"/>
      <c r="AI3152" s="218"/>
      <c r="AJ3152" s="218"/>
      <c r="AK3152" s="153"/>
      <c r="AL3152" s="152"/>
      <c r="AM3152" s="152"/>
      <c r="AN3152" s="152"/>
      <c r="AO3152" s="152"/>
      <c r="AP3152" s="152"/>
      <c r="AQ3152" s="152"/>
      <c r="AR3152" s="152"/>
      <c r="AS3152" s="152"/>
      <c r="AT3152" s="152"/>
      <c r="AU3152" s="153"/>
      <c r="AV3152" s="479"/>
      <c r="AW3152" s="479"/>
      <c r="AX3152" s="442"/>
      <c r="AY3152" s="153"/>
      <c r="AZ3152" s="152"/>
      <c r="BA3152" s="152"/>
      <c r="BB3152" s="152"/>
      <c r="BC3152" s="152"/>
      <c r="BD3152" s="152"/>
      <c r="BE3152" s="152"/>
      <c r="BF3152" s="152"/>
      <c r="BG3152" s="152"/>
      <c r="BH3152" s="152"/>
      <c r="BI3152" s="153"/>
      <c r="BJ3152" s="153"/>
      <c r="BK3152" s="153"/>
      <c r="BL3152" s="153"/>
      <c r="BM3152" s="153"/>
      <c r="BN3152" s="153"/>
      <c r="BO3152" s="153"/>
      <c r="BP3152" s="153"/>
      <c r="BQ3152" s="153"/>
      <c r="BR3152" s="153"/>
      <c r="BS3152" s="153"/>
      <c r="BT3152" s="153"/>
      <c r="BU3152" s="153"/>
      <c r="BV3152" s="153"/>
      <c r="BW3152" s="153"/>
      <c r="BX3152" s="153"/>
      <c r="BY3152" s="153"/>
      <c r="BZ3152" s="153"/>
      <c r="CA3152" s="152"/>
      <c r="CB3152" s="152"/>
    </row>
    <row r="3153" spans="1:80" s="87" customFormat="1" ht="15" x14ac:dyDescent="0.25">
      <c r="A3153" s="152"/>
      <c r="B3153" s="683"/>
      <c r="C3153" s="683"/>
      <c r="D3153" s="698"/>
      <c r="E3153" s="215"/>
      <c r="F3153" s="215"/>
      <c r="G3153" s="153"/>
      <c r="H3153" s="153"/>
      <c r="I3153" s="318">
        <v>21</v>
      </c>
      <c r="J3153" s="318">
        <v>20</v>
      </c>
      <c r="K3153" s="150">
        <v>1</v>
      </c>
      <c r="L3153" s="656">
        <v>7</v>
      </c>
      <c r="M3153" s="663">
        <v>35587</v>
      </c>
      <c r="N3153" s="600">
        <v>317.10199999999998</v>
      </c>
      <c r="O3153" s="604">
        <v>12.27999</v>
      </c>
      <c r="P3153" s="250">
        <v>9.5000000000000001E-2</v>
      </c>
      <c r="Q3153" s="250">
        <v>0.191</v>
      </c>
      <c r="R3153" s="250">
        <v>0.191</v>
      </c>
      <c r="S3153" s="250">
        <v>0.17</v>
      </c>
      <c r="T3153" s="250">
        <v>0.11900000000000001</v>
      </c>
      <c r="U3153" s="250">
        <v>6.9000000000000006E-2</v>
      </c>
      <c r="V3153" s="250">
        <v>7.400000000000001E-2</v>
      </c>
      <c r="W3153" s="250">
        <v>6.3E-2</v>
      </c>
      <c r="X3153" s="250">
        <v>2.3E-2</v>
      </c>
      <c r="Y3153" s="250">
        <v>4.0000000000000001E-3</v>
      </c>
      <c r="Z3153" s="150">
        <v>62</v>
      </c>
      <c r="AA3153" s="150">
        <v>14.63</v>
      </c>
      <c r="AB3153" s="152"/>
      <c r="AC3153" s="152"/>
      <c r="AD3153" s="223"/>
      <c r="AE3153" s="223"/>
      <c r="AF3153" s="223"/>
      <c r="AG3153" s="223"/>
      <c r="AH3153" s="341"/>
      <c r="AI3153" s="218"/>
      <c r="AJ3153" s="218"/>
      <c r="AK3153" s="153"/>
      <c r="AL3153" s="152"/>
      <c r="AM3153" s="152"/>
      <c r="AN3153" s="152"/>
      <c r="AO3153" s="152"/>
      <c r="AP3153" s="152"/>
      <c r="AQ3153" s="152"/>
      <c r="AR3153" s="152"/>
      <c r="AS3153" s="152"/>
      <c r="AT3153" s="152"/>
      <c r="AU3153" s="153"/>
      <c r="AV3153" s="479"/>
      <c r="AW3153" s="479"/>
      <c r="AX3153" s="442"/>
      <c r="AY3153" s="153"/>
      <c r="AZ3153" s="152"/>
      <c r="BA3153" s="152"/>
      <c r="BB3153" s="152"/>
      <c r="BC3153" s="152"/>
      <c r="BD3153" s="152"/>
      <c r="BE3153" s="152"/>
      <c r="BF3153" s="152"/>
      <c r="BG3153" s="152"/>
      <c r="BH3153" s="152"/>
      <c r="BI3153" s="153"/>
      <c r="BJ3153" s="153"/>
      <c r="BK3153" s="153"/>
      <c r="BL3153" s="153"/>
      <c r="BM3153" s="153"/>
      <c r="BN3153" s="153"/>
      <c r="BO3153" s="153"/>
      <c r="BP3153" s="153"/>
      <c r="BQ3153" s="153"/>
      <c r="BR3153" s="153"/>
      <c r="BS3153" s="153"/>
      <c r="BT3153" s="153"/>
      <c r="BU3153" s="153"/>
      <c r="BV3153" s="153"/>
      <c r="BW3153" s="153"/>
      <c r="BX3153" s="153"/>
      <c r="BY3153" s="153"/>
      <c r="BZ3153" s="153"/>
      <c r="CA3153" s="152"/>
      <c r="CB3153" s="152"/>
    </row>
    <row r="3154" spans="1:80" s="87" customFormat="1" ht="15" x14ac:dyDescent="0.25">
      <c r="A3154" s="152"/>
      <c r="B3154" s="683"/>
      <c r="C3154" s="683"/>
      <c r="D3154" s="698"/>
      <c r="E3154" s="215"/>
      <c r="F3154" s="215"/>
      <c r="G3154" s="153"/>
      <c r="H3154" s="153"/>
      <c r="I3154" s="318">
        <v>21</v>
      </c>
      <c r="J3154" s="318">
        <v>20</v>
      </c>
      <c r="K3154" s="150">
        <v>1</v>
      </c>
      <c r="L3154" s="656">
        <v>7</v>
      </c>
      <c r="M3154" s="663">
        <v>35588</v>
      </c>
      <c r="N3154" s="600">
        <v>308.608</v>
      </c>
      <c r="O3154" s="604">
        <v>4.1982860000000004</v>
      </c>
      <c r="P3154" s="250">
        <v>0.24199999999999999</v>
      </c>
      <c r="Q3154" s="250">
        <v>0.23699999999999999</v>
      </c>
      <c r="R3154" s="250">
        <v>0.155</v>
      </c>
      <c r="S3154" s="250">
        <v>5.5999999999999994E-2</v>
      </c>
      <c r="T3154" s="250">
        <v>3.2000000000000001E-2</v>
      </c>
      <c r="U3154" s="250">
        <v>3.7999999999999999E-2</v>
      </c>
      <c r="V3154" s="250">
        <v>8.199999999999999E-2</v>
      </c>
      <c r="W3154" s="250">
        <v>0.10400000000000001</v>
      </c>
      <c r="X3154" s="250">
        <v>4.9000000000000002E-2</v>
      </c>
      <c r="Y3154" s="250">
        <v>3.0000000000000001E-3</v>
      </c>
      <c r="Z3154" s="150">
        <v>75</v>
      </c>
      <c r="AA3154" s="150">
        <v>29.39</v>
      </c>
      <c r="AB3154" s="152"/>
      <c r="AC3154" s="152"/>
      <c r="AD3154" s="223"/>
      <c r="AE3154" s="223"/>
      <c r="AF3154" s="223"/>
      <c r="AG3154" s="223"/>
      <c r="AH3154" s="341"/>
      <c r="AI3154" s="218"/>
      <c r="AJ3154" s="218"/>
      <c r="AK3154" s="153"/>
      <c r="AL3154" s="152"/>
      <c r="AM3154" s="152"/>
      <c r="AN3154" s="152"/>
      <c r="AO3154" s="152"/>
      <c r="AP3154" s="152"/>
      <c r="AQ3154" s="152"/>
      <c r="AR3154" s="152"/>
      <c r="AS3154" s="152"/>
      <c r="AT3154" s="152"/>
      <c r="AU3154" s="153"/>
      <c r="AV3154" s="479"/>
      <c r="AW3154" s="479"/>
      <c r="AX3154" s="442"/>
      <c r="AY3154" s="153"/>
      <c r="AZ3154" s="152"/>
      <c r="BA3154" s="152"/>
      <c r="BB3154" s="152"/>
      <c r="BC3154" s="152"/>
      <c r="BD3154" s="152"/>
      <c r="BE3154" s="152"/>
      <c r="BF3154" s="152"/>
      <c r="BG3154" s="152"/>
      <c r="BH3154" s="152"/>
      <c r="BI3154" s="153"/>
      <c r="BJ3154" s="153"/>
      <c r="BK3154" s="153"/>
      <c r="BL3154" s="153"/>
      <c r="BM3154" s="153"/>
      <c r="BN3154" s="153"/>
      <c r="BO3154" s="153"/>
      <c r="BP3154" s="153"/>
      <c r="BQ3154" s="153"/>
      <c r="BR3154" s="153"/>
      <c r="BS3154" s="153"/>
      <c r="BT3154" s="153"/>
      <c r="BU3154" s="153"/>
      <c r="BV3154" s="153"/>
      <c r="BW3154" s="153"/>
      <c r="BX3154" s="153"/>
      <c r="BY3154" s="153"/>
      <c r="BZ3154" s="153"/>
      <c r="CA3154" s="152"/>
      <c r="CB3154" s="152"/>
    </row>
    <row r="3155" spans="1:80" s="87" customFormat="1" ht="15" x14ac:dyDescent="0.25">
      <c r="A3155" s="152"/>
      <c r="B3155" s="683"/>
      <c r="C3155" s="683"/>
      <c r="D3155" s="698"/>
      <c r="E3155" s="215"/>
      <c r="F3155" s="215"/>
      <c r="G3155" s="153"/>
      <c r="H3155" s="153"/>
      <c r="I3155" s="318">
        <v>21</v>
      </c>
      <c r="J3155" s="318">
        <v>20</v>
      </c>
      <c r="K3155" s="150">
        <v>1</v>
      </c>
      <c r="L3155" s="656">
        <v>7</v>
      </c>
      <c r="M3155" s="663">
        <v>35588</v>
      </c>
      <c r="N3155" s="600">
        <v>305.77699999999999</v>
      </c>
      <c r="O3155" s="604">
        <v>4.3557220000000001</v>
      </c>
      <c r="P3155" s="150"/>
      <c r="Q3155" s="250">
        <v>0.58599999999999997</v>
      </c>
      <c r="R3155" s="250">
        <v>0.13</v>
      </c>
      <c r="S3155" s="250">
        <v>0.03</v>
      </c>
      <c r="T3155" s="250">
        <v>2.5000000000000001E-2</v>
      </c>
      <c r="U3155" s="250">
        <v>2.5000000000000001E-2</v>
      </c>
      <c r="V3155" s="250">
        <v>5.9000000000000004E-2</v>
      </c>
      <c r="W3155" s="250">
        <v>9.8000000000000004E-2</v>
      </c>
      <c r="X3155" s="250">
        <v>4.4000000000000004E-2</v>
      </c>
      <c r="Y3155" s="250">
        <v>3.0000000000000001E-3</v>
      </c>
      <c r="Z3155" s="150">
        <v>67</v>
      </c>
      <c r="AA3155" s="150">
        <v>35.43</v>
      </c>
      <c r="AB3155" s="152"/>
      <c r="AC3155" s="152"/>
      <c r="AD3155" s="223"/>
      <c r="AE3155" s="223"/>
      <c r="AF3155" s="223"/>
      <c r="AG3155" s="223"/>
      <c r="AH3155" s="341"/>
      <c r="AI3155" s="218"/>
      <c r="AJ3155" s="218"/>
      <c r="AK3155" s="153"/>
      <c r="AL3155" s="152"/>
      <c r="AM3155" s="152"/>
      <c r="AN3155" s="152"/>
      <c r="AO3155" s="152"/>
      <c r="AP3155" s="152"/>
      <c r="AQ3155" s="152"/>
      <c r="AR3155" s="152"/>
      <c r="AS3155" s="152"/>
      <c r="AT3155" s="152"/>
      <c r="AU3155" s="153"/>
      <c r="AV3155" s="479"/>
      <c r="AW3155" s="479"/>
      <c r="AX3155" s="442"/>
      <c r="AY3155" s="153"/>
      <c r="AZ3155" s="152"/>
      <c r="BA3155" s="152"/>
      <c r="BB3155" s="152"/>
      <c r="BC3155" s="152"/>
      <c r="BD3155" s="152"/>
      <c r="BE3155" s="152"/>
      <c r="BF3155" s="152"/>
      <c r="BG3155" s="152"/>
      <c r="BH3155" s="152"/>
      <c r="BI3155" s="153"/>
      <c r="BJ3155" s="153"/>
      <c r="BK3155" s="153"/>
      <c r="BL3155" s="153"/>
      <c r="BM3155" s="153"/>
      <c r="BN3155" s="153"/>
      <c r="BO3155" s="153"/>
      <c r="BP3155" s="153"/>
      <c r="BQ3155" s="153"/>
      <c r="BR3155" s="153"/>
      <c r="BS3155" s="153"/>
      <c r="BT3155" s="153"/>
      <c r="BU3155" s="153"/>
      <c r="BV3155" s="153"/>
      <c r="BW3155" s="153"/>
      <c r="BX3155" s="153"/>
      <c r="BY3155" s="153"/>
      <c r="BZ3155" s="153"/>
      <c r="CA3155" s="152"/>
      <c r="CB3155" s="152"/>
    </row>
    <row r="3156" spans="1:80" s="87" customFormat="1" ht="15" x14ac:dyDescent="0.25">
      <c r="A3156" s="152"/>
      <c r="B3156" s="683"/>
      <c r="C3156" s="683"/>
      <c r="D3156" s="698"/>
      <c r="E3156" s="215"/>
      <c r="F3156" s="215"/>
      <c r="G3156" s="153"/>
      <c r="H3156" s="153"/>
      <c r="I3156" s="318">
        <v>21</v>
      </c>
      <c r="J3156" s="318">
        <v>20</v>
      </c>
      <c r="K3156" s="150">
        <v>1</v>
      </c>
      <c r="L3156" s="656">
        <v>7</v>
      </c>
      <c r="M3156" s="663">
        <v>35592</v>
      </c>
      <c r="N3156" s="600">
        <v>345.41500000000002</v>
      </c>
      <c r="O3156" s="604">
        <v>3.1382189999999999</v>
      </c>
      <c r="P3156" s="150"/>
      <c r="Q3156" s="250">
        <v>0.19399999999999998</v>
      </c>
      <c r="R3156" s="250">
        <v>0.121</v>
      </c>
      <c r="S3156" s="250">
        <v>4.2999999999999997E-2</v>
      </c>
      <c r="T3156" s="250">
        <v>7.2000000000000008E-2</v>
      </c>
      <c r="U3156" s="250">
        <v>8.6999999999999994E-2</v>
      </c>
      <c r="V3156" s="250">
        <v>0.151</v>
      </c>
      <c r="W3156" s="250">
        <v>0.21899999999999997</v>
      </c>
      <c r="X3156" s="250">
        <v>0.106</v>
      </c>
      <c r="Y3156" s="250">
        <v>6.9999999999999993E-3</v>
      </c>
      <c r="Z3156" s="150">
        <v>58</v>
      </c>
      <c r="AA3156" s="150">
        <v>2.29</v>
      </c>
      <c r="AB3156" s="152"/>
      <c r="AC3156" s="152"/>
      <c r="AD3156" s="223"/>
      <c r="AE3156" s="223"/>
      <c r="AF3156" s="223"/>
      <c r="AG3156" s="223"/>
      <c r="AH3156" s="341"/>
      <c r="AI3156" s="218"/>
      <c r="AJ3156" s="218"/>
      <c r="AK3156" s="153"/>
      <c r="AL3156" s="152"/>
      <c r="AM3156" s="152"/>
      <c r="AN3156" s="152"/>
      <c r="AO3156" s="152"/>
      <c r="AP3156" s="152"/>
      <c r="AQ3156" s="152"/>
      <c r="AR3156" s="152"/>
      <c r="AS3156" s="152"/>
      <c r="AT3156" s="152"/>
      <c r="AU3156" s="153"/>
      <c r="AV3156" s="479"/>
      <c r="AW3156" s="479"/>
      <c r="AX3156" s="442"/>
      <c r="AY3156" s="153"/>
      <c r="AZ3156" s="152"/>
      <c r="BA3156" s="152"/>
      <c r="BB3156" s="152"/>
      <c r="BC3156" s="152"/>
      <c r="BD3156" s="152"/>
      <c r="BE3156" s="152"/>
      <c r="BF3156" s="152"/>
      <c r="BG3156" s="152"/>
      <c r="BH3156" s="152"/>
      <c r="BI3156" s="153"/>
      <c r="BJ3156" s="153"/>
      <c r="BK3156" s="153"/>
      <c r="BL3156" s="153"/>
      <c r="BM3156" s="153"/>
      <c r="BN3156" s="153"/>
      <c r="BO3156" s="153"/>
      <c r="BP3156" s="153"/>
      <c r="BQ3156" s="153"/>
      <c r="BR3156" s="153"/>
      <c r="BS3156" s="153"/>
      <c r="BT3156" s="153"/>
      <c r="BU3156" s="153"/>
      <c r="BV3156" s="153"/>
      <c r="BW3156" s="153"/>
      <c r="BX3156" s="153"/>
      <c r="BY3156" s="153"/>
      <c r="BZ3156" s="153"/>
      <c r="CA3156" s="152"/>
      <c r="CB3156" s="152"/>
    </row>
    <row r="3157" spans="1:80" s="87" customFormat="1" ht="15" x14ac:dyDescent="0.25">
      <c r="A3157" s="152"/>
      <c r="B3157" s="683"/>
      <c r="C3157" s="683"/>
      <c r="D3157" s="698"/>
      <c r="E3157" s="215"/>
      <c r="F3157" s="215"/>
      <c r="G3157" s="153"/>
      <c r="H3157" s="153"/>
      <c r="I3157" s="318">
        <v>21</v>
      </c>
      <c r="J3157" s="318">
        <v>20</v>
      </c>
      <c r="K3157" s="150">
        <v>1</v>
      </c>
      <c r="L3157" s="656">
        <v>7</v>
      </c>
      <c r="M3157" s="663">
        <v>35592</v>
      </c>
      <c r="N3157" s="600">
        <v>342.584</v>
      </c>
      <c r="O3157" s="604">
        <v>2.8338429999999999</v>
      </c>
      <c r="P3157" s="150"/>
      <c r="Q3157" s="250">
        <v>4.7E-2</v>
      </c>
      <c r="R3157" s="250">
        <v>0.14699999999999999</v>
      </c>
      <c r="S3157" s="250">
        <v>0.13699999999999998</v>
      </c>
      <c r="T3157" s="250">
        <v>8.1000000000000003E-2</v>
      </c>
      <c r="U3157" s="250">
        <v>7.5999999999999998E-2</v>
      </c>
      <c r="V3157" s="250">
        <v>0.17800000000000002</v>
      </c>
      <c r="W3157" s="250">
        <v>0.221</v>
      </c>
      <c r="X3157" s="250">
        <v>0.10199999999999999</v>
      </c>
      <c r="Y3157" s="250">
        <v>0.01</v>
      </c>
      <c r="Z3157" s="150">
        <v>34</v>
      </c>
      <c r="AA3157" s="150">
        <v>1.92</v>
      </c>
      <c r="AB3157" s="152"/>
      <c r="AC3157" s="152"/>
      <c r="AD3157" s="223"/>
      <c r="AE3157" s="223"/>
      <c r="AF3157" s="223"/>
      <c r="AG3157" s="223"/>
      <c r="AH3157" s="341"/>
      <c r="AI3157" s="218"/>
      <c r="AJ3157" s="218"/>
      <c r="AK3157" s="153"/>
      <c r="AL3157" s="152"/>
      <c r="AM3157" s="152"/>
      <c r="AN3157" s="152"/>
      <c r="AO3157" s="152"/>
      <c r="AP3157" s="152"/>
      <c r="AQ3157" s="152"/>
      <c r="AR3157" s="152"/>
      <c r="AS3157" s="152"/>
      <c r="AT3157" s="152"/>
      <c r="AU3157" s="153"/>
      <c r="AV3157" s="479"/>
      <c r="AW3157" s="479"/>
      <c r="AX3157" s="442"/>
      <c r="AY3157" s="153"/>
      <c r="AZ3157" s="152"/>
      <c r="BA3157" s="152"/>
      <c r="BB3157" s="152"/>
      <c r="BC3157" s="152"/>
      <c r="BD3157" s="152"/>
      <c r="BE3157" s="152"/>
      <c r="BF3157" s="152"/>
      <c r="BG3157" s="152"/>
      <c r="BH3157" s="152"/>
      <c r="BI3157" s="153"/>
      <c r="BJ3157" s="153"/>
      <c r="BK3157" s="153"/>
      <c r="BL3157" s="153"/>
      <c r="BM3157" s="153"/>
      <c r="BN3157" s="153"/>
      <c r="BO3157" s="153"/>
      <c r="BP3157" s="153"/>
      <c r="BQ3157" s="153"/>
      <c r="BR3157" s="153"/>
      <c r="BS3157" s="153"/>
      <c r="BT3157" s="153"/>
      <c r="BU3157" s="153"/>
      <c r="BV3157" s="153"/>
      <c r="BW3157" s="153"/>
      <c r="BX3157" s="153"/>
      <c r="BY3157" s="153"/>
      <c r="BZ3157" s="153"/>
      <c r="CA3157" s="152"/>
      <c r="CB3157" s="152"/>
    </row>
    <row r="3158" spans="1:80" s="87" customFormat="1" ht="15" x14ac:dyDescent="0.25">
      <c r="A3158" s="152"/>
      <c r="B3158" s="683"/>
      <c r="C3158" s="683"/>
      <c r="D3158" s="698"/>
      <c r="E3158" s="215"/>
      <c r="F3158" s="215"/>
      <c r="G3158" s="153"/>
      <c r="H3158" s="153"/>
      <c r="I3158" s="318">
        <v>21</v>
      </c>
      <c r="J3158" s="318">
        <v>20</v>
      </c>
      <c r="K3158" s="150">
        <v>1</v>
      </c>
      <c r="L3158" s="656">
        <v>7</v>
      </c>
      <c r="M3158" s="663">
        <v>35593</v>
      </c>
      <c r="N3158" s="600">
        <v>328.42700000000002</v>
      </c>
      <c r="O3158" s="604">
        <v>2.015177</v>
      </c>
      <c r="P3158" s="150"/>
      <c r="Q3158" s="250">
        <v>7.9000000000000001E-2</v>
      </c>
      <c r="R3158" s="250">
        <v>4.5999999999999999E-2</v>
      </c>
      <c r="S3158" s="250">
        <v>9.6999999999999989E-2</v>
      </c>
      <c r="T3158" s="250">
        <v>8.900000000000001E-2</v>
      </c>
      <c r="U3158" s="250">
        <v>8.5000000000000006E-2</v>
      </c>
      <c r="V3158" s="250">
        <v>0.16899999999999998</v>
      </c>
      <c r="W3158" s="250">
        <v>0.28300000000000003</v>
      </c>
      <c r="X3158" s="250">
        <v>0.14499999999999999</v>
      </c>
      <c r="Y3158" s="250">
        <v>8.0000000000000002E-3</v>
      </c>
      <c r="Z3158" s="150"/>
      <c r="AA3158" s="150">
        <v>1.3</v>
      </c>
      <c r="AB3158" s="152"/>
      <c r="AC3158" s="152"/>
      <c r="AD3158" s="223"/>
      <c r="AE3158" s="223"/>
      <c r="AF3158" s="223"/>
      <c r="AG3158" s="223"/>
      <c r="AH3158" s="341"/>
      <c r="AI3158" s="218"/>
      <c r="AJ3158" s="218"/>
      <c r="AK3158" s="153"/>
      <c r="AL3158" s="152"/>
      <c r="AM3158" s="152"/>
      <c r="AN3158" s="152"/>
      <c r="AO3158" s="152"/>
      <c r="AP3158" s="152"/>
      <c r="AQ3158" s="152"/>
      <c r="AR3158" s="152"/>
      <c r="AS3158" s="152"/>
      <c r="AT3158" s="152"/>
      <c r="AU3158" s="153"/>
      <c r="AV3158" s="479"/>
      <c r="AW3158" s="479"/>
      <c r="AX3158" s="442"/>
      <c r="AY3158" s="153"/>
      <c r="AZ3158" s="152"/>
      <c r="BA3158" s="152"/>
      <c r="BB3158" s="152"/>
      <c r="BC3158" s="152"/>
      <c r="BD3158" s="152"/>
      <c r="BE3158" s="152"/>
      <c r="BF3158" s="152"/>
      <c r="BG3158" s="152"/>
      <c r="BH3158" s="152"/>
      <c r="BI3158" s="153"/>
      <c r="BJ3158" s="153"/>
      <c r="BK3158" s="153"/>
      <c r="BL3158" s="153"/>
      <c r="BM3158" s="153"/>
      <c r="BN3158" s="153"/>
      <c r="BO3158" s="153"/>
      <c r="BP3158" s="153"/>
      <c r="BQ3158" s="153"/>
      <c r="BR3158" s="153"/>
      <c r="BS3158" s="153"/>
      <c r="BT3158" s="153"/>
      <c r="BU3158" s="153"/>
      <c r="BV3158" s="153"/>
      <c r="BW3158" s="153"/>
      <c r="BX3158" s="153"/>
      <c r="BY3158" s="153"/>
      <c r="BZ3158" s="153"/>
      <c r="CA3158" s="152"/>
      <c r="CB3158" s="152"/>
    </row>
    <row r="3159" spans="1:80" s="87" customFormat="1" ht="15" x14ac:dyDescent="0.25">
      <c r="A3159" s="152"/>
      <c r="B3159" s="683"/>
      <c r="C3159" s="683"/>
      <c r="D3159" s="698"/>
      <c r="E3159" s="215"/>
      <c r="F3159" s="215"/>
      <c r="G3159" s="153"/>
      <c r="H3159" s="153"/>
      <c r="I3159" s="318">
        <v>21</v>
      </c>
      <c r="J3159" s="318">
        <v>20</v>
      </c>
      <c r="K3159" s="150">
        <v>1</v>
      </c>
      <c r="L3159" s="656">
        <v>7</v>
      </c>
      <c r="M3159" s="663">
        <v>35593</v>
      </c>
      <c r="N3159" s="600">
        <v>325.596</v>
      </c>
      <c r="O3159" s="604">
        <v>4.7440629999999997</v>
      </c>
      <c r="P3159" s="150"/>
      <c r="Q3159" s="250">
        <v>6.7000000000000004E-2</v>
      </c>
      <c r="R3159" s="250">
        <v>8.8000000000000009E-2</v>
      </c>
      <c r="S3159" s="250">
        <v>0.109</v>
      </c>
      <c r="T3159" s="250">
        <v>0.14899999999999999</v>
      </c>
      <c r="U3159" s="250">
        <v>0.16399999999999998</v>
      </c>
      <c r="V3159" s="250">
        <v>0.17300000000000001</v>
      </c>
      <c r="W3159" s="250">
        <v>0.17899999999999999</v>
      </c>
      <c r="X3159" s="250">
        <v>6.7000000000000004E-2</v>
      </c>
      <c r="Y3159" s="250">
        <v>4.0000000000000001E-3</v>
      </c>
      <c r="Z3159" s="150">
        <v>44</v>
      </c>
      <c r="AA3159" s="150">
        <v>2.77</v>
      </c>
      <c r="AB3159" s="152"/>
      <c r="AC3159" s="152"/>
      <c r="AD3159" s="223"/>
      <c r="AE3159" s="223"/>
      <c r="AF3159" s="223"/>
      <c r="AG3159" s="223"/>
      <c r="AH3159" s="341"/>
      <c r="AI3159" s="218"/>
      <c r="AJ3159" s="218"/>
      <c r="AK3159" s="153"/>
      <c r="AL3159" s="152"/>
      <c r="AM3159" s="152"/>
      <c r="AN3159" s="152"/>
      <c r="AO3159" s="152"/>
      <c r="AP3159" s="152"/>
      <c r="AQ3159" s="152"/>
      <c r="AR3159" s="152"/>
      <c r="AS3159" s="152"/>
      <c r="AT3159" s="152"/>
      <c r="AU3159" s="153"/>
      <c r="AV3159" s="479"/>
      <c r="AW3159" s="479"/>
      <c r="AX3159" s="442"/>
      <c r="AY3159" s="153"/>
      <c r="AZ3159" s="152"/>
      <c r="BA3159" s="152"/>
      <c r="BB3159" s="152"/>
      <c r="BC3159" s="152"/>
      <c r="BD3159" s="152"/>
      <c r="BE3159" s="152"/>
      <c r="BF3159" s="152"/>
      <c r="BG3159" s="152"/>
      <c r="BH3159" s="152"/>
      <c r="BI3159" s="153"/>
      <c r="BJ3159" s="153"/>
      <c r="BK3159" s="153"/>
      <c r="BL3159" s="153"/>
      <c r="BM3159" s="153"/>
      <c r="BN3159" s="153"/>
      <c r="BO3159" s="153"/>
      <c r="BP3159" s="153"/>
      <c r="BQ3159" s="153"/>
      <c r="BR3159" s="153"/>
      <c r="BS3159" s="153"/>
      <c r="BT3159" s="153"/>
      <c r="BU3159" s="153"/>
      <c r="BV3159" s="153"/>
      <c r="BW3159" s="153"/>
      <c r="BX3159" s="153"/>
      <c r="BY3159" s="153"/>
      <c r="BZ3159" s="153"/>
      <c r="CA3159" s="152"/>
      <c r="CB3159" s="152"/>
    </row>
    <row r="3160" spans="1:80" s="87" customFormat="1" ht="15" x14ac:dyDescent="0.25">
      <c r="A3160" s="152"/>
      <c r="B3160" s="683"/>
      <c r="C3160" s="683"/>
      <c r="D3160" s="698"/>
      <c r="E3160" s="215"/>
      <c r="F3160" s="215"/>
      <c r="G3160" s="153"/>
      <c r="H3160" s="153"/>
      <c r="I3160" s="318">
        <v>20</v>
      </c>
      <c r="J3160" s="318">
        <v>30</v>
      </c>
      <c r="K3160" s="150">
        <v>1</v>
      </c>
      <c r="L3160" s="656">
        <v>10</v>
      </c>
      <c r="M3160" s="663">
        <v>35600</v>
      </c>
      <c r="N3160" s="600">
        <v>249.15199999999999</v>
      </c>
      <c r="O3160" s="604">
        <v>0.65493299999999999</v>
      </c>
      <c r="P3160" s="150"/>
      <c r="Q3160" s="250"/>
      <c r="R3160" s="250">
        <v>0.10099999999999999</v>
      </c>
      <c r="S3160" s="250">
        <v>9.0999999999999998E-2</v>
      </c>
      <c r="T3160" s="250">
        <v>0.11699999999999999</v>
      </c>
      <c r="U3160" s="250">
        <v>0.13800000000000001</v>
      </c>
      <c r="V3160" s="250">
        <v>0.20800000000000002</v>
      </c>
      <c r="W3160" s="250">
        <v>0.24399999999999999</v>
      </c>
      <c r="X3160" s="250">
        <v>9.3000000000000013E-2</v>
      </c>
      <c r="Y3160" s="250">
        <v>6.0000000000000001E-3</v>
      </c>
      <c r="Z3160" s="150">
        <v>19</v>
      </c>
      <c r="AA3160" s="150">
        <v>1.69</v>
      </c>
      <c r="AB3160" s="152"/>
      <c r="AC3160" s="152"/>
      <c r="AD3160" s="223"/>
      <c r="AE3160" s="223"/>
      <c r="AF3160" s="223"/>
      <c r="AG3160" s="223"/>
      <c r="AH3160" s="341"/>
      <c r="AI3160" s="218"/>
      <c r="AJ3160" s="218"/>
      <c r="AK3160" s="153"/>
      <c r="AL3160" s="152"/>
      <c r="AM3160" s="152"/>
      <c r="AN3160" s="152"/>
      <c r="AO3160" s="152"/>
      <c r="AP3160" s="152"/>
      <c r="AQ3160" s="152"/>
      <c r="AR3160" s="152"/>
      <c r="AS3160" s="152"/>
      <c r="AT3160" s="152"/>
      <c r="AU3160" s="153"/>
      <c r="AV3160" s="479"/>
      <c r="AW3160" s="479"/>
      <c r="AX3160" s="442"/>
      <c r="AY3160" s="153"/>
      <c r="AZ3160" s="152"/>
      <c r="BA3160" s="152"/>
      <c r="BB3160" s="152"/>
      <c r="BC3160" s="152"/>
      <c r="BD3160" s="152"/>
      <c r="BE3160" s="152"/>
      <c r="BF3160" s="152"/>
      <c r="BG3160" s="152"/>
      <c r="BH3160" s="152"/>
      <c r="BI3160" s="153"/>
      <c r="BJ3160" s="153"/>
      <c r="BK3160" s="153"/>
      <c r="BL3160" s="153"/>
      <c r="BM3160" s="153"/>
      <c r="BN3160" s="153"/>
      <c r="BO3160" s="153"/>
      <c r="BP3160" s="153"/>
      <c r="BQ3160" s="153"/>
      <c r="BR3160" s="153"/>
      <c r="BS3160" s="153"/>
      <c r="BT3160" s="153"/>
      <c r="BU3160" s="153"/>
      <c r="BV3160" s="153"/>
      <c r="BW3160" s="153"/>
      <c r="BX3160" s="153"/>
      <c r="BY3160" s="153"/>
      <c r="BZ3160" s="153"/>
      <c r="CA3160" s="152"/>
      <c r="CB3160" s="152"/>
    </row>
    <row r="3161" spans="1:80" s="87" customFormat="1" ht="15" x14ac:dyDescent="0.25">
      <c r="A3161" s="152"/>
      <c r="B3161" s="683"/>
      <c r="C3161" s="683"/>
      <c r="D3161" s="698"/>
      <c r="E3161" s="215"/>
      <c r="F3161" s="215"/>
      <c r="G3161" s="153"/>
      <c r="H3161" s="153"/>
      <c r="I3161" s="318">
        <v>20</v>
      </c>
      <c r="J3161" s="318">
        <v>30</v>
      </c>
      <c r="K3161" s="150">
        <v>1</v>
      </c>
      <c r="L3161" s="656">
        <v>10</v>
      </c>
      <c r="M3161" s="663">
        <v>35600</v>
      </c>
      <c r="N3161" s="600">
        <v>246.321</v>
      </c>
      <c r="O3161" s="604">
        <v>0.39568799999999998</v>
      </c>
      <c r="P3161" s="150"/>
      <c r="Q3161" s="250"/>
      <c r="R3161" s="250">
        <v>0.09</v>
      </c>
      <c r="S3161" s="250">
        <v>1.6E-2</v>
      </c>
      <c r="T3161" s="250">
        <v>4.8000000000000001E-2</v>
      </c>
      <c r="U3161" s="250">
        <v>0.113</v>
      </c>
      <c r="V3161" s="250">
        <v>0.25800000000000001</v>
      </c>
      <c r="W3161" s="250">
        <v>0.32400000000000001</v>
      </c>
      <c r="X3161" s="250">
        <v>0.14199999999999999</v>
      </c>
      <c r="Y3161" s="250">
        <v>0.01</v>
      </c>
      <c r="Z3161" s="150">
        <v>28</v>
      </c>
      <c r="AA3161" s="150">
        <v>1.07</v>
      </c>
      <c r="AB3161" s="152"/>
      <c r="AC3161" s="152"/>
      <c r="AD3161" s="223"/>
      <c r="AE3161" s="223"/>
      <c r="AF3161" s="223"/>
      <c r="AG3161" s="223"/>
      <c r="AH3161" s="341"/>
      <c r="AI3161" s="218"/>
      <c r="AJ3161" s="218"/>
      <c r="AK3161" s="153"/>
      <c r="AL3161" s="152"/>
      <c r="AM3161" s="152"/>
      <c r="AN3161" s="152"/>
      <c r="AO3161" s="152"/>
      <c r="AP3161" s="152"/>
      <c r="AQ3161" s="152"/>
      <c r="AR3161" s="152"/>
      <c r="AS3161" s="152"/>
      <c r="AT3161" s="152"/>
      <c r="AU3161" s="153"/>
      <c r="AV3161" s="479"/>
      <c r="AW3161" s="479"/>
      <c r="AX3161" s="442"/>
      <c r="AY3161" s="153"/>
      <c r="AZ3161" s="152"/>
      <c r="BA3161" s="152"/>
      <c r="BB3161" s="152"/>
      <c r="BC3161" s="152"/>
      <c r="BD3161" s="152"/>
      <c r="BE3161" s="152"/>
      <c r="BF3161" s="152"/>
      <c r="BG3161" s="152"/>
      <c r="BH3161" s="152"/>
      <c r="BI3161" s="153"/>
      <c r="BJ3161" s="153"/>
      <c r="BK3161" s="153"/>
      <c r="BL3161" s="153"/>
      <c r="BM3161" s="153"/>
      <c r="BN3161" s="153"/>
      <c r="BO3161" s="153"/>
      <c r="BP3161" s="153"/>
      <c r="BQ3161" s="153"/>
      <c r="BR3161" s="153"/>
      <c r="BS3161" s="153"/>
      <c r="BT3161" s="153"/>
      <c r="BU3161" s="153"/>
      <c r="BV3161" s="153"/>
      <c r="BW3161" s="153"/>
      <c r="BX3161" s="153"/>
      <c r="BY3161" s="153"/>
      <c r="BZ3161" s="153"/>
      <c r="CA3161" s="152"/>
      <c r="CB3161" s="152"/>
    </row>
    <row r="3162" spans="1:80" s="87" customFormat="1" ht="15" x14ac:dyDescent="0.25">
      <c r="A3162" s="152"/>
      <c r="B3162" s="683"/>
      <c r="C3162" s="683"/>
      <c r="D3162" s="698"/>
      <c r="E3162" s="215"/>
      <c r="F3162" s="215"/>
      <c r="G3162" s="153"/>
      <c r="H3162" s="153"/>
      <c r="I3162" s="318">
        <v>19</v>
      </c>
      <c r="J3162" s="318">
        <v>30</v>
      </c>
      <c r="K3162" s="150">
        <v>1</v>
      </c>
      <c r="L3162" s="656">
        <v>9.5</v>
      </c>
      <c r="M3162" s="663">
        <v>35601</v>
      </c>
      <c r="N3162" s="600">
        <v>221.68799999999999</v>
      </c>
      <c r="O3162" s="604">
        <v>0.43557200000000001</v>
      </c>
      <c r="P3162" s="150"/>
      <c r="Q3162" s="250"/>
      <c r="R3162" s="250">
        <v>4.7E-2</v>
      </c>
      <c r="S3162" s="250">
        <v>7.0000000000000007E-2</v>
      </c>
      <c r="T3162" s="250">
        <v>0.13400000000000001</v>
      </c>
      <c r="U3162" s="250">
        <v>0.13800000000000001</v>
      </c>
      <c r="V3162" s="250">
        <v>0.245</v>
      </c>
      <c r="W3162" s="250">
        <v>0.26700000000000002</v>
      </c>
      <c r="X3162" s="250">
        <v>9.1999999999999998E-2</v>
      </c>
      <c r="Y3162" s="250">
        <v>6.0000000000000001E-3</v>
      </c>
      <c r="Z3162" s="150">
        <v>21</v>
      </c>
      <c r="AA3162" s="150">
        <v>1.47</v>
      </c>
      <c r="AB3162" s="152"/>
      <c r="AC3162" s="152"/>
      <c r="AD3162" s="223">
        <v>62.329554999999999</v>
      </c>
      <c r="AE3162" s="223">
        <v>1.407026892</v>
      </c>
      <c r="AF3162" s="223">
        <v>87.696580699999998</v>
      </c>
      <c r="AG3162" s="223">
        <v>2.5602295430000002</v>
      </c>
      <c r="AH3162" s="341"/>
      <c r="AI3162" s="218"/>
      <c r="AJ3162" s="218"/>
      <c r="AK3162" s="153"/>
      <c r="AL3162" s="152"/>
      <c r="AM3162" s="152"/>
      <c r="AN3162" s="152"/>
      <c r="AO3162" s="152"/>
      <c r="AP3162" s="152"/>
      <c r="AQ3162" s="152"/>
      <c r="AR3162" s="152"/>
      <c r="AS3162" s="152"/>
      <c r="AT3162" s="152"/>
      <c r="AU3162" s="153"/>
      <c r="AV3162" s="479"/>
      <c r="AW3162" s="479"/>
      <c r="AX3162" s="442"/>
      <c r="AY3162" s="153"/>
      <c r="AZ3162" s="152"/>
      <c r="BA3162" s="152"/>
      <c r="BB3162" s="152"/>
      <c r="BC3162" s="152"/>
      <c r="BD3162" s="152"/>
      <c r="BE3162" s="152"/>
      <c r="BF3162" s="152"/>
      <c r="BG3162" s="152"/>
      <c r="BH3162" s="152"/>
      <c r="BI3162" s="153"/>
      <c r="BJ3162" s="153"/>
      <c r="BK3162" s="153"/>
      <c r="BL3162" s="153"/>
      <c r="BM3162" s="153"/>
      <c r="BN3162" s="153"/>
      <c r="BO3162" s="153"/>
      <c r="BP3162" s="153"/>
      <c r="BQ3162" s="153"/>
      <c r="BR3162" s="153"/>
      <c r="BS3162" s="153"/>
      <c r="BT3162" s="153"/>
      <c r="BU3162" s="153"/>
      <c r="BV3162" s="153"/>
      <c r="BW3162" s="153"/>
      <c r="BX3162" s="153"/>
      <c r="BY3162" s="153"/>
      <c r="BZ3162" s="153"/>
      <c r="CA3162" s="152"/>
      <c r="CB3162" s="152"/>
    </row>
    <row r="3163" spans="1:80" s="87" customFormat="1" ht="15" x14ac:dyDescent="0.25">
      <c r="A3163" s="152"/>
      <c r="B3163" s="683"/>
      <c r="C3163" s="683"/>
      <c r="D3163" s="698"/>
      <c r="E3163" s="215"/>
      <c r="F3163" s="215"/>
      <c r="G3163" s="153"/>
      <c r="H3163" s="153"/>
      <c r="I3163" s="318">
        <v>19</v>
      </c>
      <c r="J3163" s="318">
        <v>30</v>
      </c>
      <c r="K3163" s="150">
        <v>1</v>
      </c>
      <c r="L3163" s="656">
        <v>9.5</v>
      </c>
      <c r="M3163" s="663">
        <v>35601</v>
      </c>
      <c r="N3163" s="600">
        <v>221.68799999999999</v>
      </c>
      <c r="O3163" s="604">
        <v>0.29073100000000002</v>
      </c>
      <c r="P3163" s="150"/>
      <c r="Q3163" s="250"/>
      <c r="R3163" s="250">
        <v>6.5000000000000002E-2</v>
      </c>
      <c r="S3163" s="250">
        <v>0.03</v>
      </c>
      <c r="T3163" s="250">
        <v>7.2000000000000008E-2</v>
      </c>
      <c r="U3163" s="250">
        <v>0.11800000000000001</v>
      </c>
      <c r="V3163" s="250">
        <v>0.28000000000000003</v>
      </c>
      <c r="W3163" s="250">
        <v>0.311</v>
      </c>
      <c r="X3163" s="250">
        <v>0.11599999999999999</v>
      </c>
      <c r="Y3163" s="250">
        <v>8.0000000000000002E-3</v>
      </c>
      <c r="Z3163" s="150">
        <v>23</v>
      </c>
      <c r="AA3163" s="150">
        <v>1.17</v>
      </c>
      <c r="AB3163" s="152"/>
      <c r="AC3163" s="152"/>
      <c r="AD3163" s="223">
        <v>62.329554999999999</v>
      </c>
      <c r="AE3163" s="223">
        <v>1.407026892</v>
      </c>
      <c r="AF3163" s="223">
        <v>87.696580699999998</v>
      </c>
      <c r="AG3163" s="223">
        <v>2.5602295430000002</v>
      </c>
      <c r="AH3163" s="341"/>
      <c r="AI3163" s="218"/>
      <c r="AJ3163" s="218"/>
      <c r="AK3163" s="153"/>
      <c r="AL3163" s="152"/>
      <c r="AM3163" s="152"/>
      <c r="AN3163" s="152"/>
      <c r="AO3163" s="152"/>
      <c r="AP3163" s="152"/>
      <c r="AQ3163" s="152"/>
      <c r="AR3163" s="152"/>
      <c r="AS3163" s="152"/>
      <c r="AT3163" s="152"/>
      <c r="AU3163" s="153"/>
      <c r="AV3163" s="479"/>
      <c r="AW3163" s="479"/>
      <c r="AX3163" s="442"/>
      <c r="AY3163" s="153"/>
      <c r="AZ3163" s="152"/>
      <c r="BA3163" s="152"/>
      <c r="BB3163" s="152"/>
      <c r="BC3163" s="152"/>
      <c r="BD3163" s="152"/>
      <c r="BE3163" s="152"/>
      <c r="BF3163" s="152"/>
      <c r="BG3163" s="152"/>
      <c r="BH3163" s="152"/>
      <c r="BI3163" s="153"/>
      <c r="BJ3163" s="153"/>
      <c r="BK3163" s="153"/>
      <c r="BL3163" s="153"/>
      <c r="BM3163" s="153"/>
      <c r="BN3163" s="153"/>
      <c r="BO3163" s="153"/>
      <c r="BP3163" s="153"/>
      <c r="BQ3163" s="153"/>
      <c r="BR3163" s="153"/>
      <c r="BS3163" s="153"/>
      <c r="BT3163" s="153"/>
      <c r="BU3163" s="153"/>
      <c r="BV3163" s="153"/>
      <c r="BW3163" s="153"/>
      <c r="BX3163" s="153"/>
      <c r="BY3163" s="153"/>
      <c r="BZ3163" s="153"/>
      <c r="CA3163" s="152"/>
      <c r="CB3163" s="152"/>
    </row>
    <row r="3164" spans="1:80" s="87" customFormat="1" ht="15" x14ac:dyDescent="0.25">
      <c r="A3164" s="152"/>
      <c r="B3164" s="683"/>
      <c r="C3164" s="683"/>
      <c r="D3164" s="698"/>
      <c r="E3164" s="215"/>
      <c r="F3164" s="215"/>
      <c r="G3164" s="153"/>
      <c r="H3164" s="153"/>
      <c r="I3164" s="318">
        <v>19</v>
      </c>
      <c r="J3164" s="318">
        <v>30</v>
      </c>
      <c r="K3164" s="150">
        <v>1</v>
      </c>
      <c r="L3164" s="656">
        <v>9.5</v>
      </c>
      <c r="M3164" s="663">
        <v>35602</v>
      </c>
      <c r="N3164" s="600">
        <v>203.56800000000001</v>
      </c>
      <c r="O3164" s="604">
        <v>0.39149</v>
      </c>
      <c r="P3164" s="150"/>
      <c r="Q3164" s="250"/>
      <c r="R3164" s="250">
        <v>0.214</v>
      </c>
      <c r="S3164" s="250">
        <v>1.6E-2</v>
      </c>
      <c r="T3164" s="250">
        <v>4.9000000000000002E-2</v>
      </c>
      <c r="U3164" s="250">
        <v>0.14800000000000002</v>
      </c>
      <c r="V3164" s="250">
        <v>0.316</v>
      </c>
      <c r="W3164" s="250">
        <v>0.18899999999999997</v>
      </c>
      <c r="X3164" s="250">
        <v>6.2E-2</v>
      </c>
      <c r="Y3164" s="250">
        <v>5.0000000000000001E-3</v>
      </c>
      <c r="Z3164" s="150">
        <v>27</v>
      </c>
      <c r="AA3164" s="150">
        <v>1.71</v>
      </c>
      <c r="AB3164" s="152"/>
      <c r="AC3164" s="152"/>
      <c r="AD3164" s="223">
        <v>61.719974999999998</v>
      </c>
      <c r="AE3164" s="223">
        <v>1.352627917</v>
      </c>
      <c r="AF3164" s="223">
        <v>83.481515450000003</v>
      </c>
      <c r="AG3164" s="223">
        <v>2.4249572979999998</v>
      </c>
      <c r="AH3164" s="341"/>
      <c r="AI3164" s="264"/>
      <c r="AJ3164" s="264"/>
      <c r="AK3164" s="264"/>
      <c r="AL3164" s="264"/>
      <c r="AM3164" s="264"/>
      <c r="AN3164" s="264"/>
      <c r="AO3164" s="264"/>
      <c r="AP3164" s="264"/>
      <c r="AQ3164" s="264"/>
      <c r="AR3164" s="264"/>
      <c r="AS3164" s="264"/>
      <c r="AT3164" s="264"/>
      <c r="AU3164" s="264"/>
      <c r="AV3164" s="264"/>
      <c r="AW3164" s="264"/>
      <c r="AX3164" s="442"/>
      <c r="AY3164" s="153"/>
      <c r="AZ3164" s="152"/>
      <c r="BA3164" s="152"/>
      <c r="BB3164" s="152"/>
      <c r="BC3164" s="152"/>
      <c r="BD3164" s="152"/>
      <c r="BE3164" s="152"/>
      <c r="BF3164" s="152"/>
      <c r="BG3164" s="152"/>
      <c r="BH3164" s="152"/>
      <c r="BI3164" s="153"/>
      <c r="BJ3164" s="153"/>
      <c r="BK3164" s="153"/>
      <c r="BL3164" s="153"/>
      <c r="BM3164" s="153"/>
      <c r="BN3164" s="153"/>
      <c r="BO3164" s="153"/>
      <c r="BP3164" s="153"/>
      <c r="BQ3164" s="153"/>
      <c r="BR3164" s="153"/>
      <c r="BS3164" s="153"/>
      <c r="BT3164" s="153"/>
      <c r="BU3164" s="153"/>
      <c r="BV3164" s="153"/>
      <c r="BW3164" s="153"/>
      <c r="BX3164" s="153"/>
      <c r="BY3164" s="153"/>
      <c r="BZ3164" s="153"/>
      <c r="CA3164" s="152"/>
      <c r="CB3164" s="152"/>
    </row>
    <row r="3165" spans="1:80" s="87" customFormat="1" ht="15" x14ac:dyDescent="0.25">
      <c r="A3165" s="152"/>
      <c r="B3165" s="683"/>
      <c r="C3165" s="683"/>
      <c r="D3165" s="698"/>
      <c r="E3165" s="215"/>
      <c r="F3165" s="215"/>
      <c r="G3165" s="153"/>
      <c r="H3165" s="153"/>
      <c r="I3165" s="318">
        <v>19</v>
      </c>
      <c r="J3165" s="318">
        <v>30</v>
      </c>
      <c r="K3165" s="150">
        <v>1</v>
      </c>
      <c r="L3165" s="656">
        <v>9.5</v>
      </c>
      <c r="M3165" s="663">
        <v>35602</v>
      </c>
      <c r="N3165" s="600">
        <v>205.55</v>
      </c>
      <c r="O3165" s="604">
        <v>0.120701</v>
      </c>
      <c r="P3165" s="150"/>
      <c r="Q3165" s="250"/>
      <c r="R3165" s="250"/>
      <c r="S3165" s="250">
        <v>0.06</v>
      </c>
      <c r="T3165" s="250">
        <v>8.4000000000000005E-2</v>
      </c>
      <c r="U3165" s="250">
        <v>0.10800000000000001</v>
      </c>
      <c r="V3165" s="250">
        <v>0.26300000000000001</v>
      </c>
      <c r="W3165" s="250">
        <v>0.311</v>
      </c>
      <c r="X3165" s="250">
        <v>0.16</v>
      </c>
      <c r="Y3165" s="250">
        <v>1.3999999999999999E-2</v>
      </c>
      <c r="Z3165" s="150">
        <v>14</v>
      </c>
      <c r="AA3165" s="150">
        <v>1.04</v>
      </c>
      <c r="AB3165" s="152"/>
      <c r="AC3165" s="152"/>
      <c r="AD3165" s="223">
        <v>61.719974999999998</v>
      </c>
      <c r="AE3165" s="223">
        <v>1.352627917</v>
      </c>
      <c r="AF3165" s="223">
        <v>83.481515450000003</v>
      </c>
      <c r="AG3165" s="223">
        <v>2.4249572979999998</v>
      </c>
      <c r="AH3165" s="341"/>
      <c r="AI3165" s="218"/>
      <c r="AJ3165" s="218"/>
      <c r="AK3165" s="153"/>
      <c r="AL3165" s="152"/>
      <c r="AM3165" s="152"/>
      <c r="AN3165" s="152"/>
      <c r="AO3165" s="152"/>
      <c r="AP3165" s="152"/>
      <c r="AQ3165" s="152"/>
      <c r="AR3165" s="152"/>
      <c r="AS3165" s="152"/>
      <c r="AT3165" s="152"/>
      <c r="AU3165" s="153"/>
      <c r="AV3165" s="479"/>
      <c r="AW3165" s="479"/>
      <c r="AX3165" s="442"/>
      <c r="AY3165" s="153"/>
      <c r="AZ3165" s="152"/>
      <c r="BA3165" s="152"/>
      <c r="BB3165" s="152"/>
      <c r="BC3165" s="152"/>
      <c r="BD3165" s="152"/>
      <c r="BE3165" s="152"/>
      <c r="BF3165" s="152"/>
      <c r="BG3165" s="152"/>
      <c r="BH3165" s="152"/>
      <c r="BI3165" s="153"/>
      <c r="BJ3165" s="153"/>
      <c r="BK3165" s="153"/>
      <c r="BL3165" s="153"/>
      <c r="BM3165" s="153"/>
      <c r="BN3165" s="153"/>
      <c r="BO3165" s="153"/>
      <c r="BP3165" s="153"/>
      <c r="BQ3165" s="153"/>
      <c r="BR3165" s="153"/>
      <c r="BS3165" s="153"/>
      <c r="BT3165" s="153"/>
      <c r="BU3165" s="153"/>
      <c r="BV3165" s="153"/>
      <c r="BW3165" s="153"/>
      <c r="BX3165" s="153"/>
      <c r="BY3165" s="153"/>
      <c r="BZ3165" s="153"/>
      <c r="CA3165" s="152"/>
      <c r="CB3165" s="152"/>
    </row>
    <row r="3166" spans="1:80" s="87" customFormat="1" ht="15" x14ac:dyDescent="0.25">
      <c r="A3166" s="152"/>
      <c r="B3166" s="683"/>
      <c r="C3166" s="683"/>
      <c r="D3166" s="698"/>
      <c r="E3166" s="215"/>
      <c r="F3166" s="215"/>
      <c r="G3166" s="153"/>
      <c r="H3166" s="153"/>
      <c r="I3166" s="318">
        <v>19</v>
      </c>
      <c r="J3166" s="318">
        <v>30</v>
      </c>
      <c r="K3166" s="150">
        <v>1</v>
      </c>
      <c r="L3166" s="656">
        <v>9.5</v>
      </c>
      <c r="M3166" s="663">
        <v>35603</v>
      </c>
      <c r="N3166" s="600">
        <v>184.316</v>
      </c>
      <c r="O3166" s="604">
        <v>6.8116999999999997E-2</v>
      </c>
      <c r="P3166" s="150"/>
      <c r="Q3166" s="250"/>
      <c r="R3166" s="250"/>
      <c r="S3166" s="250">
        <v>3.6000000000000004E-2</v>
      </c>
      <c r="T3166" s="250">
        <v>3.7999999999999999E-2</v>
      </c>
      <c r="U3166" s="250">
        <v>8.5999999999999993E-2</v>
      </c>
      <c r="V3166" s="250">
        <v>0.22899999999999998</v>
      </c>
      <c r="W3166" s="250">
        <v>0.36200000000000004</v>
      </c>
      <c r="X3166" s="250">
        <v>0.23100000000000001</v>
      </c>
      <c r="Y3166" s="250">
        <v>1.7000000000000001E-2</v>
      </c>
      <c r="Z3166" s="150">
        <v>8</v>
      </c>
      <c r="AA3166" s="150">
        <v>0.81</v>
      </c>
      <c r="AB3166" s="152"/>
      <c r="AC3166" s="152"/>
      <c r="AD3166" s="223"/>
      <c r="AE3166" s="223"/>
      <c r="AF3166" s="223"/>
      <c r="AG3166" s="223"/>
      <c r="AH3166" s="341"/>
      <c r="AI3166" s="218"/>
      <c r="AJ3166" s="218"/>
      <c r="AK3166" s="153"/>
      <c r="AL3166" s="152"/>
      <c r="AM3166" s="152"/>
      <c r="AN3166" s="152"/>
      <c r="AO3166" s="152"/>
      <c r="AP3166" s="152"/>
      <c r="AQ3166" s="152"/>
      <c r="AR3166" s="152"/>
      <c r="AS3166" s="152"/>
      <c r="AT3166" s="152"/>
      <c r="AU3166" s="153"/>
      <c r="AV3166" s="479"/>
      <c r="AW3166" s="479"/>
      <c r="AX3166" s="442"/>
      <c r="AY3166" s="153"/>
      <c r="AZ3166" s="152"/>
      <c r="BA3166" s="152"/>
      <c r="BB3166" s="152"/>
      <c r="BC3166" s="152"/>
      <c r="BD3166" s="152"/>
      <c r="BE3166" s="152"/>
      <c r="BF3166" s="152"/>
      <c r="BG3166" s="152"/>
      <c r="BH3166" s="152"/>
      <c r="BI3166" s="153"/>
      <c r="BJ3166" s="153"/>
      <c r="BK3166" s="153"/>
      <c r="BL3166" s="153"/>
      <c r="BM3166" s="153"/>
      <c r="BN3166" s="153"/>
      <c r="BO3166" s="153"/>
      <c r="BP3166" s="153"/>
      <c r="BQ3166" s="153"/>
      <c r="BR3166" s="153"/>
      <c r="BS3166" s="153"/>
      <c r="BT3166" s="153"/>
      <c r="BU3166" s="153"/>
      <c r="BV3166" s="153"/>
      <c r="BW3166" s="153"/>
      <c r="BX3166" s="153"/>
      <c r="BY3166" s="153"/>
      <c r="BZ3166" s="153"/>
      <c r="CA3166" s="152"/>
      <c r="CB3166" s="152"/>
    </row>
    <row r="3167" spans="1:80" s="87" customFormat="1" ht="15" x14ac:dyDescent="0.25">
      <c r="A3167" s="152"/>
      <c r="B3167" s="683"/>
      <c r="C3167" s="683"/>
      <c r="D3167" s="698"/>
      <c r="E3167" s="215"/>
      <c r="F3167" s="215"/>
      <c r="G3167" s="153"/>
      <c r="H3167" s="153"/>
      <c r="I3167" s="318">
        <v>19</v>
      </c>
      <c r="J3167" s="318">
        <v>30</v>
      </c>
      <c r="K3167" s="150">
        <v>1</v>
      </c>
      <c r="L3167" s="656">
        <v>9.5</v>
      </c>
      <c r="M3167" s="663">
        <v>35603</v>
      </c>
      <c r="N3167" s="600">
        <v>183.749</v>
      </c>
      <c r="O3167" s="604">
        <v>3.8099000000000001E-2</v>
      </c>
      <c r="P3167" s="150"/>
      <c r="Q3167" s="250"/>
      <c r="R3167" s="250"/>
      <c r="S3167" s="250"/>
      <c r="T3167" s="250">
        <v>1.1000000000000001E-2</v>
      </c>
      <c r="U3167" s="250">
        <v>5.4000000000000006E-2</v>
      </c>
      <c r="V3167" s="250">
        <v>0.14599999999999999</v>
      </c>
      <c r="W3167" s="250">
        <v>0.39500000000000002</v>
      </c>
      <c r="X3167" s="250">
        <v>0.36</v>
      </c>
      <c r="Y3167" s="250">
        <v>3.4000000000000002E-2</v>
      </c>
      <c r="Z3167" s="150">
        <v>5</v>
      </c>
      <c r="AA3167" s="150">
        <v>0.6</v>
      </c>
      <c r="AB3167" s="152"/>
      <c r="AC3167" s="152"/>
      <c r="AD3167" s="223"/>
      <c r="AE3167" s="223"/>
      <c r="AF3167" s="223"/>
      <c r="AG3167" s="223"/>
      <c r="AH3167" s="341"/>
      <c r="AI3167" s="218"/>
      <c r="AJ3167" s="218"/>
      <c r="AK3167" s="153"/>
      <c r="AL3167" s="152"/>
      <c r="AM3167" s="152"/>
      <c r="AN3167" s="152"/>
      <c r="AO3167" s="152"/>
      <c r="AP3167" s="152"/>
      <c r="AQ3167" s="152"/>
      <c r="AR3167" s="152"/>
      <c r="AS3167" s="152"/>
      <c r="AT3167" s="152"/>
      <c r="AU3167" s="153"/>
      <c r="AV3167" s="479"/>
      <c r="AW3167" s="479"/>
      <c r="AX3167" s="442"/>
      <c r="AY3167" s="153"/>
      <c r="AZ3167" s="152"/>
      <c r="BA3167" s="152"/>
      <c r="BB3167" s="152"/>
      <c r="BC3167" s="152"/>
      <c r="BD3167" s="152"/>
      <c r="BE3167" s="152"/>
      <c r="BF3167" s="152"/>
      <c r="BG3167" s="152"/>
      <c r="BH3167" s="152"/>
      <c r="BI3167" s="153"/>
      <c r="BJ3167" s="153"/>
      <c r="BK3167" s="153"/>
      <c r="BL3167" s="153"/>
      <c r="BM3167" s="153"/>
      <c r="BN3167" s="153"/>
      <c r="BO3167" s="153"/>
      <c r="BP3167" s="153"/>
      <c r="BQ3167" s="153"/>
      <c r="BR3167" s="153"/>
      <c r="BS3167" s="153"/>
      <c r="BT3167" s="153"/>
      <c r="BU3167" s="153"/>
      <c r="BV3167" s="153"/>
      <c r="BW3167" s="153"/>
      <c r="BX3167" s="153"/>
      <c r="BY3167" s="153"/>
      <c r="BZ3167" s="153"/>
      <c r="CA3167" s="152"/>
      <c r="CB3167" s="152"/>
    </row>
    <row r="3168" spans="1:80" s="87" customFormat="1" ht="15" x14ac:dyDescent="0.25">
      <c r="A3168" s="152"/>
      <c r="B3168" s="683"/>
      <c r="C3168" s="683"/>
      <c r="D3168" s="698"/>
      <c r="E3168" s="215"/>
      <c r="F3168" s="215"/>
      <c r="G3168" s="153"/>
      <c r="H3168" s="153"/>
      <c r="I3168" s="318">
        <v>19</v>
      </c>
      <c r="J3168" s="318">
        <v>30</v>
      </c>
      <c r="K3168" s="150">
        <v>1</v>
      </c>
      <c r="L3168" s="656">
        <v>9.5</v>
      </c>
      <c r="M3168" s="663">
        <v>35604</v>
      </c>
      <c r="N3168" s="600">
        <v>169.876</v>
      </c>
      <c r="O3168" s="604">
        <v>3.705E-2</v>
      </c>
      <c r="P3168" s="150"/>
      <c r="Q3168" s="250"/>
      <c r="R3168" s="250"/>
      <c r="S3168" s="250"/>
      <c r="T3168" s="250">
        <v>0.03</v>
      </c>
      <c r="U3168" s="250">
        <v>4.4999999999999998E-2</v>
      </c>
      <c r="V3168" s="250">
        <v>0.16800000000000001</v>
      </c>
      <c r="W3168" s="250">
        <v>0.39600000000000002</v>
      </c>
      <c r="X3168" s="250">
        <v>0.32899999999999996</v>
      </c>
      <c r="Y3168" s="250">
        <v>3.1E-2</v>
      </c>
      <c r="Z3168" s="150">
        <v>8</v>
      </c>
      <c r="AA3168" s="150">
        <v>0.64</v>
      </c>
      <c r="AB3168" s="152"/>
      <c r="AC3168" s="152"/>
      <c r="AD3168" s="223">
        <v>60.500815000000003</v>
      </c>
      <c r="AE3168" s="223">
        <v>1.283081449</v>
      </c>
      <c r="AF3168" s="223">
        <v>77.62501322</v>
      </c>
      <c r="AG3168" s="223">
        <v>2.279642306</v>
      </c>
      <c r="AH3168" s="341"/>
      <c r="AI3168" s="218"/>
      <c r="AJ3168" s="218"/>
      <c r="AK3168" s="153"/>
      <c r="AL3168" s="152"/>
      <c r="AM3168" s="152"/>
      <c r="AN3168" s="152"/>
      <c r="AO3168" s="152"/>
      <c r="AP3168" s="152"/>
      <c r="AQ3168" s="152"/>
      <c r="AR3168" s="152"/>
      <c r="AS3168" s="152"/>
      <c r="AT3168" s="152"/>
      <c r="AU3168" s="153"/>
      <c r="AV3168" s="479"/>
      <c r="AW3168" s="479"/>
      <c r="AX3168" s="442"/>
      <c r="AY3168" s="153"/>
      <c r="AZ3168" s="152"/>
      <c r="BA3168" s="152"/>
      <c r="BB3168" s="152"/>
      <c r="BC3168" s="152"/>
      <c r="BD3168" s="152"/>
      <c r="BE3168" s="152"/>
      <c r="BF3168" s="152"/>
      <c r="BG3168" s="152"/>
      <c r="BH3168" s="152"/>
      <c r="BI3168" s="153"/>
      <c r="BJ3168" s="153"/>
      <c r="BK3168" s="153"/>
      <c r="BL3168" s="153"/>
      <c r="BM3168" s="153"/>
      <c r="BN3168" s="153"/>
      <c r="BO3168" s="153"/>
      <c r="BP3168" s="153"/>
      <c r="BQ3168" s="153"/>
      <c r="BR3168" s="153"/>
      <c r="BS3168" s="153"/>
      <c r="BT3168" s="153"/>
      <c r="BU3168" s="153"/>
      <c r="BV3168" s="153"/>
      <c r="BW3168" s="153"/>
      <c r="BX3168" s="153"/>
      <c r="BY3168" s="153"/>
      <c r="BZ3168" s="153"/>
      <c r="CA3168" s="152"/>
      <c r="CB3168" s="152"/>
    </row>
    <row r="3169" spans="1:80" s="87" customFormat="1" ht="15" x14ac:dyDescent="0.25">
      <c r="A3169" s="152"/>
      <c r="B3169" s="683"/>
      <c r="C3169" s="683"/>
      <c r="D3169" s="698"/>
      <c r="E3169" s="215"/>
      <c r="F3169" s="215"/>
      <c r="G3169" s="153"/>
      <c r="H3169" s="153"/>
      <c r="I3169" s="318">
        <v>19</v>
      </c>
      <c r="J3169" s="318">
        <v>30</v>
      </c>
      <c r="K3169" s="150">
        <v>1</v>
      </c>
      <c r="L3169" s="656">
        <v>9.5</v>
      </c>
      <c r="M3169" s="663">
        <v>35604</v>
      </c>
      <c r="N3169" s="600">
        <v>170.44200000000001</v>
      </c>
      <c r="O3169" s="604">
        <v>5.8250999999999997E-2</v>
      </c>
      <c r="P3169" s="150"/>
      <c r="Q3169" s="250"/>
      <c r="R3169" s="250"/>
      <c r="S3169" s="250"/>
      <c r="T3169" s="250">
        <v>2.1000000000000001E-2</v>
      </c>
      <c r="U3169" s="250">
        <v>6.9000000000000006E-2</v>
      </c>
      <c r="V3169" s="250">
        <v>0.20499999999999999</v>
      </c>
      <c r="W3169" s="250">
        <v>0.41</v>
      </c>
      <c r="X3169" s="250">
        <v>0.27600000000000002</v>
      </c>
      <c r="Y3169" s="250">
        <v>0.02</v>
      </c>
      <c r="Z3169" s="150">
        <v>7</v>
      </c>
      <c r="AA3169" s="150">
        <v>0.71</v>
      </c>
      <c r="AB3169" s="152"/>
      <c r="AC3169" s="152"/>
      <c r="AD3169" s="223">
        <v>60.500815000000003</v>
      </c>
      <c r="AE3169" s="223">
        <v>1.283081449</v>
      </c>
      <c r="AF3169" s="223">
        <v>77.62501322</v>
      </c>
      <c r="AG3169" s="223">
        <v>2.279642306</v>
      </c>
      <c r="AH3169" s="341"/>
      <c r="AI3169" s="218"/>
      <c r="AJ3169" s="218"/>
      <c r="AK3169" s="153"/>
      <c r="AL3169" s="152"/>
      <c r="AM3169" s="152"/>
      <c r="AN3169" s="152"/>
      <c r="AO3169" s="152"/>
      <c r="AP3169" s="152"/>
      <c r="AQ3169" s="152"/>
      <c r="AR3169" s="152"/>
      <c r="AS3169" s="152"/>
      <c r="AT3169" s="152"/>
      <c r="AU3169" s="153"/>
      <c r="AV3169" s="479"/>
      <c r="AW3169" s="479"/>
      <c r="AX3169" s="442"/>
      <c r="AY3169" s="153"/>
      <c r="AZ3169" s="152"/>
      <c r="BA3169" s="152"/>
      <c r="BB3169" s="152"/>
      <c r="BC3169" s="152"/>
      <c r="BD3169" s="152"/>
      <c r="BE3169" s="152"/>
      <c r="BF3169" s="152"/>
      <c r="BG3169" s="152"/>
      <c r="BH3169" s="152"/>
      <c r="BI3169" s="153"/>
      <c r="BJ3169" s="153"/>
      <c r="BK3169" s="153"/>
      <c r="BL3169" s="153"/>
      <c r="BM3169" s="153"/>
      <c r="BN3169" s="153"/>
      <c r="BO3169" s="153"/>
      <c r="BP3169" s="153"/>
      <c r="BQ3169" s="153"/>
      <c r="BR3169" s="153"/>
      <c r="BS3169" s="153"/>
      <c r="BT3169" s="153"/>
      <c r="BU3169" s="153"/>
      <c r="BV3169" s="153"/>
      <c r="BW3169" s="153"/>
      <c r="BX3169" s="153"/>
      <c r="BY3169" s="153"/>
      <c r="BZ3169" s="153"/>
      <c r="CA3169" s="152"/>
      <c r="CB3169" s="152"/>
    </row>
    <row r="3170" spans="1:80" s="87" customFormat="1" ht="15" x14ac:dyDescent="0.25">
      <c r="A3170" s="152"/>
      <c r="B3170" s="683"/>
      <c r="C3170" s="683"/>
      <c r="D3170" s="698"/>
      <c r="E3170" s="215"/>
      <c r="F3170" s="215"/>
      <c r="G3170" s="153"/>
      <c r="H3170" s="153"/>
      <c r="I3170" s="318">
        <v>19</v>
      </c>
      <c r="J3170" s="318">
        <v>30</v>
      </c>
      <c r="K3170" s="150">
        <v>1</v>
      </c>
      <c r="L3170" s="656">
        <v>9.5</v>
      </c>
      <c r="M3170" s="663">
        <v>35605</v>
      </c>
      <c r="N3170" s="600">
        <v>152.322</v>
      </c>
      <c r="O3170" s="604">
        <v>0.31592100000000001</v>
      </c>
      <c r="P3170" s="150"/>
      <c r="Q3170" s="250">
        <v>0.90799999999999992</v>
      </c>
      <c r="R3170" s="250">
        <v>0</v>
      </c>
      <c r="S3170" s="250">
        <v>3.0000000000000001E-3</v>
      </c>
      <c r="T3170" s="250">
        <v>1.2E-2</v>
      </c>
      <c r="U3170" s="250">
        <v>1.6E-2</v>
      </c>
      <c r="V3170" s="250">
        <v>2.1000000000000001E-2</v>
      </c>
      <c r="W3170" s="250">
        <v>2.4E-2</v>
      </c>
      <c r="X3170" s="250">
        <v>1.3999999999999999E-2</v>
      </c>
      <c r="Y3170" s="250">
        <v>2E-3</v>
      </c>
      <c r="Z3170" s="150">
        <v>67</v>
      </c>
      <c r="AA3170" s="150">
        <v>43.69</v>
      </c>
      <c r="AB3170" s="152"/>
      <c r="AC3170" s="152"/>
      <c r="AD3170" s="223">
        <v>59.921714000000001</v>
      </c>
      <c r="AE3170" s="223">
        <v>1.177774603</v>
      </c>
      <c r="AF3170" s="223">
        <v>70.572036269999998</v>
      </c>
      <c r="AG3170" s="223">
        <v>2.1343584679999998</v>
      </c>
      <c r="AH3170" s="341"/>
      <c r="AI3170" s="218"/>
      <c r="AJ3170" s="218"/>
      <c r="AK3170" s="153"/>
      <c r="AL3170" s="152"/>
      <c r="AM3170" s="152"/>
      <c r="AN3170" s="152"/>
      <c r="AO3170" s="152"/>
      <c r="AP3170" s="152"/>
      <c r="AQ3170" s="152"/>
      <c r="AR3170" s="152"/>
      <c r="AS3170" s="152"/>
      <c r="AT3170" s="152"/>
      <c r="AU3170" s="153"/>
      <c r="AV3170" s="479"/>
      <c r="AW3170" s="479"/>
      <c r="AX3170" s="442"/>
      <c r="AY3170" s="153"/>
      <c r="AZ3170" s="152"/>
      <c r="BA3170" s="152"/>
      <c r="BB3170" s="152"/>
      <c r="BC3170" s="152"/>
      <c r="BD3170" s="152"/>
      <c r="BE3170" s="152"/>
      <c r="BF3170" s="152"/>
      <c r="BG3170" s="152"/>
      <c r="BH3170" s="152"/>
      <c r="BI3170" s="153"/>
      <c r="BJ3170" s="153"/>
      <c r="BK3170" s="153"/>
      <c r="BL3170" s="153"/>
      <c r="BM3170" s="153"/>
      <c r="BN3170" s="153"/>
      <c r="BO3170" s="153"/>
      <c r="BP3170" s="153"/>
      <c r="BQ3170" s="153"/>
      <c r="BR3170" s="153"/>
      <c r="BS3170" s="153"/>
      <c r="BT3170" s="153"/>
      <c r="BU3170" s="153"/>
      <c r="BV3170" s="153"/>
      <c r="BW3170" s="153"/>
      <c r="BX3170" s="153"/>
      <c r="BY3170" s="153"/>
      <c r="BZ3170" s="153"/>
      <c r="CA3170" s="152"/>
      <c r="CB3170" s="152"/>
    </row>
    <row r="3171" spans="1:80" s="87" customFormat="1" ht="15" x14ac:dyDescent="0.25">
      <c r="A3171" s="152"/>
      <c r="B3171" s="683"/>
      <c r="C3171" s="683"/>
      <c r="D3171" s="698"/>
      <c r="E3171" s="215"/>
      <c r="F3171" s="215"/>
      <c r="G3171" s="153"/>
      <c r="H3171" s="153"/>
      <c r="I3171" s="318">
        <v>19</v>
      </c>
      <c r="J3171" s="318">
        <v>30</v>
      </c>
      <c r="K3171" s="150">
        <v>1</v>
      </c>
      <c r="L3171" s="656">
        <v>9.5</v>
      </c>
      <c r="M3171" s="663">
        <v>35605</v>
      </c>
      <c r="N3171" s="600">
        <v>149.774</v>
      </c>
      <c r="O3171" s="604">
        <v>1.6792999999999999E-2</v>
      </c>
      <c r="P3171" s="150"/>
      <c r="Q3171" s="250"/>
      <c r="R3171" s="250"/>
      <c r="S3171" s="250"/>
      <c r="T3171" s="250">
        <v>4.7E-2</v>
      </c>
      <c r="U3171" s="250">
        <v>8.199999999999999E-2</v>
      </c>
      <c r="V3171" s="250">
        <v>0.16800000000000001</v>
      </c>
      <c r="W3171" s="250">
        <v>0.373</v>
      </c>
      <c r="X3171" s="250">
        <v>0.30599999999999999</v>
      </c>
      <c r="Y3171" s="250">
        <v>2.4E-2</v>
      </c>
      <c r="Z3171" s="150">
        <v>4</v>
      </c>
      <c r="AA3171" s="150">
        <v>0.69</v>
      </c>
      <c r="AB3171" s="152"/>
      <c r="AC3171" s="152"/>
      <c r="AD3171" s="223">
        <v>59.921714000000001</v>
      </c>
      <c r="AE3171" s="223">
        <v>1.177774603</v>
      </c>
      <c r="AF3171" s="223">
        <v>70.572036269999998</v>
      </c>
      <c r="AG3171" s="223">
        <v>2.1343584679999998</v>
      </c>
      <c r="AH3171" s="341"/>
      <c r="AI3171" s="218"/>
      <c r="AJ3171" s="218"/>
      <c r="AK3171" s="153"/>
      <c r="AL3171" s="152"/>
      <c r="AM3171" s="152"/>
      <c r="AN3171" s="152"/>
      <c r="AO3171" s="152"/>
      <c r="AP3171" s="152"/>
      <c r="AQ3171" s="152"/>
      <c r="AR3171" s="152"/>
      <c r="AS3171" s="152"/>
      <c r="AT3171" s="152"/>
      <c r="AU3171" s="153"/>
      <c r="AV3171" s="479"/>
      <c r="AW3171" s="479"/>
      <c r="AX3171" s="442"/>
      <c r="AY3171" s="153"/>
      <c r="AZ3171" s="152"/>
      <c r="BA3171" s="152"/>
      <c r="BB3171" s="152"/>
      <c r="BC3171" s="152"/>
      <c r="BD3171" s="152"/>
      <c r="BE3171" s="152"/>
      <c r="BF3171" s="152"/>
      <c r="BG3171" s="152"/>
      <c r="BH3171" s="152"/>
      <c r="BI3171" s="153"/>
      <c r="BJ3171" s="153"/>
      <c r="BK3171" s="153"/>
      <c r="BL3171" s="153"/>
      <c r="BM3171" s="153"/>
      <c r="BN3171" s="153"/>
      <c r="BO3171" s="153"/>
      <c r="BP3171" s="153"/>
      <c r="BQ3171" s="153"/>
      <c r="BR3171" s="153"/>
      <c r="BS3171" s="153"/>
      <c r="BT3171" s="153"/>
      <c r="BU3171" s="153"/>
      <c r="BV3171" s="153"/>
      <c r="BW3171" s="153"/>
      <c r="BX3171" s="153"/>
      <c r="BY3171" s="153"/>
      <c r="BZ3171" s="153"/>
      <c r="CA3171" s="152"/>
      <c r="CB3171" s="152"/>
    </row>
    <row r="3172" spans="1:80" s="87" customFormat="1" ht="15" x14ac:dyDescent="0.25">
      <c r="A3172" s="152"/>
      <c r="B3172" s="683"/>
      <c r="C3172" s="683"/>
      <c r="D3172" s="698"/>
      <c r="E3172" s="215"/>
      <c r="F3172" s="215"/>
      <c r="G3172" s="153"/>
      <c r="H3172" s="153"/>
      <c r="I3172" s="318">
        <v>17</v>
      </c>
      <c r="J3172" s="318">
        <v>30</v>
      </c>
      <c r="K3172" s="150">
        <v>1</v>
      </c>
      <c r="L3172" s="656">
        <v>8.5</v>
      </c>
      <c r="M3172" s="663">
        <v>35606</v>
      </c>
      <c r="N3172" s="600">
        <v>141.56399999999999</v>
      </c>
      <c r="O3172" s="604">
        <v>2.2041000000000002E-2</v>
      </c>
      <c r="P3172" s="150"/>
      <c r="Q3172" s="250"/>
      <c r="R3172" s="250"/>
      <c r="S3172" s="250">
        <v>6.6000000000000003E-2</v>
      </c>
      <c r="T3172" s="250">
        <v>3.6000000000000004E-2</v>
      </c>
      <c r="U3172" s="250">
        <v>8.3000000000000004E-2</v>
      </c>
      <c r="V3172" s="250">
        <v>0.24199999999999999</v>
      </c>
      <c r="W3172" s="250">
        <v>0.33200000000000002</v>
      </c>
      <c r="X3172" s="250">
        <v>0.21600000000000003</v>
      </c>
      <c r="Y3172" s="250">
        <v>2.4E-2</v>
      </c>
      <c r="Z3172" s="150">
        <v>8</v>
      </c>
      <c r="AA3172" s="150">
        <v>0.86</v>
      </c>
      <c r="AB3172" s="152"/>
      <c r="AC3172" s="152"/>
      <c r="AD3172" s="223"/>
      <c r="AE3172" s="223"/>
      <c r="AF3172" s="223"/>
      <c r="AG3172" s="223"/>
      <c r="AH3172" s="341"/>
      <c r="AI3172" s="218"/>
      <c r="AJ3172" s="218"/>
      <c r="AK3172" s="153"/>
      <c r="AL3172" s="152"/>
      <c r="AM3172" s="152"/>
      <c r="AN3172" s="152"/>
      <c r="AO3172" s="152"/>
      <c r="AP3172" s="152"/>
      <c r="AQ3172" s="152"/>
      <c r="AR3172" s="152"/>
      <c r="AS3172" s="152"/>
      <c r="AT3172" s="152"/>
      <c r="AU3172" s="153"/>
      <c r="AV3172" s="479"/>
      <c r="AW3172" s="479"/>
      <c r="AX3172" s="442"/>
      <c r="AY3172" s="153"/>
      <c r="AZ3172" s="152"/>
      <c r="BA3172" s="152"/>
      <c r="BB3172" s="152"/>
      <c r="BC3172" s="152"/>
      <c r="BD3172" s="152"/>
      <c r="BE3172" s="152"/>
      <c r="BF3172" s="152"/>
      <c r="BG3172" s="152"/>
      <c r="BH3172" s="152"/>
      <c r="BI3172" s="153"/>
      <c r="BJ3172" s="153"/>
      <c r="BK3172" s="153"/>
      <c r="BL3172" s="153"/>
      <c r="BM3172" s="153"/>
      <c r="BN3172" s="153"/>
      <c r="BO3172" s="153"/>
      <c r="BP3172" s="153"/>
      <c r="BQ3172" s="153"/>
      <c r="BR3172" s="153"/>
      <c r="BS3172" s="153"/>
      <c r="BT3172" s="153"/>
      <c r="BU3172" s="153"/>
      <c r="BV3172" s="153"/>
      <c r="BW3172" s="153"/>
      <c r="BX3172" s="153"/>
      <c r="BY3172" s="153"/>
      <c r="BZ3172" s="153"/>
      <c r="CA3172" s="152"/>
      <c r="CB3172" s="152"/>
    </row>
    <row r="3173" spans="1:80" s="87" customFormat="1" ht="15" x14ac:dyDescent="0.25">
      <c r="A3173" s="152"/>
      <c r="B3173" s="683"/>
      <c r="C3173" s="683"/>
      <c r="D3173" s="698"/>
      <c r="E3173" s="215"/>
      <c r="F3173" s="215"/>
      <c r="G3173" s="153"/>
      <c r="H3173" s="153"/>
      <c r="I3173" s="319">
        <v>17</v>
      </c>
      <c r="J3173" s="319">
        <v>30</v>
      </c>
      <c r="K3173" s="150">
        <v>1</v>
      </c>
      <c r="L3173" s="656">
        <v>8.5</v>
      </c>
      <c r="M3173" s="663">
        <v>35606</v>
      </c>
      <c r="N3173" s="600">
        <v>140.99700000000001</v>
      </c>
      <c r="O3173" s="604">
        <v>1.3225000000000001E-2</v>
      </c>
      <c r="P3173" s="150"/>
      <c r="Q3173" s="250"/>
      <c r="R3173" s="250"/>
      <c r="S3173" s="250"/>
      <c r="T3173" s="250"/>
      <c r="U3173" s="250">
        <v>4.9000000000000002E-2</v>
      </c>
      <c r="V3173" s="250">
        <v>0.19600000000000001</v>
      </c>
      <c r="W3173" s="250">
        <v>0.40799999999999997</v>
      </c>
      <c r="X3173" s="250">
        <v>0.31900000000000001</v>
      </c>
      <c r="Y3173" s="250">
        <v>2.7999999999999997E-2</v>
      </c>
      <c r="Z3173" s="150">
        <v>4</v>
      </c>
      <c r="AA3173" s="150">
        <v>0.65</v>
      </c>
      <c r="AB3173" s="152"/>
      <c r="AC3173" s="152"/>
      <c r="AD3173" s="223"/>
      <c r="AE3173" s="223"/>
      <c r="AF3173" s="223"/>
      <c r="AG3173" s="223"/>
      <c r="AH3173" s="341"/>
      <c r="AI3173" s="218"/>
      <c r="AJ3173" s="218"/>
      <c r="AK3173" s="153"/>
      <c r="AL3173" s="152"/>
      <c r="AM3173" s="152"/>
      <c r="AN3173" s="152"/>
      <c r="AO3173" s="152"/>
      <c r="AP3173" s="152"/>
      <c r="AQ3173" s="152"/>
      <c r="AR3173" s="152"/>
      <c r="AS3173" s="152"/>
      <c r="AT3173" s="152"/>
      <c r="AU3173" s="153"/>
      <c r="AV3173" s="479"/>
      <c r="AW3173" s="479"/>
      <c r="AX3173" s="442"/>
      <c r="AY3173" s="153"/>
      <c r="AZ3173" s="152"/>
      <c r="BA3173" s="152"/>
      <c r="BB3173" s="152"/>
      <c r="BC3173" s="152"/>
      <c r="BD3173" s="152"/>
      <c r="BE3173" s="152"/>
      <c r="BF3173" s="152"/>
      <c r="BG3173" s="152"/>
      <c r="BH3173" s="152"/>
      <c r="BI3173" s="153"/>
      <c r="BJ3173" s="153"/>
      <c r="BK3173" s="153"/>
      <c r="BL3173" s="153"/>
      <c r="BM3173" s="153"/>
      <c r="BN3173" s="153"/>
      <c r="BO3173" s="153"/>
      <c r="BP3173" s="153"/>
      <c r="BQ3173" s="153"/>
      <c r="BR3173" s="153"/>
      <c r="BS3173" s="153"/>
      <c r="BT3173" s="153"/>
      <c r="BU3173" s="153"/>
      <c r="BV3173" s="153"/>
      <c r="BW3173" s="153"/>
      <c r="BX3173" s="153"/>
      <c r="BY3173" s="153"/>
      <c r="BZ3173" s="153"/>
      <c r="CA3173" s="152"/>
      <c r="CB3173" s="152"/>
    </row>
    <row r="3174" spans="1:80" s="87" customFormat="1" ht="15" x14ac:dyDescent="0.25">
      <c r="A3174" s="152"/>
      <c r="B3174" s="683"/>
      <c r="C3174" s="683"/>
      <c r="D3174" s="698"/>
      <c r="E3174" s="215"/>
      <c r="F3174" s="215"/>
      <c r="G3174" s="153"/>
      <c r="H3174" s="153"/>
      <c r="I3174" s="319">
        <v>17</v>
      </c>
      <c r="J3174" s="319">
        <v>30</v>
      </c>
      <c r="K3174" s="150">
        <v>1</v>
      </c>
      <c r="L3174" s="656">
        <v>8.5</v>
      </c>
      <c r="M3174" s="663">
        <v>35607</v>
      </c>
      <c r="N3174" s="600">
        <v>135.61799999999999</v>
      </c>
      <c r="O3174" s="604">
        <v>3.3480999999999997E-2</v>
      </c>
      <c r="P3174" s="150"/>
      <c r="Q3174" s="250"/>
      <c r="R3174" s="250"/>
      <c r="S3174" s="250">
        <v>6.5000000000000002E-2</v>
      </c>
      <c r="T3174" s="250">
        <v>1.6E-2</v>
      </c>
      <c r="U3174" s="250">
        <v>9.9000000000000005E-2</v>
      </c>
      <c r="V3174" s="250">
        <v>0.29299999999999998</v>
      </c>
      <c r="W3174" s="250">
        <v>0.35700000000000004</v>
      </c>
      <c r="X3174" s="250">
        <v>0.153</v>
      </c>
      <c r="Y3174" s="250">
        <v>1.7000000000000001E-2</v>
      </c>
      <c r="Z3174" s="150">
        <v>12</v>
      </c>
      <c r="AA3174" s="150">
        <v>0.95</v>
      </c>
      <c r="AB3174" s="152"/>
      <c r="AC3174" s="152"/>
      <c r="AD3174" s="223">
        <v>55.868006999999999</v>
      </c>
      <c r="AE3174" s="223">
        <v>1.2152690639999999</v>
      </c>
      <c r="AF3174" s="223">
        <v>67.892508840000005</v>
      </c>
      <c r="AG3174" s="223">
        <v>1.97671866</v>
      </c>
      <c r="AH3174" s="341"/>
      <c r="AI3174" s="218"/>
      <c r="AJ3174" s="218"/>
      <c r="AK3174" s="153"/>
      <c r="AL3174" s="152"/>
      <c r="AM3174" s="152"/>
      <c r="AN3174" s="152"/>
      <c r="AO3174" s="152"/>
      <c r="AP3174" s="152"/>
      <c r="AQ3174" s="152"/>
      <c r="AR3174" s="152"/>
      <c r="AS3174" s="152"/>
      <c r="AT3174" s="152"/>
      <c r="AU3174" s="153"/>
      <c r="AV3174" s="479"/>
      <c r="AW3174" s="479"/>
      <c r="AX3174" s="442"/>
      <c r="AY3174" s="153"/>
      <c r="AZ3174" s="152"/>
      <c r="BA3174" s="152"/>
      <c r="BB3174" s="152"/>
      <c r="BC3174" s="152"/>
      <c r="BD3174" s="152"/>
      <c r="BE3174" s="152"/>
      <c r="BF3174" s="152"/>
      <c r="BG3174" s="152"/>
      <c r="BH3174" s="152"/>
      <c r="BI3174" s="153"/>
      <c r="BJ3174" s="153"/>
      <c r="BK3174" s="153"/>
      <c r="BL3174" s="153"/>
      <c r="BM3174" s="153"/>
      <c r="BN3174" s="153"/>
      <c r="BO3174" s="153"/>
      <c r="BP3174" s="153"/>
      <c r="BQ3174" s="153"/>
      <c r="BR3174" s="153"/>
      <c r="BS3174" s="153"/>
      <c r="BT3174" s="153"/>
      <c r="BU3174" s="153"/>
      <c r="BV3174" s="153"/>
      <c r="BW3174" s="153"/>
      <c r="BX3174" s="153"/>
      <c r="BY3174" s="153"/>
      <c r="BZ3174" s="153"/>
      <c r="CA3174" s="152"/>
      <c r="CB3174" s="152"/>
    </row>
    <row r="3175" spans="1:80" s="87" customFormat="1" ht="15" x14ac:dyDescent="0.25">
      <c r="A3175" s="152"/>
      <c r="B3175" s="683"/>
      <c r="C3175" s="683"/>
      <c r="D3175" s="698"/>
      <c r="E3175" s="215"/>
      <c r="F3175" s="215"/>
      <c r="G3175" s="153"/>
      <c r="H3175" s="153"/>
      <c r="I3175" s="319">
        <v>17</v>
      </c>
      <c r="J3175" s="319">
        <v>30</v>
      </c>
      <c r="K3175" s="150">
        <v>1</v>
      </c>
      <c r="L3175" s="656">
        <v>8.5</v>
      </c>
      <c r="M3175" s="663">
        <v>35607</v>
      </c>
      <c r="N3175" s="600">
        <v>139.298</v>
      </c>
      <c r="O3175" s="604">
        <v>1.2279999999999999E-2</v>
      </c>
      <c r="P3175" s="150"/>
      <c r="Q3175" s="250"/>
      <c r="R3175" s="250"/>
      <c r="S3175" s="250"/>
      <c r="T3175" s="250">
        <v>5.5999999999999994E-2</v>
      </c>
      <c r="U3175" s="250">
        <v>9.0999999999999998E-2</v>
      </c>
      <c r="V3175" s="250">
        <v>0.20899999999999999</v>
      </c>
      <c r="W3175" s="250">
        <v>0.33700000000000002</v>
      </c>
      <c r="X3175" s="250">
        <v>0.28100000000000003</v>
      </c>
      <c r="Y3175" s="250">
        <v>2.7000000000000003E-2</v>
      </c>
      <c r="Z3175" s="150">
        <v>5</v>
      </c>
      <c r="AA3175" s="150">
        <v>0.74</v>
      </c>
      <c r="AB3175" s="152"/>
      <c r="AC3175" s="152"/>
      <c r="AD3175" s="223">
        <v>55.868006999999999</v>
      </c>
      <c r="AE3175" s="223">
        <v>1.2152690639999999</v>
      </c>
      <c r="AF3175" s="223">
        <v>67.892508840000005</v>
      </c>
      <c r="AG3175" s="223">
        <v>1.97671866</v>
      </c>
      <c r="AH3175" s="341"/>
      <c r="AI3175" s="218"/>
      <c r="AJ3175" s="218"/>
      <c r="AK3175" s="153"/>
      <c r="AL3175" s="152"/>
      <c r="AM3175" s="152"/>
      <c r="AN3175" s="152"/>
      <c r="AO3175" s="152"/>
      <c r="AP3175" s="152"/>
      <c r="AQ3175" s="152"/>
      <c r="AR3175" s="152"/>
      <c r="AS3175" s="152"/>
      <c r="AT3175" s="152"/>
      <c r="AU3175" s="153"/>
      <c r="AV3175" s="479"/>
      <c r="AW3175" s="479"/>
      <c r="AX3175" s="442"/>
      <c r="AY3175" s="153"/>
      <c r="AZ3175" s="152"/>
      <c r="BA3175" s="152"/>
      <c r="BB3175" s="152"/>
      <c r="BC3175" s="152"/>
      <c r="BD3175" s="152"/>
      <c r="BE3175" s="152"/>
      <c r="BF3175" s="152"/>
      <c r="BG3175" s="152"/>
      <c r="BH3175" s="152"/>
      <c r="BI3175" s="153"/>
      <c r="BJ3175" s="153"/>
      <c r="BK3175" s="153"/>
      <c r="BL3175" s="153"/>
      <c r="BM3175" s="153"/>
      <c r="BN3175" s="153"/>
      <c r="BO3175" s="153"/>
      <c r="BP3175" s="153"/>
      <c r="BQ3175" s="153"/>
      <c r="BR3175" s="153"/>
      <c r="BS3175" s="153"/>
      <c r="BT3175" s="153"/>
      <c r="BU3175" s="153"/>
      <c r="BV3175" s="153"/>
      <c r="BW3175" s="153"/>
      <c r="BX3175" s="153"/>
      <c r="BY3175" s="153"/>
      <c r="BZ3175" s="153"/>
      <c r="CA3175" s="152"/>
      <c r="CB3175" s="152"/>
    </row>
    <row r="3176" spans="1:80" ht="15" x14ac:dyDescent="0.25">
      <c r="A3176" s="9" t="s">
        <v>198</v>
      </c>
      <c r="B3176" s="639" t="s">
        <v>66</v>
      </c>
      <c r="C3176" s="610" t="s">
        <v>599</v>
      </c>
      <c r="D3176" s="4">
        <f>VLOOKUP(E3176,'Quality Code'!D4:E24,2,TRUE)*VLOOKUP(MROUND(F3176,10),'Quality Code'!D28:E69,2,TRUE)*VLOOKUP(COUNTA(CB3176:CB3186),'Quality Code'!D73:E93,2,TRUE)</f>
        <v>2.8000000000000003</v>
      </c>
      <c r="E3176" s="14">
        <v>0.8</v>
      </c>
      <c r="F3176" s="18">
        <v>72</v>
      </c>
      <c r="G3176" s="12">
        <v>3351.64</v>
      </c>
      <c r="H3176" s="2" t="s">
        <v>231</v>
      </c>
      <c r="I3176" s="10"/>
      <c r="J3176" s="10" t="s">
        <v>283</v>
      </c>
      <c r="K3176" s="10"/>
      <c r="L3176" s="640" t="s">
        <v>284</v>
      </c>
      <c r="M3176" s="640" t="s">
        <v>838</v>
      </c>
      <c r="N3176" s="579" t="s">
        <v>285</v>
      </c>
      <c r="O3176" s="579"/>
      <c r="P3176" s="10" t="s">
        <v>64</v>
      </c>
      <c r="Q3176" s="10" t="s">
        <v>64</v>
      </c>
      <c r="R3176" s="10" t="s">
        <v>64</v>
      </c>
      <c r="S3176" s="10" t="s">
        <v>64</v>
      </c>
      <c r="T3176" s="10" t="s">
        <v>64</v>
      </c>
      <c r="U3176" s="10" t="s">
        <v>64</v>
      </c>
      <c r="V3176" s="10"/>
      <c r="W3176" s="10"/>
      <c r="X3176" s="10"/>
      <c r="Y3176" s="10"/>
      <c r="Z3176" s="11"/>
      <c r="AA3176" s="81"/>
      <c r="AB3176" s="81"/>
      <c r="AC3176" s="116">
        <v>5.0000000000000001E-4</v>
      </c>
      <c r="AD3176" s="11"/>
      <c r="AE3176" s="11"/>
      <c r="AF3176" s="10"/>
      <c r="AG3176" s="10"/>
      <c r="AH3176" s="345" t="s">
        <v>348</v>
      </c>
      <c r="AI3176" s="18">
        <v>22.51</v>
      </c>
      <c r="AJ3176" s="17">
        <v>1</v>
      </c>
      <c r="AK3176" s="17">
        <v>0.89080000000000004</v>
      </c>
      <c r="AL3176" s="17">
        <v>0.7621</v>
      </c>
      <c r="AM3176" s="17">
        <v>0.58430000000000004</v>
      </c>
      <c r="AN3176" s="17">
        <v>0.4143</v>
      </c>
      <c r="AO3176" s="17">
        <v>0.28220000000000001</v>
      </c>
      <c r="AP3176" s="17">
        <v>0.2064</v>
      </c>
      <c r="AQ3176" s="17">
        <v>0.1421</v>
      </c>
      <c r="AR3176" s="17">
        <v>5.8900000000000001E-2</v>
      </c>
      <c r="AS3176" s="17">
        <v>1.21E-2</v>
      </c>
      <c r="AT3176" s="17">
        <v>1.1999999999999999E-3</v>
      </c>
      <c r="AU3176" s="18">
        <v>90</v>
      </c>
      <c r="AV3176" s="17">
        <v>1</v>
      </c>
      <c r="AW3176" s="17">
        <v>0.95879999999999999</v>
      </c>
      <c r="AX3176" s="17">
        <v>0.86760000000000004</v>
      </c>
      <c r="AY3176" s="17">
        <v>0.66469999999999996</v>
      </c>
      <c r="AZ3176" s="17">
        <v>0.3735</v>
      </c>
      <c r="BA3176" s="17">
        <v>0.2147</v>
      </c>
      <c r="BB3176" s="17">
        <v>0.1618</v>
      </c>
      <c r="BC3176" s="17">
        <v>0.12939999999999999</v>
      </c>
      <c r="BD3176" s="17">
        <v>0.1206</v>
      </c>
      <c r="BE3176" s="17">
        <v>0.1147</v>
      </c>
      <c r="BF3176" s="17"/>
      <c r="BG3176" s="17"/>
      <c r="BH3176" s="17"/>
      <c r="BI3176" s="4">
        <f>AU3176/AI3176</f>
        <v>3.9982230119946687</v>
      </c>
      <c r="BJ3176" s="2" t="s">
        <v>68</v>
      </c>
      <c r="BK3176" s="2" t="s">
        <v>175</v>
      </c>
      <c r="BL3176" s="12"/>
      <c r="BM3176" s="12">
        <v>453.00299999999999</v>
      </c>
      <c r="BN3176" s="12">
        <v>85.645989999999998</v>
      </c>
      <c r="BO3176" s="12">
        <v>2.7644453000000002</v>
      </c>
      <c r="BP3176" s="12">
        <v>236.87970000000001</v>
      </c>
      <c r="BQ3176" s="12">
        <f>BN3176/BO3176</f>
        <v>30.98125689084895</v>
      </c>
      <c r="BR3176" s="12" t="s">
        <v>29</v>
      </c>
      <c r="BS3176" s="18">
        <v>5</v>
      </c>
      <c r="BT3176" s="12">
        <v>3.9622700000000002</v>
      </c>
      <c r="BU3176" s="2"/>
      <c r="BV3176" s="2"/>
      <c r="BW3176" s="2"/>
      <c r="BX3176" s="2"/>
      <c r="BY3176" s="2"/>
      <c r="BZ3176" s="2"/>
      <c r="CA3176" s="381"/>
      <c r="CB3176" s="9" t="s">
        <v>224</v>
      </c>
    </row>
    <row r="3177" spans="1:80" s="87" customFormat="1" ht="15" x14ac:dyDescent="0.25">
      <c r="A3177" s="152"/>
      <c r="B3177" s="683"/>
      <c r="C3177" s="683"/>
      <c r="D3177" s="698"/>
      <c r="E3177" s="215"/>
      <c r="F3177" s="215"/>
      <c r="G3177" s="153"/>
      <c r="H3177" s="153"/>
      <c r="I3177" s="320">
        <v>20</v>
      </c>
      <c r="J3177" s="320">
        <v>60</v>
      </c>
      <c r="K3177" s="222">
        <v>1</v>
      </c>
      <c r="L3177" s="658">
        <v>20</v>
      </c>
      <c r="M3177" s="663">
        <v>34444</v>
      </c>
      <c r="N3177" s="600">
        <v>297.28300000000002</v>
      </c>
      <c r="O3177" s="604">
        <v>0.264492</v>
      </c>
      <c r="P3177" s="150"/>
      <c r="Q3177" s="250"/>
      <c r="R3177" s="250"/>
      <c r="S3177" s="250"/>
      <c r="T3177" s="250">
        <v>9.0000000000000011E-3</v>
      </c>
      <c r="U3177" s="250">
        <v>4.8000000000000001E-2</v>
      </c>
      <c r="V3177" s="250">
        <v>0.251</v>
      </c>
      <c r="W3177" s="250">
        <v>0.40700000000000003</v>
      </c>
      <c r="X3177" s="250">
        <v>0.27</v>
      </c>
      <c r="Y3177" s="250">
        <v>1.4999999999999999E-2</v>
      </c>
      <c r="Z3177" s="150"/>
      <c r="AA3177" s="150">
        <v>0.72</v>
      </c>
      <c r="AB3177" s="152"/>
      <c r="AC3177" s="152"/>
      <c r="AD3177" s="223"/>
      <c r="AE3177" s="223"/>
      <c r="AF3177" s="223"/>
      <c r="AG3177" s="223"/>
      <c r="AH3177" s="341"/>
      <c r="AI3177" s="218"/>
      <c r="AJ3177" s="218"/>
      <c r="AK3177" s="153"/>
      <c r="AL3177" s="152"/>
      <c r="AM3177" s="152"/>
      <c r="AN3177" s="152"/>
      <c r="AO3177" s="152"/>
      <c r="AP3177" s="152"/>
      <c r="AQ3177" s="152"/>
      <c r="AR3177" s="152"/>
      <c r="AS3177" s="152"/>
      <c r="AT3177" s="152"/>
      <c r="AU3177" s="153"/>
      <c r="AV3177" s="479"/>
      <c r="AW3177" s="479"/>
      <c r="AX3177" s="442"/>
      <c r="AY3177" s="153"/>
      <c r="AZ3177" s="152"/>
      <c r="BA3177" s="152"/>
      <c r="BB3177" s="152"/>
      <c r="BC3177" s="152"/>
      <c r="BD3177" s="152"/>
      <c r="BE3177" s="152"/>
      <c r="BF3177" s="152"/>
      <c r="BG3177" s="152"/>
      <c r="BH3177" s="152"/>
      <c r="BI3177" s="153"/>
      <c r="BJ3177" s="153"/>
      <c r="BK3177" s="153"/>
      <c r="BL3177" s="153"/>
      <c r="BM3177" s="153"/>
      <c r="BN3177" s="153"/>
      <c r="BO3177" s="153"/>
      <c r="BP3177" s="153"/>
      <c r="BQ3177" s="153"/>
      <c r="BR3177" s="153"/>
      <c r="BS3177" s="153"/>
      <c r="BT3177" s="153"/>
      <c r="BU3177" s="153"/>
      <c r="BV3177" s="153"/>
      <c r="BW3177" s="153"/>
      <c r="BX3177" s="153"/>
      <c r="BY3177" s="153"/>
      <c r="BZ3177" s="153"/>
      <c r="CA3177" s="152"/>
      <c r="CB3177" s="486" t="s">
        <v>639</v>
      </c>
    </row>
    <row r="3178" spans="1:80" s="87" customFormat="1" ht="15" x14ac:dyDescent="0.25">
      <c r="A3178" s="152"/>
      <c r="B3178" s="683"/>
      <c r="C3178" s="683"/>
      <c r="D3178" s="698"/>
      <c r="E3178" s="215"/>
      <c r="F3178" s="215"/>
      <c r="G3178" s="153"/>
      <c r="H3178" s="153"/>
      <c r="I3178" s="320">
        <v>20</v>
      </c>
      <c r="J3178" s="320">
        <v>60</v>
      </c>
      <c r="K3178" s="222">
        <v>1</v>
      </c>
      <c r="L3178" s="658">
        <v>20</v>
      </c>
      <c r="M3178" s="663">
        <v>34444</v>
      </c>
      <c r="N3178" s="600">
        <v>300.11500000000001</v>
      </c>
      <c r="O3178" s="604">
        <v>0.32851599999999997</v>
      </c>
      <c r="P3178" s="150"/>
      <c r="Q3178" s="250"/>
      <c r="R3178" s="250"/>
      <c r="S3178" s="250"/>
      <c r="T3178" s="250">
        <v>2.3E-2</v>
      </c>
      <c r="U3178" s="250">
        <v>6.7000000000000004E-2</v>
      </c>
      <c r="V3178" s="250">
        <v>0.22500000000000001</v>
      </c>
      <c r="W3178" s="250">
        <v>0.376</v>
      </c>
      <c r="X3178" s="250">
        <v>0.28499999999999998</v>
      </c>
      <c r="Y3178" s="250">
        <v>2.4E-2</v>
      </c>
      <c r="Z3178" s="150"/>
      <c r="AA3178" s="150">
        <v>0.71</v>
      </c>
      <c r="AB3178" s="152"/>
      <c r="AC3178" s="152"/>
      <c r="AD3178" s="223"/>
      <c r="AE3178" s="223"/>
      <c r="AF3178" s="223"/>
      <c r="AG3178" s="223"/>
      <c r="AH3178" s="341"/>
      <c r="AI3178" s="218"/>
      <c r="AJ3178" s="218"/>
      <c r="AK3178" s="153"/>
      <c r="AL3178" s="152"/>
      <c r="AM3178" s="152"/>
      <c r="AN3178" s="152"/>
      <c r="AO3178" s="152"/>
      <c r="AP3178" s="152"/>
      <c r="AQ3178" s="152"/>
      <c r="AR3178" s="152"/>
      <c r="AS3178" s="152"/>
      <c r="AT3178" s="152"/>
      <c r="AU3178" s="153"/>
      <c r="AV3178" s="479"/>
      <c r="AW3178" s="479"/>
      <c r="AX3178" s="442"/>
      <c r="AY3178" s="153"/>
      <c r="AZ3178" s="152"/>
      <c r="BA3178" s="152"/>
      <c r="BB3178" s="152"/>
      <c r="BC3178" s="152"/>
      <c r="BD3178" s="152"/>
      <c r="BE3178" s="152"/>
      <c r="BF3178" s="152"/>
      <c r="BG3178" s="152"/>
      <c r="BH3178" s="152"/>
      <c r="BI3178" s="153"/>
      <c r="BJ3178" s="153"/>
      <c r="BK3178" s="153"/>
      <c r="BL3178" s="153"/>
      <c r="BM3178" s="153"/>
      <c r="BN3178" s="153"/>
      <c r="BO3178" s="153"/>
      <c r="BP3178" s="153"/>
      <c r="BQ3178" s="153"/>
      <c r="BR3178" s="153"/>
      <c r="BS3178" s="153"/>
      <c r="BT3178" s="153"/>
      <c r="BU3178" s="153"/>
      <c r="BV3178" s="153"/>
      <c r="BW3178" s="153"/>
      <c r="BX3178" s="153"/>
      <c r="BY3178" s="153"/>
      <c r="BZ3178" s="153"/>
      <c r="CA3178" s="152"/>
      <c r="CB3178" s="486" t="s">
        <v>640</v>
      </c>
    </row>
    <row r="3179" spans="1:80" s="87" customFormat="1" ht="15" x14ac:dyDescent="0.25">
      <c r="A3179" s="152"/>
      <c r="B3179" s="683"/>
      <c r="C3179" s="683"/>
      <c r="D3179" s="698"/>
      <c r="E3179" s="215"/>
      <c r="F3179" s="215"/>
      <c r="G3179" s="153"/>
      <c r="H3179" s="153"/>
      <c r="I3179" s="320">
        <v>20</v>
      </c>
      <c r="J3179" s="320">
        <v>60</v>
      </c>
      <c r="K3179" s="222">
        <v>1</v>
      </c>
      <c r="L3179" s="658">
        <v>20</v>
      </c>
      <c r="M3179" s="663">
        <v>34447</v>
      </c>
      <c r="N3179" s="600">
        <v>328.42700000000002</v>
      </c>
      <c r="O3179" s="604">
        <v>0.161634</v>
      </c>
      <c r="P3179" s="150"/>
      <c r="Q3179" s="250"/>
      <c r="R3179" s="250"/>
      <c r="S3179" s="250"/>
      <c r="T3179" s="250">
        <v>4.0000000000000001E-3</v>
      </c>
      <c r="U3179" s="250">
        <v>5.5E-2</v>
      </c>
      <c r="V3179" s="250">
        <v>0.19500000000000001</v>
      </c>
      <c r="W3179" s="250">
        <v>0.39299999999999996</v>
      </c>
      <c r="X3179" s="250">
        <v>0.33100000000000002</v>
      </c>
      <c r="Y3179" s="250">
        <v>2.2000000000000002E-2</v>
      </c>
      <c r="Z3179" s="150"/>
      <c r="AA3179" s="150">
        <v>0.65</v>
      </c>
      <c r="AB3179" s="152"/>
      <c r="AC3179" s="152"/>
      <c r="AD3179" s="223"/>
      <c r="AE3179" s="223"/>
      <c r="AF3179" s="223"/>
      <c r="AG3179" s="223"/>
      <c r="AH3179" s="341"/>
      <c r="AI3179" s="218"/>
      <c r="AJ3179" s="218"/>
      <c r="AK3179" s="153"/>
      <c r="AL3179" s="152"/>
      <c r="AM3179" s="152"/>
      <c r="AN3179" s="152"/>
      <c r="AO3179" s="152"/>
      <c r="AP3179" s="152"/>
      <c r="AQ3179" s="152"/>
      <c r="AR3179" s="152"/>
      <c r="AS3179" s="152"/>
      <c r="AT3179" s="152"/>
      <c r="AU3179" s="153"/>
      <c r="AV3179" s="479"/>
      <c r="AW3179" s="479"/>
      <c r="AX3179" s="442"/>
      <c r="AY3179" s="153"/>
      <c r="AZ3179" s="152"/>
      <c r="BA3179" s="152"/>
      <c r="BB3179" s="152"/>
      <c r="BC3179" s="152"/>
      <c r="BD3179" s="152"/>
      <c r="BE3179" s="152"/>
      <c r="BF3179" s="152"/>
      <c r="BG3179" s="152"/>
      <c r="BH3179" s="152"/>
      <c r="BI3179" s="153"/>
      <c r="BJ3179" s="153"/>
      <c r="BK3179" s="153"/>
      <c r="BL3179" s="153"/>
      <c r="BM3179" s="153"/>
      <c r="BN3179" s="153"/>
      <c r="BO3179" s="153"/>
      <c r="BP3179" s="153"/>
      <c r="BQ3179" s="153"/>
      <c r="BR3179" s="153"/>
      <c r="BS3179" s="153"/>
      <c r="BT3179" s="153"/>
      <c r="BU3179" s="153"/>
      <c r="BV3179" s="153"/>
      <c r="BW3179" s="153"/>
      <c r="BX3179" s="153"/>
      <c r="BY3179" s="153"/>
      <c r="BZ3179" s="153"/>
      <c r="CA3179" s="152"/>
      <c r="CB3179" s="152"/>
    </row>
    <row r="3180" spans="1:80" s="87" customFormat="1" ht="15" x14ac:dyDescent="0.25">
      <c r="A3180" s="152"/>
      <c r="B3180" s="683"/>
      <c r="C3180" s="683"/>
      <c r="D3180" s="698"/>
      <c r="E3180" s="215"/>
      <c r="F3180" s="215"/>
      <c r="G3180" s="153"/>
      <c r="H3180" s="153"/>
      <c r="I3180" s="320">
        <v>20</v>
      </c>
      <c r="J3180" s="320">
        <v>60</v>
      </c>
      <c r="K3180" s="222">
        <v>1</v>
      </c>
      <c r="L3180" s="658">
        <v>20</v>
      </c>
      <c r="M3180" s="663">
        <v>34447</v>
      </c>
      <c r="N3180" s="600">
        <v>325.596</v>
      </c>
      <c r="O3180" s="604">
        <v>9.0997999999999996E-2</v>
      </c>
      <c r="P3180" s="150"/>
      <c r="Q3180" s="250"/>
      <c r="R3180" s="250"/>
      <c r="S3180" s="250"/>
      <c r="T3180" s="250">
        <v>0.02</v>
      </c>
      <c r="U3180" s="250">
        <v>0.03</v>
      </c>
      <c r="V3180" s="250">
        <v>0.17300000000000001</v>
      </c>
      <c r="W3180" s="250">
        <v>0.379</v>
      </c>
      <c r="X3180" s="250">
        <v>0.36799999999999999</v>
      </c>
      <c r="Y3180" s="250">
        <v>0.03</v>
      </c>
      <c r="Z3180" s="150"/>
      <c r="AA3180" s="150">
        <v>0.6</v>
      </c>
      <c r="AB3180" s="152"/>
      <c r="AC3180" s="152"/>
      <c r="AD3180" s="223"/>
      <c r="AE3180" s="223"/>
      <c r="AF3180" s="223"/>
      <c r="AG3180" s="223"/>
      <c r="AH3180" s="341"/>
      <c r="AI3180" s="218"/>
      <c r="AJ3180" s="218"/>
      <c r="AK3180" s="153"/>
      <c r="AL3180" s="152"/>
      <c r="AM3180" s="152"/>
      <c r="AN3180" s="152"/>
      <c r="AO3180" s="152"/>
      <c r="AP3180" s="152"/>
      <c r="AQ3180" s="152"/>
      <c r="AR3180" s="152"/>
      <c r="AS3180" s="152"/>
      <c r="AT3180" s="152"/>
      <c r="AU3180" s="153"/>
      <c r="AV3180" s="479"/>
      <c r="AW3180" s="479"/>
      <c r="AX3180" s="442"/>
      <c r="AY3180" s="153"/>
      <c r="AZ3180" s="152"/>
      <c r="BA3180" s="152"/>
      <c r="BB3180" s="152"/>
      <c r="BC3180" s="152"/>
      <c r="BD3180" s="152"/>
      <c r="BE3180" s="152"/>
      <c r="BF3180" s="152"/>
      <c r="BG3180" s="152"/>
      <c r="BH3180" s="152"/>
      <c r="BI3180" s="153"/>
      <c r="BJ3180" s="153"/>
      <c r="BK3180" s="153"/>
      <c r="BL3180" s="153"/>
      <c r="BM3180" s="153"/>
      <c r="BN3180" s="153"/>
      <c r="BO3180" s="153"/>
      <c r="BP3180" s="153"/>
      <c r="BQ3180" s="153"/>
      <c r="BR3180" s="153"/>
      <c r="BS3180" s="153"/>
      <c r="BT3180" s="153"/>
      <c r="BU3180" s="153"/>
      <c r="BV3180" s="153"/>
      <c r="BW3180" s="153"/>
      <c r="BX3180" s="153"/>
      <c r="BY3180" s="153"/>
      <c r="BZ3180" s="153"/>
      <c r="CA3180" s="152"/>
      <c r="CB3180" s="152"/>
    </row>
    <row r="3181" spans="1:80" s="87" customFormat="1" ht="15" x14ac:dyDescent="0.25">
      <c r="A3181" s="152"/>
      <c r="B3181" s="683"/>
      <c r="C3181" s="683"/>
      <c r="D3181" s="698"/>
      <c r="E3181" s="215"/>
      <c r="F3181" s="215"/>
      <c r="G3181" s="153"/>
      <c r="H3181" s="153"/>
      <c r="I3181" s="320">
        <v>20</v>
      </c>
      <c r="J3181" s="320">
        <v>60</v>
      </c>
      <c r="K3181" s="222">
        <v>1</v>
      </c>
      <c r="L3181" s="658">
        <v>20</v>
      </c>
      <c r="M3181" s="663">
        <v>34449</v>
      </c>
      <c r="N3181" s="600">
        <v>314.27100000000002</v>
      </c>
      <c r="O3181" s="604">
        <v>0.189972</v>
      </c>
      <c r="P3181" s="150"/>
      <c r="Q3181" s="250"/>
      <c r="R3181" s="250"/>
      <c r="S3181" s="250"/>
      <c r="T3181" s="250">
        <v>1.3000000000000001E-2</v>
      </c>
      <c r="U3181" s="250">
        <v>4.4999999999999998E-2</v>
      </c>
      <c r="V3181" s="250">
        <v>0.22</v>
      </c>
      <c r="W3181" s="250">
        <v>0.436</v>
      </c>
      <c r="X3181" s="250">
        <v>0.26899999999999996</v>
      </c>
      <c r="Y3181" s="250">
        <v>1.7000000000000001E-2</v>
      </c>
      <c r="Z3181" s="150"/>
      <c r="AA3181" s="150">
        <v>0.7</v>
      </c>
      <c r="AB3181" s="152"/>
      <c r="AC3181" s="152"/>
      <c r="AD3181" s="223"/>
      <c r="AE3181" s="223"/>
      <c r="AF3181" s="223"/>
      <c r="AG3181" s="223"/>
      <c r="AH3181" s="341"/>
      <c r="AI3181" s="218"/>
      <c r="AJ3181" s="218"/>
      <c r="AK3181" s="153"/>
      <c r="AL3181" s="152"/>
      <c r="AM3181" s="152"/>
      <c r="AN3181" s="152"/>
      <c r="AO3181" s="152"/>
      <c r="AP3181" s="152"/>
      <c r="AQ3181" s="152"/>
      <c r="AR3181" s="152"/>
      <c r="AS3181" s="152"/>
      <c r="AT3181" s="152"/>
      <c r="AU3181" s="153"/>
      <c r="AV3181" s="479"/>
      <c r="AW3181" s="479"/>
      <c r="AX3181" s="442"/>
      <c r="AY3181" s="153"/>
      <c r="AZ3181" s="152"/>
      <c r="BA3181" s="152"/>
      <c r="BB3181" s="152"/>
      <c r="BC3181" s="152"/>
      <c r="BD3181" s="152"/>
      <c r="BE3181" s="152"/>
      <c r="BF3181" s="152"/>
      <c r="BG3181" s="152"/>
      <c r="BH3181" s="152"/>
      <c r="BI3181" s="153"/>
      <c r="BJ3181" s="153"/>
      <c r="BK3181" s="153"/>
      <c r="BL3181" s="153"/>
      <c r="BM3181" s="153"/>
      <c r="BN3181" s="153"/>
      <c r="BO3181" s="153"/>
      <c r="BP3181" s="153"/>
      <c r="BQ3181" s="153"/>
      <c r="BR3181" s="153"/>
      <c r="BS3181" s="153"/>
      <c r="BT3181" s="153"/>
      <c r="BU3181" s="153"/>
      <c r="BV3181" s="153"/>
      <c r="BW3181" s="153"/>
      <c r="BX3181" s="153"/>
      <c r="BY3181" s="153"/>
      <c r="BZ3181" s="153"/>
      <c r="CA3181" s="152"/>
      <c r="CB3181" s="152"/>
    </row>
    <row r="3182" spans="1:80" s="87" customFormat="1" ht="15" x14ac:dyDescent="0.25">
      <c r="A3182" s="152"/>
      <c r="B3182" s="683"/>
      <c r="C3182" s="683"/>
      <c r="D3182" s="698"/>
      <c r="E3182" s="215"/>
      <c r="F3182" s="215"/>
      <c r="G3182" s="153"/>
      <c r="H3182" s="153"/>
      <c r="I3182" s="320">
        <v>20</v>
      </c>
      <c r="J3182" s="320">
        <v>60</v>
      </c>
      <c r="K3182" s="222">
        <v>1</v>
      </c>
      <c r="L3182" s="658">
        <v>20</v>
      </c>
      <c r="M3182" s="663">
        <v>34449</v>
      </c>
      <c r="N3182" s="600">
        <v>282.56099999999998</v>
      </c>
      <c r="O3182" s="604">
        <v>0.15323700000000001</v>
      </c>
      <c r="P3182" s="150"/>
      <c r="Q3182" s="250"/>
      <c r="R3182" s="250"/>
      <c r="S3182" s="250"/>
      <c r="T3182" s="250">
        <v>2E-3</v>
      </c>
      <c r="U3182" s="250">
        <v>3.2000000000000001E-2</v>
      </c>
      <c r="V3182" s="250">
        <v>0.26600000000000001</v>
      </c>
      <c r="W3182" s="250">
        <v>0.42700000000000005</v>
      </c>
      <c r="X3182" s="250">
        <v>0.252</v>
      </c>
      <c r="Y3182" s="250">
        <v>2.1000000000000001E-2</v>
      </c>
      <c r="Z3182" s="150"/>
      <c r="AA3182" s="150">
        <v>0.72</v>
      </c>
      <c r="AB3182" s="152"/>
      <c r="AC3182" s="152"/>
      <c r="AD3182" s="223"/>
      <c r="AE3182" s="223"/>
      <c r="AF3182" s="223"/>
      <c r="AG3182" s="223"/>
      <c r="AH3182" s="341"/>
      <c r="AI3182" s="218"/>
      <c r="AJ3182" s="218"/>
      <c r="AK3182" s="153"/>
      <c r="AL3182" s="152"/>
      <c r="AM3182" s="152"/>
      <c r="AN3182" s="152"/>
      <c r="AO3182" s="152"/>
      <c r="AP3182" s="152"/>
      <c r="AQ3182" s="152"/>
      <c r="AR3182" s="152"/>
      <c r="AS3182" s="152"/>
      <c r="AT3182" s="152"/>
      <c r="AU3182" s="153"/>
      <c r="AV3182" s="479"/>
      <c r="AW3182" s="479"/>
      <c r="AX3182" s="442"/>
      <c r="AY3182" s="153"/>
      <c r="AZ3182" s="152"/>
      <c r="BA3182" s="152"/>
      <c r="BB3182" s="152"/>
      <c r="BC3182" s="152"/>
      <c r="BD3182" s="152"/>
      <c r="BE3182" s="152"/>
      <c r="BF3182" s="152"/>
      <c r="BG3182" s="152"/>
      <c r="BH3182" s="152"/>
      <c r="BI3182" s="153"/>
      <c r="BJ3182" s="153"/>
      <c r="BK3182" s="153"/>
      <c r="BL3182" s="153"/>
      <c r="BM3182" s="153"/>
      <c r="BN3182" s="153"/>
      <c r="BO3182" s="153"/>
      <c r="BP3182" s="153"/>
      <c r="BQ3182" s="153"/>
      <c r="BR3182" s="153"/>
      <c r="BS3182" s="153"/>
      <c r="BT3182" s="153"/>
      <c r="BU3182" s="153"/>
      <c r="BV3182" s="153"/>
      <c r="BW3182" s="153"/>
      <c r="BX3182" s="153"/>
      <c r="BY3182" s="153"/>
      <c r="BZ3182" s="153"/>
      <c r="CA3182" s="152"/>
      <c r="CB3182" s="152"/>
    </row>
    <row r="3183" spans="1:80" s="87" customFormat="1" ht="15" x14ac:dyDescent="0.25">
      <c r="A3183" s="152"/>
      <c r="B3183" s="683"/>
      <c r="C3183" s="683"/>
      <c r="D3183" s="698"/>
      <c r="E3183" s="215"/>
      <c r="F3183" s="215"/>
      <c r="G3183" s="153"/>
      <c r="H3183" s="153"/>
      <c r="I3183" s="320">
        <v>20</v>
      </c>
      <c r="J3183" s="320">
        <v>60</v>
      </c>
      <c r="K3183" s="222">
        <v>1</v>
      </c>
      <c r="L3183" s="658">
        <v>20</v>
      </c>
      <c r="M3183" s="663">
        <v>34452</v>
      </c>
      <c r="N3183" s="600">
        <v>196.20699999999999</v>
      </c>
      <c r="O3183" s="604">
        <v>2.7498999999999999E-2</v>
      </c>
      <c r="P3183" s="150"/>
      <c r="Q3183" s="250"/>
      <c r="R3183" s="250"/>
      <c r="S3183" s="250"/>
      <c r="T3183" s="250">
        <v>9.0000000000000011E-3</v>
      </c>
      <c r="U3183" s="250">
        <v>3.9E-2</v>
      </c>
      <c r="V3183" s="250">
        <v>0.17100000000000001</v>
      </c>
      <c r="W3183" s="250">
        <v>0.42899999999999999</v>
      </c>
      <c r="X3183" s="250">
        <v>0.32400000000000001</v>
      </c>
      <c r="Y3183" s="250">
        <v>2.7999999999999997E-2</v>
      </c>
      <c r="Z3183" s="150"/>
      <c r="AA3183" s="150">
        <v>0.64</v>
      </c>
      <c r="AB3183" s="152"/>
      <c r="AC3183" s="152"/>
      <c r="AD3183" s="223"/>
      <c r="AE3183" s="223"/>
      <c r="AF3183" s="223"/>
      <c r="AG3183" s="223"/>
      <c r="AH3183" s="341"/>
      <c r="AI3183" s="218"/>
      <c r="AJ3183" s="218"/>
      <c r="AK3183" s="153"/>
      <c r="AL3183" s="152"/>
      <c r="AM3183" s="152"/>
      <c r="AN3183" s="152"/>
      <c r="AO3183" s="152"/>
      <c r="AP3183" s="152"/>
      <c r="AQ3183" s="152"/>
      <c r="AR3183" s="152"/>
      <c r="AS3183" s="152"/>
      <c r="AT3183" s="152"/>
      <c r="AU3183" s="153"/>
      <c r="AV3183" s="479"/>
      <c r="AW3183" s="479"/>
      <c r="AX3183" s="442"/>
      <c r="AY3183" s="153"/>
      <c r="AZ3183" s="152"/>
      <c r="BA3183" s="152"/>
      <c r="BB3183" s="152"/>
      <c r="BC3183" s="152"/>
      <c r="BD3183" s="152"/>
      <c r="BE3183" s="152"/>
      <c r="BF3183" s="152"/>
      <c r="BG3183" s="152"/>
      <c r="BH3183" s="152"/>
      <c r="BI3183" s="153"/>
      <c r="BJ3183" s="153"/>
      <c r="BK3183" s="153"/>
      <c r="BL3183" s="153"/>
      <c r="BM3183" s="153"/>
      <c r="BN3183" s="153"/>
      <c r="BO3183" s="153"/>
      <c r="BP3183" s="153"/>
      <c r="BQ3183" s="153"/>
      <c r="BR3183" s="153"/>
      <c r="BS3183" s="153"/>
      <c r="BT3183" s="153"/>
      <c r="BU3183" s="153"/>
      <c r="BV3183" s="153"/>
      <c r="BW3183" s="153"/>
      <c r="BX3183" s="153"/>
      <c r="BY3183" s="153"/>
      <c r="BZ3183" s="153"/>
      <c r="CA3183" s="152"/>
      <c r="CB3183" s="152"/>
    </row>
    <row r="3184" spans="1:80" s="87" customFormat="1" ht="15" x14ac:dyDescent="0.25">
      <c r="A3184" s="152"/>
      <c r="B3184" s="683"/>
      <c r="C3184" s="683"/>
      <c r="D3184" s="698"/>
      <c r="E3184" s="215"/>
      <c r="F3184" s="215"/>
      <c r="G3184" s="153"/>
      <c r="H3184" s="153"/>
      <c r="I3184" s="320">
        <v>20</v>
      </c>
      <c r="J3184" s="320">
        <v>60</v>
      </c>
      <c r="K3184" s="222">
        <v>1</v>
      </c>
      <c r="L3184" s="658">
        <v>20</v>
      </c>
      <c r="M3184" s="663">
        <v>34452</v>
      </c>
      <c r="N3184" s="600">
        <v>195.64099999999999</v>
      </c>
      <c r="O3184" s="604">
        <v>3.6734999999999997E-2</v>
      </c>
      <c r="P3184" s="150"/>
      <c r="Q3184" s="250"/>
      <c r="R3184" s="250"/>
      <c r="S3184" s="250"/>
      <c r="T3184" s="250">
        <v>6.0000000000000001E-3</v>
      </c>
      <c r="U3184" s="250">
        <v>3.7000000000000005E-2</v>
      </c>
      <c r="V3184" s="250">
        <v>0.192</v>
      </c>
      <c r="W3184" s="250">
        <v>0.47200000000000003</v>
      </c>
      <c r="X3184" s="250">
        <v>0.26300000000000001</v>
      </c>
      <c r="Y3184" s="250">
        <v>0.03</v>
      </c>
      <c r="Z3184" s="150"/>
      <c r="AA3184" s="150">
        <v>0.68</v>
      </c>
      <c r="AB3184" s="152"/>
      <c r="AC3184" s="152"/>
      <c r="AD3184" s="223"/>
      <c r="AE3184" s="223"/>
      <c r="AF3184" s="223"/>
      <c r="AG3184" s="223"/>
      <c r="AH3184" s="341"/>
      <c r="AI3184" s="218"/>
      <c r="AJ3184" s="218"/>
      <c r="AK3184" s="153"/>
      <c r="AL3184" s="152"/>
      <c r="AM3184" s="152"/>
      <c r="AN3184" s="152"/>
      <c r="AO3184" s="152"/>
      <c r="AP3184" s="152"/>
      <c r="AQ3184" s="152"/>
      <c r="AR3184" s="152"/>
      <c r="AS3184" s="152"/>
      <c r="AT3184" s="152"/>
      <c r="AU3184" s="153"/>
      <c r="AV3184" s="479"/>
      <c r="AW3184" s="479"/>
      <c r="AX3184" s="442"/>
      <c r="AY3184" s="153"/>
      <c r="AZ3184" s="152"/>
      <c r="BA3184" s="152"/>
      <c r="BB3184" s="152"/>
      <c r="BC3184" s="152"/>
      <c r="BD3184" s="152"/>
      <c r="BE3184" s="152"/>
      <c r="BF3184" s="152"/>
      <c r="BG3184" s="152"/>
      <c r="BH3184" s="152"/>
      <c r="BI3184" s="153"/>
      <c r="BJ3184" s="153"/>
      <c r="BK3184" s="153"/>
      <c r="BL3184" s="153"/>
      <c r="BM3184" s="153"/>
      <c r="BN3184" s="153"/>
      <c r="BO3184" s="153"/>
      <c r="BP3184" s="153"/>
      <c r="BQ3184" s="153"/>
      <c r="BR3184" s="153"/>
      <c r="BS3184" s="153"/>
      <c r="BT3184" s="153"/>
      <c r="BU3184" s="153"/>
      <c r="BV3184" s="153"/>
      <c r="BW3184" s="153"/>
      <c r="BX3184" s="153"/>
      <c r="BY3184" s="153"/>
      <c r="BZ3184" s="153"/>
      <c r="CA3184" s="152"/>
      <c r="CB3184" s="152"/>
    </row>
    <row r="3185" spans="1:80" s="87" customFormat="1" ht="15" x14ac:dyDescent="0.25">
      <c r="A3185" s="152"/>
      <c r="B3185" s="683"/>
      <c r="C3185" s="683"/>
      <c r="D3185" s="698"/>
      <c r="E3185" s="215"/>
      <c r="F3185" s="215"/>
      <c r="G3185" s="153"/>
      <c r="H3185" s="153"/>
      <c r="I3185" s="320">
        <v>19</v>
      </c>
      <c r="J3185" s="320">
        <v>60</v>
      </c>
      <c r="K3185" s="222">
        <v>1</v>
      </c>
      <c r="L3185" s="658">
        <v>19</v>
      </c>
      <c r="M3185" s="663">
        <v>34456</v>
      </c>
      <c r="N3185" s="600">
        <v>156.286</v>
      </c>
      <c r="O3185" s="604">
        <v>1.3435000000000001E-2</v>
      </c>
      <c r="P3185" s="150"/>
      <c r="Q3185" s="250"/>
      <c r="R3185" s="250"/>
      <c r="S3185" s="250"/>
      <c r="T3185" s="250">
        <v>1.8000000000000002E-2</v>
      </c>
      <c r="U3185" s="250">
        <v>5.5999999999999994E-2</v>
      </c>
      <c r="V3185" s="250">
        <v>0.184</v>
      </c>
      <c r="W3185" s="250">
        <v>0.36799999999999999</v>
      </c>
      <c r="X3185" s="250">
        <v>0.34299999999999997</v>
      </c>
      <c r="Y3185" s="250">
        <v>3.1E-2</v>
      </c>
      <c r="Z3185" s="150"/>
      <c r="AA3185" s="150">
        <v>0.63</v>
      </c>
      <c r="AB3185" s="152"/>
      <c r="AC3185" s="152"/>
      <c r="AD3185" s="223"/>
      <c r="AE3185" s="223"/>
      <c r="AF3185" s="223"/>
      <c r="AG3185" s="223"/>
      <c r="AH3185" s="341"/>
      <c r="AI3185" s="218"/>
      <c r="AJ3185" s="218"/>
      <c r="AK3185" s="153"/>
      <c r="AL3185" s="152"/>
      <c r="AM3185" s="152"/>
      <c r="AN3185" s="152"/>
      <c r="AO3185" s="152"/>
      <c r="AP3185" s="152"/>
      <c r="AQ3185" s="152"/>
      <c r="AR3185" s="152"/>
      <c r="AS3185" s="152"/>
      <c r="AT3185" s="152"/>
      <c r="AU3185" s="153"/>
      <c r="AV3185" s="479"/>
      <c r="AW3185" s="479"/>
      <c r="AX3185" s="442"/>
      <c r="AY3185" s="153"/>
      <c r="AZ3185" s="152"/>
      <c r="BA3185" s="152"/>
      <c r="BB3185" s="152"/>
      <c r="BC3185" s="152"/>
      <c r="BD3185" s="152"/>
      <c r="BE3185" s="152"/>
      <c r="BF3185" s="152"/>
      <c r="BG3185" s="152"/>
      <c r="BH3185" s="152"/>
      <c r="BI3185" s="153"/>
      <c r="BJ3185" s="153"/>
      <c r="BK3185" s="153"/>
      <c r="BL3185" s="153"/>
      <c r="BM3185" s="153"/>
      <c r="BN3185" s="153"/>
      <c r="BO3185" s="153"/>
      <c r="BP3185" s="153"/>
      <c r="BQ3185" s="153"/>
      <c r="BR3185" s="153"/>
      <c r="BS3185" s="153"/>
      <c r="BT3185" s="153"/>
      <c r="BU3185" s="153"/>
      <c r="BV3185" s="153"/>
      <c r="BW3185" s="153"/>
      <c r="BX3185" s="153"/>
      <c r="BY3185" s="153"/>
      <c r="BZ3185" s="153"/>
      <c r="CA3185" s="152"/>
      <c r="CB3185" s="152"/>
    </row>
    <row r="3186" spans="1:80" s="87" customFormat="1" ht="15" x14ac:dyDescent="0.25">
      <c r="A3186" s="152"/>
      <c r="B3186" s="683"/>
      <c r="C3186" s="683"/>
      <c r="D3186" s="698"/>
      <c r="E3186" s="215"/>
      <c r="F3186" s="215"/>
      <c r="G3186" s="153"/>
      <c r="H3186" s="153"/>
      <c r="I3186" s="320">
        <v>19</v>
      </c>
      <c r="J3186" s="320">
        <v>60</v>
      </c>
      <c r="K3186" s="222">
        <v>1</v>
      </c>
      <c r="L3186" s="658">
        <v>19</v>
      </c>
      <c r="M3186" s="663">
        <v>34456</v>
      </c>
      <c r="N3186" s="600">
        <v>155.43700000000001</v>
      </c>
      <c r="O3186" s="604">
        <v>7.8720000000000005E-3</v>
      </c>
      <c r="P3186" s="150"/>
      <c r="Q3186" s="250"/>
      <c r="R3186" s="250"/>
      <c r="S3186" s="250"/>
      <c r="T3186" s="250"/>
      <c r="U3186" s="250"/>
      <c r="V3186" s="250">
        <v>0.10800000000000001</v>
      </c>
      <c r="W3186" s="250">
        <v>0.43</v>
      </c>
      <c r="X3186" s="250">
        <v>0.40799999999999997</v>
      </c>
      <c r="Y3186" s="250">
        <v>5.4000000000000006E-2</v>
      </c>
      <c r="Z3186" s="150"/>
      <c r="AA3186" s="150">
        <v>0.53</v>
      </c>
      <c r="AB3186" s="152"/>
      <c r="AC3186" s="152"/>
      <c r="AD3186" s="223"/>
      <c r="AE3186" s="223"/>
      <c r="AF3186" s="223"/>
      <c r="AG3186" s="223"/>
      <c r="AH3186" s="341"/>
      <c r="AI3186" s="218"/>
      <c r="AJ3186" s="218"/>
      <c r="AK3186" s="153"/>
      <c r="AL3186" s="152"/>
      <c r="AM3186" s="152"/>
      <c r="AN3186" s="152"/>
      <c r="AO3186" s="152"/>
      <c r="AP3186" s="152"/>
      <c r="AQ3186" s="152"/>
      <c r="AR3186" s="152"/>
      <c r="AS3186" s="152"/>
      <c r="AT3186" s="152"/>
      <c r="AU3186" s="153"/>
      <c r="AV3186" s="479"/>
      <c r="AW3186" s="479"/>
      <c r="AX3186" s="442"/>
      <c r="AY3186" s="153"/>
      <c r="AZ3186" s="152"/>
      <c r="BA3186" s="152"/>
      <c r="BB3186" s="152"/>
      <c r="BC3186" s="152"/>
      <c r="BD3186" s="152"/>
      <c r="BE3186" s="152"/>
      <c r="BF3186" s="152"/>
      <c r="BG3186" s="152"/>
      <c r="BH3186" s="152"/>
      <c r="BI3186" s="153"/>
      <c r="BJ3186" s="153"/>
      <c r="BK3186" s="153"/>
      <c r="BL3186" s="153"/>
      <c r="BM3186" s="153"/>
      <c r="BN3186" s="153"/>
      <c r="BO3186" s="153"/>
      <c r="BP3186" s="153"/>
      <c r="BQ3186" s="153"/>
      <c r="BR3186" s="153"/>
      <c r="BS3186" s="153"/>
      <c r="BT3186" s="153"/>
      <c r="BU3186" s="153"/>
      <c r="BV3186" s="153"/>
      <c r="BW3186" s="153"/>
      <c r="BX3186" s="153"/>
      <c r="BY3186" s="153"/>
      <c r="BZ3186" s="153"/>
      <c r="CA3186" s="152"/>
      <c r="CB3186" s="152"/>
    </row>
    <row r="3187" spans="1:80" s="87" customFormat="1" ht="15" x14ac:dyDescent="0.25">
      <c r="A3187" s="152"/>
      <c r="B3187" s="683"/>
      <c r="C3187" s="683"/>
      <c r="D3187" s="698"/>
      <c r="E3187" s="215"/>
      <c r="F3187" s="215"/>
      <c r="G3187" s="153"/>
      <c r="H3187" s="153"/>
      <c r="I3187" s="320">
        <v>19</v>
      </c>
      <c r="J3187" s="320">
        <v>60</v>
      </c>
      <c r="K3187" s="222">
        <v>1</v>
      </c>
      <c r="L3187" s="658">
        <v>19</v>
      </c>
      <c r="M3187" s="663">
        <v>34459</v>
      </c>
      <c r="N3187" s="600">
        <v>159.684</v>
      </c>
      <c r="O3187" s="604">
        <v>2.3615000000000001E-2</v>
      </c>
      <c r="P3187" s="150"/>
      <c r="Q3187" s="250"/>
      <c r="R3187" s="250"/>
      <c r="S3187" s="250"/>
      <c r="T3187" s="250"/>
      <c r="U3187" s="250">
        <v>4.4999999999999998E-2</v>
      </c>
      <c r="V3187" s="250">
        <v>0.22800000000000001</v>
      </c>
      <c r="W3187" s="250">
        <v>0.40200000000000002</v>
      </c>
      <c r="X3187" s="250">
        <v>0.28999999999999998</v>
      </c>
      <c r="Y3187" s="250">
        <v>3.5000000000000003E-2</v>
      </c>
      <c r="Z3187" s="150"/>
      <c r="AA3187" s="150">
        <v>0.68</v>
      </c>
      <c r="AB3187" s="152"/>
      <c r="AC3187" s="152"/>
      <c r="AD3187" s="223"/>
      <c r="AE3187" s="223"/>
      <c r="AF3187" s="223"/>
      <c r="AG3187" s="223"/>
      <c r="AH3187" s="341"/>
      <c r="AI3187" s="218"/>
      <c r="AJ3187" s="218"/>
      <c r="AK3187" s="153"/>
      <c r="AL3187" s="152"/>
      <c r="AM3187" s="152"/>
      <c r="AN3187" s="152"/>
      <c r="AO3187" s="152"/>
      <c r="AP3187" s="152"/>
      <c r="AQ3187" s="152"/>
      <c r="AR3187" s="152"/>
      <c r="AS3187" s="152"/>
      <c r="AT3187" s="152"/>
      <c r="AU3187" s="153"/>
      <c r="AV3187" s="479"/>
      <c r="AW3187" s="479"/>
      <c r="AX3187" s="442"/>
      <c r="AY3187" s="153"/>
      <c r="AZ3187" s="152"/>
      <c r="BA3187" s="152"/>
      <c r="BB3187" s="152"/>
      <c r="BC3187" s="152"/>
      <c r="BD3187" s="152"/>
      <c r="BE3187" s="152"/>
      <c r="BF3187" s="152"/>
      <c r="BG3187" s="152"/>
      <c r="BH3187" s="152"/>
      <c r="BI3187" s="153"/>
      <c r="BJ3187" s="153"/>
      <c r="BK3187" s="153"/>
      <c r="BL3187" s="153"/>
      <c r="BM3187" s="153"/>
      <c r="BN3187" s="153"/>
      <c r="BO3187" s="153"/>
      <c r="BP3187" s="153"/>
      <c r="BQ3187" s="153"/>
      <c r="BR3187" s="153"/>
      <c r="BS3187" s="153"/>
      <c r="BT3187" s="153"/>
      <c r="BU3187" s="153"/>
      <c r="BV3187" s="153"/>
      <c r="BW3187" s="153"/>
      <c r="BX3187" s="153"/>
      <c r="BY3187" s="153"/>
      <c r="BZ3187" s="153"/>
      <c r="CA3187" s="152"/>
      <c r="CB3187" s="152"/>
    </row>
    <row r="3188" spans="1:80" s="87" customFormat="1" ht="15" x14ac:dyDescent="0.25">
      <c r="A3188" s="152"/>
      <c r="B3188" s="683"/>
      <c r="C3188" s="683"/>
      <c r="D3188" s="698"/>
      <c r="E3188" s="215"/>
      <c r="F3188" s="215"/>
      <c r="G3188" s="153"/>
      <c r="H3188" s="153"/>
      <c r="I3188" s="320">
        <v>19</v>
      </c>
      <c r="J3188" s="320">
        <v>60</v>
      </c>
      <c r="K3188" s="222">
        <v>1</v>
      </c>
      <c r="L3188" s="658">
        <v>19</v>
      </c>
      <c r="M3188" s="663">
        <v>34459</v>
      </c>
      <c r="N3188" s="600">
        <v>159.40100000000001</v>
      </c>
      <c r="O3188" s="604">
        <v>1.7632999999999999E-2</v>
      </c>
      <c r="P3188" s="150"/>
      <c r="Q3188" s="250"/>
      <c r="R3188" s="250"/>
      <c r="S3188" s="250"/>
      <c r="T3188" s="250"/>
      <c r="U3188" s="250">
        <v>3.7000000000000005E-2</v>
      </c>
      <c r="V3188" s="250">
        <v>0.20699999999999999</v>
      </c>
      <c r="W3188" s="250">
        <v>0.44700000000000001</v>
      </c>
      <c r="X3188" s="250">
        <v>0.27699999999999997</v>
      </c>
      <c r="Y3188" s="250">
        <v>3.2000000000000001E-2</v>
      </c>
      <c r="Z3188" s="150"/>
      <c r="AA3188" s="150">
        <v>0.67</v>
      </c>
      <c r="AB3188" s="152"/>
      <c r="AC3188" s="152"/>
      <c r="AD3188" s="223"/>
      <c r="AE3188" s="223"/>
      <c r="AF3188" s="223"/>
      <c r="AG3188" s="223"/>
      <c r="AH3188" s="341"/>
      <c r="AI3188" s="218"/>
      <c r="AJ3188" s="218"/>
      <c r="AK3188" s="153"/>
      <c r="AL3188" s="152"/>
      <c r="AM3188" s="152"/>
      <c r="AN3188" s="152"/>
      <c r="AO3188" s="152"/>
      <c r="AP3188" s="152"/>
      <c r="AQ3188" s="152"/>
      <c r="AR3188" s="152"/>
      <c r="AS3188" s="152"/>
      <c r="AT3188" s="152"/>
      <c r="AU3188" s="153"/>
      <c r="AV3188" s="479"/>
      <c r="AW3188" s="479"/>
      <c r="AX3188" s="442"/>
      <c r="AY3188" s="153"/>
      <c r="AZ3188" s="152"/>
      <c r="BA3188" s="152"/>
      <c r="BB3188" s="152"/>
      <c r="BC3188" s="152"/>
      <c r="BD3188" s="152"/>
      <c r="BE3188" s="152"/>
      <c r="BF3188" s="152"/>
      <c r="BG3188" s="152"/>
      <c r="BH3188" s="152"/>
      <c r="BI3188" s="153"/>
      <c r="BJ3188" s="153"/>
      <c r="BK3188" s="153"/>
      <c r="BL3188" s="153"/>
      <c r="BM3188" s="153"/>
      <c r="BN3188" s="153"/>
      <c r="BO3188" s="153"/>
      <c r="BP3188" s="153"/>
      <c r="BQ3188" s="153"/>
      <c r="BR3188" s="153"/>
      <c r="BS3188" s="153"/>
      <c r="BT3188" s="153"/>
      <c r="BU3188" s="153"/>
      <c r="BV3188" s="153"/>
      <c r="BW3188" s="153"/>
      <c r="BX3188" s="153"/>
      <c r="BY3188" s="153"/>
      <c r="BZ3188" s="153"/>
      <c r="CA3188" s="152"/>
      <c r="CB3188" s="152"/>
    </row>
    <row r="3189" spans="1:80" s="87" customFormat="1" ht="15" x14ac:dyDescent="0.25">
      <c r="A3189" s="152"/>
      <c r="B3189" s="683"/>
      <c r="C3189" s="683"/>
      <c r="D3189" s="698"/>
      <c r="E3189" s="215"/>
      <c r="F3189" s="215"/>
      <c r="G3189" s="153"/>
      <c r="H3189" s="153"/>
      <c r="I3189" s="320">
        <v>20</v>
      </c>
      <c r="J3189" s="320">
        <v>60</v>
      </c>
      <c r="K3189" s="222">
        <v>1</v>
      </c>
      <c r="L3189" s="658">
        <v>20</v>
      </c>
      <c r="M3189" s="663">
        <v>34463</v>
      </c>
      <c r="N3189" s="600">
        <v>244.339</v>
      </c>
      <c r="O3189" s="604">
        <v>2.6554000000000001E-2</v>
      </c>
      <c r="P3189" s="150"/>
      <c r="Q3189" s="250"/>
      <c r="R3189" s="250"/>
      <c r="S3189" s="250"/>
      <c r="T3189" s="250">
        <v>3.5000000000000003E-2</v>
      </c>
      <c r="U3189" s="250">
        <v>7.6999999999999999E-2</v>
      </c>
      <c r="V3189" s="250">
        <v>0.22899999999999998</v>
      </c>
      <c r="W3189" s="250">
        <v>0.32500000000000001</v>
      </c>
      <c r="X3189" s="250">
        <v>0.29499999999999998</v>
      </c>
      <c r="Y3189" s="250">
        <v>3.9E-2</v>
      </c>
      <c r="Z3189" s="150"/>
      <c r="AA3189" s="150">
        <v>0.71</v>
      </c>
      <c r="AB3189" s="152"/>
      <c r="AC3189" s="152"/>
      <c r="AD3189" s="223"/>
      <c r="AE3189" s="223"/>
      <c r="AF3189" s="223"/>
      <c r="AG3189" s="223"/>
      <c r="AH3189" s="341"/>
      <c r="AI3189" s="218"/>
      <c r="AJ3189" s="218"/>
      <c r="AK3189" s="153"/>
      <c r="AL3189" s="152"/>
      <c r="AM3189" s="152"/>
      <c r="AN3189" s="152"/>
      <c r="AO3189" s="152"/>
      <c r="AP3189" s="152"/>
      <c r="AQ3189" s="152"/>
      <c r="AR3189" s="152"/>
      <c r="AS3189" s="152"/>
      <c r="AT3189" s="152"/>
      <c r="AU3189" s="153"/>
      <c r="AV3189" s="479"/>
      <c r="AW3189" s="479"/>
      <c r="AX3189" s="442"/>
      <c r="AY3189" s="153"/>
      <c r="AZ3189" s="152"/>
      <c r="BA3189" s="152"/>
      <c r="BB3189" s="152"/>
      <c r="BC3189" s="152"/>
      <c r="BD3189" s="152"/>
      <c r="BE3189" s="152"/>
      <c r="BF3189" s="152"/>
      <c r="BG3189" s="152"/>
      <c r="BH3189" s="152"/>
      <c r="BI3189" s="153"/>
      <c r="BJ3189" s="153"/>
      <c r="BK3189" s="153"/>
      <c r="BL3189" s="153"/>
      <c r="BM3189" s="153"/>
      <c r="BN3189" s="153"/>
      <c r="BO3189" s="153"/>
      <c r="BP3189" s="153"/>
      <c r="BQ3189" s="153"/>
      <c r="BR3189" s="153"/>
      <c r="BS3189" s="153"/>
      <c r="BT3189" s="153"/>
      <c r="BU3189" s="153"/>
      <c r="BV3189" s="153"/>
      <c r="BW3189" s="153"/>
      <c r="BX3189" s="153"/>
      <c r="BY3189" s="153"/>
      <c r="BZ3189" s="153"/>
      <c r="CA3189" s="152"/>
      <c r="CB3189" s="152"/>
    </row>
    <row r="3190" spans="1:80" s="87" customFormat="1" ht="15" x14ac:dyDescent="0.25">
      <c r="A3190" s="152"/>
      <c r="B3190" s="683"/>
      <c r="C3190" s="683"/>
      <c r="D3190" s="698"/>
      <c r="E3190" s="215"/>
      <c r="F3190" s="215"/>
      <c r="G3190" s="153"/>
      <c r="H3190" s="153"/>
      <c r="I3190" s="320">
        <v>20</v>
      </c>
      <c r="J3190" s="320">
        <v>60</v>
      </c>
      <c r="K3190" s="222">
        <v>1</v>
      </c>
      <c r="L3190" s="658">
        <v>20</v>
      </c>
      <c r="M3190" s="663">
        <v>34463</v>
      </c>
      <c r="N3190" s="600">
        <v>244.62200000000001</v>
      </c>
      <c r="O3190" s="604">
        <v>9.6560999999999994E-2</v>
      </c>
      <c r="P3190" s="150"/>
      <c r="Q3190" s="250"/>
      <c r="R3190" s="250"/>
      <c r="S3190" s="250"/>
      <c r="T3190" s="250">
        <v>3.4000000000000002E-2</v>
      </c>
      <c r="U3190" s="250">
        <v>0.122</v>
      </c>
      <c r="V3190" s="250">
        <v>0.26100000000000001</v>
      </c>
      <c r="W3190" s="250">
        <v>0.32700000000000001</v>
      </c>
      <c r="X3190" s="250">
        <v>0.23499999999999999</v>
      </c>
      <c r="Y3190" s="250">
        <v>2.1000000000000001E-2</v>
      </c>
      <c r="Z3190" s="150"/>
      <c r="AA3190" s="150">
        <v>0.84</v>
      </c>
      <c r="AB3190" s="152"/>
      <c r="AC3190" s="152"/>
      <c r="AD3190" s="223"/>
      <c r="AE3190" s="223"/>
      <c r="AF3190" s="223"/>
      <c r="AG3190" s="223"/>
      <c r="AH3190" s="341"/>
      <c r="AI3190" s="218"/>
      <c r="AJ3190" s="218"/>
      <c r="AK3190" s="153"/>
      <c r="AL3190" s="152"/>
      <c r="AM3190" s="152"/>
      <c r="AN3190" s="152"/>
      <c r="AO3190" s="152"/>
      <c r="AP3190" s="152"/>
      <c r="AQ3190" s="152"/>
      <c r="AR3190" s="152"/>
      <c r="AS3190" s="152"/>
      <c r="AT3190" s="152"/>
      <c r="AU3190" s="153"/>
      <c r="AV3190" s="479"/>
      <c r="AW3190" s="479"/>
      <c r="AX3190" s="442"/>
      <c r="AY3190" s="153"/>
      <c r="AZ3190" s="152"/>
      <c r="BA3190" s="152"/>
      <c r="BB3190" s="152"/>
      <c r="BC3190" s="152"/>
      <c r="BD3190" s="152"/>
      <c r="BE3190" s="152"/>
      <c r="BF3190" s="152"/>
      <c r="BG3190" s="152"/>
      <c r="BH3190" s="152"/>
      <c r="BI3190" s="153"/>
      <c r="BJ3190" s="153"/>
      <c r="BK3190" s="153"/>
      <c r="BL3190" s="153"/>
      <c r="BM3190" s="153"/>
      <c r="BN3190" s="153"/>
      <c r="BO3190" s="153"/>
      <c r="BP3190" s="153"/>
      <c r="BQ3190" s="153"/>
      <c r="BR3190" s="153"/>
      <c r="BS3190" s="153"/>
      <c r="BT3190" s="153"/>
      <c r="BU3190" s="153"/>
      <c r="BV3190" s="153"/>
      <c r="BW3190" s="153"/>
      <c r="BX3190" s="153"/>
      <c r="BY3190" s="153"/>
      <c r="BZ3190" s="153"/>
      <c r="CA3190" s="152"/>
      <c r="CB3190" s="152"/>
    </row>
    <row r="3191" spans="1:80" s="87" customFormat="1" ht="15" x14ac:dyDescent="0.25">
      <c r="A3191" s="152"/>
      <c r="B3191" s="683"/>
      <c r="C3191" s="683"/>
      <c r="D3191" s="698"/>
      <c r="E3191" s="215"/>
      <c r="F3191" s="215"/>
      <c r="G3191" s="153"/>
      <c r="H3191" s="153"/>
      <c r="I3191" s="320">
        <v>20</v>
      </c>
      <c r="J3191" s="320">
        <v>60</v>
      </c>
      <c r="K3191" s="222">
        <v>1</v>
      </c>
      <c r="L3191" s="658">
        <v>20</v>
      </c>
      <c r="M3191" s="663">
        <v>34465</v>
      </c>
      <c r="N3191" s="600">
        <v>247.73599999999999</v>
      </c>
      <c r="O3191" s="604">
        <v>1.9102000000000001E-2</v>
      </c>
      <c r="P3191" s="150"/>
      <c r="Q3191" s="250"/>
      <c r="R3191" s="250"/>
      <c r="S3191" s="250"/>
      <c r="T3191" s="250"/>
      <c r="U3191" s="250">
        <v>3.1E-2</v>
      </c>
      <c r="V3191" s="250">
        <v>0.19600000000000001</v>
      </c>
      <c r="W3191" s="250">
        <v>0.435</v>
      </c>
      <c r="X3191" s="250">
        <v>0.29799999999999999</v>
      </c>
      <c r="Y3191" s="250">
        <v>0.04</v>
      </c>
      <c r="Z3191" s="150"/>
      <c r="AA3191" s="150">
        <v>0.65</v>
      </c>
      <c r="AB3191" s="152"/>
      <c r="AC3191" s="152"/>
      <c r="AD3191" s="223"/>
      <c r="AE3191" s="223"/>
      <c r="AF3191" s="223"/>
      <c r="AG3191" s="223"/>
      <c r="AH3191" s="341"/>
      <c r="AI3191" s="218"/>
      <c r="AJ3191" s="218"/>
      <c r="AK3191" s="153"/>
      <c r="AL3191" s="152"/>
      <c r="AM3191" s="152"/>
      <c r="AN3191" s="152"/>
      <c r="AO3191" s="152"/>
      <c r="AP3191" s="152"/>
      <c r="AQ3191" s="152"/>
      <c r="AR3191" s="152"/>
      <c r="AS3191" s="152"/>
      <c r="AT3191" s="152"/>
      <c r="AU3191" s="153"/>
      <c r="AV3191" s="479"/>
      <c r="AW3191" s="479"/>
      <c r="AX3191" s="442"/>
      <c r="AY3191" s="153"/>
      <c r="AZ3191" s="152"/>
      <c r="BA3191" s="152"/>
      <c r="BB3191" s="152"/>
      <c r="BC3191" s="152"/>
      <c r="BD3191" s="152"/>
      <c r="BE3191" s="152"/>
      <c r="BF3191" s="152"/>
      <c r="BG3191" s="152"/>
      <c r="BH3191" s="152"/>
      <c r="BI3191" s="153"/>
      <c r="BJ3191" s="153"/>
      <c r="BK3191" s="153"/>
      <c r="BL3191" s="153"/>
      <c r="BM3191" s="153"/>
      <c r="BN3191" s="153"/>
      <c r="BO3191" s="153"/>
      <c r="BP3191" s="153"/>
      <c r="BQ3191" s="153"/>
      <c r="BR3191" s="153"/>
      <c r="BS3191" s="153"/>
      <c r="BT3191" s="153"/>
      <c r="BU3191" s="153"/>
      <c r="BV3191" s="153"/>
      <c r="BW3191" s="153"/>
      <c r="BX3191" s="153"/>
      <c r="BY3191" s="153"/>
      <c r="BZ3191" s="153"/>
      <c r="CA3191" s="152"/>
      <c r="CB3191" s="152"/>
    </row>
    <row r="3192" spans="1:80" s="87" customFormat="1" ht="15" x14ac:dyDescent="0.25">
      <c r="A3192" s="152"/>
      <c r="B3192" s="683"/>
      <c r="C3192" s="683"/>
      <c r="D3192" s="698"/>
      <c r="E3192" s="215"/>
      <c r="F3192" s="215"/>
      <c r="G3192" s="153"/>
      <c r="H3192" s="153"/>
      <c r="I3192" s="320">
        <v>20</v>
      </c>
      <c r="J3192" s="320">
        <v>60</v>
      </c>
      <c r="K3192" s="222">
        <v>1</v>
      </c>
      <c r="L3192" s="658">
        <v>20</v>
      </c>
      <c r="M3192" s="663">
        <v>34465</v>
      </c>
      <c r="N3192" s="600">
        <v>246.60400000000001</v>
      </c>
      <c r="O3192" s="604">
        <v>5.9511000000000001E-2</v>
      </c>
      <c r="P3192" s="150"/>
      <c r="Q3192" s="250"/>
      <c r="R3192" s="250"/>
      <c r="S3192" s="250"/>
      <c r="T3192" s="250"/>
      <c r="U3192" s="250">
        <v>6.3E-2</v>
      </c>
      <c r="V3192" s="250">
        <v>0.25900000000000001</v>
      </c>
      <c r="W3192" s="250">
        <v>0.36599999999999999</v>
      </c>
      <c r="X3192" s="250">
        <v>0.27899999999999997</v>
      </c>
      <c r="Y3192" s="250">
        <v>3.3000000000000002E-2</v>
      </c>
      <c r="Z3192" s="150"/>
      <c r="AA3192" s="150">
        <v>0.71</v>
      </c>
      <c r="AB3192" s="152"/>
      <c r="AC3192" s="152"/>
      <c r="AD3192" s="223"/>
      <c r="AE3192" s="223"/>
      <c r="AF3192" s="223"/>
      <c r="AG3192" s="223"/>
      <c r="AH3192" s="341"/>
      <c r="AI3192" s="218"/>
      <c r="AJ3192" s="218"/>
      <c r="AK3192" s="153"/>
      <c r="AL3192" s="152"/>
      <c r="AM3192" s="152"/>
      <c r="AN3192" s="152"/>
      <c r="AO3192" s="152"/>
      <c r="AP3192" s="152"/>
      <c r="AQ3192" s="152"/>
      <c r="AR3192" s="152"/>
      <c r="AS3192" s="152"/>
      <c r="AT3192" s="152"/>
      <c r="AU3192" s="153"/>
      <c r="AV3192" s="479"/>
      <c r="AW3192" s="479"/>
      <c r="AX3192" s="442"/>
      <c r="AY3192" s="153"/>
      <c r="AZ3192" s="152"/>
      <c r="BA3192" s="152"/>
      <c r="BB3192" s="152"/>
      <c r="BC3192" s="152"/>
      <c r="BD3192" s="152"/>
      <c r="BE3192" s="152"/>
      <c r="BF3192" s="152"/>
      <c r="BG3192" s="152"/>
      <c r="BH3192" s="152"/>
      <c r="BI3192" s="153"/>
      <c r="BJ3192" s="153"/>
      <c r="BK3192" s="153"/>
      <c r="BL3192" s="153"/>
      <c r="BM3192" s="153"/>
      <c r="BN3192" s="153"/>
      <c r="BO3192" s="153"/>
      <c r="BP3192" s="153"/>
      <c r="BQ3192" s="153"/>
      <c r="BR3192" s="153"/>
      <c r="BS3192" s="153"/>
      <c r="BT3192" s="153"/>
      <c r="BU3192" s="153"/>
      <c r="BV3192" s="153"/>
      <c r="BW3192" s="153"/>
      <c r="BX3192" s="153"/>
      <c r="BY3192" s="153"/>
      <c r="BZ3192" s="153"/>
      <c r="CA3192" s="152"/>
      <c r="CB3192" s="152"/>
    </row>
    <row r="3193" spans="1:80" s="87" customFormat="1" ht="15" x14ac:dyDescent="0.25">
      <c r="A3193" s="152"/>
      <c r="B3193" s="683"/>
      <c r="C3193" s="683"/>
      <c r="D3193" s="698"/>
      <c r="E3193" s="215"/>
      <c r="F3193" s="215"/>
      <c r="G3193" s="153"/>
      <c r="H3193" s="153"/>
      <c r="I3193" s="320">
        <v>19</v>
      </c>
      <c r="J3193" s="320">
        <v>60</v>
      </c>
      <c r="K3193" s="222">
        <v>1</v>
      </c>
      <c r="L3193" s="658">
        <v>19</v>
      </c>
      <c r="M3193" s="663">
        <v>34468</v>
      </c>
      <c r="N3193" s="600">
        <v>205.267</v>
      </c>
      <c r="O3193" s="604">
        <v>2.393E-2</v>
      </c>
      <c r="P3193" s="150"/>
      <c r="Q3193" s="250"/>
      <c r="R3193" s="250"/>
      <c r="S3193" s="250"/>
      <c r="T3193" s="250">
        <v>2.1000000000000001E-2</v>
      </c>
      <c r="U3193" s="250">
        <v>0.17300000000000001</v>
      </c>
      <c r="V3193" s="250">
        <v>0.29199999999999998</v>
      </c>
      <c r="W3193" s="250">
        <v>0.30199999999999999</v>
      </c>
      <c r="X3193" s="250">
        <v>0.19500000000000001</v>
      </c>
      <c r="Y3193" s="250">
        <v>1.7000000000000001E-2</v>
      </c>
      <c r="Z3193" s="150"/>
      <c r="AA3193" s="150">
        <v>0.97</v>
      </c>
      <c r="AB3193" s="152"/>
      <c r="AC3193" s="152"/>
      <c r="AD3193" s="223"/>
      <c r="AE3193" s="223"/>
      <c r="AF3193" s="223"/>
      <c r="AG3193" s="223"/>
      <c r="AH3193" s="341"/>
      <c r="AI3193" s="218"/>
      <c r="AJ3193" s="218"/>
      <c r="AK3193" s="153"/>
      <c r="AL3193" s="152"/>
      <c r="AM3193" s="152"/>
      <c r="AN3193" s="152"/>
      <c r="AO3193" s="152"/>
      <c r="AP3193" s="152"/>
      <c r="AQ3193" s="152"/>
      <c r="AR3193" s="152"/>
      <c r="AS3193" s="152"/>
      <c r="AT3193" s="152"/>
      <c r="AU3193" s="153"/>
      <c r="AV3193" s="479"/>
      <c r="AW3193" s="479"/>
      <c r="AX3193" s="442"/>
      <c r="AY3193" s="153"/>
      <c r="AZ3193" s="152"/>
      <c r="BA3193" s="152"/>
      <c r="BB3193" s="152"/>
      <c r="BC3193" s="152"/>
      <c r="BD3193" s="152"/>
      <c r="BE3193" s="152"/>
      <c r="BF3193" s="152"/>
      <c r="BG3193" s="152"/>
      <c r="BH3193" s="152"/>
      <c r="BI3193" s="153"/>
      <c r="BJ3193" s="153"/>
      <c r="BK3193" s="153"/>
      <c r="BL3193" s="153"/>
      <c r="BM3193" s="153"/>
      <c r="BN3193" s="153"/>
      <c r="BO3193" s="153"/>
      <c r="BP3193" s="153"/>
      <c r="BQ3193" s="153"/>
      <c r="BR3193" s="153"/>
      <c r="BS3193" s="153"/>
      <c r="BT3193" s="153"/>
      <c r="BU3193" s="153"/>
      <c r="BV3193" s="153"/>
      <c r="BW3193" s="153"/>
      <c r="BX3193" s="153"/>
      <c r="BY3193" s="153"/>
      <c r="BZ3193" s="153"/>
      <c r="CA3193" s="152"/>
      <c r="CB3193" s="152"/>
    </row>
    <row r="3194" spans="1:80" s="87" customFormat="1" ht="15" x14ac:dyDescent="0.25">
      <c r="A3194" s="152"/>
      <c r="B3194" s="683"/>
      <c r="C3194" s="683"/>
      <c r="D3194" s="698"/>
      <c r="E3194" s="215"/>
      <c r="F3194" s="215"/>
      <c r="G3194" s="153"/>
      <c r="H3194" s="153"/>
      <c r="I3194" s="320">
        <v>19</v>
      </c>
      <c r="J3194" s="320">
        <v>60</v>
      </c>
      <c r="K3194" s="222">
        <v>1</v>
      </c>
      <c r="L3194" s="658">
        <v>19</v>
      </c>
      <c r="M3194" s="663">
        <v>34468</v>
      </c>
      <c r="N3194" s="600">
        <v>204.13499999999999</v>
      </c>
      <c r="O3194" s="604">
        <v>1.2070000000000001E-2</v>
      </c>
      <c r="P3194" s="150"/>
      <c r="Q3194" s="250"/>
      <c r="R3194" s="250"/>
      <c r="S3194" s="250"/>
      <c r="T3194" s="250"/>
      <c r="U3194" s="250">
        <v>2.7999999999999997E-2</v>
      </c>
      <c r="V3194" s="250">
        <v>0.20600000000000002</v>
      </c>
      <c r="W3194" s="250">
        <v>0.442</v>
      </c>
      <c r="X3194" s="250">
        <v>0.28999999999999998</v>
      </c>
      <c r="Y3194" s="250">
        <v>3.4000000000000002E-2</v>
      </c>
      <c r="Z3194" s="150"/>
      <c r="AA3194" s="150">
        <v>0.66</v>
      </c>
      <c r="AB3194" s="152"/>
      <c r="AC3194" s="152"/>
      <c r="AD3194" s="223"/>
      <c r="AE3194" s="223"/>
      <c r="AF3194" s="223"/>
      <c r="AG3194" s="223"/>
      <c r="AH3194" s="341"/>
      <c r="AI3194" s="218"/>
      <c r="AJ3194" s="218"/>
      <c r="AK3194" s="153"/>
      <c r="AL3194" s="152"/>
      <c r="AM3194" s="152"/>
      <c r="AN3194" s="152"/>
      <c r="AO3194" s="152"/>
      <c r="AP3194" s="152"/>
      <c r="AQ3194" s="152"/>
      <c r="AR3194" s="152"/>
      <c r="AS3194" s="152"/>
      <c r="AT3194" s="152"/>
      <c r="AU3194" s="153"/>
      <c r="AV3194" s="479"/>
      <c r="AW3194" s="479"/>
      <c r="AX3194" s="442"/>
      <c r="AY3194" s="153"/>
      <c r="AZ3194" s="152"/>
      <c r="BA3194" s="152"/>
      <c r="BB3194" s="152"/>
      <c r="BC3194" s="152"/>
      <c r="BD3194" s="152"/>
      <c r="BE3194" s="152"/>
      <c r="BF3194" s="152"/>
      <c r="BG3194" s="152"/>
      <c r="BH3194" s="152"/>
      <c r="BI3194" s="153"/>
      <c r="BJ3194" s="153"/>
      <c r="BK3194" s="153"/>
      <c r="BL3194" s="153"/>
      <c r="BM3194" s="153"/>
      <c r="BN3194" s="153"/>
      <c r="BO3194" s="153"/>
      <c r="BP3194" s="153"/>
      <c r="BQ3194" s="153"/>
      <c r="BR3194" s="153"/>
      <c r="BS3194" s="153"/>
      <c r="BT3194" s="153"/>
      <c r="BU3194" s="153"/>
      <c r="BV3194" s="153"/>
      <c r="BW3194" s="153"/>
      <c r="BX3194" s="153"/>
      <c r="BY3194" s="153"/>
      <c r="BZ3194" s="153"/>
      <c r="CA3194" s="152"/>
      <c r="CB3194" s="152"/>
    </row>
    <row r="3195" spans="1:80" s="87" customFormat="1" ht="15" x14ac:dyDescent="0.25">
      <c r="A3195" s="152"/>
      <c r="B3195" s="683"/>
      <c r="C3195" s="683"/>
      <c r="D3195" s="698"/>
      <c r="E3195" s="215"/>
      <c r="F3195" s="215"/>
      <c r="G3195" s="153"/>
      <c r="H3195" s="153"/>
      <c r="I3195" s="320">
        <v>21</v>
      </c>
      <c r="J3195" s="320">
        <v>60</v>
      </c>
      <c r="K3195" s="222">
        <v>1</v>
      </c>
      <c r="L3195" s="658">
        <v>21</v>
      </c>
      <c r="M3195" s="663">
        <v>34471</v>
      </c>
      <c r="N3195" s="600">
        <v>165.06299999999999</v>
      </c>
      <c r="O3195" s="604">
        <v>4.1980000000000003E-3</v>
      </c>
      <c r="P3195" s="150"/>
      <c r="Q3195" s="250"/>
      <c r="R3195" s="250"/>
      <c r="S3195" s="250"/>
      <c r="T3195" s="250"/>
      <c r="U3195" s="250">
        <v>3.6000000000000004E-2</v>
      </c>
      <c r="V3195" s="250">
        <v>0.14300000000000002</v>
      </c>
      <c r="W3195" s="250">
        <v>0.375</v>
      </c>
      <c r="X3195" s="250">
        <v>0.375</v>
      </c>
      <c r="Y3195" s="250">
        <v>7.0999999999999994E-2</v>
      </c>
      <c r="Z3195" s="150"/>
      <c r="AA3195" s="150">
        <v>0.55000000000000004</v>
      </c>
      <c r="AB3195" s="152"/>
      <c r="AC3195" s="152"/>
      <c r="AD3195" s="223"/>
      <c r="AE3195" s="223"/>
      <c r="AF3195" s="223"/>
      <c r="AG3195" s="223"/>
      <c r="AH3195" s="341"/>
      <c r="AI3195" s="218"/>
      <c r="AJ3195" s="218"/>
      <c r="AK3195" s="153"/>
      <c r="AL3195" s="152"/>
      <c r="AM3195" s="152"/>
      <c r="AN3195" s="152"/>
      <c r="AO3195" s="152"/>
      <c r="AP3195" s="152"/>
      <c r="AQ3195" s="152"/>
      <c r="AR3195" s="152"/>
      <c r="AS3195" s="152"/>
      <c r="AT3195" s="152"/>
      <c r="AU3195" s="153"/>
      <c r="AV3195" s="479"/>
      <c r="AW3195" s="479"/>
      <c r="AX3195" s="442"/>
      <c r="AY3195" s="153"/>
      <c r="AZ3195" s="152"/>
      <c r="BA3195" s="152"/>
      <c r="BB3195" s="152"/>
      <c r="BC3195" s="152"/>
      <c r="BD3195" s="152"/>
      <c r="BE3195" s="152"/>
      <c r="BF3195" s="152"/>
      <c r="BG3195" s="152"/>
      <c r="BH3195" s="152"/>
      <c r="BI3195" s="153"/>
      <c r="BJ3195" s="153"/>
      <c r="BK3195" s="153"/>
      <c r="BL3195" s="153"/>
      <c r="BM3195" s="153"/>
      <c r="BN3195" s="153"/>
      <c r="BO3195" s="153"/>
      <c r="BP3195" s="153"/>
      <c r="BQ3195" s="153"/>
      <c r="BR3195" s="153"/>
      <c r="BS3195" s="153"/>
      <c r="BT3195" s="153"/>
      <c r="BU3195" s="153"/>
      <c r="BV3195" s="153"/>
      <c r="BW3195" s="153"/>
      <c r="BX3195" s="153"/>
      <c r="BY3195" s="153"/>
      <c r="BZ3195" s="153"/>
      <c r="CA3195" s="152"/>
      <c r="CB3195" s="152"/>
    </row>
    <row r="3196" spans="1:80" s="87" customFormat="1" ht="15" x14ac:dyDescent="0.25">
      <c r="A3196" s="152"/>
      <c r="B3196" s="683"/>
      <c r="C3196" s="683"/>
      <c r="D3196" s="698"/>
      <c r="E3196" s="215"/>
      <c r="F3196" s="215"/>
      <c r="G3196" s="153"/>
      <c r="H3196" s="153"/>
      <c r="I3196" s="320">
        <v>21</v>
      </c>
      <c r="J3196" s="320">
        <v>60</v>
      </c>
      <c r="K3196" s="222">
        <v>1</v>
      </c>
      <c r="L3196" s="658">
        <v>21</v>
      </c>
      <c r="M3196" s="663">
        <v>34471</v>
      </c>
      <c r="N3196" s="600">
        <v>164.214</v>
      </c>
      <c r="O3196" s="604">
        <v>7.1370000000000001E-3</v>
      </c>
      <c r="P3196" s="150"/>
      <c r="Q3196" s="250"/>
      <c r="R3196" s="250"/>
      <c r="S3196" s="250"/>
      <c r="T3196" s="250">
        <v>2.1000000000000001E-2</v>
      </c>
      <c r="U3196" s="250">
        <v>5.2000000000000005E-2</v>
      </c>
      <c r="V3196" s="250">
        <v>0.28499999999999998</v>
      </c>
      <c r="W3196" s="250">
        <v>0.42100000000000004</v>
      </c>
      <c r="X3196" s="250">
        <v>0.2</v>
      </c>
      <c r="Y3196" s="250">
        <v>2.1000000000000001E-2</v>
      </c>
      <c r="Z3196" s="150"/>
      <c r="AA3196" s="150">
        <v>0.79</v>
      </c>
      <c r="AB3196" s="152"/>
      <c r="AC3196" s="152"/>
      <c r="AD3196" s="223"/>
      <c r="AE3196" s="223"/>
      <c r="AF3196" s="223"/>
      <c r="AG3196" s="223"/>
      <c r="AH3196" s="341"/>
      <c r="AI3196" s="218"/>
      <c r="AJ3196" s="218"/>
      <c r="AK3196" s="153"/>
      <c r="AL3196" s="152"/>
      <c r="AM3196" s="152"/>
      <c r="AN3196" s="152"/>
      <c r="AO3196" s="152"/>
      <c r="AP3196" s="152"/>
      <c r="AQ3196" s="152"/>
      <c r="AR3196" s="152"/>
      <c r="AS3196" s="152"/>
      <c r="AT3196" s="152"/>
      <c r="AU3196" s="153"/>
      <c r="AV3196" s="479"/>
      <c r="AW3196" s="479"/>
      <c r="AX3196" s="442"/>
      <c r="AY3196" s="153"/>
      <c r="AZ3196" s="152"/>
      <c r="BA3196" s="152"/>
      <c r="BB3196" s="152"/>
      <c r="BC3196" s="152"/>
      <c r="BD3196" s="152"/>
      <c r="BE3196" s="152"/>
      <c r="BF3196" s="152"/>
      <c r="BG3196" s="152"/>
      <c r="BH3196" s="152"/>
      <c r="BI3196" s="153"/>
      <c r="BJ3196" s="153"/>
      <c r="BK3196" s="153"/>
      <c r="BL3196" s="153"/>
      <c r="BM3196" s="153"/>
      <c r="BN3196" s="153"/>
      <c r="BO3196" s="153"/>
      <c r="BP3196" s="153"/>
      <c r="BQ3196" s="153"/>
      <c r="BR3196" s="153"/>
      <c r="BS3196" s="153"/>
      <c r="BT3196" s="153"/>
      <c r="BU3196" s="153"/>
      <c r="BV3196" s="153"/>
      <c r="BW3196" s="153"/>
      <c r="BX3196" s="153"/>
      <c r="BY3196" s="153"/>
      <c r="BZ3196" s="153"/>
      <c r="CA3196" s="152"/>
      <c r="CB3196" s="152"/>
    </row>
    <row r="3197" spans="1:80" s="87" customFormat="1" ht="15" x14ac:dyDescent="0.25">
      <c r="A3197" s="152"/>
      <c r="B3197" s="683"/>
      <c r="C3197" s="683"/>
      <c r="D3197" s="698"/>
      <c r="E3197" s="215"/>
      <c r="F3197" s="215"/>
      <c r="G3197" s="153"/>
      <c r="H3197" s="153"/>
      <c r="I3197" s="320">
        <v>21</v>
      </c>
      <c r="J3197" s="320">
        <v>60</v>
      </c>
      <c r="K3197" s="222">
        <v>1</v>
      </c>
      <c r="L3197" s="658">
        <v>21</v>
      </c>
      <c r="M3197" s="663">
        <v>34472</v>
      </c>
      <c r="N3197" s="600">
        <v>174.68899999999999</v>
      </c>
      <c r="O3197" s="604">
        <v>1.7108000000000002E-2</v>
      </c>
      <c r="P3197" s="150"/>
      <c r="Q3197" s="250"/>
      <c r="R3197" s="250"/>
      <c r="S3197" s="250"/>
      <c r="T3197" s="250"/>
      <c r="U3197" s="250">
        <v>8.4000000000000005E-2</v>
      </c>
      <c r="V3197" s="250">
        <v>0.312</v>
      </c>
      <c r="W3197" s="250">
        <v>0.35299999999999998</v>
      </c>
      <c r="X3197" s="250">
        <v>0.22</v>
      </c>
      <c r="Y3197" s="250">
        <v>3.1E-2</v>
      </c>
      <c r="Z3197" s="150"/>
      <c r="AA3197" s="150">
        <v>0.82</v>
      </c>
      <c r="AB3197" s="152"/>
      <c r="AC3197" s="152"/>
      <c r="AD3197" s="223"/>
      <c r="AE3197" s="223"/>
      <c r="AF3197" s="223"/>
      <c r="AG3197" s="223"/>
      <c r="AH3197" s="341"/>
      <c r="AI3197" s="218"/>
      <c r="AJ3197" s="218"/>
      <c r="AK3197" s="153"/>
      <c r="AL3197" s="152"/>
      <c r="AM3197" s="152"/>
      <c r="AN3197" s="152"/>
      <c r="AO3197" s="152"/>
      <c r="AP3197" s="152"/>
      <c r="AQ3197" s="152"/>
      <c r="AR3197" s="152"/>
      <c r="AS3197" s="152"/>
      <c r="AT3197" s="152"/>
      <c r="AU3197" s="153"/>
      <c r="AV3197" s="479"/>
      <c r="AW3197" s="479"/>
      <c r="AX3197" s="442"/>
      <c r="AY3197" s="153"/>
      <c r="AZ3197" s="152"/>
      <c r="BA3197" s="152"/>
      <c r="BB3197" s="152"/>
      <c r="BC3197" s="152"/>
      <c r="BD3197" s="152"/>
      <c r="BE3197" s="152"/>
      <c r="BF3197" s="152"/>
      <c r="BG3197" s="152"/>
      <c r="BH3197" s="152"/>
      <c r="BI3197" s="153"/>
      <c r="BJ3197" s="153"/>
      <c r="BK3197" s="153"/>
      <c r="BL3197" s="153"/>
      <c r="BM3197" s="153"/>
      <c r="BN3197" s="153"/>
      <c r="BO3197" s="153"/>
      <c r="BP3197" s="153"/>
      <c r="BQ3197" s="153"/>
      <c r="BR3197" s="153"/>
      <c r="BS3197" s="153"/>
      <c r="BT3197" s="153"/>
      <c r="BU3197" s="153"/>
      <c r="BV3197" s="153"/>
      <c r="BW3197" s="153"/>
      <c r="BX3197" s="153"/>
      <c r="BY3197" s="153"/>
      <c r="BZ3197" s="153"/>
      <c r="CA3197" s="152"/>
      <c r="CB3197" s="152"/>
    </row>
    <row r="3198" spans="1:80" s="87" customFormat="1" ht="15" x14ac:dyDescent="0.25">
      <c r="A3198" s="152"/>
      <c r="B3198" s="683"/>
      <c r="C3198" s="683"/>
      <c r="D3198" s="698"/>
      <c r="E3198" s="215"/>
      <c r="F3198" s="215"/>
      <c r="G3198" s="153"/>
      <c r="H3198" s="153"/>
      <c r="I3198" s="320">
        <v>21</v>
      </c>
      <c r="J3198" s="320">
        <v>60</v>
      </c>
      <c r="K3198" s="222">
        <v>1</v>
      </c>
      <c r="L3198" s="658">
        <v>21</v>
      </c>
      <c r="M3198" s="663">
        <v>34472</v>
      </c>
      <c r="N3198" s="600">
        <v>174.12299999999999</v>
      </c>
      <c r="O3198" s="604">
        <v>1.1545E-2</v>
      </c>
      <c r="P3198" s="150"/>
      <c r="Q3198" s="250"/>
      <c r="R3198" s="250"/>
      <c r="S3198" s="250"/>
      <c r="T3198" s="250"/>
      <c r="U3198" s="250">
        <v>9.3000000000000013E-2</v>
      </c>
      <c r="V3198" s="250">
        <v>0.22500000000000001</v>
      </c>
      <c r="W3198" s="250">
        <v>0.39700000000000002</v>
      </c>
      <c r="X3198" s="250">
        <v>0.252</v>
      </c>
      <c r="Y3198" s="250">
        <v>3.3000000000000002E-2</v>
      </c>
      <c r="Z3198" s="150"/>
      <c r="AA3198" s="150">
        <v>0.73</v>
      </c>
      <c r="AB3198" s="152"/>
      <c r="AC3198" s="152"/>
      <c r="AD3198" s="223"/>
      <c r="AE3198" s="223"/>
      <c r="AF3198" s="223"/>
      <c r="AG3198" s="223"/>
      <c r="AH3198" s="341"/>
      <c r="AI3198" s="218"/>
      <c r="AJ3198" s="218"/>
      <c r="AK3198" s="153"/>
      <c r="AL3198" s="152"/>
      <c r="AM3198" s="152"/>
      <c r="AN3198" s="152"/>
      <c r="AO3198" s="152"/>
      <c r="AP3198" s="152"/>
      <c r="AQ3198" s="152"/>
      <c r="AR3198" s="152"/>
      <c r="AS3198" s="152"/>
      <c r="AT3198" s="152"/>
      <c r="AU3198" s="153"/>
      <c r="AV3198" s="479"/>
      <c r="AW3198" s="479"/>
      <c r="AX3198" s="442"/>
      <c r="AY3198" s="153"/>
      <c r="AZ3198" s="152"/>
      <c r="BA3198" s="152"/>
      <c r="BB3198" s="152"/>
      <c r="BC3198" s="152"/>
      <c r="BD3198" s="152"/>
      <c r="BE3198" s="152"/>
      <c r="BF3198" s="152"/>
      <c r="BG3198" s="152"/>
      <c r="BH3198" s="152"/>
      <c r="BI3198" s="153"/>
      <c r="BJ3198" s="153"/>
      <c r="BK3198" s="153"/>
      <c r="BL3198" s="153"/>
      <c r="BM3198" s="153"/>
      <c r="BN3198" s="153"/>
      <c r="BO3198" s="153"/>
      <c r="BP3198" s="153"/>
      <c r="BQ3198" s="153"/>
      <c r="BR3198" s="153"/>
      <c r="BS3198" s="153"/>
      <c r="BT3198" s="153"/>
      <c r="BU3198" s="153"/>
      <c r="BV3198" s="153"/>
      <c r="BW3198" s="153"/>
      <c r="BX3198" s="153"/>
      <c r="BY3198" s="153"/>
      <c r="BZ3198" s="153"/>
      <c r="CA3198" s="152"/>
      <c r="CB3198" s="152"/>
    </row>
    <row r="3199" spans="1:80" s="87" customFormat="1" ht="15" x14ac:dyDescent="0.25">
      <c r="A3199" s="152"/>
      <c r="B3199" s="683"/>
      <c r="C3199" s="683"/>
      <c r="D3199" s="698"/>
      <c r="E3199" s="215"/>
      <c r="F3199" s="215"/>
      <c r="G3199" s="153"/>
      <c r="H3199" s="153"/>
      <c r="I3199" s="320">
        <v>21</v>
      </c>
      <c r="J3199" s="320">
        <v>60</v>
      </c>
      <c r="K3199" s="222">
        <v>1</v>
      </c>
      <c r="L3199" s="658">
        <v>21</v>
      </c>
      <c r="M3199" s="663">
        <v>34477</v>
      </c>
      <c r="N3199" s="600">
        <v>142.696</v>
      </c>
      <c r="O3199" s="604">
        <v>8.397E-3</v>
      </c>
      <c r="P3199" s="150"/>
      <c r="Q3199" s="250"/>
      <c r="R3199" s="250"/>
      <c r="S3199" s="250"/>
      <c r="T3199" s="250">
        <v>1.8000000000000002E-2</v>
      </c>
      <c r="U3199" s="250">
        <v>9.8000000000000004E-2</v>
      </c>
      <c r="V3199" s="250">
        <v>0.30399999999999999</v>
      </c>
      <c r="W3199" s="250">
        <v>0.41899999999999998</v>
      </c>
      <c r="X3199" s="250">
        <v>0.152</v>
      </c>
      <c r="Y3199" s="250">
        <v>9.0000000000000011E-3</v>
      </c>
      <c r="Z3199" s="150"/>
      <c r="AA3199" s="150">
        <v>0.88</v>
      </c>
      <c r="AB3199" s="152"/>
      <c r="AC3199" s="152"/>
      <c r="AD3199" s="223"/>
      <c r="AE3199" s="223"/>
      <c r="AF3199" s="223"/>
      <c r="AG3199" s="223"/>
      <c r="AH3199" s="341"/>
      <c r="AI3199" s="218"/>
      <c r="AJ3199" s="218"/>
      <c r="AK3199" s="153"/>
      <c r="AL3199" s="152"/>
      <c r="AM3199" s="152"/>
      <c r="AN3199" s="152"/>
      <c r="AO3199" s="152"/>
      <c r="AP3199" s="152"/>
      <c r="AQ3199" s="152"/>
      <c r="AR3199" s="152"/>
      <c r="AS3199" s="152"/>
      <c r="AT3199" s="152"/>
      <c r="AU3199" s="153"/>
      <c r="AV3199" s="479"/>
      <c r="AW3199" s="479"/>
      <c r="AX3199" s="442"/>
      <c r="AY3199" s="153"/>
      <c r="AZ3199" s="152"/>
      <c r="BA3199" s="152"/>
      <c r="BB3199" s="152"/>
      <c r="BC3199" s="152"/>
      <c r="BD3199" s="152"/>
      <c r="BE3199" s="152"/>
      <c r="BF3199" s="152"/>
      <c r="BG3199" s="152"/>
      <c r="BH3199" s="152"/>
      <c r="BI3199" s="153"/>
      <c r="BJ3199" s="153"/>
      <c r="BK3199" s="153"/>
      <c r="BL3199" s="153"/>
      <c r="BM3199" s="153"/>
      <c r="BN3199" s="153"/>
      <c r="BO3199" s="153"/>
      <c r="BP3199" s="153"/>
      <c r="BQ3199" s="153"/>
      <c r="BR3199" s="153"/>
      <c r="BS3199" s="153"/>
      <c r="BT3199" s="153"/>
      <c r="BU3199" s="153"/>
      <c r="BV3199" s="153"/>
      <c r="BW3199" s="153"/>
      <c r="BX3199" s="153"/>
      <c r="BY3199" s="153"/>
      <c r="BZ3199" s="153"/>
      <c r="CA3199" s="152"/>
      <c r="CB3199" s="152"/>
    </row>
    <row r="3200" spans="1:80" s="87" customFormat="1" ht="15" x14ac:dyDescent="0.25">
      <c r="A3200" s="152"/>
      <c r="B3200" s="683"/>
      <c r="C3200" s="683"/>
      <c r="D3200" s="698"/>
      <c r="E3200" s="215"/>
      <c r="F3200" s="215"/>
      <c r="G3200" s="153"/>
      <c r="H3200" s="153"/>
      <c r="I3200" s="320">
        <v>21</v>
      </c>
      <c r="J3200" s="320">
        <v>60</v>
      </c>
      <c r="K3200" s="222">
        <v>1</v>
      </c>
      <c r="L3200" s="658">
        <v>21</v>
      </c>
      <c r="M3200" s="663">
        <v>34477</v>
      </c>
      <c r="N3200" s="600">
        <v>142.13</v>
      </c>
      <c r="O3200" s="604">
        <v>1.8890000000000001E-3</v>
      </c>
      <c r="P3200" s="150"/>
      <c r="Q3200" s="250"/>
      <c r="R3200" s="250"/>
      <c r="S3200" s="250"/>
      <c r="T3200" s="250"/>
      <c r="U3200" s="250">
        <v>0.28000000000000003</v>
      </c>
      <c r="V3200" s="250">
        <v>0.44</v>
      </c>
      <c r="W3200" s="250">
        <v>0.2</v>
      </c>
      <c r="X3200" s="250">
        <v>0.08</v>
      </c>
      <c r="Y3200" s="250">
        <v>0</v>
      </c>
      <c r="Z3200" s="150"/>
      <c r="AA3200" s="150">
        <v>1.41</v>
      </c>
      <c r="AB3200" s="152"/>
      <c r="AC3200" s="152"/>
      <c r="AD3200" s="223"/>
      <c r="AE3200" s="223"/>
      <c r="AF3200" s="223"/>
      <c r="AG3200" s="223"/>
      <c r="AH3200" s="341"/>
      <c r="AI3200" s="218"/>
      <c r="AJ3200" s="218"/>
      <c r="AK3200" s="153"/>
      <c r="AL3200" s="152"/>
      <c r="AM3200" s="152"/>
      <c r="AN3200" s="152"/>
      <c r="AO3200" s="152"/>
      <c r="AP3200" s="152"/>
      <c r="AQ3200" s="152"/>
      <c r="AR3200" s="152"/>
      <c r="AS3200" s="152"/>
      <c r="AT3200" s="152"/>
      <c r="AU3200" s="153"/>
      <c r="AV3200" s="479"/>
      <c r="AW3200" s="479"/>
      <c r="AX3200" s="442"/>
      <c r="AY3200" s="153"/>
      <c r="AZ3200" s="152"/>
      <c r="BA3200" s="152"/>
      <c r="BB3200" s="152"/>
      <c r="BC3200" s="152"/>
      <c r="BD3200" s="152"/>
      <c r="BE3200" s="152"/>
      <c r="BF3200" s="152"/>
      <c r="BG3200" s="152"/>
      <c r="BH3200" s="152"/>
      <c r="BI3200" s="153"/>
      <c r="BJ3200" s="153"/>
      <c r="BK3200" s="153"/>
      <c r="BL3200" s="153"/>
      <c r="BM3200" s="153"/>
      <c r="BN3200" s="153"/>
      <c r="BO3200" s="153"/>
      <c r="BP3200" s="153"/>
      <c r="BQ3200" s="153"/>
      <c r="BR3200" s="153"/>
      <c r="BS3200" s="153"/>
      <c r="BT3200" s="153"/>
      <c r="BU3200" s="153"/>
      <c r="BV3200" s="153"/>
      <c r="BW3200" s="153"/>
      <c r="BX3200" s="153"/>
      <c r="BY3200" s="153"/>
      <c r="BZ3200" s="153"/>
      <c r="CA3200" s="152"/>
      <c r="CB3200" s="152"/>
    </row>
    <row r="3201" spans="1:80" s="87" customFormat="1" ht="15" x14ac:dyDescent="0.25">
      <c r="A3201" s="152"/>
      <c r="B3201" s="683"/>
      <c r="C3201" s="683"/>
      <c r="D3201" s="698"/>
      <c r="E3201" s="215"/>
      <c r="F3201" s="215"/>
      <c r="G3201" s="153"/>
      <c r="H3201" s="153"/>
      <c r="I3201" s="320">
        <v>21</v>
      </c>
      <c r="J3201" s="320">
        <v>60</v>
      </c>
      <c r="K3201" s="222">
        <v>1</v>
      </c>
      <c r="L3201" s="658">
        <v>21</v>
      </c>
      <c r="M3201" s="663">
        <v>34480</v>
      </c>
      <c r="N3201" s="600">
        <v>137.6</v>
      </c>
      <c r="O3201" s="604">
        <v>4.5129999999999997E-3</v>
      </c>
      <c r="P3201" s="150"/>
      <c r="Q3201" s="250"/>
      <c r="R3201" s="250"/>
      <c r="S3201" s="250"/>
      <c r="T3201" s="250"/>
      <c r="U3201" s="250">
        <v>6.7000000000000004E-2</v>
      </c>
      <c r="V3201" s="250">
        <v>0.183</v>
      </c>
      <c r="W3201" s="250">
        <v>0.5</v>
      </c>
      <c r="X3201" s="250">
        <v>0.217</v>
      </c>
      <c r="Y3201" s="250">
        <v>3.3000000000000002E-2</v>
      </c>
      <c r="Z3201" s="150"/>
      <c r="AA3201" s="150">
        <v>0.71</v>
      </c>
      <c r="AB3201" s="152"/>
      <c r="AC3201" s="152"/>
      <c r="AD3201" s="223"/>
      <c r="AE3201" s="223"/>
      <c r="AF3201" s="223"/>
      <c r="AG3201" s="223"/>
      <c r="AH3201" s="341"/>
      <c r="AI3201" s="218"/>
      <c r="AJ3201" s="218"/>
      <c r="AK3201" s="153"/>
      <c r="AL3201" s="152"/>
      <c r="AM3201" s="152"/>
      <c r="AN3201" s="152"/>
      <c r="AO3201" s="152"/>
      <c r="AP3201" s="152"/>
      <c r="AQ3201" s="152"/>
      <c r="AR3201" s="152"/>
      <c r="AS3201" s="152"/>
      <c r="AT3201" s="152"/>
      <c r="AU3201" s="153"/>
      <c r="AV3201" s="479"/>
      <c r="AW3201" s="479"/>
      <c r="AX3201" s="442"/>
      <c r="AY3201" s="153"/>
      <c r="AZ3201" s="152"/>
      <c r="BA3201" s="152"/>
      <c r="BB3201" s="152"/>
      <c r="BC3201" s="152"/>
      <c r="BD3201" s="152"/>
      <c r="BE3201" s="152"/>
      <c r="BF3201" s="152"/>
      <c r="BG3201" s="152"/>
      <c r="BH3201" s="152"/>
      <c r="BI3201" s="153"/>
      <c r="BJ3201" s="153"/>
      <c r="BK3201" s="153"/>
      <c r="BL3201" s="153"/>
      <c r="BM3201" s="153"/>
      <c r="BN3201" s="153"/>
      <c r="BO3201" s="153"/>
      <c r="BP3201" s="153"/>
      <c r="BQ3201" s="153"/>
      <c r="BR3201" s="153"/>
      <c r="BS3201" s="153"/>
      <c r="BT3201" s="153"/>
      <c r="BU3201" s="153"/>
      <c r="BV3201" s="153"/>
      <c r="BW3201" s="153"/>
      <c r="BX3201" s="153"/>
      <c r="BY3201" s="153"/>
      <c r="BZ3201" s="153"/>
      <c r="CA3201" s="152"/>
      <c r="CB3201" s="152"/>
    </row>
    <row r="3202" spans="1:80" s="87" customFormat="1" ht="15" x14ac:dyDescent="0.25">
      <c r="A3202" s="152"/>
      <c r="B3202" s="683"/>
      <c r="C3202" s="683"/>
      <c r="D3202" s="698"/>
      <c r="E3202" s="215"/>
      <c r="F3202" s="215"/>
      <c r="G3202" s="153"/>
      <c r="H3202" s="153"/>
      <c r="I3202" s="320">
        <v>21</v>
      </c>
      <c r="J3202" s="320">
        <v>60</v>
      </c>
      <c r="K3202" s="222">
        <v>1</v>
      </c>
      <c r="L3202" s="658">
        <v>21</v>
      </c>
      <c r="M3202" s="663">
        <v>34480</v>
      </c>
      <c r="N3202" s="600">
        <v>137.03299999999999</v>
      </c>
      <c r="O3202" s="604">
        <v>1.3225000000000001E-2</v>
      </c>
      <c r="P3202" s="150"/>
      <c r="Q3202" s="250"/>
      <c r="R3202" s="250"/>
      <c r="S3202" s="250"/>
      <c r="T3202" s="250">
        <v>1.7000000000000001E-2</v>
      </c>
      <c r="U3202" s="250">
        <v>0.10800000000000001</v>
      </c>
      <c r="V3202" s="250">
        <v>0.307</v>
      </c>
      <c r="W3202" s="250">
        <v>0.40299999999999997</v>
      </c>
      <c r="X3202" s="250">
        <v>0.14800000000000002</v>
      </c>
      <c r="Y3202" s="250">
        <v>1.7000000000000001E-2</v>
      </c>
      <c r="Z3202" s="150"/>
      <c r="AA3202" s="150">
        <v>0.89</v>
      </c>
      <c r="AB3202" s="152"/>
      <c r="AC3202" s="152"/>
      <c r="AD3202" s="223"/>
      <c r="AE3202" s="223"/>
      <c r="AF3202" s="223"/>
      <c r="AG3202" s="223"/>
      <c r="AH3202" s="341"/>
      <c r="AI3202" s="218"/>
      <c r="AJ3202" s="218"/>
      <c r="AK3202" s="153"/>
      <c r="AL3202" s="152"/>
      <c r="AM3202" s="152"/>
      <c r="AN3202" s="152"/>
      <c r="AO3202" s="152"/>
      <c r="AP3202" s="152"/>
      <c r="AQ3202" s="152"/>
      <c r="AR3202" s="152"/>
      <c r="AS3202" s="152"/>
      <c r="AT3202" s="152"/>
      <c r="AU3202" s="153"/>
      <c r="AV3202" s="479"/>
      <c r="AW3202" s="479"/>
      <c r="AX3202" s="442"/>
      <c r="AY3202" s="153"/>
      <c r="AZ3202" s="152"/>
      <c r="BA3202" s="152"/>
      <c r="BB3202" s="152"/>
      <c r="BC3202" s="152"/>
      <c r="BD3202" s="152"/>
      <c r="BE3202" s="152"/>
      <c r="BF3202" s="152"/>
      <c r="BG3202" s="152"/>
      <c r="BH3202" s="152"/>
      <c r="BI3202" s="153"/>
      <c r="BJ3202" s="153"/>
      <c r="BK3202" s="153"/>
      <c r="BL3202" s="153"/>
      <c r="BM3202" s="153"/>
      <c r="BN3202" s="153"/>
      <c r="BO3202" s="153"/>
      <c r="BP3202" s="153"/>
      <c r="BQ3202" s="153"/>
      <c r="BR3202" s="153"/>
      <c r="BS3202" s="153"/>
      <c r="BT3202" s="153"/>
      <c r="BU3202" s="153"/>
      <c r="BV3202" s="153"/>
      <c r="BW3202" s="153"/>
      <c r="BX3202" s="153"/>
      <c r="BY3202" s="153"/>
      <c r="BZ3202" s="153"/>
      <c r="CA3202" s="152"/>
      <c r="CB3202" s="152"/>
    </row>
    <row r="3203" spans="1:80" s="87" customFormat="1" ht="15" x14ac:dyDescent="0.25">
      <c r="A3203" s="152"/>
      <c r="B3203" s="683"/>
      <c r="C3203" s="683"/>
      <c r="D3203" s="698"/>
      <c r="E3203" s="215"/>
      <c r="F3203" s="215"/>
      <c r="G3203" s="153"/>
      <c r="H3203" s="153"/>
      <c r="I3203" s="320">
        <v>20</v>
      </c>
      <c r="J3203" s="320">
        <v>60</v>
      </c>
      <c r="K3203" s="222">
        <v>1</v>
      </c>
      <c r="L3203" s="658">
        <v>20</v>
      </c>
      <c r="M3203" s="663">
        <v>34485</v>
      </c>
      <c r="N3203" s="600">
        <v>108.438</v>
      </c>
      <c r="O3203" s="604">
        <v>3.2539999999999999E-3</v>
      </c>
      <c r="P3203" s="150"/>
      <c r="Q3203" s="250"/>
      <c r="R3203" s="250"/>
      <c r="S3203" s="250"/>
      <c r="T3203" s="250"/>
      <c r="U3203" s="250">
        <v>2.3E-2</v>
      </c>
      <c r="V3203" s="250">
        <v>0.318</v>
      </c>
      <c r="W3203" s="250">
        <v>0.43200000000000005</v>
      </c>
      <c r="X3203" s="250">
        <v>0.20399999999999999</v>
      </c>
      <c r="Y3203" s="250">
        <v>2.3E-2</v>
      </c>
      <c r="Z3203" s="150"/>
      <c r="AA3203" s="150">
        <v>0.77</v>
      </c>
      <c r="AB3203" s="152"/>
      <c r="AC3203" s="152"/>
      <c r="AD3203" s="223"/>
      <c r="AE3203" s="223"/>
      <c r="AF3203" s="223"/>
      <c r="AG3203" s="223"/>
      <c r="AH3203" s="341"/>
      <c r="AI3203" s="218"/>
      <c r="AJ3203" s="218"/>
      <c r="AK3203" s="153"/>
      <c r="AL3203" s="152"/>
      <c r="AM3203" s="152"/>
      <c r="AN3203" s="152"/>
      <c r="AO3203" s="152"/>
      <c r="AP3203" s="152"/>
      <c r="AQ3203" s="152"/>
      <c r="AR3203" s="152"/>
      <c r="AS3203" s="152"/>
      <c r="AT3203" s="152"/>
      <c r="AU3203" s="153"/>
      <c r="AV3203" s="479"/>
      <c r="AW3203" s="479"/>
      <c r="AX3203" s="442"/>
      <c r="AY3203" s="153"/>
      <c r="AZ3203" s="152"/>
      <c r="BA3203" s="152"/>
      <c r="BB3203" s="152"/>
      <c r="BC3203" s="152"/>
      <c r="BD3203" s="152"/>
      <c r="BE3203" s="152"/>
      <c r="BF3203" s="152"/>
      <c r="BG3203" s="152"/>
      <c r="BH3203" s="152"/>
      <c r="BI3203" s="153"/>
      <c r="BJ3203" s="153"/>
      <c r="BK3203" s="153"/>
      <c r="BL3203" s="153"/>
      <c r="BM3203" s="153"/>
      <c r="BN3203" s="153"/>
      <c r="BO3203" s="153"/>
      <c r="BP3203" s="153"/>
      <c r="BQ3203" s="153"/>
      <c r="BR3203" s="153"/>
      <c r="BS3203" s="153"/>
      <c r="BT3203" s="153"/>
      <c r="BU3203" s="153"/>
      <c r="BV3203" s="153"/>
      <c r="BW3203" s="153"/>
      <c r="BX3203" s="153"/>
      <c r="BY3203" s="153"/>
      <c r="BZ3203" s="153"/>
      <c r="CA3203" s="152"/>
      <c r="CB3203" s="152"/>
    </row>
    <row r="3204" spans="1:80" s="87" customFormat="1" ht="15" x14ac:dyDescent="0.25">
      <c r="A3204" s="152"/>
      <c r="B3204" s="683"/>
      <c r="C3204" s="683"/>
      <c r="D3204" s="698"/>
      <c r="E3204" s="215"/>
      <c r="F3204" s="215"/>
      <c r="G3204" s="153"/>
      <c r="H3204" s="153"/>
      <c r="I3204" s="320">
        <v>20</v>
      </c>
      <c r="J3204" s="320">
        <v>60</v>
      </c>
      <c r="K3204" s="222">
        <v>1</v>
      </c>
      <c r="L3204" s="658">
        <v>20</v>
      </c>
      <c r="M3204" s="663">
        <v>34485</v>
      </c>
      <c r="N3204" s="600">
        <v>108.721</v>
      </c>
      <c r="O3204" s="604">
        <v>3.5690000000000001E-3</v>
      </c>
      <c r="P3204" s="150"/>
      <c r="Q3204" s="250"/>
      <c r="R3204" s="250"/>
      <c r="S3204" s="250"/>
      <c r="T3204" s="250">
        <v>4.2999999999999997E-2</v>
      </c>
      <c r="U3204" s="250">
        <v>0.11199999999999999</v>
      </c>
      <c r="V3204" s="250">
        <v>0.33299999999999996</v>
      </c>
      <c r="W3204" s="250">
        <v>0.33399999999999996</v>
      </c>
      <c r="X3204" s="250">
        <v>0.156</v>
      </c>
      <c r="Y3204" s="250">
        <v>2.2000000000000002E-2</v>
      </c>
      <c r="Z3204" s="150"/>
      <c r="AA3204" s="150">
        <v>0.98</v>
      </c>
      <c r="AB3204" s="152"/>
      <c r="AC3204" s="152"/>
      <c r="AD3204" s="223"/>
      <c r="AE3204" s="223"/>
      <c r="AF3204" s="223"/>
      <c r="AG3204" s="223"/>
      <c r="AH3204" s="341"/>
      <c r="AI3204" s="218"/>
      <c r="AJ3204" s="218"/>
      <c r="AK3204" s="153"/>
      <c r="AL3204" s="152"/>
      <c r="AM3204" s="152"/>
      <c r="AN3204" s="152"/>
      <c r="AO3204" s="152"/>
      <c r="AP3204" s="152"/>
      <c r="AQ3204" s="152"/>
      <c r="AR3204" s="152"/>
      <c r="AS3204" s="152"/>
      <c r="AT3204" s="152"/>
      <c r="AU3204" s="153"/>
      <c r="AV3204" s="479"/>
      <c r="AW3204" s="479"/>
      <c r="AX3204" s="442"/>
      <c r="AY3204" s="153"/>
      <c r="AZ3204" s="152"/>
      <c r="BA3204" s="152"/>
      <c r="BB3204" s="152"/>
      <c r="BC3204" s="152"/>
      <c r="BD3204" s="152"/>
      <c r="BE3204" s="152"/>
      <c r="BF3204" s="152"/>
      <c r="BG3204" s="152"/>
      <c r="BH3204" s="152"/>
      <c r="BI3204" s="153"/>
      <c r="BJ3204" s="153"/>
      <c r="BK3204" s="153"/>
      <c r="BL3204" s="153"/>
      <c r="BM3204" s="153"/>
      <c r="BN3204" s="153"/>
      <c r="BO3204" s="153"/>
      <c r="BP3204" s="153"/>
      <c r="BQ3204" s="153"/>
      <c r="BR3204" s="153"/>
      <c r="BS3204" s="153"/>
      <c r="BT3204" s="153"/>
      <c r="BU3204" s="153"/>
      <c r="BV3204" s="153"/>
      <c r="BW3204" s="153"/>
      <c r="BX3204" s="153"/>
      <c r="BY3204" s="153"/>
      <c r="BZ3204" s="153"/>
      <c r="CA3204" s="152"/>
      <c r="CB3204" s="152"/>
    </row>
    <row r="3205" spans="1:80" s="87" customFormat="1" ht="15" x14ac:dyDescent="0.25">
      <c r="A3205" s="152"/>
      <c r="B3205" s="683"/>
      <c r="C3205" s="683"/>
      <c r="D3205" s="698"/>
      <c r="E3205" s="215"/>
      <c r="F3205" s="215"/>
      <c r="G3205" s="153"/>
      <c r="H3205" s="153"/>
      <c r="I3205" s="320">
        <v>20</v>
      </c>
      <c r="J3205" s="320">
        <v>60</v>
      </c>
      <c r="K3205" s="222">
        <v>1</v>
      </c>
      <c r="L3205" s="658">
        <v>20</v>
      </c>
      <c r="M3205" s="663">
        <v>34488</v>
      </c>
      <c r="N3205" s="600">
        <v>109.28700000000001</v>
      </c>
      <c r="O3205" s="604">
        <v>1.784E-3</v>
      </c>
      <c r="P3205" s="150"/>
      <c r="Q3205" s="250"/>
      <c r="R3205" s="250"/>
      <c r="S3205" s="250"/>
      <c r="T3205" s="250"/>
      <c r="U3205" s="250"/>
      <c r="V3205" s="250">
        <v>0.13</v>
      </c>
      <c r="W3205" s="250">
        <v>0.34799999999999998</v>
      </c>
      <c r="X3205" s="250">
        <v>0.435</v>
      </c>
      <c r="Y3205" s="250">
        <v>8.6999999999999994E-2</v>
      </c>
      <c r="Z3205" s="150"/>
      <c r="AA3205" s="150">
        <v>0.48</v>
      </c>
      <c r="AB3205" s="152"/>
      <c r="AC3205" s="152"/>
      <c r="AD3205" s="223"/>
      <c r="AE3205" s="223"/>
      <c r="AF3205" s="223"/>
      <c r="AG3205" s="223"/>
      <c r="AH3205" s="341"/>
      <c r="AI3205" s="218"/>
      <c r="AJ3205" s="218"/>
      <c r="AK3205" s="153"/>
      <c r="AL3205" s="152"/>
      <c r="AM3205" s="152"/>
      <c r="AN3205" s="152"/>
      <c r="AO3205" s="152"/>
      <c r="AP3205" s="152"/>
      <c r="AQ3205" s="152"/>
      <c r="AR3205" s="152"/>
      <c r="AS3205" s="152"/>
      <c r="AT3205" s="152"/>
      <c r="AU3205" s="153"/>
      <c r="AV3205" s="479"/>
      <c r="AW3205" s="479"/>
      <c r="AX3205" s="442"/>
      <c r="AY3205" s="153"/>
      <c r="AZ3205" s="152"/>
      <c r="BA3205" s="152"/>
      <c r="BB3205" s="152"/>
      <c r="BC3205" s="152"/>
      <c r="BD3205" s="152"/>
      <c r="BE3205" s="152"/>
      <c r="BF3205" s="152"/>
      <c r="BG3205" s="152"/>
      <c r="BH3205" s="152"/>
      <c r="BI3205" s="153"/>
      <c r="BJ3205" s="153"/>
      <c r="BK3205" s="153"/>
      <c r="BL3205" s="153"/>
      <c r="BM3205" s="153"/>
      <c r="BN3205" s="153"/>
      <c r="BO3205" s="153"/>
      <c r="BP3205" s="153"/>
      <c r="BQ3205" s="153"/>
      <c r="BR3205" s="153"/>
      <c r="BS3205" s="153"/>
      <c r="BT3205" s="153"/>
      <c r="BU3205" s="153"/>
      <c r="BV3205" s="153"/>
      <c r="BW3205" s="153"/>
      <c r="BX3205" s="153"/>
      <c r="BY3205" s="153"/>
      <c r="BZ3205" s="153"/>
      <c r="CA3205" s="152"/>
      <c r="CB3205" s="152"/>
    </row>
    <row r="3206" spans="1:80" s="87" customFormat="1" ht="15" x14ac:dyDescent="0.25">
      <c r="A3206" s="152"/>
      <c r="B3206" s="683"/>
      <c r="C3206" s="683"/>
      <c r="D3206" s="698"/>
      <c r="E3206" s="215"/>
      <c r="F3206" s="215"/>
      <c r="G3206" s="153"/>
      <c r="H3206" s="153"/>
      <c r="I3206" s="320">
        <v>20</v>
      </c>
      <c r="J3206" s="320">
        <v>60</v>
      </c>
      <c r="K3206" s="222">
        <v>1</v>
      </c>
      <c r="L3206" s="658">
        <v>20</v>
      </c>
      <c r="M3206" s="663">
        <v>34488</v>
      </c>
      <c r="N3206" s="600">
        <v>108.721</v>
      </c>
      <c r="O3206" s="604">
        <v>2.4139999999999999E-3</v>
      </c>
      <c r="P3206" s="150"/>
      <c r="Q3206" s="250"/>
      <c r="R3206" s="250"/>
      <c r="S3206" s="250"/>
      <c r="T3206" s="250"/>
      <c r="U3206" s="250">
        <v>0.03</v>
      </c>
      <c r="V3206" s="250">
        <v>0.24299999999999999</v>
      </c>
      <c r="W3206" s="250">
        <v>0.39399999999999996</v>
      </c>
      <c r="X3206" s="250">
        <v>0.30299999999999999</v>
      </c>
      <c r="Y3206" s="250">
        <v>0.03</v>
      </c>
      <c r="Z3206" s="150"/>
      <c r="AA3206" s="150">
        <v>0.67</v>
      </c>
      <c r="AB3206" s="152"/>
      <c r="AC3206" s="152"/>
      <c r="AD3206" s="223"/>
      <c r="AE3206" s="223"/>
      <c r="AF3206" s="223"/>
      <c r="AG3206" s="223"/>
      <c r="AH3206" s="341"/>
      <c r="AI3206" s="218"/>
      <c r="AJ3206" s="218"/>
      <c r="AK3206" s="153"/>
      <c r="AL3206" s="152"/>
      <c r="AM3206" s="152"/>
      <c r="AN3206" s="152"/>
      <c r="AO3206" s="152"/>
      <c r="AP3206" s="152"/>
      <c r="AQ3206" s="152"/>
      <c r="AR3206" s="152"/>
      <c r="AS3206" s="152"/>
      <c r="AT3206" s="152"/>
      <c r="AU3206" s="153"/>
      <c r="AV3206" s="479"/>
      <c r="AW3206" s="479"/>
      <c r="AX3206" s="442"/>
      <c r="AY3206" s="153"/>
      <c r="AZ3206" s="152"/>
      <c r="BA3206" s="152"/>
      <c r="BB3206" s="152"/>
      <c r="BC3206" s="152"/>
      <c r="BD3206" s="152"/>
      <c r="BE3206" s="152"/>
      <c r="BF3206" s="152"/>
      <c r="BG3206" s="152"/>
      <c r="BH3206" s="152"/>
      <c r="BI3206" s="153"/>
      <c r="BJ3206" s="153"/>
      <c r="BK3206" s="153"/>
      <c r="BL3206" s="153"/>
      <c r="BM3206" s="153"/>
      <c r="BN3206" s="153"/>
      <c r="BO3206" s="153"/>
      <c r="BP3206" s="153"/>
      <c r="BQ3206" s="153"/>
      <c r="BR3206" s="153"/>
      <c r="BS3206" s="153"/>
      <c r="BT3206" s="153"/>
      <c r="BU3206" s="153"/>
      <c r="BV3206" s="153"/>
      <c r="BW3206" s="153"/>
      <c r="BX3206" s="153"/>
      <c r="BY3206" s="153"/>
      <c r="BZ3206" s="153"/>
      <c r="CA3206" s="152"/>
      <c r="CB3206" s="152"/>
    </row>
    <row r="3207" spans="1:80" s="87" customFormat="1" ht="15" x14ac:dyDescent="0.25">
      <c r="A3207" s="152"/>
      <c r="B3207" s="683"/>
      <c r="C3207" s="683"/>
      <c r="D3207" s="698"/>
      <c r="E3207" s="215"/>
      <c r="F3207" s="215"/>
      <c r="G3207" s="153"/>
      <c r="H3207" s="153"/>
      <c r="I3207" s="320">
        <v>20</v>
      </c>
      <c r="J3207" s="320">
        <v>60</v>
      </c>
      <c r="K3207" s="222">
        <v>1</v>
      </c>
      <c r="L3207" s="658">
        <v>20</v>
      </c>
      <c r="M3207" s="663">
        <v>34491</v>
      </c>
      <c r="N3207" s="600">
        <v>111.83499999999999</v>
      </c>
      <c r="O3207" s="604">
        <v>8.0820000000000006E-3</v>
      </c>
      <c r="P3207" s="150"/>
      <c r="Q3207" s="250"/>
      <c r="R3207" s="250"/>
      <c r="S3207" s="250">
        <v>0.105</v>
      </c>
      <c r="T3207" s="250">
        <v>1.9E-2</v>
      </c>
      <c r="U3207" s="250">
        <v>0.13300000000000001</v>
      </c>
      <c r="V3207" s="250">
        <v>0.314</v>
      </c>
      <c r="W3207" s="250">
        <v>0.28600000000000003</v>
      </c>
      <c r="X3207" s="250">
        <v>0.124</v>
      </c>
      <c r="Y3207" s="250">
        <v>1.9E-2</v>
      </c>
      <c r="Z3207" s="150"/>
      <c r="AA3207" s="150">
        <v>1.17</v>
      </c>
      <c r="AB3207" s="152"/>
      <c r="AC3207" s="152"/>
      <c r="AD3207" s="223"/>
      <c r="AE3207" s="223"/>
      <c r="AF3207" s="223"/>
      <c r="AG3207" s="223"/>
      <c r="AH3207" s="341"/>
      <c r="AI3207" s="218"/>
      <c r="AJ3207" s="218"/>
      <c r="AK3207" s="153"/>
      <c r="AL3207" s="152"/>
      <c r="AM3207" s="152"/>
      <c r="AN3207" s="152"/>
      <c r="AO3207" s="152"/>
      <c r="AP3207" s="152"/>
      <c r="AQ3207" s="152"/>
      <c r="AR3207" s="152"/>
      <c r="AS3207" s="152"/>
      <c r="AT3207" s="152"/>
      <c r="AU3207" s="153"/>
      <c r="AV3207" s="479"/>
      <c r="AW3207" s="479"/>
      <c r="AX3207" s="442"/>
      <c r="AY3207" s="153"/>
      <c r="AZ3207" s="152"/>
      <c r="BA3207" s="152"/>
      <c r="BB3207" s="152"/>
      <c r="BC3207" s="152"/>
      <c r="BD3207" s="152"/>
      <c r="BE3207" s="152"/>
      <c r="BF3207" s="152"/>
      <c r="BG3207" s="152"/>
      <c r="BH3207" s="152"/>
      <c r="BI3207" s="153"/>
      <c r="BJ3207" s="153"/>
      <c r="BK3207" s="153"/>
      <c r="BL3207" s="153"/>
      <c r="BM3207" s="153"/>
      <c r="BN3207" s="153"/>
      <c r="BO3207" s="153"/>
      <c r="BP3207" s="153"/>
      <c r="BQ3207" s="153"/>
      <c r="BR3207" s="153"/>
      <c r="BS3207" s="153"/>
      <c r="BT3207" s="153"/>
      <c r="BU3207" s="153"/>
      <c r="BV3207" s="153"/>
      <c r="BW3207" s="153"/>
      <c r="BX3207" s="153"/>
      <c r="BY3207" s="153"/>
      <c r="BZ3207" s="153"/>
      <c r="CA3207" s="152"/>
      <c r="CB3207" s="152"/>
    </row>
    <row r="3208" spans="1:80" s="87" customFormat="1" ht="15" x14ac:dyDescent="0.25">
      <c r="A3208" s="152"/>
      <c r="B3208" s="683"/>
      <c r="C3208" s="683"/>
      <c r="D3208" s="698"/>
      <c r="E3208" s="215"/>
      <c r="F3208" s="215"/>
      <c r="G3208" s="153"/>
      <c r="H3208" s="153"/>
      <c r="I3208" s="320">
        <v>20</v>
      </c>
      <c r="J3208" s="320">
        <v>60</v>
      </c>
      <c r="K3208" s="222">
        <v>1</v>
      </c>
      <c r="L3208" s="658">
        <v>20</v>
      </c>
      <c r="M3208" s="663">
        <v>34491</v>
      </c>
      <c r="N3208" s="600">
        <v>112.968</v>
      </c>
      <c r="O3208" s="604">
        <v>4.0930000000000003E-3</v>
      </c>
      <c r="P3208" s="150"/>
      <c r="Q3208" s="250"/>
      <c r="R3208" s="250"/>
      <c r="S3208" s="250"/>
      <c r="T3208" s="250"/>
      <c r="U3208" s="250">
        <v>5.7000000000000002E-2</v>
      </c>
      <c r="V3208" s="250">
        <v>0.245</v>
      </c>
      <c r="W3208" s="250">
        <v>0.22600000000000001</v>
      </c>
      <c r="X3208" s="250">
        <v>0.32100000000000001</v>
      </c>
      <c r="Y3208" s="250">
        <v>0.151</v>
      </c>
      <c r="Z3208" s="150"/>
      <c r="AA3208" s="150">
        <v>0.54</v>
      </c>
      <c r="AB3208" s="152"/>
      <c r="AC3208" s="152"/>
      <c r="AD3208" s="223"/>
      <c r="AE3208" s="223"/>
      <c r="AF3208" s="223"/>
      <c r="AG3208" s="223"/>
      <c r="AH3208" s="341"/>
      <c r="AI3208" s="218"/>
      <c r="AJ3208" s="218"/>
      <c r="AK3208" s="153"/>
      <c r="AL3208" s="152"/>
      <c r="AM3208" s="152"/>
      <c r="AN3208" s="152"/>
      <c r="AO3208" s="152"/>
      <c r="AP3208" s="152"/>
      <c r="AQ3208" s="152"/>
      <c r="AR3208" s="152"/>
      <c r="AS3208" s="152"/>
      <c r="AT3208" s="152"/>
      <c r="AU3208" s="153"/>
      <c r="AV3208" s="479"/>
      <c r="AW3208" s="479"/>
      <c r="AX3208" s="442"/>
      <c r="AY3208" s="153"/>
      <c r="AZ3208" s="152"/>
      <c r="BA3208" s="152"/>
      <c r="BB3208" s="152"/>
      <c r="BC3208" s="152"/>
      <c r="BD3208" s="152"/>
      <c r="BE3208" s="152"/>
      <c r="BF3208" s="152"/>
      <c r="BG3208" s="152"/>
      <c r="BH3208" s="152"/>
      <c r="BI3208" s="153"/>
      <c r="BJ3208" s="153"/>
      <c r="BK3208" s="153"/>
      <c r="BL3208" s="153"/>
      <c r="BM3208" s="153"/>
      <c r="BN3208" s="153"/>
      <c r="BO3208" s="153"/>
      <c r="BP3208" s="153"/>
      <c r="BQ3208" s="153"/>
      <c r="BR3208" s="153"/>
      <c r="BS3208" s="153"/>
      <c r="BT3208" s="153"/>
      <c r="BU3208" s="153"/>
      <c r="BV3208" s="153"/>
      <c r="BW3208" s="153"/>
      <c r="BX3208" s="153"/>
      <c r="BY3208" s="153"/>
      <c r="BZ3208" s="153"/>
      <c r="CA3208" s="152"/>
      <c r="CB3208" s="152"/>
    </row>
    <row r="3209" spans="1:80" s="87" customFormat="1" ht="15" x14ac:dyDescent="0.25">
      <c r="A3209" s="152"/>
      <c r="B3209" s="683"/>
      <c r="C3209" s="683"/>
      <c r="D3209" s="698"/>
      <c r="E3209" s="215"/>
      <c r="F3209" s="215"/>
      <c r="G3209" s="153"/>
      <c r="H3209" s="153"/>
      <c r="I3209" s="320">
        <v>20</v>
      </c>
      <c r="J3209" s="320">
        <v>60</v>
      </c>
      <c r="K3209" s="222">
        <v>1</v>
      </c>
      <c r="L3209" s="658">
        <v>20</v>
      </c>
      <c r="M3209" s="663">
        <v>34498</v>
      </c>
      <c r="N3209" s="600">
        <v>100.79300000000001</v>
      </c>
      <c r="O3209" s="604">
        <v>1.469E-3</v>
      </c>
      <c r="P3209" s="150"/>
      <c r="Q3209" s="250"/>
      <c r="R3209" s="250"/>
      <c r="S3209" s="250"/>
      <c r="T3209" s="250"/>
      <c r="U3209" s="250"/>
      <c r="V3209" s="250">
        <v>0.23100000000000001</v>
      </c>
      <c r="W3209" s="250">
        <v>0.23100000000000001</v>
      </c>
      <c r="X3209" s="250">
        <v>0.38400000000000001</v>
      </c>
      <c r="Y3209" s="250">
        <v>0.154</v>
      </c>
      <c r="Z3209" s="150"/>
      <c r="AA3209" s="150">
        <v>0.47</v>
      </c>
      <c r="AB3209" s="152"/>
      <c r="AC3209" s="152"/>
      <c r="AD3209" s="223"/>
      <c r="AE3209" s="223"/>
      <c r="AF3209" s="223"/>
      <c r="AG3209" s="223"/>
      <c r="AH3209" s="341"/>
      <c r="AI3209" s="218"/>
      <c r="AJ3209" s="218"/>
      <c r="AK3209" s="153"/>
      <c r="AL3209" s="152"/>
      <c r="AM3209" s="152"/>
      <c r="AN3209" s="152"/>
      <c r="AO3209" s="152"/>
      <c r="AP3209" s="152"/>
      <c r="AQ3209" s="152"/>
      <c r="AR3209" s="152"/>
      <c r="AS3209" s="152"/>
      <c r="AT3209" s="152"/>
      <c r="AU3209" s="153"/>
      <c r="AV3209" s="479"/>
      <c r="AW3209" s="479"/>
      <c r="AX3209" s="442"/>
      <c r="AY3209" s="153"/>
      <c r="AZ3209" s="152"/>
      <c r="BA3209" s="152"/>
      <c r="BB3209" s="152"/>
      <c r="BC3209" s="152"/>
      <c r="BD3209" s="152"/>
      <c r="BE3209" s="152"/>
      <c r="BF3209" s="152"/>
      <c r="BG3209" s="152"/>
      <c r="BH3209" s="152"/>
      <c r="BI3209" s="153"/>
      <c r="BJ3209" s="153"/>
      <c r="BK3209" s="153"/>
      <c r="BL3209" s="153"/>
      <c r="BM3209" s="153"/>
      <c r="BN3209" s="153"/>
      <c r="BO3209" s="153"/>
      <c r="BP3209" s="153"/>
      <c r="BQ3209" s="153"/>
      <c r="BR3209" s="153"/>
      <c r="BS3209" s="153"/>
      <c r="BT3209" s="153"/>
      <c r="BU3209" s="153"/>
      <c r="BV3209" s="153"/>
      <c r="BW3209" s="153"/>
      <c r="BX3209" s="153"/>
      <c r="BY3209" s="153"/>
      <c r="BZ3209" s="153"/>
      <c r="CA3209" s="152"/>
      <c r="CB3209" s="152"/>
    </row>
    <row r="3210" spans="1:80" s="87" customFormat="1" ht="15" x14ac:dyDescent="0.25">
      <c r="A3210" s="152"/>
      <c r="B3210" s="683"/>
      <c r="C3210" s="683"/>
      <c r="D3210" s="698"/>
      <c r="E3210" s="215"/>
      <c r="F3210" s="215"/>
      <c r="G3210" s="153"/>
      <c r="H3210" s="153"/>
      <c r="I3210" s="320">
        <v>20</v>
      </c>
      <c r="J3210" s="320">
        <v>60</v>
      </c>
      <c r="K3210" s="222">
        <v>1</v>
      </c>
      <c r="L3210" s="658">
        <v>20</v>
      </c>
      <c r="M3210" s="663">
        <v>34498</v>
      </c>
      <c r="N3210" s="600">
        <v>101.926</v>
      </c>
      <c r="O3210" s="604">
        <v>2.7290000000000001E-3</v>
      </c>
      <c r="P3210" s="150"/>
      <c r="Q3210" s="250"/>
      <c r="R3210" s="250"/>
      <c r="S3210" s="250"/>
      <c r="T3210" s="250"/>
      <c r="U3210" s="250">
        <v>6.0999999999999999E-2</v>
      </c>
      <c r="V3210" s="250">
        <v>0.27200000000000002</v>
      </c>
      <c r="W3210" s="250">
        <v>0.42499999999999999</v>
      </c>
      <c r="X3210" s="250">
        <v>0.21199999999999999</v>
      </c>
      <c r="Y3210" s="250">
        <v>0.03</v>
      </c>
      <c r="Z3210" s="150"/>
      <c r="AA3210" s="150">
        <v>0.76</v>
      </c>
      <c r="AB3210" s="152"/>
      <c r="AC3210" s="152"/>
      <c r="AD3210" s="223"/>
      <c r="AE3210" s="223"/>
      <c r="AF3210" s="223"/>
      <c r="AG3210" s="223"/>
      <c r="AH3210" s="341"/>
      <c r="AI3210" s="218"/>
      <c r="AJ3210" s="218"/>
      <c r="AK3210" s="153"/>
      <c r="AL3210" s="152"/>
      <c r="AM3210" s="152"/>
      <c r="AN3210" s="152"/>
      <c r="AO3210" s="152"/>
      <c r="AP3210" s="152"/>
      <c r="AQ3210" s="152"/>
      <c r="AR3210" s="152"/>
      <c r="AS3210" s="152"/>
      <c r="AT3210" s="152"/>
      <c r="AU3210" s="153"/>
      <c r="AV3210" s="479"/>
      <c r="AW3210" s="479"/>
      <c r="AX3210" s="442"/>
      <c r="AY3210" s="153"/>
      <c r="AZ3210" s="152"/>
      <c r="BA3210" s="152"/>
      <c r="BB3210" s="152"/>
      <c r="BC3210" s="152"/>
      <c r="BD3210" s="152"/>
      <c r="BE3210" s="152"/>
      <c r="BF3210" s="152"/>
      <c r="BG3210" s="152"/>
      <c r="BH3210" s="152"/>
      <c r="BI3210" s="153"/>
      <c r="BJ3210" s="153"/>
      <c r="BK3210" s="153"/>
      <c r="BL3210" s="153"/>
      <c r="BM3210" s="153"/>
      <c r="BN3210" s="153"/>
      <c r="BO3210" s="153"/>
      <c r="BP3210" s="153"/>
      <c r="BQ3210" s="153"/>
      <c r="BR3210" s="153"/>
      <c r="BS3210" s="153"/>
      <c r="BT3210" s="153"/>
      <c r="BU3210" s="153"/>
      <c r="BV3210" s="153"/>
      <c r="BW3210" s="153"/>
      <c r="BX3210" s="153"/>
      <c r="BY3210" s="153"/>
      <c r="BZ3210" s="153"/>
      <c r="CA3210" s="152"/>
      <c r="CB3210" s="152"/>
    </row>
    <row r="3211" spans="1:80" s="87" customFormat="1" ht="15" x14ac:dyDescent="0.25">
      <c r="A3211" s="152"/>
      <c r="B3211" s="683"/>
      <c r="C3211" s="683"/>
      <c r="D3211" s="698"/>
      <c r="E3211" s="215"/>
      <c r="F3211" s="215"/>
      <c r="G3211" s="153"/>
      <c r="H3211" s="153"/>
      <c r="I3211" s="320">
        <v>19</v>
      </c>
      <c r="J3211" s="320">
        <v>60</v>
      </c>
      <c r="K3211" s="222">
        <v>1</v>
      </c>
      <c r="L3211" s="658">
        <v>19</v>
      </c>
      <c r="M3211" s="663">
        <v>34820</v>
      </c>
      <c r="N3211" s="600">
        <v>134.768</v>
      </c>
      <c r="O3211" s="604">
        <v>4.1980000000000003E-3</v>
      </c>
      <c r="P3211" s="150"/>
      <c r="Q3211" s="250"/>
      <c r="R3211" s="250"/>
      <c r="S3211" s="250"/>
      <c r="T3211" s="250"/>
      <c r="U3211" s="250">
        <v>5.9000000000000004E-2</v>
      </c>
      <c r="V3211" s="250">
        <v>0.17600000000000002</v>
      </c>
      <c r="W3211" s="250">
        <v>0.39200000000000002</v>
      </c>
      <c r="X3211" s="250">
        <v>0.35299999999999998</v>
      </c>
      <c r="Y3211" s="250">
        <v>0.02</v>
      </c>
      <c r="Z3211" s="150">
        <v>3</v>
      </c>
      <c r="AA3211" s="150">
        <v>0.63</v>
      </c>
      <c r="AB3211" s="152"/>
      <c r="AC3211" s="152"/>
      <c r="AD3211" s="223"/>
      <c r="AE3211" s="223"/>
      <c r="AF3211" s="223"/>
      <c r="AG3211" s="223"/>
      <c r="AH3211" s="341"/>
      <c r="AI3211" s="218"/>
      <c r="AJ3211" s="218"/>
      <c r="AK3211" s="153"/>
      <c r="AL3211" s="152"/>
      <c r="AM3211" s="152"/>
      <c r="AN3211" s="152"/>
      <c r="AO3211" s="152"/>
      <c r="AP3211" s="152"/>
      <c r="AQ3211" s="152"/>
      <c r="AR3211" s="152"/>
      <c r="AS3211" s="152"/>
      <c r="AT3211" s="152"/>
      <c r="AU3211" s="153"/>
      <c r="AV3211" s="479"/>
      <c r="AW3211" s="479"/>
      <c r="AX3211" s="442"/>
      <c r="AY3211" s="153"/>
      <c r="AZ3211" s="152"/>
      <c r="BA3211" s="152"/>
      <c r="BB3211" s="152"/>
      <c r="BC3211" s="152"/>
      <c r="BD3211" s="152"/>
      <c r="BE3211" s="152"/>
      <c r="BF3211" s="152"/>
      <c r="BG3211" s="152"/>
      <c r="BH3211" s="152"/>
      <c r="BI3211" s="153"/>
      <c r="BJ3211" s="153"/>
      <c r="BK3211" s="153"/>
      <c r="BL3211" s="153"/>
      <c r="BM3211" s="153"/>
      <c r="BN3211" s="153"/>
      <c r="BO3211" s="153"/>
      <c r="BP3211" s="153"/>
      <c r="BQ3211" s="153"/>
      <c r="BR3211" s="153"/>
      <c r="BS3211" s="153"/>
      <c r="BT3211" s="153"/>
      <c r="BU3211" s="153"/>
      <c r="BV3211" s="153"/>
      <c r="BW3211" s="153"/>
      <c r="BX3211" s="153"/>
      <c r="BY3211" s="153"/>
      <c r="BZ3211" s="153"/>
      <c r="CA3211" s="152"/>
      <c r="CB3211" s="152"/>
    </row>
    <row r="3212" spans="1:80" s="87" customFormat="1" ht="15" x14ac:dyDescent="0.25">
      <c r="A3212" s="152"/>
      <c r="B3212" s="683"/>
      <c r="C3212" s="683"/>
      <c r="D3212" s="698"/>
      <c r="E3212" s="215"/>
      <c r="F3212" s="215"/>
      <c r="G3212" s="153"/>
      <c r="H3212" s="153"/>
      <c r="I3212" s="320">
        <v>19</v>
      </c>
      <c r="J3212" s="320">
        <v>60</v>
      </c>
      <c r="K3212" s="222">
        <v>1</v>
      </c>
      <c r="L3212" s="658">
        <v>19</v>
      </c>
      <c r="M3212" s="663">
        <v>34820</v>
      </c>
      <c r="N3212" s="600">
        <v>134.768</v>
      </c>
      <c r="O3212" s="604">
        <v>4.6179999999999997E-3</v>
      </c>
      <c r="P3212" s="150"/>
      <c r="Q3212" s="250"/>
      <c r="R3212" s="250"/>
      <c r="S3212" s="250"/>
      <c r="T3212" s="250"/>
      <c r="U3212" s="250">
        <v>8.900000000000001E-2</v>
      </c>
      <c r="V3212" s="250">
        <v>0.30399999999999999</v>
      </c>
      <c r="W3212" s="250">
        <v>0.39299999999999996</v>
      </c>
      <c r="X3212" s="250">
        <v>0.214</v>
      </c>
      <c r="Y3212" s="250">
        <v>0</v>
      </c>
      <c r="Z3212" s="150">
        <v>3</v>
      </c>
      <c r="AA3212" s="150">
        <v>0.83</v>
      </c>
      <c r="AB3212" s="152"/>
      <c r="AC3212" s="152"/>
      <c r="AD3212" s="223"/>
      <c r="AE3212" s="223"/>
      <c r="AF3212" s="223"/>
      <c r="AG3212" s="223"/>
      <c r="AH3212" s="341"/>
      <c r="AI3212" s="218"/>
      <c r="AJ3212" s="218"/>
      <c r="AK3212" s="153"/>
      <c r="AL3212" s="152"/>
      <c r="AM3212" s="152"/>
      <c r="AN3212" s="152"/>
      <c r="AO3212" s="152"/>
      <c r="AP3212" s="152"/>
      <c r="AQ3212" s="152"/>
      <c r="AR3212" s="152"/>
      <c r="AS3212" s="152"/>
      <c r="AT3212" s="152"/>
      <c r="AU3212" s="153"/>
      <c r="AV3212" s="479"/>
      <c r="AW3212" s="479"/>
      <c r="AX3212" s="442"/>
      <c r="AY3212" s="153"/>
      <c r="AZ3212" s="152"/>
      <c r="BA3212" s="152"/>
      <c r="BB3212" s="152"/>
      <c r="BC3212" s="152"/>
      <c r="BD3212" s="152"/>
      <c r="BE3212" s="152"/>
      <c r="BF3212" s="152"/>
      <c r="BG3212" s="152"/>
      <c r="BH3212" s="152"/>
      <c r="BI3212" s="153"/>
      <c r="BJ3212" s="153"/>
      <c r="BK3212" s="153"/>
      <c r="BL3212" s="153"/>
      <c r="BM3212" s="153"/>
      <c r="BN3212" s="153"/>
      <c r="BO3212" s="153"/>
      <c r="BP3212" s="153"/>
      <c r="BQ3212" s="153"/>
      <c r="BR3212" s="153"/>
      <c r="BS3212" s="153"/>
      <c r="BT3212" s="153"/>
      <c r="BU3212" s="153"/>
      <c r="BV3212" s="153"/>
      <c r="BW3212" s="153"/>
      <c r="BX3212" s="153"/>
      <c r="BY3212" s="153"/>
      <c r="BZ3212" s="153"/>
      <c r="CA3212" s="152"/>
      <c r="CB3212" s="152"/>
    </row>
    <row r="3213" spans="1:80" s="87" customFormat="1" ht="15" x14ac:dyDescent="0.25">
      <c r="A3213" s="152"/>
      <c r="B3213" s="683"/>
      <c r="C3213" s="683"/>
      <c r="D3213" s="698"/>
      <c r="E3213" s="215"/>
      <c r="F3213" s="215"/>
      <c r="G3213" s="153"/>
      <c r="H3213" s="153"/>
      <c r="I3213" s="320">
        <v>20</v>
      </c>
      <c r="J3213" s="320">
        <v>60</v>
      </c>
      <c r="K3213" s="222">
        <v>1</v>
      </c>
      <c r="L3213" s="658">
        <v>20</v>
      </c>
      <c r="M3213" s="663">
        <v>34823</v>
      </c>
      <c r="N3213" s="600">
        <v>181.20099999999999</v>
      </c>
      <c r="O3213" s="604">
        <v>6.6123000000000001E-2</v>
      </c>
      <c r="P3213" s="150"/>
      <c r="Q3213" s="250"/>
      <c r="R3213" s="250"/>
      <c r="S3213" s="250"/>
      <c r="T3213" s="250">
        <v>9.5000000000000001E-2</v>
      </c>
      <c r="U3213" s="250">
        <v>0.19899999999999998</v>
      </c>
      <c r="V3213" s="250">
        <v>0.32</v>
      </c>
      <c r="W3213" s="250">
        <v>0.24199999999999999</v>
      </c>
      <c r="X3213" s="250">
        <v>0.14099999999999999</v>
      </c>
      <c r="Y3213" s="250">
        <v>3.0000000000000001E-3</v>
      </c>
      <c r="Z3213" s="150">
        <v>7</v>
      </c>
      <c r="AA3213" s="150">
        <v>1.28</v>
      </c>
      <c r="AB3213" s="152"/>
      <c r="AC3213" s="152"/>
      <c r="AD3213" s="223"/>
      <c r="AE3213" s="223"/>
      <c r="AF3213" s="223"/>
      <c r="AG3213" s="223"/>
      <c r="AH3213" s="341"/>
      <c r="AI3213" s="218"/>
      <c r="AJ3213" s="218"/>
      <c r="AK3213" s="153"/>
      <c r="AL3213" s="152"/>
      <c r="AM3213" s="152"/>
      <c r="AN3213" s="152"/>
      <c r="AO3213" s="152"/>
      <c r="AP3213" s="152"/>
      <c r="AQ3213" s="152"/>
      <c r="AR3213" s="152"/>
      <c r="AS3213" s="152"/>
      <c r="AT3213" s="152"/>
      <c r="AU3213" s="153"/>
      <c r="AV3213" s="479"/>
      <c r="AW3213" s="479"/>
      <c r="AX3213" s="442"/>
      <c r="AY3213" s="153"/>
      <c r="AZ3213" s="152"/>
      <c r="BA3213" s="152"/>
      <c r="BB3213" s="152"/>
      <c r="BC3213" s="152"/>
      <c r="BD3213" s="152"/>
      <c r="BE3213" s="152"/>
      <c r="BF3213" s="152"/>
      <c r="BG3213" s="152"/>
      <c r="BH3213" s="152"/>
      <c r="BI3213" s="153"/>
      <c r="BJ3213" s="153"/>
      <c r="BK3213" s="153"/>
      <c r="BL3213" s="153"/>
      <c r="BM3213" s="153"/>
      <c r="BN3213" s="153"/>
      <c r="BO3213" s="153"/>
      <c r="BP3213" s="153"/>
      <c r="BQ3213" s="153"/>
      <c r="BR3213" s="153"/>
      <c r="BS3213" s="153"/>
      <c r="BT3213" s="153"/>
      <c r="BU3213" s="153"/>
      <c r="BV3213" s="153"/>
      <c r="BW3213" s="153"/>
      <c r="BX3213" s="153"/>
      <c r="BY3213" s="153"/>
      <c r="BZ3213" s="153"/>
      <c r="CA3213" s="152"/>
      <c r="CB3213" s="152"/>
    </row>
    <row r="3214" spans="1:80" s="87" customFormat="1" ht="15" x14ac:dyDescent="0.25">
      <c r="A3214" s="152"/>
      <c r="B3214" s="683"/>
      <c r="C3214" s="683"/>
      <c r="D3214" s="698"/>
      <c r="E3214" s="215"/>
      <c r="F3214" s="215"/>
      <c r="G3214" s="153"/>
      <c r="H3214" s="153"/>
      <c r="I3214" s="320">
        <v>20</v>
      </c>
      <c r="J3214" s="320">
        <v>60</v>
      </c>
      <c r="K3214" s="222">
        <v>1</v>
      </c>
      <c r="L3214" s="658">
        <v>20</v>
      </c>
      <c r="M3214" s="663">
        <v>34823</v>
      </c>
      <c r="N3214" s="600">
        <v>180.63499999999999</v>
      </c>
      <c r="O3214" s="604">
        <v>2.3824999999999999E-2</v>
      </c>
      <c r="P3214" s="150"/>
      <c r="Q3214" s="250"/>
      <c r="R3214" s="250"/>
      <c r="S3214" s="250"/>
      <c r="T3214" s="250"/>
      <c r="U3214" s="250">
        <v>8.4000000000000005E-2</v>
      </c>
      <c r="V3214" s="250">
        <v>0.16399999999999998</v>
      </c>
      <c r="W3214" s="250">
        <v>0.37799999999999995</v>
      </c>
      <c r="X3214" s="250">
        <v>0.36399999999999999</v>
      </c>
      <c r="Y3214" s="250">
        <v>0.01</v>
      </c>
      <c r="Z3214" s="150">
        <v>4</v>
      </c>
      <c r="AA3214" s="150">
        <v>0.63</v>
      </c>
      <c r="AB3214" s="152"/>
      <c r="AC3214" s="152"/>
      <c r="AD3214" s="223"/>
      <c r="AE3214" s="223"/>
      <c r="AF3214" s="223"/>
      <c r="AG3214" s="223"/>
      <c r="AH3214" s="341"/>
      <c r="AI3214" s="218"/>
      <c r="AJ3214" s="218"/>
      <c r="AK3214" s="153"/>
      <c r="AL3214" s="152"/>
      <c r="AM3214" s="152"/>
      <c r="AN3214" s="152"/>
      <c r="AO3214" s="152"/>
      <c r="AP3214" s="152"/>
      <c r="AQ3214" s="152"/>
      <c r="AR3214" s="152"/>
      <c r="AS3214" s="152"/>
      <c r="AT3214" s="152"/>
      <c r="AU3214" s="153"/>
      <c r="AV3214" s="479"/>
      <c r="AW3214" s="479"/>
      <c r="AX3214" s="442"/>
      <c r="AY3214" s="153"/>
      <c r="AZ3214" s="152"/>
      <c r="BA3214" s="152"/>
      <c r="BB3214" s="152"/>
      <c r="BC3214" s="152"/>
      <c r="BD3214" s="152"/>
      <c r="BE3214" s="152"/>
      <c r="BF3214" s="152"/>
      <c r="BG3214" s="152"/>
      <c r="BH3214" s="152"/>
      <c r="BI3214" s="153"/>
      <c r="BJ3214" s="153"/>
      <c r="BK3214" s="153"/>
      <c r="BL3214" s="153"/>
      <c r="BM3214" s="153"/>
      <c r="BN3214" s="153"/>
      <c r="BO3214" s="153"/>
      <c r="BP3214" s="153"/>
      <c r="BQ3214" s="153"/>
      <c r="BR3214" s="153"/>
      <c r="BS3214" s="153"/>
      <c r="BT3214" s="153"/>
      <c r="BU3214" s="153"/>
      <c r="BV3214" s="153"/>
      <c r="BW3214" s="153"/>
      <c r="BX3214" s="153"/>
      <c r="BY3214" s="153"/>
      <c r="BZ3214" s="153"/>
      <c r="CA3214" s="152"/>
      <c r="CB3214" s="152"/>
    </row>
    <row r="3215" spans="1:80" s="87" customFormat="1" ht="15" x14ac:dyDescent="0.25">
      <c r="A3215" s="152"/>
      <c r="B3215" s="683"/>
      <c r="C3215" s="683"/>
      <c r="D3215" s="698"/>
      <c r="E3215" s="215"/>
      <c r="F3215" s="215"/>
      <c r="G3215" s="153"/>
      <c r="H3215" s="153"/>
      <c r="I3215" s="320">
        <v>20</v>
      </c>
      <c r="J3215" s="320">
        <v>60</v>
      </c>
      <c r="K3215" s="222">
        <v>1</v>
      </c>
      <c r="L3215" s="658">
        <v>20</v>
      </c>
      <c r="M3215" s="663">
        <v>34827</v>
      </c>
      <c r="N3215" s="600">
        <v>230.749</v>
      </c>
      <c r="O3215" s="604">
        <v>0.109155</v>
      </c>
      <c r="P3215" s="150"/>
      <c r="Q3215" s="250"/>
      <c r="R3215" s="250"/>
      <c r="S3215" s="250"/>
      <c r="T3215" s="250">
        <v>6.0000000000000001E-3</v>
      </c>
      <c r="U3215" s="250">
        <v>5.5E-2</v>
      </c>
      <c r="V3215" s="250">
        <v>0.26800000000000002</v>
      </c>
      <c r="W3215" s="250">
        <v>0.41700000000000004</v>
      </c>
      <c r="X3215" s="250">
        <v>0.247</v>
      </c>
      <c r="Y3215" s="250">
        <v>6.9999999999999993E-3</v>
      </c>
      <c r="Z3215" s="150">
        <v>5</v>
      </c>
      <c r="AA3215" s="150">
        <v>0.75</v>
      </c>
      <c r="AB3215" s="152"/>
      <c r="AC3215" s="152"/>
      <c r="AD3215" s="223"/>
      <c r="AE3215" s="223"/>
      <c r="AF3215" s="223"/>
      <c r="AG3215" s="223"/>
      <c r="AH3215" s="341"/>
      <c r="AI3215" s="218"/>
      <c r="AJ3215" s="218"/>
      <c r="AK3215" s="153"/>
      <c r="AL3215" s="152"/>
      <c r="AM3215" s="152"/>
      <c r="AN3215" s="152"/>
      <c r="AO3215" s="152"/>
      <c r="AP3215" s="152"/>
      <c r="AQ3215" s="152"/>
      <c r="AR3215" s="152"/>
      <c r="AS3215" s="152"/>
      <c r="AT3215" s="152"/>
      <c r="AU3215" s="153"/>
      <c r="AV3215" s="479"/>
      <c r="AW3215" s="479"/>
      <c r="AX3215" s="442"/>
      <c r="AY3215" s="153"/>
      <c r="AZ3215" s="152"/>
      <c r="BA3215" s="152"/>
      <c r="BB3215" s="152"/>
      <c r="BC3215" s="152"/>
      <c r="BD3215" s="152"/>
      <c r="BE3215" s="152"/>
      <c r="BF3215" s="152"/>
      <c r="BG3215" s="152"/>
      <c r="BH3215" s="152"/>
      <c r="BI3215" s="153"/>
      <c r="BJ3215" s="153"/>
      <c r="BK3215" s="153"/>
      <c r="BL3215" s="153"/>
      <c r="BM3215" s="153"/>
      <c r="BN3215" s="153"/>
      <c r="BO3215" s="153"/>
      <c r="BP3215" s="153"/>
      <c r="BQ3215" s="153"/>
      <c r="BR3215" s="153"/>
      <c r="BS3215" s="153"/>
      <c r="BT3215" s="153"/>
      <c r="BU3215" s="153"/>
      <c r="BV3215" s="153"/>
      <c r="BW3215" s="153"/>
      <c r="BX3215" s="153"/>
      <c r="BY3215" s="153"/>
      <c r="BZ3215" s="153"/>
      <c r="CA3215" s="152"/>
      <c r="CB3215" s="152"/>
    </row>
    <row r="3216" spans="1:80" s="87" customFormat="1" ht="15" x14ac:dyDescent="0.25">
      <c r="A3216" s="152"/>
      <c r="B3216" s="683"/>
      <c r="C3216" s="683"/>
      <c r="D3216" s="698"/>
      <c r="E3216" s="215"/>
      <c r="F3216" s="215"/>
      <c r="G3216" s="153"/>
      <c r="H3216" s="153"/>
      <c r="I3216" s="320">
        <v>20</v>
      </c>
      <c r="J3216" s="320">
        <v>60</v>
      </c>
      <c r="K3216" s="222">
        <v>1</v>
      </c>
      <c r="L3216" s="658">
        <v>20</v>
      </c>
      <c r="M3216" s="663">
        <v>34827</v>
      </c>
      <c r="N3216" s="600">
        <v>230.465</v>
      </c>
      <c r="O3216" s="604">
        <v>0.112304</v>
      </c>
      <c r="P3216" s="150"/>
      <c r="Q3216" s="250"/>
      <c r="R3216" s="250"/>
      <c r="S3216" s="250">
        <v>2.2000000000000002E-2</v>
      </c>
      <c r="T3216" s="250">
        <v>1.2E-2</v>
      </c>
      <c r="U3216" s="250">
        <v>7.400000000000001E-2</v>
      </c>
      <c r="V3216" s="250">
        <v>0.311</v>
      </c>
      <c r="W3216" s="250">
        <v>0.317</v>
      </c>
      <c r="X3216" s="250">
        <v>0.25800000000000001</v>
      </c>
      <c r="Y3216" s="250">
        <v>6.0000000000000001E-3</v>
      </c>
      <c r="Z3216" s="150">
        <v>15</v>
      </c>
      <c r="AA3216" s="150">
        <v>0.84</v>
      </c>
      <c r="AB3216" s="152"/>
      <c r="AC3216" s="152"/>
      <c r="AD3216" s="223"/>
      <c r="AE3216" s="223"/>
      <c r="AF3216" s="223"/>
      <c r="AG3216" s="223"/>
      <c r="AH3216" s="341"/>
      <c r="AI3216" s="218"/>
      <c r="AJ3216" s="218"/>
      <c r="AK3216" s="153"/>
      <c r="AL3216" s="152"/>
      <c r="AM3216" s="152"/>
      <c r="AN3216" s="152"/>
      <c r="AO3216" s="152"/>
      <c r="AP3216" s="152"/>
      <c r="AQ3216" s="152"/>
      <c r="AR3216" s="152"/>
      <c r="AS3216" s="152"/>
      <c r="AT3216" s="152"/>
      <c r="AU3216" s="153"/>
      <c r="AV3216" s="479"/>
      <c r="AW3216" s="479"/>
      <c r="AX3216" s="442"/>
      <c r="AY3216" s="153"/>
      <c r="AZ3216" s="152"/>
      <c r="BA3216" s="152"/>
      <c r="BB3216" s="152"/>
      <c r="BC3216" s="152"/>
      <c r="BD3216" s="152"/>
      <c r="BE3216" s="152"/>
      <c r="BF3216" s="152"/>
      <c r="BG3216" s="152"/>
      <c r="BH3216" s="152"/>
      <c r="BI3216" s="153"/>
      <c r="BJ3216" s="153"/>
      <c r="BK3216" s="153"/>
      <c r="BL3216" s="153"/>
      <c r="BM3216" s="153"/>
      <c r="BN3216" s="153"/>
      <c r="BO3216" s="153"/>
      <c r="BP3216" s="153"/>
      <c r="BQ3216" s="153"/>
      <c r="BR3216" s="153"/>
      <c r="BS3216" s="153"/>
      <c r="BT3216" s="153"/>
      <c r="BU3216" s="153"/>
      <c r="BV3216" s="153"/>
      <c r="BW3216" s="153"/>
      <c r="BX3216" s="153"/>
      <c r="BY3216" s="153"/>
      <c r="BZ3216" s="153"/>
      <c r="CA3216" s="152"/>
      <c r="CB3216" s="152"/>
    </row>
    <row r="3217" spans="1:80" s="87" customFormat="1" ht="15" x14ac:dyDescent="0.25">
      <c r="A3217" s="152"/>
      <c r="B3217" s="683"/>
      <c r="C3217" s="683"/>
      <c r="D3217" s="698"/>
      <c r="E3217" s="215"/>
      <c r="F3217" s="215"/>
      <c r="G3217" s="153"/>
      <c r="H3217" s="153"/>
      <c r="I3217" s="320">
        <v>18</v>
      </c>
      <c r="J3217" s="320">
        <v>60</v>
      </c>
      <c r="K3217" s="222">
        <v>1</v>
      </c>
      <c r="L3217" s="658">
        <v>18</v>
      </c>
      <c r="M3217" s="663">
        <v>34830</v>
      </c>
      <c r="N3217" s="600">
        <v>274.916</v>
      </c>
      <c r="O3217" s="604">
        <v>0.13434499999999999</v>
      </c>
      <c r="P3217" s="150"/>
      <c r="Q3217" s="250"/>
      <c r="R3217" s="250"/>
      <c r="S3217" s="250">
        <v>1.7000000000000001E-2</v>
      </c>
      <c r="T3217" s="250">
        <v>1.6E-2</v>
      </c>
      <c r="U3217" s="250">
        <v>6.2E-2</v>
      </c>
      <c r="V3217" s="250">
        <v>0.20800000000000002</v>
      </c>
      <c r="W3217" s="250">
        <v>0.39100000000000001</v>
      </c>
      <c r="X3217" s="250">
        <v>0.29799999999999999</v>
      </c>
      <c r="Y3217" s="250">
        <v>8.0000000000000002E-3</v>
      </c>
      <c r="Z3217" s="150">
        <v>11</v>
      </c>
      <c r="AA3217" s="150">
        <v>0.71</v>
      </c>
      <c r="AB3217" s="152"/>
      <c r="AC3217" s="152"/>
      <c r="AD3217" s="223"/>
      <c r="AE3217" s="223"/>
      <c r="AF3217" s="223"/>
      <c r="AG3217" s="223"/>
      <c r="AH3217" s="341"/>
      <c r="AI3217" s="218"/>
      <c r="AJ3217" s="218"/>
      <c r="AK3217" s="153"/>
      <c r="AL3217" s="152"/>
      <c r="AM3217" s="152"/>
      <c r="AN3217" s="152"/>
      <c r="AO3217" s="152"/>
      <c r="AP3217" s="152"/>
      <c r="AQ3217" s="152"/>
      <c r="AR3217" s="152"/>
      <c r="AS3217" s="152"/>
      <c r="AT3217" s="152"/>
      <c r="AU3217" s="153"/>
      <c r="AV3217" s="479"/>
      <c r="AW3217" s="479"/>
      <c r="AX3217" s="442"/>
      <c r="AY3217" s="153"/>
      <c r="AZ3217" s="152"/>
      <c r="BA3217" s="152"/>
      <c r="BB3217" s="152"/>
      <c r="BC3217" s="152"/>
      <c r="BD3217" s="152"/>
      <c r="BE3217" s="152"/>
      <c r="BF3217" s="152"/>
      <c r="BG3217" s="152"/>
      <c r="BH3217" s="152"/>
      <c r="BI3217" s="153"/>
      <c r="BJ3217" s="153"/>
      <c r="BK3217" s="153"/>
      <c r="BL3217" s="153"/>
      <c r="BM3217" s="153"/>
      <c r="BN3217" s="153"/>
      <c r="BO3217" s="153"/>
      <c r="BP3217" s="153"/>
      <c r="BQ3217" s="153"/>
      <c r="BR3217" s="153"/>
      <c r="BS3217" s="153"/>
      <c r="BT3217" s="153"/>
      <c r="BU3217" s="153"/>
      <c r="BV3217" s="153"/>
      <c r="BW3217" s="153"/>
      <c r="BX3217" s="153"/>
      <c r="BY3217" s="153"/>
      <c r="BZ3217" s="153"/>
      <c r="CA3217" s="152"/>
      <c r="CB3217" s="152"/>
    </row>
    <row r="3218" spans="1:80" s="87" customFormat="1" ht="15" x14ac:dyDescent="0.25">
      <c r="A3218" s="152"/>
      <c r="B3218" s="683"/>
      <c r="C3218" s="683"/>
      <c r="D3218" s="698"/>
      <c r="E3218" s="215"/>
      <c r="F3218" s="215"/>
      <c r="G3218" s="153"/>
      <c r="H3218" s="153"/>
      <c r="I3218" s="320">
        <v>18</v>
      </c>
      <c r="J3218" s="320">
        <v>60</v>
      </c>
      <c r="K3218" s="222">
        <v>1</v>
      </c>
      <c r="L3218" s="658">
        <v>18</v>
      </c>
      <c r="M3218" s="663">
        <v>34830</v>
      </c>
      <c r="N3218" s="600">
        <v>275.19900000000001</v>
      </c>
      <c r="O3218" s="604">
        <v>0.18052599999999999</v>
      </c>
      <c r="P3218" s="150"/>
      <c r="Q3218" s="250"/>
      <c r="R3218" s="250"/>
      <c r="S3218" s="250"/>
      <c r="T3218" s="250">
        <v>1.3999999999999999E-2</v>
      </c>
      <c r="U3218" s="250">
        <v>9.0999999999999998E-2</v>
      </c>
      <c r="V3218" s="250">
        <v>0.23600000000000002</v>
      </c>
      <c r="W3218" s="250">
        <v>0.36200000000000004</v>
      </c>
      <c r="X3218" s="250">
        <v>0.28999999999999998</v>
      </c>
      <c r="Y3218" s="250">
        <v>6.9999999999999993E-3</v>
      </c>
      <c r="Z3218" s="150">
        <v>6</v>
      </c>
      <c r="AA3218" s="150">
        <v>0.74</v>
      </c>
      <c r="AB3218" s="152"/>
      <c r="AC3218" s="152"/>
      <c r="AD3218" s="223"/>
      <c r="AE3218" s="223"/>
      <c r="AF3218" s="223"/>
      <c r="AG3218" s="223"/>
      <c r="AH3218" s="341"/>
      <c r="AI3218" s="218"/>
      <c r="AJ3218" s="218"/>
      <c r="AK3218" s="153"/>
      <c r="AL3218" s="152"/>
      <c r="AM3218" s="152"/>
      <c r="AN3218" s="152"/>
      <c r="AO3218" s="152"/>
      <c r="AP3218" s="152"/>
      <c r="AQ3218" s="152"/>
      <c r="AR3218" s="152"/>
      <c r="AS3218" s="152"/>
      <c r="AT3218" s="152"/>
      <c r="AU3218" s="153"/>
      <c r="AV3218" s="479"/>
      <c r="AW3218" s="479"/>
      <c r="AX3218" s="442"/>
      <c r="AY3218" s="153"/>
      <c r="AZ3218" s="152"/>
      <c r="BA3218" s="152"/>
      <c r="BB3218" s="152"/>
      <c r="BC3218" s="152"/>
      <c r="BD3218" s="152"/>
      <c r="BE3218" s="152"/>
      <c r="BF3218" s="152"/>
      <c r="BG3218" s="152"/>
      <c r="BH3218" s="152"/>
      <c r="BI3218" s="153"/>
      <c r="BJ3218" s="153"/>
      <c r="BK3218" s="153"/>
      <c r="BL3218" s="153"/>
      <c r="BM3218" s="153"/>
      <c r="BN3218" s="153"/>
      <c r="BO3218" s="153"/>
      <c r="BP3218" s="153"/>
      <c r="BQ3218" s="153"/>
      <c r="BR3218" s="153"/>
      <c r="BS3218" s="153"/>
      <c r="BT3218" s="153"/>
      <c r="BU3218" s="153"/>
      <c r="BV3218" s="153"/>
      <c r="BW3218" s="153"/>
      <c r="BX3218" s="153"/>
      <c r="BY3218" s="153"/>
      <c r="BZ3218" s="153"/>
      <c r="CA3218" s="152"/>
      <c r="CB3218" s="152"/>
    </row>
    <row r="3219" spans="1:80" s="87" customFormat="1" ht="15" x14ac:dyDescent="0.25">
      <c r="A3219" s="152"/>
      <c r="B3219" s="683"/>
      <c r="C3219" s="683"/>
      <c r="D3219" s="698"/>
      <c r="E3219" s="215"/>
      <c r="F3219" s="215"/>
      <c r="G3219" s="153"/>
      <c r="H3219" s="153"/>
      <c r="I3219" s="320">
        <v>18</v>
      </c>
      <c r="J3219" s="320">
        <v>60</v>
      </c>
      <c r="K3219" s="222">
        <v>1</v>
      </c>
      <c r="L3219" s="658">
        <v>18</v>
      </c>
      <c r="M3219" s="663">
        <v>34834</v>
      </c>
      <c r="N3219" s="600">
        <v>218.291</v>
      </c>
      <c r="O3219" s="604">
        <v>6.7278000000000004E-2</v>
      </c>
      <c r="P3219" s="150"/>
      <c r="Q3219" s="250"/>
      <c r="R3219" s="250"/>
      <c r="S3219" s="250"/>
      <c r="T3219" s="250">
        <v>1.9E-2</v>
      </c>
      <c r="U3219" s="250">
        <v>9.6999999999999989E-2</v>
      </c>
      <c r="V3219" s="250">
        <v>0.23499999999999999</v>
      </c>
      <c r="W3219" s="250">
        <v>0.38700000000000001</v>
      </c>
      <c r="X3219" s="250">
        <v>0.25600000000000001</v>
      </c>
      <c r="Y3219" s="250">
        <v>6.0000000000000001E-3</v>
      </c>
      <c r="Z3219" s="150">
        <v>7</v>
      </c>
      <c r="AA3219" s="150">
        <v>0.77</v>
      </c>
      <c r="AB3219" s="152"/>
      <c r="AC3219" s="152"/>
      <c r="AD3219" s="223"/>
      <c r="AE3219" s="223"/>
      <c r="AF3219" s="223"/>
      <c r="AG3219" s="223"/>
      <c r="AH3219" s="341"/>
      <c r="AI3219" s="218"/>
      <c r="AJ3219" s="218"/>
      <c r="AK3219" s="153"/>
      <c r="AL3219" s="152"/>
      <c r="AM3219" s="152"/>
      <c r="AN3219" s="152"/>
      <c r="AO3219" s="152"/>
      <c r="AP3219" s="152"/>
      <c r="AQ3219" s="152"/>
      <c r="AR3219" s="152"/>
      <c r="AS3219" s="152"/>
      <c r="AT3219" s="152"/>
      <c r="AU3219" s="153"/>
      <c r="AV3219" s="479"/>
      <c r="AW3219" s="479"/>
      <c r="AX3219" s="442"/>
      <c r="AY3219" s="153"/>
      <c r="AZ3219" s="152"/>
      <c r="BA3219" s="152"/>
      <c r="BB3219" s="152"/>
      <c r="BC3219" s="152"/>
      <c r="BD3219" s="152"/>
      <c r="BE3219" s="152"/>
      <c r="BF3219" s="152"/>
      <c r="BG3219" s="152"/>
      <c r="BH3219" s="152"/>
      <c r="BI3219" s="153"/>
      <c r="BJ3219" s="153"/>
      <c r="BK3219" s="153"/>
      <c r="BL3219" s="153"/>
      <c r="BM3219" s="153"/>
      <c r="BN3219" s="153"/>
      <c r="BO3219" s="153"/>
      <c r="BP3219" s="153"/>
      <c r="BQ3219" s="153"/>
      <c r="BR3219" s="153"/>
      <c r="BS3219" s="153"/>
      <c r="BT3219" s="153"/>
      <c r="BU3219" s="153"/>
      <c r="BV3219" s="153"/>
      <c r="BW3219" s="153"/>
      <c r="BX3219" s="153"/>
      <c r="BY3219" s="153"/>
      <c r="BZ3219" s="153"/>
      <c r="CA3219" s="152"/>
      <c r="CB3219" s="152"/>
    </row>
    <row r="3220" spans="1:80" s="87" customFormat="1" ht="15" x14ac:dyDescent="0.25">
      <c r="A3220" s="152"/>
      <c r="B3220" s="683"/>
      <c r="C3220" s="683"/>
      <c r="D3220" s="698"/>
      <c r="E3220" s="215"/>
      <c r="F3220" s="215"/>
      <c r="G3220" s="153"/>
      <c r="H3220" s="153"/>
      <c r="I3220" s="320">
        <v>18</v>
      </c>
      <c r="J3220" s="320">
        <v>60</v>
      </c>
      <c r="K3220" s="222">
        <v>1</v>
      </c>
      <c r="L3220" s="658">
        <v>18</v>
      </c>
      <c r="M3220" s="663">
        <v>34834</v>
      </c>
      <c r="N3220" s="600">
        <v>218.00800000000001</v>
      </c>
      <c r="O3220" s="604">
        <v>0.162684</v>
      </c>
      <c r="P3220" s="150"/>
      <c r="Q3220" s="250"/>
      <c r="R3220" s="250"/>
      <c r="S3220" s="250">
        <v>5.5E-2</v>
      </c>
      <c r="T3220" s="250">
        <v>6.8000000000000005E-2</v>
      </c>
      <c r="U3220" s="250">
        <v>0.158</v>
      </c>
      <c r="V3220" s="250">
        <v>0.28600000000000003</v>
      </c>
      <c r="W3220" s="250">
        <v>0.28300000000000003</v>
      </c>
      <c r="X3220" s="250">
        <v>0.14699999999999999</v>
      </c>
      <c r="Y3220" s="250">
        <v>3.0000000000000001E-3</v>
      </c>
      <c r="Z3220" s="150">
        <v>15</v>
      </c>
      <c r="AA3220" s="150">
        <v>1.18</v>
      </c>
      <c r="AB3220" s="152"/>
      <c r="AC3220" s="152"/>
      <c r="AD3220" s="223"/>
      <c r="AE3220" s="223"/>
      <c r="AF3220" s="223"/>
      <c r="AG3220" s="223"/>
      <c r="AH3220" s="341"/>
      <c r="AI3220" s="218"/>
      <c r="AJ3220" s="218"/>
      <c r="AK3220" s="153"/>
      <c r="AL3220" s="152"/>
      <c r="AM3220" s="152"/>
      <c r="AN3220" s="152"/>
      <c r="AO3220" s="152"/>
      <c r="AP3220" s="152"/>
      <c r="AQ3220" s="152"/>
      <c r="AR3220" s="152"/>
      <c r="AS3220" s="152"/>
      <c r="AT3220" s="152"/>
      <c r="AU3220" s="153"/>
      <c r="AV3220" s="479"/>
      <c r="AW3220" s="479"/>
      <c r="AX3220" s="442"/>
      <c r="AY3220" s="153"/>
      <c r="AZ3220" s="152"/>
      <c r="BA3220" s="152"/>
      <c r="BB3220" s="152"/>
      <c r="BC3220" s="152"/>
      <c r="BD3220" s="152"/>
      <c r="BE3220" s="152"/>
      <c r="BF3220" s="152"/>
      <c r="BG3220" s="152"/>
      <c r="BH3220" s="152"/>
      <c r="BI3220" s="153"/>
      <c r="BJ3220" s="153"/>
      <c r="BK3220" s="153"/>
      <c r="BL3220" s="153"/>
      <c r="BM3220" s="153"/>
      <c r="BN3220" s="153"/>
      <c r="BO3220" s="153"/>
      <c r="BP3220" s="153"/>
      <c r="BQ3220" s="153"/>
      <c r="BR3220" s="153"/>
      <c r="BS3220" s="153"/>
      <c r="BT3220" s="153"/>
      <c r="BU3220" s="153"/>
      <c r="BV3220" s="153"/>
      <c r="BW3220" s="153"/>
      <c r="BX3220" s="153"/>
      <c r="BY3220" s="153"/>
      <c r="BZ3220" s="153"/>
      <c r="CA3220" s="152"/>
      <c r="CB3220" s="152"/>
    </row>
    <row r="3221" spans="1:80" s="87" customFormat="1" ht="15" x14ac:dyDescent="0.25">
      <c r="A3221" s="152"/>
      <c r="B3221" s="683"/>
      <c r="C3221" s="683"/>
      <c r="D3221" s="698"/>
      <c r="E3221" s="215"/>
      <c r="F3221" s="215"/>
      <c r="G3221" s="153"/>
      <c r="H3221" s="153"/>
      <c r="I3221" s="320">
        <v>19</v>
      </c>
      <c r="J3221" s="320">
        <v>60</v>
      </c>
      <c r="K3221" s="222">
        <v>1</v>
      </c>
      <c r="L3221" s="658">
        <v>19</v>
      </c>
      <c r="M3221" s="663">
        <v>34837</v>
      </c>
      <c r="N3221" s="600">
        <v>251.983</v>
      </c>
      <c r="O3221" s="604">
        <v>9.8345000000000002E-2</v>
      </c>
      <c r="P3221" s="150"/>
      <c r="Q3221" s="250"/>
      <c r="R3221" s="250">
        <v>0.53299999999999992</v>
      </c>
      <c r="S3221" s="250">
        <v>5.0000000000000001E-3</v>
      </c>
      <c r="T3221" s="250">
        <v>1.7000000000000001E-2</v>
      </c>
      <c r="U3221" s="250">
        <v>3.5000000000000003E-2</v>
      </c>
      <c r="V3221" s="250">
        <v>0.125</v>
      </c>
      <c r="W3221" s="250">
        <v>0.20399999999999999</v>
      </c>
      <c r="X3221" s="250">
        <v>7.6999999999999999E-2</v>
      </c>
      <c r="Y3221" s="250">
        <v>4.0000000000000001E-3</v>
      </c>
      <c r="Z3221" s="150">
        <v>32</v>
      </c>
      <c r="AA3221" s="150">
        <v>16.7</v>
      </c>
      <c r="AB3221" s="152"/>
      <c r="AC3221" s="152"/>
      <c r="AD3221" s="223"/>
      <c r="AE3221" s="223"/>
      <c r="AF3221" s="223"/>
      <c r="AG3221" s="223"/>
      <c r="AH3221" s="341"/>
      <c r="AI3221" s="218"/>
      <c r="AJ3221" s="218"/>
      <c r="AK3221" s="153"/>
      <c r="AL3221" s="152"/>
      <c r="AM3221" s="152"/>
      <c r="AN3221" s="152"/>
      <c r="AO3221" s="152"/>
      <c r="AP3221" s="152"/>
      <c r="AQ3221" s="152"/>
      <c r="AR3221" s="152"/>
      <c r="AS3221" s="152"/>
      <c r="AT3221" s="152"/>
      <c r="AU3221" s="153"/>
      <c r="AV3221" s="479"/>
      <c r="AW3221" s="479"/>
      <c r="AX3221" s="442"/>
      <c r="AY3221" s="153"/>
      <c r="AZ3221" s="152"/>
      <c r="BA3221" s="152"/>
      <c r="BB3221" s="152"/>
      <c r="BC3221" s="152"/>
      <c r="BD3221" s="152"/>
      <c r="BE3221" s="152"/>
      <c r="BF3221" s="152"/>
      <c r="BG3221" s="152"/>
      <c r="BH3221" s="152"/>
      <c r="BI3221" s="153"/>
      <c r="BJ3221" s="153"/>
      <c r="BK3221" s="153"/>
      <c r="BL3221" s="153"/>
      <c r="BM3221" s="153"/>
      <c r="BN3221" s="153"/>
      <c r="BO3221" s="153"/>
      <c r="BP3221" s="153"/>
      <c r="BQ3221" s="153"/>
      <c r="BR3221" s="153"/>
      <c r="BS3221" s="153"/>
      <c r="BT3221" s="153"/>
      <c r="BU3221" s="153"/>
      <c r="BV3221" s="153"/>
      <c r="BW3221" s="153"/>
      <c r="BX3221" s="153"/>
      <c r="BY3221" s="153"/>
      <c r="BZ3221" s="153"/>
      <c r="CA3221" s="152"/>
      <c r="CB3221" s="152"/>
    </row>
    <row r="3222" spans="1:80" s="87" customFormat="1" ht="15" x14ac:dyDescent="0.25">
      <c r="A3222" s="152"/>
      <c r="B3222" s="683"/>
      <c r="C3222" s="683"/>
      <c r="D3222" s="698"/>
      <c r="E3222" s="215"/>
      <c r="F3222" s="215"/>
      <c r="G3222" s="153"/>
      <c r="H3222" s="153"/>
      <c r="I3222" s="320">
        <v>19</v>
      </c>
      <c r="J3222" s="320">
        <v>60</v>
      </c>
      <c r="K3222" s="222">
        <v>1</v>
      </c>
      <c r="L3222" s="658">
        <v>19</v>
      </c>
      <c r="M3222" s="663">
        <v>34837</v>
      </c>
      <c r="N3222" s="600">
        <v>251.13399999999999</v>
      </c>
      <c r="O3222" s="604">
        <v>0.13959299999999999</v>
      </c>
      <c r="P3222" s="150"/>
      <c r="Q3222" s="250"/>
      <c r="R3222" s="250"/>
      <c r="S3222" s="250">
        <v>2.7999999999999997E-2</v>
      </c>
      <c r="T3222" s="250">
        <v>5.0999999999999997E-2</v>
      </c>
      <c r="U3222" s="250">
        <v>0.08</v>
      </c>
      <c r="V3222" s="250">
        <v>0.20699999999999999</v>
      </c>
      <c r="W3222" s="250">
        <v>0.41100000000000003</v>
      </c>
      <c r="X3222" s="250">
        <v>0.22</v>
      </c>
      <c r="Y3222" s="250">
        <v>3.0000000000000001E-3</v>
      </c>
      <c r="Z3222" s="150">
        <v>14</v>
      </c>
      <c r="AA3222" s="150">
        <v>0.8</v>
      </c>
      <c r="AB3222" s="152"/>
      <c r="AC3222" s="152"/>
      <c r="AD3222" s="223"/>
      <c r="AE3222" s="223"/>
      <c r="AF3222" s="223"/>
      <c r="AG3222" s="223"/>
      <c r="AH3222" s="341"/>
      <c r="AI3222" s="218"/>
      <c r="AJ3222" s="218"/>
      <c r="AK3222" s="153"/>
      <c r="AL3222" s="152"/>
      <c r="AM3222" s="152"/>
      <c r="AN3222" s="152"/>
      <c r="AO3222" s="152"/>
      <c r="AP3222" s="152"/>
      <c r="AQ3222" s="152"/>
      <c r="AR3222" s="152"/>
      <c r="AS3222" s="152"/>
      <c r="AT3222" s="152"/>
      <c r="AU3222" s="153"/>
      <c r="AV3222" s="479"/>
      <c r="AW3222" s="479"/>
      <c r="AX3222" s="442"/>
      <c r="AY3222" s="153"/>
      <c r="AZ3222" s="152"/>
      <c r="BA3222" s="152"/>
      <c r="BB3222" s="152"/>
      <c r="BC3222" s="152"/>
      <c r="BD3222" s="152"/>
      <c r="BE3222" s="152"/>
      <c r="BF3222" s="152"/>
      <c r="BG3222" s="152"/>
      <c r="BH3222" s="152"/>
      <c r="BI3222" s="153"/>
      <c r="BJ3222" s="153"/>
      <c r="BK3222" s="153"/>
      <c r="BL3222" s="153"/>
      <c r="BM3222" s="153"/>
      <c r="BN3222" s="153"/>
      <c r="BO3222" s="153"/>
      <c r="BP3222" s="153"/>
      <c r="BQ3222" s="153"/>
      <c r="BR3222" s="153"/>
      <c r="BS3222" s="153"/>
      <c r="BT3222" s="153"/>
      <c r="BU3222" s="153"/>
      <c r="BV3222" s="153"/>
      <c r="BW3222" s="153"/>
      <c r="BX3222" s="153"/>
      <c r="BY3222" s="153"/>
      <c r="BZ3222" s="153"/>
      <c r="CA3222" s="152"/>
      <c r="CB3222" s="152"/>
    </row>
    <row r="3223" spans="1:80" s="87" customFormat="1" ht="15" x14ac:dyDescent="0.25">
      <c r="A3223" s="152"/>
      <c r="B3223" s="683"/>
      <c r="C3223" s="683"/>
      <c r="D3223" s="698"/>
      <c r="E3223" s="215"/>
      <c r="F3223" s="215"/>
      <c r="G3223" s="153"/>
      <c r="H3223" s="153"/>
      <c r="I3223" s="320">
        <v>20</v>
      </c>
      <c r="J3223" s="320">
        <v>60</v>
      </c>
      <c r="K3223" s="222">
        <v>1</v>
      </c>
      <c r="L3223" s="658">
        <v>20</v>
      </c>
      <c r="M3223" s="663">
        <v>34841</v>
      </c>
      <c r="N3223" s="600">
        <v>242.64</v>
      </c>
      <c r="O3223" s="604">
        <v>5.0064999999999998E-2</v>
      </c>
      <c r="P3223" s="150"/>
      <c r="Q3223" s="250"/>
      <c r="R3223" s="250"/>
      <c r="S3223" s="250">
        <v>2.2000000000000002E-2</v>
      </c>
      <c r="T3223" s="250">
        <v>1.2E-2</v>
      </c>
      <c r="U3223" s="250">
        <v>4.9000000000000002E-2</v>
      </c>
      <c r="V3223" s="250">
        <v>0.21600000000000003</v>
      </c>
      <c r="W3223" s="250">
        <v>0.39500000000000002</v>
      </c>
      <c r="X3223" s="250">
        <v>0.29699999999999999</v>
      </c>
      <c r="Y3223" s="250">
        <v>9.0000000000000011E-3</v>
      </c>
      <c r="Z3223" s="150">
        <v>11</v>
      </c>
      <c r="AA3223" s="150">
        <v>0.7</v>
      </c>
      <c r="AB3223" s="152"/>
      <c r="AC3223" s="152"/>
      <c r="AD3223" s="223"/>
      <c r="AE3223" s="223"/>
      <c r="AF3223" s="223"/>
      <c r="AG3223" s="223"/>
      <c r="AH3223" s="341"/>
      <c r="AI3223" s="218"/>
      <c r="AJ3223" s="218"/>
      <c r="AK3223" s="153"/>
      <c r="AL3223" s="152"/>
      <c r="AM3223" s="152"/>
      <c r="AN3223" s="152"/>
      <c r="AO3223" s="152"/>
      <c r="AP3223" s="152"/>
      <c r="AQ3223" s="152"/>
      <c r="AR3223" s="152"/>
      <c r="AS3223" s="152"/>
      <c r="AT3223" s="152"/>
      <c r="AU3223" s="153"/>
      <c r="AV3223" s="479"/>
      <c r="AW3223" s="479"/>
      <c r="AX3223" s="442"/>
      <c r="AY3223" s="153"/>
      <c r="AZ3223" s="152"/>
      <c r="BA3223" s="152"/>
      <c r="BB3223" s="152"/>
      <c r="BC3223" s="152"/>
      <c r="BD3223" s="152"/>
      <c r="BE3223" s="152"/>
      <c r="BF3223" s="152"/>
      <c r="BG3223" s="152"/>
      <c r="BH3223" s="152"/>
      <c r="BI3223" s="153"/>
      <c r="BJ3223" s="153"/>
      <c r="BK3223" s="153"/>
      <c r="BL3223" s="153"/>
      <c r="BM3223" s="153"/>
      <c r="BN3223" s="153"/>
      <c r="BO3223" s="153"/>
      <c r="BP3223" s="153"/>
      <c r="BQ3223" s="153"/>
      <c r="BR3223" s="153"/>
      <c r="BS3223" s="153"/>
      <c r="BT3223" s="153"/>
      <c r="BU3223" s="153"/>
      <c r="BV3223" s="153"/>
      <c r="BW3223" s="153"/>
      <c r="BX3223" s="153"/>
      <c r="BY3223" s="153"/>
      <c r="BZ3223" s="153"/>
      <c r="CA3223" s="152"/>
      <c r="CB3223" s="152"/>
    </row>
    <row r="3224" spans="1:80" s="87" customFormat="1" ht="15" x14ac:dyDescent="0.25">
      <c r="A3224" s="152"/>
      <c r="B3224" s="683"/>
      <c r="C3224" s="683"/>
      <c r="D3224" s="698"/>
      <c r="E3224" s="215"/>
      <c r="F3224" s="215"/>
      <c r="G3224" s="153"/>
      <c r="H3224" s="153"/>
      <c r="I3224" s="320">
        <v>20</v>
      </c>
      <c r="J3224" s="320">
        <v>60</v>
      </c>
      <c r="K3224" s="222">
        <v>1</v>
      </c>
      <c r="L3224" s="658">
        <v>20</v>
      </c>
      <c r="M3224" s="663">
        <v>34841</v>
      </c>
      <c r="N3224" s="600">
        <v>242.923</v>
      </c>
      <c r="O3224" s="604">
        <v>8.3126000000000005E-2</v>
      </c>
      <c r="P3224" s="150"/>
      <c r="Q3224" s="250"/>
      <c r="R3224" s="250"/>
      <c r="S3224" s="250"/>
      <c r="T3224" s="250">
        <v>2.7000000000000003E-2</v>
      </c>
      <c r="U3224" s="250">
        <v>8.199999999999999E-2</v>
      </c>
      <c r="V3224" s="250">
        <v>0.33299999999999996</v>
      </c>
      <c r="W3224" s="250">
        <v>0.41299999999999998</v>
      </c>
      <c r="X3224" s="250">
        <v>0.14000000000000001</v>
      </c>
      <c r="Y3224" s="250">
        <v>5.0000000000000001E-3</v>
      </c>
      <c r="Z3224" s="150">
        <v>7</v>
      </c>
      <c r="AA3224" s="150">
        <v>0.91</v>
      </c>
      <c r="AB3224" s="152"/>
      <c r="AC3224" s="152"/>
      <c r="AD3224" s="223"/>
      <c r="AE3224" s="223"/>
      <c r="AF3224" s="223"/>
      <c r="AG3224" s="223"/>
      <c r="AH3224" s="341"/>
      <c r="AI3224" s="218"/>
      <c r="AJ3224" s="218"/>
      <c r="AK3224" s="153"/>
      <c r="AL3224" s="152"/>
      <c r="AM3224" s="152"/>
      <c r="AN3224" s="152"/>
      <c r="AO3224" s="152"/>
      <c r="AP3224" s="152"/>
      <c r="AQ3224" s="152"/>
      <c r="AR3224" s="152"/>
      <c r="AS3224" s="152"/>
      <c r="AT3224" s="152"/>
      <c r="AU3224" s="153"/>
      <c r="AV3224" s="479"/>
      <c r="AW3224" s="479"/>
      <c r="AX3224" s="442"/>
      <c r="AY3224" s="153"/>
      <c r="AZ3224" s="152"/>
      <c r="BA3224" s="152"/>
      <c r="BB3224" s="152"/>
      <c r="BC3224" s="152"/>
      <c r="BD3224" s="152"/>
      <c r="BE3224" s="152"/>
      <c r="BF3224" s="152"/>
      <c r="BG3224" s="152"/>
      <c r="BH3224" s="152"/>
      <c r="BI3224" s="153"/>
      <c r="BJ3224" s="153"/>
      <c r="BK3224" s="153"/>
      <c r="BL3224" s="153"/>
      <c r="BM3224" s="153"/>
      <c r="BN3224" s="153"/>
      <c r="BO3224" s="153"/>
      <c r="BP3224" s="153"/>
      <c r="BQ3224" s="153"/>
      <c r="BR3224" s="153"/>
      <c r="BS3224" s="153"/>
      <c r="BT3224" s="153"/>
      <c r="BU3224" s="153"/>
      <c r="BV3224" s="153"/>
      <c r="BW3224" s="153"/>
      <c r="BX3224" s="153"/>
      <c r="BY3224" s="153"/>
      <c r="BZ3224" s="153"/>
      <c r="CA3224" s="152"/>
      <c r="CB3224" s="152"/>
    </row>
    <row r="3225" spans="1:80" s="87" customFormat="1" ht="15" x14ac:dyDescent="0.25">
      <c r="A3225" s="152"/>
      <c r="B3225" s="683"/>
      <c r="C3225" s="683"/>
      <c r="D3225" s="698"/>
      <c r="E3225" s="215"/>
      <c r="F3225" s="215"/>
      <c r="G3225" s="153"/>
      <c r="H3225" s="153"/>
      <c r="I3225" s="320">
        <v>20</v>
      </c>
      <c r="J3225" s="320">
        <v>60</v>
      </c>
      <c r="K3225" s="222">
        <v>1</v>
      </c>
      <c r="L3225" s="658">
        <v>20</v>
      </c>
      <c r="M3225" s="663">
        <v>34844</v>
      </c>
      <c r="N3225" s="600">
        <v>232.73</v>
      </c>
      <c r="O3225" s="604">
        <v>5.5522000000000002E-2</v>
      </c>
      <c r="P3225" s="150"/>
      <c r="Q3225" s="250"/>
      <c r="R3225" s="250"/>
      <c r="S3225" s="250"/>
      <c r="T3225" s="250">
        <v>3.2000000000000001E-2</v>
      </c>
      <c r="U3225" s="250">
        <v>5.2000000000000005E-2</v>
      </c>
      <c r="V3225" s="250">
        <v>0.24199999999999999</v>
      </c>
      <c r="W3225" s="250">
        <v>0.39399999999999996</v>
      </c>
      <c r="X3225" s="250">
        <v>0.27100000000000002</v>
      </c>
      <c r="Y3225" s="250">
        <v>9.0000000000000011E-3</v>
      </c>
      <c r="Z3225" s="150">
        <v>8</v>
      </c>
      <c r="AA3225" s="150">
        <v>0.74</v>
      </c>
      <c r="AB3225" s="152"/>
      <c r="AC3225" s="152"/>
      <c r="AD3225" s="223">
        <v>78.940610000000007</v>
      </c>
      <c r="AE3225" s="223">
        <v>2.1060989000000001</v>
      </c>
      <c r="AF3225" s="223">
        <v>166.28026</v>
      </c>
      <c r="AG3225" s="223">
        <v>1.3898424</v>
      </c>
      <c r="AH3225" s="341"/>
      <c r="AI3225" s="218"/>
      <c r="AJ3225" s="218"/>
      <c r="AK3225" s="153"/>
      <c r="AL3225" s="152"/>
      <c r="AM3225" s="152"/>
      <c r="AN3225" s="152"/>
      <c r="AO3225" s="152"/>
      <c r="AP3225" s="152"/>
      <c r="AQ3225" s="152"/>
      <c r="AR3225" s="152"/>
      <c r="AS3225" s="152"/>
      <c r="AT3225" s="152"/>
      <c r="AU3225" s="153"/>
      <c r="AV3225" s="479"/>
      <c r="AW3225" s="479"/>
      <c r="AX3225" s="442"/>
      <c r="AY3225" s="153"/>
      <c r="AZ3225" s="152"/>
      <c r="BA3225" s="152"/>
      <c r="BB3225" s="152"/>
      <c r="BC3225" s="152"/>
      <c r="BD3225" s="152"/>
      <c r="BE3225" s="152"/>
      <c r="BF3225" s="152"/>
      <c r="BG3225" s="152"/>
      <c r="BH3225" s="152"/>
      <c r="BI3225" s="153"/>
      <c r="BJ3225" s="153"/>
      <c r="BK3225" s="153"/>
      <c r="BL3225" s="153"/>
      <c r="BM3225" s="153"/>
      <c r="BN3225" s="153"/>
      <c r="BO3225" s="153"/>
      <c r="BP3225" s="153"/>
      <c r="BQ3225" s="153"/>
      <c r="BR3225" s="153"/>
      <c r="BS3225" s="153"/>
      <c r="BT3225" s="153"/>
      <c r="BU3225" s="153"/>
      <c r="BV3225" s="153"/>
      <c r="BW3225" s="153"/>
      <c r="BX3225" s="153"/>
      <c r="BY3225" s="153"/>
      <c r="BZ3225" s="153"/>
      <c r="CA3225" s="152"/>
      <c r="CB3225" s="152"/>
    </row>
    <row r="3226" spans="1:80" s="87" customFormat="1" ht="15" x14ac:dyDescent="0.25">
      <c r="A3226" s="152"/>
      <c r="B3226" s="683"/>
      <c r="C3226" s="683"/>
      <c r="D3226" s="698"/>
      <c r="E3226" s="215"/>
      <c r="F3226" s="215"/>
      <c r="G3226" s="153"/>
      <c r="H3226" s="153"/>
      <c r="I3226" s="320">
        <v>20</v>
      </c>
      <c r="J3226" s="320">
        <v>60</v>
      </c>
      <c r="K3226" s="222">
        <v>1</v>
      </c>
      <c r="L3226" s="658">
        <v>20</v>
      </c>
      <c r="M3226" s="663">
        <v>34844</v>
      </c>
      <c r="N3226" s="600">
        <v>232.73</v>
      </c>
      <c r="O3226" s="604">
        <v>0.27288899999999999</v>
      </c>
      <c r="P3226" s="150"/>
      <c r="Q3226" s="250"/>
      <c r="R3226" s="250"/>
      <c r="S3226" s="250">
        <v>4.0000000000000001E-3</v>
      </c>
      <c r="T3226" s="250">
        <v>5.4000000000000006E-2</v>
      </c>
      <c r="U3226" s="250">
        <v>0.14400000000000002</v>
      </c>
      <c r="V3226" s="250">
        <v>0.36700000000000005</v>
      </c>
      <c r="W3226" s="250">
        <v>0.312</v>
      </c>
      <c r="X3226" s="250">
        <v>0.11599999999999999</v>
      </c>
      <c r="Y3226" s="250">
        <v>3.0000000000000001E-3</v>
      </c>
      <c r="Z3226" s="150">
        <v>10</v>
      </c>
      <c r="AA3226" s="150">
        <v>1.1399999999999999</v>
      </c>
      <c r="AB3226" s="152"/>
      <c r="AC3226" s="152"/>
      <c r="AD3226" s="223">
        <v>78.940610000000007</v>
      </c>
      <c r="AE3226" s="223">
        <v>2.1060989000000001</v>
      </c>
      <c r="AF3226" s="223">
        <v>166.28026</v>
      </c>
      <c r="AG3226" s="223">
        <v>1.3898424</v>
      </c>
      <c r="AH3226" s="341"/>
      <c r="AI3226" s="218"/>
      <c r="AJ3226" s="218"/>
      <c r="AK3226" s="153"/>
      <c r="AL3226" s="152"/>
      <c r="AM3226" s="152"/>
      <c r="AN3226" s="152"/>
      <c r="AO3226" s="152"/>
      <c r="AP3226" s="152"/>
      <c r="AQ3226" s="152"/>
      <c r="AR3226" s="152"/>
      <c r="AS3226" s="152"/>
      <c r="AT3226" s="152"/>
      <c r="AU3226" s="153"/>
      <c r="AV3226" s="479"/>
      <c r="AW3226" s="479"/>
      <c r="AX3226" s="442"/>
      <c r="AY3226" s="153"/>
      <c r="AZ3226" s="152"/>
      <c r="BA3226" s="152"/>
      <c r="BB3226" s="152"/>
      <c r="BC3226" s="152"/>
      <c r="BD3226" s="152"/>
      <c r="BE3226" s="152"/>
      <c r="BF3226" s="152"/>
      <c r="BG3226" s="152"/>
      <c r="BH3226" s="152"/>
      <c r="BI3226" s="153"/>
      <c r="BJ3226" s="153"/>
      <c r="BK3226" s="153"/>
      <c r="BL3226" s="153"/>
      <c r="BM3226" s="153"/>
      <c r="BN3226" s="153"/>
      <c r="BO3226" s="153"/>
      <c r="BP3226" s="153"/>
      <c r="BQ3226" s="153"/>
      <c r="BR3226" s="153"/>
      <c r="BS3226" s="153"/>
      <c r="BT3226" s="153"/>
      <c r="BU3226" s="153"/>
      <c r="BV3226" s="153"/>
      <c r="BW3226" s="153"/>
      <c r="BX3226" s="153"/>
      <c r="BY3226" s="153"/>
      <c r="BZ3226" s="153"/>
      <c r="CA3226" s="152"/>
      <c r="CB3226" s="152"/>
    </row>
    <row r="3227" spans="1:80" s="87" customFormat="1" ht="15" x14ac:dyDescent="0.25">
      <c r="A3227" s="152"/>
      <c r="B3227" s="683"/>
      <c r="C3227" s="683"/>
      <c r="D3227" s="698"/>
      <c r="E3227" s="215"/>
      <c r="F3227" s="215"/>
      <c r="G3227" s="153"/>
      <c r="H3227" s="153"/>
      <c r="I3227" s="320">
        <v>20</v>
      </c>
      <c r="J3227" s="320">
        <v>60</v>
      </c>
      <c r="K3227" s="222">
        <v>1</v>
      </c>
      <c r="L3227" s="658">
        <v>20</v>
      </c>
      <c r="M3227" s="663">
        <v>34849</v>
      </c>
      <c r="N3227" s="600">
        <v>240.941</v>
      </c>
      <c r="O3227" s="604">
        <v>9.4671000000000005E-2</v>
      </c>
      <c r="P3227" s="150"/>
      <c r="Q3227" s="250"/>
      <c r="R3227" s="250"/>
      <c r="S3227" s="250">
        <v>0.04</v>
      </c>
      <c r="T3227" s="250">
        <v>1.3000000000000001E-2</v>
      </c>
      <c r="U3227" s="250">
        <v>6.5000000000000002E-2</v>
      </c>
      <c r="V3227" s="250">
        <v>0.32799999999999996</v>
      </c>
      <c r="W3227" s="250">
        <v>0.40100000000000002</v>
      </c>
      <c r="X3227" s="250">
        <v>0.14800000000000002</v>
      </c>
      <c r="Y3227" s="250">
        <v>5.0000000000000001E-3</v>
      </c>
      <c r="Z3227" s="150">
        <v>15</v>
      </c>
      <c r="AA3227" s="150">
        <v>0.91</v>
      </c>
      <c r="AB3227" s="152"/>
      <c r="AC3227" s="152"/>
      <c r="AD3227" s="223"/>
      <c r="AE3227" s="223"/>
      <c r="AF3227" s="223"/>
      <c r="AG3227" s="223"/>
      <c r="AH3227" s="341"/>
      <c r="AI3227" s="218"/>
      <c r="AJ3227" s="218"/>
      <c r="AK3227" s="153"/>
      <c r="AL3227" s="152"/>
      <c r="AM3227" s="152"/>
      <c r="AN3227" s="152"/>
      <c r="AO3227" s="152"/>
      <c r="AP3227" s="152"/>
      <c r="AQ3227" s="152"/>
      <c r="AR3227" s="152"/>
      <c r="AS3227" s="152"/>
      <c r="AT3227" s="152"/>
      <c r="AU3227" s="153"/>
      <c r="AV3227" s="479"/>
      <c r="AW3227" s="479"/>
      <c r="AX3227" s="442"/>
      <c r="AY3227" s="153"/>
      <c r="AZ3227" s="152"/>
      <c r="BA3227" s="152"/>
      <c r="BB3227" s="152"/>
      <c r="BC3227" s="152"/>
      <c r="BD3227" s="152"/>
      <c r="BE3227" s="152"/>
      <c r="BF3227" s="152"/>
      <c r="BG3227" s="152"/>
      <c r="BH3227" s="152"/>
      <c r="BI3227" s="153"/>
      <c r="BJ3227" s="153"/>
      <c r="BK3227" s="153"/>
      <c r="BL3227" s="153"/>
      <c r="BM3227" s="153"/>
      <c r="BN3227" s="153"/>
      <c r="BO3227" s="153"/>
      <c r="BP3227" s="153"/>
      <c r="BQ3227" s="153"/>
      <c r="BR3227" s="153"/>
      <c r="BS3227" s="153"/>
      <c r="BT3227" s="153"/>
      <c r="BU3227" s="153"/>
      <c r="BV3227" s="153"/>
      <c r="BW3227" s="153"/>
      <c r="BX3227" s="153"/>
      <c r="BY3227" s="153"/>
      <c r="BZ3227" s="153"/>
      <c r="CA3227" s="152"/>
      <c r="CB3227" s="152"/>
    </row>
    <row r="3228" spans="1:80" s="87" customFormat="1" ht="15" x14ac:dyDescent="0.25">
      <c r="A3228" s="152"/>
      <c r="B3228" s="683"/>
      <c r="C3228" s="683"/>
      <c r="D3228" s="698"/>
      <c r="E3228" s="215"/>
      <c r="F3228" s="215"/>
      <c r="G3228" s="153"/>
      <c r="H3228" s="153"/>
      <c r="I3228" s="320">
        <v>20</v>
      </c>
      <c r="J3228" s="320">
        <v>60</v>
      </c>
      <c r="K3228" s="222">
        <v>1</v>
      </c>
      <c r="L3228" s="658">
        <v>20</v>
      </c>
      <c r="M3228" s="663">
        <v>34849</v>
      </c>
      <c r="N3228" s="600">
        <v>240.375</v>
      </c>
      <c r="O3228" s="604">
        <v>3.6630000000000003E-2</v>
      </c>
      <c r="P3228" s="150"/>
      <c r="Q3228" s="250"/>
      <c r="R3228" s="250"/>
      <c r="S3228" s="250"/>
      <c r="T3228" s="250">
        <v>2.3E-2</v>
      </c>
      <c r="U3228" s="250">
        <v>4.8000000000000001E-2</v>
      </c>
      <c r="V3228" s="250">
        <v>0.192</v>
      </c>
      <c r="W3228" s="250">
        <v>0.39500000000000002</v>
      </c>
      <c r="X3228" s="250">
        <v>0.33100000000000002</v>
      </c>
      <c r="Y3228" s="250">
        <v>1.1000000000000001E-2</v>
      </c>
      <c r="Z3228" s="150">
        <v>6</v>
      </c>
      <c r="AA3228" s="150">
        <v>0.66</v>
      </c>
      <c r="AB3228" s="152"/>
      <c r="AC3228" s="152"/>
      <c r="AD3228" s="223"/>
      <c r="AE3228" s="223"/>
      <c r="AF3228" s="223"/>
      <c r="AG3228" s="223"/>
      <c r="AH3228" s="341"/>
      <c r="AI3228" s="218"/>
      <c r="AJ3228" s="218"/>
      <c r="AK3228" s="153"/>
      <c r="AL3228" s="152"/>
      <c r="AM3228" s="152"/>
      <c r="AN3228" s="152"/>
      <c r="AO3228" s="152"/>
      <c r="AP3228" s="152"/>
      <c r="AQ3228" s="152"/>
      <c r="AR3228" s="152"/>
      <c r="AS3228" s="152"/>
      <c r="AT3228" s="152"/>
      <c r="AU3228" s="153"/>
      <c r="AV3228" s="479"/>
      <c r="AW3228" s="479"/>
      <c r="AX3228" s="442"/>
      <c r="AY3228" s="153"/>
      <c r="AZ3228" s="152"/>
      <c r="BA3228" s="152"/>
      <c r="BB3228" s="152"/>
      <c r="BC3228" s="152"/>
      <c r="BD3228" s="152"/>
      <c r="BE3228" s="152"/>
      <c r="BF3228" s="152"/>
      <c r="BG3228" s="152"/>
      <c r="BH3228" s="152"/>
      <c r="BI3228" s="153"/>
      <c r="BJ3228" s="153"/>
      <c r="BK3228" s="153"/>
      <c r="BL3228" s="153"/>
      <c r="BM3228" s="153"/>
      <c r="BN3228" s="153"/>
      <c r="BO3228" s="153"/>
      <c r="BP3228" s="153"/>
      <c r="BQ3228" s="153"/>
      <c r="BR3228" s="153"/>
      <c r="BS3228" s="153"/>
      <c r="BT3228" s="153"/>
      <c r="BU3228" s="153"/>
      <c r="BV3228" s="153"/>
      <c r="BW3228" s="153"/>
      <c r="BX3228" s="153"/>
      <c r="BY3228" s="153"/>
      <c r="BZ3228" s="153"/>
      <c r="CA3228" s="152"/>
      <c r="CB3228" s="152"/>
    </row>
    <row r="3229" spans="1:80" s="87" customFormat="1" ht="15" x14ac:dyDescent="0.25">
      <c r="A3229" s="152"/>
      <c r="B3229" s="683"/>
      <c r="C3229" s="683"/>
      <c r="D3229" s="698"/>
      <c r="E3229" s="215"/>
      <c r="F3229" s="215"/>
      <c r="G3229" s="153"/>
      <c r="H3229" s="153"/>
      <c r="I3229" s="320">
        <v>20</v>
      </c>
      <c r="J3229" s="320">
        <v>60</v>
      </c>
      <c r="K3229" s="222">
        <v>1</v>
      </c>
      <c r="L3229" s="658">
        <v>20</v>
      </c>
      <c r="M3229" s="663">
        <v>34852</v>
      </c>
      <c r="N3229" s="600">
        <v>252.83199999999999</v>
      </c>
      <c r="O3229" s="604">
        <v>5.8041000000000002E-2</v>
      </c>
      <c r="P3229" s="150"/>
      <c r="Q3229" s="250"/>
      <c r="R3229" s="250"/>
      <c r="S3229" s="250"/>
      <c r="T3229" s="250">
        <v>3.0000000000000001E-3</v>
      </c>
      <c r="U3229" s="250">
        <v>3.2000000000000001E-2</v>
      </c>
      <c r="V3229" s="250">
        <v>0.27500000000000002</v>
      </c>
      <c r="W3229" s="250">
        <v>0.42299999999999999</v>
      </c>
      <c r="X3229" s="250">
        <v>0.25700000000000001</v>
      </c>
      <c r="Y3229" s="250">
        <v>0.01</v>
      </c>
      <c r="Z3229" s="150">
        <v>6</v>
      </c>
      <c r="AA3229" s="150">
        <v>0.73</v>
      </c>
      <c r="AB3229" s="152"/>
      <c r="AC3229" s="152"/>
      <c r="AD3229" s="223"/>
      <c r="AE3229" s="223"/>
      <c r="AF3229" s="223"/>
      <c r="AG3229" s="223"/>
      <c r="AH3229" s="341"/>
      <c r="AI3229" s="218"/>
      <c r="AJ3229" s="218"/>
      <c r="AK3229" s="153"/>
      <c r="AL3229" s="152"/>
      <c r="AM3229" s="152"/>
      <c r="AN3229" s="152"/>
      <c r="AO3229" s="152"/>
      <c r="AP3229" s="152"/>
      <c r="AQ3229" s="152"/>
      <c r="AR3229" s="152"/>
      <c r="AS3229" s="152"/>
      <c r="AT3229" s="152"/>
      <c r="AU3229" s="153"/>
      <c r="AV3229" s="479"/>
      <c r="AW3229" s="479"/>
      <c r="AX3229" s="442"/>
      <c r="AY3229" s="153"/>
      <c r="AZ3229" s="152"/>
      <c r="BA3229" s="152"/>
      <c r="BB3229" s="152"/>
      <c r="BC3229" s="152"/>
      <c r="BD3229" s="152"/>
      <c r="BE3229" s="152"/>
      <c r="BF3229" s="152"/>
      <c r="BG3229" s="152"/>
      <c r="BH3229" s="152"/>
      <c r="BI3229" s="153"/>
      <c r="BJ3229" s="153"/>
      <c r="BK3229" s="153"/>
      <c r="BL3229" s="153"/>
      <c r="BM3229" s="153"/>
      <c r="BN3229" s="153"/>
      <c r="BO3229" s="153"/>
      <c r="BP3229" s="153"/>
      <c r="BQ3229" s="153"/>
      <c r="BR3229" s="153"/>
      <c r="BS3229" s="153"/>
      <c r="BT3229" s="153"/>
      <c r="BU3229" s="153"/>
      <c r="BV3229" s="153"/>
      <c r="BW3229" s="153"/>
      <c r="BX3229" s="153"/>
      <c r="BY3229" s="153"/>
      <c r="BZ3229" s="153"/>
      <c r="CA3229" s="152"/>
      <c r="CB3229" s="152"/>
    </row>
    <row r="3230" spans="1:80" s="87" customFormat="1" ht="15" x14ac:dyDescent="0.25">
      <c r="A3230" s="152"/>
      <c r="B3230" s="683"/>
      <c r="C3230" s="683"/>
      <c r="D3230" s="698"/>
      <c r="E3230" s="215"/>
      <c r="F3230" s="215"/>
      <c r="G3230" s="153"/>
      <c r="H3230" s="153"/>
      <c r="I3230" s="320">
        <v>20</v>
      </c>
      <c r="J3230" s="320">
        <v>60</v>
      </c>
      <c r="K3230" s="222">
        <v>1</v>
      </c>
      <c r="L3230" s="658">
        <v>20</v>
      </c>
      <c r="M3230" s="663">
        <v>34852</v>
      </c>
      <c r="N3230" s="600">
        <v>250.56700000000001</v>
      </c>
      <c r="O3230" s="604">
        <v>2.7078999999999999E-2</v>
      </c>
      <c r="P3230" s="150"/>
      <c r="Q3230" s="250"/>
      <c r="R3230" s="250"/>
      <c r="S3230" s="250"/>
      <c r="T3230" s="250">
        <v>2.2000000000000002E-2</v>
      </c>
      <c r="U3230" s="250">
        <v>0.09</v>
      </c>
      <c r="V3230" s="250">
        <v>0.29199999999999998</v>
      </c>
      <c r="W3230" s="250">
        <v>0.35700000000000004</v>
      </c>
      <c r="X3230" s="250">
        <v>0.23</v>
      </c>
      <c r="Y3230" s="250">
        <v>9.0000000000000011E-3</v>
      </c>
      <c r="Z3230" s="150">
        <v>5</v>
      </c>
      <c r="AA3230" s="150">
        <v>0.83</v>
      </c>
      <c r="AB3230" s="152"/>
      <c r="AC3230" s="152"/>
      <c r="AD3230" s="223"/>
      <c r="AE3230" s="223"/>
      <c r="AF3230" s="223"/>
      <c r="AG3230" s="223"/>
      <c r="AH3230" s="341"/>
      <c r="AI3230" s="218"/>
      <c r="AJ3230" s="218"/>
      <c r="AK3230" s="153"/>
      <c r="AL3230" s="152"/>
      <c r="AM3230" s="152"/>
      <c r="AN3230" s="152"/>
      <c r="AO3230" s="152"/>
      <c r="AP3230" s="152"/>
      <c r="AQ3230" s="152"/>
      <c r="AR3230" s="152"/>
      <c r="AS3230" s="152"/>
      <c r="AT3230" s="152"/>
      <c r="AU3230" s="153"/>
      <c r="AV3230" s="479"/>
      <c r="AW3230" s="479"/>
      <c r="AX3230" s="442"/>
      <c r="AY3230" s="153"/>
      <c r="AZ3230" s="152"/>
      <c r="BA3230" s="152"/>
      <c r="BB3230" s="152"/>
      <c r="BC3230" s="152"/>
      <c r="BD3230" s="152"/>
      <c r="BE3230" s="152"/>
      <c r="BF3230" s="152"/>
      <c r="BG3230" s="152"/>
      <c r="BH3230" s="152"/>
      <c r="BI3230" s="153"/>
      <c r="BJ3230" s="153"/>
      <c r="BK3230" s="153"/>
      <c r="BL3230" s="153"/>
      <c r="BM3230" s="153"/>
      <c r="BN3230" s="153"/>
      <c r="BO3230" s="153"/>
      <c r="BP3230" s="153"/>
      <c r="BQ3230" s="153"/>
      <c r="BR3230" s="153"/>
      <c r="BS3230" s="153"/>
      <c r="BT3230" s="153"/>
      <c r="BU3230" s="153"/>
      <c r="BV3230" s="153"/>
      <c r="BW3230" s="153"/>
      <c r="BX3230" s="153"/>
      <c r="BY3230" s="153"/>
      <c r="BZ3230" s="153"/>
      <c r="CA3230" s="152"/>
      <c r="CB3230" s="152"/>
    </row>
    <row r="3231" spans="1:80" s="87" customFormat="1" ht="15" x14ac:dyDescent="0.25">
      <c r="A3231" s="152"/>
      <c r="B3231" s="683"/>
      <c r="C3231" s="683"/>
      <c r="D3231" s="698"/>
      <c r="E3231" s="215"/>
      <c r="F3231" s="215"/>
      <c r="G3231" s="153"/>
      <c r="H3231" s="153"/>
      <c r="I3231" s="320">
        <v>20</v>
      </c>
      <c r="J3231" s="320">
        <v>60</v>
      </c>
      <c r="K3231" s="222">
        <v>1</v>
      </c>
      <c r="L3231" s="658">
        <v>20</v>
      </c>
      <c r="M3231" s="663">
        <v>34854</v>
      </c>
      <c r="N3231" s="600">
        <v>255.66399999999999</v>
      </c>
      <c r="O3231" s="604">
        <v>7.5254000000000001E-2</v>
      </c>
      <c r="P3231" s="150"/>
      <c r="Q3231" s="250"/>
      <c r="R3231" s="250"/>
      <c r="S3231" s="250">
        <v>5.2000000000000005E-2</v>
      </c>
      <c r="T3231" s="250">
        <v>3.4000000000000002E-2</v>
      </c>
      <c r="U3231" s="250">
        <v>0.08</v>
      </c>
      <c r="V3231" s="250">
        <v>0.23199999999999998</v>
      </c>
      <c r="W3231" s="250">
        <v>0.38600000000000001</v>
      </c>
      <c r="X3231" s="250">
        <v>0.20800000000000002</v>
      </c>
      <c r="Y3231" s="250">
        <v>8.0000000000000002E-3</v>
      </c>
      <c r="Z3231" s="150">
        <v>14</v>
      </c>
      <c r="AA3231" s="150">
        <v>0.83</v>
      </c>
      <c r="AB3231" s="152"/>
      <c r="AC3231" s="152"/>
      <c r="AD3231" s="223"/>
      <c r="AE3231" s="223"/>
      <c r="AF3231" s="223"/>
      <c r="AG3231" s="223"/>
      <c r="AH3231" s="341"/>
      <c r="AI3231" s="218"/>
      <c r="AJ3231" s="218"/>
      <c r="AK3231" s="153"/>
      <c r="AL3231" s="152"/>
      <c r="AM3231" s="152"/>
      <c r="AN3231" s="152"/>
      <c r="AO3231" s="152"/>
      <c r="AP3231" s="152"/>
      <c r="AQ3231" s="152"/>
      <c r="AR3231" s="152"/>
      <c r="AS3231" s="152"/>
      <c r="AT3231" s="152"/>
      <c r="AU3231" s="153"/>
      <c r="AV3231" s="479"/>
      <c r="AW3231" s="479"/>
      <c r="AX3231" s="442"/>
      <c r="AY3231" s="153"/>
      <c r="AZ3231" s="152"/>
      <c r="BA3231" s="152"/>
      <c r="BB3231" s="152"/>
      <c r="BC3231" s="152"/>
      <c r="BD3231" s="152"/>
      <c r="BE3231" s="152"/>
      <c r="BF3231" s="152"/>
      <c r="BG3231" s="152"/>
      <c r="BH3231" s="152"/>
      <c r="BI3231" s="153"/>
      <c r="BJ3231" s="153"/>
      <c r="BK3231" s="153"/>
      <c r="BL3231" s="153"/>
      <c r="BM3231" s="153"/>
      <c r="BN3231" s="153"/>
      <c r="BO3231" s="153"/>
      <c r="BP3231" s="153"/>
      <c r="BQ3231" s="153"/>
      <c r="BR3231" s="153"/>
      <c r="BS3231" s="153"/>
      <c r="BT3231" s="153"/>
      <c r="BU3231" s="153"/>
      <c r="BV3231" s="153"/>
      <c r="BW3231" s="153"/>
      <c r="BX3231" s="153"/>
      <c r="BY3231" s="153"/>
      <c r="BZ3231" s="153"/>
      <c r="CA3231" s="152"/>
      <c r="CB3231" s="152"/>
    </row>
    <row r="3232" spans="1:80" s="87" customFormat="1" ht="15" x14ac:dyDescent="0.25">
      <c r="A3232" s="152"/>
      <c r="B3232" s="683"/>
      <c r="C3232" s="683"/>
      <c r="D3232" s="698"/>
      <c r="E3232" s="215"/>
      <c r="F3232" s="215"/>
      <c r="G3232" s="153"/>
      <c r="H3232" s="153"/>
      <c r="I3232" s="320">
        <v>20</v>
      </c>
      <c r="J3232" s="320">
        <v>60</v>
      </c>
      <c r="K3232" s="222">
        <v>1</v>
      </c>
      <c r="L3232" s="658">
        <v>20</v>
      </c>
      <c r="M3232" s="663">
        <v>34854</v>
      </c>
      <c r="N3232" s="600">
        <v>256.23</v>
      </c>
      <c r="O3232" s="604">
        <v>6.3184000000000004E-2</v>
      </c>
      <c r="P3232" s="150"/>
      <c r="Q3232" s="250"/>
      <c r="R3232" s="250"/>
      <c r="S3232" s="250"/>
      <c r="T3232" s="250"/>
      <c r="U3232" s="250">
        <v>3.7000000000000005E-2</v>
      </c>
      <c r="V3232" s="250">
        <v>0.23600000000000002</v>
      </c>
      <c r="W3232" s="250">
        <v>0.42899999999999999</v>
      </c>
      <c r="X3232" s="250">
        <v>0.29100000000000004</v>
      </c>
      <c r="Y3232" s="250">
        <v>6.9999999999999993E-3</v>
      </c>
      <c r="Z3232" s="150">
        <v>3</v>
      </c>
      <c r="AA3232" s="150">
        <v>0.69</v>
      </c>
      <c r="AB3232" s="152"/>
      <c r="AC3232" s="152"/>
      <c r="AD3232" s="223"/>
      <c r="AE3232" s="223"/>
      <c r="AF3232" s="223"/>
      <c r="AG3232" s="223"/>
      <c r="AH3232" s="341"/>
      <c r="AI3232" s="218"/>
      <c r="AJ3232" s="218"/>
      <c r="AK3232" s="153"/>
      <c r="AL3232" s="152"/>
      <c r="AM3232" s="152"/>
      <c r="AN3232" s="152"/>
      <c r="AO3232" s="152"/>
      <c r="AP3232" s="152"/>
      <c r="AQ3232" s="152"/>
      <c r="AR3232" s="152"/>
      <c r="AS3232" s="152"/>
      <c r="AT3232" s="152"/>
      <c r="AU3232" s="153"/>
      <c r="AV3232" s="479"/>
      <c r="AW3232" s="479"/>
      <c r="AX3232" s="442"/>
      <c r="AY3232" s="153"/>
      <c r="AZ3232" s="152"/>
      <c r="BA3232" s="152"/>
      <c r="BB3232" s="152"/>
      <c r="BC3232" s="152"/>
      <c r="BD3232" s="152"/>
      <c r="BE3232" s="152"/>
      <c r="BF3232" s="152"/>
      <c r="BG3232" s="152"/>
      <c r="BH3232" s="152"/>
      <c r="BI3232" s="153"/>
      <c r="BJ3232" s="153"/>
      <c r="BK3232" s="153"/>
      <c r="BL3232" s="153"/>
      <c r="BM3232" s="153"/>
      <c r="BN3232" s="153"/>
      <c r="BO3232" s="153"/>
      <c r="BP3232" s="153"/>
      <c r="BQ3232" s="153"/>
      <c r="BR3232" s="153"/>
      <c r="BS3232" s="153"/>
      <c r="BT3232" s="153"/>
      <c r="BU3232" s="153"/>
      <c r="BV3232" s="153"/>
      <c r="BW3232" s="153"/>
      <c r="BX3232" s="153"/>
      <c r="BY3232" s="153"/>
      <c r="BZ3232" s="153"/>
      <c r="CA3232" s="152"/>
      <c r="CB3232" s="152"/>
    </row>
    <row r="3233" spans="1:80" s="87" customFormat="1" ht="15" x14ac:dyDescent="0.25">
      <c r="A3233" s="152"/>
      <c r="B3233" s="683"/>
      <c r="C3233" s="683"/>
      <c r="D3233" s="698"/>
      <c r="E3233" s="215"/>
      <c r="F3233" s="215"/>
      <c r="G3233" s="153"/>
      <c r="H3233" s="153"/>
      <c r="I3233" s="320">
        <v>20</v>
      </c>
      <c r="J3233" s="320">
        <v>60</v>
      </c>
      <c r="K3233" s="222">
        <v>1</v>
      </c>
      <c r="L3233" s="658">
        <v>20</v>
      </c>
      <c r="M3233" s="663">
        <v>34855</v>
      </c>
      <c r="N3233" s="600">
        <v>261.32600000000002</v>
      </c>
      <c r="O3233" s="604">
        <v>0.14064299999999999</v>
      </c>
      <c r="P3233" s="150"/>
      <c r="Q3233" s="250"/>
      <c r="R3233" s="250">
        <v>0.184</v>
      </c>
      <c r="S3233" s="250">
        <v>1.8000000000000002E-2</v>
      </c>
      <c r="T3233" s="250">
        <v>0.03</v>
      </c>
      <c r="U3233" s="250">
        <v>4.5999999999999999E-2</v>
      </c>
      <c r="V3233" s="250">
        <v>0.253</v>
      </c>
      <c r="W3233" s="250">
        <v>0.312</v>
      </c>
      <c r="X3233" s="250">
        <v>0.153</v>
      </c>
      <c r="Y3233" s="250">
        <v>4.0000000000000001E-3</v>
      </c>
      <c r="Z3233" s="150">
        <v>28</v>
      </c>
      <c r="AA3233" s="150">
        <v>1.0900000000000001</v>
      </c>
      <c r="AB3233" s="152"/>
      <c r="AC3233" s="152"/>
      <c r="AD3233" s="223"/>
      <c r="AE3233" s="223"/>
      <c r="AF3233" s="223"/>
      <c r="AG3233" s="223"/>
      <c r="AH3233" s="341"/>
      <c r="AI3233" s="218"/>
      <c r="AJ3233" s="218"/>
      <c r="AK3233" s="153"/>
      <c r="AL3233" s="152"/>
      <c r="AM3233" s="152"/>
      <c r="AN3233" s="152"/>
      <c r="AO3233" s="152"/>
      <c r="AP3233" s="152"/>
      <c r="AQ3233" s="152"/>
      <c r="AR3233" s="152"/>
      <c r="AS3233" s="152"/>
      <c r="AT3233" s="152"/>
      <c r="AU3233" s="153"/>
      <c r="AV3233" s="479"/>
      <c r="AW3233" s="479"/>
      <c r="AX3233" s="442"/>
      <c r="AY3233" s="153"/>
      <c r="AZ3233" s="152"/>
      <c r="BA3233" s="152"/>
      <c r="BB3233" s="152"/>
      <c r="BC3233" s="152"/>
      <c r="BD3233" s="152"/>
      <c r="BE3233" s="152"/>
      <c r="BF3233" s="152"/>
      <c r="BG3233" s="152"/>
      <c r="BH3233" s="152"/>
      <c r="BI3233" s="153"/>
      <c r="BJ3233" s="153"/>
      <c r="BK3233" s="153"/>
      <c r="BL3233" s="153"/>
      <c r="BM3233" s="153"/>
      <c r="BN3233" s="153"/>
      <c r="BO3233" s="153"/>
      <c r="BP3233" s="153"/>
      <c r="BQ3233" s="153"/>
      <c r="BR3233" s="153"/>
      <c r="BS3233" s="153"/>
      <c r="BT3233" s="153"/>
      <c r="BU3233" s="153"/>
      <c r="BV3233" s="153"/>
      <c r="BW3233" s="153"/>
      <c r="BX3233" s="153"/>
      <c r="BY3233" s="153"/>
      <c r="BZ3233" s="153"/>
      <c r="CA3233" s="152"/>
      <c r="CB3233" s="152"/>
    </row>
    <row r="3234" spans="1:80" s="87" customFormat="1" ht="15" x14ac:dyDescent="0.25">
      <c r="A3234" s="152"/>
      <c r="B3234" s="683"/>
      <c r="C3234" s="683"/>
      <c r="D3234" s="698"/>
      <c r="E3234" s="215"/>
      <c r="F3234" s="215"/>
      <c r="G3234" s="153"/>
      <c r="H3234" s="153"/>
      <c r="I3234" s="320">
        <v>20</v>
      </c>
      <c r="J3234" s="320">
        <v>60</v>
      </c>
      <c r="K3234" s="222">
        <v>1</v>
      </c>
      <c r="L3234" s="658">
        <v>20</v>
      </c>
      <c r="M3234" s="663">
        <v>34855</v>
      </c>
      <c r="N3234" s="600">
        <v>263.59100000000001</v>
      </c>
      <c r="O3234" s="604">
        <v>8.4699999999999998E-2</v>
      </c>
      <c r="P3234" s="150"/>
      <c r="Q3234" s="250"/>
      <c r="R3234" s="250"/>
      <c r="S3234" s="250">
        <v>7.9000000000000001E-2</v>
      </c>
      <c r="T3234" s="250">
        <v>6.6000000000000003E-2</v>
      </c>
      <c r="U3234" s="250">
        <v>7.0999999999999994E-2</v>
      </c>
      <c r="V3234" s="250">
        <v>0.20499999999999999</v>
      </c>
      <c r="W3234" s="250">
        <v>0.34899999999999998</v>
      </c>
      <c r="X3234" s="250">
        <v>0.221</v>
      </c>
      <c r="Y3234" s="250">
        <v>9.0000000000000011E-3</v>
      </c>
      <c r="Z3234" s="150">
        <v>12</v>
      </c>
      <c r="AA3234" s="150">
        <v>0.85</v>
      </c>
      <c r="AB3234" s="152"/>
      <c r="AC3234" s="152"/>
      <c r="AD3234" s="223"/>
      <c r="AE3234" s="223"/>
      <c r="AF3234" s="223"/>
      <c r="AG3234" s="223"/>
      <c r="AH3234" s="341"/>
      <c r="AI3234" s="218"/>
      <c r="AJ3234" s="218"/>
      <c r="AK3234" s="153"/>
      <c r="AL3234" s="152"/>
      <c r="AM3234" s="152"/>
      <c r="AN3234" s="152"/>
      <c r="AO3234" s="152"/>
      <c r="AP3234" s="152"/>
      <c r="AQ3234" s="152"/>
      <c r="AR3234" s="152"/>
      <c r="AS3234" s="152"/>
      <c r="AT3234" s="152"/>
      <c r="AU3234" s="153"/>
      <c r="AV3234" s="479"/>
      <c r="AW3234" s="479"/>
      <c r="AX3234" s="442"/>
      <c r="AY3234" s="153"/>
      <c r="AZ3234" s="152"/>
      <c r="BA3234" s="152"/>
      <c r="BB3234" s="152"/>
      <c r="BC3234" s="152"/>
      <c r="BD3234" s="152"/>
      <c r="BE3234" s="152"/>
      <c r="BF3234" s="152"/>
      <c r="BG3234" s="152"/>
      <c r="BH3234" s="152"/>
      <c r="BI3234" s="153"/>
      <c r="BJ3234" s="153"/>
      <c r="BK3234" s="153"/>
      <c r="BL3234" s="153"/>
      <c r="BM3234" s="153"/>
      <c r="BN3234" s="153"/>
      <c r="BO3234" s="153"/>
      <c r="BP3234" s="153"/>
      <c r="BQ3234" s="153"/>
      <c r="BR3234" s="153"/>
      <c r="BS3234" s="153"/>
      <c r="BT3234" s="153"/>
      <c r="BU3234" s="153"/>
      <c r="BV3234" s="153"/>
      <c r="BW3234" s="153"/>
      <c r="BX3234" s="153"/>
      <c r="BY3234" s="153"/>
      <c r="BZ3234" s="153"/>
      <c r="CA3234" s="152"/>
      <c r="CB3234" s="152"/>
    </row>
    <row r="3235" spans="1:80" s="87" customFormat="1" ht="15" x14ac:dyDescent="0.25">
      <c r="A3235" s="152"/>
      <c r="B3235" s="683"/>
      <c r="C3235" s="683"/>
      <c r="D3235" s="698"/>
      <c r="E3235" s="215"/>
      <c r="F3235" s="215"/>
      <c r="G3235" s="153"/>
      <c r="H3235" s="153"/>
      <c r="I3235" s="320">
        <v>20</v>
      </c>
      <c r="J3235" s="320">
        <v>60</v>
      </c>
      <c r="K3235" s="222">
        <v>1</v>
      </c>
      <c r="L3235" s="658">
        <v>20</v>
      </c>
      <c r="M3235" s="663">
        <v>34857</v>
      </c>
      <c r="N3235" s="600">
        <v>198.755</v>
      </c>
      <c r="O3235" s="604">
        <v>7.7878000000000003E-2</v>
      </c>
      <c r="P3235" s="150"/>
      <c r="Q3235" s="250"/>
      <c r="R3235" s="250">
        <v>0.109</v>
      </c>
      <c r="S3235" s="250">
        <v>0.02</v>
      </c>
      <c r="T3235" s="250">
        <v>2.1000000000000001E-2</v>
      </c>
      <c r="U3235" s="250">
        <v>0.125</v>
      </c>
      <c r="V3235" s="250">
        <v>0.316</v>
      </c>
      <c r="W3235" s="250">
        <v>0.30499999999999999</v>
      </c>
      <c r="X3235" s="250">
        <v>0.10199999999999999</v>
      </c>
      <c r="Y3235" s="250">
        <v>2E-3</v>
      </c>
      <c r="Z3235" s="150">
        <v>21</v>
      </c>
      <c r="AA3235" s="150">
        <v>1.22</v>
      </c>
      <c r="AB3235" s="152"/>
      <c r="AC3235" s="152"/>
      <c r="AD3235" s="223"/>
      <c r="AE3235" s="223"/>
      <c r="AF3235" s="223"/>
      <c r="AG3235" s="223"/>
      <c r="AH3235" s="341"/>
      <c r="AI3235" s="218"/>
      <c r="AJ3235" s="218"/>
      <c r="AK3235" s="153"/>
      <c r="AL3235" s="152"/>
      <c r="AM3235" s="152"/>
      <c r="AN3235" s="152"/>
      <c r="AO3235" s="152"/>
      <c r="AP3235" s="152"/>
      <c r="AQ3235" s="152"/>
      <c r="AR3235" s="152"/>
      <c r="AS3235" s="152"/>
      <c r="AT3235" s="152"/>
      <c r="AU3235" s="153"/>
      <c r="AV3235" s="479"/>
      <c r="AW3235" s="479"/>
      <c r="AX3235" s="442"/>
      <c r="AY3235" s="153"/>
      <c r="AZ3235" s="152"/>
      <c r="BA3235" s="152"/>
      <c r="BB3235" s="152"/>
      <c r="BC3235" s="152"/>
      <c r="BD3235" s="152"/>
      <c r="BE3235" s="152"/>
      <c r="BF3235" s="152"/>
      <c r="BG3235" s="152"/>
      <c r="BH3235" s="152"/>
      <c r="BI3235" s="153"/>
      <c r="BJ3235" s="153"/>
      <c r="BK3235" s="153"/>
      <c r="BL3235" s="153"/>
      <c r="BM3235" s="153"/>
      <c r="BN3235" s="153"/>
      <c r="BO3235" s="153"/>
      <c r="BP3235" s="153"/>
      <c r="BQ3235" s="153"/>
      <c r="BR3235" s="153"/>
      <c r="BS3235" s="153"/>
      <c r="BT3235" s="153"/>
      <c r="BU3235" s="153"/>
      <c r="BV3235" s="153"/>
      <c r="BW3235" s="153"/>
      <c r="BX3235" s="153"/>
      <c r="BY3235" s="153"/>
      <c r="BZ3235" s="153"/>
      <c r="CA3235" s="152"/>
      <c r="CB3235" s="152"/>
    </row>
    <row r="3236" spans="1:80" s="87" customFormat="1" ht="15" x14ac:dyDescent="0.25">
      <c r="A3236" s="152"/>
      <c r="B3236" s="683"/>
      <c r="C3236" s="683"/>
      <c r="D3236" s="698"/>
      <c r="E3236" s="215"/>
      <c r="F3236" s="215"/>
      <c r="G3236" s="153"/>
      <c r="H3236" s="153"/>
      <c r="I3236" s="320">
        <v>20</v>
      </c>
      <c r="J3236" s="320">
        <v>60</v>
      </c>
      <c r="K3236" s="222">
        <v>1</v>
      </c>
      <c r="L3236" s="658">
        <v>20</v>
      </c>
      <c r="M3236" s="663">
        <v>34857</v>
      </c>
      <c r="N3236" s="600">
        <v>198.47200000000001</v>
      </c>
      <c r="O3236" s="604">
        <v>3.9884000000000003E-2</v>
      </c>
      <c r="P3236" s="150"/>
      <c r="Q3236" s="250"/>
      <c r="R3236" s="250"/>
      <c r="S3236" s="250"/>
      <c r="T3236" s="250">
        <v>1.7000000000000001E-2</v>
      </c>
      <c r="U3236" s="250">
        <v>6.6000000000000003E-2</v>
      </c>
      <c r="V3236" s="250">
        <v>0.28699999999999998</v>
      </c>
      <c r="W3236" s="250">
        <v>0.42</v>
      </c>
      <c r="X3236" s="250">
        <v>0.20399999999999999</v>
      </c>
      <c r="Y3236" s="250">
        <v>6.0000000000000001E-3</v>
      </c>
      <c r="Z3236" s="150">
        <v>5</v>
      </c>
      <c r="AA3236" s="150">
        <v>0.81</v>
      </c>
      <c r="AB3236" s="152"/>
      <c r="AC3236" s="152"/>
      <c r="AD3236" s="223"/>
      <c r="AE3236" s="223"/>
      <c r="AF3236" s="223"/>
      <c r="AG3236" s="223"/>
      <c r="AH3236" s="341"/>
      <c r="AI3236" s="218"/>
      <c r="AJ3236" s="218"/>
      <c r="AK3236" s="153"/>
      <c r="AL3236" s="152"/>
      <c r="AM3236" s="152"/>
      <c r="AN3236" s="152"/>
      <c r="AO3236" s="152"/>
      <c r="AP3236" s="152"/>
      <c r="AQ3236" s="152"/>
      <c r="AR3236" s="152"/>
      <c r="AS3236" s="152"/>
      <c r="AT3236" s="152"/>
      <c r="AU3236" s="153"/>
      <c r="AV3236" s="479"/>
      <c r="AW3236" s="479"/>
      <c r="AX3236" s="442"/>
      <c r="AY3236" s="153"/>
      <c r="AZ3236" s="152"/>
      <c r="BA3236" s="152"/>
      <c r="BB3236" s="152"/>
      <c r="BC3236" s="152"/>
      <c r="BD3236" s="152"/>
      <c r="BE3236" s="152"/>
      <c r="BF3236" s="152"/>
      <c r="BG3236" s="152"/>
      <c r="BH3236" s="152"/>
      <c r="BI3236" s="153"/>
      <c r="BJ3236" s="153"/>
      <c r="BK3236" s="153"/>
      <c r="BL3236" s="153"/>
      <c r="BM3236" s="153"/>
      <c r="BN3236" s="153"/>
      <c r="BO3236" s="153"/>
      <c r="BP3236" s="153"/>
      <c r="BQ3236" s="153"/>
      <c r="BR3236" s="153"/>
      <c r="BS3236" s="153"/>
      <c r="BT3236" s="153"/>
      <c r="BU3236" s="153"/>
      <c r="BV3236" s="153"/>
      <c r="BW3236" s="153"/>
      <c r="BX3236" s="153"/>
      <c r="BY3236" s="153"/>
      <c r="BZ3236" s="153"/>
      <c r="CA3236" s="152"/>
      <c r="CB3236" s="152"/>
    </row>
    <row r="3237" spans="1:80" s="87" customFormat="1" ht="15" x14ac:dyDescent="0.25">
      <c r="A3237" s="152"/>
      <c r="B3237" s="683"/>
      <c r="C3237" s="683"/>
      <c r="D3237" s="698"/>
      <c r="E3237" s="215"/>
      <c r="F3237" s="215"/>
      <c r="G3237" s="153"/>
      <c r="H3237" s="153"/>
      <c r="I3237" s="320">
        <v>20</v>
      </c>
      <c r="J3237" s="320">
        <v>60</v>
      </c>
      <c r="K3237" s="222">
        <v>1</v>
      </c>
      <c r="L3237" s="658">
        <v>20</v>
      </c>
      <c r="M3237" s="663">
        <v>34865</v>
      </c>
      <c r="N3237" s="600">
        <v>144.678</v>
      </c>
      <c r="O3237" s="604">
        <v>3.3271000000000002E-2</v>
      </c>
      <c r="P3237" s="150"/>
      <c r="Q3237" s="250"/>
      <c r="R3237" s="250"/>
      <c r="S3237" s="250"/>
      <c r="T3237" s="250">
        <v>0.01</v>
      </c>
      <c r="U3237" s="250">
        <v>6.0999999999999999E-2</v>
      </c>
      <c r="V3237" s="250">
        <v>0.29199999999999998</v>
      </c>
      <c r="W3237" s="250">
        <v>0.435</v>
      </c>
      <c r="X3237" s="250">
        <v>0.2</v>
      </c>
      <c r="Y3237" s="250">
        <v>2E-3</v>
      </c>
      <c r="Z3237" s="150">
        <v>5</v>
      </c>
      <c r="AA3237" s="150">
        <v>0.8</v>
      </c>
      <c r="AB3237" s="152"/>
      <c r="AC3237" s="152"/>
      <c r="AD3237" s="223"/>
      <c r="AE3237" s="223"/>
      <c r="AF3237" s="223"/>
      <c r="AG3237" s="223"/>
      <c r="AH3237" s="341"/>
      <c r="AI3237" s="218"/>
      <c r="AJ3237" s="218"/>
      <c r="AK3237" s="153"/>
      <c r="AL3237" s="152"/>
      <c r="AM3237" s="152"/>
      <c r="AN3237" s="152"/>
      <c r="AO3237" s="152"/>
      <c r="AP3237" s="152"/>
      <c r="AQ3237" s="152"/>
      <c r="AR3237" s="152"/>
      <c r="AS3237" s="152"/>
      <c r="AT3237" s="152"/>
      <c r="AU3237" s="153"/>
      <c r="AV3237" s="479"/>
      <c r="AW3237" s="479"/>
      <c r="AX3237" s="442"/>
      <c r="AY3237" s="153"/>
      <c r="AZ3237" s="152"/>
      <c r="BA3237" s="152"/>
      <c r="BB3237" s="152"/>
      <c r="BC3237" s="152"/>
      <c r="BD3237" s="152"/>
      <c r="BE3237" s="152"/>
      <c r="BF3237" s="152"/>
      <c r="BG3237" s="152"/>
      <c r="BH3237" s="152"/>
      <c r="BI3237" s="153"/>
      <c r="BJ3237" s="153"/>
      <c r="BK3237" s="153"/>
      <c r="BL3237" s="153"/>
      <c r="BM3237" s="153"/>
      <c r="BN3237" s="153"/>
      <c r="BO3237" s="153"/>
      <c r="BP3237" s="153"/>
      <c r="BQ3237" s="153"/>
      <c r="BR3237" s="153"/>
      <c r="BS3237" s="153"/>
      <c r="BT3237" s="153"/>
      <c r="BU3237" s="153"/>
      <c r="BV3237" s="153"/>
      <c r="BW3237" s="153"/>
      <c r="BX3237" s="153"/>
      <c r="BY3237" s="153"/>
      <c r="BZ3237" s="153"/>
      <c r="CA3237" s="152"/>
      <c r="CB3237" s="152"/>
    </row>
    <row r="3238" spans="1:80" s="87" customFormat="1" ht="15" x14ac:dyDescent="0.25">
      <c r="A3238" s="152"/>
      <c r="B3238" s="683"/>
      <c r="C3238" s="683"/>
      <c r="D3238" s="698"/>
      <c r="E3238" s="215"/>
      <c r="F3238" s="215"/>
      <c r="G3238" s="153"/>
      <c r="H3238" s="153"/>
      <c r="I3238" s="320">
        <v>20</v>
      </c>
      <c r="J3238" s="320">
        <v>60</v>
      </c>
      <c r="K3238" s="222">
        <v>1</v>
      </c>
      <c r="L3238" s="658">
        <v>20</v>
      </c>
      <c r="M3238" s="663">
        <v>34865</v>
      </c>
      <c r="N3238" s="600">
        <v>144.678</v>
      </c>
      <c r="O3238" s="604">
        <v>1.6372999999999999E-2</v>
      </c>
      <c r="P3238" s="150"/>
      <c r="Q3238" s="250"/>
      <c r="R3238" s="250"/>
      <c r="S3238" s="250"/>
      <c r="T3238" s="250">
        <v>5.0000000000000001E-3</v>
      </c>
      <c r="U3238" s="250">
        <v>5.9000000000000004E-2</v>
      </c>
      <c r="V3238" s="250">
        <v>0.313</v>
      </c>
      <c r="W3238" s="250">
        <v>0.40200000000000002</v>
      </c>
      <c r="X3238" s="250">
        <v>0.21600000000000003</v>
      </c>
      <c r="Y3238" s="250">
        <v>5.0000000000000001E-3</v>
      </c>
      <c r="Z3238" s="150">
        <v>4</v>
      </c>
      <c r="AA3238" s="150">
        <v>0.81</v>
      </c>
      <c r="AB3238" s="152"/>
      <c r="AC3238" s="152"/>
      <c r="AD3238" s="223"/>
      <c r="AE3238" s="223"/>
      <c r="AF3238" s="223"/>
      <c r="AG3238" s="223"/>
      <c r="AH3238" s="341"/>
      <c r="AI3238" s="218"/>
      <c r="AJ3238" s="218"/>
      <c r="AK3238" s="153"/>
      <c r="AL3238" s="152"/>
      <c r="AM3238" s="152"/>
      <c r="AN3238" s="152"/>
      <c r="AO3238" s="152"/>
      <c r="AP3238" s="152"/>
      <c r="AQ3238" s="152"/>
      <c r="AR3238" s="152"/>
      <c r="AS3238" s="152"/>
      <c r="AT3238" s="152"/>
      <c r="AU3238" s="153"/>
      <c r="AV3238" s="479"/>
      <c r="AW3238" s="479"/>
      <c r="AX3238" s="442"/>
      <c r="AY3238" s="153"/>
      <c r="AZ3238" s="152"/>
      <c r="BA3238" s="152"/>
      <c r="BB3238" s="152"/>
      <c r="BC3238" s="152"/>
      <c r="BD3238" s="152"/>
      <c r="BE3238" s="152"/>
      <c r="BF3238" s="152"/>
      <c r="BG3238" s="152"/>
      <c r="BH3238" s="152"/>
      <c r="BI3238" s="153"/>
      <c r="BJ3238" s="153"/>
      <c r="BK3238" s="153"/>
      <c r="BL3238" s="153"/>
      <c r="BM3238" s="153"/>
      <c r="BN3238" s="153"/>
      <c r="BO3238" s="153"/>
      <c r="BP3238" s="153"/>
      <c r="BQ3238" s="153"/>
      <c r="BR3238" s="153"/>
      <c r="BS3238" s="153"/>
      <c r="BT3238" s="153"/>
      <c r="BU3238" s="153"/>
      <c r="BV3238" s="153"/>
      <c r="BW3238" s="153"/>
      <c r="BX3238" s="153"/>
      <c r="BY3238" s="153"/>
      <c r="BZ3238" s="153"/>
      <c r="CA3238" s="152"/>
      <c r="CB3238" s="152"/>
    </row>
    <row r="3239" spans="1:80" s="87" customFormat="1" ht="15" x14ac:dyDescent="0.25">
      <c r="A3239" s="152"/>
      <c r="B3239" s="683"/>
      <c r="C3239" s="683"/>
      <c r="D3239" s="698"/>
      <c r="E3239" s="215"/>
      <c r="F3239" s="215"/>
      <c r="G3239" s="153"/>
      <c r="H3239" s="153"/>
      <c r="I3239" s="320">
        <v>18</v>
      </c>
      <c r="J3239" s="320">
        <v>60</v>
      </c>
      <c r="K3239" s="222">
        <v>1</v>
      </c>
      <c r="L3239" s="658">
        <v>18</v>
      </c>
      <c r="M3239" s="663">
        <v>34869</v>
      </c>
      <c r="N3239" s="600">
        <v>131.93700000000001</v>
      </c>
      <c r="O3239" s="604">
        <v>7.7669999999999996E-3</v>
      </c>
      <c r="P3239" s="150"/>
      <c r="Q3239" s="250"/>
      <c r="R3239" s="250"/>
      <c r="S3239" s="250"/>
      <c r="T3239" s="250">
        <v>2.1000000000000001E-2</v>
      </c>
      <c r="U3239" s="250">
        <v>0.106</v>
      </c>
      <c r="V3239" s="250">
        <v>0.23399999999999999</v>
      </c>
      <c r="W3239" s="250">
        <v>0.41499999999999998</v>
      </c>
      <c r="X3239" s="250">
        <v>0.22399999999999998</v>
      </c>
      <c r="Y3239" s="250">
        <v>0</v>
      </c>
      <c r="Z3239" s="150">
        <v>6</v>
      </c>
      <c r="AA3239" s="150">
        <v>0.79</v>
      </c>
      <c r="AB3239" s="152"/>
      <c r="AC3239" s="152"/>
      <c r="AD3239" s="223"/>
      <c r="AE3239" s="223"/>
      <c r="AF3239" s="223"/>
      <c r="AG3239" s="223"/>
      <c r="AH3239" s="341"/>
      <c r="AI3239" s="218"/>
      <c r="AJ3239" s="218"/>
      <c r="AK3239" s="153"/>
      <c r="AL3239" s="152"/>
      <c r="AM3239" s="152"/>
      <c r="AN3239" s="152"/>
      <c r="AO3239" s="152"/>
      <c r="AP3239" s="152"/>
      <c r="AQ3239" s="152"/>
      <c r="AR3239" s="152"/>
      <c r="AS3239" s="152"/>
      <c r="AT3239" s="152"/>
      <c r="AU3239" s="153"/>
      <c r="AV3239" s="479"/>
      <c r="AW3239" s="479"/>
      <c r="AX3239" s="442"/>
      <c r="AY3239" s="153"/>
      <c r="AZ3239" s="152"/>
      <c r="BA3239" s="152"/>
      <c r="BB3239" s="152"/>
      <c r="BC3239" s="152"/>
      <c r="BD3239" s="152"/>
      <c r="BE3239" s="152"/>
      <c r="BF3239" s="152"/>
      <c r="BG3239" s="152"/>
      <c r="BH3239" s="152"/>
      <c r="BI3239" s="153"/>
      <c r="BJ3239" s="153"/>
      <c r="BK3239" s="153"/>
      <c r="BL3239" s="153"/>
      <c r="BM3239" s="153"/>
      <c r="BN3239" s="153"/>
      <c r="BO3239" s="153"/>
      <c r="BP3239" s="153"/>
      <c r="BQ3239" s="153"/>
      <c r="BR3239" s="153"/>
      <c r="BS3239" s="153"/>
      <c r="BT3239" s="153"/>
      <c r="BU3239" s="153"/>
      <c r="BV3239" s="153"/>
      <c r="BW3239" s="153"/>
      <c r="BX3239" s="153"/>
      <c r="BY3239" s="153"/>
      <c r="BZ3239" s="153"/>
      <c r="CA3239" s="152"/>
      <c r="CB3239" s="152"/>
    </row>
    <row r="3240" spans="1:80" s="87" customFormat="1" ht="15" x14ac:dyDescent="0.25">
      <c r="A3240" s="152"/>
      <c r="B3240" s="683"/>
      <c r="C3240" s="683"/>
      <c r="D3240" s="698"/>
      <c r="E3240" s="215"/>
      <c r="F3240" s="215"/>
      <c r="G3240" s="153"/>
      <c r="H3240" s="153"/>
      <c r="I3240" s="320">
        <v>18</v>
      </c>
      <c r="J3240" s="320">
        <v>60</v>
      </c>
      <c r="K3240" s="222">
        <v>1</v>
      </c>
      <c r="L3240" s="658">
        <v>18</v>
      </c>
      <c r="M3240" s="663">
        <v>34869</v>
      </c>
      <c r="N3240" s="600">
        <v>132.50299999999999</v>
      </c>
      <c r="O3240" s="604">
        <v>1.1021E-2</v>
      </c>
      <c r="P3240" s="150"/>
      <c r="Q3240" s="250"/>
      <c r="R3240" s="250"/>
      <c r="S3240" s="250"/>
      <c r="T3240" s="250"/>
      <c r="U3240" s="250">
        <v>6.6000000000000003E-2</v>
      </c>
      <c r="V3240" s="250">
        <v>0.24299999999999999</v>
      </c>
      <c r="W3240" s="250">
        <v>0.44799999999999995</v>
      </c>
      <c r="X3240" s="250">
        <v>0.24299999999999999</v>
      </c>
      <c r="Y3240" s="250">
        <v>0</v>
      </c>
      <c r="Z3240" s="150">
        <v>3</v>
      </c>
      <c r="AA3240" s="150">
        <v>0.74</v>
      </c>
      <c r="AB3240" s="152"/>
      <c r="AC3240" s="152"/>
      <c r="AD3240" s="223"/>
      <c r="AE3240" s="223"/>
      <c r="AF3240" s="223"/>
      <c r="AG3240" s="223"/>
      <c r="AH3240" s="341"/>
      <c r="AI3240" s="218"/>
      <c r="AJ3240" s="218"/>
      <c r="AK3240" s="153"/>
      <c r="AL3240" s="152"/>
      <c r="AM3240" s="152"/>
      <c r="AN3240" s="152"/>
      <c r="AO3240" s="152"/>
      <c r="AP3240" s="152"/>
      <c r="AQ3240" s="152"/>
      <c r="AR3240" s="152"/>
      <c r="AS3240" s="152"/>
      <c r="AT3240" s="152"/>
      <c r="AU3240" s="153"/>
      <c r="AV3240" s="479"/>
      <c r="AW3240" s="479"/>
      <c r="AX3240" s="442"/>
      <c r="AY3240" s="153"/>
      <c r="AZ3240" s="152"/>
      <c r="BA3240" s="152"/>
      <c r="BB3240" s="152"/>
      <c r="BC3240" s="152"/>
      <c r="BD3240" s="152"/>
      <c r="BE3240" s="152"/>
      <c r="BF3240" s="152"/>
      <c r="BG3240" s="152"/>
      <c r="BH3240" s="152"/>
      <c r="BI3240" s="153"/>
      <c r="BJ3240" s="153"/>
      <c r="BK3240" s="153"/>
      <c r="BL3240" s="153"/>
      <c r="BM3240" s="153"/>
      <c r="BN3240" s="153"/>
      <c r="BO3240" s="153"/>
      <c r="BP3240" s="153"/>
      <c r="BQ3240" s="153"/>
      <c r="BR3240" s="153"/>
      <c r="BS3240" s="153"/>
      <c r="BT3240" s="153"/>
      <c r="BU3240" s="153"/>
      <c r="BV3240" s="153"/>
      <c r="BW3240" s="153"/>
      <c r="BX3240" s="153"/>
      <c r="BY3240" s="153"/>
      <c r="BZ3240" s="153"/>
      <c r="CA3240" s="152"/>
      <c r="CB3240" s="152"/>
    </row>
    <row r="3241" spans="1:80" s="87" customFormat="1" ht="15" x14ac:dyDescent="0.25">
      <c r="A3241" s="152"/>
      <c r="B3241" s="683"/>
      <c r="C3241" s="683"/>
      <c r="D3241" s="698"/>
      <c r="E3241" s="215"/>
      <c r="F3241" s="215"/>
      <c r="G3241" s="153"/>
      <c r="H3241" s="153"/>
      <c r="I3241" s="320">
        <v>20</v>
      </c>
      <c r="J3241" s="320">
        <v>60</v>
      </c>
      <c r="K3241" s="222">
        <v>1</v>
      </c>
      <c r="L3241" s="658">
        <v>20</v>
      </c>
      <c r="M3241" s="663">
        <v>34872</v>
      </c>
      <c r="N3241" s="600">
        <v>127.407</v>
      </c>
      <c r="O3241" s="604">
        <v>1.9626999999999999E-2</v>
      </c>
      <c r="P3241" s="150"/>
      <c r="Q3241" s="250"/>
      <c r="R3241" s="250"/>
      <c r="S3241" s="250"/>
      <c r="T3241" s="250">
        <v>4.0000000000000001E-3</v>
      </c>
      <c r="U3241" s="250">
        <v>4.9000000000000002E-2</v>
      </c>
      <c r="V3241" s="250">
        <v>0.371</v>
      </c>
      <c r="W3241" s="250">
        <v>0.39200000000000002</v>
      </c>
      <c r="X3241" s="250">
        <v>0.18</v>
      </c>
      <c r="Y3241" s="250">
        <v>4.0000000000000001E-3</v>
      </c>
      <c r="Z3241" s="150">
        <v>5</v>
      </c>
      <c r="AA3241" s="150">
        <v>0.87</v>
      </c>
      <c r="AB3241" s="152"/>
      <c r="AC3241" s="152"/>
      <c r="AD3241" s="223"/>
      <c r="AE3241" s="223"/>
      <c r="AF3241" s="223"/>
      <c r="AG3241" s="223"/>
      <c r="AH3241" s="341"/>
      <c r="AI3241" s="218"/>
      <c r="AJ3241" s="218"/>
      <c r="AK3241" s="153"/>
      <c r="AL3241" s="152"/>
      <c r="AM3241" s="152"/>
      <c r="AN3241" s="152"/>
      <c r="AO3241" s="152"/>
      <c r="AP3241" s="152"/>
      <c r="AQ3241" s="152"/>
      <c r="AR3241" s="152"/>
      <c r="AS3241" s="152"/>
      <c r="AT3241" s="152"/>
      <c r="AU3241" s="153"/>
      <c r="AV3241" s="479"/>
      <c r="AW3241" s="479"/>
      <c r="AX3241" s="442"/>
      <c r="AY3241" s="153"/>
      <c r="AZ3241" s="152"/>
      <c r="BA3241" s="152"/>
      <c r="BB3241" s="152"/>
      <c r="BC3241" s="152"/>
      <c r="BD3241" s="152"/>
      <c r="BE3241" s="152"/>
      <c r="BF3241" s="152"/>
      <c r="BG3241" s="152"/>
      <c r="BH3241" s="152"/>
      <c r="BI3241" s="153"/>
      <c r="BJ3241" s="153"/>
      <c r="BK3241" s="153"/>
      <c r="BL3241" s="153"/>
      <c r="BM3241" s="153"/>
      <c r="BN3241" s="153"/>
      <c r="BO3241" s="153"/>
      <c r="BP3241" s="153"/>
      <c r="BQ3241" s="153"/>
      <c r="BR3241" s="153"/>
      <c r="BS3241" s="153"/>
      <c r="BT3241" s="153"/>
      <c r="BU3241" s="153"/>
      <c r="BV3241" s="153"/>
      <c r="BW3241" s="153"/>
      <c r="BX3241" s="153"/>
      <c r="BY3241" s="153"/>
      <c r="BZ3241" s="153"/>
      <c r="CA3241" s="152"/>
      <c r="CB3241" s="152"/>
    </row>
    <row r="3242" spans="1:80" s="87" customFormat="1" ht="15" x14ac:dyDescent="0.25">
      <c r="A3242" s="152"/>
      <c r="B3242" s="683"/>
      <c r="C3242" s="683"/>
      <c r="D3242" s="698"/>
      <c r="E3242" s="215"/>
      <c r="F3242" s="215"/>
      <c r="G3242" s="153"/>
      <c r="H3242" s="153"/>
      <c r="I3242" s="320">
        <v>20</v>
      </c>
      <c r="J3242" s="320">
        <v>60</v>
      </c>
      <c r="K3242" s="222">
        <v>1</v>
      </c>
      <c r="L3242" s="658">
        <v>20</v>
      </c>
      <c r="M3242" s="663">
        <v>34872</v>
      </c>
      <c r="N3242" s="600">
        <v>126.55800000000001</v>
      </c>
      <c r="O3242" s="604">
        <v>1.2805E-2</v>
      </c>
      <c r="P3242" s="150"/>
      <c r="Q3242" s="250"/>
      <c r="R3242" s="250"/>
      <c r="S3242" s="250"/>
      <c r="T3242" s="250"/>
      <c r="U3242" s="250">
        <v>0.124</v>
      </c>
      <c r="V3242" s="250">
        <v>0.29799999999999999</v>
      </c>
      <c r="W3242" s="250">
        <v>0.373</v>
      </c>
      <c r="X3242" s="250">
        <v>0.19899999999999998</v>
      </c>
      <c r="Y3242" s="250">
        <v>6.0000000000000001E-3</v>
      </c>
      <c r="Z3242" s="150">
        <v>4</v>
      </c>
      <c r="AA3242" s="150">
        <v>0.87</v>
      </c>
      <c r="AB3242" s="152"/>
      <c r="AC3242" s="152"/>
      <c r="AD3242" s="223"/>
      <c r="AE3242" s="223"/>
      <c r="AF3242" s="223"/>
      <c r="AG3242" s="223"/>
      <c r="AH3242" s="341"/>
      <c r="AI3242" s="218"/>
      <c r="AJ3242" s="218"/>
      <c r="AK3242" s="153"/>
      <c r="AL3242" s="152"/>
      <c r="AM3242" s="152"/>
      <c r="AN3242" s="152"/>
      <c r="AO3242" s="152"/>
      <c r="AP3242" s="152"/>
      <c r="AQ3242" s="152"/>
      <c r="AR3242" s="152"/>
      <c r="AS3242" s="152"/>
      <c r="AT3242" s="152"/>
      <c r="AU3242" s="153"/>
      <c r="AV3242" s="479"/>
      <c r="AW3242" s="479"/>
      <c r="AX3242" s="442"/>
      <c r="AY3242" s="153"/>
      <c r="AZ3242" s="152"/>
      <c r="BA3242" s="152"/>
      <c r="BB3242" s="152"/>
      <c r="BC3242" s="152"/>
      <c r="BD3242" s="152"/>
      <c r="BE3242" s="152"/>
      <c r="BF3242" s="152"/>
      <c r="BG3242" s="152"/>
      <c r="BH3242" s="152"/>
      <c r="BI3242" s="153"/>
      <c r="BJ3242" s="153"/>
      <c r="BK3242" s="153"/>
      <c r="BL3242" s="153"/>
      <c r="BM3242" s="153"/>
      <c r="BN3242" s="153"/>
      <c r="BO3242" s="153"/>
      <c r="BP3242" s="153"/>
      <c r="BQ3242" s="153"/>
      <c r="BR3242" s="153"/>
      <c r="BS3242" s="153"/>
      <c r="BT3242" s="153"/>
      <c r="BU3242" s="153"/>
      <c r="BV3242" s="153"/>
      <c r="BW3242" s="153"/>
      <c r="BX3242" s="153"/>
      <c r="BY3242" s="153"/>
      <c r="BZ3242" s="153"/>
      <c r="CA3242" s="152"/>
      <c r="CB3242" s="152"/>
    </row>
    <row r="3243" spans="1:80" s="87" customFormat="1" ht="15" x14ac:dyDescent="0.25">
      <c r="A3243" s="152"/>
      <c r="B3243" s="683"/>
      <c r="C3243" s="683"/>
      <c r="D3243" s="698"/>
      <c r="E3243" s="215"/>
      <c r="F3243" s="215"/>
      <c r="G3243" s="153"/>
      <c r="H3243" s="153"/>
      <c r="I3243" s="320">
        <v>20</v>
      </c>
      <c r="J3243" s="320">
        <v>15</v>
      </c>
      <c r="K3243" s="222">
        <v>1</v>
      </c>
      <c r="L3243" s="658">
        <v>5</v>
      </c>
      <c r="M3243" s="663">
        <v>35034</v>
      </c>
      <c r="N3243" s="600">
        <v>954.13800000000003</v>
      </c>
      <c r="O3243" s="604">
        <v>26.134329999999999</v>
      </c>
      <c r="P3243" s="250">
        <v>6.8000000000000005E-2</v>
      </c>
      <c r="Q3243" s="250">
        <v>6.7000000000000004E-2</v>
      </c>
      <c r="R3243" s="250">
        <v>0.19</v>
      </c>
      <c r="S3243" s="250">
        <v>0.111</v>
      </c>
      <c r="T3243" s="250">
        <v>0.107</v>
      </c>
      <c r="U3243" s="250">
        <v>6.3E-2</v>
      </c>
      <c r="V3243" s="250">
        <v>0.105</v>
      </c>
      <c r="W3243" s="250">
        <v>0.13200000000000001</v>
      </c>
      <c r="X3243" s="250">
        <v>0.14699999999999999</v>
      </c>
      <c r="Y3243" s="250">
        <v>0.01</v>
      </c>
      <c r="Z3243" s="150">
        <v>74</v>
      </c>
      <c r="AA3243" s="150">
        <v>5.28</v>
      </c>
      <c r="AB3243" s="152"/>
      <c r="AC3243" s="152"/>
      <c r="AD3243" s="223"/>
      <c r="AE3243" s="223"/>
      <c r="AF3243" s="223"/>
      <c r="AG3243" s="223"/>
      <c r="AH3243" s="341"/>
      <c r="AI3243" s="218"/>
      <c r="AJ3243" s="218"/>
      <c r="AK3243" s="153"/>
      <c r="AL3243" s="152"/>
      <c r="AM3243" s="152"/>
      <c r="AN3243" s="152"/>
      <c r="AO3243" s="152"/>
      <c r="AP3243" s="152"/>
      <c r="AQ3243" s="152"/>
      <c r="AR3243" s="152"/>
      <c r="AS3243" s="152"/>
      <c r="AT3243" s="152"/>
      <c r="AU3243" s="153"/>
      <c r="AV3243" s="479"/>
      <c r="AW3243" s="479"/>
      <c r="AX3243" s="442"/>
      <c r="AY3243" s="153"/>
      <c r="AZ3243" s="152"/>
      <c r="BA3243" s="152"/>
      <c r="BB3243" s="152"/>
      <c r="BC3243" s="152"/>
      <c r="BD3243" s="152"/>
      <c r="BE3243" s="152"/>
      <c r="BF3243" s="152"/>
      <c r="BG3243" s="152"/>
      <c r="BH3243" s="152"/>
      <c r="BI3243" s="153"/>
      <c r="BJ3243" s="153"/>
      <c r="BK3243" s="153"/>
      <c r="BL3243" s="153"/>
      <c r="BM3243" s="153"/>
      <c r="BN3243" s="153"/>
      <c r="BO3243" s="153"/>
      <c r="BP3243" s="153"/>
      <c r="BQ3243" s="153"/>
      <c r="BR3243" s="153"/>
      <c r="BS3243" s="153"/>
      <c r="BT3243" s="153"/>
      <c r="BU3243" s="153"/>
      <c r="BV3243" s="153"/>
      <c r="BW3243" s="153"/>
      <c r="BX3243" s="153"/>
      <c r="BY3243" s="153"/>
      <c r="BZ3243" s="153"/>
      <c r="CA3243" s="152"/>
      <c r="CB3243" s="152"/>
    </row>
    <row r="3244" spans="1:80" s="87" customFormat="1" ht="15" x14ac:dyDescent="0.25">
      <c r="A3244" s="152"/>
      <c r="B3244" s="683"/>
      <c r="C3244" s="683"/>
      <c r="D3244" s="698"/>
      <c r="E3244" s="215"/>
      <c r="F3244" s="215"/>
      <c r="G3244" s="153"/>
      <c r="H3244" s="153"/>
      <c r="I3244" s="320">
        <v>20</v>
      </c>
      <c r="J3244" s="320">
        <v>15</v>
      </c>
      <c r="K3244" s="222">
        <v>1</v>
      </c>
      <c r="L3244" s="658">
        <v>5</v>
      </c>
      <c r="M3244" s="663">
        <v>35034</v>
      </c>
      <c r="N3244" s="600">
        <v>973.95699999999999</v>
      </c>
      <c r="O3244" s="604">
        <v>62.134630000000001</v>
      </c>
      <c r="P3244" s="250">
        <v>2.7000000000000003E-2</v>
      </c>
      <c r="Q3244" s="250">
        <v>0.157</v>
      </c>
      <c r="R3244" s="250">
        <v>0.11699999999999999</v>
      </c>
      <c r="S3244" s="250">
        <v>0.1</v>
      </c>
      <c r="T3244" s="250">
        <v>8.199999999999999E-2</v>
      </c>
      <c r="U3244" s="250">
        <v>0.11599999999999999</v>
      </c>
      <c r="V3244" s="250">
        <v>0.17699999999999999</v>
      </c>
      <c r="W3244" s="250">
        <v>0.14400000000000002</v>
      </c>
      <c r="X3244" s="250">
        <v>7.4999999999999997E-2</v>
      </c>
      <c r="Y3244" s="250">
        <v>5.0000000000000001E-3</v>
      </c>
      <c r="Z3244" s="150">
        <v>72</v>
      </c>
      <c r="AA3244" s="150">
        <v>3.61</v>
      </c>
      <c r="AB3244" s="152"/>
      <c r="AC3244" s="152"/>
      <c r="AD3244" s="223"/>
      <c r="AE3244" s="223"/>
      <c r="AF3244" s="223"/>
      <c r="AG3244" s="223"/>
      <c r="AH3244" s="341"/>
      <c r="AI3244" s="218"/>
      <c r="AJ3244" s="218"/>
      <c r="AK3244" s="153"/>
      <c r="AL3244" s="152"/>
      <c r="AM3244" s="152"/>
      <c r="AN3244" s="152"/>
      <c r="AO3244" s="152"/>
      <c r="AP3244" s="152"/>
      <c r="AQ3244" s="152"/>
      <c r="AR3244" s="152"/>
      <c r="AS3244" s="152"/>
      <c r="AT3244" s="152"/>
      <c r="AU3244" s="153"/>
      <c r="AV3244" s="479"/>
      <c r="AW3244" s="479"/>
      <c r="AX3244" s="442"/>
      <c r="AY3244" s="153"/>
      <c r="AZ3244" s="152"/>
      <c r="BA3244" s="152"/>
      <c r="BB3244" s="152"/>
      <c r="BC3244" s="152"/>
      <c r="BD3244" s="152"/>
      <c r="BE3244" s="152"/>
      <c r="BF3244" s="152"/>
      <c r="BG3244" s="152"/>
      <c r="BH3244" s="152"/>
      <c r="BI3244" s="153"/>
      <c r="BJ3244" s="153"/>
      <c r="BK3244" s="153"/>
      <c r="BL3244" s="153"/>
      <c r="BM3244" s="153"/>
      <c r="BN3244" s="153"/>
      <c r="BO3244" s="153"/>
      <c r="BP3244" s="153"/>
      <c r="BQ3244" s="153"/>
      <c r="BR3244" s="153"/>
      <c r="BS3244" s="153"/>
      <c r="BT3244" s="153"/>
      <c r="BU3244" s="153"/>
      <c r="BV3244" s="153"/>
      <c r="BW3244" s="153"/>
      <c r="BX3244" s="153"/>
      <c r="BY3244" s="153"/>
      <c r="BZ3244" s="153"/>
      <c r="CA3244" s="152"/>
      <c r="CB3244" s="152"/>
    </row>
    <row r="3245" spans="1:80" s="87" customFormat="1" ht="15" x14ac:dyDescent="0.25">
      <c r="A3245" s="152"/>
      <c r="B3245" s="683"/>
      <c r="C3245" s="683"/>
      <c r="D3245" s="698"/>
      <c r="E3245" s="215"/>
      <c r="F3245" s="215"/>
      <c r="G3245" s="153"/>
      <c r="H3245" s="153"/>
      <c r="I3245" s="320">
        <v>20</v>
      </c>
      <c r="J3245" s="320">
        <v>30</v>
      </c>
      <c r="K3245" s="222">
        <v>1</v>
      </c>
      <c r="L3245" s="658">
        <v>10</v>
      </c>
      <c r="M3245" s="663">
        <v>35037</v>
      </c>
      <c r="N3245" s="600">
        <v>416.197</v>
      </c>
      <c r="O3245" s="604">
        <v>2.2355870000000002</v>
      </c>
      <c r="P3245" s="150"/>
      <c r="Q3245" s="250">
        <v>9.9000000000000005E-2</v>
      </c>
      <c r="R3245" s="250">
        <v>4.0000000000000001E-3</v>
      </c>
      <c r="S3245" s="250">
        <v>1.1000000000000001E-2</v>
      </c>
      <c r="T3245" s="250">
        <v>1.4999999999999999E-2</v>
      </c>
      <c r="U3245" s="250">
        <v>4.2000000000000003E-2</v>
      </c>
      <c r="V3245" s="250">
        <v>0.21100000000000002</v>
      </c>
      <c r="W3245" s="250">
        <v>0.39</v>
      </c>
      <c r="X3245" s="250">
        <v>0.22600000000000001</v>
      </c>
      <c r="Y3245" s="250">
        <v>2E-3</v>
      </c>
      <c r="Z3245" s="150">
        <v>47</v>
      </c>
      <c r="AA3245" s="150">
        <v>0.81</v>
      </c>
      <c r="AB3245" s="152"/>
      <c r="AC3245" s="152"/>
      <c r="AD3245" s="223">
        <v>85.036410000000004</v>
      </c>
      <c r="AE3245" s="223">
        <v>2.6973915000000002</v>
      </c>
      <c r="AF3245" s="223">
        <v>229.44818000000001</v>
      </c>
      <c r="AG3245" s="223">
        <v>1.7647341000000001</v>
      </c>
      <c r="AH3245" s="341"/>
      <c r="AI3245" s="218"/>
      <c r="AJ3245" s="218"/>
      <c r="AK3245" s="153"/>
      <c r="AL3245" s="152"/>
      <c r="AM3245" s="152"/>
      <c r="AN3245" s="152"/>
      <c r="AO3245" s="152"/>
      <c r="AP3245" s="152"/>
      <c r="AQ3245" s="152"/>
      <c r="AR3245" s="152"/>
      <c r="AS3245" s="152"/>
      <c r="AT3245" s="152"/>
      <c r="AU3245" s="153"/>
      <c r="AV3245" s="479"/>
      <c r="AW3245" s="479"/>
      <c r="AX3245" s="442"/>
      <c r="AY3245" s="153"/>
      <c r="AZ3245" s="152"/>
      <c r="BA3245" s="152"/>
      <c r="BB3245" s="152"/>
      <c r="BC3245" s="152"/>
      <c r="BD3245" s="152"/>
      <c r="BE3245" s="152"/>
      <c r="BF3245" s="152"/>
      <c r="BG3245" s="152"/>
      <c r="BH3245" s="152"/>
      <c r="BI3245" s="153"/>
      <c r="BJ3245" s="153"/>
      <c r="BK3245" s="153"/>
      <c r="BL3245" s="153"/>
      <c r="BM3245" s="153"/>
      <c r="BN3245" s="153"/>
      <c r="BO3245" s="153"/>
      <c r="BP3245" s="153"/>
      <c r="BQ3245" s="153"/>
      <c r="BR3245" s="153"/>
      <c r="BS3245" s="153"/>
      <c r="BT3245" s="153"/>
      <c r="BU3245" s="153"/>
      <c r="BV3245" s="153"/>
      <c r="BW3245" s="153"/>
      <c r="BX3245" s="153"/>
      <c r="BY3245" s="153"/>
      <c r="BZ3245" s="153"/>
      <c r="CA3245" s="152"/>
      <c r="CB3245" s="152"/>
    </row>
    <row r="3246" spans="1:80" s="87" customFormat="1" ht="15" x14ac:dyDescent="0.25">
      <c r="A3246" s="152"/>
      <c r="B3246" s="683"/>
      <c r="C3246" s="683"/>
      <c r="D3246" s="698"/>
      <c r="E3246" s="215"/>
      <c r="F3246" s="215"/>
      <c r="G3246" s="153"/>
      <c r="H3246" s="153"/>
      <c r="I3246" s="320">
        <v>20</v>
      </c>
      <c r="J3246" s="320">
        <v>30</v>
      </c>
      <c r="K3246" s="222">
        <v>1</v>
      </c>
      <c r="L3246" s="658">
        <v>10</v>
      </c>
      <c r="M3246" s="663">
        <v>35037</v>
      </c>
      <c r="N3246" s="600">
        <v>419.02800000000002</v>
      </c>
      <c r="O3246" s="604">
        <v>1.0600670000000001</v>
      </c>
      <c r="P3246" s="150"/>
      <c r="Q3246" s="250"/>
      <c r="R3246" s="250"/>
      <c r="S3246" s="250"/>
      <c r="T3246" s="250">
        <v>6.0000000000000001E-3</v>
      </c>
      <c r="U3246" s="250">
        <v>0.03</v>
      </c>
      <c r="V3246" s="250">
        <v>0.21899999999999997</v>
      </c>
      <c r="W3246" s="250">
        <v>0.44</v>
      </c>
      <c r="X3246" s="250">
        <v>0.29799999999999999</v>
      </c>
      <c r="Y3246" s="250">
        <v>6.9999999999999993E-3</v>
      </c>
      <c r="Z3246" s="150">
        <v>6</v>
      </c>
      <c r="AA3246" s="150">
        <v>0.68</v>
      </c>
      <c r="AB3246" s="152"/>
      <c r="AC3246" s="152"/>
      <c r="AD3246" s="223">
        <v>85.036410000000004</v>
      </c>
      <c r="AE3246" s="223">
        <v>2.6973915000000002</v>
      </c>
      <c r="AF3246" s="223">
        <v>229.44818000000001</v>
      </c>
      <c r="AG3246" s="223">
        <v>1.7647341000000001</v>
      </c>
      <c r="AH3246" s="341"/>
      <c r="AI3246" s="218"/>
      <c r="AJ3246" s="218"/>
      <c r="AK3246" s="153"/>
      <c r="AL3246" s="152"/>
      <c r="AM3246" s="152"/>
      <c r="AN3246" s="152"/>
      <c r="AO3246" s="152"/>
      <c r="AP3246" s="152"/>
      <c r="AQ3246" s="152"/>
      <c r="AR3246" s="152"/>
      <c r="AS3246" s="152"/>
      <c r="AT3246" s="152"/>
      <c r="AU3246" s="153"/>
      <c r="AV3246" s="479"/>
      <c r="AW3246" s="479"/>
      <c r="AX3246" s="442"/>
      <c r="AY3246" s="153"/>
      <c r="AZ3246" s="152"/>
      <c r="BA3246" s="152"/>
      <c r="BB3246" s="152"/>
      <c r="BC3246" s="152"/>
      <c r="BD3246" s="152"/>
      <c r="BE3246" s="152"/>
      <c r="BF3246" s="152"/>
      <c r="BG3246" s="152"/>
      <c r="BH3246" s="152"/>
      <c r="BI3246" s="153"/>
      <c r="BJ3246" s="153"/>
      <c r="BK3246" s="153"/>
      <c r="BL3246" s="153"/>
      <c r="BM3246" s="153"/>
      <c r="BN3246" s="153"/>
      <c r="BO3246" s="153"/>
      <c r="BP3246" s="153"/>
      <c r="BQ3246" s="153"/>
      <c r="BR3246" s="153"/>
      <c r="BS3246" s="153"/>
      <c r="BT3246" s="153"/>
      <c r="BU3246" s="153"/>
      <c r="BV3246" s="153"/>
      <c r="BW3246" s="153"/>
      <c r="BX3246" s="153"/>
      <c r="BY3246" s="153"/>
      <c r="BZ3246" s="153"/>
      <c r="CA3246" s="152"/>
      <c r="CB3246" s="152"/>
    </row>
    <row r="3247" spans="1:80" s="87" customFormat="1" ht="15" x14ac:dyDescent="0.25">
      <c r="A3247" s="152"/>
      <c r="B3247" s="683"/>
      <c r="C3247" s="683"/>
      <c r="D3247" s="698"/>
      <c r="E3247" s="215"/>
      <c r="F3247" s="215"/>
      <c r="G3247" s="153"/>
      <c r="H3247" s="153"/>
      <c r="I3247" s="320">
        <v>20</v>
      </c>
      <c r="J3247" s="320">
        <v>250</v>
      </c>
      <c r="K3247" s="222">
        <v>1</v>
      </c>
      <c r="L3247" s="658">
        <v>83.333333333333329</v>
      </c>
      <c r="M3247" s="663">
        <v>35567</v>
      </c>
      <c r="N3247" s="600">
        <v>928.65700000000004</v>
      </c>
      <c r="O3247" s="604">
        <v>2.319553</v>
      </c>
      <c r="P3247" s="150"/>
      <c r="Q3247" s="250">
        <v>0.439</v>
      </c>
      <c r="R3247" s="250">
        <v>8.900000000000001E-2</v>
      </c>
      <c r="S3247" s="250">
        <v>1.4999999999999999E-2</v>
      </c>
      <c r="T3247" s="250">
        <v>1.1000000000000001E-2</v>
      </c>
      <c r="U3247" s="250">
        <v>3.7000000000000005E-2</v>
      </c>
      <c r="V3247" s="250">
        <v>9.5000000000000001E-2</v>
      </c>
      <c r="W3247" s="250">
        <v>0.20699999999999999</v>
      </c>
      <c r="X3247" s="250">
        <v>0.105</v>
      </c>
      <c r="Y3247" s="250">
        <v>2E-3</v>
      </c>
      <c r="Z3247" s="150">
        <v>55</v>
      </c>
      <c r="AA3247" s="150">
        <v>19.899999999999999</v>
      </c>
      <c r="AB3247" s="152"/>
      <c r="AC3247" s="152"/>
      <c r="AD3247" s="223">
        <v>90.827420000000004</v>
      </c>
      <c r="AE3247" s="223">
        <v>3.8555934999999999</v>
      </c>
      <c r="AF3247" s="223">
        <v>350.21037999999999</v>
      </c>
      <c r="AG3247" s="223">
        <v>2.6272897999999998</v>
      </c>
      <c r="AH3247" s="341"/>
      <c r="AI3247" s="218"/>
      <c r="AJ3247" s="218"/>
      <c r="AK3247" s="153"/>
      <c r="AL3247" s="152"/>
      <c r="AM3247" s="152"/>
      <c r="AN3247" s="152"/>
      <c r="AO3247" s="152"/>
      <c r="AP3247" s="152"/>
      <c r="AQ3247" s="152"/>
      <c r="AR3247" s="152"/>
      <c r="AS3247" s="152"/>
      <c r="AT3247" s="152"/>
      <c r="AU3247" s="153"/>
      <c r="AV3247" s="479"/>
      <c r="AW3247" s="479"/>
      <c r="AX3247" s="442"/>
      <c r="AY3247" s="153"/>
      <c r="AZ3247" s="152"/>
      <c r="BA3247" s="152"/>
      <c r="BB3247" s="152"/>
      <c r="BC3247" s="152"/>
      <c r="BD3247" s="152"/>
      <c r="BE3247" s="152"/>
      <c r="BF3247" s="152"/>
      <c r="BG3247" s="152"/>
      <c r="BH3247" s="152"/>
      <c r="BI3247" s="153"/>
      <c r="BJ3247" s="153"/>
      <c r="BK3247" s="153"/>
      <c r="BL3247" s="153"/>
      <c r="BM3247" s="153"/>
      <c r="BN3247" s="153"/>
      <c r="BO3247" s="153"/>
      <c r="BP3247" s="153"/>
      <c r="BQ3247" s="153"/>
      <c r="BR3247" s="153"/>
      <c r="BS3247" s="153"/>
      <c r="BT3247" s="153"/>
      <c r="BU3247" s="153"/>
      <c r="BV3247" s="153"/>
      <c r="BW3247" s="153"/>
      <c r="BX3247" s="153"/>
      <c r="BY3247" s="153"/>
      <c r="BZ3247" s="153"/>
      <c r="CA3247" s="152"/>
      <c r="CB3247" s="152"/>
    </row>
    <row r="3248" spans="1:80" s="87" customFormat="1" ht="15" x14ac:dyDescent="0.25">
      <c r="A3248" s="152"/>
      <c r="B3248" s="683"/>
      <c r="C3248" s="683"/>
      <c r="D3248" s="698"/>
      <c r="E3248" s="215"/>
      <c r="F3248" s="215"/>
      <c r="G3248" s="153"/>
      <c r="H3248" s="153"/>
      <c r="I3248" s="320">
        <v>20</v>
      </c>
      <c r="J3248" s="320">
        <v>250</v>
      </c>
      <c r="K3248" s="222">
        <v>1</v>
      </c>
      <c r="L3248" s="658">
        <v>83.333333333333329</v>
      </c>
      <c r="M3248" s="663">
        <v>35567</v>
      </c>
      <c r="N3248" s="600">
        <v>917.33199999999999</v>
      </c>
      <c r="O3248" s="604">
        <v>4.4396870000000002</v>
      </c>
      <c r="P3248" s="150"/>
      <c r="Q3248" s="250">
        <v>0.16500000000000001</v>
      </c>
      <c r="R3248" s="250">
        <v>0.159</v>
      </c>
      <c r="S3248" s="250">
        <v>9.8000000000000004E-2</v>
      </c>
      <c r="T3248" s="250">
        <v>6.9000000000000006E-2</v>
      </c>
      <c r="U3248" s="250">
        <v>0.10800000000000001</v>
      </c>
      <c r="V3248" s="250">
        <v>0.14199999999999999</v>
      </c>
      <c r="W3248" s="250">
        <v>0.16600000000000001</v>
      </c>
      <c r="X3248" s="250">
        <v>8.900000000000001E-2</v>
      </c>
      <c r="Y3248" s="250">
        <v>4.0000000000000001E-3</v>
      </c>
      <c r="Z3248" s="150">
        <v>40</v>
      </c>
      <c r="AA3248" s="150">
        <v>3.78</v>
      </c>
      <c r="AB3248" s="835"/>
      <c r="AC3248" s="152"/>
      <c r="AD3248" s="223">
        <v>90.827420000000004</v>
      </c>
      <c r="AE3248" s="223">
        <v>3.8555934999999999</v>
      </c>
      <c r="AF3248" s="223">
        <v>350.21037999999999</v>
      </c>
      <c r="AG3248" s="223">
        <v>2.6272897999999998</v>
      </c>
      <c r="AH3248" s="341"/>
      <c r="AI3248" s="218"/>
      <c r="AJ3248" s="218"/>
      <c r="AK3248" s="153"/>
      <c r="AL3248" s="152"/>
      <c r="AM3248" s="152"/>
      <c r="AN3248" s="152"/>
      <c r="AO3248" s="152"/>
      <c r="AP3248" s="152"/>
      <c r="AQ3248" s="152"/>
      <c r="AR3248" s="152"/>
      <c r="AS3248" s="152"/>
      <c r="AT3248" s="152"/>
      <c r="AU3248" s="153"/>
      <c r="AV3248" s="479"/>
      <c r="AW3248" s="479"/>
      <c r="AX3248" s="442"/>
      <c r="AY3248" s="153"/>
      <c r="AZ3248" s="152"/>
      <c r="BA3248" s="152"/>
      <c r="BB3248" s="152"/>
      <c r="BC3248" s="152"/>
      <c r="BD3248" s="152"/>
      <c r="BE3248" s="152"/>
      <c r="BF3248" s="152"/>
      <c r="BG3248" s="152"/>
      <c r="BH3248" s="152"/>
      <c r="BI3248" s="153"/>
      <c r="BJ3248" s="153"/>
      <c r="BK3248" s="153"/>
      <c r="BL3248" s="153"/>
      <c r="BM3248" s="153"/>
      <c r="BN3248" s="153"/>
      <c r="BO3248" s="153"/>
      <c r="BP3248" s="153"/>
      <c r="BQ3248" s="153"/>
      <c r="BR3248" s="153"/>
      <c r="BS3248" s="153"/>
      <c r="BT3248" s="153"/>
      <c r="BU3248" s="153"/>
      <c r="BV3248" s="153"/>
      <c r="BW3248" s="153"/>
      <c r="BX3248" s="153"/>
      <c r="BY3248" s="153"/>
      <c r="BZ3248" s="153"/>
      <c r="CA3248" s="152"/>
      <c r="CB3248" s="152"/>
    </row>
    <row r="3249" spans="1:80" ht="15" x14ac:dyDescent="0.25">
      <c r="A3249" s="9" t="s">
        <v>199</v>
      </c>
      <c r="B3249" s="639" t="s">
        <v>66</v>
      </c>
      <c r="C3249" s="639"/>
      <c r="D3249" s="4">
        <f>VLOOKUP(E3249,'Quality Code'!D4:E24,2,TRUE)*VLOOKUP(MROUND(F3249,10),'Quality Code'!D28:E69,2,TRUE)*VLOOKUP(COUNTA(CB3249:CB3259),'Quality Code'!D73:E93,2,TRUE)</f>
        <v>4.5</v>
      </c>
      <c r="E3249" s="14">
        <v>0.9</v>
      </c>
      <c r="F3249" s="18">
        <v>190</v>
      </c>
      <c r="G3249" s="12">
        <v>279.69200000000001</v>
      </c>
      <c r="H3249" s="2" t="s">
        <v>231</v>
      </c>
      <c r="I3249" s="10"/>
      <c r="J3249" s="10" t="s">
        <v>283</v>
      </c>
      <c r="K3249" s="10"/>
      <c r="L3249" s="640" t="s">
        <v>284</v>
      </c>
      <c r="M3249" s="640" t="s">
        <v>886</v>
      </c>
      <c r="N3249" s="579" t="s">
        <v>296</v>
      </c>
      <c r="O3249" s="579"/>
      <c r="P3249" s="10" t="s">
        <v>64</v>
      </c>
      <c r="Q3249" s="10" t="s">
        <v>64</v>
      </c>
      <c r="R3249" s="10" t="s">
        <v>64</v>
      </c>
      <c r="S3249" s="10" t="s">
        <v>64</v>
      </c>
      <c r="T3249" s="10" t="s">
        <v>64</v>
      </c>
      <c r="U3249" s="10" t="s">
        <v>64</v>
      </c>
      <c r="V3249" s="10"/>
      <c r="W3249" s="10"/>
      <c r="X3249" s="10"/>
      <c r="Y3249" s="10"/>
      <c r="Z3249" s="11"/>
      <c r="AA3249" s="81"/>
      <c r="AB3249" s="81"/>
      <c r="AC3249" s="116">
        <v>1.0800000000000001E-2</v>
      </c>
      <c r="AD3249" s="11"/>
      <c r="AE3249" s="11"/>
      <c r="AF3249" s="10"/>
      <c r="AG3249" s="10"/>
      <c r="AH3249" s="345" t="s">
        <v>349</v>
      </c>
      <c r="AI3249" s="18">
        <v>15.6</v>
      </c>
      <c r="AJ3249" s="17">
        <v>0.97158999999999995</v>
      </c>
      <c r="AK3249" s="17">
        <v>0.8982</v>
      </c>
      <c r="AL3249" s="17">
        <v>0.78983000000000003</v>
      </c>
      <c r="AM3249" s="17">
        <v>0.65386</v>
      </c>
      <c r="AN3249" s="17">
        <v>0.50702999999999998</v>
      </c>
      <c r="AO3249" s="17">
        <v>0.33011000000000001</v>
      </c>
      <c r="AP3249" s="17">
        <v>0.18032999999999999</v>
      </c>
      <c r="AQ3249" s="17">
        <v>0.10091</v>
      </c>
      <c r="AR3249" s="17">
        <v>6.4659999999999995E-2</v>
      </c>
      <c r="AS3249" s="17">
        <v>3.6970000000000003E-2</v>
      </c>
      <c r="AT3249" s="17">
        <v>1.082E-2</v>
      </c>
      <c r="AU3249" s="18">
        <v>75</v>
      </c>
      <c r="AV3249" s="17">
        <v>1</v>
      </c>
      <c r="AW3249" s="17">
        <v>0.97670000000000001</v>
      </c>
      <c r="AX3249" s="17">
        <v>0.93410000000000004</v>
      </c>
      <c r="AY3249" s="17">
        <v>0.70740000000000003</v>
      </c>
      <c r="AZ3249" s="17">
        <v>0.45739999999999997</v>
      </c>
      <c r="BA3249" s="17">
        <v>0.28289999999999998</v>
      </c>
      <c r="BB3249" s="17">
        <v>0.18410000000000001</v>
      </c>
      <c r="BC3249" s="17">
        <v>0.1105</v>
      </c>
      <c r="BD3249" s="17">
        <v>8.3299999999999999E-2</v>
      </c>
      <c r="BE3249" s="17">
        <v>7.9500000000000001E-2</v>
      </c>
      <c r="BF3249" s="17"/>
      <c r="BG3249" s="17"/>
      <c r="BH3249" s="17"/>
      <c r="BI3249" s="4">
        <f>AU3249/AI3249</f>
        <v>4.8076923076923075</v>
      </c>
      <c r="BJ3249" s="2" t="s">
        <v>68</v>
      </c>
      <c r="BK3249" s="2" t="s">
        <v>175</v>
      </c>
      <c r="BL3249" s="12"/>
      <c r="BM3249" s="12">
        <v>17.723800000000001</v>
      </c>
      <c r="BN3249" s="12">
        <v>17.921652000000002</v>
      </c>
      <c r="BO3249" s="12">
        <v>0.67968170000000006</v>
      </c>
      <c r="BP3249" s="12">
        <v>12.169114</v>
      </c>
      <c r="BQ3249" s="12">
        <f>BN3249/BO3249</f>
        <v>26.367713004484305</v>
      </c>
      <c r="BR3249" s="12" t="s">
        <v>276</v>
      </c>
      <c r="BS3249" s="12"/>
      <c r="BT3249" s="12">
        <v>1.0058069999999999</v>
      </c>
      <c r="BU3249" s="2"/>
      <c r="BV3249" s="2"/>
      <c r="BW3249" s="2"/>
      <c r="BX3249" s="2"/>
      <c r="BY3249" s="2" t="s">
        <v>592</v>
      </c>
      <c r="BZ3249" s="2"/>
      <c r="CA3249" s="381"/>
      <c r="CB3249" s="9" t="s">
        <v>224</v>
      </c>
    </row>
    <row r="3250" spans="1:80" s="87" customFormat="1" x14ac:dyDescent="0.2">
      <c r="A3250" s="152"/>
      <c r="B3250" s="683"/>
      <c r="C3250" s="683"/>
      <c r="D3250" s="698"/>
      <c r="E3250" s="215"/>
      <c r="F3250" s="215"/>
      <c r="G3250" s="153"/>
      <c r="H3250" s="153"/>
      <c r="I3250" s="321">
        <v>20</v>
      </c>
      <c r="J3250" s="321">
        <v>30</v>
      </c>
      <c r="K3250" s="150">
        <v>1</v>
      </c>
      <c r="L3250" s="664">
        <v>10</v>
      </c>
      <c r="M3250" s="663">
        <v>31531</v>
      </c>
      <c r="N3250" s="600">
        <v>6.7384199999999996</v>
      </c>
      <c r="O3250" s="604">
        <v>1.1E-4</v>
      </c>
      <c r="P3250" s="150"/>
      <c r="Q3250" s="250"/>
      <c r="R3250" s="250"/>
      <c r="S3250" s="250"/>
      <c r="T3250" s="250"/>
      <c r="U3250" s="250"/>
      <c r="V3250" s="250"/>
      <c r="W3250" s="250"/>
      <c r="X3250" s="250"/>
      <c r="Y3250" s="250"/>
      <c r="Z3250" s="150"/>
      <c r="AA3250" s="150">
        <v>1.4</v>
      </c>
      <c r="AB3250" s="152"/>
      <c r="AC3250" s="152"/>
      <c r="AD3250" s="223">
        <v>17.677820000000001</v>
      </c>
      <c r="AE3250" s="223">
        <v>0.44499339999999998</v>
      </c>
      <c r="AF3250" s="223">
        <v>7.8402535999999996</v>
      </c>
      <c r="AG3250" s="223">
        <v>0.86560360000000003</v>
      </c>
      <c r="AH3250" s="341" t="s">
        <v>350</v>
      </c>
      <c r="AI3250" s="218"/>
      <c r="AJ3250" s="218"/>
      <c r="AK3250" s="153"/>
      <c r="AL3250" s="152"/>
      <c r="AM3250" s="152"/>
      <c r="AN3250" s="152"/>
      <c r="AO3250" s="152"/>
      <c r="AP3250" s="152"/>
      <c r="AQ3250" s="152"/>
      <c r="AR3250" s="152"/>
      <c r="AS3250" s="152"/>
      <c r="AT3250" s="152"/>
      <c r="AU3250" s="153"/>
      <c r="AV3250" s="479"/>
      <c r="AW3250" s="479"/>
      <c r="AX3250" s="442"/>
      <c r="AY3250" s="153"/>
      <c r="AZ3250" s="152"/>
      <c r="BA3250" s="152"/>
      <c r="BB3250" s="152"/>
      <c r="BC3250" s="152"/>
      <c r="BD3250" s="152"/>
      <c r="BE3250" s="152"/>
      <c r="BF3250" s="152"/>
      <c r="BG3250" s="152"/>
      <c r="BH3250" s="152"/>
      <c r="BI3250" s="153"/>
      <c r="BJ3250" s="153"/>
      <c r="BK3250" s="153"/>
      <c r="BL3250" s="153"/>
      <c r="BM3250" s="153"/>
      <c r="BN3250" s="153"/>
      <c r="BO3250" s="153"/>
      <c r="BP3250" s="153"/>
      <c r="BQ3250" s="153"/>
      <c r="BR3250" s="153"/>
      <c r="BS3250" s="153"/>
      <c r="BT3250" s="153"/>
      <c r="BU3250" s="153"/>
      <c r="BV3250" s="153"/>
      <c r="BW3250" s="153"/>
      <c r="BX3250" s="153"/>
      <c r="BY3250" s="153"/>
      <c r="BZ3250" s="153"/>
      <c r="CA3250" s="152"/>
      <c r="CB3250" s="154" t="s">
        <v>597</v>
      </c>
    </row>
    <row r="3251" spans="1:80" s="87" customFormat="1" ht="15" x14ac:dyDescent="0.2">
      <c r="A3251" s="152"/>
      <c r="B3251" s="683"/>
      <c r="C3251" s="683"/>
      <c r="D3251" s="698"/>
      <c r="E3251" s="215"/>
      <c r="F3251" s="215"/>
      <c r="G3251" s="153"/>
      <c r="H3251" s="153"/>
      <c r="I3251" s="321">
        <v>20</v>
      </c>
      <c r="J3251" s="321">
        <v>30</v>
      </c>
      <c r="K3251" s="150">
        <v>1</v>
      </c>
      <c r="L3251" s="664">
        <v>10</v>
      </c>
      <c r="M3251" s="663">
        <v>31566</v>
      </c>
      <c r="N3251" s="600">
        <v>30.860800000000001</v>
      </c>
      <c r="O3251" s="604">
        <v>2.0991430000000002</v>
      </c>
      <c r="P3251" s="150"/>
      <c r="Q3251" s="250"/>
      <c r="R3251" s="250"/>
      <c r="S3251" s="250"/>
      <c r="T3251" s="250"/>
      <c r="U3251" s="250"/>
      <c r="V3251" s="250"/>
      <c r="W3251" s="250"/>
      <c r="X3251" s="250"/>
      <c r="Y3251" s="250"/>
      <c r="Z3251" s="150"/>
      <c r="AA3251" s="150">
        <v>16.100000000000001</v>
      </c>
      <c r="AB3251" s="152"/>
      <c r="AC3251" s="152"/>
      <c r="AD3251" s="223"/>
      <c r="AE3251" s="223"/>
      <c r="AF3251" s="223"/>
      <c r="AG3251" s="223"/>
      <c r="AH3251" s="341" t="s">
        <v>351</v>
      </c>
      <c r="AI3251" s="218"/>
      <c r="AJ3251" s="218"/>
      <c r="AK3251" s="153"/>
      <c r="AL3251" s="152"/>
      <c r="AM3251" s="152"/>
      <c r="AN3251" s="152"/>
      <c r="AO3251" s="152"/>
      <c r="AP3251" s="152"/>
      <c r="AQ3251" s="152"/>
      <c r="AR3251" s="152"/>
      <c r="AS3251" s="152"/>
      <c r="AT3251" s="152"/>
      <c r="AU3251" s="153"/>
      <c r="AV3251" s="479"/>
      <c r="AW3251" s="479"/>
      <c r="AX3251" s="442"/>
      <c r="AY3251" s="153"/>
      <c r="AZ3251" s="152"/>
      <c r="BA3251" s="152"/>
      <c r="BB3251" s="152"/>
      <c r="BC3251" s="152"/>
      <c r="BD3251" s="152"/>
      <c r="BE3251" s="152"/>
      <c r="BF3251" s="152"/>
      <c r="BG3251" s="152"/>
      <c r="BH3251" s="152"/>
      <c r="BI3251" s="153"/>
      <c r="BJ3251" s="153"/>
      <c r="BK3251" s="153"/>
      <c r="BL3251" s="153"/>
      <c r="BM3251" s="153"/>
      <c r="BN3251" s="153"/>
      <c r="BO3251" s="153"/>
      <c r="BP3251" s="153"/>
      <c r="BQ3251" s="153"/>
      <c r="BR3251" s="153"/>
      <c r="BS3251" s="153"/>
      <c r="BT3251" s="153"/>
      <c r="BU3251" s="153"/>
      <c r="BV3251" s="153"/>
      <c r="BW3251" s="153"/>
      <c r="BX3251" s="153"/>
      <c r="BY3251" s="153"/>
      <c r="BZ3251" s="153"/>
      <c r="CA3251" s="152"/>
      <c r="CB3251" s="486" t="s">
        <v>638</v>
      </c>
    </row>
    <row r="3252" spans="1:80" s="87" customFormat="1" ht="15" x14ac:dyDescent="0.2">
      <c r="A3252" s="152"/>
      <c r="B3252" s="683"/>
      <c r="C3252" s="683"/>
      <c r="D3252" s="698"/>
      <c r="E3252" s="215"/>
      <c r="F3252" s="215"/>
      <c r="G3252" s="153"/>
      <c r="H3252" s="153"/>
      <c r="I3252" s="321">
        <v>20</v>
      </c>
      <c r="J3252" s="321">
        <v>30</v>
      </c>
      <c r="K3252" s="150">
        <v>1</v>
      </c>
      <c r="L3252" s="664">
        <v>10</v>
      </c>
      <c r="M3252" s="663">
        <v>31569</v>
      </c>
      <c r="N3252" s="600">
        <v>28.0579</v>
      </c>
      <c r="O3252" s="604">
        <v>0.39673799999999998</v>
      </c>
      <c r="P3252" s="150"/>
      <c r="Q3252" s="250"/>
      <c r="R3252" s="250"/>
      <c r="S3252" s="250"/>
      <c r="T3252" s="250"/>
      <c r="U3252" s="250"/>
      <c r="V3252" s="250"/>
      <c r="W3252" s="250"/>
      <c r="X3252" s="250"/>
      <c r="Y3252" s="250"/>
      <c r="Z3252" s="150"/>
      <c r="AA3252" s="150">
        <v>2.78</v>
      </c>
      <c r="AB3252" s="152"/>
      <c r="AC3252" s="152"/>
      <c r="AD3252" s="223"/>
      <c r="AE3252" s="223"/>
      <c r="AF3252" s="223"/>
      <c r="AG3252" s="223"/>
      <c r="AH3252" s="341"/>
      <c r="AI3252" s="218"/>
      <c r="AJ3252" s="218"/>
      <c r="AK3252" s="153"/>
      <c r="AL3252" s="152"/>
      <c r="AM3252" s="152"/>
      <c r="AN3252" s="152"/>
      <c r="AO3252" s="152"/>
      <c r="AP3252" s="152"/>
      <c r="AQ3252" s="152"/>
      <c r="AR3252" s="152"/>
      <c r="AS3252" s="152"/>
      <c r="AT3252" s="152"/>
      <c r="AU3252" s="153"/>
      <c r="AV3252" s="479"/>
      <c r="AW3252" s="479"/>
      <c r="AX3252" s="442"/>
      <c r="AY3252" s="153"/>
      <c r="AZ3252" s="152"/>
      <c r="BA3252" s="152"/>
      <c r="BB3252" s="152"/>
      <c r="BC3252" s="152"/>
      <c r="BD3252" s="152"/>
      <c r="BE3252" s="152"/>
      <c r="BF3252" s="152"/>
      <c r="BG3252" s="152"/>
      <c r="BH3252" s="152"/>
      <c r="BI3252" s="153"/>
      <c r="BJ3252" s="153"/>
      <c r="BK3252" s="153"/>
      <c r="BL3252" s="153"/>
      <c r="BM3252" s="153"/>
      <c r="BN3252" s="153"/>
      <c r="BO3252" s="153"/>
      <c r="BP3252" s="153"/>
      <c r="BQ3252" s="153"/>
      <c r="BR3252" s="153"/>
      <c r="BS3252" s="153"/>
      <c r="BT3252" s="153"/>
      <c r="BU3252" s="153"/>
      <c r="BV3252" s="153"/>
      <c r="BW3252" s="153"/>
      <c r="BX3252" s="153"/>
      <c r="BY3252" s="153"/>
      <c r="BZ3252" s="153"/>
      <c r="CA3252" s="152"/>
      <c r="CB3252" s="486" t="s">
        <v>639</v>
      </c>
    </row>
    <row r="3253" spans="1:80" s="87" customFormat="1" ht="15" x14ac:dyDescent="0.2">
      <c r="A3253" s="152"/>
      <c r="B3253" s="683"/>
      <c r="C3253" s="683"/>
      <c r="D3253" s="698"/>
      <c r="E3253" s="215"/>
      <c r="F3253" s="215"/>
      <c r="G3253" s="153"/>
      <c r="H3253" s="153"/>
      <c r="I3253" s="321">
        <v>20</v>
      </c>
      <c r="J3253" s="321">
        <v>30</v>
      </c>
      <c r="K3253" s="150">
        <v>1</v>
      </c>
      <c r="L3253" s="664">
        <v>10</v>
      </c>
      <c r="M3253" s="663">
        <v>31590</v>
      </c>
      <c r="N3253" s="600">
        <v>7.6727400000000001</v>
      </c>
      <c r="O3253" s="604">
        <v>4.0299999999999997E-3</v>
      </c>
      <c r="P3253" s="150"/>
      <c r="Q3253" s="250"/>
      <c r="R3253" s="250"/>
      <c r="S3253" s="250"/>
      <c r="T3253" s="250"/>
      <c r="U3253" s="250"/>
      <c r="V3253" s="250"/>
      <c r="W3253" s="250"/>
      <c r="X3253" s="250"/>
      <c r="Y3253" s="250"/>
      <c r="Z3253" s="150"/>
      <c r="AA3253" s="150">
        <v>1.95</v>
      </c>
      <c r="AB3253" s="152"/>
      <c r="AC3253" s="152"/>
      <c r="AD3253" s="223">
        <v>17.37303</v>
      </c>
      <c r="AE3253" s="223">
        <v>0.5272867</v>
      </c>
      <c r="AF3253" s="223">
        <v>9.1779271999999992</v>
      </c>
      <c r="AG3253" s="223">
        <v>0.89913050000000005</v>
      </c>
      <c r="AH3253" s="341"/>
      <c r="AI3253" s="218"/>
      <c r="AJ3253" s="218"/>
      <c r="AK3253" s="153"/>
      <c r="AL3253" s="152"/>
      <c r="AM3253" s="152"/>
      <c r="AN3253" s="152"/>
      <c r="AO3253" s="152"/>
      <c r="AP3253" s="152"/>
      <c r="AQ3253" s="152"/>
      <c r="AR3253" s="152"/>
      <c r="AS3253" s="152"/>
      <c r="AT3253" s="152"/>
      <c r="AU3253" s="153"/>
      <c r="AV3253" s="479"/>
      <c r="AW3253" s="479"/>
      <c r="AX3253" s="442"/>
      <c r="AY3253" s="153"/>
      <c r="AZ3253" s="152"/>
      <c r="BA3253" s="152"/>
      <c r="BB3253" s="152"/>
      <c r="BC3253" s="152"/>
      <c r="BD3253" s="152"/>
      <c r="BE3253" s="152"/>
      <c r="BF3253" s="152"/>
      <c r="BG3253" s="152"/>
      <c r="BH3253" s="152"/>
      <c r="BI3253" s="153"/>
      <c r="BJ3253" s="153"/>
      <c r="BK3253" s="153"/>
      <c r="BL3253" s="153"/>
      <c r="BM3253" s="153"/>
      <c r="BN3253" s="153"/>
      <c r="BO3253" s="153"/>
      <c r="BP3253" s="153"/>
      <c r="BQ3253" s="153"/>
      <c r="BR3253" s="153"/>
      <c r="BS3253" s="153"/>
      <c r="BT3253" s="153"/>
      <c r="BU3253" s="153"/>
      <c r="BV3253" s="153"/>
      <c r="BW3253" s="153"/>
      <c r="BX3253" s="153"/>
      <c r="BY3253" s="153"/>
      <c r="BZ3253" s="153"/>
      <c r="CA3253" s="152"/>
      <c r="CB3253" s="486" t="s">
        <v>640</v>
      </c>
    </row>
    <row r="3254" spans="1:80" s="87" customFormat="1" x14ac:dyDescent="0.2">
      <c r="A3254" s="152"/>
      <c r="B3254" s="683"/>
      <c r="C3254" s="683"/>
      <c r="D3254" s="698"/>
      <c r="E3254" s="215"/>
      <c r="F3254" s="215"/>
      <c r="G3254" s="153"/>
      <c r="H3254" s="153"/>
      <c r="I3254" s="321">
        <v>24</v>
      </c>
      <c r="J3254" s="321">
        <v>30</v>
      </c>
      <c r="K3254" s="150">
        <v>1</v>
      </c>
      <c r="L3254" s="664">
        <v>12</v>
      </c>
      <c r="M3254" s="663">
        <v>31891</v>
      </c>
      <c r="N3254" s="600">
        <v>3.7938999999999998</v>
      </c>
      <c r="O3254" s="604">
        <v>7.7800000000000005E-4</v>
      </c>
      <c r="P3254" s="150"/>
      <c r="Q3254" s="250"/>
      <c r="R3254" s="250"/>
      <c r="S3254" s="250"/>
      <c r="T3254" s="250"/>
      <c r="U3254" s="250"/>
      <c r="V3254" s="250"/>
      <c r="W3254" s="250"/>
      <c r="X3254" s="250"/>
      <c r="Y3254" s="250"/>
      <c r="Z3254" s="150"/>
      <c r="AA3254" s="150">
        <v>0.71</v>
      </c>
      <c r="AB3254" s="152"/>
      <c r="AC3254" s="152"/>
      <c r="AD3254" s="223">
        <v>15.2395</v>
      </c>
      <c r="AE3254" s="223">
        <v>0.35965219999999998</v>
      </c>
      <c r="AF3254" s="223">
        <v>5.4621671999999997</v>
      </c>
      <c r="AG3254" s="223">
        <v>0.69492120000000002</v>
      </c>
      <c r="AH3254" s="341"/>
      <c r="AI3254" s="218"/>
      <c r="AJ3254" s="218"/>
      <c r="AK3254" s="153"/>
      <c r="AL3254" s="152"/>
      <c r="AM3254" s="152"/>
      <c r="AN3254" s="152"/>
      <c r="AO3254" s="152"/>
      <c r="AP3254" s="152"/>
      <c r="AQ3254" s="152"/>
      <c r="AR3254" s="152"/>
      <c r="AS3254" s="152"/>
      <c r="AT3254" s="152"/>
      <c r="AU3254" s="153"/>
      <c r="AV3254" s="479"/>
      <c r="AW3254" s="479"/>
      <c r="AX3254" s="442"/>
      <c r="AY3254" s="153"/>
      <c r="AZ3254" s="152"/>
      <c r="BA3254" s="152"/>
      <c r="BB3254" s="152"/>
      <c r="BC3254" s="152"/>
      <c r="BD3254" s="152"/>
      <c r="BE3254" s="152"/>
      <c r="BF3254" s="152"/>
      <c r="BG3254" s="152"/>
      <c r="BH3254" s="152"/>
      <c r="BI3254" s="153"/>
      <c r="BJ3254" s="153"/>
      <c r="BK3254" s="153"/>
      <c r="BL3254" s="153"/>
      <c r="BM3254" s="153"/>
      <c r="BN3254" s="153"/>
      <c r="BO3254" s="153"/>
      <c r="BP3254" s="153"/>
      <c r="BQ3254" s="153"/>
      <c r="BR3254" s="153"/>
      <c r="BS3254" s="153"/>
      <c r="BT3254" s="153"/>
      <c r="BU3254" s="153"/>
      <c r="BV3254" s="153"/>
      <c r="BW3254" s="153"/>
      <c r="BX3254" s="153"/>
      <c r="BY3254" s="153"/>
      <c r="BZ3254" s="153"/>
      <c r="CA3254" s="152"/>
      <c r="CB3254" s="152"/>
    </row>
    <row r="3255" spans="1:80" s="87" customFormat="1" x14ac:dyDescent="0.2">
      <c r="A3255" s="152"/>
      <c r="B3255" s="683"/>
      <c r="C3255" s="683"/>
      <c r="D3255" s="698"/>
      <c r="E3255" s="215"/>
      <c r="F3255" s="215"/>
      <c r="G3255" s="153"/>
      <c r="H3255" s="153"/>
      <c r="I3255" s="321">
        <v>20</v>
      </c>
      <c r="J3255" s="321">
        <v>30</v>
      </c>
      <c r="K3255" s="150">
        <v>1</v>
      </c>
      <c r="L3255" s="664">
        <v>10</v>
      </c>
      <c r="M3255" s="663">
        <v>31898</v>
      </c>
      <c r="N3255" s="600">
        <v>11.523300000000001</v>
      </c>
      <c r="O3255" s="604">
        <v>3.9779000000000002E-2</v>
      </c>
      <c r="P3255" s="150"/>
      <c r="Q3255" s="250"/>
      <c r="R3255" s="250"/>
      <c r="S3255" s="250"/>
      <c r="T3255" s="250"/>
      <c r="U3255" s="250"/>
      <c r="V3255" s="250"/>
      <c r="W3255" s="250"/>
      <c r="X3255" s="250"/>
      <c r="Y3255" s="250"/>
      <c r="Z3255" s="150"/>
      <c r="AA3255" s="150">
        <v>6.48</v>
      </c>
      <c r="AB3255" s="152"/>
      <c r="AC3255" s="152"/>
      <c r="AD3255" s="223">
        <v>15.2395</v>
      </c>
      <c r="AE3255" s="223">
        <v>0.58824469999999995</v>
      </c>
      <c r="AF3255" s="223">
        <v>8.9410474999999998</v>
      </c>
      <c r="AG3255" s="223">
        <v>1.1429625000000001</v>
      </c>
      <c r="AH3255" s="341"/>
      <c r="AI3255" s="218"/>
      <c r="AJ3255" s="218"/>
      <c r="AK3255" s="153"/>
      <c r="AL3255" s="152"/>
      <c r="AM3255" s="152"/>
      <c r="AN3255" s="152"/>
      <c r="AO3255" s="152"/>
      <c r="AP3255" s="152"/>
      <c r="AQ3255" s="152"/>
      <c r="AR3255" s="152"/>
      <c r="AS3255" s="152"/>
      <c r="AT3255" s="152"/>
      <c r="AU3255" s="153"/>
      <c r="AV3255" s="479"/>
      <c r="AW3255" s="479"/>
      <c r="AX3255" s="442"/>
      <c r="AY3255" s="153"/>
      <c r="AZ3255" s="152"/>
      <c r="BA3255" s="152"/>
      <c r="BB3255" s="152"/>
      <c r="BC3255" s="152"/>
      <c r="BD3255" s="152"/>
      <c r="BE3255" s="152"/>
      <c r="BF3255" s="152"/>
      <c r="BG3255" s="152"/>
      <c r="BH3255" s="152"/>
      <c r="BI3255" s="153"/>
      <c r="BJ3255" s="153"/>
      <c r="BK3255" s="153"/>
      <c r="BL3255" s="153"/>
      <c r="BM3255" s="153"/>
      <c r="BN3255" s="153"/>
      <c r="BO3255" s="153"/>
      <c r="BP3255" s="153"/>
      <c r="BQ3255" s="153"/>
      <c r="BR3255" s="153"/>
      <c r="BS3255" s="153"/>
      <c r="BT3255" s="153"/>
      <c r="BU3255" s="153"/>
      <c r="BV3255" s="153"/>
      <c r="BW3255" s="153"/>
      <c r="BX3255" s="153"/>
      <c r="BY3255" s="153"/>
      <c r="BZ3255" s="153"/>
      <c r="CA3255" s="152"/>
      <c r="CB3255" s="152"/>
    </row>
    <row r="3256" spans="1:80" s="87" customFormat="1" x14ac:dyDescent="0.2">
      <c r="A3256" s="152"/>
      <c r="B3256" s="683"/>
      <c r="C3256" s="683"/>
      <c r="D3256" s="698"/>
      <c r="E3256" s="215"/>
      <c r="F3256" s="215"/>
      <c r="G3256" s="153"/>
      <c r="H3256" s="153"/>
      <c r="I3256" s="321">
        <v>14</v>
      </c>
      <c r="J3256" s="321">
        <v>30</v>
      </c>
      <c r="K3256" s="150">
        <v>1</v>
      </c>
      <c r="L3256" s="664">
        <v>7</v>
      </c>
      <c r="M3256" s="663">
        <v>31903</v>
      </c>
      <c r="N3256" s="600">
        <v>7.1914300000000004</v>
      </c>
      <c r="O3256" s="604">
        <v>1.6163E-2</v>
      </c>
      <c r="P3256" s="150"/>
      <c r="Q3256" s="250"/>
      <c r="R3256" s="250"/>
      <c r="S3256" s="250"/>
      <c r="T3256" s="250"/>
      <c r="U3256" s="250"/>
      <c r="V3256" s="250"/>
      <c r="W3256" s="250"/>
      <c r="X3256" s="250"/>
      <c r="Y3256" s="250"/>
      <c r="Z3256" s="150"/>
      <c r="AA3256" s="150">
        <v>4.0199999999999996</v>
      </c>
      <c r="AB3256" s="152"/>
      <c r="AC3256" s="152"/>
      <c r="AD3256" s="223">
        <v>14.62992</v>
      </c>
      <c r="AE3256" s="223">
        <v>0.62177159999999998</v>
      </c>
      <c r="AF3256" s="223">
        <v>9.0850331999999998</v>
      </c>
      <c r="AG3256" s="223">
        <v>0.96923219999999999</v>
      </c>
      <c r="AH3256" s="341"/>
      <c r="AI3256" s="218"/>
      <c r="AJ3256" s="218"/>
      <c r="AK3256" s="153"/>
      <c r="AL3256" s="152"/>
      <c r="AM3256" s="152"/>
      <c r="AN3256" s="152"/>
      <c r="AO3256" s="152"/>
      <c r="AP3256" s="152"/>
      <c r="AQ3256" s="152"/>
      <c r="AR3256" s="152"/>
      <c r="AS3256" s="152"/>
      <c r="AT3256" s="152"/>
      <c r="AU3256" s="153"/>
      <c r="AV3256" s="479"/>
      <c r="AW3256" s="479"/>
      <c r="AX3256" s="442"/>
      <c r="AY3256" s="153"/>
      <c r="AZ3256" s="152"/>
      <c r="BA3256" s="152"/>
      <c r="BB3256" s="152"/>
      <c r="BC3256" s="152"/>
      <c r="BD3256" s="152"/>
      <c r="BE3256" s="152"/>
      <c r="BF3256" s="152"/>
      <c r="BG3256" s="152"/>
      <c r="BH3256" s="152"/>
      <c r="BI3256" s="153"/>
      <c r="BJ3256" s="153"/>
      <c r="BK3256" s="153"/>
      <c r="BL3256" s="153"/>
      <c r="BM3256" s="153"/>
      <c r="BN3256" s="153"/>
      <c r="BO3256" s="153"/>
      <c r="BP3256" s="153"/>
      <c r="BQ3256" s="153"/>
      <c r="BR3256" s="153"/>
      <c r="BS3256" s="153"/>
      <c r="BT3256" s="153"/>
      <c r="BU3256" s="153"/>
      <c r="BV3256" s="153"/>
      <c r="BW3256" s="153"/>
      <c r="BX3256" s="153"/>
      <c r="BY3256" s="153"/>
      <c r="BZ3256" s="153"/>
      <c r="CA3256" s="152"/>
      <c r="CB3256" s="152"/>
    </row>
    <row r="3257" spans="1:80" s="87" customFormat="1" x14ac:dyDescent="0.2">
      <c r="A3257" s="152"/>
      <c r="B3257" s="683"/>
      <c r="C3257" s="683"/>
      <c r="D3257" s="698"/>
      <c r="E3257" s="215"/>
      <c r="F3257" s="215"/>
      <c r="G3257" s="153"/>
      <c r="H3257" s="153"/>
      <c r="I3257" s="321">
        <v>22</v>
      </c>
      <c r="J3257" s="321">
        <v>30</v>
      </c>
      <c r="K3257" s="150">
        <v>1</v>
      </c>
      <c r="L3257" s="664">
        <v>11</v>
      </c>
      <c r="M3257" s="663">
        <v>31908</v>
      </c>
      <c r="N3257" s="600">
        <v>8.8901900000000005</v>
      </c>
      <c r="O3257" s="604">
        <v>1.7318E-2</v>
      </c>
      <c r="P3257" s="150"/>
      <c r="Q3257" s="250"/>
      <c r="R3257" s="250"/>
      <c r="S3257" s="250"/>
      <c r="T3257" s="250"/>
      <c r="U3257" s="250"/>
      <c r="V3257" s="250"/>
      <c r="W3257" s="250"/>
      <c r="X3257" s="250"/>
      <c r="Y3257" s="250"/>
      <c r="Z3257" s="150"/>
      <c r="AA3257" s="150">
        <v>1.58</v>
      </c>
      <c r="AB3257" s="152"/>
      <c r="AC3257" s="152"/>
      <c r="AD3257" s="223">
        <v>15.849080000000001</v>
      </c>
      <c r="AE3257" s="223">
        <v>0.53947829999999997</v>
      </c>
      <c r="AF3257" s="223">
        <v>8.5648268000000005</v>
      </c>
      <c r="AG3257" s="223">
        <v>1.0881003</v>
      </c>
      <c r="AH3257" s="341"/>
      <c r="AI3257" s="218"/>
      <c r="AJ3257" s="218"/>
      <c r="AK3257" s="153"/>
      <c r="AL3257" s="152"/>
      <c r="AM3257" s="152"/>
      <c r="AN3257" s="152"/>
      <c r="AO3257" s="152"/>
      <c r="AP3257" s="152"/>
      <c r="AQ3257" s="152"/>
      <c r="AR3257" s="152"/>
      <c r="AS3257" s="152"/>
      <c r="AT3257" s="152"/>
      <c r="AU3257" s="153"/>
      <c r="AV3257" s="479"/>
      <c r="AW3257" s="479"/>
      <c r="AX3257" s="442"/>
      <c r="AY3257" s="153"/>
      <c r="AZ3257" s="152"/>
      <c r="BA3257" s="152"/>
      <c r="BB3257" s="152"/>
      <c r="BC3257" s="152"/>
      <c r="BD3257" s="152"/>
      <c r="BE3257" s="152"/>
      <c r="BF3257" s="152"/>
      <c r="BG3257" s="152"/>
      <c r="BH3257" s="152"/>
      <c r="BI3257" s="153"/>
      <c r="BJ3257" s="153"/>
      <c r="BK3257" s="153"/>
      <c r="BL3257" s="153"/>
      <c r="BM3257" s="153"/>
      <c r="BN3257" s="153"/>
      <c r="BO3257" s="153"/>
      <c r="BP3257" s="153"/>
      <c r="BQ3257" s="153"/>
      <c r="BR3257" s="153"/>
      <c r="BS3257" s="153"/>
      <c r="BT3257" s="153"/>
      <c r="BU3257" s="153"/>
      <c r="BV3257" s="153"/>
      <c r="BW3257" s="153"/>
      <c r="BX3257" s="153"/>
      <c r="BY3257" s="153"/>
      <c r="BZ3257" s="153"/>
      <c r="CA3257" s="152"/>
      <c r="CB3257" s="152"/>
    </row>
    <row r="3258" spans="1:80" s="87" customFormat="1" x14ac:dyDescent="0.2">
      <c r="A3258" s="152"/>
      <c r="B3258" s="683"/>
      <c r="C3258" s="683"/>
      <c r="D3258" s="698"/>
      <c r="E3258" s="215"/>
      <c r="F3258" s="215"/>
      <c r="G3258" s="153"/>
      <c r="H3258" s="153"/>
      <c r="I3258" s="321">
        <v>15</v>
      </c>
      <c r="J3258" s="321">
        <v>30</v>
      </c>
      <c r="K3258" s="150">
        <v>1</v>
      </c>
      <c r="L3258" s="664">
        <v>7.5</v>
      </c>
      <c r="M3258" s="663">
        <v>32253</v>
      </c>
      <c r="N3258" s="600">
        <v>4.0487200000000003</v>
      </c>
      <c r="O3258" s="604">
        <v>2.8400000000000002E-4</v>
      </c>
      <c r="P3258" s="150"/>
      <c r="Q3258" s="250"/>
      <c r="R3258" s="250"/>
      <c r="S3258" s="250"/>
      <c r="T3258" s="250"/>
      <c r="U3258" s="250"/>
      <c r="V3258" s="250"/>
      <c r="W3258" s="250"/>
      <c r="X3258" s="250"/>
      <c r="Y3258" s="250"/>
      <c r="Z3258" s="150"/>
      <c r="AA3258" s="150">
        <v>0.79</v>
      </c>
      <c r="AB3258" s="152"/>
      <c r="AC3258" s="152"/>
      <c r="AD3258" s="223">
        <v>15.849080000000001</v>
      </c>
      <c r="AE3258" s="223">
        <v>0.39013120000000001</v>
      </c>
      <c r="AF3258" s="223">
        <v>6.1681616000000004</v>
      </c>
      <c r="AG3258" s="223">
        <v>0.67053799999999997</v>
      </c>
      <c r="AH3258" s="341"/>
      <c r="AI3258" s="218"/>
      <c r="AJ3258" s="218"/>
      <c r="AK3258" s="153"/>
      <c r="AL3258" s="152"/>
      <c r="AM3258" s="152"/>
      <c r="AN3258" s="152"/>
      <c r="AO3258" s="152"/>
      <c r="AP3258" s="152"/>
      <c r="AQ3258" s="152"/>
      <c r="AR3258" s="152"/>
      <c r="AS3258" s="152"/>
      <c r="AT3258" s="152"/>
      <c r="AU3258" s="153"/>
      <c r="AV3258" s="479"/>
      <c r="AW3258" s="479"/>
      <c r="AX3258" s="442"/>
      <c r="AY3258" s="153"/>
      <c r="AZ3258" s="152"/>
      <c r="BA3258" s="152"/>
      <c r="BB3258" s="152"/>
      <c r="BC3258" s="152"/>
      <c r="BD3258" s="152"/>
      <c r="BE3258" s="152"/>
      <c r="BF3258" s="152"/>
      <c r="BG3258" s="152"/>
      <c r="BH3258" s="152"/>
      <c r="BI3258" s="153"/>
      <c r="BJ3258" s="153"/>
      <c r="BK3258" s="153"/>
      <c r="BL3258" s="153"/>
      <c r="BM3258" s="153"/>
      <c r="BN3258" s="153"/>
      <c r="BO3258" s="153"/>
      <c r="BP3258" s="153"/>
      <c r="BQ3258" s="153"/>
      <c r="BR3258" s="153"/>
      <c r="BS3258" s="153"/>
      <c r="BT3258" s="153"/>
      <c r="BU3258" s="153"/>
      <c r="BV3258" s="153"/>
      <c r="BW3258" s="153"/>
      <c r="BX3258" s="153"/>
      <c r="BY3258" s="153"/>
      <c r="BZ3258" s="153"/>
      <c r="CA3258" s="152"/>
      <c r="CB3258" s="152"/>
    </row>
    <row r="3259" spans="1:80" s="87" customFormat="1" x14ac:dyDescent="0.2">
      <c r="A3259" s="152"/>
      <c r="B3259" s="683"/>
      <c r="C3259" s="683"/>
      <c r="D3259" s="698"/>
      <c r="E3259" s="215"/>
      <c r="F3259" s="215"/>
      <c r="G3259" s="153"/>
      <c r="H3259" s="153"/>
      <c r="I3259" s="321">
        <v>15</v>
      </c>
      <c r="J3259" s="321">
        <v>30</v>
      </c>
      <c r="K3259" s="150">
        <v>1</v>
      </c>
      <c r="L3259" s="664">
        <v>7.5</v>
      </c>
      <c r="M3259" s="663">
        <v>32261</v>
      </c>
      <c r="N3259" s="600">
        <v>3.0577700000000001</v>
      </c>
      <c r="O3259" s="604">
        <v>5.6899999999999995E-4</v>
      </c>
      <c r="P3259" s="150"/>
      <c r="Q3259" s="250"/>
      <c r="R3259" s="250"/>
      <c r="S3259" s="250"/>
      <c r="T3259" s="250"/>
      <c r="U3259" s="250"/>
      <c r="V3259" s="250"/>
      <c r="W3259" s="250"/>
      <c r="X3259" s="250"/>
      <c r="Y3259" s="250"/>
      <c r="Z3259" s="150"/>
      <c r="AA3259" s="150">
        <v>0.7</v>
      </c>
      <c r="AB3259" s="152"/>
      <c r="AC3259" s="152"/>
      <c r="AD3259" s="223">
        <v>14.62992</v>
      </c>
      <c r="AE3259" s="223">
        <v>0.36270010000000003</v>
      </c>
      <c r="AF3259" s="223">
        <v>5.2949580000000003</v>
      </c>
      <c r="AG3259" s="223">
        <v>0.58214889999999997</v>
      </c>
      <c r="AH3259" s="341"/>
      <c r="AI3259" s="218"/>
      <c r="AJ3259" s="218"/>
      <c r="AK3259" s="153"/>
      <c r="AL3259" s="152"/>
      <c r="AM3259" s="152"/>
      <c r="AN3259" s="152"/>
      <c r="AO3259" s="152"/>
      <c r="AP3259" s="152"/>
      <c r="AQ3259" s="152"/>
      <c r="AR3259" s="152"/>
      <c r="AS3259" s="152"/>
      <c r="AT3259" s="152"/>
      <c r="AU3259" s="153"/>
      <c r="AV3259" s="479"/>
      <c r="AW3259" s="479"/>
      <c r="AX3259" s="442"/>
      <c r="AY3259" s="153"/>
      <c r="AZ3259" s="152"/>
      <c r="BA3259" s="152"/>
      <c r="BB3259" s="152"/>
      <c r="BC3259" s="152"/>
      <c r="BD3259" s="152"/>
      <c r="BE3259" s="152"/>
      <c r="BF3259" s="152"/>
      <c r="BG3259" s="152"/>
      <c r="BH3259" s="152"/>
      <c r="BI3259" s="153"/>
      <c r="BJ3259" s="153"/>
      <c r="BK3259" s="153"/>
      <c r="BL3259" s="153"/>
      <c r="BM3259" s="153"/>
      <c r="BN3259" s="153"/>
      <c r="BO3259" s="153"/>
      <c r="BP3259" s="153"/>
      <c r="BQ3259" s="153"/>
      <c r="BR3259" s="153"/>
      <c r="BS3259" s="153"/>
      <c r="BT3259" s="153"/>
      <c r="BU3259" s="153"/>
      <c r="BV3259" s="153"/>
      <c r="BW3259" s="153"/>
      <c r="BX3259" s="153"/>
      <c r="BY3259" s="153"/>
      <c r="BZ3259" s="153"/>
      <c r="CA3259" s="152"/>
      <c r="CB3259" s="152"/>
    </row>
    <row r="3260" spans="1:80" s="87" customFormat="1" x14ac:dyDescent="0.2">
      <c r="A3260" s="152"/>
      <c r="B3260" s="683"/>
      <c r="C3260" s="683"/>
      <c r="D3260" s="698"/>
      <c r="E3260" s="215"/>
      <c r="F3260" s="215"/>
      <c r="G3260" s="153"/>
      <c r="H3260" s="153"/>
      <c r="I3260" s="321">
        <v>15</v>
      </c>
      <c r="J3260" s="321">
        <v>30</v>
      </c>
      <c r="K3260" s="150">
        <v>1</v>
      </c>
      <c r="L3260" s="664">
        <v>7.5</v>
      </c>
      <c r="M3260" s="663">
        <v>32283</v>
      </c>
      <c r="N3260" s="600">
        <v>7.6727400000000001</v>
      </c>
      <c r="O3260" s="604">
        <v>4.26E-4</v>
      </c>
      <c r="P3260" s="150"/>
      <c r="Q3260" s="250"/>
      <c r="R3260" s="250"/>
      <c r="S3260" s="250"/>
      <c r="T3260" s="250"/>
      <c r="U3260" s="250"/>
      <c r="V3260" s="250"/>
      <c r="W3260" s="250"/>
      <c r="X3260" s="250"/>
      <c r="Y3260" s="250"/>
      <c r="Z3260" s="150"/>
      <c r="AA3260" s="150">
        <v>0.82</v>
      </c>
      <c r="AB3260" s="152"/>
      <c r="AC3260" s="152"/>
      <c r="AD3260" s="223">
        <v>15.2395</v>
      </c>
      <c r="AE3260" s="223">
        <v>0.46632869999999998</v>
      </c>
      <c r="AF3260" s="223">
        <v>7.1008173599999997</v>
      </c>
      <c r="AG3260" s="223">
        <v>1.0637171000000001</v>
      </c>
      <c r="AH3260" s="341"/>
      <c r="AI3260" s="218"/>
      <c r="AJ3260" s="218"/>
      <c r="AK3260" s="153"/>
      <c r="AL3260" s="152"/>
      <c r="AM3260" s="152"/>
      <c r="AN3260" s="152"/>
      <c r="AO3260" s="152"/>
      <c r="AP3260" s="152"/>
      <c r="AQ3260" s="152"/>
      <c r="AR3260" s="152"/>
      <c r="AS3260" s="152"/>
      <c r="AT3260" s="152"/>
      <c r="AU3260" s="153"/>
      <c r="AV3260" s="479"/>
      <c r="AW3260" s="479"/>
      <c r="AX3260" s="442"/>
      <c r="AY3260" s="153"/>
      <c r="AZ3260" s="152"/>
      <c r="BA3260" s="152"/>
      <c r="BB3260" s="152"/>
      <c r="BC3260" s="152"/>
      <c r="BD3260" s="152"/>
      <c r="BE3260" s="152"/>
      <c r="BF3260" s="152"/>
      <c r="BG3260" s="152"/>
      <c r="BH3260" s="152"/>
      <c r="BI3260" s="153"/>
      <c r="BJ3260" s="153"/>
      <c r="BK3260" s="153"/>
      <c r="BL3260" s="153"/>
      <c r="BM3260" s="153"/>
      <c r="BN3260" s="153"/>
      <c r="BO3260" s="153"/>
      <c r="BP3260" s="153"/>
      <c r="BQ3260" s="153"/>
      <c r="BR3260" s="153"/>
      <c r="BS3260" s="153"/>
      <c r="BT3260" s="153"/>
      <c r="BU3260" s="153"/>
      <c r="BV3260" s="153"/>
      <c r="BW3260" s="153"/>
      <c r="BX3260" s="153"/>
      <c r="BY3260" s="153"/>
      <c r="BZ3260" s="153"/>
      <c r="CA3260" s="152"/>
      <c r="CB3260" s="152"/>
    </row>
    <row r="3261" spans="1:80" s="87" customFormat="1" x14ac:dyDescent="0.2">
      <c r="A3261" s="152"/>
      <c r="B3261" s="683"/>
      <c r="C3261" s="683"/>
      <c r="D3261" s="698"/>
      <c r="E3261" s="215"/>
      <c r="F3261" s="215"/>
      <c r="G3261" s="153"/>
      <c r="H3261" s="153"/>
      <c r="I3261" s="321">
        <v>16</v>
      </c>
      <c r="J3261" s="321">
        <v>30</v>
      </c>
      <c r="K3261" s="150">
        <v>1</v>
      </c>
      <c r="L3261" s="664">
        <v>8</v>
      </c>
      <c r="M3261" s="663">
        <v>32302</v>
      </c>
      <c r="N3261" s="600">
        <v>8.9468099999999993</v>
      </c>
      <c r="O3261" s="604">
        <v>1.732E-3</v>
      </c>
      <c r="P3261" s="150"/>
      <c r="Q3261" s="250"/>
      <c r="R3261" s="250"/>
      <c r="S3261" s="250"/>
      <c r="T3261" s="250"/>
      <c r="U3261" s="250"/>
      <c r="V3261" s="250"/>
      <c r="W3261" s="250"/>
      <c r="X3261" s="250"/>
      <c r="Y3261" s="250"/>
      <c r="Z3261" s="150"/>
      <c r="AA3261" s="150">
        <v>2.91</v>
      </c>
      <c r="AB3261" s="152"/>
      <c r="AC3261" s="152"/>
      <c r="AD3261" s="223">
        <v>15.2395</v>
      </c>
      <c r="AE3261" s="223">
        <v>0.59738840000000004</v>
      </c>
      <c r="AF3261" s="223">
        <v>9.1221908000000003</v>
      </c>
      <c r="AG3261" s="223">
        <v>0.98142379999999996</v>
      </c>
      <c r="AH3261" s="341"/>
      <c r="AI3261" s="218"/>
      <c r="AJ3261" s="218"/>
      <c r="AK3261" s="153"/>
      <c r="AL3261" s="152"/>
      <c r="AM3261" s="152"/>
      <c r="AN3261" s="152"/>
      <c r="AO3261" s="152"/>
      <c r="AP3261" s="152"/>
      <c r="AQ3261" s="152"/>
      <c r="AR3261" s="152"/>
      <c r="AS3261" s="152"/>
      <c r="AT3261" s="152"/>
      <c r="AU3261" s="153"/>
      <c r="AV3261" s="479"/>
      <c r="AW3261" s="479"/>
      <c r="AX3261" s="442"/>
      <c r="AY3261" s="153"/>
      <c r="AZ3261" s="152"/>
      <c r="BA3261" s="152"/>
      <c r="BB3261" s="152"/>
      <c r="BC3261" s="152"/>
      <c r="BD3261" s="152"/>
      <c r="BE3261" s="152"/>
      <c r="BF3261" s="152"/>
      <c r="BG3261" s="152"/>
      <c r="BH3261" s="152"/>
      <c r="BI3261" s="153"/>
      <c r="BJ3261" s="153"/>
      <c r="BK3261" s="153"/>
      <c r="BL3261" s="153"/>
      <c r="BM3261" s="153"/>
      <c r="BN3261" s="153"/>
      <c r="BO3261" s="153"/>
      <c r="BP3261" s="153"/>
      <c r="BQ3261" s="153"/>
      <c r="BR3261" s="153"/>
      <c r="BS3261" s="153"/>
      <c r="BT3261" s="153"/>
      <c r="BU3261" s="153"/>
      <c r="BV3261" s="153"/>
      <c r="BW3261" s="153"/>
      <c r="BX3261" s="153"/>
      <c r="BY3261" s="153"/>
      <c r="BZ3261" s="153"/>
      <c r="CA3261" s="152"/>
      <c r="CB3261" s="152"/>
    </row>
    <row r="3262" spans="1:80" s="87" customFormat="1" x14ac:dyDescent="0.2">
      <c r="A3262" s="152"/>
      <c r="B3262" s="683"/>
      <c r="C3262" s="683"/>
      <c r="D3262" s="698"/>
      <c r="E3262" s="215"/>
      <c r="F3262" s="215"/>
      <c r="G3262" s="153"/>
      <c r="H3262" s="153"/>
      <c r="I3262" s="321">
        <v>15</v>
      </c>
      <c r="J3262" s="321">
        <v>30</v>
      </c>
      <c r="K3262" s="150">
        <v>1</v>
      </c>
      <c r="L3262" s="664">
        <v>7.5</v>
      </c>
      <c r="M3262" s="663">
        <v>32330</v>
      </c>
      <c r="N3262" s="600">
        <v>3.7372800000000002</v>
      </c>
      <c r="O3262" s="604">
        <v>5.44E-4</v>
      </c>
      <c r="P3262" s="150"/>
      <c r="Q3262" s="250"/>
      <c r="R3262" s="250"/>
      <c r="S3262" s="250"/>
      <c r="T3262" s="250"/>
      <c r="U3262" s="250"/>
      <c r="V3262" s="250"/>
      <c r="W3262" s="250"/>
      <c r="X3262" s="250"/>
      <c r="Y3262" s="250"/>
      <c r="Z3262" s="150"/>
      <c r="AA3262" s="150">
        <v>0.79</v>
      </c>
      <c r="AB3262" s="152"/>
      <c r="AC3262" s="152"/>
      <c r="AD3262" s="223">
        <v>14.020339999999999</v>
      </c>
      <c r="AE3262" s="223">
        <v>0.37489169999999999</v>
      </c>
      <c r="AF3262" s="223">
        <v>5.2392215999999996</v>
      </c>
      <c r="AG3262" s="223">
        <v>0.71320859999999997</v>
      </c>
      <c r="AH3262" s="341"/>
      <c r="AI3262" s="218"/>
      <c r="AJ3262" s="218"/>
      <c r="AK3262" s="153"/>
      <c r="AL3262" s="152"/>
      <c r="AM3262" s="152"/>
      <c r="AN3262" s="152"/>
      <c r="AO3262" s="152"/>
      <c r="AP3262" s="152"/>
      <c r="AQ3262" s="152"/>
      <c r="AR3262" s="152"/>
      <c r="AS3262" s="152"/>
      <c r="AT3262" s="152"/>
      <c r="AU3262" s="153"/>
      <c r="AV3262" s="479"/>
      <c r="AW3262" s="479"/>
      <c r="AX3262" s="442"/>
      <c r="AY3262" s="153"/>
      <c r="AZ3262" s="152"/>
      <c r="BA3262" s="152"/>
      <c r="BB3262" s="152"/>
      <c r="BC3262" s="152"/>
      <c r="BD3262" s="152"/>
      <c r="BE3262" s="152"/>
      <c r="BF3262" s="152"/>
      <c r="BG3262" s="152"/>
      <c r="BH3262" s="152"/>
      <c r="BI3262" s="153"/>
      <c r="BJ3262" s="153"/>
      <c r="BK3262" s="153"/>
      <c r="BL3262" s="153"/>
      <c r="BM3262" s="153"/>
      <c r="BN3262" s="153"/>
      <c r="BO3262" s="153"/>
      <c r="BP3262" s="153"/>
      <c r="BQ3262" s="153"/>
      <c r="BR3262" s="153"/>
      <c r="BS3262" s="153"/>
      <c r="BT3262" s="153"/>
      <c r="BU3262" s="153"/>
      <c r="BV3262" s="153"/>
      <c r="BW3262" s="153"/>
      <c r="BX3262" s="153"/>
      <c r="BY3262" s="153"/>
      <c r="BZ3262" s="153"/>
      <c r="CA3262" s="152"/>
      <c r="CB3262" s="152"/>
    </row>
    <row r="3263" spans="1:80" s="87" customFormat="1" x14ac:dyDescent="0.2">
      <c r="A3263" s="152"/>
      <c r="B3263" s="683"/>
      <c r="C3263" s="683"/>
      <c r="D3263" s="698"/>
      <c r="E3263" s="215"/>
      <c r="F3263" s="215"/>
      <c r="G3263" s="153"/>
      <c r="H3263" s="153"/>
      <c r="I3263" s="321">
        <v>20</v>
      </c>
      <c r="J3263" s="321">
        <v>30</v>
      </c>
      <c r="K3263" s="150">
        <v>1</v>
      </c>
      <c r="L3263" s="664">
        <v>10</v>
      </c>
      <c r="M3263" s="663">
        <v>32632</v>
      </c>
      <c r="N3263" s="600">
        <v>4.95472</v>
      </c>
      <c r="O3263" s="604">
        <v>2.0049999999999998E-3</v>
      </c>
      <c r="P3263" s="150"/>
      <c r="Q3263" s="250"/>
      <c r="R3263" s="250"/>
      <c r="S3263" s="250"/>
      <c r="T3263" s="250"/>
      <c r="U3263" s="250"/>
      <c r="V3263" s="250"/>
      <c r="W3263" s="250"/>
      <c r="X3263" s="250"/>
      <c r="Y3263" s="250"/>
      <c r="Z3263" s="150"/>
      <c r="AA3263" s="150">
        <v>6.92</v>
      </c>
      <c r="AB3263" s="152"/>
      <c r="AC3263" s="152"/>
      <c r="AD3263" s="223">
        <v>15.54429</v>
      </c>
      <c r="AE3263" s="223">
        <v>0.43280180000000001</v>
      </c>
      <c r="AF3263" s="223">
        <v>6.7487491000000004</v>
      </c>
      <c r="AG3263" s="223">
        <v>0.71625649999999996</v>
      </c>
      <c r="AH3263" s="341"/>
      <c r="AI3263" s="218"/>
      <c r="AJ3263" s="218"/>
      <c r="AK3263" s="153"/>
      <c r="AL3263" s="152"/>
      <c r="AM3263" s="152"/>
      <c r="AN3263" s="152"/>
      <c r="AO3263" s="152"/>
      <c r="AP3263" s="152"/>
      <c r="AQ3263" s="152"/>
      <c r="AR3263" s="152"/>
      <c r="AS3263" s="152"/>
      <c r="AT3263" s="152"/>
      <c r="AU3263" s="153"/>
      <c r="AV3263" s="479"/>
      <c r="AW3263" s="479"/>
      <c r="AX3263" s="442"/>
      <c r="AY3263" s="153"/>
      <c r="AZ3263" s="152"/>
      <c r="BA3263" s="152"/>
      <c r="BB3263" s="152"/>
      <c r="BC3263" s="152"/>
      <c r="BD3263" s="152"/>
      <c r="BE3263" s="152"/>
      <c r="BF3263" s="152"/>
      <c r="BG3263" s="152"/>
      <c r="BH3263" s="152"/>
      <c r="BI3263" s="153"/>
      <c r="BJ3263" s="153"/>
      <c r="BK3263" s="153"/>
      <c r="BL3263" s="153"/>
      <c r="BM3263" s="153"/>
      <c r="BN3263" s="153"/>
      <c r="BO3263" s="153"/>
      <c r="BP3263" s="153"/>
      <c r="BQ3263" s="153"/>
      <c r="BR3263" s="153"/>
      <c r="BS3263" s="153"/>
      <c r="BT3263" s="153"/>
      <c r="BU3263" s="153"/>
      <c r="BV3263" s="153"/>
      <c r="BW3263" s="153"/>
      <c r="BX3263" s="153"/>
      <c r="BY3263" s="153"/>
      <c r="BZ3263" s="153"/>
      <c r="CA3263" s="152"/>
      <c r="CB3263" s="152"/>
    </row>
    <row r="3264" spans="1:80" s="87" customFormat="1" x14ac:dyDescent="0.2">
      <c r="A3264" s="152"/>
      <c r="B3264" s="683"/>
      <c r="C3264" s="683"/>
      <c r="D3264" s="698"/>
      <c r="E3264" s="215"/>
      <c r="F3264" s="215"/>
      <c r="G3264" s="153"/>
      <c r="H3264" s="153"/>
      <c r="I3264" s="321">
        <v>24</v>
      </c>
      <c r="J3264" s="321">
        <v>30</v>
      </c>
      <c r="K3264" s="150">
        <v>1</v>
      </c>
      <c r="L3264" s="664">
        <v>12</v>
      </c>
      <c r="M3264" s="663">
        <v>32670</v>
      </c>
      <c r="N3264" s="600">
        <v>14.7226</v>
      </c>
      <c r="O3264" s="604">
        <v>1.6057999999999999E-2</v>
      </c>
      <c r="P3264" s="150"/>
      <c r="Q3264" s="250"/>
      <c r="R3264" s="250"/>
      <c r="S3264" s="250"/>
      <c r="T3264" s="250"/>
      <c r="U3264" s="250"/>
      <c r="V3264" s="250"/>
      <c r="W3264" s="250"/>
      <c r="X3264" s="250"/>
      <c r="Y3264" s="250"/>
      <c r="Z3264" s="150"/>
      <c r="AA3264" s="150">
        <v>22.19</v>
      </c>
      <c r="AB3264" s="152"/>
      <c r="AC3264" s="152"/>
      <c r="AD3264" s="223">
        <v>17.068239999999999</v>
      </c>
      <c r="AE3264" s="223">
        <v>0.66749009999999998</v>
      </c>
      <c r="AF3264" s="223">
        <v>11.370225599999999</v>
      </c>
      <c r="AG3264" s="223">
        <v>1.2008726000000001</v>
      </c>
      <c r="AH3264" s="341"/>
      <c r="AI3264" s="218"/>
      <c r="AJ3264" s="218"/>
      <c r="AK3264" s="153"/>
      <c r="AL3264" s="152"/>
      <c r="AM3264" s="152"/>
      <c r="AN3264" s="152"/>
      <c r="AO3264" s="152"/>
      <c r="AP3264" s="152"/>
      <c r="AQ3264" s="152"/>
      <c r="AR3264" s="152"/>
      <c r="AS3264" s="152"/>
      <c r="AT3264" s="152"/>
      <c r="AU3264" s="153"/>
      <c r="AV3264" s="479"/>
      <c r="AW3264" s="479"/>
      <c r="AX3264" s="442"/>
      <c r="AY3264" s="153"/>
      <c r="AZ3264" s="152"/>
      <c r="BA3264" s="152"/>
      <c r="BB3264" s="152"/>
      <c r="BC3264" s="152"/>
      <c r="BD3264" s="152"/>
      <c r="BE3264" s="152"/>
      <c r="BF3264" s="152"/>
      <c r="BG3264" s="152"/>
      <c r="BH3264" s="152"/>
      <c r="BI3264" s="153"/>
      <c r="BJ3264" s="153"/>
      <c r="BK3264" s="153"/>
      <c r="BL3264" s="153"/>
      <c r="BM3264" s="153"/>
      <c r="BN3264" s="153"/>
      <c r="BO3264" s="153"/>
      <c r="BP3264" s="153"/>
      <c r="BQ3264" s="153"/>
      <c r="BR3264" s="153"/>
      <c r="BS3264" s="153"/>
      <c r="BT3264" s="153"/>
      <c r="BU3264" s="153"/>
      <c r="BV3264" s="153"/>
      <c r="BW3264" s="153"/>
      <c r="BX3264" s="153"/>
      <c r="BY3264" s="153"/>
      <c r="BZ3264" s="153"/>
      <c r="CA3264" s="152"/>
      <c r="CB3264" s="152"/>
    </row>
    <row r="3265" spans="1:80" s="87" customFormat="1" x14ac:dyDescent="0.2">
      <c r="A3265" s="152"/>
      <c r="B3265" s="683"/>
      <c r="C3265" s="683"/>
      <c r="D3265" s="698"/>
      <c r="E3265" s="215"/>
      <c r="F3265" s="215"/>
      <c r="G3265" s="153"/>
      <c r="H3265" s="153"/>
      <c r="I3265" s="321">
        <v>18</v>
      </c>
      <c r="J3265" s="321">
        <v>30</v>
      </c>
      <c r="K3265" s="150">
        <v>1</v>
      </c>
      <c r="L3265" s="664">
        <v>9</v>
      </c>
      <c r="M3265" s="663">
        <v>32707</v>
      </c>
      <c r="N3265" s="600">
        <v>4.5866600000000002</v>
      </c>
      <c r="O3265" s="604">
        <v>5.1999999999999995E-4</v>
      </c>
      <c r="P3265" s="150"/>
      <c r="Q3265" s="250"/>
      <c r="R3265" s="250"/>
      <c r="S3265" s="250"/>
      <c r="T3265" s="250"/>
      <c r="U3265" s="250"/>
      <c r="V3265" s="250"/>
      <c r="W3265" s="250"/>
      <c r="X3265" s="250"/>
      <c r="Y3265" s="250"/>
      <c r="Z3265" s="150"/>
      <c r="AA3265" s="150">
        <v>2.08</v>
      </c>
      <c r="AB3265" s="152"/>
      <c r="AC3265" s="152"/>
      <c r="AD3265" s="223">
        <v>16.153870000000001</v>
      </c>
      <c r="AE3265" s="223">
        <v>0.41146650000000001</v>
      </c>
      <c r="AF3265" s="223">
        <v>6.6326315999999998</v>
      </c>
      <c r="AG3265" s="223">
        <v>0.69187330000000002</v>
      </c>
      <c r="AH3265" s="341"/>
      <c r="AI3265" s="218"/>
      <c r="AJ3265" s="218"/>
      <c r="AK3265" s="153"/>
      <c r="AL3265" s="152"/>
      <c r="AM3265" s="152"/>
      <c r="AN3265" s="152"/>
      <c r="AO3265" s="152"/>
      <c r="AP3265" s="152"/>
      <c r="AQ3265" s="152"/>
      <c r="AR3265" s="152"/>
      <c r="AS3265" s="152"/>
      <c r="AT3265" s="152"/>
      <c r="AU3265" s="153"/>
      <c r="AV3265" s="479"/>
      <c r="AW3265" s="479"/>
      <c r="AX3265" s="442"/>
      <c r="AY3265" s="153"/>
      <c r="AZ3265" s="152"/>
      <c r="BA3265" s="152"/>
      <c r="BB3265" s="152"/>
      <c r="BC3265" s="152"/>
      <c r="BD3265" s="152"/>
      <c r="BE3265" s="152"/>
      <c r="BF3265" s="152"/>
      <c r="BG3265" s="152"/>
      <c r="BH3265" s="152"/>
      <c r="BI3265" s="153"/>
      <c r="BJ3265" s="153"/>
      <c r="BK3265" s="153"/>
      <c r="BL3265" s="153"/>
      <c r="BM3265" s="153"/>
      <c r="BN3265" s="153"/>
      <c r="BO3265" s="153"/>
      <c r="BP3265" s="153"/>
      <c r="BQ3265" s="153"/>
      <c r="BR3265" s="153"/>
      <c r="BS3265" s="153"/>
      <c r="BT3265" s="153"/>
      <c r="BU3265" s="153"/>
      <c r="BV3265" s="153"/>
      <c r="BW3265" s="153"/>
      <c r="BX3265" s="153"/>
      <c r="BY3265" s="153"/>
      <c r="BZ3265" s="153"/>
      <c r="CA3265" s="152"/>
      <c r="CB3265" s="152"/>
    </row>
    <row r="3266" spans="1:80" s="87" customFormat="1" x14ac:dyDescent="0.2">
      <c r="A3266" s="152"/>
      <c r="B3266" s="683"/>
      <c r="C3266" s="683"/>
      <c r="D3266" s="698"/>
      <c r="E3266" s="215"/>
      <c r="F3266" s="215"/>
      <c r="G3266" s="153"/>
      <c r="H3266" s="153"/>
      <c r="I3266" s="321">
        <v>20</v>
      </c>
      <c r="J3266" s="321">
        <v>30</v>
      </c>
      <c r="K3266" s="150">
        <v>1</v>
      </c>
      <c r="L3266" s="664">
        <v>10</v>
      </c>
      <c r="M3266" s="663">
        <v>32989</v>
      </c>
      <c r="N3266" s="600">
        <v>7.8143099999999999</v>
      </c>
      <c r="O3266" s="604">
        <v>9.6600000000000003E-5</v>
      </c>
      <c r="P3266" s="150"/>
      <c r="Q3266" s="250"/>
      <c r="R3266" s="250"/>
      <c r="S3266" s="250"/>
      <c r="T3266" s="250"/>
      <c r="U3266" s="250"/>
      <c r="V3266" s="250"/>
      <c r="W3266" s="250"/>
      <c r="X3266" s="250"/>
      <c r="Y3266" s="250"/>
      <c r="Z3266" s="150"/>
      <c r="AA3266" s="150">
        <v>0.61</v>
      </c>
      <c r="AB3266" s="152"/>
      <c r="AC3266" s="152"/>
      <c r="AD3266" s="223">
        <v>15.2395</v>
      </c>
      <c r="AE3266" s="223">
        <v>0.54557409999999995</v>
      </c>
      <c r="AF3266" s="223">
        <v>8.3047236000000009</v>
      </c>
      <c r="AG3266" s="223">
        <v>0.93875319999999995</v>
      </c>
      <c r="AH3266" s="341"/>
      <c r="AI3266" s="218"/>
      <c r="AJ3266" s="218"/>
      <c r="AK3266" s="153"/>
      <c r="AL3266" s="152"/>
      <c r="AM3266" s="152"/>
      <c r="AN3266" s="152"/>
      <c r="AO3266" s="152"/>
      <c r="AP3266" s="152"/>
      <c r="AQ3266" s="152"/>
      <c r="AR3266" s="152"/>
      <c r="AS3266" s="152"/>
      <c r="AT3266" s="152"/>
      <c r="AU3266" s="153"/>
      <c r="AV3266" s="479"/>
      <c r="AW3266" s="479"/>
      <c r="AX3266" s="442"/>
      <c r="AY3266" s="153"/>
      <c r="AZ3266" s="152"/>
      <c r="BA3266" s="152"/>
      <c r="BB3266" s="152"/>
      <c r="BC3266" s="152"/>
      <c r="BD3266" s="152"/>
      <c r="BE3266" s="152"/>
      <c r="BF3266" s="152"/>
      <c r="BG3266" s="152"/>
      <c r="BH3266" s="152"/>
      <c r="BI3266" s="153"/>
      <c r="BJ3266" s="153"/>
      <c r="BK3266" s="153"/>
      <c r="BL3266" s="153"/>
      <c r="BM3266" s="153"/>
      <c r="BN3266" s="153"/>
      <c r="BO3266" s="153"/>
      <c r="BP3266" s="153"/>
      <c r="BQ3266" s="153"/>
      <c r="BR3266" s="153"/>
      <c r="BS3266" s="153"/>
      <c r="BT3266" s="153"/>
      <c r="BU3266" s="153"/>
      <c r="BV3266" s="153"/>
      <c r="BW3266" s="153"/>
      <c r="BX3266" s="153"/>
      <c r="BY3266" s="153"/>
      <c r="BZ3266" s="153"/>
      <c r="CA3266" s="152"/>
      <c r="CB3266" s="152"/>
    </row>
    <row r="3267" spans="1:80" s="87" customFormat="1" x14ac:dyDescent="0.2">
      <c r="A3267" s="152"/>
      <c r="B3267" s="683"/>
      <c r="C3267" s="683"/>
      <c r="D3267" s="698"/>
      <c r="E3267" s="215"/>
      <c r="F3267" s="215"/>
      <c r="G3267" s="153"/>
      <c r="H3267" s="153"/>
      <c r="I3267" s="321">
        <v>20</v>
      </c>
      <c r="J3267" s="321">
        <v>30</v>
      </c>
      <c r="K3267" s="150">
        <v>1</v>
      </c>
      <c r="L3267" s="664">
        <v>10</v>
      </c>
      <c r="M3267" s="663">
        <v>33018</v>
      </c>
      <c r="N3267" s="600">
        <v>8.3239300000000007</v>
      </c>
      <c r="O3267" s="604">
        <v>4.8299999999999998E-4</v>
      </c>
      <c r="P3267" s="150"/>
      <c r="Q3267" s="250"/>
      <c r="R3267" s="250"/>
      <c r="S3267" s="250"/>
      <c r="T3267" s="250"/>
      <c r="U3267" s="250"/>
      <c r="V3267" s="250"/>
      <c r="W3267" s="250"/>
      <c r="X3267" s="250"/>
      <c r="Y3267" s="250"/>
      <c r="Z3267" s="150"/>
      <c r="AA3267" s="150">
        <v>7.01</v>
      </c>
      <c r="AB3267" s="152"/>
      <c r="AC3267" s="152"/>
      <c r="AD3267" s="223">
        <v>14.934710000000001</v>
      </c>
      <c r="AE3267" s="223">
        <v>0.57300519999999999</v>
      </c>
      <c r="AF3267" s="223">
        <v>8.5508927000000003</v>
      </c>
      <c r="AG3267" s="223">
        <v>0.98142379999999996</v>
      </c>
      <c r="AH3267" s="341"/>
      <c r="AI3267" s="218"/>
      <c r="AJ3267" s="218"/>
      <c r="AK3267" s="153"/>
      <c r="AL3267" s="152"/>
      <c r="AM3267" s="152"/>
      <c r="AN3267" s="152"/>
      <c r="AO3267" s="152"/>
      <c r="AP3267" s="152"/>
      <c r="AQ3267" s="152"/>
      <c r="AR3267" s="152"/>
      <c r="AS3267" s="152"/>
      <c r="AT3267" s="152"/>
      <c r="AU3267" s="153"/>
      <c r="AV3267" s="479"/>
      <c r="AW3267" s="479"/>
      <c r="AX3267" s="442"/>
      <c r="AY3267" s="153"/>
      <c r="AZ3267" s="152"/>
      <c r="BA3267" s="152"/>
      <c r="BB3267" s="152"/>
      <c r="BC3267" s="152"/>
      <c r="BD3267" s="152"/>
      <c r="BE3267" s="152"/>
      <c r="BF3267" s="152"/>
      <c r="BG3267" s="152"/>
      <c r="BH3267" s="152"/>
      <c r="BI3267" s="153"/>
      <c r="BJ3267" s="153"/>
      <c r="BK3267" s="153"/>
      <c r="BL3267" s="153"/>
      <c r="BM3267" s="153"/>
      <c r="BN3267" s="153"/>
      <c r="BO3267" s="153"/>
      <c r="BP3267" s="153"/>
      <c r="BQ3267" s="153"/>
      <c r="BR3267" s="153"/>
      <c r="BS3267" s="153"/>
      <c r="BT3267" s="153"/>
      <c r="BU3267" s="153"/>
      <c r="BV3267" s="153"/>
      <c r="BW3267" s="153"/>
      <c r="BX3267" s="153"/>
      <c r="BY3267" s="153"/>
      <c r="BZ3267" s="153"/>
      <c r="CA3267" s="152"/>
      <c r="CB3267" s="152"/>
    </row>
    <row r="3268" spans="1:80" s="87" customFormat="1" x14ac:dyDescent="0.2">
      <c r="A3268" s="152"/>
      <c r="B3268" s="683"/>
      <c r="C3268" s="683"/>
      <c r="D3268" s="698"/>
      <c r="E3268" s="215"/>
      <c r="F3268" s="215"/>
      <c r="G3268" s="153"/>
      <c r="H3268" s="153"/>
      <c r="I3268" s="321">
        <v>20</v>
      </c>
      <c r="J3268" s="321">
        <v>30</v>
      </c>
      <c r="K3268" s="150">
        <v>1</v>
      </c>
      <c r="L3268" s="664">
        <v>10</v>
      </c>
      <c r="M3268" s="663">
        <v>33031</v>
      </c>
      <c r="N3268" s="600">
        <v>9.9377600000000008</v>
      </c>
      <c r="O3268" s="604">
        <v>4.4499999999999997E-4</v>
      </c>
      <c r="P3268" s="150"/>
      <c r="Q3268" s="250"/>
      <c r="R3268" s="250"/>
      <c r="S3268" s="250"/>
      <c r="T3268" s="250"/>
      <c r="U3268" s="250"/>
      <c r="V3268" s="250"/>
      <c r="W3268" s="250"/>
      <c r="X3268" s="250"/>
      <c r="Y3268" s="250"/>
      <c r="Z3268" s="150"/>
      <c r="AA3268" s="150">
        <v>6.89</v>
      </c>
      <c r="AB3268" s="152"/>
      <c r="AC3268" s="152"/>
      <c r="AD3268" s="223">
        <v>15.2395</v>
      </c>
      <c r="AE3268" s="223">
        <v>0.58214889999999997</v>
      </c>
      <c r="AF3268" s="223">
        <v>8.8806664000000008</v>
      </c>
      <c r="AG3268" s="223">
        <v>1.0941961</v>
      </c>
      <c r="AH3268" s="341"/>
      <c r="AI3268" s="218"/>
      <c r="AJ3268" s="218"/>
      <c r="AK3268" s="153"/>
      <c r="AL3268" s="152"/>
      <c r="AM3268" s="152"/>
      <c r="AN3268" s="152"/>
      <c r="AO3268" s="152"/>
      <c r="AP3268" s="152"/>
      <c r="AQ3268" s="152"/>
      <c r="AR3268" s="152"/>
      <c r="AS3268" s="152"/>
      <c r="AT3268" s="152"/>
      <c r="AU3268" s="153"/>
      <c r="AV3268" s="479"/>
      <c r="AW3268" s="479"/>
      <c r="AX3268" s="442"/>
      <c r="AY3268" s="153"/>
      <c r="AZ3268" s="152"/>
      <c r="BA3268" s="152"/>
      <c r="BB3268" s="152"/>
      <c r="BC3268" s="152"/>
      <c r="BD3268" s="152"/>
      <c r="BE3268" s="152"/>
      <c r="BF3268" s="152"/>
      <c r="BG3268" s="152"/>
      <c r="BH3268" s="152"/>
      <c r="BI3268" s="153"/>
      <c r="BJ3268" s="153"/>
      <c r="BK3268" s="153"/>
      <c r="BL3268" s="153"/>
      <c r="BM3268" s="153"/>
      <c r="BN3268" s="153"/>
      <c r="BO3268" s="153"/>
      <c r="BP3268" s="153"/>
      <c r="BQ3268" s="153"/>
      <c r="BR3268" s="153"/>
      <c r="BS3268" s="153"/>
      <c r="BT3268" s="153"/>
      <c r="BU3268" s="153"/>
      <c r="BV3268" s="153"/>
      <c r="BW3268" s="153"/>
      <c r="BX3268" s="153"/>
      <c r="BY3268" s="153"/>
      <c r="BZ3268" s="153"/>
      <c r="CA3268" s="152"/>
      <c r="CB3268" s="152"/>
    </row>
    <row r="3269" spans="1:80" s="87" customFormat="1" x14ac:dyDescent="0.2">
      <c r="A3269" s="152"/>
      <c r="B3269" s="683"/>
      <c r="C3269" s="683"/>
      <c r="D3269" s="698"/>
      <c r="E3269" s="215"/>
      <c r="F3269" s="215"/>
      <c r="G3269" s="153"/>
      <c r="H3269" s="153"/>
      <c r="I3269" s="321">
        <v>20</v>
      </c>
      <c r="J3269" s="321">
        <v>30</v>
      </c>
      <c r="K3269" s="150">
        <v>1</v>
      </c>
      <c r="L3269" s="664">
        <v>10</v>
      </c>
      <c r="M3269" s="663">
        <v>33036</v>
      </c>
      <c r="N3269" s="600">
        <v>9.3431899999999999</v>
      </c>
      <c r="O3269" s="604">
        <v>1.1E-4</v>
      </c>
      <c r="P3269" s="150"/>
      <c r="Q3269" s="250"/>
      <c r="R3269" s="250"/>
      <c r="S3269" s="250"/>
      <c r="T3269" s="250"/>
      <c r="U3269" s="250"/>
      <c r="V3269" s="250"/>
      <c r="W3269" s="250"/>
      <c r="X3269" s="250"/>
      <c r="Y3269" s="250"/>
      <c r="Z3269" s="150"/>
      <c r="AA3269" s="150">
        <v>1.97</v>
      </c>
      <c r="AB3269" s="152"/>
      <c r="AC3269" s="152"/>
      <c r="AD3269" s="223">
        <v>15.849080000000001</v>
      </c>
      <c r="AE3269" s="223">
        <v>0.55471780000000004</v>
      </c>
      <c r="AF3269" s="223">
        <v>8.7877723999999997</v>
      </c>
      <c r="AG3269" s="223">
        <v>1.0881003</v>
      </c>
      <c r="AH3269" s="341"/>
      <c r="AI3269" s="218"/>
      <c r="AJ3269" s="218"/>
      <c r="AK3269" s="153"/>
      <c r="AL3269" s="152"/>
      <c r="AM3269" s="152"/>
      <c r="AN3269" s="152"/>
      <c r="AO3269" s="152"/>
      <c r="AP3269" s="152"/>
      <c r="AQ3269" s="152"/>
      <c r="AR3269" s="152"/>
      <c r="AS3269" s="152"/>
      <c r="AT3269" s="152"/>
      <c r="AU3269" s="153"/>
      <c r="AV3269" s="479"/>
      <c r="AW3269" s="479"/>
      <c r="AX3269" s="442"/>
      <c r="AY3269" s="153"/>
      <c r="AZ3269" s="152"/>
      <c r="BA3269" s="152"/>
      <c r="BB3269" s="152"/>
      <c r="BC3269" s="152"/>
      <c r="BD3269" s="152"/>
      <c r="BE3269" s="152"/>
      <c r="BF3269" s="152"/>
      <c r="BG3269" s="152"/>
      <c r="BH3269" s="152"/>
      <c r="BI3269" s="153"/>
      <c r="BJ3269" s="153"/>
      <c r="BK3269" s="153"/>
      <c r="BL3269" s="153"/>
      <c r="BM3269" s="153"/>
      <c r="BN3269" s="153"/>
      <c r="BO3269" s="153"/>
      <c r="BP3269" s="153"/>
      <c r="BQ3269" s="153"/>
      <c r="BR3269" s="153"/>
      <c r="BS3269" s="153"/>
      <c r="BT3269" s="153"/>
      <c r="BU3269" s="153"/>
      <c r="BV3269" s="153"/>
      <c r="BW3269" s="153"/>
      <c r="BX3269" s="153"/>
      <c r="BY3269" s="153"/>
      <c r="BZ3269" s="153"/>
      <c r="CA3269" s="152"/>
      <c r="CB3269" s="152"/>
    </row>
    <row r="3270" spans="1:80" s="87" customFormat="1" x14ac:dyDescent="0.2">
      <c r="A3270" s="152"/>
      <c r="B3270" s="683"/>
      <c r="C3270" s="683"/>
      <c r="D3270" s="698"/>
      <c r="E3270" s="215"/>
      <c r="F3270" s="215"/>
      <c r="G3270" s="153"/>
      <c r="H3270" s="153"/>
      <c r="I3270" s="321">
        <v>20</v>
      </c>
      <c r="J3270" s="321">
        <v>30</v>
      </c>
      <c r="K3270" s="150">
        <v>1</v>
      </c>
      <c r="L3270" s="664">
        <v>10</v>
      </c>
      <c r="M3270" s="663">
        <v>33346</v>
      </c>
      <c r="N3270" s="600">
        <v>1.8544799999999999</v>
      </c>
      <c r="O3270" s="604">
        <v>9.5500000000000004E-5</v>
      </c>
      <c r="P3270" s="150"/>
      <c r="Q3270" s="250"/>
      <c r="R3270" s="250"/>
      <c r="S3270" s="250"/>
      <c r="T3270" s="250"/>
      <c r="U3270" s="250"/>
      <c r="V3270" s="250"/>
      <c r="W3270" s="250"/>
      <c r="X3270" s="250"/>
      <c r="Y3270" s="250"/>
      <c r="Z3270" s="150"/>
      <c r="AA3270" s="150">
        <v>0.73</v>
      </c>
      <c r="AB3270" s="152"/>
      <c r="AC3270" s="152"/>
      <c r="AD3270" s="223">
        <v>13.105969999999999</v>
      </c>
      <c r="AE3270" s="223">
        <v>0.30479000000000001</v>
      </c>
      <c r="AF3270" s="223">
        <v>3.9851526000000002</v>
      </c>
      <c r="AG3270" s="223">
        <v>0.46632869999999998</v>
      </c>
      <c r="AH3270" s="341"/>
      <c r="AI3270" s="218"/>
      <c r="AJ3270" s="218"/>
      <c r="AK3270" s="153"/>
      <c r="AL3270" s="152"/>
      <c r="AM3270" s="152"/>
      <c r="AN3270" s="152"/>
      <c r="AO3270" s="152"/>
      <c r="AP3270" s="152"/>
      <c r="AQ3270" s="152"/>
      <c r="AR3270" s="152"/>
      <c r="AS3270" s="152"/>
      <c r="AT3270" s="152"/>
      <c r="AU3270" s="153"/>
      <c r="AV3270" s="479"/>
      <c r="AW3270" s="479"/>
      <c r="AX3270" s="442"/>
      <c r="AY3270" s="153"/>
      <c r="AZ3270" s="152"/>
      <c r="BA3270" s="152"/>
      <c r="BB3270" s="152"/>
      <c r="BC3270" s="152"/>
      <c r="BD3270" s="152"/>
      <c r="BE3270" s="152"/>
      <c r="BF3270" s="152"/>
      <c r="BG3270" s="152"/>
      <c r="BH3270" s="152"/>
      <c r="BI3270" s="153"/>
      <c r="BJ3270" s="153"/>
      <c r="BK3270" s="153"/>
      <c r="BL3270" s="153"/>
      <c r="BM3270" s="153"/>
      <c r="BN3270" s="153"/>
      <c r="BO3270" s="153"/>
      <c r="BP3270" s="153"/>
      <c r="BQ3270" s="153"/>
      <c r="BR3270" s="153"/>
      <c r="BS3270" s="153"/>
      <c r="BT3270" s="153"/>
      <c r="BU3270" s="153"/>
      <c r="BV3270" s="153"/>
      <c r="BW3270" s="153"/>
      <c r="BX3270" s="153"/>
      <c r="BY3270" s="153"/>
      <c r="BZ3270" s="153"/>
      <c r="CA3270" s="152"/>
      <c r="CB3270" s="152"/>
    </row>
    <row r="3271" spans="1:80" s="87" customFormat="1" x14ac:dyDescent="0.2">
      <c r="A3271" s="152"/>
      <c r="B3271" s="683"/>
      <c r="C3271" s="683"/>
      <c r="D3271" s="698"/>
      <c r="E3271" s="215"/>
      <c r="F3271" s="215"/>
      <c r="G3271" s="153"/>
      <c r="H3271" s="153"/>
      <c r="I3271" s="321">
        <v>24</v>
      </c>
      <c r="J3271" s="321">
        <v>30</v>
      </c>
      <c r="K3271" s="150">
        <v>1</v>
      </c>
      <c r="L3271" s="664">
        <v>12</v>
      </c>
      <c r="M3271" s="663">
        <v>33373</v>
      </c>
      <c r="N3271" s="600">
        <v>4.5017199999999997</v>
      </c>
      <c r="O3271" s="604">
        <v>4.2900000000000002E-4</v>
      </c>
      <c r="P3271" s="150"/>
      <c r="Q3271" s="250"/>
      <c r="R3271" s="250"/>
      <c r="S3271" s="250"/>
      <c r="T3271" s="250"/>
      <c r="U3271" s="250"/>
      <c r="V3271" s="250"/>
      <c r="W3271" s="250"/>
      <c r="X3271" s="250"/>
      <c r="Y3271" s="250"/>
      <c r="Z3271" s="150"/>
      <c r="AA3271" s="150">
        <v>6.66</v>
      </c>
      <c r="AB3271" s="152"/>
      <c r="AC3271" s="152"/>
      <c r="AD3271" s="223">
        <v>16.153870000000001</v>
      </c>
      <c r="AE3271" s="223">
        <v>0.4175623</v>
      </c>
      <c r="AF3271" s="223">
        <v>6.7348150000000002</v>
      </c>
      <c r="AG3271" s="223">
        <v>0.66139429999999999</v>
      </c>
      <c r="AH3271" s="341"/>
      <c r="AI3271" s="218"/>
      <c r="AJ3271" s="218"/>
      <c r="AK3271" s="153"/>
      <c r="AL3271" s="152"/>
      <c r="AM3271" s="152"/>
      <c r="AN3271" s="152"/>
      <c r="AO3271" s="152"/>
      <c r="AP3271" s="152"/>
      <c r="AQ3271" s="152"/>
      <c r="AR3271" s="152"/>
      <c r="AS3271" s="152"/>
      <c r="AT3271" s="152"/>
      <c r="AU3271" s="153"/>
      <c r="AV3271" s="479"/>
      <c r="AW3271" s="479"/>
      <c r="AX3271" s="442"/>
      <c r="AY3271" s="153"/>
      <c r="AZ3271" s="152"/>
      <c r="BA3271" s="152"/>
      <c r="BB3271" s="152"/>
      <c r="BC3271" s="152"/>
      <c r="BD3271" s="152"/>
      <c r="BE3271" s="152"/>
      <c r="BF3271" s="152"/>
      <c r="BG3271" s="152"/>
      <c r="BH3271" s="152"/>
      <c r="BI3271" s="153"/>
      <c r="BJ3271" s="153"/>
      <c r="BK3271" s="153"/>
      <c r="BL3271" s="153"/>
      <c r="BM3271" s="153"/>
      <c r="BN3271" s="153"/>
      <c r="BO3271" s="153"/>
      <c r="BP3271" s="153"/>
      <c r="BQ3271" s="153"/>
      <c r="BR3271" s="153"/>
      <c r="BS3271" s="153"/>
      <c r="BT3271" s="153"/>
      <c r="BU3271" s="153"/>
      <c r="BV3271" s="153"/>
      <c r="BW3271" s="153"/>
      <c r="BX3271" s="153"/>
      <c r="BY3271" s="153"/>
      <c r="BZ3271" s="153"/>
      <c r="CA3271" s="152"/>
      <c r="CB3271" s="152"/>
    </row>
    <row r="3272" spans="1:80" s="87" customFormat="1" x14ac:dyDescent="0.2">
      <c r="A3272" s="152"/>
      <c r="B3272" s="683"/>
      <c r="C3272" s="683"/>
      <c r="D3272" s="698"/>
      <c r="E3272" s="215"/>
      <c r="F3272" s="215"/>
      <c r="G3272" s="153"/>
      <c r="H3272" s="153"/>
      <c r="I3272" s="321">
        <v>24</v>
      </c>
      <c r="J3272" s="321">
        <v>30</v>
      </c>
      <c r="K3272" s="150">
        <v>1</v>
      </c>
      <c r="L3272" s="664">
        <v>12</v>
      </c>
      <c r="M3272" s="663">
        <v>33401</v>
      </c>
      <c r="N3272" s="600">
        <v>13.9298</v>
      </c>
      <c r="O3272" s="604">
        <v>6.8099999999999996E-4</v>
      </c>
      <c r="P3272" s="150"/>
      <c r="Q3272" s="250"/>
      <c r="R3272" s="250"/>
      <c r="S3272" s="250"/>
      <c r="T3272" s="250"/>
      <c r="U3272" s="250"/>
      <c r="V3272" s="250"/>
      <c r="W3272" s="250"/>
      <c r="X3272" s="250"/>
      <c r="Y3272" s="250"/>
      <c r="Z3272" s="150"/>
      <c r="AA3272" s="150">
        <v>11.09</v>
      </c>
      <c r="AB3272" s="152"/>
      <c r="AC3272" s="152"/>
      <c r="AD3272" s="223">
        <v>17.068239999999999</v>
      </c>
      <c r="AE3272" s="223">
        <v>0.64310690000000004</v>
      </c>
      <c r="AF3272" s="223">
        <v>10.961492</v>
      </c>
      <c r="AG3272" s="223">
        <v>1.2953574999999999</v>
      </c>
      <c r="AH3272" s="341"/>
      <c r="AI3272" s="218"/>
      <c r="AJ3272" s="218"/>
      <c r="AK3272" s="153"/>
      <c r="AL3272" s="152"/>
      <c r="AM3272" s="152"/>
      <c r="AN3272" s="152"/>
      <c r="AO3272" s="152"/>
      <c r="AP3272" s="152"/>
      <c r="AQ3272" s="152"/>
      <c r="AR3272" s="152"/>
      <c r="AS3272" s="152"/>
      <c r="AT3272" s="152"/>
      <c r="AU3272" s="153"/>
      <c r="AV3272" s="479"/>
      <c r="AW3272" s="479"/>
      <c r="AX3272" s="442"/>
      <c r="AY3272" s="153"/>
      <c r="AZ3272" s="152"/>
      <c r="BA3272" s="152"/>
      <c r="BB3272" s="152"/>
      <c r="BC3272" s="152"/>
      <c r="BD3272" s="152"/>
      <c r="BE3272" s="152"/>
      <c r="BF3272" s="152"/>
      <c r="BG3272" s="152"/>
      <c r="BH3272" s="152"/>
      <c r="BI3272" s="153"/>
      <c r="BJ3272" s="153"/>
      <c r="BK3272" s="153"/>
      <c r="BL3272" s="153"/>
      <c r="BM3272" s="153"/>
      <c r="BN3272" s="153"/>
      <c r="BO3272" s="153"/>
      <c r="BP3272" s="153"/>
      <c r="BQ3272" s="153"/>
      <c r="BR3272" s="153"/>
      <c r="BS3272" s="153"/>
      <c r="BT3272" s="153"/>
      <c r="BU3272" s="153"/>
      <c r="BV3272" s="153"/>
      <c r="BW3272" s="153"/>
      <c r="BX3272" s="153"/>
      <c r="BY3272" s="153"/>
      <c r="BZ3272" s="153"/>
      <c r="CA3272" s="152"/>
      <c r="CB3272" s="152"/>
    </row>
    <row r="3273" spans="1:80" s="87" customFormat="1" x14ac:dyDescent="0.2">
      <c r="A3273" s="152"/>
      <c r="B3273" s="683"/>
      <c r="C3273" s="683"/>
      <c r="D3273" s="698"/>
      <c r="E3273" s="215"/>
      <c r="F3273" s="215"/>
      <c r="G3273" s="153"/>
      <c r="H3273" s="153"/>
      <c r="I3273" s="321">
        <v>18</v>
      </c>
      <c r="J3273" s="321">
        <v>30</v>
      </c>
      <c r="K3273" s="150">
        <v>1</v>
      </c>
      <c r="L3273" s="664">
        <v>9</v>
      </c>
      <c r="M3273" s="663">
        <v>33428</v>
      </c>
      <c r="N3273" s="600">
        <v>7.3896199999999999</v>
      </c>
      <c r="O3273" s="604">
        <v>5.3499999999999999E-5</v>
      </c>
      <c r="P3273" s="150"/>
      <c r="Q3273" s="250"/>
      <c r="R3273" s="250"/>
      <c r="S3273" s="250"/>
      <c r="T3273" s="250"/>
      <c r="U3273" s="250"/>
      <c r="V3273" s="250"/>
      <c r="W3273" s="250"/>
      <c r="X3273" s="250"/>
      <c r="Y3273" s="250"/>
      <c r="Z3273" s="150"/>
      <c r="AA3273" s="150">
        <v>1.74</v>
      </c>
      <c r="AB3273" s="152"/>
      <c r="AC3273" s="152"/>
      <c r="AD3273" s="223">
        <v>17.982610000000001</v>
      </c>
      <c r="AE3273" s="223">
        <v>0.47547240000000002</v>
      </c>
      <c r="AF3273" s="223">
        <v>8.5555374000000004</v>
      </c>
      <c r="AG3273" s="223">
        <v>0.86560360000000003</v>
      </c>
      <c r="AH3273" s="341"/>
      <c r="AI3273" s="218"/>
      <c r="AJ3273" s="218"/>
      <c r="AK3273" s="153"/>
      <c r="AL3273" s="152"/>
      <c r="AM3273" s="152"/>
      <c r="AN3273" s="152"/>
      <c r="AO3273" s="152"/>
      <c r="AP3273" s="152"/>
      <c r="AQ3273" s="152"/>
      <c r="AR3273" s="152"/>
      <c r="AS3273" s="152"/>
      <c r="AT3273" s="152"/>
      <c r="AU3273" s="153"/>
      <c r="AV3273" s="479"/>
      <c r="AW3273" s="479"/>
      <c r="AX3273" s="442"/>
      <c r="AY3273" s="153"/>
      <c r="AZ3273" s="152"/>
      <c r="BA3273" s="152"/>
      <c r="BB3273" s="152"/>
      <c r="BC3273" s="152"/>
      <c r="BD3273" s="152"/>
      <c r="BE3273" s="152"/>
      <c r="BF3273" s="152"/>
      <c r="BG3273" s="152"/>
      <c r="BH3273" s="152"/>
      <c r="BI3273" s="153"/>
      <c r="BJ3273" s="153"/>
      <c r="BK3273" s="153"/>
      <c r="BL3273" s="153"/>
      <c r="BM3273" s="153"/>
      <c r="BN3273" s="153"/>
      <c r="BO3273" s="153"/>
      <c r="BP3273" s="153"/>
      <c r="BQ3273" s="153"/>
      <c r="BR3273" s="153"/>
      <c r="BS3273" s="153"/>
      <c r="BT3273" s="153"/>
      <c r="BU3273" s="153"/>
      <c r="BV3273" s="153"/>
      <c r="BW3273" s="153"/>
      <c r="BX3273" s="153"/>
      <c r="BY3273" s="153"/>
      <c r="BZ3273" s="153"/>
      <c r="CA3273" s="152"/>
      <c r="CB3273" s="152"/>
    </row>
    <row r="3274" spans="1:80" s="87" customFormat="1" x14ac:dyDescent="0.2">
      <c r="A3274" s="152"/>
      <c r="B3274" s="683"/>
      <c r="C3274" s="683"/>
      <c r="D3274" s="698"/>
      <c r="E3274" s="215"/>
      <c r="F3274" s="215"/>
      <c r="G3274" s="153"/>
      <c r="H3274" s="153"/>
      <c r="I3274" s="321">
        <v>21</v>
      </c>
      <c r="J3274" s="321">
        <v>30</v>
      </c>
      <c r="K3274" s="150">
        <v>1</v>
      </c>
      <c r="L3274" s="664">
        <v>10.5</v>
      </c>
      <c r="M3274" s="663">
        <v>34066</v>
      </c>
      <c r="N3274" s="600">
        <v>2.4122400000000002</v>
      </c>
      <c r="O3274" s="604">
        <v>2.2100000000000001E-4</v>
      </c>
      <c r="P3274" s="150"/>
      <c r="Q3274" s="250"/>
      <c r="R3274" s="250"/>
      <c r="S3274" s="250"/>
      <c r="T3274" s="250"/>
      <c r="U3274" s="250"/>
      <c r="V3274" s="250"/>
      <c r="W3274" s="250"/>
      <c r="X3274" s="250"/>
      <c r="Y3274" s="250"/>
      <c r="Z3274" s="150"/>
      <c r="AA3274" s="150">
        <v>0.82</v>
      </c>
      <c r="AB3274" s="152"/>
      <c r="AC3274" s="152"/>
      <c r="AD3274" s="223"/>
      <c r="AE3274" s="223"/>
      <c r="AF3274" s="223"/>
      <c r="AG3274" s="223"/>
      <c r="AH3274" s="341"/>
      <c r="AI3274" s="218"/>
      <c r="AJ3274" s="218"/>
      <c r="AK3274" s="153"/>
      <c r="AL3274" s="152"/>
      <c r="AM3274" s="152"/>
      <c r="AN3274" s="152"/>
      <c r="AO3274" s="152"/>
      <c r="AP3274" s="152"/>
      <c r="AQ3274" s="152"/>
      <c r="AR3274" s="152"/>
      <c r="AS3274" s="152"/>
      <c r="AT3274" s="152"/>
      <c r="AU3274" s="153"/>
      <c r="AV3274" s="479"/>
      <c r="AW3274" s="479"/>
      <c r="AX3274" s="442"/>
      <c r="AY3274" s="153"/>
      <c r="AZ3274" s="152"/>
      <c r="BA3274" s="152"/>
      <c r="BB3274" s="152"/>
      <c r="BC3274" s="152"/>
      <c r="BD3274" s="152"/>
      <c r="BE3274" s="152"/>
      <c r="BF3274" s="152"/>
      <c r="BG3274" s="152"/>
      <c r="BH3274" s="152"/>
      <c r="BI3274" s="153"/>
      <c r="BJ3274" s="153"/>
      <c r="BK3274" s="153"/>
      <c r="BL3274" s="153"/>
      <c r="BM3274" s="153"/>
      <c r="BN3274" s="153"/>
      <c r="BO3274" s="153"/>
      <c r="BP3274" s="153"/>
      <c r="BQ3274" s="153"/>
      <c r="BR3274" s="153"/>
      <c r="BS3274" s="153"/>
      <c r="BT3274" s="153"/>
      <c r="BU3274" s="153"/>
      <c r="BV3274" s="153"/>
      <c r="BW3274" s="153"/>
      <c r="BX3274" s="153"/>
      <c r="BY3274" s="153"/>
      <c r="BZ3274" s="153"/>
      <c r="CA3274" s="152"/>
      <c r="CB3274" s="152"/>
    </row>
    <row r="3275" spans="1:80" s="87" customFormat="1" x14ac:dyDescent="0.2">
      <c r="A3275" s="152"/>
      <c r="B3275" s="683"/>
      <c r="C3275" s="683"/>
      <c r="D3275" s="698"/>
      <c r="E3275" s="215"/>
      <c r="F3275" s="215"/>
      <c r="G3275" s="153"/>
      <c r="H3275" s="153"/>
      <c r="I3275" s="321">
        <v>21</v>
      </c>
      <c r="J3275" s="321">
        <v>30</v>
      </c>
      <c r="K3275" s="150">
        <v>1</v>
      </c>
      <c r="L3275" s="664">
        <v>10.5</v>
      </c>
      <c r="M3275" s="663">
        <v>34078</v>
      </c>
      <c r="N3275" s="600">
        <v>2.0215299999999998</v>
      </c>
      <c r="O3275" s="604">
        <v>6.87E-4</v>
      </c>
      <c r="P3275" s="150"/>
      <c r="Q3275" s="250"/>
      <c r="R3275" s="250"/>
      <c r="S3275" s="250"/>
      <c r="T3275" s="250"/>
      <c r="U3275" s="250"/>
      <c r="V3275" s="250"/>
      <c r="W3275" s="250"/>
      <c r="X3275" s="250"/>
      <c r="Y3275" s="250"/>
      <c r="Z3275" s="150"/>
      <c r="AA3275" s="150">
        <v>1.23</v>
      </c>
      <c r="AB3275" s="152"/>
      <c r="AC3275" s="152"/>
      <c r="AD3275" s="223">
        <v>14.934710000000001</v>
      </c>
      <c r="AE3275" s="223">
        <v>0.26821519999999999</v>
      </c>
      <c r="AF3275" s="223">
        <v>4.0130207999999996</v>
      </c>
      <c r="AG3275" s="223">
        <v>0.50595140000000005</v>
      </c>
      <c r="AH3275" s="341"/>
      <c r="AI3275" s="218"/>
      <c r="AJ3275" s="218"/>
      <c r="AK3275" s="153"/>
      <c r="AL3275" s="152"/>
      <c r="AM3275" s="152"/>
      <c r="AN3275" s="152"/>
      <c r="AO3275" s="152"/>
      <c r="AP3275" s="152"/>
      <c r="AQ3275" s="152"/>
      <c r="AR3275" s="152"/>
      <c r="AS3275" s="152"/>
      <c r="AT3275" s="152"/>
      <c r="AU3275" s="153"/>
      <c r="AV3275" s="479"/>
      <c r="AW3275" s="479"/>
      <c r="AX3275" s="442"/>
      <c r="AY3275" s="153"/>
      <c r="AZ3275" s="152"/>
      <c r="BA3275" s="152"/>
      <c r="BB3275" s="152"/>
      <c r="BC3275" s="152"/>
      <c r="BD3275" s="152"/>
      <c r="BE3275" s="152"/>
      <c r="BF3275" s="152"/>
      <c r="BG3275" s="152"/>
      <c r="BH3275" s="152"/>
      <c r="BI3275" s="153"/>
      <c r="BJ3275" s="153"/>
      <c r="BK3275" s="153"/>
      <c r="BL3275" s="153"/>
      <c r="BM3275" s="153"/>
      <c r="BN3275" s="153"/>
      <c r="BO3275" s="153"/>
      <c r="BP3275" s="153"/>
      <c r="BQ3275" s="153"/>
      <c r="BR3275" s="153"/>
      <c r="BS3275" s="153"/>
      <c r="BT3275" s="153"/>
      <c r="BU3275" s="153"/>
      <c r="BV3275" s="153"/>
      <c r="BW3275" s="153"/>
      <c r="BX3275" s="153"/>
      <c r="BY3275" s="153"/>
      <c r="BZ3275" s="153"/>
      <c r="CA3275" s="152"/>
      <c r="CB3275" s="152"/>
    </row>
    <row r="3276" spans="1:80" s="87" customFormat="1" x14ac:dyDescent="0.2">
      <c r="A3276" s="152"/>
      <c r="B3276" s="683"/>
      <c r="C3276" s="683"/>
      <c r="D3276" s="698"/>
      <c r="E3276" s="215"/>
      <c r="F3276" s="215"/>
      <c r="G3276" s="153"/>
      <c r="H3276" s="153"/>
      <c r="I3276" s="321">
        <v>12</v>
      </c>
      <c r="J3276" s="321">
        <v>30</v>
      </c>
      <c r="K3276" s="150">
        <v>1</v>
      </c>
      <c r="L3276" s="664">
        <v>6</v>
      </c>
      <c r="M3276" s="663">
        <v>34092</v>
      </c>
      <c r="N3276" s="600">
        <v>3.3409</v>
      </c>
      <c r="O3276" s="604">
        <v>1.0319999999999999E-3</v>
      </c>
      <c r="P3276" s="150"/>
      <c r="Q3276" s="250"/>
      <c r="R3276" s="250"/>
      <c r="S3276" s="250"/>
      <c r="T3276" s="250"/>
      <c r="U3276" s="250"/>
      <c r="V3276" s="250"/>
      <c r="W3276" s="250"/>
      <c r="X3276" s="250"/>
      <c r="Y3276" s="250"/>
      <c r="Z3276" s="150"/>
      <c r="AA3276" s="150">
        <v>0.9</v>
      </c>
      <c r="AB3276" s="152"/>
      <c r="AC3276" s="152"/>
      <c r="AD3276" s="223">
        <v>15.54429</v>
      </c>
      <c r="AE3276" s="223">
        <v>0.34136480000000002</v>
      </c>
      <c r="AF3276" s="223">
        <v>5.2949580000000003</v>
      </c>
      <c r="AG3276" s="223">
        <v>0.63091529999999996</v>
      </c>
      <c r="AH3276" s="341"/>
      <c r="AI3276" s="218"/>
      <c r="AJ3276" s="218"/>
      <c r="AK3276" s="153"/>
      <c r="AL3276" s="152"/>
      <c r="AM3276" s="152"/>
      <c r="AN3276" s="152"/>
      <c r="AO3276" s="152"/>
      <c r="AP3276" s="152"/>
      <c r="AQ3276" s="152"/>
      <c r="AR3276" s="152"/>
      <c r="AS3276" s="152"/>
      <c r="AT3276" s="152"/>
      <c r="AU3276" s="153"/>
      <c r="AV3276" s="479"/>
      <c r="AW3276" s="479"/>
      <c r="AX3276" s="442"/>
      <c r="AY3276" s="153"/>
      <c r="AZ3276" s="152"/>
      <c r="BA3276" s="152"/>
      <c r="BB3276" s="152"/>
      <c r="BC3276" s="152"/>
      <c r="BD3276" s="152"/>
      <c r="BE3276" s="152"/>
      <c r="BF3276" s="152"/>
      <c r="BG3276" s="152"/>
      <c r="BH3276" s="152"/>
      <c r="BI3276" s="153"/>
      <c r="BJ3276" s="153"/>
      <c r="BK3276" s="153"/>
      <c r="BL3276" s="153"/>
      <c r="BM3276" s="153"/>
      <c r="BN3276" s="153"/>
      <c r="BO3276" s="153"/>
      <c r="BP3276" s="153"/>
      <c r="BQ3276" s="153"/>
      <c r="BR3276" s="153"/>
      <c r="BS3276" s="153"/>
      <c r="BT3276" s="153"/>
      <c r="BU3276" s="153"/>
      <c r="BV3276" s="153"/>
      <c r="BW3276" s="153"/>
      <c r="BX3276" s="153"/>
      <c r="BY3276" s="153"/>
      <c r="BZ3276" s="153"/>
      <c r="CA3276" s="152"/>
      <c r="CB3276" s="152"/>
    </row>
    <row r="3277" spans="1:80" s="87" customFormat="1" x14ac:dyDescent="0.2">
      <c r="A3277" s="152"/>
      <c r="B3277" s="683"/>
      <c r="C3277" s="683"/>
      <c r="D3277" s="698"/>
      <c r="E3277" s="215"/>
      <c r="F3277" s="215"/>
      <c r="G3277" s="153"/>
      <c r="H3277" s="153"/>
      <c r="I3277" s="321">
        <v>24</v>
      </c>
      <c r="J3277" s="321">
        <v>30</v>
      </c>
      <c r="K3277" s="150">
        <v>1</v>
      </c>
      <c r="L3277" s="664">
        <v>12</v>
      </c>
      <c r="M3277" s="663">
        <v>34107</v>
      </c>
      <c r="N3277" s="600">
        <v>17.072600000000001</v>
      </c>
      <c r="O3277" s="604">
        <v>0.45866299999999999</v>
      </c>
      <c r="P3277" s="150"/>
      <c r="Q3277" s="250"/>
      <c r="R3277" s="250"/>
      <c r="S3277" s="250"/>
      <c r="T3277" s="250"/>
      <c r="U3277" s="250"/>
      <c r="V3277" s="250"/>
      <c r="W3277" s="250"/>
      <c r="X3277" s="250"/>
      <c r="Y3277" s="250"/>
      <c r="Z3277" s="150"/>
      <c r="AA3277" s="150">
        <v>0.83</v>
      </c>
      <c r="AB3277" s="152"/>
      <c r="AC3277" s="152"/>
      <c r="AD3277" s="223">
        <v>17.37303</v>
      </c>
      <c r="AE3277" s="223">
        <v>0.60958000000000001</v>
      </c>
      <c r="AF3277" s="223">
        <v>10.589916000000001</v>
      </c>
      <c r="AG3277" s="223">
        <v>1.6245307</v>
      </c>
      <c r="AH3277" s="341"/>
      <c r="AI3277" s="218"/>
      <c r="AJ3277" s="218"/>
      <c r="AK3277" s="153"/>
      <c r="AL3277" s="152"/>
      <c r="AM3277" s="152"/>
      <c r="AN3277" s="152"/>
      <c r="AO3277" s="152"/>
      <c r="AP3277" s="152"/>
      <c r="AQ3277" s="152"/>
      <c r="AR3277" s="152"/>
      <c r="AS3277" s="152"/>
      <c r="AT3277" s="152"/>
      <c r="AU3277" s="153"/>
      <c r="AV3277" s="479"/>
      <c r="AW3277" s="479"/>
      <c r="AX3277" s="442"/>
      <c r="AY3277" s="153"/>
      <c r="AZ3277" s="152"/>
      <c r="BA3277" s="152"/>
      <c r="BB3277" s="152"/>
      <c r="BC3277" s="152"/>
      <c r="BD3277" s="152"/>
      <c r="BE3277" s="152"/>
      <c r="BF3277" s="152"/>
      <c r="BG3277" s="152"/>
      <c r="BH3277" s="152"/>
      <c r="BI3277" s="153"/>
      <c r="BJ3277" s="153"/>
      <c r="BK3277" s="153"/>
      <c r="BL3277" s="153"/>
      <c r="BM3277" s="153"/>
      <c r="BN3277" s="153"/>
      <c r="BO3277" s="153"/>
      <c r="BP3277" s="153"/>
      <c r="BQ3277" s="153"/>
      <c r="BR3277" s="153"/>
      <c r="BS3277" s="153"/>
      <c r="BT3277" s="153"/>
      <c r="BU3277" s="153"/>
      <c r="BV3277" s="153"/>
      <c r="BW3277" s="153"/>
      <c r="BX3277" s="153"/>
      <c r="BY3277" s="153"/>
      <c r="BZ3277" s="153"/>
      <c r="CA3277" s="152"/>
      <c r="CB3277" s="152"/>
    </row>
    <row r="3278" spans="1:80" s="87" customFormat="1" x14ac:dyDescent="0.2">
      <c r="A3278" s="152"/>
      <c r="B3278" s="683"/>
      <c r="C3278" s="683"/>
      <c r="D3278" s="698"/>
      <c r="E3278" s="215"/>
      <c r="F3278" s="215"/>
      <c r="G3278" s="153"/>
      <c r="H3278" s="153"/>
      <c r="I3278" s="321">
        <v>22</v>
      </c>
      <c r="J3278" s="321">
        <v>30</v>
      </c>
      <c r="K3278" s="150">
        <v>1</v>
      </c>
      <c r="L3278" s="664">
        <v>11</v>
      </c>
      <c r="M3278" s="663">
        <v>34123</v>
      </c>
      <c r="N3278" s="600">
        <v>18.091799999999999</v>
      </c>
      <c r="O3278" s="604">
        <v>0.208865</v>
      </c>
      <c r="P3278" s="150"/>
      <c r="Q3278" s="250"/>
      <c r="R3278" s="250"/>
      <c r="S3278" s="250"/>
      <c r="T3278" s="250"/>
      <c r="U3278" s="250"/>
      <c r="V3278" s="250"/>
      <c r="W3278" s="250"/>
      <c r="X3278" s="250"/>
      <c r="Y3278" s="250"/>
      <c r="Z3278" s="150"/>
      <c r="AA3278" s="150">
        <v>2.11</v>
      </c>
      <c r="AB3278" s="152"/>
      <c r="AC3278" s="152"/>
      <c r="AD3278" s="223">
        <v>17.677820000000001</v>
      </c>
      <c r="AE3278" s="223">
        <v>0.6156758</v>
      </c>
      <c r="AF3278" s="223">
        <v>10.868598</v>
      </c>
      <c r="AG3278" s="223">
        <v>1.7007281999999999</v>
      </c>
      <c r="AH3278" s="341"/>
      <c r="AI3278" s="218"/>
      <c r="AJ3278" s="218"/>
      <c r="AK3278" s="153"/>
      <c r="AL3278" s="152"/>
      <c r="AM3278" s="152"/>
      <c r="AN3278" s="152"/>
      <c r="AO3278" s="152"/>
      <c r="AP3278" s="152"/>
      <c r="AQ3278" s="152"/>
      <c r="AR3278" s="152"/>
      <c r="AS3278" s="152"/>
      <c r="AT3278" s="152"/>
      <c r="AU3278" s="153"/>
      <c r="AV3278" s="479"/>
      <c r="AW3278" s="479"/>
      <c r="AX3278" s="442"/>
      <c r="AY3278" s="153"/>
      <c r="AZ3278" s="152"/>
      <c r="BA3278" s="152"/>
      <c r="BB3278" s="152"/>
      <c r="BC3278" s="152"/>
      <c r="BD3278" s="152"/>
      <c r="BE3278" s="152"/>
      <c r="BF3278" s="152"/>
      <c r="BG3278" s="152"/>
      <c r="BH3278" s="152"/>
      <c r="BI3278" s="153"/>
      <c r="BJ3278" s="153"/>
      <c r="BK3278" s="153"/>
      <c r="BL3278" s="153"/>
      <c r="BM3278" s="153"/>
      <c r="BN3278" s="153"/>
      <c r="BO3278" s="153"/>
      <c r="BP3278" s="153"/>
      <c r="BQ3278" s="153"/>
      <c r="BR3278" s="153"/>
      <c r="BS3278" s="153"/>
      <c r="BT3278" s="153"/>
      <c r="BU3278" s="153"/>
      <c r="BV3278" s="153"/>
      <c r="BW3278" s="153"/>
      <c r="BX3278" s="153"/>
      <c r="BY3278" s="153"/>
      <c r="BZ3278" s="153"/>
      <c r="CA3278" s="152"/>
      <c r="CB3278" s="152"/>
    </row>
    <row r="3279" spans="1:80" s="87" customFormat="1" x14ac:dyDescent="0.2">
      <c r="A3279" s="152"/>
      <c r="B3279" s="683"/>
      <c r="C3279" s="683"/>
      <c r="D3279" s="698"/>
      <c r="E3279" s="215"/>
      <c r="F3279" s="215"/>
      <c r="G3279" s="153"/>
      <c r="H3279" s="153"/>
      <c r="I3279" s="321">
        <v>23</v>
      </c>
      <c r="J3279" s="321">
        <v>30</v>
      </c>
      <c r="K3279" s="150">
        <v>1</v>
      </c>
      <c r="L3279" s="664">
        <v>11.5</v>
      </c>
      <c r="M3279" s="663">
        <v>34137</v>
      </c>
      <c r="N3279" s="600">
        <v>17.072600000000001</v>
      </c>
      <c r="O3279" s="604">
        <v>0.19941900000000001</v>
      </c>
      <c r="P3279" s="150"/>
      <c r="Q3279" s="250"/>
      <c r="R3279" s="250"/>
      <c r="S3279" s="250"/>
      <c r="T3279" s="250"/>
      <c r="U3279" s="250"/>
      <c r="V3279" s="250"/>
      <c r="W3279" s="250"/>
      <c r="X3279" s="250"/>
      <c r="Y3279" s="250"/>
      <c r="Z3279" s="150"/>
      <c r="AA3279" s="150">
        <v>2.61</v>
      </c>
      <c r="AB3279" s="152"/>
      <c r="AC3279" s="152"/>
      <c r="AD3279" s="223">
        <v>18.592189999999999</v>
      </c>
      <c r="AE3279" s="223">
        <v>0.59434050000000005</v>
      </c>
      <c r="AF3279" s="223">
        <v>11.054385999999999</v>
      </c>
      <c r="AG3279" s="223">
        <v>1.5544290000000001</v>
      </c>
      <c r="AH3279" s="341"/>
      <c r="AI3279" s="218"/>
      <c r="AJ3279" s="218"/>
      <c r="AK3279" s="153"/>
      <c r="AL3279" s="152"/>
      <c r="AM3279" s="152"/>
      <c r="AN3279" s="152"/>
      <c r="AO3279" s="152"/>
      <c r="AP3279" s="152"/>
      <c r="AQ3279" s="152"/>
      <c r="AR3279" s="152"/>
      <c r="AS3279" s="152"/>
      <c r="AT3279" s="152"/>
      <c r="AU3279" s="153"/>
      <c r="AV3279" s="479"/>
      <c r="AW3279" s="479"/>
      <c r="AX3279" s="442"/>
      <c r="AY3279" s="153"/>
      <c r="AZ3279" s="152"/>
      <c r="BA3279" s="152"/>
      <c r="BB3279" s="152"/>
      <c r="BC3279" s="152"/>
      <c r="BD3279" s="152"/>
      <c r="BE3279" s="152"/>
      <c r="BF3279" s="152"/>
      <c r="BG3279" s="152"/>
      <c r="BH3279" s="152"/>
      <c r="BI3279" s="153"/>
      <c r="BJ3279" s="153"/>
      <c r="BK3279" s="153"/>
      <c r="BL3279" s="153"/>
      <c r="BM3279" s="153"/>
      <c r="BN3279" s="153"/>
      <c r="BO3279" s="153"/>
      <c r="BP3279" s="153"/>
      <c r="BQ3279" s="153"/>
      <c r="BR3279" s="153"/>
      <c r="BS3279" s="153"/>
      <c r="BT3279" s="153"/>
      <c r="BU3279" s="153"/>
      <c r="BV3279" s="153"/>
      <c r="BW3279" s="153"/>
      <c r="BX3279" s="153"/>
      <c r="BY3279" s="153"/>
      <c r="BZ3279" s="153"/>
      <c r="CA3279" s="152"/>
      <c r="CB3279" s="152"/>
    </row>
    <row r="3280" spans="1:80" s="87" customFormat="1" x14ac:dyDescent="0.2">
      <c r="A3280" s="152"/>
      <c r="B3280" s="683"/>
      <c r="C3280" s="683"/>
      <c r="D3280" s="698"/>
      <c r="E3280" s="215"/>
      <c r="F3280" s="215"/>
      <c r="G3280" s="153"/>
      <c r="H3280" s="153"/>
      <c r="I3280" s="321">
        <v>21</v>
      </c>
      <c r="J3280" s="321">
        <v>30</v>
      </c>
      <c r="K3280" s="150">
        <v>1</v>
      </c>
      <c r="L3280" s="664">
        <v>10.5</v>
      </c>
      <c r="M3280" s="663">
        <v>34150</v>
      </c>
      <c r="N3280" s="600">
        <v>11.693099999999999</v>
      </c>
      <c r="O3280" s="604">
        <v>2.3404999999999999E-2</v>
      </c>
      <c r="P3280" s="150"/>
      <c r="Q3280" s="250"/>
      <c r="R3280" s="250"/>
      <c r="S3280" s="250"/>
      <c r="T3280" s="250"/>
      <c r="U3280" s="250"/>
      <c r="V3280" s="250"/>
      <c r="W3280" s="250"/>
      <c r="X3280" s="250"/>
      <c r="Y3280" s="250"/>
      <c r="Z3280" s="150"/>
      <c r="AA3280" s="150">
        <v>1.43</v>
      </c>
      <c r="AB3280" s="152"/>
      <c r="AC3280" s="152"/>
      <c r="AD3280" s="223">
        <v>18.287400000000002</v>
      </c>
      <c r="AE3280" s="223">
        <v>0.54252619999999996</v>
      </c>
      <c r="AF3280" s="223">
        <v>9.9396579999999997</v>
      </c>
      <c r="AG3280" s="223">
        <v>1.1825851999999999</v>
      </c>
      <c r="AH3280" s="341"/>
      <c r="AI3280" s="218"/>
      <c r="AJ3280" s="218"/>
      <c r="AK3280" s="153"/>
      <c r="AL3280" s="152"/>
      <c r="AM3280" s="152"/>
      <c r="AN3280" s="152"/>
      <c r="AO3280" s="152"/>
      <c r="AP3280" s="152"/>
      <c r="AQ3280" s="152"/>
      <c r="AR3280" s="152"/>
      <c r="AS3280" s="152"/>
      <c r="AT3280" s="152"/>
      <c r="AU3280" s="153"/>
      <c r="AV3280" s="479"/>
      <c r="AW3280" s="479"/>
      <c r="AX3280" s="442"/>
      <c r="AY3280" s="153"/>
      <c r="AZ3280" s="152"/>
      <c r="BA3280" s="152"/>
      <c r="BB3280" s="152"/>
      <c r="BC3280" s="152"/>
      <c r="BD3280" s="152"/>
      <c r="BE3280" s="152"/>
      <c r="BF3280" s="152"/>
      <c r="BG3280" s="152"/>
      <c r="BH3280" s="152"/>
      <c r="BI3280" s="153"/>
      <c r="BJ3280" s="153"/>
      <c r="BK3280" s="153"/>
      <c r="BL3280" s="153"/>
      <c r="BM3280" s="153"/>
      <c r="BN3280" s="153"/>
      <c r="BO3280" s="153"/>
      <c r="BP3280" s="153"/>
      <c r="BQ3280" s="153"/>
      <c r="BR3280" s="153"/>
      <c r="BS3280" s="153"/>
      <c r="BT3280" s="153"/>
      <c r="BU3280" s="153"/>
      <c r="BV3280" s="153"/>
      <c r="BW3280" s="153"/>
      <c r="BX3280" s="153"/>
      <c r="BY3280" s="153"/>
      <c r="BZ3280" s="153"/>
      <c r="CA3280" s="152"/>
      <c r="CB3280" s="152"/>
    </row>
    <row r="3281" spans="1:80" s="87" customFormat="1" x14ac:dyDescent="0.2">
      <c r="A3281" s="152"/>
      <c r="B3281" s="683"/>
      <c r="C3281" s="683"/>
      <c r="D3281" s="698"/>
      <c r="E3281" s="215"/>
      <c r="F3281" s="215"/>
      <c r="G3281" s="153"/>
      <c r="H3281" s="153"/>
      <c r="I3281" s="321">
        <v>22</v>
      </c>
      <c r="J3281" s="321">
        <v>30</v>
      </c>
      <c r="K3281" s="150">
        <v>1</v>
      </c>
      <c r="L3281" s="664">
        <v>11</v>
      </c>
      <c r="M3281" s="663">
        <v>34163</v>
      </c>
      <c r="N3281" s="600">
        <v>6.3986700000000001</v>
      </c>
      <c r="O3281" s="604">
        <v>9.6349999999999995E-3</v>
      </c>
      <c r="P3281" s="150"/>
      <c r="Q3281" s="250"/>
      <c r="R3281" s="250"/>
      <c r="S3281" s="250"/>
      <c r="T3281" s="250"/>
      <c r="U3281" s="250"/>
      <c r="V3281" s="250"/>
      <c r="W3281" s="250"/>
      <c r="X3281" s="250"/>
      <c r="Y3281" s="250"/>
      <c r="Z3281" s="150"/>
      <c r="AA3281" s="150">
        <v>21.73</v>
      </c>
      <c r="AB3281" s="152"/>
      <c r="AC3281" s="152"/>
      <c r="AD3281" s="223">
        <v>17.068239999999999</v>
      </c>
      <c r="AE3281" s="223">
        <v>0.3931791</v>
      </c>
      <c r="AF3281" s="223">
        <v>6.7162362</v>
      </c>
      <c r="AG3281" s="223">
        <v>1.0119028000000001</v>
      </c>
      <c r="AH3281" s="341"/>
      <c r="AI3281" s="218"/>
      <c r="AJ3281" s="218"/>
      <c r="AK3281" s="153"/>
      <c r="AL3281" s="152"/>
      <c r="AM3281" s="152"/>
      <c r="AN3281" s="152"/>
      <c r="AO3281" s="152"/>
      <c r="AP3281" s="152"/>
      <c r="AQ3281" s="152"/>
      <c r="AR3281" s="152"/>
      <c r="AS3281" s="152"/>
      <c r="AT3281" s="152"/>
      <c r="AU3281" s="153"/>
      <c r="AV3281" s="479"/>
      <c r="AW3281" s="479"/>
      <c r="AX3281" s="442"/>
      <c r="AY3281" s="153"/>
      <c r="AZ3281" s="152"/>
      <c r="BA3281" s="152"/>
      <c r="BB3281" s="152"/>
      <c r="BC3281" s="152"/>
      <c r="BD3281" s="152"/>
      <c r="BE3281" s="152"/>
      <c r="BF3281" s="152"/>
      <c r="BG3281" s="152"/>
      <c r="BH3281" s="152"/>
      <c r="BI3281" s="153"/>
      <c r="BJ3281" s="153"/>
      <c r="BK3281" s="153"/>
      <c r="BL3281" s="153"/>
      <c r="BM3281" s="153"/>
      <c r="BN3281" s="153"/>
      <c r="BO3281" s="153"/>
      <c r="BP3281" s="153"/>
      <c r="BQ3281" s="153"/>
      <c r="BR3281" s="153"/>
      <c r="BS3281" s="153"/>
      <c r="BT3281" s="153"/>
      <c r="BU3281" s="153"/>
      <c r="BV3281" s="153"/>
      <c r="BW3281" s="153"/>
      <c r="BX3281" s="153"/>
      <c r="BY3281" s="153"/>
      <c r="BZ3281" s="153"/>
      <c r="CA3281" s="152"/>
      <c r="CB3281" s="152"/>
    </row>
    <row r="3282" spans="1:80" s="87" customFormat="1" x14ac:dyDescent="0.2">
      <c r="A3282" s="152"/>
      <c r="B3282" s="683"/>
      <c r="C3282" s="683"/>
      <c r="D3282" s="698"/>
      <c r="E3282" s="215"/>
      <c r="F3282" s="215"/>
      <c r="G3282" s="153"/>
      <c r="H3282" s="153"/>
      <c r="I3282" s="321">
        <v>24</v>
      </c>
      <c r="J3282" s="321">
        <v>30</v>
      </c>
      <c r="K3282" s="150">
        <v>1</v>
      </c>
      <c r="L3282" s="664">
        <v>12</v>
      </c>
      <c r="M3282" s="663">
        <v>34194</v>
      </c>
      <c r="N3282" s="600">
        <v>3.25596</v>
      </c>
      <c r="O3282" s="604">
        <v>6.0999999999999997E-4</v>
      </c>
      <c r="P3282" s="150"/>
      <c r="Q3282" s="250"/>
      <c r="R3282" s="250"/>
      <c r="S3282" s="250"/>
      <c r="T3282" s="250"/>
      <c r="U3282" s="250"/>
      <c r="V3282" s="250"/>
      <c r="W3282" s="250"/>
      <c r="X3282" s="250"/>
      <c r="Y3282" s="250"/>
      <c r="Z3282" s="150"/>
      <c r="AA3282" s="150">
        <v>0.66</v>
      </c>
      <c r="AB3282" s="152"/>
      <c r="AC3282" s="152"/>
      <c r="AD3282" s="223">
        <v>17.494945999999999</v>
      </c>
      <c r="AE3282" s="223">
        <v>0.29564629999999997</v>
      </c>
      <c r="AF3282" s="223">
        <v>5.1741957999999997</v>
      </c>
      <c r="AG3282" s="223">
        <v>0.62786739999999996</v>
      </c>
      <c r="AH3282" s="341"/>
      <c r="AI3282" s="218"/>
      <c r="AJ3282" s="218"/>
      <c r="AK3282" s="153"/>
      <c r="AL3282" s="152"/>
      <c r="AM3282" s="152"/>
      <c r="AN3282" s="152"/>
      <c r="AO3282" s="152"/>
      <c r="AP3282" s="152"/>
      <c r="AQ3282" s="152"/>
      <c r="AR3282" s="152"/>
      <c r="AS3282" s="152"/>
      <c r="AT3282" s="152"/>
      <c r="AU3282" s="153"/>
      <c r="AV3282" s="479"/>
      <c r="AW3282" s="479"/>
      <c r="AX3282" s="442"/>
      <c r="AY3282" s="153"/>
      <c r="AZ3282" s="152"/>
      <c r="BA3282" s="152"/>
      <c r="BB3282" s="152"/>
      <c r="BC3282" s="152"/>
      <c r="BD3282" s="152"/>
      <c r="BE3282" s="152"/>
      <c r="BF3282" s="152"/>
      <c r="BG3282" s="152"/>
      <c r="BH3282" s="152"/>
      <c r="BI3282" s="153"/>
      <c r="BJ3282" s="153"/>
      <c r="BK3282" s="153"/>
      <c r="BL3282" s="153"/>
      <c r="BM3282" s="153"/>
      <c r="BN3282" s="153"/>
      <c r="BO3282" s="153"/>
      <c r="BP3282" s="153"/>
      <c r="BQ3282" s="153"/>
      <c r="BR3282" s="153"/>
      <c r="BS3282" s="153"/>
      <c r="BT3282" s="153"/>
      <c r="BU3282" s="153"/>
      <c r="BV3282" s="153"/>
      <c r="BW3282" s="153"/>
      <c r="BX3282" s="153"/>
      <c r="BY3282" s="153"/>
      <c r="BZ3282" s="153"/>
      <c r="CA3282" s="152"/>
      <c r="CB3282" s="152"/>
    </row>
    <row r="3283" spans="1:80" s="87" customFormat="1" x14ac:dyDescent="0.2">
      <c r="A3283" s="152"/>
      <c r="B3283" s="683"/>
      <c r="C3283" s="683"/>
      <c r="D3283" s="698"/>
      <c r="E3283" s="215"/>
      <c r="F3283" s="215"/>
      <c r="G3283" s="153"/>
      <c r="H3283" s="153"/>
      <c r="I3283" s="321">
        <v>22</v>
      </c>
      <c r="J3283" s="321">
        <v>30</v>
      </c>
      <c r="K3283" s="150">
        <v>1</v>
      </c>
      <c r="L3283" s="664">
        <v>11</v>
      </c>
      <c r="M3283" s="663">
        <v>34225</v>
      </c>
      <c r="N3283" s="600">
        <v>2.5707900000000001</v>
      </c>
      <c r="O3283" s="604">
        <v>3.9249999999999997E-3</v>
      </c>
      <c r="P3283" s="150"/>
      <c r="Q3283" s="250"/>
      <c r="R3283" s="250"/>
      <c r="S3283" s="250"/>
      <c r="T3283" s="250"/>
      <c r="U3283" s="250"/>
      <c r="V3283" s="250"/>
      <c r="W3283" s="250"/>
      <c r="X3283" s="250"/>
      <c r="Y3283" s="250"/>
      <c r="Z3283" s="150"/>
      <c r="AA3283" s="150">
        <v>1.98</v>
      </c>
      <c r="AB3283" s="152"/>
      <c r="AC3283" s="152"/>
      <c r="AD3283" s="223">
        <v>14.782315000000001</v>
      </c>
      <c r="AE3283" s="223">
        <v>0.31698159999999997</v>
      </c>
      <c r="AF3283" s="223">
        <v>4.6632787999999996</v>
      </c>
      <c r="AG3283" s="223">
        <v>0.54862200000000005</v>
      </c>
      <c r="AH3283" s="341"/>
      <c r="AI3283" s="218"/>
      <c r="AJ3283" s="218"/>
      <c r="AK3283" s="153"/>
      <c r="AL3283" s="152"/>
      <c r="AM3283" s="152"/>
      <c r="AN3283" s="152"/>
      <c r="AO3283" s="152"/>
      <c r="AP3283" s="152"/>
      <c r="AQ3283" s="152"/>
      <c r="AR3283" s="152"/>
      <c r="AS3283" s="152"/>
      <c r="AT3283" s="152"/>
      <c r="AU3283" s="153"/>
      <c r="AV3283" s="479"/>
      <c r="AW3283" s="479"/>
      <c r="AX3283" s="442"/>
      <c r="AY3283" s="153"/>
      <c r="AZ3283" s="152"/>
      <c r="BA3283" s="152"/>
      <c r="BB3283" s="152"/>
      <c r="BC3283" s="152"/>
      <c r="BD3283" s="152"/>
      <c r="BE3283" s="152"/>
      <c r="BF3283" s="152"/>
      <c r="BG3283" s="152"/>
      <c r="BH3283" s="152"/>
      <c r="BI3283" s="153"/>
      <c r="BJ3283" s="153"/>
      <c r="BK3283" s="153"/>
      <c r="BL3283" s="153"/>
      <c r="BM3283" s="153"/>
      <c r="BN3283" s="153"/>
      <c r="BO3283" s="153"/>
      <c r="BP3283" s="153"/>
      <c r="BQ3283" s="153"/>
      <c r="BR3283" s="153"/>
      <c r="BS3283" s="153"/>
      <c r="BT3283" s="153"/>
      <c r="BU3283" s="153"/>
      <c r="BV3283" s="153"/>
      <c r="BW3283" s="153"/>
      <c r="BX3283" s="153"/>
      <c r="BY3283" s="153"/>
      <c r="BZ3283" s="153"/>
      <c r="CA3283" s="152"/>
      <c r="CB3283" s="152"/>
    </row>
    <row r="3284" spans="1:80" s="87" customFormat="1" x14ac:dyDescent="0.2">
      <c r="A3284" s="152"/>
      <c r="B3284" s="683"/>
      <c r="C3284" s="683"/>
      <c r="D3284" s="698"/>
      <c r="E3284" s="215"/>
      <c r="F3284" s="215"/>
      <c r="G3284" s="153"/>
      <c r="H3284" s="153"/>
      <c r="I3284" s="164">
        <v>21</v>
      </c>
      <c r="J3284" s="163">
        <v>30</v>
      </c>
      <c r="K3284" s="150">
        <v>1</v>
      </c>
      <c r="L3284" s="664">
        <v>10.5</v>
      </c>
      <c r="M3284" s="663">
        <v>34395</v>
      </c>
      <c r="N3284" s="600">
        <v>1.48925</v>
      </c>
      <c r="O3284" s="604">
        <v>3.7599999999999998E-4</v>
      </c>
      <c r="P3284" s="150"/>
      <c r="Q3284" s="250"/>
      <c r="R3284" s="250"/>
      <c r="S3284" s="250"/>
      <c r="T3284" s="250">
        <v>0.219163</v>
      </c>
      <c r="U3284" s="250">
        <v>0.12796299999999999</v>
      </c>
      <c r="V3284" s="250">
        <v>0.186444</v>
      </c>
      <c r="W3284" s="250">
        <v>0.215756</v>
      </c>
      <c r="X3284" s="250">
        <v>0.18857299999999999</v>
      </c>
      <c r="Y3284" s="250">
        <v>6.2100999999999996E-2</v>
      </c>
      <c r="Z3284" s="150"/>
      <c r="AA3284" s="150">
        <v>1.1299999999999999</v>
      </c>
      <c r="AB3284" s="152"/>
      <c r="AC3284" s="152"/>
      <c r="AD3284" s="223">
        <v>14.142256</v>
      </c>
      <c r="AE3284" s="223">
        <v>0.2316404</v>
      </c>
      <c r="AF3284" s="223">
        <v>3.2698687999999998</v>
      </c>
      <c r="AG3284" s="223">
        <v>0.4602329</v>
      </c>
      <c r="AH3284" s="341"/>
      <c r="AI3284" s="218"/>
      <c r="AJ3284" s="218"/>
      <c r="AK3284" s="153"/>
      <c r="AL3284" s="152"/>
      <c r="AM3284" s="152"/>
      <c r="AN3284" s="152"/>
      <c r="AO3284" s="152"/>
      <c r="AP3284" s="152"/>
      <c r="AQ3284" s="152"/>
      <c r="AR3284" s="152"/>
      <c r="AS3284" s="152"/>
      <c r="AT3284" s="152"/>
      <c r="AU3284" s="153"/>
      <c r="AV3284" s="479"/>
      <c r="AW3284" s="479"/>
      <c r="AX3284" s="442"/>
      <c r="AY3284" s="153"/>
      <c r="AZ3284" s="152"/>
      <c r="BA3284" s="152"/>
      <c r="BB3284" s="152"/>
      <c r="BC3284" s="152"/>
      <c r="BD3284" s="152"/>
      <c r="BE3284" s="152"/>
      <c r="BF3284" s="152"/>
      <c r="BG3284" s="152"/>
      <c r="BH3284" s="152"/>
      <c r="BI3284" s="153"/>
      <c r="BJ3284" s="153"/>
      <c r="BK3284" s="153"/>
      <c r="BL3284" s="153"/>
      <c r="BM3284" s="153"/>
      <c r="BN3284" s="153"/>
      <c r="BO3284" s="153"/>
      <c r="BP3284" s="153"/>
      <c r="BQ3284" s="153"/>
      <c r="BR3284" s="153"/>
      <c r="BS3284" s="153"/>
      <c r="BT3284" s="153"/>
      <c r="BU3284" s="153"/>
      <c r="BV3284" s="153"/>
      <c r="BW3284" s="153"/>
      <c r="BX3284" s="153"/>
      <c r="BY3284" s="153"/>
      <c r="BZ3284" s="153"/>
      <c r="CA3284" s="152"/>
      <c r="CB3284" s="152"/>
    </row>
    <row r="3285" spans="1:80" s="87" customFormat="1" x14ac:dyDescent="0.2">
      <c r="A3285" s="152"/>
      <c r="B3285" s="683"/>
      <c r="C3285" s="683"/>
      <c r="D3285" s="698"/>
      <c r="E3285" s="215"/>
      <c r="F3285" s="215"/>
      <c r="G3285" s="153"/>
      <c r="H3285" s="153"/>
      <c r="I3285" s="164">
        <v>20</v>
      </c>
      <c r="J3285" s="163">
        <v>60</v>
      </c>
      <c r="K3285" s="150">
        <v>1</v>
      </c>
      <c r="L3285" s="664">
        <v>20</v>
      </c>
      <c r="M3285" s="663">
        <v>34431</v>
      </c>
      <c r="N3285" s="600">
        <v>1.56569</v>
      </c>
      <c r="O3285" s="604">
        <v>5.3200000000000003E-4</v>
      </c>
      <c r="P3285" s="150"/>
      <c r="Q3285" s="250"/>
      <c r="R3285" s="250"/>
      <c r="S3285" s="250"/>
      <c r="T3285" s="250">
        <v>0.210872</v>
      </c>
      <c r="U3285" s="250">
        <v>0.14177600000000001</v>
      </c>
      <c r="V3285" s="250">
        <v>0.114458</v>
      </c>
      <c r="W3285" s="250">
        <v>0.25881500000000002</v>
      </c>
      <c r="X3285" s="250">
        <v>0.25493099999999996</v>
      </c>
      <c r="Y3285" s="250">
        <v>1.9147000000000001E-2</v>
      </c>
      <c r="Z3285" s="150"/>
      <c r="AA3285" s="150">
        <v>0.92</v>
      </c>
      <c r="AB3285" s="835"/>
      <c r="AC3285" s="152"/>
      <c r="AD3285" s="223">
        <v>14.172734999999999</v>
      </c>
      <c r="AE3285" s="223">
        <v>0.2194488</v>
      </c>
      <c r="AF3285" s="223">
        <v>3.1119490000000001</v>
      </c>
      <c r="AG3285" s="223">
        <v>0.49680770000000002</v>
      </c>
      <c r="AH3285" s="341"/>
      <c r="AI3285" s="218"/>
      <c r="AJ3285" s="218"/>
      <c r="AK3285" s="153"/>
      <c r="AL3285" s="152"/>
      <c r="AM3285" s="152"/>
      <c r="AN3285" s="152"/>
      <c r="AO3285" s="152"/>
      <c r="AP3285" s="152"/>
      <c r="AQ3285" s="152"/>
      <c r="AR3285" s="152"/>
      <c r="AS3285" s="152"/>
      <c r="AT3285" s="152"/>
      <c r="AU3285" s="153"/>
      <c r="AV3285" s="479"/>
      <c r="AW3285" s="479"/>
      <c r="AX3285" s="442"/>
      <c r="AY3285" s="153"/>
      <c r="AZ3285" s="152"/>
      <c r="BA3285" s="152"/>
      <c r="BB3285" s="152"/>
      <c r="BC3285" s="152"/>
      <c r="BD3285" s="152"/>
      <c r="BE3285" s="152"/>
      <c r="BF3285" s="152"/>
      <c r="BG3285" s="152"/>
      <c r="BH3285" s="152"/>
      <c r="BI3285" s="153"/>
      <c r="BJ3285" s="153"/>
      <c r="BK3285" s="153"/>
      <c r="BL3285" s="153"/>
      <c r="BM3285" s="153"/>
      <c r="BN3285" s="153"/>
      <c r="BO3285" s="153"/>
      <c r="BP3285" s="153"/>
      <c r="BQ3285" s="153"/>
      <c r="BR3285" s="153"/>
      <c r="BS3285" s="153"/>
      <c r="BT3285" s="153"/>
      <c r="BU3285" s="153"/>
      <c r="BV3285" s="153"/>
      <c r="BW3285" s="153"/>
      <c r="BX3285" s="153"/>
      <c r="BY3285" s="153"/>
      <c r="BZ3285" s="153"/>
      <c r="CA3285" s="152"/>
      <c r="CB3285" s="152"/>
    </row>
    <row r="3286" spans="1:80" s="87" customFormat="1" x14ac:dyDescent="0.2">
      <c r="A3286" s="152"/>
      <c r="B3286" s="683"/>
      <c r="C3286" s="683"/>
      <c r="D3286" s="698"/>
      <c r="E3286" s="215"/>
      <c r="F3286" s="215"/>
      <c r="G3286" s="153"/>
      <c r="H3286" s="153"/>
      <c r="I3286" s="164">
        <v>20</v>
      </c>
      <c r="J3286" s="163">
        <v>60</v>
      </c>
      <c r="K3286" s="150">
        <v>1</v>
      </c>
      <c r="L3286" s="664">
        <v>20</v>
      </c>
      <c r="M3286" s="663">
        <v>34431</v>
      </c>
      <c r="N3286" s="600">
        <v>1.56569</v>
      </c>
      <c r="O3286" s="604">
        <v>7.3049999999999999E-3</v>
      </c>
      <c r="P3286" s="150"/>
      <c r="Q3286" s="250"/>
      <c r="R3286" s="250"/>
      <c r="S3286" s="250">
        <v>0.143344</v>
      </c>
      <c r="T3286" s="250">
        <v>0.117797</v>
      </c>
      <c r="U3286" s="250">
        <v>0.15751699999999999</v>
      </c>
      <c r="V3286" s="250">
        <v>0.175376</v>
      </c>
      <c r="W3286" s="250">
        <v>0.270563</v>
      </c>
      <c r="X3286" s="250">
        <v>0.12619900000000001</v>
      </c>
      <c r="Y3286" s="250">
        <v>9.2049999999999996E-3</v>
      </c>
      <c r="Z3286" s="150"/>
      <c r="AA3286" s="150">
        <v>1.45</v>
      </c>
      <c r="AB3286" s="152"/>
      <c r="AC3286" s="152"/>
      <c r="AD3286" s="223">
        <v>14.172734999999999</v>
      </c>
      <c r="AE3286" s="223">
        <v>0.2194488</v>
      </c>
      <c r="AF3286" s="223">
        <v>3.1119490000000001</v>
      </c>
      <c r="AG3286" s="223">
        <v>0.49680770000000002</v>
      </c>
      <c r="AH3286" s="341"/>
      <c r="AI3286" s="218"/>
      <c r="AJ3286" s="218"/>
      <c r="AK3286" s="153"/>
      <c r="AL3286" s="152"/>
      <c r="AM3286" s="152"/>
      <c r="AN3286" s="152"/>
      <c r="AO3286" s="152"/>
      <c r="AP3286" s="152"/>
      <c r="AQ3286" s="152"/>
      <c r="AR3286" s="152"/>
      <c r="AS3286" s="152"/>
      <c r="AT3286" s="152"/>
      <c r="AU3286" s="153"/>
      <c r="AV3286" s="479"/>
      <c r="AW3286" s="479"/>
      <c r="AX3286" s="442"/>
      <c r="AY3286" s="153"/>
      <c r="AZ3286" s="152"/>
      <c r="BA3286" s="152"/>
      <c r="BB3286" s="152"/>
      <c r="BC3286" s="152"/>
      <c r="BD3286" s="152"/>
      <c r="BE3286" s="152"/>
      <c r="BF3286" s="152"/>
      <c r="BG3286" s="152"/>
      <c r="BH3286" s="152"/>
      <c r="BI3286" s="153"/>
      <c r="BJ3286" s="153"/>
      <c r="BK3286" s="153"/>
      <c r="BL3286" s="153"/>
      <c r="BM3286" s="153"/>
      <c r="BN3286" s="153"/>
      <c r="BO3286" s="153"/>
      <c r="BP3286" s="153"/>
      <c r="BQ3286" s="153"/>
      <c r="BR3286" s="153"/>
      <c r="BS3286" s="153"/>
      <c r="BT3286" s="153"/>
      <c r="BU3286" s="153"/>
      <c r="BV3286" s="153"/>
      <c r="BW3286" s="153"/>
      <c r="BX3286" s="153"/>
      <c r="BY3286" s="153"/>
      <c r="BZ3286" s="153"/>
      <c r="CA3286" s="152"/>
      <c r="CB3286" s="152"/>
    </row>
    <row r="3287" spans="1:80" s="87" customFormat="1" x14ac:dyDescent="0.2">
      <c r="A3287" s="152"/>
      <c r="B3287" s="683"/>
      <c r="C3287" s="683"/>
      <c r="D3287" s="698"/>
      <c r="E3287" s="215"/>
      <c r="F3287" s="215"/>
      <c r="G3287" s="153"/>
      <c r="H3287" s="153"/>
      <c r="I3287" s="164">
        <v>23</v>
      </c>
      <c r="J3287" s="163">
        <v>60</v>
      </c>
      <c r="K3287" s="150">
        <v>1</v>
      </c>
      <c r="L3287" s="664">
        <v>23</v>
      </c>
      <c r="M3287" s="663">
        <v>34444</v>
      </c>
      <c r="N3287" s="600">
        <v>4.3601599999999996</v>
      </c>
      <c r="O3287" s="604">
        <v>2.5295000000000002E-2</v>
      </c>
      <c r="P3287" s="150"/>
      <c r="Q3287" s="250"/>
      <c r="R3287" s="250"/>
      <c r="S3287" s="250">
        <v>3.7522E-2</v>
      </c>
      <c r="T3287" s="250">
        <v>0.128521</v>
      </c>
      <c r="U3287" s="250">
        <v>0.22892499999999999</v>
      </c>
      <c r="V3287" s="250">
        <v>0.25477699999999998</v>
      </c>
      <c r="W3287" s="250">
        <v>0.23130299999999998</v>
      </c>
      <c r="X3287" s="250">
        <v>0.11415699999999999</v>
      </c>
      <c r="Y3287" s="250">
        <v>4.7959999999999999E-3</v>
      </c>
      <c r="Z3287" s="150"/>
      <c r="AA3287" s="150">
        <v>1.5</v>
      </c>
      <c r="AB3287" s="152"/>
      <c r="AC3287" s="152"/>
      <c r="AD3287" s="223">
        <v>16.062432999999999</v>
      </c>
      <c r="AE3287" s="223">
        <v>0.38098749999999998</v>
      </c>
      <c r="AF3287" s="223">
        <v>6.1124251999999997</v>
      </c>
      <c r="AG3287" s="223">
        <v>0.71320859999999997</v>
      </c>
      <c r="AH3287" s="341"/>
      <c r="AI3287" s="218"/>
      <c r="AJ3287" s="218"/>
      <c r="AK3287" s="153"/>
      <c r="AL3287" s="152"/>
      <c r="AM3287" s="152"/>
      <c r="AN3287" s="152"/>
      <c r="AO3287" s="152"/>
      <c r="AP3287" s="152"/>
      <c r="AQ3287" s="152"/>
      <c r="AR3287" s="152"/>
      <c r="AS3287" s="152"/>
      <c r="AT3287" s="152"/>
      <c r="AU3287" s="153"/>
      <c r="AV3287" s="479"/>
      <c r="AW3287" s="479"/>
      <c r="AX3287" s="442"/>
      <c r="AY3287" s="153"/>
      <c r="AZ3287" s="152"/>
      <c r="BA3287" s="152"/>
      <c r="BB3287" s="152"/>
      <c r="BC3287" s="152"/>
      <c r="BD3287" s="152"/>
      <c r="BE3287" s="152"/>
      <c r="BF3287" s="152"/>
      <c r="BG3287" s="152"/>
      <c r="BH3287" s="152"/>
      <c r="BI3287" s="153"/>
      <c r="BJ3287" s="153"/>
      <c r="BK3287" s="153"/>
      <c r="BL3287" s="153"/>
      <c r="BM3287" s="153"/>
      <c r="BN3287" s="153"/>
      <c r="BO3287" s="153"/>
      <c r="BP3287" s="153"/>
      <c r="BQ3287" s="153"/>
      <c r="BR3287" s="153"/>
      <c r="BS3287" s="153"/>
      <c r="BT3287" s="153"/>
      <c r="BU3287" s="153"/>
      <c r="BV3287" s="153"/>
      <c r="BW3287" s="153"/>
      <c r="BX3287" s="153"/>
      <c r="BY3287" s="153"/>
      <c r="BZ3287" s="153"/>
      <c r="CA3287" s="152"/>
      <c r="CB3287" s="152"/>
    </row>
    <row r="3288" spans="1:80" s="87" customFormat="1" x14ac:dyDescent="0.2">
      <c r="A3288" s="152"/>
      <c r="B3288" s="683"/>
      <c r="C3288" s="683"/>
      <c r="D3288" s="698"/>
      <c r="E3288" s="215"/>
      <c r="F3288" s="215"/>
      <c r="G3288" s="153"/>
      <c r="H3288" s="153"/>
      <c r="I3288" s="164">
        <v>23</v>
      </c>
      <c r="J3288" s="163">
        <v>60</v>
      </c>
      <c r="K3288" s="150">
        <v>1</v>
      </c>
      <c r="L3288" s="664">
        <v>23</v>
      </c>
      <c r="M3288" s="663">
        <v>34444</v>
      </c>
      <c r="N3288" s="600">
        <v>4.3601599999999996</v>
      </c>
      <c r="O3288" s="604">
        <v>3.9149000000000003E-2</v>
      </c>
      <c r="P3288" s="150"/>
      <c r="Q3288" s="250"/>
      <c r="R3288" s="250">
        <v>2.5867000000000001E-2</v>
      </c>
      <c r="S3288" s="250">
        <v>3.7949000000000004E-2</v>
      </c>
      <c r="T3288" s="250">
        <v>0.112053</v>
      </c>
      <c r="U3288" s="250">
        <v>0.18374099999999999</v>
      </c>
      <c r="V3288" s="250">
        <v>0.235931</v>
      </c>
      <c r="W3288" s="250">
        <v>0.27244699999999999</v>
      </c>
      <c r="X3288" s="250">
        <v>0.12385600000000001</v>
      </c>
      <c r="Y3288" s="250">
        <v>8.1550000000000008E-3</v>
      </c>
      <c r="Z3288" s="150"/>
      <c r="AA3288" s="150">
        <v>1.32</v>
      </c>
      <c r="AB3288" s="152"/>
      <c r="AC3288" s="152"/>
      <c r="AD3288" s="223">
        <v>16.062432999999999</v>
      </c>
      <c r="AE3288" s="223">
        <v>0.38098749999999998</v>
      </c>
      <c r="AF3288" s="223">
        <v>6.1124251999999997</v>
      </c>
      <c r="AG3288" s="223">
        <v>0.71320859999999997</v>
      </c>
      <c r="AH3288" s="341"/>
      <c r="AI3288" s="218"/>
      <c r="AJ3288" s="218"/>
      <c r="AK3288" s="153"/>
      <c r="AL3288" s="152"/>
      <c r="AM3288" s="152"/>
      <c r="AN3288" s="152"/>
      <c r="AO3288" s="152"/>
      <c r="AP3288" s="152"/>
      <c r="AQ3288" s="152"/>
      <c r="AR3288" s="152"/>
      <c r="AS3288" s="152"/>
      <c r="AT3288" s="152"/>
      <c r="AU3288" s="153"/>
      <c r="AV3288" s="479"/>
      <c r="AW3288" s="479"/>
      <c r="AX3288" s="442"/>
      <c r="AY3288" s="153"/>
      <c r="AZ3288" s="152"/>
      <c r="BA3288" s="152"/>
      <c r="BB3288" s="152"/>
      <c r="BC3288" s="152"/>
      <c r="BD3288" s="152"/>
      <c r="BE3288" s="152"/>
      <c r="BF3288" s="152"/>
      <c r="BG3288" s="152"/>
      <c r="BH3288" s="152"/>
      <c r="BI3288" s="153"/>
      <c r="BJ3288" s="153"/>
      <c r="BK3288" s="153"/>
      <c r="BL3288" s="153"/>
      <c r="BM3288" s="153"/>
      <c r="BN3288" s="153"/>
      <c r="BO3288" s="153"/>
      <c r="BP3288" s="153"/>
      <c r="BQ3288" s="153"/>
      <c r="BR3288" s="153"/>
      <c r="BS3288" s="153"/>
      <c r="BT3288" s="153"/>
      <c r="BU3288" s="153"/>
      <c r="BV3288" s="153"/>
      <c r="BW3288" s="153"/>
      <c r="BX3288" s="153"/>
      <c r="BY3288" s="153"/>
      <c r="BZ3288" s="153"/>
      <c r="CA3288" s="152"/>
      <c r="CB3288" s="152"/>
    </row>
    <row r="3289" spans="1:80" s="87" customFormat="1" x14ac:dyDescent="0.2">
      <c r="A3289" s="152"/>
      <c r="B3289" s="683"/>
      <c r="C3289" s="683"/>
      <c r="D3289" s="698"/>
      <c r="E3289" s="215"/>
      <c r="F3289" s="215"/>
      <c r="G3289" s="153"/>
      <c r="H3289" s="153"/>
      <c r="I3289" s="164">
        <v>22</v>
      </c>
      <c r="J3289" s="163">
        <v>60</v>
      </c>
      <c r="K3289" s="150">
        <v>1</v>
      </c>
      <c r="L3289" s="664">
        <v>22</v>
      </c>
      <c r="M3289" s="663">
        <v>34453</v>
      </c>
      <c r="N3289" s="600">
        <v>3.76559</v>
      </c>
      <c r="O3289" s="604">
        <v>3.81E-3</v>
      </c>
      <c r="P3289" s="150"/>
      <c r="Q3289" s="250"/>
      <c r="R3289" s="250"/>
      <c r="S3289" s="250">
        <v>5.5787000000000003E-2</v>
      </c>
      <c r="T3289" s="250">
        <v>0.16101400000000002</v>
      </c>
      <c r="U3289" s="250">
        <v>0.16659300000000002</v>
      </c>
      <c r="V3289" s="250">
        <v>0.207569</v>
      </c>
      <c r="W3289" s="250">
        <v>0.266847</v>
      </c>
      <c r="X3289" s="250">
        <v>0.13335</v>
      </c>
      <c r="Y3289" s="250">
        <v>8.8400000000000006E-3</v>
      </c>
      <c r="Z3289" s="150"/>
      <c r="AA3289" s="150">
        <v>1.35</v>
      </c>
      <c r="AB3289" s="152"/>
      <c r="AC3289" s="152"/>
      <c r="AD3289" s="223"/>
      <c r="AE3289" s="223"/>
      <c r="AF3289" s="223"/>
      <c r="AG3289" s="223"/>
      <c r="AH3289" s="341"/>
      <c r="AI3289" s="218"/>
      <c r="AJ3289" s="218"/>
      <c r="AK3289" s="153"/>
      <c r="AL3289" s="152"/>
      <c r="AM3289" s="152"/>
      <c r="AN3289" s="152"/>
      <c r="AO3289" s="152"/>
      <c r="AP3289" s="152"/>
      <c r="AQ3289" s="152"/>
      <c r="AR3289" s="152"/>
      <c r="AS3289" s="152"/>
      <c r="AT3289" s="152"/>
      <c r="AU3289" s="153"/>
      <c r="AV3289" s="479"/>
      <c r="AW3289" s="479"/>
      <c r="AX3289" s="442"/>
      <c r="AY3289" s="153"/>
      <c r="AZ3289" s="152"/>
      <c r="BA3289" s="152"/>
      <c r="BB3289" s="152"/>
      <c r="BC3289" s="152"/>
      <c r="BD3289" s="152"/>
      <c r="BE3289" s="152"/>
      <c r="BF3289" s="152"/>
      <c r="BG3289" s="152"/>
      <c r="BH3289" s="152"/>
      <c r="BI3289" s="153"/>
      <c r="BJ3289" s="153"/>
      <c r="BK3289" s="153"/>
      <c r="BL3289" s="153"/>
      <c r="BM3289" s="153"/>
      <c r="BN3289" s="153"/>
      <c r="BO3289" s="153"/>
      <c r="BP3289" s="153"/>
      <c r="BQ3289" s="153"/>
      <c r="BR3289" s="153"/>
      <c r="BS3289" s="153"/>
      <c r="BT3289" s="153"/>
      <c r="BU3289" s="153"/>
      <c r="BV3289" s="153"/>
      <c r="BW3289" s="153"/>
      <c r="BX3289" s="153"/>
      <c r="BY3289" s="153"/>
      <c r="BZ3289" s="153"/>
      <c r="CA3289" s="152"/>
      <c r="CB3289" s="152"/>
    </row>
    <row r="3290" spans="1:80" s="87" customFormat="1" x14ac:dyDescent="0.2">
      <c r="A3290" s="152"/>
      <c r="B3290" s="683"/>
      <c r="C3290" s="683"/>
      <c r="D3290" s="698"/>
      <c r="E3290" s="215"/>
      <c r="F3290" s="215"/>
      <c r="G3290" s="153"/>
      <c r="H3290" s="153"/>
      <c r="I3290" s="164">
        <v>22</v>
      </c>
      <c r="J3290" s="163">
        <v>60</v>
      </c>
      <c r="K3290" s="150">
        <v>1</v>
      </c>
      <c r="L3290" s="664">
        <v>22</v>
      </c>
      <c r="M3290" s="663">
        <v>34453</v>
      </c>
      <c r="N3290" s="600">
        <v>3.76559</v>
      </c>
      <c r="O3290" s="604">
        <v>2.372E-3</v>
      </c>
      <c r="P3290" s="150"/>
      <c r="Q3290" s="250"/>
      <c r="R3290" s="250"/>
      <c r="S3290" s="250">
        <v>9.7057000000000004E-2</v>
      </c>
      <c r="T3290" s="250">
        <v>5.3709E-2</v>
      </c>
      <c r="U3290" s="250">
        <v>0.13525899999999999</v>
      </c>
      <c r="V3290" s="250">
        <v>0.22282299999999999</v>
      </c>
      <c r="W3290" s="250">
        <v>0.31799099999999997</v>
      </c>
      <c r="X3290" s="250">
        <v>0.16239499999999998</v>
      </c>
      <c r="Y3290" s="250">
        <v>1.0767000000000001E-2</v>
      </c>
      <c r="Z3290" s="150"/>
      <c r="AA3290" s="150">
        <v>1.03</v>
      </c>
      <c r="AB3290" s="152"/>
      <c r="AC3290" s="152"/>
      <c r="AD3290" s="223"/>
      <c r="AE3290" s="223"/>
      <c r="AF3290" s="223"/>
      <c r="AG3290" s="223"/>
      <c r="AH3290" s="341"/>
      <c r="AI3290" s="218"/>
      <c r="AJ3290" s="218"/>
      <c r="AK3290" s="153"/>
      <c r="AL3290" s="152"/>
      <c r="AM3290" s="152"/>
      <c r="AN3290" s="152"/>
      <c r="AO3290" s="152"/>
      <c r="AP3290" s="152"/>
      <c r="AQ3290" s="152"/>
      <c r="AR3290" s="152"/>
      <c r="AS3290" s="152"/>
      <c r="AT3290" s="152"/>
      <c r="AU3290" s="153"/>
      <c r="AV3290" s="479"/>
      <c r="AW3290" s="479"/>
      <c r="AX3290" s="442"/>
      <c r="AY3290" s="153"/>
      <c r="AZ3290" s="152"/>
      <c r="BA3290" s="152"/>
      <c r="BB3290" s="152"/>
      <c r="BC3290" s="152"/>
      <c r="BD3290" s="152"/>
      <c r="BE3290" s="152"/>
      <c r="BF3290" s="152"/>
      <c r="BG3290" s="152"/>
      <c r="BH3290" s="152"/>
      <c r="BI3290" s="153"/>
      <c r="BJ3290" s="153"/>
      <c r="BK3290" s="153"/>
      <c r="BL3290" s="153"/>
      <c r="BM3290" s="153"/>
      <c r="BN3290" s="153"/>
      <c r="BO3290" s="153"/>
      <c r="BP3290" s="153"/>
      <c r="BQ3290" s="153"/>
      <c r="BR3290" s="153"/>
      <c r="BS3290" s="153"/>
      <c r="BT3290" s="153"/>
      <c r="BU3290" s="153"/>
      <c r="BV3290" s="153"/>
      <c r="BW3290" s="153"/>
      <c r="BX3290" s="153"/>
      <c r="BY3290" s="153"/>
      <c r="BZ3290" s="153"/>
      <c r="CA3290" s="152"/>
      <c r="CB3290" s="152"/>
    </row>
    <row r="3291" spans="1:80" s="87" customFormat="1" x14ac:dyDescent="0.2">
      <c r="A3291" s="152"/>
      <c r="B3291" s="683"/>
      <c r="C3291" s="683"/>
      <c r="D3291" s="698"/>
      <c r="E3291" s="215"/>
      <c r="F3291" s="215"/>
      <c r="G3291" s="153"/>
      <c r="H3291" s="153"/>
      <c r="I3291" s="164">
        <v>21</v>
      </c>
      <c r="J3291" s="163">
        <v>60</v>
      </c>
      <c r="K3291" s="150">
        <v>1</v>
      </c>
      <c r="L3291" s="664">
        <v>21</v>
      </c>
      <c r="M3291" s="663">
        <v>34456</v>
      </c>
      <c r="N3291" s="600">
        <v>3.6240299999999999</v>
      </c>
      <c r="O3291" s="604">
        <v>4.6709999999999998E-3</v>
      </c>
      <c r="P3291" s="150"/>
      <c r="Q3291" s="250"/>
      <c r="R3291" s="250"/>
      <c r="S3291" s="250"/>
      <c r="T3291" s="250">
        <v>7.5362999999999999E-2</v>
      </c>
      <c r="U3291" s="250">
        <v>0.17475000000000002</v>
      </c>
      <c r="V3291" s="250">
        <v>0.24552700000000002</v>
      </c>
      <c r="W3291" s="250">
        <v>0.34193399999999996</v>
      </c>
      <c r="X3291" s="250">
        <v>0.15445</v>
      </c>
      <c r="Y3291" s="250">
        <v>7.9760000000000005E-3</v>
      </c>
      <c r="Z3291" s="150"/>
      <c r="AA3291" s="150">
        <v>0.99</v>
      </c>
      <c r="AB3291" s="152"/>
      <c r="AC3291" s="152"/>
      <c r="AD3291" s="223">
        <v>15.605248</v>
      </c>
      <c r="AE3291" s="223">
        <v>0.3505085</v>
      </c>
      <c r="AF3291" s="223">
        <v>5.4621671999999997</v>
      </c>
      <c r="AG3291" s="223">
        <v>0.66749009999999998</v>
      </c>
      <c r="AH3291" s="341"/>
      <c r="AI3291" s="218"/>
      <c r="AJ3291" s="218"/>
      <c r="AK3291" s="153"/>
      <c r="AL3291" s="152"/>
      <c r="AM3291" s="152"/>
      <c r="AN3291" s="152"/>
      <c r="AO3291" s="152"/>
      <c r="AP3291" s="152"/>
      <c r="AQ3291" s="152"/>
      <c r="AR3291" s="152"/>
      <c r="AS3291" s="152"/>
      <c r="AT3291" s="152"/>
      <c r="AU3291" s="153"/>
      <c r="AV3291" s="479"/>
      <c r="AW3291" s="479"/>
      <c r="AX3291" s="442"/>
      <c r="AY3291" s="153"/>
      <c r="AZ3291" s="152"/>
      <c r="BA3291" s="152"/>
      <c r="BB3291" s="152"/>
      <c r="BC3291" s="152"/>
      <c r="BD3291" s="152"/>
      <c r="BE3291" s="152"/>
      <c r="BF3291" s="152"/>
      <c r="BG3291" s="152"/>
      <c r="BH3291" s="152"/>
      <c r="BI3291" s="153"/>
      <c r="BJ3291" s="153"/>
      <c r="BK3291" s="153"/>
      <c r="BL3291" s="153"/>
      <c r="BM3291" s="153"/>
      <c r="BN3291" s="153"/>
      <c r="BO3291" s="153"/>
      <c r="BP3291" s="153"/>
      <c r="BQ3291" s="153"/>
      <c r="BR3291" s="153"/>
      <c r="BS3291" s="153"/>
      <c r="BT3291" s="153"/>
      <c r="BU3291" s="153"/>
      <c r="BV3291" s="153"/>
      <c r="BW3291" s="153"/>
      <c r="BX3291" s="153"/>
      <c r="BY3291" s="153"/>
      <c r="BZ3291" s="153"/>
      <c r="CA3291" s="152"/>
      <c r="CB3291" s="152"/>
    </row>
    <row r="3292" spans="1:80" s="87" customFormat="1" x14ac:dyDescent="0.2">
      <c r="A3292" s="152"/>
      <c r="B3292" s="683"/>
      <c r="C3292" s="683"/>
      <c r="D3292" s="698"/>
      <c r="E3292" s="215"/>
      <c r="F3292" s="215"/>
      <c r="G3292" s="153"/>
      <c r="H3292" s="153"/>
      <c r="I3292" s="164">
        <v>21</v>
      </c>
      <c r="J3292" s="163">
        <v>60</v>
      </c>
      <c r="K3292" s="150">
        <v>1</v>
      </c>
      <c r="L3292" s="664">
        <v>21</v>
      </c>
      <c r="M3292" s="663">
        <v>34456</v>
      </c>
      <c r="N3292" s="600">
        <v>3.6240299999999999</v>
      </c>
      <c r="O3292" s="604">
        <v>2.0890000000000001E-3</v>
      </c>
      <c r="P3292" s="150"/>
      <c r="Q3292" s="250"/>
      <c r="R3292" s="250"/>
      <c r="S3292" s="250">
        <v>5.5544000000000003E-2</v>
      </c>
      <c r="T3292" s="250">
        <v>0.130497</v>
      </c>
      <c r="U3292" s="250">
        <v>0.16813700000000001</v>
      </c>
      <c r="V3292" s="250">
        <v>0.20195799999999997</v>
      </c>
      <c r="W3292" s="250">
        <v>0.28212300000000001</v>
      </c>
      <c r="X3292" s="250">
        <v>0.14962500000000001</v>
      </c>
      <c r="Y3292" s="250">
        <v>1.2118E-2</v>
      </c>
      <c r="Z3292" s="150"/>
      <c r="AA3292" s="150">
        <v>1.21</v>
      </c>
      <c r="AB3292" s="152"/>
      <c r="AC3292" s="152"/>
      <c r="AD3292" s="223">
        <v>15.605248</v>
      </c>
      <c r="AE3292" s="223">
        <v>0.3505085</v>
      </c>
      <c r="AF3292" s="223">
        <v>5.4621671999999997</v>
      </c>
      <c r="AG3292" s="223">
        <v>0.66749009999999998</v>
      </c>
      <c r="AH3292" s="341"/>
      <c r="AI3292" s="218"/>
      <c r="AJ3292" s="218"/>
      <c r="AK3292" s="153"/>
      <c r="AL3292" s="152"/>
      <c r="AM3292" s="152"/>
      <c r="AN3292" s="152"/>
      <c r="AO3292" s="152"/>
      <c r="AP3292" s="152"/>
      <c r="AQ3292" s="152"/>
      <c r="AR3292" s="152"/>
      <c r="AS3292" s="152"/>
      <c r="AT3292" s="152"/>
      <c r="AU3292" s="153"/>
      <c r="AV3292" s="479"/>
      <c r="AW3292" s="479"/>
      <c r="AX3292" s="442"/>
      <c r="AY3292" s="153"/>
      <c r="AZ3292" s="152"/>
      <c r="BA3292" s="152"/>
      <c r="BB3292" s="152"/>
      <c r="BC3292" s="152"/>
      <c r="BD3292" s="152"/>
      <c r="BE3292" s="152"/>
      <c r="BF3292" s="152"/>
      <c r="BG3292" s="152"/>
      <c r="BH3292" s="152"/>
      <c r="BI3292" s="153"/>
      <c r="BJ3292" s="153"/>
      <c r="BK3292" s="153"/>
      <c r="BL3292" s="153"/>
      <c r="BM3292" s="153"/>
      <c r="BN3292" s="153"/>
      <c r="BO3292" s="153"/>
      <c r="BP3292" s="153"/>
      <c r="BQ3292" s="153"/>
      <c r="BR3292" s="153"/>
      <c r="BS3292" s="153"/>
      <c r="BT3292" s="153"/>
      <c r="BU3292" s="153"/>
      <c r="BV3292" s="153"/>
      <c r="BW3292" s="153"/>
      <c r="BX3292" s="153"/>
      <c r="BY3292" s="153"/>
      <c r="BZ3292" s="153"/>
      <c r="CA3292" s="152"/>
      <c r="CB3292" s="152"/>
    </row>
    <row r="3293" spans="1:80" s="87" customFormat="1" x14ac:dyDescent="0.2">
      <c r="A3293" s="152"/>
      <c r="B3293" s="683"/>
      <c r="C3293" s="683"/>
      <c r="D3293" s="698"/>
      <c r="E3293" s="215"/>
      <c r="F3293" s="215"/>
      <c r="G3293" s="153"/>
      <c r="H3293" s="153"/>
      <c r="I3293" s="164">
        <v>22</v>
      </c>
      <c r="J3293" s="163">
        <v>60</v>
      </c>
      <c r="K3293" s="150">
        <v>1</v>
      </c>
      <c r="L3293" s="664">
        <v>22</v>
      </c>
      <c r="M3293" s="663">
        <v>34464</v>
      </c>
      <c r="N3293" s="600">
        <v>9.6829400000000003</v>
      </c>
      <c r="O3293" s="604">
        <v>2.477E-2</v>
      </c>
      <c r="P3293" s="150"/>
      <c r="Q3293" s="250"/>
      <c r="R3293" s="250">
        <v>5.1753999999999994E-2</v>
      </c>
      <c r="S3293" s="250">
        <v>3.6462000000000001E-2</v>
      </c>
      <c r="T3293" s="250">
        <v>6.7851999999999996E-2</v>
      </c>
      <c r="U3293" s="250">
        <v>0.15734799999999999</v>
      </c>
      <c r="V3293" s="250">
        <v>0.21826799999999999</v>
      </c>
      <c r="W3293" s="250">
        <v>0.27385399999999999</v>
      </c>
      <c r="X3293" s="250">
        <v>0.186916</v>
      </c>
      <c r="Y3293" s="250">
        <v>7.5470000000000008E-3</v>
      </c>
      <c r="Z3293" s="150"/>
      <c r="AA3293" s="150">
        <v>1.1100000000000001</v>
      </c>
      <c r="AB3293" s="152"/>
      <c r="AC3293" s="152"/>
      <c r="AD3293" s="223">
        <v>17.830214999999999</v>
      </c>
      <c r="AE3293" s="223">
        <v>0.50595140000000005</v>
      </c>
      <c r="AF3293" s="223">
        <v>9.0014286000000006</v>
      </c>
      <c r="AG3293" s="223">
        <v>1.0759087000000001</v>
      </c>
      <c r="AH3293" s="341"/>
      <c r="AI3293" s="218"/>
      <c r="AJ3293" s="218"/>
      <c r="AK3293" s="153"/>
      <c r="AL3293" s="152"/>
      <c r="AM3293" s="152"/>
      <c r="AN3293" s="152"/>
      <c r="AO3293" s="152"/>
      <c r="AP3293" s="152"/>
      <c r="AQ3293" s="152"/>
      <c r="AR3293" s="152"/>
      <c r="AS3293" s="152"/>
      <c r="AT3293" s="152"/>
      <c r="AU3293" s="153"/>
      <c r="AV3293" s="479"/>
      <c r="AW3293" s="479"/>
      <c r="AX3293" s="442"/>
      <c r="AY3293" s="153"/>
      <c r="AZ3293" s="152"/>
      <c r="BA3293" s="152"/>
      <c r="BB3293" s="152"/>
      <c r="BC3293" s="152"/>
      <c r="BD3293" s="152"/>
      <c r="BE3293" s="152"/>
      <c r="BF3293" s="152"/>
      <c r="BG3293" s="152"/>
      <c r="BH3293" s="152"/>
      <c r="BI3293" s="153"/>
      <c r="BJ3293" s="153"/>
      <c r="BK3293" s="153"/>
      <c r="BL3293" s="153"/>
      <c r="BM3293" s="153"/>
      <c r="BN3293" s="153"/>
      <c r="BO3293" s="153"/>
      <c r="BP3293" s="153"/>
      <c r="BQ3293" s="153"/>
      <c r="BR3293" s="153"/>
      <c r="BS3293" s="153"/>
      <c r="BT3293" s="153"/>
      <c r="BU3293" s="153"/>
      <c r="BV3293" s="153"/>
      <c r="BW3293" s="153"/>
      <c r="BX3293" s="153"/>
      <c r="BY3293" s="153"/>
      <c r="BZ3293" s="153"/>
      <c r="CA3293" s="152"/>
      <c r="CB3293" s="152"/>
    </row>
    <row r="3294" spans="1:80" s="87" customFormat="1" x14ac:dyDescent="0.2">
      <c r="A3294" s="152"/>
      <c r="B3294" s="683"/>
      <c r="C3294" s="683"/>
      <c r="D3294" s="698"/>
      <c r="E3294" s="215"/>
      <c r="F3294" s="215"/>
      <c r="G3294" s="153"/>
      <c r="H3294" s="153"/>
      <c r="I3294" s="164">
        <v>22</v>
      </c>
      <c r="J3294" s="163">
        <v>60</v>
      </c>
      <c r="K3294" s="150">
        <v>1</v>
      </c>
      <c r="L3294" s="664">
        <v>22</v>
      </c>
      <c r="M3294" s="663">
        <v>34464</v>
      </c>
      <c r="N3294" s="600">
        <v>9.6829400000000003</v>
      </c>
      <c r="O3294" s="604">
        <v>5.7516999999999999E-2</v>
      </c>
      <c r="P3294" s="150"/>
      <c r="Q3294" s="250"/>
      <c r="R3294" s="250">
        <v>2.0941999999999999E-2</v>
      </c>
      <c r="S3294" s="250">
        <v>5.3377000000000001E-2</v>
      </c>
      <c r="T3294" s="250">
        <v>9.8996999999999988E-2</v>
      </c>
      <c r="U3294" s="250">
        <v>0.17771599999999999</v>
      </c>
      <c r="V3294" s="250">
        <v>0.24173900000000001</v>
      </c>
      <c r="W3294" s="250">
        <v>0.25537100000000001</v>
      </c>
      <c r="X3294" s="250">
        <v>0.14471700000000001</v>
      </c>
      <c r="Y3294" s="250">
        <v>7.141999999999999E-3</v>
      </c>
      <c r="Z3294" s="150"/>
      <c r="AA3294" s="150">
        <v>1.3</v>
      </c>
      <c r="AB3294" s="152"/>
      <c r="AC3294" s="152"/>
      <c r="AD3294" s="223">
        <v>17.830214999999999</v>
      </c>
      <c r="AE3294" s="223">
        <v>0.50595140000000005</v>
      </c>
      <c r="AF3294" s="223">
        <v>9.0014286000000006</v>
      </c>
      <c r="AG3294" s="223">
        <v>1.0759087000000001</v>
      </c>
      <c r="AH3294" s="341"/>
      <c r="AI3294" s="218"/>
      <c r="AJ3294" s="218"/>
      <c r="AK3294" s="153"/>
      <c r="AL3294" s="152"/>
      <c r="AM3294" s="152"/>
      <c r="AN3294" s="152"/>
      <c r="AO3294" s="152"/>
      <c r="AP3294" s="152"/>
      <c r="AQ3294" s="152"/>
      <c r="AR3294" s="152"/>
      <c r="AS3294" s="152"/>
      <c r="AT3294" s="152"/>
      <c r="AU3294" s="153"/>
      <c r="AV3294" s="479"/>
      <c r="AW3294" s="479"/>
      <c r="AX3294" s="442"/>
      <c r="AY3294" s="153"/>
      <c r="AZ3294" s="152"/>
      <c r="BA3294" s="152"/>
      <c r="BB3294" s="152"/>
      <c r="BC3294" s="152"/>
      <c r="BD3294" s="152"/>
      <c r="BE3294" s="152"/>
      <c r="BF3294" s="152"/>
      <c r="BG3294" s="152"/>
      <c r="BH3294" s="152"/>
      <c r="BI3294" s="153"/>
      <c r="BJ3294" s="153"/>
      <c r="BK3294" s="153"/>
      <c r="BL3294" s="153"/>
      <c r="BM3294" s="153"/>
      <c r="BN3294" s="153"/>
      <c r="BO3294" s="153"/>
      <c r="BP3294" s="153"/>
      <c r="BQ3294" s="153"/>
      <c r="BR3294" s="153"/>
      <c r="BS3294" s="153"/>
      <c r="BT3294" s="153"/>
      <c r="BU3294" s="153"/>
      <c r="BV3294" s="153"/>
      <c r="BW3294" s="153"/>
      <c r="BX3294" s="153"/>
      <c r="BY3294" s="153"/>
      <c r="BZ3294" s="153"/>
      <c r="CA3294" s="152"/>
      <c r="CB3294" s="152"/>
    </row>
    <row r="3295" spans="1:80" s="87" customFormat="1" x14ac:dyDescent="0.2">
      <c r="A3295" s="152"/>
      <c r="B3295" s="683"/>
      <c r="C3295" s="683"/>
      <c r="D3295" s="698"/>
      <c r="E3295" s="215"/>
      <c r="F3295" s="215"/>
      <c r="G3295" s="153"/>
      <c r="H3295" s="153"/>
      <c r="I3295" s="164">
        <v>20</v>
      </c>
      <c r="J3295" s="163">
        <v>60</v>
      </c>
      <c r="K3295" s="150">
        <v>1</v>
      </c>
      <c r="L3295" s="664">
        <v>20</v>
      </c>
      <c r="M3295" s="663">
        <v>34465</v>
      </c>
      <c r="N3295" s="600">
        <v>9.6829400000000003</v>
      </c>
      <c r="O3295" s="604">
        <v>4.0198999999999999E-2</v>
      </c>
      <c r="P3295" s="150"/>
      <c r="Q3295" s="250"/>
      <c r="R3295" s="250">
        <v>0.12857100000000002</v>
      </c>
      <c r="S3295" s="250">
        <v>5.4166999999999993E-2</v>
      </c>
      <c r="T3295" s="250">
        <v>0.109725</v>
      </c>
      <c r="U3295" s="250">
        <v>0.15374599999999999</v>
      </c>
      <c r="V3295" s="250">
        <v>0.21153199999999997</v>
      </c>
      <c r="W3295" s="250">
        <v>0.22758900000000001</v>
      </c>
      <c r="X3295" s="250">
        <v>0.10995100000000001</v>
      </c>
      <c r="Y3295" s="250">
        <v>4.718E-3</v>
      </c>
      <c r="Z3295" s="150"/>
      <c r="AA3295" s="150">
        <v>1.68</v>
      </c>
      <c r="AB3295" s="152"/>
      <c r="AC3295" s="152"/>
      <c r="AD3295" s="223">
        <v>17.830214999999999</v>
      </c>
      <c r="AE3295" s="223">
        <v>0.51204720000000004</v>
      </c>
      <c r="AF3295" s="223">
        <v>9.1314802000000004</v>
      </c>
      <c r="AG3295" s="223">
        <v>1.0637171000000001</v>
      </c>
      <c r="AH3295" s="341"/>
      <c r="AI3295" s="218"/>
      <c r="AJ3295" s="218"/>
      <c r="AK3295" s="153"/>
      <c r="AL3295" s="152"/>
      <c r="AM3295" s="152"/>
      <c r="AN3295" s="152"/>
      <c r="AO3295" s="152"/>
      <c r="AP3295" s="152"/>
      <c r="AQ3295" s="152"/>
      <c r="AR3295" s="152"/>
      <c r="AS3295" s="152"/>
      <c r="AT3295" s="152"/>
      <c r="AU3295" s="153"/>
      <c r="AV3295" s="479"/>
      <c r="AW3295" s="479"/>
      <c r="AX3295" s="442"/>
      <c r="AY3295" s="153"/>
      <c r="AZ3295" s="152"/>
      <c r="BA3295" s="152"/>
      <c r="BB3295" s="152"/>
      <c r="BC3295" s="152"/>
      <c r="BD3295" s="152"/>
      <c r="BE3295" s="152"/>
      <c r="BF3295" s="152"/>
      <c r="BG3295" s="152"/>
      <c r="BH3295" s="152"/>
      <c r="BI3295" s="153"/>
      <c r="BJ3295" s="153"/>
      <c r="BK3295" s="153"/>
      <c r="BL3295" s="153"/>
      <c r="BM3295" s="153"/>
      <c r="BN3295" s="153"/>
      <c r="BO3295" s="153"/>
      <c r="BP3295" s="153"/>
      <c r="BQ3295" s="153"/>
      <c r="BR3295" s="153"/>
      <c r="BS3295" s="153"/>
      <c r="BT3295" s="153"/>
      <c r="BU3295" s="153"/>
      <c r="BV3295" s="153"/>
      <c r="BW3295" s="153"/>
      <c r="BX3295" s="153"/>
      <c r="BY3295" s="153"/>
      <c r="BZ3295" s="153"/>
      <c r="CA3295" s="152"/>
      <c r="CB3295" s="152"/>
    </row>
    <row r="3296" spans="1:80" s="87" customFormat="1" x14ac:dyDescent="0.2">
      <c r="A3296" s="152"/>
      <c r="B3296" s="683"/>
      <c r="C3296" s="683"/>
      <c r="D3296" s="698"/>
      <c r="E3296" s="215"/>
      <c r="F3296" s="215"/>
      <c r="G3296" s="153"/>
      <c r="H3296" s="153"/>
      <c r="I3296" s="164">
        <v>20</v>
      </c>
      <c r="J3296" s="163">
        <v>60</v>
      </c>
      <c r="K3296" s="150">
        <v>1</v>
      </c>
      <c r="L3296" s="664">
        <v>20</v>
      </c>
      <c r="M3296" s="663">
        <v>34465</v>
      </c>
      <c r="N3296" s="600">
        <v>9.6829400000000003</v>
      </c>
      <c r="O3296" s="604">
        <v>7.5568999999999997E-2</v>
      </c>
      <c r="P3296" s="150"/>
      <c r="Q3296" s="250"/>
      <c r="R3296" s="250">
        <v>0.22442599999999999</v>
      </c>
      <c r="S3296" s="250">
        <v>0.104022</v>
      </c>
      <c r="T3296" s="250">
        <v>8.2872000000000001E-2</v>
      </c>
      <c r="U3296" s="250">
        <v>0.103299</v>
      </c>
      <c r="V3296" s="250">
        <v>0.18414999999999998</v>
      </c>
      <c r="W3296" s="250">
        <v>0.19931100000000002</v>
      </c>
      <c r="X3296" s="250">
        <v>9.7498000000000001E-2</v>
      </c>
      <c r="Y3296" s="250">
        <v>4.4219999999999997E-3</v>
      </c>
      <c r="Z3296" s="150"/>
      <c r="AA3296" s="150">
        <v>2.21</v>
      </c>
      <c r="AB3296" s="152"/>
      <c r="AC3296" s="152"/>
      <c r="AD3296" s="223">
        <v>17.830214999999999</v>
      </c>
      <c r="AE3296" s="223">
        <v>0.51204720000000004</v>
      </c>
      <c r="AF3296" s="223">
        <v>9.1314802000000004</v>
      </c>
      <c r="AG3296" s="223">
        <v>1.0637171000000001</v>
      </c>
      <c r="AH3296" s="341"/>
      <c r="AI3296" s="218"/>
      <c r="AJ3296" s="218"/>
      <c r="AK3296" s="153"/>
      <c r="AL3296" s="152"/>
      <c r="AM3296" s="152"/>
      <c r="AN3296" s="152"/>
      <c r="AO3296" s="152"/>
      <c r="AP3296" s="152"/>
      <c r="AQ3296" s="152"/>
      <c r="AR3296" s="152"/>
      <c r="AS3296" s="152"/>
      <c r="AT3296" s="152"/>
      <c r="AU3296" s="153"/>
      <c r="AV3296" s="479"/>
      <c r="AW3296" s="479"/>
      <c r="AX3296" s="442"/>
      <c r="AY3296" s="153"/>
      <c r="AZ3296" s="152"/>
      <c r="BA3296" s="152"/>
      <c r="BB3296" s="152"/>
      <c r="BC3296" s="152"/>
      <c r="BD3296" s="152"/>
      <c r="BE3296" s="152"/>
      <c r="BF3296" s="152"/>
      <c r="BG3296" s="152"/>
      <c r="BH3296" s="152"/>
      <c r="BI3296" s="153"/>
      <c r="BJ3296" s="153"/>
      <c r="BK3296" s="153"/>
      <c r="BL3296" s="153"/>
      <c r="BM3296" s="153"/>
      <c r="BN3296" s="153"/>
      <c r="BO3296" s="153"/>
      <c r="BP3296" s="153"/>
      <c r="BQ3296" s="153"/>
      <c r="BR3296" s="153"/>
      <c r="BS3296" s="153"/>
      <c r="BT3296" s="153"/>
      <c r="BU3296" s="153"/>
      <c r="BV3296" s="153"/>
      <c r="BW3296" s="153"/>
      <c r="BX3296" s="153"/>
      <c r="BY3296" s="153"/>
      <c r="BZ3296" s="153"/>
      <c r="CA3296" s="152"/>
      <c r="CB3296" s="152"/>
    </row>
    <row r="3297" spans="1:80" s="87" customFormat="1" x14ac:dyDescent="0.2">
      <c r="A3297" s="152"/>
      <c r="B3297" s="683"/>
      <c r="C3297" s="683"/>
      <c r="D3297" s="698"/>
      <c r="E3297" s="215"/>
      <c r="F3297" s="215"/>
      <c r="G3297" s="153"/>
      <c r="H3297" s="153"/>
      <c r="I3297" s="164">
        <v>20</v>
      </c>
      <c r="J3297" s="163">
        <v>60</v>
      </c>
      <c r="K3297" s="150">
        <v>1</v>
      </c>
      <c r="L3297" s="664">
        <v>20</v>
      </c>
      <c r="M3297" s="663">
        <v>34471</v>
      </c>
      <c r="N3297" s="600">
        <v>7.78599</v>
      </c>
      <c r="O3297" s="604">
        <v>2.0885999999999998E-2</v>
      </c>
      <c r="P3297" s="150"/>
      <c r="Q3297" s="250"/>
      <c r="R3297" s="250">
        <v>3.9559000000000004E-2</v>
      </c>
      <c r="S3297" s="250">
        <v>4.2421E-2</v>
      </c>
      <c r="T3297" s="250">
        <v>9.4146000000000007E-2</v>
      </c>
      <c r="U3297" s="250">
        <v>0.16995100000000002</v>
      </c>
      <c r="V3297" s="250">
        <v>0.21731300000000001</v>
      </c>
      <c r="W3297" s="250">
        <v>0.28260000000000002</v>
      </c>
      <c r="X3297" s="250">
        <v>0.14915100000000001</v>
      </c>
      <c r="Y3297" s="250">
        <v>4.8580000000000003E-3</v>
      </c>
      <c r="Z3297" s="150"/>
      <c r="AA3297" s="150">
        <v>1.22</v>
      </c>
      <c r="AB3297" s="152"/>
      <c r="AC3297" s="152"/>
      <c r="AD3297" s="223">
        <v>17.616862000000001</v>
      </c>
      <c r="AE3297" s="223">
        <v>0.44804129999999998</v>
      </c>
      <c r="AF3297" s="223">
        <v>7.9052794000000004</v>
      </c>
      <c r="AG3297" s="223">
        <v>0.98142379999999996</v>
      </c>
      <c r="AH3297" s="341"/>
      <c r="AI3297" s="218"/>
      <c r="AJ3297" s="218"/>
      <c r="AK3297" s="153"/>
      <c r="AL3297" s="152"/>
      <c r="AM3297" s="152"/>
      <c r="AN3297" s="152"/>
      <c r="AO3297" s="152"/>
      <c r="AP3297" s="152"/>
      <c r="AQ3297" s="152"/>
      <c r="AR3297" s="152"/>
      <c r="AS3297" s="152"/>
      <c r="AT3297" s="152"/>
      <c r="AU3297" s="153"/>
      <c r="AV3297" s="479"/>
      <c r="AW3297" s="479"/>
      <c r="AX3297" s="442"/>
      <c r="AY3297" s="153"/>
      <c r="AZ3297" s="152"/>
      <c r="BA3297" s="152"/>
      <c r="BB3297" s="152"/>
      <c r="BC3297" s="152"/>
      <c r="BD3297" s="152"/>
      <c r="BE3297" s="152"/>
      <c r="BF3297" s="152"/>
      <c r="BG3297" s="152"/>
      <c r="BH3297" s="152"/>
      <c r="BI3297" s="153"/>
      <c r="BJ3297" s="153"/>
      <c r="BK3297" s="153"/>
      <c r="BL3297" s="153"/>
      <c r="BM3297" s="153"/>
      <c r="BN3297" s="153"/>
      <c r="BO3297" s="153"/>
      <c r="BP3297" s="153"/>
      <c r="BQ3297" s="153"/>
      <c r="BR3297" s="153"/>
      <c r="BS3297" s="153"/>
      <c r="BT3297" s="153"/>
      <c r="BU3297" s="153"/>
      <c r="BV3297" s="153"/>
      <c r="BW3297" s="153"/>
      <c r="BX3297" s="153"/>
      <c r="BY3297" s="153"/>
      <c r="BZ3297" s="153"/>
      <c r="CA3297" s="152"/>
      <c r="CB3297" s="152"/>
    </row>
    <row r="3298" spans="1:80" s="87" customFormat="1" x14ac:dyDescent="0.2">
      <c r="A3298" s="152"/>
      <c r="B3298" s="683"/>
      <c r="C3298" s="683"/>
      <c r="D3298" s="698"/>
      <c r="E3298" s="215"/>
      <c r="F3298" s="215"/>
      <c r="G3298" s="153"/>
      <c r="H3298" s="153"/>
      <c r="I3298" s="164">
        <v>20</v>
      </c>
      <c r="J3298" s="163">
        <v>60</v>
      </c>
      <c r="K3298" s="150">
        <v>1</v>
      </c>
      <c r="L3298" s="664">
        <v>20</v>
      </c>
      <c r="M3298" s="663">
        <v>34471</v>
      </c>
      <c r="N3298" s="600">
        <v>7.78599</v>
      </c>
      <c r="O3298" s="604">
        <v>9.1520000000000004E-3</v>
      </c>
      <c r="P3298" s="150"/>
      <c r="Q3298" s="250"/>
      <c r="R3298" s="250"/>
      <c r="S3298" s="250">
        <v>2.0920999999999999E-2</v>
      </c>
      <c r="T3298" s="250">
        <v>9.5694000000000001E-2</v>
      </c>
      <c r="U3298" s="250">
        <v>0.18578700000000001</v>
      </c>
      <c r="V3298" s="250">
        <v>0.26255800000000001</v>
      </c>
      <c r="W3298" s="250">
        <v>0.25404300000000002</v>
      </c>
      <c r="X3298" s="250">
        <v>0.14323900000000001</v>
      </c>
      <c r="Y3298" s="250">
        <v>3.7759000000000001E-2</v>
      </c>
      <c r="Z3298" s="150"/>
      <c r="AA3298" s="150">
        <v>1.19</v>
      </c>
      <c r="AB3298" s="152"/>
      <c r="AC3298" s="152"/>
      <c r="AD3298" s="223">
        <v>17.616862000000001</v>
      </c>
      <c r="AE3298" s="223">
        <v>0.44804129999999998</v>
      </c>
      <c r="AF3298" s="223">
        <v>7.9052794000000004</v>
      </c>
      <c r="AG3298" s="223">
        <v>0.98142379999999996</v>
      </c>
      <c r="AH3298" s="341"/>
      <c r="AI3298" s="218"/>
      <c r="AJ3298" s="218"/>
      <c r="AK3298" s="153"/>
      <c r="AL3298" s="152"/>
      <c r="AM3298" s="152"/>
      <c r="AN3298" s="152"/>
      <c r="AO3298" s="152"/>
      <c r="AP3298" s="152"/>
      <c r="AQ3298" s="152"/>
      <c r="AR3298" s="152"/>
      <c r="AS3298" s="152"/>
      <c r="AT3298" s="152"/>
      <c r="AU3298" s="153"/>
      <c r="AV3298" s="479"/>
      <c r="AW3298" s="479"/>
      <c r="AX3298" s="442"/>
      <c r="AY3298" s="153"/>
      <c r="AZ3298" s="152"/>
      <c r="BA3298" s="152"/>
      <c r="BB3298" s="152"/>
      <c r="BC3298" s="152"/>
      <c r="BD3298" s="152"/>
      <c r="BE3298" s="152"/>
      <c r="BF3298" s="152"/>
      <c r="BG3298" s="152"/>
      <c r="BH3298" s="152"/>
      <c r="BI3298" s="153"/>
      <c r="BJ3298" s="153"/>
      <c r="BK3298" s="153"/>
      <c r="BL3298" s="153"/>
      <c r="BM3298" s="153"/>
      <c r="BN3298" s="153"/>
      <c r="BO3298" s="153"/>
      <c r="BP3298" s="153"/>
      <c r="BQ3298" s="153"/>
      <c r="BR3298" s="153"/>
      <c r="BS3298" s="153"/>
      <c r="BT3298" s="153"/>
      <c r="BU3298" s="153"/>
      <c r="BV3298" s="153"/>
      <c r="BW3298" s="153"/>
      <c r="BX3298" s="153"/>
      <c r="BY3298" s="153"/>
      <c r="BZ3298" s="153"/>
      <c r="CA3298" s="152"/>
      <c r="CB3298" s="152"/>
    </row>
    <row r="3299" spans="1:80" s="87" customFormat="1" x14ac:dyDescent="0.2">
      <c r="A3299" s="152"/>
      <c r="B3299" s="683"/>
      <c r="C3299" s="683"/>
      <c r="D3299" s="698"/>
      <c r="E3299" s="215"/>
      <c r="F3299" s="215"/>
      <c r="G3299" s="153"/>
      <c r="H3299" s="153"/>
      <c r="I3299" s="164">
        <v>22</v>
      </c>
      <c r="J3299" s="163">
        <v>60</v>
      </c>
      <c r="K3299" s="150">
        <v>1</v>
      </c>
      <c r="L3299" s="664">
        <v>22</v>
      </c>
      <c r="M3299" s="663">
        <v>34473</v>
      </c>
      <c r="N3299" s="600">
        <v>6.6534800000000001</v>
      </c>
      <c r="O3299" s="604">
        <v>4.0619999999999996E-3</v>
      </c>
      <c r="P3299" s="150"/>
      <c r="Q3299" s="250"/>
      <c r="R3299" s="250"/>
      <c r="S3299" s="250">
        <v>0.22325299999999998</v>
      </c>
      <c r="T3299" s="250">
        <v>0.112432</v>
      </c>
      <c r="U3299" s="250">
        <v>9.915800000000001E-2</v>
      </c>
      <c r="V3299" s="250">
        <v>0.164661</v>
      </c>
      <c r="W3299" s="250">
        <v>0.23009300000000002</v>
      </c>
      <c r="X3299" s="250">
        <v>0.160111</v>
      </c>
      <c r="Y3299" s="250">
        <v>1.0293000000000002E-2</v>
      </c>
      <c r="Z3299" s="150"/>
      <c r="AA3299" s="150">
        <v>1.52</v>
      </c>
      <c r="AB3299" s="152"/>
      <c r="AC3299" s="152"/>
      <c r="AD3299" s="223">
        <v>16.397701999999999</v>
      </c>
      <c r="AE3299" s="223">
        <v>0.45108920000000002</v>
      </c>
      <c r="AF3299" s="223">
        <v>7.4036517999999996</v>
      </c>
      <c r="AG3299" s="223">
        <v>0.90217840000000005</v>
      </c>
      <c r="AH3299" s="341"/>
      <c r="AI3299" s="218"/>
      <c r="AJ3299" s="218"/>
      <c r="AK3299" s="153"/>
      <c r="AL3299" s="152"/>
      <c r="AM3299" s="152"/>
      <c r="AN3299" s="152"/>
      <c r="AO3299" s="152"/>
      <c r="AP3299" s="152"/>
      <c r="AQ3299" s="152"/>
      <c r="AR3299" s="152"/>
      <c r="AS3299" s="152"/>
      <c r="AT3299" s="152"/>
      <c r="AU3299" s="153"/>
      <c r="AV3299" s="479"/>
      <c r="AW3299" s="479"/>
      <c r="AX3299" s="442"/>
      <c r="AY3299" s="153"/>
      <c r="AZ3299" s="152"/>
      <c r="BA3299" s="152"/>
      <c r="BB3299" s="152"/>
      <c r="BC3299" s="152"/>
      <c r="BD3299" s="152"/>
      <c r="BE3299" s="152"/>
      <c r="BF3299" s="152"/>
      <c r="BG3299" s="152"/>
      <c r="BH3299" s="152"/>
      <c r="BI3299" s="153"/>
      <c r="BJ3299" s="153"/>
      <c r="BK3299" s="153"/>
      <c r="BL3299" s="153"/>
      <c r="BM3299" s="153"/>
      <c r="BN3299" s="153"/>
      <c r="BO3299" s="153"/>
      <c r="BP3299" s="153"/>
      <c r="BQ3299" s="153"/>
      <c r="BR3299" s="153"/>
      <c r="BS3299" s="153"/>
      <c r="BT3299" s="153"/>
      <c r="BU3299" s="153"/>
      <c r="BV3299" s="153"/>
      <c r="BW3299" s="153"/>
      <c r="BX3299" s="153"/>
      <c r="BY3299" s="153"/>
      <c r="BZ3299" s="153"/>
      <c r="CA3299" s="152"/>
      <c r="CB3299" s="152"/>
    </row>
    <row r="3300" spans="1:80" s="87" customFormat="1" x14ac:dyDescent="0.2">
      <c r="A3300" s="152"/>
      <c r="B3300" s="683"/>
      <c r="C3300" s="683"/>
      <c r="D3300" s="698"/>
      <c r="E3300" s="215"/>
      <c r="F3300" s="215"/>
      <c r="G3300" s="153"/>
      <c r="H3300" s="153"/>
      <c r="I3300" s="164">
        <v>22</v>
      </c>
      <c r="J3300" s="163">
        <v>60</v>
      </c>
      <c r="K3300" s="150">
        <v>1</v>
      </c>
      <c r="L3300" s="664">
        <v>22</v>
      </c>
      <c r="M3300" s="663">
        <v>34473</v>
      </c>
      <c r="N3300" s="600">
        <v>6.6534800000000001</v>
      </c>
      <c r="O3300" s="604">
        <v>2.6029999999999998E-3</v>
      </c>
      <c r="P3300" s="150"/>
      <c r="Q3300" s="250"/>
      <c r="R3300" s="250"/>
      <c r="S3300" s="250"/>
      <c r="T3300" s="250">
        <v>1.7451000000000001E-2</v>
      </c>
      <c r="U3300" s="250">
        <v>0.104545</v>
      </c>
      <c r="V3300" s="250">
        <v>0.239875</v>
      </c>
      <c r="W3300" s="250">
        <v>0.39643600000000001</v>
      </c>
      <c r="X3300" s="250">
        <v>0.196765</v>
      </c>
      <c r="Y3300" s="250">
        <v>4.4927999999999996E-2</v>
      </c>
      <c r="Z3300" s="150"/>
      <c r="AA3300" s="150">
        <v>0.79</v>
      </c>
      <c r="AB3300" s="152"/>
      <c r="AC3300" s="152"/>
      <c r="AD3300" s="223">
        <v>16.397701999999999</v>
      </c>
      <c r="AE3300" s="223">
        <v>0.45108920000000002</v>
      </c>
      <c r="AF3300" s="223">
        <v>7.4036517999999996</v>
      </c>
      <c r="AG3300" s="223">
        <v>0.90217840000000005</v>
      </c>
      <c r="AH3300" s="341"/>
      <c r="AI3300" s="218"/>
      <c r="AJ3300" s="218"/>
      <c r="AK3300" s="153"/>
      <c r="AL3300" s="152"/>
      <c r="AM3300" s="152"/>
      <c r="AN3300" s="152"/>
      <c r="AO3300" s="152"/>
      <c r="AP3300" s="152"/>
      <c r="AQ3300" s="152"/>
      <c r="AR3300" s="152"/>
      <c r="AS3300" s="152"/>
      <c r="AT3300" s="152"/>
      <c r="AU3300" s="153"/>
      <c r="AV3300" s="479"/>
      <c r="AW3300" s="479"/>
      <c r="AX3300" s="442"/>
      <c r="AY3300" s="153"/>
      <c r="AZ3300" s="152"/>
      <c r="BA3300" s="152"/>
      <c r="BB3300" s="152"/>
      <c r="BC3300" s="152"/>
      <c r="BD3300" s="152"/>
      <c r="BE3300" s="152"/>
      <c r="BF3300" s="152"/>
      <c r="BG3300" s="152"/>
      <c r="BH3300" s="152"/>
      <c r="BI3300" s="153"/>
      <c r="BJ3300" s="153"/>
      <c r="BK3300" s="153"/>
      <c r="BL3300" s="153"/>
      <c r="BM3300" s="153"/>
      <c r="BN3300" s="153"/>
      <c r="BO3300" s="153"/>
      <c r="BP3300" s="153"/>
      <c r="BQ3300" s="153"/>
      <c r="BR3300" s="153"/>
      <c r="BS3300" s="153"/>
      <c r="BT3300" s="153"/>
      <c r="BU3300" s="153"/>
      <c r="BV3300" s="153"/>
      <c r="BW3300" s="153"/>
      <c r="BX3300" s="153"/>
      <c r="BY3300" s="153"/>
      <c r="BZ3300" s="153"/>
      <c r="CA3300" s="152"/>
      <c r="CB3300" s="152"/>
    </row>
    <row r="3301" spans="1:80" s="87" customFormat="1" x14ac:dyDescent="0.2">
      <c r="A3301" s="152"/>
      <c r="B3301" s="683"/>
      <c r="C3301" s="683"/>
      <c r="D3301" s="698"/>
      <c r="E3301" s="215"/>
      <c r="F3301" s="215"/>
      <c r="G3301" s="153"/>
      <c r="H3301" s="153"/>
      <c r="I3301" s="164">
        <v>25</v>
      </c>
      <c r="J3301" s="163">
        <v>60</v>
      </c>
      <c r="K3301" s="150">
        <v>1</v>
      </c>
      <c r="L3301" s="664">
        <v>25</v>
      </c>
      <c r="M3301" s="663">
        <v>34479</v>
      </c>
      <c r="N3301" s="600">
        <v>7.1348000000000003</v>
      </c>
      <c r="O3301" s="604">
        <v>7.378E-3</v>
      </c>
      <c r="P3301" s="150"/>
      <c r="Q3301" s="250"/>
      <c r="R3301" s="250"/>
      <c r="S3301" s="250">
        <v>6.8907999999999997E-2</v>
      </c>
      <c r="T3301" s="250">
        <v>0.106173</v>
      </c>
      <c r="U3301" s="250">
        <v>0.18109900000000001</v>
      </c>
      <c r="V3301" s="250">
        <v>0.24502199999999999</v>
      </c>
      <c r="W3301" s="250">
        <v>0.23772400000000002</v>
      </c>
      <c r="X3301" s="250">
        <v>0.152721</v>
      </c>
      <c r="Y3301" s="250">
        <v>8.353000000000001E-3</v>
      </c>
      <c r="Z3301" s="150"/>
      <c r="AA3301" s="150">
        <v>1.33</v>
      </c>
      <c r="AB3301" s="152"/>
      <c r="AC3301" s="152"/>
      <c r="AD3301" s="223">
        <v>17.37303</v>
      </c>
      <c r="AE3301" s="223">
        <v>0.42061019999999999</v>
      </c>
      <c r="AF3301" s="223">
        <v>7.292179</v>
      </c>
      <c r="AG3301" s="223">
        <v>0.97532799999999997</v>
      </c>
      <c r="AH3301" s="341"/>
      <c r="AI3301" s="218"/>
      <c r="AJ3301" s="218"/>
      <c r="AK3301" s="153"/>
      <c r="AL3301" s="152"/>
      <c r="AM3301" s="152"/>
      <c r="AN3301" s="152"/>
      <c r="AO3301" s="152"/>
      <c r="AP3301" s="152"/>
      <c r="AQ3301" s="152"/>
      <c r="AR3301" s="152"/>
      <c r="AS3301" s="152"/>
      <c r="AT3301" s="152"/>
      <c r="AU3301" s="153"/>
      <c r="AV3301" s="479"/>
      <c r="AW3301" s="479"/>
      <c r="AX3301" s="442"/>
      <c r="AY3301" s="153"/>
      <c r="AZ3301" s="152"/>
      <c r="BA3301" s="152"/>
      <c r="BB3301" s="152"/>
      <c r="BC3301" s="152"/>
      <c r="BD3301" s="152"/>
      <c r="BE3301" s="152"/>
      <c r="BF3301" s="152"/>
      <c r="BG3301" s="152"/>
      <c r="BH3301" s="152"/>
      <c r="BI3301" s="153"/>
      <c r="BJ3301" s="153"/>
      <c r="BK3301" s="153"/>
      <c r="BL3301" s="153"/>
      <c r="BM3301" s="153"/>
      <c r="BN3301" s="153"/>
      <c r="BO3301" s="153"/>
      <c r="BP3301" s="153"/>
      <c r="BQ3301" s="153"/>
      <c r="BR3301" s="153"/>
      <c r="BS3301" s="153"/>
      <c r="BT3301" s="153"/>
      <c r="BU3301" s="153"/>
      <c r="BV3301" s="153"/>
      <c r="BW3301" s="153"/>
      <c r="BX3301" s="153"/>
      <c r="BY3301" s="153"/>
      <c r="BZ3301" s="153"/>
      <c r="CA3301" s="152"/>
      <c r="CB3301" s="152"/>
    </row>
    <row r="3302" spans="1:80" s="87" customFormat="1" x14ac:dyDescent="0.2">
      <c r="A3302" s="152"/>
      <c r="B3302" s="683"/>
      <c r="C3302" s="683"/>
      <c r="D3302" s="698"/>
      <c r="E3302" s="215"/>
      <c r="F3302" s="215"/>
      <c r="G3302" s="153"/>
      <c r="H3302" s="153"/>
      <c r="I3302" s="164">
        <v>25</v>
      </c>
      <c r="J3302" s="163">
        <v>60</v>
      </c>
      <c r="K3302" s="150">
        <v>1</v>
      </c>
      <c r="L3302" s="664">
        <v>25</v>
      </c>
      <c r="M3302" s="663">
        <v>34479</v>
      </c>
      <c r="N3302" s="600">
        <v>7.1348000000000003</v>
      </c>
      <c r="O3302" s="604">
        <v>8.8159999999999992E-3</v>
      </c>
      <c r="P3302" s="150"/>
      <c r="Q3302" s="250"/>
      <c r="R3302" s="250"/>
      <c r="S3302" s="250">
        <v>6.0669000000000001E-2</v>
      </c>
      <c r="T3302" s="250">
        <v>8.7886000000000006E-2</v>
      </c>
      <c r="U3302" s="250">
        <v>0.156831</v>
      </c>
      <c r="V3302" s="250">
        <v>0.23586200000000002</v>
      </c>
      <c r="W3302" s="250">
        <v>0.29907600000000001</v>
      </c>
      <c r="X3302" s="250">
        <v>0.15234800000000001</v>
      </c>
      <c r="Y3302" s="250">
        <v>7.3280000000000003E-3</v>
      </c>
      <c r="Z3302" s="150"/>
      <c r="AA3302" s="150">
        <v>1.1299999999999999</v>
      </c>
      <c r="AB3302" s="152"/>
      <c r="AC3302" s="152"/>
      <c r="AD3302" s="223">
        <v>17.37303</v>
      </c>
      <c r="AE3302" s="223">
        <v>0.42061019999999999</v>
      </c>
      <c r="AF3302" s="223">
        <v>7.292179</v>
      </c>
      <c r="AG3302" s="223">
        <v>0.97532799999999997</v>
      </c>
      <c r="AH3302" s="341"/>
      <c r="AI3302" s="218"/>
      <c r="AJ3302" s="218"/>
      <c r="AK3302" s="153"/>
      <c r="AL3302" s="152"/>
      <c r="AM3302" s="152"/>
      <c r="AN3302" s="152"/>
      <c r="AO3302" s="152"/>
      <c r="AP3302" s="152"/>
      <c r="AQ3302" s="152"/>
      <c r="AR3302" s="152"/>
      <c r="AS3302" s="152"/>
      <c r="AT3302" s="152"/>
      <c r="AU3302" s="153"/>
      <c r="AV3302" s="479"/>
      <c r="AW3302" s="479"/>
      <c r="AX3302" s="442"/>
      <c r="AY3302" s="153"/>
      <c r="AZ3302" s="152"/>
      <c r="BA3302" s="152"/>
      <c r="BB3302" s="152"/>
      <c r="BC3302" s="152"/>
      <c r="BD3302" s="152"/>
      <c r="BE3302" s="152"/>
      <c r="BF3302" s="152"/>
      <c r="BG3302" s="152"/>
      <c r="BH3302" s="152"/>
      <c r="BI3302" s="153"/>
      <c r="BJ3302" s="153"/>
      <c r="BK3302" s="153"/>
      <c r="BL3302" s="153"/>
      <c r="BM3302" s="153"/>
      <c r="BN3302" s="153"/>
      <c r="BO3302" s="153"/>
      <c r="BP3302" s="153"/>
      <c r="BQ3302" s="153"/>
      <c r="BR3302" s="153"/>
      <c r="BS3302" s="153"/>
      <c r="BT3302" s="153"/>
      <c r="BU3302" s="153"/>
      <c r="BV3302" s="153"/>
      <c r="BW3302" s="153"/>
      <c r="BX3302" s="153"/>
      <c r="BY3302" s="153"/>
      <c r="BZ3302" s="153"/>
      <c r="CA3302" s="152"/>
      <c r="CB3302" s="152"/>
    </row>
    <row r="3303" spans="1:80" s="87" customFormat="1" x14ac:dyDescent="0.2">
      <c r="A3303" s="152"/>
      <c r="B3303" s="683"/>
      <c r="C3303" s="683"/>
      <c r="D3303" s="698"/>
      <c r="E3303" s="215"/>
      <c r="F3303" s="215"/>
      <c r="G3303" s="153"/>
      <c r="H3303" s="153"/>
      <c r="I3303" s="164">
        <v>22</v>
      </c>
      <c r="J3303" s="163">
        <v>60</v>
      </c>
      <c r="K3303" s="150">
        <v>1</v>
      </c>
      <c r="L3303" s="664">
        <v>22</v>
      </c>
      <c r="M3303" s="663">
        <v>34481</v>
      </c>
      <c r="N3303" s="600">
        <v>8.1823700000000006</v>
      </c>
      <c r="O3303" s="604">
        <v>1.1860000000000001E-2</v>
      </c>
      <c r="P3303" s="150"/>
      <c r="Q3303" s="250"/>
      <c r="R3303" s="250">
        <v>0.121423</v>
      </c>
      <c r="S3303" s="250">
        <v>6.5135999999999999E-2</v>
      </c>
      <c r="T3303" s="250">
        <v>5.7163000000000005E-2</v>
      </c>
      <c r="U3303" s="250">
        <v>0.122726</v>
      </c>
      <c r="V3303" s="250">
        <v>0.18976700000000002</v>
      </c>
      <c r="W3303" s="250">
        <v>0.23064900000000002</v>
      </c>
      <c r="X3303" s="250">
        <v>0.20199800000000001</v>
      </c>
      <c r="Y3303" s="250">
        <v>1.1139E-2</v>
      </c>
      <c r="Z3303" s="150"/>
      <c r="AA3303" s="150">
        <v>1.23</v>
      </c>
      <c r="AB3303" s="152"/>
      <c r="AC3303" s="152"/>
      <c r="AD3303" s="223">
        <v>18.074047</v>
      </c>
      <c r="AE3303" s="223">
        <v>0.4388976</v>
      </c>
      <c r="AF3303" s="223">
        <v>7.9052794000000004</v>
      </c>
      <c r="AG3303" s="223">
        <v>1.0637171000000001</v>
      </c>
      <c r="AH3303" s="341"/>
      <c r="AI3303" s="218"/>
      <c r="AJ3303" s="218"/>
      <c r="AK3303" s="153"/>
      <c r="AL3303" s="152"/>
      <c r="AM3303" s="152"/>
      <c r="AN3303" s="152"/>
      <c r="AO3303" s="152"/>
      <c r="AP3303" s="152"/>
      <c r="AQ3303" s="152"/>
      <c r="AR3303" s="152"/>
      <c r="AS3303" s="152"/>
      <c r="AT3303" s="152"/>
      <c r="AU3303" s="153"/>
      <c r="AV3303" s="479"/>
      <c r="AW3303" s="479"/>
      <c r="AX3303" s="442"/>
      <c r="AY3303" s="153"/>
      <c r="AZ3303" s="152"/>
      <c r="BA3303" s="152"/>
      <c r="BB3303" s="152"/>
      <c r="BC3303" s="152"/>
      <c r="BD3303" s="152"/>
      <c r="BE3303" s="152"/>
      <c r="BF3303" s="152"/>
      <c r="BG3303" s="152"/>
      <c r="BH3303" s="152"/>
      <c r="BI3303" s="153"/>
      <c r="BJ3303" s="153"/>
      <c r="BK3303" s="153"/>
      <c r="BL3303" s="153"/>
      <c r="BM3303" s="153"/>
      <c r="BN3303" s="153"/>
      <c r="BO3303" s="153"/>
      <c r="BP3303" s="153"/>
      <c r="BQ3303" s="153"/>
      <c r="BR3303" s="153"/>
      <c r="BS3303" s="153"/>
      <c r="BT3303" s="153"/>
      <c r="BU3303" s="153"/>
      <c r="BV3303" s="153"/>
      <c r="BW3303" s="153"/>
      <c r="BX3303" s="153"/>
      <c r="BY3303" s="153"/>
      <c r="BZ3303" s="153"/>
      <c r="CA3303" s="152"/>
      <c r="CB3303" s="152"/>
    </row>
    <row r="3304" spans="1:80" s="87" customFormat="1" x14ac:dyDescent="0.2">
      <c r="A3304" s="152"/>
      <c r="B3304" s="683"/>
      <c r="C3304" s="683"/>
      <c r="D3304" s="698"/>
      <c r="E3304" s="215"/>
      <c r="F3304" s="215"/>
      <c r="G3304" s="153"/>
      <c r="H3304" s="153"/>
      <c r="I3304" s="164">
        <v>22</v>
      </c>
      <c r="J3304" s="163">
        <v>60</v>
      </c>
      <c r="K3304" s="150">
        <v>1</v>
      </c>
      <c r="L3304" s="664">
        <v>22</v>
      </c>
      <c r="M3304" s="663">
        <v>34481</v>
      </c>
      <c r="N3304" s="600">
        <v>8.1823700000000006</v>
      </c>
      <c r="O3304" s="604">
        <v>5.7829999999999999E-3</v>
      </c>
      <c r="P3304" s="150"/>
      <c r="Q3304" s="250"/>
      <c r="R3304" s="250"/>
      <c r="S3304" s="250"/>
      <c r="T3304" s="250">
        <v>2.6532E-2</v>
      </c>
      <c r="U3304" s="250">
        <v>9.1470999999999997E-2</v>
      </c>
      <c r="V3304" s="250">
        <v>0.166521</v>
      </c>
      <c r="W3304" s="250">
        <v>0.33629200000000004</v>
      </c>
      <c r="X3304" s="250">
        <v>0.36233899999999997</v>
      </c>
      <c r="Y3304" s="250">
        <v>1.6843999999999998E-2</v>
      </c>
      <c r="Z3304" s="150"/>
      <c r="AA3304" s="150">
        <v>0.64</v>
      </c>
      <c r="AB3304" s="152"/>
      <c r="AC3304" s="152"/>
      <c r="AD3304" s="223">
        <v>18.074047</v>
      </c>
      <c r="AE3304" s="223">
        <v>0.4388976</v>
      </c>
      <c r="AF3304" s="223">
        <v>7.9052794000000004</v>
      </c>
      <c r="AG3304" s="223">
        <v>1.0637171000000001</v>
      </c>
      <c r="AH3304" s="341"/>
      <c r="AI3304" s="218"/>
      <c r="AJ3304" s="218"/>
      <c r="AK3304" s="153"/>
      <c r="AL3304" s="152"/>
      <c r="AM3304" s="152"/>
      <c r="AN3304" s="152"/>
      <c r="AO3304" s="152"/>
      <c r="AP3304" s="152"/>
      <c r="AQ3304" s="152"/>
      <c r="AR3304" s="152"/>
      <c r="AS3304" s="152"/>
      <c r="AT3304" s="152"/>
      <c r="AU3304" s="153"/>
      <c r="AV3304" s="479"/>
      <c r="AW3304" s="479"/>
      <c r="AX3304" s="442"/>
      <c r="AY3304" s="153"/>
      <c r="AZ3304" s="152"/>
      <c r="BA3304" s="152"/>
      <c r="BB3304" s="152"/>
      <c r="BC3304" s="152"/>
      <c r="BD3304" s="152"/>
      <c r="BE3304" s="152"/>
      <c r="BF3304" s="152"/>
      <c r="BG3304" s="152"/>
      <c r="BH3304" s="152"/>
      <c r="BI3304" s="153"/>
      <c r="BJ3304" s="153"/>
      <c r="BK3304" s="153"/>
      <c r="BL3304" s="153"/>
      <c r="BM3304" s="153"/>
      <c r="BN3304" s="153"/>
      <c r="BO3304" s="153"/>
      <c r="BP3304" s="153"/>
      <c r="BQ3304" s="153"/>
      <c r="BR3304" s="153"/>
      <c r="BS3304" s="153"/>
      <c r="BT3304" s="153"/>
      <c r="BU3304" s="153"/>
      <c r="BV3304" s="153"/>
      <c r="BW3304" s="153"/>
      <c r="BX3304" s="153"/>
      <c r="BY3304" s="153"/>
      <c r="BZ3304" s="153"/>
      <c r="CA3304" s="152"/>
      <c r="CB3304" s="152"/>
    </row>
    <row r="3305" spans="1:80" s="87" customFormat="1" x14ac:dyDescent="0.2">
      <c r="A3305" s="152"/>
      <c r="B3305" s="683"/>
      <c r="C3305" s="683"/>
      <c r="D3305" s="698"/>
      <c r="E3305" s="215"/>
      <c r="F3305" s="215"/>
      <c r="G3305" s="153"/>
      <c r="H3305" s="153"/>
      <c r="I3305" s="164">
        <v>23</v>
      </c>
      <c r="J3305" s="163">
        <v>60</v>
      </c>
      <c r="K3305" s="150">
        <v>1</v>
      </c>
      <c r="L3305" s="664">
        <v>23</v>
      </c>
      <c r="M3305" s="663">
        <v>34486</v>
      </c>
      <c r="N3305" s="600">
        <v>7.0215500000000004</v>
      </c>
      <c r="O3305" s="604">
        <v>3.4849999999999998E-3</v>
      </c>
      <c r="P3305" s="150"/>
      <c r="Q3305" s="250"/>
      <c r="R3305" s="250"/>
      <c r="S3305" s="250">
        <v>4.0323000000000005E-2</v>
      </c>
      <c r="T3305" s="250">
        <v>6.4565999999999998E-2</v>
      </c>
      <c r="U3305" s="250">
        <v>0.19171700000000003</v>
      </c>
      <c r="V3305" s="250">
        <v>0.25622</v>
      </c>
      <c r="W3305" s="250">
        <v>0.26864199999999999</v>
      </c>
      <c r="X3305" s="250">
        <v>0.16411000000000001</v>
      </c>
      <c r="Y3305" s="250">
        <v>1.4419999999999999E-2</v>
      </c>
      <c r="Z3305" s="150"/>
      <c r="AA3305" s="150">
        <v>1.1499999999999999</v>
      </c>
      <c r="AB3305" s="152"/>
      <c r="AC3305" s="152"/>
      <c r="AD3305" s="223">
        <v>16.763449999999999</v>
      </c>
      <c r="AE3305" s="223">
        <v>0.4388976</v>
      </c>
      <c r="AF3305" s="223">
        <v>7.3572047999999999</v>
      </c>
      <c r="AG3305" s="223">
        <v>0.97837589999999997</v>
      </c>
      <c r="AH3305" s="341"/>
      <c r="AI3305" s="218"/>
      <c r="AJ3305" s="218"/>
      <c r="AK3305" s="153"/>
      <c r="AL3305" s="152"/>
      <c r="AM3305" s="152"/>
      <c r="AN3305" s="152"/>
      <c r="AO3305" s="152"/>
      <c r="AP3305" s="152"/>
      <c r="AQ3305" s="152"/>
      <c r="AR3305" s="152"/>
      <c r="AS3305" s="152"/>
      <c r="AT3305" s="152"/>
      <c r="AU3305" s="153"/>
      <c r="AV3305" s="479"/>
      <c r="AW3305" s="479"/>
      <c r="AX3305" s="442"/>
      <c r="AY3305" s="153"/>
      <c r="AZ3305" s="152"/>
      <c r="BA3305" s="152"/>
      <c r="BB3305" s="152"/>
      <c r="BC3305" s="152"/>
      <c r="BD3305" s="152"/>
      <c r="BE3305" s="152"/>
      <c r="BF3305" s="152"/>
      <c r="BG3305" s="152"/>
      <c r="BH3305" s="152"/>
      <c r="BI3305" s="153"/>
      <c r="BJ3305" s="153"/>
      <c r="BK3305" s="153"/>
      <c r="BL3305" s="153"/>
      <c r="BM3305" s="153"/>
      <c r="BN3305" s="153"/>
      <c r="BO3305" s="153"/>
      <c r="BP3305" s="153"/>
      <c r="BQ3305" s="153"/>
      <c r="BR3305" s="153"/>
      <c r="BS3305" s="153"/>
      <c r="BT3305" s="153"/>
      <c r="BU3305" s="153"/>
      <c r="BV3305" s="153"/>
      <c r="BW3305" s="153"/>
      <c r="BX3305" s="153"/>
      <c r="BY3305" s="153"/>
      <c r="BZ3305" s="153"/>
      <c r="CA3305" s="152"/>
      <c r="CB3305" s="152"/>
    </row>
    <row r="3306" spans="1:80" s="87" customFormat="1" x14ac:dyDescent="0.2">
      <c r="A3306" s="152"/>
      <c r="B3306" s="683"/>
      <c r="C3306" s="683"/>
      <c r="D3306" s="698"/>
      <c r="E3306" s="215"/>
      <c r="F3306" s="215"/>
      <c r="G3306" s="153"/>
      <c r="H3306" s="153"/>
      <c r="I3306" s="164">
        <v>23</v>
      </c>
      <c r="J3306" s="163">
        <v>60</v>
      </c>
      <c r="K3306" s="150">
        <v>1</v>
      </c>
      <c r="L3306" s="664">
        <v>23</v>
      </c>
      <c r="M3306" s="663">
        <v>34486</v>
      </c>
      <c r="N3306" s="600">
        <v>7.0215500000000004</v>
      </c>
      <c r="O3306" s="604">
        <v>9.6900000000000003E-4</v>
      </c>
      <c r="P3306" s="150"/>
      <c r="Q3306" s="250"/>
      <c r="R3306" s="250"/>
      <c r="S3306" s="250"/>
      <c r="T3306" s="250"/>
      <c r="U3306" s="250">
        <v>7.3773000000000005E-2</v>
      </c>
      <c r="V3306" s="250">
        <v>0.22318399999999999</v>
      </c>
      <c r="W3306" s="250">
        <v>0.34952600000000006</v>
      </c>
      <c r="X3306" s="250">
        <v>0.32691599999999998</v>
      </c>
      <c r="Y3306" s="250">
        <v>2.6601E-2</v>
      </c>
      <c r="Z3306" s="150"/>
      <c r="AA3306" s="150">
        <v>0.67</v>
      </c>
      <c r="AB3306" s="152"/>
      <c r="AC3306" s="152"/>
      <c r="AD3306" s="223">
        <v>16.763449999999999</v>
      </c>
      <c r="AE3306" s="223">
        <v>0.4388976</v>
      </c>
      <c r="AF3306" s="223">
        <v>7.3572047999999999</v>
      </c>
      <c r="AG3306" s="223">
        <v>0.97837589999999997</v>
      </c>
      <c r="AH3306" s="341"/>
      <c r="AI3306" s="218"/>
      <c r="AJ3306" s="218"/>
      <c r="AK3306" s="153"/>
      <c r="AL3306" s="152"/>
      <c r="AM3306" s="152"/>
      <c r="AN3306" s="152"/>
      <c r="AO3306" s="152"/>
      <c r="AP3306" s="152"/>
      <c r="AQ3306" s="152"/>
      <c r="AR3306" s="152"/>
      <c r="AS3306" s="152"/>
      <c r="AT3306" s="152"/>
      <c r="AU3306" s="153"/>
      <c r="AV3306" s="479"/>
      <c r="AW3306" s="479"/>
      <c r="AX3306" s="442"/>
      <c r="AY3306" s="153"/>
      <c r="AZ3306" s="152"/>
      <c r="BA3306" s="152"/>
      <c r="BB3306" s="152"/>
      <c r="BC3306" s="152"/>
      <c r="BD3306" s="152"/>
      <c r="BE3306" s="152"/>
      <c r="BF3306" s="152"/>
      <c r="BG3306" s="152"/>
      <c r="BH3306" s="152"/>
      <c r="BI3306" s="153"/>
      <c r="BJ3306" s="153"/>
      <c r="BK3306" s="153"/>
      <c r="BL3306" s="153"/>
      <c r="BM3306" s="153"/>
      <c r="BN3306" s="153"/>
      <c r="BO3306" s="153"/>
      <c r="BP3306" s="153"/>
      <c r="BQ3306" s="153"/>
      <c r="BR3306" s="153"/>
      <c r="BS3306" s="153"/>
      <c r="BT3306" s="153"/>
      <c r="BU3306" s="153"/>
      <c r="BV3306" s="153"/>
      <c r="BW3306" s="153"/>
      <c r="BX3306" s="153"/>
      <c r="BY3306" s="153"/>
      <c r="BZ3306" s="153"/>
      <c r="CA3306" s="152"/>
      <c r="CB3306" s="152"/>
    </row>
    <row r="3307" spans="1:80" s="87" customFormat="1" x14ac:dyDescent="0.2">
      <c r="A3307" s="152"/>
      <c r="B3307" s="683"/>
      <c r="C3307" s="683"/>
      <c r="D3307" s="698"/>
      <c r="E3307" s="215"/>
      <c r="F3307" s="215"/>
      <c r="G3307" s="153"/>
      <c r="H3307" s="153"/>
      <c r="I3307" s="164">
        <v>22</v>
      </c>
      <c r="J3307" s="163">
        <v>60</v>
      </c>
      <c r="K3307" s="150">
        <v>1</v>
      </c>
      <c r="L3307" s="664">
        <v>22</v>
      </c>
      <c r="M3307" s="663">
        <v>34488</v>
      </c>
      <c r="N3307" s="600">
        <v>6.3986700000000001</v>
      </c>
      <c r="O3307" s="604">
        <v>2.3410000000000002E-3</v>
      </c>
      <c r="P3307" s="150"/>
      <c r="Q3307" s="250"/>
      <c r="R3307" s="250"/>
      <c r="S3307" s="250"/>
      <c r="T3307" s="250">
        <v>2.9283999999999998E-2</v>
      </c>
      <c r="U3307" s="250">
        <v>0.151508</v>
      </c>
      <c r="V3307" s="250">
        <v>0.20530000000000001</v>
      </c>
      <c r="W3307" s="250">
        <v>0.357047</v>
      </c>
      <c r="X3307" s="250">
        <v>0.24266599999999999</v>
      </c>
      <c r="Y3307" s="250">
        <v>1.4196E-2</v>
      </c>
      <c r="Z3307" s="150"/>
      <c r="AA3307" s="150">
        <v>0.8</v>
      </c>
      <c r="AB3307" s="152"/>
      <c r="AC3307" s="152"/>
      <c r="AD3307" s="223">
        <v>16.489139000000002</v>
      </c>
      <c r="AE3307" s="223">
        <v>0.39927489999999999</v>
      </c>
      <c r="AF3307" s="223">
        <v>6.5861846000000002</v>
      </c>
      <c r="AG3307" s="223">
        <v>0.9661843</v>
      </c>
      <c r="AH3307" s="341"/>
      <c r="AI3307" s="218"/>
      <c r="AJ3307" s="218"/>
      <c r="AK3307" s="153"/>
      <c r="AL3307" s="152"/>
      <c r="AM3307" s="152"/>
      <c r="AN3307" s="152"/>
      <c r="AO3307" s="152"/>
      <c r="AP3307" s="152"/>
      <c r="AQ3307" s="152"/>
      <c r="AR3307" s="152"/>
      <c r="AS3307" s="152"/>
      <c r="AT3307" s="152"/>
      <c r="AU3307" s="153"/>
      <c r="AV3307" s="479"/>
      <c r="AW3307" s="479"/>
      <c r="AX3307" s="442"/>
      <c r="AY3307" s="153"/>
      <c r="AZ3307" s="152"/>
      <c r="BA3307" s="152"/>
      <c r="BB3307" s="152"/>
      <c r="BC3307" s="152"/>
      <c r="BD3307" s="152"/>
      <c r="BE3307" s="152"/>
      <c r="BF3307" s="152"/>
      <c r="BG3307" s="152"/>
      <c r="BH3307" s="152"/>
      <c r="BI3307" s="153"/>
      <c r="BJ3307" s="153"/>
      <c r="BK3307" s="153"/>
      <c r="BL3307" s="153"/>
      <c r="BM3307" s="153"/>
      <c r="BN3307" s="153"/>
      <c r="BO3307" s="153"/>
      <c r="BP3307" s="153"/>
      <c r="BQ3307" s="153"/>
      <c r="BR3307" s="153"/>
      <c r="BS3307" s="153"/>
      <c r="BT3307" s="153"/>
      <c r="BU3307" s="153"/>
      <c r="BV3307" s="153"/>
      <c r="BW3307" s="153"/>
      <c r="BX3307" s="153"/>
      <c r="BY3307" s="153"/>
      <c r="BZ3307" s="153"/>
      <c r="CA3307" s="152"/>
      <c r="CB3307" s="152"/>
    </row>
    <row r="3308" spans="1:80" s="87" customFormat="1" x14ac:dyDescent="0.2">
      <c r="A3308" s="152"/>
      <c r="B3308" s="683"/>
      <c r="C3308" s="683"/>
      <c r="D3308" s="698"/>
      <c r="E3308" s="215"/>
      <c r="F3308" s="215"/>
      <c r="G3308" s="153"/>
      <c r="H3308" s="153"/>
      <c r="I3308" s="164">
        <v>22</v>
      </c>
      <c r="J3308" s="163">
        <v>60</v>
      </c>
      <c r="K3308" s="150">
        <v>1</v>
      </c>
      <c r="L3308" s="664">
        <v>22</v>
      </c>
      <c r="M3308" s="663">
        <v>34488</v>
      </c>
      <c r="N3308" s="600">
        <v>6.3986700000000001</v>
      </c>
      <c r="O3308" s="604">
        <v>1.6479999999999999E-3</v>
      </c>
      <c r="P3308" s="150"/>
      <c r="Q3308" s="250"/>
      <c r="R3308" s="250"/>
      <c r="S3308" s="250"/>
      <c r="T3308" s="250">
        <v>0.116037</v>
      </c>
      <c r="U3308" s="250">
        <v>0.25672699999999998</v>
      </c>
      <c r="V3308" s="250">
        <v>0.226579</v>
      </c>
      <c r="W3308" s="250">
        <v>0.20168399999999997</v>
      </c>
      <c r="X3308" s="250">
        <v>0.17635300000000001</v>
      </c>
      <c r="Y3308" s="250">
        <v>2.2621000000000002E-2</v>
      </c>
      <c r="Z3308" s="150"/>
      <c r="AA3308" s="150">
        <v>1.36</v>
      </c>
      <c r="AB3308" s="152"/>
      <c r="AC3308" s="152"/>
      <c r="AD3308" s="223">
        <v>16.489139000000002</v>
      </c>
      <c r="AE3308" s="223">
        <v>0.39927489999999999</v>
      </c>
      <c r="AF3308" s="223">
        <v>6.5861846000000002</v>
      </c>
      <c r="AG3308" s="223">
        <v>0.9661843</v>
      </c>
      <c r="AH3308" s="341"/>
      <c r="AI3308" s="218"/>
      <c r="AJ3308" s="218"/>
      <c r="AK3308" s="153"/>
      <c r="AL3308" s="152"/>
      <c r="AM3308" s="152"/>
      <c r="AN3308" s="152"/>
      <c r="AO3308" s="152"/>
      <c r="AP3308" s="152"/>
      <c r="AQ3308" s="152"/>
      <c r="AR3308" s="152"/>
      <c r="AS3308" s="152"/>
      <c r="AT3308" s="152"/>
      <c r="AU3308" s="153"/>
      <c r="AV3308" s="479"/>
      <c r="AW3308" s="479"/>
      <c r="AX3308" s="442"/>
      <c r="AY3308" s="153"/>
      <c r="AZ3308" s="152"/>
      <c r="BA3308" s="152"/>
      <c r="BB3308" s="152"/>
      <c r="BC3308" s="152"/>
      <c r="BD3308" s="152"/>
      <c r="BE3308" s="152"/>
      <c r="BF3308" s="152"/>
      <c r="BG3308" s="152"/>
      <c r="BH3308" s="152"/>
      <c r="BI3308" s="153"/>
      <c r="BJ3308" s="153"/>
      <c r="BK3308" s="153"/>
      <c r="BL3308" s="153"/>
      <c r="BM3308" s="153"/>
      <c r="BN3308" s="153"/>
      <c r="BO3308" s="153"/>
      <c r="BP3308" s="153"/>
      <c r="BQ3308" s="153"/>
      <c r="BR3308" s="153"/>
      <c r="BS3308" s="153"/>
      <c r="BT3308" s="153"/>
      <c r="BU3308" s="153"/>
      <c r="BV3308" s="153"/>
      <c r="BW3308" s="153"/>
      <c r="BX3308" s="153"/>
      <c r="BY3308" s="153"/>
      <c r="BZ3308" s="153"/>
      <c r="CA3308" s="152"/>
      <c r="CB3308" s="152"/>
    </row>
    <row r="3309" spans="1:80" s="87" customFormat="1" x14ac:dyDescent="0.2">
      <c r="A3309" s="152"/>
      <c r="B3309" s="683"/>
      <c r="C3309" s="683"/>
      <c r="D3309" s="698"/>
      <c r="E3309" s="215"/>
      <c r="F3309" s="215"/>
      <c r="G3309" s="153"/>
      <c r="H3309" s="153"/>
      <c r="I3309" s="164">
        <v>22</v>
      </c>
      <c r="J3309" s="163">
        <v>60</v>
      </c>
      <c r="K3309" s="150">
        <v>1</v>
      </c>
      <c r="L3309" s="664">
        <v>22</v>
      </c>
      <c r="M3309" s="663">
        <v>34539</v>
      </c>
      <c r="N3309" s="600">
        <v>2.2989899999999999</v>
      </c>
      <c r="O3309" s="604">
        <v>3.4429999999999999E-3</v>
      </c>
      <c r="P3309" s="150"/>
      <c r="Q3309" s="250"/>
      <c r="R3309" s="250"/>
      <c r="S3309" s="250">
        <v>3.4393E-2</v>
      </c>
      <c r="T3309" s="250">
        <v>0.209285</v>
      </c>
      <c r="U3309" s="250">
        <v>0.27152599999999999</v>
      </c>
      <c r="V3309" s="250">
        <v>0.246255</v>
      </c>
      <c r="W3309" s="250">
        <v>0.15873100000000001</v>
      </c>
      <c r="X3309" s="250">
        <v>7.1482000000000004E-2</v>
      </c>
      <c r="Y3309" s="250">
        <v>8.3280000000000003E-3</v>
      </c>
      <c r="Z3309" s="150"/>
      <c r="AA3309" s="150">
        <v>2.08</v>
      </c>
      <c r="AB3309" s="152"/>
      <c r="AC3309" s="152"/>
      <c r="AD3309" s="223">
        <v>14.751836000000001</v>
      </c>
      <c r="AE3309" s="223">
        <v>0.28040680000000001</v>
      </c>
      <c r="AF3309" s="223">
        <v>4.1523618000000004</v>
      </c>
      <c r="AG3309" s="223">
        <v>0.58824469999999995</v>
      </c>
      <c r="AH3309" s="341"/>
      <c r="AI3309" s="218"/>
      <c r="AJ3309" s="218"/>
      <c r="AK3309" s="153"/>
      <c r="AL3309" s="152"/>
      <c r="AM3309" s="152"/>
      <c r="AN3309" s="152"/>
      <c r="AO3309" s="152"/>
      <c r="AP3309" s="152"/>
      <c r="AQ3309" s="152"/>
      <c r="AR3309" s="152"/>
      <c r="AS3309" s="152"/>
      <c r="AT3309" s="152"/>
      <c r="AU3309" s="153"/>
      <c r="AV3309" s="479"/>
      <c r="AW3309" s="479"/>
      <c r="AX3309" s="442"/>
      <c r="AY3309" s="153"/>
      <c r="AZ3309" s="152"/>
      <c r="BA3309" s="152"/>
      <c r="BB3309" s="152"/>
      <c r="BC3309" s="152"/>
      <c r="BD3309" s="152"/>
      <c r="BE3309" s="152"/>
      <c r="BF3309" s="152"/>
      <c r="BG3309" s="152"/>
      <c r="BH3309" s="152"/>
      <c r="BI3309" s="153"/>
      <c r="BJ3309" s="153"/>
      <c r="BK3309" s="153"/>
      <c r="BL3309" s="153"/>
      <c r="BM3309" s="153"/>
      <c r="BN3309" s="153"/>
      <c r="BO3309" s="153"/>
      <c r="BP3309" s="153"/>
      <c r="BQ3309" s="153"/>
      <c r="BR3309" s="153"/>
      <c r="BS3309" s="153"/>
      <c r="BT3309" s="153"/>
      <c r="BU3309" s="153"/>
      <c r="BV3309" s="153"/>
      <c r="BW3309" s="153"/>
      <c r="BX3309" s="153"/>
      <c r="BY3309" s="153"/>
      <c r="BZ3309" s="153"/>
      <c r="CA3309" s="152"/>
      <c r="CB3309" s="152"/>
    </row>
    <row r="3310" spans="1:80" s="87" customFormat="1" x14ac:dyDescent="0.2">
      <c r="A3310" s="152"/>
      <c r="B3310" s="683"/>
      <c r="C3310" s="683"/>
      <c r="D3310" s="698"/>
      <c r="E3310" s="215"/>
      <c r="F3310" s="215"/>
      <c r="G3310" s="153"/>
      <c r="H3310" s="153"/>
      <c r="I3310" s="164">
        <v>22</v>
      </c>
      <c r="J3310" s="163">
        <v>60</v>
      </c>
      <c r="K3310" s="150">
        <v>1</v>
      </c>
      <c r="L3310" s="664">
        <v>22</v>
      </c>
      <c r="M3310" s="663">
        <v>34539</v>
      </c>
      <c r="N3310" s="600">
        <v>2.2989899999999999</v>
      </c>
      <c r="O3310" s="604">
        <v>4.2509999999999996E-3</v>
      </c>
      <c r="P3310" s="150"/>
      <c r="Q3310" s="250"/>
      <c r="R3310" s="250"/>
      <c r="S3310" s="250"/>
      <c r="T3310" s="250">
        <v>0.108094</v>
      </c>
      <c r="U3310" s="250">
        <v>0.27307700000000001</v>
      </c>
      <c r="V3310" s="250">
        <v>0.32649500000000004</v>
      </c>
      <c r="W3310" s="250">
        <v>0.21154100000000001</v>
      </c>
      <c r="X3310" s="250">
        <v>7.4902999999999997E-2</v>
      </c>
      <c r="Y3310" s="250">
        <v>5.8909999999999995E-3</v>
      </c>
      <c r="Z3310" s="150"/>
      <c r="AA3310" s="150">
        <v>1.55</v>
      </c>
      <c r="AB3310" s="152"/>
      <c r="AC3310" s="152"/>
      <c r="AD3310" s="223">
        <v>14.751836000000001</v>
      </c>
      <c r="AE3310" s="223">
        <v>0.28040680000000001</v>
      </c>
      <c r="AF3310" s="223">
        <v>4.1523618000000004</v>
      </c>
      <c r="AG3310" s="223">
        <v>0.58824469999999995</v>
      </c>
      <c r="AH3310" s="341"/>
      <c r="AI3310" s="218"/>
      <c r="AJ3310" s="218"/>
      <c r="AK3310" s="153"/>
      <c r="AL3310" s="152"/>
      <c r="AM3310" s="152"/>
      <c r="AN3310" s="152"/>
      <c r="AO3310" s="152"/>
      <c r="AP3310" s="152"/>
      <c r="AQ3310" s="152"/>
      <c r="AR3310" s="152"/>
      <c r="AS3310" s="152"/>
      <c r="AT3310" s="152"/>
      <c r="AU3310" s="153"/>
      <c r="AV3310" s="479"/>
      <c r="AW3310" s="479"/>
      <c r="AX3310" s="442"/>
      <c r="AY3310" s="153"/>
      <c r="AZ3310" s="152"/>
      <c r="BA3310" s="152"/>
      <c r="BB3310" s="152"/>
      <c r="BC3310" s="152"/>
      <c r="BD3310" s="152"/>
      <c r="BE3310" s="152"/>
      <c r="BF3310" s="152"/>
      <c r="BG3310" s="152"/>
      <c r="BH3310" s="152"/>
      <c r="BI3310" s="153"/>
      <c r="BJ3310" s="153"/>
      <c r="BK3310" s="153"/>
      <c r="BL3310" s="153"/>
      <c r="BM3310" s="153"/>
      <c r="BN3310" s="153"/>
      <c r="BO3310" s="153"/>
      <c r="BP3310" s="153"/>
      <c r="BQ3310" s="153"/>
      <c r="BR3310" s="153"/>
      <c r="BS3310" s="153"/>
      <c r="BT3310" s="153"/>
      <c r="BU3310" s="153"/>
      <c r="BV3310" s="153"/>
      <c r="BW3310" s="153"/>
      <c r="BX3310" s="153"/>
      <c r="BY3310" s="153"/>
      <c r="BZ3310" s="153"/>
      <c r="CA3310" s="152"/>
      <c r="CB3310" s="152"/>
    </row>
    <row r="3311" spans="1:80" s="87" customFormat="1" x14ac:dyDescent="0.2">
      <c r="A3311" s="152"/>
      <c r="B3311" s="683"/>
      <c r="C3311" s="683"/>
      <c r="D3311" s="698"/>
      <c r="E3311" s="215"/>
      <c r="F3311" s="215"/>
      <c r="G3311" s="153"/>
      <c r="H3311" s="153"/>
      <c r="I3311" s="164">
        <v>21</v>
      </c>
      <c r="J3311" s="163">
        <v>60</v>
      </c>
      <c r="K3311" s="150">
        <v>1</v>
      </c>
      <c r="L3311" s="664">
        <v>21</v>
      </c>
      <c r="M3311" s="663">
        <v>34570</v>
      </c>
      <c r="N3311" s="600">
        <v>1.8063499999999999</v>
      </c>
      <c r="O3311" s="604">
        <v>1.8699999999999999E-4</v>
      </c>
      <c r="P3311" s="150"/>
      <c r="Q3311" s="250"/>
      <c r="R3311" s="250"/>
      <c r="S3311" s="250"/>
      <c r="T3311" s="250"/>
      <c r="U3311" s="250">
        <v>0.22020800000000001</v>
      </c>
      <c r="V3311" s="250">
        <v>0.19330700000000001</v>
      </c>
      <c r="W3311" s="250">
        <v>0.29962900000000003</v>
      </c>
      <c r="X3311" s="250">
        <v>0.24083100000000002</v>
      </c>
      <c r="Y3311" s="250">
        <v>4.6025000000000003E-2</v>
      </c>
      <c r="Z3311" s="150"/>
      <c r="AA3311" s="150">
        <v>0.82</v>
      </c>
      <c r="AB3311" s="152"/>
      <c r="AC3311" s="152"/>
      <c r="AD3311" s="223">
        <v>14.233693000000001</v>
      </c>
      <c r="AE3311" s="223">
        <v>0.2621194</v>
      </c>
      <c r="AF3311" s="223">
        <v>3.7436281999999999</v>
      </c>
      <c r="AG3311" s="223">
        <v>0.48461609999999999</v>
      </c>
      <c r="AH3311" s="341"/>
      <c r="AI3311" s="218"/>
      <c r="AJ3311" s="218"/>
      <c r="AK3311" s="153"/>
      <c r="AL3311" s="152"/>
      <c r="AM3311" s="152"/>
      <c r="AN3311" s="152"/>
      <c r="AO3311" s="152"/>
      <c r="AP3311" s="152"/>
      <c r="AQ3311" s="152"/>
      <c r="AR3311" s="152"/>
      <c r="AS3311" s="152"/>
      <c r="AT3311" s="152"/>
      <c r="AU3311" s="153"/>
      <c r="AV3311" s="479"/>
      <c r="AW3311" s="479"/>
      <c r="AX3311" s="442"/>
      <c r="AY3311" s="153"/>
      <c r="AZ3311" s="152"/>
      <c r="BA3311" s="152"/>
      <c r="BB3311" s="152"/>
      <c r="BC3311" s="152"/>
      <c r="BD3311" s="152"/>
      <c r="BE3311" s="152"/>
      <c r="BF3311" s="152"/>
      <c r="BG3311" s="152"/>
      <c r="BH3311" s="152"/>
      <c r="BI3311" s="153"/>
      <c r="BJ3311" s="153"/>
      <c r="BK3311" s="153"/>
      <c r="BL3311" s="153"/>
      <c r="BM3311" s="153"/>
      <c r="BN3311" s="153"/>
      <c r="BO3311" s="153"/>
      <c r="BP3311" s="153"/>
      <c r="BQ3311" s="153"/>
      <c r="BR3311" s="153"/>
      <c r="BS3311" s="153"/>
      <c r="BT3311" s="153"/>
      <c r="BU3311" s="153"/>
      <c r="BV3311" s="153"/>
      <c r="BW3311" s="153"/>
      <c r="BX3311" s="153"/>
      <c r="BY3311" s="153"/>
      <c r="BZ3311" s="153"/>
      <c r="CA3311" s="152"/>
      <c r="CB3311" s="152"/>
    </row>
    <row r="3312" spans="1:80" s="87" customFormat="1" x14ac:dyDescent="0.2">
      <c r="A3312" s="152"/>
      <c r="B3312" s="683"/>
      <c r="C3312" s="683"/>
      <c r="D3312" s="698"/>
      <c r="E3312" s="215"/>
      <c r="F3312" s="215"/>
      <c r="G3312" s="153"/>
      <c r="H3312" s="153"/>
      <c r="I3312" s="164">
        <v>22</v>
      </c>
      <c r="J3312" s="163">
        <v>60</v>
      </c>
      <c r="K3312" s="150">
        <v>1</v>
      </c>
      <c r="L3312" s="664">
        <v>22</v>
      </c>
      <c r="M3312" s="663">
        <v>34605</v>
      </c>
      <c r="N3312" s="600">
        <v>1.6053299999999999</v>
      </c>
      <c r="O3312" s="604">
        <v>7.3499999999999998E-5</v>
      </c>
      <c r="P3312" s="150"/>
      <c r="Q3312" s="250"/>
      <c r="R3312" s="250"/>
      <c r="S3312" s="250"/>
      <c r="T3312" s="250"/>
      <c r="U3312" s="250"/>
      <c r="V3312" s="250">
        <v>0.24210100000000001</v>
      </c>
      <c r="W3312" s="250">
        <v>0.43292999999999998</v>
      </c>
      <c r="X3312" s="250">
        <v>0.262683</v>
      </c>
      <c r="Y3312" s="250">
        <v>6.2286000000000001E-2</v>
      </c>
      <c r="Z3312" s="150"/>
      <c r="AA3312" s="150">
        <v>0.66</v>
      </c>
      <c r="AB3312" s="152"/>
      <c r="AC3312" s="152"/>
      <c r="AD3312" s="223">
        <v>14.111777</v>
      </c>
      <c r="AE3312" s="223">
        <v>0.25602360000000002</v>
      </c>
      <c r="AF3312" s="223">
        <v>3.6042871999999999</v>
      </c>
      <c r="AG3312" s="223">
        <v>0.44194549999999999</v>
      </c>
      <c r="AH3312" s="341"/>
      <c r="AI3312" s="218"/>
      <c r="AJ3312" s="218"/>
      <c r="AK3312" s="153"/>
      <c r="AL3312" s="152"/>
      <c r="AM3312" s="152"/>
      <c r="AN3312" s="152"/>
      <c r="AO3312" s="152"/>
      <c r="AP3312" s="152"/>
      <c r="AQ3312" s="152"/>
      <c r="AR3312" s="152"/>
      <c r="AS3312" s="152"/>
      <c r="AT3312" s="152"/>
      <c r="AU3312" s="153"/>
      <c r="AV3312" s="479"/>
      <c r="AW3312" s="479"/>
      <c r="AX3312" s="442"/>
      <c r="AY3312" s="153"/>
      <c r="AZ3312" s="152"/>
      <c r="BA3312" s="152"/>
      <c r="BB3312" s="152"/>
      <c r="BC3312" s="152"/>
      <c r="BD3312" s="152"/>
      <c r="BE3312" s="152"/>
      <c r="BF3312" s="152"/>
      <c r="BG3312" s="152"/>
      <c r="BH3312" s="152"/>
      <c r="BI3312" s="153"/>
      <c r="BJ3312" s="153"/>
      <c r="BK3312" s="153"/>
      <c r="BL3312" s="153"/>
      <c r="BM3312" s="153"/>
      <c r="BN3312" s="153"/>
      <c r="BO3312" s="153"/>
      <c r="BP3312" s="153"/>
      <c r="BQ3312" s="153"/>
      <c r="BR3312" s="153"/>
      <c r="BS3312" s="153"/>
      <c r="BT3312" s="153"/>
      <c r="BU3312" s="153"/>
      <c r="BV3312" s="153"/>
      <c r="BW3312" s="153"/>
      <c r="BX3312" s="153"/>
      <c r="BY3312" s="153"/>
      <c r="BZ3312" s="153"/>
      <c r="CA3312" s="152"/>
      <c r="CB3312" s="152"/>
    </row>
    <row r="3313" spans="1:80" s="87" customFormat="1" x14ac:dyDescent="0.2">
      <c r="A3313" s="152"/>
      <c r="B3313" s="683"/>
      <c r="C3313" s="683"/>
      <c r="D3313" s="698"/>
      <c r="E3313" s="215"/>
      <c r="F3313" s="215"/>
      <c r="G3313" s="153"/>
      <c r="H3313" s="153"/>
      <c r="I3313" s="164">
        <v>23</v>
      </c>
      <c r="J3313" s="163">
        <v>60</v>
      </c>
      <c r="K3313" s="150">
        <v>1</v>
      </c>
      <c r="L3313" s="664">
        <v>23</v>
      </c>
      <c r="M3313" s="663">
        <v>34492</v>
      </c>
      <c r="N3313" s="600">
        <v>6.3137299999999996</v>
      </c>
      <c r="O3313" s="604">
        <v>9.6139999999999993E-3</v>
      </c>
      <c r="P3313" s="150"/>
      <c r="Q3313" s="250"/>
      <c r="R3313" s="250"/>
      <c r="S3313" s="250">
        <v>3.8362E-2</v>
      </c>
      <c r="T3313" s="250">
        <v>0.173653</v>
      </c>
      <c r="U3313" s="250">
        <v>0.18695799999999999</v>
      </c>
      <c r="V3313" s="250">
        <v>0.25286500000000001</v>
      </c>
      <c r="W3313" s="250">
        <v>0.24239800000000003</v>
      </c>
      <c r="X3313" s="250">
        <v>9.8547999999999997E-2</v>
      </c>
      <c r="Y3313" s="250">
        <v>7.2170000000000003E-3</v>
      </c>
      <c r="Z3313" s="150"/>
      <c r="AA3313" s="150">
        <v>1.52</v>
      </c>
      <c r="AB3313" s="152"/>
      <c r="AC3313" s="152"/>
      <c r="AD3313" s="223">
        <v>15.849080000000001</v>
      </c>
      <c r="AE3313" s="223">
        <v>0.45108920000000002</v>
      </c>
      <c r="AF3313" s="223">
        <v>7.1342591999999998</v>
      </c>
      <c r="AG3313" s="223">
        <v>0.88389099999999998</v>
      </c>
      <c r="AH3313" s="341"/>
      <c r="AI3313" s="218"/>
      <c r="AJ3313" s="218"/>
      <c r="AK3313" s="153"/>
      <c r="AL3313" s="152"/>
      <c r="AM3313" s="152"/>
      <c r="AN3313" s="152"/>
      <c r="AO3313" s="152"/>
      <c r="AP3313" s="152"/>
      <c r="AQ3313" s="152"/>
      <c r="AR3313" s="152"/>
      <c r="AS3313" s="152"/>
      <c r="AT3313" s="152"/>
      <c r="AU3313" s="153"/>
      <c r="AV3313" s="479"/>
      <c r="AW3313" s="479"/>
      <c r="AX3313" s="442"/>
      <c r="AY3313" s="153"/>
      <c r="AZ3313" s="152"/>
      <c r="BA3313" s="152"/>
      <c r="BB3313" s="152"/>
      <c r="BC3313" s="152"/>
      <c r="BD3313" s="152"/>
      <c r="BE3313" s="152"/>
      <c r="BF3313" s="152"/>
      <c r="BG3313" s="152"/>
      <c r="BH3313" s="152"/>
      <c r="BI3313" s="153"/>
      <c r="BJ3313" s="153"/>
      <c r="BK3313" s="153"/>
      <c r="BL3313" s="153"/>
      <c r="BM3313" s="153"/>
      <c r="BN3313" s="153"/>
      <c r="BO3313" s="153"/>
      <c r="BP3313" s="153"/>
      <c r="BQ3313" s="153"/>
      <c r="BR3313" s="153"/>
      <c r="BS3313" s="153"/>
      <c r="BT3313" s="153"/>
      <c r="BU3313" s="153"/>
      <c r="BV3313" s="153"/>
      <c r="BW3313" s="153"/>
      <c r="BX3313" s="153"/>
      <c r="BY3313" s="153"/>
      <c r="BZ3313" s="153"/>
      <c r="CA3313" s="152"/>
      <c r="CB3313" s="152"/>
    </row>
    <row r="3314" spans="1:80" s="87" customFormat="1" x14ac:dyDescent="0.2">
      <c r="A3314" s="152"/>
      <c r="B3314" s="683"/>
      <c r="C3314" s="683"/>
      <c r="D3314" s="698"/>
      <c r="E3314" s="215"/>
      <c r="F3314" s="215"/>
      <c r="G3314" s="153"/>
      <c r="H3314" s="153"/>
      <c r="I3314" s="164">
        <v>23</v>
      </c>
      <c r="J3314" s="163">
        <v>60</v>
      </c>
      <c r="K3314" s="150">
        <v>1</v>
      </c>
      <c r="L3314" s="664">
        <v>23</v>
      </c>
      <c r="M3314" s="663">
        <v>34492</v>
      </c>
      <c r="N3314" s="600">
        <v>6.3137299999999996</v>
      </c>
      <c r="O3314" s="604">
        <v>2.2460000000000002E-3</v>
      </c>
      <c r="P3314" s="150"/>
      <c r="Q3314" s="250"/>
      <c r="R3314" s="250"/>
      <c r="S3314" s="250"/>
      <c r="T3314" s="250">
        <v>0.26491500000000001</v>
      </c>
      <c r="U3314" s="250">
        <v>0.156495</v>
      </c>
      <c r="V3314" s="250">
        <v>0.21426999999999999</v>
      </c>
      <c r="W3314" s="250">
        <v>0.22897700000000001</v>
      </c>
      <c r="X3314" s="250">
        <v>0.12380699999999999</v>
      </c>
      <c r="Y3314" s="250">
        <v>1.1538E-2</v>
      </c>
      <c r="Z3314" s="150"/>
      <c r="AA3314" s="150">
        <v>1.55</v>
      </c>
      <c r="AB3314" s="152"/>
      <c r="AC3314" s="152"/>
      <c r="AD3314" s="223">
        <v>15.849080000000001</v>
      </c>
      <c r="AE3314" s="223">
        <v>0.45108920000000002</v>
      </c>
      <c r="AF3314" s="223">
        <v>7.1342591999999998</v>
      </c>
      <c r="AG3314" s="223">
        <v>0.88389099999999998</v>
      </c>
      <c r="AH3314" s="341"/>
      <c r="AI3314" s="218"/>
      <c r="AJ3314" s="218"/>
      <c r="AK3314" s="153"/>
      <c r="AL3314" s="152"/>
      <c r="AM3314" s="152"/>
      <c r="AN3314" s="152"/>
      <c r="AO3314" s="152"/>
      <c r="AP3314" s="152"/>
      <c r="AQ3314" s="152"/>
      <c r="AR3314" s="152"/>
      <c r="AS3314" s="152"/>
      <c r="AT3314" s="152"/>
      <c r="AU3314" s="153"/>
      <c r="AV3314" s="479"/>
      <c r="AW3314" s="479"/>
      <c r="AX3314" s="442"/>
      <c r="AY3314" s="153"/>
      <c r="AZ3314" s="152"/>
      <c r="BA3314" s="152"/>
      <c r="BB3314" s="152"/>
      <c r="BC3314" s="152"/>
      <c r="BD3314" s="152"/>
      <c r="BE3314" s="152"/>
      <c r="BF3314" s="152"/>
      <c r="BG3314" s="152"/>
      <c r="BH3314" s="152"/>
      <c r="BI3314" s="153"/>
      <c r="BJ3314" s="153"/>
      <c r="BK3314" s="153"/>
      <c r="BL3314" s="153"/>
      <c r="BM3314" s="153"/>
      <c r="BN3314" s="153"/>
      <c r="BO3314" s="153"/>
      <c r="BP3314" s="153"/>
      <c r="BQ3314" s="153"/>
      <c r="BR3314" s="153"/>
      <c r="BS3314" s="153"/>
      <c r="BT3314" s="153"/>
      <c r="BU3314" s="153"/>
      <c r="BV3314" s="153"/>
      <c r="BW3314" s="153"/>
      <c r="BX3314" s="153"/>
      <c r="BY3314" s="153"/>
      <c r="BZ3314" s="153"/>
      <c r="CA3314" s="152"/>
      <c r="CB3314" s="152"/>
    </row>
    <row r="3315" spans="1:80" s="87" customFormat="1" x14ac:dyDescent="0.2">
      <c r="A3315" s="152"/>
      <c r="B3315" s="683"/>
      <c r="C3315" s="683"/>
      <c r="D3315" s="698"/>
      <c r="E3315" s="215"/>
      <c r="F3315" s="215"/>
      <c r="G3315" s="153"/>
      <c r="H3315" s="153"/>
      <c r="I3315" s="164">
        <v>23</v>
      </c>
      <c r="J3315" s="163">
        <v>60</v>
      </c>
      <c r="K3315" s="150">
        <v>1</v>
      </c>
      <c r="L3315" s="664">
        <v>23</v>
      </c>
      <c r="M3315" s="663">
        <v>34494</v>
      </c>
      <c r="N3315" s="600">
        <v>5.2378499999999999</v>
      </c>
      <c r="O3315" s="604">
        <v>6.3709999999999999E-3</v>
      </c>
      <c r="P3315" s="150"/>
      <c r="Q3315" s="250"/>
      <c r="R3315" s="250"/>
      <c r="S3315" s="250">
        <v>2.5788000000000002E-2</v>
      </c>
      <c r="T3315" s="250">
        <v>0.13136300000000001</v>
      </c>
      <c r="U3315" s="250">
        <v>0.21635200000000002</v>
      </c>
      <c r="V3315" s="250">
        <v>0.27815499999999999</v>
      </c>
      <c r="W3315" s="250">
        <v>0.25520999999999999</v>
      </c>
      <c r="X3315" s="250">
        <v>8.8434000000000013E-2</v>
      </c>
      <c r="Y3315" s="250">
        <v>4.6960000000000005E-3</v>
      </c>
      <c r="Z3315" s="150"/>
      <c r="AA3315" s="150">
        <v>1.46</v>
      </c>
      <c r="AB3315" s="152"/>
      <c r="AC3315" s="152"/>
      <c r="AD3315" s="223">
        <v>15.849080000000001</v>
      </c>
      <c r="AE3315" s="223">
        <v>0.40232279999999998</v>
      </c>
      <c r="AF3315" s="223">
        <v>6.3911072000000004</v>
      </c>
      <c r="AG3315" s="223">
        <v>0.83817249999999999</v>
      </c>
      <c r="AH3315" s="341"/>
      <c r="AI3315" s="218"/>
      <c r="AJ3315" s="218"/>
      <c r="AK3315" s="153"/>
      <c r="AL3315" s="152"/>
      <c r="AM3315" s="152"/>
      <c r="AN3315" s="152"/>
      <c r="AO3315" s="152"/>
      <c r="AP3315" s="152"/>
      <c r="AQ3315" s="152"/>
      <c r="AR3315" s="152"/>
      <c r="AS3315" s="152"/>
      <c r="AT3315" s="152"/>
      <c r="AU3315" s="153"/>
      <c r="AV3315" s="479"/>
      <c r="AW3315" s="479"/>
      <c r="AX3315" s="442"/>
      <c r="AY3315" s="153"/>
      <c r="AZ3315" s="152"/>
      <c r="BA3315" s="152"/>
      <c r="BB3315" s="152"/>
      <c r="BC3315" s="152"/>
      <c r="BD3315" s="152"/>
      <c r="BE3315" s="152"/>
      <c r="BF3315" s="152"/>
      <c r="BG3315" s="152"/>
      <c r="BH3315" s="152"/>
      <c r="BI3315" s="153"/>
      <c r="BJ3315" s="153"/>
      <c r="BK3315" s="153"/>
      <c r="BL3315" s="153"/>
      <c r="BM3315" s="153"/>
      <c r="BN3315" s="153"/>
      <c r="BO3315" s="153"/>
      <c r="BP3315" s="153"/>
      <c r="BQ3315" s="153"/>
      <c r="BR3315" s="153"/>
      <c r="BS3315" s="153"/>
      <c r="BT3315" s="153"/>
      <c r="BU3315" s="153"/>
      <c r="BV3315" s="153"/>
      <c r="BW3315" s="153"/>
      <c r="BX3315" s="153"/>
      <c r="BY3315" s="153"/>
      <c r="BZ3315" s="153"/>
      <c r="CA3315" s="152"/>
      <c r="CB3315" s="152"/>
    </row>
    <row r="3316" spans="1:80" s="87" customFormat="1" x14ac:dyDescent="0.2">
      <c r="A3316" s="152"/>
      <c r="B3316" s="683"/>
      <c r="C3316" s="683"/>
      <c r="D3316" s="698"/>
      <c r="E3316" s="215"/>
      <c r="F3316" s="215"/>
      <c r="G3316" s="153"/>
      <c r="H3316" s="153"/>
      <c r="I3316" s="164">
        <v>23</v>
      </c>
      <c r="J3316" s="163">
        <v>60</v>
      </c>
      <c r="K3316" s="150">
        <v>1</v>
      </c>
      <c r="L3316" s="664">
        <v>23</v>
      </c>
      <c r="M3316" s="663">
        <v>34494</v>
      </c>
      <c r="N3316" s="600">
        <v>5.2378499999999999</v>
      </c>
      <c r="O3316" s="604">
        <v>1.333E-3</v>
      </c>
      <c r="P3316" s="150"/>
      <c r="Q3316" s="250"/>
      <c r="R3316" s="250"/>
      <c r="S3316" s="250"/>
      <c r="T3316" s="250">
        <v>5.1196999999999999E-2</v>
      </c>
      <c r="U3316" s="250">
        <v>0.19592999999999999</v>
      </c>
      <c r="V3316" s="250">
        <v>0.24560099999999999</v>
      </c>
      <c r="W3316" s="250">
        <v>0.24452499999999999</v>
      </c>
      <c r="X3316" s="250">
        <v>0.22163799999999997</v>
      </c>
      <c r="Y3316" s="250">
        <v>4.1109E-2</v>
      </c>
      <c r="Z3316" s="150"/>
      <c r="AA3316" s="150">
        <v>0.98</v>
      </c>
      <c r="AB3316" s="152"/>
      <c r="AC3316" s="152"/>
      <c r="AD3316" s="223">
        <v>15.849080000000001</v>
      </c>
      <c r="AE3316" s="223">
        <v>0.40232279999999998</v>
      </c>
      <c r="AF3316" s="223">
        <v>6.3911072000000004</v>
      </c>
      <c r="AG3316" s="223">
        <v>0.83817249999999999</v>
      </c>
      <c r="AH3316" s="341"/>
      <c r="AI3316" s="218"/>
      <c r="AJ3316" s="218"/>
      <c r="AK3316" s="153"/>
      <c r="AL3316" s="152"/>
      <c r="AM3316" s="152"/>
      <c r="AN3316" s="152"/>
      <c r="AO3316" s="152"/>
      <c r="AP3316" s="152"/>
      <c r="AQ3316" s="152"/>
      <c r="AR3316" s="152"/>
      <c r="AS3316" s="152"/>
      <c r="AT3316" s="152"/>
      <c r="AU3316" s="153"/>
      <c r="AV3316" s="479"/>
      <c r="AW3316" s="479"/>
      <c r="AX3316" s="442"/>
      <c r="AY3316" s="153"/>
      <c r="AZ3316" s="152"/>
      <c r="BA3316" s="152"/>
      <c r="BB3316" s="152"/>
      <c r="BC3316" s="152"/>
      <c r="BD3316" s="152"/>
      <c r="BE3316" s="152"/>
      <c r="BF3316" s="152"/>
      <c r="BG3316" s="152"/>
      <c r="BH3316" s="152"/>
      <c r="BI3316" s="153"/>
      <c r="BJ3316" s="153"/>
      <c r="BK3316" s="153"/>
      <c r="BL3316" s="153"/>
      <c r="BM3316" s="153"/>
      <c r="BN3316" s="153"/>
      <c r="BO3316" s="153"/>
      <c r="BP3316" s="153"/>
      <c r="BQ3316" s="153"/>
      <c r="BR3316" s="153"/>
      <c r="BS3316" s="153"/>
      <c r="BT3316" s="153"/>
      <c r="BU3316" s="153"/>
      <c r="BV3316" s="153"/>
      <c r="BW3316" s="153"/>
      <c r="BX3316" s="153"/>
      <c r="BY3316" s="153"/>
      <c r="BZ3316" s="153"/>
      <c r="CA3316" s="152"/>
      <c r="CB3316" s="152"/>
    </row>
    <row r="3317" spans="1:80" s="87" customFormat="1" x14ac:dyDescent="0.2">
      <c r="A3317" s="152"/>
      <c r="B3317" s="683"/>
      <c r="C3317" s="683"/>
      <c r="D3317" s="698"/>
      <c r="E3317" s="215"/>
      <c r="F3317" s="215"/>
      <c r="G3317" s="153"/>
      <c r="H3317" s="153"/>
      <c r="I3317" s="164">
        <v>21</v>
      </c>
      <c r="J3317" s="163">
        <v>60</v>
      </c>
      <c r="K3317" s="150">
        <v>1</v>
      </c>
      <c r="L3317" s="664">
        <v>21</v>
      </c>
      <c r="M3317" s="663">
        <v>34499</v>
      </c>
      <c r="N3317" s="600">
        <v>5.4077299999999999</v>
      </c>
      <c r="O3317" s="604">
        <v>1.2700000000000001E-3</v>
      </c>
      <c r="P3317" s="150"/>
      <c r="Q3317" s="250"/>
      <c r="R3317" s="250"/>
      <c r="S3317" s="250"/>
      <c r="T3317" s="250">
        <v>3.7143000000000002E-2</v>
      </c>
      <c r="U3317" s="250">
        <v>0.29316600000000004</v>
      </c>
      <c r="V3317" s="250">
        <v>0.28068199999999999</v>
      </c>
      <c r="W3317" s="250">
        <v>0.20130099999999998</v>
      </c>
      <c r="X3317" s="250">
        <v>0.161714</v>
      </c>
      <c r="Y3317" s="250">
        <v>2.5995000000000001E-2</v>
      </c>
      <c r="Z3317" s="150"/>
      <c r="AA3317" s="150">
        <v>1.32</v>
      </c>
      <c r="AB3317" s="152"/>
      <c r="AC3317" s="152"/>
      <c r="AD3317" s="223">
        <v>15.2395</v>
      </c>
      <c r="AE3317" s="223">
        <v>0.4175623</v>
      </c>
      <c r="AF3317" s="223">
        <v>6.3725284000000002</v>
      </c>
      <c r="AG3317" s="223">
        <v>0.85645990000000005</v>
      </c>
      <c r="AH3317" s="341"/>
      <c r="AI3317" s="218"/>
      <c r="AJ3317" s="218"/>
      <c r="AK3317" s="153"/>
      <c r="AL3317" s="152"/>
      <c r="AM3317" s="152"/>
      <c r="AN3317" s="152"/>
      <c r="AO3317" s="152"/>
      <c r="AP3317" s="152"/>
      <c r="AQ3317" s="152"/>
      <c r="AR3317" s="152"/>
      <c r="AS3317" s="152"/>
      <c r="AT3317" s="152"/>
      <c r="AU3317" s="153"/>
      <c r="AV3317" s="479"/>
      <c r="AW3317" s="479"/>
      <c r="AX3317" s="442"/>
      <c r="AY3317" s="153"/>
      <c r="AZ3317" s="152"/>
      <c r="BA3317" s="152"/>
      <c r="BB3317" s="152"/>
      <c r="BC3317" s="152"/>
      <c r="BD3317" s="152"/>
      <c r="BE3317" s="152"/>
      <c r="BF3317" s="152"/>
      <c r="BG3317" s="152"/>
      <c r="BH3317" s="152"/>
      <c r="BI3317" s="153"/>
      <c r="BJ3317" s="153"/>
      <c r="BK3317" s="153"/>
      <c r="BL3317" s="153"/>
      <c r="BM3317" s="153"/>
      <c r="BN3317" s="153"/>
      <c r="BO3317" s="153"/>
      <c r="BP3317" s="153"/>
      <c r="BQ3317" s="153"/>
      <c r="BR3317" s="153"/>
      <c r="BS3317" s="153"/>
      <c r="BT3317" s="153"/>
      <c r="BU3317" s="153"/>
      <c r="BV3317" s="153"/>
      <c r="BW3317" s="153"/>
      <c r="BX3317" s="153"/>
      <c r="BY3317" s="153"/>
      <c r="BZ3317" s="153"/>
      <c r="CA3317" s="152"/>
      <c r="CB3317" s="152"/>
    </row>
    <row r="3318" spans="1:80" s="87" customFormat="1" x14ac:dyDescent="0.2">
      <c r="A3318" s="152"/>
      <c r="B3318" s="683"/>
      <c r="C3318" s="683"/>
      <c r="D3318" s="698"/>
      <c r="E3318" s="215"/>
      <c r="F3318" s="215"/>
      <c r="G3318" s="153"/>
      <c r="H3318" s="153"/>
      <c r="I3318" s="164">
        <v>21</v>
      </c>
      <c r="J3318" s="163">
        <v>60</v>
      </c>
      <c r="K3318" s="150">
        <v>1</v>
      </c>
      <c r="L3318" s="664">
        <v>21</v>
      </c>
      <c r="M3318" s="663">
        <v>34499</v>
      </c>
      <c r="N3318" s="600">
        <v>5.4077299999999999</v>
      </c>
      <c r="O3318" s="604">
        <v>4.5129999999999997E-3</v>
      </c>
      <c r="P3318" s="150"/>
      <c r="Q3318" s="250"/>
      <c r="R3318" s="250"/>
      <c r="S3318" s="250"/>
      <c r="T3318" s="250">
        <v>5.0880999999999996E-2</v>
      </c>
      <c r="U3318" s="250">
        <v>0.21961200000000003</v>
      </c>
      <c r="V3318" s="250">
        <v>0.33478799999999997</v>
      </c>
      <c r="W3318" s="250">
        <v>0.28279699999999997</v>
      </c>
      <c r="X3318" s="250">
        <v>0.106433</v>
      </c>
      <c r="Y3318" s="250">
        <v>5.4890000000000008E-3</v>
      </c>
      <c r="Z3318" s="150"/>
      <c r="AA3318" s="150">
        <v>1.24</v>
      </c>
      <c r="AB3318" s="152"/>
      <c r="AC3318" s="152"/>
      <c r="AD3318" s="223">
        <v>15.2395</v>
      </c>
      <c r="AE3318" s="223">
        <v>0.4175623</v>
      </c>
      <c r="AF3318" s="223">
        <v>6.3725284000000002</v>
      </c>
      <c r="AG3318" s="223">
        <v>0.85645990000000005</v>
      </c>
      <c r="AH3318" s="341"/>
      <c r="AI3318" s="218"/>
      <c r="AJ3318" s="218"/>
      <c r="AK3318" s="153"/>
      <c r="AL3318" s="152"/>
      <c r="AM3318" s="152"/>
      <c r="AN3318" s="152"/>
      <c r="AO3318" s="152"/>
      <c r="AP3318" s="152"/>
      <c r="AQ3318" s="152"/>
      <c r="AR3318" s="152"/>
      <c r="AS3318" s="152"/>
      <c r="AT3318" s="152"/>
      <c r="AU3318" s="153"/>
      <c r="AV3318" s="479"/>
      <c r="AW3318" s="479"/>
      <c r="AX3318" s="442"/>
      <c r="AY3318" s="153"/>
      <c r="AZ3318" s="152"/>
      <c r="BA3318" s="152"/>
      <c r="BB3318" s="152"/>
      <c r="BC3318" s="152"/>
      <c r="BD3318" s="152"/>
      <c r="BE3318" s="152"/>
      <c r="BF3318" s="152"/>
      <c r="BG3318" s="152"/>
      <c r="BH3318" s="152"/>
      <c r="BI3318" s="153"/>
      <c r="BJ3318" s="153"/>
      <c r="BK3318" s="153"/>
      <c r="BL3318" s="153"/>
      <c r="BM3318" s="153"/>
      <c r="BN3318" s="153"/>
      <c r="BO3318" s="153"/>
      <c r="BP3318" s="153"/>
      <c r="BQ3318" s="153"/>
      <c r="BR3318" s="153"/>
      <c r="BS3318" s="153"/>
      <c r="BT3318" s="153"/>
      <c r="BU3318" s="153"/>
      <c r="BV3318" s="153"/>
      <c r="BW3318" s="153"/>
      <c r="BX3318" s="153"/>
      <c r="BY3318" s="153"/>
      <c r="BZ3318" s="153"/>
      <c r="CA3318" s="152"/>
      <c r="CB3318" s="152"/>
    </row>
    <row r="3319" spans="1:80" s="87" customFormat="1" x14ac:dyDescent="0.2">
      <c r="A3319" s="152"/>
      <c r="B3319" s="683"/>
      <c r="C3319" s="683"/>
      <c r="D3319" s="698"/>
      <c r="E3319" s="215"/>
      <c r="F3319" s="215"/>
      <c r="G3319" s="153"/>
      <c r="H3319" s="153"/>
      <c r="I3319" s="164">
        <v>24</v>
      </c>
      <c r="J3319" s="163">
        <v>60</v>
      </c>
      <c r="K3319" s="150">
        <v>1</v>
      </c>
      <c r="L3319" s="664">
        <v>24</v>
      </c>
      <c r="M3319" s="663">
        <v>34506</v>
      </c>
      <c r="N3319" s="600">
        <v>4.2185899999999998</v>
      </c>
      <c r="O3319" s="604">
        <v>2.5820000000000001E-3</v>
      </c>
      <c r="P3319" s="150"/>
      <c r="Q3319" s="250"/>
      <c r="R3319" s="250"/>
      <c r="S3319" s="250"/>
      <c r="T3319" s="250">
        <v>5.2462000000000002E-2</v>
      </c>
      <c r="U3319" s="250">
        <v>0.13400499999999999</v>
      </c>
      <c r="V3319" s="250">
        <v>0.26454800000000001</v>
      </c>
      <c r="W3319" s="250">
        <v>0.305392</v>
      </c>
      <c r="X3319" s="250">
        <v>0.22964400000000001</v>
      </c>
      <c r="Y3319" s="250">
        <v>1.3950000000000001E-2</v>
      </c>
      <c r="Z3319" s="150"/>
      <c r="AA3319" s="150">
        <v>0.89</v>
      </c>
      <c r="AB3319" s="152"/>
      <c r="AC3319" s="152"/>
      <c r="AD3319" s="223">
        <v>14.934710000000001</v>
      </c>
      <c r="AE3319" s="223">
        <v>0.39013120000000001</v>
      </c>
      <c r="AF3319" s="223">
        <v>5.8058750000000003</v>
      </c>
      <c r="AG3319" s="223">
        <v>0.73759180000000002</v>
      </c>
      <c r="AH3319" s="341"/>
      <c r="AI3319" s="218"/>
      <c r="AJ3319" s="218"/>
      <c r="AK3319" s="153"/>
      <c r="AL3319" s="152"/>
      <c r="AM3319" s="152"/>
      <c r="AN3319" s="152"/>
      <c r="AO3319" s="152"/>
      <c r="AP3319" s="152"/>
      <c r="AQ3319" s="152"/>
      <c r="AR3319" s="152"/>
      <c r="AS3319" s="152"/>
      <c r="AT3319" s="152"/>
      <c r="AU3319" s="153"/>
      <c r="AV3319" s="479"/>
      <c r="AW3319" s="479"/>
      <c r="AX3319" s="442"/>
      <c r="AY3319" s="153"/>
      <c r="AZ3319" s="152"/>
      <c r="BA3319" s="152"/>
      <c r="BB3319" s="152"/>
      <c r="BC3319" s="152"/>
      <c r="BD3319" s="152"/>
      <c r="BE3319" s="152"/>
      <c r="BF3319" s="152"/>
      <c r="BG3319" s="152"/>
      <c r="BH3319" s="152"/>
      <c r="BI3319" s="153"/>
      <c r="BJ3319" s="153"/>
      <c r="BK3319" s="153"/>
      <c r="BL3319" s="153"/>
      <c r="BM3319" s="153"/>
      <c r="BN3319" s="153"/>
      <c r="BO3319" s="153"/>
      <c r="BP3319" s="153"/>
      <c r="BQ3319" s="153"/>
      <c r="BR3319" s="153"/>
      <c r="BS3319" s="153"/>
      <c r="BT3319" s="153"/>
      <c r="BU3319" s="153"/>
      <c r="BV3319" s="153"/>
      <c r="BW3319" s="153"/>
      <c r="BX3319" s="153"/>
      <c r="BY3319" s="153"/>
      <c r="BZ3319" s="153"/>
      <c r="CA3319" s="152"/>
      <c r="CB3319" s="152"/>
    </row>
    <row r="3320" spans="1:80" s="87" customFormat="1" x14ac:dyDescent="0.2">
      <c r="A3320" s="152"/>
      <c r="B3320" s="683"/>
      <c r="C3320" s="683"/>
      <c r="D3320" s="698"/>
      <c r="E3320" s="215"/>
      <c r="F3320" s="215"/>
      <c r="G3320" s="153"/>
      <c r="H3320" s="153"/>
      <c r="I3320" s="164">
        <v>24</v>
      </c>
      <c r="J3320" s="163">
        <v>60</v>
      </c>
      <c r="K3320" s="150">
        <v>1</v>
      </c>
      <c r="L3320" s="664">
        <v>24</v>
      </c>
      <c r="M3320" s="663">
        <v>34506</v>
      </c>
      <c r="N3320" s="600">
        <v>4.2185899999999998</v>
      </c>
      <c r="O3320" s="604">
        <v>1.333E-3</v>
      </c>
      <c r="P3320" s="150"/>
      <c r="Q3320" s="250"/>
      <c r="R3320" s="250"/>
      <c r="S3320" s="250"/>
      <c r="T3320" s="250"/>
      <c r="U3320" s="250">
        <v>6.5986000000000003E-2</v>
      </c>
      <c r="V3320" s="250">
        <v>0.18080400000000002</v>
      </c>
      <c r="W3320" s="250">
        <v>0.40116499999999999</v>
      </c>
      <c r="X3320" s="250">
        <v>0.33420299999999997</v>
      </c>
      <c r="Y3320" s="250">
        <v>1.7840999999999999E-2</v>
      </c>
      <c r="Z3320" s="150"/>
      <c r="AA3320" s="150">
        <v>0.65</v>
      </c>
      <c r="AB3320" s="152"/>
      <c r="AC3320" s="152"/>
      <c r="AD3320" s="223">
        <v>14.934710000000001</v>
      </c>
      <c r="AE3320" s="223">
        <v>0.39013120000000001</v>
      </c>
      <c r="AF3320" s="223">
        <v>5.8058750000000003</v>
      </c>
      <c r="AG3320" s="223">
        <v>0.73759180000000002</v>
      </c>
      <c r="AH3320" s="341"/>
      <c r="AI3320" s="218"/>
      <c r="AJ3320" s="218"/>
      <c r="AK3320" s="153"/>
      <c r="AL3320" s="152"/>
      <c r="AM3320" s="152"/>
      <c r="AN3320" s="152"/>
      <c r="AO3320" s="152"/>
      <c r="AP3320" s="152"/>
      <c r="AQ3320" s="152"/>
      <c r="AR3320" s="152"/>
      <c r="AS3320" s="152"/>
      <c r="AT3320" s="152"/>
      <c r="AU3320" s="153"/>
      <c r="AV3320" s="479"/>
      <c r="AW3320" s="479"/>
      <c r="AX3320" s="442"/>
      <c r="AY3320" s="153"/>
      <c r="AZ3320" s="152"/>
      <c r="BA3320" s="152"/>
      <c r="BB3320" s="152"/>
      <c r="BC3320" s="152"/>
      <c r="BD3320" s="152"/>
      <c r="BE3320" s="152"/>
      <c r="BF3320" s="152"/>
      <c r="BG3320" s="152"/>
      <c r="BH3320" s="152"/>
      <c r="BI3320" s="153"/>
      <c r="BJ3320" s="153"/>
      <c r="BK3320" s="153"/>
      <c r="BL3320" s="153"/>
      <c r="BM3320" s="153"/>
      <c r="BN3320" s="153"/>
      <c r="BO3320" s="153"/>
      <c r="BP3320" s="153"/>
      <c r="BQ3320" s="153"/>
      <c r="BR3320" s="153"/>
      <c r="BS3320" s="153"/>
      <c r="BT3320" s="153"/>
      <c r="BU3320" s="153"/>
      <c r="BV3320" s="153"/>
      <c r="BW3320" s="153"/>
      <c r="BX3320" s="153"/>
      <c r="BY3320" s="153"/>
      <c r="BZ3320" s="153"/>
      <c r="CA3320" s="152"/>
      <c r="CB3320" s="152"/>
    </row>
    <row r="3321" spans="1:80" s="87" customFormat="1" x14ac:dyDescent="0.2">
      <c r="A3321" s="152"/>
      <c r="B3321" s="683"/>
      <c r="C3321" s="683"/>
      <c r="D3321" s="698"/>
      <c r="E3321" s="215"/>
      <c r="F3321" s="215"/>
      <c r="G3321" s="153"/>
      <c r="H3321" s="153"/>
      <c r="I3321" s="164">
        <v>23</v>
      </c>
      <c r="J3321" s="163">
        <v>60</v>
      </c>
      <c r="K3321" s="150">
        <v>1</v>
      </c>
      <c r="L3321" s="664">
        <v>23</v>
      </c>
      <c r="M3321" s="663">
        <v>34514</v>
      </c>
      <c r="N3321" s="600">
        <v>3.8222100000000001</v>
      </c>
      <c r="O3321" s="604">
        <v>1.1019999999999999E-3</v>
      </c>
      <c r="P3321" s="150"/>
      <c r="Q3321" s="250"/>
      <c r="R3321" s="250"/>
      <c r="S3321" s="250">
        <v>7.8794000000000003E-2</v>
      </c>
      <c r="T3321" s="250">
        <v>6.8586999999999995E-2</v>
      </c>
      <c r="U3321" s="250">
        <v>0.17194999999999999</v>
      </c>
      <c r="V3321" s="250">
        <v>0.209956</v>
      </c>
      <c r="W3321" s="250">
        <v>0.27682000000000001</v>
      </c>
      <c r="X3321" s="250">
        <v>0.17861399999999999</v>
      </c>
      <c r="Y3321" s="250">
        <v>1.5279000000000001E-2</v>
      </c>
      <c r="Z3321" s="150"/>
      <c r="AA3321" s="150">
        <v>1.1000000000000001</v>
      </c>
      <c r="AB3321" s="152"/>
      <c r="AC3321" s="152"/>
      <c r="AD3321" s="223">
        <v>14.62992</v>
      </c>
      <c r="AE3321" s="223">
        <v>0.37489169999999999</v>
      </c>
      <c r="AF3321" s="223">
        <v>5.4714565999999998</v>
      </c>
      <c r="AG3321" s="223">
        <v>0.71016069999999998</v>
      </c>
      <c r="AH3321" s="341"/>
      <c r="AI3321" s="218"/>
      <c r="AJ3321" s="218"/>
      <c r="AK3321" s="153"/>
      <c r="AL3321" s="152"/>
      <c r="AM3321" s="152"/>
      <c r="AN3321" s="152"/>
      <c r="AO3321" s="152"/>
      <c r="AP3321" s="152"/>
      <c r="AQ3321" s="152"/>
      <c r="AR3321" s="152"/>
      <c r="AS3321" s="152"/>
      <c r="AT3321" s="152"/>
      <c r="AU3321" s="153"/>
      <c r="AV3321" s="479"/>
      <c r="AW3321" s="479"/>
      <c r="AX3321" s="442"/>
      <c r="AY3321" s="153"/>
      <c r="AZ3321" s="152"/>
      <c r="BA3321" s="152"/>
      <c r="BB3321" s="152"/>
      <c r="BC3321" s="152"/>
      <c r="BD3321" s="152"/>
      <c r="BE3321" s="152"/>
      <c r="BF3321" s="152"/>
      <c r="BG3321" s="152"/>
      <c r="BH3321" s="152"/>
      <c r="BI3321" s="153"/>
      <c r="BJ3321" s="153"/>
      <c r="BK3321" s="153"/>
      <c r="BL3321" s="153"/>
      <c r="BM3321" s="153"/>
      <c r="BN3321" s="153"/>
      <c r="BO3321" s="153"/>
      <c r="BP3321" s="153"/>
      <c r="BQ3321" s="153"/>
      <c r="BR3321" s="153"/>
      <c r="BS3321" s="153"/>
      <c r="BT3321" s="153"/>
      <c r="BU3321" s="153"/>
      <c r="BV3321" s="153"/>
      <c r="BW3321" s="153"/>
      <c r="BX3321" s="153"/>
      <c r="BY3321" s="153"/>
      <c r="BZ3321" s="153"/>
      <c r="CA3321" s="152"/>
      <c r="CB3321" s="152"/>
    </row>
    <row r="3322" spans="1:80" s="87" customFormat="1" x14ac:dyDescent="0.2">
      <c r="A3322" s="152"/>
      <c r="B3322" s="683"/>
      <c r="C3322" s="683"/>
      <c r="D3322" s="698"/>
      <c r="E3322" s="215"/>
      <c r="F3322" s="215"/>
      <c r="G3322" s="153"/>
      <c r="H3322" s="153"/>
      <c r="I3322" s="164">
        <v>23</v>
      </c>
      <c r="J3322" s="163">
        <v>60</v>
      </c>
      <c r="K3322" s="150">
        <v>1</v>
      </c>
      <c r="L3322" s="664">
        <v>23</v>
      </c>
      <c r="M3322" s="663">
        <v>34514</v>
      </c>
      <c r="N3322" s="600">
        <v>3.8222100000000001</v>
      </c>
      <c r="O3322" s="604">
        <v>1.207E-3</v>
      </c>
      <c r="P3322" s="150"/>
      <c r="Q3322" s="250"/>
      <c r="R3322" s="250"/>
      <c r="S3322" s="250"/>
      <c r="T3322" s="250">
        <v>9.1700000000000004E-2</v>
      </c>
      <c r="U3322" s="250">
        <v>0.17861000000000002</v>
      </c>
      <c r="V3322" s="250">
        <v>0.25693699999999997</v>
      </c>
      <c r="W3322" s="250">
        <v>0.32094300000000003</v>
      </c>
      <c r="X3322" s="250">
        <v>0.141405</v>
      </c>
      <c r="Y3322" s="250">
        <v>1.0404999999999999E-2</v>
      </c>
      <c r="Z3322" s="150"/>
      <c r="AA3322" s="150">
        <v>1.08</v>
      </c>
      <c r="AB3322" s="152"/>
      <c r="AC3322" s="152"/>
      <c r="AD3322" s="223">
        <v>14.62992</v>
      </c>
      <c r="AE3322" s="223">
        <v>0.37489169999999999</v>
      </c>
      <c r="AF3322" s="223">
        <v>5.4714565999999998</v>
      </c>
      <c r="AG3322" s="223">
        <v>0.71016069999999998</v>
      </c>
      <c r="AH3322" s="341"/>
      <c r="AI3322" s="218"/>
      <c r="AJ3322" s="218"/>
      <c r="AK3322" s="153"/>
      <c r="AL3322" s="152"/>
      <c r="AM3322" s="152"/>
      <c r="AN3322" s="152"/>
      <c r="AO3322" s="152"/>
      <c r="AP3322" s="152"/>
      <c r="AQ3322" s="152"/>
      <c r="AR3322" s="152"/>
      <c r="AS3322" s="152"/>
      <c r="AT3322" s="152"/>
      <c r="AU3322" s="153"/>
      <c r="AV3322" s="479"/>
      <c r="AW3322" s="479"/>
      <c r="AX3322" s="442"/>
      <c r="AY3322" s="153"/>
      <c r="AZ3322" s="152"/>
      <c r="BA3322" s="152"/>
      <c r="BB3322" s="152"/>
      <c r="BC3322" s="152"/>
      <c r="BD3322" s="152"/>
      <c r="BE3322" s="152"/>
      <c r="BF3322" s="152"/>
      <c r="BG3322" s="152"/>
      <c r="BH3322" s="152"/>
      <c r="BI3322" s="153"/>
      <c r="BJ3322" s="153"/>
      <c r="BK3322" s="153"/>
      <c r="BL3322" s="153"/>
      <c r="BM3322" s="153"/>
      <c r="BN3322" s="153"/>
      <c r="BO3322" s="153"/>
      <c r="BP3322" s="153"/>
      <c r="BQ3322" s="153"/>
      <c r="BR3322" s="153"/>
      <c r="BS3322" s="153"/>
      <c r="BT3322" s="153"/>
      <c r="BU3322" s="153"/>
      <c r="BV3322" s="153"/>
      <c r="BW3322" s="153"/>
      <c r="BX3322" s="153"/>
      <c r="BY3322" s="153"/>
      <c r="BZ3322" s="153"/>
      <c r="CA3322" s="152"/>
      <c r="CB3322" s="152"/>
    </row>
    <row r="3323" spans="1:80" s="87" customFormat="1" x14ac:dyDescent="0.2">
      <c r="A3323" s="152"/>
      <c r="B3323" s="683"/>
      <c r="C3323" s="683"/>
      <c r="D3323" s="698"/>
      <c r="E3323" s="215"/>
      <c r="F3323" s="215"/>
      <c r="G3323" s="153"/>
      <c r="H3323" s="153"/>
      <c r="I3323" s="164">
        <v>21</v>
      </c>
      <c r="J3323" s="163">
        <v>30</v>
      </c>
      <c r="K3323" s="150">
        <v>1</v>
      </c>
      <c r="L3323" s="664">
        <v>10.5</v>
      </c>
      <c r="M3323" s="663">
        <v>34261</v>
      </c>
      <c r="N3323" s="600">
        <v>2.1574300000000002</v>
      </c>
      <c r="O3323" s="604">
        <v>1.12E-4</v>
      </c>
      <c r="P3323" s="150"/>
      <c r="Q3323" s="250"/>
      <c r="R3323" s="250"/>
      <c r="S3323" s="250"/>
      <c r="T3323" s="250">
        <v>0.261905</v>
      </c>
      <c r="U3323" s="250">
        <v>0</v>
      </c>
      <c r="V3323" s="250">
        <v>0</v>
      </c>
      <c r="W3323" s="250">
        <v>0.73809499999999995</v>
      </c>
      <c r="X3323" s="250">
        <v>0</v>
      </c>
      <c r="Y3323" s="250">
        <v>0</v>
      </c>
      <c r="Z3323" s="150"/>
      <c r="AA3323" s="150">
        <v>0.8</v>
      </c>
      <c r="AB3323" s="152"/>
      <c r="AC3323" s="152"/>
      <c r="AD3323" s="223">
        <v>14.934710000000001</v>
      </c>
      <c r="AE3323" s="223">
        <v>0.25602360000000002</v>
      </c>
      <c r="AF3323" s="223">
        <v>3.8272328</v>
      </c>
      <c r="AG3323" s="223">
        <v>0.55776570000000003</v>
      </c>
      <c r="AH3323" s="341"/>
      <c r="AI3323" s="218"/>
      <c r="AJ3323" s="218"/>
      <c r="AK3323" s="153"/>
      <c r="AL3323" s="152"/>
      <c r="AM3323" s="152"/>
      <c r="AN3323" s="152"/>
      <c r="AO3323" s="152"/>
      <c r="AP3323" s="152"/>
      <c r="AQ3323" s="152"/>
      <c r="AR3323" s="152"/>
      <c r="AS3323" s="152"/>
      <c r="AT3323" s="152"/>
      <c r="AU3323" s="153"/>
      <c r="AV3323" s="479"/>
      <c r="AW3323" s="479"/>
      <c r="AX3323" s="442"/>
      <c r="AY3323" s="153"/>
      <c r="AZ3323" s="152"/>
      <c r="BA3323" s="152"/>
      <c r="BB3323" s="152"/>
      <c r="BC3323" s="152"/>
      <c r="BD3323" s="152"/>
      <c r="BE3323" s="152"/>
      <c r="BF3323" s="152"/>
      <c r="BG3323" s="152"/>
      <c r="BH3323" s="152"/>
      <c r="BI3323" s="153"/>
      <c r="BJ3323" s="153"/>
      <c r="BK3323" s="153"/>
      <c r="BL3323" s="153"/>
      <c r="BM3323" s="153"/>
      <c r="BN3323" s="153"/>
      <c r="BO3323" s="153"/>
      <c r="BP3323" s="153"/>
      <c r="BQ3323" s="153"/>
      <c r="BR3323" s="153"/>
      <c r="BS3323" s="153"/>
      <c r="BT3323" s="153"/>
      <c r="BU3323" s="153"/>
      <c r="BV3323" s="153"/>
      <c r="BW3323" s="153"/>
      <c r="BX3323" s="153"/>
      <c r="BY3323" s="153"/>
      <c r="BZ3323" s="153"/>
      <c r="CA3323" s="152"/>
      <c r="CB3323" s="152"/>
    </row>
    <row r="3324" spans="1:80" s="87" customFormat="1" x14ac:dyDescent="0.2">
      <c r="A3324" s="152"/>
      <c r="B3324" s="683"/>
      <c r="C3324" s="683"/>
      <c r="D3324" s="698"/>
      <c r="E3324" s="215"/>
      <c r="F3324" s="215"/>
      <c r="G3324" s="153"/>
      <c r="H3324" s="153"/>
      <c r="I3324" s="164">
        <v>23</v>
      </c>
      <c r="J3324" s="163">
        <v>60</v>
      </c>
      <c r="K3324" s="150">
        <v>1</v>
      </c>
      <c r="L3324" s="664">
        <v>23</v>
      </c>
      <c r="M3324" s="663">
        <v>34632</v>
      </c>
      <c r="N3324" s="600">
        <v>1.5203899999999999</v>
      </c>
      <c r="O3324" s="604">
        <v>2.5500000000000002E-3</v>
      </c>
      <c r="P3324" s="150"/>
      <c r="Q3324" s="250"/>
      <c r="R3324" s="250"/>
      <c r="S3324" s="250">
        <v>0.34899999999999998</v>
      </c>
      <c r="T3324" s="250">
        <v>0.109</v>
      </c>
      <c r="U3324" s="250">
        <v>8.900000000000001E-2</v>
      </c>
      <c r="V3324" s="250">
        <v>0.19500000000000001</v>
      </c>
      <c r="W3324" s="250">
        <v>0.151</v>
      </c>
      <c r="X3324" s="250">
        <v>8.900000000000001E-2</v>
      </c>
      <c r="Y3324" s="250">
        <v>1.8000000000000002E-2</v>
      </c>
      <c r="Z3324" s="150">
        <v>15</v>
      </c>
      <c r="AA3324" s="150">
        <v>2.88</v>
      </c>
      <c r="AB3324" s="152"/>
      <c r="AC3324" s="152"/>
      <c r="AD3324" s="223">
        <v>13.959382</v>
      </c>
      <c r="AE3324" s="223">
        <v>0.25297570000000003</v>
      </c>
      <c r="AF3324" s="223">
        <v>3.5299719999999999</v>
      </c>
      <c r="AG3324" s="223">
        <v>0.42670599999999997</v>
      </c>
      <c r="AH3324" s="341"/>
      <c r="AI3324" s="218"/>
      <c r="AJ3324" s="218"/>
      <c r="AK3324" s="153"/>
      <c r="AL3324" s="152"/>
      <c r="AM3324" s="152"/>
      <c r="AN3324" s="152"/>
      <c r="AO3324" s="152"/>
      <c r="AP3324" s="152"/>
      <c r="AQ3324" s="152"/>
      <c r="AR3324" s="152"/>
      <c r="AS3324" s="152"/>
      <c r="AT3324" s="152"/>
      <c r="AU3324" s="153"/>
      <c r="AV3324" s="479"/>
      <c r="AW3324" s="479"/>
      <c r="AX3324" s="442"/>
      <c r="AY3324" s="153"/>
      <c r="AZ3324" s="152"/>
      <c r="BA3324" s="152"/>
      <c r="BB3324" s="152"/>
      <c r="BC3324" s="152"/>
      <c r="BD3324" s="152"/>
      <c r="BE3324" s="152"/>
      <c r="BF3324" s="152"/>
      <c r="BG3324" s="152"/>
      <c r="BH3324" s="152"/>
      <c r="BI3324" s="153"/>
      <c r="BJ3324" s="153"/>
      <c r="BK3324" s="153"/>
      <c r="BL3324" s="153"/>
      <c r="BM3324" s="153"/>
      <c r="BN3324" s="153"/>
      <c r="BO3324" s="153"/>
      <c r="BP3324" s="153"/>
      <c r="BQ3324" s="153"/>
      <c r="BR3324" s="153"/>
      <c r="BS3324" s="153"/>
      <c r="BT3324" s="153"/>
      <c r="BU3324" s="153"/>
      <c r="BV3324" s="153"/>
      <c r="BW3324" s="153"/>
      <c r="BX3324" s="153"/>
      <c r="BY3324" s="153"/>
      <c r="BZ3324" s="153"/>
      <c r="CA3324" s="152"/>
      <c r="CB3324" s="152"/>
    </row>
    <row r="3325" spans="1:80" s="87" customFormat="1" x14ac:dyDescent="0.2">
      <c r="A3325" s="152"/>
      <c r="B3325" s="683"/>
      <c r="C3325" s="683"/>
      <c r="D3325" s="698"/>
      <c r="E3325" s="215"/>
      <c r="F3325" s="215"/>
      <c r="G3325" s="153"/>
      <c r="H3325" s="153"/>
      <c r="I3325" s="164">
        <v>19</v>
      </c>
      <c r="J3325" s="163">
        <v>60</v>
      </c>
      <c r="K3325" s="150">
        <v>1</v>
      </c>
      <c r="L3325" s="664">
        <v>19</v>
      </c>
      <c r="M3325" s="663">
        <v>34673</v>
      </c>
      <c r="N3325" s="600">
        <v>0.91449999999999998</v>
      </c>
      <c r="O3325" s="604">
        <v>2.83E-5</v>
      </c>
      <c r="P3325" s="150"/>
      <c r="Q3325" s="250"/>
      <c r="R3325" s="250"/>
      <c r="S3325" s="250"/>
      <c r="T3325" s="250"/>
      <c r="U3325" s="250"/>
      <c r="V3325" s="250">
        <v>0.66700000000000004</v>
      </c>
      <c r="W3325" s="250">
        <v>0.33299999999999996</v>
      </c>
      <c r="X3325" s="250">
        <v>0</v>
      </c>
      <c r="Y3325" s="250">
        <v>0</v>
      </c>
      <c r="Z3325" s="150">
        <v>2</v>
      </c>
      <c r="AA3325" s="150">
        <v>1.19</v>
      </c>
      <c r="AB3325" s="152"/>
      <c r="AC3325" s="152"/>
      <c r="AD3325" s="223">
        <v>13.41076</v>
      </c>
      <c r="AE3325" s="223">
        <v>0.19201770000000001</v>
      </c>
      <c r="AF3325" s="223">
        <v>2.5638744</v>
      </c>
      <c r="AG3325" s="223">
        <v>0.35965219999999998</v>
      </c>
      <c r="AH3325" s="341"/>
      <c r="AI3325" s="218"/>
      <c r="AJ3325" s="218"/>
      <c r="AK3325" s="153"/>
      <c r="AL3325" s="152"/>
      <c r="AM3325" s="152"/>
      <c r="AN3325" s="152"/>
      <c r="AO3325" s="152"/>
      <c r="AP3325" s="152"/>
      <c r="AQ3325" s="152"/>
      <c r="AR3325" s="152"/>
      <c r="AS3325" s="152"/>
      <c r="AT3325" s="152"/>
      <c r="AU3325" s="153"/>
      <c r="AV3325" s="479"/>
      <c r="AW3325" s="479"/>
      <c r="AX3325" s="442"/>
      <c r="AY3325" s="153"/>
      <c r="AZ3325" s="152"/>
      <c r="BA3325" s="152"/>
      <c r="BB3325" s="152"/>
      <c r="BC3325" s="152"/>
      <c r="BD3325" s="152"/>
      <c r="BE3325" s="152"/>
      <c r="BF3325" s="152"/>
      <c r="BG3325" s="152"/>
      <c r="BH3325" s="152"/>
      <c r="BI3325" s="153"/>
      <c r="BJ3325" s="153"/>
      <c r="BK3325" s="153"/>
      <c r="BL3325" s="153"/>
      <c r="BM3325" s="153"/>
      <c r="BN3325" s="153"/>
      <c r="BO3325" s="153"/>
      <c r="BP3325" s="153"/>
      <c r="BQ3325" s="153"/>
      <c r="BR3325" s="153"/>
      <c r="BS3325" s="153"/>
      <c r="BT3325" s="153"/>
      <c r="BU3325" s="153"/>
      <c r="BV3325" s="153"/>
      <c r="BW3325" s="153"/>
      <c r="BX3325" s="153"/>
      <c r="BY3325" s="153"/>
      <c r="BZ3325" s="153"/>
      <c r="CA3325" s="152"/>
      <c r="CB3325" s="152"/>
    </row>
    <row r="3326" spans="1:80" s="87" customFormat="1" x14ac:dyDescent="0.2">
      <c r="A3326" s="152"/>
      <c r="B3326" s="683"/>
      <c r="C3326" s="683"/>
      <c r="D3326" s="698"/>
      <c r="E3326" s="215"/>
      <c r="F3326" s="215"/>
      <c r="G3326" s="153"/>
      <c r="H3326" s="153"/>
      <c r="I3326" s="164">
        <v>22</v>
      </c>
      <c r="J3326" s="163">
        <v>60</v>
      </c>
      <c r="K3326" s="150">
        <v>1</v>
      </c>
      <c r="L3326" s="664">
        <v>22</v>
      </c>
      <c r="M3326" s="663">
        <v>34710</v>
      </c>
      <c r="N3326" s="600">
        <v>2.1291199999999999</v>
      </c>
      <c r="O3326" s="604">
        <v>3.4600000000000001E-4</v>
      </c>
      <c r="P3326" s="150"/>
      <c r="Q3326" s="250"/>
      <c r="R3326" s="250"/>
      <c r="S3326" s="250"/>
      <c r="T3326" s="250">
        <v>7.6999999999999999E-2</v>
      </c>
      <c r="U3326" s="250">
        <v>0.252</v>
      </c>
      <c r="V3326" s="250">
        <v>0.252</v>
      </c>
      <c r="W3326" s="250">
        <v>0.33600000000000002</v>
      </c>
      <c r="X3326" s="250">
        <v>8.3000000000000004E-2</v>
      </c>
      <c r="Y3326" s="250">
        <v>0</v>
      </c>
      <c r="Z3326" s="150">
        <v>5</v>
      </c>
      <c r="AA3326" s="150">
        <v>1.25</v>
      </c>
      <c r="AB3326" s="152"/>
      <c r="AC3326" s="152"/>
      <c r="AD3326" s="223">
        <v>14.48</v>
      </c>
      <c r="AE3326" s="223">
        <v>0.27</v>
      </c>
      <c r="AF3326" s="223">
        <v>3.82</v>
      </c>
      <c r="AG3326" s="223">
        <v>0.52</v>
      </c>
      <c r="AH3326" s="341"/>
      <c r="AI3326" s="218"/>
      <c r="AJ3326" s="218"/>
      <c r="AK3326" s="153"/>
      <c r="AL3326" s="152"/>
      <c r="AM3326" s="152"/>
      <c r="AN3326" s="152"/>
      <c r="AO3326" s="152"/>
      <c r="AP3326" s="152"/>
      <c r="AQ3326" s="152"/>
      <c r="AR3326" s="152"/>
      <c r="AS3326" s="152"/>
      <c r="AT3326" s="152"/>
      <c r="AU3326" s="153"/>
      <c r="AV3326" s="479"/>
      <c r="AW3326" s="479"/>
      <c r="AX3326" s="442"/>
      <c r="AY3326" s="153"/>
      <c r="AZ3326" s="152"/>
      <c r="BA3326" s="152"/>
      <c r="BB3326" s="152"/>
      <c r="BC3326" s="152"/>
      <c r="BD3326" s="152"/>
      <c r="BE3326" s="152"/>
      <c r="BF3326" s="152"/>
      <c r="BG3326" s="152"/>
      <c r="BH3326" s="152"/>
      <c r="BI3326" s="153"/>
      <c r="BJ3326" s="153"/>
      <c r="BK3326" s="153"/>
      <c r="BL3326" s="153"/>
      <c r="BM3326" s="153"/>
      <c r="BN3326" s="153"/>
      <c r="BO3326" s="153"/>
      <c r="BP3326" s="153"/>
      <c r="BQ3326" s="153"/>
      <c r="BR3326" s="153"/>
      <c r="BS3326" s="153"/>
      <c r="BT3326" s="153"/>
      <c r="BU3326" s="153"/>
      <c r="BV3326" s="153"/>
      <c r="BW3326" s="153"/>
      <c r="BX3326" s="153"/>
      <c r="BY3326" s="153"/>
      <c r="BZ3326" s="153"/>
      <c r="CA3326" s="152"/>
      <c r="CB3326" s="152"/>
    </row>
    <row r="3327" spans="1:80" s="87" customFormat="1" x14ac:dyDescent="0.2">
      <c r="A3327" s="152"/>
      <c r="B3327" s="683"/>
      <c r="C3327" s="683"/>
      <c r="D3327" s="698"/>
      <c r="E3327" s="215"/>
      <c r="F3327" s="215"/>
      <c r="G3327" s="153"/>
      <c r="H3327" s="153"/>
      <c r="I3327" s="164">
        <v>22</v>
      </c>
      <c r="J3327" s="163">
        <v>60</v>
      </c>
      <c r="K3327" s="150">
        <v>1</v>
      </c>
      <c r="L3327" s="664">
        <v>22</v>
      </c>
      <c r="M3327" s="663">
        <v>34754</v>
      </c>
      <c r="N3327" s="600">
        <v>1.76671</v>
      </c>
      <c r="O3327" s="604">
        <v>8.0400000000000003E-3</v>
      </c>
      <c r="P3327" s="150"/>
      <c r="Q3327" s="250"/>
      <c r="R3327" s="250"/>
      <c r="S3327" s="250">
        <v>0.156</v>
      </c>
      <c r="T3327" s="250">
        <v>0.318</v>
      </c>
      <c r="U3327" s="250">
        <v>0.17800000000000002</v>
      </c>
      <c r="V3327" s="250">
        <v>7.8E-2</v>
      </c>
      <c r="W3327" s="250">
        <v>6.9000000000000006E-2</v>
      </c>
      <c r="X3327" s="250">
        <v>0.128</v>
      </c>
      <c r="Y3327" s="250">
        <v>7.2999999999999995E-2</v>
      </c>
      <c r="Z3327" s="150">
        <v>15</v>
      </c>
      <c r="AA3327" s="150">
        <v>3.61</v>
      </c>
      <c r="AB3327" s="152"/>
      <c r="AC3327" s="152"/>
      <c r="AD3327" s="223">
        <v>13.71555</v>
      </c>
      <c r="AE3327" s="223">
        <v>0.30174210000000001</v>
      </c>
      <c r="AF3327" s="223">
        <v>4.1244936000000001</v>
      </c>
      <c r="AG3327" s="223">
        <v>0.42061019999999999</v>
      </c>
      <c r="AH3327" s="341"/>
      <c r="AI3327" s="218"/>
      <c r="AJ3327" s="218"/>
      <c r="AK3327" s="153"/>
      <c r="AL3327" s="152"/>
      <c r="AM3327" s="152"/>
      <c r="AN3327" s="152"/>
      <c r="AO3327" s="152"/>
      <c r="AP3327" s="152"/>
      <c r="AQ3327" s="152"/>
      <c r="AR3327" s="152"/>
      <c r="AS3327" s="152"/>
      <c r="AT3327" s="152"/>
      <c r="AU3327" s="153"/>
      <c r="AV3327" s="479"/>
      <c r="AW3327" s="479"/>
      <c r="AX3327" s="442"/>
      <c r="AY3327" s="153"/>
      <c r="AZ3327" s="152"/>
      <c r="BA3327" s="152"/>
      <c r="BB3327" s="152"/>
      <c r="BC3327" s="152"/>
      <c r="BD3327" s="152"/>
      <c r="BE3327" s="152"/>
      <c r="BF3327" s="152"/>
      <c r="BG3327" s="152"/>
      <c r="BH3327" s="152"/>
      <c r="BI3327" s="153"/>
      <c r="BJ3327" s="153"/>
      <c r="BK3327" s="153"/>
      <c r="BL3327" s="153"/>
      <c r="BM3327" s="153"/>
      <c r="BN3327" s="153"/>
      <c r="BO3327" s="153"/>
      <c r="BP3327" s="153"/>
      <c r="BQ3327" s="153"/>
      <c r="BR3327" s="153"/>
      <c r="BS3327" s="153"/>
      <c r="BT3327" s="153"/>
      <c r="BU3327" s="153"/>
      <c r="BV3327" s="153"/>
      <c r="BW3327" s="153"/>
      <c r="BX3327" s="153"/>
      <c r="BY3327" s="153"/>
      <c r="BZ3327" s="153"/>
      <c r="CA3327" s="152"/>
      <c r="CB3327" s="152"/>
    </row>
    <row r="3328" spans="1:80" s="87" customFormat="1" x14ac:dyDescent="0.2">
      <c r="A3328" s="152"/>
      <c r="B3328" s="683"/>
      <c r="C3328" s="683"/>
      <c r="D3328" s="698"/>
      <c r="E3328" s="215"/>
      <c r="F3328" s="215"/>
      <c r="G3328" s="153"/>
      <c r="H3328" s="153"/>
      <c r="I3328" s="164">
        <v>22</v>
      </c>
      <c r="J3328" s="163">
        <v>60</v>
      </c>
      <c r="K3328" s="150">
        <v>1</v>
      </c>
      <c r="L3328" s="664">
        <v>22</v>
      </c>
      <c r="M3328" s="663">
        <v>34754</v>
      </c>
      <c r="N3328" s="600">
        <v>1.76671</v>
      </c>
      <c r="O3328" s="604">
        <v>1.4589E-2</v>
      </c>
      <c r="P3328" s="150"/>
      <c r="Q3328" s="250"/>
      <c r="R3328" s="250"/>
      <c r="S3328" s="250">
        <v>0.22500000000000001</v>
      </c>
      <c r="T3328" s="250">
        <v>0.32400000000000001</v>
      </c>
      <c r="U3328" s="250">
        <v>0.127</v>
      </c>
      <c r="V3328" s="250">
        <v>5.9000000000000004E-2</v>
      </c>
      <c r="W3328" s="250">
        <v>5.0999999999999997E-2</v>
      </c>
      <c r="X3328" s="250">
        <v>0.16600000000000001</v>
      </c>
      <c r="Y3328" s="250">
        <v>4.8000000000000001E-2</v>
      </c>
      <c r="Z3328" s="150">
        <v>15</v>
      </c>
      <c r="AA3328" s="150">
        <v>4.4400000000000004</v>
      </c>
      <c r="AB3328" s="152"/>
      <c r="AC3328" s="152"/>
      <c r="AD3328" s="223">
        <v>13.71555</v>
      </c>
      <c r="AE3328" s="223">
        <v>0.30174210000000001</v>
      </c>
      <c r="AF3328" s="223">
        <v>4.1244936000000001</v>
      </c>
      <c r="AG3328" s="223">
        <v>0.42061019999999999</v>
      </c>
      <c r="AH3328" s="341"/>
      <c r="AI3328" s="218"/>
      <c r="AJ3328" s="218"/>
      <c r="AK3328" s="153"/>
      <c r="AL3328" s="152"/>
      <c r="AM3328" s="152"/>
      <c r="AN3328" s="152"/>
      <c r="AO3328" s="152"/>
      <c r="AP3328" s="152"/>
      <c r="AQ3328" s="152"/>
      <c r="AR3328" s="152"/>
      <c r="AS3328" s="152"/>
      <c r="AT3328" s="152"/>
      <c r="AU3328" s="153"/>
      <c r="AV3328" s="479"/>
      <c r="AW3328" s="479"/>
      <c r="AX3328" s="442"/>
      <c r="AY3328" s="153"/>
      <c r="AZ3328" s="152"/>
      <c r="BA3328" s="152"/>
      <c r="BB3328" s="152"/>
      <c r="BC3328" s="152"/>
      <c r="BD3328" s="152"/>
      <c r="BE3328" s="152"/>
      <c r="BF3328" s="152"/>
      <c r="BG3328" s="152"/>
      <c r="BH3328" s="152"/>
      <c r="BI3328" s="153"/>
      <c r="BJ3328" s="153"/>
      <c r="BK3328" s="153"/>
      <c r="BL3328" s="153"/>
      <c r="BM3328" s="153"/>
      <c r="BN3328" s="153"/>
      <c r="BO3328" s="153"/>
      <c r="BP3328" s="153"/>
      <c r="BQ3328" s="153"/>
      <c r="BR3328" s="153"/>
      <c r="BS3328" s="153"/>
      <c r="BT3328" s="153"/>
      <c r="BU3328" s="153"/>
      <c r="BV3328" s="153"/>
      <c r="BW3328" s="153"/>
      <c r="BX3328" s="153"/>
      <c r="BY3328" s="153"/>
      <c r="BZ3328" s="153"/>
      <c r="CA3328" s="152"/>
      <c r="CB3328" s="152"/>
    </row>
    <row r="3329" spans="1:80" s="87" customFormat="1" x14ac:dyDescent="0.2">
      <c r="A3329" s="152"/>
      <c r="B3329" s="683"/>
      <c r="C3329" s="683"/>
      <c r="D3329" s="698"/>
      <c r="E3329" s="215"/>
      <c r="F3329" s="215"/>
      <c r="G3329" s="153"/>
      <c r="H3329" s="153"/>
      <c r="I3329" s="164">
        <v>22</v>
      </c>
      <c r="J3329" s="163">
        <v>60</v>
      </c>
      <c r="K3329" s="150">
        <v>1</v>
      </c>
      <c r="L3329" s="664">
        <v>22</v>
      </c>
      <c r="M3329" s="663">
        <v>34788</v>
      </c>
      <c r="N3329" s="600">
        <v>2.58778</v>
      </c>
      <c r="O3329" s="604">
        <v>2.7179999999999999E-3</v>
      </c>
      <c r="P3329" s="150"/>
      <c r="Q3329" s="250"/>
      <c r="R3329" s="250"/>
      <c r="S3329" s="250"/>
      <c r="T3329" s="250"/>
      <c r="U3329" s="250">
        <v>0.19</v>
      </c>
      <c r="V3329" s="250">
        <v>0.35399999999999998</v>
      </c>
      <c r="W3329" s="250">
        <v>0.318</v>
      </c>
      <c r="X3329" s="250">
        <v>0.128</v>
      </c>
      <c r="Y3329" s="250">
        <v>0.01</v>
      </c>
      <c r="Z3329" s="150">
        <v>4</v>
      </c>
      <c r="AA3329" s="150">
        <v>1.0900000000000001</v>
      </c>
      <c r="AB3329" s="152"/>
      <c r="AC3329" s="152"/>
      <c r="AD3329" s="223">
        <v>14.873752</v>
      </c>
      <c r="AE3329" s="223">
        <v>0.30479000000000001</v>
      </c>
      <c r="AF3329" s="223">
        <v>4.551806</v>
      </c>
      <c r="AG3329" s="223">
        <v>0.56690940000000001</v>
      </c>
      <c r="AH3329" s="341"/>
      <c r="AI3329" s="218"/>
      <c r="AJ3329" s="218"/>
      <c r="AK3329" s="153"/>
      <c r="AL3329" s="152"/>
      <c r="AM3329" s="152"/>
      <c r="AN3329" s="152"/>
      <c r="AO3329" s="152"/>
      <c r="AP3329" s="152"/>
      <c r="AQ3329" s="152"/>
      <c r="AR3329" s="152"/>
      <c r="AS3329" s="152"/>
      <c r="AT3329" s="152"/>
      <c r="AU3329" s="153"/>
      <c r="AV3329" s="479"/>
      <c r="AW3329" s="479"/>
      <c r="AX3329" s="442"/>
      <c r="AY3329" s="153"/>
      <c r="AZ3329" s="152"/>
      <c r="BA3329" s="152"/>
      <c r="BB3329" s="152"/>
      <c r="BC3329" s="152"/>
      <c r="BD3329" s="152"/>
      <c r="BE3329" s="152"/>
      <c r="BF3329" s="152"/>
      <c r="BG3329" s="152"/>
      <c r="BH3329" s="152"/>
      <c r="BI3329" s="153"/>
      <c r="BJ3329" s="153"/>
      <c r="BK3329" s="153"/>
      <c r="BL3329" s="153"/>
      <c r="BM3329" s="153"/>
      <c r="BN3329" s="153"/>
      <c r="BO3329" s="153"/>
      <c r="BP3329" s="153"/>
      <c r="BQ3329" s="153"/>
      <c r="BR3329" s="153"/>
      <c r="BS3329" s="153"/>
      <c r="BT3329" s="153"/>
      <c r="BU3329" s="153"/>
      <c r="BV3329" s="153"/>
      <c r="BW3329" s="153"/>
      <c r="BX3329" s="153"/>
      <c r="BY3329" s="153"/>
      <c r="BZ3329" s="153"/>
      <c r="CA3329" s="152"/>
      <c r="CB3329" s="152"/>
    </row>
    <row r="3330" spans="1:80" s="87" customFormat="1" x14ac:dyDescent="0.2">
      <c r="A3330" s="152"/>
      <c r="B3330" s="683"/>
      <c r="C3330" s="683"/>
      <c r="D3330" s="698"/>
      <c r="E3330" s="215"/>
      <c r="F3330" s="215"/>
      <c r="G3330" s="153"/>
      <c r="H3330" s="153"/>
      <c r="I3330" s="164">
        <v>22</v>
      </c>
      <c r="J3330" s="163">
        <v>60</v>
      </c>
      <c r="K3330" s="150">
        <v>1</v>
      </c>
      <c r="L3330" s="664">
        <v>22</v>
      </c>
      <c r="M3330" s="663">
        <v>34788</v>
      </c>
      <c r="N3330" s="600">
        <v>2.58778</v>
      </c>
      <c r="O3330" s="604">
        <v>1.6789999999999999E-3</v>
      </c>
      <c r="P3330" s="150"/>
      <c r="Q3330" s="250"/>
      <c r="R3330" s="250"/>
      <c r="S3330" s="250">
        <v>0.127</v>
      </c>
      <c r="T3330" s="250">
        <v>4.8000000000000001E-2</v>
      </c>
      <c r="U3330" s="250">
        <v>0.14899999999999999</v>
      </c>
      <c r="V3330" s="250">
        <v>0.25900000000000001</v>
      </c>
      <c r="W3330" s="250">
        <v>0.252</v>
      </c>
      <c r="X3330" s="250">
        <v>0.157</v>
      </c>
      <c r="Y3330" s="250">
        <v>8.0000000000000002E-3</v>
      </c>
      <c r="Z3330" s="150">
        <v>4</v>
      </c>
      <c r="AA3330" s="150">
        <v>1.25</v>
      </c>
      <c r="AB3330" s="152"/>
      <c r="AC3330" s="152"/>
      <c r="AD3330" s="223">
        <v>14.873752</v>
      </c>
      <c r="AE3330" s="223">
        <v>0.30479000000000001</v>
      </c>
      <c r="AF3330" s="223">
        <v>4.551806</v>
      </c>
      <c r="AG3330" s="223">
        <v>0.56690940000000001</v>
      </c>
      <c r="AH3330" s="341"/>
      <c r="AI3330" s="218"/>
      <c r="AJ3330" s="218"/>
      <c r="AK3330" s="153"/>
      <c r="AL3330" s="152"/>
      <c r="AM3330" s="152"/>
      <c r="AN3330" s="152"/>
      <c r="AO3330" s="152"/>
      <c r="AP3330" s="152"/>
      <c r="AQ3330" s="152"/>
      <c r="AR3330" s="152"/>
      <c r="AS3330" s="152"/>
      <c r="AT3330" s="152"/>
      <c r="AU3330" s="153"/>
      <c r="AV3330" s="479"/>
      <c r="AW3330" s="479"/>
      <c r="AX3330" s="442"/>
      <c r="AY3330" s="153"/>
      <c r="AZ3330" s="152"/>
      <c r="BA3330" s="152"/>
      <c r="BB3330" s="152"/>
      <c r="BC3330" s="152"/>
      <c r="BD3330" s="152"/>
      <c r="BE3330" s="152"/>
      <c r="BF3330" s="152"/>
      <c r="BG3330" s="152"/>
      <c r="BH3330" s="152"/>
      <c r="BI3330" s="153"/>
      <c r="BJ3330" s="153"/>
      <c r="BK3330" s="153"/>
      <c r="BL3330" s="153"/>
      <c r="BM3330" s="153"/>
      <c r="BN3330" s="153"/>
      <c r="BO3330" s="153"/>
      <c r="BP3330" s="153"/>
      <c r="BQ3330" s="153"/>
      <c r="BR3330" s="153"/>
      <c r="BS3330" s="153"/>
      <c r="BT3330" s="153"/>
      <c r="BU3330" s="153"/>
      <c r="BV3330" s="153"/>
      <c r="BW3330" s="153"/>
      <c r="BX3330" s="153"/>
      <c r="BY3330" s="153"/>
      <c r="BZ3330" s="153"/>
      <c r="CA3330" s="152"/>
      <c r="CB3330" s="152"/>
    </row>
    <row r="3331" spans="1:80" s="87" customFormat="1" x14ac:dyDescent="0.2">
      <c r="A3331" s="152"/>
      <c r="B3331" s="683"/>
      <c r="C3331" s="683"/>
      <c r="D3331" s="698"/>
      <c r="E3331" s="215"/>
      <c r="F3331" s="215"/>
      <c r="G3331" s="153"/>
      <c r="H3331" s="153"/>
      <c r="I3331" s="164">
        <v>21</v>
      </c>
      <c r="J3331" s="163">
        <v>60</v>
      </c>
      <c r="K3331" s="150">
        <v>1</v>
      </c>
      <c r="L3331" s="664">
        <v>21</v>
      </c>
      <c r="M3331" s="663">
        <v>34795</v>
      </c>
      <c r="N3331" s="600">
        <v>3.1143999999999998</v>
      </c>
      <c r="O3331" s="604">
        <v>4.7340000000000004E-3</v>
      </c>
      <c r="P3331" s="150"/>
      <c r="Q3331" s="250"/>
      <c r="R3331" s="250"/>
      <c r="S3331" s="250">
        <v>0.14199999999999999</v>
      </c>
      <c r="T3331" s="250">
        <v>6.5000000000000002E-2</v>
      </c>
      <c r="U3331" s="250">
        <v>0.13800000000000001</v>
      </c>
      <c r="V3331" s="250">
        <v>0.27699999999999997</v>
      </c>
      <c r="W3331" s="250">
        <v>0.24600000000000002</v>
      </c>
      <c r="X3331" s="250">
        <v>0.12300000000000001</v>
      </c>
      <c r="Y3331" s="250">
        <v>9.0000000000000011E-3</v>
      </c>
      <c r="Z3331" s="150">
        <v>12</v>
      </c>
      <c r="AA3331" s="150">
        <v>1.36</v>
      </c>
      <c r="AB3331" s="152"/>
      <c r="AC3331" s="152"/>
      <c r="AD3331" s="223">
        <v>15.452852999999999</v>
      </c>
      <c r="AE3331" s="223">
        <v>0.3291732</v>
      </c>
      <c r="AF3331" s="223">
        <v>5.0905912000000004</v>
      </c>
      <c r="AG3331" s="223">
        <v>0.61872369999999999</v>
      </c>
      <c r="AH3331" s="341"/>
      <c r="AI3331" s="218"/>
      <c r="AJ3331" s="218"/>
      <c r="AK3331" s="153"/>
      <c r="AL3331" s="152"/>
      <c r="AM3331" s="152"/>
      <c r="AN3331" s="152"/>
      <c r="AO3331" s="152"/>
      <c r="AP3331" s="152"/>
      <c r="AQ3331" s="152"/>
      <c r="AR3331" s="152"/>
      <c r="AS3331" s="152"/>
      <c r="AT3331" s="152"/>
      <c r="AU3331" s="153"/>
      <c r="AV3331" s="479"/>
      <c r="AW3331" s="479"/>
      <c r="AX3331" s="442"/>
      <c r="AY3331" s="153"/>
      <c r="AZ3331" s="152"/>
      <c r="BA3331" s="152"/>
      <c r="BB3331" s="152"/>
      <c r="BC3331" s="152"/>
      <c r="BD3331" s="152"/>
      <c r="BE3331" s="152"/>
      <c r="BF3331" s="152"/>
      <c r="BG3331" s="152"/>
      <c r="BH3331" s="152"/>
      <c r="BI3331" s="153"/>
      <c r="BJ3331" s="153"/>
      <c r="BK3331" s="153"/>
      <c r="BL3331" s="153"/>
      <c r="BM3331" s="153"/>
      <c r="BN3331" s="153"/>
      <c r="BO3331" s="153"/>
      <c r="BP3331" s="153"/>
      <c r="BQ3331" s="153"/>
      <c r="BR3331" s="153"/>
      <c r="BS3331" s="153"/>
      <c r="BT3331" s="153"/>
      <c r="BU3331" s="153"/>
      <c r="BV3331" s="153"/>
      <c r="BW3331" s="153"/>
      <c r="BX3331" s="153"/>
      <c r="BY3331" s="153"/>
      <c r="BZ3331" s="153"/>
      <c r="CA3331" s="152"/>
      <c r="CB3331" s="152"/>
    </row>
    <row r="3332" spans="1:80" s="87" customFormat="1" x14ac:dyDescent="0.2">
      <c r="A3332" s="152"/>
      <c r="B3332" s="683"/>
      <c r="C3332" s="683"/>
      <c r="D3332" s="698"/>
      <c r="E3332" s="215"/>
      <c r="F3332" s="215"/>
      <c r="G3332" s="153"/>
      <c r="H3332" s="153"/>
      <c r="I3332" s="164">
        <v>21</v>
      </c>
      <c r="J3332" s="163">
        <v>60</v>
      </c>
      <c r="K3332" s="150">
        <v>1</v>
      </c>
      <c r="L3332" s="664">
        <v>21</v>
      </c>
      <c r="M3332" s="663">
        <v>34795</v>
      </c>
      <c r="N3332" s="600">
        <v>3.1143999999999998</v>
      </c>
      <c r="O3332" s="604">
        <v>1.8471999999999999E-2</v>
      </c>
      <c r="P3332" s="150"/>
      <c r="Q3332" s="250"/>
      <c r="R3332" s="250">
        <v>0.25900000000000001</v>
      </c>
      <c r="S3332" s="250">
        <v>1.8000000000000002E-2</v>
      </c>
      <c r="T3332" s="250">
        <v>3.4000000000000002E-2</v>
      </c>
      <c r="U3332" s="250">
        <v>0.126</v>
      </c>
      <c r="V3332" s="250">
        <v>0.20100000000000001</v>
      </c>
      <c r="W3332" s="250">
        <v>0.21199999999999999</v>
      </c>
      <c r="X3332" s="250">
        <v>0.14400000000000002</v>
      </c>
      <c r="Y3332" s="250">
        <v>6.0000000000000001E-3</v>
      </c>
      <c r="Z3332" s="150">
        <v>12</v>
      </c>
      <c r="AA3332" s="150">
        <v>1.61</v>
      </c>
      <c r="AB3332" s="152"/>
      <c r="AC3332" s="152"/>
      <c r="AD3332" s="223">
        <v>15.452852999999999</v>
      </c>
      <c r="AE3332" s="223">
        <v>0.3291732</v>
      </c>
      <c r="AF3332" s="223">
        <v>5.0905912000000004</v>
      </c>
      <c r="AG3332" s="223">
        <v>0.61872369999999999</v>
      </c>
      <c r="AH3332" s="341"/>
      <c r="AI3332" s="218"/>
      <c r="AJ3332" s="218"/>
      <c r="AK3332" s="153"/>
      <c r="AL3332" s="152"/>
      <c r="AM3332" s="152"/>
      <c r="AN3332" s="152"/>
      <c r="AO3332" s="152"/>
      <c r="AP3332" s="152"/>
      <c r="AQ3332" s="152"/>
      <c r="AR3332" s="152"/>
      <c r="AS3332" s="152"/>
      <c r="AT3332" s="152"/>
      <c r="AU3332" s="153"/>
      <c r="AV3332" s="479"/>
      <c r="AW3332" s="479"/>
      <c r="AX3332" s="442"/>
      <c r="AY3332" s="153"/>
      <c r="AZ3332" s="152"/>
      <c r="BA3332" s="152"/>
      <c r="BB3332" s="152"/>
      <c r="BC3332" s="152"/>
      <c r="BD3332" s="152"/>
      <c r="BE3332" s="152"/>
      <c r="BF3332" s="152"/>
      <c r="BG3332" s="152"/>
      <c r="BH3332" s="152"/>
      <c r="BI3332" s="153"/>
      <c r="BJ3332" s="153"/>
      <c r="BK3332" s="153"/>
      <c r="BL3332" s="153"/>
      <c r="BM3332" s="153"/>
      <c r="BN3332" s="153"/>
      <c r="BO3332" s="153"/>
      <c r="BP3332" s="153"/>
      <c r="BQ3332" s="153"/>
      <c r="BR3332" s="153"/>
      <c r="BS3332" s="153"/>
      <c r="BT3332" s="153"/>
      <c r="BU3332" s="153"/>
      <c r="BV3332" s="153"/>
      <c r="BW3332" s="153"/>
      <c r="BX3332" s="153"/>
      <c r="BY3332" s="153"/>
      <c r="BZ3332" s="153"/>
      <c r="CA3332" s="152"/>
      <c r="CB3332" s="152"/>
    </row>
    <row r="3333" spans="1:80" s="87" customFormat="1" x14ac:dyDescent="0.2">
      <c r="A3333" s="152"/>
      <c r="B3333" s="683"/>
      <c r="C3333" s="683"/>
      <c r="D3333" s="698"/>
      <c r="E3333" s="215"/>
      <c r="F3333" s="215"/>
      <c r="G3333" s="153"/>
      <c r="H3333" s="153"/>
      <c r="I3333" s="164">
        <v>22</v>
      </c>
      <c r="J3333" s="163">
        <v>60</v>
      </c>
      <c r="K3333" s="150">
        <v>1</v>
      </c>
      <c r="L3333" s="664">
        <v>22</v>
      </c>
      <c r="M3333" s="663">
        <v>34802</v>
      </c>
      <c r="N3333" s="600">
        <v>4.53003</v>
      </c>
      <c r="O3333" s="604">
        <v>2.2356000000000001E-2</v>
      </c>
      <c r="P3333" s="150"/>
      <c r="Q3333" s="250"/>
      <c r="R3333" s="250">
        <v>0.16899999999999998</v>
      </c>
      <c r="S3333" s="250">
        <v>1.3999999999999999E-2</v>
      </c>
      <c r="T3333" s="250">
        <v>6.5000000000000002E-2</v>
      </c>
      <c r="U3333" s="250">
        <v>0.17600000000000002</v>
      </c>
      <c r="V3333" s="250">
        <v>0.311</v>
      </c>
      <c r="W3333" s="250">
        <v>0.17899999999999999</v>
      </c>
      <c r="X3333" s="250">
        <v>7.8E-2</v>
      </c>
      <c r="Y3333" s="250">
        <v>8.0000000000000002E-3</v>
      </c>
      <c r="Z3333" s="150">
        <v>29</v>
      </c>
      <c r="AA3333" s="150">
        <v>1.69</v>
      </c>
      <c r="AB3333" s="152"/>
      <c r="AC3333" s="152"/>
      <c r="AD3333" s="223">
        <v>16.092911999999998</v>
      </c>
      <c r="AE3333" s="223">
        <v>0.38403540000000003</v>
      </c>
      <c r="AF3333" s="223">
        <v>6.1867403999999997</v>
      </c>
      <c r="AG3333" s="223">
        <v>0.72235229999999995</v>
      </c>
      <c r="AH3333" s="341"/>
      <c r="AI3333" s="218"/>
      <c r="AJ3333" s="218"/>
      <c r="AK3333" s="153"/>
      <c r="AL3333" s="152"/>
      <c r="AM3333" s="152"/>
      <c r="AN3333" s="152"/>
      <c r="AO3333" s="152"/>
      <c r="AP3333" s="152"/>
      <c r="AQ3333" s="152"/>
      <c r="AR3333" s="152"/>
      <c r="AS3333" s="152"/>
      <c r="AT3333" s="152"/>
      <c r="AU3333" s="153"/>
      <c r="AV3333" s="479"/>
      <c r="AW3333" s="479"/>
      <c r="AX3333" s="442"/>
      <c r="AY3333" s="153"/>
      <c r="AZ3333" s="152"/>
      <c r="BA3333" s="152"/>
      <c r="BB3333" s="152"/>
      <c r="BC3333" s="152"/>
      <c r="BD3333" s="152"/>
      <c r="BE3333" s="152"/>
      <c r="BF3333" s="152"/>
      <c r="BG3333" s="152"/>
      <c r="BH3333" s="152"/>
      <c r="BI3333" s="153"/>
      <c r="BJ3333" s="153"/>
      <c r="BK3333" s="153"/>
      <c r="BL3333" s="153"/>
      <c r="BM3333" s="153"/>
      <c r="BN3333" s="153"/>
      <c r="BO3333" s="153"/>
      <c r="BP3333" s="153"/>
      <c r="BQ3333" s="153"/>
      <c r="BR3333" s="153"/>
      <c r="BS3333" s="153"/>
      <c r="BT3333" s="153"/>
      <c r="BU3333" s="153"/>
      <c r="BV3333" s="153"/>
      <c r="BW3333" s="153"/>
      <c r="BX3333" s="153"/>
      <c r="BY3333" s="153"/>
      <c r="BZ3333" s="153"/>
      <c r="CA3333" s="152"/>
      <c r="CB3333" s="152"/>
    </row>
    <row r="3334" spans="1:80" s="87" customFormat="1" x14ac:dyDescent="0.2">
      <c r="A3334" s="152"/>
      <c r="B3334" s="683"/>
      <c r="C3334" s="683"/>
      <c r="D3334" s="698"/>
      <c r="E3334" s="215"/>
      <c r="F3334" s="215"/>
      <c r="G3334" s="153"/>
      <c r="H3334" s="153"/>
      <c r="I3334" s="164">
        <v>22</v>
      </c>
      <c r="J3334" s="163">
        <v>60</v>
      </c>
      <c r="K3334" s="150">
        <v>1</v>
      </c>
      <c r="L3334" s="664">
        <v>22</v>
      </c>
      <c r="M3334" s="663">
        <v>34802</v>
      </c>
      <c r="N3334" s="600">
        <v>4.53003</v>
      </c>
      <c r="O3334" s="604">
        <v>2.8129000000000001E-2</v>
      </c>
      <c r="P3334" s="150"/>
      <c r="Q3334" s="250"/>
      <c r="R3334" s="250">
        <v>0.17600000000000002</v>
      </c>
      <c r="S3334" s="250">
        <v>0.05</v>
      </c>
      <c r="T3334" s="250">
        <v>7.5999999999999998E-2</v>
      </c>
      <c r="U3334" s="250">
        <v>0.18899999999999997</v>
      </c>
      <c r="V3334" s="250">
        <v>0.255</v>
      </c>
      <c r="W3334" s="250">
        <v>0.157</v>
      </c>
      <c r="X3334" s="250">
        <v>8.8000000000000009E-2</v>
      </c>
      <c r="Y3334" s="250">
        <v>9.0000000000000011E-3</v>
      </c>
      <c r="Z3334" s="150">
        <v>29</v>
      </c>
      <c r="AA3334" s="150">
        <v>1.95</v>
      </c>
      <c r="AB3334" s="152"/>
      <c r="AC3334" s="152"/>
      <c r="AD3334" s="223">
        <v>16.092911999999998</v>
      </c>
      <c r="AE3334" s="223">
        <v>0.38403540000000003</v>
      </c>
      <c r="AF3334" s="223">
        <v>6.1867403999999997</v>
      </c>
      <c r="AG3334" s="223">
        <v>0.72235229999999995</v>
      </c>
      <c r="AH3334" s="341"/>
      <c r="AI3334" s="218"/>
      <c r="AJ3334" s="218"/>
      <c r="AK3334" s="153"/>
      <c r="AL3334" s="152"/>
      <c r="AM3334" s="152"/>
      <c r="AN3334" s="152"/>
      <c r="AO3334" s="152"/>
      <c r="AP3334" s="152"/>
      <c r="AQ3334" s="152"/>
      <c r="AR3334" s="152"/>
      <c r="AS3334" s="152"/>
      <c r="AT3334" s="152"/>
      <c r="AU3334" s="153"/>
      <c r="AV3334" s="479"/>
      <c r="AW3334" s="479"/>
      <c r="AX3334" s="442"/>
      <c r="AY3334" s="153"/>
      <c r="AZ3334" s="152"/>
      <c r="BA3334" s="152"/>
      <c r="BB3334" s="152"/>
      <c r="BC3334" s="152"/>
      <c r="BD3334" s="152"/>
      <c r="BE3334" s="152"/>
      <c r="BF3334" s="152"/>
      <c r="BG3334" s="152"/>
      <c r="BH3334" s="152"/>
      <c r="BI3334" s="153"/>
      <c r="BJ3334" s="153"/>
      <c r="BK3334" s="153"/>
      <c r="BL3334" s="153"/>
      <c r="BM3334" s="153"/>
      <c r="BN3334" s="153"/>
      <c r="BO3334" s="153"/>
      <c r="BP3334" s="153"/>
      <c r="BQ3334" s="153"/>
      <c r="BR3334" s="153"/>
      <c r="BS3334" s="153"/>
      <c r="BT3334" s="153"/>
      <c r="BU3334" s="153"/>
      <c r="BV3334" s="153"/>
      <c r="BW3334" s="153"/>
      <c r="BX3334" s="153"/>
      <c r="BY3334" s="153"/>
      <c r="BZ3334" s="153"/>
      <c r="CA3334" s="152"/>
      <c r="CB3334" s="152"/>
    </row>
    <row r="3335" spans="1:80" s="87" customFormat="1" x14ac:dyDescent="0.2">
      <c r="A3335" s="152"/>
      <c r="B3335" s="683"/>
      <c r="C3335" s="683"/>
      <c r="D3335" s="698"/>
      <c r="E3335" s="215"/>
      <c r="F3335" s="215"/>
      <c r="G3335" s="153"/>
      <c r="H3335" s="153"/>
      <c r="I3335" s="164">
        <v>23</v>
      </c>
      <c r="J3335" s="163">
        <v>60</v>
      </c>
      <c r="K3335" s="150">
        <v>1</v>
      </c>
      <c r="L3335" s="664">
        <v>23</v>
      </c>
      <c r="M3335" s="663">
        <v>34809</v>
      </c>
      <c r="N3335" s="600">
        <v>3.42584</v>
      </c>
      <c r="O3335" s="604">
        <v>3.3170000000000001E-3</v>
      </c>
      <c r="P3335" s="150"/>
      <c r="Q3335" s="250"/>
      <c r="R3335" s="250"/>
      <c r="S3335" s="250"/>
      <c r="T3335" s="250">
        <v>2.4E-2</v>
      </c>
      <c r="U3335" s="250">
        <v>0.20100000000000001</v>
      </c>
      <c r="V3335" s="250">
        <v>0.39</v>
      </c>
      <c r="W3335" s="250">
        <v>0.253</v>
      </c>
      <c r="X3335" s="250">
        <v>0.124</v>
      </c>
      <c r="Y3335" s="250">
        <v>8.0000000000000002E-3</v>
      </c>
      <c r="Z3335" s="150">
        <v>5</v>
      </c>
      <c r="AA3335" s="150">
        <v>1.23</v>
      </c>
      <c r="AB3335" s="152"/>
      <c r="AC3335" s="152"/>
      <c r="AD3335" s="223">
        <v>15.605248</v>
      </c>
      <c r="AE3335" s="223">
        <v>0.33831689999999998</v>
      </c>
      <c r="AF3335" s="223">
        <v>5.2856686000000002</v>
      </c>
      <c r="AG3335" s="223">
        <v>0.64310690000000004</v>
      </c>
      <c r="AH3335" s="341"/>
      <c r="AI3335" s="218"/>
      <c r="AJ3335" s="218"/>
      <c r="AK3335" s="153"/>
      <c r="AL3335" s="152"/>
      <c r="AM3335" s="152"/>
      <c r="AN3335" s="152"/>
      <c r="AO3335" s="152"/>
      <c r="AP3335" s="152"/>
      <c r="AQ3335" s="152"/>
      <c r="AR3335" s="152"/>
      <c r="AS3335" s="152"/>
      <c r="AT3335" s="152"/>
      <c r="AU3335" s="153"/>
      <c r="AV3335" s="479"/>
      <c r="AW3335" s="479"/>
      <c r="AX3335" s="442"/>
      <c r="AY3335" s="153"/>
      <c r="AZ3335" s="152"/>
      <c r="BA3335" s="152"/>
      <c r="BB3335" s="152"/>
      <c r="BC3335" s="152"/>
      <c r="BD3335" s="152"/>
      <c r="BE3335" s="152"/>
      <c r="BF3335" s="152"/>
      <c r="BG3335" s="152"/>
      <c r="BH3335" s="152"/>
      <c r="BI3335" s="153"/>
      <c r="BJ3335" s="153"/>
      <c r="BK3335" s="153"/>
      <c r="BL3335" s="153"/>
      <c r="BM3335" s="153"/>
      <c r="BN3335" s="153"/>
      <c r="BO3335" s="153"/>
      <c r="BP3335" s="153"/>
      <c r="BQ3335" s="153"/>
      <c r="BR3335" s="153"/>
      <c r="BS3335" s="153"/>
      <c r="BT3335" s="153"/>
      <c r="BU3335" s="153"/>
      <c r="BV3335" s="153"/>
      <c r="BW3335" s="153"/>
      <c r="BX3335" s="153"/>
      <c r="BY3335" s="153"/>
      <c r="BZ3335" s="153"/>
      <c r="CA3335" s="152"/>
      <c r="CB3335" s="152"/>
    </row>
    <row r="3336" spans="1:80" s="87" customFormat="1" x14ac:dyDescent="0.2">
      <c r="A3336" s="152"/>
      <c r="B3336" s="683"/>
      <c r="C3336" s="683"/>
      <c r="D3336" s="698"/>
      <c r="E3336" s="215"/>
      <c r="F3336" s="215"/>
      <c r="G3336" s="153"/>
      <c r="H3336" s="153"/>
      <c r="I3336" s="164">
        <v>23</v>
      </c>
      <c r="J3336" s="163">
        <v>60</v>
      </c>
      <c r="K3336" s="150">
        <v>1</v>
      </c>
      <c r="L3336" s="664">
        <v>23</v>
      </c>
      <c r="M3336" s="663">
        <v>34809</v>
      </c>
      <c r="N3336" s="600">
        <v>3.42584</v>
      </c>
      <c r="O3336" s="604">
        <v>1.438E-3</v>
      </c>
      <c r="P3336" s="150"/>
      <c r="Q3336" s="250"/>
      <c r="R3336" s="250"/>
      <c r="S3336" s="250"/>
      <c r="T3336" s="250">
        <v>3.7000000000000005E-2</v>
      </c>
      <c r="U3336" s="250">
        <v>0.17300000000000001</v>
      </c>
      <c r="V3336" s="250">
        <v>0.3</v>
      </c>
      <c r="W3336" s="250">
        <v>0.309</v>
      </c>
      <c r="X3336" s="250">
        <v>0.16399999999999998</v>
      </c>
      <c r="Y3336" s="250">
        <v>1.7000000000000001E-2</v>
      </c>
      <c r="Z3336" s="150">
        <v>5</v>
      </c>
      <c r="AA3336" s="150">
        <v>1.02</v>
      </c>
      <c r="AB3336" s="152"/>
      <c r="AC3336" s="152"/>
      <c r="AD3336" s="223">
        <v>15.605248</v>
      </c>
      <c r="AE3336" s="223">
        <v>0.33831689999999998</v>
      </c>
      <c r="AF3336" s="223">
        <v>5.2856686000000002</v>
      </c>
      <c r="AG3336" s="223">
        <v>0.64310690000000004</v>
      </c>
      <c r="AH3336" s="341"/>
      <c r="AI3336" s="218"/>
      <c r="AJ3336" s="218"/>
      <c r="AK3336" s="153"/>
      <c r="AL3336" s="152"/>
      <c r="AM3336" s="152"/>
      <c r="AN3336" s="152"/>
      <c r="AO3336" s="152"/>
      <c r="AP3336" s="152"/>
      <c r="AQ3336" s="152"/>
      <c r="AR3336" s="152"/>
      <c r="AS3336" s="152"/>
      <c r="AT3336" s="152"/>
      <c r="AU3336" s="153"/>
      <c r="AV3336" s="479"/>
      <c r="AW3336" s="479"/>
      <c r="AX3336" s="442"/>
      <c r="AY3336" s="153"/>
      <c r="AZ3336" s="152"/>
      <c r="BA3336" s="152"/>
      <c r="BB3336" s="152"/>
      <c r="BC3336" s="152"/>
      <c r="BD3336" s="152"/>
      <c r="BE3336" s="152"/>
      <c r="BF3336" s="152"/>
      <c r="BG3336" s="152"/>
      <c r="BH3336" s="152"/>
      <c r="BI3336" s="153"/>
      <c r="BJ3336" s="153"/>
      <c r="BK3336" s="153"/>
      <c r="BL3336" s="153"/>
      <c r="BM3336" s="153"/>
      <c r="BN3336" s="153"/>
      <c r="BO3336" s="153"/>
      <c r="BP3336" s="153"/>
      <c r="BQ3336" s="153"/>
      <c r="BR3336" s="153"/>
      <c r="BS3336" s="153"/>
      <c r="BT3336" s="153"/>
      <c r="BU3336" s="153"/>
      <c r="BV3336" s="153"/>
      <c r="BW3336" s="153"/>
      <c r="BX3336" s="153"/>
      <c r="BY3336" s="153"/>
      <c r="BZ3336" s="153"/>
      <c r="CA3336" s="152"/>
      <c r="CB3336" s="152"/>
    </row>
    <row r="3337" spans="1:80" s="87" customFormat="1" x14ac:dyDescent="0.2">
      <c r="A3337" s="152"/>
      <c r="B3337" s="683"/>
      <c r="C3337" s="683"/>
      <c r="D3337" s="698"/>
      <c r="E3337" s="215"/>
      <c r="F3337" s="215"/>
      <c r="G3337" s="153"/>
      <c r="H3337" s="153"/>
      <c r="I3337" s="164">
        <v>23</v>
      </c>
      <c r="J3337" s="163">
        <v>60</v>
      </c>
      <c r="K3337" s="150">
        <v>1</v>
      </c>
      <c r="L3337" s="664">
        <v>23</v>
      </c>
      <c r="M3337" s="663">
        <v>34815</v>
      </c>
      <c r="N3337" s="600">
        <v>3.3409</v>
      </c>
      <c r="O3337" s="604">
        <v>1.5740000000000001E-3</v>
      </c>
      <c r="P3337" s="150"/>
      <c r="Q3337" s="250"/>
      <c r="R3337" s="250"/>
      <c r="S3337" s="250"/>
      <c r="T3337" s="250">
        <v>0.18600000000000003</v>
      </c>
      <c r="U3337" s="250">
        <v>0.16800000000000001</v>
      </c>
      <c r="V3337" s="250">
        <v>0.25600000000000001</v>
      </c>
      <c r="W3337" s="250">
        <v>0.248</v>
      </c>
      <c r="X3337" s="250">
        <v>0.14099999999999999</v>
      </c>
      <c r="Y3337" s="250">
        <v>1E-3</v>
      </c>
      <c r="Z3337" s="150">
        <v>8</v>
      </c>
      <c r="AA3337" s="150">
        <v>1.35</v>
      </c>
      <c r="AB3337" s="152"/>
      <c r="AC3337" s="152"/>
      <c r="AD3337" s="223">
        <v>15.605248</v>
      </c>
      <c r="AE3337" s="223">
        <v>0.34136480000000002</v>
      </c>
      <c r="AF3337" s="223">
        <v>5.3042474000000004</v>
      </c>
      <c r="AG3337" s="223">
        <v>0.64615480000000003</v>
      </c>
      <c r="AH3337" s="341"/>
      <c r="AI3337" s="218"/>
      <c r="AJ3337" s="218"/>
      <c r="AK3337" s="153"/>
      <c r="AL3337" s="152"/>
      <c r="AM3337" s="152"/>
      <c r="AN3337" s="152"/>
      <c r="AO3337" s="152"/>
      <c r="AP3337" s="152"/>
      <c r="AQ3337" s="152"/>
      <c r="AR3337" s="152"/>
      <c r="AS3337" s="152"/>
      <c r="AT3337" s="152"/>
      <c r="AU3337" s="153"/>
      <c r="AV3337" s="479"/>
      <c r="AW3337" s="479"/>
      <c r="AX3337" s="442"/>
      <c r="AY3337" s="153"/>
      <c r="AZ3337" s="152"/>
      <c r="BA3337" s="152"/>
      <c r="BB3337" s="152"/>
      <c r="BC3337" s="152"/>
      <c r="BD3337" s="152"/>
      <c r="BE3337" s="152"/>
      <c r="BF3337" s="152"/>
      <c r="BG3337" s="152"/>
      <c r="BH3337" s="152"/>
      <c r="BI3337" s="153"/>
      <c r="BJ3337" s="153"/>
      <c r="BK3337" s="153"/>
      <c r="BL3337" s="153"/>
      <c r="BM3337" s="153"/>
      <c r="BN3337" s="153"/>
      <c r="BO3337" s="153"/>
      <c r="BP3337" s="153"/>
      <c r="BQ3337" s="153"/>
      <c r="BR3337" s="153"/>
      <c r="BS3337" s="153"/>
      <c r="BT3337" s="153"/>
      <c r="BU3337" s="153"/>
      <c r="BV3337" s="153"/>
      <c r="BW3337" s="153"/>
      <c r="BX3337" s="153"/>
      <c r="BY3337" s="153"/>
      <c r="BZ3337" s="153"/>
      <c r="CA3337" s="152"/>
      <c r="CB3337" s="152"/>
    </row>
    <row r="3338" spans="1:80" s="87" customFormat="1" x14ac:dyDescent="0.2">
      <c r="A3338" s="152"/>
      <c r="B3338" s="683"/>
      <c r="C3338" s="683"/>
      <c r="D3338" s="698"/>
      <c r="E3338" s="215"/>
      <c r="F3338" s="215"/>
      <c r="G3338" s="153"/>
      <c r="H3338" s="153"/>
      <c r="I3338" s="164">
        <v>23</v>
      </c>
      <c r="J3338" s="163">
        <v>60</v>
      </c>
      <c r="K3338" s="150">
        <v>1</v>
      </c>
      <c r="L3338" s="664">
        <v>23</v>
      </c>
      <c r="M3338" s="663">
        <v>34815</v>
      </c>
      <c r="N3338" s="600">
        <v>3.3409</v>
      </c>
      <c r="O3338" s="604">
        <v>6.339E-3</v>
      </c>
      <c r="P3338" s="150"/>
      <c r="Q3338" s="250"/>
      <c r="R3338" s="250"/>
      <c r="S3338" s="250">
        <v>3.4000000000000002E-2</v>
      </c>
      <c r="T3338" s="250">
        <v>5.9000000000000004E-2</v>
      </c>
      <c r="U3338" s="250">
        <v>0.183</v>
      </c>
      <c r="V3338" s="250">
        <v>0.36399999999999999</v>
      </c>
      <c r="W3338" s="250">
        <v>0.26200000000000001</v>
      </c>
      <c r="X3338" s="250">
        <v>9.4E-2</v>
      </c>
      <c r="Y3338" s="250">
        <v>4.0000000000000001E-3</v>
      </c>
      <c r="Z3338" s="150">
        <v>8</v>
      </c>
      <c r="AA3338" s="150">
        <v>1.31</v>
      </c>
      <c r="AB3338" s="152"/>
      <c r="AC3338" s="152"/>
      <c r="AD3338" s="223">
        <v>15.605248</v>
      </c>
      <c r="AE3338" s="223">
        <v>0.34136480000000002</v>
      </c>
      <c r="AF3338" s="223">
        <v>5.3042474000000004</v>
      </c>
      <c r="AG3338" s="223">
        <v>0.64615480000000003</v>
      </c>
      <c r="AH3338" s="341"/>
      <c r="AI3338" s="218"/>
      <c r="AJ3338" s="218"/>
      <c r="AK3338" s="153"/>
      <c r="AL3338" s="152"/>
      <c r="AM3338" s="152"/>
      <c r="AN3338" s="152"/>
      <c r="AO3338" s="152"/>
      <c r="AP3338" s="152"/>
      <c r="AQ3338" s="152"/>
      <c r="AR3338" s="152"/>
      <c r="AS3338" s="152"/>
      <c r="AT3338" s="152"/>
      <c r="AU3338" s="153"/>
      <c r="AV3338" s="479"/>
      <c r="AW3338" s="479"/>
      <c r="AX3338" s="442"/>
      <c r="AY3338" s="153"/>
      <c r="AZ3338" s="152"/>
      <c r="BA3338" s="152"/>
      <c r="BB3338" s="152"/>
      <c r="BC3338" s="152"/>
      <c r="BD3338" s="152"/>
      <c r="BE3338" s="152"/>
      <c r="BF3338" s="152"/>
      <c r="BG3338" s="152"/>
      <c r="BH3338" s="152"/>
      <c r="BI3338" s="153"/>
      <c r="BJ3338" s="153"/>
      <c r="BK3338" s="153"/>
      <c r="BL3338" s="153"/>
      <c r="BM3338" s="153"/>
      <c r="BN3338" s="153"/>
      <c r="BO3338" s="153"/>
      <c r="BP3338" s="153"/>
      <c r="BQ3338" s="153"/>
      <c r="BR3338" s="153"/>
      <c r="BS3338" s="153"/>
      <c r="BT3338" s="153"/>
      <c r="BU3338" s="153"/>
      <c r="BV3338" s="153"/>
      <c r="BW3338" s="153"/>
      <c r="BX3338" s="153"/>
      <c r="BY3338" s="153"/>
      <c r="BZ3338" s="153"/>
      <c r="CA3338" s="152"/>
      <c r="CB3338" s="152"/>
    </row>
    <row r="3339" spans="1:80" s="87" customFormat="1" x14ac:dyDescent="0.2">
      <c r="A3339" s="152"/>
      <c r="B3339" s="683"/>
      <c r="C3339" s="683"/>
      <c r="D3339" s="698"/>
      <c r="E3339" s="215"/>
      <c r="F3339" s="215"/>
      <c r="G3339" s="153"/>
      <c r="H3339" s="153"/>
      <c r="I3339" s="164">
        <v>24</v>
      </c>
      <c r="J3339" s="163">
        <v>60</v>
      </c>
      <c r="K3339" s="150">
        <v>1</v>
      </c>
      <c r="L3339" s="664">
        <v>24</v>
      </c>
      <c r="M3339" s="663">
        <v>34831</v>
      </c>
      <c r="N3339" s="600">
        <v>10.560600000000001</v>
      </c>
      <c r="O3339" s="604">
        <v>1.6583000000000001E-2</v>
      </c>
      <c r="P3339" s="150"/>
      <c r="Q3339" s="250"/>
      <c r="R3339" s="250">
        <v>7.4999999999999997E-2</v>
      </c>
      <c r="S3339" s="250">
        <v>2.7000000000000003E-2</v>
      </c>
      <c r="T3339" s="250">
        <v>6.9000000000000006E-2</v>
      </c>
      <c r="U3339" s="250">
        <v>0.09</v>
      </c>
      <c r="V3339" s="250">
        <v>0.19699999999999998</v>
      </c>
      <c r="W3339" s="250">
        <v>0.254</v>
      </c>
      <c r="X3339" s="250">
        <v>0.27600000000000002</v>
      </c>
      <c r="Y3339" s="250">
        <v>1.2E-2</v>
      </c>
      <c r="Z3339" s="150">
        <v>20</v>
      </c>
      <c r="AA3339" s="150">
        <v>0.89</v>
      </c>
      <c r="AB3339" s="152"/>
      <c r="AC3339" s="152"/>
      <c r="AD3339" s="223">
        <v>18.043568</v>
      </c>
      <c r="AE3339" s="223">
        <v>0.49071189999999998</v>
      </c>
      <c r="AF3339" s="223">
        <v>8.8527982000000005</v>
      </c>
      <c r="AG3339" s="223">
        <v>1.1856331</v>
      </c>
      <c r="AH3339" s="341"/>
      <c r="AI3339" s="218"/>
      <c r="AJ3339" s="218"/>
      <c r="AK3339" s="153"/>
      <c r="AL3339" s="152"/>
      <c r="AM3339" s="152"/>
      <c r="AN3339" s="152"/>
      <c r="AO3339" s="152"/>
      <c r="AP3339" s="152"/>
      <c r="AQ3339" s="152"/>
      <c r="AR3339" s="152"/>
      <c r="AS3339" s="152"/>
      <c r="AT3339" s="152"/>
      <c r="AU3339" s="153"/>
      <c r="AV3339" s="479"/>
      <c r="AW3339" s="479"/>
      <c r="AX3339" s="442"/>
      <c r="AY3339" s="153"/>
      <c r="AZ3339" s="152"/>
      <c r="BA3339" s="152"/>
      <c r="BB3339" s="152"/>
      <c r="BC3339" s="152"/>
      <c r="BD3339" s="152"/>
      <c r="BE3339" s="152"/>
      <c r="BF3339" s="152"/>
      <c r="BG3339" s="152"/>
      <c r="BH3339" s="152"/>
      <c r="BI3339" s="153"/>
      <c r="BJ3339" s="153"/>
      <c r="BK3339" s="153"/>
      <c r="BL3339" s="153"/>
      <c r="BM3339" s="153"/>
      <c r="BN3339" s="153"/>
      <c r="BO3339" s="153"/>
      <c r="BP3339" s="153"/>
      <c r="BQ3339" s="153"/>
      <c r="BR3339" s="153"/>
      <c r="BS3339" s="153"/>
      <c r="BT3339" s="153"/>
      <c r="BU3339" s="153"/>
      <c r="BV3339" s="153"/>
      <c r="BW3339" s="153"/>
      <c r="BX3339" s="153"/>
      <c r="BY3339" s="153"/>
      <c r="BZ3339" s="153"/>
      <c r="CA3339" s="152"/>
      <c r="CB3339" s="152"/>
    </row>
    <row r="3340" spans="1:80" s="87" customFormat="1" x14ac:dyDescent="0.2">
      <c r="A3340" s="152"/>
      <c r="B3340" s="683"/>
      <c r="C3340" s="683"/>
      <c r="D3340" s="698"/>
      <c r="E3340" s="215"/>
      <c r="F3340" s="215"/>
      <c r="G3340" s="153"/>
      <c r="H3340" s="153"/>
      <c r="I3340" s="164">
        <v>24</v>
      </c>
      <c r="J3340" s="163">
        <v>60</v>
      </c>
      <c r="K3340" s="150">
        <v>1</v>
      </c>
      <c r="L3340" s="664">
        <v>24</v>
      </c>
      <c r="M3340" s="663">
        <v>34831</v>
      </c>
      <c r="N3340" s="600">
        <v>10.560600000000001</v>
      </c>
      <c r="O3340" s="604">
        <v>1.3225000000000001E-2</v>
      </c>
      <c r="P3340" s="150"/>
      <c r="Q3340" s="250"/>
      <c r="R3340" s="250"/>
      <c r="S3340" s="250">
        <v>0.17100000000000001</v>
      </c>
      <c r="T3340" s="250">
        <v>7.400000000000001E-2</v>
      </c>
      <c r="U3340" s="250">
        <v>8.5000000000000006E-2</v>
      </c>
      <c r="V3340" s="250">
        <v>0.19800000000000001</v>
      </c>
      <c r="W3340" s="250">
        <v>0.22600000000000001</v>
      </c>
      <c r="X3340" s="250">
        <v>0.23100000000000001</v>
      </c>
      <c r="Y3340" s="250">
        <v>1.4999999999999999E-2</v>
      </c>
      <c r="Z3340" s="150">
        <v>20</v>
      </c>
      <c r="AA3340" s="150">
        <v>1.1000000000000001</v>
      </c>
      <c r="AB3340" s="152"/>
      <c r="AC3340" s="152"/>
      <c r="AD3340" s="223">
        <v>18.043568</v>
      </c>
      <c r="AE3340" s="223">
        <v>0.49071189999999998</v>
      </c>
      <c r="AF3340" s="223">
        <v>8.8527982000000005</v>
      </c>
      <c r="AG3340" s="223">
        <v>1.1856331</v>
      </c>
      <c r="AH3340" s="341"/>
      <c r="AI3340" s="218"/>
      <c r="AJ3340" s="218"/>
      <c r="AK3340" s="153"/>
      <c r="AL3340" s="152"/>
      <c r="AM3340" s="152"/>
      <c r="AN3340" s="152"/>
      <c r="AO3340" s="152"/>
      <c r="AP3340" s="152"/>
      <c r="AQ3340" s="152"/>
      <c r="AR3340" s="152"/>
      <c r="AS3340" s="152"/>
      <c r="AT3340" s="152"/>
      <c r="AU3340" s="153"/>
      <c r="AV3340" s="479"/>
      <c r="AW3340" s="479"/>
      <c r="AX3340" s="442"/>
      <c r="AY3340" s="153"/>
      <c r="AZ3340" s="152"/>
      <c r="BA3340" s="152"/>
      <c r="BB3340" s="152"/>
      <c r="BC3340" s="152"/>
      <c r="BD3340" s="152"/>
      <c r="BE3340" s="152"/>
      <c r="BF3340" s="152"/>
      <c r="BG3340" s="152"/>
      <c r="BH3340" s="152"/>
      <c r="BI3340" s="153"/>
      <c r="BJ3340" s="153"/>
      <c r="BK3340" s="153"/>
      <c r="BL3340" s="153"/>
      <c r="BM3340" s="153"/>
      <c r="BN3340" s="153"/>
      <c r="BO3340" s="153"/>
      <c r="BP3340" s="153"/>
      <c r="BQ3340" s="153"/>
      <c r="BR3340" s="153"/>
      <c r="BS3340" s="153"/>
      <c r="BT3340" s="153"/>
      <c r="BU3340" s="153"/>
      <c r="BV3340" s="153"/>
      <c r="BW3340" s="153"/>
      <c r="BX3340" s="153"/>
      <c r="BY3340" s="153"/>
      <c r="BZ3340" s="153"/>
      <c r="CA3340" s="152"/>
      <c r="CB3340" s="152"/>
    </row>
    <row r="3341" spans="1:80" s="87" customFormat="1" x14ac:dyDescent="0.2">
      <c r="A3341" s="152"/>
      <c r="B3341" s="683"/>
      <c r="C3341" s="683"/>
      <c r="D3341" s="698"/>
      <c r="E3341" s="215"/>
      <c r="F3341" s="215"/>
      <c r="G3341" s="153"/>
      <c r="H3341" s="153"/>
      <c r="I3341" s="164">
        <v>23</v>
      </c>
      <c r="J3341" s="163">
        <v>60</v>
      </c>
      <c r="K3341" s="150">
        <v>1</v>
      </c>
      <c r="L3341" s="664">
        <v>23</v>
      </c>
      <c r="M3341" s="663">
        <v>34834</v>
      </c>
      <c r="N3341" s="600">
        <v>9.7961899999999993</v>
      </c>
      <c r="O3341" s="604">
        <v>1.3749000000000001E-2</v>
      </c>
      <c r="P3341" s="150"/>
      <c r="Q3341" s="250"/>
      <c r="R3341" s="250"/>
      <c r="S3341" s="250">
        <v>0.18</v>
      </c>
      <c r="T3341" s="250">
        <v>5.4000000000000006E-2</v>
      </c>
      <c r="U3341" s="250">
        <v>0.109</v>
      </c>
      <c r="V3341" s="250">
        <v>0.22899999999999998</v>
      </c>
      <c r="W3341" s="250">
        <v>0.249</v>
      </c>
      <c r="X3341" s="250">
        <v>0.17199999999999999</v>
      </c>
      <c r="Y3341" s="250">
        <v>6.9999999999999993E-3</v>
      </c>
      <c r="Z3341" s="150">
        <v>16</v>
      </c>
      <c r="AA3341" s="150">
        <v>1.24</v>
      </c>
      <c r="AB3341" s="152"/>
      <c r="AC3341" s="152"/>
      <c r="AD3341" s="223">
        <v>18.104526</v>
      </c>
      <c r="AE3341" s="223">
        <v>0.45718500000000001</v>
      </c>
      <c r="AF3341" s="223">
        <v>8.2954342000000008</v>
      </c>
      <c r="AG3341" s="223">
        <v>1.1795373</v>
      </c>
      <c r="AH3341" s="341"/>
      <c r="AI3341" s="218"/>
      <c r="AJ3341" s="218"/>
      <c r="AK3341" s="153"/>
      <c r="AL3341" s="152"/>
      <c r="AM3341" s="152"/>
      <c r="AN3341" s="152"/>
      <c r="AO3341" s="152"/>
      <c r="AP3341" s="152"/>
      <c r="AQ3341" s="152"/>
      <c r="AR3341" s="152"/>
      <c r="AS3341" s="152"/>
      <c r="AT3341" s="152"/>
      <c r="AU3341" s="153"/>
      <c r="AV3341" s="479"/>
      <c r="AW3341" s="479"/>
      <c r="AX3341" s="442"/>
      <c r="AY3341" s="153"/>
      <c r="AZ3341" s="152"/>
      <c r="BA3341" s="152"/>
      <c r="BB3341" s="152"/>
      <c r="BC3341" s="152"/>
      <c r="BD3341" s="152"/>
      <c r="BE3341" s="152"/>
      <c r="BF3341" s="152"/>
      <c r="BG3341" s="152"/>
      <c r="BH3341" s="152"/>
      <c r="BI3341" s="153"/>
      <c r="BJ3341" s="153"/>
      <c r="BK3341" s="153"/>
      <c r="BL3341" s="153"/>
      <c r="BM3341" s="153"/>
      <c r="BN3341" s="153"/>
      <c r="BO3341" s="153"/>
      <c r="BP3341" s="153"/>
      <c r="BQ3341" s="153"/>
      <c r="BR3341" s="153"/>
      <c r="BS3341" s="153"/>
      <c r="BT3341" s="153"/>
      <c r="BU3341" s="153"/>
      <c r="BV3341" s="153"/>
      <c r="BW3341" s="153"/>
      <c r="BX3341" s="153"/>
      <c r="BY3341" s="153"/>
      <c r="BZ3341" s="153"/>
      <c r="CA3341" s="152"/>
      <c r="CB3341" s="152"/>
    </row>
    <row r="3342" spans="1:80" s="87" customFormat="1" x14ac:dyDescent="0.2">
      <c r="A3342" s="152"/>
      <c r="B3342" s="683"/>
      <c r="C3342" s="683"/>
      <c r="D3342" s="698"/>
      <c r="E3342" s="215"/>
      <c r="F3342" s="215"/>
      <c r="G3342" s="153"/>
      <c r="H3342" s="153"/>
      <c r="I3342" s="164">
        <v>23</v>
      </c>
      <c r="J3342" s="163">
        <v>60</v>
      </c>
      <c r="K3342" s="150">
        <v>1</v>
      </c>
      <c r="L3342" s="664">
        <v>23</v>
      </c>
      <c r="M3342" s="663">
        <v>34834</v>
      </c>
      <c r="N3342" s="600">
        <v>9.7961899999999993</v>
      </c>
      <c r="O3342" s="604">
        <v>4.9220000000000002E-3</v>
      </c>
      <c r="P3342" s="150"/>
      <c r="Q3342" s="250"/>
      <c r="R3342" s="250"/>
      <c r="S3342" s="250"/>
      <c r="T3342" s="250">
        <v>0.13</v>
      </c>
      <c r="U3342" s="250">
        <v>0.159</v>
      </c>
      <c r="V3342" s="250">
        <v>0.26600000000000001</v>
      </c>
      <c r="W3342" s="250">
        <v>0.247</v>
      </c>
      <c r="X3342" s="250">
        <v>0.187</v>
      </c>
      <c r="Y3342" s="250">
        <v>1.1000000000000001E-2</v>
      </c>
      <c r="Z3342" s="150">
        <v>16</v>
      </c>
      <c r="AA3342" s="150">
        <v>1.1499999999999999</v>
      </c>
      <c r="AB3342" s="152"/>
      <c r="AC3342" s="152"/>
      <c r="AD3342" s="223">
        <v>18.104526</v>
      </c>
      <c r="AE3342" s="223">
        <v>0.45718500000000001</v>
      </c>
      <c r="AF3342" s="223">
        <v>8.2954342000000008</v>
      </c>
      <c r="AG3342" s="223">
        <v>1.1795373</v>
      </c>
      <c r="AH3342" s="341"/>
      <c r="AI3342" s="218"/>
      <c r="AJ3342" s="218"/>
      <c r="AK3342" s="153"/>
      <c r="AL3342" s="152"/>
      <c r="AM3342" s="152"/>
      <c r="AN3342" s="152"/>
      <c r="AO3342" s="152"/>
      <c r="AP3342" s="152"/>
      <c r="AQ3342" s="152"/>
      <c r="AR3342" s="152"/>
      <c r="AS3342" s="152"/>
      <c r="AT3342" s="152"/>
      <c r="AU3342" s="153"/>
      <c r="AV3342" s="479"/>
      <c r="AW3342" s="479"/>
      <c r="AX3342" s="442"/>
      <c r="AY3342" s="153"/>
      <c r="AZ3342" s="152"/>
      <c r="BA3342" s="152"/>
      <c r="BB3342" s="152"/>
      <c r="BC3342" s="152"/>
      <c r="BD3342" s="152"/>
      <c r="BE3342" s="152"/>
      <c r="BF3342" s="152"/>
      <c r="BG3342" s="152"/>
      <c r="BH3342" s="152"/>
      <c r="BI3342" s="153"/>
      <c r="BJ3342" s="153"/>
      <c r="BK3342" s="153"/>
      <c r="BL3342" s="153"/>
      <c r="BM3342" s="153"/>
      <c r="BN3342" s="153"/>
      <c r="BO3342" s="153"/>
      <c r="BP3342" s="153"/>
      <c r="BQ3342" s="153"/>
      <c r="BR3342" s="153"/>
      <c r="BS3342" s="153"/>
      <c r="BT3342" s="153"/>
      <c r="BU3342" s="153"/>
      <c r="BV3342" s="153"/>
      <c r="BW3342" s="153"/>
      <c r="BX3342" s="153"/>
      <c r="BY3342" s="153"/>
      <c r="BZ3342" s="153"/>
      <c r="CA3342" s="152"/>
      <c r="CB3342" s="152"/>
    </row>
    <row r="3343" spans="1:80" s="87" customFormat="1" x14ac:dyDescent="0.2">
      <c r="A3343" s="152"/>
      <c r="B3343" s="683"/>
      <c r="C3343" s="683"/>
      <c r="D3343" s="698"/>
      <c r="E3343" s="215"/>
      <c r="F3343" s="215"/>
      <c r="G3343" s="153"/>
      <c r="H3343" s="153"/>
      <c r="I3343" s="164">
        <v>25</v>
      </c>
      <c r="J3343" s="163">
        <v>60</v>
      </c>
      <c r="K3343" s="150">
        <v>1</v>
      </c>
      <c r="L3343" s="664">
        <v>25</v>
      </c>
      <c r="M3343" s="663">
        <v>34844</v>
      </c>
      <c r="N3343" s="600">
        <v>14.9208</v>
      </c>
      <c r="O3343" s="604">
        <v>0.123849</v>
      </c>
      <c r="P3343" s="150"/>
      <c r="Q3343" s="250"/>
      <c r="R3343" s="250">
        <v>0.03</v>
      </c>
      <c r="S3343" s="250">
        <v>6.7000000000000004E-2</v>
      </c>
      <c r="T3343" s="250">
        <v>0.14800000000000002</v>
      </c>
      <c r="U3343" s="250">
        <v>0.17699999999999999</v>
      </c>
      <c r="V3343" s="250">
        <v>0.22</v>
      </c>
      <c r="W3343" s="250">
        <v>0.17899999999999999</v>
      </c>
      <c r="X3343" s="250">
        <v>0.16500000000000001</v>
      </c>
      <c r="Y3343" s="250">
        <v>1.3999999999999999E-2</v>
      </c>
      <c r="Z3343" s="150">
        <v>22</v>
      </c>
      <c r="AA3343" s="150">
        <v>1.56</v>
      </c>
      <c r="AB3343" s="152"/>
      <c r="AC3343" s="152"/>
      <c r="AD3343" s="223">
        <v>18.866501</v>
      </c>
      <c r="AE3343" s="223">
        <v>0.56690940000000001</v>
      </c>
      <c r="AF3343" s="223">
        <v>10.68281</v>
      </c>
      <c r="AG3343" s="223">
        <v>1.4203214</v>
      </c>
      <c r="AH3343" s="341"/>
      <c r="AI3343" s="218"/>
      <c r="AJ3343" s="218"/>
      <c r="AK3343" s="153"/>
      <c r="AL3343" s="152"/>
      <c r="AM3343" s="152"/>
      <c r="AN3343" s="152"/>
      <c r="AO3343" s="152"/>
      <c r="AP3343" s="152"/>
      <c r="AQ3343" s="152"/>
      <c r="AR3343" s="152"/>
      <c r="AS3343" s="152"/>
      <c r="AT3343" s="152"/>
      <c r="AU3343" s="153"/>
      <c r="AV3343" s="479"/>
      <c r="AW3343" s="479"/>
      <c r="AX3343" s="442"/>
      <c r="AY3343" s="153"/>
      <c r="AZ3343" s="152"/>
      <c r="BA3343" s="152"/>
      <c r="BB3343" s="152"/>
      <c r="BC3343" s="152"/>
      <c r="BD3343" s="152"/>
      <c r="BE3343" s="152"/>
      <c r="BF3343" s="152"/>
      <c r="BG3343" s="152"/>
      <c r="BH3343" s="152"/>
      <c r="BI3343" s="153"/>
      <c r="BJ3343" s="153"/>
      <c r="BK3343" s="153"/>
      <c r="BL3343" s="153"/>
      <c r="BM3343" s="153"/>
      <c r="BN3343" s="153"/>
      <c r="BO3343" s="153"/>
      <c r="BP3343" s="153"/>
      <c r="BQ3343" s="153"/>
      <c r="BR3343" s="153"/>
      <c r="BS3343" s="153"/>
      <c r="BT3343" s="153"/>
      <c r="BU3343" s="153"/>
      <c r="BV3343" s="153"/>
      <c r="BW3343" s="153"/>
      <c r="BX3343" s="153"/>
      <c r="BY3343" s="153"/>
      <c r="BZ3343" s="153"/>
      <c r="CA3343" s="152"/>
      <c r="CB3343" s="152"/>
    </row>
    <row r="3344" spans="1:80" s="87" customFormat="1" x14ac:dyDescent="0.2">
      <c r="A3344" s="152"/>
      <c r="B3344" s="683"/>
      <c r="C3344" s="683"/>
      <c r="D3344" s="698"/>
      <c r="E3344" s="215"/>
      <c r="F3344" s="215"/>
      <c r="G3344" s="153"/>
      <c r="H3344" s="153"/>
      <c r="I3344" s="164">
        <v>25</v>
      </c>
      <c r="J3344" s="163">
        <v>60</v>
      </c>
      <c r="K3344" s="150">
        <v>1</v>
      </c>
      <c r="L3344" s="664">
        <v>25</v>
      </c>
      <c r="M3344" s="663">
        <v>34844</v>
      </c>
      <c r="N3344" s="600">
        <v>14.9208</v>
      </c>
      <c r="O3344" s="604">
        <v>5.4788000000000003E-2</v>
      </c>
      <c r="P3344" s="150"/>
      <c r="Q3344" s="250"/>
      <c r="R3344" s="250">
        <v>0.14099999999999999</v>
      </c>
      <c r="S3344" s="250">
        <v>9.6000000000000002E-2</v>
      </c>
      <c r="T3344" s="250">
        <v>8.199999999999999E-2</v>
      </c>
      <c r="U3344" s="250">
        <v>0.10300000000000001</v>
      </c>
      <c r="V3344" s="250">
        <v>0.19</v>
      </c>
      <c r="W3344" s="250">
        <v>0.21</v>
      </c>
      <c r="X3344" s="250">
        <v>0.16800000000000001</v>
      </c>
      <c r="Y3344" s="250">
        <v>0.01</v>
      </c>
      <c r="Z3344" s="150">
        <v>22</v>
      </c>
      <c r="AA3344" s="150">
        <v>1.5</v>
      </c>
      <c r="AB3344" s="152"/>
      <c r="AC3344" s="152"/>
      <c r="AD3344" s="223">
        <v>18.866501</v>
      </c>
      <c r="AE3344" s="223">
        <v>0.56690940000000001</v>
      </c>
      <c r="AF3344" s="223">
        <v>10.68281</v>
      </c>
      <c r="AG3344" s="223">
        <v>1.4203214</v>
      </c>
      <c r="AH3344" s="341"/>
      <c r="AI3344" s="218"/>
      <c r="AJ3344" s="218"/>
      <c r="AK3344" s="153"/>
      <c r="AL3344" s="152"/>
      <c r="AM3344" s="152"/>
      <c r="AN3344" s="152"/>
      <c r="AO3344" s="152"/>
      <c r="AP3344" s="152"/>
      <c r="AQ3344" s="152"/>
      <c r="AR3344" s="152"/>
      <c r="AS3344" s="152"/>
      <c r="AT3344" s="152"/>
      <c r="AU3344" s="153"/>
      <c r="AV3344" s="479"/>
      <c r="AW3344" s="479"/>
      <c r="AX3344" s="442"/>
      <c r="AY3344" s="153"/>
      <c r="AZ3344" s="152"/>
      <c r="BA3344" s="152"/>
      <c r="BB3344" s="152"/>
      <c r="BC3344" s="152"/>
      <c r="BD3344" s="152"/>
      <c r="BE3344" s="152"/>
      <c r="BF3344" s="152"/>
      <c r="BG3344" s="152"/>
      <c r="BH3344" s="152"/>
      <c r="BI3344" s="153"/>
      <c r="BJ3344" s="153"/>
      <c r="BK3344" s="153"/>
      <c r="BL3344" s="153"/>
      <c r="BM3344" s="153"/>
      <c r="BN3344" s="153"/>
      <c r="BO3344" s="153"/>
      <c r="BP3344" s="153"/>
      <c r="BQ3344" s="153"/>
      <c r="BR3344" s="153"/>
      <c r="BS3344" s="153"/>
      <c r="BT3344" s="153"/>
      <c r="BU3344" s="153"/>
      <c r="BV3344" s="153"/>
      <c r="BW3344" s="153"/>
      <c r="BX3344" s="153"/>
      <c r="BY3344" s="153"/>
      <c r="BZ3344" s="153"/>
      <c r="CA3344" s="152"/>
      <c r="CB3344" s="152"/>
    </row>
    <row r="3345" spans="1:80" s="87" customFormat="1" x14ac:dyDescent="0.2">
      <c r="A3345" s="152"/>
      <c r="B3345" s="683"/>
      <c r="C3345" s="683"/>
      <c r="D3345" s="698"/>
      <c r="E3345" s="215"/>
      <c r="F3345" s="215"/>
      <c r="G3345" s="153"/>
      <c r="H3345" s="153"/>
      <c r="I3345" s="164">
        <v>27</v>
      </c>
      <c r="J3345" s="163">
        <v>60</v>
      </c>
      <c r="K3345" s="150">
        <v>1</v>
      </c>
      <c r="L3345" s="664">
        <v>27</v>
      </c>
      <c r="M3345" s="663">
        <v>34849</v>
      </c>
      <c r="N3345" s="600">
        <v>18.063500000000001</v>
      </c>
      <c r="O3345" s="604">
        <v>0.13434499999999999</v>
      </c>
      <c r="P3345" s="150"/>
      <c r="Q3345" s="250">
        <v>0.252</v>
      </c>
      <c r="R3345" s="250">
        <v>0.156</v>
      </c>
      <c r="S3345" s="250">
        <v>5.7999999999999996E-2</v>
      </c>
      <c r="T3345" s="250">
        <v>7.5999999999999998E-2</v>
      </c>
      <c r="U3345" s="250">
        <v>0.10300000000000001</v>
      </c>
      <c r="V3345" s="250">
        <v>0.13300000000000001</v>
      </c>
      <c r="W3345" s="250">
        <v>0.10800000000000001</v>
      </c>
      <c r="X3345" s="250">
        <v>0.10099999999999999</v>
      </c>
      <c r="Y3345" s="250">
        <v>1.3000000000000001E-2</v>
      </c>
      <c r="Z3345" s="150">
        <v>62</v>
      </c>
      <c r="AA3345" s="150">
        <v>5.87</v>
      </c>
      <c r="AB3345" s="152"/>
      <c r="AC3345" s="152"/>
      <c r="AD3345" s="223">
        <v>17.921652000000002</v>
      </c>
      <c r="AE3345" s="223">
        <v>0.67968170000000006</v>
      </c>
      <c r="AF3345" s="223">
        <v>12.169114</v>
      </c>
      <c r="AG3345" s="223">
        <v>1.4812794</v>
      </c>
      <c r="AH3345" s="341"/>
      <c r="AI3345" s="218"/>
      <c r="AJ3345" s="218"/>
      <c r="AK3345" s="153"/>
      <c r="AL3345" s="152"/>
      <c r="AM3345" s="152"/>
      <c r="AN3345" s="152"/>
      <c r="AO3345" s="152"/>
      <c r="AP3345" s="152"/>
      <c r="AQ3345" s="152"/>
      <c r="AR3345" s="152"/>
      <c r="AS3345" s="152"/>
      <c r="AT3345" s="152"/>
      <c r="AU3345" s="153"/>
      <c r="AV3345" s="479"/>
      <c r="AW3345" s="479"/>
      <c r="AX3345" s="442"/>
      <c r="AY3345" s="153"/>
      <c r="AZ3345" s="152"/>
      <c r="BA3345" s="152"/>
      <c r="BB3345" s="152"/>
      <c r="BC3345" s="152"/>
      <c r="BD3345" s="152"/>
      <c r="BE3345" s="152"/>
      <c r="BF3345" s="152"/>
      <c r="BG3345" s="152"/>
      <c r="BH3345" s="152"/>
      <c r="BI3345" s="153"/>
      <c r="BJ3345" s="153"/>
      <c r="BK3345" s="153"/>
      <c r="BL3345" s="153"/>
      <c r="BM3345" s="153"/>
      <c r="BN3345" s="153"/>
      <c r="BO3345" s="153"/>
      <c r="BP3345" s="153"/>
      <c r="BQ3345" s="153"/>
      <c r="BR3345" s="153"/>
      <c r="BS3345" s="153"/>
      <c r="BT3345" s="153"/>
      <c r="BU3345" s="153"/>
      <c r="BV3345" s="153"/>
      <c r="BW3345" s="153"/>
      <c r="BX3345" s="153"/>
      <c r="BY3345" s="153"/>
      <c r="BZ3345" s="153"/>
      <c r="CA3345" s="152"/>
      <c r="CB3345" s="152"/>
    </row>
    <row r="3346" spans="1:80" s="87" customFormat="1" x14ac:dyDescent="0.2">
      <c r="A3346" s="152"/>
      <c r="B3346" s="683"/>
      <c r="C3346" s="683"/>
      <c r="D3346" s="698"/>
      <c r="E3346" s="215"/>
      <c r="F3346" s="215"/>
      <c r="G3346" s="153"/>
      <c r="H3346" s="153"/>
      <c r="I3346" s="164">
        <v>27</v>
      </c>
      <c r="J3346" s="163">
        <v>60</v>
      </c>
      <c r="K3346" s="150">
        <v>1</v>
      </c>
      <c r="L3346" s="664">
        <v>27</v>
      </c>
      <c r="M3346" s="663">
        <v>34849</v>
      </c>
      <c r="N3346" s="600">
        <v>18.063500000000001</v>
      </c>
      <c r="O3346" s="604">
        <v>8.2600999999999994E-2</v>
      </c>
      <c r="P3346" s="150"/>
      <c r="Q3346" s="250"/>
      <c r="R3346" s="250">
        <v>4.8000000000000001E-2</v>
      </c>
      <c r="S3346" s="250">
        <v>0.11599999999999999</v>
      </c>
      <c r="T3346" s="250">
        <v>0.17100000000000001</v>
      </c>
      <c r="U3346" s="250">
        <v>0.19</v>
      </c>
      <c r="V3346" s="250">
        <v>0.215</v>
      </c>
      <c r="W3346" s="250">
        <v>0.14099999999999999</v>
      </c>
      <c r="X3346" s="250">
        <v>0.10800000000000001</v>
      </c>
      <c r="Y3346" s="250">
        <v>1.1000000000000001E-2</v>
      </c>
      <c r="Z3346" s="150">
        <v>62</v>
      </c>
      <c r="AA3346" s="150">
        <v>2.19</v>
      </c>
      <c r="AB3346" s="152"/>
      <c r="AC3346" s="152"/>
      <c r="AD3346" s="223">
        <v>17.921652000000002</v>
      </c>
      <c r="AE3346" s="223">
        <v>0.67968170000000006</v>
      </c>
      <c r="AF3346" s="223">
        <v>12.169114</v>
      </c>
      <c r="AG3346" s="223">
        <v>1.4812794</v>
      </c>
      <c r="AH3346" s="341"/>
      <c r="AI3346" s="218"/>
      <c r="AJ3346" s="218"/>
      <c r="AK3346" s="153"/>
      <c r="AL3346" s="152"/>
      <c r="AM3346" s="152"/>
      <c r="AN3346" s="152"/>
      <c r="AO3346" s="152"/>
      <c r="AP3346" s="152"/>
      <c r="AQ3346" s="152"/>
      <c r="AR3346" s="152"/>
      <c r="AS3346" s="152"/>
      <c r="AT3346" s="152"/>
      <c r="AU3346" s="153"/>
      <c r="AV3346" s="479"/>
      <c r="AW3346" s="479"/>
      <c r="AX3346" s="442"/>
      <c r="AY3346" s="153"/>
      <c r="AZ3346" s="152"/>
      <c r="BA3346" s="152"/>
      <c r="BB3346" s="152"/>
      <c r="BC3346" s="152"/>
      <c r="BD3346" s="152"/>
      <c r="BE3346" s="152"/>
      <c r="BF3346" s="152"/>
      <c r="BG3346" s="152"/>
      <c r="BH3346" s="152"/>
      <c r="BI3346" s="153"/>
      <c r="BJ3346" s="153"/>
      <c r="BK3346" s="153"/>
      <c r="BL3346" s="153"/>
      <c r="BM3346" s="153"/>
      <c r="BN3346" s="153"/>
      <c r="BO3346" s="153"/>
      <c r="BP3346" s="153"/>
      <c r="BQ3346" s="153"/>
      <c r="BR3346" s="153"/>
      <c r="BS3346" s="153"/>
      <c r="BT3346" s="153"/>
      <c r="BU3346" s="153"/>
      <c r="BV3346" s="153"/>
      <c r="BW3346" s="153"/>
      <c r="BX3346" s="153"/>
      <c r="BY3346" s="153"/>
      <c r="BZ3346" s="153"/>
      <c r="CA3346" s="152"/>
      <c r="CB3346" s="152"/>
    </row>
    <row r="3347" spans="1:80" s="87" customFormat="1" x14ac:dyDescent="0.2">
      <c r="A3347" s="152"/>
      <c r="B3347" s="683"/>
      <c r="C3347" s="683"/>
      <c r="D3347" s="698"/>
      <c r="E3347" s="215"/>
      <c r="F3347" s="215"/>
      <c r="G3347" s="153"/>
      <c r="H3347" s="153"/>
      <c r="I3347" s="164">
        <v>22</v>
      </c>
      <c r="J3347" s="163">
        <v>60</v>
      </c>
      <c r="K3347" s="150">
        <v>1</v>
      </c>
      <c r="L3347" s="664">
        <v>22</v>
      </c>
      <c r="M3347" s="663">
        <v>34824</v>
      </c>
      <c r="N3347" s="600">
        <v>4.8414700000000002</v>
      </c>
      <c r="O3347" s="604">
        <v>6.4859999999999996E-3</v>
      </c>
      <c r="P3347" s="150"/>
      <c r="Q3347" s="250"/>
      <c r="R3347" s="250">
        <v>0.15</v>
      </c>
      <c r="S3347" s="250">
        <v>7.8E-2</v>
      </c>
      <c r="T3347" s="250">
        <v>4.7E-2</v>
      </c>
      <c r="U3347" s="250">
        <v>0.13300000000000001</v>
      </c>
      <c r="V3347" s="250">
        <v>0.23</v>
      </c>
      <c r="W3347" s="250">
        <v>0.20800000000000002</v>
      </c>
      <c r="X3347" s="250">
        <v>0.14699999999999999</v>
      </c>
      <c r="Y3347" s="250">
        <v>6.9999999999999993E-3</v>
      </c>
      <c r="Z3347" s="150">
        <v>16</v>
      </c>
      <c r="AA3347" s="150">
        <v>1.52</v>
      </c>
      <c r="AB3347" s="152"/>
      <c r="AC3347" s="152"/>
      <c r="AD3347" s="223">
        <v>16.123391000000002</v>
      </c>
      <c r="AE3347" s="223">
        <v>0.3931791</v>
      </c>
      <c r="AF3347" s="223">
        <v>6.3632390000000001</v>
      </c>
      <c r="AG3347" s="223">
        <v>0.76502289999999995</v>
      </c>
      <c r="AH3347" s="341"/>
      <c r="AI3347" s="218"/>
      <c r="AJ3347" s="218"/>
      <c r="AK3347" s="153"/>
      <c r="AL3347" s="152"/>
      <c r="AM3347" s="152"/>
      <c r="AN3347" s="152"/>
      <c r="AO3347" s="152"/>
      <c r="AP3347" s="152"/>
      <c r="AQ3347" s="152"/>
      <c r="AR3347" s="152"/>
      <c r="AS3347" s="152"/>
      <c r="AT3347" s="152"/>
      <c r="AU3347" s="153"/>
      <c r="AV3347" s="479"/>
      <c r="AW3347" s="479"/>
      <c r="AX3347" s="442"/>
      <c r="AY3347" s="153"/>
      <c r="AZ3347" s="152"/>
      <c r="BA3347" s="152"/>
      <c r="BB3347" s="152"/>
      <c r="BC3347" s="152"/>
      <c r="BD3347" s="152"/>
      <c r="BE3347" s="152"/>
      <c r="BF3347" s="152"/>
      <c r="BG3347" s="152"/>
      <c r="BH3347" s="152"/>
      <c r="BI3347" s="153"/>
      <c r="BJ3347" s="153"/>
      <c r="BK3347" s="153"/>
      <c r="BL3347" s="153"/>
      <c r="BM3347" s="153"/>
      <c r="BN3347" s="153"/>
      <c r="BO3347" s="153"/>
      <c r="BP3347" s="153"/>
      <c r="BQ3347" s="153"/>
      <c r="BR3347" s="153"/>
      <c r="BS3347" s="153"/>
      <c r="BT3347" s="153"/>
      <c r="BU3347" s="153"/>
      <c r="BV3347" s="153"/>
      <c r="BW3347" s="153"/>
      <c r="BX3347" s="153"/>
      <c r="BY3347" s="153"/>
      <c r="BZ3347" s="153"/>
      <c r="CA3347" s="152"/>
      <c r="CB3347" s="152"/>
    </row>
    <row r="3348" spans="1:80" s="87" customFormat="1" x14ac:dyDescent="0.2">
      <c r="A3348" s="152"/>
      <c r="B3348" s="683"/>
      <c r="C3348" s="683"/>
      <c r="D3348" s="698"/>
      <c r="E3348" s="215"/>
      <c r="F3348" s="215"/>
      <c r="G3348" s="153"/>
      <c r="H3348" s="153"/>
      <c r="I3348" s="164">
        <v>22</v>
      </c>
      <c r="J3348" s="163">
        <v>60</v>
      </c>
      <c r="K3348" s="150">
        <v>1</v>
      </c>
      <c r="L3348" s="664">
        <v>22</v>
      </c>
      <c r="M3348" s="663">
        <v>34824</v>
      </c>
      <c r="N3348" s="600">
        <v>4.8414700000000002</v>
      </c>
      <c r="O3348" s="604">
        <v>1.0181000000000001E-2</v>
      </c>
      <c r="P3348" s="150"/>
      <c r="Q3348" s="250"/>
      <c r="R3348" s="250"/>
      <c r="S3348" s="250">
        <v>7.2999999999999995E-2</v>
      </c>
      <c r="T3348" s="250">
        <v>0.1</v>
      </c>
      <c r="U3348" s="250">
        <v>0.16300000000000001</v>
      </c>
      <c r="V3348" s="250">
        <v>0.28899999999999998</v>
      </c>
      <c r="W3348" s="250">
        <v>0.24</v>
      </c>
      <c r="X3348" s="250">
        <v>0.13</v>
      </c>
      <c r="Y3348" s="250">
        <v>5.0000000000000001E-3</v>
      </c>
      <c r="Z3348" s="150">
        <v>16</v>
      </c>
      <c r="AA3348" s="150">
        <v>1.35</v>
      </c>
      <c r="AB3348" s="152"/>
      <c r="AC3348" s="152"/>
      <c r="AD3348" s="223">
        <v>16.123391000000002</v>
      </c>
      <c r="AE3348" s="223">
        <v>0.3931791</v>
      </c>
      <c r="AF3348" s="223">
        <v>6.3632390000000001</v>
      </c>
      <c r="AG3348" s="223">
        <v>0.76502289999999995</v>
      </c>
      <c r="AH3348" s="341"/>
      <c r="AI3348" s="218"/>
      <c r="AJ3348" s="218"/>
      <c r="AK3348" s="153"/>
      <c r="AL3348" s="152"/>
      <c r="AM3348" s="152"/>
      <c r="AN3348" s="152"/>
      <c r="AO3348" s="152"/>
      <c r="AP3348" s="152"/>
      <c r="AQ3348" s="152"/>
      <c r="AR3348" s="152"/>
      <c r="AS3348" s="152"/>
      <c r="AT3348" s="152"/>
      <c r="AU3348" s="153"/>
      <c r="AV3348" s="479"/>
      <c r="AW3348" s="479"/>
      <c r="AX3348" s="442"/>
      <c r="AY3348" s="153"/>
      <c r="AZ3348" s="152"/>
      <c r="BA3348" s="152"/>
      <c r="BB3348" s="152"/>
      <c r="BC3348" s="152"/>
      <c r="BD3348" s="152"/>
      <c r="BE3348" s="152"/>
      <c r="BF3348" s="152"/>
      <c r="BG3348" s="152"/>
      <c r="BH3348" s="152"/>
      <c r="BI3348" s="153"/>
      <c r="BJ3348" s="153"/>
      <c r="BK3348" s="153"/>
      <c r="BL3348" s="153"/>
      <c r="BM3348" s="153"/>
      <c r="BN3348" s="153"/>
      <c r="BO3348" s="153"/>
      <c r="BP3348" s="153"/>
      <c r="BQ3348" s="153"/>
      <c r="BR3348" s="153"/>
      <c r="BS3348" s="153"/>
      <c r="BT3348" s="153"/>
      <c r="BU3348" s="153"/>
      <c r="BV3348" s="153"/>
      <c r="BW3348" s="153"/>
      <c r="BX3348" s="153"/>
      <c r="BY3348" s="153"/>
      <c r="BZ3348" s="153"/>
      <c r="CA3348" s="152"/>
      <c r="CB3348" s="152"/>
    </row>
    <row r="3349" spans="1:80" s="87" customFormat="1" x14ac:dyDescent="0.2">
      <c r="A3349" s="152"/>
      <c r="B3349" s="683"/>
      <c r="C3349" s="683"/>
      <c r="D3349" s="698"/>
      <c r="E3349" s="215"/>
      <c r="F3349" s="215"/>
      <c r="G3349" s="153"/>
      <c r="H3349" s="153"/>
      <c r="I3349" s="164">
        <v>24</v>
      </c>
      <c r="J3349" s="163">
        <v>60</v>
      </c>
      <c r="K3349" s="150">
        <v>1</v>
      </c>
      <c r="L3349" s="664">
        <v>24</v>
      </c>
      <c r="M3349" s="663">
        <v>34829</v>
      </c>
      <c r="N3349" s="600">
        <v>9.7961899999999993</v>
      </c>
      <c r="O3349" s="604">
        <v>1.2385E-2</v>
      </c>
      <c r="P3349" s="150"/>
      <c r="Q3349" s="250"/>
      <c r="R3349" s="250">
        <v>0.26400000000000001</v>
      </c>
      <c r="S3349" s="250">
        <v>2.2000000000000002E-2</v>
      </c>
      <c r="T3349" s="250">
        <v>7.2000000000000008E-2</v>
      </c>
      <c r="U3349" s="250">
        <v>9.4E-2</v>
      </c>
      <c r="V3349" s="250">
        <v>0.159</v>
      </c>
      <c r="W3349" s="250">
        <v>0.17300000000000001</v>
      </c>
      <c r="X3349" s="250">
        <v>0.2</v>
      </c>
      <c r="Y3349" s="250">
        <v>1.6E-2</v>
      </c>
      <c r="Z3349" s="150">
        <v>31</v>
      </c>
      <c r="AA3349" s="150">
        <v>1.62</v>
      </c>
      <c r="AB3349" s="152"/>
      <c r="AC3349" s="152"/>
      <c r="AD3349" s="223"/>
      <c r="AE3349" s="223"/>
      <c r="AF3349" s="223"/>
      <c r="AG3349" s="223"/>
      <c r="AH3349" s="341"/>
      <c r="AI3349" s="218"/>
      <c r="AJ3349" s="218"/>
      <c r="AK3349" s="153"/>
      <c r="AL3349" s="152"/>
      <c r="AM3349" s="152"/>
      <c r="AN3349" s="152"/>
      <c r="AO3349" s="152"/>
      <c r="AP3349" s="152"/>
      <c r="AQ3349" s="152"/>
      <c r="AR3349" s="152"/>
      <c r="AS3349" s="152"/>
      <c r="AT3349" s="152"/>
      <c r="AU3349" s="153"/>
      <c r="AV3349" s="479"/>
      <c r="AW3349" s="479"/>
      <c r="AX3349" s="442"/>
      <c r="AY3349" s="153"/>
      <c r="AZ3349" s="152"/>
      <c r="BA3349" s="152"/>
      <c r="BB3349" s="152"/>
      <c r="BC3349" s="152"/>
      <c r="BD3349" s="152"/>
      <c r="BE3349" s="152"/>
      <c r="BF3349" s="152"/>
      <c r="BG3349" s="152"/>
      <c r="BH3349" s="152"/>
      <c r="BI3349" s="153"/>
      <c r="BJ3349" s="153"/>
      <c r="BK3349" s="153"/>
      <c r="BL3349" s="153"/>
      <c r="BM3349" s="153"/>
      <c r="BN3349" s="153"/>
      <c r="BO3349" s="153"/>
      <c r="BP3349" s="153"/>
      <c r="BQ3349" s="153"/>
      <c r="BR3349" s="153"/>
      <c r="BS3349" s="153"/>
      <c r="BT3349" s="153"/>
      <c r="BU3349" s="153"/>
      <c r="BV3349" s="153"/>
      <c r="BW3349" s="153"/>
      <c r="BX3349" s="153"/>
      <c r="BY3349" s="153"/>
      <c r="BZ3349" s="153"/>
      <c r="CA3349" s="152"/>
      <c r="CB3349" s="152"/>
    </row>
    <row r="3350" spans="1:80" s="87" customFormat="1" x14ac:dyDescent="0.2">
      <c r="A3350" s="152"/>
      <c r="B3350" s="683"/>
      <c r="C3350" s="683"/>
      <c r="D3350" s="698"/>
      <c r="E3350" s="215"/>
      <c r="F3350" s="215"/>
      <c r="G3350" s="153"/>
      <c r="H3350" s="153"/>
      <c r="I3350" s="164">
        <v>24</v>
      </c>
      <c r="J3350" s="163">
        <v>60</v>
      </c>
      <c r="K3350" s="150">
        <v>1</v>
      </c>
      <c r="L3350" s="664">
        <v>24</v>
      </c>
      <c r="M3350" s="663">
        <v>34829</v>
      </c>
      <c r="N3350" s="600">
        <v>9.7961899999999993</v>
      </c>
      <c r="O3350" s="604">
        <v>4.6705999999999998E-2</v>
      </c>
      <c r="P3350" s="150"/>
      <c r="Q3350" s="250">
        <v>0.17600000000000002</v>
      </c>
      <c r="R3350" s="250">
        <v>4.8000000000000001E-2</v>
      </c>
      <c r="S3350" s="250">
        <v>0.12300000000000001</v>
      </c>
      <c r="T3350" s="250">
        <v>8.900000000000001E-2</v>
      </c>
      <c r="U3350" s="250">
        <v>0.14499999999999999</v>
      </c>
      <c r="V3350" s="250">
        <v>0.20600000000000002</v>
      </c>
      <c r="W3350" s="250">
        <v>0.13100000000000001</v>
      </c>
      <c r="X3350" s="250">
        <v>7.6999999999999999E-2</v>
      </c>
      <c r="Y3350" s="250">
        <v>5.0000000000000001E-3</v>
      </c>
      <c r="Z3350" s="150">
        <v>31</v>
      </c>
      <c r="AA3350" s="150">
        <v>2.95</v>
      </c>
      <c r="AB3350" s="152"/>
      <c r="AC3350" s="152"/>
      <c r="AD3350" s="223"/>
      <c r="AE3350" s="223"/>
      <c r="AF3350" s="223"/>
      <c r="AG3350" s="223"/>
      <c r="AH3350" s="341"/>
      <c r="AI3350" s="218"/>
      <c r="AJ3350" s="218"/>
      <c r="AK3350" s="153"/>
      <c r="AL3350" s="152"/>
      <c r="AM3350" s="152"/>
      <c r="AN3350" s="152"/>
      <c r="AO3350" s="152"/>
      <c r="AP3350" s="152"/>
      <c r="AQ3350" s="152"/>
      <c r="AR3350" s="152"/>
      <c r="AS3350" s="152"/>
      <c r="AT3350" s="152"/>
      <c r="AU3350" s="153"/>
      <c r="AV3350" s="479"/>
      <c r="AW3350" s="479"/>
      <c r="AX3350" s="442"/>
      <c r="AY3350" s="153"/>
      <c r="AZ3350" s="152"/>
      <c r="BA3350" s="152"/>
      <c r="BB3350" s="152"/>
      <c r="BC3350" s="152"/>
      <c r="BD3350" s="152"/>
      <c r="BE3350" s="152"/>
      <c r="BF3350" s="152"/>
      <c r="BG3350" s="152"/>
      <c r="BH3350" s="152"/>
      <c r="BI3350" s="153"/>
      <c r="BJ3350" s="153"/>
      <c r="BK3350" s="153"/>
      <c r="BL3350" s="153"/>
      <c r="BM3350" s="153"/>
      <c r="BN3350" s="153"/>
      <c r="BO3350" s="153"/>
      <c r="BP3350" s="153"/>
      <c r="BQ3350" s="153"/>
      <c r="BR3350" s="153"/>
      <c r="BS3350" s="153"/>
      <c r="BT3350" s="153"/>
      <c r="BU3350" s="153"/>
      <c r="BV3350" s="153"/>
      <c r="BW3350" s="153"/>
      <c r="BX3350" s="153"/>
      <c r="BY3350" s="153"/>
      <c r="BZ3350" s="153"/>
      <c r="CA3350" s="152"/>
      <c r="CB3350" s="152"/>
    </row>
    <row r="3351" spans="1:80" s="87" customFormat="1" x14ac:dyDescent="0.2">
      <c r="A3351" s="152"/>
      <c r="B3351" s="683"/>
      <c r="C3351" s="683"/>
      <c r="D3351" s="698"/>
      <c r="E3351" s="215"/>
      <c r="F3351" s="215"/>
      <c r="G3351" s="153"/>
      <c r="H3351" s="153"/>
      <c r="I3351" s="164">
        <v>19</v>
      </c>
      <c r="J3351" s="163">
        <v>60</v>
      </c>
      <c r="K3351" s="150">
        <v>1</v>
      </c>
      <c r="L3351" s="664">
        <v>19</v>
      </c>
      <c r="M3351" s="663">
        <v>34842</v>
      </c>
      <c r="N3351" s="600">
        <v>14.609400000000001</v>
      </c>
      <c r="O3351" s="604">
        <v>6.8012000000000003E-2</v>
      </c>
      <c r="P3351" s="150"/>
      <c r="Q3351" s="250"/>
      <c r="R3351" s="250">
        <v>6.9000000000000006E-2</v>
      </c>
      <c r="S3351" s="250">
        <v>0.16200000000000001</v>
      </c>
      <c r="T3351" s="250">
        <v>0.10099999999999999</v>
      </c>
      <c r="U3351" s="250">
        <v>0.14499999999999999</v>
      </c>
      <c r="V3351" s="250">
        <v>0.19800000000000001</v>
      </c>
      <c r="W3351" s="250">
        <v>0.17499999999999999</v>
      </c>
      <c r="X3351" s="250">
        <v>0.13600000000000001</v>
      </c>
      <c r="Y3351" s="250">
        <v>1.3999999999999999E-2</v>
      </c>
      <c r="Z3351" s="150">
        <v>26</v>
      </c>
      <c r="AA3351" s="150">
        <v>1.85</v>
      </c>
      <c r="AB3351" s="152"/>
      <c r="AC3351" s="152"/>
      <c r="AD3351" s="223">
        <v>18.896979999999999</v>
      </c>
      <c r="AE3351" s="223">
        <v>0.5699573</v>
      </c>
      <c r="AF3351" s="223">
        <v>10.775703999999999</v>
      </c>
      <c r="AG3351" s="223">
        <v>1.3928902999999999</v>
      </c>
      <c r="AH3351" s="341"/>
      <c r="AI3351" s="218"/>
      <c r="AJ3351" s="218"/>
      <c r="AK3351" s="153"/>
      <c r="AL3351" s="152"/>
      <c r="AM3351" s="152"/>
      <c r="AN3351" s="152"/>
      <c r="AO3351" s="152"/>
      <c r="AP3351" s="152"/>
      <c r="AQ3351" s="152"/>
      <c r="AR3351" s="152"/>
      <c r="AS3351" s="152"/>
      <c r="AT3351" s="152"/>
      <c r="AU3351" s="153"/>
      <c r="AV3351" s="479"/>
      <c r="AW3351" s="479"/>
      <c r="AX3351" s="442"/>
      <c r="AY3351" s="153"/>
      <c r="AZ3351" s="152"/>
      <c r="BA3351" s="152"/>
      <c r="BB3351" s="152"/>
      <c r="BC3351" s="152"/>
      <c r="BD3351" s="152"/>
      <c r="BE3351" s="152"/>
      <c r="BF3351" s="152"/>
      <c r="BG3351" s="152"/>
      <c r="BH3351" s="152"/>
      <c r="BI3351" s="153"/>
      <c r="BJ3351" s="153"/>
      <c r="BK3351" s="153"/>
      <c r="BL3351" s="153"/>
      <c r="BM3351" s="153"/>
      <c r="BN3351" s="153"/>
      <c r="BO3351" s="153"/>
      <c r="BP3351" s="153"/>
      <c r="BQ3351" s="153"/>
      <c r="BR3351" s="153"/>
      <c r="BS3351" s="153"/>
      <c r="BT3351" s="153"/>
      <c r="BU3351" s="153"/>
      <c r="BV3351" s="153"/>
      <c r="BW3351" s="153"/>
      <c r="BX3351" s="153"/>
      <c r="BY3351" s="153"/>
      <c r="BZ3351" s="153"/>
      <c r="CA3351" s="152"/>
      <c r="CB3351" s="152"/>
    </row>
    <row r="3352" spans="1:80" s="87" customFormat="1" x14ac:dyDescent="0.2">
      <c r="A3352" s="152"/>
      <c r="B3352" s="683"/>
      <c r="C3352" s="683"/>
      <c r="D3352" s="698"/>
      <c r="E3352" s="215"/>
      <c r="F3352" s="215"/>
      <c r="G3352" s="153"/>
      <c r="H3352" s="153"/>
      <c r="I3352" s="164">
        <v>19</v>
      </c>
      <c r="J3352" s="163">
        <v>60</v>
      </c>
      <c r="K3352" s="150">
        <v>1</v>
      </c>
      <c r="L3352" s="664">
        <v>19</v>
      </c>
      <c r="M3352" s="663">
        <v>34842</v>
      </c>
      <c r="N3352" s="600">
        <v>14.609400000000001</v>
      </c>
      <c r="O3352" s="604">
        <v>0.10495699999999999</v>
      </c>
      <c r="P3352" s="150"/>
      <c r="Q3352" s="250"/>
      <c r="R3352" s="250"/>
      <c r="S3352" s="250">
        <v>4.8000000000000001E-2</v>
      </c>
      <c r="T3352" s="250">
        <v>0.13100000000000001</v>
      </c>
      <c r="U3352" s="250">
        <v>0.14300000000000002</v>
      </c>
      <c r="V3352" s="250">
        <v>0.19</v>
      </c>
      <c r="W3352" s="250">
        <v>0.215</v>
      </c>
      <c r="X3352" s="250">
        <v>0.248</v>
      </c>
      <c r="Y3352" s="250">
        <v>2.5000000000000001E-2</v>
      </c>
      <c r="Z3352" s="150">
        <v>26</v>
      </c>
      <c r="AA3352" s="150">
        <v>1.04</v>
      </c>
      <c r="AB3352" s="152"/>
      <c r="AC3352" s="152"/>
      <c r="AD3352" s="223">
        <v>18.896979999999999</v>
      </c>
      <c r="AE3352" s="223">
        <v>0.5699573</v>
      </c>
      <c r="AF3352" s="223">
        <v>10.775703999999999</v>
      </c>
      <c r="AG3352" s="223">
        <v>1.3928902999999999</v>
      </c>
      <c r="AH3352" s="341"/>
      <c r="AI3352" s="218"/>
      <c r="AJ3352" s="218"/>
      <c r="AK3352" s="153"/>
      <c r="AL3352" s="152"/>
      <c r="AM3352" s="152"/>
      <c r="AN3352" s="152"/>
      <c r="AO3352" s="152"/>
      <c r="AP3352" s="152"/>
      <c r="AQ3352" s="152"/>
      <c r="AR3352" s="152"/>
      <c r="AS3352" s="152"/>
      <c r="AT3352" s="152"/>
      <c r="AU3352" s="153"/>
      <c r="AV3352" s="479"/>
      <c r="AW3352" s="479"/>
      <c r="AX3352" s="442"/>
      <c r="AY3352" s="153"/>
      <c r="AZ3352" s="152"/>
      <c r="BA3352" s="152"/>
      <c r="BB3352" s="152"/>
      <c r="BC3352" s="152"/>
      <c r="BD3352" s="152"/>
      <c r="BE3352" s="152"/>
      <c r="BF3352" s="152"/>
      <c r="BG3352" s="152"/>
      <c r="BH3352" s="152"/>
      <c r="BI3352" s="153"/>
      <c r="BJ3352" s="153"/>
      <c r="BK3352" s="153"/>
      <c r="BL3352" s="153"/>
      <c r="BM3352" s="153"/>
      <c r="BN3352" s="153"/>
      <c r="BO3352" s="153"/>
      <c r="BP3352" s="153"/>
      <c r="BQ3352" s="153"/>
      <c r="BR3352" s="153"/>
      <c r="BS3352" s="153"/>
      <c r="BT3352" s="153"/>
      <c r="BU3352" s="153"/>
      <c r="BV3352" s="153"/>
      <c r="BW3352" s="153"/>
      <c r="BX3352" s="153"/>
      <c r="BY3352" s="153"/>
      <c r="BZ3352" s="153"/>
      <c r="CA3352" s="152"/>
      <c r="CB3352" s="152"/>
    </row>
    <row r="3353" spans="1:80" s="87" customFormat="1" x14ac:dyDescent="0.2">
      <c r="A3353" s="152"/>
      <c r="B3353" s="683"/>
      <c r="C3353" s="683"/>
      <c r="D3353" s="698"/>
      <c r="E3353" s="215"/>
      <c r="F3353" s="215"/>
      <c r="G3353" s="153"/>
      <c r="H3353" s="153"/>
      <c r="I3353" s="164">
        <v>26</v>
      </c>
      <c r="J3353" s="163">
        <v>60</v>
      </c>
      <c r="K3353" s="150">
        <v>1</v>
      </c>
      <c r="L3353" s="664">
        <v>26</v>
      </c>
      <c r="M3353" s="663">
        <v>34862</v>
      </c>
      <c r="N3353" s="600">
        <v>15.770200000000001</v>
      </c>
      <c r="O3353" s="604">
        <v>8.0082E-2</v>
      </c>
      <c r="P3353" s="150"/>
      <c r="Q3353" s="250"/>
      <c r="R3353" s="250">
        <v>0.113</v>
      </c>
      <c r="S3353" s="250">
        <v>9.8000000000000004E-2</v>
      </c>
      <c r="T3353" s="250">
        <v>8.4000000000000005E-2</v>
      </c>
      <c r="U3353" s="250">
        <v>0.128</v>
      </c>
      <c r="V3353" s="250">
        <v>0.19399999999999998</v>
      </c>
      <c r="W3353" s="250">
        <v>0.19500000000000001</v>
      </c>
      <c r="X3353" s="250">
        <v>0.17600000000000002</v>
      </c>
      <c r="Y3353" s="250">
        <v>1.2E-2</v>
      </c>
      <c r="Z3353" s="150">
        <v>26</v>
      </c>
      <c r="AA3353" s="150">
        <v>1.52</v>
      </c>
      <c r="AB3353" s="152"/>
      <c r="AC3353" s="152"/>
      <c r="AD3353" s="223">
        <v>18.896979999999999</v>
      </c>
      <c r="AE3353" s="223">
        <v>0.57910099999999998</v>
      </c>
      <c r="AF3353" s="223">
        <v>10.961492</v>
      </c>
      <c r="AG3353" s="223">
        <v>1.4812794</v>
      </c>
      <c r="AH3353" s="341"/>
      <c r="AI3353" s="218"/>
      <c r="AJ3353" s="218"/>
      <c r="AK3353" s="153"/>
      <c r="AL3353" s="152"/>
      <c r="AM3353" s="152"/>
      <c r="AN3353" s="152"/>
      <c r="AO3353" s="152"/>
      <c r="AP3353" s="152"/>
      <c r="AQ3353" s="152"/>
      <c r="AR3353" s="152"/>
      <c r="AS3353" s="152"/>
      <c r="AT3353" s="152"/>
      <c r="AU3353" s="153"/>
      <c r="AV3353" s="479"/>
      <c r="AW3353" s="479"/>
      <c r="AX3353" s="442"/>
      <c r="AY3353" s="153"/>
      <c r="AZ3353" s="152"/>
      <c r="BA3353" s="152"/>
      <c r="BB3353" s="152"/>
      <c r="BC3353" s="152"/>
      <c r="BD3353" s="152"/>
      <c r="BE3353" s="152"/>
      <c r="BF3353" s="152"/>
      <c r="BG3353" s="152"/>
      <c r="BH3353" s="152"/>
      <c r="BI3353" s="153"/>
      <c r="BJ3353" s="153"/>
      <c r="BK3353" s="153"/>
      <c r="BL3353" s="153"/>
      <c r="BM3353" s="153"/>
      <c r="BN3353" s="153"/>
      <c r="BO3353" s="153"/>
      <c r="BP3353" s="153"/>
      <c r="BQ3353" s="153"/>
      <c r="BR3353" s="153"/>
      <c r="BS3353" s="153"/>
      <c r="BT3353" s="153"/>
      <c r="BU3353" s="153"/>
      <c r="BV3353" s="153"/>
      <c r="BW3353" s="153"/>
      <c r="BX3353" s="153"/>
      <c r="BY3353" s="153"/>
      <c r="BZ3353" s="153"/>
      <c r="CA3353" s="152"/>
      <c r="CB3353" s="152"/>
    </row>
    <row r="3354" spans="1:80" s="87" customFormat="1" x14ac:dyDescent="0.2">
      <c r="A3354" s="152"/>
      <c r="B3354" s="683"/>
      <c r="C3354" s="683"/>
      <c r="D3354" s="698"/>
      <c r="E3354" s="215"/>
      <c r="F3354" s="215"/>
      <c r="G3354" s="153"/>
      <c r="H3354" s="153"/>
      <c r="I3354" s="164">
        <v>26</v>
      </c>
      <c r="J3354" s="163">
        <v>60</v>
      </c>
      <c r="K3354" s="150">
        <v>1</v>
      </c>
      <c r="L3354" s="664">
        <v>26</v>
      </c>
      <c r="M3354" s="663">
        <v>34862</v>
      </c>
      <c r="N3354" s="600">
        <v>15.770200000000001</v>
      </c>
      <c r="O3354" s="604">
        <v>5.8671000000000001E-2</v>
      </c>
      <c r="P3354" s="150"/>
      <c r="Q3354" s="250"/>
      <c r="R3354" s="250"/>
      <c r="S3354" s="250">
        <v>6.0999999999999999E-2</v>
      </c>
      <c r="T3354" s="250">
        <v>0.10400000000000001</v>
      </c>
      <c r="U3354" s="250">
        <v>0.16200000000000001</v>
      </c>
      <c r="V3354" s="250">
        <v>0.252</v>
      </c>
      <c r="W3354" s="250">
        <v>0.222</v>
      </c>
      <c r="X3354" s="250">
        <v>0.18</v>
      </c>
      <c r="Y3354" s="250">
        <v>1.9E-2</v>
      </c>
      <c r="Z3354" s="150">
        <v>26</v>
      </c>
      <c r="AA3354" s="150">
        <v>1.24</v>
      </c>
      <c r="AB3354" s="152"/>
      <c r="AC3354" s="152"/>
      <c r="AD3354" s="223">
        <v>18.896979999999999</v>
      </c>
      <c r="AE3354" s="223">
        <v>0.57910099999999998</v>
      </c>
      <c r="AF3354" s="223">
        <v>10.961492</v>
      </c>
      <c r="AG3354" s="223">
        <v>1.4812794</v>
      </c>
      <c r="AH3354" s="341"/>
      <c r="AI3354" s="218"/>
      <c r="AJ3354" s="218"/>
      <c r="AK3354" s="153"/>
      <c r="AL3354" s="152"/>
      <c r="AM3354" s="152"/>
      <c r="AN3354" s="152"/>
      <c r="AO3354" s="152"/>
      <c r="AP3354" s="152"/>
      <c r="AQ3354" s="152"/>
      <c r="AR3354" s="152"/>
      <c r="AS3354" s="152"/>
      <c r="AT3354" s="152"/>
      <c r="AU3354" s="153"/>
      <c r="AV3354" s="479"/>
      <c r="AW3354" s="479"/>
      <c r="AX3354" s="442"/>
      <c r="AY3354" s="153"/>
      <c r="AZ3354" s="152"/>
      <c r="BA3354" s="152"/>
      <c r="BB3354" s="152"/>
      <c r="BC3354" s="152"/>
      <c r="BD3354" s="152"/>
      <c r="BE3354" s="152"/>
      <c r="BF3354" s="152"/>
      <c r="BG3354" s="152"/>
      <c r="BH3354" s="152"/>
      <c r="BI3354" s="153"/>
      <c r="BJ3354" s="153"/>
      <c r="BK3354" s="153"/>
      <c r="BL3354" s="153"/>
      <c r="BM3354" s="153"/>
      <c r="BN3354" s="153"/>
      <c r="BO3354" s="153"/>
      <c r="BP3354" s="153"/>
      <c r="BQ3354" s="153"/>
      <c r="BR3354" s="153"/>
      <c r="BS3354" s="153"/>
      <c r="BT3354" s="153"/>
      <c r="BU3354" s="153"/>
      <c r="BV3354" s="153"/>
      <c r="BW3354" s="153"/>
      <c r="BX3354" s="153"/>
      <c r="BY3354" s="153"/>
      <c r="BZ3354" s="153"/>
      <c r="CA3354" s="152"/>
      <c r="CB3354" s="152"/>
    </row>
    <row r="3355" spans="1:80" s="87" customFormat="1" x14ac:dyDescent="0.2">
      <c r="A3355" s="152"/>
      <c r="B3355" s="683"/>
      <c r="C3355" s="683"/>
      <c r="D3355" s="698"/>
      <c r="E3355" s="215"/>
      <c r="F3355" s="215"/>
      <c r="G3355" s="153"/>
      <c r="H3355" s="153"/>
      <c r="I3355" s="164">
        <v>24</v>
      </c>
      <c r="J3355" s="163">
        <v>60</v>
      </c>
      <c r="K3355" s="150">
        <v>1</v>
      </c>
      <c r="L3355" s="664">
        <v>24</v>
      </c>
      <c r="M3355" s="663">
        <v>34857</v>
      </c>
      <c r="N3355" s="600">
        <v>16.534600000000001</v>
      </c>
      <c r="O3355" s="604">
        <v>5.6257000000000001E-2</v>
      </c>
      <c r="P3355" s="150"/>
      <c r="Q3355" s="250"/>
      <c r="R3355" s="250">
        <v>5.0999999999999997E-2</v>
      </c>
      <c r="S3355" s="250">
        <v>0.03</v>
      </c>
      <c r="T3355" s="250">
        <v>8.8000000000000009E-2</v>
      </c>
      <c r="U3355" s="250">
        <v>0.17100000000000001</v>
      </c>
      <c r="V3355" s="250">
        <v>0.26</v>
      </c>
      <c r="W3355" s="250">
        <v>0.21199999999999999</v>
      </c>
      <c r="X3355" s="250">
        <v>0.17100000000000001</v>
      </c>
      <c r="Y3355" s="250">
        <v>1.7000000000000001E-2</v>
      </c>
      <c r="Z3355" s="150">
        <v>20</v>
      </c>
      <c r="AA3355" s="150">
        <v>1.31</v>
      </c>
      <c r="AB3355" s="152"/>
      <c r="AC3355" s="152"/>
      <c r="AD3355" s="223">
        <v>19.415123000000001</v>
      </c>
      <c r="AE3355" s="223">
        <v>0.58824469999999995</v>
      </c>
      <c r="AF3355" s="223">
        <v>11.425962</v>
      </c>
      <c r="AG3355" s="223">
        <v>1.4904230999999999</v>
      </c>
      <c r="AH3355" s="341"/>
      <c r="AI3355" s="218"/>
      <c r="AJ3355" s="218"/>
      <c r="AK3355" s="153"/>
      <c r="AL3355" s="152"/>
      <c r="AM3355" s="152"/>
      <c r="AN3355" s="152"/>
      <c r="AO3355" s="152"/>
      <c r="AP3355" s="152"/>
      <c r="AQ3355" s="152"/>
      <c r="AR3355" s="152"/>
      <c r="AS3355" s="152"/>
      <c r="AT3355" s="152"/>
      <c r="AU3355" s="153"/>
      <c r="AV3355" s="479"/>
      <c r="AW3355" s="479"/>
      <c r="AX3355" s="442"/>
      <c r="AY3355" s="153"/>
      <c r="AZ3355" s="152"/>
      <c r="BA3355" s="152"/>
      <c r="BB3355" s="152"/>
      <c r="BC3355" s="152"/>
      <c r="BD3355" s="152"/>
      <c r="BE3355" s="152"/>
      <c r="BF3355" s="152"/>
      <c r="BG3355" s="152"/>
      <c r="BH3355" s="152"/>
      <c r="BI3355" s="153"/>
      <c r="BJ3355" s="153"/>
      <c r="BK3355" s="153"/>
      <c r="BL3355" s="153"/>
      <c r="BM3355" s="153"/>
      <c r="BN3355" s="153"/>
      <c r="BO3355" s="153"/>
      <c r="BP3355" s="153"/>
      <c r="BQ3355" s="153"/>
      <c r="BR3355" s="153"/>
      <c r="BS3355" s="153"/>
      <c r="BT3355" s="153"/>
      <c r="BU3355" s="153"/>
      <c r="BV3355" s="153"/>
      <c r="BW3355" s="153"/>
      <c r="BX3355" s="153"/>
      <c r="BY3355" s="153"/>
      <c r="BZ3355" s="153"/>
      <c r="CA3355" s="152"/>
      <c r="CB3355" s="152"/>
    </row>
    <row r="3356" spans="1:80" s="87" customFormat="1" x14ac:dyDescent="0.2">
      <c r="A3356" s="152"/>
      <c r="B3356" s="683"/>
      <c r="C3356" s="683"/>
      <c r="D3356" s="698"/>
      <c r="E3356" s="215"/>
      <c r="F3356" s="215"/>
      <c r="G3356" s="153"/>
      <c r="H3356" s="153"/>
      <c r="I3356" s="164">
        <v>24</v>
      </c>
      <c r="J3356" s="163">
        <v>60</v>
      </c>
      <c r="K3356" s="150">
        <v>1</v>
      </c>
      <c r="L3356" s="664">
        <v>24</v>
      </c>
      <c r="M3356" s="663">
        <v>34857</v>
      </c>
      <c r="N3356" s="600">
        <v>16.534600000000001</v>
      </c>
      <c r="O3356" s="604">
        <v>0.340061</v>
      </c>
      <c r="P3356" s="150"/>
      <c r="Q3356" s="250">
        <v>0.24100000000000002</v>
      </c>
      <c r="R3356" s="250">
        <v>0.113</v>
      </c>
      <c r="S3356" s="250">
        <v>0.11699999999999999</v>
      </c>
      <c r="T3356" s="250">
        <v>0.11199999999999999</v>
      </c>
      <c r="U3356" s="250">
        <v>0.13800000000000001</v>
      </c>
      <c r="V3356" s="250">
        <v>0.13800000000000001</v>
      </c>
      <c r="W3356" s="250">
        <v>8.5000000000000006E-2</v>
      </c>
      <c r="X3356" s="250">
        <v>5.2000000000000005E-2</v>
      </c>
      <c r="Y3356" s="250">
        <v>4.0000000000000001E-3</v>
      </c>
      <c r="Z3356" s="150">
        <v>20</v>
      </c>
      <c r="AA3356" s="150">
        <v>6.69</v>
      </c>
      <c r="AB3356" s="152"/>
      <c r="AC3356" s="152"/>
      <c r="AD3356" s="223">
        <v>19.415123000000001</v>
      </c>
      <c r="AE3356" s="223">
        <v>0.58824469999999995</v>
      </c>
      <c r="AF3356" s="223">
        <v>11.425962</v>
      </c>
      <c r="AG3356" s="223">
        <v>1.4904230999999999</v>
      </c>
      <c r="AH3356" s="341"/>
      <c r="AI3356" s="218"/>
      <c r="AJ3356" s="218"/>
      <c r="AK3356" s="153"/>
      <c r="AL3356" s="152"/>
      <c r="AM3356" s="152"/>
      <c r="AN3356" s="152"/>
      <c r="AO3356" s="152"/>
      <c r="AP3356" s="152"/>
      <c r="AQ3356" s="152"/>
      <c r="AR3356" s="152"/>
      <c r="AS3356" s="152"/>
      <c r="AT3356" s="152"/>
      <c r="AU3356" s="153"/>
      <c r="AV3356" s="479"/>
      <c r="AW3356" s="479"/>
      <c r="AX3356" s="442"/>
      <c r="AY3356" s="153"/>
      <c r="AZ3356" s="152"/>
      <c r="BA3356" s="152"/>
      <c r="BB3356" s="152"/>
      <c r="BC3356" s="152"/>
      <c r="BD3356" s="152"/>
      <c r="BE3356" s="152"/>
      <c r="BF3356" s="152"/>
      <c r="BG3356" s="152"/>
      <c r="BH3356" s="152"/>
      <c r="BI3356" s="153"/>
      <c r="BJ3356" s="153"/>
      <c r="BK3356" s="153"/>
      <c r="BL3356" s="153"/>
      <c r="BM3356" s="153"/>
      <c r="BN3356" s="153"/>
      <c r="BO3356" s="153"/>
      <c r="BP3356" s="153"/>
      <c r="BQ3356" s="153"/>
      <c r="BR3356" s="153"/>
      <c r="BS3356" s="153"/>
      <c r="BT3356" s="153"/>
      <c r="BU3356" s="153"/>
      <c r="BV3356" s="153"/>
      <c r="BW3356" s="153"/>
      <c r="BX3356" s="153"/>
      <c r="BY3356" s="153"/>
      <c r="BZ3356" s="153"/>
      <c r="CA3356" s="152"/>
      <c r="CB3356" s="152"/>
    </row>
    <row r="3357" spans="1:80" s="87" customFormat="1" x14ac:dyDescent="0.2">
      <c r="A3357" s="152"/>
      <c r="B3357" s="683"/>
      <c r="C3357" s="683"/>
      <c r="D3357" s="698"/>
      <c r="E3357" s="215"/>
      <c r="F3357" s="215"/>
      <c r="G3357" s="153"/>
      <c r="H3357" s="153"/>
      <c r="I3357" s="164">
        <v>20</v>
      </c>
      <c r="J3357" s="163">
        <v>60</v>
      </c>
      <c r="K3357" s="150">
        <v>1</v>
      </c>
      <c r="L3357" s="664">
        <v>20</v>
      </c>
      <c r="M3357" s="663">
        <v>34867</v>
      </c>
      <c r="N3357" s="600">
        <v>24.858599999999999</v>
      </c>
      <c r="O3357" s="604">
        <v>0.28653299999999998</v>
      </c>
      <c r="P3357" s="150"/>
      <c r="Q3357" s="250"/>
      <c r="R3357" s="250">
        <v>0.126</v>
      </c>
      <c r="S3357" s="250">
        <v>7.9000000000000001E-2</v>
      </c>
      <c r="T3357" s="250">
        <v>9.9000000000000005E-2</v>
      </c>
      <c r="U3357" s="250">
        <v>0.152</v>
      </c>
      <c r="V3357" s="250">
        <v>0.18899999999999997</v>
      </c>
      <c r="W3357" s="250">
        <v>0.17199999999999999</v>
      </c>
      <c r="X3357" s="250">
        <v>0.16300000000000001</v>
      </c>
      <c r="Y3357" s="250">
        <v>0.02</v>
      </c>
      <c r="Z3357" s="150">
        <v>29</v>
      </c>
      <c r="AA3357" s="150">
        <v>1.7</v>
      </c>
      <c r="AB3357" s="152"/>
      <c r="AC3357" s="152"/>
      <c r="AD3357" s="223">
        <v>18.592189999999999</v>
      </c>
      <c r="AE3357" s="223">
        <v>0.7436876</v>
      </c>
      <c r="AF3357" s="223">
        <v>13.841206</v>
      </c>
      <c r="AG3357" s="223">
        <v>1.7159677</v>
      </c>
      <c r="AH3357" s="341"/>
      <c r="AI3357" s="218"/>
      <c r="AJ3357" s="218"/>
      <c r="AK3357" s="153"/>
      <c r="AL3357" s="152"/>
      <c r="AM3357" s="152"/>
      <c r="AN3357" s="152"/>
      <c r="AO3357" s="152"/>
      <c r="AP3357" s="152"/>
      <c r="AQ3357" s="152"/>
      <c r="AR3357" s="152"/>
      <c r="AS3357" s="152"/>
      <c r="AT3357" s="152"/>
      <c r="AU3357" s="153"/>
      <c r="AV3357" s="479"/>
      <c r="AW3357" s="479"/>
      <c r="AX3357" s="442"/>
      <c r="AY3357" s="153"/>
      <c r="AZ3357" s="152"/>
      <c r="BA3357" s="152"/>
      <c r="BB3357" s="152"/>
      <c r="BC3357" s="152"/>
      <c r="BD3357" s="152"/>
      <c r="BE3357" s="152"/>
      <c r="BF3357" s="152"/>
      <c r="BG3357" s="152"/>
      <c r="BH3357" s="152"/>
      <c r="BI3357" s="153"/>
      <c r="BJ3357" s="153"/>
      <c r="BK3357" s="153"/>
      <c r="BL3357" s="153"/>
      <c r="BM3357" s="153"/>
      <c r="BN3357" s="153"/>
      <c r="BO3357" s="153"/>
      <c r="BP3357" s="153"/>
      <c r="BQ3357" s="153"/>
      <c r="BR3357" s="153"/>
      <c r="BS3357" s="153"/>
      <c r="BT3357" s="153"/>
      <c r="BU3357" s="153"/>
      <c r="BV3357" s="153"/>
      <c r="BW3357" s="153"/>
      <c r="BX3357" s="153"/>
      <c r="BY3357" s="153"/>
      <c r="BZ3357" s="153"/>
      <c r="CA3357" s="152"/>
      <c r="CB3357" s="152"/>
    </row>
    <row r="3358" spans="1:80" s="87" customFormat="1" x14ac:dyDescent="0.2">
      <c r="A3358" s="152"/>
      <c r="B3358" s="683"/>
      <c r="C3358" s="683"/>
      <c r="D3358" s="698"/>
      <c r="E3358" s="215"/>
      <c r="F3358" s="215"/>
      <c r="G3358" s="153"/>
      <c r="H3358" s="153"/>
      <c r="I3358" s="164">
        <v>20</v>
      </c>
      <c r="J3358" s="163">
        <v>60</v>
      </c>
      <c r="K3358" s="150">
        <v>1</v>
      </c>
      <c r="L3358" s="664">
        <v>20</v>
      </c>
      <c r="M3358" s="663">
        <v>34867</v>
      </c>
      <c r="N3358" s="600">
        <v>24.858599999999999</v>
      </c>
      <c r="O3358" s="604">
        <v>0.47650500000000001</v>
      </c>
      <c r="P3358" s="150"/>
      <c r="Q3358" s="250"/>
      <c r="R3358" s="250">
        <v>9.3000000000000013E-2</v>
      </c>
      <c r="S3358" s="250">
        <v>0.129</v>
      </c>
      <c r="T3358" s="250">
        <v>0.13100000000000001</v>
      </c>
      <c r="U3358" s="250">
        <v>0.159</v>
      </c>
      <c r="V3358" s="250">
        <v>0.18600000000000003</v>
      </c>
      <c r="W3358" s="250">
        <v>0.14800000000000002</v>
      </c>
      <c r="X3358" s="250">
        <v>0.13800000000000001</v>
      </c>
      <c r="Y3358" s="250">
        <v>1.6E-2</v>
      </c>
      <c r="Z3358" s="150">
        <v>29</v>
      </c>
      <c r="AA3358" s="150">
        <v>2.11</v>
      </c>
      <c r="AB3358" s="152"/>
      <c r="AC3358" s="152"/>
      <c r="AD3358" s="223">
        <v>18.592189999999999</v>
      </c>
      <c r="AE3358" s="223">
        <v>0.7436876</v>
      </c>
      <c r="AF3358" s="223">
        <v>13.841206</v>
      </c>
      <c r="AG3358" s="223">
        <v>1.7159677</v>
      </c>
      <c r="AH3358" s="341"/>
      <c r="AI3358" s="218"/>
      <c r="AJ3358" s="218"/>
      <c r="AK3358" s="153"/>
      <c r="AL3358" s="152"/>
      <c r="AM3358" s="152"/>
      <c r="AN3358" s="152"/>
      <c r="AO3358" s="152"/>
      <c r="AP3358" s="152"/>
      <c r="AQ3358" s="152"/>
      <c r="AR3358" s="152"/>
      <c r="AS3358" s="152"/>
      <c r="AT3358" s="152"/>
      <c r="AU3358" s="153"/>
      <c r="AV3358" s="479"/>
      <c r="AW3358" s="479"/>
      <c r="AX3358" s="442"/>
      <c r="AY3358" s="153"/>
      <c r="AZ3358" s="152"/>
      <c r="BA3358" s="152"/>
      <c r="BB3358" s="152"/>
      <c r="BC3358" s="152"/>
      <c r="BD3358" s="152"/>
      <c r="BE3358" s="152"/>
      <c r="BF3358" s="152"/>
      <c r="BG3358" s="152"/>
      <c r="BH3358" s="152"/>
      <c r="BI3358" s="153"/>
      <c r="BJ3358" s="153"/>
      <c r="BK3358" s="153"/>
      <c r="BL3358" s="153"/>
      <c r="BM3358" s="153"/>
      <c r="BN3358" s="153"/>
      <c r="BO3358" s="153"/>
      <c r="BP3358" s="153"/>
      <c r="BQ3358" s="153"/>
      <c r="BR3358" s="153"/>
      <c r="BS3358" s="153"/>
      <c r="BT3358" s="153"/>
      <c r="BU3358" s="153"/>
      <c r="BV3358" s="153"/>
      <c r="BW3358" s="153"/>
      <c r="BX3358" s="153"/>
      <c r="BY3358" s="153"/>
      <c r="BZ3358" s="153"/>
      <c r="CA3358" s="152"/>
      <c r="CB3358" s="152"/>
    </row>
    <row r="3359" spans="1:80" s="87" customFormat="1" x14ac:dyDescent="0.2">
      <c r="A3359" s="152"/>
      <c r="B3359" s="683"/>
      <c r="C3359" s="683"/>
      <c r="D3359" s="698"/>
      <c r="E3359" s="215"/>
      <c r="F3359" s="215"/>
      <c r="G3359" s="153"/>
      <c r="H3359" s="153"/>
      <c r="I3359" s="164">
        <v>26</v>
      </c>
      <c r="J3359" s="163">
        <v>60</v>
      </c>
      <c r="K3359" s="150">
        <v>1</v>
      </c>
      <c r="L3359" s="664">
        <v>26</v>
      </c>
      <c r="M3359" s="663">
        <v>34870</v>
      </c>
      <c r="N3359" s="600">
        <v>16.902699999999999</v>
      </c>
      <c r="O3359" s="604">
        <v>7.1790999999999994E-2</v>
      </c>
      <c r="P3359" s="150"/>
      <c r="Q3359" s="250">
        <v>0.52500000000000002</v>
      </c>
      <c r="R3359" s="250">
        <v>0.115</v>
      </c>
      <c r="S3359" s="250">
        <v>4.9000000000000002E-2</v>
      </c>
      <c r="T3359" s="250">
        <v>5.7999999999999996E-2</v>
      </c>
      <c r="U3359" s="250">
        <v>6.9000000000000006E-2</v>
      </c>
      <c r="V3359" s="250">
        <v>7.4999999999999997E-2</v>
      </c>
      <c r="W3359" s="250">
        <v>0.05</v>
      </c>
      <c r="X3359" s="250">
        <v>5.2999999999999999E-2</v>
      </c>
      <c r="Y3359" s="250">
        <v>6.0000000000000001E-3</v>
      </c>
      <c r="Z3359" s="150">
        <v>56</v>
      </c>
      <c r="AA3359" s="150">
        <v>37.200000000000003</v>
      </c>
      <c r="AB3359" s="152"/>
      <c r="AC3359" s="152"/>
      <c r="AD3359" s="223">
        <v>18.775064</v>
      </c>
      <c r="AE3359" s="223">
        <v>0.57910099999999998</v>
      </c>
      <c r="AF3359" s="223">
        <v>10.868598</v>
      </c>
      <c r="AG3359" s="223">
        <v>1.5818601000000001</v>
      </c>
      <c r="AH3359" s="341"/>
      <c r="AI3359" s="218"/>
      <c r="AJ3359" s="218"/>
      <c r="AK3359" s="153"/>
      <c r="AL3359" s="152"/>
      <c r="AM3359" s="152"/>
      <c r="AN3359" s="152"/>
      <c r="AO3359" s="152"/>
      <c r="AP3359" s="152"/>
      <c r="AQ3359" s="152"/>
      <c r="AR3359" s="152"/>
      <c r="AS3359" s="152"/>
      <c r="AT3359" s="152"/>
      <c r="AU3359" s="153"/>
      <c r="AV3359" s="479"/>
      <c r="AW3359" s="479"/>
      <c r="AX3359" s="442"/>
      <c r="AY3359" s="153"/>
      <c r="AZ3359" s="152"/>
      <c r="BA3359" s="152"/>
      <c r="BB3359" s="152"/>
      <c r="BC3359" s="152"/>
      <c r="BD3359" s="152"/>
      <c r="BE3359" s="152"/>
      <c r="BF3359" s="152"/>
      <c r="BG3359" s="152"/>
      <c r="BH3359" s="152"/>
      <c r="BI3359" s="153"/>
      <c r="BJ3359" s="153"/>
      <c r="BK3359" s="153"/>
      <c r="BL3359" s="153"/>
      <c r="BM3359" s="153"/>
      <c r="BN3359" s="153"/>
      <c r="BO3359" s="153"/>
      <c r="BP3359" s="153"/>
      <c r="BQ3359" s="153"/>
      <c r="BR3359" s="153"/>
      <c r="BS3359" s="153"/>
      <c r="BT3359" s="153"/>
      <c r="BU3359" s="153"/>
      <c r="BV3359" s="153"/>
      <c r="BW3359" s="153"/>
      <c r="BX3359" s="153"/>
      <c r="BY3359" s="153"/>
      <c r="BZ3359" s="153"/>
      <c r="CA3359" s="152"/>
      <c r="CB3359" s="152"/>
    </row>
    <row r="3360" spans="1:80" s="87" customFormat="1" x14ac:dyDescent="0.2">
      <c r="A3360" s="152"/>
      <c r="B3360" s="683"/>
      <c r="C3360" s="683"/>
      <c r="D3360" s="698"/>
      <c r="E3360" s="215"/>
      <c r="F3360" s="215"/>
      <c r="G3360" s="153"/>
      <c r="H3360" s="153"/>
      <c r="I3360" s="164">
        <v>26</v>
      </c>
      <c r="J3360" s="163">
        <v>60</v>
      </c>
      <c r="K3360" s="150">
        <v>1</v>
      </c>
      <c r="L3360" s="664">
        <v>26</v>
      </c>
      <c r="M3360" s="663">
        <v>34870</v>
      </c>
      <c r="N3360" s="600">
        <v>16.902699999999999</v>
      </c>
      <c r="O3360" s="604">
        <v>0.20046800000000001</v>
      </c>
      <c r="P3360" s="150"/>
      <c r="Q3360" s="250">
        <v>7.400000000000001E-2</v>
      </c>
      <c r="R3360" s="250">
        <v>0.11900000000000001</v>
      </c>
      <c r="S3360" s="250">
        <v>0.17800000000000002</v>
      </c>
      <c r="T3360" s="250">
        <v>0.17499999999999999</v>
      </c>
      <c r="U3360" s="250">
        <v>0.13800000000000001</v>
      </c>
      <c r="V3360" s="250">
        <v>0.12300000000000001</v>
      </c>
      <c r="W3360" s="250">
        <v>9.6999999999999989E-2</v>
      </c>
      <c r="X3360" s="250">
        <v>0.09</v>
      </c>
      <c r="Y3360" s="250">
        <v>6.0000000000000001E-3</v>
      </c>
      <c r="Z3360" s="150">
        <v>56</v>
      </c>
      <c r="AA3360" s="150">
        <v>4.8</v>
      </c>
      <c r="AB3360" s="152"/>
      <c r="AC3360" s="152"/>
      <c r="AD3360" s="223">
        <v>18.775064</v>
      </c>
      <c r="AE3360" s="223">
        <v>0.57910099999999998</v>
      </c>
      <c r="AF3360" s="223">
        <v>10.868598</v>
      </c>
      <c r="AG3360" s="223">
        <v>1.5818601000000001</v>
      </c>
      <c r="AH3360" s="341"/>
      <c r="AI3360" s="218"/>
      <c r="AJ3360" s="218"/>
      <c r="AK3360" s="153"/>
      <c r="AL3360" s="152"/>
      <c r="AM3360" s="152"/>
      <c r="AN3360" s="152"/>
      <c r="AO3360" s="152"/>
      <c r="AP3360" s="152"/>
      <c r="AQ3360" s="152"/>
      <c r="AR3360" s="152"/>
      <c r="AS3360" s="152"/>
      <c r="AT3360" s="152"/>
      <c r="AU3360" s="153"/>
      <c r="AV3360" s="479"/>
      <c r="AW3360" s="479"/>
      <c r="AX3360" s="442"/>
      <c r="AY3360" s="153"/>
      <c r="AZ3360" s="152"/>
      <c r="BA3360" s="152"/>
      <c r="BB3360" s="152"/>
      <c r="BC3360" s="152"/>
      <c r="BD3360" s="152"/>
      <c r="BE3360" s="152"/>
      <c r="BF3360" s="152"/>
      <c r="BG3360" s="152"/>
      <c r="BH3360" s="152"/>
      <c r="BI3360" s="153"/>
      <c r="BJ3360" s="153"/>
      <c r="BK3360" s="153"/>
      <c r="BL3360" s="153"/>
      <c r="BM3360" s="153"/>
      <c r="BN3360" s="153"/>
      <c r="BO3360" s="153"/>
      <c r="BP3360" s="153"/>
      <c r="BQ3360" s="153"/>
      <c r="BR3360" s="153"/>
      <c r="BS3360" s="153"/>
      <c r="BT3360" s="153"/>
      <c r="BU3360" s="153"/>
      <c r="BV3360" s="153"/>
      <c r="BW3360" s="153"/>
      <c r="BX3360" s="153"/>
      <c r="BY3360" s="153"/>
      <c r="BZ3360" s="153"/>
      <c r="CA3360" s="152"/>
      <c r="CB3360" s="152"/>
    </row>
    <row r="3361" spans="1:80" s="87" customFormat="1" x14ac:dyDescent="0.2">
      <c r="A3361" s="152"/>
      <c r="B3361" s="683"/>
      <c r="C3361" s="683"/>
      <c r="D3361" s="698"/>
      <c r="E3361" s="215"/>
      <c r="F3361" s="215"/>
      <c r="G3361" s="153"/>
      <c r="H3361" s="153"/>
      <c r="I3361" s="164">
        <v>19</v>
      </c>
      <c r="J3361" s="163">
        <v>60</v>
      </c>
      <c r="K3361" s="150">
        <v>1</v>
      </c>
      <c r="L3361" s="664">
        <v>19</v>
      </c>
      <c r="M3361" s="663">
        <v>34873</v>
      </c>
      <c r="N3361" s="600">
        <v>14.1564</v>
      </c>
      <c r="O3361" s="604">
        <v>3.6525000000000002E-2</v>
      </c>
      <c r="P3361" s="150"/>
      <c r="Q3361" s="250"/>
      <c r="R3361" s="250"/>
      <c r="S3361" s="250">
        <v>3.3000000000000002E-2</v>
      </c>
      <c r="T3361" s="250">
        <v>0.10800000000000001</v>
      </c>
      <c r="U3361" s="250">
        <v>0.13</v>
      </c>
      <c r="V3361" s="250">
        <v>0.19500000000000001</v>
      </c>
      <c r="W3361" s="250">
        <v>0.23699999999999999</v>
      </c>
      <c r="X3361" s="250">
        <v>0.27300000000000002</v>
      </c>
      <c r="Y3361" s="250">
        <v>2.4E-2</v>
      </c>
      <c r="Z3361" s="150">
        <v>14</v>
      </c>
      <c r="AA3361" s="150">
        <v>0.91</v>
      </c>
      <c r="AB3361" s="152"/>
      <c r="AC3361" s="152"/>
      <c r="AD3361" s="223">
        <v>16.763449999999999</v>
      </c>
      <c r="AE3361" s="223">
        <v>0.60958000000000001</v>
      </c>
      <c r="AF3361" s="223">
        <v>10.21834</v>
      </c>
      <c r="AG3361" s="223">
        <v>1.3593634000000001</v>
      </c>
      <c r="AH3361" s="341"/>
      <c r="AI3361" s="218"/>
      <c r="AJ3361" s="218"/>
      <c r="AK3361" s="153"/>
      <c r="AL3361" s="152"/>
      <c r="AM3361" s="152"/>
      <c r="AN3361" s="152"/>
      <c r="AO3361" s="152"/>
      <c r="AP3361" s="152"/>
      <c r="AQ3361" s="152"/>
      <c r="AR3361" s="152"/>
      <c r="AS3361" s="152"/>
      <c r="AT3361" s="152"/>
      <c r="AU3361" s="153"/>
      <c r="AV3361" s="479"/>
      <c r="AW3361" s="479"/>
      <c r="AX3361" s="442"/>
      <c r="AY3361" s="153"/>
      <c r="AZ3361" s="152"/>
      <c r="BA3361" s="152"/>
      <c r="BB3361" s="152"/>
      <c r="BC3361" s="152"/>
      <c r="BD3361" s="152"/>
      <c r="BE3361" s="152"/>
      <c r="BF3361" s="152"/>
      <c r="BG3361" s="152"/>
      <c r="BH3361" s="152"/>
      <c r="BI3361" s="153"/>
      <c r="BJ3361" s="153"/>
      <c r="BK3361" s="153"/>
      <c r="BL3361" s="153"/>
      <c r="BM3361" s="153"/>
      <c r="BN3361" s="153"/>
      <c r="BO3361" s="153"/>
      <c r="BP3361" s="153"/>
      <c r="BQ3361" s="153"/>
      <c r="BR3361" s="153"/>
      <c r="BS3361" s="153"/>
      <c r="BT3361" s="153"/>
      <c r="BU3361" s="153"/>
      <c r="BV3361" s="153"/>
      <c r="BW3361" s="153"/>
      <c r="BX3361" s="153"/>
      <c r="BY3361" s="153"/>
      <c r="BZ3361" s="153"/>
      <c r="CA3361" s="152"/>
      <c r="CB3361" s="152"/>
    </row>
    <row r="3362" spans="1:80" s="87" customFormat="1" x14ac:dyDescent="0.2">
      <c r="A3362" s="152"/>
      <c r="B3362" s="683"/>
      <c r="C3362" s="683"/>
      <c r="D3362" s="698"/>
      <c r="E3362" s="215"/>
      <c r="F3362" s="215"/>
      <c r="G3362" s="153"/>
      <c r="H3362" s="153"/>
      <c r="I3362" s="164">
        <v>19</v>
      </c>
      <c r="J3362" s="163">
        <v>60</v>
      </c>
      <c r="K3362" s="150">
        <v>1</v>
      </c>
      <c r="L3362" s="664">
        <v>19</v>
      </c>
      <c r="M3362" s="663">
        <v>34873</v>
      </c>
      <c r="N3362" s="600">
        <v>14.1564</v>
      </c>
      <c r="O3362" s="604">
        <v>4.3661999999999999E-2</v>
      </c>
      <c r="P3362" s="150"/>
      <c r="Q3362" s="250"/>
      <c r="R3362" s="250"/>
      <c r="S3362" s="250">
        <v>0.09</v>
      </c>
      <c r="T3362" s="250">
        <v>8.900000000000001E-2</v>
      </c>
      <c r="U3362" s="250">
        <v>0.10300000000000001</v>
      </c>
      <c r="V3362" s="250">
        <v>0.19500000000000001</v>
      </c>
      <c r="W3362" s="250">
        <v>0.20499999999999999</v>
      </c>
      <c r="X3362" s="250">
        <v>0.28699999999999998</v>
      </c>
      <c r="Y3362" s="250">
        <v>3.1E-2</v>
      </c>
      <c r="Z3362" s="150">
        <v>14</v>
      </c>
      <c r="AA3362" s="150">
        <v>0.93</v>
      </c>
      <c r="AB3362" s="152"/>
      <c r="AC3362" s="152"/>
      <c r="AD3362" s="223">
        <v>16.763449999999999</v>
      </c>
      <c r="AE3362" s="223">
        <v>0.60958000000000001</v>
      </c>
      <c r="AF3362" s="223">
        <v>10.21834</v>
      </c>
      <c r="AG3362" s="223">
        <v>1.3593634000000001</v>
      </c>
      <c r="AH3362" s="341"/>
      <c r="AI3362" s="218"/>
      <c r="AJ3362" s="218"/>
      <c r="AK3362" s="153"/>
      <c r="AL3362" s="152"/>
      <c r="AM3362" s="152"/>
      <c r="AN3362" s="152"/>
      <c r="AO3362" s="152"/>
      <c r="AP3362" s="152"/>
      <c r="AQ3362" s="152"/>
      <c r="AR3362" s="152"/>
      <c r="AS3362" s="152"/>
      <c r="AT3362" s="152"/>
      <c r="AU3362" s="153"/>
      <c r="AV3362" s="479"/>
      <c r="AW3362" s="479"/>
      <c r="AX3362" s="442"/>
      <c r="AY3362" s="153"/>
      <c r="AZ3362" s="152"/>
      <c r="BA3362" s="152"/>
      <c r="BB3362" s="152"/>
      <c r="BC3362" s="152"/>
      <c r="BD3362" s="152"/>
      <c r="BE3362" s="152"/>
      <c r="BF3362" s="152"/>
      <c r="BG3362" s="152"/>
      <c r="BH3362" s="152"/>
      <c r="BI3362" s="153"/>
      <c r="BJ3362" s="153"/>
      <c r="BK3362" s="153"/>
      <c r="BL3362" s="153"/>
      <c r="BM3362" s="153"/>
      <c r="BN3362" s="153"/>
      <c r="BO3362" s="153"/>
      <c r="BP3362" s="153"/>
      <c r="BQ3362" s="153"/>
      <c r="BR3362" s="153"/>
      <c r="BS3362" s="153"/>
      <c r="BT3362" s="153"/>
      <c r="BU3362" s="153"/>
      <c r="BV3362" s="153"/>
      <c r="BW3362" s="153"/>
      <c r="BX3362" s="153"/>
      <c r="BY3362" s="153"/>
      <c r="BZ3362" s="153"/>
      <c r="CA3362" s="152"/>
      <c r="CB3362" s="152"/>
    </row>
    <row r="3363" spans="1:80" s="87" customFormat="1" x14ac:dyDescent="0.2">
      <c r="A3363" s="152"/>
      <c r="B3363" s="683"/>
      <c r="C3363" s="683"/>
      <c r="D3363" s="698"/>
      <c r="E3363" s="215"/>
      <c r="F3363" s="215"/>
      <c r="G3363" s="153"/>
      <c r="H3363" s="153"/>
      <c r="I3363" s="164">
        <v>18</v>
      </c>
      <c r="J3363" s="163">
        <v>60</v>
      </c>
      <c r="K3363" s="150">
        <v>1</v>
      </c>
      <c r="L3363" s="664">
        <v>18</v>
      </c>
      <c r="M3363" s="663">
        <v>34877</v>
      </c>
      <c r="N3363" s="600">
        <v>18.120100000000001</v>
      </c>
      <c r="O3363" s="604">
        <v>0.30227700000000002</v>
      </c>
      <c r="P3363" s="150"/>
      <c r="Q3363" s="250"/>
      <c r="R3363" s="250">
        <v>0.03</v>
      </c>
      <c r="S3363" s="250">
        <v>9.0999999999999998E-2</v>
      </c>
      <c r="T3363" s="250">
        <v>0.14699999999999999</v>
      </c>
      <c r="U3363" s="250">
        <v>0.187</v>
      </c>
      <c r="V3363" s="250">
        <v>0.23800000000000002</v>
      </c>
      <c r="W3363" s="250">
        <v>0.18600000000000003</v>
      </c>
      <c r="X3363" s="250">
        <v>0.114</v>
      </c>
      <c r="Y3363" s="250">
        <v>6.9999999999999993E-3</v>
      </c>
      <c r="Z3363" s="150">
        <v>25</v>
      </c>
      <c r="AA3363" s="150">
        <v>1.75</v>
      </c>
      <c r="AB3363" s="152"/>
      <c r="AC3363" s="152"/>
      <c r="AD3363" s="223">
        <v>18.988416999999998</v>
      </c>
      <c r="AE3363" s="223">
        <v>0.60653210000000002</v>
      </c>
      <c r="AF3363" s="223">
        <v>11.518856</v>
      </c>
      <c r="AG3363" s="223">
        <v>1.6275786000000001</v>
      </c>
      <c r="AH3363" s="341"/>
      <c r="AI3363" s="218"/>
      <c r="AJ3363" s="218"/>
      <c r="AK3363" s="153"/>
      <c r="AL3363" s="152"/>
      <c r="AM3363" s="152"/>
      <c r="AN3363" s="152"/>
      <c r="AO3363" s="152"/>
      <c r="AP3363" s="152"/>
      <c r="AQ3363" s="152"/>
      <c r="AR3363" s="152"/>
      <c r="AS3363" s="152"/>
      <c r="AT3363" s="152"/>
      <c r="AU3363" s="153"/>
      <c r="AV3363" s="479"/>
      <c r="AW3363" s="479"/>
      <c r="AX3363" s="442"/>
      <c r="AY3363" s="153"/>
      <c r="AZ3363" s="152"/>
      <c r="BA3363" s="152"/>
      <c r="BB3363" s="152"/>
      <c r="BC3363" s="152"/>
      <c r="BD3363" s="152"/>
      <c r="BE3363" s="152"/>
      <c r="BF3363" s="152"/>
      <c r="BG3363" s="152"/>
      <c r="BH3363" s="152"/>
      <c r="BI3363" s="153"/>
      <c r="BJ3363" s="153"/>
      <c r="BK3363" s="153"/>
      <c r="BL3363" s="153"/>
      <c r="BM3363" s="153"/>
      <c r="BN3363" s="153"/>
      <c r="BO3363" s="153"/>
      <c r="BP3363" s="153"/>
      <c r="BQ3363" s="153"/>
      <c r="BR3363" s="153"/>
      <c r="BS3363" s="153"/>
      <c r="BT3363" s="153"/>
      <c r="BU3363" s="153"/>
      <c r="BV3363" s="153"/>
      <c r="BW3363" s="153"/>
      <c r="BX3363" s="153"/>
      <c r="BY3363" s="153"/>
      <c r="BZ3363" s="153"/>
      <c r="CA3363" s="152"/>
      <c r="CB3363" s="152"/>
    </row>
    <row r="3364" spans="1:80" s="87" customFormat="1" x14ac:dyDescent="0.2">
      <c r="A3364" s="152"/>
      <c r="B3364" s="683"/>
      <c r="C3364" s="683"/>
      <c r="D3364" s="698"/>
      <c r="E3364" s="215"/>
      <c r="F3364" s="215"/>
      <c r="G3364" s="153"/>
      <c r="H3364" s="153"/>
      <c r="I3364" s="164">
        <v>18</v>
      </c>
      <c r="J3364" s="163">
        <v>60</v>
      </c>
      <c r="K3364" s="150">
        <v>1</v>
      </c>
      <c r="L3364" s="664">
        <v>18</v>
      </c>
      <c r="M3364" s="663">
        <v>34877</v>
      </c>
      <c r="N3364" s="600">
        <v>18.120100000000001</v>
      </c>
      <c r="O3364" s="604">
        <v>0.10306800000000001</v>
      </c>
      <c r="P3364" s="150"/>
      <c r="Q3364" s="250"/>
      <c r="R3364" s="250">
        <v>6.4000000000000001E-2</v>
      </c>
      <c r="S3364" s="250">
        <v>8.3000000000000004E-2</v>
      </c>
      <c r="T3364" s="250">
        <v>0.14300000000000002</v>
      </c>
      <c r="U3364" s="250">
        <v>0.184</v>
      </c>
      <c r="V3364" s="250">
        <v>0.23899999999999999</v>
      </c>
      <c r="W3364" s="250">
        <v>0.17300000000000001</v>
      </c>
      <c r="X3364" s="250">
        <v>0.107</v>
      </c>
      <c r="Y3364" s="250">
        <v>6.9999999999999993E-3</v>
      </c>
      <c r="Z3364" s="150">
        <v>25</v>
      </c>
      <c r="AA3364" s="150">
        <v>1.85</v>
      </c>
      <c r="AB3364" s="152"/>
      <c r="AC3364" s="152"/>
      <c r="AD3364" s="223">
        <v>18.988416999999998</v>
      </c>
      <c r="AE3364" s="223">
        <v>0.60653210000000002</v>
      </c>
      <c r="AF3364" s="223">
        <v>11.518856</v>
      </c>
      <c r="AG3364" s="223">
        <v>1.6275786000000001</v>
      </c>
      <c r="AH3364" s="341"/>
      <c r="AI3364" s="218"/>
      <c r="AJ3364" s="218"/>
      <c r="AK3364" s="153"/>
      <c r="AL3364" s="152"/>
      <c r="AM3364" s="152"/>
      <c r="AN3364" s="152"/>
      <c r="AO3364" s="152"/>
      <c r="AP3364" s="152"/>
      <c r="AQ3364" s="152"/>
      <c r="AR3364" s="152"/>
      <c r="AS3364" s="152"/>
      <c r="AT3364" s="152"/>
      <c r="AU3364" s="153"/>
      <c r="AV3364" s="479"/>
      <c r="AW3364" s="479"/>
      <c r="AX3364" s="442"/>
      <c r="AY3364" s="153"/>
      <c r="AZ3364" s="152"/>
      <c r="BA3364" s="152"/>
      <c r="BB3364" s="152"/>
      <c r="BC3364" s="152"/>
      <c r="BD3364" s="152"/>
      <c r="BE3364" s="152"/>
      <c r="BF3364" s="152"/>
      <c r="BG3364" s="152"/>
      <c r="BH3364" s="152"/>
      <c r="BI3364" s="153"/>
      <c r="BJ3364" s="153"/>
      <c r="BK3364" s="153"/>
      <c r="BL3364" s="153"/>
      <c r="BM3364" s="153"/>
      <c r="BN3364" s="153"/>
      <c r="BO3364" s="153"/>
      <c r="BP3364" s="153"/>
      <c r="BQ3364" s="153"/>
      <c r="BR3364" s="153"/>
      <c r="BS3364" s="153"/>
      <c r="BT3364" s="153"/>
      <c r="BU3364" s="153"/>
      <c r="BV3364" s="153"/>
      <c r="BW3364" s="153"/>
      <c r="BX3364" s="153"/>
      <c r="BY3364" s="153"/>
      <c r="BZ3364" s="153"/>
      <c r="CA3364" s="152"/>
      <c r="CB3364" s="152"/>
    </row>
    <row r="3365" spans="1:80" s="87" customFormat="1" x14ac:dyDescent="0.2">
      <c r="A3365" s="152"/>
      <c r="B3365" s="683"/>
      <c r="C3365" s="683"/>
      <c r="D3365" s="698"/>
      <c r="E3365" s="215"/>
      <c r="F3365" s="215"/>
      <c r="G3365" s="153"/>
      <c r="H3365" s="153"/>
      <c r="I3365" s="164">
        <v>19</v>
      </c>
      <c r="J3365" s="163">
        <v>60</v>
      </c>
      <c r="K3365" s="150">
        <v>1</v>
      </c>
      <c r="L3365" s="664">
        <v>19</v>
      </c>
      <c r="M3365" s="663">
        <v>34879</v>
      </c>
      <c r="N3365" s="600">
        <v>15.7135</v>
      </c>
      <c r="O3365" s="604">
        <v>5.1848999999999999E-2</v>
      </c>
      <c r="P3365" s="150"/>
      <c r="Q3365" s="250"/>
      <c r="R3365" s="250"/>
      <c r="S3365" s="250">
        <v>3.3000000000000002E-2</v>
      </c>
      <c r="T3365" s="250">
        <v>7.0000000000000007E-2</v>
      </c>
      <c r="U3365" s="250">
        <v>0.161</v>
      </c>
      <c r="V3365" s="250">
        <v>0.26300000000000001</v>
      </c>
      <c r="W3365" s="250">
        <v>0.251</v>
      </c>
      <c r="X3365" s="250">
        <v>0.21</v>
      </c>
      <c r="Y3365" s="250">
        <v>1.2E-2</v>
      </c>
      <c r="Z3365" s="150">
        <v>14</v>
      </c>
      <c r="AA3365" s="150">
        <v>1.07</v>
      </c>
      <c r="AB3365" s="152"/>
      <c r="AC3365" s="152"/>
      <c r="AD3365" s="223">
        <v>17.37303</v>
      </c>
      <c r="AE3365" s="223">
        <v>0.63091529999999996</v>
      </c>
      <c r="AF3365" s="223">
        <v>10.961492</v>
      </c>
      <c r="AG3365" s="223">
        <v>1.5087105000000001</v>
      </c>
      <c r="AH3365" s="341"/>
      <c r="AI3365" s="218"/>
      <c r="AJ3365" s="218"/>
      <c r="AK3365" s="153"/>
      <c r="AL3365" s="152"/>
      <c r="AM3365" s="152"/>
      <c r="AN3365" s="152"/>
      <c r="AO3365" s="152"/>
      <c r="AP3365" s="152"/>
      <c r="AQ3365" s="152"/>
      <c r="AR3365" s="152"/>
      <c r="AS3365" s="152"/>
      <c r="AT3365" s="152"/>
      <c r="AU3365" s="153"/>
      <c r="AV3365" s="479"/>
      <c r="AW3365" s="479"/>
      <c r="AX3365" s="442"/>
      <c r="AY3365" s="153"/>
      <c r="AZ3365" s="152"/>
      <c r="BA3365" s="152"/>
      <c r="BB3365" s="152"/>
      <c r="BC3365" s="152"/>
      <c r="BD3365" s="152"/>
      <c r="BE3365" s="152"/>
      <c r="BF3365" s="152"/>
      <c r="BG3365" s="152"/>
      <c r="BH3365" s="152"/>
      <c r="BI3365" s="153"/>
      <c r="BJ3365" s="153"/>
      <c r="BK3365" s="153"/>
      <c r="BL3365" s="153"/>
      <c r="BM3365" s="153"/>
      <c r="BN3365" s="153"/>
      <c r="BO3365" s="153"/>
      <c r="BP3365" s="153"/>
      <c r="BQ3365" s="153"/>
      <c r="BR3365" s="153"/>
      <c r="BS3365" s="153"/>
      <c r="BT3365" s="153"/>
      <c r="BU3365" s="153"/>
      <c r="BV3365" s="153"/>
      <c r="BW3365" s="153"/>
      <c r="BX3365" s="153"/>
      <c r="BY3365" s="153"/>
      <c r="BZ3365" s="153"/>
      <c r="CA3365" s="152"/>
      <c r="CB3365" s="152"/>
    </row>
    <row r="3366" spans="1:80" s="87" customFormat="1" x14ac:dyDescent="0.2">
      <c r="A3366" s="152"/>
      <c r="B3366" s="683"/>
      <c r="C3366" s="683"/>
      <c r="D3366" s="698"/>
      <c r="E3366" s="215"/>
      <c r="F3366" s="215"/>
      <c r="G3366" s="153"/>
      <c r="H3366" s="153"/>
      <c r="I3366" s="164">
        <v>19</v>
      </c>
      <c r="J3366" s="163">
        <v>60</v>
      </c>
      <c r="K3366" s="150">
        <v>1</v>
      </c>
      <c r="L3366" s="664">
        <v>19</v>
      </c>
      <c r="M3366" s="663">
        <v>34879</v>
      </c>
      <c r="N3366" s="600">
        <v>15.7135</v>
      </c>
      <c r="O3366" s="604">
        <v>4.1037999999999998E-2</v>
      </c>
      <c r="P3366" s="150"/>
      <c r="Q3366" s="250"/>
      <c r="R3366" s="250"/>
      <c r="S3366" s="250">
        <v>3.4000000000000002E-2</v>
      </c>
      <c r="T3366" s="250">
        <v>0.109</v>
      </c>
      <c r="U3366" s="250">
        <v>0.13100000000000001</v>
      </c>
      <c r="V3366" s="250">
        <v>0.21299999999999999</v>
      </c>
      <c r="W3366" s="250">
        <v>0.21899999999999997</v>
      </c>
      <c r="X3366" s="250">
        <v>0.26800000000000002</v>
      </c>
      <c r="Y3366" s="250">
        <v>2.6000000000000002E-2</v>
      </c>
      <c r="Z3366" s="150">
        <v>14</v>
      </c>
      <c r="AA3366" s="150">
        <v>0.96</v>
      </c>
      <c r="AB3366" s="152"/>
      <c r="AC3366" s="152"/>
      <c r="AD3366" s="223">
        <v>17.37303</v>
      </c>
      <c r="AE3366" s="223">
        <v>0.63091529999999996</v>
      </c>
      <c r="AF3366" s="223">
        <v>10.961492</v>
      </c>
      <c r="AG3366" s="223">
        <v>1.5087105000000001</v>
      </c>
      <c r="AH3366" s="341"/>
      <c r="AI3366" s="218"/>
      <c r="AJ3366" s="218"/>
      <c r="AK3366" s="153"/>
      <c r="AL3366" s="152"/>
      <c r="AM3366" s="152"/>
      <c r="AN3366" s="152"/>
      <c r="AO3366" s="152"/>
      <c r="AP3366" s="152"/>
      <c r="AQ3366" s="152"/>
      <c r="AR3366" s="152"/>
      <c r="AS3366" s="152"/>
      <c r="AT3366" s="152"/>
      <c r="AU3366" s="153"/>
      <c r="AV3366" s="479"/>
      <c r="AW3366" s="479"/>
      <c r="AX3366" s="442"/>
      <c r="AY3366" s="153"/>
      <c r="AZ3366" s="152"/>
      <c r="BA3366" s="152"/>
      <c r="BB3366" s="152"/>
      <c r="BC3366" s="152"/>
      <c r="BD3366" s="152"/>
      <c r="BE3366" s="152"/>
      <c r="BF3366" s="152"/>
      <c r="BG3366" s="152"/>
      <c r="BH3366" s="152"/>
      <c r="BI3366" s="153"/>
      <c r="BJ3366" s="153"/>
      <c r="BK3366" s="153"/>
      <c r="BL3366" s="153"/>
      <c r="BM3366" s="153"/>
      <c r="BN3366" s="153"/>
      <c r="BO3366" s="153"/>
      <c r="BP3366" s="153"/>
      <c r="BQ3366" s="153"/>
      <c r="BR3366" s="153"/>
      <c r="BS3366" s="153"/>
      <c r="BT3366" s="153"/>
      <c r="BU3366" s="153"/>
      <c r="BV3366" s="153"/>
      <c r="BW3366" s="153"/>
      <c r="BX3366" s="153"/>
      <c r="BY3366" s="153"/>
      <c r="BZ3366" s="153"/>
      <c r="CA3366" s="152"/>
      <c r="CB3366" s="152"/>
    </row>
    <row r="3367" spans="1:80" s="87" customFormat="1" x14ac:dyDescent="0.2">
      <c r="A3367" s="152"/>
      <c r="B3367" s="683"/>
      <c r="C3367" s="683"/>
      <c r="D3367" s="698"/>
      <c r="E3367" s="215"/>
      <c r="F3367" s="215"/>
      <c r="G3367" s="153"/>
      <c r="H3367" s="153"/>
      <c r="I3367" s="164">
        <v>24</v>
      </c>
      <c r="J3367" s="163">
        <v>60</v>
      </c>
      <c r="K3367" s="150">
        <v>1</v>
      </c>
      <c r="L3367" s="664">
        <v>24</v>
      </c>
      <c r="M3367" s="663">
        <v>34886</v>
      </c>
      <c r="N3367" s="600">
        <v>12.825699999999999</v>
      </c>
      <c r="O3367" s="604">
        <v>1.1124999999999999E-2</v>
      </c>
      <c r="P3367" s="150"/>
      <c r="Q3367" s="250"/>
      <c r="R3367" s="250">
        <v>9.8000000000000004E-2</v>
      </c>
      <c r="S3367" s="250">
        <v>0.10300000000000001</v>
      </c>
      <c r="T3367" s="250">
        <v>6.8000000000000005E-2</v>
      </c>
      <c r="U3367" s="250">
        <v>0.11</v>
      </c>
      <c r="V3367" s="250">
        <v>0.20100000000000001</v>
      </c>
      <c r="W3367" s="250">
        <v>0.218</v>
      </c>
      <c r="X3367" s="250">
        <v>0.188</v>
      </c>
      <c r="Y3367" s="250">
        <v>1.3999999999999999E-2</v>
      </c>
      <c r="Z3367" s="150">
        <v>22</v>
      </c>
      <c r="AA3367" s="150">
        <v>1.32</v>
      </c>
      <c r="AB3367" s="152"/>
      <c r="AC3367" s="152"/>
      <c r="AD3367" s="223">
        <v>18.500753</v>
      </c>
      <c r="AE3367" s="223">
        <v>0.54252619999999996</v>
      </c>
      <c r="AF3367" s="223">
        <v>10.032552000000001</v>
      </c>
      <c r="AG3367" s="223">
        <v>1.3075490999999999</v>
      </c>
      <c r="AH3367" s="341"/>
      <c r="AI3367" s="218"/>
      <c r="AJ3367" s="218"/>
      <c r="AK3367" s="153"/>
      <c r="AL3367" s="152"/>
      <c r="AM3367" s="152"/>
      <c r="AN3367" s="152"/>
      <c r="AO3367" s="152"/>
      <c r="AP3367" s="152"/>
      <c r="AQ3367" s="152"/>
      <c r="AR3367" s="152"/>
      <c r="AS3367" s="152"/>
      <c r="AT3367" s="152"/>
      <c r="AU3367" s="153"/>
      <c r="AV3367" s="479"/>
      <c r="AW3367" s="479"/>
      <c r="AX3367" s="442"/>
      <c r="AY3367" s="153"/>
      <c r="AZ3367" s="152"/>
      <c r="BA3367" s="152"/>
      <c r="BB3367" s="152"/>
      <c r="BC3367" s="152"/>
      <c r="BD3367" s="152"/>
      <c r="BE3367" s="152"/>
      <c r="BF3367" s="152"/>
      <c r="BG3367" s="152"/>
      <c r="BH3367" s="152"/>
      <c r="BI3367" s="153"/>
      <c r="BJ3367" s="153"/>
      <c r="BK3367" s="153"/>
      <c r="BL3367" s="153"/>
      <c r="BM3367" s="153"/>
      <c r="BN3367" s="153"/>
      <c r="BO3367" s="153"/>
      <c r="BP3367" s="153"/>
      <c r="BQ3367" s="153"/>
      <c r="BR3367" s="153"/>
      <c r="BS3367" s="153"/>
      <c r="BT3367" s="153"/>
      <c r="BU3367" s="153"/>
      <c r="BV3367" s="153"/>
      <c r="BW3367" s="153"/>
      <c r="BX3367" s="153"/>
      <c r="BY3367" s="153"/>
      <c r="BZ3367" s="153"/>
      <c r="CA3367" s="152"/>
      <c r="CB3367" s="152"/>
    </row>
    <row r="3368" spans="1:80" s="87" customFormat="1" x14ac:dyDescent="0.2">
      <c r="A3368" s="152"/>
      <c r="B3368" s="683"/>
      <c r="C3368" s="683"/>
      <c r="D3368" s="698"/>
      <c r="E3368" s="215"/>
      <c r="F3368" s="215"/>
      <c r="G3368" s="153"/>
      <c r="H3368" s="153"/>
      <c r="I3368" s="164">
        <v>24</v>
      </c>
      <c r="J3368" s="163">
        <v>60</v>
      </c>
      <c r="K3368" s="150">
        <v>1</v>
      </c>
      <c r="L3368" s="664">
        <v>24</v>
      </c>
      <c r="M3368" s="663">
        <v>34886</v>
      </c>
      <c r="N3368" s="600">
        <v>12.825699999999999</v>
      </c>
      <c r="O3368" s="604">
        <v>1.8367999999999999E-2</v>
      </c>
      <c r="P3368" s="150"/>
      <c r="Q3368" s="250"/>
      <c r="R3368" s="250">
        <v>3.5000000000000003E-2</v>
      </c>
      <c r="S3368" s="250">
        <v>7.2000000000000008E-2</v>
      </c>
      <c r="T3368" s="250">
        <v>0.14199999999999999</v>
      </c>
      <c r="U3368" s="250">
        <v>0.18100000000000002</v>
      </c>
      <c r="V3368" s="250">
        <v>0.249</v>
      </c>
      <c r="W3368" s="250">
        <v>0.18</v>
      </c>
      <c r="X3368" s="250">
        <v>0.13500000000000001</v>
      </c>
      <c r="Y3368" s="250">
        <v>6.0000000000000001E-3</v>
      </c>
      <c r="Z3368" s="150">
        <v>22</v>
      </c>
      <c r="AA3368" s="150">
        <v>1.65</v>
      </c>
      <c r="AB3368" s="152"/>
      <c r="AC3368" s="152"/>
      <c r="AD3368" s="223">
        <v>18.500753</v>
      </c>
      <c r="AE3368" s="223">
        <v>0.54252619999999996</v>
      </c>
      <c r="AF3368" s="223">
        <v>10.032552000000001</v>
      </c>
      <c r="AG3368" s="223">
        <v>1.3075490999999999</v>
      </c>
      <c r="AH3368" s="341"/>
      <c r="AI3368" s="218"/>
      <c r="AJ3368" s="218"/>
      <c r="AK3368" s="153"/>
      <c r="AL3368" s="152"/>
      <c r="AM3368" s="152"/>
      <c r="AN3368" s="152"/>
      <c r="AO3368" s="152"/>
      <c r="AP3368" s="152"/>
      <c r="AQ3368" s="152"/>
      <c r="AR3368" s="152"/>
      <c r="AS3368" s="152"/>
      <c r="AT3368" s="152"/>
      <c r="AU3368" s="153"/>
      <c r="AV3368" s="479"/>
      <c r="AW3368" s="479"/>
      <c r="AX3368" s="442"/>
      <c r="AY3368" s="153"/>
      <c r="AZ3368" s="152"/>
      <c r="BA3368" s="152"/>
      <c r="BB3368" s="152"/>
      <c r="BC3368" s="152"/>
      <c r="BD3368" s="152"/>
      <c r="BE3368" s="152"/>
      <c r="BF3368" s="152"/>
      <c r="BG3368" s="152"/>
      <c r="BH3368" s="152"/>
      <c r="BI3368" s="153"/>
      <c r="BJ3368" s="153"/>
      <c r="BK3368" s="153"/>
      <c r="BL3368" s="153"/>
      <c r="BM3368" s="153"/>
      <c r="BN3368" s="153"/>
      <c r="BO3368" s="153"/>
      <c r="BP3368" s="153"/>
      <c r="BQ3368" s="153"/>
      <c r="BR3368" s="153"/>
      <c r="BS3368" s="153"/>
      <c r="BT3368" s="153"/>
      <c r="BU3368" s="153"/>
      <c r="BV3368" s="153"/>
      <c r="BW3368" s="153"/>
      <c r="BX3368" s="153"/>
      <c r="BY3368" s="153"/>
      <c r="BZ3368" s="153"/>
      <c r="CA3368" s="152"/>
      <c r="CB3368" s="152"/>
    </row>
    <row r="3369" spans="1:80" s="87" customFormat="1" x14ac:dyDescent="0.2">
      <c r="A3369" s="152"/>
      <c r="B3369" s="683"/>
      <c r="C3369" s="683"/>
      <c r="D3369" s="698"/>
      <c r="E3369" s="215"/>
      <c r="F3369" s="215"/>
      <c r="G3369" s="153"/>
      <c r="H3369" s="153"/>
      <c r="I3369" s="164">
        <v>23</v>
      </c>
      <c r="J3369" s="163">
        <v>60</v>
      </c>
      <c r="K3369" s="150">
        <v>1</v>
      </c>
      <c r="L3369" s="664">
        <v>23</v>
      </c>
      <c r="M3369" s="663">
        <v>34890</v>
      </c>
      <c r="N3369" s="600">
        <v>12.514200000000001</v>
      </c>
      <c r="O3369" s="604">
        <v>6.1400000000000003E-2</v>
      </c>
      <c r="P3369" s="150"/>
      <c r="Q3369" s="250"/>
      <c r="R3369" s="250"/>
      <c r="S3369" s="250">
        <v>0.114</v>
      </c>
      <c r="T3369" s="250">
        <v>0.153</v>
      </c>
      <c r="U3369" s="250">
        <v>0.23</v>
      </c>
      <c r="V3369" s="250">
        <v>0.26899999999999996</v>
      </c>
      <c r="W3369" s="250">
        <v>0.161</v>
      </c>
      <c r="X3369" s="250">
        <v>6.9000000000000006E-2</v>
      </c>
      <c r="Y3369" s="250">
        <v>4.0000000000000001E-3</v>
      </c>
      <c r="Z3369" s="150">
        <v>15</v>
      </c>
      <c r="AA3369" s="150">
        <v>1.98</v>
      </c>
      <c r="AB3369" s="152"/>
      <c r="AC3369" s="152"/>
      <c r="AD3369" s="223">
        <v>18.439795</v>
      </c>
      <c r="AE3369" s="223">
        <v>0.53033459999999999</v>
      </c>
      <c r="AF3369" s="223">
        <v>9.7538699999999992</v>
      </c>
      <c r="AG3369" s="223">
        <v>1.3258365000000001</v>
      </c>
      <c r="AH3369" s="341"/>
      <c r="AI3369" s="218"/>
      <c r="AJ3369" s="218"/>
      <c r="AK3369" s="153"/>
      <c r="AL3369" s="152"/>
      <c r="AM3369" s="152"/>
      <c r="AN3369" s="152"/>
      <c r="AO3369" s="152"/>
      <c r="AP3369" s="152"/>
      <c r="AQ3369" s="152"/>
      <c r="AR3369" s="152"/>
      <c r="AS3369" s="152"/>
      <c r="AT3369" s="152"/>
      <c r="AU3369" s="153"/>
      <c r="AV3369" s="479"/>
      <c r="AW3369" s="479"/>
      <c r="AX3369" s="442"/>
      <c r="AY3369" s="153"/>
      <c r="AZ3369" s="152"/>
      <c r="BA3369" s="152"/>
      <c r="BB3369" s="152"/>
      <c r="BC3369" s="152"/>
      <c r="BD3369" s="152"/>
      <c r="BE3369" s="152"/>
      <c r="BF3369" s="152"/>
      <c r="BG3369" s="152"/>
      <c r="BH3369" s="152"/>
      <c r="BI3369" s="153"/>
      <c r="BJ3369" s="153"/>
      <c r="BK3369" s="153"/>
      <c r="BL3369" s="153"/>
      <c r="BM3369" s="153"/>
      <c r="BN3369" s="153"/>
      <c r="BO3369" s="153"/>
      <c r="BP3369" s="153"/>
      <c r="BQ3369" s="153"/>
      <c r="BR3369" s="153"/>
      <c r="BS3369" s="153"/>
      <c r="BT3369" s="153"/>
      <c r="BU3369" s="153"/>
      <c r="BV3369" s="153"/>
      <c r="BW3369" s="153"/>
      <c r="BX3369" s="153"/>
      <c r="BY3369" s="153"/>
      <c r="BZ3369" s="153"/>
      <c r="CA3369" s="152"/>
      <c r="CB3369" s="152"/>
    </row>
    <row r="3370" spans="1:80" s="87" customFormat="1" x14ac:dyDescent="0.2">
      <c r="A3370" s="152"/>
      <c r="B3370" s="683"/>
      <c r="C3370" s="683"/>
      <c r="D3370" s="698"/>
      <c r="E3370" s="215"/>
      <c r="F3370" s="215"/>
      <c r="G3370" s="153"/>
      <c r="H3370" s="153"/>
      <c r="I3370" s="164">
        <v>23</v>
      </c>
      <c r="J3370" s="163">
        <v>60</v>
      </c>
      <c r="K3370" s="150">
        <v>1</v>
      </c>
      <c r="L3370" s="664">
        <v>23</v>
      </c>
      <c r="M3370" s="663">
        <v>34890</v>
      </c>
      <c r="N3370" s="600">
        <v>12.514200000000001</v>
      </c>
      <c r="O3370" s="604">
        <v>1.123E-2</v>
      </c>
      <c r="P3370" s="150"/>
      <c r="Q3370" s="250"/>
      <c r="R3370" s="250"/>
      <c r="S3370" s="250">
        <v>6.5000000000000002E-2</v>
      </c>
      <c r="T3370" s="250">
        <v>0.13500000000000001</v>
      </c>
      <c r="U3370" s="250">
        <v>0.17399999999999999</v>
      </c>
      <c r="V3370" s="250">
        <v>0.23800000000000002</v>
      </c>
      <c r="W3370" s="250">
        <v>0.19500000000000001</v>
      </c>
      <c r="X3370" s="250">
        <v>0.17800000000000002</v>
      </c>
      <c r="Y3370" s="250">
        <v>1.4999999999999999E-2</v>
      </c>
      <c r="Z3370" s="150">
        <v>15</v>
      </c>
      <c r="AA3370" s="150">
        <v>1.39</v>
      </c>
      <c r="AB3370" s="152"/>
      <c r="AC3370" s="152"/>
      <c r="AD3370" s="223">
        <v>18.439795</v>
      </c>
      <c r="AE3370" s="223">
        <v>0.53033459999999999</v>
      </c>
      <c r="AF3370" s="223">
        <v>9.7538699999999992</v>
      </c>
      <c r="AG3370" s="223">
        <v>1.3258365000000001</v>
      </c>
      <c r="AH3370" s="341"/>
      <c r="AI3370" s="218"/>
      <c r="AJ3370" s="218"/>
      <c r="AK3370" s="153"/>
      <c r="AL3370" s="152"/>
      <c r="AM3370" s="152"/>
      <c r="AN3370" s="152"/>
      <c r="AO3370" s="152"/>
      <c r="AP3370" s="152"/>
      <c r="AQ3370" s="152"/>
      <c r="AR3370" s="152"/>
      <c r="AS3370" s="152"/>
      <c r="AT3370" s="152"/>
      <c r="AU3370" s="153"/>
      <c r="AV3370" s="479"/>
      <c r="AW3370" s="479"/>
      <c r="AX3370" s="442"/>
      <c r="AY3370" s="153"/>
      <c r="AZ3370" s="152"/>
      <c r="BA3370" s="152"/>
      <c r="BB3370" s="152"/>
      <c r="BC3370" s="152"/>
      <c r="BD3370" s="152"/>
      <c r="BE3370" s="152"/>
      <c r="BF3370" s="152"/>
      <c r="BG3370" s="152"/>
      <c r="BH3370" s="152"/>
      <c r="BI3370" s="153"/>
      <c r="BJ3370" s="153"/>
      <c r="BK3370" s="153"/>
      <c r="BL3370" s="153"/>
      <c r="BM3370" s="153"/>
      <c r="BN3370" s="153"/>
      <c r="BO3370" s="153"/>
      <c r="BP3370" s="153"/>
      <c r="BQ3370" s="153"/>
      <c r="BR3370" s="153"/>
      <c r="BS3370" s="153"/>
      <c r="BT3370" s="153"/>
      <c r="BU3370" s="153"/>
      <c r="BV3370" s="153"/>
      <c r="BW3370" s="153"/>
      <c r="BX3370" s="153"/>
      <c r="BY3370" s="153"/>
      <c r="BZ3370" s="153"/>
      <c r="CA3370" s="152"/>
      <c r="CB3370" s="152"/>
    </row>
    <row r="3371" spans="1:80" s="87" customFormat="1" x14ac:dyDescent="0.2">
      <c r="A3371" s="152"/>
      <c r="B3371" s="683"/>
      <c r="C3371" s="683"/>
      <c r="D3371" s="698"/>
      <c r="E3371" s="215"/>
      <c r="F3371" s="215"/>
      <c r="G3371" s="153"/>
      <c r="H3371" s="153"/>
      <c r="I3371" s="164">
        <v>22</v>
      </c>
      <c r="J3371" s="163">
        <v>60</v>
      </c>
      <c r="K3371" s="150">
        <v>1</v>
      </c>
      <c r="L3371" s="664">
        <v>22</v>
      </c>
      <c r="M3371" s="663">
        <v>34914</v>
      </c>
      <c r="N3371" s="600">
        <v>5.3510999999999997</v>
      </c>
      <c r="O3371" s="604">
        <v>3.705E-2</v>
      </c>
      <c r="P3371" s="150"/>
      <c r="Q3371" s="250"/>
      <c r="R3371" s="250">
        <v>0.374</v>
      </c>
      <c r="S3371" s="250">
        <v>9.3000000000000013E-2</v>
      </c>
      <c r="T3371" s="250">
        <v>8.1000000000000003E-2</v>
      </c>
      <c r="U3371" s="250">
        <v>0.105</v>
      </c>
      <c r="V3371" s="250">
        <v>0.14899999999999999</v>
      </c>
      <c r="W3371" s="250">
        <v>0.124</v>
      </c>
      <c r="X3371" s="250">
        <v>7.0000000000000007E-2</v>
      </c>
      <c r="Y3371" s="250">
        <v>4.0000000000000001E-3</v>
      </c>
      <c r="Z3371" s="150">
        <v>31</v>
      </c>
      <c r="AA3371" s="150">
        <v>6.03</v>
      </c>
      <c r="AB3371" s="152"/>
      <c r="AC3371" s="152"/>
      <c r="AD3371" s="223">
        <v>16.123391000000002</v>
      </c>
      <c r="AE3371" s="223">
        <v>0.42061019999999999</v>
      </c>
      <c r="AF3371" s="223">
        <v>6.7905514</v>
      </c>
      <c r="AG3371" s="223">
        <v>0.79550189999999998</v>
      </c>
      <c r="AH3371" s="341"/>
      <c r="AI3371" s="218"/>
      <c r="AJ3371" s="218"/>
      <c r="AK3371" s="153"/>
      <c r="AL3371" s="152"/>
      <c r="AM3371" s="152"/>
      <c r="AN3371" s="152"/>
      <c r="AO3371" s="152"/>
      <c r="AP3371" s="152"/>
      <c r="AQ3371" s="152"/>
      <c r="AR3371" s="152"/>
      <c r="AS3371" s="152"/>
      <c r="AT3371" s="152"/>
      <c r="AU3371" s="153"/>
      <c r="AV3371" s="479"/>
      <c r="AW3371" s="479"/>
      <c r="AX3371" s="442"/>
      <c r="AY3371" s="153"/>
      <c r="AZ3371" s="152"/>
      <c r="BA3371" s="152"/>
      <c r="BB3371" s="152"/>
      <c r="BC3371" s="152"/>
      <c r="BD3371" s="152"/>
      <c r="BE3371" s="152"/>
      <c r="BF3371" s="152"/>
      <c r="BG3371" s="152"/>
      <c r="BH3371" s="152"/>
      <c r="BI3371" s="153"/>
      <c r="BJ3371" s="153"/>
      <c r="BK3371" s="153"/>
      <c r="BL3371" s="153"/>
      <c r="BM3371" s="153"/>
      <c r="BN3371" s="153"/>
      <c r="BO3371" s="153"/>
      <c r="BP3371" s="153"/>
      <c r="BQ3371" s="153"/>
      <c r="BR3371" s="153"/>
      <c r="BS3371" s="153"/>
      <c r="BT3371" s="153"/>
      <c r="BU3371" s="153"/>
      <c r="BV3371" s="153"/>
      <c r="BW3371" s="153"/>
      <c r="BX3371" s="153"/>
      <c r="BY3371" s="153"/>
      <c r="BZ3371" s="153"/>
      <c r="CA3371" s="152"/>
      <c r="CB3371" s="152"/>
    </row>
    <row r="3372" spans="1:80" s="87" customFormat="1" x14ac:dyDescent="0.2">
      <c r="A3372" s="152"/>
      <c r="B3372" s="683"/>
      <c r="C3372" s="683"/>
      <c r="D3372" s="698"/>
      <c r="E3372" s="215"/>
      <c r="F3372" s="215"/>
      <c r="G3372" s="153"/>
      <c r="H3372" s="153"/>
      <c r="I3372" s="164">
        <v>22</v>
      </c>
      <c r="J3372" s="163">
        <v>60</v>
      </c>
      <c r="K3372" s="150">
        <v>1</v>
      </c>
      <c r="L3372" s="664">
        <v>22</v>
      </c>
      <c r="M3372" s="663">
        <v>34914</v>
      </c>
      <c r="N3372" s="600">
        <v>5.3510999999999997</v>
      </c>
      <c r="O3372" s="604">
        <v>3.7469999999999999E-3</v>
      </c>
      <c r="P3372" s="150"/>
      <c r="Q3372" s="250"/>
      <c r="R3372" s="250"/>
      <c r="S3372" s="250">
        <v>0.23300000000000001</v>
      </c>
      <c r="T3372" s="250">
        <v>3.9E-2</v>
      </c>
      <c r="U3372" s="250">
        <v>0.13699999999999998</v>
      </c>
      <c r="V3372" s="250">
        <v>0.19800000000000001</v>
      </c>
      <c r="W3372" s="250">
        <v>0.22899999999999998</v>
      </c>
      <c r="X3372" s="250">
        <v>0.156</v>
      </c>
      <c r="Y3372" s="250">
        <v>8.0000000000000002E-3</v>
      </c>
      <c r="Z3372" s="150">
        <v>31</v>
      </c>
      <c r="AA3372" s="150">
        <v>1.45</v>
      </c>
      <c r="AB3372" s="152"/>
      <c r="AC3372" s="152"/>
      <c r="AD3372" s="223">
        <v>16.123391000000002</v>
      </c>
      <c r="AE3372" s="223">
        <v>0.42061019999999999</v>
      </c>
      <c r="AF3372" s="223">
        <v>6.7905514</v>
      </c>
      <c r="AG3372" s="223">
        <v>0.79550189999999998</v>
      </c>
      <c r="AH3372" s="341"/>
      <c r="AI3372" s="218"/>
      <c r="AJ3372" s="218"/>
      <c r="AK3372" s="153"/>
      <c r="AL3372" s="152"/>
      <c r="AM3372" s="152"/>
      <c r="AN3372" s="152"/>
      <c r="AO3372" s="152"/>
      <c r="AP3372" s="152"/>
      <c r="AQ3372" s="152"/>
      <c r="AR3372" s="152"/>
      <c r="AS3372" s="152"/>
      <c r="AT3372" s="152"/>
      <c r="AU3372" s="153"/>
      <c r="AV3372" s="479"/>
      <c r="AW3372" s="479"/>
      <c r="AX3372" s="442"/>
      <c r="AY3372" s="153"/>
      <c r="AZ3372" s="152"/>
      <c r="BA3372" s="152"/>
      <c r="BB3372" s="152"/>
      <c r="BC3372" s="152"/>
      <c r="BD3372" s="152"/>
      <c r="BE3372" s="152"/>
      <c r="BF3372" s="152"/>
      <c r="BG3372" s="152"/>
      <c r="BH3372" s="152"/>
      <c r="BI3372" s="153"/>
      <c r="BJ3372" s="153"/>
      <c r="BK3372" s="153"/>
      <c r="BL3372" s="153"/>
      <c r="BM3372" s="153"/>
      <c r="BN3372" s="153"/>
      <c r="BO3372" s="153"/>
      <c r="BP3372" s="153"/>
      <c r="BQ3372" s="153"/>
      <c r="BR3372" s="153"/>
      <c r="BS3372" s="153"/>
      <c r="BT3372" s="153"/>
      <c r="BU3372" s="153"/>
      <c r="BV3372" s="153"/>
      <c r="BW3372" s="153"/>
      <c r="BX3372" s="153"/>
      <c r="BY3372" s="153"/>
      <c r="BZ3372" s="153"/>
      <c r="CA3372" s="152"/>
      <c r="CB3372" s="152"/>
    </row>
    <row r="3373" spans="1:80" s="87" customFormat="1" x14ac:dyDescent="0.2">
      <c r="A3373" s="152"/>
      <c r="B3373" s="683"/>
      <c r="C3373" s="683"/>
      <c r="D3373" s="698"/>
      <c r="E3373" s="215"/>
      <c r="F3373" s="215"/>
      <c r="G3373" s="153"/>
      <c r="H3373" s="153"/>
      <c r="I3373" s="164">
        <v>19</v>
      </c>
      <c r="J3373" s="163">
        <v>60</v>
      </c>
      <c r="K3373" s="150">
        <v>1</v>
      </c>
      <c r="L3373" s="664">
        <v>19</v>
      </c>
      <c r="M3373" s="663">
        <v>34901</v>
      </c>
      <c r="N3373" s="600">
        <v>7.6727400000000001</v>
      </c>
      <c r="O3373" s="604">
        <v>2.5400000000000002E-3</v>
      </c>
      <c r="P3373" s="150"/>
      <c r="Q3373" s="250"/>
      <c r="R3373" s="250"/>
      <c r="S3373" s="250"/>
      <c r="T3373" s="250">
        <v>2.2000000000000002E-2</v>
      </c>
      <c r="U3373" s="250">
        <v>0.121</v>
      </c>
      <c r="V3373" s="250">
        <v>0.23600000000000002</v>
      </c>
      <c r="W3373" s="250">
        <v>0.27100000000000002</v>
      </c>
      <c r="X3373" s="250">
        <v>0.314</v>
      </c>
      <c r="Y3373" s="250">
        <v>3.6000000000000004E-2</v>
      </c>
      <c r="Z3373" s="150">
        <v>5</v>
      </c>
      <c r="AA3373" s="150">
        <v>0.73</v>
      </c>
      <c r="AB3373" s="152"/>
      <c r="AC3373" s="152"/>
      <c r="AD3373" s="223">
        <v>17.068239999999999</v>
      </c>
      <c r="AE3373" s="223">
        <v>0.46328079999999999</v>
      </c>
      <c r="AF3373" s="223">
        <v>7.9238581999999997</v>
      </c>
      <c r="AG3373" s="223">
        <v>0.99666330000000003</v>
      </c>
      <c r="AH3373" s="341"/>
      <c r="AI3373" s="218"/>
      <c r="AJ3373" s="218"/>
      <c r="AK3373" s="153"/>
      <c r="AL3373" s="152"/>
      <c r="AM3373" s="152"/>
      <c r="AN3373" s="152"/>
      <c r="AO3373" s="152"/>
      <c r="AP3373" s="152"/>
      <c r="AQ3373" s="152"/>
      <c r="AR3373" s="152"/>
      <c r="AS3373" s="152"/>
      <c r="AT3373" s="152"/>
      <c r="AU3373" s="153"/>
      <c r="AV3373" s="479"/>
      <c r="AW3373" s="479"/>
      <c r="AX3373" s="442"/>
      <c r="AY3373" s="153"/>
      <c r="AZ3373" s="152"/>
      <c r="BA3373" s="152"/>
      <c r="BB3373" s="152"/>
      <c r="BC3373" s="152"/>
      <c r="BD3373" s="152"/>
      <c r="BE3373" s="152"/>
      <c r="BF3373" s="152"/>
      <c r="BG3373" s="152"/>
      <c r="BH3373" s="152"/>
      <c r="BI3373" s="153"/>
      <c r="BJ3373" s="153"/>
      <c r="BK3373" s="153"/>
      <c r="BL3373" s="153"/>
      <c r="BM3373" s="153"/>
      <c r="BN3373" s="153"/>
      <c r="BO3373" s="153"/>
      <c r="BP3373" s="153"/>
      <c r="BQ3373" s="153"/>
      <c r="BR3373" s="153"/>
      <c r="BS3373" s="153"/>
      <c r="BT3373" s="153"/>
      <c r="BU3373" s="153"/>
      <c r="BV3373" s="153"/>
      <c r="BW3373" s="153"/>
      <c r="BX3373" s="153"/>
      <c r="BY3373" s="153"/>
      <c r="BZ3373" s="153"/>
      <c r="CA3373" s="152"/>
      <c r="CB3373" s="152"/>
    </row>
    <row r="3374" spans="1:80" s="87" customFormat="1" x14ac:dyDescent="0.2">
      <c r="A3374" s="152"/>
      <c r="B3374" s="683"/>
      <c r="C3374" s="683"/>
      <c r="D3374" s="698"/>
      <c r="E3374" s="215"/>
      <c r="F3374" s="215"/>
      <c r="G3374" s="153"/>
      <c r="H3374" s="153"/>
      <c r="I3374" s="164">
        <v>19</v>
      </c>
      <c r="J3374" s="163">
        <v>60</v>
      </c>
      <c r="K3374" s="150">
        <v>1</v>
      </c>
      <c r="L3374" s="664">
        <v>19</v>
      </c>
      <c r="M3374" s="663">
        <v>34901</v>
      </c>
      <c r="N3374" s="600">
        <v>7.6727400000000001</v>
      </c>
      <c r="O3374" s="604">
        <v>7.6410000000000002E-3</v>
      </c>
      <c r="P3374" s="150"/>
      <c r="Q3374" s="250"/>
      <c r="R3374" s="250"/>
      <c r="S3374" s="250">
        <v>4.5999999999999999E-2</v>
      </c>
      <c r="T3374" s="250">
        <v>0.125</v>
      </c>
      <c r="U3374" s="250">
        <v>0.24</v>
      </c>
      <c r="V3374" s="250">
        <v>0.25900000000000001</v>
      </c>
      <c r="W3374" s="250">
        <v>0.17800000000000002</v>
      </c>
      <c r="X3374" s="250">
        <v>0.13900000000000001</v>
      </c>
      <c r="Y3374" s="250">
        <v>1.3000000000000001E-2</v>
      </c>
      <c r="Z3374" s="150">
        <v>5</v>
      </c>
      <c r="AA3374" s="150">
        <v>1.58</v>
      </c>
      <c r="AB3374" s="152"/>
      <c r="AC3374" s="152"/>
      <c r="AD3374" s="223">
        <v>17.068239999999999</v>
      </c>
      <c r="AE3374" s="223">
        <v>0.46328079999999999</v>
      </c>
      <c r="AF3374" s="223">
        <v>7.9238581999999997</v>
      </c>
      <c r="AG3374" s="223">
        <v>0.99666330000000003</v>
      </c>
      <c r="AH3374" s="341"/>
      <c r="AI3374" s="218"/>
      <c r="AJ3374" s="218"/>
      <c r="AK3374" s="153"/>
      <c r="AL3374" s="152"/>
      <c r="AM3374" s="152"/>
      <c r="AN3374" s="152"/>
      <c r="AO3374" s="152"/>
      <c r="AP3374" s="152"/>
      <c r="AQ3374" s="152"/>
      <c r="AR3374" s="152"/>
      <c r="AS3374" s="152"/>
      <c r="AT3374" s="152"/>
      <c r="AU3374" s="153"/>
      <c r="AV3374" s="479"/>
      <c r="AW3374" s="479"/>
      <c r="AX3374" s="442"/>
      <c r="AY3374" s="153"/>
      <c r="AZ3374" s="152"/>
      <c r="BA3374" s="152"/>
      <c r="BB3374" s="152"/>
      <c r="BC3374" s="152"/>
      <c r="BD3374" s="152"/>
      <c r="BE3374" s="152"/>
      <c r="BF3374" s="152"/>
      <c r="BG3374" s="152"/>
      <c r="BH3374" s="152"/>
      <c r="BI3374" s="153"/>
      <c r="BJ3374" s="153"/>
      <c r="BK3374" s="153"/>
      <c r="BL3374" s="153"/>
      <c r="BM3374" s="153"/>
      <c r="BN3374" s="153"/>
      <c r="BO3374" s="153"/>
      <c r="BP3374" s="153"/>
      <c r="BQ3374" s="153"/>
      <c r="BR3374" s="153"/>
      <c r="BS3374" s="153"/>
      <c r="BT3374" s="153"/>
      <c r="BU3374" s="153"/>
      <c r="BV3374" s="153"/>
      <c r="BW3374" s="153"/>
      <c r="BX3374" s="153"/>
      <c r="BY3374" s="153"/>
      <c r="BZ3374" s="153"/>
      <c r="CA3374" s="152"/>
      <c r="CB3374" s="152"/>
    </row>
    <row r="3375" spans="1:80" s="87" customFormat="1" x14ac:dyDescent="0.2">
      <c r="A3375" s="152"/>
      <c r="B3375" s="683"/>
      <c r="C3375" s="683"/>
      <c r="D3375" s="698"/>
      <c r="E3375" s="215"/>
      <c r="F3375" s="215"/>
      <c r="G3375" s="153"/>
      <c r="H3375" s="153"/>
      <c r="I3375" s="164">
        <v>23</v>
      </c>
      <c r="J3375" s="163">
        <v>60</v>
      </c>
      <c r="K3375" s="150">
        <v>1</v>
      </c>
      <c r="L3375" s="664">
        <v>23</v>
      </c>
      <c r="M3375" s="663">
        <v>34934</v>
      </c>
      <c r="N3375" s="600">
        <v>3.7938999999999998</v>
      </c>
      <c r="O3375" s="604">
        <v>3.6939999999999998E-3</v>
      </c>
      <c r="P3375" s="150"/>
      <c r="Q3375" s="250"/>
      <c r="R3375" s="250"/>
      <c r="S3375" s="250">
        <v>0.12300000000000001</v>
      </c>
      <c r="T3375" s="250">
        <v>0.20899999999999999</v>
      </c>
      <c r="U3375" s="250">
        <v>0.17600000000000002</v>
      </c>
      <c r="V3375" s="250">
        <v>0.16500000000000001</v>
      </c>
      <c r="W3375" s="250">
        <v>0.17600000000000002</v>
      </c>
      <c r="X3375" s="250">
        <v>0.14400000000000002</v>
      </c>
      <c r="Y3375" s="250">
        <v>6.9999999999999993E-3</v>
      </c>
      <c r="Z3375" s="150">
        <v>9</v>
      </c>
      <c r="AA3375" s="150">
        <v>2.06</v>
      </c>
      <c r="AB3375" s="152"/>
      <c r="AC3375" s="152"/>
      <c r="AD3375" s="223">
        <v>15.574769</v>
      </c>
      <c r="AE3375" s="223">
        <v>0.35660429999999999</v>
      </c>
      <c r="AF3375" s="223">
        <v>5.5550611999999999</v>
      </c>
      <c r="AG3375" s="223">
        <v>0.68272960000000005</v>
      </c>
      <c r="AH3375" s="341"/>
      <c r="AI3375" s="218"/>
      <c r="AJ3375" s="218"/>
      <c r="AK3375" s="153"/>
      <c r="AL3375" s="152"/>
      <c r="AM3375" s="152"/>
      <c r="AN3375" s="152"/>
      <c r="AO3375" s="152"/>
      <c r="AP3375" s="152"/>
      <c r="AQ3375" s="152"/>
      <c r="AR3375" s="152"/>
      <c r="AS3375" s="152"/>
      <c r="AT3375" s="152"/>
      <c r="AU3375" s="153"/>
      <c r="AV3375" s="479"/>
      <c r="AW3375" s="479"/>
      <c r="AX3375" s="442"/>
      <c r="AY3375" s="153"/>
      <c r="AZ3375" s="152"/>
      <c r="BA3375" s="152"/>
      <c r="BB3375" s="152"/>
      <c r="BC3375" s="152"/>
      <c r="BD3375" s="152"/>
      <c r="BE3375" s="152"/>
      <c r="BF3375" s="152"/>
      <c r="BG3375" s="152"/>
      <c r="BH3375" s="152"/>
      <c r="BI3375" s="153"/>
      <c r="BJ3375" s="153"/>
      <c r="BK3375" s="153"/>
      <c r="BL3375" s="153"/>
      <c r="BM3375" s="153"/>
      <c r="BN3375" s="153"/>
      <c r="BO3375" s="153"/>
      <c r="BP3375" s="153"/>
      <c r="BQ3375" s="153"/>
      <c r="BR3375" s="153"/>
      <c r="BS3375" s="153"/>
      <c r="BT3375" s="153"/>
      <c r="BU3375" s="153"/>
      <c r="BV3375" s="153"/>
      <c r="BW3375" s="153"/>
      <c r="BX3375" s="153"/>
      <c r="BY3375" s="153"/>
      <c r="BZ3375" s="153"/>
      <c r="CA3375" s="152"/>
      <c r="CB3375" s="152"/>
    </row>
    <row r="3376" spans="1:80" s="87" customFormat="1" x14ac:dyDescent="0.2">
      <c r="A3376" s="152"/>
      <c r="B3376" s="683"/>
      <c r="C3376" s="683"/>
      <c r="D3376" s="698"/>
      <c r="E3376" s="215"/>
      <c r="F3376" s="215"/>
      <c r="G3376" s="153"/>
      <c r="H3376" s="153"/>
      <c r="I3376" s="164">
        <v>23</v>
      </c>
      <c r="J3376" s="163">
        <v>60</v>
      </c>
      <c r="K3376" s="150">
        <v>1</v>
      </c>
      <c r="L3376" s="664">
        <v>23</v>
      </c>
      <c r="M3376" s="663">
        <v>34934</v>
      </c>
      <c r="N3376" s="600">
        <v>3.7938999999999998</v>
      </c>
      <c r="O3376" s="604">
        <v>1.5009E-2</v>
      </c>
      <c r="P3376" s="150"/>
      <c r="Q3376" s="250"/>
      <c r="R3376" s="250"/>
      <c r="S3376" s="250">
        <v>0.32500000000000001</v>
      </c>
      <c r="T3376" s="250">
        <v>0.23</v>
      </c>
      <c r="U3376" s="250">
        <v>0.16200000000000001</v>
      </c>
      <c r="V3376" s="250">
        <v>0.17600000000000002</v>
      </c>
      <c r="W3376" s="250">
        <v>7.4999999999999997E-2</v>
      </c>
      <c r="X3376" s="250">
        <v>3.1E-2</v>
      </c>
      <c r="Y3376" s="250">
        <v>1E-3</v>
      </c>
      <c r="Z3376" s="150">
        <v>9</v>
      </c>
      <c r="AA3376" s="150">
        <v>4.72</v>
      </c>
      <c r="AB3376" s="152"/>
      <c r="AC3376" s="152"/>
      <c r="AD3376" s="223">
        <v>15.574769</v>
      </c>
      <c r="AE3376" s="223">
        <v>0.35660429999999999</v>
      </c>
      <c r="AF3376" s="223">
        <v>5.5550611999999999</v>
      </c>
      <c r="AG3376" s="223">
        <v>0.68272960000000005</v>
      </c>
      <c r="AH3376" s="341"/>
      <c r="AI3376" s="218"/>
      <c r="AJ3376" s="218"/>
      <c r="AK3376" s="153"/>
      <c r="AL3376" s="152"/>
      <c r="AM3376" s="152"/>
      <c r="AN3376" s="152"/>
      <c r="AO3376" s="152"/>
      <c r="AP3376" s="152"/>
      <c r="AQ3376" s="152"/>
      <c r="AR3376" s="152"/>
      <c r="AS3376" s="152"/>
      <c r="AT3376" s="152"/>
      <c r="AU3376" s="153"/>
      <c r="AV3376" s="479"/>
      <c r="AW3376" s="479"/>
      <c r="AX3376" s="442"/>
      <c r="AY3376" s="153"/>
      <c r="AZ3376" s="152"/>
      <c r="BA3376" s="152"/>
      <c r="BB3376" s="152"/>
      <c r="BC3376" s="152"/>
      <c r="BD3376" s="152"/>
      <c r="BE3376" s="152"/>
      <c r="BF3376" s="152"/>
      <c r="BG3376" s="152"/>
      <c r="BH3376" s="152"/>
      <c r="BI3376" s="153"/>
      <c r="BJ3376" s="153"/>
      <c r="BK3376" s="153"/>
      <c r="BL3376" s="153"/>
      <c r="BM3376" s="153"/>
      <c r="BN3376" s="153"/>
      <c r="BO3376" s="153"/>
      <c r="BP3376" s="153"/>
      <c r="BQ3376" s="153"/>
      <c r="BR3376" s="153"/>
      <c r="BS3376" s="153"/>
      <c r="BT3376" s="153"/>
      <c r="BU3376" s="153"/>
      <c r="BV3376" s="153"/>
      <c r="BW3376" s="153"/>
      <c r="BX3376" s="153"/>
      <c r="BY3376" s="153"/>
      <c r="BZ3376" s="153"/>
      <c r="CA3376" s="152"/>
      <c r="CB3376" s="152"/>
    </row>
    <row r="3377" spans="1:80" s="87" customFormat="1" x14ac:dyDescent="0.2">
      <c r="A3377" s="152"/>
      <c r="B3377" s="683"/>
      <c r="C3377" s="683"/>
      <c r="D3377" s="698"/>
      <c r="E3377" s="215"/>
      <c r="F3377" s="215"/>
      <c r="G3377" s="153"/>
      <c r="H3377" s="153"/>
      <c r="I3377" s="164">
        <v>21</v>
      </c>
      <c r="J3377" s="163">
        <v>60</v>
      </c>
      <c r="K3377" s="150">
        <v>1</v>
      </c>
      <c r="L3377" s="664">
        <v>21</v>
      </c>
      <c r="M3377" s="663">
        <v>34954</v>
      </c>
      <c r="N3377" s="600">
        <v>2.8086199999999999</v>
      </c>
      <c r="O3377" s="604">
        <v>2.1199999999999999E-3</v>
      </c>
      <c r="P3377" s="150"/>
      <c r="Q3377" s="250"/>
      <c r="R3377" s="250"/>
      <c r="S3377" s="250">
        <v>4.8000000000000001E-2</v>
      </c>
      <c r="T3377" s="250">
        <v>0.31</v>
      </c>
      <c r="U3377" s="250">
        <v>0.16600000000000001</v>
      </c>
      <c r="V3377" s="250">
        <v>0.17899999999999999</v>
      </c>
      <c r="W3377" s="250">
        <v>0.159</v>
      </c>
      <c r="X3377" s="250">
        <v>0.13100000000000001</v>
      </c>
      <c r="Y3377" s="250">
        <v>6.9999999999999993E-3</v>
      </c>
      <c r="Z3377" s="150">
        <v>9</v>
      </c>
      <c r="AA3377" s="150">
        <v>2.21</v>
      </c>
      <c r="AB3377" s="152"/>
      <c r="AC3377" s="152"/>
      <c r="AD3377" s="223">
        <v>14.995668</v>
      </c>
      <c r="AE3377" s="223">
        <v>0.32307740000000001</v>
      </c>
      <c r="AF3377" s="223">
        <v>4.8397774</v>
      </c>
      <c r="AG3377" s="223">
        <v>0.60958000000000001</v>
      </c>
      <c r="AH3377" s="341"/>
      <c r="AI3377" s="218"/>
      <c r="AJ3377" s="218"/>
      <c r="AK3377" s="153"/>
      <c r="AL3377" s="152"/>
      <c r="AM3377" s="152"/>
      <c r="AN3377" s="152"/>
      <c r="AO3377" s="152"/>
      <c r="AP3377" s="152"/>
      <c r="AQ3377" s="152"/>
      <c r="AR3377" s="152"/>
      <c r="AS3377" s="152"/>
      <c r="AT3377" s="152"/>
      <c r="AU3377" s="153"/>
      <c r="AV3377" s="479"/>
      <c r="AW3377" s="479"/>
      <c r="AX3377" s="442"/>
      <c r="AY3377" s="153"/>
      <c r="AZ3377" s="152"/>
      <c r="BA3377" s="152"/>
      <c r="BB3377" s="152"/>
      <c r="BC3377" s="152"/>
      <c r="BD3377" s="152"/>
      <c r="BE3377" s="152"/>
      <c r="BF3377" s="152"/>
      <c r="BG3377" s="152"/>
      <c r="BH3377" s="152"/>
      <c r="BI3377" s="153"/>
      <c r="BJ3377" s="153"/>
      <c r="BK3377" s="153"/>
      <c r="BL3377" s="153"/>
      <c r="BM3377" s="153"/>
      <c r="BN3377" s="153"/>
      <c r="BO3377" s="153"/>
      <c r="BP3377" s="153"/>
      <c r="BQ3377" s="153"/>
      <c r="BR3377" s="153"/>
      <c r="BS3377" s="153"/>
      <c r="BT3377" s="153"/>
      <c r="BU3377" s="153"/>
      <c r="BV3377" s="153"/>
      <c r="BW3377" s="153"/>
      <c r="BX3377" s="153"/>
      <c r="BY3377" s="153"/>
      <c r="BZ3377" s="153"/>
      <c r="CA3377" s="152"/>
      <c r="CB3377" s="152"/>
    </row>
    <row r="3378" spans="1:80" s="87" customFormat="1" x14ac:dyDescent="0.2">
      <c r="A3378" s="152"/>
      <c r="B3378" s="683"/>
      <c r="C3378" s="683"/>
      <c r="D3378" s="698"/>
      <c r="E3378" s="215"/>
      <c r="F3378" s="215"/>
      <c r="G3378" s="153"/>
      <c r="H3378" s="153"/>
      <c r="I3378" s="164">
        <v>19</v>
      </c>
      <c r="J3378" s="163">
        <v>60</v>
      </c>
      <c r="K3378" s="150">
        <v>1</v>
      </c>
      <c r="L3378" s="664">
        <v>19</v>
      </c>
      <c r="M3378" s="663">
        <v>34977</v>
      </c>
      <c r="N3378" s="600">
        <v>2.3782700000000001</v>
      </c>
      <c r="O3378" s="604">
        <v>9.9700000000000006E-4</v>
      </c>
      <c r="P3378" s="150"/>
      <c r="Q3378" s="250"/>
      <c r="R3378" s="250"/>
      <c r="S3378" s="250"/>
      <c r="T3378" s="250">
        <v>0.169463</v>
      </c>
      <c r="U3378" s="250">
        <v>0.32214799999999999</v>
      </c>
      <c r="V3378" s="250">
        <v>0.23322099999999998</v>
      </c>
      <c r="W3378" s="250">
        <v>0.15604000000000001</v>
      </c>
      <c r="X3378" s="250">
        <v>0.110738</v>
      </c>
      <c r="Y3378" s="250">
        <v>8.3890000000000006E-3</v>
      </c>
      <c r="Z3378" s="150"/>
      <c r="AA3378" s="150">
        <v>1.95</v>
      </c>
      <c r="AB3378" s="152"/>
      <c r="AC3378" s="152"/>
      <c r="AD3378" s="223">
        <v>14.873752</v>
      </c>
      <c r="AE3378" s="223">
        <v>0.29564629999999997</v>
      </c>
      <c r="AF3378" s="223">
        <v>4.3938861999999999</v>
      </c>
      <c r="AG3378" s="223">
        <v>0.56690940000000001</v>
      </c>
      <c r="AH3378" s="341"/>
      <c r="AI3378" s="218"/>
      <c r="AJ3378" s="218"/>
      <c r="AK3378" s="153"/>
      <c r="AL3378" s="152"/>
      <c r="AM3378" s="152"/>
      <c r="AN3378" s="152"/>
      <c r="AO3378" s="152"/>
      <c r="AP3378" s="152"/>
      <c r="AQ3378" s="152"/>
      <c r="AR3378" s="152"/>
      <c r="AS3378" s="152"/>
      <c r="AT3378" s="152"/>
      <c r="AU3378" s="153"/>
      <c r="AV3378" s="479"/>
      <c r="AW3378" s="479"/>
      <c r="AX3378" s="442"/>
      <c r="AY3378" s="153"/>
      <c r="AZ3378" s="152"/>
      <c r="BA3378" s="152"/>
      <c r="BB3378" s="152"/>
      <c r="BC3378" s="152"/>
      <c r="BD3378" s="152"/>
      <c r="BE3378" s="152"/>
      <c r="BF3378" s="152"/>
      <c r="BG3378" s="152"/>
      <c r="BH3378" s="152"/>
      <c r="BI3378" s="153"/>
      <c r="BJ3378" s="153"/>
      <c r="BK3378" s="153"/>
      <c r="BL3378" s="153"/>
      <c r="BM3378" s="153"/>
      <c r="BN3378" s="153"/>
      <c r="BO3378" s="153"/>
      <c r="BP3378" s="153"/>
      <c r="BQ3378" s="153"/>
      <c r="BR3378" s="153"/>
      <c r="BS3378" s="153"/>
      <c r="BT3378" s="153"/>
      <c r="BU3378" s="153"/>
      <c r="BV3378" s="153"/>
      <c r="BW3378" s="153"/>
      <c r="BX3378" s="153"/>
      <c r="BY3378" s="153"/>
      <c r="BZ3378" s="153"/>
      <c r="CA3378" s="152"/>
      <c r="CB3378" s="152"/>
    </row>
    <row r="3379" spans="1:80" s="87" customFormat="1" x14ac:dyDescent="0.2">
      <c r="A3379" s="152"/>
      <c r="B3379" s="683"/>
      <c r="C3379" s="683"/>
      <c r="D3379" s="698"/>
      <c r="E3379" s="215"/>
      <c r="F3379" s="215"/>
      <c r="G3379" s="153"/>
      <c r="H3379" s="153"/>
      <c r="I3379" s="164">
        <v>21</v>
      </c>
      <c r="J3379" s="163">
        <v>60</v>
      </c>
      <c r="K3379" s="150">
        <v>1</v>
      </c>
      <c r="L3379" s="664">
        <v>21</v>
      </c>
      <c r="M3379" s="663">
        <v>35032</v>
      </c>
      <c r="N3379" s="600">
        <v>3.00115</v>
      </c>
      <c r="O3379" s="604">
        <v>1.6268000000000001E-2</v>
      </c>
      <c r="P3379" s="150"/>
      <c r="Q3379" s="250"/>
      <c r="R3379" s="250"/>
      <c r="S3379" s="250">
        <v>4.7230000000000001E-2</v>
      </c>
      <c r="T3379" s="250">
        <v>2.2023000000000001E-2</v>
      </c>
      <c r="U3379" s="250">
        <v>0.144959</v>
      </c>
      <c r="V3379" s="250">
        <v>0.34411599999999998</v>
      </c>
      <c r="W3379" s="250">
        <v>0.28733700000000001</v>
      </c>
      <c r="X3379" s="250">
        <v>0.14943199999999998</v>
      </c>
      <c r="Y3379" s="250">
        <v>4.9040000000000004E-3</v>
      </c>
      <c r="Z3379" s="150"/>
      <c r="AA3379" s="150">
        <v>1.1200000000000001</v>
      </c>
      <c r="AB3379" s="152"/>
      <c r="AC3379" s="152"/>
      <c r="AD3379" s="223">
        <v>15.056626</v>
      </c>
      <c r="AE3379" s="223">
        <v>0.31698159999999997</v>
      </c>
      <c r="AF3379" s="223">
        <v>4.7561727999999999</v>
      </c>
      <c r="AG3379" s="223">
        <v>0.60653210000000002</v>
      </c>
      <c r="AH3379" s="341"/>
      <c r="AI3379" s="218"/>
      <c r="AJ3379" s="218"/>
      <c r="AK3379" s="153"/>
      <c r="AL3379" s="152"/>
      <c r="AM3379" s="152"/>
      <c r="AN3379" s="152"/>
      <c r="AO3379" s="152"/>
      <c r="AP3379" s="152"/>
      <c r="AQ3379" s="152"/>
      <c r="AR3379" s="152"/>
      <c r="AS3379" s="152"/>
      <c r="AT3379" s="152"/>
      <c r="AU3379" s="153"/>
      <c r="AV3379" s="479"/>
      <c r="AW3379" s="479"/>
      <c r="AX3379" s="442"/>
      <c r="AY3379" s="153"/>
      <c r="AZ3379" s="152"/>
      <c r="BA3379" s="152"/>
      <c r="BB3379" s="152"/>
      <c r="BC3379" s="152"/>
      <c r="BD3379" s="152"/>
      <c r="BE3379" s="152"/>
      <c r="BF3379" s="152"/>
      <c r="BG3379" s="152"/>
      <c r="BH3379" s="152"/>
      <c r="BI3379" s="153"/>
      <c r="BJ3379" s="153"/>
      <c r="BK3379" s="153"/>
      <c r="BL3379" s="153"/>
      <c r="BM3379" s="153"/>
      <c r="BN3379" s="153"/>
      <c r="BO3379" s="153"/>
      <c r="BP3379" s="153"/>
      <c r="BQ3379" s="153"/>
      <c r="BR3379" s="153"/>
      <c r="BS3379" s="153"/>
      <c r="BT3379" s="153"/>
      <c r="BU3379" s="153"/>
      <c r="BV3379" s="153"/>
      <c r="BW3379" s="153"/>
      <c r="BX3379" s="153"/>
      <c r="BY3379" s="153"/>
      <c r="BZ3379" s="153"/>
      <c r="CA3379" s="152"/>
      <c r="CB3379" s="152"/>
    </row>
    <row r="3380" spans="1:80" s="87" customFormat="1" x14ac:dyDescent="0.2">
      <c r="A3380" s="152"/>
      <c r="B3380" s="683"/>
      <c r="C3380" s="683"/>
      <c r="D3380" s="698"/>
      <c r="E3380" s="215"/>
      <c r="F3380" s="215"/>
      <c r="G3380" s="153"/>
      <c r="H3380" s="153"/>
      <c r="I3380" s="164">
        <v>24</v>
      </c>
      <c r="J3380" s="163">
        <v>60</v>
      </c>
      <c r="K3380" s="150">
        <v>1</v>
      </c>
      <c r="L3380" s="664">
        <v>24</v>
      </c>
      <c r="M3380" s="663">
        <v>35130</v>
      </c>
      <c r="N3380" s="600">
        <v>2.5368200000000001</v>
      </c>
      <c r="O3380" s="604">
        <v>4.3350000000000003E-3</v>
      </c>
      <c r="P3380" s="150"/>
      <c r="Q3380" s="250"/>
      <c r="R3380" s="250"/>
      <c r="S3380" s="250">
        <v>7.0045999999999997E-2</v>
      </c>
      <c r="T3380" s="250">
        <v>5.5913999999999998E-2</v>
      </c>
      <c r="U3380" s="250">
        <v>0.11336399999999999</v>
      </c>
      <c r="V3380" s="250">
        <v>0.21106000000000003</v>
      </c>
      <c r="W3380" s="250">
        <v>0.29831099999999999</v>
      </c>
      <c r="X3380" s="250">
        <v>0.24454699999999999</v>
      </c>
      <c r="Y3380" s="250">
        <v>6.7589999999999994E-3</v>
      </c>
      <c r="Z3380" s="150"/>
      <c r="AA3380" s="150">
        <v>0.89</v>
      </c>
      <c r="AB3380" s="152"/>
      <c r="AC3380" s="152"/>
      <c r="AD3380" s="223">
        <v>14.965189000000001</v>
      </c>
      <c r="AE3380" s="223">
        <v>0.2865026</v>
      </c>
      <c r="AF3380" s="223">
        <v>4.2917028000000004</v>
      </c>
      <c r="AG3380" s="223">
        <v>0.58824469999999995</v>
      </c>
      <c r="AH3380" s="341"/>
      <c r="AI3380" s="218"/>
      <c r="AJ3380" s="218"/>
      <c r="AK3380" s="153"/>
      <c r="AL3380" s="152"/>
      <c r="AM3380" s="152"/>
      <c r="AN3380" s="152"/>
      <c r="AO3380" s="152"/>
      <c r="AP3380" s="152"/>
      <c r="AQ3380" s="152"/>
      <c r="AR3380" s="152"/>
      <c r="AS3380" s="152"/>
      <c r="AT3380" s="152"/>
      <c r="AU3380" s="153"/>
      <c r="AV3380" s="479"/>
      <c r="AW3380" s="479"/>
      <c r="AX3380" s="442"/>
      <c r="AY3380" s="153"/>
      <c r="AZ3380" s="152"/>
      <c r="BA3380" s="152"/>
      <c r="BB3380" s="152"/>
      <c r="BC3380" s="152"/>
      <c r="BD3380" s="152"/>
      <c r="BE3380" s="152"/>
      <c r="BF3380" s="152"/>
      <c r="BG3380" s="152"/>
      <c r="BH3380" s="152"/>
      <c r="BI3380" s="153"/>
      <c r="BJ3380" s="153"/>
      <c r="BK3380" s="153"/>
      <c r="BL3380" s="153"/>
      <c r="BM3380" s="153"/>
      <c r="BN3380" s="153"/>
      <c r="BO3380" s="153"/>
      <c r="BP3380" s="153"/>
      <c r="BQ3380" s="153"/>
      <c r="BR3380" s="153"/>
      <c r="BS3380" s="153"/>
      <c r="BT3380" s="153"/>
      <c r="BU3380" s="153"/>
      <c r="BV3380" s="153"/>
      <c r="BW3380" s="153"/>
      <c r="BX3380" s="153"/>
      <c r="BY3380" s="153"/>
      <c r="BZ3380" s="153"/>
      <c r="CA3380" s="152"/>
      <c r="CB3380" s="152"/>
    </row>
    <row r="3381" spans="1:80" s="87" customFormat="1" x14ac:dyDescent="0.2">
      <c r="A3381" s="152"/>
      <c r="B3381" s="683"/>
      <c r="C3381" s="683"/>
      <c r="D3381" s="698"/>
      <c r="E3381" s="215"/>
      <c r="F3381" s="215"/>
      <c r="G3381" s="153"/>
      <c r="H3381" s="153"/>
      <c r="I3381" s="164">
        <v>23</v>
      </c>
      <c r="J3381" s="163">
        <v>60</v>
      </c>
      <c r="K3381" s="150">
        <v>1</v>
      </c>
      <c r="L3381" s="664">
        <v>23</v>
      </c>
      <c r="M3381" s="663">
        <v>35167</v>
      </c>
      <c r="N3381" s="600">
        <v>6.7101100000000002</v>
      </c>
      <c r="O3381" s="604">
        <v>1.9626999999999999E-2</v>
      </c>
      <c r="P3381" s="150"/>
      <c r="Q3381" s="250"/>
      <c r="R3381" s="250"/>
      <c r="S3381" s="250">
        <v>0.19187699999999999</v>
      </c>
      <c r="T3381" s="250">
        <v>0.16899</v>
      </c>
      <c r="U3381" s="250">
        <v>0.21571200000000001</v>
      </c>
      <c r="V3381" s="250">
        <v>0.18817799999999998</v>
      </c>
      <c r="W3381" s="250">
        <v>0.14558599999999999</v>
      </c>
      <c r="X3381" s="250">
        <v>8.4151000000000004E-2</v>
      </c>
      <c r="Y3381" s="250">
        <v>5.5069999999999997E-3</v>
      </c>
      <c r="Z3381" s="150"/>
      <c r="AA3381" s="150">
        <v>2.56</v>
      </c>
      <c r="AB3381" s="152"/>
      <c r="AC3381" s="152"/>
      <c r="AD3381" s="223">
        <v>17.738778</v>
      </c>
      <c r="AE3381" s="223">
        <v>0.42061019999999999</v>
      </c>
      <c r="AF3381" s="223">
        <v>7.4408094</v>
      </c>
      <c r="AG3381" s="223">
        <v>0.92960949999999998</v>
      </c>
      <c r="AH3381" s="341"/>
      <c r="AI3381" s="218"/>
      <c r="AJ3381" s="218"/>
      <c r="AK3381" s="153"/>
      <c r="AL3381" s="152"/>
      <c r="AM3381" s="152"/>
      <c r="AN3381" s="152"/>
      <c r="AO3381" s="152"/>
      <c r="AP3381" s="152"/>
      <c r="AQ3381" s="152"/>
      <c r="AR3381" s="152"/>
      <c r="AS3381" s="152"/>
      <c r="AT3381" s="152"/>
      <c r="AU3381" s="153"/>
      <c r="AV3381" s="479"/>
      <c r="AW3381" s="479"/>
      <c r="AX3381" s="442"/>
      <c r="AY3381" s="153"/>
      <c r="AZ3381" s="152"/>
      <c r="BA3381" s="152"/>
      <c r="BB3381" s="152"/>
      <c r="BC3381" s="152"/>
      <c r="BD3381" s="152"/>
      <c r="BE3381" s="152"/>
      <c r="BF3381" s="152"/>
      <c r="BG3381" s="152"/>
      <c r="BH3381" s="152"/>
      <c r="BI3381" s="153"/>
      <c r="BJ3381" s="153"/>
      <c r="BK3381" s="153"/>
      <c r="BL3381" s="153"/>
      <c r="BM3381" s="153"/>
      <c r="BN3381" s="153"/>
      <c r="BO3381" s="153"/>
      <c r="BP3381" s="153"/>
      <c r="BQ3381" s="153"/>
      <c r="BR3381" s="153"/>
      <c r="BS3381" s="153"/>
      <c r="BT3381" s="153"/>
      <c r="BU3381" s="153"/>
      <c r="BV3381" s="153"/>
      <c r="BW3381" s="153"/>
      <c r="BX3381" s="153"/>
      <c r="BY3381" s="153"/>
      <c r="BZ3381" s="153"/>
      <c r="CA3381" s="152"/>
      <c r="CB3381" s="152"/>
    </row>
    <row r="3382" spans="1:80" s="87" customFormat="1" x14ac:dyDescent="0.2">
      <c r="A3382" s="152"/>
      <c r="B3382" s="683"/>
      <c r="C3382" s="683"/>
      <c r="D3382" s="698"/>
      <c r="E3382" s="215"/>
      <c r="F3382" s="215"/>
      <c r="G3382" s="153"/>
      <c r="H3382" s="153"/>
      <c r="I3382" s="164">
        <v>18</v>
      </c>
      <c r="J3382" s="163">
        <v>60</v>
      </c>
      <c r="K3382" s="150">
        <v>1</v>
      </c>
      <c r="L3382" s="664">
        <v>18</v>
      </c>
      <c r="M3382" s="663">
        <v>35185</v>
      </c>
      <c r="N3382" s="600">
        <v>6.5968600000000004</v>
      </c>
      <c r="O3382" s="604">
        <v>4.0619999999999996E-3</v>
      </c>
      <c r="P3382" s="150"/>
      <c r="Q3382" s="250"/>
      <c r="R3382" s="250"/>
      <c r="S3382" s="250"/>
      <c r="T3382" s="250">
        <v>2.1151E-2</v>
      </c>
      <c r="U3382" s="250">
        <v>9.1489999999999988E-2</v>
      </c>
      <c r="V3382" s="250">
        <v>0.19429400000000002</v>
      </c>
      <c r="W3382" s="250">
        <v>0.35120499999999999</v>
      </c>
      <c r="X3382" s="250">
        <v>0.33054600000000001</v>
      </c>
      <c r="Y3382" s="250">
        <v>1.1313E-2</v>
      </c>
      <c r="Z3382" s="150"/>
      <c r="AA3382" s="150">
        <v>0.68</v>
      </c>
      <c r="AB3382" s="152"/>
      <c r="AC3382" s="152"/>
      <c r="AD3382" s="223">
        <v>17.738778</v>
      </c>
      <c r="AE3382" s="223">
        <v>0.4388976</v>
      </c>
      <c r="AF3382" s="223">
        <v>7.7659383999999996</v>
      </c>
      <c r="AG3382" s="223">
        <v>0.85036409999999996</v>
      </c>
      <c r="AH3382" s="341"/>
      <c r="AI3382" s="218"/>
      <c r="AJ3382" s="218"/>
      <c r="AK3382" s="153"/>
      <c r="AL3382" s="152"/>
      <c r="AM3382" s="152"/>
      <c r="AN3382" s="152"/>
      <c r="AO3382" s="152"/>
      <c r="AP3382" s="152"/>
      <c r="AQ3382" s="152"/>
      <c r="AR3382" s="152"/>
      <c r="AS3382" s="152"/>
      <c r="AT3382" s="152"/>
      <c r="AU3382" s="153"/>
      <c r="AV3382" s="479"/>
      <c r="AW3382" s="479"/>
      <c r="AX3382" s="442"/>
      <c r="AY3382" s="153"/>
      <c r="AZ3382" s="152"/>
      <c r="BA3382" s="152"/>
      <c r="BB3382" s="152"/>
      <c r="BC3382" s="152"/>
      <c r="BD3382" s="152"/>
      <c r="BE3382" s="152"/>
      <c r="BF3382" s="152"/>
      <c r="BG3382" s="152"/>
      <c r="BH3382" s="152"/>
      <c r="BI3382" s="153"/>
      <c r="BJ3382" s="153"/>
      <c r="BK3382" s="153"/>
      <c r="BL3382" s="153"/>
      <c r="BM3382" s="153"/>
      <c r="BN3382" s="153"/>
      <c r="BO3382" s="153"/>
      <c r="BP3382" s="153"/>
      <c r="BQ3382" s="153"/>
      <c r="BR3382" s="153"/>
      <c r="BS3382" s="153"/>
      <c r="BT3382" s="153"/>
      <c r="BU3382" s="153"/>
      <c r="BV3382" s="153"/>
      <c r="BW3382" s="153"/>
      <c r="BX3382" s="153"/>
      <c r="BY3382" s="153"/>
      <c r="BZ3382" s="153"/>
      <c r="CA3382" s="152"/>
      <c r="CB3382" s="152"/>
    </row>
    <row r="3383" spans="1:80" s="87" customFormat="1" x14ac:dyDescent="0.2">
      <c r="A3383" s="152"/>
      <c r="B3383" s="683"/>
      <c r="C3383" s="683"/>
      <c r="D3383" s="698"/>
      <c r="E3383" s="215"/>
      <c r="F3383" s="215"/>
      <c r="G3383" s="153"/>
      <c r="H3383" s="153"/>
      <c r="I3383" s="164">
        <v>19</v>
      </c>
      <c r="J3383" s="163">
        <v>60</v>
      </c>
      <c r="K3383" s="150">
        <v>1</v>
      </c>
      <c r="L3383" s="664">
        <v>19</v>
      </c>
      <c r="M3383" s="663">
        <v>35201</v>
      </c>
      <c r="N3383" s="600">
        <v>27.9163</v>
      </c>
      <c r="O3383" s="604">
        <v>2.319553</v>
      </c>
      <c r="P3383" s="150"/>
      <c r="Q3383" s="250">
        <v>0.16501399999999999</v>
      </c>
      <c r="R3383" s="250">
        <v>0.15405099999999999</v>
      </c>
      <c r="S3383" s="250">
        <v>0.21330200000000002</v>
      </c>
      <c r="T3383" s="250">
        <v>0.14013200000000001</v>
      </c>
      <c r="U3383" s="250">
        <v>0.12066499999999999</v>
      </c>
      <c r="V3383" s="250">
        <v>9.4541E-2</v>
      </c>
      <c r="W3383" s="250">
        <v>6.9605E-2</v>
      </c>
      <c r="X3383" s="250">
        <v>3.7808000000000001E-2</v>
      </c>
      <c r="Y3383" s="250">
        <v>4.8849999999999996E-3</v>
      </c>
      <c r="Z3383" s="150"/>
      <c r="AA3383" s="150">
        <v>8.89</v>
      </c>
      <c r="AB3383" s="152"/>
      <c r="AC3383" s="152"/>
      <c r="AD3383" s="223">
        <v>19.445602000000001</v>
      </c>
      <c r="AE3383" s="223">
        <v>0.73149600000000004</v>
      </c>
      <c r="AF3383" s="223">
        <v>14.212782000000001</v>
      </c>
      <c r="AG3383" s="223">
        <v>1.9750392000000001</v>
      </c>
      <c r="AH3383" s="341"/>
      <c r="AI3383" s="218"/>
      <c r="AJ3383" s="218"/>
      <c r="AK3383" s="153"/>
      <c r="AL3383" s="152"/>
      <c r="AM3383" s="152"/>
      <c r="AN3383" s="152"/>
      <c r="AO3383" s="152"/>
      <c r="AP3383" s="152"/>
      <c r="AQ3383" s="152"/>
      <c r="AR3383" s="152"/>
      <c r="AS3383" s="152"/>
      <c r="AT3383" s="152"/>
      <c r="AU3383" s="153"/>
      <c r="AV3383" s="479"/>
      <c r="AW3383" s="479"/>
      <c r="AX3383" s="442"/>
      <c r="AY3383" s="153"/>
      <c r="AZ3383" s="152"/>
      <c r="BA3383" s="152"/>
      <c r="BB3383" s="152"/>
      <c r="BC3383" s="152"/>
      <c r="BD3383" s="152"/>
      <c r="BE3383" s="152"/>
      <c r="BF3383" s="152"/>
      <c r="BG3383" s="152"/>
      <c r="BH3383" s="152"/>
      <c r="BI3383" s="153"/>
      <c r="BJ3383" s="153"/>
      <c r="BK3383" s="153"/>
      <c r="BL3383" s="153"/>
      <c r="BM3383" s="153"/>
      <c r="BN3383" s="153"/>
      <c r="BO3383" s="153"/>
      <c r="BP3383" s="153"/>
      <c r="BQ3383" s="153"/>
      <c r="BR3383" s="153"/>
      <c r="BS3383" s="153"/>
      <c r="BT3383" s="153"/>
      <c r="BU3383" s="153"/>
      <c r="BV3383" s="153"/>
      <c r="BW3383" s="153"/>
      <c r="BX3383" s="153"/>
      <c r="BY3383" s="153"/>
      <c r="BZ3383" s="153"/>
      <c r="CA3383" s="152"/>
      <c r="CB3383" s="152"/>
    </row>
    <row r="3384" spans="1:80" s="87" customFormat="1" x14ac:dyDescent="0.2">
      <c r="A3384" s="152"/>
      <c r="B3384" s="683"/>
      <c r="C3384" s="683"/>
      <c r="D3384" s="698"/>
      <c r="E3384" s="215"/>
      <c r="F3384" s="215"/>
      <c r="G3384" s="153"/>
      <c r="H3384" s="153"/>
      <c r="I3384" s="164">
        <v>18</v>
      </c>
      <c r="J3384" s="163">
        <v>60</v>
      </c>
      <c r="K3384" s="150">
        <v>1</v>
      </c>
      <c r="L3384" s="664">
        <v>18</v>
      </c>
      <c r="M3384" s="663">
        <v>35208</v>
      </c>
      <c r="N3384" s="600">
        <v>16.194900000000001</v>
      </c>
      <c r="O3384" s="604">
        <v>9.8449999999999996E-2</v>
      </c>
      <c r="P3384" s="150"/>
      <c r="Q3384" s="250"/>
      <c r="R3384" s="250">
        <v>0.11128500000000001</v>
      </c>
      <c r="S3384" s="250">
        <v>1.7343000000000001E-2</v>
      </c>
      <c r="T3384" s="250">
        <v>0.100034</v>
      </c>
      <c r="U3384" s="250">
        <v>0.17346599999999998</v>
      </c>
      <c r="V3384" s="250">
        <v>0.18831100000000001</v>
      </c>
      <c r="W3384" s="250">
        <v>0.22996200000000003</v>
      </c>
      <c r="X3384" s="250">
        <v>0.16977</v>
      </c>
      <c r="Y3384" s="250">
        <v>9.8289999999999992E-3</v>
      </c>
      <c r="Z3384" s="150"/>
      <c r="AA3384" s="150">
        <v>1.39</v>
      </c>
      <c r="AB3384" s="152"/>
      <c r="AC3384" s="152"/>
      <c r="AD3384" s="223">
        <v>18.592189999999999</v>
      </c>
      <c r="AE3384" s="223">
        <v>0.59434050000000005</v>
      </c>
      <c r="AF3384" s="223">
        <v>11.054385999999999</v>
      </c>
      <c r="AG3384" s="223">
        <v>1.5148063</v>
      </c>
      <c r="AH3384" s="341"/>
      <c r="AI3384" s="218"/>
      <c r="AJ3384" s="218"/>
      <c r="AK3384" s="153"/>
      <c r="AL3384" s="152"/>
      <c r="AM3384" s="152"/>
      <c r="AN3384" s="152"/>
      <c r="AO3384" s="152"/>
      <c r="AP3384" s="152"/>
      <c r="AQ3384" s="152"/>
      <c r="AR3384" s="152"/>
      <c r="AS3384" s="152"/>
      <c r="AT3384" s="152"/>
      <c r="AU3384" s="153"/>
      <c r="AV3384" s="479"/>
      <c r="AW3384" s="479"/>
      <c r="AX3384" s="442"/>
      <c r="AY3384" s="153"/>
      <c r="AZ3384" s="152"/>
      <c r="BA3384" s="152"/>
      <c r="BB3384" s="152"/>
      <c r="BC3384" s="152"/>
      <c r="BD3384" s="152"/>
      <c r="BE3384" s="152"/>
      <c r="BF3384" s="152"/>
      <c r="BG3384" s="152"/>
      <c r="BH3384" s="152"/>
      <c r="BI3384" s="153"/>
      <c r="BJ3384" s="153"/>
      <c r="BK3384" s="153"/>
      <c r="BL3384" s="153"/>
      <c r="BM3384" s="153"/>
      <c r="BN3384" s="153"/>
      <c r="BO3384" s="153"/>
      <c r="BP3384" s="153"/>
      <c r="BQ3384" s="153"/>
      <c r="BR3384" s="153"/>
      <c r="BS3384" s="153"/>
      <c r="BT3384" s="153"/>
      <c r="BU3384" s="153"/>
      <c r="BV3384" s="153"/>
      <c r="BW3384" s="153"/>
      <c r="BX3384" s="153"/>
      <c r="BY3384" s="153"/>
      <c r="BZ3384" s="153"/>
      <c r="CA3384" s="152"/>
      <c r="CB3384" s="152"/>
    </row>
    <row r="3385" spans="1:80" s="87" customFormat="1" x14ac:dyDescent="0.2">
      <c r="A3385" s="152"/>
      <c r="B3385" s="683"/>
      <c r="C3385" s="683"/>
      <c r="D3385" s="698"/>
      <c r="E3385" s="215"/>
      <c r="F3385" s="215"/>
      <c r="G3385" s="153"/>
      <c r="H3385" s="153"/>
      <c r="I3385" s="164">
        <v>21</v>
      </c>
      <c r="J3385" s="163">
        <v>60</v>
      </c>
      <c r="K3385" s="150">
        <v>1</v>
      </c>
      <c r="L3385" s="664">
        <v>21</v>
      </c>
      <c r="M3385" s="663">
        <v>35214</v>
      </c>
      <c r="N3385" s="600">
        <v>16.676200000000001</v>
      </c>
      <c r="O3385" s="604">
        <v>7.5568999999999997E-2</v>
      </c>
      <c r="P3385" s="150"/>
      <c r="Q3385" s="250"/>
      <c r="R3385" s="250">
        <v>0.22226899999999999</v>
      </c>
      <c r="S3385" s="250">
        <v>0.101937</v>
      </c>
      <c r="T3385" s="250">
        <v>0.14632799999999999</v>
      </c>
      <c r="U3385" s="250">
        <v>0.20662700000000001</v>
      </c>
      <c r="V3385" s="250">
        <v>0.17177399999999998</v>
      </c>
      <c r="W3385" s="250">
        <v>8.5259000000000001E-2</v>
      </c>
      <c r="X3385" s="250">
        <v>6.1421999999999997E-2</v>
      </c>
      <c r="Y3385" s="250">
        <v>4.3839999999999999E-3</v>
      </c>
      <c r="Z3385" s="150"/>
      <c r="AA3385" s="150">
        <v>3.62</v>
      </c>
      <c r="AB3385" s="152"/>
      <c r="AC3385" s="152"/>
      <c r="AD3385" s="223">
        <v>18.592189999999999</v>
      </c>
      <c r="AE3385" s="223">
        <v>0.60043630000000003</v>
      </c>
      <c r="AF3385" s="223">
        <v>11.14728</v>
      </c>
      <c r="AG3385" s="223">
        <v>1.4904230999999999</v>
      </c>
      <c r="AH3385" s="341"/>
      <c r="AI3385" s="218"/>
      <c r="AJ3385" s="218"/>
      <c r="AK3385" s="153"/>
      <c r="AL3385" s="152"/>
      <c r="AM3385" s="152"/>
      <c r="AN3385" s="152"/>
      <c r="AO3385" s="152"/>
      <c r="AP3385" s="152"/>
      <c r="AQ3385" s="152"/>
      <c r="AR3385" s="152"/>
      <c r="AS3385" s="152"/>
      <c r="AT3385" s="152"/>
      <c r="AU3385" s="153"/>
      <c r="AV3385" s="479"/>
      <c r="AW3385" s="479"/>
      <c r="AX3385" s="442"/>
      <c r="AY3385" s="153"/>
      <c r="AZ3385" s="152"/>
      <c r="BA3385" s="152"/>
      <c r="BB3385" s="152"/>
      <c r="BC3385" s="152"/>
      <c r="BD3385" s="152"/>
      <c r="BE3385" s="152"/>
      <c r="BF3385" s="152"/>
      <c r="BG3385" s="152"/>
      <c r="BH3385" s="152"/>
      <c r="BI3385" s="153"/>
      <c r="BJ3385" s="153"/>
      <c r="BK3385" s="153"/>
      <c r="BL3385" s="153"/>
      <c r="BM3385" s="153"/>
      <c r="BN3385" s="153"/>
      <c r="BO3385" s="153"/>
      <c r="BP3385" s="153"/>
      <c r="BQ3385" s="153"/>
      <c r="BR3385" s="153"/>
      <c r="BS3385" s="153"/>
      <c r="BT3385" s="153"/>
      <c r="BU3385" s="153"/>
      <c r="BV3385" s="153"/>
      <c r="BW3385" s="153"/>
      <c r="BX3385" s="153"/>
      <c r="BY3385" s="153"/>
      <c r="BZ3385" s="153"/>
      <c r="CA3385" s="152"/>
      <c r="CB3385" s="152"/>
    </row>
    <row r="3386" spans="1:80" s="87" customFormat="1" x14ac:dyDescent="0.2">
      <c r="A3386" s="152"/>
      <c r="B3386" s="683"/>
      <c r="C3386" s="683"/>
      <c r="D3386" s="698"/>
      <c r="E3386" s="215"/>
      <c r="F3386" s="215"/>
      <c r="G3386" s="153"/>
      <c r="H3386" s="153"/>
      <c r="I3386" s="164">
        <v>19</v>
      </c>
      <c r="J3386" s="163">
        <v>60</v>
      </c>
      <c r="K3386" s="150">
        <v>1</v>
      </c>
      <c r="L3386" s="664">
        <v>19</v>
      </c>
      <c r="M3386" s="663">
        <v>35219</v>
      </c>
      <c r="N3386" s="600">
        <v>20.073699999999999</v>
      </c>
      <c r="O3386" s="604">
        <v>0.59615700000000005</v>
      </c>
      <c r="P3386" s="150"/>
      <c r="Q3386" s="250">
        <v>0.23523499999999997</v>
      </c>
      <c r="R3386" s="250">
        <v>0.153445</v>
      </c>
      <c r="S3386" s="250">
        <v>0.13305500000000001</v>
      </c>
      <c r="T3386" s="250">
        <v>0.11326700000000001</v>
      </c>
      <c r="U3386" s="250">
        <v>0.12232</v>
      </c>
      <c r="V3386" s="250">
        <v>9.7913E-2</v>
      </c>
      <c r="W3386" s="250">
        <v>9.8858000000000001E-2</v>
      </c>
      <c r="X3386" s="250">
        <v>4.3346000000000003E-2</v>
      </c>
      <c r="Y3386" s="250">
        <v>2.5609999999999999E-3</v>
      </c>
      <c r="Z3386" s="150"/>
      <c r="AA3386" s="150">
        <v>8.9600000000000009</v>
      </c>
      <c r="AB3386" s="152"/>
      <c r="AC3386" s="152"/>
      <c r="AD3386" s="223">
        <v>18.439795</v>
      </c>
      <c r="AE3386" s="223">
        <v>0.64920270000000002</v>
      </c>
      <c r="AF3386" s="223">
        <v>11.983326</v>
      </c>
      <c r="AG3386" s="223">
        <v>1.6245307</v>
      </c>
      <c r="AH3386" s="341"/>
      <c r="AI3386" s="218"/>
      <c r="AJ3386" s="218"/>
      <c r="AK3386" s="153"/>
      <c r="AL3386" s="152"/>
      <c r="AM3386" s="152"/>
      <c r="AN3386" s="152"/>
      <c r="AO3386" s="152"/>
      <c r="AP3386" s="152"/>
      <c r="AQ3386" s="152"/>
      <c r="AR3386" s="152"/>
      <c r="AS3386" s="152"/>
      <c r="AT3386" s="152"/>
      <c r="AU3386" s="153"/>
      <c r="AV3386" s="479"/>
      <c r="AW3386" s="479"/>
      <c r="AX3386" s="442"/>
      <c r="AY3386" s="153"/>
      <c r="AZ3386" s="152"/>
      <c r="BA3386" s="152"/>
      <c r="BB3386" s="152"/>
      <c r="BC3386" s="152"/>
      <c r="BD3386" s="152"/>
      <c r="BE3386" s="152"/>
      <c r="BF3386" s="152"/>
      <c r="BG3386" s="152"/>
      <c r="BH3386" s="152"/>
      <c r="BI3386" s="153"/>
      <c r="BJ3386" s="153"/>
      <c r="BK3386" s="153"/>
      <c r="BL3386" s="153"/>
      <c r="BM3386" s="153"/>
      <c r="BN3386" s="153"/>
      <c r="BO3386" s="153"/>
      <c r="BP3386" s="153"/>
      <c r="BQ3386" s="153"/>
      <c r="BR3386" s="153"/>
      <c r="BS3386" s="153"/>
      <c r="BT3386" s="153"/>
      <c r="BU3386" s="153"/>
      <c r="BV3386" s="153"/>
      <c r="BW3386" s="153"/>
      <c r="BX3386" s="153"/>
      <c r="BY3386" s="153"/>
      <c r="BZ3386" s="153"/>
      <c r="CA3386" s="152"/>
      <c r="CB3386" s="152"/>
    </row>
    <row r="3387" spans="1:80" s="87" customFormat="1" x14ac:dyDescent="0.2">
      <c r="A3387" s="152"/>
      <c r="B3387" s="683"/>
      <c r="C3387" s="683"/>
      <c r="D3387" s="698"/>
      <c r="E3387" s="215"/>
      <c r="F3387" s="215"/>
      <c r="G3387" s="153"/>
      <c r="H3387" s="153"/>
      <c r="I3387" s="164">
        <v>20</v>
      </c>
      <c r="J3387" s="163">
        <v>60</v>
      </c>
      <c r="K3387" s="150">
        <v>1</v>
      </c>
      <c r="L3387" s="664">
        <v>20</v>
      </c>
      <c r="M3387" s="663">
        <v>35226</v>
      </c>
      <c r="N3387" s="600">
        <v>26.783799999999999</v>
      </c>
      <c r="O3387" s="604">
        <v>1.0915539999999999</v>
      </c>
      <c r="P3387" s="250">
        <v>6.0541999999999999E-2</v>
      </c>
      <c r="Q3387" s="250">
        <v>6.3449999999999993E-2</v>
      </c>
      <c r="R3387" s="250">
        <v>0.18368400000000001</v>
      </c>
      <c r="S3387" s="250">
        <v>0.208672</v>
      </c>
      <c r="T3387" s="250">
        <v>0.19585999999999998</v>
      </c>
      <c r="U3387" s="250">
        <v>0.1555</v>
      </c>
      <c r="V3387" s="250">
        <v>6.8836999999999995E-2</v>
      </c>
      <c r="W3387" s="250">
        <v>4.0232999999999998E-2</v>
      </c>
      <c r="X3387" s="250">
        <v>2.1481E-2</v>
      </c>
      <c r="Y3387" s="250">
        <v>1.7399999999999998E-3</v>
      </c>
      <c r="Z3387" s="150"/>
      <c r="AA3387" s="150">
        <v>8.4499999999999993</v>
      </c>
      <c r="AB3387" s="152"/>
      <c r="AC3387" s="152"/>
      <c r="AD3387" s="223">
        <v>19.20177</v>
      </c>
      <c r="AE3387" s="223">
        <v>0.74063970000000001</v>
      </c>
      <c r="AF3387" s="223">
        <v>14.212782000000001</v>
      </c>
      <c r="AG3387" s="223">
        <v>1.9110332999999999</v>
      </c>
      <c r="AH3387" s="341"/>
      <c r="AI3387" s="218"/>
      <c r="AJ3387" s="218"/>
      <c r="AK3387" s="153"/>
      <c r="AL3387" s="152"/>
      <c r="AM3387" s="152"/>
      <c r="AN3387" s="152"/>
      <c r="AO3387" s="152"/>
      <c r="AP3387" s="152"/>
      <c r="AQ3387" s="152"/>
      <c r="AR3387" s="152"/>
      <c r="AS3387" s="152"/>
      <c r="AT3387" s="152"/>
      <c r="AU3387" s="153"/>
      <c r="AV3387" s="479"/>
      <c r="AW3387" s="479"/>
      <c r="AX3387" s="442"/>
      <c r="AY3387" s="153"/>
      <c r="AZ3387" s="152"/>
      <c r="BA3387" s="152"/>
      <c r="BB3387" s="152"/>
      <c r="BC3387" s="152"/>
      <c r="BD3387" s="152"/>
      <c r="BE3387" s="152"/>
      <c r="BF3387" s="152"/>
      <c r="BG3387" s="152"/>
      <c r="BH3387" s="152"/>
      <c r="BI3387" s="153"/>
      <c r="BJ3387" s="153"/>
      <c r="BK3387" s="153"/>
      <c r="BL3387" s="153"/>
      <c r="BM3387" s="153"/>
      <c r="BN3387" s="153"/>
      <c r="BO3387" s="153"/>
      <c r="BP3387" s="153"/>
      <c r="BQ3387" s="153"/>
      <c r="BR3387" s="153"/>
      <c r="BS3387" s="153"/>
      <c r="BT3387" s="153"/>
      <c r="BU3387" s="153"/>
      <c r="BV3387" s="153"/>
      <c r="BW3387" s="153"/>
      <c r="BX3387" s="153"/>
      <c r="BY3387" s="153"/>
      <c r="BZ3387" s="153"/>
      <c r="CA3387" s="152"/>
      <c r="CB3387" s="152"/>
    </row>
    <row r="3388" spans="1:80" s="87" customFormat="1" x14ac:dyDescent="0.2">
      <c r="A3388" s="152"/>
      <c r="B3388" s="683"/>
      <c r="C3388" s="683"/>
      <c r="D3388" s="698"/>
      <c r="E3388" s="215"/>
      <c r="F3388" s="215"/>
      <c r="G3388" s="153"/>
      <c r="H3388" s="153"/>
      <c r="I3388" s="164">
        <v>19</v>
      </c>
      <c r="J3388" s="163">
        <v>60</v>
      </c>
      <c r="K3388" s="150">
        <v>1</v>
      </c>
      <c r="L3388" s="664">
        <v>19</v>
      </c>
      <c r="M3388" s="663">
        <v>35243</v>
      </c>
      <c r="N3388" s="600">
        <v>13.3636</v>
      </c>
      <c r="O3388" s="604">
        <v>2.9912999999999999E-2</v>
      </c>
      <c r="P3388" s="150"/>
      <c r="Q3388" s="250"/>
      <c r="R3388" s="250"/>
      <c r="S3388" s="250"/>
      <c r="T3388" s="250">
        <v>4.8890000000000003E-2</v>
      </c>
      <c r="U3388" s="250">
        <v>5.9269999999999996E-2</v>
      </c>
      <c r="V3388" s="250">
        <v>9.9283999999999997E-2</v>
      </c>
      <c r="W3388" s="250">
        <v>0.279671</v>
      </c>
      <c r="X3388" s="250">
        <v>0.48239100000000001</v>
      </c>
      <c r="Y3388" s="250">
        <v>3.0494E-2</v>
      </c>
      <c r="Z3388" s="150"/>
      <c r="AA3388" s="150">
        <v>0.49</v>
      </c>
      <c r="AB3388" s="152"/>
      <c r="AC3388" s="152"/>
      <c r="AD3388" s="223">
        <v>18.592189999999999</v>
      </c>
      <c r="AE3388" s="223">
        <v>0.55471780000000004</v>
      </c>
      <c r="AF3388" s="223">
        <v>10.311234000000001</v>
      </c>
      <c r="AG3388" s="223">
        <v>1.3349802</v>
      </c>
      <c r="AH3388" s="341"/>
      <c r="AI3388" s="218"/>
      <c r="AJ3388" s="218"/>
      <c r="AK3388" s="153"/>
      <c r="AL3388" s="152"/>
      <c r="AM3388" s="152"/>
      <c r="AN3388" s="152"/>
      <c r="AO3388" s="152"/>
      <c r="AP3388" s="152"/>
      <c r="AQ3388" s="152"/>
      <c r="AR3388" s="152"/>
      <c r="AS3388" s="152"/>
      <c r="AT3388" s="152"/>
      <c r="AU3388" s="153"/>
      <c r="AV3388" s="479"/>
      <c r="AW3388" s="479"/>
      <c r="AX3388" s="442"/>
      <c r="AY3388" s="153"/>
      <c r="AZ3388" s="152"/>
      <c r="BA3388" s="152"/>
      <c r="BB3388" s="152"/>
      <c r="BC3388" s="152"/>
      <c r="BD3388" s="152"/>
      <c r="BE3388" s="152"/>
      <c r="BF3388" s="152"/>
      <c r="BG3388" s="152"/>
      <c r="BH3388" s="152"/>
      <c r="BI3388" s="153"/>
      <c r="BJ3388" s="153"/>
      <c r="BK3388" s="153"/>
      <c r="BL3388" s="153"/>
      <c r="BM3388" s="153"/>
      <c r="BN3388" s="153"/>
      <c r="BO3388" s="153"/>
      <c r="BP3388" s="153"/>
      <c r="BQ3388" s="153"/>
      <c r="BR3388" s="153"/>
      <c r="BS3388" s="153"/>
      <c r="BT3388" s="153"/>
      <c r="BU3388" s="153"/>
      <c r="BV3388" s="153"/>
      <c r="BW3388" s="153"/>
      <c r="BX3388" s="153"/>
      <c r="BY3388" s="153"/>
      <c r="BZ3388" s="153"/>
      <c r="CA3388" s="152"/>
      <c r="CB3388" s="152"/>
    </row>
    <row r="3389" spans="1:80" s="87" customFormat="1" x14ac:dyDescent="0.2">
      <c r="A3389" s="152"/>
      <c r="B3389" s="683"/>
      <c r="C3389" s="683"/>
      <c r="D3389" s="698"/>
      <c r="E3389" s="215"/>
      <c r="F3389" s="215"/>
      <c r="G3389" s="153"/>
      <c r="H3389" s="153"/>
      <c r="I3389" s="164">
        <v>18</v>
      </c>
      <c r="J3389" s="163">
        <v>60</v>
      </c>
      <c r="K3389" s="150">
        <v>1</v>
      </c>
      <c r="L3389" s="664">
        <v>18</v>
      </c>
      <c r="M3389" s="663">
        <v>35262</v>
      </c>
      <c r="N3389" s="600">
        <v>8.4655000000000005</v>
      </c>
      <c r="O3389" s="604">
        <v>5.1850000000000004E-3</v>
      </c>
      <c r="P3389" s="150"/>
      <c r="Q3389" s="250"/>
      <c r="R3389" s="250"/>
      <c r="S3389" s="250"/>
      <c r="T3389" s="250">
        <v>5.7340000000000002E-2</v>
      </c>
      <c r="U3389" s="250">
        <v>0.21350100000000002</v>
      </c>
      <c r="V3389" s="250">
        <v>0.27734900000000001</v>
      </c>
      <c r="W3389" s="250">
        <v>0.27043600000000001</v>
      </c>
      <c r="X3389" s="250">
        <v>0.17161400000000002</v>
      </c>
      <c r="Y3389" s="250">
        <v>9.7599999999999996E-3</v>
      </c>
      <c r="Z3389" s="150"/>
      <c r="AA3389" s="150">
        <v>1.1299999999999999</v>
      </c>
      <c r="AB3389" s="152"/>
      <c r="AC3389" s="152"/>
      <c r="AD3389" s="223">
        <v>17.830214999999999</v>
      </c>
      <c r="AE3389" s="223">
        <v>0.44194549999999999</v>
      </c>
      <c r="AF3389" s="223">
        <v>7.8774112000000001</v>
      </c>
      <c r="AG3389" s="223">
        <v>1.0759087000000001</v>
      </c>
      <c r="AH3389" s="341"/>
      <c r="AI3389" s="218"/>
      <c r="AJ3389" s="218"/>
      <c r="AK3389" s="153"/>
      <c r="AL3389" s="152"/>
      <c r="AM3389" s="152"/>
      <c r="AN3389" s="152"/>
      <c r="AO3389" s="152"/>
      <c r="AP3389" s="152"/>
      <c r="AQ3389" s="152"/>
      <c r="AR3389" s="152"/>
      <c r="AS3389" s="152"/>
      <c r="AT3389" s="152"/>
      <c r="AU3389" s="153"/>
      <c r="AV3389" s="479"/>
      <c r="AW3389" s="479"/>
      <c r="AX3389" s="442"/>
      <c r="AY3389" s="153"/>
      <c r="AZ3389" s="152"/>
      <c r="BA3389" s="152"/>
      <c r="BB3389" s="152"/>
      <c r="BC3389" s="152"/>
      <c r="BD3389" s="152"/>
      <c r="BE3389" s="152"/>
      <c r="BF3389" s="152"/>
      <c r="BG3389" s="152"/>
      <c r="BH3389" s="152"/>
      <c r="BI3389" s="153"/>
      <c r="BJ3389" s="153"/>
      <c r="BK3389" s="153"/>
      <c r="BL3389" s="153"/>
      <c r="BM3389" s="153"/>
      <c r="BN3389" s="153"/>
      <c r="BO3389" s="153"/>
      <c r="BP3389" s="153"/>
      <c r="BQ3389" s="153"/>
      <c r="BR3389" s="153"/>
      <c r="BS3389" s="153"/>
      <c r="BT3389" s="153"/>
      <c r="BU3389" s="153"/>
      <c r="BV3389" s="153"/>
      <c r="BW3389" s="153"/>
      <c r="BX3389" s="153"/>
      <c r="BY3389" s="153"/>
      <c r="BZ3389" s="153"/>
      <c r="CA3389" s="152"/>
      <c r="CB3389" s="152"/>
    </row>
    <row r="3390" spans="1:80" s="87" customFormat="1" x14ac:dyDescent="0.2">
      <c r="A3390" s="152"/>
      <c r="B3390" s="683"/>
      <c r="C3390" s="683"/>
      <c r="D3390" s="698"/>
      <c r="E3390" s="215"/>
      <c r="F3390" s="215"/>
      <c r="G3390" s="153"/>
      <c r="H3390" s="153"/>
      <c r="I3390" s="164">
        <v>19</v>
      </c>
      <c r="J3390" s="163">
        <v>60</v>
      </c>
      <c r="K3390" s="150">
        <v>1</v>
      </c>
      <c r="L3390" s="664">
        <v>19</v>
      </c>
      <c r="M3390" s="663">
        <v>35292</v>
      </c>
      <c r="N3390" s="600">
        <v>3.8788399999999998</v>
      </c>
      <c r="O3390" s="604">
        <v>5.7499999999999999E-4</v>
      </c>
      <c r="P3390" s="150"/>
      <c r="Q3390" s="250"/>
      <c r="R3390" s="250"/>
      <c r="S3390" s="250"/>
      <c r="T3390" s="250">
        <v>4.3076999999999997E-2</v>
      </c>
      <c r="U3390" s="250">
        <v>0.12923099999999998</v>
      </c>
      <c r="V3390" s="250">
        <v>0.212308</v>
      </c>
      <c r="W3390" s="250">
        <v>0.32615299999999997</v>
      </c>
      <c r="X3390" s="250">
        <v>0.24615400000000001</v>
      </c>
      <c r="Y3390" s="250">
        <v>4.3076999999999997E-2</v>
      </c>
      <c r="Z3390" s="150"/>
      <c r="AA3390" s="150">
        <v>0.78</v>
      </c>
      <c r="AB3390" s="152"/>
      <c r="AC3390" s="152"/>
      <c r="AD3390" s="223">
        <v>15.391895</v>
      </c>
      <c r="AE3390" s="223">
        <v>0.35660429999999999</v>
      </c>
      <c r="AF3390" s="223">
        <v>5.4993248000000001</v>
      </c>
      <c r="AG3390" s="223">
        <v>0.71016069999999998</v>
      </c>
      <c r="AH3390" s="341"/>
      <c r="AI3390" s="218"/>
      <c r="AJ3390" s="218"/>
      <c r="AK3390" s="153"/>
      <c r="AL3390" s="152"/>
      <c r="AM3390" s="152"/>
      <c r="AN3390" s="152"/>
      <c r="AO3390" s="152"/>
      <c r="AP3390" s="152"/>
      <c r="AQ3390" s="152"/>
      <c r="AR3390" s="152"/>
      <c r="AS3390" s="152"/>
      <c r="AT3390" s="152"/>
      <c r="AU3390" s="153"/>
      <c r="AV3390" s="479"/>
      <c r="AW3390" s="479"/>
      <c r="AX3390" s="442"/>
      <c r="AY3390" s="153"/>
      <c r="AZ3390" s="152"/>
      <c r="BA3390" s="152"/>
      <c r="BB3390" s="152"/>
      <c r="BC3390" s="152"/>
      <c r="BD3390" s="152"/>
      <c r="BE3390" s="152"/>
      <c r="BF3390" s="152"/>
      <c r="BG3390" s="152"/>
      <c r="BH3390" s="152"/>
      <c r="BI3390" s="153"/>
      <c r="BJ3390" s="153"/>
      <c r="BK3390" s="153"/>
      <c r="BL3390" s="153"/>
      <c r="BM3390" s="153"/>
      <c r="BN3390" s="153"/>
      <c r="BO3390" s="153"/>
      <c r="BP3390" s="153"/>
      <c r="BQ3390" s="153"/>
      <c r="BR3390" s="153"/>
      <c r="BS3390" s="153"/>
      <c r="BT3390" s="153"/>
      <c r="BU3390" s="153"/>
      <c r="BV3390" s="153"/>
      <c r="BW3390" s="153"/>
      <c r="BX3390" s="153"/>
      <c r="BY3390" s="153"/>
      <c r="BZ3390" s="153"/>
      <c r="CA3390" s="152"/>
      <c r="CB3390" s="152"/>
    </row>
    <row r="3391" spans="1:80" s="87" customFormat="1" x14ac:dyDescent="0.2">
      <c r="A3391" s="152"/>
      <c r="B3391" s="683"/>
      <c r="C3391" s="683"/>
      <c r="D3391" s="698"/>
      <c r="E3391" s="215"/>
      <c r="F3391" s="215"/>
      <c r="G3391" s="153"/>
      <c r="H3391" s="153"/>
      <c r="I3391" s="163">
        <v>23</v>
      </c>
      <c r="J3391" s="163">
        <v>60</v>
      </c>
      <c r="K3391" s="150">
        <v>1</v>
      </c>
      <c r="L3391" s="664">
        <v>23</v>
      </c>
      <c r="M3391" s="663">
        <v>35340</v>
      </c>
      <c r="N3391" s="600">
        <v>2.7350099999999999</v>
      </c>
      <c r="O3391" s="604">
        <v>5.6800000000000004E-4</v>
      </c>
      <c r="P3391" s="150"/>
      <c r="Q3391" s="250"/>
      <c r="R3391" s="250"/>
      <c r="S3391" s="250"/>
      <c r="T3391" s="250">
        <v>3.1324999999999999E-2</v>
      </c>
      <c r="U3391" s="250">
        <v>2.1686999999999998E-2</v>
      </c>
      <c r="V3391" s="250">
        <v>0.289157</v>
      </c>
      <c r="W3391" s="250">
        <v>0.42891599999999996</v>
      </c>
      <c r="X3391" s="250">
        <v>0.190361</v>
      </c>
      <c r="Y3391" s="250">
        <v>3.8553999999999998E-2</v>
      </c>
      <c r="Z3391" s="150"/>
      <c r="AA3391" s="150">
        <v>0.77</v>
      </c>
      <c r="AB3391" s="152"/>
      <c r="AC3391" s="152"/>
      <c r="AD3391" s="223"/>
      <c r="AE3391" s="223"/>
      <c r="AF3391" s="223"/>
      <c r="AG3391" s="223"/>
      <c r="AH3391" s="341"/>
      <c r="AI3391" s="218"/>
      <c r="AJ3391" s="218"/>
      <c r="AK3391" s="153"/>
      <c r="AL3391" s="152"/>
      <c r="AM3391" s="152"/>
      <c r="AN3391" s="152"/>
      <c r="AO3391" s="152"/>
      <c r="AP3391" s="152"/>
      <c r="AQ3391" s="152"/>
      <c r="AR3391" s="152"/>
      <c r="AS3391" s="152"/>
      <c r="AT3391" s="152"/>
      <c r="AU3391" s="153"/>
      <c r="AV3391" s="479"/>
      <c r="AW3391" s="479"/>
      <c r="AX3391" s="442"/>
      <c r="AY3391" s="153"/>
      <c r="AZ3391" s="152"/>
      <c r="BA3391" s="152"/>
      <c r="BB3391" s="152"/>
      <c r="BC3391" s="152"/>
      <c r="BD3391" s="152"/>
      <c r="BE3391" s="152"/>
      <c r="BF3391" s="152"/>
      <c r="BG3391" s="152"/>
      <c r="BH3391" s="152"/>
      <c r="BI3391" s="153"/>
      <c r="BJ3391" s="153"/>
      <c r="BK3391" s="153"/>
      <c r="BL3391" s="153"/>
      <c r="BM3391" s="153"/>
      <c r="BN3391" s="153"/>
      <c r="BO3391" s="153"/>
      <c r="BP3391" s="153"/>
      <c r="BQ3391" s="153"/>
      <c r="BR3391" s="153"/>
      <c r="BS3391" s="153"/>
      <c r="BT3391" s="153"/>
      <c r="BU3391" s="153"/>
      <c r="BV3391" s="153"/>
      <c r="BW3391" s="153"/>
      <c r="BX3391" s="153"/>
      <c r="BY3391" s="153"/>
      <c r="BZ3391" s="153"/>
      <c r="CA3391" s="152"/>
      <c r="CB3391" s="152"/>
    </row>
    <row r="3392" spans="1:80" s="87" customFormat="1" x14ac:dyDescent="0.2">
      <c r="A3392" s="152"/>
      <c r="B3392" s="683"/>
      <c r="C3392" s="683"/>
      <c r="D3392" s="698"/>
      <c r="E3392" s="215"/>
      <c r="F3392" s="215"/>
      <c r="G3392" s="153"/>
      <c r="H3392" s="153"/>
      <c r="I3392" s="163">
        <v>18</v>
      </c>
      <c r="J3392" s="163">
        <v>60</v>
      </c>
      <c r="K3392" s="150">
        <v>1</v>
      </c>
      <c r="L3392" s="664">
        <v>18</v>
      </c>
      <c r="M3392" s="663">
        <v>35486</v>
      </c>
      <c r="N3392" s="600">
        <v>2.4632100000000001</v>
      </c>
      <c r="O3392" s="604">
        <v>1.6100000000000001E-4</v>
      </c>
      <c r="P3392" s="150"/>
      <c r="Q3392" s="250"/>
      <c r="R3392" s="250"/>
      <c r="S3392" s="250"/>
      <c r="T3392" s="250"/>
      <c r="U3392" s="250"/>
      <c r="V3392" s="250">
        <v>9.5745000000000011E-2</v>
      </c>
      <c r="W3392" s="250">
        <v>0.28723399999999999</v>
      </c>
      <c r="X3392" s="250">
        <v>0.42553199999999997</v>
      </c>
      <c r="Y3392" s="250">
        <v>0.19148900000000002</v>
      </c>
      <c r="Z3392" s="150"/>
      <c r="AA3392" s="150">
        <v>0.41</v>
      </c>
      <c r="AB3392" s="152"/>
      <c r="AC3392" s="152"/>
      <c r="AD3392" s="223">
        <v>14.081298</v>
      </c>
      <c r="AE3392" s="223">
        <v>0.29869420000000002</v>
      </c>
      <c r="AF3392" s="223">
        <v>4.2080982000000002</v>
      </c>
      <c r="AG3392" s="223">
        <v>0.58214889999999997</v>
      </c>
      <c r="AH3392" s="341"/>
      <c r="AI3392" s="218"/>
      <c r="AJ3392" s="218"/>
      <c r="AK3392" s="153"/>
      <c r="AL3392" s="152"/>
      <c r="AM3392" s="152"/>
      <c r="AN3392" s="152"/>
      <c r="AO3392" s="152"/>
      <c r="AP3392" s="152"/>
      <c r="AQ3392" s="152"/>
      <c r="AR3392" s="152"/>
      <c r="AS3392" s="152"/>
      <c r="AT3392" s="152"/>
      <c r="AU3392" s="153"/>
      <c r="AV3392" s="479"/>
      <c r="AW3392" s="479"/>
      <c r="AX3392" s="442"/>
      <c r="AY3392" s="153"/>
      <c r="AZ3392" s="152"/>
      <c r="BA3392" s="152"/>
      <c r="BB3392" s="152"/>
      <c r="BC3392" s="152"/>
      <c r="BD3392" s="152"/>
      <c r="BE3392" s="152"/>
      <c r="BF3392" s="152"/>
      <c r="BG3392" s="152"/>
      <c r="BH3392" s="152"/>
      <c r="BI3392" s="153"/>
      <c r="BJ3392" s="153"/>
      <c r="BK3392" s="153"/>
      <c r="BL3392" s="153"/>
      <c r="BM3392" s="153"/>
      <c r="BN3392" s="153"/>
      <c r="BO3392" s="153"/>
      <c r="BP3392" s="153"/>
      <c r="BQ3392" s="153"/>
      <c r="BR3392" s="153"/>
      <c r="BS3392" s="153"/>
      <c r="BT3392" s="153"/>
      <c r="BU3392" s="153"/>
      <c r="BV3392" s="153"/>
      <c r="BW3392" s="153"/>
      <c r="BX3392" s="153"/>
      <c r="BY3392" s="153"/>
      <c r="BZ3392" s="153"/>
      <c r="CA3392" s="152"/>
      <c r="CB3392" s="152"/>
    </row>
    <row r="3393" spans="1:80" s="87" customFormat="1" x14ac:dyDescent="0.2">
      <c r="A3393" s="152"/>
      <c r="B3393" s="683"/>
      <c r="C3393" s="683"/>
      <c r="D3393" s="698"/>
      <c r="E3393" s="215"/>
      <c r="F3393" s="215"/>
      <c r="G3393" s="153"/>
      <c r="H3393" s="153"/>
      <c r="I3393" s="163">
        <v>19</v>
      </c>
      <c r="J3393" s="163">
        <v>60</v>
      </c>
      <c r="K3393" s="150">
        <v>1</v>
      </c>
      <c r="L3393" s="664">
        <v>19</v>
      </c>
      <c r="M3393" s="663">
        <v>35552</v>
      </c>
      <c r="N3393" s="600">
        <v>7.78599</v>
      </c>
      <c r="O3393" s="604">
        <v>1.1021E-2</v>
      </c>
      <c r="P3393" s="150"/>
      <c r="Q3393" s="250"/>
      <c r="R3393" s="250"/>
      <c r="S3393" s="250"/>
      <c r="T3393" s="250">
        <v>2.0040000000000001E-3</v>
      </c>
      <c r="U3393" s="250">
        <v>4.6768000000000004E-2</v>
      </c>
      <c r="V3393" s="250">
        <v>0.135961</v>
      </c>
      <c r="W3393" s="250">
        <v>0.33489200000000002</v>
      </c>
      <c r="X3393" s="250">
        <v>0.47051900000000002</v>
      </c>
      <c r="Y3393" s="250">
        <v>9.8550000000000009E-3</v>
      </c>
      <c r="Z3393" s="150">
        <v>5</v>
      </c>
      <c r="AA3393" s="150">
        <v>0.52</v>
      </c>
      <c r="AB3393" s="152"/>
      <c r="AC3393" s="152"/>
      <c r="AD3393" s="223">
        <v>17.830214999999999</v>
      </c>
      <c r="AE3393" s="223">
        <v>0.45108920000000002</v>
      </c>
      <c r="AF3393" s="223">
        <v>8.0446203999999994</v>
      </c>
      <c r="AG3393" s="223">
        <v>0.97228009999999998</v>
      </c>
      <c r="AH3393" s="341"/>
      <c r="AI3393" s="218"/>
      <c r="AJ3393" s="218"/>
      <c r="AK3393" s="153"/>
      <c r="AL3393" s="152"/>
      <c r="AM3393" s="152"/>
      <c r="AN3393" s="152"/>
      <c r="AO3393" s="152"/>
      <c r="AP3393" s="152"/>
      <c r="AQ3393" s="152"/>
      <c r="AR3393" s="152"/>
      <c r="AS3393" s="152"/>
      <c r="AT3393" s="152"/>
      <c r="AU3393" s="153"/>
      <c r="AV3393" s="479"/>
      <c r="AW3393" s="479"/>
      <c r="AX3393" s="442"/>
      <c r="AY3393" s="153"/>
      <c r="AZ3393" s="152"/>
      <c r="BA3393" s="152"/>
      <c r="BB3393" s="152"/>
      <c r="BC3393" s="152"/>
      <c r="BD3393" s="152"/>
      <c r="BE3393" s="152"/>
      <c r="BF3393" s="152"/>
      <c r="BG3393" s="152"/>
      <c r="BH3393" s="152"/>
      <c r="BI3393" s="153"/>
      <c r="BJ3393" s="153"/>
      <c r="BK3393" s="153"/>
      <c r="BL3393" s="153"/>
      <c r="BM3393" s="153"/>
      <c r="BN3393" s="153"/>
      <c r="BO3393" s="153"/>
      <c r="BP3393" s="153"/>
      <c r="BQ3393" s="153"/>
      <c r="BR3393" s="153"/>
      <c r="BS3393" s="153"/>
      <c r="BT3393" s="153"/>
      <c r="BU3393" s="153"/>
      <c r="BV3393" s="153"/>
      <c r="BW3393" s="153"/>
      <c r="BX3393" s="153"/>
      <c r="BY3393" s="153"/>
      <c r="BZ3393" s="153"/>
      <c r="CA3393" s="152"/>
      <c r="CB3393" s="152"/>
    </row>
    <row r="3394" spans="1:80" s="87" customFormat="1" x14ac:dyDescent="0.2">
      <c r="A3394" s="152"/>
      <c r="B3394" s="683"/>
      <c r="C3394" s="683"/>
      <c r="D3394" s="698"/>
      <c r="E3394" s="215"/>
      <c r="F3394" s="215"/>
      <c r="G3394" s="153"/>
      <c r="H3394" s="153"/>
      <c r="I3394" s="163">
        <v>18</v>
      </c>
      <c r="J3394" s="163">
        <v>60</v>
      </c>
      <c r="K3394" s="150">
        <v>1</v>
      </c>
      <c r="L3394" s="664">
        <v>18</v>
      </c>
      <c r="M3394" s="663">
        <v>35567</v>
      </c>
      <c r="N3394" s="600">
        <v>36.8065</v>
      </c>
      <c r="O3394" s="604">
        <v>4.8805069999999997</v>
      </c>
      <c r="P3394" s="150"/>
      <c r="Q3394" s="250">
        <v>9.9840999999999999E-2</v>
      </c>
      <c r="R3394" s="250">
        <v>0.193853</v>
      </c>
      <c r="S3394" s="250">
        <v>0.19400600000000001</v>
      </c>
      <c r="T3394" s="250">
        <v>0.15835100000000002</v>
      </c>
      <c r="U3394" s="250">
        <v>0.135712</v>
      </c>
      <c r="V3394" s="250">
        <v>0.102643</v>
      </c>
      <c r="W3394" s="250">
        <v>6.9237999999999994E-2</v>
      </c>
      <c r="X3394" s="250">
        <v>3.6802000000000001E-2</v>
      </c>
      <c r="Y3394" s="250">
        <v>9.5530000000000007E-3</v>
      </c>
      <c r="Z3394" s="150">
        <v>62</v>
      </c>
      <c r="AA3394" s="150">
        <v>7.58</v>
      </c>
      <c r="AB3394" s="152"/>
      <c r="AC3394" s="152"/>
      <c r="AD3394" s="223">
        <v>19.658954999999999</v>
      </c>
      <c r="AE3394" s="223">
        <v>0.82598090000000002</v>
      </c>
      <c r="AF3394" s="223">
        <v>16.256450000000001</v>
      </c>
      <c r="AG3394" s="223">
        <v>2.1944880000000002</v>
      </c>
      <c r="AH3394" s="341"/>
      <c r="AI3394" s="218"/>
      <c r="AJ3394" s="218"/>
      <c r="AK3394" s="153"/>
      <c r="AL3394" s="152"/>
      <c r="AM3394" s="152"/>
      <c r="AN3394" s="152"/>
      <c r="AO3394" s="152"/>
      <c r="AP3394" s="152"/>
      <c r="AQ3394" s="152"/>
      <c r="AR3394" s="152"/>
      <c r="AS3394" s="152"/>
      <c r="AT3394" s="152"/>
      <c r="AU3394" s="153"/>
      <c r="AV3394" s="479"/>
      <c r="AW3394" s="479"/>
      <c r="AX3394" s="442"/>
      <c r="AY3394" s="153"/>
      <c r="AZ3394" s="152"/>
      <c r="BA3394" s="152"/>
      <c r="BB3394" s="152"/>
      <c r="BC3394" s="152"/>
      <c r="BD3394" s="152"/>
      <c r="BE3394" s="152"/>
      <c r="BF3394" s="152"/>
      <c r="BG3394" s="152"/>
      <c r="BH3394" s="152"/>
      <c r="BI3394" s="153"/>
      <c r="BJ3394" s="153"/>
      <c r="BK3394" s="153"/>
      <c r="BL3394" s="153"/>
      <c r="BM3394" s="153"/>
      <c r="BN3394" s="153"/>
      <c r="BO3394" s="153"/>
      <c r="BP3394" s="153"/>
      <c r="BQ3394" s="153"/>
      <c r="BR3394" s="153"/>
      <c r="BS3394" s="153"/>
      <c r="BT3394" s="153"/>
      <c r="BU3394" s="153"/>
      <c r="BV3394" s="153"/>
      <c r="BW3394" s="153"/>
      <c r="BX3394" s="153"/>
      <c r="BY3394" s="153"/>
      <c r="BZ3394" s="153"/>
      <c r="CA3394" s="152"/>
      <c r="CB3394" s="152"/>
    </row>
    <row r="3395" spans="1:80" s="87" customFormat="1" x14ac:dyDescent="0.2">
      <c r="A3395" s="152"/>
      <c r="B3395" s="683"/>
      <c r="C3395" s="683"/>
      <c r="D3395" s="698"/>
      <c r="E3395" s="215"/>
      <c r="F3395" s="215"/>
      <c r="G3395" s="153"/>
      <c r="H3395" s="153"/>
      <c r="I3395" s="163">
        <v>21</v>
      </c>
      <c r="J3395" s="163">
        <v>60</v>
      </c>
      <c r="K3395" s="150">
        <v>1</v>
      </c>
      <c r="L3395" s="664">
        <v>21</v>
      </c>
      <c r="M3395" s="663">
        <v>35573</v>
      </c>
      <c r="N3395" s="600">
        <v>23.697700000000001</v>
      </c>
      <c r="O3395" s="604">
        <v>0.77983199999999997</v>
      </c>
      <c r="P3395" s="150"/>
      <c r="Q3395" s="250">
        <v>4.8596E-2</v>
      </c>
      <c r="R3395" s="250">
        <v>0.122104</v>
      </c>
      <c r="S3395" s="250">
        <v>0.18486999999999998</v>
      </c>
      <c r="T3395" s="250">
        <v>0.19552600000000001</v>
      </c>
      <c r="U3395" s="250">
        <v>0.174461</v>
      </c>
      <c r="V3395" s="250">
        <v>0.12546099999999999</v>
      </c>
      <c r="W3395" s="250">
        <v>8.9948E-2</v>
      </c>
      <c r="X3395" s="250">
        <v>5.6029000000000002E-2</v>
      </c>
      <c r="Y3395" s="250">
        <v>3.003E-3</v>
      </c>
      <c r="Z3395" s="150">
        <v>53</v>
      </c>
      <c r="AA3395" s="150">
        <v>4.79</v>
      </c>
      <c r="AB3395" s="152"/>
      <c r="AC3395" s="152"/>
      <c r="AD3395" s="223">
        <v>18.592189999999999</v>
      </c>
      <c r="AE3395" s="223">
        <v>0.75892709999999997</v>
      </c>
      <c r="AF3395" s="223">
        <v>14.119888</v>
      </c>
      <c r="AG3395" s="223">
        <v>1.7098719</v>
      </c>
      <c r="AH3395" s="341"/>
      <c r="AI3395" s="218"/>
      <c r="AJ3395" s="218"/>
      <c r="AK3395" s="153"/>
      <c r="AL3395" s="152"/>
      <c r="AM3395" s="152"/>
      <c r="AN3395" s="152"/>
      <c r="AO3395" s="152"/>
      <c r="AP3395" s="152"/>
      <c r="AQ3395" s="152"/>
      <c r="AR3395" s="152"/>
      <c r="AS3395" s="152"/>
      <c r="AT3395" s="152"/>
      <c r="AU3395" s="153"/>
      <c r="AV3395" s="479"/>
      <c r="AW3395" s="479"/>
      <c r="AX3395" s="442"/>
      <c r="AY3395" s="153"/>
      <c r="AZ3395" s="152"/>
      <c r="BA3395" s="152"/>
      <c r="BB3395" s="152"/>
      <c r="BC3395" s="152"/>
      <c r="BD3395" s="152"/>
      <c r="BE3395" s="152"/>
      <c r="BF3395" s="152"/>
      <c r="BG3395" s="152"/>
      <c r="BH3395" s="152"/>
      <c r="BI3395" s="153"/>
      <c r="BJ3395" s="153"/>
      <c r="BK3395" s="153"/>
      <c r="BL3395" s="153"/>
      <c r="BM3395" s="153"/>
      <c r="BN3395" s="153"/>
      <c r="BO3395" s="153"/>
      <c r="BP3395" s="153"/>
      <c r="BQ3395" s="153"/>
      <c r="BR3395" s="153"/>
      <c r="BS3395" s="153"/>
      <c r="BT3395" s="153"/>
      <c r="BU3395" s="153"/>
      <c r="BV3395" s="153"/>
      <c r="BW3395" s="153"/>
      <c r="BX3395" s="153"/>
      <c r="BY3395" s="153"/>
      <c r="BZ3395" s="153"/>
      <c r="CA3395" s="152"/>
      <c r="CB3395" s="152"/>
    </row>
    <row r="3396" spans="1:80" s="87" customFormat="1" x14ac:dyDescent="0.2">
      <c r="A3396" s="152"/>
      <c r="B3396" s="683"/>
      <c r="C3396" s="683"/>
      <c r="D3396" s="698"/>
      <c r="E3396" s="215"/>
      <c r="F3396" s="215"/>
      <c r="G3396" s="153"/>
      <c r="H3396" s="153"/>
      <c r="I3396" s="163">
        <v>20</v>
      </c>
      <c r="J3396" s="163">
        <v>60</v>
      </c>
      <c r="K3396" s="150">
        <v>1</v>
      </c>
      <c r="L3396" s="664">
        <v>20</v>
      </c>
      <c r="M3396" s="663">
        <v>35584</v>
      </c>
      <c r="N3396" s="600">
        <v>26.6706</v>
      </c>
      <c r="O3396" s="604">
        <v>0.25609500000000002</v>
      </c>
      <c r="P3396" s="150"/>
      <c r="Q3396" s="250">
        <v>0.25872499999999998</v>
      </c>
      <c r="R3396" s="250">
        <v>2.9174000000000002E-2</v>
      </c>
      <c r="S3396" s="250">
        <v>0.130297</v>
      </c>
      <c r="T3396" s="250">
        <v>0.13114999999999999</v>
      </c>
      <c r="U3396" s="250">
        <v>0.145345</v>
      </c>
      <c r="V3396" s="250">
        <v>0.11321500000000001</v>
      </c>
      <c r="W3396" s="250">
        <v>9.9957999999999991E-2</v>
      </c>
      <c r="X3396" s="250">
        <v>8.2296999999999995E-2</v>
      </c>
      <c r="Y3396" s="250">
        <v>9.8390000000000005E-3</v>
      </c>
      <c r="Z3396" s="150">
        <v>55</v>
      </c>
      <c r="AA3396" s="150">
        <v>5.19</v>
      </c>
      <c r="AB3396" s="152"/>
      <c r="AC3396" s="152"/>
      <c r="AD3396" s="223">
        <v>19.049375000000001</v>
      </c>
      <c r="AE3396" s="223">
        <v>0.73759180000000002</v>
      </c>
      <c r="AF3396" s="223">
        <v>14.026994</v>
      </c>
      <c r="AG3396" s="223">
        <v>1.8561711000000001</v>
      </c>
      <c r="AH3396" s="341"/>
      <c r="AI3396" s="218"/>
      <c r="AJ3396" s="218"/>
      <c r="AK3396" s="153"/>
      <c r="AL3396" s="152"/>
      <c r="AM3396" s="152"/>
      <c r="AN3396" s="152"/>
      <c r="AO3396" s="152"/>
      <c r="AP3396" s="152"/>
      <c r="AQ3396" s="152"/>
      <c r="AR3396" s="152"/>
      <c r="AS3396" s="152"/>
      <c r="AT3396" s="152"/>
      <c r="AU3396" s="153"/>
      <c r="AV3396" s="479"/>
      <c r="AW3396" s="479"/>
      <c r="AX3396" s="442"/>
      <c r="AY3396" s="153"/>
      <c r="AZ3396" s="152"/>
      <c r="BA3396" s="152"/>
      <c r="BB3396" s="152"/>
      <c r="BC3396" s="152"/>
      <c r="BD3396" s="152"/>
      <c r="BE3396" s="152"/>
      <c r="BF3396" s="152"/>
      <c r="BG3396" s="152"/>
      <c r="BH3396" s="152"/>
      <c r="BI3396" s="153"/>
      <c r="BJ3396" s="153"/>
      <c r="BK3396" s="153"/>
      <c r="BL3396" s="153"/>
      <c r="BM3396" s="153"/>
      <c r="BN3396" s="153"/>
      <c r="BO3396" s="153"/>
      <c r="BP3396" s="153"/>
      <c r="BQ3396" s="153"/>
      <c r="BR3396" s="153"/>
      <c r="BS3396" s="153"/>
      <c r="BT3396" s="153"/>
      <c r="BU3396" s="153"/>
      <c r="BV3396" s="153"/>
      <c r="BW3396" s="153"/>
      <c r="BX3396" s="153"/>
      <c r="BY3396" s="153"/>
      <c r="BZ3396" s="153"/>
      <c r="CA3396" s="152"/>
      <c r="CB3396" s="152"/>
    </row>
    <row r="3397" spans="1:80" s="87" customFormat="1" x14ac:dyDescent="0.2">
      <c r="A3397" s="152"/>
      <c r="B3397" s="683"/>
      <c r="C3397" s="683"/>
      <c r="D3397" s="698"/>
      <c r="E3397" s="215"/>
      <c r="F3397" s="215"/>
      <c r="G3397" s="153"/>
      <c r="H3397" s="153"/>
      <c r="I3397" s="163">
        <v>19</v>
      </c>
      <c r="J3397" s="163">
        <v>60</v>
      </c>
      <c r="K3397" s="150">
        <v>1</v>
      </c>
      <c r="L3397" s="664">
        <v>19</v>
      </c>
      <c r="M3397" s="663">
        <v>35586</v>
      </c>
      <c r="N3397" s="600">
        <v>26.4724</v>
      </c>
      <c r="O3397" s="604">
        <v>0.30017700000000003</v>
      </c>
      <c r="P3397" s="150"/>
      <c r="Q3397" s="250"/>
      <c r="R3397" s="250">
        <v>2.8069999999999998E-2</v>
      </c>
      <c r="S3397" s="250">
        <v>0.175043</v>
      </c>
      <c r="T3397" s="250">
        <v>0.24836</v>
      </c>
      <c r="U3397" s="250">
        <v>0.24235900000000002</v>
      </c>
      <c r="V3397" s="250">
        <v>0.15667200000000001</v>
      </c>
      <c r="W3397" s="250">
        <v>9.8057000000000005E-2</v>
      </c>
      <c r="X3397" s="250">
        <v>4.3017E-2</v>
      </c>
      <c r="Y3397" s="250">
        <v>8.4229999999999999E-3</v>
      </c>
      <c r="Z3397" s="150">
        <v>21</v>
      </c>
      <c r="AA3397" s="150">
        <v>3.48</v>
      </c>
      <c r="AB3397" s="152"/>
      <c r="AC3397" s="152"/>
      <c r="AD3397" s="223">
        <v>19.20177</v>
      </c>
      <c r="AE3397" s="223">
        <v>0.73454390000000003</v>
      </c>
      <c r="AF3397" s="223">
        <v>14.119888</v>
      </c>
      <c r="AG3397" s="223">
        <v>1.8988417</v>
      </c>
      <c r="AH3397" s="341"/>
      <c r="AI3397" s="218"/>
      <c r="AJ3397" s="218"/>
      <c r="AK3397" s="153"/>
      <c r="AL3397" s="152"/>
      <c r="AM3397" s="152"/>
      <c r="AN3397" s="152"/>
      <c r="AO3397" s="152"/>
      <c r="AP3397" s="152"/>
      <c r="AQ3397" s="152"/>
      <c r="AR3397" s="152"/>
      <c r="AS3397" s="152"/>
      <c r="AT3397" s="152"/>
      <c r="AU3397" s="153"/>
      <c r="AV3397" s="479"/>
      <c r="AW3397" s="479"/>
      <c r="AX3397" s="442"/>
      <c r="AY3397" s="153"/>
      <c r="AZ3397" s="152"/>
      <c r="BA3397" s="152"/>
      <c r="BB3397" s="152"/>
      <c r="BC3397" s="152"/>
      <c r="BD3397" s="152"/>
      <c r="BE3397" s="152"/>
      <c r="BF3397" s="152"/>
      <c r="BG3397" s="152"/>
      <c r="BH3397" s="152"/>
      <c r="BI3397" s="153"/>
      <c r="BJ3397" s="153"/>
      <c r="BK3397" s="153"/>
      <c r="BL3397" s="153"/>
      <c r="BM3397" s="153"/>
      <c r="BN3397" s="153"/>
      <c r="BO3397" s="153"/>
      <c r="BP3397" s="153"/>
      <c r="BQ3397" s="153"/>
      <c r="BR3397" s="153"/>
      <c r="BS3397" s="153"/>
      <c r="BT3397" s="153"/>
      <c r="BU3397" s="153"/>
      <c r="BV3397" s="153"/>
      <c r="BW3397" s="153"/>
      <c r="BX3397" s="153"/>
      <c r="BY3397" s="153"/>
      <c r="BZ3397" s="153"/>
      <c r="CA3397" s="152"/>
      <c r="CB3397" s="152"/>
    </row>
    <row r="3398" spans="1:80" s="87" customFormat="1" x14ac:dyDescent="0.2">
      <c r="A3398" s="152"/>
      <c r="B3398" s="683"/>
      <c r="C3398" s="683"/>
      <c r="D3398" s="698"/>
      <c r="E3398" s="215"/>
      <c r="F3398" s="215"/>
      <c r="G3398" s="153"/>
      <c r="H3398" s="153"/>
      <c r="I3398" s="163">
        <v>20</v>
      </c>
      <c r="J3398" s="163">
        <v>60</v>
      </c>
      <c r="K3398" s="150">
        <v>1</v>
      </c>
      <c r="L3398" s="664">
        <v>20</v>
      </c>
      <c r="M3398" s="663">
        <v>35600</v>
      </c>
      <c r="N3398" s="600">
        <v>19.5641</v>
      </c>
      <c r="O3398" s="604">
        <v>3.6420000000000001E-2</v>
      </c>
      <c r="P3398" s="150"/>
      <c r="Q3398" s="250"/>
      <c r="R3398" s="250"/>
      <c r="S3398" s="250">
        <v>0.118729</v>
      </c>
      <c r="T3398" s="250">
        <v>0.139821</v>
      </c>
      <c r="U3398" s="250">
        <v>0.240425</v>
      </c>
      <c r="V3398" s="250">
        <v>0.22661600000000001</v>
      </c>
      <c r="W3398" s="250">
        <v>0.16603799999999999</v>
      </c>
      <c r="X3398" s="250">
        <v>8.7010000000000004E-2</v>
      </c>
      <c r="Y3398" s="250">
        <v>2.1362000000000003E-2</v>
      </c>
      <c r="Z3398" s="150">
        <v>14</v>
      </c>
      <c r="AA3398" s="150">
        <v>1.99</v>
      </c>
      <c r="AB3398" s="152"/>
      <c r="AC3398" s="152"/>
      <c r="AD3398" s="223">
        <v>18.896979999999999</v>
      </c>
      <c r="AE3398" s="223">
        <v>0.63396319999999995</v>
      </c>
      <c r="AF3398" s="223">
        <v>11.983326</v>
      </c>
      <c r="AG3398" s="223">
        <v>1.6672013000000001</v>
      </c>
      <c r="AH3398" s="341"/>
      <c r="AI3398" s="218"/>
      <c r="AJ3398" s="218"/>
      <c r="AK3398" s="153"/>
      <c r="AL3398" s="152"/>
      <c r="AM3398" s="152"/>
      <c r="AN3398" s="152"/>
      <c r="AO3398" s="152"/>
      <c r="AP3398" s="152"/>
      <c r="AQ3398" s="152"/>
      <c r="AR3398" s="152"/>
      <c r="AS3398" s="152"/>
      <c r="AT3398" s="152"/>
      <c r="AU3398" s="153"/>
      <c r="AV3398" s="479"/>
      <c r="AW3398" s="479"/>
      <c r="AX3398" s="442"/>
      <c r="AY3398" s="153"/>
      <c r="AZ3398" s="152"/>
      <c r="BA3398" s="152"/>
      <c r="BB3398" s="152"/>
      <c r="BC3398" s="152"/>
      <c r="BD3398" s="152"/>
      <c r="BE3398" s="152"/>
      <c r="BF3398" s="152"/>
      <c r="BG3398" s="152"/>
      <c r="BH3398" s="152"/>
      <c r="BI3398" s="153"/>
      <c r="BJ3398" s="153"/>
      <c r="BK3398" s="153"/>
      <c r="BL3398" s="153"/>
      <c r="BM3398" s="153"/>
      <c r="BN3398" s="153"/>
      <c r="BO3398" s="153"/>
      <c r="BP3398" s="153"/>
      <c r="BQ3398" s="153"/>
      <c r="BR3398" s="153"/>
      <c r="BS3398" s="153"/>
      <c r="BT3398" s="153"/>
      <c r="BU3398" s="153"/>
      <c r="BV3398" s="153"/>
      <c r="BW3398" s="153"/>
      <c r="BX3398" s="153"/>
      <c r="BY3398" s="153"/>
      <c r="BZ3398" s="153"/>
      <c r="CA3398" s="152"/>
      <c r="CB3398" s="152"/>
    </row>
    <row r="3399" spans="1:80" s="87" customFormat="1" x14ac:dyDescent="0.2">
      <c r="A3399" s="152"/>
      <c r="B3399" s="683"/>
      <c r="C3399" s="683"/>
      <c r="D3399" s="698"/>
      <c r="E3399" s="215"/>
      <c r="F3399" s="215"/>
      <c r="G3399" s="153"/>
      <c r="H3399" s="153"/>
      <c r="I3399" s="163">
        <v>18</v>
      </c>
      <c r="J3399" s="163">
        <v>60</v>
      </c>
      <c r="K3399" s="150">
        <v>1</v>
      </c>
      <c r="L3399" s="664">
        <v>18</v>
      </c>
      <c r="M3399" s="663">
        <v>35614</v>
      </c>
      <c r="N3399" s="600">
        <v>10.758800000000001</v>
      </c>
      <c r="O3399" s="604">
        <v>2.7079999999999999E-3</v>
      </c>
      <c r="P3399" s="150"/>
      <c r="Q3399" s="250"/>
      <c r="R3399" s="250"/>
      <c r="S3399" s="250">
        <v>9.3023000000000008E-2</v>
      </c>
      <c r="T3399" s="250">
        <v>0.16970500000000002</v>
      </c>
      <c r="U3399" s="250">
        <v>0.14016299999999998</v>
      </c>
      <c r="V3399" s="250">
        <v>0.162162</v>
      </c>
      <c r="W3399" s="250">
        <v>0.25015699999999996</v>
      </c>
      <c r="X3399" s="250">
        <v>0.167819</v>
      </c>
      <c r="Y3399" s="250">
        <v>1.6969999999999999E-2</v>
      </c>
      <c r="Z3399" s="150">
        <v>11</v>
      </c>
      <c r="AA3399" s="150">
        <v>1.32</v>
      </c>
      <c r="AB3399" s="152"/>
      <c r="AC3399" s="152"/>
      <c r="AD3399" s="223">
        <v>17.982610000000001</v>
      </c>
      <c r="AE3399" s="223">
        <v>0.48766399999999999</v>
      </c>
      <c r="AF3399" s="223">
        <v>8.7877723999999997</v>
      </c>
      <c r="AG3399" s="223">
        <v>1.2313516</v>
      </c>
      <c r="AH3399" s="341"/>
      <c r="AI3399" s="218"/>
      <c r="AJ3399" s="218"/>
      <c r="AK3399" s="153"/>
      <c r="AL3399" s="152"/>
      <c r="AM3399" s="152"/>
      <c r="AN3399" s="152"/>
      <c r="AO3399" s="152"/>
      <c r="AP3399" s="152"/>
      <c r="AQ3399" s="152"/>
      <c r="AR3399" s="152"/>
      <c r="AS3399" s="152"/>
      <c r="AT3399" s="152"/>
      <c r="AU3399" s="153"/>
      <c r="AV3399" s="479"/>
      <c r="AW3399" s="479"/>
      <c r="AX3399" s="442"/>
      <c r="AY3399" s="153"/>
      <c r="AZ3399" s="152"/>
      <c r="BA3399" s="152"/>
      <c r="BB3399" s="152"/>
      <c r="BC3399" s="152"/>
      <c r="BD3399" s="152"/>
      <c r="BE3399" s="152"/>
      <c r="BF3399" s="152"/>
      <c r="BG3399" s="152"/>
      <c r="BH3399" s="152"/>
      <c r="BI3399" s="153"/>
      <c r="BJ3399" s="153"/>
      <c r="BK3399" s="153"/>
      <c r="BL3399" s="153"/>
      <c r="BM3399" s="153"/>
      <c r="BN3399" s="153"/>
      <c r="BO3399" s="153"/>
      <c r="BP3399" s="153"/>
      <c r="BQ3399" s="153"/>
      <c r="BR3399" s="153"/>
      <c r="BS3399" s="153"/>
      <c r="BT3399" s="153"/>
      <c r="BU3399" s="153"/>
      <c r="BV3399" s="153"/>
      <c r="BW3399" s="153"/>
      <c r="BX3399" s="153"/>
      <c r="BY3399" s="153"/>
      <c r="BZ3399" s="153"/>
      <c r="CA3399" s="152"/>
      <c r="CB3399" s="152"/>
    </row>
    <row r="3400" spans="1:80" s="87" customFormat="1" x14ac:dyDescent="0.2">
      <c r="A3400" s="152"/>
      <c r="B3400" s="683"/>
      <c r="C3400" s="683"/>
      <c r="D3400" s="698"/>
      <c r="E3400" s="215"/>
      <c r="F3400" s="215"/>
      <c r="G3400" s="153"/>
      <c r="H3400" s="153"/>
      <c r="I3400" s="163">
        <v>20</v>
      </c>
      <c r="J3400" s="163">
        <v>60</v>
      </c>
      <c r="K3400" s="150">
        <v>1</v>
      </c>
      <c r="L3400" s="664">
        <v>20</v>
      </c>
      <c r="M3400" s="663">
        <v>35703</v>
      </c>
      <c r="N3400" s="600">
        <v>3.3409</v>
      </c>
      <c r="O3400" s="604">
        <v>1.9729999999999999E-3</v>
      </c>
      <c r="P3400" s="150"/>
      <c r="Q3400" s="250"/>
      <c r="R3400" s="250"/>
      <c r="S3400" s="250">
        <v>0.108877</v>
      </c>
      <c r="T3400" s="250">
        <v>0</v>
      </c>
      <c r="U3400" s="250">
        <v>0.46463199999999999</v>
      </c>
      <c r="V3400" s="250">
        <v>0.15187200000000001</v>
      </c>
      <c r="W3400" s="250">
        <v>0.16158099999999997</v>
      </c>
      <c r="X3400" s="250">
        <v>8.8071999999999998E-2</v>
      </c>
      <c r="Y3400" s="250">
        <v>2.4965000000000001E-2</v>
      </c>
      <c r="Z3400" s="150">
        <v>12</v>
      </c>
      <c r="AA3400" s="150">
        <v>2.23</v>
      </c>
      <c r="AB3400" s="152"/>
      <c r="AC3400" s="152"/>
      <c r="AD3400" s="223">
        <v>14.62992</v>
      </c>
      <c r="AE3400" s="223">
        <v>0.36270010000000003</v>
      </c>
      <c r="AF3400" s="223">
        <v>5.2856686000000002</v>
      </c>
      <c r="AG3400" s="223">
        <v>0.63091529999999996</v>
      </c>
      <c r="AH3400" s="341"/>
      <c r="AI3400" s="218"/>
      <c r="AJ3400" s="218"/>
      <c r="AK3400" s="153"/>
      <c r="AL3400" s="152"/>
      <c r="AM3400" s="152"/>
      <c r="AN3400" s="152"/>
      <c r="AO3400" s="152"/>
      <c r="AP3400" s="152"/>
      <c r="AQ3400" s="152"/>
      <c r="AR3400" s="152"/>
      <c r="AS3400" s="152"/>
      <c r="AT3400" s="152"/>
      <c r="AU3400" s="153"/>
      <c r="AV3400" s="479"/>
      <c r="AW3400" s="479"/>
      <c r="AX3400" s="442"/>
      <c r="AY3400" s="153"/>
      <c r="AZ3400" s="152"/>
      <c r="BA3400" s="152"/>
      <c r="BB3400" s="152"/>
      <c r="BC3400" s="152"/>
      <c r="BD3400" s="152"/>
      <c r="BE3400" s="152"/>
      <c r="BF3400" s="152"/>
      <c r="BG3400" s="152"/>
      <c r="BH3400" s="152"/>
      <c r="BI3400" s="153"/>
      <c r="BJ3400" s="153"/>
      <c r="BK3400" s="153"/>
      <c r="BL3400" s="153"/>
      <c r="BM3400" s="153"/>
      <c r="BN3400" s="153"/>
      <c r="BO3400" s="153"/>
      <c r="BP3400" s="153"/>
      <c r="BQ3400" s="153"/>
      <c r="BR3400" s="153"/>
      <c r="BS3400" s="153"/>
      <c r="BT3400" s="153"/>
      <c r="BU3400" s="153"/>
      <c r="BV3400" s="153"/>
      <c r="BW3400" s="153"/>
      <c r="BX3400" s="153"/>
      <c r="BY3400" s="153"/>
      <c r="BZ3400" s="153"/>
      <c r="CA3400" s="152"/>
      <c r="CB3400" s="152"/>
    </row>
    <row r="3401" spans="1:80" s="87" customFormat="1" ht="15" x14ac:dyDescent="0.25">
      <c r="A3401" s="152"/>
      <c r="B3401" s="683"/>
      <c r="C3401" s="683"/>
      <c r="D3401" s="698"/>
      <c r="E3401" s="215"/>
      <c r="F3401" s="215"/>
      <c r="G3401" s="153"/>
      <c r="H3401" s="153"/>
      <c r="I3401" s="322">
        <v>23</v>
      </c>
      <c r="J3401" s="163">
        <v>60</v>
      </c>
      <c r="K3401" s="150">
        <v>1</v>
      </c>
      <c r="L3401" s="664">
        <v>23</v>
      </c>
      <c r="M3401" s="663">
        <v>35677</v>
      </c>
      <c r="N3401" s="600">
        <v>3.6523400000000001</v>
      </c>
      <c r="O3401" s="604">
        <v>3.0860000000000002E-3</v>
      </c>
      <c r="P3401" s="150"/>
      <c r="Q3401" s="250"/>
      <c r="R3401" s="250"/>
      <c r="S3401" s="250">
        <v>0.18617709999999998</v>
      </c>
      <c r="T3401" s="250">
        <v>1.6846650000000001E-2</v>
      </c>
      <c r="U3401" s="250">
        <v>9.9352049999999997E-2</v>
      </c>
      <c r="V3401" s="250">
        <v>0.19956803455723546</v>
      </c>
      <c r="W3401" s="250">
        <v>0.28682505399568042</v>
      </c>
      <c r="X3401" s="250">
        <v>0.20086393088552923</v>
      </c>
      <c r="Y3401" s="250">
        <v>1.0367170626349892E-2</v>
      </c>
      <c r="Z3401" s="150">
        <v>12</v>
      </c>
      <c r="AA3401" s="150">
        <v>1.01</v>
      </c>
      <c r="AB3401" s="152"/>
      <c r="AC3401" s="152"/>
      <c r="AD3401" s="223">
        <v>14.62992</v>
      </c>
      <c r="AE3401" s="223">
        <v>0.39927489999999999</v>
      </c>
      <c r="AF3401" s="223">
        <v>5.8616114000000001</v>
      </c>
      <c r="AG3401" s="223">
        <v>0.62786739999999996</v>
      </c>
      <c r="AH3401" s="341"/>
      <c r="AI3401" s="218"/>
      <c r="AJ3401" s="218"/>
      <c r="AK3401" s="153"/>
      <c r="AL3401" s="152"/>
      <c r="AM3401" s="152"/>
      <c r="AN3401" s="152"/>
      <c r="AO3401" s="152"/>
      <c r="AP3401" s="152"/>
      <c r="AQ3401" s="152"/>
      <c r="AR3401" s="152"/>
      <c r="AS3401" s="152"/>
      <c r="AT3401" s="152"/>
      <c r="AU3401" s="153"/>
      <c r="AV3401" s="479"/>
      <c r="AW3401" s="479"/>
      <c r="AX3401" s="442"/>
      <c r="AY3401" s="153"/>
      <c r="AZ3401" s="152"/>
      <c r="BA3401" s="152"/>
      <c r="BB3401" s="152"/>
      <c r="BC3401" s="152"/>
      <c r="BD3401" s="152"/>
      <c r="BE3401" s="152"/>
      <c r="BF3401" s="152"/>
      <c r="BG3401" s="152"/>
      <c r="BH3401" s="152"/>
      <c r="BI3401" s="153"/>
      <c r="BJ3401" s="153"/>
      <c r="BK3401" s="153"/>
      <c r="BL3401" s="153"/>
      <c r="BM3401" s="153"/>
      <c r="BN3401" s="153"/>
      <c r="BO3401" s="153"/>
      <c r="BP3401" s="153"/>
      <c r="BQ3401" s="153"/>
      <c r="BR3401" s="153"/>
      <c r="BS3401" s="153"/>
      <c r="BT3401" s="153"/>
      <c r="BU3401" s="153"/>
      <c r="BV3401" s="153"/>
      <c r="BW3401" s="153"/>
      <c r="BX3401" s="153"/>
      <c r="BY3401" s="153"/>
      <c r="BZ3401" s="153"/>
      <c r="CA3401" s="152"/>
      <c r="CB3401" s="152"/>
    </row>
    <row r="3402" spans="1:80" s="87" customFormat="1" ht="15" x14ac:dyDescent="0.25">
      <c r="A3402" s="152"/>
      <c r="B3402" s="683"/>
      <c r="C3402" s="683"/>
      <c r="D3402" s="698"/>
      <c r="E3402" s="215"/>
      <c r="F3402" s="215"/>
      <c r="G3402" s="153"/>
      <c r="H3402" s="153"/>
      <c r="I3402" s="322">
        <v>15</v>
      </c>
      <c r="J3402" s="163">
        <v>60</v>
      </c>
      <c r="K3402" s="150">
        <v>1</v>
      </c>
      <c r="L3402" s="664">
        <v>15</v>
      </c>
      <c r="M3402" s="663">
        <v>35765</v>
      </c>
      <c r="N3402" s="600">
        <v>2.2027299999999999</v>
      </c>
      <c r="O3402" s="604">
        <v>6.19E-5</v>
      </c>
      <c r="P3402" s="150"/>
      <c r="Q3402" s="250"/>
      <c r="R3402" s="250"/>
      <c r="S3402" s="250"/>
      <c r="T3402" s="250"/>
      <c r="U3402" s="250"/>
      <c r="V3402" s="250">
        <v>0.24324324324324323</v>
      </c>
      <c r="W3402" s="250">
        <v>0.3783783783783784</v>
      </c>
      <c r="X3402" s="250">
        <v>0.2162162162162162</v>
      </c>
      <c r="Y3402" s="250">
        <v>0.16216216216216217</v>
      </c>
      <c r="Z3402" s="150"/>
      <c r="AA3402" s="150">
        <v>0.62</v>
      </c>
      <c r="AB3402" s="152"/>
      <c r="AC3402" s="152"/>
      <c r="AD3402" s="223">
        <v>14.172734999999999</v>
      </c>
      <c r="AE3402" s="223">
        <v>0.27126309999999998</v>
      </c>
      <c r="AF3402" s="223">
        <v>3.8551009999999999</v>
      </c>
      <c r="AG3402" s="223">
        <v>0.56386150000000002</v>
      </c>
      <c r="AH3402" s="341"/>
      <c r="AI3402" s="218"/>
      <c r="AJ3402" s="218"/>
      <c r="AK3402" s="153"/>
      <c r="AL3402" s="152"/>
      <c r="AM3402" s="152"/>
      <c r="AN3402" s="152"/>
      <c r="AO3402" s="152"/>
      <c r="AP3402" s="152"/>
      <c r="AQ3402" s="152"/>
      <c r="AR3402" s="152"/>
      <c r="AS3402" s="152"/>
      <c r="AT3402" s="152"/>
      <c r="AU3402" s="153"/>
      <c r="AV3402" s="479"/>
      <c r="AW3402" s="479"/>
      <c r="AX3402" s="442"/>
      <c r="AY3402" s="153"/>
      <c r="AZ3402" s="152"/>
      <c r="BA3402" s="152"/>
      <c r="BB3402" s="152"/>
      <c r="BC3402" s="152"/>
      <c r="BD3402" s="152"/>
      <c r="BE3402" s="152"/>
      <c r="BF3402" s="152"/>
      <c r="BG3402" s="152"/>
      <c r="BH3402" s="152"/>
      <c r="BI3402" s="153"/>
      <c r="BJ3402" s="153"/>
      <c r="BK3402" s="153"/>
      <c r="BL3402" s="153"/>
      <c r="BM3402" s="153"/>
      <c r="BN3402" s="153"/>
      <c r="BO3402" s="153"/>
      <c r="BP3402" s="153"/>
      <c r="BQ3402" s="153"/>
      <c r="BR3402" s="153"/>
      <c r="BS3402" s="153"/>
      <c r="BT3402" s="153"/>
      <c r="BU3402" s="153"/>
      <c r="BV3402" s="153"/>
      <c r="BW3402" s="153"/>
      <c r="BX3402" s="153"/>
      <c r="BY3402" s="153"/>
      <c r="BZ3402" s="153"/>
      <c r="CA3402" s="152"/>
      <c r="CB3402" s="152"/>
    </row>
    <row r="3403" spans="1:80" s="87" customFormat="1" ht="15" x14ac:dyDescent="0.25">
      <c r="A3403" s="152"/>
      <c r="B3403" s="683"/>
      <c r="C3403" s="683"/>
      <c r="D3403" s="698"/>
      <c r="E3403" s="215"/>
      <c r="F3403" s="215"/>
      <c r="G3403" s="153"/>
      <c r="H3403" s="153"/>
      <c r="I3403" s="322">
        <v>22</v>
      </c>
      <c r="J3403" s="163">
        <v>60</v>
      </c>
      <c r="K3403" s="150">
        <v>1</v>
      </c>
      <c r="L3403" s="664">
        <v>22</v>
      </c>
      <c r="M3403" s="663">
        <v>35829</v>
      </c>
      <c r="N3403" s="600">
        <v>1.95641</v>
      </c>
      <c r="O3403" s="604">
        <v>1.73E-4</v>
      </c>
      <c r="P3403" s="150"/>
      <c r="Q3403" s="250"/>
      <c r="R3403" s="250"/>
      <c r="S3403" s="250"/>
      <c r="T3403" s="250"/>
      <c r="U3403" s="250"/>
      <c r="V3403" s="250">
        <v>0</v>
      </c>
      <c r="W3403" s="250">
        <v>0</v>
      </c>
      <c r="X3403" s="250">
        <v>0.73983739837398377</v>
      </c>
      <c r="Y3403" s="250">
        <v>0.26016260162601629</v>
      </c>
      <c r="Z3403" s="150"/>
      <c r="AA3403" s="150">
        <v>0.31</v>
      </c>
      <c r="AB3403" s="152"/>
      <c r="AC3403" s="152"/>
      <c r="AD3403" s="223"/>
      <c r="AE3403" s="223"/>
      <c r="AF3403" s="223"/>
      <c r="AG3403" s="223"/>
      <c r="AH3403" s="341"/>
      <c r="AI3403" s="218"/>
      <c r="AJ3403" s="218"/>
      <c r="AK3403" s="153"/>
      <c r="AL3403" s="152"/>
      <c r="AM3403" s="152"/>
      <c r="AN3403" s="152"/>
      <c r="AO3403" s="152"/>
      <c r="AP3403" s="152"/>
      <c r="AQ3403" s="152"/>
      <c r="AR3403" s="152"/>
      <c r="AS3403" s="152"/>
      <c r="AT3403" s="152"/>
      <c r="AU3403" s="153"/>
      <c r="AV3403" s="479"/>
      <c r="AW3403" s="479"/>
      <c r="AX3403" s="442"/>
      <c r="AY3403" s="153"/>
      <c r="AZ3403" s="152"/>
      <c r="BA3403" s="152"/>
      <c r="BB3403" s="152"/>
      <c r="BC3403" s="152"/>
      <c r="BD3403" s="152"/>
      <c r="BE3403" s="152"/>
      <c r="BF3403" s="152"/>
      <c r="BG3403" s="152"/>
      <c r="BH3403" s="152"/>
      <c r="BI3403" s="153"/>
      <c r="BJ3403" s="153"/>
      <c r="BK3403" s="153"/>
      <c r="BL3403" s="153"/>
      <c r="BM3403" s="153"/>
      <c r="BN3403" s="153"/>
      <c r="BO3403" s="153"/>
      <c r="BP3403" s="153"/>
      <c r="BQ3403" s="153"/>
      <c r="BR3403" s="153"/>
      <c r="BS3403" s="153"/>
      <c r="BT3403" s="153"/>
      <c r="BU3403" s="153"/>
      <c r="BV3403" s="153"/>
      <c r="BW3403" s="153"/>
      <c r="BX3403" s="153"/>
      <c r="BY3403" s="153"/>
      <c r="BZ3403" s="153"/>
      <c r="CA3403" s="152"/>
      <c r="CB3403" s="152"/>
    </row>
    <row r="3404" spans="1:80" s="87" customFormat="1" ht="15" x14ac:dyDescent="0.25">
      <c r="A3404" s="152"/>
      <c r="B3404" s="683"/>
      <c r="C3404" s="683"/>
      <c r="D3404" s="698"/>
      <c r="E3404" s="215"/>
      <c r="F3404" s="215"/>
      <c r="G3404" s="153"/>
      <c r="H3404" s="153"/>
      <c r="I3404" s="322">
        <v>22</v>
      </c>
      <c r="J3404" s="163">
        <v>60</v>
      </c>
      <c r="K3404" s="150">
        <v>1</v>
      </c>
      <c r="L3404" s="664">
        <v>22</v>
      </c>
      <c r="M3404" s="663">
        <v>35894</v>
      </c>
      <c r="N3404" s="600">
        <v>2.8595799999999998</v>
      </c>
      <c r="O3404" s="604">
        <v>4.6499999999999996E-3</v>
      </c>
      <c r="P3404" s="150"/>
      <c r="Q3404" s="250"/>
      <c r="R3404" s="250">
        <v>1.232444827E-2</v>
      </c>
      <c r="S3404" s="250">
        <v>0.24075669999999999</v>
      </c>
      <c r="T3404" s="250">
        <v>9.7162509999999994E-2</v>
      </c>
      <c r="U3404" s="250">
        <v>0.16222410000000001</v>
      </c>
      <c r="V3404" s="250">
        <v>0.18429349383777588</v>
      </c>
      <c r="W3404" s="250">
        <v>0.17282889079965608</v>
      </c>
      <c r="X3404" s="250">
        <v>0.10690742333046717</v>
      </c>
      <c r="Y3404" s="250">
        <v>2.3502436228145598E-2</v>
      </c>
      <c r="Z3404" s="150">
        <v>19</v>
      </c>
      <c r="AA3404" s="150">
        <v>2.11</v>
      </c>
      <c r="AB3404" s="152"/>
      <c r="AC3404" s="152"/>
      <c r="AD3404" s="223">
        <v>14.32513</v>
      </c>
      <c r="AE3404" s="223">
        <v>0.29259839999999998</v>
      </c>
      <c r="AF3404" s="223">
        <v>4.1802299999999999</v>
      </c>
      <c r="AG3404" s="223">
        <v>0.66749009999999998</v>
      </c>
      <c r="AH3404" s="341"/>
      <c r="AI3404" s="218"/>
      <c r="AJ3404" s="218"/>
      <c r="AK3404" s="153"/>
      <c r="AL3404" s="152"/>
      <c r="AM3404" s="152"/>
      <c r="AN3404" s="152"/>
      <c r="AO3404" s="152"/>
      <c r="AP3404" s="152"/>
      <c r="AQ3404" s="152"/>
      <c r="AR3404" s="152"/>
      <c r="AS3404" s="152"/>
      <c r="AT3404" s="152"/>
      <c r="AU3404" s="153"/>
      <c r="AV3404" s="479"/>
      <c r="AW3404" s="479"/>
      <c r="AX3404" s="442"/>
      <c r="AY3404" s="153"/>
      <c r="AZ3404" s="152"/>
      <c r="BA3404" s="152"/>
      <c r="BB3404" s="152"/>
      <c r="BC3404" s="152"/>
      <c r="BD3404" s="152"/>
      <c r="BE3404" s="152"/>
      <c r="BF3404" s="152"/>
      <c r="BG3404" s="152"/>
      <c r="BH3404" s="152"/>
      <c r="BI3404" s="153"/>
      <c r="BJ3404" s="153"/>
      <c r="BK3404" s="153"/>
      <c r="BL3404" s="153"/>
      <c r="BM3404" s="153"/>
      <c r="BN3404" s="153"/>
      <c r="BO3404" s="153"/>
      <c r="BP3404" s="153"/>
      <c r="BQ3404" s="153"/>
      <c r="BR3404" s="153"/>
      <c r="BS3404" s="153"/>
      <c r="BT3404" s="153"/>
      <c r="BU3404" s="153"/>
      <c r="BV3404" s="153"/>
      <c r="BW3404" s="153"/>
      <c r="BX3404" s="153"/>
      <c r="BY3404" s="153"/>
      <c r="BZ3404" s="153"/>
      <c r="CA3404" s="152"/>
      <c r="CB3404" s="152"/>
    </row>
    <row r="3405" spans="1:80" s="87" customFormat="1" ht="15" x14ac:dyDescent="0.25">
      <c r="A3405" s="152"/>
      <c r="B3405" s="683"/>
      <c r="C3405" s="683"/>
      <c r="D3405" s="698"/>
      <c r="E3405" s="215"/>
      <c r="F3405" s="215"/>
      <c r="G3405" s="153"/>
      <c r="H3405" s="153"/>
      <c r="I3405" s="322">
        <v>25</v>
      </c>
      <c r="J3405" s="163">
        <v>60</v>
      </c>
      <c r="K3405" s="150">
        <v>1</v>
      </c>
      <c r="L3405" s="664">
        <v>25</v>
      </c>
      <c r="M3405" s="663">
        <v>35908</v>
      </c>
      <c r="N3405" s="600">
        <v>4.5017199999999997</v>
      </c>
      <c r="O3405" s="604">
        <v>8.9899999999999995E-4</v>
      </c>
      <c r="P3405" s="150"/>
      <c r="Q3405" s="250"/>
      <c r="R3405" s="250"/>
      <c r="S3405" s="250"/>
      <c r="T3405" s="250">
        <v>8.2962960000000002E-2</v>
      </c>
      <c r="U3405" s="250">
        <v>0.162963</v>
      </c>
      <c r="V3405" s="250">
        <v>0.15407407407407409</v>
      </c>
      <c r="W3405" s="250">
        <v>0.25777777777777777</v>
      </c>
      <c r="X3405" s="250">
        <v>0.2074074074074074</v>
      </c>
      <c r="Y3405" s="250">
        <v>0.13481481481481483</v>
      </c>
      <c r="Z3405" s="150">
        <v>5</v>
      </c>
      <c r="AA3405" s="150">
        <v>0.76</v>
      </c>
      <c r="AB3405" s="152"/>
      <c r="AC3405" s="152"/>
      <c r="AD3405" s="223">
        <v>15.54429</v>
      </c>
      <c r="AE3405" s="223">
        <v>0.396227</v>
      </c>
      <c r="AF3405" s="223">
        <v>6.1402934</v>
      </c>
      <c r="AG3405" s="223">
        <v>0.75587919999999997</v>
      </c>
      <c r="AH3405" s="341"/>
      <c r="AI3405" s="218"/>
      <c r="AJ3405" s="218"/>
      <c r="AK3405" s="153"/>
      <c r="AL3405" s="152"/>
      <c r="AM3405" s="152"/>
      <c r="AN3405" s="152"/>
      <c r="AO3405" s="152"/>
      <c r="AP3405" s="152"/>
      <c r="AQ3405" s="152"/>
      <c r="AR3405" s="152"/>
      <c r="AS3405" s="152"/>
      <c r="AT3405" s="152"/>
      <c r="AU3405" s="153"/>
      <c r="AV3405" s="479"/>
      <c r="AW3405" s="479"/>
      <c r="AX3405" s="442"/>
      <c r="AY3405" s="153"/>
      <c r="AZ3405" s="152"/>
      <c r="BA3405" s="152"/>
      <c r="BB3405" s="152"/>
      <c r="BC3405" s="152"/>
      <c r="BD3405" s="152"/>
      <c r="BE3405" s="152"/>
      <c r="BF3405" s="152"/>
      <c r="BG3405" s="152"/>
      <c r="BH3405" s="152"/>
      <c r="BI3405" s="153"/>
      <c r="BJ3405" s="153"/>
      <c r="BK3405" s="153"/>
      <c r="BL3405" s="153"/>
      <c r="BM3405" s="153"/>
      <c r="BN3405" s="153"/>
      <c r="BO3405" s="153"/>
      <c r="BP3405" s="153"/>
      <c r="BQ3405" s="153"/>
      <c r="BR3405" s="153"/>
      <c r="BS3405" s="153"/>
      <c r="BT3405" s="153"/>
      <c r="BU3405" s="153"/>
      <c r="BV3405" s="153"/>
      <c r="BW3405" s="153"/>
      <c r="BX3405" s="153"/>
      <c r="BY3405" s="153"/>
      <c r="BZ3405" s="153"/>
      <c r="CA3405" s="152"/>
      <c r="CB3405" s="152"/>
    </row>
    <row r="3406" spans="1:80" s="87" customFormat="1" ht="15" x14ac:dyDescent="0.25">
      <c r="A3406" s="152"/>
      <c r="B3406" s="683"/>
      <c r="C3406" s="683"/>
      <c r="D3406" s="698"/>
      <c r="E3406" s="215"/>
      <c r="F3406" s="215"/>
      <c r="G3406" s="153"/>
      <c r="H3406" s="153"/>
      <c r="I3406" s="322">
        <v>20</v>
      </c>
      <c r="J3406" s="163">
        <v>60</v>
      </c>
      <c r="K3406" s="150">
        <v>1</v>
      </c>
      <c r="L3406" s="664">
        <v>20</v>
      </c>
      <c r="M3406" s="663">
        <v>35922</v>
      </c>
      <c r="N3406" s="600">
        <v>16.817699999999999</v>
      </c>
      <c r="O3406" s="604">
        <v>4.7021E-2</v>
      </c>
      <c r="P3406" s="150"/>
      <c r="Q3406" s="250"/>
      <c r="R3406" s="250"/>
      <c r="S3406" s="250">
        <v>7.7042970000000002E-2</v>
      </c>
      <c r="T3406" s="250">
        <v>0.1008112</v>
      </c>
      <c r="U3406" s="250">
        <v>0.160887</v>
      </c>
      <c r="V3406" s="250">
        <v>0.20743154688108814</v>
      </c>
      <c r="W3406" s="250">
        <v>0.31762955616166622</v>
      </c>
      <c r="X3406" s="250">
        <v>0.12518153802557472</v>
      </c>
      <c r="Y3406" s="250">
        <v>1.1016258722680739E-2</v>
      </c>
      <c r="Z3406" s="150">
        <v>16</v>
      </c>
      <c r="AA3406" s="150">
        <v>1.17</v>
      </c>
      <c r="AB3406" s="152"/>
      <c r="AC3406" s="152"/>
      <c r="AD3406" s="223">
        <v>18.744585000000001</v>
      </c>
      <c r="AE3406" s="223">
        <v>0.60043630000000003</v>
      </c>
      <c r="AF3406" s="223">
        <v>11.240174</v>
      </c>
      <c r="AG3406" s="223">
        <v>1.4873752</v>
      </c>
      <c r="AH3406" s="341"/>
      <c r="AI3406" s="218"/>
      <c r="AJ3406" s="218"/>
      <c r="AK3406" s="153"/>
      <c r="AL3406" s="152"/>
      <c r="AM3406" s="152"/>
      <c r="AN3406" s="152"/>
      <c r="AO3406" s="152"/>
      <c r="AP3406" s="152"/>
      <c r="AQ3406" s="152"/>
      <c r="AR3406" s="152"/>
      <c r="AS3406" s="152"/>
      <c r="AT3406" s="152"/>
      <c r="AU3406" s="153"/>
      <c r="AV3406" s="479"/>
      <c r="AW3406" s="479"/>
      <c r="AX3406" s="442"/>
      <c r="AY3406" s="153"/>
      <c r="AZ3406" s="152"/>
      <c r="BA3406" s="152"/>
      <c r="BB3406" s="152"/>
      <c r="BC3406" s="152"/>
      <c r="BD3406" s="152"/>
      <c r="BE3406" s="152"/>
      <c r="BF3406" s="152"/>
      <c r="BG3406" s="152"/>
      <c r="BH3406" s="152"/>
      <c r="BI3406" s="153"/>
      <c r="BJ3406" s="153"/>
      <c r="BK3406" s="153"/>
      <c r="BL3406" s="153"/>
      <c r="BM3406" s="153"/>
      <c r="BN3406" s="153"/>
      <c r="BO3406" s="153"/>
      <c r="BP3406" s="153"/>
      <c r="BQ3406" s="153"/>
      <c r="BR3406" s="153"/>
      <c r="BS3406" s="153"/>
      <c r="BT3406" s="153"/>
      <c r="BU3406" s="153"/>
      <c r="BV3406" s="153"/>
      <c r="BW3406" s="153"/>
      <c r="BX3406" s="153"/>
      <c r="BY3406" s="153"/>
      <c r="BZ3406" s="153"/>
      <c r="CA3406" s="152"/>
      <c r="CB3406" s="152"/>
    </row>
    <row r="3407" spans="1:80" s="87" customFormat="1" ht="15" x14ac:dyDescent="0.25">
      <c r="A3407" s="152"/>
      <c r="B3407" s="683"/>
      <c r="C3407" s="683"/>
      <c r="D3407" s="698"/>
      <c r="E3407" s="215"/>
      <c r="F3407" s="215"/>
      <c r="G3407" s="153"/>
      <c r="H3407" s="153"/>
      <c r="I3407" s="322">
        <v>20</v>
      </c>
      <c r="J3407" s="163">
        <v>60</v>
      </c>
      <c r="K3407" s="150">
        <v>1</v>
      </c>
      <c r="L3407" s="664">
        <v>20</v>
      </c>
      <c r="M3407" s="663">
        <v>35934</v>
      </c>
      <c r="N3407" s="600">
        <v>9.4281299999999995</v>
      </c>
      <c r="O3407" s="604">
        <v>2.1310000000000001E-3</v>
      </c>
      <c r="P3407" s="150"/>
      <c r="Q3407" s="250"/>
      <c r="R3407" s="250"/>
      <c r="S3407" s="250"/>
      <c r="T3407" s="250">
        <v>8.2448469999999996E-2</v>
      </c>
      <c r="U3407" s="250">
        <v>0.16864460000000001</v>
      </c>
      <c r="V3407" s="250">
        <v>0.34478450968144914</v>
      </c>
      <c r="W3407" s="250">
        <v>0.28232354778263591</v>
      </c>
      <c r="X3407" s="250">
        <v>0.11680199875078079</v>
      </c>
      <c r="Y3407" s="250">
        <v>4.9968769519050599E-3</v>
      </c>
      <c r="Z3407" s="150">
        <v>8</v>
      </c>
      <c r="AA3407" s="150">
        <v>1.21</v>
      </c>
      <c r="AB3407" s="152"/>
      <c r="AC3407" s="152"/>
      <c r="AD3407" s="223"/>
      <c r="AE3407" s="223"/>
      <c r="AF3407" s="223"/>
      <c r="AG3407" s="223"/>
      <c r="AH3407" s="341"/>
      <c r="AI3407" s="218"/>
      <c r="AJ3407" s="218"/>
      <c r="AK3407" s="153"/>
      <c r="AL3407" s="152"/>
      <c r="AM3407" s="152"/>
      <c r="AN3407" s="152"/>
      <c r="AO3407" s="152"/>
      <c r="AP3407" s="152"/>
      <c r="AQ3407" s="152"/>
      <c r="AR3407" s="152"/>
      <c r="AS3407" s="152"/>
      <c r="AT3407" s="152"/>
      <c r="AU3407" s="153"/>
      <c r="AV3407" s="479"/>
      <c r="AW3407" s="479"/>
      <c r="AX3407" s="442"/>
      <c r="AY3407" s="153"/>
      <c r="AZ3407" s="152"/>
      <c r="BA3407" s="152"/>
      <c r="BB3407" s="152"/>
      <c r="BC3407" s="152"/>
      <c r="BD3407" s="152"/>
      <c r="BE3407" s="152"/>
      <c r="BF3407" s="152"/>
      <c r="BG3407" s="152"/>
      <c r="BH3407" s="152"/>
      <c r="BI3407" s="153"/>
      <c r="BJ3407" s="153"/>
      <c r="BK3407" s="153"/>
      <c r="BL3407" s="153"/>
      <c r="BM3407" s="153"/>
      <c r="BN3407" s="153"/>
      <c r="BO3407" s="153"/>
      <c r="BP3407" s="153"/>
      <c r="BQ3407" s="153"/>
      <c r="BR3407" s="153"/>
      <c r="BS3407" s="153"/>
      <c r="BT3407" s="153"/>
      <c r="BU3407" s="153"/>
      <c r="BV3407" s="153"/>
      <c r="BW3407" s="153"/>
      <c r="BX3407" s="153"/>
      <c r="BY3407" s="153"/>
      <c r="BZ3407" s="153"/>
      <c r="CA3407" s="152"/>
      <c r="CB3407" s="152"/>
    </row>
    <row r="3408" spans="1:80" s="87" customFormat="1" ht="15" x14ac:dyDescent="0.25">
      <c r="A3408" s="152"/>
      <c r="B3408" s="683"/>
      <c r="C3408" s="683"/>
      <c r="D3408" s="698"/>
      <c r="E3408" s="215"/>
      <c r="F3408" s="215"/>
      <c r="G3408" s="153"/>
      <c r="H3408" s="153"/>
      <c r="I3408" s="322">
        <v>20</v>
      </c>
      <c r="J3408" s="163">
        <v>60</v>
      </c>
      <c r="K3408" s="150">
        <v>1</v>
      </c>
      <c r="L3408" s="664">
        <v>20</v>
      </c>
      <c r="M3408" s="663">
        <v>35941</v>
      </c>
      <c r="N3408" s="600">
        <v>19.337599999999998</v>
      </c>
      <c r="O3408" s="604">
        <v>0.117552</v>
      </c>
      <c r="P3408" s="150"/>
      <c r="Q3408" s="250"/>
      <c r="R3408" s="250">
        <v>6.1249728430000004E-2</v>
      </c>
      <c r="S3408" s="250">
        <v>0.1323763</v>
      </c>
      <c r="T3408" s="250">
        <v>0.17649609999999999</v>
      </c>
      <c r="U3408" s="250">
        <v>0.2502799</v>
      </c>
      <c r="V3408" s="250">
        <v>0.22549593061149456</v>
      </c>
      <c r="W3408" s="250">
        <v>0.11795377442050904</v>
      </c>
      <c r="X3408" s="250">
        <v>3.4460283770910975E-2</v>
      </c>
      <c r="Y3408" s="250">
        <v>1.6879188461988404E-3</v>
      </c>
      <c r="Z3408" s="150">
        <v>29</v>
      </c>
      <c r="AA3408" s="150">
        <v>2.79</v>
      </c>
      <c r="AB3408" s="152"/>
      <c r="AC3408" s="152"/>
      <c r="AD3408" s="223">
        <v>18.896979999999999</v>
      </c>
      <c r="AE3408" s="223">
        <v>0.63396319999999995</v>
      </c>
      <c r="AF3408" s="223">
        <v>11.983326</v>
      </c>
      <c r="AG3408" s="223">
        <v>1.6397702000000001</v>
      </c>
      <c r="AH3408" s="341"/>
      <c r="AI3408" s="218"/>
      <c r="AJ3408" s="218"/>
      <c r="AK3408" s="153"/>
      <c r="AL3408" s="152"/>
      <c r="AM3408" s="152"/>
      <c r="AN3408" s="152"/>
      <c r="AO3408" s="152"/>
      <c r="AP3408" s="152"/>
      <c r="AQ3408" s="152"/>
      <c r="AR3408" s="152"/>
      <c r="AS3408" s="152"/>
      <c r="AT3408" s="152"/>
      <c r="AU3408" s="153"/>
      <c r="AV3408" s="479"/>
      <c r="AW3408" s="479"/>
      <c r="AX3408" s="442"/>
      <c r="AY3408" s="153"/>
      <c r="AZ3408" s="152"/>
      <c r="BA3408" s="152"/>
      <c r="BB3408" s="152"/>
      <c r="BC3408" s="152"/>
      <c r="BD3408" s="152"/>
      <c r="BE3408" s="152"/>
      <c r="BF3408" s="152"/>
      <c r="BG3408" s="152"/>
      <c r="BH3408" s="152"/>
      <c r="BI3408" s="153"/>
      <c r="BJ3408" s="153"/>
      <c r="BK3408" s="153"/>
      <c r="BL3408" s="153"/>
      <c r="BM3408" s="153"/>
      <c r="BN3408" s="153"/>
      <c r="BO3408" s="153"/>
      <c r="BP3408" s="153"/>
      <c r="BQ3408" s="153"/>
      <c r="BR3408" s="153"/>
      <c r="BS3408" s="153"/>
      <c r="BT3408" s="153"/>
      <c r="BU3408" s="153"/>
      <c r="BV3408" s="153"/>
      <c r="BW3408" s="153"/>
      <c r="BX3408" s="153"/>
      <c r="BY3408" s="153"/>
      <c r="BZ3408" s="153"/>
      <c r="CA3408" s="152"/>
      <c r="CB3408" s="152"/>
    </row>
    <row r="3409" spans="1:80" s="87" customFormat="1" ht="15" x14ac:dyDescent="0.25">
      <c r="A3409" s="152"/>
      <c r="B3409" s="683"/>
      <c r="C3409" s="683"/>
      <c r="D3409" s="698"/>
      <c r="E3409" s="215"/>
      <c r="F3409" s="215"/>
      <c r="G3409" s="153"/>
      <c r="H3409" s="153"/>
      <c r="I3409" s="322">
        <v>20</v>
      </c>
      <c r="J3409" s="163">
        <v>60</v>
      </c>
      <c r="K3409" s="150">
        <v>1</v>
      </c>
      <c r="L3409" s="664">
        <v>20</v>
      </c>
      <c r="M3409" s="663">
        <v>35955</v>
      </c>
      <c r="N3409" s="600">
        <v>15.9117</v>
      </c>
      <c r="O3409" s="604">
        <v>4.3346999999999997E-2</v>
      </c>
      <c r="P3409" s="150"/>
      <c r="Q3409" s="250"/>
      <c r="R3409" s="250">
        <v>4.2804995200000001E-2</v>
      </c>
      <c r="S3409" s="250">
        <v>8.3227670000000004E-2</v>
      </c>
      <c r="T3409" s="250">
        <v>0.17225739999999998</v>
      </c>
      <c r="U3409" s="250">
        <v>0.28645530000000002</v>
      </c>
      <c r="V3409" s="250">
        <v>0.23926993275696443</v>
      </c>
      <c r="W3409" s="250">
        <v>0.13198847262247834</v>
      </c>
      <c r="X3409" s="250">
        <v>4.2881844380403447E-2</v>
      </c>
      <c r="Y3409" s="250">
        <v>1.1143131604226702E-3</v>
      </c>
      <c r="Z3409" s="150">
        <v>22</v>
      </c>
      <c r="AA3409" s="150">
        <v>2.46</v>
      </c>
      <c r="AB3409" s="152"/>
      <c r="AC3409" s="152"/>
      <c r="AD3409" s="223">
        <v>18.744585000000001</v>
      </c>
      <c r="AE3409" s="223">
        <v>0.57910099999999998</v>
      </c>
      <c r="AF3409" s="223">
        <v>10.868598</v>
      </c>
      <c r="AG3409" s="223">
        <v>1.4812794</v>
      </c>
      <c r="AH3409" s="341"/>
      <c r="AI3409" s="218"/>
      <c r="AJ3409" s="218"/>
      <c r="AK3409" s="153"/>
      <c r="AL3409" s="152"/>
      <c r="AM3409" s="152"/>
      <c r="AN3409" s="152"/>
      <c r="AO3409" s="152"/>
      <c r="AP3409" s="152"/>
      <c r="AQ3409" s="152"/>
      <c r="AR3409" s="152"/>
      <c r="AS3409" s="152"/>
      <c r="AT3409" s="152"/>
      <c r="AU3409" s="153"/>
      <c r="AV3409" s="479"/>
      <c r="AW3409" s="479"/>
      <c r="AX3409" s="442"/>
      <c r="AY3409" s="153"/>
      <c r="AZ3409" s="152"/>
      <c r="BA3409" s="152"/>
      <c r="BB3409" s="152"/>
      <c r="BC3409" s="152"/>
      <c r="BD3409" s="152"/>
      <c r="BE3409" s="152"/>
      <c r="BF3409" s="152"/>
      <c r="BG3409" s="152"/>
      <c r="BH3409" s="152"/>
      <c r="BI3409" s="153"/>
      <c r="BJ3409" s="153"/>
      <c r="BK3409" s="153"/>
      <c r="BL3409" s="153"/>
      <c r="BM3409" s="153"/>
      <c r="BN3409" s="153"/>
      <c r="BO3409" s="153"/>
      <c r="BP3409" s="153"/>
      <c r="BQ3409" s="153"/>
      <c r="BR3409" s="153"/>
      <c r="BS3409" s="153"/>
      <c r="BT3409" s="153"/>
      <c r="BU3409" s="153"/>
      <c r="BV3409" s="153"/>
      <c r="BW3409" s="153"/>
      <c r="BX3409" s="153"/>
      <c r="BY3409" s="153"/>
      <c r="BZ3409" s="153"/>
      <c r="CA3409" s="152"/>
      <c r="CB3409" s="152"/>
    </row>
    <row r="3410" spans="1:80" s="87" customFormat="1" ht="15" x14ac:dyDescent="0.25">
      <c r="A3410" s="152"/>
      <c r="B3410" s="683"/>
      <c r="C3410" s="683"/>
      <c r="D3410" s="698"/>
      <c r="E3410" s="215"/>
      <c r="F3410" s="215"/>
      <c r="G3410" s="153"/>
      <c r="H3410" s="153"/>
      <c r="I3410" s="322">
        <v>20</v>
      </c>
      <c r="J3410" s="163">
        <v>60</v>
      </c>
      <c r="K3410" s="150">
        <v>1</v>
      </c>
      <c r="L3410" s="664">
        <v>20</v>
      </c>
      <c r="M3410" s="663">
        <v>35983</v>
      </c>
      <c r="N3410" s="600">
        <v>10.702199999999999</v>
      </c>
      <c r="O3410" s="604">
        <v>4.7860000000000003E-3</v>
      </c>
      <c r="P3410" s="150"/>
      <c r="Q3410" s="250"/>
      <c r="R3410" s="250"/>
      <c r="S3410" s="250">
        <v>8.002780000000001E-3</v>
      </c>
      <c r="T3410" s="250">
        <v>0.21677109999999999</v>
      </c>
      <c r="U3410" s="250">
        <v>9.9860820000000003E-2</v>
      </c>
      <c r="V3410" s="250">
        <v>0.24112734864300628</v>
      </c>
      <c r="W3410" s="250">
        <v>0.25748086290883782</v>
      </c>
      <c r="X3410" s="250">
        <v>0.1649269311064718</v>
      </c>
      <c r="Y3410" s="250">
        <v>1.1830201809324986E-2</v>
      </c>
      <c r="Z3410" s="150">
        <v>10</v>
      </c>
      <c r="AA3410" s="150">
        <v>1.21</v>
      </c>
      <c r="AB3410" s="152"/>
      <c r="AC3410" s="152"/>
      <c r="AD3410" s="223">
        <v>17.982610000000001</v>
      </c>
      <c r="AE3410" s="223">
        <v>0.49375980000000003</v>
      </c>
      <c r="AF3410" s="223">
        <v>8.8992451999999993</v>
      </c>
      <c r="AG3410" s="223">
        <v>1.2130642</v>
      </c>
      <c r="AH3410" s="341"/>
      <c r="AI3410" s="218"/>
      <c r="AJ3410" s="218"/>
      <c r="AK3410" s="153"/>
      <c r="AL3410" s="152"/>
      <c r="AM3410" s="152"/>
      <c r="AN3410" s="152"/>
      <c r="AO3410" s="152"/>
      <c r="AP3410" s="152"/>
      <c r="AQ3410" s="152"/>
      <c r="AR3410" s="152"/>
      <c r="AS3410" s="152"/>
      <c r="AT3410" s="152"/>
      <c r="AU3410" s="153"/>
      <c r="AV3410" s="479"/>
      <c r="AW3410" s="479"/>
      <c r="AX3410" s="442"/>
      <c r="AY3410" s="153"/>
      <c r="AZ3410" s="152"/>
      <c r="BA3410" s="152"/>
      <c r="BB3410" s="152"/>
      <c r="BC3410" s="152"/>
      <c r="BD3410" s="152"/>
      <c r="BE3410" s="152"/>
      <c r="BF3410" s="152"/>
      <c r="BG3410" s="152"/>
      <c r="BH3410" s="152"/>
      <c r="BI3410" s="153"/>
      <c r="BJ3410" s="153"/>
      <c r="BK3410" s="153"/>
      <c r="BL3410" s="153"/>
      <c r="BM3410" s="153"/>
      <c r="BN3410" s="153"/>
      <c r="BO3410" s="153"/>
      <c r="BP3410" s="153"/>
      <c r="BQ3410" s="153"/>
      <c r="BR3410" s="153"/>
      <c r="BS3410" s="153"/>
      <c r="BT3410" s="153"/>
      <c r="BU3410" s="153"/>
      <c r="BV3410" s="153"/>
      <c r="BW3410" s="153"/>
      <c r="BX3410" s="153"/>
      <c r="BY3410" s="153"/>
      <c r="BZ3410" s="153"/>
      <c r="CA3410" s="152"/>
      <c r="CB3410" s="152"/>
    </row>
    <row r="3411" spans="1:80" s="87" customFormat="1" ht="15" x14ac:dyDescent="0.25">
      <c r="A3411" s="152"/>
      <c r="B3411" s="683"/>
      <c r="C3411" s="683"/>
      <c r="D3411" s="698"/>
      <c r="E3411" s="215"/>
      <c r="F3411" s="215"/>
      <c r="G3411" s="153"/>
      <c r="H3411" s="153"/>
      <c r="I3411" s="322">
        <v>20</v>
      </c>
      <c r="J3411" s="163">
        <v>60</v>
      </c>
      <c r="K3411" s="150">
        <v>1</v>
      </c>
      <c r="L3411" s="664">
        <v>20</v>
      </c>
      <c r="M3411" s="663">
        <v>35999</v>
      </c>
      <c r="N3411" s="600">
        <v>6.22879</v>
      </c>
      <c r="O3411" s="604">
        <v>6.7070000000000003E-3</v>
      </c>
      <c r="P3411" s="150"/>
      <c r="Q3411" s="250"/>
      <c r="R3411" s="250"/>
      <c r="S3411" s="250">
        <v>3.0183729999999999E-2</v>
      </c>
      <c r="T3411" s="250">
        <v>0.13385830000000001</v>
      </c>
      <c r="U3411" s="250">
        <v>0.24562550000000002</v>
      </c>
      <c r="V3411" s="250">
        <v>0.26859142607174108</v>
      </c>
      <c r="W3411" s="250">
        <v>0.23118985126859148</v>
      </c>
      <c r="X3411" s="250">
        <v>8.7926509186351712E-2</v>
      </c>
      <c r="Y3411" s="250">
        <v>2.6246719160104991E-3</v>
      </c>
      <c r="Z3411" s="150">
        <v>10</v>
      </c>
      <c r="AA3411" s="150">
        <v>1.58</v>
      </c>
      <c r="AB3411" s="152"/>
      <c r="AC3411" s="152"/>
      <c r="AD3411" s="223">
        <v>16.153870000000001</v>
      </c>
      <c r="AE3411" s="223">
        <v>0.44804129999999998</v>
      </c>
      <c r="AF3411" s="223">
        <v>7.2178637999999999</v>
      </c>
      <c r="AG3411" s="223">
        <v>0.86560360000000003</v>
      </c>
      <c r="AH3411" s="341"/>
      <c r="AI3411" s="218"/>
      <c r="AJ3411" s="218"/>
      <c r="AK3411" s="153"/>
      <c r="AL3411" s="152"/>
      <c r="AM3411" s="152"/>
      <c r="AN3411" s="152"/>
      <c r="AO3411" s="152"/>
      <c r="AP3411" s="152"/>
      <c r="AQ3411" s="152"/>
      <c r="AR3411" s="152"/>
      <c r="AS3411" s="152"/>
      <c r="AT3411" s="152"/>
      <c r="AU3411" s="153"/>
      <c r="AV3411" s="479"/>
      <c r="AW3411" s="479"/>
      <c r="AX3411" s="442"/>
      <c r="AY3411" s="153"/>
      <c r="AZ3411" s="152"/>
      <c r="BA3411" s="152"/>
      <c r="BB3411" s="152"/>
      <c r="BC3411" s="152"/>
      <c r="BD3411" s="152"/>
      <c r="BE3411" s="152"/>
      <c r="BF3411" s="152"/>
      <c r="BG3411" s="152"/>
      <c r="BH3411" s="152"/>
      <c r="BI3411" s="153"/>
      <c r="BJ3411" s="153"/>
      <c r="BK3411" s="153"/>
      <c r="BL3411" s="153"/>
      <c r="BM3411" s="153"/>
      <c r="BN3411" s="153"/>
      <c r="BO3411" s="153"/>
      <c r="BP3411" s="153"/>
      <c r="BQ3411" s="153"/>
      <c r="BR3411" s="153"/>
      <c r="BS3411" s="153"/>
      <c r="BT3411" s="153"/>
      <c r="BU3411" s="153"/>
      <c r="BV3411" s="153"/>
      <c r="BW3411" s="153"/>
      <c r="BX3411" s="153"/>
      <c r="BY3411" s="153"/>
      <c r="BZ3411" s="153"/>
      <c r="CA3411" s="152"/>
      <c r="CB3411" s="152"/>
    </row>
    <row r="3412" spans="1:80" s="87" customFormat="1" ht="15" x14ac:dyDescent="0.25">
      <c r="A3412" s="152"/>
      <c r="B3412" s="683"/>
      <c r="C3412" s="683"/>
      <c r="D3412" s="698"/>
      <c r="E3412" s="215"/>
      <c r="F3412" s="215"/>
      <c r="G3412" s="153"/>
      <c r="H3412" s="153"/>
      <c r="I3412" s="322">
        <v>23</v>
      </c>
      <c r="J3412" s="163">
        <v>60</v>
      </c>
      <c r="K3412" s="150">
        <v>1</v>
      </c>
      <c r="L3412" s="664">
        <v>23</v>
      </c>
      <c r="M3412" s="663">
        <v>36026</v>
      </c>
      <c r="N3412" s="600">
        <v>4.2185899999999998</v>
      </c>
      <c r="O3412" s="604">
        <v>5.8250000000000003E-3</v>
      </c>
      <c r="P3412" s="150"/>
      <c r="Q3412" s="250"/>
      <c r="R3412" s="250"/>
      <c r="S3412" s="250">
        <v>7.7978500000000006E-2</v>
      </c>
      <c r="T3412" s="250">
        <v>0.32083240000000002</v>
      </c>
      <c r="U3412" s="250">
        <v>0.16373200000000002</v>
      </c>
      <c r="V3412" s="250">
        <v>0.14703864623828036</v>
      </c>
      <c r="W3412" s="250">
        <v>0.20603704550651727</v>
      </c>
      <c r="X3412" s="250">
        <v>8.2552023782300477E-2</v>
      </c>
      <c r="Y3412" s="250">
        <v>1.8294077292476561E-3</v>
      </c>
      <c r="Z3412" s="150">
        <v>11</v>
      </c>
      <c r="AA3412" s="150">
        <v>2.61</v>
      </c>
      <c r="AB3412" s="152"/>
      <c r="AC3412" s="152"/>
      <c r="AD3412" s="223">
        <v>15.54429</v>
      </c>
      <c r="AE3412" s="223">
        <v>0.37793959999999999</v>
      </c>
      <c r="AF3412" s="223">
        <v>5.8709008000000003</v>
      </c>
      <c r="AG3412" s="223">
        <v>0.72235229999999995</v>
      </c>
      <c r="AH3412" s="341"/>
      <c r="AI3412" s="218"/>
      <c r="AJ3412" s="218"/>
      <c r="AK3412" s="153"/>
      <c r="AL3412" s="152"/>
      <c r="AM3412" s="152"/>
      <c r="AN3412" s="152"/>
      <c r="AO3412" s="152"/>
      <c r="AP3412" s="152"/>
      <c r="AQ3412" s="152"/>
      <c r="AR3412" s="152"/>
      <c r="AS3412" s="152"/>
      <c r="AT3412" s="152"/>
      <c r="AU3412" s="153"/>
      <c r="AV3412" s="479"/>
      <c r="AW3412" s="479"/>
      <c r="AX3412" s="442"/>
      <c r="AY3412" s="153"/>
      <c r="AZ3412" s="152"/>
      <c r="BA3412" s="152"/>
      <c r="BB3412" s="152"/>
      <c r="BC3412" s="152"/>
      <c r="BD3412" s="152"/>
      <c r="BE3412" s="152"/>
      <c r="BF3412" s="152"/>
      <c r="BG3412" s="152"/>
      <c r="BH3412" s="152"/>
      <c r="BI3412" s="153"/>
      <c r="BJ3412" s="153"/>
      <c r="BK3412" s="153"/>
      <c r="BL3412" s="153"/>
      <c r="BM3412" s="153"/>
      <c r="BN3412" s="153"/>
      <c r="BO3412" s="153"/>
      <c r="BP3412" s="153"/>
      <c r="BQ3412" s="153"/>
      <c r="BR3412" s="153"/>
      <c r="BS3412" s="153"/>
      <c r="BT3412" s="153"/>
      <c r="BU3412" s="153"/>
      <c r="BV3412" s="153"/>
      <c r="BW3412" s="153"/>
      <c r="BX3412" s="153"/>
      <c r="BY3412" s="153"/>
      <c r="BZ3412" s="153"/>
      <c r="CA3412" s="152"/>
      <c r="CB3412" s="152"/>
    </row>
    <row r="3413" spans="1:80" s="87" customFormat="1" ht="15" x14ac:dyDescent="0.25">
      <c r="A3413" s="152"/>
      <c r="B3413" s="683"/>
      <c r="C3413" s="683"/>
      <c r="D3413" s="698"/>
      <c r="E3413" s="215"/>
      <c r="F3413" s="215"/>
      <c r="G3413" s="153"/>
      <c r="H3413" s="153"/>
      <c r="I3413" s="322">
        <v>23</v>
      </c>
      <c r="J3413" s="163">
        <v>60</v>
      </c>
      <c r="K3413" s="150">
        <v>1</v>
      </c>
      <c r="L3413" s="664">
        <v>23</v>
      </c>
      <c r="M3413" s="663">
        <v>36068</v>
      </c>
      <c r="N3413" s="600">
        <v>2.9728300000000001</v>
      </c>
      <c r="O3413" s="604">
        <v>6.8430000000000001E-3</v>
      </c>
      <c r="P3413" s="150"/>
      <c r="Q3413" s="250"/>
      <c r="R3413" s="250"/>
      <c r="S3413" s="250">
        <v>8.6321119999999987E-2</v>
      </c>
      <c r="T3413" s="250">
        <v>3.7607170000000002E-2</v>
      </c>
      <c r="U3413" s="250">
        <v>4.9883089999999998E-2</v>
      </c>
      <c r="V3413" s="250">
        <v>0.22388932190179264</v>
      </c>
      <c r="W3413" s="250">
        <v>0.47408417770849565</v>
      </c>
      <c r="X3413" s="250">
        <v>0.12626656274356976</v>
      </c>
      <c r="Y3413" s="250">
        <v>1.9485580670303975E-3</v>
      </c>
      <c r="Z3413" s="150">
        <v>15</v>
      </c>
      <c r="AA3413" s="150">
        <v>0.86</v>
      </c>
      <c r="AB3413" s="152"/>
      <c r="AC3413" s="152"/>
      <c r="AD3413" s="223">
        <v>14.782315000000001</v>
      </c>
      <c r="AE3413" s="223">
        <v>0.34746060000000001</v>
      </c>
      <c r="AF3413" s="223">
        <v>5.1370382000000001</v>
      </c>
      <c r="AG3413" s="223">
        <v>0.57300519999999999</v>
      </c>
      <c r="AH3413" s="341"/>
      <c r="AI3413" s="218"/>
      <c r="AJ3413" s="218"/>
      <c r="AK3413" s="153"/>
      <c r="AL3413" s="152"/>
      <c r="AM3413" s="152"/>
      <c r="AN3413" s="152"/>
      <c r="AO3413" s="152"/>
      <c r="AP3413" s="152"/>
      <c r="AQ3413" s="152"/>
      <c r="AR3413" s="152"/>
      <c r="AS3413" s="152"/>
      <c r="AT3413" s="152"/>
      <c r="AU3413" s="153"/>
      <c r="AV3413" s="479"/>
      <c r="AW3413" s="479"/>
      <c r="AX3413" s="442"/>
      <c r="AY3413" s="153"/>
      <c r="AZ3413" s="152"/>
      <c r="BA3413" s="152"/>
      <c r="BB3413" s="152"/>
      <c r="BC3413" s="152"/>
      <c r="BD3413" s="152"/>
      <c r="BE3413" s="152"/>
      <c r="BF3413" s="152"/>
      <c r="BG3413" s="152"/>
      <c r="BH3413" s="152"/>
      <c r="BI3413" s="153"/>
      <c r="BJ3413" s="153"/>
      <c r="BK3413" s="153"/>
      <c r="BL3413" s="153"/>
      <c r="BM3413" s="153"/>
      <c r="BN3413" s="153"/>
      <c r="BO3413" s="153"/>
      <c r="BP3413" s="153"/>
      <c r="BQ3413" s="153"/>
      <c r="BR3413" s="153"/>
      <c r="BS3413" s="153"/>
      <c r="BT3413" s="153"/>
      <c r="BU3413" s="153"/>
      <c r="BV3413" s="153"/>
      <c r="BW3413" s="153"/>
      <c r="BX3413" s="153"/>
      <c r="BY3413" s="153"/>
      <c r="BZ3413" s="153"/>
      <c r="CA3413" s="152"/>
      <c r="CB3413" s="152"/>
    </row>
    <row r="3414" spans="1:80" s="87" customFormat="1" ht="15" x14ac:dyDescent="0.25">
      <c r="A3414" s="152"/>
      <c r="B3414" s="683"/>
      <c r="C3414" s="683"/>
      <c r="D3414" s="698"/>
      <c r="E3414" s="215"/>
      <c r="F3414" s="215"/>
      <c r="G3414" s="153"/>
      <c r="H3414" s="153"/>
      <c r="I3414" s="322">
        <v>19</v>
      </c>
      <c r="J3414" s="163">
        <v>60</v>
      </c>
      <c r="K3414" s="150">
        <v>1</v>
      </c>
      <c r="L3414" s="664">
        <v>19</v>
      </c>
      <c r="M3414" s="663">
        <v>36132</v>
      </c>
      <c r="N3414" s="600">
        <v>2.6444100000000001</v>
      </c>
      <c r="O3414" s="604">
        <v>1.291E-3</v>
      </c>
      <c r="P3414" s="150"/>
      <c r="Q3414" s="250"/>
      <c r="R3414" s="250"/>
      <c r="S3414" s="250"/>
      <c r="T3414" s="250">
        <v>0.1812339</v>
      </c>
      <c r="U3414" s="250">
        <v>0.14138820000000002</v>
      </c>
      <c r="V3414" s="250">
        <v>0.21079691516709512</v>
      </c>
      <c r="W3414" s="250">
        <v>0.31362467866323912</v>
      </c>
      <c r="X3414" s="250">
        <v>0.14652956298200515</v>
      </c>
      <c r="Y3414" s="250">
        <v>6.4267352185089985E-3</v>
      </c>
      <c r="Z3414" s="150">
        <v>7</v>
      </c>
      <c r="AA3414" s="150">
        <v>1.1200000000000001</v>
      </c>
      <c r="AB3414" s="152"/>
      <c r="AC3414" s="152"/>
      <c r="AD3414" s="223">
        <v>14.934710000000001</v>
      </c>
      <c r="AE3414" s="223">
        <v>0.33526899999999998</v>
      </c>
      <c r="AF3414" s="223">
        <v>5.0255653999999996</v>
      </c>
      <c r="AG3414" s="223">
        <v>0.53643039999999997</v>
      </c>
      <c r="AH3414" s="341"/>
      <c r="AI3414" s="218"/>
      <c r="AJ3414" s="218"/>
      <c r="AK3414" s="153"/>
      <c r="AL3414" s="152"/>
      <c r="AM3414" s="152"/>
      <c r="AN3414" s="152"/>
      <c r="AO3414" s="152"/>
      <c r="AP3414" s="152"/>
      <c r="AQ3414" s="152"/>
      <c r="AR3414" s="152"/>
      <c r="AS3414" s="152"/>
      <c r="AT3414" s="152"/>
      <c r="AU3414" s="153"/>
      <c r="AV3414" s="479"/>
      <c r="AW3414" s="479"/>
      <c r="AX3414" s="442"/>
      <c r="AY3414" s="153"/>
      <c r="AZ3414" s="152"/>
      <c r="BA3414" s="152"/>
      <c r="BB3414" s="152"/>
      <c r="BC3414" s="152"/>
      <c r="BD3414" s="152"/>
      <c r="BE3414" s="152"/>
      <c r="BF3414" s="152"/>
      <c r="BG3414" s="152"/>
      <c r="BH3414" s="152"/>
      <c r="BI3414" s="153"/>
      <c r="BJ3414" s="153"/>
      <c r="BK3414" s="153"/>
      <c r="BL3414" s="153"/>
      <c r="BM3414" s="153"/>
      <c r="BN3414" s="153"/>
      <c r="BO3414" s="153"/>
      <c r="BP3414" s="153"/>
      <c r="BQ3414" s="153"/>
      <c r="BR3414" s="153"/>
      <c r="BS3414" s="153"/>
      <c r="BT3414" s="153"/>
      <c r="BU3414" s="153"/>
      <c r="BV3414" s="153"/>
      <c r="BW3414" s="153"/>
      <c r="BX3414" s="153"/>
      <c r="BY3414" s="153"/>
      <c r="BZ3414" s="153"/>
      <c r="CA3414" s="152"/>
      <c r="CB3414" s="152"/>
    </row>
    <row r="3415" spans="1:80" s="87" customFormat="1" ht="15" x14ac:dyDescent="0.25">
      <c r="A3415" s="152"/>
      <c r="B3415" s="683"/>
      <c r="C3415" s="683"/>
      <c r="D3415" s="698"/>
      <c r="E3415" s="215"/>
      <c r="F3415" s="215"/>
      <c r="G3415" s="153"/>
      <c r="H3415" s="153"/>
      <c r="I3415" s="322">
        <v>22</v>
      </c>
      <c r="J3415" s="163">
        <v>60</v>
      </c>
      <c r="K3415" s="150">
        <v>1</v>
      </c>
      <c r="L3415" s="664">
        <v>22</v>
      </c>
      <c r="M3415" s="663">
        <v>36181</v>
      </c>
      <c r="N3415" s="600">
        <v>1.9734</v>
      </c>
      <c r="O3415" s="604">
        <v>1.343E-3</v>
      </c>
      <c r="P3415" s="150"/>
      <c r="Q3415" s="250"/>
      <c r="R3415" s="250"/>
      <c r="S3415" s="250"/>
      <c r="T3415" s="250"/>
      <c r="U3415" s="250">
        <v>5.4726369999999996E-2</v>
      </c>
      <c r="V3415" s="250">
        <v>0.15323383084577116</v>
      </c>
      <c r="W3415" s="250">
        <v>0.35223880597014928</v>
      </c>
      <c r="X3415" s="250">
        <v>0.42487562189054728</v>
      </c>
      <c r="Y3415" s="250">
        <v>1.492537313432836E-2</v>
      </c>
      <c r="Z3415" s="150">
        <v>3</v>
      </c>
      <c r="AA3415" s="150">
        <v>0.56000000000000005</v>
      </c>
      <c r="AB3415" s="152"/>
      <c r="AC3415" s="152"/>
      <c r="AD3415" s="223"/>
      <c r="AE3415" s="223"/>
      <c r="AF3415" s="223"/>
      <c r="AG3415" s="223"/>
      <c r="AH3415" s="341"/>
      <c r="AI3415" s="218"/>
      <c r="AJ3415" s="218"/>
      <c r="AK3415" s="153"/>
      <c r="AL3415" s="152"/>
      <c r="AM3415" s="152"/>
      <c r="AN3415" s="152"/>
      <c r="AO3415" s="152"/>
      <c r="AP3415" s="152"/>
      <c r="AQ3415" s="152"/>
      <c r="AR3415" s="152"/>
      <c r="AS3415" s="152"/>
      <c r="AT3415" s="152"/>
      <c r="AU3415" s="153"/>
      <c r="AV3415" s="479"/>
      <c r="AW3415" s="479"/>
      <c r="AX3415" s="442"/>
      <c r="AY3415" s="153"/>
      <c r="AZ3415" s="152"/>
      <c r="BA3415" s="152"/>
      <c r="BB3415" s="152"/>
      <c r="BC3415" s="152"/>
      <c r="BD3415" s="152"/>
      <c r="BE3415" s="152"/>
      <c r="BF3415" s="152"/>
      <c r="BG3415" s="152"/>
      <c r="BH3415" s="152"/>
      <c r="BI3415" s="153"/>
      <c r="BJ3415" s="153"/>
      <c r="BK3415" s="153"/>
      <c r="BL3415" s="153"/>
      <c r="BM3415" s="153"/>
      <c r="BN3415" s="153"/>
      <c r="BO3415" s="153"/>
      <c r="BP3415" s="153"/>
      <c r="BQ3415" s="153"/>
      <c r="BR3415" s="153"/>
      <c r="BS3415" s="153"/>
      <c r="BT3415" s="153"/>
      <c r="BU3415" s="153"/>
      <c r="BV3415" s="153"/>
      <c r="BW3415" s="153"/>
      <c r="BX3415" s="153"/>
      <c r="BY3415" s="153"/>
      <c r="BZ3415" s="153"/>
      <c r="CA3415" s="152"/>
      <c r="CB3415" s="152"/>
    </row>
    <row r="3416" spans="1:80" s="87" customFormat="1" ht="15" x14ac:dyDescent="0.25">
      <c r="A3416" s="152"/>
      <c r="B3416" s="683"/>
      <c r="C3416" s="683"/>
      <c r="D3416" s="698"/>
      <c r="E3416" s="215"/>
      <c r="F3416" s="215"/>
      <c r="G3416" s="153"/>
      <c r="H3416" s="153"/>
      <c r="I3416" s="322">
        <v>22</v>
      </c>
      <c r="J3416" s="163">
        <v>60</v>
      </c>
      <c r="K3416" s="150">
        <v>1</v>
      </c>
      <c r="L3416" s="664">
        <v>22</v>
      </c>
      <c r="M3416" s="663">
        <v>36216</v>
      </c>
      <c r="N3416" s="600">
        <v>2.1177899999999998</v>
      </c>
      <c r="O3416" s="604">
        <v>2.8649999999999999E-3</v>
      </c>
      <c r="P3416" s="150"/>
      <c r="Q3416" s="250"/>
      <c r="R3416" s="250"/>
      <c r="S3416" s="250">
        <v>0.26256979999999996</v>
      </c>
      <c r="T3416" s="250">
        <v>0.1568901</v>
      </c>
      <c r="U3416" s="250">
        <v>6.9832400000000003E-2</v>
      </c>
      <c r="V3416" s="250">
        <v>0.13687150837988829</v>
      </c>
      <c r="W3416" s="250">
        <v>0.21554934823091251</v>
      </c>
      <c r="X3416" s="250">
        <v>0.15642458100558662</v>
      </c>
      <c r="Y3416" s="250">
        <v>1.8621973929236499E-3</v>
      </c>
      <c r="Z3416" s="150">
        <v>14</v>
      </c>
      <c r="AA3416" s="150">
        <v>1.89</v>
      </c>
      <c r="AB3416" s="152"/>
      <c r="AC3416" s="152"/>
      <c r="AD3416" s="223">
        <v>14.32513</v>
      </c>
      <c r="AE3416" s="223">
        <v>0.31698159999999997</v>
      </c>
      <c r="AF3416" s="223">
        <v>4.5239377999999997</v>
      </c>
      <c r="AG3416" s="223">
        <v>0.45718500000000001</v>
      </c>
      <c r="AH3416" s="341"/>
      <c r="AI3416" s="218"/>
      <c r="AJ3416" s="218"/>
      <c r="AK3416" s="153"/>
      <c r="AL3416" s="152"/>
      <c r="AM3416" s="152"/>
      <c r="AN3416" s="152"/>
      <c r="AO3416" s="152"/>
      <c r="AP3416" s="152"/>
      <c r="AQ3416" s="152"/>
      <c r="AR3416" s="152"/>
      <c r="AS3416" s="152"/>
      <c r="AT3416" s="152"/>
      <c r="AU3416" s="153"/>
      <c r="AV3416" s="479"/>
      <c r="AW3416" s="479"/>
      <c r="AX3416" s="442"/>
      <c r="AY3416" s="153"/>
      <c r="AZ3416" s="152"/>
      <c r="BA3416" s="152"/>
      <c r="BB3416" s="152"/>
      <c r="BC3416" s="152"/>
      <c r="BD3416" s="152"/>
      <c r="BE3416" s="152"/>
      <c r="BF3416" s="152"/>
      <c r="BG3416" s="152"/>
      <c r="BH3416" s="152"/>
      <c r="BI3416" s="153"/>
      <c r="BJ3416" s="153"/>
      <c r="BK3416" s="153"/>
      <c r="BL3416" s="153"/>
      <c r="BM3416" s="153"/>
      <c r="BN3416" s="153"/>
      <c r="BO3416" s="153"/>
      <c r="BP3416" s="153"/>
      <c r="BQ3416" s="153"/>
      <c r="BR3416" s="153"/>
      <c r="BS3416" s="153"/>
      <c r="BT3416" s="153"/>
      <c r="BU3416" s="153"/>
      <c r="BV3416" s="153"/>
      <c r="BW3416" s="153"/>
      <c r="BX3416" s="153"/>
      <c r="BY3416" s="153"/>
      <c r="BZ3416" s="153"/>
      <c r="CA3416" s="152"/>
      <c r="CB3416" s="152"/>
    </row>
    <row r="3417" spans="1:80" s="87" customFormat="1" ht="15" x14ac:dyDescent="0.25">
      <c r="A3417" s="152"/>
      <c r="B3417" s="683"/>
      <c r="C3417" s="683"/>
      <c r="D3417" s="698"/>
      <c r="E3417" s="215"/>
      <c r="F3417" s="215"/>
      <c r="G3417" s="153"/>
      <c r="H3417" s="153"/>
      <c r="I3417" s="322">
        <v>21</v>
      </c>
      <c r="J3417" s="163">
        <v>60</v>
      </c>
      <c r="K3417" s="150">
        <v>1</v>
      </c>
      <c r="L3417" s="664">
        <v>21</v>
      </c>
      <c r="M3417" s="663">
        <v>36235</v>
      </c>
      <c r="N3417" s="600">
        <v>2.4801899999999999</v>
      </c>
      <c r="O3417" s="604">
        <v>2.2989999999999998E-3</v>
      </c>
      <c r="P3417" s="150"/>
      <c r="Q3417" s="250"/>
      <c r="R3417" s="250"/>
      <c r="S3417" s="250"/>
      <c r="T3417" s="250">
        <v>8.2938400000000002E-3</v>
      </c>
      <c r="U3417" s="250">
        <v>8.8270139999999997E-2</v>
      </c>
      <c r="V3417" s="250">
        <v>0.23045023696682468</v>
      </c>
      <c r="W3417" s="250">
        <v>0.4176540284360189</v>
      </c>
      <c r="X3417" s="250">
        <v>0.24881516587677727</v>
      </c>
      <c r="Y3417" s="250">
        <v>6.516587677725119E-3</v>
      </c>
      <c r="Z3417" s="150">
        <v>5</v>
      </c>
      <c r="AA3417" s="150">
        <v>0.75</v>
      </c>
      <c r="AB3417" s="152"/>
      <c r="AC3417" s="152"/>
      <c r="AD3417" s="223">
        <v>14.32513</v>
      </c>
      <c r="AE3417" s="223">
        <v>0.30174210000000001</v>
      </c>
      <c r="AF3417" s="223">
        <v>4.3288603999999999</v>
      </c>
      <c r="AG3417" s="223">
        <v>0.57605309999999998</v>
      </c>
      <c r="AH3417" s="341"/>
      <c r="AI3417" s="218"/>
      <c r="AJ3417" s="218"/>
      <c r="AK3417" s="153"/>
      <c r="AL3417" s="152"/>
      <c r="AM3417" s="152"/>
      <c r="AN3417" s="152"/>
      <c r="AO3417" s="152"/>
      <c r="AP3417" s="152"/>
      <c r="AQ3417" s="152"/>
      <c r="AR3417" s="152"/>
      <c r="AS3417" s="152"/>
      <c r="AT3417" s="152"/>
      <c r="AU3417" s="153"/>
      <c r="AV3417" s="479"/>
      <c r="AW3417" s="479"/>
      <c r="AX3417" s="442"/>
      <c r="AY3417" s="153"/>
      <c r="AZ3417" s="152"/>
      <c r="BA3417" s="152"/>
      <c r="BB3417" s="152"/>
      <c r="BC3417" s="152"/>
      <c r="BD3417" s="152"/>
      <c r="BE3417" s="152"/>
      <c r="BF3417" s="152"/>
      <c r="BG3417" s="152"/>
      <c r="BH3417" s="152"/>
      <c r="BI3417" s="153"/>
      <c r="BJ3417" s="153"/>
      <c r="BK3417" s="153"/>
      <c r="BL3417" s="153"/>
      <c r="BM3417" s="153"/>
      <c r="BN3417" s="153"/>
      <c r="BO3417" s="153"/>
      <c r="BP3417" s="153"/>
      <c r="BQ3417" s="153"/>
      <c r="BR3417" s="153"/>
      <c r="BS3417" s="153"/>
      <c r="BT3417" s="153"/>
      <c r="BU3417" s="153"/>
      <c r="BV3417" s="153"/>
      <c r="BW3417" s="153"/>
      <c r="BX3417" s="153"/>
      <c r="BY3417" s="153"/>
      <c r="BZ3417" s="153"/>
      <c r="CA3417" s="152"/>
      <c r="CB3417" s="152"/>
    </row>
    <row r="3418" spans="1:80" s="87" customFormat="1" ht="15" x14ac:dyDescent="0.25">
      <c r="A3418" s="152"/>
      <c r="B3418" s="683"/>
      <c r="C3418" s="683"/>
      <c r="D3418" s="698"/>
      <c r="E3418" s="215"/>
      <c r="F3418" s="215"/>
      <c r="G3418" s="153"/>
      <c r="H3418" s="153"/>
      <c r="I3418" s="322">
        <v>23</v>
      </c>
      <c r="J3418" s="163">
        <v>60</v>
      </c>
      <c r="K3418" s="150">
        <v>1</v>
      </c>
      <c r="L3418" s="664">
        <v>23</v>
      </c>
      <c r="M3418" s="663">
        <v>36258</v>
      </c>
      <c r="N3418" s="600">
        <v>2.7010299999999998</v>
      </c>
      <c r="O3418" s="604">
        <v>2.9599999999999998E-4</v>
      </c>
      <c r="P3418" s="150"/>
      <c r="Q3418" s="250"/>
      <c r="R3418" s="250"/>
      <c r="S3418" s="250"/>
      <c r="T3418" s="250"/>
      <c r="U3418" s="250">
        <v>9.4594590000000006E-2</v>
      </c>
      <c r="V3418" s="250">
        <v>0.14414414414414414</v>
      </c>
      <c r="W3418" s="250">
        <v>0.41441441441441434</v>
      </c>
      <c r="X3418" s="250">
        <v>0.33783783783783783</v>
      </c>
      <c r="Y3418" s="250">
        <v>9.0090090090090089E-3</v>
      </c>
      <c r="Z3418" s="150">
        <v>2</v>
      </c>
      <c r="AA3418" s="150">
        <v>0.65</v>
      </c>
      <c r="AB3418" s="152"/>
      <c r="AC3418" s="152"/>
      <c r="AD3418" s="223">
        <v>14.62992</v>
      </c>
      <c r="AE3418" s="223">
        <v>0.33526899999999998</v>
      </c>
      <c r="AF3418" s="223">
        <v>4.9233820000000001</v>
      </c>
      <c r="AG3418" s="223">
        <v>0.55471780000000004</v>
      </c>
      <c r="AH3418" s="341"/>
      <c r="AI3418" s="218"/>
      <c r="AJ3418" s="218"/>
      <c r="AK3418" s="153"/>
      <c r="AL3418" s="152"/>
      <c r="AM3418" s="152"/>
      <c r="AN3418" s="152"/>
      <c r="AO3418" s="152"/>
      <c r="AP3418" s="152"/>
      <c r="AQ3418" s="152"/>
      <c r="AR3418" s="152"/>
      <c r="AS3418" s="152"/>
      <c r="AT3418" s="152"/>
      <c r="AU3418" s="153"/>
      <c r="AV3418" s="479"/>
      <c r="AW3418" s="479"/>
      <c r="AX3418" s="442"/>
      <c r="AY3418" s="153"/>
      <c r="AZ3418" s="152"/>
      <c r="BA3418" s="152"/>
      <c r="BB3418" s="152"/>
      <c r="BC3418" s="152"/>
      <c r="BD3418" s="152"/>
      <c r="BE3418" s="152"/>
      <c r="BF3418" s="152"/>
      <c r="BG3418" s="152"/>
      <c r="BH3418" s="152"/>
      <c r="BI3418" s="153"/>
      <c r="BJ3418" s="153"/>
      <c r="BK3418" s="153"/>
      <c r="BL3418" s="153"/>
      <c r="BM3418" s="153"/>
      <c r="BN3418" s="153"/>
      <c r="BO3418" s="153"/>
      <c r="BP3418" s="153"/>
      <c r="BQ3418" s="153"/>
      <c r="BR3418" s="153"/>
      <c r="BS3418" s="153"/>
      <c r="BT3418" s="153"/>
      <c r="BU3418" s="153"/>
      <c r="BV3418" s="153"/>
      <c r="BW3418" s="153"/>
      <c r="BX3418" s="153"/>
      <c r="BY3418" s="153"/>
      <c r="BZ3418" s="153"/>
      <c r="CA3418" s="152"/>
      <c r="CB3418" s="152"/>
    </row>
    <row r="3419" spans="1:80" s="87" customFormat="1" ht="15" x14ac:dyDescent="0.25">
      <c r="A3419" s="152"/>
      <c r="B3419" s="683"/>
      <c r="C3419" s="683"/>
      <c r="D3419" s="698"/>
      <c r="E3419" s="215"/>
      <c r="F3419" s="215"/>
      <c r="G3419" s="153"/>
      <c r="H3419" s="153"/>
      <c r="I3419" s="322">
        <v>22</v>
      </c>
      <c r="J3419" s="163">
        <v>60</v>
      </c>
      <c r="K3419" s="150">
        <v>1</v>
      </c>
      <c r="L3419" s="664">
        <v>22</v>
      </c>
      <c r="M3419" s="663">
        <v>36272</v>
      </c>
      <c r="N3419" s="600">
        <v>4.5017199999999997</v>
      </c>
      <c r="O3419" s="604">
        <v>5.7520000000000002E-3</v>
      </c>
      <c r="P3419" s="150"/>
      <c r="Q3419" s="250"/>
      <c r="R3419" s="250"/>
      <c r="S3419" s="250"/>
      <c r="T3419" s="250">
        <v>4.4612579999999999E-2</v>
      </c>
      <c r="U3419" s="250">
        <v>0.20610489999999998</v>
      </c>
      <c r="V3419" s="250">
        <v>0.33237672841116622</v>
      </c>
      <c r="W3419" s="250">
        <v>0.31854943908165922</v>
      </c>
      <c r="X3419" s="250">
        <v>9.6008348552047998E-2</v>
      </c>
      <c r="Y3419" s="250">
        <v>2.3480302635011737E-3</v>
      </c>
      <c r="Z3419" s="150">
        <v>8</v>
      </c>
      <c r="AA3419" s="150">
        <v>1.19</v>
      </c>
      <c r="AB3419" s="152"/>
      <c r="AC3419" s="152"/>
      <c r="AD3419" s="223">
        <v>15.696685</v>
      </c>
      <c r="AE3419" s="223">
        <v>0.41146650000000001</v>
      </c>
      <c r="AF3419" s="223">
        <v>6.4561330000000003</v>
      </c>
      <c r="AG3419" s="223">
        <v>0.71625649999999996</v>
      </c>
      <c r="AH3419" s="341"/>
      <c r="AI3419" s="218"/>
      <c r="AJ3419" s="218"/>
      <c r="AK3419" s="153"/>
      <c r="AL3419" s="152"/>
      <c r="AM3419" s="152"/>
      <c r="AN3419" s="152"/>
      <c r="AO3419" s="152"/>
      <c r="AP3419" s="152"/>
      <c r="AQ3419" s="152"/>
      <c r="AR3419" s="152"/>
      <c r="AS3419" s="152"/>
      <c r="AT3419" s="152"/>
      <c r="AU3419" s="153"/>
      <c r="AV3419" s="479"/>
      <c r="AW3419" s="479"/>
      <c r="AX3419" s="442"/>
      <c r="AY3419" s="153"/>
      <c r="AZ3419" s="152"/>
      <c r="BA3419" s="152"/>
      <c r="BB3419" s="152"/>
      <c r="BC3419" s="152"/>
      <c r="BD3419" s="152"/>
      <c r="BE3419" s="152"/>
      <c r="BF3419" s="152"/>
      <c r="BG3419" s="152"/>
      <c r="BH3419" s="152"/>
      <c r="BI3419" s="153"/>
      <c r="BJ3419" s="153"/>
      <c r="BK3419" s="153"/>
      <c r="BL3419" s="153"/>
      <c r="BM3419" s="153"/>
      <c r="BN3419" s="153"/>
      <c r="BO3419" s="153"/>
      <c r="BP3419" s="153"/>
      <c r="BQ3419" s="153"/>
      <c r="BR3419" s="153"/>
      <c r="BS3419" s="153"/>
      <c r="BT3419" s="153"/>
      <c r="BU3419" s="153"/>
      <c r="BV3419" s="153"/>
      <c r="BW3419" s="153"/>
      <c r="BX3419" s="153"/>
      <c r="BY3419" s="153"/>
      <c r="BZ3419" s="153"/>
      <c r="CA3419" s="152"/>
      <c r="CB3419" s="152"/>
    </row>
    <row r="3420" spans="1:80" s="87" customFormat="1" ht="15" x14ac:dyDescent="0.25">
      <c r="A3420" s="152"/>
      <c r="B3420" s="683"/>
      <c r="C3420" s="683"/>
      <c r="D3420" s="698"/>
      <c r="E3420" s="215"/>
      <c r="F3420" s="215"/>
      <c r="G3420" s="153"/>
      <c r="H3420" s="153"/>
      <c r="I3420" s="322">
        <v>24</v>
      </c>
      <c r="J3420" s="163">
        <v>60</v>
      </c>
      <c r="K3420" s="150">
        <v>1</v>
      </c>
      <c r="L3420" s="664">
        <v>24</v>
      </c>
      <c r="M3420" s="663">
        <v>36285</v>
      </c>
      <c r="N3420" s="600">
        <v>4.6715999999999998</v>
      </c>
      <c r="O3420" s="604">
        <v>2.8549999999999999E-3</v>
      </c>
      <c r="P3420" s="150"/>
      <c r="Q3420" s="250"/>
      <c r="R3420" s="250"/>
      <c r="S3420" s="250"/>
      <c r="T3420" s="250">
        <v>3.9252340000000004E-2</v>
      </c>
      <c r="U3420" s="250">
        <v>0.24672899999999998</v>
      </c>
      <c r="V3420" s="250">
        <v>0.37616822429906532</v>
      </c>
      <c r="W3420" s="250">
        <v>0.22990654205607469</v>
      </c>
      <c r="X3420" s="250">
        <v>0.10467289719626166</v>
      </c>
      <c r="Y3420" s="250">
        <v>3.2710280373831769E-3</v>
      </c>
      <c r="Z3420" s="150">
        <v>5</v>
      </c>
      <c r="AA3420" s="150">
        <v>1.35</v>
      </c>
      <c r="AB3420" s="152"/>
      <c r="AC3420" s="152"/>
      <c r="AD3420" s="223">
        <v>15.696685</v>
      </c>
      <c r="AE3420" s="223">
        <v>0.41451440000000001</v>
      </c>
      <c r="AF3420" s="223">
        <v>6.4840011999999998</v>
      </c>
      <c r="AG3420" s="223">
        <v>0.73454390000000003</v>
      </c>
      <c r="AH3420" s="341"/>
      <c r="AI3420" s="218"/>
      <c r="AJ3420" s="218"/>
      <c r="AK3420" s="153"/>
      <c r="AL3420" s="152"/>
      <c r="AM3420" s="152"/>
      <c r="AN3420" s="152"/>
      <c r="AO3420" s="152"/>
      <c r="AP3420" s="152"/>
      <c r="AQ3420" s="152"/>
      <c r="AR3420" s="152"/>
      <c r="AS3420" s="152"/>
      <c r="AT3420" s="152"/>
      <c r="AU3420" s="153"/>
      <c r="AV3420" s="479"/>
      <c r="AW3420" s="479"/>
      <c r="AX3420" s="442"/>
      <c r="AY3420" s="153"/>
      <c r="AZ3420" s="152"/>
      <c r="BA3420" s="152"/>
      <c r="BB3420" s="152"/>
      <c r="BC3420" s="152"/>
      <c r="BD3420" s="152"/>
      <c r="BE3420" s="152"/>
      <c r="BF3420" s="152"/>
      <c r="BG3420" s="152"/>
      <c r="BH3420" s="152"/>
      <c r="BI3420" s="153"/>
      <c r="BJ3420" s="153"/>
      <c r="BK3420" s="153"/>
      <c r="BL3420" s="153"/>
      <c r="BM3420" s="153"/>
      <c r="BN3420" s="153"/>
      <c r="BO3420" s="153"/>
      <c r="BP3420" s="153"/>
      <c r="BQ3420" s="153"/>
      <c r="BR3420" s="153"/>
      <c r="BS3420" s="153"/>
      <c r="BT3420" s="153"/>
      <c r="BU3420" s="153"/>
      <c r="BV3420" s="153"/>
      <c r="BW3420" s="153"/>
      <c r="BX3420" s="153"/>
      <c r="BY3420" s="153"/>
      <c r="BZ3420" s="153"/>
      <c r="CA3420" s="152"/>
      <c r="CB3420" s="152"/>
    </row>
    <row r="3421" spans="1:80" s="87" customFormat="1" ht="15" x14ac:dyDescent="0.25">
      <c r="A3421" s="152"/>
      <c r="B3421" s="683"/>
      <c r="C3421" s="683"/>
      <c r="D3421" s="698"/>
      <c r="E3421" s="215"/>
      <c r="F3421" s="215"/>
      <c r="G3421" s="153"/>
      <c r="H3421" s="153"/>
      <c r="I3421" s="322">
        <v>20</v>
      </c>
      <c r="J3421" s="163">
        <v>60</v>
      </c>
      <c r="K3421" s="150">
        <v>1</v>
      </c>
      <c r="L3421" s="664">
        <v>20</v>
      </c>
      <c r="M3421" s="663">
        <v>36301</v>
      </c>
      <c r="N3421" s="600">
        <v>8.0408100000000005</v>
      </c>
      <c r="O3421" s="604">
        <v>9.3519999999999992E-3</v>
      </c>
      <c r="P3421" s="150"/>
      <c r="Q3421" s="250"/>
      <c r="R3421" s="250"/>
      <c r="S3421" s="250"/>
      <c r="T3421" s="250">
        <v>4.5260160000000001E-2</v>
      </c>
      <c r="U3421" s="250">
        <v>0.17676410000000001</v>
      </c>
      <c r="V3421" s="250">
        <v>0.32697790449037778</v>
      </c>
      <c r="W3421" s="250">
        <v>0.29365645046329292</v>
      </c>
      <c r="X3421" s="250">
        <v>0.15074839629365647</v>
      </c>
      <c r="Y3421" s="250">
        <v>6.5930149679258717E-3</v>
      </c>
      <c r="Z3421" s="150">
        <v>8</v>
      </c>
      <c r="AA3421" s="150">
        <v>1.1100000000000001</v>
      </c>
      <c r="AB3421" s="152"/>
      <c r="AC3421" s="152"/>
      <c r="AD3421" s="223">
        <v>16.763449999999999</v>
      </c>
      <c r="AE3421" s="223">
        <v>0.50290349999999995</v>
      </c>
      <c r="AF3421" s="223">
        <v>8.4533539999999991</v>
      </c>
      <c r="AG3421" s="223">
        <v>0.93570529999999996</v>
      </c>
      <c r="AH3421" s="341"/>
      <c r="AI3421" s="218"/>
      <c r="AJ3421" s="218"/>
      <c r="AK3421" s="153"/>
      <c r="AL3421" s="152"/>
      <c r="AM3421" s="152"/>
      <c r="AN3421" s="152"/>
      <c r="AO3421" s="152"/>
      <c r="AP3421" s="152"/>
      <c r="AQ3421" s="152"/>
      <c r="AR3421" s="152"/>
      <c r="AS3421" s="152"/>
      <c r="AT3421" s="152"/>
      <c r="AU3421" s="153"/>
      <c r="AV3421" s="479"/>
      <c r="AW3421" s="479"/>
      <c r="AX3421" s="442"/>
      <c r="AY3421" s="153"/>
      <c r="AZ3421" s="152"/>
      <c r="BA3421" s="152"/>
      <c r="BB3421" s="152"/>
      <c r="BC3421" s="152"/>
      <c r="BD3421" s="152"/>
      <c r="BE3421" s="152"/>
      <c r="BF3421" s="152"/>
      <c r="BG3421" s="152"/>
      <c r="BH3421" s="152"/>
      <c r="BI3421" s="153"/>
      <c r="BJ3421" s="153"/>
      <c r="BK3421" s="153"/>
      <c r="BL3421" s="153"/>
      <c r="BM3421" s="153"/>
      <c r="BN3421" s="153"/>
      <c r="BO3421" s="153"/>
      <c r="BP3421" s="153"/>
      <c r="BQ3421" s="153"/>
      <c r="BR3421" s="153"/>
      <c r="BS3421" s="153"/>
      <c r="BT3421" s="153"/>
      <c r="BU3421" s="153"/>
      <c r="BV3421" s="153"/>
      <c r="BW3421" s="153"/>
      <c r="BX3421" s="153"/>
      <c r="BY3421" s="153"/>
      <c r="BZ3421" s="153"/>
      <c r="CA3421" s="152"/>
      <c r="CB3421" s="152"/>
    </row>
    <row r="3422" spans="1:80" s="87" customFormat="1" ht="15" x14ac:dyDescent="0.25">
      <c r="A3422" s="152"/>
      <c r="B3422" s="683"/>
      <c r="C3422" s="683"/>
      <c r="D3422" s="698"/>
      <c r="E3422" s="215"/>
      <c r="F3422" s="215"/>
      <c r="G3422" s="153"/>
      <c r="H3422" s="153"/>
      <c r="I3422" s="322">
        <v>20</v>
      </c>
      <c r="J3422" s="163">
        <v>60</v>
      </c>
      <c r="K3422" s="150">
        <v>1</v>
      </c>
      <c r="L3422" s="664">
        <v>20</v>
      </c>
      <c r="M3422" s="663">
        <v>36312</v>
      </c>
      <c r="N3422" s="600">
        <v>17.723800000000001</v>
      </c>
      <c r="O3422" s="604">
        <v>5.4157999999999998E-2</v>
      </c>
      <c r="P3422" s="150"/>
      <c r="Q3422" s="250"/>
      <c r="R3422" s="250"/>
      <c r="S3422" s="250">
        <v>6.4070619999999995E-2</v>
      </c>
      <c r="T3422" s="250">
        <v>0.1356156</v>
      </c>
      <c r="U3422" s="250">
        <v>0.1921503</v>
      </c>
      <c r="V3422" s="250">
        <v>0.19645658392544063</v>
      </c>
      <c r="W3422" s="250">
        <v>0.24465565500907382</v>
      </c>
      <c r="X3422" s="250">
        <v>0.16212974070314662</v>
      </c>
      <c r="Y3422" s="250">
        <v>4.9214112146658056E-3</v>
      </c>
      <c r="Z3422" s="150">
        <v>18</v>
      </c>
      <c r="AA3422" s="150">
        <v>1.37</v>
      </c>
      <c r="AB3422" s="152"/>
      <c r="AC3422" s="152"/>
      <c r="AD3422" s="223">
        <v>19.049375000000001</v>
      </c>
      <c r="AE3422" s="223">
        <v>0.62786739999999996</v>
      </c>
      <c r="AF3422" s="223">
        <v>11.983326</v>
      </c>
      <c r="AG3422" s="223">
        <v>1.5544290000000001</v>
      </c>
      <c r="AH3422" s="341"/>
      <c r="AI3422" s="218"/>
      <c r="AJ3422" s="218"/>
      <c r="AK3422" s="153"/>
      <c r="AL3422" s="152"/>
      <c r="AM3422" s="152"/>
      <c r="AN3422" s="152"/>
      <c r="AO3422" s="152"/>
      <c r="AP3422" s="152"/>
      <c r="AQ3422" s="152"/>
      <c r="AR3422" s="152"/>
      <c r="AS3422" s="152"/>
      <c r="AT3422" s="152"/>
      <c r="AU3422" s="153"/>
      <c r="AV3422" s="479"/>
      <c r="AW3422" s="479"/>
      <c r="AX3422" s="442"/>
      <c r="AY3422" s="153"/>
      <c r="AZ3422" s="152"/>
      <c r="BA3422" s="152"/>
      <c r="BB3422" s="152"/>
      <c r="BC3422" s="152"/>
      <c r="BD3422" s="152"/>
      <c r="BE3422" s="152"/>
      <c r="BF3422" s="152"/>
      <c r="BG3422" s="152"/>
      <c r="BH3422" s="152"/>
      <c r="BI3422" s="153"/>
      <c r="BJ3422" s="153"/>
      <c r="BK3422" s="153"/>
      <c r="BL3422" s="153"/>
      <c r="BM3422" s="153"/>
      <c r="BN3422" s="153"/>
      <c r="BO3422" s="153"/>
      <c r="BP3422" s="153"/>
      <c r="BQ3422" s="153"/>
      <c r="BR3422" s="153"/>
      <c r="BS3422" s="153"/>
      <c r="BT3422" s="153"/>
      <c r="BU3422" s="153"/>
      <c r="BV3422" s="153"/>
      <c r="BW3422" s="153"/>
      <c r="BX3422" s="153"/>
      <c r="BY3422" s="153"/>
      <c r="BZ3422" s="153"/>
      <c r="CA3422" s="152"/>
      <c r="CB3422" s="152"/>
    </row>
    <row r="3423" spans="1:80" s="87" customFormat="1" ht="15" x14ac:dyDescent="0.25">
      <c r="A3423" s="152"/>
      <c r="B3423" s="683"/>
      <c r="C3423" s="683"/>
      <c r="D3423" s="698"/>
      <c r="E3423" s="215"/>
      <c r="F3423" s="215"/>
      <c r="G3423" s="153"/>
      <c r="H3423" s="153"/>
      <c r="I3423" s="322">
        <v>19</v>
      </c>
      <c r="J3423" s="163">
        <v>60</v>
      </c>
      <c r="K3423" s="150">
        <v>1</v>
      </c>
      <c r="L3423" s="664">
        <v>19</v>
      </c>
      <c r="M3423" s="663">
        <v>36320</v>
      </c>
      <c r="N3423" s="600">
        <v>13.675000000000001</v>
      </c>
      <c r="O3423" s="604">
        <v>9.1520000000000004E-3</v>
      </c>
      <c r="P3423" s="150"/>
      <c r="Q3423" s="250"/>
      <c r="R3423" s="250"/>
      <c r="S3423" s="250"/>
      <c r="T3423" s="250">
        <v>8.7051539999999997E-2</v>
      </c>
      <c r="U3423" s="250">
        <v>0.19559280000000001</v>
      </c>
      <c r="V3423" s="250">
        <v>0.28701511564378074</v>
      </c>
      <c r="W3423" s="250">
        <v>0.26151884902567835</v>
      </c>
      <c r="X3423" s="250">
        <v>0.16426880349663087</v>
      </c>
      <c r="Y3423" s="250">
        <v>4.5529047532325622E-3</v>
      </c>
      <c r="Z3423" s="150">
        <v>7</v>
      </c>
      <c r="AA3423" s="150">
        <v>1.18</v>
      </c>
      <c r="AB3423" s="152"/>
      <c r="AC3423" s="152"/>
      <c r="AD3423" s="223">
        <v>18.439795</v>
      </c>
      <c r="AE3423" s="223">
        <v>0.57910099999999998</v>
      </c>
      <c r="AF3423" s="223">
        <v>10.68281</v>
      </c>
      <c r="AG3423" s="223">
        <v>1.3288844</v>
      </c>
      <c r="AH3423" s="341"/>
      <c r="AI3423" s="218"/>
      <c r="AJ3423" s="218"/>
      <c r="AK3423" s="153"/>
      <c r="AL3423" s="152"/>
      <c r="AM3423" s="152"/>
      <c r="AN3423" s="152"/>
      <c r="AO3423" s="152"/>
      <c r="AP3423" s="152"/>
      <c r="AQ3423" s="152"/>
      <c r="AR3423" s="152"/>
      <c r="AS3423" s="152"/>
      <c r="AT3423" s="152"/>
      <c r="AU3423" s="153"/>
      <c r="AV3423" s="479"/>
      <c r="AW3423" s="479"/>
      <c r="AX3423" s="442"/>
      <c r="AY3423" s="153"/>
      <c r="AZ3423" s="152"/>
      <c r="BA3423" s="152"/>
      <c r="BB3423" s="152"/>
      <c r="BC3423" s="152"/>
      <c r="BD3423" s="152"/>
      <c r="BE3423" s="152"/>
      <c r="BF3423" s="152"/>
      <c r="BG3423" s="152"/>
      <c r="BH3423" s="152"/>
      <c r="BI3423" s="153"/>
      <c r="BJ3423" s="153"/>
      <c r="BK3423" s="153"/>
      <c r="BL3423" s="153"/>
      <c r="BM3423" s="153"/>
      <c r="BN3423" s="153"/>
      <c r="BO3423" s="153"/>
      <c r="BP3423" s="153"/>
      <c r="BQ3423" s="153"/>
      <c r="BR3423" s="153"/>
      <c r="BS3423" s="153"/>
      <c r="BT3423" s="153"/>
      <c r="BU3423" s="153"/>
      <c r="BV3423" s="153"/>
      <c r="BW3423" s="153"/>
      <c r="BX3423" s="153"/>
      <c r="BY3423" s="153"/>
      <c r="BZ3423" s="153"/>
      <c r="CA3423" s="152"/>
      <c r="CB3423" s="152"/>
    </row>
    <row r="3424" spans="1:80" s="87" customFormat="1" ht="15" x14ac:dyDescent="0.25">
      <c r="A3424" s="152"/>
      <c r="B3424" s="683"/>
      <c r="C3424" s="683"/>
      <c r="D3424" s="698"/>
      <c r="E3424" s="215"/>
      <c r="F3424" s="215"/>
      <c r="G3424" s="153"/>
      <c r="H3424" s="153"/>
      <c r="I3424" s="322">
        <v>22</v>
      </c>
      <c r="J3424" s="163">
        <v>60</v>
      </c>
      <c r="K3424" s="150">
        <v>1</v>
      </c>
      <c r="L3424" s="664">
        <v>22</v>
      </c>
      <c r="M3424" s="663">
        <v>36332</v>
      </c>
      <c r="N3424" s="600">
        <v>24.037500000000001</v>
      </c>
      <c r="O3424" s="604">
        <v>0.138543</v>
      </c>
      <c r="P3424" s="250">
        <v>0.10744960000000001</v>
      </c>
      <c r="Q3424" s="250">
        <v>6.4246011689999993E-2</v>
      </c>
      <c r="R3424" s="250">
        <v>0</v>
      </c>
      <c r="S3424" s="250">
        <v>0.18338989999999999</v>
      </c>
      <c r="T3424" s="250">
        <v>0.2140331</v>
      </c>
      <c r="U3424" s="250">
        <v>2.6985729999999999E-2</v>
      </c>
      <c r="V3424" s="250">
        <v>0.20611660530811618</v>
      </c>
      <c r="W3424" s="250">
        <v>0.13112683173319861</v>
      </c>
      <c r="X3424" s="250">
        <v>6.244134844438029E-2</v>
      </c>
      <c r="Y3424" s="250">
        <v>4.2108809162876874E-3</v>
      </c>
      <c r="Z3424" s="150">
        <v>35</v>
      </c>
      <c r="AA3424" s="150">
        <v>5</v>
      </c>
      <c r="AB3424" s="152"/>
      <c r="AC3424" s="152"/>
      <c r="AD3424" s="223">
        <v>19.049375000000001</v>
      </c>
      <c r="AE3424" s="223">
        <v>0.73149600000000004</v>
      </c>
      <c r="AF3424" s="223">
        <v>13.934100000000001</v>
      </c>
      <c r="AG3424" s="223">
        <v>1.7433988</v>
      </c>
      <c r="AH3424" s="341"/>
      <c r="AI3424" s="218"/>
      <c r="AJ3424" s="218"/>
      <c r="AK3424" s="153"/>
      <c r="AL3424" s="152"/>
      <c r="AM3424" s="152"/>
      <c r="AN3424" s="152"/>
      <c r="AO3424" s="152"/>
      <c r="AP3424" s="152"/>
      <c r="AQ3424" s="152"/>
      <c r="AR3424" s="152"/>
      <c r="AS3424" s="152"/>
      <c r="AT3424" s="152"/>
      <c r="AU3424" s="153"/>
      <c r="AV3424" s="479"/>
      <c r="AW3424" s="479"/>
      <c r="AX3424" s="442"/>
      <c r="AY3424" s="153"/>
      <c r="AZ3424" s="152"/>
      <c r="BA3424" s="152"/>
      <c r="BB3424" s="152"/>
      <c r="BC3424" s="152"/>
      <c r="BD3424" s="152"/>
      <c r="BE3424" s="152"/>
      <c r="BF3424" s="152"/>
      <c r="BG3424" s="152"/>
      <c r="BH3424" s="152"/>
      <c r="BI3424" s="153"/>
      <c r="BJ3424" s="153"/>
      <c r="BK3424" s="153"/>
      <c r="BL3424" s="153"/>
      <c r="BM3424" s="153"/>
      <c r="BN3424" s="153"/>
      <c r="BO3424" s="153"/>
      <c r="BP3424" s="153"/>
      <c r="BQ3424" s="153"/>
      <c r="BR3424" s="153"/>
      <c r="BS3424" s="153"/>
      <c r="BT3424" s="153"/>
      <c r="BU3424" s="153"/>
      <c r="BV3424" s="153"/>
      <c r="BW3424" s="153"/>
      <c r="BX3424" s="153"/>
      <c r="BY3424" s="153"/>
      <c r="BZ3424" s="153"/>
      <c r="CA3424" s="152"/>
      <c r="CB3424" s="152"/>
    </row>
    <row r="3425" spans="1:80" s="87" customFormat="1" ht="15" x14ac:dyDescent="0.25">
      <c r="A3425" s="152"/>
      <c r="B3425" s="683"/>
      <c r="C3425" s="683"/>
      <c r="D3425" s="698"/>
      <c r="E3425" s="215"/>
      <c r="F3425" s="215"/>
      <c r="G3425" s="153"/>
      <c r="H3425" s="153"/>
      <c r="I3425" s="322">
        <v>21</v>
      </c>
      <c r="J3425" s="163">
        <v>60</v>
      </c>
      <c r="K3425" s="150">
        <v>1</v>
      </c>
      <c r="L3425" s="664">
        <v>21</v>
      </c>
      <c r="M3425" s="663">
        <v>36341</v>
      </c>
      <c r="N3425" s="600">
        <v>14.7226</v>
      </c>
      <c r="O3425" s="604">
        <v>4.4186999999999997E-2</v>
      </c>
      <c r="P3425" s="150"/>
      <c r="Q3425" s="250"/>
      <c r="R3425" s="250">
        <v>0.18544043989999998</v>
      </c>
      <c r="S3425" s="250">
        <v>8.2250589999999998E-2</v>
      </c>
      <c r="T3425" s="250">
        <v>0.16826720000000001</v>
      </c>
      <c r="U3425" s="250">
        <v>0.2215569</v>
      </c>
      <c r="V3425" s="250">
        <v>0.16627123112266029</v>
      </c>
      <c r="W3425" s="250">
        <v>0.1071442021617143</v>
      </c>
      <c r="X3425" s="250">
        <v>6.7148721425074359E-2</v>
      </c>
      <c r="Y3425" s="250">
        <v>1.9206869280307306E-3</v>
      </c>
      <c r="Z3425" s="150">
        <v>29</v>
      </c>
      <c r="AA3425" s="150">
        <v>3.27</v>
      </c>
      <c r="AB3425" s="152"/>
      <c r="AC3425" s="152"/>
      <c r="AD3425" s="223">
        <v>18.439795</v>
      </c>
      <c r="AE3425" s="223">
        <v>0.56386150000000002</v>
      </c>
      <c r="AF3425" s="223">
        <v>10.404128</v>
      </c>
      <c r="AG3425" s="223">
        <v>1.4355609</v>
      </c>
      <c r="AH3425" s="341"/>
      <c r="AI3425" s="218"/>
      <c r="AJ3425" s="218"/>
      <c r="AK3425" s="153"/>
      <c r="AL3425" s="152"/>
      <c r="AM3425" s="152"/>
      <c r="AN3425" s="152"/>
      <c r="AO3425" s="152"/>
      <c r="AP3425" s="152"/>
      <c r="AQ3425" s="152"/>
      <c r="AR3425" s="152"/>
      <c r="AS3425" s="152"/>
      <c r="AT3425" s="152"/>
      <c r="AU3425" s="153"/>
      <c r="AV3425" s="479"/>
      <c r="AW3425" s="479"/>
      <c r="AX3425" s="442"/>
      <c r="AY3425" s="153"/>
      <c r="AZ3425" s="152"/>
      <c r="BA3425" s="152"/>
      <c r="BB3425" s="152"/>
      <c r="BC3425" s="152"/>
      <c r="BD3425" s="152"/>
      <c r="BE3425" s="152"/>
      <c r="BF3425" s="152"/>
      <c r="BG3425" s="152"/>
      <c r="BH3425" s="152"/>
      <c r="BI3425" s="153"/>
      <c r="BJ3425" s="153"/>
      <c r="BK3425" s="153"/>
      <c r="BL3425" s="153"/>
      <c r="BM3425" s="153"/>
      <c r="BN3425" s="153"/>
      <c r="BO3425" s="153"/>
      <c r="BP3425" s="153"/>
      <c r="BQ3425" s="153"/>
      <c r="BR3425" s="153"/>
      <c r="BS3425" s="153"/>
      <c r="BT3425" s="153"/>
      <c r="BU3425" s="153"/>
      <c r="BV3425" s="153"/>
      <c r="BW3425" s="153"/>
      <c r="BX3425" s="153"/>
      <c r="BY3425" s="153"/>
      <c r="BZ3425" s="153"/>
      <c r="CA3425" s="152"/>
      <c r="CB3425" s="152"/>
    </row>
    <row r="3426" spans="1:80" s="87" customFormat="1" ht="15" x14ac:dyDescent="0.25">
      <c r="A3426" s="152"/>
      <c r="B3426" s="683"/>
      <c r="C3426" s="683"/>
      <c r="D3426" s="698"/>
      <c r="E3426" s="215"/>
      <c r="F3426" s="215"/>
      <c r="G3426" s="153"/>
      <c r="H3426" s="153"/>
      <c r="I3426" s="322">
        <v>22</v>
      </c>
      <c r="J3426" s="322">
        <v>60</v>
      </c>
      <c r="K3426" s="150">
        <v>1</v>
      </c>
      <c r="L3426" s="664">
        <v>22</v>
      </c>
      <c r="M3426" s="663">
        <v>36437</v>
      </c>
      <c r="N3426" s="600">
        <v>2.5566399999999998</v>
      </c>
      <c r="O3426" s="604">
        <v>2.624E-3</v>
      </c>
      <c r="P3426" s="150"/>
      <c r="Q3426" s="250"/>
      <c r="R3426" s="250"/>
      <c r="S3426" s="250"/>
      <c r="T3426" s="250">
        <v>0.155</v>
      </c>
      <c r="U3426" s="250">
        <v>0.28899999999999998</v>
      </c>
      <c r="V3426" s="250">
        <v>0.26200000000000001</v>
      </c>
      <c r="W3426" s="250">
        <v>0.192</v>
      </c>
      <c r="X3426" s="250">
        <v>9.4399999999999998E-2</v>
      </c>
      <c r="Y3426" s="250">
        <v>8.1200000000000005E-3</v>
      </c>
      <c r="Z3426" s="150">
        <v>6</v>
      </c>
      <c r="AA3426" s="150">
        <v>1.72</v>
      </c>
      <c r="AB3426" s="152"/>
      <c r="AC3426" s="152"/>
      <c r="AD3426" s="223">
        <v>14.782315000000001</v>
      </c>
      <c r="AE3426" s="223">
        <v>0.35355639999999999</v>
      </c>
      <c r="AF3426" s="223">
        <v>5.2113534000000001</v>
      </c>
      <c r="AG3426" s="223">
        <v>0.49375980000000003</v>
      </c>
      <c r="AH3426" s="341"/>
      <c r="AI3426" s="218"/>
      <c r="AJ3426" s="218"/>
      <c r="AK3426" s="153"/>
      <c r="AL3426" s="152"/>
      <c r="AM3426" s="152"/>
      <c r="AN3426" s="152"/>
      <c r="AO3426" s="152"/>
      <c r="AP3426" s="152"/>
      <c r="AQ3426" s="152"/>
      <c r="AR3426" s="152"/>
      <c r="AS3426" s="152"/>
      <c r="AT3426" s="152"/>
      <c r="AU3426" s="153"/>
      <c r="AV3426" s="479"/>
      <c r="AW3426" s="479"/>
      <c r="AX3426" s="442"/>
      <c r="AY3426" s="153"/>
      <c r="AZ3426" s="152"/>
      <c r="BA3426" s="152"/>
      <c r="BB3426" s="152"/>
      <c r="BC3426" s="152"/>
      <c r="BD3426" s="152"/>
      <c r="BE3426" s="152"/>
      <c r="BF3426" s="152"/>
      <c r="BG3426" s="152"/>
      <c r="BH3426" s="152"/>
      <c r="BI3426" s="153"/>
      <c r="BJ3426" s="153"/>
      <c r="BK3426" s="153"/>
      <c r="BL3426" s="153"/>
      <c r="BM3426" s="153"/>
      <c r="BN3426" s="153"/>
      <c r="BO3426" s="153"/>
      <c r="BP3426" s="153"/>
      <c r="BQ3426" s="153"/>
      <c r="BR3426" s="153"/>
      <c r="BS3426" s="153"/>
      <c r="BT3426" s="153"/>
      <c r="BU3426" s="153"/>
      <c r="BV3426" s="153"/>
      <c r="BW3426" s="153"/>
      <c r="BX3426" s="153"/>
      <c r="BY3426" s="153"/>
      <c r="BZ3426" s="153"/>
      <c r="CA3426" s="152"/>
      <c r="CB3426" s="152"/>
    </row>
    <row r="3427" spans="1:80" s="87" customFormat="1" ht="15" x14ac:dyDescent="0.25">
      <c r="A3427" s="152"/>
      <c r="B3427" s="683"/>
      <c r="C3427" s="683"/>
      <c r="D3427" s="698"/>
      <c r="E3427" s="215"/>
      <c r="F3427" s="215"/>
      <c r="G3427" s="153"/>
      <c r="H3427" s="153"/>
      <c r="I3427" s="322">
        <v>20</v>
      </c>
      <c r="J3427" s="322">
        <v>60</v>
      </c>
      <c r="K3427" s="150">
        <v>1</v>
      </c>
      <c r="L3427" s="664">
        <v>20</v>
      </c>
      <c r="M3427" s="663">
        <v>36503</v>
      </c>
      <c r="N3427" s="600">
        <v>2.0866500000000001</v>
      </c>
      <c r="O3427" s="604">
        <v>2.6600000000000001E-4</v>
      </c>
      <c r="P3427" s="150"/>
      <c r="Q3427" s="250"/>
      <c r="R3427" s="250"/>
      <c r="S3427" s="250"/>
      <c r="T3427" s="250"/>
      <c r="U3427" s="250">
        <v>0.11900000000000001</v>
      </c>
      <c r="V3427" s="250">
        <v>0.27699999999999997</v>
      </c>
      <c r="W3427" s="250">
        <v>0.29899999999999999</v>
      </c>
      <c r="X3427" s="250">
        <v>0.14099999999999999</v>
      </c>
      <c r="Y3427" s="250">
        <v>0.16399999999999998</v>
      </c>
      <c r="Z3427" s="150">
        <v>4</v>
      </c>
      <c r="AA3427" s="150">
        <v>0.79</v>
      </c>
      <c r="AB3427" s="152"/>
      <c r="AC3427" s="152"/>
      <c r="AD3427" s="223"/>
      <c r="AE3427" s="223"/>
      <c r="AF3427" s="223"/>
      <c r="AG3427" s="223"/>
      <c r="AH3427" s="341"/>
      <c r="AI3427" s="218"/>
      <c r="AJ3427" s="218"/>
      <c r="AK3427" s="153"/>
      <c r="AL3427" s="152"/>
      <c r="AM3427" s="152"/>
      <c r="AN3427" s="152"/>
      <c r="AO3427" s="152"/>
      <c r="AP3427" s="152"/>
      <c r="AQ3427" s="152"/>
      <c r="AR3427" s="152"/>
      <c r="AS3427" s="152"/>
      <c r="AT3427" s="152"/>
      <c r="AU3427" s="153"/>
      <c r="AV3427" s="479"/>
      <c r="AW3427" s="479"/>
      <c r="AX3427" s="442"/>
      <c r="AY3427" s="153"/>
      <c r="AZ3427" s="152"/>
      <c r="BA3427" s="152"/>
      <c r="BB3427" s="152"/>
      <c r="BC3427" s="152"/>
      <c r="BD3427" s="152"/>
      <c r="BE3427" s="152"/>
      <c r="BF3427" s="152"/>
      <c r="BG3427" s="152"/>
      <c r="BH3427" s="152"/>
      <c r="BI3427" s="153"/>
      <c r="BJ3427" s="153"/>
      <c r="BK3427" s="153"/>
      <c r="BL3427" s="153"/>
      <c r="BM3427" s="153"/>
      <c r="BN3427" s="153"/>
      <c r="BO3427" s="153"/>
      <c r="BP3427" s="153"/>
      <c r="BQ3427" s="153"/>
      <c r="BR3427" s="153"/>
      <c r="BS3427" s="153"/>
      <c r="BT3427" s="153"/>
      <c r="BU3427" s="153"/>
      <c r="BV3427" s="153"/>
      <c r="BW3427" s="153"/>
      <c r="BX3427" s="153"/>
      <c r="BY3427" s="153"/>
      <c r="BZ3427" s="153"/>
      <c r="CA3427" s="152"/>
      <c r="CB3427" s="152"/>
    </row>
    <row r="3428" spans="1:80" s="87" customFormat="1" ht="15" x14ac:dyDescent="0.25">
      <c r="A3428" s="152"/>
      <c r="B3428" s="683"/>
      <c r="C3428" s="683"/>
      <c r="D3428" s="698"/>
      <c r="E3428" s="215"/>
      <c r="F3428" s="215"/>
      <c r="G3428" s="153"/>
      <c r="H3428" s="153"/>
      <c r="I3428" s="322">
        <v>20</v>
      </c>
      <c r="J3428" s="322">
        <v>60</v>
      </c>
      <c r="K3428" s="150">
        <v>1</v>
      </c>
      <c r="L3428" s="664">
        <v>20</v>
      </c>
      <c r="M3428" s="663">
        <v>36572</v>
      </c>
      <c r="N3428" s="600">
        <v>1.8488199999999999</v>
      </c>
      <c r="O3428" s="604">
        <v>3.4099999999999999E-4</v>
      </c>
      <c r="P3428" s="150"/>
      <c r="Q3428" s="250"/>
      <c r="R3428" s="250"/>
      <c r="S3428" s="250"/>
      <c r="T3428" s="250">
        <v>0.40600000000000003</v>
      </c>
      <c r="U3428" s="250">
        <v>6.6400000000000001E-2</v>
      </c>
      <c r="V3428" s="250">
        <v>8.9800000000000005E-2</v>
      </c>
      <c r="W3428" s="250">
        <v>0.188</v>
      </c>
      <c r="X3428" s="250">
        <v>0.23399999999999999</v>
      </c>
      <c r="Y3428" s="250">
        <v>1.5600000000000001E-2</v>
      </c>
      <c r="Z3428" s="150">
        <v>7</v>
      </c>
      <c r="AA3428" s="150">
        <v>1.62</v>
      </c>
      <c r="AB3428" s="152"/>
      <c r="AC3428" s="152"/>
      <c r="AD3428" s="223"/>
      <c r="AE3428" s="223"/>
      <c r="AF3428" s="223"/>
      <c r="AG3428" s="223"/>
      <c r="AH3428" s="341"/>
      <c r="AI3428" s="218"/>
      <c r="AJ3428" s="218"/>
      <c r="AK3428" s="153"/>
      <c r="AL3428" s="152"/>
      <c r="AM3428" s="152"/>
      <c r="AN3428" s="152"/>
      <c r="AO3428" s="152"/>
      <c r="AP3428" s="152"/>
      <c r="AQ3428" s="152"/>
      <c r="AR3428" s="152"/>
      <c r="AS3428" s="152"/>
      <c r="AT3428" s="152"/>
      <c r="AU3428" s="153"/>
      <c r="AV3428" s="479"/>
      <c r="AW3428" s="479"/>
      <c r="AX3428" s="442"/>
      <c r="AY3428" s="153"/>
      <c r="AZ3428" s="152"/>
      <c r="BA3428" s="152"/>
      <c r="BB3428" s="152"/>
      <c r="BC3428" s="152"/>
      <c r="BD3428" s="152"/>
      <c r="BE3428" s="152"/>
      <c r="BF3428" s="152"/>
      <c r="BG3428" s="152"/>
      <c r="BH3428" s="152"/>
      <c r="BI3428" s="153"/>
      <c r="BJ3428" s="153"/>
      <c r="BK3428" s="153"/>
      <c r="BL3428" s="153"/>
      <c r="BM3428" s="153"/>
      <c r="BN3428" s="153"/>
      <c r="BO3428" s="153"/>
      <c r="BP3428" s="153"/>
      <c r="BQ3428" s="153"/>
      <c r="BR3428" s="153"/>
      <c r="BS3428" s="153"/>
      <c r="BT3428" s="153"/>
      <c r="BU3428" s="153"/>
      <c r="BV3428" s="153"/>
      <c r="BW3428" s="153"/>
      <c r="BX3428" s="153"/>
      <c r="BY3428" s="153"/>
      <c r="BZ3428" s="153"/>
      <c r="CA3428" s="152"/>
      <c r="CB3428" s="152"/>
    </row>
    <row r="3429" spans="1:80" s="87" customFormat="1" ht="15" x14ac:dyDescent="0.25">
      <c r="A3429" s="152"/>
      <c r="B3429" s="683"/>
      <c r="C3429" s="683"/>
      <c r="D3429" s="698"/>
      <c r="E3429" s="215"/>
      <c r="F3429" s="215"/>
      <c r="G3429" s="153"/>
      <c r="H3429" s="153"/>
      <c r="I3429" s="322">
        <v>20</v>
      </c>
      <c r="J3429" s="322">
        <v>60</v>
      </c>
      <c r="K3429" s="150">
        <v>1</v>
      </c>
      <c r="L3429" s="664">
        <v>20</v>
      </c>
      <c r="M3429" s="663">
        <v>36607</v>
      </c>
      <c r="N3429" s="600">
        <v>1.49491</v>
      </c>
      <c r="O3429" s="604">
        <v>4.6199999999999998E-5</v>
      </c>
      <c r="P3429" s="150"/>
      <c r="Q3429" s="250"/>
      <c r="R3429" s="250"/>
      <c r="S3429" s="250"/>
      <c r="T3429" s="250"/>
      <c r="U3429" s="250"/>
      <c r="V3429" s="250">
        <v>0.22600000000000001</v>
      </c>
      <c r="W3429" s="250">
        <v>0.32299999999999995</v>
      </c>
      <c r="X3429" s="250">
        <v>0.38700000000000001</v>
      </c>
      <c r="Y3429" s="250">
        <v>6.4500000000000002E-2</v>
      </c>
      <c r="Z3429" s="150"/>
      <c r="AA3429" s="150">
        <v>0.55000000000000004</v>
      </c>
      <c r="AB3429" s="152"/>
      <c r="AC3429" s="152"/>
      <c r="AD3429" s="223"/>
      <c r="AE3429" s="223"/>
      <c r="AF3429" s="223"/>
      <c r="AG3429" s="223"/>
      <c r="AH3429" s="341"/>
      <c r="AI3429" s="218"/>
      <c r="AJ3429" s="218"/>
      <c r="AK3429" s="153"/>
      <c r="AL3429" s="152"/>
      <c r="AM3429" s="152"/>
      <c r="AN3429" s="152"/>
      <c r="AO3429" s="152"/>
      <c r="AP3429" s="152"/>
      <c r="AQ3429" s="152"/>
      <c r="AR3429" s="152"/>
      <c r="AS3429" s="152"/>
      <c r="AT3429" s="152"/>
      <c r="AU3429" s="153"/>
      <c r="AV3429" s="479"/>
      <c r="AW3429" s="479"/>
      <c r="AX3429" s="442"/>
      <c r="AY3429" s="153"/>
      <c r="AZ3429" s="152"/>
      <c r="BA3429" s="152"/>
      <c r="BB3429" s="152"/>
      <c r="BC3429" s="152"/>
      <c r="BD3429" s="152"/>
      <c r="BE3429" s="152"/>
      <c r="BF3429" s="152"/>
      <c r="BG3429" s="152"/>
      <c r="BH3429" s="152"/>
      <c r="BI3429" s="153"/>
      <c r="BJ3429" s="153"/>
      <c r="BK3429" s="153"/>
      <c r="BL3429" s="153"/>
      <c r="BM3429" s="153"/>
      <c r="BN3429" s="153"/>
      <c r="BO3429" s="153"/>
      <c r="BP3429" s="153"/>
      <c r="BQ3429" s="153"/>
      <c r="BR3429" s="153"/>
      <c r="BS3429" s="153"/>
      <c r="BT3429" s="153"/>
      <c r="BU3429" s="153"/>
      <c r="BV3429" s="153"/>
      <c r="BW3429" s="153"/>
      <c r="BX3429" s="153"/>
      <c r="BY3429" s="153"/>
      <c r="BZ3429" s="153"/>
      <c r="CA3429" s="152"/>
      <c r="CB3429" s="152"/>
    </row>
    <row r="3430" spans="1:80" s="87" customFormat="1" ht="15" x14ac:dyDescent="0.25">
      <c r="A3430" s="152"/>
      <c r="B3430" s="683"/>
      <c r="C3430" s="683"/>
      <c r="D3430" s="698"/>
      <c r="E3430" s="215"/>
      <c r="F3430" s="215"/>
      <c r="G3430" s="153"/>
      <c r="H3430" s="153"/>
      <c r="I3430" s="322">
        <v>20</v>
      </c>
      <c r="J3430" s="322">
        <v>60</v>
      </c>
      <c r="K3430" s="150">
        <v>1</v>
      </c>
      <c r="L3430" s="664">
        <v>20</v>
      </c>
      <c r="M3430" s="663">
        <v>36634</v>
      </c>
      <c r="N3430" s="600">
        <v>4.6149699999999996</v>
      </c>
      <c r="O3430" s="604">
        <v>3.9039999999999999E-3</v>
      </c>
      <c r="P3430" s="150"/>
      <c r="Q3430" s="250"/>
      <c r="R3430" s="250"/>
      <c r="S3430" s="250">
        <v>0.36099999999999999</v>
      </c>
      <c r="T3430" s="250">
        <v>0.16300000000000001</v>
      </c>
      <c r="U3430" s="250">
        <v>0.17</v>
      </c>
      <c r="V3430" s="250">
        <v>0.129</v>
      </c>
      <c r="W3430" s="250">
        <v>0.105</v>
      </c>
      <c r="X3430" s="250">
        <v>6.7400000000000002E-2</v>
      </c>
      <c r="Y3430" s="250">
        <v>4.2699999999999995E-3</v>
      </c>
      <c r="Z3430" s="150">
        <v>16</v>
      </c>
      <c r="AA3430" s="150">
        <v>4.4400000000000004</v>
      </c>
      <c r="AB3430" s="152"/>
      <c r="AC3430" s="152"/>
      <c r="AD3430" s="223"/>
      <c r="AE3430" s="223"/>
      <c r="AF3430" s="223"/>
      <c r="AG3430" s="223"/>
      <c r="AH3430" s="341"/>
      <c r="AI3430" s="218"/>
      <c r="AJ3430" s="218"/>
      <c r="AK3430" s="153"/>
      <c r="AL3430" s="152"/>
      <c r="AM3430" s="152"/>
      <c r="AN3430" s="152"/>
      <c r="AO3430" s="152"/>
      <c r="AP3430" s="152"/>
      <c r="AQ3430" s="152"/>
      <c r="AR3430" s="152"/>
      <c r="AS3430" s="152"/>
      <c r="AT3430" s="152"/>
      <c r="AU3430" s="153"/>
      <c r="AV3430" s="479"/>
      <c r="AW3430" s="479"/>
      <c r="AX3430" s="442"/>
      <c r="AY3430" s="153"/>
      <c r="AZ3430" s="152"/>
      <c r="BA3430" s="152"/>
      <c r="BB3430" s="152"/>
      <c r="BC3430" s="152"/>
      <c r="BD3430" s="152"/>
      <c r="BE3430" s="152"/>
      <c r="BF3430" s="152"/>
      <c r="BG3430" s="152"/>
      <c r="BH3430" s="152"/>
      <c r="BI3430" s="153"/>
      <c r="BJ3430" s="153"/>
      <c r="BK3430" s="153"/>
      <c r="BL3430" s="153"/>
      <c r="BM3430" s="153"/>
      <c r="BN3430" s="153"/>
      <c r="BO3430" s="153"/>
      <c r="BP3430" s="153"/>
      <c r="BQ3430" s="153"/>
      <c r="BR3430" s="153"/>
      <c r="BS3430" s="153"/>
      <c r="BT3430" s="153"/>
      <c r="BU3430" s="153"/>
      <c r="BV3430" s="153"/>
      <c r="BW3430" s="153"/>
      <c r="BX3430" s="153"/>
      <c r="BY3430" s="153"/>
      <c r="BZ3430" s="153"/>
      <c r="CA3430" s="152"/>
      <c r="CB3430" s="152"/>
    </row>
    <row r="3431" spans="1:80" s="87" customFormat="1" ht="15" x14ac:dyDescent="0.25">
      <c r="A3431" s="152"/>
      <c r="B3431" s="683"/>
      <c r="C3431" s="683"/>
      <c r="D3431" s="698"/>
      <c r="E3431" s="215"/>
      <c r="F3431" s="215"/>
      <c r="G3431" s="153"/>
      <c r="H3431" s="153"/>
      <c r="I3431" s="322">
        <v>20</v>
      </c>
      <c r="J3431" s="322">
        <v>60</v>
      </c>
      <c r="K3431" s="150">
        <v>1</v>
      </c>
      <c r="L3431" s="664">
        <v>20</v>
      </c>
      <c r="M3431" s="663">
        <v>36643</v>
      </c>
      <c r="N3431" s="600">
        <v>5.1529100000000003</v>
      </c>
      <c r="O3431" s="604">
        <v>2.1940000000000002E-3</v>
      </c>
      <c r="P3431" s="150"/>
      <c r="Q3431" s="250"/>
      <c r="R3431" s="250"/>
      <c r="S3431" s="250"/>
      <c r="T3431" s="250"/>
      <c r="U3431" s="250">
        <v>0.23600000000000002</v>
      </c>
      <c r="V3431" s="250">
        <v>0.22699999999999998</v>
      </c>
      <c r="W3431" s="250">
        <v>0.28499999999999998</v>
      </c>
      <c r="X3431" s="250">
        <v>0.24399999999999999</v>
      </c>
      <c r="Y3431" s="250">
        <v>9.130000000000001E-3</v>
      </c>
      <c r="Z3431" s="150">
        <v>5</v>
      </c>
      <c r="AA3431" s="150">
        <v>0.91</v>
      </c>
      <c r="AB3431" s="152"/>
      <c r="AC3431" s="152"/>
      <c r="AD3431" s="223"/>
      <c r="AE3431" s="223"/>
      <c r="AF3431" s="223"/>
      <c r="AG3431" s="223"/>
      <c r="AH3431" s="341"/>
      <c r="AI3431" s="218"/>
      <c r="AJ3431" s="218"/>
      <c r="AK3431" s="153"/>
      <c r="AL3431" s="152"/>
      <c r="AM3431" s="152"/>
      <c r="AN3431" s="152"/>
      <c r="AO3431" s="152"/>
      <c r="AP3431" s="152"/>
      <c r="AQ3431" s="152"/>
      <c r="AR3431" s="152"/>
      <c r="AS3431" s="152"/>
      <c r="AT3431" s="152"/>
      <c r="AU3431" s="153"/>
      <c r="AV3431" s="479"/>
      <c r="AW3431" s="479"/>
      <c r="AX3431" s="442"/>
      <c r="AY3431" s="153"/>
      <c r="AZ3431" s="152"/>
      <c r="BA3431" s="152"/>
      <c r="BB3431" s="152"/>
      <c r="BC3431" s="152"/>
      <c r="BD3431" s="152"/>
      <c r="BE3431" s="152"/>
      <c r="BF3431" s="152"/>
      <c r="BG3431" s="152"/>
      <c r="BH3431" s="152"/>
      <c r="BI3431" s="153"/>
      <c r="BJ3431" s="153"/>
      <c r="BK3431" s="153"/>
      <c r="BL3431" s="153"/>
      <c r="BM3431" s="153"/>
      <c r="BN3431" s="153"/>
      <c r="BO3431" s="153"/>
      <c r="BP3431" s="153"/>
      <c r="BQ3431" s="153"/>
      <c r="BR3431" s="153"/>
      <c r="BS3431" s="153"/>
      <c r="BT3431" s="153"/>
      <c r="BU3431" s="153"/>
      <c r="BV3431" s="153"/>
      <c r="BW3431" s="153"/>
      <c r="BX3431" s="153"/>
      <c r="BY3431" s="153"/>
      <c r="BZ3431" s="153"/>
      <c r="CA3431" s="152"/>
      <c r="CB3431" s="152"/>
    </row>
    <row r="3432" spans="1:80" s="87" customFormat="1" ht="15" x14ac:dyDescent="0.25">
      <c r="A3432" s="152"/>
      <c r="B3432" s="683"/>
      <c r="C3432" s="683"/>
      <c r="D3432" s="698"/>
      <c r="E3432" s="215"/>
      <c r="F3432" s="215"/>
      <c r="G3432" s="153"/>
      <c r="H3432" s="153"/>
      <c r="I3432" s="322">
        <v>20</v>
      </c>
      <c r="J3432" s="322">
        <v>60</v>
      </c>
      <c r="K3432" s="150">
        <v>1</v>
      </c>
      <c r="L3432" s="664">
        <v>20</v>
      </c>
      <c r="M3432" s="663">
        <v>36650</v>
      </c>
      <c r="N3432" s="600">
        <v>11.2401</v>
      </c>
      <c r="O3432" s="604">
        <v>2.0152E-2</v>
      </c>
      <c r="P3432" s="150"/>
      <c r="Q3432" s="250"/>
      <c r="R3432" s="250">
        <v>0.161</v>
      </c>
      <c r="S3432" s="250">
        <v>8.1600000000000006E-2</v>
      </c>
      <c r="T3432" s="250">
        <v>0.105</v>
      </c>
      <c r="U3432" s="250">
        <v>0.14000000000000001</v>
      </c>
      <c r="V3432" s="250">
        <v>0.105</v>
      </c>
      <c r="W3432" s="250">
        <v>0.184</v>
      </c>
      <c r="X3432" s="250">
        <v>0.21</v>
      </c>
      <c r="Y3432" s="250">
        <v>1.26E-2</v>
      </c>
      <c r="Z3432" s="150">
        <v>22</v>
      </c>
      <c r="AA3432" s="150">
        <v>1.85</v>
      </c>
      <c r="AB3432" s="152"/>
      <c r="AC3432" s="152"/>
      <c r="AD3432" s="223"/>
      <c r="AE3432" s="223"/>
      <c r="AF3432" s="223"/>
      <c r="AG3432" s="223"/>
      <c r="AH3432" s="341"/>
      <c r="AI3432" s="218"/>
      <c r="AJ3432" s="218"/>
      <c r="AK3432" s="153"/>
      <c r="AL3432" s="152"/>
      <c r="AM3432" s="152"/>
      <c r="AN3432" s="152"/>
      <c r="AO3432" s="152"/>
      <c r="AP3432" s="152"/>
      <c r="AQ3432" s="152"/>
      <c r="AR3432" s="152"/>
      <c r="AS3432" s="152"/>
      <c r="AT3432" s="152"/>
      <c r="AU3432" s="153"/>
      <c r="AV3432" s="479"/>
      <c r="AW3432" s="479"/>
      <c r="AX3432" s="442"/>
      <c r="AY3432" s="153"/>
      <c r="AZ3432" s="152"/>
      <c r="BA3432" s="152"/>
      <c r="BB3432" s="152"/>
      <c r="BC3432" s="152"/>
      <c r="BD3432" s="152"/>
      <c r="BE3432" s="152"/>
      <c r="BF3432" s="152"/>
      <c r="BG3432" s="152"/>
      <c r="BH3432" s="152"/>
      <c r="BI3432" s="153"/>
      <c r="BJ3432" s="153"/>
      <c r="BK3432" s="153"/>
      <c r="BL3432" s="153"/>
      <c r="BM3432" s="153"/>
      <c r="BN3432" s="153"/>
      <c r="BO3432" s="153"/>
      <c r="BP3432" s="153"/>
      <c r="BQ3432" s="153"/>
      <c r="BR3432" s="153"/>
      <c r="BS3432" s="153"/>
      <c r="BT3432" s="153"/>
      <c r="BU3432" s="153"/>
      <c r="BV3432" s="153"/>
      <c r="BW3432" s="153"/>
      <c r="BX3432" s="153"/>
      <c r="BY3432" s="153"/>
      <c r="BZ3432" s="153"/>
      <c r="CA3432" s="152"/>
      <c r="CB3432" s="152"/>
    </row>
    <row r="3433" spans="1:80" s="87" customFormat="1" ht="15" x14ac:dyDescent="0.25">
      <c r="A3433" s="152"/>
      <c r="B3433" s="683"/>
      <c r="C3433" s="683"/>
      <c r="D3433" s="698"/>
      <c r="E3433" s="215"/>
      <c r="F3433" s="215"/>
      <c r="G3433" s="153"/>
      <c r="H3433" s="153"/>
      <c r="I3433" s="322">
        <v>17</v>
      </c>
      <c r="J3433" s="322">
        <v>60</v>
      </c>
      <c r="K3433" s="150">
        <v>1</v>
      </c>
      <c r="L3433" s="664">
        <v>17</v>
      </c>
      <c r="M3433" s="663">
        <v>36657</v>
      </c>
      <c r="N3433" s="600">
        <v>8.0974299999999992</v>
      </c>
      <c r="O3433" s="604">
        <v>2.8019999999999998E-3</v>
      </c>
      <c r="P3433" s="150"/>
      <c r="Q3433" s="250"/>
      <c r="R3433" s="250"/>
      <c r="S3433" s="250"/>
      <c r="T3433" s="250">
        <v>0.27300000000000002</v>
      </c>
      <c r="U3433" s="250">
        <v>0.22800000000000001</v>
      </c>
      <c r="V3433" s="250">
        <v>0.20800000000000002</v>
      </c>
      <c r="W3433" s="250">
        <v>0.182</v>
      </c>
      <c r="X3433" s="250">
        <v>0.105</v>
      </c>
      <c r="Y3433" s="250">
        <v>4.28E-3</v>
      </c>
      <c r="Z3433" s="150">
        <v>7</v>
      </c>
      <c r="AA3433" s="150">
        <v>2</v>
      </c>
      <c r="AB3433" s="152"/>
      <c r="AC3433" s="152"/>
      <c r="AD3433" s="223"/>
      <c r="AE3433" s="223"/>
      <c r="AF3433" s="223"/>
      <c r="AG3433" s="223"/>
      <c r="AH3433" s="341"/>
      <c r="AI3433" s="218"/>
      <c r="AJ3433" s="218"/>
      <c r="AK3433" s="153"/>
      <c r="AL3433" s="152"/>
      <c r="AM3433" s="152"/>
      <c r="AN3433" s="152"/>
      <c r="AO3433" s="152"/>
      <c r="AP3433" s="152"/>
      <c r="AQ3433" s="152"/>
      <c r="AR3433" s="152"/>
      <c r="AS3433" s="152"/>
      <c r="AT3433" s="152"/>
      <c r="AU3433" s="153"/>
      <c r="AV3433" s="479"/>
      <c r="AW3433" s="479"/>
      <c r="AX3433" s="442"/>
      <c r="AY3433" s="153"/>
      <c r="AZ3433" s="152"/>
      <c r="BA3433" s="152"/>
      <c r="BB3433" s="152"/>
      <c r="BC3433" s="152"/>
      <c r="BD3433" s="152"/>
      <c r="BE3433" s="152"/>
      <c r="BF3433" s="152"/>
      <c r="BG3433" s="152"/>
      <c r="BH3433" s="152"/>
      <c r="BI3433" s="153"/>
      <c r="BJ3433" s="153"/>
      <c r="BK3433" s="153"/>
      <c r="BL3433" s="153"/>
      <c r="BM3433" s="153"/>
      <c r="BN3433" s="153"/>
      <c r="BO3433" s="153"/>
      <c r="BP3433" s="153"/>
      <c r="BQ3433" s="153"/>
      <c r="BR3433" s="153"/>
      <c r="BS3433" s="153"/>
      <c r="BT3433" s="153"/>
      <c r="BU3433" s="153"/>
      <c r="BV3433" s="153"/>
      <c r="BW3433" s="153"/>
      <c r="BX3433" s="153"/>
      <c r="BY3433" s="153"/>
      <c r="BZ3433" s="153"/>
      <c r="CA3433" s="152"/>
      <c r="CB3433" s="152"/>
    </row>
    <row r="3434" spans="1:80" s="87" customFormat="1" ht="15" x14ac:dyDescent="0.25">
      <c r="A3434" s="152"/>
      <c r="B3434" s="683"/>
      <c r="C3434" s="683"/>
      <c r="D3434" s="698"/>
      <c r="E3434" s="215"/>
      <c r="F3434" s="215"/>
      <c r="G3434" s="153"/>
      <c r="H3434" s="153"/>
      <c r="I3434" s="322">
        <v>20</v>
      </c>
      <c r="J3434" s="322">
        <v>60</v>
      </c>
      <c r="K3434" s="150">
        <v>1</v>
      </c>
      <c r="L3434" s="664">
        <v>20</v>
      </c>
      <c r="M3434" s="663">
        <v>36669</v>
      </c>
      <c r="N3434" s="600">
        <v>16.874400000000001</v>
      </c>
      <c r="O3434" s="604">
        <v>3.0228000000000001E-2</v>
      </c>
      <c r="P3434" s="150"/>
      <c r="Q3434" s="250"/>
      <c r="R3434" s="250"/>
      <c r="S3434" s="250">
        <v>1.1699999999999999E-2</v>
      </c>
      <c r="T3434" s="250">
        <v>2.0799999999999999E-2</v>
      </c>
      <c r="U3434" s="250">
        <v>9.7699999999999995E-2</v>
      </c>
      <c r="V3434" s="250">
        <v>0.22899999999999998</v>
      </c>
      <c r="W3434" s="250">
        <v>0.35399999999999998</v>
      </c>
      <c r="X3434" s="250">
        <v>0.27500000000000002</v>
      </c>
      <c r="Y3434" s="250">
        <v>1.2199999999999999E-2</v>
      </c>
      <c r="Z3434" s="150">
        <v>13</v>
      </c>
      <c r="AA3434" s="150">
        <v>0.76</v>
      </c>
      <c r="AB3434" s="152"/>
      <c r="AC3434" s="152"/>
      <c r="AD3434" s="223"/>
      <c r="AE3434" s="223"/>
      <c r="AF3434" s="223"/>
      <c r="AG3434" s="223"/>
      <c r="AH3434" s="341"/>
      <c r="AI3434" s="218"/>
      <c r="AJ3434" s="218"/>
      <c r="AK3434" s="153"/>
      <c r="AL3434" s="152"/>
      <c r="AM3434" s="152"/>
      <c r="AN3434" s="152"/>
      <c r="AO3434" s="152"/>
      <c r="AP3434" s="152"/>
      <c r="AQ3434" s="152"/>
      <c r="AR3434" s="152"/>
      <c r="AS3434" s="152"/>
      <c r="AT3434" s="152"/>
      <c r="AU3434" s="153"/>
      <c r="AV3434" s="479"/>
      <c r="AW3434" s="479"/>
      <c r="AX3434" s="442"/>
      <c r="AY3434" s="153"/>
      <c r="AZ3434" s="152"/>
      <c r="BA3434" s="152"/>
      <c r="BB3434" s="152"/>
      <c r="BC3434" s="152"/>
      <c r="BD3434" s="152"/>
      <c r="BE3434" s="152"/>
      <c r="BF3434" s="152"/>
      <c r="BG3434" s="152"/>
      <c r="BH3434" s="152"/>
      <c r="BI3434" s="153"/>
      <c r="BJ3434" s="153"/>
      <c r="BK3434" s="153"/>
      <c r="BL3434" s="153"/>
      <c r="BM3434" s="153"/>
      <c r="BN3434" s="153"/>
      <c r="BO3434" s="153"/>
      <c r="BP3434" s="153"/>
      <c r="BQ3434" s="153"/>
      <c r="BR3434" s="153"/>
      <c r="BS3434" s="153"/>
      <c r="BT3434" s="153"/>
      <c r="BU3434" s="153"/>
      <c r="BV3434" s="153"/>
      <c r="BW3434" s="153"/>
      <c r="BX3434" s="153"/>
      <c r="BY3434" s="153"/>
      <c r="BZ3434" s="153"/>
      <c r="CA3434" s="152"/>
      <c r="CB3434" s="152"/>
    </row>
    <row r="3435" spans="1:80" s="87" customFormat="1" ht="15" x14ac:dyDescent="0.25">
      <c r="A3435" s="152"/>
      <c r="B3435" s="683"/>
      <c r="C3435" s="683"/>
      <c r="D3435" s="698"/>
      <c r="E3435" s="215"/>
      <c r="F3435" s="215"/>
      <c r="G3435" s="153"/>
      <c r="H3435" s="153"/>
      <c r="I3435" s="322">
        <v>20</v>
      </c>
      <c r="J3435" s="322">
        <v>60</v>
      </c>
      <c r="K3435" s="150">
        <v>1</v>
      </c>
      <c r="L3435" s="664">
        <v>20</v>
      </c>
      <c r="M3435" s="663">
        <v>36678</v>
      </c>
      <c r="N3435" s="600">
        <v>13.080500000000001</v>
      </c>
      <c r="O3435" s="604">
        <v>2.4870000000000001E-3</v>
      </c>
      <c r="P3435" s="150"/>
      <c r="Q3435" s="250"/>
      <c r="R3435" s="250"/>
      <c r="S3435" s="250"/>
      <c r="T3435" s="250">
        <v>2.8799999999999999E-2</v>
      </c>
      <c r="U3435" s="250">
        <v>9.3900000000000011E-2</v>
      </c>
      <c r="V3435" s="250">
        <v>0.254</v>
      </c>
      <c r="W3435" s="250">
        <v>0.33200000000000002</v>
      </c>
      <c r="X3435" s="250">
        <v>0.27600000000000002</v>
      </c>
      <c r="Y3435" s="250">
        <v>1.54E-2</v>
      </c>
      <c r="Z3435" s="150">
        <v>6</v>
      </c>
      <c r="AA3435" s="150">
        <v>0.77</v>
      </c>
      <c r="AB3435" s="152"/>
      <c r="AC3435" s="152"/>
      <c r="AD3435" s="223"/>
      <c r="AE3435" s="223"/>
      <c r="AF3435" s="223"/>
      <c r="AG3435" s="223"/>
      <c r="AH3435" s="341"/>
      <c r="AI3435" s="218"/>
      <c r="AJ3435" s="218"/>
      <c r="AK3435" s="153"/>
      <c r="AL3435" s="152"/>
      <c r="AM3435" s="152"/>
      <c r="AN3435" s="152"/>
      <c r="AO3435" s="152"/>
      <c r="AP3435" s="152"/>
      <c r="AQ3435" s="152"/>
      <c r="AR3435" s="152"/>
      <c r="AS3435" s="152"/>
      <c r="AT3435" s="152"/>
      <c r="AU3435" s="153"/>
      <c r="AV3435" s="479"/>
      <c r="AW3435" s="479"/>
      <c r="AX3435" s="442"/>
      <c r="AY3435" s="153"/>
      <c r="AZ3435" s="152"/>
      <c r="BA3435" s="152"/>
      <c r="BB3435" s="152"/>
      <c r="BC3435" s="152"/>
      <c r="BD3435" s="152"/>
      <c r="BE3435" s="152"/>
      <c r="BF3435" s="152"/>
      <c r="BG3435" s="152"/>
      <c r="BH3435" s="152"/>
      <c r="BI3435" s="153"/>
      <c r="BJ3435" s="153"/>
      <c r="BK3435" s="153"/>
      <c r="BL3435" s="153"/>
      <c r="BM3435" s="153"/>
      <c r="BN3435" s="153"/>
      <c r="BO3435" s="153"/>
      <c r="BP3435" s="153"/>
      <c r="BQ3435" s="153"/>
      <c r="BR3435" s="153"/>
      <c r="BS3435" s="153"/>
      <c r="BT3435" s="153"/>
      <c r="BU3435" s="153"/>
      <c r="BV3435" s="153"/>
      <c r="BW3435" s="153"/>
      <c r="BX3435" s="153"/>
      <c r="BY3435" s="153"/>
      <c r="BZ3435" s="153"/>
      <c r="CA3435" s="152"/>
      <c r="CB3435" s="152"/>
    </row>
    <row r="3436" spans="1:80" s="87" customFormat="1" ht="15" x14ac:dyDescent="0.25">
      <c r="A3436" s="152"/>
      <c r="B3436" s="683"/>
      <c r="C3436" s="683"/>
      <c r="D3436" s="698"/>
      <c r="E3436" s="215"/>
      <c r="F3436" s="215"/>
      <c r="G3436" s="153"/>
      <c r="H3436" s="153"/>
      <c r="I3436" s="322">
        <v>20</v>
      </c>
      <c r="J3436" s="322">
        <v>60</v>
      </c>
      <c r="K3436" s="150">
        <v>1</v>
      </c>
      <c r="L3436" s="664">
        <v>20</v>
      </c>
      <c r="M3436" s="663">
        <v>36686</v>
      </c>
      <c r="N3436" s="600">
        <v>10.787100000000001</v>
      </c>
      <c r="O3436" s="604">
        <v>5.143E-3</v>
      </c>
      <c r="P3436" s="150"/>
      <c r="Q3436" s="250"/>
      <c r="R3436" s="250"/>
      <c r="S3436" s="250"/>
      <c r="T3436" s="250">
        <v>3.1200000000000002E-2</v>
      </c>
      <c r="U3436" s="250">
        <v>0.129</v>
      </c>
      <c r="V3436" s="250">
        <v>0.253</v>
      </c>
      <c r="W3436" s="250">
        <v>0.32700000000000001</v>
      </c>
      <c r="X3436" s="250">
        <v>0.252</v>
      </c>
      <c r="Y3436" s="250">
        <v>7.8900000000000012E-3</v>
      </c>
      <c r="Z3436" s="150">
        <v>8</v>
      </c>
      <c r="AA3436" s="150">
        <v>0.83</v>
      </c>
      <c r="AB3436" s="152"/>
      <c r="AC3436" s="152"/>
      <c r="AD3436" s="223"/>
      <c r="AE3436" s="223"/>
      <c r="AF3436" s="223"/>
      <c r="AG3436" s="223"/>
      <c r="AH3436" s="341"/>
      <c r="AI3436" s="218"/>
      <c r="AJ3436" s="218"/>
      <c r="AK3436" s="153"/>
      <c r="AL3436" s="152"/>
      <c r="AM3436" s="152"/>
      <c r="AN3436" s="152"/>
      <c r="AO3436" s="152"/>
      <c r="AP3436" s="152"/>
      <c r="AQ3436" s="152"/>
      <c r="AR3436" s="152"/>
      <c r="AS3436" s="152"/>
      <c r="AT3436" s="152"/>
      <c r="AU3436" s="153"/>
      <c r="AV3436" s="479"/>
      <c r="AW3436" s="479"/>
      <c r="AX3436" s="442"/>
      <c r="AY3436" s="153"/>
      <c r="AZ3436" s="152"/>
      <c r="BA3436" s="152"/>
      <c r="BB3436" s="152"/>
      <c r="BC3436" s="152"/>
      <c r="BD3436" s="152"/>
      <c r="BE3436" s="152"/>
      <c r="BF3436" s="152"/>
      <c r="BG3436" s="152"/>
      <c r="BH3436" s="152"/>
      <c r="BI3436" s="153"/>
      <c r="BJ3436" s="153"/>
      <c r="BK3436" s="153"/>
      <c r="BL3436" s="153"/>
      <c r="BM3436" s="153"/>
      <c r="BN3436" s="153"/>
      <c r="BO3436" s="153"/>
      <c r="BP3436" s="153"/>
      <c r="BQ3436" s="153"/>
      <c r="BR3436" s="153"/>
      <c r="BS3436" s="153"/>
      <c r="BT3436" s="153"/>
      <c r="BU3436" s="153"/>
      <c r="BV3436" s="153"/>
      <c r="BW3436" s="153"/>
      <c r="BX3436" s="153"/>
      <c r="BY3436" s="153"/>
      <c r="BZ3436" s="153"/>
      <c r="CA3436" s="152"/>
      <c r="CB3436" s="152"/>
    </row>
    <row r="3437" spans="1:80" s="87" customFormat="1" ht="15" x14ac:dyDescent="0.25">
      <c r="A3437" s="152"/>
      <c r="B3437" s="683"/>
      <c r="C3437" s="683"/>
      <c r="D3437" s="698"/>
      <c r="E3437" s="215"/>
      <c r="F3437" s="215"/>
      <c r="G3437" s="153"/>
      <c r="H3437" s="153"/>
      <c r="I3437" s="322">
        <v>20</v>
      </c>
      <c r="J3437" s="322">
        <v>60</v>
      </c>
      <c r="K3437" s="150">
        <v>1</v>
      </c>
      <c r="L3437" s="664">
        <v>20</v>
      </c>
      <c r="M3437" s="663">
        <v>36697</v>
      </c>
      <c r="N3437" s="600">
        <v>7.3329899999999997</v>
      </c>
      <c r="O3437" s="604">
        <v>7.5299999999999998E-4</v>
      </c>
      <c r="P3437" s="150"/>
      <c r="Q3437" s="250"/>
      <c r="R3437" s="250"/>
      <c r="S3437" s="250"/>
      <c r="T3437" s="250">
        <v>4.87E-2</v>
      </c>
      <c r="U3437" s="250">
        <v>6.4199999999999993E-2</v>
      </c>
      <c r="V3437" s="250">
        <v>0.21899999999999997</v>
      </c>
      <c r="W3437" s="250">
        <v>0.34499999999999997</v>
      </c>
      <c r="X3437" s="250">
        <v>0.29899999999999999</v>
      </c>
      <c r="Y3437" s="250">
        <v>2.4300000000000002E-2</v>
      </c>
      <c r="Z3437" s="150">
        <v>6</v>
      </c>
      <c r="AA3437" s="150">
        <v>0.71</v>
      </c>
      <c r="AB3437" s="152"/>
      <c r="AC3437" s="152"/>
      <c r="AD3437" s="223"/>
      <c r="AE3437" s="223"/>
      <c r="AF3437" s="223"/>
      <c r="AG3437" s="223"/>
      <c r="AH3437" s="341"/>
      <c r="AI3437" s="218"/>
      <c r="AJ3437" s="218"/>
      <c r="AK3437" s="153"/>
      <c r="AL3437" s="152"/>
      <c r="AM3437" s="152"/>
      <c r="AN3437" s="152"/>
      <c r="AO3437" s="152"/>
      <c r="AP3437" s="152"/>
      <c r="AQ3437" s="152"/>
      <c r="AR3437" s="152"/>
      <c r="AS3437" s="152"/>
      <c r="AT3437" s="152"/>
      <c r="AU3437" s="153"/>
      <c r="AV3437" s="479"/>
      <c r="AW3437" s="479"/>
      <c r="AX3437" s="442"/>
      <c r="AY3437" s="153"/>
      <c r="AZ3437" s="152"/>
      <c r="BA3437" s="152"/>
      <c r="BB3437" s="152"/>
      <c r="BC3437" s="152"/>
      <c r="BD3437" s="152"/>
      <c r="BE3437" s="152"/>
      <c r="BF3437" s="152"/>
      <c r="BG3437" s="152"/>
      <c r="BH3437" s="152"/>
      <c r="BI3437" s="153"/>
      <c r="BJ3437" s="153"/>
      <c r="BK3437" s="153"/>
      <c r="BL3437" s="153"/>
      <c r="BM3437" s="153"/>
      <c r="BN3437" s="153"/>
      <c r="BO3437" s="153"/>
      <c r="BP3437" s="153"/>
      <c r="BQ3437" s="153"/>
      <c r="BR3437" s="153"/>
      <c r="BS3437" s="153"/>
      <c r="BT3437" s="153"/>
      <c r="BU3437" s="153"/>
      <c r="BV3437" s="153"/>
      <c r="BW3437" s="153"/>
      <c r="BX3437" s="153"/>
      <c r="BY3437" s="153"/>
      <c r="BZ3437" s="153"/>
      <c r="CA3437" s="152"/>
      <c r="CB3437" s="152"/>
    </row>
    <row r="3438" spans="1:80" s="87" customFormat="1" ht="15" x14ac:dyDescent="0.25">
      <c r="A3438" s="152"/>
      <c r="B3438" s="683"/>
      <c r="C3438" s="683"/>
      <c r="D3438" s="698"/>
      <c r="E3438" s="215"/>
      <c r="F3438" s="215"/>
      <c r="G3438" s="153"/>
      <c r="H3438" s="153"/>
      <c r="I3438" s="322">
        <v>20</v>
      </c>
      <c r="J3438" s="322">
        <v>60</v>
      </c>
      <c r="K3438" s="150">
        <v>1</v>
      </c>
      <c r="L3438" s="664">
        <v>20</v>
      </c>
      <c r="M3438" s="663">
        <v>36712</v>
      </c>
      <c r="N3438" s="600">
        <v>4.9264099999999997</v>
      </c>
      <c r="O3438" s="604">
        <v>1.6799999999999999E-4</v>
      </c>
      <c r="P3438" s="150"/>
      <c r="Q3438" s="250"/>
      <c r="R3438" s="250"/>
      <c r="S3438" s="250"/>
      <c r="T3438" s="250"/>
      <c r="U3438" s="250"/>
      <c r="V3438" s="250">
        <v>0.29699999999999999</v>
      </c>
      <c r="W3438" s="250">
        <v>0.36599999999999999</v>
      </c>
      <c r="X3438" s="250">
        <v>0.29699999999999999</v>
      </c>
      <c r="Y3438" s="250">
        <v>3.9599999999999996E-2</v>
      </c>
      <c r="Z3438" s="150">
        <v>2</v>
      </c>
      <c r="AA3438" s="150">
        <v>0.68</v>
      </c>
      <c r="AB3438" s="152"/>
      <c r="AC3438" s="152"/>
      <c r="AD3438" s="223"/>
      <c r="AE3438" s="223"/>
      <c r="AF3438" s="223"/>
      <c r="AG3438" s="223"/>
      <c r="AH3438" s="341"/>
      <c r="AI3438" s="218"/>
      <c r="AJ3438" s="218"/>
      <c r="AK3438" s="153"/>
      <c r="AL3438" s="152"/>
      <c r="AM3438" s="152"/>
      <c r="AN3438" s="152"/>
      <c r="AO3438" s="152"/>
      <c r="AP3438" s="152"/>
      <c r="AQ3438" s="152"/>
      <c r="AR3438" s="152"/>
      <c r="AS3438" s="152"/>
      <c r="AT3438" s="152"/>
      <c r="AU3438" s="153"/>
      <c r="AV3438" s="479"/>
      <c r="AW3438" s="479"/>
      <c r="AX3438" s="442"/>
      <c r="AY3438" s="153"/>
      <c r="AZ3438" s="152"/>
      <c r="BA3438" s="152"/>
      <c r="BB3438" s="152"/>
      <c r="BC3438" s="152"/>
      <c r="BD3438" s="152"/>
      <c r="BE3438" s="152"/>
      <c r="BF3438" s="152"/>
      <c r="BG3438" s="152"/>
      <c r="BH3438" s="152"/>
      <c r="BI3438" s="153"/>
      <c r="BJ3438" s="153"/>
      <c r="BK3438" s="153"/>
      <c r="BL3438" s="153"/>
      <c r="BM3438" s="153"/>
      <c r="BN3438" s="153"/>
      <c r="BO3438" s="153"/>
      <c r="BP3438" s="153"/>
      <c r="BQ3438" s="153"/>
      <c r="BR3438" s="153"/>
      <c r="BS3438" s="153"/>
      <c r="BT3438" s="153"/>
      <c r="BU3438" s="153"/>
      <c r="BV3438" s="153"/>
      <c r="BW3438" s="153"/>
      <c r="BX3438" s="153"/>
      <c r="BY3438" s="153"/>
      <c r="BZ3438" s="153"/>
      <c r="CA3438" s="152"/>
      <c r="CB3438" s="152"/>
    </row>
    <row r="3439" spans="1:80" s="87" customFormat="1" ht="15" x14ac:dyDescent="0.25">
      <c r="A3439" s="152"/>
      <c r="B3439" s="683"/>
      <c r="C3439" s="683"/>
      <c r="D3439" s="698"/>
      <c r="E3439" s="215"/>
      <c r="F3439" s="215"/>
      <c r="G3439" s="153"/>
      <c r="H3439" s="153"/>
      <c r="I3439" s="322">
        <v>20</v>
      </c>
      <c r="J3439" s="322">
        <v>60</v>
      </c>
      <c r="K3439" s="150">
        <v>1</v>
      </c>
      <c r="L3439" s="664">
        <v>20</v>
      </c>
      <c r="M3439" s="663">
        <v>36755</v>
      </c>
      <c r="N3439" s="600">
        <v>2.3414600000000001</v>
      </c>
      <c r="O3439" s="604">
        <v>1.47E-4</v>
      </c>
      <c r="P3439" s="150"/>
      <c r="Q3439" s="250"/>
      <c r="R3439" s="250"/>
      <c r="S3439" s="250"/>
      <c r="T3439" s="250"/>
      <c r="U3439" s="250">
        <v>0.10199999999999999</v>
      </c>
      <c r="V3439" s="250">
        <v>0.318</v>
      </c>
      <c r="W3439" s="250">
        <v>0.307</v>
      </c>
      <c r="X3439" s="250">
        <v>0.23899999999999999</v>
      </c>
      <c r="Y3439" s="250">
        <v>3.4099999999999998E-2</v>
      </c>
      <c r="Z3439" s="150"/>
      <c r="AA3439" s="150">
        <v>0.83</v>
      </c>
      <c r="AB3439" s="152"/>
      <c r="AC3439" s="152"/>
      <c r="AD3439" s="223"/>
      <c r="AE3439" s="223"/>
      <c r="AF3439" s="223"/>
      <c r="AG3439" s="223"/>
      <c r="AH3439" s="341"/>
      <c r="AI3439" s="218"/>
      <c r="AJ3439" s="218"/>
      <c r="AK3439" s="153"/>
      <c r="AL3439" s="152"/>
      <c r="AM3439" s="152"/>
      <c r="AN3439" s="152"/>
      <c r="AO3439" s="152"/>
      <c r="AP3439" s="152"/>
      <c r="AQ3439" s="152"/>
      <c r="AR3439" s="152"/>
      <c r="AS3439" s="152"/>
      <c r="AT3439" s="152"/>
      <c r="AU3439" s="153"/>
      <c r="AV3439" s="479"/>
      <c r="AW3439" s="479"/>
      <c r="AX3439" s="442"/>
      <c r="AY3439" s="153"/>
      <c r="AZ3439" s="152"/>
      <c r="BA3439" s="152"/>
      <c r="BB3439" s="152"/>
      <c r="BC3439" s="152"/>
      <c r="BD3439" s="152"/>
      <c r="BE3439" s="152"/>
      <c r="BF3439" s="152"/>
      <c r="BG3439" s="152"/>
      <c r="BH3439" s="152"/>
      <c r="BI3439" s="153"/>
      <c r="BJ3439" s="153"/>
      <c r="BK3439" s="153"/>
      <c r="BL3439" s="153"/>
      <c r="BM3439" s="153"/>
      <c r="BN3439" s="153"/>
      <c r="BO3439" s="153"/>
      <c r="BP3439" s="153"/>
      <c r="BQ3439" s="153"/>
      <c r="BR3439" s="153"/>
      <c r="BS3439" s="153"/>
      <c r="BT3439" s="153"/>
      <c r="BU3439" s="153"/>
      <c r="BV3439" s="153"/>
      <c r="BW3439" s="153"/>
      <c r="BX3439" s="153"/>
      <c r="BY3439" s="153"/>
      <c r="BZ3439" s="153"/>
      <c r="CA3439" s="152"/>
      <c r="CB3439" s="152"/>
    </row>
    <row r="3440" spans="1:80" ht="15" x14ac:dyDescent="0.25">
      <c r="A3440" s="9" t="s">
        <v>200</v>
      </c>
      <c r="B3440" s="639" t="s">
        <v>66</v>
      </c>
      <c r="C3440" s="639"/>
      <c r="D3440" s="4">
        <f>VLOOKUP(E3440,'Quality Code'!D4:E24,2,TRUE)*VLOOKUP(MROUND(F3440,10),'Quality Code'!D28:E69,2,TRUE)*VLOOKUP(COUNTA(CB3440:CB3450),'Quality Code'!D73:E93,2,TRUE)</f>
        <v>2.4000000000000004</v>
      </c>
      <c r="E3440" s="14">
        <v>0.8</v>
      </c>
      <c r="F3440" s="18">
        <v>60</v>
      </c>
      <c r="G3440" s="12">
        <v>2100.54</v>
      </c>
      <c r="H3440" s="2" t="s">
        <v>231</v>
      </c>
      <c r="I3440" s="10"/>
      <c r="J3440" s="10" t="s">
        <v>283</v>
      </c>
      <c r="K3440" s="10"/>
      <c r="L3440" s="640" t="s">
        <v>284</v>
      </c>
      <c r="M3440" s="640" t="s">
        <v>836</v>
      </c>
      <c r="N3440" s="579" t="s">
        <v>285</v>
      </c>
      <c r="O3440" s="579"/>
      <c r="P3440" s="10" t="s">
        <v>64</v>
      </c>
      <c r="Q3440" s="10" t="s">
        <v>64</v>
      </c>
      <c r="R3440" s="10" t="s">
        <v>64</v>
      </c>
      <c r="S3440" s="10" t="s">
        <v>64</v>
      </c>
      <c r="T3440" s="10" t="s">
        <v>64</v>
      </c>
      <c r="U3440" s="10" t="s">
        <v>64</v>
      </c>
      <c r="V3440" s="10"/>
      <c r="W3440" s="10"/>
      <c r="X3440" s="10"/>
      <c r="Y3440" s="10"/>
      <c r="Z3440" s="11"/>
      <c r="AA3440" s="81"/>
      <c r="AB3440" s="81"/>
      <c r="AC3440" s="116">
        <v>3.3999999999999998E-3</v>
      </c>
      <c r="AD3440" s="11"/>
      <c r="AE3440" s="11"/>
      <c r="AF3440" s="10"/>
      <c r="AG3440" s="10"/>
      <c r="AH3440" s="345" t="s">
        <v>352</v>
      </c>
      <c r="AI3440" s="18">
        <v>24.9</v>
      </c>
      <c r="AJ3440" s="17">
        <v>1</v>
      </c>
      <c r="AK3440" s="17">
        <v>0.88924612618514132</v>
      </c>
      <c r="AL3440" s="17">
        <v>0.74674349771937598</v>
      </c>
      <c r="AM3440" s="17">
        <v>0.5638765818079291</v>
      </c>
      <c r="AN3440" s="17">
        <v>0.38825410006431099</v>
      </c>
      <c r="AO3440" s="17">
        <v>0.28342115725989353</v>
      </c>
      <c r="AP3440" s="17">
        <v>0.22721630890941452</v>
      </c>
      <c r="AQ3440" s="17">
        <v>0.16870493058092317</v>
      </c>
      <c r="AR3440" s="17">
        <v>0.10195</v>
      </c>
      <c r="AS3440" s="17">
        <v>4.2410000000000003E-2</v>
      </c>
      <c r="AT3440" s="17">
        <v>1.213E-2</v>
      </c>
      <c r="AU3440" s="18">
        <v>138.1</v>
      </c>
      <c r="AV3440" s="17">
        <v>1</v>
      </c>
      <c r="AW3440" s="17">
        <v>1</v>
      </c>
      <c r="AX3440" s="17">
        <v>1</v>
      </c>
      <c r="AY3440" s="17">
        <v>0.39038</v>
      </c>
      <c r="AZ3440" s="17">
        <v>0.13651186173895918</v>
      </c>
      <c r="BA3440" s="17">
        <v>3.3953586136391815E-2</v>
      </c>
      <c r="BB3440" s="17">
        <v>5.8578440622377168E-3</v>
      </c>
      <c r="BC3440" s="17">
        <v>1.6416353730011922E-3</v>
      </c>
      <c r="BD3440" s="17">
        <v>1.1296357284655313E-3</v>
      </c>
      <c r="BE3440" s="17">
        <v>9.2973502144033844E-4</v>
      </c>
      <c r="BF3440" s="17">
        <v>6.8000000000000005E-4</v>
      </c>
      <c r="BG3440" s="17">
        <v>3.8999999999999999E-4</v>
      </c>
      <c r="BH3440" s="17">
        <v>1.4999999999999999E-4</v>
      </c>
      <c r="BI3440" s="4">
        <f>AU3440/AI3440</f>
        <v>5.546184738955823</v>
      </c>
      <c r="BJ3440" s="2" t="s">
        <v>68</v>
      </c>
      <c r="BK3440" s="2" t="s">
        <v>68</v>
      </c>
      <c r="BL3440" s="12">
        <v>118.06399999999999</v>
      </c>
      <c r="BM3440" s="12"/>
      <c r="BN3440" s="12"/>
      <c r="BO3440" s="12"/>
      <c r="BP3440" s="12"/>
      <c r="BQ3440" s="12"/>
      <c r="BR3440" s="12" t="s">
        <v>29</v>
      </c>
      <c r="BS3440" s="12"/>
      <c r="BT3440" s="12"/>
      <c r="BU3440" s="2"/>
      <c r="BV3440" s="2"/>
      <c r="BW3440" s="2"/>
      <c r="BX3440" s="2"/>
      <c r="BY3440" s="2"/>
      <c r="BZ3440" s="2"/>
      <c r="CA3440" s="381"/>
      <c r="CB3440" s="9" t="s">
        <v>224</v>
      </c>
    </row>
    <row r="3441" spans="1:80" s="87" customFormat="1" ht="15" x14ac:dyDescent="0.25">
      <c r="A3441" s="152"/>
      <c r="B3441" s="683"/>
      <c r="C3441" s="683"/>
      <c r="D3441" s="698"/>
      <c r="E3441" s="215"/>
      <c r="F3441" s="215"/>
      <c r="G3441" s="153"/>
      <c r="H3441" s="153"/>
      <c r="I3441" s="115">
        <v>20</v>
      </c>
      <c r="J3441" s="320">
        <v>60</v>
      </c>
      <c r="K3441" s="150">
        <v>1</v>
      </c>
      <c r="L3441" s="656">
        <v>20</v>
      </c>
      <c r="M3441" s="663">
        <v>36286</v>
      </c>
      <c r="N3441" s="600">
        <v>38.505299999999998</v>
      </c>
      <c r="O3441" s="604">
        <v>1.165E-3</v>
      </c>
      <c r="P3441" s="150"/>
      <c r="Q3441" s="250"/>
      <c r="R3441" s="250"/>
      <c r="S3441" s="250"/>
      <c r="T3441" s="250"/>
      <c r="U3441" s="250">
        <v>2.7999999999999997E-2</v>
      </c>
      <c r="V3441" s="250">
        <v>0.222</v>
      </c>
      <c r="W3441" s="250">
        <v>0.36099999999999999</v>
      </c>
      <c r="X3441" s="250">
        <v>0.36099999999999999</v>
      </c>
      <c r="Y3441" s="250">
        <v>2.7999999999999997E-2</v>
      </c>
      <c r="Z3441" s="150"/>
      <c r="AA3441" s="150">
        <v>0.62</v>
      </c>
      <c r="AB3441" s="152"/>
      <c r="AC3441" s="152"/>
      <c r="AD3441" s="223">
        <v>30.478999999999999</v>
      </c>
      <c r="AE3441" s="223">
        <v>1.2831659</v>
      </c>
      <c r="AF3441" s="223">
        <v>39.108373999999998</v>
      </c>
      <c r="AG3441" s="223">
        <v>0.98447169999999995</v>
      </c>
      <c r="AH3441" s="341"/>
      <c r="AI3441" s="218"/>
      <c r="AJ3441" s="218"/>
      <c r="AK3441" s="153"/>
      <c r="AL3441" s="152"/>
      <c r="AM3441" s="152"/>
      <c r="AN3441" s="152"/>
      <c r="AO3441" s="152"/>
      <c r="AP3441" s="152"/>
      <c r="AQ3441" s="152"/>
      <c r="AR3441" s="152"/>
      <c r="AS3441" s="152"/>
      <c r="AT3441" s="152"/>
      <c r="AU3441" s="157">
        <v>104.33</v>
      </c>
      <c r="AV3441" s="158">
        <v>0.99382999999999999</v>
      </c>
      <c r="AW3441" s="158">
        <v>0.92901</v>
      </c>
      <c r="AX3441" s="158">
        <v>0.83950999999999998</v>
      </c>
      <c r="AY3441" s="158">
        <v>0.57716000000000001</v>
      </c>
      <c r="AZ3441" s="158">
        <v>0.27777777777777779</v>
      </c>
      <c r="BA3441" s="158">
        <v>0.15123456790123457</v>
      </c>
      <c r="BB3441" s="158">
        <v>0.10802469135802469</v>
      </c>
      <c r="BC3441" s="158">
        <v>7.098765432098765E-2</v>
      </c>
      <c r="BD3441" s="158">
        <v>5.5555555555555552E-2</v>
      </c>
      <c r="BE3441" s="158">
        <v>5.5555555555555552E-2</v>
      </c>
      <c r="BF3441" s="158"/>
      <c r="BG3441" s="158"/>
      <c r="BH3441" s="158"/>
      <c r="BI3441" s="156">
        <f>AU3441/AI3440</f>
        <v>4.1899598393574298</v>
      </c>
      <c r="BJ3441" s="155" t="s">
        <v>68</v>
      </c>
      <c r="BK3441" s="155" t="s">
        <v>175</v>
      </c>
      <c r="BL3441" s="153"/>
      <c r="BM3441" s="153"/>
      <c r="BN3441" s="153"/>
      <c r="BO3441" s="153"/>
      <c r="BP3441" s="153"/>
      <c r="BQ3441" s="153"/>
      <c r="BR3441" s="153"/>
      <c r="BS3441" s="153"/>
      <c r="BT3441" s="153"/>
      <c r="BU3441" s="153"/>
      <c r="BV3441" s="153"/>
      <c r="BW3441" s="153"/>
      <c r="BX3441" s="153"/>
      <c r="BY3441" s="153"/>
      <c r="BZ3441" s="153"/>
      <c r="CA3441" s="152"/>
      <c r="CB3441" s="486" t="s">
        <v>638</v>
      </c>
    </row>
    <row r="3442" spans="1:80" s="87" customFormat="1" ht="15" x14ac:dyDescent="0.25">
      <c r="A3442" s="152"/>
      <c r="B3442" s="683"/>
      <c r="C3442" s="683"/>
      <c r="D3442" s="698"/>
      <c r="E3442" s="215"/>
      <c r="F3442" s="215"/>
      <c r="G3442" s="153"/>
      <c r="H3442" s="153"/>
      <c r="I3442" s="115">
        <v>20</v>
      </c>
      <c r="J3442" s="320">
        <v>60</v>
      </c>
      <c r="K3442" s="150">
        <v>1</v>
      </c>
      <c r="L3442" s="656">
        <v>20</v>
      </c>
      <c r="M3442" s="663">
        <v>36286</v>
      </c>
      <c r="N3442" s="600">
        <v>38.505299999999998</v>
      </c>
      <c r="O3442" s="604">
        <v>2.7290000000000001E-3</v>
      </c>
      <c r="P3442" s="150"/>
      <c r="Q3442" s="250"/>
      <c r="R3442" s="250"/>
      <c r="S3442" s="250">
        <v>0.67099999999999993</v>
      </c>
      <c r="T3442" s="250">
        <v>8.5000000000000006E-2</v>
      </c>
      <c r="U3442" s="250">
        <v>6.4000000000000001E-2</v>
      </c>
      <c r="V3442" s="250">
        <v>3.9E-2</v>
      </c>
      <c r="W3442" s="250">
        <v>6.4000000000000001E-2</v>
      </c>
      <c r="X3442" s="250">
        <v>7.6999999999999999E-2</v>
      </c>
      <c r="Y3442" s="250">
        <v>0</v>
      </c>
      <c r="Z3442" s="150"/>
      <c r="AA3442" s="150">
        <v>9.5500000000000007</v>
      </c>
      <c r="AB3442" s="152"/>
      <c r="AC3442" s="152"/>
      <c r="AD3442" s="223">
        <v>30.478999999999999</v>
      </c>
      <c r="AE3442" s="223">
        <v>1.2831659</v>
      </c>
      <c r="AF3442" s="223">
        <v>39.108373999999998</v>
      </c>
      <c r="AG3442" s="223">
        <v>0.98447169999999995</v>
      </c>
      <c r="AH3442" s="341"/>
      <c r="AI3442" s="218"/>
      <c r="AJ3442" s="218"/>
      <c r="AK3442" s="153"/>
      <c r="AL3442" s="152"/>
      <c r="AM3442" s="152"/>
      <c r="AN3442" s="152"/>
      <c r="AO3442" s="152"/>
      <c r="AP3442" s="152"/>
      <c r="AQ3442" s="152"/>
      <c r="AR3442" s="152"/>
      <c r="AS3442" s="152"/>
      <c r="AT3442" s="152"/>
      <c r="AU3442" s="153"/>
      <c r="AV3442" s="479"/>
      <c r="AW3442" s="479"/>
      <c r="AX3442" s="442"/>
      <c r="AY3442" s="153"/>
      <c r="AZ3442" s="152"/>
      <c r="BA3442" s="152"/>
      <c r="BB3442" s="152"/>
      <c r="BC3442" s="152"/>
      <c r="BD3442" s="152"/>
      <c r="BE3442" s="152"/>
      <c r="BF3442" s="152"/>
      <c r="BG3442" s="152"/>
      <c r="BH3442" s="152"/>
      <c r="BI3442" s="153"/>
      <c r="BJ3442" s="153"/>
      <c r="BK3442" s="153"/>
      <c r="BL3442" s="153"/>
      <c r="BM3442" s="153"/>
      <c r="BN3442" s="153"/>
      <c r="BO3442" s="153"/>
      <c r="BP3442" s="153"/>
      <c r="BQ3442" s="153"/>
      <c r="BR3442" s="153"/>
      <c r="BS3442" s="153"/>
      <c r="BT3442" s="153"/>
      <c r="BU3442" s="153"/>
      <c r="BV3442" s="153"/>
      <c r="BW3442" s="153"/>
      <c r="BX3442" s="153"/>
      <c r="BY3442" s="153"/>
      <c r="BZ3442" s="153"/>
      <c r="CA3442" s="152"/>
      <c r="CB3442" s="486" t="s">
        <v>639</v>
      </c>
    </row>
    <row r="3443" spans="1:80" s="87" customFormat="1" ht="15" x14ac:dyDescent="0.25">
      <c r="A3443" s="152"/>
      <c r="B3443" s="683"/>
      <c r="C3443" s="683"/>
      <c r="D3443" s="698"/>
      <c r="E3443" s="215"/>
      <c r="F3443" s="215"/>
      <c r="G3443" s="153"/>
      <c r="H3443" s="153"/>
      <c r="I3443" s="115">
        <v>20</v>
      </c>
      <c r="J3443" s="320">
        <v>60</v>
      </c>
      <c r="K3443" s="150">
        <v>1</v>
      </c>
      <c r="L3443" s="656">
        <v>20</v>
      </c>
      <c r="M3443" s="663">
        <v>36287</v>
      </c>
      <c r="N3443" s="600">
        <v>46.716000000000001</v>
      </c>
      <c r="O3443" s="604">
        <v>1.2070000000000001E-2</v>
      </c>
      <c r="P3443" s="150"/>
      <c r="Q3443" s="250"/>
      <c r="R3443" s="250"/>
      <c r="S3443" s="250"/>
      <c r="T3443" s="250"/>
      <c r="U3443" s="250">
        <v>4.5999999999999999E-2</v>
      </c>
      <c r="V3443" s="250">
        <v>0.316</v>
      </c>
      <c r="W3443" s="250">
        <v>0.44400000000000001</v>
      </c>
      <c r="X3443" s="250">
        <v>0.185</v>
      </c>
      <c r="Y3443" s="250">
        <v>9.0000000000000011E-3</v>
      </c>
      <c r="Z3443" s="150"/>
      <c r="AA3443" s="150">
        <v>0.81</v>
      </c>
      <c r="AB3443" s="152"/>
      <c r="AC3443" s="152"/>
      <c r="AD3443" s="223"/>
      <c r="AE3443" s="223"/>
      <c r="AF3443" s="223"/>
      <c r="AG3443" s="223"/>
      <c r="AH3443" s="341"/>
      <c r="AI3443" s="218"/>
      <c r="AJ3443" s="218"/>
      <c r="AK3443" s="153"/>
      <c r="AL3443" s="152"/>
      <c r="AM3443" s="152"/>
      <c r="AN3443" s="152"/>
      <c r="AO3443" s="152"/>
      <c r="AP3443" s="152"/>
      <c r="AQ3443" s="152"/>
      <c r="AR3443" s="152"/>
      <c r="AS3443" s="152"/>
      <c r="AT3443" s="152"/>
      <c r="AU3443" s="153"/>
      <c r="AV3443" s="479"/>
      <c r="AW3443" s="479"/>
      <c r="AX3443" s="442"/>
      <c r="AY3443" s="153"/>
      <c r="AZ3443" s="152"/>
      <c r="BA3443" s="152"/>
      <c r="BB3443" s="152"/>
      <c r="BC3443" s="152"/>
      <c r="BD3443" s="152"/>
      <c r="BE3443" s="152"/>
      <c r="BF3443" s="152"/>
      <c r="BG3443" s="152"/>
      <c r="BH3443" s="152"/>
      <c r="BI3443" s="153"/>
      <c r="BJ3443" s="153"/>
      <c r="BK3443" s="153"/>
      <c r="BL3443" s="153"/>
      <c r="BM3443" s="153"/>
      <c r="BN3443" s="153"/>
      <c r="BO3443" s="153"/>
      <c r="BP3443" s="153"/>
      <c r="BQ3443" s="153"/>
      <c r="BR3443" s="153"/>
      <c r="BS3443" s="153"/>
      <c r="BT3443" s="153"/>
      <c r="BU3443" s="153"/>
      <c r="BV3443" s="153"/>
      <c r="BW3443" s="153"/>
      <c r="BX3443" s="153"/>
      <c r="BY3443" s="153"/>
      <c r="BZ3443" s="153"/>
      <c r="CA3443" s="152"/>
      <c r="CB3443" s="486" t="s">
        <v>640</v>
      </c>
    </row>
    <row r="3444" spans="1:80" s="87" customFormat="1" ht="15" x14ac:dyDescent="0.25">
      <c r="A3444" s="152"/>
      <c r="B3444" s="683"/>
      <c r="C3444" s="683"/>
      <c r="D3444" s="698"/>
      <c r="E3444" s="215"/>
      <c r="F3444" s="215"/>
      <c r="G3444" s="153"/>
      <c r="H3444" s="153"/>
      <c r="I3444" s="115">
        <v>20</v>
      </c>
      <c r="J3444" s="320">
        <v>60</v>
      </c>
      <c r="K3444" s="150">
        <v>1</v>
      </c>
      <c r="L3444" s="656">
        <v>20</v>
      </c>
      <c r="M3444" s="663">
        <v>36287</v>
      </c>
      <c r="N3444" s="600">
        <v>46.716000000000001</v>
      </c>
      <c r="O3444" s="604">
        <v>4.4609999999999997E-3</v>
      </c>
      <c r="P3444" s="150"/>
      <c r="Q3444" s="250"/>
      <c r="R3444" s="250"/>
      <c r="S3444" s="250"/>
      <c r="T3444" s="250"/>
      <c r="U3444" s="250">
        <v>3.7999999999999999E-2</v>
      </c>
      <c r="V3444" s="250">
        <v>0.16800000000000001</v>
      </c>
      <c r="W3444" s="250">
        <v>0.41200000000000003</v>
      </c>
      <c r="X3444" s="250">
        <v>0.374</v>
      </c>
      <c r="Y3444" s="250">
        <v>8.0000000000000002E-3</v>
      </c>
      <c r="Z3444" s="150"/>
      <c r="AA3444" s="150">
        <v>0.61</v>
      </c>
      <c r="AB3444" s="152"/>
      <c r="AC3444" s="152"/>
      <c r="AD3444" s="223"/>
      <c r="AE3444" s="223"/>
      <c r="AF3444" s="223"/>
      <c r="AG3444" s="223"/>
      <c r="AH3444" s="341"/>
      <c r="AI3444" s="218"/>
      <c r="AJ3444" s="218"/>
      <c r="AK3444" s="153"/>
      <c r="AL3444" s="152"/>
      <c r="AM3444" s="152"/>
      <c r="AN3444" s="152"/>
      <c r="AO3444" s="152"/>
      <c r="AP3444" s="152"/>
      <c r="AQ3444" s="152"/>
      <c r="AR3444" s="152"/>
      <c r="AS3444" s="152"/>
      <c r="AT3444" s="152"/>
      <c r="AU3444" s="153"/>
      <c r="AV3444" s="479"/>
      <c r="AW3444" s="479"/>
      <c r="AX3444" s="442"/>
      <c r="AY3444" s="153"/>
      <c r="AZ3444" s="152"/>
      <c r="BA3444" s="152"/>
      <c r="BB3444" s="152"/>
      <c r="BC3444" s="152"/>
      <c r="BD3444" s="152"/>
      <c r="BE3444" s="152"/>
      <c r="BF3444" s="152"/>
      <c r="BG3444" s="152"/>
      <c r="BH3444" s="152"/>
      <c r="BI3444" s="153"/>
      <c r="BJ3444" s="153"/>
      <c r="BK3444" s="153"/>
      <c r="BL3444" s="153"/>
      <c r="BM3444" s="153"/>
      <c r="BN3444" s="153"/>
      <c r="BO3444" s="153"/>
      <c r="BP3444" s="153"/>
      <c r="BQ3444" s="153"/>
      <c r="BR3444" s="153"/>
      <c r="BS3444" s="153"/>
      <c r="BT3444" s="153"/>
      <c r="BU3444" s="153"/>
      <c r="BV3444" s="153"/>
      <c r="BW3444" s="153"/>
      <c r="BX3444" s="153"/>
      <c r="BY3444" s="153"/>
      <c r="BZ3444" s="153"/>
      <c r="CA3444" s="152"/>
      <c r="CB3444" s="152"/>
    </row>
    <row r="3445" spans="1:80" s="87" customFormat="1" ht="15" x14ac:dyDescent="0.25">
      <c r="A3445" s="152"/>
      <c r="B3445" s="683"/>
      <c r="C3445" s="683"/>
      <c r="D3445" s="698"/>
      <c r="E3445" s="215"/>
      <c r="F3445" s="215"/>
      <c r="G3445" s="153"/>
      <c r="H3445" s="153"/>
      <c r="I3445" s="115">
        <v>20</v>
      </c>
      <c r="J3445" s="320">
        <v>60</v>
      </c>
      <c r="K3445" s="150">
        <v>1</v>
      </c>
      <c r="L3445" s="656">
        <v>20</v>
      </c>
      <c r="M3445" s="663">
        <v>36290</v>
      </c>
      <c r="N3445" s="600">
        <v>42.185899999999997</v>
      </c>
      <c r="O3445" s="604">
        <v>1.469E-3</v>
      </c>
      <c r="P3445" s="150"/>
      <c r="Q3445" s="250"/>
      <c r="R3445" s="250"/>
      <c r="S3445" s="250"/>
      <c r="T3445" s="250"/>
      <c r="U3445" s="250"/>
      <c r="V3445" s="250">
        <v>0.14000000000000001</v>
      </c>
      <c r="W3445" s="250">
        <v>0.37200000000000005</v>
      </c>
      <c r="X3445" s="250">
        <v>0.46500000000000002</v>
      </c>
      <c r="Y3445" s="250">
        <v>2.3E-2</v>
      </c>
      <c r="Z3445" s="150"/>
      <c r="AA3445" s="150">
        <v>0.51</v>
      </c>
      <c r="AB3445" s="152"/>
      <c r="AC3445" s="152"/>
      <c r="AD3445" s="223"/>
      <c r="AE3445" s="223"/>
      <c r="AF3445" s="223"/>
      <c r="AG3445" s="223"/>
      <c r="AH3445" s="341"/>
      <c r="AI3445" s="218"/>
      <c r="AJ3445" s="218"/>
      <c r="AK3445" s="153"/>
      <c r="AL3445" s="152"/>
      <c r="AM3445" s="152"/>
      <c r="AN3445" s="152"/>
      <c r="AO3445" s="152"/>
      <c r="AP3445" s="152"/>
      <c r="AQ3445" s="152"/>
      <c r="AR3445" s="152"/>
      <c r="AS3445" s="152"/>
      <c r="AT3445" s="152"/>
      <c r="AU3445" s="153"/>
      <c r="AV3445" s="479"/>
      <c r="AW3445" s="479"/>
      <c r="AX3445" s="442"/>
      <c r="AY3445" s="153"/>
      <c r="AZ3445" s="152"/>
      <c r="BA3445" s="152"/>
      <c r="BB3445" s="152"/>
      <c r="BC3445" s="152"/>
      <c r="BD3445" s="152"/>
      <c r="BE3445" s="152"/>
      <c r="BF3445" s="152"/>
      <c r="BG3445" s="152"/>
      <c r="BH3445" s="152"/>
      <c r="BI3445" s="153"/>
      <c r="BJ3445" s="153"/>
      <c r="BK3445" s="153"/>
      <c r="BL3445" s="153"/>
      <c r="BM3445" s="153"/>
      <c r="BN3445" s="153"/>
      <c r="BO3445" s="153"/>
      <c r="BP3445" s="153"/>
      <c r="BQ3445" s="153"/>
      <c r="BR3445" s="153"/>
      <c r="BS3445" s="153"/>
      <c r="BT3445" s="153"/>
      <c r="BU3445" s="153"/>
      <c r="BV3445" s="153"/>
      <c r="BW3445" s="153"/>
      <c r="BX3445" s="153"/>
      <c r="BY3445" s="153"/>
      <c r="BZ3445" s="153"/>
      <c r="CA3445" s="152"/>
      <c r="CB3445" s="152"/>
    </row>
    <row r="3446" spans="1:80" s="87" customFormat="1" ht="15" x14ac:dyDescent="0.25">
      <c r="A3446" s="152"/>
      <c r="B3446" s="683"/>
      <c r="C3446" s="683"/>
      <c r="D3446" s="698"/>
      <c r="E3446" s="215"/>
      <c r="F3446" s="215"/>
      <c r="G3446" s="153"/>
      <c r="H3446" s="153"/>
      <c r="I3446" s="115">
        <v>20</v>
      </c>
      <c r="J3446" s="320">
        <v>60</v>
      </c>
      <c r="K3446" s="150">
        <v>1</v>
      </c>
      <c r="L3446" s="656">
        <v>20</v>
      </c>
      <c r="M3446" s="663">
        <v>36290</v>
      </c>
      <c r="N3446" s="600">
        <v>42.752200000000002</v>
      </c>
      <c r="O3446" s="604">
        <v>3.1700000000000001E-3</v>
      </c>
      <c r="P3446" s="150"/>
      <c r="Q3446" s="250"/>
      <c r="R3446" s="250"/>
      <c r="S3446" s="250"/>
      <c r="T3446" s="250"/>
      <c r="U3446" s="250">
        <v>0.105</v>
      </c>
      <c r="V3446" s="250">
        <v>0.38900000000000001</v>
      </c>
      <c r="W3446" s="250">
        <v>0.26300000000000001</v>
      </c>
      <c r="X3446" s="250">
        <v>0.23199999999999998</v>
      </c>
      <c r="Y3446" s="250">
        <v>1.1000000000000001E-2</v>
      </c>
      <c r="Z3446" s="150"/>
      <c r="AA3446" s="150">
        <v>0.98</v>
      </c>
      <c r="AB3446" s="152"/>
      <c r="AC3446" s="152"/>
      <c r="AD3446" s="223"/>
      <c r="AE3446" s="223"/>
      <c r="AF3446" s="223"/>
      <c r="AG3446" s="223"/>
      <c r="AH3446" s="341"/>
      <c r="AI3446" s="218"/>
      <c r="AJ3446" s="218"/>
      <c r="AK3446" s="153"/>
      <c r="AL3446" s="152"/>
      <c r="AM3446" s="152"/>
      <c r="AN3446" s="152"/>
      <c r="AO3446" s="152"/>
      <c r="AP3446" s="152"/>
      <c r="AQ3446" s="152"/>
      <c r="AR3446" s="152"/>
      <c r="AS3446" s="152"/>
      <c r="AT3446" s="152"/>
      <c r="AU3446" s="153"/>
      <c r="AV3446" s="479"/>
      <c r="AW3446" s="479"/>
      <c r="AX3446" s="442"/>
      <c r="AY3446" s="153"/>
      <c r="AZ3446" s="152"/>
      <c r="BA3446" s="152"/>
      <c r="BB3446" s="152"/>
      <c r="BC3446" s="152"/>
      <c r="BD3446" s="152"/>
      <c r="BE3446" s="152"/>
      <c r="BF3446" s="152"/>
      <c r="BG3446" s="152"/>
      <c r="BH3446" s="152"/>
      <c r="BI3446" s="153"/>
      <c r="BJ3446" s="153"/>
      <c r="BK3446" s="153"/>
      <c r="BL3446" s="153"/>
      <c r="BM3446" s="153"/>
      <c r="BN3446" s="153"/>
      <c r="BO3446" s="153"/>
      <c r="BP3446" s="153"/>
      <c r="BQ3446" s="153"/>
      <c r="BR3446" s="153"/>
      <c r="BS3446" s="153"/>
      <c r="BT3446" s="153"/>
      <c r="BU3446" s="153"/>
      <c r="BV3446" s="153"/>
      <c r="BW3446" s="153"/>
      <c r="BX3446" s="153"/>
      <c r="BY3446" s="153"/>
      <c r="BZ3446" s="153"/>
      <c r="CA3446" s="152"/>
      <c r="CB3446" s="152"/>
    </row>
    <row r="3447" spans="1:80" s="87" customFormat="1" ht="15" x14ac:dyDescent="0.25">
      <c r="A3447" s="152"/>
      <c r="B3447" s="683"/>
      <c r="C3447" s="683"/>
      <c r="D3447" s="698"/>
      <c r="E3447" s="215"/>
      <c r="F3447" s="215"/>
      <c r="G3447" s="153"/>
      <c r="H3447" s="153"/>
      <c r="I3447" s="115">
        <v>20</v>
      </c>
      <c r="J3447" s="320">
        <v>60</v>
      </c>
      <c r="K3447" s="150">
        <v>1</v>
      </c>
      <c r="L3447" s="656">
        <v>20</v>
      </c>
      <c r="M3447" s="663">
        <v>36291</v>
      </c>
      <c r="N3447" s="600">
        <v>41.336500000000001</v>
      </c>
      <c r="O3447" s="604">
        <v>3.9360000000000003E-3</v>
      </c>
      <c r="P3447" s="150"/>
      <c r="Q3447" s="250"/>
      <c r="R3447" s="250"/>
      <c r="S3447" s="250"/>
      <c r="T3447" s="250"/>
      <c r="U3447" s="250">
        <v>3.4000000000000002E-2</v>
      </c>
      <c r="V3447" s="250">
        <v>0.23699999999999999</v>
      </c>
      <c r="W3447" s="250">
        <v>0.49200000000000005</v>
      </c>
      <c r="X3447" s="250">
        <v>0.22899999999999998</v>
      </c>
      <c r="Y3447" s="250">
        <v>8.0000000000000002E-3</v>
      </c>
      <c r="Z3447" s="150"/>
      <c r="AA3447" s="150">
        <v>0.72</v>
      </c>
      <c r="AB3447" s="152"/>
      <c r="AC3447" s="152"/>
      <c r="AD3447" s="223"/>
      <c r="AE3447" s="223"/>
      <c r="AF3447" s="223"/>
      <c r="AG3447" s="223"/>
      <c r="AH3447" s="341"/>
      <c r="AI3447" s="218"/>
      <c r="AJ3447" s="218"/>
      <c r="AK3447" s="153"/>
      <c r="AL3447" s="152"/>
      <c r="AM3447" s="152"/>
      <c r="AN3447" s="152"/>
      <c r="AO3447" s="152"/>
      <c r="AP3447" s="152"/>
      <c r="AQ3447" s="152"/>
      <c r="AR3447" s="152"/>
      <c r="AS3447" s="152"/>
      <c r="AT3447" s="152"/>
      <c r="AU3447" s="153"/>
      <c r="AV3447" s="479"/>
      <c r="AW3447" s="479"/>
      <c r="AX3447" s="442"/>
      <c r="AY3447" s="153"/>
      <c r="AZ3447" s="152"/>
      <c r="BA3447" s="152"/>
      <c r="BB3447" s="152"/>
      <c r="BC3447" s="152"/>
      <c r="BD3447" s="152"/>
      <c r="BE3447" s="152"/>
      <c r="BF3447" s="152"/>
      <c r="BG3447" s="152"/>
      <c r="BH3447" s="152"/>
      <c r="BI3447" s="153"/>
      <c r="BJ3447" s="153"/>
      <c r="BK3447" s="153"/>
      <c r="BL3447" s="153"/>
      <c r="BM3447" s="153"/>
      <c r="BN3447" s="153"/>
      <c r="BO3447" s="153"/>
      <c r="BP3447" s="153"/>
      <c r="BQ3447" s="153"/>
      <c r="BR3447" s="153"/>
      <c r="BS3447" s="153"/>
      <c r="BT3447" s="153"/>
      <c r="BU3447" s="153"/>
      <c r="BV3447" s="153"/>
      <c r="BW3447" s="153"/>
      <c r="BX3447" s="153"/>
      <c r="BY3447" s="153"/>
      <c r="BZ3447" s="153"/>
      <c r="CA3447" s="152"/>
      <c r="CB3447" s="152"/>
    </row>
    <row r="3448" spans="1:80" s="87" customFormat="1" ht="15" x14ac:dyDescent="0.25">
      <c r="A3448" s="152"/>
      <c r="B3448" s="683"/>
      <c r="C3448" s="683"/>
      <c r="D3448" s="698"/>
      <c r="E3448" s="215"/>
      <c r="F3448" s="215"/>
      <c r="G3448" s="153"/>
      <c r="H3448" s="153"/>
      <c r="I3448" s="115">
        <v>20</v>
      </c>
      <c r="J3448" s="320">
        <v>60</v>
      </c>
      <c r="K3448" s="150">
        <v>1</v>
      </c>
      <c r="L3448" s="656">
        <v>20</v>
      </c>
      <c r="M3448" s="663">
        <v>36291</v>
      </c>
      <c r="N3448" s="600">
        <v>41.053400000000003</v>
      </c>
      <c r="O3448" s="604">
        <v>4.0930000000000003E-3</v>
      </c>
      <c r="P3448" s="150"/>
      <c r="Q3448" s="250"/>
      <c r="R3448" s="250"/>
      <c r="S3448" s="250"/>
      <c r="T3448" s="250"/>
      <c r="U3448" s="250">
        <v>6.7000000000000004E-2</v>
      </c>
      <c r="V3448" s="250">
        <v>0.29399999999999998</v>
      </c>
      <c r="W3448" s="250">
        <v>0.36099999999999999</v>
      </c>
      <c r="X3448" s="250">
        <v>0.26100000000000001</v>
      </c>
      <c r="Y3448" s="250">
        <v>1.7000000000000001E-2</v>
      </c>
      <c r="Z3448" s="150"/>
      <c r="AA3448" s="150">
        <v>0.77</v>
      </c>
      <c r="AB3448" s="152"/>
      <c r="AC3448" s="152"/>
      <c r="AD3448" s="223"/>
      <c r="AE3448" s="223"/>
      <c r="AF3448" s="223"/>
      <c r="AG3448" s="223"/>
      <c r="AH3448" s="341"/>
      <c r="AI3448" s="218"/>
      <c r="AJ3448" s="218"/>
      <c r="AK3448" s="153"/>
      <c r="AL3448" s="152"/>
      <c r="AM3448" s="152"/>
      <c r="AN3448" s="152"/>
      <c r="AO3448" s="152"/>
      <c r="AP3448" s="152"/>
      <c r="AQ3448" s="152"/>
      <c r="AR3448" s="152"/>
      <c r="AS3448" s="152"/>
      <c r="AT3448" s="152"/>
      <c r="AU3448" s="153"/>
      <c r="AV3448" s="479"/>
      <c r="AW3448" s="479"/>
      <c r="AX3448" s="442"/>
      <c r="AY3448" s="153"/>
      <c r="AZ3448" s="152"/>
      <c r="BA3448" s="152"/>
      <c r="BB3448" s="152"/>
      <c r="BC3448" s="152"/>
      <c r="BD3448" s="152"/>
      <c r="BE3448" s="152"/>
      <c r="BF3448" s="152"/>
      <c r="BG3448" s="152"/>
      <c r="BH3448" s="152"/>
      <c r="BI3448" s="153"/>
      <c r="BJ3448" s="153"/>
      <c r="BK3448" s="153"/>
      <c r="BL3448" s="153"/>
      <c r="BM3448" s="153"/>
      <c r="BN3448" s="153"/>
      <c r="BO3448" s="153"/>
      <c r="BP3448" s="153"/>
      <c r="BQ3448" s="153"/>
      <c r="BR3448" s="153"/>
      <c r="BS3448" s="153"/>
      <c r="BT3448" s="153"/>
      <c r="BU3448" s="153"/>
      <c r="BV3448" s="153"/>
      <c r="BW3448" s="153"/>
      <c r="BX3448" s="153"/>
      <c r="BY3448" s="153"/>
      <c r="BZ3448" s="153"/>
      <c r="CA3448" s="152"/>
      <c r="CB3448" s="152"/>
    </row>
    <row r="3449" spans="1:80" s="87" customFormat="1" ht="15" x14ac:dyDescent="0.25">
      <c r="A3449" s="152"/>
      <c r="B3449" s="683"/>
      <c r="C3449" s="683"/>
      <c r="D3449" s="698"/>
      <c r="E3449" s="215"/>
      <c r="F3449" s="215"/>
      <c r="G3449" s="153"/>
      <c r="H3449" s="153"/>
      <c r="I3449" s="115">
        <v>20</v>
      </c>
      <c r="J3449" s="320">
        <v>60</v>
      </c>
      <c r="K3449" s="150">
        <v>1</v>
      </c>
      <c r="L3449" s="656">
        <v>20</v>
      </c>
      <c r="M3449" s="663">
        <v>36304</v>
      </c>
      <c r="N3449" s="600">
        <v>108.438</v>
      </c>
      <c r="O3449" s="604">
        <v>1.7527839999999999</v>
      </c>
      <c r="P3449" s="150"/>
      <c r="Q3449" s="250">
        <v>0.13900000000000001</v>
      </c>
      <c r="R3449" s="250">
        <v>0.29499999999999998</v>
      </c>
      <c r="S3449" s="250">
        <v>0.16</v>
      </c>
      <c r="T3449" s="250">
        <v>8.3000000000000004E-2</v>
      </c>
      <c r="U3449" s="250">
        <v>0.105</v>
      </c>
      <c r="V3449" s="250">
        <v>0.121</v>
      </c>
      <c r="W3449" s="250">
        <v>6.9000000000000006E-2</v>
      </c>
      <c r="X3449" s="250">
        <v>2.6000000000000002E-2</v>
      </c>
      <c r="Y3449" s="250">
        <v>2E-3</v>
      </c>
      <c r="Z3449" s="150"/>
      <c r="AA3449" s="150">
        <v>12.02</v>
      </c>
      <c r="AB3449" s="152"/>
      <c r="AC3449" s="152"/>
      <c r="AD3449" s="223"/>
      <c r="AE3449" s="223"/>
      <c r="AF3449" s="223"/>
      <c r="AG3449" s="223"/>
      <c r="AH3449" s="341"/>
      <c r="AI3449" s="218"/>
      <c r="AJ3449" s="218"/>
      <c r="AK3449" s="153"/>
      <c r="AL3449" s="152"/>
      <c r="AM3449" s="152"/>
      <c r="AN3449" s="152"/>
      <c r="AO3449" s="152"/>
      <c r="AP3449" s="152"/>
      <c r="AQ3449" s="152"/>
      <c r="AR3449" s="152"/>
      <c r="AS3449" s="152"/>
      <c r="AT3449" s="152"/>
      <c r="AU3449" s="153"/>
      <c r="AV3449" s="479"/>
      <c r="AW3449" s="479"/>
      <c r="AX3449" s="442"/>
      <c r="AY3449" s="153"/>
      <c r="AZ3449" s="152"/>
      <c r="BA3449" s="152"/>
      <c r="BB3449" s="152"/>
      <c r="BC3449" s="152"/>
      <c r="BD3449" s="152"/>
      <c r="BE3449" s="152"/>
      <c r="BF3449" s="152"/>
      <c r="BG3449" s="152"/>
      <c r="BH3449" s="152"/>
      <c r="BI3449" s="153"/>
      <c r="BJ3449" s="153"/>
      <c r="BK3449" s="153"/>
      <c r="BL3449" s="153"/>
      <c r="BM3449" s="153"/>
      <c r="BN3449" s="153"/>
      <c r="BO3449" s="153"/>
      <c r="BP3449" s="153"/>
      <c r="BQ3449" s="153"/>
      <c r="BR3449" s="153"/>
      <c r="BS3449" s="153"/>
      <c r="BT3449" s="153"/>
      <c r="BU3449" s="153"/>
      <c r="BV3449" s="153"/>
      <c r="BW3449" s="153"/>
      <c r="BX3449" s="153"/>
      <c r="BY3449" s="153"/>
      <c r="BZ3449" s="153"/>
      <c r="CA3449" s="152"/>
      <c r="CB3449" s="152"/>
    </row>
    <row r="3450" spans="1:80" s="87" customFormat="1" ht="15" x14ac:dyDescent="0.25">
      <c r="A3450" s="152"/>
      <c r="B3450" s="683"/>
      <c r="C3450" s="683"/>
      <c r="D3450" s="698"/>
      <c r="E3450" s="215"/>
      <c r="F3450" s="215"/>
      <c r="G3450" s="153"/>
      <c r="H3450" s="153"/>
      <c r="I3450" s="115">
        <v>20</v>
      </c>
      <c r="J3450" s="320">
        <v>60</v>
      </c>
      <c r="K3450" s="150">
        <v>1</v>
      </c>
      <c r="L3450" s="656">
        <v>20</v>
      </c>
      <c r="M3450" s="663">
        <v>36304</v>
      </c>
      <c r="N3450" s="600">
        <v>110.221</v>
      </c>
      <c r="O3450" s="604">
        <v>0.72000600000000003</v>
      </c>
      <c r="P3450" s="150"/>
      <c r="Q3450" s="250">
        <v>0.314</v>
      </c>
      <c r="R3450" s="250">
        <v>9.3000000000000013E-2</v>
      </c>
      <c r="S3450" s="250">
        <v>5.2000000000000005E-2</v>
      </c>
      <c r="T3450" s="250">
        <v>4.7E-2</v>
      </c>
      <c r="U3450" s="250">
        <v>6.8000000000000005E-2</v>
      </c>
      <c r="V3450" s="250">
        <v>0.17800000000000002</v>
      </c>
      <c r="W3450" s="250">
        <v>0.16800000000000001</v>
      </c>
      <c r="X3450" s="250">
        <v>7.5999999999999998E-2</v>
      </c>
      <c r="Y3450" s="250">
        <v>4.0000000000000001E-3</v>
      </c>
      <c r="Z3450" s="150"/>
      <c r="AA3450" s="150">
        <v>4.37</v>
      </c>
      <c r="AB3450" s="152"/>
      <c r="AC3450" s="152"/>
      <c r="AD3450" s="223"/>
      <c r="AE3450" s="223"/>
      <c r="AF3450" s="223"/>
      <c r="AG3450" s="223"/>
      <c r="AH3450" s="341"/>
      <c r="AI3450" s="218"/>
      <c r="AJ3450" s="218"/>
      <c r="AK3450" s="153"/>
      <c r="AL3450" s="152"/>
      <c r="AM3450" s="152"/>
      <c r="AN3450" s="152"/>
      <c r="AO3450" s="152"/>
      <c r="AP3450" s="152"/>
      <c r="AQ3450" s="152"/>
      <c r="AR3450" s="152"/>
      <c r="AS3450" s="152"/>
      <c r="AT3450" s="152"/>
      <c r="AU3450" s="153"/>
      <c r="AV3450" s="479"/>
      <c r="AW3450" s="479"/>
      <c r="AX3450" s="442"/>
      <c r="AY3450" s="153"/>
      <c r="AZ3450" s="152"/>
      <c r="BA3450" s="152"/>
      <c r="BB3450" s="152"/>
      <c r="BC3450" s="152"/>
      <c r="BD3450" s="152"/>
      <c r="BE3450" s="152"/>
      <c r="BF3450" s="152"/>
      <c r="BG3450" s="152"/>
      <c r="BH3450" s="152"/>
      <c r="BI3450" s="153"/>
      <c r="BJ3450" s="153"/>
      <c r="BK3450" s="153"/>
      <c r="BL3450" s="153"/>
      <c r="BM3450" s="153"/>
      <c r="BN3450" s="153"/>
      <c r="BO3450" s="153"/>
      <c r="BP3450" s="153"/>
      <c r="BQ3450" s="153"/>
      <c r="BR3450" s="153"/>
      <c r="BS3450" s="153"/>
      <c r="BT3450" s="153"/>
      <c r="BU3450" s="153"/>
      <c r="BV3450" s="153"/>
      <c r="BW3450" s="153"/>
      <c r="BX3450" s="153"/>
      <c r="BY3450" s="153"/>
      <c r="BZ3450" s="153"/>
      <c r="CA3450" s="152"/>
      <c r="CB3450" s="152"/>
    </row>
    <row r="3451" spans="1:80" s="87" customFormat="1" ht="15" x14ac:dyDescent="0.25">
      <c r="A3451" s="152"/>
      <c r="B3451" s="683"/>
      <c r="C3451" s="683"/>
      <c r="D3451" s="698"/>
      <c r="E3451" s="215"/>
      <c r="F3451" s="215"/>
      <c r="G3451" s="153"/>
      <c r="H3451" s="153"/>
      <c r="I3451" s="115">
        <v>20</v>
      </c>
      <c r="J3451" s="320">
        <v>60</v>
      </c>
      <c r="K3451" s="150">
        <v>1</v>
      </c>
      <c r="L3451" s="656">
        <v>20</v>
      </c>
      <c r="M3451" s="663">
        <v>36305</v>
      </c>
      <c r="N3451" s="600">
        <v>124.01</v>
      </c>
      <c r="O3451" s="604">
        <v>0.173179</v>
      </c>
      <c r="P3451" s="150"/>
      <c r="Q3451" s="250"/>
      <c r="R3451" s="250">
        <v>0.20600000000000002</v>
      </c>
      <c r="S3451" s="250">
        <v>6.0000000000000001E-3</v>
      </c>
      <c r="T3451" s="250">
        <v>0.20199999999999999</v>
      </c>
      <c r="U3451" s="250">
        <v>0.17100000000000001</v>
      </c>
      <c r="V3451" s="250">
        <v>0.115</v>
      </c>
      <c r="W3451" s="250">
        <v>0.151</v>
      </c>
      <c r="X3451" s="250">
        <v>0.13</v>
      </c>
      <c r="Y3451" s="250">
        <v>1.9E-2</v>
      </c>
      <c r="Z3451" s="150"/>
      <c r="AA3451" s="150">
        <v>2.82</v>
      </c>
      <c r="AB3451" s="152"/>
      <c r="AC3451" s="152"/>
      <c r="AD3451" s="223">
        <v>36.574800000000003</v>
      </c>
      <c r="AE3451" s="223">
        <v>1.9354165000000001</v>
      </c>
      <c r="AF3451" s="223">
        <v>70.785228000000004</v>
      </c>
      <c r="AG3451" s="223">
        <v>1.7952131</v>
      </c>
      <c r="AH3451" s="341"/>
      <c r="AI3451" s="218"/>
      <c r="AJ3451" s="218"/>
      <c r="AK3451" s="153"/>
      <c r="AL3451" s="152"/>
      <c r="AM3451" s="152"/>
      <c r="AN3451" s="152"/>
      <c r="AO3451" s="152"/>
      <c r="AP3451" s="152"/>
      <c r="AQ3451" s="152"/>
      <c r="AR3451" s="152"/>
      <c r="AS3451" s="152"/>
      <c r="AT3451" s="152"/>
      <c r="AU3451" s="153"/>
      <c r="AV3451" s="479"/>
      <c r="AW3451" s="479"/>
      <c r="AX3451" s="442"/>
      <c r="AY3451" s="153"/>
      <c r="AZ3451" s="152"/>
      <c r="BA3451" s="152"/>
      <c r="BB3451" s="152"/>
      <c r="BC3451" s="152"/>
      <c r="BD3451" s="152"/>
      <c r="BE3451" s="152"/>
      <c r="BF3451" s="152"/>
      <c r="BG3451" s="152"/>
      <c r="BH3451" s="152"/>
      <c r="BI3451" s="153"/>
      <c r="BJ3451" s="153"/>
      <c r="BK3451" s="153"/>
      <c r="BL3451" s="153"/>
      <c r="BM3451" s="153"/>
      <c r="BN3451" s="153"/>
      <c r="BO3451" s="153"/>
      <c r="BP3451" s="153"/>
      <c r="BQ3451" s="153"/>
      <c r="BR3451" s="153"/>
      <c r="BS3451" s="153"/>
      <c r="BT3451" s="153"/>
      <c r="BU3451" s="153"/>
      <c r="BV3451" s="153"/>
      <c r="BW3451" s="153"/>
      <c r="BX3451" s="153"/>
      <c r="BY3451" s="153"/>
      <c r="BZ3451" s="153"/>
      <c r="CA3451" s="152"/>
      <c r="CB3451" s="152"/>
    </row>
    <row r="3452" spans="1:80" s="87" customFormat="1" ht="15" x14ac:dyDescent="0.25">
      <c r="A3452" s="152"/>
      <c r="B3452" s="683"/>
      <c r="C3452" s="683"/>
      <c r="D3452" s="698"/>
      <c r="E3452" s="215"/>
      <c r="F3452" s="215"/>
      <c r="G3452" s="153"/>
      <c r="H3452" s="153"/>
      <c r="I3452" s="115">
        <v>20</v>
      </c>
      <c r="J3452" s="320">
        <v>60</v>
      </c>
      <c r="K3452" s="150">
        <v>1</v>
      </c>
      <c r="L3452" s="656">
        <v>20</v>
      </c>
      <c r="M3452" s="663">
        <v>36305</v>
      </c>
      <c r="N3452" s="600">
        <v>124.01</v>
      </c>
      <c r="O3452" s="604">
        <v>0.18157599999999999</v>
      </c>
      <c r="P3452" s="150"/>
      <c r="Q3452" s="250">
        <v>0.69499999999999995</v>
      </c>
      <c r="R3452" s="250">
        <v>4.2999999999999997E-2</v>
      </c>
      <c r="S3452" s="250">
        <v>1.3999999999999999E-2</v>
      </c>
      <c r="T3452" s="250">
        <v>4.2000000000000003E-2</v>
      </c>
      <c r="U3452" s="250">
        <v>1.6E-2</v>
      </c>
      <c r="V3452" s="250">
        <v>3.3000000000000002E-2</v>
      </c>
      <c r="W3452" s="250">
        <v>7.2999999999999995E-2</v>
      </c>
      <c r="X3452" s="250">
        <v>7.9000000000000001E-2</v>
      </c>
      <c r="Y3452" s="250">
        <v>5.0000000000000001E-3</v>
      </c>
      <c r="Z3452" s="150"/>
      <c r="AA3452" s="150">
        <v>38.869999999999997</v>
      </c>
      <c r="AB3452" s="152"/>
      <c r="AC3452" s="152"/>
      <c r="AD3452" s="223">
        <v>36.574800000000003</v>
      </c>
      <c r="AE3452" s="223">
        <v>1.9354165000000001</v>
      </c>
      <c r="AF3452" s="223">
        <v>70.785228000000004</v>
      </c>
      <c r="AG3452" s="223">
        <v>1.7952131</v>
      </c>
      <c r="AH3452" s="341"/>
      <c r="AI3452" s="218"/>
      <c r="AJ3452" s="218"/>
      <c r="AK3452" s="153"/>
      <c r="AL3452" s="152"/>
      <c r="AM3452" s="152"/>
      <c r="AN3452" s="152"/>
      <c r="AO3452" s="152"/>
      <c r="AP3452" s="152"/>
      <c r="AQ3452" s="152"/>
      <c r="AR3452" s="152"/>
      <c r="AS3452" s="152"/>
      <c r="AT3452" s="152"/>
      <c r="AU3452" s="153"/>
      <c r="AV3452" s="479"/>
      <c r="AW3452" s="479"/>
      <c r="AX3452" s="442"/>
      <c r="AY3452" s="153"/>
      <c r="AZ3452" s="152"/>
      <c r="BA3452" s="152"/>
      <c r="BB3452" s="152"/>
      <c r="BC3452" s="152"/>
      <c r="BD3452" s="152"/>
      <c r="BE3452" s="152"/>
      <c r="BF3452" s="152"/>
      <c r="BG3452" s="152"/>
      <c r="BH3452" s="152"/>
      <c r="BI3452" s="153"/>
      <c r="BJ3452" s="153"/>
      <c r="BK3452" s="153"/>
      <c r="BL3452" s="153"/>
      <c r="BM3452" s="153"/>
      <c r="BN3452" s="153"/>
      <c r="BO3452" s="153"/>
      <c r="BP3452" s="153"/>
      <c r="BQ3452" s="153"/>
      <c r="BR3452" s="153"/>
      <c r="BS3452" s="153"/>
      <c r="BT3452" s="153"/>
      <c r="BU3452" s="153"/>
      <c r="BV3452" s="153"/>
      <c r="BW3452" s="153"/>
      <c r="BX3452" s="153"/>
      <c r="BY3452" s="153"/>
      <c r="BZ3452" s="153"/>
      <c r="CA3452" s="152"/>
      <c r="CB3452" s="152"/>
    </row>
    <row r="3453" spans="1:80" s="87" customFormat="1" ht="15" x14ac:dyDescent="0.25">
      <c r="A3453" s="152"/>
      <c r="B3453" s="683"/>
      <c r="C3453" s="683"/>
      <c r="D3453" s="698"/>
      <c r="E3453" s="215"/>
      <c r="F3453" s="215"/>
      <c r="G3453" s="153"/>
      <c r="H3453" s="153"/>
      <c r="I3453" s="115">
        <v>20</v>
      </c>
      <c r="J3453" s="320">
        <v>60</v>
      </c>
      <c r="K3453" s="150">
        <v>1</v>
      </c>
      <c r="L3453" s="656">
        <v>20</v>
      </c>
      <c r="M3453" s="663">
        <v>36306</v>
      </c>
      <c r="N3453" s="600">
        <v>143.54499999999999</v>
      </c>
      <c r="O3453" s="604">
        <v>3.4425940000000002</v>
      </c>
      <c r="P3453" s="150"/>
      <c r="Q3453" s="250">
        <v>0.29299999999999998</v>
      </c>
      <c r="R3453" s="250">
        <v>0.16399999999999998</v>
      </c>
      <c r="S3453" s="250">
        <v>0.16399999999999998</v>
      </c>
      <c r="T3453" s="250">
        <v>0.10300000000000001</v>
      </c>
      <c r="U3453" s="250">
        <v>0.11</v>
      </c>
      <c r="V3453" s="250">
        <v>9.8000000000000004E-2</v>
      </c>
      <c r="W3453" s="250">
        <v>4.5999999999999999E-2</v>
      </c>
      <c r="X3453" s="250">
        <v>2.2000000000000002E-2</v>
      </c>
      <c r="Y3453" s="250">
        <v>0</v>
      </c>
      <c r="Z3453" s="150"/>
      <c r="AA3453" s="150">
        <v>13.34</v>
      </c>
      <c r="AB3453" s="152"/>
      <c r="AC3453" s="152"/>
      <c r="AD3453" s="223">
        <v>38.40354</v>
      </c>
      <c r="AE3453" s="223">
        <v>2.1262730950000002</v>
      </c>
      <c r="AF3453" s="223">
        <v>81.653825999999995</v>
      </c>
      <c r="AG3453" s="223">
        <v>1.7616862</v>
      </c>
      <c r="AH3453" s="341"/>
      <c r="AI3453" s="218"/>
      <c r="AJ3453" s="218"/>
      <c r="AK3453" s="153"/>
      <c r="AL3453" s="152"/>
      <c r="AM3453" s="152"/>
      <c r="AN3453" s="152"/>
      <c r="AO3453" s="152"/>
      <c r="AP3453" s="152"/>
      <c r="AQ3453" s="152"/>
      <c r="AR3453" s="152"/>
      <c r="AS3453" s="152"/>
      <c r="AT3453" s="152"/>
      <c r="AU3453" s="153"/>
      <c r="AV3453" s="479"/>
      <c r="AW3453" s="479"/>
      <c r="AX3453" s="442"/>
      <c r="AY3453" s="153"/>
      <c r="AZ3453" s="152"/>
      <c r="BA3453" s="152"/>
      <c r="BB3453" s="152"/>
      <c r="BC3453" s="152"/>
      <c r="BD3453" s="152"/>
      <c r="BE3453" s="152"/>
      <c r="BF3453" s="152"/>
      <c r="BG3453" s="152"/>
      <c r="BH3453" s="152"/>
      <c r="BI3453" s="153"/>
      <c r="BJ3453" s="153"/>
      <c r="BK3453" s="153"/>
      <c r="BL3453" s="153"/>
      <c r="BM3453" s="153"/>
      <c r="BN3453" s="153"/>
      <c r="BO3453" s="153"/>
      <c r="BP3453" s="153"/>
      <c r="BQ3453" s="153"/>
      <c r="BR3453" s="153"/>
      <c r="BS3453" s="153"/>
      <c r="BT3453" s="153"/>
      <c r="BU3453" s="153"/>
      <c r="BV3453" s="153"/>
      <c r="BW3453" s="153"/>
      <c r="BX3453" s="153"/>
      <c r="BY3453" s="153"/>
      <c r="BZ3453" s="153"/>
      <c r="CA3453" s="152"/>
      <c r="CB3453" s="152"/>
    </row>
    <row r="3454" spans="1:80" s="87" customFormat="1" ht="15" x14ac:dyDescent="0.25">
      <c r="A3454" s="152"/>
      <c r="B3454" s="683"/>
      <c r="C3454" s="683"/>
      <c r="D3454" s="698"/>
      <c r="E3454" s="215"/>
      <c r="F3454" s="215"/>
      <c r="G3454" s="153"/>
      <c r="H3454" s="153"/>
      <c r="I3454" s="115">
        <v>20</v>
      </c>
      <c r="J3454" s="320">
        <v>60</v>
      </c>
      <c r="K3454" s="150">
        <v>1</v>
      </c>
      <c r="L3454" s="656">
        <v>20</v>
      </c>
      <c r="M3454" s="663">
        <v>36306</v>
      </c>
      <c r="N3454" s="600">
        <v>143.262</v>
      </c>
      <c r="O3454" s="604">
        <v>1.3434520000000001</v>
      </c>
      <c r="P3454" s="150"/>
      <c r="Q3454" s="250">
        <v>0.32400000000000001</v>
      </c>
      <c r="R3454" s="250">
        <v>0.125</v>
      </c>
      <c r="S3454" s="250">
        <v>0.13400000000000001</v>
      </c>
      <c r="T3454" s="250">
        <v>9.3000000000000013E-2</v>
      </c>
      <c r="U3454" s="250">
        <v>9.6999999999999989E-2</v>
      </c>
      <c r="V3454" s="250">
        <v>0.113</v>
      </c>
      <c r="W3454" s="250">
        <v>7.0000000000000007E-2</v>
      </c>
      <c r="X3454" s="250">
        <v>4.0999999999999995E-2</v>
      </c>
      <c r="Y3454" s="250">
        <v>3.0000000000000001E-3</v>
      </c>
      <c r="Z3454" s="150"/>
      <c r="AA3454" s="150">
        <v>12.29</v>
      </c>
      <c r="AB3454" s="152"/>
      <c r="AC3454" s="152"/>
      <c r="AD3454" s="223">
        <v>38.40354</v>
      </c>
      <c r="AE3454" s="223">
        <v>2.1262730950000002</v>
      </c>
      <c r="AF3454" s="223">
        <v>81.653825999999995</v>
      </c>
      <c r="AG3454" s="223">
        <v>1.7616862</v>
      </c>
      <c r="AH3454" s="341"/>
      <c r="AI3454" s="218"/>
      <c r="AJ3454" s="218"/>
      <c r="AK3454" s="153"/>
      <c r="AL3454" s="152"/>
      <c r="AM3454" s="152"/>
      <c r="AN3454" s="152"/>
      <c r="AO3454" s="152"/>
      <c r="AP3454" s="152"/>
      <c r="AQ3454" s="152"/>
      <c r="AR3454" s="152"/>
      <c r="AS3454" s="152"/>
      <c r="AT3454" s="152"/>
      <c r="AU3454" s="153"/>
      <c r="AV3454" s="479"/>
      <c r="AW3454" s="479"/>
      <c r="AX3454" s="442"/>
      <c r="AY3454" s="153"/>
      <c r="AZ3454" s="152"/>
      <c r="BA3454" s="152"/>
      <c r="BB3454" s="152"/>
      <c r="BC3454" s="152"/>
      <c r="BD3454" s="152"/>
      <c r="BE3454" s="152"/>
      <c r="BF3454" s="152"/>
      <c r="BG3454" s="152"/>
      <c r="BH3454" s="152"/>
      <c r="BI3454" s="153"/>
      <c r="BJ3454" s="153"/>
      <c r="BK3454" s="153"/>
      <c r="BL3454" s="153"/>
      <c r="BM3454" s="153"/>
      <c r="BN3454" s="153"/>
      <c r="BO3454" s="153"/>
      <c r="BP3454" s="153"/>
      <c r="BQ3454" s="153"/>
      <c r="BR3454" s="153"/>
      <c r="BS3454" s="153"/>
      <c r="BT3454" s="153"/>
      <c r="BU3454" s="153"/>
      <c r="BV3454" s="153"/>
      <c r="BW3454" s="153"/>
      <c r="BX3454" s="153"/>
      <c r="BY3454" s="153"/>
      <c r="BZ3454" s="153"/>
      <c r="CA3454" s="152"/>
      <c r="CB3454" s="152"/>
    </row>
    <row r="3455" spans="1:80" s="87" customFormat="1" ht="15" x14ac:dyDescent="0.25">
      <c r="A3455" s="152"/>
      <c r="B3455" s="683"/>
      <c r="C3455" s="683"/>
      <c r="D3455" s="698"/>
      <c r="E3455" s="215"/>
      <c r="F3455" s="215"/>
      <c r="G3455" s="153"/>
      <c r="H3455" s="153"/>
      <c r="I3455" s="115">
        <v>20</v>
      </c>
      <c r="J3455" s="320">
        <v>30</v>
      </c>
      <c r="K3455" s="150">
        <v>1</v>
      </c>
      <c r="L3455" s="656">
        <v>10</v>
      </c>
      <c r="M3455" s="663">
        <v>36312</v>
      </c>
      <c r="N3455" s="600">
        <v>140.99700000000001</v>
      </c>
      <c r="O3455" s="604">
        <v>2.6764070000000002</v>
      </c>
      <c r="P3455" s="150"/>
      <c r="Q3455" s="250">
        <v>5.7999999999999996E-2</v>
      </c>
      <c r="R3455" s="250">
        <v>0.245</v>
      </c>
      <c r="S3455" s="250">
        <v>0.21299999999999999</v>
      </c>
      <c r="T3455" s="250">
        <v>0.185</v>
      </c>
      <c r="U3455" s="250">
        <v>0.156</v>
      </c>
      <c r="V3455" s="250">
        <v>7.8E-2</v>
      </c>
      <c r="W3455" s="250">
        <v>3.7999999999999999E-2</v>
      </c>
      <c r="X3455" s="250">
        <v>2.5000000000000001E-2</v>
      </c>
      <c r="Y3455" s="250">
        <v>2E-3</v>
      </c>
      <c r="Z3455" s="150"/>
      <c r="AA3455" s="150">
        <v>8.43</v>
      </c>
      <c r="AB3455" s="152"/>
      <c r="AC3455" s="152"/>
      <c r="AD3455" s="223"/>
      <c r="AE3455" s="223"/>
      <c r="AF3455" s="223"/>
      <c r="AG3455" s="223"/>
      <c r="AH3455" s="341"/>
      <c r="AI3455" s="218"/>
      <c r="AJ3455" s="218"/>
      <c r="AK3455" s="153"/>
      <c r="AL3455" s="152"/>
      <c r="AM3455" s="152"/>
      <c r="AN3455" s="152"/>
      <c r="AO3455" s="152"/>
      <c r="AP3455" s="152"/>
      <c r="AQ3455" s="152"/>
      <c r="AR3455" s="152"/>
      <c r="AS3455" s="152"/>
      <c r="AT3455" s="152"/>
      <c r="AU3455" s="153"/>
      <c r="AV3455" s="479"/>
      <c r="AW3455" s="479"/>
      <c r="AX3455" s="442"/>
      <c r="AY3455" s="153"/>
      <c r="AZ3455" s="152"/>
      <c r="BA3455" s="152"/>
      <c r="BB3455" s="152"/>
      <c r="BC3455" s="152"/>
      <c r="BD3455" s="152"/>
      <c r="BE3455" s="152"/>
      <c r="BF3455" s="152"/>
      <c r="BG3455" s="152"/>
      <c r="BH3455" s="152"/>
      <c r="BI3455" s="153"/>
      <c r="BJ3455" s="153"/>
      <c r="BK3455" s="153"/>
      <c r="BL3455" s="153"/>
      <c r="BM3455" s="153"/>
      <c r="BN3455" s="153"/>
      <c r="BO3455" s="153"/>
      <c r="BP3455" s="153"/>
      <c r="BQ3455" s="153"/>
      <c r="BR3455" s="153"/>
      <c r="BS3455" s="153"/>
      <c r="BT3455" s="153"/>
      <c r="BU3455" s="153"/>
      <c r="BV3455" s="153"/>
      <c r="BW3455" s="153"/>
      <c r="BX3455" s="153"/>
      <c r="BY3455" s="153"/>
      <c r="BZ3455" s="153"/>
      <c r="CA3455" s="152"/>
      <c r="CB3455" s="152"/>
    </row>
    <row r="3456" spans="1:80" s="87" customFormat="1" ht="15" x14ac:dyDescent="0.25">
      <c r="A3456" s="152"/>
      <c r="B3456" s="683"/>
      <c r="C3456" s="683"/>
      <c r="D3456" s="698"/>
      <c r="E3456" s="215"/>
      <c r="F3456" s="215"/>
      <c r="G3456" s="153"/>
      <c r="H3456" s="153"/>
      <c r="I3456" s="115">
        <v>20</v>
      </c>
      <c r="J3456" s="320">
        <v>30</v>
      </c>
      <c r="K3456" s="150">
        <v>1</v>
      </c>
      <c r="L3456" s="656">
        <v>10</v>
      </c>
      <c r="M3456" s="663">
        <v>36312</v>
      </c>
      <c r="N3456" s="600">
        <v>141.28</v>
      </c>
      <c r="O3456" s="604">
        <v>1.32246</v>
      </c>
      <c r="P3456" s="150"/>
      <c r="Q3456" s="250">
        <v>0.107</v>
      </c>
      <c r="R3456" s="250">
        <v>0.19600000000000001</v>
      </c>
      <c r="S3456" s="250">
        <v>0.18100000000000002</v>
      </c>
      <c r="T3456" s="250">
        <v>0.11699999999999999</v>
      </c>
      <c r="U3456" s="250">
        <v>0.10099999999999999</v>
      </c>
      <c r="V3456" s="250">
        <v>0.11599999999999999</v>
      </c>
      <c r="W3456" s="250">
        <v>9.4E-2</v>
      </c>
      <c r="X3456" s="250">
        <v>8.3000000000000004E-2</v>
      </c>
      <c r="Y3456" s="250">
        <v>5.0000000000000001E-3</v>
      </c>
      <c r="Z3456" s="150"/>
      <c r="AA3456" s="150">
        <v>7.28</v>
      </c>
      <c r="AB3456" s="152"/>
      <c r="AC3456" s="152"/>
      <c r="AD3456" s="223"/>
      <c r="AE3456" s="223"/>
      <c r="AF3456" s="223"/>
      <c r="AG3456" s="223"/>
      <c r="AH3456" s="341"/>
      <c r="AI3456" s="218"/>
      <c r="AJ3456" s="218"/>
      <c r="AK3456" s="153"/>
      <c r="AL3456" s="152"/>
      <c r="AM3456" s="152"/>
      <c r="AN3456" s="152"/>
      <c r="AO3456" s="152"/>
      <c r="AP3456" s="152"/>
      <c r="AQ3456" s="152"/>
      <c r="AR3456" s="152"/>
      <c r="AS3456" s="152"/>
      <c r="AT3456" s="152"/>
      <c r="AU3456" s="153"/>
      <c r="AV3456" s="479"/>
      <c r="AW3456" s="479"/>
      <c r="AX3456" s="442"/>
      <c r="AY3456" s="153"/>
      <c r="AZ3456" s="152"/>
      <c r="BA3456" s="152"/>
      <c r="BB3456" s="152"/>
      <c r="BC3456" s="152"/>
      <c r="BD3456" s="152"/>
      <c r="BE3456" s="152"/>
      <c r="BF3456" s="152"/>
      <c r="BG3456" s="152"/>
      <c r="BH3456" s="152"/>
      <c r="BI3456" s="153"/>
      <c r="BJ3456" s="153"/>
      <c r="BK3456" s="153"/>
      <c r="BL3456" s="153"/>
      <c r="BM3456" s="153"/>
      <c r="BN3456" s="153"/>
      <c r="BO3456" s="153"/>
      <c r="BP3456" s="153"/>
      <c r="BQ3456" s="153"/>
      <c r="BR3456" s="153"/>
      <c r="BS3456" s="153"/>
      <c r="BT3456" s="153"/>
      <c r="BU3456" s="153"/>
      <c r="BV3456" s="153"/>
      <c r="BW3456" s="153"/>
      <c r="BX3456" s="153"/>
      <c r="BY3456" s="153"/>
      <c r="BZ3456" s="153"/>
      <c r="CA3456" s="152"/>
      <c r="CB3456" s="152"/>
    </row>
    <row r="3457" spans="1:80" s="87" customFormat="1" ht="15" x14ac:dyDescent="0.25">
      <c r="A3457" s="152"/>
      <c r="B3457" s="683"/>
      <c r="C3457" s="683"/>
      <c r="D3457" s="698"/>
      <c r="E3457" s="215"/>
      <c r="F3457" s="215"/>
      <c r="G3457" s="153"/>
      <c r="H3457" s="153"/>
      <c r="I3457" s="115">
        <v>20</v>
      </c>
      <c r="J3457" s="320">
        <v>30</v>
      </c>
      <c r="K3457" s="150">
        <v>1</v>
      </c>
      <c r="L3457" s="656">
        <v>10</v>
      </c>
      <c r="M3457" s="663">
        <v>36313</v>
      </c>
      <c r="N3457" s="600">
        <v>139.86500000000001</v>
      </c>
      <c r="O3457" s="604">
        <v>1.5848530000000001</v>
      </c>
      <c r="P3457" s="150"/>
      <c r="Q3457" s="250">
        <v>0.155</v>
      </c>
      <c r="R3457" s="250">
        <v>0.28300000000000003</v>
      </c>
      <c r="S3457" s="250">
        <v>0.16399999999999998</v>
      </c>
      <c r="T3457" s="250">
        <v>0.106</v>
      </c>
      <c r="U3457" s="250">
        <v>9.5000000000000001E-2</v>
      </c>
      <c r="V3457" s="250">
        <v>9.6000000000000002E-2</v>
      </c>
      <c r="W3457" s="250">
        <v>6.2E-2</v>
      </c>
      <c r="X3457" s="250">
        <v>3.7000000000000005E-2</v>
      </c>
      <c r="Y3457" s="250">
        <v>2E-3</v>
      </c>
      <c r="Z3457" s="150"/>
      <c r="AA3457" s="150">
        <v>12.31</v>
      </c>
      <c r="AB3457" s="152"/>
      <c r="AC3457" s="152"/>
      <c r="AD3457" s="223"/>
      <c r="AE3457" s="223"/>
      <c r="AF3457" s="223"/>
      <c r="AG3457" s="223"/>
      <c r="AH3457" s="341"/>
      <c r="AI3457" s="218"/>
      <c r="AJ3457" s="218"/>
      <c r="AK3457" s="153"/>
      <c r="AL3457" s="152"/>
      <c r="AM3457" s="152"/>
      <c r="AN3457" s="152"/>
      <c r="AO3457" s="152"/>
      <c r="AP3457" s="152"/>
      <c r="AQ3457" s="152"/>
      <c r="AR3457" s="152"/>
      <c r="AS3457" s="152"/>
      <c r="AT3457" s="152"/>
      <c r="AU3457" s="153"/>
      <c r="AV3457" s="479"/>
      <c r="AW3457" s="479"/>
      <c r="AX3457" s="442"/>
      <c r="AY3457" s="153"/>
      <c r="AZ3457" s="152"/>
      <c r="BA3457" s="152"/>
      <c r="BB3457" s="152"/>
      <c r="BC3457" s="152"/>
      <c r="BD3457" s="152"/>
      <c r="BE3457" s="152"/>
      <c r="BF3457" s="152"/>
      <c r="BG3457" s="152"/>
      <c r="BH3457" s="152"/>
      <c r="BI3457" s="153"/>
      <c r="BJ3457" s="153"/>
      <c r="BK3457" s="153"/>
      <c r="BL3457" s="153"/>
      <c r="BM3457" s="153"/>
      <c r="BN3457" s="153"/>
      <c r="BO3457" s="153"/>
      <c r="BP3457" s="153"/>
      <c r="BQ3457" s="153"/>
      <c r="BR3457" s="153"/>
      <c r="BS3457" s="153"/>
      <c r="BT3457" s="153"/>
      <c r="BU3457" s="153"/>
      <c r="BV3457" s="153"/>
      <c r="BW3457" s="153"/>
      <c r="BX3457" s="153"/>
      <c r="BY3457" s="153"/>
      <c r="BZ3457" s="153"/>
      <c r="CA3457" s="152"/>
      <c r="CB3457" s="152"/>
    </row>
    <row r="3458" spans="1:80" s="87" customFormat="1" ht="15" x14ac:dyDescent="0.25">
      <c r="A3458" s="152"/>
      <c r="B3458" s="683"/>
      <c r="C3458" s="683"/>
      <c r="D3458" s="698"/>
      <c r="E3458" s="215"/>
      <c r="F3458" s="215"/>
      <c r="G3458" s="153"/>
      <c r="H3458" s="153"/>
      <c r="I3458" s="115">
        <v>20</v>
      </c>
      <c r="J3458" s="320">
        <v>45</v>
      </c>
      <c r="K3458" s="150">
        <v>1</v>
      </c>
      <c r="L3458" s="656">
        <v>15</v>
      </c>
      <c r="M3458" s="663">
        <v>36313</v>
      </c>
      <c r="N3458" s="600">
        <v>138.44900000000001</v>
      </c>
      <c r="O3458" s="604">
        <v>0.59720600000000001</v>
      </c>
      <c r="P3458" s="150"/>
      <c r="Q3458" s="250"/>
      <c r="R3458" s="250">
        <v>0.10400000000000001</v>
      </c>
      <c r="S3458" s="250">
        <v>0.38100000000000001</v>
      </c>
      <c r="T3458" s="250">
        <v>7.8E-2</v>
      </c>
      <c r="U3458" s="250">
        <v>6.7000000000000004E-2</v>
      </c>
      <c r="V3458" s="250">
        <v>7.2000000000000008E-2</v>
      </c>
      <c r="W3458" s="250">
        <v>0.124</v>
      </c>
      <c r="X3458" s="250">
        <v>0.11</v>
      </c>
      <c r="Y3458" s="250">
        <v>6.4000000000000001E-2</v>
      </c>
      <c r="Z3458" s="150"/>
      <c r="AA3458" s="150">
        <v>7</v>
      </c>
      <c r="AB3458" s="152"/>
      <c r="AC3458" s="152"/>
      <c r="AD3458" s="223"/>
      <c r="AE3458" s="223"/>
      <c r="AF3458" s="223"/>
      <c r="AG3458" s="223"/>
      <c r="AH3458" s="341"/>
      <c r="AI3458" s="218"/>
      <c r="AJ3458" s="218"/>
      <c r="AK3458" s="153"/>
      <c r="AL3458" s="152"/>
      <c r="AM3458" s="152"/>
      <c r="AN3458" s="152"/>
      <c r="AO3458" s="152"/>
      <c r="AP3458" s="152"/>
      <c r="AQ3458" s="152"/>
      <c r="AR3458" s="152"/>
      <c r="AS3458" s="152"/>
      <c r="AT3458" s="152"/>
      <c r="AU3458" s="153"/>
      <c r="AV3458" s="479"/>
      <c r="AW3458" s="479"/>
      <c r="AX3458" s="442"/>
      <c r="AY3458" s="153"/>
      <c r="AZ3458" s="152"/>
      <c r="BA3458" s="152"/>
      <c r="BB3458" s="152"/>
      <c r="BC3458" s="152"/>
      <c r="BD3458" s="152"/>
      <c r="BE3458" s="152"/>
      <c r="BF3458" s="152"/>
      <c r="BG3458" s="152"/>
      <c r="BH3458" s="152"/>
      <c r="BI3458" s="153"/>
      <c r="BJ3458" s="153"/>
      <c r="BK3458" s="153"/>
      <c r="BL3458" s="153"/>
      <c r="BM3458" s="153"/>
      <c r="BN3458" s="153"/>
      <c r="BO3458" s="153"/>
      <c r="BP3458" s="153"/>
      <c r="BQ3458" s="153"/>
      <c r="BR3458" s="153"/>
      <c r="BS3458" s="153"/>
      <c r="BT3458" s="153"/>
      <c r="BU3458" s="153"/>
      <c r="BV3458" s="153"/>
      <c r="BW3458" s="153"/>
      <c r="BX3458" s="153"/>
      <c r="BY3458" s="153"/>
      <c r="BZ3458" s="153"/>
      <c r="CA3458" s="152"/>
      <c r="CB3458" s="152"/>
    </row>
    <row r="3459" spans="1:80" s="87" customFormat="1" ht="15" x14ac:dyDescent="0.25">
      <c r="A3459" s="152"/>
      <c r="B3459" s="683"/>
      <c r="C3459" s="683"/>
      <c r="D3459" s="698"/>
      <c r="E3459" s="215"/>
      <c r="F3459" s="215"/>
      <c r="G3459" s="153"/>
      <c r="H3459" s="153"/>
      <c r="I3459" s="115">
        <v>20</v>
      </c>
      <c r="J3459" s="320">
        <v>60</v>
      </c>
      <c r="K3459" s="150">
        <v>1</v>
      </c>
      <c r="L3459" s="656">
        <v>20</v>
      </c>
      <c r="M3459" s="663">
        <v>36319</v>
      </c>
      <c r="N3459" s="600">
        <v>108.155</v>
      </c>
      <c r="O3459" s="604">
        <v>8.2706000000000002E-2</v>
      </c>
      <c r="P3459" s="150"/>
      <c r="Q3459" s="250"/>
      <c r="R3459" s="250"/>
      <c r="S3459" s="250">
        <v>1.2E-2</v>
      </c>
      <c r="T3459" s="250">
        <v>0.04</v>
      </c>
      <c r="U3459" s="250">
        <v>0.09</v>
      </c>
      <c r="V3459" s="250">
        <v>0.19600000000000001</v>
      </c>
      <c r="W3459" s="250">
        <v>0.33</v>
      </c>
      <c r="X3459" s="250">
        <v>0.28899999999999998</v>
      </c>
      <c r="Y3459" s="250">
        <v>4.2999999999999997E-2</v>
      </c>
      <c r="Z3459" s="150"/>
      <c r="AA3459" s="150">
        <v>0.71</v>
      </c>
      <c r="AB3459" s="152"/>
      <c r="AC3459" s="152"/>
      <c r="AD3459" s="223"/>
      <c r="AE3459" s="223"/>
      <c r="AF3459" s="223"/>
      <c r="AG3459" s="223"/>
      <c r="AH3459" s="341"/>
      <c r="AI3459" s="218"/>
      <c r="AJ3459" s="218"/>
      <c r="AK3459" s="153"/>
      <c r="AL3459" s="152"/>
      <c r="AM3459" s="152"/>
      <c r="AN3459" s="152"/>
      <c r="AO3459" s="152"/>
      <c r="AP3459" s="152"/>
      <c r="AQ3459" s="152"/>
      <c r="AR3459" s="152"/>
      <c r="AS3459" s="152"/>
      <c r="AT3459" s="152"/>
      <c r="AU3459" s="153"/>
      <c r="AV3459" s="479"/>
      <c r="AW3459" s="479"/>
      <c r="AX3459" s="442"/>
      <c r="AY3459" s="153"/>
      <c r="AZ3459" s="152"/>
      <c r="BA3459" s="152"/>
      <c r="BB3459" s="152"/>
      <c r="BC3459" s="152"/>
      <c r="BD3459" s="152"/>
      <c r="BE3459" s="152"/>
      <c r="BF3459" s="152"/>
      <c r="BG3459" s="152"/>
      <c r="BH3459" s="152"/>
      <c r="BI3459" s="153"/>
      <c r="BJ3459" s="153"/>
      <c r="BK3459" s="153"/>
      <c r="BL3459" s="153"/>
      <c r="BM3459" s="153"/>
      <c r="BN3459" s="153"/>
      <c r="BO3459" s="153"/>
      <c r="BP3459" s="153"/>
      <c r="BQ3459" s="153"/>
      <c r="BR3459" s="153"/>
      <c r="BS3459" s="153"/>
      <c r="BT3459" s="153"/>
      <c r="BU3459" s="153"/>
      <c r="BV3459" s="153"/>
      <c r="BW3459" s="153"/>
      <c r="BX3459" s="153"/>
      <c r="BY3459" s="153"/>
      <c r="BZ3459" s="153"/>
      <c r="CA3459" s="152"/>
      <c r="CB3459" s="152"/>
    </row>
    <row r="3460" spans="1:80" s="87" customFormat="1" ht="15" x14ac:dyDescent="0.25">
      <c r="A3460" s="152"/>
      <c r="B3460" s="683"/>
      <c r="C3460" s="683"/>
      <c r="D3460" s="698"/>
      <c r="E3460" s="215"/>
      <c r="F3460" s="215"/>
      <c r="G3460" s="153"/>
      <c r="H3460" s="153"/>
      <c r="I3460" s="115">
        <v>20</v>
      </c>
      <c r="J3460" s="320">
        <v>60</v>
      </c>
      <c r="K3460" s="150">
        <v>1</v>
      </c>
      <c r="L3460" s="656">
        <v>20</v>
      </c>
      <c r="M3460" s="663">
        <v>36319</v>
      </c>
      <c r="N3460" s="600">
        <v>108.155</v>
      </c>
      <c r="O3460" s="604">
        <v>5.6676999999999998E-2</v>
      </c>
      <c r="P3460" s="150"/>
      <c r="Q3460" s="250"/>
      <c r="R3460" s="250"/>
      <c r="S3460" s="250">
        <v>0.05</v>
      </c>
      <c r="T3460" s="250">
        <v>0.02</v>
      </c>
      <c r="U3460" s="250">
        <v>4.8000000000000001E-2</v>
      </c>
      <c r="V3460" s="250">
        <v>0.14699999999999999</v>
      </c>
      <c r="W3460" s="250">
        <v>0.38600000000000001</v>
      </c>
      <c r="X3460" s="250">
        <v>0.34</v>
      </c>
      <c r="Y3460" s="250">
        <v>9.0000000000000011E-3</v>
      </c>
      <c r="Z3460" s="150"/>
      <c r="AA3460" s="150">
        <v>0.66</v>
      </c>
      <c r="AB3460" s="152"/>
      <c r="AC3460" s="152"/>
      <c r="AD3460" s="223"/>
      <c r="AE3460" s="223"/>
      <c r="AF3460" s="223"/>
      <c r="AG3460" s="223"/>
      <c r="AH3460" s="341"/>
      <c r="AI3460" s="218"/>
      <c r="AJ3460" s="218"/>
      <c r="AK3460" s="153"/>
      <c r="AL3460" s="152"/>
      <c r="AM3460" s="152"/>
      <c r="AN3460" s="152"/>
      <c r="AO3460" s="152"/>
      <c r="AP3460" s="152"/>
      <c r="AQ3460" s="152"/>
      <c r="AR3460" s="152"/>
      <c r="AS3460" s="152"/>
      <c r="AT3460" s="152"/>
      <c r="AU3460" s="153"/>
      <c r="AV3460" s="479"/>
      <c r="AW3460" s="479"/>
      <c r="AX3460" s="442"/>
      <c r="AY3460" s="153"/>
      <c r="AZ3460" s="152"/>
      <c r="BA3460" s="152"/>
      <c r="BB3460" s="152"/>
      <c r="BC3460" s="152"/>
      <c r="BD3460" s="152"/>
      <c r="BE3460" s="152"/>
      <c r="BF3460" s="152"/>
      <c r="BG3460" s="152"/>
      <c r="BH3460" s="152"/>
      <c r="BI3460" s="153"/>
      <c r="BJ3460" s="153"/>
      <c r="BK3460" s="153"/>
      <c r="BL3460" s="153"/>
      <c r="BM3460" s="153"/>
      <c r="BN3460" s="153"/>
      <c r="BO3460" s="153"/>
      <c r="BP3460" s="153"/>
      <c r="BQ3460" s="153"/>
      <c r="BR3460" s="153"/>
      <c r="BS3460" s="153"/>
      <c r="BT3460" s="153"/>
      <c r="BU3460" s="153"/>
      <c r="BV3460" s="153"/>
      <c r="BW3460" s="153"/>
      <c r="BX3460" s="153"/>
      <c r="BY3460" s="153"/>
      <c r="BZ3460" s="153"/>
      <c r="CA3460" s="152"/>
      <c r="CB3460" s="152"/>
    </row>
    <row r="3461" spans="1:80" s="87" customFormat="1" ht="15" x14ac:dyDescent="0.25">
      <c r="A3461" s="152"/>
      <c r="B3461" s="683"/>
      <c r="C3461" s="683"/>
      <c r="D3461" s="698"/>
      <c r="E3461" s="215"/>
      <c r="F3461" s="215"/>
      <c r="G3461" s="153"/>
      <c r="H3461" s="153"/>
      <c r="I3461" s="115">
        <v>20</v>
      </c>
      <c r="J3461" s="320">
        <v>60</v>
      </c>
      <c r="K3461" s="150">
        <v>1</v>
      </c>
      <c r="L3461" s="656">
        <v>20</v>
      </c>
      <c r="M3461" s="663">
        <v>36320</v>
      </c>
      <c r="N3461" s="600">
        <v>98.245099999999994</v>
      </c>
      <c r="O3461" s="604">
        <v>2.5819000000000002E-2</v>
      </c>
      <c r="P3461" s="150"/>
      <c r="Q3461" s="250"/>
      <c r="R3461" s="250"/>
      <c r="S3461" s="250">
        <v>3.9E-2</v>
      </c>
      <c r="T3461" s="250">
        <v>3.0000000000000001E-3</v>
      </c>
      <c r="U3461" s="250">
        <v>0.03</v>
      </c>
      <c r="V3461" s="250">
        <v>0.13300000000000001</v>
      </c>
      <c r="W3461" s="250">
        <v>0.39600000000000002</v>
      </c>
      <c r="X3461" s="250">
        <v>0.35499999999999998</v>
      </c>
      <c r="Y3461" s="250">
        <v>4.4000000000000004E-2</v>
      </c>
      <c r="Z3461" s="150"/>
      <c r="AA3461" s="150">
        <v>0.6</v>
      </c>
      <c r="AB3461" s="152"/>
      <c r="AC3461" s="152"/>
      <c r="AD3461" s="223"/>
      <c r="AE3461" s="223"/>
      <c r="AF3461" s="223"/>
      <c r="AG3461" s="223"/>
      <c r="AH3461" s="341"/>
      <c r="AI3461" s="218"/>
      <c r="AJ3461" s="218"/>
      <c r="AK3461" s="153"/>
      <c r="AL3461" s="152"/>
      <c r="AM3461" s="152"/>
      <c r="AN3461" s="152"/>
      <c r="AO3461" s="152"/>
      <c r="AP3461" s="152"/>
      <c r="AQ3461" s="152"/>
      <c r="AR3461" s="152"/>
      <c r="AS3461" s="152"/>
      <c r="AT3461" s="152"/>
      <c r="AU3461" s="153"/>
      <c r="AV3461" s="479"/>
      <c r="AW3461" s="479"/>
      <c r="AX3461" s="442"/>
      <c r="AY3461" s="153"/>
      <c r="AZ3461" s="152"/>
      <c r="BA3461" s="152"/>
      <c r="BB3461" s="152"/>
      <c r="BC3461" s="152"/>
      <c r="BD3461" s="152"/>
      <c r="BE3461" s="152"/>
      <c r="BF3461" s="152"/>
      <c r="BG3461" s="152"/>
      <c r="BH3461" s="152"/>
      <c r="BI3461" s="153"/>
      <c r="BJ3461" s="153"/>
      <c r="BK3461" s="153"/>
      <c r="BL3461" s="153"/>
      <c r="BM3461" s="153"/>
      <c r="BN3461" s="153"/>
      <c r="BO3461" s="153"/>
      <c r="BP3461" s="153"/>
      <c r="BQ3461" s="153"/>
      <c r="BR3461" s="153"/>
      <c r="BS3461" s="153"/>
      <c r="BT3461" s="153"/>
      <c r="BU3461" s="153"/>
      <c r="BV3461" s="153"/>
      <c r="BW3461" s="153"/>
      <c r="BX3461" s="153"/>
      <c r="BY3461" s="153"/>
      <c r="BZ3461" s="153"/>
      <c r="CA3461" s="152"/>
      <c r="CB3461" s="152"/>
    </row>
    <row r="3462" spans="1:80" s="87" customFormat="1" ht="15" x14ac:dyDescent="0.25">
      <c r="A3462" s="152"/>
      <c r="B3462" s="683"/>
      <c r="C3462" s="683"/>
      <c r="D3462" s="698"/>
      <c r="E3462" s="215"/>
      <c r="F3462" s="215"/>
      <c r="G3462" s="153"/>
      <c r="H3462" s="153"/>
      <c r="I3462" s="115">
        <v>20</v>
      </c>
      <c r="J3462" s="320">
        <v>60</v>
      </c>
      <c r="K3462" s="150">
        <v>1</v>
      </c>
      <c r="L3462" s="656">
        <v>20</v>
      </c>
      <c r="M3462" s="663">
        <v>36320</v>
      </c>
      <c r="N3462" s="600">
        <v>98.245099999999994</v>
      </c>
      <c r="O3462" s="604">
        <v>0.18157599999999999</v>
      </c>
      <c r="P3462" s="150"/>
      <c r="Q3462" s="250"/>
      <c r="R3462" s="250">
        <v>0.19600000000000001</v>
      </c>
      <c r="S3462" s="250">
        <v>0.20699999999999999</v>
      </c>
      <c r="T3462" s="250">
        <v>0.17</v>
      </c>
      <c r="U3462" s="250">
        <v>6.5000000000000002E-2</v>
      </c>
      <c r="V3462" s="250">
        <v>9.5000000000000001E-2</v>
      </c>
      <c r="W3462" s="250">
        <v>0.151</v>
      </c>
      <c r="X3462" s="250">
        <v>0.10400000000000001</v>
      </c>
      <c r="Y3462" s="250">
        <v>1.2E-2</v>
      </c>
      <c r="Z3462" s="150"/>
      <c r="AA3462" s="150">
        <v>5.39</v>
      </c>
      <c r="AB3462" s="152"/>
      <c r="AC3462" s="152"/>
      <c r="AD3462" s="223"/>
      <c r="AE3462" s="223"/>
      <c r="AF3462" s="223"/>
      <c r="AG3462" s="223"/>
      <c r="AH3462" s="341"/>
      <c r="AI3462" s="218"/>
      <c r="AJ3462" s="218"/>
      <c r="AK3462" s="153"/>
      <c r="AL3462" s="152"/>
      <c r="AM3462" s="152"/>
      <c r="AN3462" s="152"/>
      <c r="AO3462" s="152"/>
      <c r="AP3462" s="152"/>
      <c r="AQ3462" s="152"/>
      <c r="AR3462" s="152"/>
      <c r="AS3462" s="152"/>
      <c r="AT3462" s="152"/>
      <c r="AU3462" s="153"/>
      <c r="AV3462" s="479"/>
      <c r="AW3462" s="479"/>
      <c r="AX3462" s="442"/>
      <c r="AY3462" s="153"/>
      <c r="AZ3462" s="152"/>
      <c r="BA3462" s="152"/>
      <c r="BB3462" s="152"/>
      <c r="BC3462" s="152"/>
      <c r="BD3462" s="152"/>
      <c r="BE3462" s="152"/>
      <c r="BF3462" s="152"/>
      <c r="BG3462" s="152"/>
      <c r="BH3462" s="152"/>
      <c r="BI3462" s="153"/>
      <c r="BJ3462" s="153"/>
      <c r="BK3462" s="153"/>
      <c r="BL3462" s="153"/>
      <c r="BM3462" s="153"/>
      <c r="BN3462" s="153"/>
      <c r="BO3462" s="153"/>
      <c r="BP3462" s="153"/>
      <c r="BQ3462" s="153"/>
      <c r="BR3462" s="153"/>
      <c r="BS3462" s="153"/>
      <c r="BT3462" s="153"/>
      <c r="BU3462" s="153"/>
      <c r="BV3462" s="153"/>
      <c r="BW3462" s="153"/>
      <c r="BX3462" s="153"/>
      <c r="BY3462" s="153"/>
      <c r="BZ3462" s="153"/>
      <c r="CA3462" s="152"/>
      <c r="CB3462" s="152"/>
    </row>
    <row r="3463" spans="1:80" s="87" customFormat="1" ht="15" x14ac:dyDescent="0.25">
      <c r="A3463" s="152"/>
      <c r="B3463" s="683"/>
      <c r="C3463" s="683"/>
      <c r="D3463" s="698"/>
      <c r="E3463" s="215"/>
      <c r="F3463" s="215"/>
      <c r="G3463" s="153"/>
      <c r="H3463" s="153"/>
      <c r="I3463" s="115">
        <v>20</v>
      </c>
      <c r="J3463" s="320">
        <v>60</v>
      </c>
      <c r="K3463" s="150">
        <v>1</v>
      </c>
      <c r="L3463" s="656">
        <v>20</v>
      </c>
      <c r="M3463" s="663">
        <v>36339</v>
      </c>
      <c r="N3463" s="600">
        <v>94.564400000000006</v>
      </c>
      <c r="O3463" s="604">
        <v>0.15323700000000001</v>
      </c>
      <c r="P3463" s="150"/>
      <c r="Q3463" s="250"/>
      <c r="R3463" s="250">
        <v>6.2E-2</v>
      </c>
      <c r="S3463" s="250">
        <v>5.5E-2</v>
      </c>
      <c r="T3463" s="250">
        <v>3.5000000000000003E-2</v>
      </c>
      <c r="U3463" s="250">
        <v>5.5E-2</v>
      </c>
      <c r="V3463" s="250">
        <v>0.13200000000000001</v>
      </c>
      <c r="W3463" s="250">
        <v>0.32100000000000001</v>
      </c>
      <c r="X3463" s="250">
        <v>0.32299999999999995</v>
      </c>
      <c r="Y3463" s="250">
        <v>1.7000000000000001E-2</v>
      </c>
      <c r="Z3463" s="150"/>
      <c r="AA3463" s="150">
        <v>0.71</v>
      </c>
      <c r="AB3463" s="152"/>
      <c r="AC3463" s="152"/>
      <c r="AD3463" s="223"/>
      <c r="AE3463" s="223"/>
      <c r="AF3463" s="223"/>
      <c r="AG3463" s="223"/>
      <c r="AH3463" s="341"/>
      <c r="AI3463" s="218"/>
      <c r="AJ3463" s="218"/>
      <c r="AK3463" s="153"/>
      <c r="AL3463" s="152"/>
      <c r="AM3463" s="152"/>
      <c r="AN3463" s="152"/>
      <c r="AO3463" s="152"/>
      <c r="AP3463" s="152"/>
      <c r="AQ3463" s="152"/>
      <c r="AR3463" s="152"/>
      <c r="AS3463" s="152"/>
      <c r="AT3463" s="152"/>
      <c r="AU3463" s="153"/>
      <c r="AV3463" s="479"/>
      <c r="AW3463" s="479"/>
      <c r="AX3463" s="442"/>
      <c r="AY3463" s="153"/>
      <c r="AZ3463" s="152"/>
      <c r="BA3463" s="152"/>
      <c r="BB3463" s="152"/>
      <c r="BC3463" s="152"/>
      <c r="BD3463" s="152"/>
      <c r="BE3463" s="152"/>
      <c r="BF3463" s="152"/>
      <c r="BG3463" s="152"/>
      <c r="BH3463" s="152"/>
      <c r="BI3463" s="153"/>
      <c r="BJ3463" s="153"/>
      <c r="BK3463" s="153"/>
      <c r="BL3463" s="153"/>
      <c r="BM3463" s="153"/>
      <c r="BN3463" s="153"/>
      <c r="BO3463" s="153"/>
      <c r="BP3463" s="153"/>
      <c r="BQ3463" s="153"/>
      <c r="BR3463" s="153"/>
      <c r="BS3463" s="153"/>
      <c r="BT3463" s="153"/>
      <c r="BU3463" s="153"/>
      <c r="BV3463" s="153"/>
      <c r="BW3463" s="153"/>
      <c r="BX3463" s="153"/>
      <c r="BY3463" s="153"/>
      <c r="BZ3463" s="153"/>
      <c r="CA3463" s="152"/>
      <c r="CB3463" s="152"/>
    </row>
    <row r="3464" spans="1:80" s="87" customFormat="1" ht="15" x14ac:dyDescent="0.25">
      <c r="A3464" s="152"/>
      <c r="B3464" s="683"/>
      <c r="C3464" s="683"/>
      <c r="D3464" s="698"/>
      <c r="E3464" s="215"/>
      <c r="F3464" s="215"/>
      <c r="G3464" s="153"/>
      <c r="H3464" s="153"/>
      <c r="I3464" s="115">
        <v>20</v>
      </c>
      <c r="J3464" s="320">
        <v>60</v>
      </c>
      <c r="K3464" s="150">
        <v>1</v>
      </c>
      <c r="L3464" s="656">
        <v>20</v>
      </c>
      <c r="M3464" s="663">
        <v>36339</v>
      </c>
      <c r="N3464" s="600">
        <v>93.715000000000003</v>
      </c>
      <c r="O3464" s="604">
        <v>0.19522</v>
      </c>
      <c r="P3464" s="150"/>
      <c r="Q3464" s="250"/>
      <c r="R3464" s="250">
        <v>3.2000000000000001E-2</v>
      </c>
      <c r="S3464" s="250">
        <v>4.8000000000000001E-2</v>
      </c>
      <c r="T3464" s="250">
        <v>7.6999999999999999E-2</v>
      </c>
      <c r="U3464" s="250">
        <v>0.10400000000000001</v>
      </c>
      <c r="V3464" s="250">
        <v>0.23300000000000001</v>
      </c>
      <c r="W3464" s="250">
        <v>0.28499999999999998</v>
      </c>
      <c r="X3464" s="250">
        <v>0.20899999999999999</v>
      </c>
      <c r="Y3464" s="250">
        <v>1.2E-2</v>
      </c>
      <c r="Z3464" s="150"/>
      <c r="AA3464" s="150">
        <v>0.99</v>
      </c>
      <c r="AB3464" s="152"/>
      <c r="AC3464" s="152"/>
      <c r="AD3464" s="223"/>
      <c r="AE3464" s="223"/>
      <c r="AF3464" s="223"/>
      <c r="AG3464" s="223"/>
      <c r="AH3464" s="341"/>
      <c r="AI3464" s="218"/>
      <c r="AJ3464" s="218"/>
      <c r="AK3464" s="153"/>
      <c r="AL3464" s="152"/>
      <c r="AM3464" s="152"/>
      <c r="AN3464" s="152"/>
      <c r="AO3464" s="152"/>
      <c r="AP3464" s="152"/>
      <c r="AQ3464" s="152"/>
      <c r="AR3464" s="152"/>
      <c r="AS3464" s="152"/>
      <c r="AT3464" s="152"/>
      <c r="AU3464" s="153"/>
      <c r="AV3464" s="479"/>
      <c r="AW3464" s="479"/>
      <c r="AX3464" s="442"/>
      <c r="AY3464" s="153"/>
      <c r="AZ3464" s="152"/>
      <c r="BA3464" s="152"/>
      <c r="BB3464" s="152"/>
      <c r="BC3464" s="152"/>
      <c r="BD3464" s="152"/>
      <c r="BE3464" s="152"/>
      <c r="BF3464" s="152"/>
      <c r="BG3464" s="152"/>
      <c r="BH3464" s="152"/>
      <c r="BI3464" s="153"/>
      <c r="BJ3464" s="153"/>
      <c r="BK3464" s="153"/>
      <c r="BL3464" s="153"/>
      <c r="BM3464" s="153"/>
      <c r="BN3464" s="153"/>
      <c r="BO3464" s="153"/>
      <c r="BP3464" s="153"/>
      <c r="BQ3464" s="153"/>
      <c r="BR3464" s="153"/>
      <c r="BS3464" s="153"/>
      <c r="BT3464" s="153"/>
      <c r="BU3464" s="153"/>
      <c r="BV3464" s="153"/>
      <c r="BW3464" s="153"/>
      <c r="BX3464" s="153"/>
      <c r="BY3464" s="153"/>
      <c r="BZ3464" s="153"/>
      <c r="CA3464" s="152"/>
      <c r="CB3464" s="152"/>
    </row>
    <row r="3465" spans="1:80" s="87" customFormat="1" ht="15" x14ac:dyDescent="0.25">
      <c r="A3465" s="152"/>
      <c r="B3465" s="683"/>
      <c r="C3465" s="683"/>
      <c r="D3465" s="698"/>
      <c r="E3465" s="215"/>
      <c r="F3465" s="215"/>
      <c r="G3465" s="153"/>
      <c r="H3465" s="153"/>
      <c r="I3465" s="115">
        <v>20</v>
      </c>
      <c r="J3465" s="320">
        <v>60</v>
      </c>
      <c r="K3465" s="150">
        <v>1</v>
      </c>
      <c r="L3465" s="656">
        <v>20</v>
      </c>
      <c r="M3465" s="663">
        <v>36340</v>
      </c>
      <c r="N3465" s="600">
        <v>88.901899999999998</v>
      </c>
      <c r="O3465" s="604">
        <v>0.123849</v>
      </c>
      <c r="P3465" s="150"/>
      <c r="Q3465" s="250"/>
      <c r="R3465" s="250"/>
      <c r="S3465" s="250">
        <v>8.0000000000000002E-3</v>
      </c>
      <c r="T3465" s="250">
        <v>3.3000000000000002E-2</v>
      </c>
      <c r="U3465" s="250">
        <v>7.4999999999999997E-2</v>
      </c>
      <c r="V3465" s="250">
        <v>0.23199999999999998</v>
      </c>
      <c r="W3465" s="250">
        <v>0.41</v>
      </c>
      <c r="X3465" s="250">
        <v>0.22500000000000001</v>
      </c>
      <c r="Y3465" s="250">
        <v>1.7000000000000001E-2</v>
      </c>
      <c r="Z3465" s="150"/>
      <c r="AA3465" s="150">
        <v>0.77</v>
      </c>
      <c r="AB3465" s="152"/>
      <c r="AC3465" s="152"/>
      <c r="AD3465" s="223"/>
      <c r="AE3465" s="223"/>
      <c r="AF3465" s="223"/>
      <c r="AG3465" s="223"/>
      <c r="AH3465" s="341"/>
      <c r="AI3465" s="218"/>
      <c r="AJ3465" s="218"/>
      <c r="AK3465" s="153"/>
      <c r="AL3465" s="152"/>
      <c r="AM3465" s="152"/>
      <c r="AN3465" s="152"/>
      <c r="AO3465" s="152"/>
      <c r="AP3465" s="152"/>
      <c r="AQ3465" s="152"/>
      <c r="AR3465" s="152"/>
      <c r="AS3465" s="152"/>
      <c r="AT3465" s="152"/>
      <c r="AU3465" s="153"/>
      <c r="AV3465" s="479"/>
      <c r="AW3465" s="479"/>
      <c r="AX3465" s="442"/>
      <c r="AY3465" s="153"/>
      <c r="AZ3465" s="152"/>
      <c r="BA3465" s="152"/>
      <c r="BB3465" s="152"/>
      <c r="BC3465" s="152"/>
      <c r="BD3465" s="152"/>
      <c r="BE3465" s="152"/>
      <c r="BF3465" s="152"/>
      <c r="BG3465" s="152"/>
      <c r="BH3465" s="152"/>
      <c r="BI3465" s="153"/>
      <c r="BJ3465" s="153"/>
      <c r="BK3465" s="153"/>
      <c r="BL3465" s="153"/>
      <c r="BM3465" s="153"/>
      <c r="BN3465" s="153"/>
      <c r="BO3465" s="153"/>
      <c r="BP3465" s="153"/>
      <c r="BQ3465" s="153"/>
      <c r="BR3465" s="153"/>
      <c r="BS3465" s="153"/>
      <c r="BT3465" s="153"/>
      <c r="BU3465" s="153"/>
      <c r="BV3465" s="153"/>
      <c r="BW3465" s="153"/>
      <c r="BX3465" s="153"/>
      <c r="BY3465" s="153"/>
      <c r="BZ3465" s="153"/>
      <c r="CA3465" s="152"/>
      <c r="CB3465" s="152"/>
    </row>
    <row r="3466" spans="1:80" s="87" customFormat="1" ht="15" x14ac:dyDescent="0.25">
      <c r="A3466" s="152"/>
      <c r="B3466" s="683"/>
      <c r="C3466" s="683"/>
      <c r="D3466" s="698"/>
      <c r="E3466" s="215"/>
      <c r="F3466" s="215"/>
      <c r="G3466" s="153"/>
      <c r="H3466" s="153"/>
      <c r="I3466" s="115">
        <v>20</v>
      </c>
      <c r="J3466" s="320">
        <v>60</v>
      </c>
      <c r="K3466" s="150">
        <v>1</v>
      </c>
      <c r="L3466" s="656">
        <v>20</v>
      </c>
      <c r="M3466" s="663">
        <v>36340</v>
      </c>
      <c r="N3466" s="600">
        <v>88.901899999999998</v>
      </c>
      <c r="O3466" s="604">
        <v>0.15218799999999999</v>
      </c>
      <c r="P3466" s="150"/>
      <c r="Q3466" s="250"/>
      <c r="R3466" s="250">
        <v>6.7000000000000004E-2</v>
      </c>
      <c r="S3466" s="250">
        <v>1.2E-2</v>
      </c>
      <c r="T3466" s="250">
        <v>2.8999999999999998E-2</v>
      </c>
      <c r="U3466" s="250">
        <v>7.2999999999999995E-2</v>
      </c>
      <c r="V3466" s="250">
        <v>0.25900000000000001</v>
      </c>
      <c r="W3466" s="250">
        <v>0.375</v>
      </c>
      <c r="X3466" s="250">
        <v>0.17499999999999999</v>
      </c>
      <c r="Y3466" s="250">
        <v>0.01</v>
      </c>
      <c r="Z3466" s="150"/>
      <c r="AA3466" s="150">
        <v>0.9</v>
      </c>
      <c r="AB3466" s="152"/>
      <c r="AC3466" s="152"/>
      <c r="AD3466" s="223"/>
      <c r="AE3466" s="223"/>
      <c r="AF3466" s="223"/>
      <c r="AG3466" s="223"/>
      <c r="AH3466" s="341"/>
      <c r="AI3466" s="218"/>
      <c r="AJ3466" s="218"/>
      <c r="AK3466" s="153"/>
      <c r="AL3466" s="152"/>
      <c r="AM3466" s="152"/>
      <c r="AN3466" s="152"/>
      <c r="AO3466" s="152"/>
      <c r="AP3466" s="152"/>
      <c r="AQ3466" s="152"/>
      <c r="AR3466" s="152"/>
      <c r="AS3466" s="152"/>
      <c r="AT3466" s="152"/>
      <c r="AU3466" s="153"/>
      <c r="AV3466" s="479"/>
      <c r="AW3466" s="479"/>
      <c r="AX3466" s="442"/>
      <c r="AY3466" s="153"/>
      <c r="AZ3466" s="152"/>
      <c r="BA3466" s="152"/>
      <c r="BB3466" s="152"/>
      <c r="BC3466" s="152"/>
      <c r="BD3466" s="152"/>
      <c r="BE3466" s="152"/>
      <c r="BF3466" s="152"/>
      <c r="BG3466" s="152"/>
      <c r="BH3466" s="152"/>
      <c r="BI3466" s="153"/>
      <c r="BJ3466" s="153"/>
      <c r="BK3466" s="153"/>
      <c r="BL3466" s="153"/>
      <c r="BM3466" s="153"/>
      <c r="BN3466" s="153"/>
      <c r="BO3466" s="153"/>
      <c r="BP3466" s="153"/>
      <c r="BQ3466" s="153"/>
      <c r="BR3466" s="153"/>
      <c r="BS3466" s="153"/>
      <c r="BT3466" s="153"/>
      <c r="BU3466" s="153"/>
      <c r="BV3466" s="153"/>
      <c r="BW3466" s="153"/>
      <c r="BX3466" s="153"/>
      <c r="BY3466" s="153"/>
      <c r="BZ3466" s="153"/>
      <c r="CA3466" s="152"/>
      <c r="CB3466" s="152"/>
    </row>
    <row r="3467" spans="1:80" s="87" customFormat="1" ht="15" x14ac:dyDescent="0.25">
      <c r="A3467" s="152"/>
      <c r="B3467" s="683"/>
      <c r="C3467" s="683"/>
      <c r="D3467" s="698"/>
      <c r="E3467" s="215"/>
      <c r="F3467" s="215"/>
      <c r="G3467" s="153"/>
      <c r="H3467" s="153"/>
      <c r="I3467" s="115">
        <v>20</v>
      </c>
      <c r="J3467" s="320">
        <v>60</v>
      </c>
      <c r="K3467" s="150">
        <v>1</v>
      </c>
      <c r="L3467" s="656">
        <v>20</v>
      </c>
      <c r="M3467" s="663">
        <v>36348</v>
      </c>
      <c r="N3467" s="600">
        <v>62.854199999999999</v>
      </c>
      <c r="O3467" s="604">
        <v>0.109155</v>
      </c>
      <c r="P3467" s="150"/>
      <c r="Q3467" s="250"/>
      <c r="R3467" s="250"/>
      <c r="S3467" s="250">
        <v>2.4E-2</v>
      </c>
      <c r="T3467" s="250">
        <v>3.7000000000000005E-2</v>
      </c>
      <c r="U3467" s="250">
        <v>0.1</v>
      </c>
      <c r="V3467" s="250">
        <v>0.215</v>
      </c>
      <c r="W3467" s="250">
        <v>0.4</v>
      </c>
      <c r="X3467" s="250">
        <v>0.22</v>
      </c>
      <c r="Y3467" s="250">
        <v>4.0000000000000001E-3</v>
      </c>
      <c r="Z3467" s="150"/>
      <c r="AA3467" s="150">
        <v>0.81</v>
      </c>
      <c r="AB3467" s="152"/>
      <c r="AC3467" s="152"/>
      <c r="AD3467" s="223"/>
      <c r="AE3467" s="223"/>
      <c r="AF3467" s="223"/>
      <c r="AG3467" s="223"/>
      <c r="AH3467" s="341"/>
      <c r="AI3467" s="218"/>
      <c r="AJ3467" s="218"/>
      <c r="AK3467" s="153"/>
      <c r="AL3467" s="152"/>
      <c r="AM3467" s="152"/>
      <c r="AN3467" s="152"/>
      <c r="AO3467" s="152"/>
      <c r="AP3467" s="152"/>
      <c r="AQ3467" s="152"/>
      <c r="AR3467" s="152"/>
      <c r="AS3467" s="152"/>
      <c r="AT3467" s="152"/>
      <c r="AU3467" s="153"/>
      <c r="AV3467" s="479"/>
      <c r="AW3467" s="479"/>
      <c r="AX3467" s="442"/>
      <c r="AY3467" s="153"/>
      <c r="AZ3467" s="152"/>
      <c r="BA3467" s="152"/>
      <c r="BB3467" s="152"/>
      <c r="BC3467" s="152"/>
      <c r="BD3467" s="152"/>
      <c r="BE3467" s="152"/>
      <c r="BF3467" s="152"/>
      <c r="BG3467" s="152"/>
      <c r="BH3467" s="152"/>
      <c r="BI3467" s="153"/>
      <c r="BJ3467" s="153"/>
      <c r="BK3467" s="153"/>
      <c r="BL3467" s="153"/>
      <c r="BM3467" s="153"/>
      <c r="BN3467" s="153"/>
      <c r="BO3467" s="153"/>
      <c r="BP3467" s="153"/>
      <c r="BQ3467" s="153"/>
      <c r="BR3467" s="153"/>
      <c r="BS3467" s="153"/>
      <c r="BT3467" s="153"/>
      <c r="BU3467" s="153"/>
      <c r="BV3467" s="153"/>
      <c r="BW3467" s="153"/>
      <c r="BX3467" s="153"/>
      <c r="BY3467" s="153"/>
      <c r="BZ3467" s="153"/>
      <c r="CA3467" s="152"/>
      <c r="CB3467" s="152"/>
    </row>
    <row r="3468" spans="1:80" s="87" customFormat="1" ht="15" x14ac:dyDescent="0.25">
      <c r="A3468" s="152"/>
      <c r="B3468" s="683"/>
      <c r="C3468" s="683"/>
      <c r="D3468" s="698"/>
      <c r="E3468" s="215"/>
      <c r="F3468" s="215"/>
      <c r="G3468" s="153"/>
      <c r="H3468" s="153"/>
      <c r="I3468" s="115">
        <v>20</v>
      </c>
      <c r="J3468" s="320">
        <v>60</v>
      </c>
      <c r="K3468" s="150">
        <v>1</v>
      </c>
      <c r="L3468" s="656">
        <v>20</v>
      </c>
      <c r="M3468" s="663">
        <v>36348</v>
      </c>
      <c r="N3468" s="600">
        <v>62.854199999999999</v>
      </c>
      <c r="O3468" s="604">
        <v>5.1219000000000001E-2</v>
      </c>
      <c r="P3468" s="150"/>
      <c r="Q3468" s="250"/>
      <c r="R3468" s="250"/>
      <c r="S3468" s="250"/>
      <c r="T3468" s="250">
        <v>2E-3</v>
      </c>
      <c r="U3468" s="250">
        <v>1.7000000000000001E-2</v>
      </c>
      <c r="V3468" s="250">
        <v>0.127</v>
      </c>
      <c r="W3468" s="250">
        <v>0.42799999999999999</v>
      </c>
      <c r="X3468" s="250">
        <v>0.41600000000000004</v>
      </c>
      <c r="Y3468" s="250">
        <v>0.01</v>
      </c>
      <c r="Z3468" s="150"/>
      <c r="AA3468" s="150">
        <v>0.56000000000000005</v>
      </c>
      <c r="AB3468" s="152"/>
      <c r="AC3468" s="152"/>
      <c r="AD3468" s="223"/>
      <c r="AE3468" s="223"/>
      <c r="AF3468" s="223"/>
      <c r="AG3468" s="223"/>
      <c r="AH3468" s="341"/>
      <c r="AI3468" s="218"/>
      <c r="AJ3468" s="218"/>
      <c r="AK3468" s="153"/>
      <c r="AL3468" s="152"/>
      <c r="AM3468" s="152"/>
      <c r="AN3468" s="152"/>
      <c r="AO3468" s="152"/>
      <c r="AP3468" s="152"/>
      <c r="AQ3468" s="152"/>
      <c r="AR3468" s="152"/>
      <c r="AS3468" s="152"/>
      <c r="AT3468" s="152"/>
      <c r="AU3468" s="153"/>
      <c r="AV3468" s="479"/>
      <c r="AW3468" s="479"/>
      <c r="AX3468" s="442"/>
      <c r="AY3468" s="153"/>
      <c r="AZ3468" s="152"/>
      <c r="BA3468" s="152"/>
      <c r="BB3468" s="152"/>
      <c r="BC3468" s="152"/>
      <c r="BD3468" s="152"/>
      <c r="BE3468" s="152"/>
      <c r="BF3468" s="152"/>
      <c r="BG3468" s="152"/>
      <c r="BH3468" s="152"/>
      <c r="BI3468" s="153"/>
      <c r="BJ3468" s="153"/>
      <c r="BK3468" s="153"/>
      <c r="BL3468" s="153"/>
      <c r="BM3468" s="153"/>
      <c r="BN3468" s="153"/>
      <c r="BO3468" s="153"/>
      <c r="BP3468" s="153"/>
      <c r="BQ3468" s="153"/>
      <c r="BR3468" s="153"/>
      <c r="BS3468" s="153"/>
      <c r="BT3468" s="153"/>
      <c r="BU3468" s="153"/>
      <c r="BV3468" s="153"/>
      <c r="BW3468" s="153"/>
      <c r="BX3468" s="153"/>
      <c r="BY3468" s="153"/>
      <c r="BZ3468" s="153"/>
      <c r="CA3468" s="152"/>
      <c r="CB3468" s="152"/>
    </row>
    <row r="3469" spans="1:80" s="87" customFormat="1" ht="15" x14ac:dyDescent="0.25">
      <c r="A3469" s="152"/>
      <c r="B3469" s="683"/>
      <c r="C3469" s="683"/>
      <c r="D3469" s="698"/>
      <c r="E3469" s="215"/>
      <c r="F3469" s="215"/>
      <c r="G3469" s="153"/>
      <c r="H3469" s="153"/>
      <c r="I3469" s="115">
        <v>20</v>
      </c>
      <c r="J3469" s="320">
        <v>60</v>
      </c>
      <c r="K3469" s="150">
        <v>1</v>
      </c>
      <c r="L3469" s="656">
        <v>20</v>
      </c>
      <c r="M3469" s="663">
        <v>36349</v>
      </c>
      <c r="N3469" s="600">
        <v>63.986699999999999</v>
      </c>
      <c r="O3469" s="604">
        <v>6.1504999999999997E-2</v>
      </c>
      <c r="P3469" s="150"/>
      <c r="Q3469" s="250"/>
      <c r="R3469" s="250"/>
      <c r="S3469" s="250"/>
      <c r="T3469" s="250">
        <v>1E-3</v>
      </c>
      <c r="U3469" s="250">
        <v>1.4999999999999999E-2</v>
      </c>
      <c r="V3469" s="250">
        <v>0.129</v>
      </c>
      <c r="W3469" s="250">
        <v>0.51700000000000002</v>
      </c>
      <c r="X3469" s="250">
        <v>0.33299999999999996</v>
      </c>
      <c r="Y3469" s="250">
        <v>5.0000000000000001E-3</v>
      </c>
      <c r="Z3469" s="150"/>
      <c r="AA3469" s="150">
        <v>0.62</v>
      </c>
      <c r="AB3469" s="152"/>
      <c r="AC3469" s="152"/>
      <c r="AD3469" s="223"/>
      <c r="AE3469" s="223"/>
      <c r="AF3469" s="223"/>
      <c r="AG3469" s="223"/>
      <c r="AH3469" s="341"/>
      <c r="AI3469" s="218"/>
      <c r="AJ3469" s="218"/>
      <c r="AK3469" s="153"/>
      <c r="AL3469" s="152"/>
      <c r="AM3469" s="152"/>
      <c r="AN3469" s="152"/>
      <c r="AO3469" s="152"/>
      <c r="AP3469" s="152"/>
      <c r="AQ3469" s="152"/>
      <c r="AR3469" s="152"/>
      <c r="AS3469" s="152"/>
      <c r="AT3469" s="152"/>
      <c r="AU3469" s="153"/>
      <c r="AV3469" s="479"/>
      <c r="AW3469" s="479"/>
      <c r="AX3469" s="442"/>
      <c r="AY3469" s="153"/>
      <c r="AZ3469" s="152"/>
      <c r="BA3469" s="152"/>
      <c r="BB3469" s="152"/>
      <c r="BC3469" s="152"/>
      <c r="BD3469" s="152"/>
      <c r="BE3469" s="152"/>
      <c r="BF3469" s="152"/>
      <c r="BG3469" s="152"/>
      <c r="BH3469" s="152"/>
      <c r="BI3469" s="153"/>
      <c r="BJ3469" s="153"/>
      <c r="BK3469" s="153"/>
      <c r="BL3469" s="153"/>
      <c r="BM3469" s="153"/>
      <c r="BN3469" s="153"/>
      <c r="BO3469" s="153"/>
      <c r="BP3469" s="153"/>
      <c r="BQ3469" s="153"/>
      <c r="BR3469" s="153"/>
      <c r="BS3469" s="153"/>
      <c r="BT3469" s="153"/>
      <c r="BU3469" s="153"/>
      <c r="BV3469" s="153"/>
      <c r="BW3469" s="153"/>
      <c r="BX3469" s="153"/>
      <c r="BY3469" s="153"/>
      <c r="BZ3469" s="153"/>
      <c r="CA3469" s="152"/>
      <c r="CB3469" s="152"/>
    </row>
    <row r="3470" spans="1:80" s="87" customFormat="1" ht="15" x14ac:dyDescent="0.25">
      <c r="A3470" s="152"/>
      <c r="B3470" s="683"/>
      <c r="C3470" s="683"/>
      <c r="D3470" s="698"/>
      <c r="E3470" s="215"/>
      <c r="F3470" s="215"/>
      <c r="G3470" s="153"/>
      <c r="H3470" s="153"/>
      <c r="I3470" s="115">
        <v>20</v>
      </c>
      <c r="J3470" s="320">
        <v>60</v>
      </c>
      <c r="K3470" s="150">
        <v>1</v>
      </c>
      <c r="L3470" s="656">
        <v>20</v>
      </c>
      <c r="M3470" s="663">
        <v>36349</v>
      </c>
      <c r="N3470" s="600">
        <v>63.986699999999999</v>
      </c>
      <c r="O3470" s="604">
        <v>9.1522999999999993E-2</v>
      </c>
      <c r="P3470" s="150"/>
      <c r="Q3470" s="250"/>
      <c r="R3470" s="250"/>
      <c r="S3470" s="250">
        <v>3.0000000000000001E-3</v>
      </c>
      <c r="T3470" s="250">
        <v>1.3000000000000001E-2</v>
      </c>
      <c r="U3470" s="250">
        <v>4.7E-2</v>
      </c>
      <c r="V3470" s="250">
        <v>0.16399999999999998</v>
      </c>
      <c r="W3470" s="250">
        <v>0.40700000000000003</v>
      </c>
      <c r="X3470" s="250">
        <v>0.36</v>
      </c>
      <c r="Y3470" s="250">
        <v>6.0000000000000001E-3</v>
      </c>
      <c r="Z3470" s="150"/>
      <c r="AA3470" s="150">
        <v>0.63</v>
      </c>
      <c r="AB3470" s="152"/>
      <c r="AC3470" s="152"/>
      <c r="AD3470" s="223"/>
      <c r="AE3470" s="223"/>
      <c r="AF3470" s="223"/>
      <c r="AG3470" s="223"/>
      <c r="AH3470" s="341"/>
      <c r="AI3470" s="218"/>
      <c r="AJ3470" s="218"/>
      <c r="AK3470" s="153"/>
      <c r="AL3470" s="152"/>
      <c r="AM3470" s="152"/>
      <c r="AN3470" s="152"/>
      <c r="AO3470" s="152"/>
      <c r="AP3470" s="152"/>
      <c r="AQ3470" s="152"/>
      <c r="AR3470" s="152"/>
      <c r="AS3470" s="152"/>
      <c r="AT3470" s="152"/>
      <c r="AU3470" s="153"/>
      <c r="AV3470" s="479"/>
      <c r="AW3470" s="479"/>
      <c r="AX3470" s="442"/>
      <c r="AY3470" s="153"/>
      <c r="AZ3470" s="152"/>
      <c r="BA3470" s="152"/>
      <c r="BB3470" s="152"/>
      <c r="BC3470" s="152"/>
      <c r="BD3470" s="152"/>
      <c r="BE3470" s="152"/>
      <c r="BF3470" s="152"/>
      <c r="BG3470" s="152"/>
      <c r="BH3470" s="152"/>
      <c r="BI3470" s="153"/>
      <c r="BJ3470" s="153"/>
      <c r="BK3470" s="153"/>
      <c r="BL3470" s="153"/>
      <c r="BM3470" s="153"/>
      <c r="BN3470" s="153"/>
      <c r="BO3470" s="153"/>
      <c r="BP3470" s="153"/>
      <c r="BQ3470" s="153"/>
      <c r="BR3470" s="153"/>
      <c r="BS3470" s="153"/>
      <c r="BT3470" s="153"/>
      <c r="BU3470" s="153"/>
      <c r="BV3470" s="153"/>
      <c r="BW3470" s="153"/>
      <c r="BX3470" s="153"/>
      <c r="BY3470" s="153"/>
      <c r="BZ3470" s="153"/>
      <c r="CA3470" s="152"/>
      <c r="CB3470" s="152"/>
    </row>
    <row r="3471" spans="1:80" s="87" customFormat="1" ht="15" x14ac:dyDescent="0.25">
      <c r="A3471" s="152"/>
      <c r="B3471" s="683"/>
      <c r="C3471" s="683"/>
      <c r="D3471" s="698"/>
      <c r="E3471" s="215"/>
      <c r="F3471" s="215"/>
      <c r="G3471" s="153"/>
      <c r="H3471" s="153"/>
      <c r="I3471" s="115">
        <v>20</v>
      </c>
      <c r="J3471" s="320">
        <v>60</v>
      </c>
      <c r="K3471" s="150">
        <v>1</v>
      </c>
      <c r="L3471" s="656">
        <v>20</v>
      </c>
      <c r="M3471" s="663">
        <v>36647</v>
      </c>
      <c r="N3471" s="600">
        <v>51.246000000000002</v>
      </c>
      <c r="O3471" s="604">
        <v>4.1772999999999998E-2</v>
      </c>
      <c r="P3471" s="150"/>
      <c r="Q3471" s="250"/>
      <c r="R3471" s="250"/>
      <c r="S3471" s="250">
        <v>0.12300000000000001</v>
      </c>
      <c r="T3471" s="250">
        <v>7.400000000000001E-2</v>
      </c>
      <c r="U3471" s="250">
        <v>0.13100000000000001</v>
      </c>
      <c r="V3471" s="250">
        <v>0.26</v>
      </c>
      <c r="W3471" s="250">
        <v>0.27600000000000002</v>
      </c>
      <c r="X3471" s="250">
        <v>0.127</v>
      </c>
      <c r="Y3471" s="250">
        <v>9.0000000000000011E-3</v>
      </c>
      <c r="Z3471" s="150"/>
      <c r="AA3471" s="150">
        <v>1.26</v>
      </c>
      <c r="AB3471" s="152"/>
      <c r="AC3471" s="152"/>
      <c r="AD3471" s="223"/>
      <c r="AE3471" s="223"/>
      <c r="AF3471" s="223"/>
      <c r="AG3471" s="223"/>
      <c r="AH3471" s="341"/>
      <c r="AI3471" s="218"/>
      <c r="AJ3471" s="218"/>
      <c r="AK3471" s="153"/>
      <c r="AL3471" s="152"/>
      <c r="AM3471" s="152"/>
      <c r="AN3471" s="152"/>
      <c r="AO3471" s="152"/>
      <c r="AP3471" s="152"/>
      <c r="AQ3471" s="152"/>
      <c r="AR3471" s="152"/>
      <c r="AS3471" s="152"/>
      <c r="AT3471" s="152"/>
      <c r="AU3471" s="153"/>
      <c r="AV3471" s="479"/>
      <c r="AW3471" s="479"/>
      <c r="AX3471" s="442"/>
      <c r="AY3471" s="153"/>
      <c r="AZ3471" s="152"/>
      <c r="BA3471" s="152"/>
      <c r="BB3471" s="152"/>
      <c r="BC3471" s="152"/>
      <c r="BD3471" s="152"/>
      <c r="BE3471" s="152"/>
      <c r="BF3471" s="152"/>
      <c r="BG3471" s="152"/>
      <c r="BH3471" s="152"/>
      <c r="BI3471" s="153"/>
      <c r="BJ3471" s="153"/>
      <c r="BK3471" s="153"/>
      <c r="BL3471" s="153"/>
      <c r="BM3471" s="153"/>
      <c r="BN3471" s="153"/>
      <c r="BO3471" s="153"/>
      <c r="BP3471" s="153"/>
      <c r="BQ3471" s="153"/>
      <c r="BR3471" s="153"/>
      <c r="BS3471" s="153"/>
      <c r="BT3471" s="153"/>
      <c r="BU3471" s="153"/>
      <c r="BV3471" s="153"/>
      <c r="BW3471" s="153"/>
      <c r="BX3471" s="153"/>
      <c r="BY3471" s="153"/>
      <c r="BZ3471" s="153"/>
      <c r="CA3471" s="152"/>
      <c r="CB3471" s="152"/>
    </row>
    <row r="3472" spans="1:80" s="87" customFormat="1" ht="15" x14ac:dyDescent="0.25">
      <c r="A3472" s="152"/>
      <c r="B3472" s="683"/>
      <c r="C3472" s="683"/>
      <c r="D3472" s="698"/>
      <c r="E3472" s="215"/>
      <c r="F3472" s="215"/>
      <c r="G3472" s="153"/>
      <c r="H3472" s="153"/>
      <c r="I3472" s="115">
        <v>20</v>
      </c>
      <c r="J3472" s="320">
        <v>60</v>
      </c>
      <c r="K3472" s="150">
        <v>1</v>
      </c>
      <c r="L3472" s="656">
        <v>20</v>
      </c>
      <c r="M3472" s="663">
        <v>36647</v>
      </c>
      <c r="N3472" s="600">
        <v>51.5291</v>
      </c>
      <c r="O3472" s="604">
        <v>2.2671E-2</v>
      </c>
      <c r="P3472" s="150"/>
      <c r="Q3472" s="250"/>
      <c r="R3472" s="250"/>
      <c r="S3472" s="250"/>
      <c r="T3472" s="250"/>
      <c r="U3472" s="250">
        <v>2.6000000000000002E-2</v>
      </c>
      <c r="V3472" s="250">
        <v>0.16</v>
      </c>
      <c r="W3472" s="250">
        <v>0.439</v>
      </c>
      <c r="X3472" s="250">
        <v>0.33600000000000002</v>
      </c>
      <c r="Y3472" s="250">
        <v>3.9E-2</v>
      </c>
      <c r="Z3472" s="150"/>
      <c r="AA3472" s="150">
        <v>0.61</v>
      </c>
      <c r="AB3472" s="152"/>
      <c r="AC3472" s="152"/>
      <c r="AD3472" s="223"/>
      <c r="AE3472" s="223"/>
      <c r="AF3472" s="223"/>
      <c r="AG3472" s="223"/>
      <c r="AH3472" s="341"/>
      <c r="AI3472" s="218"/>
      <c r="AJ3472" s="218"/>
      <c r="AK3472" s="153"/>
      <c r="AL3472" s="152"/>
      <c r="AM3472" s="152"/>
      <c r="AN3472" s="152"/>
      <c r="AO3472" s="152"/>
      <c r="AP3472" s="152"/>
      <c r="AQ3472" s="152"/>
      <c r="AR3472" s="152"/>
      <c r="AS3472" s="152"/>
      <c r="AT3472" s="152"/>
      <c r="AU3472" s="153"/>
      <c r="AV3472" s="479"/>
      <c r="AW3472" s="479"/>
      <c r="AX3472" s="442"/>
      <c r="AY3472" s="153"/>
      <c r="AZ3472" s="152"/>
      <c r="BA3472" s="152"/>
      <c r="BB3472" s="152"/>
      <c r="BC3472" s="152"/>
      <c r="BD3472" s="152"/>
      <c r="BE3472" s="152"/>
      <c r="BF3472" s="152"/>
      <c r="BG3472" s="152"/>
      <c r="BH3472" s="152"/>
      <c r="BI3472" s="153"/>
      <c r="BJ3472" s="153"/>
      <c r="BK3472" s="153"/>
      <c r="BL3472" s="153"/>
      <c r="BM3472" s="153"/>
      <c r="BN3472" s="153"/>
      <c r="BO3472" s="153"/>
      <c r="BP3472" s="153"/>
      <c r="BQ3472" s="153"/>
      <c r="BR3472" s="153"/>
      <c r="BS3472" s="153"/>
      <c r="BT3472" s="153"/>
      <c r="BU3472" s="153"/>
      <c r="BV3472" s="153"/>
      <c r="BW3472" s="153"/>
      <c r="BX3472" s="153"/>
      <c r="BY3472" s="153"/>
      <c r="BZ3472" s="153"/>
      <c r="CA3472" s="152"/>
      <c r="CB3472" s="152"/>
    </row>
    <row r="3473" spans="1:80" s="87" customFormat="1" ht="15" x14ac:dyDescent="0.25">
      <c r="A3473" s="152"/>
      <c r="B3473" s="683"/>
      <c r="C3473" s="683"/>
      <c r="D3473" s="698"/>
      <c r="E3473" s="215"/>
      <c r="F3473" s="215"/>
      <c r="G3473" s="153"/>
      <c r="H3473" s="153"/>
      <c r="I3473" s="115">
        <v>20</v>
      </c>
      <c r="J3473" s="320">
        <v>60</v>
      </c>
      <c r="K3473" s="150">
        <v>1</v>
      </c>
      <c r="L3473" s="656">
        <v>20</v>
      </c>
      <c r="M3473" s="663">
        <v>36648</v>
      </c>
      <c r="N3473" s="600">
        <v>58.607300000000002</v>
      </c>
      <c r="O3473" s="604">
        <v>3.8834E-2</v>
      </c>
      <c r="P3473" s="150"/>
      <c r="Q3473" s="250"/>
      <c r="R3473" s="250"/>
      <c r="S3473" s="250"/>
      <c r="T3473" s="250">
        <v>1.2E-2</v>
      </c>
      <c r="U3473" s="250">
        <v>3.1E-2</v>
      </c>
      <c r="V3473" s="250">
        <v>0.18100000000000002</v>
      </c>
      <c r="W3473" s="250">
        <v>0.433</v>
      </c>
      <c r="X3473" s="250">
        <v>0.307</v>
      </c>
      <c r="Y3473" s="250">
        <v>3.6000000000000004E-2</v>
      </c>
      <c r="Z3473" s="150"/>
      <c r="AA3473" s="150">
        <v>0.64</v>
      </c>
      <c r="AB3473" s="152"/>
      <c r="AC3473" s="152"/>
      <c r="AD3473" s="223"/>
      <c r="AE3473" s="223"/>
      <c r="AF3473" s="223"/>
      <c r="AG3473" s="223"/>
      <c r="AH3473" s="341"/>
      <c r="AI3473" s="218"/>
      <c r="AJ3473" s="218"/>
      <c r="AK3473" s="153"/>
      <c r="AL3473" s="152"/>
      <c r="AM3473" s="152"/>
      <c r="AN3473" s="152"/>
      <c r="AO3473" s="152"/>
      <c r="AP3473" s="152"/>
      <c r="AQ3473" s="152"/>
      <c r="AR3473" s="152"/>
      <c r="AS3473" s="152"/>
      <c r="AT3473" s="152"/>
      <c r="AU3473" s="153"/>
      <c r="AV3473" s="479"/>
      <c r="AW3473" s="479"/>
      <c r="AX3473" s="442"/>
      <c r="AY3473" s="153"/>
      <c r="AZ3473" s="152"/>
      <c r="BA3473" s="152"/>
      <c r="BB3473" s="152"/>
      <c r="BC3473" s="152"/>
      <c r="BD3473" s="152"/>
      <c r="BE3473" s="152"/>
      <c r="BF3473" s="152"/>
      <c r="BG3473" s="152"/>
      <c r="BH3473" s="152"/>
      <c r="BI3473" s="153"/>
      <c r="BJ3473" s="153"/>
      <c r="BK3473" s="153"/>
      <c r="BL3473" s="153"/>
      <c r="BM3473" s="153"/>
      <c r="BN3473" s="153"/>
      <c r="BO3473" s="153"/>
      <c r="BP3473" s="153"/>
      <c r="BQ3473" s="153"/>
      <c r="BR3473" s="153"/>
      <c r="BS3473" s="153"/>
      <c r="BT3473" s="153"/>
      <c r="BU3473" s="153"/>
      <c r="BV3473" s="153"/>
      <c r="BW3473" s="153"/>
      <c r="BX3473" s="153"/>
      <c r="BY3473" s="153"/>
      <c r="BZ3473" s="153"/>
      <c r="CA3473" s="152"/>
      <c r="CB3473" s="152"/>
    </row>
    <row r="3474" spans="1:80" s="87" customFormat="1" ht="15" x14ac:dyDescent="0.25">
      <c r="A3474" s="152"/>
      <c r="B3474" s="683"/>
      <c r="C3474" s="683"/>
      <c r="D3474" s="698"/>
      <c r="E3474" s="215"/>
      <c r="F3474" s="215"/>
      <c r="G3474" s="153"/>
      <c r="H3474" s="153"/>
      <c r="I3474" s="115">
        <v>20</v>
      </c>
      <c r="J3474" s="320">
        <v>60</v>
      </c>
      <c r="K3474" s="150">
        <v>1</v>
      </c>
      <c r="L3474" s="656">
        <v>20</v>
      </c>
      <c r="M3474" s="663">
        <v>36648</v>
      </c>
      <c r="N3474" s="600">
        <v>58.607300000000002</v>
      </c>
      <c r="O3474" s="604">
        <v>3.0543000000000001E-2</v>
      </c>
      <c r="P3474" s="150"/>
      <c r="Q3474" s="250"/>
      <c r="R3474" s="250"/>
      <c r="S3474" s="250"/>
      <c r="T3474" s="250">
        <v>2.4E-2</v>
      </c>
      <c r="U3474" s="250">
        <v>4.4000000000000004E-2</v>
      </c>
      <c r="V3474" s="250">
        <v>0.24</v>
      </c>
      <c r="W3474" s="250">
        <v>0.41299999999999998</v>
      </c>
      <c r="X3474" s="250">
        <v>0.247</v>
      </c>
      <c r="Y3474" s="250">
        <v>3.2000000000000001E-2</v>
      </c>
      <c r="Z3474" s="150"/>
      <c r="AA3474" s="150">
        <v>0.72</v>
      </c>
      <c r="AB3474" s="152"/>
      <c r="AC3474" s="152"/>
      <c r="AD3474" s="223"/>
      <c r="AE3474" s="223"/>
      <c r="AF3474" s="223"/>
      <c r="AG3474" s="223"/>
      <c r="AH3474" s="341"/>
      <c r="AI3474" s="218"/>
      <c r="AJ3474" s="218"/>
      <c r="AK3474" s="153"/>
      <c r="AL3474" s="152"/>
      <c r="AM3474" s="152"/>
      <c r="AN3474" s="152"/>
      <c r="AO3474" s="152"/>
      <c r="AP3474" s="152"/>
      <c r="AQ3474" s="152"/>
      <c r="AR3474" s="152"/>
      <c r="AS3474" s="152"/>
      <c r="AT3474" s="152"/>
      <c r="AU3474" s="153"/>
      <c r="AV3474" s="479"/>
      <c r="AW3474" s="479"/>
      <c r="AX3474" s="442"/>
      <c r="AY3474" s="153"/>
      <c r="AZ3474" s="152"/>
      <c r="BA3474" s="152"/>
      <c r="BB3474" s="152"/>
      <c r="BC3474" s="152"/>
      <c r="BD3474" s="152"/>
      <c r="BE3474" s="152"/>
      <c r="BF3474" s="152"/>
      <c r="BG3474" s="152"/>
      <c r="BH3474" s="152"/>
      <c r="BI3474" s="153"/>
      <c r="BJ3474" s="153"/>
      <c r="BK3474" s="153"/>
      <c r="BL3474" s="153"/>
      <c r="BM3474" s="153"/>
      <c r="BN3474" s="153"/>
      <c r="BO3474" s="153"/>
      <c r="BP3474" s="153"/>
      <c r="BQ3474" s="153"/>
      <c r="BR3474" s="153"/>
      <c r="BS3474" s="153"/>
      <c r="BT3474" s="153"/>
      <c r="BU3474" s="153"/>
      <c r="BV3474" s="153"/>
      <c r="BW3474" s="153"/>
      <c r="BX3474" s="153"/>
      <c r="BY3474" s="153"/>
      <c r="BZ3474" s="153"/>
      <c r="CA3474" s="152"/>
      <c r="CB3474" s="152"/>
    </row>
    <row r="3475" spans="1:80" s="87" customFormat="1" ht="15" x14ac:dyDescent="0.25">
      <c r="A3475" s="152"/>
      <c r="B3475" s="683"/>
      <c r="C3475" s="683"/>
      <c r="D3475" s="698"/>
      <c r="E3475" s="215"/>
      <c r="F3475" s="215"/>
      <c r="G3475" s="153"/>
      <c r="H3475" s="153"/>
      <c r="I3475" s="115">
        <v>20</v>
      </c>
      <c r="J3475" s="320">
        <v>60</v>
      </c>
      <c r="K3475" s="150">
        <v>1</v>
      </c>
      <c r="L3475" s="656">
        <v>20</v>
      </c>
      <c r="M3475" s="663">
        <v>36654</v>
      </c>
      <c r="N3475" s="600">
        <v>55.776000000000003</v>
      </c>
      <c r="O3475" s="604">
        <v>5.4683000000000002E-2</v>
      </c>
      <c r="P3475" s="150"/>
      <c r="Q3475" s="250"/>
      <c r="R3475" s="250"/>
      <c r="S3475" s="250">
        <v>4.5999999999999999E-2</v>
      </c>
      <c r="T3475" s="250">
        <v>0.03</v>
      </c>
      <c r="U3475" s="250">
        <v>8.900000000000001E-2</v>
      </c>
      <c r="V3475" s="250">
        <v>0.17100000000000001</v>
      </c>
      <c r="W3475" s="250">
        <v>0.41799999999999998</v>
      </c>
      <c r="X3475" s="250">
        <v>0.24199999999999999</v>
      </c>
      <c r="Y3475" s="250">
        <v>4.0000000000000001E-3</v>
      </c>
      <c r="Z3475" s="150"/>
      <c r="AA3475" s="150">
        <v>0.76</v>
      </c>
      <c r="AB3475" s="152"/>
      <c r="AC3475" s="152"/>
      <c r="AD3475" s="223"/>
      <c r="AE3475" s="223"/>
      <c r="AF3475" s="223"/>
      <c r="AG3475" s="223"/>
      <c r="AH3475" s="341"/>
      <c r="AI3475" s="218"/>
      <c r="AJ3475" s="218"/>
      <c r="AK3475" s="153"/>
      <c r="AL3475" s="152"/>
      <c r="AM3475" s="152"/>
      <c r="AN3475" s="152"/>
      <c r="AO3475" s="152"/>
      <c r="AP3475" s="152"/>
      <c r="AQ3475" s="152"/>
      <c r="AR3475" s="152"/>
      <c r="AS3475" s="152"/>
      <c r="AT3475" s="152"/>
      <c r="AU3475" s="153"/>
      <c r="AV3475" s="479"/>
      <c r="AW3475" s="479"/>
      <c r="AX3475" s="442"/>
      <c r="AY3475" s="153"/>
      <c r="AZ3475" s="152"/>
      <c r="BA3475" s="152"/>
      <c r="BB3475" s="152"/>
      <c r="BC3475" s="152"/>
      <c r="BD3475" s="152"/>
      <c r="BE3475" s="152"/>
      <c r="BF3475" s="152"/>
      <c r="BG3475" s="152"/>
      <c r="BH3475" s="152"/>
      <c r="BI3475" s="153"/>
      <c r="BJ3475" s="153"/>
      <c r="BK3475" s="153"/>
      <c r="BL3475" s="153"/>
      <c r="BM3475" s="153"/>
      <c r="BN3475" s="153"/>
      <c r="BO3475" s="153"/>
      <c r="BP3475" s="153"/>
      <c r="BQ3475" s="153"/>
      <c r="BR3475" s="153"/>
      <c r="BS3475" s="153"/>
      <c r="BT3475" s="153"/>
      <c r="BU3475" s="153"/>
      <c r="BV3475" s="153"/>
      <c r="BW3475" s="153"/>
      <c r="BX3475" s="153"/>
      <c r="BY3475" s="153"/>
      <c r="BZ3475" s="153"/>
      <c r="CA3475" s="152"/>
      <c r="CB3475" s="152"/>
    </row>
    <row r="3476" spans="1:80" s="87" customFormat="1" ht="15" x14ac:dyDescent="0.25">
      <c r="A3476" s="152"/>
      <c r="B3476" s="683"/>
      <c r="C3476" s="683"/>
      <c r="D3476" s="698"/>
      <c r="E3476" s="215"/>
      <c r="F3476" s="215"/>
      <c r="G3476" s="153"/>
      <c r="H3476" s="153"/>
      <c r="I3476" s="115">
        <v>20</v>
      </c>
      <c r="J3476" s="320">
        <v>60</v>
      </c>
      <c r="K3476" s="150">
        <v>1</v>
      </c>
      <c r="L3476" s="656">
        <v>20</v>
      </c>
      <c r="M3476" s="663">
        <v>36654</v>
      </c>
      <c r="N3476" s="600">
        <v>55.492899999999999</v>
      </c>
      <c r="O3476" s="604">
        <v>0.128048</v>
      </c>
      <c r="P3476" s="150"/>
      <c r="Q3476" s="250"/>
      <c r="R3476" s="250">
        <v>0.121</v>
      </c>
      <c r="S3476" s="250">
        <v>5.0000000000000001E-3</v>
      </c>
      <c r="T3476" s="250">
        <v>1.7000000000000001E-2</v>
      </c>
      <c r="U3476" s="250">
        <v>6.8000000000000005E-2</v>
      </c>
      <c r="V3476" s="250">
        <v>0.22699999999999998</v>
      </c>
      <c r="W3476" s="250">
        <v>0.40299999999999997</v>
      </c>
      <c r="X3476" s="250">
        <v>0.154</v>
      </c>
      <c r="Y3476" s="250">
        <v>4.0000000000000001E-3</v>
      </c>
      <c r="Z3476" s="150"/>
      <c r="AA3476" s="150">
        <v>0.9</v>
      </c>
      <c r="AB3476" s="152"/>
      <c r="AC3476" s="152"/>
      <c r="AD3476" s="223"/>
      <c r="AE3476" s="223"/>
      <c r="AF3476" s="223"/>
      <c r="AG3476" s="223"/>
      <c r="AH3476" s="341"/>
      <c r="AI3476" s="218"/>
      <c r="AJ3476" s="218"/>
      <c r="AK3476" s="153"/>
      <c r="AL3476" s="152"/>
      <c r="AM3476" s="152"/>
      <c r="AN3476" s="152"/>
      <c r="AO3476" s="152"/>
      <c r="AP3476" s="152"/>
      <c r="AQ3476" s="152"/>
      <c r="AR3476" s="152"/>
      <c r="AS3476" s="152"/>
      <c r="AT3476" s="152"/>
      <c r="AU3476" s="153"/>
      <c r="AV3476" s="479"/>
      <c r="AW3476" s="479"/>
      <c r="AX3476" s="442"/>
      <c r="AY3476" s="153"/>
      <c r="AZ3476" s="152"/>
      <c r="BA3476" s="152"/>
      <c r="BB3476" s="152"/>
      <c r="BC3476" s="152"/>
      <c r="BD3476" s="152"/>
      <c r="BE3476" s="152"/>
      <c r="BF3476" s="152"/>
      <c r="BG3476" s="152"/>
      <c r="BH3476" s="152"/>
      <c r="BI3476" s="153"/>
      <c r="BJ3476" s="153"/>
      <c r="BK3476" s="153"/>
      <c r="BL3476" s="153"/>
      <c r="BM3476" s="153"/>
      <c r="BN3476" s="153"/>
      <c r="BO3476" s="153"/>
      <c r="BP3476" s="153"/>
      <c r="BQ3476" s="153"/>
      <c r="BR3476" s="153"/>
      <c r="BS3476" s="153"/>
      <c r="BT3476" s="153"/>
      <c r="BU3476" s="153"/>
      <c r="BV3476" s="153"/>
      <c r="BW3476" s="153"/>
      <c r="BX3476" s="153"/>
      <c r="BY3476" s="153"/>
      <c r="BZ3476" s="153"/>
      <c r="CA3476" s="152"/>
      <c r="CB3476" s="152"/>
    </row>
    <row r="3477" spans="1:80" s="87" customFormat="1" ht="15" x14ac:dyDescent="0.25">
      <c r="A3477" s="152"/>
      <c r="B3477" s="683"/>
      <c r="C3477" s="683"/>
      <c r="D3477" s="698"/>
      <c r="E3477" s="215"/>
      <c r="F3477" s="215"/>
      <c r="G3477" s="153"/>
      <c r="H3477" s="153"/>
      <c r="I3477" s="115">
        <v>20</v>
      </c>
      <c r="J3477" s="320">
        <v>60</v>
      </c>
      <c r="K3477" s="150">
        <v>1</v>
      </c>
      <c r="L3477" s="656">
        <v>20</v>
      </c>
      <c r="M3477" s="663">
        <v>36655</v>
      </c>
      <c r="N3477" s="600">
        <v>53.511000000000003</v>
      </c>
      <c r="O3477" s="604">
        <v>9.5616000000000007E-2</v>
      </c>
      <c r="P3477" s="150"/>
      <c r="Q3477" s="250"/>
      <c r="R3477" s="250">
        <v>8.6999999999999994E-2</v>
      </c>
      <c r="S3477" s="250">
        <v>2.7999999999999997E-2</v>
      </c>
      <c r="T3477" s="250">
        <v>6.8000000000000005E-2</v>
      </c>
      <c r="U3477" s="250">
        <v>0.17899999999999999</v>
      </c>
      <c r="V3477" s="250">
        <v>0.252</v>
      </c>
      <c r="W3477" s="250">
        <v>0.27899999999999997</v>
      </c>
      <c r="X3477" s="250">
        <v>0.105</v>
      </c>
      <c r="Y3477" s="250">
        <v>2E-3</v>
      </c>
      <c r="Z3477" s="150"/>
      <c r="AA3477" s="150">
        <v>1.37</v>
      </c>
      <c r="AB3477" s="152"/>
      <c r="AC3477" s="152"/>
      <c r="AD3477" s="223"/>
      <c r="AE3477" s="223"/>
      <c r="AF3477" s="223"/>
      <c r="AG3477" s="223"/>
      <c r="AH3477" s="341"/>
      <c r="AI3477" s="218"/>
      <c r="AJ3477" s="218"/>
      <c r="AK3477" s="153"/>
      <c r="AL3477" s="152"/>
      <c r="AM3477" s="152"/>
      <c r="AN3477" s="152"/>
      <c r="AO3477" s="152"/>
      <c r="AP3477" s="152"/>
      <c r="AQ3477" s="152"/>
      <c r="AR3477" s="152"/>
      <c r="AS3477" s="152"/>
      <c r="AT3477" s="152"/>
      <c r="AU3477" s="153"/>
      <c r="AV3477" s="479"/>
      <c r="AW3477" s="479"/>
      <c r="AX3477" s="442"/>
      <c r="AY3477" s="153"/>
      <c r="AZ3477" s="152"/>
      <c r="BA3477" s="152"/>
      <c r="BB3477" s="152"/>
      <c r="BC3477" s="152"/>
      <c r="BD3477" s="152"/>
      <c r="BE3477" s="152"/>
      <c r="BF3477" s="152"/>
      <c r="BG3477" s="152"/>
      <c r="BH3477" s="152"/>
      <c r="BI3477" s="153"/>
      <c r="BJ3477" s="153"/>
      <c r="BK3477" s="153"/>
      <c r="BL3477" s="153"/>
      <c r="BM3477" s="153"/>
      <c r="BN3477" s="153"/>
      <c r="BO3477" s="153"/>
      <c r="BP3477" s="153"/>
      <c r="BQ3477" s="153"/>
      <c r="BR3477" s="153"/>
      <c r="BS3477" s="153"/>
      <c r="BT3477" s="153"/>
      <c r="BU3477" s="153"/>
      <c r="BV3477" s="153"/>
      <c r="BW3477" s="153"/>
      <c r="BX3477" s="153"/>
      <c r="BY3477" s="153"/>
      <c r="BZ3477" s="153"/>
      <c r="CA3477" s="152"/>
      <c r="CB3477" s="152"/>
    </row>
    <row r="3478" spans="1:80" s="87" customFormat="1" ht="15" x14ac:dyDescent="0.25">
      <c r="A3478" s="152"/>
      <c r="B3478" s="683"/>
      <c r="C3478" s="683"/>
      <c r="D3478" s="698"/>
      <c r="E3478" s="215"/>
      <c r="F3478" s="215"/>
      <c r="G3478" s="153"/>
      <c r="H3478" s="153"/>
      <c r="I3478" s="115">
        <v>20</v>
      </c>
      <c r="J3478" s="320">
        <v>60</v>
      </c>
      <c r="K3478" s="150">
        <v>1</v>
      </c>
      <c r="L3478" s="656">
        <v>20</v>
      </c>
      <c r="M3478" s="663">
        <v>36655</v>
      </c>
      <c r="N3478" s="600">
        <v>53.511000000000003</v>
      </c>
      <c r="O3478" s="604">
        <v>6.0874999999999999E-2</v>
      </c>
      <c r="P3478" s="150"/>
      <c r="Q3478" s="250"/>
      <c r="R3478" s="250">
        <v>5.9000000000000004E-2</v>
      </c>
      <c r="S3478" s="250">
        <v>7.6999999999999999E-2</v>
      </c>
      <c r="T3478" s="250">
        <v>7.0999999999999994E-2</v>
      </c>
      <c r="U3478" s="250">
        <v>0.159</v>
      </c>
      <c r="V3478" s="250">
        <v>0.26200000000000001</v>
      </c>
      <c r="W3478" s="250">
        <v>0.27</v>
      </c>
      <c r="X3478" s="250">
        <v>9.6999999999999989E-2</v>
      </c>
      <c r="Y3478" s="250">
        <v>4.0000000000000001E-3</v>
      </c>
      <c r="Z3478" s="150"/>
      <c r="AA3478" s="150">
        <v>1.41</v>
      </c>
      <c r="AB3478" s="152"/>
      <c r="AC3478" s="152"/>
      <c r="AD3478" s="223"/>
      <c r="AE3478" s="223"/>
      <c r="AF3478" s="223"/>
      <c r="AG3478" s="223"/>
      <c r="AH3478" s="341"/>
      <c r="AI3478" s="218"/>
      <c r="AJ3478" s="218"/>
      <c r="AK3478" s="153"/>
      <c r="AL3478" s="152"/>
      <c r="AM3478" s="152"/>
      <c r="AN3478" s="152"/>
      <c r="AO3478" s="152"/>
      <c r="AP3478" s="152"/>
      <c r="AQ3478" s="152"/>
      <c r="AR3478" s="152"/>
      <c r="AS3478" s="152"/>
      <c r="AT3478" s="152"/>
      <c r="AU3478" s="153"/>
      <c r="AV3478" s="479"/>
      <c r="AW3478" s="479"/>
      <c r="AX3478" s="442"/>
      <c r="AY3478" s="153"/>
      <c r="AZ3478" s="152"/>
      <c r="BA3478" s="152"/>
      <c r="BB3478" s="152"/>
      <c r="BC3478" s="152"/>
      <c r="BD3478" s="152"/>
      <c r="BE3478" s="152"/>
      <c r="BF3478" s="152"/>
      <c r="BG3478" s="152"/>
      <c r="BH3478" s="152"/>
      <c r="BI3478" s="153"/>
      <c r="BJ3478" s="153"/>
      <c r="BK3478" s="153"/>
      <c r="BL3478" s="153"/>
      <c r="BM3478" s="153"/>
      <c r="BN3478" s="153"/>
      <c r="BO3478" s="153"/>
      <c r="BP3478" s="153"/>
      <c r="BQ3478" s="153"/>
      <c r="BR3478" s="153"/>
      <c r="BS3478" s="153"/>
      <c r="BT3478" s="153"/>
      <c r="BU3478" s="153"/>
      <c r="BV3478" s="153"/>
      <c r="BW3478" s="153"/>
      <c r="BX3478" s="153"/>
      <c r="BY3478" s="153"/>
      <c r="BZ3478" s="153"/>
      <c r="CA3478" s="152"/>
      <c r="CB3478" s="152"/>
    </row>
    <row r="3479" spans="1:80" s="87" customFormat="1" ht="15" x14ac:dyDescent="0.25">
      <c r="A3479" s="152"/>
      <c r="B3479" s="683"/>
      <c r="C3479" s="683"/>
      <c r="D3479" s="698"/>
      <c r="E3479" s="215"/>
      <c r="F3479" s="215"/>
      <c r="G3479" s="153"/>
      <c r="H3479" s="153"/>
      <c r="I3479" s="115">
        <v>20</v>
      </c>
      <c r="J3479" s="320">
        <v>60</v>
      </c>
      <c r="K3479" s="150">
        <v>1</v>
      </c>
      <c r="L3479" s="656">
        <v>20</v>
      </c>
      <c r="M3479" s="663">
        <v>36661</v>
      </c>
      <c r="N3479" s="600">
        <v>40.487200000000001</v>
      </c>
      <c r="O3479" s="604">
        <v>3.7469999999999999E-3</v>
      </c>
      <c r="P3479" s="150"/>
      <c r="Q3479" s="250"/>
      <c r="R3479" s="250"/>
      <c r="S3479" s="250"/>
      <c r="T3479" s="250">
        <v>2.7999999999999997E-2</v>
      </c>
      <c r="U3479" s="250">
        <v>5.4000000000000006E-2</v>
      </c>
      <c r="V3479" s="250">
        <v>0.16899999999999998</v>
      </c>
      <c r="W3479" s="250">
        <v>0.39200000000000002</v>
      </c>
      <c r="X3479" s="250">
        <v>0.34799999999999998</v>
      </c>
      <c r="Y3479" s="250">
        <v>9.0000000000000011E-3</v>
      </c>
      <c r="Z3479" s="150"/>
      <c r="AA3479" s="150">
        <v>0.64</v>
      </c>
      <c r="AB3479" s="152"/>
      <c r="AC3479" s="152"/>
      <c r="AD3479" s="223"/>
      <c r="AE3479" s="223"/>
      <c r="AF3479" s="223"/>
      <c r="AG3479" s="223"/>
      <c r="AH3479" s="341"/>
      <c r="AI3479" s="218"/>
      <c r="AJ3479" s="218"/>
      <c r="AK3479" s="153"/>
      <c r="AL3479" s="152"/>
      <c r="AM3479" s="152"/>
      <c r="AN3479" s="152"/>
      <c r="AO3479" s="152"/>
      <c r="AP3479" s="152"/>
      <c r="AQ3479" s="152"/>
      <c r="AR3479" s="152"/>
      <c r="AS3479" s="152"/>
      <c r="AT3479" s="152"/>
      <c r="AU3479" s="153"/>
      <c r="AV3479" s="479"/>
      <c r="AW3479" s="479"/>
      <c r="AX3479" s="442"/>
      <c r="AY3479" s="153"/>
      <c r="AZ3479" s="152"/>
      <c r="BA3479" s="152"/>
      <c r="BB3479" s="152"/>
      <c r="BC3479" s="152"/>
      <c r="BD3479" s="152"/>
      <c r="BE3479" s="152"/>
      <c r="BF3479" s="152"/>
      <c r="BG3479" s="152"/>
      <c r="BH3479" s="152"/>
      <c r="BI3479" s="153"/>
      <c r="BJ3479" s="153"/>
      <c r="BK3479" s="153"/>
      <c r="BL3479" s="153"/>
      <c r="BM3479" s="153"/>
      <c r="BN3479" s="153"/>
      <c r="BO3479" s="153"/>
      <c r="BP3479" s="153"/>
      <c r="BQ3479" s="153"/>
      <c r="BR3479" s="153"/>
      <c r="BS3479" s="153"/>
      <c r="BT3479" s="153"/>
      <c r="BU3479" s="153"/>
      <c r="BV3479" s="153"/>
      <c r="BW3479" s="153"/>
      <c r="BX3479" s="153"/>
      <c r="BY3479" s="153"/>
      <c r="BZ3479" s="153"/>
      <c r="CA3479" s="152"/>
      <c r="CB3479" s="152"/>
    </row>
    <row r="3480" spans="1:80" s="87" customFormat="1" ht="15" x14ac:dyDescent="0.25">
      <c r="A3480" s="152"/>
      <c r="B3480" s="683"/>
      <c r="C3480" s="683"/>
      <c r="D3480" s="698"/>
      <c r="E3480" s="215"/>
      <c r="F3480" s="215"/>
      <c r="G3480" s="153"/>
      <c r="H3480" s="153"/>
      <c r="I3480" s="115">
        <v>20</v>
      </c>
      <c r="J3480" s="320">
        <v>60</v>
      </c>
      <c r="K3480" s="150">
        <v>1</v>
      </c>
      <c r="L3480" s="656">
        <v>20</v>
      </c>
      <c r="M3480" s="663">
        <v>36661</v>
      </c>
      <c r="N3480" s="600">
        <v>40.204000000000001</v>
      </c>
      <c r="O3480" s="604">
        <v>2.1621000000000001E-2</v>
      </c>
      <c r="P3480" s="150"/>
      <c r="Q3480" s="250"/>
      <c r="R3480" s="250"/>
      <c r="S3480" s="250"/>
      <c r="T3480" s="250">
        <v>6.7000000000000004E-2</v>
      </c>
      <c r="U3480" s="250">
        <v>0.19500000000000001</v>
      </c>
      <c r="V3480" s="250">
        <v>0.309</v>
      </c>
      <c r="W3480" s="250">
        <v>0.34200000000000003</v>
      </c>
      <c r="X3480" s="250">
        <v>8.5000000000000006E-2</v>
      </c>
      <c r="Y3480" s="250">
        <v>2E-3</v>
      </c>
      <c r="Z3480" s="150"/>
      <c r="AA3480" s="150">
        <v>1.17</v>
      </c>
      <c r="AB3480" s="152"/>
      <c r="AC3480" s="152"/>
      <c r="AD3480" s="223"/>
      <c r="AE3480" s="223"/>
      <c r="AF3480" s="223"/>
      <c r="AG3480" s="223"/>
      <c r="AH3480" s="341"/>
      <c r="AI3480" s="218"/>
      <c r="AJ3480" s="218"/>
      <c r="AK3480" s="153"/>
      <c r="AL3480" s="152"/>
      <c r="AM3480" s="152"/>
      <c r="AN3480" s="152"/>
      <c r="AO3480" s="152"/>
      <c r="AP3480" s="152"/>
      <c r="AQ3480" s="152"/>
      <c r="AR3480" s="152"/>
      <c r="AS3480" s="152"/>
      <c r="AT3480" s="152"/>
      <c r="AU3480" s="153"/>
      <c r="AV3480" s="479"/>
      <c r="AW3480" s="479"/>
      <c r="AX3480" s="442"/>
      <c r="AY3480" s="153"/>
      <c r="AZ3480" s="152"/>
      <c r="BA3480" s="152"/>
      <c r="BB3480" s="152"/>
      <c r="BC3480" s="152"/>
      <c r="BD3480" s="152"/>
      <c r="BE3480" s="152"/>
      <c r="BF3480" s="152"/>
      <c r="BG3480" s="152"/>
      <c r="BH3480" s="152"/>
      <c r="BI3480" s="153"/>
      <c r="BJ3480" s="153"/>
      <c r="BK3480" s="153"/>
      <c r="BL3480" s="153"/>
      <c r="BM3480" s="153"/>
      <c r="BN3480" s="153"/>
      <c r="BO3480" s="153"/>
      <c r="BP3480" s="153"/>
      <c r="BQ3480" s="153"/>
      <c r="BR3480" s="153"/>
      <c r="BS3480" s="153"/>
      <c r="BT3480" s="153"/>
      <c r="BU3480" s="153"/>
      <c r="BV3480" s="153"/>
      <c r="BW3480" s="153"/>
      <c r="BX3480" s="153"/>
      <c r="BY3480" s="153"/>
      <c r="BZ3480" s="153"/>
      <c r="CA3480" s="152"/>
      <c r="CB3480" s="152"/>
    </row>
    <row r="3481" spans="1:80" s="87" customFormat="1" ht="15" x14ac:dyDescent="0.25">
      <c r="A3481" s="152"/>
      <c r="B3481" s="683"/>
      <c r="C3481" s="683"/>
      <c r="D3481" s="698"/>
      <c r="E3481" s="215"/>
      <c r="F3481" s="215"/>
      <c r="G3481" s="153"/>
      <c r="H3481" s="153"/>
      <c r="I3481" s="115">
        <v>20</v>
      </c>
      <c r="J3481" s="320">
        <v>60</v>
      </c>
      <c r="K3481" s="150">
        <v>1</v>
      </c>
      <c r="L3481" s="656">
        <v>20</v>
      </c>
      <c r="M3481" s="663">
        <v>36662</v>
      </c>
      <c r="N3481" s="600">
        <v>41.053400000000003</v>
      </c>
      <c r="O3481" s="604">
        <v>8.659E-3</v>
      </c>
      <c r="P3481" s="150"/>
      <c r="Q3481" s="250"/>
      <c r="R3481" s="250"/>
      <c r="S3481" s="250"/>
      <c r="T3481" s="250">
        <v>0.02</v>
      </c>
      <c r="U3481" s="250">
        <v>6.0999999999999999E-2</v>
      </c>
      <c r="V3481" s="250">
        <v>0.16600000000000001</v>
      </c>
      <c r="W3481" s="250">
        <v>0.36899999999999999</v>
      </c>
      <c r="X3481" s="250">
        <v>0.36399999999999999</v>
      </c>
      <c r="Y3481" s="250">
        <v>0.02</v>
      </c>
      <c r="Z3481" s="150"/>
      <c r="AA3481" s="150">
        <v>0.62</v>
      </c>
      <c r="AB3481" s="152"/>
      <c r="AC3481" s="152"/>
      <c r="AD3481" s="223"/>
      <c r="AE3481" s="223"/>
      <c r="AF3481" s="223"/>
      <c r="AG3481" s="223"/>
      <c r="AH3481" s="341"/>
      <c r="AI3481" s="218"/>
      <c r="AJ3481" s="218"/>
      <c r="AK3481" s="153"/>
      <c r="AL3481" s="152"/>
      <c r="AM3481" s="152"/>
      <c r="AN3481" s="152"/>
      <c r="AO3481" s="152"/>
      <c r="AP3481" s="152"/>
      <c r="AQ3481" s="152"/>
      <c r="AR3481" s="152"/>
      <c r="AS3481" s="152"/>
      <c r="AT3481" s="152"/>
      <c r="AU3481" s="153"/>
      <c r="AV3481" s="479"/>
      <c r="AW3481" s="479"/>
      <c r="AX3481" s="442"/>
      <c r="AY3481" s="153"/>
      <c r="AZ3481" s="152"/>
      <c r="BA3481" s="152"/>
      <c r="BB3481" s="152"/>
      <c r="BC3481" s="152"/>
      <c r="BD3481" s="152"/>
      <c r="BE3481" s="152"/>
      <c r="BF3481" s="152"/>
      <c r="BG3481" s="152"/>
      <c r="BH3481" s="152"/>
      <c r="BI3481" s="153"/>
      <c r="BJ3481" s="153"/>
      <c r="BK3481" s="153"/>
      <c r="BL3481" s="153"/>
      <c r="BM3481" s="153"/>
      <c r="BN3481" s="153"/>
      <c r="BO3481" s="153"/>
      <c r="BP3481" s="153"/>
      <c r="BQ3481" s="153"/>
      <c r="BR3481" s="153"/>
      <c r="BS3481" s="153"/>
      <c r="BT3481" s="153"/>
      <c r="BU3481" s="153"/>
      <c r="BV3481" s="153"/>
      <c r="BW3481" s="153"/>
      <c r="BX3481" s="153"/>
      <c r="BY3481" s="153"/>
      <c r="BZ3481" s="153"/>
      <c r="CA3481" s="152"/>
      <c r="CB3481" s="152"/>
    </row>
    <row r="3482" spans="1:80" s="87" customFormat="1" ht="15" x14ac:dyDescent="0.25">
      <c r="A3482" s="152"/>
      <c r="B3482" s="683"/>
      <c r="C3482" s="683"/>
      <c r="D3482" s="698"/>
      <c r="E3482" s="215"/>
      <c r="F3482" s="215"/>
      <c r="G3482" s="153"/>
      <c r="H3482" s="153"/>
      <c r="I3482" s="115">
        <v>20</v>
      </c>
      <c r="J3482" s="320">
        <v>60</v>
      </c>
      <c r="K3482" s="150">
        <v>1</v>
      </c>
      <c r="L3482" s="656">
        <v>20</v>
      </c>
      <c r="M3482" s="663">
        <v>36662</v>
      </c>
      <c r="N3482" s="600">
        <v>41.053400000000003</v>
      </c>
      <c r="O3482" s="604">
        <v>2.9703E-2</v>
      </c>
      <c r="P3482" s="150"/>
      <c r="Q3482" s="250"/>
      <c r="R3482" s="250"/>
      <c r="S3482" s="250">
        <v>1.3999999999999999E-2</v>
      </c>
      <c r="T3482" s="250">
        <v>3.4000000000000002E-2</v>
      </c>
      <c r="U3482" s="250">
        <v>7.8E-2</v>
      </c>
      <c r="V3482" s="250">
        <v>0.32500000000000001</v>
      </c>
      <c r="W3482" s="250">
        <v>0.4</v>
      </c>
      <c r="X3482" s="250">
        <v>0.13800000000000001</v>
      </c>
      <c r="Y3482" s="250">
        <v>1.1000000000000001E-2</v>
      </c>
      <c r="Z3482" s="150"/>
      <c r="AA3482" s="150">
        <v>0.92</v>
      </c>
      <c r="AB3482" s="152"/>
      <c r="AC3482" s="152"/>
      <c r="AD3482" s="223"/>
      <c r="AE3482" s="223"/>
      <c r="AF3482" s="223"/>
      <c r="AG3482" s="223"/>
      <c r="AH3482" s="341"/>
      <c r="AI3482" s="218"/>
      <c r="AJ3482" s="218"/>
      <c r="AK3482" s="153"/>
      <c r="AL3482" s="152"/>
      <c r="AM3482" s="152"/>
      <c r="AN3482" s="152"/>
      <c r="AO3482" s="152"/>
      <c r="AP3482" s="152"/>
      <c r="AQ3482" s="152"/>
      <c r="AR3482" s="152"/>
      <c r="AS3482" s="152"/>
      <c r="AT3482" s="152"/>
      <c r="AU3482" s="153"/>
      <c r="AV3482" s="479"/>
      <c r="AW3482" s="479"/>
      <c r="AX3482" s="442"/>
      <c r="AY3482" s="153"/>
      <c r="AZ3482" s="152"/>
      <c r="BA3482" s="152"/>
      <c r="BB3482" s="152"/>
      <c r="BC3482" s="152"/>
      <c r="BD3482" s="152"/>
      <c r="BE3482" s="152"/>
      <c r="BF3482" s="152"/>
      <c r="BG3482" s="152"/>
      <c r="BH3482" s="152"/>
      <c r="BI3482" s="153"/>
      <c r="BJ3482" s="153"/>
      <c r="BK3482" s="153"/>
      <c r="BL3482" s="153"/>
      <c r="BM3482" s="153"/>
      <c r="BN3482" s="153"/>
      <c r="BO3482" s="153"/>
      <c r="BP3482" s="153"/>
      <c r="BQ3482" s="153"/>
      <c r="BR3482" s="153"/>
      <c r="BS3482" s="153"/>
      <c r="BT3482" s="153"/>
      <c r="BU3482" s="153"/>
      <c r="BV3482" s="153"/>
      <c r="BW3482" s="153"/>
      <c r="BX3482" s="153"/>
      <c r="BY3482" s="153"/>
      <c r="BZ3482" s="153"/>
      <c r="CA3482" s="152"/>
      <c r="CB3482" s="152"/>
    </row>
    <row r="3483" spans="1:80" s="87" customFormat="1" ht="15" x14ac:dyDescent="0.25">
      <c r="A3483" s="152"/>
      <c r="B3483" s="683"/>
      <c r="C3483" s="683"/>
      <c r="D3483" s="698"/>
      <c r="E3483" s="215"/>
      <c r="F3483" s="215"/>
      <c r="G3483" s="153"/>
      <c r="H3483" s="153"/>
      <c r="I3483" s="115">
        <v>20</v>
      </c>
      <c r="J3483" s="320">
        <v>60</v>
      </c>
      <c r="K3483" s="150">
        <v>1</v>
      </c>
      <c r="L3483" s="656">
        <v>20</v>
      </c>
      <c r="M3483" s="663">
        <v>36668</v>
      </c>
      <c r="N3483" s="600">
        <v>81.823700000000002</v>
      </c>
      <c r="O3483" s="604">
        <v>0.13434499999999999</v>
      </c>
      <c r="P3483" s="150"/>
      <c r="Q3483" s="250">
        <v>0.23899999999999999</v>
      </c>
      <c r="R3483" s="250">
        <v>0.04</v>
      </c>
      <c r="S3483" s="250">
        <v>0.106</v>
      </c>
      <c r="T3483" s="250">
        <v>7.400000000000001E-2</v>
      </c>
      <c r="U3483" s="250">
        <v>8.1000000000000003E-2</v>
      </c>
      <c r="V3483" s="250">
        <v>0.17499999999999999</v>
      </c>
      <c r="W3483" s="250">
        <v>0.182</v>
      </c>
      <c r="X3483" s="250">
        <v>9.0999999999999998E-2</v>
      </c>
      <c r="Y3483" s="250">
        <v>1.2E-2</v>
      </c>
      <c r="Z3483" s="150"/>
      <c r="AA3483" s="150">
        <v>2.82</v>
      </c>
      <c r="AB3483" s="152"/>
      <c r="AC3483" s="152"/>
      <c r="AD3483" s="223"/>
      <c r="AE3483" s="223"/>
      <c r="AF3483" s="223"/>
      <c r="AG3483" s="223"/>
      <c r="AH3483" s="341"/>
      <c r="AI3483" s="218"/>
      <c r="AJ3483" s="218"/>
      <c r="AK3483" s="153"/>
      <c r="AL3483" s="152"/>
      <c r="AM3483" s="152"/>
      <c r="AN3483" s="152"/>
      <c r="AO3483" s="152"/>
      <c r="AP3483" s="152"/>
      <c r="AQ3483" s="152"/>
      <c r="AR3483" s="152"/>
      <c r="AS3483" s="152"/>
      <c r="AT3483" s="152"/>
      <c r="AU3483" s="153"/>
      <c r="AV3483" s="479"/>
      <c r="AW3483" s="479"/>
      <c r="AX3483" s="442"/>
      <c r="AY3483" s="153"/>
      <c r="AZ3483" s="152"/>
      <c r="BA3483" s="152"/>
      <c r="BB3483" s="152"/>
      <c r="BC3483" s="152"/>
      <c r="BD3483" s="152"/>
      <c r="BE3483" s="152"/>
      <c r="BF3483" s="152"/>
      <c r="BG3483" s="152"/>
      <c r="BH3483" s="152"/>
      <c r="BI3483" s="153"/>
      <c r="BJ3483" s="153"/>
      <c r="BK3483" s="153"/>
      <c r="BL3483" s="153"/>
      <c r="BM3483" s="153"/>
      <c r="BN3483" s="153"/>
      <c r="BO3483" s="153"/>
      <c r="BP3483" s="153"/>
      <c r="BQ3483" s="153"/>
      <c r="BR3483" s="153"/>
      <c r="BS3483" s="153"/>
      <c r="BT3483" s="153"/>
      <c r="BU3483" s="153"/>
      <c r="BV3483" s="153"/>
      <c r="BW3483" s="153"/>
      <c r="BX3483" s="153"/>
      <c r="BY3483" s="153"/>
      <c r="BZ3483" s="153"/>
      <c r="CA3483" s="152"/>
      <c r="CB3483" s="152"/>
    </row>
    <row r="3484" spans="1:80" s="87" customFormat="1" ht="15" x14ac:dyDescent="0.25">
      <c r="A3484" s="152"/>
      <c r="B3484" s="683"/>
      <c r="C3484" s="683"/>
      <c r="D3484" s="698"/>
      <c r="E3484" s="215"/>
      <c r="F3484" s="215"/>
      <c r="G3484" s="153"/>
      <c r="H3484" s="153"/>
      <c r="I3484" s="115">
        <v>20</v>
      </c>
      <c r="J3484" s="320">
        <v>60</v>
      </c>
      <c r="K3484" s="150">
        <v>1</v>
      </c>
      <c r="L3484" s="656">
        <v>20</v>
      </c>
      <c r="M3484" s="663">
        <v>36668</v>
      </c>
      <c r="N3484" s="600">
        <v>82.106800000000007</v>
      </c>
      <c r="O3484" s="604">
        <v>8.6800000000000002E-2</v>
      </c>
      <c r="P3484" s="150"/>
      <c r="Q3484" s="250"/>
      <c r="R3484" s="250">
        <v>8.199999999999999E-2</v>
      </c>
      <c r="S3484" s="250">
        <v>0.06</v>
      </c>
      <c r="T3484" s="250">
        <v>4.4999999999999998E-2</v>
      </c>
      <c r="U3484" s="250">
        <v>7.8E-2</v>
      </c>
      <c r="V3484" s="250">
        <v>0.18</v>
      </c>
      <c r="W3484" s="250">
        <v>0.33100000000000002</v>
      </c>
      <c r="X3484" s="250">
        <v>0.19800000000000001</v>
      </c>
      <c r="Y3484" s="250">
        <v>2.6000000000000002E-2</v>
      </c>
      <c r="Z3484" s="150"/>
      <c r="AA3484" s="150">
        <v>0.89</v>
      </c>
      <c r="AB3484" s="152"/>
      <c r="AC3484" s="152"/>
      <c r="AD3484" s="223"/>
      <c r="AE3484" s="223"/>
      <c r="AF3484" s="223"/>
      <c r="AG3484" s="223"/>
      <c r="AH3484" s="341"/>
      <c r="AI3484" s="218"/>
      <c r="AJ3484" s="218"/>
      <c r="AK3484" s="153"/>
      <c r="AL3484" s="152"/>
      <c r="AM3484" s="152"/>
      <c r="AN3484" s="152"/>
      <c r="AO3484" s="152"/>
      <c r="AP3484" s="152"/>
      <c r="AQ3484" s="152"/>
      <c r="AR3484" s="152"/>
      <c r="AS3484" s="152"/>
      <c r="AT3484" s="152"/>
      <c r="AU3484" s="153"/>
      <c r="AV3484" s="479"/>
      <c r="AW3484" s="479"/>
      <c r="AX3484" s="442"/>
      <c r="AY3484" s="153"/>
      <c r="AZ3484" s="152"/>
      <c r="BA3484" s="152"/>
      <c r="BB3484" s="152"/>
      <c r="BC3484" s="152"/>
      <c r="BD3484" s="152"/>
      <c r="BE3484" s="152"/>
      <c r="BF3484" s="152"/>
      <c r="BG3484" s="152"/>
      <c r="BH3484" s="152"/>
      <c r="BI3484" s="153"/>
      <c r="BJ3484" s="153"/>
      <c r="BK3484" s="153"/>
      <c r="BL3484" s="153"/>
      <c r="BM3484" s="153"/>
      <c r="BN3484" s="153"/>
      <c r="BO3484" s="153"/>
      <c r="BP3484" s="153"/>
      <c r="BQ3484" s="153"/>
      <c r="BR3484" s="153"/>
      <c r="BS3484" s="153"/>
      <c r="BT3484" s="153"/>
      <c r="BU3484" s="153"/>
      <c r="BV3484" s="153"/>
      <c r="BW3484" s="153"/>
      <c r="BX3484" s="153"/>
      <c r="BY3484" s="153"/>
      <c r="BZ3484" s="153"/>
      <c r="CA3484" s="152"/>
      <c r="CB3484" s="152"/>
    </row>
    <row r="3485" spans="1:80" s="87" customFormat="1" ht="15" x14ac:dyDescent="0.25">
      <c r="A3485" s="152"/>
      <c r="B3485" s="683"/>
      <c r="C3485" s="683"/>
      <c r="D3485" s="698"/>
      <c r="E3485" s="215"/>
      <c r="F3485" s="215"/>
      <c r="G3485" s="153"/>
      <c r="H3485" s="153"/>
      <c r="I3485" s="115">
        <v>20</v>
      </c>
      <c r="J3485" s="320">
        <v>60</v>
      </c>
      <c r="K3485" s="150">
        <v>1</v>
      </c>
      <c r="L3485" s="656">
        <v>20</v>
      </c>
      <c r="M3485" s="663">
        <v>36669</v>
      </c>
      <c r="N3485" s="600">
        <v>93.148799999999994</v>
      </c>
      <c r="O3485" s="604">
        <v>0.55522300000000002</v>
      </c>
      <c r="P3485" s="150"/>
      <c r="Q3485" s="250">
        <v>0.28600000000000003</v>
      </c>
      <c r="R3485" s="250">
        <v>0.28399999999999997</v>
      </c>
      <c r="S3485" s="250">
        <v>8.900000000000001E-2</v>
      </c>
      <c r="T3485" s="250">
        <v>5.9000000000000004E-2</v>
      </c>
      <c r="U3485" s="250">
        <v>6.6000000000000003E-2</v>
      </c>
      <c r="V3485" s="250">
        <v>9.6999999999999989E-2</v>
      </c>
      <c r="W3485" s="250">
        <v>0.08</v>
      </c>
      <c r="X3485" s="250">
        <v>3.3000000000000002E-2</v>
      </c>
      <c r="Y3485" s="250">
        <v>6.0000000000000001E-3</v>
      </c>
      <c r="Z3485" s="150"/>
      <c r="AA3485" s="150">
        <v>18.98</v>
      </c>
      <c r="AB3485" s="152"/>
      <c r="AC3485" s="152"/>
      <c r="AD3485" s="223"/>
      <c r="AE3485" s="223"/>
      <c r="AF3485" s="223"/>
      <c r="AG3485" s="223"/>
      <c r="AH3485" s="341"/>
      <c r="AI3485" s="218"/>
      <c r="AJ3485" s="218"/>
      <c r="AK3485" s="153"/>
      <c r="AL3485" s="152"/>
      <c r="AM3485" s="152"/>
      <c r="AN3485" s="152"/>
      <c r="AO3485" s="152"/>
      <c r="AP3485" s="152"/>
      <c r="AQ3485" s="152"/>
      <c r="AR3485" s="152"/>
      <c r="AS3485" s="152"/>
      <c r="AT3485" s="152"/>
      <c r="AU3485" s="153"/>
      <c r="AV3485" s="479"/>
      <c r="AW3485" s="479"/>
      <c r="AX3485" s="442"/>
      <c r="AY3485" s="153"/>
      <c r="AZ3485" s="152"/>
      <c r="BA3485" s="152"/>
      <c r="BB3485" s="152"/>
      <c r="BC3485" s="152"/>
      <c r="BD3485" s="152"/>
      <c r="BE3485" s="152"/>
      <c r="BF3485" s="152"/>
      <c r="BG3485" s="152"/>
      <c r="BH3485" s="152"/>
      <c r="BI3485" s="153"/>
      <c r="BJ3485" s="153"/>
      <c r="BK3485" s="153"/>
      <c r="BL3485" s="153"/>
      <c r="BM3485" s="153"/>
      <c r="BN3485" s="153"/>
      <c r="BO3485" s="153"/>
      <c r="BP3485" s="153"/>
      <c r="BQ3485" s="153"/>
      <c r="BR3485" s="153"/>
      <c r="BS3485" s="153"/>
      <c r="BT3485" s="153"/>
      <c r="BU3485" s="153"/>
      <c r="BV3485" s="153"/>
      <c r="BW3485" s="153"/>
      <c r="BX3485" s="153"/>
      <c r="BY3485" s="153"/>
      <c r="BZ3485" s="153"/>
      <c r="CA3485" s="152"/>
      <c r="CB3485" s="152"/>
    </row>
    <row r="3486" spans="1:80" s="87" customFormat="1" ht="15" x14ac:dyDescent="0.25">
      <c r="A3486" s="152"/>
      <c r="B3486" s="683"/>
      <c r="C3486" s="683"/>
      <c r="D3486" s="698"/>
      <c r="E3486" s="215"/>
      <c r="F3486" s="215"/>
      <c r="G3486" s="153"/>
      <c r="H3486" s="153"/>
      <c r="I3486" s="115">
        <v>20</v>
      </c>
      <c r="J3486" s="320">
        <v>60</v>
      </c>
      <c r="K3486" s="150">
        <v>1</v>
      </c>
      <c r="L3486" s="656">
        <v>20</v>
      </c>
      <c r="M3486" s="663">
        <v>36669</v>
      </c>
      <c r="N3486" s="600">
        <v>93.148799999999994</v>
      </c>
      <c r="O3486" s="604">
        <v>0.144841</v>
      </c>
      <c r="P3486" s="150"/>
      <c r="Q3486" s="250"/>
      <c r="R3486" s="250">
        <v>0.24399999999999999</v>
      </c>
      <c r="S3486" s="250">
        <v>3.6000000000000004E-2</v>
      </c>
      <c r="T3486" s="250">
        <v>3.2000000000000001E-2</v>
      </c>
      <c r="U3486" s="250">
        <v>6.8000000000000005E-2</v>
      </c>
      <c r="V3486" s="250">
        <v>0.193</v>
      </c>
      <c r="W3486" s="250">
        <v>0.28300000000000003</v>
      </c>
      <c r="X3486" s="250">
        <v>0.13100000000000001</v>
      </c>
      <c r="Y3486" s="250">
        <v>1.3000000000000001E-2</v>
      </c>
      <c r="Z3486" s="150"/>
      <c r="AA3486" s="150">
        <v>1.3</v>
      </c>
      <c r="AB3486" s="152"/>
      <c r="AC3486" s="152"/>
      <c r="AD3486" s="223"/>
      <c r="AE3486" s="223"/>
      <c r="AF3486" s="223"/>
      <c r="AG3486" s="223"/>
      <c r="AH3486" s="341"/>
      <c r="AI3486" s="218"/>
      <c r="AJ3486" s="218"/>
      <c r="AK3486" s="153"/>
      <c r="AL3486" s="152"/>
      <c r="AM3486" s="152"/>
      <c r="AN3486" s="152"/>
      <c r="AO3486" s="152"/>
      <c r="AP3486" s="152"/>
      <c r="AQ3486" s="152"/>
      <c r="AR3486" s="152"/>
      <c r="AS3486" s="152"/>
      <c r="AT3486" s="152"/>
      <c r="AU3486" s="153"/>
      <c r="AV3486" s="479"/>
      <c r="AW3486" s="479"/>
      <c r="AX3486" s="442"/>
      <c r="AY3486" s="153"/>
      <c r="AZ3486" s="152"/>
      <c r="BA3486" s="152"/>
      <c r="BB3486" s="152"/>
      <c r="BC3486" s="152"/>
      <c r="BD3486" s="152"/>
      <c r="BE3486" s="152"/>
      <c r="BF3486" s="152"/>
      <c r="BG3486" s="152"/>
      <c r="BH3486" s="152"/>
      <c r="BI3486" s="153"/>
      <c r="BJ3486" s="153"/>
      <c r="BK3486" s="153"/>
      <c r="BL3486" s="153"/>
      <c r="BM3486" s="153"/>
      <c r="BN3486" s="153"/>
      <c r="BO3486" s="153"/>
      <c r="BP3486" s="153"/>
      <c r="BQ3486" s="153"/>
      <c r="BR3486" s="153"/>
      <c r="BS3486" s="153"/>
      <c r="BT3486" s="153"/>
      <c r="BU3486" s="153"/>
      <c r="BV3486" s="153"/>
      <c r="BW3486" s="153"/>
      <c r="BX3486" s="153"/>
      <c r="BY3486" s="153"/>
      <c r="BZ3486" s="153"/>
      <c r="CA3486" s="152"/>
      <c r="CB3486" s="152"/>
    </row>
    <row r="3487" spans="1:80" s="87" customFormat="1" ht="15" x14ac:dyDescent="0.25">
      <c r="A3487" s="152"/>
      <c r="B3487" s="683"/>
      <c r="C3487" s="683"/>
      <c r="D3487" s="698"/>
      <c r="E3487" s="215"/>
      <c r="F3487" s="215"/>
      <c r="G3487" s="153"/>
      <c r="H3487" s="153"/>
      <c r="I3487" s="115">
        <v>20</v>
      </c>
      <c r="J3487" s="320">
        <v>60</v>
      </c>
      <c r="K3487" s="150">
        <v>1</v>
      </c>
      <c r="L3487" s="656">
        <v>20</v>
      </c>
      <c r="M3487" s="663">
        <v>36676</v>
      </c>
      <c r="N3487" s="600">
        <v>93.148799999999994</v>
      </c>
      <c r="O3487" s="604">
        <v>5.6992000000000001E-2</v>
      </c>
      <c r="P3487" s="150"/>
      <c r="Q3487" s="250"/>
      <c r="R3487" s="250"/>
      <c r="S3487" s="250"/>
      <c r="T3487" s="250">
        <v>6.9999999999999993E-3</v>
      </c>
      <c r="U3487" s="250">
        <v>2.6000000000000002E-2</v>
      </c>
      <c r="V3487" s="250">
        <v>0.127</v>
      </c>
      <c r="W3487" s="250">
        <v>0.32899999999999996</v>
      </c>
      <c r="X3487" s="250">
        <v>0.47200000000000003</v>
      </c>
      <c r="Y3487" s="250">
        <v>3.9E-2</v>
      </c>
      <c r="Z3487" s="150"/>
      <c r="AA3487" s="150">
        <v>0.49</v>
      </c>
      <c r="AB3487" s="152"/>
      <c r="AC3487" s="152"/>
      <c r="AD3487" s="223"/>
      <c r="AE3487" s="223"/>
      <c r="AF3487" s="223"/>
      <c r="AG3487" s="223"/>
      <c r="AH3487" s="341"/>
      <c r="AI3487" s="218"/>
      <c r="AJ3487" s="218"/>
      <c r="AK3487" s="153"/>
      <c r="AL3487" s="152"/>
      <c r="AM3487" s="152"/>
      <c r="AN3487" s="152"/>
      <c r="AO3487" s="152"/>
      <c r="AP3487" s="152"/>
      <c r="AQ3487" s="152"/>
      <c r="AR3487" s="152"/>
      <c r="AS3487" s="152"/>
      <c r="AT3487" s="152"/>
      <c r="AU3487" s="153"/>
      <c r="AV3487" s="479"/>
      <c r="AW3487" s="479"/>
      <c r="AX3487" s="442"/>
      <c r="AY3487" s="153"/>
      <c r="AZ3487" s="152"/>
      <c r="BA3487" s="152"/>
      <c r="BB3487" s="152"/>
      <c r="BC3487" s="152"/>
      <c r="BD3487" s="152"/>
      <c r="BE3487" s="152"/>
      <c r="BF3487" s="152"/>
      <c r="BG3487" s="152"/>
      <c r="BH3487" s="152"/>
      <c r="BI3487" s="153"/>
      <c r="BJ3487" s="153"/>
      <c r="BK3487" s="153"/>
      <c r="BL3487" s="153"/>
      <c r="BM3487" s="153"/>
      <c r="BN3487" s="153"/>
      <c r="BO3487" s="153"/>
      <c r="BP3487" s="153"/>
      <c r="BQ3487" s="153"/>
      <c r="BR3487" s="153"/>
      <c r="BS3487" s="153"/>
      <c r="BT3487" s="153"/>
      <c r="BU3487" s="153"/>
      <c r="BV3487" s="153"/>
      <c r="BW3487" s="153"/>
      <c r="BX3487" s="153"/>
      <c r="BY3487" s="153"/>
      <c r="BZ3487" s="153"/>
      <c r="CA3487" s="152"/>
      <c r="CB3487" s="152"/>
    </row>
    <row r="3488" spans="1:80" s="87" customFormat="1" ht="15" x14ac:dyDescent="0.25">
      <c r="A3488" s="152"/>
      <c r="B3488" s="683"/>
      <c r="C3488" s="683"/>
      <c r="D3488" s="698"/>
      <c r="E3488" s="215"/>
      <c r="F3488" s="215"/>
      <c r="G3488" s="153"/>
      <c r="H3488" s="153"/>
      <c r="I3488" s="115">
        <v>20</v>
      </c>
      <c r="J3488" s="320">
        <v>60</v>
      </c>
      <c r="K3488" s="150">
        <v>1</v>
      </c>
      <c r="L3488" s="656">
        <v>20</v>
      </c>
      <c r="M3488" s="663">
        <v>36676</v>
      </c>
      <c r="N3488" s="600">
        <v>93.148799999999994</v>
      </c>
      <c r="O3488" s="604">
        <v>0.106007</v>
      </c>
      <c r="P3488" s="150"/>
      <c r="Q3488" s="250"/>
      <c r="R3488" s="250">
        <v>5.0999999999999997E-2</v>
      </c>
      <c r="S3488" s="250">
        <v>9.9000000000000005E-2</v>
      </c>
      <c r="T3488" s="250">
        <v>8.900000000000001E-2</v>
      </c>
      <c r="U3488" s="250">
        <v>0.124</v>
      </c>
      <c r="V3488" s="250">
        <v>0.24100000000000002</v>
      </c>
      <c r="W3488" s="250">
        <v>0.26</v>
      </c>
      <c r="X3488" s="250">
        <v>0.126</v>
      </c>
      <c r="Y3488" s="250">
        <v>0.01</v>
      </c>
      <c r="Z3488" s="150"/>
      <c r="AA3488" s="150">
        <v>1.35</v>
      </c>
      <c r="AB3488" s="152"/>
      <c r="AC3488" s="152"/>
      <c r="AD3488" s="223"/>
      <c r="AE3488" s="223"/>
      <c r="AF3488" s="223"/>
      <c r="AG3488" s="223"/>
      <c r="AH3488" s="341"/>
      <c r="AI3488" s="218"/>
      <c r="AJ3488" s="218"/>
      <c r="AK3488" s="153"/>
      <c r="AL3488" s="152"/>
      <c r="AM3488" s="152"/>
      <c r="AN3488" s="152"/>
      <c r="AO3488" s="152"/>
      <c r="AP3488" s="152"/>
      <c r="AQ3488" s="152"/>
      <c r="AR3488" s="152"/>
      <c r="AS3488" s="152"/>
      <c r="AT3488" s="152"/>
      <c r="AU3488" s="153"/>
      <c r="AV3488" s="479"/>
      <c r="AW3488" s="479"/>
      <c r="AX3488" s="442"/>
      <c r="AY3488" s="153"/>
      <c r="AZ3488" s="152"/>
      <c r="BA3488" s="152"/>
      <c r="BB3488" s="152"/>
      <c r="BC3488" s="152"/>
      <c r="BD3488" s="152"/>
      <c r="BE3488" s="152"/>
      <c r="BF3488" s="152"/>
      <c r="BG3488" s="152"/>
      <c r="BH3488" s="152"/>
      <c r="BI3488" s="153"/>
      <c r="BJ3488" s="153"/>
      <c r="BK3488" s="153"/>
      <c r="BL3488" s="153"/>
      <c r="BM3488" s="153"/>
      <c r="BN3488" s="153"/>
      <c r="BO3488" s="153"/>
      <c r="BP3488" s="153"/>
      <c r="BQ3488" s="153"/>
      <c r="BR3488" s="153"/>
      <c r="BS3488" s="153"/>
      <c r="BT3488" s="153"/>
      <c r="BU3488" s="153"/>
      <c r="BV3488" s="153"/>
      <c r="BW3488" s="153"/>
      <c r="BX3488" s="153"/>
      <c r="BY3488" s="153"/>
      <c r="BZ3488" s="153"/>
      <c r="CA3488" s="152"/>
      <c r="CB3488" s="152"/>
    </row>
    <row r="3489" spans="1:80" s="87" customFormat="1" ht="15" x14ac:dyDescent="0.25">
      <c r="A3489" s="152"/>
      <c r="B3489" s="683"/>
      <c r="C3489" s="683"/>
      <c r="D3489" s="698"/>
      <c r="E3489" s="215"/>
      <c r="F3489" s="215"/>
      <c r="G3489" s="153"/>
      <c r="H3489" s="153"/>
      <c r="I3489" s="115">
        <v>20</v>
      </c>
      <c r="J3489" s="320">
        <v>60</v>
      </c>
      <c r="K3489" s="150">
        <v>1</v>
      </c>
      <c r="L3489" s="656">
        <v>20</v>
      </c>
      <c r="M3489" s="663">
        <v>36677</v>
      </c>
      <c r="N3489" s="600">
        <v>86.92</v>
      </c>
      <c r="O3489" s="604">
        <v>6.5073000000000006E-2</v>
      </c>
      <c r="P3489" s="150"/>
      <c r="Q3489" s="250"/>
      <c r="R3489" s="250"/>
      <c r="S3489" s="250"/>
      <c r="T3489" s="250">
        <v>4.4000000000000004E-2</v>
      </c>
      <c r="U3489" s="250">
        <v>8.3000000000000004E-2</v>
      </c>
      <c r="V3489" s="250">
        <v>0.26800000000000002</v>
      </c>
      <c r="W3489" s="250">
        <v>0.38900000000000001</v>
      </c>
      <c r="X3489" s="250">
        <v>0.193</v>
      </c>
      <c r="Y3489" s="250">
        <v>2.3E-2</v>
      </c>
      <c r="Z3489" s="150"/>
      <c r="AA3489" s="150">
        <v>0.83</v>
      </c>
      <c r="AB3489" s="152"/>
      <c r="AC3489" s="152"/>
      <c r="AD3489" s="223"/>
      <c r="AE3489" s="223"/>
      <c r="AF3489" s="223"/>
      <c r="AG3489" s="223"/>
      <c r="AH3489" s="341"/>
      <c r="AI3489" s="218"/>
      <c r="AJ3489" s="218"/>
      <c r="AK3489" s="153"/>
      <c r="AL3489" s="152"/>
      <c r="AM3489" s="152"/>
      <c r="AN3489" s="152"/>
      <c r="AO3489" s="152"/>
      <c r="AP3489" s="152"/>
      <c r="AQ3489" s="152"/>
      <c r="AR3489" s="152"/>
      <c r="AS3489" s="152"/>
      <c r="AT3489" s="152"/>
      <c r="AU3489" s="153"/>
      <c r="AV3489" s="479"/>
      <c r="AW3489" s="479"/>
      <c r="AX3489" s="442"/>
      <c r="AY3489" s="153"/>
      <c r="AZ3489" s="152"/>
      <c r="BA3489" s="152"/>
      <c r="BB3489" s="152"/>
      <c r="BC3489" s="152"/>
      <c r="BD3489" s="152"/>
      <c r="BE3489" s="152"/>
      <c r="BF3489" s="152"/>
      <c r="BG3489" s="152"/>
      <c r="BH3489" s="152"/>
      <c r="BI3489" s="153"/>
      <c r="BJ3489" s="153"/>
      <c r="BK3489" s="153"/>
      <c r="BL3489" s="153"/>
      <c r="BM3489" s="153"/>
      <c r="BN3489" s="153"/>
      <c r="BO3489" s="153"/>
      <c r="BP3489" s="153"/>
      <c r="BQ3489" s="153"/>
      <c r="BR3489" s="153"/>
      <c r="BS3489" s="153"/>
      <c r="BT3489" s="153"/>
      <c r="BU3489" s="153"/>
      <c r="BV3489" s="153"/>
      <c r="BW3489" s="153"/>
      <c r="BX3489" s="153"/>
      <c r="BY3489" s="153"/>
      <c r="BZ3489" s="153"/>
      <c r="CA3489" s="152"/>
      <c r="CB3489" s="152"/>
    </row>
    <row r="3490" spans="1:80" s="87" customFormat="1" ht="15" x14ac:dyDescent="0.25">
      <c r="A3490" s="152"/>
      <c r="B3490" s="683"/>
      <c r="C3490" s="683"/>
      <c r="D3490" s="698"/>
      <c r="E3490" s="215"/>
      <c r="F3490" s="215"/>
      <c r="G3490" s="153"/>
      <c r="H3490" s="153"/>
      <c r="I3490" s="115">
        <v>20</v>
      </c>
      <c r="J3490" s="320">
        <v>60</v>
      </c>
      <c r="K3490" s="150">
        <v>1</v>
      </c>
      <c r="L3490" s="656">
        <v>20</v>
      </c>
      <c r="M3490" s="663">
        <v>36677</v>
      </c>
      <c r="N3490" s="600">
        <v>86.92</v>
      </c>
      <c r="O3490" s="604">
        <v>3.4636E-2</v>
      </c>
      <c r="P3490" s="150"/>
      <c r="Q3490" s="250"/>
      <c r="R3490" s="250"/>
      <c r="S3490" s="250"/>
      <c r="T3490" s="250">
        <v>4.0999999999999995E-2</v>
      </c>
      <c r="U3490" s="250">
        <v>9.5000000000000001E-2</v>
      </c>
      <c r="V3490" s="250">
        <v>0.247</v>
      </c>
      <c r="W3490" s="250">
        <v>0.35499999999999998</v>
      </c>
      <c r="X3490" s="250">
        <v>0.22800000000000001</v>
      </c>
      <c r="Y3490" s="250">
        <v>3.4000000000000002E-2</v>
      </c>
      <c r="Z3490" s="150"/>
      <c r="AA3490" s="150">
        <v>0.8</v>
      </c>
      <c r="AB3490" s="152"/>
      <c r="AC3490" s="152"/>
      <c r="AD3490" s="223"/>
      <c r="AE3490" s="223"/>
      <c r="AF3490" s="223"/>
      <c r="AG3490" s="223"/>
      <c r="AH3490" s="341"/>
      <c r="AI3490" s="218"/>
      <c r="AJ3490" s="218"/>
      <c r="AK3490" s="153"/>
      <c r="AL3490" s="152"/>
      <c r="AM3490" s="152"/>
      <c r="AN3490" s="152"/>
      <c r="AO3490" s="152"/>
      <c r="AP3490" s="152"/>
      <c r="AQ3490" s="152"/>
      <c r="AR3490" s="152"/>
      <c r="AS3490" s="152"/>
      <c r="AT3490" s="152"/>
      <c r="AU3490" s="153"/>
      <c r="AV3490" s="479"/>
      <c r="AW3490" s="479"/>
      <c r="AX3490" s="442"/>
      <c r="AY3490" s="153"/>
      <c r="AZ3490" s="152"/>
      <c r="BA3490" s="152"/>
      <c r="BB3490" s="152"/>
      <c r="BC3490" s="152"/>
      <c r="BD3490" s="152"/>
      <c r="BE3490" s="152"/>
      <c r="BF3490" s="152"/>
      <c r="BG3490" s="152"/>
      <c r="BH3490" s="152"/>
      <c r="BI3490" s="153"/>
      <c r="BJ3490" s="153"/>
      <c r="BK3490" s="153"/>
      <c r="BL3490" s="153"/>
      <c r="BM3490" s="153"/>
      <c r="BN3490" s="153"/>
      <c r="BO3490" s="153"/>
      <c r="BP3490" s="153"/>
      <c r="BQ3490" s="153"/>
      <c r="BR3490" s="153"/>
      <c r="BS3490" s="153"/>
      <c r="BT3490" s="153"/>
      <c r="BU3490" s="153"/>
      <c r="BV3490" s="153"/>
      <c r="BW3490" s="153"/>
      <c r="BX3490" s="153"/>
      <c r="BY3490" s="153"/>
      <c r="BZ3490" s="153"/>
      <c r="CA3490" s="152"/>
      <c r="CB3490" s="152"/>
    </row>
    <row r="3491" spans="1:80" s="87" customFormat="1" ht="15" x14ac:dyDescent="0.25">
      <c r="A3491" s="152"/>
      <c r="B3491" s="683"/>
      <c r="C3491" s="683"/>
      <c r="D3491" s="698"/>
      <c r="E3491" s="215"/>
      <c r="F3491" s="215"/>
      <c r="G3491" s="153"/>
      <c r="H3491" s="153"/>
      <c r="I3491" s="115">
        <v>20</v>
      </c>
      <c r="J3491" s="320">
        <v>60</v>
      </c>
      <c r="K3491" s="150">
        <v>1</v>
      </c>
      <c r="L3491" s="656">
        <v>20</v>
      </c>
      <c r="M3491" s="663">
        <v>36682</v>
      </c>
      <c r="N3491" s="600">
        <v>75.878</v>
      </c>
      <c r="O3491" s="604">
        <v>5.7620999999999999E-2</v>
      </c>
      <c r="P3491" s="150"/>
      <c r="Q3491" s="250"/>
      <c r="R3491" s="250"/>
      <c r="S3491" s="250">
        <v>2.5000000000000001E-2</v>
      </c>
      <c r="T3491" s="250">
        <v>4.2000000000000003E-2</v>
      </c>
      <c r="U3491" s="250">
        <v>8.5000000000000006E-2</v>
      </c>
      <c r="V3491" s="250">
        <v>0.29499999999999998</v>
      </c>
      <c r="W3491" s="250">
        <v>0.39</v>
      </c>
      <c r="X3491" s="250">
        <v>0.15</v>
      </c>
      <c r="Y3491" s="250">
        <v>1.3000000000000001E-2</v>
      </c>
      <c r="Z3491" s="150"/>
      <c r="AA3491" s="150">
        <v>0.91</v>
      </c>
      <c r="AB3491" s="152"/>
      <c r="AC3491" s="152"/>
      <c r="AD3491" s="223"/>
      <c r="AE3491" s="223"/>
      <c r="AF3491" s="223"/>
      <c r="AG3491" s="223"/>
      <c r="AH3491" s="341"/>
      <c r="AI3491" s="218"/>
      <c r="AJ3491" s="218"/>
      <c r="AK3491" s="153"/>
      <c r="AL3491" s="152"/>
      <c r="AM3491" s="152"/>
      <c r="AN3491" s="152"/>
      <c r="AO3491" s="152"/>
      <c r="AP3491" s="152"/>
      <c r="AQ3491" s="152"/>
      <c r="AR3491" s="152"/>
      <c r="AS3491" s="152"/>
      <c r="AT3491" s="152"/>
      <c r="AU3491" s="153"/>
      <c r="AV3491" s="479"/>
      <c r="AW3491" s="479"/>
      <c r="AX3491" s="442"/>
      <c r="AY3491" s="153"/>
      <c r="AZ3491" s="152"/>
      <c r="BA3491" s="152"/>
      <c r="BB3491" s="152"/>
      <c r="BC3491" s="152"/>
      <c r="BD3491" s="152"/>
      <c r="BE3491" s="152"/>
      <c r="BF3491" s="152"/>
      <c r="BG3491" s="152"/>
      <c r="BH3491" s="152"/>
      <c r="BI3491" s="153"/>
      <c r="BJ3491" s="153"/>
      <c r="BK3491" s="153"/>
      <c r="BL3491" s="153"/>
      <c r="BM3491" s="153"/>
      <c r="BN3491" s="153"/>
      <c r="BO3491" s="153"/>
      <c r="BP3491" s="153"/>
      <c r="BQ3491" s="153"/>
      <c r="BR3491" s="153"/>
      <c r="BS3491" s="153"/>
      <c r="BT3491" s="153"/>
      <c r="BU3491" s="153"/>
      <c r="BV3491" s="153"/>
      <c r="BW3491" s="153"/>
      <c r="BX3491" s="153"/>
      <c r="BY3491" s="153"/>
      <c r="BZ3491" s="153"/>
      <c r="CA3491" s="152"/>
      <c r="CB3491" s="152"/>
    </row>
    <row r="3492" spans="1:80" s="87" customFormat="1" ht="15" x14ac:dyDescent="0.25">
      <c r="A3492" s="152"/>
      <c r="B3492" s="683"/>
      <c r="C3492" s="683"/>
      <c r="D3492" s="698"/>
      <c r="E3492" s="215"/>
      <c r="F3492" s="215"/>
      <c r="G3492" s="153"/>
      <c r="H3492" s="153"/>
      <c r="I3492" s="115">
        <v>20</v>
      </c>
      <c r="J3492" s="320">
        <v>60</v>
      </c>
      <c r="K3492" s="150">
        <v>1</v>
      </c>
      <c r="L3492" s="656">
        <v>20</v>
      </c>
      <c r="M3492" s="663">
        <v>36682</v>
      </c>
      <c r="N3492" s="600">
        <v>75.594899999999996</v>
      </c>
      <c r="O3492" s="604">
        <v>5.7411999999999998E-2</v>
      </c>
      <c r="P3492" s="150"/>
      <c r="Q3492" s="250"/>
      <c r="R3492" s="250"/>
      <c r="S3492" s="250">
        <v>6.0000000000000001E-3</v>
      </c>
      <c r="T3492" s="250">
        <v>5.5999999999999994E-2</v>
      </c>
      <c r="U3492" s="250">
        <v>0.111</v>
      </c>
      <c r="V3492" s="250">
        <v>0.27200000000000002</v>
      </c>
      <c r="W3492" s="250">
        <v>0.36700000000000005</v>
      </c>
      <c r="X3492" s="250">
        <v>0.17</v>
      </c>
      <c r="Y3492" s="250">
        <v>1.8000000000000002E-2</v>
      </c>
      <c r="Z3492" s="150"/>
      <c r="AA3492" s="150">
        <v>0.9</v>
      </c>
      <c r="AB3492" s="152"/>
      <c r="AC3492" s="152"/>
      <c r="AD3492" s="223"/>
      <c r="AE3492" s="223"/>
      <c r="AF3492" s="223"/>
      <c r="AG3492" s="223"/>
      <c r="AH3492" s="341"/>
      <c r="AI3492" s="218"/>
      <c r="AJ3492" s="218"/>
      <c r="AK3492" s="153"/>
      <c r="AL3492" s="152"/>
      <c r="AM3492" s="152"/>
      <c r="AN3492" s="152"/>
      <c r="AO3492" s="152"/>
      <c r="AP3492" s="152"/>
      <c r="AQ3492" s="152"/>
      <c r="AR3492" s="152"/>
      <c r="AS3492" s="152"/>
      <c r="AT3492" s="152"/>
      <c r="AU3492" s="153"/>
      <c r="AV3492" s="479"/>
      <c r="AW3492" s="479"/>
      <c r="AX3492" s="442"/>
      <c r="AY3492" s="153"/>
      <c r="AZ3492" s="152"/>
      <c r="BA3492" s="152"/>
      <c r="BB3492" s="152"/>
      <c r="BC3492" s="152"/>
      <c r="BD3492" s="152"/>
      <c r="BE3492" s="152"/>
      <c r="BF3492" s="152"/>
      <c r="BG3492" s="152"/>
      <c r="BH3492" s="152"/>
      <c r="BI3492" s="153"/>
      <c r="BJ3492" s="153"/>
      <c r="BK3492" s="153"/>
      <c r="BL3492" s="153"/>
      <c r="BM3492" s="153"/>
      <c r="BN3492" s="153"/>
      <c r="BO3492" s="153"/>
      <c r="BP3492" s="153"/>
      <c r="BQ3492" s="153"/>
      <c r="BR3492" s="153"/>
      <c r="BS3492" s="153"/>
      <c r="BT3492" s="153"/>
      <c r="BU3492" s="153"/>
      <c r="BV3492" s="153"/>
      <c r="BW3492" s="153"/>
      <c r="BX3492" s="153"/>
      <c r="BY3492" s="153"/>
      <c r="BZ3492" s="153"/>
      <c r="CA3492" s="152"/>
      <c r="CB3492" s="152"/>
    </row>
    <row r="3493" spans="1:80" s="87" customFormat="1" ht="15" x14ac:dyDescent="0.25">
      <c r="A3493" s="152"/>
      <c r="B3493" s="683"/>
      <c r="C3493" s="683"/>
      <c r="D3493" s="698"/>
      <c r="E3493" s="215"/>
      <c r="F3493" s="215"/>
      <c r="G3493" s="153"/>
      <c r="H3493" s="153"/>
      <c r="I3493" s="115">
        <v>20</v>
      </c>
      <c r="J3493" s="320">
        <v>60</v>
      </c>
      <c r="K3493" s="150">
        <v>1</v>
      </c>
      <c r="L3493" s="656">
        <v>20</v>
      </c>
      <c r="M3493" s="663">
        <v>36683</v>
      </c>
      <c r="N3493" s="600">
        <v>79.841800000000006</v>
      </c>
      <c r="O3493" s="604">
        <v>2.9597999999999999E-2</v>
      </c>
      <c r="P3493" s="150"/>
      <c r="Q3493" s="250"/>
      <c r="R3493" s="250"/>
      <c r="S3493" s="250">
        <v>5.0999999999999997E-2</v>
      </c>
      <c r="T3493" s="250">
        <v>3.3000000000000002E-2</v>
      </c>
      <c r="U3493" s="250">
        <v>6.7000000000000004E-2</v>
      </c>
      <c r="V3493" s="250">
        <v>0.217</v>
      </c>
      <c r="W3493" s="250">
        <v>0.38700000000000001</v>
      </c>
      <c r="X3493" s="250">
        <v>0.22399999999999998</v>
      </c>
      <c r="Y3493" s="250">
        <v>2.1000000000000001E-2</v>
      </c>
      <c r="Z3493" s="150"/>
      <c r="AA3493" s="150">
        <v>0.79</v>
      </c>
      <c r="AB3493" s="152"/>
      <c r="AC3493" s="152"/>
      <c r="AD3493" s="223"/>
      <c r="AE3493" s="223"/>
      <c r="AF3493" s="223"/>
      <c r="AG3493" s="223"/>
      <c r="AH3493" s="341"/>
      <c r="AI3493" s="218"/>
      <c r="AJ3493" s="218"/>
      <c r="AK3493" s="153"/>
      <c r="AL3493" s="152"/>
      <c r="AM3493" s="152"/>
      <c r="AN3493" s="152"/>
      <c r="AO3493" s="152"/>
      <c r="AP3493" s="152"/>
      <c r="AQ3493" s="152"/>
      <c r="AR3493" s="152"/>
      <c r="AS3493" s="152"/>
      <c r="AT3493" s="152"/>
      <c r="AU3493" s="153"/>
      <c r="AV3493" s="479"/>
      <c r="AW3493" s="479"/>
      <c r="AX3493" s="442"/>
      <c r="AY3493" s="153"/>
      <c r="AZ3493" s="152"/>
      <c r="BA3493" s="152"/>
      <c r="BB3493" s="152"/>
      <c r="BC3493" s="152"/>
      <c r="BD3493" s="152"/>
      <c r="BE3493" s="152"/>
      <c r="BF3493" s="152"/>
      <c r="BG3493" s="152"/>
      <c r="BH3493" s="152"/>
      <c r="BI3493" s="153"/>
      <c r="BJ3493" s="153"/>
      <c r="BK3493" s="153"/>
      <c r="BL3493" s="153"/>
      <c r="BM3493" s="153"/>
      <c r="BN3493" s="153"/>
      <c r="BO3493" s="153"/>
      <c r="BP3493" s="153"/>
      <c r="BQ3493" s="153"/>
      <c r="BR3493" s="153"/>
      <c r="BS3493" s="153"/>
      <c r="BT3493" s="153"/>
      <c r="BU3493" s="153"/>
      <c r="BV3493" s="153"/>
      <c r="BW3493" s="153"/>
      <c r="BX3493" s="153"/>
      <c r="BY3493" s="153"/>
      <c r="BZ3493" s="153"/>
      <c r="CA3493" s="152"/>
      <c r="CB3493" s="152"/>
    </row>
    <row r="3494" spans="1:80" s="87" customFormat="1" ht="15" x14ac:dyDescent="0.25">
      <c r="A3494" s="152"/>
      <c r="B3494" s="683"/>
      <c r="C3494" s="683"/>
      <c r="D3494" s="698"/>
      <c r="E3494" s="215"/>
      <c r="F3494" s="215"/>
      <c r="G3494" s="153"/>
      <c r="H3494" s="153"/>
      <c r="I3494" s="115">
        <v>20</v>
      </c>
      <c r="J3494" s="320">
        <v>60</v>
      </c>
      <c r="K3494" s="150">
        <v>1</v>
      </c>
      <c r="L3494" s="656">
        <v>20</v>
      </c>
      <c r="M3494" s="663">
        <v>36683</v>
      </c>
      <c r="N3494" s="600">
        <v>79.841800000000006</v>
      </c>
      <c r="O3494" s="604">
        <v>2.2880999999999999E-2</v>
      </c>
      <c r="P3494" s="150"/>
      <c r="Q3494" s="250"/>
      <c r="R3494" s="250"/>
      <c r="S3494" s="250"/>
      <c r="T3494" s="250">
        <v>2.3E-2</v>
      </c>
      <c r="U3494" s="250">
        <v>7.8E-2</v>
      </c>
      <c r="V3494" s="250">
        <v>0.22</v>
      </c>
      <c r="W3494" s="250">
        <v>0.42899999999999999</v>
      </c>
      <c r="X3494" s="250">
        <v>0.223</v>
      </c>
      <c r="Y3494" s="250">
        <v>2.7000000000000003E-2</v>
      </c>
      <c r="Z3494" s="150"/>
      <c r="AA3494" s="150">
        <v>0.75</v>
      </c>
      <c r="AB3494" s="152"/>
      <c r="AC3494" s="152"/>
      <c r="AD3494" s="223"/>
      <c r="AE3494" s="223"/>
      <c r="AF3494" s="223"/>
      <c r="AG3494" s="223"/>
      <c r="AH3494" s="341"/>
      <c r="AI3494" s="218"/>
      <c r="AJ3494" s="218"/>
      <c r="AK3494" s="153"/>
      <c r="AL3494" s="152"/>
      <c r="AM3494" s="152"/>
      <c r="AN3494" s="152"/>
      <c r="AO3494" s="152"/>
      <c r="AP3494" s="152"/>
      <c r="AQ3494" s="152"/>
      <c r="AR3494" s="152"/>
      <c r="AS3494" s="152"/>
      <c r="AT3494" s="152"/>
      <c r="AU3494" s="153"/>
      <c r="AV3494" s="479"/>
      <c r="AW3494" s="479"/>
      <c r="AX3494" s="442"/>
      <c r="AY3494" s="153"/>
      <c r="AZ3494" s="152"/>
      <c r="BA3494" s="152"/>
      <c r="BB3494" s="152"/>
      <c r="BC3494" s="152"/>
      <c r="BD3494" s="152"/>
      <c r="BE3494" s="152"/>
      <c r="BF3494" s="152"/>
      <c r="BG3494" s="152"/>
      <c r="BH3494" s="152"/>
      <c r="BI3494" s="153"/>
      <c r="BJ3494" s="153"/>
      <c r="BK3494" s="153"/>
      <c r="BL3494" s="153"/>
      <c r="BM3494" s="153"/>
      <c r="BN3494" s="153"/>
      <c r="BO3494" s="153"/>
      <c r="BP3494" s="153"/>
      <c r="BQ3494" s="153"/>
      <c r="BR3494" s="153"/>
      <c r="BS3494" s="153"/>
      <c r="BT3494" s="153"/>
      <c r="BU3494" s="153"/>
      <c r="BV3494" s="153"/>
      <c r="BW3494" s="153"/>
      <c r="BX3494" s="153"/>
      <c r="BY3494" s="153"/>
      <c r="BZ3494" s="153"/>
      <c r="CA3494" s="152"/>
      <c r="CB3494" s="152"/>
    </row>
    <row r="3495" spans="1:80" s="87" customFormat="1" ht="15" x14ac:dyDescent="0.25">
      <c r="A3495" s="152"/>
      <c r="B3495" s="683"/>
      <c r="C3495" s="683"/>
      <c r="D3495" s="698"/>
      <c r="E3495" s="215"/>
      <c r="F3495" s="215"/>
      <c r="G3495" s="153"/>
      <c r="H3495" s="153"/>
      <c r="I3495" s="115">
        <v>20</v>
      </c>
      <c r="J3495" s="320">
        <v>60</v>
      </c>
      <c r="K3495" s="150">
        <v>1</v>
      </c>
      <c r="L3495" s="656">
        <v>20</v>
      </c>
      <c r="M3495" s="663">
        <v>36691</v>
      </c>
      <c r="N3495" s="600">
        <v>71.631100000000004</v>
      </c>
      <c r="O3495" s="604">
        <v>2.3720000000000001E-2</v>
      </c>
      <c r="P3495" s="150"/>
      <c r="Q3495" s="250"/>
      <c r="R3495" s="250"/>
      <c r="S3495" s="250">
        <v>1.8000000000000002E-2</v>
      </c>
      <c r="T3495" s="250">
        <v>3.0000000000000001E-3</v>
      </c>
      <c r="U3495" s="250">
        <v>3.5000000000000003E-2</v>
      </c>
      <c r="V3495" s="250">
        <v>0.214</v>
      </c>
      <c r="W3495" s="250">
        <v>0.45</v>
      </c>
      <c r="X3495" s="250">
        <v>0.26</v>
      </c>
      <c r="Y3495" s="250">
        <v>0.02</v>
      </c>
      <c r="Z3495" s="150"/>
      <c r="AA3495" s="150">
        <v>0.7</v>
      </c>
      <c r="AB3495" s="152"/>
      <c r="AC3495" s="152"/>
      <c r="AD3495" s="223"/>
      <c r="AE3495" s="223"/>
      <c r="AF3495" s="223"/>
      <c r="AG3495" s="223"/>
      <c r="AH3495" s="341"/>
      <c r="AI3495" s="218"/>
      <c r="AJ3495" s="218"/>
      <c r="AK3495" s="153"/>
      <c r="AL3495" s="152"/>
      <c r="AM3495" s="152"/>
      <c r="AN3495" s="152"/>
      <c r="AO3495" s="152"/>
      <c r="AP3495" s="152"/>
      <c r="AQ3495" s="152"/>
      <c r="AR3495" s="152"/>
      <c r="AS3495" s="152"/>
      <c r="AT3495" s="152"/>
      <c r="AU3495" s="153"/>
      <c r="AV3495" s="479"/>
      <c r="AW3495" s="479"/>
      <c r="AX3495" s="442"/>
      <c r="AY3495" s="153"/>
      <c r="AZ3495" s="152"/>
      <c r="BA3495" s="152"/>
      <c r="BB3495" s="152"/>
      <c r="BC3495" s="152"/>
      <c r="BD3495" s="152"/>
      <c r="BE3495" s="152"/>
      <c r="BF3495" s="152"/>
      <c r="BG3495" s="152"/>
      <c r="BH3495" s="152"/>
      <c r="BI3495" s="153"/>
      <c r="BJ3495" s="153"/>
      <c r="BK3495" s="153"/>
      <c r="BL3495" s="153"/>
      <c r="BM3495" s="153"/>
      <c r="BN3495" s="153"/>
      <c r="BO3495" s="153"/>
      <c r="BP3495" s="153"/>
      <c r="BQ3495" s="153"/>
      <c r="BR3495" s="153"/>
      <c r="BS3495" s="153"/>
      <c r="BT3495" s="153"/>
      <c r="BU3495" s="153"/>
      <c r="BV3495" s="153"/>
      <c r="BW3495" s="153"/>
      <c r="BX3495" s="153"/>
      <c r="BY3495" s="153"/>
      <c r="BZ3495" s="153"/>
      <c r="CA3495" s="152"/>
      <c r="CB3495" s="152"/>
    </row>
    <row r="3496" spans="1:80" s="87" customFormat="1" ht="15" x14ac:dyDescent="0.25">
      <c r="A3496" s="152"/>
      <c r="B3496" s="683"/>
      <c r="C3496" s="683"/>
      <c r="D3496" s="698"/>
      <c r="E3496" s="215"/>
      <c r="F3496" s="215"/>
      <c r="G3496" s="153"/>
      <c r="H3496" s="153"/>
      <c r="I3496" s="115">
        <v>20</v>
      </c>
      <c r="J3496" s="320">
        <v>60</v>
      </c>
      <c r="K3496" s="150">
        <v>1</v>
      </c>
      <c r="L3496" s="656">
        <v>20</v>
      </c>
      <c r="M3496" s="663">
        <v>36691</v>
      </c>
      <c r="N3496" s="600">
        <v>72.480500000000006</v>
      </c>
      <c r="O3496" s="604">
        <v>2.2251E-2</v>
      </c>
      <c r="P3496" s="150"/>
      <c r="Q3496" s="250"/>
      <c r="R3496" s="250"/>
      <c r="S3496" s="250"/>
      <c r="T3496" s="250">
        <v>1.3999999999999999E-2</v>
      </c>
      <c r="U3496" s="250">
        <v>3.1E-2</v>
      </c>
      <c r="V3496" s="250">
        <v>0.159</v>
      </c>
      <c r="W3496" s="250">
        <v>0.46899999999999997</v>
      </c>
      <c r="X3496" s="250">
        <v>0.29899999999999999</v>
      </c>
      <c r="Y3496" s="250">
        <v>2.7999999999999997E-2</v>
      </c>
      <c r="Z3496" s="150"/>
      <c r="AA3496" s="150">
        <v>0.65</v>
      </c>
      <c r="AB3496" s="152"/>
      <c r="AC3496" s="152"/>
      <c r="AD3496" s="223"/>
      <c r="AE3496" s="223"/>
      <c r="AF3496" s="223"/>
      <c r="AG3496" s="223"/>
      <c r="AH3496" s="341"/>
      <c r="AI3496" s="218"/>
      <c r="AJ3496" s="218"/>
      <c r="AK3496" s="153"/>
      <c r="AL3496" s="152"/>
      <c r="AM3496" s="152"/>
      <c r="AN3496" s="152"/>
      <c r="AO3496" s="152"/>
      <c r="AP3496" s="152"/>
      <c r="AQ3496" s="152"/>
      <c r="AR3496" s="152"/>
      <c r="AS3496" s="152"/>
      <c r="AT3496" s="152"/>
      <c r="AU3496" s="153"/>
      <c r="AV3496" s="479"/>
      <c r="AW3496" s="479"/>
      <c r="AX3496" s="442"/>
      <c r="AY3496" s="153"/>
      <c r="AZ3496" s="152"/>
      <c r="BA3496" s="152"/>
      <c r="BB3496" s="152"/>
      <c r="BC3496" s="152"/>
      <c r="BD3496" s="152"/>
      <c r="BE3496" s="152"/>
      <c r="BF3496" s="152"/>
      <c r="BG3496" s="152"/>
      <c r="BH3496" s="152"/>
      <c r="BI3496" s="153"/>
      <c r="BJ3496" s="153"/>
      <c r="BK3496" s="153"/>
      <c r="BL3496" s="153"/>
      <c r="BM3496" s="153"/>
      <c r="BN3496" s="153"/>
      <c r="BO3496" s="153"/>
      <c r="BP3496" s="153"/>
      <c r="BQ3496" s="153"/>
      <c r="BR3496" s="153"/>
      <c r="BS3496" s="153"/>
      <c r="BT3496" s="153"/>
      <c r="BU3496" s="153"/>
      <c r="BV3496" s="153"/>
      <c r="BW3496" s="153"/>
      <c r="BX3496" s="153"/>
      <c r="BY3496" s="153"/>
      <c r="BZ3496" s="153"/>
      <c r="CA3496" s="152"/>
      <c r="CB3496" s="152"/>
    </row>
    <row r="3497" spans="1:80" s="87" customFormat="1" ht="15" x14ac:dyDescent="0.25">
      <c r="A3497" s="152"/>
      <c r="B3497" s="683"/>
      <c r="C3497" s="683"/>
      <c r="D3497" s="698"/>
      <c r="E3497" s="215"/>
      <c r="F3497" s="215"/>
      <c r="G3497" s="153"/>
      <c r="H3497" s="153"/>
      <c r="I3497" s="115">
        <v>20</v>
      </c>
      <c r="J3497" s="320">
        <v>60</v>
      </c>
      <c r="K3497" s="150">
        <v>1</v>
      </c>
      <c r="L3497" s="656">
        <v>20</v>
      </c>
      <c r="M3497" s="663">
        <v>36692</v>
      </c>
      <c r="N3497" s="600">
        <v>70.498599999999996</v>
      </c>
      <c r="O3497" s="604">
        <v>1.9837E-2</v>
      </c>
      <c r="P3497" s="150"/>
      <c r="Q3497" s="250"/>
      <c r="R3497" s="250"/>
      <c r="S3497" s="250"/>
      <c r="T3497" s="250">
        <v>1.4999999999999999E-2</v>
      </c>
      <c r="U3497" s="250">
        <v>0.04</v>
      </c>
      <c r="V3497" s="250">
        <v>0.17499999999999999</v>
      </c>
      <c r="W3497" s="250">
        <v>0.43799999999999994</v>
      </c>
      <c r="X3497" s="250">
        <v>0.30599999999999999</v>
      </c>
      <c r="Y3497" s="250">
        <v>2.6000000000000002E-2</v>
      </c>
      <c r="Z3497" s="150"/>
      <c r="AA3497" s="150">
        <v>0.65</v>
      </c>
      <c r="AB3497" s="152"/>
      <c r="AC3497" s="152"/>
      <c r="AD3497" s="223"/>
      <c r="AE3497" s="223"/>
      <c r="AF3497" s="223"/>
      <c r="AG3497" s="223"/>
      <c r="AH3497" s="341"/>
      <c r="AI3497" s="218"/>
      <c r="AJ3497" s="218"/>
      <c r="AK3497" s="153"/>
      <c r="AL3497" s="152"/>
      <c r="AM3497" s="152"/>
      <c r="AN3497" s="152"/>
      <c r="AO3497" s="152"/>
      <c r="AP3497" s="152"/>
      <c r="AQ3497" s="152"/>
      <c r="AR3497" s="152"/>
      <c r="AS3497" s="152"/>
      <c r="AT3497" s="152"/>
      <c r="AU3497" s="153"/>
      <c r="AV3497" s="479"/>
      <c r="AW3497" s="479"/>
      <c r="AX3497" s="442"/>
      <c r="AY3497" s="153"/>
      <c r="AZ3497" s="152"/>
      <c r="BA3497" s="152"/>
      <c r="BB3497" s="152"/>
      <c r="BC3497" s="152"/>
      <c r="BD3497" s="152"/>
      <c r="BE3497" s="152"/>
      <c r="BF3497" s="152"/>
      <c r="BG3497" s="152"/>
      <c r="BH3497" s="152"/>
      <c r="BI3497" s="153"/>
      <c r="BJ3497" s="153"/>
      <c r="BK3497" s="153"/>
      <c r="BL3497" s="153"/>
      <c r="BM3497" s="153"/>
      <c r="BN3497" s="153"/>
      <c r="BO3497" s="153"/>
      <c r="BP3497" s="153"/>
      <c r="BQ3497" s="153"/>
      <c r="BR3497" s="153"/>
      <c r="BS3497" s="153"/>
      <c r="BT3497" s="153"/>
      <c r="BU3497" s="153"/>
      <c r="BV3497" s="153"/>
      <c r="BW3497" s="153"/>
      <c r="BX3497" s="153"/>
      <c r="BY3497" s="153"/>
      <c r="BZ3497" s="153"/>
      <c r="CA3497" s="152"/>
      <c r="CB3497" s="152"/>
    </row>
    <row r="3498" spans="1:80" s="87" customFormat="1" ht="15" x14ac:dyDescent="0.25">
      <c r="A3498" s="152"/>
      <c r="B3498" s="683"/>
      <c r="C3498" s="683"/>
      <c r="D3498" s="698"/>
      <c r="E3498" s="215"/>
      <c r="F3498" s="215"/>
      <c r="G3498" s="153"/>
      <c r="H3498" s="153"/>
      <c r="I3498" s="115">
        <v>20</v>
      </c>
      <c r="J3498" s="320">
        <v>60</v>
      </c>
      <c r="K3498" s="150">
        <v>1</v>
      </c>
      <c r="L3498" s="656">
        <v>20</v>
      </c>
      <c r="M3498" s="663">
        <v>36692</v>
      </c>
      <c r="N3498" s="600">
        <v>70.498599999999996</v>
      </c>
      <c r="O3498" s="604">
        <v>2.5085E-2</v>
      </c>
      <c r="P3498" s="150"/>
      <c r="Q3498" s="250"/>
      <c r="R3498" s="250"/>
      <c r="S3498" s="250"/>
      <c r="T3498" s="250">
        <v>3.0000000000000001E-3</v>
      </c>
      <c r="U3498" s="250">
        <v>4.4000000000000004E-2</v>
      </c>
      <c r="V3498" s="250">
        <v>0.22399999999999998</v>
      </c>
      <c r="W3498" s="250">
        <v>0.48100000000000004</v>
      </c>
      <c r="X3498" s="250">
        <v>0.22800000000000001</v>
      </c>
      <c r="Y3498" s="250">
        <v>0.02</v>
      </c>
      <c r="Z3498" s="150"/>
      <c r="AA3498" s="150">
        <v>0.72</v>
      </c>
      <c r="AB3498" s="152"/>
      <c r="AC3498" s="152"/>
      <c r="AD3498" s="223"/>
      <c r="AE3498" s="223"/>
      <c r="AF3498" s="223"/>
      <c r="AG3498" s="223"/>
      <c r="AH3498" s="341"/>
      <c r="AI3498" s="218"/>
      <c r="AJ3498" s="218"/>
      <c r="AK3498" s="153"/>
      <c r="AL3498" s="152"/>
      <c r="AM3498" s="152"/>
      <c r="AN3498" s="152"/>
      <c r="AO3498" s="152"/>
      <c r="AP3498" s="152"/>
      <c r="AQ3498" s="152"/>
      <c r="AR3498" s="152"/>
      <c r="AS3498" s="152"/>
      <c r="AT3498" s="152"/>
      <c r="AU3498" s="153"/>
      <c r="AV3498" s="479"/>
      <c r="AW3498" s="479"/>
      <c r="AX3498" s="442"/>
      <c r="AY3498" s="153"/>
      <c r="AZ3498" s="152"/>
      <c r="BA3498" s="152"/>
      <c r="BB3498" s="152"/>
      <c r="BC3498" s="152"/>
      <c r="BD3498" s="152"/>
      <c r="BE3498" s="152"/>
      <c r="BF3498" s="152"/>
      <c r="BG3498" s="152"/>
      <c r="BH3498" s="152"/>
      <c r="BI3498" s="153"/>
      <c r="BJ3498" s="153"/>
      <c r="BK3498" s="153"/>
      <c r="BL3498" s="153"/>
      <c r="BM3498" s="153"/>
      <c r="BN3498" s="153"/>
      <c r="BO3498" s="153"/>
      <c r="BP3498" s="153"/>
      <c r="BQ3498" s="153"/>
      <c r="BR3498" s="153"/>
      <c r="BS3498" s="153"/>
      <c r="BT3498" s="153"/>
      <c r="BU3498" s="153"/>
      <c r="BV3498" s="153"/>
      <c r="BW3498" s="153"/>
      <c r="BX3498" s="153"/>
      <c r="BY3498" s="153"/>
      <c r="BZ3498" s="153"/>
      <c r="CA3498" s="152"/>
      <c r="CB3498" s="152"/>
    </row>
    <row r="3499" spans="1:80" s="87" customFormat="1" ht="15" x14ac:dyDescent="0.25">
      <c r="A3499" s="152"/>
      <c r="B3499" s="683"/>
      <c r="C3499" s="683"/>
      <c r="D3499" s="698"/>
      <c r="E3499" s="215"/>
      <c r="F3499" s="215"/>
      <c r="G3499" s="153"/>
      <c r="H3499" s="153"/>
      <c r="I3499" s="115">
        <v>20</v>
      </c>
      <c r="J3499" s="320">
        <v>60</v>
      </c>
      <c r="K3499" s="150">
        <v>1</v>
      </c>
      <c r="L3499" s="656">
        <v>20</v>
      </c>
      <c r="M3499" s="663">
        <v>36697</v>
      </c>
      <c r="N3499" s="600">
        <v>51.5291</v>
      </c>
      <c r="O3499" s="604">
        <v>1.3015000000000001E-2</v>
      </c>
      <c r="P3499" s="150"/>
      <c r="Q3499" s="250"/>
      <c r="R3499" s="250"/>
      <c r="S3499" s="250"/>
      <c r="T3499" s="250">
        <v>8.0000000000000002E-3</v>
      </c>
      <c r="U3499" s="250">
        <v>3.2000000000000001E-2</v>
      </c>
      <c r="V3499" s="250">
        <v>0.183</v>
      </c>
      <c r="W3499" s="250">
        <v>0.45399999999999996</v>
      </c>
      <c r="X3499" s="250">
        <v>0.28800000000000003</v>
      </c>
      <c r="Y3499" s="250">
        <v>3.5000000000000003E-2</v>
      </c>
      <c r="Z3499" s="150"/>
      <c r="AA3499" s="150">
        <v>0.66</v>
      </c>
      <c r="AB3499" s="152"/>
      <c r="AC3499" s="152"/>
      <c r="AD3499" s="223"/>
      <c r="AE3499" s="223"/>
      <c r="AF3499" s="223"/>
      <c r="AG3499" s="223"/>
      <c r="AH3499" s="341"/>
      <c r="AI3499" s="218"/>
      <c r="AJ3499" s="218"/>
      <c r="AK3499" s="153"/>
      <c r="AL3499" s="152"/>
      <c r="AM3499" s="152"/>
      <c r="AN3499" s="152"/>
      <c r="AO3499" s="152"/>
      <c r="AP3499" s="152"/>
      <c r="AQ3499" s="152"/>
      <c r="AR3499" s="152"/>
      <c r="AS3499" s="152"/>
      <c r="AT3499" s="152"/>
      <c r="AU3499" s="153"/>
      <c r="AV3499" s="479"/>
      <c r="AW3499" s="479"/>
      <c r="AX3499" s="442"/>
      <c r="AY3499" s="153"/>
      <c r="AZ3499" s="152"/>
      <c r="BA3499" s="152"/>
      <c r="BB3499" s="152"/>
      <c r="BC3499" s="152"/>
      <c r="BD3499" s="152"/>
      <c r="BE3499" s="152"/>
      <c r="BF3499" s="152"/>
      <c r="BG3499" s="152"/>
      <c r="BH3499" s="152"/>
      <c r="BI3499" s="153"/>
      <c r="BJ3499" s="153"/>
      <c r="BK3499" s="153"/>
      <c r="BL3499" s="153"/>
      <c r="BM3499" s="153"/>
      <c r="BN3499" s="153"/>
      <c r="BO3499" s="153"/>
      <c r="BP3499" s="153"/>
      <c r="BQ3499" s="153"/>
      <c r="BR3499" s="153"/>
      <c r="BS3499" s="153"/>
      <c r="BT3499" s="153"/>
      <c r="BU3499" s="153"/>
      <c r="BV3499" s="153"/>
      <c r="BW3499" s="153"/>
      <c r="BX3499" s="153"/>
      <c r="BY3499" s="153"/>
      <c r="BZ3499" s="153"/>
      <c r="CA3499" s="152"/>
      <c r="CB3499" s="152"/>
    </row>
    <row r="3500" spans="1:80" s="87" customFormat="1" ht="15" x14ac:dyDescent="0.25">
      <c r="A3500" s="152"/>
      <c r="B3500" s="683"/>
      <c r="C3500" s="683"/>
      <c r="D3500" s="698"/>
      <c r="E3500" s="215"/>
      <c r="F3500" s="215"/>
      <c r="G3500" s="153"/>
      <c r="H3500" s="153"/>
      <c r="I3500" s="115">
        <v>20</v>
      </c>
      <c r="J3500" s="320">
        <v>60</v>
      </c>
      <c r="K3500" s="150">
        <v>1</v>
      </c>
      <c r="L3500" s="656">
        <v>20</v>
      </c>
      <c r="M3500" s="663">
        <v>36697</v>
      </c>
      <c r="N3500" s="600">
        <v>51.246000000000002</v>
      </c>
      <c r="O3500" s="604">
        <v>4.9540000000000001E-2</v>
      </c>
      <c r="P3500" s="150"/>
      <c r="Q3500" s="250"/>
      <c r="R3500" s="250"/>
      <c r="S3500" s="250"/>
      <c r="T3500" s="250">
        <v>1E-3</v>
      </c>
      <c r="U3500" s="250">
        <v>2.7999999999999997E-2</v>
      </c>
      <c r="V3500" s="250">
        <v>0.19399999999999998</v>
      </c>
      <c r="W3500" s="250">
        <v>0.44600000000000001</v>
      </c>
      <c r="X3500" s="250">
        <v>0.309</v>
      </c>
      <c r="Y3500" s="250">
        <v>2.2000000000000002E-2</v>
      </c>
      <c r="Z3500" s="150"/>
      <c r="AA3500" s="150">
        <v>0.65</v>
      </c>
      <c r="AB3500" s="152"/>
      <c r="AC3500" s="152"/>
      <c r="AD3500" s="223"/>
      <c r="AE3500" s="223"/>
      <c r="AF3500" s="223"/>
      <c r="AG3500" s="223"/>
      <c r="AH3500" s="341"/>
      <c r="AI3500" s="218"/>
      <c r="AJ3500" s="218"/>
      <c r="AK3500" s="153"/>
      <c r="AL3500" s="152"/>
      <c r="AM3500" s="152"/>
      <c r="AN3500" s="152"/>
      <c r="AO3500" s="152"/>
      <c r="AP3500" s="152"/>
      <c r="AQ3500" s="152"/>
      <c r="AR3500" s="152"/>
      <c r="AS3500" s="152"/>
      <c r="AT3500" s="152"/>
      <c r="AU3500" s="153"/>
      <c r="AV3500" s="479"/>
      <c r="AW3500" s="479"/>
      <c r="AX3500" s="442"/>
      <c r="AY3500" s="153"/>
      <c r="AZ3500" s="152"/>
      <c r="BA3500" s="152"/>
      <c r="BB3500" s="152"/>
      <c r="BC3500" s="152"/>
      <c r="BD3500" s="152"/>
      <c r="BE3500" s="152"/>
      <c r="BF3500" s="152"/>
      <c r="BG3500" s="152"/>
      <c r="BH3500" s="152"/>
      <c r="BI3500" s="153"/>
      <c r="BJ3500" s="153"/>
      <c r="BK3500" s="153"/>
      <c r="BL3500" s="153"/>
      <c r="BM3500" s="153"/>
      <c r="BN3500" s="153"/>
      <c r="BO3500" s="153"/>
      <c r="BP3500" s="153"/>
      <c r="BQ3500" s="153"/>
      <c r="BR3500" s="153"/>
      <c r="BS3500" s="153"/>
      <c r="BT3500" s="153"/>
      <c r="BU3500" s="153"/>
      <c r="BV3500" s="153"/>
      <c r="BW3500" s="153"/>
      <c r="BX3500" s="153"/>
      <c r="BY3500" s="153"/>
      <c r="BZ3500" s="153"/>
      <c r="CA3500" s="152"/>
      <c r="CB3500" s="152"/>
    </row>
    <row r="3501" spans="1:80" ht="15" x14ac:dyDescent="0.25">
      <c r="A3501" s="9" t="s">
        <v>201</v>
      </c>
      <c r="B3501" s="639" t="s">
        <v>66</v>
      </c>
      <c r="C3501" s="639"/>
      <c r="D3501" s="4">
        <f>VLOOKUP(E3501,'Quality Code'!D4:E24,2,TRUE)*VLOOKUP(MROUND(F3501,10),'Quality Code'!D28:E69,2,TRUE)*VLOOKUP(COUNTA(CB3501:CB3511),'Quality Code'!D73:E93,2,TRUE)</f>
        <v>2</v>
      </c>
      <c r="E3501" s="14">
        <v>0.8</v>
      </c>
      <c r="F3501" s="18">
        <v>50</v>
      </c>
      <c r="G3501" s="12">
        <v>243.17699999999999</v>
      </c>
      <c r="H3501" s="2" t="s">
        <v>231</v>
      </c>
      <c r="I3501" s="10"/>
      <c r="J3501" s="10" t="s">
        <v>283</v>
      </c>
      <c r="K3501" s="10"/>
      <c r="L3501" s="640" t="s">
        <v>284</v>
      </c>
      <c r="M3501" s="640">
        <v>1999</v>
      </c>
      <c r="N3501" s="579"/>
      <c r="O3501" s="579"/>
      <c r="P3501" s="10" t="s">
        <v>64</v>
      </c>
      <c r="Q3501" s="10" t="s">
        <v>64</v>
      </c>
      <c r="R3501" s="10" t="s">
        <v>64</v>
      </c>
      <c r="S3501" s="10" t="s">
        <v>64</v>
      </c>
      <c r="T3501" s="10" t="s">
        <v>64</v>
      </c>
      <c r="U3501" s="10" t="s">
        <v>64</v>
      </c>
      <c r="V3501" s="10"/>
      <c r="W3501" s="10"/>
      <c r="X3501" s="10"/>
      <c r="Y3501" s="10"/>
      <c r="Z3501" s="11"/>
      <c r="AA3501" s="81"/>
      <c r="AB3501" s="81"/>
      <c r="AC3501" s="116">
        <v>6.6E-3</v>
      </c>
      <c r="AD3501" s="11"/>
      <c r="AE3501" s="11"/>
      <c r="AF3501" s="10"/>
      <c r="AG3501" s="10"/>
      <c r="AH3501" s="345" t="s">
        <v>353</v>
      </c>
      <c r="AI3501" s="18">
        <v>25.544649399590195</v>
      </c>
      <c r="AJ3501" s="17">
        <v>1</v>
      </c>
      <c r="AK3501" s="17">
        <v>1</v>
      </c>
      <c r="AL3501" s="17">
        <v>0.73080807433160977</v>
      </c>
      <c r="AM3501" s="17">
        <v>0.54644331845097449</v>
      </c>
      <c r="AN3501" s="17">
        <v>0.39631591278624673</v>
      </c>
      <c r="AO3501" s="17">
        <v>0.2792339156466061</v>
      </c>
      <c r="AP3501" s="17">
        <v>0.19630809706650895</v>
      </c>
      <c r="AQ3501" s="17">
        <v>0.12747538690820326</v>
      </c>
      <c r="AR3501" s="17">
        <v>7.9380000000000006E-2</v>
      </c>
      <c r="AS3501" s="17">
        <v>4.3240000000000001E-2</v>
      </c>
      <c r="AT3501" s="17">
        <v>1.779E-2</v>
      </c>
      <c r="AU3501" s="18">
        <v>64</v>
      </c>
      <c r="AV3501" s="17">
        <v>1</v>
      </c>
      <c r="AW3501" s="17">
        <v>1</v>
      </c>
      <c r="AX3501" s="17">
        <v>1</v>
      </c>
      <c r="AY3501" s="17">
        <v>0.90638632061802404</v>
      </c>
      <c r="AZ3501" s="17">
        <v>0.49042838891049451</v>
      </c>
      <c r="BA3501" s="17">
        <v>0.15261898551134029</v>
      </c>
      <c r="BB3501" s="17">
        <v>5.5500426061629214E-2</v>
      </c>
      <c r="BC3501" s="17">
        <v>3.4351200762564059E-2</v>
      </c>
      <c r="BD3501" s="17">
        <v>2.3004929146135087E-2</v>
      </c>
      <c r="BE3501" s="17">
        <v>1.5112562947126358E-2</v>
      </c>
      <c r="BF3501" s="17">
        <v>1.162E-2</v>
      </c>
      <c r="BG3501" s="17">
        <v>8.7500000000000008E-3</v>
      </c>
      <c r="BH3501" s="17">
        <v>4.6800000000000001E-3</v>
      </c>
      <c r="BI3501" s="4">
        <f>AU3501/AI3501</f>
        <v>2.5054170444408892</v>
      </c>
      <c r="BJ3501" s="2" t="s">
        <v>68</v>
      </c>
      <c r="BK3501" s="2" t="s">
        <v>68</v>
      </c>
      <c r="BL3501" s="12">
        <v>12.684100000000001</v>
      </c>
      <c r="BM3501" s="12"/>
      <c r="BN3501" s="12"/>
      <c r="BO3501" s="12"/>
      <c r="BP3501" s="12"/>
      <c r="BQ3501" s="12"/>
      <c r="BR3501" s="12" t="s">
        <v>29</v>
      </c>
      <c r="BS3501" s="12"/>
      <c r="BT3501" s="12"/>
      <c r="BU3501" s="2"/>
      <c r="BV3501" s="2"/>
      <c r="BW3501" s="2"/>
      <c r="BX3501" s="2"/>
      <c r="BY3501" s="2"/>
      <c r="BZ3501" s="2"/>
      <c r="CA3501" s="381"/>
      <c r="CB3501" s="9" t="s">
        <v>224</v>
      </c>
    </row>
    <row r="3502" spans="1:80" s="87" customFormat="1" ht="15" x14ac:dyDescent="0.25">
      <c r="A3502" s="152"/>
      <c r="B3502" s="683"/>
      <c r="C3502" s="683"/>
      <c r="D3502" s="698"/>
      <c r="E3502" s="215"/>
      <c r="F3502" s="215"/>
      <c r="G3502" s="153"/>
      <c r="H3502" s="153"/>
      <c r="I3502" s="165">
        <v>20</v>
      </c>
      <c r="J3502" s="165">
        <v>30</v>
      </c>
      <c r="K3502" s="150">
        <v>1</v>
      </c>
      <c r="L3502" s="656">
        <v>10</v>
      </c>
      <c r="M3502" s="663">
        <v>36305</v>
      </c>
      <c r="N3502" s="600">
        <v>12.825699999999999</v>
      </c>
      <c r="O3502" s="604">
        <v>3.7470000000000003E-2</v>
      </c>
      <c r="P3502" s="150"/>
      <c r="Q3502" s="250"/>
      <c r="R3502" s="250"/>
      <c r="S3502" s="250">
        <v>3.1E-2</v>
      </c>
      <c r="T3502" s="250">
        <v>5.0999999999999997E-2</v>
      </c>
      <c r="U3502" s="250">
        <v>0.16</v>
      </c>
      <c r="V3502" s="250">
        <v>0.34799999999999998</v>
      </c>
      <c r="W3502" s="250">
        <v>0.28600000000000003</v>
      </c>
      <c r="X3502" s="250">
        <v>0.12</v>
      </c>
      <c r="Y3502" s="250">
        <v>3.0000000000000001E-3</v>
      </c>
      <c r="Z3502" s="150">
        <v>19</v>
      </c>
      <c r="AA3502" s="150">
        <v>1.2</v>
      </c>
      <c r="AB3502" s="152"/>
      <c r="AC3502" s="152"/>
      <c r="AD3502" s="223">
        <v>12.039205000000001</v>
      </c>
      <c r="AE3502" s="223">
        <v>0.88389099999999998</v>
      </c>
      <c r="AF3502" s="223">
        <v>10.68281</v>
      </c>
      <c r="AG3502" s="223">
        <v>1.3258365000000001</v>
      </c>
      <c r="AH3502" s="341"/>
      <c r="AI3502" s="218"/>
      <c r="AJ3502" s="218"/>
      <c r="AK3502" s="153"/>
      <c r="AL3502" s="152"/>
      <c r="AM3502" s="152"/>
      <c r="AN3502" s="152"/>
      <c r="AO3502" s="152"/>
      <c r="AP3502" s="152"/>
      <c r="AQ3502" s="152"/>
      <c r="AR3502" s="152"/>
      <c r="AS3502" s="152"/>
      <c r="AT3502" s="152"/>
      <c r="AU3502" s="157">
        <v>61</v>
      </c>
      <c r="AV3502" s="158">
        <v>1</v>
      </c>
      <c r="AW3502" s="158">
        <v>1</v>
      </c>
      <c r="AX3502" s="158">
        <v>1</v>
      </c>
      <c r="AY3502" s="158">
        <v>0.85046699999999997</v>
      </c>
      <c r="AZ3502" s="158">
        <v>0.510903</v>
      </c>
      <c r="BA3502" s="158">
        <v>0.21806900000000001</v>
      </c>
      <c r="BB3502" s="158">
        <v>0.13395599999999999</v>
      </c>
      <c r="BC3502" s="158">
        <v>0.10903400000000001</v>
      </c>
      <c r="BD3502" s="158">
        <v>7.7881599999999995E-2</v>
      </c>
      <c r="BE3502" s="158">
        <v>6.2305300000000001E-2</v>
      </c>
      <c r="BF3502" s="158"/>
      <c r="BG3502" s="158"/>
      <c r="BH3502" s="158"/>
      <c r="BI3502" s="156">
        <f>AU3502/AI3501</f>
        <v>2.3879756204827225</v>
      </c>
      <c r="BJ3502" s="155" t="s">
        <v>68</v>
      </c>
      <c r="BK3502" s="155" t="s">
        <v>175</v>
      </c>
      <c r="BL3502" s="153"/>
      <c r="BM3502" s="153"/>
      <c r="BN3502" s="153"/>
      <c r="BO3502" s="153"/>
      <c r="BP3502" s="153"/>
      <c r="BQ3502" s="153"/>
      <c r="BR3502" s="153"/>
      <c r="BS3502" s="153"/>
      <c r="BT3502" s="153"/>
      <c r="BU3502" s="153"/>
      <c r="BV3502" s="153"/>
      <c r="BW3502" s="153"/>
      <c r="BX3502" s="153"/>
      <c r="BY3502" s="153"/>
      <c r="BZ3502" s="153"/>
      <c r="CA3502" s="152"/>
      <c r="CB3502" s="486" t="s">
        <v>638</v>
      </c>
    </row>
    <row r="3503" spans="1:80" s="87" customFormat="1" ht="15" x14ac:dyDescent="0.25">
      <c r="A3503" s="152"/>
      <c r="B3503" s="683"/>
      <c r="C3503" s="683"/>
      <c r="D3503" s="698"/>
      <c r="E3503" s="215"/>
      <c r="F3503" s="215"/>
      <c r="G3503" s="153"/>
      <c r="H3503" s="153"/>
      <c r="I3503" s="165">
        <v>20</v>
      </c>
      <c r="J3503" s="165">
        <v>30</v>
      </c>
      <c r="K3503" s="150">
        <v>1</v>
      </c>
      <c r="L3503" s="656">
        <v>10</v>
      </c>
      <c r="M3503" s="663">
        <v>36305</v>
      </c>
      <c r="N3503" s="600">
        <v>13.052199999999999</v>
      </c>
      <c r="O3503" s="604">
        <v>7.6513999999999999E-2</v>
      </c>
      <c r="P3503" s="150"/>
      <c r="Q3503" s="250"/>
      <c r="R3503" s="250"/>
      <c r="S3503" s="250">
        <v>0.10199999999999999</v>
      </c>
      <c r="T3503" s="250">
        <v>6.5000000000000002E-2</v>
      </c>
      <c r="U3503" s="250">
        <v>0.14300000000000002</v>
      </c>
      <c r="V3503" s="250">
        <v>0.27300000000000002</v>
      </c>
      <c r="W3503" s="250">
        <v>0.26400000000000001</v>
      </c>
      <c r="X3503" s="250">
        <v>0.14300000000000002</v>
      </c>
      <c r="Y3503" s="250">
        <v>0.01</v>
      </c>
      <c r="Z3503" s="150">
        <v>19</v>
      </c>
      <c r="AA3503" s="150">
        <v>1.23</v>
      </c>
      <c r="AB3503" s="152"/>
      <c r="AC3503" s="152"/>
      <c r="AD3503" s="223">
        <v>12.039205000000001</v>
      </c>
      <c r="AE3503" s="223">
        <v>0.88389099999999998</v>
      </c>
      <c r="AF3503" s="223">
        <v>10.68281</v>
      </c>
      <c r="AG3503" s="223">
        <v>1.3258365000000001</v>
      </c>
      <c r="AH3503" s="341"/>
      <c r="AI3503" s="218"/>
      <c r="AJ3503" s="218"/>
      <c r="AK3503" s="153"/>
      <c r="AL3503" s="152"/>
      <c r="AM3503" s="152"/>
      <c r="AN3503" s="152"/>
      <c r="AO3503" s="152"/>
      <c r="AP3503" s="152"/>
      <c r="AQ3503" s="152"/>
      <c r="AR3503" s="152"/>
      <c r="AS3503" s="152"/>
      <c r="AT3503" s="152"/>
      <c r="AU3503" s="153"/>
      <c r="AV3503" s="479"/>
      <c r="AW3503" s="479"/>
      <c r="AX3503" s="442"/>
      <c r="AY3503" s="153"/>
      <c r="AZ3503" s="152"/>
      <c r="BA3503" s="152"/>
      <c r="BB3503" s="152"/>
      <c r="BC3503" s="152"/>
      <c r="BD3503" s="152"/>
      <c r="BE3503" s="152"/>
      <c r="BF3503" s="152"/>
      <c r="BG3503" s="152"/>
      <c r="BH3503" s="152"/>
      <c r="BI3503" s="153"/>
      <c r="BJ3503" s="153"/>
      <c r="BK3503" s="153"/>
      <c r="BL3503" s="153"/>
      <c r="BM3503" s="153"/>
      <c r="BN3503" s="153"/>
      <c r="BO3503" s="153"/>
      <c r="BP3503" s="153"/>
      <c r="BQ3503" s="153"/>
      <c r="BR3503" s="153"/>
      <c r="BS3503" s="153"/>
      <c r="BT3503" s="153"/>
      <c r="BU3503" s="153"/>
      <c r="BV3503" s="153"/>
      <c r="BW3503" s="153"/>
      <c r="BX3503" s="153"/>
      <c r="BY3503" s="153"/>
      <c r="BZ3503" s="153"/>
      <c r="CA3503" s="152"/>
      <c r="CB3503" s="486" t="s">
        <v>639</v>
      </c>
    </row>
    <row r="3504" spans="1:80" s="87" customFormat="1" ht="15" x14ac:dyDescent="0.25">
      <c r="A3504" s="152"/>
      <c r="B3504" s="683"/>
      <c r="C3504" s="683"/>
      <c r="D3504" s="698"/>
      <c r="E3504" s="215"/>
      <c r="F3504" s="215"/>
      <c r="G3504" s="153"/>
      <c r="H3504" s="153"/>
      <c r="I3504" s="165">
        <v>20</v>
      </c>
      <c r="J3504" s="165">
        <v>30</v>
      </c>
      <c r="K3504" s="150">
        <v>1</v>
      </c>
      <c r="L3504" s="656">
        <v>10</v>
      </c>
      <c r="M3504" s="663">
        <v>36306</v>
      </c>
      <c r="N3504" s="600">
        <v>14.241300000000001</v>
      </c>
      <c r="O3504" s="604">
        <v>0.184725</v>
      </c>
      <c r="P3504" s="150"/>
      <c r="Q3504" s="250"/>
      <c r="R3504" s="250">
        <v>0.11900000000000001</v>
      </c>
      <c r="S3504" s="250">
        <v>8.199999999999999E-2</v>
      </c>
      <c r="T3504" s="250">
        <v>0.08</v>
      </c>
      <c r="U3504" s="250">
        <v>0.151</v>
      </c>
      <c r="V3504" s="250">
        <v>0.253</v>
      </c>
      <c r="W3504" s="250">
        <v>0.21600000000000003</v>
      </c>
      <c r="X3504" s="250">
        <v>9.1999999999999998E-2</v>
      </c>
      <c r="Y3504" s="250">
        <v>6.9999999999999993E-3</v>
      </c>
      <c r="Z3504" s="150">
        <v>29.5</v>
      </c>
      <c r="AA3504" s="150">
        <v>1.66</v>
      </c>
      <c r="AB3504" s="152"/>
      <c r="AC3504" s="152"/>
      <c r="AD3504" s="223">
        <v>12.191599999999999</v>
      </c>
      <c r="AE3504" s="223">
        <v>0.93570529999999996</v>
      </c>
      <c r="AF3504" s="223">
        <v>11.425962</v>
      </c>
      <c r="AG3504" s="223">
        <v>1.2953574999999999</v>
      </c>
      <c r="AH3504" s="341"/>
      <c r="AI3504" s="218"/>
      <c r="AJ3504" s="218"/>
      <c r="AK3504" s="153"/>
      <c r="AL3504" s="152"/>
      <c r="AM3504" s="152"/>
      <c r="AN3504" s="152"/>
      <c r="AO3504" s="152"/>
      <c r="AP3504" s="152"/>
      <c r="AQ3504" s="152"/>
      <c r="AR3504" s="152"/>
      <c r="AS3504" s="152"/>
      <c r="AT3504" s="152"/>
      <c r="AU3504" s="153"/>
      <c r="AV3504" s="479"/>
      <c r="AW3504" s="479"/>
      <c r="AX3504" s="442"/>
      <c r="AY3504" s="153"/>
      <c r="AZ3504" s="152"/>
      <c r="BA3504" s="152"/>
      <c r="BB3504" s="152"/>
      <c r="BC3504" s="152"/>
      <c r="BD3504" s="152"/>
      <c r="BE3504" s="152"/>
      <c r="BF3504" s="152"/>
      <c r="BG3504" s="152"/>
      <c r="BH3504" s="152"/>
      <c r="BI3504" s="153"/>
      <c r="BJ3504" s="153"/>
      <c r="BK3504" s="153"/>
      <c r="BL3504" s="153"/>
      <c r="BM3504" s="153"/>
      <c r="BN3504" s="153"/>
      <c r="BO3504" s="153"/>
      <c r="BP3504" s="153"/>
      <c r="BQ3504" s="153"/>
      <c r="BR3504" s="153"/>
      <c r="BS3504" s="153"/>
      <c r="BT3504" s="153"/>
      <c r="BU3504" s="153"/>
      <c r="BV3504" s="153"/>
      <c r="BW3504" s="153"/>
      <c r="BX3504" s="153"/>
      <c r="BY3504" s="153"/>
      <c r="BZ3504" s="153"/>
      <c r="CA3504" s="152"/>
      <c r="CB3504" s="486" t="s">
        <v>640</v>
      </c>
    </row>
    <row r="3505" spans="1:80" s="87" customFormat="1" ht="15" x14ac:dyDescent="0.25">
      <c r="A3505" s="152"/>
      <c r="B3505" s="683"/>
      <c r="C3505" s="683"/>
      <c r="D3505" s="698"/>
      <c r="E3505" s="215"/>
      <c r="F3505" s="215"/>
      <c r="G3505" s="153"/>
      <c r="H3505" s="153"/>
      <c r="I3505" s="165">
        <v>20</v>
      </c>
      <c r="J3505" s="165">
        <v>30</v>
      </c>
      <c r="K3505" s="150">
        <v>1</v>
      </c>
      <c r="L3505" s="656">
        <v>10</v>
      </c>
      <c r="M3505" s="663">
        <v>36306</v>
      </c>
      <c r="N3505" s="600">
        <v>14.241300000000001</v>
      </c>
      <c r="O3505" s="604">
        <v>0.113354</v>
      </c>
      <c r="P3505" s="150"/>
      <c r="Q3505" s="250"/>
      <c r="R3505" s="250"/>
      <c r="S3505" s="250">
        <v>4.0999999999999995E-2</v>
      </c>
      <c r="T3505" s="250">
        <v>4.0999999999999995E-2</v>
      </c>
      <c r="U3505" s="250">
        <v>0.121</v>
      </c>
      <c r="V3505" s="250">
        <v>0.33</v>
      </c>
      <c r="W3505" s="250">
        <v>0.33200000000000002</v>
      </c>
      <c r="X3505" s="250">
        <v>0.10199999999999999</v>
      </c>
      <c r="Y3505" s="250">
        <v>3.4000000000000002E-2</v>
      </c>
      <c r="Z3505" s="150">
        <v>19</v>
      </c>
      <c r="AA3505" s="150">
        <v>1.07</v>
      </c>
      <c r="AB3505" s="152"/>
      <c r="AC3505" s="152"/>
      <c r="AD3505" s="223">
        <v>12.191599999999999</v>
      </c>
      <c r="AE3505" s="223">
        <v>0.93570529999999996</v>
      </c>
      <c r="AF3505" s="223">
        <v>11.425962</v>
      </c>
      <c r="AG3505" s="223">
        <v>1.2953574999999999</v>
      </c>
      <c r="AH3505" s="341"/>
      <c r="AI3505" s="218"/>
      <c r="AJ3505" s="218"/>
      <c r="AK3505" s="153"/>
      <c r="AL3505" s="152"/>
      <c r="AM3505" s="152"/>
      <c r="AN3505" s="152"/>
      <c r="AO3505" s="152"/>
      <c r="AP3505" s="152"/>
      <c r="AQ3505" s="152"/>
      <c r="AR3505" s="152"/>
      <c r="AS3505" s="152"/>
      <c r="AT3505" s="152"/>
      <c r="AU3505" s="153"/>
      <c r="AV3505" s="479"/>
      <c r="AW3505" s="479"/>
      <c r="AX3505" s="442"/>
      <c r="AY3505" s="153"/>
      <c r="AZ3505" s="152"/>
      <c r="BA3505" s="152"/>
      <c r="BB3505" s="152"/>
      <c r="BC3505" s="152"/>
      <c r="BD3505" s="152"/>
      <c r="BE3505" s="152"/>
      <c r="BF3505" s="152"/>
      <c r="BG3505" s="152"/>
      <c r="BH3505" s="152"/>
      <c r="BI3505" s="153"/>
      <c r="BJ3505" s="153"/>
      <c r="BK3505" s="153"/>
      <c r="BL3505" s="153"/>
      <c r="BM3505" s="153"/>
      <c r="BN3505" s="153"/>
      <c r="BO3505" s="153"/>
      <c r="BP3505" s="153"/>
      <c r="BQ3505" s="153"/>
      <c r="BR3505" s="153"/>
      <c r="BS3505" s="153"/>
      <c r="BT3505" s="153"/>
      <c r="BU3505" s="153"/>
      <c r="BV3505" s="153"/>
      <c r="BW3505" s="153"/>
      <c r="BX3505" s="153"/>
      <c r="BY3505" s="153"/>
      <c r="BZ3505" s="153"/>
      <c r="CA3505" s="152"/>
      <c r="CB3505" s="152"/>
    </row>
    <row r="3506" spans="1:80" s="87" customFormat="1" ht="15" x14ac:dyDescent="0.25">
      <c r="A3506" s="152"/>
      <c r="B3506" s="683"/>
      <c r="C3506" s="683"/>
      <c r="D3506" s="698"/>
      <c r="E3506" s="215"/>
      <c r="F3506" s="215"/>
      <c r="G3506" s="153"/>
      <c r="H3506" s="153"/>
      <c r="I3506" s="165">
        <v>20</v>
      </c>
      <c r="J3506" s="165">
        <v>30</v>
      </c>
      <c r="K3506" s="150">
        <v>1</v>
      </c>
      <c r="L3506" s="656">
        <v>10</v>
      </c>
      <c r="M3506" s="663">
        <v>36307</v>
      </c>
      <c r="N3506" s="600">
        <v>14.609400000000001</v>
      </c>
      <c r="O3506" s="604">
        <v>0.24664900000000001</v>
      </c>
      <c r="P3506" s="150"/>
      <c r="Q3506" s="250">
        <v>0.19600000000000001</v>
      </c>
      <c r="R3506" s="250">
        <v>2.2000000000000002E-2</v>
      </c>
      <c r="S3506" s="250">
        <v>3.9E-2</v>
      </c>
      <c r="T3506" s="250">
        <v>4.2000000000000003E-2</v>
      </c>
      <c r="U3506" s="250">
        <v>0.114</v>
      </c>
      <c r="V3506" s="250">
        <v>0.27699999999999997</v>
      </c>
      <c r="W3506" s="250">
        <v>0.23100000000000001</v>
      </c>
      <c r="X3506" s="250">
        <v>7.400000000000001E-2</v>
      </c>
      <c r="Y3506" s="250">
        <v>5.0000000000000001E-3</v>
      </c>
      <c r="Z3506" s="150">
        <v>65</v>
      </c>
      <c r="AA3506" s="150">
        <v>1.61</v>
      </c>
      <c r="AB3506" s="152"/>
      <c r="AC3506" s="152"/>
      <c r="AD3506" s="223"/>
      <c r="AE3506" s="223"/>
      <c r="AF3506" s="223"/>
      <c r="AG3506" s="223"/>
      <c r="AH3506" s="341"/>
      <c r="AI3506" s="218"/>
      <c r="AJ3506" s="218"/>
      <c r="AK3506" s="153"/>
      <c r="AL3506" s="152"/>
      <c r="AM3506" s="152"/>
      <c r="AN3506" s="152"/>
      <c r="AO3506" s="152"/>
      <c r="AP3506" s="152"/>
      <c r="AQ3506" s="152"/>
      <c r="AR3506" s="152"/>
      <c r="AS3506" s="152"/>
      <c r="AT3506" s="152"/>
      <c r="AU3506" s="153"/>
      <c r="AV3506" s="479"/>
      <c r="AW3506" s="479"/>
      <c r="AX3506" s="442"/>
      <c r="AY3506" s="153"/>
      <c r="AZ3506" s="152"/>
      <c r="BA3506" s="152"/>
      <c r="BB3506" s="152"/>
      <c r="BC3506" s="152"/>
      <c r="BD3506" s="152"/>
      <c r="BE3506" s="152"/>
      <c r="BF3506" s="152"/>
      <c r="BG3506" s="152"/>
      <c r="BH3506" s="152"/>
      <c r="BI3506" s="153"/>
      <c r="BJ3506" s="153"/>
      <c r="BK3506" s="153"/>
      <c r="BL3506" s="153"/>
      <c r="BM3506" s="153"/>
      <c r="BN3506" s="153"/>
      <c r="BO3506" s="153"/>
      <c r="BP3506" s="153"/>
      <c r="BQ3506" s="153"/>
      <c r="BR3506" s="153"/>
      <c r="BS3506" s="153"/>
      <c r="BT3506" s="153"/>
      <c r="BU3506" s="153"/>
      <c r="BV3506" s="153"/>
      <c r="BW3506" s="153"/>
      <c r="BX3506" s="153"/>
      <c r="BY3506" s="153"/>
      <c r="BZ3506" s="153"/>
      <c r="CA3506" s="152"/>
      <c r="CB3506" s="152"/>
    </row>
    <row r="3507" spans="1:80" s="87" customFormat="1" ht="15" x14ac:dyDescent="0.25">
      <c r="A3507" s="152"/>
      <c r="B3507" s="683"/>
      <c r="C3507" s="683"/>
      <c r="D3507" s="698"/>
      <c r="E3507" s="215"/>
      <c r="F3507" s="215"/>
      <c r="G3507" s="153"/>
      <c r="H3507" s="153"/>
      <c r="I3507" s="165">
        <v>20</v>
      </c>
      <c r="J3507" s="165">
        <v>30</v>
      </c>
      <c r="K3507" s="150">
        <v>1</v>
      </c>
      <c r="L3507" s="656">
        <v>10</v>
      </c>
      <c r="M3507" s="663">
        <v>36307</v>
      </c>
      <c r="N3507" s="600">
        <v>14.3545</v>
      </c>
      <c r="O3507" s="604">
        <v>0.42192800000000003</v>
      </c>
      <c r="P3507" s="150"/>
      <c r="Q3507" s="250">
        <v>3.6000000000000004E-2</v>
      </c>
      <c r="R3507" s="250">
        <v>7.4999999999999997E-2</v>
      </c>
      <c r="S3507" s="250">
        <v>8.900000000000001E-2</v>
      </c>
      <c r="T3507" s="250">
        <v>9.6000000000000002E-2</v>
      </c>
      <c r="U3507" s="250">
        <v>0.17800000000000002</v>
      </c>
      <c r="V3507" s="250">
        <v>0.27</v>
      </c>
      <c r="W3507" s="250">
        <v>0.19800000000000001</v>
      </c>
      <c r="X3507" s="250">
        <v>5.2999999999999999E-2</v>
      </c>
      <c r="Y3507" s="250">
        <v>5.0000000000000001E-3</v>
      </c>
      <c r="Z3507" s="150">
        <v>48</v>
      </c>
      <c r="AA3507" s="150">
        <v>1.87</v>
      </c>
      <c r="AB3507" s="152"/>
      <c r="AC3507" s="152"/>
      <c r="AD3507" s="223"/>
      <c r="AE3507" s="223"/>
      <c r="AF3507" s="223"/>
      <c r="AG3507" s="223"/>
      <c r="AH3507" s="341"/>
      <c r="AI3507" s="218"/>
      <c r="AJ3507" s="218"/>
      <c r="AK3507" s="153"/>
      <c r="AL3507" s="152"/>
      <c r="AM3507" s="152"/>
      <c r="AN3507" s="152"/>
      <c r="AO3507" s="152"/>
      <c r="AP3507" s="152"/>
      <c r="AQ3507" s="152"/>
      <c r="AR3507" s="152"/>
      <c r="AS3507" s="152"/>
      <c r="AT3507" s="152"/>
      <c r="AU3507" s="153"/>
      <c r="AV3507" s="479"/>
      <c r="AW3507" s="479"/>
      <c r="AX3507" s="442"/>
      <c r="AY3507" s="153"/>
      <c r="AZ3507" s="152"/>
      <c r="BA3507" s="152"/>
      <c r="BB3507" s="152"/>
      <c r="BC3507" s="152"/>
      <c r="BD3507" s="152"/>
      <c r="BE3507" s="152"/>
      <c r="BF3507" s="152"/>
      <c r="BG3507" s="152"/>
      <c r="BH3507" s="152"/>
      <c r="BI3507" s="153"/>
      <c r="BJ3507" s="153"/>
      <c r="BK3507" s="153"/>
      <c r="BL3507" s="153"/>
      <c r="BM3507" s="153"/>
      <c r="BN3507" s="153"/>
      <c r="BO3507" s="153"/>
      <c r="BP3507" s="153"/>
      <c r="BQ3507" s="153"/>
      <c r="BR3507" s="153"/>
      <c r="BS3507" s="153"/>
      <c r="BT3507" s="153"/>
      <c r="BU3507" s="153"/>
      <c r="BV3507" s="153"/>
      <c r="BW3507" s="153"/>
      <c r="BX3507" s="153"/>
      <c r="BY3507" s="153"/>
      <c r="BZ3507" s="153"/>
      <c r="CA3507" s="152"/>
      <c r="CB3507" s="152"/>
    </row>
    <row r="3508" spans="1:80" s="87" customFormat="1" ht="15" x14ac:dyDescent="0.25">
      <c r="A3508" s="152"/>
      <c r="B3508" s="683"/>
      <c r="C3508" s="683"/>
      <c r="D3508" s="698"/>
      <c r="E3508" s="215"/>
      <c r="F3508" s="215"/>
      <c r="G3508" s="153"/>
      <c r="H3508" s="153"/>
      <c r="I3508" s="165">
        <v>20</v>
      </c>
      <c r="J3508" s="165">
        <v>30</v>
      </c>
      <c r="K3508" s="150">
        <v>1</v>
      </c>
      <c r="L3508" s="656">
        <v>10</v>
      </c>
      <c r="M3508" s="663">
        <v>36308</v>
      </c>
      <c r="N3508" s="600">
        <v>14.609400000000001</v>
      </c>
      <c r="O3508" s="604">
        <v>0.468109</v>
      </c>
      <c r="P3508" s="150"/>
      <c r="Q3508" s="250"/>
      <c r="R3508" s="250">
        <v>0.16200000000000001</v>
      </c>
      <c r="S3508" s="250">
        <v>9.0999999999999998E-2</v>
      </c>
      <c r="T3508" s="250">
        <v>0.10300000000000001</v>
      </c>
      <c r="U3508" s="250">
        <v>0.13200000000000001</v>
      </c>
      <c r="V3508" s="250">
        <v>0.255</v>
      </c>
      <c r="W3508" s="250">
        <v>0.19899999999999998</v>
      </c>
      <c r="X3508" s="250">
        <v>5.4000000000000006E-2</v>
      </c>
      <c r="Y3508" s="250">
        <v>4.0000000000000001E-3</v>
      </c>
      <c r="Z3508" s="150">
        <v>32</v>
      </c>
      <c r="AA3508" s="150">
        <v>1.94</v>
      </c>
      <c r="AB3508" s="152"/>
      <c r="AC3508" s="152"/>
      <c r="AD3508" s="223">
        <v>12.80118</v>
      </c>
      <c r="AE3508" s="223">
        <v>0.8777952</v>
      </c>
      <c r="AF3508" s="223">
        <v>11.240174</v>
      </c>
      <c r="AG3508" s="223">
        <v>1.2740222000000001</v>
      </c>
      <c r="AH3508" s="341"/>
      <c r="AI3508" s="218"/>
      <c r="AJ3508" s="218"/>
      <c r="AK3508" s="153"/>
      <c r="AL3508" s="152"/>
      <c r="AM3508" s="152"/>
      <c r="AN3508" s="152"/>
      <c r="AO3508" s="152"/>
      <c r="AP3508" s="152"/>
      <c r="AQ3508" s="152"/>
      <c r="AR3508" s="152"/>
      <c r="AS3508" s="152"/>
      <c r="AT3508" s="152"/>
      <c r="AU3508" s="153"/>
      <c r="AV3508" s="479"/>
      <c r="AW3508" s="479"/>
      <c r="AX3508" s="442"/>
      <c r="AY3508" s="153"/>
      <c r="AZ3508" s="152"/>
      <c r="BA3508" s="152"/>
      <c r="BB3508" s="152"/>
      <c r="BC3508" s="152"/>
      <c r="BD3508" s="152"/>
      <c r="BE3508" s="152"/>
      <c r="BF3508" s="152"/>
      <c r="BG3508" s="152"/>
      <c r="BH3508" s="152"/>
      <c r="BI3508" s="153"/>
      <c r="BJ3508" s="153"/>
      <c r="BK3508" s="153"/>
      <c r="BL3508" s="153"/>
      <c r="BM3508" s="153"/>
      <c r="BN3508" s="153"/>
      <c r="BO3508" s="153"/>
      <c r="BP3508" s="153"/>
      <c r="BQ3508" s="153"/>
      <c r="BR3508" s="153"/>
      <c r="BS3508" s="153"/>
      <c r="BT3508" s="153"/>
      <c r="BU3508" s="153"/>
      <c r="BV3508" s="153"/>
      <c r="BW3508" s="153"/>
      <c r="BX3508" s="153"/>
      <c r="BY3508" s="153"/>
      <c r="BZ3508" s="153"/>
      <c r="CA3508" s="152"/>
      <c r="CB3508" s="152"/>
    </row>
    <row r="3509" spans="1:80" s="87" customFormat="1" ht="15" x14ac:dyDescent="0.25">
      <c r="A3509" s="152"/>
      <c r="B3509" s="683"/>
      <c r="C3509" s="683"/>
      <c r="D3509" s="698"/>
      <c r="E3509" s="215"/>
      <c r="F3509" s="215"/>
      <c r="G3509" s="153"/>
      <c r="H3509" s="153"/>
      <c r="I3509" s="165">
        <v>20</v>
      </c>
      <c r="J3509" s="165">
        <v>30</v>
      </c>
      <c r="K3509" s="150">
        <v>1</v>
      </c>
      <c r="L3509" s="656">
        <v>10</v>
      </c>
      <c r="M3509" s="663">
        <v>36308</v>
      </c>
      <c r="N3509" s="600">
        <v>14.4961</v>
      </c>
      <c r="O3509" s="604">
        <v>0.40303499999999998</v>
      </c>
      <c r="P3509" s="150"/>
      <c r="Q3509" s="250">
        <v>7.2999999999999995E-2</v>
      </c>
      <c r="R3509" s="250">
        <v>0.06</v>
      </c>
      <c r="S3509" s="250">
        <v>7.8E-2</v>
      </c>
      <c r="T3509" s="250">
        <v>7.6999999999999999E-2</v>
      </c>
      <c r="U3509" s="250">
        <v>0.17300000000000001</v>
      </c>
      <c r="V3509" s="250">
        <v>0.313</v>
      </c>
      <c r="W3509" s="250">
        <v>0.17300000000000001</v>
      </c>
      <c r="X3509" s="250">
        <v>0.05</v>
      </c>
      <c r="Y3509" s="250">
        <v>3.0000000000000001E-3</v>
      </c>
      <c r="Z3509" s="150">
        <v>72</v>
      </c>
      <c r="AA3509" s="150">
        <v>1.83</v>
      </c>
      <c r="AB3509" s="152"/>
      <c r="AC3509" s="152"/>
      <c r="AD3509" s="223">
        <v>12.80118</v>
      </c>
      <c r="AE3509" s="223">
        <v>0.8777952</v>
      </c>
      <c r="AF3509" s="223">
        <v>11.240174</v>
      </c>
      <c r="AG3509" s="223">
        <v>1.2740222000000001</v>
      </c>
      <c r="AH3509" s="341"/>
      <c r="AI3509" s="218"/>
      <c r="AJ3509" s="218"/>
      <c r="AK3509" s="153"/>
      <c r="AL3509" s="152"/>
      <c r="AM3509" s="152"/>
      <c r="AN3509" s="152"/>
      <c r="AO3509" s="152"/>
      <c r="AP3509" s="152"/>
      <c r="AQ3509" s="152"/>
      <c r="AR3509" s="152"/>
      <c r="AS3509" s="152"/>
      <c r="AT3509" s="152"/>
      <c r="AU3509" s="153"/>
      <c r="AV3509" s="479"/>
      <c r="AW3509" s="479"/>
      <c r="AX3509" s="442"/>
      <c r="AY3509" s="153"/>
      <c r="AZ3509" s="152"/>
      <c r="BA3509" s="152"/>
      <c r="BB3509" s="152"/>
      <c r="BC3509" s="152"/>
      <c r="BD3509" s="152"/>
      <c r="BE3509" s="152"/>
      <c r="BF3509" s="152"/>
      <c r="BG3509" s="152"/>
      <c r="BH3509" s="152"/>
      <c r="BI3509" s="153"/>
      <c r="BJ3509" s="153"/>
      <c r="BK3509" s="153"/>
      <c r="BL3509" s="153"/>
      <c r="BM3509" s="153"/>
      <c r="BN3509" s="153"/>
      <c r="BO3509" s="153"/>
      <c r="BP3509" s="153"/>
      <c r="BQ3509" s="153"/>
      <c r="BR3509" s="153"/>
      <c r="BS3509" s="153"/>
      <c r="BT3509" s="153"/>
      <c r="BU3509" s="153"/>
      <c r="BV3509" s="153"/>
      <c r="BW3509" s="153"/>
      <c r="BX3509" s="153"/>
      <c r="BY3509" s="153"/>
      <c r="BZ3509" s="153"/>
      <c r="CA3509" s="152"/>
      <c r="CB3509" s="152"/>
    </row>
    <row r="3510" spans="1:80" s="87" customFormat="1" ht="15" x14ac:dyDescent="0.25">
      <c r="A3510" s="152"/>
      <c r="B3510" s="683"/>
      <c r="C3510" s="683"/>
      <c r="D3510" s="698"/>
      <c r="E3510" s="215"/>
      <c r="F3510" s="215"/>
      <c r="G3510" s="153"/>
      <c r="H3510" s="153"/>
      <c r="I3510" s="165">
        <v>20</v>
      </c>
      <c r="J3510" s="165">
        <v>30</v>
      </c>
      <c r="K3510" s="150">
        <v>1</v>
      </c>
      <c r="L3510" s="656">
        <v>10</v>
      </c>
      <c r="M3510" s="663">
        <v>36309</v>
      </c>
      <c r="N3510" s="600">
        <v>16.874400000000001</v>
      </c>
      <c r="O3510" s="604">
        <v>0.84175599999999995</v>
      </c>
      <c r="P3510" s="150"/>
      <c r="Q3510" s="250">
        <v>2.8999999999999998E-2</v>
      </c>
      <c r="R3510" s="250">
        <v>0.127</v>
      </c>
      <c r="S3510" s="250">
        <v>0.14499999999999999</v>
      </c>
      <c r="T3510" s="250">
        <v>0.16399999999999998</v>
      </c>
      <c r="U3510" s="250">
        <v>0.19600000000000001</v>
      </c>
      <c r="V3510" s="250">
        <v>0.20300000000000001</v>
      </c>
      <c r="W3510" s="250">
        <v>0.1</v>
      </c>
      <c r="X3510" s="250">
        <v>3.5000000000000003E-2</v>
      </c>
      <c r="Y3510" s="250">
        <v>2E-3</v>
      </c>
      <c r="Z3510" s="150">
        <v>52</v>
      </c>
      <c r="AA3510" s="150">
        <v>3.52</v>
      </c>
      <c r="AB3510" s="152"/>
      <c r="AC3510" s="152"/>
      <c r="AD3510" s="223">
        <v>13.105969999999999</v>
      </c>
      <c r="AE3510" s="223">
        <v>0.95399270000000003</v>
      </c>
      <c r="AF3510" s="223">
        <v>12.54069</v>
      </c>
      <c r="AG3510" s="223">
        <v>1.2618305999999999</v>
      </c>
      <c r="AH3510" s="341"/>
      <c r="AI3510" s="218"/>
      <c r="AJ3510" s="218"/>
      <c r="AK3510" s="153"/>
      <c r="AL3510" s="152"/>
      <c r="AM3510" s="152"/>
      <c r="AN3510" s="152"/>
      <c r="AO3510" s="152"/>
      <c r="AP3510" s="152"/>
      <c r="AQ3510" s="152"/>
      <c r="AR3510" s="152"/>
      <c r="AS3510" s="152"/>
      <c r="AT3510" s="152"/>
      <c r="AU3510" s="153"/>
      <c r="AV3510" s="479"/>
      <c r="AW3510" s="479"/>
      <c r="AX3510" s="442"/>
      <c r="AY3510" s="153"/>
      <c r="AZ3510" s="152"/>
      <c r="BA3510" s="152"/>
      <c r="BB3510" s="152"/>
      <c r="BC3510" s="152"/>
      <c r="BD3510" s="152"/>
      <c r="BE3510" s="152"/>
      <c r="BF3510" s="152"/>
      <c r="BG3510" s="152"/>
      <c r="BH3510" s="152"/>
      <c r="BI3510" s="153"/>
      <c r="BJ3510" s="153"/>
      <c r="BK3510" s="153"/>
      <c r="BL3510" s="153"/>
      <c r="BM3510" s="153"/>
      <c r="BN3510" s="153"/>
      <c r="BO3510" s="153"/>
      <c r="BP3510" s="153"/>
      <c r="BQ3510" s="153"/>
      <c r="BR3510" s="153"/>
      <c r="BS3510" s="153"/>
      <c r="BT3510" s="153"/>
      <c r="BU3510" s="153"/>
      <c r="BV3510" s="153"/>
      <c r="BW3510" s="153"/>
      <c r="BX3510" s="153"/>
      <c r="BY3510" s="153"/>
      <c r="BZ3510" s="153"/>
      <c r="CA3510" s="152"/>
      <c r="CB3510" s="152"/>
    </row>
    <row r="3511" spans="1:80" s="87" customFormat="1" ht="15" x14ac:dyDescent="0.25">
      <c r="A3511" s="152"/>
      <c r="B3511" s="683"/>
      <c r="C3511" s="683"/>
      <c r="D3511" s="698"/>
      <c r="E3511" s="215"/>
      <c r="F3511" s="215"/>
      <c r="G3511" s="153"/>
      <c r="H3511" s="153"/>
      <c r="I3511" s="165">
        <v>20</v>
      </c>
      <c r="J3511" s="165">
        <v>30</v>
      </c>
      <c r="K3511" s="150">
        <v>1</v>
      </c>
      <c r="L3511" s="656">
        <v>10</v>
      </c>
      <c r="M3511" s="663">
        <v>36309</v>
      </c>
      <c r="N3511" s="600">
        <v>16.874400000000001</v>
      </c>
      <c r="O3511" s="604">
        <v>0.468109</v>
      </c>
      <c r="P3511" s="150"/>
      <c r="Q3511" s="250"/>
      <c r="R3511" s="250">
        <v>8.4000000000000005E-2</v>
      </c>
      <c r="S3511" s="250">
        <v>0.10199999999999999</v>
      </c>
      <c r="T3511" s="250">
        <v>0.14199999999999999</v>
      </c>
      <c r="U3511" s="250">
        <v>0.24199999999999999</v>
      </c>
      <c r="V3511" s="250">
        <v>0.23800000000000002</v>
      </c>
      <c r="W3511" s="250">
        <v>0.13100000000000001</v>
      </c>
      <c r="X3511" s="250">
        <v>5.7999999999999996E-2</v>
      </c>
      <c r="Y3511" s="250">
        <v>3.0000000000000001E-3</v>
      </c>
      <c r="Z3511" s="150">
        <v>33</v>
      </c>
      <c r="AA3511" s="150">
        <v>2.44</v>
      </c>
      <c r="AB3511" s="152"/>
      <c r="AC3511" s="152"/>
      <c r="AD3511" s="223">
        <v>13.105969999999999</v>
      </c>
      <c r="AE3511" s="223">
        <v>0.95399270000000003</v>
      </c>
      <c r="AF3511" s="223">
        <v>12.54069</v>
      </c>
      <c r="AG3511" s="223">
        <v>1.2618305999999999</v>
      </c>
      <c r="AH3511" s="341"/>
      <c r="AI3511" s="218"/>
      <c r="AJ3511" s="218"/>
      <c r="AK3511" s="153"/>
      <c r="AL3511" s="152"/>
      <c r="AM3511" s="152"/>
      <c r="AN3511" s="152"/>
      <c r="AO3511" s="152"/>
      <c r="AP3511" s="152"/>
      <c r="AQ3511" s="152"/>
      <c r="AR3511" s="152"/>
      <c r="AS3511" s="152"/>
      <c r="AT3511" s="152"/>
      <c r="AU3511" s="153"/>
      <c r="AV3511" s="479"/>
      <c r="AW3511" s="479"/>
      <c r="AX3511" s="442"/>
      <c r="AY3511" s="153"/>
      <c r="AZ3511" s="152"/>
      <c r="BA3511" s="152"/>
      <c r="BB3511" s="152"/>
      <c r="BC3511" s="152"/>
      <c r="BD3511" s="152"/>
      <c r="BE3511" s="152"/>
      <c r="BF3511" s="152"/>
      <c r="BG3511" s="152"/>
      <c r="BH3511" s="152"/>
      <c r="BI3511" s="153"/>
      <c r="BJ3511" s="153"/>
      <c r="BK3511" s="153"/>
      <c r="BL3511" s="153"/>
      <c r="BM3511" s="153"/>
      <c r="BN3511" s="153"/>
      <c r="BO3511" s="153"/>
      <c r="BP3511" s="153"/>
      <c r="BQ3511" s="153"/>
      <c r="BR3511" s="153"/>
      <c r="BS3511" s="153"/>
      <c r="BT3511" s="153"/>
      <c r="BU3511" s="153"/>
      <c r="BV3511" s="153"/>
      <c r="BW3511" s="153"/>
      <c r="BX3511" s="153"/>
      <c r="BY3511" s="153"/>
      <c r="BZ3511" s="153"/>
      <c r="CA3511" s="152"/>
      <c r="CB3511" s="152"/>
    </row>
    <row r="3512" spans="1:80" s="87" customFormat="1" ht="15" x14ac:dyDescent="0.25">
      <c r="A3512" s="152"/>
      <c r="B3512" s="683"/>
      <c r="C3512" s="683"/>
      <c r="D3512" s="698"/>
      <c r="E3512" s="215"/>
      <c r="F3512" s="215"/>
      <c r="G3512" s="153"/>
      <c r="H3512" s="153"/>
      <c r="I3512" s="165">
        <v>20</v>
      </c>
      <c r="J3512" s="165">
        <v>30</v>
      </c>
      <c r="K3512" s="150">
        <v>1</v>
      </c>
      <c r="L3512" s="656">
        <v>10</v>
      </c>
      <c r="M3512" s="663">
        <v>36310</v>
      </c>
      <c r="N3512" s="600">
        <v>15.741899999999999</v>
      </c>
      <c r="O3512" s="604">
        <v>0.44186999999999999</v>
      </c>
      <c r="P3512" s="150"/>
      <c r="Q3512" s="250">
        <v>0.06</v>
      </c>
      <c r="R3512" s="250">
        <v>6.3E-2</v>
      </c>
      <c r="S3512" s="250">
        <v>9.1999999999999998E-2</v>
      </c>
      <c r="T3512" s="250">
        <v>0.10199999999999999</v>
      </c>
      <c r="U3512" s="250">
        <v>0.21</v>
      </c>
      <c r="V3512" s="250">
        <v>0.27500000000000002</v>
      </c>
      <c r="W3512" s="250">
        <v>0.14300000000000002</v>
      </c>
      <c r="X3512" s="250">
        <v>5.2999999999999999E-2</v>
      </c>
      <c r="Y3512" s="250">
        <v>3.0000000000000001E-3</v>
      </c>
      <c r="Z3512" s="150">
        <v>70</v>
      </c>
      <c r="AA3512" s="150">
        <v>2.1800000000000002</v>
      </c>
      <c r="AB3512" s="152"/>
      <c r="AC3512" s="152"/>
      <c r="AD3512" s="223"/>
      <c r="AE3512" s="223"/>
      <c r="AF3512" s="223"/>
      <c r="AG3512" s="223"/>
      <c r="AH3512" s="341"/>
      <c r="AI3512" s="218"/>
      <c r="AJ3512" s="218"/>
      <c r="AK3512" s="153"/>
      <c r="AL3512" s="152"/>
      <c r="AM3512" s="152"/>
      <c r="AN3512" s="152"/>
      <c r="AO3512" s="152"/>
      <c r="AP3512" s="152"/>
      <c r="AQ3512" s="152"/>
      <c r="AR3512" s="152"/>
      <c r="AS3512" s="152"/>
      <c r="AT3512" s="152"/>
      <c r="AU3512" s="153"/>
      <c r="AV3512" s="479"/>
      <c r="AW3512" s="479"/>
      <c r="AX3512" s="442"/>
      <c r="AY3512" s="153"/>
      <c r="AZ3512" s="152"/>
      <c r="BA3512" s="152"/>
      <c r="BB3512" s="152"/>
      <c r="BC3512" s="152"/>
      <c r="BD3512" s="152"/>
      <c r="BE3512" s="152"/>
      <c r="BF3512" s="152"/>
      <c r="BG3512" s="152"/>
      <c r="BH3512" s="152"/>
      <c r="BI3512" s="153"/>
      <c r="BJ3512" s="153"/>
      <c r="BK3512" s="153"/>
      <c r="BL3512" s="153"/>
      <c r="BM3512" s="153"/>
      <c r="BN3512" s="153"/>
      <c r="BO3512" s="153"/>
      <c r="BP3512" s="153"/>
      <c r="BQ3512" s="153"/>
      <c r="BR3512" s="153"/>
      <c r="BS3512" s="153"/>
      <c r="BT3512" s="153"/>
      <c r="BU3512" s="153"/>
      <c r="BV3512" s="153"/>
      <c r="BW3512" s="153"/>
      <c r="BX3512" s="153"/>
      <c r="BY3512" s="153"/>
      <c r="BZ3512" s="153"/>
      <c r="CA3512" s="152"/>
      <c r="CB3512" s="152"/>
    </row>
    <row r="3513" spans="1:80" s="87" customFormat="1" ht="15" x14ac:dyDescent="0.25">
      <c r="A3513" s="152"/>
      <c r="B3513" s="683"/>
      <c r="C3513" s="683"/>
      <c r="D3513" s="698"/>
      <c r="E3513" s="215"/>
      <c r="F3513" s="215"/>
      <c r="G3513" s="153"/>
      <c r="H3513" s="153"/>
      <c r="I3513" s="165">
        <v>20</v>
      </c>
      <c r="J3513" s="165">
        <v>30</v>
      </c>
      <c r="K3513" s="150">
        <v>1</v>
      </c>
      <c r="L3513" s="656">
        <v>10</v>
      </c>
      <c r="M3513" s="663">
        <v>36310</v>
      </c>
      <c r="N3513" s="600">
        <v>15.600300000000001</v>
      </c>
      <c r="O3513" s="604">
        <v>0.43767099999999998</v>
      </c>
      <c r="P3513" s="150"/>
      <c r="Q3513" s="250">
        <v>8.1000000000000003E-2</v>
      </c>
      <c r="R3513" s="250">
        <v>6.2E-2</v>
      </c>
      <c r="S3513" s="250">
        <v>0.10300000000000001</v>
      </c>
      <c r="T3513" s="250">
        <v>9.3000000000000013E-2</v>
      </c>
      <c r="U3513" s="250">
        <v>0.187</v>
      </c>
      <c r="V3513" s="250">
        <v>0.26500000000000001</v>
      </c>
      <c r="W3513" s="250">
        <v>0.151</v>
      </c>
      <c r="X3513" s="250">
        <v>5.2999999999999999E-2</v>
      </c>
      <c r="Y3513" s="250">
        <v>4.0000000000000001E-3</v>
      </c>
      <c r="Z3513" s="150">
        <v>39</v>
      </c>
      <c r="AA3513" s="150">
        <v>2.21</v>
      </c>
      <c r="AB3513" s="152"/>
      <c r="AC3513" s="152"/>
      <c r="AD3513" s="223"/>
      <c r="AE3513" s="223"/>
      <c r="AF3513" s="223"/>
      <c r="AG3513" s="223"/>
      <c r="AH3513" s="341"/>
      <c r="AI3513" s="218"/>
      <c r="AJ3513" s="218"/>
      <c r="AK3513" s="153"/>
      <c r="AL3513" s="152"/>
      <c r="AM3513" s="152"/>
      <c r="AN3513" s="152"/>
      <c r="AO3513" s="152"/>
      <c r="AP3513" s="152"/>
      <c r="AQ3513" s="152"/>
      <c r="AR3513" s="152"/>
      <c r="AS3513" s="152"/>
      <c r="AT3513" s="152"/>
      <c r="AU3513" s="153"/>
      <c r="AV3513" s="479"/>
      <c r="AW3513" s="479"/>
      <c r="AX3513" s="442"/>
      <c r="AY3513" s="153"/>
      <c r="AZ3513" s="152"/>
      <c r="BA3513" s="152"/>
      <c r="BB3513" s="152"/>
      <c r="BC3513" s="152"/>
      <c r="BD3513" s="152"/>
      <c r="BE3513" s="152"/>
      <c r="BF3513" s="152"/>
      <c r="BG3513" s="152"/>
      <c r="BH3513" s="152"/>
      <c r="BI3513" s="153"/>
      <c r="BJ3513" s="153"/>
      <c r="BK3513" s="153"/>
      <c r="BL3513" s="153"/>
      <c r="BM3513" s="153"/>
      <c r="BN3513" s="153"/>
      <c r="BO3513" s="153"/>
      <c r="BP3513" s="153"/>
      <c r="BQ3513" s="153"/>
      <c r="BR3513" s="153"/>
      <c r="BS3513" s="153"/>
      <c r="BT3513" s="153"/>
      <c r="BU3513" s="153"/>
      <c r="BV3513" s="153"/>
      <c r="BW3513" s="153"/>
      <c r="BX3513" s="153"/>
      <c r="BY3513" s="153"/>
      <c r="BZ3513" s="153"/>
      <c r="CA3513" s="152"/>
      <c r="CB3513" s="152"/>
    </row>
    <row r="3514" spans="1:80" s="87" customFormat="1" ht="15" x14ac:dyDescent="0.25">
      <c r="A3514" s="152"/>
      <c r="B3514" s="683"/>
      <c r="C3514" s="683"/>
      <c r="D3514" s="698"/>
      <c r="E3514" s="215"/>
      <c r="F3514" s="215"/>
      <c r="G3514" s="153"/>
      <c r="H3514" s="153"/>
      <c r="I3514" s="165">
        <v>20</v>
      </c>
      <c r="J3514" s="165">
        <v>30</v>
      </c>
      <c r="K3514" s="150">
        <v>1</v>
      </c>
      <c r="L3514" s="656">
        <v>10</v>
      </c>
      <c r="M3514" s="663">
        <v>36311</v>
      </c>
      <c r="N3514" s="600">
        <v>13.646699999999999</v>
      </c>
      <c r="O3514" s="604">
        <v>0.15848499999999999</v>
      </c>
      <c r="P3514" s="150"/>
      <c r="Q3514" s="250"/>
      <c r="R3514" s="250">
        <v>7.0999999999999994E-2</v>
      </c>
      <c r="S3514" s="250">
        <v>7.6999999999999999E-2</v>
      </c>
      <c r="T3514" s="250">
        <v>7.5999999999999998E-2</v>
      </c>
      <c r="U3514" s="250">
        <v>0.161</v>
      </c>
      <c r="V3514" s="250">
        <v>0.31900000000000001</v>
      </c>
      <c r="W3514" s="250">
        <v>0.22500000000000001</v>
      </c>
      <c r="X3514" s="250">
        <v>6.9000000000000006E-2</v>
      </c>
      <c r="Y3514" s="250">
        <v>2E-3</v>
      </c>
      <c r="Z3514" s="150">
        <v>28</v>
      </c>
      <c r="AA3514" s="150">
        <v>1.56</v>
      </c>
      <c r="AB3514" s="152"/>
      <c r="AC3514" s="152"/>
      <c r="AD3514" s="223">
        <v>12.80118</v>
      </c>
      <c r="AE3514" s="223">
        <v>0.82293300000000003</v>
      </c>
      <c r="AF3514" s="223">
        <v>10.497021999999999</v>
      </c>
      <c r="AG3514" s="223">
        <v>1.2740222000000001</v>
      </c>
      <c r="AH3514" s="341"/>
      <c r="AI3514" s="218"/>
      <c r="AJ3514" s="218"/>
      <c r="AK3514" s="153"/>
      <c r="AL3514" s="152"/>
      <c r="AM3514" s="152"/>
      <c r="AN3514" s="152"/>
      <c r="AO3514" s="152"/>
      <c r="AP3514" s="152"/>
      <c r="AQ3514" s="152"/>
      <c r="AR3514" s="152"/>
      <c r="AS3514" s="152"/>
      <c r="AT3514" s="152"/>
      <c r="AU3514" s="153"/>
      <c r="AV3514" s="479"/>
      <c r="AW3514" s="479"/>
      <c r="AX3514" s="442"/>
      <c r="AY3514" s="153"/>
      <c r="AZ3514" s="152"/>
      <c r="BA3514" s="152"/>
      <c r="BB3514" s="152"/>
      <c r="BC3514" s="152"/>
      <c r="BD3514" s="152"/>
      <c r="BE3514" s="152"/>
      <c r="BF3514" s="152"/>
      <c r="BG3514" s="152"/>
      <c r="BH3514" s="152"/>
      <c r="BI3514" s="153"/>
      <c r="BJ3514" s="153"/>
      <c r="BK3514" s="153"/>
      <c r="BL3514" s="153"/>
      <c r="BM3514" s="153"/>
      <c r="BN3514" s="153"/>
      <c r="BO3514" s="153"/>
      <c r="BP3514" s="153"/>
      <c r="BQ3514" s="153"/>
      <c r="BR3514" s="153"/>
      <c r="BS3514" s="153"/>
      <c r="BT3514" s="153"/>
      <c r="BU3514" s="153"/>
      <c r="BV3514" s="153"/>
      <c r="BW3514" s="153"/>
      <c r="BX3514" s="153"/>
      <c r="BY3514" s="153"/>
      <c r="BZ3514" s="153"/>
      <c r="CA3514" s="152"/>
      <c r="CB3514" s="152"/>
    </row>
    <row r="3515" spans="1:80" s="87" customFormat="1" ht="15" x14ac:dyDescent="0.25">
      <c r="A3515" s="152"/>
      <c r="B3515" s="683"/>
      <c r="C3515" s="683"/>
      <c r="D3515" s="698"/>
      <c r="E3515" s="215"/>
      <c r="F3515" s="215"/>
      <c r="G3515" s="153"/>
      <c r="H3515" s="153"/>
      <c r="I3515" s="165">
        <v>20</v>
      </c>
      <c r="J3515" s="165">
        <v>30</v>
      </c>
      <c r="K3515" s="150">
        <v>1</v>
      </c>
      <c r="L3515" s="656">
        <v>10</v>
      </c>
      <c r="M3515" s="663">
        <v>36311</v>
      </c>
      <c r="N3515" s="600">
        <v>13.646699999999999</v>
      </c>
      <c r="O3515" s="604">
        <v>0.29807800000000001</v>
      </c>
      <c r="P3515" s="150"/>
      <c r="Q3515" s="250">
        <v>0.23199999999999998</v>
      </c>
      <c r="R3515" s="250">
        <v>0.122</v>
      </c>
      <c r="S3515" s="250">
        <v>8.199999999999999E-2</v>
      </c>
      <c r="T3515" s="250">
        <v>7.400000000000001E-2</v>
      </c>
      <c r="U3515" s="250">
        <v>9.6999999999999989E-2</v>
      </c>
      <c r="V3515" s="250">
        <v>0.192</v>
      </c>
      <c r="W3515" s="250">
        <v>0.152</v>
      </c>
      <c r="X3515" s="250">
        <v>4.5999999999999999E-2</v>
      </c>
      <c r="Y3515" s="250">
        <v>2E-3</v>
      </c>
      <c r="Z3515" s="150">
        <v>60</v>
      </c>
      <c r="AA3515" s="150">
        <v>4.43</v>
      </c>
      <c r="AB3515" s="152"/>
      <c r="AC3515" s="152"/>
      <c r="AD3515" s="223">
        <v>12.80118</v>
      </c>
      <c r="AE3515" s="223">
        <v>0.82293300000000003</v>
      </c>
      <c r="AF3515" s="223">
        <v>10.497021999999999</v>
      </c>
      <c r="AG3515" s="223">
        <v>1.2740222000000001</v>
      </c>
      <c r="AH3515" s="341"/>
      <c r="AI3515" s="218"/>
      <c r="AJ3515" s="218"/>
      <c r="AK3515" s="153"/>
      <c r="AL3515" s="152"/>
      <c r="AM3515" s="152"/>
      <c r="AN3515" s="152"/>
      <c r="AO3515" s="152"/>
      <c r="AP3515" s="152"/>
      <c r="AQ3515" s="152"/>
      <c r="AR3515" s="152"/>
      <c r="AS3515" s="152"/>
      <c r="AT3515" s="152"/>
      <c r="AU3515" s="153"/>
      <c r="AV3515" s="479"/>
      <c r="AW3515" s="479"/>
      <c r="AX3515" s="442"/>
      <c r="AY3515" s="153"/>
      <c r="AZ3515" s="152"/>
      <c r="BA3515" s="152"/>
      <c r="BB3515" s="152"/>
      <c r="BC3515" s="152"/>
      <c r="BD3515" s="152"/>
      <c r="BE3515" s="152"/>
      <c r="BF3515" s="152"/>
      <c r="BG3515" s="152"/>
      <c r="BH3515" s="152"/>
      <c r="BI3515" s="153"/>
      <c r="BJ3515" s="153"/>
      <c r="BK3515" s="153"/>
      <c r="BL3515" s="153"/>
      <c r="BM3515" s="153"/>
      <c r="BN3515" s="153"/>
      <c r="BO3515" s="153"/>
      <c r="BP3515" s="153"/>
      <c r="BQ3515" s="153"/>
      <c r="BR3515" s="153"/>
      <c r="BS3515" s="153"/>
      <c r="BT3515" s="153"/>
      <c r="BU3515" s="153"/>
      <c r="BV3515" s="153"/>
      <c r="BW3515" s="153"/>
      <c r="BX3515" s="153"/>
      <c r="BY3515" s="153"/>
      <c r="BZ3515" s="153"/>
      <c r="CA3515" s="152"/>
      <c r="CB3515" s="152"/>
    </row>
    <row r="3516" spans="1:80" s="87" customFormat="1" ht="15" x14ac:dyDescent="0.25">
      <c r="A3516" s="152"/>
      <c r="B3516" s="683"/>
      <c r="C3516" s="683"/>
      <c r="D3516" s="698"/>
      <c r="E3516" s="215"/>
      <c r="F3516" s="215"/>
      <c r="G3516" s="153"/>
      <c r="H3516" s="153"/>
      <c r="I3516" s="165">
        <v>20</v>
      </c>
      <c r="J3516" s="165">
        <v>30</v>
      </c>
      <c r="K3516" s="150">
        <v>1</v>
      </c>
      <c r="L3516" s="656">
        <v>10</v>
      </c>
      <c r="M3516" s="663">
        <v>36312</v>
      </c>
      <c r="N3516" s="600">
        <v>11.4383</v>
      </c>
      <c r="O3516" s="604">
        <v>0.20571600000000001</v>
      </c>
      <c r="P3516" s="150"/>
      <c r="Q3516" s="250">
        <v>0.10400000000000001</v>
      </c>
      <c r="R3516" s="250">
        <v>0.2</v>
      </c>
      <c r="S3516" s="250">
        <v>0.13500000000000001</v>
      </c>
      <c r="T3516" s="250">
        <v>8.8000000000000009E-2</v>
      </c>
      <c r="U3516" s="250">
        <v>0.11900000000000001</v>
      </c>
      <c r="V3516" s="250">
        <v>0.159</v>
      </c>
      <c r="W3516" s="250">
        <v>0.14699999999999999</v>
      </c>
      <c r="X3516" s="250">
        <v>0.04</v>
      </c>
      <c r="Y3516" s="250">
        <v>0.01</v>
      </c>
      <c r="Z3516" s="150">
        <v>39</v>
      </c>
      <c r="AA3516" s="150">
        <v>4.87</v>
      </c>
      <c r="AB3516" s="152"/>
      <c r="AC3516" s="152"/>
      <c r="AD3516" s="223">
        <v>12.80118</v>
      </c>
      <c r="AE3516" s="223">
        <v>0.77416660000000004</v>
      </c>
      <c r="AF3516" s="223">
        <v>9.9396579999999997</v>
      </c>
      <c r="AG3516" s="223">
        <v>1.1094356000000001</v>
      </c>
      <c r="AH3516" s="341"/>
      <c r="AI3516" s="218"/>
      <c r="AJ3516" s="218"/>
      <c r="AK3516" s="153"/>
      <c r="AL3516" s="152"/>
      <c r="AM3516" s="152"/>
      <c r="AN3516" s="152"/>
      <c r="AO3516" s="152"/>
      <c r="AP3516" s="152"/>
      <c r="AQ3516" s="152"/>
      <c r="AR3516" s="152"/>
      <c r="AS3516" s="152"/>
      <c r="AT3516" s="152"/>
      <c r="AU3516" s="153"/>
      <c r="AV3516" s="479"/>
      <c r="AW3516" s="479"/>
      <c r="AX3516" s="442"/>
      <c r="AY3516" s="153"/>
      <c r="AZ3516" s="152"/>
      <c r="BA3516" s="152"/>
      <c r="BB3516" s="152"/>
      <c r="BC3516" s="152"/>
      <c r="BD3516" s="152"/>
      <c r="BE3516" s="152"/>
      <c r="BF3516" s="152"/>
      <c r="BG3516" s="152"/>
      <c r="BH3516" s="152"/>
      <c r="BI3516" s="153"/>
      <c r="BJ3516" s="153"/>
      <c r="BK3516" s="153"/>
      <c r="BL3516" s="153"/>
      <c r="BM3516" s="153"/>
      <c r="BN3516" s="153"/>
      <c r="BO3516" s="153"/>
      <c r="BP3516" s="153"/>
      <c r="BQ3516" s="153"/>
      <c r="BR3516" s="153"/>
      <c r="BS3516" s="153"/>
      <c r="BT3516" s="153"/>
      <c r="BU3516" s="153"/>
      <c r="BV3516" s="153"/>
      <c r="BW3516" s="153"/>
      <c r="BX3516" s="153"/>
      <c r="BY3516" s="153"/>
      <c r="BZ3516" s="153"/>
      <c r="CA3516" s="152"/>
      <c r="CB3516" s="152"/>
    </row>
    <row r="3517" spans="1:80" s="87" customFormat="1" ht="15" x14ac:dyDescent="0.25">
      <c r="A3517" s="152"/>
      <c r="B3517" s="683"/>
      <c r="C3517" s="683"/>
      <c r="D3517" s="698"/>
      <c r="E3517" s="215"/>
      <c r="F3517" s="215"/>
      <c r="G3517" s="153"/>
      <c r="H3517" s="153"/>
      <c r="I3517" s="165">
        <v>20</v>
      </c>
      <c r="J3517" s="165">
        <v>30</v>
      </c>
      <c r="K3517" s="150">
        <v>1</v>
      </c>
      <c r="L3517" s="656">
        <v>10</v>
      </c>
      <c r="M3517" s="663">
        <v>36312</v>
      </c>
      <c r="N3517" s="600">
        <v>11.4383</v>
      </c>
      <c r="O3517" s="604">
        <v>0.189972</v>
      </c>
      <c r="P3517" s="150"/>
      <c r="Q3517" s="250">
        <v>0.20399999999999999</v>
      </c>
      <c r="R3517" s="250">
        <v>1.3000000000000001E-2</v>
      </c>
      <c r="S3517" s="250">
        <v>2.5000000000000001E-2</v>
      </c>
      <c r="T3517" s="250">
        <v>5.5999999999999994E-2</v>
      </c>
      <c r="U3517" s="250">
        <v>0.129</v>
      </c>
      <c r="V3517" s="250">
        <v>0.26700000000000002</v>
      </c>
      <c r="W3517" s="250">
        <v>0.23899999999999999</v>
      </c>
      <c r="X3517" s="250">
        <v>6.3E-2</v>
      </c>
      <c r="Y3517" s="250">
        <v>3.0000000000000001E-3</v>
      </c>
      <c r="Z3517" s="150">
        <v>63.5</v>
      </c>
      <c r="AA3517" s="150">
        <v>1.66</v>
      </c>
      <c r="AB3517" s="152"/>
      <c r="AC3517" s="152"/>
      <c r="AD3517" s="223">
        <v>12.80118</v>
      </c>
      <c r="AE3517" s="223">
        <v>0.77416660000000004</v>
      </c>
      <c r="AF3517" s="223">
        <v>9.9396579999999997</v>
      </c>
      <c r="AG3517" s="223">
        <v>1.1094356000000001</v>
      </c>
      <c r="AH3517" s="341"/>
      <c r="AI3517" s="218"/>
      <c r="AJ3517" s="218"/>
      <c r="AK3517" s="153"/>
      <c r="AL3517" s="152"/>
      <c r="AM3517" s="152"/>
      <c r="AN3517" s="152"/>
      <c r="AO3517" s="152"/>
      <c r="AP3517" s="152"/>
      <c r="AQ3517" s="152"/>
      <c r="AR3517" s="152"/>
      <c r="AS3517" s="152"/>
      <c r="AT3517" s="152"/>
      <c r="AU3517" s="153"/>
      <c r="AV3517" s="479"/>
      <c r="AW3517" s="479"/>
      <c r="AX3517" s="442"/>
      <c r="AY3517" s="153"/>
      <c r="AZ3517" s="152"/>
      <c r="BA3517" s="152"/>
      <c r="BB3517" s="152"/>
      <c r="BC3517" s="152"/>
      <c r="BD3517" s="152"/>
      <c r="BE3517" s="152"/>
      <c r="BF3517" s="152"/>
      <c r="BG3517" s="152"/>
      <c r="BH3517" s="152"/>
      <c r="BI3517" s="153"/>
      <c r="BJ3517" s="153"/>
      <c r="BK3517" s="153"/>
      <c r="BL3517" s="153"/>
      <c r="BM3517" s="153"/>
      <c r="BN3517" s="153"/>
      <c r="BO3517" s="153"/>
      <c r="BP3517" s="153"/>
      <c r="BQ3517" s="153"/>
      <c r="BR3517" s="153"/>
      <c r="BS3517" s="153"/>
      <c r="BT3517" s="153"/>
      <c r="BU3517" s="153"/>
      <c r="BV3517" s="153"/>
      <c r="BW3517" s="153"/>
      <c r="BX3517" s="153"/>
      <c r="BY3517" s="153"/>
      <c r="BZ3517" s="153"/>
      <c r="CA3517" s="152"/>
      <c r="CB3517" s="152"/>
    </row>
    <row r="3518" spans="1:80" s="87" customFormat="1" ht="15" x14ac:dyDescent="0.25">
      <c r="A3518" s="152"/>
      <c r="B3518" s="683"/>
      <c r="C3518" s="683"/>
      <c r="D3518" s="698"/>
      <c r="E3518" s="215"/>
      <c r="F3518" s="215"/>
      <c r="G3518" s="153"/>
      <c r="H3518" s="153"/>
      <c r="I3518" s="165">
        <v>20</v>
      </c>
      <c r="J3518" s="165">
        <v>30</v>
      </c>
      <c r="K3518" s="150">
        <v>1</v>
      </c>
      <c r="L3518" s="656">
        <v>10</v>
      </c>
      <c r="M3518" s="663">
        <v>36313</v>
      </c>
      <c r="N3518" s="600">
        <v>12.2311</v>
      </c>
      <c r="O3518" s="604">
        <v>6.0034999999999998E-2</v>
      </c>
      <c r="P3518" s="150"/>
      <c r="Q3518" s="250"/>
      <c r="R3518" s="250"/>
      <c r="S3518" s="250">
        <v>5.7000000000000002E-2</v>
      </c>
      <c r="T3518" s="250">
        <v>6.9000000000000006E-2</v>
      </c>
      <c r="U3518" s="250">
        <v>0.13600000000000001</v>
      </c>
      <c r="V3518" s="250">
        <v>0.248</v>
      </c>
      <c r="W3518" s="250">
        <v>0.318</v>
      </c>
      <c r="X3518" s="250">
        <v>0.16600000000000001</v>
      </c>
      <c r="Y3518" s="250">
        <v>6.9999999999999993E-3</v>
      </c>
      <c r="Z3518" s="150">
        <v>15</v>
      </c>
      <c r="AA3518" s="150">
        <v>1.03</v>
      </c>
      <c r="AB3518" s="152"/>
      <c r="AC3518" s="152"/>
      <c r="AD3518" s="223">
        <v>12.80118</v>
      </c>
      <c r="AE3518" s="223">
        <v>0.82598090000000002</v>
      </c>
      <c r="AF3518" s="223">
        <v>10.589916000000001</v>
      </c>
      <c r="AG3518" s="223">
        <v>1.2343995000000001</v>
      </c>
      <c r="AH3518" s="341"/>
      <c r="AI3518" s="218"/>
      <c r="AJ3518" s="218"/>
      <c r="AK3518" s="153"/>
      <c r="AL3518" s="152"/>
      <c r="AM3518" s="152"/>
      <c r="AN3518" s="152"/>
      <c r="AO3518" s="152"/>
      <c r="AP3518" s="152"/>
      <c r="AQ3518" s="152"/>
      <c r="AR3518" s="152"/>
      <c r="AS3518" s="152"/>
      <c r="AT3518" s="152"/>
      <c r="AU3518" s="153"/>
      <c r="AV3518" s="479"/>
      <c r="AW3518" s="479"/>
      <c r="AX3518" s="442"/>
      <c r="AY3518" s="153"/>
      <c r="AZ3518" s="152"/>
      <c r="BA3518" s="152"/>
      <c r="BB3518" s="152"/>
      <c r="BC3518" s="152"/>
      <c r="BD3518" s="152"/>
      <c r="BE3518" s="152"/>
      <c r="BF3518" s="152"/>
      <c r="BG3518" s="152"/>
      <c r="BH3518" s="152"/>
      <c r="BI3518" s="153"/>
      <c r="BJ3518" s="153"/>
      <c r="BK3518" s="153"/>
      <c r="BL3518" s="153"/>
      <c r="BM3518" s="153"/>
      <c r="BN3518" s="153"/>
      <c r="BO3518" s="153"/>
      <c r="BP3518" s="153"/>
      <c r="BQ3518" s="153"/>
      <c r="BR3518" s="153"/>
      <c r="BS3518" s="153"/>
      <c r="BT3518" s="153"/>
      <c r="BU3518" s="153"/>
      <c r="BV3518" s="153"/>
      <c r="BW3518" s="153"/>
      <c r="BX3518" s="153"/>
      <c r="BY3518" s="153"/>
      <c r="BZ3518" s="153"/>
      <c r="CA3518" s="152"/>
      <c r="CB3518" s="152"/>
    </row>
    <row r="3519" spans="1:80" s="87" customFormat="1" ht="15" x14ac:dyDescent="0.25">
      <c r="A3519" s="152"/>
      <c r="B3519" s="683"/>
      <c r="C3519" s="683"/>
      <c r="D3519" s="698"/>
      <c r="E3519" s="215"/>
      <c r="F3519" s="215"/>
      <c r="G3519" s="153"/>
      <c r="H3519" s="153"/>
      <c r="I3519" s="165">
        <v>20</v>
      </c>
      <c r="J3519" s="165">
        <v>30</v>
      </c>
      <c r="K3519" s="150">
        <v>1</v>
      </c>
      <c r="L3519" s="656">
        <v>10</v>
      </c>
      <c r="M3519" s="663">
        <v>36313</v>
      </c>
      <c r="N3519" s="600">
        <v>12.2311</v>
      </c>
      <c r="O3519" s="604">
        <v>0.23510400000000001</v>
      </c>
      <c r="P3519" s="150"/>
      <c r="Q3519" s="250">
        <v>0.26200000000000001</v>
      </c>
      <c r="R3519" s="250">
        <v>7.8E-2</v>
      </c>
      <c r="S3519" s="250">
        <v>9.0999999999999998E-2</v>
      </c>
      <c r="T3519" s="250">
        <v>6.2E-2</v>
      </c>
      <c r="U3519" s="250">
        <v>9.5000000000000001E-2</v>
      </c>
      <c r="V3519" s="250">
        <v>0.183</v>
      </c>
      <c r="W3519" s="250">
        <v>0.17100000000000001</v>
      </c>
      <c r="X3519" s="250">
        <v>5.5E-2</v>
      </c>
      <c r="Y3519" s="250">
        <v>2E-3</v>
      </c>
      <c r="Z3519" s="150">
        <v>62.5</v>
      </c>
      <c r="AA3519" s="150">
        <v>3.83</v>
      </c>
      <c r="AB3519" s="152"/>
      <c r="AC3519" s="152"/>
      <c r="AD3519" s="223">
        <v>12.80118</v>
      </c>
      <c r="AE3519" s="223">
        <v>0.82598090000000002</v>
      </c>
      <c r="AF3519" s="223">
        <v>10.589916000000001</v>
      </c>
      <c r="AG3519" s="223">
        <v>1.2343995000000001</v>
      </c>
      <c r="AH3519" s="341"/>
      <c r="AI3519" s="218"/>
      <c r="AJ3519" s="218"/>
      <c r="AK3519" s="153"/>
      <c r="AL3519" s="152"/>
      <c r="AM3519" s="152"/>
      <c r="AN3519" s="152"/>
      <c r="AO3519" s="152"/>
      <c r="AP3519" s="152"/>
      <c r="AQ3519" s="152"/>
      <c r="AR3519" s="152"/>
      <c r="AS3519" s="152"/>
      <c r="AT3519" s="152"/>
      <c r="AU3519" s="153"/>
      <c r="AV3519" s="479"/>
      <c r="AW3519" s="479"/>
      <c r="AX3519" s="442"/>
      <c r="AY3519" s="153"/>
      <c r="AZ3519" s="152"/>
      <c r="BA3519" s="152"/>
      <c r="BB3519" s="152"/>
      <c r="BC3519" s="152"/>
      <c r="BD3519" s="152"/>
      <c r="BE3519" s="152"/>
      <c r="BF3519" s="152"/>
      <c r="BG3519" s="152"/>
      <c r="BH3519" s="152"/>
      <c r="BI3519" s="153"/>
      <c r="BJ3519" s="153"/>
      <c r="BK3519" s="153"/>
      <c r="BL3519" s="153"/>
      <c r="BM3519" s="153"/>
      <c r="BN3519" s="153"/>
      <c r="BO3519" s="153"/>
      <c r="BP3519" s="153"/>
      <c r="BQ3519" s="153"/>
      <c r="BR3519" s="153"/>
      <c r="BS3519" s="153"/>
      <c r="BT3519" s="153"/>
      <c r="BU3519" s="153"/>
      <c r="BV3519" s="153"/>
      <c r="BW3519" s="153"/>
      <c r="BX3519" s="153"/>
      <c r="BY3519" s="153"/>
      <c r="BZ3519" s="153"/>
      <c r="CA3519" s="152"/>
      <c r="CB3519" s="152"/>
    </row>
    <row r="3520" spans="1:80" s="87" customFormat="1" ht="15" x14ac:dyDescent="0.25">
      <c r="A3520" s="152"/>
      <c r="B3520" s="683"/>
      <c r="C3520" s="683"/>
      <c r="D3520" s="698"/>
      <c r="E3520" s="215"/>
      <c r="F3520" s="215"/>
      <c r="G3520" s="153"/>
      <c r="H3520" s="153"/>
      <c r="I3520" s="165">
        <v>20</v>
      </c>
      <c r="J3520" s="165">
        <v>30</v>
      </c>
      <c r="K3520" s="150">
        <v>1</v>
      </c>
      <c r="L3520" s="656">
        <v>10</v>
      </c>
      <c r="M3520" s="663">
        <v>36314</v>
      </c>
      <c r="N3520" s="600">
        <v>12.2311</v>
      </c>
      <c r="O3520" s="604">
        <v>0.12594900000000001</v>
      </c>
      <c r="P3520" s="150"/>
      <c r="Q3520" s="250">
        <v>0.18100000000000002</v>
      </c>
      <c r="R3520" s="250">
        <v>7.0000000000000007E-2</v>
      </c>
      <c r="S3520" s="250">
        <v>2.5000000000000001E-2</v>
      </c>
      <c r="T3520" s="250">
        <v>0.03</v>
      </c>
      <c r="U3520" s="250">
        <v>9.4E-2</v>
      </c>
      <c r="V3520" s="250">
        <v>0.218</v>
      </c>
      <c r="W3520" s="250">
        <v>0.27200000000000002</v>
      </c>
      <c r="X3520" s="250">
        <v>0.106</v>
      </c>
      <c r="Y3520" s="250">
        <v>5.0000000000000001E-3</v>
      </c>
      <c r="Z3520" s="150">
        <v>39</v>
      </c>
      <c r="AA3520" s="150">
        <v>1.45</v>
      </c>
      <c r="AB3520" s="152"/>
      <c r="AC3520" s="152"/>
      <c r="AD3520" s="223">
        <v>12.953575000000001</v>
      </c>
      <c r="AE3520" s="223">
        <v>0.7894061</v>
      </c>
      <c r="AF3520" s="223">
        <v>10.21834</v>
      </c>
      <c r="AG3520" s="223">
        <v>1.2557347999999999</v>
      </c>
      <c r="AH3520" s="341"/>
      <c r="AI3520" s="218"/>
      <c r="AJ3520" s="218"/>
      <c r="AK3520" s="153"/>
      <c r="AL3520" s="152"/>
      <c r="AM3520" s="152"/>
      <c r="AN3520" s="152"/>
      <c r="AO3520" s="152"/>
      <c r="AP3520" s="152"/>
      <c r="AQ3520" s="152"/>
      <c r="AR3520" s="152"/>
      <c r="AS3520" s="152"/>
      <c r="AT3520" s="152"/>
      <c r="AU3520" s="153"/>
      <c r="AV3520" s="479"/>
      <c r="AW3520" s="479"/>
      <c r="AX3520" s="442"/>
      <c r="AY3520" s="153"/>
      <c r="AZ3520" s="152"/>
      <c r="BA3520" s="152"/>
      <c r="BB3520" s="152"/>
      <c r="BC3520" s="152"/>
      <c r="BD3520" s="152"/>
      <c r="BE3520" s="152"/>
      <c r="BF3520" s="152"/>
      <c r="BG3520" s="152"/>
      <c r="BH3520" s="152"/>
      <c r="BI3520" s="153"/>
      <c r="BJ3520" s="153"/>
      <c r="BK3520" s="153"/>
      <c r="BL3520" s="153"/>
      <c r="BM3520" s="153"/>
      <c r="BN3520" s="153"/>
      <c r="BO3520" s="153"/>
      <c r="BP3520" s="153"/>
      <c r="BQ3520" s="153"/>
      <c r="BR3520" s="153"/>
      <c r="BS3520" s="153"/>
      <c r="BT3520" s="153"/>
      <c r="BU3520" s="153"/>
      <c r="BV3520" s="153"/>
      <c r="BW3520" s="153"/>
      <c r="BX3520" s="153"/>
      <c r="BY3520" s="153"/>
      <c r="BZ3520" s="153"/>
      <c r="CA3520" s="152"/>
      <c r="CB3520" s="152"/>
    </row>
    <row r="3521" spans="1:80" s="87" customFormat="1" ht="15" x14ac:dyDescent="0.25">
      <c r="A3521" s="152"/>
      <c r="B3521" s="683"/>
      <c r="C3521" s="683"/>
      <c r="D3521" s="698"/>
      <c r="E3521" s="215"/>
      <c r="F3521" s="215"/>
      <c r="G3521" s="153"/>
      <c r="H3521" s="153"/>
      <c r="I3521" s="165">
        <v>20</v>
      </c>
      <c r="J3521" s="165">
        <v>30</v>
      </c>
      <c r="K3521" s="150">
        <v>1</v>
      </c>
      <c r="L3521" s="656">
        <v>10</v>
      </c>
      <c r="M3521" s="663">
        <v>36314</v>
      </c>
      <c r="N3521" s="600">
        <v>12.2311</v>
      </c>
      <c r="O3521" s="604">
        <v>9.1313000000000005E-2</v>
      </c>
      <c r="P3521" s="150"/>
      <c r="Q3521" s="250"/>
      <c r="R3521" s="250">
        <v>3.7999999999999999E-2</v>
      </c>
      <c r="S3521" s="250">
        <v>3.7000000000000005E-2</v>
      </c>
      <c r="T3521" s="250">
        <v>5.0999999999999997E-2</v>
      </c>
      <c r="U3521" s="250">
        <v>0.127</v>
      </c>
      <c r="V3521" s="250">
        <v>0.249</v>
      </c>
      <c r="W3521" s="250">
        <v>0.35600000000000004</v>
      </c>
      <c r="X3521" s="250">
        <v>0.13800000000000001</v>
      </c>
      <c r="Y3521" s="250">
        <v>5.0000000000000001E-3</v>
      </c>
      <c r="Z3521" s="150">
        <v>22</v>
      </c>
      <c r="AA3521" s="150">
        <v>1</v>
      </c>
      <c r="AB3521" s="152"/>
      <c r="AC3521" s="152"/>
      <c r="AD3521" s="223">
        <v>12.953575000000001</v>
      </c>
      <c r="AE3521" s="223">
        <v>0.7894061</v>
      </c>
      <c r="AF3521" s="223">
        <v>10.21834</v>
      </c>
      <c r="AG3521" s="223">
        <v>1.2557347999999999</v>
      </c>
      <c r="AH3521" s="341"/>
      <c r="AI3521" s="218"/>
      <c r="AJ3521" s="218"/>
      <c r="AK3521" s="153"/>
      <c r="AL3521" s="152"/>
      <c r="AM3521" s="152"/>
      <c r="AN3521" s="152"/>
      <c r="AO3521" s="152"/>
      <c r="AP3521" s="152"/>
      <c r="AQ3521" s="152"/>
      <c r="AR3521" s="152"/>
      <c r="AS3521" s="152"/>
      <c r="AT3521" s="152"/>
      <c r="AU3521" s="153"/>
      <c r="AV3521" s="479"/>
      <c r="AW3521" s="479"/>
      <c r="AX3521" s="442"/>
      <c r="AY3521" s="153"/>
      <c r="AZ3521" s="152"/>
      <c r="BA3521" s="152"/>
      <c r="BB3521" s="152"/>
      <c r="BC3521" s="152"/>
      <c r="BD3521" s="152"/>
      <c r="BE3521" s="152"/>
      <c r="BF3521" s="152"/>
      <c r="BG3521" s="152"/>
      <c r="BH3521" s="152"/>
      <c r="BI3521" s="153"/>
      <c r="BJ3521" s="153"/>
      <c r="BK3521" s="153"/>
      <c r="BL3521" s="153"/>
      <c r="BM3521" s="153"/>
      <c r="BN3521" s="153"/>
      <c r="BO3521" s="153"/>
      <c r="BP3521" s="153"/>
      <c r="BQ3521" s="153"/>
      <c r="BR3521" s="153"/>
      <c r="BS3521" s="153"/>
      <c r="BT3521" s="153"/>
      <c r="BU3521" s="153"/>
      <c r="BV3521" s="153"/>
      <c r="BW3521" s="153"/>
      <c r="BX3521" s="153"/>
      <c r="BY3521" s="153"/>
      <c r="BZ3521" s="153"/>
      <c r="CA3521" s="152"/>
      <c r="CB3521" s="152"/>
    </row>
    <row r="3522" spans="1:80" s="87" customFormat="1" ht="15" x14ac:dyDescent="0.25">
      <c r="A3522" s="152"/>
      <c r="B3522" s="683"/>
      <c r="C3522" s="683"/>
      <c r="D3522" s="698"/>
      <c r="E3522" s="215"/>
      <c r="F3522" s="215"/>
      <c r="G3522" s="153"/>
      <c r="H3522" s="153"/>
      <c r="I3522" s="165">
        <v>20</v>
      </c>
      <c r="J3522" s="165">
        <v>30</v>
      </c>
      <c r="K3522" s="150">
        <v>1</v>
      </c>
      <c r="L3522" s="656">
        <v>10</v>
      </c>
      <c r="M3522" s="663">
        <v>36315</v>
      </c>
      <c r="N3522" s="600">
        <v>11.325100000000001</v>
      </c>
      <c r="O3522" s="604">
        <v>9.3937000000000007E-2</v>
      </c>
      <c r="P3522" s="150"/>
      <c r="Q3522" s="250"/>
      <c r="R3522" s="250">
        <v>3.1E-2</v>
      </c>
      <c r="S3522" s="250">
        <v>5.9000000000000004E-2</v>
      </c>
      <c r="T3522" s="250">
        <v>8.6999999999999994E-2</v>
      </c>
      <c r="U3522" s="250">
        <v>0.185</v>
      </c>
      <c r="V3522" s="250">
        <v>0.27</v>
      </c>
      <c r="W3522" s="250">
        <v>0.27</v>
      </c>
      <c r="X3522" s="250">
        <v>9.4E-2</v>
      </c>
      <c r="Y3522" s="250">
        <v>4.0000000000000001E-3</v>
      </c>
      <c r="Z3522" s="150">
        <v>22</v>
      </c>
      <c r="AA3522" s="150">
        <v>1.4</v>
      </c>
      <c r="AB3522" s="152"/>
      <c r="AC3522" s="152"/>
      <c r="AD3522" s="223"/>
      <c r="AE3522" s="223"/>
      <c r="AF3522" s="223"/>
      <c r="AG3522" s="223"/>
      <c r="AH3522" s="341"/>
      <c r="AI3522" s="218"/>
      <c r="AJ3522" s="218"/>
      <c r="AK3522" s="153"/>
      <c r="AL3522" s="152"/>
      <c r="AM3522" s="152"/>
      <c r="AN3522" s="152"/>
      <c r="AO3522" s="152"/>
      <c r="AP3522" s="152"/>
      <c r="AQ3522" s="152"/>
      <c r="AR3522" s="152"/>
      <c r="AS3522" s="152"/>
      <c r="AT3522" s="152"/>
      <c r="AU3522" s="153"/>
      <c r="AV3522" s="479"/>
      <c r="AW3522" s="479"/>
      <c r="AX3522" s="442"/>
      <c r="AY3522" s="153"/>
      <c r="AZ3522" s="152"/>
      <c r="BA3522" s="152"/>
      <c r="BB3522" s="152"/>
      <c r="BC3522" s="152"/>
      <c r="BD3522" s="152"/>
      <c r="BE3522" s="152"/>
      <c r="BF3522" s="152"/>
      <c r="BG3522" s="152"/>
      <c r="BH3522" s="152"/>
      <c r="BI3522" s="153"/>
      <c r="BJ3522" s="153"/>
      <c r="BK3522" s="153"/>
      <c r="BL3522" s="153"/>
      <c r="BM3522" s="153"/>
      <c r="BN3522" s="153"/>
      <c r="BO3522" s="153"/>
      <c r="BP3522" s="153"/>
      <c r="BQ3522" s="153"/>
      <c r="BR3522" s="153"/>
      <c r="BS3522" s="153"/>
      <c r="BT3522" s="153"/>
      <c r="BU3522" s="153"/>
      <c r="BV3522" s="153"/>
      <c r="BW3522" s="153"/>
      <c r="BX3522" s="153"/>
      <c r="BY3522" s="153"/>
      <c r="BZ3522" s="153"/>
      <c r="CA3522" s="152"/>
      <c r="CB3522" s="152"/>
    </row>
    <row r="3523" spans="1:80" s="87" customFormat="1" ht="15" x14ac:dyDescent="0.25">
      <c r="A3523" s="152"/>
      <c r="B3523" s="683"/>
      <c r="C3523" s="683"/>
      <c r="D3523" s="698"/>
      <c r="E3523" s="215"/>
      <c r="F3523" s="215"/>
      <c r="G3523" s="153"/>
      <c r="H3523" s="153"/>
      <c r="I3523" s="165">
        <v>20</v>
      </c>
      <c r="J3523" s="165">
        <v>30</v>
      </c>
      <c r="K3523" s="150">
        <v>1</v>
      </c>
      <c r="L3523" s="656">
        <v>10</v>
      </c>
      <c r="M3523" s="663">
        <v>36315</v>
      </c>
      <c r="N3523" s="600">
        <v>11.325100000000001</v>
      </c>
      <c r="O3523" s="604">
        <v>0.124899</v>
      </c>
      <c r="P3523" s="150"/>
      <c r="Q3523" s="250"/>
      <c r="R3523" s="250"/>
      <c r="S3523" s="250">
        <v>3.3000000000000002E-2</v>
      </c>
      <c r="T3523" s="250">
        <v>6.4000000000000001E-2</v>
      </c>
      <c r="U3523" s="250">
        <v>0.159</v>
      </c>
      <c r="V3523" s="250">
        <v>0.30199999999999999</v>
      </c>
      <c r="W3523" s="250">
        <v>0.32899999999999996</v>
      </c>
      <c r="X3523" s="250">
        <v>0.109</v>
      </c>
      <c r="Y3523" s="250">
        <v>4.0000000000000001E-3</v>
      </c>
      <c r="Z3523" s="150">
        <v>11</v>
      </c>
      <c r="AA3523" s="150">
        <v>1.1399999999999999</v>
      </c>
      <c r="AB3523" s="152"/>
      <c r="AC3523" s="152"/>
      <c r="AD3523" s="223"/>
      <c r="AE3523" s="223"/>
      <c r="AF3523" s="223"/>
      <c r="AG3523" s="223"/>
      <c r="AH3523" s="341"/>
      <c r="AI3523" s="218"/>
      <c r="AJ3523" s="218"/>
      <c r="AK3523" s="153"/>
      <c r="AL3523" s="152"/>
      <c r="AM3523" s="152"/>
      <c r="AN3523" s="152"/>
      <c r="AO3523" s="152"/>
      <c r="AP3523" s="152"/>
      <c r="AQ3523" s="152"/>
      <c r="AR3523" s="152"/>
      <c r="AS3523" s="152"/>
      <c r="AT3523" s="152"/>
      <c r="AU3523" s="153"/>
      <c r="AV3523" s="479"/>
      <c r="AW3523" s="479"/>
      <c r="AX3523" s="442"/>
      <c r="AY3523" s="153"/>
      <c r="AZ3523" s="152"/>
      <c r="BA3523" s="152"/>
      <c r="BB3523" s="152"/>
      <c r="BC3523" s="152"/>
      <c r="BD3523" s="152"/>
      <c r="BE3523" s="152"/>
      <c r="BF3523" s="152"/>
      <c r="BG3523" s="152"/>
      <c r="BH3523" s="152"/>
      <c r="BI3523" s="153"/>
      <c r="BJ3523" s="153"/>
      <c r="BK3523" s="153"/>
      <c r="BL3523" s="153"/>
      <c r="BM3523" s="153"/>
      <c r="BN3523" s="153"/>
      <c r="BO3523" s="153"/>
      <c r="BP3523" s="153"/>
      <c r="BQ3523" s="153"/>
      <c r="BR3523" s="153"/>
      <c r="BS3523" s="153"/>
      <c r="BT3523" s="153"/>
      <c r="BU3523" s="153"/>
      <c r="BV3523" s="153"/>
      <c r="BW3523" s="153"/>
      <c r="BX3523" s="153"/>
      <c r="BY3523" s="153"/>
      <c r="BZ3523" s="153"/>
      <c r="CA3523" s="152"/>
      <c r="CB3523" s="152"/>
    </row>
    <row r="3524" spans="1:80" s="87" customFormat="1" ht="15" x14ac:dyDescent="0.25">
      <c r="A3524" s="152"/>
      <c r="B3524" s="683"/>
      <c r="C3524" s="683"/>
      <c r="D3524" s="698"/>
      <c r="E3524" s="215"/>
      <c r="F3524" s="215"/>
      <c r="G3524" s="153"/>
      <c r="H3524" s="153"/>
      <c r="I3524" s="165">
        <v>20</v>
      </c>
      <c r="J3524" s="165">
        <v>30</v>
      </c>
      <c r="K3524" s="150">
        <v>1</v>
      </c>
      <c r="L3524" s="656">
        <v>10</v>
      </c>
      <c r="M3524" s="663">
        <v>36318</v>
      </c>
      <c r="N3524" s="600">
        <v>11.098599999999999</v>
      </c>
      <c r="O3524" s="604">
        <v>7.9767000000000005E-2</v>
      </c>
      <c r="P3524" s="150"/>
      <c r="Q3524" s="250"/>
      <c r="R3524" s="250">
        <v>0.10300000000000001</v>
      </c>
      <c r="S3524" s="250">
        <v>0.10099999999999999</v>
      </c>
      <c r="T3524" s="250">
        <v>9.0999999999999998E-2</v>
      </c>
      <c r="U3524" s="250">
        <v>0.152</v>
      </c>
      <c r="V3524" s="250">
        <v>0.25600000000000001</v>
      </c>
      <c r="W3524" s="250">
        <v>0.22500000000000001</v>
      </c>
      <c r="X3524" s="250">
        <v>6.9000000000000006E-2</v>
      </c>
      <c r="Y3524" s="250">
        <v>3.0000000000000001E-3</v>
      </c>
      <c r="Z3524" s="150">
        <v>27.5</v>
      </c>
      <c r="AA3524" s="150">
        <v>1.73</v>
      </c>
      <c r="AB3524" s="152"/>
      <c r="AC3524" s="152"/>
      <c r="AD3524" s="223">
        <v>12.953575000000001</v>
      </c>
      <c r="AE3524" s="223">
        <v>0.71320859999999997</v>
      </c>
      <c r="AF3524" s="223">
        <v>9.2243741999999997</v>
      </c>
      <c r="AG3524" s="223">
        <v>1.1795373</v>
      </c>
      <c r="AH3524" s="341"/>
      <c r="AI3524" s="218"/>
      <c r="AJ3524" s="218"/>
      <c r="AK3524" s="153"/>
      <c r="AL3524" s="152"/>
      <c r="AM3524" s="152"/>
      <c r="AN3524" s="152"/>
      <c r="AO3524" s="152"/>
      <c r="AP3524" s="152"/>
      <c r="AQ3524" s="152"/>
      <c r="AR3524" s="152"/>
      <c r="AS3524" s="152"/>
      <c r="AT3524" s="152"/>
      <c r="AU3524" s="153"/>
      <c r="AV3524" s="479"/>
      <c r="AW3524" s="479"/>
      <c r="AX3524" s="442"/>
      <c r="AY3524" s="153"/>
      <c r="AZ3524" s="152"/>
      <c r="BA3524" s="152"/>
      <c r="BB3524" s="152"/>
      <c r="BC3524" s="152"/>
      <c r="BD3524" s="152"/>
      <c r="BE3524" s="152"/>
      <c r="BF3524" s="152"/>
      <c r="BG3524" s="152"/>
      <c r="BH3524" s="152"/>
      <c r="BI3524" s="153"/>
      <c r="BJ3524" s="153"/>
      <c r="BK3524" s="153"/>
      <c r="BL3524" s="153"/>
      <c r="BM3524" s="153"/>
      <c r="BN3524" s="153"/>
      <c r="BO3524" s="153"/>
      <c r="BP3524" s="153"/>
      <c r="BQ3524" s="153"/>
      <c r="BR3524" s="153"/>
      <c r="BS3524" s="153"/>
      <c r="BT3524" s="153"/>
      <c r="BU3524" s="153"/>
      <c r="BV3524" s="153"/>
      <c r="BW3524" s="153"/>
      <c r="BX3524" s="153"/>
      <c r="BY3524" s="153"/>
      <c r="BZ3524" s="153"/>
      <c r="CA3524" s="152"/>
      <c r="CB3524" s="152"/>
    </row>
    <row r="3525" spans="1:80" s="87" customFormat="1" ht="15" x14ac:dyDescent="0.25">
      <c r="A3525" s="152"/>
      <c r="B3525" s="683"/>
      <c r="C3525" s="683"/>
      <c r="D3525" s="698"/>
      <c r="E3525" s="215"/>
      <c r="F3525" s="215"/>
      <c r="G3525" s="153"/>
      <c r="H3525" s="153"/>
      <c r="I3525" s="165">
        <v>20</v>
      </c>
      <c r="J3525" s="165">
        <v>30</v>
      </c>
      <c r="K3525" s="150">
        <v>1</v>
      </c>
      <c r="L3525" s="656">
        <v>10</v>
      </c>
      <c r="M3525" s="663">
        <v>36318</v>
      </c>
      <c r="N3525" s="600">
        <v>11.098599999999999</v>
      </c>
      <c r="O3525" s="604">
        <v>9.0578000000000006E-2</v>
      </c>
      <c r="P3525" s="150"/>
      <c r="Q3525" s="250">
        <v>0.14499999999999999</v>
      </c>
      <c r="R3525" s="250">
        <v>3.9E-2</v>
      </c>
      <c r="S3525" s="250">
        <v>8.4000000000000005E-2</v>
      </c>
      <c r="T3525" s="250">
        <v>4.8000000000000001E-2</v>
      </c>
      <c r="U3525" s="250">
        <v>0.15</v>
      </c>
      <c r="V3525" s="250">
        <v>0.23800000000000002</v>
      </c>
      <c r="W3525" s="250">
        <v>0.221</v>
      </c>
      <c r="X3525" s="250">
        <v>7.0999999999999994E-2</v>
      </c>
      <c r="Y3525" s="250">
        <v>3.0000000000000001E-3</v>
      </c>
      <c r="Z3525" s="150">
        <v>35</v>
      </c>
      <c r="AA3525" s="150">
        <v>1.82</v>
      </c>
      <c r="AB3525" s="152"/>
      <c r="AC3525" s="152"/>
      <c r="AD3525" s="223">
        <v>12.953575000000001</v>
      </c>
      <c r="AE3525" s="223">
        <v>0.71320859999999997</v>
      </c>
      <c r="AF3525" s="223">
        <v>9.2243741999999997</v>
      </c>
      <c r="AG3525" s="223">
        <v>1.1795373</v>
      </c>
      <c r="AH3525" s="341"/>
      <c r="AI3525" s="218"/>
      <c r="AJ3525" s="218"/>
      <c r="AK3525" s="153"/>
      <c r="AL3525" s="152"/>
      <c r="AM3525" s="152"/>
      <c r="AN3525" s="152"/>
      <c r="AO3525" s="152"/>
      <c r="AP3525" s="152"/>
      <c r="AQ3525" s="152"/>
      <c r="AR3525" s="152"/>
      <c r="AS3525" s="152"/>
      <c r="AT3525" s="152"/>
      <c r="AU3525" s="153"/>
      <c r="AV3525" s="479"/>
      <c r="AW3525" s="479"/>
      <c r="AX3525" s="442"/>
      <c r="AY3525" s="153"/>
      <c r="AZ3525" s="152"/>
      <c r="BA3525" s="152"/>
      <c r="BB3525" s="152"/>
      <c r="BC3525" s="152"/>
      <c r="BD3525" s="152"/>
      <c r="BE3525" s="152"/>
      <c r="BF3525" s="152"/>
      <c r="BG3525" s="152"/>
      <c r="BH3525" s="152"/>
      <c r="BI3525" s="153"/>
      <c r="BJ3525" s="153"/>
      <c r="BK3525" s="153"/>
      <c r="BL3525" s="153"/>
      <c r="BM3525" s="153"/>
      <c r="BN3525" s="153"/>
      <c r="BO3525" s="153"/>
      <c r="BP3525" s="153"/>
      <c r="BQ3525" s="153"/>
      <c r="BR3525" s="153"/>
      <c r="BS3525" s="153"/>
      <c r="BT3525" s="153"/>
      <c r="BU3525" s="153"/>
      <c r="BV3525" s="153"/>
      <c r="BW3525" s="153"/>
      <c r="BX3525" s="153"/>
      <c r="BY3525" s="153"/>
      <c r="BZ3525" s="153"/>
      <c r="CA3525" s="152"/>
      <c r="CB3525" s="152"/>
    </row>
    <row r="3526" spans="1:80" s="87" customFormat="1" ht="15" x14ac:dyDescent="0.25">
      <c r="A3526" s="152"/>
      <c r="B3526" s="683"/>
      <c r="C3526" s="683"/>
      <c r="D3526" s="698"/>
      <c r="E3526" s="215"/>
      <c r="F3526" s="215"/>
      <c r="G3526" s="153"/>
      <c r="H3526" s="153"/>
      <c r="I3526" s="165">
        <v>20</v>
      </c>
      <c r="J3526" s="165">
        <v>30</v>
      </c>
      <c r="K3526" s="150">
        <v>1</v>
      </c>
      <c r="L3526" s="656">
        <v>10</v>
      </c>
      <c r="M3526" s="663">
        <v>36319</v>
      </c>
      <c r="N3526" s="600">
        <v>10.0227</v>
      </c>
      <c r="O3526" s="604">
        <v>2.1305999999999999E-2</v>
      </c>
      <c r="P3526" s="150"/>
      <c r="Q3526" s="250"/>
      <c r="R3526" s="250"/>
      <c r="S3526" s="250">
        <v>8.0000000000000002E-3</v>
      </c>
      <c r="T3526" s="250">
        <v>0.04</v>
      </c>
      <c r="U3526" s="250">
        <v>0.159</v>
      </c>
      <c r="V3526" s="250">
        <v>0.28800000000000003</v>
      </c>
      <c r="W3526" s="250">
        <v>0.34899999999999998</v>
      </c>
      <c r="X3526" s="250">
        <v>0.14800000000000002</v>
      </c>
      <c r="Y3526" s="250">
        <v>8.0000000000000002E-3</v>
      </c>
      <c r="Z3526" s="150">
        <v>11</v>
      </c>
      <c r="AA3526" s="150">
        <v>0.99</v>
      </c>
      <c r="AB3526" s="152"/>
      <c r="AC3526" s="152"/>
      <c r="AD3526" s="223">
        <v>12.953575000000001</v>
      </c>
      <c r="AE3526" s="223">
        <v>0.67358589999999996</v>
      </c>
      <c r="AF3526" s="223">
        <v>8.7413253999999991</v>
      </c>
      <c r="AG3526" s="223">
        <v>1.1521062</v>
      </c>
      <c r="AH3526" s="341"/>
      <c r="AI3526" s="218"/>
      <c r="AJ3526" s="218"/>
      <c r="AK3526" s="153"/>
      <c r="AL3526" s="152"/>
      <c r="AM3526" s="152"/>
      <c r="AN3526" s="152"/>
      <c r="AO3526" s="152"/>
      <c r="AP3526" s="152"/>
      <c r="AQ3526" s="152"/>
      <c r="AR3526" s="152"/>
      <c r="AS3526" s="152"/>
      <c r="AT3526" s="152"/>
      <c r="AU3526" s="153"/>
      <c r="AV3526" s="479"/>
      <c r="AW3526" s="479"/>
      <c r="AX3526" s="442"/>
      <c r="AY3526" s="153"/>
      <c r="AZ3526" s="152"/>
      <c r="BA3526" s="152"/>
      <c r="BB3526" s="152"/>
      <c r="BC3526" s="152"/>
      <c r="BD3526" s="152"/>
      <c r="BE3526" s="152"/>
      <c r="BF3526" s="152"/>
      <c r="BG3526" s="152"/>
      <c r="BH3526" s="152"/>
      <c r="BI3526" s="153"/>
      <c r="BJ3526" s="153"/>
      <c r="BK3526" s="153"/>
      <c r="BL3526" s="153"/>
      <c r="BM3526" s="153"/>
      <c r="BN3526" s="153"/>
      <c r="BO3526" s="153"/>
      <c r="BP3526" s="153"/>
      <c r="BQ3526" s="153"/>
      <c r="BR3526" s="153"/>
      <c r="BS3526" s="153"/>
      <c r="BT3526" s="153"/>
      <c r="BU3526" s="153"/>
      <c r="BV3526" s="153"/>
      <c r="BW3526" s="153"/>
      <c r="BX3526" s="153"/>
      <c r="BY3526" s="153"/>
      <c r="BZ3526" s="153"/>
      <c r="CA3526" s="152"/>
      <c r="CB3526" s="152"/>
    </row>
    <row r="3527" spans="1:80" s="87" customFormat="1" ht="15" x14ac:dyDescent="0.25">
      <c r="A3527" s="152"/>
      <c r="B3527" s="683"/>
      <c r="C3527" s="683"/>
      <c r="D3527" s="698"/>
      <c r="E3527" s="215"/>
      <c r="F3527" s="215"/>
      <c r="G3527" s="153"/>
      <c r="H3527" s="153"/>
      <c r="I3527" s="165">
        <v>20</v>
      </c>
      <c r="J3527" s="165">
        <v>30</v>
      </c>
      <c r="K3527" s="150">
        <v>1</v>
      </c>
      <c r="L3527" s="656">
        <v>10</v>
      </c>
      <c r="M3527" s="663">
        <v>36319</v>
      </c>
      <c r="N3527" s="600">
        <v>10.0227</v>
      </c>
      <c r="O3527" s="604">
        <v>2.3300000000000001E-2</v>
      </c>
      <c r="P3527" s="150"/>
      <c r="Q3527" s="250"/>
      <c r="R3527" s="250"/>
      <c r="S3527" s="250">
        <v>3.4000000000000002E-2</v>
      </c>
      <c r="T3527" s="250">
        <v>1.8000000000000002E-2</v>
      </c>
      <c r="U3527" s="250">
        <v>0.106</v>
      </c>
      <c r="V3527" s="250">
        <v>0.32</v>
      </c>
      <c r="W3527" s="250">
        <v>0.37</v>
      </c>
      <c r="X3527" s="250">
        <v>0.14300000000000002</v>
      </c>
      <c r="Y3527" s="250">
        <v>9.0000000000000011E-3</v>
      </c>
      <c r="Z3527" s="150">
        <v>13</v>
      </c>
      <c r="AA3527" s="150">
        <v>0.96</v>
      </c>
      <c r="AB3527" s="152"/>
      <c r="AC3527" s="152"/>
      <c r="AD3527" s="223">
        <v>12.953575000000001</v>
      </c>
      <c r="AE3527" s="223">
        <v>0.67358589999999996</v>
      </c>
      <c r="AF3527" s="223">
        <v>8.7413253999999991</v>
      </c>
      <c r="AG3527" s="223">
        <v>1.1521062</v>
      </c>
      <c r="AH3527" s="341"/>
      <c r="AI3527" s="218"/>
      <c r="AJ3527" s="218"/>
      <c r="AK3527" s="153"/>
      <c r="AL3527" s="152"/>
      <c r="AM3527" s="152"/>
      <c r="AN3527" s="152"/>
      <c r="AO3527" s="152"/>
      <c r="AP3527" s="152"/>
      <c r="AQ3527" s="152"/>
      <c r="AR3527" s="152"/>
      <c r="AS3527" s="152"/>
      <c r="AT3527" s="152"/>
      <c r="AU3527" s="153"/>
      <c r="AV3527" s="479"/>
      <c r="AW3527" s="479"/>
      <c r="AX3527" s="442"/>
      <c r="AY3527" s="153"/>
      <c r="AZ3527" s="152"/>
      <c r="BA3527" s="152"/>
      <c r="BB3527" s="152"/>
      <c r="BC3527" s="152"/>
      <c r="BD3527" s="152"/>
      <c r="BE3527" s="152"/>
      <c r="BF3527" s="152"/>
      <c r="BG3527" s="152"/>
      <c r="BH3527" s="152"/>
      <c r="BI3527" s="153"/>
      <c r="BJ3527" s="153"/>
      <c r="BK3527" s="153"/>
      <c r="BL3527" s="153"/>
      <c r="BM3527" s="153"/>
      <c r="BN3527" s="153"/>
      <c r="BO3527" s="153"/>
      <c r="BP3527" s="153"/>
      <c r="BQ3527" s="153"/>
      <c r="BR3527" s="153"/>
      <c r="BS3527" s="153"/>
      <c r="BT3527" s="153"/>
      <c r="BU3527" s="153"/>
      <c r="BV3527" s="153"/>
      <c r="BW3527" s="153"/>
      <c r="BX3527" s="153"/>
      <c r="BY3527" s="153"/>
      <c r="BZ3527" s="153"/>
      <c r="CA3527" s="152"/>
      <c r="CB3527" s="152"/>
    </row>
    <row r="3528" spans="1:80" s="87" customFormat="1" ht="15" x14ac:dyDescent="0.25">
      <c r="A3528" s="152"/>
      <c r="B3528" s="683"/>
      <c r="C3528" s="683"/>
      <c r="D3528" s="698"/>
      <c r="E3528" s="215"/>
      <c r="F3528" s="215"/>
      <c r="G3528" s="153"/>
      <c r="H3528" s="153"/>
      <c r="I3528" s="165">
        <v>20</v>
      </c>
      <c r="J3528" s="165">
        <v>30</v>
      </c>
      <c r="K3528" s="150">
        <v>1</v>
      </c>
      <c r="L3528" s="656">
        <v>10</v>
      </c>
      <c r="M3528" s="663">
        <v>36321</v>
      </c>
      <c r="N3528" s="600">
        <v>7.4745499999999998</v>
      </c>
      <c r="O3528" s="604">
        <v>7.9769999999999997E-3</v>
      </c>
      <c r="P3528" s="150"/>
      <c r="Q3528" s="250"/>
      <c r="R3528" s="250"/>
      <c r="S3528" s="250"/>
      <c r="T3528" s="250">
        <v>1.6E-2</v>
      </c>
      <c r="U3528" s="250">
        <v>0.1</v>
      </c>
      <c r="V3528" s="250">
        <v>0.33200000000000002</v>
      </c>
      <c r="W3528" s="250">
        <v>0.374</v>
      </c>
      <c r="X3528" s="250">
        <v>0.16600000000000001</v>
      </c>
      <c r="Y3528" s="250">
        <v>1.2E-2</v>
      </c>
      <c r="Z3528" s="150">
        <v>6</v>
      </c>
      <c r="AA3528" s="150">
        <v>0.91</v>
      </c>
      <c r="AB3528" s="152"/>
      <c r="AC3528" s="152"/>
      <c r="AD3528" s="223">
        <v>15.849080000000001</v>
      </c>
      <c r="AE3528" s="223">
        <v>0.40232279999999998</v>
      </c>
      <c r="AF3528" s="223">
        <v>6.3818178000000003</v>
      </c>
      <c r="AG3528" s="223">
        <v>1.2039204999999999</v>
      </c>
      <c r="AH3528" s="341"/>
      <c r="AI3528" s="218"/>
      <c r="AJ3528" s="218"/>
      <c r="AK3528" s="153"/>
      <c r="AL3528" s="152"/>
      <c r="AM3528" s="152"/>
      <c r="AN3528" s="152"/>
      <c r="AO3528" s="152"/>
      <c r="AP3528" s="152"/>
      <c r="AQ3528" s="152"/>
      <c r="AR3528" s="152"/>
      <c r="AS3528" s="152"/>
      <c r="AT3528" s="152"/>
      <c r="AU3528" s="153"/>
      <c r="AV3528" s="479"/>
      <c r="AW3528" s="479"/>
      <c r="AX3528" s="442"/>
      <c r="AY3528" s="153"/>
      <c r="AZ3528" s="152"/>
      <c r="BA3528" s="152"/>
      <c r="BB3528" s="152"/>
      <c r="BC3528" s="152"/>
      <c r="BD3528" s="152"/>
      <c r="BE3528" s="152"/>
      <c r="BF3528" s="152"/>
      <c r="BG3528" s="152"/>
      <c r="BH3528" s="152"/>
      <c r="BI3528" s="153"/>
      <c r="BJ3528" s="153"/>
      <c r="BK3528" s="153"/>
      <c r="BL3528" s="153"/>
      <c r="BM3528" s="153"/>
      <c r="BN3528" s="153"/>
      <c r="BO3528" s="153"/>
      <c r="BP3528" s="153"/>
      <c r="BQ3528" s="153"/>
      <c r="BR3528" s="153"/>
      <c r="BS3528" s="153"/>
      <c r="BT3528" s="153"/>
      <c r="BU3528" s="153"/>
      <c r="BV3528" s="153"/>
      <c r="BW3528" s="153"/>
      <c r="BX3528" s="153"/>
      <c r="BY3528" s="153"/>
      <c r="BZ3528" s="153"/>
      <c r="CA3528" s="152"/>
      <c r="CB3528" s="152"/>
    </row>
    <row r="3529" spans="1:80" s="87" customFormat="1" ht="15" x14ac:dyDescent="0.25">
      <c r="A3529" s="152"/>
      <c r="B3529" s="683"/>
      <c r="C3529" s="683"/>
      <c r="D3529" s="698"/>
      <c r="E3529" s="215"/>
      <c r="F3529" s="215"/>
      <c r="G3529" s="153"/>
      <c r="H3529" s="153"/>
      <c r="I3529" s="165">
        <v>20</v>
      </c>
      <c r="J3529" s="165">
        <v>30</v>
      </c>
      <c r="K3529" s="150">
        <v>1</v>
      </c>
      <c r="L3529" s="656">
        <v>10</v>
      </c>
      <c r="M3529" s="663">
        <v>36321</v>
      </c>
      <c r="N3529" s="600">
        <v>7.5877999999999997</v>
      </c>
      <c r="O3529" s="604">
        <v>9.0259999999999993E-3</v>
      </c>
      <c r="P3529" s="150"/>
      <c r="Q3529" s="250"/>
      <c r="R3529" s="250"/>
      <c r="S3529" s="250"/>
      <c r="T3529" s="250">
        <v>2.8999999999999998E-2</v>
      </c>
      <c r="U3529" s="250">
        <v>0.105</v>
      </c>
      <c r="V3529" s="250">
        <v>0.33200000000000002</v>
      </c>
      <c r="W3529" s="250">
        <v>0.36399999999999999</v>
      </c>
      <c r="X3529" s="250">
        <v>0.158</v>
      </c>
      <c r="Y3529" s="250">
        <v>0.01</v>
      </c>
      <c r="Z3529" s="150">
        <v>7.5</v>
      </c>
      <c r="AA3529" s="150">
        <v>0.94</v>
      </c>
      <c r="AB3529" s="152"/>
      <c r="AC3529" s="152"/>
      <c r="AD3529" s="223">
        <v>15.849080000000001</v>
      </c>
      <c r="AE3529" s="223">
        <v>0.40232279999999998</v>
      </c>
      <c r="AF3529" s="223">
        <v>6.3818178000000003</v>
      </c>
      <c r="AG3529" s="223">
        <v>1.2039204999999999</v>
      </c>
      <c r="AH3529" s="341"/>
      <c r="AI3529" s="218"/>
      <c r="AJ3529" s="218"/>
      <c r="AK3529" s="153"/>
      <c r="AL3529" s="152"/>
      <c r="AM3529" s="152"/>
      <c r="AN3529" s="152"/>
      <c r="AO3529" s="152"/>
      <c r="AP3529" s="152"/>
      <c r="AQ3529" s="152"/>
      <c r="AR3529" s="152"/>
      <c r="AS3529" s="152"/>
      <c r="AT3529" s="152"/>
      <c r="AU3529" s="153"/>
      <c r="AV3529" s="479"/>
      <c r="AW3529" s="479"/>
      <c r="AX3529" s="442"/>
      <c r="AY3529" s="153"/>
      <c r="AZ3529" s="152"/>
      <c r="BA3529" s="152"/>
      <c r="BB3529" s="152"/>
      <c r="BC3529" s="152"/>
      <c r="BD3529" s="152"/>
      <c r="BE3529" s="152"/>
      <c r="BF3529" s="152"/>
      <c r="BG3529" s="152"/>
      <c r="BH3529" s="152"/>
      <c r="BI3529" s="153"/>
      <c r="BJ3529" s="153"/>
      <c r="BK3529" s="153"/>
      <c r="BL3529" s="153"/>
      <c r="BM3529" s="153"/>
      <c r="BN3529" s="153"/>
      <c r="BO3529" s="153"/>
      <c r="BP3529" s="153"/>
      <c r="BQ3529" s="153"/>
      <c r="BR3529" s="153"/>
      <c r="BS3529" s="153"/>
      <c r="BT3529" s="153"/>
      <c r="BU3529" s="153"/>
      <c r="BV3529" s="153"/>
      <c r="BW3529" s="153"/>
      <c r="BX3529" s="153"/>
      <c r="BY3529" s="153"/>
      <c r="BZ3529" s="153"/>
      <c r="CA3529" s="152"/>
      <c r="CB3529" s="152"/>
    </row>
    <row r="3530" spans="1:80" s="87" customFormat="1" ht="15" x14ac:dyDescent="0.25">
      <c r="A3530" s="152"/>
      <c r="B3530" s="683"/>
      <c r="C3530" s="683"/>
      <c r="D3530" s="698"/>
      <c r="E3530" s="215"/>
      <c r="F3530" s="215"/>
      <c r="G3530" s="153"/>
      <c r="H3530" s="153"/>
      <c r="I3530" s="165">
        <v>20</v>
      </c>
      <c r="J3530" s="165">
        <v>30</v>
      </c>
      <c r="K3530" s="150">
        <v>1</v>
      </c>
      <c r="L3530" s="656">
        <v>10</v>
      </c>
      <c r="M3530" s="663">
        <v>36325</v>
      </c>
      <c r="N3530" s="600">
        <v>11.098599999999999</v>
      </c>
      <c r="O3530" s="604">
        <v>5.2898000000000001E-2</v>
      </c>
      <c r="P3530" s="150"/>
      <c r="Q3530" s="250"/>
      <c r="R3530" s="250"/>
      <c r="S3530" s="250">
        <v>3.6000000000000004E-2</v>
      </c>
      <c r="T3530" s="250">
        <v>8.199999999999999E-2</v>
      </c>
      <c r="U3530" s="250">
        <v>0.13400000000000001</v>
      </c>
      <c r="V3530" s="250">
        <v>0.253</v>
      </c>
      <c r="W3530" s="250">
        <v>0.33399999999999996</v>
      </c>
      <c r="X3530" s="250">
        <v>9.3000000000000013E-2</v>
      </c>
      <c r="Y3530" s="250">
        <v>6.6000000000000003E-2</v>
      </c>
      <c r="Z3530" s="150">
        <v>15</v>
      </c>
      <c r="AA3530" s="150">
        <v>1.02</v>
      </c>
      <c r="AB3530" s="152"/>
      <c r="AC3530" s="152"/>
      <c r="AD3530" s="223">
        <v>12.953575000000001</v>
      </c>
      <c r="AE3530" s="223">
        <v>0.74978339999999999</v>
      </c>
      <c r="AF3530" s="223">
        <v>9.6609759999999998</v>
      </c>
      <c r="AG3530" s="223">
        <v>1.1033398000000001</v>
      </c>
      <c r="AH3530" s="341"/>
      <c r="AI3530" s="218"/>
      <c r="AJ3530" s="218"/>
      <c r="AK3530" s="153"/>
      <c r="AL3530" s="152"/>
      <c r="AM3530" s="152"/>
      <c r="AN3530" s="152"/>
      <c r="AO3530" s="152"/>
      <c r="AP3530" s="152"/>
      <c r="AQ3530" s="152"/>
      <c r="AR3530" s="152"/>
      <c r="AS3530" s="152"/>
      <c r="AT3530" s="152"/>
      <c r="AU3530" s="153"/>
      <c r="AV3530" s="479"/>
      <c r="AW3530" s="479"/>
      <c r="AX3530" s="442"/>
      <c r="AY3530" s="153"/>
      <c r="AZ3530" s="152"/>
      <c r="BA3530" s="152"/>
      <c r="BB3530" s="152"/>
      <c r="BC3530" s="152"/>
      <c r="BD3530" s="152"/>
      <c r="BE3530" s="152"/>
      <c r="BF3530" s="152"/>
      <c r="BG3530" s="152"/>
      <c r="BH3530" s="152"/>
      <c r="BI3530" s="153"/>
      <c r="BJ3530" s="153"/>
      <c r="BK3530" s="153"/>
      <c r="BL3530" s="153"/>
      <c r="BM3530" s="153"/>
      <c r="BN3530" s="153"/>
      <c r="BO3530" s="153"/>
      <c r="BP3530" s="153"/>
      <c r="BQ3530" s="153"/>
      <c r="BR3530" s="153"/>
      <c r="BS3530" s="153"/>
      <c r="BT3530" s="153"/>
      <c r="BU3530" s="153"/>
      <c r="BV3530" s="153"/>
      <c r="BW3530" s="153"/>
      <c r="BX3530" s="153"/>
      <c r="BY3530" s="153"/>
      <c r="BZ3530" s="153"/>
      <c r="CA3530" s="152"/>
      <c r="CB3530" s="152"/>
    </row>
    <row r="3531" spans="1:80" s="87" customFormat="1" ht="15" x14ac:dyDescent="0.25">
      <c r="A3531" s="152"/>
      <c r="B3531" s="683"/>
      <c r="C3531" s="683"/>
      <c r="D3531" s="698"/>
      <c r="E3531" s="215"/>
      <c r="F3531" s="215"/>
      <c r="G3531" s="153"/>
      <c r="H3531" s="153"/>
      <c r="I3531" s="165">
        <v>20</v>
      </c>
      <c r="J3531" s="165">
        <v>30</v>
      </c>
      <c r="K3531" s="150">
        <v>1</v>
      </c>
      <c r="L3531" s="656">
        <v>10</v>
      </c>
      <c r="M3531" s="663">
        <v>36325</v>
      </c>
      <c r="N3531" s="600">
        <v>11.098599999999999</v>
      </c>
      <c r="O3531" s="604">
        <v>8.8793999999999998E-2</v>
      </c>
      <c r="P3531" s="150"/>
      <c r="Q3531" s="250">
        <v>0.26100000000000001</v>
      </c>
      <c r="R3531" s="250">
        <v>0</v>
      </c>
      <c r="S3531" s="250">
        <v>8.4000000000000005E-2</v>
      </c>
      <c r="T3531" s="250">
        <v>4.2000000000000003E-2</v>
      </c>
      <c r="U3531" s="250">
        <v>0.11</v>
      </c>
      <c r="V3531" s="250">
        <v>0.19399999999999998</v>
      </c>
      <c r="W3531" s="250">
        <v>0.215</v>
      </c>
      <c r="X3531" s="250">
        <v>0.09</v>
      </c>
      <c r="Y3531" s="250">
        <v>5.0000000000000001E-3</v>
      </c>
      <c r="Z3531" s="150">
        <v>39</v>
      </c>
      <c r="AA3531" s="150">
        <v>1.97</v>
      </c>
      <c r="AB3531" s="152"/>
      <c r="AC3531" s="152"/>
      <c r="AD3531" s="223">
        <v>12.953575000000001</v>
      </c>
      <c r="AE3531" s="223">
        <v>0.74978339999999999</v>
      </c>
      <c r="AF3531" s="223">
        <v>9.6609759999999998</v>
      </c>
      <c r="AG3531" s="223">
        <v>1.1033398000000001</v>
      </c>
      <c r="AH3531" s="341"/>
      <c r="AI3531" s="218"/>
      <c r="AJ3531" s="218"/>
      <c r="AK3531" s="153"/>
      <c r="AL3531" s="152"/>
      <c r="AM3531" s="152"/>
      <c r="AN3531" s="152"/>
      <c r="AO3531" s="152"/>
      <c r="AP3531" s="152"/>
      <c r="AQ3531" s="152"/>
      <c r="AR3531" s="152"/>
      <c r="AS3531" s="152"/>
      <c r="AT3531" s="152"/>
      <c r="AU3531" s="153"/>
      <c r="AV3531" s="479"/>
      <c r="AW3531" s="479"/>
      <c r="AX3531" s="442"/>
      <c r="AY3531" s="153"/>
      <c r="AZ3531" s="152"/>
      <c r="BA3531" s="152"/>
      <c r="BB3531" s="152"/>
      <c r="BC3531" s="152"/>
      <c r="BD3531" s="152"/>
      <c r="BE3531" s="152"/>
      <c r="BF3531" s="152"/>
      <c r="BG3531" s="152"/>
      <c r="BH3531" s="152"/>
      <c r="BI3531" s="153"/>
      <c r="BJ3531" s="153"/>
      <c r="BK3531" s="153"/>
      <c r="BL3531" s="153"/>
      <c r="BM3531" s="153"/>
      <c r="BN3531" s="153"/>
      <c r="BO3531" s="153"/>
      <c r="BP3531" s="153"/>
      <c r="BQ3531" s="153"/>
      <c r="BR3531" s="153"/>
      <c r="BS3531" s="153"/>
      <c r="BT3531" s="153"/>
      <c r="BU3531" s="153"/>
      <c r="BV3531" s="153"/>
      <c r="BW3531" s="153"/>
      <c r="BX3531" s="153"/>
      <c r="BY3531" s="153"/>
      <c r="BZ3531" s="153"/>
      <c r="CA3531" s="152"/>
      <c r="CB3531" s="152"/>
    </row>
    <row r="3532" spans="1:80" s="87" customFormat="1" ht="15" x14ac:dyDescent="0.25">
      <c r="A3532" s="152"/>
      <c r="B3532" s="683"/>
      <c r="C3532" s="683"/>
      <c r="D3532" s="698"/>
      <c r="E3532" s="215"/>
      <c r="F3532" s="215"/>
      <c r="G3532" s="153"/>
      <c r="H3532" s="153"/>
      <c r="I3532" s="165">
        <v>20</v>
      </c>
      <c r="J3532" s="165">
        <v>30</v>
      </c>
      <c r="K3532" s="150">
        <v>1</v>
      </c>
      <c r="L3532" s="656">
        <v>10</v>
      </c>
      <c r="M3532" s="663">
        <v>36326</v>
      </c>
      <c r="N3532" s="600">
        <v>13.646699999999999</v>
      </c>
      <c r="O3532" s="604">
        <v>9.9080000000000001E-2</v>
      </c>
      <c r="P3532" s="150"/>
      <c r="Q3532" s="250"/>
      <c r="R3532" s="250"/>
      <c r="S3532" s="250">
        <v>9.3000000000000013E-2</v>
      </c>
      <c r="T3532" s="250">
        <v>0.109</v>
      </c>
      <c r="U3532" s="250">
        <v>0.19600000000000001</v>
      </c>
      <c r="V3532" s="250">
        <v>0.249</v>
      </c>
      <c r="W3532" s="250">
        <v>0.22699999999999998</v>
      </c>
      <c r="X3532" s="250">
        <v>0.11800000000000001</v>
      </c>
      <c r="Y3532" s="250">
        <v>8.0000000000000002E-3</v>
      </c>
      <c r="Z3532" s="150">
        <v>19</v>
      </c>
      <c r="AA3532" s="150">
        <v>1.51</v>
      </c>
      <c r="AB3532" s="152"/>
      <c r="AC3532" s="152"/>
      <c r="AD3532" s="223">
        <v>14.32513</v>
      </c>
      <c r="AE3532" s="223">
        <v>0.80159769999999997</v>
      </c>
      <c r="AF3532" s="223">
        <v>11.425962</v>
      </c>
      <c r="AG3532" s="223">
        <v>1.1703935999999999</v>
      </c>
      <c r="AH3532" s="341"/>
      <c r="AI3532" s="218"/>
      <c r="AJ3532" s="218"/>
      <c r="AK3532" s="153"/>
      <c r="AL3532" s="152"/>
      <c r="AM3532" s="152"/>
      <c r="AN3532" s="152"/>
      <c r="AO3532" s="152"/>
      <c r="AP3532" s="152"/>
      <c r="AQ3532" s="152"/>
      <c r="AR3532" s="152"/>
      <c r="AS3532" s="152"/>
      <c r="AT3532" s="152"/>
      <c r="AU3532" s="153"/>
      <c r="AV3532" s="479"/>
      <c r="AW3532" s="479"/>
      <c r="AX3532" s="442"/>
      <c r="AY3532" s="153"/>
      <c r="AZ3532" s="152"/>
      <c r="BA3532" s="152"/>
      <c r="BB3532" s="152"/>
      <c r="BC3532" s="152"/>
      <c r="BD3532" s="152"/>
      <c r="BE3532" s="152"/>
      <c r="BF3532" s="152"/>
      <c r="BG3532" s="152"/>
      <c r="BH3532" s="152"/>
      <c r="BI3532" s="153"/>
      <c r="BJ3532" s="153"/>
      <c r="BK3532" s="153"/>
      <c r="BL3532" s="153"/>
      <c r="BM3532" s="153"/>
      <c r="BN3532" s="153"/>
      <c r="BO3532" s="153"/>
      <c r="BP3532" s="153"/>
      <c r="BQ3532" s="153"/>
      <c r="BR3532" s="153"/>
      <c r="BS3532" s="153"/>
      <c r="BT3532" s="153"/>
      <c r="BU3532" s="153"/>
      <c r="BV3532" s="153"/>
      <c r="BW3532" s="153"/>
      <c r="BX3532" s="153"/>
      <c r="BY3532" s="153"/>
      <c r="BZ3532" s="153"/>
      <c r="CA3532" s="152"/>
      <c r="CB3532" s="152"/>
    </row>
    <row r="3533" spans="1:80" s="87" customFormat="1" ht="15" x14ac:dyDescent="0.25">
      <c r="A3533" s="152"/>
      <c r="B3533" s="683"/>
      <c r="C3533" s="683"/>
      <c r="D3533" s="698"/>
      <c r="E3533" s="215"/>
      <c r="F3533" s="215"/>
      <c r="G3533" s="153"/>
      <c r="H3533" s="153"/>
      <c r="I3533" s="165">
        <v>20</v>
      </c>
      <c r="J3533" s="165">
        <v>30</v>
      </c>
      <c r="K3533" s="150">
        <v>1</v>
      </c>
      <c r="L3533" s="656">
        <v>10</v>
      </c>
      <c r="M3533" s="663">
        <v>36326</v>
      </c>
      <c r="N3533" s="600">
        <v>13.646699999999999</v>
      </c>
      <c r="O3533" s="604">
        <v>0.43452299999999999</v>
      </c>
      <c r="P3533" s="150"/>
      <c r="Q3533" s="250">
        <v>0.03</v>
      </c>
      <c r="R3533" s="250">
        <v>0.158</v>
      </c>
      <c r="S3533" s="250">
        <v>0.152</v>
      </c>
      <c r="T3533" s="250">
        <v>0.157</v>
      </c>
      <c r="U3533" s="250">
        <v>0.20899999999999999</v>
      </c>
      <c r="V3533" s="250">
        <v>0.17499999999999999</v>
      </c>
      <c r="W3533" s="250">
        <v>8.8000000000000009E-2</v>
      </c>
      <c r="X3533" s="250">
        <v>2.7999999999999997E-2</v>
      </c>
      <c r="Y3533" s="250">
        <v>3.0000000000000001E-3</v>
      </c>
      <c r="Z3533" s="150">
        <v>35</v>
      </c>
      <c r="AA3533" s="150">
        <v>3.96</v>
      </c>
      <c r="AB3533" s="152"/>
      <c r="AC3533" s="152"/>
      <c r="AD3533" s="223">
        <v>14.32513</v>
      </c>
      <c r="AE3533" s="223">
        <v>0.80159769999999997</v>
      </c>
      <c r="AF3533" s="223">
        <v>11.425962</v>
      </c>
      <c r="AG3533" s="223">
        <v>1.1703935999999999</v>
      </c>
      <c r="AH3533" s="341"/>
      <c r="AI3533" s="218"/>
      <c r="AJ3533" s="218"/>
      <c r="AK3533" s="153"/>
      <c r="AL3533" s="152"/>
      <c r="AM3533" s="152"/>
      <c r="AN3533" s="152"/>
      <c r="AO3533" s="152"/>
      <c r="AP3533" s="152"/>
      <c r="AQ3533" s="152"/>
      <c r="AR3533" s="152"/>
      <c r="AS3533" s="152"/>
      <c r="AT3533" s="152"/>
      <c r="AU3533" s="153"/>
      <c r="AV3533" s="479"/>
      <c r="AW3533" s="479"/>
      <c r="AX3533" s="442"/>
      <c r="AY3533" s="153"/>
      <c r="AZ3533" s="152"/>
      <c r="BA3533" s="152"/>
      <c r="BB3533" s="152"/>
      <c r="BC3533" s="152"/>
      <c r="BD3533" s="152"/>
      <c r="BE3533" s="152"/>
      <c r="BF3533" s="152"/>
      <c r="BG3533" s="152"/>
      <c r="BH3533" s="152"/>
      <c r="BI3533" s="153"/>
      <c r="BJ3533" s="153"/>
      <c r="BK3533" s="153"/>
      <c r="BL3533" s="153"/>
      <c r="BM3533" s="153"/>
      <c r="BN3533" s="153"/>
      <c r="BO3533" s="153"/>
      <c r="BP3533" s="153"/>
      <c r="BQ3533" s="153"/>
      <c r="BR3533" s="153"/>
      <c r="BS3533" s="153"/>
      <c r="BT3533" s="153"/>
      <c r="BU3533" s="153"/>
      <c r="BV3533" s="153"/>
      <c r="BW3533" s="153"/>
      <c r="BX3533" s="153"/>
      <c r="BY3533" s="153"/>
      <c r="BZ3533" s="153"/>
      <c r="CA3533" s="152"/>
      <c r="CB3533" s="152"/>
    </row>
    <row r="3534" spans="1:80" s="87" customFormat="1" ht="15" x14ac:dyDescent="0.25">
      <c r="A3534" s="152"/>
      <c r="B3534" s="683"/>
      <c r="C3534" s="683"/>
      <c r="D3534" s="698"/>
      <c r="E3534" s="215"/>
      <c r="F3534" s="215"/>
      <c r="G3534" s="153"/>
      <c r="H3534" s="153"/>
      <c r="I3534" s="165">
        <v>20</v>
      </c>
      <c r="J3534" s="165">
        <v>30</v>
      </c>
      <c r="K3534" s="150">
        <v>1</v>
      </c>
      <c r="L3534" s="656">
        <v>10</v>
      </c>
      <c r="M3534" s="663">
        <v>36327</v>
      </c>
      <c r="N3534" s="600">
        <v>18.997800000000002</v>
      </c>
      <c r="O3534" s="604">
        <v>0.132246</v>
      </c>
      <c r="P3534" s="150"/>
      <c r="Q3534" s="250"/>
      <c r="R3534" s="250">
        <v>4.0999999999999995E-2</v>
      </c>
      <c r="S3534" s="250">
        <v>5.5E-2</v>
      </c>
      <c r="T3534" s="250">
        <v>7.400000000000001E-2</v>
      </c>
      <c r="U3534" s="250">
        <v>0.11699999999999999</v>
      </c>
      <c r="V3534" s="250">
        <v>0.16699999999999998</v>
      </c>
      <c r="W3534" s="250">
        <v>0.311</v>
      </c>
      <c r="X3534" s="250">
        <v>0.222</v>
      </c>
      <c r="Y3534" s="250">
        <v>1.3000000000000001E-2</v>
      </c>
      <c r="Z3534" s="150">
        <v>30.5</v>
      </c>
      <c r="AA3534" s="150">
        <v>0.9</v>
      </c>
      <c r="AB3534" s="152"/>
      <c r="AC3534" s="152"/>
      <c r="AD3534" s="223">
        <v>14.32513</v>
      </c>
      <c r="AE3534" s="223">
        <v>0.93875319999999995</v>
      </c>
      <c r="AF3534" s="223">
        <v>13.46963</v>
      </c>
      <c r="AG3534" s="223">
        <v>1.3654592000000001</v>
      </c>
      <c r="AH3534" s="341"/>
      <c r="AI3534" s="218"/>
      <c r="AJ3534" s="218"/>
      <c r="AK3534" s="153"/>
      <c r="AL3534" s="152"/>
      <c r="AM3534" s="152"/>
      <c r="AN3534" s="152"/>
      <c r="AO3534" s="152"/>
      <c r="AP3534" s="152"/>
      <c r="AQ3534" s="152"/>
      <c r="AR3534" s="152"/>
      <c r="AS3534" s="152"/>
      <c r="AT3534" s="152"/>
      <c r="AU3534" s="153"/>
      <c r="AV3534" s="479"/>
      <c r="AW3534" s="479"/>
      <c r="AX3534" s="442"/>
      <c r="AY3534" s="153"/>
      <c r="AZ3534" s="152"/>
      <c r="BA3534" s="152"/>
      <c r="BB3534" s="152"/>
      <c r="BC3534" s="152"/>
      <c r="BD3534" s="152"/>
      <c r="BE3534" s="152"/>
      <c r="BF3534" s="152"/>
      <c r="BG3534" s="152"/>
      <c r="BH3534" s="152"/>
      <c r="BI3534" s="153"/>
      <c r="BJ3534" s="153"/>
      <c r="BK3534" s="153"/>
      <c r="BL3534" s="153"/>
      <c r="BM3534" s="153"/>
      <c r="BN3534" s="153"/>
      <c r="BO3534" s="153"/>
      <c r="BP3534" s="153"/>
      <c r="BQ3534" s="153"/>
      <c r="BR3534" s="153"/>
      <c r="BS3534" s="153"/>
      <c r="BT3534" s="153"/>
      <c r="BU3534" s="153"/>
      <c r="BV3534" s="153"/>
      <c r="BW3534" s="153"/>
      <c r="BX3534" s="153"/>
      <c r="BY3534" s="153"/>
      <c r="BZ3534" s="153"/>
      <c r="CA3534" s="152"/>
      <c r="CB3534" s="152"/>
    </row>
    <row r="3535" spans="1:80" s="87" customFormat="1" ht="15" x14ac:dyDescent="0.25">
      <c r="A3535" s="152"/>
      <c r="B3535" s="683"/>
      <c r="C3535" s="683"/>
      <c r="D3535" s="698"/>
      <c r="E3535" s="215"/>
      <c r="F3535" s="215"/>
      <c r="G3535" s="153"/>
      <c r="H3535" s="153"/>
      <c r="I3535" s="165">
        <v>20</v>
      </c>
      <c r="J3535" s="165">
        <v>30</v>
      </c>
      <c r="K3535" s="150">
        <v>1</v>
      </c>
      <c r="L3535" s="656">
        <v>10</v>
      </c>
      <c r="M3535" s="663">
        <v>36327</v>
      </c>
      <c r="N3535" s="600">
        <v>18.997800000000002</v>
      </c>
      <c r="O3535" s="604">
        <v>0.207815</v>
      </c>
      <c r="P3535" s="150"/>
      <c r="Q3535" s="250"/>
      <c r="R3535" s="250">
        <v>0.13900000000000001</v>
      </c>
      <c r="S3535" s="250">
        <v>6.8000000000000005E-2</v>
      </c>
      <c r="T3535" s="250">
        <v>4.0999999999999995E-2</v>
      </c>
      <c r="U3535" s="250">
        <v>8.5999999999999993E-2</v>
      </c>
      <c r="V3535" s="250">
        <v>0.193</v>
      </c>
      <c r="W3535" s="250">
        <v>0.29899999999999999</v>
      </c>
      <c r="X3535" s="250">
        <v>0.16300000000000001</v>
      </c>
      <c r="Y3535" s="250">
        <v>0.01</v>
      </c>
      <c r="Z3535" s="150">
        <v>32.5</v>
      </c>
      <c r="AA3535" s="150">
        <v>1.1100000000000001</v>
      </c>
      <c r="AB3535" s="152"/>
      <c r="AC3535" s="152"/>
      <c r="AD3535" s="223">
        <v>14.32513</v>
      </c>
      <c r="AE3535" s="223">
        <v>0.93875319999999995</v>
      </c>
      <c r="AF3535" s="223">
        <v>13.46963</v>
      </c>
      <c r="AG3535" s="223">
        <v>1.3654592000000001</v>
      </c>
      <c r="AH3535" s="341"/>
      <c r="AI3535" s="218"/>
      <c r="AJ3535" s="218"/>
      <c r="AK3535" s="153"/>
      <c r="AL3535" s="152"/>
      <c r="AM3535" s="152"/>
      <c r="AN3535" s="152"/>
      <c r="AO3535" s="152"/>
      <c r="AP3535" s="152"/>
      <c r="AQ3535" s="152"/>
      <c r="AR3535" s="152"/>
      <c r="AS3535" s="152"/>
      <c r="AT3535" s="152"/>
      <c r="AU3535" s="153"/>
      <c r="AV3535" s="479"/>
      <c r="AW3535" s="479"/>
      <c r="AX3535" s="442"/>
      <c r="AY3535" s="153"/>
      <c r="AZ3535" s="152"/>
      <c r="BA3535" s="152"/>
      <c r="BB3535" s="152"/>
      <c r="BC3535" s="152"/>
      <c r="BD3535" s="152"/>
      <c r="BE3535" s="152"/>
      <c r="BF3535" s="152"/>
      <c r="BG3535" s="152"/>
      <c r="BH3535" s="152"/>
      <c r="BI3535" s="153"/>
      <c r="BJ3535" s="153"/>
      <c r="BK3535" s="153"/>
      <c r="BL3535" s="153"/>
      <c r="BM3535" s="153"/>
      <c r="BN3535" s="153"/>
      <c r="BO3535" s="153"/>
      <c r="BP3535" s="153"/>
      <c r="BQ3535" s="153"/>
      <c r="BR3535" s="153"/>
      <c r="BS3535" s="153"/>
      <c r="BT3535" s="153"/>
      <c r="BU3535" s="153"/>
      <c r="BV3535" s="153"/>
      <c r="BW3535" s="153"/>
      <c r="BX3535" s="153"/>
      <c r="BY3535" s="153"/>
      <c r="BZ3535" s="153"/>
      <c r="CA3535" s="152"/>
      <c r="CB3535" s="152"/>
    </row>
    <row r="3536" spans="1:80" s="87" customFormat="1" ht="15" x14ac:dyDescent="0.25">
      <c r="A3536" s="152"/>
      <c r="B3536" s="683"/>
      <c r="C3536" s="683"/>
      <c r="D3536" s="698"/>
      <c r="E3536" s="215"/>
      <c r="F3536" s="215"/>
      <c r="G3536" s="153"/>
      <c r="H3536" s="153"/>
      <c r="I3536" s="165">
        <v>20</v>
      </c>
      <c r="J3536" s="165">
        <v>30</v>
      </c>
      <c r="K3536" s="150">
        <v>1</v>
      </c>
      <c r="L3536" s="656">
        <v>10</v>
      </c>
      <c r="M3536" s="663">
        <v>36328</v>
      </c>
      <c r="N3536" s="600">
        <v>19.818899999999999</v>
      </c>
      <c r="O3536" s="604">
        <v>0.92991999999999997</v>
      </c>
      <c r="P3536" s="150"/>
      <c r="Q3536" s="250">
        <v>0.10400000000000001</v>
      </c>
      <c r="R3536" s="250">
        <v>5.7000000000000002E-2</v>
      </c>
      <c r="S3536" s="250">
        <v>8.900000000000001E-2</v>
      </c>
      <c r="T3536" s="250">
        <v>8.4000000000000005E-2</v>
      </c>
      <c r="U3536" s="250">
        <v>0.17699999999999999</v>
      </c>
      <c r="V3536" s="250">
        <v>0.28999999999999998</v>
      </c>
      <c r="W3536" s="250">
        <v>0.156</v>
      </c>
      <c r="X3536" s="250">
        <v>0.04</v>
      </c>
      <c r="Y3536" s="250">
        <v>2E-3</v>
      </c>
      <c r="Z3536" s="150">
        <v>62.5</v>
      </c>
      <c r="AA3536" s="150">
        <v>2.1</v>
      </c>
      <c r="AB3536" s="152"/>
      <c r="AC3536" s="152"/>
      <c r="AD3536" s="223">
        <v>14.32513</v>
      </c>
      <c r="AE3536" s="223">
        <v>0.89913050000000005</v>
      </c>
      <c r="AF3536" s="223">
        <v>12.912266000000001</v>
      </c>
      <c r="AG3536" s="223">
        <v>1.5605248</v>
      </c>
      <c r="AH3536" s="341"/>
      <c r="AI3536" s="218"/>
      <c r="AJ3536" s="218"/>
      <c r="AK3536" s="153"/>
      <c r="AL3536" s="152"/>
      <c r="AM3536" s="152"/>
      <c r="AN3536" s="152"/>
      <c r="AO3536" s="152"/>
      <c r="AP3536" s="152"/>
      <c r="AQ3536" s="152"/>
      <c r="AR3536" s="152"/>
      <c r="AS3536" s="152"/>
      <c r="AT3536" s="152"/>
      <c r="AU3536" s="153"/>
      <c r="AV3536" s="479"/>
      <c r="AW3536" s="479"/>
      <c r="AX3536" s="442"/>
      <c r="AY3536" s="153"/>
      <c r="AZ3536" s="152"/>
      <c r="BA3536" s="152"/>
      <c r="BB3536" s="152"/>
      <c r="BC3536" s="152"/>
      <c r="BD3536" s="152"/>
      <c r="BE3536" s="152"/>
      <c r="BF3536" s="152"/>
      <c r="BG3536" s="152"/>
      <c r="BH3536" s="152"/>
      <c r="BI3536" s="153"/>
      <c r="BJ3536" s="153"/>
      <c r="BK3536" s="153"/>
      <c r="BL3536" s="153"/>
      <c r="BM3536" s="153"/>
      <c r="BN3536" s="153"/>
      <c r="BO3536" s="153"/>
      <c r="BP3536" s="153"/>
      <c r="BQ3536" s="153"/>
      <c r="BR3536" s="153"/>
      <c r="BS3536" s="153"/>
      <c r="BT3536" s="153"/>
      <c r="BU3536" s="153"/>
      <c r="BV3536" s="153"/>
      <c r="BW3536" s="153"/>
      <c r="BX3536" s="153"/>
      <c r="BY3536" s="153"/>
      <c r="BZ3536" s="153"/>
      <c r="CA3536" s="152"/>
      <c r="CB3536" s="152"/>
    </row>
    <row r="3537" spans="1:80" s="87" customFormat="1" ht="15" x14ac:dyDescent="0.25">
      <c r="A3537" s="152"/>
      <c r="B3537" s="683"/>
      <c r="C3537" s="683"/>
      <c r="D3537" s="698"/>
      <c r="E3537" s="215"/>
      <c r="F3537" s="215"/>
      <c r="G3537" s="153"/>
      <c r="H3537" s="153"/>
      <c r="I3537" s="165">
        <v>20</v>
      </c>
      <c r="J3537" s="165">
        <v>30</v>
      </c>
      <c r="K3537" s="150">
        <v>1</v>
      </c>
      <c r="L3537" s="656">
        <v>10</v>
      </c>
      <c r="M3537" s="663">
        <v>36328</v>
      </c>
      <c r="N3537" s="600">
        <v>19.818899999999999</v>
      </c>
      <c r="O3537" s="604">
        <v>0.29493000000000003</v>
      </c>
      <c r="P3537" s="150"/>
      <c r="Q3537" s="250">
        <v>0.16300000000000001</v>
      </c>
      <c r="R3537" s="250">
        <v>7.5999999999999998E-2</v>
      </c>
      <c r="S3537" s="250">
        <v>6.5000000000000002E-2</v>
      </c>
      <c r="T3537" s="250">
        <v>4.9000000000000002E-2</v>
      </c>
      <c r="U3537" s="250">
        <v>0.12</v>
      </c>
      <c r="V3537" s="250">
        <v>0.22500000000000001</v>
      </c>
      <c r="W3537" s="250">
        <v>0.19399999999999998</v>
      </c>
      <c r="X3537" s="250">
        <v>0.10099999999999999</v>
      </c>
      <c r="Y3537" s="250">
        <v>5.0000000000000001E-3</v>
      </c>
      <c r="Z3537" s="150">
        <v>43</v>
      </c>
      <c r="AA3537" s="150">
        <v>1.85</v>
      </c>
      <c r="AB3537" s="152"/>
      <c r="AC3537" s="152"/>
      <c r="AD3537" s="223">
        <v>14.32513</v>
      </c>
      <c r="AE3537" s="223">
        <v>0.89913050000000005</v>
      </c>
      <c r="AF3537" s="223">
        <v>12.912266000000001</v>
      </c>
      <c r="AG3537" s="223">
        <v>1.5605248</v>
      </c>
      <c r="AH3537" s="341"/>
      <c r="AI3537" s="218"/>
      <c r="AJ3537" s="218"/>
      <c r="AK3537" s="153"/>
      <c r="AL3537" s="152"/>
      <c r="AM3537" s="152"/>
      <c r="AN3537" s="152"/>
      <c r="AO3537" s="152"/>
      <c r="AP3537" s="152"/>
      <c r="AQ3537" s="152"/>
      <c r="AR3537" s="152"/>
      <c r="AS3537" s="152"/>
      <c r="AT3537" s="152"/>
      <c r="AU3537" s="153"/>
      <c r="AV3537" s="479"/>
      <c r="AW3537" s="479"/>
      <c r="AX3537" s="442"/>
      <c r="AY3537" s="153"/>
      <c r="AZ3537" s="152"/>
      <c r="BA3537" s="152"/>
      <c r="BB3537" s="152"/>
      <c r="BC3537" s="152"/>
      <c r="BD3537" s="152"/>
      <c r="BE3537" s="152"/>
      <c r="BF3537" s="152"/>
      <c r="BG3537" s="152"/>
      <c r="BH3537" s="152"/>
      <c r="BI3537" s="153"/>
      <c r="BJ3537" s="153"/>
      <c r="BK3537" s="153"/>
      <c r="BL3537" s="153"/>
      <c r="BM3537" s="153"/>
      <c r="BN3537" s="153"/>
      <c r="BO3537" s="153"/>
      <c r="BP3537" s="153"/>
      <c r="BQ3537" s="153"/>
      <c r="BR3537" s="153"/>
      <c r="BS3537" s="153"/>
      <c r="BT3537" s="153"/>
      <c r="BU3537" s="153"/>
      <c r="BV3537" s="153"/>
      <c r="BW3537" s="153"/>
      <c r="BX3537" s="153"/>
      <c r="BY3537" s="153"/>
      <c r="BZ3537" s="153"/>
      <c r="CA3537" s="152"/>
      <c r="CB3537" s="152"/>
    </row>
    <row r="3538" spans="1:80" s="87" customFormat="1" ht="15" x14ac:dyDescent="0.25">
      <c r="A3538" s="152"/>
      <c r="B3538" s="683"/>
      <c r="C3538" s="683"/>
      <c r="D3538" s="698"/>
      <c r="E3538" s="215"/>
      <c r="F3538" s="215"/>
      <c r="G3538" s="153"/>
      <c r="H3538" s="153"/>
      <c r="I3538" s="165">
        <v>20</v>
      </c>
      <c r="J3538" s="165">
        <v>30</v>
      </c>
      <c r="K3538" s="150">
        <v>1</v>
      </c>
      <c r="L3538" s="656">
        <v>10</v>
      </c>
      <c r="M3538" s="663">
        <v>36328</v>
      </c>
      <c r="N3538" s="600">
        <v>19.818899999999999</v>
      </c>
      <c r="O3538" s="604">
        <v>1.217503</v>
      </c>
      <c r="P3538" s="150"/>
      <c r="Q3538" s="250">
        <v>9.0999999999999998E-2</v>
      </c>
      <c r="R3538" s="250">
        <v>0.13100000000000001</v>
      </c>
      <c r="S3538" s="250">
        <v>0.12</v>
      </c>
      <c r="T3538" s="250">
        <v>8.1000000000000003E-2</v>
      </c>
      <c r="U3538" s="250">
        <v>0.125</v>
      </c>
      <c r="V3538" s="250">
        <v>0.21899999999999997</v>
      </c>
      <c r="W3538" s="250">
        <v>0.185</v>
      </c>
      <c r="X3538" s="250">
        <v>4.5999999999999999E-2</v>
      </c>
      <c r="Y3538" s="250">
        <v>2E-3</v>
      </c>
      <c r="Z3538" s="150">
        <v>51.5</v>
      </c>
      <c r="AA3538" s="150">
        <v>2.61</v>
      </c>
      <c r="AB3538" s="152"/>
      <c r="AC3538" s="152"/>
      <c r="AD3538" s="223">
        <v>14.32513</v>
      </c>
      <c r="AE3538" s="223">
        <v>0.89913050000000005</v>
      </c>
      <c r="AF3538" s="223">
        <v>12.912266000000001</v>
      </c>
      <c r="AG3538" s="223">
        <v>1.5605248</v>
      </c>
      <c r="AH3538" s="341"/>
      <c r="AI3538" s="218"/>
      <c r="AJ3538" s="218"/>
      <c r="AK3538" s="153"/>
      <c r="AL3538" s="152"/>
      <c r="AM3538" s="152"/>
      <c r="AN3538" s="152"/>
      <c r="AO3538" s="152"/>
      <c r="AP3538" s="152"/>
      <c r="AQ3538" s="152"/>
      <c r="AR3538" s="152"/>
      <c r="AS3538" s="152"/>
      <c r="AT3538" s="152"/>
      <c r="AU3538" s="153"/>
      <c r="AV3538" s="479"/>
      <c r="AW3538" s="479"/>
      <c r="AX3538" s="442"/>
      <c r="AY3538" s="153"/>
      <c r="AZ3538" s="152"/>
      <c r="BA3538" s="152"/>
      <c r="BB3538" s="152"/>
      <c r="BC3538" s="152"/>
      <c r="BD3538" s="152"/>
      <c r="BE3538" s="152"/>
      <c r="BF3538" s="152"/>
      <c r="BG3538" s="152"/>
      <c r="BH3538" s="152"/>
      <c r="BI3538" s="153"/>
      <c r="BJ3538" s="153"/>
      <c r="BK3538" s="153"/>
      <c r="BL3538" s="153"/>
      <c r="BM3538" s="153"/>
      <c r="BN3538" s="153"/>
      <c r="BO3538" s="153"/>
      <c r="BP3538" s="153"/>
      <c r="BQ3538" s="153"/>
      <c r="BR3538" s="153"/>
      <c r="BS3538" s="153"/>
      <c r="BT3538" s="153"/>
      <c r="BU3538" s="153"/>
      <c r="BV3538" s="153"/>
      <c r="BW3538" s="153"/>
      <c r="BX3538" s="153"/>
      <c r="BY3538" s="153"/>
      <c r="BZ3538" s="153"/>
      <c r="CA3538" s="152"/>
      <c r="CB3538" s="152"/>
    </row>
    <row r="3539" spans="1:80" s="87" customFormat="1" ht="15" x14ac:dyDescent="0.25">
      <c r="A3539" s="152"/>
      <c r="B3539" s="683"/>
      <c r="C3539" s="683"/>
      <c r="D3539" s="698"/>
      <c r="E3539" s="215"/>
      <c r="F3539" s="215"/>
      <c r="G3539" s="153"/>
      <c r="H3539" s="153"/>
      <c r="I3539" s="165">
        <v>20</v>
      </c>
      <c r="J3539" s="165">
        <v>30</v>
      </c>
      <c r="K3539" s="150">
        <v>1</v>
      </c>
      <c r="L3539" s="656">
        <v>10</v>
      </c>
      <c r="M3539" s="663">
        <v>36328</v>
      </c>
      <c r="N3539" s="600">
        <v>19.677299999999999</v>
      </c>
      <c r="O3539" s="604">
        <v>0.41667999999999999</v>
      </c>
      <c r="P3539" s="150"/>
      <c r="Q3539" s="250"/>
      <c r="R3539" s="250">
        <v>0.19500000000000001</v>
      </c>
      <c r="S3539" s="250">
        <v>0.193</v>
      </c>
      <c r="T3539" s="250">
        <v>0.16699999999999998</v>
      </c>
      <c r="U3539" s="250">
        <v>0.14000000000000001</v>
      </c>
      <c r="V3539" s="250">
        <v>0.11699999999999999</v>
      </c>
      <c r="W3539" s="250">
        <v>0.11800000000000001</v>
      </c>
      <c r="X3539" s="250">
        <v>6.6000000000000003E-2</v>
      </c>
      <c r="Y3539" s="250">
        <v>4.0000000000000001E-3</v>
      </c>
      <c r="Z3539" s="150">
        <v>37</v>
      </c>
      <c r="AA3539" s="150">
        <v>5.03</v>
      </c>
      <c r="AB3539" s="152"/>
      <c r="AC3539" s="152"/>
      <c r="AD3539" s="223">
        <v>14.32513</v>
      </c>
      <c r="AE3539" s="223">
        <v>0.89913050000000005</v>
      </c>
      <c r="AF3539" s="223">
        <v>12.912266000000001</v>
      </c>
      <c r="AG3539" s="223">
        <v>1.5605248</v>
      </c>
      <c r="AH3539" s="341"/>
      <c r="AI3539" s="218"/>
      <c r="AJ3539" s="218"/>
      <c r="AK3539" s="153"/>
      <c r="AL3539" s="152"/>
      <c r="AM3539" s="152"/>
      <c r="AN3539" s="152"/>
      <c r="AO3539" s="152"/>
      <c r="AP3539" s="152"/>
      <c r="AQ3539" s="152"/>
      <c r="AR3539" s="152"/>
      <c r="AS3539" s="152"/>
      <c r="AT3539" s="152"/>
      <c r="AU3539" s="153"/>
      <c r="AV3539" s="479"/>
      <c r="AW3539" s="479"/>
      <c r="AX3539" s="442"/>
      <c r="AY3539" s="153"/>
      <c r="AZ3539" s="152"/>
      <c r="BA3539" s="152"/>
      <c r="BB3539" s="152"/>
      <c r="BC3539" s="152"/>
      <c r="BD3539" s="152"/>
      <c r="BE3539" s="152"/>
      <c r="BF3539" s="152"/>
      <c r="BG3539" s="152"/>
      <c r="BH3539" s="152"/>
      <c r="BI3539" s="153"/>
      <c r="BJ3539" s="153"/>
      <c r="BK3539" s="153"/>
      <c r="BL3539" s="153"/>
      <c r="BM3539" s="153"/>
      <c r="BN3539" s="153"/>
      <c r="BO3539" s="153"/>
      <c r="BP3539" s="153"/>
      <c r="BQ3539" s="153"/>
      <c r="BR3539" s="153"/>
      <c r="BS3539" s="153"/>
      <c r="BT3539" s="153"/>
      <c r="BU3539" s="153"/>
      <c r="BV3539" s="153"/>
      <c r="BW3539" s="153"/>
      <c r="BX3539" s="153"/>
      <c r="BY3539" s="153"/>
      <c r="BZ3539" s="153"/>
      <c r="CA3539" s="152"/>
      <c r="CB3539" s="152"/>
    </row>
    <row r="3540" spans="1:80" s="87" customFormat="1" ht="15" x14ac:dyDescent="0.25">
      <c r="A3540" s="152"/>
      <c r="B3540" s="683"/>
      <c r="C3540" s="683"/>
      <c r="D3540" s="698"/>
      <c r="E3540" s="215"/>
      <c r="F3540" s="215"/>
      <c r="G3540" s="153"/>
      <c r="H3540" s="153"/>
      <c r="I3540" s="165">
        <v>20</v>
      </c>
      <c r="J3540" s="165">
        <v>30</v>
      </c>
      <c r="K3540" s="150">
        <v>1</v>
      </c>
      <c r="L3540" s="656">
        <v>10</v>
      </c>
      <c r="M3540" s="663">
        <v>36329</v>
      </c>
      <c r="N3540" s="600">
        <v>20.923100000000002</v>
      </c>
      <c r="O3540" s="604">
        <v>0.202567</v>
      </c>
      <c r="P3540" s="150"/>
      <c r="Q3540" s="250">
        <v>0.128</v>
      </c>
      <c r="R3540" s="250">
        <v>0.12300000000000001</v>
      </c>
      <c r="S3540" s="250">
        <v>0.17399999999999999</v>
      </c>
      <c r="T3540" s="250">
        <v>0.09</v>
      </c>
      <c r="U3540" s="250">
        <v>9.6000000000000002E-2</v>
      </c>
      <c r="V3540" s="250">
        <v>0.11699999999999999</v>
      </c>
      <c r="W3540" s="250">
        <v>0.15</v>
      </c>
      <c r="X3540" s="250">
        <v>0.114</v>
      </c>
      <c r="Y3540" s="250">
        <v>6.9999999999999993E-3</v>
      </c>
      <c r="Z3540" s="150">
        <v>40.5</v>
      </c>
      <c r="AA3540" s="150">
        <v>4.5199999999999996</v>
      </c>
      <c r="AB3540" s="152"/>
      <c r="AC3540" s="152"/>
      <c r="AD3540" s="223">
        <v>14.32513</v>
      </c>
      <c r="AE3540" s="223">
        <v>0.91132210000000002</v>
      </c>
      <c r="AF3540" s="223">
        <v>13.098053999999999</v>
      </c>
      <c r="AG3540" s="223">
        <v>1.584908</v>
      </c>
      <c r="AH3540" s="341"/>
      <c r="AI3540" s="218"/>
      <c r="AJ3540" s="218"/>
      <c r="AK3540" s="153"/>
      <c r="AL3540" s="152"/>
      <c r="AM3540" s="152"/>
      <c r="AN3540" s="152"/>
      <c r="AO3540" s="152"/>
      <c r="AP3540" s="152"/>
      <c r="AQ3540" s="152"/>
      <c r="AR3540" s="152"/>
      <c r="AS3540" s="152"/>
      <c r="AT3540" s="152"/>
      <c r="AU3540" s="153"/>
      <c r="AV3540" s="479"/>
      <c r="AW3540" s="479"/>
      <c r="AX3540" s="442"/>
      <c r="AY3540" s="153"/>
      <c r="AZ3540" s="152"/>
      <c r="BA3540" s="152"/>
      <c r="BB3540" s="152"/>
      <c r="BC3540" s="152"/>
      <c r="BD3540" s="152"/>
      <c r="BE3540" s="152"/>
      <c r="BF3540" s="152"/>
      <c r="BG3540" s="152"/>
      <c r="BH3540" s="152"/>
      <c r="BI3540" s="153"/>
      <c r="BJ3540" s="153"/>
      <c r="BK3540" s="153"/>
      <c r="BL3540" s="153"/>
      <c r="BM3540" s="153"/>
      <c r="BN3540" s="153"/>
      <c r="BO3540" s="153"/>
      <c r="BP3540" s="153"/>
      <c r="BQ3540" s="153"/>
      <c r="BR3540" s="153"/>
      <c r="BS3540" s="153"/>
      <c r="BT3540" s="153"/>
      <c r="BU3540" s="153"/>
      <c r="BV3540" s="153"/>
      <c r="BW3540" s="153"/>
      <c r="BX3540" s="153"/>
      <c r="BY3540" s="153"/>
      <c r="BZ3540" s="153"/>
      <c r="CA3540" s="152"/>
      <c r="CB3540" s="152"/>
    </row>
    <row r="3541" spans="1:80" s="87" customFormat="1" ht="15" x14ac:dyDescent="0.25">
      <c r="A3541" s="152"/>
      <c r="B3541" s="683"/>
      <c r="C3541" s="683"/>
      <c r="D3541" s="698"/>
      <c r="E3541" s="215"/>
      <c r="F3541" s="215"/>
      <c r="G3541" s="153"/>
      <c r="H3541" s="153"/>
      <c r="I3541" s="165">
        <v>20</v>
      </c>
      <c r="J3541" s="165">
        <v>30</v>
      </c>
      <c r="K3541" s="150">
        <v>1</v>
      </c>
      <c r="L3541" s="656">
        <v>10</v>
      </c>
      <c r="M3541" s="663">
        <v>36329</v>
      </c>
      <c r="N3541" s="600">
        <v>20.64</v>
      </c>
      <c r="O3541" s="604">
        <v>0.29493000000000003</v>
      </c>
      <c r="P3541" s="150"/>
      <c r="Q3541" s="250">
        <v>5.9000000000000004E-2</v>
      </c>
      <c r="R3541" s="250">
        <v>0.114</v>
      </c>
      <c r="S3541" s="250">
        <v>0.127</v>
      </c>
      <c r="T3541" s="250">
        <v>0.12300000000000001</v>
      </c>
      <c r="U3541" s="250">
        <v>0.16899999999999998</v>
      </c>
      <c r="V3541" s="250">
        <v>0.17100000000000001</v>
      </c>
      <c r="W3541" s="250">
        <v>0.14800000000000002</v>
      </c>
      <c r="X3541" s="250">
        <v>8.3000000000000004E-2</v>
      </c>
      <c r="Y3541" s="250">
        <v>6.0000000000000001E-3</v>
      </c>
      <c r="Z3541" s="150">
        <v>38</v>
      </c>
      <c r="AA3541" s="150">
        <v>2.92</v>
      </c>
      <c r="AB3541" s="152"/>
      <c r="AC3541" s="152"/>
      <c r="AD3541" s="223">
        <v>14.32513</v>
      </c>
      <c r="AE3541" s="223">
        <v>0.91132210000000002</v>
      </c>
      <c r="AF3541" s="223">
        <v>13.098053999999999</v>
      </c>
      <c r="AG3541" s="223">
        <v>1.584908</v>
      </c>
      <c r="AH3541" s="341"/>
      <c r="AI3541" s="218"/>
      <c r="AJ3541" s="218"/>
      <c r="AK3541" s="153"/>
      <c r="AL3541" s="152"/>
      <c r="AM3541" s="152"/>
      <c r="AN3541" s="152"/>
      <c r="AO3541" s="152"/>
      <c r="AP3541" s="152"/>
      <c r="AQ3541" s="152"/>
      <c r="AR3541" s="152"/>
      <c r="AS3541" s="152"/>
      <c r="AT3541" s="152"/>
      <c r="AU3541" s="153"/>
      <c r="AV3541" s="479"/>
      <c r="AW3541" s="479"/>
      <c r="AX3541" s="442"/>
      <c r="AY3541" s="153"/>
      <c r="AZ3541" s="152"/>
      <c r="BA3541" s="152"/>
      <c r="BB3541" s="152"/>
      <c r="BC3541" s="152"/>
      <c r="BD3541" s="152"/>
      <c r="BE3541" s="152"/>
      <c r="BF3541" s="152"/>
      <c r="BG3541" s="152"/>
      <c r="BH3541" s="152"/>
      <c r="BI3541" s="153"/>
      <c r="BJ3541" s="153"/>
      <c r="BK3541" s="153"/>
      <c r="BL3541" s="153"/>
      <c r="BM3541" s="153"/>
      <c r="BN3541" s="153"/>
      <c r="BO3541" s="153"/>
      <c r="BP3541" s="153"/>
      <c r="BQ3541" s="153"/>
      <c r="BR3541" s="153"/>
      <c r="BS3541" s="153"/>
      <c r="BT3541" s="153"/>
      <c r="BU3541" s="153"/>
      <c r="BV3541" s="153"/>
      <c r="BW3541" s="153"/>
      <c r="BX3541" s="153"/>
      <c r="BY3541" s="153"/>
      <c r="BZ3541" s="153"/>
      <c r="CA3541" s="152"/>
      <c r="CB3541" s="152"/>
    </row>
    <row r="3542" spans="1:80" s="87" customFormat="1" ht="15" x14ac:dyDescent="0.25">
      <c r="A3542" s="152"/>
      <c r="B3542" s="683"/>
      <c r="C3542" s="683"/>
      <c r="D3542" s="698"/>
      <c r="E3542" s="215"/>
      <c r="F3542" s="215"/>
      <c r="G3542" s="153"/>
      <c r="H3542" s="153"/>
      <c r="I3542" s="165">
        <v>20</v>
      </c>
      <c r="J3542" s="165">
        <v>30</v>
      </c>
      <c r="K3542" s="150">
        <v>1</v>
      </c>
      <c r="L3542" s="656">
        <v>10</v>
      </c>
      <c r="M3542" s="663">
        <v>36330</v>
      </c>
      <c r="N3542" s="600">
        <v>20.923100000000002</v>
      </c>
      <c r="O3542" s="604">
        <v>0.19941900000000001</v>
      </c>
      <c r="P3542" s="150"/>
      <c r="Q3542" s="250"/>
      <c r="R3542" s="250">
        <v>0.18</v>
      </c>
      <c r="S3542" s="250">
        <v>0.13699999999999998</v>
      </c>
      <c r="T3542" s="250">
        <v>9.0999999999999998E-2</v>
      </c>
      <c r="U3542" s="250">
        <v>0.11699999999999999</v>
      </c>
      <c r="V3542" s="250">
        <v>0.157</v>
      </c>
      <c r="W3542" s="250">
        <v>0.187</v>
      </c>
      <c r="X3542" s="250">
        <v>0.12</v>
      </c>
      <c r="Y3542" s="250">
        <v>0.01</v>
      </c>
      <c r="Z3542" s="150">
        <v>31</v>
      </c>
      <c r="AA3542" s="150">
        <v>2.33</v>
      </c>
      <c r="AB3542" s="152"/>
      <c r="AC3542" s="152"/>
      <c r="AD3542" s="223">
        <v>14.32513</v>
      </c>
      <c r="AE3542" s="223">
        <v>0.94180109999999995</v>
      </c>
      <c r="AF3542" s="223">
        <v>13.46963</v>
      </c>
      <c r="AG3542" s="223">
        <v>1.5605248</v>
      </c>
      <c r="AH3542" s="341"/>
      <c r="AI3542" s="218"/>
      <c r="AJ3542" s="218"/>
      <c r="AK3542" s="153"/>
      <c r="AL3542" s="152"/>
      <c r="AM3542" s="152"/>
      <c r="AN3542" s="152"/>
      <c r="AO3542" s="152"/>
      <c r="AP3542" s="152"/>
      <c r="AQ3542" s="152"/>
      <c r="AR3542" s="152"/>
      <c r="AS3542" s="152"/>
      <c r="AT3542" s="152"/>
      <c r="AU3542" s="153"/>
      <c r="AV3542" s="479"/>
      <c r="AW3542" s="479"/>
      <c r="AX3542" s="442"/>
      <c r="AY3542" s="153"/>
      <c r="AZ3542" s="152"/>
      <c r="BA3542" s="152"/>
      <c r="BB3542" s="152"/>
      <c r="BC3542" s="152"/>
      <c r="BD3542" s="152"/>
      <c r="BE3542" s="152"/>
      <c r="BF3542" s="152"/>
      <c r="BG3542" s="152"/>
      <c r="BH3542" s="152"/>
      <c r="BI3542" s="153"/>
      <c r="BJ3542" s="153"/>
      <c r="BK3542" s="153"/>
      <c r="BL3542" s="153"/>
      <c r="BM3542" s="153"/>
      <c r="BN3542" s="153"/>
      <c r="BO3542" s="153"/>
      <c r="BP3542" s="153"/>
      <c r="BQ3542" s="153"/>
      <c r="BR3542" s="153"/>
      <c r="BS3542" s="153"/>
      <c r="BT3542" s="153"/>
      <c r="BU3542" s="153"/>
      <c r="BV3542" s="153"/>
      <c r="BW3542" s="153"/>
      <c r="BX3542" s="153"/>
      <c r="BY3542" s="153"/>
      <c r="BZ3542" s="153"/>
      <c r="CA3542" s="152"/>
      <c r="CB3542" s="152"/>
    </row>
    <row r="3543" spans="1:80" s="87" customFormat="1" ht="15" x14ac:dyDescent="0.25">
      <c r="A3543" s="152"/>
      <c r="B3543" s="683"/>
      <c r="C3543" s="683"/>
      <c r="D3543" s="698"/>
      <c r="E3543" s="215"/>
      <c r="F3543" s="215"/>
      <c r="G3543" s="153"/>
      <c r="H3543" s="153"/>
      <c r="I3543" s="165">
        <v>20</v>
      </c>
      <c r="J3543" s="165">
        <v>30</v>
      </c>
      <c r="K3543" s="150">
        <v>1</v>
      </c>
      <c r="L3543" s="656">
        <v>10</v>
      </c>
      <c r="M3543" s="663">
        <v>36330</v>
      </c>
      <c r="N3543" s="600">
        <v>20.923100000000002</v>
      </c>
      <c r="O3543" s="604">
        <v>0.41982900000000001</v>
      </c>
      <c r="P3543" s="150"/>
      <c r="Q3543" s="250">
        <v>0.19</v>
      </c>
      <c r="R3543" s="250">
        <v>0.17800000000000002</v>
      </c>
      <c r="S3543" s="250">
        <v>8.4000000000000005E-2</v>
      </c>
      <c r="T3543" s="250">
        <v>7.4999999999999997E-2</v>
      </c>
      <c r="U3543" s="250">
        <v>0.13800000000000001</v>
      </c>
      <c r="V3543" s="250">
        <v>0.14800000000000002</v>
      </c>
      <c r="W3543" s="250">
        <v>0.128</v>
      </c>
      <c r="X3543" s="250">
        <v>4.8000000000000001E-2</v>
      </c>
      <c r="Y3543" s="250">
        <v>1.1000000000000001E-2</v>
      </c>
      <c r="Z3543" s="150">
        <v>70</v>
      </c>
      <c r="AA3543" s="150">
        <v>5.13</v>
      </c>
      <c r="AB3543" s="152"/>
      <c r="AC3543" s="152"/>
      <c r="AD3543" s="223">
        <v>14.32513</v>
      </c>
      <c r="AE3543" s="223">
        <v>0.94180109999999995</v>
      </c>
      <c r="AF3543" s="223">
        <v>13.46963</v>
      </c>
      <c r="AG3543" s="223">
        <v>1.5605248</v>
      </c>
      <c r="AH3543" s="341"/>
      <c r="AI3543" s="218"/>
      <c r="AJ3543" s="218"/>
      <c r="AK3543" s="153"/>
      <c r="AL3543" s="152"/>
      <c r="AM3543" s="152"/>
      <c r="AN3543" s="152"/>
      <c r="AO3543" s="152"/>
      <c r="AP3543" s="152"/>
      <c r="AQ3543" s="152"/>
      <c r="AR3543" s="152"/>
      <c r="AS3543" s="152"/>
      <c r="AT3543" s="152"/>
      <c r="AU3543" s="153"/>
      <c r="AV3543" s="479"/>
      <c r="AW3543" s="479"/>
      <c r="AX3543" s="442"/>
      <c r="AY3543" s="153"/>
      <c r="AZ3543" s="152"/>
      <c r="BA3543" s="152"/>
      <c r="BB3543" s="152"/>
      <c r="BC3543" s="152"/>
      <c r="BD3543" s="152"/>
      <c r="BE3543" s="152"/>
      <c r="BF3543" s="152"/>
      <c r="BG3543" s="152"/>
      <c r="BH3543" s="152"/>
      <c r="BI3543" s="153"/>
      <c r="BJ3543" s="153"/>
      <c r="BK3543" s="153"/>
      <c r="BL3543" s="153"/>
      <c r="BM3543" s="153"/>
      <c r="BN3543" s="153"/>
      <c r="BO3543" s="153"/>
      <c r="BP3543" s="153"/>
      <c r="BQ3543" s="153"/>
      <c r="BR3543" s="153"/>
      <c r="BS3543" s="153"/>
      <c r="BT3543" s="153"/>
      <c r="BU3543" s="153"/>
      <c r="BV3543" s="153"/>
      <c r="BW3543" s="153"/>
      <c r="BX3543" s="153"/>
      <c r="BY3543" s="153"/>
      <c r="BZ3543" s="153"/>
      <c r="CA3543" s="152"/>
      <c r="CB3543" s="152"/>
    </row>
    <row r="3544" spans="1:80" s="87" customFormat="1" ht="15" x14ac:dyDescent="0.25">
      <c r="A3544" s="152"/>
      <c r="B3544" s="683"/>
      <c r="C3544" s="683"/>
      <c r="D3544" s="698"/>
      <c r="E3544" s="215"/>
      <c r="F3544" s="215"/>
      <c r="G3544" s="153"/>
      <c r="H3544" s="153"/>
      <c r="I3544" s="165">
        <v>20</v>
      </c>
      <c r="J3544" s="165">
        <v>30</v>
      </c>
      <c r="K3544" s="150">
        <v>1</v>
      </c>
      <c r="L3544" s="656">
        <v>10</v>
      </c>
      <c r="M3544" s="663">
        <v>36332</v>
      </c>
      <c r="N3544" s="600">
        <v>18.997800000000002</v>
      </c>
      <c r="O3544" s="604">
        <v>0.71055999999999997</v>
      </c>
      <c r="P3544" s="150"/>
      <c r="Q3544" s="250"/>
      <c r="R3544" s="250">
        <v>0.14699999999999999</v>
      </c>
      <c r="S3544" s="250">
        <v>0.13699999999999998</v>
      </c>
      <c r="T3544" s="250">
        <v>0.126</v>
      </c>
      <c r="U3544" s="250">
        <v>0.17399999999999999</v>
      </c>
      <c r="V3544" s="250">
        <v>0.22600000000000001</v>
      </c>
      <c r="W3544" s="250">
        <v>0.153</v>
      </c>
      <c r="X3544" s="250">
        <v>3.6000000000000004E-2</v>
      </c>
      <c r="Y3544" s="250">
        <v>2E-3</v>
      </c>
      <c r="Z3544" s="150">
        <v>33</v>
      </c>
      <c r="AA3544" s="150">
        <v>2.78</v>
      </c>
      <c r="AB3544" s="152"/>
      <c r="AC3544" s="152"/>
      <c r="AD3544" s="223"/>
      <c r="AE3544" s="223"/>
      <c r="AF3544" s="223"/>
      <c r="AG3544" s="223"/>
      <c r="AH3544" s="341"/>
      <c r="AI3544" s="218"/>
      <c r="AJ3544" s="218"/>
      <c r="AK3544" s="153"/>
      <c r="AL3544" s="152"/>
      <c r="AM3544" s="152"/>
      <c r="AN3544" s="152"/>
      <c r="AO3544" s="152"/>
      <c r="AP3544" s="152"/>
      <c r="AQ3544" s="152"/>
      <c r="AR3544" s="152"/>
      <c r="AS3544" s="152"/>
      <c r="AT3544" s="152"/>
      <c r="AU3544" s="153"/>
      <c r="AV3544" s="479"/>
      <c r="AW3544" s="479"/>
      <c r="AX3544" s="442"/>
      <c r="AY3544" s="153"/>
      <c r="AZ3544" s="152"/>
      <c r="BA3544" s="152"/>
      <c r="BB3544" s="152"/>
      <c r="BC3544" s="152"/>
      <c r="BD3544" s="152"/>
      <c r="BE3544" s="152"/>
      <c r="BF3544" s="152"/>
      <c r="BG3544" s="152"/>
      <c r="BH3544" s="152"/>
      <c r="BI3544" s="153"/>
      <c r="BJ3544" s="153"/>
      <c r="BK3544" s="153"/>
      <c r="BL3544" s="153"/>
      <c r="BM3544" s="153"/>
      <c r="BN3544" s="153"/>
      <c r="BO3544" s="153"/>
      <c r="BP3544" s="153"/>
      <c r="BQ3544" s="153"/>
      <c r="BR3544" s="153"/>
      <c r="BS3544" s="153"/>
      <c r="BT3544" s="153"/>
      <c r="BU3544" s="153"/>
      <c r="BV3544" s="153"/>
      <c r="BW3544" s="153"/>
      <c r="BX3544" s="153"/>
      <c r="BY3544" s="153"/>
      <c r="BZ3544" s="153"/>
      <c r="CA3544" s="152"/>
      <c r="CB3544" s="152"/>
    </row>
    <row r="3545" spans="1:80" s="87" customFormat="1" ht="15" x14ac:dyDescent="0.25">
      <c r="A3545" s="152"/>
      <c r="B3545" s="683"/>
      <c r="C3545" s="683"/>
      <c r="D3545" s="698"/>
      <c r="E3545" s="215"/>
      <c r="F3545" s="215"/>
      <c r="G3545" s="153"/>
      <c r="H3545" s="153"/>
      <c r="I3545" s="165">
        <v>20</v>
      </c>
      <c r="J3545" s="165">
        <v>30</v>
      </c>
      <c r="K3545" s="150">
        <v>1</v>
      </c>
      <c r="L3545" s="656">
        <v>10</v>
      </c>
      <c r="M3545" s="663">
        <v>36332</v>
      </c>
      <c r="N3545" s="600">
        <v>18.997800000000002</v>
      </c>
      <c r="O3545" s="604">
        <v>0.43557200000000001</v>
      </c>
      <c r="P3545" s="150"/>
      <c r="Q3545" s="250"/>
      <c r="R3545" s="250">
        <v>0.39600000000000002</v>
      </c>
      <c r="S3545" s="250">
        <v>0.182</v>
      </c>
      <c r="T3545" s="250">
        <v>0.11199999999999999</v>
      </c>
      <c r="U3545" s="250">
        <v>0.106</v>
      </c>
      <c r="V3545" s="250">
        <v>9.0999999999999998E-2</v>
      </c>
      <c r="W3545" s="250">
        <v>7.4999999999999997E-2</v>
      </c>
      <c r="X3545" s="250">
        <v>3.6000000000000004E-2</v>
      </c>
      <c r="Y3545" s="250">
        <v>3.0000000000000001E-3</v>
      </c>
      <c r="Z3545" s="150">
        <v>37</v>
      </c>
      <c r="AA3545" s="150">
        <v>10.73</v>
      </c>
      <c r="AB3545" s="152"/>
      <c r="AC3545" s="152"/>
      <c r="AD3545" s="223"/>
      <c r="AE3545" s="223"/>
      <c r="AF3545" s="223"/>
      <c r="AG3545" s="223"/>
      <c r="AH3545" s="341"/>
      <c r="AI3545" s="218"/>
      <c r="AJ3545" s="218"/>
      <c r="AK3545" s="153"/>
      <c r="AL3545" s="152"/>
      <c r="AM3545" s="152"/>
      <c r="AN3545" s="152"/>
      <c r="AO3545" s="152"/>
      <c r="AP3545" s="152"/>
      <c r="AQ3545" s="152"/>
      <c r="AR3545" s="152"/>
      <c r="AS3545" s="152"/>
      <c r="AT3545" s="152"/>
      <c r="AU3545" s="153"/>
      <c r="AV3545" s="479"/>
      <c r="AW3545" s="479"/>
      <c r="AX3545" s="442"/>
      <c r="AY3545" s="153"/>
      <c r="AZ3545" s="152"/>
      <c r="BA3545" s="152"/>
      <c r="BB3545" s="152"/>
      <c r="BC3545" s="152"/>
      <c r="BD3545" s="152"/>
      <c r="BE3545" s="152"/>
      <c r="BF3545" s="152"/>
      <c r="BG3545" s="152"/>
      <c r="BH3545" s="152"/>
      <c r="BI3545" s="153"/>
      <c r="BJ3545" s="153"/>
      <c r="BK3545" s="153"/>
      <c r="BL3545" s="153"/>
      <c r="BM3545" s="153"/>
      <c r="BN3545" s="153"/>
      <c r="BO3545" s="153"/>
      <c r="BP3545" s="153"/>
      <c r="BQ3545" s="153"/>
      <c r="BR3545" s="153"/>
      <c r="BS3545" s="153"/>
      <c r="BT3545" s="153"/>
      <c r="BU3545" s="153"/>
      <c r="BV3545" s="153"/>
      <c r="BW3545" s="153"/>
      <c r="BX3545" s="153"/>
      <c r="BY3545" s="153"/>
      <c r="BZ3545" s="153"/>
      <c r="CA3545" s="152"/>
      <c r="CB3545" s="152"/>
    </row>
    <row r="3546" spans="1:80" s="87" customFormat="1" x14ac:dyDescent="0.2">
      <c r="A3546" s="152"/>
      <c r="B3546" s="683"/>
      <c r="C3546" s="683"/>
      <c r="D3546" s="698"/>
      <c r="E3546" s="215"/>
      <c r="F3546" s="215"/>
      <c r="G3546" s="153"/>
      <c r="H3546" s="153"/>
      <c r="I3546" s="323">
        <v>20</v>
      </c>
      <c r="J3546" s="323">
        <v>30</v>
      </c>
      <c r="K3546" s="150">
        <v>1</v>
      </c>
      <c r="L3546" s="656">
        <v>10</v>
      </c>
      <c r="M3546" s="663">
        <v>36332</v>
      </c>
      <c r="N3546" s="600">
        <v>18.714700000000001</v>
      </c>
      <c r="O3546" s="604">
        <v>1.3434520000000001</v>
      </c>
      <c r="P3546" s="150"/>
      <c r="Q3546" s="250">
        <v>1.4999999999999999E-2</v>
      </c>
      <c r="R3546" s="250">
        <v>0.13500000000000001</v>
      </c>
      <c r="S3546" s="250">
        <v>0.25900000000000001</v>
      </c>
      <c r="T3546" s="250">
        <v>0.21299999999999999</v>
      </c>
      <c r="U3546" s="250">
        <v>0.20300000000000001</v>
      </c>
      <c r="V3546" s="250">
        <v>0.11900000000000001</v>
      </c>
      <c r="W3546" s="250">
        <v>4.0999999999999995E-2</v>
      </c>
      <c r="X3546" s="250">
        <v>1.3999999999999999E-2</v>
      </c>
      <c r="Y3546" s="250">
        <v>1E-3</v>
      </c>
      <c r="Z3546" s="150">
        <v>38</v>
      </c>
      <c r="AA3546" s="150">
        <v>5.95</v>
      </c>
      <c r="AB3546" s="152"/>
      <c r="AC3546" s="152"/>
      <c r="AD3546" s="223"/>
      <c r="AE3546" s="223"/>
      <c r="AF3546" s="223"/>
      <c r="AG3546" s="223"/>
      <c r="AH3546" s="341"/>
      <c r="AI3546" s="218"/>
      <c r="AJ3546" s="218"/>
      <c r="AK3546" s="153"/>
      <c r="AL3546" s="152"/>
      <c r="AM3546" s="152"/>
      <c r="AN3546" s="152"/>
      <c r="AO3546" s="152"/>
      <c r="AP3546" s="152"/>
      <c r="AQ3546" s="152"/>
      <c r="AR3546" s="152"/>
      <c r="AS3546" s="152"/>
      <c r="AT3546" s="152"/>
      <c r="AU3546" s="153"/>
      <c r="AV3546" s="479"/>
      <c r="AW3546" s="479"/>
      <c r="AX3546" s="442"/>
      <c r="AY3546" s="153"/>
      <c r="AZ3546" s="152"/>
      <c r="BA3546" s="152"/>
      <c r="BB3546" s="152"/>
      <c r="BC3546" s="152"/>
      <c r="BD3546" s="152"/>
      <c r="BE3546" s="152"/>
      <c r="BF3546" s="152"/>
      <c r="BG3546" s="152"/>
      <c r="BH3546" s="152"/>
      <c r="BI3546" s="153"/>
      <c r="BJ3546" s="153"/>
      <c r="BK3546" s="153"/>
      <c r="BL3546" s="153"/>
      <c r="BM3546" s="153"/>
      <c r="BN3546" s="153"/>
      <c r="BO3546" s="153"/>
      <c r="BP3546" s="153"/>
      <c r="BQ3546" s="153"/>
      <c r="BR3546" s="153"/>
      <c r="BS3546" s="153"/>
      <c r="BT3546" s="153"/>
      <c r="BU3546" s="153"/>
      <c r="BV3546" s="153"/>
      <c r="BW3546" s="153"/>
      <c r="BX3546" s="153"/>
      <c r="BY3546" s="153"/>
      <c r="BZ3546" s="153"/>
      <c r="CA3546" s="152"/>
      <c r="CB3546" s="152"/>
    </row>
    <row r="3547" spans="1:80" s="87" customFormat="1" ht="15" x14ac:dyDescent="0.25">
      <c r="A3547" s="152"/>
      <c r="B3547" s="683"/>
      <c r="C3547" s="683"/>
      <c r="D3547" s="698"/>
      <c r="E3547" s="215"/>
      <c r="F3547" s="215"/>
      <c r="G3547" s="153"/>
      <c r="H3547" s="153"/>
      <c r="I3547" s="165">
        <v>20</v>
      </c>
      <c r="J3547" s="165">
        <v>30</v>
      </c>
      <c r="K3547" s="150">
        <v>1</v>
      </c>
      <c r="L3547" s="656">
        <v>10</v>
      </c>
      <c r="M3547" s="663">
        <v>36333</v>
      </c>
      <c r="N3547" s="600">
        <v>15.8551</v>
      </c>
      <c r="O3547" s="604">
        <v>6.1295000000000002E-2</v>
      </c>
      <c r="P3547" s="150"/>
      <c r="Q3547" s="250"/>
      <c r="R3547" s="250">
        <v>1.9E-2</v>
      </c>
      <c r="S3547" s="250">
        <v>4.2000000000000003E-2</v>
      </c>
      <c r="T3547" s="250">
        <v>2.7999999999999997E-2</v>
      </c>
      <c r="U3547" s="250">
        <v>8.6999999999999994E-2</v>
      </c>
      <c r="V3547" s="250">
        <v>0.23300000000000001</v>
      </c>
      <c r="W3547" s="250">
        <v>0.40600000000000003</v>
      </c>
      <c r="X3547" s="250">
        <v>0.17600000000000002</v>
      </c>
      <c r="Y3547" s="250">
        <v>8.0000000000000002E-3</v>
      </c>
      <c r="Z3547" s="150">
        <v>16</v>
      </c>
      <c r="AA3547" s="150">
        <v>0.86</v>
      </c>
      <c r="AB3547" s="152"/>
      <c r="AC3547" s="152"/>
      <c r="AD3547" s="223">
        <v>14.32513</v>
      </c>
      <c r="AE3547" s="223">
        <v>0.7894061</v>
      </c>
      <c r="AF3547" s="223">
        <v>11.333068000000001</v>
      </c>
      <c r="AG3547" s="223">
        <v>1.3776508000000001</v>
      </c>
      <c r="AH3547" s="341"/>
      <c r="AI3547" s="218"/>
      <c r="AJ3547" s="218"/>
      <c r="AK3547" s="153"/>
      <c r="AL3547" s="152"/>
      <c r="AM3547" s="152"/>
      <c r="AN3547" s="152"/>
      <c r="AO3547" s="152"/>
      <c r="AP3547" s="152"/>
      <c r="AQ3547" s="152"/>
      <c r="AR3547" s="152"/>
      <c r="AS3547" s="152"/>
      <c r="AT3547" s="152"/>
      <c r="AU3547" s="153"/>
      <c r="AV3547" s="479"/>
      <c r="AW3547" s="479"/>
      <c r="AX3547" s="442"/>
      <c r="AY3547" s="153"/>
      <c r="AZ3547" s="152"/>
      <c r="BA3547" s="152"/>
      <c r="BB3547" s="152"/>
      <c r="BC3547" s="152"/>
      <c r="BD3547" s="152"/>
      <c r="BE3547" s="152"/>
      <c r="BF3547" s="152"/>
      <c r="BG3547" s="152"/>
      <c r="BH3547" s="152"/>
      <c r="BI3547" s="153"/>
      <c r="BJ3547" s="153"/>
      <c r="BK3547" s="153"/>
      <c r="BL3547" s="153"/>
      <c r="BM3547" s="153"/>
      <c r="BN3547" s="153"/>
      <c r="BO3547" s="153"/>
      <c r="BP3547" s="153"/>
      <c r="BQ3547" s="153"/>
      <c r="BR3547" s="153"/>
      <c r="BS3547" s="153"/>
      <c r="BT3547" s="153"/>
      <c r="BU3547" s="153"/>
      <c r="BV3547" s="153"/>
      <c r="BW3547" s="153"/>
      <c r="BX3547" s="153"/>
      <c r="BY3547" s="153"/>
      <c r="BZ3547" s="153"/>
      <c r="CA3547" s="152"/>
      <c r="CB3547" s="152"/>
    </row>
    <row r="3548" spans="1:80" s="87" customFormat="1" ht="15" x14ac:dyDescent="0.25">
      <c r="A3548" s="152"/>
      <c r="B3548" s="683"/>
      <c r="C3548" s="683"/>
      <c r="D3548" s="698"/>
      <c r="E3548" s="215"/>
      <c r="F3548" s="215"/>
      <c r="G3548" s="153"/>
      <c r="H3548" s="153"/>
      <c r="I3548" s="165">
        <v>20</v>
      </c>
      <c r="J3548" s="165">
        <v>30</v>
      </c>
      <c r="K3548" s="150">
        <v>1</v>
      </c>
      <c r="L3548" s="656">
        <v>10</v>
      </c>
      <c r="M3548" s="663">
        <v>36333</v>
      </c>
      <c r="N3548" s="600">
        <v>15.8551</v>
      </c>
      <c r="O3548" s="604">
        <v>0.30437599999999998</v>
      </c>
      <c r="P3548" s="150"/>
      <c r="Q3548" s="250">
        <v>0.11</v>
      </c>
      <c r="R3548" s="250">
        <v>0.127</v>
      </c>
      <c r="S3548" s="250">
        <v>0.128</v>
      </c>
      <c r="T3548" s="250">
        <v>0.127</v>
      </c>
      <c r="U3548" s="250">
        <v>0.14899999999999999</v>
      </c>
      <c r="V3548" s="250">
        <v>0.17399999999999999</v>
      </c>
      <c r="W3548" s="250">
        <v>0.14099999999999999</v>
      </c>
      <c r="X3548" s="250">
        <v>4.0999999999999995E-2</v>
      </c>
      <c r="Y3548" s="250">
        <v>4.0000000000000001E-3</v>
      </c>
      <c r="Z3548" s="150">
        <v>40</v>
      </c>
      <c r="AA3548" s="150">
        <v>3.84</v>
      </c>
      <c r="AB3548" s="152"/>
      <c r="AC3548" s="152"/>
      <c r="AD3548" s="223">
        <v>14.32513</v>
      </c>
      <c r="AE3548" s="223">
        <v>0.7894061</v>
      </c>
      <c r="AF3548" s="223">
        <v>11.333068000000001</v>
      </c>
      <c r="AG3548" s="223">
        <v>1.3776508000000001</v>
      </c>
      <c r="AH3548" s="341"/>
      <c r="AI3548" s="218"/>
      <c r="AJ3548" s="218"/>
      <c r="AK3548" s="153"/>
      <c r="AL3548" s="152"/>
      <c r="AM3548" s="152"/>
      <c r="AN3548" s="152"/>
      <c r="AO3548" s="152"/>
      <c r="AP3548" s="152"/>
      <c r="AQ3548" s="152"/>
      <c r="AR3548" s="152"/>
      <c r="AS3548" s="152"/>
      <c r="AT3548" s="152"/>
      <c r="AU3548" s="153"/>
      <c r="AV3548" s="479"/>
      <c r="AW3548" s="479"/>
      <c r="AX3548" s="442"/>
      <c r="AY3548" s="153"/>
      <c r="AZ3548" s="152"/>
      <c r="BA3548" s="152"/>
      <c r="BB3548" s="152"/>
      <c r="BC3548" s="152"/>
      <c r="BD3548" s="152"/>
      <c r="BE3548" s="152"/>
      <c r="BF3548" s="152"/>
      <c r="BG3548" s="152"/>
      <c r="BH3548" s="152"/>
      <c r="BI3548" s="153"/>
      <c r="BJ3548" s="153"/>
      <c r="BK3548" s="153"/>
      <c r="BL3548" s="153"/>
      <c r="BM3548" s="153"/>
      <c r="BN3548" s="153"/>
      <c r="BO3548" s="153"/>
      <c r="BP3548" s="153"/>
      <c r="BQ3548" s="153"/>
      <c r="BR3548" s="153"/>
      <c r="BS3548" s="153"/>
      <c r="BT3548" s="153"/>
      <c r="BU3548" s="153"/>
      <c r="BV3548" s="153"/>
      <c r="BW3548" s="153"/>
      <c r="BX3548" s="153"/>
      <c r="BY3548" s="153"/>
      <c r="BZ3548" s="153"/>
      <c r="CA3548" s="152"/>
      <c r="CB3548" s="152"/>
    </row>
    <row r="3549" spans="1:80" s="87" customFormat="1" ht="15" x14ac:dyDescent="0.25">
      <c r="A3549" s="152"/>
      <c r="B3549" s="683"/>
      <c r="C3549" s="683"/>
      <c r="D3549" s="698"/>
      <c r="E3549" s="215"/>
      <c r="F3549" s="215"/>
      <c r="G3549" s="153"/>
      <c r="H3549" s="153"/>
      <c r="I3549" s="165">
        <v>20</v>
      </c>
      <c r="J3549" s="165">
        <v>30</v>
      </c>
      <c r="K3549" s="150">
        <v>1</v>
      </c>
      <c r="L3549" s="656">
        <v>10</v>
      </c>
      <c r="M3549" s="663">
        <v>36334</v>
      </c>
      <c r="N3549" s="600">
        <v>13.5335</v>
      </c>
      <c r="O3549" s="604">
        <v>0.202567</v>
      </c>
      <c r="P3549" s="150"/>
      <c r="Q3549" s="250"/>
      <c r="R3549" s="250">
        <v>4.9000000000000002E-2</v>
      </c>
      <c r="S3549" s="250">
        <v>5.9000000000000004E-2</v>
      </c>
      <c r="T3549" s="250">
        <v>0.126</v>
      </c>
      <c r="U3549" s="250">
        <v>0.21100000000000002</v>
      </c>
      <c r="V3549" s="250">
        <v>0.29299999999999998</v>
      </c>
      <c r="W3549" s="250">
        <v>0.20499999999999999</v>
      </c>
      <c r="X3549" s="250">
        <v>5.5E-2</v>
      </c>
      <c r="Y3549" s="250">
        <v>2E-3</v>
      </c>
      <c r="Z3549" s="150">
        <v>20.5</v>
      </c>
      <c r="AA3549" s="150">
        <v>1.76</v>
      </c>
      <c r="AB3549" s="152"/>
      <c r="AC3549" s="152"/>
      <c r="AD3549" s="223">
        <v>14.32513</v>
      </c>
      <c r="AE3549" s="223">
        <v>0.74063970000000001</v>
      </c>
      <c r="AF3549" s="223">
        <v>10.589916000000001</v>
      </c>
      <c r="AG3549" s="223">
        <v>1.3288844</v>
      </c>
      <c r="AH3549" s="341"/>
      <c r="AI3549" s="218"/>
      <c r="AJ3549" s="218"/>
      <c r="AK3549" s="153"/>
      <c r="AL3549" s="152"/>
      <c r="AM3549" s="152"/>
      <c r="AN3549" s="152"/>
      <c r="AO3549" s="152"/>
      <c r="AP3549" s="152"/>
      <c r="AQ3549" s="152"/>
      <c r="AR3549" s="152"/>
      <c r="AS3549" s="152"/>
      <c r="AT3549" s="152"/>
      <c r="AU3549" s="153"/>
      <c r="AV3549" s="479"/>
      <c r="AW3549" s="479"/>
      <c r="AX3549" s="442"/>
      <c r="AY3549" s="153"/>
      <c r="AZ3549" s="152"/>
      <c r="BA3549" s="152"/>
      <c r="BB3549" s="152"/>
      <c r="BC3549" s="152"/>
      <c r="BD3549" s="152"/>
      <c r="BE3549" s="152"/>
      <c r="BF3549" s="152"/>
      <c r="BG3549" s="152"/>
      <c r="BH3549" s="152"/>
      <c r="BI3549" s="153"/>
      <c r="BJ3549" s="153"/>
      <c r="BK3549" s="153"/>
      <c r="BL3549" s="153"/>
      <c r="BM3549" s="153"/>
      <c r="BN3549" s="153"/>
      <c r="BO3549" s="153"/>
      <c r="BP3549" s="153"/>
      <c r="BQ3549" s="153"/>
      <c r="BR3549" s="153"/>
      <c r="BS3549" s="153"/>
      <c r="BT3549" s="153"/>
      <c r="BU3549" s="153"/>
      <c r="BV3549" s="153"/>
      <c r="BW3549" s="153"/>
      <c r="BX3549" s="153"/>
      <c r="BY3549" s="153"/>
      <c r="BZ3549" s="153"/>
      <c r="CA3549" s="152"/>
      <c r="CB3549" s="152"/>
    </row>
    <row r="3550" spans="1:80" s="87" customFormat="1" ht="15" x14ac:dyDescent="0.25">
      <c r="A3550" s="152"/>
      <c r="B3550" s="683"/>
      <c r="C3550" s="683"/>
      <c r="D3550" s="698"/>
      <c r="E3550" s="215"/>
      <c r="F3550" s="215"/>
      <c r="G3550" s="153"/>
      <c r="H3550" s="153"/>
      <c r="I3550" s="165">
        <v>20</v>
      </c>
      <c r="J3550" s="165">
        <v>30</v>
      </c>
      <c r="K3550" s="150">
        <v>1</v>
      </c>
      <c r="L3550" s="656">
        <v>10</v>
      </c>
      <c r="M3550" s="663">
        <v>36337</v>
      </c>
      <c r="N3550" s="600">
        <v>10.560600000000001</v>
      </c>
      <c r="O3550" s="604">
        <v>8.4176000000000001E-2</v>
      </c>
      <c r="P3550" s="150"/>
      <c r="Q3550" s="250"/>
      <c r="R3550" s="250"/>
      <c r="S3550" s="250">
        <v>5.2999999999999999E-2</v>
      </c>
      <c r="T3550" s="250">
        <v>0.122</v>
      </c>
      <c r="U3550" s="250">
        <v>0.183</v>
      </c>
      <c r="V3550" s="250">
        <v>0.28899999999999998</v>
      </c>
      <c r="W3550" s="250">
        <v>0.25600000000000001</v>
      </c>
      <c r="X3550" s="250">
        <v>9.3000000000000013E-2</v>
      </c>
      <c r="Y3550" s="250">
        <v>4.0000000000000001E-3</v>
      </c>
      <c r="Z3550" s="150">
        <v>15</v>
      </c>
      <c r="AA3550" s="150">
        <v>1.42</v>
      </c>
      <c r="AB3550" s="152"/>
      <c r="AC3550" s="152"/>
      <c r="AD3550" s="223">
        <v>16.123391000000002</v>
      </c>
      <c r="AE3550" s="223">
        <v>0.45718500000000001</v>
      </c>
      <c r="AF3550" s="223">
        <v>7.3943624000000003</v>
      </c>
      <c r="AG3550" s="223">
        <v>1.4721356999999999</v>
      </c>
      <c r="AH3550" s="341"/>
      <c r="AI3550" s="218"/>
      <c r="AJ3550" s="218"/>
      <c r="AK3550" s="153"/>
      <c r="AL3550" s="152"/>
      <c r="AM3550" s="152"/>
      <c r="AN3550" s="152"/>
      <c r="AO3550" s="152"/>
      <c r="AP3550" s="152"/>
      <c r="AQ3550" s="152"/>
      <c r="AR3550" s="152"/>
      <c r="AS3550" s="152"/>
      <c r="AT3550" s="152"/>
      <c r="AU3550" s="153"/>
      <c r="AV3550" s="479"/>
      <c r="AW3550" s="479"/>
      <c r="AX3550" s="442"/>
      <c r="AY3550" s="153"/>
      <c r="AZ3550" s="152"/>
      <c r="BA3550" s="152"/>
      <c r="BB3550" s="152"/>
      <c r="BC3550" s="152"/>
      <c r="BD3550" s="152"/>
      <c r="BE3550" s="152"/>
      <c r="BF3550" s="152"/>
      <c r="BG3550" s="152"/>
      <c r="BH3550" s="152"/>
      <c r="BI3550" s="153"/>
      <c r="BJ3550" s="153"/>
      <c r="BK3550" s="153"/>
      <c r="BL3550" s="153"/>
      <c r="BM3550" s="153"/>
      <c r="BN3550" s="153"/>
      <c r="BO3550" s="153"/>
      <c r="BP3550" s="153"/>
      <c r="BQ3550" s="153"/>
      <c r="BR3550" s="153"/>
      <c r="BS3550" s="153"/>
      <c r="BT3550" s="153"/>
      <c r="BU3550" s="153"/>
      <c r="BV3550" s="153"/>
      <c r="BW3550" s="153"/>
      <c r="BX3550" s="153"/>
      <c r="BY3550" s="153"/>
      <c r="BZ3550" s="153"/>
      <c r="CA3550" s="152"/>
      <c r="CB3550" s="152"/>
    </row>
    <row r="3551" spans="1:80" s="87" customFormat="1" ht="15" x14ac:dyDescent="0.25">
      <c r="A3551" s="152"/>
      <c r="B3551" s="683"/>
      <c r="C3551" s="683"/>
      <c r="D3551" s="698"/>
      <c r="E3551" s="215"/>
      <c r="F3551" s="215"/>
      <c r="G3551" s="153"/>
      <c r="H3551" s="153"/>
      <c r="I3551" s="165">
        <v>20</v>
      </c>
      <c r="J3551" s="165">
        <v>30</v>
      </c>
      <c r="K3551" s="150">
        <v>1</v>
      </c>
      <c r="L3551" s="656">
        <v>10</v>
      </c>
      <c r="M3551" s="663">
        <v>36337</v>
      </c>
      <c r="N3551" s="600">
        <v>10.560600000000001</v>
      </c>
      <c r="O3551" s="604">
        <v>8.5014999999999993E-2</v>
      </c>
      <c r="P3551" s="150"/>
      <c r="Q3551" s="250"/>
      <c r="R3551" s="250"/>
      <c r="S3551" s="250">
        <v>4.0999999999999995E-2</v>
      </c>
      <c r="T3551" s="250">
        <v>8.1000000000000003E-2</v>
      </c>
      <c r="U3551" s="250">
        <v>0.185</v>
      </c>
      <c r="V3551" s="250">
        <v>0.314</v>
      </c>
      <c r="W3551" s="250">
        <v>0.27699999999999997</v>
      </c>
      <c r="X3551" s="250">
        <v>9.6999999999999989E-2</v>
      </c>
      <c r="Y3551" s="250">
        <v>4.0000000000000001E-3</v>
      </c>
      <c r="Z3551" s="150">
        <v>14</v>
      </c>
      <c r="AA3551" s="150">
        <v>1.31</v>
      </c>
      <c r="AB3551" s="152"/>
      <c r="AC3551" s="152"/>
      <c r="AD3551" s="223">
        <v>16.123391000000002</v>
      </c>
      <c r="AE3551" s="223">
        <v>0.45718500000000001</v>
      </c>
      <c r="AF3551" s="223">
        <v>7.3943624000000003</v>
      </c>
      <c r="AG3551" s="223">
        <v>1.4721356999999999</v>
      </c>
      <c r="AH3551" s="341"/>
      <c r="AI3551" s="218"/>
      <c r="AJ3551" s="218"/>
      <c r="AK3551" s="153"/>
      <c r="AL3551" s="152"/>
      <c r="AM3551" s="152"/>
      <c r="AN3551" s="152"/>
      <c r="AO3551" s="152"/>
      <c r="AP3551" s="152"/>
      <c r="AQ3551" s="152"/>
      <c r="AR3551" s="152"/>
      <c r="AS3551" s="152"/>
      <c r="AT3551" s="152"/>
      <c r="AU3551" s="153"/>
      <c r="AV3551" s="479"/>
      <c r="AW3551" s="479"/>
      <c r="AX3551" s="442"/>
      <c r="AY3551" s="153"/>
      <c r="AZ3551" s="152"/>
      <c r="BA3551" s="152"/>
      <c r="BB3551" s="152"/>
      <c r="BC3551" s="152"/>
      <c r="BD3551" s="152"/>
      <c r="BE3551" s="152"/>
      <c r="BF3551" s="152"/>
      <c r="BG3551" s="152"/>
      <c r="BH3551" s="152"/>
      <c r="BI3551" s="153"/>
      <c r="BJ3551" s="153"/>
      <c r="BK3551" s="153"/>
      <c r="BL3551" s="153"/>
      <c r="BM3551" s="153"/>
      <c r="BN3551" s="153"/>
      <c r="BO3551" s="153"/>
      <c r="BP3551" s="153"/>
      <c r="BQ3551" s="153"/>
      <c r="BR3551" s="153"/>
      <c r="BS3551" s="153"/>
      <c r="BT3551" s="153"/>
      <c r="BU3551" s="153"/>
      <c r="BV3551" s="153"/>
      <c r="BW3551" s="153"/>
      <c r="BX3551" s="153"/>
      <c r="BY3551" s="153"/>
      <c r="BZ3551" s="153"/>
      <c r="CA3551" s="152"/>
      <c r="CB3551" s="152"/>
    </row>
    <row r="3552" spans="1:80" ht="15" x14ac:dyDescent="0.25">
      <c r="A3552" s="9" t="s">
        <v>202</v>
      </c>
      <c r="B3552" s="639" t="s">
        <v>66</v>
      </c>
      <c r="C3552" s="639" t="s">
        <v>612</v>
      </c>
      <c r="D3552" s="4">
        <f>VLOOKUP(E3552,'Quality Code'!D4:E24,2,TRUE)*VLOOKUP(MROUND(F3552,10),'Quality Code'!D28:E69,2,TRUE)*VLOOKUP(COUNTA(CB3552:CB3562),'Quality Code'!D73:E93,2,TRUE)</f>
        <v>2.4000000000000004</v>
      </c>
      <c r="E3552" s="14">
        <v>0.8</v>
      </c>
      <c r="F3552" s="18">
        <v>61</v>
      </c>
      <c r="G3552" s="12">
        <v>16151.4</v>
      </c>
      <c r="H3552" s="2" t="s">
        <v>231</v>
      </c>
      <c r="I3552" s="10"/>
      <c r="J3552" s="10" t="s">
        <v>283</v>
      </c>
      <c r="K3552" s="10"/>
      <c r="L3552" s="640" t="s">
        <v>284</v>
      </c>
      <c r="M3552" s="640">
        <v>1997</v>
      </c>
      <c r="N3552" s="579"/>
      <c r="O3552" s="579"/>
      <c r="P3552" s="10" t="s">
        <v>64</v>
      </c>
      <c r="Q3552" s="10" t="s">
        <v>64</v>
      </c>
      <c r="R3552" s="10" t="s">
        <v>64</v>
      </c>
      <c r="S3552" s="10" t="s">
        <v>64</v>
      </c>
      <c r="T3552" s="10" t="s">
        <v>64</v>
      </c>
      <c r="U3552" s="10" t="s">
        <v>64</v>
      </c>
      <c r="V3552" s="10"/>
      <c r="W3552" s="10"/>
      <c r="X3552" s="10"/>
      <c r="Y3552" s="10"/>
      <c r="Z3552" s="11"/>
      <c r="AA3552" s="81"/>
      <c r="AB3552" s="81"/>
      <c r="AC3552" s="116">
        <v>1.9E-3</v>
      </c>
      <c r="AD3552" s="11"/>
      <c r="AE3552" s="11"/>
      <c r="AF3552" s="10"/>
      <c r="AG3552" s="10"/>
      <c r="AH3552" s="345" t="s">
        <v>354</v>
      </c>
      <c r="AI3552" s="18">
        <v>27.5</v>
      </c>
      <c r="AJ3552" s="17">
        <v>1</v>
      </c>
      <c r="AK3552" s="17">
        <v>0.78840740229091777</v>
      </c>
      <c r="AL3552" s="17">
        <v>0.6430709583351516</v>
      </c>
      <c r="AM3552" s="17">
        <v>0.52703553909603218</v>
      </c>
      <c r="AN3552" s="17">
        <v>0.391924956543445</v>
      </c>
      <c r="AO3552" s="17">
        <v>0.2836563224235496</v>
      </c>
      <c r="AP3552" s="17">
        <v>0.20474885381849434</v>
      </c>
      <c r="AQ3552" s="17">
        <v>0.14878594790939742</v>
      </c>
      <c r="AR3552" s="17">
        <v>0.11650000000000001</v>
      </c>
      <c r="AS3552" s="17">
        <v>7.9899999999999999E-2</v>
      </c>
      <c r="AT3552" s="17">
        <v>2.9499999999999998E-2</v>
      </c>
      <c r="AU3552" s="18">
        <v>149.82213803788002</v>
      </c>
      <c r="AV3552" s="17">
        <v>1</v>
      </c>
      <c r="AW3552" s="17">
        <v>1</v>
      </c>
      <c r="AX3552" s="17">
        <v>1</v>
      </c>
      <c r="AY3552" s="17">
        <v>0.30644537432255964</v>
      </c>
      <c r="AZ3552" s="17">
        <v>0.15469550884063515</v>
      </c>
      <c r="BA3552" s="17">
        <v>4.7141278925637603E-2</v>
      </c>
      <c r="BB3552" s="17">
        <v>1.3774751705899667E-2</v>
      </c>
      <c r="BC3552" s="17">
        <v>5.4071922653098547E-3</v>
      </c>
      <c r="BD3552" s="17">
        <v>3.1600359683665348E-3</v>
      </c>
      <c r="BE3552" s="17">
        <v>2.4232530797350374E-3</v>
      </c>
      <c r="BF3552" s="17">
        <v>2.14E-3</v>
      </c>
      <c r="BG3552" s="17">
        <v>1.9E-3</v>
      </c>
      <c r="BH3552" s="17">
        <v>1.09E-3</v>
      </c>
      <c r="BI3552" s="4">
        <f>AU3552/AI3552</f>
        <v>5.4480777468320012</v>
      </c>
      <c r="BJ3552" s="2" t="s">
        <v>68</v>
      </c>
      <c r="BK3552" s="2" t="s">
        <v>68</v>
      </c>
      <c r="BL3552" s="12">
        <v>325.596</v>
      </c>
      <c r="BM3552" s="12"/>
      <c r="BN3552" s="12">
        <v>84.637135000000001</v>
      </c>
      <c r="BO3552" s="12">
        <v>1.697239288</v>
      </c>
      <c r="BP3552" s="12">
        <v>143.64491839999999</v>
      </c>
      <c r="BQ3552" s="12">
        <f>BN3552/BO3552</f>
        <v>49.867532291062545</v>
      </c>
      <c r="BR3552" s="12" t="s">
        <v>29</v>
      </c>
      <c r="BS3552" s="18">
        <v>7</v>
      </c>
      <c r="BT3552" s="12"/>
      <c r="BU3552" s="2"/>
      <c r="BV3552" s="2"/>
      <c r="BW3552" s="2"/>
      <c r="BX3552" s="2"/>
      <c r="BY3552" s="2"/>
      <c r="BZ3552" s="2"/>
      <c r="CA3552" s="381"/>
      <c r="CB3552" s="9" t="s">
        <v>224</v>
      </c>
    </row>
    <row r="3553" spans="1:80" s="87" customFormat="1" ht="15" x14ac:dyDescent="0.25">
      <c r="A3553" s="152"/>
      <c r="B3553" s="683"/>
      <c r="C3553" s="683"/>
      <c r="D3553" s="698"/>
      <c r="E3553" s="215"/>
      <c r="F3553" s="215"/>
      <c r="G3553" s="153"/>
      <c r="H3553" s="153"/>
      <c r="I3553" s="165">
        <v>22</v>
      </c>
      <c r="J3553" s="165">
        <v>30</v>
      </c>
      <c r="K3553" s="150">
        <v>1</v>
      </c>
      <c r="L3553" s="658">
        <v>11</v>
      </c>
      <c r="M3553" s="663">
        <v>35547</v>
      </c>
      <c r="N3553" s="600">
        <v>108.438</v>
      </c>
      <c r="O3553" s="604">
        <v>4.3872000000000001E-2</v>
      </c>
      <c r="P3553" s="150"/>
      <c r="Q3553" s="250"/>
      <c r="R3553" s="250"/>
      <c r="S3553" s="250"/>
      <c r="T3553" s="250"/>
      <c r="U3553" s="250">
        <v>4.0000000000000001E-3</v>
      </c>
      <c r="V3553" s="250">
        <v>3.1E-2</v>
      </c>
      <c r="W3553" s="250">
        <v>0.19800000000000001</v>
      </c>
      <c r="X3553" s="250">
        <v>0.66500000000000004</v>
      </c>
      <c r="Y3553" s="250">
        <v>0.10199999999999999</v>
      </c>
      <c r="Z3553" s="150">
        <v>3</v>
      </c>
      <c r="AA3553" s="150">
        <v>0.38</v>
      </c>
      <c r="AB3553" s="152"/>
      <c r="AC3553" s="152"/>
      <c r="AD3553" s="223"/>
      <c r="AE3553" s="223"/>
      <c r="AF3553" s="223"/>
      <c r="AG3553" s="223"/>
      <c r="AH3553" s="341"/>
      <c r="AI3553" s="218"/>
      <c r="AJ3553" s="218"/>
      <c r="AK3553" s="153"/>
      <c r="AL3553" s="152"/>
      <c r="AM3553" s="152"/>
      <c r="AN3553" s="152"/>
      <c r="AO3553" s="152"/>
      <c r="AP3553" s="152"/>
      <c r="AQ3553" s="152"/>
      <c r="AR3553" s="152"/>
      <c r="AS3553" s="152"/>
      <c r="AT3553" s="152"/>
      <c r="AU3553" s="157">
        <v>96</v>
      </c>
      <c r="AV3553" s="158">
        <v>1</v>
      </c>
      <c r="AW3553" s="158">
        <v>1</v>
      </c>
      <c r="AX3553" s="158">
        <v>0.95160999999999996</v>
      </c>
      <c r="AY3553" s="158">
        <v>0.69062000000000001</v>
      </c>
      <c r="AZ3553" s="158">
        <v>0.32845000000000002</v>
      </c>
      <c r="BA3553" s="158">
        <v>0.20821000000000001</v>
      </c>
      <c r="BB3553" s="158">
        <v>0.14076</v>
      </c>
      <c r="BC3553" s="158">
        <v>9.5310000000000006E-2</v>
      </c>
      <c r="BD3553" s="158">
        <v>8.5040000000000004E-2</v>
      </c>
      <c r="BE3553" s="158">
        <v>8.3580000000000002E-2</v>
      </c>
      <c r="BF3553" s="158"/>
      <c r="BG3553" s="158"/>
      <c r="BH3553" s="158"/>
      <c r="BI3553" s="156">
        <f>AU3553/AI3552</f>
        <v>3.4909090909090907</v>
      </c>
      <c r="BJ3553" s="155" t="s">
        <v>68</v>
      </c>
      <c r="BK3553" s="155" t="s">
        <v>175</v>
      </c>
      <c r="BL3553" s="153"/>
      <c r="BM3553" s="153"/>
      <c r="BN3553" s="153"/>
      <c r="BO3553" s="153"/>
      <c r="BP3553" s="153"/>
      <c r="BQ3553" s="153"/>
      <c r="BR3553" s="153"/>
      <c r="BS3553" s="153"/>
      <c r="BT3553" s="153"/>
      <c r="BU3553" s="153"/>
      <c r="BV3553" s="153"/>
      <c r="BW3553" s="153"/>
      <c r="BX3553" s="153"/>
      <c r="BY3553" s="153"/>
      <c r="BZ3553" s="153"/>
      <c r="CA3553" s="152"/>
      <c r="CB3553" s="486" t="s">
        <v>638</v>
      </c>
    </row>
    <row r="3554" spans="1:80" s="87" customFormat="1" ht="15" x14ac:dyDescent="0.25">
      <c r="A3554" s="152"/>
      <c r="B3554" s="683"/>
      <c r="C3554" s="683"/>
      <c r="D3554" s="698"/>
      <c r="E3554" s="215"/>
      <c r="F3554" s="215"/>
      <c r="G3554" s="153"/>
      <c r="H3554" s="153"/>
      <c r="I3554" s="165">
        <v>22</v>
      </c>
      <c r="J3554" s="165">
        <v>30</v>
      </c>
      <c r="K3554" s="150">
        <v>1</v>
      </c>
      <c r="L3554" s="658">
        <v>11</v>
      </c>
      <c r="M3554" s="663">
        <v>35547</v>
      </c>
      <c r="N3554" s="600">
        <v>108.438</v>
      </c>
      <c r="O3554" s="604">
        <v>5.2269000000000003E-2</v>
      </c>
      <c r="P3554" s="150"/>
      <c r="Q3554" s="250"/>
      <c r="R3554" s="250"/>
      <c r="S3554" s="250"/>
      <c r="T3554" s="250">
        <v>1.6E-2</v>
      </c>
      <c r="U3554" s="250">
        <v>4.2000000000000003E-2</v>
      </c>
      <c r="V3554" s="250">
        <v>0.107</v>
      </c>
      <c r="W3554" s="250">
        <v>0.19</v>
      </c>
      <c r="X3554" s="250">
        <v>0.56399999999999995</v>
      </c>
      <c r="Y3554" s="250">
        <v>8.199999999999999E-2</v>
      </c>
      <c r="Z3554" s="150">
        <v>5</v>
      </c>
      <c r="AA3554" s="150">
        <v>0.42</v>
      </c>
      <c r="AB3554" s="152"/>
      <c r="AC3554" s="152"/>
      <c r="AD3554" s="223"/>
      <c r="AE3554" s="223"/>
      <c r="AF3554" s="223"/>
      <c r="AG3554" s="223"/>
      <c r="AH3554" s="341"/>
      <c r="AI3554" s="218"/>
      <c r="AJ3554" s="218"/>
      <c r="AK3554" s="153"/>
      <c r="AL3554" s="152"/>
      <c r="AM3554" s="152"/>
      <c r="AN3554" s="152"/>
      <c r="AO3554" s="152"/>
      <c r="AP3554" s="152"/>
      <c r="AQ3554" s="152"/>
      <c r="AR3554" s="152"/>
      <c r="AS3554" s="152"/>
      <c r="AT3554" s="152"/>
      <c r="AU3554" s="153"/>
      <c r="AV3554" s="479"/>
      <c r="AW3554" s="479"/>
      <c r="AX3554" s="442"/>
      <c r="AY3554" s="153"/>
      <c r="AZ3554" s="152"/>
      <c r="BA3554" s="152"/>
      <c r="BB3554" s="152"/>
      <c r="BC3554" s="152"/>
      <c r="BD3554" s="152"/>
      <c r="BE3554" s="152"/>
      <c r="BF3554" s="152"/>
      <c r="BG3554" s="152"/>
      <c r="BH3554" s="152"/>
      <c r="BI3554" s="153"/>
      <c r="BJ3554" s="153"/>
      <c r="BK3554" s="153"/>
      <c r="BL3554" s="153"/>
      <c r="BM3554" s="153"/>
      <c r="BN3554" s="153"/>
      <c r="BO3554" s="153"/>
      <c r="BP3554" s="153"/>
      <c r="BQ3554" s="153"/>
      <c r="BR3554" s="153"/>
      <c r="BS3554" s="153"/>
      <c r="BT3554" s="153"/>
      <c r="BU3554" s="153"/>
      <c r="BV3554" s="153"/>
      <c r="BW3554" s="153"/>
      <c r="BX3554" s="153"/>
      <c r="BY3554" s="153"/>
      <c r="BZ3554" s="153"/>
      <c r="CA3554" s="152"/>
      <c r="CB3554" s="486" t="s">
        <v>639</v>
      </c>
    </row>
    <row r="3555" spans="1:80" s="87" customFormat="1" ht="15" x14ac:dyDescent="0.25">
      <c r="A3555" s="152"/>
      <c r="B3555" s="683"/>
      <c r="C3555" s="683"/>
      <c r="D3555" s="698"/>
      <c r="E3555" s="215"/>
      <c r="F3555" s="215"/>
      <c r="G3555" s="153"/>
      <c r="H3555" s="153"/>
      <c r="I3555" s="165">
        <v>22</v>
      </c>
      <c r="J3555" s="165">
        <v>40</v>
      </c>
      <c r="K3555" s="150">
        <v>1</v>
      </c>
      <c r="L3555" s="658">
        <v>14.666666666666666</v>
      </c>
      <c r="M3555" s="663">
        <v>35563</v>
      </c>
      <c r="N3555" s="600">
        <v>302.94600000000003</v>
      </c>
      <c r="O3555" s="604">
        <v>0.70741100000000001</v>
      </c>
      <c r="P3555" s="150"/>
      <c r="Q3555" s="250"/>
      <c r="R3555" s="250">
        <v>1.1000000000000001E-2</v>
      </c>
      <c r="S3555" s="250">
        <v>0.02</v>
      </c>
      <c r="T3555" s="250">
        <v>4.5999999999999999E-2</v>
      </c>
      <c r="U3555" s="250">
        <v>5.7000000000000002E-2</v>
      </c>
      <c r="V3555" s="250">
        <v>0.11</v>
      </c>
      <c r="W3555" s="250">
        <v>0.26400000000000001</v>
      </c>
      <c r="X3555" s="250">
        <v>0.45500000000000002</v>
      </c>
      <c r="Y3555" s="250">
        <v>3.7999999999999999E-2</v>
      </c>
      <c r="Z3555" s="150">
        <v>21</v>
      </c>
      <c r="AA3555" s="150">
        <v>0.51</v>
      </c>
      <c r="AB3555" s="152"/>
      <c r="AC3555" s="152"/>
      <c r="AD3555" s="223">
        <v>71.869482000000005</v>
      </c>
      <c r="AE3555" s="223">
        <v>2.2358408160000001</v>
      </c>
      <c r="AF3555" s="223">
        <v>160.68362870000001</v>
      </c>
      <c r="AG3555" s="223">
        <v>1.832525752</v>
      </c>
      <c r="AH3555" s="341"/>
      <c r="AI3555" s="218"/>
      <c r="AJ3555" s="218"/>
      <c r="AK3555" s="153"/>
      <c r="AL3555" s="152"/>
      <c r="AM3555" s="152"/>
      <c r="AN3555" s="152"/>
      <c r="AO3555" s="152"/>
      <c r="AP3555" s="152"/>
      <c r="AQ3555" s="152"/>
      <c r="AR3555" s="152"/>
      <c r="AS3555" s="152"/>
      <c r="AT3555" s="152"/>
      <c r="AU3555" s="153"/>
      <c r="AV3555" s="479"/>
      <c r="AW3555" s="479"/>
      <c r="AX3555" s="442"/>
      <c r="AY3555" s="153"/>
      <c r="AZ3555" s="152"/>
      <c r="BA3555" s="152"/>
      <c r="BB3555" s="152"/>
      <c r="BC3555" s="152"/>
      <c r="BD3555" s="152"/>
      <c r="BE3555" s="152"/>
      <c r="BF3555" s="152"/>
      <c r="BG3555" s="152"/>
      <c r="BH3555" s="152"/>
      <c r="BI3555" s="153"/>
      <c r="BJ3555" s="153"/>
      <c r="BK3555" s="153"/>
      <c r="BL3555" s="153"/>
      <c r="BM3555" s="153"/>
      <c r="BN3555" s="153"/>
      <c r="BO3555" s="153"/>
      <c r="BP3555" s="153"/>
      <c r="BQ3555" s="153"/>
      <c r="BR3555" s="153"/>
      <c r="BS3555" s="153"/>
      <c r="BT3555" s="153"/>
      <c r="BU3555" s="153"/>
      <c r="BV3555" s="153"/>
      <c r="BW3555" s="153"/>
      <c r="BX3555" s="153"/>
      <c r="BY3555" s="153"/>
      <c r="BZ3555" s="153"/>
      <c r="CA3555" s="152"/>
      <c r="CB3555" s="486" t="s">
        <v>640</v>
      </c>
    </row>
    <row r="3556" spans="1:80" s="87" customFormat="1" ht="15" x14ac:dyDescent="0.25">
      <c r="A3556" s="152"/>
      <c r="B3556" s="683"/>
      <c r="C3556" s="683"/>
      <c r="D3556" s="698"/>
      <c r="E3556" s="215"/>
      <c r="F3556" s="215"/>
      <c r="G3556" s="153"/>
      <c r="H3556" s="153"/>
      <c r="I3556" s="165">
        <v>22</v>
      </c>
      <c r="J3556" s="165">
        <v>40</v>
      </c>
      <c r="K3556" s="150">
        <v>1</v>
      </c>
      <c r="L3556" s="658">
        <v>14.666666666666666</v>
      </c>
      <c r="M3556" s="663">
        <v>35563</v>
      </c>
      <c r="N3556" s="600">
        <v>302.94600000000003</v>
      </c>
      <c r="O3556" s="604">
        <v>0.54052900000000004</v>
      </c>
      <c r="P3556" s="150"/>
      <c r="Q3556" s="250"/>
      <c r="R3556" s="250"/>
      <c r="S3556" s="250">
        <v>0.04</v>
      </c>
      <c r="T3556" s="250">
        <v>5.0999999999999997E-2</v>
      </c>
      <c r="U3556" s="250">
        <v>8.3000000000000004E-2</v>
      </c>
      <c r="V3556" s="250">
        <v>0.12300000000000001</v>
      </c>
      <c r="W3556" s="250">
        <v>0.23</v>
      </c>
      <c r="X3556" s="250">
        <v>0.434</v>
      </c>
      <c r="Y3556" s="250">
        <v>3.7999999999999999E-2</v>
      </c>
      <c r="Z3556" s="150">
        <v>16</v>
      </c>
      <c r="AA3556" s="150">
        <v>0.54</v>
      </c>
      <c r="AB3556" s="152"/>
      <c r="AC3556" s="152"/>
      <c r="AD3556" s="223">
        <v>71.869482000000005</v>
      </c>
      <c r="AE3556" s="223">
        <v>2.2358408160000001</v>
      </c>
      <c r="AF3556" s="223">
        <v>160.68362870000001</v>
      </c>
      <c r="AG3556" s="223">
        <v>1.832525752</v>
      </c>
      <c r="AH3556" s="341"/>
      <c r="AI3556" s="218"/>
      <c r="AJ3556" s="218"/>
      <c r="AK3556" s="153"/>
      <c r="AL3556" s="152"/>
      <c r="AM3556" s="152"/>
      <c r="AN3556" s="152"/>
      <c r="AO3556" s="152"/>
      <c r="AP3556" s="152"/>
      <c r="AQ3556" s="152"/>
      <c r="AR3556" s="152"/>
      <c r="AS3556" s="152"/>
      <c r="AT3556" s="152"/>
      <c r="AU3556" s="153"/>
      <c r="AV3556" s="479"/>
      <c r="AW3556" s="479"/>
      <c r="AX3556" s="442"/>
      <c r="AY3556" s="153"/>
      <c r="AZ3556" s="152"/>
      <c r="BA3556" s="152"/>
      <c r="BB3556" s="152"/>
      <c r="BC3556" s="152"/>
      <c r="BD3556" s="152"/>
      <c r="BE3556" s="152"/>
      <c r="BF3556" s="152"/>
      <c r="BG3556" s="152"/>
      <c r="BH3556" s="152"/>
      <c r="BI3556" s="153"/>
      <c r="BJ3556" s="153"/>
      <c r="BK3556" s="153"/>
      <c r="BL3556" s="153"/>
      <c r="BM3556" s="153"/>
      <c r="BN3556" s="153"/>
      <c r="BO3556" s="153"/>
      <c r="BP3556" s="153"/>
      <c r="BQ3556" s="153"/>
      <c r="BR3556" s="153"/>
      <c r="BS3556" s="153"/>
      <c r="BT3556" s="153"/>
      <c r="BU3556" s="153"/>
      <c r="BV3556" s="153"/>
      <c r="BW3556" s="153"/>
      <c r="BX3556" s="153"/>
      <c r="BY3556" s="153"/>
      <c r="BZ3556" s="153"/>
      <c r="CA3556" s="152"/>
      <c r="CB3556" s="152"/>
    </row>
    <row r="3557" spans="1:80" s="87" customFormat="1" ht="15" x14ac:dyDescent="0.25">
      <c r="A3557" s="152"/>
      <c r="B3557" s="683"/>
      <c r="C3557" s="683"/>
      <c r="D3557" s="698"/>
      <c r="E3557" s="215"/>
      <c r="F3557" s="215"/>
      <c r="G3557" s="153"/>
      <c r="H3557" s="153"/>
      <c r="I3557" s="165">
        <v>22</v>
      </c>
      <c r="J3557" s="165">
        <v>40</v>
      </c>
      <c r="K3557" s="150">
        <v>1</v>
      </c>
      <c r="L3557" s="658">
        <v>14.666666666666666</v>
      </c>
      <c r="M3557" s="663">
        <v>35564</v>
      </c>
      <c r="N3557" s="600">
        <v>351.077</v>
      </c>
      <c r="O3557" s="604">
        <v>1.2070069999999999</v>
      </c>
      <c r="P3557" s="150"/>
      <c r="Q3557" s="250"/>
      <c r="R3557" s="250">
        <v>1.8000000000000002E-2</v>
      </c>
      <c r="S3557" s="250">
        <v>5.7999999999999996E-2</v>
      </c>
      <c r="T3557" s="250">
        <v>7.2000000000000008E-2</v>
      </c>
      <c r="U3557" s="250">
        <v>7.400000000000001E-2</v>
      </c>
      <c r="V3557" s="250">
        <v>7.8E-2</v>
      </c>
      <c r="W3557" s="250">
        <v>0.25700000000000001</v>
      </c>
      <c r="X3557" s="250">
        <v>0.41100000000000003</v>
      </c>
      <c r="Y3557" s="250">
        <v>3.3000000000000002E-2</v>
      </c>
      <c r="Z3557" s="150">
        <v>25</v>
      </c>
      <c r="AA3557" s="150">
        <v>0.57999999999999996</v>
      </c>
      <c r="AB3557" s="152"/>
      <c r="AC3557" s="152"/>
      <c r="AD3557" s="223"/>
      <c r="AE3557" s="223"/>
      <c r="AF3557" s="223"/>
      <c r="AG3557" s="223"/>
      <c r="AH3557" s="341"/>
      <c r="AI3557" s="218"/>
      <c r="AJ3557" s="218"/>
      <c r="AK3557" s="153"/>
      <c r="AL3557" s="152"/>
      <c r="AM3557" s="152"/>
      <c r="AN3557" s="152"/>
      <c r="AO3557" s="152"/>
      <c r="AP3557" s="152"/>
      <c r="AQ3557" s="152"/>
      <c r="AR3557" s="152"/>
      <c r="AS3557" s="152"/>
      <c r="AT3557" s="152"/>
      <c r="AU3557" s="153"/>
      <c r="AV3557" s="479"/>
      <c r="AW3557" s="479"/>
      <c r="AX3557" s="442"/>
      <c r="AY3557" s="153"/>
      <c r="AZ3557" s="152"/>
      <c r="BA3557" s="152"/>
      <c r="BB3557" s="152"/>
      <c r="BC3557" s="152"/>
      <c r="BD3557" s="152"/>
      <c r="BE3557" s="152"/>
      <c r="BF3557" s="152"/>
      <c r="BG3557" s="152"/>
      <c r="BH3557" s="152"/>
      <c r="BI3557" s="153"/>
      <c r="BJ3557" s="153"/>
      <c r="BK3557" s="153"/>
      <c r="BL3557" s="153"/>
      <c r="BM3557" s="153"/>
      <c r="BN3557" s="153"/>
      <c r="BO3557" s="153"/>
      <c r="BP3557" s="153"/>
      <c r="BQ3557" s="153"/>
      <c r="BR3557" s="153"/>
      <c r="BS3557" s="153"/>
      <c r="BT3557" s="153"/>
      <c r="BU3557" s="153"/>
      <c r="BV3557" s="153"/>
      <c r="BW3557" s="153"/>
      <c r="BX3557" s="153"/>
      <c r="BY3557" s="153"/>
      <c r="BZ3557" s="153"/>
      <c r="CA3557" s="152"/>
      <c r="CB3557" s="152"/>
    </row>
    <row r="3558" spans="1:80" s="87" customFormat="1" ht="15" x14ac:dyDescent="0.25">
      <c r="A3558" s="152"/>
      <c r="B3558" s="683"/>
      <c r="C3558" s="683"/>
      <c r="D3558" s="698"/>
      <c r="E3558" s="215"/>
      <c r="F3558" s="215"/>
      <c r="G3558" s="153"/>
      <c r="H3558" s="153"/>
      <c r="I3558" s="165">
        <v>22</v>
      </c>
      <c r="J3558" s="165">
        <v>40</v>
      </c>
      <c r="K3558" s="150">
        <v>1</v>
      </c>
      <c r="L3558" s="658">
        <v>14.666666666666666</v>
      </c>
      <c r="M3558" s="663">
        <v>35564</v>
      </c>
      <c r="N3558" s="600">
        <v>351.077</v>
      </c>
      <c r="O3558" s="604">
        <v>1.0705629999999999</v>
      </c>
      <c r="P3558" s="150"/>
      <c r="Q3558" s="250"/>
      <c r="R3558" s="250">
        <v>0.16800000000000001</v>
      </c>
      <c r="S3558" s="250">
        <v>0.153</v>
      </c>
      <c r="T3558" s="250">
        <v>9.9000000000000005E-2</v>
      </c>
      <c r="U3558" s="250">
        <v>8.4000000000000005E-2</v>
      </c>
      <c r="V3558" s="250">
        <v>7.4999999999999997E-2</v>
      </c>
      <c r="W3558" s="250">
        <v>0.16200000000000001</v>
      </c>
      <c r="X3558" s="250">
        <v>0.23499999999999999</v>
      </c>
      <c r="Y3558" s="250">
        <v>2.4E-2</v>
      </c>
      <c r="Z3558" s="150">
        <v>38</v>
      </c>
      <c r="AA3558" s="150">
        <v>2.0699999999999998</v>
      </c>
      <c r="AB3558" s="152"/>
      <c r="AC3558" s="152"/>
      <c r="AD3558" s="223"/>
      <c r="AE3558" s="223"/>
      <c r="AF3558" s="223"/>
      <c r="AG3558" s="223"/>
      <c r="AH3558" s="341"/>
      <c r="AI3558" s="218"/>
      <c r="AJ3558" s="218"/>
      <c r="AK3558" s="153"/>
      <c r="AL3558" s="152"/>
      <c r="AM3558" s="152"/>
      <c r="AN3558" s="152"/>
      <c r="AO3558" s="152"/>
      <c r="AP3558" s="152"/>
      <c r="AQ3558" s="152"/>
      <c r="AR3558" s="152"/>
      <c r="AS3558" s="152"/>
      <c r="AT3558" s="152"/>
      <c r="AU3558" s="153"/>
      <c r="AV3558" s="479"/>
      <c r="AW3558" s="479"/>
      <c r="AX3558" s="442"/>
      <c r="AY3558" s="153"/>
      <c r="AZ3558" s="152"/>
      <c r="BA3558" s="152"/>
      <c r="BB3558" s="152"/>
      <c r="BC3558" s="152"/>
      <c r="BD3558" s="152"/>
      <c r="BE3558" s="152"/>
      <c r="BF3558" s="152"/>
      <c r="BG3558" s="152"/>
      <c r="BH3558" s="152"/>
      <c r="BI3558" s="153"/>
      <c r="BJ3558" s="153"/>
      <c r="BK3558" s="153"/>
      <c r="BL3558" s="153"/>
      <c r="BM3558" s="153"/>
      <c r="BN3558" s="153"/>
      <c r="BO3558" s="153"/>
      <c r="BP3558" s="153"/>
      <c r="BQ3558" s="153"/>
      <c r="BR3558" s="153"/>
      <c r="BS3558" s="153"/>
      <c r="BT3558" s="153"/>
      <c r="BU3558" s="153"/>
      <c r="BV3558" s="153"/>
      <c r="BW3558" s="153"/>
      <c r="BX3558" s="153"/>
      <c r="BY3558" s="153"/>
      <c r="BZ3558" s="153"/>
      <c r="CA3558" s="152"/>
      <c r="CB3558" s="152"/>
    </row>
    <row r="3559" spans="1:80" s="87" customFormat="1" ht="15" x14ac:dyDescent="0.25">
      <c r="A3559" s="152"/>
      <c r="B3559" s="683"/>
      <c r="C3559" s="683"/>
      <c r="D3559" s="698"/>
      <c r="E3559" s="215"/>
      <c r="F3559" s="215"/>
      <c r="G3559" s="153"/>
      <c r="H3559" s="153"/>
      <c r="I3559" s="165">
        <v>23</v>
      </c>
      <c r="J3559" s="165">
        <v>30</v>
      </c>
      <c r="K3559" s="150">
        <v>1</v>
      </c>
      <c r="L3559" s="658">
        <v>11.5</v>
      </c>
      <c r="M3559" s="663">
        <v>35566</v>
      </c>
      <c r="N3559" s="600">
        <v>453.00299999999999</v>
      </c>
      <c r="O3559" s="604">
        <v>1.8682369999999999</v>
      </c>
      <c r="P3559" s="150"/>
      <c r="Q3559" s="250">
        <v>0.23399999999999999</v>
      </c>
      <c r="R3559" s="250">
        <v>0.14800000000000002</v>
      </c>
      <c r="S3559" s="250">
        <v>2.8999999999999998E-2</v>
      </c>
      <c r="T3559" s="250">
        <v>1.8000000000000002E-2</v>
      </c>
      <c r="U3559" s="250">
        <v>3.5000000000000003E-2</v>
      </c>
      <c r="V3559" s="250">
        <v>8.1000000000000003E-2</v>
      </c>
      <c r="W3559" s="250">
        <v>0.2</v>
      </c>
      <c r="X3559" s="250">
        <v>0.23699999999999999</v>
      </c>
      <c r="Y3559" s="250">
        <v>1.9E-2</v>
      </c>
      <c r="Z3559" s="150">
        <v>47</v>
      </c>
      <c r="AA3559" s="150">
        <v>1.46</v>
      </c>
      <c r="AB3559" s="152"/>
      <c r="AC3559" s="152"/>
      <c r="AD3559" s="223"/>
      <c r="AE3559" s="223"/>
      <c r="AF3559" s="223"/>
      <c r="AG3559" s="223"/>
      <c r="AH3559" s="341"/>
      <c r="AI3559" s="218"/>
      <c r="AJ3559" s="218"/>
      <c r="AK3559" s="153"/>
      <c r="AL3559" s="152"/>
      <c r="AM3559" s="152"/>
      <c r="AN3559" s="152"/>
      <c r="AO3559" s="152"/>
      <c r="AP3559" s="152"/>
      <c r="AQ3559" s="152"/>
      <c r="AR3559" s="152"/>
      <c r="AS3559" s="152"/>
      <c r="AT3559" s="152"/>
      <c r="AU3559" s="153"/>
      <c r="AV3559" s="479"/>
      <c r="AW3559" s="479"/>
      <c r="AX3559" s="442"/>
      <c r="AY3559" s="153"/>
      <c r="AZ3559" s="152"/>
      <c r="BA3559" s="152"/>
      <c r="BB3559" s="152"/>
      <c r="BC3559" s="152"/>
      <c r="BD3559" s="152"/>
      <c r="BE3559" s="152"/>
      <c r="BF3559" s="152"/>
      <c r="BG3559" s="152"/>
      <c r="BH3559" s="152"/>
      <c r="BI3559" s="153"/>
      <c r="BJ3559" s="153"/>
      <c r="BK3559" s="153"/>
      <c r="BL3559" s="153"/>
      <c r="BM3559" s="153"/>
      <c r="BN3559" s="153"/>
      <c r="BO3559" s="153"/>
      <c r="BP3559" s="153"/>
      <c r="BQ3559" s="153"/>
      <c r="BR3559" s="153"/>
      <c r="BS3559" s="153"/>
      <c r="BT3559" s="153"/>
      <c r="BU3559" s="153"/>
      <c r="BV3559" s="153"/>
      <c r="BW3559" s="153"/>
      <c r="BX3559" s="153"/>
      <c r="BY3559" s="153"/>
      <c r="BZ3559" s="153"/>
      <c r="CA3559" s="152"/>
      <c r="CB3559" s="152"/>
    </row>
    <row r="3560" spans="1:80" s="87" customFormat="1" ht="15" x14ac:dyDescent="0.25">
      <c r="A3560" s="152"/>
      <c r="B3560" s="683"/>
      <c r="C3560" s="683"/>
      <c r="D3560" s="698"/>
      <c r="E3560" s="215"/>
      <c r="F3560" s="215"/>
      <c r="G3560" s="153"/>
      <c r="H3560" s="153"/>
      <c r="I3560" s="165">
        <v>23</v>
      </c>
      <c r="J3560" s="165">
        <v>20</v>
      </c>
      <c r="K3560" s="150">
        <v>1</v>
      </c>
      <c r="L3560" s="658">
        <v>7.666666666666667</v>
      </c>
      <c r="M3560" s="663">
        <v>35569</v>
      </c>
      <c r="N3560" s="600">
        <v>498.30399999999997</v>
      </c>
      <c r="O3560" s="604">
        <v>14.27417</v>
      </c>
      <c r="P3560" s="150"/>
      <c r="Q3560" s="250">
        <v>0.17600000000000002</v>
      </c>
      <c r="R3560" s="250">
        <v>0.371</v>
      </c>
      <c r="S3560" s="250">
        <v>0.151</v>
      </c>
      <c r="T3560" s="250">
        <v>5.7999999999999996E-2</v>
      </c>
      <c r="U3560" s="250">
        <v>4.5999999999999999E-2</v>
      </c>
      <c r="V3560" s="250">
        <v>5.0999999999999997E-2</v>
      </c>
      <c r="W3560" s="250">
        <v>6.8000000000000005E-2</v>
      </c>
      <c r="X3560" s="250">
        <v>6.8000000000000005E-2</v>
      </c>
      <c r="Y3560" s="250">
        <v>1.1000000000000001E-2</v>
      </c>
      <c r="Z3560" s="150">
        <v>55</v>
      </c>
      <c r="AA3560" s="150">
        <v>17.47</v>
      </c>
      <c r="AB3560" s="152"/>
      <c r="AC3560" s="152"/>
      <c r="AD3560" s="223">
        <v>91.315083999999999</v>
      </c>
      <c r="AE3560" s="223">
        <v>2.2041729160000001</v>
      </c>
      <c r="AF3560" s="223">
        <v>201.26785620000001</v>
      </c>
      <c r="AG3560" s="223">
        <v>2.5743349150000001</v>
      </c>
      <c r="AH3560" s="341"/>
      <c r="AI3560" s="218"/>
      <c r="AJ3560" s="218"/>
      <c r="AK3560" s="153"/>
      <c r="AL3560" s="152"/>
      <c r="AM3560" s="152"/>
      <c r="AN3560" s="152"/>
      <c r="AO3560" s="152"/>
      <c r="AP3560" s="152"/>
      <c r="AQ3560" s="152"/>
      <c r="AR3560" s="152"/>
      <c r="AS3560" s="152"/>
      <c r="AT3560" s="152"/>
      <c r="AU3560" s="153"/>
      <c r="AV3560" s="479"/>
      <c r="AW3560" s="479"/>
      <c r="AX3560" s="442"/>
      <c r="AY3560" s="153"/>
      <c r="AZ3560" s="152"/>
      <c r="BA3560" s="152"/>
      <c r="BB3560" s="152"/>
      <c r="BC3560" s="152"/>
      <c r="BD3560" s="152"/>
      <c r="BE3560" s="152"/>
      <c r="BF3560" s="152"/>
      <c r="BG3560" s="152"/>
      <c r="BH3560" s="152"/>
      <c r="BI3560" s="153"/>
      <c r="BJ3560" s="153"/>
      <c r="BK3560" s="153"/>
      <c r="BL3560" s="153"/>
      <c r="BM3560" s="153"/>
      <c r="BN3560" s="153"/>
      <c r="BO3560" s="153"/>
      <c r="BP3560" s="153"/>
      <c r="BQ3560" s="153"/>
      <c r="BR3560" s="153"/>
      <c r="BS3560" s="153"/>
      <c r="BT3560" s="153"/>
      <c r="BU3560" s="153"/>
      <c r="BV3560" s="153"/>
      <c r="BW3560" s="153"/>
      <c r="BX3560" s="153"/>
      <c r="BY3560" s="153"/>
      <c r="BZ3560" s="153"/>
      <c r="CA3560" s="152"/>
      <c r="CB3560" s="152"/>
    </row>
    <row r="3561" spans="1:80" s="87" customFormat="1" ht="15" x14ac:dyDescent="0.25">
      <c r="A3561" s="152"/>
      <c r="B3561" s="683"/>
      <c r="C3561" s="683"/>
      <c r="D3561" s="698"/>
      <c r="E3561" s="215"/>
      <c r="F3561" s="215"/>
      <c r="G3561" s="153"/>
      <c r="H3561" s="153"/>
      <c r="I3561" s="165">
        <v>23</v>
      </c>
      <c r="J3561" s="165">
        <v>20</v>
      </c>
      <c r="K3561" s="150">
        <v>1</v>
      </c>
      <c r="L3561" s="658">
        <v>7.666666666666667</v>
      </c>
      <c r="M3561" s="663">
        <v>35569</v>
      </c>
      <c r="N3561" s="600">
        <v>498.30399999999997</v>
      </c>
      <c r="O3561" s="604">
        <v>44.39687</v>
      </c>
      <c r="P3561" s="250">
        <v>9.4E-2</v>
      </c>
      <c r="Q3561" s="250">
        <v>0.36700000000000005</v>
      </c>
      <c r="R3561" s="250">
        <v>0.217</v>
      </c>
      <c r="S3561" s="250">
        <v>0.124</v>
      </c>
      <c r="T3561" s="250">
        <v>5.9000000000000004E-2</v>
      </c>
      <c r="U3561" s="250">
        <v>0.04</v>
      </c>
      <c r="V3561" s="250">
        <v>3.9E-2</v>
      </c>
      <c r="W3561" s="250">
        <v>3.3000000000000002E-2</v>
      </c>
      <c r="X3561" s="250">
        <v>2.5000000000000001E-2</v>
      </c>
      <c r="Y3561" s="250">
        <v>2E-3</v>
      </c>
      <c r="Z3561" s="150">
        <v>75</v>
      </c>
      <c r="AA3561" s="150">
        <v>28.25</v>
      </c>
      <c r="AB3561" s="152"/>
      <c r="AC3561" s="152"/>
      <c r="AD3561" s="223">
        <v>91.315083999999999</v>
      </c>
      <c r="AE3561" s="223">
        <v>2.2041729160000001</v>
      </c>
      <c r="AF3561" s="223">
        <v>201.26785620000001</v>
      </c>
      <c r="AG3561" s="223">
        <v>2.5743349150000001</v>
      </c>
      <c r="AH3561" s="341"/>
      <c r="AI3561" s="218"/>
      <c r="AJ3561" s="218"/>
      <c r="AK3561" s="153"/>
      <c r="AL3561" s="152"/>
      <c r="AM3561" s="152"/>
      <c r="AN3561" s="152"/>
      <c r="AO3561" s="152"/>
      <c r="AP3561" s="152"/>
      <c r="AQ3561" s="152"/>
      <c r="AR3561" s="152"/>
      <c r="AS3561" s="152"/>
      <c r="AT3561" s="152"/>
      <c r="AU3561" s="153"/>
      <c r="AV3561" s="479"/>
      <c r="AW3561" s="479"/>
      <c r="AX3561" s="442"/>
      <c r="AY3561" s="153"/>
      <c r="AZ3561" s="152"/>
      <c r="BA3561" s="152"/>
      <c r="BB3561" s="152"/>
      <c r="BC3561" s="152"/>
      <c r="BD3561" s="152"/>
      <c r="BE3561" s="152"/>
      <c r="BF3561" s="152"/>
      <c r="BG3561" s="152"/>
      <c r="BH3561" s="152"/>
      <c r="BI3561" s="153"/>
      <c r="BJ3561" s="153"/>
      <c r="BK3561" s="153"/>
      <c r="BL3561" s="153"/>
      <c r="BM3561" s="153"/>
      <c r="BN3561" s="153"/>
      <c r="BO3561" s="153"/>
      <c r="BP3561" s="153"/>
      <c r="BQ3561" s="153"/>
      <c r="BR3561" s="153"/>
      <c r="BS3561" s="153"/>
      <c r="BT3561" s="153"/>
      <c r="BU3561" s="153"/>
      <c r="BV3561" s="153"/>
      <c r="BW3561" s="153"/>
      <c r="BX3561" s="153"/>
      <c r="BY3561" s="153"/>
      <c r="BZ3561" s="153"/>
      <c r="CA3561" s="152"/>
      <c r="CB3561" s="152"/>
    </row>
    <row r="3562" spans="1:80" s="87" customFormat="1" ht="15" x14ac:dyDescent="0.25">
      <c r="A3562" s="152"/>
      <c r="B3562" s="683"/>
      <c r="C3562" s="683"/>
      <c r="D3562" s="698"/>
      <c r="E3562" s="215"/>
      <c r="F3562" s="215"/>
      <c r="G3562" s="153"/>
      <c r="H3562" s="153"/>
      <c r="I3562" s="165">
        <v>23</v>
      </c>
      <c r="J3562" s="165">
        <v>20</v>
      </c>
      <c r="K3562" s="150">
        <v>1</v>
      </c>
      <c r="L3562" s="658">
        <v>7.666666666666667</v>
      </c>
      <c r="M3562" s="663">
        <v>35570</v>
      </c>
      <c r="N3562" s="600">
        <v>472.822</v>
      </c>
      <c r="O3562" s="604">
        <v>20.466640000000002</v>
      </c>
      <c r="P3562" s="150"/>
      <c r="Q3562" s="250">
        <v>0.34799999999999998</v>
      </c>
      <c r="R3562" s="250">
        <v>0.26600000000000001</v>
      </c>
      <c r="S3562" s="250">
        <v>0.13800000000000001</v>
      </c>
      <c r="T3562" s="250">
        <v>6.4000000000000001E-2</v>
      </c>
      <c r="U3562" s="250">
        <v>3.7000000000000005E-2</v>
      </c>
      <c r="V3562" s="250">
        <v>3.9E-2</v>
      </c>
      <c r="W3562" s="250">
        <v>5.7999999999999996E-2</v>
      </c>
      <c r="X3562" s="250">
        <v>4.9000000000000002E-2</v>
      </c>
      <c r="Y3562" s="250">
        <v>3.0000000000000001E-3</v>
      </c>
      <c r="Z3562" s="150">
        <v>65</v>
      </c>
      <c r="AA3562" s="150">
        <v>21.42</v>
      </c>
      <c r="AB3562" s="152"/>
      <c r="AC3562" s="152"/>
      <c r="AD3562" s="223">
        <v>87.901436000000004</v>
      </c>
      <c r="AE3562" s="223">
        <v>2.1747041280000001</v>
      </c>
      <c r="AF3562" s="223">
        <v>191.15355740000001</v>
      </c>
      <c r="AG3562" s="223">
        <v>2.5476187700000001</v>
      </c>
      <c r="AH3562" s="341"/>
      <c r="AI3562" s="218"/>
      <c r="AJ3562" s="218"/>
      <c r="AK3562" s="153"/>
      <c r="AL3562" s="152"/>
      <c r="AM3562" s="152"/>
      <c r="AN3562" s="152"/>
      <c r="AO3562" s="152"/>
      <c r="AP3562" s="152"/>
      <c r="AQ3562" s="152"/>
      <c r="AR3562" s="152"/>
      <c r="AS3562" s="152"/>
      <c r="AT3562" s="152"/>
      <c r="AU3562" s="153"/>
      <c r="AV3562" s="479"/>
      <c r="AW3562" s="479"/>
      <c r="AX3562" s="442"/>
      <c r="AY3562" s="153"/>
      <c r="AZ3562" s="152"/>
      <c r="BA3562" s="152"/>
      <c r="BB3562" s="152"/>
      <c r="BC3562" s="152"/>
      <c r="BD3562" s="152"/>
      <c r="BE3562" s="152"/>
      <c r="BF3562" s="152"/>
      <c r="BG3562" s="152"/>
      <c r="BH3562" s="152"/>
      <c r="BI3562" s="153"/>
      <c r="BJ3562" s="153"/>
      <c r="BK3562" s="153"/>
      <c r="BL3562" s="153"/>
      <c r="BM3562" s="153"/>
      <c r="BN3562" s="153"/>
      <c r="BO3562" s="153"/>
      <c r="BP3562" s="153"/>
      <c r="BQ3562" s="153"/>
      <c r="BR3562" s="153"/>
      <c r="BS3562" s="153"/>
      <c r="BT3562" s="153"/>
      <c r="BU3562" s="153"/>
      <c r="BV3562" s="153"/>
      <c r="BW3562" s="153"/>
      <c r="BX3562" s="153"/>
      <c r="BY3562" s="153"/>
      <c r="BZ3562" s="153"/>
      <c r="CA3562" s="152"/>
      <c r="CB3562" s="152"/>
    </row>
    <row r="3563" spans="1:80" s="87" customFormat="1" ht="15" x14ac:dyDescent="0.25">
      <c r="A3563" s="152"/>
      <c r="B3563" s="683"/>
      <c r="C3563" s="683"/>
      <c r="D3563" s="698"/>
      <c r="E3563" s="215"/>
      <c r="F3563" s="215"/>
      <c r="G3563" s="153"/>
      <c r="H3563" s="153"/>
      <c r="I3563" s="165">
        <v>23</v>
      </c>
      <c r="J3563" s="165">
        <v>20</v>
      </c>
      <c r="K3563" s="150">
        <v>1</v>
      </c>
      <c r="L3563" s="658">
        <v>7.666666666666667</v>
      </c>
      <c r="M3563" s="663">
        <v>35570</v>
      </c>
      <c r="N3563" s="600">
        <v>469.99099999999999</v>
      </c>
      <c r="O3563" s="604">
        <v>8.9633409999999998</v>
      </c>
      <c r="P3563" s="150"/>
      <c r="Q3563" s="250">
        <v>0.28699999999999998</v>
      </c>
      <c r="R3563" s="250">
        <v>0.153</v>
      </c>
      <c r="S3563" s="250">
        <v>0.11199999999999999</v>
      </c>
      <c r="T3563" s="250">
        <v>7.2999999999999995E-2</v>
      </c>
      <c r="U3563" s="250">
        <v>6.5000000000000002E-2</v>
      </c>
      <c r="V3563" s="250">
        <v>9.1999999999999998E-2</v>
      </c>
      <c r="W3563" s="250">
        <v>0.115</v>
      </c>
      <c r="X3563" s="250">
        <v>9.6999999999999989E-2</v>
      </c>
      <c r="Y3563" s="250">
        <v>5.0000000000000001E-3</v>
      </c>
      <c r="Z3563" s="150">
        <v>77</v>
      </c>
      <c r="AA3563" s="150">
        <v>11.11</v>
      </c>
      <c r="AB3563" s="152"/>
      <c r="AC3563" s="152"/>
      <c r="AD3563" s="223">
        <v>87.901436000000004</v>
      </c>
      <c r="AE3563" s="223">
        <v>2.1747041280000001</v>
      </c>
      <c r="AF3563" s="223">
        <v>191.15355740000001</v>
      </c>
      <c r="AG3563" s="223">
        <v>2.5476187700000001</v>
      </c>
      <c r="AH3563" s="341"/>
      <c r="AI3563" s="218"/>
      <c r="AJ3563" s="218"/>
      <c r="AK3563" s="153"/>
      <c r="AL3563" s="152"/>
      <c r="AM3563" s="152"/>
      <c r="AN3563" s="152"/>
      <c r="AO3563" s="152"/>
      <c r="AP3563" s="152"/>
      <c r="AQ3563" s="152"/>
      <c r="AR3563" s="152"/>
      <c r="AS3563" s="152"/>
      <c r="AT3563" s="152"/>
      <c r="AU3563" s="153"/>
      <c r="AV3563" s="479"/>
      <c r="AW3563" s="479"/>
      <c r="AX3563" s="442"/>
      <c r="AY3563" s="153"/>
      <c r="AZ3563" s="152"/>
      <c r="BA3563" s="152"/>
      <c r="BB3563" s="152"/>
      <c r="BC3563" s="152"/>
      <c r="BD3563" s="152"/>
      <c r="BE3563" s="152"/>
      <c r="BF3563" s="152"/>
      <c r="BG3563" s="152"/>
      <c r="BH3563" s="152"/>
      <c r="BI3563" s="153"/>
      <c r="BJ3563" s="153"/>
      <c r="BK3563" s="153"/>
      <c r="BL3563" s="153"/>
      <c r="BM3563" s="153"/>
      <c r="BN3563" s="153"/>
      <c r="BO3563" s="153"/>
      <c r="BP3563" s="153"/>
      <c r="BQ3563" s="153"/>
      <c r="BR3563" s="153"/>
      <c r="BS3563" s="153"/>
      <c r="BT3563" s="153"/>
      <c r="BU3563" s="153"/>
      <c r="BV3563" s="153"/>
      <c r="BW3563" s="153"/>
      <c r="BX3563" s="153"/>
      <c r="BY3563" s="153"/>
      <c r="BZ3563" s="153"/>
      <c r="CA3563" s="152"/>
      <c r="CB3563" s="152"/>
    </row>
    <row r="3564" spans="1:80" s="87" customFormat="1" ht="15" x14ac:dyDescent="0.25">
      <c r="A3564" s="152"/>
      <c r="B3564" s="683"/>
      <c r="C3564" s="683"/>
      <c r="D3564" s="698"/>
      <c r="E3564" s="215"/>
      <c r="F3564" s="215"/>
      <c r="G3564" s="153"/>
      <c r="H3564" s="153"/>
      <c r="I3564" s="165">
        <v>18</v>
      </c>
      <c r="J3564" s="165">
        <v>20</v>
      </c>
      <c r="K3564" s="150">
        <v>1</v>
      </c>
      <c r="L3564" s="658">
        <v>6</v>
      </c>
      <c r="M3564" s="663">
        <v>35571</v>
      </c>
      <c r="N3564" s="600">
        <v>455.834</v>
      </c>
      <c r="O3564" s="604">
        <v>11.0205</v>
      </c>
      <c r="P3564" s="150"/>
      <c r="Q3564" s="250">
        <v>0.25</v>
      </c>
      <c r="R3564" s="250">
        <v>0.16699999999999998</v>
      </c>
      <c r="S3564" s="250">
        <v>0.14599999999999999</v>
      </c>
      <c r="T3564" s="250">
        <v>0.129</v>
      </c>
      <c r="U3564" s="250">
        <v>8.5999999999999993E-2</v>
      </c>
      <c r="V3564" s="250">
        <v>7.0999999999999994E-2</v>
      </c>
      <c r="W3564" s="250">
        <v>8.1000000000000003E-2</v>
      </c>
      <c r="X3564" s="250">
        <v>6.4000000000000001E-2</v>
      </c>
      <c r="Y3564" s="250">
        <v>6.9999999999999993E-3</v>
      </c>
      <c r="Z3564" s="150">
        <v>60</v>
      </c>
      <c r="AA3564" s="150">
        <v>10.74</v>
      </c>
      <c r="AB3564" s="152"/>
      <c r="AC3564" s="152"/>
      <c r="AD3564" s="223">
        <v>88.023352000000003</v>
      </c>
      <c r="AE3564" s="223">
        <v>2.0901333069999999</v>
      </c>
      <c r="AF3564" s="223">
        <v>183.97470910000001</v>
      </c>
      <c r="AG3564" s="223">
        <v>2.523911375</v>
      </c>
      <c r="AH3564" s="341"/>
      <c r="AI3564" s="218"/>
      <c r="AJ3564" s="218"/>
      <c r="AK3564" s="153"/>
      <c r="AL3564" s="152"/>
      <c r="AM3564" s="152"/>
      <c r="AN3564" s="152"/>
      <c r="AO3564" s="152"/>
      <c r="AP3564" s="152"/>
      <c r="AQ3564" s="152"/>
      <c r="AR3564" s="152"/>
      <c r="AS3564" s="152"/>
      <c r="AT3564" s="152"/>
      <c r="AU3564" s="153"/>
      <c r="AV3564" s="479"/>
      <c r="AW3564" s="479"/>
      <c r="AX3564" s="442"/>
      <c r="AY3564" s="153"/>
      <c r="AZ3564" s="152"/>
      <c r="BA3564" s="152"/>
      <c r="BB3564" s="152"/>
      <c r="BC3564" s="152"/>
      <c r="BD3564" s="152"/>
      <c r="BE3564" s="152"/>
      <c r="BF3564" s="152"/>
      <c r="BG3564" s="152"/>
      <c r="BH3564" s="152"/>
      <c r="BI3564" s="153"/>
      <c r="BJ3564" s="153"/>
      <c r="BK3564" s="153"/>
      <c r="BL3564" s="153"/>
      <c r="BM3564" s="153"/>
      <c r="BN3564" s="153"/>
      <c r="BO3564" s="153"/>
      <c r="BP3564" s="153"/>
      <c r="BQ3564" s="153"/>
      <c r="BR3564" s="153"/>
      <c r="BS3564" s="153"/>
      <c r="BT3564" s="153"/>
      <c r="BU3564" s="153"/>
      <c r="BV3564" s="153"/>
      <c r="BW3564" s="153"/>
      <c r="BX3564" s="153"/>
      <c r="BY3564" s="153"/>
      <c r="BZ3564" s="153"/>
      <c r="CA3564" s="152"/>
      <c r="CB3564" s="152"/>
    </row>
    <row r="3565" spans="1:80" s="87" customFormat="1" ht="15" x14ac:dyDescent="0.25">
      <c r="A3565" s="152"/>
      <c r="B3565" s="683"/>
      <c r="C3565" s="683"/>
      <c r="D3565" s="698"/>
      <c r="E3565" s="215"/>
      <c r="F3565" s="215"/>
      <c r="G3565" s="153"/>
      <c r="H3565" s="153"/>
      <c r="I3565" s="165">
        <v>18</v>
      </c>
      <c r="J3565" s="165">
        <v>20</v>
      </c>
      <c r="K3565" s="150">
        <v>1</v>
      </c>
      <c r="L3565" s="658">
        <v>6</v>
      </c>
      <c r="M3565" s="663">
        <v>35571</v>
      </c>
      <c r="N3565" s="600">
        <v>455.834</v>
      </c>
      <c r="O3565" s="604">
        <v>8.1341789999999996</v>
      </c>
      <c r="P3565" s="150"/>
      <c r="Q3565" s="250">
        <v>6.2E-2</v>
      </c>
      <c r="R3565" s="250">
        <v>0.14499999999999999</v>
      </c>
      <c r="S3565" s="250">
        <v>0.14300000000000002</v>
      </c>
      <c r="T3565" s="250">
        <v>0.156</v>
      </c>
      <c r="U3565" s="250">
        <v>0.16300000000000001</v>
      </c>
      <c r="V3565" s="250">
        <v>0.122</v>
      </c>
      <c r="W3565" s="250">
        <v>0.11199999999999999</v>
      </c>
      <c r="X3565" s="250">
        <v>8.900000000000001E-2</v>
      </c>
      <c r="Y3565" s="250">
        <v>9.0000000000000011E-3</v>
      </c>
      <c r="Z3565" s="150">
        <v>36</v>
      </c>
      <c r="AA3565" s="150">
        <v>4.09</v>
      </c>
      <c r="AB3565" s="152"/>
      <c r="AC3565" s="152"/>
      <c r="AD3565" s="223">
        <v>88.023352000000003</v>
      </c>
      <c r="AE3565" s="223">
        <v>2.0901333069999999</v>
      </c>
      <c r="AF3565" s="223">
        <v>183.97470910000001</v>
      </c>
      <c r="AG3565" s="223">
        <v>2.523911375</v>
      </c>
      <c r="AH3565" s="341"/>
      <c r="AI3565" s="218"/>
      <c r="AJ3565" s="218"/>
      <c r="AK3565" s="153"/>
      <c r="AL3565" s="152"/>
      <c r="AM3565" s="152"/>
      <c r="AN3565" s="152"/>
      <c r="AO3565" s="152"/>
      <c r="AP3565" s="152"/>
      <c r="AQ3565" s="152"/>
      <c r="AR3565" s="152"/>
      <c r="AS3565" s="152"/>
      <c r="AT3565" s="152"/>
      <c r="AU3565" s="153"/>
      <c r="AV3565" s="479"/>
      <c r="AW3565" s="479"/>
      <c r="AX3565" s="442"/>
      <c r="AY3565" s="153"/>
      <c r="AZ3565" s="152"/>
      <c r="BA3565" s="152"/>
      <c r="BB3565" s="152"/>
      <c r="BC3565" s="152"/>
      <c r="BD3565" s="152"/>
      <c r="BE3565" s="152"/>
      <c r="BF3565" s="152"/>
      <c r="BG3565" s="152"/>
      <c r="BH3565" s="152"/>
      <c r="BI3565" s="153"/>
      <c r="BJ3565" s="153"/>
      <c r="BK3565" s="153"/>
      <c r="BL3565" s="153"/>
      <c r="BM3565" s="153"/>
      <c r="BN3565" s="153"/>
      <c r="BO3565" s="153"/>
      <c r="BP3565" s="153"/>
      <c r="BQ3565" s="153"/>
      <c r="BR3565" s="153"/>
      <c r="BS3565" s="153"/>
      <c r="BT3565" s="153"/>
      <c r="BU3565" s="153"/>
      <c r="BV3565" s="153"/>
      <c r="BW3565" s="153"/>
      <c r="BX3565" s="153"/>
      <c r="BY3565" s="153"/>
      <c r="BZ3565" s="153"/>
      <c r="CA3565" s="152"/>
      <c r="CB3565" s="152"/>
    </row>
    <row r="3566" spans="1:80" s="87" customFormat="1" ht="15" x14ac:dyDescent="0.25">
      <c r="A3566" s="152"/>
      <c r="B3566" s="683"/>
      <c r="C3566" s="683"/>
      <c r="D3566" s="698"/>
      <c r="E3566" s="215"/>
      <c r="F3566" s="215"/>
      <c r="G3566" s="153"/>
      <c r="H3566" s="153"/>
      <c r="I3566" s="165">
        <v>19</v>
      </c>
      <c r="J3566" s="165">
        <v>20</v>
      </c>
      <c r="K3566" s="150">
        <v>1</v>
      </c>
      <c r="L3566" s="658">
        <v>6.333333333333333</v>
      </c>
      <c r="M3566" s="663">
        <v>35572</v>
      </c>
      <c r="N3566" s="600">
        <v>450.17200000000003</v>
      </c>
      <c r="O3566" s="604">
        <v>12.17503</v>
      </c>
      <c r="P3566" s="150"/>
      <c r="Q3566" s="250">
        <v>0.14099999999999999</v>
      </c>
      <c r="R3566" s="250">
        <v>0.14800000000000002</v>
      </c>
      <c r="S3566" s="250">
        <v>0.184</v>
      </c>
      <c r="T3566" s="250">
        <v>0.13900000000000001</v>
      </c>
      <c r="U3566" s="250">
        <v>0.13400000000000001</v>
      </c>
      <c r="V3566" s="250">
        <v>0.10400000000000001</v>
      </c>
      <c r="W3566" s="250">
        <v>8.5000000000000006E-2</v>
      </c>
      <c r="X3566" s="250">
        <v>6.0999999999999999E-2</v>
      </c>
      <c r="Y3566" s="250">
        <v>4.0000000000000001E-3</v>
      </c>
      <c r="Z3566" s="150">
        <v>65</v>
      </c>
      <c r="AA3566" s="150">
        <v>6.99</v>
      </c>
      <c r="AB3566" s="152"/>
      <c r="AC3566" s="152"/>
      <c r="AD3566" s="223"/>
      <c r="AE3566" s="223"/>
      <c r="AF3566" s="223"/>
      <c r="AG3566" s="223"/>
      <c r="AH3566" s="341"/>
      <c r="AI3566" s="218"/>
      <c r="AJ3566" s="218"/>
      <c r="AK3566" s="153"/>
      <c r="AL3566" s="152"/>
      <c r="AM3566" s="152"/>
      <c r="AN3566" s="152"/>
      <c r="AO3566" s="152"/>
      <c r="AP3566" s="152"/>
      <c r="AQ3566" s="152"/>
      <c r="AR3566" s="152"/>
      <c r="AS3566" s="152"/>
      <c r="AT3566" s="152"/>
      <c r="AU3566" s="153"/>
      <c r="AV3566" s="479"/>
      <c r="AW3566" s="479"/>
      <c r="AX3566" s="442"/>
      <c r="AY3566" s="153"/>
      <c r="AZ3566" s="152"/>
      <c r="BA3566" s="152"/>
      <c r="BB3566" s="152"/>
      <c r="BC3566" s="152"/>
      <c r="BD3566" s="152"/>
      <c r="BE3566" s="152"/>
      <c r="BF3566" s="152"/>
      <c r="BG3566" s="152"/>
      <c r="BH3566" s="152"/>
      <c r="BI3566" s="153"/>
      <c r="BJ3566" s="153"/>
      <c r="BK3566" s="153"/>
      <c r="BL3566" s="153"/>
      <c r="BM3566" s="153"/>
      <c r="BN3566" s="153"/>
      <c r="BO3566" s="153"/>
      <c r="BP3566" s="153"/>
      <c r="BQ3566" s="153"/>
      <c r="BR3566" s="153"/>
      <c r="BS3566" s="153"/>
      <c r="BT3566" s="153"/>
      <c r="BU3566" s="153"/>
      <c r="BV3566" s="153"/>
      <c r="BW3566" s="153"/>
      <c r="BX3566" s="153"/>
      <c r="BY3566" s="153"/>
      <c r="BZ3566" s="153"/>
      <c r="CA3566" s="152"/>
      <c r="CB3566" s="152"/>
    </row>
    <row r="3567" spans="1:80" s="87" customFormat="1" ht="15" x14ac:dyDescent="0.25">
      <c r="A3567" s="152"/>
      <c r="B3567" s="683"/>
      <c r="C3567" s="683"/>
      <c r="D3567" s="698"/>
      <c r="E3567" s="215"/>
      <c r="F3567" s="215"/>
      <c r="G3567" s="153"/>
      <c r="H3567" s="153"/>
      <c r="I3567" s="165">
        <v>19</v>
      </c>
      <c r="J3567" s="165">
        <v>20</v>
      </c>
      <c r="K3567" s="150">
        <v>1</v>
      </c>
      <c r="L3567" s="658">
        <v>6.333333333333333</v>
      </c>
      <c r="M3567" s="663">
        <v>35572</v>
      </c>
      <c r="N3567" s="600">
        <v>450.17200000000003</v>
      </c>
      <c r="O3567" s="604">
        <v>3.6525089999999998</v>
      </c>
      <c r="P3567" s="150"/>
      <c r="Q3567" s="250">
        <v>0.11599999999999999</v>
      </c>
      <c r="R3567" s="250">
        <v>0.222</v>
      </c>
      <c r="S3567" s="250">
        <v>0.06</v>
      </c>
      <c r="T3567" s="250">
        <v>5.5999999999999994E-2</v>
      </c>
      <c r="U3567" s="250">
        <v>6.4000000000000001E-2</v>
      </c>
      <c r="V3567" s="250">
        <v>9.1999999999999998E-2</v>
      </c>
      <c r="W3567" s="250">
        <v>0.18600000000000003</v>
      </c>
      <c r="X3567" s="250">
        <v>0.19399999999999998</v>
      </c>
      <c r="Y3567" s="250">
        <v>9.0000000000000011E-3</v>
      </c>
      <c r="Z3567" s="150"/>
      <c r="AA3567" s="150">
        <v>2.46</v>
      </c>
      <c r="AB3567" s="152"/>
      <c r="AC3567" s="152"/>
      <c r="AD3567" s="223"/>
      <c r="AE3567" s="223"/>
      <c r="AF3567" s="223"/>
      <c r="AG3567" s="223"/>
      <c r="AH3567" s="341"/>
      <c r="AI3567" s="218"/>
      <c r="AJ3567" s="218"/>
      <c r="AK3567" s="153"/>
      <c r="AL3567" s="152"/>
      <c r="AM3567" s="152"/>
      <c r="AN3567" s="152"/>
      <c r="AO3567" s="152"/>
      <c r="AP3567" s="152"/>
      <c r="AQ3567" s="152"/>
      <c r="AR3567" s="152"/>
      <c r="AS3567" s="152"/>
      <c r="AT3567" s="152"/>
      <c r="AU3567" s="153"/>
      <c r="AV3567" s="479"/>
      <c r="AW3567" s="479"/>
      <c r="AX3567" s="442"/>
      <c r="AY3567" s="153"/>
      <c r="AZ3567" s="152"/>
      <c r="BA3567" s="152"/>
      <c r="BB3567" s="152"/>
      <c r="BC3567" s="152"/>
      <c r="BD3567" s="152"/>
      <c r="BE3567" s="152"/>
      <c r="BF3567" s="152"/>
      <c r="BG3567" s="152"/>
      <c r="BH3567" s="152"/>
      <c r="BI3567" s="153"/>
      <c r="BJ3567" s="153"/>
      <c r="BK3567" s="153"/>
      <c r="BL3567" s="153"/>
      <c r="BM3567" s="153"/>
      <c r="BN3567" s="153"/>
      <c r="BO3567" s="153"/>
      <c r="BP3567" s="153"/>
      <c r="BQ3567" s="153"/>
      <c r="BR3567" s="153"/>
      <c r="BS3567" s="153"/>
      <c r="BT3567" s="153"/>
      <c r="BU3567" s="153"/>
      <c r="BV3567" s="153"/>
      <c r="BW3567" s="153"/>
      <c r="BX3567" s="153"/>
      <c r="BY3567" s="153"/>
      <c r="BZ3567" s="153"/>
      <c r="CA3567" s="152"/>
      <c r="CB3567" s="152"/>
    </row>
    <row r="3568" spans="1:80" s="87" customFormat="1" ht="15" x14ac:dyDescent="0.25">
      <c r="A3568" s="152"/>
      <c r="B3568" s="683"/>
      <c r="C3568" s="683"/>
      <c r="D3568" s="698"/>
      <c r="E3568" s="215"/>
      <c r="F3568" s="215"/>
      <c r="G3568" s="153"/>
      <c r="H3568" s="153"/>
      <c r="I3568" s="165">
        <v>19</v>
      </c>
      <c r="J3568" s="165">
        <v>20</v>
      </c>
      <c r="K3568" s="150">
        <v>1</v>
      </c>
      <c r="L3568" s="658">
        <v>6.333333333333333</v>
      </c>
      <c r="M3568" s="663">
        <v>35573</v>
      </c>
      <c r="N3568" s="600">
        <v>447.34100000000001</v>
      </c>
      <c r="O3568" s="604">
        <v>20.361689999999999</v>
      </c>
      <c r="P3568" s="150"/>
      <c r="Q3568" s="250">
        <v>0.49200000000000005</v>
      </c>
      <c r="R3568" s="250">
        <v>0.20600000000000002</v>
      </c>
      <c r="S3568" s="250">
        <v>9.9000000000000005E-2</v>
      </c>
      <c r="T3568" s="250">
        <v>5.0999999999999997E-2</v>
      </c>
      <c r="U3568" s="250">
        <v>3.4000000000000002E-2</v>
      </c>
      <c r="V3568" s="250">
        <v>3.2000000000000001E-2</v>
      </c>
      <c r="W3568" s="250">
        <v>4.8000000000000001E-2</v>
      </c>
      <c r="X3568" s="250">
        <v>3.5000000000000003E-2</v>
      </c>
      <c r="Y3568" s="250">
        <v>2E-3</v>
      </c>
      <c r="Z3568" s="150">
        <v>60</v>
      </c>
      <c r="AA3568" s="150">
        <v>31.26</v>
      </c>
      <c r="AB3568" s="152"/>
      <c r="AC3568" s="152"/>
      <c r="AD3568" s="223">
        <v>87.688083000000006</v>
      </c>
      <c r="AE3568" s="223">
        <v>2.1164577339999999</v>
      </c>
      <c r="AF3568" s="223">
        <v>185.5822398</v>
      </c>
      <c r="AG3568" s="223">
        <v>2.5173054160000001</v>
      </c>
      <c r="AH3568" s="341"/>
      <c r="AI3568" s="218"/>
      <c r="AJ3568" s="218"/>
      <c r="AK3568" s="153"/>
      <c r="AL3568" s="152"/>
      <c r="AM3568" s="152"/>
      <c r="AN3568" s="152"/>
      <c r="AO3568" s="152"/>
      <c r="AP3568" s="152"/>
      <c r="AQ3568" s="152"/>
      <c r="AR3568" s="152"/>
      <c r="AS3568" s="152"/>
      <c r="AT3568" s="152"/>
      <c r="AU3568" s="153"/>
      <c r="AV3568" s="479"/>
      <c r="AW3568" s="479"/>
      <c r="AX3568" s="442"/>
      <c r="AY3568" s="153"/>
      <c r="AZ3568" s="152"/>
      <c r="BA3568" s="152"/>
      <c r="BB3568" s="152"/>
      <c r="BC3568" s="152"/>
      <c r="BD3568" s="152"/>
      <c r="BE3568" s="152"/>
      <c r="BF3568" s="152"/>
      <c r="BG3568" s="152"/>
      <c r="BH3568" s="152"/>
      <c r="BI3568" s="153"/>
      <c r="BJ3568" s="153"/>
      <c r="BK3568" s="153"/>
      <c r="BL3568" s="153"/>
      <c r="BM3568" s="153"/>
      <c r="BN3568" s="153"/>
      <c r="BO3568" s="153"/>
      <c r="BP3568" s="153"/>
      <c r="BQ3568" s="153"/>
      <c r="BR3568" s="153"/>
      <c r="BS3568" s="153"/>
      <c r="BT3568" s="153"/>
      <c r="BU3568" s="153"/>
      <c r="BV3568" s="153"/>
      <c r="BW3568" s="153"/>
      <c r="BX3568" s="153"/>
      <c r="BY3568" s="153"/>
      <c r="BZ3568" s="153"/>
      <c r="CA3568" s="152"/>
      <c r="CB3568" s="152"/>
    </row>
    <row r="3569" spans="1:80" s="87" customFormat="1" ht="15" x14ac:dyDescent="0.25">
      <c r="A3569" s="152"/>
      <c r="B3569" s="683"/>
      <c r="C3569" s="683"/>
      <c r="D3569" s="698"/>
      <c r="E3569" s="215"/>
      <c r="F3569" s="215"/>
      <c r="G3569" s="153"/>
      <c r="H3569" s="153"/>
      <c r="I3569" s="165">
        <v>19</v>
      </c>
      <c r="J3569" s="165">
        <v>20</v>
      </c>
      <c r="K3569" s="150">
        <v>1</v>
      </c>
      <c r="L3569" s="658">
        <v>6.333333333333333</v>
      </c>
      <c r="M3569" s="663">
        <v>35573</v>
      </c>
      <c r="N3569" s="600">
        <v>447.34100000000001</v>
      </c>
      <c r="O3569" s="604">
        <v>8.4805379999999992</v>
      </c>
      <c r="P3569" s="150"/>
      <c r="Q3569" s="250">
        <v>0.28199999999999997</v>
      </c>
      <c r="R3569" s="250">
        <v>0.18600000000000003</v>
      </c>
      <c r="S3569" s="250">
        <v>7.9000000000000001E-2</v>
      </c>
      <c r="T3569" s="250">
        <v>6.8000000000000005E-2</v>
      </c>
      <c r="U3569" s="250">
        <v>8.900000000000001E-2</v>
      </c>
      <c r="V3569" s="250">
        <v>0.1</v>
      </c>
      <c r="W3569" s="250">
        <v>0.11</v>
      </c>
      <c r="X3569" s="250">
        <v>8.199999999999999E-2</v>
      </c>
      <c r="Y3569" s="250">
        <v>6.0000000000000001E-3</v>
      </c>
      <c r="Z3569" s="150">
        <v>64</v>
      </c>
      <c r="AA3569" s="150">
        <v>11.87</v>
      </c>
      <c r="AB3569" s="152"/>
      <c r="AC3569" s="152"/>
      <c r="AD3569" s="223">
        <v>87.688083000000006</v>
      </c>
      <c r="AE3569" s="223">
        <v>2.1164577339999999</v>
      </c>
      <c r="AF3569" s="223">
        <v>185.5822398</v>
      </c>
      <c r="AG3569" s="223">
        <v>2.5173054160000001</v>
      </c>
      <c r="AH3569" s="341"/>
      <c r="AI3569" s="218"/>
      <c r="AJ3569" s="218"/>
      <c r="AK3569" s="153"/>
      <c r="AL3569" s="152"/>
      <c r="AM3569" s="152"/>
      <c r="AN3569" s="152"/>
      <c r="AO3569" s="152"/>
      <c r="AP3569" s="152"/>
      <c r="AQ3569" s="152"/>
      <c r="AR3569" s="152"/>
      <c r="AS3569" s="152"/>
      <c r="AT3569" s="152"/>
      <c r="AU3569" s="153"/>
      <c r="AV3569" s="479"/>
      <c r="AW3569" s="479"/>
      <c r="AX3569" s="442"/>
      <c r="AY3569" s="153"/>
      <c r="AZ3569" s="152"/>
      <c r="BA3569" s="152"/>
      <c r="BB3569" s="152"/>
      <c r="BC3569" s="152"/>
      <c r="BD3569" s="152"/>
      <c r="BE3569" s="152"/>
      <c r="BF3569" s="152"/>
      <c r="BG3569" s="152"/>
      <c r="BH3569" s="152"/>
      <c r="BI3569" s="153"/>
      <c r="BJ3569" s="153"/>
      <c r="BK3569" s="153"/>
      <c r="BL3569" s="153"/>
      <c r="BM3569" s="153"/>
      <c r="BN3569" s="153"/>
      <c r="BO3569" s="153"/>
      <c r="BP3569" s="153"/>
      <c r="BQ3569" s="153"/>
      <c r="BR3569" s="153"/>
      <c r="BS3569" s="153"/>
      <c r="BT3569" s="153"/>
      <c r="BU3569" s="153"/>
      <c r="BV3569" s="153"/>
      <c r="BW3569" s="153"/>
      <c r="BX3569" s="153"/>
      <c r="BY3569" s="153"/>
      <c r="BZ3569" s="153"/>
      <c r="CA3569" s="152"/>
      <c r="CB3569" s="152"/>
    </row>
    <row r="3570" spans="1:80" s="87" customFormat="1" ht="15" x14ac:dyDescent="0.25">
      <c r="A3570" s="152"/>
      <c r="B3570" s="683"/>
      <c r="C3570" s="683"/>
      <c r="D3570" s="698"/>
      <c r="E3570" s="215"/>
      <c r="F3570" s="215"/>
      <c r="G3570" s="153"/>
      <c r="H3570" s="153"/>
      <c r="I3570" s="165">
        <v>18</v>
      </c>
      <c r="J3570" s="165">
        <v>20</v>
      </c>
      <c r="K3570" s="150">
        <v>1</v>
      </c>
      <c r="L3570" s="658">
        <v>6</v>
      </c>
      <c r="M3570" s="663">
        <v>35578</v>
      </c>
      <c r="N3570" s="600">
        <v>342.584</v>
      </c>
      <c r="O3570" s="604">
        <v>0.97400200000000003</v>
      </c>
      <c r="P3570" s="150"/>
      <c r="Q3570" s="250"/>
      <c r="R3570" s="250">
        <v>0.14000000000000001</v>
      </c>
      <c r="S3570" s="250">
        <v>0.129</v>
      </c>
      <c r="T3570" s="250">
        <v>7.0999999999999994E-2</v>
      </c>
      <c r="U3570" s="250">
        <v>8.3000000000000004E-2</v>
      </c>
      <c r="V3570" s="250">
        <v>0.115</v>
      </c>
      <c r="W3570" s="250">
        <v>0.19399999999999998</v>
      </c>
      <c r="X3570" s="250">
        <v>0.25</v>
      </c>
      <c r="Y3570" s="250">
        <v>1.8000000000000002E-2</v>
      </c>
      <c r="Z3570" s="150">
        <v>17</v>
      </c>
      <c r="AA3570" s="150">
        <v>1.26</v>
      </c>
      <c r="AB3570" s="152"/>
      <c r="AC3570" s="152"/>
      <c r="AD3570" s="223">
        <v>84.701141000000007</v>
      </c>
      <c r="AE3570" s="223">
        <v>1.7393539440000001</v>
      </c>
      <c r="AF3570" s="223">
        <v>147.32059459999999</v>
      </c>
      <c r="AG3570" s="223">
        <v>2.3062488179999998</v>
      </c>
      <c r="AH3570" s="341"/>
      <c r="AI3570" s="218"/>
      <c r="AJ3570" s="218"/>
      <c r="AK3570" s="153"/>
      <c r="AL3570" s="152"/>
      <c r="AM3570" s="152"/>
      <c r="AN3570" s="152"/>
      <c r="AO3570" s="152"/>
      <c r="AP3570" s="152"/>
      <c r="AQ3570" s="152"/>
      <c r="AR3570" s="152"/>
      <c r="AS3570" s="152"/>
      <c r="AT3570" s="152"/>
      <c r="AU3570" s="153"/>
      <c r="AV3570" s="479"/>
      <c r="AW3570" s="479"/>
      <c r="AX3570" s="442"/>
      <c r="AY3570" s="153"/>
      <c r="AZ3570" s="152"/>
      <c r="BA3570" s="152"/>
      <c r="BB3570" s="152"/>
      <c r="BC3570" s="152"/>
      <c r="BD3570" s="152"/>
      <c r="BE3570" s="152"/>
      <c r="BF3570" s="152"/>
      <c r="BG3570" s="152"/>
      <c r="BH3570" s="152"/>
      <c r="BI3570" s="153"/>
      <c r="BJ3570" s="153"/>
      <c r="BK3570" s="153"/>
      <c r="BL3570" s="153"/>
      <c r="BM3570" s="153"/>
      <c r="BN3570" s="153"/>
      <c r="BO3570" s="153"/>
      <c r="BP3570" s="153"/>
      <c r="BQ3570" s="153"/>
      <c r="BR3570" s="153"/>
      <c r="BS3570" s="153"/>
      <c r="BT3570" s="153"/>
      <c r="BU3570" s="153"/>
      <c r="BV3570" s="153"/>
      <c r="BW3570" s="153"/>
      <c r="BX3570" s="153"/>
      <c r="BY3570" s="153"/>
      <c r="BZ3570" s="153"/>
      <c r="CA3570" s="152"/>
      <c r="CB3570" s="152"/>
    </row>
    <row r="3571" spans="1:80" s="87" customFormat="1" ht="15" x14ac:dyDescent="0.25">
      <c r="A3571" s="152"/>
      <c r="B3571" s="683"/>
      <c r="C3571" s="683"/>
      <c r="D3571" s="698"/>
      <c r="E3571" s="215"/>
      <c r="F3571" s="215"/>
      <c r="G3571" s="153"/>
      <c r="H3571" s="153"/>
      <c r="I3571" s="165">
        <v>18</v>
      </c>
      <c r="J3571" s="165">
        <v>20</v>
      </c>
      <c r="K3571" s="150">
        <v>1</v>
      </c>
      <c r="L3571" s="658">
        <v>6</v>
      </c>
      <c r="M3571" s="663">
        <v>35578</v>
      </c>
      <c r="N3571" s="600">
        <v>342.584</v>
      </c>
      <c r="O3571" s="604">
        <v>2.3825270000000001</v>
      </c>
      <c r="P3571" s="150"/>
      <c r="Q3571" s="250">
        <v>0.27100000000000002</v>
      </c>
      <c r="R3571" s="250">
        <v>5.7999999999999996E-2</v>
      </c>
      <c r="S3571" s="250">
        <v>0.13900000000000001</v>
      </c>
      <c r="T3571" s="250">
        <v>9.5000000000000001E-2</v>
      </c>
      <c r="U3571" s="250">
        <v>6.8000000000000005E-2</v>
      </c>
      <c r="V3571" s="250">
        <v>8.5000000000000006E-2</v>
      </c>
      <c r="W3571" s="250">
        <v>0.14199999999999999</v>
      </c>
      <c r="X3571" s="250">
        <v>0.13200000000000001</v>
      </c>
      <c r="Y3571" s="250">
        <v>9.0000000000000011E-3</v>
      </c>
      <c r="Z3571" s="150">
        <v>55</v>
      </c>
      <c r="AA3571" s="150">
        <v>6.38</v>
      </c>
      <c r="AB3571" s="152"/>
      <c r="AC3571" s="152"/>
      <c r="AD3571" s="223">
        <v>84.701141000000007</v>
      </c>
      <c r="AE3571" s="223">
        <v>1.7393539440000001</v>
      </c>
      <c r="AF3571" s="223">
        <v>147.32059459999999</v>
      </c>
      <c r="AG3571" s="223">
        <v>2.3062488179999998</v>
      </c>
      <c r="AH3571" s="341"/>
      <c r="AI3571" s="218"/>
      <c r="AJ3571" s="218"/>
      <c r="AK3571" s="153"/>
      <c r="AL3571" s="152"/>
      <c r="AM3571" s="152"/>
      <c r="AN3571" s="152"/>
      <c r="AO3571" s="152"/>
      <c r="AP3571" s="152"/>
      <c r="AQ3571" s="152"/>
      <c r="AR3571" s="152"/>
      <c r="AS3571" s="152"/>
      <c r="AT3571" s="152"/>
      <c r="AU3571" s="153"/>
      <c r="AV3571" s="479"/>
      <c r="AW3571" s="479"/>
      <c r="AX3571" s="442"/>
      <c r="AY3571" s="153"/>
      <c r="AZ3571" s="152"/>
      <c r="BA3571" s="152"/>
      <c r="BB3571" s="152"/>
      <c r="BC3571" s="152"/>
      <c r="BD3571" s="152"/>
      <c r="BE3571" s="152"/>
      <c r="BF3571" s="152"/>
      <c r="BG3571" s="152"/>
      <c r="BH3571" s="152"/>
      <c r="BI3571" s="153"/>
      <c r="BJ3571" s="153"/>
      <c r="BK3571" s="153"/>
      <c r="BL3571" s="153"/>
      <c r="BM3571" s="153"/>
      <c r="BN3571" s="153"/>
      <c r="BO3571" s="153"/>
      <c r="BP3571" s="153"/>
      <c r="BQ3571" s="153"/>
      <c r="BR3571" s="153"/>
      <c r="BS3571" s="153"/>
      <c r="BT3571" s="153"/>
      <c r="BU3571" s="153"/>
      <c r="BV3571" s="153"/>
      <c r="BW3571" s="153"/>
      <c r="BX3571" s="153"/>
      <c r="BY3571" s="153"/>
      <c r="BZ3571" s="153"/>
      <c r="CA3571" s="152"/>
      <c r="CB3571" s="152"/>
    </row>
    <row r="3572" spans="1:80" s="87" customFormat="1" ht="15" x14ac:dyDescent="0.25">
      <c r="A3572" s="152"/>
      <c r="B3572" s="683"/>
      <c r="C3572" s="683"/>
      <c r="D3572" s="698"/>
      <c r="E3572" s="215"/>
      <c r="F3572" s="215"/>
      <c r="G3572" s="153"/>
      <c r="H3572" s="153"/>
      <c r="I3572" s="165">
        <v>18</v>
      </c>
      <c r="J3572" s="165">
        <v>20</v>
      </c>
      <c r="K3572" s="150">
        <v>1</v>
      </c>
      <c r="L3572" s="658">
        <v>6</v>
      </c>
      <c r="M3572" s="663">
        <v>35579</v>
      </c>
      <c r="N3572" s="600">
        <v>339.75200000000001</v>
      </c>
      <c r="O3572" s="604">
        <v>2.0256729999999998</v>
      </c>
      <c r="P3572" s="150"/>
      <c r="Q3572" s="250">
        <v>0.23399999999999999</v>
      </c>
      <c r="R3572" s="250">
        <v>0.16399999999999998</v>
      </c>
      <c r="S3572" s="250">
        <v>0.15</v>
      </c>
      <c r="T3572" s="250">
        <v>9.3000000000000013E-2</v>
      </c>
      <c r="U3572" s="250">
        <v>7.5999999999999998E-2</v>
      </c>
      <c r="V3572" s="250">
        <v>6.6000000000000003E-2</v>
      </c>
      <c r="W3572" s="250">
        <v>0.09</v>
      </c>
      <c r="X3572" s="250">
        <v>0.11599999999999999</v>
      </c>
      <c r="Y3572" s="250">
        <v>0.01</v>
      </c>
      <c r="Z3572" s="150">
        <v>42</v>
      </c>
      <c r="AA3572" s="150">
        <v>10.029999999999999</v>
      </c>
      <c r="AB3572" s="152"/>
      <c r="AC3572" s="152"/>
      <c r="AD3572" s="223"/>
      <c r="AE3572" s="223"/>
      <c r="AF3572" s="223"/>
      <c r="AG3572" s="223"/>
      <c r="AH3572" s="341"/>
      <c r="AI3572" s="218"/>
      <c r="AJ3572" s="218"/>
      <c r="AK3572" s="153"/>
      <c r="AL3572" s="152"/>
      <c r="AM3572" s="152"/>
      <c r="AN3572" s="152"/>
      <c r="AO3572" s="152"/>
      <c r="AP3572" s="152"/>
      <c r="AQ3572" s="152"/>
      <c r="AR3572" s="152"/>
      <c r="AS3572" s="152"/>
      <c r="AT3572" s="152"/>
      <c r="AU3572" s="153"/>
      <c r="AV3572" s="479"/>
      <c r="AW3572" s="479"/>
      <c r="AX3572" s="442"/>
      <c r="AY3572" s="153"/>
      <c r="AZ3572" s="152"/>
      <c r="BA3572" s="152"/>
      <c r="BB3572" s="152"/>
      <c r="BC3572" s="152"/>
      <c r="BD3572" s="152"/>
      <c r="BE3572" s="152"/>
      <c r="BF3572" s="152"/>
      <c r="BG3572" s="152"/>
      <c r="BH3572" s="152"/>
      <c r="BI3572" s="153"/>
      <c r="BJ3572" s="153"/>
      <c r="BK3572" s="153"/>
      <c r="BL3572" s="153"/>
      <c r="BM3572" s="153"/>
      <c r="BN3572" s="153"/>
      <c r="BO3572" s="153"/>
      <c r="BP3572" s="153"/>
      <c r="BQ3572" s="153"/>
      <c r="BR3572" s="153"/>
      <c r="BS3572" s="153"/>
      <c r="BT3572" s="153"/>
      <c r="BU3572" s="153"/>
      <c r="BV3572" s="153"/>
      <c r="BW3572" s="153"/>
      <c r="BX3572" s="153"/>
      <c r="BY3572" s="153"/>
      <c r="BZ3572" s="153"/>
      <c r="CA3572" s="152"/>
      <c r="CB3572" s="152"/>
    </row>
    <row r="3573" spans="1:80" s="87" customFormat="1" ht="15" x14ac:dyDescent="0.25">
      <c r="A3573" s="152"/>
      <c r="B3573" s="683"/>
      <c r="C3573" s="683"/>
      <c r="D3573" s="698"/>
      <c r="E3573" s="215"/>
      <c r="F3573" s="215"/>
      <c r="G3573" s="153"/>
      <c r="H3573" s="153"/>
      <c r="I3573" s="165">
        <v>18</v>
      </c>
      <c r="J3573" s="165">
        <v>20</v>
      </c>
      <c r="K3573" s="150">
        <v>1</v>
      </c>
      <c r="L3573" s="658">
        <v>6</v>
      </c>
      <c r="M3573" s="663">
        <v>35579</v>
      </c>
      <c r="N3573" s="600">
        <v>339.75200000000001</v>
      </c>
      <c r="O3573" s="604">
        <v>1.3959299999999999</v>
      </c>
      <c r="P3573" s="150"/>
      <c r="Q3573" s="250">
        <v>0.129</v>
      </c>
      <c r="R3573" s="250">
        <v>0.13400000000000001</v>
      </c>
      <c r="S3573" s="250">
        <v>0.105</v>
      </c>
      <c r="T3573" s="250">
        <v>6.9000000000000006E-2</v>
      </c>
      <c r="U3573" s="250">
        <v>0.05</v>
      </c>
      <c r="V3573" s="250">
        <v>8.6999999999999994E-2</v>
      </c>
      <c r="W3573" s="250">
        <v>0.188</v>
      </c>
      <c r="X3573" s="250">
        <v>0.223</v>
      </c>
      <c r="Y3573" s="250">
        <v>1.3999999999999999E-2</v>
      </c>
      <c r="Z3573" s="150">
        <v>44</v>
      </c>
      <c r="AA3573" s="150">
        <v>1.82</v>
      </c>
      <c r="AB3573" s="152"/>
      <c r="AC3573" s="152"/>
      <c r="AD3573" s="223"/>
      <c r="AE3573" s="223"/>
      <c r="AF3573" s="223"/>
      <c r="AG3573" s="223"/>
      <c r="AH3573" s="341"/>
      <c r="AI3573" s="218"/>
      <c r="AJ3573" s="218"/>
      <c r="AK3573" s="153"/>
      <c r="AL3573" s="152"/>
      <c r="AM3573" s="152"/>
      <c r="AN3573" s="152"/>
      <c r="AO3573" s="152"/>
      <c r="AP3573" s="152"/>
      <c r="AQ3573" s="152"/>
      <c r="AR3573" s="152"/>
      <c r="AS3573" s="152"/>
      <c r="AT3573" s="152"/>
      <c r="AU3573" s="153"/>
      <c r="AV3573" s="479"/>
      <c r="AW3573" s="479"/>
      <c r="AX3573" s="442"/>
      <c r="AY3573" s="153"/>
      <c r="AZ3573" s="152"/>
      <c r="BA3573" s="152"/>
      <c r="BB3573" s="152"/>
      <c r="BC3573" s="152"/>
      <c r="BD3573" s="152"/>
      <c r="BE3573" s="152"/>
      <c r="BF3573" s="152"/>
      <c r="BG3573" s="152"/>
      <c r="BH3573" s="152"/>
      <c r="BI3573" s="153"/>
      <c r="BJ3573" s="153"/>
      <c r="BK3573" s="153"/>
      <c r="BL3573" s="153"/>
      <c r="BM3573" s="153"/>
      <c r="BN3573" s="153"/>
      <c r="BO3573" s="153"/>
      <c r="BP3573" s="153"/>
      <c r="BQ3573" s="153"/>
      <c r="BR3573" s="153"/>
      <c r="BS3573" s="153"/>
      <c r="BT3573" s="153"/>
      <c r="BU3573" s="153"/>
      <c r="BV3573" s="153"/>
      <c r="BW3573" s="153"/>
      <c r="BX3573" s="153"/>
      <c r="BY3573" s="153"/>
      <c r="BZ3573" s="153"/>
      <c r="CA3573" s="152"/>
      <c r="CB3573" s="152"/>
    </row>
    <row r="3574" spans="1:80" s="87" customFormat="1" ht="15" x14ac:dyDescent="0.25">
      <c r="A3574" s="152"/>
      <c r="B3574" s="683"/>
      <c r="C3574" s="683"/>
      <c r="D3574" s="698"/>
      <c r="E3574" s="215"/>
      <c r="F3574" s="215"/>
      <c r="G3574" s="153"/>
      <c r="H3574" s="153"/>
      <c r="I3574" s="165">
        <v>18</v>
      </c>
      <c r="J3574" s="165">
        <v>20</v>
      </c>
      <c r="K3574" s="150">
        <v>1</v>
      </c>
      <c r="L3574" s="658">
        <v>6</v>
      </c>
      <c r="M3574" s="663">
        <v>35580</v>
      </c>
      <c r="N3574" s="600">
        <v>362.40300000000002</v>
      </c>
      <c r="O3574" s="604">
        <v>3.8099449999999999</v>
      </c>
      <c r="P3574" s="150"/>
      <c r="Q3574" s="250">
        <v>0.19600000000000001</v>
      </c>
      <c r="R3574" s="250">
        <v>0.32899999999999996</v>
      </c>
      <c r="S3574" s="250">
        <v>8.6999999999999994E-2</v>
      </c>
      <c r="T3574" s="250">
        <v>0.06</v>
      </c>
      <c r="U3574" s="250">
        <v>4.4999999999999998E-2</v>
      </c>
      <c r="V3574" s="250">
        <v>6.8000000000000005E-2</v>
      </c>
      <c r="W3574" s="250">
        <v>0.10400000000000001</v>
      </c>
      <c r="X3574" s="250">
        <v>0.10199999999999999</v>
      </c>
      <c r="Y3574" s="250">
        <v>9.0000000000000011E-3</v>
      </c>
      <c r="Z3574" s="150">
        <v>34</v>
      </c>
      <c r="AA3574" s="150">
        <v>16.87</v>
      </c>
      <c r="AB3574" s="152"/>
      <c r="AC3574" s="152"/>
      <c r="AD3574" s="223">
        <v>85.005931000000004</v>
      </c>
      <c r="AE3574" s="223">
        <v>1.823292248</v>
      </c>
      <c r="AF3574" s="223">
        <v>154.98574300000001</v>
      </c>
      <c r="AG3574" s="223">
        <v>2.3931389969999999</v>
      </c>
      <c r="AH3574" s="341"/>
      <c r="AI3574" s="218"/>
      <c r="AJ3574" s="218"/>
      <c r="AK3574" s="153"/>
      <c r="AL3574" s="152"/>
      <c r="AM3574" s="152"/>
      <c r="AN3574" s="152"/>
      <c r="AO3574" s="152"/>
      <c r="AP3574" s="152"/>
      <c r="AQ3574" s="152"/>
      <c r="AR3574" s="152"/>
      <c r="AS3574" s="152"/>
      <c r="AT3574" s="152"/>
      <c r="AU3574" s="153"/>
      <c r="AV3574" s="479"/>
      <c r="AW3574" s="479"/>
      <c r="AX3574" s="442"/>
      <c r="AY3574" s="153"/>
      <c r="AZ3574" s="152"/>
      <c r="BA3574" s="152"/>
      <c r="BB3574" s="152"/>
      <c r="BC3574" s="152"/>
      <c r="BD3574" s="152"/>
      <c r="BE3574" s="152"/>
      <c r="BF3574" s="152"/>
      <c r="BG3574" s="152"/>
      <c r="BH3574" s="152"/>
      <c r="BI3574" s="153"/>
      <c r="BJ3574" s="153"/>
      <c r="BK3574" s="153"/>
      <c r="BL3574" s="153"/>
      <c r="BM3574" s="153"/>
      <c r="BN3574" s="153"/>
      <c r="BO3574" s="153"/>
      <c r="BP3574" s="153"/>
      <c r="BQ3574" s="153"/>
      <c r="BR3574" s="153"/>
      <c r="BS3574" s="153"/>
      <c r="BT3574" s="153"/>
      <c r="BU3574" s="153"/>
      <c r="BV3574" s="153"/>
      <c r="BW3574" s="153"/>
      <c r="BX3574" s="153"/>
      <c r="BY3574" s="153"/>
      <c r="BZ3574" s="153"/>
      <c r="CA3574" s="152"/>
      <c r="CB3574" s="152"/>
    </row>
    <row r="3575" spans="1:80" s="87" customFormat="1" ht="15" x14ac:dyDescent="0.25">
      <c r="A3575" s="152"/>
      <c r="B3575" s="683"/>
      <c r="C3575" s="683"/>
      <c r="D3575" s="698"/>
      <c r="E3575" s="215"/>
      <c r="F3575" s="215"/>
      <c r="G3575" s="153"/>
      <c r="H3575" s="153"/>
      <c r="I3575" s="165">
        <v>18</v>
      </c>
      <c r="J3575" s="165">
        <v>20</v>
      </c>
      <c r="K3575" s="150">
        <v>1</v>
      </c>
      <c r="L3575" s="658">
        <v>6</v>
      </c>
      <c r="M3575" s="663">
        <v>35580</v>
      </c>
      <c r="N3575" s="600">
        <v>362.40300000000002</v>
      </c>
      <c r="O3575" s="604">
        <v>5.8356170000000001</v>
      </c>
      <c r="P3575" s="150"/>
      <c r="Q3575" s="250">
        <v>0.115</v>
      </c>
      <c r="R3575" s="250">
        <v>0.17800000000000002</v>
      </c>
      <c r="S3575" s="250">
        <v>0.18</v>
      </c>
      <c r="T3575" s="250">
        <v>0.115</v>
      </c>
      <c r="U3575" s="250">
        <v>0.107</v>
      </c>
      <c r="V3575" s="250">
        <v>0.11699999999999999</v>
      </c>
      <c r="W3575" s="250">
        <v>0.107</v>
      </c>
      <c r="X3575" s="250">
        <v>7.400000000000001E-2</v>
      </c>
      <c r="Y3575" s="250">
        <v>6.9999999999999993E-3</v>
      </c>
      <c r="Z3575" s="150">
        <v>37</v>
      </c>
      <c r="AA3575" s="150">
        <v>6.8</v>
      </c>
      <c r="AB3575" s="152"/>
      <c r="AC3575" s="152"/>
      <c r="AD3575" s="223">
        <v>85.005931000000004</v>
      </c>
      <c r="AE3575" s="223">
        <v>1.823292248</v>
      </c>
      <c r="AF3575" s="223">
        <v>154.98574300000001</v>
      </c>
      <c r="AG3575" s="223">
        <v>2.3931389969999999</v>
      </c>
      <c r="AH3575" s="341"/>
      <c r="AI3575" s="218"/>
      <c r="AJ3575" s="218"/>
      <c r="AK3575" s="153"/>
      <c r="AL3575" s="152"/>
      <c r="AM3575" s="152"/>
      <c r="AN3575" s="152"/>
      <c r="AO3575" s="152"/>
      <c r="AP3575" s="152"/>
      <c r="AQ3575" s="152"/>
      <c r="AR3575" s="152"/>
      <c r="AS3575" s="152"/>
      <c r="AT3575" s="152"/>
      <c r="AU3575" s="153"/>
      <c r="AV3575" s="479"/>
      <c r="AW3575" s="479"/>
      <c r="AX3575" s="442"/>
      <c r="AY3575" s="153"/>
      <c r="AZ3575" s="152"/>
      <c r="BA3575" s="152"/>
      <c r="BB3575" s="152"/>
      <c r="BC3575" s="152"/>
      <c r="BD3575" s="152"/>
      <c r="BE3575" s="152"/>
      <c r="BF3575" s="152"/>
      <c r="BG3575" s="152"/>
      <c r="BH3575" s="152"/>
      <c r="BI3575" s="153"/>
      <c r="BJ3575" s="153"/>
      <c r="BK3575" s="153"/>
      <c r="BL3575" s="153"/>
      <c r="BM3575" s="153"/>
      <c r="BN3575" s="153"/>
      <c r="BO3575" s="153"/>
      <c r="BP3575" s="153"/>
      <c r="BQ3575" s="153"/>
      <c r="BR3575" s="153"/>
      <c r="BS3575" s="153"/>
      <c r="BT3575" s="153"/>
      <c r="BU3575" s="153"/>
      <c r="BV3575" s="153"/>
      <c r="BW3575" s="153"/>
      <c r="BX3575" s="153"/>
      <c r="BY3575" s="153"/>
      <c r="BZ3575" s="153"/>
      <c r="CA3575" s="152"/>
      <c r="CB3575" s="152"/>
    </row>
    <row r="3576" spans="1:80" s="87" customFormat="1" ht="15" x14ac:dyDescent="0.25">
      <c r="A3576" s="152"/>
      <c r="B3576" s="683"/>
      <c r="C3576" s="683"/>
      <c r="D3576" s="698"/>
      <c r="E3576" s="215"/>
      <c r="F3576" s="215"/>
      <c r="G3576" s="153"/>
      <c r="H3576" s="153"/>
      <c r="I3576" s="165">
        <v>18</v>
      </c>
      <c r="J3576" s="165">
        <v>20</v>
      </c>
      <c r="K3576" s="150">
        <v>1</v>
      </c>
      <c r="L3576" s="658">
        <v>6</v>
      </c>
      <c r="M3576" s="663">
        <v>35581</v>
      </c>
      <c r="N3576" s="600">
        <v>404.87200000000001</v>
      </c>
      <c r="O3576" s="604">
        <v>1.54287</v>
      </c>
      <c r="P3576" s="150"/>
      <c r="Q3576" s="250"/>
      <c r="R3576" s="250">
        <v>0.16800000000000001</v>
      </c>
      <c r="S3576" s="250">
        <v>4.2000000000000003E-2</v>
      </c>
      <c r="T3576" s="250">
        <v>3.4000000000000002E-2</v>
      </c>
      <c r="U3576" s="250">
        <v>5.2000000000000005E-2</v>
      </c>
      <c r="V3576" s="250">
        <v>9.3000000000000013E-2</v>
      </c>
      <c r="W3576" s="250">
        <v>0.249</v>
      </c>
      <c r="X3576" s="250">
        <v>0.34200000000000003</v>
      </c>
      <c r="Y3576" s="250">
        <v>0.02</v>
      </c>
      <c r="Z3576" s="150">
        <v>30</v>
      </c>
      <c r="AA3576" s="150">
        <v>0.73</v>
      </c>
      <c r="AB3576" s="152"/>
      <c r="AC3576" s="152"/>
      <c r="AD3576" s="223">
        <v>86.005641999999995</v>
      </c>
      <c r="AE3576" s="223">
        <v>2.0143369980000001</v>
      </c>
      <c r="AF3576" s="223">
        <v>173.23885659999999</v>
      </c>
      <c r="AG3576" s="223">
        <v>2.500543994</v>
      </c>
      <c r="AH3576" s="341"/>
      <c r="AI3576" s="218"/>
      <c r="AJ3576" s="218"/>
      <c r="AK3576" s="153"/>
      <c r="AL3576" s="152"/>
      <c r="AM3576" s="152"/>
      <c r="AN3576" s="152"/>
      <c r="AO3576" s="152"/>
      <c r="AP3576" s="152"/>
      <c r="AQ3576" s="152"/>
      <c r="AR3576" s="152"/>
      <c r="AS3576" s="152"/>
      <c r="AT3576" s="152"/>
      <c r="AU3576" s="153"/>
      <c r="AV3576" s="479"/>
      <c r="AW3576" s="479"/>
      <c r="AX3576" s="442"/>
      <c r="AY3576" s="153"/>
      <c r="AZ3576" s="152"/>
      <c r="BA3576" s="152"/>
      <c r="BB3576" s="152"/>
      <c r="BC3576" s="152"/>
      <c r="BD3576" s="152"/>
      <c r="BE3576" s="152"/>
      <c r="BF3576" s="152"/>
      <c r="BG3576" s="152"/>
      <c r="BH3576" s="152"/>
      <c r="BI3576" s="153"/>
      <c r="BJ3576" s="153"/>
      <c r="BK3576" s="153"/>
      <c r="BL3576" s="153"/>
      <c r="BM3576" s="153"/>
      <c r="BN3576" s="153"/>
      <c r="BO3576" s="153"/>
      <c r="BP3576" s="153"/>
      <c r="BQ3576" s="153"/>
      <c r="BR3576" s="153"/>
      <c r="BS3576" s="153"/>
      <c r="BT3576" s="153"/>
      <c r="BU3576" s="153"/>
      <c r="BV3576" s="153"/>
      <c r="BW3576" s="153"/>
      <c r="BX3576" s="153"/>
      <c r="BY3576" s="153"/>
      <c r="BZ3576" s="153"/>
      <c r="CA3576" s="152"/>
      <c r="CB3576" s="152"/>
    </row>
    <row r="3577" spans="1:80" s="87" customFormat="1" ht="15" x14ac:dyDescent="0.25">
      <c r="A3577" s="152"/>
      <c r="B3577" s="683"/>
      <c r="C3577" s="683"/>
      <c r="D3577" s="698"/>
      <c r="E3577" s="215"/>
      <c r="F3577" s="215"/>
      <c r="G3577" s="153"/>
      <c r="H3577" s="153"/>
      <c r="I3577" s="165">
        <v>18</v>
      </c>
      <c r="J3577" s="165">
        <v>20</v>
      </c>
      <c r="K3577" s="150">
        <v>1</v>
      </c>
      <c r="L3577" s="658">
        <v>6</v>
      </c>
      <c r="M3577" s="663">
        <v>35581</v>
      </c>
      <c r="N3577" s="600">
        <v>407.70299999999997</v>
      </c>
      <c r="O3577" s="604">
        <v>3.1382189999999999</v>
      </c>
      <c r="P3577" s="150"/>
      <c r="Q3577" s="250"/>
      <c r="R3577" s="250">
        <v>0.111</v>
      </c>
      <c r="S3577" s="250">
        <v>0.05</v>
      </c>
      <c r="T3577" s="250">
        <v>4.9000000000000002E-2</v>
      </c>
      <c r="U3577" s="250">
        <v>0.10099999999999999</v>
      </c>
      <c r="V3577" s="250">
        <v>0.16800000000000001</v>
      </c>
      <c r="W3577" s="250">
        <v>0.26400000000000001</v>
      </c>
      <c r="X3577" s="250">
        <v>0.24100000000000002</v>
      </c>
      <c r="Y3577" s="250">
        <v>1.7000000000000001E-2</v>
      </c>
      <c r="Z3577" s="150">
        <v>32</v>
      </c>
      <c r="AA3577" s="150">
        <v>0.94</v>
      </c>
      <c r="AB3577" s="152"/>
      <c r="AC3577" s="152"/>
      <c r="AD3577" s="223">
        <v>86.005641999999995</v>
      </c>
      <c r="AE3577" s="223">
        <v>2.0143369980000001</v>
      </c>
      <c r="AF3577" s="223">
        <v>173.23885659999999</v>
      </c>
      <c r="AG3577" s="223">
        <v>2.500543994</v>
      </c>
      <c r="AH3577" s="341"/>
      <c r="AI3577" s="218"/>
      <c r="AJ3577" s="218"/>
      <c r="AK3577" s="153"/>
      <c r="AL3577" s="152"/>
      <c r="AM3577" s="152"/>
      <c r="AN3577" s="152"/>
      <c r="AO3577" s="152"/>
      <c r="AP3577" s="152"/>
      <c r="AQ3577" s="152"/>
      <c r="AR3577" s="152"/>
      <c r="AS3577" s="152"/>
      <c r="AT3577" s="152"/>
      <c r="AU3577" s="153"/>
      <c r="AV3577" s="479"/>
      <c r="AW3577" s="479"/>
      <c r="AX3577" s="442"/>
      <c r="AY3577" s="153"/>
      <c r="AZ3577" s="152"/>
      <c r="BA3577" s="152"/>
      <c r="BB3577" s="152"/>
      <c r="BC3577" s="152"/>
      <c r="BD3577" s="152"/>
      <c r="BE3577" s="152"/>
      <c r="BF3577" s="152"/>
      <c r="BG3577" s="152"/>
      <c r="BH3577" s="152"/>
      <c r="BI3577" s="153"/>
      <c r="BJ3577" s="153"/>
      <c r="BK3577" s="153"/>
      <c r="BL3577" s="153"/>
      <c r="BM3577" s="153"/>
      <c r="BN3577" s="153"/>
      <c r="BO3577" s="153"/>
      <c r="BP3577" s="153"/>
      <c r="BQ3577" s="153"/>
      <c r="BR3577" s="153"/>
      <c r="BS3577" s="153"/>
      <c r="BT3577" s="153"/>
      <c r="BU3577" s="153"/>
      <c r="BV3577" s="153"/>
      <c r="BW3577" s="153"/>
      <c r="BX3577" s="153"/>
      <c r="BY3577" s="153"/>
      <c r="BZ3577" s="153"/>
      <c r="CA3577" s="152"/>
      <c r="CB3577" s="152"/>
    </row>
    <row r="3578" spans="1:80" s="87" customFormat="1" ht="15" x14ac:dyDescent="0.25">
      <c r="A3578" s="152"/>
      <c r="B3578" s="683"/>
      <c r="C3578" s="683"/>
      <c r="D3578" s="698"/>
      <c r="E3578" s="215"/>
      <c r="F3578" s="215"/>
      <c r="G3578" s="153"/>
      <c r="H3578" s="153"/>
      <c r="I3578" s="165">
        <v>19</v>
      </c>
      <c r="J3578" s="165">
        <v>20</v>
      </c>
      <c r="K3578" s="150">
        <v>1</v>
      </c>
      <c r="L3578" s="658">
        <v>6.333333333333333</v>
      </c>
      <c r="M3578" s="663">
        <v>35583</v>
      </c>
      <c r="N3578" s="600">
        <v>526.61599999999999</v>
      </c>
      <c r="O3578" s="604">
        <v>2.896817</v>
      </c>
      <c r="P3578" s="150"/>
      <c r="Q3578" s="250"/>
      <c r="R3578" s="250">
        <v>2.3E-2</v>
      </c>
      <c r="S3578" s="250">
        <v>3.3000000000000002E-2</v>
      </c>
      <c r="T3578" s="250">
        <v>7.0999999999999994E-2</v>
      </c>
      <c r="U3578" s="250">
        <v>7.400000000000001E-2</v>
      </c>
      <c r="V3578" s="250">
        <v>0.13100000000000001</v>
      </c>
      <c r="W3578" s="250">
        <v>0.33100000000000002</v>
      </c>
      <c r="X3578" s="250">
        <v>0.315</v>
      </c>
      <c r="Y3578" s="250">
        <v>2.2000000000000002E-2</v>
      </c>
      <c r="Z3578" s="150">
        <v>26</v>
      </c>
      <c r="AA3578" s="150">
        <v>0.7</v>
      </c>
      <c r="AB3578" s="152"/>
      <c r="AC3578" s="152"/>
      <c r="AD3578" s="223">
        <v>92.717117999999999</v>
      </c>
      <c r="AE3578" s="223">
        <v>2.4680124769999998</v>
      </c>
      <c r="AF3578" s="223">
        <v>228.81975209999999</v>
      </c>
      <c r="AG3578" s="223">
        <v>2.36335104</v>
      </c>
      <c r="AH3578" s="341"/>
      <c r="AI3578" s="218"/>
      <c r="AJ3578" s="218"/>
      <c r="AK3578" s="153"/>
      <c r="AL3578" s="152"/>
      <c r="AM3578" s="152"/>
      <c r="AN3578" s="152"/>
      <c r="AO3578" s="152"/>
      <c r="AP3578" s="152"/>
      <c r="AQ3578" s="152"/>
      <c r="AR3578" s="152"/>
      <c r="AS3578" s="152"/>
      <c r="AT3578" s="152"/>
      <c r="AU3578" s="153"/>
      <c r="AV3578" s="479"/>
      <c r="AW3578" s="479"/>
      <c r="AX3578" s="442"/>
      <c r="AY3578" s="153"/>
      <c r="AZ3578" s="152"/>
      <c r="BA3578" s="152"/>
      <c r="BB3578" s="152"/>
      <c r="BC3578" s="152"/>
      <c r="BD3578" s="152"/>
      <c r="BE3578" s="152"/>
      <c r="BF3578" s="152"/>
      <c r="BG3578" s="152"/>
      <c r="BH3578" s="152"/>
      <c r="BI3578" s="153"/>
      <c r="BJ3578" s="153"/>
      <c r="BK3578" s="153"/>
      <c r="BL3578" s="153"/>
      <c r="BM3578" s="153"/>
      <c r="BN3578" s="153"/>
      <c r="BO3578" s="153"/>
      <c r="BP3578" s="153"/>
      <c r="BQ3578" s="153"/>
      <c r="BR3578" s="153"/>
      <c r="BS3578" s="153"/>
      <c r="BT3578" s="153"/>
      <c r="BU3578" s="153"/>
      <c r="BV3578" s="153"/>
      <c r="BW3578" s="153"/>
      <c r="BX3578" s="153"/>
      <c r="BY3578" s="153"/>
      <c r="BZ3578" s="153"/>
      <c r="CA3578" s="152"/>
      <c r="CB3578" s="152"/>
    </row>
    <row r="3579" spans="1:80" s="87" customFormat="1" ht="15" x14ac:dyDescent="0.25">
      <c r="A3579" s="152"/>
      <c r="B3579" s="683"/>
      <c r="C3579" s="683"/>
      <c r="D3579" s="698"/>
      <c r="E3579" s="215"/>
      <c r="F3579" s="215"/>
      <c r="G3579" s="153"/>
      <c r="H3579" s="153"/>
      <c r="I3579" s="165">
        <v>19</v>
      </c>
      <c r="J3579" s="165">
        <v>20</v>
      </c>
      <c r="K3579" s="150">
        <v>1</v>
      </c>
      <c r="L3579" s="658">
        <v>6.333333333333333</v>
      </c>
      <c r="M3579" s="663">
        <v>35583</v>
      </c>
      <c r="N3579" s="600">
        <v>526.61599999999999</v>
      </c>
      <c r="O3579" s="604">
        <v>3.7364739999999999</v>
      </c>
      <c r="P3579" s="150"/>
      <c r="Q3579" s="250">
        <v>0.30199999999999999</v>
      </c>
      <c r="R3579" s="250">
        <v>0.14000000000000001</v>
      </c>
      <c r="S3579" s="250">
        <v>1.1000000000000001E-2</v>
      </c>
      <c r="T3579" s="250">
        <v>6.9999999999999993E-3</v>
      </c>
      <c r="U3579" s="250">
        <v>1.1000000000000001E-2</v>
      </c>
      <c r="V3579" s="250">
        <v>5.2999999999999999E-2</v>
      </c>
      <c r="W3579" s="250">
        <v>0.21100000000000002</v>
      </c>
      <c r="X3579" s="250">
        <v>0.247</v>
      </c>
      <c r="Y3579" s="250">
        <v>1.9E-2</v>
      </c>
      <c r="Z3579" s="150">
        <v>52</v>
      </c>
      <c r="AA3579" s="150">
        <v>1.35</v>
      </c>
      <c r="AB3579" s="152"/>
      <c r="AC3579" s="152"/>
      <c r="AD3579" s="223">
        <v>92.717117999999999</v>
      </c>
      <c r="AE3579" s="223">
        <v>2.4680124769999998</v>
      </c>
      <c r="AF3579" s="223">
        <v>228.81975209999999</v>
      </c>
      <c r="AG3579" s="223">
        <v>2.36335104</v>
      </c>
      <c r="AH3579" s="341"/>
      <c r="AI3579" s="218"/>
      <c r="AJ3579" s="218"/>
      <c r="AK3579" s="153"/>
      <c r="AL3579" s="152"/>
      <c r="AM3579" s="152"/>
      <c r="AN3579" s="152"/>
      <c r="AO3579" s="152"/>
      <c r="AP3579" s="152"/>
      <c r="AQ3579" s="152"/>
      <c r="AR3579" s="152"/>
      <c r="AS3579" s="152"/>
      <c r="AT3579" s="152"/>
      <c r="AU3579" s="153"/>
      <c r="AV3579" s="479"/>
      <c r="AW3579" s="479"/>
      <c r="AX3579" s="442"/>
      <c r="AY3579" s="153"/>
      <c r="AZ3579" s="152"/>
      <c r="BA3579" s="152"/>
      <c r="BB3579" s="152"/>
      <c r="BC3579" s="152"/>
      <c r="BD3579" s="152"/>
      <c r="BE3579" s="152"/>
      <c r="BF3579" s="152"/>
      <c r="BG3579" s="152"/>
      <c r="BH3579" s="152"/>
      <c r="BI3579" s="153"/>
      <c r="BJ3579" s="153"/>
      <c r="BK3579" s="153"/>
      <c r="BL3579" s="153"/>
      <c r="BM3579" s="153"/>
      <c r="BN3579" s="153"/>
      <c r="BO3579" s="153"/>
      <c r="BP3579" s="153"/>
      <c r="BQ3579" s="153"/>
      <c r="BR3579" s="153"/>
      <c r="BS3579" s="153"/>
      <c r="BT3579" s="153"/>
      <c r="BU3579" s="153"/>
      <c r="BV3579" s="153"/>
      <c r="BW3579" s="153"/>
      <c r="BX3579" s="153"/>
      <c r="BY3579" s="153"/>
      <c r="BZ3579" s="153"/>
      <c r="CA3579" s="152"/>
      <c r="CB3579" s="152"/>
    </row>
    <row r="3580" spans="1:80" s="87" customFormat="1" ht="15" x14ac:dyDescent="0.25">
      <c r="A3580" s="152"/>
      <c r="B3580" s="683"/>
      <c r="C3580" s="683"/>
      <c r="D3580" s="698"/>
      <c r="E3580" s="215"/>
      <c r="F3580" s="215"/>
      <c r="G3580" s="153"/>
      <c r="H3580" s="153"/>
      <c r="I3580" s="165">
        <v>19</v>
      </c>
      <c r="J3580" s="165">
        <v>20</v>
      </c>
      <c r="K3580" s="150">
        <v>1</v>
      </c>
      <c r="L3580" s="658">
        <v>6.333333333333333</v>
      </c>
      <c r="M3580" s="663">
        <v>35584</v>
      </c>
      <c r="N3580" s="600">
        <v>523.78499999999997</v>
      </c>
      <c r="O3580" s="604">
        <v>13.01469</v>
      </c>
      <c r="P3580" s="150"/>
      <c r="Q3580" s="250">
        <v>0.41399999999999998</v>
      </c>
      <c r="R3580" s="250">
        <v>0.14800000000000002</v>
      </c>
      <c r="S3580" s="250">
        <v>7.9000000000000001E-2</v>
      </c>
      <c r="T3580" s="250">
        <v>5.2000000000000005E-2</v>
      </c>
      <c r="U3580" s="250">
        <v>4.9000000000000002E-2</v>
      </c>
      <c r="V3580" s="250">
        <v>7.8E-2</v>
      </c>
      <c r="W3580" s="250">
        <v>0.10099999999999999</v>
      </c>
      <c r="X3580" s="250">
        <v>7.2999999999999995E-2</v>
      </c>
      <c r="Y3580" s="250">
        <v>6.0000000000000001E-3</v>
      </c>
      <c r="Z3580" s="150">
        <v>62</v>
      </c>
      <c r="AA3580" s="150">
        <v>21.39</v>
      </c>
      <c r="AB3580" s="152"/>
      <c r="AC3580" s="152"/>
      <c r="AD3580" s="223">
        <v>92.290412000000003</v>
      </c>
      <c r="AE3580" s="223">
        <v>2.4672614610000001</v>
      </c>
      <c r="AF3580" s="223">
        <v>227.69736030000001</v>
      </c>
      <c r="AG3580" s="223">
        <v>2.2257860329999999</v>
      </c>
      <c r="AH3580" s="341"/>
      <c r="AI3580" s="218"/>
      <c r="AJ3580" s="218"/>
      <c r="AK3580" s="153"/>
      <c r="AL3580" s="152"/>
      <c r="AM3580" s="152"/>
      <c r="AN3580" s="152"/>
      <c r="AO3580" s="152"/>
      <c r="AP3580" s="152"/>
      <c r="AQ3580" s="152"/>
      <c r="AR3580" s="152"/>
      <c r="AS3580" s="152"/>
      <c r="AT3580" s="152"/>
      <c r="AU3580" s="153"/>
      <c r="AV3580" s="479"/>
      <c r="AW3580" s="479"/>
      <c r="AX3580" s="442"/>
      <c r="AY3580" s="153"/>
      <c r="AZ3580" s="152"/>
      <c r="BA3580" s="152"/>
      <c r="BB3580" s="152"/>
      <c r="BC3580" s="152"/>
      <c r="BD3580" s="152"/>
      <c r="BE3580" s="152"/>
      <c r="BF3580" s="152"/>
      <c r="BG3580" s="152"/>
      <c r="BH3580" s="152"/>
      <c r="BI3580" s="153"/>
      <c r="BJ3580" s="153"/>
      <c r="BK3580" s="153"/>
      <c r="BL3580" s="153"/>
      <c r="BM3580" s="153"/>
      <c r="BN3580" s="153"/>
      <c r="BO3580" s="153"/>
      <c r="BP3580" s="153"/>
      <c r="BQ3580" s="153"/>
      <c r="BR3580" s="153"/>
      <c r="BS3580" s="153"/>
      <c r="BT3580" s="153"/>
      <c r="BU3580" s="153"/>
      <c r="BV3580" s="153"/>
      <c r="BW3580" s="153"/>
      <c r="BX3580" s="153"/>
      <c r="BY3580" s="153"/>
      <c r="BZ3580" s="153"/>
      <c r="CA3580" s="152"/>
      <c r="CB3580" s="152"/>
    </row>
    <row r="3581" spans="1:80" s="87" customFormat="1" ht="15" x14ac:dyDescent="0.25">
      <c r="A3581" s="152"/>
      <c r="B3581" s="683"/>
      <c r="C3581" s="683"/>
      <c r="D3581" s="698"/>
      <c r="E3581" s="215"/>
      <c r="F3581" s="215"/>
      <c r="G3581" s="153"/>
      <c r="H3581" s="153"/>
      <c r="I3581" s="165">
        <v>19</v>
      </c>
      <c r="J3581" s="165">
        <v>20</v>
      </c>
      <c r="K3581" s="150">
        <v>1</v>
      </c>
      <c r="L3581" s="658">
        <v>6.333333333333333</v>
      </c>
      <c r="M3581" s="663">
        <v>35584</v>
      </c>
      <c r="N3581" s="600">
        <v>523.78499999999997</v>
      </c>
      <c r="O3581" s="604">
        <v>5.3003359999999997</v>
      </c>
      <c r="P3581" s="150"/>
      <c r="Q3581" s="250">
        <v>0.23499999999999999</v>
      </c>
      <c r="R3581" s="250">
        <v>0.11699999999999999</v>
      </c>
      <c r="S3581" s="250">
        <v>8.3000000000000004E-2</v>
      </c>
      <c r="T3581" s="250">
        <v>5.2999999999999999E-2</v>
      </c>
      <c r="U3581" s="250">
        <v>6.2E-2</v>
      </c>
      <c r="V3581" s="250">
        <v>0.127</v>
      </c>
      <c r="W3581" s="250">
        <v>0.183</v>
      </c>
      <c r="X3581" s="250">
        <v>0.13200000000000001</v>
      </c>
      <c r="Y3581" s="250">
        <v>8.0000000000000002E-3</v>
      </c>
      <c r="Z3581" s="150">
        <v>50</v>
      </c>
      <c r="AA3581" s="150">
        <v>3.5</v>
      </c>
      <c r="AB3581" s="152"/>
      <c r="AC3581" s="152"/>
      <c r="AD3581" s="223">
        <v>92.290412000000003</v>
      </c>
      <c r="AE3581" s="223">
        <v>2.4672614610000001</v>
      </c>
      <c r="AF3581" s="223">
        <v>227.69736030000001</v>
      </c>
      <c r="AG3581" s="223">
        <v>2.2257860329999999</v>
      </c>
      <c r="AH3581" s="341"/>
      <c r="AI3581" s="218"/>
      <c r="AJ3581" s="218"/>
      <c r="AK3581" s="153"/>
      <c r="AL3581" s="152"/>
      <c r="AM3581" s="152"/>
      <c r="AN3581" s="152"/>
      <c r="AO3581" s="152"/>
      <c r="AP3581" s="152"/>
      <c r="AQ3581" s="152"/>
      <c r="AR3581" s="152"/>
      <c r="AS3581" s="152"/>
      <c r="AT3581" s="152"/>
      <c r="AU3581" s="153"/>
      <c r="AV3581" s="479"/>
      <c r="AW3581" s="479"/>
      <c r="AX3581" s="442"/>
      <c r="AY3581" s="153"/>
      <c r="AZ3581" s="152"/>
      <c r="BA3581" s="152"/>
      <c r="BB3581" s="152"/>
      <c r="BC3581" s="152"/>
      <c r="BD3581" s="152"/>
      <c r="BE3581" s="152"/>
      <c r="BF3581" s="152"/>
      <c r="BG3581" s="152"/>
      <c r="BH3581" s="152"/>
      <c r="BI3581" s="153"/>
      <c r="BJ3581" s="153"/>
      <c r="BK3581" s="153"/>
      <c r="BL3581" s="153"/>
      <c r="BM3581" s="153"/>
      <c r="BN3581" s="153"/>
      <c r="BO3581" s="153"/>
      <c r="BP3581" s="153"/>
      <c r="BQ3581" s="153"/>
      <c r="BR3581" s="153"/>
      <c r="BS3581" s="153"/>
      <c r="BT3581" s="153"/>
      <c r="BU3581" s="153"/>
      <c r="BV3581" s="153"/>
      <c r="BW3581" s="153"/>
      <c r="BX3581" s="153"/>
      <c r="BY3581" s="153"/>
      <c r="BZ3581" s="153"/>
      <c r="CA3581" s="152"/>
      <c r="CB3581" s="152"/>
    </row>
    <row r="3582" spans="1:80" s="87" customFormat="1" ht="15" x14ac:dyDescent="0.25">
      <c r="A3582" s="152"/>
      <c r="B3582" s="683"/>
      <c r="C3582" s="683"/>
      <c r="D3582" s="698"/>
      <c r="E3582" s="215"/>
      <c r="F3582" s="215"/>
      <c r="G3582" s="153"/>
      <c r="H3582" s="153"/>
      <c r="I3582" s="165">
        <v>19</v>
      </c>
      <c r="J3582" s="165">
        <v>20</v>
      </c>
      <c r="K3582" s="150">
        <v>1</v>
      </c>
      <c r="L3582" s="658">
        <v>6.333333333333333</v>
      </c>
      <c r="M3582" s="663">
        <v>35585</v>
      </c>
      <c r="N3582" s="600">
        <v>506.79700000000003</v>
      </c>
      <c r="O3582" s="604">
        <v>8.9318530000000003</v>
      </c>
      <c r="P3582" s="150"/>
      <c r="Q3582" s="250">
        <v>0.32</v>
      </c>
      <c r="R3582" s="250">
        <v>0.28399999999999997</v>
      </c>
      <c r="S3582" s="250">
        <v>0.11199999999999999</v>
      </c>
      <c r="T3582" s="250">
        <v>5.2000000000000005E-2</v>
      </c>
      <c r="U3582" s="250">
        <v>3.2000000000000001E-2</v>
      </c>
      <c r="V3582" s="250">
        <v>4.4000000000000004E-2</v>
      </c>
      <c r="W3582" s="250">
        <v>7.4999999999999997E-2</v>
      </c>
      <c r="X3582" s="250">
        <v>7.4999999999999997E-2</v>
      </c>
      <c r="Y3582" s="250">
        <v>6.0000000000000001E-3</v>
      </c>
      <c r="Z3582" s="150">
        <v>52</v>
      </c>
      <c r="AA3582" s="150">
        <v>20.62</v>
      </c>
      <c r="AB3582" s="152"/>
      <c r="AC3582" s="152"/>
      <c r="AD3582" s="223">
        <v>91.924664000000007</v>
      </c>
      <c r="AE3582" s="223">
        <v>2.374668813</v>
      </c>
      <c r="AF3582" s="223">
        <v>218.2837146</v>
      </c>
      <c r="AG3582" s="223">
        <v>2.140183376</v>
      </c>
      <c r="AH3582" s="341"/>
      <c r="AI3582" s="218"/>
      <c r="AJ3582" s="218"/>
      <c r="AK3582" s="153"/>
      <c r="AL3582" s="152"/>
      <c r="AM3582" s="152"/>
      <c r="AN3582" s="152"/>
      <c r="AO3582" s="152"/>
      <c r="AP3582" s="152"/>
      <c r="AQ3582" s="152"/>
      <c r="AR3582" s="152"/>
      <c r="AS3582" s="152"/>
      <c r="AT3582" s="152"/>
      <c r="AU3582" s="153"/>
      <c r="AV3582" s="479"/>
      <c r="AW3582" s="479"/>
      <c r="AX3582" s="442"/>
      <c r="AY3582" s="153"/>
      <c r="AZ3582" s="152"/>
      <c r="BA3582" s="152"/>
      <c r="BB3582" s="152"/>
      <c r="BC3582" s="152"/>
      <c r="BD3582" s="152"/>
      <c r="BE3582" s="152"/>
      <c r="BF3582" s="152"/>
      <c r="BG3582" s="152"/>
      <c r="BH3582" s="152"/>
      <c r="BI3582" s="153"/>
      <c r="BJ3582" s="153"/>
      <c r="BK3582" s="153"/>
      <c r="BL3582" s="153"/>
      <c r="BM3582" s="153"/>
      <c r="BN3582" s="153"/>
      <c r="BO3582" s="153"/>
      <c r="BP3582" s="153"/>
      <c r="BQ3582" s="153"/>
      <c r="BR3582" s="153"/>
      <c r="BS3582" s="153"/>
      <c r="BT3582" s="153"/>
      <c r="BU3582" s="153"/>
      <c r="BV3582" s="153"/>
      <c r="BW3582" s="153"/>
      <c r="BX3582" s="153"/>
      <c r="BY3582" s="153"/>
      <c r="BZ3582" s="153"/>
      <c r="CA3582" s="152"/>
      <c r="CB3582" s="152"/>
    </row>
    <row r="3583" spans="1:80" s="87" customFormat="1" ht="15" x14ac:dyDescent="0.25">
      <c r="A3583" s="152"/>
      <c r="B3583" s="683"/>
      <c r="C3583" s="683"/>
      <c r="D3583" s="698"/>
      <c r="E3583" s="215"/>
      <c r="F3583" s="215"/>
      <c r="G3583" s="153"/>
      <c r="H3583" s="153"/>
      <c r="I3583" s="165">
        <v>19</v>
      </c>
      <c r="J3583" s="165">
        <v>20</v>
      </c>
      <c r="K3583" s="150">
        <v>1</v>
      </c>
      <c r="L3583" s="658">
        <v>6.333333333333333</v>
      </c>
      <c r="M3583" s="663">
        <v>35585</v>
      </c>
      <c r="N3583" s="600">
        <v>506.79700000000003</v>
      </c>
      <c r="O3583" s="604">
        <v>25.29467</v>
      </c>
      <c r="P3583" s="150"/>
      <c r="Q3583" s="250">
        <v>0.52800000000000002</v>
      </c>
      <c r="R3583" s="250">
        <v>0.23399999999999999</v>
      </c>
      <c r="S3583" s="250">
        <v>9.6999999999999989E-2</v>
      </c>
      <c r="T3583" s="250">
        <v>2.7000000000000003E-2</v>
      </c>
      <c r="U3583" s="250">
        <v>1.4999999999999999E-2</v>
      </c>
      <c r="V3583" s="250">
        <v>2.4E-2</v>
      </c>
      <c r="W3583" s="250">
        <v>3.7000000000000005E-2</v>
      </c>
      <c r="X3583" s="250">
        <v>3.3000000000000002E-2</v>
      </c>
      <c r="Y3583" s="250">
        <v>5.0000000000000001E-3</v>
      </c>
      <c r="Z3583" s="150">
        <v>67</v>
      </c>
      <c r="AA3583" s="150">
        <v>34.770000000000003</v>
      </c>
      <c r="AB3583" s="152"/>
      <c r="AC3583" s="152"/>
      <c r="AD3583" s="223">
        <v>91.924664000000007</v>
      </c>
      <c r="AE3583" s="223">
        <v>2.374668813</v>
      </c>
      <c r="AF3583" s="223">
        <v>218.2837146</v>
      </c>
      <c r="AG3583" s="223">
        <v>2.140183376</v>
      </c>
      <c r="AH3583" s="341"/>
      <c r="AI3583" s="218"/>
      <c r="AJ3583" s="218"/>
      <c r="AK3583" s="153"/>
      <c r="AL3583" s="152"/>
      <c r="AM3583" s="152"/>
      <c r="AN3583" s="152"/>
      <c r="AO3583" s="152"/>
      <c r="AP3583" s="152"/>
      <c r="AQ3583" s="152"/>
      <c r="AR3583" s="152"/>
      <c r="AS3583" s="152"/>
      <c r="AT3583" s="152"/>
      <c r="AU3583" s="153"/>
      <c r="AV3583" s="479"/>
      <c r="AW3583" s="479"/>
      <c r="AX3583" s="442"/>
      <c r="AY3583" s="153"/>
      <c r="AZ3583" s="152"/>
      <c r="BA3583" s="152"/>
      <c r="BB3583" s="152"/>
      <c r="BC3583" s="152"/>
      <c r="BD3583" s="152"/>
      <c r="BE3583" s="152"/>
      <c r="BF3583" s="152"/>
      <c r="BG3583" s="152"/>
      <c r="BH3583" s="152"/>
      <c r="BI3583" s="153"/>
      <c r="BJ3583" s="153"/>
      <c r="BK3583" s="153"/>
      <c r="BL3583" s="153"/>
      <c r="BM3583" s="153"/>
      <c r="BN3583" s="153"/>
      <c r="BO3583" s="153"/>
      <c r="BP3583" s="153"/>
      <c r="BQ3583" s="153"/>
      <c r="BR3583" s="153"/>
      <c r="BS3583" s="153"/>
      <c r="BT3583" s="153"/>
      <c r="BU3583" s="153"/>
      <c r="BV3583" s="153"/>
      <c r="BW3583" s="153"/>
      <c r="BX3583" s="153"/>
      <c r="BY3583" s="153"/>
      <c r="BZ3583" s="153"/>
      <c r="CA3583" s="152"/>
      <c r="CB3583" s="152"/>
    </row>
    <row r="3584" spans="1:80" s="87" customFormat="1" ht="15" x14ac:dyDescent="0.25">
      <c r="A3584" s="152"/>
      <c r="B3584" s="683"/>
      <c r="C3584" s="683"/>
      <c r="D3584" s="698"/>
      <c r="E3584" s="215"/>
      <c r="F3584" s="215"/>
      <c r="G3584" s="153"/>
      <c r="H3584" s="153"/>
      <c r="I3584" s="165">
        <v>19</v>
      </c>
      <c r="J3584" s="165">
        <v>20</v>
      </c>
      <c r="K3584" s="150">
        <v>1</v>
      </c>
      <c r="L3584" s="658">
        <v>6.333333333333333</v>
      </c>
      <c r="M3584" s="663">
        <v>35586</v>
      </c>
      <c r="N3584" s="600">
        <v>526.61599999999999</v>
      </c>
      <c r="O3584" s="604">
        <v>13.11964</v>
      </c>
      <c r="P3584" s="150"/>
      <c r="Q3584" s="250">
        <v>0.501</v>
      </c>
      <c r="R3584" s="250">
        <v>0.17199999999999999</v>
      </c>
      <c r="S3584" s="250">
        <v>7.0000000000000007E-2</v>
      </c>
      <c r="T3584" s="250">
        <v>3.7999999999999999E-2</v>
      </c>
      <c r="U3584" s="250">
        <v>3.6000000000000004E-2</v>
      </c>
      <c r="V3584" s="250">
        <v>5.2000000000000005E-2</v>
      </c>
      <c r="W3584" s="250">
        <v>7.5999999999999998E-2</v>
      </c>
      <c r="X3584" s="250">
        <v>0.05</v>
      </c>
      <c r="Y3584" s="250">
        <v>5.0000000000000001E-3</v>
      </c>
      <c r="Z3584" s="150">
        <v>53</v>
      </c>
      <c r="AA3584" s="150">
        <v>32.130000000000003</v>
      </c>
      <c r="AB3584" s="152"/>
      <c r="AC3584" s="152"/>
      <c r="AD3584" s="223"/>
      <c r="AE3584" s="223"/>
      <c r="AF3584" s="223"/>
      <c r="AG3584" s="223"/>
      <c r="AH3584" s="341"/>
      <c r="AI3584" s="218"/>
      <c r="AJ3584" s="218"/>
      <c r="AK3584" s="153"/>
      <c r="AL3584" s="152"/>
      <c r="AM3584" s="152"/>
      <c r="AN3584" s="152"/>
      <c r="AO3584" s="152"/>
      <c r="AP3584" s="152"/>
      <c r="AQ3584" s="152"/>
      <c r="AR3584" s="152"/>
      <c r="AS3584" s="152"/>
      <c r="AT3584" s="152"/>
      <c r="AU3584" s="153"/>
      <c r="AV3584" s="479"/>
      <c r="AW3584" s="479"/>
      <c r="AX3584" s="442"/>
      <c r="AY3584" s="153"/>
      <c r="AZ3584" s="152"/>
      <c r="BA3584" s="152"/>
      <c r="BB3584" s="152"/>
      <c r="BC3584" s="152"/>
      <c r="BD3584" s="152"/>
      <c r="BE3584" s="152"/>
      <c r="BF3584" s="152"/>
      <c r="BG3584" s="152"/>
      <c r="BH3584" s="152"/>
      <c r="BI3584" s="153"/>
      <c r="BJ3584" s="153"/>
      <c r="BK3584" s="153"/>
      <c r="BL3584" s="153"/>
      <c r="BM3584" s="153"/>
      <c r="BN3584" s="153"/>
      <c r="BO3584" s="153"/>
      <c r="BP3584" s="153"/>
      <c r="BQ3584" s="153"/>
      <c r="BR3584" s="153"/>
      <c r="BS3584" s="153"/>
      <c r="BT3584" s="153"/>
      <c r="BU3584" s="153"/>
      <c r="BV3584" s="153"/>
      <c r="BW3584" s="153"/>
      <c r="BX3584" s="153"/>
      <c r="BY3584" s="153"/>
      <c r="BZ3584" s="153"/>
      <c r="CA3584" s="152"/>
      <c r="CB3584" s="152"/>
    </row>
    <row r="3585" spans="1:80" s="87" customFormat="1" ht="15" x14ac:dyDescent="0.25">
      <c r="A3585" s="152"/>
      <c r="B3585" s="683"/>
      <c r="C3585" s="683"/>
      <c r="D3585" s="698"/>
      <c r="E3585" s="215"/>
      <c r="F3585" s="215"/>
      <c r="G3585" s="153"/>
      <c r="H3585" s="153"/>
      <c r="I3585" s="165">
        <v>19</v>
      </c>
      <c r="J3585" s="165">
        <v>20</v>
      </c>
      <c r="K3585" s="150">
        <v>1</v>
      </c>
      <c r="L3585" s="658">
        <v>6.333333333333333</v>
      </c>
      <c r="M3585" s="663">
        <v>35586</v>
      </c>
      <c r="N3585" s="600">
        <v>526.61599999999999</v>
      </c>
      <c r="O3585" s="604">
        <v>15.323740000000001</v>
      </c>
      <c r="P3585" s="150"/>
      <c r="Q3585" s="250">
        <v>0.26200000000000001</v>
      </c>
      <c r="R3585" s="250">
        <v>0.32899999999999996</v>
      </c>
      <c r="S3585" s="250">
        <v>0.13100000000000001</v>
      </c>
      <c r="T3585" s="250">
        <v>4.0999999999999995E-2</v>
      </c>
      <c r="U3585" s="250">
        <v>3.4000000000000002E-2</v>
      </c>
      <c r="V3585" s="250">
        <v>5.7000000000000002E-2</v>
      </c>
      <c r="W3585" s="250">
        <v>0.08</v>
      </c>
      <c r="X3585" s="250">
        <v>6.0999999999999999E-2</v>
      </c>
      <c r="Y3585" s="250">
        <v>5.0000000000000001E-3</v>
      </c>
      <c r="Z3585" s="150">
        <v>57</v>
      </c>
      <c r="AA3585" s="150">
        <v>19.38</v>
      </c>
      <c r="AB3585" s="152"/>
      <c r="AC3585" s="152"/>
      <c r="AD3585" s="223"/>
      <c r="AE3585" s="223"/>
      <c r="AF3585" s="223"/>
      <c r="AG3585" s="223"/>
      <c r="AH3585" s="341"/>
      <c r="AI3585" s="218"/>
      <c r="AJ3585" s="218"/>
      <c r="AK3585" s="153"/>
      <c r="AL3585" s="152"/>
      <c r="AM3585" s="152"/>
      <c r="AN3585" s="152"/>
      <c r="AO3585" s="152"/>
      <c r="AP3585" s="152"/>
      <c r="AQ3585" s="152"/>
      <c r="AR3585" s="152"/>
      <c r="AS3585" s="152"/>
      <c r="AT3585" s="152"/>
      <c r="AU3585" s="153"/>
      <c r="AV3585" s="479"/>
      <c r="AW3585" s="479"/>
      <c r="AX3585" s="442"/>
      <c r="AY3585" s="153"/>
      <c r="AZ3585" s="152"/>
      <c r="BA3585" s="152"/>
      <c r="BB3585" s="152"/>
      <c r="BC3585" s="152"/>
      <c r="BD3585" s="152"/>
      <c r="BE3585" s="152"/>
      <c r="BF3585" s="152"/>
      <c r="BG3585" s="152"/>
      <c r="BH3585" s="152"/>
      <c r="BI3585" s="153"/>
      <c r="BJ3585" s="153"/>
      <c r="BK3585" s="153"/>
      <c r="BL3585" s="153"/>
      <c r="BM3585" s="153"/>
      <c r="BN3585" s="153"/>
      <c r="BO3585" s="153"/>
      <c r="BP3585" s="153"/>
      <c r="BQ3585" s="153"/>
      <c r="BR3585" s="153"/>
      <c r="BS3585" s="153"/>
      <c r="BT3585" s="153"/>
      <c r="BU3585" s="153"/>
      <c r="BV3585" s="153"/>
      <c r="BW3585" s="153"/>
      <c r="BX3585" s="153"/>
      <c r="BY3585" s="153"/>
      <c r="BZ3585" s="153"/>
      <c r="CA3585" s="152"/>
      <c r="CB3585" s="152"/>
    </row>
    <row r="3586" spans="1:80" s="87" customFormat="1" ht="15" x14ac:dyDescent="0.25">
      <c r="A3586" s="152"/>
      <c r="B3586" s="683"/>
      <c r="C3586" s="683"/>
      <c r="D3586" s="698"/>
      <c r="E3586" s="215"/>
      <c r="F3586" s="215"/>
      <c r="G3586" s="153"/>
      <c r="H3586" s="153"/>
      <c r="I3586" s="165">
        <v>21</v>
      </c>
      <c r="J3586" s="165">
        <v>20</v>
      </c>
      <c r="K3586" s="150">
        <v>1</v>
      </c>
      <c r="L3586" s="658">
        <v>7</v>
      </c>
      <c r="M3586" s="663">
        <v>35587</v>
      </c>
      <c r="N3586" s="600">
        <v>540.77300000000002</v>
      </c>
      <c r="O3586" s="604">
        <v>37.994489999999999</v>
      </c>
      <c r="P3586" s="150"/>
      <c r="Q3586" s="250">
        <v>0.27</v>
      </c>
      <c r="R3586" s="250">
        <v>0.31900000000000001</v>
      </c>
      <c r="S3586" s="250">
        <v>0.18</v>
      </c>
      <c r="T3586" s="250">
        <v>7.0000000000000007E-2</v>
      </c>
      <c r="U3586" s="250">
        <v>4.4999999999999998E-2</v>
      </c>
      <c r="V3586" s="250">
        <v>5.5E-2</v>
      </c>
      <c r="W3586" s="250">
        <v>4.0999999999999995E-2</v>
      </c>
      <c r="X3586" s="250">
        <v>1.9E-2</v>
      </c>
      <c r="Y3586" s="250">
        <v>2E-3</v>
      </c>
      <c r="Z3586" s="150">
        <v>73</v>
      </c>
      <c r="AA3586" s="150">
        <v>19.37</v>
      </c>
      <c r="AB3586" s="152"/>
      <c r="AC3586" s="152"/>
      <c r="AD3586" s="223">
        <v>99.605372000000003</v>
      </c>
      <c r="AE3586" s="223">
        <v>2.5404964639999998</v>
      </c>
      <c r="AF3586" s="223">
        <v>253.03907580000001</v>
      </c>
      <c r="AG3586" s="223">
        <v>2.1819027850000001</v>
      </c>
      <c r="AH3586" s="341"/>
      <c r="AI3586" s="218"/>
      <c r="AJ3586" s="218"/>
      <c r="AK3586" s="153"/>
      <c r="AL3586" s="152"/>
      <c r="AM3586" s="152"/>
      <c r="AN3586" s="152"/>
      <c r="AO3586" s="152"/>
      <c r="AP3586" s="152"/>
      <c r="AQ3586" s="152"/>
      <c r="AR3586" s="152"/>
      <c r="AS3586" s="152"/>
      <c r="AT3586" s="152"/>
      <c r="AU3586" s="153"/>
      <c r="AV3586" s="479"/>
      <c r="AW3586" s="479"/>
      <c r="AX3586" s="442"/>
      <c r="AY3586" s="153"/>
      <c r="AZ3586" s="152"/>
      <c r="BA3586" s="152"/>
      <c r="BB3586" s="152"/>
      <c r="BC3586" s="152"/>
      <c r="BD3586" s="152"/>
      <c r="BE3586" s="152"/>
      <c r="BF3586" s="152"/>
      <c r="BG3586" s="152"/>
      <c r="BH3586" s="152"/>
      <c r="BI3586" s="153"/>
      <c r="BJ3586" s="153"/>
      <c r="BK3586" s="153"/>
      <c r="BL3586" s="153"/>
      <c r="BM3586" s="153"/>
      <c r="BN3586" s="153"/>
      <c r="BO3586" s="153"/>
      <c r="BP3586" s="153"/>
      <c r="BQ3586" s="153"/>
      <c r="BR3586" s="153"/>
      <c r="BS3586" s="153"/>
      <c r="BT3586" s="153"/>
      <c r="BU3586" s="153"/>
      <c r="BV3586" s="153"/>
      <c r="BW3586" s="153"/>
      <c r="BX3586" s="153"/>
      <c r="BY3586" s="153"/>
      <c r="BZ3586" s="153"/>
      <c r="CA3586" s="152"/>
      <c r="CB3586" s="152"/>
    </row>
    <row r="3587" spans="1:80" s="87" customFormat="1" ht="15" x14ac:dyDescent="0.25">
      <c r="A3587" s="152"/>
      <c r="B3587" s="683"/>
      <c r="C3587" s="683"/>
      <c r="D3587" s="698"/>
      <c r="E3587" s="215"/>
      <c r="F3587" s="215"/>
      <c r="G3587" s="153"/>
      <c r="H3587" s="153"/>
      <c r="I3587" s="165">
        <v>21</v>
      </c>
      <c r="J3587" s="165">
        <v>20</v>
      </c>
      <c r="K3587" s="150">
        <v>1</v>
      </c>
      <c r="L3587" s="658">
        <v>7</v>
      </c>
      <c r="M3587" s="663">
        <v>35587</v>
      </c>
      <c r="N3587" s="600">
        <v>540.77300000000002</v>
      </c>
      <c r="O3587" s="604">
        <v>45.446449999999999</v>
      </c>
      <c r="P3587" s="150"/>
      <c r="Q3587" s="250">
        <v>0.27600000000000002</v>
      </c>
      <c r="R3587" s="250">
        <v>0.32899999999999996</v>
      </c>
      <c r="S3587" s="250">
        <v>0.22</v>
      </c>
      <c r="T3587" s="250">
        <v>6.0999999999999999E-2</v>
      </c>
      <c r="U3587" s="250">
        <v>3.4000000000000002E-2</v>
      </c>
      <c r="V3587" s="250">
        <v>3.5000000000000003E-2</v>
      </c>
      <c r="W3587" s="250">
        <v>2.5000000000000001E-2</v>
      </c>
      <c r="X3587" s="250">
        <v>1.8000000000000002E-2</v>
      </c>
      <c r="Y3587" s="250">
        <v>2E-3</v>
      </c>
      <c r="Z3587" s="150">
        <v>69</v>
      </c>
      <c r="AA3587" s="150">
        <v>19.96</v>
      </c>
      <c r="AB3587" s="152"/>
      <c r="AC3587" s="152"/>
      <c r="AD3587" s="223">
        <v>99.605372000000003</v>
      </c>
      <c r="AE3587" s="223">
        <v>2.5404964639999998</v>
      </c>
      <c r="AF3587" s="223">
        <v>253.03907580000001</v>
      </c>
      <c r="AG3587" s="223">
        <v>2.1819027850000001</v>
      </c>
      <c r="AH3587" s="341"/>
      <c r="AI3587" s="218"/>
      <c r="AJ3587" s="218"/>
      <c r="AK3587" s="153"/>
      <c r="AL3587" s="152"/>
      <c r="AM3587" s="152"/>
      <c r="AN3587" s="152"/>
      <c r="AO3587" s="152"/>
      <c r="AP3587" s="152"/>
      <c r="AQ3587" s="152"/>
      <c r="AR3587" s="152"/>
      <c r="AS3587" s="152"/>
      <c r="AT3587" s="152"/>
      <c r="AU3587" s="153"/>
      <c r="AV3587" s="479"/>
      <c r="AW3587" s="479"/>
      <c r="AX3587" s="442"/>
      <c r="AY3587" s="153"/>
      <c r="AZ3587" s="152"/>
      <c r="BA3587" s="152"/>
      <c r="BB3587" s="152"/>
      <c r="BC3587" s="152"/>
      <c r="BD3587" s="152"/>
      <c r="BE3587" s="152"/>
      <c r="BF3587" s="152"/>
      <c r="BG3587" s="152"/>
      <c r="BH3587" s="152"/>
      <c r="BI3587" s="153"/>
      <c r="BJ3587" s="153"/>
      <c r="BK3587" s="153"/>
      <c r="BL3587" s="153"/>
      <c r="BM3587" s="153"/>
      <c r="BN3587" s="153"/>
      <c r="BO3587" s="153"/>
      <c r="BP3587" s="153"/>
      <c r="BQ3587" s="153"/>
      <c r="BR3587" s="153"/>
      <c r="BS3587" s="153"/>
      <c r="BT3587" s="153"/>
      <c r="BU3587" s="153"/>
      <c r="BV3587" s="153"/>
      <c r="BW3587" s="153"/>
      <c r="BX3587" s="153"/>
      <c r="BY3587" s="153"/>
      <c r="BZ3587" s="153"/>
      <c r="CA3587" s="152"/>
      <c r="CB3587" s="152"/>
    </row>
    <row r="3588" spans="1:80" s="87" customFormat="1" ht="15" x14ac:dyDescent="0.25">
      <c r="A3588" s="152"/>
      <c r="B3588" s="683"/>
      <c r="C3588" s="683"/>
      <c r="D3588" s="698"/>
      <c r="E3588" s="215"/>
      <c r="F3588" s="215"/>
      <c r="G3588" s="153"/>
      <c r="H3588" s="153"/>
      <c r="I3588" s="165">
        <v>21</v>
      </c>
      <c r="J3588" s="165">
        <v>20</v>
      </c>
      <c r="K3588" s="150">
        <v>1</v>
      </c>
      <c r="L3588" s="658">
        <v>7</v>
      </c>
      <c r="M3588" s="663">
        <v>35588</v>
      </c>
      <c r="N3588" s="600">
        <v>540.77300000000002</v>
      </c>
      <c r="O3588" s="604">
        <v>18.682369999999999</v>
      </c>
      <c r="P3588" s="150"/>
      <c r="Q3588" s="250">
        <v>0.19600000000000001</v>
      </c>
      <c r="R3588" s="250">
        <v>0.19500000000000001</v>
      </c>
      <c r="S3588" s="250">
        <v>0.19500000000000001</v>
      </c>
      <c r="T3588" s="250">
        <v>0.13400000000000001</v>
      </c>
      <c r="U3588" s="250">
        <v>0.09</v>
      </c>
      <c r="V3588" s="250">
        <v>6.7000000000000004E-2</v>
      </c>
      <c r="W3588" s="250">
        <v>6.2E-2</v>
      </c>
      <c r="X3588" s="250">
        <v>5.5999999999999994E-2</v>
      </c>
      <c r="Y3588" s="250">
        <v>5.0000000000000001E-3</v>
      </c>
      <c r="Z3588" s="150">
        <v>65</v>
      </c>
      <c r="AA3588" s="150">
        <v>10.86</v>
      </c>
      <c r="AB3588" s="152"/>
      <c r="AC3588" s="152"/>
      <c r="AD3588" s="223">
        <v>99.483456000000004</v>
      </c>
      <c r="AE3588" s="223">
        <v>2.5357332750000001</v>
      </c>
      <c r="AF3588" s="223">
        <v>252.25551490000001</v>
      </c>
      <c r="AG3588" s="223">
        <v>2.1325602460000002</v>
      </c>
      <c r="AH3588" s="341"/>
      <c r="AI3588" s="218"/>
      <c r="AJ3588" s="218"/>
      <c r="AK3588" s="153"/>
      <c r="AL3588" s="152"/>
      <c r="AM3588" s="152"/>
      <c r="AN3588" s="152"/>
      <c r="AO3588" s="152"/>
      <c r="AP3588" s="152"/>
      <c r="AQ3588" s="152"/>
      <c r="AR3588" s="152"/>
      <c r="AS3588" s="152"/>
      <c r="AT3588" s="152"/>
      <c r="AU3588" s="153"/>
      <c r="AV3588" s="479"/>
      <c r="AW3588" s="479"/>
      <c r="AX3588" s="442"/>
      <c r="AY3588" s="153"/>
      <c r="AZ3588" s="152"/>
      <c r="BA3588" s="152"/>
      <c r="BB3588" s="152"/>
      <c r="BC3588" s="152"/>
      <c r="BD3588" s="152"/>
      <c r="BE3588" s="152"/>
      <c r="BF3588" s="152"/>
      <c r="BG3588" s="152"/>
      <c r="BH3588" s="152"/>
      <c r="BI3588" s="153"/>
      <c r="BJ3588" s="153"/>
      <c r="BK3588" s="153"/>
      <c r="BL3588" s="153"/>
      <c r="BM3588" s="153"/>
      <c r="BN3588" s="153"/>
      <c r="BO3588" s="153"/>
      <c r="BP3588" s="153"/>
      <c r="BQ3588" s="153"/>
      <c r="BR3588" s="153"/>
      <c r="BS3588" s="153"/>
      <c r="BT3588" s="153"/>
      <c r="BU3588" s="153"/>
      <c r="BV3588" s="153"/>
      <c r="BW3588" s="153"/>
      <c r="BX3588" s="153"/>
      <c r="BY3588" s="153"/>
      <c r="BZ3588" s="153"/>
      <c r="CA3588" s="152"/>
      <c r="CB3588" s="152"/>
    </row>
    <row r="3589" spans="1:80" s="87" customFormat="1" ht="15" x14ac:dyDescent="0.25">
      <c r="A3589" s="152"/>
      <c r="B3589" s="683"/>
      <c r="C3589" s="683"/>
      <c r="D3589" s="698"/>
      <c r="E3589" s="215"/>
      <c r="F3589" s="215"/>
      <c r="G3589" s="153"/>
      <c r="H3589" s="153"/>
      <c r="I3589" s="165">
        <v>21</v>
      </c>
      <c r="J3589" s="165">
        <v>20</v>
      </c>
      <c r="K3589" s="150">
        <v>1</v>
      </c>
      <c r="L3589" s="658">
        <v>7</v>
      </c>
      <c r="M3589" s="663">
        <v>35588</v>
      </c>
      <c r="N3589" s="600">
        <v>540.77300000000002</v>
      </c>
      <c r="O3589" s="604">
        <v>15.11383</v>
      </c>
      <c r="P3589" s="250">
        <v>7.8E-2</v>
      </c>
      <c r="Q3589" s="250">
        <v>0.31</v>
      </c>
      <c r="R3589" s="250">
        <v>0.19600000000000001</v>
      </c>
      <c r="S3589" s="250">
        <v>7.4999999999999997E-2</v>
      </c>
      <c r="T3589" s="250">
        <v>6.6000000000000003E-2</v>
      </c>
      <c r="U3589" s="250">
        <v>7.4999999999999997E-2</v>
      </c>
      <c r="V3589" s="250">
        <v>7.4999999999999997E-2</v>
      </c>
      <c r="W3589" s="250">
        <v>6.7000000000000004E-2</v>
      </c>
      <c r="X3589" s="250">
        <v>5.2000000000000005E-2</v>
      </c>
      <c r="Y3589" s="250">
        <v>5.0000000000000001E-3</v>
      </c>
      <c r="Z3589" s="150">
        <v>66</v>
      </c>
      <c r="AA3589" s="150">
        <v>21.61</v>
      </c>
      <c r="AB3589" s="152"/>
      <c r="AC3589" s="152"/>
      <c r="AD3589" s="223">
        <v>99.483456000000004</v>
      </c>
      <c r="AE3589" s="223">
        <v>2.5357332750000001</v>
      </c>
      <c r="AF3589" s="223">
        <v>252.25551490000001</v>
      </c>
      <c r="AG3589" s="223">
        <v>2.1325602460000002</v>
      </c>
      <c r="AH3589" s="341"/>
      <c r="AI3589" s="218"/>
      <c r="AJ3589" s="218"/>
      <c r="AK3589" s="153"/>
      <c r="AL3589" s="152"/>
      <c r="AM3589" s="152"/>
      <c r="AN3589" s="152"/>
      <c r="AO3589" s="152"/>
      <c r="AP3589" s="152"/>
      <c r="AQ3589" s="152"/>
      <c r="AR3589" s="152"/>
      <c r="AS3589" s="152"/>
      <c r="AT3589" s="152"/>
      <c r="AU3589" s="153"/>
      <c r="AV3589" s="479"/>
      <c r="AW3589" s="479"/>
      <c r="AX3589" s="442"/>
      <c r="AY3589" s="153"/>
      <c r="AZ3589" s="152"/>
      <c r="BA3589" s="152"/>
      <c r="BB3589" s="152"/>
      <c r="BC3589" s="152"/>
      <c r="BD3589" s="152"/>
      <c r="BE3589" s="152"/>
      <c r="BF3589" s="152"/>
      <c r="BG3589" s="152"/>
      <c r="BH3589" s="152"/>
      <c r="BI3589" s="153"/>
      <c r="BJ3589" s="153"/>
      <c r="BK3589" s="153"/>
      <c r="BL3589" s="153"/>
      <c r="BM3589" s="153"/>
      <c r="BN3589" s="153"/>
      <c r="BO3589" s="153"/>
      <c r="BP3589" s="153"/>
      <c r="BQ3589" s="153"/>
      <c r="BR3589" s="153"/>
      <c r="BS3589" s="153"/>
      <c r="BT3589" s="153"/>
      <c r="BU3589" s="153"/>
      <c r="BV3589" s="153"/>
      <c r="BW3589" s="153"/>
      <c r="BX3589" s="153"/>
      <c r="BY3589" s="153"/>
      <c r="BZ3589" s="153"/>
      <c r="CA3589" s="152"/>
      <c r="CB3589" s="152"/>
    </row>
    <row r="3590" spans="1:80" s="87" customFormat="1" ht="15" x14ac:dyDescent="0.25">
      <c r="A3590" s="152"/>
      <c r="B3590" s="683"/>
      <c r="C3590" s="683"/>
      <c r="D3590" s="698"/>
      <c r="E3590" s="215"/>
      <c r="F3590" s="215"/>
      <c r="G3590" s="153"/>
      <c r="H3590" s="153"/>
      <c r="I3590" s="165">
        <v>19</v>
      </c>
      <c r="J3590" s="165">
        <v>20</v>
      </c>
      <c r="K3590" s="150">
        <v>1</v>
      </c>
      <c r="L3590" s="658">
        <v>6.333333333333333</v>
      </c>
      <c r="M3590" s="663">
        <v>35590</v>
      </c>
      <c r="N3590" s="600">
        <v>540.77300000000002</v>
      </c>
      <c r="O3590" s="604">
        <v>10.495710000000001</v>
      </c>
      <c r="P3590" s="150"/>
      <c r="Q3590" s="250">
        <v>0.19399999999999998</v>
      </c>
      <c r="R3590" s="250">
        <v>0.218</v>
      </c>
      <c r="S3590" s="250">
        <v>0.128</v>
      </c>
      <c r="T3590" s="250">
        <v>8.199999999999999E-2</v>
      </c>
      <c r="U3590" s="250">
        <v>8.5999999999999993E-2</v>
      </c>
      <c r="V3590" s="250">
        <v>9.3000000000000013E-2</v>
      </c>
      <c r="W3590" s="250">
        <v>0.109</v>
      </c>
      <c r="X3590" s="250">
        <v>8.5000000000000006E-2</v>
      </c>
      <c r="Y3590" s="250">
        <v>6.9999999999999993E-3</v>
      </c>
      <c r="Z3590" s="150">
        <v>70</v>
      </c>
      <c r="AA3590" s="150">
        <v>9.83</v>
      </c>
      <c r="AB3590" s="152"/>
      <c r="AC3590" s="152"/>
      <c r="AD3590" s="223"/>
      <c r="AE3590" s="223"/>
      <c r="AF3590" s="223"/>
      <c r="AG3590" s="223"/>
      <c r="AH3590" s="341"/>
      <c r="AI3590" s="218"/>
      <c r="AJ3590" s="218"/>
      <c r="AK3590" s="153"/>
      <c r="AL3590" s="152"/>
      <c r="AM3590" s="152"/>
      <c r="AN3590" s="152"/>
      <c r="AO3590" s="152"/>
      <c r="AP3590" s="152"/>
      <c r="AQ3590" s="152"/>
      <c r="AR3590" s="152"/>
      <c r="AS3590" s="152"/>
      <c r="AT3590" s="152"/>
      <c r="AU3590" s="153"/>
      <c r="AV3590" s="479"/>
      <c r="AW3590" s="479"/>
      <c r="AX3590" s="442"/>
      <c r="AY3590" s="153"/>
      <c r="AZ3590" s="152"/>
      <c r="BA3590" s="152"/>
      <c r="BB3590" s="152"/>
      <c r="BC3590" s="152"/>
      <c r="BD3590" s="152"/>
      <c r="BE3590" s="152"/>
      <c r="BF3590" s="152"/>
      <c r="BG3590" s="152"/>
      <c r="BH3590" s="152"/>
      <c r="BI3590" s="153"/>
      <c r="BJ3590" s="153"/>
      <c r="BK3590" s="153"/>
      <c r="BL3590" s="153"/>
      <c r="BM3590" s="153"/>
      <c r="BN3590" s="153"/>
      <c r="BO3590" s="153"/>
      <c r="BP3590" s="153"/>
      <c r="BQ3590" s="153"/>
      <c r="BR3590" s="153"/>
      <c r="BS3590" s="153"/>
      <c r="BT3590" s="153"/>
      <c r="BU3590" s="153"/>
      <c r="BV3590" s="153"/>
      <c r="BW3590" s="153"/>
      <c r="BX3590" s="153"/>
      <c r="BY3590" s="153"/>
      <c r="BZ3590" s="153"/>
      <c r="CA3590" s="152"/>
      <c r="CB3590" s="152"/>
    </row>
    <row r="3591" spans="1:80" s="87" customFormat="1" ht="15" x14ac:dyDescent="0.25">
      <c r="A3591" s="152"/>
      <c r="B3591" s="683"/>
      <c r="C3591" s="683"/>
      <c r="D3591" s="698"/>
      <c r="E3591" s="215"/>
      <c r="F3591" s="215"/>
      <c r="G3591" s="153"/>
      <c r="H3591" s="153"/>
      <c r="I3591" s="165">
        <v>19</v>
      </c>
      <c r="J3591" s="165">
        <v>20</v>
      </c>
      <c r="K3591" s="150">
        <v>1</v>
      </c>
      <c r="L3591" s="658">
        <v>6.333333333333333</v>
      </c>
      <c r="M3591" s="663">
        <v>35590</v>
      </c>
      <c r="N3591" s="600">
        <v>540.77300000000002</v>
      </c>
      <c r="O3591" s="604">
        <v>33.166460000000001</v>
      </c>
      <c r="P3591" s="250">
        <v>4.2999999999999997E-2</v>
      </c>
      <c r="Q3591" s="250">
        <v>0.19899999999999998</v>
      </c>
      <c r="R3591" s="250">
        <v>0.17499999999999999</v>
      </c>
      <c r="S3591" s="250">
        <v>0.156</v>
      </c>
      <c r="T3591" s="250">
        <v>0.154</v>
      </c>
      <c r="U3591" s="250">
        <v>0.109</v>
      </c>
      <c r="V3591" s="250">
        <v>7.8E-2</v>
      </c>
      <c r="W3591" s="250">
        <v>5.2999999999999999E-2</v>
      </c>
      <c r="X3591" s="250">
        <v>3.2000000000000001E-2</v>
      </c>
      <c r="Y3591" s="250">
        <v>3.0000000000000001E-3</v>
      </c>
      <c r="Z3591" s="150">
        <v>78</v>
      </c>
      <c r="AA3591" s="150">
        <v>10.97</v>
      </c>
      <c r="AB3591" s="152"/>
      <c r="AC3591" s="152"/>
      <c r="AD3591" s="223"/>
      <c r="AE3591" s="223"/>
      <c r="AF3591" s="223"/>
      <c r="AG3591" s="223"/>
      <c r="AH3591" s="341"/>
      <c r="AI3591" s="218"/>
      <c r="AJ3591" s="218"/>
      <c r="AK3591" s="153"/>
      <c r="AL3591" s="152"/>
      <c r="AM3591" s="152"/>
      <c r="AN3591" s="152"/>
      <c r="AO3591" s="152"/>
      <c r="AP3591" s="152"/>
      <c r="AQ3591" s="152"/>
      <c r="AR3591" s="152"/>
      <c r="AS3591" s="152"/>
      <c r="AT3591" s="152"/>
      <c r="AU3591" s="153"/>
      <c r="AV3591" s="479"/>
      <c r="AW3591" s="479"/>
      <c r="AX3591" s="442"/>
      <c r="AY3591" s="153"/>
      <c r="AZ3591" s="152"/>
      <c r="BA3591" s="152"/>
      <c r="BB3591" s="152"/>
      <c r="BC3591" s="152"/>
      <c r="BD3591" s="152"/>
      <c r="BE3591" s="152"/>
      <c r="BF3591" s="152"/>
      <c r="BG3591" s="152"/>
      <c r="BH3591" s="152"/>
      <c r="BI3591" s="153"/>
      <c r="BJ3591" s="153"/>
      <c r="BK3591" s="153"/>
      <c r="BL3591" s="153"/>
      <c r="BM3591" s="153"/>
      <c r="BN3591" s="153"/>
      <c r="BO3591" s="153"/>
      <c r="BP3591" s="153"/>
      <c r="BQ3591" s="153"/>
      <c r="BR3591" s="153"/>
      <c r="BS3591" s="153"/>
      <c r="BT3591" s="153"/>
      <c r="BU3591" s="153"/>
      <c r="BV3591" s="153"/>
      <c r="BW3591" s="153"/>
      <c r="BX3591" s="153"/>
      <c r="BY3591" s="153"/>
      <c r="BZ3591" s="153"/>
      <c r="CA3591" s="152"/>
      <c r="CB3591" s="152"/>
    </row>
    <row r="3592" spans="1:80" s="87" customFormat="1" ht="15" x14ac:dyDescent="0.25">
      <c r="A3592" s="152"/>
      <c r="B3592" s="683"/>
      <c r="C3592" s="683"/>
      <c r="D3592" s="698"/>
      <c r="E3592" s="215"/>
      <c r="F3592" s="215"/>
      <c r="G3592" s="153"/>
      <c r="H3592" s="153"/>
      <c r="I3592" s="165">
        <v>19</v>
      </c>
      <c r="J3592" s="165">
        <v>20</v>
      </c>
      <c r="K3592" s="150">
        <v>1</v>
      </c>
      <c r="L3592" s="658">
        <v>6.333333333333333</v>
      </c>
      <c r="M3592" s="663">
        <v>35590</v>
      </c>
      <c r="N3592" s="600">
        <v>540.77300000000002</v>
      </c>
      <c r="O3592" s="604">
        <v>13.434519999999999</v>
      </c>
      <c r="P3592" s="150"/>
      <c r="Q3592" s="250">
        <v>0.14300000000000002</v>
      </c>
      <c r="R3592" s="250">
        <v>0.21100000000000002</v>
      </c>
      <c r="S3592" s="250">
        <v>0.153</v>
      </c>
      <c r="T3592" s="250">
        <v>0.13300000000000001</v>
      </c>
      <c r="U3592" s="250">
        <v>0.11599999999999999</v>
      </c>
      <c r="V3592" s="250">
        <v>9.6000000000000002E-2</v>
      </c>
      <c r="W3592" s="250">
        <v>8.199999999999999E-2</v>
      </c>
      <c r="X3592" s="250">
        <v>0.06</v>
      </c>
      <c r="Y3592" s="250">
        <v>6.0000000000000001E-3</v>
      </c>
      <c r="Z3592" s="150">
        <v>72</v>
      </c>
      <c r="AA3592" s="150">
        <v>8.26</v>
      </c>
      <c r="AB3592" s="152"/>
      <c r="AC3592" s="152"/>
      <c r="AD3592" s="223"/>
      <c r="AE3592" s="223"/>
      <c r="AF3592" s="223"/>
      <c r="AG3592" s="223"/>
      <c r="AH3592" s="341"/>
      <c r="AI3592" s="218"/>
      <c r="AJ3592" s="218"/>
      <c r="AK3592" s="153"/>
      <c r="AL3592" s="152"/>
      <c r="AM3592" s="152"/>
      <c r="AN3592" s="152"/>
      <c r="AO3592" s="152"/>
      <c r="AP3592" s="152"/>
      <c r="AQ3592" s="152"/>
      <c r="AR3592" s="152"/>
      <c r="AS3592" s="152"/>
      <c r="AT3592" s="152"/>
      <c r="AU3592" s="153"/>
      <c r="AV3592" s="479"/>
      <c r="AW3592" s="479"/>
      <c r="AX3592" s="442"/>
      <c r="AY3592" s="153"/>
      <c r="AZ3592" s="152"/>
      <c r="BA3592" s="152"/>
      <c r="BB3592" s="152"/>
      <c r="BC3592" s="152"/>
      <c r="BD3592" s="152"/>
      <c r="BE3592" s="152"/>
      <c r="BF3592" s="152"/>
      <c r="BG3592" s="152"/>
      <c r="BH3592" s="152"/>
      <c r="BI3592" s="153"/>
      <c r="BJ3592" s="153"/>
      <c r="BK3592" s="153"/>
      <c r="BL3592" s="153"/>
      <c r="BM3592" s="153"/>
      <c r="BN3592" s="153"/>
      <c r="BO3592" s="153"/>
      <c r="BP3592" s="153"/>
      <c r="BQ3592" s="153"/>
      <c r="BR3592" s="153"/>
      <c r="BS3592" s="153"/>
      <c r="BT3592" s="153"/>
      <c r="BU3592" s="153"/>
      <c r="BV3592" s="153"/>
      <c r="BW3592" s="153"/>
      <c r="BX3592" s="153"/>
      <c r="BY3592" s="153"/>
      <c r="BZ3592" s="153"/>
      <c r="CA3592" s="152"/>
      <c r="CB3592" s="152"/>
    </row>
    <row r="3593" spans="1:80" s="87" customFormat="1" ht="15" x14ac:dyDescent="0.25">
      <c r="A3593" s="152"/>
      <c r="B3593" s="683"/>
      <c r="C3593" s="683"/>
      <c r="D3593" s="698"/>
      <c r="E3593" s="215"/>
      <c r="F3593" s="215"/>
      <c r="G3593" s="153"/>
      <c r="H3593" s="153"/>
      <c r="I3593" s="165">
        <v>19</v>
      </c>
      <c r="J3593" s="165">
        <v>20</v>
      </c>
      <c r="K3593" s="150">
        <v>1</v>
      </c>
      <c r="L3593" s="658">
        <v>6.333333333333333</v>
      </c>
      <c r="M3593" s="663">
        <v>35590</v>
      </c>
      <c r="N3593" s="600">
        <v>537.94100000000003</v>
      </c>
      <c r="O3593" s="604">
        <v>12.27999</v>
      </c>
      <c r="P3593" s="150"/>
      <c r="Q3593" s="250">
        <v>0.23800000000000002</v>
      </c>
      <c r="R3593" s="250">
        <v>0.21199999999999999</v>
      </c>
      <c r="S3593" s="250">
        <v>0.20800000000000002</v>
      </c>
      <c r="T3593" s="250">
        <v>9.4E-2</v>
      </c>
      <c r="U3593" s="250">
        <v>5.0999999999999997E-2</v>
      </c>
      <c r="V3593" s="250">
        <v>5.0999999999999997E-2</v>
      </c>
      <c r="W3593" s="250">
        <v>7.400000000000001E-2</v>
      </c>
      <c r="X3593" s="250">
        <v>6.8000000000000005E-2</v>
      </c>
      <c r="Y3593" s="250">
        <v>6.0000000000000001E-3</v>
      </c>
      <c r="Z3593" s="150">
        <v>63</v>
      </c>
      <c r="AA3593" s="150">
        <v>13.45</v>
      </c>
      <c r="AB3593" s="152"/>
      <c r="AC3593" s="152"/>
      <c r="AD3593" s="223"/>
      <c r="AE3593" s="223"/>
      <c r="AF3593" s="223"/>
      <c r="AG3593" s="223"/>
      <c r="AH3593" s="341"/>
      <c r="AI3593" s="218"/>
      <c r="AJ3593" s="218"/>
      <c r="AK3593" s="153"/>
      <c r="AL3593" s="152"/>
      <c r="AM3593" s="152"/>
      <c r="AN3593" s="152"/>
      <c r="AO3593" s="152"/>
      <c r="AP3593" s="152"/>
      <c r="AQ3593" s="152"/>
      <c r="AR3593" s="152"/>
      <c r="AS3593" s="152"/>
      <c r="AT3593" s="152"/>
      <c r="AU3593" s="153"/>
      <c r="AV3593" s="479"/>
      <c r="AW3593" s="479"/>
      <c r="AX3593" s="442"/>
      <c r="AY3593" s="153"/>
      <c r="AZ3593" s="152"/>
      <c r="BA3593" s="152"/>
      <c r="BB3593" s="152"/>
      <c r="BC3593" s="152"/>
      <c r="BD3593" s="152"/>
      <c r="BE3593" s="152"/>
      <c r="BF3593" s="152"/>
      <c r="BG3593" s="152"/>
      <c r="BH3593" s="152"/>
      <c r="BI3593" s="153"/>
      <c r="BJ3593" s="153"/>
      <c r="BK3593" s="153"/>
      <c r="BL3593" s="153"/>
      <c r="BM3593" s="153"/>
      <c r="BN3593" s="153"/>
      <c r="BO3593" s="153"/>
      <c r="BP3593" s="153"/>
      <c r="BQ3593" s="153"/>
      <c r="BR3593" s="153"/>
      <c r="BS3593" s="153"/>
      <c r="BT3593" s="153"/>
      <c r="BU3593" s="153"/>
      <c r="BV3593" s="153"/>
      <c r="BW3593" s="153"/>
      <c r="BX3593" s="153"/>
      <c r="BY3593" s="153"/>
      <c r="BZ3593" s="153"/>
      <c r="CA3593" s="152"/>
      <c r="CB3593" s="152"/>
    </row>
    <row r="3594" spans="1:80" s="87" customFormat="1" ht="15" x14ac:dyDescent="0.25">
      <c r="A3594" s="152"/>
      <c r="B3594" s="683"/>
      <c r="C3594" s="683"/>
      <c r="D3594" s="698"/>
      <c r="E3594" s="215"/>
      <c r="F3594" s="215"/>
      <c r="G3594" s="153"/>
      <c r="H3594" s="153"/>
      <c r="I3594" s="165">
        <v>19</v>
      </c>
      <c r="J3594" s="165">
        <v>20</v>
      </c>
      <c r="K3594" s="150">
        <v>1</v>
      </c>
      <c r="L3594" s="658">
        <v>6.333333333333333</v>
      </c>
      <c r="M3594" s="663">
        <v>35591</v>
      </c>
      <c r="N3594" s="600">
        <v>535.11</v>
      </c>
      <c r="O3594" s="604">
        <v>3.7679619999999998</v>
      </c>
      <c r="P3594" s="150"/>
      <c r="Q3594" s="250"/>
      <c r="R3594" s="250">
        <v>0.08</v>
      </c>
      <c r="S3594" s="250">
        <v>9.4E-2</v>
      </c>
      <c r="T3594" s="250">
        <v>0.115</v>
      </c>
      <c r="U3594" s="250">
        <v>0.156</v>
      </c>
      <c r="V3594" s="250">
        <v>0.16</v>
      </c>
      <c r="W3594" s="250">
        <v>0.20899999999999999</v>
      </c>
      <c r="X3594" s="250">
        <v>0.17100000000000001</v>
      </c>
      <c r="Y3594" s="250">
        <v>1.4999999999999999E-2</v>
      </c>
      <c r="Z3594" s="150">
        <v>30</v>
      </c>
      <c r="AA3594" s="150">
        <v>1.58</v>
      </c>
      <c r="AB3594" s="152"/>
      <c r="AC3594" s="152"/>
      <c r="AD3594" s="223">
        <v>96.587951000000004</v>
      </c>
      <c r="AE3594" s="223">
        <v>2.5055728899999998</v>
      </c>
      <c r="AF3594" s="223">
        <v>242.00048179999999</v>
      </c>
      <c r="AG3594" s="223">
        <v>2.0942338660000002</v>
      </c>
      <c r="AH3594" s="341"/>
      <c r="AI3594" s="218"/>
      <c r="AJ3594" s="218"/>
      <c r="AK3594" s="153"/>
      <c r="AL3594" s="152"/>
      <c r="AM3594" s="152"/>
      <c r="AN3594" s="152"/>
      <c r="AO3594" s="152"/>
      <c r="AP3594" s="152"/>
      <c r="AQ3594" s="152"/>
      <c r="AR3594" s="152"/>
      <c r="AS3594" s="152"/>
      <c r="AT3594" s="152"/>
      <c r="AU3594" s="153"/>
      <c r="AV3594" s="479"/>
      <c r="AW3594" s="479"/>
      <c r="AX3594" s="442"/>
      <c r="AY3594" s="153"/>
      <c r="AZ3594" s="152"/>
      <c r="BA3594" s="152"/>
      <c r="BB3594" s="152"/>
      <c r="BC3594" s="152"/>
      <c r="BD3594" s="152"/>
      <c r="BE3594" s="152"/>
      <c r="BF3594" s="152"/>
      <c r="BG3594" s="152"/>
      <c r="BH3594" s="152"/>
      <c r="BI3594" s="153"/>
      <c r="BJ3594" s="153"/>
      <c r="BK3594" s="153"/>
      <c r="BL3594" s="153"/>
      <c r="BM3594" s="153"/>
      <c r="BN3594" s="153"/>
      <c r="BO3594" s="153"/>
      <c r="BP3594" s="153"/>
      <c r="BQ3594" s="153"/>
      <c r="BR3594" s="153"/>
      <c r="BS3594" s="153"/>
      <c r="BT3594" s="153"/>
      <c r="BU3594" s="153"/>
      <c r="BV3594" s="153"/>
      <c r="BW3594" s="153"/>
      <c r="BX3594" s="153"/>
      <c r="BY3594" s="153"/>
      <c r="BZ3594" s="153"/>
      <c r="CA3594" s="152"/>
      <c r="CB3594" s="152"/>
    </row>
    <row r="3595" spans="1:80" s="87" customFormat="1" ht="15" x14ac:dyDescent="0.25">
      <c r="A3595" s="152"/>
      <c r="B3595" s="683"/>
      <c r="C3595" s="683"/>
      <c r="D3595" s="698"/>
      <c r="E3595" s="215"/>
      <c r="F3595" s="215"/>
      <c r="G3595" s="153"/>
      <c r="H3595" s="153"/>
      <c r="I3595" s="165">
        <v>19</v>
      </c>
      <c r="J3595" s="165">
        <v>20</v>
      </c>
      <c r="K3595" s="150">
        <v>1</v>
      </c>
      <c r="L3595" s="658">
        <v>6.333333333333333</v>
      </c>
      <c r="M3595" s="663">
        <v>35591</v>
      </c>
      <c r="N3595" s="600">
        <v>535.11</v>
      </c>
      <c r="O3595" s="604">
        <v>2.6029369999999998</v>
      </c>
      <c r="P3595" s="150"/>
      <c r="Q3595" s="250"/>
      <c r="R3595" s="250">
        <v>0.184</v>
      </c>
      <c r="S3595" s="250">
        <v>4.7E-2</v>
      </c>
      <c r="T3595" s="250">
        <v>4.2999999999999997E-2</v>
      </c>
      <c r="U3595" s="250">
        <v>7.0999999999999994E-2</v>
      </c>
      <c r="V3595" s="250">
        <v>0.124</v>
      </c>
      <c r="W3595" s="250">
        <v>0.25900000000000001</v>
      </c>
      <c r="X3595" s="250">
        <v>0.251</v>
      </c>
      <c r="Y3595" s="250">
        <v>2.1000000000000001E-2</v>
      </c>
      <c r="Z3595" s="150">
        <v>32</v>
      </c>
      <c r="AA3595" s="150">
        <v>0.92</v>
      </c>
      <c r="AB3595" s="152"/>
      <c r="AC3595" s="152"/>
      <c r="AD3595" s="223">
        <v>96.587951000000004</v>
      </c>
      <c r="AE3595" s="223">
        <v>2.5055728899999998</v>
      </c>
      <c r="AF3595" s="223">
        <v>242.00048179999999</v>
      </c>
      <c r="AG3595" s="223">
        <v>2.0942338660000002</v>
      </c>
      <c r="AH3595" s="341"/>
      <c r="AI3595" s="218"/>
      <c r="AJ3595" s="218"/>
      <c r="AK3595" s="153"/>
      <c r="AL3595" s="152"/>
      <c r="AM3595" s="152"/>
      <c r="AN3595" s="152"/>
      <c r="AO3595" s="152"/>
      <c r="AP3595" s="152"/>
      <c r="AQ3595" s="152"/>
      <c r="AR3595" s="152"/>
      <c r="AS3595" s="152"/>
      <c r="AT3595" s="152"/>
      <c r="AU3595" s="153"/>
      <c r="AV3595" s="479"/>
      <c r="AW3595" s="479"/>
      <c r="AX3595" s="442"/>
      <c r="AY3595" s="153"/>
      <c r="AZ3595" s="152"/>
      <c r="BA3595" s="152"/>
      <c r="BB3595" s="152"/>
      <c r="BC3595" s="152"/>
      <c r="BD3595" s="152"/>
      <c r="BE3595" s="152"/>
      <c r="BF3595" s="152"/>
      <c r="BG3595" s="152"/>
      <c r="BH3595" s="152"/>
      <c r="BI3595" s="153"/>
      <c r="BJ3595" s="153"/>
      <c r="BK3595" s="153"/>
      <c r="BL3595" s="153"/>
      <c r="BM3595" s="153"/>
      <c r="BN3595" s="153"/>
      <c r="BO3595" s="153"/>
      <c r="BP3595" s="153"/>
      <c r="BQ3595" s="153"/>
      <c r="BR3595" s="153"/>
      <c r="BS3595" s="153"/>
      <c r="BT3595" s="153"/>
      <c r="BU3595" s="153"/>
      <c r="BV3595" s="153"/>
      <c r="BW3595" s="153"/>
      <c r="BX3595" s="153"/>
      <c r="BY3595" s="153"/>
      <c r="BZ3595" s="153"/>
      <c r="CA3595" s="152"/>
      <c r="CB3595" s="152"/>
    </row>
    <row r="3596" spans="1:80" s="87" customFormat="1" ht="15" x14ac:dyDescent="0.25">
      <c r="A3596" s="152"/>
      <c r="B3596" s="683"/>
      <c r="C3596" s="683"/>
      <c r="D3596" s="698"/>
      <c r="E3596" s="215"/>
      <c r="F3596" s="215"/>
      <c r="G3596" s="153"/>
      <c r="H3596" s="153"/>
      <c r="I3596" s="165">
        <v>19</v>
      </c>
      <c r="J3596" s="165">
        <v>20</v>
      </c>
      <c r="K3596" s="150">
        <v>1</v>
      </c>
      <c r="L3596" s="658">
        <v>6.333333333333333</v>
      </c>
      <c r="M3596" s="663">
        <v>35592</v>
      </c>
      <c r="N3596" s="600">
        <v>537.94100000000003</v>
      </c>
      <c r="O3596" s="604">
        <v>2.8863219999999998</v>
      </c>
      <c r="P3596" s="150"/>
      <c r="Q3596" s="250">
        <v>6.9000000000000006E-2</v>
      </c>
      <c r="R3596" s="250">
        <v>0.107</v>
      </c>
      <c r="S3596" s="250">
        <v>0.13100000000000001</v>
      </c>
      <c r="T3596" s="250">
        <v>0.08</v>
      </c>
      <c r="U3596" s="250">
        <v>9.0999999999999998E-2</v>
      </c>
      <c r="V3596" s="250">
        <v>0.106</v>
      </c>
      <c r="W3596" s="250">
        <v>0.19800000000000001</v>
      </c>
      <c r="X3596" s="250">
        <v>0.20800000000000002</v>
      </c>
      <c r="Y3596" s="250">
        <v>1.2E-2</v>
      </c>
      <c r="Z3596" s="150">
        <v>37</v>
      </c>
      <c r="AA3596" s="150">
        <v>1.71</v>
      </c>
      <c r="AB3596" s="152"/>
      <c r="AC3596" s="152"/>
      <c r="AD3596" s="223"/>
      <c r="AE3596" s="223"/>
      <c r="AF3596" s="223"/>
      <c r="AG3596" s="223"/>
      <c r="AH3596" s="341"/>
      <c r="AI3596" s="218"/>
      <c r="AJ3596" s="218"/>
      <c r="AK3596" s="153"/>
      <c r="AL3596" s="152"/>
      <c r="AM3596" s="152"/>
      <c r="AN3596" s="152"/>
      <c r="AO3596" s="152"/>
      <c r="AP3596" s="152"/>
      <c r="AQ3596" s="152"/>
      <c r="AR3596" s="152"/>
      <c r="AS3596" s="152"/>
      <c r="AT3596" s="152"/>
      <c r="AU3596" s="153"/>
      <c r="AV3596" s="479"/>
      <c r="AW3596" s="479"/>
      <c r="AX3596" s="442"/>
      <c r="AY3596" s="153"/>
      <c r="AZ3596" s="152"/>
      <c r="BA3596" s="152"/>
      <c r="BB3596" s="152"/>
      <c r="BC3596" s="152"/>
      <c r="BD3596" s="152"/>
      <c r="BE3596" s="152"/>
      <c r="BF3596" s="152"/>
      <c r="BG3596" s="152"/>
      <c r="BH3596" s="152"/>
      <c r="BI3596" s="153"/>
      <c r="BJ3596" s="153"/>
      <c r="BK3596" s="153"/>
      <c r="BL3596" s="153"/>
      <c r="BM3596" s="153"/>
      <c r="BN3596" s="153"/>
      <c r="BO3596" s="153"/>
      <c r="BP3596" s="153"/>
      <c r="BQ3596" s="153"/>
      <c r="BR3596" s="153"/>
      <c r="BS3596" s="153"/>
      <c r="BT3596" s="153"/>
      <c r="BU3596" s="153"/>
      <c r="BV3596" s="153"/>
      <c r="BW3596" s="153"/>
      <c r="BX3596" s="153"/>
      <c r="BY3596" s="153"/>
      <c r="BZ3596" s="153"/>
      <c r="CA3596" s="152"/>
      <c r="CB3596" s="152"/>
    </row>
    <row r="3597" spans="1:80" s="87" customFormat="1" ht="15" x14ac:dyDescent="0.25">
      <c r="A3597" s="152"/>
      <c r="B3597" s="683"/>
      <c r="C3597" s="683"/>
      <c r="D3597" s="698"/>
      <c r="E3597" s="215"/>
      <c r="F3597" s="215"/>
      <c r="G3597" s="153"/>
      <c r="H3597" s="153"/>
      <c r="I3597" s="165">
        <v>19</v>
      </c>
      <c r="J3597" s="165">
        <v>20</v>
      </c>
      <c r="K3597" s="150">
        <v>1</v>
      </c>
      <c r="L3597" s="658">
        <v>6.333333333333333</v>
      </c>
      <c r="M3597" s="663">
        <v>35592</v>
      </c>
      <c r="N3597" s="600">
        <v>537.94100000000003</v>
      </c>
      <c r="O3597" s="604">
        <v>7.3470000000000004</v>
      </c>
      <c r="P3597" s="150"/>
      <c r="Q3597" s="250">
        <v>0.379</v>
      </c>
      <c r="R3597" s="250">
        <v>0.218</v>
      </c>
      <c r="S3597" s="250">
        <v>0.10199999999999999</v>
      </c>
      <c r="T3597" s="250">
        <v>3.4000000000000002E-2</v>
      </c>
      <c r="U3597" s="250">
        <v>2.4E-2</v>
      </c>
      <c r="V3597" s="250">
        <v>4.5999999999999999E-2</v>
      </c>
      <c r="W3597" s="250">
        <v>9.1999999999999998E-2</v>
      </c>
      <c r="X3597" s="250">
        <v>9.8000000000000004E-2</v>
      </c>
      <c r="Y3597" s="250">
        <v>6.9999999999999993E-3</v>
      </c>
      <c r="Z3597" s="150">
        <v>72</v>
      </c>
      <c r="AA3597" s="150">
        <v>21.78</v>
      </c>
      <c r="AB3597" s="152"/>
      <c r="AC3597" s="152"/>
      <c r="AD3597" s="223"/>
      <c r="AE3597" s="223"/>
      <c r="AF3597" s="223"/>
      <c r="AG3597" s="223"/>
      <c r="AH3597" s="341"/>
      <c r="AI3597" s="218"/>
      <c r="AJ3597" s="218"/>
      <c r="AK3597" s="153"/>
      <c r="AL3597" s="152"/>
      <c r="AM3597" s="152"/>
      <c r="AN3597" s="152"/>
      <c r="AO3597" s="152"/>
      <c r="AP3597" s="152"/>
      <c r="AQ3597" s="152"/>
      <c r="AR3597" s="152"/>
      <c r="AS3597" s="152"/>
      <c r="AT3597" s="152"/>
      <c r="AU3597" s="153"/>
      <c r="AV3597" s="479"/>
      <c r="AW3597" s="479"/>
      <c r="AX3597" s="442"/>
      <c r="AY3597" s="153"/>
      <c r="AZ3597" s="152"/>
      <c r="BA3597" s="152"/>
      <c r="BB3597" s="152"/>
      <c r="BC3597" s="152"/>
      <c r="BD3597" s="152"/>
      <c r="BE3597" s="152"/>
      <c r="BF3597" s="152"/>
      <c r="BG3597" s="152"/>
      <c r="BH3597" s="152"/>
      <c r="BI3597" s="153"/>
      <c r="BJ3597" s="153"/>
      <c r="BK3597" s="153"/>
      <c r="BL3597" s="153"/>
      <c r="BM3597" s="153"/>
      <c r="BN3597" s="153"/>
      <c r="BO3597" s="153"/>
      <c r="BP3597" s="153"/>
      <c r="BQ3597" s="153"/>
      <c r="BR3597" s="153"/>
      <c r="BS3597" s="153"/>
      <c r="BT3597" s="153"/>
      <c r="BU3597" s="153"/>
      <c r="BV3597" s="153"/>
      <c r="BW3597" s="153"/>
      <c r="BX3597" s="153"/>
      <c r="BY3597" s="153"/>
      <c r="BZ3597" s="153"/>
      <c r="CA3597" s="152"/>
      <c r="CB3597" s="152"/>
    </row>
    <row r="3598" spans="1:80" s="87" customFormat="1" ht="15" x14ac:dyDescent="0.25">
      <c r="A3598" s="152"/>
      <c r="B3598" s="683"/>
      <c r="C3598" s="683"/>
      <c r="D3598" s="698"/>
      <c r="E3598" s="215"/>
      <c r="F3598" s="215"/>
      <c r="G3598" s="153"/>
      <c r="H3598" s="153"/>
      <c r="I3598" s="165">
        <v>19</v>
      </c>
      <c r="J3598" s="165">
        <v>20</v>
      </c>
      <c r="K3598" s="150">
        <v>1</v>
      </c>
      <c r="L3598" s="658">
        <v>6.333333333333333</v>
      </c>
      <c r="M3598" s="663">
        <v>35593</v>
      </c>
      <c r="N3598" s="600">
        <v>540.77300000000002</v>
      </c>
      <c r="O3598" s="604">
        <v>4.1563030000000003</v>
      </c>
      <c r="P3598" s="150"/>
      <c r="Q3598" s="250">
        <v>0.13100000000000001</v>
      </c>
      <c r="R3598" s="250">
        <v>7.0000000000000007E-2</v>
      </c>
      <c r="S3598" s="250">
        <v>6.2E-2</v>
      </c>
      <c r="T3598" s="250">
        <v>8.1000000000000003E-2</v>
      </c>
      <c r="U3598" s="250">
        <v>9.6999999999999989E-2</v>
      </c>
      <c r="V3598" s="250">
        <v>0.14099999999999999</v>
      </c>
      <c r="W3598" s="250">
        <v>0.22</v>
      </c>
      <c r="X3598" s="250">
        <v>0.182</v>
      </c>
      <c r="Y3598" s="250">
        <v>1.4999999999999999E-2</v>
      </c>
      <c r="Z3598" s="150">
        <v>53</v>
      </c>
      <c r="AA3598" s="150">
        <v>1.5</v>
      </c>
      <c r="AB3598" s="152"/>
      <c r="AC3598" s="152"/>
      <c r="AD3598" s="223"/>
      <c r="AE3598" s="223"/>
      <c r="AF3598" s="223"/>
      <c r="AG3598" s="223"/>
      <c r="AH3598" s="341"/>
      <c r="AI3598" s="218"/>
      <c r="AJ3598" s="218"/>
      <c r="AK3598" s="153"/>
      <c r="AL3598" s="152"/>
      <c r="AM3598" s="152"/>
      <c r="AN3598" s="152"/>
      <c r="AO3598" s="152"/>
      <c r="AP3598" s="152"/>
      <c r="AQ3598" s="152"/>
      <c r="AR3598" s="152"/>
      <c r="AS3598" s="152"/>
      <c r="AT3598" s="152"/>
      <c r="AU3598" s="153"/>
      <c r="AV3598" s="479"/>
      <c r="AW3598" s="479"/>
      <c r="AX3598" s="442"/>
      <c r="AY3598" s="153"/>
      <c r="AZ3598" s="152"/>
      <c r="BA3598" s="152"/>
      <c r="BB3598" s="152"/>
      <c r="BC3598" s="152"/>
      <c r="BD3598" s="152"/>
      <c r="BE3598" s="152"/>
      <c r="BF3598" s="152"/>
      <c r="BG3598" s="152"/>
      <c r="BH3598" s="152"/>
      <c r="BI3598" s="153"/>
      <c r="BJ3598" s="153"/>
      <c r="BK3598" s="153"/>
      <c r="BL3598" s="153"/>
      <c r="BM3598" s="153"/>
      <c r="BN3598" s="153"/>
      <c r="BO3598" s="153"/>
      <c r="BP3598" s="153"/>
      <c r="BQ3598" s="153"/>
      <c r="BR3598" s="153"/>
      <c r="BS3598" s="153"/>
      <c r="BT3598" s="153"/>
      <c r="BU3598" s="153"/>
      <c r="BV3598" s="153"/>
      <c r="BW3598" s="153"/>
      <c r="BX3598" s="153"/>
      <c r="BY3598" s="153"/>
      <c r="BZ3598" s="153"/>
      <c r="CA3598" s="152"/>
      <c r="CB3598" s="152"/>
    </row>
    <row r="3599" spans="1:80" s="87" customFormat="1" ht="15" x14ac:dyDescent="0.25">
      <c r="A3599" s="152"/>
      <c r="B3599" s="683"/>
      <c r="C3599" s="683"/>
      <c r="D3599" s="698"/>
      <c r="E3599" s="215"/>
      <c r="F3599" s="215"/>
      <c r="G3599" s="153"/>
      <c r="H3599" s="153"/>
      <c r="I3599" s="165">
        <v>19</v>
      </c>
      <c r="J3599" s="165">
        <v>20</v>
      </c>
      <c r="K3599" s="150">
        <v>1</v>
      </c>
      <c r="L3599" s="658">
        <v>6.333333333333333</v>
      </c>
      <c r="M3599" s="663">
        <v>35593</v>
      </c>
      <c r="N3599" s="600">
        <v>540.77300000000002</v>
      </c>
      <c r="O3599" s="604">
        <v>4.1563030000000003</v>
      </c>
      <c r="P3599" s="150"/>
      <c r="Q3599" s="250"/>
      <c r="R3599" s="250">
        <v>3.7999999999999999E-2</v>
      </c>
      <c r="S3599" s="250">
        <v>4.5999999999999999E-2</v>
      </c>
      <c r="T3599" s="250">
        <v>0.11</v>
      </c>
      <c r="U3599" s="250">
        <v>0.122</v>
      </c>
      <c r="V3599" s="250">
        <v>0.157</v>
      </c>
      <c r="W3599" s="250">
        <v>0.28600000000000003</v>
      </c>
      <c r="X3599" s="250">
        <v>0.223</v>
      </c>
      <c r="Y3599" s="250">
        <v>1.7000000000000001E-2</v>
      </c>
      <c r="Z3599" s="150">
        <v>30</v>
      </c>
      <c r="AA3599" s="150">
        <v>0.94</v>
      </c>
      <c r="AB3599" s="152"/>
      <c r="AC3599" s="152"/>
      <c r="AD3599" s="223"/>
      <c r="AE3599" s="223"/>
      <c r="AF3599" s="223"/>
      <c r="AG3599" s="223"/>
      <c r="AH3599" s="341"/>
      <c r="AI3599" s="218"/>
      <c r="AJ3599" s="218"/>
      <c r="AK3599" s="153"/>
      <c r="AL3599" s="152"/>
      <c r="AM3599" s="152"/>
      <c r="AN3599" s="152"/>
      <c r="AO3599" s="152"/>
      <c r="AP3599" s="152"/>
      <c r="AQ3599" s="152"/>
      <c r="AR3599" s="152"/>
      <c r="AS3599" s="152"/>
      <c r="AT3599" s="152"/>
      <c r="AU3599" s="153"/>
      <c r="AV3599" s="479"/>
      <c r="AW3599" s="479"/>
      <c r="AX3599" s="442"/>
      <c r="AY3599" s="153"/>
      <c r="AZ3599" s="152"/>
      <c r="BA3599" s="152"/>
      <c r="BB3599" s="152"/>
      <c r="BC3599" s="152"/>
      <c r="BD3599" s="152"/>
      <c r="BE3599" s="152"/>
      <c r="BF3599" s="152"/>
      <c r="BG3599" s="152"/>
      <c r="BH3599" s="152"/>
      <c r="BI3599" s="153"/>
      <c r="BJ3599" s="153"/>
      <c r="BK3599" s="153"/>
      <c r="BL3599" s="153"/>
      <c r="BM3599" s="153"/>
      <c r="BN3599" s="153"/>
      <c r="BO3599" s="153"/>
      <c r="BP3599" s="153"/>
      <c r="BQ3599" s="153"/>
      <c r="BR3599" s="153"/>
      <c r="BS3599" s="153"/>
      <c r="BT3599" s="153"/>
      <c r="BU3599" s="153"/>
      <c r="BV3599" s="153"/>
      <c r="BW3599" s="153"/>
      <c r="BX3599" s="153"/>
      <c r="BY3599" s="153"/>
      <c r="BZ3599" s="153"/>
      <c r="CA3599" s="152"/>
      <c r="CB3599" s="152"/>
    </row>
    <row r="3600" spans="1:80" s="87" customFormat="1" ht="15" x14ac:dyDescent="0.25">
      <c r="A3600" s="152"/>
      <c r="B3600" s="683"/>
      <c r="C3600" s="683"/>
      <c r="D3600" s="698"/>
      <c r="E3600" s="215"/>
      <c r="F3600" s="215"/>
      <c r="G3600" s="153"/>
      <c r="H3600" s="153"/>
      <c r="I3600" s="165">
        <v>19</v>
      </c>
      <c r="J3600" s="165">
        <v>20</v>
      </c>
      <c r="K3600" s="150">
        <v>1</v>
      </c>
      <c r="L3600" s="658">
        <v>6.333333333333333</v>
      </c>
      <c r="M3600" s="663">
        <v>35600</v>
      </c>
      <c r="N3600" s="600">
        <v>481.31599999999997</v>
      </c>
      <c r="O3600" s="604">
        <v>9.3411860000000004</v>
      </c>
      <c r="P3600" s="150"/>
      <c r="Q3600" s="250">
        <v>0.317</v>
      </c>
      <c r="R3600" s="250">
        <v>0.19600000000000001</v>
      </c>
      <c r="S3600" s="250">
        <v>0.17899999999999999</v>
      </c>
      <c r="T3600" s="250">
        <v>0.10300000000000001</v>
      </c>
      <c r="U3600" s="250">
        <v>6.2E-2</v>
      </c>
      <c r="V3600" s="250">
        <v>5.7000000000000002E-2</v>
      </c>
      <c r="W3600" s="250">
        <v>0.05</v>
      </c>
      <c r="X3600" s="250">
        <v>3.3000000000000002E-2</v>
      </c>
      <c r="Y3600" s="250">
        <v>4.0000000000000001E-3</v>
      </c>
      <c r="Z3600" s="150">
        <v>65</v>
      </c>
      <c r="AA3600" s="150">
        <v>16.690000000000001</v>
      </c>
      <c r="AB3600" s="152"/>
      <c r="AC3600" s="152"/>
      <c r="AD3600" s="223"/>
      <c r="AE3600" s="223"/>
      <c r="AF3600" s="223"/>
      <c r="AG3600" s="223"/>
      <c r="AH3600" s="341"/>
      <c r="AI3600" s="218"/>
      <c r="AJ3600" s="218"/>
      <c r="AK3600" s="153"/>
      <c r="AL3600" s="152"/>
      <c r="AM3600" s="152"/>
      <c r="AN3600" s="152"/>
      <c r="AO3600" s="152"/>
      <c r="AP3600" s="152"/>
      <c r="AQ3600" s="152"/>
      <c r="AR3600" s="152"/>
      <c r="AS3600" s="152"/>
      <c r="AT3600" s="152"/>
      <c r="AU3600" s="153"/>
      <c r="AV3600" s="479"/>
      <c r="AW3600" s="479"/>
      <c r="AX3600" s="442"/>
      <c r="AY3600" s="153"/>
      <c r="AZ3600" s="152"/>
      <c r="BA3600" s="152"/>
      <c r="BB3600" s="152"/>
      <c r="BC3600" s="152"/>
      <c r="BD3600" s="152"/>
      <c r="BE3600" s="152"/>
      <c r="BF3600" s="152"/>
      <c r="BG3600" s="152"/>
      <c r="BH3600" s="152"/>
      <c r="BI3600" s="153"/>
      <c r="BJ3600" s="153"/>
      <c r="BK3600" s="153"/>
      <c r="BL3600" s="153"/>
      <c r="BM3600" s="153"/>
      <c r="BN3600" s="153"/>
      <c r="BO3600" s="153"/>
      <c r="BP3600" s="153"/>
      <c r="BQ3600" s="153"/>
      <c r="BR3600" s="153"/>
      <c r="BS3600" s="153"/>
      <c r="BT3600" s="153"/>
      <c r="BU3600" s="153"/>
      <c r="BV3600" s="153"/>
      <c r="BW3600" s="153"/>
      <c r="BX3600" s="153"/>
      <c r="BY3600" s="153"/>
      <c r="BZ3600" s="153"/>
      <c r="CA3600" s="152"/>
      <c r="CB3600" s="152"/>
    </row>
    <row r="3601" spans="1:80" s="87" customFormat="1" ht="15" x14ac:dyDescent="0.25">
      <c r="A3601" s="152"/>
      <c r="B3601" s="683"/>
      <c r="C3601" s="683"/>
      <c r="D3601" s="698"/>
      <c r="E3601" s="215"/>
      <c r="F3601" s="215"/>
      <c r="G3601" s="153"/>
      <c r="H3601" s="153"/>
      <c r="I3601" s="165">
        <v>19</v>
      </c>
      <c r="J3601" s="165">
        <v>20</v>
      </c>
      <c r="K3601" s="150">
        <v>1</v>
      </c>
      <c r="L3601" s="658">
        <v>6.333333333333333</v>
      </c>
      <c r="M3601" s="663">
        <v>35600</v>
      </c>
      <c r="N3601" s="600">
        <v>481.31599999999997</v>
      </c>
      <c r="O3601" s="604">
        <v>10.600669999999999</v>
      </c>
      <c r="P3601" s="150"/>
      <c r="Q3601" s="250">
        <v>0.127</v>
      </c>
      <c r="R3601" s="250">
        <v>0.17600000000000002</v>
      </c>
      <c r="S3601" s="250">
        <v>0.13300000000000001</v>
      </c>
      <c r="T3601" s="250">
        <v>0.13699999999999998</v>
      </c>
      <c r="U3601" s="250">
        <v>0.13600000000000001</v>
      </c>
      <c r="V3601" s="250">
        <v>0.129</v>
      </c>
      <c r="W3601" s="250">
        <v>9.5000000000000001E-2</v>
      </c>
      <c r="X3601" s="250">
        <v>5.7999999999999996E-2</v>
      </c>
      <c r="Y3601" s="250">
        <v>9.0000000000000011E-3</v>
      </c>
      <c r="Z3601" s="150">
        <v>63</v>
      </c>
      <c r="AA3601" s="150">
        <v>5.79</v>
      </c>
      <c r="AB3601" s="152"/>
      <c r="AC3601" s="152"/>
      <c r="AD3601" s="223"/>
      <c r="AE3601" s="223"/>
      <c r="AF3601" s="223"/>
      <c r="AG3601" s="223"/>
      <c r="AH3601" s="341"/>
      <c r="AI3601" s="218"/>
      <c r="AJ3601" s="218"/>
      <c r="AK3601" s="153"/>
      <c r="AL3601" s="152"/>
      <c r="AM3601" s="152"/>
      <c r="AN3601" s="152"/>
      <c r="AO3601" s="152"/>
      <c r="AP3601" s="152"/>
      <c r="AQ3601" s="152"/>
      <c r="AR3601" s="152"/>
      <c r="AS3601" s="152"/>
      <c r="AT3601" s="152"/>
      <c r="AU3601" s="153"/>
      <c r="AV3601" s="479"/>
      <c r="AW3601" s="479"/>
      <c r="AX3601" s="442"/>
      <c r="AY3601" s="153"/>
      <c r="AZ3601" s="152"/>
      <c r="BA3601" s="152"/>
      <c r="BB3601" s="152"/>
      <c r="BC3601" s="152"/>
      <c r="BD3601" s="152"/>
      <c r="BE3601" s="152"/>
      <c r="BF3601" s="152"/>
      <c r="BG3601" s="152"/>
      <c r="BH3601" s="152"/>
      <c r="BI3601" s="153"/>
      <c r="BJ3601" s="153"/>
      <c r="BK3601" s="153"/>
      <c r="BL3601" s="153"/>
      <c r="BM3601" s="153"/>
      <c r="BN3601" s="153"/>
      <c r="BO3601" s="153"/>
      <c r="BP3601" s="153"/>
      <c r="BQ3601" s="153"/>
      <c r="BR3601" s="153"/>
      <c r="BS3601" s="153"/>
      <c r="BT3601" s="153"/>
      <c r="BU3601" s="153"/>
      <c r="BV3601" s="153"/>
      <c r="BW3601" s="153"/>
      <c r="BX3601" s="153"/>
      <c r="BY3601" s="153"/>
      <c r="BZ3601" s="153"/>
      <c r="CA3601" s="152"/>
      <c r="CB3601" s="152"/>
    </row>
    <row r="3602" spans="1:80" s="87" customFormat="1" ht="15" x14ac:dyDescent="0.25">
      <c r="A3602" s="152"/>
      <c r="B3602" s="683"/>
      <c r="C3602" s="683"/>
      <c r="D3602" s="698"/>
      <c r="E3602" s="215"/>
      <c r="F3602" s="215"/>
      <c r="G3602" s="153"/>
      <c r="H3602" s="153"/>
      <c r="I3602" s="165">
        <v>19</v>
      </c>
      <c r="J3602" s="165">
        <v>20</v>
      </c>
      <c r="K3602" s="150">
        <v>1</v>
      </c>
      <c r="L3602" s="658">
        <v>6.333333333333333</v>
      </c>
      <c r="M3602" s="663">
        <v>35601</v>
      </c>
      <c r="N3602" s="600">
        <v>464.32799999999997</v>
      </c>
      <c r="O3602" s="604">
        <v>12.90973</v>
      </c>
      <c r="P3602" s="150"/>
      <c r="Q3602" s="250">
        <v>6.6000000000000003E-2</v>
      </c>
      <c r="R3602" s="250">
        <v>0.17899999999999999</v>
      </c>
      <c r="S3602" s="250">
        <v>0.16</v>
      </c>
      <c r="T3602" s="250">
        <v>0.19399999999999998</v>
      </c>
      <c r="U3602" s="250">
        <v>0.20899999999999999</v>
      </c>
      <c r="V3602" s="250">
        <v>0.111</v>
      </c>
      <c r="W3602" s="250">
        <v>4.4999999999999998E-2</v>
      </c>
      <c r="X3602" s="250">
        <v>3.3000000000000002E-2</v>
      </c>
      <c r="Y3602" s="250">
        <v>3.0000000000000001E-3</v>
      </c>
      <c r="Z3602" s="150">
        <v>52</v>
      </c>
      <c r="AA3602" s="150">
        <v>5.7</v>
      </c>
      <c r="AB3602" s="152"/>
      <c r="AC3602" s="152"/>
      <c r="AD3602" s="223">
        <v>89.394907000000003</v>
      </c>
      <c r="AE3602" s="223">
        <v>2.2424303339999998</v>
      </c>
      <c r="AF3602" s="223">
        <v>200.4554981</v>
      </c>
      <c r="AG3602" s="223">
        <v>2.4152746079999998</v>
      </c>
      <c r="AH3602" s="341"/>
      <c r="AI3602" s="218"/>
      <c r="AJ3602" s="218"/>
      <c r="AK3602" s="153"/>
      <c r="AL3602" s="152"/>
      <c r="AM3602" s="152"/>
      <c r="AN3602" s="152"/>
      <c r="AO3602" s="152"/>
      <c r="AP3602" s="152"/>
      <c r="AQ3602" s="152"/>
      <c r="AR3602" s="152"/>
      <c r="AS3602" s="152"/>
      <c r="AT3602" s="152"/>
      <c r="AU3602" s="153"/>
      <c r="AV3602" s="479"/>
      <c r="AW3602" s="479"/>
      <c r="AX3602" s="442"/>
      <c r="AY3602" s="153"/>
      <c r="AZ3602" s="152"/>
      <c r="BA3602" s="152"/>
      <c r="BB3602" s="152"/>
      <c r="BC3602" s="152"/>
      <c r="BD3602" s="152"/>
      <c r="BE3602" s="152"/>
      <c r="BF3602" s="152"/>
      <c r="BG3602" s="152"/>
      <c r="BH3602" s="152"/>
      <c r="BI3602" s="153"/>
      <c r="BJ3602" s="153"/>
      <c r="BK3602" s="153"/>
      <c r="BL3602" s="153"/>
      <c r="BM3602" s="153"/>
      <c r="BN3602" s="153"/>
      <c r="BO3602" s="153"/>
      <c r="BP3602" s="153"/>
      <c r="BQ3602" s="153"/>
      <c r="BR3602" s="153"/>
      <c r="BS3602" s="153"/>
      <c r="BT3602" s="153"/>
      <c r="BU3602" s="153"/>
      <c r="BV3602" s="153"/>
      <c r="BW3602" s="153"/>
      <c r="BX3602" s="153"/>
      <c r="BY3602" s="153"/>
      <c r="BZ3602" s="153"/>
      <c r="CA3602" s="152"/>
      <c r="CB3602" s="152"/>
    </row>
    <row r="3603" spans="1:80" s="87" customFormat="1" ht="15" x14ac:dyDescent="0.25">
      <c r="A3603" s="152"/>
      <c r="B3603" s="683"/>
      <c r="C3603" s="683"/>
      <c r="D3603" s="698"/>
      <c r="E3603" s="215"/>
      <c r="F3603" s="215"/>
      <c r="G3603" s="153"/>
      <c r="H3603" s="153"/>
      <c r="I3603" s="165">
        <v>19</v>
      </c>
      <c r="J3603" s="165">
        <v>20</v>
      </c>
      <c r="K3603" s="150">
        <v>1</v>
      </c>
      <c r="L3603" s="658">
        <v>6.333333333333333</v>
      </c>
      <c r="M3603" s="663">
        <v>35601</v>
      </c>
      <c r="N3603" s="600">
        <v>464.32799999999997</v>
      </c>
      <c r="O3603" s="604">
        <v>2.340544</v>
      </c>
      <c r="P3603" s="150"/>
      <c r="Q3603" s="250">
        <v>0.14300000000000002</v>
      </c>
      <c r="R3603" s="250">
        <v>0.21199999999999999</v>
      </c>
      <c r="S3603" s="250">
        <v>9.8000000000000004E-2</v>
      </c>
      <c r="T3603" s="250">
        <v>9.4E-2</v>
      </c>
      <c r="U3603" s="250">
        <v>0.115</v>
      </c>
      <c r="V3603" s="250">
        <v>0.10800000000000001</v>
      </c>
      <c r="W3603" s="250">
        <v>0.111</v>
      </c>
      <c r="X3603" s="250">
        <v>0.111</v>
      </c>
      <c r="Y3603" s="250">
        <v>8.0000000000000002E-3</v>
      </c>
      <c r="Z3603" s="150">
        <v>41</v>
      </c>
      <c r="AA3603" s="150">
        <v>5.66</v>
      </c>
      <c r="AB3603" s="152"/>
      <c r="AC3603" s="152"/>
      <c r="AD3603" s="223">
        <v>89.394907000000003</v>
      </c>
      <c r="AE3603" s="223">
        <v>2.2424303339999998</v>
      </c>
      <c r="AF3603" s="223">
        <v>200.4554981</v>
      </c>
      <c r="AG3603" s="223">
        <v>2.4152746079999998</v>
      </c>
      <c r="AH3603" s="341"/>
      <c r="AI3603" s="218"/>
      <c r="AJ3603" s="218"/>
      <c r="AK3603" s="153"/>
      <c r="AL3603" s="152"/>
      <c r="AM3603" s="152"/>
      <c r="AN3603" s="152"/>
      <c r="AO3603" s="152"/>
      <c r="AP3603" s="152"/>
      <c r="AQ3603" s="152"/>
      <c r="AR3603" s="152"/>
      <c r="AS3603" s="152"/>
      <c r="AT3603" s="152"/>
      <c r="AU3603" s="153"/>
      <c r="AV3603" s="479"/>
      <c r="AW3603" s="479"/>
      <c r="AX3603" s="442"/>
      <c r="AY3603" s="153"/>
      <c r="AZ3603" s="152"/>
      <c r="BA3603" s="152"/>
      <c r="BB3603" s="152"/>
      <c r="BC3603" s="152"/>
      <c r="BD3603" s="152"/>
      <c r="BE3603" s="152"/>
      <c r="BF3603" s="152"/>
      <c r="BG3603" s="152"/>
      <c r="BH3603" s="152"/>
      <c r="BI3603" s="153"/>
      <c r="BJ3603" s="153"/>
      <c r="BK3603" s="153"/>
      <c r="BL3603" s="153"/>
      <c r="BM3603" s="153"/>
      <c r="BN3603" s="153"/>
      <c r="BO3603" s="153"/>
      <c r="BP3603" s="153"/>
      <c r="BQ3603" s="153"/>
      <c r="BR3603" s="153"/>
      <c r="BS3603" s="153"/>
      <c r="BT3603" s="153"/>
      <c r="BU3603" s="153"/>
      <c r="BV3603" s="153"/>
      <c r="BW3603" s="153"/>
      <c r="BX3603" s="153"/>
      <c r="BY3603" s="153"/>
      <c r="BZ3603" s="153"/>
      <c r="CA3603" s="152"/>
      <c r="CB3603" s="152"/>
    </row>
    <row r="3604" spans="1:80" s="87" customFormat="1" ht="15" x14ac:dyDescent="0.25">
      <c r="A3604" s="152"/>
      <c r="B3604" s="683"/>
      <c r="C3604" s="683"/>
      <c r="D3604" s="698"/>
      <c r="E3604" s="215"/>
      <c r="F3604" s="215"/>
      <c r="G3604" s="153"/>
      <c r="H3604" s="153"/>
      <c r="I3604" s="165">
        <v>19</v>
      </c>
      <c r="J3604" s="165">
        <v>20</v>
      </c>
      <c r="K3604" s="150">
        <v>1</v>
      </c>
      <c r="L3604" s="658">
        <v>6.333333333333333</v>
      </c>
      <c r="M3604" s="663">
        <v>35602</v>
      </c>
      <c r="N3604" s="600">
        <v>427.52199999999999</v>
      </c>
      <c r="O3604" s="604">
        <v>12.80477</v>
      </c>
      <c r="P3604" s="150"/>
      <c r="Q3604" s="250">
        <v>0.47299999999999998</v>
      </c>
      <c r="R3604" s="250">
        <v>0.42200000000000004</v>
      </c>
      <c r="S3604" s="250">
        <v>7.2000000000000008E-2</v>
      </c>
      <c r="T3604" s="250">
        <v>2E-3</v>
      </c>
      <c r="U3604" s="250">
        <v>1E-3</v>
      </c>
      <c r="V3604" s="250">
        <v>4.0000000000000001E-3</v>
      </c>
      <c r="W3604" s="250">
        <v>1.2E-2</v>
      </c>
      <c r="X3604" s="250">
        <v>1.3000000000000001E-2</v>
      </c>
      <c r="Y3604" s="250">
        <v>1E-3</v>
      </c>
      <c r="Z3604" s="150">
        <v>62</v>
      </c>
      <c r="AA3604" s="150">
        <v>30.61</v>
      </c>
      <c r="AB3604" s="152"/>
      <c r="AC3604" s="152"/>
      <c r="AD3604" s="223">
        <v>85.950779999999995</v>
      </c>
      <c r="AE3604" s="223">
        <v>2.10041381</v>
      </c>
      <c r="AF3604" s="223">
        <v>180.52648379999999</v>
      </c>
      <c r="AG3604" s="223">
        <v>2.336865532</v>
      </c>
      <c r="AH3604" s="341"/>
      <c r="AI3604" s="218"/>
      <c r="AJ3604" s="218"/>
      <c r="AK3604" s="153"/>
      <c r="AL3604" s="152"/>
      <c r="AM3604" s="152"/>
      <c r="AN3604" s="152"/>
      <c r="AO3604" s="152"/>
      <c r="AP3604" s="152"/>
      <c r="AQ3604" s="152"/>
      <c r="AR3604" s="152"/>
      <c r="AS3604" s="152"/>
      <c r="AT3604" s="152"/>
      <c r="AU3604" s="153"/>
      <c r="AV3604" s="479"/>
      <c r="AW3604" s="479"/>
      <c r="AX3604" s="442"/>
      <c r="AY3604" s="153"/>
      <c r="AZ3604" s="152"/>
      <c r="BA3604" s="152"/>
      <c r="BB3604" s="152"/>
      <c r="BC3604" s="152"/>
      <c r="BD3604" s="152"/>
      <c r="BE3604" s="152"/>
      <c r="BF3604" s="152"/>
      <c r="BG3604" s="152"/>
      <c r="BH3604" s="152"/>
      <c r="BI3604" s="153"/>
      <c r="BJ3604" s="153"/>
      <c r="BK3604" s="153"/>
      <c r="BL3604" s="153"/>
      <c r="BM3604" s="153"/>
      <c r="BN3604" s="153"/>
      <c r="BO3604" s="153"/>
      <c r="BP3604" s="153"/>
      <c r="BQ3604" s="153"/>
      <c r="BR3604" s="153"/>
      <c r="BS3604" s="153"/>
      <c r="BT3604" s="153"/>
      <c r="BU3604" s="153"/>
      <c r="BV3604" s="153"/>
      <c r="BW3604" s="153"/>
      <c r="BX3604" s="153"/>
      <c r="BY3604" s="153"/>
      <c r="BZ3604" s="153"/>
      <c r="CA3604" s="152"/>
      <c r="CB3604" s="152"/>
    </row>
    <row r="3605" spans="1:80" s="87" customFormat="1" ht="15" x14ac:dyDescent="0.25">
      <c r="A3605" s="152"/>
      <c r="B3605" s="683"/>
      <c r="C3605" s="683"/>
      <c r="D3605" s="698"/>
      <c r="E3605" s="215"/>
      <c r="F3605" s="215"/>
      <c r="G3605" s="153"/>
      <c r="H3605" s="153"/>
      <c r="I3605" s="165">
        <v>19</v>
      </c>
      <c r="J3605" s="165">
        <v>20</v>
      </c>
      <c r="K3605" s="150">
        <v>1</v>
      </c>
      <c r="L3605" s="658">
        <v>6.333333333333333</v>
      </c>
      <c r="M3605" s="663">
        <v>35602</v>
      </c>
      <c r="N3605" s="600">
        <v>424.69099999999997</v>
      </c>
      <c r="O3605" s="604">
        <v>10.91554</v>
      </c>
      <c r="P3605" s="150"/>
      <c r="Q3605" s="250">
        <v>0.46700000000000003</v>
      </c>
      <c r="R3605" s="250">
        <v>0.34399999999999997</v>
      </c>
      <c r="S3605" s="250">
        <v>0.114</v>
      </c>
      <c r="T3605" s="250">
        <v>1.1000000000000001E-2</v>
      </c>
      <c r="U3605" s="250">
        <v>6.0000000000000001E-3</v>
      </c>
      <c r="V3605" s="250">
        <v>1.2E-2</v>
      </c>
      <c r="W3605" s="250">
        <v>2.4E-2</v>
      </c>
      <c r="X3605" s="250">
        <v>0.02</v>
      </c>
      <c r="Y3605" s="250">
        <v>2E-3</v>
      </c>
      <c r="Z3605" s="150">
        <v>66</v>
      </c>
      <c r="AA3605" s="150">
        <v>29.94</v>
      </c>
      <c r="AB3605" s="152"/>
      <c r="AC3605" s="152"/>
      <c r="AD3605" s="223">
        <v>85.950779999999995</v>
      </c>
      <c r="AE3605" s="223">
        <v>2.10041381</v>
      </c>
      <c r="AF3605" s="223">
        <v>180.52648379999999</v>
      </c>
      <c r="AG3605" s="223">
        <v>2.336865532</v>
      </c>
      <c r="AH3605" s="341"/>
      <c r="AI3605" s="218"/>
      <c r="AJ3605" s="218"/>
      <c r="AK3605" s="153"/>
      <c r="AL3605" s="152"/>
      <c r="AM3605" s="152"/>
      <c r="AN3605" s="152"/>
      <c r="AO3605" s="152"/>
      <c r="AP3605" s="152"/>
      <c r="AQ3605" s="152"/>
      <c r="AR3605" s="152"/>
      <c r="AS3605" s="152"/>
      <c r="AT3605" s="152"/>
      <c r="AU3605" s="153"/>
      <c r="AV3605" s="479"/>
      <c r="AW3605" s="479"/>
      <c r="AX3605" s="442"/>
      <c r="AY3605" s="153"/>
      <c r="AZ3605" s="152"/>
      <c r="BA3605" s="152"/>
      <c r="BB3605" s="152"/>
      <c r="BC3605" s="152"/>
      <c r="BD3605" s="152"/>
      <c r="BE3605" s="152"/>
      <c r="BF3605" s="152"/>
      <c r="BG3605" s="152"/>
      <c r="BH3605" s="152"/>
      <c r="BI3605" s="153"/>
      <c r="BJ3605" s="153"/>
      <c r="BK3605" s="153"/>
      <c r="BL3605" s="153"/>
      <c r="BM3605" s="153"/>
      <c r="BN3605" s="153"/>
      <c r="BO3605" s="153"/>
      <c r="BP3605" s="153"/>
      <c r="BQ3605" s="153"/>
      <c r="BR3605" s="153"/>
      <c r="BS3605" s="153"/>
      <c r="BT3605" s="153"/>
      <c r="BU3605" s="153"/>
      <c r="BV3605" s="153"/>
      <c r="BW3605" s="153"/>
      <c r="BX3605" s="153"/>
      <c r="BY3605" s="153"/>
      <c r="BZ3605" s="153"/>
      <c r="CA3605" s="152"/>
      <c r="CB3605" s="152"/>
    </row>
    <row r="3606" spans="1:80" s="87" customFormat="1" ht="15" x14ac:dyDescent="0.25">
      <c r="A3606" s="152"/>
      <c r="B3606" s="683"/>
      <c r="C3606" s="683"/>
      <c r="D3606" s="698"/>
      <c r="E3606" s="215"/>
      <c r="F3606" s="215"/>
      <c r="G3606" s="153"/>
      <c r="H3606" s="153"/>
      <c r="I3606" s="165">
        <v>18</v>
      </c>
      <c r="J3606" s="165">
        <v>20</v>
      </c>
      <c r="K3606" s="150">
        <v>1</v>
      </c>
      <c r="L3606" s="658">
        <v>6</v>
      </c>
      <c r="M3606" s="663">
        <v>35604</v>
      </c>
      <c r="N3606" s="600">
        <v>353.90899999999999</v>
      </c>
      <c r="O3606" s="604">
        <v>2.0781520000000002</v>
      </c>
      <c r="P3606" s="150"/>
      <c r="Q3606" s="250">
        <v>0.52400000000000002</v>
      </c>
      <c r="R3606" s="250">
        <v>0.04</v>
      </c>
      <c r="S3606" s="250">
        <v>0.114</v>
      </c>
      <c r="T3606" s="250">
        <v>7.2999999999999995E-2</v>
      </c>
      <c r="U3606" s="250">
        <v>5.7999999999999996E-2</v>
      </c>
      <c r="V3606" s="250">
        <v>5.4000000000000006E-2</v>
      </c>
      <c r="W3606" s="250">
        <v>6.0999999999999999E-2</v>
      </c>
      <c r="X3606" s="250">
        <v>6.6000000000000003E-2</v>
      </c>
      <c r="Y3606" s="250">
        <v>0.01</v>
      </c>
      <c r="Z3606" s="150">
        <v>50</v>
      </c>
      <c r="AA3606" s="150">
        <v>48.5</v>
      </c>
      <c r="AB3606" s="152"/>
      <c r="AC3606" s="152"/>
      <c r="AD3606" s="223">
        <v>84.664565999999994</v>
      </c>
      <c r="AE3606" s="223">
        <v>1.8192461719999999</v>
      </c>
      <c r="AF3606" s="223">
        <v>154.02080659999999</v>
      </c>
      <c r="AG3606" s="223">
        <v>2.2610704589999999</v>
      </c>
      <c r="AH3606" s="341"/>
      <c r="AI3606" s="218"/>
      <c r="AJ3606" s="218"/>
      <c r="AK3606" s="153"/>
      <c r="AL3606" s="152"/>
      <c r="AM3606" s="152"/>
      <c r="AN3606" s="152"/>
      <c r="AO3606" s="152"/>
      <c r="AP3606" s="152"/>
      <c r="AQ3606" s="152"/>
      <c r="AR3606" s="152"/>
      <c r="AS3606" s="152"/>
      <c r="AT3606" s="152"/>
      <c r="AU3606" s="153"/>
      <c r="AV3606" s="479"/>
      <c r="AW3606" s="479"/>
      <c r="AX3606" s="442"/>
      <c r="AY3606" s="153"/>
      <c r="AZ3606" s="152"/>
      <c r="BA3606" s="152"/>
      <c r="BB3606" s="152"/>
      <c r="BC3606" s="152"/>
      <c r="BD3606" s="152"/>
      <c r="BE3606" s="152"/>
      <c r="BF3606" s="152"/>
      <c r="BG3606" s="152"/>
      <c r="BH3606" s="152"/>
      <c r="BI3606" s="153"/>
      <c r="BJ3606" s="153"/>
      <c r="BK3606" s="153"/>
      <c r="BL3606" s="153"/>
      <c r="BM3606" s="153"/>
      <c r="BN3606" s="153"/>
      <c r="BO3606" s="153"/>
      <c r="BP3606" s="153"/>
      <c r="BQ3606" s="153"/>
      <c r="BR3606" s="153"/>
      <c r="BS3606" s="153"/>
      <c r="BT3606" s="153"/>
      <c r="BU3606" s="153"/>
      <c r="BV3606" s="153"/>
      <c r="BW3606" s="153"/>
      <c r="BX3606" s="153"/>
      <c r="BY3606" s="153"/>
      <c r="BZ3606" s="153"/>
      <c r="CA3606" s="152"/>
      <c r="CB3606" s="152"/>
    </row>
    <row r="3607" spans="1:80" s="87" customFormat="1" ht="15" x14ac:dyDescent="0.25">
      <c r="A3607" s="152"/>
      <c r="B3607" s="683"/>
      <c r="C3607" s="683"/>
      <c r="D3607" s="698"/>
      <c r="E3607" s="215"/>
      <c r="F3607" s="215"/>
      <c r="G3607" s="153"/>
      <c r="H3607" s="153"/>
      <c r="I3607" s="165">
        <v>18</v>
      </c>
      <c r="J3607" s="165">
        <v>20</v>
      </c>
      <c r="K3607" s="150">
        <v>1</v>
      </c>
      <c r="L3607" s="658">
        <v>6</v>
      </c>
      <c r="M3607" s="663">
        <v>35604</v>
      </c>
      <c r="N3607" s="600">
        <v>351.077</v>
      </c>
      <c r="O3607" s="604">
        <v>2.6449199999999999</v>
      </c>
      <c r="P3607" s="150"/>
      <c r="Q3607" s="250">
        <v>0.187</v>
      </c>
      <c r="R3607" s="250">
        <v>0.10400000000000001</v>
      </c>
      <c r="S3607" s="250">
        <v>0.153</v>
      </c>
      <c r="T3607" s="250">
        <v>0.16200000000000001</v>
      </c>
      <c r="U3607" s="250">
        <v>0.16300000000000001</v>
      </c>
      <c r="V3607" s="250">
        <v>0.12</v>
      </c>
      <c r="W3607" s="250">
        <v>6.3E-2</v>
      </c>
      <c r="X3607" s="250">
        <v>4.2999999999999997E-2</v>
      </c>
      <c r="Y3607" s="250">
        <v>6.0000000000000001E-3</v>
      </c>
      <c r="Z3607" s="150">
        <v>43</v>
      </c>
      <c r="AA3607" s="150">
        <v>6.27</v>
      </c>
      <c r="AB3607" s="152"/>
      <c r="AC3607" s="152"/>
      <c r="AD3607" s="223">
        <v>84.664565999999994</v>
      </c>
      <c r="AE3607" s="223">
        <v>1.8192461719999999</v>
      </c>
      <c r="AF3607" s="223">
        <v>154.02080659999999</v>
      </c>
      <c r="AG3607" s="223">
        <v>2.2610704589999999</v>
      </c>
      <c r="AH3607" s="341"/>
      <c r="AI3607" s="218"/>
      <c r="AJ3607" s="218"/>
      <c r="AK3607" s="153"/>
      <c r="AL3607" s="152"/>
      <c r="AM3607" s="152"/>
      <c r="AN3607" s="152"/>
      <c r="AO3607" s="152"/>
      <c r="AP3607" s="152"/>
      <c r="AQ3607" s="152"/>
      <c r="AR3607" s="152"/>
      <c r="AS3607" s="152"/>
      <c r="AT3607" s="152"/>
      <c r="AU3607" s="153"/>
      <c r="AV3607" s="479"/>
      <c r="AW3607" s="479"/>
      <c r="AX3607" s="442"/>
      <c r="AY3607" s="153"/>
      <c r="AZ3607" s="152"/>
      <c r="BA3607" s="152"/>
      <c r="BB3607" s="152"/>
      <c r="BC3607" s="152"/>
      <c r="BD3607" s="152"/>
      <c r="BE3607" s="152"/>
      <c r="BF3607" s="152"/>
      <c r="BG3607" s="152"/>
      <c r="BH3607" s="152"/>
      <c r="BI3607" s="153"/>
      <c r="BJ3607" s="153"/>
      <c r="BK3607" s="153"/>
      <c r="BL3607" s="153"/>
      <c r="BM3607" s="153"/>
      <c r="BN3607" s="153"/>
      <c r="BO3607" s="153"/>
      <c r="BP3607" s="153"/>
      <c r="BQ3607" s="153"/>
      <c r="BR3607" s="153"/>
      <c r="BS3607" s="153"/>
      <c r="BT3607" s="153"/>
      <c r="BU3607" s="153"/>
      <c r="BV3607" s="153"/>
      <c r="BW3607" s="153"/>
      <c r="BX3607" s="153"/>
      <c r="BY3607" s="153"/>
      <c r="BZ3607" s="153"/>
      <c r="CA3607" s="152"/>
      <c r="CB3607" s="152"/>
    </row>
    <row r="3608" spans="1:80" s="87" customFormat="1" ht="15" x14ac:dyDescent="0.25">
      <c r="A3608" s="152"/>
      <c r="B3608" s="683"/>
      <c r="C3608" s="683"/>
      <c r="D3608" s="698"/>
      <c r="E3608" s="215"/>
      <c r="F3608" s="215"/>
      <c r="G3608" s="153"/>
      <c r="H3608" s="153"/>
      <c r="I3608" s="165">
        <v>18</v>
      </c>
      <c r="J3608" s="165">
        <v>20</v>
      </c>
      <c r="K3608" s="150">
        <v>1</v>
      </c>
      <c r="L3608" s="658">
        <v>6</v>
      </c>
      <c r="M3608" s="663">
        <v>35605</v>
      </c>
      <c r="N3608" s="600">
        <v>325.596</v>
      </c>
      <c r="O3608" s="604">
        <v>3.0017740000000002</v>
      </c>
      <c r="P3608" s="150"/>
      <c r="Q3608" s="250">
        <v>0.124</v>
      </c>
      <c r="R3608" s="250">
        <v>0.34600000000000003</v>
      </c>
      <c r="S3608" s="250">
        <v>0.17199999999999999</v>
      </c>
      <c r="T3608" s="250">
        <v>0.10099999999999999</v>
      </c>
      <c r="U3608" s="250">
        <v>8.3000000000000004E-2</v>
      </c>
      <c r="V3608" s="250">
        <v>7.0999999999999994E-2</v>
      </c>
      <c r="W3608" s="250">
        <v>5.0999999999999997E-2</v>
      </c>
      <c r="X3608" s="250">
        <v>4.4000000000000004E-2</v>
      </c>
      <c r="Y3608" s="250">
        <v>8.0000000000000002E-3</v>
      </c>
      <c r="Z3608" s="150">
        <v>42</v>
      </c>
      <c r="AA3608" s="150">
        <v>14.18</v>
      </c>
      <c r="AB3608" s="152"/>
      <c r="AC3608" s="152"/>
      <c r="AD3608" s="223">
        <v>84.637135000000001</v>
      </c>
      <c r="AE3608" s="223">
        <v>1.697239288</v>
      </c>
      <c r="AF3608" s="223">
        <v>143.64491839999999</v>
      </c>
      <c r="AG3608" s="223">
        <v>2.187867867</v>
      </c>
      <c r="AH3608" s="341"/>
      <c r="AI3608" s="218"/>
      <c r="AJ3608" s="218"/>
      <c r="AK3608" s="153"/>
      <c r="AL3608" s="152"/>
      <c r="AM3608" s="152"/>
      <c r="AN3608" s="152"/>
      <c r="AO3608" s="152"/>
      <c r="AP3608" s="152"/>
      <c r="AQ3608" s="152"/>
      <c r="AR3608" s="152"/>
      <c r="AS3608" s="152"/>
      <c r="AT3608" s="152"/>
      <c r="AU3608" s="153"/>
      <c r="AV3608" s="479"/>
      <c r="AW3608" s="479"/>
      <c r="AX3608" s="442"/>
      <c r="AY3608" s="153"/>
      <c r="AZ3608" s="152"/>
      <c r="BA3608" s="152"/>
      <c r="BB3608" s="152"/>
      <c r="BC3608" s="152"/>
      <c r="BD3608" s="152"/>
      <c r="BE3608" s="152"/>
      <c r="BF3608" s="152"/>
      <c r="BG3608" s="152"/>
      <c r="BH3608" s="152"/>
      <c r="BI3608" s="153"/>
      <c r="BJ3608" s="153"/>
      <c r="BK3608" s="153"/>
      <c r="BL3608" s="153"/>
      <c r="BM3608" s="153"/>
      <c r="BN3608" s="153"/>
      <c r="BO3608" s="153"/>
      <c r="BP3608" s="153"/>
      <c r="BQ3608" s="153"/>
      <c r="BR3608" s="153"/>
      <c r="BS3608" s="153"/>
      <c r="BT3608" s="153"/>
      <c r="BU3608" s="153"/>
      <c r="BV3608" s="153"/>
      <c r="BW3608" s="153"/>
      <c r="BX3608" s="153"/>
      <c r="BY3608" s="153"/>
      <c r="BZ3608" s="153"/>
      <c r="CA3608" s="152"/>
      <c r="CB3608" s="152"/>
    </row>
    <row r="3609" spans="1:80" s="87" customFormat="1" ht="15" x14ac:dyDescent="0.25">
      <c r="A3609" s="152"/>
      <c r="B3609" s="683"/>
      <c r="C3609" s="683"/>
      <c r="D3609" s="698"/>
      <c r="E3609" s="215"/>
      <c r="F3609" s="215"/>
      <c r="G3609" s="153"/>
      <c r="H3609" s="153"/>
      <c r="I3609" s="165">
        <v>18</v>
      </c>
      <c r="J3609" s="165">
        <v>20</v>
      </c>
      <c r="K3609" s="150">
        <v>1</v>
      </c>
      <c r="L3609" s="658">
        <v>6</v>
      </c>
      <c r="M3609" s="663">
        <v>35605</v>
      </c>
      <c r="N3609" s="600">
        <v>325.596</v>
      </c>
      <c r="O3609" s="604">
        <v>0.928871</v>
      </c>
      <c r="P3609" s="150"/>
      <c r="Q3609" s="250"/>
      <c r="R3609" s="250">
        <v>0.14499999999999999</v>
      </c>
      <c r="S3609" s="250">
        <v>6.7000000000000004E-2</v>
      </c>
      <c r="T3609" s="250">
        <v>0.10800000000000001</v>
      </c>
      <c r="U3609" s="250">
        <v>0.161</v>
      </c>
      <c r="V3609" s="250">
        <v>0.188</v>
      </c>
      <c r="W3609" s="250">
        <v>0.16800000000000001</v>
      </c>
      <c r="X3609" s="250">
        <v>0.14499999999999999</v>
      </c>
      <c r="Y3609" s="250">
        <v>1.9E-2</v>
      </c>
      <c r="Z3609" s="150">
        <v>30</v>
      </c>
      <c r="AA3609" s="150">
        <v>1.86</v>
      </c>
      <c r="AB3609" s="152"/>
      <c r="AC3609" s="152"/>
      <c r="AD3609" s="223">
        <v>84.637135000000001</v>
      </c>
      <c r="AE3609" s="223">
        <v>1.697239288</v>
      </c>
      <c r="AF3609" s="223">
        <v>143.64491839999999</v>
      </c>
      <c r="AG3609" s="223">
        <v>2.187867867</v>
      </c>
      <c r="AH3609" s="341"/>
      <c r="AI3609" s="218"/>
      <c r="AJ3609" s="218"/>
      <c r="AK3609" s="153"/>
      <c r="AL3609" s="152"/>
      <c r="AM3609" s="152"/>
      <c r="AN3609" s="152"/>
      <c r="AO3609" s="152"/>
      <c r="AP3609" s="152"/>
      <c r="AQ3609" s="152"/>
      <c r="AR3609" s="152"/>
      <c r="AS3609" s="152"/>
      <c r="AT3609" s="152"/>
      <c r="AU3609" s="153"/>
      <c r="AV3609" s="479"/>
      <c r="AW3609" s="479"/>
      <c r="AX3609" s="442"/>
      <c r="AY3609" s="153"/>
      <c r="AZ3609" s="152"/>
      <c r="BA3609" s="152"/>
      <c r="BB3609" s="152"/>
      <c r="BC3609" s="152"/>
      <c r="BD3609" s="152"/>
      <c r="BE3609" s="152"/>
      <c r="BF3609" s="152"/>
      <c r="BG3609" s="152"/>
      <c r="BH3609" s="152"/>
      <c r="BI3609" s="153"/>
      <c r="BJ3609" s="153"/>
      <c r="BK3609" s="153"/>
      <c r="BL3609" s="153"/>
      <c r="BM3609" s="153"/>
      <c r="BN3609" s="153"/>
      <c r="BO3609" s="153"/>
      <c r="BP3609" s="153"/>
      <c r="BQ3609" s="153"/>
      <c r="BR3609" s="153"/>
      <c r="BS3609" s="153"/>
      <c r="BT3609" s="153"/>
      <c r="BU3609" s="153"/>
      <c r="BV3609" s="153"/>
      <c r="BW3609" s="153"/>
      <c r="BX3609" s="153"/>
      <c r="BY3609" s="153"/>
      <c r="BZ3609" s="153"/>
      <c r="CA3609" s="152"/>
      <c r="CB3609" s="152"/>
    </row>
    <row r="3610" spans="1:80" s="87" customFormat="1" ht="15" x14ac:dyDescent="0.25">
      <c r="A3610" s="152"/>
      <c r="B3610" s="683"/>
      <c r="C3610" s="683"/>
      <c r="D3610" s="698"/>
      <c r="E3610" s="215"/>
      <c r="F3610" s="215"/>
      <c r="G3610" s="153"/>
      <c r="H3610" s="153"/>
      <c r="I3610" s="165">
        <v>18</v>
      </c>
      <c r="J3610" s="165">
        <v>20</v>
      </c>
      <c r="K3610" s="150">
        <v>1</v>
      </c>
      <c r="L3610" s="658">
        <v>6</v>
      </c>
      <c r="M3610" s="663">
        <v>35606</v>
      </c>
      <c r="N3610" s="600">
        <v>300.11500000000001</v>
      </c>
      <c r="O3610" s="604">
        <v>0.30017700000000003</v>
      </c>
      <c r="P3610" s="150"/>
      <c r="Q3610" s="250"/>
      <c r="R3610" s="250">
        <v>0.17100000000000001</v>
      </c>
      <c r="S3610" s="250">
        <v>4.5999999999999999E-2</v>
      </c>
      <c r="T3610" s="250">
        <v>6.5000000000000002E-2</v>
      </c>
      <c r="U3610" s="250">
        <v>7.6999999999999999E-2</v>
      </c>
      <c r="V3610" s="250">
        <v>0.113</v>
      </c>
      <c r="W3610" s="250">
        <v>0.2</v>
      </c>
      <c r="X3610" s="250">
        <v>0.28499999999999998</v>
      </c>
      <c r="Y3610" s="250">
        <v>4.2999999999999997E-2</v>
      </c>
      <c r="Z3610" s="150">
        <v>23</v>
      </c>
      <c r="AA3610" s="150">
        <v>0.91</v>
      </c>
      <c r="AB3610" s="152"/>
      <c r="AC3610" s="152"/>
      <c r="AD3610" s="223">
        <v>83.268628000000007</v>
      </c>
      <c r="AE3610" s="223">
        <v>1.608447784</v>
      </c>
      <c r="AF3610" s="223">
        <v>133.92899560000001</v>
      </c>
      <c r="AG3610" s="223">
        <v>2.1077006260000002</v>
      </c>
      <c r="AH3610" s="341"/>
      <c r="AI3610" s="218"/>
      <c r="AJ3610" s="218"/>
      <c r="AK3610" s="153"/>
      <c r="AL3610" s="152"/>
      <c r="AM3610" s="152"/>
      <c r="AN3610" s="152"/>
      <c r="AO3610" s="152"/>
      <c r="AP3610" s="152"/>
      <c r="AQ3610" s="152"/>
      <c r="AR3610" s="152"/>
      <c r="AS3610" s="152"/>
      <c r="AT3610" s="152"/>
      <c r="AU3610" s="153"/>
      <c r="AV3610" s="479"/>
      <c r="AW3610" s="479"/>
      <c r="AX3610" s="442"/>
      <c r="AY3610" s="153"/>
      <c r="AZ3610" s="152"/>
      <c r="BA3610" s="152"/>
      <c r="BB3610" s="152"/>
      <c r="BC3610" s="152"/>
      <c r="BD3610" s="152"/>
      <c r="BE3610" s="152"/>
      <c r="BF3610" s="152"/>
      <c r="BG3610" s="152"/>
      <c r="BH3610" s="152"/>
      <c r="BI3610" s="153"/>
      <c r="BJ3610" s="153"/>
      <c r="BK3610" s="153"/>
      <c r="BL3610" s="153"/>
      <c r="BM3610" s="153"/>
      <c r="BN3610" s="153"/>
      <c r="BO3610" s="153"/>
      <c r="BP3610" s="153"/>
      <c r="BQ3610" s="153"/>
      <c r="BR3610" s="153"/>
      <c r="BS3610" s="153"/>
      <c r="BT3610" s="153"/>
      <c r="BU3610" s="153"/>
      <c r="BV3610" s="153"/>
      <c r="BW3610" s="153"/>
      <c r="BX3610" s="153"/>
      <c r="BY3610" s="153"/>
      <c r="BZ3610" s="153"/>
      <c r="CA3610" s="152"/>
      <c r="CB3610" s="152"/>
    </row>
    <row r="3611" spans="1:80" s="87" customFormat="1" ht="15" x14ac:dyDescent="0.25">
      <c r="A3611" s="152"/>
      <c r="B3611" s="683"/>
      <c r="C3611" s="683"/>
      <c r="D3611" s="698"/>
      <c r="E3611" s="215"/>
      <c r="F3611" s="215"/>
      <c r="G3611" s="153"/>
      <c r="H3611" s="153"/>
      <c r="I3611" s="165">
        <v>18</v>
      </c>
      <c r="J3611" s="165">
        <v>20</v>
      </c>
      <c r="K3611" s="150">
        <v>1</v>
      </c>
      <c r="L3611" s="658">
        <v>6</v>
      </c>
      <c r="M3611" s="663">
        <v>35606</v>
      </c>
      <c r="N3611" s="600">
        <v>300.11500000000001</v>
      </c>
      <c r="O3611" s="604">
        <v>1.0600670000000001</v>
      </c>
      <c r="P3611" s="150"/>
      <c r="Q3611" s="250"/>
      <c r="R3611" s="250">
        <v>0.17399999999999999</v>
      </c>
      <c r="S3611" s="250">
        <v>0.10800000000000001</v>
      </c>
      <c r="T3611" s="250">
        <v>0.11800000000000001</v>
      </c>
      <c r="U3611" s="250">
        <v>0.09</v>
      </c>
      <c r="V3611" s="250">
        <v>0.11199999999999999</v>
      </c>
      <c r="W3611" s="250">
        <v>0.16200000000000001</v>
      </c>
      <c r="X3611" s="250">
        <v>0.215</v>
      </c>
      <c r="Y3611" s="250">
        <v>2.2000000000000002E-2</v>
      </c>
      <c r="Z3611" s="150">
        <v>32</v>
      </c>
      <c r="AA3611" s="150">
        <v>1.87</v>
      </c>
      <c r="AB3611" s="152"/>
      <c r="AC3611" s="152"/>
      <c r="AD3611" s="223">
        <v>83.268628000000007</v>
      </c>
      <c r="AE3611" s="223">
        <v>1.608447784</v>
      </c>
      <c r="AF3611" s="223">
        <v>133.92899560000001</v>
      </c>
      <c r="AG3611" s="223">
        <v>2.1077006260000002</v>
      </c>
      <c r="AH3611" s="341"/>
      <c r="AI3611" s="218"/>
      <c r="AJ3611" s="218"/>
      <c r="AK3611" s="153"/>
      <c r="AL3611" s="152"/>
      <c r="AM3611" s="152"/>
      <c r="AN3611" s="152"/>
      <c r="AO3611" s="152"/>
      <c r="AP3611" s="152"/>
      <c r="AQ3611" s="152"/>
      <c r="AR3611" s="152"/>
      <c r="AS3611" s="152"/>
      <c r="AT3611" s="152"/>
      <c r="AU3611" s="153"/>
      <c r="AV3611" s="479"/>
      <c r="AW3611" s="479"/>
      <c r="AX3611" s="442"/>
      <c r="AY3611" s="153"/>
      <c r="AZ3611" s="152"/>
      <c r="BA3611" s="152"/>
      <c r="BB3611" s="152"/>
      <c r="BC3611" s="152"/>
      <c r="BD3611" s="152"/>
      <c r="BE3611" s="152"/>
      <c r="BF3611" s="152"/>
      <c r="BG3611" s="152"/>
      <c r="BH3611" s="152"/>
      <c r="BI3611" s="153"/>
      <c r="BJ3611" s="153"/>
      <c r="BK3611" s="153"/>
      <c r="BL3611" s="153"/>
      <c r="BM3611" s="153"/>
      <c r="BN3611" s="153"/>
      <c r="BO3611" s="153"/>
      <c r="BP3611" s="153"/>
      <c r="BQ3611" s="153"/>
      <c r="BR3611" s="153"/>
      <c r="BS3611" s="153"/>
      <c r="BT3611" s="153"/>
      <c r="BU3611" s="153"/>
      <c r="BV3611" s="153"/>
      <c r="BW3611" s="153"/>
      <c r="BX3611" s="153"/>
      <c r="BY3611" s="153"/>
      <c r="BZ3611" s="153"/>
      <c r="CA3611" s="152"/>
      <c r="CB3611" s="152"/>
    </row>
    <row r="3612" spans="1:80" s="87" customFormat="1" ht="15" x14ac:dyDescent="0.25">
      <c r="A3612" s="152"/>
      <c r="B3612" s="683"/>
      <c r="C3612" s="683"/>
      <c r="D3612" s="698"/>
      <c r="E3612" s="215"/>
      <c r="F3612" s="215"/>
      <c r="G3612" s="153"/>
      <c r="H3612" s="153"/>
      <c r="I3612" s="165">
        <v>18</v>
      </c>
      <c r="J3612" s="165">
        <v>20</v>
      </c>
      <c r="K3612" s="150">
        <v>1</v>
      </c>
      <c r="L3612" s="658">
        <v>6</v>
      </c>
      <c r="M3612" s="663">
        <v>35607</v>
      </c>
      <c r="N3612" s="600">
        <v>268.12099999999998</v>
      </c>
      <c r="O3612" s="604">
        <v>0.23510400000000001</v>
      </c>
      <c r="P3612" s="150"/>
      <c r="Q3612" s="250"/>
      <c r="R3612" s="250"/>
      <c r="S3612" s="250">
        <v>9.9000000000000005E-2</v>
      </c>
      <c r="T3612" s="250">
        <v>7.5999999999999998E-2</v>
      </c>
      <c r="U3612" s="250">
        <v>0.113</v>
      </c>
      <c r="V3612" s="250">
        <v>0.156</v>
      </c>
      <c r="W3612" s="250">
        <v>0.19699999999999998</v>
      </c>
      <c r="X3612" s="250">
        <v>0.317</v>
      </c>
      <c r="Y3612" s="250">
        <v>4.2999999999999997E-2</v>
      </c>
      <c r="Z3612" s="150">
        <v>14</v>
      </c>
      <c r="AA3612" s="150">
        <v>0.82</v>
      </c>
      <c r="AB3612" s="152"/>
      <c r="AC3612" s="152"/>
      <c r="AD3612" s="223">
        <v>83.283867999999998</v>
      </c>
      <c r="AE3612" s="223">
        <v>1.4972411379999999</v>
      </c>
      <c r="AF3612" s="223">
        <v>124.69208070000001</v>
      </c>
      <c r="AG3612" s="223">
        <v>2.1071598479999998</v>
      </c>
      <c r="AH3612" s="341"/>
      <c r="AI3612" s="218"/>
      <c r="AJ3612" s="218"/>
      <c r="AK3612" s="153"/>
      <c r="AL3612" s="152"/>
      <c r="AM3612" s="152"/>
      <c r="AN3612" s="152"/>
      <c r="AO3612" s="152"/>
      <c r="AP3612" s="152"/>
      <c r="AQ3612" s="152"/>
      <c r="AR3612" s="152"/>
      <c r="AS3612" s="152"/>
      <c r="AT3612" s="152"/>
      <c r="AU3612" s="153"/>
      <c r="AV3612" s="479"/>
      <c r="AW3612" s="479"/>
      <c r="AX3612" s="442"/>
      <c r="AY3612" s="153"/>
      <c r="AZ3612" s="152"/>
      <c r="BA3612" s="152"/>
      <c r="BB3612" s="152"/>
      <c r="BC3612" s="152"/>
      <c r="BD3612" s="152"/>
      <c r="BE3612" s="152"/>
      <c r="BF3612" s="152"/>
      <c r="BG3612" s="152"/>
      <c r="BH3612" s="152"/>
      <c r="BI3612" s="153"/>
      <c r="BJ3612" s="153"/>
      <c r="BK3612" s="153"/>
      <c r="BL3612" s="153"/>
      <c r="BM3612" s="153"/>
      <c r="BN3612" s="153"/>
      <c r="BO3612" s="153"/>
      <c r="BP3612" s="153"/>
      <c r="BQ3612" s="153"/>
      <c r="BR3612" s="153"/>
      <c r="BS3612" s="153"/>
      <c r="BT3612" s="153"/>
      <c r="BU3612" s="153"/>
      <c r="BV3612" s="153"/>
      <c r="BW3612" s="153"/>
      <c r="BX3612" s="153"/>
      <c r="BY3612" s="153"/>
      <c r="BZ3612" s="153"/>
      <c r="CA3612" s="152"/>
      <c r="CB3612" s="152"/>
    </row>
    <row r="3613" spans="1:80" s="87" customFormat="1" ht="15" x14ac:dyDescent="0.25">
      <c r="A3613" s="152"/>
      <c r="B3613" s="683"/>
      <c r="C3613" s="683"/>
      <c r="D3613" s="698"/>
      <c r="E3613" s="215"/>
      <c r="F3613" s="215"/>
      <c r="G3613" s="153"/>
      <c r="H3613" s="153"/>
      <c r="I3613" s="165">
        <v>18</v>
      </c>
      <c r="J3613" s="165">
        <v>20</v>
      </c>
      <c r="K3613" s="150">
        <v>1</v>
      </c>
      <c r="L3613" s="658">
        <v>6</v>
      </c>
      <c r="M3613" s="663">
        <v>35607</v>
      </c>
      <c r="N3613" s="600">
        <v>266.423</v>
      </c>
      <c r="O3613" s="604">
        <v>0.32011899999999999</v>
      </c>
      <c r="P3613" s="150"/>
      <c r="Q3613" s="250"/>
      <c r="R3613" s="250"/>
      <c r="S3613" s="250">
        <v>0.188</v>
      </c>
      <c r="T3613" s="250">
        <v>5.5E-2</v>
      </c>
      <c r="U3613" s="250">
        <v>7.9000000000000001E-2</v>
      </c>
      <c r="V3613" s="250">
        <v>0.114</v>
      </c>
      <c r="W3613" s="250">
        <v>0.22</v>
      </c>
      <c r="X3613" s="250">
        <v>0.30499999999999999</v>
      </c>
      <c r="Y3613" s="250">
        <v>3.9E-2</v>
      </c>
      <c r="Z3613" s="150">
        <v>17</v>
      </c>
      <c r="AA3613" s="150">
        <v>0.82</v>
      </c>
      <c r="AB3613" s="152"/>
      <c r="AC3613" s="152"/>
      <c r="AD3613" s="223">
        <v>83.283867999999998</v>
      </c>
      <c r="AE3613" s="223">
        <v>1.4972411379999999</v>
      </c>
      <c r="AF3613" s="223">
        <v>124.69208070000001</v>
      </c>
      <c r="AG3613" s="223">
        <v>2.1071598479999998</v>
      </c>
      <c r="AH3613" s="341"/>
      <c r="AI3613" s="218"/>
      <c r="AJ3613" s="218"/>
      <c r="AK3613" s="153"/>
      <c r="AL3613" s="152"/>
      <c r="AM3613" s="152"/>
      <c r="AN3613" s="152"/>
      <c r="AO3613" s="152"/>
      <c r="AP3613" s="152"/>
      <c r="AQ3613" s="152"/>
      <c r="AR3613" s="152"/>
      <c r="AS3613" s="152"/>
      <c r="AT3613" s="152"/>
      <c r="AU3613" s="153"/>
      <c r="AV3613" s="479"/>
      <c r="AW3613" s="479"/>
      <c r="AX3613" s="442"/>
      <c r="AY3613" s="153"/>
      <c r="AZ3613" s="152"/>
      <c r="BA3613" s="152"/>
      <c r="BB3613" s="152"/>
      <c r="BC3613" s="152"/>
      <c r="BD3613" s="152"/>
      <c r="BE3613" s="152"/>
      <c r="BF3613" s="152"/>
      <c r="BG3613" s="152"/>
      <c r="BH3613" s="152"/>
      <c r="BI3613" s="153"/>
      <c r="BJ3613" s="153"/>
      <c r="BK3613" s="153"/>
      <c r="BL3613" s="153"/>
      <c r="BM3613" s="153"/>
      <c r="BN3613" s="153"/>
      <c r="BO3613" s="153"/>
      <c r="BP3613" s="153"/>
      <c r="BQ3613" s="153"/>
      <c r="BR3613" s="153"/>
      <c r="BS3613" s="153"/>
      <c r="BT3613" s="153"/>
      <c r="BU3613" s="153"/>
      <c r="BV3613" s="153"/>
      <c r="BW3613" s="153"/>
      <c r="BX3613" s="153"/>
      <c r="BY3613" s="153"/>
      <c r="BZ3613" s="153"/>
      <c r="CA3613" s="152"/>
      <c r="CB3613" s="152"/>
    </row>
    <row r="3614" spans="1:80" ht="15" x14ac:dyDescent="0.25">
      <c r="A3614" s="9" t="s">
        <v>203</v>
      </c>
      <c r="B3614" s="639" t="s">
        <v>66</v>
      </c>
      <c r="C3614" s="639" t="s">
        <v>607</v>
      </c>
      <c r="D3614" s="4">
        <f>VLOOKUP(E3614,'Quality Code'!D4:E24,2,TRUE)*VLOOKUP(MROUND(F3614,10),'Quality Code'!D28:E69,2,TRUE)*VLOOKUP(COUNTA(CB3614:CB3624),'Quality Code'!D73:E93,2,TRUE)</f>
        <v>2.8000000000000003</v>
      </c>
      <c r="E3614" s="14">
        <v>0.8</v>
      </c>
      <c r="F3614" s="18">
        <v>72</v>
      </c>
      <c r="G3614" s="12">
        <v>4954.43</v>
      </c>
      <c r="H3614" s="2" t="s">
        <v>231</v>
      </c>
      <c r="I3614" s="10"/>
      <c r="J3614" s="10" t="s">
        <v>283</v>
      </c>
      <c r="K3614" s="10"/>
      <c r="L3614" s="640" t="s">
        <v>284</v>
      </c>
      <c r="M3614" s="640" t="s">
        <v>838</v>
      </c>
      <c r="N3614" s="579" t="s">
        <v>285</v>
      </c>
      <c r="O3614" s="579"/>
      <c r="P3614" s="10" t="s">
        <v>64</v>
      </c>
      <c r="Q3614" s="10" t="s">
        <v>64</v>
      </c>
      <c r="R3614" s="10" t="s">
        <v>64</v>
      </c>
      <c r="S3614" s="10" t="s">
        <v>64</v>
      </c>
      <c r="T3614" s="10" t="s">
        <v>64</v>
      </c>
      <c r="U3614" s="10" t="s">
        <v>64</v>
      </c>
      <c r="V3614" s="10"/>
      <c r="W3614" s="10"/>
      <c r="X3614" s="10"/>
      <c r="Y3614" s="10"/>
      <c r="Z3614" s="11"/>
      <c r="AA3614" s="81"/>
      <c r="AB3614" s="81"/>
      <c r="AC3614" s="116">
        <v>2.0999999999999999E-3</v>
      </c>
      <c r="AD3614" s="11"/>
      <c r="AE3614" s="11"/>
      <c r="AF3614" s="10"/>
      <c r="AG3614" s="10"/>
      <c r="AH3614" s="345" t="s">
        <v>355</v>
      </c>
      <c r="AI3614" s="18">
        <v>23.9</v>
      </c>
      <c r="AJ3614" s="17">
        <v>1</v>
      </c>
      <c r="AK3614" s="17">
        <v>0.89530436001600411</v>
      </c>
      <c r="AL3614" s="17">
        <v>0.77149040672671287</v>
      </c>
      <c r="AM3614" s="17">
        <v>0.57909350228175049</v>
      </c>
      <c r="AN3614" s="17">
        <v>0.38467577243827811</v>
      </c>
      <c r="AO3614" s="17">
        <v>0.2577558992934188</v>
      </c>
      <c r="AP3614" s="17">
        <v>0.18391797764507342</v>
      </c>
      <c r="AQ3614" s="17">
        <v>0.14469330854476858</v>
      </c>
      <c r="AR3614" s="17">
        <v>7.1300000000000002E-2</v>
      </c>
      <c r="AS3614" s="17">
        <v>1.55E-2</v>
      </c>
      <c r="AT3614" s="17">
        <v>2.3E-3</v>
      </c>
      <c r="AU3614" s="18">
        <v>185</v>
      </c>
      <c r="AV3614" s="17">
        <v>1</v>
      </c>
      <c r="AW3614" s="17">
        <v>1</v>
      </c>
      <c r="AX3614" s="17">
        <v>0.76139999999999997</v>
      </c>
      <c r="AY3614" s="17">
        <v>0.35680000000000001</v>
      </c>
      <c r="AZ3614" s="17">
        <v>0.19769999999999999</v>
      </c>
      <c r="BA3614" s="17">
        <v>0.1273</v>
      </c>
      <c r="BB3614" s="17">
        <v>0.1091</v>
      </c>
      <c r="BC3614" s="17">
        <v>0.10680000000000001</v>
      </c>
      <c r="BD3614" s="17">
        <v>0.10680000000000001</v>
      </c>
      <c r="BE3614" s="17">
        <v>0.10680000000000001</v>
      </c>
      <c r="BI3614" s="4">
        <f>AU3614/AI3614</f>
        <v>7.7405857740585775</v>
      </c>
      <c r="BJ3614" s="2" t="s">
        <v>68</v>
      </c>
      <c r="BK3614" s="2" t="s">
        <v>175</v>
      </c>
      <c r="BL3614" s="12"/>
      <c r="BM3614" s="12">
        <v>651.19200000000001</v>
      </c>
      <c r="BN3614" s="12">
        <v>94.789689999999993</v>
      </c>
      <c r="BO3614" s="12">
        <v>3.6849110999999999</v>
      </c>
      <c r="BP3614" s="12">
        <v>349.28143999999998</v>
      </c>
      <c r="BQ3614" s="12">
        <f>BN3614/BO3614</f>
        <v>25.723738626964433</v>
      </c>
      <c r="BR3614" s="12" t="s">
        <v>29</v>
      </c>
      <c r="BS3614" s="18">
        <v>6</v>
      </c>
      <c r="BT3614" s="12">
        <v>3.3526899999999999</v>
      </c>
      <c r="BU3614" s="2"/>
      <c r="BV3614" s="2"/>
      <c r="BW3614" s="2"/>
      <c r="BX3614" s="2"/>
      <c r="BY3614" s="2"/>
      <c r="BZ3614" s="2"/>
      <c r="CA3614" s="381"/>
      <c r="CB3614" s="9" t="s">
        <v>224</v>
      </c>
    </row>
    <row r="3615" spans="1:80" s="87" customFormat="1" ht="15" x14ac:dyDescent="0.25">
      <c r="A3615" s="152"/>
      <c r="B3615" s="683"/>
      <c r="C3615" s="683"/>
      <c r="D3615" s="698"/>
      <c r="E3615" s="215"/>
      <c r="F3615" s="215"/>
      <c r="G3615" s="153"/>
      <c r="H3615" s="153"/>
      <c r="I3615" s="320">
        <v>20</v>
      </c>
      <c r="J3615" s="320">
        <v>60</v>
      </c>
      <c r="K3615" s="150">
        <v>1</v>
      </c>
      <c r="L3615" s="656">
        <v>20</v>
      </c>
      <c r="M3615" s="663">
        <v>34445</v>
      </c>
      <c r="N3615" s="600">
        <v>385.053</v>
      </c>
      <c r="O3615" s="604">
        <v>0.28023599999999999</v>
      </c>
      <c r="P3615" s="150"/>
      <c r="Q3615" s="250"/>
      <c r="R3615" s="250"/>
      <c r="S3615" s="250"/>
      <c r="T3615" s="250">
        <v>1E-3</v>
      </c>
      <c r="U3615" s="250">
        <v>2.5999999999999999E-2</v>
      </c>
      <c r="V3615" s="250">
        <v>0.24</v>
      </c>
      <c r="W3615" s="250">
        <v>0.42700000000000005</v>
      </c>
      <c r="X3615" s="250">
        <v>0.28600000000000003</v>
      </c>
      <c r="Y3615" s="250">
        <v>0.02</v>
      </c>
      <c r="Z3615" s="150"/>
      <c r="AA3615" s="223">
        <v>0.69</v>
      </c>
      <c r="AB3615" s="152"/>
      <c r="AC3615" s="152"/>
      <c r="AD3615" s="223"/>
      <c r="AE3615" s="223"/>
      <c r="AF3615" s="223"/>
      <c r="AG3615" s="223"/>
      <c r="AH3615" s="341"/>
      <c r="AI3615" s="218"/>
      <c r="AJ3615" s="218"/>
      <c r="AK3615" s="153"/>
      <c r="AL3615" s="152"/>
      <c r="AM3615" s="152"/>
      <c r="AN3615" s="152"/>
      <c r="AO3615" s="152"/>
      <c r="AP3615" s="152"/>
      <c r="AQ3615" s="152"/>
      <c r="AR3615" s="152"/>
      <c r="AS3615" s="152"/>
      <c r="AT3615" s="152"/>
      <c r="AU3615" s="153"/>
      <c r="AV3615" s="479"/>
      <c r="AW3615" s="479"/>
      <c r="AX3615" s="442"/>
      <c r="AY3615" s="153"/>
      <c r="AZ3615" s="152"/>
      <c r="BA3615" s="152"/>
      <c r="BB3615" s="152"/>
      <c r="BC3615" s="152"/>
      <c r="BD3615" s="152"/>
      <c r="BE3615" s="152"/>
      <c r="BF3615" s="152"/>
      <c r="BG3615" s="152"/>
      <c r="BH3615" s="152"/>
      <c r="BI3615" s="153"/>
      <c r="BJ3615" s="153"/>
      <c r="BK3615" s="153"/>
      <c r="BL3615" s="153"/>
      <c r="BM3615" s="153"/>
      <c r="BN3615" s="153"/>
      <c r="BO3615" s="153"/>
      <c r="BP3615" s="153"/>
      <c r="BQ3615" s="153"/>
      <c r="BR3615" s="153"/>
      <c r="BS3615" s="153"/>
      <c r="BT3615" s="153"/>
      <c r="BU3615" s="153"/>
      <c r="BV3615" s="153"/>
      <c r="BW3615" s="153"/>
      <c r="BX3615" s="153"/>
      <c r="BY3615" s="153"/>
      <c r="BZ3615" s="153"/>
      <c r="CA3615" s="152"/>
      <c r="CB3615" s="486" t="s">
        <v>638</v>
      </c>
    </row>
    <row r="3616" spans="1:80" s="87" customFormat="1" ht="15" x14ac:dyDescent="0.25">
      <c r="A3616" s="152"/>
      <c r="B3616" s="683"/>
      <c r="C3616" s="683"/>
      <c r="D3616" s="698"/>
      <c r="E3616" s="215"/>
      <c r="F3616" s="215"/>
      <c r="G3616" s="153"/>
      <c r="H3616" s="153"/>
      <c r="I3616" s="320">
        <v>20</v>
      </c>
      <c r="J3616" s="320">
        <v>60</v>
      </c>
      <c r="K3616" s="150">
        <v>1</v>
      </c>
      <c r="L3616" s="656">
        <v>20</v>
      </c>
      <c r="M3616" s="663">
        <v>34445</v>
      </c>
      <c r="N3616" s="600">
        <v>385.053</v>
      </c>
      <c r="O3616" s="604">
        <v>0.15218799999999999</v>
      </c>
      <c r="P3616" s="150"/>
      <c r="Q3616" s="250"/>
      <c r="R3616" s="250"/>
      <c r="S3616" s="250"/>
      <c r="T3616" s="250"/>
      <c r="U3616" s="250">
        <v>1.7000000000000001E-2</v>
      </c>
      <c r="V3616" s="250">
        <v>0.185</v>
      </c>
      <c r="W3616" s="250">
        <v>0.41799999999999998</v>
      </c>
      <c r="X3616" s="250">
        <v>0.34399999999999997</v>
      </c>
      <c r="Y3616" s="250">
        <v>3.6000000000000004E-2</v>
      </c>
      <c r="Z3616" s="150"/>
      <c r="AA3616" s="223">
        <v>0.61</v>
      </c>
      <c r="AB3616" s="152"/>
      <c r="AC3616" s="152"/>
      <c r="AD3616" s="223"/>
      <c r="AE3616" s="223"/>
      <c r="AF3616" s="223"/>
      <c r="AG3616" s="223"/>
      <c r="AH3616" s="341"/>
      <c r="AI3616" s="218"/>
      <c r="AJ3616" s="218"/>
      <c r="AK3616" s="153"/>
      <c r="AL3616" s="152"/>
      <c r="AM3616" s="152"/>
      <c r="AN3616" s="152"/>
      <c r="AO3616" s="152"/>
      <c r="AP3616" s="152"/>
      <c r="AQ3616" s="152"/>
      <c r="AR3616" s="152"/>
      <c r="AS3616" s="152"/>
      <c r="AT3616" s="152"/>
      <c r="AU3616" s="153"/>
      <c r="AV3616" s="479"/>
      <c r="AW3616" s="479"/>
      <c r="AX3616" s="442"/>
      <c r="AY3616" s="153"/>
      <c r="AZ3616" s="152"/>
      <c r="BA3616" s="152"/>
      <c r="BB3616" s="152"/>
      <c r="BC3616" s="152"/>
      <c r="BD3616" s="152"/>
      <c r="BE3616" s="152"/>
      <c r="BF3616" s="152"/>
      <c r="BG3616" s="152"/>
      <c r="BH3616" s="152"/>
      <c r="BI3616" s="153"/>
      <c r="BJ3616" s="153"/>
      <c r="BK3616" s="153"/>
      <c r="BL3616" s="153"/>
      <c r="BM3616" s="153"/>
      <c r="BN3616" s="153"/>
      <c r="BO3616" s="153"/>
      <c r="BP3616" s="153"/>
      <c r="BQ3616" s="153"/>
      <c r="BR3616" s="153"/>
      <c r="BS3616" s="153"/>
      <c r="BT3616" s="153"/>
      <c r="BU3616" s="153"/>
      <c r="BV3616" s="153"/>
      <c r="BW3616" s="153"/>
      <c r="BX3616" s="153"/>
      <c r="BY3616" s="153"/>
      <c r="BZ3616" s="153"/>
      <c r="CA3616" s="152"/>
      <c r="CB3616" s="486" t="s">
        <v>639</v>
      </c>
    </row>
    <row r="3617" spans="1:80" s="87" customFormat="1" ht="15" x14ac:dyDescent="0.25">
      <c r="A3617" s="152"/>
      <c r="B3617" s="683"/>
      <c r="C3617" s="683"/>
      <c r="D3617" s="698"/>
      <c r="E3617" s="215"/>
      <c r="F3617" s="215"/>
      <c r="G3617" s="153"/>
      <c r="H3617" s="153"/>
      <c r="I3617" s="320">
        <v>20</v>
      </c>
      <c r="J3617" s="320">
        <v>60</v>
      </c>
      <c r="K3617" s="150">
        <v>1</v>
      </c>
      <c r="L3617" s="656">
        <v>20</v>
      </c>
      <c r="M3617" s="663">
        <v>34446</v>
      </c>
      <c r="N3617" s="600">
        <v>503.96600000000001</v>
      </c>
      <c r="O3617" s="604">
        <v>0.74729500000000004</v>
      </c>
      <c r="P3617" s="150"/>
      <c r="Q3617" s="250"/>
      <c r="R3617" s="250">
        <v>1.4E-2</v>
      </c>
      <c r="S3617" s="250">
        <v>7.0000000000000001E-3</v>
      </c>
      <c r="T3617" s="250">
        <v>0.03</v>
      </c>
      <c r="U3617" s="250">
        <v>0.05</v>
      </c>
      <c r="V3617" s="250">
        <v>0.23499999999999999</v>
      </c>
      <c r="W3617" s="250">
        <v>0.35799999999999998</v>
      </c>
      <c r="X3617" s="250">
        <v>0.28499999999999998</v>
      </c>
      <c r="Y3617" s="250">
        <v>2.1000000000000001E-2</v>
      </c>
      <c r="Z3617" s="150"/>
      <c r="AA3617" s="223">
        <v>0.73</v>
      </c>
      <c r="AB3617" s="152"/>
      <c r="AC3617" s="152"/>
      <c r="AD3617" s="223"/>
      <c r="AE3617" s="223"/>
      <c r="AF3617" s="223"/>
      <c r="AG3617" s="223"/>
      <c r="AH3617" s="341"/>
      <c r="AI3617" s="218"/>
      <c r="AJ3617" s="218"/>
      <c r="AK3617" s="153"/>
      <c r="AL3617" s="152"/>
      <c r="AM3617" s="152"/>
      <c r="AN3617" s="152"/>
      <c r="AO3617" s="152"/>
      <c r="AP3617" s="152"/>
      <c r="AQ3617" s="152"/>
      <c r="AR3617" s="152"/>
      <c r="AS3617" s="152"/>
      <c r="AT3617" s="152"/>
      <c r="AU3617" s="153"/>
      <c r="AV3617" s="479"/>
      <c r="AW3617" s="479"/>
      <c r="AX3617" s="442"/>
      <c r="AY3617" s="153"/>
      <c r="AZ3617" s="152"/>
      <c r="BA3617" s="152"/>
      <c r="BB3617" s="152"/>
      <c r="BC3617" s="152"/>
      <c r="BD3617" s="152"/>
      <c r="BE3617" s="152"/>
      <c r="BF3617" s="152"/>
      <c r="BG3617" s="152"/>
      <c r="BH3617" s="152"/>
      <c r="BI3617" s="153"/>
      <c r="BJ3617" s="153"/>
      <c r="BK3617" s="153"/>
      <c r="BL3617" s="153"/>
      <c r="BM3617" s="153"/>
      <c r="BN3617" s="153"/>
      <c r="BO3617" s="153"/>
      <c r="BP3617" s="153"/>
      <c r="BQ3617" s="153"/>
      <c r="BR3617" s="153"/>
      <c r="BS3617" s="153"/>
      <c r="BT3617" s="153"/>
      <c r="BU3617" s="153"/>
      <c r="BV3617" s="153"/>
      <c r="BW3617" s="153"/>
      <c r="BX3617" s="153"/>
      <c r="BY3617" s="153"/>
      <c r="BZ3617" s="153"/>
      <c r="CA3617" s="152"/>
      <c r="CB3617" s="486" t="s">
        <v>640</v>
      </c>
    </row>
    <row r="3618" spans="1:80" s="87" customFormat="1" ht="15" x14ac:dyDescent="0.25">
      <c r="A3618" s="152"/>
      <c r="B3618" s="683"/>
      <c r="C3618" s="683"/>
      <c r="D3618" s="698"/>
      <c r="E3618" s="215"/>
      <c r="F3618" s="215"/>
      <c r="G3618" s="153"/>
      <c r="H3618" s="153"/>
      <c r="I3618" s="320">
        <v>20</v>
      </c>
      <c r="J3618" s="320">
        <v>60</v>
      </c>
      <c r="K3618" s="150">
        <v>1</v>
      </c>
      <c r="L3618" s="656">
        <v>20</v>
      </c>
      <c r="M3618" s="663">
        <v>34446</v>
      </c>
      <c r="N3618" s="600">
        <v>509.62900000000002</v>
      </c>
      <c r="O3618" s="604">
        <v>0.32641700000000001</v>
      </c>
      <c r="P3618" s="150"/>
      <c r="Q3618" s="250"/>
      <c r="R3618" s="250">
        <v>4.8000000000000001E-2</v>
      </c>
      <c r="S3618" s="250">
        <v>9.9000000000000005E-2</v>
      </c>
      <c r="T3618" s="250">
        <v>6.7000000000000004E-2</v>
      </c>
      <c r="U3618" s="250">
        <v>6.5000000000000002E-2</v>
      </c>
      <c r="V3618" s="250">
        <v>0.23499999999999999</v>
      </c>
      <c r="W3618" s="250">
        <v>0.29699999999999999</v>
      </c>
      <c r="X3618" s="250">
        <v>0.17600000000000002</v>
      </c>
      <c r="Y3618" s="250">
        <v>1.3000000000000001E-2</v>
      </c>
      <c r="Z3618" s="150"/>
      <c r="AA3618" s="223">
        <v>1.04</v>
      </c>
      <c r="AB3618" s="152"/>
      <c r="AC3618" s="152"/>
      <c r="AD3618" s="223"/>
      <c r="AE3618" s="223"/>
      <c r="AF3618" s="223"/>
      <c r="AG3618" s="223"/>
      <c r="AH3618" s="341"/>
      <c r="AI3618" s="218"/>
      <c r="AJ3618" s="218"/>
      <c r="AK3618" s="153"/>
      <c r="AL3618" s="152"/>
      <c r="AM3618" s="152"/>
      <c r="AN3618" s="152"/>
      <c r="AO3618" s="152"/>
      <c r="AP3618" s="152"/>
      <c r="AQ3618" s="152"/>
      <c r="AR3618" s="152"/>
      <c r="AS3618" s="152"/>
      <c r="AT3618" s="152"/>
      <c r="AU3618" s="153"/>
      <c r="AV3618" s="479"/>
      <c r="AW3618" s="479"/>
      <c r="AX3618" s="442"/>
      <c r="AY3618" s="153"/>
      <c r="AZ3618" s="152"/>
      <c r="BA3618" s="152"/>
      <c r="BB3618" s="152"/>
      <c r="BC3618" s="152"/>
      <c r="BD3618" s="152"/>
      <c r="BE3618" s="152"/>
      <c r="BF3618" s="152"/>
      <c r="BG3618" s="152"/>
      <c r="BH3618" s="152"/>
      <c r="BI3618" s="153"/>
      <c r="BJ3618" s="153"/>
      <c r="BK3618" s="153"/>
      <c r="BL3618" s="153"/>
      <c r="BM3618" s="153"/>
      <c r="BN3618" s="153"/>
      <c r="BO3618" s="153"/>
      <c r="BP3618" s="153"/>
      <c r="BQ3618" s="153"/>
      <c r="BR3618" s="153"/>
      <c r="BS3618" s="153"/>
      <c r="BT3618" s="153"/>
      <c r="BU3618" s="153"/>
      <c r="BV3618" s="153"/>
      <c r="BW3618" s="153"/>
      <c r="BX3618" s="153"/>
      <c r="BY3618" s="153"/>
      <c r="BZ3618" s="153"/>
      <c r="CA3618" s="152"/>
      <c r="CB3618" s="152"/>
    </row>
    <row r="3619" spans="1:80" s="87" customFormat="1" ht="15" x14ac:dyDescent="0.25">
      <c r="A3619" s="152"/>
      <c r="B3619" s="683"/>
      <c r="C3619" s="683"/>
      <c r="D3619" s="698"/>
      <c r="E3619" s="215"/>
      <c r="F3619" s="215"/>
      <c r="G3619" s="153"/>
      <c r="H3619" s="153"/>
      <c r="I3619" s="320">
        <v>20</v>
      </c>
      <c r="J3619" s="320">
        <v>60</v>
      </c>
      <c r="K3619" s="150">
        <v>1</v>
      </c>
      <c r="L3619" s="656">
        <v>20</v>
      </c>
      <c r="M3619" s="663">
        <v>34450</v>
      </c>
      <c r="N3619" s="600">
        <v>302.94600000000003</v>
      </c>
      <c r="O3619" s="604">
        <v>6.2344999999999998E-2</v>
      </c>
      <c r="P3619" s="150"/>
      <c r="Q3619" s="250"/>
      <c r="R3619" s="250"/>
      <c r="S3619" s="250"/>
      <c r="T3619" s="250">
        <v>1.6E-2</v>
      </c>
      <c r="U3619" s="250">
        <v>2.1000000000000001E-2</v>
      </c>
      <c r="V3619" s="250">
        <v>0.26300000000000001</v>
      </c>
      <c r="W3619" s="250">
        <v>0.45799999999999996</v>
      </c>
      <c r="X3619" s="250">
        <v>0.223</v>
      </c>
      <c r="Y3619" s="250">
        <v>1.9E-2</v>
      </c>
      <c r="Z3619" s="150"/>
      <c r="AA3619" s="223">
        <v>0.74</v>
      </c>
      <c r="AB3619" s="152"/>
      <c r="AC3619" s="152"/>
      <c r="AD3619" s="223"/>
      <c r="AE3619" s="223"/>
      <c r="AF3619" s="223"/>
      <c r="AG3619" s="223"/>
      <c r="AH3619" s="341"/>
      <c r="AI3619" s="218"/>
      <c r="AJ3619" s="218"/>
      <c r="AK3619" s="153"/>
      <c r="AL3619" s="152"/>
      <c r="AM3619" s="152"/>
      <c r="AN3619" s="152"/>
      <c r="AO3619" s="152"/>
      <c r="AP3619" s="152"/>
      <c r="AQ3619" s="152"/>
      <c r="AR3619" s="152"/>
      <c r="AS3619" s="152"/>
      <c r="AT3619" s="152"/>
      <c r="AU3619" s="153"/>
      <c r="AV3619" s="479"/>
      <c r="AW3619" s="479"/>
      <c r="AX3619" s="442"/>
      <c r="AY3619" s="153"/>
      <c r="AZ3619" s="152"/>
      <c r="BA3619" s="152"/>
      <c r="BB3619" s="152"/>
      <c r="BC3619" s="152"/>
      <c r="BD3619" s="152"/>
      <c r="BE3619" s="152"/>
      <c r="BF3619" s="152"/>
      <c r="BG3619" s="152"/>
      <c r="BH3619" s="152"/>
      <c r="BI3619" s="153"/>
      <c r="BJ3619" s="153"/>
      <c r="BK3619" s="153"/>
      <c r="BL3619" s="153"/>
      <c r="BM3619" s="153"/>
      <c r="BN3619" s="153"/>
      <c r="BO3619" s="153"/>
      <c r="BP3619" s="153"/>
      <c r="BQ3619" s="153"/>
      <c r="BR3619" s="153"/>
      <c r="BS3619" s="153"/>
      <c r="BT3619" s="153"/>
      <c r="BU3619" s="153"/>
      <c r="BV3619" s="153"/>
      <c r="BW3619" s="153"/>
      <c r="BX3619" s="153"/>
      <c r="BY3619" s="153"/>
      <c r="BZ3619" s="153"/>
      <c r="CA3619" s="152"/>
      <c r="CB3619" s="152"/>
    </row>
    <row r="3620" spans="1:80" s="87" customFormat="1" ht="15" x14ac:dyDescent="0.25">
      <c r="A3620" s="152"/>
      <c r="B3620" s="683"/>
      <c r="C3620" s="683"/>
      <c r="D3620" s="698"/>
      <c r="E3620" s="215"/>
      <c r="F3620" s="215"/>
      <c r="G3620" s="153"/>
      <c r="H3620" s="153"/>
      <c r="I3620" s="320">
        <v>20</v>
      </c>
      <c r="J3620" s="320">
        <v>60</v>
      </c>
      <c r="K3620" s="150">
        <v>1</v>
      </c>
      <c r="L3620" s="656">
        <v>20</v>
      </c>
      <c r="M3620" s="663">
        <v>34450</v>
      </c>
      <c r="N3620" s="600">
        <v>300.11500000000001</v>
      </c>
      <c r="O3620" s="604">
        <v>6.3919000000000004E-2</v>
      </c>
      <c r="P3620" s="150"/>
      <c r="Q3620" s="250"/>
      <c r="R3620" s="250"/>
      <c r="S3620" s="250"/>
      <c r="T3620" s="250"/>
      <c r="U3620" s="250">
        <v>2.9000000000000001E-2</v>
      </c>
      <c r="V3620" s="250">
        <v>0.30099999999999999</v>
      </c>
      <c r="W3620" s="250">
        <v>0.48100000000000004</v>
      </c>
      <c r="X3620" s="250">
        <v>0.17399999999999999</v>
      </c>
      <c r="Y3620" s="250">
        <v>1.4999999999999999E-2</v>
      </c>
      <c r="Z3620" s="150"/>
      <c r="AA3620" s="223">
        <v>0.78</v>
      </c>
      <c r="AB3620" s="152"/>
      <c r="AC3620" s="152"/>
      <c r="AD3620" s="223"/>
      <c r="AE3620" s="223"/>
      <c r="AF3620" s="223"/>
      <c r="AG3620" s="223"/>
      <c r="AH3620" s="341"/>
      <c r="AI3620" s="218"/>
      <c r="AJ3620" s="218"/>
      <c r="AK3620" s="153"/>
      <c r="AL3620" s="152"/>
      <c r="AM3620" s="152"/>
      <c r="AN3620" s="152"/>
      <c r="AO3620" s="152"/>
      <c r="AP3620" s="152"/>
      <c r="AQ3620" s="152"/>
      <c r="AR3620" s="152"/>
      <c r="AS3620" s="152"/>
      <c r="AT3620" s="152"/>
      <c r="AU3620" s="153"/>
      <c r="AV3620" s="479"/>
      <c r="AW3620" s="479"/>
      <c r="AX3620" s="442"/>
      <c r="AY3620" s="153"/>
      <c r="AZ3620" s="152"/>
      <c r="BA3620" s="152"/>
      <c r="BB3620" s="152"/>
      <c r="BC3620" s="152"/>
      <c r="BD3620" s="152"/>
      <c r="BE3620" s="152"/>
      <c r="BF3620" s="152"/>
      <c r="BG3620" s="152"/>
      <c r="BH3620" s="152"/>
      <c r="BI3620" s="153"/>
      <c r="BJ3620" s="153"/>
      <c r="BK3620" s="153"/>
      <c r="BL3620" s="153"/>
      <c r="BM3620" s="153"/>
      <c r="BN3620" s="153"/>
      <c r="BO3620" s="153"/>
      <c r="BP3620" s="153"/>
      <c r="BQ3620" s="153"/>
      <c r="BR3620" s="153"/>
      <c r="BS3620" s="153"/>
      <c r="BT3620" s="153"/>
      <c r="BU3620" s="153"/>
      <c r="BV3620" s="153"/>
      <c r="BW3620" s="153"/>
      <c r="BX3620" s="153"/>
      <c r="BY3620" s="153"/>
      <c r="BZ3620" s="153"/>
      <c r="CA3620" s="152"/>
      <c r="CB3620" s="152"/>
    </row>
    <row r="3621" spans="1:80" s="87" customFormat="1" ht="15" x14ac:dyDescent="0.25">
      <c r="A3621" s="152"/>
      <c r="B3621" s="683"/>
      <c r="C3621" s="683"/>
      <c r="D3621" s="698"/>
      <c r="E3621" s="215"/>
      <c r="F3621" s="215"/>
      <c r="G3621" s="153"/>
      <c r="H3621" s="153"/>
      <c r="I3621" s="320">
        <v>20</v>
      </c>
      <c r="J3621" s="320">
        <v>60</v>
      </c>
      <c r="K3621" s="150">
        <v>1</v>
      </c>
      <c r="L3621" s="656">
        <v>20</v>
      </c>
      <c r="M3621" s="663">
        <v>34451</v>
      </c>
      <c r="N3621" s="600">
        <v>268.68799999999999</v>
      </c>
      <c r="O3621" s="604">
        <v>4.7021E-2</v>
      </c>
      <c r="P3621" s="150"/>
      <c r="Q3621" s="250"/>
      <c r="R3621" s="250"/>
      <c r="S3621" s="250"/>
      <c r="T3621" s="250"/>
      <c r="U3621" s="250">
        <v>2.7E-2</v>
      </c>
      <c r="V3621" s="250">
        <v>0.28699999999999998</v>
      </c>
      <c r="W3621" s="250">
        <v>0.44400000000000001</v>
      </c>
      <c r="X3621" s="250">
        <v>0.21899999999999997</v>
      </c>
      <c r="Y3621" s="250">
        <v>2.3E-2</v>
      </c>
      <c r="Z3621" s="150"/>
      <c r="AA3621" s="223">
        <v>0.75</v>
      </c>
      <c r="AB3621" s="152"/>
      <c r="AC3621" s="152"/>
      <c r="AD3621" s="223"/>
      <c r="AE3621" s="223"/>
      <c r="AF3621" s="223"/>
      <c r="AG3621" s="223"/>
      <c r="AH3621" s="341"/>
      <c r="AI3621" s="218"/>
      <c r="AJ3621" s="218"/>
      <c r="AK3621" s="153"/>
      <c r="AL3621" s="152"/>
      <c r="AM3621" s="152"/>
      <c r="AN3621" s="152"/>
      <c r="AO3621" s="152"/>
      <c r="AP3621" s="152"/>
      <c r="AQ3621" s="152"/>
      <c r="AR3621" s="152"/>
      <c r="AS3621" s="152"/>
      <c r="AT3621" s="152"/>
      <c r="AU3621" s="153"/>
      <c r="AV3621" s="479"/>
      <c r="AW3621" s="479"/>
      <c r="AX3621" s="442"/>
      <c r="AY3621" s="153"/>
      <c r="AZ3621" s="152"/>
      <c r="BA3621" s="152"/>
      <c r="BB3621" s="152"/>
      <c r="BC3621" s="152"/>
      <c r="BD3621" s="152"/>
      <c r="BE3621" s="152"/>
      <c r="BF3621" s="152"/>
      <c r="BG3621" s="152"/>
      <c r="BH3621" s="152"/>
      <c r="BI3621" s="153"/>
      <c r="BJ3621" s="153"/>
      <c r="BK3621" s="153"/>
      <c r="BL3621" s="153"/>
      <c r="BM3621" s="153"/>
      <c r="BN3621" s="153"/>
      <c r="BO3621" s="153"/>
      <c r="BP3621" s="153"/>
      <c r="BQ3621" s="153"/>
      <c r="BR3621" s="153"/>
      <c r="BS3621" s="153"/>
      <c r="BT3621" s="153"/>
      <c r="BU3621" s="153"/>
      <c r="BV3621" s="153"/>
      <c r="BW3621" s="153"/>
      <c r="BX3621" s="153"/>
      <c r="BY3621" s="153"/>
      <c r="BZ3621" s="153"/>
      <c r="CA3621" s="152"/>
      <c r="CB3621" s="152"/>
    </row>
    <row r="3622" spans="1:80" s="87" customFormat="1" ht="15" x14ac:dyDescent="0.25">
      <c r="A3622" s="152"/>
      <c r="B3622" s="683"/>
      <c r="C3622" s="683"/>
      <c r="D3622" s="698"/>
      <c r="E3622" s="215"/>
      <c r="F3622" s="215"/>
      <c r="G3622" s="153"/>
      <c r="H3622" s="153"/>
      <c r="I3622" s="320">
        <v>20</v>
      </c>
      <c r="J3622" s="320">
        <v>60</v>
      </c>
      <c r="K3622" s="150">
        <v>1</v>
      </c>
      <c r="L3622" s="656">
        <v>20</v>
      </c>
      <c r="M3622" s="663">
        <v>34451</v>
      </c>
      <c r="N3622" s="600">
        <v>266.423</v>
      </c>
      <c r="O3622" s="604">
        <v>3.1171999999999998E-2</v>
      </c>
      <c r="P3622" s="150"/>
      <c r="Q3622" s="250"/>
      <c r="R3622" s="250"/>
      <c r="S3622" s="250"/>
      <c r="T3622" s="250"/>
      <c r="U3622" s="250">
        <v>0.04</v>
      </c>
      <c r="V3622" s="250">
        <v>0.23699999999999999</v>
      </c>
      <c r="W3622" s="250">
        <v>0.47700000000000004</v>
      </c>
      <c r="X3622" s="250">
        <v>0.218</v>
      </c>
      <c r="Y3622" s="250">
        <v>2.7999999999999997E-2</v>
      </c>
      <c r="Z3622" s="150"/>
      <c r="AA3622" s="223">
        <v>0.72</v>
      </c>
      <c r="AB3622" s="152"/>
      <c r="AC3622" s="152"/>
      <c r="AD3622" s="223"/>
      <c r="AE3622" s="223"/>
      <c r="AF3622" s="223"/>
      <c r="AG3622" s="223"/>
      <c r="AH3622" s="341"/>
      <c r="AI3622" s="218"/>
      <c r="AJ3622" s="218"/>
      <c r="AK3622" s="153"/>
      <c r="AL3622" s="152"/>
      <c r="AM3622" s="152"/>
      <c r="AN3622" s="152"/>
      <c r="AO3622" s="152"/>
      <c r="AP3622" s="152"/>
      <c r="AQ3622" s="152"/>
      <c r="AR3622" s="152"/>
      <c r="AS3622" s="152"/>
      <c r="AT3622" s="152"/>
      <c r="AU3622" s="153"/>
      <c r="AV3622" s="479"/>
      <c r="AW3622" s="479"/>
      <c r="AX3622" s="442"/>
      <c r="AY3622" s="153"/>
      <c r="AZ3622" s="152"/>
      <c r="BA3622" s="152"/>
      <c r="BB3622" s="152"/>
      <c r="BC3622" s="152"/>
      <c r="BD3622" s="152"/>
      <c r="BE3622" s="152"/>
      <c r="BF3622" s="152"/>
      <c r="BG3622" s="152"/>
      <c r="BH3622" s="152"/>
      <c r="BI3622" s="153"/>
      <c r="BJ3622" s="153"/>
      <c r="BK3622" s="153"/>
      <c r="BL3622" s="153"/>
      <c r="BM3622" s="153"/>
      <c r="BN3622" s="153"/>
      <c r="BO3622" s="153"/>
      <c r="BP3622" s="153"/>
      <c r="BQ3622" s="153"/>
      <c r="BR3622" s="153"/>
      <c r="BS3622" s="153"/>
      <c r="BT3622" s="153"/>
      <c r="BU3622" s="153"/>
      <c r="BV3622" s="153"/>
      <c r="BW3622" s="153"/>
      <c r="BX3622" s="153"/>
      <c r="BY3622" s="153"/>
      <c r="BZ3622" s="153"/>
      <c r="CA3622" s="152"/>
      <c r="CB3622" s="152"/>
    </row>
    <row r="3623" spans="1:80" s="87" customFormat="1" ht="15" x14ac:dyDescent="0.25">
      <c r="A3623" s="152"/>
      <c r="B3623" s="683"/>
      <c r="C3623" s="683"/>
      <c r="D3623" s="698"/>
      <c r="E3623" s="215"/>
      <c r="F3623" s="215"/>
      <c r="G3623" s="153"/>
      <c r="H3623" s="153"/>
      <c r="I3623" s="320">
        <v>19</v>
      </c>
      <c r="J3623" s="320">
        <v>60</v>
      </c>
      <c r="K3623" s="150">
        <v>1</v>
      </c>
      <c r="L3623" s="656">
        <v>19</v>
      </c>
      <c r="M3623" s="663">
        <v>34457</v>
      </c>
      <c r="N3623" s="600">
        <v>184.59899999999999</v>
      </c>
      <c r="O3623" s="604">
        <v>2.0677000000000001E-2</v>
      </c>
      <c r="P3623" s="150"/>
      <c r="Q3623" s="250"/>
      <c r="R3623" s="250"/>
      <c r="S3623" s="250"/>
      <c r="T3623" s="250"/>
      <c r="U3623" s="250">
        <v>2.8000000000000001E-2</v>
      </c>
      <c r="V3623" s="250">
        <v>0.28399999999999997</v>
      </c>
      <c r="W3623" s="250">
        <v>0.42799999999999999</v>
      </c>
      <c r="X3623" s="250">
        <v>0.23699999999999999</v>
      </c>
      <c r="Y3623" s="250">
        <v>2.3E-2</v>
      </c>
      <c r="Z3623" s="150"/>
      <c r="AA3623" s="223">
        <v>0.74</v>
      </c>
      <c r="AB3623" s="152"/>
      <c r="AC3623" s="152"/>
      <c r="AD3623" s="223"/>
      <c r="AE3623" s="223"/>
      <c r="AF3623" s="223"/>
      <c r="AG3623" s="223"/>
      <c r="AH3623" s="341"/>
      <c r="AI3623" s="218"/>
      <c r="AJ3623" s="218"/>
      <c r="AK3623" s="153"/>
      <c r="AL3623" s="152"/>
      <c r="AM3623" s="152"/>
      <c r="AN3623" s="152"/>
      <c r="AO3623" s="152"/>
      <c r="AP3623" s="152"/>
      <c r="AQ3623" s="152"/>
      <c r="AR3623" s="152"/>
      <c r="AS3623" s="152"/>
      <c r="AT3623" s="152"/>
      <c r="AU3623" s="153"/>
      <c r="AV3623" s="479"/>
      <c r="AW3623" s="479"/>
      <c r="AX3623" s="442"/>
      <c r="AY3623" s="153"/>
      <c r="AZ3623" s="152"/>
      <c r="BA3623" s="152"/>
      <c r="BB3623" s="152"/>
      <c r="BC3623" s="152"/>
      <c r="BD3623" s="152"/>
      <c r="BE3623" s="152"/>
      <c r="BF3623" s="152"/>
      <c r="BG3623" s="152"/>
      <c r="BH3623" s="152"/>
      <c r="BI3623" s="153"/>
      <c r="BJ3623" s="153"/>
      <c r="BK3623" s="153"/>
      <c r="BL3623" s="153"/>
      <c r="BM3623" s="153"/>
      <c r="BN3623" s="153"/>
      <c r="BO3623" s="153"/>
      <c r="BP3623" s="153"/>
      <c r="BQ3623" s="153"/>
      <c r="BR3623" s="153"/>
      <c r="BS3623" s="153"/>
      <c r="BT3623" s="153"/>
      <c r="BU3623" s="153"/>
      <c r="BV3623" s="153"/>
      <c r="BW3623" s="153"/>
      <c r="BX3623" s="153"/>
      <c r="BY3623" s="153"/>
      <c r="BZ3623" s="153"/>
      <c r="CA3623" s="152"/>
      <c r="CB3623" s="152"/>
    </row>
    <row r="3624" spans="1:80" s="87" customFormat="1" ht="15" x14ac:dyDescent="0.25">
      <c r="A3624" s="152"/>
      <c r="B3624" s="683"/>
      <c r="C3624" s="683"/>
      <c r="D3624" s="698"/>
      <c r="E3624" s="215"/>
      <c r="F3624" s="215"/>
      <c r="G3624" s="153"/>
      <c r="H3624" s="153"/>
      <c r="I3624" s="320">
        <v>19</v>
      </c>
      <c r="J3624" s="320">
        <v>60</v>
      </c>
      <c r="K3624" s="150">
        <v>1</v>
      </c>
      <c r="L3624" s="656">
        <v>19</v>
      </c>
      <c r="M3624" s="663">
        <v>34457</v>
      </c>
      <c r="N3624" s="600">
        <v>183.46600000000001</v>
      </c>
      <c r="O3624" s="604">
        <v>1.5744000000000001E-2</v>
      </c>
      <c r="P3624" s="150"/>
      <c r="Q3624" s="250"/>
      <c r="R3624" s="250"/>
      <c r="S3624" s="250"/>
      <c r="T3624" s="250"/>
      <c r="U3624" s="250">
        <v>1.2E-2</v>
      </c>
      <c r="V3624" s="250">
        <v>0.32500000000000001</v>
      </c>
      <c r="W3624" s="250">
        <v>0.48499999999999999</v>
      </c>
      <c r="X3624" s="250">
        <v>0.16600000000000001</v>
      </c>
      <c r="Y3624" s="250">
        <v>1.2E-2</v>
      </c>
      <c r="Z3624" s="150"/>
      <c r="AA3624" s="223">
        <v>0.79</v>
      </c>
      <c r="AB3624" s="152"/>
      <c r="AC3624" s="152"/>
      <c r="AD3624" s="223"/>
      <c r="AE3624" s="223"/>
      <c r="AF3624" s="223"/>
      <c r="AG3624" s="223"/>
      <c r="AH3624" s="341"/>
      <c r="AI3624" s="218"/>
      <c r="AJ3624" s="218"/>
      <c r="AK3624" s="153"/>
      <c r="AL3624" s="152"/>
      <c r="AM3624" s="152"/>
      <c r="AN3624" s="152"/>
      <c r="AO3624" s="152"/>
      <c r="AP3624" s="152"/>
      <c r="AQ3624" s="152"/>
      <c r="AR3624" s="152"/>
      <c r="AS3624" s="152"/>
      <c r="AT3624" s="152"/>
      <c r="AU3624" s="153"/>
      <c r="AV3624" s="479"/>
      <c r="AW3624" s="479"/>
      <c r="AX3624" s="442"/>
      <c r="AY3624" s="153"/>
      <c r="AZ3624" s="152"/>
      <c r="BA3624" s="152"/>
      <c r="BB3624" s="152"/>
      <c r="BC3624" s="152"/>
      <c r="BD3624" s="152"/>
      <c r="BE3624" s="152"/>
      <c r="BF3624" s="152"/>
      <c r="BG3624" s="152"/>
      <c r="BH3624" s="152"/>
      <c r="BI3624" s="153"/>
      <c r="BJ3624" s="153"/>
      <c r="BK3624" s="153"/>
      <c r="BL3624" s="153"/>
      <c r="BM3624" s="153"/>
      <c r="BN3624" s="153"/>
      <c r="BO3624" s="153"/>
      <c r="BP3624" s="153"/>
      <c r="BQ3624" s="153"/>
      <c r="BR3624" s="153"/>
      <c r="BS3624" s="153"/>
      <c r="BT3624" s="153"/>
      <c r="BU3624" s="153"/>
      <c r="BV3624" s="153"/>
      <c r="BW3624" s="153"/>
      <c r="BX3624" s="153"/>
      <c r="BY3624" s="153"/>
      <c r="BZ3624" s="153"/>
      <c r="CA3624" s="152"/>
      <c r="CB3624" s="152"/>
    </row>
    <row r="3625" spans="1:80" s="87" customFormat="1" ht="15" x14ac:dyDescent="0.25">
      <c r="A3625" s="152"/>
      <c r="B3625" s="683"/>
      <c r="C3625" s="683"/>
      <c r="D3625" s="698"/>
      <c r="E3625" s="215"/>
      <c r="F3625" s="215"/>
      <c r="G3625" s="153"/>
      <c r="H3625" s="153"/>
      <c r="I3625" s="320">
        <v>19</v>
      </c>
      <c r="J3625" s="320">
        <v>60</v>
      </c>
      <c r="K3625" s="150">
        <v>1</v>
      </c>
      <c r="L3625" s="656">
        <v>19</v>
      </c>
      <c r="M3625" s="663">
        <v>34458</v>
      </c>
      <c r="N3625" s="600">
        <v>198.755</v>
      </c>
      <c r="O3625" s="604">
        <v>3.2539999999999999E-3</v>
      </c>
      <c r="P3625" s="150"/>
      <c r="Q3625" s="250"/>
      <c r="R3625" s="250"/>
      <c r="S3625" s="250"/>
      <c r="T3625" s="250"/>
      <c r="U3625" s="250"/>
      <c r="V3625" s="250">
        <v>0.129</v>
      </c>
      <c r="W3625" s="250">
        <v>0.41899999999999998</v>
      </c>
      <c r="X3625" s="250">
        <v>0.38700000000000001</v>
      </c>
      <c r="Y3625" s="250">
        <v>6.5000000000000002E-2</v>
      </c>
      <c r="Z3625" s="150"/>
      <c r="AA3625" s="223">
        <v>0.54</v>
      </c>
      <c r="AB3625" s="152"/>
      <c r="AC3625" s="152"/>
      <c r="AD3625" s="223"/>
      <c r="AE3625" s="223"/>
      <c r="AF3625" s="223"/>
      <c r="AG3625" s="223"/>
      <c r="AH3625" s="341"/>
      <c r="AI3625" s="218"/>
      <c r="AJ3625" s="218"/>
      <c r="AK3625" s="153"/>
      <c r="AL3625" s="152"/>
      <c r="AM3625" s="152"/>
      <c r="AN3625" s="152"/>
      <c r="AO3625" s="152"/>
      <c r="AP3625" s="152"/>
      <c r="AQ3625" s="152"/>
      <c r="AR3625" s="152"/>
      <c r="AS3625" s="152"/>
      <c r="AT3625" s="152"/>
      <c r="AU3625" s="153"/>
      <c r="AV3625" s="479"/>
      <c r="AW3625" s="479"/>
      <c r="AX3625" s="442"/>
      <c r="AY3625" s="153"/>
      <c r="AZ3625" s="152"/>
      <c r="BA3625" s="152"/>
      <c r="BB3625" s="152"/>
      <c r="BC3625" s="152"/>
      <c r="BD3625" s="152"/>
      <c r="BE3625" s="152"/>
      <c r="BF3625" s="152"/>
      <c r="BG3625" s="152"/>
      <c r="BH3625" s="152"/>
      <c r="BI3625" s="153"/>
      <c r="BJ3625" s="153"/>
      <c r="BK3625" s="153"/>
      <c r="BL3625" s="153"/>
      <c r="BM3625" s="153"/>
      <c r="BN3625" s="153"/>
      <c r="BO3625" s="153"/>
      <c r="BP3625" s="153"/>
      <c r="BQ3625" s="153"/>
      <c r="BR3625" s="153"/>
      <c r="BS3625" s="153"/>
      <c r="BT3625" s="153"/>
      <c r="BU3625" s="153"/>
      <c r="BV3625" s="153"/>
      <c r="BW3625" s="153"/>
      <c r="BX3625" s="153"/>
      <c r="BY3625" s="153"/>
      <c r="BZ3625" s="153"/>
      <c r="CA3625" s="152"/>
      <c r="CB3625" s="152"/>
    </row>
    <row r="3626" spans="1:80" s="87" customFormat="1" ht="15" x14ac:dyDescent="0.25">
      <c r="A3626" s="152"/>
      <c r="B3626" s="683"/>
      <c r="C3626" s="683"/>
      <c r="D3626" s="698"/>
      <c r="E3626" s="215"/>
      <c r="F3626" s="215"/>
      <c r="G3626" s="153"/>
      <c r="H3626" s="153"/>
      <c r="I3626" s="320">
        <v>19</v>
      </c>
      <c r="J3626" s="320">
        <v>60</v>
      </c>
      <c r="K3626" s="150">
        <v>1</v>
      </c>
      <c r="L3626" s="656">
        <v>19</v>
      </c>
      <c r="M3626" s="663">
        <v>34458</v>
      </c>
      <c r="N3626" s="600">
        <v>198.18899999999999</v>
      </c>
      <c r="O3626" s="604">
        <v>5.2480000000000001E-3</v>
      </c>
      <c r="P3626" s="150"/>
      <c r="Q3626" s="250"/>
      <c r="R3626" s="250"/>
      <c r="S3626" s="250"/>
      <c r="T3626" s="250"/>
      <c r="U3626" s="250"/>
      <c r="V3626" s="250">
        <v>0.21199999999999999</v>
      </c>
      <c r="W3626" s="250">
        <v>0.46100000000000002</v>
      </c>
      <c r="X3626" s="250">
        <v>0.28899999999999998</v>
      </c>
      <c r="Y3626" s="250">
        <v>3.7999999999999999E-2</v>
      </c>
      <c r="Z3626" s="150"/>
      <c r="AA3626" s="223">
        <v>0.65</v>
      </c>
      <c r="AB3626" s="152"/>
      <c r="AC3626" s="152"/>
      <c r="AD3626" s="223"/>
      <c r="AE3626" s="223"/>
      <c r="AF3626" s="223"/>
      <c r="AG3626" s="223"/>
      <c r="AH3626" s="341"/>
      <c r="AI3626" s="218"/>
      <c r="AJ3626" s="218"/>
      <c r="AK3626" s="153"/>
      <c r="AL3626" s="152"/>
      <c r="AM3626" s="152"/>
      <c r="AN3626" s="152"/>
      <c r="AO3626" s="152"/>
      <c r="AP3626" s="152"/>
      <c r="AQ3626" s="152"/>
      <c r="AR3626" s="152"/>
      <c r="AS3626" s="152"/>
      <c r="AT3626" s="152"/>
      <c r="AU3626" s="153"/>
      <c r="AV3626" s="479"/>
      <c r="AW3626" s="479"/>
      <c r="AX3626" s="442"/>
      <c r="AY3626" s="153"/>
      <c r="AZ3626" s="152"/>
      <c r="BA3626" s="152"/>
      <c r="BB3626" s="152"/>
      <c r="BC3626" s="152"/>
      <c r="BD3626" s="152"/>
      <c r="BE3626" s="152"/>
      <c r="BF3626" s="152"/>
      <c r="BG3626" s="152"/>
      <c r="BH3626" s="152"/>
      <c r="BI3626" s="153"/>
      <c r="BJ3626" s="153"/>
      <c r="BK3626" s="153"/>
      <c r="BL3626" s="153"/>
      <c r="BM3626" s="153"/>
      <c r="BN3626" s="153"/>
      <c r="BO3626" s="153"/>
      <c r="BP3626" s="153"/>
      <c r="BQ3626" s="153"/>
      <c r="BR3626" s="153"/>
      <c r="BS3626" s="153"/>
      <c r="BT3626" s="153"/>
      <c r="BU3626" s="153"/>
      <c r="BV3626" s="153"/>
      <c r="BW3626" s="153"/>
      <c r="BX3626" s="153"/>
      <c r="BY3626" s="153"/>
      <c r="BZ3626" s="153"/>
      <c r="CA3626" s="152"/>
      <c r="CB3626" s="152"/>
    </row>
    <row r="3627" spans="1:80" s="87" customFormat="1" ht="15" x14ac:dyDescent="0.25">
      <c r="A3627" s="152"/>
      <c r="B3627" s="683"/>
      <c r="C3627" s="683"/>
      <c r="D3627" s="698"/>
      <c r="E3627" s="215"/>
      <c r="F3627" s="215"/>
      <c r="G3627" s="153"/>
      <c r="H3627" s="153"/>
      <c r="I3627" s="320">
        <v>20</v>
      </c>
      <c r="J3627" s="320">
        <v>60</v>
      </c>
      <c r="K3627" s="150">
        <v>1</v>
      </c>
      <c r="L3627" s="656">
        <v>20</v>
      </c>
      <c r="M3627" s="663">
        <v>34464</v>
      </c>
      <c r="N3627" s="600">
        <v>444.50900000000001</v>
      </c>
      <c r="O3627" s="604">
        <v>0.63918900000000001</v>
      </c>
      <c r="P3627" s="150"/>
      <c r="Q3627" s="250"/>
      <c r="R3627" s="250">
        <v>7.5999999999999998E-2</v>
      </c>
      <c r="S3627" s="250">
        <v>2.5000000000000001E-2</v>
      </c>
      <c r="T3627" s="250">
        <v>3.1E-2</v>
      </c>
      <c r="U3627" s="250">
        <v>3.5999999999999997E-2</v>
      </c>
      <c r="V3627" s="250">
        <v>0.26500000000000001</v>
      </c>
      <c r="W3627" s="250">
        <v>0.40600000000000003</v>
      </c>
      <c r="X3627" s="250">
        <v>0.14899999999999999</v>
      </c>
      <c r="Y3627" s="250">
        <v>1.2E-2</v>
      </c>
      <c r="Z3627" s="150"/>
      <c r="AA3627" s="223">
        <v>0.89</v>
      </c>
      <c r="AB3627" s="152"/>
      <c r="AC3627" s="152"/>
      <c r="AD3627" s="223"/>
      <c r="AE3627" s="223"/>
      <c r="AF3627" s="223"/>
      <c r="AG3627" s="223"/>
      <c r="AH3627" s="341"/>
      <c r="AI3627" s="218"/>
      <c r="AJ3627" s="218"/>
      <c r="AK3627" s="153"/>
      <c r="AL3627" s="152"/>
      <c r="AM3627" s="152"/>
      <c r="AN3627" s="152"/>
      <c r="AO3627" s="152"/>
      <c r="AP3627" s="152"/>
      <c r="AQ3627" s="152"/>
      <c r="AR3627" s="152"/>
      <c r="AS3627" s="152"/>
      <c r="AT3627" s="152"/>
      <c r="AU3627" s="153"/>
      <c r="AV3627" s="479"/>
      <c r="AW3627" s="479"/>
      <c r="AX3627" s="442"/>
      <c r="AY3627" s="153"/>
      <c r="AZ3627" s="152"/>
      <c r="BA3627" s="152"/>
      <c r="BB3627" s="152"/>
      <c r="BC3627" s="152"/>
      <c r="BD3627" s="152"/>
      <c r="BE3627" s="152"/>
      <c r="BF3627" s="152"/>
      <c r="BG3627" s="152"/>
      <c r="BH3627" s="152"/>
      <c r="BI3627" s="153"/>
      <c r="BJ3627" s="153"/>
      <c r="BK3627" s="153"/>
      <c r="BL3627" s="153"/>
      <c r="BM3627" s="153"/>
      <c r="BN3627" s="153"/>
      <c r="BO3627" s="153"/>
      <c r="BP3627" s="153"/>
      <c r="BQ3627" s="153"/>
      <c r="BR3627" s="153"/>
      <c r="BS3627" s="153"/>
      <c r="BT3627" s="153"/>
      <c r="BU3627" s="153"/>
      <c r="BV3627" s="153"/>
      <c r="BW3627" s="153"/>
      <c r="BX3627" s="153"/>
      <c r="BY3627" s="153"/>
      <c r="BZ3627" s="153"/>
      <c r="CA3627" s="152"/>
      <c r="CB3627" s="152"/>
    </row>
    <row r="3628" spans="1:80" s="87" customFormat="1" ht="15" x14ac:dyDescent="0.25">
      <c r="A3628" s="152"/>
      <c r="B3628" s="683"/>
      <c r="C3628" s="683"/>
      <c r="D3628" s="698"/>
      <c r="E3628" s="215"/>
      <c r="F3628" s="215"/>
      <c r="G3628" s="153"/>
      <c r="H3628" s="153"/>
      <c r="I3628" s="320">
        <v>20</v>
      </c>
      <c r="J3628" s="320">
        <v>60</v>
      </c>
      <c r="K3628" s="150">
        <v>1</v>
      </c>
      <c r="L3628" s="656">
        <v>20</v>
      </c>
      <c r="M3628" s="663">
        <v>34464</v>
      </c>
      <c r="N3628" s="600">
        <v>441.678</v>
      </c>
      <c r="O3628" s="604">
        <v>0.27498800000000001</v>
      </c>
      <c r="P3628" s="150"/>
      <c r="Q3628" s="250"/>
      <c r="R3628" s="250"/>
      <c r="S3628" s="250"/>
      <c r="T3628" s="250">
        <v>8.0000000000000002E-3</v>
      </c>
      <c r="U3628" s="250">
        <v>2.1999999999999999E-2</v>
      </c>
      <c r="V3628" s="250">
        <v>0.255</v>
      </c>
      <c r="W3628" s="250">
        <v>0.45600000000000002</v>
      </c>
      <c r="X3628" s="250">
        <v>0.24199999999999999</v>
      </c>
      <c r="Y3628" s="250">
        <v>1.7000000000000001E-2</v>
      </c>
      <c r="Z3628" s="150"/>
      <c r="AA3628" s="223">
        <v>0.72</v>
      </c>
      <c r="AB3628" s="152"/>
      <c r="AC3628" s="152"/>
      <c r="AD3628" s="223"/>
      <c r="AE3628" s="223"/>
      <c r="AF3628" s="223"/>
      <c r="AG3628" s="223"/>
      <c r="AH3628" s="341"/>
      <c r="AI3628" s="218"/>
      <c r="AJ3628" s="218"/>
      <c r="AK3628" s="153"/>
      <c r="AL3628" s="152"/>
      <c r="AM3628" s="152"/>
      <c r="AN3628" s="152"/>
      <c r="AO3628" s="152"/>
      <c r="AP3628" s="152"/>
      <c r="AQ3628" s="152"/>
      <c r="AR3628" s="152"/>
      <c r="AS3628" s="152"/>
      <c r="AT3628" s="152"/>
      <c r="AU3628" s="153"/>
      <c r="AV3628" s="479"/>
      <c r="AW3628" s="479"/>
      <c r="AX3628" s="442"/>
      <c r="AY3628" s="153"/>
      <c r="AZ3628" s="152"/>
      <c r="BA3628" s="152"/>
      <c r="BB3628" s="152"/>
      <c r="BC3628" s="152"/>
      <c r="BD3628" s="152"/>
      <c r="BE3628" s="152"/>
      <c r="BF3628" s="152"/>
      <c r="BG3628" s="152"/>
      <c r="BH3628" s="152"/>
      <c r="BI3628" s="153"/>
      <c r="BJ3628" s="153"/>
      <c r="BK3628" s="153"/>
      <c r="BL3628" s="153"/>
      <c r="BM3628" s="153"/>
      <c r="BN3628" s="153"/>
      <c r="BO3628" s="153"/>
      <c r="BP3628" s="153"/>
      <c r="BQ3628" s="153"/>
      <c r="BR3628" s="153"/>
      <c r="BS3628" s="153"/>
      <c r="BT3628" s="153"/>
      <c r="BU3628" s="153"/>
      <c r="BV3628" s="153"/>
      <c r="BW3628" s="153"/>
      <c r="BX3628" s="153"/>
      <c r="BY3628" s="153"/>
      <c r="BZ3628" s="153"/>
      <c r="CA3628" s="152"/>
      <c r="CB3628" s="152"/>
    </row>
    <row r="3629" spans="1:80" s="87" customFormat="1" ht="15" x14ac:dyDescent="0.25">
      <c r="A3629" s="152"/>
      <c r="B3629" s="683"/>
      <c r="C3629" s="683"/>
      <c r="D3629" s="698"/>
      <c r="E3629" s="215"/>
      <c r="F3629" s="215"/>
      <c r="G3629" s="153"/>
      <c r="H3629" s="153"/>
      <c r="I3629" s="320">
        <v>20</v>
      </c>
      <c r="J3629" s="320">
        <v>60</v>
      </c>
      <c r="K3629" s="150">
        <v>1</v>
      </c>
      <c r="L3629" s="656">
        <v>20</v>
      </c>
      <c r="M3629" s="663">
        <v>34464</v>
      </c>
      <c r="N3629" s="600">
        <v>413.36500000000001</v>
      </c>
      <c r="O3629" s="604">
        <v>0.21621199999999999</v>
      </c>
      <c r="P3629" s="150"/>
      <c r="Q3629" s="250"/>
      <c r="R3629" s="250"/>
      <c r="S3629" s="250"/>
      <c r="T3629" s="250"/>
      <c r="U3629" s="250">
        <v>1.4999999999999999E-2</v>
      </c>
      <c r="V3629" s="250">
        <v>0.23499999999999999</v>
      </c>
      <c r="W3629" s="250">
        <v>0.49299999999999999</v>
      </c>
      <c r="X3629" s="250">
        <v>0.24100000000000002</v>
      </c>
      <c r="Y3629" s="250">
        <v>1.6E-2</v>
      </c>
      <c r="Z3629" s="150"/>
      <c r="AA3629" s="223">
        <v>0.7</v>
      </c>
      <c r="AB3629" s="152"/>
      <c r="AC3629" s="152"/>
      <c r="AD3629" s="223"/>
      <c r="AE3629" s="223"/>
      <c r="AF3629" s="223"/>
      <c r="AG3629" s="223"/>
      <c r="AH3629" s="341"/>
      <c r="AI3629" s="218"/>
      <c r="AJ3629" s="218"/>
      <c r="AK3629" s="153"/>
      <c r="AL3629" s="152"/>
      <c r="AM3629" s="152"/>
      <c r="AN3629" s="152"/>
      <c r="AO3629" s="152"/>
      <c r="AP3629" s="152"/>
      <c r="AQ3629" s="152"/>
      <c r="AR3629" s="152"/>
      <c r="AS3629" s="152"/>
      <c r="AT3629" s="152"/>
      <c r="AU3629" s="153"/>
      <c r="AV3629" s="479"/>
      <c r="AW3629" s="479"/>
      <c r="AX3629" s="442"/>
      <c r="AY3629" s="153"/>
      <c r="AZ3629" s="152"/>
      <c r="BA3629" s="152"/>
      <c r="BB3629" s="152"/>
      <c r="BC3629" s="152"/>
      <c r="BD3629" s="152"/>
      <c r="BE3629" s="152"/>
      <c r="BF3629" s="152"/>
      <c r="BG3629" s="152"/>
      <c r="BH3629" s="152"/>
      <c r="BI3629" s="153"/>
      <c r="BJ3629" s="153"/>
      <c r="BK3629" s="153"/>
      <c r="BL3629" s="153"/>
      <c r="BM3629" s="153"/>
      <c r="BN3629" s="153"/>
      <c r="BO3629" s="153"/>
      <c r="BP3629" s="153"/>
      <c r="BQ3629" s="153"/>
      <c r="BR3629" s="153"/>
      <c r="BS3629" s="153"/>
      <c r="BT3629" s="153"/>
      <c r="BU3629" s="153"/>
      <c r="BV3629" s="153"/>
      <c r="BW3629" s="153"/>
      <c r="BX3629" s="153"/>
      <c r="BY3629" s="153"/>
      <c r="BZ3629" s="153"/>
      <c r="CA3629" s="152"/>
      <c r="CB3629" s="152"/>
    </row>
    <row r="3630" spans="1:80" s="87" customFormat="1" ht="15" x14ac:dyDescent="0.25">
      <c r="A3630" s="152"/>
      <c r="B3630" s="683"/>
      <c r="C3630" s="683"/>
      <c r="D3630" s="698"/>
      <c r="E3630" s="215"/>
      <c r="F3630" s="215"/>
      <c r="G3630" s="153"/>
      <c r="H3630" s="153"/>
      <c r="I3630" s="320">
        <v>20</v>
      </c>
      <c r="J3630" s="320">
        <v>60</v>
      </c>
      <c r="K3630" s="150">
        <v>1</v>
      </c>
      <c r="L3630" s="656">
        <v>20</v>
      </c>
      <c r="M3630" s="663">
        <v>34464</v>
      </c>
      <c r="N3630" s="600">
        <v>410.53399999999999</v>
      </c>
      <c r="O3630" s="604">
        <v>0.36315199999999997</v>
      </c>
      <c r="P3630" s="150"/>
      <c r="Q3630" s="250"/>
      <c r="R3630" s="250">
        <v>1.4999999999999999E-2</v>
      </c>
      <c r="S3630" s="250">
        <v>0</v>
      </c>
      <c r="T3630" s="250">
        <v>0.02</v>
      </c>
      <c r="U3630" s="250">
        <v>3.4000000000000002E-2</v>
      </c>
      <c r="V3630" s="250">
        <v>0.29699999999999999</v>
      </c>
      <c r="W3630" s="250">
        <v>0.45600000000000002</v>
      </c>
      <c r="X3630" s="250">
        <v>0.16699999999999998</v>
      </c>
      <c r="Y3630" s="250">
        <v>1.1000000000000001E-2</v>
      </c>
      <c r="Z3630" s="150"/>
      <c r="AA3630" s="223">
        <v>0.82</v>
      </c>
      <c r="AB3630" s="152"/>
      <c r="AC3630" s="152"/>
      <c r="AD3630" s="223"/>
      <c r="AE3630" s="223"/>
      <c r="AF3630" s="223"/>
      <c r="AG3630" s="223"/>
      <c r="AH3630" s="341"/>
      <c r="AI3630" s="218"/>
      <c r="AJ3630" s="218"/>
      <c r="AK3630" s="153"/>
      <c r="AL3630" s="152"/>
      <c r="AM3630" s="152"/>
      <c r="AN3630" s="152"/>
      <c r="AO3630" s="152"/>
      <c r="AP3630" s="152"/>
      <c r="AQ3630" s="152"/>
      <c r="AR3630" s="152"/>
      <c r="AS3630" s="152"/>
      <c r="AT3630" s="152"/>
      <c r="AU3630" s="153"/>
      <c r="AV3630" s="479"/>
      <c r="AW3630" s="479"/>
      <c r="AX3630" s="442"/>
      <c r="AY3630" s="153"/>
      <c r="AZ3630" s="152"/>
      <c r="BA3630" s="152"/>
      <c r="BB3630" s="152"/>
      <c r="BC3630" s="152"/>
      <c r="BD3630" s="152"/>
      <c r="BE3630" s="152"/>
      <c r="BF3630" s="152"/>
      <c r="BG3630" s="152"/>
      <c r="BH3630" s="152"/>
      <c r="BI3630" s="153"/>
      <c r="BJ3630" s="153"/>
      <c r="BK3630" s="153"/>
      <c r="BL3630" s="153"/>
      <c r="BM3630" s="153"/>
      <c r="BN3630" s="153"/>
      <c r="BO3630" s="153"/>
      <c r="BP3630" s="153"/>
      <c r="BQ3630" s="153"/>
      <c r="BR3630" s="153"/>
      <c r="BS3630" s="153"/>
      <c r="BT3630" s="153"/>
      <c r="BU3630" s="153"/>
      <c r="BV3630" s="153"/>
      <c r="BW3630" s="153"/>
      <c r="BX3630" s="153"/>
      <c r="BY3630" s="153"/>
      <c r="BZ3630" s="153"/>
      <c r="CA3630" s="152"/>
      <c r="CB3630" s="152"/>
    </row>
    <row r="3631" spans="1:80" s="87" customFormat="1" ht="15" x14ac:dyDescent="0.25">
      <c r="A3631" s="152"/>
      <c r="B3631" s="683"/>
      <c r="C3631" s="683"/>
      <c r="D3631" s="698"/>
      <c r="E3631" s="215"/>
      <c r="F3631" s="215"/>
      <c r="G3631" s="153"/>
      <c r="H3631" s="153"/>
      <c r="I3631" s="320">
        <v>19</v>
      </c>
      <c r="J3631" s="320">
        <v>60</v>
      </c>
      <c r="K3631" s="150">
        <v>1</v>
      </c>
      <c r="L3631" s="656">
        <v>19</v>
      </c>
      <c r="M3631" s="663">
        <v>34469</v>
      </c>
      <c r="N3631" s="600">
        <v>294.452</v>
      </c>
      <c r="O3631" s="604">
        <v>0.26868999999999998</v>
      </c>
      <c r="P3631" s="150"/>
      <c r="Q3631" s="250"/>
      <c r="R3631" s="250"/>
      <c r="S3631" s="250">
        <v>6.5000000000000002E-2</v>
      </c>
      <c r="T3631" s="250">
        <v>1.2999999999999999E-2</v>
      </c>
      <c r="U3631" s="250">
        <v>7.0000000000000007E-2</v>
      </c>
      <c r="V3631" s="250">
        <v>0.41799999999999998</v>
      </c>
      <c r="W3631" s="250">
        <v>0.32899999999999996</v>
      </c>
      <c r="X3631" s="250">
        <v>9.9000000000000005E-2</v>
      </c>
      <c r="Y3631" s="250">
        <v>6.0000000000000001E-3</v>
      </c>
      <c r="Z3631" s="150"/>
      <c r="AA3631" s="223">
        <v>1.1200000000000001</v>
      </c>
      <c r="AB3631" s="152"/>
      <c r="AC3631" s="152"/>
      <c r="AD3631" s="223"/>
      <c r="AE3631" s="223"/>
      <c r="AF3631" s="223"/>
      <c r="AG3631" s="223"/>
      <c r="AH3631" s="341"/>
      <c r="AI3631" s="218"/>
      <c r="AJ3631" s="218"/>
      <c r="AK3631" s="153"/>
      <c r="AL3631" s="152"/>
      <c r="AM3631" s="152"/>
      <c r="AN3631" s="152"/>
      <c r="AO3631" s="152"/>
      <c r="AP3631" s="152"/>
      <c r="AQ3631" s="152"/>
      <c r="AR3631" s="152"/>
      <c r="AS3631" s="152"/>
      <c r="AT3631" s="152"/>
      <c r="AU3631" s="153"/>
      <c r="AV3631" s="479"/>
      <c r="AW3631" s="479"/>
      <c r="AX3631" s="442"/>
      <c r="AY3631" s="153"/>
      <c r="AZ3631" s="152"/>
      <c r="BA3631" s="152"/>
      <c r="BB3631" s="152"/>
      <c r="BC3631" s="152"/>
      <c r="BD3631" s="152"/>
      <c r="BE3631" s="152"/>
      <c r="BF3631" s="152"/>
      <c r="BG3631" s="152"/>
      <c r="BH3631" s="152"/>
      <c r="BI3631" s="153"/>
      <c r="BJ3631" s="153"/>
      <c r="BK3631" s="153"/>
      <c r="BL3631" s="153"/>
      <c r="BM3631" s="153"/>
      <c r="BN3631" s="153"/>
      <c r="BO3631" s="153"/>
      <c r="BP3631" s="153"/>
      <c r="BQ3631" s="153"/>
      <c r="BR3631" s="153"/>
      <c r="BS3631" s="153"/>
      <c r="BT3631" s="153"/>
      <c r="BU3631" s="153"/>
      <c r="BV3631" s="153"/>
      <c r="BW3631" s="153"/>
      <c r="BX3631" s="153"/>
      <c r="BY3631" s="153"/>
      <c r="BZ3631" s="153"/>
      <c r="CA3631" s="152"/>
      <c r="CB3631" s="152"/>
    </row>
    <row r="3632" spans="1:80" s="87" customFormat="1" ht="15" x14ac:dyDescent="0.25">
      <c r="A3632" s="152"/>
      <c r="B3632" s="683"/>
      <c r="C3632" s="683"/>
      <c r="D3632" s="698"/>
      <c r="E3632" s="215"/>
      <c r="F3632" s="215"/>
      <c r="G3632" s="153"/>
      <c r="H3632" s="153"/>
      <c r="I3632" s="320">
        <v>19</v>
      </c>
      <c r="J3632" s="320">
        <v>60</v>
      </c>
      <c r="K3632" s="150">
        <v>1</v>
      </c>
      <c r="L3632" s="656">
        <v>19</v>
      </c>
      <c r="M3632" s="663">
        <v>34469</v>
      </c>
      <c r="N3632" s="600">
        <v>291.62099999999998</v>
      </c>
      <c r="O3632" s="604">
        <v>4.1982999999999999E-2</v>
      </c>
      <c r="P3632" s="150"/>
      <c r="Q3632" s="250"/>
      <c r="R3632" s="250"/>
      <c r="S3632" s="250"/>
      <c r="T3632" s="250">
        <v>2.9000000000000001E-2</v>
      </c>
      <c r="U3632" s="250">
        <v>1.7000000000000001E-2</v>
      </c>
      <c r="V3632" s="250">
        <v>0.34200000000000003</v>
      </c>
      <c r="W3632" s="250">
        <v>0.44500000000000001</v>
      </c>
      <c r="X3632" s="250">
        <v>0.15</v>
      </c>
      <c r="Y3632" s="250">
        <v>1.7000000000000001E-2</v>
      </c>
      <c r="Z3632" s="150"/>
      <c r="AA3632" s="223">
        <v>0.84</v>
      </c>
      <c r="AB3632" s="152"/>
      <c r="AC3632" s="152"/>
      <c r="AD3632" s="223"/>
      <c r="AE3632" s="223"/>
      <c r="AF3632" s="223"/>
      <c r="AG3632" s="223"/>
      <c r="AH3632" s="341"/>
      <c r="AI3632" s="218"/>
      <c r="AJ3632" s="218"/>
      <c r="AK3632" s="153"/>
      <c r="AL3632" s="152"/>
      <c r="AM3632" s="152"/>
      <c r="AN3632" s="152"/>
      <c r="AO3632" s="152"/>
      <c r="AP3632" s="152"/>
      <c r="AQ3632" s="152"/>
      <c r="AR3632" s="152"/>
      <c r="AS3632" s="152"/>
      <c r="AT3632" s="152"/>
      <c r="AU3632" s="153"/>
      <c r="AV3632" s="479"/>
      <c r="AW3632" s="479"/>
      <c r="AX3632" s="442"/>
      <c r="AY3632" s="153"/>
      <c r="AZ3632" s="152"/>
      <c r="BA3632" s="152"/>
      <c r="BB3632" s="152"/>
      <c r="BC3632" s="152"/>
      <c r="BD3632" s="152"/>
      <c r="BE3632" s="152"/>
      <c r="BF3632" s="152"/>
      <c r="BG3632" s="152"/>
      <c r="BH3632" s="152"/>
      <c r="BI3632" s="153"/>
      <c r="BJ3632" s="153"/>
      <c r="BK3632" s="153"/>
      <c r="BL3632" s="153"/>
      <c r="BM3632" s="153"/>
      <c r="BN3632" s="153"/>
      <c r="BO3632" s="153"/>
      <c r="BP3632" s="153"/>
      <c r="BQ3632" s="153"/>
      <c r="BR3632" s="153"/>
      <c r="BS3632" s="153"/>
      <c r="BT3632" s="153"/>
      <c r="BU3632" s="153"/>
      <c r="BV3632" s="153"/>
      <c r="BW3632" s="153"/>
      <c r="BX3632" s="153"/>
      <c r="BY3632" s="153"/>
      <c r="BZ3632" s="153"/>
      <c r="CA3632" s="152"/>
      <c r="CB3632" s="152"/>
    </row>
    <row r="3633" spans="1:80" s="87" customFormat="1" ht="15" x14ac:dyDescent="0.25">
      <c r="A3633" s="152"/>
      <c r="B3633" s="683"/>
      <c r="C3633" s="683"/>
      <c r="D3633" s="698"/>
      <c r="E3633" s="215"/>
      <c r="F3633" s="215"/>
      <c r="G3633" s="153"/>
      <c r="H3633" s="153"/>
      <c r="I3633" s="320">
        <v>19</v>
      </c>
      <c r="J3633" s="320">
        <v>60</v>
      </c>
      <c r="K3633" s="150">
        <v>1</v>
      </c>
      <c r="L3633" s="656">
        <v>19</v>
      </c>
      <c r="M3633" s="663">
        <v>34470</v>
      </c>
      <c r="N3633" s="600">
        <v>282.56099999999998</v>
      </c>
      <c r="O3633" s="604">
        <v>4.6600999999999997E-2</v>
      </c>
      <c r="P3633" s="150"/>
      <c r="Q3633" s="250"/>
      <c r="R3633" s="250"/>
      <c r="S3633" s="250"/>
      <c r="T3633" s="250"/>
      <c r="U3633" s="250">
        <v>2.9000000000000001E-2</v>
      </c>
      <c r="V3633" s="250">
        <v>0.35399999999999998</v>
      </c>
      <c r="W3633" s="250">
        <v>0.37799999999999995</v>
      </c>
      <c r="X3633" s="250">
        <v>0.113</v>
      </c>
      <c r="Y3633" s="250">
        <v>0.126</v>
      </c>
      <c r="Z3633" s="150"/>
      <c r="AA3633" s="223">
        <v>0.81</v>
      </c>
      <c r="AB3633" s="152"/>
      <c r="AC3633" s="152"/>
      <c r="AD3633" s="223"/>
      <c r="AE3633" s="223"/>
      <c r="AF3633" s="223"/>
      <c r="AG3633" s="223"/>
      <c r="AH3633" s="341"/>
      <c r="AI3633" s="218"/>
      <c r="AJ3633" s="218"/>
      <c r="AK3633" s="153"/>
      <c r="AL3633" s="152"/>
      <c r="AM3633" s="152"/>
      <c r="AN3633" s="152"/>
      <c r="AO3633" s="152"/>
      <c r="AP3633" s="152"/>
      <c r="AQ3633" s="152"/>
      <c r="AR3633" s="152"/>
      <c r="AS3633" s="152"/>
      <c r="AT3633" s="152"/>
      <c r="AU3633" s="153"/>
      <c r="AV3633" s="479"/>
      <c r="AW3633" s="479"/>
      <c r="AX3633" s="442"/>
      <c r="AY3633" s="153"/>
      <c r="AZ3633" s="152"/>
      <c r="BA3633" s="152"/>
      <c r="BB3633" s="152"/>
      <c r="BC3633" s="152"/>
      <c r="BD3633" s="152"/>
      <c r="BE3633" s="152"/>
      <c r="BF3633" s="152"/>
      <c r="BG3633" s="152"/>
      <c r="BH3633" s="152"/>
      <c r="BI3633" s="153"/>
      <c r="BJ3633" s="153"/>
      <c r="BK3633" s="153"/>
      <c r="BL3633" s="153"/>
      <c r="BM3633" s="153"/>
      <c r="BN3633" s="153"/>
      <c r="BO3633" s="153"/>
      <c r="BP3633" s="153"/>
      <c r="BQ3633" s="153"/>
      <c r="BR3633" s="153"/>
      <c r="BS3633" s="153"/>
      <c r="BT3633" s="153"/>
      <c r="BU3633" s="153"/>
      <c r="BV3633" s="153"/>
      <c r="BW3633" s="153"/>
      <c r="BX3633" s="153"/>
      <c r="BY3633" s="153"/>
      <c r="BZ3633" s="153"/>
      <c r="CA3633" s="152"/>
      <c r="CB3633" s="152"/>
    </row>
    <row r="3634" spans="1:80" s="87" customFormat="1" ht="15" x14ac:dyDescent="0.25">
      <c r="A3634" s="152"/>
      <c r="B3634" s="683"/>
      <c r="C3634" s="683"/>
      <c r="D3634" s="698"/>
      <c r="E3634" s="215"/>
      <c r="F3634" s="215"/>
      <c r="G3634" s="153"/>
      <c r="H3634" s="153"/>
      <c r="I3634" s="320">
        <v>19</v>
      </c>
      <c r="J3634" s="320">
        <v>60</v>
      </c>
      <c r="K3634" s="150">
        <v>1</v>
      </c>
      <c r="L3634" s="656">
        <v>19</v>
      </c>
      <c r="M3634" s="663">
        <v>34470</v>
      </c>
      <c r="N3634" s="600">
        <v>280.57900000000001</v>
      </c>
      <c r="O3634" s="604">
        <v>1.9732E-2</v>
      </c>
      <c r="P3634" s="150"/>
      <c r="Q3634" s="250"/>
      <c r="R3634" s="250"/>
      <c r="S3634" s="250"/>
      <c r="T3634" s="250">
        <v>0.02</v>
      </c>
      <c r="U3634" s="250">
        <v>3.2000000000000001E-2</v>
      </c>
      <c r="V3634" s="250">
        <v>0.314</v>
      </c>
      <c r="W3634" s="250">
        <v>0.45600000000000002</v>
      </c>
      <c r="X3634" s="250">
        <v>0.16200000000000001</v>
      </c>
      <c r="Y3634" s="250">
        <v>1.6E-2</v>
      </c>
      <c r="Z3634" s="150"/>
      <c r="AA3634" s="223">
        <v>0.82</v>
      </c>
      <c r="AB3634" s="152"/>
      <c r="AC3634" s="152"/>
      <c r="AD3634" s="223"/>
      <c r="AE3634" s="223"/>
      <c r="AF3634" s="223"/>
      <c r="AG3634" s="223"/>
      <c r="AH3634" s="341"/>
      <c r="AI3634" s="218"/>
      <c r="AJ3634" s="218"/>
      <c r="AK3634" s="153"/>
      <c r="AL3634" s="152"/>
      <c r="AM3634" s="152"/>
      <c r="AN3634" s="152"/>
      <c r="AO3634" s="152"/>
      <c r="AP3634" s="152"/>
      <c r="AQ3634" s="152"/>
      <c r="AR3634" s="152"/>
      <c r="AS3634" s="152"/>
      <c r="AT3634" s="152"/>
      <c r="AU3634" s="153"/>
      <c r="AV3634" s="479"/>
      <c r="AW3634" s="479"/>
      <c r="AX3634" s="442"/>
      <c r="AY3634" s="153"/>
      <c r="AZ3634" s="152"/>
      <c r="BA3634" s="152"/>
      <c r="BB3634" s="152"/>
      <c r="BC3634" s="152"/>
      <c r="BD3634" s="152"/>
      <c r="BE3634" s="152"/>
      <c r="BF3634" s="152"/>
      <c r="BG3634" s="152"/>
      <c r="BH3634" s="152"/>
      <c r="BI3634" s="153"/>
      <c r="BJ3634" s="153"/>
      <c r="BK3634" s="153"/>
      <c r="BL3634" s="153"/>
      <c r="BM3634" s="153"/>
      <c r="BN3634" s="153"/>
      <c r="BO3634" s="153"/>
      <c r="BP3634" s="153"/>
      <c r="BQ3634" s="153"/>
      <c r="BR3634" s="153"/>
      <c r="BS3634" s="153"/>
      <c r="BT3634" s="153"/>
      <c r="BU3634" s="153"/>
      <c r="BV3634" s="153"/>
      <c r="BW3634" s="153"/>
      <c r="BX3634" s="153"/>
      <c r="BY3634" s="153"/>
      <c r="BZ3634" s="153"/>
      <c r="CA3634" s="152"/>
      <c r="CB3634" s="152"/>
    </row>
    <row r="3635" spans="1:80" s="87" customFormat="1" ht="15" x14ac:dyDescent="0.25">
      <c r="A3635" s="152"/>
      <c r="B3635" s="683"/>
      <c r="C3635" s="683"/>
      <c r="D3635" s="698"/>
      <c r="E3635" s="215"/>
      <c r="F3635" s="215"/>
      <c r="G3635" s="153"/>
      <c r="H3635" s="153"/>
      <c r="I3635" s="320">
        <v>19</v>
      </c>
      <c r="J3635" s="320">
        <v>60</v>
      </c>
      <c r="K3635" s="150">
        <v>1</v>
      </c>
      <c r="L3635" s="656">
        <v>19</v>
      </c>
      <c r="M3635" s="663">
        <v>34471</v>
      </c>
      <c r="N3635" s="600">
        <v>257.92899999999997</v>
      </c>
      <c r="O3635" s="604">
        <v>3.9884000000000003E-2</v>
      </c>
      <c r="P3635" s="150"/>
      <c r="Q3635" s="250"/>
      <c r="R3635" s="250"/>
      <c r="S3635" s="250"/>
      <c r="T3635" s="250"/>
      <c r="U3635" s="250">
        <v>1.7999999999999999E-2</v>
      </c>
      <c r="V3635" s="250">
        <v>0.314</v>
      </c>
      <c r="W3635" s="250">
        <v>0.5</v>
      </c>
      <c r="X3635" s="250">
        <v>0.155</v>
      </c>
      <c r="Y3635" s="250">
        <v>1.3000000000000001E-2</v>
      </c>
      <c r="Z3635" s="150"/>
      <c r="AA3635" s="223">
        <v>0.79</v>
      </c>
      <c r="AB3635" s="152"/>
      <c r="AC3635" s="152"/>
      <c r="AD3635" s="223"/>
      <c r="AE3635" s="223"/>
      <c r="AF3635" s="223"/>
      <c r="AG3635" s="223"/>
      <c r="AH3635" s="341"/>
      <c r="AI3635" s="218"/>
      <c r="AJ3635" s="218"/>
      <c r="AK3635" s="153"/>
      <c r="AL3635" s="152"/>
      <c r="AM3635" s="152"/>
      <c r="AN3635" s="152"/>
      <c r="AO3635" s="152"/>
      <c r="AP3635" s="152"/>
      <c r="AQ3635" s="152"/>
      <c r="AR3635" s="152"/>
      <c r="AS3635" s="152"/>
      <c r="AT3635" s="152"/>
      <c r="AU3635" s="153"/>
      <c r="AV3635" s="479"/>
      <c r="AW3635" s="479"/>
      <c r="AX3635" s="442"/>
      <c r="AY3635" s="153"/>
      <c r="AZ3635" s="152"/>
      <c r="BA3635" s="152"/>
      <c r="BB3635" s="152"/>
      <c r="BC3635" s="152"/>
      <c r="BD3635" s="152"/>
      <c r="BE3635" s="152"/>
      <c r="BF3635" s="152"/>
      <c r="BG3635" s="152"/>
      <c r="BH3635" s="152"/>
      <c r="BI3635" s="153"/>
      <c r="BJ3635" s="153"/>
      <c r="BK3635" s="153"/>
      <c r="BL3635" s="153"/>
      <c r="BM3635" s="153"/>
      <c r="BN3635" s="153"/>
      <c r="BO3635" s="153"/>
      <c r="BP3635" s="153"/>
      <c r="BQ3635" s="153"/>
      <c r="BR3635" s="153"/>
      <c r="BS3635" s="153"/>
      <c r="BT3635" s="153"/>
      <c r="BU3635" s="153"/>
      <c r="BV3635" s="153"/>
      <c r="BW3635" s="153"/>
      <c r="BX3635" s="153"/>
      <c r="BY3635" s="153"/>
      <c r="BZ3635" s="153"/>
      <c r="CA3635" s="152"/>
      <c r="CB3635" s="152"/>
    </row>
    <row r="3636" spans="1:80" s="87" customFormat="1" ht="15" x14ac:dyDescent="0.25">
      <c r="A3636" s="152"/>
      <c r="B3636" s="683"/>
      <c r="C3636" s="683"/>
      <c r="D3636" s="698"/>
      <c r="E3636" s="215"/>
      <c r="F3636" s="215"/>
      <c r="G3636" s="153"/>
      <c r="H3636" s="153"/>
      <c r="I3636" s="320">
        <v>19</v>
      </c>
      <c r="J3636" s="320">
        <v>60</v>
      </c>
      <c r="K3636" s="150">
        <v>1</v>
      </c>
      <c r="L3636" s="656">
        <v>19</v>
      </c>
      <c r="M3636" s="663">
        <v>34471</v>
      </c>
      <c r="N3636" s="600">
        <v>257.92899999999997</v>
      </c>
      <c r="O3636" s="604">
        <v>2.0362000000000002E-2</v>
      </c>
      <c r="P3636" s="150"/>
      <c r="Q3636" s="250"/>
      <c r="R3636" s="250"/>
      <c r="S3636" s="250"/>
      <c r="T3636" s="250"/>
      <c r="U3636" s="250">
        <v>3.4000000000000002E-2</v>
      </c>
      <c r="V3636" s="250">
        <v>0.46100000000000002</v>
      </c>
      <c r="W3636" s="250">
        <v>0.41299999999999998</v>
      </c>
      <c r="X3636" s="250">
        <v>8.199999999999999E-2</v>
      </c>
      <c r="Y3636" s="250">
        <v>0.01</v>
      </c>
      <c r="Z3636" s="150"/>
      <c r="AA3636" s="223">
        <v>0.99</v>
      </c>
      <c r="AB3636" s="152"/>
      <c r="AC3636" s="152"/>
      <c r="AD3636" s="223"/>
      <c r="AE3636" s="223"/>
      <c r="AF3636" s="223"/>
      <c r="AG3636" s="223"/>
      <c r="AH3636" s="341"/>
      <c r="AI3636" s="218"/>
      <c r="AJ3636" s="218"/>
      <c r="AK3636" s="153"/>
      <c r="AL3636" s="152"/>
      <c r="AM3636" s="152"/>
      <c r="AN3636" s="152"/>
      <c r="AO3636" s="152"/>
      <c r="AP3636" s="152"/>
      <c r="AQ3636" s="152"/>
      <c r="AR3636" s="152"/>
      <c r="AS3636" s="152"/>
      <c r="AT3636" s="152"/>
      <c r="AU3636" s="153"/>
      <c r="AV3636" s="479"/>
      <c r="AW3636" s="479"/>
      <c r="AX3636" s="442"/>
      <c r="AY3636" s="153"/>
      <c r="AZ3636" s="152"/>
      <c r="BA3636" s="152"/>
      <c r="BB3636" s="152"/>
      <c r="BC3636" s="152"/>
      <c r="BD3636" s="152"/>
      <c r="BE3636" s="152"/>
      <c r="BF3636" s="152"/>
      <c r="BG3636" s="152"/>
      <c r="BH3636" s="152"/>
      <c r="BI3636" s="153"/>
      <c r="BJ3636" s="153"/>
      <c r="BK3636" s="153"/>
      <c r="BL3636" s="153"/>
      <c r="BM3636" s="153"/>
      <c r="BN3636" s="153"/>
      <c r="BO3636" s="153"/>
      <c r="BP3636" s="153"/>
      <c r="BQ3636" s="153"/>
      <c r="BR3636" s="153"/>
      <c r="BS3636" s="153"/>
      <c r="BT3636" s="153"/>
      <c r="BU3636" s="153"/>
      <c r="BV3636" s="153"/>
      <c r="BW3636" s="153"/>
      <c r="BX3636" s="153"/>
      <c r="BY3636" s="153"/>
      <c r="BZ3636" s="153"/>
      <c r="CA3636" s="152"/>
      <c r="CB3636" s="152"/>
    </row>
    <row r="3637" spans="1:80" s="87" customFormat="1" ht="15" x14ac:dyDescent="0.25">
      <c r="A3637" s="152"/>
      <c r="B3637" s="683"/>
      <c r="C3637" s="683"/>
      <c r="D3637" s="698"/>
      <c r="E3637" s="215"/>
      <c r="F3637" s="215"/>
      <c r="G3637" s="153"/>
      <c r="H3637" s="153"/>
      <c r="I3637" s="320">
        <v>19</v>
      </c>
      <c r="J3637" s="320">
        <v>60</v>
      </c>
      <c r="K3637" s="150">
        <v>1</v>
      </c>
      <c r="L3637" s="656">
        <v>19</v>
      </c>
      <c r="M3637" s="663">
        <v>34478</v>
      </c>
      <c r="N3637" s="600">
        <v>206.96600000000001</v>
      </c>
      <c r="O3637" s="604">
        <v>3.4640000000000001E-3</v>
      </c>
      <c r="P3637" s="150"/>
      <c r="Q3637" s="250"/>
      <c r="R3637" s="250"/>
      <c r="S3637" s="250"/>
      <c r="T3637" s="250"/>
      <c r="U3637" s="250">
        <v>8.5999999999999993E-2</v>
      </c>
      <c r="V3637" s="250">
        <v>0.28499999999999998</v>
      </c>
      <c r="W3637" s="250">
        <v>0.37200000000000005</v>
      </c>
      <c r="X3637" s="250">
        <v>0.2</v>
      </c>
      <c r="Y3637" s="250">
        <v>5.7000000000000002E-2</v>
      </c>
      <c r="Z3637" s="150"/>
      <c r="AA3637" s="223">
        <v>0.79</v>
      </c>
      <c r="AB3637" s="152"/>
      <c r="AC3637" s="152"/>
      <c r="AD3637" s="223"/>
      <c r="AE3637" s="223"/>
      <c r="AF3637" s="223"/>
      <c r="AG3637" s="223"/>
      <c r="AH3637" s="341"/>
      <c r="AI3637" s="218"/>
      <c r="AJ3637" s="218"/>
      <c r="AK3637" s="153"/>
      <c r="AL3637" s="152"/>
      <c r="AM3637" s="152"/>
      <c r="AN3637" s="152"/>
      <c r="AO3637" s="152"/>
      <c r="AP3637" s="152"/>
      <c r="AQ3637" s="152"/>
      <c r="AR3637" s="152"/>
      <c r="AS3637" s="152"/>
      <c r="AT3637" s="152"/>
      <c r="AU3637" s="153"/>
      <c r="AV3637" s="479"/>
      <c r="AW3637" s="479"/>
      <c r="AX3637" s="442"/>
      <c r="AY3637" s="153"/>
      <c r="AZ3637" s="152"/>
      <c r="BA3637" s="152"/>
      <c r="BB3637" s="152"/>
      <c r="BC3637" s="152"/>
      <c r="BD3637" s="152"/>
      <c r="BE3637" s="152"/>
      <c r="BF3637" s="152"/>
      <c r="BG3637" s="152"/>
      <c r="BH3637" s="152"/>
      <c r="BI3637" s="153"/>
      <c r="BJ3637" s="153"/>
      <c r="BK3637" s="153"/>
      <c r="BL3637" s="153"/>
      <c r="BM3637" s="153"/>
      <c r="BN3637" s="153"/>
      <c r="BO3637" s="153"/>
      <c r="BP3637" s="153"/>
      <c r="BQ3637" s="153"/>
      <c r="BR3637" s="153"/>
      <c r="BS3637" s="153"/>
      <c r="BT3637" s="153"/>
      <c r="BU3637" s="153"/>
      <c r="BV3637" s="153"/>
      <c r="BW3637" s="153"/>
      <c r="BX3637" s="153"/>
      <c r="BY3637" s="153"/>
      <c r="BZ3637" s="153"/>
      <c r="CA3637" s="152"/>
      <c r="CB3637" s="152"/>
    </row>
    <row r="3638" spans="1:80" s="87" customFormat="1" ht="15" x14ac:dyDescent="0.25">
      <c r="A3638" s="152"/>
      <c r="B3638" s="683"/>
      <c r="C3638" s="683"/>
      <c r="D3638" s="698"/>
      <c r="E3638" s="215"/>
      <c r="F3638" s="215"/>
      <c r="G3638" s="153"/>
      <c r="H3638" s="153"/>
      <c r="I3638" s="320">
        <v>19</v>
      </c>
      <c r="J3638" s="320">
        <v>60</v>
      </c>
      <c r="K3638" s="150">
        <v>1</v>
      </c>
      <c r="L3638" s="656">
        <v>19</v>
      </c>
      <c r="M3638" s="663">
        <v>34478</v>
      </c>
      <c r="N3638" s="600">
        <v>203.00200000000001</v>
      </c>
      <c r="O3638" s="604">
        <v>4.0930000000000003E-3</v>
      </c>
      <c r="P3638" s="150"/>
      <c r="Q3638" s="250"/>
      <c r="R3638" s="250"/>
      <c r="S3638" s="250"/>
      <c r="T3638" s="250"/>
      <c r="U3638" s="250">
        <v>4.8000000000000001E-2</v>
      </c>
      <c r="V3638" s="250">
        <v>0.26200000000000001</v>
      </c>
      <c r="W3638" s="250">
        <v>0.38</v>
      </c>
      <c r="X3638" s="250">
        <v>0.215</v>
      </c>
      <c r="Y3638" s="250">
        <v>9.5000000000000001E-2</v>
      </c>
      <c r="Z3638" s="150"/>
      <c r="AA3638" s="223">
        <v>0.71</v>
      </c>
      <c r="AB3638" s="152"/>
      <c r="AC3638" s="152"/>
      <c r="AD3638" s="223"/>
      <c r="AE3638" s="223"/>
      <c r="AF3638" s="223"/>
      <c r="AG3638" s="223"/>
      <c r="AH3638" s="341"/>
      <c r="AI3638" s="218"/>
      <c r="AJ3638" s="218"/>
      <c r="AK3638" s="153"/>
      <c r="AL3638" s="152"/>
      <c r="AM3638" s="152"/>
      <c r="AN3638" s="152"/>
      <c r="AO3638" s="152"/>
      <c r="AP3638" s="152"/>
      <c r="AQ3638" s="152"/>
      <c r="AR3638" s="152"/>
      <c r="AS3638" s="152"/>
      <c r="AT3638" s="152"/>
      <c r="AU3638" s="153"/>
      <c r="AV3638" s="479"/>
      <c r="AW3638" s="479"/>
      <c r="AX3638" s="442"/>
      <c r="AY3638" s="153"/>
      <c r="AZ3638" s="152"/>
      <c r="BA3638" s="152"/>
      <c r="BB3638" s="152"/>
      <c r="BC3638" s="152"/>
      <c r="BD3638" s="152"/>
      <c r="BE3638" s="152"/>
      <c r="BF3638" s="152"/>
      <c r="BG3638" s="152"/>
      <c r="BH3638" s="152"/>
      <c r="BI3638" s="153"/>
      <c r="BJ3638" s="153"/>
      <c r="BK3638" s="153"/>
      <c r="BL3638" s="153"/>
      <c r="BM3638" s="153"/>
      <c r="BN3638" s="153"/>
      <c r="BO3638" s="153"/>
      <c r="BP3638" s="153"/>
      <c r="BQ3638" s="153"/>
      <c r="BR3638" s="153"/>
      <c r="BS3638" s="153"/>
      <c r="BT3638" s="153"/>
      <c r="BU3638" s="153"/>
      <c r="BV3638" s="153"/>
      <c r="BW3638" s="153"/>
      <c r="BX3638" s="153"/>
      <c r="BY3638" s="153"/>
      <c r="BZ3638" s="153"/>
      <c r="CA3638" s="152"/>
      <c r="CB3638" s="152"/>
    </row>
    <row r="3639" spans="1:80" s="87" customFormat="1" ht="15" x14ac:dyDescent="0.25">
      <c r="A3639" s="152"/>
      <c r="B3639" s="683"/>
      <c r="C3639" s="683"/>
      <c r="D3639" s="698"/>
      <c r="E3639" s="215"/>
      <c r="F3639" s="215"/>
      <c r="G3639" s="153"/>
      <c r="H3639" s="153"/>
      <c r="I3639" s="320">
        <v>19</v>
      </c>
      <c r="J3639" s="320">
        <v>60</v>
      </c>
      <c r="K3639" s="150">
        <v>1</v>
      </c>
      <c r="L3639" s="656">
        <v>19</v>
      </c>
      <c r="M3639" s="663">
        <v>34480</v>
      </c>
      <c r="N3639" s="600">
        <v>238.11</v>
      </c>
      <c r="O3639" s="604">
        <v>2.6238999999999998E-2</v>
      </c>
      <c r="P3639" s="150"/>
      <c r="Q3639" s="250"/>
      <c r="R3639" s="250"/>
      <c r="S3639" s="250"/>
      <c r="T3639" s="250">
        <v>3.6999999999999998E-2</v>
      </c>
      <c r="U3639" s="250">
        <v>7.4999999999999997E-2</v>
      </c>
      <c r="V3639" s="250">
        <v>0.434</v>
      </c>
      <c r="W3639" s="250">
        <v>0.36099999999999999</v>
      </c>
      <c r="X3639" s="250">
        <v>8.5999999999999993E-2</v>
      </c>
      <c r="Y3639" s="250">
        <v>6.9999999999999993E-3</v>
      </c>
      <c r="Z3639" s="150"/>
      <c r="AA3639" s="223">
        <v>1.08</v>
      </c>
      <c r="AB3639" s="152"/>
      <c r="AC3639" s="152"/>
      <c r="AD3639" s="223"/>
      <c r="AE3639" s="223"/>
      <c r="AF3639" s="223"/>
      <c r="AG3639" s="223"/>
      <c r="AH3639" s="341"/>
      <c r="AI3639" s="218"/>
      <c r="AJ3639" s="218"/>
      <c r="AK3639" s="153"/>
      <c r="AL3639" s="152"/>
      <c r="AM3639" s="152"/>
      <c r="AN3639" s="152"/>
      <c r="AO3639" s="152"/>
      <c r="AP3639" s="152"/>
      <c r="AQ3639" s="152"/>
      <c r="AR3639" s="152"/>
      <c r="AS3639" s="152"/>
      <c r="AT3639" s="152"/>
      <c r="AU3639" s="153"/>
      <c r="AV3639" s="479"/>
      <c r="AW3639" s="479"/>
      <c r="AX3639" s="442"/>
      <c r="AY3639" s="153"/>
      <c r="AZ3639" s="152"/>
      <c r="BA3639" s="152"/>
      <c r="BB3639" s="152"/>
      <c r="BC3639" s="152"/>
      <c r="BD3639" s="152"/>
      <c r="BE3639" s="152"/>
      <c r="BF3639" s="152"/>
      <c r="BG3639" s="152"/>
      <c r="BH3639" s="152"/>
      <c r="BI3639" s="153"/>
      <c r="BJ3639" s="153"/>
      <c r="BK3639" s="153"/>
      <c r="BL3639" s="153"/>
      <c r="BM3639" s="153"/>
      <c r="BN3639" s="153"/>
      <c r="BO3639" s="153"/>
      <c r="BP3639" s="153"/>
      <c r="BQ3639" s="153"/>
      <c r="BR3639" s="153"/>
      <c r="BS3639" s="153"/>
      <c r="BT3639" s="153"/>
      <c r="BU3639" s="153"/>
      <c r="BV3639" s="153"/>
      <c r="BW3639" s="153"/>
      <c r="BX3639" s="153"/>
      <c r="BY3639" s="153"/>
      <c r="BZ3639" s="153"/>
      <c r="CA3639" s="152"/>
      <c r="CB3639" s="152"/>
    </row>
    <row r="3640" spans="1:80" s="87" customFormat="1" ht="15" x14ac:dyDescent="0.25">
      <c r="A3640" s="152"/>
      <c r="B3640" s="683"/>
      <c r="C3640" s="683"/>
      <c r="D3640" s="698"/>
      <c r="E3640" s="215"/>
      <c r="F3640" s="215"/>
      <c r="G3640" s="153"/>
      <c r="H3640" s="153"/>
      <c r="I3640" s="320">
        <v>19</v>
      </c>
      <c r="J3640" s="320">
        <v>60</v>
      </c>
      <c r="K3640" s="150">
        <v>1</v>
      </c>
      <c r="L3640" s="656">
        <v>19</v>
      </c>
      <c r="M3640" s="663">
        <v>34480</v>
      </c>
      <c r="N3640" s="600">
        <v>238.393</v>
      </c>
      <c r="O3640" s="604">
        <v>3.7780000000000001E-3</v>
      </c>
      <c r="P3640" s="150"/>
      <c r="Q3640" s="250"/>
      <c r="R3640" s="250"/>
      <c r="S3640" s="250"/>
      <c r="T3640" s="250"/>
      <c r="U3640" s="250">
        <v>7.6999999999999999E-2</v>
      </c>
      <c r="V3640" s="250">
        <v>0.33299999999999996</v>
      </c>
      <c r="W3640" s="250">
        <v>0.38500000000000001</v>
      </c>
      <c r="X3640" s="250">
        <v>0.154</v>
      </c>
      <c r="Y3640" s="250">
        <v>5.0999999999999997E-2</v>
      </c>
      <c r="Z3640" s="150"/>
      <c r="AA3640" s="223">
        <v>0.85</v>
      </c>
      <c r="AB3640" s="152"/>
      <c r="AC3640" s="152"/>
      <c r="AD3640" s="223"/>
      <c r="AE3640" s="223"/>
      <c r="AF3640" s="223"/>
      <c r="AG3640" s="223"/>
      <c r="AH3640" s="341"/>
      <c r="AI3640" s="218"/>
      <c r="AJ3640" s="218"/>
      <c r="AK3640" s="153"/>
      <c r="AL3640" s="152"/>
      <c r="AM3640" s="152"/>
      <c r="AN3640" s="152"/>
      <c r="AO3640" s="152"/>
      <c r="AP3640" s="152"/>
      <c r="AQ3640" s="152"/>
      <c r="AR3640" s="152"/>
      <c r="AS3640" s="152"/>
      <c r="AT3640" s="152"/>
      <c r="AU3640" s="153"/>
      <c r="AV3640" s="479"/>
      <c r="AW3640" s="479"/>
      <c r="AX3640" s="442"/>
      <c r="AY3640" s="153"/>
      <c r="AZ3640" s="152"/>
      <c r="BA3640" s="152"/>
      <c r="BB3640" s="152"/>
      <c r="BC3640" s="152"/>
      <c r="BD3640" s="152"/>
      <c r="BE3640" s="152"/>
      <c r="BF3640" s="152"/>
      <c r="BG3640" s="152"/>
      <c r="BH3640" s="152"/>
      <c r="BI3640" s="153"/>
      <c r="BJ3640" s="153"/>
      <c r="BK3640" s="153"/>
      <c r="BL3640" s="153"/>
      <c r="BM3640" s="153"/>
      <c r="BN3640" s="153"/>
      <c r="BO3640" s="153"/>
      <c r="BP3640" s="153"/>
      <c r="BQ3640" s="153"/>
      <c r="BR3640" s="153"/>
      <c r="BS3640" s="153"/>
      <c r="BT3640" s="153"/>
      <c r="BU3640" s="153"/>
      <c r="BV3640" s="153"/>
      <c r="BW3640" s="153"/>
      <c r="BX3640" s="153"/>
      <c r="BY3640" s="153"/>
      <c r="BZ3640" s="153"/>
      <c r="CA3640" s="152"/>
      <c r="CB3640" s="152"/>
    </row>
    <row r="3641" spans="1:80" s="87" customFormat="1" ht="15" x14ac:dyDescent="0.25">
      <c r="A3641" s="152"/>
      <c r="B3641" s="683"/>
      <c r="C3641" s="683"/>
      <c r="D3641" s="698"/>
      <c r="E3641" s="215"/>
      <c r="F3641" s="215"/>
      <c r="G3641" s="153"/>
      <c r="H3641" s="153"/>
      <c r="I3641" s="320">
        <v>19</v>
      </c>
      <c r="J3641" s="320">
        <v>60</v>
      </c>
      <c r="K3641" s="150">
        <v>1</v>
      </c>
      <c r="L3641" s="656">
        <v>19</v>
      </c>
      <c r="M3641" s="663">
        <v>34486</v>
      </c>
      <c r="N3641" s="600">
        <v>212.345</v>
      </c>
      <c r="O3641" s="604">
        <v>5.0379999999999999E-3</v>
      </c>
      <c r="P3641" s="150"/>
      <c r="Q3641" s="250"/>
      <c r="R3641" s="250"/>
      <c r="S3641" s="250"/>
      <c r="T3641" s="250"/>
      <c r="U3641" s="250">
        <v>0.02</v>
      </c>
      <c r="V3641" s="250">
        <v>0.26</v>
      </c>
      <c r="W3641" s="250">
        <v>0.38</v>
      </c>
      <c r="X3641" s="250">
        <v>0.28000000000000003</v>
      </c>
      <c r="Y3641" s="250">
        <v>0.06</v>
      </c>
      <c r="Z3641" s="150"/>
      <c r="AA3641" s="223">
        <v>0.67</v>
      </c>
      <c r="AB3641" s="152"/>
      <c r="AC3641" s="152"/>
      <c r="AD3641" s="223"/>
      <c r="AE3641" s="223"/>
      <c r="AF3641" s="223"/>
      <c r="AG3641" s="223"/>
      <c r="AH3641" s="341"/>
      <c r="AI3641" s="218"/>
      <c r="AJ3641" s="218"/>
      <c r="AK3641" s="153"/>
      <c r="AL3641" s="152"/>
      <c r="AM3641" s="152"/>
      <c r="AN3641" s="152"/>
      <c r="AO3641" s="152"/>
      <c r="AP3641" s="152"/>
      <c r="AQ3641" s="152"/>
      <c r="AR3641" s="152"/>
      <c r="AS3641" s="152"/>
      <c r="AT3641" s="152"/>
      <c r="AU3641" s="153"/>
      <c r="AV3641" s="479"/>
      <c r="AW3641" s="479"/>
      <c r="AX3641" s="442"/>
      <c r="AY3641" s="153"/>
      <c r="AZ3641" s="152"/>
      <c r="BA3641" s="152"/>
      <c r="BB3641" s="152"/>
      <c r="BC3641" s="152"/>
      <c r="BD3641" s="152"/>
      <c r="BE3641" s="152"/>
      <c r="BF3641" s="152"/>
      <c r="BG3641" s="152"/>
      <c r="BH3641" s="152"/>
      <c r="BI3641" s="153"/>
      <c r="BJ3641" s="153"/>
      <c r="BK3641" s="153"/>
      <c r="BL3641" s="153"/>
      <c r="BM3641" s="153"/>
      <c r="BN3641" s="153"/>
      <c r="BO3641" s="153"/>
      <c r="BP3641" s="153"/>
      <c r="BQ3641" s="153"/>
      <c r="BR3641" s="153"/>
      <c r="BS3641" s="153"/>
      <c r="BT3641" s="153"/>
      <c r="BU3641" s="153"/>
      <c r="BV3641" s="153"/>
      <c r="BW3641" s="153"/>
      <c r="BX3641" s="153"/>
      <c r="BY3641" s="153"/>
      <c r="BZ3641" s="153"/>
      <c r="CA3641" s="152"/>
      <c r="CB3641" s="152"/>
    </row>
    <row r="3642" spans="1:80" s="87" customFormat="1" ht="15" x14ac:dyDescent="0.25">
      <c r="A3642" s="152"/>
      <c r="B3642" s="683"/>
      <c r="C3642" s="683"/>
      <c r="D3642" s="698"/>
      <c r="E3642" s="215"/>
      <c r="F3642" s="215"/>
      <c r="G3642" s="153"/>
      <c r="H3642" s="153"/>
      <c r="I3642" s="320">
        <v>19</v>
      </c>
      <c r="J3642" s="320">
        <v>60</v>
      </c>
      <c r="K3642" s="150">
        <v>1</v>
      </c>
      <c r="L3642" s="656">
        <v>19</v>
      </c>
      <c r="M3642" s="663">
        <v>34486</v>
      </c>
      <c r="N3642" s="600">
        <v>213.761</v>
      </c>
      <c r="O3642" s="604">
        <v>1.9206999999999998E-2</v>
      </c>
      <c r="P3642" s="150"/>
      <c r="Q3642" s="250"/>
      <c r="R3642" s="250"/>
      <c r="S3642" s="250"/>
      <c r="T3642" s="250"/>
      <c r="U3642" s="250">
        <v>3.7999999999999999E-2</v>
      </c>
      <c r="V3642" s="250">
        <v>0.36</v>
      </c>
      <c r="W3642" s="250">
        <v>0.40799999999999997</v>
      </c>
      <c r="X3642" s="250">
        <v>0.17199999999999999</v>
      </c>
      <c r="Y3642" s="250">
        <v>2.2000000000000002E-2</v>
      </c>
      <c r="Z3642" s="150"/>
      <c r="AA3642" s="223">
        <v>0.84</v>
      </c>
      <c r="AB3642" s="152"/>
      <c r="AC3642" s="152"/>
      <c r="AD3642" s="223"/>
      <c r="AE3642" s="223"/>
      <c r="AF3642" s="223"/>
      <c r="AG3642" s="223"/>
      <c r="AH3642" s="341"/>
      <c r="AI3642" s="218"/>
      <c r="AJ3642" s="218"/>
      <c r="AK3642" s="153"/>
      <c r="AL3642" s="152"/>
      <c r="AM3642" s="152"/>
      <c r="AN3642" s="152"/>
      <c r="AO3642" s="152"/>
      <c r="AP3642" s="152"/>
      <c r="AQ3642" s="152"/>
      <c r="AR3642" s="152"/>
      <c r="AS3642" s="152"/>
      <c r="AT3642" s="152"/>
      <c r="AU3642" s="153"/>
      <c r="AV3642" s="479"/>
      <c r="AW3642" s="479"/>
      <c r="AX3642" s="442"/>
      <c r="AY3642" s="153"/>
      <c r="AZ3642" s="152"/>
      <c r="BA3642" s="152"/>
      <c r="BB3642" s="152"/>
      <c r="BC3642" s="152"/>
      <c r="BD3642" s="152"/>
      <c r="BE3642" s="152"/>
      <c r="BF3642" s="152"/>
      <c r="BG3642" s="152"/>
      <c r="BH3642" s="152"/>
      <c r="BI3642" s="153"/>
      <c r="BJ3642" s="153"/>
      <c r="BK3642" s="153"/>
      <c r="BL3642" s="153"/>
      <c r="BM3642" s="153"/>
      <c r="BN3642" s="153"/>
      <c r="BO3642" s="153"/>
      <c r="BP3642" s="153"/>
      <c r="BQ3642" s="153"/>
      <c r="BR3642" s="153"/>
      <c r="BS3642" s="153"/>
      <c r="BT3642" s="153"/>
      <c r="BU3642" s="153"/>
      <c r="BV3642" s="153"/>
      <c r="BW3642" s="153"/>
      <c r="BX3642" s="153"/>
      <c r="BY3642" s="153"/>
      <c r="BZ3642" s="153"/>
      <c r="CA3642" s="152"/>
      <c r="CB3642" s="152"/>
    </row>
    <row r="3643" spans="1:80" s="87" customFormat="1" ht="15" x14ac:dyDescent="0.25">
      <c r="A3643" s="152"/>
      <c r="B3643" s="683"/>
      <c r="C3643" s="683"/>
      <c r="D3643" s="698"/>
      <c r="E3643" s="215"/>
      <c r="F3643" s="215"/>
      <c r="G3643" s="153"/>
      <c r="H3643" s="153"/>
      <c r="I3643" s="320">
        <v>19</v>
      </c>
      <c r="J3643" s="320">
        <v>60</v>
      </c>
      <c r="K3643" s="150">
        <v>1</v>
      </c>
      <c r="L3643" s="656">
        <v>19</v>
      </c>
      <c r="M3643" s="663">
        <v>34487</v>
      </c>
      <c r="N3643" s="600">
        <v>206.11600000000001</v>
      </c>
      <c r="O3643" s="604">
        <v>4.4079999999999996E-3</v>
      </c>
      <c r="P3643" s="150"/>
      <c r="Q3643" s="250"/>
      <c r="R3643" s="250"/>
      <c r="S3643" s="250"/>
      <c r="T3643" s="250"/>
      <c r="U3643" s="250"/>
      <c r="V3643" s="250">
        <v>0.37</v>
      </c>
      <c r="W3643" s="250">
        <v>0.34700000000000003</v>
      </c>
      <c r="X3643" s="250">
        <v>0.24</v>
      </c>
      <c r="Y3643" s="250">
        <v>4.2999999999999997E-2</v>
      </c>
      <c r="Z3643" s="150"/>
      <c r="AA3643" s="223">
        <v>0.77</v>
      </c>
      <c r="AB3643" s="152"/>
      <c r="AC3643" s="152"/>
      <c r="AD3643" s="223"/>
      <c r="AE3643" s="223"/>
      <c r="AF3643" s="223"/>
      <c r="AG3643" s="223"/>
      <c r="AH3643" s="341"/>
      <c r="AI3643" s="218"/>
      <c r="AJ3643" s="218"/>
      <c r="AK3643" s="153"/>
      <c r="AL3643" s="152"/>
      <c r="AM3643" s="152"/>
      <c r="AN3643" s="152"/>
      <c r="AO3643" s="152"/>
      <c r="AP3643" s="152"/>
      <c r="AQ3643" s="152"/>
      <c r="AR3643" s="152"/>
      <c r="AS3643" s="152"/>
      <c r="AT3643" s="152"/>
      <c r="AU3643" s="153"/>
      <c r="AV3643" s="479"/>
      <c r="AW3643" s="479"/>
      <c r="AX3643" s="442"/>
      <c r="AY3643" s="153"/>
      <c r="AZ3643" s="152"/>
      <c r="BA3643" s="152"/>
      <c r="BB3643" s="152"/>
      <c r="BC3643" s="152"/>
      <c r="BD3643" s="152"/>
      <c r="BE3643" s="152"/>
      <c r="BF3643" s="152"/>
      <c r="BG3643" s="152"/>
      <c r="BH3643" s="152"/>
      <c r="BI3643" s="153"/>
      <c r="BJ3643" s="153"/>
      <c r="BK3643" s="153"/>
      <c r="BL3643" s="153"/>
      <c r="BM3643" s="153"/>
      <c r="BN3643" s="153"/>
      <c r="BO3643" s="153"/>
      <c r="BP3643" s="153"/>
      <c r="BQ3643" s="153"/>
      <c r="BR3643" s="153"/>
      <c r="BS3643" s="153"/>
      <c r="BT3643" s="153"/>
      <c r="BU3643" s="153"/>
      <c r="BV3643" s="153"/>
      <c r="BW3643" s="153"/>
      <c r="BX3643" s="153"/>
      <c r="BY3643" s="153"/>
      <c r="BZ3643" s="153"/>
      <c r="CA3643" s="152"/>
      <c r="CB3643" s="152"/>
    </row>
    <row r="3644" spans="1:80" s="87" customFormat="1" ht="15" x14ac:dyDescent="0.25">
      <c r="A3644" s="152"/>
      <c r="B3644" s="683"/>
      <c r="C3644" s="683"/>
      <c r="D3644" s="698"/>
      <c r="E3644" s="215"/>
      <c r="F3644" s="215"/>
      <c r="G3644" s="153"/>
      <c r="H3644" s="153"/>
      <c r="I3644" s="320">
        <v>19</v>
      </c>
      <c r="J3644" s="320">
        <v>60</v>
      </c>
      <c r="K3644" s="150">
        <v>1</v>
      </c>
      <c r="L3644" s="656">
        <v>19</v>
      </c>
      <c r="M3644" s="663">
        <v>34487</v>
      </c>
      <c r="N3644" s="600">
        <v>204.70099999999999</v>
      </c>
      <c r="O3644" s="604">
        <v>6.1919999999999996E-3</v>
      </c>
      <c r="P3644" s="150"/>
      <c r="Q3644" s="250"/>
      <c r="R3644" s="250"/>
      <c r="S3644" s="250"/>
      <c r="T3644" s="250"/>
      <c r="U3644" s="250"/>
      <c r="V3644" s="250">
        <v>0.317</v>
      </c>
      <c r="W3644" s="250">
        <v>0.50800000000000001</v>
      </c>
      <c r="X3644" s="250">
        <v>0.14300000000000002</v>
      </c>
      <c r="Y3644" s="250">
        <v>3.2000000000000001E-2</v>
      </c>
      <c r="Z3644" s="150"/>
      <c r="AA3644" s="223">
        <v>0.78</v>
      </c>
      <c r="AB3644" s="152"/>
      <c r="AC3644" s="152"/>
      <c r="AD3644" s="223"/>
      <c r="AE3644" s="223"/>
      <c r="AF3644" s="223"/>
      <c r="AG3644" s="223"/>
      <c r="AH3644" s="341"/>
      <c r="AI3644" s="218"/>
      <c r="AJ3644" s="218"/>
      <c r="AK3644" s="153"/>
      <c r="AL3644" s="152"/>
      <c r="AM3644" s="152"/>
      <c r="AN3644" s="152"/>
      <c r="AO3644" s="152"/>
      <c r="AP3644" s="152"/>
      <c r="AQ3644" s="152"/>
      <c r="AR3644" s="152"/>
      <c r="AS3644" s="152"/>
      <c r="AT3644" s="152"/>
      <c r="AU3644" s="153"/>
      <c r="AV3644" s="479"/>
      <c r="AW3644" s="479"/>
      <c r="AX3644" s="442"/>
      <c r="AY3644" s="153"/>
      <c r="AZ3644" s="152"/>
      <c r="BA3644" s="152"/>
      <c r="BB3644" s="152"/>
      <c r="BC3644" s="152"/>
      <c r="BD3644" s="152"/>
      <c r="BE3644" s="152"/>
      <c r="BF3644" s="152"/>
      <c r="BG3644" s="152"/>
      <c r="BH3644" s="152"/>
      <c r="BI3644" s="153"/>
      <c r="BJ3644" s="153"/>
      <c r="BK3644" s="153"/>
      <c r="BL3644" s="153"/>
      <c r="BM3644" s="153"/>
      <c r="BN3644" s="153"/>
      <c r="BO3644" s="153"/>
      <c r="BP3644" s="153"/>
      <c r="BQ3644" s="153"/>
      <c r="BR3644" s="153"/>
      <c r="BS3644" s="153"/>
      <c r="BT3644" s="153"/>
      <c r="BU3644" s="153"/>
      <c r="BV3644" s="153"/>
      <c r="BW3644" s="153"/>
      <c r="BX3644" s="153"/>
      <c r="BY3644" s="153"/>
      <c r="BZ3644" s="153"/>
      <c r="CA3644" s="152"/>
      <c r="CB3644" s="152"/>
    </row>
    <row r="3645" spans="1:80" s="87" customFormat="1" ht="15" x14ac:dyDescent="0.25">
      <c r="A3645" s="152"/>
      <c r="B3645" s="683"/>
      <c r="C3645" s="683"/>
      <c r="D3645" s="698"/>
      <c r="E3645" s="215"/>
      <c r="F3645" s="215"/>
      <c r="G3645" s="153"/>
      <c r="H3645" s="153"/>
      <c r="I3645" s="320">
        <v>19</v>
      </c>
      <c r="J3645" s="320">
        <v>60</v>
      </c>
      <c r="K3645" s="150">
        <v>1</v>
      </c>
      <c r="L3645" s="656">
        <v>19</v>
      </c>
      <c r="M3645" s="663">
        <v>34493</v>
      </c>
      <c r="N3645" s="600">
        <v>149.774</v>
      </c>
      <c r="O3645" s="604">
        <v>1.0499999999999999E-3</v>
      </c>
      <c r="P3645" s="150"/>
      <c r="Q3645" s="250"/>
      <c r="R3645" s="250"/>
      <c r="S3645" s="250"/>
      <c r="T3645" s="250"/>
      <c r="U3645" s="250"/>
      <c r="V3645" s="250">
        <v>0.27300000000000002</v>
      </c>
      <c r="W3645" s="250">
        <v>0.45399999999999996</v>
      </c>
      <c r="X3645" s="250">
        <v>0.182</v>
      </c>
      <c r="Y3645" s="250">
        <v>9.0999999999999998E-2</v>
      </c>
      <c r="Z3645" s="150"/>
      <c r="AA3645" s="223">
        <v>0.71</v>
      </c>
      <c r="AB3645" s="152"/>
      <c r="AC3645" s="152"/>
      <c r="AD3645" s="223"/>
      <c r="AE3645" s="223"/>
      <c r="AF3645" s="223"/>
      <c r="AG3645" s="223"/>
      <c r="AH3645" s="341"/>
      <c r="AI3645" s="218"/>
      <c r="AJ3645" s="218"/>
      <c r="AK3645" s="153"/>
      <c r="AL3645" s="152"/>
      <c r="AM3645" s="152"/>
      <c r="AN3645" s="152"/>
      <c r="AO3645" s="152"/>
      <c r="AP3645" s="152"/>
      <c r="AQ3645" s="152"/>
      <c r="AR3645" s="152"/>
      <c r="AS3645" s="152"/>
      <c r="AT3645" s="152"/>
      <c r="AU3645" s="153"/>
      <c r="AV3645" s="479"/>
      <c r="AW3645" s="479"/>
      <c r="AX3645" s="442"/>
      <c r="AY3645" s="153"/>
      <c r="AZ3645" s="152"/>
      <c r="BA3645" s="152"/>
      <c r="BB3645" s="152"/>
      <c r="BC3645" s="152"/>
      <c r="BD3645" s="152"/>
      <c r="BE3645" s="152"/>
      <c r="BF3645" s="152"/>
      <c r="BG3645" s="152"/>
      <c r="BH3645" s="152"/>
      <c r="BI3645" s="153"/>
      <c r="BJ3645" s="153"/>
      <c r="BK3645" s="153"/>
      <c r="BL3645" s="153"/>
      <c r="BM3645" s="153"/>
      <c r="BN3645" s="153"/>
      <c r="BO3645" s="153"/>
      <c r="BP3645" s="153"/>
      <c r="BQ3645" s="153"/>
      <c r="BR3645" s="153"/>
      <c r="BS3645" s="153"/>
      <c r="BT3645" s="153"/>
      <c r="BU3645" s="153"/>
      <c r="BV3645" s="153"/>
      <c r="BW3645" s="153"/>
      <c r="BX3645" s="153"/>
      <c r="BY3645" s="153"/>
      <c r="BZ3645" s="153"/>
      <c r="CA3645" s="152"/>
      <c r="CB3645" s="152"/>
    </row>
    <row r="3646" spans="1:80" s="87" customFormat="1" ht="15" x14ac:dyDescent="0.25">
      <c r="A3646" s="152"/>
      <c r="B3646" s="683"/>
      <c r="C3646" s="683"/>
      <c r="D3646" s="698"/>
      <c r="E3646" s="215"/>
      <c r="F3646" s="215"/>
      <c r="G3646" s="153"/>
      <c r="H3646" s="153"/>
      <c r="I3646" s="320">
        <v>19</v>
      </c>
      <c r="J3646" s="320">
        <v>60</v>
      </c>
      <c r="K3646" s="150">
        <v>1</v>
      </c>
      <c r="L3646" s="656">
        <v>19</v>
      </c>
      <c r="M3646" s="663">
        <v>34493</v>
      </c>
      <c r="N3646" s="600">
        <v>148.92500000000001</v>
      </c>
      <c r="O3646" s="604">
        <v>1.469E-3</v>
      </c>
      <c r="P3646" s="150"/>
      <c r="Q3646" s="250"/>
      <c r="R3646" s="250"/>
      <c r="S3646" s="250"/>
      <c r="T3646" s="250"/>
      <c r="U3646" s="250"/>
      <c r="V3646" s="250">
        <v>0.42899999999999999</v>
      </c>
      <c r="W3646" s="250">
        <v>0.42799999999999999</v>
      </c>
      <c r="X3646" s="250">
        <v>0.14300000000000002</v>
      </c>
      <c r="Y3646" s="250">
        <v>0</v>
      </c>
      <c r="Z3646" s="150"/>
      <c r="AA3646" s="223">
        <v>0.89</v>
      </c>
      <c r="AB3646" s="152"/>
      <c r="AC3646" s="152"/>
      <c r="AD3646" s="223"/>
      <c r="AE3646" s="223"/>
      <c r="AF3646" s="223"/>
      <c r="AG3646" s="223"/>
      <c r="AH3646" s="341"/>
      <c r="AI3646" s="218"/>
      <c r="AJ3646" s="218"/>
      <c r="AK3646" s="153"/>
      <c r="AL3646" s="152"/>
      <c r="AM3646" s="152"/>
      <c r="AN3646" s="152"/>
      <c r="AO3646" s="152"/>
      <c r="AP3646" s="152"/>
      <c r="AQ3646" s="152"/>
      <c r="AR3646" s="152"/>
      <c r="AS3646" s="152"/>
      <c r="AT3646" s="152"/>
      <c r="AU3646" s="153"/>
      <c r="AV3646" s="479"/>
      <c r="AW3646" s="479"/>
      <c r="AX3646" s="442"/>
      <c r="AY3646" s="153"/>
      <c r="AZ3646" s="152"/>
      <c r="BA3646" s="152"/>
      <c r="BB3646" s="152"/>
      <c r="BC3646" s="152"/>
      <c r="BD3646" s="152"/>
      <c r="BE3646" s="152"/>
      <c r="BF3646" s="152"/>
      <c r="BG3646" s="152"/>
      <c r="BH3646" s="152"/>
      <c r="BI3646" s="153"/>
      <c r="BJ3646" s="153"/>
      <c r="BK3646" s="153"/>
      <c r="BL3646" s="153"/>
      <c r="BM3646" s="153"/>
      <c r="BN3646" s="153"/>
      <c r="BO3646" s="153"/>
      <c r="BP3646" s="153"/>
      <c r="BQ3646" s="153"/>
      <c r="BR3646" s="153"/>
      <c r="BS3646" s="153"/>
      <c r="BT3646" s="153"/>
      <c r="BU3646" s="153"/>
      <c r="BV3646" s="153"/>
      <c r="BW3646" s="153"/>
      <c r="BX3646" s="153"/>
      <c r="BY3646" s="153"/>
      <c r="BZ3646" s="153"/>
      <c r="CA3646" s="152"/>
      <c r="CB3646" s="152"/>
    </row>
    <row r="3647" spans="1:80" s="87" customFormat="1" ht="15" x14ac:dyDescent="0.25">
      <c r="A3647" s="152"/>
      <c r="B3647" s="683"/>
      <c r="C3647" s="683"/>
      <c r="D3647" s="698"/>
      <c r="E3647" s="215"/>
      <c r="F3647" s="215"/>
      <c r="G3647" s="153"/>
      <c r="H3647" s="153"/>
      <c r="I3647" s="320">
        <v>19</v>
      </c>
      <c r="J3647" s="320">
        <v>60</v>
      </c>
      <c r="K3647" s="150">
        <v>1</v>
      </c>
      <c r="L3647" s="656">
        <v>19</v>
      </c>
      <c r="M3647" s="663">
        <v>34499</v>
      </c>
      <c r="N3647" s="600">
        <v>265.57299999999998</v>
      </c>
      <c r="O3647" s="604">
        <v>7.3470000000000002E-3</v>
      </c>
      <c r="P3647" s="150"/>
      <c r="Q3647" s="250"/>
      <c r="R3647" s="250"/>
      <c r="S3647" s="250"/>
      <c r="T3647" s="250"/>
      <c r="U3647" s="250">
        <v>2.5000000000000001E-2</v>
      </c>
      <c r="V3647" s="250">
        <v>0.15</v>
      </c>
      <c r="W3647" s="250">
        <v>0.3</v>
      </c>
      <c r="X3647" s="250">
        <v>0.42499999999999999</v>
      </c>
      <c r="Y3647" s="250">
        <v>0.1</v>
      </c>
      <c r="Z3647" s="150"/>
      <c r="AA3647" s="223">
        <v>0.48</v>
      </c>
      <c r="AB3647" s="152"/>
      <c r="AC3647" s="152"/>
      <c r="AD3647" s="223"/>
      <c r="AE3647" s="223"/>
      <c r="AF3647" s="223"/>
      <c r="AG3647" s="223"/>
      <c r="AH3647" s="341"/>
      <c r="AI3647" s="218"/>
      <c r="AJ3647" s="218"/>
      <c r="AK3647" s="153"/>
      <c r="AL3647" s="152"/>
      <c r="AM3647" s="152"/>
      <c r="AN3647" s="152"/>
      <c r="AO3647" s="152"/>
      <c r="AP3647" s="152"/>
      <c r="AQ3647" s="152"/>
      <c r="AR3647" s="152"/>
      <c r="AS3647" s="152"/>
      <c r="AT3647" s="152"/>
      <c r="AU3647" s="153"/>
      <c r="AV3647" s="479"/>
      <c r="AW3647" s="479"/>
      <c r="AX3647" s="442"/>
      <c r="AY3647" s="153"/>
      <c r="AZ3647" s="152"/>
      <c r="BA3647" s="152"/>
      <c r="BB3647" s="152"/>
      <c r="BC3647" s="152"/>
      <c r="BD3647" s="152"/>
      <c r="BE3647" s="152"/>
      <c r="BF3647" s="152"/>
      <c r="BG3647" s="152"/>
      <c r="BH3647" s="152"/>
      <c r="BI3647" s="153"/>
      <c r="BJ3647" s="153"/>
      <c r="BK3647" s="153"/>
      <c r="BL3647" s="153"/>
      <c r="BM3647" s="153"/>
      <c r="BN3647" s="153"/>
      <c r="BO3647" s="153"/>
      <c r="BP3647" s="153"/>
      <c r="BQ3647" s="153"/>
      <c r="BR3647" s="153"/>
      <c r="BS3647" s="153"/>
      <c r="BT3647" s="153"/>
      <c r="BU3647" s="153"/>
      <c r="BV3647" s="153"/>
      <c r="BW3647" s="153"/>
      <c r="BX3647" s="153"/>
      <c r="BY3647" s="153"/>
      <c r="BZ3647" s="153"/>
      <c r="CA3647" s="152"/>
      <c r="CB3647" s="152"/>
    </row>
    <row r="3648" spans="1:80" s="87" customFormat="1" ht="15" x14ac:dyDescent="0.25">
      <c r="A3648" s="152"/>
      <c r="B3648" s="683"/>
      <c r="C3648" s="683"/>
      <c r="D3648" s="698"/>
      <c r="E3648" s="215"/>
      <c r="F3648" s="215"/>
      <c r="G3648" s="153"/>
      <c r="H3648" s="153"/>
      <c r="I3648" s="320">
        <v>19</v>
      </c>
      <c r="J3648" s="320">
        <v>60</v>
      </c>
      <c r="K3648" s="150">
        <v>1</v>
      </c>
      <c r="L3648" s="656">
        <v>19</v>
      </c>
      <c r="M3648" s="663">
        <v>34499</v>
      </c>
      <c r="N3648" s="600">
        <v>261.60899999999998</v>
      </c>
      <c r="O3648" s="604">
        <v>4.1980000000000003E-3</v>
      </c>
      <c r="P3648" s="150"/>
      <c r="Q3648" s="250"/>
      <c r="R3648" s="250"/>
      <c r="S3648" s="250"/>
      <c r="T3648" s="250"/>
      <c r="U3648" s="250"/>
      <c r="V3648" s="250">
        <v>9.6999999999999989E-2</v>
      </c>
      <c r="W3648" s="250">
        <v>0.41899999999999998</v>
      </c>
      <c r="X3648" s="250">
        <v>0.38700000000000001</v>
      </c>
      <c r="Y3648" s="250">
        <v>9.6999999999999989E-2</v>
      </c>
      <c r="Z3648" s="150"/>
      <c r="AA3648" s="223">
        <v>0.51</v>
      </c>
      <c r="AB3648" s="152"/>
      <c r="AC3648" s="152"/>
      <c r="AD3648" s="223"/>
      <c r="AE3648" s="223"/>
      <c r="AF3648" s="223"/>
      <c r="AG3648" s="223"/>
      <c r="AH3648" s="341"/>
      <c r="AI3648" s="218"/>
      <c r="AJ3648" s="218"/>
      <c r="AK3648" s="153"/>
      <c r="AL3648" s="152"/>
      <c r="AM3648" s="152"/>
      <c r="AN3648" s="152"/>
      <c r="AO3648" s="152"/>
      <c r="AP3648" s="152"/>
      <c r="AQ3648" s="152"/>
      <c r="AR3648" s="152"/>
      <c r="AS3648" s="152"/>
      <c r="AT3648" s="152"/>
      <c r="AU3648" s="153"/>
      <c r="AV3648" s="479"/>
      <c r="AW3648" s="479"/>
      <c r="AX3648" s="442"/>
      <c r="AY3648" s="153"/>
      <c r="AZ3648" s="152"/>
      <c r="BA3648" s="152"/>
      <c r="BB3648" s="152"/>
      <c r="BC3648" s="152"/>
      <c r="BD3648" s="152"/>
      <c r="BE3648" s="152"/>
      <c r="BF3648" s="152"/>
      <c r="BG3648" s="152"/>
      <c r="BH3648" s="152"/>
      <c r="BI3648" s="153"/>
      <c r="BJ3648" s="153"/>
      <c r="BK3648" s="153"/>
      <c r="BL3648" s="153"/>
      <c r="BM3648" s="153"/>
      <c r="BN3648" s="153"/>
      <c r="BO3648" s="153"/>
      <c r="BP3648" s="153"/>
      <c r="BQ3648" s="153"/>
      <c r="BR3648" s="153"/>
      <c r="BS3648" s="153"/>
      <c r="BT3648" s="153"/>
      <c r="BU3648" s="153"/>
      <c r="BV3648" s="153"/>
      <c r="BW3648" s="153"/>
      <c r="BX3648" s="153"/>
      <c r="BY3648" s="153"/>
      <c r="BZ3648" s="153"/>
      <c r="CA3648" s="152"/>
      <c r="CB3648" s="152"/>
    </row>
    <row r="3649" spans="1:80" s="87" customFormat="1" ht="15" x14ac:dyDescent="0.25">
      <c r="A3649" s="152"/>
      <c r="B3649" s="683"/>
      <c r="C3649" s="683"/>
      <c r="D3649" s="698"/>
      <c r="E3649" s="215"/>
      <c r="F3649" s="215"/>
      <c r="G3649" s="153"/>
      <c r="H3649" s="153"/>
      <c r="I3649" s="320">
        <v>19</v>
      </c>
      <c r="J3649" s="320">
        <v>60</v>
      </c>
      <c r="K3649" s="150">
        <v>1</v>
      </c>
      <c r="L3649" s="656">
        <v>19</v>
      </c>
      <c r="M3649" s="663">
        <v>34821</v>
      </c>
      <c r="N3649" s="600">
        <v>134.768</v>
      </c>
      <c r="O3649" s="604">
        <v>3.1489999999999999E-3</v>
      </c>
      <c r="P3649" s="150"/>
      <c r="Q3649" s="250"/>
      <c r="R3649" s="250"/>
      <c r="S3649" s="250"/>
      <c r="T3649" s="250"/>
      <c r="U3649" s="250">
        <v>9.7000000000000003E-2</v>
      </c>
      <c r="V3649" s="250">
        <v>0.22600000000000001</v>
      </c>
      <c r="W3649" s="250">
        <v>0.41899999999999998</v>
      </c>
      <c r="X3649" s="250">
        <v>0.22600000000000001</v>
      </c>
      <c r="Y3649" s="250">
        <v>3.2000000000000001E-2</v>
      </c>
      <c r="Z3649" s="150">
        <v>2</v>
      </c>
      <c r="AA3649" s="223">
        <v>0.75</v>
      </c>
      <c r="AB3649" s="152"/>
      <c r="AC3649" s="152"/>
      <c r="AD3649" s="223"/>
      <c r="AE3649" s="223"/>
      <c r="AF3649" s="223"/>
      <c r="AG3649" s="223"/>
      <c r="AH3649" s="341"/>
      <c r="AI3649" s="218"/>
      <c r="AJ3649" s="218"/>
      <c r="AK3649" s="153"/>
      <c r="AL3649" s="152"/>
      <c r="AM3649" s="152"/>
      <c r="AN3649" s="152"/>
      <c r="AO3649" s="152"/>
      <c r="AP3649" s="152"/>
      <c r="AQ3649" s="152"/>
      <c r="AR3649" s="152"/>
      <c r="AS3649" s="152"/>
      <c r="AT3649" s="152"/>
      <c r="AU3649" s="153"/>
      <c r="AV3649" s="479"/>
      <c r="AW3649" s="479"/>
      <c r="AX3649" s="442"/>
      <c r="AY3649" s="153"/>
      <c r="AZ3649" s="152"/>
      <c r="BA3649" s="152"/>
      <c r="BB3649" s="152"/>
      <c r="BC3649" s="152"/>
      <c r="BD3649" s="152"/>
      <c r="BE3649" s="152"/>
      <c r="BF3649" s="152"/>
      <c r="BG3649" s="152"/>
      <c r="BH3649" s="152"/>
      <c r="BI3649" s="153"/>
      <c r="BJ3649" s="153"/>
      <c r="BK3649" s="153"/>
      <c r="BL3649" s="153"/>
      <c r="BM3649" s="153"/>
      <c r="BN3649" s="153"/>
      <c r="BO3649" s="153"/>
      <c r="BP3649" s="153"/>
      <c r="BQ3649" s="153"/>
      <c r="BR3649" s="153"/>
      <c r="BS3649" s="153"/>
      <c r="BT3649" s="153"/>
      <c r="BU3649" s="153"/>
      <c r="BV3649" s="153"/>
      <c r="BW3649" s="153"/>
      <c r="BX3649" s="153"/>
      <c r="BY3649" s="153"/>
      <c r="BZ3649" s="153"/>
      <c r="CA3649" s="152"/>
      <c r="CB3649" s="152"/>
    </row>
    <row r="3650" spans="1:80" s="87" customFormat="1" ht="15" x14ac:dyDescent="0.25">
      <c r="A3650" s="152"/>
      <c r="B3650" s="683"/>
      <c r="C3650" s="683"/>
      <c r="D3650" s="698"/>
      <c r="E3650" s="215"/>
      <c r="F3650" s="215"/>
      <c r="G3650" s="153"/>
      <c r="H3650" s="153"/>
      <c r="I3650" s="320">
        <v>19</v>
      </c>
      <c r="J3650" s="320">
        <v>60</v>
      </c>
      <c r="K3650" s="150">
        <v>1</v>
      </c>
      <c r="L3650" s="656">
        <v>19</v>
      </c>
      <c r="M3650" s="663">
        <v>34821</v>
      </c>
      <c r="N3650" s="600">
        <v>135.90100000000001</v>
      </c>
      <c r="O3650" s="604">
        <v>3.0439999999999998E-3</v>
      </c>
      <c r="P3650" s="150"/>
      <c r="Q3650" s="250"/>
      <c r="R3650" s="250"/>
      <c r="S3650" s="250"/>
      <c r="T3650" s="250"/>
      <c r="U3650" s="250">
        <v>6.9000000000000006E-2</v>
      </c>
      <c r="V3650" s="250">
        <v>0.20699999999999999</v>
      </c>
      <c r="W3650" s="250">
        <v>0.41399999999999998</v>
      </c>
      <c r="X3650" s="250">
        <v>0.27600000000000002</v>
      </c>
      <c r="Y3650" s="250">
        <v>3.4000000000000002E-2</v>
      </c>
      <c r="Z3650" s="150">
        <v>2</v>
      </c>
      <c r="AA3650" s="223">
        <v>0.69</v>
      </c>
      <c r="AB3650" s="152"/>
      <c r="AC3650" s="152"/>
      <c r="AD3650" s="223"/>
      <c r="AE3650" s="223"/>
      <c r="AF3650" s="223"/>
      <c r="AG3650" s="223"/>
      <c r="AH3650" s="341"/>
      <c r="AI3650" s="218"/>
      <c r="AJ3650" s="218"/>
      <c r="AK3650" s="153"/>
      <c r="AL3650" s="152"/>
      <c r="AM3650" s="152"/>
      <c r="AN3650" s="152"/>
      <c r="AO3650" s="152"/>
      <c r="AP3650" s="152"/>
      <c r="AQ3650" s="152"/>
      <c r="AR3650" s="152"/>
      <c r="AS3650" s="152"/>
      <c r="AT3650" s="152"/>
      <c r="AU3650" s="153"/>
      <c r="AV3650" s="479"/>
      <c r="AW3650" s="479"/>
      <c r="AX3650" s="442"/>
      <c r="AY3650" s="153"/>
      <c r="AZ3650" s="152"/>
      <c r="BA3650" s="152"/>
      <c r="BB3650" s="152"/>
      <c r="BC3650" s="152"/>
      <c r="BD3650" s="152"/>
      <c r="BE3650" s="152"/>
      <c r="BF3650" s="152"/>
      <c r="BG3650" s="152"/>
      <c r="BH3650" s="152"/>
      <c r="BI3650" s="153"/>
      <c r="BJ3650" s="153"/>
      <c r="BK3650" s="153"/>
      <c r="BL3650" s="153"/>
      <c r="BM3650" s="153"/>
      <c r="BN3650" s="153"/>
      <c r="BO3650" s="153"/>
      <c r="BP3650" s="153"/>
      <c r="BQ3650" s="153"/>
      <c r="BR3650" s="153"/>
      <c r="BS3650" s="153"/>
      <c r="BT3650" s="153"/>
      <c r="BU3650" s="153"/>
      <c r="BV3650" s="153"/>
      <c r="BW3650" s="153"/>
      <c r="BX3650" s="153"/>
      <c r="BY3650" s="153"/>
      <c r="BZ3650" s="153"/>
      <c r="CA3650" s="152"/>
      <c r="CB3650" s="152"/>
    </row>
    <row r="3651" spans="1:80" s="87" customFormat="1" ht="15" x14ac:dyDescent="0.25">
      <c r="A3651" s="152"/>
      <c r="B3651" s="683"/>
      <c r="C3651" s="683"/>
      <c r="D3651" s="698"/>
      <c r="E3651" s="215"/>
      <c r="F3651" s="215"/>
      <c r="G3651" s="153"/>
      <c r="H3651" s="153"/>
      <c r="I3651" s="320">
        <v>19</v>
      </c>
      <c r="J3651" s="320">
        <v>60</v>
      </c>
      <c r="K3651" s="150">
        <v>1</v>
      </c>
      <c r="L3651" s="656">
        <v>19</v>
      </c>
      <c r="M3651" s="663">
        <v>34822</v>
      </c>
      <c r="N3651" s="600">
        <v>160.816</v>
      </c>
      <c r="O3651" s="604">
        <v>4.0930000000000003E-3</v>
      </c>
      <c r="P3651" s="150"/>
      <c r="Q3651" s="250"/>
      <c r="R3651" s="250"/>
      <c r="S3651" s="250"/>
      <c r="T3651" s="250"/>
      <c r="U3651" s="250">
        <v>7.6999999999999999E-2</v>
      </c>
      <c r="V3651" s="250">
        <v>0.25600000000000001</v>
      </c>
      <c r="W3651" s="250">
        <v>0.38500000000000001</v>
      </c>
      <c r="X3651" s="250">
        <v>0.25600000000000001</v>
      </c>
      <c r="Y3651" s="250">
        <v>2.6000000000000002E-2</v>
      </c>
      <c r="Z3651" s="150">
        <v>3</v>
      </c>
      <c r="AA3651" s="223">
        <v>0.74</v>
      </c>
      <c r="AB3651" s="152"/>
      <c r="AC3651" s="152"/>
      <c r="AD3651" s="223"/>
      <c r="AE3651" s="223"/>
      <c r="AF3651" s="223"/>
      <c r="AG3651" s="223"/>
      <c r="AH3651" s="341"/>
      <c r="AI3651" s="218"/>
      <c r="AJ3651" s="218"/>
      <c r="AK3651" s="153"/>
      <c r="AL3651" s="152"/>
      <c r="AM3651" s="152"/>
      <c r="AN3651" s="152"/>
      <c r="AO3651" s="152"/>
      <c r="AP3651" s="152"/>
      <c r="AQ3651" s="152"/>
      <c r="AR3651" s="152"/>
      <c r="AS3651" s="152"/>
      <c r="AT3651" s="152"/>
      <c r="AU3651" s="153"/>
      <c r="AV3651" s="479"/>
      <c r="AW3651" s="479"/>
      <c r="AX3651" s="442"/>
      <c r="AY3651" s="153"/>
      <c r="AZ3651" s="152"/>
      <c r="BA3651" s="152"/>
      <c r="BB3651" s="152"/>
      <c r="BC3651" s="152"/>
      <c r="BD3651" s="152"/>
      <c r="BE3651" s="152"/>
      <c r="BF3651" s="152"/>
      <c r="BG3651" s="152"/>
      <c r="BH3651" s="152"/>
      <c r="BI3651" s="153"/>
      <c r="BJ3651" s="153"/>
      <c r="BK3651" s="153"/>
      <c r="BL3651" s="153"/>
      <c r="BM3651" s="153"/>
      <c r="BN3651" s="153"/>
      <c r="BO3651" s="153"/>
      <c r="BP3651" s="153"/>
      <c r="BQ3651" s="153"/>
      <c r="BR3651" s="153"/>
      <c r="BS3651" s="153"/>
      <c r="BT3651" s="153"/>
      <c r="BU3651" s="153"/>
      <c r="BV3651" s="153"/>
      <c r="BW3651" s="153"/>
      <c r="BX3651" s="153"/>
      <c r="BY3651" s="153"/>
      <c r="BZ3651" s="153"/>
      <c r="CA3651" s="152"/>
      <c r="CB3651" s="152"/>
    </row>
    <row r="3652" spans="1:80" s="87" customFormat="1" ht="15" x14ac:dyDescent="0.25">
      <c r="A3652" s="152"/>
      <c r="B3652" s="683"/>
      <c r="C3652" s="683"/>
      <c r="D3652" s="698"/>
      <c r="E3652" s="215"/>
      <c r="F3652" s="215"/>
      <c r="G3652" s="153"/>
      <c r="H3652" s="153"/>
      <c r="I3652" s="320">
        <v>19</v>
      </c>
      <c r="J3652" s="320">
        <v>60</v>
      </c>
      <c r="K3652" s="150">
        <v>1</v>
      </c>
      <c r="L3652" s="656">
        <v>19</v>
      </c>
      <c r="M3652" s="663">
        <v>34822</v>
      </c>
      <c r="N3652" s="600">
        <v>160.25</v>
      </c>
      <c r="O3652" s="604">
        <v>6.0879999999999997E-3</v>
      </c>
      <c r="P3652" s="150"/>
      <c r="Q3652" s="250"/>
      <c r="R3652" s="250"/>
      <c r="S3652" s="250"/>
      <c r="T3652" s="250"/>
      <c r="U3652" s="250">
        <v>8.5000000000000006E-2</v>
      </c>
      <c r="V3652" s="250">
        <v>0.32200000000000001</v>
      </c>
      <c r="W3652" s="250">
        <v>0.33899999999999997</v>
      </c>
      <c r="X3652" s="250">
        <v>0.23699999999999999</v>
      </c>
      <c r="Y3652" s="250">
        <v>1.7000000000000001E-2</v>
      </c>
      <c r="Z3652" s="150">
        <v>3</v>
      </c>
      <c r="AA3652" s="223">
        <v>0.83</v>
      </c>
      <c r="AB3652" s="152"/>
      <c r="AC3652" s="152"/>
      <c r="AD3652" s="223"/>
      <c r="AE3652" s="223"/>
      <c r="AF3652" s="223"/>
      <c r="AG3652" s="223"/>
      <c r="AH3652" s="341"/>
      <c r="AI3652" s="218"/>
      <c r="AJ3652" s="218"/>
      <c r="AK3652" s="153"/>
      <c r="AL3652" s="152"/>
      <c r="AM3652" s="152"/>
      <c r="AN3652" s="152"/>
      <c r="AO3652" s="152"/>
      <c r="AP3652" s="152"/>
      <c r="AQ3652" s="152"/>
      <c r="AR3652" s="152"/>
      <c r="AS3652" s="152"/>
      <c r="AT3652" s="152"/>
      <c r="AU3652" s="153"/>
      <c r="AV3652" s="479"/>
      <c r="AW3652" s="479"/>
      <c r="AX3652" s="442"/>
      <c r="AY3652" s="153"/>
      <c r="AZ3652" s="152"/>
      <c r="BA3652" s="152"/>
      <c r="BB3652" s="152"/>
      <c r="BC3652" s="152"/>
      <c r="BD3652" s="152"/>
      <c r="BE3652" s="152"/>
      <c r="BF3652" s="152"/>
      <c r="BG3652" s="152"/>
      <c r="BH3652" s="152"/>
      <c r="BI3652" s="153"/>
      <c r="BJ3652" s="153"/>
      <c r="BK3652" s="153"/>
      <c r="BL3652" s="153"/>
      <c r="BM3652" s="153"/>
      <c r="BN3652" s="153"/>
      <c r="BO3652" s="153"/>
      <c r="BP3652" s="153"/>
      <c r="BQ3652" s="153"/>
      <c r="BR3652" s="153"/>
      <c r="BS3652" s="153"/>
      <c r="BT3652" s="153"/>
      <c r="BU3652" s="153"/>
      <c r="BV3652" s="153"/>
      <c r="BW3652" s="153"/>
      <c r="BX3652" s="153"/>
      <c r="BY3652" s="153"/>
      <c r="BZ3652" s="153"/>
      <c r="CA3652" s="152"/>
      <c r="CB3652" s="152"/>
    </row>
    <row r="3653" spans="1:80" ht="15" x14ac:dyDescent="0.25">
      <c r="A3653" s="9"/>
      <c r="B3653" s="639"/>
      <c r="C3653" s="639"/>
      <c r="D3653" s="4"/>
      <c r="E3653" s="14"/>
      <c r="F3653" s="18"/>
      <c r="G3653" s="12"/>
      <c r="H3653" s="639"/>
      <c r="I3653" s="640">
        <v>20</v>
      </c>
      <c r="J3653" s="640">
        <v>60</v>
      </c>
      <c r="K3653" s="640">
        <v>1</v>
      </c>
      <c r="L3653" s="640">
        <v>20</v>
      </c>
      <c r="M3653" s="640">
        <v>34828</v>
      </c>
      <c r="N3653" s="579">
        <v>328.42700000000002</v>
      </c>
      <c r="O3653" s="579">
        <v>0.208865</v>
      </c>
      <c r="P3653" s="640"/>
      <c r="Q3653" s="640"/>
      <c r="R3653" s="640"/>
      <c r="S3653" s="640"/>
      <c r="T3653" s="640">
        <v>6.0000000000000001E-3</v>
      </c>
      <c r="U3653" s="640">
        <v>1.9E-2</v>
      </c>
      <c r="V3653" s="640">
        <v>0.28699999999999998</v>
      </c>
      <c r="W3653" s="640">
        <v>0.48100000000000004</v>
      </c>
      <c r="X3653" s="640">
        <v>0.2</v>
      </c>
      <c r="Y3653" s="640">
        <v>6.9999999999999993E-3</v>
      </c>
      <c r="Z3653" s="579">
        <v>6</v>
      </c>
      <c r="AA3653" s="81">
        <v>0.76</v>
      </c>
      <c r="AB3653" s="81"/>
      <c r="AC3653" s="116"/>
      <c r="AD3653" s="579"/>
      <c r="AE3653" s="579"/>
      <c r="AF3653" s="640"/>
      <c r="AG3653" s="640"/>
      <c r="AH3653" s="345"/>
      <c r="AI3653" s="18"/>
      <c r="AJ3653" s="17"/>
      <c r="AK3653" s="17"/>
      <c r="AL3653" s="17"/>
      <c r="AM3653" s="17"/>
      <c r="AN3653" s="17"/>
      <c r="AO3653" s="17"/>
      <c r="AP3653" s="17"/>
      <c r="AQ3653" s="17"/>
      <c r="AR3653" s="17"/>
      <c r="AS3653" s="17"/>
      <c r="AT3653" s="17"/>
      <c r="AU3653" s="18"/>
      <c r="AV3653" s="17"/>
      <c r="AW3653" s="17"/>
      <c r="AX3653" s="17"/>
      <c r="AY3653" s="17"/>
      <c r="AZ3653" s="17"/>
      <c r="BA3653" s="17"/>
      <c r="BB3653" s="17"/>
      <c r="BC3653" s="17"/>
      <c r="BD3653" s="17"/>
      <c r="BE3653" s="17"/>
      <c r="BI3653" s="4"/>
      <c r="BJ3653" s="639"/>
      <c r="BK3653" s="639"/>
      <c r="BL3653" s="12"/>
      <c r="BM3653" s="12"/>
      <c r="BN3653" s="12"/>
      <c r="BO3653" s="12"/>
      <c r="BP3653" s="12"/>
      <c r="BQ3653" s="12"/>
      <c r="BR3653" s="12"/>
      <c r="BS3653" s="18"/>
      <c r="BT3653" s="12"/>
      <c r="BU3653" s="639"/>
      <c r="BV3653" s="639"/>
      <c r="BW3653" s="639"/>
      <c r="BX3653" s="639"/>
      <c r="BY3653" s="639"/>
      <c r="BZ3653" s="639"/>
      <c r="CA3653" s="381"/>
      <c r="CB3653" s="9"/>
    </row>
    <row r="3654" spans="1:80" s="87" customFormat="1" ht="15" x14ac:dyDescent="0.25">
      <c r="A3654" s="152"/>
      <c r="B3654" s="683"/>
      <c r="C3654" s="683"/>
      <c r="D3654" s="698"/>
      <c r="E3654" s="215"/>
      <c r="F3654" s="215"/>
      <c r="G3654" s="153"/>
      <c r="H3654" s="153"/>
      <c r="I3654" s="320">
        <v>20</v>
      </c>
      <c r="J3654" s="320">
        <v>60</v>
      </c>
      <c r="K3654" s="150">
        <v>1</v>
      </c>
      <c r="L3654" s="656">
        <v>20</v>
      </c>
      <c r="M3654" s="663">
        <v>34828</v>
      </c>
      <c r="N3654" s="600">
        <v>325.596</v>
      </c>
      <c r="O3654" s="604">
        <v>0.14799000000000001</v>
      </c>
      <c r="P3654" s="150"/>
      <c r="Q3654" s="250"/>
      <c r="R3654" s="250"/>
      <c r="S3654" s="250">
        <v>5.0000000000000001E-3</v>
      </c>
      <c r="T3654" s="250">
        <v>0</v>
      </c>
      <c r="U3654" s="250">
        <v>2.1999999999999999E-2</v>
      </c>
      <c r="V3654" s="250">
        <v>0.21</v>
      </c>
      <c r="W3654" s="250">
        <v>0.48200000000000004</v>
      </c>
      <c r="X3654" s="250">
        <v>0.27399999999999997</v>
      </c>
      <c r="Y3654" s="250">
        <v>6.9999999999999993E-3</v>
      </c>
      <c r="Z3654" s="150">
        <v>9</v>
      </c>
      <c r="AA3654" s="223">
        <v>0.69</v>
      </c>
      <c r="AB3654" s="152"/>
      <c r="AC3654" s="152"/>
      <c r="AD3654" s="223"/>
      <c r="AE3654" s="223"/>
      <c r="AF3654" s="223"/>
      <c r="AG3654" s="223"/>
      <c r="AH3654" s="341"/>
      <c r="AI3654" s="218"/>
      <c r="AJ3654" s="218"/>
      <c r="AK3654" s="153"/>
      <c r="AL3654" s="152"/>
      <c r="AM3654" s="152"/>
      <c r="AN3654" s="152"/>
      <c r="AO3654" s="152"/>
      <c r="AP3654" s="152"/>
      <c r="AQ3654" s="152"/>
      <c r="AR3654" s="152"/>
      <c r="AS3654" s="152"/>
      <c r="AT3654" s="152"/>
      <c r="AU3654" s="153"/>
      <c r="AV3654" s="479"/>
      <c r="AW3654" s="479"/>
      <c r="AX3654" s="442"/>
      <c r="AY3654" s="153"/>
      <c r="AZ3654" s="152"/>
      <c r="BA3654" s="152"/>
      <c r="BB3654" s="152"/>
      <c r="BC3654" s="152"/>
      <c r="BD3654" s="152"/>
      <c r="BE3654" s="152"/>
      <c r="BF3654" s="152"/>
      <c r="BG3654" s="152"/>
      <c r="BH3654" s="152"/>
      <c r="BI3654" s="153"/>
      <c r="BJ3654" s="153"/>
      <c r="BK3654" s="153"/>
      <c r="BL3654" s="153"/>
      <c r="BM3654" s="153"/>
      <c r="BN3654" s="153"/>
      <c r="BO3654" s="153"/>
      <c r="BP3654" s="153"/>
      <c r="BQ3654" s="153"/>
      <c r="BR3654" s="153"/>
      <c r="BS3654" s="153"/>
      <c r="BT3654" s="153"/>
      <c r="BU3654" s="153"/>
      <c r="BV3654" s="153"/>
      <c r="BW3654" s="153"/>
      <c r="BX3654" s="153"/>
      <c r="BY3654" s="153"/>
      <c r="BZ3654" s="153"/>
      <c r="CA3654" s="152"/>
      <c r="CB3654" s="152"/>
    </row>
    <row r="3655" spans="1:80" s="87" customFormat="1" ht="15" x14ac:dyDescent="0.25">
      <c r="A3655" s="152"/>
      <c r="B3655" s="683"/>
      <c r="C3655" s="683"/>
      <c r="D3655" s="698"/>
      <c r="E3655" s="215"/>
      <c r="F3655" s="215"/>
      <c r="G3655" s="153"/>
      <c r="H3655" s="153"/>
      <c r="I3655" s="320">
        <v>20</v>
      </c>
      <c r="J3655" s="320">
        <v>60</v>
      </c>
      <c r="K3655" s="150">
        <v>1</v>
      </c>
      <c r="L3655" s="656">
        <v>20</v>
      </c>
      <c r="M3655" s="663">
        <v>34829</v>
      </c>
      <c r="N3655" s="600">
        <v>342.584</v>
      </c>
      <c r="O3655" s="604">
        <v>0.19207199999999999</v>
      </c>
      <c r="P3655" s="150"/>
      <c r="Q3655" s="250"/>
      <c r="R3655" s="250"/>
      <c r="S3655" s="250"/>
      <c r="T3655" s="250">
        <v>1.2E-2</v>
      </c>
      <c r="U3655" s="250">
        <v>2.5999999999999999E-2</v>
      </c>
      <c r="V3655" s="250">
        <v>0.25600000000000001</v>
      </c>
      <c r="W3655" s="250">
        <v>0.48399999999999999</v>
      </c>
      <c r="X3655" s="250">
        <v>0.21299999999999999</v>
      </c>
      <c r="Y3655" s="250">
        <v>9.0000000000000011E-3</v>
      </c>
      <c r="Z3655" s="150">
        <v>9</v>
      </c>
      <c r="AA3655" s="223">
        <v>0.74</v>
      </c>
      <c r="AB3655" s="152"/>
      <c r="AC3655" s="152"/>
      <c r="AD3655" s="223"/>
      <c r="AE3655" s="223"/>
      <c r="AF3655" s="223"/>
      <c r="AG3655" s="223"/>
      <c r="AH3655" s="341"/>
      <c r="AI3655" s="218"/>
      <c r="AJ3655" s="218"/>
      <c r="AK3655" s="153"/>
      <c r="AL3655" s="152"/>
      <c r="AM3655" s="152"/>
      <c r="AN3655" s="152"/>
      <c r="AO3655" s="152"/>
      <c r="AP3655" s="152"/>
      <c r="AQ3655" s="152"/>
      <c r="AR3655" s="152"/>
      <c r="AS3655" s="152"/>
      <c r="AT3655" s="152"/>
      <c r="AU3655" s="153"/>
      <c r="AV3655" s="479"/>
      <c r="AW3655" s="479"/>
      <c r="AX3655" s="442"/>
      <c r="AY3655" s="153"/>
      <c r="AZ3655" s="152"/>
      <c r="BA3655" s="152"/>
      <c r="BB3655" s="152"/>
      <c r="BC3655" s="152"/>
      <c r="BD3655" s="152"/>
      <c r="BE3655" s="152"/>
      <c r="BF3655" s="152"/>
      <c r="BG3655" s="152"/>
      <c r="BH3655" s="152"/>
      <c r="BI3655" s="153"/>
      <c r="BJ3655" s="153"/>
      <c r="BK3655" s="153"/>
      <c r="BL3655" s="153"/>
      <c r="BM3655" s="153"/>
      <c r="BN3655" s="153"/>
      <c r="BO3655" s="153"/>
      <c r="BP3655" s="153"/>
      <c r="BQ3655" s="153"/>
      <c r="BR3655" s="153"/>
      <c r="BS3655" s="153"/>
      <c r="BT3655" s="153"/>
      <c r="BU3655" s="153"/>
      <c r="BV3655" s="153"/>
      <c r="BW3655" s="153"/>
      <c r="BX3655" s="153"/>
      <c r="BY3655" s="153"/>
      <c r="BZ3655" s="153"/>
      <c r="CA3655" s="152"/>
      <c r="CB3655" s="152"/>
    </row>
    <row r="3656" spans="1:80" s="87" customFormat="1" ht="15" x14ac:dyDescent="0.25">
      <c r="A3656" s="152"/>
      <c r="B3656" s="683"/>
      <c r="C3656" s="683"/>
      <c r="D3656" s="698"/>
      <c r="E3656" s="215"/>
      <c r="F3656" s="215"/>
      <c r="G3656" s="153"/>
      <c r="H3656" s="153"/>
      <c r="I3656" s="320">
        <v>20</v>
      </c>
      <c r="J3656" s="320">
        <v>60</v>
      </c>
      <c r="K3656" s="150">
        <v>1</v>
      </c>
      <c r="L3656" s="656">
        <v>20</v>
      </c>
      <c r="M3656" s="663">
        <v>34829</v>
      </c>
      <c r="N3656" s="600">
        <v>342.584</v>
      </c>
      <c r="O3656" s="604">
        <v>0.25504599999999999</v>
      </c>
      <c r="P3656" s="150"/>
      <c r="Q3656" s="250"/>
      <c r="R3656" s="250"/>
      <c r="S3656" s="250"/>
      <c r="T3656" s="250">
        <v>1E-3</v>
      </c>
      <c r="U3656" s="250">
        <v>1.9E-2</v>
      </c>
      <c r="V3656" s="250">
        <v>0.21100000000000002</v>
      </c>
      <c r="W3656" s="250">
        <v>0.498</v>
      </c>
      <c r="X3656" s="250">
        <v>0.26500000000000001</v>
      </c>
      <c r="Y3656" s="250">
        <v>6.0000000000000001E-3</v>
      </c>
      <c r="Z3656" s="150">
        <v>6</v>
      </c>
      <c r="AA3656" s="223">
        <v>0.69</v>
      </c>
      <c r="AB3656" s="152"/>
      <c r="AC3656" s="152"/>
      <c r="AD3656" s="223"/>
      <c r="AE3656" s="223"/>
      <c r="AF3656" s="223"/>
      <c r="AG3656" s="223"/>
      <c r="AH3656" s="341"/>
      <c r="AI3656" s="218"/>
      <c r="AJ3656" s="218"/>
      <c r="AK3656" s="153"/>
      <c r="AL3656" s="152"/>
      <c r="AM3656" s="152"/>
      <c r="AN3656" s="152"/>
      <c r="AO3656" s="152"/>
      <c r="AP3656" s="152"/>
      <c r="AQ3656" s="152"/>
      <c r="AR3656" s="152"/>
      <c r="AS3656" s="152"/>
      <c r="AT3656" s="152"/>
      <c r="AU3656" s="153"/>
      <c r="AV3656" s="479"/>
      <c r="AW3656" s="479"/>
      <c r="AX3656" s="442"/>
      <c r="AY3656" s="153"/>
      <c r="AZ3656" s="152"/>
      <c r="BA3656" s="152"/>
      <c r="BB3656" s="152"/>
      <c r="BC3656" s="152"/>
      <c r="BD3656" s="152"/>
      <c r="BE3656" s="152"/>
      <c r="BF3656" s="152"/>
      <c r="BG3656" s="152"/>
      <c r="BH3656" s="152"/>
      <c r="BI3656" s="153"/>
      <c r="BJ3656" s="153"/>
      <c r="BK3656" s="153"/>
      <c r="BL3656" s="153"/>
      <c r="BM3656" s="153"/>
      <c r="BN3656" s="153"/>
      <c r="BO3656" s="153"/>
      <c r="BP3656" s="153"/>
      <c r="BQ3656" s="153"/>
      <c r="BR3656" s="153"/>
      <c r="BS3656" s="153"/>
      <c r="BT3656" s="153"/>
      <c r="BU3656" s="153"/>
      <c r="BV3656" s="153"/>
      <c r="BW3656" s="153"/>
      <c r="BX3656" s="153"/>
      <c r="BY3656" s="153"/>
      <c r="BZ3656" s="153"/>
      <c r="CA3656" s="152"/>
      <c r="CB3656" s="152"/>
    </row>
    <row r="3657" spans="1:80" s="87" customFormat="1" ht="15" x14ac:dyDescent="0.25">
      <c r="A3657" s="152"/>
      <c r="B3657" s="683"/>
      <c r="C3657" s="683"/>
      <c r="D3657" s="698"/>
      <c r="E3657" s="215"/>
      <c r="F3657" s="215"/>
      <c r="G3657" s="153"/>
      <c r="H3657" s="153"/>
      <c r="I3657" s="320">
        <v>20</v>
      </c>
      <c r="J3657" s="320">
        <v>60</v>
      </c>
      <c r="K3657" s="150">
        <v>1</v>
      </c>
      <c r="L3657" s="656">
        <v>20</v>
      </c>
      <c r="M3657" s="663">
        <v>34835</v>
      </c>
      <c r="N3657" s="600">
        <v>265.57299999999998</v>
      </c>
      <c r="O3657" s="604">
        <v>8.0082E-2</v>
      </c>
      <c r="P3657" s="150"/>
      <c r="Q3657" s="250"/>
      <c r="R3657" s="250"/>
      <c r="S3657" s="250"/>
      <c r="T3657" s="250">
        <v>6.0000000000000001E-3</v>
      </c>
      <c r="U3657" s="250">
        <v>1.7999999999999999E-2</v>
      </c>
      <c r="V3657" s="250">
        <v>0.25700000000000001</v>
      </c>
      <c r="W3657" s="250">
        <v>0.53100000000000003</v>
      </c>
      <c r="X3657" s="250">
        <v>0.182</v>
      </c>
      <c r="Y3657" s="250">
        <v>6.0000000000000001E-3</v>
      </c>
      <c r="Z3657" s="150">
        <v>7</v>
      </c>
      <c r="AA3657" s="223">
        <v>0.75</v>
      </c>
      <c r="AB3657" s="152"/>
      <c r="AC3657" s="152"/>
      <c r="AD3657" s="223"/>
      <c r="AE3657" s="223"/>
      <c r="AF3657" s="223"/>
      <c r="AG3657" s="223"/>
      <c r="AH3657" s="341"/>
      <c r="AI3657" s="218"/>
      <c r="AJ3657" s="218"/>
      <c r="AK3657" s="153"/>
      <c r="AL3657" s="152"/>
      <c r="AM3657" s="152"/>
      <c r="AN3657" s="152"/>
      <c r="AO3657" s="152"/>
      <c r="AP3657" s="152"/>
      <c r="AQ3657" s="152"/>
      <c r="AR3657" s="152"/>
      <c r="AS3657" s="152"/>
      <c r="AT3657" s="152"/>
      <c r="AU3657" s="153"/>
      <c r="AV3657" s="479"/>
      <c r="AW3657" s="479"/>
      <c r="AX3657" s="442"/>
      <c r="AY3657" s="153"/>
      <c r="AZ3657" s="152"/>
      <c r="BA3657" s="152"/>
      <c r="BB3657" s="152"/>
      <c r="BC3657" s="152"/>
      <c r="BD3657" s="152"/>
      <c r="BE3657" s="152"/>
      <c r="BF3657" s="152"/>
      <c r="BG3657" s="152"/>
      <c r="BH3657" s="152"/>
      <c r="BI3657" s="153"/>
      <c r="BJ3657" s="153"/>
      <c r="BK3657" s="153"/>
      <c r="BL3657" s="153"/>
      <c r="BM3657" s="153"/>
      <c r="BN3657" s="153"/>
      <c r="BO3657" s="153"/>
      <c r="BP3657" s="153"/>
      <c r="BQ3657" s="153"/>
      <c r="BR3657" s="153"/>
      <c r="BS3657" s="153"/>
      <c r="BT3657" s="153"/>
      <c r="BU3657" s="153"/>
      <c r="BV3657" s="153"/>
      <c r="BW3657" s="153"/>
      <c r="BX3657" s="153"/>
      <c r="BY3657" s="153"/>
      <c r="BZ3657" s="153"/>
      <c r="CA3657" s="152"/>
      <c r="CB3657" s="152"/>
    </row>
    <row r="3658" spans="1:80" s="87" customFormat="1" ht="15" x14ac:dyDescent="0.25">
      <c r="A3658" s="152"/>
      <c r="B3658" s="683"/>
      <c r="C3658" s="683"/>
      <c r="D3658" s="698"/>
      <c r="E3658" s="215"/>
      <c r="F3658" s="215"/>
      <c r="G3658" s="153"/>
      <c r="H3658" s="153"/>
      <c r="I3658" s="320">
        <v>20</v>
      </c>
      <c r="J3658" s="320">
        <v>60</v>
      </c>
      <c r="K3658" s="150">
        <v>1</v>
      </c>
      <c r="L3658" s="656">
        <v>20</v>
      </c>
      <c r="M3658" s="663">
        <v>34835</v>
      </c>
      <c r="N3658" s="600">
        <v>264.72399999999999</v>
      </c>
      <c r="O3658" s="604">
        <v>5.2687999999999999E-2</v>
      </c>
      <c r="P3658" s="150"/>
      <c r="Q3658" s="250"/>
      <c r="R3658" s="250"/>
      <c r="S3658" s="250"/>
      <c r="T3658" s="250">
        <v>8.9999999999999993E-3</v>
      </c>
      <c r="U3658" s="250">
        <v>2.7E-2</v>
      </c>
      <c r="V3658" s="250">
        <v>0.28499999999999998</v>
      </c>
      <c r="W3658" s="250">
        <v>0.46100000000000002</v>
      </c>
      <c r="X3658" s="250">
        <v>0.21299999999999999</v>
      </c>
      <c r="Y3658" s="250">
        <v>5.0000000000000001E-3</v>
      </c>
      <c r="Z3658" s="150">
        <v>5</v>
      </c>
      <c r="AA3658" s="223">
        <v>0.76</v>
      </c>
      <c r="AB3658" s="152"/>
      <c r="AC3658" s="152"/>
      <c r="AD3658" s="223"/>
      <c r="AE3658" s="223"/>
      <c r="AF3658" s="223"/>
      <c r="AG3658" s="223"/>
      <c r="AH3658" s="341"/>
      <c r="AI3658" s="218"/>
      <c r="AJ3658" s="218"/>
      <c r="AK3658" s="153"/>
      <c r="AL3658" s="152"/>
      <c r="AM3658" s="152"/>
      <c r="AN3658" s="152"/>
      <c r="AO3658" s="152"/>
      <c r="AP3658" s="152"/>
      <c r="AQ3658" s="152"/>
      <c r="AR3658" s="152"/>
      <c r="AS3658" s="152"/>
      <c r="AT3658" s="152"/>
      <c r="AU3658" s="153"/>
      <c r="AV3658" s="479"/>
      <c r="AW3658" s="479"/>
      <c r="AX3658" s="442"/>
      <c r="AY3658" s="153"/>
      <c r="AZ3658" s="152"/>
      <c r="BA3658" s="152"/>
      <c r="BB3658" s="152"/>
      <c r="BC3658" s="152"/>
      <c r="BD3658" s="152"/>
      <c r="BE3658" s="152"/>
      <c r="BF3658" s="152"/>
      <c r="BG3658" s="152"/>
      <c r="BH3658" s="152"/>
      <c r="BI3658" s="153"/>
      <c r="BJ3658" s="153"/>
      <c r="BK3658" s="153"/>
      <c r="BL3658" s="153"/>
      <c r="BM3658" s="153"/>
      <c r="BN3658" s="153"/>
      <c r="BO3658" s="153"/>
      <c r="BP3658" s="153"/>
      <c r="BQ3658" s="153"/>
      <c r="BR3658" s="153"/>
      <c r="BS3658" s="153"/>
      <c r="BT3658" s="153"/>
      <c r="BU3658" s="153"/>
      <c r="BV3658" s="153"/>
      <c r="BW3658" s="153"/>
      <c r="BX3658" s="153"/>
      <c r="BY3658" s="153"/>
      <c r="BZ3658" s="153"/>
      <c r="CA3658" s="152"/>
      <c r="CB3658" s="152"/>
    </row>
    <row r="3659" spans="1:80" s="87" customFormat="1" ht="15" x14ac:dyDescent="0.25">
      <c r="A3659" s="152"/>
      <c r="B3659" s="683"/>
      <c r="C3659" s="683"/>
      <c r="D3659" s="698"/>
      <c r="E3659" s="215"/>
      <c r="F3659" s="215"/>
      <c r="G3659" s="153"/>
      <c r="H3659" s="153"/>
      <c r="I3659" s="320">
        <v>20</v>
      </c>
      <c r="J3659" s="320">
        <v>60</v>
      </c>
      <c r="K3659" s="150">
        <v>1</v>
      </c>
      <c r="L3659" s="656">
        <v>20</v>
      </c>
      <c r="M3659" s="663">
        <v>34836</v>
      </c>
      <c r="N3659" s="600">
        <v>322.76499999999999</v>
      </c>
      <c r="O3659" s="604">
        <v>0.15953500000000001</v>
      </c>
      <c r="P3659" s="150"/>
      <c r="Q3659" s="250"/>
      <c r="R3659" s="250"/>
      <c r="S3659" s="250"/>
      <c r="T3659" s="250">
        <v>6.0000000000000001E-3</v>
      </c>
      <c r="U3659" s="250">
        <v>7.0000000000000001E-3</v>
      </c>
      <c r="V3659" s="250">
        <v>0.22500000000000001</v>
      </c>
      <c r="W3659" s="250">
        <v>0.502</v>
      </c>
      <c r="X3659" s="250">
        <v>0.25</v>
      </c>
      <c r="Y3659" s="250">
        <v>0.01</v>
      </c>
      <c r="Z3659" s="150">
        <v>5</v>
      </c>
      <c r="AA3659" s="223">
        <v>0.7</v>
      </c>
      <c r="AB3659" s="152"/>
      <c r="AC3659" s="152"/>
      <c r="AD3659" s="223"/>
      <c r="AE3659" s="223"/>
      <c r="AF3659" s="223"/>
      <c r="AG3659" s="223"/>
      <c r="AH3659" s="341"/>
      <c r="AI3659" s="218"/>
      <c r="AJ3659" s="218"/>
      <c r="AK3659" s="153"/>
      <c r="AL3659" s="152"/>
      <c r="AM3659" s="152"/>
      <c r="AN3659" s="152"/>
      <c r="AO3659" s="152"/>
      <c r="AP3659" s="152"/>
      <c r="AQ3659" s="152"/>
      <c r="AR3659" s="152"/>
      <c r="AS3659" s="152"/>
      <c r="AT3659" s="152"/>
      <c r="AU3659" s="153"/>
      <c r="AV3659" s="479"/>
      <c r="AW3659" s="479"/>
      <c r="AX3659" s="442"/>
      <c r="AY3659" s="153"/>
      <c r="AZ3659" s="152"/>
      <c r="BA3659" s="152"/>
      <c r="BB3659" s="152"/>
      <c r="BC3659" s="152"/>
      <c r="BD3659" s="152"/>
      <c r="BE3659" s="152"/>
      <c r="BF3659" s="152"/>
      <c r="BG3659" s="152"/>
      <c r="BH3659" s="152"/>
      <c r="BI3659" s="153"/>
      <c r="BJ3659" s="153"/>
      <c r="BK3659" s="153"/>
      <c r="BL3659" s="153"/>
      <c r="BM3659" s="153"/>
      <c r="BN3659" s="153"/>
      <c r="BO3659" s="153"/>
      <c r="BP3659" s="153"/>
      <c r="BQ3659" s="153"/>
      <c r="BR3659" s="153"/>
      <c r="BS3659" s="153"/>
      <c r="BT3659" s="153"/>
      <c r="BU3659" s="153"/>
      <c r="BV3659" s="153"/>
      <c r="BW3659" s="153"/>
      <c r="BX3659" s="153"/>
      <c r="BY3659" s="153"/>
      <c r="BZ3659" s="153"/>
      <c r="CA3659" s="152"/>
      <c r="CB3659" s="152"/>
    </row>
    <row r="3660" spans="1:80" s="87" customFormat="1" ht="15" x14ac:dyDescent="0.25">
      <c r="A3660" s="152"/>
      <c r="B3660" s="683"/>
      <c r="C3660" s="683"/>
      <c r="D3660" s="698"/>
      <c r="E3660" s="215"/>
      <c r="F3660" s="215"/>
      <c r="G3660" s="153"/>
      <c r="H3660" s="153"/>
      <c r="I3660" s="320">
        <v>20</v>
      </c>
      <c r="J3660" s="320">
        <v>60</v>
      </c>
      <c r="K3660" s="150">
        <v>1</v>
      </c>
      <c r="L3660" s="656">
        <v>20</v>
      </c>
      <c r="M3660" s="663">
        <v>34836</v>
      </c>
      <c r="N3660" s="600">
        <v>319.93400000000003</v>
      </c>
      <c r="O3660" s="604">
        <v>0.12175</v>
      </c>
      <c r="P3660" s="150"/>
      <c r="Q3660" s="250"/>
      <c r="R3660" s="250"/>
      <c r="S3660" s="250"/>
      <c r="T3660" s="250">
        <v>6.0000000000000001E-3</v>
      </c>
      <c r="U3660" s="250">
        <v>2.5999999999999999E-2</v>
      </c>
      <c r="V3660" s="250">
        <v>0.26800000000000002</v>
      </c>
      <c r="W3660" s="250">
        <v>0.46</v>
      </c>
      <c r="X3660" s="250">
        <v>0.23399999999999999</v>
      </c>
      <c r="Y3660" s="250">
        <v>6.0000000000000001E-3</v>
      </c>
      <c r="Z3660" s="150">
        <v>4</v>
      </c>
      <c r="AA3660" s="223">
        <v>0.74</v>
      </c>
      <c r="AB3660" s="152"/>
      <c r="AC3660" s="152"/>
      <c r="AD3660" s="223"/>
      <c r="AE3660" s="223"/>
      <c r="AF3660" s="223"/>
      <c r="AG3660" s="223"/>
      <c r="AH3660" s="341"/>
      <c r="AI3660" s="218"/>
      <c r="AJ3660" s="218"/>
      <c r="AK3660" s="153"/>
      <c r="AL3660" s="152"/>
      <c r="AM3660" s="152"/>
      <c r="AN3660" s="152"/>
      <c r="AO3660" s="152"/>
      <c r="AP3660" s="152"/>
      <c r="AQ3660" s="152"/>
      <c r="AR3660" s="152"/>
      <c r="AS3660" s="152"/>
      <c r="AT3660" s="152"/>
      <c r="AU3660" s="153"/>
      <c r="AV3660" s="479"/>
      <c r="AW3660" s="479"/>
      <c r="AX3660" s="442"/>
      <c r="AY3660" s="153"/>
      <c r="AZ3660" s="152"/>
      <c r="BA3660" s="152"/>
      <c r="BB3660" s="152"/>
      <c r="BC3660" s="152"/>
      <c r="BD3660" s="152"/>
      <c r="BE3660" s="152"/>
      <c r="BF3660" s="152"/>
      <c r="BG3660" s="152"/>
      <c r="BH3660" s="152"/>
      <c r="BI3660" s="153"/>
      <c r="BJ3660" s="153"/>
      <c r="BK3660" s="153"/>
      <c r="BL3660" s="153"/>
      <c r="BM3660" s="153"/>
      <c r="BN3660" s="153"/>
      <c r="BO3660" s="153"/>
      <c r="BP3660" s="153"/>
      <c r="BQ3660" s="153"/>
      <c r="BR3660" s="153"/>
      <c r="BS3660" s="153"/>
      <c r="BT3660" s="153"/>
      <c r="BU3660" s="153"/>
      <c r="BV3660" s="153"/>
      <c r="BW3660" s="153"/>
      <c r="BX3660" s="153"/>
      <c r="BY3660" s="153"/>
      <c r="BZ3660" s="153"/>
      <c r="CA3660" s="152"/>
      <c r="CB3660" s="152"/>
    </row>
    <row r="3661" spans="1:80" s="87" customFormat="1" ht="15" x14ac:dyDescent="0.25">
      <c r="A3661" s="152"/>
      <c r="B3661" s="683"/>
      <c r="C3661" s="683"/>
      <c r="D3661" s="698"/>
      <c r="E3661" s="215"/>
      <c r="F3661" s="215"/>
      <c r="G3661" s="153"/>
      <c r="H3661" s="153"/>
      <c r="I3661" s="320">
        <v>20</v>
      </c>
      <c r="J3661" s="320">
        <v>60</v>
      </c>
      <c r="K3661" s="150">
        <v>1</v>
      </c>
      <c r="L3661" s="656">
        <v>20</v>
      </c>
      <c r="M3661" s="663">
        <v>34842</v>
      </c>
      <c r="N3661" s="600">
        <v>376.55900000000003</v>
      </c>
      <c r="O3661" s="604">
        <v>0.39988699999999999</v>
      </c>
      <c r="P3661" s="150"/>
      <c r="Q3661" s="250"/>
      <c r="R3661" s="250"/>
      <c r="S3661" s="250"/>
      <c r="T3661" s="250">
        <v>0.01</v>
      </c>
      <c r="U3661" s="250">
        <v>2.4E-2</v>
      </c>
      <c r="V3661" s="250">
        <v>0.29699999999999999</v>
      </c>
      <c r="W3661" s="250">
        <v>0.51800000000000002</v>
      </c>
      <c r="X3661" s="250">
        <v>0.14899999999999999</v>
      </c>
      <c r="Y3661" s="250">
        <v>2E-3</v>
      </c>
      <c r="Z3661" s="150">
        <v>7</v>
      </c>
      <c r="AA3661" s="223">
        <v>0.8</v>
      </c>
      <c r="AB3661" s="152"/>
      <c r="AC3661" s="152"/>
      <c r="AD3661" s="223">
        <v>88.998679999999993</v>
      </c>
      <c r="AE3661" s="223">
        <v>2.0969552</v>
      </c>
      <c r="AF3661" s="223">
        <v>186.71693999999999</v>
      </c>
      <c r="AG3661" s="223">
        <v>1.9963744999999999</v>
      </c>
      <c r="AH3661" s="341"/>
      <c r="AI3661" s="218"/>
      <c r="AJ3661" s="218"/>
      <c r="AK3661" s="153"/>
      <c r="AL3661" s="152"/>
      <c r="AM3661" s="152"/>
      <c r="AN3661" s="152"/>
      <c r="AO3661" s="152"/>
      <c r="AP3661" s="152"/>
      <c r="AQ3661" s="152"/>
      <c r="AR3661" s="152"/>
      <c r="AS3661" s="152"/>
      <c r="AT3661" s="152"/>
      <c r="AU3661" s="153"/>
      <c r="AV3661" s="479"/>
      <c r="AW3661" s="479"/>
      <c r="AX3661" s="442"/>
      <c r="AY3661" s="153"/>
      <c r="AZ3661" s="152"/>
      <c r="BA3661" s="152"/>
      <c r="BB3661" s="152"/>
      <c r="BC3661" s="152"/>
      <c r="BD3661" s="152"/>
      <c r="BE3661" s="152"/>
      <c r="BF3661" s="152"/>
      <c r="BG3661" s="152"/>
      <c r="BH3661" s="152"/>
      <c r="BI3661" s="153"/>
      <c r="BJ3661" s="153"/>
      <c r="BK3661" s="153"/>
      <c r="BL3661" s="153"/>
      <c r="BM3661" s="153"/>
      <c r="BN3661" s="153"/>
      <c r="BO3661" s="153"/>
      <c r="BP3661" s="153"/>
      <c r="BQ3661" s="153"/>
      <c r="BR3661" s="153"/>
      <c r="BS3661" s="153"/>
      <c r="BT3661" s="153"/>
      <c r="BU3661" s="153"/>
      <c r="BV3661" s="153"/>
      <c r="BW3661" s="153"/>
      <c r="BX3661" s="153"/>
      <c r="BY3661" s="153"/>
      <c r="BZ3661" s="153"/>
      <c r="CA3661" s="152"/>
      <c r="CB3661" s="152"/>
    </row>
    <row r="3662" spans="1:80" s="87" customFormat="1" ht="15" x14ac:dyDescent="0.25">
      <c r="A3662" s="152"/>
      <c r="B3662" s="683"/>
      <c r="C3662" s="683"/>
      <c r="D3662" s="698"/>
      <c r="E3662" s="215"/>
      <c r="F3662" s="215"/>
      <c r="G3662" s="153"/>
      <c r="H3662" s="153"/>
      <c r="I3662" s="320">
        <v>20</v>
      </c>
      <c r="J3662" s="320">
        <v>60</v>
      </c>
      <c r="K3662" s="150">
        <v>1</v>
      </c>
      <c r="L3662" s="656">
        <v>20</v>
      </c>
      <c r="M3662" s="663">
        <v>34842</v>
      </c>
      <c r="N3662" s="600">
        <v>376.55900000000003</v>
      </c>
      <c r="O3662" s="604">
        <v>0.54472799999999999</v>
      </c>
      <c r="P3662" s="150"/>
      <c r="Q3662" s="250"/>
      <c r="R3662" s="250">
        <v>1.0999999999999999E-2</v>
      </c>
      <c r="S3662" s="250">
        <v>7.5999999999999998E-2</v>
      </c>
      <c r="T3662" s="250">
        <v>4.5999999999999999E-2</v>
      </c>
      <c r="U3662" s="250">
        <v>5.8999999999999997E-2</v>
      </c>
      <c r="V3662" s="250">
        <v>0.34399999999999997</v>
      </c>
      <c r="W3662" s="250">
        <v>0.38400000000000001</v>
      </c>
      <c r="X3662" s="250">
        <v>7.8E-2</v>
      </c>
      <c r="Y3662" s="250">
        <v>2E-3</v>
      </c>
      <c r="Z3662" s="150">
        <v>17</v>
      </c>
      <c r="AA3662" s="223">
        <v>1.08</v>
      </c>
      <c r="AB3662" s="152"/>
      <c r="AC3662" s="152"/>
      <c r="AD3662" s="223">
        <v>88.998679999999993</v>
      </c>
      <c r="AE3662" s="223">
        <v>2.0969552</v>
      </c>
      <c r="AF3662" s="223">
        <v>186.71693999999999</v>
      </c>
      <c r="AG3662" s="223">
        <v>1.9963744999999999</v>
      </c>
      <c r="AH3662" s="341"/>
      <c r="AI3662" s="218"/>
      <c r="AJ3662" s="218"/>
      <c r="AK3662" s="153"/>
      <c r="AL3662" s="152"/>
      <c r="AM3662" s="152"/>
      <c r="AN3662" s="152"/>
      <c r="AO3662" s="152"/>
      <c r="AP3662" s="152"/>
      <c r="AQ3662" s="152"/>
      <c r="AR3662" s="152"/>
      <c r="AS3662" s="152"/>
      <c r="AT3662" s="152"/>
      <c r="AU3662" s="153"/>
      <c r="AV3662" s="479"/>
      <c r="AW3662" s="479"/>
      <c r="AX3662" s="442"/>
      <c r="AY3662" s="153"/>
      <c r="AZ3662" s="152"/>
      <c r="BA3662" s="152"/>
      <c r="BB3662" s="152"/>
      <c r="BC3662" s="152"/>
      <c r="BD3662" s="152"/>
      <c r="BE3662" s="152"/>
      <c r="BF3662" s="152"/>
      <c r="BG3662" s="152"/>
      <c r="BH3662" s="152"/>
      <c r="BI3662" s="153"/>
      <c r="BJ3662" s="153"/>
      <c r="BK3662" s="153"/>
      <c r="BL3662" s="153"/>
      <c r="BM3662" s="153"/>
      <c r="BN3662" s="153"/>
      <c r="BO3662" s="153"/>
      <c r="BP3662" s="153"/>
      <c r="BQ3662" s="153"/>
      <c r="BR3662" s="153"/>
      <c r="BS3662" s="153"/>
      <c r="BT3662" s="153"/>
      <c r="BU3662" s="153"/>
      <c r="BV3662" s="153"/>
      <c r="BW3662" s="153"/>
      <c r="BX3662" s="153"/>
      <c r="BY3662" s="153"/>
      <c r="BZ3662" s="153"/>
      <c r="CA3662" s="152"/>
      <c r="CB3662" s="152"/>
    </row>
    <row r="3663" spans="1:80" s="87" customFormat="1" ht="15" x14ac:dyDescent="0.25">
      <c r="A3663" s="152"/>
      <c r="B3663" s="683"/>
      <c r="C3663" s="683"/>
      <c r="D3663" s="698"/>
      <c r="E3663" s="215"/>
      <c r="F3663" s="215"/>
      <c r="G3663" s="153"/>
      <c r="H3663" s="153"/>
      <c r="I3663" s="320">
        <v>20</v>
      </c>
      <c r="J3663" s="320">
        <v>60</v>
      </c>
      <c r="K3663" s="150">
        <v>1</v>
      </c>
      <c r="L3663" s="656">
        <v>20</v>
      </c>
      <c r="M3663" s="663">
        <v>34843</v>
      </c>
      <c r="N3663" s="600">
        <v>362.40300000000002</v>
      </c>
      <c r="O3663" s="604">
        <v>0.265542</v>
      </c>
      <c r="P3663" s="150"/>
      <c r="Q3663" s="250"/>
      <c r="R3663" s="250"/>
      <c r="S3663" s="250"/>
      <c r="T3663" s="250">
        <v>8.9999999999999993E-3</v>
      </c>
      <c r="U3663" s="250">
        <v>3.3000000000000002E-2</v>
      </c>
      <c r="V3663" s="250">
        <v>0.33700000000000002</v>
      </c>
      <c r="W3663" s="250">
        <v>0.46600000000000003</v>
      </c>
      <c r="X3663" s="250">
        <v>0.15</v>
      </c>
      <c r="Y3663" s="250">
        <v>5.0000000000000001E-3</v>
      </c>
      <c r="Z3663" s="150">
        <v>7</v>
      </c>
      <c r="AA3663" s="223">
        <v>0.84</v>
      </c>
      <c r="AB3663" s="152"/>
      <c r="AC3663" s="152"/>
      <c r="AD3663" s="223"/>
      <c r="AE3663" s="223"/>
      <c r="AF3663" s="223"/>
      <c r="AG3663" s="223"/>
      <c r="AH3663" s="341"/>
      <c r="AI3663" s="218"/>
      <c r="AJ3663" s="218"/>
      <c r="AK3663" s="153"/>
      <c r="AL3663" s="152"/>
      <c r="AM3663" s="152"/>
      <c r="AN3663" s="152"/>
      <c r="AO3663" s="152"/>
      <c r="AP3663" s="152"/>
      <c r="AQ3663" s="152"/>
      <c r="AR3663" s="152"/>
      <c r="AS3663" s="152"/>
      <c r="AT3663" s="152"/>
      <c r="AU3663" s="153"/>
      <c r="AV3663" s="479"/>
      <c r="AW3663" s="479"/>
      <c r="AX3663" s="442"/>
      <c r="AY3663" s="153"/>
      <c r="AZ3663" s="152"/>
      <c r="BA3663" s="152"/>
      <c r="BB3663" s="152"/>
      <c r="BC3663" s="152"/>
      <c r="BD3663" s="152"/>
      <c r="BE3663" s="152"/>
      <c r="BF3663" s="152"/>
      <c r="BG3663" s="152"/>
      <c r="BH3663" s="152"/>
      <c r="BI3663" s="153"/>
      <c r="BJ3663" s="153"/>
      <c r="BK3663" s="153"/>
      <c r="BL3663" s="153"/>
      <c r="BM3663" s="153"/>
      <c r="BN3663" s="153"/>
      <c r="BO3663" s="153"/>
      <c r="BP3663" s="153"/>
      <c r="BQ3663" s="153"/>
      <c r="BR3663" s="153"/>
      <c r="BS3663" s="153"/>
      <c r="BT3663" s="153"/>
      <c r="BU3663" s="153"/>
      <c r="BV3663" s="153"/>
      <c r="BW3663" s="153"/>
      <c r="BX3663" s="153"/>
      <c r="BY3663" s="153"/>
      <c r="BZ3663" s="153"/>
      <c r="CA3663" s="152"/>
      <c r="CB3663" s="152"/>
    </row>
    <row r="3664" spans="1:80" s="87" customFormat="1" ht="15" x14ac:dyDescent="0.25">
      <c r="A3664" s="152"/>
      <c r="B3664" s="683"/>
      <c r="C3664" s="683"/>
      <c r="D3664" s="698"/>
      <c r="E3664" s="215"/>
      <c r="F3664" s="215"/>
      <c r="G3664" s="153"/>
      <c r="H3664" s="153"/>
      <c r="I3664" s="320">
        <v>20</v>
      </c>
      <c r="J3664" s="320">
        <v>60</v>
      </c>
      <c r="K3664" s="150">
        <v>1</v>
      </c>
      <c r="L3664" s="656">
        <v>20</v>
      </c>
      <c r="M3664" s="663">
        <v>34843</v>
      </c>
      <c r="N3664" s="600">
        <v>362.40300000000002</v>
      </c>
      <c r="O3664" s="604">
        <v>0.27288899999999999</v>
      </c>
      <c r="P3664" s="150"/>
      <c r="Q3664" s="250"/>
      <c r="R3664" s="250"/>
      <c r="S3664" s="250"/>
      <c r="T3664" s="250">
        <v>5.0000000000000001E-3</v>
      </c>
      <c r="U3664" s="250">
        <v>2.1000000000000001E-2</v>
      </c>
      <c r="V3664" s="250">
        <v>0.29899999999999999</v>
      </c>
      <c r="W3664" s="250">
        <v>0.53100000000000003</v>
      </c>
      <c r="X3664" s="250">
        <v>0.14099999999999999</v>
      </c>
      <c r="Y3664" s="250">
        <v>3.0000000000000001E-3</v>
      </c>
      <c r="Z3664" s="150">
        <v>6</v>
      </c>
      <c r="AA3664" s="223">
        <v>0.8</v>
      </c>
      <c r="AB3664" s="152"/>
      <c r="AC3664" s="152"/>
      <c r="AD3664" s="223"/>
      <c r="AE3664" s="223"/>
      <c r="AF3664" s="223"/>
      <c r="AG3664" s="223"/>
      <c r="AH3664" s="341"/>
      <c r="AI3664" s="218"/>
      <c r="AJ3664" s="218"/>
      <c r="AK3664" s="153"/>
      <c r="AL3664" s="152"/>
      <c r="AM3664" s="152"/>
      <c r="AN3664" s="152"/>
      <c r="AO3664" s="152"/>
      <c r="AP3664" s="152"/>
      <c r="AQ3664" s="152"/>
      <c r="AR3664" s="152"/>
      <c r="AS3664" s="152"/>
      <c r="AT3664" s="152"/>
      <c r="AU3664" s="153"/>
      <c r="AV3664" s="479"/>
      <c r="AW3664" s="479"/>
      <c r="AX3664" s="442"/>
      <c r="AY3664" s="153"/>
      <c r="AZ3664" s="152"/>
      <c r="BA3664" s="152"/>
      <c r="BB3664" s="152"/>
      <c r="BC3664" s="152"/>
      <c r="BD3664" s="152"/>
      <c r="BE3664" s="152"/>
      <c r="BF3664" s="152"/>
      <c r="BG3664" s="152"/>
      <c r="BH3664" s="152"/>
      <c r="BI3664" s="153"/>
      <c r="BJ3664" s="153"/>
      <c r="BK3664" s="153"/>
      <c r="BL3664" s="153"/>
      <c r="BM3664" s="153"/>
      <c r="BN3664" s="153"/>
      <c r="BO3664" s="153"/>
      <c r="BP3664" s="153"/>
      <c r="BQ3664" s="153"/>
      <c r="BR3664" s="153"/>
      <c r="BS3664" s="153"/>
      <c r="BT3664" s="153"/>
      <c r="BU3664" s="153"/>
      <c r="BV3664" s="153"/>
      <c r="BW3664" s="153"/>
      <c r="BX3664" s="153"/>
      <c r="BY3664" s="153"/>
      <c r="BZ3664" s="153"/>
      <c r="CA3664" s="152"/>
      <c r="CB3664" s="152"/>
    </row>
    <row r="3665" spans="1:80" s="87" customFormat="1" ht="15" x14ac:dyDescent="0.25">
      <c r="A3665" s="152"/>
      <c r="B3665" s="683"/>
      <c r="C3665" s="683"/>
      <c r="D3665" s="698"/>
      <c r="E3665" s="215"/>
      <c r="F3665" s="215"/>
      <c r="G3665" s="153"/>
      <c r="H3665" s="153"/>
      <c r="I3665" s="320">
        <v>20</v>
      </c>
      <c r="J3665" s="320">
        <v>60</v>
      </c>
      <c r="K3665" s="150">
        <v>1</v>
      </c>
      <c r="L3665" s="656">
        <v>20</v>
      </c>
      <c r="M3665" s="663">
        <v>34850</v>
      </c>
      <c r="N3665" s="600">
        <v>421.85899999999998</v>
      </c>
      <c r="O3665" s="604">
        <v>0.38414300000000001</v>
      </c>
      <c r="P3665" s="150"/>
      <c r="Q3665" s="250"/>
      <c r="R3665" s="250"/>
      <c r="S3665" s="250">
        <v>1.7999999999999999E-2</v>
      </c>
      <c r="T3665" s="250">
        <v>1.7999999999999999E-2</v>
      </c>
      <c r="U3665" s="250">
        <v>3.9E-2</v>
      </c>
      <c r="V3665" s="250">
        <v>0.34899999999999998</v>
      </c>
      <c r="W3665" s="250">
        <v>0.44900000000000001</v>
      </c>
      <c r="X3665" s="250">
        <v>0.122</v>
      </c>
      <c r="Y3665" s="250">
        <v>5.0000000000000001E-3</v>
      </c>
      <c r="Z3665" s="150">
        <v>15</v>
      </c>
      <c r="AA3665" s="223">
        <v>0.89</v>
      </c>
      <c r="AB3665" s="152"/>
      <c r="AC3665" s="152"/>
      <c r="AD3665" s="223"/>
      <c r="AE3665" s="223"/>
      <c r="AF3665" s="223"/>
      <c r="AG3665" s="223"/>
      <c r="AH3665" s="341"/>
      <c r="AI3665" s="218"/>
      <c r="AJ3665" s="218"/>
      <c r="AK3665" s="153"/>
      <c r="AL3665" s="152"/>
      <c r="AM3665" s="152"/>
      <c r="AN3665" s="152"/>
      <c r="AO3665" s="152"/>
      <c r="AP3665" s="152"/>
      <c r="AQ3665" s="152"/>
      <c r="AR3665" s="152"/>
      <c r="AS3665" s="152"/>
      <c r="AT3665" s="152"/>
      <c r="AU3665" s="153"/>
      <c r="AV3665" s="479"/>
      <c r="AW3665" s="479"/>
      <c r="AX3665" s="442"/>
      <c r="AY3665" s="153"/>
      <c r="AZ3665" s="152"/>
      <c r="BA3665" s="152"/>
      <c r="BB3665" s="152"/>
      <c r="BC3665" s="152"/>
      <c r="BD3665" s="152"/>
      <c r="BE3665" s="152"/>
      <c r="BF3665" s="152"/>
      <c r="BG3665" s="152"/>
      <c r="BH3665" s="152"/>
      <c r="BI3665" s="153"/>
      <c r="BJ3665" s="153"/>
      <c r="BK3665" s="153"/>
      <c r="BL3665" s="153"/>
      <c r="BM3665" s="153"/>
      <c r="BN3665" s="153"/>
      <c r="BO3665" s="153"/>
      <c r="BP3665" s="153"/>
      <c r="BQ3665" s="153"/>
      <c r="BR3665" s="153"/>
      <c r="BS3665" s="153"/>
      <c r="BT3665" s="153"/>
      <c r="BU3665" s="153"/>
      <c r="BV3665" s="153"/>
      <c r="BW3665" s="153"/>
      <c r="BX3665" s="153"/>
      <c r="BY3665" s="153"/>
      <c r="BZ3665" s="153"/>
      <c r="CA3665" s="152"/>
      <c r="CB3665" s="152"/>
    </row>
    <row r="3666" spans="1:80" s="87" customFormat="1" ht="15" x14ac:dyDescent="0.25">
      <c r="A3666" s="152"/>
      <c r="B3666" s="683"/>
      <c r="C3666" s="683"/>
      <c r="D3666" s="698"/>
      <c r="E3666" s="215"/>
      <c r="F3666" s="215"/>
      <c r="G3666" s="153"/>
      <c r="H3666" s="153"/>
      <c r="I3666" s="320">
        <v>20</v>
      </c>
      <c r="J3666" s="320">
        <v>60</v>
      </c>
      <c r="K3666" s="150">
        <v>1</v>
      </c>
      <c r="L3666" s="656">
        <v>20</v>
      </c>
      <c r="M3666" s="663">
        <v>34850</v>
      </c>
      <c r="N3666" s="600">
        <v>421.85899999999998</v>
      </c>
      <c r="O3666" s="604">
        <v>0.59195799999999998</v>
      </c>
      <c r="P3666" s="150"/>
      <c r="Q3666" s="250"/>
      <c r="R3666" s="250"/>
      <c r="S3666" s="250">
        <v>2E-3</v>
      </c>
      <c r="T3666" s="250">
        <v>0.9</v>
      </c>
      <c r="U3666" s="250">
        <v>2.7E-2</v>
      </c>
      <c r="V3666" s="250">
        <v>0.36399999999999999</v>
      </c>
      <c r="W3666" s="250">
        <v>0.48700000000000004</v>
      </c>
      <c r="X3666" s="250">
        <v>0.10800000000000001</v>
      </c>
      <c r="Y3666" s="250">
        <v>3.0000000000000001E-3</v>
      </c>
      <c r="Z3666" s="150">
        <v>10</v>
      </c>
      <c r="AA3666" s="223">
        <v>0.87</v>
      </c>
      <c r="AB3666" s="152"/>
      <c r="AC3666" s="152"/>
      <c r="AD3666" s="223"/>
      <c r="AE3666" s="223"/>
      <c r="AF3666" s="223"/>
      <c r="AG3666" s="223"/>
      <c r="AH3666" s="341"/>
      <c r="AI3666" s="218"/>
      <c r="AJ3666" s="218"/>
      <c r="AK3666" s="153"/>
      <c r="AL3666" s="152"/>
      <c r="AM3666" s="152"/>
      <c r="AN3666" s="152"/>
      <c r="AO3666" s="152"/>
      <c r="AP3666" s="152"/>
      <c r="AQ3666" s="152"/>
      <c r="AR3666" s="152"/>
      <c r="AS3666" s="152"/>
      <c r="AT3666" s="152"/>
      <c r="AU3666" s="153"/>
      <c r="AV3666" s="479"/>
      <c r="AW3666" s="479"/>
      <c r="AX3666" s="442"/>
      <c r="AY3666" s="153"/>
      <c r="AZ3666" s="152"/>
      <c r="BA3666" s="152"/>
      <c r="BB3666" s="152"/>
      <c r="BC3666" s="152"/>
      <c r="BD3666" s="152"/>
      <c r="BE3666" s="152"/>
      <c r="BF3666" s="152"/>
      <c r="BG3666" s="152"/>
      <c r="BH3666" s="152"/>
      <c r="BI3666" s="153"/>
      <c r="BJ3666" s="153"/>
      <c r="BK3666" s="153"/>
      <c r="BL3666" s="153"/>
      <c r="BM3666" s="153"/>
      <c r="BN3666" s="153"/>
      <c r="BO3666" s="153"/>
      <c r="BP3666" s="153"/>
      <c r="BQ3666" s="153"/>
      <c r="BR3666" s="153"/>
      <c r="BS3666" s="153"/>
      <c r="BT3666" s="153"/>
      <c r="BU3666" s="153"/>
      <c r="BV3666" s="153"/>
      <c r="BW3666" s="153"/>
      <c r="BX3666" s="153"/>
      <c r="BY3666" s="153"/>
      <c r="BZ3666" s="153"/>
      <c r="CA3666" s="152"/>
      <c r="CB3666" s="152"/>
    </row>
    <row r="3667" spans="1:80" s="87" customFormat="1" ht="15" x14ac:dyDescent="0.25">
      <c r="A3667" s="152"/>
      <c r="B3667" s="683"/>
      <c r="C3667" s="683"/>
      <c r="D3667" s="698"/>
      <c r="E3667" s="215"/>
      <c r="F3667" s="215"/>
      <c r="G3667" s="153"/>
      <c r="H3667" s="153"/>
      <c r="I3667" s="320">
        <v>20</v>
      </c>
      <c r="J3667" s="320">
        <v>60</v>
      </c>
      <c r="K3667" s="150">
        <v>1</v>
      </c>
      <c r="L3667" s="656">
        <v>20</v>
      </c>
      <c r="M3667" s="663">
        <v>34851</v>
      </c>
      <c r="N3667" s="600">
        <v>441.678</v>
      </c>
      <c r="O3667" s="604">
        <v>0.58461099999999999</v>
      </c>
      <c r="P3667" s="150"/>
      <c r="Q3667" s="250"/>
      <c r="R3667" s="250">
        <v>5.3999999999999999E-2</v>
      </c>
      <c r="S3667" s="250">
        <v>4.3999999999999997E-2</v>
      </c>
      <c r="T3667" s="250">
        <v>3.5000000000000003E-2</v>
      </c>
      <c r="U3667" s="250">
        <v>5.1999999999999998E-2</v>
      </c>
      <c r="V3667" s="250">
        <v>0.308</v>
      </c>
      <c r="W3667" s="250">
        <v>0.37</v>
      </c>
      <c r="X3667" s="250">
        <v>0.13300000000000001</v>
      </c>
      <c r="Y3667" s="250">
        <v>4.0000000000000001E-3</v>
      </c>
      <c r="Z3667" s="150">
        <v>23</v>
      </c>
      <c r="AA3667" s="223">
        <v>0.99</v>
      </c>
      <c r="AB3667" s="152"/>
      <c r="AC3667" s="152"/>
      <c r="AD3667" s="223"/>
      <c r="AE3667" s="223"/>
      <c r="AF3667" s="223"/>
      <c r="AG3667" s="223"/>
      <c r="AH3667" s="341"/>
      <c r="AI3667" s="218"/>
      <c r="AJ3667" s="218"/>
      <c r="AK3667" s="153"/>
      <c r="AL3667" s="152"/>
      <c r="AM3667" s="152"/>
      <c r="AN3667" s="152"/>
      <c r="AO3667" s="152"/>
      <c r="AP3667" s="152"/>
      <c r="AQ3667" s="152"/>
      <c r="AR3667" s="152"/>
      <c r="AS3667" s="152"/>
      <c r="AT3667" s="152"/>
      <c r="AU3667" s="153"/>
      <c r="AV3667" s="479"/>
      <c r="AW3667" s="479"/>
      <c r="AX3667" s="442"/>
      <c r="AY3667" s="153"/>
      <c r="AZ3667" s="152"/>
      <c r="BA3667" s="152"/>
      <c r="BB3667" s="152"/>
      <c r="BC3667" s="152"/>
      <c r="BD3667" s="152"/>
      <c r="BE3667" s="152"/>
      <c r="BF3667" s="152"/>
      <c r="BG3667" s="152"/>
      <c r="BH3667" s="152"/>
      <c r="BI3667" s="153"/>
      <c r="BJ3667" s="153"/>
      <c r="BK3667" s="153"/>
      <c r="BL3667" s="153"/>
      <c r="BM3667" s="153"/>
      <c r="BN3667" s="153"/>
      <c r="BO3667" s="153"/>
      <c r="BP3667" s="153"/>
      <c r="BQ3667" s="153"/>
      <c r="BR3667" s="153"/>
      <c r="BS3667" s="153"/>
      <c r="BT3667" s="153"/>
      <c r="BU3667" s="153"/>
      <c r="BV3667" s="153"/>
      <c r="BW3667" s="153"/>
      <c r="BX3667" s="153"/>
      <c r="BY3667" s="153"/>
      <c r="BZ3667" s="153"/>
      <c r="CA3667" s="152"/>
      <c r="CB3667" s="152"/>
    </row>
    <row r="3668" spans="1:80" s="87" customFormat="1" ht="15" x14ac:dyDescent="0.25">
      <c r="A3668" s="152"/>
      <c r="B3668" s="683"/>
      <c r="C3668" s="683"/>
      <c r="D3668" s="698"/>
      <c r="E3668" s="215"/>
      <c r="F3668" s="215"/>
      <c r="G3668" s="153"/>
      <c r="H3668" s="153"/>
      <c r="I3668" s="320">
        <v>20</v>
      </c>
      <c r="J3668" s="320">
        <v>60</v>
      </c>
      <c r="K3668" s="150">
        <v>1</v>
      </c>
      <c r="L3668" s="656">
        <v>20</v>
      </c>
      <c r="M3668" s="663">
        <v>34851</v>
      </c>
      <c r="N3668" s="600">
        <v>438.84699999999998</v>
      </c>
      <c r="O3668" s="604">
        <v>0.47020800000000001</v>
      </c>
      <c r="P3668" s="150"/>
      <c r="Q3668" s="250"/>
      <c r="R3668" s="250">
        <v>2.1999999999999999E-2</v>
      </c>
      <c r="S3668" s="250">
        <v>0.01</v>
      </c>
      <c r="T3668" s="250">
        <v>1.6E-2</v>
      </c>
      <c r="U3668" s="250">
        <v>3.5000000000000003E-2</v>
      </c>
      <c r="V3668" s="250">
        <v>0.32299999999999995</v>
      </c>
      <c r="W3668" s="250">
        <v>0.441</v>
      </c>
      <c r="X3668" s="250">
        <v>0.14699999999999999</v>
      </c>
      <c r="Y3668" s="250">
        <v>6.0000000000000001E-3</v>
      </c>
      <c r="Z3668" s="150"/>
      <c r="AA3668" s="223">
        <v>0.86</v>
      </c>
      <c r="AB3668" s="152"/>
      <c r="AC3668" s="152"/>
      <c r="AD3668" s="223"/>
      <c r="AE3668" s="223"/>
      <c r="AF3668" s="223"/>
      <c r="AG3668" s="223"/>
      <c r="AH3668" s="341"/>
      <c r="AI3668" s="218"/>
      <c r="AJ3668" s="218"/>
      <c r="AK3668" s="153"/>
      <c r="AL3668" s="152"/>
      <c r="AM3668" s="152"/>
      <c r="AN3668" s="152"/>
      <c r="AO3668" s="152"/>
      <c r="AP3668" s="152"/>
      <c r="AQ3668" s="152"/>
      <c r="AR3668" s="152"/>
      <c r="AS3668" s="152"/>
      <c r="AT3668" s="152"/>
      <c r="AU3668" s="153"/>
      <c r="AV3668" s="479"/>
      <c r="AW3668" s="479"/>
      <c r="AX3668" s="442"/>
      <c r="AY3668" s="153"/>
      <c r="AZ3668" s="152"/>
      <c r="BA3668" s="152"/>
      <c r="BB3668" s="152"/>
      <c r="BC3668" s="152"/>
      <c r="BD3668" s="152"/>
      <c r="BE3668" s="152"/>
      <c r="BF3668" s="152"/>
      <c r="BG3668" s="152"/>
      <c r="BH3668" s="152"/>
      <c r="BI3668" s="153"/>
      <c r="BJ3668" s="153"/>
      <c r="BK3668" s="153"/>
      <c r="BL3668" s="153"/>
      <c r="BM3668" s="153"/>
      <c r="BN3668" s="153"/>
      <c r="BO3668" s="153"/>
      <c r="BP3668" s="153"/>
      <c r="BQ3668" s="153"/>
      <c r="BR3668" s="153"/>
      <c r="BS3668" s="153"/>
      <c r="BT3668" s="153"/>
      <c r="BU3668" s="153"/>
      <c r="BV3668" s="153"/>
      <c r="BW3668" s="153"/>
      <c r="BX3668" s="153"/>
      <c r="BY3668" s="153"/>
      <c r="BZ3668" s="153"/>
      <c r="CA3668" s="152"/>
      <c r="CB3668" s="152"/>
    </row>
    <row r="3669" spans="1:80" s="87" customFormat="1" ht="15" x14ac:dyDescent="0.25">
      <c r="A3669" s="152"/>
      <c r="B3669" s="683"/>
      <c r="C3669" s="683"/>
      <c r="D3669" s="698"/>
      <c r="E3669" s="215"/>
      <c r="F3669" s="215"/>
      <c r="G3669" s="153"/>
      <c r="H3669" s="153"/>
      <c r="I3669" s="320">
        <v>20</v>
      </c>
      <c r="J3669" s="320">
        <v>60</v>
      </c>
      <c r="K3669" s="150">
        <v>1</v>
      </c>
      <c r="L3669" s="656">
        <v>20</v>
      </c>
      <c r="M3669" s="663">
        <v>34853</v>
      </c>
      <c r="N3669" s="600">
        <v>478.48500000000001</v>
      </c>
      <c r="O3669" s="604">
        <v>0.88898699999999997</v>
      </c>
      <c r="P3669" s="150"/>
      <c r="Q3669" s="250"/>
      <c r="R3669" s="250"/>
      <c r="S3669" s="250">
        <v>0.01</v>
      </c>
      <c r="T3669" s="250">
        <v>1.0999999999999999E-2</v>
      </c>
      <c r="U3669" s="250">
        <v>3.1E-2</v>
      </c>
      <c r="V3669" s="250">
        <v>0.32299999999999995</v>
      </c>
      <c r="W3669" s="250">
        <v>0.46399999999999997</v>
      </c>
      <c r="X3669" s="250">
        <v>0.159</v>
      </c>
      <c r="Y3669" s="250">
        <v>2E-3</v>
      </c>
      <c r="Z3669" s="150">
        <v>12</v>
      </c>
      <c r="AA3669" s="223">
        <v>0.83</v>
      </c>
      <c r="AB3669" s="152"/>
      <c r="AC3669" s="152"/>
      <c r="AD3669" s="223"/>
      <c r="AE3669" s="223"/>
      <c r="AF3669" s="223"/>
      <c r="AG3669" s="223"/>
      <c r="AH3669" s="341"/>
      <c r="AI3669" s="218"/>
      <c r="AJ3669" s="218"/>
      <c r="AK3669" s="153"/>
      <c r="AL3669" s="152"/>
      <c r="AM3669" s="152"/>
      <c r="AN3669" s="152"/>
      <c r="AO3669" s="152"/>
      <c r="AP3669" s="152"/>
      <c r="AQ3669" s="152"/>
      <c r="AR3669" s="152"/>
      <c r="AS3669" s="152"/>
      <c r="AT3669" s="152"/>
      <c r="AU3669" s="153"/>
      <c r="AV3669" s="479"/>
      <c r="AW3669" s="479"/>
      <c r="AX3669" s="442"/>
      <c r="AY3669" s="153"/>
      <c r="AZ3669" s="152"/>
      <c r="BA3669" s="152"/>
      <c r="BB3669" s="152"/>
      <c r="BC3669" s="152"/>
      <c r="BD3669" s="152"/>
      <c r="BE3669" s="152"/>
      <c r="BF3669" s="152"/>
      <c r="BG3669" s="152"/>
      <c r="BH3669" s="152"/>
      <c r="BI3669" s="153"/>
      <c r="BJ3669" s="153"/>
      <c r="BK3669" s="153"/>
      <c r="BL3669" s="153"/>
      <c r="BM3669" s="153"/>
      <c r="BN3669" s="153"/>
      <c r="BO3669" s="153"/>
      <c r="BP3669" s="153"/>
      <c r="BQ3669" s="153"/>
      <c r="BR3669" s="153"/>
      <c r="BS3669" s="153"/>
      <c r="BT3669" s="153"/>
      <c r="BU3669" s="153"/>
      <c r="BV3669" s="153"/>
      <c r="BW3669" s="153"/>
      <c r="BX3669" s="153"/>
      <c r="BY3669" s="153"/>
      <c r="BZ3669" s="153"/>
      <c r="CA3669" s="152"/>
      <c r="CB3669" s="152"/>
    </row>
    <row r="3670" spans="1:80" s="87" customFormat="1" ht="15" x14ac:dyDescent="0.25">
      <c r="A3670" s="152"/>
      <c r="B3670" s="683"/>
      <c r="C3670" s="683"/>
      <c r="D3670" s="698"/>
      <c r="E3670" s="215"/>
      <c r="F3670" s="215"/>
      <c r="G3670" s="153"/>
      <c r="H3670" s="153"/>
      <c r="I3670" s="320">
        <v>20</v>
      </c>
      <c r="J3670" s="320">
        <v>60</v>
      </c>
      <c r="K3670" s="150">
        <v>1</v>
      </c>
      <c r="L3670" s="656">
        <v>20</v>
      </c>
      <c r="M3670" s="663">
        <v>34853</v>
      </c>
      <c r="N3670" s="600">
        <v>481.31599999999997</v>
      </c>
      <c r="O3670" s="604">
        <v>0.59405699999999995</v>
      </c>
      <c r="P3670" s="150"/>
      <c r="Q3670" s="250"/>
      <c r="R3670" s="250"/>
      <c r="S3670" s="250">
        <v>1.4E-2</v>
      </c>
      <c r="T3670" s="250">
        <v>1.2999999999999999E-2</v>
      </c>
      <c r="U3670" s="250">
        <v>3.9E-2</v>
      </c>
      <c r="V3670" s="250">
        <v>0.4</v>
      </c>
      <c r="W3670" s="250">
        <v>0.433</v>
      </c>
      <c r="X3670" s="250">
        <v>9.6999999999999989E-2</v>
      </c>
      <c r="Y3670" s="250">
        <v>4.0000000000000001E-3</v>
      </c>
      <c r="Z3670" s="150">
        <v>16</v>
      </c>
      <c r="AA3670" s="223">
        <v>0.95</v>
      </c>
      <c r="AB3670" s="152"/>
      <c r="AC3670" s="152"/>
      <c r="AD3670" s="223"/>
      <c r="AE3670" s="223"/>
      <c r="AF3670" s="223"/>
      <c r="AG3670" s="223"/>
      <c r="AH3670" s="341"/>
      <c r="AI3670" s="218"/>
      <c r="AJ3670" s="218"/>
      <c r="AK3670" s="153"/>
      <c r="AL3670" s="152"/>
      <c r="AM3670" s="152"/>
      <c r="AN3670" s="152"/>
      <c r="AO3670" s="152"/>
      <c r="AP3670" s="152"/>
      <c r="AQ3670" s="152"/>
      <c r="AR3670" s="152"/>
      <c r="AS3670" s="152"/>
      <c r="AT3670" s="152"/>
      <c r="AU3670" s="153"/>
      <c r="AV3670" s="479"/>
      <c r="AW3670" s="479"/>
      <c r="AX3670" s="442"/>
      <c r="AY3670" s="153"/>
      <c r="AZ3670" s="152"/>
      <c r="BA3670" s="152"/>
      <c r="BB3670" s="152"/>
      <c r="BC3670" s="152"/>
      <c r="BD3670" s="152"/>
      <c r="BE3670" s="152"/>
      <c r="BF3670" s="152"/>
      <c r="BG3670" s="152"/>
      <c r="BH3670" s="152"/>
      <c r="BI3670" s="153"/>
      <c r="BJ3670" s="153"/>
      <c r="BK3670" s="153"/>
      <c r="BL3670" s="153"/>
      <c r="BM3670" s="153"/>
      <c r="BN3670" s="153"/>
      <c r="BO3670" s="153"/>
      <c r="BP3670" s="153"/>
      <c r="BQ3670" s="153"/>
      <c r="BR3670" s="153"/>
      <c r="BS3670" s="153"/>
      <c r="BT3670" s="153"/>
      <c r="BU3670" s="153"/>
      <c r="BV3670" s="153"/>
      <c r="BW3670" s="153"/>
      <c r="BX3670" s="153"/>
      <c r="BY3670" s="153"/>
      <c r="BZ3670" s="153"/>
      <c r="CA3670" s="152"/>
      <c r="CB3670" s="152"/>
    </row>
    <row r="3671" spans="1:80" s="87" customFormat="1" ht="15" x14ac:dyDescent="0.25">
      <c r="A3671" s="152"/>
      <c r="B3671" s="683"/>
      <c r="C3671" s="683"/>
      <c r="D3671" s="698"/>
      <c r="E3671" s="215"/>
      <c r="F3671" s="215"/>
      <c r="G3671" s="153"/>
      <c r="H3671" s="153"/>
      <c r="I3671" s="320">
        <v>20</v>
      </c>
      <c r="J3671" s="320">
        <v>60</v>
      </c>
      <c r="K3671" s="150">
        <v>1</v>
      </c>
      <c r="L3671" s="656">
        <v>20</v>
      </c>
      <c r="M3671" s="663">
        <v>34856</v>
      </c>
      <c r="N3671" s="600">
        <v>410.53399999999999</v>
      </c>
      <c r="O3671" s="604">
        <v>0.201518</v>
      </c>
      <c r="P3671" s="150"/>
      <c r="Q3671" s="250"/>
      <c r="R3671" s="250"/>
      <c r="S3671" s="250"/>
      <c r="T3671" s="250">
        <v>3.0000000000000001E-3</v>
      </c>
      <c r="U3671" s="250">
        <v>2.4E-2</v>
      </c>
      <c r="V3671" s="250">
        <v>0.35499999999999998</v>
      </c>
      <c r="W3671" s="250">
        <v>0.48499999999999999</v>
      </c>
      <c r="X3671" s="250">
        <v>0.129</v>
      </c>
      <c r="Y3671" s="250">
        <v>4.0000000000000001E-3</v>
      </c>
      <c r="Z3671" s="150">
        <v>7</v>
      </c>
      <c r="AA3671" s="223">
        <v>0.84</v>
      </c>
      <c r="AB3671" s="152"/>
      <c r="AC3671" s="152"/>
      <c r="AD3671" s="223"/>
      <c r="AE3671" s="223"/>
      <c r="AF3671" s="223"/>
      <c r="AG3671" s="223"/>
      <c r="AH3671" s="341"/>
      <c r="AI3671" s="218"/>
      <c r="AJ3671" s="218"/>
      <c r="AK3671" s="153"/>
      <c r="AL3671" s="152"/>
      <c r="AM3671" s="152"/>
      <c r="AN3671" s="152"/>
      <c r="AO3671" s="152"/>
      <c r="AP3671" s="152"/>
      <c r="AQ3671" s="152"/>
      <c r="AR3671" s="152"/>
      <c r="AS3671" s="152"/>
      <c r="AT3671" s="152"/>
      <c r="AU3671" s="153"/>
      <c r="AV3671" s="479"/>
      <c r="AW3671" s="479"/>
      <c r="AX3671" s="442"/>
      <c r="AY3671" s="153"/>
      <c r="AZ3671" s="152"/>
      <c r="BA3671" s="152"/>
      <c r="BB3671" s="152"/>
      <c r="BC3671" s="152"/>
      <c r="BD3671" s="152"/>
      <c r="BE3671" s="152"/>
      <c r="BF3671" s="152"/>
      <c r="BG3671" s="152"/>
      <c r="BH3671" s="152"/>
      <c r="BI3671" s="153"/>
      <c r="BJ3671" s="153"/>
      <c r="BK3671" s="153"/>
      <c r="BL3671" s="153"/>
      <c r="BM3671" s="153"/>
      <c r="BN3671" s="153"/>
      <c r="BO3671" s="153"/>
      <c r="BP3671" s="153"/>
      <c r="BQ3671" s="153"/>
      <c r="BR3671" s="153"/>
      <c r="BS3671" s="153"/>
      <c r="BT3671" s="153"/>
      <c r="BU3671" s="153"/>
      <c r="BV3671" s="153"/>
      <c r="BW3671" s="153"/>
      <c r="BX3671" s="153"/>
      <c r="BY3671" s="153"/>
      <c r="BZ3671" s="153"/>
      <c r="CA3671" s="152"/>
      <c r="CB3671" s="152"/>
    </row>
    <row r="3672" spans="1:80" s="87" customFormat="1" ht="15" x14ac:dyDescent="0.25">
      <c r="A3672" s="152"/>
      <c r="B3672" s="683"/>
      <c r="C3672" s="683"/>
      <c r="D3672" s="698"/>
      <c r="E3672" s="215"/>
      <c r="F3672" s="215"/>
      <c r="G3672" s="153"/>
      <c r="H3672" s="153"/>
      <c r="I3672" s="320">
        <v>20</v>
      </c>
      <c r="J3672" s="320">
        <v>60</v>
      </c>
      <c r="K3672" s="150">
        <v>1</v>
      </c>
      <c r="L3672" s="656">
        <v>20</v>
      </c>
      <c r="M3672" s="663">
        <v>34856</v>
      </c>
      <c r="N3672" s="600">
        <v>407.70299999999997</v>
      </c>
      <c r="O3672" s="604">
        <v>0.38729200000000003</v>
      </c>
      <c r="P3672" s="150"/>
      <c r="Q3672" s="250"/>
      <c r="R3672" s="250"/>
      <c r="S3672" s="250">
        <v>1.2999999999999999E-2</v>
      </c>
      <c r="T3672" s="250">
        <v>1.7000000000000001E-2</v>
      </c>
      <c r="U3672" s="250">
        <v>3.5000000000000003E-2</v>
      </c>
      <c r="V3672" s="250">
        <v>0.42399999999999999</v>
      </c>
      <c r="W3672" s="250">
        <v>0.42</v>
      </c>
      <c r="X3672" s="250">
        <v>8.900000000000001E-2</v>
      </c>
      <c r="Y3672" s="250">
        <v>2E-3</v>
      </c>
      <c r="Z3672" s="150">
        <v>11</v>
      </c>
      <c r="AA3672" s="223">
        <v>0.98</v>
      </c>
      <c r="AB3672" s="152"/>
      <c r="AC3672" s="152"/>
      <c r="AD3672" s="223"/>
      <c r="AE3672" s="223"/>
      <c r="AF3672" s="223"/>
      <c r="AG3672" s="223"/>
      <c r="AH3672" s="341"/>
      <c r="AI3672" s="218"/>
      <c r="AJ3672" s="218"/>
      <c r="AK3672" s="153"/>
      <c r="AL3672" s="152"/>
      <c r="AM3672" s="152"/>
      <c r="AN3672" s="152"/>
      <c r="AO3672" s="152"/>
      <c r="AP3672" s="152"/>
      <c r="AQ3672" s="152"/>
      <c r="AR3672" s="152"/>
      <c r="AS3672" s="152"/>
      <c r="AT3672" s="152"/>
      <c r="AU3672" s="153"/>
      <c r="AV3672" s="479"/>
      <c r="AW3672" s="479"/>
      <c r="AX3672" s="442"/>
      <c r="AY3672" s="153"/>
      <c r="AZ3672" s="152"/>
      <c r="BA3672" s="152"/>
      <c r="BB3672" s="152"/>
      <c r="BC3672" s="152"/>
      <c r="BD3672" s="152"/>
      <c r="BE3672" s="152"/>
      <c r="BF3672" s="152"/>
      <c r="BG3672" s="152"/>
      <c r="BH3672" s="152"/>
      <c r="BI3672" s="153"/>
      <c r="BJ3672" s="153"/>
      <c r="BK3672" s="153"/>
      <c r="BL3672" s="153"/>
      <c r="BM3672" s="153"/>
      <c r="BN3672" s="153"/>
      <c r="BO3672" s="153"/>
      <c r="BP3672" s="153"/>
      <c r="BQ3672" s="153"/>
      <c r="BR3672" s="153"/>
      <c r="BS3672" s="153"/>
      <c r="BT3672" s="153"/>
      <c r="BU3672" s="153"/>
      <c r="BV3672" s="153"/>
      <c r="BW3672" s="153"/>
      <c r="BX3672" s="153"/>
      <c r="BY3672" s="153"/>
      <c r="BZ3672" s="153"/>
      <c r="CA3672" s="152"/>
      <c r="CB3672" s="152"/>
    </row>
    <row r="3673" spans="1:80" s="87" customFormat="1" ht="15" x14ac:dyDescent="0.25">
      <c r="A3673" s="152"/>
      <c r="B3673" s="683"/>
      <c r="C3673" s="683"/>
      <c r="D3673" s="698"/>
      <c r="E3673" s="215"/>
      <c r="F3673" s="215"/>
      <c r="G3673" s="153"/>
      <c r="H3673" s="153"/>
      <c r="I3673" s="320">
        <v>20</v>
      </c>
      <c r="J3673" s="320">
        <v>60</v>
      </c>
      <c r="K3673" s="150">
        <v>1</v>
      </c>
      <c r="L3673" s="656">
        <v>20</v>
      </c>
      <c r="M3673" s="663">
        <v>34857</v>
      </c>
      <c r="N3673" s="600">
        <v>322.76499999999999</v>
      </c>
      <c r="O3673" s="604">
        <v>0.13119600000000001</v>
      </c>
      <c r="P3673" s="150"/>
      <c r="Q3673" s="250"/>
      <c r="R3673" s="250"/>
      <c r="S3673" s="250">
        <v>6.0000000000000001E-3</v>
      </c>
      <c r="T3673" s="250">
        <v>1.2999999999999999E-2</v>
      </c>
      <c r="U3673" s="250">
        <v>6.5000000000000002E-2</v>
      </c>
      <c r="V3673" s="250">
        <v>0.40500000000000003</v>
      </c>
      <c r="W3673" s="250">
        <v>0.39</v>
      </c>
      <c r="X3673" s="250">
        <v>0.11699999999999999</v>
      </c>
      <c r="Y3673" s="250">
        <v>4.0000000000000001E-3</v>
      </c>
      <c r="Z3673" s="150">
        <v>9</v>
      </c>
      <c r="AA3673" s="223">
        <v>0.98</v>
      </c>
      <c r="AB3673" s="152"/>
      <c r="AC3673" s="152"/>
      <c r="AD3673" s="223"/>
      <c r="AE3673" s="223"/>
      <c r="AF3673" s="223"/>
      <c r="AG3673" s="223"/>
      <c r="AH3673" s="341"/>
      <c r="AI3673" s="218"/>
      <c r="AJ3673" s="218"/>
      <c r="AK3673" s="153"/>
      <c r="AL3673" s="152"/>
      <c r="AM3673" s="152"/>
      <c r="AN3673" s="152"/>
      <c r="AO3673" s="152"/>
      <c r="AP3673" s="152"/>
      <c r="AQ3673" s="152"/>
      <c r="AR3673" s="152"/>
      <c r="AS3673" s="152"/>
      <c r="AT3673" s="152"/>
      <c r="AU3673" s="153"/>
      <c r="AV3673" s="479"/>
      <c r="AW3673" s="479"/>
      <c r="AX3673" s="442"/>
      <c r="AY3673" s="153"/>
      <c r="AZ3673" s="152"/>
      <c r="BA3673" s="152"/>
      <c r="BB3673" s="152"/>
      <c r="BC3673" s="152"/>
      <c r="BD3673" s="152"/>
      <c r="BE3673" s="152"/>
      <c r="BF3673" s="152"/>
      <c r="BG3673" s="152"/>
      <c r="BH3673" s="152"/>
      <c r="BI3673" s="153"/>
      <c r="BJ3673" s="153"/>
      <c r="BK3673" s="153"/>
      <c r="BL3673" s="153"/>
      <c r="BM3673" s="153"/>
      <c r="BN3673" s="153"/>
      <c r="BO3673" s="153"/>
      <c r="BP3673" s="153"/>
      <c r="BQ3673" s="153"/>
      <c r="BR3673" s="153"/>
      <c r="BS3673" s="153"/>
      <c r="BT3673" s="153"/>
      <c r="BU3673" s="153"/>
      <c r="BV3673" s="153"/>
      <c r="BW3673" s="153"/>
      <c r="BX3673" s="153"/>
      <c r="BY3673" s="153"/>
      <c r="BZ3673" s="153"/>
      <c r="CA3673" s="152"/>
      <c r="CB3673" s="152"/>
    </row>
    <row r="3674" spans="1:80" s="87" customFormat="1" ht="15" x14ac:dyDescent="0.25">
      <c r="A3674" s="152"/>
      <c r="B3674" s="683"/>
      <c r="C3674" s="683"/>
      <c r="D3674" s="698"/>
      <c r="E3674" s="215"/>
      <c r="F3674" s="215"/>
      <c r="G3674" s="153"/>
      <c r="H3674" s="153"/>
      <c r="I3674" s="320">
        <v>20</v>
      </c>
      <c r="J3674" s="320">
        <v>60</v>
      </c>
      <c r="K3674" s="150">
        <v>1</v>
      </c>
      <c r="L3674" s="656">
        <v>20</v>
      </c>
      <c r="M3674" s="663">
        <v>34857</v>
      </c>
      <c r="N3674" s="600">
        <v>322.76499999999999</v>
      </c>
      <c r="O3674" s="604">
        <v>0.13644400000000001</v>
      </c>
      <c r="P3674" s="150"/>
      <c r="Q3674" s="250"/>
      <c r="R3674" s="250"/>
      <c r="S3674" s="250">
        <v>1.2E-2</v>
      </c>
      <c r="T3674" s="250">
        <v>1.9E-2</v>
      </c>
      <c r="U3674" s="250">
        <v>5.6000000000000001E-2</v>
      </c>
      <c r="V3674" s="250">
        <v>0.41899999999999998</v>
      </c>
      <c r="W3674" s="250">
        <v>0.39500000000000002</v>
      </c>
      <c r="X3674" s="250">
        <v>9.6000000000000002E-2</v>
      </c>
      <c r="Y3674" s="250">
        <v>3.0000000000000001E-3</v>
      </c>
      <c r="Z3674" s="150">
        <v>10</v>
      </c>
      <c r="AA3674" s="223">
        <v>1.01</v>
      </c>
      <c r="AB3674" s="152"/>
      <c r="AC3674" s="152"/>
      <c r="AD3674" s="223"/>
      <c r="AE3674" s="223"/>
      <c r="AF3674" s="223"/>
      <c r="AG3674" s="223"/>
      <c r="AH3674" s="341"/>
      <c r="AI3674" s="218"/>
      <c r="AJ3674" s="218"/>
      <c r="AK3674" s="153"/>
      <c r="AL3674" s="152"/>
      <c r="AM3674" s="152"/>
      <c r="AN3674" s="152"/>
      <c r="AO3674" s="152"/>
      <c r="AP3674" s="152"/>
      <c r="AQ3674" s="152"/>
      <c r="AR3674" s="152"/>
      <c r="AS3674" s="152"/>
      <c r="AT3674" s="152"/>
      <c r="AU3674" s="153"/>
      <c r="AV3674" s="479"/>
      <c r="AW3674" s="479"/>
      <c r="AX3674" s="442"/>
      <c r="AY3674" s="153"/>
      <c r="AZ3674" s="152"/>
      <c r="BA3674" s="152"/>
      <c r="BB3674" s="152"/>
      <c r="BC3674" s="152"/>
      <c r="BD3674" s="152"/>
      <c r="BE3674" s="152"/>
      <c r="BF3674" s="152"/>
      <c r="BG3674" s="152"/>
      <c r="BH3674" s="152"/>
      <c r="BI3674" s="153"/>
      <c r="BJ3674" s="153"/>
      <c r="BK3674" s="153"/>
      <c r="BL3674" s="153"/>
      <c r="BM3674" s="153"/>
      <c r="BN3674" s="153"/>
      <c r="BO3674" s="153"/>
      <c r="BP3674" s="153"/>
      <c r="BQ3674" s="153"/>
      <c r="BR3674" s="153"/>
      <c r="BS3674" s="153"/>
      <c r="BT3674" s="153"/>
      <c r="BU3674" s="153"/>
      <c r="BV3674" s="153"/>
      <c r="BW3674" s="153"/>
      <c r="BX3674" s="153"/>
      <c r="BY3674" s="153"/>
      <c r="BZ3674" s="153"/>
      <c r="CA3674" s="152"/>
      <c r="CB3674" s="152"/>
    </row>
    <row r="3675" spans="1:80" s="87" customFormat="1" ht="15" x14ac:dyDescent="0.25">
      <c r="A3675" s="152"/>
      <c r="B3675" s="683"/>
      <c r="C3675" s="683"/>
      <c r="D3675" s="698"/>
      <c r="E3675" s="215"/>
      <c r="F3675" s="215"/>
      <c r="G3675" s="153"/>
      <c r="H3675" s="153"/>
      <c r="I3675" s="320">
        <v>20</v>
      </c>
      <c r="J3675" s="320">
        <v>60</v>
      </c>
      <c r="K3675" s="150">
        <v>1</v>
      </c>
      <c r="L3675" s="656">
        <v>20</v>
      </c>
      <c r="M3675" s="663">
        <v>34866</v>
      </c>
      <c r="N3675" s="600">
        <v>282.27800000000002</v>
      </c>
      <c r="O3675" s="604">
        <v>8.1341999999999998E-2</v>
      </c>
      <c r="P3675" s="150"/>
      <c r="Q3675" s="250"/>
      <c r="R3675" s="250"/>
      <c r="S3675" s="250"/>
      <c r="T3675" s="250">
        <v>6.0000000000000001E-3</v>
      </c>
      <c r="U3675" s="250">
        <v>6.6000000000000003E-2</v>
      </c>
      <c r="V3675" s="250">
        <v>0.47299999999999998</v>
      </c>
      <c r="W3675" s="250">
        <v>0.35899999999999999</v>
      </c>
      <c r="X3675" s="250">
        <v>9.1999999999999998E-2</v>
      </c>
      <c r="Y3675" s="250">
        <v>4.0000000000000001E-3</v>
      </c>
      <c r="Z3675" s="150">
        <v>5</v>
      </c>
      <c r="AA3675" s="223">
        <v>1.07</v>
      </c>
      <c r="AB3675" s="152"/>
      <c r="AC3675" s="152"/>
      <c r="AD3675" s="223"/>
      <c r="AE3675" s="223"/>
      <c r="AF3675" s="223"/>
      <c r="AG3675" s="223"/>
      <c r="AH3675" s="341"/>
      <c r="AI3675" s="218"/>
      <c r="AJ3675" s="218"/>
      <c r="AK3675" s="153"/>
      <c r="AL3675" s="152"/>
      <c r="AM3675" s="152"/>
      <c r="AN3675" s="152"/>
      <c r="AO3675" s="152"/>
      <c r="AP3675" s="152"/>
      <c r="AQ3675" s="152"/>
      <c r="AR3675" s="152"/>
      <c r="AS3675" s="152"/>
      <c r="AT3675" s="152"/>
      <c r="AU3675" s="153"/>
      <c r="AV3675" s="479"/>
      <c r="AW3675" s="479"/>
      <c r="AX3675" s="442"/>
      <c r="AY3675" s="153"/>
      <c r="AZ3675" s="152"/>
      <c r="BA3675" s="152"/>
      <c r="BB3675" s="152"/>
      <c r="BC3675" s="152"/>
      <c r="BD3675" s="152"/>
      <c r="BE3675" s="152"/>
      <c r="BF3675" s="152"/>
      <c r="BG3675" s="152"/>
      <c r="BH3675" s="152"/>
      <c r="BI3675" s="153"/>
      <c r="BJ3675" s="153"/>
      <c r="BK3675" s="153"/>
      <c r="BL3675" s="153"/>
      <c r="BM3675" s="153"/>
      <c r="BN3675" s="153"/>
      <c r="BO3675" s="153"/>
      <c r="BP3675" s="153"/>
      <c r="BQ3675" s="153"/>
      <c r="BR3675" s="153"/>
      <c r="BS3675" s="153"/>
      <c r="BT3675" s="153"/>
      <c r="BU3675" s="153"/>
      <c r="BV3675" s="153"/>
      <c r="BW3675" s="153"/>
      <c r="BX3675" s="153"/>
      <c r="BY3675" s="153"/>
      <c r="BZ3675" s="153"/>
      <c r="CA3675" s="152"/>
      <c r="CB3675" s="152"/>
    </row>
    <row r="3676" spans="1:80" s="87" customFormat="1" ht="15" x14ac:dyDescent="0.25">
      <c r="A3676" s="152"/>
      <c r="B3676" s="683"/>
      <c r="C3676" s="683"/>
      <c r="D3676" s="698"/>
      <c r="E3676" s="215"/>
      <c r="F3676" s="215"/>
      <c r="G3676" s="153"/>
      <c r="H3676" s="153"/>
      <c r="I3676" s="320">
        <v>20</v>
      </c>
      <c r="J3676" s="320">
        <v>60</v>
      </c>
      <c r="K3676" s="150">
        <v>1</v>
      </c>
      <c r="L3676" s="656">
        <v>20</v>
      </c>
      <c r="M3676" s="663">
        <v>34866</v>
      </c>
      <c r="N3676" s="600">
        <v>280.86200000000002</v>
      </c>
      <c r="O3676" s="604">
        <v>3.4111000000000002E-2</v>
      </c>
      <c r="P3676" s="150"/>
      <c r="Q3676" s="250"/>
      <c r="R3676" s="250"/>
      <c r="S3676" s="250"/>
      <c r="T3676" s="250"/>
      <c r="U3676" s="250">
        <v>2.8000000000000001E-2</v>
      </c>
      <c r="V3676" s="250">
        <v>0.314</v>
      </c>
      <c r="W3676" s="250">
        <v>0.46600000000000003</v>
      </c>
      <c r="X3676" s="250">
        <v>0.18899999999999997</v>
      </c>
      <c r="Y3676" s="250">
        <v>3.0000000000000001E-3</v>
      </c>
      <c r="Z3676" s="150">
        <v>4</v>
      </c>
      <c r="AA3676" s="223">
        <v>0.79</v>
      </c>
      <c r="AB3676" s="152"/>
      <c r="AC3676" s="152"/>
      <c r="AD3676" s="223"/>
      <c r="AE3676" s="223"/>
      <c r="AF3676" s="223"/>
      <c r="AG3676" s="223"/>
      <c r="AH3676" s="341"/>
      <c r="AI3676" s="218"/>
      <c r="AJ3676" s="218"/>
      <c r="AK3676" s="153"/>
      <c r="AL3676" s="152"/>
      <c r="AM3676" s="152"/>
      <c r="AN3676" s="152"/>
      <c r="AO3676" s="152"/>
      <c r="AP3676" s="152"/>
      <c r="AQ3676" s="152"/>
      <c r="AR3676" s="152"/>
      <c r="AS3676" s="152"/>
      <c r="AT3676" s="152"/>
      <c r="AU3676" s="153"/>
      <c r="AV3676" s="479"/>
      <c r="AW3676" s="479"/>
      <c r="AX3676" s="442"/>
      <c r="AY3676" s="153"/>
      <c r="AZ3676" s="152"/>
      <c r="BA3676" s="152"/>
      <c r="BB3676" s="152"/>
      <c r="BC3676" s="152"/>
      <c r="BD3676" s="152"/>
      <c r="BE3676" s="152"/>
      <c r="BF3676" s="152"/>
      <c r="BG3676" s="152"/>
      <c r="BH3676" s="152"/>
      <c r="BI3676" s="153"/>
      <c r="BJ3676" s="153"/>
      <c r="BK3676" s="153"/>
      <c r="BL3676" s="153"/>
      <c r="BM3676" s="153"/>
      <c r="BN3676" s="153"/>
      <c r="BO3676" s="153"/>
      <c r="BP3676" s="153"/>
      <c r="BQ3676" s="153"/>
      <c r="BR3676" s="153"/>
      <c r="BS3676" s="153"/>
      <c r="BT3676" s="153"/>
      <c r="BU3676" s="153"/>
      <c r="BV3676" s="153"/>
      <c r="BW3676" s="153"/>
      <c r="BX3676" s="153"/>
      <c r="BY3676" s="153"/>
      <c r="BZ3676" s="153"/>
      <c r="CA3676" s="152"/>
      <c r="CB3676" s="152"/>
    </row>
    <row r="3677" spans="1:80" s="87" customFormat="1" ht="15" x14ac:dyDescent="0.25">
      <c r="A3677" s="152"/>
      <c r="B3677" s="683"/>
      <c r="C3677" s="683"/>
      <c r="D3677" s="698"/>
      <c r="E3677" s="215"/>
      <c r="F3677" s="215"/>
      <c r="G3677" s="153"/>
      <c r="H3677" s="153"/>
      <c r="I3677" s="320">
        <v>20</v>
      </c>
      <c r="J3677" s="320">
        <v>60</v>
      </c>
      <c r="K3677" s="150">
        <v>1</v>
      </c>
      <c r="L3677" s="656">
        <v>20</v>
      </c>
      <c r="M3677" s="663">
        <v>34870</v>
      </c>
      <c r="N3677" s="600">
        <v>242.07400000000001</v>
      </c>
      <c r="O3677" s="604">
        <v>1.2805E-2</v>
      </c>
      <c r="P3677" s="150"/>
      <c r="Q3677" s="250"/>
      <c r="R3677" s="250"/>
      <c r="S3677" s="250"/>
      <c r="T3677" s="250"/>
      <c r="U3677" s="250">
        <v>3.5999999999999997E-2</v>
      </c>
      <c r="V3677" s="250">
        <v>0.31900000000000001</v>
      </c>
      <c r="W3677" s="250">
        <v>0.44900000000000001</v>
      </c>
      <c r="X3677" s="250">
        <v>0.18899999999999997</v>
      </c>
      <c r="Y3677" s="250">
        <v>6.9999999999999993E-3</v>
      </c>
      <c r="Z3677" s="150">
        <v>3</v>
      </c>
      <c r="AA3677" s="223">
        <v>0.8</v>
      </c>
      <c r="AB3677" s="152"/>
      <c r="AC3677" s="152"/>
      <c r="AD3677" s="223"/>
      <c r="AE3677" s="223"/>
      <c r="AF3677" s="223"/>
      <c r="AG3677" s="223"/>
      <c r="AH3677" s="341"/>
      <c r="AI3677" s="218"/>
      <c r="AJ3677" s="218"/>
      <c r="AK3677" s="153"/>
      <c r="AL3677" s="152"/>
      <c r="AM3677" s="152"/>
      <c r="AN3677" s="152"/>
      <c r="AO3677" s="152"/>
      <c r="AP3677" s="152"/>
      <c r="AQ3677" s="152"/>
      <c r="AR3677" s="152"/>
      <c r="AS3677" s="152"/>
      <c r="AT3677" s="152"/>
      <c r="AU3677" s="153"/>
      <c r="AV3677" s="479"/>
      <c r="AW3677" s="479"/>
      <c r="AX3677" s="442"/>
      <c r="AY3677" s="153"/>
      <c r="AZ3677" s="152"/>
      <c r="BA3677" s="152"/>
      <c r="BB3677" s="152"/>
      <c r="BC3677" s="152"/>
      <c r="BD3677" s="152"/>
      <c r="BE3677" s="152"/>
      <c r="BF3677" s="152"/>
      <c r="BG3677" s="152"/>
      <c r="BH3677" s="152"/>
      <c r="BI3677" s="153"/>
      <c r="BJ3677" s="153"/>
      <c r="BK3677" s="153"/>
      <c r="BL3677" s="153"/>
      <c r="BM3677" s="153"/>
      <c r="BN3677" s="153"/>
      <c r="BO3677" s="153"/>
      <c r="BP3677" s="153"/>
      <c r="BQ3677" s="153"/>
      <c r="BR3677" s="153"/>
      <c r="BS3677" s="153"/>
      <c r="BT3677" s="153"/>
      <c r="BU3677" s="153"/>
      <c r="BV3677" s="153"/>
      <c r="BW3677" s="153"/>
      <c r="BX3677" s="153"/>
      <c r="BY3677" s="153"/>
      <c r="BZ3677" s="153"/>
      <c r="CA3677" s="152"/>
      <c r="CB3677" s="152"/>
    </row>
    <row r="3678" spans="1:80" s="87" customFormat="1" ht="15" x14ac:dyDescent="0.25">
      <c r="A3678" s="152"/>
      <c r="B3678" s="683"/>
      <c r="C3678" s="683"/>
      <c r="D3678" s="698"/>
      <c r="E3678" s="215"/>
      <c r="F3678" s="215"/>
      <c r="G3678" s="153"/>
      <c r="H3678" s="153"/>
      <c r="I3678" s="320">
        <v>20</v>
      </c>
      <c r="J3678" s="320">
        <v>60</v>
      </c>
      <c r="K3678" s="150">
        <v>1</v>
      </c>
      <c r="L3678" s="656">
        <v>20</v>
      </c>
      <c r="M3678" s="663">
        <v>34870</v>
      </c>
      <c r="N3678" s="600">
        <v>240.65799999999999</v>
      </c>
      <c r="O3678" s="604">
        <v>8.3755999999999997E-2</v>
      </c>
      <c r="P3678" s="150"/>
      <c r="Q3678" s="250"/>
      <c r="R3678" s="250"/>
      <c r="S3678" s="250"/>
      <c r="T3678" s="250">
        <v>1E-3</v>
      </c>
      <c r="U3678" s="250">
        <v>5.3999999999999999E-2</v>
      </c>
      <c r="V3678" s="250">
        <v>0.48100000000000004</v>
      </c>
      <c r="W3678" s="250">
        <v>0.373</v>
      </c>
      <c r="X3678" s="250">
        <v>8.900000000000001E-2</v>
      </c>
      <c r="Y3678" s="250">
        <v>2E-3</v>
      </c>
      <c r="Z3678" s="150">
        <v>4</v>
      </c>
      <c r="AA3678" s="223">
        <v>1.05</v>
      </c>
      <c r="AB3678" s="152"/>
      <c r="AC3678" s="152"/>
      <c r="AD3678" s="223"/>
      <c r="AE3678" s="223"/>
      <c r="AF3678" s="223"/>
      <c r="AG3678" s="223"/>
      <c r="AH3678" s="341"/>
      <c r="AI3678" s="218"/>
      <c r="AJ3678" s="218"/>
      <c r="AK3678" s="153"/>
      <c r="AL3678" s="152"/>
      <c r="AM3678" s="152"/>
      <c r="AN3678" s="152"/>
      <c r="AO3678" s="152"/>
      <c r="AP3678" s="152"/>
      <c r="AQ3678" s="152"/>
      <c r="AR3678" s="152"/>
      <c r="AS3678" s="152"/>
      <c r="AT3678" s="152"/>
      <c r="AU3678" s="153"/>
      <c r="AV3678" s="479"/>
      <c r="AW3678" s="479"/>
      <c r="AX3678" s="442"/>
      <c r="AY3678" s="153"/>
      <c r="AZ3678" s="152"/>
      <c r="BA3678" s="152"/>
      <c r="BB3678" s="152"/>
      <c r="BC3678" s="152"/>
      <c r="BD3678" s="152"/>
      <c r="BE3678" s="152"/>
      <c r="BF3678" s="152"/>
      <c r="BG3678" s="152"/>
      <c r="BH3678" s="152"/>
      <c r="BI3678" s="153"/>
      <c r="BJ3678" s="153"/>
      <c r="BK3678" s="153"/>
      <c r="BL3678" s="153"/>
      <c r="BM3678" s="153"/>
      <c r="BN3678" s="153"/>
      <c r="BO3678" s="153"/>
      <c r="BP3678" s="153"/>
      <c r="BQ3678" s="153"/>
      <c r="BR3678" s="153"/>
      <c r="BS3678" s="153"/>
      <c r="BT3678" s="153"/>
      <c r="BU3678" s="153"/>
      <c r="BV3678" s="153"/>
      <c r="BW3678" s="153"/>
      <c r="BX3678" s="153"/>
      <c r="BY3678" s="153"/>
      <c r="BZ3678" s="153"/>
      <c r="CA3678" s="152"/>
      <c r="CB3678" s="152"/>
    </row>
    <row r="3679" spans="1:80" s="87" customFormat="1" ht="15" x14ac:dyDescent="0.25">
      <c r="A3679" s="152"/>
      <c r="B3679" s="683"/>
      <c r="C3679" s="683"/>
      <c r="D3679" s="698"/>
      <c r="E3679" s="215"/>
      <c r="F3679" s="215"/>
      <c r="G3679" s="153"/>
      <c r="H3679" s="153"/>
      <c r="I3679" s="320">
        <v>20</v>
      </c>
      <c r="J3679" s="320">
        <v>60</v>
      </c>
      <c r="K3679" s="150">
        <v>1</v>
      </c>
      <c r="L3679" s="656">
        <v>20</v>
      </c>
      <c r="M3679" s="663">
        <v>34871</v>
      </c>
      <c r="N3679" s="600">
        <v>208.09800000000001</v>
      </c>
      <c r="O3679" s="604">
        <v>4.8070000000000002E-2</v>
      </c>
      <c r="P3679" s="150"/>
      <c r="Q3679" s="250"/>
      <c r="R3679" s="250"/>
      <c r="S3679" s="250"/>
      <c r="T3679" s="250">
        <v>1.4E-2</v>
      </c>
      <c r="U3679" s="250">
        <v>5.8000000000000003E-2</v>
      </c>
      <c r="V3679" s="250">
        <v>0.433</v>
      </c>
      <c r="W3679" s="250">
        <v>0.37799999999999995</v>
      </c>
      <c r="X3679" s="250">
        <v>0.113</v>
      </c>
      <c r="Y3679" s="250">
        <v>4.0000000000000001E-3</v>
      </c>
      <c r="Z3679" s="150">
        <v>5</v>
      </c>
      <c r="AA3679" s="223">
        <v>1.01</v>
      </c>
      <c r="AB3679" s="152"/>
      <c r="AC3679" s="152"/>
      <c r="AD3679" s="223"/>
      <c r="AE3679" s="223"/>
      <c r="AF3679" s="223"/>
      <c r="AG3679" s="223"/>
      <c r="AH3679" s="341"/>
      <c r="AI3679" s="218"/>
      <c r="AJ3679" s="218"/>
      <c r="AK3679" s="153"/>
      <c r="AL3679" s="152"/>
      <c r="AM3679" s="152"/>
      <c r="AN3679" s="152"/>
      <c r="AO3679" s="152"/>
      <c r="AP3679" s="152"/>
      <c r="AQ3679" s="152"/>
      <c r="AR3679" s="152"/>
      <c r="AS3679" s="152"/>
      <c r="AT3679" s="152"/>
      <c r="AU3679" s="153"/>
      <c r="AV3679" s="479"/>
      <c r="AW3679" s="479"/>
      <c r="AX3679" s="442"/>
      <c r="AY3679" s="153"/>
      <c r="AZ3679" s="152"/>
      <c r="BA3679" s="152"/>
      <c r="BB3679" s="152"/>
      <c r="BC3679" s="152"/>
      <c r="BD3679" s="152"/>
      <c r="BE3679" s="152"/>
      <c r="BF3679" s="152"/>
      <c r="BG3679" s="152"/>
      <c r="BH3679" s="152"/>
      <c r="BI3679" s="153"/>
      <c r="BJ3679" s="153"/>
      <c r="BK3679" s="153"/>
      <c r="BL3679" s="153"/>
      <c r="BM3679" s="153"/>
      <c r="BN3679" s="153"/>
      <c r="BO3679" s="153"/>
      <c r="BP3679" s="153"/>
      <c r="BQ3679" s="153"/>
      <c r="BR3679" s="153"/>
      <c r="BS3679" s="153"/>
      <c r="BT3679" s="153"/>
      <c r="BU3679" s="153"/>
      <c r="BV3679" s="153"/>
      <c r="BW3679" s="153"/>
      <c r="BX3679" s="153"/>
      <c r="BY3679" s="153"/>
      <c r="BZ3679" s="153"/>
      <c r="CA3679" s="152"/>
      <c r="CB3679" s="152"/>
    </row>
    <row r="3680" spans="1:80" s="87" customFormat="1" ht="15" x14ac:dyDescent="0.25">
      <c r="A3680" s="152"/>
      <c r="B3680" s="683"/>
      <c r="C3680" s="683"/>
      <c r="D3680" s="698"/>
      <c r="E3680" s="215"/>
      <c r="F3680" s="215"/>
      <c r="G3680" s="153"/>
      <c r="H3680" s="153"/>
      <c r="I3680" s="320">
        <v>20</v>
      </c>
      <c r="J3680" s="320">
        <v>60</v>
      </c>
      <c r="K3680" s="150">
        <v>1</v>
      </c>
      <c r="L3680" s="656">
        <v>20</v>
      </c>
      <c r="M3680" s="663">
        <v>34871</v>
      </c>
      <c r="N3680" s="600">
        <v>207.249</v>
      </c>
      <c r="O3680" s="604">
        <v>1.7527999999999998E-2</v>
      </c>
      <c r="P3680" s="150"/>
      <c r="Q3680" s="250"/>
      <c r="R3680" s="250"/>
      <c r="S3680" s="250"/>
      <c r="T3680" s="250"/>
      <c r="U3680" s="250">
        <v>2.1000000000000001E-2</v>
      </c>
      <c r="V3680" s="250">
        <v>0.36</v>
      </c>
      <c r="W3680" s="250">
        <v>0.42899999999999999</v>
      </c>
      <c r="X3680" s="250">
        <v>0.17899999999999999</v>
      </c>
      <c r="Y3680" s="250">
        <v>1.1000000000000001E-2</v>
      </c>
      <c r="Z3680" s="150">
        <v>3</v>
      </c>
      <c r="AA3680" s="223">
        <v>0.83</v>
      </c>
      <c r="AB3680" s="152"/>
      <c r="AC3680" s="152"/>
      <c r="AD3680" s="223"/>
      <c r="AE3680" s="223"/>
      <c r="AF3680" s="223"/>
      <c r="AG3680" s="223"/>
      <c r="AH3680" s="341"/>
      <c r="AI3680" s="218"/>
      <c r="AJ3680" s="218"/>
      <c r="AK3680" s="153"/>
      <c r="AL3680" s="152"/>
      <c r="AM3680" s="152"/>
      <c r="AN3680" s="152"/>
      <c r="AO3680" s="152"/>
      <c r="AP3680" s="152"/>
      <c r="AQ3680" s="152"/>
      <c r="AR3680" s="152"/>
      <c r="AS3680" s="152"/>
      <c r="AT3680" s="152"/>
      <c r="AU3680" s="153"/>
      <c r="AV3680" s="479"/>
      <c r="AW3680" s="479"/>
      <c r="AX3680" s="442"/>
      <c r="AY3680" s="153"/>
      <c r="AZ3680" s="152"/>
      <c r="BA3680" s="152"/>
      <c r="BB3680" s="152"/>
      <c r="BC3680" s="152"/>
      <c r="BD3680" s="152"/>
      <c r="BE3680" s="152"/>
      <c r="BF3680" s="152"/>
      <c r="BG3680" s="152"/>
      <c r="BH3680" s="152"/>
      <c r="BI3680" s="153"/>
      <c r="BJ3680" s="153"/>
      <c r="BK3680" s="153"/>
      <c r="BL3680" s="153"/>
      <c r="BM3680" s="153"/>
      <c r="BN3680" s="153"/>
      <c r="BO3680" s="153"/>
      <c r="BP3680" s="153"/>
      <c r="BQ3680" s="153"/>
      <c r="BR3680" s="153"/>
      <c r="BS3680" s="153"/>
      <c r="BT3680" s="153"/>
      <c r="BU3680" s="153"/>
      <c r="BV3680" s="153"/>
      <c r="BW3680" s="153"/>
      <c r="BX3680" s="153"/>
      <c r="BY3680" s="153"/>
      <c r="BZ3680" s="153"/>
      <c r="CA3680" s="152"/>
      <c r="CB3680" s="152"/>
    </row>
    <row r="3681" spans="1:80" s="87" customFormat="1" ht="15" x14ac:dyDescent="0.25">
      <c r="A3681" s="152"/>
      <c r="B3681" s="683"/>
      <c r="C3681" s="683"/>
      <c r="D3681" s="698"/>
      <c r="E3681" s="215"/>
      <c r="F3681" s="215"/>
      <c r="G3681" s="153"/>
      <c r="H3681" s="153"/>
      <c r="I3681" s="320">
        <v>20</v>
      </c>
      <c r="J3681" s="320">
        <v>15</v>
      </c>
      <c r="K3681" s="150">
        <v>1</v>
      </c>
      <c r="L3681" s="656">
        <v>5</v>
      </c>
      <c r="M3681" s="663">
        <v>35035</v>
      </c>
      <c r="N3681" s="600">
        <v>620.048</v>
      </c>
      <c r="O3681" s="604">
        <v>2.2145959999999998</v>
      </c>
      <c r="P3681" s="150"/>
      <c r="Q3681" s="250"/>
      <c r="R3681" s="250"/>
      <c r="S3681" s="250">
        <v>5.0000000000000001E-3</v>
      </c>
      <c r="T3681" s="250">
        <v>2.1000000000000001E-2</v>
      </c>
      <c r="U3681" s="250">
        <v>0.04</v>
      </c>
      <c r="V3681" s="250">
        <v>0.32400000000000001</v>
      </c>
      <c r="W3681" s="250">
        <v>0.42399999999999999</v>
      </c>
      <c r="X3681" s="250">
        <v>0.17699999999999999</v>
      </c>
      <c r="Y3681" s="250">
        <v>9.0000000000000011E-3</v>
      </c>
      <c r="Z3681" s="150">
        <v>10</v>
      </c>
      <c r="AA3681" s="223">
        <v>0.84</v>
      </c>
      <c r="AB3681" s="152"/>
      <c r="AC3681" s="152"/>
      <c r="AD3681" s="223">
        <v>92.960949999999997</v>
      </c>
      <c r="AE3681" s="223">
        <v>2.9290319</v>
      </c>
      <c r="AF3681" s="223">
        <v>272.17941999999999</v>
      </c>
      <c r="AG3681" s="223">
        <v>2.3285955999999999</v>
      </c>
      <c r="AH3681" s="341"/>
      <c r="AI3681" s="218"/>
      <c r="AJ3681" s="218"/>
      <c r="AK3681" s="153"/>
      <c r="AL3681" s="152"/>
      <c r="AM3681" s="152"/>
      <c r="AN3681" s="152"/>
      <c r="AO3681" s="152"/>
      <c r="AP3681" s="152"/>
      <c r="AQ3681" s="152"/>
      <c r="AR3681" s="152"/>
      <c r="AS3681" s="152"/>
      <c r="AT3681" s="152"/>
      <c r="AU3681" s="153"/>
      <c r="AV3681" s="479"/>
      <c r="AW3681" s="479"/>
      <c r="AX3681" s="442"/>
      <c r="AY3681" s="153"/>
      <c r="AZ3681" s="152"/>
      <c r="BA3681" s="152"/>
      <c r="BB3681" s="152"/>
      <c r="BC3681" s="152"/>
      <c r="BD3681" s="152"/>
      <c r="BE3681" s="152"/>
      <c r="BF3681" s="152"/>
      <c r="BG3681" s="152"/>
      <c r="BH3681" s="152"/>
      <c r="BI3681" s="153"/>
      <c r="BJ3681" s="153"/>
      <c r="BK3681" s="153"/>
      <c r="BL3681" s="153"/>
      <c r="BM3681" s="153"/>
      <c r="BN3681" s="153"/>
      <c r="BO3681" s="153"/>
      <c r="BP3681" s="153"/>
      <c r="BQ3681" s="153"/>
      <c r="BR3681" s="153"/>
      <c r="BS3681" s="153"/>
      <c r="BT3681" s="153"/>
      <c r="BU3681" s="153"/>
      <c r="BV3681" s="153"/>
      <c r="BW3681" s="153"/>
      <c r="BX3681" s="153"/>
      <c r="BY3681" s="153"/>
      <c r="BZ3681" s="153"/>
      <c r="CA3681" s="152"/>
      <c r="CB3681" s="152"/>
    </row>
    <row r="3682" spans="1:80" s="87" customFormat="1" ht="15" x14ac:dyDescent="0.25">
      <c r="A3682" s="152"/>
      <c r="B3682" s="683"/>
      <c r="C3682" s="683"/>
      <c r="D3682" s="698"/>
      <c r="E3682" s="215"/>
      <c r="F3682" s="215"/>
      <c r="G3682" s="153"/>
      <c r="H3682" s="153"/>
      <c r="I3682" s="320">
        <v>20</v>
      </c>
      <c r="J3682" s="320">
        <v>15</v>
      </c>
      <c r="K3682" s="150">
        <v>1</v>
      </c>
      <c r="L3682" s="656">
        <v>5</v>
      </c>
      <c r="M3682" s="663">
        <v>35035</v>
      </c>
      <c r="N3682" s="600">
        <v>614.38599999999997</v>
      </c>
      <c r="O3682" s="604">
        <v>2.0256729999999998</v>
      </c>
      <c r="P3682" s="150"/>
      <c r="Q3682" s="250"/>
      <c r="R3682" s="250"/>
      <c r="S3682" s="250">
        <v>2E-3</v>
      </c>
      <c r="T3682" s="250">
        <v>2E-3</v>
      </c>
      <c r="U3682" s="250">
        <v>2.9000000000000001E-2</v>
      </c>
      <c r="V3682" s="250">
        <v>0.315</v>
      </c>
      <c r="W3682" s="250">
        <v>0.47</v>
      </c>
      <c r="X3682" s="250">
        <v>0.17399999999999999</v>
      </c>
      <c r="Y3682" s="250">
        <v>8.0000000000000002E-3</v>
      </c>
      <c r="Z3682" s="150">
        <v>8</v>
      </c>
      <c r="AA3682" s="223">
        <v>0.8</v>
      </c>
      <c r="AB3682" s="152"/>
      <c r="AC3682" s="152"/>
      <c r="AD3682" s="223">
        <v>92.960949999999997</v>
      </c>
      <c r="AE3682" s="223">
        <v>2.9290319</v>
      </c>
      <c r="AF3682" s="223">
        <v>272.17941999999999</v>
      </c>
      <c r="AG3682" s="223">
        <v>2.3285955999999999</v>
      </c>
      <c r="AH3682" s="341"/>
      <c r="AI3682" s="218"/>
      <c r="AJ3682" s="218"/>
      <c r="AK3682" s="153"/>
      <c r="AL3682" s="152"/>
      <c r="AM3682" s="152"/>
      <c r="AN3682" s="152"/>
      <c r="AO3682" s="152"/>
      <c r="AP3682" s="152"/>
      <c r="AQ3682" s="152"/>
      <c r="AR3682" s="152"/>
      <c r="AS3682" s="152"/>
      <c r="AT3682" s="152"/>
      <c r="AU3682" s="153"/>
      <c r="AV3682" s="479"/>
      <c r="AW3682" s="479"/>
      <c r="AX3682" s="442"/>
      <c r="AY3682" s="153"/>
      <c r="AZ3682" s="152"/>
      <c r="BA3682" s="152"/>
      <c r="BB3682" s="152"/>
      <c r="BC3682" s="152"/>
      <c r="BD3682" s="152"/>
      <c r="BE3682" s="152"/>
      <c r="BF3682" s="152"/>
      <c r="BG3682" s="152"/>
      <c r="BH3682" s="152"/>
      <c r="BI3682" s="153"/>
      <c r="BJ3682" s="153"/>
      <c r="BK3682" s="153"/>
      <c r="BL3682" s="153"/>
      <c r="BM3682" s="153"/>
      <c r="BN3682" s="153"/>
      <c r="BO3682" s="153"/>
      <c r="BP3682" s="153"/>
      <c r="BQ3682" s="153"/>
      <c r="BR3682" s="153"/>
      <c r="BS3682" s="153"/>
      <c r="BT3682" s="153"/>
      <c r="BU3682" s="153"/>
      <c r="BV3682" s="153"/>
      <c r="BW3682" s="153"/>
      <c r="BX3682" s="153"/>
      <c r="BY3682" s="153"/>
      <c r="BZ3682" s="153"/>
      <c r="CA3682" s="152"/>
      <c r="CB3682" s="152"/>
    </row>
    <row r="3683" spans="1:80" s="87" customFormat="1" ht="15" x14ac:dyDescent="0.25">
      <c r="A3683" s="152"/>
      <c r="B3683" s="683"/>
      <c r="C3683" s="683"/>
      <c r="D3683" s="698"/>
      <c r="E3683" s="215"/>
      <c r="F3683" s="215"/>
      <c r="G3683" s="153"/>
      <c r="H3683" s="153"/>
      <c r="I3683" s="320">
        <v>20</v>
      </c>
      <c r="J3683" s="320">
        <v>30</v>
      </c>
      <c r="K3683" s="150">
        <v>1</v>
      </c>
      <c r="L3683" s="656">
        <v>10</v>
      </c>
      <c r="M3683" s="663">
        <v>35036</v>
      </c>
      <c r="N3683" s="600">
        <v>458.666</v>
      </c>
      <c r="O3683" s="604">
        <v>0.69481599999999999</v>
      </c>
      <c r="P3683" s="150"/>
      <c r="Q3683" s="250"/>
      <c r="R3683" s="250"/>
      <c r="S3683" s="250"/>
      <c r="T3683" s="250">
        <v>1.4999999999999999E-2</v>
      </c>
      <c r="U3683" s="250">
        <v>5.0999999999999997E-2</v>
      </c>
      <c r="V3683" s="250">
        <v>0.36099999999999999</v>
      </c>
      <c r="W3683" s="250">
        <v>0.38700000000000001</v>
      </c>
      <c r="X3683" s="250">
        <v>0.17199999999999999</v>
      </c>
      <c r="Y3683" s="250">
        <v>1.3999999999999999E-2</v>
      </c>
      <c r="Z3683" s="150">
        <v>6</v>
      </c>
      <c r="AA3683" s="223">
        <v>0.88</v>
      </c>
      <c r="AB3683" s="152"/>
      <c r="AC3683" s="152"/>
      <c r="AD3683" s="223"/>
      <c r="AE3683" s="223"/>
      <c r="AF3683" s="223"/>
      <c r="AG3683" s="223"/>
      <c r="AH3683" s="341"/>
      <c r="AI3683" s="218"/>
      <c r="AJ3683" s="218"/>
      <c r="AK3683" s="153"/>
      <c r="AL3683" s="152"/>
      <c r="AM3683" s="152"/>
      <c r="AN3683" s="152"/>
      <c r="AO3683" s="152"/>
      <c r="AP3683" s="152"/>
      <c r="AQ3683" s="152"/>
      <c r="AR3683" s="152"/>
      <c r="AS3683" s="152"/>
      <c r="AT3683" s="152"/>
      <c r="AU3683" s="153"/>
      <c r="AV3683" s="479"/>
      <c r="AW3683" s="479"/>
      <c r="AX3683" s="442"/>
      <c r="AY3683" s="153"/>
      <c r="AZ3683" s="152"/>
      <c r="BA3683" s="152"/>
      <c r="BB3683" s="152"/>
      <c r="BC3683" s="152"/>
      <c r="BD3683" s="152"/>
      <c r="BE3683" s="152"/>
      <c r="BF3683" s="152"/>
      <c r="BG3683" s="152"/>
      <c r="BH3683" s="152"/>
      <c r="BI3683" s="153"/>
      <c r="BJ3683" s="153"/>
      <c r="BK3683" s="153"/>
      <c r="BL3683" s="153"/>
      <c r="BM3683" s="153"/>
      <c r="BN3683" s="153"/>
      <c r="BO3683" s="153"/>
      <c r="BP3683" s="153"/>
      <c r="BQ3683" s="153"/>
      <c r="BR3683" s="153"/>
      <c r="BS3683" s="153"/>
      <c r="BT3683" s="153"/>
      <c r="BU3683" s="153"/>
      <c r="BV3683" s="153"/>
      <c r="BW3683" s="153"/>
      <c r="BX3683" s="153"/>
      <c r="BY3683" s="153"/>
      <c r="BZ3683" s="153"/>
      <c r="CA3683" s="152"/>
      <c r="CB3683" s="152"/>
    </row>
    <row r="3684" spans="1:80" s="87" customFormat="1" ht="15" x14ac:dyDescent="0.25">
      <c r="A3684" s="152"/>
      <c r="B3684" s="683"/>
      <c r="C3684" s="683"/>
      <c r="D3684" s="698"/>
      <c r="E3684" s="215"/>
      <c r="F3684" s="215"/>
      <c r="G3684" s="153"/>
      <c r="H3684" s="153"/>
      <c r="I3684" s="320">
        <v>20</v>
      </c>
      <c r="J3684" s="320">
        <v>30</v>
      </c>
      <c r="K3684" s="150">
        <v>1</v>
      </c>
      <c r="L3684" s="656">
        <v>10</v>
      </c>
      <c r="M3684" s="663">
        <v>35036</v>
      </c>
      <c r="N3684" s="600">
        <v>458.666</v>
      </c>
      <c r="O3684" s="604">
        <v>0.63604000000000005</v>
      </c>
      <c r="P3684" s="150"/>
      <c r="Q3684" s="250"/>
      <c r="R3684" s="250"/>
      <c r="S3684" s="250"/>
      <c r="T3684" s="250">
        <v>1.7999999999999999E-2</v>
      </c>
      <c r="U3684" s="250">
        <v>4.1000000000000002E-2</v>
      </c>
      <c r="V3684" s="250">
        <v>0.308</v>
      </c>
      <c r="W3684" s="250">
        <v>0.41899999999999998</v>
      </c>
      <c r="X3684" s="250">
        <v>0.2</v>
      </c>
      <c r="Y3684" s="250">
        <v>1.3999999999999999E-2</v>
      </c>
      <c r="Z3684" s="150">
        <v>5</v>
      </c>
      <c r="AA3684" s="223">
        <v>0.8</v>
      </c>
      <c r="AB3684" s="152"/>
      <c r="AC3684" s="152"/>
      <c r="AD3684" s="223"/>
      <c r="AE3684" s="223"/>
      <c r="AF3684" s="223"/>
      <c r="AG3684" s="223"/>
      <c r="AH3684" s="341"/>
      <c r="AI3684" s="218"/>
      <c r="AJ3684" s="218"/>
      <c r="AK3684" s="153"/>
      <c r="AL3684" s="152"/>
      <c r="AM3684" s="152"/>
      <c r="AN3684" s="152"/>
      <c r="AO3684" s="152"/>
      <c r="AP3684" s="152"/>
      <c r="AQ3684" s="152"/>
      <c r="AR3684" s="152"/>
      <c r="AS3684" s="152"/>
      <c r="AT3684" s="152"/>
      <c r="AU3684" s="153"/>
      <c r="AV3684" s="479"/>
      <c r="AW3684" s="479"/>
      <c r="AX3684" s="442"/>
      <c r="AY3684" s="153"/>
      <c r="AZ3684" s="152"/>
      <c r="BA3684" s="152"/>
      <c r="BB3684" s="152"/>
      <c r="BC3684" s="152"/>
      <c r="BD3684" s="152"/>
      <c r="BE3684" s="152"/>
      <c r="BF3684" s="152"/>
      <c r="BG3684" s="152"/>
      <c r="BH3684" s="152"/>
      <c r="BI3684" s="153"/>
      <c r="BJ3684" s="153"/>
      <c r="BK3684" s="153"/>
      <c r="BL3684" s="153"/>
      <c r="BM3684" s="153"/>
      <c r="BN3684" s="153"/>
      <c r="BO3684" s="153"/>
      <c r="BP3684" s="153"/>
      <c r="BQ3684" s="153"/>
      <c r="BR3684" s="153"/>
      <c r="BS3684" s="153"/>
      <c r="BT3684" s="153"/>
      <c r="BU3684" s="153"/>
      <c r="BV3684" s="153"/>
      <c r="BW3684" s="153"/>
      <c r="BX3684" s="153"/>
      <c r="BY3684" s="153"/>
      <c r="BZ3684" s="153"/>
      <c r="CA3684" s="152"/>
      <c r="CB3684" s="152"/>
    </row>
    <row r="3685" spans="1:80" s="87" customFormat="1" ht="15" x14ac:dyDescent="0.25">
      <c r="A3685" s="152"/>
      <c r="B3685" s="683"/>
      <c r="C3685" s="683"/>
      <c r="D3685" s="698"/>
      <c r="E3685" s="215"/>
      <c r="F3685" s="215"/>
      <c r="G3685" s="153"/>
      <c r="H3685" s="153"/>
      <c r="I3685" s="320">
        <v>28</v>
      </c>
      <c r="J3685" s="320">
        <v>30</v>
      </c>
      <c r="K3685" s="150">
        <v>1</v>
      </c>
      <c r="L3685" s="656">
        <v>14</v>
      </c>
      <c r="M3685" s="663">
        <v>35568</v>
      </c>
      <c r="N3685" s="600">
        <v>1067.3900000000001</v>
      </c>
      <c r="O3685" s="604">
        <v>1.8367500000000001</v>
      </c>
      <c r="P3685" s="250">
        <v>0.24099999999999999</v>
      </c>
      <c r="Q3685" s="250">
        <v>0.33800000000000002</v>
      </c>
      <c r="R3685" s="250">
        <v>2.7E-2</v>
      </c>
      <c r="S3685" s="250">
        <v>1.4E-2</v>
      </c>
      <c r="T3685" s="250">
        <v>0.02</v>
      </c>
      <c r="U3685" s="250">
        <v>1.7999999999999999E-2</v>
      </c>
      <c r="V3685" s="250">
        <v>5.7999999999999996E-2</v>
      </c>
      <c r="W3685" s="250">
        <v>0.183</v>
      </c>
      <c r="X3685" s="250">
        <v>0.1</v>
      </c>
      <c r="Y3685" s="250">
        <v>1E-3</v>
      </c>
      <c r="Z3685" s="150">
        <v>55</v>
      </c>
      <c r="AA3685" s="223">
        <v>21.776113044658793</v>
      </c>
      <c r="AB3685" s="152"/>
      <c r="AC3685" s="152"/>
      <c r="AD3685" s="223"/>
      <c r="AE3685" s="223"/>
      <c r="AF3685" s="223"/>
      <c r="AG3685" s="223"/>
      <c r="AH3685" s="341"/>
      <c r="AI3685" s="218"/>
      <c r="AJ3685" s="218"/>
      <c r="AK3685" s="153"/>
      <c r="AL3685" s="152"/>
      <c r="AM3685" s="152"/>
      <c r="AN3685" s="152"/>
      <c r="AO3685" s="152"/>
      <c r="AP3685" s="152"/>
      <c r="AQ3685" s="152"/>
      <c r="AR3685" s="152"/>
      <c r="AS3685" s="152"/>
      <c r="AT3685" s="152"/>
      <c r="AU3685" s="153"/>
      <c r="AV3685" s="479"/>
      <c r="AW3685" s="479"/>
      <c r="AX3685" s="442"/>
      <c r="AY3685" s="153"/>
      <c r="AZ3685" s="152"/>
      <c r="BA3685" s="152"/>
      <c r="BB3685" s="152"/>
      <c r="BC3685" s="152"/>
      <c r="BD3685" s="152"/>
      <c r="BE3685" s="152"/>
      <c r="BF3685" s="152"/>
      <c r="BG3685" s="152"/>
      <c r="BH3685" s="152"/>
      <c r="BI3685" s="153"/>
      <c r="BJ3685" s="153"/>
      <c r="BK3685" s="153"/>
      <c r="BL3685" s="153"/>
      <c r="BM3685" s="153"/>
      <c r="BN3685" s="153"/>
      <c r="BO3685" s="153"/>
      <c r="BP3685" s="153"/>
      <c r="BQ3685" s="153"/>
      <c r="BR3685" s="153"/>
      <c r="BS3685" s="153"/>
      <c r="BT3685" s="153"/>
      <c r="BU3685" s="153"/>
      <c r="BV3685" s="153"/>
      <c r="BW3685" s="153"/>
      <c r="BX3685" s="153"/>
      <c r="BY3685" s="153"/>
      <c r="BZ3685" s="153"/>
      <c r="CA3685" s="152"/>
      <c r="CB3685" s="152"/>
    </row>
    <row r="3686" spans="1:80" s="87" customFormat="1" ht="15" x14ac:dyDescent="0.25">
      <c r="A3686" s="152"/>
      <c r="B3686" s="683"/>
      <c r="C3686" s="683"/>
      <c r="D3686" s="698"/>
      <c r="E3686" s="215"/>
      <c r="F3686" s="215"/>
      <c r="G3686" s="153"/>
      <c r="H3686" s="153"/>
      <c r="I3686" s="320">
        <v>28</v>
      </c>
      <c r="J3686" s="320">
        <v>30</v>
      </c>
      <c r="K3686" s="150">
        <v>1</v>
      </c>
      <c r="L3686" s="656">
        <v>14</v>
      </c>
      <c r="M3686" s="663">
        <v>35568</v>
      </c>
      <c r="N3686" s="600">
        <v>1047.57</v>
      </c>
      <c r="O3686" s="604">
        <v>3.8624230000000002</v>
      </c>
      <c r="P3686" s="250">
        <v>0.40500000000000003</v>
      </c>
      <c r="Q3686" s="250">
        <v>0.29799999999999999</v>
      </c>
      <c r="R3686" s="250">
        <v>8.7999999999999995E-2</v>
      </c>
      <c r="S3686" s="250">
        <v>4.8000000000000001E-2</v>
      </c>
      <c r="T3686" s="250">
        <v>1.4E-2</v>
      </c>
      <c r="U3686" s="250">
        <v>1.9E-2</v>
      </c>
      <c r="V3686" s="250">
        <v>3.7999999999999999E-2</v>
      </c>
      <c r="W3686" s="250">
        <v>5.7999999999999996E-2</v>
      </c>
      <c r="X3686" s="250">
        <v>3.1E-2</v>
      </c>
      <c r="Y3686" s="250">
        <v>1E-3</v>
      </c>
      <c r="Z3686" s="150">
        <v>82</v>
      </c>
      <c r="AA3686" s="223">
        <v>56.196801196805062</v>
      </c>
      <c r="AB3686" s="152"/>
      <c r="AC3686" s="152"/>
      <c r="AD3686" s="223"/>
      <c r="AE3686" s="223"/>
      <c r="AF3686" s="223"/>
      <c r="AG3686" s="223"/>
      <c r="AH3686" s="341"/>
      <c r="AI3686" s="218"/>
      <c r="AJ3686" s="218"/>
      <c r="AK3686" s="153"/>
      <c r="AL3686" s="152"/>
      <c r="AM3686" s="152"/>
      <c r="AN3686" s="152"/>
      <c r="AO3686" s="152"/>
      <c r="AP3686" s="152"/>
      <c r="AQ3686" s="152"/>
      <c r="AR3686" s="152"/>
      <c r="AS3686" s="152"/>
      <c r="AT3686" s="152"/>
      <c r="AU3686" s="153"/>
      <c r="AV3686" s="479"/>
      <c r="AW3686" s="479"/>
      <c r="AX3686" s="442"/>
      <c r="AY3686" s="153"/>
      <c r="AZ3686" s="152"/>
      <c r="BA3686" s="152"/>
      <c r="BB3686" s="152"/>
      <c r="BC3686" s="152"/>
      <c r="BD3686" s="152"/>
      <c r="BE3686" s="152"/>
      <c r="BF3686" s="152"/>
      <c r="BG3686" s="152"/>
      <c r="BH3686" s="152"/>
      <c r="BI3686" s="153"/>
      <c r="BJ3686" s="153"/>
      <c r="BK3686" s="153"/>
      <c r="BL3686" s="153"/>
      <c r="BM3686" s="153"/>
      <c r="BN3686" s="153"/>
      <c r="BO3686" s="153"/>
      <c r="BP3686" s="153"/>
      <c r="BQ3686" s="153"/>
      <c r="BR3686" s="153"/>
      <c r="BS3686" s="153"/>
      <c r="BT3686" s="153"/>
      <c r="BU3686" s="153"/>
      <c r="BV3686" s="153"/>
      <c r="BW3686" s="153"/>
      <c r="BX3686" s="153"/>
      <c r="BY3686" s="153"/>
      <c r="BZ3686" s="153"/>
      <c r="CA3686" s="152"/>
      <c r="CB3686" s="152"/>
    </row>
    <row r="3687" spans="1:80" ht="15" x14ac:dyDescent="0.25">
      <c r="A3687" s="9" t="s">
        <v>204</v>
      </c>
      <c r="B3687" s="639" t="s">
        <v>66</v>
      </c>
      <c r="C3687" s="639" t="s">
        <v>603</v>
      </c>
      <c r="D3687" s="4">
        <f>VLOOKUP(E3687,'Quality Code'!D4:E24,2,TRUE)*VLOOKUP(MROUND(F3687,10),'Quality Code'!D28:E69,2,TRUE)*VLOOKUP(COUNTA(CB3687:CB3697),'Quality Code'!D73:E93,2,TRUE)</f>
        <v>3.15</v>
      </c>
      <c r="E3687" s="14">
        <v>0.9</v>
      </c>
      <c r="F3687" s="18">
        <v>72</v>
      </c>
      <c r="G3687" s="12">
        <v>1163.57</v>
      </c>
      <c r="H3687" s="2" t="s">
        <v>231</v>
      </c>
      <c r="I3687" s="10"/>
      <c r="J3687" s="10" t="s">
        <v>283</v>
      </c>
      <c r="K3687" s="10"/>
      <c r="L3687" s="640" t="s">
        <v>284</v>
      </c>
      <c r="M3687" s="640" t="s">
        <v>838</v>
      </c>
      <c r="N3687" s="579" t="s">
        <v>285</v>
      </c>
      <c r="O3687" s="579"/>
      <c r="P3687" s="10" t="s">
        <v>64</v>
      </c>
      <c r="Q3687" s="10" t="s">
        <v>64</v>
      </c>
      <c r="R3687" s="10" t="s">
        <v>64</v>
      </c>
      <c r="S3687" s="10" t="s">
        <v>64</v>
      </c>
      <c r="T3687" s="10" t="s">
        <v>64</v>
      </c>
      <c r="U3687" s="10" t="s">
        <v>64</v>
      </c>
      <c r="V3687" s="10"/>
      <c r="W3687" s="10"/>
      <c r="X3687" s="10"/>
      <c r="Y3687" s="10"/>
      <c r="Z3687" s="11"/>
      <c r="AA3687" s="81"/>
      <c r="AB3687" s="81"/>
      <c r="AC3687" s="116">
        <v>4.0000000000000001E-3</v>
      </c>
      <c r="AD3687" s="11"/>
      <c r="AE3687" s="11"/>
      <c r="AF3687" s="10"/>
      <c r="AG3687" s="10"/>
      <c r="AH3687" s="345" t="s">
        <v>356</v>
      </c>
      <c r="AI3687" s="18">
        <v>19.8</v>
      </c>
      <c r="AJ3687" s="17">
        <v>1</v>
      </c>
      <c r="AK3687" s="17">
        <v>0.94103781138799025</v>
      </c>
      <c r="AL3687" s="17">
        <v>0.81534567343060027</v>
      </c>
      <c r="AM3687" s="17">
        <v>0.62912517330025808</v>
      </c>
      <c r="AN3687" s="17">
        <v>0.44029641249699708</v>
      </c>
      <c r="AO3687" s="17">
        <v>0.28911415587497669</v>
      </c>
      <c r="AP3687" s="17">
        <v>0.20497085885760177</v>
      </c>
      <c r="AQ3687" s="17">
        <v>0.13963963407390143</v>
      </c>
      <c r="AR3687" s="17">
        <v>8.7300000000000003E-2</v>
      </c>
      <c r="AS3687" s="17">
        <v>4.1700000000000001E-2</v>
      </c>
      <c r="AT3687" s="17">
        <v>9.7999999999999997E-3</v>
      </c>
      <c r="AU3687" s="18">
        <v>95.25</v>
      </c>
      <c r="AV3687" s="17">
        <v>1</v>
      </c>
      <c r="AW3687" s="17">
        <v>0.99099999999999999</v>
      </c>
      <c r="AX3687" s="17">
        <v>0.91290000000000004</v>
      </c>
      <c r="AY3687" s="17">
        <v>0.63959999999999995</v>
      </c>
      <c r="AZ3687" s="17">
        <v>0.35439999999999999</v>
      </c>
      <c r="BA3687" s="17">
        <v>0.19520000000000001</v>
      </c>
      <c r="BB3687" s="17">
        <v>0.1239</v>
      </c>
      <c r="BC3687" s="17">
        <v>9.6100000000000005E-2</v>
      </c>
      <c r="BD3687" s="17">
        <v>9.01E-2</v>
      </c>
      <c r="BE3687" s="17">
        <v>7.8100000000000003E-2</v>
      </c>
      <c r="BF3687" s="17"/>
      <c r="BG3687" s="17"/>
      <c r="BH3687" s="17"/>
      <c r="BI3687" s="4">
        <f>AU3687/AI3687</f>
        <v>4.8106060606060606</v>
      </c>
      <c r="BJ3687" s="2" t="s">
        <v>68</v>
      </c>
      <c r="BK3687" s="2" t="s">
        <v>175</v>
      </c>
      <c r="BL3687" s="12"/>
      <c r="BM3687" s="12">
        <v>86.353700000000003</v>
      </c>
      <c r="BN3687" s="12">
        <v>41.451439999999998</v>
      </c>
      <c r="BO3687" s="12">
        <v>1.026410804</v>
      </c>
      <c r="BP3687" s="12">
        <v>42.545451999999997</v>
      </c>
      <c r="BQ3687" s="12">
        <f>BN3687/BO3687</f>
        <v>40.384843805677633</v>
      </c>
      <c r="BR3687" s="12" t="s">
        <v>29</v>
      </c>
      <c r="BS3687" s="18">
        <v>4</v>
      </c>
      <c r="BT3687" s="12">
        <v>1.2801180000000001</v>
      </c>
      <c r="BU3687" s="2"/>
      <c r="BV3687" s="2"/>
      <c r="BW3687" s="2"/>
      <c r="BX3687" s="2"/>
      <c r="BY3687" s="2"/>
      <c r="BZ3687" s="2"/>
      <c r="CA3687" s="381"/>
      <c r="CB3687" s="9" t="s">
        <v>224</v>
      </c>
    </row>
    <row r="3688" spans="1:80" s="87" customFormat="1" ht="15" x14ac:dyDescent="0.25">
      <c r="A3688" s="152"/>
      <c r="B3688" s="683"/>
      <c r="C3688" s="683"/>
      <c r="D3688" s="698"/>
      <c r="E3688" s="215"/>
      <c r="F3688" s="215"/>
      <c r="G3688" s="153"/>
      <c r="H3688" s="153"/>
      <c r="I3688" s="320">
        <v>21</v>
      </c>
      <c r="J3688" s="320">
        <v>60</v>
      </c>
      <c r="K3688" s="222">
        <v>1</v>
      </c>
      <c r="L3688" s="658">
        <v>21</v>
      </c>
      <c r="M3688" s="663">
        <v>34442</v>
      </c>
      <c r="N3688" s="600">
        <v>23.952500000000001</v>
      </c>
      <c r="O3688" s="604">
        <v>5.7097000000000002E-2</v>
      </c>
      <c r="P3688" s="250"/>
      <c r="Q3688" s="250"/>
      <c r="R3688" s="250"/>
      <c r="S3688" s="250"/>
      <c r="T3688" s="250"/>
      <c r="U3688" s="250">
        <v>4.0000000000000001E-3</v>
      </c>
      <c r="V3688" s="250">
        <v>6.7000000000000004E-2</v>
      </c>
      <c r="W3688" s="250">
        <v>0.311</v>
      </c>
      <c r="X3688" s="250">
        <v>0.52800000000000002</v>
      </c>
      <c r="Y3688" s="250">
        <v>0.09</v>
      </c>
      <c r="Z3688" s="150"/>
      <c r="AA3688" s="150">
        <v>0.43</v>
      </c>
      <c r="AB3688" s="152"/>
      <c r="AC3688" s="152"/>
      <c r="AD3688" s="223"/>
      <c r="AE3688" s="223"/>
      <c r="AF3688" s="223"/>
      <c r="AG3688" s="223"/>
      <c r="AH3688" s="341"/>
      <c r="AI3688" s="218"/>
      <c r="AJ3688" s="218"/>
      <c r="AK3688" s="153"/>
      <c r="AL3688" s="152"/>
      <c r="AM3688" s="152"/>
      <c r="AN3688" s="152"/>
      <c r="AO3688" s="152"/>
      <c r="AP3688" s="152"/>
      <c r="AQ3688" s="152"/>
      <c r="AR3688" s="152"/>
      <c r="AS3688" s="152"/>
      <c r="AT3688" s="152"/>
      <c r="AU3688" s="153"/>
      <c r="AV3688" s="479"/>
      <c r="AW3688" s="479"/>
      <c r="AX3688" s="442"/>
      <c r="AY3688" s="153"/>
      <c r="AZ3688" s="152"/>
      <c r="BA3688" s="152"/>
      <c r="BB3688" s="152"/>
      <c r="BC3688" s="152"/>
      <c r="BD3688" s="152"/>
      <c r="BE3688" s="152"/>
      <c r="BF3688" s="152"/>
      <c r="BG3688" s="152"/>
      <c r="BH3688" s="152"/>
      <c r="BI3688" s="153"/>
      <c r="BJ3688" s="153"/>
      <c r="BK3688" s="153"/>
      <c r="BL3688" s="153"/>
      <c r="BM3688" s="153"/>
      <c r="BN3688" s="153"/>
      <c r="BO3688" s="153"/>
      <c r="BP3688" s="153"/>
      <c r="BQ3688" s="153"/>
      <c r="BR3688" s="153"/>
      <c r="BS3688" s="153"/>
      <c r="BT3688" s="153"/>
      <c r="BU3688" s="153"/>
      <c r="BV3688" s="153"/>
      <c r="BW3688" s="153"/>
      <c r="BX3688" s="153"/>
      <c r="BY3688" s="153"/>
      <c r="BZ3688" s="153"/>
      <c r="CA3688" s="152"/>
      <c r="CB3688" s="486" t="s">
        <v>638</v>
      </c>
    </row>
    <row r="3689" spans="1:80" s="87" customFormat="1" ht="15" x14ac:dyDescent="0.25">
      <c r="A3689" s="152"/>
      <c r="B3689" s="683"/>
      <c r="C3689" s="683"/>
      <c r="D3689" s="698"/>
      <c r="E3689" s="215"/>
      <c r="F3689" s="215"/>
      <c r="G3689" s="153"/>
      <c r="H3689" s="153"/>
      <c r="I3689" s="320">
        <v>21</v>
      </c>
      <c r="J3689" s="320">
        <v>60</v>
      </c>
      <c r="K3689" s="222">
        <v>1</v>
      </c>
      <c r="L3689" s="658">
        <v>21</v>
      </c>
      <c r="M3689" s="663">
        <v>34442</v>
      </c>
      <c r="N3689" s="600">
        <v>23.952500000000001</v>
      </c>
      <c r="O3689" s="604">
        <v>0.132246</v>
      </c>
      <c r="P3689" s="250"/>
      <c r="Q3689" s="250"/>
      <c r="R3689" s="250">
        <v>0.44700000000000001</v>
      </c>
      <c r="S3689" s="250">
        <v>7.0999999999999994E-2</v>
      </c>
      <c r="T3689" s="250">
        <v>8.6999999999999994E-2</v>
      </c>
      <c r="U3689" s="250">
        <v>1.1000000000000001E-2</v>
      </c>
      <c r="V3689" s="250">
        <v>0.05</v>
      </c>
      <c r="W3689" s="250">
        <v>0.128</v>
      </c>
      <c r="X3689" s="250">
        <v>0.17499999999999999</v>
      </c>
      <c r="Y3689" s="250">
        <v>3.1E-2</v>
      </c>
      <c r="Z3689" s="150"/>
      <c r="AA3689" s="150">
        <v>9.5399999999999991</v>
      </c>
      <c r="AB3689" s="152"/>
      <c r="AC3689" s="152"/>
      <c r="AD3689" s="223"/>
      <c r="AE3689" s="223"/>
      <c r="AF3689" s="223"/>
      <c r="AG3689" s="223"/>
      <c r="AH3689" s="341"/>
      <c r="AI3689" s="218"/>
      <c r="AJ3689" s="218"/>
      <c r="AK3689" s="153"/>
      <c r="AL3689" s="152"/>
      <c r="AM3689" s="152"/>
      <c r="AN3689" s="152"/>
      <c r="AO3689" s="152"/>
      <c r="AP3689" s="152"/>
      <c r="AQ3689" s="152"/>
      <c r="AR3689" s="152"/>
      <c r="AS3689" s="152"/>
      <c r="AT3689" s="152"/>
      <c r="AU3689" s="153"/>
      <c r="AV3689" s="479"/>
      <c r="AW3689" s="479"/>
      <c r="AX3689" s="442"/>
      <c r="AY3689" s="153"/>
      <c r="AZ3689" s="152"/>
      <c r="BA3689" s="152"/>
      <c r="BB3689" s="152"/>
      <c r="BC3689" s="152"/>
      <c r="BD3689" s="152"/>
      <c r="BE3689" s="152"/>
      <c r="BF3689" s="152"/>
      <c r="BG3689" s="152"/>
      <c r="BH3689" s="152"/>
      <c r="BI3689" s="153"/>
      <c r="BJ3689" s="153"/>
      <c r="BK3689" s="153"/>
      <c r="BL3689" s="153"/>
      <c r="BM3689" s="153"/>
      <c r="BN3689" s="153"/>
      <c r="BO3689" s="153"/>
      <c r="BP3689" s="153"/>
      <c r="BQ3689" s="153"/>
      <c r="BR3689" s="153"/>
      <c r="BS3689" s="153"/>
      <c r="BT3689" s="153"/>
      <c r="BU3689" s="153"/>
      <c r="BV3689" s="153"/>
      <c r="BW3689" s="153"/>
      <c r="BX3689" s="153"/>
      <c r="BY3689" s="153"/>
      <c r="BZ3689" s="153"/>
      <c r="CA3689" s="152"/>
      <c r="CB3689" s="486" t="s">
        <v>639</v>
      </c>
    </row>
    <row r="3690" spans="1:80" s="87" customFormat="1" ht="15" x14ac:dyDescent="0.25">
      <c r="A3690" s="152"/>
      <c r="B3690" s="683"/>
      <c r="C3690" s="683"/>
      <c r="D3690" s="698"/>
      <c r="E3690" s="215"/>
      <c r="F3690" s="215"/>
      <c r="G3690" s="153"/>
      <c r="H3690" s="153"/>
      <c r="I3690" s="320">
        <v>20</v>
      </c>
      <c r="J3690" s="320">
        <v>60</v>
      </c>
      <c r="K3690" s="222">
        <v>1</v>
      </c>
      <c r="L3690" s="658">
        <v>20</v>
      </c>
      <c r="M3690" s="663">
        <v>34444</v>
      </c>
      <c r="N3690" s="600">
        <v>35.957099999999997</v>
      </c>
      <c r="O3690" s="604">
        <v>0.35160599999999997</v>
      </c>
      <c r="P3690" s="250"/>
      <c r="Q3690" s="250"/>
      <c r="R3690" s="250"/>
      <c r="S3690" s="250"/>
      <c r="T3690" s="250">
        <v>3.0000000000000001E-3</v>
      </c>
      <c r="U3690" s="250">
        <v>1.6E-2</v>
      </c>
      <c r="V3690" s="250">
        <v>0.18899999999999997</v>
      </c>
      <c r="W3690" s="250">
        <v>0.45</v>
      </c>
      <c r="X3690" s="250">
        <v>0.30499999999999999</v>
      </c>
      <c r="Y3690" s="250">
        <v>3.7000000000000005E-2</v>
      </c>
      <c r="Z3690" s="150"/>
      <c r="AA3690" s="150">
        <v>0.64</v>
      </c>
      <c r="AB3690" s="152"/>
      <c r="AC3690" s="152"/>
      <c r="AD3690" s="223"/>
      <c r="AE3690" s="223"/>
      <c r="AF3690" s="223"/>
      <c r="AG3690" s="223"/>
      <c r="AH3690" s="341"/>
      <c r="AI3690" s="218"/>
      <c r="AJ3690" s="218"/>
      <c r="AK3690" s="153"/>
      <c r="AL3690" s="152"/>
      <c r="AM3690" s="152"/>
      <c r="AN3690" s="152"/>
      <c r="AO3690" s="152"/>
      <c r="AP3690" s="152"/>
      <c r="AQ3690" s="152"/>
      <c r="AR3690" s="152"/>
      <c r="AS3690" s="152"/>
      <c r="AT3690" s="152"/>
      <c r="AU3690" s="153"/>
      <c r="AV3690" s="479"/>
      <c r="AW3690" s="479"/>
      <c r="AX3690" s="442"/>
      <c r="AY3690" s="153"/>
      <c r="AZ3690" s="152"/>
      <c r="BA3690" s="152"/>
      <c r="BB3690" s="152"/>
      <c r="BC3690" s="152"/>
      <c r="BD3690" s="152"/>
      <c r="BE3690" s="152"/>
      <c r="BF3690" s="152"/>
      <c r="BG3690" s="152"/>
      <c r="BH3690" s="152"/>
      <c r="BI3690" s="153"/>
      <c r="BJ3690" s="153"/>
      <c r="BK3690" s="153"/>
      <c r="BL3690" s="153"/>
      <c r="BM3690" s="153"/>
      <c r="BN3690" s="153"/>
      <c r="BO3690" s="153"/>
      <c r="BP3690" s="153"/>
      <c r="BQ3690" s="153"/>
      <c r="BR3690" s="153"/>
      <c r="BS3690" s="153"/>
      <c r="BT3690" s="153"/>
      <c r="BU3690" s="153"/>
      <c r="BV3690" s="153"/>
      <c r="BW3690" s="153"/>
      <c r="BX3690" s="153"/>
      <c r="BY3690" s="153"/>
      <c r="BZ3690" s="153"/>
      <c r="CA3690" s="152"/>
      <c r="CB3690" s="486" t="s">
        <v>640</v>
      </c>
    </row>
    <row r="3691" spans="1:80" s="87" customFormat="1" ht="15" x14ac:dyDescent="0.25">
      <c r="A3691" s="152"/>
      <c r="B3691" s="683"/>
      <c r="C3691" s="683"/>
      <c r="D3691" s="698"/>
      <c r="E3691" s="215"/>
      <c r="F3691" s="215"/>
      <c r="G3691" s="153"/>
      <c r="H3691" s="153"/>
      <c r="I3691" s="320">
        <v>20</v>
      </c>
      <c r="J3691" s="320">
        <v>60</v>
      </c>
      <c r="K3691" s="222">
        <v>1</v>
      </c>
      <c r="L3691" s="658">
        <v>20</v>
      </c>
      <c r="M3691" s="663">
        <v>34444</v>
      </c>
      <c r="N3691" s="600">
        <v>35.957099999999997</v>
      </c>
      <c r="O3691" s="604">
        <v>0.53318200000000004</v>
      </c>
      <c r="P3691" s="250"/>
      <c r="Q3691" s="250"/>
      <c r="R3691" s="250"/>
      <c r="S3691" s="250"/>
      <c r="T3691" s="250">
        <v>3.0000000000000001E-3</v>
      </c>
      <c r="U3691" s="250">
        <v>1.6E-2</v>
      </c>
      <c r="V3691" s="250">
        <v>0.217</v>
      </c>
      <c r="W3691" s="250">
        <v>0.53900000000000003</v>
      </c>
      <c r="X3691" s="250">
        <v>0.20399999999999999</v>
      </c>
      <c r="Y3691" s="250">
        <v>2.1000000000000001E-2</v>
      </c>
      <c r="Z3691" s="150"/>
      <c r="AA3691" s="150">
        <v>0.71</v>
      </c>
      <c r="AB3691" s="152"/>
      <c r="AC3691" s="152"/>
      <c r="AD3691" s="223"/>
      <c r="AE3691" s="223"/>
      <c r="AF3691" s="223"/>
      <c r="AG3691" s="223"/>
      <c r="AH3691" s="341"/>
      <c r="AI3691" s="218"/>
      <c r="AJ3691" s="218"/>
      <c r="AK3691" s="153"/>
      <c r="AL3691" s="152"/>
      <c r="AM3691" s="152"/>
      <c r="AN3691" s="152"/>
      <c r="AO3691" s="152"/>
      <c r="AP3691" s="152"/>
      <c r="AQ3691" s="152"/>
      <c r="AR3691" s="152"/>
      <c r="AS3691" s="152"/>
      <c r="AT3691" s="152"/>
      <c r="AU3691" s="153"/>
      <c r="AV3691" s="479"/>
      <c r="AW3691" s="479"/>
      <c r="AX3691" s="442"/>
      <c r="AY3691" s="153"/>
      <c r="AZ3691" s="152"/>
      <c r="BA3691" s="152"/>
      <c r="BB3691" s="152"/>
      <c r="BC3691" s="152"/>
      <c r="BD3691" s="152"/>
      <c r="BE3691" s="152"/>
      <c r="BF3691" s="152"/>
      <c r="BG3691" s="152"/>
      <c r="BH3691" s="152"/>
      <c r="BI3691" s="153"/>
      <c r="BJ3691" s="153"/>
      <c r="BK3691" s="153"/>
      <c r="BL3691" s="153"/>
      <c r="BM3691" s="153"/>
      <c r="BN3691" s="153"/>
      <c r="BO3691" s="153"/>
      <c r="BP3691" s="153"/>
      <c r="BQ3691" s="153"/>
      <c r="BR3691" s="153"/>
      <c r="BS3691" s="153"/>
      <c r="BT3691" s="153"/>
      <c r="BU3691" s="153"/>
      <c r="BV3691" s="153"/>
      <c r="BW3691" s="153"/>
      <c r="BX3691" s="153"/>
      <c r="BY3691" s="153"/>
      <c r="BZ3691" s="153"/>
      <c r="CA3691" s="152"/>
      <c r="CB3691" s="152"/>
    </row>
    <row r="3692" spans="1:80" s="87" customFormat="1" ht="15" x14ac:dyDescent="0.25">
      <c r="A3692" s="152"/>
      <c r="B3692" s="683"/>
      <c r="C3692" s="683"/>
      <c r="D3692" s="698"/>
      <c r="E3692" s="215"/>
      <c r="F3692" s="215"/>
      <c r="G3692" s="153"/>
      <c r="H3692" s="153"/>
      <c r="I3692" s="320">
        <v>21</v>
      </c>
      <c r="J3692" s="320">
        <v>60</v>
      </c>
      <c r="K3692" s="222">
        <v>1</v>
      </c>
      <c r="L3692" s="658">
        <v>21</v>
      </c>
      <c r="M3692" s="663">
        <v>34449</v>
      </c>
      <c r="N3692" s="600">
        <v>33.408999999999999</v>
      </c>
      <c r="O3692" s="604">
        <v>0.16583200000000001</v>
      </c>
      <c r="P3692" s="250"/>
      <c r="Q3692" s="250"/>
      <c r="R3692" s="250">
        <v>0.03</v>
      </c>
      <c r="S3692" s="250">
        <v>0</v>
      </c>
      <c r="T3692" s="250">
        <v>1.2E-2</v>
      </c>
      <c r="U3692" s="250">
        <v>0.08</v>
      </c>
      <c r="V3692" s="250">
        <v>0.20800000000000002</v>
      </c>
      <c r="W3692" s="250">
        <v>0.38</v>
      </c>
      <c r="X3692" s="250">
        <v>0.28300000000000003</v>
      </c>
      <c r="Y3692" s="250">
        <v>6.9999999999999993E-3</v>
      </c>
      <c r="Z3692" s="150"/>
      <c r="AA3692" s="150">
        <v>0.73</v>
      </c>
      <c r="AB3692" s="152"/>
      <c r="AC3692" s="152"/>
      <c r="AD3692" s="223">
        <v>50.899929999999998</v>
      </c>
      <c r="AE3692" s="223">
        <v>0.58220985800000002</v>
      </c>
      <c r="AF3692" s="223">
        <v>29.633185999999998</v>
      </c>
      <c r="AG3692" s="223">
        <v>1.1465454589999999</v>
      </c>
      <c r="AH3692" s="341"/>
      <c r="AI3692" s="218"/>
      <c r="AJ3692" s="218"/>
      <c r="AK3692" s="153"/>
      <c r="AL3692" s="152"/>
      <c r="AM3692" s="152"/>
      <c r="AN3692" s="152"/>
      <c r="AO3692" s="152"/>
      <c r="AP3692" s="152"/>
      <c r="AQ3692" s="152"/>
      <c r="AR3692" s="152"/>
      <c r="AS3692" s="152"/>
      <c r="AT3692" s="152"/>
      <c r="AU3692" s="153"/>
      <c r="AV3692" s="479"/>
      <c r="AW3692" s="479"/>
      <c r="AX3692" s="442"/>
      <c r="AY3692" s="153"/>
      <c r="AZ3692" s="152"/>
      <c r="BA3692" s="152"/>
      <c r="BB3692" s="152"/>
      <c r="BC3692" s="152"/>
      <c r="BD3692" s="152"/>
      <c r="BE3692" s="152"/>
      <c r="BF3692" s="152"/>
      <c r="BG3692" s="152"/>
      <c r="BH3692" s="152"/>
      <c r="BI3692" s="153"/>
      <c r="BJ3692" s="153"/>
      <c r="BK3692" s="153"/>
      <c r="BL3692" s="153"/>
      <c r="BM3692" s="153"/>
      <c r="BN3692" s="153"/>
      <c r="BO3692" s="153"/>
      <c r="BP3692" s="153"/>
      <c r="BQ3692" s="153"/>
      <c r="BR3692" s="153"/>
      <c r="BS3692" s="153"/>
      <c r="BT3692" s="153"/>
      <c r="BU3692" s="153"/>
      <c r="BV3692" s="153"/>
      <c r="BW3692" s="153"/>
      <c r="BX3692" s="153"/>
      <c r="BY3692" s="153"/>
      <c r="BZ3692" s="153"/>
      <c r="CA3692" s="152"/>
      <c r="CB3692" s="152"/>
    </row>
    <row r="3693" spans="1:80" s="87" customFormat="1" ht="15" x14ac:dyDescent="0.25">
      <c r="A3693" s="152"/>
      <c r="B3693" s="683"/>
      <c r="C3693" s="683"/>
      <c r="D3693" s="698"/>
      <c r="E3693" s="215"/>
      <c r="F3693" s="215"/>
      <c r="G3693" s="153"/>
      <c r="H3693" s="153"/>
      <c r="I3693" s="320">
        <v>21</v>
      </c>
      <c r="J3693" s="320">
        <v>60</v>
      </c>
      <c r="K3693" s="222">
        <v>1</v>
      </c>
      <c r="L3693" s="658">
        <v>21</v>
      </c>
      <c r="M3693" s="663">
        <v>34449</v>
      </c>
      <c r="N3693" s="600">
        <v>33.408999999999999</v>
      </c>
      <c r="O3693" s="604">
        <v>4.9015000000000003E-2</v>
      </c>
      <c r="P3693" s="250"/>
      <c r="Q3693" s="250"/>
      <c r="R3693" s="250"/>
      <c r="S3693" s="250"/>
      <c r="T3693" s="250"/>
      <c r="U3693" s="250">
        <v>6.0000000000000001E-3</v>
      </c>
      <c r="V3693" s="250">
        <v>0.124</v>
      </c>
      <c r="W3693" s="250">
        <v>0.57899999999999996</v>
      </c>
      <c r="X3693" s="250">
        <v>0.28699999999999998</v>
      </c>
      <c r="Y3693" s="250">
        <v>4.0000000000000001E-3</v>
      </c>
      <c r="Z3693" s="150"/>
      <c r="AA3693" s="150">
        <v>0.64</v>
      </c>
      <c r="AB3693" s="152"/>
      <c r="AC3693" s="152"/>
      <c r="AD3693" s="223">
        <v>50.899929999999998</v>
      </c>
      <c r="AE3693" s="223">
        <v>0.58220985800000002</v>
      </c>
      <c r="AF3693" s="223">
        <v>29.633185999999998</v>
      </c>
      <c r="AG3693" s="223">
        <v>1.1465454589999999</v>
      </c>
      <c r="AH3693" s="341"/>
      <c r="AI3693" s="218"/>
      <c r="AJ3693" s="218"/>
      <c r="AK3693" s="153"/>
      <c r="AL3693" s="152"/>
      <c r="AM3693" s="152"/>
      <c r="AN3693" s="152"/>
      <c r="AO3693" s="152"/>
      <c r="AP3693" s="152"/>
      <c r="AQ3693" s="152"/>
      <c r="AR3693" s="152"/>
      <c r="AS3693" s="152"/>
      <c r="AT3693" s="152"/>
      <c r="AU3693" s="153"/>
      <c r="AV3693" s="479"/>
      <c r="AW3693" s="479"/>
      <c r="AX3693" s="442"/>
      <c r="AY3693" s="153"/>
      <c r="AZ3693" s="152"/>
      <c r="BA3693" s="152"/>
      <c r="BB3693" s="152"/>
      <c r="BC3693" s="152"/>
      <c r="BD3693" s="152"/>
      <c r="BE3693" s="152"/>
      <c r="BF3693" s="152"/>
      <c r="BG3693" s="152"/>
      <c r="BH3693" s="152"/>
      <c r="BI3693" s="153"/>
      <c r="BJ3693" s="153"/>
      <c r="BK3693" s="153"/>
      <c r="BL3693" s="153"/>
      <c r="BM3693" s="153"/>
      <c r="BN3693" s="153"/>
      <c r="BO3693" s="153"/>
      <c r="BP3693" s="153"/>
      <c r="BQ3693" s="153"/>
      <c r="BR3693" s="153"/>
      <c r="BS3693" s="153"/>
      <c r="BT3693" s="153"/>
      <c r="BU3693" s="153"/>
      <c r="BV3693" s="153"/>
      <c r="BW3693" s="153"/>
      <c r="BX3693" s="153"/>
      <c r="BY3693" s="153"/>
      <c r="BZ3693" s="153"/>
      <c r="CA3693" s="152"/>
      <c r="CB3693" s="152"/>
    </row>
    <row r="3694" spans="1:80" s="87" customFormat="1" ht="15" x14ac:dyDescent="0.25">
      <c r="A3694" s="152"/>
      <c r="B3694" s="683"/>
      <c r="C3694" s="683"/>
      <c r="D3694" s="698"/>
      <c r="E3694" s="215"/>
      <c r="F3694" s="215"/>
      <c r="G3694" s="153"/>
      <c r="H3694" s="153"/>
      <c r="I3694" s="320">
        <v>20</v>
      </c>
      <c r="J3694" s="320">
        <v>60</v>
      </c>
      <c r="K3694" s="222">
        <v>1</v>
      </c>
      <c r="L3694" s="658">
        <v>20</v>
      </c>
      <c r="M3694" s="663">
        <v>34451</v>
      </c>
      <c r="N3694" s="600">
        <v>26.1892</v>
      </c>
      <c r="O3694" s="604">
        <v>6.1714999999999999E-2</v>
      </c>
      <c r="P3694" s="250"/>
      <c r="Q3694" s="250"/>
      <c r="R3694" s="250"/>
      <c r="S3694" s="250">
        <v>4.2000000000000003E-2</v>
      </c>
      <c r="T3694" s="250">
        <v>1.7000000000000001E-2</v>
      </c>
      <c r="U3694" s="250">
        <v>5.7999999999999996E-2</v>
      </c>
      <c r="V3694" s="250">
        <v>0.21199999999999999</v>
      </c>
      <c r="W3694" s="250">
        <v>0.41499999999999998</v>
      </c>
      <c r="X3694" s="250">
        <v>0.249</v>
      </c>
      <c r="Y3694" s="250">
        <v>6.9999999999999993E-3</v>
      </c>
      <c r="Z3694" s="150"/>
      <c r="AA3694" s="150">
        <v>0.75</v>
      </c>
      <c r="AB3694" s="152"/>
      <c r="AC3694" s="152"/>
      <c r="AD3694" s="223"/>
      <c r="AE3694" s="223"/>
      <c r="AF3694" s="223"/>
      <c r="AG3694" s="223"/>
      <c r="AH3694" s="341"/>
      <c r="AI3694" s="218"/>
      <c r="AJ3694" s="218"/>
      <c r="AK3694" s="153"/>
      <c r="AL3694" s="152"/>
      <c r="AM3694" s="152"/>
      <c r="AN3694" s="152"/>
      <c r="AO3694" s="152"/>
      <c r="AP3694" s="152"/>
      <c r="AQ3694" s="152"/>
      <c r="AR3694" s="152"/>
      <c r="AS3694" s="152"/>
      <c r="AT3694" s="152"/>
      <c r="AU3694" s="153"/>
      <c r="AV3694" s="479"/>
      <c r="AW3694" s="479"/>
      <c r="AX3694" s="442"/>
      <c r="AY3694" s="153"/>
      <c r="AZ3694" s="152"/>
      <c r="BA3694" s="152"/>
      <c r="BB3694" s="152"/>
      <c r="BC3694" s="152"/>
      <c r="BD3694" s="152"/>
      <c r="BE3694" s="152"/>
      <c r="BF3694" s="152"/>
      <c r="BG3694" s="152"/>
      <c r="BH3694" s="152"/>
      <c r="BI3694" s="153"/>
      <c r="BJ3694" s="153"/>
      <c r="BK3694" s="153"/>
      <c r="BL3694" s="153"/>
      <c r="BM3694" s="153"/>
      <c r="BN3694" s="153"/>
      <c r="BO3694" s="153"/>
      <c r="BP3694" s="153"/>
      <c r="BQ3694" s="153"/>
      <c r="BR3694" s="153"/>
      <c r="BS3694" s="153"/>
      <c r="BT3694" s="153"/>
      <c r="BU3694" s="153"/>
      <c r="BV3694" s="153"/>
      <c r="BW3694" s="153"/>
      <c r="BX3694" s="153"/>
      <c r="BY3694" s="153"/>
      <c r="BZ3694" s="153"/>
      <c r="CA3694" s="152"/>
      <c r="CB3694" s="152"/>
    </row>
    <row r="3695" spans="1:80" s="87" customFormat="1" ht="15" x14ac:dyDescent="0.25">
      <c r="A3695" s="152"/>
      <c r="B3695" s="683"/>
      <c r="C3695" s="683"/>
      <c r="D3695" s="698"/>
      <c r="E3695" s="215"/>
      <c r="F3695" s="215"/>
      <c r="G3695" s="153"/>
      <c r="H3695" s="153"/>
      <c r="I3695" s="320">
        <v>20</v>
      </c>
      <c r="J3695" s="320">
        <v>60</v>
      </c>
      <c r="K3695" s="222">
        <v>1</v>
      </c>
      <c r="L3695" s="658">
        <v>20</v>
      </c>
      <c r="M3695" s="663">
        <v>34451</v>
      </c>
      <c r="N3695" s="600">
        <v>26.1892</v>
      </c>
      <c r="O3695" s="604">
        <v>0.208865</v>
      </c>
      <c r="P3695" s="250"/>
      <c r="Q3695" s="250"/>
      <c r="R3695" s="250">
        <v>2.3E-2</v>
      </c>
      <c r="S3695" s="250">
        <v>0.09</v>
      </c>
      <c r="T3695" s="250">
        <v>7.5999999999999998E-2</v>
      </c>
      <c r="U3695" s="250">
        <v>7.2999999999999995E-2</v>
      </c>
      <c r="V3695" s="250">
        <v>0.253</v>
      </c>
      <c r="W3695" s="250">
        <v>0.34600000000000003</v>
      </c>
      <c r="X3695" s="250">
        <v>0.13200000000000001</v>
      </c>
      <c r="Y3695" s="250">
        <v>6.9999999999999993E-3</v>
      </c>
      <c r="Z3695" s="150"/>
      <c r="AA3695" s="150">
        <v>1.04</v>
      </c>
      <c r="AB3695" s="152"/>
      <c r="AC3695" s="152"/>
      <c r="AD3695" s="223"/>
      <c r="AE3695" s="223"/>
      <c r="AF3695" s="223"/>
      <c r="AG3695" s="223"/>
      <c r="AH3695" s="341"/>
      <c r="AI3695" s="218"/>
      <c r="AJ3695" s="218"/>
      <c r="AK3695" s="153"/>
      <c r="AL3695" s="152"/>
      <c r="AM3695" s="152"/>
      <c r="AN3695" s="152"/>
      <c r="AO3695" s="152"/>
      <c r="AP3695" s="152"/>
      <c r="AQ3695" s="152"/>
      <c r="AR3695" s="152"/>
      <c r="AS3695" s="152"/>
      <c r="AT3695" s="152"/>
      <c r="AU3695" s="153"/>
      <c r="AV3695" s="479"/>
      <c r="AW3695" s="479"/>
      <c r="AX3695" s="442"/>
      <c r="AY3695" s="153"/>
      <c r="AZ3695" s="152"/>
      <c r="BA3695" s="152"/>
      <c r="BB3695" s="152"/>
      <c r="BC3695" s="152"/>
      <c r="BD3695" s="152"/>
      <c r="BE3695" s="152"/>
      <c r="BF3695" s="152"/>
      <c r="BG3695" s="152"/>
      <c r="BH3695" s="152"/>
      <c r="BI3695" s="153"/>
      <c r="BJ3695" s="153"/>
      <c r="BK3695" s="153"/>
      <c r="BL3695" s="153"/>
      <c r="BM3695" s="153"/>
      <c r="BN3695" s="153"/>
      <c r="BO3695" s="153"/>
      <c r="BP3695" s="153"/>
      <c r="BQ3695" s="153"/>
      <c r="BR3695" s="153"/>
      <c r="BS3695" s="153"/>
      <c r="BT3695" s="153"/>
      <c r="BU3695" s="153"/>
      <c r="BV3695" s="153"/>
      <c r="BW3695" s="153"/>
      <c r="BX3695" s="153"/>
      <c r="BY3695" s="153"/>
      <c r="BZ3695" s="153"/>
      <c r="CA3695" s="152"/>
      <c r="CB3695" s="152"/>
    </row>
    <row r="3696" spans="1:80" s="87" customFormat="1" ht="15" x14ac:dyDescent="0.25">
      <c r="A3696" s="152"/>
      <c r="B3696" s="683"/>
      <c r="C3696" s="683"/>
      <c r="D3696" s="698"/>
      <c r="E3696" s="215"/>
      <c r="F3696" s="215"/>
      <c r="G3696" s="153"/>
      <c r="H3696" s="153"/>
      <c r="I3696" s="320">
        <v>20</v>
      </c>
      <c r="J3696" s="320">
        <v>60</v>
      </c>
      <c r="K3696" s="222">
        <v>1</v>
      </c>
      <c r="L3696" s="658">
        <v>20</v>
      </c>
      <c r="M3696" s="663">
        <v>34456</v>
      </c>
      <c r="N3696" s="600">
        <v>20.413499999999999</v>
      </c>
      <c r="O3696" s="604">
        <v>0.30437599999999998</v>
      </c>
      <c r="P3696" s="250"/>
      <c r="Q3696" s="250">
        <v>0.19899999999999998</v>
      </c>
      <c r="R3696" s="250">
        <v>0.152</v>
      </c>
      <c r="S3696" s="250">
        <v>4.8000000000000001E-2</v>
      </c>
      <c r="T3696" s="250">
        <v>2.6000000000000002E-2</v>
      </c>
      <c r="U3696" s="250">
        <v>4.4999999999999998E-2</v>
      </c>
      <c r="V3696" s="250">
        <v>0.19699999999999998</v>
      </c>
      <c r="W3696" s="250">
        <v>0.25</v>
      </c>
      <c r="X3696" s="250">
        <v>0.08</v>
      </c>
      <c r="Y3696" s="250">
        <v>3.0000000000000001E-3</v>
      </c>
      <c r="Z3696" s="150"/>
      <c r="AA3696" s="150">
        <v>1.8</v>
      </c>
      <c r="AB3696" s="152"/>
      <c r="AC3696" s="152"/>
      <c r="AD3696" s="223"/>
      <c r="AE3696" s="223"/>
      <c r="AF3696" s="223"/>
      <c r="AG3696" s="223"/>
      <c r="AH3696" s="341"/>
      <c r="AI3696" s="218"/>
      <c r="AJ3696" s="218"/>
      <c r="AK3696" s="153"/>
      <c r="AL3696" s="152"/>
      <c r="AM3696" s="152"/>
      <c r="AN3696" s="152"/>
      <c r="AO3696" s="152"/>
      <c r="AP3696" s="152"/>
      <c r="AQ3696" s="152"/>
      <c r="AR3696" s="152"/>
      <c r="AS3696" s="152"/>
      <c r="AT3696" s="152"/>
      <c r="AU3696" s="153"/>
      <c r="AV3696" s="479"/>
      <c r="AW3696" s="479"/>
      <c r="AX3696" s="442"/>
      <c r="AY3696" s="153"/>
      <c r="AZ3696" s="152"/>
      <c r="BA3696" s="152"/>
      <c r="BB3696" s="152"/>
      <c r="BC3696" s="152"/>
      <c r="BD3696" s="152"/>
      <c r="BE3696" s="152"/>
      <c r="BF3696" s="152"/>
      <c r="BG3696" s="152"/>
      <c r="BH3696" s="152"/>
      <c r="BI3696" s="153"/>
      <c r="BJ3696" s="153"/>
      <c r="BK3696" s="153"/>
      <c r="BL3696" s="153"/>
      <c r="BM3696" s="153"/>
      <c r="BN3696" s="153"/>
      <c r="BO3696" s="153"/>
      <c r="BP3696" s="153"/>
      <c r="BQ3696" s="153"/>
      <c r="BR3696" s="153"/>
      <c r="BS3696" s="153"/>
      <c r="BT3696" s="153"/>
      <c r="BU3696" s="153"/>
      <c r="BV3696" s="153"/>
      <c r="BW3696" s="153"/>
      <c r="BX3696" s="153"/>
      <c r="BY3696" s="153"/>
      <c r="BZ3696" s="153"/>
      <c r="CA3696" s="152"/>
      <c r="CB3696" s="152"/>
    </row>
    <row r="3697" spans="1:80" s="87" customFormat="1" ht="15" x14ac:dyDescent="0.25">
      <c r="A3697" s="152"/>
      <c r="B3697" s="683"/>
      <c r="C3697" s="683"/>
      <c r="D3697" s="698"/>
      <c r="E3697" s="215"/>
      <c r="F3697" s="215"/>
      <c r="G3697" s="153"/>
      <c r="H3697" s="153"/>
      <c r="I3697" s="320">
        <v>20</v>
      </c>
      <c r="J3697" s="320">
        <v>60</v>
      </c>
      <c r="K3697" s="222">
        <v>1</v>
      </c>
      <c r="L3697" s="658">
        <v>20</v>
      </c>
      <c r="M3697" s="663">
        <v>34456</v>
      </c>
      <c r="N3697" s="600">
        <v>20.413499999999999</v>
      </c>
      <c r="O3697" s="604">
        <v>0.67382500000000001</v>
      </c>
      <c r="P3697" s="250"/>
      <c r="Q3697" s="250">
        <v>0.23300000000000001</v>
      </c>
      <c r="R3697" s="250">
        <v>0.19399999999999998</v>
      </c>
      <c r="S3697" s="250">
        <v>8.4000000000000005E-2</v>
      </c>
      <c r="T3697" s="250">
        <v>0.06</v>
      </c>
      <c r="U3697" s="250">
        <v>5.2000000000000005E-2</v>
      </c>
      <c r="V3697" s="250">
        <v>0.158</v>
      </c>
      <c r="W3697" s="250">
        <v>0.17800000000000002</v>
      </c>
      <c r="X3697" s="250">
        <v>3.9E-2</v>
      </c>
      <c r="Y3697" s="250">
        <v>2E-3</v>
      </c>
      <c r="Z3697" s="150"/>
      <c r="AA3697" s="150">
        <v>8.76</v>
      </c>
      <c r="AB3697" s="152"/>
      <c r="AC3697" s="152"/>
      <c r="AD3697" s="223"/>
      <c r="AE3697" s="223"/>
      <c r="AF3697" s="223"/>
      <c r="AG3697" s="223"/>
      <c r="AH3697" s="341"/>
      <c r="AI3697" s="218"/>
      <c r="AJ3697" s="218"/>
      <c r="AK3697" s="153"/>
      <c r="AL3697" s="152"/>
      <c r="AM3697" s="152"/>
      <c r="AN3697" s="152"/>
      <c r="AO3697" s="152"/>
      <c r="AP3697" s="152"/>
      <c r="AQ3697" s="152"/>
      <c r="AR3697" s="152"/>
      <c r="AS3697" s="152"/>
      <c r="AT3697" s="152"/>
      <c r="AU3697" s="153"/>
      <c r="AV3697" s="479"/>
      <c r="AW3697" s="479"/>
      <c r="AX3697" s="442"/>
      <c r="AY3697" s="153"/>
      <c r="AZ3697" s="152"/>
      <c r="BA3697" s="152"/>
      <c r="BB3697" s="152"/>
      <c r="BC3697" s="152"/>
      <c r="BD3697" s="152"/>
      <c r="BE3697" s="152"/>
      <c r="BF3697" s="152"/>
      <c r="BG3697" s="152"/>
      <c r="BH3697" s="152"/>
      <c r="BI3697" s="153"/>
      <c r="BJ3697" s="153"/>
      <c r="BK3697" s="153"/>
      <c r="BL3697" s="153"/>
      <c r="BM3697" s="153"/>
      <c r="BN3697" s="153"/>
      <c r="BO3697" s="153"/>
      <c r="BP3697" s="153"/>
      <c r="BQ3697" s="153"/>
      <c r="BR3697" s="153"/>
      <c r="BS3697" s="153"/>
      <c r="BT3697" s="153"/>
      <c r="BU3697" s="153"/>
      <c r="BV3697" s="153"/>
      <c r="BW3697" s="153"/>
      <c r="BX3697" s="153"/>
      <c r="BY3697" s="153"/>
      <c r="BZ3697" s="153"/>
      <c r="CA3697" s="152"/>
      <c r="CB3697" s="152"/>
    </row>
    <row r="3698" spans="1:80" s="87" customFormat="1" ht="15" x14ac:dyDescent="0.25">
      <c r="A3698" s="152"/>
      <c r="B3698" s="683"/>
      <c r="C3698" s="683"/>
      <c r="D3698" s="698"/>
      <c r="E3698" s="215"/>
      <c r="F3698" s="215"/>
      <c r="G3698" s="153"/>
      <c r="H3698" s="153"/>
      <c r="I3698" s="320">
        <v>20</v>
      </c>
      <c r="J3698" s="320">
        <v>60</v>
      </c>
      <c r="K3698" s="222">
        <v>1</v>
      </c>
      <c r="L3698" s="658">
        <v>20</v>
      </c>
      <c r="M3698" s="663">
        <v>34458</v>
      </c>
      <c r="N3698" s="600">
        <v>20.413499999999999</v>
      </c>
      <c r="O3698" s="604">
        <v>0.29073100000000002</v>
      </c>
      <c r="P3698" s="250"/>
      <c r="Q3698" s="250">
        <v>0.111</v>
      </c>
      <c r="R3698" s="250">
        <v>0.10099999999999999</v>
      </c>
      <c r="S3698" s="250">
        <v>7.5999999999999998E-2</v>
      </c>
      <c r="T3698" s="250">
        <v>6.6000000000000003E-2</v>
      </c>
      <c r="U3698" s="250">
        <v>6.9000000000000006E-2</v>
      </c>
      <c r="V3698" s="250">
        <v>0.23399999999999999</v>
      </c>
      <c r="W3698" s="250">
        <v>0.251</v>
      </c>
      <c r="X3698" s="250">
        <v>0.09</v>
      </c>
      <c r="Y3698" s="250">
        <v>2E-3</v>
      </c>
      <c r="Z3698" s="150"/>
      <c r="AA3698" s="150">
        <v>1.59</v>
      </c>
      <c r="AB3698" s="152"/>
      <c r="AC3698" s="152"/>
      <c r="AD3698" s="223"/>
      <c r="AE3698" s="223"/>
      <c r="AF3698" s="223"/>
      <c r="AG3698" s="223"/>
      <c r="AH3698" s="341"/>
      <c r="AI3698" s="218"/>
      <c r="AJ3698" s="218"/>
      <c r="AK3698" s="153"/>
      <c r="AL3698" s="152"/>
      <c r="AM3698" s="152"/>
      <c r="AN3698" s="152"/>
      <c r="AO3698" s="152"/>
      <c r="AP3698" s="152"/>
      <c r="AQ3698" s="152"/>
      <c r="AR3698" s="152"/>
      <c r="AS3698" s="152"/>
      <c r="AT3698" s="152"/>
      <c r="AU3698" s="153"/>
      <c r="AV3698" s="479"/>
      <c r="AW3698" s="479"/>
      <c r="AX3698" s="442"/>
      <c r="AY3698" s="153"/>
      <c r="AZ3698" s="152"/>
      <c r="BA3698" s="152"/>
      <c r="BB3698" s="152"/>
      <c r="BC3698" s="152"/>
      <c r="BD3698" s="152"/>
      <c r="BE3698" s="152"/>
      <c r="BF3698" s="152"/>
      <c r="BG3698" s="152"/>
      <c r="BH3698" s="152"/>
      <c r="BI3698" s="153"/>
      <c r="BJ3698" s="153"/>
      <c r="BK3698" s="153"/>
      <c r="BL3698" s="153"/>
      <c r="BM3698" s="153"/>
      <c r="BN3698" s="153"/>
      <c r="BO3698" s="153"/>
      <c r="BP3698" s="153"/>
      <c r="BQ3698" s="153"/>
      <c r="BR3698" s="153"/>
      <c r="BS3698" s="153"/>
      <c r="BT3698" s="153"/>
      <c r="BU3698" s="153"/>
      <c r="BV3698" s="153"/>
      <c r="BW3698" s="153"/>
      <c r="BX3698" s="153"/>
      <c r="BY3698" s="153"/>
      <c r="BZ3698" s="153"/>
      <c r="CA3698" s="152"/>
      <c r="CB3698" s="152"/>
    </row>
    <row r="3699" spans="1:80" s="87" customFormat="1" ht="15" x14ac:dyDescent="0.25">
      <c r="A3699" s="152"/>
      <c r="B3699" s="683"/>
      <c r="C3699" s="683"/>
      <c r="D3699" s="698"/>
      <c r="E3699" s="215"/>
      <c r="F3699" s="215"/>
      <c r="G3699" s="153"/>
      <c r="H3699" s="153"/>
      <c r="I3699" s="320">
        <v>20</v>
      </c>
      <c r="J3699" s="320">
        <v>60</v>
      </c>
      <c r="K3699" s="222">
        <v>1</v>
      </c>
      <c r="L3699" s="658">
        <v>20</v>
      </c>
      <c r="M3699" s="663">
        <v>34458</v>
      </c>
      <c r="N3699" s="600">
        <v>20.413499999999999</v>
      </c>
      <c r="O3699" s="604">
        <v>0.132246</v>
      </c>
      <c r="P3699" s="250"/>
      <c r="Q3699" s="250"/>
      <c r="R3699" s="250"/>
      <c r="S3699" s="250">
        <v>2.3E-2</v>
      </c>
      <c r="T3699" s="250">
        <v>3.5000000000000003E-2</v>
      </c>
      <c r="U3699" s="250">
        <v>0.12300000000000001</v>
      </c>
      <c r="V3699" s="250">
        <v>0.309</v>
      </c>
      <c r="W3699" s="250">
        <v>0.374</v>
      </c>
      <c r="X3699" s="250">
        <v>0.13</v>
      </c>
      <c r="Y3699" s="250">
        <v>6.0000000000000001E-3</v>
      </c>
      <c r="Z3699" s="150"/>
      <c r="AA3699" s="150">
        <v>0.98</v>
      </c>
      <c r="AB3699" s="152"/>
      <c r="AC3699" s="152"/>
      <c r="AD3699" s="223"/>
      <c r="AE3699" s="223"/>
      <c r="AF3699" s="223"/>
      <c r="AG3699" s="223"/>
      <c r="AH3699" s="341"/>
      <c r="AI3699" s="218"/>
      <c r="AJ3699" s="218"/>
      <c r="AK3699" s="153"/>
      <c r="AL3699" s="152"/>
      <c r="AM3699" s="152"/>
      <c r="AN3699" s="152"/>
      <c r="AO3699" s="152"/>
      <c r="AP3699" s="152"/>
      <c r="AQ3699" s="152"/>
      <c r="AR3699" s="152"/>
      <c r="AS3699" s="152"/>
      <c r="AT3699" s="152"/>
      <c r="AU3699" s="153"/>
      <c r="AV3699" s="479"/>
      <c r="AW3699" s="479"/>
      <c r="AX3699" s="442"/>
      <c r="AY3699" s="153"/>
      <c r="AZ3699" s="152"/>
      <c r="BA3699" s="152"/>
      <c r="BB3699" s="152"/>
      <c r="BC3699" s="152"/>
      <c r="BD3699" s="152"/>
      <c r="BE3699" s="152"/>
      <c r="BF3699" s="152"/>
      <c r="BG3699" s="152"/>
      <c r="BH3699" s="152"/>
      <c r="BI3699" s="153"/>
      <c r="BJ3699" s="153"/>
      <c r="BK3699" s="153"/>
      <c r="BL3699" s="153"/>
      <c r="BM3699" s="153"/>
      <c r="BN3699" s="153"/>
      <c r="BO3699" s="153"/>
      <c r="BP3699" s="153"/>
      <c r="BQ3699" s="153"/>
      <c r="BR3699" s="153"/>
      <c r="BS3699" s="153"/>
      <c r="BT3699" s="153"/>
      <c r="BU3699" s="153"/>
      <c r="BV3699" s="153"/>
      <c r="BW3699" s="153"/>
      <c r="BX3699" s="153"/>
      <c r="BY3699" s="153"/>
      <c r="BZ3699" s="153"/>
      <c r="CA3699" s="152"/>
      <c r="CB3699" s="152"/>
    </row>
    <row r="3700" spans="1:80" s="87" customFormat="1" ht="15" x14ac:dyDescent="0.25">
      <c r="A3700" s="152"/>
      <c r="B3700" s="683"/>
      <c r="C3700" s="683"/>
      <c r="D3700" s="698"/>
      <c r="E3700" s="215"/>
      <c r="F3700" s="215"/>
      <c r="G3700" s="153"/>
      <c r="H3700" s="153"/>
      <c r="I3700" s="320">
        <v>20</v>
      </c>
      <c r="J3700" s="320">
        <v>60</v>
      </c>
      <c r="K3700" s="222">
        <v>1</v>
      </c>
      <c r="L3700" s="658">
        <v>20</v>
      </c>
      <c r="M3700" s="663">
        <v>34463</v>
      </c>
      <c r="N3700" s="600">
        <v>48.414700000000003</v>
      </c>
      <c r="O3700" s="604">
        <v>0.43662200000000001</v>
      </c>
      <c r="P3700" s="250"/>
      <c r="Q3700" s="250"/>
      <c r="R3700" s="250">
        <v>1.2E-2</v>
      </c>
      <c r="S3700" s="250">
        <v>2E-3</v>
      </c>
      <c r="T3700" s="250">
        <v>4.0000000000000001E-3</v>
      </c>
      <c r="U3700" s="250">
        <v>1.6E-2</v>
      </c>
      <c r="V3700" s="250">
        <v>0.114</v>
      </c>
      <c r="W3700" s="250">
        <v>0.41799999999999998</v>
      </c>
      <c r="X3700" s="250">
        <v>0.38900000000000001</v>
      </c>
      <c r="Y3700" s="250">
        <v>4.4999999999999998E-2</v>
      </c>
      <c r="Z3700" s="150"/>
      <c r="AA3700" s="150">
        <v>0.56000000000000005</v>
      </c>
      <c r="AB3700" s="152"/>
      <c r="AC3700" s="152"/>
      <c r="AD3700" s="223"/>
      <c r="AE3700" s="223"/>
      <c r="AF3700" s="223"/>
      <c r="AG3700" s="223"/>
      <c r="AH3700" s="341"/>
      <c r="AI3700" s="218"/>
      <c r="AJ3700" s="218"/>
      <c r="AK3700" s="153"/>
      <c r="AL3700" s="152"/>
      <c r="AM3700" s="152"/>
      <c r="AN3700" s="152"/>
      <c r="AO3700" s="152"/>
      <c r="AP3700" s="152"/>
      <c r="AQ3700" s="152"/>
      <c r="AR3700" s="152"/>
      <c r="AS3700" s="152"/>
      <c r="AT3700" s="152"/>
      <c r="AU3700" s="153"/>
      <c r="AV3700" s="479"/>
      <c r="AW3700" s="479"/>
      <c r="AX3700" s="442"/>
      <c r="AY3700" s="153"/>
      <c r="AZ3700" s="152"/>
      <c r="BA3700" s="152"/>
      <c r="BB3700" s="152"/>
      <c r="BC3700" s="152"/>
      <c r="BD3700" s="152"/>
      <c r="BE3700" s="152"/>
      <c r="BF3700" s="152"/>
      <c r="BG3700" s="152"/>
      <c r="BH3700" s="152"/>
      <c r="BI3700" s="153"/>
      <c r="BJ3700" s="153"/>
      <c r="BK3700" s="153"/>
      <c r="BL3700" s="153"/>
      <c r="BM3700" s="153"/>
      <c r="BN3700" s="153"/>
      <c r="BO3700" s="153"/>
      <c r="BP3700" s="153"/>
      <c r="BQ3700" s="153"/>
      <c r="BR3700" s="153"/>
      <c r="BS3700" s="153"/>
      <c r="BT3700" s="153"/>
      <c r="BU3700" s="153"/>
      <c r="BV3700" s="153"/>
      <c r="BW3700" s="153"/>
      <c r="BX3700" s="153"/>
      <c r="BY3700" s="153"/>
      <c r="BZ3700" s="153"/>
      <c r="CA3700" s="152"/>
      <c r="CB3700" s="152"/>
    </row>
    <row r="3701" spans="1:80" s="87" customFormat="1" ht="15" x14ac:dyDescent="0.25">
      <c r="A3701" s="152"/>
      <c r="B3701" s="683"/>
      <c r="C3701" s="683"/>
      <c r="D3701" s="698"/>
      <c r="E3701" s="215"/>
      <c r="F3701" s="215"/>
      <c r="G3701" s="153"/>
      <c r="H3701" s="153"/>
      <c r="I3701" s="320">
        <v>20</v>
      </c>
      <c r="J3701" s="320">
        <v>60</v>
      </c>
      <c r="K3701" s="222">
        <v>1</v>
      </c>
      <c r="L3701" s="658">
        <v>20</v>
      </c>
      <c r="M3701" s="663">
        <v>34463</v>
      </c>
      <c r="N3701" s="600">
        <v>48.414700000000003</v>
      </c>
      <c r="O3701" s="604">
        <v>0.28023599999999999</v>
      </c>
      <c r="P3701" s="250"/>
      <c r="Q3701" s="250">
        <v>0.35200000000000004</v>
      </c>
      <c r="R3701" s="250">
        <v>3.5000000000000003E-2</v>
      </c>
      <c r="S3701" s="250">
        <v>1.3000000000000001E-2</v>
      </c>
      <c r="T3701" s="250">
        <v>6.9999999999999993E-3</v>
      </c>
      <c r="U3701" s="250">
        <v>1.8000000000000002E-2</v>
      </c>
      <c r="V3701" s="250">
        <v>0.13500000000000001</v>
      </c>
      <c r="W3701" s="250">
        <v>0.313</v>
      </c>
      <c r="X3701" s="250">
        <v>0.11199999999999999</v>
      </c>
      <c r="Y3701" s="250">
        <v>1.4999999999999999E-2</v>
      </c>
      <c r="Z3701" s="150"/>
      <c r="AA3701" s="150">
        <v>1.36</v>
      </c>
      <c r="AB3701" s="152"/>
      <c r="AC3701" s="152"/>
      <c r="AD3701" s="223"/>
      <c r="AE3701" s="223"/>
      <c r="AF3701" s="223"/>
      <c r="AG3701" s="223"/>
      <c r="AH3701" s="341"/>
      <c r="AI3701" s="218"/>
      <c r="AJ3701" s="218"/>
      <c r="AK3701" s="153"/>
      <c r="AL3701" s="152"/>
      <c r="AM3701" s="152"/>
      <c r="AN3701" s="152"/>
      <c r="AO3701" s="152"/>
      <c r="AP3701" s="152"/>
      <c r="AQ3701" s="152"/>
      <c r="AR3701" s="152"/>
      <c r="AS3701" s="152"/>
      <c r="AT3701" s="152"/>
      <c r="AU3701" s="153"/>
      <c r="AV3701" s="479"/>
      <c r="AW3701" s="479"/>
      <c r="AX3701" s="442"/>
      <c r="AY3701" s="153"/>
      <c r="AZ3701" s="152"/>
      <c r="BA3701" s="152"/>
      <c r="BB3701" s="152"/>
      <c r="BC3701" s="152"/>
      <c r="BD3701" s="152"/>
      <c r="BE3701" s="152"/>
      <c r="BF3701" s="152"/>
      <c r="BG3701" s="152"/>
      <c r="BH3701" s="152"/>
      <c r="BI3701" s="153"/>
      <c r="BJ3701" s="153"/>
      <c r="BK3701" s="153"/>
      <c r="BL3701" s="153"/>
      <c r="BM3701" s="153"/>
      <c r="BN3701" s="153"/>
      <c r="BO3701" s="153"/>
      <c r="BP3701" s="153"/>
      <c r="BQ3701" s="153"/>
      <c r="BR3701" s="153"/>
      <c r="BS3701" s="153"/>
      <c r="BT3701" s="153"/>
      <c r="BU3701" s="153"/>
      <c r="BV3701" s="153"/>
      <c r="BW3701" s="153"/>
      <c r="BX3701" s="153"/>
      <c r="BY3701" s="153"/>
      <c r="BZ3701" s="153"/>
      <c r="CA3701" s="152"/>
      <c r="CB3701" s="152"/>
    </row>
    <row r="3702" spans="1:80" s="87" customFormat="1" ht="15" x14ac:dyDescent="0.25">
      <c r="A3702" s="152"/>
      <c r="B3702" s="683"/>
      <c r="C3702" s="683"/>
      <c r="D3702" s="698"/>
      <c r="E3702" s="215"/>
      <c r="F3702" s="215"/>
      <c r="G3702" s="153"/>
      <c r="H3702" s="153"/>
      <c r="I3702" s="320">
        <v>20</v>
      </c>
      <c r="J3702" s="320">
        <v>60</v>
      </c>
      <c r="K3702" s="222">
        <v>1</v>
      </c>
      <c r="L3702" s="658">
        <v>20</v>
      </c>
      <c r="M3702" s="663">
        <v>34465</v>
      </c>
      <c r="N3702" s="600">
        <v>59.739800000000002</v>
      </c>
      <c r="O3702" s="604">
        <v>0.70846100000000001</v>
      </c>
      <c r="P3702" s="250"/>
      <c r="Q3702" s="250"/>
      <c r="R3702" s="250">
        <v>3.2000000000000001E-2</v>
      </c>
      <c r="S3702" s="250">
        <v>6.0000000000000001E-3</v>
      </c>
      <c r="T3702" s="250">
        <v>8.0000000000000002E-3</v>
      </c>
      <c r="U3702" s="250">
        <v>1.4999999999999999E-2</v>
      </c>
      <c r="V3702" s="250">
        <v>0.12</v>
      </c>
      <c r="W3702" s="250">
        <v>0.45200000000000001</v>
      </c>
      <c r="X3702" s="250">
        <v>0.32899999999999996</v>
      </c>
      <c r="Y3702" s="250">
        <v>3.7999999999999999E-2</v>
      </c>
      <c r="Z3702" s="150"/>
      <c r="AA3702" s="150">
        <v>0.61</v>
      </c>
      <c r="AB3702" s="152"/>
      <c r="AC3702" s="152"/>
      <c r="AD3702" s="223"/>
      <c r="AE3702" s="223"/>
      <c r="AF3702" s="223"/>
      <c r="AG3702" s="223"/>
      <c r="AH3702" s="341"/>
      <c r="AI3702" s="218"/>
      <c r="AJ3702" s="218"/>
      <c r="AK3702" s="153"/>
      <c r="AL3702" s="152"/>
      <c r="AM3702" s="152"/>
      <c r="AN3702" s="152"/>
      <c r="AO3702" s="152"/>
      <c r="AP3702" s="152"/>
      <c r="AQ3702" s="152"/>
      <c r="AR3702" s="152"/>
      <c r="AS3702" s="152"/>
      <c r="AT3702" s="152"/>
      <c r="AU3702" s="153"/>
      <c r="AV3702" s="479"/>
      <c r="AW3702" s="479"/>
      <c r="AX3702" s="442"/>
      <c r="AY3702" s="153"/>
      <c r="AZ3702" s="152"/>
      <c r="BA3702" s="152"/>
      <c r="BB3702" s="152"/>
      <c r="BC3702" s="152"/>
      <c r="BD3702" s="152"/>
      <c r="BE3702" s="152"/>
      <c r="BF3702" s="152"/>
      <c r="BG3702" s="152"/>
      <c r="BH3702" s="152"/>
      <c r="BI3702" s="153"/>
      <c r="BJ3702" s="153"/>
      <c r="BK3702" s="153"/>
      <c r="BL3702" s="153"/>
      <c r="BM3702" s="153"/>
      <c r="BN3702" s="153"/>
      <c r="BO3702" s="153"/>
      <c r="BP3702" s="153"/>
      <c r="BQ3702" s="153"/>
      <c r="BR3702" s="153"/>
      <c r="BS3702" s="153"/>
      <c r="BT3702" s="153"/>
      <c r="BU3702" s="153"/>
      <c r="BV3702" s="153"/>
      <c r="BW3702" s="153"/>
      <c r="BX3702" s="153"/>
      <c r="BY3702" s="153"/>
      <c r="BZ3702" s="153"/>
      <c r="CA3702" s="152"/>
      <c r="CB3702" s="152"/>
    </row>
    <row r="3703" spans="1:80" s="87" customFormat="1" ht="15" x14ac:dyDescent="0.25">
      <c r="A3703" s="152"/>
      <c r="B3703" s="683"/>
      <c r="C3703" s="683"/>
      <c r="D3703" s="698"/>
      <c r="E3703" s="215"/>
      <c r="F3703" s="215"/>
      <c r="G3703" s="153"/>
      <c r="H3703" s="153"/>
      <c r="I3703" s="320">
        <v>20</v>
      </c>
      <c r="J3703" s="320">
        <v>60</v>
      </c>
      <c r="K3703" s="222">
        <v>1</v>
      </c>
      <c r="L3703" s="658">
        <v>20</v>
      </c>
      <c r="M3703" s="663">
        <v>34465</v>
      </c>
      <c r="N3703" s="600">
        <v>59.739800000000002</v>
      </c>
      <c r="O3703" s="604">
        <v>0.90892899999999999</v>
      </c>
      <c r="P3703" s="250"/>
      <c r="Q3703" s="250">
        <v>0.02</v>
      </c>
      <c r="R3703" s="250">
        <v>0</v>
      </c>
      <c r="S3703" s="250">
        <v>1.2E-2</v>
      </c>
      <c r="T3703" s="250">
        <v>2.5000000000000001E-2</v>
      </c>
      <c r="U3703" s="250">
        <v>4.7E-2</v>
      </c>
      <c r="V3703" s="250">
        <v>0.19800000000000001</v>
      </c>
      <c r="W3703" s="250">
        <v>0.43099999999999999</v>
      </c>
      <c r="X3703" s="250">
        <v>0.23800000000000002</v>
      </c>
      <c r="Y3703" s="250">
        <v>2.8999999999999998E-2</v>
      </c>
      <c r="Z3703" s="150"/>
      <c r="AA3703" s="150">
        <v>0.73</v>
      </c>
      <c r="AB3703" s="152"/>
      <c r="AC3703" s="152"/>
      <c r="AD3703" s="223"/>
      <c r="AE3703" s="223"/>
      <c r="AF3703" s="223"/>
      <c r="AG3703" s="223"/>
      <c r="AH3703" s="341"/>
      <c r="AI3703" s="218"/>
      <c r="AJ3703" s="218"/>
      <c r="AK3703" s="153"/>
      <c r="AL3703" s="152"/>
      <c r="AM3703" s="152"/>
      <c r="AN3703" s="152"/>
      <c r="AO3703" s="152"/>
      <c r="AP3703" s="152"/>
      <c r="AQ3703" s="152"/>
      <c r="AR3703" s="152"/>
      <c r="AS3703" s="152"/>
      <c r="AT3703" s="152"/>
      <c r="AU3703" s="153"/>
      <c r="AV3703" s="479"/>
      <c r="AW3703" s="479"/>
      <c r="AX3703" s="442"/>
      <c r="AY3703" s="153"/>
      <c r="AZ3703" s="152"/>
      <c r="BA3703" s="152"/>
      <c r="BB3703" s="152"/>
      <c r="BC3703" s="152"/>
      <c r="BD3703" s="152"/>
      <c r="BE3703" s="152"/>
      <c r="BF3703" s="152"/>
      <c r="BG3703" s="152"/>
      <c r="BH3703" s="152"/>
      <c r="BI3703" s="153"/>
      <c r="BJ3703" s="153"/>
      <c r="BK3703" s="153"/>
      <c r="BL3703" s="153"/>
      <c r="BM3703" s="153"/>
      <c r="BN3703" s="153"/>
      <c r="BO3703" s="153"/>
      <c r="BP3703" s="153"/>
      <c r="BQ3703" s="153"/>
      <c r="BR3703" s="153"/>
      <c r="BS3703" s="153"/>
      <c r="BT3703" s="153"/>
      <c r="BU3703" s="153"/>
      <c r="BV3703" s="153"/>
      <c r="BW3703" s="153"/>
      <c r="BX3703" s="153"/>
      <c r="BY3703" s="153"/>
      <c r="BZ3703" s="153"/>
      <c r="CA3703" s="152"/>
      <c r="CB3703" s="152"/>
    </row>
    <row r="3704" spans="1:80" s="87" customFormat="1" ht="15" x14ac:dyDescent="0.25">
      <c r="A3704" s="152"/>
      <c r="B3704" s="683"/>
      <c r="C3704" s="683"/>
      <c r="D3704" s="698"/>
      <c r="E3704" s="215"/>
      <c r="F3704" s="215"/>
      <c r="G3704" s="153"/>
      <c r="H3704" s="153"/>
      <c r="I3704" s="320">
        <v>21</v>
      </c>
      <c r="J3704" s="320">
        <v>60</v>
      </c>
      <c r="K3704" s="222">
        <v>1</v>
      </c>
      <c r="L3704" s="658">
        <v>21</v>
      </c>
      <c r="M3704" s="663">
        <v>34468</v>
      </c>
      <c r="N3704" s="600">
        <v>60.872300000000003</v>
      </c>
      <c r="O3704" s="604">
        <v>0.75779099999999999</v>
      </c>
      <c r="P3704" s="250">
        <v>0.248</v>
      </c>
      <c r="Q3704" s="250">
        <v>0.125</v>
      </c>
      <c r="R3704" s="250">
        <v>0</v>
      </c>
      <c r="S3704" s="250">
        <v>8.0000000000000002E-3</v>
      </c>
      <c r="T3704" s="250">
        <v>5.0000000000000001E-3</v>
      </c>
      <c r="U3704" s="250">
        <v>1.3000000000000001E-2</v>
      </c>
      <c r="V3704" s="250">
        <v>0.13200000000000001</v>
      </c>
      <c r="W3704" s="250">
        <v>0.311</v>
      </c>
      <c r="X3704" s="250">
        <v>0.151</v>
      </c>
      <c r="Y3704" s="250">
        <v>6.9999999999999993E-3</v>
      </c>
      <c r="Z3704" s="150"/>
      <c r="AA3704" s="150">
        <v>1.18</v>
      </c>
      <c r="AB3704" s="152"/>
      <c r="AC3704" s="152"/>
      <c r="AD3704" s="223"/>
      <c r="AE3704" s="223"/>
      <c r="AF3704" s="223"/>
      <c r="AG3704" s="223"/>
      <c r="AH3704" s="341"/>
      <c r="AI3704" s="218"/>
      <c r="AJ3704" s="218"/>
      <c r="AK3704" s="153"/>
      <c r="AL3704" s="152"/>
      <c r="AM3704" s="152"/>
      <c r="AN3704" s="152"/>
      <c r="AO3704" s="152"/>
      <c r="AP3704" s="152"/>
      <c r="AQ3704" s="152"/>
      <c r="AR3704" s="152"/>
      <c r="AS3704" s="152"/>
      <c r="AT3704" s="152"/>
      <c r="AU3704" s="153"/>
      <c r="AV3704" s="479"/>
      <c r="AW3704" s="479"/>
      <c r="AX3704" s="442"/>
      <c r="AY3704" s="153"/>
      <c r="AZ3704" s="152"/>
      <c r="BA3704" s="152"/>
      <c r="BB3704" s="152"/>
      <c r="BC3704" s="152"/>
      <c r="BD3704" s="152"/>
      <c r="BE3704" s="152"/>
      <c r="BF3704" s="152"/>
      <c r="BG3704" s="152"/>
      <c r="BH3704" s="152"/>
      <c r="BI3704" s="153"/>
      <c r="BJ3704" s="153"/>
      <c r="BK3704" s="153"/>
      <c r="BL3704" s="153"/>
      <c r="BM3704" s="153"/>
      <c r="BN3704" s="153"/>
      <c r="BO3704" s="153"/>
      <c r="BP3704" s="153"/>
      <c r="BQ3704" s="153"/>
      <c r="BR3704" s="153"/>
      <c r="BS3704" s="153"/>
      <c r="BT3704" s="153"/>
      <c r="BU3704" s="153"/>
      <c r="BV3704" s="153"/>
      <c r="BW3704" s="153"/>
      <c r="BX3704" s="153"/>
      <c r="BY3704" s="153"/>
      <c r="BZ3704" s="153"/>
      <c r="CA3704" s="152"/>
      <c r="CB3704" s="152"/>
    </row>
    <row r="3705" spans="1:80" s="87" customFormat="1" ht="15" x14ac:dyDescent="0.25">
      <c r="A3705" s="152"/>
      <c r="B3705" s="683"/>
      <c r="C3705" s="683"/>
      <c r="D3705" s="698"/>
      <c r="E3705" s="215"/>
      <c r="F3705" s="215"/>
      <c r="G3705" s="153"/>
      <c r="H3705" s="153"/>
      <c r="I3705" s="320">
        <v>21</v>
      </c>
      <c r="J3705" s="320">
        <v>60</v>
      </c>
      <c r="K3705" s="222">
        <v>1</v>
      </c>
      <c r="L3705" s="658">
        <v>21</v>
      </c>
      <c r="M3705" s="663">
        <v>34468</v>
      </c>
      <c r="N3705" s="600">
        <v>60.872300000000003</v>
      </c>
      <c r="O3705" s="604">
        <v>0.74204700000000001</v>
      </c>
      <c r="P3705" s="250"/>
      <c r="Q3705" s="250">
        <v>0.35200000000000004</v>
      </c>
      <c r="R3705" s="250">
        <v>0.02</v>
      </c>
      <c r="S3705" s="250">
        <v>1.6E-2</v>
      </c>
      <c r="T3705" s="250">
        <v>1.9E-2</v>
      </c>
      <c r="U3705" s="250">
        <v>1.9E-2</v>
      </c>
      <c r="V3705" s="250">
        <v>0.11</v>
      </c>
      <c r="W3705" s="250">
        <v>0.311</v>
      </c>
      <c r="X3705" s="250">
        <v>0.14899999999999999</v>
      </c>
      <c r="Y3705" s="250">
        <v>4.0000000000000001E-3</v>
      </c>
      <c r="Z3705" s="150"/>
      <c r="AA3705" s="150">
        <v>1.25</v>
      </c>
      <c r="AB3705" s="152"/>
      <c r="AC3705" s="152"/>
      <c r="AD3705" s="223"/>
      <c r="AE3705" s="223"/>
      <c r="AF3705" s="223"/>
      <c r="AG3705" s="223"/>
      <c r="AH3705" s="341"/>
      <c r="AI3705" s="218"/>
      <c r="AJ3705" s="218"/>
      <c r="AK3705" s="153"/>
      <c r="AL3705" s="152"/>
      <c r="AM3705" s="152"/>
      <c r="AN3705" s="152"/>
      <c r="AO3705" s="152"/>
      <c r="AP3705" s="152"/>
      <c r="AQ3705" s="152"/>
      <c r="AR3705" s="152"/>
      <c r="AS3705" s="152"/>
      <c r="AT3705" s="152"/>
      <c r="AU3705" s="153"/>
      <c r="AV3705" s="479"/>
      <c r="AW3705" s="479"/>
      <c r="AX3705" s="442"/>
      <c r="AY3705" s="153"/>
      <c r="AZ3705" s="152"/>
      <c r="BA3705" s="152"/>
      <c r="BB3705" s="152"/>
      <c r="BC3705" s="152"/>
      <c r="BD3705" s="152"/>
      <c r="BE3705" s="152"/>
      <c r="BF3705" s="152"/>
      <c r="BG3705" s="152"/>
      <c r="BH3705" s="152"/>
      <c r="BI3705" s="153"/>
      <c r="BJ3705" s="153"/>
      <c r="BK3705" s="153"/>
      <c r="BL3705" s="153"/>
      <c r="BM3705" s="153"/>
      <c r="BN3705" s="153"/>
      <c r="BO3705" s="153"/>
      <c r="BP3705" s="153"/>
      <c r="BQ3705" s="153"/>
      <c r="BR3705" s="153"/>
      <c r="BS3705" s="153"/>
      <c r="BT3705" s="153"/>
      <c r="BU3705" s="153"/>
      <c r="BV3705" s="153"/>
      <c r="BW3705" s="153"/>
      <c r="BX3705" s="153"/>
      <c r="BY3705" s="153"/>
      <c r="BZ3705" s="153"/>
      <c r="CA3705" s="152"/>
      <c r="CB3705" s="152"/>
    </row>
    <row r="3706" spans="1:80" s="87" customFormat="1" ht="15" x14ac:dyDescent="0.25">
      <c r="A3706" s="152"/>
      <c r="B3706" s="683"/>
      <c r="C3706" s="683"/>
      <c r="D3706" s="698"/>
      <c r="E3706" s="215"/>
      <c r="F3706" s="215"/>
      <c r="G3706" s="153"/>
      <c r="H3706" s="153"/>
      <c r="I3706" s="320">
        <v>20</v>
      </c>
      <c r="J3706" s="320">
        <v>60</v>
      </c>
      <c r="K3706" s="222">
        <v>1</v>
      </c>
      <c r="L3706" s="658">
        <v>20</v>
      </c>
      <c r="M3706" s="663">
        <v>34470</v>
      </c>
      <c r="N3706" s="600">
        <v>46.149700000000003</v>
      </c>
      <c r="O3706" s="604">
        <v>0.17422899999999999</v>
      </c>
      <c r="P3706" s="250"/>
      <c r="Q3706" s="250"/>
      <c r="R3706" s="250"/>
      <c r="S3706" s="250"/>
      <c r="T3706" s="250">
        <v>4.0000000000000001E-3</v>
      </c>
      <c r="U3706" s="250">
        <v>0.01</v>
      </c>
      <c r="V3706" s="250">
        <v>0.153</v>
      </c>
      <c r="W3706" s="250">
        <v>0.52300000000000002</v>
      </c>
      <c r="X3706" s="250">
        <v>0.30199999999999999</v>
      </c>
      <c r="Y3706" s="250">
        <v>8.0000000000000002E-3</v>
      </c>
      <c r="Z3706" s="150"/>
      <c r="AA3706" s="150">
        <v>0.64</v>
      </c>
      <c r="AB3706" s="152"/>
      <c r="AC3706" s="152"/>
      <c r="AD3706" s="223"/>
      <c r="AE3706" s="223"/>
      <c r="AF3706" s="223"/>
      <c r="AG3706" s="223"/>
      <c r="AH3706" s="341"/>
      <c r="AI3706" s="218"/>
      <c r="AJ3706" s="218"/>
      <c r="AK3706" s="153"/>
      <c r="AL3706" s="152"/>
      <c r="AM3706" s="152"/>
      <c r="AN3706" s="152"/>
      <c r="AO3706" s="152"/>
      <c r="AP3706" s="152"/>
      <c r="AQ3706" s="152"/>
      <c r="AR3706" s="152"/>
      <c r="AS3706" s="152"/>
      <c r="AT3706" s="152"/>
      <c r="AU3706" s="153"/>
      <c r="AV3706" s="479"/>
      <c r="AW3706" s="479"/>
      <c r="AX3706" s="442"/>
      <c r="AY3706" s="153"/>
      <c r="AZ3706" s="152"/>
      <c r="BA3706" s="152"/>
      <c r="BB3706" s="152"/>
      <c r="BC3706" s="152"/>
      <c r="BD3706" s="152"/>
      <c r="BE3706" s="152"/>
      <c r="BF3706" s="152"/>
      <c r="BG3706" s="152"/>
      <c r="BH3706" s="152"/>
      <c r="BI3706" s="153"/>
      <c r="BJ3706" s="153"/>
      <c r="BK3706" s="153"/>
      <c r="BL3706" s="153"/>
      <c r="BM3706" s="153"/>
      <c r="BN3706" s="153"/>
      <c r="BO3706" s="153"/>
      <c r="BP3706" s="153"/>
      <c r="BQ3706" s="153"/>
      <c r="BR3706" s="153"/>
      <c r="BS3706" s="153"/>
      <c r="BT3706" s="153"/>
      <c r="BU3706" s="153"/>
      <c r="BV3706" s="153"/>
      <c r="BW3706" s="153"/>
      <c r="BX3706" s="153"/>
      <c r="BY3706" s="153"/>
      <c r="BZ3706" s="153"/>
      <c r="CA3706" s="152"/>
      <c r="CB3706" s="152"/>
    </row>
    <row r="3707" spans="1:80" s="87" customFormat="1" ht="15" x14ac:dyDescent="0.25">
      <c r="A3707" s="152"/>
      <c r="B3707" s="683"/>
      <c r="C3707" s="683"/>
      <c r="D3707" s="698"/>
      <c r="E3707" s="215"/>
      <c r="F3707" s="215"/>
      <c r="G3707" s="153"/>
      <c r="H3707" s="153"/>
      <c r="I3707" s="320">
        <v>20</v>
      </c>
      <c r="J3707" s="320">
        <v>60</v>
      </c>
      <c r="K3707" s="222">
        <v>1</v>
      </c>
      <c r="L3707" s="658">
        <v>20</v>
      </c>
      <c r="M3707" s="663">
        <v>34470</v>
      </c>
      <c r="N3707" s="600">
        <v>46.149700000000003</v>
      </c>
      <c r="O3707" s="604">
        <v>0.189972</v>
      </c>
      <c r="P3707" s="250"/>
      <c r="Q3707" s="250"/>
      <c r="R3707" s="250"/>
      <c r="S3707" s="250">
        <v>8.0000000000000002E-3</v>
      </c>
      <c r="T3707" s="250">
        <v>0.01</v>
      </c>
      <c r="U3707" s="250">
        <v>2.1000000000000001E-2</v>
      </c>
      <c r="V3707" s="250">
        <v>0.161</v>
      </c>
      <c r="W3707" s="250">
        <v>0.55600000000000005</v>
      </c>
      <c r="X3707" s="250">
        <v>0.24</v>
      </c>
      <c r="Y3707" s="250">
        <v>4.0000000000000001E-3</v>
      </c>
      <c r="Z3707" s="150"/>
      <c r="AA3707" s="150">
        <v>0.69</v>
      </c>
      <c r="AB3707" s="152"/>
      <c r="AC3707" s="152"/>
      <c r="AD3707" s="223"/>
      <c r="AE3707" s="223"/>
      <c r="AF3707" s="223"/>
      <c r="AG3707" s="223"/>
      <c r="AH3707" s="341"/>
      <c r="AI3707" s="218"/>
      <c r="AJ3707" s="218"/>
      <c r="AK3707" s="153"/>
      <c r="AL3707" s="152"/>
      <c r="AM3707" s="152"/>
      <c r="AN3707" s="152"/>
      <c r="AO3707" s="152"/>
      <c r="AP3707" s="152"/>
      <c r="AQ3707" s="152"/>
      <c r="AR3707" s="152"/>
      <c r="AS3707" s="152"/>
      <c r="AT3707" s="152"/>
      <c r="AU3707" s="153"/>
      <c r="AV3707" s="479"/>
      <c r="AW3707" s="479"/>
      <c r="AX3707" s="442"/>
      <c r="AY3707" s="153"/>
      <c r="AZ3707" s="152"/>
      <c r="BA3707" s="152"/>
      <c r="BB3707" s="152"/>
      <c r="BC3707" s="152"/>
      <c r="BD3707" s="152"/>
      <c r="BE3707" s="152"/>
      <c r="BF3707" s="152"/>
      <c r="BG3707" s="152"/>
      <c r="BH3707" s="152"/>
      <c r="BI3707" s="153"/>
      <c r="BJ3707" s="153"/>
      <c r="BK3707" s="153"/>
      <c r="BL3707" s="153"/>
      <c r="BM3707" s="153"/>
      <c r="BN3707" s="153"/>
      <c r="BO3707" s="153"/>
      <c r="BP3707" s="153"/>
      <c r="BQ3707" s="153"/>
      <c r="BR3707" s="153"/>
      <c r="BS3707" s="153"/>
      <c r="BT3707" s="153"/>
      <c r="BU3707" s="153"/>
      <c r="BV3707" s="153"/>
      <c r="BW3707" s="153"/>
      <c r="BX3707" s="153"/>
      <c r="BY3707" s="153"/>
      <c r="BZ3707" s="153"/>
      <c r="CA3707" s="152"/>
      <c r="CB3707" s="152"/>
    </row>
    <row r="3708" spans="1:80" s="87" customFormat="1" ht="15" x14ac:dyDescent="0.25">
      <c r="A3708" s="152"/>
      <c r="B3708" s="683"/>
      <c r="C3708" s="683"/>
      <c r="D3708" s="698"/>
      <c r="E3708" s="215"/>
      <c r="F3708" s="215"/>
      <c r="G3708" s="153"/>
      <c r="H3708" s="153"/>
      <c r="I3708" s="320">
        <v>20</v>
      </c>
      <c r="J3708" s="320">
        <v>60</v>
      </c>
      <c r="K3708" s="222">
        <v>1</v>
      </c>
      <c r="L3708" s="658">
        <v>20</v>
      </c>
      <c r="M3708" s="663">
        <v>34471</v>
      </c>
      <c r="N3708" s="600">
        <v>42.469099999999997</v>
      </c>
      <c r="O3708" s="604">
        <v>0.178427</v>
      </c>
      <c r="P3708" s="250"/>
      <c r="Q3708" s="250"/>
      <c r="R3708" s="250"/>
      <c r="S3708" s="250">
        <v>3.0000000000000001E-3</v>
      </c>
      <c r="T3708" s="250">
        <v>0.01</v>
      </c>
      <c r="U3708" s="250">
        <v>2.7000000000000003E-2</v>
      </c>
      <c r="V3708" s="250">
        <v>0.14000000000000001</v>
      </c>
      <c r="W3708" s="250">
        <v>0.50600000000000001</v>
      </c>
      <c r="X3708" s="250">
        <v>0.30399999999999999</v>
      </c>
      <c r="Y3708" s="250">
        <v>0.01</v>
      </c>
      <c r="Z3708" s="150"/>
      <c r="AA3708" s="150">
        <v>0.65</v>
      </c>
      <c r="AB3708" s="152"/>
      <c r="AC3708" s="152"/>
      <c r="AD3708" s="223"/>
      <c r="AE3708" s="223"/>
      <c r="AF3708" s="223"/>
      <c r="AG3708" s="223"/>
      <c r="AH3708" s="341"/>
      <c r="AI3708" s="218"/>
      <c r="AJ3708" s="218"/>
      <c r="AK3708" s="153"/>
      <c r="AL3708" s="152"/>
      <c r="AM3708" s="152"/>
      <c r="AN3708" s="152"/>
      <c r="AO3708" s="152"/>
      <c r="AP3708" s="152"/>
      <c r="AQ3708" s="152"/>
      <c r="AR3708" s="152"/>
      <c r="AS3708" s="152"/>
      <c r="AT3708" s="152"/>
      <c r="AU3708" s="153"/>
      <c r="AV3708" s="479"/>
      <c r="AW3708" s="479"/>
      <c r="AX3708" s="442"/>
      <c r="AY3708" s="153"/>
      <c r="AZ3708" s="152"/>
      <c r="BA3708" s="152"/>
      <c r="BB3708" s="152"/>
      <c r="BC3708" s="152"/>
      <c r="BD3708" s="152"/>
      <c r="BE3708" s="152"/>
      <c r="BF3708" s="152"/>
      <c r="BG3708" s="152"/>
      <c r="BH3708" s="152"/>
      <c r="BI3708" s="153"/>
      <c r="BJ3708" s="153"/>
      <c r="BK3708" s="153"/>
      <c r="BL3708" s="153"/>
      <c r="BM3708" s="153"/>
      <c r="BN3708" s="153"/>
      <c r="BO3708" s="153"/>
      <c r="BP3708" s="153"/>
      <c r="BQ3708" s="153"/>
      <c r="BR3708" s="153"/>
      <c r="BS3708" s="153"/>
      <c r="BT3708" s="153"/>
      <c r="BU3708" s="153"/>
      <c r="BV3708" s="153"/>
      <c r="BW3708" s="153"/>
      <c r="BX3708" s="153"/>
      <c r="BY3708" s="153"/>
      <c r="BZ3708" s="153"/>
      <c r="CA3708" s="152"/>
      <c r="CB3708" s="152"/>
    </row>
    <row r="3709" spans="1:80" s="87" customFormat="1" ht="15" x14ac:dyDescent="0.25">
      <c r="A3709" s="152"/>
      <c r="B3709" s="683"/>
      <c r="C3709" s="683"/>
      <c r="D3709" s="698"/>
      <c r="E3709" s="215"/>
      <c r="F3709" s="215"/>
      <c r="G3709" s="153"/>
      <c r="H3709" s="153"/>
      <c r="I3709" s="320">
        <v>20</v>
      </c>
      <c r="J3709" s="320">
        <v>60</v>
      </c>
      <c r="K3709" s="222">
        <v>1</v>
      </c>
      <c r="L3709" s="658">
        <v>20</v>
      </c>
      <c r="M3709" s="663">
        <v>34471</v>
      </c>
      <c r="N3709" s="600">
        <v>42.469099999999997</v>
      </c>
      <c r="O3709" s="604">
        <v>0.22670699999999999</v>
      </c>
      <c r="P3709" s="250"/>
      <c r="Q3709" s="250"/>
      <c r="R3709" s="250"/>
      <c r="S3709" s="250">
        <v>6.2E-2</v>
      </c>
      <c r="T3709" s="250">
        <v>4.7E-2</v>
      </c>
      <c r="U3709" s="250">
        <v>5.5999999999999994E-2</v>
      </c>
      <c r="V3709" s="250">
        <v>0.222</v>
      </c>
      <c r="W3709" s="250">
        <v>0.42399999999999999</v>
      </c>
      <c r="X3709" s="250">
        <v>0.184</v>
      </c>
      <c r="Y3709" s="250">
        <v>5.0000000000000001E-3</v>
      </c>
      <c r="Z3709" s="150"/>
      <c r="AA3709" s="150">
        <v>0.83</v>
      </c>
      <c r="AB3709" s="152"/>
      <c r="AC3709" s="152"/>
      <c r="AD3709" s="223"/>
      <c r="AE3709" s="223"/>
      <c r="AF3709" s="223"/>
      <c r="AG3709" s="223"/>
      <c r="AH3709" s="341"/>
      <c r="AI3709" s="218"/>
      <c r="AJ3709" s="218"/>
      <c r="AK3709" s="153"/>
      <c r="AL3709" s="152"/>
      <c r="AM3709" s="152"/>
      <c r="AN3709" s="152"/>
      <c r="AO3709" s="152"/>
      <c r="AP3709" s="152"/>
      <c r="AQ3709" s="152"/>
      <c r="AR3709" s="152"/>
      <c r="AS3709" s="152"/>
      <c r="AT3709" s="152"/>
      <c r="AU3709" s="153"/>
      <c r="AV3709" s="479"/>
      <c r="AW3709" s="479"/>
      <c r="AX3709" s="442"/>
      <c r="AY3709" s="153"/>
      <c r="AZ3709" s="152"/>
      <c r="BA3709" s="152"/>
      <c r="BB3709" s="152"/>
      <c r="BC3709" s="152"/>
      <c r="BD3709" s="152"/>
      <c r="BE3709" s="152"/>
      <c r="BF3709" s="152"/>
      <c r="BG3709" s="152"/>
      <c r="BH3709" s="152"/>
      <c r="BI3709" s="153"/>
      <c r="BJ3709" s="153"/>
      <c r="BK3709" s="153"/>
      <c r="BL3709" s="153"/>
      <c r="BM3709" s="153"/>
      <c r="BN3709" s="153"/>
      <c r="BO3709" s="153"/>
      <c r="BP3709" s="153"/>
      <c r="BQ3709" s="153"/>
      <c r="BR3709" s="153"/>
      <c r="BS3709" s="153"/>
      <c r="BT3709" s="153"/>
      <c r="BU3709" s="153"/>
      <c r="BV3709" s="153"/>
      <c r="BW3709" s="153"/>
      <c r="BX3709" s="153"/>
      <c r="BY3709" s="153"/>
      <c r="BZ3709" s="153"/>
      <c r="CA3709" s="152"/>
      <c r="CB3709" s="152"/>
    </row>
    <row r="3710" spans="1:80" s="87" customFormat="1" ht="15" x14ac:dyDescent="0.25">
      <c r="A3710" s="152"/>
      <c r="B3710" s="683"/>
      <c r="C3710" s="683"/>
      <c r="D3710" s="698"/>
      <c r="E3710" s="215"/>
      <c r="F3710" s="215"/>
      <c r="G3710" s="153"/>
      <c r="H3710" s="153"/>
      <c r="I3710" s="320">
        <v>20</v>
      </c>
      <c r="J3710" s="320">
        <v>60</v>
      </c>
      <c r="K3710" s="222">
        <v>1</v>
      </c>
      <c r="L3710" s="658">
        <v>20</v>
      </c>
      <c r="M3710" s="663">
        <v>34477</v>
      </c>
      <c r="N3710" s="600">
        <v>29.4452</v>
      </c>
      <c r="O3710" s="604">
        <v>5.5941999999999999E-2</v>
      </c>
      <c r="P3710" s="250"/>
      <c r="Q3710" s="250"/>
      <c r="R3710" s="250"/>
      <c r="S3710" s="250">
        <v>0.14400000000000002</v>
      </c>
      <c r="T3710" s="250">
        <v>1.3999999999999999E-2</v>
      </c>
      <c r="U3710" s="250">
        <v>4.2999999999999997E-2</v>
      </c>
      <c r="V3710" s="250">
        <v>0.16600000000000001</v>
      </c>
      <c r="W3710" s="250">
        <v>0.36399999999999999</v>
      </c>
      <c r="X3710" s="250">
        <v>0.25800000000000001</v>
      </c>
      <c r="Y3710" s="250">
        <v>1.1000000000000001E-2</v>
      </c>
      <c r="Z3710" s="150"/>
      <c r="AA3710" s="150">
        <v>0.78</v>
      </c>
      <c r="AB3710" s="152"/>
      <c r="AC3710" s="152"/>
      <c r="AD3710" s="223"/>
      <c r="AE3710" s="223"/>
      <c r="AF3710" s="223"/>
      <c r="AG3710" s="223"/>
      <c r="AH3710" s="341"/>
      <c r="AI3710" s="218"/>
      <c r="AJ3710" s="218"/>
      <c r="AK3710" s="153"/>
      <c r="AL3710" s="152"/>
      <c r="AM3710" s="152"/>
      <c r="AN3710" s="152"/>
      <c r="AO3710" s="152"/>
      <c r="AP3710" s="152"/>
      <c r="AQ3710" s="152"/>
      <c r="AR3710" s="152"/>
      <c r="AS3710" s="152"/>
      <c r="AT3710" s="152"/>
      <c r="AU3710" s="153"/>
      <c r="AV3710" s="479"/>
      <c r="AW3710" s="479"/>
      <c r="AX3710" s="442"/>
      <c r="AY3710" s="153"/>
      <c r="AZ3710" s="152"/>
      <c r="BA3710" s="152"/>
      <c r="BB3710" s="152"/>
      <c r="BC3710" s="152"/>
      <c r="BD3710" s="152"/>
      <c r="BE3710" s="152"/>
      <c r="BF3710" s="152"/>
      <c r="BG3710" s="152"/>
      <c r="BH3710" s="152"/>
      <c r="BI3710" s="153"/>
      <c r="BJ3710" s="153"/>
      <c r="BK3710" s="153"/>
      <c r="BL3710" s="153"/>
      <c r="BM3710" s="153"/>
      <c r="BN3710" s="153"/>
      <c r="BO3710" s="153"/>
      <c r="BP3710" s="153"/>
      <c r="BQ3710" s="153"/>
      <c r="BR3710" s="153"/>
      <c r="BS3710" s="153"/>
      <c r="BT3710" s="153"/>
      <c r="BU3710" s="153"/>
      <c r="BV3710" s="153"/>
      <c r="BW3710" s="153"/>
      <c r="BX3710" s="153"/>
      <c r="BY3710" s="153"/>
      <c r="BZ3710" s="153"/>
      <c r="CA3710" s="152"/>
      <c r="CB3710" s="152"/>
    </row>
    <row r="3711" spans="1:80" s="87" customFormat="1" ht="15" x14ac:dyDescent="0.25">
      <c r="A3711" s="152"/>
      <c r="B3711" s="683"/>
      <c r="C3711" s="683"/>
      <c r="D3711" s="698"/>
      <c r="E3711" s="215"/>
      <c r="F3711" s="215"/>
      <c r="G3711" s="153"/>
      <c r="H3711" s="153"/>
      <c r="I3711" s="320">
        <v>20</v>
      </c>
      <c r="J3711" s="320">
        <v>60</v>
      </c>
      <c r="K3711" s="222">
        <v>1</v>
      </c>
      <c r="L3711" s="658">
        <v>20</v>
      </c>
      <c r="M3711" s="663">
        <v>34477</v>
      </c>
      <c r="N3711" s="600">
        <v>29.4452</v>
      </c>
      <c r="O3711" s="604">
        <v>7.7247999999999997E-2</v>
      </c>
      <c r="P3711" s="250"/>
      <c r="Q3711" s="250"/>
      <c r="R3711" s="250"/>
      <c r="S3711" s="250">
        <v>5.0999999999999997E-2</v>
      </c>
      <c r="T3711" s="250">
        <v>3.3000000000000002E-2</v>
      </c>
      <c r="U3711" s="250">
        <v>8.199999999999999E-2</v>
      </c>
      <c r="V3711" s="250">
        <v>0.51700000000000002</v>
      </c>
      <c r="W3711" s="250">
        <v>0.215</v>
      </c>
      <c r="X3711" s="250">
        <v>9.9000000000000005E-2</v>
      </c>
      <c r="Y3711" s="250">
        <v>3.0000000000000001E-3</v>
      </c>
      <c r="Z3711" s="150"/>
      <c r="AA3711" s="150">
        <v>1.28</v>
      </c>
      <c r="AB3711" s="152"/>
      <c r="AC3711" s="152"/>
      <c r="AD3711" s="223"/>
      <c r="AE3711" s="223"/>
      <c r="AF3711" s="223"/>
      <c r="AG3711" s="223"/>
      <c r="AH3711" s="341"/>
      <c r="AI3711" s="218"/>
      <c r="AJ3711" s="218"/>
      <c r="AK3711" s="153"/>
      <c r="AL3711" s="152"/>
      <c r="AM3711" s="152"/>
      <c r="AN3711" s="152"/>
      <c r="AO3711" s="152"/>
      <c r="AP3711" s="152"/>
      <c r="AQ3711" s="152"/>
      <c r="AR3711" s="152"/>
      <c r="AS3711" s="152"/>
      <c r="AT3711" s="152"/>
      <c r="AU3711" s="153"/>
      <c r="AV3711" s="479"/>
      <c r="AW3711" s="479"/>
      <c r="AX3711" s="442"/>
      <c r="AY3711" s="153"/>
      <c r="AZ3711" s="152"/>
      <c r="BA3711" s="152"/>
      <c r="BB3711" s="152"/>
      <c r="BC3711" s="152"/>
      <c r="BD3711" s="152"/>
      <c r="BE3711" s="152"/>
      <c r="BF3711" s="152"/>
      <c r="BG3711" s="152"/>
      <c r="BH3711" s="152"/>
      <c r="BI3711" s="153"/>
      <c r="BJ3711" s="153"/>
      <c r="BK3711" s="153"/>
      <c r="BL3711" s="153"/>
      <c r="BM3711" s="153"/>
      <c r="BN3711" s="153"/>
      <c r="BO3711" s="153"/>
      <c r="BP3711" s="153"/>
      <c r="BQ3711" s="153"/>
      <c r="BR3711" s="153"/>
      <c r="BS3711" s="153"/>
      <c r="BT3711" s="153"/>
      <c r="BU3711" s="153"/>
      <c r="BV3711" s="153"/>
      <c r="BW3711" s="153"/>
      <c r="BX3711" s="153"/>
      <c r="BY3711" s="153"/>
      <c r="BZ3711" s="153"/>
      <c r="CA3711" s="152"/>
      <c r="CB3711" s="152"/>
    </row>
    <row r="3712" spans="1:80" s="87" customFormat="1" ht="15" x14ac:dyDescent="0.25">
      <c r="A3712" s="152"/>
      <c r="B3712" s="683"/>
      <c r="C3712" s="683"/>
      <c r="D3712" s="698"/>
      <c r="E3712" s="215"/>
      <c r="F3712" s="215"/>
      <c r="G3712" s="153"/>
      <c r="H3712" s="153"/>
      <c r="I3712" s="320">
        <v>20</v>
      </c>
      <c r="J3712" s="320">
        <v>60</v>
      </c>
      <c r="K3712" s="222">
        <v>1</v>
      </c>
      <c r="L3712" s="658">
        <v>20</v>
      </c>
      <c r="M3712" s="663">
        <v>34479</v>
      </c>
      <c r="N3712" s="600">
        <v>35.390900000000002</v>
      </c>
      <c r="O3712" s="604">
        <v>0.15428700000000001</v>
      </c>
      <c r="P3712" s="250"/>
      <c r="Q3712" s="250"/>
      <c r="R3712" s="250">
        <v>3.2000000000000001E-2</v>
      </c>
      <c r="S3712" s="250">
        <v>1.9E-2</v>
      </c>
      <c r="T3712" s="250">
        <v>3.5000000000000003E-2</v>
      </c>
      <c r="U3712" s="250">
        <v>5.7000000000000002E-2</v>
      </c>
      <c r="V3712" s="250">
        <v>0.25700000000000001</v>
      </c>
      <c r="W3712" s="250">
        <v>0.38799999999999996</v>
      </c>
      <c r="X3712" s="250">
        <v>0.20199999999999999</v>
      </c>
      <c r="Y3712" s="250">
        <v>0.01</v>
      </c>
      <c r="Z3712" s="150"/>
      <c r="AA3712" s="150">
        <v>0.84</v>
      </c>
      <c r="AB3712" s="152"/>
      <c r="AC3712" s="152"/>
      <c r="AD3712" s="223"/>
      <c r="AE3712" s="223"/>
      <c r="AF3712" s="223"/>
      <c r="AG3712" s="223"/>
      <c r="AH3712" s="341"/>
      <c r="AI3712" s="218"/>
      <c r="AJ3712" s="218"/>
      <c r="AK3712" s="153"/>
      <c r="AL3712" s="152"/>
      <c r="AM3712" s="152"/>
      <c r="AN3712" s="152"/>
      <c r="AO3712" s="152"/>
      <c r="AP3712" s="152"/>
      <c r="AQ3712" s="152"/>
      <c r="AR3712" s="152"/>
      <c r="AS3712" s="152"/>
      <c r="AT3712" s="152"/>
      <c r="AU3712" s="153"/>
      <c r="AV3712" s="479"/>
      <c r="AW3712" s="479"/>
      <c r="AX3712" s="442"/>
      <c r="AY3712" s="153"/>
      <c r="AZ3712" s="152"/>
      <c r="BA3712" s="152"/>
      <c r="BB3712" s="152"/>
      <c r="BC3712" s="152"/>
      <c r="BD3712" s="152"/>
      <c r="BE3712" s="152"/>
      <c r="BF3712" s="152"/>
      <c r="BG3712" s="152"/>
      <c r="BH3712" s="152"/>
      <c r="BI3712" s="153"/>
      <c r="BJ3712" s="153"/>
      <c r="BK3712" s="153"/>
      <c r="BL3712" s="153"/>
      <c r="BM3712" s="153"/>
      <c r="BN3712" s="153"/>
      <c r="BO3712" s="153"/>
      <c r="BP3712" s="153"/>
      <c r="BQ3712" s="153"/>
      <c r="BR3712" s="153"/>
      <c r="BS3712" s="153"/>
      <c r="BT3712" s="153"/>
      <c r="BU3712" s="153"/>
      <c r="BV3712" s="153"/>
      <c r="BW3712" s="153"/>
      <c r="BX3712" s="153"/>
      <c r="BY3712" s="153"/>
      <c r="BZ3712" s="153"/>
      <c r="CA3712" s="152"/>
      <c r="CB3712" s="152"/>
    </row>
    <row r="3713" spans="1:80" s="87" customFormat="1" ht="15" x14ac:dyDescent="0.25">
      <c r="A3713" s="152"/>
      <c r="B3713" s="683"/>
      <c r="C3713" s="683"/>
      <c r="D3713" s="698"/>
      <c r="E3713" s="215"/>
      <c r="F3713" s="215"/>
      <c r="G3713" s="153"/>
      <c r="H3713" s="153"/>
      <c r="I3713" s="320">
        <v>20</v>
      </c>
      <c r="J3713" s="320">
        <v>60</v>
      </c>
      <c r="K3713" s="222">
        <v>1</v>
      </c>
      <c r="L3713" s="658">
        <v>20</v>
      </c>
      <c r="M3713" s="663">
        <v>34479</v>
      </c>
      <c r="N3713" s="600">
        <v>35.390900000000002</v>
      </c>
      <c r="O3713" s="604">
        <v>0.17003099999999999</v>
      </c>
      <c r="P3713" s="250"/>
      <c r="Q3713" s="250"/>
      <c r="R3713" s="250">
        <v>1.9E-2</v>
      </c>
      <c r="S3713" s="250">
        <v>8.199999999999999E-2</v>
      </c>
      <c r="T3713" s="250">
        <v>7.6999999999999999E-2</v>
      </c>
      <c r="U3713" s="250">
        <v>7.2000000000000008E-2</v>
      </c>
      <c r="V3713" s="250">
        <v>0.24299999999999999</v>
      </c>
      <c r="W3713" s="250">
        <v>0.33299999999999996</v>
      </c>
      <c r="X3713" s="250">
        <v>0.16800000000000001</v>
      </c>
      <c r="Y3713" s="250">
        <v>6.0000000000000001E-3</v>
      </c>
      <c r="Z3713" s="150"/>
      <c r="AA3713" s="150">
        <v>0.99</v>
      </c>
      <c r="AB3713" s="152"/>
      <c r="AC3713" s="152"/>
      <c r="AD3713" s="223"/>
      <c r="AE3713" s="223"/>
      <c r="AF3713" s="223"/>
      <c r="AG3713" s="223"/>
      <c r="AH3713" s="341"/>
      <c r="AI3713" s="218"/>
      <c r="AJ3713" s="218"/>
      <c r="AK3713" s="153"/>
      <c r="AL3713" s="152"/>
      <c r="AM3713" s="152"/>
      <c r="AN3713" s="152"/>
      <c r="AO3713" s="152"/>
      <c r="AP3713" s="152"/>
      <c r="AQ3713" s="152"/>
      <c r="AR3713" s="152"/>
      <c r="AS3713" s="152"/>
      <c r="AT3713" s="152"/>
      <c r="AU3713" s="153"/>
      <c r="AV3713" s="479"/>
      <c r="AW3713" s="479"/>
      <c r="AX3713" s="442"/>
      <c r="AY3713" s="153"/>
      <c r="AZ3713" s="152"/>
      <c r="BA3713" s="152"/>
      <c r="BB3713" s="152"/>
      <c r="BC3713" s="152"/>
      <c r="BD3713" s="152"/>
      <c r="BE3713" s="152"/>
      <c r="BF3713" s="152"/>
      <c r="BG3713" s="152"/>
      <c r="BH3713" s="152"/>
      <c r="BI3713" s="153"/>
      <c r="BJ3713" s="153"/>
      <c r="BK3713" s="153"/>
      <c r="BL3713" s="153"/>
      <c r="BM3713" s="153"/>
      <c r="BN3713" s="153"/>
      <c r="BO3713" s="153"/>
      <c r="BP3713" s="153"/>
      <c r="BQ3713" s="153"/>
      <c r="BR3713" s="153"/>
      <c r="BS3713" s="153"/>
      <c r="BT3713" s="153"/>
      <c r="BU3713" s="153"/>
      <c r="BV3713" s="153"/>
      <c r="BW3713" s="153"/>
      <c r="BX3713" s="153"/>
      <c r="BY3713" s="153"/>
      <c r="BZ3713" s="153"/>
      <c r="CA3713" s="152"/>
      <c r="CB3713" s="152"/>
    </row>
    <row r="3714" spans="1:80" s="87" customFormat="1" ht="15" x14ac:dyDescent="0.25">
      <c r="A3714" s="152"/>
      <c r="B3714" s="683"/>
      <c r="C3714" s="683"/>
      <c r="D3714" s="698"/>
      <c r="E3714" s="215"/>
      <c r="F3714" s="215"/>
      <c r="G3714" s="153"/>
      <c r="H3714" s="153"/>
      <c r="I3714" s="320">
        <v>20</v>
      </c>
      <c r="J3714" s="320">
        <v>60</v>
      </c>
      <c r="K3714" s="222">
        <v>1</v>
      </c>
      <c r="L3714" s="658">
        <v>20</v>
      </c>
      <c r="M3714" s="663">
        <v>34485</v>
      </c>
      <c r="N3714" s="600">
        <v>43.035299999999999</v>
      </c>
      <c r="O3714" s="604">
        <v>0.25189699999999998</v>
      </c>
      <c r="P3714" s="250"/>
      <c r="Q3714" s="250"/>
      <c r="R3714" s="250">
        <v>3.3000000000000002E-2</v>
      </c>
      <c r="S3714" s="250">
        <v>4.9000000000000002E-2</v>
      </c>
      <c r="T3714" s="250">
        <v>3.7000000000000005E-2</v>
      </c>
      <c r="U3714" s="250">
        <v>4.9000000000000002E-2</v>
      </c>
      <c r="V3714" s="250">
        <v>0.13699999999999998</v>
      </c>
      <c r="W3714" s="250">
        <v>0.40899999999999997</v>
      </c>
      <c r="X3714" s="250">
        <v>0.27399999999999997</v>
      </c>
      <c r="Y3714" s="250">
        <v>1.2E-2</v>
      </c>
      <c r="Z3714" s="150"/>
      <c r="AA3714" s="150">
        <v>0.72</v>
      </c>
      <c r="AB3714" s="152"/>
      <c r="AC3714" s="152"/>
      <c r="AD3714" s="223"/>
      <c r="AE3714" s="223"/>
      <c r="AF3714" s="223"/>
      <c r="AG3714" s="223"/>
      <c r="AH3714" s="341"/>
      <c r="AI3714" s="218"/>
      <c r="AJ3714" s="218"/>
      <c r="AK3714" s="153"/>
      <c r="AL3714" s="152"/>
      <c r="AM3714" s="152"/>
      <c r="AN3714" s="152"/>
      <c r="AO3714" s="152"/>
      <c r="AP3714" s="152"/>
      <c r="AQ3714" s="152"/>
      <c r="AR3714" s="152"/>
      <c r="AS3714" s="152"/>
      <c r="AT3714" s="152"/>
      <c r="AU3714" s="153"/>
      <c r="AV3714" s="479"/>
      <c r="AW3714" s="479"/>
      <c r="AX3714" s="442"/>
      <c r="AY3714" s="153"/>
      <c r="AZ3714" s="152"/>
      <c r="BA3714" s="152"/>
      <c r="BB3714" s="152"/>
      <c r="BC3714" s="152"/>
      <c r="BD3714" s="152"/>
      <c r="BE3714" s="152"/>
      <c r="BF3714" s="152"/>
      <c r="BG3714" s="152"/>
      <c r="BH3714" s="152"/>
      <c r="BI3714" s="153"/>
      <c r="BJ3714" s="153"/>
      <c r="BK3714" s="153"/>
      <c r="BL3714" s="153"/>
      <c r="BM3714" s="153"/>
      <c r="BN3714" s="153"/>
      <c r="BO3714" s="153"/>
      <c r="BP3714" s="153"/>
      <c r="BQ3714" s="153"/>
      <c r="BR3714" s="153"/>
      <c r="BS3714" s="153"/>
      <c r="BT3714" s="153"/>
      <c r="BU3714" s="153"/>
      <c r="BV3714" s="153"/>
      <c r="BW3714" s="153"/>
      <c r="BX3714" s="153"/>
      <c r="BY3714" s="153"/>
      <c r="BZ3714" s="153"/>
      <c r="CA3714" s="152"/>
      <c r="CB3714" s="152"/>
    </row>
    <row r="3715" spans="1:80" s="87" customFormat="1" ht="15" x14ac:dyDescent="0.25">
      <c r="A3715" s="152"/>
      <c r="B3715" s="683"/>
      <c r="C3715" s="683"/>
      <c r="D3715" s="698"/>
      <c r="E3715" s="215"/>
      <c r="F3715" s="215"/>
      <c r="G3715" s="153"/>
      <c r="H3715" s="153"/>
      <c r="I3715" s="320">
        <v>20</v>
      </c>
      <c r="J3715" s="320">
        <v>60</v>
      </c>
      <c r="K3715" s="222">
        <v>1</v>
      </c>
      <c r="L3715" s="658">
        <v>20</v>
      </c>
      <c r="M3715" s="663">
        <v>34485</v>
      </c>
      <c r="N3715" s="600">
        <v>43.035299999999999</v>
      </c>
      <c r="O3715" s="604">
        <v>0.162684</v>
      </c>
      <c r="P3715" s="250"/>
      <c r="Q3715" s="250"/>
      <c r="R3715" s="250"/>
      <c r="S3715" s="250"/>
      <c r="T3715" s="250">
        <v>2.2000000000000002E-2</v>
      </c>
      <c r="U3715" s="250">
        <v>5.2999999999999999E-2</v>
      </c>
      <c r="V3715" s="250">
        <v>0.159</v>
      </c>
      <c r="W3715" s="250">
        <v>0.41700000000000004</v>
      </c>
      <c r="X3715" s="250">
        <v>0.33600000000000002</v>
      </c>
      <c r="Y3715" s="250">
        <v>1.3000000000000001E-2</v>
      </c>
      <c r="Z3715" s="150"/>
      <c r="AA3715" s="150">
        <v>0.64</v>
      </c>
      <c r="AB3715" s="152"/>
      <c r="AC3715" s="152"/>
      <c r="AD3715" s="223"/>
      <c r="AE3715" s="223"/>
      <c r="AF3715" s="223"/>
      <c r="AG3715" s="223"/>
      <c r="AH3715" s="341"/>
      <c r="AI3715" s="218"/>
      <c r="AJ3715" s="218"/>
      <c r="AK3715" s="153"/>
      <c r="AL3715" s="152"/>
      <c r="AM3715" s="152"/>
      <c r="AN3715" s="152"/>
      <c r="AO3715" s="152"/>
      <c r="AP3715" s="152"/>
      <c r="AQ3715" s="152"/>
      <c r="AR3715" s="152"/>
      <c r="AS3715" s="152"/>
      <c r="AT3715" s="152"/>
      <c r="AU3715" s="153"/>
      <c r="AV3715" s="479"/>
      <c r="AW3715" s="479"/>
      <c r="AX3715" s="442"/>
      <c r="AY3715" s="153"/>
      <c r="AZ3715" s="152"/>
      <c r="BA3715" s="152"/>
      <c r="BB3715" s="152"/>
      <c r="BC3715" s="152"/>
      <c r="BD3715" s="152"/>
      <c r="BE3715" s="152"/>
      <c r="BF3715" s="152"/>
      <c r="BG3715" s="152"/>
      <c r="BH3715" s="152"/>
      <c r="BI3715" s="153"/>
      <c r="BJ3715" s="153"/>
      <c r="BK3715" s="153"/>
      <c r="BL3715" s="153"/>
      <c r="BM3715" s="153"/>
      <c r="BN3715" s="153"/>
      <c r="BO3715" s="153"/>
      <c r="BP3715" s="153"/>
      <c r="BQ3715" s="153"/>
      <c r="BR3715" s="153"/>
      <c r="BS3715" s="153"/>
      <c r="BT3715" s="153"/>
      <c r="BU3715" s="153"/>
      <c r="BV3715" s="153"/>
      <c r="BW3715" s="153"/>
      <c r="BX3715" s="153"/>
      <c r="BY3715" s="153"/>
      <c r="BZ3715" s="153"/>
      <c r="CA3715" s="152"/>
      <c r="CB3715" s="152"/>
    </row>
    <row r="3716" spans="1:80" s="87" customFormat="1" ht="15" x14ac:dyDescent="0.25">
      <c r="A3716" s="152"/>
      <c r="B3716" s="683"/>
      <c r="C3716" s="683"/>
      <c r="D3716" s="698"/>
      <c r="E3716" s="215"/>
      <c r="F3716" s="215"/>
      <c r="G3716" s="153"/>
      <c r="H3716" s="153"/>
      <c r="I3716" s="320">
        <v>20</v>
      </c>
      <c r="J3716" s="320">
        <v>60</v>
      </c>
      <c r="K3716" s="222">
        <v>1</v>
      </c>
      <c r="L3716" s="658">
        <v>20</v>
      </c>
      <c r="M3716" s="663">
        <v>34487</v>
      </c>
      <c r="N3716" s="600">
        <v>43.884700000000002</v>
      </c>
      <c r="O3716" s="604">
        <v>0.54052900000000004</v>
      </c>
      <c r="P3716" s="250"/>
      <c r="Q3716" s="250">
        <v>0.28199999999999997</v>
      </c>
      <c r="R3716" s="250">
        <v>0.10400000000000001</v>
      </c>
      <c r="S3716" s="250">
        <v>2.1000000000000001E-2</v>
      </c>
      <c r="T3716" s="250">
        <v>3.6000000000000004E-2</v>
      </c>
      <c r="U3716" s="250">
        <v>5.2999999999999999E-2</v>
      </c>
      <c r="V3716" s="250">
        <v>0.128</v>
      </c>
      <c r="W3716" s="250">
        <v>0.22500000000000001</v>
      </c>
      <c r="X3716" s="250">
        <v>0.14300000000000002</v>
      </c>
      <c r="Y3716" s="250">
        <v>8.0000000000000002E-3</v>
      </c>
      <c r="Z3716" s="150"/>
      <c r="AA3716" s="150">
        <v>1.96</v>
      </c>
      <c r="AB3716" s="152"/>
      <c r="AC3716" s="152"/>
      <c r="AD3716" s="223"/>
      <c r="AE3716" s="223"/>
      <c r="AF3716" s="223"/>
      <c r="AG3716" s="223"/>
      <c r="AH3716" s="341"/>
      <c r="AI3716" s="218"/>
      <c r="AJ3716" s="218"/>
      <c r="AK3716" s="153"/>
      <c r="AL3716" s="152"/>
      <c r="AM3716" s="152"/>
      <c r="AN3716" s="152"/>
      <c r="AO3716" s="152"/>
      <c r="AP3716" s="152"/>
      <c r="AQ3716" s="152"/>
      <c r="AR3716" s="152"/>
      <c r="AS3716" s="152"/>
      <c r="AT3716" s="152"/>
      <c r="AU3716" s="153"/>
      <c r="AV3716" s="479"/>
      <c r="AW3716" s="479"/>
      <c r="AX3716" s="442"/>
      <c r="AY3716" s="153"/>
      <c r="AZ3716" s="152"/>
      <c r="BA3716" s="152"/>
      <c r="BB3716" s="152"/>
      <c r="BC3716" s="152"/>
      <c r="BD3716" s="152"/>
      <c r="BE3716" s="152"/>
      <c r="BF3716" s="152"/>
      <c r="BG3716" s="152"/>
      <c r="BH3716" s="152"/>
      <c r="BI3716" s="153"/>
      <c r="BJ3716" s="153"/>
      <c r="BK3716" s="153"/>
      <c r="BL3716" s="153"/>
      <c r="BM3716" s="153"/>
      <c r="BN3716" s="153"/>
      <c r="BO3716" s="153"/>
      <c r="BP3716" s="153"/>
      <c r="BQ3716" s="153"/>
      <c r="BR3716" s="153"/>
      <c r="BS3716" s="153"/>
      <c r="BT3716" s="153"/>
      <c r="BU3716" s="153"/>
      <c r="BV3716" s="153"/>
      <c r="BW3716" s="153"/>
      <c r="BX3716" s="153"/>
      <c r="BY3716" s="153"/>
      <c r="BZ3716" s="153"/>
      <c r="CA3716" s="152"/>
      <c r="CB3716" s="152"/>
    </row>
    <row r="3717" spans="1:80" s="87" customFormat="1" ht="15" x14ac:dyDescent="0.25">
      <c r="A3717" s="152"/>
      <c r="B3717" s="683"/>
      <c r="C3717" s="683"/>
      <c r="D3717" s="698"/>
      <c r="E3717" s="215"/>
      <c r="F3717" s="215"/>
      <c r="G3717" s="153"/>
      <c r="H3717" s="153"/>
      <c r="I3717" s="320">
        <v>20</v>
      </c>
      <c r="J3717" s="320">
        <v>60</v>
      </c>
      <c r="K3717" s="222">
        <v>1</v>
      </c>
      <c r="L3717" s="658">
        <v>20</v>
      </c>
      <c r="M3717" s="663">
        <v>34487</v>
      </c>
      <c r="N3717" s="600">
        <v>43.884700000000002</v>
      </c>
      <c r="O3717" s="604">
        <v>0.24560000000000001</v>
      </c>
      <c r="P3717" s="250"/>
      <c r="Q3717" s="250"/>
      <c r="R3717" s="250"/>
      <c r="S3717" s="250"/>
      <c r="T3717" s="250">
        <v>1.2E-2</v>
      </c>
      <c r="U3717" s="250">
        <v>3.7000000000000005E-2</v>
      </c>
      <c r="V3717" s="250">
        <v>0.182</v>
      </c>
      <c r="W3717" s="250">
        <v>0.47899999999999998</v>
      </c>
      <c r="X3717" s="250">
        <v>0.28000000000000003</v>
      </c>
      <c r="Y3717" s="250">
        <v>0.01</v>
      </c>
      <c r="Z3717" s="150"/>
      <c r="AA3717" s="150">
        <v>0.68</v>
      </c>
      <c r="AB3717" s="152"/>
      <c r="AC3717" s="152"/>
      <c r="AD3717" s="223"/>
      <c r="AE3717" s="223"/>
      <c r="AF3717" s="223"/>
      <c r="AG3717" s="223"/>
      <c r="AH3717" s="341"/>
      <c r="AI3717" s="218"/>
      <c r="AJ3717" s="218"/>
      <c r="AK3717" s="153"/>
      <c r="AL3717" s="152"/>
      <c r="AM3717" s="152"/>
      <c r="AN3717" s="152"/>
      <c r="AO3717" s="152"/>
      <c r="AP3717" s="152"/>
      <c r="AQ3717" s="152"/>
      <c r="AR3717" s="152"/>
      <c r="AS3717" s="152"/>
      <c r="AT3717" s="152"/>
      <c r="AU3717" s="153"/>
      <c r="AV3717" s="479"/>
      <c r="AW3717" s="479"/>
      <c r="AX3717" s="442"/>
      <c r="AY3717" s="153"/>
      <c r="AZ3717" s="152"/>
      <c r="BA3717" s="152"/>
      <c r="BB3717" s="152"/>
      <c r="BC3717" s="152"/>
      <c r="BD3717" s="152"/>
      <c r="BE3717" s="152"/>
      <c r="BF3717" s="152"/>
      <c r="BG3717" s="152"/>
      <c r="BH3717" s="152"/>
      <c r="BI3717" s="153"/>
      <c r="BJ3717" s="153"/>
      <c r="BK3717" s="153"/>
      <c r="BL3717" s="153"/>
      <c r="BM3717" s="153"/>
      <c r="BN3717" s="153"/>
      <c r="BO3717" s="153"/>
      <c r="BP3717" s="153"/>
      <c r="BQ3717" s="153"/>
      <c r="BR3717" s="153"/>
      <c r="BS3717" s="153"/>
      <c r="BT3717" s="153"/>
      <c r="BU3717" s="153"/>
      <c r="BV3717" s="153"/>
      <c r="BW3717" s="153"/>
      <c r="BX3717" s="153"/>
      <c r="BY3717" s="153"/>
      <c r="BZ3717" s="153"/>
      <c r="CA3717" s="152"/>
      <c r="CB3717" s="152"/>
    </row>
    <row r="3718" spans="1:80" s="87" customFormat="1" ht="15" x14ac:dyDescent="0.25">
      <c r="A3718" s="152"/>
      <c r="B3718" s="683"/>
      <c r="C3718" s="683"/>
      <c r="D3718" s="698"/>
      <c r="E3718" s="215"/>
      <c r="F3718" s="215"/>
      <c r="G3718" s="153"/>
      <c r="H3718" s="153"/>
      <c r="I3718" s="320">
        <v>20</v>
      </c>
      <c r="J3718" s="320">
        <v>60</v>
      </c>
      <c r="K3718" s="222">
        <v>1</v>
      </c>
      <c r="L3718" s="658">
        <v>20</v>
      </c>
      <c r="M3718" s="663">
        <v>34491</v>
      </c>
      <c r="N3718" s="600">
        <v>37.089599999999997</v>
      </c>
      <c r="O3718" s="604">
        <v>0.13959299999999999</v>
      </c>
      <c r="P3718" s="250"/>
      <c r="Q3718" s="250"/>
      <c r="R3718" s="250"/>
      <c r="S3718" s="250"/>
      <c r="T3718" s="250">
        <v>4.0000000000000001E-3</v>
      </c>
      <c r="U3718" s="250">
        <v>0.02</v>
      </c>
      <c r="V3718" s="250">
        <v>0.254</v>
      </c>
      <c r="W3718" s="250">
        <v>0.496</v>
      </c>
      <c r="X3718" s="250">
        <v>0.21899999999999997</v>
      </c>
      <c r="Y3718" s="250">
        <v>6.9999999999999993E-3</v>
      </c>
      <c r="Z3718" s="150"/>
      <c r="AA3718" s="150">
        <v>0.73</v>
      </c>
      <c r="AB3718" s="152"/>
      <c r="AC3718" s="152"/>
      <c r="AD3718" s="223"/>
      <c r="AE3718" s="223"/>
      <c r="AF3718" s="223"/>
      <c r="AG3718" s="223"/>
      <c r="AH3718" s="341"/>
      <c r="AI3718" s="218"/>
      <c r="AJ3718" s="218"/>
      <c r="AK3718" s="153"/>
      <c r="AL3718" s="152"/>
      <c r="AM3718" s="152"/>
      <c r="AN3718" s="152"/>
      <c r="AO3718" s="152"/>
      <c r="AP3718" s="152"/>
      <c r="AQ3718" s="152"/>
      <c r="AR3718" s="152"/>
      <c r="AS3718" s="152"/>
      <c r="AT3718" s="152"/>
      <c r="AU3718" s="153"/>
      <c r="AV3718" s="479"/>
      <c r="AW3718" s="479"/>
      <c r="AX3718" s="442"/>
      <c r="AY3718" s="153"/>
      <c r="AZ3718" s="152"/>
      <c r="BA3718" s="152"/>
      <c r="BB3718" s="152"/>
      <c r="BC3718" s="152"/>
      <c r="BD3718" s="152"/>
      <c r="BE3718" s="152"/>
      <c r="BF3718" s="152"/>
      <c r="BG3718" s="152"/>
      <c r="BH3718" s="152"/>
      <c r="BI3718" s="153"/>
      <c r="BJ3718" s="153"/>
      <c r="BK3718" s="153"/>
      <c r="BL3718" s="153"/>
      <c r="BM3718" s="153"/>
      <c r="BN3718" s="153"/>
      <c r="BO3718" s="153"/>
      <c r="BP3718" s="153"/>
      <c r="BQ3718" s="153"/>
      <c r="BR3718" s="153"/>
      <c r="BS3718" s="153"/>
      <c r="BT3718" s="153"/>
      <c r="BU3718" s="153"/>
      <c r="BV3718" s="153"/>
      <c r="BW3718" s="153"/>
      <c r="BX3718" s="153"/>
      <c r="BY3718" s="153"/>
      <c r="BZ3718" s="153"/>
      <c r="CA3718" s="152"/>
      <c r="CB3718" s="152"/>
    </row>
    <row r="3719" spans="1:80" s="87" customFormat="1" ht="15" x14ac:dyDescent="0.25">
      <c r="A3719" s="152"/>
      <c r="B3719" s="683"/>
      <c r="C3719" s="683"/>
      <c r="D3719" s="698"/>
      <c r="E3719" s="215"/>
      <c r="F3719" s="215"/>
      <c r="G3719" s="153"/>
      <c r="H3719" s="153"/>
      <c r="I3719" s="320">
        <v>20</v>
      </c>
      <c r="J3719" s="320">
        <v>60</v>
      </c>
      <c r="K3719" s="222">
        <v>1</v>
      </c>
      <c r="L3719" s="658">
        <v>20</v>
      </c>
      <c r="M3719" s="663">
        <v>34491</v>
      </c>
      <c r="N3719" s="600">
        <v>37.089599999999997</v>
      </c>
      <c r="O3719" s="604">
        <v>0.11125500000000001</v>
      </c>
      <c r="P3719" s="250"/>
      <c r="Q3719" s="250"/>
      <c r="R3719" s="250"/>
      <c r="S3719" s="250"/>
      <c r="T3719" s="250">
        <v>4.0000000000000001E-3</v>
      </c>
      <c r="U3719" s="250">
        <v>2.2000000000000002E-2</v>
      </c>
      <c r="V3719" s="250">
        <v>0.22800000000000001</v>
      </c>
      <c r="W3719" s="250">
        <v>0.45299999999999996</v>
      </c>
      <c r="X3719" s="250">
        <v>0.28300000000000003</v>
      </c>
      <c r="Y3719" s="250">
        <v>0.01</v>
      </c>
      <c r="Z3719" s="150"/>
      <c r="AA3719" s="150">
        <v>0.69</v>
      </c>
      <c r="AB3719" s="152"/>
      <c r="AC3719" s="152"/>
      <c r="AD3719" s="223"/>
      <c r="AE3719" s="223"/>
      <c r="AF3719" s="223"/>
      <c r="AG3719" s="223"/>
      <c r="AH3719" s="341"/>
      <c r="AI3719" s="218"/>
      <c r="AJ3719" s="218"/>
      <c r="AK3719" s="153"/>
      <c r="AL3719" s="152"/>
      <c r="AM3719" s="152"/>
      <c r="AN3719" s="152"/>
      <c r="AO3719" s="152"/>
      <c r="AP3719" s="152"/>
      <c r="AQ3719" s="152"/>
      <c r="AR3719" s="152"/>
      <c r="AS3719" s="152"/>
      <c r="AT3719" s="152"/>
      <c r="AU3719" s="153"/>
      <c r="AV3719" s="479"/>
      <c r="AW3719" s="479"/>
      <c r="AX3719" s="442"/>
      <c r="AY3719" s="153"/>
      <c r="AZ3719" s="152"/>
      <c r="BA3719" s="152"/>
      <c r="BB3719" s="152"/>
      <c r="BC3719" s="152"/>
      <c r="BD3719" s="152"/>
      <c r="BE3719" s="152"/>
      <c r="BF3719" s="152"/>
      <c r="BG3719" s="152"/>
      <c r="BH3719" s="152"/>
      <c r="BI3719" s="153"/>
      <c r="BJ3719" s="153"/>
      <c r="BK3719" s="153"/>
      <c r="BL3719" s="153"/>
      <c r="BM3719" s="153"/>
      <c r="BN3719" s="153"/>
      <c r="BO3719" s="153"/>
      <c r="BP3719" s="153"/>
      <c r="BQ3719" s="153"/>
      <c r="BR3719" s="153"/>
      <c r="BS3719" s="153"/>
      <c r="BT3719" s="153"/>
      <c r="BU3719" s="153"/>
      <c r="BV3719" s="153"/>
      <c r="BW3719" s="153"/>
      <c r="BX3719" s="153"/>
      <c r="BY3719" s="153"/>
      <c r="BZ3719" s="153"/>
      <c r="CA3719" s="152"/>
      <c r="CB3719" s="152"/>
    </row>
    <row r="3720" spans="1:80" s="87" customFormat="1" ht="15" x14ac:dyDescent="0.25">
      <c r="A3720" s="152"/>
      <c r="B3720" s="683"/>
      <c r="C3720" s="683"/>
      <c r="D3720" s="698"/>
      <c r="E3720" s="215"/>
      <c r="F3720" s="215"/>
      <c r="G3720" s="153"/>
      <c r="H3720" s="153"/>
      <c r="I3720" s="320">
        <v>20</v>
      </c>
      <c r="J3720" s="320">
        <v>60</v>
      </c>
      <c r="K3720" s="222">
        <v>1</v>
      </c>
      <c r="L3720" s="658">
        <v>20</v>
      </c>
      <c r="M3720" s="663">
        <v>34498</v>
      </c>
      <c r="N3720" s="600">
        <v>29.728300000000001</v>
      </c>
      <c r="O3720" s="604">
        <v>0.28758299999999998</v>
      </c>
      <c r="P3720" s="250"/>
      <c r="Q3720" s="250"/>
      <c r="R3720" s="250">
        <v>2.6000000000000002E-2</v>
      </c>
      <c r="S3720" s="250">
        <v>2.7000000000000003E-2</v>
      </c>
      <c r="T3720" s="250">
        <v>6.0999999999999999E-2</v>
      </c>
      <c r="U3720" s="250">
        <v>7.400000000000001E-2</v>
      </c>
      <c r="V3720" s="250">
        <v>0.30499999999999999</v>
      </c>
      <c r="W3720" s="250">
        <v>0.38600000000000001</v>
      </c>
      <c r="X3720" s="250">
        <v>0.11599999999999999</v>
      </c>
      <c r="Y3720" s="250">
        <v>5.0000000000000001E-3</v>
      </c>
      <c r="Z3720" s="150"/>
      <c r="AA3720" s="150">
        <v>0.99</v>
      </c>
      <c r="AB3720" s="152"/>
      <c r="AC3720" s="152"/>
      <c r="AD3720" s="223"/>
      <c r="AE3720" s="223"/>
      <c r="AF3720" s="223"/>
      <c r="AG3720" s="223"/>
      <c r="AH3720" s="341"/>
      <c r="AI3720" s="218"/>
      <c r="AJ3720" s="218"/>
      <c r="AK3720" s="153"/>
      <c r="AL3720" s="152"/>
      <c r="AM3720" s="152"/>
      <c r="AN3720" s="152"/>
      <c r="AO3720" s="152"/>
      <c r="AP3720" s="152"/>
      <c r="AQ3720" s="152"/>
      <c r="AR3720" s="152"/>
      <c r="AS3720" s="152"/>
      <c r="AT3720" s="152"/>
      <c r="AU3720" s="153"/>
      <c r="AV3720" s="479"/>
      <c r="AW3720" s="479"/>
      <c r="AX3720" s="442"/>
      <c r="AY3720" s="153"/>
      <c r="AZ3720" s="152"/>
      <c r="BA3720" s="152"/>
      <c r="BB3720" s="152"/>
      <c r="BC3720" s="152"/>
      <c r="BD3720" s="152"/>
      <c r="BE3720" s="152"/>
      <c r="BF3720" s="152"/>
      <c r="BG3720" s="152"/>
      <c r="BH3720" s="152"/>
      <c r="BI3720" s="153"/>
      <c r="BJ3720" s="153"/>
      <c r="BK3720" s="153"/>
      <c r="BL3720" s="153"/>
      <c r="BM3720" s="153"/>
      <c r="BN3720" s="153"/>
      <c r="BO3720" s="153"/>
      <c r="BP3720" s="153"/>
      <c r="BQ3720" s="153"/>
      <c r="BR3720" s="153"/>
      <c r="BS3720" s="153"/>
      <c r="BT3720" s="153"/>
      <c r="BU3720" s="153"/>
      <c r="BV3720" s="153"/>
      <c r="BW3720" s="153"/>
      <c r="BX3720" s="153"/>
      <c r="BY3720" s="153"/>
      <c r="BZ3720" s="153"/>
      <c r="CA3720" s="152"/>
      <c r="CB3720" s="152"/>
    </row>
    <row r="3721" spans="1:80" s="87" customFormat="1" ht="15" x14ac:dyDescent="0.25">
      <c r="A3721" s="152"/>
      <c r="B3721" s="683"/>
      <c r="C3721" s="683"/>
      <c r="D3721" s="698"/>
      <c r="E3721" s="215"/>
      <c r="F3721" s="215"/>
      <c r="G3721" s="153"/>
      <c r="H3721" s="153"/>
      <c r="I3721" s="320">
        <v>20</v>
      </c>
      <c r="J3721" s="320">
        <v>60</v>
      </c>
      <c r="K3721" s="222">
        <v>1</v>
      </c>
      <c r="L3721" s="658">
        <v>20</v>
      </c>
      <c r="M3721" s="663">
        <v>34498</v>
      </c>
      <c r="N3721" s="600">
        <v>29.728300000000001</v>
      </c>
      <c r="O3721" s="604">
        <v>0.32011899999999999</v>
      </c>
      <c r="P3721" s="250"/>
      <c r="Q3721" s="250">
        <v>0.20699999999999999</v>
      </c>
      <c r="R3721" s="250">
        <v>1.8000000000000002E-2</v>
      </c>
      <c r="S3721" s="250">
        <v>3.6000000000000004E-2</v>
      </c>
      <c r="T3721" s="250">
        <v>4.2999999999999997E-2</v>
      </c>
      <c r="U3721" s="250">
        <v>4.7E-2</v>
      </c>
      <c r="V3721" s="250">
        <v>0.23800000000000002</v>
      </c>
      <c r="W3721" s="250">
        <v>0.307</v>
      </c>
      <c r="X3721" s="250">
        <v>9.9000000000000005E-2</v>
      </c>
      <c r="Y3721" s="250">
        <v>5.0000000000000001E-3</v>
      </c>
      <c r="Z3721" s="150"/>
      <c r="AA3721" s="150">
        <v>1.3</v>
      </c>
      <c r="AB3721" s="152"/>
      <c r="AC3721" s="152"/>
      <c r="AD3721" s="223"/>
      <c r="AE3721" s="223"/>
      <c r="AF3721" s="223"/>
      <c r="AG3721" s="223"/>
      <c r="AH3721" s="341"/>
      <c r="AI3721" s="218"/>
      <c r="AJ3721" s="218"/>
      <c r="AK3721" s="153"/>
      <c r="AL3721" s="152"/>
      <c r="AM3721" s="152"/>
      <c r="AN3721" s="152"/>
      <c r="AO3721" s="152"/>
      <c r="AP3721" s="152"/>
      <c r="AQ3721" s="152"/>
      <c r="AR3721" s="152"/>
      <c r="AS3721" s="152"/>
      <c r="AT3721" s="152"/>
      <c r="AU3721" s="153"/>
      <c r="AV3721" s="479"/>
      <c r="AW3721" s="479"/>
      <c r="AX3721" s="442"/>
      <c r="AY3721" s="153"/>
      <c r="AZ3721" s="152"/>
      <c r="BA3721" s="152"/>
      <c r="BB3721" s="152"/>
      <c r="BC3721" s="152"/>
      <c r="BD3721" s="152"/>
      <c r="BE3721" s="152"/>
      <c r="BF3721" s="152"/>
      <c r="BG3721" s="152"/>
      <c r="BH3721" s="152"/>
      <c r="BI3721" s="153"/>
      <c r="BJ3721" s="153"/>
      <c r="BK3721" s="153"/>
      <c r="BL3721" s="153"/>
      <c r="BM3721" s="153"/>
      <c r="BN3721" s="153"/>
      <c r="BO3721" s="153"/>
      <c r="BP3721" s="153"/>
      <c r="BQ3721" s="153"/>
      <c r="BR3721" s="153"/>
      <c r="BS3721" s="153"/>
      <c r="BT3721" s="153"/>
      <c r="BU3721" s="153"/>
      <c r="BV3721" s="153"/>
      <c r="BW3721" s="153"/>
      <c r="BX3721" s="153"/>
      <c r="BY3721" s="153"/>
      <c r="BZ3721" s="153"/>
      <c r="CA3721" s="152"/>
      <c r="CB3721" s="152"/>
    </row>
    <row r="3722" spans="1:80" s="87" customFormat="1" ht="15" x14ac:dyDescent="0.25">
      <c r="A3722" s="152"/>
      <c r="B3722" s="683"/>
      <c r="C3722" s="683"/>
      <c r="D3722" s="698"/>
      <c r="E3722" s="215"/>
      <c r="F3722" s="215"/>
      <c r="G3722" s="153"/>
      <c r="H3722" s="153"/>
      <c r="I3722" s="320">
        <v>20</v>
      </c>
      <c r="J3722" s="320">
        <v>60</v>
      </c>
      <c r="K3722" s="222">
        <v>1</v>
      </c>
      <c r="L3722" s="658">
        <v>20</v>
      </c>
      <c r="M3722" s="663">
        <v>34820</v>
      </c>
      <c r="N3722" s="600">
        <v>34.824599999999997</v>
      </c>
      <c r="O3722" s="604">
        <v>0.102858</v>
      </c>
      <c r="P3722" s="250"/>
      <c r="Q3722" s="250"/>
      <c r="R3722" s="250"/>
      <c r="S3722" s="250"/>
      <c r="T3722" s="250">
        <v>6.0000000000000001E-3</v>
      </c>
      <c r="U3722" s="250">
        <v>3.4000000000000002E-2</v>
      </c>
      <c r="V3722" s="250">
        <v>0.28999999999999998</v>
      </c>
      <c r="W3722" s="250">
        <v>0.47200000000000003</v>
      </c>
      <c r="X3722" s="250">
        <v>0.192</v>
      </c>
      <c r="Y3722" s="250">
        <v>6.0000000000000001E-3</v>
      </c>
      <c r="Z3722" s="150">
        <v>7</v>
      </c>
      <c r="AA3722" s="150">
        <v>0.78</v>
      </c>
      <c r="AB3722" s="152"/>
      <c r="AC3722" s="152"/>
      <c r="AD3722" s="223"/>
      <c r="AE3722" s="223"/>
      <c r="AF3722" s="223"/>
      <c r="AG3722" s="223"/>
      <c r="AH3722" s="341"/>
      <c r="AI3722" s="218"/>
      <c r="AJ3722" s="218"/>
      <c r="AK3722" s="153"/>
      <c r="AL3722" s="152"/>
      <c r="AM3722" s="152"/>
      <c r="AN3722" s="152"/>
      <c r="AO3722" s="152"/>
      <c r="AP3722" s="152"/>
      <c r="AQ3722" s="152"/>
      <c r="AR3722" s="152"/>
      <c r="AS3722" s="152"/>
      <c r="AT3722" s="152"/>
      <c r="AU3722" s="153"/>
      <c r="AV3722" s="479"/>
      <c r="AW3722" s="479"/>
      <c r="AX3722" s="442"/>
      <c r="AY3722" s="153"/>
      <c r="AZ3722" s="152"/>
      <c r="BA3722" s="152"/>
      <c r="BB3722" s="152"/>
      <c r="BC3722" s="152"/>
      <c r="BD3722" s="152"/>
      <c r="BE3722" s="152"/>
      <c r="BF3722" s="152"/>
      <c r="BG3722" s="152"/>
      <c r="BH3722" s="152"/>
      <c r="BI3722" s="153"/>
      <c r="BJ3722" s="153"/>
      <c r="BK3722" s="153"/>
      <c r="BL3722" s="153"/>
      <c r="BM3722" s="153"/>
      <c r="BN3722" s="153"/>
      <c r="BO3722" s="153"/>
      <c r="BP3722" s="153"/>
      <c r="BQ3722" s="153"/>
      <c r="BR3722" s="153"/>
      <c r="BS3722" s="153"/>
      <c r="BT3722" s="153"/>
      <c r="BU3722" s="153"/>
      <c r="BV3722" s="153"/>
      <c r="BW3722" s="153"/>
      <c r="BX3722" s="153"/>
      <c r="BY3722" s="153"/>
      <c r="BZ3722" s="153"/>
      <c r="CA3722" s="152"/>
      <c r="CB3722" s="152"/>
    </row>
    <row r="3723" spans="1:80" s="87" customFormat="1" ht="15" x14ac:dyDescent="0.25">
      <c r="A3723" s="152"/>
      <c r="B3723" s="683"/>
      <c r="C3723" s="683"/>
      <c r="D3723" s="698"/>
      <c r="E3723" s="215"/>
      <c r="F3723" s="215"/>
      <c r="G3723" s="153"/>
      <c r="H3723" s="153"/>
      <c r="I3723" s="320">
        <v>20</v>
      </c>
      <c r="J3723" s="320">
        <v>60</v>
      </c>
      <c r="K3723" s="222">
        <v>1</v>
      </c>
      <c r="L3723" s="658">
        <v>20</v>
      </c>
      <c r="M3723" s="663">
        <v>34820</v>
      </c>
      <c r="N3723" s="600">
        <v>34.824599999999997</v>
      </c>
      <c r="O3723" s="604">
        <v>0.380994</v>
      </c>
      <c r="P3723" s="250"/>
      <c r="Q3723" s="250"/>
      <c r="R3723" s="250">
        <v>1.2E-2</v>
      </c>
      <c r="S3723" s="250">
        <v>1.8000000000000002E-2</v>
      </c>
      <c r="T3723" s="250">
        <v>2.7999999999999997E-2</v>
      </c>
      <c r="U3723" s="250">
        <v>0.107</v>
      </c>
      <c r="V3723" s="250">
        <v>0.40600000000000003</v>
      </c>
      <c r="W3723" s="250">
        <v>0.30599999999999999</v>
      </c>
      <c r="X3723" s="250">
        <v>0.11900000000000001</v>
      </c>
      <c r="Y3723" s="250">
        <v>4.0000000000000001E-3</v>
      </c>
      <c r="Z3723" s="150">
        <v>17</v>
      </c>
      <c r="AA3723" s="150">
        <v>1.1299999999999999</v>
      </c>
      <c r="AB3723" s="152"/>
      <c r="AC3723" s="152"/>
      <c r="AD3723" s="223"/>
      <c r="AE3723" s="223"/>
      <c r="AF3723" s="223"/>
      <c r="AG3723" s="223"/>
      <c r="AH3723" s="341"/>
      <c r="AI3723" s="218"/>
      <c r="AJ3723" s="218"/>
      <c r="AK3723" s="153"/>
      <c r="AL3723" s="152"/>
      <c r="AM3723" s="152"/>
      <c r="AN3723" s="152"/>
      <c r="AO3723" s="152"/>
      <c r="AP3723" s="152"/>
      <c r="AQ3723" s="152"/>
      <c r="AR3723" s="152"/>
      <c r="AS3723" s="152"/>
      <c r="AT3723" s="152"/>
      <c r="AU3723" s="153"/>
      <c r="AV3723" s="479"/>
      <c r="AW3723" s="479"/>
      <c r="AX3723" s="442"/>
      <c r="AY3723" s="153"/>
      <c r="AZ3723" s="152"/>
      <c r="BA3723" s="152"/>
      <c r="BB3723" s="152"/>
      <c r="BC3723" s="152"/>
      <c r="BD3723" s="152"/>
      <c r="BE3723" s="152"/>
      <c r="BF3723" s="152"/>
      <c r="BG3723" s="152"/>
      <c r="BH3723" s="152"/>
      <c r="BI3723" s="153"/>
      <c r="BJ3723" s="153"/>
      <c r="BK3723" s="153"/>
      <c r="BL3723" s="153"/>
      <c r="BM3723" s="153"/>
      <c r="BN3723" s="153"/>
      <c r="BO3723" s="153"/>
      <c r="BP3723" s="153"/>
      <c r="BQ3723" s="153"/>
      <c r="BR3723" s="153"/>
      <c r="BS3723" s="153"/>
      <c r="BT3723" s="153"/>
      <c r="BU3723" s="153"/>
      <c r="BV3723" s="153"/>
      <c r="BW3723" s="153"/>
      <c r="BX3723" s="153"/>
      <c r="BY3723" s="153"/>
      <c r="BZ3723" s="153"/>
      <c r="CA3723" s="152"/>
      <c r="CB3723" s="152"/>
    </row>
    <row r="3724" spans="1:80" s="87" customFormat="1" ht="15" x14ac:dyDescent="0.25">
      <c r="A3724" s="152"/>
      <c r="B3724" s="683"/>
      <c r="C3724" s="683"/>
      <c r="D3724" s="698"/>
      <c r="E3724" s="215"/>
      <c r="F3724" s="215"/>
      <c r="G3724" s="153"/>
      <c r="H3724" s="153"/>
      <c r="I3724" s="320">
        <v>20</v>
      </c>
      <c r="J3724" s="320">
        <v>60</v>
      </c>
      <c r="K3724" s="222">
        <v>1</v>
      </c>
      <c r="L3724" s="658">
        <v>20</v>
      </c>
      <c r="M3724" s="663">
        <v>34821</v>
      </c>
      <c r="N3724" s="600">
        <v>37.655900000000003</v>
      </c>
      <c r="O3724" s="604">
        <v>9.6141000000000004E-2</v>
      </c>
      <c r="P3724" s="250"/>
      <c r="Q3724" s="250"/>
      <c r="R3724" s="250"/>
      <c r="S3724" s="250"/>
      <c r="T3724" s="250">
        <v>8.0000000000000002E-3</v>
      </c>
      <c r="U3724" s="250">
        <v>5.7999999999999996E-2</v>
      </c>
      <c r="V3724" s="250">
        <v>0.20800000000000002</v>
      </c>
      <c r="W3724" s="250">
        <v>0.47200000000000003</v>
      </c>
      <c r="X3724" s="250">
        <v>0.247</v>
      </c>
      <c r="Y3724" s="250">
        <v>6.9999999999999993E-3</v>
      </c>
      <c r="Z3724" s="150">
        <v>6</v>
      </c>
      <c r="AA3724" s="150">
        <v>0.72</v>
      </c>
      <c r="AB3724" s="152"/>
      <c r="AC3724" s="152"/>
      <c r="AD3724" s="223"/>
      <c r="AE3724" s="223"/>
      <c r="AF3724" s="223"/>
      <c r="AG3724" s="223"/>
      <c r="AH3724" s="341"/>
      <c r="AI3724" s="218"/>
      <c r="AJ3724" s="218"/>
      <c r="AK3724" s="153"/>
      <c r="AL3724" s="152"/>
      <c r="AM3724" s="152"/>
      <c r="AN3724" s="152"/>
      <c r="AO3724" s="152"/>
      <c r="AP3724" s="152"/>
      <c r="AQ3724" s="152"/>
      <c r="AR3724" s="152"/>
      <c r="AS3724" s="152"/>
      <c r="AT3724" s="152"/>
      <c r="AU3724" s="153"/>
      <c r="AV3724" s="479"/>
      <c r="AW3724" s="479"/>
      <c r="AX3724" s="442"/>
      <c r="AY3724" s="153"/>
      <c r="AZ3724" s="152"/>
      <c r="BA3724" s="152"/>
      <c r="BB3724" s="152"/>
      <c r="BC3724" s="152"/>
      <c r="BD3724" s="152"/>
      <c r="BE3724" s="152"/>
      <c r="BF3724" s="152"/>
      <c r="BG3724" s="152"/>
      <c r="BH3724" s="152"/>
      <c r="BI3724" s="153"/>
      <c r="BJ3724" s="153"/>
      <c r="BK3724" s="153"/>
      <c r="BL3724" s="153"/>
      <c r="BM3724" s="153"/>
      <c r="BN3724" s="153"/>
      <c r="BO3724" s="153"/>
      <c r="BP3724" s="153"/>
      <c r="BQ3724" s="153"/>
      <c r="BR3724" s="153"/>
      <c r="BS3724" s="153"/>
      <c r="BT3724" s="153"/>
      <c r="BU3724" s="153"/>
      <c r="BV3724" s="153"/>
      <c r="BW3724" s="153"/>
      <c r="BX3724" s="153"/>
      <c r="BY3724" s="153"/>
      <c r="BZ3724" s="153"/>
      <c r="CA3724" s="152"/>
      <c r="CB3724" s="152"/>
    </row>
    <row r="3725" spans="1:80" s="87" customFormat="1" ht="15" x14ac:dyDescent="0.25">
      <c r="A3725" s="152"/>
      <c r="B3725" s="683"/>
      <c r="C3725" s="683"/>
      <c r="D3725" s="698"/>
      <c r="E3725" s="215"/>
      <c r="F3725" s="215"/>
      <c r="G3725" s="153"/>
      <c r="H3725" s="153"/>
      <c r="I3725" s="320">
        <v>20</v>
      </c>
      <c r="J3725" s="320">
        <v>60</v>
      </c>
      <c r="K3725" s="222">
        <v>1</v>
      </c>
      <c r="L3725" s="658">
        <v>20</v>
      </c>
      <c r="M3725" s="663">
        <v>34821</v>
      </c>
      <c r="N3725" s="600">
        <v>37.655900000000003</v>
      </c>
      <c r="O3725" s="604">
        <v>7.7772999999999995E-2</v>
      </c>
      <c r="P3725" s="250"/>
      <c r="Q3725" s="250"/>
      <c r="R3725" s="250"/>
      <c r="S3725" s="250"/>
      <c r="T3725" s="250">
        <v>4.0000000000000001E-3</v>
      </c>
      <c r="U3725" s="250">
        <v>3.9E-2</v>
      </c>
      <c r="V3725" s="250">
        <v>0.182</v>
      </c>
      <c r="W3725" s="250">
        <v>0.49299999999999999</v>
      </c>
      <c r="X3725" s="250">
        <v>0.27600000000000002</v>
      </c>
      <c r="Y3725" s="250">
        <v>6.0000000000000001E-3</v>
      </c>
      <c r="Z3725" s="150">
        <v>6</v>
      </c>
      <c r="AA3725" s="150">
        <v>0.68</v>
      </c>
      <c r="AB3725" s="152"/>
      <c r="AC3725" s="152"/>
      <c r="AD3725" s="223"/>
      <c r="AE3725" s="223"/>
      <c r="AF3725" s="223"/>
      <c r="AG3725" s="223"/>
      <c r="AH3725" s="341"/>
      <c r="AI3725" s="218"/>
      <c r="AJ3725" s="218"/>
      <c r="AK3725" s="153"/>
      <c r="AL3725" s="152"/>
      <c r="AM3725" s="152"/>
      <c r="AN3725" s="152"/>
      <c r="AO3725" s="152"/>
      <c r="AP3725" s="152"/>
      <c r="AQ3725" s="152"/>
      <c r="AR3725" s="152"/>
      <c r="AS3725" s="152"/>
      <c r="AT3725" s="152"/>
      <c r="AU3725" s="153"/>
      <c r="AV3725" s="479"/>
      <c r="AW3725" s="479"/>
      <c r="AX3725" s="442"/>
      <c r="AY3725" s="153"/>
      <c r="AZ3725" s="152"/>
      <c r="BA3725" s="152"/>
      <c r="BB3725" s="152"/>
      <c r="BC3725" s="152"/>
      <c r="BD3725" s="152"/>
      <c r="BE3725" s="152"/>
      <c r="BF3725" s="152"/>
      <c r="BG3725" s="152"/>
      <c r="BH3725" s="152"/>
      <c r="BI3725" s="153"/>
      <c r="BJ3725" s="153"/>
      <c r="BK3725" s="153"/>
      <c r="BL3725" s="153"/>
      <c r="BM3725" s="153"/>
      <c r="BN3725" s="153"/>
      <c r="BO3725" s="153"/>
      <c r="BP3725" s="153"/>
      <c r="BQ3725" s="153"/>
      <c r="BR3725" s="153"/>
      <c r="BS3725" s="153"/>
      <c r="BT3725" s="153"/>
      <c r="BU3725" s="153"/>
      <c r="BV3725" s="153"/>
      <c r="BW3725" s="153"/>
      <c r="BX3725" s="153"/>
      <c r="BY3725" s="153"/>
      <c r="BZ3725" s="153"/>
      <c r="CA3725" s="152"/>
      <c r="CB3725" s="152"/>
    </row>
    <row r="3726" spans="1:80" s="87" customFormat="1" ht="15" x14ac:dyDescent="0.25">
      <c r="A3726" s="152"/>
      <c r="B3726" s="683"/>
      <c r="C3726" s="683"/>
      <c r="D3726" s="698"/>
      <c r="E3726" s="215"/>
      <c r="F3726" s="215"/>
      <c r="G3726" s="153"/>
      <c r="H3726" s="153"/>
      <c r="I3726" s="320">
        <v>20</v>
      </c>
      <c r="J3726" s="320">
        <v>60</v>
      </c>
      <c r="K3726" s="222">
        <v>1</v>
      </c>
      <c r="L3726" s="658">
        <v>20</v>
      </c>
      <c r="M3726" s="663">
        <v>34827</v>
      </c>
      <c r="N3726" s="600">
        <v>47.565300000000001</v>
      </c>
      <c r="O3726" s="604">
        <v>0.69061799999999995</v>
      </c>
      <c r="P3726" s="250"/>
      <c r="Q3726" s="250"/>
      <c r="R3726" s="250"/>
      <c r="S3726" s="250">
        <v>8.0000000000000002E-3</v>
      </c>
      <c r="T3726" s="250">
        <v>1.9E-2</v>
      </c>
      <c r="U3726" s="250">
        <v>7.5999999999999998E-2</v>
      </c>
      <c r="V3726" s="250">
        <v>0.371</v>
      </c>
      <c r="W3726" s="250">
        <v>0.40600000000000003</v>
      </c>
      <c r="X3726" s="250">
        <v>0.11599999999999999</v>
      </c>
      <c r="Y3726" s="250">
        <v>4.0000000000000001E-3</v>
      </c>
      <c r="Z3726" s="150">
        <v>14</v>
      </c>
      <c r="AA3726" s="150">
        <v>0.96</v>
      </c>
      <c r="AB3726" s="152"/>
      <c r="AC3726" s="152"/>
      <c r="AD3726" s="223"/>
      <c r="AE3726" s="223"/>
      <c r="AF3726" s="223"/>
      <c r="AG3726" s="223"/>
      <c r="AH3726" s="341"/>
      <c r="AI3726" s="218"/>
      <c r="AJ3726" s="218"/>
      <c r="AK3726" s="153"/>
      <c r="AL3726" s="152"/>
      <c r="AM3726" s="152"/>
      <c r="AN3726" s="152"/>
      <c r="AO3726" s="152"/>
      <c r="AP3726" s="152"/>
      <c r="AQ3726" s="152"/>
      <c r="AR3726" s="152"/>
      <c r="AS3726" s="152"/>
      <c r="AT3726" s="152"/>
      <c r="AU3726" s="153"/>
      <c r="AV3726" s="479"/>
      <c r="AW3726" s="479"/>
      <c r="AX3726" s="442"/>
      <c r="AY3726" s="153"/>
      <c r="AZ3726" s="152"/>
      <c r="BA3726" s="152"/>
      <c r="BB3726" s="152"/>
      <c r="BC3726" s="152"/>
      <c r="BD3726" s="152"/>
      <c r="BE3726" s="152"/>
      <c r="BF3726" s="152"/>
      <c r="BG3726" s="152"/>
      <c r="BH3726" s="152"/>
      <c r="BI3726" s="153"/>
      <c r="BJ3726" s="153"/>
      <c r="BK3726" s="153"/>
      <c r="BL3726" s="153"/>
      <c r="BM3726" s="153"/>
      <c r="BN3726" s="153"/>
      <c r="BO3726" s="153"/>
      <c r="BP3726" s="153"/>
      <c r="BQ3726" s="153"/>
      <c r="BR3726" s="153"/>
      <c r="BS3726" s="153"/>
      <c r="BT3726" s="153"/>
      <c r="BU3726" s="153"/>
      <c r="BV3726" s="153"/>
      <c r="BW3726" s="153"/>
      <c r="BX3726" s="153"/>
      <c r="BY3726" s="153"/>
      <c r="BZ3726" s="153"/>
      <c r="CA3726" s="152"/>
      <c r="CB3726" s="152"/>
    </row>
    <row r="3727" spans="1:80" s="87" customFormat="1" ht="15" x14ac:dyDescent="0.25">
      <c r="A3727" s="152"/>
      <c r="B3727" s="683"/>
      <c r="C3727" s="683"/>
      <c r="D3727" s="698"/>
      <c r="E3727" s="215"/>
      <c r="F3727" s="215"/>
      <c r="G3727" s="153"/>
      <c r="H3727" s="153"/>
      <c r="I3727" s="320">
        <v>20</v>
      </c>
      <c r="J3727" s="320">
        <v>60</v>
      </c>
      <c r="K3727" s="222">
        <v>1</v>
      </c>
      <c r="L3727" s="658">
        <v>20</v>
      </c>
      <c r="M3727" s="663">
        <v>34827</v>
      </c>
      <c r="N3727" s="600">
        <v>47.565300000000001</v>
      </c>
      <c r="O3727" s="604">
        <v>0.31907000000000002</v>
      </c>
      <c r="P3727" s="250"/>
      <c r="Q3727" s="250"/>
      <c r="R3727" s="250"/>
      <c r="S3727" s="250">
        <v>1.1000000000000001E-2</v>
      </c>
      <c r="T3727" s="250">
        <v>1.4999999999999999E-2</v>
      </c>
      <c r="U3727" s="250">
        <v>8.6999999999999994E-2</v>
      </c>
      <c r="V3727" s="250">
        <v>0.32799999999999996</v>
      </c>
      <c r="W3727" s="250">
        <v>0.371</v>
      </c>
      <c r="X3727" s="250">
        <v>0.183</v>
      </c>
      <c r="Y3727" s="250">
        <v>5.0000000000000001E-3</v>
      </c>
      <c r="Z3727" s="150">
        <v>13</v>
      </c>
      <c r="AA3727" s="150">
        <v>0.9</v>
      </c>
      <c r="AB3727" s="152"/>
      <c r="AC3727" s="152"/>
      <c r="AD3727" s="223"/>
      <c r="AE3727" s="223"/>
      <c r="AF3727" s="223"/>
      <c r="AG3727" s="223"/>
      <c r="AH3727" s="341"/>
      <c r="AI3727" s="218"/>
      <c r="AJ3727" s="218"/>
      <c r="AK3727" s="153"/>
      <c r="AL3727" s="152"/>
      <c r="AM3727" s="152"/>
      <c r="AN3727" s="152"/>
      <c r="AO3727" s="152"/>
      <c r="AP3727" s="152"/>
      <c r="AQ3727" s="152"/>
      <c r="AR3727" s="152"/>
      <c r="AS3727" s="152"/>
      <c r="AT3727" s="152"/>
      <c r="AU3727" s="153"/>
      <c r="AV3727" s="479"/>
      <c r="AW3727" s="479"/>
      <c r="AX3727" s="442"/>
      <c r="AY3727" s="153"/>
      <c r="AZ3727" s="152"/>
      <c r="BA3727" s="152"/>
      <c r="BB3727" s="152"/>
      <c r="BC3727" s="152"/>
      <c r="BD3727" s="152"/>
      <c r="BE3727" s="152"/>
      <c r="BF3727" s="152"/>
      <c r="BG3727" s="152"/>
      <c r="BH3727" s="152"/>
      <c r="BI3727" s="153"/>
      <c r="BJ3727" s="153"/>
      <c r="BK3727" s="153"/>
      <c r="BL3727" s="153"/>
      <c r="BM3727" s="153"/>
      <c r="BN3727" s="153"/>
      <c r="BO3727" s="153"/>
      <c r="BP3727" s="153"/>
      <c r="BQ3727" s="153"/>
      <c r="BR3727" s="153"/>
      <c r="BS3727" s="153"/>
      <c r="BT3727" s="153"/>
      <c r="BU3727" s="153"/>
      <c r="BV3727" s="153"/>
      <c r="BW3727" s="153"/>
      <c r="BX3727" s="153"/>
      <c r="BY3727" s="153"/>
      <c r="BZ3727" s="153"/>
      <c r="CA3727" s="152"/>
      <c r="CB3727" s="152"/>
    </row>
    <row r="3728" spans="1:80" s="87" customFormat="1" ht="15" x14ac:dyDescent="0.25">
      <c r="A3728" s="152"/>
      <c r="B3728" s="683"/>
      <c r="C3728" s="683"/>
      <c r="D3728" s="698"/>
      <c r="E3728" s="215"/>
      <c r="F3728" s="215"/>
      <c r="G3728" s="153"/>
      <c r="H3728" s="153"/>
      <c r="I3728" s="320">
        <v>20</v>
      </c>
      <c r="J3728" s="320">
        <v>60</v>
      </c>
      <c r="K3728" s="222">
        <v>1</v>
      </c>
      <c r="L3728" s="658">
        <v>20</v>
      </c>
      <c r="M3728" s="663">
        <v>34828</v>
      </c>
      <c r="N3728" s="600">
        <v>50.396599999999999</v>
      </c>
      <c r="O3728" s="604">
        <v>0.38309399999999999</v>
      </c>
      <c r="P3728" s="250"/>
      <c r="Q3728" s="250"/>
      <c r="R3728" s="250"/>
      <c r="S3728" s="250"/>
      <c r="T3728" s="250">
        <v>4.0000000000000001E-3</v>
      </c>
      <c r="U3728" s="250">
        <v>2.5000000000000001E-2</v>
      </c>
      <c r="V3728" s="250">
        <v>0.28699999999999998</v>
      </c>
      <c r="W3728" s="250">
        <v>0.54</v>
      </c>
      <c r="X3728" s="250">
        <v>0.14000000000000001</v>
      </c>
      <c r="Y3728" s="250">
        <v>4.0000000000000001E-3</v>
      </c>
      <c r="Z3728" s="150">
        <v>7</v>
      </c>
      <c r="AA3728" s="150">
        <v>0.79</v>
      </c>
      <c r="AB3728" s="152"/>
      <c r="AC3728" s="152"/>
      <c r="AD3728" s="223">
        <v>49.680770000000003</v>
      </c>
      <c r="AE3728" s="223">
        <v>0.75917093199999997</v>
      </c>
      <c r="AF3728" s="223">
        <v>37.714964000000002</v>
      </c>
      <c r="AG3728" s="223">
        <v>1.321257152</v>
      </c>
      <c r="AH3728" s="341"/>
      <c r="AI3728" s="218"/>
      <c r="AJ3728" s="218"/>
      <c r="AK3728" s="153"/>
      <c r="AL3728" s="152"/>
      <c r="AM3728" s="152"/>
      <c r="AN3728" s="152"/>
      <c r="AO3728" s="152"/>
      <c r="AP3728" s="152"/>
      <c r="AQ3728" s="152"/>
      <c r="AR3728" s="152"/>
      <c r="AS3728" s="152"/>
      <c r="AT3728" s="152"/>
      <c r="AU3728" s="153"/>
      <c r="AV3728" s="479"/>
      <c r="AW3728" s="479"/>
      <c r="AX3728" s="442"/>
      <c r="AY3728" s="153"/>
      <c r="AZ3728" s="152"/>
      <c r="BA3728" s="152"/>
      <c r="BB3728" s="152"/>
      <c r="BC3728" s="152"/>
      <c r="BD3728" s="152"/>
      <c r="BE3728" s="152"/>
      <c r="BF3728" s="152"/>
      <c r="BG3728" s="152"/>
      <c r="BH3728" s="152"/>
      <c r="BI3728" s="153"/>
      <c r="BJ3728" s="153"/>
      <c r="BK3728" s="153"/>
      <c r="BL3728" s="153"/>
      <c r="BM3728" s="153"/>
      <c r="BN3728" s="153"/>
      <c r="BO3728" s="153"/>
      <c r="BP3728" s="153"/>
      <c r="BQ3728" s="153"/>
      <c r="BR3728" s="153"/>
      <c r="BS3728" s="153"/>
      <c r="BT3728" s="153"/>
      <c r="BU3728" s="153"/>
      <c r="BV3728" s="153"/>
      <c r="BW3728" s="153"/>
      <c r="BX3728" s="153"/>
      <c r="BY3728" s="153"/>
      <c r="BZ3728" s="153"/>
      <c r="CA3728" s="152"/>
      <c r="CB3728" s="152"/>
    </row>
    <row r="3729" spans="1:80" s="87" customFormat="1" ht="15" x14ac:dyDescent="0.25">
      <c r="A3729" s="152"/>
      <c r="B3729" s="683"/>
      <c r="C3729" s="683"/>
      <c r="D3729" s="698"/>
      <c r="E3729" s="215"/>
      <c r="F3729" s="215"/>
      <c r="G3729" s="153"/>
      <c r="H3729" s="153"/>
      <c r="I3729" s="320">
        <v>20</v>
      </c>
      <c r="J3729" s="320">
        <v>60</v>
      </c>
      <c r="K3729" s="222">
        <v>1</v>
      </c>
      <c r="L3729" s="658">
        <v>20</v>
      </c>
      <c r="M3729" s="663">
        <v>34828</v>
      </c>
      <c r="N3729" s="600">
        <v>50.396599999999999</v>
      </c>
      <c r="O3729" s="604">
        <v>0.41563</v>
      </c>
      <c r="P3729" s="250"/>
      <c r="Q3729" s="250"/>
      <c r="R3729" s="250">
        <v>2.5000000000000001E-2</v>
      </c>
      <c r="S3729" s="250">
        <v>8.0000000000000002E-3</v>
      </c>
      <c r="T3729" s="250">
        <v>2.1000000000000001E-2</v>
      </c>
      <c r="U3729" s="250">
        <v>7.2999999999999995E-2</v>
      </c>
      <c r="V3729" s="250">
        <v>0.29899999999999999</v>
      </c>
      <c r="W3729" s="250">
        <v>0.41600000000000004</v>
      </c>
      <c r="X3729" s="250">
        <v>0.155</v>
      </c>
      <c r="Y3729" s="250">
        <v>3.0000000000000001E-3</v>
      </c>
      <c r="Z3729" s="150">
        <v>26</v>
      </c>
      <c r="AA3729" s="150">
        <v>0.88</v>
      </c>
      <c r="AB3729" s="152"/>
      <c r="AC3729" s="152"/>
      <c r="AD3729" s="223">
        <v>49.680770000000003</v>
      </c>
      <c r="AE3729" s="223">
        <v>0.75917093199999997</v>
      </c>
      <c r="AF3729" s="223">
        <v>37.714964000000002</v>
      </c>
      <c r="AG3729" s="223">
        <v>1.321257152</v>
      </c>
      <c r="AH3729" s="341"/>
      <c r="AI3729" s="218"/>
      <c r="AJ3729" s="218"/>
      <c r="AK3729" s="153"/>
      <c r="AL3729" s="152"/>
      <c r="AM3729" s="152"/>
      <c r="AN3729" s="152"/>
      <c r="AO3729" s="152"/>
      <c r="AP3729" s="152"/>
      <c r="AQ3729" s="152"/>
      <c r="AR3729" s="152"/>
      <c r="AS3729" s="152"/>
      <c r="AT3729" s="152"/>
      <c r="AU3729" s="153"/>
      <c r="AV3729" s="479"/>
      <c r="AW3729" s="479"/>
      <c r="AX3729" s="442"/>
      <c r="AY3729" s="153"/>
      <c r="AZ3729" s="152"/>
      <c r="BA3729" s="152"/>
      <c r="BB3729" s="152"/>
      <c r="BC3729" s="152"/>
      <c r="BD3729" s="152"/>
      <c r="BE3729" s="152"/>
      <c r="BF3729" s="152"/>
      <c r="BG3729" s="152"/>
      <c r="BH3729" s="152"/>
      <c r="BI3729" s="153"/>
      <c r="BJ3729" s="153"/>
      <c r="BK3729" s="153"/>
      <c r="BL3729" s="153"/>
      <c r="BM3729" s="153"/>
      <c r="BN3729" s="153"/>
      <c r="BO3729" s="153"/>
      <c r="BP3729" s="153"/>
      <c r="BQ3729" s="153"/>
      <c r="BR3729" s="153"/>
      <c r="BS3729" s="153"/>
      <c r="BT3729" s="153"/>
      <c r="BU3729" s="153"/>
      <c r="BV3729" s="153"/>
      <c r="BW3729" s="153"/>
      <c r="BX3729" s="153"/>
      <c r="BY3729" s="153"/>
      <c r="BZ3729" s="153"/>
      <c r="CA3729" s="152"/>
      <c r="CB3729" s="152"/>
    </row>
    <row r="3730" spans="1:80" s="87" customFormat="1" ht="15" x14ac:dyDescent="0.25">
      <c r="A3730" s="152"/>
      <c r="B3730" s="683"/>
      <c r="C3730" s="683"/>
      <c r="D3730" s="698"/>
      <c r="E3730" s="215"/>
      <c r="F3730" s="215"/>
      <c r="G3730" s="153"/>
      <c r="H3730" s="153"/>
      <c r="I3730" s="320">
        <v>20</v>
      </c>
      <c r="J3730" s="320">
        <v>30</v>
      </c>
      <c r="K3730" s="222">
        <v>1</v>
      </c>
      <c r="L3730" s="658">
        <v>10</v>
      </c>
      <c r="M3730" s="663">
        <v>34835</v>
      </c>
      <c r="N3730" s="600">
        <v>60.589199999999998</v>
      </c>
      <c r="O3730" s="604">
        <v>0.64338700000000004</v>
      </c>
      <c r="P3730" s="250"/>
      <c r="Q3730" s="250">
        <v>6.3E-2</v>
      </c>
      <c r="R3730" s="250">
        <v>0</v>
      </c>
      <c r="S3730" s="250">
        <v>6.9999999999999993E-3</v>
      </c>
      <c r="T3730" s="250">
        <v>1.3000000000000001E-2</v>
      </c>
      <c r="U3730" s="250">
        <v>3.4000000000000002E-2</v>
      </c>
      <c r="V3730" s="250">
        <v>0.17800000000000002</v>
      </c>
      <c r="W3730" s="250">
        <v>0.46500000000000002</v>
      </c>
      <c r="X3730" s="250">
        <v>0.23100000000000001</v>
      </c>
      <c r="Y3730" s="250">
        <v>9.0000000000000011E-3</v>
      </c>
      <c r="Z3730" s="150">
        <v>43</v>
      </c>
      <c r="AA3730" s="150">
        <v>0.74</v>
      </c>
      <c r="AB3730" s="152"/>
      <c r="AC3730" s="152"/>
      <c r="AD3730" s="223"/>
      <c r="AE3730" s="223"/>
      <c r="AF3730" s="223"/>
      <c r="AG3730" s="223"/>
      <c r="AH3730" s="341"/>
      <c r="AI3730" s="218"/>
      <c r="AJ3730" s="218"/>
      <c r="AK3730" s="153"/>
      <c r="AL3730" s="152"/>
      <c r="AM3730" s="152"/>
      <c r="AN3730" s="152"/>
      <c r="AO3730" s="152"/>
      <c r="AP3730" s="152"/>
      <c r="AQ3730" s="152"/>
      <c r="AR3730" s="152"/>
      <c r="AS3730" s="152"/>
      <c r="AT3730" s="152"/>
      <c r="AU3730" s="153"/>
      <c r="AV3730" s="479"/>
      <c r="AW3730" s="479"/>
      <c r="AX3730" s="442"/>
      <c r="AY3730" s="153"/>
      <c r="AZ3730" s="152"/>
      <c r="BA3730" s="152"/>
      <c r="BB3730" s="152"/>
      <c r="BC3730" s="152"/>
      <c r="BD3730" s="152"/>
      <c r="BE3730" s="152"/>
      <c r="BF3730" s="152"/>
      <c r="BG3730" s="152"/>
      <c r="BH3730" s="152"/>
      <c r="BI3730" s="153"/>
      <c r="BJ3730" s="153"/>
      <c r="BK3730" s="153"/>
      <c r="BL3730" s="153"/>
      <c r="BM3730" s="153"/>
      <c r="BN3730" s="153"/>
      <c r="BO3730" s="153"/>
      <c r="BP3730" s="153"/>
      <c r="BQ3730" s="153"/>
      <c r="BR3730" s="153"/>
      <c r="BS3730" s="153"/>
      <c r="BT3730" s="153"/>
      <c r="BU3730" s="153"/>
      <c r="BV3730" s="153"/>
      <c r="BW3730" s="153"/>
      <c r="BX3730" s="153"/>
      <c r="BY3730" s="153"/>
      <c r="BZ3730" s="153"/>
      <c r="CA3730" s="152"/>
      <c r="CB3730" s="152"/>
    </row>
    <row r="3731" spans="1:80" s="87" customFormat="1" ht="15" x14ac:dyDescent="0.25">
      <c r="A3731" s="152"/>
      <c r="B3731" s="683"/>
      <c r="C3731" s="683"/>
      <c r="D3731" s="698"/>
      <c r="E3731" s="215"/>
      <c r="F3731" s="215"/>
      <c r="G3731" s="153"/>
      <c r="H3731" s="153"/>
      <c r="I3731" s="320">
        <v>20</v>
      </c>
      <c r="J3731" s="320">
        <v>60</v>
      </c>
      <c r="K3731" s="222">
        <v>1</v>
      </c>
      <c r="L3731" s="658">
        <v>20</v>
      </c>
      <c r="M3731" s="663">
        <v>34835</v>
      </c>
      <c r="N3731" s="600">
        <v>60.589199999999998</v>
      </c>
      <c r="O3731" s="604">
        <v>1.081059</v>
      </c>
      <c r="P3731" s="250"/>
      <c r="Q3731" s="250"/>
      <c r="R3731" s="250">
        <v>3.0000000000000001E-3</v>
      </c>
      <c r="S3731" s="250">
        <v>2.4E-2</v>
      </c>
      <c r="T3731" s="250">
        <v>3.2000000000000001E-2</v>
      </c>
      <c r="U3731" s="250">
        <v>6.6000000000000003E-2</v>
      </c>
      <c r="V3731" s="250">
        <v>0.26100000000000001</v>
      </c>
      <c r="W3731" s="250">
        <v>0.42499999999999999</v>
      </c>
      <c r="X3731" s="250">
        <v>0.182</v>
      </c>
      <c r="Y3731" s="250">
        <v>6.9999999999999993E-3</v>
      </c>
      <c r="Z3731" s="150">
        <v>21</v>
      </c>
      <c r="AA3731" s="150">
        <v>0.83</v>
      </c>
      <c r="AB3731" s="152"/>
      <c r="AC3731" s="152"/>
      <c r="AD3731" s="223"/>
      <c r="AE3731" s="223"/>
      <c r="AF3731" s="223"/>
      <c r="AG3731" s="223"/>
      <c r="AH3731" s="341"/>
      <c r="AI3731" s="218"/>
      <c r="AJ3731" s="218"/>
      <c r="AK3731" s="153"/>
      <c r="AL3731" s="152"/>
      <c r="AM3731" s="152"/>
      <c r="AN3731" s="152"/>
      <c r="AO3731" s="152"/>
      <c r="AP3731" s="152"/>
      <c r="AQ3731" s="152"/>
      <c r="AR3731" s="152"/>
      <c r="AS3731" s="152"/>
      <c r="AT3731" s="152"/>
      <c r="AU3731" s="153"/>
      <c r="AV3731" s="479"/>
      <c r="AW3731" s="479"/>
      <c r="AX3731" s="442"/>
      <c r="AY3731" s="153"/>
      <c r="AZ3731" s="152"/>
      <c r="BA3731" s="152"/>
      <c r="BB3731" s="152"/>
      <c r="BC3731" s="152"/>
      <c r="BD3731" s="152"/>
      <c r="BE3731" s="152"/>
      <c r="BF3731" s="152"/>
      <c r="BG3731" s="152"/>
      <c r="BH3731" s="152"/>
      <c r="BI3731" s="153"/>
      <c r="BJ3731" s="153"/>
      <c r="BK3731" s="153"/>
      <c r="BL3731" s="153"/>
      <c r="BM3731" s="153"/>
      <c r="BN3731" s="153"/>
      <c r="BO3731" s="153"/>
      <c r="BP3731" s="153"/>
      <c r="BQ3731" s="153"/>
      <c r="BR3731" s="153"/>
      <c r="BS3731" s="153"/>
      <c r="BT3731" s="153"/>
      <c r="BU3731" s="153"/>
      <c r="BV3731" s="153"/>
      <c r="BW3731" s="153"/>
      <c r="BX3731" s="153"/>
      <c r="BY3731" s="153"/>
      <c r="BZ3731" s="153"/>
      <c r="CA3731" s="152"/>
      <c r="CB3731" s="152"/>
    </row>
    <row r="3732" spans="1:80" s="87" customFormat="1" ht="15" x14ac:dyDescent="0.25">
      <c r="A3732" s="152"/>
      <c r="B3732" s="683"/>
      <c r="C3732" s="683"/>
      <c r="D3732" s="698"/>
      <c r="E3732" s="215"/>
      <c r="F3732" s="215"/>
      <c r="G3732" s="153"/>
      <c r="H3732" s="153"/>
      <c r="I3732" s="320">
        <v>20</v>
      </c>
      <c r="J3732" s="320">
        <v>45</v>
      </c>
      <c r="K3732" s="222">
        <v>1</v>
      </c>
      <c r="L3732" s="658">
        <v>15</v>
      </c>
      <c r="M3732" s="663">
        <v>34836</v>
      </c>
      <c r="N3732" s="600">
        <v>70.498599999999996</v>
      </c>
      <c r="O3732" s="604">
        <v>1.8472459999999999</v>
      </c>
      <c r="P3732" s="250"/>
      <c r="Q3732" s="250"/>
      <c r="R3732" s="250">
        <v>3.0000000000000001E-3</v>
      </c>
      <c r="S3732" s="250">
        <v>1.8000000000000002E-2</v>
      </c>
      <c r="T3732" s="250">
        <v>0.03</v>
      </c>
      <c r="U3732" s="250">
        <v>9.0999999999999998E-2</v>
      </c>
      <c r="V3732" s="250">
        <v>0.33200000000000002</v>
      </c>
      <c r="W3732" s="250">
        <v>0.38600000000000001</v>
      </c>
      <c r="X3732" s="250">
        <v>0.13300000000000001</v>
      </c>
      <c r="Y3732" s="250">
        <v>6.9999999999999993E-3</v>
      </c>
      <c r="Z3732" s="150">
        <v>15</v>
      </c>
      <c r="AA3732" s="150">
        <v>0.95</v>
      </c>
      <c r="AB3732" s="152"/>
      <c r="AC3732" s="152"/>
      <c r="AD3732" s="223">
        <v>51.509509999999999</v>
      </c>
      <c r="AE3732" s="223">
        <v>0.87108982000000001</v>
      </c>
      <c r="AF3732" s="223">
        <v>44.867801999999998</v>
      </c>
      <c r="AG3732" s="223">
        <v>1.539725869</v>
      </c>
      <c r="AH3732" s="341"/>
      <c r="AI3732" s="218"/>
      <c r="AJ3732" s="218"/>
      <c r="AK3732" s="153"/>
      <c r="AL3732" s="152"/>
      <c r="AM3732" s="152"/>
      <c r="AN3732" s="152"/>
      <c r="AO3732" s="152"/>
      <c r="AP3732" s="152"/>
      <c r="AQ3732" s="152"/>
      <c r="AR3732" s="152"/>
      <c r="AS3732" s="152"/>
      <c r="AT3732" s="152"/>
      <c r="AU3732" s="153"/>
      <c r="AV3732" s="479"/>
      <c r="AW3732" s="479"/>
      <c r="AX3732" s="442"/>
      <c r="AY3732" s="153"/>
      <c r="AZ3732" s="152"/>
      <c r="BA3732" s="152"/>
      <c r="BB3732" s="152"/>
      <c r="BC3732" s="152"/>
      <c r="BD3732" s="152"/>
      <c r="BE3732" s="152"/>
      <c r="BF3732" s="152"/>
      <c r="BG3732" s="152"/>
      <c r="BH3732" s="152"/>
      <c r="BI3732" s="153"/>
      <c r="BJ3732" s="153"/>
      <c r="BK3732" s="153"/>
      <c r="BL3732" s="153"/>
      <c r="BM3732" s="153"/>
      <c r="BN3732" s="153"/>
      <c r="BO3732" s="153"/>
      <c r="BP3732" s="153"/>
      <c r="BQ3732" s="153"/>
      <c r="BR3732" s="153"/>
      <c r="BS3732" s="153"/>
      <c r="BT3732" s="153"/>
      <c r="BU3732" s="153"/>
      <c r="BV3732" s="153"/>
      <c r="BW3732" s="153"/>
      <c r="BX3732" s="153"/>
      <c r="BY3732" s="153"/>
      <c r="BZ3732" s="153"/>
      <c r="CA3732" s="152"/>
      <c r="CB3732" s="152"/>
    </row>
    <row r="3733" spans="1:80" s="87" customFormat="1" ht="15" x14ac:dyDescent="0.25">
      <c r="A3733" s="152"/>
      <c r="B3733" s="683"/>
      <c r="C3733" s="683"/>
      <c r="D3733" s="698"/>
      <c r="E3733" s="215"/>
      <c r="F3733" s="215"/>
      <c r="G3733" s="153"/>
      <c r="H3733" s="153"/>
      <c r="I3733" s="320">
        <v>20</v>
      </c>
      <c r="J3733" s="320">
        <v>40</v>
      </c>
      <c r="K3733" s="222">
        <v>1</v>
      </c>
      <c r="L3733" s="658">
        <v>13.333333333333334</v>
      </c>
      <c r="M3733" s="663">
        <v>34836</v>
      </c>
      <c r="N3733" s="600">
        <v>70.498599999999996</v>
      </c>
      <c r="O3733" s="604">
        <v>3.0542530000000001</v>
      </c>
      <c r="P3733" s="250"/>
      <c r="Q3733" s="250">
        <v>1.9E-2</v>
      </c>
      <c r="R3733" s="250">
        <v>3.3000000000000002E-2</v>
      </c>
      <c r="S3733" s="250">
        <v>4.9000000000000002E-2</v>
      </c>
      <c r="T3733" s="250">
        <v>5.5999999999999994E-2</v>
      </c>
      <c r="U3733" s="250">
        <v>0.14699999999999999</v>
      </c>
      <c r="V3733" s="250">
        <v>0.27800000000000002</v>
      </c>
      <c r="W3733" s="250">
        <v>0.317</v>
      </c>
      <c r="X3733" s="250">
        <v>9.6000000000000002E-2</v>
      </c>
      <c r="Y3733" s="250">
        <v>5.0000000000000001E-3</v>
      </c>
      <c r="Z3733" s="150">
        <v>36</v>
      </c>
      <c r="AA3733" s="150">
        <v>1.23</v>
      </c>
      <c r="AB3733" s="152"/>
      <c r="AC3733" s="152"/>
      <c r="AD3733" s="223">
        <v>51.509509999999999</v>
      </c>
      <c r="AE3733" s="223">
        <v>0.87108982000000001</v>
      </c>
      <c r="AF3733" s="223">
        <v>44.867801999999998</v>
      </c>
      <c r="AG3733" s="223">
        <v>1.539725869</v>
      </c>
      <c r="AH3733" s="341"/>
      <c r="AI3733" s="218"/>
      <c r="AJ3733" s="218"/>
      <c r="AK3733" s="153"/>
      <c r="AL3733" s="152"/>
      <c r="AM3733" s="152"/>
      <c r="AN3733" s="152"/>
      <c r="AO3733" s="152"/>
      <c r="AP3733" s="152"/>
      <c r="AQ3733" s="152"/>
      <c r="AR3733" s="152"/>
      <c r="AS3733" s="152"/>
      <c r="AT3733" s="152"/>
      <c r="AU3733" s="153"/>
      <c r="AV3733" s="479"/>
      <c r="AW3733" s="479"/>
      <c r="AX3733" s="442"/>
      <c r="AY3733" s="153"/>
      <c r="AZ3733" s="152"/>
      <c r="BA3733" s="152"/>
      <c r="BB3733" s="152"/>
      <c r="BC3733" s="152"/>
      <c r="BD3733" s="152"/>
      <c r="BE3733" s="152"/>
      <c r="BF3733" s="152"/>
      <c r="BG3733" s="152"/>
      <c r="BH3733" s="152"/>
      <c r="BI3733" s="153"/>
      <c r="BJ3733" s="153"/>
      <c r="BK3733" s="153"/>
      <c r="BL3733" s="153"/>
      <c r="BM3733" s="153"/>
      <c r="BN3733" s="153"/>
      <c r="BO3733" s="153"/>
      <c r="BP3733" s="153"/>
      <c r="BQ3733" s="153"/>
      <c r="BR3733" s="153"/>
      <c r="BS3733" s="153"/>
      <c r="BT3733" s="153"/>
      <c r="BU3733" s="153"/>
      <c r="BV3733" s="153"/>
      <c r="BW3733" s="153"/>
      <c r="BX3733" s="153"/>
      <c r="BY3733" s="153"/>
      <c r="BZ3733" s="153"/>
      <c r="CA3733" s="152"/>
      <c r="CB3733" s="152"/>
    </row>
    <row r="3734" spans="1:80" s="87" customFormat="1" ht="15" x14ac:dyDescent="0.25">
      <c r="A3734" s="152"/>
      <c r="B3734" s="683"/>
      <c r="C3734" s="683"/>
      <c r="D3734" s="698"/>
      <c r="E3734" s="215"/>
      <c r="F3734" s="215"/>
      <c r="G3734" s="153"/>
      <c r="H3734" s="153"/>
      <c r="I3734" s="320">
        <v>20</v>
      </c>
      <c r="J3734" s="320">
        <v>30</v>
      </c>
      <c r="K3734" s="222">
        <v>1</v>
      </c>
      <c r="L3734" s="658">
        <v>10</v>
      </c>
      <c r="M3734" s="663">
        <v>34841</v>
      </c>
      <c r="N3734" s="600">
        <v>86.353700000000003</v>
      </c>
      <c r="O3734" s="604">
        <v>1.899724</v>
      </c>
      <c r="P3734" s="250"/>
      <c r="Q3734" s="250"/>
      <c r="R3734" s="250">
        <v>1.1000000000000001E-2</v>
      </c>
      <c r="S3734" s="250">
        <v>1.6E-2</v>
      </c>
      <c r="T3734" s="250">
        <v>2.7000000000000003E-2</v>
      </c>
      <c r="U3734" s="250">
        <v>5.7999999999999996E-2</v>
      </c>
      <c r="V3734" s="250">
        <v>0.26200000000000001</v>
      </c>
      <c r="W3734" s="250">
        <v>0.47100000000000003</v>
      </c>
      <c r="X3734" s="250">
        <v>0.14800000000000002</v>
      </c>
      <c r="Y3734" s="250">
        <v>6.9999999999999993E-3</v>
      </c>
      <c r="Z3734" s="150">
        <v>29</v>
      </c>
      <c r="AA3734" s="150">
        <v>0.83</v>
      </c>
      <c r="AB3734" s="152"/>
      <c r="AC3734" s="152"/>
      <c r="AD3734" s="223"/>
      <c r="AE3734" s="223"/>
      <c r="AF3734" s="223"/>
      <c r="AG3734" s="223"/>
      <c r="AH3734" s="341"/>
      <c r="AI3734" s="218"/>
      <c r="AJ3734" s="218"/>
      <c r="AK3734" s="153"/>
      <c r="AL3734" s="152"/>
      <c r="AM3734" s="152"/>
      <c r="AN3734" s="152"/>
      <c r="AO3734" s="152"/>
      <c r="AP3734" s="152"/>
      <c r="AQ3734" s="152"/>
      <c r="AR3734" s="152"/>
      <c r="AS3734" s="152"/>
      <c r="AT3734" s="152"/>
      <c r="AU3734" s="153"/>
      <c r="AV3734" s="479"/>
      <c r="AW3734" s="479"/>
      <c r="AX3734" s="442"/>
      <c r="AY3734" s="153"/>
      <c r="AZ3734" s="152"/>
      <c r="BA3734" s="152"/>
      <c r="BB3734" s="152"/>
      <c r="BC3734" s="152"/>
      <c r="BD3734" s="152"/>
      <c r="BE3734" s="152"/>
      <c r="BF3734" s="152"/>
      <c r="BG3734" s="152"/>
      <c r="BH3734" s="152"/>
      <c r="BI3734" s="153"/>
      <c r="BJ3734" s="153"/>
      <c r="BK3734" s="153"/>
      <c r="BL3734" s="153"/>
      <c r="BM3734" s="153"/>
      <c r="BN3734" s="153"/>
      <c r="BO3734" s="153"/>
      <c r="BP3734" s="153"/>
      <c r="BQ3734" s="153"/>
      <c r="BR3734" s="153"/>
      <c r="BS3734" s="153"/>
      <c r="BT3734" s="153"/>
      <c r="BU3734" s="153"/>
      <c r="BV3734" s="153"/>
      <c r="BW3734" s="153"/>
      <c r="BX3734" s="153"/>
      <c r="BY3734" s="153"/>
      <c r="BZ3734" s="153"/>
      <c r="CA3734" s="152"/>
      <c r="CB3734" s="152"/>
    </row>
    <row r="3735" spans="1:80" s="87" customFormat="1" ht="15" x14ac:dyDescent="0.25">
      <c r="A3735" s="152"/>
      <c r="B3735" s="683"/>
      <c r="C3735" s="683"/>
      <c r="D3735" s="698"/>
      <c r="E3735" s="215"/>
      <c r="F3735" s="215"/>
      <c r="G3735" s="153"/>
      <c r="H3735" s="153"/>
      <c r="I3735" s="320">
        <v>20</v>
      </c>
      <c r="J3735" s="320">
        <v>30</v>
      </c>
      <c r="K3735" s="222">
        <v>1</v>
      </c>
      <c r="L3735" s="658">
        <v>10</v>
      </c>
      <c r="M3735" s="663">
        <v>21692</v>
      </c>
      <c r="N3735" s="600">
        <v>86.353700000000003</v>
      </c>
      <c r="O3735" s="604">
        <v>5.7201649999999997</v>
      </c>
      <c r="P3735" s="250"/>
      <c r="Q3735" s="250">
        <v>0.111</v>
      </c>
      <c r="R3735" s="250">
        <v>0.105</v>
      </c>
      <c r="S3735" s="250">
        <v>0.113</v>
      </c>
      <c r="T3735" s="250">
        <v>9.6000000000000002E-2</v>
      </c>
      <c r="U3735" s="250">
        <v>0.10199999999999999</v>
      </c>
      <c r="V3735" s="250">
        <v>0.183</v>
      </c>
      <c r="W3735" s="250">
        <v>0.20800000000000002</v>
      </c>
      <c r="X3735" s="250">
        <v>7.8E-2</v>
      </c>
      <c r="Y3735" s="250">
        <v>4.0000000000000001E-3</v>
      </c>
      <c r="Z3735" s="150">
        <v>49</v>
      </c>
      <c r="AA3735" s="150">
        <v>2.4</v>
      </c>
      <c r="AB3735" s="152"/>
      <c r="AC3735" s="152"/>
      <c r="AD3735" s="223"/>
      <c r="AE3735" s="223"/>
      <c r="AF3735" s="223"/>
      <c r="AG3735" s="223"/>
      <c r="AH3735" s="341"/>
      <c r="AI3735" s="218"/>
      <c r="AJ3735" s="218"/>
      <c r="AK3735" s="153"/>
      <c r="AL3735" s="152"/>
      <c r="AM3735" s="152"/>
      <c r="AN3735" s="152"/>
      <c r="AO3735" s="152"/>
      <c r="AP3735" s="152"/>
      <c r="AQ3735" s="152"/>
      <c r="AR3735" s="152"/>
      <c r="AS3735" s="152"/>
      <c r="AT3735" s="152"/>
      <c r="AU3735" s="153"/>
      <c r="AV3735" s="479"/>
      <c r="AW3735" s="479"/>
      <c r="AX3735" s="442"/>
      <c r="AY3735" s="153"/>
      <c r="AZ3735" s="152"/>
      <c r="BA3735" s="152"/>
      <c r="BB3735" s="152"/>
      <c r="BC3735" s="152"/>
      <c r="BD3735" s="152"/>
      <c r="BE3735" s="152"/>
      <c r="BF3735" s="152"/>
      <c r="BG3735" s="152"/>
      <c r="BH3735" s="152"/>
      <c r="BI3735" s="153"/>
      <c r="BJ3735" s="153"/>
      <c r="BK3735" s="153"/>
      <c r="BL3735" s="153"/>
      <c r="BM3735" s="153"/>
      <c r="BN3735" s="153"/>
      <c r="BO3735" s="153"/>
      <c r="BP3735" s="153"/>
      <c r="BQ3735" s="153"/>
      <c r="BR3735" s="153"/>
      <c r="BS3735" s="153"/>
      <c r="BT3735" s="153"/>
      <c r="BU3735" s="153"/>
      <c r="BV3735" s="153"/>
      <c r="BW3735" s="153"/>
      <c r="BX3735" s="153"/>
      <c r="BY3735" s="153"/>
      <c r="BZ3735" s="153"/>
      <c r="CA3735" s="152"/>
      <c r="CB3735" s="152"/>
    </row>
    <row r="3736" spans="1:80" s="87" customFormat="1" ht="15" x14ac:dyDescent="0.25">
      <c r="A3736" s="152"/>
      <c r="B3736" s="683"/>
      <c r="C3736" s="683"/>
      <c r="D3736" s="698"/>
      <c r="E3736" s="215"/>
      <c r="F3736" s="215"/>
      <c r="G3736" s="153"/>
      <c r="H3736" s="153"/>
      <c r="I3736" s="320">
        <v>20</v>
      </c>
      <c r="J3736" s="320">
        <v>30</v>
      </c>
      <c r="K3736" s="222">
        <v>1</v>
      </c>
      <c r="L3736" s="658">
        <v>10</v>
      </c>
      <c r="M3736" s="663">
        <v>34842</v>
      </c>
      <c r="N3736" s="600">
        <v>86.353700000000003</v>
      </c>
      <c r="O3736" s="604">
        <v>2.739382</v>
      </c>
      <c r="P3736" s="250"/>
      <c r="Q3736" s="250">
        <v>6.7000000000000004E-2</v>
      </c>
      <c r="R3736" s="250">
        <v>9.5000000000000001E-2</v>
      </c>
      <c r="S3736" s="250">
        <v>5.4000000000000006E-2</v>
      </c>
      <c r="T3736" s="250">
        <v>4.5999999999999999E-2</v>
      </c>
      <c r="U3736" s="250">
        <v>0.06</v>
      </c>
      <c r="V3736" s="250">
        <v>0.16800000000000001</v>
      </c>
      <c r="W3736" s="250">
        <v>0.36</v>
      </c>
      <c r="X3736" s="250">
        <v>0.14499999999999999</v>
      </c>
      <c r="Y3736" s="250">
        <v>5.0000000000000001E-3</v>
      </c>
      <c r="Z3736" s="150">
        <v>40</v>
      </c>
      <c r="AA3736" s="150">
        <v>0.98</v>
      </c>
      <c r="AB3736" s="152"/>
      <c r="AC3736" s="152"/>
      <c r="AD3736" s="223"/>
      <c r="AE3736" s="223"/>
      <c r="AF3736" s="223"/>
      <c r="AG3736" s="223"/>
      <c r="AH3736" s="341"/>
      <c r="AI3736" s="218"/>
      <c r="AJ3736" s="218"/>
      <c r="AK3736" s="153"/>
      <c r="AL3736" s="152"/>
      <c r="AM3736" s="152"/>
      <c r="AN3736" s="152"/>
      <c r="AO3736" s="152"/>
      <c r="AP3736" s="152"/>
      <c r="AQ3736" s="152"/>
      <c r="AR3736" s="152"/>
      <c r="AS3736" s="152"/>
      <c r="AT3736" s="152"/>
      <c r="AU3736" s="153"/>
      <c r="AV3736" s="479"/>
      <c r="AW3736" s="479"/>
      <c r="AX3736" s="442"/>
      <c r="AY3736" s="153"/>
      <c r="AZ3736" s="152"/>
      <c r="BA3736" s="152"/>
      <c r="BB3736" s="152"/>
      <c r="BC3736" s="152"/>
      <c r="BD3736" s="152"/>
      <c r="BE3736" s="152"/>
      <c r="BF3736" s="152"/>
      <c r="BG3736" s="152"/>
      <c r="BH3736" s="152"/>
      <c r="BI3736" s="153"/>
      <c r="BJ3736" s="153"/>
      <c r="BK3736" s="153"/>
      <c r="BL3736" s="153"/>
      <c r="BM3736" s="153"/>
      <c r="BN3736" s="153"/>
      <c r="BO3736" s="153"/>
      <c r="BP3736" s="153"/>
      <c r="BQ3736" s="153"/>
      <c r="BR3736" s="153"/>
      <c r="BS3736" s="153"/>
      <c r="BT3736" s="153"/>
      <c r="BU3736" s="153"/>
      <c r="BV3736" s="153"/>
      <c r="BW3736" s="153"/>
      <c r="BX3736" s="153"/>
      <c r="BY3736" s="153"/>
      <c r="BZ3736" s="153"/>
      <c r="CA3736" s="152"/>
      <c r="CB3736" s="152"/>
    </row>
    <row r="3737" spans="1:80" s="87" customFormat="1" ht="15" x14ac:dyDescent="0.25">
      <c r="A3737" s="152"/>
      <c r="B3737" s="683"/>
      <c r="C3737" s="683"/>
      <c r="D3737" s="698"/>
      <c r="E3737" s="215"/>
      <c r="F3737" s="215"/>
      <c r="G3737" s="153"/>
      <c r="H3737" s="153"/>
      <c r="I3737" s="320">
        <v>20</v>
      </c>
      <c r="J3737" s="320">
        <v>30</v>
      </c>
      <c r="K3737" s="222">
        <v>1</v>
      </c>
      <c r="L3737" s="658">
        <v>10</v>
      </c>
      <c r="M3737" s="663">
        <v>34842</v>
      </c>
      <c r="N3737" s="600">
        <v>86.353700000000003</v>
      </c>
      <c r="O3737" s="604">
        <v>6.4863520000000001</v>
      </c>
      <c r="P3737" s="250">
        <v>9.6000000000000002E-2</v>
      </c>
      <c r="Q3737" s="250">
        <v>9.4E-2</v>
      </c>
      <c r="R3737" s="250">
        <v>0.17399999999999999</v>
      </c>
      <c r="S3737" s="250">
        <v>9.9000000000000005E-2</v>
      </c>
      <c r="T3737" s="250">
        <v>6.5000000000000002E-2</v>
      </c>
      <c r="U3737" s="250">
        <v>6.3E-2</v>
      </c>
      <c r="V3737" s="250">
        <v>0.126</v>
      </c>
      <c r="W3737" s="250">
        <v>0.187</v>
      </c>
      <c r="X3737" s="250">
        <v>9.1999999999999998E-2</v>
      </c>
      <c r="Y3737" s="250">
        <v>4.0000000000000001E-3</v>
      </c>
      <c r="Z3737" s="150">
        <v>66</v>
      </c>
      <c r="AA3737" s="150">
        <v>5.39</v>
      </c>
      <c r="AB3737" s="152"/>
      <c r="AC3737" s="152"/>
      <c r="AD3737" s="223"/>
      <c r="AE3737" s="223"/>
      <c r="AF3737" s="223"/>
      <c r="AG3737" s="223"/>
      <c r="AH3737" s="341"/>
      <c r="AI3737" s="218"/>
      <c r="AJ3737" s="218"/>
      <c r="AK3737" s="153"/>
      <c r="AL3737" s="152"/>
      <c r="AM3737" s="152"/>
      <c r="AN3737" s="152"/>
      <c r="AO3737" s="152"/>
      <c r="AP3737" s="152"/>
      <c r="AQ3737" s="152"/>
      <c r="AR3737" s="152"/>
      <c r="AS3737" s="152"/>
      <c r="AT3737" s="152"/>
      <c r="AU3737" s="153"/>
      <c r="AV3737" s="479"/>
      <c r="AW3737" s="479"/>
      <c r="AX3737" s="442"/>
      <c r="AY3737" s="153"/>
      <c r="AZ3737" s="152"/>
      <c r="BA3737" s="152"/>
      <c r="BB3737" s="152"/>
      <c r="BC3737" s="152"/>
      <c r="BD3737" s="152"/>
      <c r="BE3737" s="152"/>
      <c r="BF3737" s="152"/>
      <c r="BG3737" s="152"/>
      <c r="BH3737" s="152"/>
      <c r="BI3737" s="153"/>
      <c r="BJ3737" s="153"/>
      <c r="BK3737" s="153"/>
      <c r="BL3737" s="153"/>
      <c r="BM3737" s="153"/>
      <c r="BN3737" s="153"/>
      <c r="BO3737" s="153"/>
      <c r="BP3737" s="153"/>
      <c r="BQ3737" s="153"/>
      <c r="BR3737" s="153"/>
      <c r="BS3737" s="153"/>
      <c r="BT3737" s="153"/>
      <c r="BU3737" s="153"/>
      <c r="BV3737" s="153"/>
      <c r="BW3737" s="153"/>
      <c r="BX3737" s="153"/>
      <c r="BY3737" s="153"/>
      <c r="BZ3737" s="153"/>
      <c r="CA3737" s="152"/>
      <c r="CB3737" s="152"/>
    </row>
    <row r="3738" spans="1:80" s="87" customFormat="1" ht="15" x14ac:dyDescent="0.25">
      <c r="A3738" s="152"/>
      <c r="B3738" s="683"/>
      <c r="C3738" s="683"/>
      <c r="D3738" s="698"/>
      <c r="E3738" s="215"/>
      <c r="F3738" s="215"/>
      <c r="G3738" s="153"/>
      <c r="H3738" s="153"/>
      <c r="I3738" s="320">
        <v>20</v>
      </c>
      <c r="J3738" s="320">
        <v>30</v>
      </c>
      <c r="K3738" s="222">
        <v>1</v>
      </c>
      <c r="L3738" s="658">
        <v>10</v>
      </c>
      <c r="M3738" s="663">
        <v>34844</v>
      </c>
      <c r="N3738" s="600">
        <v>78.992400000000004</v>
      </c>
      <c r="O3738" s="604">
        <v>3.5160640000000001</v>
      </c>
      <c r="P3738" s="250"/>
      <c r="Q3738" s="250">
        <v>5.7000000000000002E-2</v>
      </c>
      <c r="R3738" s="250">
        <v>0.04</v>
      </c>
      <c r="S3738" s="250">
        <v>4.0999999999999995E-2</v>
      </c>
      <c r="T3738" s="250">
        <v>0.04</v>
      </c>
      <c r="U3738" s="250">
        <v>7.2000000000000008E-2</v>
      </c>
      <c r="V3738" s="250">
        <v>0.27800000000000002</v>
      </c>
      <c r="W3738" s="250">
        <v>0.38500000000000001</v>
      </c>
      <c r="X3738" s="250">
        <v>8.4000000000000005E-2</v>
      </c>
      <c r="Y3738" s="250">
        <v>3.0000000000000001E-3</v>
      </c>
      <c r="Z3738" s="150">
        <v>38</v>
      </c>
      <c r="AA3738" s="150">
        <v>1.07</v>
      </c>
      <c r="AB3738" s="152"/>
      <c r="AC3738" s="152"/>
      <c r="AD3738" s="223"/>
      <c r="AE3738" s="223"/>
      <c r="AF3738" s="223"/>
      <c r="AG3738" s="223"/>
      <c r="AH3738" s="341"/>
      <c r="AI3738" s="218"/>
      <c r="AJ3738" s="218"/>
      <c r="AK3738" s="153"/>
      <c r="AL3738" s="152"/>
      <c r="AM3738" s="152"/>
      <c r="AN3738" s="152"/>
      <c r="AO3738" s="152"/>
      <c r="AP3738" s="152"/>
      <c r="AQ3738" s="152"/>
      <c r="AR3738" s="152"/>
      <c r="AS3738" s="152"/>
      <c r="AT3738" s="152"/>
      <c r="AU3738" s="153"/>
      <c r="AV3738" s="479"/>
      <c r="AW3738" s="479"/>
      <c r="AX3738" s="442"/>
      <c r="AY3738" s="153"/>
      <c r="AZ3738" s="152"/>
      <c r="BA3738" s="152"/>
      <c r="BB3738" s="152"/>
      <c r="BC3738" s="152"/>
      <c r="BD3738" s="152"/>
      <c r="BE3738" s="152"/>
      <c r="BF3738" s="152"/>
      <c r="BG3738" s="152"/>
      <c r="BH3738" s="152"/>
      <c r="BI3738" s="153"/>
      <c r="BJ3738" s="153"/>
      <c r="BK3738" s="153"/>
      <c r="BL3738" s="153"/>
      <c r="BM3738" s="153"/>
      <c r="BN3738" s="153"/>
      <c r="BO3738" s="153"/>
      <c r="BP3738" s="153"/>
      <c r="BQ3738" s="153"/>
      <c r="BR3738" s="153"/>
      <c r="BS3738" s="153"/>
      <c r="BT3738" s="153"/>
      <c r="BU3738" s="153"/>
      <c r="BV3738" s="153"/>
      <c r="BW3738" s="153"/>
      <c r="BX3738" s="153"/>
      <c r="BY3738" s="153"/>
      <c r="BZ3738" s="153"/>
      <c r="CA3738" s="152"/>
      <c r="CB3738" s="152"/>
    </row>
    <row r="3739" spans="1:80" s="87" customFormat="1" ht="15" x14ac:dyDescent="0.25">
      <c r="A3739" s="152"/>
      <c r="B3739" s="683"/>
      <c r="C3739" s="683"/>
      <c r="D3739" s="698"/>
      <c r="E3739" s="215"/>
      <c r="F3739" s="215"/>
      <c r="G3739" s="153"/>
      <c r="H3739" s="153"/>
      <c r="I3739" s="320">
        <v>20</v>
      </c>
      <c r="J3739" s="320">
        <v>30</v>
      </c>
      <c r="K3739" s="222">
        <v>1</v>
      </c>
      <c r="L3739" s="658">
        <v>10</v>
      </c>
      <c r="M3739" s="663">
        <v>34844</v>
      </c>
      <c r="N3739" s="600">
        <v>78.992400000000004</v>
      </c>
      <c r="O3739" s="604">
        <v>2.3090570000000001</v>
      </c>
      <c r="P3739" s="250"/>
      <c r="Q3739" s="250"/>
      <c r="R3739" s="250"/>
      <c r="S3739" s="250">
        <v>1.2E-2</v>
      </c>
      <c r="T3739" s="250">
        <v>0.01</v>
      </c>
      <c r="U3739" s="250">
        <v>2.5000000000000001E-2</v>
      </c>
      <c r="V3739" s="250">
        <v>0.23199999999999998</v>
      </c>
      <c r="W3739" s="250">
        <v>0.52300000000000002</v>
      </c>
      <c r="X3739" s="250">
        <v>0.192</v>
      </c>
      <c r="Y3739" s="250">
        <v>6.0000000000000001E-3</v>
      </c>
      <c r="Z3739" s="150">
        <v>15</v>
      </c>
      <c r="AA3739" s="150">
        <v>0.75</v>
      </c>
      <c r="AB3739" s="152"/>
      <c r="AC3739" s="152"/>
      <c r="AD3739" s="223"/>
      <c r="AE3739" s="223"/>
      <c r="AF3739" s="223"/>
      <c r="AG3739" s="223"/>
      <c r="AH3739" s="341"/>
      <c r="AI3739" s="218"/>
      <c r="AJ3739" s="218"/>
      <c r="AK3739" s="153"/>
      <c r="AL3739" s="152"/>
      <c r="AM3739" s="152"/>
      <c r="AN3739" s="152"/>
      <c r="AO3739" s="152"/>
      <c r="AP3739" s="152"/>
      <c r="AQ3739" s="152"/>
      <c r="AR3739" s="152"/>
      <c r="AS3739" s="152"/>
      <c r="AT3739" s="152"/>
      <c r="AU3739" s="153"/>
      <c r="AV3739" s="479"/>
      <c r="AW3739" s="479"/>
      <c r="AX3739" s="442"/>
      <c r="AY3739" s="153"/>
      <c r="AZ3739" s="152"/>
      <c r="BA3739" s="152"/>
      <c r="BB3739" s="152"/>
      <c r="BC3739" s="152"/>
      <c r="BD3739" s="152"/>
      <c r="BE3739" s="152"/>
      <c r="BF3739" s="152"/>
      <c r="BG3739" s="152"/>
      <c r="BH3739" s="152"/>
      <c r="BI3739" s="153"/>
      <c r="BJ3739" s="153"/>
      <c r="BK3739" s="153"/>
      <c r="BL3739" s="153"/>
      <c r="BM3739" s="153"/>
      <c r="BN3739" s="153"/>
      <c r="BO3739" s="153"/>
      <c r="BP3739" s="153"/>
      <c r="BQ3739" s="153"/>
      <c r="BR3739" s="153"/>
      <c r="BS3739" s="153"/>
      <c r="BT3739" s="153"/>
      <c r="BU3739" s="153"/>
      <c r="BV3739" s="153"/>
      <c r="BW3739" s="153"/>
      <c r="BX3739" s="153"/>
      <c r="BY3739" s="153"/>
      <c r="BZ3739" s="153"/>
      <c r="CA3739" s="152"/>
      <c r="CB3739" s="152"/>
    </row>
    <row r="3740" spans="1:80" s="87" customFormat="1" ht="15" x14ac:dyDescent="0.25">
      <c r="A3740" s="152"/>
      <c r="B3740" s="683"/>
      <c r="C3740" s="683"/>
      <c r="D3740" s="698"/>
      <c r="E3740" s="215"/>
      <c r="F3740" s="215"/>
      <c r="G3740" s="153"/>
      <c r="H3740" s="153"/>
      <c r="I3740" s="320">
        <v>20</v>
      </c>
      <c r="J3740" s="320">
        <v>20</v>
      </c>
      <c r="K3740" s="222">
        <v>1</v>
      </c>
      <c r="L3740" s="658">
        <v>6.666666666666667</v>
      </c>
      <c r="M3740" s="663">
        <v>34849</v>
      </c>
      <c r="N3740" s="600">
        <v>93.148799999999994</v>
      </c>
      <c r="O3740" s="604">
        <v>4.1877899999999997</v>
      </c>
      <c r="P3740" s="250"/>
      <c r="Q3740" s="250">
        <v>7.0000000000000007E-2</v>
      </c>
      <c r="R3740" s="250">
        <v>0.08</v>
      </c>
      <c r="S3740" s="250">
        <v>7.0999999999999994E-2</v>
      </c>
      <c r="T3740" s="250">
        <v>6.7000000000000004E-2</v>
      </c>
      <c r="U3740" s="250">
        <v>4.4999999999999998E-2</v>
      </c>
      <c r="V3740" s="250">
        <v>0.155</v>
      </c>
      <c r="W3740" s="250">
        <v>0.34200000000000003</v>
      </c>
      <c r="X3740" s="250">
        <v>0.16300000000000001</v>
      </c>
      <c r="Y3740" s="250">
        <v>6.9999999999999993E-3</v>
      </c>
      <c r="Z3740" s="150">
        <v>50</v>
      </c>
      <c r="AA3740" s="150">
        <v>0.98</v>
      </c>
      <c r="AB3740" s="152"/>
      <c r="AC3740" s="152"/>
      <c r="AD3740" s="223"/>
      <c r="AE3740" s="223"/>
      <c r="AF3740" s="223"/>
      <c r="AG3740" s="223"/>
      <c r="AH3740" s="341"/>
      <c r="AI3740" s="218"/>
      <c r="AJ3740" s="218"/>
      <c r="AK3740" s="153"/>
      <c r="AL3740" s="152"/>
      <c r="AM3740" s="152"/>
      <c r="AN3740" s="152"/>
      <c r="AO3740" s="152"/>
      <c r="AP3740" s="152"/>
      <c r="AQ3740" s="152"/>
      <c r="AR3740" s="152"/>
      <c r="AS3740" s="152"/>
      <c r="AT3740" s="152"/>
      <c r="AU3740" s="153"/>
      <c r="AV3740" s="479"/>
      <c r="AW3740" s="479"/>
      <c r="AX3740" s="442"/>
      <c r="AY3740" s="153"/>
      <c r="AZ3740" s="152"/>
      <c r="BA3740" s="152"/>
      <c r="BB3740" s="152"/>
      <c r="BC3740" s="152"/>
      <c r="BD3740" s="152"/>
      <c r="BE3740" s="152"/>
      <c r="BF3740" s="152"/>
      <c r="BG3740" s="152"/>
      <c r="BH3740" s="152"/>
      <c r="BI3740" s="153"/>
      <c r="BJ3740" s="153"/>
      <c r="BK3740" s="153"/>
      <c r="BL3740" s="153"/>
      <c r="BM3740" s="153"/>
      <c r="BN3740" s="153"/>
      <c r="BO3740" s="153"/>
      <c r="BP3740" s="153"/>
      <c r="BQ3740" s="153"/>
      <c r="BR3740" s="153"/>
      <c r="BS3740" s="153"/>
      <c r="BT3740" s="153"/>
      <c r="BU3740" s="153"/>
      <c r="BV3740" s="153"/>
      <c r="BW3740" s="153"/>
      <c r="BX3740" s="153"/>
      <c r="BY3740" s="153"/>
      <c r="BZ3740" s="153"/>
      <c r="CA3740" s="152"/>
      <c r="CB3740" s="152"/>
    </row>
    <row r="3741" spans="1:80" s="87" customFormat="1" ht="15" x14ac:dyDescent="0.25">
      <c r="A3741" s="152"/>
      <c r="B3741" s="683"/>
      <c r="C3741" s="683"/>
      <c r="D3741" s="698"/>
      <c r="E3741" s="215"/>
      <c r="F3741" s="215"/>
      <c r="G3741" s="153"/>
      <c r="H3741" s="153"/>
      <c r="I3741" s="320">
        <v>20</v>
      </c>
      <c r="J3741" s="320">
        <v>20</v>
      </c>
      <c r="K3741" s="222">
        <v>1</v>
      </c>
      <c r="L3741" s="658">
        <v>6.666666666666667</v>
      </c>
      <c r="M3741" s="663">
        <v>34849</v>
      </c>
      <c r="N3741" s="600">
        <v>93.148799999999994</v>
      </c>
      <c r="O3741" s="604">
        <v>5.4472759999999996</v>
      </c>
      <c r="P3741" s="250"/>
      <c r="Q3741" s="250">
        <v>0.02</v>
      </c>
      <c r="R3741" s="250">
        <v>0.08</v>
      </c>
      <c r="S3741" s="250">
        <v>4.4000000000000004E-2</v>
      </c>
      <c r="T3741" s="250">
        <v>5.4000000000000006E-2</v>
      </c>
      <c r="U3741" s="250">
        <v>0.11</v>
      </c>
      <c r="V3741" s="250">
        <v>0.248</v>
      </c>
      <c r="W3741" s="250">
        <v>0.318</v>
      </c>
      <c r="X3741" s="250">
        <v>0.122</v>
      </c>
      <c r="Y3741" s="250">
        <v>4.0000000000000001E-3</v>
      </c>
      <c r="Z3741" s="150">
        <v>41</v>
      </c>
      <c r="AA3741" s="150">
        <v>1.17</v>
      </c>
      <c r="AB3741" s="152"/>
      <c r="AC3741" s="152"/>
      <c r="AD3741" s="223"/>
      <c r="AE3741" s="223"/>
      <c r="AF3741" s="223"/>
      <c r="AG3741" s="223"/>
      <c r="AH3741" s="341"/>
      <c r="AI3741" s="218"/>
      <c r="AJ3741" s="218"/>
      <c r="AK3741" s="153"/>
      <c r="AL3741" s="152"/>
      <c r="AM3741" s="152"/>
      <c r="AN3741" s="152"/>
      <c r="AO3741" s="152"/>
      <c r="AP3741" s="152"/>
      <c r="AQ3741" s="152"/>
      <c r="AR3741" s="152"/>
      <c r="AS3741" s="152"/>
      <c r="AT3741" s="152"/>
      <c r="AU3741" s="153"/>
      <c r="AV3741" s="479"/>
      <c r="AW3741" s="479"/>
      <c r="AX3741" s="442"/>
      <c r="AY3741" s="153"/>
      <c r="AZ3741" s="152"/>
      <c r="BA3741" s="152"/>
      <c r="BB3741" s="152"/>
      <c r="BC3741" s="152"/>
      <c r="BD3741" s="152"/>
      <c r="BE3741" s="152"/>
      <c r="BF3741" s="152"/>
      <c r="BG3741" s="152"/>
      <c r="BH3741" s="152"/>
      <c r="BI3741" s="153"/>
      <c r="BJ3741" s="153"/>
      <c r="BK3741" s="153"/>
      <c r="BL3741" s="153"/>
      <c r="BM3741" s="153"/>
      <c r="BN3741" s="153"/>
      <c r="BO3741" s="153"/>
      <c r="BP3741" s="153"/>
      <c r="BQ3741" s="153"/>
      <c r="BR3741" s="153"/>
      <c r="BS3741" s="153"/>
      <c r="BT3741" s="153"/>
      <c r="BU3741" s="153"/>
      <c r="BV3741" s="153"/>
      <c r="BW3741" s="153"/>
      <c r="BX3741" s="153"/>
      <c r="BY3741" s="153"/>
      <c r="BZ3741" s="153"/>
      <c r="CA3741" s="152"/>
      <c r="CB3741" s="152"/>
    </row>
    <row r="3742" spans="1:80" s="87" customFormat="1" ht="15" x14ac:dyDescent="0.25">
      <c r="A3742" s="152"/>
      <c r="B3742" s="683"/>
      <c r="C3742" s="683"/>
      <c r="D3742" s="698"/>
      <c r="E3742" s="215"/>
      <c r="F3742" s="215"/>
      <c r="G3742" s="153"/>
      <c r="H3742" s="153"/>
      <c r="I3742" s="320">
        <v>20</v>
      </c>
      <c r="J3742" s="320">
        <v>20</v>
      </c>
      <c r="K3742" s="222">
        <v>1</v>
      </c>
      <c r="L3742" s="658">
        <v>6.666666666666667</v>
      </c>
      <c r="M3742" s="663">
        <v>34850</v>
      </c>
      <c r="N3742" s="600">
        <v>102.77500000000001</v>
      </c>
      <c r="O3742" s="604">
        <v>2.9073129999999998</v>
      </c>
      <c r="P3742" s="250">
        <v>0.48599999999999999</v>
      </c>
      <c r="Q3742" s="250">
        <v>4.4000000000000004E-2</v>
      </c>
      <c r="R3742" s="250">
        <v>4.4999999999999998E-2</v>
      </c>
      <c r="S3742" s="250">
        <v>1.2E-2</v>
      </c>
      <c r="T3742" s="250">
        <v>6.0000000000000001E-3</v>
      </c>
      <c r="U3742" s="250">
        <v>8.0000000000000002E-3</v>
      </c>
      <c r="V3742" s="250">
        <v>5.7000000000000002E-2</v>
      </c>
      <c r="W3742" s="250">
        <v>0.191</v>
      </c>
      <c r="X3742" s="250">
        <v>0.11800000000000001</v>
      </c>
      <c r="Y3742" s="250">
        <v>3.3000000000000002E-2</v>
      </c>
      <c r="Z3742" s="150">
        <v>128</v>
      </c>
      <c r="AA3742" s="150">
        <v>51.33</v>
      </c>
      <c r="AB3742" s="152"/>
      <c r="AC3742" s="152"/>
      <c r="AD3742" s="223">
        <v>47.547240000000002</v>
      </c>
      <c r="AE3742" s="223">
        <v>1.1351598759999999</v>
      </c>
      <c r="AF3742" s="223">
        <v>53.971414000000003</v>
      </c>
      <c r="AG3742" s="223">
        <v>1.9724791770000001</v>
      </c>
      <c r="AH3742" s="341"/>
      <c r="AI3742" s="218"/>
      <c r="AJ3742" s="218"/>
      <c r="AK3742" s="153"/>
      <c r="AL3742" s="152"/>
      <c r="AM3742" s="152"/>
      <c r="AN3742" s="152"/>
      <c r="AO3742" s="152"/>
      <c r="AP3742" s="152"/>
      <c r="AQ3742" s="152"/>
      <c r="AR3742" s="152"/>
      <c r="AS3742" s="152"/>
      <c r="AT3742" s="152"/>
      <c r="AU3742" s="153"/>
      <c r="AV3742" s="479"/>
      <c r="AW3742" s="479"/>
      <c r="AX3742" s="442"/>
      <c r="AY3742" s="153"/>
      <c r="AZ3742" s="152"/>
      <c r="BA3742" s="152"/>
      <c r="BB3742" s="152"/>
      <c r="BC3742" s="152"/>
      <c r="BD3742" s="152"/>
      <c r="BE3742" s="152"/>
      <c r="BF3742" s="152"/>
      <c r="BG3742" s="152"/>
      <c r="BH3742" s="152"/>
      <c r="BI3742" s="153"/>
      <c r="BJ3742" s="153"/>
      <c r="BK3742" s="153"/>
      <c r="BL3742" s="153"/>
      <c r="BM3742" s="153"/>
      <c r="BN3742" s="153"/>
      <c r="BO3742" s="153"/>
      <c r="BP3742" s="153"/>
      <c r="BQ3742" s="153"/>
      <c r="BR3742" s="153"/>
      <c r="BS3742" s="153"/>
      <c r="BT3742" s="153"/>
      <c r="BU3742" s="153"/>
      <c r="BV3742" s="153"/>
      <c r="BW3742" s="153"/>
      <c r="BX3742" s="153"/>
      <c r="BY3742" s="153"/>
      <c r="BZ3742" s="153"/>
      <c r="CA3742" s="152"/>
      <c r="CB3742" s="152"/>
    </row>
    <row r="3743" spans="1:80" s="87" customFormat="1" ht="15" x14ac:dyDescent="0.25">
      <c r="A3743" s="152"/>
      <c r="B3743" s="683"/>
      <c r="C3743" s="683"/>
      <c r="D3743" s="698"/>
      <c r="E3743" s="215"/>
      <c r="F3743" s="215"/>
      <c r="G3743" s="153"/>
      <c r="H3743" s="153"/>
      <c r="I3743" s="320">
        <v>20</v>
      </c>
      <c r="J3743" s="320">
        <v>20</v>
      </c>
      <c r="K3743" s="222">
        <v>1</v>
      </c>
      <c r="L3743" s="658">
        <v>6.666666666666667</v>
      </c>
      <c r="M3743" s="663">
        <v>34853</v>
      </c>
      <c r="N3743" s="600">
        <v>117.78100000000001</v>
      </c>
      <c r="O3743" s="604">
        <v>2.3090570000000001</v>
      </c>
      <c r="P3743" s="250">
        <v>0.20199999999999999</v>
      </c>
      <c r="Q3743" s="250">
        <v>0.41899999999999998</v>
      </c>
      <c r="R3743" s="250">
        <v>0.16300000000000001</v>
      </c>
      <c r="S3743" s="250">
        <v>0.105</v>
      </c>
      <c r="T3743" s="250">
        <v>4.4999999999999998E-2</v>
      </c>
      <c r="U3743" s="250">
        <v>1.4999999999999999E-2</v>
      </c>
      <c r="V3743" s="250">
        <v>4.0000000000000001E-3</v>
      </c>
      <c r="W3743" s="250">
        <v>9.0000000000000011E-3</v>
      </c>
      <c r="X3743" s="250">
        <v>2.5000000000000001E-2</v>
      </c>
      <c r="Y3743" s="250">
        <v>1.3000000000000001E-2</v>
      </c>
      <c r="Z3743" s="150">
        <v>93</v>
      </c>
      <c r="AA3743" s="150">
        <v>39.090000000000003</v>
      </c>
      <c r="AB3743" s="152"/>
      <c r="AC3743" s="152"/>
      <c r="AD3743" s="223"/>
      <c r="AE3743" s="223"/>
      <c r="AF3743" s="223"/>
      <c r="AG3743" s="223"/>
      <c r="AH3743" s="341"/>
      <c r="AI3743" s="218"/>
      <c r="AJ3743" s="218"/>
      <c r="AK3743" s="153"/>
      <c r="AL3743" s="152"/>
      <c r="AM3743" s="152"/>
      <c r="AN3743" s="152"/>
      <c r="AO3743" s="152"/>
      <c r="AP3743" s="152"/>
      <c r="AQ3743" s="152"/>
      <c r="AR3743" s="152"/>
      <c r="AS3743" s="152"/>
      <c r="AT3743" s="152"/>
      <c r="AU3743" s="153"/>
      <c r="AV3743" s="479"/>
      <c r="AW3743" s="479"/>
      <c r="AX3743" s="442"/>
      <c r="AY3743" s="153"/>
      <c r="AZ3743" s="152"/>
      <c r="BA3743" s="152"/>
      <c r="BB3743" s="152"/>
      <c r="BC3743" s="152"/>
      <c r="BD3743" s="152"/>
      <c r="BE3743" s="152"/>
      <c r="BF3743" s="152"/>
      <c r="BG3743" s="152"/>
      <c r="BH3743" s="152"/>
      <c r="BI3743" s="153"/>
      <c r="BJ3743" s="153"/>
      <c r="BK3743" s="153"/>
      <c r="BL3743" s="153"/>
      <c r="BM3743" s="153"/>
      <c r="BN3743" s="153"/>
      <c r="BO3743" s="153"/>
      <c r="BP3743" s="153"/>
      <c r="BQ3743" s="153"/>
      <c r="BR3743" s="153"/>
      <c r="BS3743" s="153"/>
      <c r="BT3743" s="153"/>
      <c r="BU3743" s="153"/>
      <c r="BV3743" s="153"/>
      <c r="BW3743" s="153"/>
      <c r="BX3743" s="153"/>
      <c r="BY3743" s="153"/>
      <c r="BZ3743" s="153"/>
      <c r="CA3743" s="152"/>
      <c r="CB3743" s="152"/>
    </row>
    <row r="3744" spans="1:80" s="87" customFormat="1" ht="15" x14ac:dyDescent="0.25">
      <c r="A3744" s="152"/>
      <c r="B3744" s="683"/>
      <c r="C3744" s="683"/>
      <c r="D3744" s="698"/>
      <c r="E3744" s="215"/>
      <c r="F3744" s="215"/>
      <c r="G3744" s="153"/>
      <c r="H3744" s="153"/>
      <c r="I3744" s="320">
        <v>20</v>
      </c>
      <c r="J3744" s="320">
        <v>30</v>
      </c>
      <c r="K3744" s="222">
        <v>1</v>
      </c>
      <c r="L3744" s="658">
        <v>10</v>
      </c>
      <c r="M3744" s="663">
        <v>34854</v>
      </c>
      <c r="N3744" s="600">
        <v>119.196</v>
      </c>
      <c r="O3744" s="604">
        <v>1.7212970000000001</v>
      </c>
      <c r="P3744" s="250">
        <v>0.245</v>
      </c>
      <c r="Q3744" s="250">
        <v>0.32400000000000001</v>
      </c>
      <c r="R3744" s="250">
        <v>0.155</v>
      </c>
      <c r="S3744" s="250">
        <v>7.9000000000000001E-2</v>
      </c>
      <c r="T3744" s="250">
        <v>6.3E-2</v>
      </c>
      <c r="U3744" s="250">
        <v>2.2000000000000002E-2</v>
      </c>
      <c r="V3744" s="250">
        <v>6.0000000000000001E-3</v>
      </c>
      <c r="W3744" s="250">
        <v>1.6E-2</v>
      </c>
      <c r="X3744" s="250">
        <v>6.5000000000000002E-2</v>
      </c>
      <c r="Y3744" s="250">
        <v>2.5000000000000001E-2</v>
      </c>
      <c r="Z3744" s="150">
        <v>82</v>
      </c>
      <c r="AA3744" s="150">
        <v>37.090000000000003</v>
      </c>
      <c r="AB3744" s="152"/>
      <c r="AC3744" s="152"/>
      <c r="AD3744" s="223"/>
      <c r="AE3744" s="223"/>
      <c r="AF3744" s="223"/>
      <c r="AG3744" s="223"/>
      <c r="AH3744" s="341"/>
      <c r="AI3744" s="218"/>
      <c r="AJ3744" s="218"/>
      <c r="AK3744" s="153"/>
      <c r="AL3744" s="152"/>
      <c r="AM3744" s="152"/>
      <c r="AN3744" s="152"/>
      <c r="AO3744" s="152"/>
      <c r="AP3744" s="152"/>
      <c r="AQ3744" s="152"/>
      <c r="AR3744" s="152"/>
      <c r="AS3744" s="152"/>
      <c r="AT3744" s="152"/>
      <c r="AU3744" s="153"/>
      <c r="AV3744" s="479"/>
      <c r="AW3744" s="479"/>
      <c r="AX3744" s="442"/>
      <c r="AY3744" s="153"/>
      <c r="AZ3744" s="152"/>
      <c r="BA3744" s="152"/>
      <c r="BB3744" s="152"/>
      <c r="BC3744" s="152"/>
      <c r="BD3744" s="152"/>
      <c r="BE3744" s="152"/>
      <c r="BF3744" s="152"/>
      <c r="BG3744" s="152"/>
      <c r="BH3744" s="152"/>
      <c r="BI3744" s="153"/>
      <c r="BJ3744" s="153"/>
      <c r="BK3744" s="153"/>
      <c r="BL3744" s="153"/>
      <c r="BM3744" s="153"/>
      <c r="BN3744" s="153"/>
      <c r="BO3744" s="153"/>
      <c r="BP3744" s="153"/>
      <c r="BQ3744" s="153"/>
      <c r="BR3744" s="153"/>
      <c r="BS3744" s="153"/>
      <c r="BT3744" s="153"/>
      <c r="BU3744" s="153"/>
      <c r="BV3744" s="153"/>
      <c r="BW3744" s="153"/>
      <c r="BX3744" s="153"/>
      <c r="BY3744" s="153"/>
      <c r="BZ3744" s="153"/>
      <c r="CA3744" s="152"/>
      <c r="CB3744" s="152"/>
    </row>
    <row r="3745" spans="1:80" s="87" customFormat="1" ht="15" x14ac:dyDescent="0.25">
      <c r="A3745" s="152"/>
      <c r="B3745" s="683"/>
      <c r="C3745" s="683"/>
      <c r="D3745" s="698"/>
      <c r="E3745" s="215"/>
      <c r="F3745" s="215"/>
      <c r="G3745" s="153"/>
      <c r="H3745" s="153"/>
      <c r="I3745" s="320">
        <v>20</v>
      </c>
      <c r="J3745" s="320">
        <v>30</v>
      </c>
      <c r="K3745" s="222">
        <v>1</v>
      </c>
      <c r="L3745" s="658">
        <v>10</v>
      </c>
      <c r="M3745" s="663">
        <v>34854</v>
      </c>
      <c r="N3745" s="600">
        <v>119.196</v>
      </c>
      <c r="O3745" s="604">
        <v>1.637332</v>
      </c>
      <c r="P3745" s="250"/>
      <c r="Q3745" s="250">
        <v>0.312</v>
      </c>
      <c r="R3745" s="250">
        <v>0.29399999999999998</v>
      </c>
      <c r="S3745" s="250">
        <v>0.13600000000000001</v>
      </c>
      <c r="T3745" s="250">
        <v>5.7999999999999996E-2</v>
      </c>
      <c r="U3745" s="250">
        <v>3.5000000000000003E-2</v>
      </c>
      <c r="V3745" s="250">
        <v>3.6000000000000004E-2</v>
      </c>
      <c r="W3745" s="250">
        <v>4.2999999999999997E-2</v>
      </c>
      <c r="X3745" s="250">
        <v>6.0999999999999999E-2</v>
      </c>
      <c r="Y3745" s="250">
        <v>2.5000000000000001E-2</v>
      </c>
      <c r="Z3745" s="150">
        <v>69</v>
      </c>
      <c r="AA3745" s="150">
        <v>20.54</v>
      </c>
      <c r="AB3745" s="152"/>
      <c r="AC3745" s="152"/>
      <c r="AD3745" s="223"/>
      <c r="AE3745" s="223"/>
      <c r="AF3745" s="223"/>
      <c r="AG3745" s="223"/>
      <c r="AH3745" s="341"/>
      <c r="AI3745" s="218"/>
      <c r="AJ3745" s="218"/>
      <c r="AK3745" s="153"/>
      <c r="AL3745" s="152"/>
      <c r="AM3745" s="152"/>
      <c r="AN3745" s="152"/>
      <c r="AO3745" s="152"/>
      <c r="AP3745" s="152"/>
      <c r="AQ3745" s="152"/>
      <c r="AR3745" s="152"/>
      <c r="AS3745" s="152"/>
      <c r="AT3745" s="152"/>
      <c r="AU3745" s="153"/>
      <c r="AV3745" s="479"/>
      <c r="AW3745" s="479"/>
      <c r="AX3745" s="442"/>
      <c r="AY3745" s="153"/>
      <c r="AZ3745" s="152"/>
      <c r="BA3745" s="152"/>
      <c r="BB3745" s="152"/>
      <c r="BC3745" s="152"/>
      <c r="BD3745" s="152"/>
      <c r="BE3745" s="152"/>
      <c r="BF3745" s="152"/>
      <c r="BG3745" s="152"/>
      <c r="BH3745" s="152"/>
      <c r="BI3745" s="153"/>
      <c r="BJ3745" s="153"/>
      <c r="BK3745" s="153"/>
      <c r="BL3745" s="153"/>
      <c r="BM3745" s="153"/>
      <c r="BN3745" s="153"/>
      <c r="BO3745" s="153"/>
      <c r="BP3745" s="153"/>
      <c r="BQ3745" s="153"/>
      <c r="BR3745" s="153"/>
      <c r="BS3745" s="153"/>
      <c r="BT3745" s="153"/>
      <c r="BU3745" s="153"/>
      <c r="BV3745" s="153"/>
      <c r="BW3745" s="153"/>
      <c r="BX3745" s="153"/>
      <c r="BY3745" s="153"/>
      <c r="BZ3745" s="153"/>
      <c r="CA3745" s="152"/>
      <c r="CB3745" s="152"/>
    </row>
    <row r="3746" spans="1:80" s="87" customFormat="1" ht="15" x14ac:dyDescent="0.25">
      <c r="A3746" s="152"/>
      <c r="B3746" s="683"/>
      <c r="C3746" s="683"/>
      <c r="D3746" s="698"/>
      <c r="E3746" s="215"/>
      <c r="F3746" s="215"/>
      <c r="G3746" s="153"/>
      <c r="H3746" s="153"/>
      <c r="I3746" s="320">
        <v>20</v>
      </c>
      <c r="J3746" s="320">
        <v>30</v>
      </c>
      <c r="K3746" s="222">
        <v>1</v>
      </c>
      <c r="L3746" s="658">
        <v>10</v>
      </c>
      <c r="M3746" s="663">
        <v>34855</v>
      </c>
      <c r="N3746" s="600">
        <v>133.35300000000001</v>
      </c>
      <c r="O3746" s="604">
        <v>3.0647489999999999</v>
      </c>
      <c r="P3746" s="250">
        <v>0.499</v>
      </c>
      <c r="Q3746" s="250">
        <v>0.20800000000000002</v>
      </c>
      <c r="R3746" s="250">
        <v>0.13800000000000001</v>
      </c>
      <c r="S3746" s="250">
        <v>8.6999999999999994E-2</v>
      </c>
      <c r="T3746" s="250">
        <v>4.2000000000000003E-2</v>
      </c>
      <c r="U3746" s="250">
        <v>2E-3</v>
      </c>
      <c r="V3746" s="250">
        <v>4.0000000000000001E-3</v>
      </c>
      <c r="W3746" s="250">
        <v>1.1000000000000001E-2</v>
      </c>
      <c r="X3746" s="250">
        <v>6.9999999999999993E-3</v>
      </c>
      <c r="Y3746" s="250">
        <v>2E-3</v>
      </c>
      <c r="Z3746" s="150">
        <v>89</v>
      </c>
      <c r="AA3746" s="150">
        <v>63.79</v>
      </c>
      <c r="AB3746" s="152"/>
      <c r="AC3746" s="152"/>
      <c r="AD3746" s="223"/>
      <c r="AE3746" s="223"/>
      <c r="AF3746" s="223"/>
      <c r="AG3746" s="223"/>
      <c r="AH3746" s="341"/>
      <c r="AI3746" s="218"/>
      <c r="AJ3746" s="218"/>
      <c r="AK3746" s="153"/>
      <c r="AL3746" s="152"/>
      <c r="AM3746" s="152"/>
      <c r="AN3746" s="152"/>
      <c r="AO3746" s="152"/>
      <c r="AP3746" s="152"/>
      <c r="AQ3746" s="152"/>
      <c r="AR3746" s="152"/>
      <c r="AS3746" s="152"/>
      <c r="AT3746" s="152"/>
      <c r="AU3746" s="153"/>
      <c r="AV3746" s="479"/>
      <c r="AW3746" s="479"/>
      <c r="AX3746" s="442"/>
      <c r="AY3746" s="153"/>
      <c r="AZ3746" s="152"/>
      <c r="BA3746" s="152"/>
      <c r="BB3746" s="152"/>
      <c r="BC3746" s="152"/>
      <c r="BD3746" s="152"/>
      <c r="BE3746" s="152"/>
      <c r="BF3746" s="152"/>
      <c r="BG3746" s="152"/>
      <c r="BH3746" s="152"/>
      <c r="BI3746" s="153"/>
      <c r="BJ3746" s="153"/>
      <c r="BK3746" s="153"/>
      <c r="BL3746" s="153"/>
      <c r="BM3746" s="153"/>
      <c r="BN3746" s="153"/>
      <c r="BO3746" s="153"/>
      <c r="BP3746" s="153"/>
      <c r="BQ3746" s="153"/>
      <c r="BR3746" s="153"/>
      <c r="BS3746" s="153"/>
      <c r="BT3746" s="153"/>
      <c r="BU3746" s="153"/>
      <c r="BV3746" s="153"/>
      <c r="BW3746" s="153"/>
      <c r="BX3746" s="153"/>
      <c r="BY3746" s="153"/>
      <c r="BZ3746" s="153"/>
      <c r="CA3746" s="152"/>
      <c r="CB3746" s="152"/>
    </row>
    <row r="3747" spans="1:80" s="87" customFormat="1" ht="15" x14ac:dyDescent="0.25">
      <c r="A3747" s="152"/>
      <c r="B3747" s="683"/>
      <c r="C3747" s="683"/>
      <c r="D3747" s="698"/>
      <c r="E3747" s="215"/>
      <c r="F3747" s="215"/>
      <c r="G3747" s="153"/>
      <c r="H3747" s="153"/>
      <c r="I3747" s="320">
        <v>20</v>
      </c>
      <c r="J3747" s="320">
        <v>30</v>
      </c>
      <c r="K3747" s="222">
        <v>1</v>
      </c>
      <c r="L3747" s="658">
        <v>10</v>
      </c>
      <c r="M3747" s="663">
        <v>34855</v>
      </c>
      <c r="N3747" s="600">
        <v>133.35300000000001</v>
      </c>
      <c r="O3747" s="604">
        <v>2.3930229999999999</v>
      </c>
      <c r="P3747" s="250">
        <v>0.17199999999999999</v>
      </c>
      <c r="Q3747" s="250">
        <v>0.16399999999999998</v>
      </c>
      <c r="R3747" s="250">
        <v>6.2E-2</v>
      </c>
      <c r="S3747" s="250">
        <v>1.6E-2</v>
      </c>
      <c r="T3747" s="250">
        <v>6.0000000000000001E-3</v>
      </c>
      <c r="U3747" s="250">
        <v>0.01</v>
      </c>
      <c r="V3747" s="250">
        <v>9.0999999999999998E-2</v>
      </c>
      <c r="W3747" s="250">
        <v>0.27200000000000002</v>
      </c>
      <c r="X3747" s="250">
        <v>0.16899999999999998</v>
      </c>
      <c r="Y3747" s="250">
        <v>3.7999999999999999E-2</v>
      </c>
      <c r="Z3747" s="150">
        <v>102</v>
      </c>
      <c r="AA3747" s="150">
        <v>1.17</v>
      </c>
      <c r="AB3747" s="152"/>
      <c r="AC3747" s="152"/>
      <c r="AD3747" s="223"/>
      <c r="AE3747" s="223"/>
      <c r="AF3747" s="223"/>
      <c r="AG3747" s="223"/>
      <c r="AH3747" s="341"/>
      <c r="AI3747" s="218"/>
      <c r="AJ3747" s="218"/>
      <c r="AK3747" s="153"/>
      <c r="AL3747" s="152"/>
      <c r="AM3747" s="152"/>
      <c r="AN3747" s="152"/>
      <c r="AO3747" s="152"/>
      <c r="AP3747" s="152"/>
      <c r="AQ3747" s="152"/>
      <c r="AR3747" s="152"/>
      <c r="AS3747" s="152"/>
      <c r="AT3747" s="152"/>
      <c r="AU3747" s="153"/>
      <c r="AV3747" s="479"/>
      <c r="AW3747" s="479"/>
      <c r="AX3747" s="442"/>
      <c r="AY3747" s="153"/>
      <c r="AZ3747" s="152"/>
      <c r="BA3747" s="152"/>
      <c r="BB3747" s="152"/>
      <c r="BC3747" s="152"/>
      <c r="BD3747" s="152"/>
      <c r="BE3747" s="152"/>
      <c r="BF3747" s="152"/>
      <c r="BG3747" s="152"/>
      <c r="BH3747" s="152"/>
      <c r="BI3747" s="153"/>
      <c r="BJ3747" s="153"/>
      <c r="BK3747" s="153"/>
      <c r="BL3747" s="153"/>
      <c r="BM3747" s="153"/>
      <c r="BN3747" s="153"/>
      <c r="BO3747" s="153"/>
      <c r="BP3747" s="153"/>
      <c r="BQ3747" s="153"/>
      <c r="BR3747" s="153"/>
      <c r="BS3747" s="153"/>
      <c r="BT3747" s="153"/>
      <c r="BU3747" s="153"/>
      <c r="BV3747" s="153"/>
      <c r="BW3747" s="153"/>
      <c r="BX3747" s="153"/>
      <c r="BY3747" s="153"/>
      <c r="BZ3747" s="153"/>
      <c r="CA3747" s="152"/>
      <c r="CB3747" s="152"/>
    </row>
    <row r="3748" spans="1:80" s="87" customFormat="1" ht="15" x14ac:dyDescent="0.25">
      <c r="A3748" s="152"/>
      <c r="B3748" s="683"/>
      <c r="C3748" s="683"/>
      <c r="D3748" s="698"/>
      <c r="E3748" s="215"/>
      <c r="F3748" s="215"/>
      <c r="G3748" s="153"/>
      <c r="H3748" s="153"/>
      <c r="I3748" s="320">
        <v>20</v>
      </c>
      <c r="J3748" s="320">
        <v>30</v>
      </c>
      <c r="K3748" s="222">
        <v>1</v>
      </c>
      <c r="L3748" s="658">
        <v>10</v>
      </c>
      <c r="M3748" s="663">
        <v>34864</v>
      </c>
      <c r="N3748" s="600">
        <v>111.26900000000001</v>
      </c>
      <c r="O3748" s="604">
        <v>0.25924399999999997</v>
      </c>
      <c r="P3748" s="250"/>
      <c r="Q3748" s="250">
        <v>0.33</v>
      </c>
      <c r="R3748" s="250">
        <v>0.34299999999999997</v>
      </c>
      <c r="S3748" s="250">
        <v>9.0999999999999998E-2</v>
      </c>
      <c r="T3748" s="250">
        <v>6.7000000000000004E-2</v>
      </c>
      <c r="U3748" s="250">
        <v>1.8000000000000002E-2</v>
      </c>
      <c r="V3748" s="250">
        <v>8.0000000000000002E-3</v>
      </c>
      <c r="W3748" s="250">
        <v>1.2E-2</v>
      </c>
      <c r="X3748" s="250">
        <v>8.199999999999999E-2</v>
      </c>
      <c r="Y3748" s="250">
        <v>4.9000000000000002E-2</v>
      </c>
      <c r="Z3748" s="150">
        <v>54</v>
      </c>
      <c r="AA3748" s="150">
        <v>22.7</v>
      </c>
      <c r="AB3748" s="152"/>
      <c r="AC3748" s="152"/>
      <c r="AD3748" s="223"/>
      <c r="AE3748" s="223"/>
      <c r="AF3748" s="223"/>
      <c r="AG3748" s="223"/>
      <c r="AH3748" s="341"/>
      <c r="AI3748" s="218"/>
      <c r="AJ3748" s="218"/>
      <c r="AK3748" s="153"/>
      <c r="AL3748" s="152"/>
      <c r="AM3748" s="152"/>
      <c r="AN3748" s="152"/>
      <c r="AO3748" s="152"/>
      <c r="AP3748" s="152"/>
      <c r="AQ3748" s="152"/>
      <c r="AR3748" s="152"/>
      <c r="AS3748" s="152"/>
      <c r="AT3748" s="152"/>
      <c r="AU3748" s="153"/>
      <c r="AV3748" s="479"/>
      <c r="AW3748" s="479"/>
      <c r="AX3748" s="442"/>
      <c r="AY3748" s="153"/>
      <c r="AZ3748" s="152"/>
      <c r="BA3748" s="152"/>
      <c r="BB3748" s="152"/>
      <c r="BC3748" s="152"/>
      <c r="BD3748" s="152"/>
      <c r="BE3748" s="152"/>
      <c r="BF3748" s="152"/>
      <c r="BG3748" s="152"/>
      <c r="BH3748" s="152"/>
      <c r="BI3748" s="153"/>
      <c r="BJ3748" s="153"/>
      <c r="BK3748" s="153"/>
      <c r="BL3748" s="153"/>
      <c r="BM3748" s="153"/>
      <c r="BN3748" s="153"/>
      <c r="BO3748" s="153"/>
      <c r="BP3748" s="153"/>
      <c r="BQ3748" s="153"/>
      <c r="BR3748" s="153"/>
      <c r="BS3748" s="153"/>
      <c r="BT3748" s="153"/>
      <c r="BU3748" s="153"/>
      <c r="BV3748" s="153"/>
      <c r="BW3748" s="153"/>
      <c r="BX3748" s="153"/>
      <c r="BY3748" s="153"/>
      <c r="BZ3748" s="153"/>
      <c r="CA3748" s="152"/>
      <c r="CB3748" s="152"/>
    </row>
    <row r="3749" spans="1:80" s="87" customFormat="1" ht="15" x14ac:dyDescent="0.25">
      <c r="A3749" s="152"/>
      <c r="B3749" s="683"/>
      <c r="C3749" s="683"/>
      <c r="D3749" s="698"/>
      <c r="E3749" s="215"/>
      <c r="F3749" s="215"/>
      <c r="G3749" s="153"/>
      <c r="H3749" s="153"/>
      <c r="I3749" s="320">
        <v>20</v>
      </c>
      <c r="J3749" s="320">
        <v>30</v>
      </c>
      <c r="K3749" s="222">
        <v>1</v>
      </c>
      <c r="L3749" s="658">
        <v>10</v>
      </c>
      <c r="M3749" s="663">
        <v>34864</v>
      </c>
      <c r="N3749" s="600">
        <v>111.26900000000001</v>
      </c>
      <c r="O3749" s="604">
        <v>1.238494</v>
      </c>
      <c r="P3749" s="250">
        <v>0.33299999999999996</v>
      </c>
      <c r="Q3749" s="250">
        <v>0</v>
      </c>
      <c r="R3749" s="250">
        <v>2.3E-2</v>
      </c>
      <c r="S3749" s="250">
        <v>0.02</v>
      </c>
      <c r="T3749" s="250">
        <v>1.4999999999999999E-2</v>
      </c>
      <c r="U3749" s="250">
        <v>1.6E-2</v>
      </c>
      <c r="V3749" s="250">
        <v>0.09</v>
      </c>
      <c r="W3749" s="250">
        <v>0.28800000000000003</v>
      </c>
      <c r="X3749" s="250">
        <v>0.17100000000000001</v>
      </c>
      <c r="Y3749" s="250">
        <v>4.4000000000000004E-2</v>
      </c>
      <c r="Z3749" s="150">
        <v>85</v>
      </c>
      <c r="AA3749" s="150">
        <v>0.99</v>
      </c>
      <c r="AB3749" s="152"/>
      <c r="AC3749" s="152"/>
      <c r="AD3749" s="223"/>
      <c r="AE3749" s="223"/>
      <c r="AF3749" s="223"/>
      <c r="AG3749" s="223"/>
      <c r="AH3749" s="341"/>
      <c r="AI3749" s="218"/>
      <c r="AJ3749" s="218"/>
      <c r="AK3749" s="153"/>
      <c r="AL3749" s="152"/>
      <c r="AM3749" s="152"/>
      <c r="AN3749" s="152"/>
      <c r="AO3749" s="152"/>
      <c r="AP3749" s="152"/>
      <c r="AQ3749" s="152"/>
      <c r="AR3749" s="152"/>
      <c r="AS3749" s="152"/>
      <c r="AT3749" s="152"/>
      <c r="AU3749" s="153"/>
      <c r="AV3749" s="479"/>
      <c r="AW3749" s="479"/>
      <c r="AX3749" s="442"/>
      <c r="AY3749" s="153"/>
      <c r="AZ3749" s="152"/>
      <c r="BA3749" s="152"/>
      <c r="BB3749" s="152"/>
      <c r="BC3749" s="152"/>
      <c r="BD3749" s="152"/>
      <c r="BE3749" s="152"/>
      <c r="BF3749" s="152"/>
      <c r="BG3749" s="152"/>
      <c r="BH3749" s="152"/>
      <c r="BI3749" s="153"/>
      <c r="BJ3749" s="153"/>
      <c r="BK3749" s="153"/>
      <c r="BL3749" s="153"/>
      <c r="BM3749" s="153"/>
      <c r="BN3749" s="153"/>
      <c r="BO3749" s="153"/>
      <c r="BP3749" s="153"/>
      <c r="BQ3749" s="153"/>
      <c r="BR3749" s="153"/>
      <c r="BS3749" s="153"/>
      <c r="BT3749" s="153"/>
      <c r="BU3749" s="153"/>
      <c r="BV3749" s="153"/>
      <c r="BW3749" s="153"/>
      <c r="BX3749" s="153"/>
      <c r="BY3749" s="153"/>
      <c r="BZ3749" s="153"/>
      <c r="CA3749" s="152"/>
      <c r="CB3749" s="152"/>
    </row>
    <row r="3750" spans="1:80" s="87" customFormat="1" ht="15" x14ac:dyDescent="0.25">
      <c r="A3750" s="152"/>
      <c r="B3750" s="683"/>
      <c r="C3750" s="683"/>
      <c r="D3750" s="698"/>
      <c r="E3750" s="215"/>
      <c r="F3750" s="215"/>
      <c r="G3750" s="153"/>
      <c r="H3750" s="153"/>
      <c r="I3750" s="320">
        <v>20</v>
      </c>
      <c r="J3750" s="320">
        <v>40</v>
      </c>
      <c r="K3750" s="222">
        <v>1</v>
      </c>
      <c r="L3750" s="658">
        <v>13.333333333333334</v>
      </c>
      <c r="M3750" s="663">
        <v>34869</v>
      </c>
      <c r="N3750" s="600">
        <v>105.04</v>
      </c>
      <c r="O3750" s="604">
        <v>1.742289</v>
      </c>
      <c r="P3750" s="250"/>
      <c r="Q3750" s="250">
        <v>5.5999999999999994E-2</v>
      </c>
      <c r="R3750" s="250">
        <v>9.0000000000000011E-3</v>
      </c>
      <c r="S3750" s="250">
        <v>9.0000000000000011E-3</v>
      </c>
      <c r="T3750" s="250">
        <v>8.0000000000000002E-3</v>
      </c>
      <c r="U3750" s="250">
        <v>2.2000000000000002E-2</v>
      </c>
      <c r="V3750" s="250">
        <v>0.17600000000000002</v>
      </c>
      <c r="W3750" s="250">
        <v>0.52100000000000002</v>
      </c>
      <c r="X3750" s="250">
        <v>0.17600000000000002</v>
      </c>
      <c r="Y3750" s="250">
        <v>2.3E-2</v>
      </c>
      <c r="Z3750" s="150">
        <v>46</v>
      </c>
      <c r="AA3750" s="150">
        <v>0.75</v>
      </c>
      <c r="AB3750" s="152"/>
      <c r="AC3750" s="152"/>
      <c r="AD3750" s="223"/>
      <c r="AE3750" s="223"/>
      <c r="AF3750" s="223"/>
      <c r="AG3750" s="223"/>
      <c r="AH3750" s="341"/>
      <c r="AI3750" s="218"/>
      <c r="AJ3750" s="218"/>
      <c r="AK3750" s="153"/>
      <c r="AL3750" s="152"/>
      <c r="AM3750" s="152"/>
      <c r="AN3750" s="152"/>
      <c r="AO3750" s="152"/>
      <c r="AP3750" s="152"/>
      <c r="AQ3750" s="152"/>
      <c r="AR3750" s="152"/>
      <c r="AS3750" s="152"/>
      <c r="AT3750" s="152"/>
      <c r="AU3750" s="153"/>
      <c r="AV3750" s="479"/>
      <c r="AW3750" s="479"/>
      <c r="AX3750" s="442"/>
      <c r="AY3750" s="153"/>
      <c r="AZ3750" s="152"/>
      <c r="BA3750" s="152"/>
      <c r="BB3750" s="152"/>
      <c r="BC3750" s="152"/>
      <c r="BD3750" s="152"/>
      <c r="BE3750" s="152"/>
      <c r="BF3750" s="152"/>
      <c r="BG3750" s="152"/>
      <c r="BH3750" s="152"/>
      <c r="BI3750" s="153"/>
      <c r="BJ3750" s="153"/>
      <c r="BK3750" s="153"/>
      <c r="BL3750" s="153"/>
      <c r="BM3750" s="153"/>
      <c r="BN3750" s="153"/>
      <c r="BO3750" s="153"/>
      <c r="BP3750" s="153"/>
      <c r="BQ3750" s="153"/>
      <c r="BR3750" s="153"/>
      <c r="BS3750" s="153"/>
      <c r="BT3750" s="153"/>
      <c r="BU3750" s="153"/>
      <c r="BV3750" s="153"/>
      <c r="BW3750" s="153"/>
      <c r="BX3750" s="153"/>
      <c r="BY3750" s="153"/>
      <c r="BZ3750" s="153"/>
      <c r="CA3750" s="152"/>
      <c r="CB3750" s="152"/>
    </row>
    <row r="3751" spans="1:80" s="87" customFormat="1" ht="15" x14ac:dyDescent="0.25">
      <c r="A3751" s="152"/>
      <c r="B3751" s="683"/>
      <c r="C3751" s="683"/>
      <c r="D3751" s="698"/>
      <c r="E3751" s="215"/>
      <c r="F3751" s="215"/>
      <c r="G3751" s="153"/>
      <c r="H3751" s="153"/>
      <c r="I3751" s="320">
        <v>20</v>
      </c>
      <c r="J3751" s="320">
        <v>40</v>
      </c>
      <c r="K3751" s="222">
        <v>1</v>
      </c>
      <c r="L3751" s="658">
        <v>13.333333333333334</v>
      </c>
      <c r="M3751" s="663">
        <v>34869</v>
      </c>
      <c r="N3751" s="600">
        <v>105.04</v>
      </c>
      <c r="O3751" s="604">
        <v>3.8099449999999999</v>
      </c>
      <c r="P3751" s="250">
        <v>0.12</v>
      </c>
      <c r="Q3751" s="250">
        <v>6.7000000000000004E-2</v>
      </c>
      <c r="R3751" s="250">
        <v>7.8E-2</v>
      </c>
      <c r="S3751" s="250">
        <v>0.13699999999999998</v>
      </c>
      <c r="T3751" s="250">
        <v>4.4000000000000004E-2</v>
      </c>
      <c r="U3751" s="250">
        <v>4.0999999999999995E-2</v>
      </c>
      <c r="V3751" s="250">
        <v>0.159</v>
      </c>
      <c r="W3751" s="250">
        <v>0.26899999999999996</v>
      </c>
      <c r="X3751" s="250">
        <v>7.2999999999999995E-2</v>
      </c>
      <c r="Y3751" s="250">
        <v>1.2E-2</v>
      </c>
      <c r="Z3751" s="150">
        <v>109</v>
      </c>
      <c r="AA3751" s="150">
        <v>1.89</v>
      </c>
      <c r="AB3751" s="152"/>
      <c r="AC3751" s="152"/>
      <c r="AD3751" s="223"/>
      <c r="AE3751" s="223"/>
      <c r="AF3751" s="223"/>
      <c r="AG3751" s="223"/>
      <c r="AH3751" s="341"/>
      <c r="AI3751" s="218"/>
      <c r="AJ3751" s="218"/>
      <c r="AK3751" s="153"/>
      <c r="AL3751" s="152"/>
      <c r="AM3751" s="152"/>
      <c r="AN3751" s="152"/>
      <c r="AO3751" s="152"/>
      <c r="AP3751" s="152"/>
      <c r="AQ3751" s="152"/>
      <c r="AR3751" s="152"/>
      <c r="AS3751" s="152"/>
      <c r="AT3751" s="152"/>
      <c r="AU3751" s="153"/>
      <c r="AV3751" s="479"/>
      <c r="AW3751" s="479"/>
      <c r="AX3751" s="442"/>
      <c r="AY3751" s="153"/>
      <c r="AZ3751" s="152"/>
      <c r="BA3751" s="152"/>
      <c r="BB3751" s="152"/>
      <c r="BC3751" s="152"/>
      <c r="BD3751" s="152"/>
      <c r="BE3751" s="152"/>
      <c r="BF3751" s="152"/>
      <c r="BG3751" s="152"/>
      <c r="BH3751" s="152"/>
      <c r="BI3751" s="153"/>
      <c r="BJ3751" s="153"/>
      <c r="BK3751" s="153"/>
      <c r="BL3751" s="153"/>
      <c r="BM3751" s="153"/>
      <c r="BN3751" s="153"/>
      <c r="BO3751" s="153"/>
      <c r="BP3751" s="153"/>
      <c r="BQ3751" s="153"/>
      <c r="BR3751" s="153"/>
      <c r="BS3751" s="153"/>
      <c r="BT3751" s="153"/>
      <c r="BU3751" s="153"/>
      <c r="BV3751" s="153"/>
      <c r="BW3751" s="153"/>
      <c r="BX3751" s="153"/>
      <c r="BY3751" s="153"/>
      <c r="BZ3751" s="153"/>
      <c r="CA3751" s="152"/>
      <c r="CB3751" s="152"/>
    </row>
    <row r="3752" spans="1:80" s="87" customFormat="1" ht="15" x14ac:dyDescent="0.25">
      <c r="A3752" s="152"/>
      <c r="B3752" s="683"/>
      <c r="C3752" s="683"/>
      <c r="D3752" s="698"/>
      <c r="E3752" s="215"/>
      <c r="F3752" s="215"/>
      <c r="G3752" s="153"/>
      <c r="H3752" s="153"/>
      <c r="I3752" s="320">
        <v>20</v>
      </c>
      <c r="J3752" s="320">
        <v>20</v>
      </c>
      <c r="K3752" s="222">
        <v>1</v>
      </c>
      <c r="L3752" s="658">
        <v>6.666666666666667</v>
      </c>
      <c r="M3752" s="663">
        <v>34870</v>
      </c>
      <c r="N3752" s="600">
        <v>90.6006</v>
      </c>
      <c r="O3752" s="604">
        <v>1.5848530000000001</v>
      </c>
      <c r="P3752" s="250"/>
      <c r="Q3752" s="250"/>
      <c r="R3752" s="250">
        <v>7.0999999999999994E-2</v>
      </c>
      <c r="S3752" s="250">
        <v>4.9000000000000002E-2</v>
      </c>
      <c r="T3752" s="250">
        <v>4.4000000000000004E-2</v>
      </c>
      <c r="U3752" s="250">
        <v>4.4000000000000004E-2</v>
      </c>
      <c r="V3752" s="250">
        <v>0.158</v>
      </c>
      <c r="W3752" s="250">
        <v>0.43099999999999999</v>
      </c>
      <c r="X3752" s="250">
        <v>0.19699999999999998</v>
      </c>
      <c r="Y3752" s="250">
        <v>6.0000000000000001E-3</v>
      </c>
      <c r="Z3752" s="150">
        <v>31</v>
      </c>
      <c r="AA3752" s="150">
        <v>0.81</v>
      </c>
      <c r="AB3752" s="152"/>
      <c r="AC3752" s="152"/>
      <c r="AD3752" s="223"/>
      <c r="AE3752" s="223"/>
      <c r="AF3752" s="223"/>
      <c r="AG3752" s="223"/>
      <c r="AH3752" s="341"/>
      <c r="AI3752" s="218"/>
      <c r="AJ3752" s="218"/>
      <c r="AK3752" s="153"/>
      <c r="AL3752" s="152"/>
      <c r="AM3752" s="152"/>
      <c r="AN3752" s="152"/>
      <c r="AO3752" s="152"/>
      <c r="AP3752" s="152"/>
      <c r="AQ3752" s="152"/>
      <c r="AR3752" s="152"/>
      <c r="AS3752" s="152"/>
      <c r="AT3752" s="152"/>
      <c r="AU3752" s="153"/>
      <c r="AV3752" s="479"/>
      <c r="AW3752" s="479"/>
      <c r="AX3752" s="442"/>
      <c r="AY3752" s="153"/>
      <c r="AZ3752" s="152"/>
      <c r="BA3752" s="152"/>
      <c r="BB3752" s="152"/>
      <c r="BC3752" s="152"/>
      <c r="BD3752" s="152"/>
      <c r="BE3752" s="152"/>
      <c r="BF3752" s="152"/>
      <c r="BG3752" s="152"/>
      <c r="BH3752" s="152"/>
      <c r="BI3752" s="153"/>
      <c r="BJ3752" s="153"/>
      <c r="BK3752" s="153"/>
      <c r="BL3752" s="153"/>
      <c r="BM3752" s="153"/>
      <c r="BN3752" s="153"/>
      <c r="BO3752" s="153"/>
      <c r="BP3752" s="153"/>
      <c r="BQ3752" s="153"/>
      <c r="BR3752" s="153"/>
      <c r="BS3752" s="153"/>
      <c r="BT3752" s="153"/>
      <c r="BU3752" s="153"/>
      <c r="BV3752" s="153"/>
      <c r="BW3752" s="153"/>
      <c r="BX3752" s="153"/>
      <c r="BY3752" s="153"/>
      <c r="BZ3752" s="153"/>
      <c r="CA3752" s="152"/>
      <c r="CB3752" s="152"/>
    </row>
    <row r="3753" spans="1:80" s="87" customFormat="1" ht="15" x14ac:dyDescent="0.25">
      <c r="A3753" s="152"/>
      <c r="B3753" s="683"/>
      <c r="C3753" s="683"/>
      <c r="D3753" s="698"/>
      <c r="E3753" s="215"/>
      <c r="F3753" s="215"/>
      <c r="G3753" s="153"/>
      <c r="H3753" s="153"/>
      <c r="I3753" s="320">
        <v>20</v>
      </c>
      <c r="J3753" s="320">
        <v>30</v>
      </c>
      <c r="K3753" s="222">
        <v>1</v>
      </c>
      <c r="L3753" s="658">
        <v>10</v>
      </c>
      <c r="M3753" s="663">
        <v>34870</v>
      </c>
      <c r="N3753" s="600">
        <v>90.6006</v>
      </c>
      <c r="O3753" s="604">
        <v>2.435006</v>
      </c>
      <c r="P3753" s="250"/>
      <c r="Q3753" s="250">
        <v>0.26300000000000001</v>
      </c>
      <c r="R3753" s="250">
        <v>0.06</v>
      </c>
      <c r="S3753" s="250">
        <v>5.2000000000000005E-2</v>
      </c>
      <c r="T3753" s="250">
        <v>4.2000000000000003E-2</v>
      </c>
      <c r="U3753" s="250">
        <v>5.5999999999999994E-2</v>
      </c>
      <c r="V3753" s="250">
        <v>0.13900000000000001</v>
      </c>
      <c r="W3753" s="250">
        <v>0.26200000000000001</v>
      </c>
      <c r="X3753" s="250">
        <v>0.122</v>
      </c>
      <c r="Y3753" s="250">
        <v>4.0000000000000001E-3</v>
      </c>
      <c r="Z3753" s="150">
        <v>55</v>
      </c>
      <c r="AA3753" s="150">
        <v>1.75</v>
      </c>
      <c r="AB3753" s="152"/>
      <c r="AC3753" s="152"/>
      <c r="AD3753" s="223"/>
      <c r="AE3753" s="223"/>
      <c r="AF3753" s="223"/>
      <c r="AG3753" s="223"/>
      <c r="AH3753" s="341"/>
      <c r="AI3753" s="218"/>
      <c r="AJ3753" s="218"/>
      <c r="AK3753" s="153"/>
      <c r="AL3753" s="152"/>
      <c r="AM3753" s="152"/>
      <c r="AN3753" s="152"/>
      <c r="AO3753" s="152"/>
      <c r="AP3753" s="152"/>
      <c r="AQ3753" s="152"/>
      <c r="AR3753" s="152"/>
      <c r="AS3753" s="152"/>
      <c r="AT3753" s="152"/>
      <c r="AU3753" s="153"/>
      <c r="AV3753" s="479"/>
      <c r="AW3753" s="479"/>
      <c r="AX3753" s="442"/>
      <c r="AY3753" s="153"/>
      <c r="AZ3753" s="152"/>
      <c r="BA3753" s="152"/>
      <c r="BB3753" s="152"/>
      <c r="BC3753" s="152"/>
      <c r="BD3753" s="152"/>
      <c r="BE3753" s="152"/>
      <c r="BF3753" s="152"/>
      <c r="BG3753" s="152"/>
      <c r="BH3753" s="152"/>
      <c r="BI3753" s="153"/>
      <c r="BJ3753" s="153"/>
      <c r="BK3753" s="153"/>
      <c r="BL3753" s="153"/>
      <c r="BM3753" s="153"/>
      <c r="BN3753" s="153"/>
      <c r="BO3753" s="153"/>
      <c r="BP3753" s="153"/>
      <c r="BQ3753" s="153"/>
      <c r="BR3753" s="153"/>
      <c r="BS3753" s="153"/>
      <c r="BT3753" s="153"/>
      <c r="BU3753" s="153"/>
      <c r="BV3753" s="153"/>
      <c r="BW3753" s="153"/>
      <c r="BX3753" s="153"/>
      <c r="BY3753" s="153"/>
      <c r="BZ3753" s="153"/>
      <c r="CA3753" s="152"/>
      <c r="CB3753" s="152"/>
    </row>
    <row r="3754" spans="1:80" s="87" customFormat="1" ht="15" x14ac:dyDescent="0.25">
      <c r="A3754" s="152"/>
      <c r="B3754" s="683"/>
      <c r="C3754" s="683"/>
      <c r="D3754" s="698"/>
      <c r="E3754" s="215"/>
      <c r="F3754" s="215"/>
      <c r="G3754" s="153"/>
      <c r="H3754" s="153"/>
      <c r="I3754" s="320">
        <v>20</v>
      </c>
      <c r="J3754" s="320">
        <v>45</v>
      </c>
      <c r="K3754" s="222">
        <v>1</v>
      </c>
      <c r="L3754" s="658">
        <v>15</v>
      </c>
      <c r="M3754" s="663">
        <v>34876</v>
      </c>
      <c r="N3754" s="600">
        <v>103.05800000000001</v>
      </c>
      <c r="O3754" s="604">
        <v>1.9207160000000001</v>
      </c>
      <c r="P3754" s="250">
        <v>9.0999999999999998E-2</v>
      </c>
      <c r="Q3754" s="250">
        <v>0.317</v>
      </c>
      <c r="R3754" s="250">
        <v>0.183</v>
      </c>
      <c r="S3754" s="250">
        <v>4.9000000000000002E-2</v>
      </c>
      <c r="T3754" s="250">
        <v>6.9999999999999993E-3</v>
      </c>
      <c r="U3754" s="250">
        <v>6.9999999999999993E-3</v>
      </c>
      <c r="V3754" s="250">
        <v>4.4000000000000004E-2</v>
      </c>
      <c r="W3754" s="250">
        <v>0.18100000000000002</v>
      </c>
      <c r="X3754" s="250">
        <v>9.5000000000000001E-2</v>
      </c>
      <c r="Y3754" s="250">
        <v>2.6000000000000002E-2</v>
      </c>
      <c r="Z3754" s="150">
        <v>87</v>
      </c>
      <c r="AA3754" s="150">
        <v>22.58</v>
      </c>
      <c r="AB3754" s="152"/>
      <c r="AC3754" s="152"/>
      <c r="AD3754" s="223"/>
      <c r="AE3754" s="223"/>
      <c r="AF3754" s="223"/>
      <c r="AG3754" s="223"/>
      <c r="AH3754" s="341"/>
      <c r="AI3754" s="218"/>
      <c r="AJ3754" s="218"/>
      <c r="AK3754" s="153"/>
      <c r="AL3754" s="152"/>
      <c r="AM3754" s="152"/>
      <c r="AN3754" s="152"/>
      <c r="AO3754" s="152"/>
      <c r="AP3754" s="152"/>
      <c r="AQ3754" s="152"/>
      <c r="AR3754" s="152"/>
      <c r="AS3754" s="152"/>
      <c r="AT3754" s="152"/>
      <c r="AU3754" s="153"/>
      <c r="AV3754" s="479"/>
      <c r="AW3754" s="479"/>
      <c r="AX3754" s="442"/>
      <c r="AY3754" s="153"/>
      <c r="AZ3754" s="152"/>
      <c r="BA3754" s="152"/>
      <c r="BB3754" s="152"/>
      <c r="BC3754" s="152"/>
      <c r="BD3754" s="152"/>
      <c r="BE3754" s="152"/>
      <c r="BF3754" s="152"/>
      <c r="BG3754" s="152"/>
      <c r="BH3754" s="152"/>
      <c r="BI3754" s="153"/>
      <c r="BJ3754" s="153"/>
      <c r="BK3754" s="153"/>
      <c r="BL3754" s="153"/>
      <c r="BM3754" s="153"/>
      <c r="BN3754" s="153"/>
      <c r="BO3754" s="153"/>
      <c r="BP3754" s="153"/>
      <c r="BQ3754" s="153"/>
      <c r="BR3754" s="153"/>
      <c r="BS3754" s="153"/>
      <c r="BT3754" s="153"/>
      <c r="BU3754" s="153"/>
      <c r="BV3754" s="153"/>
      <c r="BW3754" s="153"/>
      <c r="BX3754" s="153"/>
      <c r="BY3754" s="153"/>
      <c r="BZ3754" s="153"/>
      <c r="CA3754" s="152"/>
      <c r="CB3754" s="152"/>
    </row>
    <row r="3755" spans="1:80" s="87" customFormat="1" ht="15" x14ac:dyDescent="0.25">
      <c r="A3755" s="152"/>
      <c r="B3755" s="683"/>
      <c r="C3755" s="683"/>
      <c r="D3755" s="698"/>
      <c r="E3755" s="215"/>
      <c r="F3755" s="215"/>
      <c r="G3755" s="153"/>
      <c r="H3755" s="153"/>
      <c r="I3755" s="320">
        <v>20</v>
      </c>
      <c r="J3755" s="320">
        <v>45</v>
      </c>
      <c r="K3755" s="222">
        <v>1</v>
      </c>
      <c r="L3755" s="658">
        <v>15</v>
      </c>
      <c r="M3755" s="663">
        <v>34876</v>
      </c>
      <c r="N3755" s="600">
        <v>103.05800000000001</v>
      </c>
      <c r="O3755" s="604">
        <v>1.637332</v>
      </c>
      <c r="P3755" s="250">
        <v>0.193</v>
      </c>
      <c r="Q3755" s="250">
        <v>0.14400000000000002</v>
      </c>
      <c r="R3755" s="250">
        <v>7.4999999999999997E-2</v>
      </c>
      <c r="S3755" s="250">
        <v>2.7000000000000003E-2</v>
      </c>
      <c r="T3755" s="250">
        <v>1.3000000000000001E-2</v>
      </c>
      <c r="U3755" s="250">
        <v>2.5000000000000001E-2</v>
      </c>
      <c r="V3755" s="250">
        <v>0.1</v>
      </c>
      <c r="W3755" s="250">
        <v>0.26200000000000001</v>
      </c>
      <c r="X3755" s="250">
        <v>0.13200000000000001</v>
      </c>
      <c r="Y3755" s="250">
        <v>2.8999999999999998E-2</v>
      </c>
      <c r="Z3755" s="150">
        <v>92</v>
      </c>
      <c r="AA3755" s="150">
        <v>1.71</v>
      </c>
      <c r="AB3755" s="152"/>
      <c r="AC3755" s="152"/>
      <c r="AD3755" s="223"/>
      <c r="AE3755" s="223"/>
      <c r="AF3755" s="223"/>
      <c r="AG3755" s="223"/>
      <c r="AH3755" s="341"/>
      <c r="AI3755" s="218"/>
      <c r="AJ3755" s="218"/>
      <c r="AK3755" s="153"/>
      <c r="AL3755" s="152"/>
      <c r="AM3755" s="152"/>
      <c r="AN3755" s="152"/>
      <c r="AO3755" s="152"/>
      <c r="AP3755" s="152"/>
      <c r="AQ3755" s="152"/>
      <c r="AR3755" s="152"/>
      <c r="AS3755" s="152"/>
      <c r="AT3755" s="152"/>
      <c r="AU3755" s="153"/>
      <c r="AV3755" s="479"/>
      <c r="AW3755" s="479"/>
      <c r="AX3755" s="442"/>
      <c r="AY3755" s="153"/>
      <c r="AZ3755" s="152"/>
      <c r="BA3755" s="152"/>
      <c r="BB3755" s="152"/>
      <c r="BC3755" s="152"/>
      <c r="BD3755" s="152"/>
      <c r="BE3755" s="152"/>
      <c r="BF3755" s="152"/>
      <c r="BG3755" s="152"/>
      <c r="BH3755" s="152"/>
      <c r="BI3755" s="153"/>
      <c r="BJ3755" s="153"/>
      <c r="BK3755" s="153"/>
      <c r="BL3755" s="153"/>
      <c r="BM3755" s="153"/>
      <c r="BN3755" s="153"/>
      <c r="BO3755" s="153"/>
      <c r="BP3755" s="153"/>
      <c r="BQ3755" s="153"/>
      <c r="BR3755" s="153"/>
      <c r="BS3755" s="153"/>
      <c r="BT3755" s="153"/>
      <c r="BU3755" s="153"/>
      <c r="BV3755" s="153"/>
      <c r="BW3755" s="153"/>
      <c r="BX3755" s="153"/>
      <c r="BY3755" s="153"/>
      <c r="BZ3755" s="153"/>
      <c r="CA3755" s="152"/>
      <c r="CB3755" s="152"/>
    </row>
    <row r="3756" spans="1:80" s="87" customFormat="1" ht="15" x14ac:dyDescent="0.25">
      <c r="A3756" s="152"/>
      <c r="B3756" s="683"/>
      <c r="C3756" s="683"/>
      <c r="D3756" s="698"/>
      <c r="E3756" s="215"/>
      <c r="F3756" s="215"/>
      <c r="G3756" s="153"/>
      <c r="H3756" s="153"/>
      <c r="I3756" s="320">
        <v>20</v>
      </c>
      <c r="J3756" s="320">
        <v>45</v>
      </c>
      <c r="K3756" s="222">
        <v>1</v>
      </c>
      <c r="L3756" s="658">
        <v>15</v>
      </c>
      <c r="M3756" s="663">
        <v>34877</v>
      </c>
      <c r="N3756" s="600">
        <v>122.02800000000001</v>
      </c>
      <c r="O3756" s="604">
        <v>1.521879</v>
      </c>
      <c r="P3756" s="250">
        <v>0.37200000000000005</v>
      </c>
      <c r="Q3756" s="250">
        <v>0.107</v>
      </c>
      <c r="R3756" s="250">
        <v>4.0999999999999995E-2</v>
      </c>
      <c r="S3756" s="250">
        <v>2.4E-2</v>
      </c>
      <c r="T3756" s="250">
        <v>3.4000000000000002E-2</v>
      </c>
      <c r="U3756" s="250">
        <v>0.01</v>
      </c>
      <c r="V3756" s="250">
        <v>6.0999999999999999E-2</v>
      </c>
      <c r="W3756" s="250">
        <v>0.23199999999999998</v>
      </c>
      <c r="X3756" s="250">
        <v>9.6000000000000002E-2</v>
      </c>
      <c r="Y3756" s="250">
        <v>2.3E-2</v>
      </c>
      <c r="Z3756" s="150">
        <v>106</v>
      </c>
      <c r="AA3756" s="150">
        <v>22.44</v>
      </c>
      <c r="AB3756" s="152"/>
      <c r="AC3756" s="152"/>
      <c r="AD3756" s="223"/>
      <c r="AE3756" s="223"/>
      <c r="AF3756" s="223"/>
      <c r="AG3756" s="223"/>
      <c r="AH3756" s="341"/>
      <c r="AI3756" s="218"/>
      <c r="AJ3756" s="218"/>
      <c r="AK3756" s="153"/>
      <c r="AL3756" s="152"/>
      <c r="AM3756" s="152"/>
      <c r="AN3756" s="152"/>
      <c r="AO3756" s="152"/>
      <c r="AP3756" s="152"/>
      <c r="AQ3756" s="152"/>
      <c r="AR3756" s="152"/>
      <c r="AS3756" s="152"/>
      <c r="AT3756" s="152"/>
      <c r="AU3756" s="153"/>
      <c r="AV3756" s="479"/>
      <c r="AW3756" s="479"/>
      <c r="AX3756" s="442"/>
      <c r="AY3756" s="153"/>
      <c r="AZ3756" s="152"/>
      <c r="BA3756" s="152"/>
      <c r="BB3756" s="152"/>
      <c r="BC3756" s="152"/>
      <c r="BD3756" s="152"/>
      <c r="BE3756" s="152"/>
      <c r="BF3756" s="152"/>
      <c r="BG3756" s="152"/>
      <c r="BH3756" s="152"/>
      <c r="BI3756" s="153"/>
      <c r="BJ3756" s="153"/>
      <c r="BK3756" s="153"/>
      <c r="BL3756" s="153"/>
      <c r="BM3756" s="153"/>
      <c r="BN3756" s="153"/>
      <c r="BO3756" s="153"/>
      <c r="BP3756" s="153"/>
      <c r="BQ3756" s="153"/>
      <c r="BR3756" s="153"/>
      <c r="BS3756" s="153"/>
      <c r="BT3756" s="153"/>
      <c r="BU3756" s="153"/>
      <c r="BV3756" s="153"/>
      <c r="BW3756" s="153"/>
      <c r="BX3756" s="153"/>
      <c r="BY3756" s="153"/>
      <c r="BZ3756" s="153"/>
      <c r="CA3756" s="152"/>
      <c r="CB3756" s="152"/>
    </row>
    <row r="3757" spans="1:80" s="87" customFormat="1" ht="15" x14ac:dyDescent="0.25">
      <c r="A3757" s="152"/>
      <c r="B3757" s="683"/>
      <c r="C3757" s="683"/>
      <c r="D3757" s="698"/>
      <c r="E3757" s="215"/>
      <c r="F3757" s="215"/>
      <c r="G3757" s="153"/>
      <c r="H3757" s="153"/>
      <c r="I3757" s="320">
        <v>20</v>
      </c>
      <c r="J3757" s="320">
        <v>45</v>
      </c>
      <c r="K3757" s="222">
        <v>1</v>
      </c>
      <c r="L3757" s="658">
        <v>15</v>
      </c>
      <c r="M3757" s="663">
        <v>34877</v>
      </c>
      <c r="N3757" s="600">
        <v>122.02800000000001</v>
      </c>
      <c r="O3757" s="604">
        <v>1.9312119999999999</v>
      </c>
      <c r="P3757" s="250"/>
      <c r="Q3757" s="250">
        <v>0.248</v>
      </c>
      <c r="R3757" s="250">
        <v>0.12300000000000001</v>
      </c>
      <c r="S3757" s="250">
        <v>5.2000000000000005E-2</v>
      </c>
      <c r="T3757" s="250">
        <v>3.3000000000000002E-2</v>
      </c>
      <c r="U3757" s="250">
        <v>3.9E-2</v>
      </c>
      <c r="V3757" s="250">
        <v>0.126</v>
      </c>
      <c r="W3757" s="250">
        <v>0.24199999999999999</v>
      </c>
      <c r="X3757" s="250">
        <v>0.11199999999999999</v>
      </c>
      <c r="Y3757" s="250">
        <v>2.5000000000000001E-2</v>
      </c>
      <c r="Z3757" s="150">
        <v>61</v>
      </c>
      <c r="AA3757" s="150">
        <v>1.95</v>
      </c>
      <c r="AB3757" s="152"/>
      <c r="AC3757" s="152"/>
      <c r="AD3757" s="223"/>
      <c r="AE3757" s="223"/>
      <c r="AF3757" s="223"/>
      <c r="AG3757" s="223"/>
      <c r="AH3757" s="341"/>
      <c r="AI3757" s="218"/>
      <c r="AJ3757" s="218"/>
      <c r="AK3757" s="153"/>
      <c r="AL3757" s="152"/>
      <c r="AM3757" s="152"/>
      <c r="AN3757" s="152"/>
      <c r="AO3757" s="152"/>
      <c r="AP3757" s="152"/>
      <c r="AQ3757" s="152"/>
      <c r="AR3757" s="152"/>
      <c r="AS3757" s="152"/>
      <c r="AT3757" s="152"/>
      <c r="AU3757" s="153"/>
      <c r="AV3757" s="479"/>
      <c r="AW3757" s="479"/>
      <c r="AX3757" s="442"/>
      <c r="AY3757" s="153"/>
      <c r="AZ3757" s="152"/>
      <c r="BA3757" s="152"/>
      <c r="BB3757" s="152"/>
      <c r="BC3757" s="152"/>
      <c r="BD3757" s="152"/>
      <c r="BE3757" s="152"/>
      <c r="BF3757" s="152"/>
      <c r="BG3757" s="152"/>
      <c r="BH3757" s="152"/>
      <c r="BI3757" s="153"/>
      <c r="BJ3757" s="153"/>
      <c r="BK3757" s="153"/>
      <c r="BL3757" s="153"/>
      <c r="BM3757" s="153"/>
      <c r="BN3757" s="153"/>
      <c r="BO3757" s="153"/>
      <c r="BP3757" s="153"/>
      <c r="BQ3757" s="153"/>
      <c r="BR3757" s="153"/>
      <c r="BS3757" s="153"/>
      <c r="BT3757" s="153"/>
      <c r="BU3757" s="153"/>
      <c r="BV3757" s="153"/>
      <c r="BW3757" s="153"/>
      <c r="BX3757" s="153"/>
      <c r="BY3757" s="153"/>
      <c r="BZ3757" s="153"/>
      <c r="CA3757" s="152"/>
      <c r="CB3757" s="152"/>
    </row>
    <row r="3758" spans="1:80" s="87" customFormat="1" ht="15" x14ac:dyDescent="0.25">
      <c r="A3758" s="152"/>
      <c r="B3758" s="683"/>
      <c r="C3758" s="683"/>
      <c r="D3758" s="698"/>
      <c r="E3758" s="215"/>
      <c r="F3758" s="215"/>
      <c r="G3758" s="153"/>
      <c r="H3758" s="153"/>
      <c r="I3758" s="324">
        <v>19</v>
      </c>
      <c r="J3758" s="115">
        <v>30</v>
      </c>
      <c r="K3758" s="222">
        <v>1</v>
      </c>
      <c r="L3758" s="658">
        <v>9.5</v>
      </c>
      <c r="M3758" s="663">
        <v>35567</v>
      </c>
      <c r="N3758" s="600">
        <v>180.91800000000001</v>
      </c>
      <c r="O3758" s="604">
        <v>8.5330159999999999</v>
      </c>
      <c r="P3758" s="250">
        <v>3.1E-2</v>
      </c>
      <c r="Q3758" s="250">
        <v>4.7E-2</v>
      </c>
      <c r="R3758" s="250">
        <v>3.5000000000000003E-2</v>
      </c>
      <c r="S3758" s="250">
        <v>1.6E-2</v>
      </c>
      <c r="T3758" s="250">
        <v>1.7000000000000001E-2</v>
      </c>
      <c r="U3758" s="250">
        <v>7.6999999999999999E-2</v>
      </c>
      <c r="V3758" s="250">
        <v>0.34100000000000003</v>
      </c>
      <c r="W3758" s="250">
        <v>0.36200000000000004</v>
      </c>
      <c r="X3758" s="250">
        <v>6.9000000000000006E-2</v>
      </c>
      <c r="Y3758" s="250">
        <v>5.0000000000000001E-3</v>
      </c>
      <c r="Z3758" s="150">
        <v>73</v>
      </c>
      <c r="AA3758" s="150">
        <v>1.1399999999999999</v>
      </c>
      <c r="AB3758" s="152"/>
      <c r="AC3758" s="152"/>
      <c r="AD3758" s="223"/>
      <c r="AE3758" s="223"/>
      <c r="AF3758" s="223"/>
      <c r="AG3758" s="223"/>
      <c r="AH3758" s="341"/>
      <c r="AI3758" s="218"/>
      <c r="AJ3758" s="218"/>
      <c r="AK3758" s="153"/>
      <c r="AL3758" s="152"/>
      <c r="AM3758" s="152"/>
      <c r="AN3758" s="152"/>
      <c r="AO3758" s="152"/>
      <c r="AP3758" s="152"/>
      <c r="AQ3758" s="152"/>
      <c r="AR3758" s="152"/>
      <c r="AS3758" s="152"/>
      <c r="AT3758" s="152"/>
      <c r="AU3758" s="153"/>
      <c r="AV3758" s="479"/>
      <c r="AW3758" s="479"/>
      <c r="AX3758" s="442"/>
      <c r="AY3758" s="153"/>
      <c r="AZ3758" s="152"/>
      <c r="BA3758" s="152"/>
      <c r="BB3758" s="152"/>
      <c r="BC3758" s="152"/>
      <c r="BD3758" s="152"/>
      <c r="BE3758" s="152"/>
      <c r="BF3758" s="152"/>
      <c r="BG3758" s="152"/>
      <c r="BH3758" s="152"/>
      <c r="BI3758" s="153"/>
      <c r="BJ3758" s="153"/>
      <c r="BK3758" s="153"/>
      <c r="BL3758" s="153"/>
      <c r="BM3758" s="153"/>
      <c r="BN3758" s="153"/>
      <c r="BO3758" s="153"/>
      <c r="BP3758" s="153"/>
      <c r="BQ3758" s="153"/>
      <c r="BR3758" s="153"/>
      <c r="BS3758" s="153"/>
      <c r="BT3758" s="153"/>
      <c r="BU3758" s="153"/>
      <c r="BV3758" s="153"/>
      <c r="BW3758" s="153"/>
      <c r="BX3758" s="153"/>
      <c r="BY3758" s="153"/>
      <c r="BZ3758" s="153"/>
      <c r="CA3758" s="152"/>
      <c r="CB3758" s="152"/>
    </row>
    <row r="3759" spans="1:80" s="87" customFormat="1" ht="15" x14ac:dyDescent="0.25">
      <c r="A3759" s="152"/>
      <c r="B3759" s="683"/>
      <c r="C3759" s="683"/>
      <c r="D3759" s="698"/>
      <c r="E3759" s="215"/>
      <c r="F3759" s="215"/>
      <c r="G3759" s="153"/>
      <c r="H3759" s="153"/>
      <c r="I3759" s="324">
        <v>19</v>
      </c>
      <c r="J3759" s="115">
        <v>30</v>
      </c>
      <c r="K3759" s="222">
        <v>1</v>
      </c>
      <c r="L3759" s="658">
        <v>9.5</v>
      </c>
      <c r="M3759" s="663">
        <v>35567</v>
      </c>
      <c r="N3759" s="600">
        <v>180.91800000000001</v>
      </c>
      <c r="O3759" s="604">
        <v>10.2963</v>
      </c>
      <c r="P3759" s="250"/>
      <c r="Q3759" s="250">
        <v>3.9E-2</v>
      </c>
      <c r="R3759" s="250">
        <v>0.03</v>
      </c>
      <c r="S3759" s="250">
        <v>0.02</v>
      </c>
      <c r="T3759" s="250">
        <v>1.7000000000000001E-2</v>
      </c>
      <c r="U3759" s="250">
        <v>6.4000000000000001E-2</v>
      </c>
      <c r="V3759" s="250">
        <v>0.31</v>
      </c>
      <c r="W3759" s="250">
        <v>0.40500000000000003</v>
      </c>
      <c r="X3759" s="250">
        <v>9.9000000000000005E-2</v>
      </c>
      <c r="Y3759" s="250">
        <v>1.6E-2</v>
      </c>
      <c r="Z3759" s="150">
        <v>42</v>
      </c>
      <c r="AA3759" s="150">
        <v>0.97</v>
      </c>
      <c r="AB3759" s="835"/>
      <c r="AC3759" s="152"/>
      <c r="AD3759" s="223"/>
      <c r="AE3759" s="223"/>
      <c r="AF3759" s="223"/>
      <c r="AG3759" s="223"/>
      <c r="AH3759" s="341"/>
      <c r="AI3759" s="218"/>
      <c r="AJ3759" s="218"/>
      <c r="AK3759" s="153"/>
      <c r="AL3759" s="152"/>
      <c r="AM3759" s="152"/>
      <c r="AN3759" s="152"/>
      <c r="AO3759" s="152"/>
      <c r="AP3759" s="152"/>
      <c r="AQ3759" s="152"/>
      <c r="AR3759" s="152"/>
      <c r="AS3759" s="152"/>
      <c r="AT3759" s="152"/>
      <c r="AU3759" s="153"/>
      <c r="AV3759" s="479"/>
      <c r="AW3759" s="479"/>
      <c r="AX3759" s="442"/>
      <c r="AY3759" s="153"/>
      <c r="AZ3759" s="152"/>
      <c r="BA3759" s="152"/>
      <c r="BB3759" s="152"/>
      <c r="BC3759" s="152"/>
      <c r="BD3759" s="152"/>
      <c r="BE3759" s="152"/>
      <c r="BF3759" s="152"/>
      <c r="BG3759" s="152"/>
      <c r="BH3759" s="152"/>
      <c r="BI3759" s="153"/>
      <c r="BJ3759" s="153"/>
      <c r="BK3759" s="153"/>
      <c r="BL3759" s="153"/>
      <c r="BM3759" s="153"/>
      <c r="BN3759" s="153"/>
      <c r="BO3759" s="153"/>
      <c r="BP3759" s="153"/>
      <c r="BQ3759" s="153"/>
      <c r="BR3759" s="153"/>
      <c r="BS3759" s="153"/>
      <c r="BT3759" s="153"/>
      <c r="BU3759" s="153"/>
      <c r="BV3759" s="153"/>
      <c r="BW3759" s="153"/>
      <c r="BX3759" s="153"/>
      <c r="BY3759" s="153"/>
      <c r="BZ3759" s="153"/>
      <c r="CA3759" s="152"/>
      <c r="CB3759" s="152"/>
    </row>
    <row r="3760" spans="1:80" ht="15" x14ac:dyDescent="0.25">
      <c r="A3760" s="9" t="s">
        <v>205</v>
      </c>
      <c r="B3760" s="639" t="s">
        <v>66</v>
      </c>
      <c r="C3760" s="639"/>
      <c r="D3760" s="4">
        <f>VLOOKUP(E3760,'Quality Code'!D4:E24,2,TRUE)*VLOOKUP(MROUND(F3760,10),'Quality Code'!D28:E69,2,TRUE)*VLOOKUP(COUNTA(CB3760:CB3770),'Quality Code'!D73:E93,2,TRUE)</f>
        <v>4.5</v>
      </c>
      <c r="E3760" s="14">
        <v>0.9</v>
      </c>
      <c r="F3760" s="18">
        <v>204</v>
      </c>
      <c r="G3760" s="12">
        <v>98.928100000000001</v>
      </c>
      <c r="H3760" s="2" t="s">
        <v>231</v>
      </c>
      <c r="I3760" s="10"/>
      <c r="J3760" s="10" t="s">
        <v>283</v>
      </c>
      <c r="K3760" s="10"/>
      <c r="L3760" s="640" t="s">
        <v>284</v>
      </c>
      <c r="M3760" s="640" t="s">
        <v>884</v>
      </c>
      <c r="N3760" s="579" t="s">
        <v>296</v>
      </c>
      <c r="O3760" s="579"/>
      <c r="P3760" s="10" t="s">
        <v>64</v>
      </c>
      <c r="Q3760" s="10" t="s">
        <v>64</v>
      </c>
      <c r="R3760" s="10" t="s">
        <v>64</v>
      </c>
      <c r="S3760" s="10" t="s">
        <v>64</v>
      </c>
      <c r="T3760" s="10" t="s">
        <v>64</v>
      </c>
      <c r="U3760" s="10" t="s">
        <v>64</v>
      </c>
      <c r="V3760" s="10"/>
      <c r="W3760" s="10"/>
      <c r="X3760" s="10"/>
      <c r="Y3760" s="10"/>
      <c r="Z3760" s="11"/>
      <c r="AA3760" s="81"/>
      <c r="AB3760" s="81"/>
      <c r="AC3760" s="116">
        <v>1.46E-2</v>
      </c>
      <c r="AD3760" s="11"/>
      <c r="AE3760" s="11"/>
      <c r="AF3760" s="10"/>
      <c r="AG3760" s="10"/>
      <c r="AH3760" s="345" t="s">
        <v>357</v>
      </c>
      <c r="AI3760" s="18">
        <v>25.169573697944053</v>
      </c>
      <c r="AJ3760" s="17">
        <v>1</v>
      </c>
      <c r="AK3760" s="17">
        <v>0.81277999999999995</v>
      </c>
      <c r="AL3760" s="17">
        <v>0.73272258157691306</v>
      </c>
      <c r="AM3760" s="17">
        <v>0.54970681233750462</v>
      </c>
      <c r="AN3760" s="17">
        <v>0.39962397301239799</v>
      </c>
      <c r="AO3760" s="17">
        <v>0.28282269649178921</v>
      </c>
      <c r="AP3760" s="17">
        <v>0.18491231114104473</v>
      </c>
      <c r="AQ3760" s="17">
        <v>0.11137676597484511</v>
      </c>
      <c r="AR3760" s="17">
        <v>4.4159999999999998E-2</v>
      </c>
      <c r="AS3760" s="17">
        <v>1.0189999999999999E-2</v>
      </c>
      <c r="AT3760" s="17">
        <v>1.47E-3</v>
      </c>
      <c r="AU3760" s="18">
        <v>95</v>
      </c>
      <c r="AV3760" s="17">
        <v>1</v>
      </c>
      <c r="AW3760" s="17">
        <v>1</v>
      </c>
      <c r="AX3760" s="17">
        <v>0.91813</v>
      </c>
      <c r="AY3760" s="17">
        <v>0.64619883040935677</v>
      </c>
      <c r="AZ3760" s="17">
        <v>0.32163742690058478</v>
      </c>
      <c r="BA3760" s="17">
        <v>0.15497076023391812</v>
      </c>
      <c r="BB3760" s="17">
        <v>0.10818713450292397</v>
      </c>
      <c r="BC3760" s="17">
        <v>9.0643274853801165E-2</v>
      </c>
      <c r="BD3760" s="17">
        <v>7.3099415204678359E-2</v>
      </c>
      <c r="BE3760" s="17">
        <v>6.1403508771929821E-2</v>
      </c>
      <c r="BF3760" s="17">
        <v>2.9199999999999999E-3</v>
      </c>
      <c r="BG3760" s="17"/>
      <c r="BH3760" s="17"/>
      <c r="BI3760" s="4">
        <f>AU3760/AI3760</f>
        <v>3.7743984518800158</v>
      </c>
      <c r="BJ3760" s="2" t="s">
        <v>68</v>
      </c>
      <c r="BK3760" s="2" t="s">
        <v>175</v>
      </c>
      <c r="BL3760" s="12"/>
      <c r="BM3760" s="12">
        <v>7.2480500000000001</v>
      </c>
      <c r="BN3760" s="12">
        <v>9.9056750000000005</v>
      </c>
      <c r="BO3760" s="12">
        <v>0.59738840000000004</v>
      </c>
      <c r="BP3760" s="12">
        <v>5.9080583999999998</v>
      </c>
      <c r="BQ3760" s="12">
        <f>BN3760/BO3760</f>
        <v>16.581632653061224</v>
      </c>
      <c r="BR3760" s="12" t="s">
        <v>276</v>
      </c>
      <c r="BS3760" s="12"/>
      <c r="BT3760" s="12">
        <v>0.91437000000000002</v>
      </c>
      <c r="BU3760" s="2"/>
      <c r="BV3760" s="2"/>
      <c r="BW3760" s="2"/>
      <c r="BX3760" s="2"/>
      <c r="BY3760" s="2" t="s">
        <v>447</v>
      </c>
      <c r="BZ3760" s="2"/>
      <c r="CA3760" s="381"/>
      <c r="CB3760" s="9" t="s">
        <v>224</v>
      </c>
    </row>
    <row r="3761" spans="1:80" s="87" customFormat="1" x14ac:dyDescent="0.2">
      <c r="A3761" s="152"/>
      <c r="B3761" s="683"/>
      <c r="C3761" s="683"/>
      <c r="D3761" s="698"/>
      <c r="E3761" s="215"/>
      <c r="F3761" s="215"/>
      <c r="G3761" s="153"/>
      <c r="H3761" s="153"/>
      <c r="I3761" s="312">
        <v>17</v>
      </c>
      <c r="J3761" s="312">
        <v>30</v>
      </c>
      <c r="K3761" s="150">
        <v>1</v>
      </c>
      <c r="L3761" s="656">
        <v>8.5</v>
      </c>
      <c r="M3761" s="663">
        <v>31482</v>
      </c>
      <c r="N3761" s="600">
        <v>2.01586</v>
      </c>
      <c r="O3761" s="604">
        <v>2.0890000000000001E-3</v>
      </c>
      <c r="P3761" s="250"/>
      <c r="Q3761" s="250"/>
      <c r="R3761" s="250"/>
      <c r="S3761" s="250"/>
      <c r="T3761" s="250"/>
      <c r="U3761" s="250"/>
      <c r="V3761" s="250"/>
      <c r="W3761" s="250"/>
      <c r="X3761" s="250"/>
      <c r="Y3761" s="250"/>
      <c r="Z3761" s="150"/>
      <c r="AA3761" s="150">
        <v>0.72</v>
      </c>
      <c r="AB3761" s="152"/>
      <c r="AC3761" s="152"/>
      <c r="AD3761" s="223">
        <v>8.5341199999999997</v>
      </c>
      <c r="AE3761" s="223">
        <v>0.30174210000000001</v>
      </c>
      <c r="AF3761" s="223">
        <v>2.5824531999999998</v>
      </c>
      <c r="AG3761" s="223">
        <v>0.85341199999999995</v>
      </c>
      <c r="AH3761" s="341" t="s">
        <v>358</v>
      </c>
      <c r="AI3761" s="218"/>
      <c r="AJ3761" s="218"/>
      <c r="AK3761" s="153"/>
      <c r="AL3761" s="152"/>
      <c r="AM3761" s="152"/>
      <c r="AN3761" s="152"/>
      <c r="AO3761" s="152"/>
      <c r="AP3761" s="152"/>
      <c r="AQ3761" s="152"/>
      <c r="AR3761" s="152"/>
      <c r="AS3761" s="152"/>
      <c r="AT3761" s="152"/>
      <c r="AU3761" s="153"/>
      <c r="AV3761" s="479"/>
      <c r="AW3761" s="479"/>
      <c r="AX3761" s="442"/>
      <c r="AY3761" s="153"/>
      <c r="AZ3761" s="152"/>
      <c r="BA3761" s="152"/>
      <c r="BB3761" s="152"/>
      <c r="BC3761" s="152"/>
      <c r="BD3761" s="152"/>
      <c r="BE3761" s="152"/>
      <c r="BF3761" s="152"/>
      <c r="BG3761" s="152"/>
      <c r="BH3761" s="152"/>
      <c r="BI3761" s="153"/>
      <c r="BJ3761" s="153"/>
      <c r="BK3761" s="153"/>
      <c r="BL3761" s="153"/>
      <c r="BM3761" s="153"/>
      <c r="BN3761" s="153"/>
      <c r="BO3761" s="153"/>
      <c r="BP3761" s="153"/>
      <c r="BQ3761" s="153"/>
      <c r="BR3761" s="153"/>
      <c r="BS3761" s="153"/>
      <c r="BT3761" s="153"/>
      <c r="BU3761" s="153"/>
      <c r="BV3761" s="153"/>
      <c r="BW3761" s="153"/>
      <c r="BX3761" s="153"/>
      <c r="BY3761" s="153"/>
      <c r="BZ3761" s="153"/>
      <c r="CA3761" s="152"/>
      <c r="CB3761" s="154" t="s">
        <v>597</v>
      </c>
    </row>
    <row r="3762" spans="1:80" s="87" customFormat="1" ht="15" x14ac:dyDescent="0.2">
      <c r="A3762" s="152"/>
      <c r="B3762" s="683"/>
      <c r="C3762" s="683"/>
      <c r="D3762" s="698"/>
      <c r="E3762" s="215"/>
      <c r="F3762" s="215"/>
      <c r="G3762" s="153"/>
      <c r="H3762" s="153"/>
      <c r="I3762" s="312">
        <v>20</v>
      </c>
      <c r="J3762" s="312">
        <v>30</v>
      </c>
      <c r="K3762" s="150">
        <v>1</v>
      </c>
      <c r="L3762" s="656">
        <v>10</v>
      </c>
      <c r="M3762" s="663">
        <v>31498</v>
      </c>
      <c r="N3762" s="600">
        <v>1.29955</v>
      </c>
      <c r="O3762" s="604">
        <v>2.4039999999999999E-3</v>
      </c>
      <c r="P3762" s="250"/>
      <c r="Q3762" s="250"/>
      <c r="R3762" s="250"/>
      <c r="S3762" s="250"/>
      <c r="T3762" s="250"/>
      <c r="U3762" s="250"/>
      <c r="V3762" s="250"/>
      <c r="W3762" s="250"/>
      <c r="X3762" s="250"/>
      <c r="Y3762" s="250"/>
      <c r="Z3762" s="150"/>
      <c r="AA3762" s="150">
        <v>2.33</v>
      </c>
      <c r="AB3762" s="152"/>
      <c r="AC3762" s="152"/>
      <c r="AD3762" s="223">
        <v>7.6197499999999998</v>
      </c>
      <c r="AE3762" s="223">
        <v>0.2865026</v>
      </c>
      <c r="AF3762" s="223">
        <v>2.1922983999999999</v>
      </c>
      <c r="AG3762" s="223">
        <v>0.60348420000000003</v>
      </c>
      <c r="AH3762" s="341"/>
      <c r="AI3762" s="218"/>
      <c r="AJ3762" s="218"/>
      <c r="AK3762" s="153"/>
      <c r="AL3762" s="152"/>
      <c r="AM3762" s="152"/>
      <c r="AN3762" s="152"/>
      <c r="AO3762" s="152"/>
      <c r="AP3762" s="152"/>
      <c r="AQ3762" s="152"/>
      <c r="AR3762" s="152"/>
      <c r="AS3762" s="152"/>
      <c r="AT3762" s="152"/>
      <c r="AU3762" s="153"/>
      <c r="AV3762" s="479"/>
      <c r="AW3762" s="479"/>
      <c r="AX3762" s="442"/>
      <c r="AY3762" s="153"/>
      <c r="AZ3762" s="152"/>
      <c r="BA3762" s="152"/>
      <c r="BB3762" s="152"/>
      <c r="BC3762" s="152"/>
      <c r="BD3762" s="152"/>
      <c r="BE3762" s="152"/>
      <c r="BF3762" s="152"/>
      <c r="BG3762" s="152"/>
      <c r="BH3762" s="152"/>
      <c r="BI3762" s="153"/>
      <c r="BJ3762" s="153"/>
      <c r="BK3762" s="153"/>
      <c r="BL3762" s="153"/>
      <c r="BM3762" s="153"/>
      <c r="BN3762" s="153"/>
      <c r="BO3762" s="153"/>
      <c r="BP3762" s="153"/>
      <c r="BQ3762" s="153"/>
      <c r="BR3762" s="153"/>
      <c r="BS3762" s="153"/>
      <c r="BT3762" s="153"/>
      <c r="BU3762" s="153"/>
      <c r="BV3762" s="153"/>
      <c r="BW3762" s="153"/>
      <c r="BX3762" s="153"/>
      <c r="BY3762" s="153"/>
      <c r="BZ3762" s="153"/>
      <c r="CA3762" s="152"/>
      <c r="CB3762" s="486" t="s">
        <v>638</v>
      </c>
    </row>
    <row r="3763" spans="1:80" s="87" customFormat="1" ht="15" x14ac:dyDescent="0.2">
      <c r="A3763" s="152"/>
      <c r="B3763" s="683"/>
      <c r="C3763" s="683"/>
      <c r="D3763" s="698"/>
      <c r="E3763" s="215"/>
      <c r="F3763" s="215"/>
      <c r="G3763" s="153"/>
      <c r="H3763" s="153"/>
      <c r="I3763" s="312">
        <v>20</v>
      </c>
      <c r="J3763" s="312">
        <v>30</v>
      </c>
      <c r="K3763" s="150">
        <v>1</v>
      </c>
      <c r="L3763" s="656">
        <v>10</v>
      </c>
      <c r="M3763" s="663">
        <v>31519</v>
      </c>
      <c r="N3763" s="600">
        <v>2.1036299999999999</v>
      </c>
      <c r="O3763" s="604">
        <v>1.5740000000000001E-3</v>
      </c>
      <c r="P3763" s="250"/>
      <c r="Q3763" s="250"/>
      <c r="R3763" s="250"/>
      <c r="S3763" s="250"/>
      <c r="T3763" s="250"/>
      <c r="U3763" s="250"/>
      <c r="V3763" s="250"/>
      <c r="W3763" s="250"/>
      <c r="X3763" s="250"/>
      <c r="Y3763" s="250"/>
      <c r="Z3763" s="150"/>
      <c r="AA3763" s="150">
        <v>1.04</v>
      </c>
      <c r="AB3763" s="152"/>
      <c r="AC3763" s="152"/>
      <c r="AD3763" s="223">
        <v>8.2293299999999991</v>
      </c>
      <c r="AE3763" s="223">
        <v>0.35355639999999999</v>
      </c>
      <c r="AF3763" s="223">
        <v>2.9075821999999998</v>
      </c>
      <c r="AG3763" s="223">
        <v>0.72235229999999995</v>
      </c>
      <c r="AH3763" s="341"/>
      <c r="AI3763" s="218"/>
      <c r="AJ3763" s="218"/>
      <c r="AK3763" s="153"/>
      <c r="AL3763" s="152"/>
      <c r="AM3763" s="152"/>
      <c r="AN3763" s="152"/>
      <c r="AO3763" s="152"/>
      <c r="AP3763" s="152"/>
      <c r="AQ3763" s="152"/>
      <c r="AR3763" s="152"/>
      <c r="AS3763" s="152"/>
      <c r="AT3763" s="152"/>
      <c r="AU3763" s="153"/>
      <c r="AV3763" s="479"/>
      <c r="AW3763" s="479"/>
      <c r="AX3763" s="442"/>
      <c r="AY3763" s="153"/>
      <c r="AZ3763" s="152"/>
      <c r="BA3763" s="152"/>
      <c r="BB3763" s="152"/>
      <c r="BC3763" s="152"/>
      <c r="BD3763" s="152"/>
      <c r="BE3763" s="152"/>
      <c r="BF3763" s="152"/>
      <c r="BG3763" s="152"/>
      <c r="BH3763" s="152"/>
      <c r="BI3763" s="153"/>
      <c r="BJ3763" s="153"/>
      <c r="BK3763" s="153"/>
      <c r="BL3763" s="153"/>
      <c r="BM3763" s="153"/>
      <c r="BN3763" s="153"/>
      <c r="BO3763" s="153"/>
      <c r="BP3763" s="153"/>
      <c r="BQ3763" s="153"/>
      <c r="BR3763" s="153"/>
      <c r="BS3763" s="153"/>
      <c r="BT3763" s="153"/>
      <c r="BU3763" s="153"/>
      <c r="BV3763" s="153"/>
      <c r="BW3763" s="153"/>
      <c r="BX3763" s="153"/>
      <c r="BY3763" s="153"/>
      <c r="BZ3763" s="153"/>
      <c r="CA3763" s="152"/>
      <c r="CB3763" s="486" t="s">
        <v>639</v>
      </c>
    </row>
    <row r="3764" spans="1:80" s="87" customFormat="1" ht="15" x14ac:dyDescent="0.2">
      <c r="A3764" s="152"/>
      <c r="B3764" s="683"/>
      <c r="C3764" s="683"/>
      <c r="D3764" s="698"/>
      <c r="E3764" s="215"/>
      <c r="F3764" s="215"/>
      <c r="G3764" s="153"/>
      <c r="H3764" s="153"/>
      <c r="I3764" s="312">
        <v>20</v>
      </c>
      <c r="J3764" s="312">
        <v>30</v>
      </c>
      <c r="K3764" s="150">
        <v>1</v>
      </c>
      <c r="L3764" s="656">
        <v>10</v>
      </c>
      <c r="M3764" s="663">
        <v>31525</v>
      </c>
      <c r="N3764" s="600">
        <v>3.1427100000000001</v>
      </c>
      <c r="O3764" s="604">
        <v>1.5187000000000001E-2</v>
      </c>
      <c r="P3764" s="250"/>
      <c r="Q3764" s="250"/>
      <c r="R3764" s="250"/>
      <c r="S3764" s="250"/>
      <c r="T3764" s="250"/>
      <c r="U3764" s="250"/>
      <c r="V3764" s="250"/>
      <c r="W3764" s="250"/>
      <c r="X3764" s="250"/>
      <c r="Y3764" s="250"/>
      <c r="Z3764" s="150"/>
      <c r="AA3764" s="150">
        <v>1.38</v>
      </c>
      <c r="AB3764" s="152"/>
      <c r="AC3764" s="152"/>
      <c r="AD3764" s="223">
        <v>9.1437000000000008</v>
      </c>
      <c r="AE3764" s="223">
        <v>0.396227</v>
      </c>
      <c r="AF3764" s="223">
        <v>3.6135766</v>
      </c>
      <c r="AG3764" s="223">
        <v>0.86865150000000002</v>
      </c>
      <c r="AH3764" s="341"/>
      <c r="AI3764" s="218"/>
      <c r="AJ3764" s="218"/>
      <c r="AK3764" s="153"/>
      <c r="AL3764" s="152"/>
      <c r="AM3764" s="152"/>
      <c r="AN3764" s="152"/>
      <c r="AO3764" s="152"/>
      <c r="AP3764" s="152"/>
      <c r="AQ3764" s="152"/>
      <c r="AR3764" s="152"/>
      <c r="AS3764" s="152"/>
      <c r="AT3764" s="152"/>
      <c r="AU3764" s="153"/>
      <c r="AV3764" s="479"/>
      <c r="AW3764" s="479"/>
      <c r="AX3764" s="442"/>
      <c r="AY3764" s="153"/>
      <c r="AZ3764" s="152"/>
      <c r="BA3764" s="152"/>
      <c r="BB3764" s="152"/>
      <c r="BC3764" s="152"/>
      <c r="BD3764" s="152"/>
      <c r="BE3764" s="152"/>
      <c r="BF3764" s="152"/>
      <c r="BG3764" s="152"/>
      <c r="BH3764" s="152"/>
      <c r="BI3764" s="153"/>
      <c r="BJ3764" s="153"/>
      <c r="BK3764" s="153"/>
      <c r="BL3764" s="153"/>
      <c r="BM3764" s="153"/>
      <c r="BN3764" s="153"/>
      <c r="BO3764" s="153"/>
      <c r="BP3764" s="153"/>
      <c r="BQ3764" s="153"/>
      <c r="BR3764" s="153"/>
      <c r="BS3764" s="153"/>
      <c r="BT3764" s="153"/>
      <c r="BU3764" s="153"/>
      <c r="BV3764" s="153"/>
      <c r="BW3764" s="153"/>
      <c r="BX3764" s="153"/>
      <c r="BY3764" s="153"/>
      <c r="BZ3764" s="153"/>
      <c r="CA3764" s="152"/>
      <c r="CB3764" s="486" t="s">
        <v>640</v>
      </c>
    </row>
    <row r="3765" spans="1:80" s="87" customFormat="1" x14ac:dyDescent="0.2">
      <c r="A3765" s="152"/>
      <c r="B3765" s="683"/>
      <c r="C3765" s="683"/>
      <c r="D3765" s="698"/>
      <c r="E3765" s="215"/>
      <c r="F3765" s="215"/>
      <c r="G3765" s="153"/>
      <c r="H3765" s="153"/>
      <c r="I3765" s="312">
        <v>17</v>
      </c>
      <c r="J3765" s="312">
        <v>30</v>
      </c>
      <c r="K3765" s="150">
        <v>1</v>
      </c>
      <c r="L3765" s="656">
        <v>8.5</v>
      </c>
      <c r="M3765" s="663">
        <v>31532</v>
      </c>
      <c r="N3765" s="600">
        <v>2.5707900000000001</v>
      </c>
      <c r="O3765" s="604">
        <v>7.0949999999999997E-3</v>
      </c>
      <c r="P3765" s="250"/>
      <c r="Q3765" s="250"/>
      <c r="R3765" s="250"/>
      <c r="S3765" s="250"/>
      <c r="T3765" s="250"/>
      <c r="U3765" s="250"/>
      <c r="V3765" s="250"/>
      <c r="W3765" s="250"/>
      <c r="X3765" s="250"/>
      <c r="Y3765" s="250"/>
      <c r="Z3765" s="150"/>
      <c r="AA3765" s="150">
        <v>1.4</v>
      </c>
      <c r="AB3765" s="152"/>
      <c r="AC3765" s="152"/>
      <c r="AD3765" s="223">
        <v>8.2293299999999991</v>
      </c>
      <c r="AE3765" s="223">
        <v>0.41451440000000001</v>
      </c>
      <c r="AF3765" s="223">
        <v>3.4045651000000001</v>
      </c>
      <c r="AG3765" s="223">
        <v>0.75892709999999997</v>
      </c>
      <c r="AH3765" s="341"/>
      <c r="AI3765" s="218"/>
      <c r="AJ3765" s="218"/>
      <c r="AK3765" s="153"/>
      <c r="AL3765" s="152"/>
      <c r="AM3765" s="152"/>
      <c r="AN3765" s="152"/>
      <c r="AO3765" s="152"/>
      <c r="AP3765" s="152"/>
      <c r="AQ3765" s="152"/>
      <c r="AR3765" s="152"/>
      <c r="AS3765" s="152"/>
      <c r="AT3765" s="152"/>
      <c r="AU3765" s="153"/>
      <c r="AV3765" s="479"/>
      <c r="AW3765" s="479"/>
      <c r="AX3765" s="442"/>
      <c r="AY3765" s="153"/>
      <c r="AZ3765" s="152"/>
      <c r="BA3765" s="152"/>
      <c r="BB3765" s="152"/>
      <c r="BC3765" s="152"/>
      <c r="BD3765" s="152"/>
      <c r="BE3765" s="152"/>
      <c r="BF3765" s="152"/>
      <c r="BG3765" s="152"/>
      <c r="BH3765" s="152"/>
      <c r="BI3765" s="153"/>
      <c r="BJ3765" s="153"/>
      <c r="BK3765" s="153"/>
      <c r="BL3765" s="153"/>
      <c r="BM3765" s="153"/>
      <c r="BN3765" s="153"/>
      <c r="BO3765" s="153"/>
      <c r="BP3765" s="153"/>
      <c r="BQ3765" s="153"/>
      <c r="BR3765" s="153"/>
      <c r="BS3765" s="153"/>
      <c r="BT3765" s="153"/>
      <c r="BU3765" s="153"/>
      <c r="BV3765" s="153"/>
      <c r="BW3765" s="153"/>
      <c r="BX3765" s="153"/>
      <c r="BY3765" s="153"/>
      <c r="BZ3765" s="153"/>
      <c r="CA3765" s="152"/>
      <c r="CB3765" s="152"/>
    </row>
    <row r="3766" spans="1:80" s="87" customFormat="1" x14ac:dyDescent="0.2">
      <c r="A3766" s="152"/>
      <c r="B3766" s="683"/>
      <c r="C3766" s="683"/>
      <c r="D3766" s="698"/>
      <c r="E3766" s="215"/>
      <c r="F3766" s="215"/>
      <c r="G3766" s="153"/>
      <c r="H3766" s="153"/>
      <c r="I3766" s="312">
        <v>20</v>
      </c>
      <c r="J3766" s="312">
        <v>30</v>
      </c>
      <c r="K3766" s="150">
        <v>1</v>
      </c>
      <c r="L3766" s="656">
        <v>10</v>
      </c>
      <c r="M3766" s="663">
        <v>31548</v>
      </c>
      <c r="N3766" s="600">
        <v>4.53003</v>
      </c>
      <c r="O3766" s="604">
        <v>6.6020000000000002E-3</v>
      </c>
      <c r="P3766" s="250"/>
      <c r="Q3766" s="250"/>
      <c r="R3766" s="250"/>
      <c r="S3766" s="250"/>
      <c r="T3766" s="250"/>
      <c r="U3766" s="250"/>
      <c r="V3766" s="250"/>
      <c r="W3766" s="250"/>
      <c r="X3766" s="250"/>
      <c r="Y3766" s="250"/>
      <c r="Z3766" s="150"/>
      <c r="AA3766" s="150">
        <v>1.29</v>
      </c>
      <c r="AB3766" s="152"/>
      <c r="AC3766" s="152"/>
      <c r="AD3766" s="223">
        <v>9.7532800000000002</v>
      </c>
      <c r="AE3766" s="223">
        <v>0.38098749999999998</v>
      </c>
      <c r="AF3766" s="223">
        <v>3.71576</v>
      </c>
      <c r="AG3766" s="223">
        <v>1.21916</v>
      </c>
      <c r="AH3766" s="341"/>
      <c r="AI3766" s="218"/>
      <c r="AJ3766" s="218"/>
      <c r="AK3766" s="153"/>
      <c r="AL3766" s="152"/>
      <c r="AM3766" s="152"/>
      <c r="AN3766" s="152"/>
      <c r="AO3766" s="152"/>
      <c r="AP3766" s="152"/>
      <c r="AQ3766" s="152"/>
      <c r="AR3766" s="152"/>
      <c r="AS3766" s="152"/>
      <c r="AT3766" s="152"/>
      <c r="AU3766" s="153"/>
      <c r="AV3766" s="479"/>
      <c r="AW3766" s="479"/>
      <c r="AX3766" s="442"/>
      <c r="AY3766" s="153"/>
      <c r="AZ3766" s="152"/>
      <c r="BA3766" s="152"/>
      <c r="BB3766" s="152"/>
      <c r="BC3766" s="152"/>
      <c r="BD3766" s="152"/>
      <c r="BE3766" s="152"/>
      <c r="BF3766" s="152"/>
      <c r="BG3766" s="152"/>
      <c r="BH3766" s="152"/>
      <c r="BI3766" s="153"/>
      <c r="BJ3766" s="153"/>
      <c r="BK3766" s="153"/>
      <c r="BL3766" s="153"/>
      <c r="BM3766" s="153"/>
      <c r="BN3766" s="153"/>
      <c r="BO3766" s="153"/>
      <c r="BP3766" s="153"/>
      <c r="BQ3766" s="153"/>
      <c r="BR3766" s="153"/>
      <c r="BS3766" s="153"/>
      <c r="BT3766" s="153"/>
      <c r="BU3766" s="153"/>
      <c r="BV3766" s="153"/>
      <c r="BW3766" s="153"/>
      <c r="BX3766" s="153"/>
      <c r="BY3766" s="153"/>
      <c r="BZ3766" s="153"/>
      <c r="CA3766" s="152"/>
      <c r="CB3766" s="152"/>
    </row>
    <row r="3767" spans="1:80" s="87" customFormat="1" x14ac:dyDescent="0.2">
      <c r="A3767" s="152"/>
      <c r="B3767" s="683"/>
      <c r="C3767" s="683"/>
      <c r="D3767" s="698"/>
      <c r="E3767" s="215"/>
      <c r="F3767" s="215"/>
      <c r="G3767" s="153"/>
      <c r="H3767" s="153"/>
      <c r="I3767" s="312">
        <v>15</v>
      </c>
      <c r="J3767" s="312">
        <v>30</v>
      </c>
      <c r="K3767" s="150">
        <v>1</v>
      </c>
      <c r="L3767" s="656">
        <v>7.5</v>
      </c>
      <c r="M3767" s="663">
        <v>31555</v>
      </c>
      <c r="N3767" s="600">
        <v>6.1438600000000001</v>
      </c>
      <c r="O3767" s="604">
        <v>3.7680000000000001E-3</v>
      </c>
      <c r="P3767" s="250"/>
      <c r="Q3767" s="250"/>
      <c r="R3767" s="250"/>
      <c r="S3767" s="250"/>
      <c r="T3767" s="250"/>
      <c r="U3767" s="250"/>
      <c r="V3767" s="250"/>
      <c r="W3767" s="250"/>
      <c r="X3767" s="250"/>
      <c r="Y3767" s="250"/>
      <c r="Z3767" s="150"/>
      <c r="AA3767" s="150">
        <v>0.65</v>
      </c>
      <c r="AB3767" s="152"/>
      <c r="AC3767" s="152"/>
      <c r="AD3767" s="223">
        <v>11.58202</v>
      </c>
      <c r="AE3767" s="223">
        <v>0.41451440000000001</v>
      </c>
      <c r="AF3767" s="223">
        <v>4.8119091999999997</v>
      </c>
      <c r="AG3767" s="223">
        <v>1.3075490999999999</v>
      </c>
      <c r="AH3767" s="341"/>
      <c r="AI3767" s="218"/>
      <c r="AJ3767" s="218"/>
      <c r="AK3767" s="153"/>
      <c r="AL3767" s="152"/>
      <c r="AM3767" s="152"/>
      <c r="AN3767" s="152"/>
      <c r="AO3767" s="152"/>
      <c r="AP3767" s="152"/>
      <c r="AQ3767" s="152"/>
      <c r="AR3767" s="152"/>
      <c r="AS3767" s="152"/>
      <c r="AT3767" s="152"/>
      <c r="AU3767" s="153"/>
      <c r="AV3767" s="479"/>
      <c r="AW3767" s="479"/>
      <c r="AX3767" s="442"/>
      <c r="AY3767" s="153"/>
      <c r="AZ3767" s="152"/>
      <c r="BA3767" s="152"/>
      <c r="BB3767" s="152"/>
      <c r="BC3767" s="152"/>
      <c r="BD3767" s="152"/>
      <c r="BE3767" s="152"/>
      <c r="BF3767" s="152"/>
      <c r="BG3767" s="152"/>
      <c r="BH3767" s="152"/>
      <c r="BI3767" s="153"/>
      <c r="BJ3767" s="153"/>
      <c r="BK3767" s="153"/>
      <c r="BL3767" s="153"/>
      <c r="BM3767" s="153"/>
      <c r="BN3767" s="153"/>
      <c r="BO3767" s="153"/>
      <c r="BP3767" s="153"/>
      <c r="BQ3767" s="153"/>
      <c r="BR3767" s="153"/>
      <c r="BS3767" s="153"/>
      <c r="BT3767" s="153"/>
      <c r="BU3767" s="153"/>
      <c r="BV3767" s="153"/>
      <c r="BW3767" s="153"/>
      <c r="BX3767" s="153"/>
      <c r="BY3767" s="153"/>
      <c r="BZ3767" s="153"/>
      <c r="CA3767" s="152"/>
      <c r="CB3767" s="152"/>
    </row>
    <row r="3768" spans="1:80" s="87" customFormat="1" x14ac:dyDescent="0.2">
      <c r="A3768" s="152"/>
      <c r="B3768" s="683"/>
      <c r="C3768" s="683"/>
      <c r="D3768" s="698"/>
      <c r="E3768" s="215"/>
      <c r="F3768" s="215"/>
      <c r="G3768" s="153"/>
      <c r="H3768" s="153"/>
      <c r="I3768" s="312">
        <v>13</v>
      </c>
      <c r="J3768" s="312">
        <v>30</v>
      </c>
      <c r="K3768" s="150">
        <v>1</v>
      </c>
      <c r="L3768" s="656">
        <v>6.5</v>
      </c>
      <c r="M3768" s="663">
        <v>31579</v>
      </c>
      <c r="N3768" s="600">
        <v>2.01586</v>
      </c>
      <c r="O3768" s="604">
        <v>5.4999999999999997E-3</v>
      </c>
      <c r="P3768" s="250"/>
      <c r="Q3768" s="250"/>
      <c r="R3768" s="250"/>
      <c r="S3768" s="250"/>
      <c r="T3768" s="250"/>
      <c r="U3768" s="250"/>
      <c r="V3768" s="250"/>
      <c r="W3768" s="250"/>
      <c r="X3768" s="250"/>
      <c r="Y3768" s="250"/>
      <c r="Z3768" s="150"/>
      <c r="AA3768" s="150">
        <v>0.57999999999999996</v>
      </c>
      <c r="AB3768" s="152"/>
      <c r="AC3768" s="152"/>
      <c r="AD3768" s="223">
        <v>9.1437000000000008</v>
      </c>
      <c r="AE3768" s="223">
        <v>0.2621194</v>
      </c>
      <c r="AF3768" s="223">
        <v>2.3966652000000002</v>
      </c>
      <c r="AG3768" s="223">
        <v>0.84122039999999998</v>
      </c>
      <c r="AH3768" s="341"/>
      <c r="AI3768" s="218"/>
      <c r="AJ3768" s="218"/>
      <c r="AK3768" s="153"/>
      <c r="AL3768" s="152"/>
      <c r="AM3768" s="152"/>
      <c r="AN3768" s="152"/>
      <c r="AO3768" s="152"/>
      <c r="AP3768" s="152"/>
      <c r="AQ3768" s="152"/>
      <c r="AR3768" s="152"/>
      <c r="AS3768" s="152"/>
      <c r="AT3768" s="152"/>
      <c r="AU3768" s="153"/>
      <c r="AV3768" s="479"/>
      <c r="AW3768" s="479"/>
      <c r="AX3768" s="442"/>
      <c r="AY3768" s="153"/>
      <c r="AZ3768" s="152"/>
      <c r="BA3768" s="152"/>
      <c r="BB3768" s="152"/>
      <c r="BC3768" s="152"/>
      <c r="BD3768" s="152"/>
      <c r="BE3768" s="152"/>
      <c r="BF3768" s="152"/>
      <c r="BG3768" s="152"/>
      <c r="BH3768" s="152"/>
      <c r="BI3768" s="153"/>
      <c r="BJ3768" s="153"/>
      <c r="BK3768" s="153"/>
      <c r="BL3768" s="153"/>
      <c r="BM3768" s="153"/>
      <c r="BN3768" s="153"/>
      <c r="BO3768" s="153"/>
      <c r="BP3768" s="153"/>
      <c r="BQ3768" s="153"/>
      <c r="BR3768" s="153"/>
      <c r="BS3768" s="153"/>
      <c r="BT3768" s="153"/>
      <c r="BU3768" s="153"/>
      <c r="BV3768" s="153"/>
      <c r="BW3768" s="153"/>
      <c r="BX3768" s="153"/>
      <c r="BY3768" s="153"/>
      <c r="BZ3768" s="153"/>
      <c r="CA3768" s="152"/>
      <c r="CB3768" s="152"/>
    </row>
    <row r="3769" spans="1:80" s="87" customFormat="1" x14ac:dyDescent="0.2">
      <c r="A3769" s="152"/>
      <c r="B3769" s="683"/>
      <c r="C3769" s="683"/>
      <c r="D3769" s="698"/>
      <c r="E3769" s="215"/>
      <c r="F3769" s="215"/>
      <c r="G3769" s="153"/>
      <c r="H3769" s="153"/>
      <c r="I3769" s="312">
        <v>13</v>
      </c>
      <c r="J3769" s="312">
        <v>30</v>
      </c>
      <c r="K3769" s="150">
        <v>1</v>
      </c>
      <c r="L3769" s="656">
        <v>6.5</v>
      </c>
      <c r="M3769" s="663">
        <v>31589</v>
      </c>
      <c r="N3769" s="600">
        <v>1.2344299999999999</v>
      </c>
      <c r="O3769" s="604">
        <v>3.3599999999999998E-4</v>
      </c>
      <c r="P3769" s="250"/>
      <c r="Q3769" s="250"/>
      <c r="R3769" s="250"/>
      <c r="S3769" s="250"/>
      <c r="T3769" s="250"/>
      <c r="U3769" s="250"/>
      <c r="V3769" s="250"/>
      <c r="W3769" s="250"/>
      <c r="X3769" s="250"/>
      <c r="Y3769" s="250"/>
      <c r="Z3769" s="150"/>
      <c r="AA3769" s="150">
        <v>0.43</v>
      </c>
      <c r="AB3769" s="152"/>
      <c r="AC3769" s="152"/>
      <c r="AD3769" s="223">
        <v>9.1437000000000008</v>
      </c>
      <c r="AE3769" s="223">
        <v>0.22554460000000001</v>
      </c>
      <c r="AF3769" s="223">
        <v>2.0529573999999999</v>
      </c>
      <c r="AG3769" s="223">
        <v>0.60043630000000003</v>
      </c>
      <c r="AH3769" s="341"/>
      <c r="AI3769" s="218"/>
      <c r="AJ3769" s="218"/>
      <c r="AK3769" s="153"/>
      <c r="AL3769" s="152"/>
      <c r="AM3769" s="152"/>
      <c r="AN3769" s="152"/>
      <c r="AO3769" s="152"/>
      <c r="AP3769" s="152"/>
      <c r="AQ3769" s="152"/>
      <c r="AR3769" s="152"/>
      <c r="AS3769" s="152"/>
      <c r="AT3769" s="152"/>
      <c r="AU3769" s="153"/>
      <c r="AV3769" s="479"/>
      <c r="AW3769" s="479"/>
      <c r="AX3769" s="442"/>
      <c r="AY3769" s="153"/>
      <c r="AZ3769" s="152"/>
      <c r="BA3769" s="152"/>
      <c r="BB3769" s="152"/>
      <c r="BC3769" s="152"/>
      <c r="BD3769" s="152"/>
      <c r="BE3769" s="152"/>
      <c r="BF3769" s="152"/>
      <c r="BG3769" s="152"/>
      <c r="BH3769" s="152"/>
      <c r="BI3769" s="153"/>
      <c r="BJ3769" s="153"/>
      <c r="BK3769" s="153"/>
      <c r="BL3769" s="153"/>
      <c r="BM3769" s="153"/>
      <c r="BN3769" s="153"/>
      <c r="BO3769" s="153"/>
      <c r="BP3769" s="153"/>
      <c r="BQ3769" s="153"/>
      <c r="BR3769" s="153"/>
      <c r="BS3769" s="153"/>
      <c r="BT3769" s="153"/>
      <c r="BU3769" s="153"/>
      <c r="BV3769" s="153"/>
      <c r="BW3769" s="153"/>
      <c r="BX3769" s="153"/>
      <c r="BY3769" s="153"/>
      <c r="BZ3769" s="153"/>
      <c r="CA3769" s="152"/>
      <c r="CB3769" s="152"/>
    </row>
    <row r="3770" spans="1:80" s="87" customFormat="1" x14ac:dyDescent="0.2">
      <c r="A3770" s="152"/>
      <c r="B3770" s="683"/>
      <c r="C3770" s="683"/>
      <c r="D3770" s="698"/>
      <c r="E3770" s="215"/>
      <c r="F3770" s="215"/>
      <c r="G3770" s="153"/>
      <c r="H3770" s="153"/>
      <c r="I3770" s="312">
        <v>12</v>
      </c>
      <c r="J3770" s="312">
        <v>30</v>
      </c>
      <c r="K3770" s="150">
        <v>1</v>
      </c>
      <c r="L3770" s="656">
        <v>6</v>
      </c>
      <c r="M3770" s="663">
        <v>31603</v>
      </c>
      <c r="N3770" s="600">
        <v>0.99661</v>
      </c>
      <c r="O3770" s="604">
        <v>2.9399999999999999E-4</v>
      </c>
      <c r="P3770" s="250"/>
      <c r="Q3770" s="250"/>
      <c r="R3770" s="250"/>
      <c r="S3770" s="250"/>
      <c r="T3770" s="250"/>
      <c r="U3770" s="250"/>
      <c r="V3770" s="250"/>
      <c r="W3770" s="250"/>
      <c r="X3770" s="250"/>
      <c r="Y3770" s="250"/>
      <c r="Z3770" s="150"/>
      <c r="AA3770" s="150">
        <v>0.55000000000000004</v>
      </c>
      <c r="AB3770" s="152"/>
      <c r="AC3770" s="152"/>
      <c r="AD3770" s="223">
        <v>8.5341199999999997</v>
      </c>
      <c r="AE3770" s="223">
        <v>0.21640090000000001</v>
      </c>
      <c r="AF3770" s="223">
        <v>1.8485906000000001</v>
      </c>
      <c r="AG3770" s="223">
        <v>0.55166990000000005</v>
      </c>
      <c r="AH3770" s="341"/>
      <c r="AI3770" s="218"/>
      <c r="AJ3770" s="218"/>
      <c r="AK3770" s="153"/>
      <c r="AL3770" s="152"/>
      <c r="AM3770" s="152"/>
      <c r="AN3770" s="152"/>
      <c r="AO3770" s="152"/>
      <c r="AP3770" s="152"/>
      <c r="AQ3770" s="152"/>
      <c r="AR3770" s="152"/>
      <c r="AS3770" s="152"/>
      <c r="AT3770" s="152"/>
      <c r="AU3770" s="153"/>
      <c r="AV3770" s="479"/>
      <c r="AW3770" s="479"/>
      <c r="AX3770" s="442"/>
      <c r="AY3770" s="153"/>
      <c r="AZ3770" s="152"/>
      <c r="BA3770" s="152"/>
      <c r="BB3770" s="152"/>
      <c r="BC3770" s="152"/>
      <c r="BD3770" s="152"/>
      <c r="BE3770" s="152"/>
      <c r="BF3770" s="152"/>
      <c r="BG3770" s="152"/>
      <c r="BH3770" s="152"/>
      <c r="BI3770" s="153"/>
      <c r="BJ3770" s="153"/>
      <c r="BK3770" s="153"/>
      <c r="BL3770" s="153"/>
      <c r="BM3770" s="153"/>
      <c r="BN3770" s="153"/>
      <c r="BO3770" s="153"/>
      <c r="BP3770" s="153"/>
      <c r="BQ3770" s="153"/>
      <c r="BR3770" s="153"/>
      <c r="BS3770" s="153"/>
      <c r="BT3770" s="153"/>
      <c r="BU3770" s="153"/>
      <c r="BV3770" s="153"/>
      <c r="BW3770" s="153"/>
      <c r="BX3770" s="153"/>
      <c r="BY3770" s="153"/>
      <c r="BZ3770" s="153"/>
      <c r="CA3770" s="152"/>
      <c r="CB3770" s="152"/>
    </row>
    <row r="3771" spans="1:80" s="87" customFormat="1" x14ac:dyDescent="0.2">
      <c r="A3771" s="152"/>
      <c r="B3771" s="683"/>
      <c r="C3771" s="683"/>
      <c r="D3771" s="698"/>
      <c r="E3771" s="215"/>
      <c r="F3771" s="215"/>
      <c r="G3771" s="153"/>
      <c r="H3771" s="153"/>
      <c r="I3771" s="312">
        <v>10</v>
      </c>
      <c r="J3771" s="312">
        <v>30</v>
      </c>
      <c r="K3771" s="150">
        <v>1</v>
      </c>
      <c r="L3771" s="656">
        <v>5</v>
      </c>
      <c r="M3771" s="663">
        <v>31643</v>
      </c>
      <c r="N3771" s="600">
        <v>0.24660000000000001</v>
      </c>
      <c r="O3771" s="604">
        <v>1.47E-4</v>
      </c>
      <c r="P3771" s="250"/>
      <c r="Q3771" s="250"/>
      <c r="R3771" s="250"/>
      <c r="S3771" s="250"/>
      <c r="T3771" s="250"/>
      <c r="U3771" s="250"/>
      <c r="V3771" s="250"/>
      <c r="W3771" s="250"/>
      <c r="X3771" s="250"/>
      <c r="Y3771" s="250"/>
      <c r="Z3771" s="150"/>
      <c r="AA3771" s="150">
        <v>0.43</v>
      </c>
      <c r="AB3771" s="152"/>
      <c r="AC3771" s="152"/>
      <c r="AD3771" s="223">
        <v>8.5341199999999997</v>
      </c>
      <c r="AE3771" s="223">
        <v>0.11277230000000001</v>
      </c>
      <c r="AF3771" s="223">
        <v>0.9568082</v>
      </c>
      <c r="AG3771" s="223">
        <v>0.25907150000000001</v>
      </c>
      <c r="AH3771" s="341"/>
      <c r="AI3771" s="218"/>
      <c r="AJ3771" s="218"/>
      <c r="AK3771" s="153"/>
      <c r="AL3771" s="152"/>
      <c r="AM3771" s="152"/>
      <c r="AN3771" s="152"/>
      <c r="AO3771" s="152"/>
      <c r="AP3771" s="152"/>
      <c r="AQ3771" s="152"/>
      <c r="AR3771" s="152"/>
      <c r="AS3771" s="152"/>
      <c r="AT3771" s="152"/>
      <c r="AU3771" s="153"/>
      <c r="AV3771" s="479"/>
      <c r="AW3771" s="479"/>
      <c r="AX3771" s="442"/>
      <c r="AY3771" s="153"/>
      <c r="AZ3771" s="152"/>
      <c r="BA3771" s="152"/>
      <c r="BB3771" s="152"/>
      <c r="BC3771" s="152"/>
      <c r="BD3771" s="152"/>
      <c r="BE3771" s="152"/>
      <c r="BF3771" s="152"/>
      <c r="BG3771" s="152"/>
      <c r="BH3771" s="152"/>
      <c r="BI3771" s="153"/>
      <c r="BJ3771" s="153"/>
      <c r="BK3771" s="153"/>
      <c r="BL3771" s="153"/>
      <c r="BM3771" s="153"/>
      <c r="BN3771" s="153"/>
      <c r="BO3771" s="153"/>
      <c r="BP3771" s="153"/>
      <c r="BQ3771" s="153"/>
      <c r="BR3771" s="153"/>
      <c r="BS3771" s="153"/>
      <c r="BT3771" s="153"/>
      <c r="BU3771" s="153"/>
      <c r="BV3771" s="153"/>
      <c r="BW3771" s="153"/>
      <c r="BX3771" s="153"/>
      <c r="BY3771" s="153"/>
      <c r="BZ3771" s="153"/>
      <c r="CA3771" s="152"/>
      <c r="CB3771" s="152"/>
    </row>
    <row r="3772" spans="1:80" s="87" customFormat="1" x14ac:dyDescent="0.2">
      <c r="A3772" s="152"/>
      <c r="B3772" s="683"/>
      <c r="C3772" s="683"/>
      <c r="D3772" s="698"/>
      <c r="E3772" s="215"/>
      <c r="F3772" s="215"/>
      <c r="G3772" s="153"/>
      <c r="H3772" s="153"/>
      <c r="I3772" s="312">
        <v>9</v>
      </c>
      <c r="J3772" s="312">
        <v>30</v>
      </c>
      <c r="K3772" s="150">
        <v>1</v>
      </c>
      <c r="L3772" s="656">
        <v>4.5</v>
      </c>
      <c r="M3772" s="663">
        <v>31678</v>
      </c>
      <c r="N3772" s="600">
        <v>0.36807000000000001</v>
      </c>
      <c r="O3772" s="604">
        <v>1.26E-4</v>
      </c>
      <c r="P3772" s="250"/>
      <c r="Q3772" s="250"/>
      <c r="R3772" s="250"/>
      <c r="S3772" s="250"/>
      <c r="T3772" s="250"/>
      <c r="U3772" s="250"/>
      <c r="V3772" s="250"/>
      <c r="W3772" s="250"/>
      <c r="X3772" s="250"/>
      <c r="Y3772" s="250"/>
      <c r="Z3772" s="150"/>
      <c r="AA3772" s="150">
        <v>0.43</v>
      </c>
      <c r="AB3772" s="152"/>
      <c r="AC3772" s="152"/>
      <c r="AD3772" s="223"/>
      <c r="AE3772" s="223"/>
      <c r="AF3772" s="223"/>
      <c r="AG3772" s="223"/>
      <c r="AH3772" s="341"/>
      <c r="AI3772" s="218"/>
      <c r="AJ3772" s="218"/>
      <c r="AK3772" s="153"/>
      <c r="AL3772" s="152"/>
      <c r="AM3772" s="152"/>
      <c r="AN3772" s="152"/>
      <c r="AO3772" s="152"/>
      <c r="AP3772" s="152"/>
      <c r="AQ3772" s="152"/>
      <c r="AR3772" s="152"/>
      <c r="AS3772" s="152"/>
      <c r="AT3772" s="152"/>
      <c r="AU3772" s="153"/>
      <c r="AV3772" s="479"/>
      <c r="AW3772" s="479"/>
      <c r="AX3772" s="442"/>
      <c r="AY3772" s="153"/>
      <c r="AZ3772" s="152"/>
      <c r="BA3772" s="152"/>
      <c r="BB3772" s="152"/>
      <c r="BC3772" s="152"/>
      <c r="BD3772" s="152"/>
      <c r="BE3772" s="152"/>
      <c r="BF3772" s="152"/>
      <c r="BG3772" s="152"/>
      <c r="BH3772" s="152"/>
      <c r="BI3772" s="153"/>
      <c r="BJ3772" s="153"/>
      <c r="BK3772" s="153"/>
      <c r="BL3772" s="153"/>
      <c r="BM3772" s="153"/>
      <c r="BN3772" s="153"/>
      <c r="BO3772" s="153"/>
      <c r="BP3772" s="153"/>
      <c r="BQ3772" s="153"/>
      <c r="BR3772" s="153"/>
      <c r="BS3772" s="153"/>
      <c r="BT3772" s="153"/>
      <c r="BU3772" s="153"/>
      <c r="BV3772" s="153"/>
      <c r="BW3772" s="153"/>
      <c r="BX3772" s="153"/>
      <c r="BY3772" s="153"/>
      <c r="BZ3772" s="153"/>
      <c r="CA3772" s="152"/>
      <c r="CB3772" s="152"/>
    </row>
    <row r="3773" spans="1:80" s="87" customFormat="1" x14ac:dyDescent="0.2">
      <c r="A3773" s="152"/>
      <c r="B3773" s="683"/>
      <c r="C3773" s="683"/>
      <c r="D3773" s="698"/>
      <c r="E3773" s="215"/>
      <c r="F3773" s="215"/>
      <c r="G3773" s="153"/>
      <c r="H3773" s="153"/>
      <c r="I3773" s="312">
        <v>20</v>
      </c>
      <c r="J3773" s="312">
        <v>30</v>
      </c>
      <c r="K3773" s="150">
        <v>1</v>
      </c>
      <c r="L3773" s="656">
        <v>10</v>
      </c>
      <c r="M3773" s="663">
        <v>31908</v>
      </c>
      <c r="N3773" s="600">
        <v>2.282</v>
      </c>
      <c r="O3773" s="604">
        <v>4.4079999999999996E-3</v>
      </c>
      <c r="P3773" s="250"/>
      <c r="Q3773" s="250"/>
      <c r="R3773" s="250"/>
      <c r="S3773" s="250"/>
      <c r="T3773" s="250"/>
      <c r="U3773" s="250"/>
      <c r="V3773" s="250"/>
      <c r="W3773" s="250"/>
      <c r="X3773" s="250"/>
      <c r="Y3773" s="250"/>
      <c r="Z3773" s="150"/>
      <c r="AA3773" s="150">
        <v>1.36</v>
      </c>
      <c r="AB3773" s="152"/>
      <c r="AC3773" s="152"/>
      <c r="AD3773" s="223">
        <v>7.9245400000000004</v>
      </c>
      <c r="AE3773" s="223">
        <v>0.40841860000000002</v>
      </c>
      <c r="AF3773" s="223">
        <v>3.2280665000000002</v>
      </c>
      <c r="AG3773" s="223">
        <v>0.70711279999999999</v>
      </c>
      <c r="AH3773" s="341"/>
      <c r="AI3773" s="218"/>
      <c r="AJ3773" s="218"/>
      <c r="AK3773" s="153"/>
      <c r="AL3773" s="152"/>
      <c r="AM3773" s="152"/>
      <c r="AN3773" s="152"/>
      <c r="AO3773" s="152"/>
      <c r="AP3773" s="152"/>
      <c r="AQ3773" s="152"/>
      <c r="AR3773" s="152"/>
      <c r="AS3773" s="152"/>
      <c r="AT3773" s="152"/>
      <c r="AU3773" s="153"/>
      <c r="AV3773" s="479"/>
      <c r="AW3773" s="479"/>
      <c r="AX3773" s="442"/>
      <c r="AY3773" s="153"/>
      <c r="AZ3773" s="152"/>
      <c r="BA3773" s="152"/>
      <c r="BB3773" s="152"/>
      <c r="BC3773" s="152"/>
      <c r="BD3773" s="152"/>
      <c r="BE3773" s="152"/>
      <c r="BF3773" s="152"/>
      <c r="BG3773" s="152"/>
      <c r="BH3773" s="152"/>
      <c r="BI3773" s="153"/>
      <c r="BJ3773" s="153"/>
      <c r="BK3773" s="153"/>
      <c r="BL3773" s="153"/>
      <c r="BM3773" s="153"/>
      <c r="BN3773" s="153"/>
      <c r="BO3773" s="153"/>
      <c r="BP3773" s="153"/>
      <c r="BQ3773" s="153"/>
      <c r="BR3773" s="153"/>
      <c r="BS3773" s="153"/>
      <c r="BT3773" s="153"/>
      <c r="BU3773" s="153"/>
      <c r="BV3773" s="153"/>
      <c r="BW3773" s="153"/>
      <c r="BX3773" s="153"/>
      <c r="BY3773" s="153"/>
      <c r="BZ3773" s="153"/>
      <c r="CA3773" s="152"/>
      <c r="CB3773" s="152"/>
    </row>
    <row r="3774" spans="1:80" s="87" customFormat="1" x14ac:dyDescent="0.2">
      <c r="A3774" s="152"/>
      <c r="B3774" s="683"/>
      <c r="C3774" s="683"/>
      <c r="D3774" s="698"/>
      <c r="E3774" s="215"/>
      <c r="F3774" s="215"/>
      <c r="G3774" s="153"/>
      <c r="H3774" s="153"/>
      <c r="I3774" s="312">
        <v>20</v>
      </c>
      <c r="J3774" s="312">
        <v>30</v>
      </c>
      <c r="K3774" s="150">
        <v>1</v>
      </c>
      <c r="L3774" s="656">
        <v>10</v>
      </c>
      <c r="M3774" s="663">
        <v>31917</v>
      </c>
      <c r="N3774" s="600">
        <v>0.92298999999999998</v>
      </c>
      <c r="O3774" s="604">
        <v>5.7700000000000004E-4</v>
      </c>
      <c r="P3774" s="250"/>
      <c r="Q3774" s="250"/>
      <c r="R3774" s="250"/>
      <c r="S3774" s="250"/>
      <c r="T3774" s="250"/>
      <c r="U3774" s="250"/>
      <c r="V3774" s="250"/>
      <c r="W3774" s="250"/>
      <c r="X3774" s="250"/>
      <c r="Y3774" s="250"/>
      <c r="Z3774" s="150"/>
      <c r="AA3774" s="150">
        <v>0.6</v>
      </c>
      <c r="AB3774" s="152"/>
      <c r="AC3774" s="152"/>
      <c r="AD3774" s="223">
        <v>8.5341199999999997</v>
      </c>
      <c r="AE3774" s="223">
        <v>0.22249669999999999</v>
      </c>
      <c r="AF3774" s="223">
        <v>1.8950376</v>
      </c>
      <c r="AG3774" s="223">
        <v>0.49985560000000001</v>
      </c>
      <c r="AH3774" s="341"/>
      <c r="AI3774" s="218"/>
      <c r="AJ3774" s="218"/>
      <c r="AK3774" s="153"/>
      <c r="AL3774" s="152"/>
      <c r="AM3774" s="152"/>
      <c r="AN3774" s="152"/>
      <c r="AO3774" s="152"/>
      <c r="AP3774" s="152"/>
      <c r="AQ3774" s="152"/>
      <c r="AR3774" s="152"/>
      <c r="AS3774" s="152"/>
      <c r="AT3774" s="152"/>
      <c r="AU3774" s="153"/>
      <c r="AV3774" s="479"/>
      <c r="AW3774" s="479"/>
      <c r="AX3774" s="442"/>
      <c r="AY3774" s="153"/>
      <c r="AZ3774" s="152"/>
      <c r="BA3774" s="152"/>
      <c r="BB3774" s="152"/>
      <c r="BC3774" s="152"/>
      <c r="BD3774" s="152"/>
      <c r="BE3774" s="152"/>
      <c r="BF3774" s="152"/>
      <c r="BG3774" s="152"/>
      <c r="BH3774" s="152"/>
      <c r="BI3774" s="153"/>
      <c r="BJ3774" s="153"/>
      <c r="BK3774" s="153"/>
      <c r="BL3774" s="153"/>
      <c r="BM3774" s="153"/>
      <c r="BN3774" s="153"/>
      <c r="BO3774" s="153"/>
      <c r="BP3774" s="153"/>
      <c r="BQ3774" s="153"/>
      <c r="BR3774" s="153"/>
      <c r="BS3774" s="153"/>
      <c r="BT3774" s="153"/>
      <c r="BU3774" s="153"/>
      <c r="BV3774" s="153"/>
      <c r="BW3774" s="153"/>
      <c r="BX3774" s="153"/>
      <c r="BY3774" s="153"/>
      <c r="BZ3774" s="153"/>
      <c r="CA3774" s="152"/>
      <c r="CB3774" s="152"/>
    </row>
    <row r="3775" spans="1:80" s="87" customFormat="1" x14ac:dyDescent="0.2">
      <c r="A3775" s="152"/>
      <c r="B3775" s="683"/>
      <c r="C3775" s="683"/>
      <c r="D3775" s="698"/>
      <c r="E3775" s="215"/>
      <c r="F3775" s="215"/>
      <c r="G3775" s="153"/>
      <c r="H3775" s="153"/>
      <c r="I3775" s="312">
        <v>16</v>
      </c>
      <c r="J3775" s="312">
        <v>30</v>
      </c>
      <c r="K3775" s="150">
        <v>1</v>
      </c>
      <c r="L3775" s="656">
        <v>8</v>
      </c>
      <c r="M3775" s="663">
        <v>31924</v>
      </c>
      <c r="N3775" s="600">
        <v>1.17215</v>
      </c>
      <c r="O3775" s="604">
        <v>2.519E-3</v>
      </c>
      <c r="P3775" s="250"/>
      <c r="Q3775" s="250"/>
      <c r="R3775" s="250"/>
      <c r="S3775" s="250"/>
      <c r="T3775" s="250"/>
      <c r="U3775" s="250"/>
      <c r="V3775" s="250"/>
      <c r="W3775" s="250"/>
      <c r="X3775" s="250"/>
      <c r="Y3775" s="250"/>
      <c r="Z3775" s="150"/>
      <c r="AA3775" s="150">
        <v>0.62</v>
      </c>
      <c r="AB3775" s="152"/>
      <c r="AC3775" s="152"/>
      <c r="AD3775" s="223">
        <v>7.9245400000000004</v>
      </c>
      <c r="AE3775" s="223">
        <v>0.24687990000000001</v>
      </c>
      <c r="AF3775" s="223">
        <v>1.950774</v>
      </c>
      <c r="AG3775" s="223">
        <v>0.59434050000000005</v>
      </c>
      <c r="AH3775" s="341"/>
      <c r="AI3775" s="218"/>
      <c r="AJ3775" s="218"/>
      <c r="AK3775" s="153"/>
      <c r="AL3775" s="152"/>
      <c r="AM3775" s="152"/>
      <c r="AN3775" s="152"/>
      <c r="AO3775" s="152"/>
      <c r="AP3775" s="152"/>
      <c r="AQ3775" s="152"/>
      <c r="AR3775" s="152"/>
      <c r="AS3775" s="152"/>
      <c r="AT3775" s="152"/>
      <c r="AU3775" s="153"/>
      <c r="AV3775" s="479"/>
      <c r="AW3775" s="479"/>
      <c r="AX3775" s="442"/>
      <c r="AY3775" s="153"/>
      <c r="AZ3775" s="152"/>
      <c r="BA3775" s="152"/>
      <c r="BB3775" s="152"/>
      <c r="BC3775" s="152"/>
      <c r="BD3775" s="152"/>
      <c r="BE3775" s="152"/>
      <c r="BF3775" s="152"/>
      <c r="BG3775" s="152"/>
      <c r="BH3775" s="152"/>
      <c r="BI3775" s="153"/>
      <c r="BJ3775" s="153"/>
      <c r="BK3775" s="153"/>
      <c r="BL3775" s="153"/>
      <c r="BM3775" s="153"/>
      <c r="BN3775" s="153"/>
      <c r="BO3775" s="153"/>
      <c r="BP3775" s="153"/>
      <c r="BQ3775" s="153"/>
      <c r="BR3775" s="153"/>
      <c r="BS3775" s="153"/>
      <c r="BT3775" s="153"/>
      <c r="BU3775" s="153"/>
      <c r="BV3775" s="153"/>
      <c r="BW3775" s="153"/>
      <c r="BX3775" s="153"/>
      <c r="BY3775" s="153"/>
      <c r="BZ3775" s="153"/>
      <c r="CA3775" s="152"/>
      <c r="CB3775" s="152"/>
    </row>
    <row r="3776" spans="1:80" s="87" customFormat="1" x14ac:dyDescent="0.2">
      <c r="A3776" s="152"/>
      <c r="B3776" s="683"/>
      <c r="C3776" s="683"/>
      <c r="D3776" s="698"/>
      <c r="E3776" s="215"/>
      <c r="F3776" s="215"/>
      <c r="G3776" s="153"/>
      <c r="H3776" s="153"/>
      <c r="I3776" s="312">
        <v>17</v>
      </c>
      <c r="J3776" s="312">
        <v>30</v>
      </c>
      <c r="K3776" s="150">
        <v>1</v>
      </c>
      <c r="L3776" s="656">
        <v>8.5</v>
      </c>
      <c r="M3776" s="663">
        <v>31932</v>
      </c>
      <c r="N3776" s="600">
        <v>0.98245000000000005</v>
      </c>
      <c r="O3776" s="604">
        <v>2.4039999999999999E-3</v>
      </c>
      <c r="P3776" s="250"/>
      <c r="Q3776" s="250"/>
      <c r="R3776" s="250"/>
      <c r="S3776" s="250"/>
      <c r="T3776" s="250"/>
      <c r="U3776" s="250"/>
      <c r="V3776" s="250"/>
      <c r="W3776" s="250"/>
      <c r="X3776" s="250"/>
      <c r="Y3776" s="250"/>
      <c r="Z3776" s="150"/>
      <c r="AA3776" s="150">
        <v>0.57999999999999996</v>
      </c>
      <c r="AB3776" s="152"/>
      <c r="AC3776" s="152"/>
      <c r="AD3776" s="223">
        <v>7.9245400000000004</v>
      </c>
      <c r="AE3776" s="223">
        <v>0.21640090000000001</v>
      </c>
      <c r="AF3776" s="223">
        <v>1.7092495999999999</v>
      </c>
      <c r="AG3776" s="223">
        <v>0.57300519999999999</v>
      </c>
      <c r="AH3776" s="341"/>
      <c r="AI3776" s="218"/>
      <c r="AJ3776" s="218"/>
      <c r="AK3776" s="153"/>
      <c r="AL3776" s="152"/>
      <c r="AM3776" s="152"/>
      <c r="AN3776" s="152"/>
      <c r="AO3776" s="152"/>
      <c r="AP3776" s="152"/>
      <c r="AQ3776" s="152"/>
      <c r="AR3776" s="152"/>
      <c r="AS3776" s="152"/>
      <c r="AT3776" s="152"/>
      <c r="AU3776" s="153"/>
      <c r="AV3776" s="479"/>
      <c r="AW3776" s="479"/>
      <c r="AX3776" s="442"/>
      <c r="AY3776" s="153"/>
      <c r="AZ3776" s="152"/>
      <c r="BA3776" s="152"/>
      <c r="BB3776" s="152"/>
      <c r="BC3776" s="152"/>
      <c r="BD3776" s="152"/>
      <c r="BE3776" s="152"/>
      <c r="BF3776" s="152"/>
      <c r="BG3776" s="152"/>
      <c r="BH3776" s="152"/>
      <c r="BI3776" s="153"/>
      <c r="BJ3776" s="153"/>
      <c r="BK3776" s="153"/>
      <c r="BL3776" s="153"/>
      <c r="BM3776" s="153"/>
      <c r="BN3776" s="153"/>
      <c r="BO3776" s="153"/>
      <c r="BP3776" s="153"/>
      <c r="BQ3776" s="153"/>
      <c r="BR3776" s="153"/>
      <c r="BS3776" s="153"/>
      <c r="BT3776" s="153"/>
      <c r="BU3776" s="153"/>
      <c r="BV3776" s="153"/>
      <c r="BW3776" s="153"/>
      <c r="BX3776" s="153"/>
      <c r="BY3776" s="153"/>
      <c r="BZ3776" s="153"/>
      <c r="CA3776" s="152"/>
      <c r="CB3776" s="152"/>
    </row>
    <row r="3777" spans="1:80" s="87" customFormat="1" x14ac:dyDescent="0.2">
      <c r="A3777" s="152"/>
      <c r="B3777" s="683"/>
      <c r="C3777" s="683"/>
      <c r="D3777" s="698"/>
      <c r="E3777" s="215"/>
      <c r="F3777" s="215"/>
      <c r="G3777" s="153"/>
      <c r="H3777" s="153"/>
      <c r="I3777" s="312">
        <v>16</v>
      </c>
      <c r="J3777" s="312">
        <v>30</v>
      </c>
      <c r="K3777" s="150">
        <v>1</v>
      </c>
      <c r="L3777" s="656">
        <v>8</v>
      </c>
      <c r="M3777" s="663">
        <v>31952</v>
      </c>
      <c r="N3777" s="600">
        <v>0.62004999999999999</v>
      </c>
      <c r="O3777" s="604">
        <v>6.3E-5</v>
      </c>
      <c r="P3777" s="250"/>
      <c r="Q3777" s="250"/>
      <c r="R3777" s="250"/>
      <c r="S3777" s="250"/>
      <c r="T3777" s="250"/>
      <c r="U3777" s="250"/>
      <c r="V3777" s="250"/>
      <c r="W3777" s="250"/>
      <c r="X3777" s="250"/>
      <c r="Y3777" s="250"/>
      <c r="Z3777" s="150"/>
      <c r="AA3777" s="150">
        <v>0.55000000000000004</v>
      </c>
      <c r="AB3777" s="152"/>
      <c r="AC3777" s="152"/>
      <c r="AD3777" s="223">
        <v>7.9245400000000004</v>
      </c>
      <c r="AE3777" s="223">
        <v>0.19201770000000001</v>
      </c>
      <c r="AF3777" s="223">
        <v>1.5234616000000001</v>
      </c>
      <c r="AG3777" s="223">
        <v>0.42061019999999999</v>
      </c>
      <c r="AH3777" s="341"/>
      <c r="AI3777" s="218"/>
      <c r="AJ3777" s="218"/>
      <c r="AK3777" s="153"/>
      <c r="AL3777" s="152"/>
      <c r="AM3777" s="152"/>
      <c r="AN3777" s="152"/>
      <c r="AO3777" s="152"/>
      <c r="AP3777" s="152"/>
      <c r="AQ3777" s="152"/>
      <c r="AR3777" s="152"/>
      <c r="AS3777" s="152"/>
      <c r="AT3777" s="152"/>
      <c r="AU3777" s="153"/>
      <c r="AV3777" s="479"/>
      <c r="AW3777" s="479"/>
      <c r="AX3777" s="442"/>
      <c r="AY3777" s="153"/>
      <c r="AZ3777" s="152"/>
      <c r="BA3777" s="152"/>
      <c r="BB3777" s="152"/>
      <c r="BC3777" s="152"/>
      <c r="BD3777" s="152"/>
      <c r="BE3777" s="152"/>
      <c r="BF3777" s="152"/>
      <c r="BG3777" s="152"/>
      <c r="BH3777" s="152"/>
      <c r="BI3777" s="153"/>
      <c r="BJ3777" s="153"/>
      <c r="BK3777" s="153"/>
      <c r="BL3777" s="153"/>
      <c r="BM3777" s="153"/>
      <c r="BN3777" s="153"/>
      <c r="BO3777" s="153"/>
      <c r="BP3777" s="153"/>
      <c r="BQ3777" s="153"/>
      <c r="BR3777" s="153"/>
      <c r="BS3777" s="153"/>
      <c r="BT3777" s="153"/>
      <c r="BU3777" s="153"/>
      <c r="BV3777" s="153"/>
      <c r="BW3777" s="153"/>
      <c r="BX3777" s="153"/>
      <c r="BY3777" s="153"/>
      <c r="BZ3777" s="153"/>
      <c r="CA3777" s="152"/>
      <c r="CB3777" s="152"/>
    </row>
    <row r="3778" spans="1:80" s="87" customFormat="1" x14ac:dyDescent="0.2">
      <c r="A3778" s="152"/>
      <c r="B3778" s="683"/>
      <c r="C3778" s="683"/>
      <c r="D3778" s="698"/>
      <c r="E3778" s="215"/>
      <c r="F3778" s="215"/>
      <c r="G3778" s="153"/>
      <c r="H3778" s="153"/>
      <c r="I3778" s="312">
        <v>10</v>
      </c>
      <c r="J3778" s="312">
        <v>30</v>
      </c>
      <c r="K3778" s="150">
        <v>1</v>
      </c>
      <c r="L3778" s="656">
        <v>5</v>
      </c>
      <c r="M3778" s="663">
        <v>32268</v>
      </c>
      <c r="N3778" s="600">
        <v>3.7938999999999998</v>
      </c>
      <c r="O3778" s="604">
        <v>2.9555999999999999E-2</v>
      </c>
      <c r="P3778" s="250"/>
      <c r="Q3778" s="250"/>
      <c r="R3778" s="250"/>
      <c r="S3778" s="250"/>
      <c r="T3778" s="250"/>
      <c r="U3778" s="250"/>
      <c r="V3778" s="250"/>
      <c r="W3778" s="250"/>
      <c r="X3778" s="250"/>
      <c r="Y3778" s="250"/>
      <c r="Z3778" s="150"/>
      <c r="AA3778" s="150">
        <v>2.75</v>
      </c>
      <c r="AB3778" s="152"/>
      <c r="AC3778" s="152"/>
      <c r="AD3778" s="223">
        <v>8.2293299999999991</v>
      </c>
      <c r="AE3778" s="223">
        <v>0.3931791</v>
      </c>
      <c r="AF3778" s="223">
        <v>3.2420005999999999</v>
      </c>
      <c r="AG3778" s="223">
        <v>1.1795373</v>
      </c>
      <c r="AH3778" s="341"/>
      <c r="AI3778" s="218"/>
      <c r="AJ3778" s="218"/>
      <c r="AK3778" s="153"/>
      <c r="AL3778" s="152"/>
      <c r="AM3778" s="152"/>
      <c r="AN3778" s="152"/>
      <c r="AO3778" s="152"/>
      <c r="AP3778" s="152"/>
      <c r="AQ3778" s="152"/>
      <c r="AR3778" s="152"/>
      <c r="AS3778" s="152"/>
      <c r="AT3778" s="152"/>
      <c r="AU3778" s="153"/>
      <c r="AV3778" s="479"/>
      <c r="AW3778" s="479"/>
      <c r="AX3778" s="442"/>
      <c r="AY3778" s="153"/>
      <c r="AZ3778" s="152"/>
      <c r="BA3778" s="152"/>
      <c r="BB3778" s="152"/>
      <c r="BC3778" s="152"/>
      <c r="BD3778" s="152"/>
      <c r="BE3778" s="152"/>
      <c r="BF3778" s="152"/>
      <c r="BG3778" s="152"/>
      <c r="BH3778" s="152"/>
      <c r="BI3778" s="153"/>
      <c r="BJ3778" s="153"/>
      <c r="BK3778" s="153"/>
      <c r="BL3778" s="153"/>
      <c r="BM3778" s="153"/>
      <c r="BN3778" s="153"/>
      <c r="BO3778" s="153"/>
      <c r="BP3778" s="153"/>
      <c r="BQ3778" s="153"/>
      <c r="BR3778" s="153"/>
      <c r="BS3778" s="153"/>
      <c r="BT3778" s="153"/>
      <c r="BU3778" s="153"/>
      <c r="BV3778" s="153"/>
      <c r="BW3778" s="153"/>
      <c r="BX3778" s="153"/>
      <c r="BY3778" s="153"/>
      <c r="BZ3778" s="153"/>
      <c r="CA3778" s="152"/>
      <c r="CB3778" s="152"/>
    </row>
    <row r="3779" spans="1:80" s="87" customFormat="1" x14ac:dyDescent="0.2">
      <c r="A3779" s="152"/>
      <c r="B3779" s="683"/>
      <c r="C3779" s="683"/>
      <c r="D3779" s="698"/>
      <c r="E3779" s="215"/>
      <c r="F3779" s="215"/>
      <c r="G3779" s="153"/>
      <c r="H3779" s="153"/>
      <c r="I3779" s="312">
        <v>12</v>
      </c>
      <c r="J3779" s="312">
        <v>30</v>
      </c>
      <c r="K3779" s="150">
        <v>1</v>
      </c>
      <c r="L3779" s="656">
        <v>6</v>
      </c>
      <c r="M3779" s="663">
        <v>32274</v>
      </c>
      <c r="N3779" s="600">
        <v>4.3035300000000003</v>
      </c>
      <c r="O3779" s="604">
        <v>8.5917999999999994E-2</v>
      </c>
      <c r="P3779" s="250"/>
      <c r="Q3779" s="250"/>
      <c r="R3779" s="250"/>
      <c r="S3779" s="250"/>
      <c r="T3779" s="250"/>
      <c r="U3779" s="250"/>
      <c r="V3779" s="250"/>
      <c r="W3779" s="250"/>
      <c r="X3779" s="250"/>
      <c r="Y3779" s="250"/>
      <c r="Z3779" s="150"/>
      <c r="AA3779" s="150">
        <v>2.5499999999999998</v>
      </c>
      <c r="AB3779" s="152"/>
      <c r="AC3779" s="152"/>
      <c r="AD3779" s="223">
        <v>9.1437000000000008</v>
      </c>
      <c r="AE3779" s="223">
        <v>0.47242450000000002</v>
      </c>
      <c r="AF3779" s="223">
        <v>4.3102815999999997</v>
      </c>
      <c r="AG3779" s="223">
        <v>0.99971120000000002</v>
      </c>
      <c r="AH3779" s="341"/>
      <c r="AI3779" s="218"/>
      <c r="AJ3779" s="218"/>
      <c r="AK3779" s="153"/>
      <c r="AL3779" s="152"/>
      <c r="AM3779" s="152"/>
      <c r="AN3779" s="152"/>
      <c r="AO3779" s="152"/>
      <c r="AP3779" s="152"/>
      <c r="AQ3779" s="152"/>
      <c r="AR3779" s="152"/>
      <c r="AS3779" s="152"/>
      <c r="AT3779" s="152"/>
      <c r="AU3779" s="153"/>
      <c r="AV3779" s="479"/>
      <c r="AW3779" s="479"/>
      <c r="AX3779" s="442"/>
      <c r="AY3779" s="153"/>
      <c r="AZ3779" s="152"/>
      <c r="BA3779" s="152"/>
      <c r="BB3779" s="152"/>
      <c r="BC3779" s="152"/>
      <c r="BD3779" s="152"/>
      <c r="BE3779" s="152"/>
      <c r="BF3779" s="152"/>
      <c r="BG3779" s="152"/>
      <c r="BH3779" s="152"/>
      <c r="BI3779" s="153"/>
      <c r="BJ3779" s="153"/>
      <c r="BK3779" s="153"/>
      <c r="BL3779" s="153"/>
      <c r="BM3779" s="153"/>
      <c r="BN3779" s="153"/>
      <c r="BO3779" s="153"/>
      <c r="BP3779" s="153"/>
      <c r="BQ3779" s="153"/>
      <c r="BR3779" s="153"/>
      <c r="BS3779" s="153"/>
      <c r="BT3779" s="153"/>
      <c r="BU3779" s="153"/>
      <c r="BV3779" s="153"/>
      <c r="BW3779" s="153"/>
      <c r="BX3779" s="153"/>
      <c r="BY3779" s="153"/>
      <c r="BZ3779" s="153"/>
      <c r="CA3779" s="152"/>
      <c r="CB3779" s="152"/>
    </row>
    <row r="3780" spans="1:80" s="87" customFormat="1" x14ac:dyDescent="0.2">
      <c r="A3780" s="152"/>
      <c r="B3780" s="683"/>
      <c r="C3780" s="683"/>
      <c r="D3780" s="698"/>
      <c r="E3780" s="215"/>
      <c r="F3780" s="215"/>
      <c r="G3780" s="153"/>
      <c r="H3780" s="153"/>
      <c r="I3780" s="312">
        <v>14</v>
      </c>
      <c r="J3780" s="312">
        <v>30</v>
      </c>
      <c r="K3780" s="150">
        <v>1</v>
      </c>
      <c r="L3780" s="656">
        <v>7</v>
      </c>
      <c r="M3780" s="663">
        <v>32280</v>
      </c>
      <c r="N3780" s="600">
        <v>6.6534800000000001</v>
      </c>
      <c r="O3780" s="604">
        <v>5.3548999999999999E-2</v>
      </c>
      <c r="P3780" s="250"/>
      <c r="Q3780" s="250"/>
      <c r="R3780" s="250"/>
      <c r="S3780" s="250"/>
      <c r="T3780" s="250"/>
      <c r="U3780" s="250"/>
      <c r="V3780" s="250"/>
      <c r="W3780" s="250"/>
      <c r="X3780" s="250"/>
      <c r="Y3780" s="250"/>
      <c r="Z3780" s="150"/>
      <c r="AA3780" s="150">
        <v>1.73</v>
      </c>
      <c r="AB3780" s="152"/>
      <c r="AC3780" s="152"/>
      <c r="AD3780" s="223">
        <v>8.5341199999999997</v>
      </c>
      <c r="AE3780" s="223">
        <v>0.42670599999999997</v>
      </c>
      <c r="AF3780" s="223">
        <v>3.6507342</v>
      </c>
      <c r="AG3780" s="223">
        <v>1.8135005</v>
      </c>
      <c r="AH3780" s="341"/>
      <c r="AI3780" s="218"/>
      <c r="AJ3780" s="218"/>
      <c r="AK3780" s="153"/>
      <c r="AL3780" s="152"/>
      <c r="AM3780" s="152"/>
      <c r="AN3780" s="152"/>
      <c r="AO3780" s="152"/>
      <c r="AP3780" s="152"/>
      <c r="AQ3780" s="152"/>
      <c r="AR3780" s="152"/>
      <c r="AS3780" s="152"/>
      <c r="AT3780" s="152"/>
      <c r="AU3780" s="153"/>
      <c r="AV3780" s="479"/>
      <c r="AW3780" s="479"/>
      <c r="AX3780" s="442"/>
      <c r="AY3780" s="153"/>
      <c r="AZ3780" s="152"/>
      <c r="BA3780" s="152"/>
      <c r="BB3780" s="152"/>
      <c r="BC3780" s="152"/>
      <c r="BD3780" s="152"/>
      <c r="BE3780" s="152"/>
      <c r="BF3780" s="152"/>
      <c r="BG3780" s="152"/>
      <c r="BH3780" s="152"/>
      <c r="BI3780" s="153"/>
      <c r="BJ3780" s="153"/>
      <c r="BK3780" s="153"/>
      <c r="BL3780" s="153"/>
      <c r="BM3780" s="153"/>
      <c r="BN3780" s="153"/>
      <c r="BO3780" s="153"/>
      <c r="BP3780" s="153"/>
      <c r="BQ3780" s="153"/>
      <c r="BR3780" s="153"/>
      <c r="BS3780" s="153"/>
      <c r="BT3780" s="153"/>
      <c r="BU3780" s="153"/>
      <c r="BV3780" s="153"/>
      <c r="BW3780" s="153"/>
      <c r="BX3780" s="153"/>
      <c r="BY3780" s="153"/>
      <c r="BZ3780" s="153"/>
      <c r="CA3780" s="152"/>
      <c r="CB3780" s="152"/>
    </row>
    <row r="3781" spans="1:80" s="87" customFormat="1" x14ac:dyDescent="0.2">
      <c r="A3781" s="152"/>
      <c r="B3781" s="683"/>
      <c r="C3781" s="683"/>
      <c r="D3781" s="698"/>
      <c r="E3781" s="215"/>
      <c r="F3781" s="215"/>
      <c r="G3781" s="153"/>
      <c r="H3781" s="153"/>
      <c r="I3781" s="312">
        <v>10</v>
      </c>
      <c r="J3781" s="312">
        <v>30</v>
      </c>
      <c r="K3781" s="150">
        <v>1</v>
      </c>
      <c r="L3781" s="656">
        <v>5</v>
      </c>
      <c r="M3781" s="663">
        <v>32295</v>
      </c>
      <c r="N3781" s="600">
        <v>2.7604899999999999</v>
      </c>
      <c r="O3781" s="604">
        <v>7.1269999999999997E-3</v>
      </c>
      <c r="P3781" s="250"/>
      <c r="Q3781" s="250"/>
      <c r="R3781" s="250"/>
      <c r="S3781" s="250"/>
      <c r="T3781" s="250"/>
      <c r="U3781" s="250"/>
      <c r="V3781" s="250"/>
      <c r="W3781" s="250"/>
      <c r="X3781" s="250"/>
      <c r="Y3781" s="250"/>
      <c r="Z3781" s="150"/>
      <c r="AA3781" s="150">
        <v>6.47</v>
      </c>
      <c r="AB3781" s="152"/>
      <c r="AC3781" s="152"/>
      <c r="AD3781" s="223">
        <v>7.9245400000000004</v>
      </c>
      <c r="AE3781" s="223">
        <v>0.38098749999999998</v>
      </c>
      <c r="AF3781" s="223">
        <v>3.0283443999999999</v>
      </c>
      <c r="AG3781" s="223">
        <v>0.91437000000000002</v>
      </c>
      <c r="AH3781" s="341"/>
      <c r="AI3781" s="218"/>
      <c r="AJ3781" s="218"/>
      <c r="AK3781" s="153"/>
      <c r="AL3781" s="152"/>
      <c r="AM3781" s="152"/>
      <c r="AN3781" s="152"/>
      <c r="AO3781" s="152"/>
      <c r="AP3781" s="152"/>
      <c r="AQ3781" s="152"/>
      <c r="AR3781" s="152"/>
      <c r="AS3781" s="152"/>
      <c r="AT3781" s="152"/>
      <c r="AU3781" s="153"/>
      <c r="AV3781" s="479"/>
      <c r="AW3781" s="479"/>
      <c r="AX3781" s="442"/>
      <c r="AY3781" s="153"/>
      <c r="AZ3781" s="152"/>
      <c r="BA3781" s="152"/>
      <c r="BB3781" s="152"/>
      <c r="BC3781" s="152"/>
      <c r="BD3781" s="152"/>
      <c r="BE3781" s="152"/>
      <c r="BF3781" s="152"/>
      <c r="BG3781" s="152"/>
      <c r="BH3781" s="152"/>
      <c r="BI3781" s="153"/>
      <c r="BJ3781" s="153"/>
      <c r="BK3781" s="153"/>
      <c r="BL3781" s="153"/>
      <c r="BM3781" s="153"/>
      <c r="BN3781" s="153"/>
      <c r="BO3781" s="153"/>
      <c r="BP3781" s="153"/>
      <c r="BQ3781" s="153"/>
      <c r="BR3781" s="153"/>
      <c r="BS3781" s="153"/>
      <c r="BT3781" s="153"/>
      <c r="BU3781" s="153"/>
      <c r="BV3781" s="153"/>
      <c r="BW3781" s="153"/>
      <c r="BX3781" s="153"/>
      <c r="BY3781" s="153"/>
      <c r="BZ3781" s="153"/>
      <c r="CA3781" s="152"/>
      <c r="CB3781" s="152"/>
    </row>
    <row r="3782" spans="1:80" s="87" customFormat="1" x14ac:dyDescent="0.2">
      <c r="A3782" s="152"/>
      <c r="B3782" s="683"/>
      <c r="C3782" s="683"/>
      <c r="D3782" s="698"/>
      <c r="E3782" s="215"/>
      <c r="F3782" s="215"/>
      <c r="G3782" s="153"/>
      <c r="H3782" s="153"/>
      <c r="I3782" s="312">
        <v>13</v>
      </c>
      <c r="J3782" s="312">
        <v>30</v>
      </c>
      <c r="K3782" s="150">
        <v>1</v>
      </c>
      <c r="L3782" s="656">
        <v>6.5</v>
      </c>
      <c r="M3782" s="663">
        <v>32621</v>
      </c>
      <c r="N3782" s="600">
        <v>3.93547</v>
      </c>
      <c r="O3782" s="604">
        <v>2.7918999999999999E-2</v>
      </c>
      <c r="P3782" s="250"/>
      <c r="Q3782" s="250"/>
      <c r="R3782" s="250"/>
      <c r="S3782" s="250"/>
      <c r="T3782" s="250"/>
      <c r="U3782" s="250"/>
      <c r="V3782" s="250"/>
      <c r="W3782" s="250"/>
      <c r="X3782" s="250"/>
      <c r="Y3782" s="250"/>
      <c r="Z3782" s="150"/>
      <c r="AA3782" s="150">
        <v>1.89</v>
      </c>
      <c r="AB3782" s="152"/>
      <c r="AC3782" s="152"/>
      <c r="AD3782" s="223">
        <v>8.5645989999999994</v>
      </c>
      <c r="AE3782" s="223">
        <v>0.43280180000000001</v>
      </c>
      <c r="AF3782" s="223">
        <v>3.71576</v>
      </c>
      <c r="AG3782" s="223">
        <v>1.066765</v>
      </c>
      <c r="AH3782" s="341"/>
      <c r="AI3782" s="218"/>
      <c r="AJ3782" s="218"/>
      <c r="AK3782" s="153"/>
      <c r="AL3782" s="152"/>
      <c r="AM3782" s="152"/>
      <c r="AN3782" s="152"/>
      <c r="AO3782" s="152"/>
      <c r="AP3782" s="152"/>
      <c r="AQ3782" s="152"/>
      <c r="AR3782" s="152"/>
      <c r="AS3782" s="152"/>
      <c r="AT3782" s="152"/>
      <c r="AU3782" s="153"/>
      <c r="AV3782" s="479"/>
      <c r="AW3782" s="479"/>
      <c r="AX3782" s="442"/>
      <c r="AY3782" s="153"/>
      <c r="AZ3782" s="152"/>
      <c r="BA3782" s="152"/>
      <c r="BB3782" s="152"/>
      <c r="BC3782" s="152"/>
      <c r="BD3782" s="152"/>
      <c r="BE3782" s="152"/>
      <c r="BF3782" s="152"/>
      <c r="BG3782" s="152"/>
      <c r="BH3782" s="152"/>
      <c r="BI3782" s="153"/>
      <c r="BJ3782" s="153"/>
      <c r="BK3782" s="153"/>
      <c r="BL3782" s="153"/>
      <c r="BM3782" s="153"/>
      <c r="BN3782" s="153"/>
      <c r="BO3782" s="153"/>
      <c r="BP3782" s="153"/>
      <c r="BQ3782" s="153"/>
      <c r="BR3782" s="153"/>
      <c r="BS3782" s="153"/>
      <c r="BT3782" s="153"/>
      <c r="BU3782" s="153"/>
      <c r="BV3782" s="153"/>
      <c r="BW3782" s="153"/>
      <c r="BX3782" s="153"/>
      <c r="BY3782" s="153"/>
      <c r="BZ3782" s="153"/>
      <c r="CA3782" s="152"/>
      <c r="CB3782" s="152"/>
    </row>
    <row r="3783" spans="1:80" s="87" customFormat="1" x14ac:dyDescent="0.2">
      <c r="A3783" s="152"/>
      <c r="B3783" s="683"/>
      <c r="C3783" s="683"/>
      <c r="D3783" s="698"/>
      <c r="E3783" s="215"/>
      <c r="F3783" s="215"/>
      <c r="G3783" s="153"/>
      <c r="H3783" s="153"/>
      <c r="I3783" s="312">
        <v>13</v>
      </c>
      <c r="J3783" s="312">
        <v>30</v>
      </c>
      <c r="K3783" s="150">
        <v>1</v>
      </c>
      <c r="L3783" s="656">
        <v>6.5</v>
      </c>
      <c r="M3783" s="663">
        <v>32625</v>
      </c>
      <c r="N3783" s="600">
        <v>2.6812100000000001</v>
      </c>
      <c r="O3783" s="604">
        <v>1.3172E-2</v>
      </c>
      <c r="P3783" s="250"/>
      <c r="Q3783" s="250"/>
      <c r="R3783" s="250"/>
      <c r="S3783" s="250"/>
      <c r="T3783" s="250"/>
      <c r="U3783" s="250"/>
      <c r="V3783" s="250"/>
      <c r="W3783" s="250"/>
      <c r="X3783" s="250"/>
      <c r="Y3783" s="250"/>
      <c r="Z3783" s="150"/>
      <c r="AA3783" s="150">
        <v>1.82</v>
      </c>
      <c r="AB3783" s="152"/>
      <c r="AC3783" s="152"/>
      <c r="AD3783" s="223">
        <v>8.320767</v>
      </c>
      <c r="AE3783" s="223">
        <v>0.3718438</v>
      </c>
      <c r="AF3783" s="223">
        <v>3.0933701999999998</v>
      </c>
      <c r="AG3783" s="223">
        <v>0.83817249999999999</v>
      </c>
      <c r="AH3783" s="341"/>
      <c r="AI3783" s="218"/>
      <c r="AJ3783" s="218"/>
      <c r="AK3783" s="153"/>
      <c r="AL3783" s="152"/>
      <c r="AM3783" s="152"/>
      <c r="AN3783" s="152"/>
      <c r="AO3783" s="152"/>
      <c r="AP3783" s="152"/>
      <c r="AQ3783" s="152"/>
      <c r="AR3783" s="152"/>
      <c r="AS3783" s="152"/>
      <c r="AT3783" s="152"/>
      <c r="AU3783" s="153"/>
      <c r="AV3783" s="479"/>
      <c r="AW3783" s="479"/>
      <c r="AX3783" s="442"/>
      <c r="AY3783" s="153"/>
      <c r="AZ3783" s="152"/>
      <c r="BA3783" s="152"/>
      <c r="BB3783" s="152"/>
      <c r="BC3783" s="152"/>
      <c r="BD3783" s="152"/>
      <c r="BE3783" s="152"/>
      <c r="BF3783" s="152"/>
      <c r="BG3783" s="152"/>
      <c r="BH3783" s="152"/>
      <c r="BI3783" s="153"/>
      <c r="BJ3783" s="153"/>
      <c r="BK3783" s="153"/>
      <c r="BL3783" s="153"/>
      <c r="BM3783" s="153"/>
      <c r="BN3783" s="153"/>
      <c r="BO3783" s="153"/>
      <c r="BP3783" s="153"/>
      <c r="BQ3783" s="153"/>
      <c r="BR3783" s="153"/>
      <c r="BS3783" s="153"/>
      <c r="BT3783" s="153"/>
      <c r="BU3783" s="153"/>
      <c r="BV3783" s="153"/>
      <c r="BW3783" s="153"/>
      <c r="BX3783" s="153"/>
      <c r="BY3783" s="153"/>
      <c r="BZ3783" s="153"/>
      <c r="CA3783" s="152"/>
      <c r="CB3783" s="152"/>
    </row>
    <row r="3784" spans="1:80" s="87" customFormat="1" x14ac:dyDescent="0.2">
      <c r="A3784" s="152"/>
      <c r="B3784" s="683"/>
      <c r="C3784" s="683"/>
      <c r="D3784" s="698"/>
      <c r="E3784" s="215"/>
      <c r="F3784" s="215"/>
      <c r="G3784" s="153"/>
      <c r="H3784" s="153"/>
      <c r="I3784" s="312">
        <v>13</v>
      </c>
      <c r="J3784" s="312">
        <v>30</v>
      </c>
      <c r="K3784" s="150">
        <v>1</v>
      </c>
      <c r="L3784" s="656">
        <v>6.5</v>
      </c>
      <c r="M3784" s="663">
        <v>32631</v>
      </c>
      <c r="N3784" s="600">
        <v>3.1427100000000001</v>
      </c>
      <c r="O3784" s="604">
        <v>6.339E-3</v>
      </c>
      <c r="P3784" s="250"/>
      <c r="Q3784" s="250"/>
      <c r="R3784" s="250"/>
      <c r="S3784" s="250"/>
      <c r="T3784" s="250"/>
      <c r="U3784" s="250"/>
      <c r="V3784" s="250"/>
      <c r="W3784" s="250"/>
      <c r="X3784" s="250"/>
      <c r="Y3784" s="250"/>
      <c r="Z3784" s="150"/>
      <c r="AA3784" s="150">
        <v>1.93</v>
      </c>
      <c r="AB3784" s="152"/>
      <c r="AC3784" s="152"/>
      <c r="AD3784" s="223">
        <v>8.503641</v>
      </c>
      <c r="AE3784" s="223">
        <v>0.39013120000000001</v>
      </c>
      <c r="AF3784" s="223">
        <v>3.3070263999999998</v>
      </c>
      <c r="AG3784" s="223">
        <v>1.0027591</v>
      </c>
      <c r="AH3784" s="341"/>
      <c r="AI3784" s="218"/>
      <c r="AJ3784" s="218"/>
      <c r="AK3784" s="153"/>
      <c r="AL3784" s="152"/>
      <c r="AM3784" s="152"/>
      <c r="AN3784" s="152"/>
      <c r="AO3784" s="152"/>
      <c r="AP3784" s="152"/>
      <c r="AQ3784" s="152"/>
      <c r="AR3784" s="152"/>
      <c r="AS3784" s="152"/>
      <c r="AT3784" s="152"/>
      <c r="AU3784" s="153"/>
      <c r="AV3784" s="479"/>
      <c r="AW3784" s="479"/>
      <c r="AX3784" s="442"/>
      <c r="AY3784" s="153"/>
      <c r="AZ3784" s="152"/>
      <c r="BA3784" s="152"/>
      <c r="BB3784" s="152"/>
      <c r="BC3784" s="152"/>
      <c r="BD3784" s="152"/>
      <c r="BE3784" s="152"/>
      <c r="BF3784" s="152"/>
      <c r="BG3784" s="152"/>
      <c r="BH3784" s="152"/>
      <c r="BI3784" s="153"/>
      <c r="BJ3784" s="153"/>
      <c r="BK3784" s="153"/>
      <c r="BL3784" s="153"/>
      <c r="BM3784" s="153"/>
      <c r="BN3784" s="153"/>
      <c r="BO3784" s="153"/>
      <c r="BP3784" s="153"/>
      <c r="BQ3784" s="153"/>
      <c r="BR3784" s="153"/>
      <c r="BS3784" s="153"/>
      <c r="BT3784" s="153"/>
      <c r="BU3784" s="153"/>
      <c r="BV3784" s="153"/>
      <c r="BW3784" s="153"/>
      <c r="BX3784" s="153"/>
      <c r="BY3784" s="153"/>
      <c r="BZ3784" s="153"/>
      <c r="CA3784" s="152"/>
      <c r="CB3784" s="152"/>
    </row>
    <row r="3785" spans="1:80" s="87" customFormat="1" x14ac:dyDescent="0.2">
      <c r="A3785" s="152"/>
      <c r="B3785" s="683"/>
      <c r="C3785" s="683"/>
      <c r="D3785" s="698"/>
      <c r="E3785" s="215"/>
      <c r="F3785" s="215"/>
      <c r="G3785" s="153"/>
      <c r="H3785" s="153"/>
      <c r="I3785" s="312">
        <v>15</v>
      </c>
      <c r="J3785" s="312">
        <v>30</v>
      </c>
      <c r="K3785" s="150">
        <v>1</v>
      </c>
      <c r="L3785" s="656">
        <v>7.5</v>
      </c>
      <c r="M3785" s="663">
        <v>32638</v>
      </c>
      <c r="N3785" s="600">
        <v>5.8324199999999999</v>
      </c>
      <c r="O3785" s="604">
        <v>4.5435999999999997E-2</v>
      </c>
      <c r="P3785" s="250"/>
      <c r="Q3785" s="250"/>
      <c r="R3785" s="250"/>
      <c r="S3785" s="250"/>
      <c r="T3785" s="250"/>
      <c r="U3785" s="250"/>
      <c r="V3785" s="250"/>
      <c r="W3785" s="250"/>
      <c r="X3785" s="250"/>
      <c r="Y3785" s="250"/>
      <c r="Z3785" s="150"/>
      <c r="AA3785" s="150">
        <v>1.55</v>
      </c>
      <c r="AB3785" s="152"/>
      <c r="AC3785" s="152"/>
      <c r="AD3785" s="223">
        <v>12.252558000000001</v>
      </c>
      <c r="AE3785" s="223">
        <v>0.36574800000000002</v>
      </c>
      <c r="AF3785" s="223">
        <v>4.4644856400000004</v>
      </c>
      <c r="AG3785" s="223">
        <v>1.3075490999999999</v>
      </c>
      <c r="AH3785" s="341"/>
      <c r="AI3785" s="218"/>
      <c r="AJ3785" s="218"/>
      <c r="AK3785" s="153"/>
      <c r="AL3785" s="152"/>
      <c r="AM3785" s="152"/>
      <c r="AN3785" s="152"/>
      <c r="AO3785" s="152"/>
      <c r="AP3785" s="152"/>
      <c r="AQ3785" s="152"/>
      <c r="AR3785" s="152"/>
      <c r="AS3785" s="152"/>
      <c r="AT3785" s="152"/>
      <c r="AU3785" s="153"/>
      <c r="AV3785" s="479"/>
      <c r="AW3785" s="479"/>
      <c r="AX3785" s="442"/>
      <c r="AY3785" s="153"/>
      <c r="AZ3785" s="152"/>
      <c r="BA3785" s="152"/>
      <c r="BB3785" s="152"/>
      <c r="BC3785" s="152"/>
      <c r="BD3785" s="152"/>
      <c r="BE3785" s="152"/>
      <c r="BF3785" s="152"/>
      <c r="BG3785" s="152"/>
      <c r="BH3785" s="152"/>
      <c r="BI3785" s="153"/>
      <c r="BJ3785" s="153"/>
      <c r="BK3785" s="153"/>
      <c r="BL3785" s="153"/>
      <c r="BM3785" s="153"/>
      <c r="BN3785" s="153"/>
      <c r="BO3785" s="153"/>
      <c r="BP3785" s="153"/>
      <c r="BQ3785" s="153"/>
      <c r="BR3785" s="153"/>
      <c r="BS3785" s="153"/>
      <c r="BT3785" s="153"/>
      <c r="BU3785" s="153"/>
      <c r="BV3785" s="153"/>
      <c r="BW3785" s="153"/>
      <c r="BX3785" s="153"/>
      <c r="BY3785" s="153"/>
      <c r="BZ3785" s="153"/>
      <c r="CA3785" s="152"/>
      <c r="CB3785" s="152"/>
    </row>
    <row r="3786" spans="1:80" s="87" customFormat="1" x14ac:dyDescent="0.2">
      <c r="A3786" s="152"/>
      <c r="B3786" s="683"/>
      <c r="C3786" s="683"/>
      <c r="D3786" s="698"/>
      <c r="E3786" s="215"/>
      <c r="F3786" s="215"/>
      <c r="G3786" s="153"/>
      <c r="H3786" s="153"/>
      <c r="I3786" s="312">
        <v>15</v>
      </c>
      <c r="J3786" s="312">
        <v>30</v>
      </c>
      <c r="K3786" s="150">
        <v>1</v>
      </c>
      <c r="L3786" s="656">
        <v>7.5</v>
      </c>
      <c r="M3786" s="663">
        <v>32640</v>
      </c>
      <c r="N3786" s="600">
        <v>4.5017199999999997</v>
      </c>
      <c r="O3786" s="604">
        <v>2.8653000000000001E-2</v>
      </c>
      <c r="P3786" s="250"/>
      <c r="Q3786" s="250"/>
      <c r="R3786" s="250"/>
      <c r="S3786" s="250"/>
      <c r="T3786" s="250"/>
      <c r="U3786" s="250"/>
      <c r="V3786" s="250"/>
      <c r="W3786" s="250"/>
      <c r="X3786" s="250"/>
      <c r="Y3786" s="250"/>
      <c r="Z3786" s="150"/>
      <c r="AA3786" s="150">
        <v>1.28</v>
      </c>
      <c r="AB3786" s="152"/>
      <c r="AC3786" s="152"/>
      <c r="AD3786" s="223">
        <v>12.252558000000001</v>
      </c>
      <c r="AE3786" s="223">
        <v>0.32002950000000002</v>
      </c>
      <c r="AF3786" s="223">
        <v>3.9294161999999999</v>
      </c>
      <c r="AG3786" s="223">
        <v>1.1460104</v>
      </c>
      <c r="AH3786" s="341"/>
      <c r="AI3786" s="218"/>
      <c r="AJ3786" s="218"/>
      <c r="AK3786" s="153"/>
      <c r="AL3786" s="152"/>
      <c r="AM3786" s="152"/>
      <c r="AN3786" s="152"/>
      <c r="AO3786" s="152"/>
      <c r="AP3786" s="152"/>
      <c r="AQ3786" s="152"/>
      <c r="AR3786" s="152"/>
      <c r="AS3786" s="152"/>
      <c r="AT3786" s="152"/>
      <c r="AU3786" s="153"/>
      <c r="AV3786" s="479"/>
      <c r="AW3786" s="479"/>
      <c r="AX3786" s="442"/>
      <c r="AY3786" s="153"/>
      <c r="AZ3786" s="152"/>
      <c r="BA3786" s="152"/>
      <c r="BB3786" s="152"/>
      <c r="BC3786" s="152"/>
      <c r="BD3786" s="152"/>
      <c r="BE3786" s="152"/>
      <c r="BF3786" s="152"/>
      <c r="BG3786" s="152"/>
      <c r="BH3786" s="152"/>
      <c r="BI3786" s="153"/>
      <c r="BJ3786" s="153"/>
      <c r="BK3786" s="153"/>
      <c r="BL3786" s="153"/>
      <c r="BM3786" s="153"/>
      <c r="BN3786" s="153"/>
      <c r="BO3786" s="153"/>
      <c r="BP3786" s="153"/>
      <c r="BQ3786" s="153"/>
      <c r="BR3786" s="153"/>
      <c r="BS3786" s="153"/>
      <c r="BT3786" s="153"/>
      <c r="BU3786" s="153"/>
      <c r="BV3786" s="153"/>
      <c r="BW3786" s="153"/>
      <c r="BX3786" s="153"/>
      <c r="BY3786" s="153"/>
      <c r="BZ3786" s="153"/>
      <c r="CA3786" s="152"/>
      <c r="CB3786" s="152"/>
    </row>
    <row r="3787" spans="1:80" s="87" customFormat="1" x14ac:dyDescent="0.2">
      <c r="A3787" s="152"/>
      <c r="B3787" s="683"/>
      <c r="C3787" s="683"/>
      <c r="D3787" s="698"/>
      <c r="E3787" s="215"/>
      <c r="F3787" s="215"/>
      <c r="G3787" s="153"/>
      <c r="H3787" s="153"/>
      <c r="I3787" s="312">
        <v>13</v>
      </c>
      <c r="J3787" s="312">
        <v>30</v>
      </c>
      <c r="K3787" s="150">
        <v>1</v>
      </c>
      <c r="L3787" s="656">
        <v>6.5</v>
      </c>
      <c r="M3787" s="663">
        <v>32653</v>
      </c>
      <c r="N3787" s="600">
        <v>2.46604</v>
      </c>
      <c r="O3787" s="604">
        <v>9.3400000000000004E-4</v>
      </c>
      <c r="P3787" s="250"/>
      <c r="Q3787" s="250"/>
      <c r="R3787" s="250"/>
      <c r="S3787" s="250"/>
      <c r="T3787" s="250"/>
      <c r="U3787" s="250"/>
      <c r="V3787" s="250"/>
      <c r="W3787" s="250"/>
      <c r="X3787" s="250"/>
      <c r="Y3787" s="250"/>
      <c r="Z3787" s="150"/>
      <c r="AA3787" s="150">
        <v>1.01</v>
      </c>
      <c r="AB3787" s="152"/>
      <c r="AC3787" s="152"/>
      <c r="AD3787" s="223">
        <v>8.3817249999999994</v>
      </c>
      <c r="AE3787" s="223">
        <v>0.36879590000000001</v>
      </c>
      <c r="AF3787" s="223">
        <v>3.1026596</v>
      </c>
      <c r="AG3787" s="223">
        <v>0.79550189999999998</v>
      </c>
      <c r="AH3787" s="341"/>
      <c r="AI3787" s="218"/>
      <c r="AJ3787" s="218"/>
      <c r="AK3787" s="153"/>
      <c r="AL3787" s="152"/>
      <c r="AM3787" s="152"/>
      <c r="AN3787" s="152"/>
      <c r="AO3787" s="152"/>
      <c r="AP3787" s="152"/>
      <c r="AQ3787" s="152"/>
      <c r="AR3787" s="152"/>
      <c r="AS3787" s="152"/>
      <c r="AT3787" s="152"/>
      <c r="AU3787" s="153"/>
      <c r="AV3787" s="479"/>
      <c r="AW3787" s="479"/>
      <c r="AX3787" s="442"/>
      <c r="AY3787" s="153"/>
      <c r="AZ3787" s="152"/>
      <c r="BA3787" s="152"/>
      <c r="BB3787" s="152"/>
      <c r="BC3787" s="152"/>
      <c r="BD3787" s="152"/>
      <c r="BE3787" s="152"/>
      <c r="BF3787" s="152"/>
      <c r="BG3787" s="152"/>
      <c r="BH3787" s="152"/>
      <c r="BI3787" s="153"/>
      <c r="BJ3787" s="153"/>
      <c r="BK3787" s="153"/>
      <c r="BL3787" s="153"/>
      <c r="BM3787" s="153"/>
      <c r="BN3787" s="153"/>
      <c r="BO3787" s="153"/>
      <c r="BP3787" s="153"/>
      <c r="BQ3787" s="153"/>
      <c r="BR3787" s="153"/>
      <c r="BS3787" s="153"/>
      <c r="BT3787" s="153"/>
      <c r="BU3787" s="153"/>
      <c r="BV3787" s="153"/>
      <c r="BW3787" s="153"/>
      <c r="BX3787" s="153"/>
      <c r="BY3787" s="153"/>
      <c r="BZ3787" s="153"/>
      <c r="CA3787" s="152"/>
      <c r="CB3787" s="152"/>
    </row>
    <row r="3788" spans="1:80" s="87" customFormat="1" x14ac:dyDescent="0.2">
      <c r="A3788" s="152"/>
      <c r="B3788" s="683"/>
      <c r="C3788" s="683"/>
      <c r="D3788" s="698"/>
      <c r="E3788" s="215"/>
      <c r="F3788" s="215"/>
      <c r="G3788" s="153"/>
      <c r="H3788" s="153"/>
      <c r="I3788" s="312">
        <v>12</v>
      </c>
      <c r="J3788" s="312">
        <v>30</v>
      </c>
      <c r="K3788" s="150">
        <v>1</v>
      </c>
      <c r="L3788" s="656">
        <v>6</v>
      </c>
      <c r="M3788" s="663">
        <v>32662</v>
      </c>
      <c r="N3788" s="600">
        <v>2.8595799999999998</v>
      </c>
      <c r="O3788" s="604">
        <v>1.2279999999999999E-3</v>
      </c>
      <c r="P3788" s="250"/>
      <c r="Q3788" s="250"/>
      <c r="R3788" s="250"/>
      <c r="S3788" s="250"/>
      <c r="T3788" s="250"/>
      <c r="U3788" s="250"/>
      <c r="V3788" s="250"/>
      <c r="W3788" s="250"/>
      <c r="X3788" s="250"/>
      <c r="Y3788" s="250"/>
      <c r="Z3788" s="150"/>
      <c r="AA3788" s="150">
        <v>0.82</v>
      </c>
      <c r="AB3788" s="152"/>
      <c r="AC3788" s="152"/>
      <c r="AD3788" s="223">
        <v>8.4731620000000003</v>
      </c>
      <c r="AE3788" s="223">
        <v>0.39013120000000001</v>
      </c>
      <c r="AF3788" s="223">
        <v>3.3070263999999998</v>
      </c>
      <c r="AG3788" s="223">
        <v>0.85645990000000005</v>
      </c>
      <c r="AH3788" s="341"/>
      <c r="AI3788" s="218"/>
      <c r="AJ3788" s="218"/>
      <c r="AK3788" s="153"/>
      <c r="AL3788" s="152"/>
      <c r="AM3788" s="152"/>
      <c r="AN3788" s="152"/>
      <c r="AO3788" s="152"/>
      <c r="AP3788" s="152"/>
      <c r="AQ3788" s="152"/>
      <c r="AR3788" s="152"/>
      <c r="AS3788" s="152"/>
      <c r="AT3788" s="152"/>
      <c r="AU3788" s="153"/>
      <c r="AV3788" s="479"/>
      <c r="AW3788" s="479"/>
      <c r="AX3788" s="442"/>
      <c r="AY3788" s="153"/>
      <c r="AZ3788" s="152"/>
      <c r="BA3788" s="152"/>
      <c r="BB3788" s="152"/>
      <c r="BC3788" s="152"/>
      <c r="BD3788" s="152"/>
      <c r="BE3788" s="152"/>
      <c r="BF3788" s="152"/>
      <c r="BG3788" s="152"/>
      <c r="BH3788" s="152"/>
      <c r="BI3788" s="153"/>
      <c r="BJ3788" s="153"/>
      <c r="BK3788" s="153"/>
      <c r="BL3788" s="153"/>
      <c r="BM3788" s="153"/>
      <c r="BN3788" s="153"/>
      <c r="BO3788" s="153"/>
      <c r="BP3788" s="153"/>
      <c r="BQ3788" s="153"/>
      <c r="BR3788" s="153"/>
      <c r="BS3788" s="153"/>
      <c r="BT3788" s="153"/>
      <c r="BU3788" s="153"/>
      <c r="BV3788" s="153"/>
      <c r="BW3788" s="153"/>
      <c r="BX3788" s="153"/>
      <c r="BY3788" s="153"/>
      <c r="BZ3788" s="153"/>
      <c r="CA3788" s="152"/>
      <c r="CB3788" s="152"/>
    </row>
    <row r="3789" spans="1:80" s="87" customFormat="1" x14ac:dyDescent="0.2">
      <c r="A3789" s="152"/>
      <c r="B3789" s="683"/>
      <c r="C3789" s="683"/>
      <c r="D3789" s="698"/>
      <c r="E3789" s="215"/>
      <c r="F3789" s="215"/>
      <c r="G3789" s="153"/>
      <c r="H3789" s="153"/>
      <c r="I3789" s="312">
        <v>12</v>
      </c>
      <c r="J3789" s="312">
        <v>30</v>
      </c>
      <c r="K3789" s="150">
        <v>1</v>
      </c>
      <c r="L3789" s="656">
        <v>6</v>
      </c>
      <c r="M3789" s="663">
        <v>32668</v>
      </c>
      <c r="N3789" s="600">
        <v>2.3612799999999998</v>
      </c>
      <c r="O3789" s="604">
        <v>4.0090000000000004E-3</v>
      </c>
      <c r="P3789" s="250"/>
      <c r="Q3789" s="250"/>
      <c r="R3789" s="250"/>
      <c r="S3789" s="250"/>
      <c r="T3789" s="250"/>
      <c r="U3789" s="250"/>
      <c r="V3789" s="250"/>
      <c r="W3789" s="250"/>
      <c r="X3789" s="250"/>
      <c r="Y3789" s="250"/>
      <c r="Z3789" s="150"/>
      <c r="AA3789" s="150">
        <v>2.1</v>
      </c>
      <c r="AB3789" s="152"/>
      <c r="AC3789" s="152"/>
      <c r="AD3789" s="223">
        <v>8.320767</v>
      </c>
      <c r="AE3789" s="223">
        <v>0.36879590000000001</v>
      </c>
      <c r="AF3789" s="223">
        <v>3.0655019999999999</v>
      </c>
      <c r="AG3789" s="223">
        <v>0.77416660000000004</v>
      </c>
      <c r="AH3789" s="341"/>
      <c r="AI3789" s="218"/>
      <c r="AJ3789" s="218"/>
      <c r="AK3789" s="153"/>
      <c r="AL3789" s="152"/>
      <c r="AM3789" s="152"/>
      <c r="AN3789" s="152"/>
      <c r="AO3789" s="152"/>
      <c r="AP3789" s="152"/>
      <c r="AQ3789" s="152"/>
      <c r="AR3789" s="152"/>
      <c r="AS3789" s="152"/>
      <c r="AT3789" s="152"/>
      <c r="AU3789" s="153"/>
      <c r="AV3789" s="479"/>
      <c r="AW3789" s="479"/>
      <c r="AX3789" s="442"/>
      <c r="AY3789" s="153"/>
      <c r="AZ3789" s="152"/>
      <c r="BA3789" s="152"/>
      <c r="BB3789" s="152"/>
      <c r="BC3789" s="152"/>
      <c r="BD3789" s="152"/>
      <c r="BE3789" s="152"/>
      <c r="BF3789" s="152"/>
      <c r="BG3789" s="152"/>
      <c r="BH3789" s="152"/>
      <c r="BI3789" s="153"/>
      <c r="BJ3789" s="153"/>
      <c r="BK3789" s="153"/>
      <c r="BL3789" s="153"/>
      <c r="BM3789" s="153"/>
      <c r="BN3789" s="153"/>
      <c r="BO3789" s="153"/>
      <c r="BP3789" s="153"/>
      <c r="BQ3789" s="153"/>
      <c r="BR3789" s="153"/>
      <c r="BS3789" s="153"/>
      <c r="BT3789" s="153"/>
      <c r="BU3789" s="153"/>
      <c r="BV3789" s="153"/>
      <c r="BW3789" s="153"/>
      <c r="BX3789" s="153"/>
      <c r="BY3789" s="153"/>
      <c r="BZ3789" s="153"/>
      <c r="CA3789" s="152"/>
      <c r="CB3789" s="152"/>
    </row>
    <row r="3790" spans="1:80" s="87" customFormat="1" x14ac:dyDescent="0.2">
      <c r="A3790" s="152"/>
      <c r="B3790" s="683"/>
      <c r="C3790" s="683"/>
      <c r="D3790" s="698"/>
      <c r="E3790" s="215"/>
      <c r="F3790" s="215"/>
      <c r="G3790" s="153"/>
      <c r="H3790" s="153"/>
      <c r="I3790" s="312">
        <v>12</v>
      </c>
      <c r="J3790" s="312">
        <v>30</v>
      </c>
      <c r="K3790" s="150">
        <v>1</v>
      </c>
      <c r="L3790" s="656">
        <v>6</v>
      </c>
      <c r="M3790" s="663">
        <v>32679</v>
      </c>
      <c r="N3790" s="600">
        <v>1.79786</v>
      </c>
      <c r="O3790" s="604">
        <v>2.7599999999999999E-3</v>
      </c>
      <c r="P3790" s="250"/>
      <c r="Q3790" s="250"/>
      <c r="R3790" s="250"/>
      <c r="S3790" s="250"/>
      <c r="T3790" s="250"/>
      <c r="U3790" s="250"/>
      <c r="V3790" s="250"/>
      <c r="W3790" s="250"/>
      <c r="X3790" s="250"/>
      <c r="Y3790" s="250"/>
      <c r="Z3790" s="150"/>
      <c r="AA3790" s="150">
        <v>1.45</v>
      </c>
      <c r="AB3790" s="152"/>
      <c r="AC3790" s="152"/>
      <c r="AD3790" s="223">
        <v>8.1683719999999997</v>
      </c>
      <c r="AE3790" s="223">
        <v>0.33222109999999999</v>
      </c>
      <c r="AF3790" s="223">
        <v>2.7217942000000002</v>
      </c>
      <c r="AG3790" s="223">
        <v>0.6583464</v>
      </c>
      <c r="AH3790" s="341"/>
      <c r="AI3790" s="218"/>
      <c r="AJ3790" s="218"/>
      <c r="AK3790" s="153"/>
      <c r="AL3790" s="152"/>
      <c r="AM3790" s="152"/>
      <c r="AN3790" s="152"/>
      <c r="AO3790" s="152"/>
      <c r="AP3790" s="152"/>
      <c r="AQ3790" s="152"/>
      <c r="AR3790" s="152"/>
      <c r="AS3790" s="152"/>
      <c r="AT3790" s="152"/>
      <c r="AU3790" s="153"/>
      <c r="AV3790" s="479"/>
      <c r="AW3790" s="479"/>
      <c r="AX3790" s="442"/>
      <c r="AY3790" s="153"/>
      <c r="AZ3790" s="152"/>
      <c r="BA3790" s="152"/>
      <c r="BB3790" s="152"/>
      <c r="BC3790" s="152"/>
      <c r="BD3790" s="152"/>
      <c r="BE3790" s="152"/>
      <c r="BF3790" s="152"/>
      <c r="BG3790" s="152"/>
      <c r="BH3790" s="152"/>
      <c r="BI3790" s="153"/>
      <c r="BJ3790" s="153"/>
      <c r="BK3790" s="153"/>
      <c r="BL3790" s="153"/>
      <c r="BM3790" s="153"/>
      <c r="BN3790" s="153"/>
      <c r="BO3790" s="153"/>
      <c r="BP3790" s="153"/>
      <c r="BQ3790" s="153"/>
      <c r="BR3790" s="153"/>
      <c r="BS3790" s="153"/>
      <c r="BT3790" s="153"/>
      <c r="BU3790" s="153"/>
      <c r="BV3790" s="153"/>
      <c r="BW3790" s="153"/>
      <c r="BX3790" s="153"/>
      <c r="BY3790" s="153"/>
      <c r="BZ3790" s="153"/>
      <c r="CA3790" s="152"/>
      <c r="CB3790" s="152"/>
    </row>
    <row r="3791" spans="1:80" s="87" customFormat="1" x14ac:dyDescent="0.2">
      <c r="A3791" s="152"/>
      <c r="B3791" s="683"/>
      <c r="C3791" s="683"/>
      <c r="D3791" s="698"/>
      <c r="E3791" s="215"/>
      <c r="F3791" s="215"/>
      <c r="G3791" s="153"/>
      <c r="H3791" s="153"/>
      <c r="I3791" s="312">
        <v>12</v>
      </c>
      <c r="J3791" s="312">
        <v>30</v>
      </c>
      <c r="K3791" s="150">
        <v>1</v>
      </c>
      <c r="L3791" s="656">
        <v>6</v>
      </c>
      <c r="M3791" s="663">
        <v>32690</v>
      </c>
      <c r="N3791" s="600">
        <v>0.85221000000000002</v>
      </c>
      <c r="O3791" s="604">
        <v>8.61E-4</v>
      </c>
      <c r="P3791" s="250"/>
      <c r="Q3791" s="250"/>
      <c r="R3791" s="250"/>
      <c r="S3791" s="250"/>
      <c r="T3791" s="250"/>
      <c r="U3791" s="250"/>
      <c r="V3791" s="250"/>
      <c r="W3791" s="250"/>
      <c r="X3791" s="250"/>
      <c r="Y3791" s="250"/>
      <c r="Z3791" s="150"/>
      <c r="AA3791" s="150">
        <v>1.1299999999999999</v>
      </c>
      <c r="AB3791" s="152"/>
      <c r="AC3791" s="152"/>
      <c r="AD3791" s="223">
        <v>7.6502290000000004</v>
      </c>
      <c r="AE3791" s="223">
        <v>0.25297570000000003</v>
      </c>
      <c r="AF3791" s="223">
        <v>1.9414845999999999</v>
      </c>
      <c r="AG3791" s="223">
        <v>0.4388976</v>
      </c>
      <c r="AH3791" s="341"/>
      <c r="AI3791" s="218"/>
      <c r="AJ3791" s="218"/>
      <c r="AK3791" s="153"/>
      <c r="AL3791" s="152"/>
      <c r="AM3791" s="152"/>
      <c r="AN3791" s="152"/>
      <c r="AO3791" s="152"/>
      <c r="AP3791" s="152"/>
      <c r="AQ3791" s="152"/>
      <c r="AR3791" s="152"/>
      <c r="AS3791" s="152"/>
      <c r="AT3791" s="152"/>
      <c r="AU3791" s="153"/>
      <c r="AV3791" s="479"/>
      <c r="AW3791" s="479"/>
      <c r="AX3791" s="442"/>
      <c r="AY3791" s="153"/>
      <c r="AZ3791" s="152"/>
      <c r="BA3791" s="152"/>
      <c r="BB3791" s="152"/>
      <c r="BC3791" s="152"/>
      <c r="BD3791" s="152"/>
      <c r="BE3791" s="152"/>
      <c r="BF3791" s="152"/>
      <c r="BG3791" s="152"/>
      <c r="BH3791" s="152"/>
      <c r="BI3791" s="153"/>
      <c r="BJ3791" s="153"/>
      <c r="BK3791" s="153"/>
      <c r="BL3791" s="153"/>
      <c r="BM3791" s="153"/>
      <c r="BN3791" s="153"/>
      <c r="BO3791" s="153"/>
      <c r="BP3791" s="153"/>
      <c r="BQ3791" s="153"/>
      <c r="BR3791" s="153"/>
      <c r="BS3791" s="153"/>
      <c r="BT3791" s="153"/>
      <c r="BU3791" s="153"/>
      <c r="BV3791" s="153"/>
      <c r="BW3791" s="153"/>
      <c r="BX3791" s="153"/>
      <c r="BY3791" s="153"/>
      <c r="BZ3791" s="153"/>
      <c r="CA3791" s="152"/>
      <c r="CB3791" s="152"/>
    </row>
    <row r="3792" spans="1:80" s="87" customFormat="1" x14ac:dyDescent="0.2">
      <c r="A3792" s="152"/>
      <c r="B3792" s="683"/>
      <c r="C3792" s="683"/>
      <c r="D3792" s="698"/>
      <c r="E3792" s="215"/>
      <c r="F3792" s="215"/>
      <c r="G3792" s="153"/>
      <c r="H3792" s="153"/>
      <c r="I3792" s="312">
        <v>11</v>
      </c>
      <c r="J3792" s="312">
        <v>30</v>
      </c>
      <c r="K3792" s="150">
        <v>1</v>
      </c>
      <c r="L3792" s="656">
        <v>5.5</v>
      </c>
      <c r="M3792" s="663">
        <v>32703</v>
      </c>
      <c r="N3792" s="600">
        <v>0.55776000000000003</v>
      </c>
      <c r="O3792" s="604">
        <v>7.8700000000000005E-4</v>
      </c>
      <c r="P3792" s="250"/>
      <c r="Q3792" s="250"/>
      <c r="R3792" s="250"/>
      <c r="S3792" s="250"/>
      <c r="T3792" s="250"/>
      <c r="U3792" s="250"/>
      <c r="V3792" s="250"/>
      <c r="W3792" s="250"/>
      <c r="X3792" s="250"/>
      <c r="Y3792" s="250"/>
      <c r="Z3792" s="150"/>
      <c r="AA3792" s="150">
        <v>0.75</v>
      </c>
      <c r="AB3792" s="152"/>
      <c r="AC3792" s="152"/>
      <c r="AD3792" s="223">
        <v>7.7111869999999998</v>
      </c>
      <c r="AE3792" s="223">
        <v>0.19201770000000001</v>
      </c>
      <c r="AF3792" s="223">
        <v>1.4770146</v>
      </c>
      <c r="AG3792" s="223">
        <v>0.37489169999999999</v>
      </c>
      <c r="AH3792" s="341"/>
      <c r="AI3792" s="218"/>
      <c r="AJ3792" s="218"/>
      <c r="AK3792" s="153"/>
      <c r="AL3792" s="152"/>
      <c r="AM3792" s="152"/>
      <c r="AN3792" s="152"/>
      <c r="AO3792" s="152"/>
      <c r="AP3792" s="152"/>
      <c r="AQ3792" s="152"/>
      <c r="AR3792" s="152"/>
      <c r="AS3792" s="152"/>
      <c r="AT3792" s="152"/>
      <c r="AU3792" s="153"/>
      <c r="AV3792" s="479"/>
      <c r="AW3792" s="479"/>
      <c r="AX3792" s="442"/>
      <c r="AY3792" s="153"/>
      <c r="AZ3792" s="152"/>
      <c r="BA3792" s="152"/>
      <c r="BB3792" s="152"/>
      <c r="BC3792" s="152"/>
      <c r="BD3792" s="152"/>
      <c r="BE3792" s="152"/>
      <c r="BF3792" s="152"/>
      <c r="BG3792" s="152"/>
      <c r="BH3792" s="152"/>
      <c r="BI3792" s="153"/>
      <c r="BJ3792" s="153"/>
      <c r="BK3792" s="153"/>
      <c r="BL3792" s="153"/>
      <c r="BM3792" s="153"/>
      <c r="BN3792" s="153"/>
      <c r="BO3792" s="153"/>
      <c r="BP3792" s="153"/>
      <c r="BQ3792" s="153"/>
      <c r="BR3792" s="153"/>
      <c r="BS3792" s="153"/>
      <c r="BT3792" s="153"/>
      <c r="BU3792" s="153"/>
      <c r="BV3792" s="153"/>
      <c r="BW3792" s="153"/>
      <c r="BX3792" s="153"/>
      <c r="BY3792" s="153"/>
      <c r="BZ3792" s="153"/>
      <c r="CA3792" s="152"/>
      <c r="CB3792" s="152"/>
    </row>
    <row r="3793" spans="1:80" s="87" customFormat="1" x14ac:dyDescent="0.2">
      <c r="A3793" s="152"/>
      <c r="B3793" s="683"/>
      <c r="C3793" s="683"/>
      <c r="D3793" s="698"/>
      <c r="E3793" s="215"/>
      <c r="F3793" s="215"/>
      <c r="G3793" s="153"/>
      <c r="H3793" s="153"/>
      <c r="I3793" s="312">
        <v>24</v>
      </c>
      <c r="J3793" s="312">
        <v>30</v>
      </c>
      <c r="K3793" s="150">
        <v>1</v>
      </c>
      <c r="L3793" s="656">
        <v>12</v>
      </c>
      <c r="M3793" s="663">
        <v>32969</v>
      </c>
      <c r="N3793" s="600">
        <v>1.3674999999999999</v>
      </c>
      <c r="O3793" s="604">
        <v>4.7860000000000003E-3</v>
      </c>
      <c r="P3793" s="250"/>
      <c r="Q3793" s="250"/>
      <c r="R3793" s="250"/>
      <c r="S3793" s="250"/>
      <c r="T3793" s="250"/>
      <c r="U3793" s="250"/>
      <c r="V3793" s="250"/>
      <c r="W3793" s="250"/>
      <c r="X3793" s="250"/>
      <c r="Y3793" s="250"/>
      <c r="Z3793" s="150"/>
      <c r="AA3793" s="150">
        <v>2</v>
      </c>
      <c r="AB3793" s="152"/>
      <c r="AC3793" s="152"/>
      <c r="AD3793" s="223">
        <v>8.1074140000000003</v>
      </c>
      <c r="AE3793" s="223">
        <v>0.27735890000000002</v>
      </c>
      <c r="AF3793" s="223">
        <v>2.2387454</v>
      </c>
      <c r="AG3793" s="223">
        <v>0.63396319999999995</v>
      </c>
      <c r="AH3793" s="341"/>
      <c r="AI3793" s="218"/>
      <c r="AJ3793" s="218"/>
      <c r="AK3793" s="153"/>
      <c r="AL3793" s="152"/>
      <c r="AM3793" s="152"/>
      <c r="AN3793" s="152"/>
      <c r="AO3793" s="152"/>
      <c r="AP3793" s="152"/>
      <c r="AQ3793" s="152"/>
      <c r="AR3793" s="152"/>
      <c r="AS3793" s="152"/>
      <c r="AT3793" s="152"/>
      <c r="AU3793" s="153"/>
      <c r="AV3793" s="479"/>
      <c r="AW3793" s="479"/>
      <c r="AX3793" s="442"/>
      <c r="AY3793" s="153"/>
      <c r="AZ3793" s="152"/>
      <c r="BA3793" s="152"/>
      <c r="BB3793" s="152"/>
      <c r="BC3793" s="152"/>
      <c r="BD3793" s="152"/>
      <c r="BE3793" s="152"/>
      <c r="BF3793" s="152"/>
      <c r="BG3793" s="152"/>
      <c r="BH3793" s="152"/>
      <c r="BI3793" s="153"/>
      <c r="BJ3793" s="153"/>
      <c r="BK3793" s="153"/>
      <c r="BL3793" s="153"/>
      <c r="BM3793" s="153"/>
      <c r="BN3793" s="153"/>
      <c r="BO3793" s="153"/>
      <c r="BP3793" s="153"/>
      <c r="BQ3793" s="153"/>
      <c r="BR3793" s="153"/>
      <c r="BS3793" s="153"/>
      <c r="BT3793" s="153"/>
      <c r="BU3793" s="153"/>
      <c r="BV3793" s="153"/>
      <c r="BW3793" s="153"/>
      <c r="BX3793" s="153"/>
      <c r="BY3793" s="153"/>
      <c r="BZ3793" s="153"/>
      <c r="CA3793" s="152"/>
      <c r="CB3793" s="152"/>
    </row>
    <row r="3794" spans="1:80" s="87" customFormat="1" x14ac:dyDescent="0.2">
      <c r="A3794" s="152"/>
      <c r="B3794" s="683"/>
      <c r="C3794" s="683"/>
      <c r="D3794" s="698"/>
      <c r="E3794" s="215"/>
      <c r="F3794" s="215"/>
      <c r="G3794" s="153"/>
      <c r="H3794" s="153"/>
      <c r="I3794" s="312">
        <v>24</v>
      </c>
      <c r="J3794" s="312">
        <v>30</v>
      </c>
      <c r="K3794" s="150">
        <v>1</v>
      </c>
      <c r="L3794" s="656">
        <v>12</v>
      </c>
      <c r="M3794" s="663">
        <v>32980</v>
      </c>
      <c r="N3794" s="600">
        <v>2.6047699999999998</v>
      </c>
      <c r="O3794" s="604">
        <v>4.2719999999999998E-3</v>
      </c>
      <c r="P3794" s="250"/>
      <c r="Q3794" s="250"/>
      <c r="R3794" s="250"/>
      <c r="S3794" s="250"/>
      <c r="T3794" s="250"/>
      <c r="U3794" s="250"/>
      <c r="V3794" s="250"/>
      <c r="W3794" s="250"/>
      <c r="X3794" s="250"/>
      <c r="Y3794" s="250"/>
      <c r="Z3794" s="150"/>
      <c r="AA3794" s="150">
        <v>1.32</v>
      </c>
      <c r="AB3794" s="152"/>
      <c r="AC3794" s="152"/>
      <c r="AD3794" s="223">
        <v>8.3512459999999997</v>
      </c>
      <c r="AE3794" s="223">
        <v>0.35965219999999998</v>
      </c>
      <c r="AF3794" s="223">
        <v>2.9911867999999999</v>
      </c>
      <c r="AG3794" s="223">
        <v>0.8777952</v>
      </c>
      <c r="AH3794" s="341"/>
      <c r="AI3794" s="218"/>
      <c r="AJ3794" s="218"/>
      <c r="AK3794" s="153"/>
      <c r="AL3794" s="152"/>
      <c r="AM3794" s="152"/>
      <c r="AN3794" s="152"/>
      <c r="AO3794" s="152"/>
      <c r="AP3794" s="152"/>
      <c r="AQ3794" s="152"/>
      <c r="AR3794" s="152"/>
      <c r="AS3794" s="152"/>
      <c r="AT3794" s="152"/>
      <c r="AU3794" s="153"/>
      <c r="AV3794" s="479"/>
      <c r="AW3794" s="479"/>
      <c r="AX3794" s="442"/>
      <c r="AY3794" s="153"/>
      <c r="AZ3794" s="152"/>
      <c r="BA3794" s="152"/>
      <c r="BB3794" s="152"/>
      <c r="BC3794" s="152"/>
      <c r="BD3794" s="152"/>
      <c r="BE3794" s="152"/>
      <c r="BF3794" s="152"/>
      <c r="BG3794" s="152"/>
      <c r="BH3794" s="152"/>
      <c r="BI3794" s="153"/>
      <c r="BJ3794" s="153"/>
      <c r="BK3794" s="153"/>
      <c r="BL3794" s="153"/>
      <c r="BM3794" s="153"/>
      <c r="BN3794" s="153"/>
      <c r="BO3794" s="153"/>
      <c r="BP3794" s="153"/>
      <c r="BQ3794" s="153"/>
      <c r="BR3794" s="153"/>
      <c r="BS3794" s="153"/>
      <c r="BT3794" s="153"/>
      <c r="BU3794" s="153"/>
      <c r="BV3794" s="153"/>
      <c r="BW3794" s="153"/>
      <c r="BX3794" s="153"/>
      <c r="BY3794" s="153"/>
      <c r="BZ3794" s="153"/>
      <c r="CA3794" s="152"/>
      <c r="CB3794" s="152"/>
    </row>
    <row r="3795" spans="1:80" s="87" customFormat="1" x14ac:dyDescent="0.2">
      <c r="A3795" s="152"/>
      <c r="B3795" s="683"/>
      <c r="C3795" s="683"/>
      <c r="D3795" s="698"/>
      <c r="E3795" s="215"/>
      <c r="F3795" s="215"/>
      <c r="G3795" s="153"/>
      <c r="H3795" s="153"/>
      <c r="I3795" s="312">
        <v>24</v>
      </c>
      <c r="J3795" s="312">
        <v>30</v>
      </c>
      <c r="K3795" s="150">
        <v>1</v>
      </c>
      <c r="L3795" s="656">
        <v>12</v>
      </c>
      <c r="M3795" s="663">
        <v>32981</v>
      </c>
      <c r="N3795" s="600">
        <v>2.7151900000000002</v>
      </c>
      <c r="O3795" s="604">
        <v>5.594E-3</v>
      </c>
      <c r="P3795" s="250"/>
      <c r="Q3795" s="250"/>
      <c r="R3795" s="250"/>
      <c r="S3795" s="250"/>
      <c r="T3795" s="250"/>
      <c r="U3795" s="250"/>
      <c r="V3795" s="250"/>
      <c r="W3795" s="250"/>
      <c r="X3795" s="250"/>
      <c r="Y3795" s="250"/>
      <c r="Z3795" s="150"/>
      <c r="AA3795" s="150">
        <v>1.4</v>
      </c>
      <c r="AB3795" s="152"/>
      <c r="AC3795" s="152"/>
      <c r="AD3795" s="223"/>
      <c r="AE3795" s="223"/>
      <c r="AF3795" s="223"/>
      <c r="AG3795" s="223"/>
      <c r="AH3795" s="341"/>
      <c r="AI3795" s="218"/>
      <c r="AJ3795" s="218"/>
      <c r="AK3795" s="153"/>
      <c r="AL3795" s="152"/>
      <c r="AM3795" s="152"/>
      <c r="AN3795" s="152"/>
      <c r="AO3795" s="152"/>
      <c r="AP3795" s="152"/>
      <c r="AQ3795" s="152"/>
      <c r="AR3795" s="152"/>
      <c r="AS3795" s="152"/>
      <c r="AT3795" s="152"/>
      <c r="AU3795" s="153"/>
      <c r="AV3795" s="479"/>
      <c r="AW3795" s="479"/>
      <c r="AX3795" s="442"/>
      <c r="AY3795" s="153"/>
      <c r="AZ3795" s="152"/>
      <c r="BA3795" s="152"/>
      <c r="BB3795" s="152"/>
      <c r="BC3795" s="152"/>
      <c r="BD3795" s="152"/>
      <c r="BE3795" s="152"/>
      <c r="BF3795" s="152"/>
      <c r="BG3795" s="152"/>
      <c r="BH3795" s="152"/>
      <c r="BI3795" s="153"/>
      <c r="BJ3795" s="153"/>
      <c r="BK3795" s="153"/>
      <c r="BL3795" s="153"/>
      <c r="BM3795" s="153"/>
      <c r="BN3795" s="153"/>
      <c r="BO3795" s="153"/>
      <c r="BP3795" s="153"/>
      <c r="BQ3795" s="153"/>
      <c r="BR3795" s="153"/>
      <c r="BS3795" s="153"/>
      <c r="BT3795" s="153"/>
      <c r="BU3795" s="153"/>
      <c r="BV3795" s="153"/>
      <c r="BW3795" s="153"/>
      <c r="BX3795" s="153"/>
      <c r="BY3795" s="153"/>
      <c r="BZ3795" s="153"/>
      <c r="CA3795" s="152"/>
      <c r="CB3795" s="152"/>
    </row>
    <row r="3796" spans="1:80" s="87" customFormat="1" x14ac:dyDescent="0.2">
      <c r="A3796" s="152"/>
      <c r="B3796" s="683"/>
      <c r="C3796" s="683"/>
      <c r="D3796" s="698"/>
      <c r="E3796" s="215"/>
      <c r="F3796" s="215"/>
      <c r="G3796" s="153"/>
      <c r="H3796" s="153"/>
      <c r="I3796" s="312">
        <v>24</v>
      </c>
      <c r="J3796" s="312">
        <v>30</v>
      </c>
      <c r="K3796" s="150">
        <v>1</v>
      </c>
      <c r="L3796" s="656">
        <v>12</v>
      </c>
      <c r="M3796" s="663">
        <v>32982</v>
      </c>
      <c r="N3796" s="600">
        <v>2.6047699999999998</v>
      </c>
      <c r="O3796" s="604">
        <v>6.1919999999999996E-3</v>
      </c>
      <c r="P3796" s="250"/>
      <c r="Q3796" s="250"/>
      <c r="R3796" s="250"/>
      <c r="S3796" s="250"/>
      <c r="T3796" s="250"/>
      <c r="U3796" s="250"/>
      <c r="V3796" s="250"/>
      <c r="W3796" s="250"/>
      <c r="X3796" s="250"/>
      <c r="Y3796" s="250"/>
      <c r="Z3796" s="150"/>
      <c r="AA3796" s="150">
        <v>1.38</v>
      </c>
      <c r="AB3796" s="152"/>
      <c r="AC3796" s="152"/>
      <c r="AD3796" s="223"/>
      <c r="AE3796" s="223"/>
      <c r="AF3796" s="223"/>
      <c r="AG3796" s="223"/>
      <c r="AH3796" s="341"/>
      <c r="AI3796" s="218"/>
      <c r="AJ3796" s="218"/>
      <c r="AK3796" s="153"/>
      <c r="AL3796" s="152"/>
      <c r="AM3796" s="152"/>
      <c r="AN3796" s="152"/>
      <c r="AO3796" s="152"/>
      <c r="AP3796" s="152"/>
      <c r="AQ3796" s="152"/>
      <c r="AR3796" s="152"/>
      <c r="AS3796" s="152"/>
      <c r="AT3796" s="152"/>
      <c r="AU3796" s="153"/>
      <c r="AV3796" s="479"/>
      <c r="AW3796" s="479"/>
      <c r="AX3796" s="442"/>
      <c r="AY3796" s="153"/>
      <c r="AZ3796" s="152"/>
      <c r="BA3796" s="152"/>
      <c r="BB3796" s="152"/>
      <c r="BC3796" s="152"/>
      <c r="BD3796" s="152"/>
      <c r="BE3796" s="152"/>
      <c r="BF3796" s="152"/>
      <c r="BG3796" s="152"/>
      <c r="BH3796" s="152"/>
      <c r="BI3796" s="153"/>
      <c r="BJ3796" s="153"/>
      <c r="BK3796" s="153"/>
      <c r="BL3796" s="153"/>
      <c r="BM3796" s="153"/>
      <c r="BN3796" s="153"/>
      <c r="BO3796" s="153"/>
      <c r="BP3796" s="153"/>
      <c r="BQ3796" s="153"/>
      <c r="BR3796" s="153"/>
      <c r="BS3796" s="153"/>
      <c r="BT3796" s="153"/>
      <c r="BU3796" s="153"/>
      <c r="BV3796" s="153"/>
      <c r="BW3796" s="153"/>
      <c r="BX3796" s="153"/>
      <c r="BY3796" s="153"/>
      <c r="BZ3796" s="153"/>
      <c r="CA3796" s="152"/>
      <c r="CB3796" s="152"/>
    </row>
    <row r="3797" spans="1:80" s="87" customFormat="1" x14ac:dyDescent="0.2">
      <c r="A3797" s="152"/>
      <c r="B3797" s="683"/>
      <c r="C3797" s="683"/>
      <c r="D3797" s="698"/>
      <c r="E3797" s="215"/>
      <c r="F3797" s="215"/>
      <c r="G3797" s="153"/>
      <c r="H3797" s="153"/>
      <c r="I3797" s="312">
        <v>24</v>
      </c>
      <c r="J3797" s="312">
        <v>30</v>
      </c>
      <c r="K3797" s="150">
        <v>1</v>
      </c>
      <c r="L3797" s="656">
        <v>12</v>
      </c>
      <c r="M3797" s="663">
        <v>32989</v>
      </c>
      <c r="N3797" s="600">
        <v>2.5538099999999999</v>
      </c>
      <c r="O3797" s="604">
        <v>5.5209999999999999E-3</v>
      </c>
      <c r="P3797" s="250"/>
      <c r="Q3797" s="250"/>
      <c r="R3797" s="250"/>
      <c r="S3797" s="250"/>
      <c r="T3797" s="250"/>
      <c r="U3797" s="250"/>
      <c r="V3797" s="250"/>
      <c r="W3797" s="250"/>
      <c r="X3797" s="250"/>
      <c r="Y3797" s="250"/>
      <c r="Z3797" s="150"/>
      <c r="AA3797" s="150">
        <v>1.58</v>
      </c>
      <c r="AB3797" s="152"/>
      <c r="AC3797" s="152"/>
      <c r="AD3797" s="223">
        <v>8.3512459999999997</v>
      </c>
      <c r="AE3797" s="223">
        <v>0.36879590000000001</v>
      </c>
      <c r="AF3797" s="223">
        <v>3.0840808000000002</v>
      </c>
      <c r="AG3797" s="223">
        <v>0.85036409999999996</v>
      </c>
      <c r="AH3797" s="341"/>
      <c r="AI3797" s="218"/>
      <c r="AJ3797" s="218"/>
      <c r="AK3797" s="153"/>
      <c r="AL3797" s="152"/>
      <c r="AM3797" s="152"/>
      <c r="AN3797" s="152"/>
      <c r="AO3797" s="152"/>
      <c r="AP3797" s="152"/>
      <c r="AQ3797" s="152"/>
      <c r="AR3797" s="152"/>
      <c r="AS3797" s="152"/>
      <c r="AT3797" s="152"/>
      <c r="AU3797" s="153"/>
      <c r="AV3797" s="479"/>
      <c r="AW3797" s="479"/>
      <c r="AX3797" s="442"/>
      <c r="AY3797" s="153"/>
      <c r="AZ3797" s="152"/>
      <c r="BA3797" s="152"/>
      <c r="BB3797" s="152"/>
      <c r="BC3797" s="152"/>
      <c r="BD3797" s="152"/>
      <c r="BE3797" s="152"/>
      <c r="BF3797" s="152"/>
      <c r="BG3797" s="152"/>
      <c r="BH3797" s="152"/>
      <c r="BI3797" s="153"/>
      <c r="BJ3797" s="153"/>
      <c r="BK3797" s="153"/>
      <c r="BL3797" s="153"/>
      <c r="BM3797" s="153"/>
      <c r="BN3797" s="153"/>
      <c r="BO3797" s="153"/>
      <c r="BP3797" s="153"/>
      <c r="BQ3797" s="153"/>
      <c r="BR3797" s="153"/>
      <c r="BS3797" s="153"/>
      <c r="BT3797" s="153"/>
      <c r="BU3797" s="153"/>
      <c r="BV3797" s="153"/>
      <c r="BW3797" s="153"/>
      <c r="BX3797" s="153"/>
      <c r="BY3797" s="153"/>
      <c r="BZ3797" s="153"/>
      <c r="CA3797" s="152"/>
      <c r="CB3797" s="152"/>
    </row>
    <row r="3798" spans="1:80" s="87" customFormat="1" x14ac:dyDescent="0.2">
      <c r="A3798" s="152"/>
      <c r="B3798" s="683"/>
      <c r="C3798" s="683"/>
      <c r="D3798" s="698"/>
      <c r="E3798" s="215"/>
      <c r="F3798" s="215"/>
      <c r="G3798" s="153"/>
      <c r="H3798" s="153"/>
      <c r="I3798" s="312">
        <v>12</v>
      </c>
      <c r="J3798" s="312">
        <v>30</v>
      </c>
      <c r="K3798" s="150">
        <v>1</v>
      </c>
      <c r="L3798" s="656">
        <v>6</v>
      </c>
      <c r="M3798" s="663">
        <v>33003</v>
      </c>
      <c r="N3798" s="600">
        <v>1.7100900000000001</v>
      </c>
      <c r="O3798" s="604">
        <v>3.3660000000000002E-2</v>
      </c>
      <c r="P3798" s="250"/>
      <c r="Q3798" s="250"/>
      <c r="R3798" s="250"/>
      <c r="S3798" s="250"/>
      <c r="T3798" s="250"/>
      <c r="U3798" s="250"/>
      <c r="V3798" s="250"/>
      <c r="W3798" s="250"/>
      <c r="X3798" s="250"/>
      <c r="Y3798" s="250"/>
      <c r="Z3798" s="150"/>
      <c r="AA3798" s="150">
        <v>1.24</v>
      </c>
      <c r="AB3798" s="152"/>
      <c r="AC3798" s="152"/>
      <c r="AD3798" s="223">
        <v>8.0769350000000006</v>
      </c>
      <c r="AE3798" s="223">
        <v>0.30479000000000001</v>
      </c>
      <c r="AF3798" s="223">
        <v>2.4524016</v>
      </c>
      <c r="AG3798" s="223">
        <v>0.701017</v>
      </c>
      <c r="AH3798" s="341"/>
      <c r="AI3798" s="218"/>
      <c r="AJ3798" s="218"/>
      <c r="AK3798" s="153"/>
      <c r="AL3798" s="152"/>
      <c r="AM3798" s="152"/>
      <c r="AN3798" s="152"/>
      <c r="AO3798" s="152"/>
      <c r="AP3798" s="152"/>
      <c r="AQ3798" s="152"/>
      <c r="AR3798" s="152"/>
      <c r="AS3798" s="152"/>
      <c r="AT3798" s="152"/>
      <c r="AU3798" s="153"/>
      <c r="AV3798" s="479"/>
      <c r="AW3798" s="479"/>
      <c r="AX3798" s="442"/>
      <c r="AY3798" s="153"/>
      <c r="AZ3798" s="152"/>
      <c r="BA3798" s="152"/>
      <c r="BB3798" s="152"/>
      <c r="BC3798" s="152"/>
      <c r="BD3798" s="152"/>
      <c r="BE3798" s="152"/>
      <c r="BF3798" s="152"/>
      <c r="BG3798" s="152"/>
      <c r="BH3798" s="152"/>
      <c r="BI3798" s="153"/>
      <c r="BJ3798" s="153"/>
      <c r="BK3798" s="153"/>
      <c r="BL3798" s="153"/>
      <c r="BM3798" s="153"/>
      <c r="BN3798" s="153"/>
      <c r="BO3798" s="153"/>
      <c r="BP3798" s="153"/>
      <c r="BQ3798" s="153"/>
      <c r="BR3798" s="153"/>
      <c r="BS3798" s="153"/>
      <c r="BT3798" s="153"/>
      <c r="BU3798" s="153"/>
      <c r="BV3798" s="153"/>
      <c r="BW3798" s="153"/>
      <c r="BX3798" s="153"/>
      <c r="BY3798" s="153"/>
      <c r="BZ3798" s="153"/>
      <c r="CA3798" s="152"/>
      <c r="CB3798" s="152"/>
    </row>
    <row r="3799" spans="1:80" s="87" customFormat="1" x14ac:dyDescent="0.2">
      <c r="A3799" s="152"/>
      <c r="B3799" s="683"/>
      <c r="C3799" s="683"/>
      <c r="D3799" s="698"/>
      <c r="E3799" s="215"/>
      <c r="F3799" s="215"/>
      <c r="G3799" s="153"/>
      <c r="H3799" s="153"/>
      <c r="I3799" s="312">
        <v>24</v>
      </c>
      <c r="J3799" s="312">
        <v>30</v>
      </c>
      <c r="K3799" s="150">
        <v>1</v>
      </c>
      <c r="L3799" s="656">
        <v>12</v>
      </c>
      <c r="M3799" s="663">
        <v>33016</v>
      </c>
      <c r="N3799" s="600">
        <v>1.87713</v>
      </c>
      <c r="O3799" s="604">
        <v>7.7140000000000004E-3</v>
      </c>
      <c r="P3799" s="250"/>
      <c r="Q3799" s="250"/>
      <c r="R3799" s="250"/>
      <c r="S3799" s="250"/>
      <c r="T3799" s="250"/>
      <c r="U3799" s="250"/>
      <c r="V3799" s="250"/>
      <c r="W3799" s="250"/>
      <c r="X3799" s="250"/>
      <c r="Y3799" s="250"/>
      <c r="Z3799" s="150"/>
      <c r="AA3799" s="150">
        <v>1.85</v>
      </c>
      <c r="AB3799" s="152"/>
      <c r="AC3799" s="152"/>
      <c r="AD3799" s="223">
        <v>8.1988509999999994</v>
      </c>
      <c r="AE3799" s="223">
        <v>0.31393369999999998</v>
      </c>
      <c r="AF3799" s="223">
        <v>2.5638744</v>
      </c>
      <c r="AG3799" s="223">
        <v>0.73149600000000004</v>
      </c>
      <c r="AH3799" s="341"/>
      <c r="AI3799" s="218"/>
      <c r="AJ3799" s="218"/>
      <c r="AK3799" s="153"/>
      <c r="AL3799" s="152"/>
      <c r="AM3799" s="152"/>
      <c r="AN3799" s="152"/>
      <c r="AO3799" s="152"/>
      <c r="AP3799" s="152"/>
      <c r="AQ3799" s="152"/>
      <c r="AR3799" s="152"/>
      <c r="AS3799" s="152"/>
      <c r="AT3799" s="152"/>
      <c r="AU3799" s="153"/>
      <c r="AV3799" s="479"/>
      <c r="AW3799" s="479"/>
      <c r="AX3799" s="442"/>
      <c r="AY3799" s="153"/>
      <c r="AZ3799" s="152"/>
      <c r="BA3799" s="152"/>
      <c r="BB3799" s="152"/>
      <c r="BC3799" s="152"/>
      <c r="BD3799" s="152"/>
      <c r="BE3799" s="152"/>
      <c r="BF3799" s="152"/>
      <c r="BG3799" s="152"/>
      <c r="BH3799" s="152"/>
      <c r="BI3799" s="153"/>
      <c r="BJ3799" s="153"/>
      <c r="BK3799" s="153"/>
      <c r="BL3799" s="153"/>
      <c r="BM3799" s="153"/>
      <c r="BN3799" s="153"/>
      <c r="BO3799" s="153"/>
      <c r="BP3799" s="153"/>
      <c r="BQ3799" s="153"/>
      <c r="BR3799" s="153"/>
      <c r="BS3799" s="153"/>
      <c r="BT3799" s="153"/>
      <c r="BU3799" s="153"/>
      <c r="BV3799" s="153"/>
      <c r="BW3799" s="153"/>
      <c r="BX3799" s="153"/>
      <c r="BY3799" s="153"/>
      <c r="BZ3799" s="153"/>
      <c r="CA3799" s="152"/>
      <c r="CB3799" s="152"/>
    </row>
    <row r="3800" spans="1:80" s="87" customFormat="1" x14ac:dyDescent="0.2">
      <c r="A3800" s="152"/>
      <c r="B3800" s="683"/>
      <c r="C3800" s="683"/>
      <c r="D3800" s="698"/>
      <c r="E3800" s="215"/>
      <c r="F3800" s="215"/>
      <c r="G3800" s="153"/>
      <c r="H3800" s="153"/>
      <c r="I3800" s="312">
        <v>28</v>
      </c>
      <c r="J3800" s="312">
        <v>30</v>
      </c>
      <c r="K3800" s="150">
        <v>1</v>
      </c>
      <c r="L3800" s="656">
        <v>14</v>
      </c>
      <c r="M3800" s="663">
        <v>33025</v>
      </c>
      <c r="N3800" s="600">
        <v>3.68065</v>
      </c>
      <c r="O3800" s="604">
        <v>1.3728000000000001E-2</v>
      </c>
      <c r="P3800" s="250"/>
      <c r="Q3800" s="250"/>
      <c r="R3800" s="250"/>
      <c r="S3800" s="250"/>
      <c r="T3800" s="250"/>
      <c r="U3800" s="250"/>
      <c r="V3800" s="250"/>
      <c r="W3800" s="250"/>
      <c r="X3800" s="250"/>
      <c r="Y3800" s="250"/>
      <c r="Z3800" s="150"/>
      <c r="AA3800" s="150">
        <v>1.91</v>
      </c>
      <c r="AB3800" s="152"/>
      <c r="AC3800" s="152"/>
      <c r="AD3800" s="223"/>
      <c r="AE3800" s="223"/>
      <c r="AF3800" s="223"/>
      <c r="AG3800" s="223"/>
      <c r="AH3800" s="341"/>
      <c r="AI3800" s="218"/>
      <c r="AJ3800" s="218"/>
      <c r="AK3800" s="153"/>
      <c r="AL3800" s="152"/>
      <c r="AM3800" s="152"/>
      <c r="AN3800" s="152"/>
      <c r="AO3800" s="152"/>
      <c r="AP3800" s="152"/>
      <c r="AQ3800" s="152"/>
      <c r="AR3800" s="152"/>
      <c r="AS3800" s="152"/>
      <c r="AT3800" s="152"/>
      <c r="AU3800" s="153"/>
      <c r="AV3800" s="479"/>
      <c r="AW3800" s="479"/>
      <c r="AX3800" s="442"/>
      <c r="AY3800" s="153"/>
      <c r="AZ3800" s="152"/>
      <c r="BA3800" s="152"/>
      <c r="BB3800" s="152"/>
      <c r="BC3800" s="152"/>
      <c r="BD3800" s="152"/>
      <c r="BE3800" s="152"/>
      <c r="BF3800" s="152"/>
      <c r="BG3800" s="152"/>
      <c r="BH3800" s="152"/>
      <c r="BI3800" s="153"/>
      <c r="BJ3800" s="153"/>
      <c r="BK3800" s="153"/>
      <c r="BL3800" s="153"/>
      <c r="BM3800" s="153"/>
      <c r="BN3800" s="153"/>
      <c r="BO3800" s="153"/>
      <c r="BP3800" s="153"/>
      <c r="BQ3800" s="153"/>
      <c r="BR3800" s="153"/>
      <c r="BS3800" s="153"/>
      <c r="BT3800" s="153"/>
      <c r="BU3800" s="153"/>
      <c r="BV3800" s="153"/>
      <c r="BW3800" s="153"/>
      <c r="BX3800" s="153"/>
      <c r="BY3800" s="153"/>
      <c r="BZ3800" s="153"/>
      <c r="CA3800" s="152"/>
      <c r="CB3800" s="152"/>
    </row>
    <row r="3801" spans="1:80" s="87" customFormat="1" x14ac:dyDescent="0.2">
      <c r="A3801" s="152"/>
      <c r="B3801" s="683"/>
      <c r="C3801" s="683"/>
      <c r="D3801" s="698"/>
      <c r="E3801" s="215"/>
      <c r="F3801" s="215"/>
      <c r="G3801" s="153"/>
      <c r="H3801" s="153"/>
      <c r="I3801" s="312">
        <v>24</v>
      </c>
      <c r="J3801" s="312">
        <v>30</v>
      </c>
      <c r="K3801" s="150">
        <v>1</v>
      </c>
      <c r="L3801" s="656">
        <v>12</v>
      </c>
      <c r="M3801" s="663">
        <v>33043</v>
      </c>
      <c r="N3801" s="600">
        <v>1.62798</v>
      </c>
      <c r="O3801" s="604">
        <v>7.6599999999999997E-4</v>
      </c>
      <c r="P3801" s="250"/>
      <c r="Q3801" s="250"/>
      <c r="R3801" s="250"/>
      <c r="S3801" s="250"/>
      <c r="T3801" s="250"/>
      <c r="U3801" s="250"/>
      <c r="V3801" s="250"/>
      <c r="W3801" s="250"/>
      <c r="X3801" s="250"/>
      <c r="Y3801" s="250"/>
      <c r="Z3801" s="150"/>
      <c r="AA3801" s="150">
        <v>0.7</v>
      </c>
      <c r="AB3801" s="152"/>
      <c r="AC3801" s="152"/>
      <c r="AD3801" s="223">
        <v>8.1074140000000003</v>
      </c>
      <c r="AE3801" s="223">
        <v>0.29564629999999997</v>
      </c>
      <c r="AF3801" s="223">
        <v>2.3873758</v>
      </c>
      <c r="AG3801" s="223">
        <v>0.64920270000000002</v>
      </c>
      <c r="AH3801" s="341"/>
      <c r="AI3801" s="218"/>
      <c r="AJ3801" s="218"/>
      <c r="AK3801" s="153"/>
      <c r="AL3801" s="152"/>
      <c r="AM3801" s="152"/>
      <c r="AN3801" s="152"/>
      <c r="AO3801" s="152"/>
      <c r="AP3801" s="152"/>
      <c r="AQ3801" s="152"/>
      <c r="AR3801" s="152"/>
      <c r="AS3801" s="152"/>
      <c r="AT3801" s="152"/>
      <c r="AU3801" s="153"/>
      <c r="AV3801" s="479"/>
      <c r="AW3801" s="479"/>
      <c r="AX3801" s="442"/>
      <c r="AY3801" s="153"/>
      <c r="AZ3801" s="152"/>
      <c r="BA3801" s="152"/>
      <c r="BB3801" s="152"/>
      <c r="BC3801" s="152"/>
      <c r="BD3801" s="152"/>
      <c r="BE3801" s="152"/>
      <c r="BF3801" s="152"/>
      <c r="BG3801" s="152"/>
      <c r="BH3801" s="152"/>
      <c r="BI3801" s="153"/>
      <c r="BJ3801" s="153"/>
      <c r="BK3801" s="153"/>
      <c r="BL3801" s="153"/>
      <c r="BM3801" s="153"/>
      <c r="BN3801" s="153"/>
      <c r="BO3801" s="153"/>
      <c r="BP3801" s="153"/>
      <c r="BQ3801" s="153"/>
      <c r="BR3801" s="153"/>
      <c r="BS3801" s="153"/>
      <c r="BT3801" s="153"/>
      <c r="BU3801" s="153"/>
      <c r="BV3801" s="153"/>
      <c r="BW3801" s="153"/>
      <c r="BX3801" s="153"/>
      <c r="BY3801" s="153"/>
      <c r="BZ3801" s="153"/>
      <c r="CA3801" s="152"/>
      <c r="CB3801" s="152"/>
    </row>
    <row r="3802" spans="1:80" s="87" customFormat="1" x14ac:dyDescent="0.2">
      <c r="A3802" s="152"/>
      <c r="B3802" s="683"/>
      <c r="C3802" s="683"/>
      <c r="D3802" s="698"/>
      <c r="E3802" s="215"/>
      <c r="F3802" s="215"/>
      <c r="G3802" s="153"/>
      <c r="H3802" s="153"/>
      <c r="I3802" s="312">
        <v>13</v>
      </c>
      <c r="J3802" s="312">
        <v>60</v>
      </c>
      <c r="K3802" s="150">
        <v>1</v>
      </c>
      <c r="L3802" s="656">
        <v>13</v>
      </c>
      <c r="M3802" s="663">
        <v>33330</v>
      </c>
      <c r="N3802" s="600">
        <v>0.74178999999999995</v>
      </c>
      <c r="O3802" s="604">
        <v>3.0405999999999999E-2</v>
      </c>
      <c r="P3802" s="250"/>
      <c r="Q3802" s="250"/>
      <c r="R3802" s="250"/>
      <c r="S3802" s="250"/>
      <c r="T3802" s="250"/>
      <c r="U3802" s="250"/>
      <c r="V3802" s="250"/>
      <c r="W3802" s="250"/>
      <c r="X3802" s="250"/>
      <c r="Y3802" s="250"/>
      <c r="Z3802" s="150"/>
      <c r="AA3802" s="150">
        <v>1.71</v>
      </c>
      <c r="AB3802" s="152"/>
      <c r="AC3802" s="152"/>
      <c r="AD3802" s="223">
        <v>7.9245400000000004</v>
      </c>
      <c r="AE3802" s="223">
        <v>0.24992780000000001</v>
      </c>
      <c r="AF3802" s="223">
        <v>1.9879316</v>
      </c>
      <c r="AG3802" s="223">
        <v>0.3718438</v>
      </c>
      <c r="AH3802" s="341"/>
      <c r="AI3802" s="218"/>
      <c r="AJ3802" s="218"/>
      <c r="AK3802" s="153"/>
      <c r="AL3802" s="152"/>
      <c r="AM3802" s="152"/>
      <c r="AN3802" s="152"/>
      <c r="AO3802" s="152"/>
      <c r="AP3802" s="152"/>
      <c r="AQ3802" s="152"/>
      <c r="AR3802" s="152"/>
      <c r="AS3802" s="152"/>
      <c r="AT3802" s="152"/>
      <c r="AU3802" s="153"/>
      <c r="AV3802" s="479"/>
      <c r="AW3802" s="479"/>
      <c r="AX3802" s="442"/>
      <c r="AY3802" s="153"/>
      <c r="AZ3802" s="152"/>
      <c r="BA3802" s="152"/>
      <c r="BB3802" s="152"/>
      <c r="BC3802" s="152"/>
      <c r="BD3802" s="152"/>
      <c r="BE3802" s="152"/>
      <c r="BF3802" s="152"/>
      <c r="BG3802" s="152"/>
      <c r="BH3802" s="152"/>
      <c r="BI3802" s="153"/>
      <c r="BJ3802" s="153"/>
      <c r="BK3802" s="153"/>
      <c r="BL3802" s="153"/>
      <c r="BM3802" s="153"/>
      <c r="BN3802" s="153"/>
      <c r="BO3802" s="153"/>
      <c r="BP3802" s="153"/>
      <c r="BQ3802" s="153"/>
      <c r="BR3802" s="153"/>
      <c r="BS3802" s="153"/>
      <c r="BT3802" s="153"/>
      <c r="BU3802" s="153"/>
      <c r="BV3802" s="153"/>
      <c r="BW3802" s="153"/>
      <c r="BX3802" s="153"/>
      <c r="BY3802" s="153"/>
      <c r="BZ3802" s="153"/>
      <c r="CA3802" s="152"/>
      <c r="CB3802" s="152"/>
    </row>
    <row r="3803" spans="1:80" s="87" customFormat="1" x14ac:dyDescent="0.2">
      <c r="A3803" s="152"/>
      <c r="B3803" s="683"/>
      <c r="C3803" s="683"/>
      <c r="D3803" s="698"/>
      <c r="E3803" s="215"/>
      <c r="F3803" s="215"/>
      <c r="G3803" s="153"/>
      <c r="H3803" s="153"/>
      <c r="I3803" s="312">
        <v>16</v>
      </c>
      <c r="J3803" s="312">
        <v>60</v>
      </c>
      <c r="K3803" s="150">
        <v>1</v>
      </c>
      <c r="L3803" s="656">
        <v>16</v>
      </c>
      <c r="M3803" s="663">
        <v>33336</v>
      </c>
      <c r="N3803" s="600">
        <v>1.34768</v>
      </c>
      <c r="O3803" s="604">
        <v>2.1410000000000001E-3</v>
      </c>
      <c r="P3803" s="250"/>
      <c r="Q3803" s="250"/>
      <c r="R3803" s="250"/>
      <c r="S3803" s="250"/>
      <c r="T3803" s="250"/>
      <c r="U3803" s="250"/>
      <c r="V3803" s="250"/>
      <c r="W3803" s="250"/>
      <c r="X3803" s="250"/>
      <c r="Y3803" s="250"/>
      <c r="Z3803" s="150"/>
      <c r="AA3803" s="150">
        <v>1.49</v>
      </c>
      <c r="AB3803" s="152"/>
      <c r="AC3803" s="152"/>
      <c r="AD3803" s="223">
        <v>8.0769350000000006</v>
      </c>
      <c r="AE3803" s="223">
        <v>0.29259839999999998</v>
      </c>
      <c r="AF3803" s="223">
        <v>2.3595076000000001</v>
      </c>
      <c r="AG3803" s="223">
        <v>0.57300519999999999</v>
      </c>
      <c r="AH3803" s="341"/>
      <c r="AI3803" s="218"/>
      <c r="AJ3803" s="218"/>
      <c r="AK3803" s="153"/>
      <c r="AL3803" s="152"/>
      <c r="AM3803" s="152"/>
      <c r="AN3803" s="152"/>
      <c r="AO3803" s="152"/>
      <c r="AP3803" s="152"/>
      <c r="AQ3803" s="152"/>
      <c r="AR3803" s="152"/>
      <c r="AS3803" s="152"/>
      <c r="AT3803" s="152"/>
      <c r="AU3803" s="153"/>
      <c r="AV3803" s="479"/>
      <c r="AW3803" s="479"/>
      <c r="AX3803" s="442"/>
      <c r="AY3803" s="153"/>
      <c r="AZ3803" s="152"/>
      <c r="BA3803" s="152"/>
      <c r="BB3803" s="152"/>
      <c r="BC3803" s="152"/>
      <c r="BD3803" s="152"/>
      <c r="BE3803" s="152"/>
      <c r="BF3803" s="152"/>
      <c r="BG3803" s="152"/>
      <c r="BH3803" s="152"/>
      <c r="BI3803" s="153"/>
      <c r="BJ3803" s="153"/>
      <c r="BK3803" s="153"/>
      <c r="BL3803" s="153"/>
      <c r="BM3803" s="153"/>
      <c r="BN3803" s="153"/>
      <c r="BO3803" s="153"/>
      <c r="BP3803" s="153"/>
      <c r="BQ3803" s="153"/>
      <c r="BR3803" s="153"/>
      <c r="BS3803" s="153"/>
      <c r="BT3803" s="153"/>
      <c r="BU3803" s="153"/>
      <c r="BV3803" s="153"/>
      <c r="BW3803" s="153"/>
      <c r="BX3803" s="153"/>
      <c r="BY3803" s="153"/>
      <c r="BZ3803" s="153"/>
      <c r="CA3803" s="152"/>
      <c r="CB3803" s="152"/>
    </row>
    <row r="3804" spans="1:80" s="87" customFormat="1" x14ac:dyDescent="0.2">
      <c r="A3804" s="152"/>
      <c r="B3804" s="683"/>
      <c r="C3804" s="683"/>
      <c r="D3804" s="698"/>
      <c r="E3804" s="215"/>
      <c r="F3804" s="215"/>
      <c r="G3804" s="153"/>
      <c r="H3804" s="153"/>
      <c r="I3804" s="312">
        <v>11</v>
      </c>
      <c r="J3804" s="312">
        <v>60</v>
      </c>
      <c r="K3804" s="150">
        <v>1</v>
      </c>
      <c r="L3804" s="656">
        <v>11</v>
      </c>
      <c r="M3804" s="663">
        <v>33343</v>
      </c>
      <c r="N3804" s="600">
        <v>1.00227</v>
      </c>
      <c r="O3804" s="604">
        <v>1.5430000000000001E-3</v>
      </c>
      <c r="P3804" s="250"/>
      <c r="Q3804" s="250"/>
      <c r="R3804" s="250"/>
      <c r="S3804" s="250"/>
      <c r="T3804" s="250"/>
      <c r="U3804" s="250"/>
      <c r="V3804" s="250"/>
      <c r="W3804" s="250"/>
      <c r="X3804" s="250"/>
      <c r="Y3804" s="250"/>
      <c r="Z3804" s="150"/>
      <c r="AA3804" s="150">
        <v>1.36</v>
      </c>
      <c r="AB3804" s="152"/>
      <c r="AC3804" s="152"/>
      <c r="AD3804" s="223">
        <v>8.137893</v>
      </c>
      <c r="AE3804" s="223">
        <v>0.26516729999999999</v>
      </c>
      <c r="AF3804" s="223">
        <v>2.15606974</v>
      </c>
      <c r="AG3804" s="223">
        <v>0.46632869999999998</v>
      </c>
      <c r="AH3804" s="341"/>
      <c r="AI3804" s="218"/>
      <c r="AJ3804" s="218"/>
      <c r="AK3804" s="153"/>
      <c r="AL3804" s="152"/>
      <c r="AM3804" s="152"/>
      <c r="AN3804" s="152"/>
      <c r="AO3804" s="152"/>
      <c r="AP3804" s="152"/>
      <c r="AQ3804" s="152"/>
      <c r="AR3804" s="152"/>
      <c r="AS3804" s="152"/>
      <c r="AT3804" s="152"/>
      <c r="AU3804" s="153"/>
      <c r="AV3804" s="479"/>
      <c r="AW3804" s="479"/>
      <c r="AX3804" s="442"/>
      <c r="AY3804" s="153"/>
      <c r="AZ3804" s="152"/>
      <c r="BA3804" s="152"/>
      <c r="BB3804" s="152"/>
      <c r="BC3804" s="152"/>
      <c r="BD3804" s="152"/>
      <c r="BE3804" s="152"/>
      <c r="BF3804" s="152"/>
      <c r="BG3804" s="152"/>
      <c r="BH3804" s="152"/>
      <c r="BI3804" s="153"/>
      <c r="BJ3804" s="153"/>
      <c r="BK3804" s="153"/>
      <c r="BL3804" s="153"/>
      <c r="BM3804" s="153"/>
      <c r="BN3804" s="153"/>
      <c r="BO3804" s="153"/>
      <c r="BP3804" s="153"/>
      <c r="BQ3804" s="153"/>
      <c r="BR3804" s="153"/>
      <c r="BS3804" s="153"/>
      <c r="BT3804" s="153"/>
      <c r="BU3804" s="153"/>
      <c r="BV3804" s="153"/>
      <c r="BW3804" s="153"/>
      <c r="BX3804" s="153"/>
      <c r="BY3804" s="153"/>
      <c r="BZ3804" s="153"/>
      <c r="CA3804" s="152"/>
      <c r="CB3804" s="152"/>
    </row>
    <row r="3805" spans="1:80" s="87" customFormat="1" x14ac:dyDescent="0.2">
      <c r="A3805" s="152"/>
      <c r="B3805" s="683"/>
      <c r="C3805" s="683"/>
      <c r="D3805" s="698"/>
      <c r="E3805" s="215"/>
      <c r="F3805" s="215"/>
      <c r="G3805" s="153"/>
      <c r="H3805" s="153"/>
      <c r="I3805" s="312">
        <v>12</v>
      </c>
      <c r="J3805" s="312">
        <v>60</v>
      </c>
      <c r="K3805" s="150">
        <v>1</v>
      </c>
      <c r="L3805" s="656">
        <v>12</v>
      </c>
      <c r="M3805" s="663">
        <v>33350</v>
      </c>
      <c r="N3805" s="600">
        <v>1.4552700000000001</v>
      </c>
      <c r="O3805" s="604">
        <v>3.9653000000000001E-2</v>
      </c>
      <c r="P3805" s="250"/>
      <c r="Q3805" s="250"/>
      <c r="R3805" s="250"/>
      <c r="S3805" s="250"/>
      <c r="T3805" s="250"/>
      <c r="U3805" s="250"/>
      <c r="V3805" s="250"/>
      <c r="W3805" s="250"/>
      <c r="X3805" s="250"/>
      <c r="Y3805" s="250"/>
      <c r="Z3805" s="150"/>
      <c r="AA3805" s="150">
        <v>1.56</v>
      </c>
      <c r="AB3805" s="152"/>
      <c r="AC3805" s="152"/>
      <c r="AD3805" s="223">
        <v>8.2293299999999991</v>
      </c>
      <c r="AE3805" s="223">
        <v>0.32307740000000001</v>
      </c>
      <c r="AF3805" s="223">
        <v>2.64655006</v>
      </c>
      <c r="AG3805" s="223">
        <v>0.55471780000000004</v>
      </c>
      <c r="AH3805" s="341"/>
      <c r="AI3805" s="218"/>
      <c r="AJ3805" s="218"/>
      <c r="AK3805" s="153"/>
      <c r="AL3805" s="152"/>
      <c r="AM3805" s="152"/>
      <c r="AN3805" s="152"/>
      <c r="AO3805" s="152"/>
      <c r="AP3805" s="152"/>
      <c r="AQ3805" s="152"/>
      <c r="AR3805" s="152"/>
      <c r="AS3805" s="152"/>
      <c r="AT3805" s="152"/>
      <c r="AU3805" s="153"/>
      <c r="AV3805" s="479"/>
      <c r="AW3805" s="479"/>
      <c r="AX3805" s="442"/>
      <c r="AY3805" s="153"/>
      <c r="AZ3805" s="152"/>
      <c r="BA3805" s="152"/>
      <c r="BB3805" s="152"/>
      <c r="BC3805" s="152"/>
      <c r="BD3805" s="152"/>
      <c r="BE3805" s="152"/>
      <c r="BF3805" s="152"/>
      <c r="BG3805" s="152"/>
      <c r="BH3805" s="152"/>
      <c r="BI3805" s="153"/>
      <c r="BJ3805" s="153"/>
      <c r="BK3805" s="153"/>
      <c r="BL3805" s="153"/>
      <c r="BM3805" s="153"/>
      <c r="BN3805" s="153"/>
      <c r="BO3805" s="153"/>
      <c r="BP3805" s="153"/>
      <c r="BQ3805" s="153"/>
      <c r="BR3805" s="153"/>
      <c r="BS3805" s="153"/>
      <c r="BT3805" s="153"/>
      <c r="BU3805" s="153"/>
      <c r="BV3805" s="153"/>
      <c r="BW3805" s="153"/>
      <c r="BX3805" s="153"/>
      <c r="BY3805" s="153"/>
      <c r="BZ3805" s="153"/>
      <c r="CA3805" s="152"/>
      <c r="CB3805" s="152"/>
    </row>
    <row r="3806" spans="1:80" s="87" customFormat="1" x14ac:dyDescent="0.2">
      <c r="A3806" s="152"/>
      <c r="B3806" s="683"/>
      <c r="C3806" s="683"/>
      <c r="D3806" s="698"/>
      <c r="E3806" s="215"/>
      <c r="F3806" s="215"/>
      <c r="G3806" s="153"/>
      <c r="H3806" s="153"/>
      <c r="I3806" s="312">
        <v>12</v>
      </c>
      <c r="J3806" s="312">
        <v>60</v>
      </c>
      <c r="K3806" s="150">
        <v>1</v>
      </c>
      <c r="L3806" s="656">
        <v>12</v>
      </c>
      <c r="M3806" s="663">
        <v>33354</v>
      </c>
      <c r="N3806" s="600">
        <v>2.1093000000000002</v>
      </c>
      <c r="O3806" s="604">
        <v>1.47E-4</v>
      </c>
      <c r="P3806" s="250"/>
      <c r="Q3806" s="250"/>
      <c r="R3806" s="250"/>
      <c r="S3806" s="250"/>
      <c r="T3806" s="250"/>
      <c r="U3806" s="250"/>
      <c r="V3806" s="250"/>
      <c r="W3806" s="250"/>
      <c r="X3806" s="250"/>
      <c r="Y3806" s="250"/>
      <c r="Z3806" s="150"/>
      <c r="AA3806" s="150">
        <v>1.08</v>
      </c>
      <c r="AB3806" s="152"/>
      <c r="AC3806" s="152"/>
      <c r="AD3806" s="223">
        <v>8.2598090000000006</v>
      </c>
      <c r="AE3806" s="223">
        <v>0.36574800000000002</v>
      </c>
      <c r="AF3806" s="223">
        <v>3.0153392399999999</v>
      </c>
      <c r="AG3806" s="223">
        <v>0.69796910000000001</v>
      </c>
      <c r="AH3806" s="341"/>
      <c r="AI3806" s="218"/>
      <c r="AJ3806" s="218"/>
      <c r="AK3806" s="153"/>
      <c r="AL3806" s="152"/>
      <c r="AM3806" s="152"/>
      <c r="AN3806" s="152"/>
      <c r="AO3806" s="152"/>
      <c r="AP3806" s="152"/>
      <c r="AQ3806" s="152"/>
      <c r="AR3806" s="152"/>
      <c r="AS3806" s="152"/>
      <c r="AT3806" s="152"/>
      <c r="AU3806" s="153"/>
      <c r="AV3806" s="479"/>
      <c r="AW3806" s="479"/>
      <c r="AX3806" s="442"/>
      <c r="AY3806" s="153"/>
      <c r="AZ3806" s="152"/>
      <c r="BA3806" s="152"/>
      <c r="BB3806" s="152"/>
      <c r="BC3806" s="152"/>
      <c r="BD3806" s="152"/>
      <c r="BE3806" s="152"/>
      <c r="BF3806" s="152"/>
      <c r="BG3806" s="152"/>
      <c r="BH3806" s="152"/>
      <c r="BI3806" s="153"/>
      <c r="BJ3806" s="153"/>
      <c r="BK3806" s="153"/>
      <c r="BL3806" s="153"/>
      <c r="BM3806" s="153"/>
      <c r="BN3806" s="153"/>
      <c r="BO3806" s="153"/>
      <c r="BP3806" s="153"/>
      <c r="BQ3806" s="153"/>
      <c r="BR3806" s="153"/>
      <c r="BS3806" s="153"/>
      <c r="BT3806" s="153"/>
      <c r="BU3806" s="153"/>
      <c r="BV3806" s="153"/>
      <c r="BW3806" s="153"/>
      <c r="BX3806" s="153"/>
      <c r="BY3806" s="153"/>
      <c r="BZ3806" s="153"/>
      <c r="CA3806" s="152"/>
      <c r="CB3806" s="152"/>
    </row>
    <row r="3807" spans="1:80" s="87" customFormat="1" x14ac:dyDescent="0.2">
      <c r="A3807" s="152"/>
      <c r="B3807" s="683"/>
      <c r="C3807" s="683"/>
      <c r="D3807" s="698"/>
      <c r="E3807" s="215"/>
      <c r="F3807" s="215"/>
      <c r="G3807" s="153"/>
      <c r="H3807" s="153"/>
      <c r="I3807" s="312">
        <v>11</v>
      </c>
      <c r="J3807" s="312">
        <v>60</v>
      </c>
      <c r="K3807" s="150">
        <v>1</v>
      </c>
      <c r="L3807" s="656">
        <v>11</v>
      </c>
      <c r="M3807" s="663">
        <v>33364</v>
      </c>
      <c r="N3807" s="600">
        <v>1.68177</v>
      </c>
      <c r="O3807" s="604">
        <v>0.104821</v>
      </c>
      <c r="P3807" s="250"/>
      <c r="Q3807" s="250"/>
      <c r="R3807" s="250"/>
      <c r="S3807" s="250"/>
      <c r="T3807" s="250"/>
      <c r="U3807" s="250"/>
      <c r="V3807" s="250"/>
      <c r="W3807" s="250"/>
      <c r="X3807" s="250"/>
      <c r="Y3807" s="250"/>
      <c r="Z3807" s="150"/>
      <c r="AA3807" s="150">
        <v>1.89</v>
      </c>
      <c r="AB3807" s="152"/>
      <c r="AC3807" s="152"/>
      <c r="AD3807" s="223">
        <v>8.503641</v>
      </c>
      <c r="AE3807" s="223">
        <v>0.33222109999999999</v>
      </c>
      <c r="AF3807" s="223">
        <v>2.8193329</v>
      </c>
      <c r="AG3807" s="223">
        <v>0.59434050000000005</v>
      </c>
      <c r="AH3807" s="341"/>
      <c r="AI3807" s="218"/>
      <c r="AJ3807" s="218"/>
      <c r="AK3807" s="153"/>
      <c r="AL3807" s="152"/>
      <c r="AM3807" s="152"/>
      <c r="AN3807" s="152"/>
      <c r="AO3807" s="152"/>
      <c r="AP3807" s="152"/>
      <c r="AQ3807" s="152"/>
      <c r="AR3807" s="152"/>
      <c r="AS3807" s="152"/>
      <c r="AT3807" s="152"/>
      <c r="AU3807" s="153"/>
      <c r="AV3807" s="479"/>
      <c r="AW3807" s="479"/>
      <c r="AX3807" s="442"/>
      <c r="AY3807" s="153"/>
      <c r="AZ3807" s="152"/>
      <c r="BA3807" s="152"/>
      <c r="BB3807" s="152"/>
      <c r="BC3807" s="152"/>
      <c r="BD3807" s="152"/>
      <c r="BE3807" s="152"/>
      <c r="BF3807" s="152"/>
      <c r="BG3807" s="152"/>
      <c r="BH3807" s="152"/>
      <c r="BI3807" s="153"/>
      <c r="BJ3807" s="153"/>
      <c r="BK3807" s="153"/>
      <c r="BL3807" s="153"/>
      <c r="BM3807" s="153"/>
      <c r="BN3807" s="153"/>
      <c r="BO3807" s="153"/>
      <c r="BP3807" s="153"/>
      <c r="BQ3807" s="153"/>
      <c r="BR3807" s="153"/>
      <c r="BS3807" s="153"/>
      <c r="BT3807" s="153"/>
      <c r="BU3807" s="153"/>
      <c r="BV3807" s="153"/>
      <c r="BW3807" s="153"/>
      <c r="BX3807" s="153"/>
      <c r="BY3807" s="153"/>
      <c r="BZ3807" s="153"/>
      <c r="CA3807" s="152"/>
      <c r="CB3807" s="152"/>
    </row>
    <row r="3808" spans="1:80" s="87" customFormat="1" x14ac:dyDescent="0.2">
      <c r="A3808" s="152"/>
      <c r="B3808" s="683"/>
      <c r="C3808" s="683"/>
      <c r="D3808" s="698"/>
      <c r="E3808" s="215"/>
      <c r="F3808" s="215"/>
      <c r="G3808" s="153"/>
      <c r="H3808" s="153"/>
      <c r="I3808" s="312">
        <v>12</v>
      </c>
      <c r="J3808" s="312">
        <v>60</v>
      </c>
      <c r="K3808" s="150">
        <v>1</v>
      </c>
      <c r="L3808" s="656">
        <v>12</v>
      </c>
      <c r="M3808" s="663">
        <v>33365</v>
      </c>
      <c r="N3808" s="600">
        <v>1.88846</v>
      </c>
      <c r="O3808" s="604">
        <v>6.1473E-2</v>
      </c>
      <c r="P3808" s="250"/>
      <c r="Q3808" s="250"/>
      <c r="R3808" s="250"/>
      <c r="S3808" s="250"/>
      <c r="T3808" s="250"/>
      <c r="U3808" s="250"/>
      <c r="V3808" s="250"/>
      <c r="W3808" s="250"/>
      <c r="X3808" s="250"/>
      <c r="Y3808" s="250"/>
      <c r="Z3808" s="150"/>
      <c r="AA3808" s="150">
        <v>3.86</v>
      </c>
      <c r="AB3808" s="152"/>
      <c r="AC3808" s="152"/>
      <c r="AD3808" s="223">
        <v>8.2902880000000003</v>
      </c>
      <c r="AE3808" s="223">
        <v>0.36270010000000003</v>
      </c>
      <c r="AF3808" s="223">
        <v>3.0097656000000002</v>
      </c>
      <c r="AG3808" s="223">
        <v>0.63091529999999996</v>
      </c>
      <c r="AH3808" s="341"/>
      <c r="AI3808" s="218"/>
      <c r="AJ3808" s="218"/>
      <c r="AK3808" s="153"/>
      <c r="AL3808" s="152"/>
      <c r="AM3808" s="152"/>
      <c r="AN3808" s="152"/>
      <c r="AO3808" s="152"/>
      <c r="AP3808" s="152"/>
      <c r="AQ3808" s="152"/>
      <c r="AR3808" s="152"/>
      <c r="AS3808" s="152"/>
      <c r="AT3808" s="152"/>
      <c r="AU3808" s="153"/>
      <c r="AV3808" s="479"/>
      <c r="AW3808" s="479"/>
      <c r="AX3808" s="442"/>
      <c r="AY3808" s="153"/>
      <c r="AZ3808" s="152"/>
      <c r="BA3808" s="152"/>
      <c r="BB3808" s="152"/>
      <c r="BC3808" s="152"/>
      <c r="BD3808" s="152"/>
      <c r="BE3808" s="152"/>
      <c r="BF3808" s="152"/>
      <c r="BG3808" s="152"/>
      <c r="BH3808" s="152"/>
      <c r="BI3808" s="153"/>
      <c r="BJ3808" s="153"/>
      <c r="BK3808" s="153"/>
      <c r="BL3808" s="153"/>
      <c r="BM3808" s="153"/>
      <c r="BN3808" s="153"/>
      <c r="BO3808" s="153"/>
      <c r="BP3808" s="153"/>
      <c r="BQ3808" s="153"/>
      <c r="BR3808" s="153"/>
      <c r="BS3808" s="153"/>
      <c r="BT3808" s="153"/>
      <c r="BU3808" s="153"/>
      <c r="BV3808" s="153"/>
      <c r="BW3808" s="153"/>
      <c r="BX3808" s="153"/>
      <c r="BY3808" s="153"/>
      <c r="BZ3808" s="153"/>
      <c r="CA3808" s="152"/>
      <c r="CB3808" s="152"/>
    </row>
    <row r="3809" spans="1:80" s="87" customFormat="1" x14ac:dyDescent="0.2">
      <c r="A3809" s="152"/>
      <c r="B3809" s="683"/>
      <c r="C3809" s="683"/>
      <c r="D3809" s="698"/>
      <c r="E3809" s="215"/>
      <c r="F3809" s="215"/>
      <c r="G3809" s="153"/>
      <c r="H3809" s="153"/>
      <c r="I3809" s="312">
        <v>13</v>
      </c>
      <c r="J3809" s="312">
        <v>60</v>
      </c>
      <c r="K3809" s="150">
        <v>1</v>
      </c>
      <c r="L3809" s="656">
        <v>13</v>
      </c>
      <c r="M3809" s="663">
        <v>33366</v>
      </c>
      <c r="N3809" s="600">
        <v>4.0770299999999997</v>
      </c>
      <c r="O3809" s="604">
        <v>2.9283E-2</v>
      </c>
      <c r="P3809" s="250"/>
      <c r="Q3809" s="250"/>
      <c r="R3809" s="250"/>
      <c r="S3809" s="250"/>
      <c r="T3809" s="250"/>
      <c r="U3809" s="250"/>
      <c r="V3809" s="250"/>
      <c r="W3809" s="250"/>
      <c r="X3809" s="250"/>
      <c r="Y3809" s="250"/>
      <c r="Z3809" s="150"/>
      <c r="AA3809" s="150">
        <v>1.04</v>
      </c>
      <c r="AB3809" s="152"/>
      <c r="AC3809" s="152"/>
      <c r="AD3809" s="223">
        <v>8.7474729999999994</v>
      </c>
      <c r="AE3809" s="223">
        <v>0.46937659999999998</v>
      </c>
      <c r="AF3809" s="223">
        <v>4.1152042</v>
      </c>
      <c r="AG3809" s="223">
        <v>0.97837589999999997</v>
      </c>
      <c r="AH3809" s="341"/>
      <c r="AI3809" s="218"/>
      <c r="AJ3809" s="218"/>
      <c r="AK3809" s="153"/>
      <c r="AL3809" s="152"/>
      <c r="AM3809" s="152"/>
      <c r="AN3809" s="152"/>
      <c r="AO3809" s="152"/>
      <c r="AP3809" s="152"/>
      <c r="AQ3809" s="152"/>
      <c r="AR3809" s="152"/>
      <c r="AS3809" s="152"/>
      <c r="AT3809" s="152"/>
      <c r="AU3809" s="153"/>
      <c r="AV3809" s="479"/>
      <c r="AW3809" s="479"/>
      <c r="AX3809" s="442"/>
      <c r="AY3809" s="153"/>
      <c r="AZ3809" s="152"/>
      <c r="BA3809" s="152"/>
      <c r="BB3809" s="152"/>
      <c r="BC3809" s="152"/>
      <c r="BD3809" s="152"/>
      <c r="BE3809" s="152"/>
      <c r="BF3809" s="152"/>
      <c r="BG3809" s="152"/>
      <c r="BH3809" s="152"/>
      <c r="BI3809" s="153"/>
      <c r="BJ3809" s="153"/>
      <c r="BK3809" s="153"/>
      <c r="BL3809" s="153"/>
      <c r="BM3809" s="153"/>
      <c r="BN3809" s="153"/>
      <c r="BO3809" s="153"/>
      <c r="BP3809" s="153"/>
      <c r="BQ3809" s="153"/>
      <c r="BR3809" s="153"/>
      <c r="BS3809" s="153"/>
      <c r="BT3809" s="153"/>
      <c r="BU3809" s="153"/>
      <c r="BV3809" s="153"/>
      <c r="BW3809" s="153"/>
      <c r="BX3809" s="153"/>
      <c r="BY3809" s="153"/>
      <c r="BZ3809" s="153"/>
      <c r="CA3809" s="152"/>
      <c r="CB3809" s="152"/>
    </row>
    <row r="3810" spans="1:80" s="87" customFormat="1" x14ac:dyDescent="0.2">
      <c r="A3810" s="152"/>
      <c r="B3810" s="683"/>
      <c r="C3810" s="683"/>
      <c r="D3810" s="698"/>
      <c r="E3810" s="215"/>
      <c r="F3810" s="215"/>
      <c r="G3810" s="153"/>
      <c r="H3810" s="153"/>
      <c r="I3810" s="312">
        <v>14</v>
      </c>
      <c r="J3810" s="312">
        <v>60</v>
      </c>
      <c r="K3810" s="150">
        <v>1</v>
      </c>
      <c r="L3810" s="656">
        <v>14</v>
      </c>
      <c r="M3810" s="663">
        <v>33373</v>
      </c>
      <c r="N3810" s="600">
        <v>3.59571</v>
      </c>
      <c r="O3810" s="604">
        <v>2.2880999999999999E-2</v>
      </c>
      <c r="P3810" s="250"/>
      <c r="Q3810" s="250"/>
      <c r="R3810" s="250"/>
      <c r="S3810" s="250"/>
      <c r="T3810" s="250"/>
      <c r="U3810" s="250"/>
      <c r="V3810" s="250"/>
      <c r="W3810" s="250"/>
      <c r="X3810" s="250"/>
      <c r="Y3810" s="250"/>
      <c r="Z3810" s="150"/>
      <c r="AA3810" s="150">
        <v>1.76</v>
      </c>
      <c r="AB3810" s="152"/>
      <c r="AC3810" s="152"/>
      <c r="AD3810" s="223">
        <v>8.6560360000000003</v>
      </c>
      <c r="AE3810" s="223">
        <v>0.4602329</v>
      </c>
      <c r="AF3810" s="223">
        <v>3.9758632</v>
      </c>
      <c r="AG3810" s="223">
        <v>0.91132210000000002</v>
      </c>
      <c r="AH3810" s="341"/>
      <c r="AI3810" s="218"/>
      <c r="AJ3810" s="218"/>
      <c r="AK3810" s="153"/>
      <c r="AL3810" s="152"/>
      <c r="AM3810" s="152"/>
      <c r="AN3810" s="152"/>
      <c r="AO3810" s="152"/>
      <c r="AP3810" s="152"/>
      <c r="AQ3810" s="152"/>
      <c r="AR3810" s="152"/>
      <c r="AS3810" s="152"/>
      <c r="AT3810" s="152"/>
      <c r="AU3810" s="153"/>
      <c r="AV3810" s="479"/>
      <c r="AW3810" s="479"/>
      <c r="AX3810" s="442"/>
      <c r="AY3810" s="153"/>
      <c r="AZ3810" s="152"/>
      <c r="BA3810" s="152"/>
      <c r="BB3810" s="152"/>
      <c r="BC3810" s="152"/>
      <c r="BD3810" s="152"/>
      <c r="BE3810" s="152"/>
      <c r="BF3810" s="152"/>
      <c r="BG3810" s="152"/>
      <c r="BH3810" s="152"/>
      <c r="BI3810" s="153"/>
      <c r="BJ3810" s="153"/>
      <c r="BK3810" s="153"/>
      <c r="BL3810" s="153"/>
      <c r="BM3810" s="153"/>
      <c r="BN3810" s="153"/>
      <c r="BO3810" s="153"/>
      <c r="BP3810" s="153"/>
      <c r="BQ3810" s="153"/>
      <c r="BR3810" s="153"/>
      <c r="BS3810" s="153"/>
      <c r="BT3810" s="153"/>
      <c r="BU3810" s="153"/>
      <c r="BV3810" s="153"/>
      <c r="BW3810" s="153"/>
      <c r="BX3810" s="153"/>
      <c r="BY3810" s="153"/>
      <c r="BZ3810" s="153"/>
      <c r="CA3810" s="152"/>
      <c r="CB3810" s="152"/>
    </row>
    <row r="3811" spans="1:80" s="87" customFormat="1" x14ac:dyDescent="0.2">
      <c r="A3811" s="152"/>
      <c r="B3811" s="683"/>
      <c r="C3811" s="683"/>
      <c r="D3811" s="698"/>
      <c r="E3811" s="215"/>
      <c r="F3811" s="215"/>
      <c r="G3811" s="153"/>
      <c r="H3811" s="153"/>
      <c r="I3811" s="312">
        <v>14</v>
      </c>
      <c r="J3811" s="312">
        <v>60</v>
      </c>
      <c r="K3811" s="150">
        <v>1</v>
      </c>
      <c r="L3811" s="656">
        <v>14</v>
      </c>
      <c r="M3811" s="663">
        <v>33386</v>
      </c>
      <c r="N3811" s="600">
        <v>3.93547</v>
      </c>
      <c r="O3811" s="604">
        <v>5.7695000000000003E-2</v>
      </c>
      <c r="P3811" s="250"/>
      <c r="Q3811" s="250"/>
      <c r="R3811" s="250"/>
      <c r="S3811" s="250"/>
      <c r="T3811" s="250"/>
      <c r="U3811" s="250"/>
      <c r="V3811" s="250"/>
      <c r="W3811" s="250"/>
      <c r="X3811" s="250"/>
      <c r="Y3811" s="250"/>
      <c r="Z3811" s="150"/>
      <c r="AA3811" s="150">
        <v>1.83</v>
      </c>
      <c r="AB3811" s="152"/>
      <c r="AC3811" s="152"/>
      <c r="AD3811" s="223"/>
      <c r="AE3811" s="223"/>
      <c r="AF3811" s="223"/>
      <c r="AG3811" s="223"/>
      <c r="AH3811" s="341"/>
      <c r="AI3811" s="218"/>
      <c r="AJ3811" s="218"/>
      <c r="AK3811" s="153"/>
      <c r="AL3811" s="152"/>
      <c r="AM3811" s="152"/>
      <c r="AN3811" s="152"/>
      <c r="AO3811" s="152"/>
      <c r="AP3811" s="152"/>
      <c r="AQ3811" s="152"/>
      <c r="AR3811" s="152"/>
      <c r="AS3811" s="152"/>
      <c r="AT3811" s="152"/>
      <c r="AU3811" s="153"/>
      <c r="AV3811" s="479"/>
      <c r="AW3811" s="479"/>
      <c r="AX3811" s="442"/>
      <c r="AY3811" s="153"/>
      <c r="AZ3811" s="152"/>
      <c r="BA3811" s="152"/>
      <c r="BB3811" s="152"/>
      <c r="BC3811" s="152"/>
      <c r="BD3811" s="152"/>
      <c r="BE3811" s="152"/>
      <c r="BF3811" s="152"/>
      <c r="BG3811" s="152"/>
      <c r="BH3811" s="152"/>
      <c r="BI3811" s="153"/>
      <c r="BJ3811" s="153"/>
      <c r="BK3811" s="153"/>
      <c r="BL3811" s="153"/>
      <c r="BM3811" s="153"/>
      <c r="BN3811" s="153"/>
      <c r="BO3811" s="153"/>
      <c r="BP3811" s="153"/>
      <c r="BQ3811" s="153"/>
      <c r="BR3811" s="153"/>
      <c r="BS3811" s="153"/>
      <c r="BT3811" s="153"/>
      <c r="BU3811" s="153"/>
      <c r="BV3811" s="153"/>
      <c r="BW3811" s="153"/>
      <c r="BX3811" s="153"/>
      <c r="BY3811" s="153"/>
      <c r="BZ3811" s="153"/>
      <c r="CA3811" s="152"/>
      <c r="CB3811" s="152"/>
    </row>
    <row r="3812" spans="1:80" s="87" customFormat="1" x14ac:dyDescent="0.2">
      <c r="A3812" s="152"/>
      <c r="B3812" s="683"/>
      <c r="C3812" s="683"/>
      <c r="D3812" s="698"/>
      <c r="E3812" s="215"/>
      <c r="F3812" s="215"/>
      <c r="G3812" s="153"/>
      <c r="H3812" s="153"/>
      <c r="I3812" s="312">
        <v>13</v>
      </c>
      <c r="J3812" s="312">
        <v>60</v>
      </c>
      <c r="K3812" s="150">
        <v>1</v>
      </c>
      <c r="L3812" s="656">
        <v>13</v>
      </c>
      <c r="M3812" s="663">
        <v>33394</v>
      </c>
      <c r="N3812" s="600">
        <v>3.3409</v>
      </c>
      <c r="O3812" s="604">
        <v>0.113732</v>
      </c>
      <c r="P3812" s="250"/>
      <c r="Q3812" s="250"/>
      <c r="R3812" s="250"/>
      <c r="S3812" s="250"/>
      <c r="T3812" s="250"/>
      <c r="U3812" s="250"/>
      <c r="V3812" s="250"/>
      <c r="W3812" s="250"/>
      <c r="X3812" s="250"/>
      <c r="Y3812" s="250"/>
      <c r="Z3812" s="150"/>
      <c r="AA3812" s="150">
        <v>2.02</v>
      </c>
      <c r="AB3812" s="152"/>
      <c r="AC3812" s="152"/>
      <c r="AD3812" s="223"/>
      <c r="AE3812" s="223"/>
      <c r="AF3812" s="223"/>
      <c r="AG3812" s="223"/>
      <c r="AH3812" s="341"/>
      <c r="AI3812" s="218"/>
      <c r="AJ3812" s="218"/>
      <c r="AK3812" s="153"/>
      <c r="AL3812" s="152"/>
      <c r="AM3812" s="152"/>
      <c r="AN3812" s="152"/>
      <c r="AO3812" s="152"/>
      <c r="AP3812" s="152"/>
      <c r="AQ3812" s="152"/>
      <c r="AR3812" s="152"/>
      <c r="AS3812" s="152"/>
      <c r="AT3812" s="152"/>
      <c r="AU3812" s="153"/>
      <c r="AV3812" s="479"/>
      <c r="AW3812" s="479"/>
      <c r="AX3812" s="442"/>
      <c r="AY3812" s="153"/>
      <c r="AZ3812" s="152"/>
      <c r="BA3812" s="152"/>
      <c r="BB3812" s="152"/>
      <c r="BC3812" s="152"/>
      <c r="BD3812" s="152"/>
      <c r="BE3812" s="152"/>
      <c r="BF3812" s="152"/>
      <c r="BG3812" s="152"/>
      <c r="BH3812" s="152"/>
      <c r="BI3812" s="153"/>
      <c r="BJ3812" s="153"/>
      <c r="BK3812" s="153"/>
      <c r="BL3812" s="153"/>
      <c r="BM3812" s="153"/>
      <c r="BN3812" s="153"/>
      <c r="BO3812" s="153"/>
      <c r="BP3812" s="153"/>
      <c r="BQ3812" s="153"/>
      <c r="BR3812" s="153"/>
      <c r="BS3812" s="153"/>
      <c r="BT3812" s="153"/>
      <c r="BU3812" s="153"/>
      <c r="BV3812" s="153"/>
      <c r="BW3812" s="153"/>
      <c r="BX3812" s="153"/>
      <c r="BY3812" s="153"/>
      <c r="BZ3812" s="153"/>
      <c r="CA3812" s="152"/>
      <c r="CB3812" s="152"/>
    </row>
    <row r="3813" spans="1:80" s="87" customFormat="1" x14ac:dyDescent="0.2">
      <c r="A3813" s="152"/>
      <c r="B3813" s="683"/>
      <c r="C3813" s="683"/>
      <c r="D3813" s="698"/>
      <c r="E3813" s="215"/>
      <c r="F3813" s="215"/>
      <c r="G3813" s="153"/>
      <c r="H3813" s="153"/>
      <c r="I3813" s="312">
        <v>12</v>
      </c>
      <c r="J3813" s="312">
        <v>60</v>
      </c>
      <c r="K3813" s="150">
        <v>1</v>
      </c>
      <c r="L3813" s="656">
        <v>12</v>
      </c>
      <c r="M3813" s="663">
        <v>33413</v>
      </c>
      <c r="N3813" s="600">
        <v>1.56569</v>
      </c>
      <c r="O3813" s="604">
        <v>2.1485000000000001E-2</v>
      </c>
      <c r="P3813" s="250"/>
      <c r="Q3813" s="250"/>
      <c r="R3813" s="250"/>
      <c r="S3813" s="250"/>
      <c r="T3813" s="250"/>
      <c r="U3813" s="250"/>
      <c r="V3813" s="250"/>
      <c r="W3813" s="250"/>
      <c r="X3813" s="250"/>
      <c r="Y3813" s="250"/>
      <c r="Z3813" s="150"/>
      <c r="AA3813" s="150">
        <v>1.63</v>
      </c>
      <c r="AB3813" s="152"/>
      <c r="AC3813" s="152"/>
      <c r="AD3813" s="223">
        <v>8.137893</v>
      </c>
      <c r="AE3813" s="223">
        <v>0.3291732</v>
      </c>
      <c r="AF3813" s="223">
        <v>2.6846366000000002</v>
      </c>
      <c r="AG3813" s="223">
        <v>0.3931791</v>
      </c>
      <c r="AH3813" s="341"/>
      <c r="AI3813" s="218"/>
      <c r="AJ3813" s="218"/>
      <c r="AK3813" s="153"/>
      <c r="AL3813" s="152"/>
      <c r="AM3813" s="152"/>
      <c r="AN3813" s="152"/>
      <c r="AO3813" s="152"/>
      <c r="AP3813" s="152"/>
      <c r="AQ3813" s="152"/>
      <c r="AR3813" s="152"/>
      <c r="AS3813" s="152"/>
      <c r="AT3813" s="152"/>
      <c r="AU3813" s="153"/>
      <c r="AV3813" s="479"/>
      <c r="AW3813" s="479"/>
      <c r="AX3813" s="442"/>
      <c r="AY3813" s="153"/>
      <c r="AZ3813" s="152"/>
      <c r="BA3813" s="152"/>
      <c r="BB3813" s="152"/>
      <c r="BC3813" s="152"/>
      <c r="BD3813" s="152"/>
      <c r="BE3813" s="152"/>
      <c r="BF3813" s="152"/>
      <c r="BG3813" s="152"/>
      <c r="BH3813" s="152"/>
      <c r="BI3813" s="153"/>
      <c r="BJ3813" s="153"/>
      <c r="BK3813" s="153"/>
      <c r="BL3813" s="153"/>
      <c r="BM3813" s="153"/>
      <c r="BN3813" s="153"/>
      <c r="BO3813" s="153"/>
      <c r="BP3813" s="153"/>
      <c r="BQ3813" s="153"/>
      <c r="BR3813" s="153"/>
      <c r="BS3813" s="153"/>
      <c r="BT3813" s="153"/>
      <c r="BU3813" s="153"/>
      <c r="BV3813" s="153"/>
      <c r="BW3813" s="153"/>
      <c r="BX3813" s="153"/>
      <c r="BY3813" s="153"/>
      <c r="BZ3813" s="153"/>
      <c r="CA3813" s="152"/>
      <c r="CB3813" s="152"/>
    </row>
    <row r="3814" spans="1:80" s="87" customFormat="1" x14ac:dyDescent="0.2">
      <c r="A3814" s="152"/>
      <c r="B3814" s="683"/>
      <c r="C3814" s="683"/>
      <c r="D3814" s="698"/>
      <c r="E3814" s="215"/>
      <c r="F3814" s="215"/>
      <c r="G3814" s="153"/>
      <c r="H3814" s="153"/>
      <c r="I3814" s="312">
        <v>11</v>
      </c>
      <c r="J3814" s="312">
        <v>60</v>
      </c>
      <c r="K3814" s="150">
        <v>1</v>
      </c>
      <c r="L3814" s="656">
        <v>11</v>
      </c>
      <c r="M3814" s="663">
        <v>33429</v>
      </c>
      <c r="N3814" s="600">
        <v>0.86636999999999997</v>
      </c>
      <c r="O3814" s="604">
        <v>1.6789999999999999E-3</v>
      </c>
      <c r="P3814" s="250"/>
      <c r="Q3814" s="250"/>
      <c r="R3814" s="250"/>
      <c r="S3814" s="250"/>
      <c r="T3814" s="250"/>
      <c r="U3814" s="250"/>
      <c r="V3814" s="250"/>
      <c r="W3814" s="250"/>
      <c r="X3814" s="250"/>
      <c r="Y3814" s="250"/>
      <c r="Z3814" s="150"/>
      <c r="AA3814" s="150">
        <v>0.43</v>
      </c>
      <c r="AB3814" s="152"/>
      <c r="AC3814" s="152"/>
      <c r="AD3814" s="223">
        <v>8.1988509999999994</v>
      </c>
      <c r="AE3814" s="223">
        <v>0.26821519999999999</v>
      </c>
      <c r="AF3814" s="223">
        <v>2.2043746199999998</v>
      </c>
      <c r="AG3814" s="223">
        <v>0.396227</v>
      </c>
      <c r="AH3814" s="341"/>
      <c r="AI3814" s="218"/>
      <c r="AJ3814" s="218"/>
      <c r="AK3814" s="153"/>
      <c r="AL3814" s="152"/>
      <c r="AM3814" s="152"/>
      <c r="AN3814" s="152"/>
      <c r="AO3814" s="152"/>
      <c r="AP3814" s="152"/>
      <c r="AQ3814" s="152"/>
      <c r="AR3814" s="152"/>
      <c r="AS3814" s="152"/>
      <c r="AT3814" s="152"/>
      <c r="AU3814" s="153"/>
      <c r="AV3814" s="479"/>
      <c r="AW3814" s="479"/>
      <c r="AX3814" s="442"/>
      <c r="AY3814" s="153"/>
      <c r="AZ3814" s="152"/>
      <c r="BA3814" s="152"/>
      <c r="BB3814" s="152"/>
      <c r="BC3814" s="152"/>
      <c r="BD3814" s="152"/>
      <c r="BE3814" s="152"/>
      <c r="BF3814" s="152"/>
      <c r="BG3814" s="152"/>
      <c r="BH3814" s="152"/>
      <c r="BI3814" s="153"/>
      <c r="BJ3814" s="153"/>
      <c r="BK3814" s="153"/>
      <c r="BL3814" s="153"/>
      <c r="BM3814" s="153"/>
      <c r="BN3814" s="153"/>
      <c r="BO3814" s="153"/>
      <c r="BP3814" s="153"/>
      <c r="BQ3814" s="153"/>
      <c r="BR3814" s="153"/>
      <c r="BS3814" s="153"/>
      <c r="BT3814" s="153"/>
      <c r="BU3814" s="153"/>
      <c r="BV3814" s="153"/>
      <c r="BW3814" s="153"/>
      <c r="BX3814" s="153"/>
      <c r="BY3814" s="153"/>
      <c r="BZ3814" s="153"/>
      <c r="CA3814" s="152"/>
      <c r="CB3814" s="152"/>
    </row>
    <row r="3815" spans="1:80" s="87" customFormat="1" x14ac:dyDescent="0.2">
      <c r="A3815" s="152"/>
      <c r="B3815" s="683"/>
      <c r="C3815" s="683"/>
      <c r="D3815" s="698"/>
      <c r="E3815" s="215"/>
      <c r="F3815" s="215"/>
      <c r="G3815" s="153"/>
      <c r="H3815" s="153"/>
      <c r="I3815" s="312">
        <v>10</v>
      </c>
      <c r="J3815" s="312">
        <v>60</v>
      </c>
      <c r="K3815" s="150">
        <v>1</v>
      </c>
      <c r="L3815" s="656">
        <v>10</v>
      </c>
      <c r="M3815" s="663">
        <v>33661</v>
      </c>
      <c r="N3815" s="600">
        <v>0.40487000000000001</v>
      </c>
      <c r="O3815" s="604">
        <v>5.1400000000000003E-4</v>
      </c>
      <c r="P3815" s="250"/>
      <c r="Q3815" s="250"/>
      <c r="R3815" s="250"/>
      <c r="S3815" s="250"/>
      <c r="T3815" s="250"/>
      <c r="U3815" s="250"/>
      <c r="V3815" s="250"/>
      <c r="W3815" s="250"/>
      <c r="X3815" s="250"/>
      <c r="Y3815" s="250"/>
      <c r="Z3815" s="150"/>
      <c r="AA3815" s="150">
        <v>0.56999999999999995</v>
      </c>
      <c r="AB3815" s="152"/>
      <c r="AC3815" s="152"/>
      <c r="AD3815" s="223"/>
      <c r="AE3815" s="223"/>
      <c r="AF3815" s="223"/>
      <c r="AG3815" s="223"/>
      <c r="AH3815" s="341"/>
      <c r="AI3815" s="218"/>
      <c r="AJ3815" s="218"/>
      <c r="AK3815" s="153"/>
      <c r="AL3815" s="152"/>
      <c r="AM3815" s="152"/>
      <c r="AN3815" s="152"/>
      <c r="AO3815" s="152"/>
      <c r="AP3815" s="152"/>
      <c r="AQ3815" s="152"/>
      <c r="AR3815" s="152"/>
      <c r="AS3815" s="152"/>
      <c r="AT3815" s="152"/>
      <c r="AU3815" s="153"/>
      <c r="AV3815" s="479"/>
      <c r="AW3815" s="479"/>
      <c r="AX3815" s="442"/>
      <c r="AY3815" s="153"/>
      <c r="AZ3815" s="152"/>
      <c r="BA3815" s="152"/>
      <c r="BB3815" s="152"/>
      <c r="BC3815" s="152"/>
      <c r="BD3815" s="152"/>
      <c r="BE3815" s="152"/>
      <c r="BF3815" s="152"/>
      <c r="BG3815" s="152"/>
      <c r="BH3815" s="152"/>
      <c r="BI3815" s="153"/>
      <c r="BJ3815" s="153"/>
      <c r="BK3815" s="153"/>
      <c r="BL3815" s="153"/>
      <c r="BM3815" s="153"/>
      <c r="BN3815" s="153"/>
      <c r="BO3815" s="153"/>
      <c r="BP3815" s="153"/>
      <c r="BQ3815" s="153"/>
      <c r="BR3815" s="153"/>
      <c r="BS3815" s="153"/>
      <c r="BT3815" s="153"/>
      <c r="BU3815" s="153"/>
      <c r="BV3815" s="153"/>
      <c r="BW3815" s="153"/>
      <c r="BX3815" s="153"/>
      <c r="BY3815" s="153"/>
      <c r="BZ3815" s="153"/>
      <c r="CA3815" s="152"/>
      <c r="CB3815" s="152"/>
    </row>
    <row r="3816" spans="1:80" s="87" customFormat="1" x14ac:dyDescent="0.2">
      <c r="A3816" s="152"/>
      <c r="B3816" s="683"/>
      <c r="C3816" s="683"/>
      <c r="D3816" s="698"/>
      <c r="E3816" s="215"/>
      <c r="F3816" s="215"/>
      <c r="G3816" s="153"/>
      <c r="H3816" s="153"/>
      <c r="I3816" s="312">
        <v>11</v>
      </c>
      <c r="J3816" s="312">
        <v>60</v>
      </c>
      <c r="K3816" s="150">
        <v>1</v>
      </c>
      <c r="L3816" s="656">
        <v>11</v>
      </c>
      <c r="M3816" s="663">
        <v>33667</v>
      </c>
      <c r="N3816" s="600">
        <v>0.51246000000000003</v>
      </c>
      <c r="O3816" s="604">
        <v>1.9963000000000002E-2</v>
      </c>
      <c r="P3816" s="250"/>
      <c r="Q3816" s="250"/>
      <c r="R3816" s="250"/>
      <c r="S3816" s="250"/>
      <c r="T3816" s="250"/>
      <c r="U3816" s="250"/>
      <c r="V3816" s="250"/>
      <c r="W3816" s="250"/>
      <c r="X3816" s="250"/>
      <c r="Y3816" s="250"/>
      <c r="Z3816" s="150"/>
      <c r="AA3816" s="150">
        <v>2.17</v>
      </c>
      <c r="AB3816" s="152"/>
      <c r="AC3816" s="152"/>
      <c r="AD3816" s="223"/>
      <c r="AE3816" s="223"/>
      <c r="AF3816" s="223"/>
      <c r="AG3816" s="223"/>
      <c r="AH3816" s="341"/>
      <c r="AI3816" s="218"/>
      <c r="AJ3816" s="218"/>
      <c r="AK3816" s="153"/>
      <c r="AL3816" s="152"/>
      <c r="AM3816" s="152"/>
      <c r="AN3816" s="152"/>
      <c r="AO3816" s="152"/>
      <c r="AP3816" s="152"/>
      <c r="AQ3816" s="152"/>
      <c r="AR3816" s="152"/>
      <c r="AS3816" s="152"/>
      <c r="AT3816" s="152"/>
      <c r="AU3816" s="153"/>
      <c r="AV3816" s="479"/>
      <c r="AW3816" s="479"/>
      <c r="AX3816" s="442"/>
      <c r="AY3816" s="153"/>
      <c r="AZ3816" s="152"/>
      <c r="BA3816" s="152"/>
      <c r="BB3816" s="152"/>
      <c r="BC3816" s="152"/>
      <c r="BD3816" s="152"/>
      <c r="BE3816" s="152"/>
      <c r="BF3816" s="152"/>
      <c r="BG3816" s="152"/>
      <c r="BH3816" s="152"/>
      <c r="BI3816" s="153"/>
      <c r="BJ3816" s="153"/>
      <c r="BK3816" s="153"/>
      <c r="BL3816" s="153"/>
      <c r="BM3816" s="153"/>
      <c r="BN3816" s="153"/>
      <c r="BO3816" s="153"/>
      <c r="BP3816" s="153"/>
      <c r="BQ3816" s="153"/>
      <c r="BR3816" s="153"/>
      <c r="BS3816" s="153"/>
      <c r="BT3816" s="153"/>
      <c r="BU3816" s="153"/>
      <c r="BV3816" s="153"/>
      <c r="BW3816" s="153"/>
      <c r="BX3816" s="153"/>
      <c r="BY3816" s="153"/>
      <c r="BZ3816" s="153"/>
      <c r="CA3816" s="152"/>
      <c r="CB3816" s="152"/>
    </row>
    <row r="3817" spans="1:80" s="87" customFormat="1" x14ac:dyDescent="0.2">
      <c r="A3817" s="152"/>
      <c r="B3817" s="683"/>
      <c r="C3817" s="683"/>
      <c r="D3817" s="698"/>
      <c r="E3817" s="215"/>
      <c r="F3817" s="215"/>
      <c r="G3817" s="153"/>
      <c r="H3817" s="153"/>
      <c r="I3817" s="312">
        <v>12</v>
      </c>
      <c r="J3817" s="312">
        <v>60</v>
      </c>
      <c r="K3817" s="150">
        <v>1</v>
      </c>
      <c r="L3817" s="656">
        <v>12</v>
      </c>
      <c r="M3817" s="663">
        <v>33673</v>
      </c>
      <c r="N3817" s="600">
        <v>0.73612999999999995</v>
      </c>
      <c r="O3817" s="604">
        <v>1.4253E-2</v>
      </c>
      <c r="P3817" s="250"/>
      <c r="Q3817" s="250"/>
      <c r="R3817" s="250"/>
      <c r="S3817" s="250"/>
      <c r="T3817" s="250"/>
      <c r="U3817" s="250"/>
      <c r="V3817" s="250"/>
      <c r="W3817" s="250"/>
      <c r="X3817" s="250"/>
      <c r="Y3817" s="250"/>
      <c r="Z3817" s="150"/>
      <c r="AA3817" s="150">
        <v>1.56</v>
      </c>
      <c r="AB3817" s="152"/>
      <c r="AC3817" s="152"/>
      <c r="AD3817" s="223">
        <v>7.9245400000000004</v>
      </c>
      <c r="AE3817" s="223">
        <v>0.2316404</v>
      </c>
      <c r="AF3817" s="223">
        <v>1.8300118000000001</v>
      </c>
      <c r="AG3817" s="223">
        <v>0.40841860000000002</v>
      </c>
      <c r="AH3817" s="341"/>
      <c r="AI3817" s="218"/>
      <c r="AJ3817" s="218"/>
      <c r="AK3817" s="153"/>
      <c r="AL3817" s="152"/>
      <c r="AM3817" s="152"/>
      <c r="AN3817" s="152"/>
      <c r="AO3817" s="152"/>
      <c r="AP3817" s="152"/>
      <c r="AQ3817" s="152"/>
      <c r="AR3817" s="152"/>
      <c r="AS3817" s="152"/>
      <c r="AT3817" s="152"/>
      <c r="AU3817" s="153"/>
      <c r="AV3817" s="479"/>
      <c r="AW3817" s="479"/>
      <c r="AX3817" s="442"/>
      <c r="AY3817" s="153"/>
      <c r="AZ3817" s="152"/>
      <c r="BA3817" s="152"/>
      <c r="BB3817" s="152"/>
      <c r="BC3817" s="152"/>
      <c r="BD3817" s="152"/>
      <c r="BE3817" s="152"/>
      <c r="BF3817" s="152"/>
      <c r="BG3817" s="152"/>
      <c r="BH3817" s="152"/>
      <c r="BI3817" s="153"/>
      <c r="BJ3817" s="153"/>
      <c r="BK3817" s="153"/>
      <c r="BL3817" s="153"/>
      <c r="BM3817" s="153"/>
      <c r="BN3817" s="153"/>
      <c r="BO3817" s="153"/>
      <c r="BP3817" s="153"/>
      <c r="BQ3817" s="153"/>
      <c r="BR3817" s="153"/>
      <c r="BS3817" s="153"/>
      <c r="BT3817" s="153"/>
      <c r="BU3817" s="153"/>
      <c r="BV3817" s="153"/>
      <c r="BW3817" s="153"/>
      <c r="BX3817" s="153"/>
      <c r="BY3817" s="153"/>
      <c r="BZ3817" s="153"/>
      <c r="CA3817" s="152"/>
      <c r="CB3817" s="152"/>
    </row>
    <row r="3818" spans="1:80" s="87" customFormat="1" x14ac:dyDescent="0.2">
      <c r="A3818" s="152"/>
      <c r="B3818" s="683"/>
      <c r="C3818" s="683"/>
      <c r="D3818" s="698"/>
      <c r="E3818" s="215"/>
      <c r="F3818" s="215"/>
      <c r="G3818" s="153"/>
      <c r="H3818" s="153"/>
      <c r="I3818" s="312">
        <v>12</v>
      </c>
      <c r="J3818" s="312">
        <v>60</v>
      </c>
      <c r="K3818" s="150">
        <v>1</v>
      </c>
      <c r="L3818" s="656">
        <v>12</v>
      </c>
      <c r="M3818" s="663">
        <v>33686</v>
      </c>
      <c r="N3818" s="600">
        <v>0.52944999999999998</v>
      </c>
      <c r="O3818" s="604">
        <v>3.6740000000000002E-3</v>
      </c>
      <c r="P3818" s="250"/>
      <c r="Q3818" s="250"/>
      <c r="R3818" s="250"/>
      <c r="S3818" s="250"/>
      <c r="T3818" s="250"/>
      <c r="U3818" s="250"/>
      <c r="V3818" s="250"/>
      <c r="W3818" s="250"/>
      <c r="X3818" s="250"/>
      <c r="Y3818" s="250"/>
      <c r="Z3818" s="150"/>
      <c r="AA3818" s="150">
        <v>1.28</v>
      </c>
      <c r="AB3818" s="152"/>
      <c r="AC3818" s="152"/>
      <c r="AD3818" s="223"/>
      <c r="AE3818" s="223"/>
      <c r="AF3818" s="223"/>
      <c r="AG3818" s="223"/>
      <c r="AH3818" s="341"/>
      <c r="AI3818" s="218"/>
      <c r="AJ3818" s="218"/>
      <c r="AK3818" s="153"/>
      <c r="AL3818" s="152"/>
      <c r="AM3818" s="152"/>
      <c r="AN3818" s="152"/>
      <c r="AO3818" s="152"/>
      <c r="AP3818" s="152"/>
      <c r="AQ3818" s="152"/>
      <c r="AR3818" s="152"/>
      <c r="AS3818" s="152"/>
      <c r="AT3818" s="152"/>
      <c r="AU3818" s="153"/>
      <c r="AV3818" s="479"/>
      <c r="AW3818" s="479"/>
      <c r="AX3818" s="442"/>
      <c r="AY3818" s="153"/>
      <c r="AZ3818" s="152"/>
      <c r="BA3818" s="152"/>
      <c r="BB3818" s="152"/>
      <c r="BC3818" s="152"/>
      <c r="BD3818" s="152"/>
      <c r="BE3818" s="152"/>
      <c r="BF3818" s="152"/>
      <c r="BG3818" s="152"/>
      <c r="BH3818" s="152"/>
      <c r="BI3818" s="153"/>
      <c r="BJ3818" s="153"/>
      <c r="BK3818" s="153"/>
      <c r="BL3818" s="153"/>
      <c r="BM3818" s="153"/>
      <c r="BN3818" s="153"/>
      <c r="BO3818" s="153"/>
      <c r="BP3818" s="153"/>
      <c r="BQ3818" s="153"/>
      <c r="BR3818" s="153"/>
      <c r="BS3818" s="153"/>
      <c r="BT3818" s="153"/>
      <c r="BU3818" s="153"/>
      <c r="BV3818" s="153"/>
      <c r="BW3818" s="153"/>
      <c r="BX3818" s="153"/>
      <c r="BY3818" s="153"/>
      <c r="BZ3818" s="153"/>
      <c r="CA3818" s="152"/>
      <c r="CB3818" s="152"/>
    </row>
    <row r="3819" spans="1:80" s="87" customFormat="1" x14ac:dyDescent="0.2">
      <c r="A3819" s="152"/>
      <c r="B3819" s="683"/>
      <c r="C3819" s="683"/>
      <c r="D3819" s="698"/>
      <c r="E3819" s="215"/>
      <c r="F3819" s="215"/>
      <c r="G3819" s="153"/>
      <c r="H3819" s="153"/>
      <c r="I3819" s="312">
        <v>11</v>
      </c>
      <c r="J3819" s="312">
        <v>60</v>
      </c>
      <c r="K3819" s="150">
        <v>1</v>
      </c>
      <c r="L3819" s="656">
        <v>11</v>
      </c>
      <c r="M3819" s="663">
        <v>33693</v>
      </c>
      <c r="N3819" s="600">
        <v>0.54644000000000004</v>
      </c>
      <c r="O3819" s="604">
        <v>1.343E-3</v>
      </c>
      <c r="P3819" s="250"/>
      <c r="Q3819" s="250"/>
      <c r="R3819" s="250"/>
      <c r="S3819" s="250"/>
      <c r="T3819" s="250"/>
      <c r="U3819" s="250"/>
      <c r="V3819" s="250"/>
      <c r="W3819" s="250"/>
      <c r="X3819" s="250"/>
      <c r="Y3819" s="250"/>
      <c r="Z3819" s="150"/>
      <c r="AA3819" s="150">
        <v>1.03</v>
      </c>
      <c r="AB3819" s="152"/>
      <c r="AC3819" s="152"/>
      <c r="AD3819" s="223">
        <v>7.8026239999999998</v>
      </c>
      <c r="AE3819" s="223">
        <v>0.21640090000000001</v>
      </c>
      <c r="AF3819" s="223">
        <v>1.6813814</v>
      </c>
      <c r="AG3819" s="223">
        <v>0.32612530000000001</v>
      </c>
      <c r="AH3819" s="341"/>
      <c r="AI3819" s="218"/>
      <c r="AJ3819" s="218"/>
      <c r="AK3819" s="153"/>
      <c r="AL3819" s="152"/>
      <c r="AM3819" s="152"/>
      <c r="AN3819" s="152"/>
      <c r="AO3819" s="152"/>
      <c r="AP3819" s="152"/>
      <c r="AQ3819" s="152"/>
      <c r="AR3819" s="152"/>
      <c r="AS3819" s="152"/>
      <c r="AT3819" s="152"/>
      <c r="AU3819" s="153"/>
      <c r="AV3819" s="479"/>
      <c r="AW3819" s="479"/>
      <c r="AX3819" s="442"/>
      <c r="AY3819" s="153"/>
      <c r="AZ3819" s="152"/>
      <c r="BA3819" s="152"/>
      <c r="BB3819" s="152"/>
      <c r="BC3819" s="152"/>
      <c r="BD3819" s="152"/>
      <c r="BE3819" s="152"/>
      <c r="BF3819" s="152"/>
      <c r="BG3819" s="152"/>
      <c r="BH3819" s="152"/>
      <c r="BI3819" s="153"/>
      <c r="BJ3819" s="153"/>
      <c r="BK3819" s="153"/>
      <c r="BL3819" s="153"/>
      <c r="BM3819" s="153"/>
      <c r="BN3819" s="153"/>
      <c r="BO3819" s="153"/>
      <c r="BP3819" s="153"/>
      <c r="BQ3819" s="153"/>
      <c r="BR3819" s="153"/>
      <c r="BS3819" s="153"/>
      <c r="BT3819" s="153"/>
      <c r="BU3819" s="153"/>
      <c r="BV3819" s="153"/>
      <c r="BW3819" s="153"/>
      <c r="BX3819" s="153"/>
      <c r="BY3819" s="153"/>
      <c r="BZ3819" s="153"/>
      <c r="CA3819" s="152"/>
      <c r="CB3819" s="152"/>
    </row>
    <row r="3820" spans="1:80" s="87" customFormat="1" x14ac:dyDescent="0.2">
      <c r="A3820" s="152"/>
      <c r="B3820" s="683"/>
      <c r="C3820" s="683"/>
      <c r="D3820" s="698"/>
      <c r="E3820" s="215"/>
      <c r="F3820" s="215"/>
      <c r="G3820" s="153"/>
      <c r="H3820" s="153"/>
      <c r="I3820" s="312">
        <v>12</v>
      </c>
      <c r="J3820" s="312">
        <v>60</v>
      </c>
      <c r="K3820" s="150">
        <v>1</v>
      </c>
      <c r="L3820" s="656">
        <v>12</v>
      </c>
      <c r="M3820" s="663">
        <v>33696</v>
      </c>
      <c r="N3820" s="600">
        <v>0.69366000000000005</v>
      </c>
      <c r="O3820" s="604">
        <v>1.784E-3</v>
      </c>
      <c r="P3820" s="250"/>
      <c r="Q3820" s="250"/>
      <c r="R3820" s="250"/>
      <c r="S3820" s="250"/>
      <c r="T3820" s="250"/>
      <c r="U3820" s="250"/>
      <c r="V3820" s="250"/>
      <c r="W3820" s="250"/>
      <c r="X3820" s="250"/>
      <c r="Y3820" s="250"/>
      <c r="Z3820" s="150"/>
      <c r="AA3820" s="150">
        <v>0.79</v>
      </c>
      <c r="AB3820" s="152"/>
      <c r="AC3820" s="152"/>
      <c r="AD3820" s="223"/>
      <c r="AE3820" s="223"/>
      <c r="AF3820" s="223"/>
      <c r="AG3820" s="223"/>
      <c r="AH3820" s="341"/>
      <c r="AI3820" s="218"/>
      <c r="AJ3820" s="218"/>
      <c r="AK3820" s="153"/>
      <c r="AL3820" s="152"/>
      <c r="AM3820" s="152"/>
      <c r="AN3820" s="152"/>
      <c r="AO3820" s="152"/>
      <c r="AP3820" s="152"/>
      <c r="AQ3820" s="152"/>
      <c r="AR3820" s="152"/>
      <c r="AS3820" s="152"/>
      <c r="AT3820" s="152"/>
      <c r="AU3820" s="153"/>
      <c r="AV3820" s="479"/>
      <c r="AW3820" s="479"/>
      <c r="AX3820" s="442"/>
      <c r="AY3820" s="153"/>
      <c r="AZ3820" s="152"/>
      <c r="BA3820" s="152"/>
      <c r="BB3820" s="152"/>
      <c r="BC3820" s="152"/>
      <c r="BD3820" s="152"/>
      <c r="BE3820" s="152"/>
      <c r="BF3820" s="152"/>
      <c r="BG3820" s="152"/>
      <c r="BH3820" s="152"/>
      <c r="BI3820" s="153"/>
      <c r="BJ3820" s="153"/>
      <c r="BK3820" s="153"/>
      <c r="BL3820" s="153"/>
      <c r="BM3820" s="153"/>
      <c r="BN3820" s="153"/>
      <c r="BO3820" s="153"/>
      <c r="BP3820" s="153"/>
      <c r="BQ3820" s="153"/>
      <c r="BR3820" s="153"/>
      <c r="BS3820" s="153"/>
      <c r="BT3820" s="153"/>
      <c r="BU3820" s="153"/>
      <c r="BV3820" s="153"/>
      <c r="BW3820" s="153"/>
      <c r="BX3820" s="153"/>
      <c r="BY3820" s="153"/>
      <c r="BZ3820" s="153"/>
      <c r="CA3820" s="152"/>
      <c r="CB3820" s="152"/>
    </row>
    <row r="3821" spans="1:80" s="87" customFormat="1" x14ac:dyDescent="0.2">
      <c r="A3821" s="152"/>
      <c r="B3821" s="683"/>
      <c r="C3821" s="683"/>
      <c r="D3821" s="698"/>
      <c r="E3821" s="215"/>
      <c r="F3821" s="215"/>
      <c r="G3821" s="153"/>
      <c r="H3821" s="153"/>
      <c r="I3821" s="312">
        <v>12</v>
      </c>
      <c r="J3821" s="312">
        <v>60</v>
      </c>
      <c r="K3821" s="150">
        <v>1</v>
      </c>
      <c r="L3821" s="656">
        <v>12</v>
      </c>
      <c r="M3821" s="663">
        <v>33698</v>
      </c>
      <c r="N3821" s="600">
        <v>1.05606</v>
      </c>
      <c r="O3821" s="604">
        <v>7.4310000000000001E-3</v>
      </c>
      <c r="P3821" s="250"/>
      <c r="Q3821" s="250"/>
      <c r="R3821" s="250"/>
      <c r="S3821" s="250"/>
      <c r="T3821" s="250"/>
      <c r="U3821" s="250"/>
      <c r="V3821" s="250"/>
      <c r="W3821" s="250"/>
      <c r="X3821" s="250"/>
      <c r="Y3821" s="250"/>
      <c r="Z3821" s="150"/>
      <c r="AA3821" s="150">
        <v>1.48</v>
      </c>
      <c r="AB3821" s="152"/>
      <c r="AC3821" s="152"/>
      <c r="AD3821" s="223">
        <v>8.0769350000000006</v>
      </c>
      <c r="AE3821" s="223">
        <v>0.26821519999999999</v>
      </c>
      <c r="AF3821" s="223">
        <v>2.1700038400000001</v>
      </c>
      <c r="AG3821" s="223">
        <v>0.51509510000000003</v>
      </c>
      <c r="AH3821" s="341"/>
      <c r="AI3821" s="218"/>
      <c r="AJ3821" s="218"/>
      <c r="AK3821" s="153"/>
      <c r="AL3821" s="152"/>
      <c r="AM3821" s="152"/>
      <c r="AN3821" s="152"/>
      <c r="AO3821" s="152"/>
      <c r="AP3821" s="152"/>
      <c r="AQ3821" s="152"/>
      <c r="AR3821" s="152"/>
      <c r="AS3821" s="152"/>
      <c r="AT3821" s="152"/>
      <c r="AU3821" s="153"/>
      <c r="AV3821" s="479"/>
      <c r="AW3821" s="479"/>
      <c r="AX3821" s="442"/>
      <c r="AY3821" s="153"/>
      <c r="AZ3821" s="152"/>
      <c r="BA3821" s="152"/>
      <c r="BB3821" s="152"/>
      <c r="BC3821" s="152"/>
      <c r="BD3821" s="152"/>
      <c r="BE3821" s="152"/>
      <c r="BF3821" s="152"/>
      <c r="BG3821" s="152"/>
      <c r="BH3821" s="152"/>
      <c r="BI3821" s="153"/>
      <c r="BJ3821" s="153"/>
      <c r="BK3821" s="153"/>
      <c r="BL3821" s="153"/>
      <c r="BM3821" s="153"/>
      <c r="BN3821" s="153"/>
      <c r="BO3821" s="153"/>
      <c r="BP3821" s="153"/>
      <c r="BQ3821" s="153"/>
      <c r="BR3821" s="153"/>
      <c r="BS3821" s="153"/>
      <c r="BT3821" s="153"/>
      <c r="BU3821" s="153"/>
      <c r="BV3821" s="153"/>
      <c r="BW3821" s="153"/>
      <c r="BX3821" s="153"/>
      <c r="BY3821" s="153"/>
      <c r="BZ3821" s="153"/>
      <c r="CA3821" s="152"/>
      <c r="CB3821" s="152"/>
    </row>
    <row r="3822" spans="1:80" s="87" customFormat="1" x14ac:dyDescent="0.2">
      <c r="A3822" s="152"/>
      <c r="B3822" s="683"/>
      <c r="C3822" s="683"/>
      <c r="D3822" s="698"/>
      <c r="E3822" s="215"/>
      <c r="F3822" s="215"/>
      <c r="G3822" s="153"/>
      <c r="H3822" s="153"/>
      <c r="I3822" s="312">
        <v>13</v>
      </c>
      <c r="J3822" s="312">
        <v>60</v>
      </c>
      <c r="K3822" s="150">
        <v>1</v>
      </c>
      <c r="L3822" s="656">
        <v>13</v>
      </c>
      <c r="M3822" s="663">
        <v>33704</v>
      </c>
      <c r="N3822" s="600">
        <v>1.10703</v>
      </c>
      <c r="O3822" s="604">
        <v>3.2673000000000001E-2</v>
      </c>
      <c r="P3822" s="250"/>
      <c r="Q3822" s="250"/>
      <c r="R3822" s="250"/>
      <c r="S3822" s="250"/>
      <c r="T3822" s="250"/>
      <c r="U3822" s="250"/>
      <c r="V3822" s="250"/>
      <c r="W3822" s="250"/>
      <c r="X3822" s="250"/>
      <c r="Y3822" s="250"/>
      <c r="Z3822" s="150"/>
      <c r="AA3822" s="150">
        <v>1.99</v>
      </c>
      <c r="AB3822" s="152"/>
      <c r="AC3822" s="152"/>
      <c r="AD3822" s="223">
        <v>8.1683719999999997</v>
      </c>
      <c r="AE3822" s="223">
        <v>0.2834547</v>
      </c>
      <c r="AF3822" s="223">
        <v>2.3130606</v>
      </c>
      <c r="AG3822" s="223">
        <v>0.47852030000000001</v>
      </c>
      <c r="AH3822" s="341"/>
      <c r="AI3822" s="218"/>
      <c r="AJ3822" s="218"/>
      <c r="AK3822" s="153"/>
      <c r="AL3822" s="152"/>
      <c r="AM3822" s="152"/>
      <c r="AN3822" s="152"/>
      <c r="AO3822" s="152"/>
      <c r="AP3822" s="152"/>
      <c r="AQ3822" s="152"/>
      <c r="AR3822" s="152"/>
      <c r="AS3822" s="152"/>
      <c r="AT3822" s="152"/>
      <c r="AU3822" s="153"/>
      <c r="AV3822" s="479"/>
      <c r="AW3822" s="479"/>
      <c r="AX3822" s="442"/>
      <c r="AY3822" s="153"/>
      <c r="AZ3822" s="152"/>
      <c r="BA3822" s="152"/>
      <c r="BB3822" s="152"/>
      <c r="BC3822" s="152"/>
      <c r="BD3822" s="152"/>
      <c r="BE3822" s="152"/>
      <c r="BF3822" s="152"/>
      <c r="BG3822" s="152"/>
      <c r="BH3822" s="152"/>
      <c r="BI3822" s="153"/>
      <c r="BJ3822" s="153"/>
      <c r="BK3822" s="153"/>
      <c r="BL3822" s="153"/>
      <c r="BM3822" s="153"/>
      <c r="BN3822" s="153"/>
      <c r="BO3822" s="153"/>
      <c r="BP3822" s="153"/>
      <c r="BQ3822" s="153"/>
      <c r="BR3822" s="153"/>
      <c r="BS3822" s="153"/>
      <c r="BT3822" s="153"/>
      <c r="BU3822" s="153"/>
      <c r="BV3822" s="153"/>
      <c r="BW3822" s="153"/>
      <c r="BX3822" s="153"/>
      <c r="BY3822" s="153"/>
      <c r="BZ3822" s="153"/>
      <c r="CA3822" s="152"/>
      <c r="CB3822" s="152"/>
    </row>
    <row r="3823" spans="1:80" s="87" customFormat="1" x14ac:dyDescent="0.2">
      <c r="A3823" s="152"/>
      <c r="B3823" s="683"/>
      <c r="C3823" s="683"/>
      <c r="D3823" s="698"/>
      <c r="E3823" s="215"/>
      <c r="F3823" s="215"/>
      <c r="G3823" s="153"/>
      <c r="H3823" s="153"/>
      <c r="I3823" s="312">
        <v>13</v>
      </c>
      <c r="J3823" s="312">
        <v>60</v>
      </c>
      <c r="K3823" s="150">
        <v>1</v>
      </c>
      <c r="L3823" s="656">
        <v>13</v>
      </c>
      <c r="M3823" s="663">
        <v>33711</v>
      </c>
      <c r="N3823" s="600">
        <v>1.69876</v>
      </c>
      <c r="O3823" s="604">
        <v>2.9041999999999998E-2</v>
      </c>
      <c r="P3823" s="250"/>
      <c r="Q3823" s="250"/>
      <c r="R3823" s="250"/>
      <c r="S3823" s="250"/>
      <c r="T3823" s="250"/>
      <c r="U3823" s="250"/>
      <c r="V3823" s="250"/>
      <c r="W3823" s="250"/>
      <c r="X3823" s="250"/>
      <c r="Y3823" s="250"/>
      <c r="Z3823" s="150"/>
      <c r="AA3823" s="150">
        <v>1.28</v>
      </c>
      <c r="AB3823" s="152"/>
      <c r="AC3823" s="152"/>
      <c r="AD3823" s="223"/>
      <c r="AE3823" s="223"/>
      <c r="AF3823" s="223"/>
      <c r="AG3823" s="223"/>
      <c r="AH3823" s="341"/>
      <c r="AI3823" s="218"/>
      <c r="AJ3823" s="218"/>
      <c r="AK3823" s="153"/>
      <c r="AL3823" s="152"/>
      <c r="AM3823" s="152"/>
      <c r="AN3823" s="152"/>
      <c r="AO3823" s="152"/>
      <c r="AP3823" s="152"/>
      <c r="AQ3823" s="152"/>
      <c r="AR3823" s="152"/>
      <c r="AS3823" s="152"/>
      <c r="AT3823" s="152"/>
      <c r="AU3823" s="153"/>
      <c r="AV3823" s="479"/>
      <c r="AW3823" s="479"/>
      <c r="AX3823" s="442"/>
      <c r="AY3823" s="153"/>
      <c r="AZ3823" s="152"/>
      <c r="BA3823" s="152"/>
      <c r="BB3823" s="152"/>
      <c r="BC3823" s="152"/>
      <c r="BD3823" s="152"/>
      <c r="BE3823" s="152"/>
      <c r="BF3823" s="152"/>
      <c r="BG3823" s="152"/>
      <c r="BH3823" s="152"/>
      <c r="BI3823" s="153"/>
      <c r="BJ3823" s="153"/>
      <c r="BK3823" s="153"/>
      <c r="BL3823" s="153"/>
      <c r="BM3823" s="153"/>
      <c r="BN3823" s="153"/>
      <c r="BO3823" s="153"/>
      <c r="BP3823" s="153"/>
      <c r="BQ3823" s="153"/>
      <c r="BR3823" s="153"/>
      <c r="BS3823" s="153"/>
      <c r="BT3823" s="153"/>
      <c r="BU3823" s="153"/>
      <c r="BV3823" s="153"/>
      <c r="BW3823" s="153"/>
      <c r="BX3823" s="153"/>
      <c r="BY3823" s="153"/>
      <c r="BZ3823" s="153"/>
      <c r="CA3823" s="152"/>
      <c r="CB3823" s="152"/>
    </row>
    <row r="3824" spans="1:80" s="87" customFormat="1" x14ac:dyDescent="0.2">
      <c r="A3824" s="152"/>
      <c r="B3824" s="683"/>
      <c r="C3824" s="683"/>
      <c r="D3824" s="698"/>
      <c r="E3824" s="215"/>
      <c r="F3824" s="215"/>
      <c r="G3824" s="153"/>
      <c r="H3824" s="153"/>
      <c r="I3824" s="312">
        <v>13</v>
      </c>
      <c r="J3824" s="312">
        <v>30</v>
      </c>
      <c r="K3824" s="150">
        <v>1</v>
      </c>
      <c r="L3824" s="656">
        <v>6.5</v>
      </c>
      <c r="M3824" s="663">
        <v>33721</v>
      </c>
      <c r="N3824" s="600">
        <v>1.53738</v>
      </c>
      <c r="O3824" s="604">
        <v>3.8351000000000003E-2</v>
      </c>
      <c r="P3824" s="250"/>
      <c r="Q3824" s="250"/>
      <c r="R3824" s="250"/>
      <c r="S3824" s="250"/>
      <c r="T3824" s="250"/>
      <c r="U3824" s="250"/>
      <c r="V3824" s="250"/>
      <c r="W3824" s="250"/>
      <c r="X3824" s="250"/>
      <c r="Y3824" s="250"/>
      <c r="Z3824" s="150"/>
      <c r="AA3824" s="150">
        <v>1.1200000000000001</v>
      </c>
      <c r="AB3824" s="152"/>
      <c r="AC3824" s="152"/>
      <c r="AD3824" s="223"/>
      <c r="AE3824" s="223"/>
      <c r="AF3824" s="223"/>
      <c r="AG3824" s="223"/>
      <c r="AH3824" s="341"/>
      <c r="AI3824" s="218"/>
      <c r="AJ3824" s="218"/>
      <c r="AK3824" s="153"/>
      <c r="AL3824" s="152"/>
      <c r="AM3824" s="152"/>
      <c r="AN3824" s="152"/>
      <c r="AO3824" s="152"/>
      <c r="AP3824" s="152"/>
      <c r="AQ3824" s="152"/>
      <c r="AR3824" s="152"/>
      <c r="AS3824" s="152"/>
      <c r="AT3824" s="152"/>
      <c r="AU3824" s="153"/>
      <c r="AV3824" s="479"/>
      <c r="AW3824" s="479"/>
      <c r="AX3824" s="442"/>
      <c r="AY3824" s="153"/>
      <c r="AZ3824" s="152"/>
      <c r="BA3824" s="152"/>
      <c r="BB3824" s="152"/>
      <c r="BC3824" s="152"/>
      <c r="BD3824" s="152"/>
      <c r="BE3824" s="152"/>
      <c r="BF3824" s="152"/>
      <c r="BG3824" s="152"/>
      <c r="BH3824" s="152"/>
      <c r="BI3824" s="153"/>
      <c r="BJ3824" s="153"/>
      <c r="BK3824" s="153"/>
      <c r="BL3824" s="153"/>
      <c r="BM3824" s="153"/>
      <c r="BN3824" s="153"/>
      <c r="BO3824" s="153"/>
      <c r="BP3824" s="153"/>
      <c r="BQ3824" s="153"/>
      <c r="BR3824" s="153"/>
      <c r="BS3824" s="153"/>
      <c r="BT3824" s="153"/>
      <c r="BU3824" s="153"/>
      <c r="BV3824" s="153"/>
      <c r="BW3824" s="153"/>
      <c r="BX3824" s="153"/>
      <c r="BY3824" s="153"/>
      <c r="BZ3824" s="153"/>
      <c r="CA3824" s="152"/>
      <c r="CB3824" s="152"/>
    </row>
    <row r="3825" spans="1:80" s="87" customFormat="1" x14ac:dyDescent="0.2">
      <c r="A3825" s="152"/>
      <c r="B3825" s="683"/>
      <c r="C3825" s="683"/>
      <c r="D3825" s="698"/>
      <c r="E3825" s="215"/>
      <c r="F3825" s="215"/>
      <c r="G3825" s="153"/>
      <c r="H3825" s="153"/>
      <c r="I3825" s="312">
        <v>13</v>
      </c>
      <c r="J3825" s="312">
        <v>30</v>
      </c>
      <c r="K3825" s="150">
        <v>1</v>
      </c>
      <c r="L3825" s="656">
        <v>6.5</v>
      </c>
      <c r="M3825" s="663">
        <v>33728</v>
      </c>
      <c r="N3825" s="600">
        <v>1.50624</v>
      </c>
      <c r="O3825" s="604">
        <v>5.6569999999999997E-3</v>
      </c>
      <c r="P3825" s="250"/>
      <c r="Q3825" s="250"/>
      <c r="R3825" s="250"/>
      <c r="S3825" s="250"/>
      <c r="T3825" s="250"/>
      <c r="U3825" s="250"/>
      <c r="V3825" s="250"/>
      <c r="W3825" s="250"/>
      <c r="X3825" s="250"/>
      <c r="Y3825" s="250"/>
      <c r="Z3825" s="150"/>
      <c r="AA3825" s="150">
        <v>0.79</v>
      </c>
      <c r="AB3825" s="152"/>
      <c r="AC3825" s="152"/>
      <c r="AD3825" s="223">
        <v>8.137893</v>
      </c>
      <c r="AE3825" s="223">
        <v>0.32307740000000001</v>
      </c>
      <c r="AF3825" s="223">
        <v>2.6196107999999998</v>
      </c>
      <c r="AG3825" s="223">
        <v>0.58214889999999997</v>
      </c>
      <c r="AH3825" s="341"/>
      <c r="AI3825" s="218"/>
      <c r="AJ3825" s="218"/>
      <c r="AK3825" s="153"/>
      <c r="AL3825" s="152"/>
      <c r="AM3825" s="152"/>
      <c r="AN3825" s="152"/>
      <c r="AO3825" s="152"/>
      <c r="AP3825" s="152"/>
      <c r="AQ3825" s="152"/>
      <c r="AR3825" s="152"/>
      <c r="AS3825" s="152"/>
      <c r="AT3825" s="152"/>
      <c r="AU3825" s="153"/>
      <c r="AV3825" s="479"/>
      <c r="AW3825" s="479"/>
      <c r="AX3825" s="442"/>
      <c r="AY3825" s="153"/>
      <c r="AZ3825" s="152"/>
      <c r="BA3825" s="152"/>
      <c r="BB3825" s="152"/>
      <c r="BC3825" s="152"/>
      <c r="BD3825" s="152"/>
      <c r="BE3825" s="152"/>
      <c r="BF3825" s="152"/>
      <c r="BG3825" s="152"/>
      <c r="BH3825" s="152"/>
      <c r="BI3825" s="153"/>
      <c r="BJ3825" s="153"/>
      <c r="BK3825" s="153"/>
      <c r="BL3825" s="153"/>
      <c r="BM3825" s="153"/>
      <c r="BN3825" s="153"/>
      <c r="BO3825" s="153"/>
      <c r="BP3825" s="153"/>
      <c r="BQ3825" s="153"/>
      <c r="BR3825" s="153"/>
      <c r="BS3825" s="153"/>
      <c r="BT3825" s="153"/>
      <c r="BU3825" s="153"/>
      <c r="BV3825" s="153"/>
      <c r="BW3825" s="153"/>
      <c r="BX3825" s="153"/>
      <c r="BY3825" s="153"/>
      <c r="BZ3825" s="153"/>
      <c r="CA3825" s="152"/>
      <c r="CB3825" s="152"/>
    </row>
    <row r="3826" spans="1:80" s="87" customFormat="1" x14ac:dyDescent="0.2">
      <c r="A3826" s="152"/>
      <c r="B3826" s="683"/>
      <c r="C3826" s="683"/>
      <c r="D3826" s="698"/>
      <c r="E3826" s="215"/>
      <c r="F3826" s="215"/>
      <c r="G3826" s="153"/>
      <c r="H3826" s="153"/>
      <c r="I3826" s="312">
        <v>13</v>
      </c>
      <c r="J3826" s="312">
        <v>60</v>
      </c>
      <c r="K3826" s="150">
        <v>1</v>
      </c>
      <c r="L3826" s="656">
        <v>13</v>
      </c>
      <c r="M3826" s="663">
        <v>33735</v>
      </c>
      <c r="N3826" s="600">
        <v>1.26841</v>
      </c>
      <c r="O3826" s="604">
        <v>2.2870000000000001E-2</v>
      </c>
      <c r="P3826" s="250"/>
      <c r="Q3826" s="250"/>
      <c r="R3826" s="250"/>
      <c r="S3826" s="250"/>
      <c r="T3826" s="250"/>
      <c r="U3826" s="250"/>
      <c r="V3826" s="250"/>
      <c r="W3826" s="250"/>
      <c r="X3826" s="250"/>
      <c r="Y3826" s="250"/>
      <c r="Z3826" s="150"/>
      <c r="AA3826" s="150">
        <v>0.97</v>
      </c>
      <c r="AB3826" s="152"/>
      <c r="AC3826" s="152"/>
      <c r="AD3826" s="223"/>
      <c r="AE3826" s="223"/>
      <c r="AF3826" s="223"/>
      <c r="AG3826" s="223"/>
      <c r="AH3826" s="341"/>
      <c r="AI3826" s="218"/>
      <c r="AJ3826" s="218"/>
      <c r="AK3826" s="153"/>
      <c r="AL3826" s="152"/>
      <c r="AM3826" s="152"/>
      <c r="AN3826" s="152"/>
      <c r="AO3826" s="152"/>
      <c r="AP3826" s="152"/>
      <c r="AQ3826" s="152"/>
      <c r="AR3826" s="152"/>
      <c r="AS3826" s="152"/>
      <c r="AT3826" s="152"/>
      <c r="AU3826" s="153"/>
      <c r="AV3826" s="479"/>
      <c r="AW3826" s="479"/>
      <c r="AX3826" s="442"/>
      <c r="AY3826" s="153"/>
      <c r="AZ3826" s="152"/>
      <c r="BA3826" s="152"/>
      <c r="BB3826" s="152"/>
      <c r="BC3826" s="152"/>
      <c r="BD3826" s="152"/>
      <c r="BE3826" s="152"/>
      <c r="BF3826" s="152"/>
      <c r="BG3826" s="152"/>
      <c r="BH3826" s="152"/>
      <c r="BI3826" s="153"/>
      <c r="BJ3826" s="153"/>
      <c r="BK3826" s="153"/>
      <c r="BL3826" s="153"/>
      <c r="BM3826" s="153"/>
      <c r="BN3826" s="153"/>
      <c r="BO3826" s="153"/>
      <c r="BP3826" s="153"/>
      <c r="BQ3826" s="153"/>
      <c r="BR3826" s="153"/>
      <c r="BS3826" s="153"/>
      <c r="BT3826" s="153"/>
      <c r="BU3826" s="153"/>
      <c r="BV3826" s="153"/>
      <c r="BW3826" s="153"/>
      <c r="BX3826" s="153"/>
      <c r="BY3826" s="153"/>
      <c r="BZ3826" s="153"/>
      <c r="CA3826" s="152"/>
      <c r="CB3826" s="152"/>
    </row>
    <row r="3827" spans="1:80" s="87" customFormat="1" x14ac:dyDescent="0.2">
      <c r="A3827" s="152"/>
      <c r="B3827" s="683"/>
      <c r="C3827" s="683"/>
      <c r="D3827" s="698"/>
      <c r="E3827" s="215"/>
      <c r="F3827" s="215"/>
      <c r="G3827" s="153"/>
      <c r="H3827" s="153"/>
      <c r="I3827" s="312">
        <v>13</v>
      </c>
      <c r="J3827" s="312">
        <v>60</v>
      </c>
      <c r="K3827" s="150">
        <v>1</v>
      </c>
      <c r="L3827" s="656">
        <v>13</v>
      </c>
      <c r="M3827" s="663">
        <v>33744</v>
      </c>
      <c r="N3827" s="600">
        <v>1.08155</v>
      </c>
      <c r="O3827" s="604">
        <v>2.7592999999999999E-2</v>
      </c>
      <c r="P3827" s="250"/>
      <c r="Q3827" s="250"/>
      <c r="R3827" s="250"/>
      <c r="S3827" s="250"/>
      <c r="T3827" s="250"/>
      <c r="U3827" s="250"/>
      <c r="V3827" s="250"/>
      <c r="W3827" s="250"/>
      <c r="X3827" s="250"/>
      <c r="Y3827" s="250"/>
      <c r="Z3827" s="150"/>
      <c r="AA3827" s="150">
        <v>1.93</v>
      </c>
      <c r="AB3827" s="152"/>
      <c r="AC3827" s="152"/>
      <c r="AD3827" s="223"/>
      <c r="AE3827" s="223"/>
      <c r="AF3827" s="223"/>
      <c r="AG3827" s="223"/>
      <c r="AH3827" s="341"/>
      <c r="AI3827" s="218"/>
      <c r="AJ3827" s="218"/>
      <c r="AK3827" s="153"/>
      <c r="AL3827" s="152"/>
      <c r="AM3827" s="152"/>
      <c r="AN3827" s="152"/>
      <c r="AO3827" s="152"/>
      <c r="AP3827" s="152"/>
      <c r="AQ3827" s="152"/>
      <c r="AR3827" s="152"/>
      <c r="AS3827" s="152"/>
      <c r="AT3827" s="152"/>
      <c r="AU3827" s="153"/>
      <c r="AV3827" s="479"/>
      <c r="AW3827" s="479"/>
      <c r="AX3827" s="442"/>
      <c r="AY3827" s="153"/>
      <c r="AZ3827" s="152"/>
      <c r="BA3827" s="152"/>
      <c r="BB3827" s="152"/>
      <c r="BC3827" s="152"/>
      <c r="BD3827" s="152"/>
      <c r="BE3827" s="152"/>
      <c r="BF3827" s="152"/>
      <c r="BG3827" s="152"/>
      <c r="BH3827" s="152"/>
      <c r="BI3827" s="153"/>
      <c r="BJ3827" s="153"/>
      <c r="BK3827" s="153"/>
      <c r="BL3827" s="153"/>
      <c r="BM3827" s="153"/>
      <c r="BN3827" s="153"/>
      <c r="BO3827" s="153"/>
      <c r="BP3827" s="153"/>
      <c r="BQ3827" s="153"/>
      <c r="BR3827" s="153"/>
      <c r="BS3827" s="153"/>
      <c r="BT3827" s="153"/>
      <c r="BU3827" s="153"/>
      <c r="BV3827" s="153"/>
      <c r="BW3827" s="153"/>
      <c r="BX3827" s="153"/>
      <c r="BY3827" s="153"/>
      <c r="BZ3827" s="153"/>
      <c r="CA3827" s="152"/>
      <c r="CB3827" s="152"/>
    </row>
    <row r="3828" spans="1:80" s="87" customFormat="1" x14ac:dyDescent="0.2">
      <c r="A3828" s="152"/>
      <c r="B3828" s="683"/>
      <c r="C3828" s="683"/>
      <c r="D3828" s="698"/>
      <c r="E3828" s="215"/>
      <c r="F3828" s="215"/>
      <c r="G3828" s="153"/>
      <c r="H3828" s="153"/>
      <c r="I3828" s="312">
        <v>13</v>
      </c>
      <c r="J3828" s="312">
        <v>60</v>
      </c>
      <c r="K3828" s="150">
        <v>1</v>
      </c>
      <c r="L3828" s="656">
        <v>13</v>
      </c>
      <c r="M3828" s="663">
        <v>33750</v>
      </c>
      <c r="N3828" s="600">
        <v>1.05606</v>
      </c>
      <c r="O3828" s="604">
        <v>1.3769999999999999E-2</v>
      </c>
      <c r="P3828" s="250"/>
      <c r="Q3828" s="250"/>
      <c r="R3828" s="250"/>
      <c r="S3828" s="250"/>
      <c r="T3828" s="250"/>
      <c r="U3828" s="250"/>
      <c r="V3828" s="250"/>
      <c r="W3828" s="250"/>
      <c r="X3828" s="250"/>
      <c r="Y3828" s="250"/>
      <c r="Z3828" s="150"/>
      <c r="AA3828" s="150">
        <v>0.65</v>
      </c>
      <c r="AB3828" s="152"/>
      <c r="AC3828" s="152"/>
      <c r="AD3828" s="223"/>
      <c r="AE3828" s="223"/>
      <c r="AF3828" s="223"/>
      <c r="AG3828" s="223"/>
      <c r="AH3828" s="341"/>
      <c r="AI3828" s="218"/>
      <c r="AJ3828" s="218"/>
      <c r="AK3828" s="153"/>
      <c r="AL3828" s="152"/>
      <c r="AM3828" s="152"/>
      <c r="AN3828" s="152"/>
      <c r="AO3828" s="152"/>
      <c r="AP3828" s="152"/>
      <c r="AQ3828" s="152"/>
      <c r="AR3828" s="152"/>
      <c r="AS3828" s="152"/>
      <c r="AT3828" s="152"/>
      <c r="AU3828" s="153"/>
      <c r="AV3828" s="479"/>
      <c r="AW3828" s="479"/>
      <c r="AX3828" s="442"/>
      <c r="AY3828" s="153"/>
      <c r="AZ3828" s="152"/>
      <c r="BA3828" s="152"/>
      <c r="BB3828" s="152"/>
      <c r="BC3828" s="152"/>
      <c r="BD3828" s="152"/>
      <c r="BE3828" s="152"/>
      <c r="BF3828" s="152"/>
      <c r="BG3828" s="152"/>
      <c r="BH3828" s="152"/>
      <c r="BI3828" s="153"/>
      <c r="BJ3828" s="153"/>
      <c r="BK3828" s="153"/>
      <c r="BL3828" s="153"/>
      <c r="BM3828" s="153"/>
      <c r="BN3828" s="153"/>
      <c r="BO3828" s="153"/>
      <c r="BP3828" s="153"/>
      <c r="BQ3828" s="153"/>
      <c r="BR3828" s="153"/>
      <c r="BS3828" s="153"/>
      <c r="BT3828" s="153"/>
      <c r="BU3828" s="153"/>
      <c r="BV3828" s="153"/>
      <c r="BW3828" s="153"/>
      <c r="BX3828" s="153"/>
      <c r="BY3828" s="153"/>
      <c r="BZ3828" s="153"/>
      <c r="CA3828" s="152"/>
      <c r="CB3828" s="152"/>
    </row>
    <row r="3829" spans="1:80" s="87" customFormat="1" x14ac:dyDescent="0.2">
      <c r="A3829" s="152"/>
      <c r="B3829" s="683"/>
      <c r="C3829" s="683"/>
      <c r="D3829" s="698"/>
      <c r="E3829" s="215"/>
      <c r="F3829" s="215"/>
      <c r="G3829" s="153"/>
      <c r="H3829" s="153"/>
      <c r="I3829" s="312">
        <v>12</v>
      </c>
      <c r="J3829" s="312">
        <v>60</v>
      </c>
      <c r="K3829" s="150">
        <v>1</v>
      </c>
      <c r="L3829" s="656">
        <v>12</v>
      </c>
      <c r="M3829" s="663">
        <v>33806</v>
      </c>
      <c r="N3829" s="600">
        <v>0.46433000000000002</v>
      </c>
      <c r="O3829" s="604">
        <v>8.3999999999999995E-5</v>
      </c>
      <c r="P3829" s="250"/>
      <c r="Q3829" s="250"/>
      <c r="R3829" s="250"/>
      <c r="S3829" s="250"/>
      <c r="T3829" s="250"/>
      <c r="U3829" s="250"/>
      <c r="V3829" s="250"/>
      <c r="W3829" s="250"/>
      <c r="X3829" s="250"/>
      <c r="Y3829" s="250"/>
      <c r="Z3829" s="150"/>
      <c r="AA3829" s="150">
        <v>1.1399999999999999</v>
      </c>
      <c r="AB3829" s="152"/>
      <c r="AC3829" s="152"/>
      <c r="AD3829" s="223">
        <v>7.4368759999999998</v>
      </c>
      <c r="AE3829" s="223">
        <v>0.20116139999999999</v>
      </c>
      <c r="AF3829" s="223">
        <v>1.5048828000000001</v>
      </c>
      <c r="AG3829" s="223">
        <v>0.3078379</v>
      </c>
      <c r="AH3829" s="341"/>
      <c r="AI3829" s="218"/>
      <c r="AJ3829" s="218"/>
      <c r="AK3829" s="153"/>
      <c r="AL3829" s="152"/>
      <c r="AM3829" s="152"/>
      <c r="AN3829" s="152"/>
      <c r="AO3829" s="152"/>
      <c r="AP3829" s="152"/>
      <c r="AQ3829" s="152"/>
      <c r="AR3829" s="152"/>
      <c r="AS3829" s="152"/>
      <c r="AT3829" s="152"/>
      <c r="AU3829" s="153"/>
      <c r="AV3829" s="479"/>
      <c r="AW3829" s="479"/>
      <c r="AX3829" s="442"/>
      <c r="AY3829" s="153"/>
      <c r="AZ3829" s="152"/>
      <c r="BA3829" s="152"/>
      <c r="BB3829" s="152"/>
      <c r="BC3829" s="152"/>
      <c r="BD3829" s="152"/>
      <c r="BE3829" s="152"/>
      <c r="BF3829" s="152"/>
      <c r="BG3829" s="152"/>
      <c r="BH3829" s="152"/>
      <c r="BI3829" s="153"/>
      <c r="BJ3829" s="153"/>
      <c r="BK3829" s="153"/>
      <c r="BL3829" s="153"/>
      <c r="BM3829" s="153"/>
      <c r="BN3829" s="153"/>
      <c r="BO3829" s="153"/>
      <c r="BP3829" s="153"/>
      <c r="BQ3829" s="153"/>
      <c r="BR3829" s="153"/>
      <c r="BS3829" s="153"/>
      <c r="BT3829" s="153"/>
      <c r="BU3829" s="153"/>
      <c r="BV3829" s="153"/>
      <c r="BW3829" s="153"/>
      <c r="BX3829" s="153"/>
      <c r="BY3829" s="153"/>
      <c r="BZ3829" s="153"/>
      <c r="CA3829" s="152"/>
      <c r="CB3829" s="152"/>
    </row>
    <row r="3830" spans="1:80" s="87" customFormat="1" x14ac:dyDescent="0.2">
      <c r="A3830" s="152"/>
      <c r="B3830" s="683"/>
      <c r="C3830" s="683"/>
      <c r="D3830" s="698"/>
      <c r="E3830" s="215"/>
      <c r="F3830" s="215"/>
      <c r="G3830" s="153"/>
      <c r="H3830" s="153"/>
      <c r="I3830" s="312">
        <v>12</v>
      </c>
      <c r="J3830" s="312">
        <v>30</v>
      </c>
      <c r="K3830" s="150">
        <v>1</v>
      </c>
      <c r="L3830" s="656">
        <v>6</v>
      </c>
      <c r="M3830" s="663">
        <v>34059</v>
      </c>
      <c r="N3830" s="600">
        <v>1.12401</v>
      </c>
      <c r="O3830" s="604">
        <v>2.1619999999999999E-3</v>
      </c>
      <c r="P3830" s="250"/>
      <c r="Q3830" s="250"/>
      <c r="R3830" s="250"/>
      <c r="S3830" s="250"/>
      <c r="T3830" s="250"/>
      <c r="U3830" s="250"/>
      <c r="V3830" s="250"/>
      <c r="W3830" s="250"/>
      <c r="X3830" s="250"/>
      <c r="Y3830" s="250"/>
      <c r="Z3830" s="150"/>
      <c r="AA3830" s="150">
        <v>0.92</v>
      </c>
      <c r="AB3830" s="152"/>
      <c r="AC3830" s="152"/>
      <c r="AD3830" s="223">
        <v>8.0769350000000006</v>
      </c>
      <c r="AE3830" s="223">
        <v>0.27126309999999998</v>
      </c>
      <c r="AF3830" s="223">
        <v>2.1857958200000001</v>
      </c>
      <c r="AG3830" s="223">
        <v>0.51509510000000003</v>
      </c>
      <c r="AH3830" s="341"/>
      <c r="AI3830" s="218"/>
      <c r="AJ3830" s="218"/>
      <c r="AK3830" s="153"/>
      <c r="AL3830" s="152"/>
      <c r="AM3830" s="152"/>
      <c r="AN3830" s="152"/>
      <c r="AO3830" s="152"/>
      <c r="AP3830" s="152"/>
      <c r="AQ3830" s="152"/>
      <c r="AR3830" s="152"/>
      <c r="AS3830" s="152"/>
      <c r="AT3830" s="152"/>
      <c r="AU3830" s="153"/>
      <c r="AV3830" s="479"/>
      <c r="AW3830" s="479"/>
      <c r="AX3830" s="442"/>
      <c r="AY3830" s="153"/>
      <c r="AZ3830" s="152"/>
      <c r="BA3830" s="152"/>
      <c r="BB3830" s="152"/>
      <c r="BC3830" s="152"/>
      <c r="BD3830" s="152"/>
      <c r="BE3830" s="152"/>
      <c r="BF3830" s="152"/>
      <c r="BG3830" s="152"/>
      <c r="BH3830" s="152"/>
      <c r="BI3830" s="153"/>
      <c r="BJ3830" s="153"/>
      <c r="BK3830" s="153"/>
      <c r="BL3830" s="153"/>
      <c r="BM3830" s="153"/>
      <c r="BN3830" s="153"/>
      <c r="BO3830" s="153"/>
      <c r="BP3830" s="153"/>
      <c r="BQ3830" s="153"/>
      <c r="BR3830" s="153"/>
      <c r="BS3830" s="153"/>
      <c r="BT3830" s="153"/>
      <c r="BU3830" s="153"/>
      <c r="BV3830" s="153"/>
      <c r="BW3830" s="153"/>
      <c r="BX3830" s="153"/>
      <c r="BY3830" s="153"/>
      <c r="BZ3830" s="153"/>
      <c r="CA3830" s="152"/>
      <c r="CB3830" s="152"/>
    </row>
    <row r="3831" spans="1:80" s="87" customFormat="1" x14ac:dyDescent="0.2">
      <c r="A3831" s="152"/>
      <c r="B3831" s="683"/>
      <c r="C3831" s="683"/>
      <c r="D3831" s="698"/>
      <c r="E3831" s="215"/>
      <c r="F3831" s="215"/>
      <c r="G3831" s="153"/>
      <c r="H3831" s="153"/>
      <c r="I3831" s="312">
        <v>17</v>
      </c>
      <c r="J3831" s="312">
        <v>30</v>
      </c>
      <c r="K3831" s="150">
        <v>1</v>
      </c>
      <c r="L3831" s="656">
        <v>8.5</v>
      </c>
      <c r="M3831" s="663">
        <v>34088</v>
      </c>
      <c r="N3831" s="600">
        <v>2.1913999999999998</v>
      </c>
      <c r="O3831" s="604">
        <v>3.1700000000000001E-3</v>
      </c>
      <c r="P3831" s="250"/>
      <c r="Q3831" s="250"/>
      <c r="R3831" s="250"/>
      <c r="S3831" s="250"/>
      <c r="T3831" s="250"/>
      <c r="U3831" s="250"/>
      <c r="V3831" s="250"/>
      <c r="W3831" s="250"/>
      <c r="X3831" s="250"/>
      <c r="Y3831" s="250"/>
      <c r="Z3831" s="150"/>
      <c r="AA3831" s="150">
        <v>0.82</v>
      </c>
      <c r="AB3831" s="152"/>
      <c r="AC3831" s="152"/>
      <c r="AD3831" s="223">
        <v>8.2902880000000003</v>
      </c>
      <c r="AE3831" s="223">
        <v>0.37793959999999999</v>
      </c>
      <c r="AF3831" s="223">
        <v>3.1305277999999999</v>
      </c>
      <c r="AG3831" s="223">
        <v>0.72844810000000004</v>
      </c>
      <c r="AH3831" s="341"/>
      <c r="AI3831" s="218"/>
      <c r="AJ3831" s="218"/>
      <c r="AK3831" s="153"/>
      <c r="AL3831" s="152"/>
      <c r="AM3831" s="152"/>
      <c r="AN3831" s="152"/>
      <c r="AO3831" s="152"/>
      <c r="AP3831" s="152"/>
      <c r="AQ3831" s="152"/>
      <c r="AR3831" s="152"/>
      <c r="AS3831" s="152"/>
      <c r="AT3831" s="152"/>
      <c r="AU3831" s="153"/>
      <c r="AV3831" s="479"/>
      <c r="AW3831" s="479"/>
      <c r="AX3831" s="442"/>
      <c r="AY3831" s="153"/>
      <c r="AZ3831" s="152"/>
      <c r="BA3831" s="152"/>
      <c r="BB3831" s="152"/>
      <c r="BC3831" s="152"/>
      <c r="BD3831" s="152"/>
      <c r="BE3831" s="152"/>
      <c r="BF3831" s="152"/>
      <c r="BG3831" s="152"/>
      <c r="BH3831" s="152"/>
      <c r="BI3831" s="153"/>
      <c r="BJ3831" s="153"/>
      <c r="BK3831" s="153"/>
      <c r="BL3831" s="153"/>
      <c r="BM3831" s="153"/>
      <c r="BN3831" s="153"/>
      <c r="BO3831" s="153"/>
      <c r="BP3831" s="153"/>
      <c r="BQ3831" s="153"/>
      <c r="BR3831" s="153"/>
      <c r="BS3831" s="153"/>
      <c r="BT3831" s="153"/>
      <c r="BU3831" s="153"/>
      <c r="BV3831" s="153"/>
      <c r="BW3831" s="153"/>
      <c r="BX3831" s="153"/>
      <c r="BY3831" s="153"/>
      <c r="BZ3831" s="153"/>
      <c r="CA3831" s="152"/>
      <c r="CB3831" s="152"/>
    </row>
    <row r="3832" spans="1:80" s="87" customFormat="1" x14ac:dyDescent="0.2">
      <c r="A3832" s="152"/>
      <c r="B3832" s="683"/>
      <c r="C3832" s="683"/>
      <c r="D3832" s="698"/>
      <c r="E3832" s="215"/>
      <c r="F3832" s="215"/>
      <c r="G3832" s="153"/>
      <c r="H3832" s="153"/>
      <c r="I3832" s="312">
        <v>17</v>
      </c>
      <c r="J3832" s="312">
        <v>30</v>
      </c>
      <c r="K3832" s="150">
        <v>1</v>
      </c>
      <c r="L3832" s="656">
        <v>8.5</v>
      </c>
      <c r="M3832" s="663">
        <v>34088</v>
      </c>
      <c r="N3832" s="600">
        <v>3.00115</v>
      </c>
      <c r="O3832" s="604">
        <v>0.17349400000000001</v>
      </c>
      <c r="P3832" s="250"/>
      <c r="Q3832" s="250"/>
      <c r="R3832" s="250"/>
      <c r="S3832" s="250"/>
      <c r="T3832" s="250"/>
      <c r="U3832" s="250"/>
      <c r="V3832" s="250"/>
      <c r="W3832" s="250"/>
      <c r="X3832" s="250"/>
      <c r="Y3832" s="250"/>
      <c r="Z3832" s="150"/>
      <c r="AA3832" s="150">
        <v>3.72</v>
      </c>
      <c r="AB3832" s="152"/>
      <c r="AC3832" s="152"/>
      <c r="AD3832" s="223">
        <v>8.2902880000000003</v>
      </c>
      <c r="AE3832" s="223">
        <v>0.37793959999999999</v>
      </c>
      <c r="AF3832" s="223">
        <v>3.1305277999999999</v>
      </c>
      <c r="AG3832" s="223">
        <v>0.72844810000000004</v>
      </c>
      <c r="AH3832" s="341"/>
      <c r="AI3832" s="218"/>
      <c r="AJ3832" s="218"/>
      <c r="AK3832" s="153"/>
      <c r="AL3832" s="152"/>
      <c r="AM3832" s="152"/>
      <c r="AN3832" s="152"/>
      <c r="AO3832" s="152"/>
      <c r="AP3832" s="152"/>
      <c r="AQ3832" s="152"/>
      <c r="AR3832" s="152"/>
      <c r="AS3832" s="152"/>
      <c r="AT3832" s="152"/>
      <c r="AU3832" s="153"/>
      <c r="AV3832" s="479"/>
      <c r="AW3832" s="479"/>
      <c r="AX3832" s="442"/>
      <c r="AY3832" s="153"/>
      <c r="AZ3832" s="152"/>
      <c r="BA3832" s="152"/>
      <c r="BB3832" s="152"/>
      <c r="BC3832" s="152"/>
      <c r="BD3832" s="152"/>
      <c r="BE3832" s="152"/>
      <c r="BF3832" s="152"/>
      <c r="BG3832" s="152"/>
      <c r="BH3832" s="152"/>
      <c r="BI3832" s="153"/>
      <c r="BJ3832" s="153"/>
      <c r="BK3832" s="153"/>
      <c r="BL3832" s="153"/>
      <c r="BM3832" s="153"/>
      <c r="BN3832" s="153"/>
      <c r="BO3832" s="153"/>
      <c r="BP3832" s="153"/>
      <c r="BQ3832" s="153"/>
      <c r="BR3832" s="153"/>
      <c r="BS3832" s="153"/>
      <c r="BT3832" s="153"/>
      <c r="BU3832" s="153"/>
      <c r="BV3832" s="153"/>
      <c r="BW3832" s="153"/>
      <c r="BX3832" s="153"/>
      <c r="BY3832" s="153"/>
      <c r="BZ3832" s="153"/>
      <c r="CA3832" s="152"/>
      <c r="CB3832" s="152"/>
    </row>
    <row r="3833" spans="1:80" s="87" customFormat="1" x14ac:dyDescent="0.2">
      <c r="A3833" s="152"/>
      <c r="B3833" s="683"/>
      <c r="C3833" s="683"/>
      <c r="D3833" s="698"/>
      <c r="E3833" s="215"/>
      <c r="F3833" s="215"/>
      <c r="G3833" s="153"/>
      <c r="H3833" s="153"/>
      <c r="I3833" s="312">
        <v>13</v>
      </c>
      <c r="J3833" s="312">
        <v>30</v>
      </c>
      <c r="K3833" s="150">
        <v>1</v>
      </c>
      <c r="L3833" s="656">
        <v>6.5</v>
      </c>
      <c r="M3833" s="663">
        <v>34092</v>
      </c>
      <c r="N3833" s="600">
        <v>3.59571</v>
      </c>
      <c r="O3833" s="604">
        <v>8.0617999999999995E-2</v>
      </c>
      <c r="P3833" s="250"/>
      <c r="Q3833" s="250"/>
      <c r="R3833" s="250"/>
      <c r="S3833" s="250"/>
      <c r="T3833" s="250"/>
      <c r="U3833" s="250"/>
      <c r="V3833" s="250"/>
      <c r="W3833" s="250"/>
      <c r="X3833" s="250"/>
      <c r="Y3833" s="250"/>
      <c r="Z3833" s="150"/>
      <c r="AA3833" s="150">
        <v>1.38</v>
      </c>
      <c r="AB3833" s="152"/>
      <c r="AC3833" s="152"/>
      <c r="AD3833" s="223">
        <v>8.686515</v>
      </c>
      <c r="AE3833" s="223">
        <v>0.4602329</v>
      </c>
      <c r="AF3833" s="223">
        <v>3.9944419999999998</v>
      </c>
      <c r="AG3833" s="223">
        <v>0.87169940000000001</v>
      </c>
      <c r="AH3833" s="341"/>
      <c r="AI3833" s="218"/>
      <c r="AJ3833" s="218"/>
      <c r="AK3833" s="153"/>
      <c r="AL3833" s="152"/>
      <c r="AM3833" s="152"/>
      <c r="AN3833" s="152"/>
      <c r="AO3833" s="152"/>
      <c r="AP3833" s="152"/>
      <c r="AQ3833" s="152"/>
      <c r="AR3833" s="152"/>
      <c r="AS3833" s="152"/>
      <c r="AT3833" s="152"/>
      <c r="AU3833" s="153"/>
      <c r="AV3833" s="479"/>
      <c r="AW3833" s="479"/>
      <c r="AX3833" s="442"/>
      <c r="AY3833" s="153"/>
      <c r="AZ3833" s="152"/>
      <c r="BA3833" s="152"/>
      <c r="BB3833" s="152"/>
      <c r="BC3833" s="152"/>
      <c r="BD3833" s="152"/>
      <c r="BE3833" s="152"/>
      <c r="BF3833" s="152"/>
      <c r="BG3833" s="152"/>
      <c r="BH3833" s="152"/>
      <c r="BI3833" s="153"/>
      <c r="BJ3833" s="153"/>
      <c r="BK3833" s="153"/>
      <c r="BL3833" s="153"/>
      <c r="BM3833" s="153"/>
      <c r="BN3833" s="153"/>
      <c r="BO3833" s="153"/>
      <c r="BP3833" s="153"/>
      <c r="BQ3833" s="153"/>
      <c r="BR3833" s="153"/>
      <c r="BS3833" s="153"/>
      <c r="BT3833" s="153"/>
      <c r="BU3833" s="153"/>
      <c r="BV3833" s="153"/>
      <c r="BW3833" s="153"/>
      <c r="BX3833" s="153"/>
      <c r="BY3833" s="153"/>
      <c r="BZ3833" s="153"/>
      <c r="CA3833" s="152"/>
      <c r="CB3833" s="152"/>
    </row>
    <row r="3834" spans="1:80" s="87" customFormat="1" x14ac:dyDescent="0.2">
      <c r="A3834" s="152"/>
      <c r="B3834" s="683"/>
      <c r="C3834" s="683"/>
      <c r="D3834" s="698"/>
      <c r="E3834" s="215"/>
      <c r="F3834" s="215"/>
      <c r="G3834" s="153"/>
      <c r="H3834" s="153"/>
      <c r="I3834" s="312">
        <v>14</v>
      </c>
      <c r="J3834" s="312">
        <v>30</v>
      </c>
      <c r="K3834" s="150">
        <v>1</v>
      </c>
      <c r="L3834" s="656">
        <v>7</v>
      </c>
      <c r="M3834" s="663">
        <v>34093</v>
      </c>
      <c r="N3834" s="600">
        <v>4.0204000000000004</v>
      </c>
      <c r="O3834" s="604">
        <v>3.8476999999999997E-2</v>
      </c>
      <c r="P3834" s="250"/>
      <c r="Q3834" s="250"/>
      <c r="R3834" s="250"/>
      <c r="S3834" s="250"/>
      <c r="T3834" s="250"/>
      <c r="U3834" s="250"/>
      <c r="V3834" s="250"/>
      <c r="W3834" s="250"/>
      <c r="X3834" s="250"/>
      <c r="Y3834" s="250"/>
      <c r="Z3834" s="150"/>
      <c r="AA3834" s="150">
        <v>1.54</v>
      </c>
      <c r="AB3834" s="152"/>
      <c r="AC3834" s="152"/>
      <c r="AD3834" s="223"/>
      <c r="AE3834" s="223"/>
      <c r="AF3834" s="223"/>
      <c r="AG3834" s="223"/>
      <c r="AH3834" s="341"/>
      <c r="AI3834" s="218"/>
      <c r="AJ3834" s="218"/>
      <c r="AK3834" s="153"/>
      <c r="AL3834" s="152"/>
      <c r="AM3834" s="152"/>
      <c r="AN3834" s="152"/>
      <c r="AO3834" s="152"/>
      <c r="AP3834" s="152"/>
      <c r="AQ3834" s="152"/>
      <c r="AR3834" s="152"/>
      <c r="AS3834" s="152"/>
      <c r="AT3834" s="152"/>
      <c r="AU3834" s="153"/>
      <c r="AV3834" s="479"/>
      <c r="AW3834" s="479"/>
      <c r="AX3834" s="442"/>
      <c r="AY3834" s="153"/>
      <c r="AZ3834" s="152"/>
      <c r="BA3834" s="152"/>
      <c r="BB3834" s="152"/>
      <c r="BC3834" s="152"/>
      <c r="BD3834" s="152"/>
      <c r="BE3834" s="152"/>
      <c r="BF3834" s="152"/>
      <c r="BG3834" s="152"/>
      <c r="BH3834" s="152"/>
      <c r="BI3834" s="153"/>
      <c r="BJ3834" s="153"/>
      <c r="BK3834" s="153"/>
      <c r="BL3834" s="153"/>
      <c r="BM3834" s="153"/>
      <c r="BN3834" s="153"/>
      <c r="BO3834" s="153"/>
      <c r="BP3834" s="153"/>
      <c r="BQ3834" s="153"/>
      <c r="BR3834" s="153"/>
      <c r="BS3834" s="153"/>
      <c r="BT3834" s="153"/>
      <c r="BU3834" s="153"/>
      <c r="BV3834" s="153"/>
      <c r="BW3834" s="153"/>
      <c r="BX3834" s="153"/>
      <c r="BY3834" s="153"/>
      <c r="BZ3834" s="153"/>
      <c r="CA3834" s="152"/>
      <c r="CB3834" s="152"/>
    </row>
    <row r="3835" spans="1:80" s="87" customFormat="1" x14ac:dyDescent="0.2">
      <c r="A3835" s="152"/>
      <c r="B3835" s="683"/>
      <c r="C3835" s="683"/>
      <c r="D3835" s="698"/>
      <c r="E3835" s="215"/>
      <c r="F3835" s="215"/>
      <c r="G3835" s="153"/>
      <c r="H3835" s="153"/>
      <c r="I3835" s="312">
        <v>14</v>
      </c>
      <c r="J3835" s="312">
        <v>30</v>
      </c>
      <c r="K3835" s="150">
        <v>1</v>
      </c>
      <c r="L3835" s="656">
        <v>7</v>
      </c>
      <c r="M3835" s="663">
        <v>34095</v>
      </c>
      <c r="N3835" s="600">
        <v>5.3227900000000004</v>
      </c>
      <c r="O3835" s="604">
        <v>0.235513</v>
      </c>
      <c r="P3835" s="250"/>
      <c r="Q3835" s="250"/>
      <c r="R3835" s="250"/>
      <c r="S3835" s="250"/>
      <c r="T3835" s="250"/>
      <c r="U3835" s="250"/>
      <c r="V3835" s="250"/>
      <c r="W3835" s="250"/>
      <c r="X3835" s="250"/>
      <c r="Y3835" s="250"/>
      <c r="Z3835" s="150"/>
      <c r="AA3835" s="150">
        <v>10.25</v>
      </c>
      <c r="AB3835" s="152"/>
      <c r="AC3835" s="152"/>
      <c r="AD3835" s="223">
        <v>8.9608260000000008</v>
      </c>
      <c r="AE3835" s="223">
        <v>0.56386150000000002</v>
      </c>
      <c r="AF3835" s="223">
        <v>5.0441441999999999</v>
      </c>
      <c r="AG3835" s="223">
        <v>1.0881003</v>
      </c>
      <c r="AH3835" s="341"/>
      <c r="AI3835" s="218"/>
      <c r="AJ3835" s="218"/>
      <c r="AK3835" s="153"/>
      <c r="AL3835" s="152"/>
      <c r="AM3835" s="152"/>
      <c r="AN3835" s="152"/>
      <c r="AO3835" s="152"/>
      <c r="AP3835" s="152"/>
      <c r="AQ3835" s="152"/>
      <c r="AR3835" s="152"/>
      <c r="AS3835" s="152"/>
      <c r="AT3835" s="152"/>
      <c r="AU3835" s="153"/>
      <c r="AV3835" s="479"/>
      <c r="AW3835" s="479"/>
      <c r="AX3835" s="442"/>
      <c r="AY3835" s="153"/>
      <c r="AZ3835" s="152"/>
      <c r="BA3835" s="152"/>
      <c r="BB3835" s="152"/>
      <c r="BC3835" s="152"/>
      <c r="BD3835" s="152"/>
      <c r="BE3835" s="152"/>
      <c r="BF3835" s="152"/>
      <c r="BG3835" s="152"/>
      <c r="BH3835" s="152"/>
      <c r="BI3835" s="153"/>
      <c r="BJ3835" s="153"/>
      <c r="BK3835" s="153"/>
      <c r="BL3835" s="153"/>
      <c r="BM3835" s="153"/>
      <c r="BN3835" s="153"/>
      <c r="BO3835" s="153"/>
      <c r="BP3835" s="153"/>
      <c r="BQ3835" s="153"/>
      <c r="BR3835" s="153"/>
      <c r="BS3835" s="153"/>
      <c r="BT3835" s="153"/>
      <c r="BU3835" s="153"/>
      <c r="BV3835" s="153"/>
      <c r="BW3835" s="153"/>
      <c r="BX3835" s="153"/>
      <c r="BY3835" s="153"/>
      <c r="BZ3835" s="153"/>
      <c r="CA3835" s="152"/>
      <c r="CB3835" s="152"/>
    </row>
    <row r="3836" spans="1:80" s="87" customFormat="1" x14ac:dyDescent="0.2">
      <c r="A3836" s="152"/>
      <c r="B3836" s="683"/>
      <c r="C3836" s="683"/>
      <c r="D3836" s="698"/>
      <c r="E3836" s="215"/>
      <c r="F3836" s="215"/>
      <c r="G3836" s="153"/>
      <c r="H3836" s="153"/>
      <c r="I3836" s="312">
        <v>14</v>
      </c>
      <c r="J3836" s="312">
        <v>30</v>
      </c>
      <c r="K3836" s="150">
        <v>1</v>
      </c>
      <c r="L3836" s="656">
        <v>7</v>
      </c>
      <c r="M3836" s="663">
        <v>34101</v>
      </c>
      <c r="N3836" s="600">
        <v>8.5221199999999993</v>
      </c>
      <c r="O3836" s="604">
        <v>3.7858000000000003E-2</v>
      </c>
      <c r="P3836" s="250"/>
      <c r="Q3836" s="250"/>
      <c r="R3836" s="250"/>
      <c r="S3836" s="250"/>
      <c r="T3836" s="250"/>
      <c r="U3836" s="250"/>
      <c r="V3836" s="250"/>
      <c r="W3836" s="250"/>
      <c r="X3836" s="250"/>
      <c r="Y3836" s="250"/>
      <c r="Z3836" s="150"/>
      <c r="AA3836" s="150">
        <v>2.39</v>
      </c>
      <c r="AB3836" s="152"/>
      <c r="AC3836" s="152"/>
      <c r="AD3836" s="223">
        <v>9.9666329999999999</v>
      </c>
      <c r="AE3836" s="223">
        <v>0.64920270000000002</v>
      </c>
      <c r="AF3836" s="223">
        <v>6.4561330000000003</v>
      </c>
      <c r="AG3836" s="223">
        <v>1.3380281000000001</v>
      </c>
      <c r="AH3836" s="341"/>
      <c r="AI3836" s="218"/>
      <c r="AJ3836" s="218"/>
      <c r="AK3836" s="153"/>
      <c r="AL3836" s="152"/>
      <c r="AM3836" s="152"/>
      <c r="AN3836" s="152"/>
      <c r="AO3836" s="152"/>
      <c r="AP3836" s="152"/>
      <c r="AQ3836" s="152"/>
      <c r="AR3836" s="152"/>
      <c r="AS3836" s="152"/>
      <c r="AT3836" s="152"/>
      <c r="AU3836" s="153"/>
      <c r="AV3836" s="479"/>
      <c r="AW3836" s="479"/>
      <c r="AX3836" s="442"/>
      <c r="AY3836" s="153"/>
      <c r="AZ3836" s="152"/>
      <c r="BA3836" s="152"/>
      <c r="BB3836" s="152"/>
      <c r="BC3836" s="152"/>
      <c r="BD3836" s="152"/>
      <c r="BE3836" s="152"/>
      <c r="BF3836" s="152"/>
      <c r="BG3836" s="152"/>
      <c r="BH3836" s="152"/>
      <c r="BI3836" s="153"/>
      <c r="BJ3836" s="153"/>
      <c r="BK3836" s="153"/>
      <c r="BL3836" s="153"/>
      <c r="BM3836" s="153"/>
      <c r="BN3836" s="153"/>
      <c r="BO3836" s="153"/>
      <c r="BP3836" s="153"/>
      <c r="BQ3836" s="153"/>
      <c r="BR3836" s="153"/>
      <c r="BS3836" s="153"/>
      <c r="BT3836" s="153"/>
      <c r="BU3836" s="153"/>
      <c r="BV3836" s="153"/>
      <c r="BW3836" s="153"/>
      <c r="BX3836" s="153"/>
      <c r="BY3836" s="153"/>
      <c r="BZ3836" s="153"/>
      <c r="CA3836" s="152"/>
      <c r="CB3836" s="152"/>
    </row>
    <row r="3837" spans="1:80" s="87" customFormat="1" x14ac:dyDescent="0.2">
      <c r="A3837" s="152"/>
      <c r="B3837" s="683"/>
      <c r="C3837" s="683"/>
      <c r="D3837" s="698"/>
      <c r="E3837" s="215"/>
      <c r="F3837" s="215"/>
      <c r="G3837" s="153"/>
      <c r="H3837" s="153"/>
      <c r="I3837" s="312">
        <v>15</v>
      </c>
      <c r="J3837" s="312">
        <v>30</v>
      </c>
      <c r="K3837" s="150">
        <v>1</v>
      </c>
      <c r="L3837" s="656">
        <v>7.5</v>
      </c>
      <c r="M3837" s="663">
        <v>34101</v>
      </c>
      <c r="N3837" s="600">
        <v>6.1721700000000004</v>
      </c>
      <c r="O3837" s="604">
        <v>4.8552999999999999E-2</v>
      </c>
      <c r="P3837" s="250"/>
      <c r="Q3837" s="250"/>
      <c r="R3837" s="250"/>
      <c r="S3837" s="250"/>
      <c r="T3837" s="250"/>
      <c r="U3837" s="250"/>
      <c r="V3837" s="250"/>
      <c r="W3837" s="250"/>
      <c r="X3837" s="250"/>
      <c r="Y3837" s="250"/>
      <c r="Z3837" s="150"/>
      <c r="AA3837" s="150">
        <v>1.96</v>
      </c>
      <c r="AB3837" s="152"/>
      <c r="AC3837" s="152"/>
      <c r="AD3837" s="223">
        <v>9.9666329999999999</v>
      </c>
      <c r="AE3837" s="223">
        <v>0.64920270000000002</v>
      </c>
      <c r="AF3837" s="223">
        <v>6.4561330000000003</v>
      </c>
      <c r="AG3837" s="223">
        <v>1.3380281000000001</v>
      </c>
      <c r="AH3837" s="341"/>
      <c r="AI3837" s="218"/>
      <c r="AJ3837" s="218"/>
      <c r="AK3837" s="153"/>
      <c r="AL3837" s="152"/>
      <c r="AM3837" s="152"/>
      <c r="AN3837" s="152"/>
      <c r="AO3837" s="152"/>
      <c r="AP3837" s="152"/>
      <c r="AQ3837" s="152"/>
      <c r="AR3837" s="152"/>
      <c r="AS3837" s="152"/>
      <c r="AT3837" s="152"/>
      <c r="AU3837" s="153"/>
      <c r="AV3837" s="479"/>
      <c r="AW3837" s="479"/>
      <c r="AX3837" s="442"/>
      <c r="AY3837" s="153"/>
      <c r="AZ3837" s="152"/>
      <c r="BA3837" s="152"/>
      <c r="BB3837" s="152"/>
      <c r="BC3837" s="152"/>
      <c r="BD3837" s="152"/>
      <c r="BE3837" s="152"/>
      <c r="BF3837" s="152"/>
      <c r="BG3837" s="152"/>
      <c r="BH3837" s="152"/>
      <c r="BI3837" s="153"/>
      <c r="BJ3837" s="153"/>
      <c r="BK3837" s="153"/>
      <c r="BL3837" s="153"/>
      <c r="BM3837" s="153"/>
      <c r="BN3837" s="153"/>
      <c r="BO3837" s="153"/>
      <c r="BP3837" s="153"/>
      <c r="BQ3837" s="153"/>
      <c r="BR3837" s="153"/>
      <c r="BS3837" s="153"/>
      <c r="BT3837" s="153"/>
      <c r="BU3837" s="153"/>
      <c r="BV3837" s="153"/>
      <c r="BW3837" s="153"/>
      <c r="BX3837" s="153"/>
      <c r="BY3837" s="153"/>
      <c r="BZ3837" s="153"/>
      <c r="CA3837" s="152"/>
      <c r="CB3837" s="152"/>
    </row>
    <row r="3838" spans="1:80" s="87" customFormat="1" x14ac:dyDescent="0.2">
      <c r="A3838" s="152"/>
      <c r="B3838" s="683"/>
      <c r="C3838" s="683"/>
      <c r="D3838" s="698"/>
      <c r="E3838" s="215"/>
      <c r="F3838" s="215"/>
      <c r="G3838" s="153"/>
      <c r="H3838" s="153"/>
      <c r="I3838" s="312">
        <v>15</v>
      </c>
      <c r="J3838" s="312">
        <v>30</v>
      </c>
      <c r="K3838" s="150">
        <v>1</v>
      </c>
      <c r="L3838" s="656">
        <v>7.5</v>
      </c>
      <c r="M3838" s="663">
        <v>34104</v>
      </c>
      <c r="N3838" s="600">
        <v>8.7203099999999996</v>
      </c>
      <c r="O3838" s="604">
        <v>7.2788000000000005E-2</v>
      </c>
      <c r="P3838" s="250"/>
      <c r="Q3838" s="250"/>
      <c r="R3838" s="250"/>
      <c r="S3838" s="250"/>
      <c r="T3838" s="250"/>
      <c r="U3838" s="250"/>
      <c r="V3838" s="250"/>
      <c r="W3838" s="250"/>
      <c r="X3838" s="250"/>
      <c r="Y3838" s="250"/>
      <c r="Z3838" s="150"/>
      <c r="AA3838" s="150">
        <v>2.2400000000000002</v>
      </c>
      <c r="AB3838" s="152"/>
      <c r="AC3838" s="152"/>
      <c r="AD3838" s="223">
        <v>9.4484899999999996</v>
      </c>
      <c r="AE3838" s="223">
        <v>0.71930439999999995</v>
      </c>
      <c r="AF3838" s="223">
        <v>6.7998408000000001</v>
      </c>
      <c r="AG3838" s="223">
        <v>1.2923096000000001</v>
      </c>
      <c r="AH3838" s="341"/>
      <c r="AI3838" s="218"/>
      <c r="AJ3838" s="218"/>
      <c r="AK3838" s="153"/>
      <c r="AL3838" s="152"/>
      <c r="AM3838" s="152"/>
      <c r="AN3838" s="152"/>
      <c r="AO3838" s="152"/>
      <c r="AP3838" s="152"/>
      <c r="AQ3838" s="152"/>
      <c r="AR3838" s="152"/>
      <c r="AS3838" s="152"/>
      <c r="AT3838" s="152"/>
      <c r="AU3838" s="153"/>
      <c r="AV3838" s="479"/>
      <c r="AW3838" s="479"/>
      <c r="AX3838" s="442"/>
      <c r="AY3838" s="153"/>
      <c r="AZ3838" s="152"/>
      <c r="BA3838" s="152"/>
      <c r="BB3838" s="152"/>
      <c r="BC3838" s="152"/>
      <c r="BD3838" s="152"/>
      <c r="BE3838" s="152"/>
      <c r="BF3838" s="152"/>
      <c r="BG3838" s="152"/>
      <c r="BH3838" s="152"/>
      <c r="BI3838" s="153"/>
      <c r="BJ3838" s="153"/>
      <c r="BK3838" s="153"/>
      <c r="BL3838" s="153"/>
      <c r="BM3838" s="153"/>
      <c r="BN3838" s="153"/>
      <c r="BO3838" s="153"/>
      <c r="BP3838" s="153"/>
      <c r="BQ3838" s="153"/>
      <c r="BR3838" s="153"/>
      <c r="BS3838" s="153"/>
      <c r="BT3838" s="153"/>
      <c r="BU3838" s="153"/>
      <c r="BV3838" s="153"/>
      <c r="BW3838" s="153"/>
      <c r="BX3838" s="153"/>
      <c r="BY3838" s="153"/>
      <c r="BZ3838" s="153"/>
      <c r="CA3838" s="152"/>
      <c r="CB3838" s="152"/>
    </row>
    <row r="3839" spans="1:80" s="87" customFormat="1" x14ac:dyDescent="0.2">
      <c r="A3839" s="152"/>
      <c r="B3839" s="683"/>
      <c r="C3839" s="683"/>
      <c r="D3839" s="698"/>
      <c r="E3839" s="215"/>
      <c r="F3839" s="215"/>
      <c r="G3839" s="153"/>
      <c r="H3839" s="153"/>
      <c r="I3839" s="312">
        <v>15</v>
      </c>
      <c r="J3839" s="312">
        <v>30</v>
      </c>
      <c r="K3839" s="150">
        <v>1</v>
      </c>
      <c r="L3839" s="656">
        <v>7.5</v>
      </c>
      <c r="M3839" s="663">
        <v>34134</v>
      </c>
      <c r="N3839" s="600">
        <v>6.0872299999999999</v>
      </c>
      <c r="O3839" s="604">
        <v>5.3518000000000003E-2</v>
      </c>
      <c r="P3839" s="250"/>
      <c r="Q3839" s="250"/>
      <c r="R3839" s="250"/>
      <c r="S3839" s="250"/>
      <c r="T3839" s="250"/>
      <c r="U3839" s="250"/>
      <c r="V3839" s="250"/>
      <c r="W3839" s="250"/>
      <c r="X3839" s="250"/>
      <c r="Y3839" s="250"/>
      <c r="Z3839" s="150"/>
      <c r="AA3839" s="150">
        <v>10.71</v>
      </c>
      <c r="AB3839" s="152"/>
      <c r="AC3839" s="152"/>
      <c r="AD3839" s="223">
        <v>9.4180109999999999</v>
      </c>
      <c r="AE3839" s="223">
        <v>0.54557409999999995</v>
      </c>
      <c r="AF3839" s="223">
        <v>5.1370382000000001</v>
      </c>
      <c r="AG3839" s="223">
        <v>1.1856331</v>
      </c>
      <c r="AH3839" s="341"/>
      <c r="AI3839" s="218"/>
      <c r="AJ3839" s="218"/>
      <c r="AK3839" s="153"/>
      <c r="AL3839" s="152"/>
      <c r="AM3839" s="152"/>
      <c r="AN3839" s="152"/>
      <c r="AO3839" s="152"/>
      <c r="AP3839" s="152"/>
      <c r="AQ3839" s="152"/>
      <c r="AR3839" s="152"/>
      <c r="AS3839" s="152"/>
      <c r="AT3839" s="152"/>
      <c r="AU3839" s="153"/>
      <c r="AV3839" s="479"/>
      <c r="AW3839" s="479"/>
      <c r="AX3839" s="442"/>
      <c r="AY3839" s="153"/>
      <c r="AZ3839" s="152"/>
      <c r="BA3839" s="152"/>
      <c r="BB3839" s="152"/>
      <c r="BC3839" s="152"/>
      <c r="BD3839" s="152"/>
      <c r="BE3839" s="152"/>
      <c r="BF3839" s="152"/>
      <c r="BG3839" s="152"/>
      <c r="BH3839" s="152"/>
      <c r="BI3839" s="153"/>
      <c r="BJ3839" s="153"/>
      <c r="BK3839" s="153"/>
      <c r="BL3839" s="153"/>
      <c r="BM3839" s="153"/>
      <c r="BN3839" s="153"/>
      <c r="BO3839" s="153"/>
      <c r="BP3839" s="153"/>
      <c r="BQ3839" s="153"/>
      <c r="BR3839" s="153"/>
      <c r="BS3839" s="153"/>
      <c r="BT3839" s="153"/>
      <c r="BU3839" s="153"/>
      <c r="BV3839" s="153"/>
      <c r="BW3839" s="153"/>
      <c r="BX3839" s="153"/>
      <c r="BY3839" s="153"/>
      <c r="BZ3839" s="153"/>
      <c r="CA3839" s="152"/>
      <c r="CB3839" s="152"/>
    </row>
    <row r="3840" spans="1:80" s="87" customFormat="1" x14ac:dyDescent="0.2">
      <c r="A3840" s="152"/>
      <c r="B3840" s="683"/>
      <c r="C3840" s="683"/>
      <c r="D3840" s="698"/>
      <c r="E3840" s="215"/>
      <c r="F3840" s="215"/>
      <c r="G3840" s="153"/>
      <c r="H3840" s="153"/>
      <c r="I3840" s="312">
        <v>15</v>
      </c>
      <c r="J3840" s="312">
        <v>60</v>
      </c>
      <c r="K3840" s="150">
        <v>1</v>
      </c>
      <c r="L3840" s="656">
        <v>15</v>
      </c>
      <c r="M3840" s="663">
        <v>34136</v>
      </c>
      <c r="N3840" s="600">
        <v>9.6263199999999998</v>
      </c>
      <c r="O3840" s="604">
        <v>4.9036000000000003E-2</v>
      </c>
      <c r="P3840" s="250"/>
      <c r="Q3840" s="250"/>
      <c r="R3840" s="250"/>
      <c r="S3840" s="250"/>
      <c r="T3840" s="250"/>
      <c r="U3840" s="250"/>
      <c r="V3840" s="250"/>
      <c r="W3840" s="250"/>
      <c r="X3840" s="250"/>
      <c r="Y3840" s="250"/>
      <c r="Z3840" s="150"/>
      <c r="AA3840" s="150">
        <v>6.38</v>
      </c>
      <c r="AB3840" s="152"/>
      <c r="AC3840" s="152"/>
      <c r="AD3840" s="223">
        <v>10.36286</v>
      </c>
      <c r="AE3840" s="223">
        <v>0.68577750000000004</v>
      </c>
      <c r="AF3840" s="223">
        <v>7.1063910000000003</v>
      </c>
      <c r="AG3840" s="223">
        <v>1.3654592000000001</v>
      </c>
      <c r="AH3840" s="341"/>
      <c r="AI3840" s="218"/>
      <c r="AJ3840" s="218"/>
      <c r="AK3840" s="153"/>
      <c r="AL3840" s="152"/>
      <c r="AM3840" s="152"/>
      <c r="AN3840" s="152"/>
      <c r="AO3840" s="152"/>
      <c r="AP3840" s="152"/>
      <c r="AQ3840" s="152"/>
      <c r="AR3840" s="152"/>
      <c r="AS3840" s="152"/>
      <c r="AT3840" s="152"/>
      <c r="AU3840" s="153"/>
      <c r="AV3840" s="479"/>
      <c r="AW3840" s="479"/>
      <c r="AX3840" s="442"/>
      <c r="AY3840" s="153"/>
      <c r="AZ3840" s="152"/>
      <c r="BA3840" s="152"/>
      <c r="BB3840" s="152"/>
      <c r="BC3840" s="152"/>
      <c r="BD3840" s="152"/>
      <c r="BE3840" s="152"/>
      <c r="BF3840" s="152"/>
      <c r="BG3840" s="152"/>
      <c r="BH3840" s="152"/>
      <c r="BI3840" s="153"/>
      <c r="BJ3840" s="153"/>
      <c r="BK3840" s="153"/>
      <c r="BL3840" s="153"/>
      <c r="BM3840" s="153"/>
      <c r="BN3840" s="153"/>
      <c r="BO3840" s="153"/>
      <c r="BP3840" s="153"/>
      <c r="BQ3840" s="153"/>
      <c r="BR3840" s="153"/>
      <c r="BS3840" s="153"/>
      <c r="BT3840" s="153"/>
      <c r="BU3840" s="153"/>
      <c r="BV3840" s="153"/>
      <c r="BW3840" s="153"/>
      <c r="BX3840" s="153"/>
      <c r="BY3840" s="153"/>
      <c r="BZ3840" s="153"/>
      <c r="CA3840" s="152"/>
      <c r="CB3840" s="152"/>
    </row>
    <row r="3841" spans="1:80" s="87" customFormat="1" x14ac:dyDescent="0.2">
      <c r="A3841" s="152"/>
      <c r="B3841" s="683"/>
      <c r="C3841" s="683"/>
      <c r="D3841" s="698"/>
      <c r="E3841" s="215"/>
      <c r="F3841" s="215"/>
      <c r="G3841" s="153"/>
      <c r="H3841" s="153"/>
      <c r="I3841" s="312">
        <v>13</v>
      </c>
      <c r="J3841" s="312">
        <v>30</v>
      </c>
      <c r="K3841" s="150">
        <v>1</v>
      </c>
      <c r="L3841" s="656">
        <v>6.5</v>
      </c>
      <c r="M3841" s="663">
        <v>34148</v>
      </c>
      <c r="N3841" s="600">
        <v>2.7435</v>
      </c>
      <c r="O3841" s="604">
        <v>3.9149000000000003E-2</v>
      </c>
      <c r="P3841" s="250"/>
      <c r="Q3841" s="250"/>
      <c r="R3841" s="250"/>
      <c r="S3841" s="250"/>
      <c r="T3841" s="250"/>
      <c r="U3841" s="250"/>
      <c r="V3841" s="250"/>
      <c r="W3841" s="250"/>
      <c r="X3841" s="250"/>
      <c r="Y3841" s="250"/>
      <c r="Z3841" s="150"/>
      <c r="AA3841" s="150">
        <v>1.75</v>
      </c>
      <c r="AB3841" s="152"/>
      <c r="AC3841" s="152"/>
      <c r="AD3841" s="223">
        <v>8.503641</v>
      </c>
      <c r="AE3841" s="223">
        <v>0.38708330000000002</v>
      </c>
      <c r="AF3841" s="223">
        <v>3.2791581999999999</v>
      </c>
      <c r="AG3841" s="223">
        <v>0.8320767</v>
      </c>
      <c r="AH3841" s="341"/>
      <c r="AI3841" s="218"/>
      <c r="AJ3841" s="218"/>
      <c r="AK3841" s="153"/>
      <c r="AL3841" s="152"/>
      <c r="AM3841" s="152"/>
      <c r="AN3841" s="152"/>
      <c r="AO3841" s="152"/>
      <c r="AP3841" s="152"/>
      <c r="AQ3841" s="152"/>
      <c r="AR3841" s="152"/>
      <c r="AS3841" s="152"/>
      <c r="AT3841" s="152"/>
      <c r="AU3841" s="153"/>
      <c r="AV3841" s="479"/>
      <c r="AW3841" s="479"/>
      <c r="AX3841" s="442"/>
      <c r="AY3841" s="153"/>
      <c r="AZ3841" s="152"/>
      <c r="BA3841" s="152"/>
      <c r="BB3841" s="152"/>
      <c r="BC3841" s="152"/>
      <c r="BD3841" s="152"/>
      <c r="BE3841" s="152"/>
      <c r="BF3841" s="152"/>
      <c r="BG3841" s="152"/>
      <c r="BH3841" s="152"/>
      <c r="BI3841" s="153"/>
      <c r="BJ3841" s="153"/>
      <c r="BK3841" s="153"/>
      <c r="BL3841" s="153"/>
      <c r="BM3841" s="153"/>
      <c r="BN3841" s="153"/>
      <c r="BO3841" s="153"/>
      <c r="BP3841" s="153"/>
      <c r="BQ3841" s="153"/>
      <c r="BR3841" s="153"/>
      <c r="BS3841" s="153"/>
      <c r="BT3841" s="153"/>
      <c r="BU3841" s="153"/>
      <c r="BV3841" s="153"/>
      <c r="BW3841" s="153"/>
      <c r="BX3841" s="153"/>
      <c r="BY3841" s="153"/>
      <c r="BZ3841" s="153"/>
      <c r="CA3841" s="152"/>
      <c r="CB3841" s="152"/>
    </row>
    <row r="3842" spans="1:80" s="87" customFormat="1" x14ac:dyDescent="0.2">
      <c r="A3842" s="152"/>
      <c r="B3842" s="683"/>
      <c r="C3842" s="683"/>
      <c r="D3842" s="698"/>
      <c r="E3842" s="215"/>
      <c r="F3842" s="215"/>
      <c r="G3842" s="153"/>
      <c r="H3842" s="153"/>
      <c r="I3842" s="312">
        <v>13</v>
      </c>
      <c r="J3842" s="312">
        <v>30</v>
      </c>
      <c r="K3842" s="150">
        <v>1</v>
      </c>
      <c r="L3842" s="656">
        <v>6.5</v>
      </c>
      <c r="M3842" s="663">
        <v>34162</v>
      </c>
      <c r="N3842" s="600">
        <v>1.3023800000000001</v>
      </c>
      <c r="O3842" s="604">
        <v>1.354E-3</v>
      </c>
      <c r="P3842" s="250"/>
      <c r="Q3842" s="250"/>
      <c r="R3842" s="250"/>
      <c r="S3842" s="250"/>
      <c r="T3842" s="250"/>
      <c r="U3842" s="250"/>
      <c r="V3842" s="250"/>
      <c r="W3842" s="250"/>
      <c r="X3842" s="250"/>
      <c r="Y3842" s="250"/>
      <c r="Z3842" s="150"/>
      <c r="AA3842" s="150">
        <v>0.82</v>
      </c>
      <c r="AB3842" s="152"/>
      <c r="AC3842" s="152"/>
      <c r="AD3842" s="223">
        <v>8.137893</v>
      </c>
      <c r="AE3842" s="223">
        <v>0.28955049999999999</v>
      </c>
      <c r="AF3842" s="223">
        <v>2.3595076000000001</v>
      </c>
      <c r="AG3842" s="223">
        <v>0.55471780000000004</v>
      </c>
      <c r="AH3842" s="341"/>
      <c r="AI3842" s="218"/>
      <c r="AJ3842" s="218"/>
      <c r="AK3842" s="153"/>
      <c r="AL3842" s="152"/>
      <c r="AM3842" s="152"/>
      <c r="AN3842" s="152"/>
      <c r="AO3842" s="152"/>
      <c r="AP3842" s="152"/>
      <c r="AQ3842" s="152"/>
      <c r="AR3842" s="152"/>
      <c r="AS3842" s="152"/>
      <c r="AT3842" s="152"/>
      <c r="AU3842" s="153"/>
      <c r="AV3842" s="479"/>
      <c r="AW3842" s="479"/>
      <c r="AX3842" s="442"/>
      <c r="AY3842" s="153"/>
      <c r="AZ3842" s="152"/>
      <c r="BA3842" s="152"/>
      <c r="BB3842" s="152"/>
      <c r="BC3842" s="152"/>
      <c r="BD3842" s="152"/>
      <c r="BE3842" s="152"/>
      <c r="BF3842" s="152"/>
      <c r="BG3842" s="152"/>
      <c r="BH3842" s="152"/>
      <c r="BI3842" s="153"/>
      <c r="BJ3842" s="153"/>
      <c r="BK3842" s="153"/>
      <c r="BL3842" s="153"/>
      <c r="BM3842" s="153"/>
      <c r="BN3842" s="153"/>
      <c r="BO3842" s="153"/>
      <c r="BP3842" s="153"/>
      <c r="BQ3842" s="153"/>
      <c r="BR3842" s="153"/>
      <c r="BS3842" s="153"/>
      <c r="BT3842" s="153"/>
      <c r="BU3842" s="153"/>
      <c r="BV3842" s="153"/>
      <c r="BW3842" s="153"/>
      <c r="BX3842" s="153"/>
      <c r="BY3842" s="153"/>
      <c r="BZ3842" s="153"/>
      <c r="CA3842" s="152"/>
      <c r="CB3842" s="152"/>
    </row>
    <row r="3843" spans="1:80" s="87" customFormat="1" x14ac:dyDescent="0.2">
      <c r="A3843" s="152"/>
      <c r="B3843" s="683"/>
      <c r="C3843" s="683"/>
      <c r="D3843" s="698"/>
      <c r="E3843" s="215"/>
      <c r="F3843" s="215"/>
      <c r="G3843" s="153"/>
      <c r="H3843" s="153"/>
      <c r="I3843" s="312">
        <v>13</v>
      </c>
      <c r="J3843" s="312">
        <v>30</v>
      </c>
      <c r="K3843" s="150">
        <v>1</v>
      </c>
      <c r="L3843" s="656">
        <v>6.5</v>
      </c>
      <c r="M3843" s="663">
        <v>34202</v>
      </c>
      <c r="N3843" s="600">
        <v>0.62004999999999999</v>
      </c>
      <c r="O3843" s="604">
        <v>2.1000000000000001E-4</v>
      </c>
      <c r="P3843" s="250"/>
      <c r="Q3843" s="250"/>
      <c r="R3843" s="250"/>
      <c r="S3843" s="250"/>
      <c r="T3843" s="250"/>
      <c r="U3843" s="250"/>
      <c r="V3843" s="250"/>
      <c r="W3843" s="250"/>
      <c r="X3843" s="250"/>
      <c r="Y3843" s="250"/>
      <c r="Z3843" s="150"/>
      <c r="AA3843" s="150">
        <v>0.63</v>
      </c>
      <c r="AB3843" s="152"/>
      <c r="AC3843" s="152"/>
      <c r="AD3843" s="223">
        <v>7.8940609999999998</v>
      </c>
      <c r="AE3843" s="223">
        <v>0.20420930000000001</v>
      </c>
      <c r="AF3843" s="223">
        <v>1.6070662</v>
      </c>
      <c r="AG3843" s="223">
        <v>0.38098749999999998</v>
      </c>
      <c r="AH3843" s="341"/>
      <c r="AI3843" s="218"/>
      <c r="AJ3843" s="218"/>
      <c r="AK3843" s="153"/>
      <c r="AL3843" s="152"/>
      <c r="AM3843" s="152"/>
      <c r="AN3843" s="152"/>
      <c r="AO3843" s="152"/>
      <c r="AP3843" s="152"/>
      <c r="AQ3843" s="152"/>
      <c r="AR3843" s="152"/>
      <c r="AS3843" s="152"/>
      <c r="AT3843" s="152"/>
      <c r="AU3843" s="153"/>
      <c r="AV3843" s="479"/>
      <c r="AW3843" s="479"/>
      <c r="AX3843" s="442"/>
      <c r="AY3843" s="153"/>
      <c r="AZ3843" s="152"/>
      <c r="BA3843" s="152"/>
      <c r="BB3843" s="152"/>
      <c r="BC3843" s="152"/>
      <c r="BD3843" s="152"/>
      <c r="BE3843" s="152"/>
      <c r="BF3843" s="152"/>
      <c r="BG3843" s="152"/>
      <c r="BH3843" s="152"/>
      <c r="BI3843" s="153"/>
      <c r="BJ3843" s="153"/>
      <c r="BK3843" s="153"/>
      <c r="BL3843" s="153"/>
      <c r="BM3843" s="153"/>
      <c r="BN3843" s="153"/>
      <c r="BO3843" s="153"/>
      <c r="BP3843" s="153"/>
      <c r="BQ3843" s="153"/>
      <c r="BR3843" s="153"/>
      <c r="BS3843" s="153"/>
      <c r="BT3843" s="153"/>
      <c r="BU3843" s="153"/>
      <c r="BV3843" s="153"/>
      <c r="BW3843" s="153"/>
      <c r="BX3843" s="153"/>
      <c r="BY3843" s="153"/>
      <c r="BZ3843" s="153"/>
      <c r="CA3843" s="152"/>
      <c r="CB3843" s="152"/>
    </row>
    <row r="3844" spans="1:80" s="87" customFormat="1" x14ac:dyDescent="0.2">
      <c r="A3844" s="152"/>
      <c r="B3844" s="683"/>
      <c r="C3844" s="683"/>
      <c r="D3844" s="698"/>
      <c r="E3844" s="215"/>
      <c r="F3844" s="215"/>
      <c r="G3844" s="153"/>
      <c r="H3844" s="153"/>
      <c r="I3844" s="323">
        <v>26</v>
      </c>
      <c r="J3844" s="312">
        <v>60</v>
      </c>
      <c r="K3844" s="150">
        <v>1</v>
      </c>
      <c r="L3844" s="656">
        <v>26</v>
      </c>
      <c r="M3844" s="663">
        <v>34429</v>
      </c>
      <c r="N3844" s="600">
        <v>1.0730500000000001</v>
      </c>
      <c r="O3844" s="604">
        <v>1.606E-3</v>
      </c>
      <c r="P3844" s="250"/>
      <c r="Q3844" s="250"/>
      <c r="R3844" s="250"/>
      <c r="S3844" s="250"/>
      <c r="T3844" s="250">
        <v>1.0700000000000001E-2</v>
      </c>
      <c r="U3844" s="250">
        <v>0.15770000000000001</v>
      </c>
      <c r="V3844" s="250">
        <v>0.40042800000000001</v>
      </c>
      <c r="W3844" s="250">
        <v>0.346605</v>
      </c>
      <c r="X3844" s="250">
        <v>8.0898999999999999E-2</v>
      </c>
      <c r="Y3844" s="250">
        <v>3.679E-3</v>
      </c>
      <c r="Z3844" s="150"/>
      <c r="AA3844" s="150">
        <v>1.1299999999999999</v>
      </c>
      <c r="AB3844" s="152"/>
      <c r="AC3844" s="152"/>
      <c r="AD3844" s="223">
        <v>8.1683719999999997</v>
      </c>
      <c r="AE3844" s="223">
        <v>0.2621194</v>
      </c>
      <c r="AF3844" s="223">
        <v>2.1458514000000002</v>
      </c>
      <c r="AG3844" s="223">
        <v>0.49985560000000001</v>
      </c>
      <c r="AH3844" s="341"/>
      <c r="AI3844" s="218"/>
      <c r="AJ3844" s="218"/>
      <c r="AK3844" s="153"/>
      <c r="AL3844" s="152"/>
      <c r="AM3844" s="152"/>
      <c r="AN3844" s="152"/>
      <c r="AO3844" s="152"/>
      <c r="AP3844" s="152"/>
      <c r="AQ3844" s="152"/>
      <c r="AR3844" s="152"/>
      <c r="AS3844" s="152"/>
      <c r="AT3844" s="152"/>
      <c r="AU3844" s="153"/>
      <c r="AV3844" s="479"/>
      <c r="AW3844" s="479"/>
      <c r="AX3844" s="442"/>
      <c r="AY3844" s="153"/>
      <c r="AZ3844" s="152"/>
      <c r="BA3844" s="152"/>
      <c r="BB3844" s="152"/>
      <c r="BC3844" s="152"/>
      <c r="BD3844" s="152"/>
      <c r="BE3844" s="152"/>
      <c r="BF3844" s="152"/>
      <c r="BG3844" s="152"/>
      <c r="BH3844" s="152"/>
      <c r="BI3844" s="153"/>
      <c r="BJ3844" s="153"/>
      <c r="BK3844" s="153"/>
      <c r="BL3844" s="153"/>
      <c r="BM3844" s="153"/>
      <c r="BN3844" s="153"/>
      <c r="BO3844" s="153"/>
      <c r="BP3844" s="153"/>
      <c r="BQ3844" s="153"/>
      <c r="BR3844" s="153"/>
      <c r="BS3844" s="153"/>
      <c r="BT3844" s="153"/>
      <c r="BU3844" s="153"/>
      <c r="BV3844" s="153"/>
      <c r="BW3844" s="153"/>
      <c r="BX3844" s="153"/>
      <c r="BY3844" s="153"/>
      <c r="BZ3844" s="153"/>
      <c r="CA3844" s="152"/>
      <c r="CB3844" s="152"/>
    </row>
    <row r="3845" spans="1:80" s="87" customFormat="1" x14ac:dyDescent="0.2">
      <c r="A3845" s="152"/>
      <c r="B3845" s="683"/>
      <c r="C3845" s="683"/>
      <c r="D3845" s="698"/>
      <c r="E3845" s="215"/>
      <c r="F3845" s="215"/>
      <c r="G3845" s="153"/>
      <c r="H3845" s="153"/>
      <c r="I3845" s="323">
        <v>26</v>
      </c>
      <c r="J3845" s="312">
        <v>60</v>
      </c>
      <c r="K3845" s="150">
        <v>1</v>
      </c>
      <c r="L3845" s="656">
        <v>26</v>
      </c>
      <c r="M3845" s="663">
        <v>34429</v>
      </c>
      <c r="N3845" s="600">
        <v>1.0730500000000001</v>
      </c>
      <c r="O3845" s="604">
        <v>3.7199999999999999E-4</v>
      </c>
      <c r="P3845" s="250"/>
      <c r="Q3845" s="250"/>
      <c r="R3845" s="250"/>
      <c r="S3845" s="250"/>
      <c r="T3845" s="250"/>
      <c r="U3845" s="250">
        <v>3.0600000000000002E-2</v>
      </c>
      <c r="V3845" s="250">
        <v>0.196994</v>
      </c>
      <c r="W3845" s="250">
        <v>0.45803700000000008</v>
      </c>
      <c r="X3845" s="250">
        <v>0.30022300000000002</v>
      </c>
      <c r="Y3845" s="250">
        <v>1.4130999999999999E-2</v>
      </c>
      <c r="Z3845" s="150"/>
      <c r="AA3845" s="150">
        <v>0.66</v>
      </c>
      <c r="AB3845" s="152"/>
      <c r="AC3845" s="152"/>
      <c r="AD3845" s="223">
        <v>8.1683719999999997</v>
      </c>
      <c r="AE3845" s="223">
        <v>0.2621194</v>
      </c>
      <c r="AF3845" s="223">
        <v>2.1458514000000002</v>
      </c>
      <c r="AG3845" s="223">
        <v>0.49985560000000001</v>
      </c>
      <c r="AH3845" s="341"/>
      <c r="AI3845" s="218"/>
      <c r="AJ3845" s="218"/>
      <c r="AK3845" s="153"/>
      <c r="AL3845" s="152"/>
      <c r="AM3845" s="152"/>
      <c r="AN3845" s="152"/>
      <c r="AO3845" s="152"/>
      <c r="AP3845" s="152"/>
      <c r="AQ3845" s="152"/>
      <c r="AR3845" s="152"/>
      <c r="AS3845" s="152"/>
      <c r="AT3845" s="152"/>
      <c r="AU3845" s="153"/>
      <c r="AV3845" s="479"/>
      <c r="AW3845" s="479"/>
      <c r="AX3845" s="442"/>
      <c r="AY3845" s="153"/>
      <c r="AZ3845" s="152"/>
      <c r="BA3845" s="152"/>
      <c r="BB3845" s="152"/>
      <c r="BC3845" s="152"/>
      <c r="BD3845" s="152"/>
      <c r="BE3845" s="152"/>
      <c r="BF3845" s="152"/>
      <c r="BG3845" s="152"/>
      <c r="BH3845" s="152"/>
      <c r="BI3845" s="153"/>
      <c r="BJ3845" s="153"/>
      <c r="BK3845" s="153"/>
      <c r="BL3845" s="153"/>
      <c r="BM3845" s="153"/>
      <c r="BN3845" s="153"/>
      <c r="BO3845" s="153"/>
      <c r="BP3845" s="153"/>
      <c r="BQ3845" s="153"/>
      <c r="BR3845" s="153"/>
      <c r="BS3845" s="153"/>
      <c r="BT3845" s="153"/>
      <c r="BU3845" s="153"/>
      <c r="BV3845" s="153"/>
      <c r="BW3845" s="153"/>
      <c r="BX3845" s="153"/>
      <c r="BY3845" s="153"/>
      <c r="BZ3845" s="153"/>
      <c r="CA3845" s="152"/>
      <c r="CB3845" s="152"/>
    </row>
    <row r="3846" spans="1:80" s="87" customFormat="1" x14ac:dyDescent="0.2">
      <c r="A3846" s="152"/>
      <c r="B3846" s="683"/>
      <c r="C3846" s="683"/>
      <c r="D3846" s="698"/>
      <c r="E3846" s="215"/>
      <c r="F3846" s="215"/>
      <c r="G3846" s="153"/>
      <c r="H3846" s="153"/>
      <c r="I3846" s="323">
        <v>25</v>
      </c>
      <c r="J3846" s="312">
        <v>60</v>
      </c>
      <c r="K3846" s="150">
        <v>1</v>
      </c>
      <c r="L3846" s="656">
        <v>25</v>
      </c>
      <c r="M3846" s="663">
        <v>34437</v>
      </c>
      <c r="N3846" s="600">
        <v>1.22028</v>
      </c>
      <c r="O3846" s="604">
        <v>3.8900000000000002E-4</v>
      </c>
      <c r="P3846" s="250"/>
      <c r="Q3846" s="250"/>
      <c r="R3846" s="250"/>
      <c r="S3846" s="250"/>
      <c r="T3846" s="250"/>
      <c r="U3846" s="250">
        <v>8.6300000000000002E-2</v>
      </c>
      <c r="V3846" s="250">
        <v>0.15684100000000001</v>
      </c>
      <c r="W3846" s="250">
        <v>0.37356300000000003</v>
      </c>
      <c r="X3846" s="250">
        <v>0.35762900000000003</v>
      </c>
      <c r="Y3846" s="250">
        <v>2.5649000000000002E-2</v>
      </c>
      <c r="Z3846" s="150"/>
      <c r="AA3846" s="150">
        <v>0.62</v>
      </c>
      <c r="AB3846" s="152"/>
      <c r="AC3846" s="152"/>
      <c r="AD3846" s="223">
        <v>8.137893</v>
      </c>
      <c r="AE3846" s="223">
        <v>0.26821519999999999</v>
      </c>
      <c r="AF3846" s="223">
        <v>2.1737196000000001</v>
      </c>
      <c r="AG3846" s="223">
        <v>0.55776570000000003</v>
      </c>
      <c r="AH3846" s="341"/>
      <c r="AI3846" s="218"/>
      <c r="AJ3846" s="218"/>
      <c r="AK3846" s="153"/>
      <c r="AL3846" s="152"/>
      <c r="AM3846" s="152"/>
      <c r="AN3846" s="152"/>
      <c r="AO3846" s="152"/>
      <c r="AP3846" s="152"/>
      <c r="AQ3846" s="152"/>
      <c r="AR3846" s="152"/>
      <c r="AS3846" s="152"/>
      <c r="AT3846" s="152"/>
      <c r="AU3846" s="153"/>
      <c r="AV3846" s="479"/>
      <c r="AW3846" s="479"/>
      <c r="AX3846" s="442"/>
      <c r="AY3846" s="153"/>
      <c r="AZ3846" s="152"/>
      <c r="BA3846" s="152"/>
      <c r="BB3846" s="152"/>
      <c r="BC3846" s="152"/>
      <c r="BD3846" s="152"/>
      <c r="BE3846" s="152"/>
      <c r="BF3846" s="152"/>
      <c r="BG3846" s="152"/>
      <c r="BH3846" s="152"/>
      <c r="BI3846" s="153"/>
      <c r="BJ3846" s="153"/>
      <c r="BK3846" s="153"/>
      <c r="BL3846" s="153"/>
      <c r="BM3846" s="153"/>
      <c r="BN3846" s="153"/>
      <c r="BO3846" s="153"/>
      <c r="BP3846" s="153"/>
      <c r="BQ3846" s="153"/>
      <c r="BR3846" s="153"/>
      <c r="BS3846" s="153"/>
      <c r="BT3846" s="153"/>
      <c r="BU3846" s="153"/>
      <c r="BV3846" s="153"/>
      <c r="BW3846" s="153"/>
      <c r="BX3846" s="153"/>
      <c r="BY3846" s="153"/>
      <c r="BZ3846" s="153"/>
      <c r="CA3846" s="152"/>
      <c r="CB3846" s="152"/>
    </row>
    <row r="3847" spans="1:80" s="87" customFormat="1" x14ac:dyDescent="0.2">
      <c r="A3847" s="152"/>
      <c r="B3847" s="683"/>
      <c r="C3847" s="683"/>
      <c r="D3847" s="698"/>
      <c r="E3847" s="215"/>
      <c r="F3847" s="215"/>
      <c r="G3847" s="153"/>
      <c r="H3847" s="153"/>
      <c r="I3847" s="323">
        <v>25</v>
      </c>
      <c r="J3847" s="312">
        <v>60</v>
      </c>
      <c r="K3847" s="150">
        <v>1</v>
      </c>
      <c r="L3847" s="656">
        <v>25</v>
      </c>
      <c r="M3847" s="663">
        <v>34437</v>
      </c>
      <c r="N3847" s="600">
        <v>1.22028</v>
      </c>
      <c r="O3847" s="604">
        <v>3.7199999999999999E-4</v>
      </c>
      <c r="P3847" s="250"/>
      <c r="Q3847" s="250"/>
      <c r="R3847" s="250"/>
      <c r="S3847" s="250"/>
      <c r="T3847" s="250"/>
      <c r="U3847" s="250">
        <v>7.4200000000000002E-2</v>
      </c>
      <c r="V3847" s="250">
        <v>0.21212</v>
      </c>
      <c r="W3847" s="250">
        <v>0.40848499999999999</v>
      </c>
      <c r="X3847" s="250">
        <v>0.28194800000000003</v>
      </c>
      <c r="Y3847" s="250">
        <v>2.3281999999999997E-2</v>
      </c>
      <c r="Z3847" s="150"/>
      <c r="AA3847" s="150">
        <v>0.7</v>
      </c>
      <c r="AB3847" s="152"/>
      <c r="AC3847" s="152"/>
      <c r="AD3847" s="223">
        <v>8.137893</v>
      </c>
      <c r="AE3847" s="223">
        <v>0.26821519999999999</v>
      </c>
      <c r="AF3847" s="223">
        <v>2.1737196000000001</v>
      </c>
      <c r="AG3847" s="223">
        <v>0.55776570000000003</v>
      </c>
      <c r="AH3847" s="341"/>
      <c r="AI3847" s="218"/>
      <c r="AJ3847" s="218"/>
      <c r="AK3847" s="153"/>
      <c r="AL3847" s="152"/>
      <c r="AM3847" s="152"/>
      <c r="AN3847" s="152"/>
      <c r="AO3847" s="152"/>
      <c r="AP3847" s="152"/>
      <c r="AQ3847" s="152"/>
      <c r="AR3847" s="152"/>
      <c r="AS3847" s="152"/>
      <c r="AT3847" s="152"/>
      <c r="AU3847" s="153"/>
      <c r="AV3847" s="479"/>
      <c r="AW3847" s="479"/>
      <c r="AX3847" s="442"/>
      <c r="AY3847" s="153"/>
      <c r="AZ3847" s="152"/>
      <c r="BA3847" s="152"/>
      <c r="BB3847" s="152"/>
      <c r="BC3847" s="152"/>
      <c r="BD3847" s="152"/>
      <c r="BE3847" s="152"/>
      <c r="BF3847" s="152"/>
      <c r="BG3847" s="152"/>
      <c r="BH3847" s="152"/>
      <c r="BI3847" s="153"/>
      <c r="BJ3847" s="153"/>
      <c r="BK3847" s="153"/>
      <c r="BL3847" s="153"/>
      <c r="BM3847" s="153"/>
      <c r="BN3847" s="153"/>
      <c r="BO3847" s="153"/>
      <c r="BP3847" s="153"/>
      <c r="BQ3847" s="153"/>
      <c r="BR3847" s="153"/>
      <c r="BS3847" s="153"/>
      <c r="BT3847" s="153"/>
      <c r="BU3847" s="153"/>
      <c r="BV3847" s="153"/>
      <c r="BW3847" s="153"/>
      <c r="BX3847" s="153"/>
      <c r="BY3847" s="153"/>
      <c r="BZ3847" s="153"/>
      <c r="CA3847" s="152"/>
      <c r="CB3847" s="152"/>
    </row>
    <row r="3848" spans="1:80" s="87" customFormat="1" x14ac:dyDescent="0.2">
      <c r="A3848" s="152"/>
      <c r="B3848" s="683"/>
      <c r="C3848" s="683"/>
      <c r="D3848" s="698"/>
      <c r="E3848" s="215"/>
      <c r="F3848" s="215"/>
      <c r="G3848" s="153"/>
      <c r="H3848" s="153"/>
      <c r="I3848" s="323">
        <v>17</v>
      </c>
      <c r="J3848" s="312">
        <v>60</v>
      </c>
      <c r="K3848" s="150">
        <v>1</v>
      </c>
      <c r="L3848" s="656">
        <v>17</v>
      </c>
      <c r="M3848" s="663">
        <v>34445</v>
      </c>
      <c r="N3848" s="600">
        <v>4.2469099999999997</v>
      </c>
      <c r="O3848" s="604">
        <v>3.1801999999999997E-2</v>
      </c>
      <c r="P3848" s="250"/>
      <c r="Q3848" s="250"/>
      <c r="R3848" s="250">
        <v>2.4799999999999999E-2</v>
      </c>
      <c r="S3848" s="250">
        <v>2.0499999999999997E-2</v>
      </c>
      <c r="T3848" s="250">
        <v>3.3799999999999997E-2</v>
      </c>
      <c r="U3848" s="250">
        <v>0.11630000000000001</v>
      </c>
      <c r="V3848" s="250">
        <v>0.40034399999999998</v>
      </c>
      <c r="W3848" s="250">
        <v>0.31796399999999997</v>
      </c>
      <c r="X3848" s="250">
        <v>8.446999999999999E-2</v>
      </c>
      <c r="Y3848" s="250">
        <v>1.9040000000000001E-3</v>
      </c>
      <c r="Z3848" s="150"/>
      <c r="AA3848" s="150">
        <v>1.18</v>
      </c>
      <c r="AB3848" s="152"/>
      <c r="AC3848" s="152"/>
      <c r="AD3848" s="223">
        <v>8.8389100000000003</v>
      </c>
      <c r="AE3848" s="223">
        <v>0.49375980000000003</v>
      </c>
      <c r="AF3848" s="223">
        <v>4.3753073999999996</v>
      </c>
      <c r="AG3848" s="223">
        <v>0.93875319999999995</v>
      </c>
      <c r="AH3848" s="341"/>
      <c r="AI3848" s="218"/>
      <c r="AJ3848" s="218"/>
      <c r="AK3848" s="153"/>
      <c r="AL3848" s="152"/>
      <c r="AM3848" s="152"/>
      <c r="AN3848" s="152"/>
      <c r="AO3848" s="152"/>
      <c r="AP3848" s="152"/>
      <c r="AQ3848" s="152"/>
      <c r="AR3848" s="152"/>
      <c r="AS3848" s="152"/>
      <c r="AT3848" s="152"/>
      <c r="AU3848" s="153"/>
      <c r="AV3848" s="479"/>
      <c r="AW3848" s="479"/>
      <c r="AX3848" s="442"/>
      <c r="AY3848" s="153"/>
      <c r="AZ3848" s="152"/>
      <c r="BA3848" s="152"/>
      <c r="BB3848" s="152"/>
      <c r="BC3848" s="152"/>
      <c r="BD3848" s="152"/>
      <c r="BE3848" s="152"/>
      <c r="BF3848" s="152"/>
      <c r="BG3848" s="152"/>
      <c r="BH3848" s="152"/>
      <c r="BI3848" s="153"/>
      <c r="BJ3848" s="153"/>
      <c r="BK3848" s="153"/>
      <c r="BL3848" s="153"/>
      <c r="BM3848" s="153"/>
      <c r="BN3848" s="153"/>
      <c r="BO3848" s="153"/>
      <c r="BP3848" s="153"/>
      <c r="BQ3848" s="153"/>
      <c r="BR3848" s="153"/>
      <c r="BS3848" s="153"/>
      <c r="BT3848" s="153"/>
      <c r="BU3848" s="153"/>
      <c r="BV3848" s="153"/>
      <c r="BW3848" s="153"/>
      <c r="BX3848" s="153"/>
      <c r="BY3848" s="153"/>
      <c r="BZ3848" s="153"/>
      <c r="CA3848" s="152"/>
      <c r="CB3848" s="152"/>
    </row>
    <row r="3849" spans="1:80" s="87" customFormat="1" x14ac:dyDescent="0.2">
      <c r="A3849" s="152"/>
      <c r="B3849" s="683"/>
      <c r="C3849" s="683"/>
      <c r="D3849" s="698"/>
      <c r="E3849" s="215"/>
      <c r="F3849" s="215"/>
      <c r="G3849" s="153"/>
      <c r="H3849" s="153"/>
      <c r="I3849" s="323">
        <v>17</v>
      </c>
      <c r="J3849" s="312">
        <v>60</v>
      </c>
      <c r="K3849" s="150">
        <v>1</v>
      </c>
      <c r="L3849" s="656">
        <v>17</v>
      </c>
      <c r="M3849" s="663">
        <v>34445</v>
      </c>
      <c r="N3849" s="600">
        <v>4.2469099999999997</v>
      </c>
      <c r="O3849" s="604">
        <v>4.0513E-2</v>
      </c>
      <c r="P3849" s="250"/>
      <c r="Q3849" s="250"/>
      <c r="R3849" s="250"/>
      <c r="S3849" s="250">
        <v>2.0199999999999999E-2</v>
      </c>
      <c r="T3849" s="250">
        <v>3.8100000000000002E-2</v>
      </c>
      <c r="U3849" s="250">
        <v>0.1409</v>
      </c>
      <c r="V3849" s="250">
        <v>0.36069699999999999</v>
      </c>
      <c r="W3849" s="250">
        <v>0.34660600000000003</v>
      </c>
      <c r="X3849" s="250">
        <v>9.1577000000000006E-2</v>
      </c>
      <c r="Y3849" s="250">
        <v>1.8699999999999999E-3</v>
      </c>
      <c r="Z3849" s="150"/>
      <c r="AA3849" s="150">
        <v>1.1200000000000001</v>
      </c>
      <c r="AB3849" s="152"/>
      <c r="AC3849" s="152"/>
      <c r="AD3849" s="223">
        <v>8.8389100000000003</v>
      </c>
      <c r="AE3849" s="223">
        <v>0.49375980000000003</v>
      </c>
      <c r="AF3849" s="223">
        <v>4.3753073999999996</v>
      </c>
      <c r="AG3849" s="223">
        <v>0.93875319999999995</v>
      </c>
      <c r="AH3849" s="341"/>
      <c r="AI3849" s="218"/>
      <c r="AJ3849" s="218"/>
      <c r="AK3849" s="153"/>
      <c r="AL3849" s="152"/>
      <c r="AM3849" s="152"/>
      <c r="AN3849" s="152"/>
      <c r="AO3849" s="152"/>
      <c r="AP3849" s="152"/>
      <c r="AQ3849" s="152"/>
      <c r="AR3849" s="152"/>
      <c r="AS3849" s="152"/>
      <c r="AT3849" s="152"/>
      <c r="AU3849" s="153"/>
      <c r="AV3849" s="479"/>
      <c r="AW3849" s="479"/>
      <c r="AX3849" s="442"/>
      <c r="AY3849" s="153"/>
      <c r="AZ3849" s="152"/>
      <c r="BA3849" s="152"/>
      <c r="BB3849" s="152"/>
      <c r="BC3849" s="152"/>
      <c r="BD3849" s="152"/>
      <c r="BE3849" s="152"/>
      <c r="BF3849" s="152"/>
      <c r="BG3849" s="152"/>
      <c r="BH3849" s="152"/>
      <c r="BI3849" s="153"/>
      <c r="BJ3849" s="153"/>
      <c r="BK3849" s="153"/>
      <c r="BL3849" s="153"/>
      <c r="BM3849" s="153"/>
      <c r="BN3849" s="153"/>
      <c r="BO3849" s="153"/>
      <c r="BP3849" s="153"/>
      <c r="BQ3849" s="153"/>
      <c r="BR3849" s="153"/>
      <c r="BS3849" s="153"/>
      <c r="BT3849" s="153"/>
      <c r="BU3849" s="153"/>
      <c r="BV3849" s="153"/>
      <c r="BW3849" s="153"/>
      <c r="BX3849" s="153"/>
      <c r="BY3849" s="153"/>
      <c r="BZ3849" s="153"/>
      <c r="CA3849" s="152"/>
      <c r="CB3849" s="152"/>
    </row>
    <row r="3850" spans="1:80" s="87" customFormat="1" x14ac:dyDescent="0.2">
      <c r="A3850" s="152"/>
      <c r="B3850" s="683"/>
      <c r="C3850" s="683"/>
      <c r="D3850" s="698"/>
      <c r="E3850" s="215"/>
      <c r="F3850" s="215"/>
      <c r="G3850" s="153"/>
      <c r="H3850" s="153"/>
      <c r="I3850" s="323">
        <v>19</v>
      </c>
      <c r="J3850" s="312">
        <v>60</v>
      </c>
      <c r="K3850" s="150">
        <v>1</v>
      </c>
      <c r="L3850" s="656">
        <v>19</v>
      </c>
      <c r="M3850" s="663">
        <v>34450</v>
      </c>
      <c r="N3850" s="600">
        <v>3.7938999999999998</v>
      </c>
      <c r="O3850" s="604">
        <v>1.6372999999999999E-2</v>
      </c>
      <c r="P3850" s="250"/>
      <c r="Q3850" s="250"/>
      <c r="R3850" s="250"/>
      <c r="S3850" s="250">
        <v>2.2000000000000002E-2</v>
      </c>
      <c r="T3850" s="250">
        <v>6.3899999999999998E-2</v>
      </c>
      <c r="U3850" s="250">
        <v>0.16200000000000001</v>
      </c>
      <c r="V3850" s="250">
        <v>0.34870499999999999</v>
      </c>
      <c r="W3850" s="250">
        <v>0.30219299999999999</v>
      </c>
      <c r="X3850" s="250">
        <v>9.8585999999999993E-2</v>
      </c>
      <c r="Y3850" s="250">
        <v>2.6019999999999997E-3</v>
      </c>
      <c r="Z3850" s="150"/>
      <c r="AA3850" s="150">
        <v>1.21</v>
      </c>
      <c r="AB3850" s="152"/>
      <c r="AC3850" s="152"/>
      <c r="AD3850" s="223">
        <v>8.8389100000000003</v>
      </c>
      <c r="AE3850" s="223">
        <v>0.4815682</v>
      </c>
      <c r="AF3850" s="223">
        <v>4.2545451999999999</v>
      </c>
      <c r="AG3850" s="223">
        <v>0.8777952</v>
      </c>
      <c r="AH3850" s="341"/>
      <c r="AI3850" s="218"/>
      <c r="AJ3850" s="218"/>
      <c r="AK3850" s="153"/>
      <c r="AL3850" s="152"/>
      <c r="AM3850" s="152"/>
      <c r="AN3850" s="152"/>
      <c r="AO3850" s="152"/>
      <c r="AP3850" s="152"/>
      <c r="AQ3850" s="152"/>
      <c r="AR3850" s="152"/>
      <c r="AS3850" s="152"/>
      <c r="AT3850" s="152"/>
      <c r="AU3850" s="153"/>
      <c r="AV3850" s="479"/>
      <c r="AW3850" s="479"/>
      <c r="AX3850" s="442"/>
      <c r="AY3850" s="153"/>
      <c r="AZ3850" s="152"/>
      <c r="BA3850" s="152"/>
      <c r="BB3850" s="152"/>
      <c r="BC3850" s="152"/>
      <c r="BD3850" s="152"/>
      <c r="BE3850" s="152"/>
      <c r="BF3850" s="152"/>
      <c r="BG3850" s="152"/>
      <c r="BH3850" s="152"/>
      <c r="BI3850" s="153"/>
      <c r="BJ3850" s="153"/>
      <c r="BK3850" s="153"/>
      <c r="BL3850" s="153"/>
      <c r="BM3850" s="153"/>
      <c r="BN3850" s="153"/>
      <c r="BO3850" s="153"/>
      <c r="BP3850" s="153"/>
      <c r="BQ3850" s="153"/>
      <c r="BR3850" s="153"/>
      <c r="BS3850" s="153"/>
      <c r="BT3850" s="153"/>
      <c r="BU3850" s="153"/>
      <c r="BV3850" s="153"/>
      <c r="BW3850" s="153"/>
      <c r="BX3850" s="153"/>
      <c r="BY3850" s="153"/>
      <c r="BZ3850" s="153"/>
      <c r="CA3850" s="152"/>
      <c r="CB3850" s="152"/>
    </row>
    <row r="3851" spans="1:80" s="87" customFormat="1" x14ac:dyDescent="0.2">
      <c r="A3851" s="152"/>
      <c r="B3851" s="683"/>
      <c r="C3851" s="683"/>
      <c r="D3851" s="698"/>
      <c r="E3851" s="215"/>
      <c r="F3851" s="215"/>
      <c r="G3851" s="153"/>
      <c r="H3851" s="153"/>
      <c r="I3851" s="323">
        <v>19</v>
      </c>
      <c r="J3851" s="312">
        <v>60</v>
      </c>
      <c r="K3851" s="150">
        <v>1</v>
      </c>
      <c r="L3851" s="656">
        <v>19</v>
      </c>
      <c r="M3851" s="663">
        <v>34450</v>
      </c>
      <c r="N3851" s="600">
        <v>3.7938999999999998</v>
      </c>
      <c r="O3851" s="604">
        <v>1.2489999999999999E-2</v>
      </c>
      <c r="P3851" s="250"/>
      <c r="Q3851" s="250"/>
      <c r="R3851" s="250"/>
      <c r="S3851" s="250">
        <v>6.4199999999999993E-2</v>
      </c>
      <c r="T3851" s="250">
        <v>0.16870000000000002</v>
      </c>
      <c r="U3851" s="250">
        <v>0.14000000000000001</v>
      </c>
      <c r="V3851" s="250">
        <v>0.24190799999999998</v>
      </c>
      <c r="W3851" s="250">
        <v>0.27968400000000004</v>
      </c>
      <c r="X3851" s="250">
        <v>0.103224</v>
      </c>
      <c r="Y3851" s="250">
        <v>2.3159999999999999E-3</v>
      </c>
      <c r="Z3851" s="150"/>
      <c r="AA3851" s="150">
        <v>1.39</v>
      </c>
      <c r="AB3851" s="152"/>
      <c r="AC3851" s="152"/>
      <c r="AD3851" s="223">
        <v>8.8389100000000003</v>
      </c>
      <c r="AE3851" s="223">
        <v>0.4815682</v>
      </c>
      <c r="AF3851" s="223">
        <v>4.2545451999999999</v>
      </c>
      <c r="AG3851" s="223">
        <v>0.8777952</v>
      </c>
      <c r="AH3851" s="341"/>
      <c r="AI3851" s="218"/>
      <c r="AJ3851" s="218"/>
      <c r="AK3851" s="153"/>
      <c r="AL3851" s="152"/>
      <c r="AM3851" s="152"/>
      <c r="AN3851" s="152"/>
      <c r="AO3851" s="152"/>
      <c r="AP3851" s="152"/>
      <c r="AQ3851" s="152"/>
      <c r="AR3851" s="152"/>
      <c r="AS3851" s="152"/>
      <c r="AT3851" s="152"/>
      <c r="AU3851" s="153"/>
      <c r="AV3851" s="479"/>
      <c r="AW3851" s="479"/>
      <c r="AX3851" s="442"/>
      <c r="AY3851" s="153"/>
      <c r="AZ3851" s="152"/>
      <c r="BA3851" s="152"/>
      <c r="BB3851" s="152"/>
      <c r="BC3851" s="152"/>
      <c r="BD3851" s="152"/>
      <c r="BE3851" s="152"/>
      <c r="BF3851" s="152"/>
      <c r="BG3851" s="152"/>
      <c r="BH3851" s="152"/>
      <c r="BI3851" s="153"/>
      <c r="BJ3851" s="153"/>
      <c r="BK3851" s="153"/>
      <c r="BL3851" s="153"/>
      <c r="BM3851" s="153"/>
      <c r="BN3851" s="153"/>
      <c r="BO3851" s="153"/>
      <c r="BP3851" s="153"/>
      <c r="BQ3851" s="153"/>
      <c r="BR3851" s="153"/>
      <c r="BS3851" s="153"/>
      <c r="BT3851" s="153"/>
      <c r="BU3851" s="153"/>
      <c r="BV3851" s="153"/>
      <c r="BW3851" s="153"/>
      <c r="BX3851" s="153"/>
      <c r="BY3851" s="153"/>
      <c r="BZ3851" s="153"/>
      <c r="CA3851" s="152"/>
      <c r="CB3851" s="152"/>
    </row>
    <row r="3852" spans="1:80" s="87" customFormat="1" x14ac:dyDescent="0.2">
      <c r="A3852" s="152"/>
      <c r="B3852" s="683"/>
      <c r="C3852" s="683"/>
      <c r="D3852" s="698"/>
      <c r="E3852" s="215"/>
      <c r="F3852" s="215"/>
      <c r="G3852" s="153"/>
      <c r="H3852" s="153"/>
      <c r="I3852" s="323">
        <v>25</v>
      </c>
      <c r="J3852" s="312">
        <v>60</v>
      </c>
      <c r="K3852" s="150">
        <v>1</v>
      </c>
      <c r="L3852" s="656">
        <v>25</v>
      </c>
      <c r="M3852" s="663">
        <v>34456</v>
      </c>
      <c r="N3852" s="600">
        <v>2.7548300000000001</v>
      </c>
      <c r="O3852" s="604">
        <v>5.2690000000000002E-3</v>
      </c>
      <c r="P3852" s="250"/>
      <c r="Q3852" s="250"/>
      <c r="R3852" s="250"/>
      <c r="S3852" s="250">
        <v>1.83E-2</v>
      </c>
      <c r="T3852" s="250">
        <v>8.7499999999999994E-2</v>
      </c>
      <c r="U3852" s="250">
        <v>0.21590000000000001</v>
      </c>
      <c r="V3852" s="250">
        <v>0.26359700000000003</v>
      </c>
      <c r="W3852" s="250">
        <v>0.28934199999999999</v>
      </c>
      <c r="X3852" s="250">
        <v>0.122499</v>
      </c>
      <c r="Y3852" s="250">
        <v>2.8549999999999999E-3</v>
      </c>
      <c r="Z3852" s="150"/>
      <c r="AA3852" s="150">
        <v>1.25</v>
      </c>
      <c r="AB3852" s="152"/>
      <c r="AC3852" s="152"/>
      <c r="AD3852" s="223">
        <v>8.3817249999999994</v>
      </c>
      <c r="AE3852" s="223">
        <v>0.42061019999999999</v>
      </c>
      <c r="AF3852" s="223">
        <v>3.5299719999999999</v>
      </c>
      <c r="AG3852" s="223">
        <v>0.85036409999999996</v>
      </c>
      <c r="AH3852" s="341"/>
      <c r="AI3852" s="218"/>
      <c r="AJ3852" s="218"/>
      <c r="AK3852" s="153"/>
      <c r="AL3852" s="152"/>
      <c r="AM3852" s="152"/>
      <c r="AN3852" s="152"/>
      <c r="AO3852" s="152"/>
      <c r="AP3852" s="152"/>
      <c r="AQ3852" s="152"/>
      <c r="AR3852" s="152"/>
      <c r="AS3852" s="152"/>
      <c r="AT3852" s="152"/>
      <c r="AU3852" s="153"/>
      <c r="AV3852" s="479"/>
      <c r="AW3852" s="479"/>
      <c r="AX3852" s="442"/>
      <c r="AY3852" s="153"/>
      <c r="AZ3852" s="152"/>
      <c r="BA3852" s="152"/>
      <c r="BB3852" s="152"/>
      <c r="BC3852" s="152"/>
      <c r="BD3852" s="152"/>
      <c r="BE3852" s="152"/>
      <c r="BF3852" s="152"/>
      <c r="BG3852" s="152"/>
      <c r="BH3852" s="152"/>
      <c r="BI3852" s="153"/>
      <c r="BJ3852" s="153"/>
      <c r="BK3852" s="153"/>
      <c r="BL3852" s="153"/>
      <c r="BM3852" s="153"/>
      <c r="BN3852" s="153"/>
      <c r="BO3852" s="153"/>
      <c r="BP3852" s="153"/>
      <c r="BQ3852" s="153"/>
      <c r="BR3852" s="153"/>
      <c r="BS3852" s="153"/>
      <c r="BT3852" s="153"/>
      <c r="BU3852" s="153"/>
      <c r="BV3852" s="153"/>
      <c r="BW3852" s="153"/>
      <c r="BX3852" s="153"/>
      <c r="BY3852" s="153"/>
      <c r="BZ3852" s="153"/>
      <c r="CA3852" s="152"/>
      <c r="CB3852" s="152"/>
    </row>
    <row r="3853" spans="1:80" s="87" customFormat="1" x14ac:dyDescent="0.2">
      <c r="A3853" s="152"/>
      <c r="B3853" s="683"/>
      <c r="C3853" s="683"/>
      <c r="D3853" s="698"/>
      <c r="E3853" s="215"/>
      <c r="F3853" s="215"/>
      <c r="G3853" s="153"/>
      <c r="H3853" s="153"/>
      <c r="I3853" s="323">
        <v>25</v>
      </c>
      <c r="J3853" s="312">
        <v>60</v>
      </c>
      <c r="K3853" s="150">
        <v>1</v>
      </c>
      <c r="L3853" s="656">
        <v>25</v>
      </c>
      <c r="M3853" s="663">
        <v>34456</v>
      </c>
      <c r="N3853" s="600">
        <v>2.7548300000000001</v>
      </c>
      <c r="O3853" s="604">
        <v>8.4489999999999999E-3</v>
      </c>
      <c r="P3853" s="250"/>
      <c r="Q3853" s="250"/>
      <c r="R3853" s="250"/>
      <c r="S3853" s="250">
        <v>5.2999999999999999E-2</v>
      </c>
      <c r="T3853" s="250">
        <v>8.3299999999999999E-2</v>
      </c>
      <c r="U3853" s="250">
        <v>0.19760000000000003</v>
      </c>
      <c r="V3853" s="250">
        <v>0.31232700000000002</v>
      </c>
      <c r="W3853" s="250">
        <v>0.269924</v>
      </c>
      <c r="X3853" s="250">
        <v>8.1917000000000004E-2</v>
      </c>
      <c r="Y3853" s="250">
        <v>1.954E-3</v>
      </c>
      <c r="Z3853" s="150"/>
      <c r="AA3853" s="150">
        <v>1.38</v>
      </c>
      <c r="AB3853" s="152"/>
      <c r="AC3853" s="152"/>
      <c r="AD3853" s="223">
        <v>8.3817249999999994</v>
      </c>
      <c r="AE3853" s="223">
        <v>0.42061019999999999</v>
      </c>
      <c r="AF3853" s="223">
        <v>3.5299719999999999</v>
      </c>
      <c r="AG3853" s="223">
        <v>0.85036409999999996</v>
      </c>
      <c r="AH3853" s="341"/>
      <c r="AI3853" s="218"/>
      <c r="AJ3853" s="218"/>
      <c r="AK3853" s="153"/>
      <c r="AL3853" s="152"/>
      <c r="AM3853" s="152"/>
      <c r="AN3853" s="152"/>
      <c r="AO3853" s="152"/>
      <c r="AP3853" s="152"/>
      <c r="AQ3853" s="152"/>
      <c r="AR3853" s="152"/>
      <c r="AS3853" s="152"/>
      <c r="AT3853" s="152"/>
      <c r="AU3853" s="153"/>
      <c r="AV3853" s="479"/>
      <c r="AW3853" s="479"/>
      <c r="AX3853" s="442"/>
      <c r="AY3853" s="153"/>
      <c r="AZ3853" s="152"/>
      <c r="BA3853" s="152"/>
      <c r="BB3853" s="152"/>
      <c r="BC3853" s="152"/>
      <c r="BD3853" s="152"/>
      <c r="BE3853" s="152"/>
      <c r="BF3853" s="152"/>
      <c r="BG3853" s="152"/>
      <c r="BH3853" s="152"/>
      <c r="BI3853" s="153"/>
      <c r="BJ3853" s="153"/>
      <c r="BK3853" s="153"/>
      <c r="BL3853" s="153"/>
      <c r="BM3853" s="153"/>
      <c r="BN3853" s="153"/>
      <c r="BO3853" s="153"/>
      <c r="BP3853" s="153"/>
      <c r="BQ3853" s="153"/>
      <c r="BR3853" s="153"/>
      <c r="BS3853" s="153"/>
      <c r="BT3853" s="153"/>
      <c r="BU3853" s="153"/>
      <c r="BV3853" s="153"/>
      <c r="BW3853" s="153"/>
      <c r="BX3853" s="153"/>
      <c r="BY3853" s="153"/>
      <c r="BZ3853" s="153"/>
      <c r="CA3853" s="152"/>
      <c r="CB3853" s="152"/>
    </row>
    <row r="3854" spans="1:80" s="87" customFormat="1" x14ac:dyDescent="0.2">
      <c r="A3854" s="152"/>
      <c r="B3854" s="683"/>
      <c r="C3854" s="683"/>
      <c r="D3854" s="698"/>
      <c r="E3854" s="215"/>
      <c r="F3854" s="215"/>
      <c r="G3854" s="153"/>
      <c r="H3854" s="153"/>
      <c r="I3854" s="323">
        <v>21</v>
      </c>
      <c r="J3854" s="312">
        <v>60</v>
      </c>
      <c r="K3854" s="150">
        <v>1</v>
      </c>
      <c r="L3854" s="656">
        <v>21</v>
      </c>
      <c r="M3854" s="663">
        <v>34458</v>
      </c>
      <c r="N3854" s="600">
        <v>2.5085099999999998</v>
      </c>
      <c r="O3854" s="604">
        <v>4.8000000000000001E-4</v>
      </c>
      <c r="P3854" s="250"/>
      <c r="Q3854" s="250"/>
      <c r="R3854" s="250"/>
      <c r="S3854" s="250"/>
      <c r="T3854" s="250"/>
      <c r="U3854" s="250">
        <v>5.5800000000000002E-2</v>
      </c>
      <c r="V3854" s="250">
        <v>0.223993</v>
      </c>
      <c r="W3854" s="250">
        <v>0.44259799999999999</v>
      </c>
      <c r="X3854" s="250">
        <v>0.26563900000000001</v>
      </c>
      <c r="Y3854" s="250">
        <v>1.1936E-2</v>
      </c>
      <c r="Z3854" s="150"/>
      <c r="AA3854" s="150">
        <v>0.71</v>
      </c>
      <c r="AB3854" s="152"/>
      <c r="AC3854" s="152"/>
      <c r="AD3854" s="223">
        <v>8.4122039999999991</v>
      </c>
      <c r="AE3854" s="223">
        <v>0.42365809999999998</v>
      </c>
      <c r="AF3854" s="223">
        <v>3.576419</v>
      </c>
      <c r="AG3854" s="223">
        <v>0.73759180000000002</v>
      </c>
      <c r="AH3854" s="341"/>
      <c r="AI3854" s="218"/>
      <c r="AJ3854" s="218"/>
      <c r="AK3854" s="153"/>
      <c r="AL3854" s="152"/>
      <c r="AM3854" s="152"/>
      <c r="AN3854" s="152"/>
      <c r="AO3854" s="152"/>
      <c r="AP3854" s="152"/>
      <c r="AQ3854" s="152"/>
      <c r="AR3854" s="152"/>
      <c r="AS3854" s="152"/>
      <c r="AT3854" s="152"/>
      <c r="AU3854" s="153"/>
      <c r="AV3854" s="479"/>
      <c r="AW3854" s="479"/>
      <c r="AX3854" s="442"/>
      <c r="AY3854" s="153"/>
      <c r="AZ3854" s="152"/>
      <c r="BA3854" s="152"/>
      <c r="BB3854" s="152"/>
      <c r="BC3854" s="152"/>
      <c r="BD3854" s="152"/>
      <c r="BE3854" s="152"/>
      <c r="BF3854" s="152"/>
      <c r="BG3854" s="152"/>
      <c r="BH3854" s="152"/>
      <c r="BI3854" s="153"/>
      <c r="BJ3854" s="153"/>
      <c r="BK3854" s="153"/>
      <c r="BL3854" s="153"/>
      <c r="BM3854" s="153"/>
      <c r="BN3854" s="153"/>
      <c r="BO3854" s="153"/>
      <c r="BP3854" s="153"/>
      <c r="BQ3854" s="153"/>
      <c r="BR3854" s="153"/>
      <c r="BS3854" s="153"/>
      <c r="BT3854" s="153"/>
      <c r="BU3854" s="153"/>
      <c r="BV3854" s="153"/>
      <c r="BW3854" s="153"/>
      <c r="BX3854" s="153"/>
      <c r="BY3854" s="153"/>
      <c r="BZ3854" s="153"/>
      <c r="CA3854" s="152"/>
      <c r="CB3854" s="152"/>
    </row>
    <row r="3855" spans="1:80" s="87" customFormat="1" x14ac:dyDescent="0.2">
      <c r="A3855" s="152"/>
      <c r="B3855" s="683"/>
      <c r="C3855" s="683"/>
      <c r="D3855" s="698"/>
      <c r="E3855" s="215"/>
      <c r="F3855" s="215"/>
      <c r="G3855" s="153"/>
      <c r="H3855" s="153"/>
      <c r="I3855" s="323">
        <v>21</v>
      </c>
      <c r="J3855" s="312">
        <v>60</v>
      </c>
      <c r="K3855" s="150">
        <v>1</v>
      </c>
      <c r="L3855" s="656">
        <v>21</v>
      </c>
      <c r="M3855" s="663">
        <v>34458</v>
      </c>
      <c r="N3855" s="600">
        <v>2.5085099999999998</v>
      </c>
      <c r="O3855" s="604">
        <v>5.4699999999999996E-4</v>
      </c>
      <c r="P3855" s="250"/>
      <c r="Q3855" s="250"/>
      <c r="R3855" s="250"/>
      <c r="S3855" s="250"/>
      <c r="T3855" s="250"/>
      <c r="U3855" s="250">
        <v>3.6699999999999997E-2</v>
      </c>
      <c r="V3855" s="250">
        <v>0.20742899999999997</v>
      </c>
      <c r="W3855" s="250">
        <v>0.49855499999999997</v>
      </c>
      <c r="X3855" s="250">
        <v>0.24603700000000001</v>
      </c>
      <c r="Y3855" s="250">
        <v>1.1318E-2</v>
      </c>
      <c r="Z3855" s="150"/>
      <c r="AA3855" s="150">
        <v>0.7</v>
      </c>
      <c r="AB3855" s="152"/>
      <c r="AC3855" s="152"/>
      <c r="AD3855" s="223">
        <v>8.4122039999999991</v>
      </c>
      <c r="AE3855" s="223">
        <v>0.42365809999999998</v>
      </c>
      <c r="AF3855" s="223">
        <v>3.576419</v>
      </c>
      <c r="AG3855" s="223">
        <v>0.73759180000000002</v>
      </c>
      <c r="AH3855" s="341"/>
      <c r="AI3855" s="218"/>
      <c r="AJ3855" s="218"/>
      <c r="AK3855" s="153"/>
      <c r="AL3855" s="152"/>
      <c r="AM3855" s="152"/>
      <c r="AN3855" s="152"/>
      <c r="AO3855" s="152"/>
      <c r="AP3855" s="152"/>
      <c r="AQ3855" s="152"/>
      <c r="AR3855" s="152"/>
      <c r="AS3855" s="152"/>
      <c r="AT3855" s="152"/>
      <c r="AU3855" s="153"/>
      <c r="AV3855" s="479"/>
      <c r="AW3855" s="479"/>
      <c r="AX3855" s="442"/>
      <c r="AY3855" s="153"/>
      <c r="AZ3855" s="152"/>
      <c r="BA3855" s="152"/>
      <c r="BB3855" s="152"/>
      <c r="BC3855" s="152"/>
      <c r="BD3855" s="152"/>
      <c r="BE3855" s="152"/>
      <c r="BF3855" s="152"/>
      <c r="BG3855" s="152"/>
      <c r="BH3855" s="152"/>
      <c r="BI3855" s="153"/>
      <c r="BJ3855" s="153"/>
      <c r="BK3855" s="153"/>
      <c r="BL3855" s="153"/>
      <c r="BM3855" s="153"/>
      <c r="BN3855" s="153"/>
      <c r="BO3855" s="153"/>
      <c r="BP3855" s="153"/>
      <c r="BQ3855" s="153"/>
      <c r="BR3855" s="153"/>
      <c r="BS3855" s="153"/>
      <c r="BT3855" s="153"/>
      <c r="BU3855" s="153"/>
      <c r="BV3855" s="153"/>
      <c r="BW3855" s="153"/>
      <c r="BX3855" s="153"/>
      <c r="BY3855" s="153"/>
      <c r="BZ3855" s="153"/>
      <c r="CA3855" s="152"/>
      <c r="CB3855" s="152"/>
    </row>
    <row r="3856" spans="1:80" s="87" customFormat="1" x14ac:dyDescent="0.2">
      <c r="A3856" s="152"/>
      <c r="B3856" s="683"/>
      <c r="C3856" s="683"/>
      <c r="D3856" s="698"/>
      <c r="E3856" s="215"/>
      <c r="F3856" s="215"/>
      <c r="G3856" s="153"/>
      <c r="H3856" s="153"/>
      <c r="I3856" s="323">
        <v>25</v>
      </c>
      <c r="J3856" s="312">
        <v>60</v>
      </c>
      <c r="K3856" s="150">
        <v>1</v>
      </c>
      <c r="L3856" s="656">
        <v>25</v>
      </c>
      <c r="M3856" s="663">
        <v>34463</v>
      </c>
      <c r="N3856" s="600">
        <v>2.8595799999999998</v>
      </c>
      <c r="O3856" s="604">
        <v>1.0600999999999999E-2</v>
      </c>
      <c r="P3856" s="250"/>
      <c r="Q3856" s="250"/>
      <c r="R3856" s="250"/>
      <c r="S3856" s="250">
        <v>5.9299999999999999E-2</v>
      </c>
      <c r="T3856" s="250">
        <v>5.33E-2</v>
      </c>
      <c r="U3856" s="250">
        <v>0.14810000000000001</v>
      </c>
      <c r="V3856" s="250">
        <v>0.31535299999999999</v>
      </c>
      <c r="W3856" s="250">
        <v>0.33217799999999997</v>
      </c>
      <c r="X3856" s="250">
        <v>9.0189000000000005E-2</v>
      </c>
      <c r="Y3856" s="250">
        <v>1.5659999999999999E-3</v>
      </c>
      <c r="Z3856" s="150"/>
      <c r="AA3856" s="150">
        <v>1.18</v>
      </c>
      <c r="AB3856" s="152"/>
      <c r="AC3856" s="152"/>
      <c r="AD3856" s="223">
        <v>8.5645989999999994</v>
      </c>
      <c r="AE3856" s="223">
        <v>0.4388976</v>
      </c>
      <c r="AF3856" s="223">
        <v>3.7529176</v>
      </c>
      <c r="AG3856" s="223">
        <v>0.80769349999999995</v>
      </c>
      <c r="AH3856" s="341"/>
      <c r="AI3856" s="218"/>
      <c r="AJ3856" s="218"/>
      <c r="AK3856" s="153"/>
      <c r="AL3856" s="152"/>
      <c r="AM3856" s="152"/>
      <c r="AN3856" s="152"/>
      <c r="AO3856" s="152"/>
      <c r="AP3856" s="152"/>
      <c r="AQ3856" s="152"/>
      <c r="AR3856" s="152"/>
      <c r="AS3856" s="152"/>
      <c r="AT3856" s="152"/>
      <c r="AU3856" s="153"/>
      <c r="AV3856" s="479"/>
      <c r="AW3856" s="479"/>
      <c r="AX3856" s="442"/>
      <c r="AY3856" s="153"/>
      <c r="AZ3856" s="152"/>
      <c r="BA3856" s="152"/>
      <c r="BB3856" s="152"/>
      <c r="BC3856" s="152"/>
      <c r="BD3856" s="152"/>
      <c r="BE3856" s="152"/>
      <c r="BF3856" s="152"/>
      <c r="BG3856" s="152"/>
      <c r="BH3856" s="152"/>
      <c r="BI3856" s="153"/>
      <c r="BJ3856" s="153"/>
      <c r="BK3856" s="153"/>
      <c r="BL3856" s="153"/>
      <c r="BM3856" s="153"/>
      <c r="BN3856" s="153"/>
      <c r="BO3856" s="153"/>
      <c r="BP3856" s="153"/>
      <c r="BQ3856" s="153"/>
      <c r="BR3856" s="153"/>
      <c r="BS3856" s="153"/>
      <c r="BT3856" s="153"/>
      <c r="BU3856" s="153"/>
      <c r="BV3856" s="153"/>
      <c r="BW3856" s="153"/>
      <c r="BX3856" s="153"/>
      <c r="BY3856" s="153"/>
      <c r="BZ3856" s="153"/>
      <c r="CA3856" s="152"/>
      <c r="CB3856" s="152"/>
    </row>
    <row r="3857" spans="1:80" s="87" customFormat="1" x14ac:dyDescent="0.2">
      <c r="A3857" s="152"/>
      <c r="B3857" s="683"/>
      <c r="C3857" s="683"/>
      <c r="D3857" s="698"/>
      <c r="E3857" s="215"/>
      <c r="F3857" s="215"/>
      <c r="G3857" s="153"/>
      <c r="H3857" s="153"/>
      <c r="I3857" s="323">
        <v>25</v>
      </c>
      <c r="J3857" s="312">
        <v>60</v>
      </c>
      <c r="K3857" s="150">
        <v>1</v>
      </c>
      <c r="L3857" s="656">
        <v>25</v>
      </c>
      <c r="M3857" s="663">
        <v>34463</v>
      </c>
      <c r="N3857" s="600">
        <v>2.8595799999999998</v>
      </c>
      <c r="O3857" s="604">
        <v>4.1770000000000002E-3</v>
      </c>
      <c r="P3857" s="250"/>
      <c r="Q3857" s="250"/>
      <c r="R3857" s="250"/>
      <c r="S3857" s="250">
        <v>1.7500000000000002E-2</v>
      </c>
      <c r="T3857" s="250">
        <v>7.6100000000000001E-2</v>
      </c>
      <c r="U3857" s="250">
        <v>0.16449999999999998</v>
      </c>
      <c r="V3857" s="250">
        <v>0.299008</v>
      </c>
      <c r="W3857" s="250">
        <v>0.33634000000000003</v>
      </c>
      <c r="X3857" s="250">
        <v>0.10315300000000001</v>
      </c>
      <c r="Y3857" s="250">
        <v>3.4799999999999996E-3</v>
      </c>
      <c r="Z3857" s="150"/>
      <c r="AA3857" s="150">
        <v>1.1399999999999999</v>
      </c>
      <c r="AB3857" s="152"/>
      <c r="AC3857" s="152"/>
      <c r="AD3857" s="223">
        <v>8.5645989999999994</v>
      </c>
      <c r="AE3857" s="223">
        <v>0.4388976</v>
      </c>
      <c r="AF3857" s="223">
        <v>3.7529176</v>
      </c>
      <c r="AG3857" s="223">
        <v>0.80769349999999995</v>
      </c>
      <c r="AH3857" s="341"/>
      <c r="AI3857" s="218"/>
      <c r="AJ3857" s="218"/>
      <c r="AK3857" s="153"/>
      <c r="AL3857" s="152"/>
      <c r="AM3857" s="152"/>
      <c r="AN3857" s="152"/>
      <c r="AO3857" s="152"/>
      <c r="AP3857" s="152"/>
      <c r="AQ3857" s="152"/>
      <c r="AR3857" s="152"/>
      <c r="AS3857" s="152"/>
      <c r="AT3857" s="152"/>
      <c r="AU3857" s="153"/>
      <c r="AV3857" s="479"/>
      <c r="AW3857" s="479"/>
      <c r="AX3857" s="442"/>
      <c r="AY3857" s="153"/>
      <c r="AZ3857" s="152"/>
      <c r="BA3857" s="152"/>
      <c r="BB3857" s="152"/>
      <c r="BC3857" s="152"/>
      <c r="BD3857" s="152"/>
      <c r="BE3857" s="152"/>
      <c r="BF3857" s="152"/>
      <c r="BG3857" s="152"/>
      <c r="BH3857" s="152"/>
      <c r="BI3857" s="153"/>
      <c r="BJ3857" s="153"/>
      <c r="BK3857" s="153"/>
      <c r="BL3857" s="153"/>
      <c r="BM3857" s="153"/>
      <c r="BN3857" s="153"/>
      <c r="BO3857" s="153"/>
      <c r="BP3857" s="153"/>
      <c r="BQ3857" s="153"/>
      <c r="BR3857" s="153"/>
      <c r="BS3857" s="153"/>
      <c r="BT3857" s="153"/>
      <c r="BU3857" s="153"/>
      <c r="BV3857" s="153"/>
      <c r="BW3857" s="153"/>
      <c r="BX3857" s="153"/>
      <c r="BY3857" s="153"/>
      <c r="BZ3857" s="153"/>
      <c r="CA3857" s="152"/>
      <c r="CB3857" s="152"/>
    </row>
    <row r="3858" spans="1:80" s="87" customFormat="1" x14ac:dyDescent="0.2">
      <c r="A3858" s="152"/>
      <c r="B3858" s="683"/>
      <c r="C3858" s="683"/>
      <c r="D3858" s="698"/>
      <c r="E3858" s="215"/>
      <c r="F3858" s="215"/>
      <c r="G3858" s="153"/>
      <c r="H3858" s="153"/>
      <c r="I3858" s="323">
        <v>25</v>
      </c>
      <c r="J3858" s="312">
        <v>60</v>
      </c>
      <c r="K3858" s="150">
        <v>1</v>
      </c>
      <c r="L3858" s="656">
        <v>25</v>
      </c>
      <c r="M3858" s="663">
        <v>34464</v>
      </c>
      <c r="N3858" s="600">
        <v>2.91621</v>
      </c>
      <c r="O3858" s="604">
        <v>5.0689999999999997E-3</v>
      </c>
      <c r="P3858" s="250"/>
      <c r="Q3858" s="250"/>
      <c r="R3858" s="250"/>
      <c r="S3858" s="250">
        <v>1.2699999999999999E-2</v>
      </c>
      <c r="T3858" s="250">
        <v>8.3400000000000002E-2</v>
      </c>
      <c r="U3858" s="250">
        <v>0.22719999999999999</v>
      </c>
      <c r="V3858" s="250">
        <v>0.35285299999999997</v>
      </c>
      <c r="W3858" s="250">
        <v>0.27496100000000001</v>
      </c>
      <c r="X3858" s="250">
        <v>4.6383000000000001E-2</v>
      </c>
      <c r="Y3858" s="250">
        <v>2.4629999999999999E-3</v>
      </c>
      <c r="Z3858" s="150"/>
      <c r="AA3858" s="150">
        <v>1.41</v>
      </c>
      <c r="AB3858" s="152"/>
      <c r="AC3858" s="152"/>
      <c r="AD3858" s="223">
        <v>8.4731620000000003</v>
      </c>
      <c r="AE3858" s="223">
        <v>0.4175623</v>
      </c>
      <c r="AF3858" s="223">
        <v>3.5485508000000001</v>
      </c>
      <c r="AG3858" s="223">
        <v>0.81378930000000005</v>
      </c>
      <c r="AH3858" s="341"/>
      <c r="AI3858" s="218"/>
      <c r="AJ3858" s="218"/>
      <c r="AK3858" s="153"/>
      <c r="AL3858" s="152"/>
      <c r="AM3858" s="152"/>
      <c r="AN3858" s="152"/>
      <c r="AO3858" s="152"/>
      <c r="AP3858" s="152"/>
      <c r="AQ3858" s="152"/>
      <c r="AR3858" s="152"/>
      <c r="AS3858" s="152"/>
      <c r="AT3858" s="152"/>
      <c r="AU3858" s="153"/>
      <c r="AV3858" s="479"/>
      <c r="AW3858" s="479"/>
      <c r="AX3858" s="442"/>
      <c r="AY3858" s="153"/>
      <c r="AZ3858" s="152"/>
      <c r="BA3858" s="152"/>
      <c r="BB3858" s="152"/>
      <c r="BC3858" s="152"/>
      <c r="BD3858" s="152"/>
      <c r="BE3858" s="152"/>
      <c r="BF3858" s="152"/>
      <c r="BG3858" s="152"/>
      <c r="BH3858" s="152"/>
      <c r="BI3858" s="153"/>
      <c r="BJ3858" s="153"/>
      <c r="BK3858" s="153"/>
      <c r="BL3858" s="153"/>
      <c r="BM3858" s="153"/>
      <c r="BN3858" s="153"/>
      <c r="BO3858" s="153"/>
      <c r="BP3858" s="153"/>
      <c r="BQ3858" s="153"/>
      <c r="BR3858" s="153"/>
      <c r="BS3858" s="153"/>
      <c r="BT3858" s="153"/>
      <c r="BU3858" s="153"/>
      <c r="BV3858" s="153"/>
      <c r="BW3858" s="153"/>
      <c r="BX3858" s="153"/>
      <c r="BY3858" s="153"/>
      <c r="BZ3858" s="153"/>
      <c r="CA3858" s="152"/>
      <c r="CB3858" s="152"/>
    </row>
    <row r="3859" spans="1:80" s="87" customFormat="1" x14ac:dyDescent="0.2">
      <c r="A3859" s="152"/>
      <c r="B3859" s="683"/>
      <c r="C3859" s="683"/>
      <c r="D3859" s="698"/>
      <c r="E3859" s="215"/>
      <c r="F3859" s="215"/>
      <c r="G3859" s="153"/>
      <c r="H3859" s="153"/>
      <c r="I3859" s="323">
        <v>25</v>
      </c>
      <c r="J3859" s="312">
        <v>60</v>
      </c>
      <c r="K3859" s="150">
        <v>1</v>
      </c>
      <c r="L3859" s="656">
        <v>25</v>
      </c>
      <c r="M3859" s="663">
        <v>34464</v>
      </c>
      <c r="N3859" s="600">
        <v>2.91621</v>
      </c>
      <c r="O3859" s="604">
        <v>5.2059999999999997E-3</v>
      </c>
      <c r="P3859" s="250"/>
      <c r="Q3859" s="250"/>
      <c r="R3859" s="250"/>
      <c r="S3859" s="250"/>
      <c r="T3859" s="250">
        <v>7.6600000000000001E-2</v>
      </c>
      <c r="U3859" s="250">
        <v>0.25429999999999997</v>
      </c>
      <c r="V3859" s="250">
        <v>0.36814799999999998</v>
      </c>
      <c r="W3859" s="250">
        <v>0.25451999999999997</v>
      </c>
      <c r="X3859" s="250">
        <v>4.3733000000000001E-2</v>
      </c>
      <c r="Y3859" s="250">
        <v>2.6939999999999998E-3</v>
      </c>
      <c r="Z3859" s="150"/>
      <c r="AA3859" s="150">
        <v>1.45</v>
      </c>
      <c r="AB3859" s="152"/>
      <c r="AC3859" s="152"/>
      <c r="AD3859" s="223">
        <v>8.4731620000000003</v>
      </c>
      <c r="AE3859" s="223">
        <v>0.4175623</v>
      </c>
      <c r="AF3859" s="223">
        <v>3.5485508000000001</v>
      </c>
      <c r="AG3859" s="223">
        <v>0.81378930000000005</v>
      </c>
      <c r="AH3859" s="341"/>
      <c r="AI3859" s="218"/>
      <c r="AJ3859" s="218"/>
      <c r="AK3859" s="153"/>
      <c r="AL3859" s="152"/>
      <c r="AM3859" s="152"/>
      <c r="AN3859" s="152"/>
      <c r="AO3859" s="152"/>
      <c r="AP3859" s="152"/>
      <c r="AQ3859" s="152"/>
      <c r="AR3859" s="152"/>
      <c r="AS3859" s="152"/>
      <c r="AT3859" s="152"/>
      <c r="AU3859" s="153"/>
      <c r="AV3859" s="479"/>
      <c r="AW3859" s="479"/>
      <c r="AX3859" s="442"/>
      <c r="AY3859" s="153"/>
      <c r="AZ3859" s="152"/>
      <c r="BA3859" s="152"/>
      <c r="BB3859" s="152"/>
      <c r="BC3859" s="152"/>
      <c r="BD3859" s="152"/>
      <c r="BE3859" s="152"/>
      <c r="BF3859" s="152"/>
      <c r="BG3859" s="152"/>
      <c r="BH3859" s="152"/>
      <c r="BI3859" s="153"/>
      <c r="BJ3859" s="153"/>
      <c r="BK3859" s="153"/>
      <c r="BL3859" s="153"/>
      <c r="BM3859" s="153"/>
      <c r="BN3859" s="153"/>
      <c r="BO3859" s="153"/>
      <c r="BP3859" s="153"/>
      <c r="BQ3859" s="153"/>
      <c r="BR3859" s="153"/>
      <c r="BS3859" s="153"/>
      <c r="BT3859" s="153"/>
      <c r="BU3859" s="153"/>
      <c r="BV3859" s="153"/>
      <c r="BW3859" s="153"/>
      <c r="BX3859" s="153"/>
      <c r="BY3859" s="153"/>
      <c r="BZ3859" s="153"/>
      <c r="CA3859" s="152"/>
      <c r="CB3859" s="152"/>
    </row>
    <row r="3860" spans="1:80" s="87" customFormat="1" x14ac:dyDescent="0.2">
      <c r="A3860" s="152"/>
      <c r="B3860" s="683"/>
      <c r="C3860" s="683"/>
      <c r="D3860" s="698"/>
      <c r="E3860" s="215"/>
      <c r="F3860" s="215"/>
      <c r="G3860" s="153"/>
      <c r="H3860" s="153"/>
      <c r="I3860" s="323">
        <v>21</v>
      </c>
      <c r="J3860" s="312">
        <v>60</v>
      </c>
      <c r="K3860" s="150">
        <v>1</v>
      </c>
      <c r="L3860" s="656">
        <v>21</v>
      </c>
      <c r="M3860" s="663">
        <v>34466</v>
      </c>
      <c r="N3860" s="600">
        <v>2.8879000000000001</v>
      </c>
      <c r="O3860" s="604">
        <v>3.222E-3</v>
      </c>
      <c r="P3860" s="250"/>
      <c r="Q3860" s="250"/>
      <c r="R3860" s="250"/>
      <c r="S3860" s="250"/>
      <c r="T3860" s="250">
        <v>3.4000000000000002E-3</v>
      </c>
      <c r="U3860" s="250">
        <v>5.0599999999999999E-2</v>
      </c>
      <c r="V3860" s="250">
        <v>0.30786999999999998</v>
      </c>
      <c r="W3860" s="250">
        <v>0.52901100000000001</v>
      </c>
      <c r="X3860" s="250">
        <v>0.10444300000000001</v>
      </c>
      <c r="Y3860" s="250">
        <v>4.7489999999999997E-3</v>
      </c>
      <c r="Z3860" s="150"/>
      <c r="AA3860" s="150">
        <v>0.83</v>
      </c>
      <c r="AB3860" s="152"/>
      <c r="AC3860" s="152"/>
      <c r="AD3860" s="223">
        <v>8.503641</v>
      </c>
      <c r="AE3860" s="223">
        <v>0.4175623</v>
      </c>
      <c r="AF3860" s="223">
        <v>3.5392614</v>
      </c>
      <c r="AG3860" s="223">
        <v>0.79550189999999998</v>
      </c>
      <c r="AH3860" s="341"/>
      <c r="AI3860" s="218"/>
      <c r="AJ3860" s="218"/>
      <c r="AK3860" s="153"/>
      <c r="AL3860" s="152"/>
      <c r="AM3860" s="152"/>
      <c r="AN3860" s="152"/>
      <c r="AO3860" s="152"/>
      <c r="AP3860" s="152"/>
      <c r="AQ3860" s="152"/>
      <c r="AR3860" s="152"/>
      <c r="AS3860" s="152"/>
      <c r="AT3860" s="152"/>
      <c r="AU3860" s="153"/>
      <c r="AV3860" s="479"/>
      <c r="AW3860" s="479"/>
      <c r="AX3860" s="442"/>
      <c r="AY3860" s="153"/>
      <c r="AZ3860" s="152"/>
      <c r="BA3860" s="152"/>
      <c r="BB3860" s="152"/>
      <c r="BC3860" s="152"/>
      <c r="BD3860" s="152"/>
      <c r="BE3860" s="152"/>
      <c r="BF3860" s="152"/>
      <c r="BG3860" s="152"/>
      <c r="BH3860" s="152"/>
      <c r="BI3860" s="153"/>
      <c r="BJ3860" s="153"/>
      <c r="BK3860" s="153"/>
      <c r="BL3860" s="153"/>
      <c r="BM3860" s="153"/>
      <c r="BN3860" s="153"/>
      <c r="BO3860" s="153"/>
      <c r="BP3860" s="153"/>
      <c r="BQ3860" s="153"/>
      <c r="BR3860" s="153"/>
      <c r="BS3860" s="153"/>
      <c r="BT3860" s="153"/>
      <c r="BU3860" s="153"/>
      <c r="BV3860" s="153"/>
      <c r="BW3860" s="153"/>
      <c r="BX3860" s="153"/>
      <c r="BY3860" s="153"/>
      <c r="BZ3860" s="153"/>
      <c r="CA3860" s="152"/>
      <c r="CB3860" s="152"/>
    </row>
    <row r="3861" spans="1:80" s="87" customFormat="1" x14ac:dyDescent="0.2">
      <c r="A3861" s="152"/>
      <c r="B3861" s="683"/>
      <c r="C3861" s="683"/>
      <c r="D3861" s="698"/>
      <c r="E3861" s="215"/>
      <c r="F3861" s="215"/>
      <c r="G3861" s="153"/>
      <c r="H3861" s="153"/>
      <c r="I3861" s="323">
        <v>21</v>
      </c>
      <c r="J3861" s="312">
        <v>60</v>
      </c>
      <c r="K3861" s="150">
        <v>1</v>
      </c>
      <c r="L3861" s="656">
        <v>21</v>
      </c>
      <c r="M3861" s="663">
        <v>34466</v>
      </c>
      <c r="N3861" s="600">
        <v>2.8879000000000001</v>
      </c>
      <c r="O3861" s="604">
        <v>9.4249999999999994E-3</v>
      </c>
      <c r="P3861" s="250"/>
      <c r="Q3861" s="250"/>
      <c r="R3861" s="250"/>
      <c r="S3861" s="250"/>
      <c r="T3861" s="250">
        <v>2.0499999999999997E-2</v>
      </c>
      <c r="U3861" s="250">
        <v>0.2006</v>
      </c>
      <c r="V3861" s="250">
        <v>0.48031399999999996</v>
      </c>
      <c r="W3861" s="250">
        <v>0.26647599999999999</v>
      </c>
      <c r="X3861" s="250">
        <v>3.0588999999999998E-2</v>
      </c>
      <c r="Y3861" s="250">
        <v>1.5379999999999999E-3</v>
      </c>
      <c r="Z3861" s="150"/>
      <c r="AA3861" s="150">
        <v>1.34</v>
      </c>
      <c r="AB3861" s="152"/>
      <c r="AC3861" s="152"/>
      <c r="AD3861" s="223">
        <v>8.503641</v>
      </c>
      <c r="AE3861" s="223">
        <v>0.4175623</v>
      </c>
      <c r="AF3861" s="223">
        <v>3.5392614</v>
      </c>
      <c r="AG3861" s="223">
        <v>0.79550189999999998</v>
      </c>
      <c r="AH3861" s="341"/>
      <c r="AI3861" s="218"/>
      <c r="AJ3861" s="218"/>
      <c r="AK3861" s="153"/>
      <c r="AL3861" s="152"/>
      <c r="AM3861" s="152"/>
      <c r="AN3861" s="152"/>
      <c r="AO3861" s="152"/>
      <c r="AP3861" s="152"/>
      <c r="AQ3861" s="152"/>
      <c r="AR3861" s="152"/>
      <c r="AS3861" s="152"/>
      <c r="AT3861" s="152"/>
      <c r="AU3861" s="153"/>
      <c r="AV3861" s="479"/>
      <c r="AW3861" s="479"/>
      <c r="AX3861" s="442"/>
      <c r="AY3861" s="153"/>
      <c r="AZ3861" s="152"/>
      <c r="BA3861" s="152"/>
      <c r="BB3861" s="152"/>
      <c r="BC3861" s="152"/>
      <c r="BD3861" s="152"/>
      <c r="BE3861" s="152"/>
      <c r="BF3861" s="152"/>
      <c r="BG3861" s="152"/>
      <c r="BH3861" s="152"/>
      <c r="BI3861" s="153"/>
      <c r="BJ3861" s="153"/>
      <c r="BK3861" s="153"/>
      <c r="BL3861" s="153"/>
      <c r="BM3861" s="153"/>
      <c r="BN3861" s="153"/>
      <c r="BO3861" s="153"/>
      <c r="BP3861" s="153"/>
      <c r="BQ3861" s="153"/>
      <c r="BR3861" s="153"/>
      <c r="BS3861" s="153"/>
      <c r="BT3861" s="153"/>
      <c r="BU3861" s="153"/>
      <c r="BV3861" s="153"/>
      <c r="BW3861" s="153"/>
      <c r="BX3861" s="153"/>
      <c r="BY3861" s="153"/>
      <c r="BZ3861" s="153"/>
      <c r="CA3861" s="152"/>
      <c r="CB3861" s="152"/>
    </row>
    <row r="3862" spans="1:80" s="87" customFormat="1" x14ac:dyDescent="0.2">
      <c r="A3862" s="152"/>
      <c r="B3862" s="683"/>
      <c r="C3862" s="683"/>
      <c r="D3862" s="698"/>
      <c r="E3862" s="215"/>
      <c r="F3862" s="215"/>
      <c r="G3862" s="153"/>
      <c r="H3862" s="153"/>
      <c r="I3862" s="323">
        <v>25</v>
      </c>
      <c r="J3862" s="312">
        <v>60</v>
      </c>
      <c r="K3862" s="150">
        <v>1</v>
      </c>
      <c r="L3862" s="656">
        <v>25</v>
      </c>
      <c r="M3862" s="663">
        <v>34470</v>
      </c>
      <c r="N3862" s="600">
        <v>2.0130300000000001</v>
      </c>
      <c r="O3862" s="604">
        <v>3.6319999999999998E-3</v>
      </c>
      <c r="P3862" s="250"/>
      <c r="Q3862" s="250"/>
      <c r="R3862" s="250"/>
      <c r="S3862" s="250"/>
      <c r="T3862" s="250">
        <v>3.4099999999999998E-2</v>
      </c>
      <c r="U3862" s="250">
        <v>0.14649999999999999</v>
      </c>
      <c r="V3862" s="250">
        <v>0.36686799999999997</v>
      </c>
      <c r="W3862" s="250">
        <v>0.36191299999999998</v>
      </c>
      <c r="X3862" s="250">
        <v>8.5561000000000012E-2</v>
      </c>
      <c r="Y3862" s="250">
        <v>5.0200000000000002E-3</v>
      </c>
      <c r="Z3862" s="150"/>
      <c r="AA3862" s="150">
        <v>1.0900000000000001</v>
      </c>
      <c r="AB3862" s="152"/>
      <c r="AC3862" s="152"/>
      <c r="AD3862" s="223">
        <v>8.320767</v>
      </c>
      <c r="AE3862" s="223">
        <v>0.37793959999999999</v>
      </c>
      <c r="AF3862" s="223">
        <v>3.1491066000000001</v>
      </c>
      <c r="AG3862" s="223">
        <v>0.62177159999999998</v>
      </c>
      <c r="AH3862" s="341"/>
      <c r="AI3862" s="218"/>
      <c r="AJ3862" s="218"/>
      <c r="AK3862" s="153"/>
      <c r="AL3862" s="152"/>
      <c r="AM3862" s="152"/>
      <c r="AN3862" s="152"/>
      <c r="AO3862" s="152"/>
      <c r="AP3862" s="152"/>
      <c r="AQ3862" s="152"/>
      <c r="AR3862" s="152"/>
      <c r="AS3862" s="152"/>
      <c r="AT3862" s="152"/>
      <c r="AU3862" s="153"/>
      <c r="AV3862" s="479"/>
      <c r="AW3862" s="479"/>
      <c r="AX3862" s="442"/>
      <c r="AY3862" s="153"/>
      <c r="AZ3862" s="152"/>
      <c r="BA3862" s="152"/>
      <c r="BB3862" s="152"/>
      <c r="BC3862" s="152"/>
      <c r="BD3862" s="152"/>
      <c r="BE3862" s="152"/>
      <c r="BF3862" s="152"/>
      <c r="BG3862" s="152"/>
      <c r="BH3862" s="152"/>
      <c r="BI3862" s="153"/>
      <c r="BJ3862" s="153"/>
      <c r="BK3862" s="153"/>
      <c r="BL3862" s="153"/>
      <c r="BM3862" s="153"/>
      <c r="BN3862" s="153"/>
      <c r="BO3862" s="153"/>
      <c r="BP3862" s="153"/>
      <c r="BQ3862" s="153"/>
      <c r="BR3862" s="153"/>
      <c r="BS3862" s="153"/>
      <c r="BT3862" s="153"/>
      <c r="BU3862" s="153"/>
      <c r="BV3862" s="153"/>
      <c r="BW3862" s="153"/>
      <c r="BX3862" s="153"/>
      <c r="BY3862" s="153"/>
      <c r="BZ3862" s="153"/>
      <c r="CA3862" s="152"/>
      <c r="CB3862" s="152"/>
    </row>
    <row r="3863" spans="1:80" s="87" customFormat="1" x14ac:dyDescent="0.2">
      <c r="A3863" s="152"/>
      <c r="B3863" s="683"/>
      <c r="C3863" s="683"/>
      <c r="D3863" s="698"/>
      <c r="E3863" s="215"/>
      <c r="F3863" s="215"/>
      <c r="G3863" s="153"/>
      <c r="H3863" s="153"/>
      <c r="I3863" s="323">
        <v>25</v>
      </c>
      <c r="J3863" s="312">
        <v>60</v>
      </c>
      <c r="K3863" s="150">
        <v>1</v>
      </c>
      <c r="L3863" s="656">
        <v>25</v>
      </c>
      <c r="M3863" s="663">
        <v>34470</v>
      </c>
      <c r="N3863" s="600">
        <v>2.0130300000000001</v>
      </c>
      <c r="O3863" s="604">
        <v>9.6699999999999998E-4</v>
      </c>
      <c r="P3863" s="250"/>
      <c r="Q3863" s="250"/>
      <c r="R3863" s="250"/>
      <c r="S3863" s="250"/>
      <c r="T3863" s="250">
        <v>8.5299999999999987E-2</v>
      </c>
      <c r="U3863" s="250">
        <v>7.8100000000000003E-2</v>
      </c>
      <c r="V3863" s="250">
        <v>0.28087499999999999</v>
      </c>
      <c r="W3863" s="250">
        <v>0.41290399999999999</v>
      </c>
      <c r="X3863" s="250">
        <v>0.13384099999999999</v>
      </c>
      <c r="Y3863" s="250">
        <v>8.9610000000000002E-3</v>
      </c>
      <c r="Z3863" s="150"/>
      <c r="AA3863" s="150">
        <v>0.91</v>
      </c>
      <c r="AB3863" s="152"/>
      <c r="AC3863" s="152"/>
      <c r="AD3863" s="223">
        <v>8.320767</v>
      </c>
      <c r="AE3863" s="223">
        <v>0.37793959999999999</v>
      </c>
      <c r="AF3863" s="223">
        <v>3.1491066000000001</v>
      </c>
      <c r="AG3863" s="223">
        <v>0.62177159999999998</v>
      </c>
      <c r="AH3863" s="341"/>
      <c r="AI3863" s="218"/>
      <c r="AJ3863" s="218"/>
      <c r="AK3863" s="153"/>
      <c r="AL3863" s="152"/>
      <c r="AM3863" s="152"/>
      <c r="AN3863" s="152"/>
      <c r="AO3863" s="152"/>
      <c r="AP3863" s="152"/>
      <c r="AQ3863" s="152"/>
      <c r="AR3863" s="152"/>
      <c r="AS3863" s="152"/>
      <c r="AT3863" s="152"/>
      <c r="AU3863" s="153"/>
      <c r="AV3863" s="479"/>
      <c r="AW3863" s="479"/>
      <c r="AX3863" s="442"/>
      <c r="AY3863" s="153"/>
      <c r="AZ3863" s="152"/>
      <c r="BA3863" s="152"/>
      <c r="BB3863" s="152"/>
      <c r="BC3863" s="152"/>
      <c r="BD3863" s="152"/>
      <c r="BE3863" s="152"/>
      <c r="BF3863" s="152"/>
      <c r="BG3863" s="152"/>
      <c r="BH3863" s="152"/>
      <c r="BI3863" s="153"/>
      <c r="BJ3863" s="153"/>
      <c r="BK3863" s="153"/>
      <c r="BL3863" s="153"/>
      <c r="BM3863" s="153"/>
      <c r="BN3863" s="153"/>
      <c r="BO3863" s="153"/>
      <c r="BP3863" s="153"/>
      <c r="BQ3863" s="153"/>
      <c r="BR3863" s="153"/>
      <c r="BS3863" s="153"/>
      <c r="BT3863" s="153"/>
      <c r="BU3863" s="153"/>
      <c r="BV3863" s="153"/>
      <c r="BW3863" s="153"/>
      <c r="BX3863" s="153"/>
      <c r="BY3863" s="153"/>
      <c r="BZ3863" s="153"/>
      <c r="CA3863" s="152"/>
      <c r="CB3863" s="152"/>
    </row>
    <row r="3864" spans="1:80" s="87" customFormat="1" x14ac:dyDescent="0.2">
      <c r="A3864" s="152"/>
      <c r="B3864" s="683"/>
      <c r="C3864" s="683"/>
      <c r="D3864" s="698"/>
      <c r="E3864" s="215"/>
      <c r="F3864" s="215"/>
      <c r="G3864" s="153"/>
      <c r="H3864" s="153"/>
      <c r="I3864" s="323">
        <v>25</v>
      </c>
      <c r="J3864" s="312">
        <v>60</v>
      </c>
      <c r="K3864" s="150">
        <v>1</v>
      </c>
      <c r="L3864" s="656">
        <v>25</v>
      </c>
      <c r="M3864" s="663">
        <v>34471</v>
      </c>
      <c r="N3864" s="600">
        <v>2.6047699999999998</v>
      </c>
      <c r="O3864" s="604">
        <v>2.3410000000000002E-3</v>
      </c>
      <c r="P3864" s="250"/>
      <c r="Q3864" s="250"/>
      <c r="R3864" s="250"/>
      <c r="S3864" s="250"/>
      <c r="T3864" s="250">
        <v>8.8200000000000001E-2</v>
      </c>
      <c r="U3864" s="250">
        <v>0.14080000000000001</v>
      </c>
      <c r="V3864" s="250">
        <v>0.26524599999999998</v>
      </c>
      <c r="W3864" s="250">
        <v>0.35867800000000005</v>
      </c>
      <c r="X3864" s="250">
        <v>0.138738</v>
      </c>
      <c r="Y3864" s="250">
        <v>8.397E-3</v>
      </c>
      <c r="Z3864" s="150"/>
      <c r="AA3864" s="150">
        <v>0.99</v>
      </c>
      <c r="AB3864" s="152"/>
      <c r="AC3864" s="152"/>
      <c r="AD3864" s="223">
        <v>8.4426830000000006</v>
      </c>
      <c r="AE3864" s="223">
        <v>0.41146650000000001</v>
      </c>
      <c r="AF3864" s="223">
        <v>3.4835250000000002</v>
      </c>
      <c r="AG3864" s="223">
        <v>0.78635820000000001</v>
      </c>
      <c r="AH3864" s="341"/>
      <c r="AI3864" s="218"/>
      <c r="AJ3864" s="218"/>
      <c r="AK3864" s="153"/>
      <c r="AL3864" s="152"/>
      <c r="AM3864" s="152"/>
      <c r="AN3864" s="152"/>
      <c r="AO3864" s="152"/>
      <c r="AP3864" s="152"/>
      <c r="AQ3864" s="152"/>
      <c r="AR3864" s="152"/>
      <c r="AS3864" s="152"/>
      <c r="AT3864" s="152"/>
      <c r="AU3864" s="153"/>
      <c r="AV3864" s="479"/>
      <c r="AW3864" s="479"/>
      <c r="AX3864" s="442"/>
      <c r="AY3864" s="153"/>
      <c r="AZ3864" s="152"/>
      <c r="BA3864" s="152"/>
      <c r="BB3864" s="152"/>
      <c r="BC3864" s="152"/>
      <c r="BD3864" s="152"/>
      <c r="BE3864" s="152"/>
      <c r="BF3864" s="152"/>
      <c r="BG3864" s="152"/>
      <c r="BH3864" s="152"/>
      <c r="BI3864" s="153"/>
      <c r="BJ3864" s="153"/>
      <c r="BK3864" s="153"/>
      <c r="BL3864" s="153"/>
      <c r="BM3864" s="153"/>
      <c r="BN3864" s="153"/>
      <c r="BO3864" s="153"/>
      <c r="BP3864" s="153"/>
      <c r="BQ3864" s="153"/>
      <c r="BR3864" s="153"/>
      <c r="BS3864" s="153"/>
      <c r="BT3864" s="153"/>
      <c r="BU3864" s="153"/>
      <c r="BV3864" s="153"/>
      <c r="BW3864" s="153"/>
      <c r="BX3864" s="153"/>
      <c r="BY3864" s="153"/>
      <c r="BZ3864" s="153"/>
      <c r="CA3864" s="152"/>
      <c r="CB3864" s="152"/>
    </row>
    <row r="3865" spans="1:80" s="87" customFormat="1" x14ac:dyDescent="0.2">
      <c r="A3865" s="152"/>
      <c r="B3865" s="683"/>
      <c r="C3865" s="683"/>
      <c r="D3865" s="698"/>
      <c r="E3865" s="215"/>
      <c r="F3865" s="215"/>
      <c r="G3865" s="153"/>
      <c r="H3865" s="153"/>
      <c r="I3865" s="323">
        <v>25</v>
      </c>
      <c r="J3865" s="312">
        <v>60</v>
      </c>
      <c r="K3865" s="150">
        <v>1</v>
      </c>
      <c r="L3865" s="656">
        <v>25</v>
      </c>
      <c r="M3865" s="663">
        <v>34471</v>
      </c>
      <c r="N3865" s="600">
        <v>2.6047699999999998</v>
      </c>
      <c r="O3865" s="604">
        <v>9.77E-4</v>
      </c>
      <c r="P3865" s="250"/>
      <c r="Q3865" s="250"/>
      <c r="R3865" s="250"/>
      <c r="S3865" s="250"/>
      <c r="T3865" s="250">
        <v>1.52E-2</v>
      </c>
      <c r="U3865" s="250">
        <v>8.0500000000000002E-2</v>
      </c>
      <c r="V3865" s="250">
        <v>0.267295</v>
      </c>
      <c r="W3865" s="250">
        <v>0.42466999999999999</v>
      </c>
      <c r="X3865" s="250">
        <v>0.19766400000000001</v>
      </c>
      <c r="Y3865" s="250">
        <v>1.4732E-2</v>
      </c>
      <c r="Z3865" s="150"/>
      <c r="AA3865" s="150">
        <v>0.8</v>
      </c>
      <c r="AB3865" s="152"/>
      <c r="AC3865" s="152"/>
      <c r="AD3865" s="223">
        <v>8.4426830000000006</v>
      </c>
      <c r="AE3865" s="223">
        <v>0.41146650000000001</v>
      </c>
      <c r="AF3865" s="223">
        <v>3.4835250000000002</v>
      </c>
      <c r="AG3865" s="223">
        <v>0.78635820000000001</v>
      </c>
      <c r="AH3865" s="341"/>
      <c r="AI3865" s="218"/>
      <c r="AJ3865" s="218"/>
      <c r="AK3865" s="153"/>
      <c r="AL3865" s="152"/>
      <c r="AM3865" s="152"/>
      <c r="AN3865" s="152"/>
      <c r="AO3865" s="152"/>
      <c r="AP3865" s="152"/>
      <c r="AQ3865" s="152"/>
      <c r="AR3865" s="152"/>
      <c r="AS3865" s="152"/>
      <c r="AT3865" s="152"/>
      <c r="AU3865" s="153"/>
      <c r="AV3865" s="479"/>
      <c r="AW3865" s="479"/>
      <c r="AX3865" s="442"/>
      <c r="AY3865" s="153"/>
      <c r="AZ3865" s="152"/>
      <c r="BA3865" s="152"/>
      <c r="BB3865" s="152"/>
      <c r="BC3865" s="152"/>
      <c r="BD3865" s="152"/>
      <c r="BE3865" s="152"/>
      <c r="BF3865" s="152"/>
      <c r="BG3865" s="152"/>
      <c r="BH3865" s="152"/>
      <c r="BI3865" s="153"/>
      <c r="BJ3865" s="153"/>
      <c r="BK3865" s="153"/>
      <c r="BL3865" s="153"/>
      <c r="BM3865" s="153"/>
      <c r="BN3865" s="153"/>
      <c r="BO3865" s="153"/>
      <c r="BP3865" s="153"/>
      <c r="BQ3865" s="153"/>
      <c r="BR3865" s="153"/>
      <c r="BS3865" s="153"/>
      <c r="BT3865" s="153"/>
      <c r="BU3865" s="153"/>
      <c r="BV3865" s="153"/>
      <c r="BW3865" s="153"/>
      <c r="BX3865" s="153"/>
      <c r="BY3865" s="153"/>
      <c r="BZ3865" s="153"/>
      <c r="CA3865" s="152"/>
      <c r="CB3865" s="152"/>
    </row>
    <row r="3866" spans="1:80" s="87" customFormat="1" x14ac:dyDescent="0.2">
      <c r="A3866" s="152"/>
      <c r="B3866" s="683"/>
      <c r="C3866" s="683"/>
      <c r="D3866" s="698"/>
      <c r="E3866" s="215"/>
      <c r="F3866" s="215"/>
      <c r="G3866" s="153"/>
      <c r="H3866" s="153"/>
      <c r="I3866" s="323">
        <v>18</v>
      </c>
      <c r="J3866" s="312">
        <v>60</v>
      </c>
      <c r="K3866" s="150">
        <v>1</v>
      </c>
      <c r="L3866" s="656">
        <v>18</v>
      </c>
      <c r="M3866" s="663">
        <v>34474</v>
      </c>
      <c r="N3866" s="600">
        <v>2.5566399999999998</v>
      </c>
      <c r="O3866" s="604">
        <v>1.8997E-2</v>
      </c>
      <c r="P3866" s="250"/>
      <c r="Q3866" s="250"/>
      <c r="R3866" s="250">
        <v>4.2699999999999995E-2</v>
      </c>
      <c r="S3866" s="250">
        <v>0.1186</v>
      </c>
      <c r="T3866" s="250">
        <v>0.24719999999999998</v>
      </c>
      <c r="U3866" s="250">
        <v>0.27429999999999999</v>
      </c>
      <c r="V3866" s="250">
        <v>0.21065200000000001</v>
      </c>
      <c r="W3866" s="250">
        <v>9.0091000000000004E-2</v>
      </c>
      <c r="X3866" s="250">
        <v>1.4515E-2</v>
      </c>
      <c r="Y3866" s="250">
        <v>1.967E-3</v>
      </c>
      <c r="Z3866" s="150"/>
      <c r="AA3866" s="150">
        <v>3.17</v>
      </c>
      <c r="AB3866" s="152"/>
      <c r="AC3866" s="152"/>
      <c r="AD3866" s="223">
        <v>8.320767</v>
      </c>
      <c r="AE3866" s="223">
        <v>0.4175623</v>
      </c>
      <c r="AF3866" s="223">
        <v>3.4742356000000001</v>
      </c>
      <c r="AG3866" s="223">
        <v>0.72844810000000004</v>
      </c>
      <c r="AH3866" s="341"/>
      <c r="AI3866" s="218"/>
      <c r="AJ3866" s="218"/>
      <c r="AK3866" s="153"/>
      <c r="AL3866" s="152"/>
      <c r="AM3866" s="152"/>
      <c r="AN3866" s="152"/>
      <c r="AO3866" s="152"/>
      <c r="AP3866" s="152"/>
      <c r="AQ3866" s="152"/>
      <c r="AR3866" s="152"/>
      <c r="AS3866" s="152"/>
      <c r="AT3866" s="152"/>
      <c r="AU3866" s="153"/>
      <c r="AV3866" s="479"/>
      <c r="AW3866" s="479"/>
      <c r="AX3866" s="442"/>
      <c r="AY3866" s="153"/>
      <c r="AZ3866" s="152"/>
      <c r="BA3866" s="152"/>
      <c r="BB3866" s="152"/>
      <c r="BC3866" s="152"/>
      <c r="BD3866" s="152"/>
      <c r="BE3866" s="152"/>
      <c r="BF3866" s="152"/>
      <c r="BG3866" s="152"/>
      <c r="BH3866" s="152"/>
      <c r="BI3866" s="153"/>
      <c r="BJ3866" s="153"/>
      <c r="BK3866" s="153"/>
      <c r="BL3866" s="153"/>
      <c r="BM3866" s="153"/>
      <c r="BN3866" s="153"/>
      <c r="BO3866" s="153"/>
      <c r="BP3866" s="153"/>
      <c r="BQ3866" s="153"/>
      <c r="BR3866" s="153"/>
      <c r="BS3866" s="153"/>
      <c r="BT3866" s="153"/>
      <c r="BU3866" s="153"/>
      <c r="BV3866" s="153"/>
      <c r="BW3866" s="153"/>
      <c r="BX3866" s="153"/>
      <c r="BY3866" s="153"/>
      <c r="BZ3866" s="153"/>
      <c r="CA3866" s="152"/>
      <c r="CB3866" s="152"/>
    </row>
    <row r="3867" spans="1:80" s="87" customFormat="1" x14ac:dyDescent="0.2">
      <c r="A3867" s="152"/>
      <c r="B3867" s="683"/>
      <c r="C3867" s="683"/>
      <c r="D3867" s="698"/>
      <c r="E3867" s="215"/>
      <c r="F3867" s="215"/>
      <c r="G3867" s="153"/>
      <c r="H3867" s="153"/>
      <c r="I3867" s="323">
        <v>18</v>
      </c>
      <c r="J3867" s="312">
        <v>60</v>
      </c>
      <c r="K3867" s="150">
        <v>1</v>
      </c>
      <c r="L3867" s="656">
        <v>18</v>
      </c>
      <c r="M3867" s="663">
        <v>34474</v>
      </c>
      <c r="N3867" s="600">
        <v>2.5566399999999998</v>
      </c>
      <c r="O3867" s="604">
        <v>8.1449999999999995E-3</v>
      </c>
      <c r="P3867" s="250"/>
      <c r="Q3867" s="250"/>
      <c r="R3867" s="250"/>
      <c r="S3867" s="250">
        <v>3.04E-2</v>
      </c>
      <c r="T3867" s="250">
        <v>4.5599999999999995E-2</v>
      </c>
      <c r="U3867" s="250">
        <v>0.19500000000000001</v>
      </c>
      <c r="V3867" s="250">
        <v>0.419769</v>
      </c>
      <c r="W3867" s="250">
        <v>0.26541100000000001</v>
      </c>
      <c r="X3867" s="250">
        <v>4.0561E-2</v>
      </c>
      <c r="Y3867" s="250">
        <v>3.1780000000000003E-3</v>
      </c>
      <c r="Z3867" s="150"/>
      <c r="AA3867" s="150">
        <v>1.37</v>
      </c>
      <c r="AB3867" s="152"/>
      <c r="AC3867" s="152"/>
      <c r="AD3867" s="223">
        <v>8.320767</v>
      </c>
      <c r="AE3867" s="223">
        <v>0.4175623</v>
      </c>
      <c r="AF3867" s="223">
        <v>3.4742356000000001</v>
      </c>
      <c r="AG3867" s="223">
        <v>0.72844810000000004</v>
      </c>
      <c r="AH3867" s="341"/>
      <c r="AI3867" s="218"/>
      <c r="AJ3867" s="218"/>
      <c r="AK3867" s="153"/>
      <c r="AL3867" s="152"/>
      <c r="AM3867" s="152"/>
      <c r="AN3867" s="152"/>
      <c r="AO3867" s="152"/>
      <c r="AP3867" s="152"/>
      <c r="AQ3867" s="152"/>
      <c r="AR3867" s="152"/>
      <c r="AS3867" s="152"/>
      <c r="AT3867" s="152"/>
      <c r="AU3867" s="153"/>
      <c r="AV3867" s="479"/>
      <c r="AW3867" s="479"/>
      <c r="AX3867" s="442"/>
      <c r="AY3867" s="153"/>
      <c r="AZ3867" s="152"/>
      <c r="BA3867" s="152"/>
      <c r="BB3867" s="152"/>
      <c r="BC3867" s="152"/>
      <c r="BD3867" s="152"/>
      <c r="BE3867" s="152"/>
      <c r="BF3867" s="152"/>
      <c r="BG3867" s="152"/>
      <c r="BH3867" s="152"/>
      <c r="BI3867" s="153"/>
      <c r="BJ3867" s="153"/>
      <c r="BK3867" s="153"/>
      <c r="BL3867" s="153"/>
      <c r="BM3867" s="153"/>
      <c r="BN3867" s="153"/>
      <c r="BO3867" s="153"/>
      <c r="BP3867" s="153"/>
      <c r="BQ3867" s="153"/>
      <c r="BR3867" s="153"/>
      <c r="BS3867" s="153"/>
      <c r="BT3867" s="153"/>
      <c r="BU3867" s="153"/>
      <c r="BV3867" s="153"/>
      <c r="BW3867" s="153"/>
      <c r="BX3867" s="153"/>
      <c r="BY3867" s="153"/>
      <c r="BZ3867" s="153"/>
      <c r="CA3867" s="152"/>
      <c r="CB3867" s="152"/>
    </row>
    <row r="3868" spans="1:80" s="87" customFormat="1" x14ac:dyDescent="0.2">
      <c r="A3868" s="152"/>
      <c r="B3868" s="683"/>
      <c r="C3868" s="683"/>
      <c r="D3868" s="698"/>
      <c r="E3868" s="215"/>
      <c r="F3868" s="215"/>
      <c r="G3868" s="153"/>
      <c r="H3868" s="153"/>
      <c r="I3868" s="323">
        <v>18</v>
      </c>
      <c r="J3868" s="312">
        <v>60</v>
      </c>
      <c r="K3868" s="150">
        <v>1</v>
      </c>
      <c r="L3868" s="656">
        <v>18</v>
      </c>
      <c r="M3868" s="663">
        <v>34477</v>
      </c>
      <c r="N3868" s="600">
        <v>1.9734</v>
      </c>
      <c r="O3868" s="604">
        <v>1.0499999999999999E-3</v>
      </c>
      <c r="P3868" s="250"/>
      <c r="Q3868" s="250"/>
      <c r="R3868" s="250"/>
      <c r="S3868" s="250"/>
      <c r="T3868" s="250">
        <v>9.0399999999999994E-2</v>
      </c>
      <c r="U3868" s="250">
        <v>0.1673</v>
      </c>
      <c r="V3868" s="250">
        <v>0.29662500000000003</v>
      </c>
      <c r="W3868" s="250">
        <v>0.32151800000000003</v>
      </c>
      <c r="X3868" s="250">
        <v>0.11343400000000001</v>
      </c>
      <c r="Y3868" s="250">
        <v>1.0711999999999999E-2</v>
      </c>
      <c r="Z3868" s="150"/>
      <c r="AA3868" s="150">
        <v>1.1399999999999999</v>
      </c>
      <c r="AB3868" s="152"/>
      <c r="AC3868" s="152"/>
      <c r="AD3868" s="223">
        <v>8.2598090000000006</v>
      </c>
      <c r="AE3868" s="223">
        <v>0.37489169999999999</v>
      </c>
      <c r="AF3868" s="223">
        <v>3.0933701999999998</v>
      </c>
      <c r="AG3868" s="223">
        <v>0.63396319999999995</v>
      </c>
      <c r="AH3868" s="341"/>
      <c r="AI3868" s="218"/>
      <c r="AJ3868" s="218"/>
      <c r="AK3868" s="153"/>
      <c r="AL3868" s="152"/>
      <c r="AM3868" s="152"/>
      <c r="AN3868" s="152"/>
      <c r="AO3868" s="152"/>
      <c r="AP3868" s="152"/>
      <c r="AQ3868" s="152"/>
      <c r="AR3868" s="152"/>
      <c r="AS3868" s="152"/>
      <c r="AT3868" s="152"/>
      <c r="AU3868" s="153"/>
      <c r="AV3868" s="479"/>
      <c r="AW3868" s="479"/>
      <c r="AX3868" s="442"/>
      <c r="AY3868" s="153"/>
      <c r="AZ3868" s="152"/>
      <c r="BA3868" s="152"/>
      <c r="BB3868" s="152"/>
      <c r="BC3868" s="152"/>
      <c r="BD3868" s="152"/>
      <c r="BE3868" s="152"/>
      <c r="BF3868" s="152"/>
      <c r="BG3868" s="152"/>
      <c r="BH3868" s="152"/>
      <c r="BI3868" s="153"/>
      <c r="BJ3868" s="153"/>
      <c r="BK3868" s="153"/>
      <c r="BL3868" s="153"/>
      <c r="BM3868" s="153"/>
      <c r="BN3868" s="153"/>
      <c r="BO3868" s="153"/>
      <c r="BP3868" s="153"/>
      <c r="BQ3868" s="153"/>
      <c r="BR3868" s="153"/>
      <c r="BS3868" s="153"/>
      <c r="BT3868" s="153"/>
      <c r="BU3868" s="153"/>
      <c r="BV3868" s="153"/>
      <c r="BW3868" s="153"/>
      <c r="BX3868" s="153"/>
      <c r="BY3868" s="153"/>
      <c r="BZ3868" s="153"/>
      <c r="CA3868" s="152"/>
      <c r="CB3868" s="152"/>
    </row>
    <row r="3869" spans="1:80" s="87" customFormat="1" x14ac:dyDescent="0.2">
      <c r="A3869" s="152"/>
      <c r="B3869" s="683"/>
      <c r="C3869" s="683"/>
      <c r="D3869" s="698"/>
      <c r="E3869" s="215"/>
      <c r="F3869" s="215"/>
      <c r="G3869" s="153"/>
      <c r="H3869" s="153"/>
      <c r="I3869" s="323">
        <v>18</v>
      </c>
      <c r="J3869" s="312">
        <v>60</v>
      </c>
      <c r="K3869" s="150">
        <v>1</v>
      </c>
      <c r="L3869" s="656">
        <v>18</v>
      </c>
      <c r="M3869" s="663">
        <v>34477</v>
      </c>
      <c r="N3869" s="600">
        <v>1.9734</v>
      </c>
      <c r="O3869" s="604">
        <v>2.9100000000000003E-4</v>
      </c>
      <c r="P3869" s="250"/>
      <c r="Q3869" s="250"/>
      <c r="R3869" s="250"/>
      <c r="S3869" s="250"/>
      <c r="T3869" s="250"/>
      <c r="U3869" s="250">
        <v>7.17E-2</v>
      </c>
      <c r="V3869" s="250">
        <v>0.20960899999999999</v>
      </c>
      <c r="W3869" s="250">
        <v>0.45589800000000003</v>
      </c>
      <c r="X3869" s="250">
        <v>0.237265</v>
      </c>
      <c r="Y3869" s="250">
        <v>2.5520999999999999E-2</v>
      </c>
      <c r="Z3869" s="150"/>
      <c r="AA3869" s="150">
        <v>0.72</v>
      </c>
      <c r="AB3869" s="152"/>
      <c r="AC3869" s="152"/>
      <c r="AD3869" s="223">
        <v>8.2598090000000006</v>
      </c>
      <c r="AE3869" s="223">
        <v>0.37489169999999999</v>
      </c>
      <c r="AF3869" s="223">
        <v>3.0933701999999998</v>
      </c>
      <c r="AG3869" s="223">
        <v>0.63396319999999995</v>
      </c>
      <c r="AH3869" s="341"/>
      <c r="AI3869" s="218"/>
      <c r="AJ3869" s="218"/>
      <c r="AK3869" s="153"/>
      <c r="AL3869" s="152"/>
      <c r="AM3869" s="152"/>
      <c r="AN3869" s="152"/>
      <c r="AO3869" s="152"/>
      <c r="AP3869" s="152"/>
      <c r="AQ3869" s="152"/>
      <c r="AR3869" s="152"/>
      <c r="AS3869" s="152"/>
      <c r="AT3869" s="152"/>
      <c r="AU3869" s="153"/>
      <c r="AV3869" s="479"/>
      <c r="AW3869" s="479"/>
      <c r="AX3869" s="442"/>
      <c r="AY3869" s="153"/>
      <c r="AZ3869" s="152"/>
      <c r="BA3869" s="152"/>
      <c r="BB3869" s="152"/>
      <c r="BC3869" s="152"/>
      <c r="BD3869" s="152"/>
      <c r="BE3869" s="152"/>
      <c r="BF3869" s="152"/>
      <c r="BG3869" s="152"/>
      <c r="BH3869" s="152"/>
      <c r="BI3869" s="153"/>
      <c r="BJ3869" s="153"/>
      <c r="BK3869" s="153"/>
      <c r="BL3869" s="153"/>
      <c r="BM3869" s="153"/>
      <c r="BN3869" s="153"/>
      <c r="BO3869" s="153"/>
      <c r="BP3869" s="153"/>
      <c r="BQ3869" s="153"/>
      <c r="BR3869" s="153"/>
      <c r="BS3869" s="153"/>
      <c r="BT3869" s="153"/>
      <c r="BU3869" s="153"/>
      <c r="BV3869" s="153"/>
      <c r="BW3869" s="153"/>
      <c r="BX3869" s="153"/>
      <c r="BY3869" s="153"/>
      <c r="BZ3869" s="153"/>
      <c r="CA3869" s="152"/>
      <c r="CB3869" s="152"/>
    </row>
    <row r="3870" spans="1:80" s="87" customFormat="1" x14ac:dyDescent="0.2">
      <c r="A3870" s="152"/>
      <c r="B3870" s="683"/>
      <c r="C3870" s="683"/>
      <c r="D3870" s="698"/>
      <c r="E3870" s="215"/>
      <c r="F3870" s="215"/>
      <c r="G3870" s="153"/>
      <c r="H3870" s="153"/>
      <c r="I3870" s="323">
        <v>20</v>
      </c>
      <c r="J3870" s="312">
        <v>60</v>
      </c>
      <c r="K3870" s="150">
        <v>1</v>
      </c>
      <c r="L3870" s="656">
        <v>20</v>
      </c>
      <c r="M3870" s="663">
        <v>34478</v>
      </c>
      <c r="N3870" s="600">
        <v>1.93093</v>
      </c>
      <c r="O3870" s="604">
        <v>8.0799999999999999E-5</v>
      </c>
      <c r="P3870" s="250"/>
      <c r="Q3870" s="250"/>
      <c r="R3870" s="250"/>
      <c r="S3870" s="250"/>
      <c r="T3870" s="250"/>
      <c r="U3870" s="250"/>
      <c r="V3870" s="250">
        <v>0.167547</v>
      </c>
      <c r="W3870" s="250">
        <v>0.46274999999999999</v>
      </c>
      <c r="X3870" s="250">
        <v>0.31592599999999998</v>
      </c>
      <c r="Y3870" s="250">
        <v>5.3776999999999998E-2</v>
      </c>
      <c r="Z3870" s="150"/>
      <c r="AA3870" s="150">
        <v>0.61</v>
      </c>
      <c r="AB3870" s="152"/>
      <c r="AC3870" s="152"/>
      <c r="AD3870" s="223">
        <v>8.320767</v>
      </c>
      <c r="AE3870" s="223">
        <v>0.37489169999999999</v>
      </c>
      <c r="AF3870" s="223">
        <v>3.1305277999999999</v>
      </c>
      <c r="AG3870" s="223">
        <v>0.60958000000000001</v>
      </c>
      <c r="AH3870" s="341"/>
      <c r="AI3870" s="218"/>
      <c r="AJ3870" s="218"/>
      <c r="AK3870" s="153"/>
      <c r="AL3870" s="152"/>
      <c r="AM3870" s="152"/>
      <c r="AN3870" s="152"/>
      <c r="AO3870" s="152"/>
      <c r="AP3870" s="152"/>
      <c r="AQ3870" s="152"/>
      <c r="AR3870" s="152"/>
      <c r="AS3870" s="152"/>
      <c r="AT3870" s="152"/>
      <c r="AU3870" s="153"/>
      <c r="AV3870" s="479"/>
      <c r="AW3870" s="479"/>
      <c r="AX3870" s="442"/>
      <c r="AY3870" s="153"/>
      <c r="AZ3870" s="152"/>
      <c r="BA3870" s="152"/>
      <c r="BB3870" s="152"/>
      <c r="BC3870" s="152"/>
      <c r="BD3870" s="152"/>
      <c r="BE3870" s="152"/>
      <c r="BF3870" s="152"/>
      <c r="BG3870" s="152"/>
      <c r="BH3870" s="152"/>
      <c r="BI3870" s="153"/>
      <c r="BJ3870" s="153"/>
      <c r="BK3870" s="153"/>
      <c r="BL3870" s="153"/>
      <c r="BM3870" s="153"/>
      <c r="BN3870" s="153"/>
      <c r="BO3870" s="153"/>
      <c r="BP3870" s="153"/>
      <c r="BQ3870" s="153"/>
      <c r="BR3870" s="153"/>
      <c r="BS3870" s="153"/>
      <c r="BT3870" s="153"/>
      <c r="BU3870" s="153"/>
      <c r="BV3870" s="153"/>
      <c r="BW3870" s="153"/>
      <c r="BX3870" s="153"/>
      <c r="BY3870" s="153"/>
      <c r="BZ3870" s="153"/>
      <c r="CA3870" s="152"/>
      <c r="CB3870" s="152"/>
    </row>
    <row r="3871" spans="1:80" s="87" customFormat="1" x14ac:dyDescent="0.2">
      <c r="A3871" s="152"/>
      <c r="B3871" s="683"/>
      <c r="C3871" s="683"/>
      <c r="D3871" s="698"/>
      <c r="E3871" s="215"/>
      <c r="F3871" s="215"/>
      <c r="G3871" s="153"/>
      <c r="H3871" s="153"/>
      <c r="I3871" s="323">
        <v>20</v>
      </c>
      <c r="J3871" s="312">
        <v>60</v>
      </c>
      <c r="K3871" s="150">
        <v>1</v>
      </c>
      <c r="L3871" s="656">
        <v>20</v>
      </c>
      <c r="M3871" s="663">
        <v>34479</v>
      </c>
      <c r="N3871" s="600">
        <v>1.85165</v>
      </c>
      <c r="O3871" s="604">
        <v>8.1899999999999999E-5</v>
      </c>
      <c r="P3871" s="250"/>
      <c r="Q3871" s="250"/>
      <c r="R3871" s="250"/>
      <c r="S3871" s="250"/>
      <c r="T3871" s="250"/>
      <c r="U3871" s="250">
        <v>6.5599999999999992E-2</v>
      </c>
      <c r="V3871" s="250">
        <v>0.24093900000000001</v>
      </c>
      <c r="W3871" s="250">
        <v>0.39887700000000004</v>
      </c>
      <c r="X3871" s="250">
        <v>0.245227</v>
      </c>
      <c r="Y3871" s="250">
        <v>4.9311000000000001E-2</v>
      </c>
      <c r="Z3871" s="150"/>
      <c r="AA3871" s="150">
        <v>0.71</v>
      </c>
      <c r="AB3871" s="152"/>
      <c r="AC3871" s="152"/>
      <c r="AD3871" s="223">
        <v>8.2598090000000006</v>
      </c>
      <c r="AE3871" s="223">
        <v>0.36879590000000001</v>
      </c>
      <c r="AF3871" s="223">
        <v>3.0469232000000002</v>
      </c>
      <c r="AG3871" s="223">
        <v>0.57910099999999998</v>
      </c>
      <c r="AH3871" s="341"/>
      <c r="AI3871" s="218"/>
      <c r="AJ3871" s="218"/>
      <c r="AK3871" s="153"/>
      <c r="AL3871" s="152"/>
      <c r="AM3871" s="152"/>
      <c r="AN3871" s="152"/>
      <c r="AO3871" s="152"/>
      <c r="AP3871" s="152"/>
      <c r="AQ3871" s="152"/>
      <c r="AR3871" s="152"/>
      <c r="AS3871" s="152"/>
      <c r="AT3871" s="152"/>
      <c r="AU3871" s="153"/>
      <c r="AV3871" s="479"/>
      <c r="AW3871" s="479"/>
      <c r="AX3871" s="442"/>
      <c r="AY3871" s="153"/>
      <c r="AZ3871" s="152"/>
      <c r="BA3871" s="152"/>
      <c r="BB3871" s="152"/>
      <c r="BC3871" s="152"/>
      <c r="BD3871" s="152"/>
      <c r="BE3871" s="152"/>
      <c r="BF3871" s="152"/>
      <c r="BG3871" s="152"/>
      <c r="BH3871" s="152"/>
      <c r="BI3871" s="153"/>
      <c r="BJ3871" s="153"/>
      <c r="BK3871" s="153"/>
      <c r="BL3871" s="153"/>
      <c r="BM3871" s="153"/>
      <c r="BN3871" s="153"/>
      <c r="BO3871" s="153"/>
      <c r="BP3871" s="153"/>
      <c r="BQ3871" s="153"/>
      <c r="BR3871" s="153"/>
      <c r="BS3871" s="153"/>
      <c r="BT3871" s="153"/>
      <c r="BU3871" s="153"/>
      <c r="BV3871" s="153"/>
      <c r="BW3871" s="153"/>
      <c r="BX3871" s="153"/>
      <c r="BY3871" s="153"/>
      <c r="BZ3871" s="153"/>
      <c r="CA3871" s="152"/>
      <c r="CB3871" s="152"/>
    </row>
    <row r="3872" spans="1:80" s="87" customFormat="1" x14ac:dyDescent="0.2">
      <c r="A3872" s="152"/>
      <c r="B3872" s="683"/>
      <c r="C3872" s="683"/>
      <c r="D3872" s="698"/>
      <c r="E3872" s="215"/>
      <c r="F3872" s="215"/>
      <c r="G3872" s="153"/>
      <c r="H3872" s="153"/>
      <c r="I3872" s="323">
        <v>20</v>
      </c>
      <c r="J3872" s="312">
        <v>60</v>
      </c>
      <c r="K3872" s="150">
        <v>1</v>
      </c>
      <c r="L3872" s="656">
        <v>20</v>
      </c>
      <c r="M3872" s="663">
        <v>34479</v>
      </c>
      <c r="N3872" s="600">
        <v>1.85165</v>
      </c>
      <c r="O3872" s="604">
        <v>1.2300000000000001E-4</v>
      </c>
      <c r="P3872" s="250"/>
      <c r="Q3872" s="250"/>
      <c r="R3872" s="250"/>
      <c r="S3872" s="250"/>
      <c r="T3872" s="250"/>
      <c r="U3872" s="250">
        <v>7.8600000000000003E-2</v>
      </c>
      <c r="V3872" s="250">
        <v>0.36470599999999997</v>
      </c>
      <c r="W3872" s="250">
        <v>0.34110799999999997</v>
      </c>
      <c r="X3872" s="250">
        <v>0.17068999999999998</v>
      </c>
      <c r="Y3872" s="250">
        <v>4.4882999999999999E-2</v>
      </c>
      <c r="Z3872" s="150"/>
      <c r="AA3872" s="150">
        <v>0.89</v>
      </c>
      <c r="AB3872" s="152"/>
      <c r="AC3872" s="152"/>
      <c r="AD3872" s="223">
        <v>8.2598090000000006</v>
      </c>
      <c r="AE3872" s="223">
        <v>0.36879590000000001</v>
      </c>
      <c r="AF3872" s="223">
        <v>3.0469232000000002</v>
      </c>
      <c r="AG3872" s="223">
        <v>0.57910099999999998</v>
      </c>
      <c r="AH3872" s="341"/>
      <c r="AI3872" s="218"/>
      <c r="AJ3872" s="218"/>
      <c r="AK3872" s="153"/>
      <c r="AL3872" s="152"/>
      <c r="AM3872" s="152"/>
      <c r="AN3872" s="152"/>
      <c r="AO3872" s="152"/>
      <c r="AP3872" s="152"/>
      <c r="AQ3872" s="152"/>
      <c r="AR3872" s="152"/>
      <c r="AS3872" s="152"/>
      <c r="AT3872" s="152"/>
      <c r="AU3872" s="153"/>
      <c r="AV3872" s="479"/>
      <c r="AW3872" s="479"/>
      <c r="AX3872" s="442"/>
      <c r="AY3872" s="153"/>
      <c r="AZ3872" s="152"/>
      <c r="BA3872" s="152"/>
      <c r="BB3872" s="152"/>
      <c r="BC3872" s="152"/>
      <c r="BD3872" s="152"/>
      <c r="BE3872" s="152"/>
      <c r="BF3872" s="152"/>
      <c r="BG3872" s="152"/>
      <c r="BH3872" s="152"/>
      <c r="BI3872" s="153"/>
      <c r="BJ3872" s="153"/>
      <c r="BK3872" s="153"/>
      <c r="BL3872" s="153"/>
      <c r="BM3872" s="153"/>
      <c r="BN3872" s="153"/>
      <c r="BO3872" s="153"/>
      <c r="BP3872" s="153"/>
      <c r="BQ3872" s="153"/>
      <c r="BR3872" s="153"/>
      <c r="BS3872" s="153"/>
      <c r="BT3872" s="153"/>
      <c r="BU3872" s="153"/>
      <c r="BV3872" s="153"/>
      <c r="BW3872" s="153"/>
      <c r="BX3872" s="153"/>
      <c r="BY3872" s="153"/>
      <c r="BZ3872" s="153"/>
      <c r="CA3872" s="152"/>
      <c r="CB3872" s="152"/>
    </row>
    <row r="3873" spans="1:80" s="87" customFormat="1" x14ac:dyDescent="0.2">
      <c r="A3873" s="152"/>
      <c r="B3873" s="683"/>
      <c r="C3873" s="683"/>
      <c r="D3873" s="698"/>
      <c r="E3873" s="215"/>
      <c r="F3873" s="215"/>
      <c r="G3873" s="153"/>
      <c r="H3873" s="153"/>
      <c r="I3873" s="323">
        <v>20</v>
      </c>
      <c r="J3873" s="312">
        <v>60</v>
      </c>
      <c r="K3873" s="150">
        <v>1</v>
      </c>
      <c r="L3873" s="656">
        <v>20</v>
      </c>
      <c r="M3873" s="663">
        <v>34485</v>
      </c>
      <c r="N3873" s="600">
        <v>1.58551</v>
      </c>
      <c r="O3873" s="604">
        <v>1.4270000000000001E-3</v>
      </c>
      <c r="P3873" s="250"/>
      <c r="Q3873" s="250"/>
      <c r="R3873" s="250"/>
      <c r="S3873" s="250"/>
      <c r="T3873" s="250">
        <v>5.6000000000000008E-3</v>
      </c>
      <c r="U3873" s="250">
        <v>0.12359999999999999</v>
      </c>
      <c r="V3873" s="250">
        <v>0.38097799999999998</v>
      </c>
      <c r="W3873" s="250">
        <v>0.36377299999999996</v>
      </c>
      <c r="X3873" s="250">
        <v>0.116894</v>
      </c>
      <c r="Y3873" s="250">
        <v>9.1490000000000009E-3</v>
      </c>
      <c r="Z3873" s="150"/>
      <c r="AA3873" s="150">
        <v>1.02</v>
      </c>
      <c r="AB3873" s="152"/>
      <c r="AC3873" s="152"/>
      <c r="AD3873" s="223">
        <v>8.1988509999999994</v>
      </c>
      <c r="AE3873" s="223">
        <v>0.33526899999999998</v>
      </c>
      <c r="AF3873" s="223">
        <v>2.7589518000000002</v>
      </c>
      <c r="AG3873" s="223">
        <v>0.53947829999999997</v>
      </c>
      <c r="AH3873" s="341"/>
      <c r="AI3873" s="218"/>
      <c r="AJ3873" s="218"/>
      <c r="AK3873" s="153"/>
      <c r="AL3873" s="152"/>
      <c r="AM3873" s="152"/>
      <c r="AN3873" s="152"/>
      <c r="AO3873" s="152"/>
      <c r="AP3873" s="152"/>
      <c r="AQ3873" s="152"/>
      <c r="AR3873" s="152"/>
      <c r="AS3873" s="152"/>
      <c r="AT3873" s="152"/>
      <c r="AU3873" s="153"/>
      <c r="AV3873" s="479"/>
      <c r="AW3873" s="479"/>
      <c r="AX3873" s="442"/>
      <c r="AY3873" s="153"/>
      <c r="AZ3873" s="152"/>
      <c r="BA3873" s="152"/>
      <c r="BB3873" s="152"/>
      <c r="BC3873" s="152"/>
      <c r="BD3873" s="152"/>
      <c r="BE3873" s="152"/>
      <c r="BF3873" s="152"/>
      <c r="BG3873" s="152"/>
      <c r="BH3873" s="152"/>
      <c r="BI3873" s="153"/>
      <c r="BJ3873" s="153"/>
      <c r="BK3873" s="153"/>
      <c r="BL3873" s="153"/>
      <c r="BM3873" s="153"/>
      <c r="BN3873" s="153"/>
      <c r="BO3873" s="153"/>
      <c r="BP3873" s="153"/>
      <c r="BQ3873" s="153"/>
      <c r="BR3873" s="153"/>
      <c r="BS3873" s="153"/>
      <c r="BT3873" s="153"/>
      <c r="BU3873" s="153"/>
      <c r="BV3873" s="153"/>
      <c r="BW3873" s="153"/>
      <c r="BX3873" s="153"/>
      <c r="BY3873" s="153"/>
      <c r="BZ3873" s="153"/>
      <c r="CA3873" s="152"/>
      <c r="CB3873" s="152"/>
    </row>
    <row r="3874" spans="1:80" s="87" customFormat="1" x14ac:dyDescent="0.2">
      <c r="A3874" s="152"/>
      <c r="B3874" s="683"/>
      <c r="C3874" s="683"/>
      <c r="D3874" s="698"/>
      <c r="E3874" s="215"/>
      <c r="F3874" s="215"/>
      <c r="G3874" s="153"/>
      <c r="H3874" s="153"/>
      <c r="I3874" s="323">
        <v>20</v>
      </c>
      <c r="J3874" s="312">
        <v>60</v>
      </c>
      <c r="K3874" s="150">
        <v>1</v>
      </c>
      <c r="L3874" s="656">
        <v>20</v>
      </c>
      <c r="M3874" s="663">
        <v>34485</v>
      </c>
      <c r="N3874" s="600">
        <v>1.58551</v>
      </c>
      <c r="O3874" s="604">
        <v>3.107E-3</v>
      </c>
      <c r="P3874" s="250"/>
      <c r="Q3874" s="250"/>
      <c r="R3874" s="250"/>
      <c r="S3874" s="250">
        <v>1.78E-2</v>
      </c>
      <c r="T3874" s="250">
        <v>0</v>
      </c>
      <c r="U3874" s="250">
        <v>0.14099999999999999</v>
      </c>
      <c r="V3874" s="250">
        <v>0.285964</v>
      </c>
      <c r="W3874" s="250">
        <v>0.38389299999999998</v>
      </c>
      <c r="X3874" s="250">
        <v>0.16314100000000001</v>
      </c>
      <c r="Y3874" s="250">
        <v>8.2439999999999996E-3</v>
      </c>
      <c r="Z3874" s="150"/>
      <c r="AA3874" s="150">
        <v>0.91</v>
      </c>
      <c r="AB3874" s="152"/>
      <c r="AC3874" s="152"/>
      <c r="AD3874" s="223">
        <v>8.1988509999999994</v>
      </c>
      <c r="AE3874" s="223">
        <v>0.33526899999999998</v>
      </c>
      <c r="AF3874" s="223">
        <v>2.7589518000000002</v>
      </c>
      <c r="AG3874" s="223">
        <v>0.53947829999999997</v>
      </c>
      <c r="AH3874" s="341"/>
      <c r="AI3874" s="218"/>
      <c r="AJ3874" s="218"/>
      <c r="AK3874" s="153"/>
      <c r="AL3874" s="152"/>
      <c r="AM3874" s="152"/>
      <c r="AN3874" s="152"/>
      <c r="AO3874" s="152"/>
      <c r="AP3874" s="152"/>
      <c r="AQ3874" s="152"/>
      <c r="AR3874" s="152"/>
      <c r="AS3874" s="152"/>
      <c r="AT3874" s="152"/>
      <c r="AU3874" s="153"/>
      <c r="AV3874" s="479"/>
      <c r="AW3874" s="479"/>
      <c r="AX3874" s="442"/>
      <c r="AY3874" s="153"/>
      <c r="AZ3874" s="152"/>
      <c r="BA3874" s="152"/>
      <c r="BB3874" s="152"/>
      <c r="BC3874" s="152"/>
      <c r="BD3874" s="152"/>
      <c r="BE3874" s="152"/>
      <c r="BF3874" s="152"/>
      <c r="BG3874" s="152"/>
      <c r="BH3874" s="152"/>
      <c r="BI3874" s="153"/>
      <c r="BJ3874" s="153"/>
      <c r="BK3874" s="153"/>
      <c r="BL3874" s="153"/>
      <c r="BM3874" s="153"/>
      <c r="BN3874" s="153"/>
      <c r="BO3874" s="153"/>
      <c r="BP3874" s="153"/>
      <c r="BQ3874" s="153"/>
      <c r="BR3874" s="153"/>
      <c r="BS3874" s="153"/>
      <c r="BT3874" s="153"/>
      <c r="BU3874" s="153"/>
      <c r="BV3874" s="153"/>
      <c r="BW3874" s="153"/>
      <c r="BX3874" s="153"/>
      <c r="BY3874" s="153"/>
      <c r="BZ3874" s="153"/>
      <c r="CA3874" s="152"/>
      <c r="CB3874" s="152"/>
    </row>
    <row r="3875" spans="1:80" s="87" customFormat="1" x14ac:dyDescent="0.2">
      <c r="A3875" s="152"/>
      <c r="B3875" s="683"/>
      <c r="C3875" s="683"/>
      <c r="D3875" s="698"/>
      <c r="E3875" s="215"/>
      <c r="F3875" s="215"/>
      <c r="G3875" s="153"/>
      <c r="H3875" s="153"/>
      <c r="I3875" s="323">
        <v>21</v>
      </c>
      <c r="J3875" s="312">
        <v>60</v>
      </c>
      <c r="K3875" s="150">
        <v>1</v>
      </c>
      <c r="L3875" s="656">
        <v>21</v>
      </c>
      <c r="M3875" s="663">
        <v>34486</v>
      </c>
      <c r="N3875" s="600">
        <v>2.1432699999999998</v>
      </c>
      <c r="O3875" s="604">
        <v>9.4399999999999996E-4</v>
      </c>
      <c r="P3875" s="250"/>
      <c r="Q3875" s="250"/>
      <c r="R3875" s="250"/>
      <c r="S3875" s="250"/>
      <c r="T3875" s="250"/>
      <c r="U3875" s="250">
        <v>0.11470000000000001</v>
      </c>
      <c r="V3875" s="250">
        <v>0.46024199999999998</v>
      </c>
      <c r="W3875" s="250">
        <v>0.31667600000000001</v>
      </c>
      <c r="X3875" s="250">
        <v>9.3261999999999998E-2</v>
      </c>
      <c r="Y3875" s="250">
        <v>1.5132000000000001E-2</v>
      </c>
      <c r="Z3875" s="150"/>
      <c r="AA3875" s="150">
        <v>1.1200000000000001</v>
      </c>
      <c r="AB3875" s="152"/>
      <c r="AC3875" s="152"/>
      <c r="AD3875" s="223">
        <v>8.2598090000000006</v>
      </c>
      <c r="AE3875" s="223">
        <v>0.38708330000000002</v>
      </c>
      <c r="AF3875" s="223">
        <v>3.1955536000000002</v>
      </c>
      <c r="AG3875" s="223">
        <v>0.63091529999999996</v>
      </c>
      <c r="AH3875" s="341"/>
      <c r="AI3875" s="218"/>
      <c r="AJ3875" s="218"/>
      <c r="AK3875" s="153"/>
      <c r="AL3875" s="152"/>
      <c r="AM3875" s="152"/>
      <c r="AN3875" s="152"/>
      <c r="AO3875" s="152"/>
      <c r="AP3875" s="152"/>
      <c r="AQ3875" s="152"/>
      <c r="AR3875" s="152"/>
      <c r="AS3875" s="152"/>
      <c r="AT3875" s="152"/>
      <c r="AU3875" s="153"/>
      <c r="AV3875" s="479"/>
      <c r="AW3875" s="479"/>
      <c r="AX3875" s="442"/>
      <c r="AY3875" s="153"/>
      <c r="AZ3875" s="152"/>
      <c r="BA3875" s="152"/>
      <c r="BB3875" s="152"/>
      <c r="BC3875" s="152"/>
      <c r="BD3875" s="152"/>
      <c r="BE3875" s="152"/>
      <c r="BF3875" s="152"/>
      <c r="BG3875" s="152"/>
      <c r="BH3875" s="152"/>
      <c r="BI3875" s="153"/>
      <c r="BJ3875" s="153"/>
      <c r="BK3875" s="153"/>
      <c r="BL3875" s="153"/>
      <c r="BM3875" s="153"/>
      <c r="BN3875" s="153"/>
      <c r="BO3875" s="153"/>
      <c r="BP3875" s="153"/>
      <c r="BQ3875" s="153"/>
      <c r="BR3875" s="153"/>
      <c r="BS3875" s="153"/>
      <c r="BT3875" s="153"/>
      <c r="BU3875" s="153"/>
      <c r="BV3875" s="153"/>
      <c r="BW3875" s="153"/>
      <c r="BX3875" s="153"/>
      <c r="BY3875" s="153"/>
      <c r="BZ3875" s="153"/>
      <c r="CA3875" s="152"/>
      <c r="CB3875" s="152"/>
    </row>
    <row r="3876" spans="1:80" s="87" customFormat="1" x14ac:dyDescent="0.2">
      <c r="A3876" s="152"/>
      <c r="B3876" s="683"/>
      <c r="C3876" s="683"/>
      <c r="D3876" s="698"/>
      <c r="E3876" s="215"/>
      <c r="F3876" s="215"/>
      <c r="G3876" s="153"/>
      <c r="H3876" s="153"/>
      <c r="I3876" s="323">
        <v>21</v>
      </c>
      <c r="J3876" s="312">
        <v>60</v>
      </c>
      <c r="K3876" s="150">
        <v>1</v>
      </c>
      <c r="L3876" s="656">
        <v>21</v>
      </c>
      <c r="M3876" s="663">
        <v>34486</v>
      </c>
      <c r="N3876" s="600">
        <v>2.1432699999999998</v>
      </c>
      <c r="O3876" s="604">
        <v>3.5370000000000002E-3</v>
      </c>
      <c r="P3876" s="250"/>
      <c r="Q3876" s="250"/>
      <c r="R3876" s="250"/>
      <c r="S3876" s="250"/>
      <c r="T3876" s="250">
        <v>3.61E-2</v>
      </c>
      <c r="U3876" s="250">
        <v>0.21170000000000003</v>
      </c>
      <c r="V3876" s="250">
        <v>0.45613799999999999</v>
      </c>
      <c r="W3876" s="250">
        <v>0.24696599999999999</v>
      </c>
      <c r="X3876" s="250">
        <v>4.4886999999999996E-2</v>
      </c>
      <c r="Y3876" s="250">
        <v>4.1470000000000005E-3</v>
      </c>
      <c r="Z3876" s="150"/>
      <c r="AA3876" s="150">
        <v>1.36</v>
      </c>
      <c r="AB3876" s="152"/>
      <c r="AC3876" s="152"/>
      <c r="AD3876" s="223">
        <v>8.2598090000000006</v>
      </c>
      <c r="AE3876" s="223">
        <v>0.38708330000000002</v>
      </c>
      <c r="AF3876" s="223">
        <v>3.1955536000000002</v>
      </c>
      <c r="AG3876" s="223">
        <v>0.63091529999999996</v>
      </c>
      <c r="AH3876" s="341"/>
      <c r="AI3876" s="218"/>
      <c r="AJ3876" s="218"/>
      <c r="AK3876" s="153"/>
      <c r="AL3876" s="152"/>
      <c r="AM3876" s="152"/>
      <c r="AN3876" s="152"/>
      <c r="AO3876" s="152"/>
      <c r="AP3876" s="152"/>
      <c r="AQ3876" s="152"/>
      <c r="AR3876" s="152"/>
      <c r="AS3876" s="152"/>
      <c r="AT3876" s="152"/>
      <c r="AU3876" s="153"/>
      <c r="AV3876" s="479"/>
      <c r="AW3876" s="479"/>
      <c r="AX3876" s="442"/>
      <c r="AY3876" s="153"/>
      <c r="AZ3876" s="152"/>
      <c r="BA3876" s="152"/>
      <c r="BB3876" s="152"/>
      <c r="BC3876" s="152"/>
      <c r="BD3876" s="152"/>
      <c r="BE3876" s="152"/>
      <c r="BF3876" s="152"/>
      <c r="BG3876" s="152"/>
      <c r="BH3876" s="152"/>
      <c r="BI3876" s="153"/>
      <c r="BJ3876" s="153"/>
      <c r="BK3876" s="153"/>
      <c r="BL3876" s="153"/>
      <c r="BM3876" s="153"/>
      <c r="BN3876" s="153"/>
      <c r="BO3876" s="153"/>
      <c r="BP3876" s="153"/>
      <c r="BQ3876" s="153"/>
      <c r="BR3876" s="153"/>
      <c r="BS3876" s="153"/>
      <c r="BT3876" s="153"/>
      <c r="BU3876" s="153"/>
      <c r="BV3876" s="153"/>
      <c r="BW3876" s="153"/>
      <c r="BX3876" s="153"/>
      <c r="BY3876" s="153"/>
      <c r="BZ3876" s="153"/>
      <c r="CA3876" s="152"/>
      <c r="CB3876" s="152"/>
    </row>
    <row r="3877" spans="1:80" s="87" customFormat="1" x14ac:dyDescent="0.2">
      <c r="A3877" s="152"/>
      <c r="B3877" s="683"/>
      <c r="C3877" s="683"/>
      <c r="D3877" s="698"/>
      <c r="E3877" s="215"/>
      <c r="F3877" s="215"/>
      <c r="G3877" s="153"/>
      <c r="H3877" s="153"/>
      <c r="I3877" s="323">
        <v>23</v>
      </c>
      <c r="J3877" s="312">
        <v>60</v>
      </c>
      <c r="K3877" s="150">
        <v>1</v>
      </c>
      <c r="L3877" s="656">
        <v>23</v>
      </c>
      <c r="M3877" s="663">
        <v>34491</v>
      </c>
      <c r="N3877" s="600">
        <v>1.44678</v>
      </c>
      <c r="O3877" s="604">
        <v>5.1599999999999997E-4</v>
      </c>
      <c r="P3877" s="250"/>
      <c r="Q3877" s="250"/>
      <c r="R3877" s="250"/>
      <c r="S3877" s="250"/>
      <c r="T3877" s="250">
        <v>0.11720000000000001</v>
      </c>
      <c r="U3877" s="250">
        <v>0.23190000000000002</v>
      </c>
      <c r="V3877" s="250">
        <v>0.31670200000000004</v>
      </c>
      <c r="W3877" s="250">
        <v>0.255465</v>
      </c>
      <c r="X3877" s="250">
        <v>6.4880000000000007E-2</v>
      </c>
      <c r="Y3877" s="250">
        <v>1.3880999999999999E-2</v>
      </c>
      <c r="Z3877" s="150"/>
      <c r="AA3877" s="150">
        <v>1.44</v>
      </c>
      <c r="AB3877" s="152"/>
      <c r="AC3877" s="152"/>
      <c r="AD3877" s="223">
        <v>8.1988509999999994</v>
      </c>
      <c r="AE3877" s="223">
        <v>0.33222109999999999</v>
      </c>
      <c r="AF3877" s="223">
        <v>2.7290399320000001</v>
      </c>
      <c r="AG3877" s="223">
        <v>0.54557409999999995</v>
      </c>
      <c r="AH3877" s="341"/>
      <c r="AI3877" s="218"/>
      <c r="AJ3877" s="218"/>
      <c r="AK3877" s="153"/>
      <c r="AL3877" s="152"/>
      <c r="AM3877" s="152"/>
      <c r="AN3877" s="152"/>
      <c r="AO3877" s="152"/>
      <c r="AP3877" s="152"/>
      <c r="AQ3877" s="152"/>
      <c r="AR3877" s="152"/>
      <c r="AS3877" s="152"/>
      <c r="AT3877" s="152"/>
      <c r="AU3877" s="153"/>
      <c r="AV3877" s="479"/>
      <c r="AW3877" s="479"/>
      <c r="AX3877" s="442"/>
      <c r="AY3877" s="153"/>
      <c r="AZ3877" s="152"/>
      <c r="BA3877" s="152"/>
      <c r="BB3877" s="152"/>
      <c r="BC3877" s="152"/>
      <c r="BD3877" s="152"/>
      <c r="BE3877" s="152"/>
      <c r="BF3877" s="152"/>
      <c r="BG3877" s="152"/>
      <c r="BH3877" s="152"/>
      <c r="BI3877" s="153"/>
      <c r="BJ3877" s="153"/>
      <c r="BK3877" s="153"/>
      <c r="BL3877" s="153"/>
      <c r="BM3877" s="153"/>
      <c r="BN3877" s="153"/>
      <c r="BO3877" s="153"/>
      <c r="BP3877" s="153"/>
      <c r="BQ3877" s="153"/>
      <c r="BR3877" s="153"/>
      <c r="BS3877" s="153"/>
      <c r="BT3877" s="153"/>
      <c r="BU3877" s="153"/>
      <c r="BV3877" s="153"/>
      <c r="BW3877" s="153"/>
      <c r="BX3877" s="153"/>
      <c r="BY3877" s="153"/>
      <c r="BZ3877" s="153"/>
      <c r="CA3877" s="152"/>
      <c r="CB3877" s="152"/>
    </row>
    <row r="3878" spans="1:80" s="87" customFormat="1" x14ac:dyDescent="0.2">
      <c r="A3878" s="152"/>
      <c r="B3878" s="683"/>
      <c r="C3878" s="683"/>
      <c r="D3878" s="698"/>
      <c r="E3878" s="215"/>
      <c r="F3878" s="215"/>
      <c r="G3878" s="153"/>
      <c r="H3878" s="153"/>
      <c r="I3878" s="323">
        <v>23</v>
      </c>
      <c r="J3878" s="312">
        <v>60</v>
      </c>
      <c r="K3878" s="150">
        <v>1</v>
      </c>
      <c r="L3878" s="656">
        <v>23</v>
      </c>
      <c r="M3878" s="663">
        <v>34491</v>
      </c>
      <c r="N3878" s="600">
        <v>1.44678</v>
      </c>
      <c r="O3878" s="604">
        <v>1.76E-4</v>
      </c>
      <c r="P3878" s="250"/>
      <c r="Q3878" s="250"/>
      <c r="R3878" s="250"/>
      <c r="S3878" s="250"/>
      <c r="T3878" s="250"/>
      <c r="U3878" s="250">
        <v>1.44E-2</v>
      </c>
      <c r="V3878" s="250">
        <v>0.15920799999999999</v>
      </c>
      <c r="W3878" s="250">
        <v>0.54077699999999995</v>
      </c>
      <c r="X3878" s="250">
        <v>0.244921</v>
      </c>
      <c r="Y3878" s="250">
        <v>4.0667000000000002E-2</v>
      </c>
      <c r="Z3878" s="150"/>
      <c r="AA3878" s="150">
        <v>0.66</v>
      </c>
      <c r="AB3878" s="152"/>
      <c r="AC3878" s="152"/>
      <c r="AD3878" s="223">
        <v>8.1988509999999994</v>
      </c>
      <c r="AE3878" s="223">
        <v>0.33222109999999999</v>
      </c>
      <c r="AF3878" s="223">
        <v>2.7290399320000001</v>
      </c>
      <c r="AG3878" s="223">
        <v>0.54557409999999995</v>
      </c>
      <c r="AH3878" s="341"/>
      <c r="AI3878" s="218"/>
      <c r="AJ3878" s="218"/>
      <c r="AK3878" s="153"/>
      <c r="AL3878" s="152"/>
      <c r="AM3878" s="152"/>
      <c r="AN3878" s="152"/>
      <c r="AO3878" s="152"/>
      <c r="AP3878" s="152"/>
      <c r="AQ3878" s="152"/>
      <c r="AR3878" s="152"/>
      <c r="AS3878" s="152"/>
      <c r="AT3878" s="152"/>
      <c r="AU3878" s="153"/>
      <c r="AV3878" s="479"/>
      <c r="AW3878" s="479"/>
      <c r="AX3878" s="442"/>
      <c r="AY3878" s="153"/>
      <c r="AZ3878" s="152"/>
      <c r="BA3878" s="152"/>
      <c r="BB3878" s="152"/>
      <c r="BC3878" s="152"/>
      <c r="BD3878" s="152"/>
      <c r="BE3878" s="152"/>
      <c r="BF3878" s="152"/>
      <c r="BG3878" s="152"/>
      <c r="BH3878" s="152"/>
      <c r="BI3878" s="153"/>
      <c r="BJ3878" s="153"/>
      <c r="BK3878" s="153"/>
      <c r="BL3878" s="153"/>
      <c r="BM3878" s="153"/>
      <c r="BN3878" s="153"/>
      <c r="BO3878" s="153"/>
      <c r="BP3878" s="153"/>
      <c r="BQ3878" s="153"/>
      <c r="BR3878" s="153"/>
      <c r="BS3878" s="153"/>
      <c r="BT3878" s="153"/>
      <c r="BU3878" s="153"/>
      <c r="BV3878" s="153"/>
      <c r="BW3878" s="153"/>
      <c r="BX3878" s="153"/>
      <c r="BY3878" s="153"/>
      <c r="BZ3878" s="153"/>
      <c r="CA3878" s="152"/>
      <c r="CB3878" s="152"/>
    </row>
    <row r="3879" spans="1:80" s="87" customFormat="1" x14ac:dyDescent="0.2">
      <c r="A3879" s="152"/>
      <c r="B3879" s="683"/>
      <c r="C3879" s="683"/>
      <c r="D3879" s="698"/>
      <c r="E3879" s="215"/>
      <c r="F3879" s="215"/>
      <c r="G3879" s="153"/>
      <c r="H3879" s="153"/>
      <c r="I3879" s="323">
        <v>24</v>
      </c>
      <c r="J3879" s="312">
        <v>60</v>
      </c>
      <c r="K3879" s="150">
        <v>1</v>
      </c>
      <c r="L3879" s="656">
        <v>24</v>
      </c>
      <c r="M3879" s="663">
        <v>34493</v>
      </c>
      <c r="N3879" s="600">
        <v>1.5147299999999999</v>
      </c>
      <c r="O3879" s="604">
        <v>1.3960000000000001E-3</v>
      </c>
      <c r="P3879" s="250"/>
      <c r="Q3879" s="250"/>
      <c r="R3879" s="250"/>
      <c r="S3879" s="250"/>
      <c r="T3879" s="250">
        <v>5.9400000000000001E-2</v>
      </c>
      <c r="U3879" s="250">
        <v>0.15090000000000001</v>
      </c>
      <c r="V3879" s="250">
        <v>0.33762599999999998</v>
      </c>
      <c r="W3879" s="250">
        <v>0.36054999999999998</v>
      </c>
      <c r="X3879" s="250">
        <v>8.2614999999999994E-2</v>
      </c>
      <c r="Y3879" s="250">
        <v>8.8990000000000007E-3</v>
      </c>
      <c r="Z3879" s="150"/>
      <c r="AA3879" s="150">
        <v>1.1000000000000001</v>
      </c>
      <c r="AB3879" s="152"/>
      <c r="AC3879" s="152"/>
      <c r="AD3879" s="223">
        <v>8.137893</v>
      </c>
      <c r="AE3879" s="223">
        <v>0.32307740000000001</v>
      </c>
      <c r="AF3879" s="223">
        <v>2.6381896</v>
      </c>
      <c r="AG3879" s="223">
        <v>0.56081360000000002</v>
      </c>
      <c r="AH3879" s="341"/>
      <c r="AI3879" s="218"/>
      <c r="AJ3879" s="218"/>
      <c r="AK3879" s="153"/>
      <c r="AL3879" s="152"/>
      <c r="AM3879" s="152"/>
      <c r="AN3879" s="152"/>
      <c r="AO3879" s="152"/>
      <c r="AP3879" s="152"/>
      <c r="AQ3879" s="152"/>
      <c r="AR3879" s="152"/>
      <c r="AS3879" s="152"/>
      <c r="AT3879" s="152"/>
      <c r="AU3879" s="153"/>
      <c r="AV3879" s="479"/>
      <c r="AW3879" s="479"/>
      <c r="AX3879" s="442"/>
      <c r="AY3879" s="153"/>
      <c r="AZ3879" s="152"/>
      <c r="BA3879" s="152"/>
      <c r="BB3879" s="152"/>
      <c r="BC3879" s="152"/>
      <c r="BD3879" s="152"/>
      <c r="BE3879" s="152"/>
      <c r="BF3879" s="152"/>
      <c r="BG3879" s="152"/>
      <c r="BH3879" s="152"/>
      <c r="BI3879" s="153"/>
      <c r="BJ3879" s="153"/>
      <c r="BK3879" s="153"/>
      <c r="BL3879" s="153"/>
      <c r="BM3879" s="153"/>
      <c r="BN3879" s="153"/>
      <c r="BO3879" s="153"/>
      <c r="BP3879" s="153"/>
      <c r="BQ3879" s="153"/>
      <c r="BR3879" s="153"/>
      <c r="BS3879" s="153"/>
      <c r="BT3879" s="153"/>
      <c r="BU3879" s="153"/>
      <c r="BV3879" s="153"/>
      <c r="BW3879" s="153"/>
      <c r="BX3879" s="153"/>
      <c r="BY3879" s="153"/>
      <c r="BZ3879" s="153"/>
      <c r="CA3879" s="152"/>
      <c r="CB3879" s="152"/>
    </row>
    <row r="3880" spans="1:80" s="87" customFormat="1" x14ac:dyDescent="0.2">
      <c r="A3880" s="152"/>
      <c r="B3880" s="683"/>
      <c r="C3880" s="683"/>
      <c r="D3880" s="698"/>
      <c r="E3880" s="215"/>
      <c r="F3880" s="215"/>
      <c r="G3880" s="153"/>
      <c r="H3880" s="153"/>
      <c r="I3880" s="323">
        <v>24</v>
      </c>
      <c r="J3880" s="312">
        <v>60</v>
      </c>
      <c r="K3880" s="150">
        <v>1</v>
      </c>
      <c r="L3880" s="656">
        <v>24</v>
      </c>
      <c r="M3880" s="663">
        <v>34493</v>
      </c>
      <c r="N3880" s="600">
        <v>1.5147299999999999</v>
      </c>
      <c r="O3880" s="604">
        <v>4.46E-4</v>
      </c>
      <c r="P3880" s="250"/>
      <c r="Q3880" s="250"/>
      <c r="R3880" s="250"/>
      <c r="S3880" s="250"/>
      <c r="T3880" s="250"/>
      <c r="U3880" s="250">
        <v>6.88E-2</v>
      </c>
      <c r="V3880" s="250">
        <v>0.32193399999999994</v>
      </c>
      <c r="W3880" s="250">
        <v>0.45640000000000003</v>
      </c>
      <c r="X3880" s="250">
        <v>0.138319</v>
      </c>
      <c r="Y3880" s="250">
        <v>1.4560999999999999E-2</v>
      </c>
      <c r="Z3880" s="150"/>
      <c r="AA3880" s="150">
        <v>0.85</v>
      </c>
      <c r="AB3880" s="152"/>
      <c r="AC3880" s="152"/>
      <c r="AD3880" s="223">
        <v>8.137893</v>
      </c>
      <c r="AE3880" s="223">
        <v>0.32307740000000001</v>
      </c>
      <c r="AF3880" s="223">
        <v>2.6381896</v>
      </c>
      <c r="AG3880" s="223">
        <v>0.56081360000000002</v>
      </c>
      <c r="AH3880" s="341"/>
      <c r="AI3880" s="218"/>
      <c r="AJ3880" s="218"/>
      <c r="AK3880" s="153"/>
      <c r="AL3880" s="152"/>
      <c r="AM3880" s="152"/>
      <c r="AN3880" s="152"/>
      <c r="AO3880" s="152"/>
      <c r="AP3880" s="152"/>
      <c r="AQ3880" s="152"/>
      <c r="AR3880" s="152"/>
      <c r="AS3880" s="152"/>
      <c r="AT3880" s="152"/>
      <c r="AU3880" s="153"/>
      <c r="AV3880" s="479"/>
      <c r="AW3880" s="479"/>
      <c r="AX3880" s="442"/>
      <c r="AY3880" s="153"/>
      <c r="AZ3880" s="152"/>
      <c r="BA3880" s="152"/>
      <c r="BB3880" s="152"/>
      <c r="BC3880" s="152"/>
      <c r="BD3880" s="152"/>
      <c r="BE3880" s="152"/>
      <c r="BF3880" s="152"/>
      <c r="BG3880" s="152"/>
      <c r="BH3880" s="152"/>
      <c r="BI3880" s="153"/>
      <c r="BJ3880" s="153"/>
      <c r="BK3880" s="153"/>
      <c r="BL3880" s="153"/>
      <c r="BM3880" s="153"/>
      <c r="BN3880" s="153"/>
      <c r="BO3880" s="153"/>
      <c r="BP3880" s="153"/>
      <c r="BQ3880" s="153"/>
      <c r="BR3880" s="153"/>
      <c r="BS3880" s="153"/>
      <c r="BT3880" s="153"/>
      <c r="BU3880" s="153"/>
      <c r="BV3880" s="153"/>
      <c r="BW3880" s="153"/>
      <c r="BX3880" s="153"/>
      <c r="BY3880" s="153"/>
      <c r="BZ3880" s="153"/>
      <c r="CA3880" s="152"/>
      <c r="CB3880" s="152"/>
    </row>
    <row r="3881" spans="1:80" s="87" customFormat="1" x14ac:dyDescent="0.2">
      <c r="A3881" s="152"/>
      <c r="B3881" s="683"/>
      <c r="C3881" s="683"/>
      <c r="D3881" s="698"/>
      <c r="E3881" s="215"/>
      <c r="F3881" s="215"/>
      <c r="G3881" s="153"/>
      <c r="H3881" s="153"/>
      <c r="I3881" s="323">
        <v>23</v>
      </c>
      <c r="J3881" s="312">
        <v>60</v>
      </c>
      <c r="K3881" s="150">
        <v>1</v>
      </c>
      <c r="L3881" s="656">
        <v>23</v>
      </c>
      <c r="M3881" s="663">
        <v>34499</v>
      </c>
      <c r="N3881" s="600">
        <v>1.34768</v>
      </c>
      <c r="O3881" s="604">
        <v>5.77E-5</v>
      </c>
      <c r="P3881" s="250"/>
      <c r="Q3881" s="250"/>
      <c r="R3881" s="250"/>
      <c r="S3881" s="250"/>
      <c r="T3881" s="250"/>
      <c r="U3881" s="250"/>
      <c r="V3881" s="250">
        <v>0.19755600000000001</v>
      </c>
      <c r="W3881" s="250">
        <v>0.38923500000000005</v>
      </c>
      <c r="X3881" s="250">
        <v>0.29875499999999999</v>
      </c>
      <c r="Y3881" s="250">
        <v>0.114454</v>
      </c>
      <c r="Z3881" s="150"/>
      <c r="AA3881" s="150">
        <v>0.57999999999999996</v>
      </c>
      <c r="AB3881" s="152"/>
      <c r="AC3881" s="152"/>
      <c r="AD3881" s="223">
        <v>8.2293299999999991</v>
      </c>
      <c r="AE3881" s="223">
        <v>0.32307740000000001</v>
      </c>
      <c r="AF3881" s="223">
        <v>2.6660577999999999</v>
      </c>
      <c r="AG3881" s="223">
        <v>0.50899930000000004</v>
      </c>
      <c r="AH3881" s="341"/>
      <c r="AI3881" s="218"/>
      <c r="AJ3881" s="218"/>
      <c r="AK3881" s="153"/>
      <c r="AL3881" s="152"/>
      <c r="AM3881" s="152"/>
      <c r="AN3881" s="152"/>
      <c r="AO3881" s="152"/>
      <c r="AP3881" s="152"/>
      <c r="AQ3881" s="152"/>
      <c r="AR3881" s="152"/>
      <c r="AS3881" s="152"/>
      <c r="AT3881" s="152"/>
      <c r="AU3881" s="153"/>
      <c r="AV3881" s="479"/>
      <c r="AW3881" s="479"/>
      <c r="AX3881" s="442"/>
      <c r="AY3881" s="153"/>
      <c r="AZ3881" s="152"/>
      <c r="BA3881" s="152"/>
      <c r="BB3881" s="152"/>
      <c r="BC3881" s="152"/>
      <c r="BD3881" s="152"/>
      <c r="BE3881" s="152"/>
      <c r="BF3881" s="152"/>
      <c r="BG3881" s="152"/>
      <c r="BH3881" s="152"/>
      <c r="BI3881" s="153"/>
      <c r="BJ3881" s="153"/>
      <c r="BK3881" s="153"/>
      <c r="BL3881" s="153"/>
      <c r="BM3881" s="153"/>
      <c r="BN3881" s="153"/>
      <c r="BO3881" s="153"/>
      <c r="BP3881" s="153"/>
      <c r="BQ3881" s="153"/>
      <c r="BR3881" s="153"/>
      <c r="BS3881" s="153"/>
      <c r="BT3881" s="153"/>
      <c r="BU3881" s="153"/>
      <c r="BV3881" s="153"/>
      <c r="BW3881" s="153"/>
      <c r="BX3881" s="153"/>
      <c r="BY3881" s="153"/>
      <c r="BZ3881" s="153"/>
      <c r="CA3881" s="152"/>
      <c r="CB3881" s="152"/>
    </row>
    <row r="3882" spans="1:80" s="87" customFormat="1" x14ac:dyDescent="0.2">
      <c r="A3882" s="152"/>
      <c r="B3882" s="683"/>
      <c r="C3882" s="683"/>
      <c r="D3882" s="698"/>
      <c r="E3882" s="215"/>
      <c r="F3882" s="215"/>
      <c r="G3882" s="153"/>
      <c r="H3882" s="153"/>
      <c r="I3882" s="323">
        <v>23</v>
      </c>
      <c r="J3882" s="312">
        <v>60</v>
      </c>
      <c r="K3882" s="150">
        <v>1</v>
      </c>
      <c r="L3882" s="656">
        <v>23</v>
      </c>
      <c r="M3882" s="663">
        <v>34499</v>
      </c>
      <c r="N3882" s="600">
        <v>1.34768</v>
      </c>
      <c r="O3882" s="604">
        <v>1.2E-4</v>
      </c>
      <c r="P3882" s="250"/>
      <c r="Q3882" s="250"/>
      <c r="R3882" s="250"/>
      <c r="S3882" s="250"/>
      <c r="T3882" s="250"/>
      <c r="U3882" s="250">
        <v>9.9100000000000008E-2</v>
      </c>
      <c r="V3882" s="250">
        <v>0.26594499999999999</v>
      </c>
      <c r="W3882" s="250">
        <v>0.415931</v>
      </c>
      <c r="X3882" s="250">
        <v>0.18195900000000001</v>
      </c>
      <c r="Y3882" s="250">
        <v>3.7080000000000002E-2</v>
      </c>
      <c r="Z3882" s="150"/>
      <c r="AA3882" s="150">
        <v>0.8</v>
      </c>
      <c r="AB3882" s="152"/>
      <c r="AC3882" s="152"/>
      <c r="AD3882" s="223">
        <v>8.2293299999999991</v>
      </c>
      <c r="AE3882" s="223">
        <v>0.32307740000000001</v>
      </c>
      <c r="AF3882" s="223">
        <v>2.6660577999999999</v>
      </c>
      <c r="AG3882" s="223">
        <v>0.50899930000000004</v>
      </c>
      <c r="AH3882" s="341"/>
      <c r="AI3882" s="218"/>
      <c r="AJ3882" s="218"/>
      <c r="AK3882" s="153"/>
      <c r="AL3882" s="152"/>
      <c r="AM3882" s="152"/>
      <c r="AN3882" s="152"/>
      <c r="AO3882" s="152"/>
      <c r="AP3882" s="152"/>
      <c r="AQ3882" s="152"/>
      <c r="AR3882" s="152"/>
      <c r="AS3882" s="152"/>
      <c r="AT3882" s="152"/>
      <c r="AU3882" s="153"/>
      <c r="AV3882" s="479"/>
      <c r="AW3882" s="479"/>
      <c r="AX3882" s="442"/>
      <c r="AY3882" s="153"/>
      <c r="AZ3882" s="152"/>
      <c r="BA3882" s="152"/>
      <c r="BB3882" s="152"/>
      <c r="BC3882" s="152"/>
      <c r="BD3882" s="152"/>
      <c r="BE3882" s="152"/>
      <c r="BF3882" s="152"/>
      <c r="BG3882" s="152"/>
      <c r="BH3882" s="152"/>
      <c r="BI3882" s="153"/>
      <c r="BJ3882" s="153"/>
      <c r="BK3882" s="153"/>
      <c r="BL3882" s="153"/>
      <c r="BM3882" s="153"/>
      <c r="BN3882" s="153"/>
      <c r="BO3882" s="153"/>
      <c r="BP3882" s="153"/>
      <c r="BQ3882" s="153"/>
      <c r="BR3882" s="153"/>
      <c r="BS3882" s="153"/>
      <c r="BT3882" s="153"/>
      <c r="BU3882" s="153"/>
      <c r="BV3882" s="153"/>
      <c r="BW3882" s="153"/>
      <c r="BX3882" s="153"/>
      <c r="BY3882" s="153"/>
      <c r="BZ3882" s="153"/>
      <c r="CA3882" s="152"/>
      <c r="CB3882" s="152"/>
    </row>
    <row r="3883" spans="1:80" s="87" customFormat="1" x14ac:dyDescent="0.2">
      <c r="A3883" s="152"/>
      <c r="B3883" s="683"/>
      <c r="C3883" s="683"/>
      <c r="D3883" s="698"/>
      <c r="E3883" s="215"/>
      <c r="F3883" s="215"/>
      <c r="G3883" s="153"/>
      <c r="H3883" s="153"/>
      <c r="I3883" s="323">
        <v>21</v>
      </c>
      <c r="J3883" s="312">
        <v>60</v>
      </c>
      <c r="K3883" s="150">
        <v>1</v>
      </c>
      <c r="L3883" s="656">
        <v>21</v>
      </c>
      <c r="M3883" s="663">
        <v>34512</v>
      </c>
      <c r="N3883" s="600">
        <v>1.25142</v>
      </c>
      <c r="O3883" s="604">
        <v>4.7130000000000002E-3</v>
      </c>
      <c r="P3883" s="250"/>
      <c r="Q3883" s="250"/>
      <c r="R3883" s="250"/>
      <c r="S3883" s="250"/>
      <c r="T3883" s="250">
        <v>1.4999999999999999E-2</v>
      </c>
      <c r="U3883" s="250">
        <v>8.6999999999999994E-2</v>
      </c>
      <c r="V3883" s="250">
        <v>0.33445300000000006</v>
      </c>
      <c r="W3883" s="250">
        <v>0.436031</v>
      </c>
      <c r="X3883" s="250">
        <v>0.12035700000000001</v>
      </c>
      <c r="Y3883" s="250">
        <v>7.1189999999999995E-3</v>
      </c>
      <c r="Z3883" s="150"/>
      <c r="AA3883" s="150">
        <v>0.9</v>
      </c>
      <c r="AB3883" s="152"/>
      <c r="AC3883" s="152"/>
      <c r="AD3883" s="223">
        <v>8.1683719999999997</v>
      </c>
      <c r="AE3883" s="223">
        <v>0.3078379</v>
      </c>
      <c r="AF3883" s="223">
        <v>2.5267168</v>
      </c>
      <c r="AG3883" s="223">
        <v>0.47852030000000001</v>
      </c>
      <c r="AH3883" s="341"/>
      <c r="AI3883" s="218"/>
      <c r="AJ3883" s="218"/>
      <c r="AK3883" s="153"/>
      <c r="AL3883" s="152"/>
      <c r="AM3883" s="152"/>
      <c r="AN3883" s="152"/>
      <c r="AO3883" s="152"/>
      <c r="AP3883" s="152"/>
      <c r="AQ3883" s="152"/>
      <c r="AR3883" s="152"/>
      <c r="AS3883" s="152"/>
      <c r="AT3883" s="152"/>
      <c r="AU3883" s="153"/>
      <c r="AV3883" s="479"/>
      <c r="AW3883" s="479"/>
      <c r="AX3883" s="442"/>
      <c r="AY3883" s="153"/>
      <c r="AZ3883" s="152"/>
      <c r="BA3883" s="152"/>
      <c r="BB3883" s="152"/>
      <c r="BC3883" s="152"/>
      <c r="BD3883" s="152"/>
      <c r="BE3883" s="152"/>
      <c r="BF3883" s="152"/>
      <c r="BG3883" s="152"/>
      <c r="BH3883" s="152"/>
      <c r="BI3883" s="153"/>
      <c r="BJ3883" s="153"/>
      <c r="BK3883" s="153"/>
      <c r="BL3883" s="153"/>
      <c r="BM3883" s="153"/>
      <c r="BN3883" s="153"/>
      <c r="BO3883" s="153"/>
      <c r="BP3883" s="153"/>
      <c r="BQ3883" s="153"/>
      <c r="BR3883" s="153"/>
      <c r="BS3883" s="153"/>
      <c r="BT3883" s="153"/>
      <c r="BU3883" s="153"/>
      <c r="BV3883" s="153"/>
      <c r="BW3883" s="153"/>
      <c r="BX3883" s="153"/>
      <c r="BY3883" s="153"/>
      <c r="BZ3883" s="153"/>
      <c r="CA3883" s="152"/>
      <c r="CB3883" s="152"/>
    </row>
    <row r="3884" spans="1:80" s="87" customFormat="1" x14ac:dyDescent="0.2">
      <c r="A3884" s="152"/>
      <c r="B3884" s="683"/>
      <c r="C3884" s="683"/>
      <c r="D3884" s="698"/>
      <c r="E3884" s="215"/>
      <c r="F3884" s="215"/>
      <c r="G3884" s="153"/>
      <c r="H3884" s="153"/>
      <c r="I3884" s="323">
        <v>21</v>
      </c>
      <c r="J3884" s="312">
        <v>60</v>
      </c>
      <c r="K3884" s="150">
        <v>1</v>
      </c>
      <c r="L3884" s="656">
        <v>21</v>
      </c>
      <c r="M3884" s="663">
        <v>34512</v>
      </c>
      <c r="N3884" s="600">
        <v>1.25142</v>
      </c>
      <c r="O3884" s="604">
        <v>3.8000000000000002E-4</v>
      </c>
      <c r="P3884" s="250"/>
      <c r="Q3884" s="250"/>
      <c r="R3884" s="250"/>
      <c r="S3884" s="250"/>
      <c r="T3884" s="250"/>
      <c r="U3884" s="250"/>
      <c r="V3884" s="250">
        <v>3.5483000000000001E-2</v>
      </c>
      <c r="W3884" s="250">
        <v>0.50889300000000004</v>
      </c>
      <c r="X3884" s="250">
        <v>0.336978</v>
      </c>
      <c r="Y3884" s="250">
        <v>0.11864599999999999</v>
      </c>
      <c r="Z3884" s="150"/>
      <c r="AA3884" s="150">
        <v>0.53</v>
      </c>
      <c r="AB3884" s="152"/>
      <c r="AC3884" s="152"/>
      <c r="AD3884" s="223">
        <v>8.1683719999999997</v>
      </c>
      <c r="AE3884" s="223">
        <v>0.3078379</v>
      </c>
      <c r="AF3884" s="223">
        <v>2.5267168</v>
      </c>
      <c r="AG3884" s="223">
        <v>0.47852030000000001</v>
      </c>
      <c r="AH3884" s="341"/>
      <c r="AI3884" s="218"/>
      <c r="AJ3884" s="218"/>
      <c r="AK3884" s="153"/>
      <c r="AL3884" s="152"/>
      <c r="AM3884" s="152"/>
      <c r="AN3884" s="152"/>
      <c r="AO3884" s="152"/>
      <c r="AP3884" s="152"/>
      <c r="AQ3884" s="152"/>
      <c r="AR3884" s="152"/>
      <c r="AS3884" s="152"/>
      <c r="AT3884" s="152"/>
      <c r="AU3884" s="153"/>
      <c r="AV3884" s="479"/>
      <c r="AW3884" s="479"/>
      <c r="AX3884" s="442"/>
      <c r="AY3884" s="153"/>
      <c r="AZ3884" s="152"/>
      <c r="BA3884" s="152"/>
      <c r="BB3884" s="152"/>
      <c r="BC3884" s="152"/>
      <c r="BD3884" s="152"/>
      <c r="BE3884" s="152"/>
      <c r="BF3884" s="152"/>
      <c r="BG3884" s="152"/>
      <c r="BH3884" s="152"/>
      <c r="BI3884" s="153"/>
      <c r="BJ3884" s="153"/>
      <c r="BK3884" s="153"/>
      <c r="BL3884" s="153"/>
      <c r="BM3884" s="153"/>
      <c r="BN3884" s="153"/>
      <c r="BO3884" s="153"/>
      <c r="BP3884" s="153"/>
      <c r="BQ3884" s="153"/>
      <c r="BR3884" s="153"/>
      <c r="BS3884" s="153"/>
      <c r="BT3884" s="153"/>
      <c r="BU3884" s="153"/>
      <c r="BV3884" s="153"/>
      <c r="BW3884" s="153"/>
      <c r="BX3884" s="153"/>
      <c r="BY3884" s="153"/>
      <c r="BZ3884" s="153"/>
      <c r="CA3884" s="152"/>
      <c r="CB3884" s="152"/>
    </row>
    <row r="3885" spans="1:80" s="87" customFormat="1" x14ac:dyDescent="0.2">
      <c r="A3885" s="152"/>
      <c r="B3885" s="683"/>
      <c r="C3885" s="683"/>
      <c r="D3885" s="698"/>
      <c r="E3885" s="215"/>
      <c r="F3885" s="215"/>
      <c r="G3885" s="153"/>
      <c r="H3885" s="153"/>
      <c r="I3885" s="323">
        <v>22</v>
      </c>
      <c r="J3885" s="312">
        <v>60</v>
      </c>
      <c r="K3885" s="150">
        <v>1</v>
      </c>
      <c r="L3885" s="656">
        <v>22</v>
      </c>
      <c r="M3885" s="663">
        <v>34527</v>
      </c>
      <c r="N3885" s="600">
        <v>0.63704000000000005</v>
      </c>
      <c r="O3885" s="604">
        <v>5.9900000000000003E-4</v>
      </c>
      <c r="P3885" s="250"/>
      <c r="Q3885" s="250"/>
      <c r="R3885" s="250"/>
      <c r="S3885" s="250"/>
      <c r="T3885" s="250"/>
      <c r="U3885" s="250">
        <v>8.6899999999999991E-2</v>
      </c>
      <c r="V3885" s="250">
        <v>0.48260500000000001</v>
      </c>
      <c r="W3885" s="250">
        <v>0.34730900000000003</v>
      </c>
      <c r="X3885" s="250">
        <v>7.0304000000000005E-2</v>
      </c>
      <c r="Y3885" s="250">
        <v>1.2883E-2</v>
      </c>
      <c r="Z3885" s="150"/>
      <c r="AA3885" s="150">
        <v>1.1000000000000001</v>
      </c>
      <c r="AB3885" s="152"/>
      <c r="AC3885" s="152"/>
      <c r="AD3885" s="223">
        <v>8.1074140000000003</v>
      </c>
      <c r="AE3885" s="223">
        <v>0.2194488</v>
      </c>
      <c r="AF3885" s="223">
        <v>1.7835648</v>
      </c>
      <c r="AG3885" s="223">
        <v>0.35965219999999998</v>
      </c>
      <c r="AH3885" s="341"/>
      <c r="AI3885" s="218"/>
      <c r="AJ3885" s="218"/>
      <c r="AK3885" s="153"/>
      <c r="AL3885" s="152"/>
      <c r="AM3885" s="152"/>
      <c r="AN3885" s="152"/>
      <c r="AO3885" s="152"/>
      <c r="AP3885" s="152"/>
      <c r="AQ3885" s="152"/>
      <c r="AR3885" s="152"/>
      <c r="AS3885" s="152"/>
      <c r="AT3885" s="152"/>
      <c r="AU3885" s="153"/>
      <c r="AV3885" s="479"/>
      <c r="AW3885" s="479"/>
      <c r="AX3885" s="442"/>
      <c r="AY3885" s="153"/>
      <c r="AZ3885" s="152"/>
      <c r="BA3885" s="152"/>
      <c r="BB3885" s="152"/>
      <c r="BC3885" s="152"/>
      <c r="BD3885" s="152"/>
      <c r="BE3885" s="152"/>
      <c r="BF3885" s="152"/>
      <c r="BG3885" s="152"/>
      <c r="BH3885" s="152"/>
      <c r="BI3885" s="153"/>
      <c r="BJ3885" s="153"/>
      <c r="BK3885" s="153"/>
      <c r="BL3885" s="153"/>
      <c r="BM3885" s="153"/>
      <c r="BN3885" s="153"/>
      <c r="BO3885" s="153"/>
      <c r="BP3885" s="153"/>
      <c r="BQ3885" s="153"/>
      <c r="BR3885" s="153"/>
      <c r="BS3885" s="153"/>
      <c r="BT3885" s="153"/>
      <c r="BU3885" s="153"/>
      <c r="BV3885" s="153"/>
      <c r="BW3885" s="153"/>
      <c r="BX3885" s="153"/>
      <c r="BY3885" s="153"/>
      <c r="BZ3885" s="153"/>
      <c r="CA3885" s="152"/>
      <c r="CB3885" s="152"/>
    </row>
    <row r="3886" spans="1:80" s="87" customFormat="1" x14ac:dyDescent="0.2">
      <c r="A3886" s="152"/>
      <c r="B3886" s="683"/>
      <c r="C3886" s="683"/>
      <c r="D3886" s="698"/>
      <c r="E3886" s="215"/>
      <c r="F3886" s="215"/>
      <c r="G3886" s="153"/>
      <c r="H3886" s="153"/>
      <c r="I3886" s="323">
        <v>22</v>
      </c>
      <c r="J3886" s="312">
        <v>60</v>
      </c>
      <c r="K3886" s="150">
        <v>1</v>
      </c>
      <c r="L3886" s="656">
        <v>22</v>
      </c>
      <c r="M3886" s="663">
        <v>34527</v>
      </c>
      <c r="N3886" s="600">
        <v>0.63704000000000005</v>
      </c>
      <c r="O3886" s="604">
        <v>6.6099999999999994E-5</v>
      </c>
      <c r="P3886" s="250"/>
      <c r="Q3886" s="250"/>
      <c r="R3886" s="250"/>
      <c r="S3886" s="250"/>
      <c r="T3886" s="250"/>
      <c r="U3886" s="250">
        <v>0.15279999999999999</v>
      </c>
      <c r="V3886" s="250">
        <v>0.24987400000000001</v>
      </c>
      <c r="W3886" s="250">
        <v>0.26863700000000001</v>
      </c>
      <c r="X3886" s="250">
        <v>0.22001400000000002</v>
      </c>
      <c r="Y3886" s="250">
        <v>0.10864499999999999</v>
      </c>
      <c r="Z3886" s="150"/>
      <c r="AA3886" s="150">
        <v>0.78</v>
      </c>
      <c r="AB3886" s="152"/>
      <c r="AC3886" s="152"/>
      <c r="AD3886" s="223">
        <v>8.1074140000000003</v>
      </c>
      <c r="AE3886" s="223">
        <v>0.2194488</v>
      </c>
      <c r="AF3886" s="223">
        <v>1.7835648</v>
      </c>
      <c r="AG3886" s="223">
        <v>0.35965219999999998</v>
      </c>
      <c r="AH3886" s="341"/>
      <c r="AI3886" s="218"/>
      <c r="AJ3886" s="218"/>
      <c r="AK3886" s="153"/>
      <c r="AL3886" s="152"/>
      <c r="AM3886" s="152"/>
      <c r="AN3886" s="152"/>
      <c r="AO3886" s="152"/>
      <c r="AP3886" s="152"/>
      <c r="AQ3886" s="152"/>
      <c r="AR3886" s="152"/>
      <c r="AS3886" s="152"/>
      <c r="AT3886" s="152"/>
      <c r="AU3886" s="153"/>
      <c r="AV3886" s="479"/>
      <c r="AW3886" s="479"/>
      <c r="AX3886" s="442"/>
      <c r="AY3886" s="153"/>
      <c r="AZ3886" s="152"/>
      <c r="BA3886" s="152"/>
      <c r="BB3886" s="152"/>
      <c r="BC3886" s="152"/>
      <c r="BD3886" s="152"/>
      <c r="BE3886" s="152"/>
      <c r="BF3886" s="152"/>
      <c r="BG3886" s="152"/>
      <c r="BH3886" s="152"/>
      <c r="BI3886" s="153"/>
      <c r="BJ3886" s="153"/>
      <c r="BK3886" s="153"/>
      <c r="BL3886" s="153"/>
      <c r="BM3886" s="153"/>
      <c r="BN3886" s="153"/>
      <c r="BO3886" s="153"/>
      <c r="BP3886" s="153"/>
      <c r="BQ3886" s="153"/>
      <c r="BR3886" s="153"/>
      <c r="BS3886" s="153"/>
      <c r="BT3886" s="153"/>
      <c r="BU3886" s="153"/>
      <c r="BV3886" s="153"/>
      <c r="BW3886" s="153"/>
      <c r="BX3886" s="153"/>
      <c r="BY3886" s="153"/>
      <c r="BZ3886" s="153"/>
      <c r="CA3886" s="152"/>
      <c r="CB3886" s="152"/>
    </row>
    <row r="3887" spans="1:80" s="87" customFormat="1" x14ac:dyDescent="0.2">
      <c r="A3887" s="152"/>
      <c r="B3887" s="683"/>
      <c r="C3887" s="683"/>
      <c r="D3887" s="698"/>
      <c r="E3887" s="215"/>
      <c r="F3887" s="215"/>
      <c r="G3887" s="153"/>
      <c r="H3887" s="153"/>
      <c r="I3887" s="323">
        <v>20</v>
      </c>
      <c r="J3887" s="312">
        <v>60</v>
      </c>
      <c r="K3887" s="150">
        <v>1</v>
      </c>
      <c r="L3887" s="656">
        <v>20</v>
      </c>
      <c r="M3887" s="663">
        <v>34543</v>
      </c>
      <c r="N3887" s="600">
        <v>0.3624</v>
      </c>
      <c r="O3887" s="604">
        <v>3.04E-5</v>
      </c>
      <c r="P3887" s="250"/>
      <c r="Q3887" s="250"/>
      <c r="R3887" s="250"/>
      <c r="S3887" s="250"/>
      <c r="T3887" s="250"/>
      <c r="U3887" s="250">
        <v>7.6799999999999993E-2</v>
      </c>
      <c r="V3887" s="250">
        <v>0.106256</v>
      </c>
      <c r="W3887" s="250">
        <v>0.40927199999999997</v>
      </c>
      <c r="X3887" s="250">
        <v>0.30656600000000001</v>
      </c>
      <c r="Y3887" s="250">
        <v>0.10115399999999999</v>
      </c>
      <c r="Z3887" s="150"/>
      <c r="AA3887" s="150">
        <v>0.57999999999999996</v>
      </c>
      <c r="AB3887" s="152"/>
      <c r="AC3887" s="152"/>
      <c r="AD3887" s="223">
        <v>7.9854979999999998</v>
      </c>
      <c r="AE3887" s="223">
        <v>0.17068240000000001</v>
      </c>
      <c r="AF3887" s="223">
        <v>1.3636839199999999</v>
      </c>
      <c r="AG3887" s="223">
        <v>0.27126309999999998</v>
      </c>
      <c r="AH3887" s="341"/>
      <c r="AI3887" s="218"/>
      <c r="AJ3887" s="218"/>
      <c r="AK3887" s="153"/>
      <c r="AL3887" s="152"/>
      <c r="AM3887" s="152"/>
      <c r="AN3887" s="152"/>
      <c r="AO3887" s="152"/>
      <c r="AP3887" s="152"/>
      <c r="AQ3887" s="152"/>
      <c r="AR3887" s="152"/>
      <c r="AS3887" s="152"/>
      <c r="AT3887" s="152"/>
      <c r="AU3887" s="153"/>
      <c r="AV3887" s="479"/>
      <c r="AW3887" s="479"/>
      <c r="AX3887" s="442"/>
      <c r="AY3887" s="153"/>
      <c r="AZ3887" s="152"/>
      <c r="BA3887" s="152"/>
      <c r="BB3887" s="152"/>
      <c r="BC3887" s="152"/>
      <c r="BD3887" s="152"/>
      <c r="BE3887" s="152"/>
      <c r="BF3887" s="152"/>
      <c r="BG3887" s="152"/>
      <c r="BH3887" s="152"/>
      <c r="BI3887" s="153"/>
      <c r="BJ3887" s="153"/>
      <c r="BK3887" s="153"/>
      <c r="BL3887" s="153"/>
      <c r="BM3887" s="153"/>
      <c r="BN3887" s="153"/>
      <c r="BO3887" s="153"/>
      <c r="BP3887" s="153"/>
      <c r="BQ3887" s="153"/>
      <c r="BR3887" s="153"/>
      <c r="BS3887" s="153"/>
      <c r="BT3887" s="153"/>
      <c r="BU3887" s="153"/>
      <c r="BV3887" s="153"/>
      <c r="BW3887" s="153"/>
      <c r="BX3887" s="153"/>
      <c r="BY3887" s="153"/>
      <c r="BZ3887" s="153"/>
      <c r="CA3887" s="152"/>
      <c r="CB3887" s="152"/>
    </row>
    <row r="3888" spans="1:80" s="87" customFormat="1" x14ac:dyDescent="0.2">
      <c r="A3888" s="152"/>
      <c r="B3888" s="683"/>
      <c r="C3888" s="683"/>
      <c r="D3888" s="698"/>
      <c r="E3888" s="215"/>
      <c r="F3888" s="215"/>
      <c r="G3888" s="153"/>
      <c r="H3888" s="153"/>
      <c r="I3888" s="323">
        <v>20</v>
      </c>
      <c r="J3888" s="312">
        <v>60</v>
      </c>
      <c r="K3888" s="150">
        <v>1</v>
      </c>
      <c r="L3888" s="656">
        <v>20</v>
      </c>
      <c r="M3888" s="663">
        <v>34543</v>
      </c>
      <c r="N3888" s="600">
        <v>0.3624</v>
      </c>
      <c r="O3888" s="604">
        <v>2.94E-5</v>
      </c>
      <c r="P3888" s="250"/>
      <c r="Q3888" s="250"/>
      <c r="R3888" s="250"/>
      <c r="S3888" s="250"/>
      <c r="T3888" s="250">
        <v>0.21679999999999999</v>
      </c>
      <c r="U3888" s="250">
        <v>0.16489999999999999</v>
      </c>
      <c r="V3888" s="250">
        <v>0.17923900000000001</v>
      </c>
      <c r="W3888" s="250">
        <v>0.239677</v>
      </c>
      <c r="X3888" s="250">
        <v>0.11141899999999999</v>
      </c>
      <c r="Y3888" s="250">
        <v>8.7888999999999995E-2</v>
      </c>
      <c r="Z3888" s="150"/>
      <c r="AA3888" s="150">
        <v>1.27</v>
      </c>
      <c r="AB3888" s="152"/>
      <c r="AC3888" s="152"/>
      <c r="AD3888" s="223">
        <v>7.9854979999999998</v>
      </c>
      <c r="AE3888" s="223">
        <v>0.17068240000000001</v>
      </c>
      <c r="AF3888" s="223">
        <v>1.3636839199999999</v>
      </c>
      <c r="AG3888" s="223">
        <v>0.27126309999999998</v>
      </c>
      <c r="AH3888" s="341"/>
      <c r="AI3888" s="218"/>
      <c r="AJ3888" s="218"/>
      <c r="AK3888" s="153"/>
      <c r="AL3888" s="152"/>
      <c r="AM3888" s="152"/>
      <c r="AN3888" s="152"/>
      <c r="AO3888" s="152"/>
      <c r="AP3888" s="152"/>
      <c r="AQ3888" s="152"/>
      <c r="AR3888" s="152"/>
      <c r="AS3888" s="152"/>
      <c r="AT3888" s="152"/>
      <c r="AU3888" s="153"/>
      <c r="AV3888" s="479"/>
      <c r="AW3888" s="479"/>
      <c r="AX3888" s="442"/>
      <c r="AY3888" s="153"/>
      <c r="AZ3888" s="152"/>
      <c r="BA3888" s="152"/>
      <c r="BB3888" s="152"/>
      <c r="BC3888" s="152"/>
      <c r="BD3888" s="152"/>
      <c r="BE3888" s="152"/>
      <c r="BF3888" s="152"/>
      <c r="BG3888" s="152"/>
      <c r="BH3888" s="152"/>
      <c r="BI3888" s="153"/>
      <c r="BJ3888" s="153"/>
      <c r="BK3888" s="153"/>
      <c r="BL3888" s="153"/>
      <c r="BM3888" s="153"/>
      <c r="BN3888" s="153"/>
      <c r="BO3888" s="153"/>
      <c r="BP3888" s="153"/>
      <c r="BQ3888" s="153"/>
      <c r="BR3888" s="153"/>
      <c r="BS3888" s="153"/>
      <c r="BT3888" s="153"/>
      <c r="BU3888" s="153"/>
      <c r="BV3888" s="153"/>
      <c r="BW3888" s="153"/>
      <c r="BX3888" s="153"/>
      <c r="BY3888" s="153"/>
      <c r="BZ3888" s="153"/>
      <c r="CA3888" s="152"/>
      <c r="CB3888" s="152"/>
    </row>
    <row r="3889" spans="1:80" s="87" customFormat="1" x14ac:dyDescent="0.2">
      <c r="A3889" s="152"/>
      <c r="B3889" s="683"/>
      <c r="C3889" s="683"/>
      <c r="D3889" s="698"/>
      <c r="E3889" s="215"/>
      <c r="F3889" s="215"/>
      <c r="G3889" s="153"/>
      <c r="H3889" s="153"/>
      <c r="I3889" s="323">
        <v>21</v>
      </c>
      <c r="J3889" s="312">
        <v>60</v>
      </c>
      <c r="K3889" s="150">
        <v>1</v>
      </c>
      <c r="L3889" s="656">
        <v>21</v>
      </c>
      <c r="M3889" s="663">
        <v>34575</v>
      </c>
      <c r="N3889" s="600">
        <v>0.20527000000000001</v>
      </c>
      <c r="O3889" s="604">
        <v>8.6100000000000006E-5</v>
      </c>
      <c r="P3889" s="250"/>
      <c r="Q3889" s="250"/>
      <c r="R3889" s="250"/>
      <c r="S3889" s="250"/>
      <c r="T3889" s="250"/>
      <c r="U3889" s="250">
        <v>0.26590000000000003</v>
      </c>
      <c r="V3889" s="250">
        <v>0.35186500000000004</v>
      </c>
      <c r="W3889" s="250">
        <v>0.20966200000000002</v>
      </c>
      <c r="X3889" s="250">
        <v>0.101031</v>
      </c>
      <c r="Y3889" s="250">
        <v>7.1566999999999992E-2</v>
      </c>
      <c r="Z3889" s="150"/>
      <c r="AA3889" s="150">
        <v>1.26</v>
      </c>
      <c r="AB3889" s="152"/>
      <c r="AC3889" s="152"/>
      <c r="AD3889" s="223">
        <v>7.5587920000000004</v>
      </c>
      <c r="AE3889" s="223">
        <v>0.15849079999999999</v>
      </c>
      <c r="AF3889" s="223">
        <v>1.20390624</v>
      </c>
      <c r="AG3889" s="223">
        <v>0.16763449999999999</v>
      </c>
      <c r="AH3889" s="341"/>
      <c r="AI3889" s="218"/>
      <c r="AJ3889" s="218"/>
      <c r="AK3889" s="153"/>
      <c r="AL3889" s="152"/>
      <c r="AM3889" s="152"/>
      <c r="AN3889" s="152"/>
      <c r="AO3889" s="152"/>
      <c r="AP3889" s="152"/>
      <c r="AQ3889" s="152"/>
      <c r="AR3889" s="152"/>
      <c r="AS3889" s="152"/>
      <c r="AT3889" s="152"/>
      <c r="AU3889" s="153"/>
      <c r="AV3889" s="479"/>
      <c r="AW3889" s="479"/>
      <c r="AX3889" s="442"/>
      <c r="AY3889" s="153"/>
      <c r="AZ3889" s="152"/>
      <c r="BA3889" s="152"/>
      <c r="BB3889" s="152"/>
      <c r="BC3889" s="152"/>
      <c r="BD3889" s="152"/>
      <c r="BE3889" s="152"/>
      <c r="BF3889" s="152"/>
      <c r="BG3889" s="152"/>
      <c r="BH3889" s="152"/>
      <c r="BI3889" s="153"/>
      <c r="BJ3889" s="153"/>
      <c r="BK3889" s="153"/>
      <c r="BL3889" s="153"/>
      <c r="BM3889" s="153"/>
      <c r="BN3889" s="153"/>
      <c r="BO3889" s="153"/>
      <c r="BP3889" s="153"/>
      <c r="BQ3889" s="153"/>
      <c r="BR3889" s="153"/>
      <c r="BS3889" s="153"/>
      <c r="BT3889" s="153"/>
      <c r="BU3889" s="153"/>
      <c r="BV3889" s="153"/>
      <c r="BW3889" s="153"/>
      <c r="BX3889" s="153"/>
      <c r="BY3889" s="153"/>
      <c r="BZ3889" s="153"/>
      <c r="CA3889" s="152"/>
      <c r="CB3889" s="152"/>
    </row>
    <row r="3890" spans="1:80" s="87" customFormat="1" x14ac:dyDescent="0.2">
      <c r="A3890" s="152"/>
      <c r="B3890" s="683"/>
      <c r="C3890" s="683"/>
      <c r="D3890" s="698"/>
      <c r="E3890" s="215"/>
      <c r="F3890" s="215"/>
      <c r="G3890" s="153"/>
      <c r="H3890" s="153"/>
      <c r="I3890" s="323">
        <v>21</v>
      </c>
      <c r="J3890" s="312">
        <v>60</v>
      </c>
      <c r="K3890" s="150">
        <v>1</v>
      </c>
      <c r="L3890" s="656">
        <v>21</v>
      </c>
      <c r="M3890" s="663">
        <v>34575</v>
      </c>
      <c r="N3890" s="600">
        <v>0.20527000000000001</v>
      </c>
      <c r="O3890" s="604">
        <v>1.8799999999999999E-4</v>
      </c>
      <c r="P3890" s="250"/>
      <c r="Q3890" s="250"/>
      <c r="R3890" s="250"/>
      <c r="S3890" s="250"/>
      <c r="T3890" s="250">
        <v>3.15E-2</v>
      </c>
      <c r="U3890" s="250">
        <v>5.9000000000000004E-2</v>
      </c>
      <c r="V3890" s="250">
        <v>0.27728799999999998</v>
      </c>
      <c r="W3890" s="250">
        <v>0.39561399999999997</v>
      </c>
      <c r="X3890" s="250">
        <v>0.197293</v>
      </c>
      <c r="Y3890" s="250">
        <v>3.9323999999999998E-2</v>
      </c>
      <c r="Z3890" s="150"/>
      <c r="AA3890" s="150">
        <v>0.79</v>
      </c>
      <c r="AB3890" s="152"/>
      <c r="AC3890" s="152"/>
      <c r="AD3890" s="223">
        <v>7.5587920000000004</v>
      </c>
      <c r="AE3890" s="223">
        <v>0.15849079999999999</v>
      </c>
      <c r="AF3890" s="223">
        <v>1.20390624</v>
      </c>
      <c r="AG3890" s="223">
        <v>0.16763449999999999</v>
      </c>
      <c r="AH3890" s="341"/>
      <c r="AI3890" s="218"/>
      <c r="AJ3890" s="218"/>
      <c r="AK3890" s="153"/>
      <c r="AL3890" s="152"/>
      <c r="AM3890" s="152"/>
      <c r="AN3890" s="152"/>
      <c r="AO3890" s="152"/>
      <c r="AP3890" s="152"/>
      <c r="AQ3890" s="152"/>
      <c r="AR3890" s="152"/>
      <c r="AS3890" s="152"/>
      <c r="AT3890" s="152"/>
      <c r="AU3890" s="153"/>
      <c r="AV3890" s="479"/>
      <c r="AW3890" s="479"/>
      <c r="AX3890" s="442"/>
      <c r="AY3890" s="153"/>
      <c r="AZ3890" s="152"/>
      <c r="BA3890" s="152"/>
      <c r="BB3890" s="152"/>
      <c r="BC3890" s="152"/>
      <c r="BD3890" s="152"/>
      <c r="BE3890" s="152"/>
      <c r="BF3890" s="152"/>
      <c r="BG3890" s="152"/>
      <c r="BH3890" s="152"/>
      <c r="BI3890" s="153"/>
      <c r="BJ3890" s="153"/>
      <c r="BK3890" s="153"/>
      <c r="BL3890" s="153"/>
      <c r="BM3890" s="153"/>
      <c r="BN3890" s="153"/>
      <c r="BO3890" s="153"/>
      <c r="BP3890" s="153"/>
      <c r="BQ3890" s="153"/>
      <c r="BR3890" s="153"/>
      <c r="BS3890" s="153"/>
      <c r="BT3890" s="153"/>
      <c r="BU3890" s="153"/>
      <c r="BV3890" s="153"/>
      <c r="BW3890" s="153"/>
      <c r="BX3890" s="153"/>
      <c r="BY3890" s="153"/>
      <c r="BZ3890" s="153"/>
      <c r="CA3890" s="152"/>
      <c r="CB3890" s="152"/>
    </row>
    <row r="3891" spans="1:80" s="87" customFormat="1" x14ac:dyDescent="0.2">
      <c r="A3891" s="152"/>
      <c r="B3891" s="683"/>
      <c r="C3891" s="683"/>
      <c r="D3891" s="698"/>
      <c r="E3891" s="215"/>
      <c r="F3891" s="215"/>
      <c r="G3891" s="153"/>
      <c r="H3891" s="153"/>
      <c r="I3891" s="323">
        <v>22</v>
      </c>
      <c r="J3891" s="312">
        <v>60</v>
      </c>
      <c r="K3891" s="150">
        <v>1</v>
      </c>
      <c r="L3891" s="656">
        <v>22</v>
      </c>
      <c r="M3891" s="663">
        <v>34597</v>
      </c>
      <c r="N3891" s="600">
        <v>0.16789000000000001</v>
      </c>
      <c r="O3891" s="604">
        <v>6.9300000000000004E-5</v>
      </c>
      <c r="P3891" s="250"/>
      <c r="Q3891" s="250"/>
      <c r="R3891" s="250"/>
      <c r="S3891" s="250"/>
      <c r="T3891" s="250"/>
      <c r="U3891" s="250"/>
      <c r="V3891" s="250">
        <v>0.85251900000000003</v>
      </c>
      <c r="W3891" s="250">
        <v>7.3885000000000006E-2</v>
      </c>
      <c r="X3891" s="250">
        <v>3.3522999999999997E-2</v>
      </c>
      <c r="Y3891" s="250">
        <v>4.0072999999999998E-2</v>
      </c>
      <c r="Z3891" s="150"/>
      <c r="AA3891" s="150">
        <v>1.33</v>
      </c>
      <c r="AB3891" s="152"/>
      <c r="AC3891" s="152"/>
      <c r="AD3891" s="223">
        <v>7.4368759999999998</v>
      </c>
      <c r="AE3891" s="223">
        <v>0.1310597</v>
      </c>
      <c r="AF3891" s="223">
        <v>0.97724487999999998</v>
      </c>
      <c r="AG3891" s="223">
        <v>0.17068240000000001</v>
      </c>
      <c r="AH3891" s="341"/>
      <c r="AI3891" s="218"/>
      <c r="AJ3891" s="218"/>
      <c r="AK3891" s="153"/>
      <c r="AL3891" s="152"/>
      <c r="AM3891" s="152"/>
      <c r="AN3891" s="152"/>
      <c r="AO3891" s="152"/>
      <c r="AP3891" s="152"/>
      <c r="AQ3891" s="152"/>
      <c r="AR3891" s="152"/>
      <c r="AS3891" s="152"/>
      <c r="AT3891" s="152"/>
      <c r="AU3891" s="153"/>
      <c r="AV3891" s="479"/>
      <c r="AW3891" s="479"/>
      <c r="AX3891" s="442"/>
      <c r="AY3891" s="153"/>
      <c r="AZ3891" s="152"/>
      <c r="BA3891" s="152"/>
      <c r="BB3891" s="152"/>
      <c r="BC3891" s="152"/>
      <c r="BD3891" s="152"/>
      <c r="BE3891" s="152"/>
      <c r="BF3891" s="152"/>
      <c r="BG3891" s="152"/>
      <c r="BH3891" s="152"/>
      <c r="BI3891" s="153"/>
      <c r="BJ3891" s="153"/>
      <c r="BK3891" s="153"/>
      <c r="BL3891" s="153"/>
      <c r="BM3891" s="153"/>
      <c r="BN3891" s="153"/>
      <c r="BO3891" s="153"/>
      <c r="BP3891" s="153"/>
      <c r="BQ3891" s="153"/>
      <c r="BR3891" s="153"/>
      <c r="BS3891" s="153"/>
      <c r="BT3891" s="153"/>
      <c r="BU3891" s="153"/>
      <c r="BV3891" s="153"/>
      <c r="BW3891" s="153"/>
      <c r="BX3891" s="153"/>
      <c r="BY3891" s="153"/>
      <c r="BZ3891" s="153"/>
      <c r="CA3891" s="152"/>
      <c r="CB3891" s="152"/>
    </row>
    <row r="3892" spans="1:80" s="87" customFormat="1" x14ac:dyDescent="0.2">
      <c r="A3892" s="152"/>
      <c r="B3892" s="683"/>
      <c r="C3892" s="683"/>
      <c r="D3892" s="698"/>
      <c r="E3892" s="215"/>
      <c r="F3892" s="215"/>
      <c r="G3892" s="153"/>
      <c r="H3892" s="153"/>
      <c r="I3892" s="323">
        <v>22</v>
      </c>
      <c r="J3892" s="312">
        <v>60</v>
      </c>
      <c r="K3892" s="150">
        <v>1</v>
      </c>
      <c r="L3892" s="656">
        <v>22</v>
      </c>
      <c r="M3892" s="663">
        <v>34597</v>
      </c>
      <c r="N3892" s="600">
        <v>0.16789000000000001</v>
      </c>
      <c r="O3892" s="604">
        <v>1.47E-5</v>
      </c>
      <c r="P3892" s="250"/>
      <c r="Q3892" s="250"/>
      <c r="R3892" s="250"/>
      <c r="S3892" s="250"/>
      <c r="T3892" s="250"/>
      <c r="U3892" s="250">
        <v>6.9500000000000006E-2</v>
      </c>
      <c r="V3892" s="250">
        <v>0.28184799999999999</v>
      </c>
      <c r="W3892" s="250">
        <v>0.30004700000000001</v>
      </c>
      <c r="X3892" s="250">
        <v>0.18385400000000002</v>
      </c>
      <c r="Y3892" s="250">
        <v>0.16472200000000001</v>
      </c>
      <c r="Z3892" s="150"/>
      <c r="AA3892" s="150">
        <v>0.71</v>
      </c>
      <c r="AB3892" s="152"/>
      <c r="AC3892" s="152"/>
      <c r="AD3892" s="223">
        <v>7.4368759999999998</v>
      </c>
      <c r="AE3892" s="223">
        <v>0.1310597</v>
      </c>
      <c r="AF3892" s="223">
        <v>0.97724487999999998</v>
      </c>
      <c r="AG3892" s="223">
        <v>0.17068240000000001</v>
      </c>
      <c r="AH3892" s="341"/>
      <c r="AI3892" s="218"/>
      <c r="AJ3892" s="218"/>
      <c r="AK3892" s="153"/>
      <c r="AL3892" s="152"/>
      <c r="AM3892" s="152"/>
      <c r="AN3892" s="152"/>
      <c r="AO3892" s="152"/>
      <c r="AP3892" s="152"/>
      <c r="AQ3892" s="152"/>
      <c r="AR3892" s="152"/>
      <c r="AS3892" s="152"/>
      <c r="AT3892" s="152"/>
      <c r="AU3892" s="153"/>
      <c r="AV3892" s="479"/>
      <c r="AW3892" s="479"/>
      <c r="AX3892" s="442"/>
      <c r="AY3892" s="153"/>
      <c r="AZ3892" s="152"/>
      <c r="BA3892" s="152"/>
      <c r="BB3892" s="152"/>
      <c r="BC3892" s="152"/>
      <c r="BD3892" s="152"/>
      <c r="BE3892" s="152"/>
      <c r="BF3892" s="152"/>
      <c r="BG3892" s="152"/>
      <c r="BH3892" s="152"/>
      <c r="BI3892" s="153"/>
      <c r="BJ3892" s="153"/>
      <c r="BK3892" s="153"/>
      <c r="BL3892" s="153"/>
      <c r="BM3892" s="153"/>
      <c r="BN3892" s="153"/>
      <c r="BO3892" s="153"/>
      <c r="BP3892" s="153"/>
      <c r="BQ3892" s="153"/>
      <c r="BR3892" s="153"/>
      <c r="BS3892" s="153"/>
      <c r="BT3892" s="153"/>
      <c r="BU3892" s="153"/>
      <c r="BV3892" s="153"/>
      <c r="BW3892" s="153"/>
      <c r="BX3892" s="153"/>
      <c r="BY3892" s="153"/>
      <c r="BZ3892" s="153"/>
      <c r="CA3892" s="152"/>
      <c r="CB3892" s="152"/>
    </row>
    <row r="3893" spans="1:80" s="87" customFormat="1" x14ac:dyDescent="0.2">
      <c r="A3893" s="152"/>
      <c r="B3893" s="683"/>
      <c r="C3893" s="683"/>
      <c r="D3893" s="698"/>
      <c r="E3893" s="215"/>
      <c r="F3893" s="215"/>
      <c r="G3893" s="153"/>
      <c r="H3893" s="153"/>
      <c r="I3893" s="323">
        <v>24</v>
      </c>
      <c r="J3893" s="312">
        <v>60</v>
      </c>
      <c r="K3893" s="150">
        <v>1</v>
      </c>
      <c r="L3893" s="656">
        <v>24</v>
      </c>
      <c r="M3893" s="663">
        <v>34794</v>
      </c>
      <c r="N3893" s="600">
        <v>1.1098600000000001</v>
      </c>
      <c r="O3893" s="604">
        <v>2.0149999999999999E-3</v>
      </c>
      <c r="P3893" s="250"/>
      <c r="Q3893" s="250"/>
      <c r="R3893" s="250"/>
      <c r="S3893" s="250"/>
      <c r="T3893" s="250">
        <v>7.5999999999999998E-2</v>
      </c>
      <c r="U3893" s="250">
        <v>8.5000000000000006E-2</v>
      </c>
      <c r="V3893" s="250">
        <v>0.29499999999999998</v>
      </c>
      <c r="W3893" s="250">
        <v>0.40600000000000003</v>
      </c>
      <c r="X3893" s="250">
        <v>0.128</v>
      </c>
      <c r="Y3893" s="250">
        <v>0.01</v>
      </c>
      <c r="Z3893" s="150">
        <v>8</v>
      </c>
      <c r="AA3893" s="150">
        <v>0.93</v>
      </c>
      <c r="AB3893" s="152"/>
      <c r="AC3893" s="152"/>
      <c r="AD3893" s="223">
        <v>6.5529849999999996</v>
      </c>
      <c r="AE3893" s="223">
        <v>0.3505085</v>
      </c>
      <c r="AF3893" s="223">
        <v>2.2944817999999998</v>
      </c>
      <c r="AG3893" s="223">
        <v>0.51204720000000004</v>
      </c>
      <c r="AH3893" s="341"/>
      <c r="AI3893" s="218"/>
      <c r="AJ3893" s="218"/>
      <c r="AK3893" s="153"/>
      <c r="AL3893" s="152"/>
      <c r="AM3893" s="152"/>
      <c r="AN3893" s="152"/>
      <c r="AO3893" s="152"/>
      <c r="AP3893" s="152"/>
      <c r="AQ3893" s="152"/>
      <c r="AR3893" s="152"/>
      <c r="AS3893" s="152"/>
      <c r="AT3893" s="152"/>
      <c r="AU3893" s="153"/>
      <c r="AV3893" s="479"/>
      <c r="AW3893" s="479"/>
      <c r="AX3893" s="442"/>
      <c r="AY3893" s="153"/>
      <c r="AZ3893" s="152"/>
      <c r="BA3893" s="152"/>
      <c r="BB3893" s="152"/>
      <c r="BC3893" s="152"/>
      <c r="BD3893" s="152"/>
      <c r="BE3893" s="152"/>
      <c r="BF3893" s="152"/>
      <c r="BG3893" s="152"/>
      <c r="BH3893" s="152"/>
      <c r="BI3893" s="153"/>
      <c r="BJ3893" s="153"/>
      <c r="BK3893" s="153"/>
      <c r="BL3893" s="153"/>
      <c r="BM3893" s="153"/>
      <c r="BN3893" s="153"/>
      <c r="BO3893" s="153"/>
      <c r="BP3893" s="153"/>
      <c r="BQ3893" s="153"/>
      <c r="BR3893" s="153"/>
      <c r="BS3893" s="153"/>
      <c r="BT3893" s="153"/>
      <c r="BU3893" s="153"/>
      <c r="BV3893" s="153"/>
      <c r="BW3893" s="153"/>
      <c r="BX3893" s="153"/>
      <c r="BY3893" s="153"/>
      <c r="BZ3893" s="153"/>
      <c r="CA3893" s="152"/>
      <c r="CB3893" s="152"/>
    </row>
    <row r="3894" spans="1:80" s="87" customFormat="1" x14ac:dyDescent="0.2">
      <c r="A3894" s="152"/>
      <c r="B3894" s="683"/>
      <c r="C3894" s="683"/>
      <c r="D3894" s="698"/>
      <c r="E3894" s="215"/>
      <c r="F3894" s="215"/>
      <c r="G3894" s="153"/>
      <c r="H3894" s="153"/>
      <c r="I3894" s="323">
        <v>24</v>
      </c>
      <c r="J3894" s="312">
        <v>60</v>
      </c>
      <c r="K3894" s="150">
        <v>1</v>
      </c>
      <c r="L3894" s="656">
        <v>24</v>
      </c>
      <c r="M3894" s="663">
        <v>34794</v>
      </c>
      <c r="N3894" s="600">
        <v>1.1098600000000001</v>
      </c>
      <c r="O3894" s="604">
        <v>4.8000000000000001E-4</v>
      </c>
      <c r="P3894" s="250"/>
      <c r="Q3894" s="250"/>
      <c r="R3894" s="250"/>
      <c r="S3894" s="250"/>
      <c r="T3894" s="250"/>
      <c r="U3894" s="250">
        <v>0.16200000000000001</v>
      </c>
      <c r="V3894" s="250">
        <v>0.36499999999999999</v>
      </c>
      <c r="W3894" s="250">
        <v>0.311</v>
      </c>
      <c r="X3894" s="250">
        <v>0.13500000000000001</v>
      </c>
      <c r="Y3894" s="250">
        <v>2.7000000000000003E-2</v>
      </c>
      <c r="Z3894" s="150">
        <v>4</v>
      </c>
      <c r="AA3894" s="150">
        <v>1.05</v>
      </c>
      <c r="AB3894" s="152"/>
      <c r="AC3894" s="152"/>
      <c r="AD3894" s="223">
        <v>6.5529849999999996</v>
      </c>
      <c r="AE3894" s="223">
        <v>0.3505085</v>
      </c>
      <c r="AF3894" s="223">
        <v>2.2944817999999998</v>
      </c>
      <c r="AG3894" s="223">
        <v>0.51204720000000004</v>
      </c>
      <c r="AH3894" s="341"/>
      <c r="AI3894" s="218"/>
      <c r="AJ3894" s="218"/>
      <c r="AK3894" s="153"/>
      <c r="AL3894" s="152"/>
      <c r="AM3894" s="152"/>
      <c r="AN3894" s="152"/>
      <c r="AO3894" s="152"/>
      <c r="AP3894" s="152"/>
      <c r="AQ3894" s="152"/>
      <c r="AR3894" s="152"/>
      <c r="AS3894" s="152"/>
      <c r="AT3894" s="152"/>
      <c r="AU3894" s="153"/>
      <c r="AV3894" s="479"/>
      <c r="AW3894" s="479"/>
      <c r="AX3894" s="442"/>
      <c r="AY3894" s="153"/>
      <c r="AZ3894" s="152"/>
      <c r="BA3894" s="152"/>
      <c r="BB3894" s="152"/>
      <c r="BC3894" s="152"/>
      <c r="BD3894" s="152"/>
      <c r="BE3894" s="152"/>
      <c r="BF3894" s="152"/>
      <c r="BG3894" s="152"/>
      <c r="BH3894" s="152"/>
      <c r="BI3894" s="153"/>
      <c r="BJ3894" s="153"/>
      <c r="BK3894" s="153"/>
      <c r="BL3894" s="153"/>
      <c r="BM3894" s="153"/>
      <c r="BN3894" s="153"/>
      <c r="BO3894" s="153"/>
      <c r="BP3894" s="153"/>
      <c r="BQ3894" s="153"/>
      <c r="BR3894" s="153"/>
      <c r="BS3894" s="153"/>
      <c r="BT3894" s="153"/>
      <c r="BU3894" s="153"/>
      <c r="BV3894" s="153"/>
      <c r="BW3894" s="153"/>
      <c r="BX3894" s="153"/>
      <c r="BY3894" s="153"/>
      <c r="BZ3894" s="153"/>
      <c r="CA3894" s="152"/>
      <c r="CB3894" s="152"/>
    </row>
    <row r="3895" spans="1:80" s="87" customFormat="1" x14ac:dyDescent="0.2">
      <c r="A3895" s="152"/>
      <c r="B3895" s="683"/>
      <c r="C3895" s="683"/>
      <c r="D3895" s="698"/>
      <c r="E3895" s="215"/>
      <c r="F3895" s="215"/>
      <c r="G3895" s="153"/>
      <c r="H3895" s="153"/>
      <c r="I3895" s="323">
        <v>20</v>
      </c>
      <c r="J3895" s="312">
        <v>60</v>
      </c>
      <c r="K3895" s="150">
        <v>1</v>
      </c>
      <c r="L3895" s="656">
        <v>20</v>
      </c>
      <c r="M3895" s="663">
        <v>34802</v>
      </c>
      <c r="N3895" s="600">
        <v>1.7723800000000001</v>
      </c>
      <c r="O3895" s="604">
        <v>5.4199999999999995E-4</v>
      </c>
      <c r="P3895" s="250"/>
      <c r="Q3895" s="250"/>
      <c r="R3895" s="250"/>
      <c r="S3895" s="250"/>
      <c r="T3895" s="250"/>
      <c r="U3895" s="250">
        <v>3.2000000000000001E-2</v>
      </c>
      <c r="V3895" s="250">
        <v>0.20600000000000002</v>
      </c>
      <c r="W3895" s="250">
        <v>0.41299999999999998</v>
      </c>
      <c r="X3895" s="250">
        <v>0.30199999999999999</v>
      </c>
      <c r="Y3895" s="250">
        <v>4.7E-2</v>
      </c>
      <c r="Z3895" s="150">
        <v>3</v>
      </c>
      <c r="AA3895" s="150">
        <v>0.64</v>
      </c>
      <c r="AB3895" s="152"/>
      <c r="AC3895" s="152"/>
      <c r="AD3895" s="223">
        <v>8.2598090000000006</v>
      </c>
      <c r="AE3895" s="223">
        <v>0.3505085</v>
      </c>
      <c r="AF3895" s="223">
        <v>2.9075821999999998</v>
      </c>
      <c r="AG3895" s="223">
        <v>0.6156758</v>
      </c>
      <c r="AH3895" s="341"/>
      <c r="AI3895" s="218"/>
      <c r="AJ3895" s="218"/>
      <c r="AK3895" s="153"/>
      <c r="AL3895" s="152"/>
      <c r="AM3895" s="152"/>
      <c r="AN3895" s="152"/>
      <c r="AO3895" s="152"/>
      <c r="AP3895" s="152"/>
      <c r="AQ3895" s="152"/>
      <c r="AR3895" s="152"/>
      <c r="AS3895" s="152"/>
      <c r="AT3895" s="152"/>
      <c r="AU3895" s="153"/>
      <c r="AV3895" s="479"/>
      <c r="AW3895" s="479"/>
      <c r="AX3895" s="442"/>
      <c r="AY3895" s="153"/>
      <c r="AZ3895" s="152"/>
      <c r="BA3895" s="152"/>
      <c r="BB3895" s="152"/>
      <c r="BC3895" s="152"/>
      <c r="BD3895" s="152"/>
      <c r="BE3895" s="152"/>
      <c r="BF3895" s="152"/>
      <c r="BG3895" s="152"/>
      <c r="BH3895" s="152"/>
      <c r="BI3895" s="153"/>
      <c r="BJ3895" s="153"/>
      <c r="BK3895" s="153"/>
      <c r="BL3895" s="153"/>
      <c r="BM3895" s="153"/>
      <c r="BN3895" s="153"/>
      <c r="BO3895" s="153"/>
      <c r="BP3895" s="153"/>
      <c r="BQ3895" s="153"/>
      <c r="BR3895" s="153"/>
      <c r="BS3895" s="153"/>
      <c r="BT3895" s="153"/>
      <c r="BU3895" s="153"/>
      <c r="BV3895" s="153"/>
      <c r="BW3895" s="153"/>
      <c r="BX3895" s="153"/>
      <c r="BY3895" s="153"/>
      <c r="BZ3895" s="153"/>
      <c r="CA3895" s="152"/>
      <c r="CB3895" s="152"/>
    </row>
    <row r="3896" spans="1:80" s="87" customFormat="1" x14ac:dyDescent="0.2">
      <c r="A3896" s="152"/>
      <c r="B3896" s="683"/>
      <c r="C3896" s="683"/>
      <c r="D3896" s="698"/>
      <c r="E3896" s="215"/>
      <c r="F3896" s="215"/>
      <c r="G3896" s="153"/>
      <c r="H3896" s="153"/>
      <c r="I3896" s="323">
        <v>20</v>
      </c>
      <c r="J3896" s="312">
        <v>60</v>
      </c>
      <c r="K3896" s="150">
        <v>1</v>
      </c>
      <c r="L3896" s="656">
        <v>20</v>
      </c>
      <c r="M3896" s="663">
        <v>34802</v>
      </c>
      <c r="N3896" s="600">
        <v>1.7723800000000001</v>
      </c>
      <c r="O3896" s="604">
        <v>2.036E-3</v>
      </c>
      <c r="P3896" s="250"/>
      <c r="Q3896" s="250"/>
      <c r="R3896" s="250"/>
      <c r="S3896" s="250"/>
      <c r="T3896" s="250">
        <v>6.9000000000000006E-2</v>
      </c>
      <c r="U3896" s="250">
        <v>0.20800000000000002</v>
      </c>
      <c r="V3896" s="250">
        <v>0.28499999999999998</v>
      </c>
      <c r="W3896" s="250">
        <v>0.26800000000000002</v>
      </c>
      <c r="X3896" s="250">
        <v>0.14899999999999999</v>
      </c>
      <c r="Y3896" s="250">
        <v>2.1000000000000001E-2</v>
      </c>
      <c r="Z3896" s="150">
        <v>5</v>
      </c>
      <c r="AA3896" s="150">
        <v>1.1599999999999999</v>
      </c>
      <c r="AB3896" s="152"/>
      <c r="AC3896" s="152"/>
      <c r="AD3896" s="223">
        <v>8.2598090000000006</v>
      </c>
      <c r="AE3896" s="223">
        <v>0.3505085</v>
      </c>
      <c r="AF3896" s="223">
        <v>2.9075821999999998</v>
      </c>
      <c r="AG3896" s="223">
        <v>0.6156758</v>
      </c>
      <c r="AH3896" s="341"/>
      <c r="AI3896" s="218"/>
      <c r="AJ3896" s="218"/>
      <c r="AK3896" s="153"/>
      <c r="AL3896" s="152"/>
      <c r="AM3896" s="152"/>
      <c r="AN3896" s="152"/>
      <c r="AO3896" s="152"/>
      <c r="AP3896" s="152"/>
      <c r="AQ3896" s="152"/>
      <c r="AR3896" s="152"/>
      <c r="AS3896" s="152"/>
      <c r="AT3896" s="152"/>
      <c r="AU3896" s="153"/>
      <c r="AV3896" s="479"/>
      <c r="AW3896" s="479"/>
      <c r="AX3896" s="442"/>
      <c r="AY3896" s="153"/>
      <c r="AZ3896" s="152"/>
      <c r="BA3896" s="152"/>
      <c r="BB3896" s="152"/>
      <c r="BC3896" s="152"/>
      <c r="BD3896" s="152"/>
      <c r="BE3896" s="152"/>
      <c r="BF3896" s="152"/>
      <c r="BG3896" s="152"/>
      <c r="BH3896" s="152"/>
      <c r="BI3896" s="153"/>
      <c r="BJ3896" s="153"/>
      <c r="BK3896" s="153"/>
      <c r="BL3896" s="153"/>
      <c r="BM3896" s="153"/>
      <c r="BN3896" s="153"/>
      <c r="BO3896" s="153"/>
      <c r="BP3896" s="153"/>
      <c r="BQ3896" s="153"/>
      <c r="BR3896" s="153"/>
      <c r="BS3896" s="153"/>
      <c r="BT3896" s="153"/>
      <c r="BU3896" s="153"/>
      <c r="BV3896" s="153"/>
      <c r="BW3896" s="153"/>
      <c r="BX3896" s="153"/>
      <c r="BY3896" s="153"/>
      <c r="BZ3896" s="153"/>
      <c r="CA3896" s="152"/>
      <c r="CB3896" s="152"/>
    </row>
    <row r="3897" spans="1:80" s="87" customFormat="1" x14ac:dyDescent="0.2">
      <c r="A3897" s="152"/>
      <c r="B3897" s="683"/>
      <c r="C3897" s="683"/>
      <c r="D3897" s="698"/>
      <c r="E3897" s="215"/>
      <c r="F3897" s="215"/>
      <c r="G3897" s="153"/>
      <c r="H3897" s="153"/>
      <c r="I3897" s="323">
        <v>20</v>
      </c>
      <c r="J3897" s="312">
        <v>60</v>
      </c>
      <c r="K3897" s="150">
        <v>1</v>
      </c>
      <c r="L3897" s="656">
        <v>20</v>
      </c>
      <c r="M3897" s="663">
        <v>34809</v>
      </c>
      <c r="N3897" s="600">
        <v>1.46943</v>
      </c>
      <c r="O3897" s="604">
        <v>2.8549999999999999E-3</v>
      </c>
      <c r="P3897" s="250"/>
      <c r="Q3897" s="250"/>
      <c r="R3897" s="250"/>
      <c r="S3897" s="250"/>
      <c r="T3897" s="250"/>
      <c r="U3897" s="250">
        <v>7.400000000000001E-2</v>
      </c>
      <c r="V3897" s="250">
        <v>0.441</v>
      </c>
      <c r="W3897" s="250">
        <v>0.36700000000000005</v>
      </c>
      <c r="X3897" s="250">
        <v>0.109</v>
      </c>
      <c r="Y3897" s="250">
        <v>9.0000000000000011E-3</v>
      </c>
      <c r="Z3897" s="150">
        <v>4</v>
      </c>
      <c r="AA3897" s="150">
        <v>1.02</v>
      </c>
      <c r="AB3897" s="152"/>
      <c r="AC3897" s="152"/>
      <c r="AD3897" s="223">
        <v>8.1683719999999997</v>
      </c>
      <c r="AE3897" s="223">
        <v>0.33222109999999999</v>
      </c>
      <c r="AF3897" s="223">
        <v>2.7125048</v>
      </c>
      <c r="AG3897" s="223">
        <v>0.57605309999999998</v>
      </c>
      <c r="AH3897" s="341"/>
      <c r="AI3897" s="218"/>
      <c r="AJ3897" s="218"/>
      <c r="AK3897" s="153"/>
      <c r="AL3897" s="152"/>
      <c r="AM3897" s="152"/>
      <c r="AN3897" s="152"/>
      <c r="AO3897" s="152"/>
      <c r="AP3897" s="152"/>
      <c r="AQ3897" s="152"/>
      <c r="AR3897" s="152"/>
      <c r="AS3897" s="152"/>
      <c r="AT3897" s="152"/>
      <c r="AU3897" s="153"/>
      <c r="AV3897" s="479"/>
      <c r="AW3897" s="479"/>
      <c r="AX3897" s="442"/>
      <c r="AY3897" s="153"/>
      <c r="AZ3897" s="152"/>
      <c r="BA3897" s="152"/>
      <c r="BB3897" s="152"/>
      <c r="BC3897" s="152"/>
      <c r="BD3897" s="152"/>
      <c r="BE3897" s="152"/>
      <c r="BF3897" s="152"/>
      <c r="BG3897" s="152"/>
      <c r="BH3897" s="152"/>
      <c r="BI3897" s="153"/>
      <c r="BJ3897" s="153"/>
      <c r="BK3897" s="153"/>
      <c r="BL3897" s="153"/>
      <c r="BM3897" s="153"/>
      <c r="BN3897" s="153"/>
      <c r="BO3897" s="153"/>
      <c r="BP3897" s="153"/>
      <c r="BQ3897" s="153"/>
      <c r="BR3897" s="153"/>
      <c r="BS3897" s="153"/>
      <c r="BT3897" s="153"/>
      <c r="BU3897" s="153"/>
      <c r="BV3897" s="153"/>
      <c r="BW3897" s="153"/>
      <c r="BX3897" s="153"/>
      <c r="BY3897" s="153"/>
      <c r="BZ3897" s="153"/>
      <c r="CA3897" s="152"/>
      <c r="CB3897" s="152"/>
    </row>
    <row r="3898" spans="1:80" s="87" customFormat="1" x14ac:dyDescent="0.2">
      <c r="A3898" s="152"/>
      <c r="B3898" s="683"/>
      <c r="C3898" s="683"/>
      <c r="D3898" s="698"/>
      <c r="E3898" s="215"/>
      <c r="F3898" s="215"/>
      <c r="G3898" s="153"/>
      <c r="H3898" s="153"/>
      <c r="I3898" s="323">
        <v>20</v>
      </c>
      <c r="J3898" s="312">
        <v>60</v>
      </c>
      <c r="K3898" s="150">
        <v>1</v>
      </c>
      <c r="L3898" s="656">
        <v>20</v>
      </c>
      <c r="M3898" s="663">
        <v>34809</v>
      </c>
      <c r="N3898" s="600">
        <v>1.46943</v>
      </c>
      <c r="O3898" s="604">
        <v>9.6699999999999998E-4</v>
      </c>
      <c r="P3898" s="250"/>
      <c r="Q3898" s="250"/>
      <c r="R3898" s="250"/>
      <c r="S3898" s="250"/>
      <c r="T3898" s="250">
        <v>2.6000000000000002E-2</v>
      </c>
      <c r="U3898" s="250">
        <v>8.3000000000000004E-2</v>
      </c>
      <c r="V3898" s="250">
        <v>0.38600000000000001</v>
      </c>
      <c r="W3898" s="250">
        <v>0.38600000000000001</v>
      </c>
      <c r="X3898" s="250">
        <v>0.11</v>
      </c>
      <c r="Y3898" s="250">
        <v>9.0000000000000011E-3</v>
      </c>
      <c r="Z3898" s="150">
        <v>6</v>
      </c>
      <c r="AA3898" s="150">
        <v>0.99</v>
      </c>
      <c r="AB3898" s="152"/>
      <c r="AC3898" s="152"/>
      <c r="AD3898" s="223">
        <v>8.1683719999999997</v>
      </c>
      <c r="AE3898" s="223">
        <v>0.33222109999999999</v>
      </c>
      <c r="AF3898" s="223">
        <v>2.7125048</v>
      </c>
      <c r="AG3898" s="223">
        <v>0.57605309999999998</v>
      </c>
      <c r="AH3898" s="341"/>
      <c r="AI3898" s="218"/>
      <c r="AJ3898" s="218"/>
      <c r="AK3898" s="153"/>
      <c r="AL3898" s="152"/>
      <c r="AM3898" s="152"/>
      <c r="AN3898" s="152"/>
      <c r="AO3898" s="152"/>
      <c r="AP3898" s="152"/>
      <c r="AQ3898" s="152"/>
      <c r="AR3898" s="152"/>
      <c r="AS3898" s="152"/>
      <c r="AT3898" s="152"/>
      <c r="AU3898" s="153"/>
      <c r="AV3898" s="479"/>
      <c r="AW3898" s="479"/>
      <c r="AX3898" s="442"/>
      <c r="AY3898" s="153"/>
      <c r="AZ3898" s="152"/>
      <c r="BA3898" s="152"/>
      <c r="BB3898" s="152"/>
      <c r="BC3898" s="152"/>
      <c r="BD3898" s="152"/>
      <c r="BE3898" s="152"/>
      <c r="BF3898" s="152"/>
      <c r="BG3898" s="152"/>
      <c r="BH3898" s="152"/>
      <c r="BI3898" s="153"/>
      <c r="BJ3898" s="153"/>
      <c r="BK3898" s="153"/>
      <c r="BL3898" s="153"/>
      <c r="BM3898" s="153"/>
      <c r="BN3898" s="153"/>
      <c r="BO3898" s="153"/>
      <c r="BP3898" s="153"/>
      <c r="BQ3898" s="153"/>
      <c r="BR3898" s="153"/>
      <c r="BS3898" s="153"/>
      <c r="BT3898" s="153"/>
      <c r="BU3898" s="153"/>
      <c r="BV3898" s="153"/>
      <c r="BW3898" s="153"/>
      <c r="BX3898" s="153"/>
      <c r="BY3898" s="153"/>
      <c r="BZ3898" s="153"/>
      <c r="CA3898" s="152"/>
      <c r="CB3898" s="152"/>
    </row>
    <row r="3899" spans="1:80" s="87" customFormat="1" x14ac:dyDescent="0.2">
      <c r="A3899" s="152"/>
      <c r="B3899" s="683"/>
      <c r="C3899" s="683"/>
      <c r="D3899" s="698"/>
      <c r="E3899" s="215"/>
      <c r="F3899" s="215"/>
      <c r="G3899" s="153"/>
      <c r="H3899" s="153"/>
      <c r="I3899" s="323">
        <v>25</v>
      </c>
      <c r="J3899" s="312">
        <v>60</v>
      </c>
      <c r="K3899" s="150">
        <v>1</v>
      </c>
      <c r="L3899" s="656">
        <v>25</v>
      </c>
      <c r="M3899" s="663">
        <v>34814</v>
      </c>
      <c r="N3899" s="600">
        <v>1.5402100000000001</v>
      </c>
      <c r="O3899" s="604">
        <v>2.0149999999999999E-3</v>
      </c>
      <c r="P3899" s="250"/>
      <c r="Q3899" s="250"/>
      <c r="R3899" s="250"/>
      <c r="S3899" s="250"/>
      <c r="T3899" s="250">
        <v>1.3999999999999999E-2</v>
      </c>
      <c r="U3899" s="250">
        <v>4.9000000000000002E-2</v>
      </c>
      <c r="V3899" s="250">
        <v>0.29499999999999998</v>
      </c>
      <c r="W3899" s="250">
        <v>0.441</v>
      </c>
      <c r="X3899" s="250">
        <v>0.191</v>
      </c>
      <c r="Y3899" s="250">
        <v>0.01</v>
      </c>
      <c r="Z3899" s="150">
        <v>5</v>
      </c>
      <c r="AA3899" s="150">
        <v>0.8</v>
      </c>
      <c r="AB3899" s="152"/>
      <c r="AC3899" s="152"/>
      <c r="AD3899" s="223">
        <v>8.1683719999999997</v>
      </c>
      <c r="AE3899" s="223">
        <v>0.33222109999999999</v>
      </c>
      <c r="AF3899" s="223">
        <v>2.7032153999999999</v>
      </c>
      <c r="AG3899" s="223">
        <v>0.5699573</v>
      </c>
      <c r="AH3899" s="341"/>
      <c r="AI3899" s="218"/>
      <c r="AJ3899" s="218"/>
      <c r="AK3899" s="153"/>
      <c r="AL3899" s="152"/>
      <c r="AM3899" s="152"/>
      <c r="AN3899" s="152"/>
      <c r="AO3899" s="152"/>
      <c r="AP3899" s="152"/>
      <c r="AQ3899" s="152"/>
      <c r="AR3899" s="152"/>
      <c r="AS3899" s="152"/>
      <c r="AT3899" s="152"/>
      <c r="AU3899" s="153"/>
      <c r="AV3899" s="479"/>
      <c r="AW3899" s="479"/>
      <c r="AX3899" s="442"/>
      <c r="AY3899" s="153"/>
      <c r="AZ3899" s="152"/>
      <c r="BA3899" s="152"/>
      <c r="BB3899" s="152"/>
      <c r="BC3899" s="152"/>
      <c r="BD3899" s="152"/>
      <c r="BE3899" s="152"/>
      <c r="BF3899" s="152"/>
      <c r="BG3899" s="152"/>
      <c r="BH3899" s="152"/>
      <c r="BI3899" s="153"/>
      <c r="BJ3899" s="153"/>
      <c r="BK3899" s="153"/>
      <c r="BL3899" s="153"/>
      <c r="BM3899" s="153"/>
      <c r="BN3899" s="153"/>
      <c r="BO3899" s="153"/>
      <c r="BP3899" s="153"/>
      <c r="BQ3899" s="153"/>
      <c r="BR3899" s="153"/>
      <c r="BS3899" s="153"/>
      <c r="BT3899" s="153"/>
      <c r="BU3899" s="153"/>
      <c r="BV3899" s="153"/>
      <c r="BW3899" s="153"/>
      <c r="BX3899" s="153"/>
      <c r="BY3899" s="153"/>
      <c r="BZ3899" s="153"/>
      <c r="CA3899" s="152"/>
      <c r="CB3899" s="152"/>
    </row>
    <row r="3900" spans="1:80" s="87" customFormat="1" x14ac:dyDescent="0.2">
      <c r="A3900" s="152"/>
      <c r="B3900" s="683"/>
      <c r="C3900" s="683"/>
      <c r="D3900" s="698"/>
      <c r="E3900" s="215"/>
      <c r="F3900" s="215"/>
      <c r="G3900" s="153"/>
      <c r="H3900" s="153"/>
      <c r="I3900" s="323">
        <v>25</v>
      </c>
      <c r="J3900" s="312">
        <v>60</v>
      </c>
      <c r="K3900" s="150">
        <v>1</v>
      </c>
      <c r="L3900" s="656">
        <v>25</v>
      </c>
      <c r="M3900" s="663">
        <v>34814</v>
      </c>
      <c r="N3900" s="600">
        <v>1.5402100000000001</v>
      </c>
      <c r="O3900" s="604">
        <v>1.003E-3</v>
      </c>
      <c r="P3900" s="250"/>
      <c r="Q3900" s="250"/>
      <c r="R3900" s="250"/>
      <c r="S3900" s="250"/>
      <c r="T3900" s="250">
        <v>6.9999999999999993E-3</v>
      </c>
      <c r="U3900" s="250">
        <v>5.5999999999999994E-2</v>
      </c>
      <c r="V3900" s="250">
        <v>0.33100000000000002</v>
      </c>
      <c r="W3900" s="250">
        <v>0.40899999999999997</v>
      </c>
      <c r="X3900" s="250">
        <v>0.183</v>
      </c>
      <c r="Y3900" s="250">
        <v>1.3999999999999999E-2</v>
      </c>
      <c r="Z3900" s="150">
        <v>5</v>
      </c>
      <c r="AA3900" s="150">
        <v>0.84</v>
      </c>
      <c r="AB3900" s="152"/>
      <c r="AC3900" s="152"/>
      <c r="AD3900" s="223">
        <v>8.1683719999999997</v>
      </c>
      <c r="AE3900" s="223">
        <v>0.33222109999999999</v>
      </c>
      <c r="AF3900" s="223">
        <v>2.7032153999999999</v>
      </c>
      <c r="AG3900" s="223">
        <v>0.5699573</v>
      </c>
      <c r="AH3900" s="341"/>
      <c r="AI3900" s="218"/>
      <c r="AJ3900" s="218"/>
      <c r="AK3900" s="153"/>
      <c r="AL3900" s="152"/>
      <c r="AM3900" s="152"/>
      <c r="AN3900" s="152"/>
      <c r="AO3900" s="152"/>
      <c r="AP3900" s="152"/>
      <c r="AQ3900" s="152"/>
      <c r="AR3900" s="152"/>
      <c r="AS3900" s="152"/>
      <c r="AT3900" s="152"/>
      <c r="AU3900" s="153"/>
      <c r="AV3900" s="479"/>
      <c r="AW3900" s="479"/>
      <c r="AX3900" s="442"/>
      <c r="AY3900" s="153"/>
      <c r="AZ3900" s="152"/>
      <c r="BA3900" s="152"/>
      <c r="BB3900" s="152"/>
      <c r="BC3900" s="152"/>
      <c r="BD3900" s="152"/>
      <c r="BE3900" s="152"/>
      <c r="BF3900" s="152"/>
      <c r="BG3900" s="152"/>
      <c r="BH3900" s="152"/>
      <c r="BI3900" s="153"/>
      <c r="BJ3900" s="153"/>
      <c r="BK3900" s="153"/>
      <c r="BL3900" s="153"/>
      <c r="BM3900" s="153"/>
      <c r="BN3900" s="153"/>
      <c r="BO3900" s="153"/>
      <c r="BP3900" s="153"/>
      <c r="BQ3900" s="153"/>
      <c r="BR3900" s="153"/>
      <c r="BS3900" s="153"/>
      <c r="BT3900" s="153"/>
      <c r="BU3900" s="153"/>
      <c r="BV3900" s="153"/>
      <c r="BW3900" s="153"/>
      <c r="BX3900" s="153"/>
      <c r="BY3900" s="153"/>
      <c r="BZ3900" s="153"/>
      <c r="CA3900" s="152"/>
      <c r="CB3900" s="152"/>
    </row>
    <row r="3901" spans="1:80" s="87" customFormat="1" x14ac:dyDescent="0.2">
      <c r="A3901" s="152"/>
      <c r="B3901" s="683"/>
      <c r="C3901" s="683"/>
      <c r="D3901" s="698"/>
      <c r="E3901" s="215"/>
      <c r="F3901" s="215"/>
      <c r="G3901" s="153"/>
      <c r="H3901" s="153"/>
      <c r="I3901" s="323">
        <v>19</v>
      </c>
      <c r="J3901" s="312">
        <v>60</v>
      </c>
      <c r="K3901" s="150">
        <v>1</v>
      </c>
      <c r="L3901" s="656">
        <v>19</v>
      </c>
      <c r="M3901" s="663">
        <v>34822</v>
      </c>
      <c r="N3901" s="600">
        <v>3.5674000000000001</v>
      </c>
      <c r="O3901" s="604">
        <v>1.5429E-2</v>
      </c>
      <c r="P3901" s="250"/>
      <c r="Q3901" s="250"/>
      <c r="R3901" s="250"/>
      <c r="S3901" s="250"/>
      <c r="T3901" s="250">
        <v>2.8999999999999998E-2</v>
      </c>
      <c r="U3901" s="250">
        <v>0.14599999999999999</v>
      </c>
      <c r="V3901" s="250">
        <v>0.35299999999999998</v>
      </c>
      <c r="W3901" s="250">
        <v>0.30099999999999999</v>
      </c>
      <c r="X3901" s="250">
        <v>0.16</v>
      </c>
      <c r="Y3901" s="250">
        <v>1.1000000000000001E-2</v>
      </c>
      <c r="Z3901" s="150">
        <v>8</v>
      </c>
      <c r="AA3901" s="150">
        <v>1.06</v>
      </c>
      <c r="AB3901" s="152"/>
      <c r="AC3901" s="152"/>
      <c r="AD3901" s="223">
        <v>8.6255570000000006</v>
      </c>
      <c r="AE3901" s="223">
        <v>0.44804129999999998</v>
      </c>
      <c r="AF3901" s="223">
        <v>3.8736798000000001</v>
      </c>
      <c r="AG3901" s="223">
        <v>0.89913050000000005</v>
      </c>
      <c r="AH3901" s="341"/>
      <c r="AI3901" s="218"/>
      <c r="AJ3901" s="218"/>
      <c r="AK3901" s="153"/>
      <c r="AL3901" s="152"/>
      <c r="AM3901" s="152"/>
      <c r="AN3901" s="152"/>
      <c r="AO3901" s="152"/>
      <c r="AP3901" s="152"/>
      <c r="AQ3901" s="152"/>
      <c r="AR3901" s="152"/>
      <c r="AS3901" s="152"/>
      <c r="AT3901" s="152"/>
      <c r="AU3901" s="153"/>
      <c r="AV3901" s="479"/>
      <c r="AW3901" s="479"/>
      <c r="AX3901" s="442"/>
      <c r="AY3901" s="153"/>
      <c r="AZ3901" s="152"/>
      <c r="BA3901" s="152"/>
      <c r="BB3901" s="152"/>
      <c r="BC3901" s="152"/>
      <c r="BD3901" s="152"/>
      <c r="BE3901" s="152"/>
      <c r="BF3901" s="152"/>
      <c r="BG3901" s="152"/>
      <c r="BH3901" s="152"/>
      <c r="BI3901" s="153"/>
      <c r="BJ3901" s="153"/>
      <c r="BK3901" s="153"/>
      <c r="BL3901" s="153"/>
      <c r="BM3901" s="153"/>
      <c r="BN3901" s="153"/>
      <c r="BO3901" s="153"/>
      <c r="BP3901" s="153"/>
      <c r="BQ3901" s="153"/>
      <c r="BR3901" s="153"/>
      <c r="BS3901" s="153"/>
      <c r="BT3901" s="153"/>
      <c r="BU3901" s="153"/>
      <c r="BV3901" s="153"/>
      <c r="BW3901" s="153"/>
      <c r="BX3901" s="153"/>
      <c r="BY3901" s="153"/>
      <c r="BZ3901" s="153"/>
      <c r="CA3901" s="152"/>
      <c r="CB3901" s="152"/>
    </row>
    <row r="3902" spans="1:80" s="87" customFormat="1" x14ac:dyDescent="0.2">
      <c r="A3902" s="152"/>
      <c r="B3902" s="683"/>
      <c r="C3902" s="683"/>
      <c r="D3902" s="698"/>
      <c r="E3902" s="215"/>
      <c r="F3902" s="215"/>
      <c r="G3902" s="153"/>
      <c r="H3902" s="153"/>
      <c r="I3902" s="323">
        <v>19</v>
      </c>
      <c r="J3902" s="312">
        <v>60</v>
      </c>
      <c r="K3902" s="150">
        <v>1</v>
      </c>
      <c r="L3902" s="656">
        <v>19</v>
      </c>
      <c r="M3902" s="663">
        <v>34822</v>
      </c>
      <c r="N3902" s="600">
        <v>3.5674000000000001</v>
      </c>
      <c r="O3902" s="604">
        <v>1.6372999999999999E-2</v>
      </c>
      <c r="P3902" s="250"/>
      <c r="Q3902" s="250"/>
      <c r="R3902" s="250"/>
      <c r="S3902" s="250"/>
      <c r="T3902" s="250">
        <v>2.8999999999999998E-2</v>
      </c>
      <c r="U3902" s="250">
        <v>0.153</v>
      </c>
      <c r="V3902" s="250">
        <v>0.379</v>
      </c>
      <c r="W3902" s="250">
        <v>0.30599999999999999</v>
      </c>
      <c r="X3902" s="250">
        <v>0.122</v>
      </c>
      <c r="Y3902" s="250">
        <v>1.1000000000000001E-2</v>
      </c>
      <c r="Z3902" s="150">
        <v>7</v>
      </c>
      <c r="AA3902" s="150">
        <v>1.1200000000000001</v>
      </c>
      <c r="AB3902" s="152"/>
      <c r="AC3902" s="152"/>
      <c r="AD3902" s="223">
        <v>8.6255570000000006</v>
      </c>
      <c r="AE3902" s="223">
        <v>0.44804129999999998</v>
      </c>
      <c r="AF3902" s="223">
        <v>3.8736798000000001</v>
      </c>
      <c r="AG3902" s="223">
        <v>0.89913050000000005</v>
      </c>
      <c r="AH3902" s="341"/>
      <c r="AI3902" s="218"/>
      <c r="AJ3902" s="218"/>
      <c r="AK3902" s="153"/>
      <c r="AL3902" s="152"/>
      <c r="AM3902" s="152"/>
      <c r="AN3902" s="152"/>
      <c r="AO3902" s="152"/>
      <c r="AP3902" s="152"/>
      <c r="AQ3902" s="152"/>
      <c r="AR3902" s="152"/>
      <c r="AS3902" s="152"/>
      <c r="AT3902" s="152"/>
      <c r="AU3902" s="153"/>
      <c r="AV3902" s="479"/>
      <c r="AW3902" s="479"/>
      <c r="AX3902" s="442"/>
      <c r="AY3902" s="153"/>
      <c r="AZ3902" s="152"/>
      <c r="BA3902" s="152"/>
      <c r="BB3902" s="152"/>
      <c r="BC3902" s="152"/>
      <c r="BD3902" s="152"/>
      <c r="BE3902" s="152"/>
      <c r="BF3902" s="152"/>
      <c r="BG3902" s="152"/>
      <c r="BH3902" s="152"/>
      <c r="BI3902" s="153"/>
      <c r="BJ3902" s="153"/>
      <c r="BK3902" s="153"/>
      <c r="BL3902" s="153"/>
      <c r="BM3902" s="153"/>
      <c r="BN3902" s="153"/>
      <c r="BO3902" s="153"/>
      <c r="BP3902" s="153"/>
      <c r="BQ3902" s="153"/>
      <c r="BR3902" s="153"/>
      <c r="BS3902" s="153"/>
      <c r="BT3902" s="153"/>
      <c r="BU3902" s="153"/>
      <c r="BV3902" s="153"/>
      <c r="BW3902" s="153"/>
      <c r="BX3902" s="153"/>
      <c r="BY3902" s="153"/>
      <c r="BZ3902" s="153"/>
      <c r="CA3902" s="152"/>
      <c r="CB3902" s="152"/>
    </row>
    <row r="3903" spans="1:80" s="87" customFormat="1" x14ac:dyDescent="0.2">
      <c r="A3903" s="152"/>
      <c r="B3903" s="683"/>
      <c r="C3903" s="683"/>
      <c r="D3903" s="698"/>
      <c r="E3903" s="215"/>
      <c r="F3903" s="215"/>
      <c r="G3903" s="153"/>
      <c r="H3903" s="153"/>
      <c r="I3903" s="323">
        <v>26</v>
      </c>
      <c r="J3903" s="312">
        <v>60</v>
      </c>
      <c r="K3903" s="150">
        <v>1</v>
      </c>
      <c r="L3903" s="656">
        <v>26</v>
      </c>
      <c r="M3903" s="663">
        <v>34829</v>
      </c>
      <c r="N3903" s="600">
        <v>6.5119199999999999</v>
      </c>
      <c r="O3903" s="604">
        <v>5.6470000000000001E-3</v>
      </c>
      <c r="P3903" s="250"/>
      <c r="Q3903" s="250"/>
      <c r="R3903" s="250"/>
      <c r="S3903" s="250">
        <v>1.3999999999999999E-2</v>
      </c>
      <c r="T3903" s="250">
        <v>4.2000000000000003E-2</v>
      </c>
      <c r="U3903" s="250">
        <v>0.122</v>
      </c>
      <c r="V3903" s="250">
        <v>0.36099999999999999</v>
      </c>
      <c r="W3903" s="250">
        <v>0.31900000000000001</v>
      </c>
      <c r="X3903" s="250">
        <v>0.13500000000000001</v>
      </c>
      <c r="Y3903" s="250">
        <v>6.9999999999999993E-3</v>
      </c>
      <c r="Z3903" s="150">
        <v>8</v>
      </c>
      <c r="AA3903" s="150">
        <v>1.08</v>
      </c>
      <c r="AB3903" s="152"/>
      <c r="AC3903" s="152"/>
      <c r="AD3903" s="223">
        <v>10.515255</v>
      </c>
      <c r="AE3903" s="223">
        <v>0.55166990000000005</v>
      </c>
      <c r="AF3903" s="223">
        <v>5.7965856000000002</v>
      </c>
      <c r="AG3903" s="223">
        <v>1.1856331</v>
      </c>
      <c r="AH3903" s="341"/>
      <c r="AI3903" s="218"/>
      <c r="AJ3903" s="218"/>
      <c r="AK3903" s="153"/>
      <c r="AL3903" s="152"/>
      <c r="AM3903" s="152"/>
      <c r="AN3903" s="152"/>
      <c r="AO3903" s="152"/>
      <c r="AP3903" s="152"/>
      <c r="AQ3903" s="152"/>
      <c r="AR3903" s="152"/>
      <c r="AS3903" s="152"/>
      <c r="AT3903" s="152"/>
      <c r="AU3903" s="153"/>
      <c r="AV3903" s="479"/>
      <c r="AW3903" s="479"/>
      <c r="AX3903" s="442"/>
      <c r="AY3903" s="153"/>
      <c r="AZ3903" s="152"/>
      <c r="BA3903" s="152"/>
      <c r="BB3903" s="152"/>
      <c r="BC3903" s="152"/>
      <c r="BD3903" s="152"/>
      <c r="BE3903" s="152"/>
      <c r="BF3903" s="152"/>
      <c r="BG3903" s="152"/>
      <c r="BH3903" s="152"/>
      <c r="BI3903" s="153"/>
      <c r="BJ3903" s="153"/>
      <c r="BK3903" s="153"/>
      <c r="BL3903" s="153"/>
      <c r="BM3903" s="153"/>
      <c r="BN3903" s="153"/>
      <c r="BO3903" s="153"/>
      <c r="BP3903" s="153"/>
      <c r="BQ3903" s="153"/>
      <c r="BR3903" s="153"/>
      <c r="BS3903" s="153"/>
      <c r="BT3903" s="153"/>
      <c r="BU3903" s="153"/>
      <c r="BV3903" s="153"/>
      <c r="BW3903" s="153"/>
      <c r="BX3903" s="153"/>
      <c r="BY3903" s="153"/>
      <c r="BZ3903" s="153"/>
      <c r="CA3903" s="152"/>
      <c r="CB3903" s="152"/>
    </row>
    <row r="3904" spans="1:80" s="87" customFormat="1" x14ac:dyDescent="0.2">
      <c r="A3904" s="152"/>
      <c r="B3904" s="683"/>
      <c r="C3904" s="683"/>
      <c r="D3904" s="698"/>
      <c r="E3904" s="215"/>
      <c r="F3904" s="215"/>
      <c r="G3904" s="153"/>
      <c r="H3904" s="153"/>
      <c r="I3904" s="323">
        <v>26</v>
      </c>
      <c r="J3904" s="312">
        <v>60</v>
      </c>
      <c r="K3904" s="150">
        <v>1</v>
      </c>
      <c r="L3904" s="656">
        <v>26</v>
      </c>
      <c r="M3904" s="663">
        <v>34829</v>
      </c>
      <c r="N3904" s="600">
        <v>6.5119199999999999</v>
      </c>
      <c r="O3904" s="604">
        <v>4.7229999999999998E-3</v>
      </c>
      <c r="P3904" s="250"/>
      <c r="Q3904" s="250"/>
      <c r="R3904" s="250"/>
      <c r="S3904" s="250"/>
      <c r="T3904" s="250">
        <v>3.2000000000000001E-2</v>
      </c>
      <c r="U3904" s="250">
        <v>7.4999999999999997E-2</v>
      </c>
      <c r="V3904" s="250">
        <v>0.33200000000000002</v>
      </c>
      <c r="W3904" s="250">
        <v>0.40600000000000003</v>
      </c>
      <c r="X3904" s="250">
        <v>0.14599999999999999</v>
      </c>
      <c r="Y3904" s="250">
        <v>9.0000000000000011E-3</v>
      </c>
      <c r="Z3904" s="150">
        <v>7</v>
      </c>
      <c r="AA3904" s="150">
        <v>0.9</v>
      </c>
      <c r="AB3904" s="152"/>
      <c r="AC3904" s="152"/>
      <c r="AD3904" s="223">
        <v>10.515255</v>
      </c>
      <c r="AE3904" s="223">
        <v>0.55166990000000005</v>
      </c>
      <c r="AF3904" s="223">
        <v>5.7965856000000002</v>
      </c>
      <c r="AG3904" s="223">
        <v>1.1856331</v>
      </c>
      <c r="AH3904" s="341"/>
      <c r="AI3904" s="218"/>
      <c r="AJ3904" s="218"/>
      <c r="AK3904" s="153"/>
      <c r="AL3904" s="152"/>
      <c r="AM3904" s="152"/>
      <c r="AN3904" s="152"/>
      <c r="AO3904" s="152"/>
      <c r="AP3904" s="152"/>
      <c r="AQ3904" s="152"/>
      <c r="AR3904" s="152"/>
      <c r="AS3904" s="152"/>
      <c r="AT3904" s="152"/>
      <c r="AU3904" s="153"/>
      <c r="AV3904" s="479"/>
      <c r="AW3904" s="479"/>
      <c r="AX3904" s="442"/>
      <c r="AY3904" s="153"/>
      <c r="AZ3904" s="152"/>
      <c r="BA3904" s="152"/>
      <c r="BB3904" s="152"/>
      <c r="BC3904" s="152"/>
      <c r="BD3904" s="152"/>
      <c r="BE3904" s="152"/>
      <c r="BF3904" s="152"/>
      <c r="BG3904" s="152"/>
      <c r="BH3904" s="152"/>
      <c r="BI3904" s="153"/>
      <c r="BJ3904" s="153"/>
      <c r="BK3904" s="153"/>
      <c r="BL3904" s="153"/>
      <c r="BM3904" s="153"/>
      <c r="BN3904" s="153"/>
      <c r="BO3904" s="153"/>
      <c r="BP3904" s="153"/>
      <c r="BQ3904" s="153"/>
      <c r="BR3904" s="153"/>
      <c r="BS3904" s="153"/>
      <c r="BT3904" s="153"/>
      <c r="BU3904" s="153"/>
      <c r="BV3904" s="153"/>
      <c r="BW3904" s="153"/>
      <c r="BX3904" s="153"/>
      <c r="BY3904" s="153"/>
      <c r="BZ3904" s="153"/>
      <c r="CA3904" s="152"/>
      <c r="CB3904" s="152"/>
    </row>
    <row r="3905" spans="1:80" s="87" customFormat="1" x14ac:dyDescent="0.2">
      <c r="A3905" s="152"/>
      <c r="B3905" s="683"/>
      <c r="C3905" s="683"/>
      <c r="D3905" s="698"/>
      <c r="E3905" s="215"/>
      <c r="F3905" s="215"/>
      <c r="G3905" s="153"/>
      <c r="H3905" s="153"/>
      <c r="I3905" s="323">
        <v>24</v>
      </c>
      <c r="J3905" s="312">
        <v>60</v>
      </c>
      <c r="K3905" s="150">
        <v>1</v>
      </c>
      <c r="L3905" s="656">
        <v>24</v>
      </c>
      <c r="M3905" s="663">
        <v>34831</v>
      </c>
      <c r="N3905" s="600">
        <v>6.4269800000000004</v>
      </c>
      <c r="O3905" s="604">
        <v>1.0191E-2</v>
      </c>
      <c r="P3905" s="250"/>
      <c r="Q3905" s="250"/>
      <c r="R3905" s="250">
        <v>9.6999999999999989E-2</v>
      </c>
      <c r="S3905" s="250">
        <v>7.4999999999999997E-2</v>
      </c>
      <c r="T3905" s="250">
        <v>0.13</v>
      </c>
      <c r="U3905" s="250">
        <v>0.192</v>
      </c>
      <c r="V3905" s="250">
        <v>0.27500000000000002</v>
      </c>
      <c r="W3905" s="250">
        <v>0.16699999999999998</v>
      </c>
      <c r="X3905" s="250">
        <v>0.06</v>
      </c>
      <c r="Y3905" s="250">
        <v>4.0000000000000001E-3</v>
      </c>
      <c r="Z3905" s="150">
        <v>22</v>
      </c>
      <c r="AA3905" s="150">
        <v>1.97</v>
      </c>
      <c r="AB3905" s="152"/>
      <c r="AC3905" s="152"/>
      <c r="AD3905" s="223">
        <v>10.515255</v>
      </c>
      <c r="AE3905" s="223">
        <v>0.54557409999999995</v>
      </c>
      <c r="AF3905" s="223">
        <v>5.7222704000000002</v>
      </c>
      <c r="AG3905" s="223">
        <v>1.1521062</v>
      </c>
      <c r="AH3905" s="341"/>
      <c r="AI3905" s="218"/>
      <c r="AJ3905" s="218"/>
      <c r="AK3905" s="153"/>
      <c r="AL3905" s="152"/>
      <c r="AM3905" s="152"/>
      <c r="AN3905" s="152"/>
      <c r="AO3905" s="152"/>
      <c r="AP3905" s="152"/>
      <c r="AQ3905" s="152"/>
      <c r="AR3905" s="152"/>
      <c r="AS3905" s="152"/>
      <c r="AT3905" s="152"/>
      <c r="AU3905" s="153"/>
      <c r="AV3905" s="479"/>
      <c r="AW3905" s="479"/>
      <c r="AX3905" s="442"/>
      <c r="AY3905" s="153"/>
      <c r="AZ3905" s="152"/>
      <c r="BA3905" s="152"/>
      <c r="BB3905" s="152"/>
      <c r="BC3905" s="152"/>
      <c r="BD3905" s="152"/>
      <c r="BE3905" s="152"/>
      <c r="BF3905" s="152"/>
      <c r="BG3905" s="152"/>
      <c r="BH3905" s="152"/>
      <c r="BI3905" s="153"/>
      <c r="BJ3905" s="153"/>
      <c r="BK3905" s="153"/>
      <c r="BL3905" s="153"/>
      <c r="BM3905" s="153"/>
      <c r="BN3905" s="153"/>
      <c r="BO3905" s="153"/>
      <c r="BP3905" s="153"/>
      <c r="BQ3905" s="153"/>
      <c r="BR3905" s="153"/>
      <c r="BS3905" s="153"/>
      <c r="BT3905" s="153"/>
      <c r="BU3905" s="153"/>
      <c r="BV3905" s="153"/>
      <c r="BW3905" s="153"/>
      <c r="BX3905" s="153"/>
      <c r="BY3905" s="153"/>
      <c r="BZ3905" s="153"/>
      <c r="CA3905" s="152"/>
      <c r="CB3905" s="152"/>
    </row>
    <row r="3906" spans="1:80" s="87" customFormat="1" x14ac:dyDescent="0.2">
      <c r="A3906" s="152"/>
      <c r="B3906" s="683"/>
      <c r="C3906" s="683"/>
      <c r="D3906" s="698"/>
      <c r="E3906" s="215"/>
      <c r="F3906" s="215"/>
      <c r="G3906" s="153"/>
      <c r="H3906" s="153"/>
      <c r="I3906" s="323">
        <v>24</v>
      </c>
      <c r="J3906" s="312">
        <v>60</v>
      </c>
      <c r="K3906" s="150">
        <v>1</v>
      </c>
      <c r="L3906" s="656">
        <v>24</v>
      </c>
      <c r="M3906" s="663">
        <v>34831</v>
      </c>
      <c r="N3906" s="600">
        <v>6.4269800000000004</v>
      </c>
      <c r="O3906" s="604">
        <v>1.2489999999999999E-2</v>
      </c>
      <c r="P3906" s="250"/>
      <c r="Q3906" s="250"/>
      <c r="R3906" s="250"/>
      <c r="S3906" s="250">
        <v>4.4000000000000004E-2</v>
      </c>
      <c r="T3906" s="250">
        <v>0.16899999999999998</v>
      </c>
      <c r="U3906" s="250">
        <v>0.21899999999999997</v>
      </c>
      <c r="V3906" s="250">
        <v>0.29100000000000004</v>
      </c>
      <c r="W3906" s="250">
        <v>0.20600000000000002</v>
      </c>
      <c r="X3906" s="250">
        <v>6.7000000000000004E-2</v>
      </c>
      <c r="Y3906" s="250">
        <v>4.0000000000000001E-3</v>
      </c>
      <c r="Z3906" s="150">
        <v>14</v>
      </c>
      <c r="AA3906" s="150">
        <v>1.7</v>
      </c>
      <c r="AB3906" s="152"/>
      <c r="AC3906" s="152"/>
      <c r="AD3906" s="223">
        <v>10.515255</v>
      </c>
      <c r="AE3906" s="223">
        <v>0.54557409999999995</v>
      </c>
      <c r="AF3906" s="223">
        <v>5.7222704000000002</v>
      </c>
      <c r="AG3906" s="223">
        <v>1.1521062</v>
      </c>
      <c r="AH3906" s="341"/>
      <c r="AI3906" s="218"/>
      <c r="AJ3906" s="218"/>
      <c r="AK3906" s="153"/>
      <c r="AL3906" s="152"/>
      <c r="AM3906" s="152"/>
      <c r="AN3906" s="152"/>
      <c r="AO3906" s="152"/>
      <c r="AP3906" s="152"/>
      <c r="AQ3906" s="152"/>
      <c r="AR3906" s="152"/>
      <c r="AS3906" s="152"/>
      <c r="AT3906" s="152"/>
      <c r="AU3906" s="153"/>
      <c r="AV3906" s="479"/>
      <c r="AW3906" s="479"/>
      <c r="AX3906" s="442"/>
      <c r="AY3906" s="153"/>
      <c r="AZ3906" s="152"/>
      <c r="BA3906" s="152"/>
      <c r="BB3906" s="152"/>
      <c r="BC3906" s="152"/>
      <c r="BD3906" s="152"/>
      <c r="BE3906" s="152"/>
      <c r="BF3906" s="152"/>
      <c r="BG3906" s="152"/>
      <c r="BH3906" s="152"/>
      <c r="BI3906" s="153"/>
      <c r="BJ3906" s="153"/>
      <c r="BK3906" s="153"/>
      <c r="BL3906" s="153"/>
      <c r="BM3906" s="153"/>
      <c r="BN3906" s="153"/>
      <c r="BO3906" s="153"/>
      <c r="BP3906" s="153"/>
      <c r="BQ3906" s="153"/>
      <c r="BR3906" s="153"/>
      <c r="BS3906" s="153"/>
      <c r="BT3906" s="153"/>
      <c r="BU3906" s="153"/>
      <c r="BV3906" s="153"/>
      <c r="BW3906" s="153"/>
      <c r="BX3906" s="153"/>
      <c r="BY3906" s="153"/>
      <c r="BZ3906" s="153"/>
      <c r="CA3906" s="152"/>
      <c r="CB3906" s="152"/>
    </row>
    <row r="3907" spans="1:80" s="87" customFormat="1" x14ac:dyDescent="0.2">
      <c r="A3907" s="152"/>
      <c r="B3907" s="683"/>
      <c r="C3907" s="683"/>
      <c r="D3907" s="698"/>
      <c r="E3907" s="215"/>
      <c r="F3907" s="215"/>
      <c r="G3907" s="153"/>
      <c r="H3907" s="153"/>
      <c r="I3907" s="323">
        <v>20</v>
      </c>
      <c r="J3907" s="312">
        <v>60</v>
      </c>
      <c r="K3907" s="150">
        <v>1</v>
      </c>
      <c r="L3907" s="656">
        <v>20</v>
      </c>
      <c r="M3907" s="663">
        <v>34835</v>
      </c>
      <c r="N3907" s="600">
        <v>4.8131599999999999</v>
      </c>
      <c r="O3907" s="604">
        <v>4.2820000000000002E-3</v>
      </c>
      <c r="P3907" s="250"/>
      <c r="Q3907" s="250"/>
      <c r="R3907" s="250"/>
      <c r="S3907" s="250"/>
      <c r="T3907" s="250">
        <v>5.5E-2</v>
      </c>
      <c r="U3907" s="250">
        <v>0.14300000000000002</v>
      </c>
      <c r="V3907" s="250">
        <v>0.36200000000000004</v>
      </c>
      <c r="W3907" s="250">
        <v>0.30199999999999999</v>
      </c>
      <c r="X3907" s="250">
        <v>0.13400000000000001</v>
      </c>
      <c r="Y3907" s="250">
        <v>4.0000000000000001E-3</v>
      </c>
      <c r="Z3907" s="150">
        <v>8</v>
      </c>
      <c r="AA3907" s="150">
        <v>1.1200000000000001</v>
      </c>
      <c r="AB3907" s="152"/>
      <c r="AC3907" s="152"/>
      <c r="AD3907" s="223"/>
      <c r="AE3907" s="223"/>
      <c r="AF3907" s="223"/>
      <c r="AG3907" s="223"/>
      <c r="AH3907" s="341"/>
      <c r="AI3907" s="218"/>
      <c r="AJ3907" s="218"/>
      <c r="AK3907" s="153"/>
      <c r="AL3907" s="152"/>
      <c r="AM3907" s="152"/>
      <c r="AN3907" s="152"/>
      <c r="AO3907" s="152"/>
      <c r="AP3907" s="152"/>
      <c r="AQ3907" s="152"/>
      <c r="AR3907" s="152"/>
      <c r="AS3907" s="152"/>
      <c r="AT3907" s="152"/>
      <c r="AU3907" s="153"/>
      <c r="AV3907" s="479"/>
      <c r="AW3907" s="479"/>
      <c r="AX3907" s="442"/>
      <c r="AY3907" s="153"/>
      <c r="AZ3907" s="152"/>
      <c r="BA3907" s="152"/>
      <c r="BB3907" s="152"/>
      <c r="BC3907" s="152"/>
      <c r="BD3907" s="152"/>
      <c r="BE3907" s="152"/>
      <c r="BF3907" s="152"/>
      <c r="BG3907" s="152"/>
      <c r="BH3907" s="152"/>
      <c r="BI3907" s="153"/>
      <c r="BJ3907" s="153"/>
      <c r="BK3907" s="153"/>
      <c r="BL3907" s="153"/>
      <c r="BM3907" s="153"/>
      <c r="BN3907" s="153"/>
      <c r="BO3907" s="153"/>
      <c r="BP3907" s="153"/>
      <c r="BQ3907" s="153"/>
      <c r="BR3907" s="153"/>
      <c r="BS3907" s="153"/>
      <c r="BT3907" s="153"/>
      <c r="BU3907" s="153"/>
      <c r="BV3907" s="153"/>
      <c r="BW3907" s="153"/>
      <c r="BX3907" s="153"/>
      <c r="BY3907" s="153"/>
      <c r="BZ3907" s="153"/>
      <c r="CA3907" s="152"/>
      <c r="CB3907" s="152"/>
    </row>
    <row r="3908" spans="1:80" s="87" customFormat="1" x14ac:dyDescent="0.2">
      <c r="A3908" s="152"/>
      <c r="B3908" s="683"/>
      <c r="C3908" s="683"/>
      <c r="D3908" s="698"/>
      <c r="E3908" s="215"/>
      <c r="F3908" s="215"/>
      <c r="G3908" s="153"/>
      <c r="H3908" s="153"/>
      <c r="I3908" s="323">
        <v>20</v>
      </c>
      <c r="J3908" s="312">
        <v>60</v>
      </c>
      <c r="K3908" s="150">
        <v>1</v>
      </c>
      <c r="L3908" s="656">
        <v>20</v>
      </c>
      <c r="M3908" s="663">
        <v>34835</v>
      </c>
      <c r="N3908" s="600">
        <v>4.8131599999999999</v>
      </c>
      <c r="O3908" s="604">
        <v>6.8329999999999997E-3</v>
      </c>
      <c r="P3908" s="250"/>
      <c r="Q3908" s="250"/>
      <c r="R3908" s="250"/>
      <c r="S3908" s="250">
        <v>7.400000000000001E-2</v>
      </c>
      <c r="T3908" s="250">
        <v>8.4000000000000005E-2</v>
      </c>
      <c r="U3908" s="250">
        <v>0.14499999999999999</v>
      </c>
      <c r="V3908" s="250">
        <v>0.314</v>
      </c>
      <c r="W3908" s="250">
        <v>0.28100000000000003</v>
      </c>
      <c r="X3908" s="250">
        <v>9.5000000000000001E-2</v>
      </c>
      <c r="Y3908" s="250">
        <v>6.9999999999999993E-3</v>
      </c>
      <c r="Z3908" s="150">
        <v>13</v>
      </c>
      <c r="AA3908" s="150">
        <v>1.29</v>
      </c>
      <c r="AB3908" s="152"/>
      <c r="AC3908" s="152"/>
      <c r="AD3908" s="223"/>
      <c r="AE3908" s="223"/>
      <c r="AF3908" s="223"/>
      <c r="AG3908" s="223"/>
      <c r="AH3908" s="341"/>
      <c r="AI3908" s="218"/>
      <c r="AJ3908" s="218"/>
      <c r="AK3908" s="153"/>
      <c r="AL3908" s="152"/>
      <c r="AM3908" s="152"/>
      <c r="AN3908" s="152"/>
      <c r="AO3908" s="152"/>
      <c r="AP3908" s="152"/>
      <c r="AQ3908" s="152"/>
      <c r="AR3908" s="152"/>
      <c r="AS3908" s="152"/>
      <c r="AT3908" s="152"/>
      <c r="AU3908" s="153"/>
      <c r="AV3908" s="479"/>
      <c r="AW3908" s="479"/>
      <c r="AX3908" s="442"/>
      <c r="AY3908" s="153"/>
      <c r="AZ3908" s="152"/>
      <c r="BA3908" s="152"/>
      <c r="BB3908" s="152"/>
      <c r="BC3908" s="152"/>
      <c r="BD3908" s="152"/>
      <c r="BE3908" s="152"/>
      <c r="BF3908" s="152"/>
      <c r="BG3908" s="152"/>
      <c r="BH3908" s="152"/>
      <c r="BI3908" s="153"/>
      <c r="BJ3908" s="153"/>
      <c r="BK3908" s="153"/>
      <c r="BL3908" s="153"/>
      <c r="BM3908" s="153"/>
      <c r="BN3908" s="153"/>
      <c r="BO3908" s="153"/>
      <c r="BP3908" s="153"/>
      <c r="BQ3908" s="153"/>
      <c r="BR3908" s="153"/>
      <c r="BS3908" s="153"/>
      <c r="BT3908" s="153"/>
      <c r="BU3908" s="153"/>
      <c r="BV3908" s="153"/>
      <c r="BW3908" s="153"/>
      <c r="BX3908" s="153"/>
      <c r="BY3908" s="153"/>
      <c r="BZ3908" s="153"/>
      <c r="CA3908" s="152"/>
      <c r="CB3908" s="152"/>
    </row>
    <row r="3909" spans="1:80" s="87" customFormat="1" x14ac:dyDescent="0.2">
      <c r="A3909" s="152"/>
      <c r="B3909" s="683"/>
      <c r="C3909" s="683"/>
      <c r="D3909" s="698"/>
      <c r="E3909" s="215"/>
      <c r="F3909" s="215"/>
      <c r="G3909" s="153"/>
      <c r="H3909" s="153"/>
      <c r="I3909" s="323">
        <v>17</v>
      </c>
      <c r="J3909" s="312">
        <v>60</v>
      </c>
      <c r="K3909" s="150">
        <v>1</v>
      </c>
      <c r="L3909" s="656">
        <v>17</v>
      </c>
      <c r="M3909" s="663">
        <v>34837</v>
      </c>
      <c r="N3909" s="600">
        <v>5.2661600000000002</v>
      </c>
      <c r="O3909" s="604">
        <v>8.1969999999999994E-3</v>
      </c>
      <c r="P3909" s="250"/>
      <c r="Q3909" s="250"/>
      <c r="R3909" s="250"/>
      <c r="S3909" s="250">
        <v>6.0999999999999999E-2</v>
      </c>
      <c r="T3909" s="250">
        <v>7.5999999999999998E-2</v>
      </c>
      <c r="U3909" s="250">
        <v>0.15</v>
      </c>
      <c r="V3909" s="250">
        <v>0.32799999999999996</v>
      </c>
      <c r="W3909" s="250">
        <v>0.27200000000000002</v>
      </c>
      <c r="X3909" s="250">
        <v>0.107</v>
      </c>
      <c r="Y3909" s="250">
        <v>6.0000000000000001E-3</v>
      </c>
      <c r="Z3909" s="150">
        <v>11</v>
      </c>
      <c r="AA3909" s="150">
        <v>1.28</v>
      </c>
      <c r="AB3909" s="152"/>
      <c r="AC3909" s="152"/>
      <c r="AD3909" s="223">
        <v>8.8389100000000003</v>
      </c>
      <c r="AE3909" s="223">
        <v>0.50290349999999995</v>
      </c>
      <c r="AF3909" s="223">
        <v>4.4403332000000004</v>
      </c>
      <c r="AG3909" s="223">
        <v>1.0271423</v>
      </c>
      <c r="AH3909" s="341"/>
      <c r="AI3909" s="218"/>
      <c r="AJ3909" s="218"/>
      <c r="AK3909" s="153"/>
      <c r="AL3909" s="152"/>
      <c r="AM3909" s="152"/>
      <c r="AN3909" s="152"/>
      <c r="AO3909" s="152"/>
      <c r="AP3909" s="152"/>
      <c r="AQ3909" s="152"/>
      <c r="AR3909" s="152"/>
      <c r="AS3909" s="152"/>
      <c r="AT3909" s="152"/>
      <c r="AU3909" s="153"/>
      <c r="AV3909" s="479"/>
      <c r="AW3909" s="479"/>
      <c r="AX3909" s="442"/>
      <c r="AY3909" s="153"/>
      <c r="AZ3909" s="152"/>
      <c r="BA3909" s="152"/>
      <c r="BB3909" s="152"/>
      <c r="BC3909" s="152"/>
      <c r="BD3909" s="152"/>
      <c r="BE3909" s="152"/>
      <c r="BF3909" s="152"/>
      <c r="BG3909" s="152"/>
      <c r="BH3909" s="152"/>
      <c r="BI3909" s="153"/>
      <c r="BJ3909" s="153"/>
      <c r="BK3909" s="153"/>
      <c r="BL3909" s="153"/>
      <c r="BM3909" s="153"/>
      <c r="BN3909" s="153"/>
      <c r="BO3909" s="153"/>
      <c r="BP3909" s="153"/>
      <c r="BQ3909" s="153"/>
      <c r="BR3909" s="153"/>
      <c r="BS3909" s="153"/>
      <c r="BT3909" s="153"/>
      <c r="BU3909" s="153"/>
      <c r="BV3909" s="153"/>
      <c r="BW3909" s="153"/>
      <c r="BX3909" s="153"/>
      <c r="BY3909" s="153"/>
      <c r="BZ3909" s="153"/>
      <c r="CA3909" s="152"/>
      <c r="CB3909" s="152"/>
    </row>
    <row r="3910" spans="1:80" s="87" customFormat="1" x14ac:dyDescent="0.2">
      <c r="A3910" s="152"/>
      <c r="B3910" s="683"/>
      <c r="C3910" s="683"/>
      <c r="D3910" s="698"/>
      <c r="E3910" s="215"/>
      <c r="F3910" s="215"/>
      <c r="G3910" s="153"/>
      <c r="H3910" s="153"/>
      <c r="I3910" s="323">
        <v>17</v>
      </c>
      <c r="J3910" s="312">
        <v>60</v>
      </c>
      <c r="K3910" s="150">
        <v>1</v>
      </c>
      <c r="L3910" s="656">
        <v>17</v>
      </c>
      <c r="M3910" s="663">
        <v>34837</v>
      </c>
      <c r="N3910" s="600">
        <v>5.2661600000000002</v>
      </c>
      <c r="O3910" s="604">
        <v>2.1516E-2</v>
      </c>
      <c r="P3910" s="250"/>
      <c r="Q3910" s="250"/>
      <c r="R3910" s="250"/>
      <c r="S3910" s="250">
        <v>8.4000000000000005E-2</v>
      </c>
      <c r="T3910" s="250">
        <v>0.13200000000000001</v>
      </c>
      <c r="U3910" s="250">
        <v>0.19500000000000001</v>
      </c>
      <c r="V3910" s="250">
        <v>0.318</v>
      </c>
      <c r="W3910" s="250">
        <v>0.20399999999999999</v>
      </c>
      <c r="X3910" s="250">
        <v>6.3E-2</v>
      </c>
      <c r="Y3910" s="250">
        <v>4.0000000000000001E-3</v>
      </c>
      <c r="Z3910" s="150">
        <v>13</v>
      </c>
      <c r="AA3910" s="150">
        <v>1.65</v>
      </c>
      <c r="AB3910" s="152"/>
      <c r="AC3910" s="152"/>
      <c r="AD3910" s="223">
        <v>8.8389100000000003</v>
      </c>
      <c r="AE3910" s="223">
        <v>0.50290349999999995</v>
      </c>
      <c r="AF3910" s="223">
        <v>4.4403332000000004</v>
      </c>
      <c r="AG3910" s="223">
        <v>1.0271423</v>
      </c>
      <c r="AH3910" s="341"/>
      <c r="AI3910" s="218"/>
      <c r="AJ3910" s="218"/>
      <c r="AK3910" s="153"/>
      <c r="AL3910" s="152"/>
      <c r="AM3910" s="152"/>
      <c r="AN3910" s="152"/>
      <c r="AO3910" s="152"/>
      <c r="AP3910" s="152"/>
      <c r="AQ3910" s="152"/>
      <c r="AR3910" s="152"/>
      <c r="AS3910" s="152"/>
      <c r="AT3910" s="152"/>
      <c r="AU3910" s="153"/>
      <c r="AV3910" s="479"/>
      <c r="AW3910" s="479"/>
      <c r="AX3910" s="442"/>
      <c r="AY3910" s="153"/>
      <c r="AZ3910" s="152"/>
      <c r="BA3910" s="152"/>
      <c r="BB3910" s="152"/>
      <c r="BC3910" s="152"/>
      <c r="BD3910" s="152"/>
      <c r="BE3910" s="152"/>
      <c r="BF3910" s="152"/>
      <c r="BG3910" s="152"/>
      <c r="BH3910" s="152"/>
      <c r="BI3910" s="153"/>
      <c r="BJ3910" s="153"/>
      <c r="BK3910" s="153"/>
      <c r="BL3910" s="153"/>
      <c r="BM3910" s="153"/>
      <c r="BN3910" s="153"/>
      <c r="BO3910" s="153"/>
      <c r="BP3910" s="153"/>
      <c r="BQ3910" s="153"/>
      <c r="BR3910" s="153"/>
      <c r="BS3910" s="153"/>
      <c r="BT3910" s="153"/>
      <c r="BU3910" s="153"/>
      <c r="BV3910" s="153"/>
      <c r="BW3910" s="153"/>
      <c r="BX3910" s="153"/>
      <c r="BY3910" s="153"/>
      <c r="BZ3910" s="153"/>
      <c r="CA3910" s="152"/>
      <c r="CB3910" s="152"/>
    </row>
    <row r="3911" spans="1:80" s="87" customFormat="1" x14ac:dyDescent="0.2">
      <c r="A3911" s="152"/>
      <c r="B3911" s="683"/>
      <c r="C3911" s="683"/>
      <c r="D3911" s="698"/>
      <c r="E3911" s="215"/>
      <c r="F3911" s="215"/>
      <c r="G3911" s="153"/>
      <c r="H3911" s="153"/>
      <c r="I3911" s="323">
        <v>20</v>
      </c>
      <c r="J3911" s="312">
        <v>60</v>
      </c>
      <c r="K3911" s="150">
        <v>1</v>
      </c>
      <c r="L3911" s="656">
        <v>20</v>
      </c>
      <c r="M3911" s="663">
        <v>34842</v>
      </c>
      <c r="N3911" s="600">
        <v>4.5866600000000002</v>
      </c>
      <c r="O3911" s="604">
        <v>7.064E-3</v>
      </c>
      <c r="P3911" s="250"/>
      <c r="Q3911" s="250"/>
      <c r="R3911" s="250"/>
      <c r="S3911" s="250"/>
      <c r="T3911" s="250">
        <v>7.6999999999999999E-2</v>
      </c>
      <c r="U3911" s="250">
        <v>0.20199999999999999</v>
      </c>
      <c r="V3911" s="250">
        <v>0.38200000000000001</v>
      </c>
      <c r="W3911" s="250">
        <v>0.25900000000000001</v>
      </c>
      <c r="X3911" s="250">
        <v>7.4999999999999997E-2</v>
      </c>
      <c r="Y3911" s="250">
        <v>5.0000000000000001E-3</v>
      </c>
      <c r="Z3911" s="150">
        <v>7</v>
      </c>
      <c r="AA3911" s="150">
        <v>1.34</v>
      </c>
      <c r="AB3911" s="152"/>
      <c r="AC3911" s="152"/>
      <c r="AD3911" s="223">
        <v>8.8389100000000003</v>
      </c>
      <c r="AE3911" s="223">
        <v>0.51814300000000002</v>
      </c>
      <c r="AF3911" s="223">
        <v>4.5703848000000002</v>
      </c>
      <c r="AG3911" s="223">
        <v>0.97837589999999997</v>
      </c>
      <c r="AH3911" s="341"/>
      <c r="AI3911" s="218"/>
      <c r="AJ3911" s="218"/>
      <c r="AK3911" s="153"/>
      <c r="AL3911" s="152"/>
      <c r="AM3911" s="152"/>
      <c r="AN3911" s="152"/>
      <c r="AO3911" s="152"/>
      <c r="AP3911" s="152"/>
      <c r="AQ3911" s="152"/>
      <c r="AR3911" s="152"/>
      <c r="AS3911" s="152"/>
      <c r="AT3911" s="152"/>
      <c r="AU3911" s="153"/>
      <c r="AV3911" s="479"/>
      <c r="AW3911" s="479"/>
      <c r="AX3911" s="442"/>
      <c r="AY3911" s="153"/>
      <c r="AZ3911" s="152"/>
      <c r="BA3911" s="152"/>
      <c r="BB3911" s="152"/>
      <c r="BC3911" s="152"/>
      <c r="BD3911" s="152"/>
      <c r="BE3911" s="152"/>
      <c r="BF3911" s="152"/>
      <c r="BG3911" s="152"/>
      <c r="BH3911" s="152"/>
      <c r="BI3911" s="153"/>
      <c r="BJ3911" s="153"/>
      <c r="BK3911" s="153"/>
      <c r="BL3911" s="153"/>
      <c r="BM3911" s="153"/>
      <c r="BN3911" s="153"/>
      <c r="BO3911" s="153"/>
      <c r="BP3911" s="153"/>
      <c r="BQ3911" s="153"/>
      <c r="BR3911" s="153"/>
      <c r="BS3911" s="153"/>
      <c r="BT3911" s="153"/>
      <c r="BU3911" s="153"/>
      <c r="BV3911" s="153"/>
      <c r="BW3911" s="153"/>
      <c r="BX3911" s="153"/>
      <c r="BY3911" s="153"/>
      <c r="BZ3911" s="153"/>
      <c r="CA3911" s="152"/>
      <c r="CB3911" s="152"/>
    </row>
    <row r="3912" spans="1:80" s="87" customFormat="1" x14ac:dyDescent="0.2">
      <c r="A3912" s="152"/>
      <c r="B3912" s="683"/>
      <c r="C3912" s="683"/>
      <c r="D3912" s="698"/>
      <c r="E3912" s="215"/>
      <c r="F3912" s="215"/>
      <c r="G3912" s="153"/>
      <c r="H3912" s="153"/>
      <c r="I3912" s="323">
        <v>20</v>
      </c>
      <c r="J3912" s="312">
        <v>60</v>
      </c>
      <c r="K3912" s="150">
        <v>1</v>
      </c>
      <c r="L3912" s="656">
        <v>20</v>
      </c>
      <c r="M3912" s="663">
        <v>34842</v>
      </c>
      <c r="N3912" s="600">
        <v>4.5866600000000002</v>
      </c>
      <c r="O3912" s="604">
        <v>1.2805E-2</v>
      </c>
      <c r="P3912" s="250"/>
      <c r="Q3912" s="250"/>
      <c r="R3912" s="250"/>
      <c r="S3912" s="250">
        <v>4.4000000000000004E-2</v>
      </c>
      <c r="T3912" s="250">
        <v>0.10199999999999999</v>
      </c>
      <c r="U3912" s="250">
        <v>0.23</v>
      </c>
      <c r="V3912" s="250">
        <v>0.33200000000000002</v>
      </c>
      <c r="W3912" s="250">
        <v>0.21100000000000002</v>
      </c>
      <c r="X3912" s="250">
        <v>7.8E-2</v>
      </c>
      <c r="Y3912" s="250">
        <v>3.0000000000000001E-3</v>
      </c>
      <c r="Z3912" s="150">
        <v>15</v>
      </c>
      <c r="AA3912" s="150">
        <v>1.54</v>
      </c>
      <c r="AB3912" s="152"/>
      <c r="AC3912" s="152"/>
      <c r="AD3912" s="223">
        <v>8.8389100000000003</v>
      </c>
      <c r="AE3912" s="223">
        <v>0.51814300000000002</v>
      </c>
      <c r="AF3912" s="223">
        <v>4.5703848000000002</v>
      </c>
      <c r="AG3912" s="223">
        <v>0.97837589999999997</v>
      </c>
      <c r="AH3912" s="341"/>
      <c r="AI3912" s="218"/>
      <c r="AJ3912" s="218"/>
      <c r="AK3912" s="153"/>
      <c r="AL3912" s="152"/>
      <c r="AM3912" s="152"/>
      <c r="AN3912" s="152"/>
      <c r="AO3912" s="152"/>
      <c r="AP3912" s="152"/>
      <c r="AQ3912" s="152"/>
      <c r="AR3912" s="152"/>
      <c r="AS3912" s="152"/>
      <c r="AT3912" s="152"/>
      <c r="AU3912" s="153"/>
      <c r="AV3912" s="479"/>
      <c r="AW3912" s="479"/>
      <c r="AX3912" s="442"/>
      <c r="AY3912" s="153"/>
      <c r="AZ3912" s="152"/>
      <c r="BA3912" s="152"/>
      <c r="BB3912" s="152"/>
      <c r="BC3912" s="152"/>
      <c r="BD3912" s="152"/>
      <c r="BE3912" s="152"/>
      <c r="BF3912" s="152"/>
      <c r="BG3912" s="152"/>
      <c r="BH3912" s="152"/>
      <c r="BI3912" s="153"/>
      <c r="BJ3912" s="153"/>
      <c r="BK3912" s="153"/>
      <c r="BL3912" s="153"/>
      <c r="BM3912" s="153"/>
      <c r="BN3912" s="153"/>
      <c r="BO3912" s="153"/>
      <c r="BP3912" s="153"/>
      <c r="BQ3912" s="153"/>
      <c r="BR3912" s="153"/>
      <c r="BS3912" s="153"/>
      <c r="BT3912" s="153"/>
      <c r="BU3912" s="153"/>
      <c r="BV3912" s="153"/>
      <c r="BW3912" s="153"/>
      <c r="BX3912" s="153"/>
      <c r="BY3912" s="153"/>
      <c r="BZ3912" s="153"/>
      <c r="CA3912" s="152"/>
      <c r="CB3912" s="152"/>
    </row>
    <row r="3913" spans="1:80" s="87" customFormat="1" x14ac:dyDescent="0.2">
      <c r="A3913" s="152"/>
      <c r="B3913" s="683"/>
      <c r="C3913" s="683"/>
      <c r="D3913" s="698"/>
      <c r="E3913" s="215"/>
      <c r="F3913" s="215"/>
      <c r="G3913" s="153"/>
      <c r="H3913" s="153"/>
      <c r="I3913" s="323">
        <v>20</v>
      </c>
      <c r="J3913" s="312">
        <v>60</v>
      </c>
      <c r="K3913" s="150">
        <v>1</v>
      </c>
      <c r="L3913" s="656">
        <v>20</v>
      </c>
      <c r="M3913" s="663">
        <v>34844</v>
      </c>
      <c r="N3913" s="600">
        <v>3.9637799999999999</v>
      </c>
      <c r="O3913" s="604">
        <v>4.0619999999999996E-3</v>
      </c>
      <c r="P3913" s="250"/>
      <c r="Q3913" s="250"/>
      <c r="R3913" s="250"/>
      <c r="S3913" s="250">
        <v>3.7999999999999999E-2</v>
      </c>
      <c r="T3913" s="250">
        <v>0.16399999999999998</v>
      </c>
      <c r="U3913" s="250">
        <v>0.20699999999999999</v>
      </c>
      <c r="V3913" s="250">
        <v>0.30599999999999999</v>
      </c>
      <c r="W3913" s="250">
        <v>0.20399999999999999</v>
      </c>
      <c r="X3913" s="250">
        <v>7.2999999999999995E-2</v>
      </c>
      <c r="Y3913" s="250">
        <v>8.0000000000000002E-3</v>
      </c>
      <c r="Z3913" s="150">
        <v>11</v>
      </c>
      <c r="AA3913" s="150">
        <v>1.63</v>
      </c>
      <c r="AB3913" s="152"/>
      <c r="AC3913" s="152"/>
      <c r="AD3913" s="223">
        <v>8.8389100000000003</v>
      </c>
      <c r="AE3913" s="223">
        <v>0.4815682</v>
      </c>
      <c r="AF3913" s="223">
        <v>4.2545451999999999</v>
      </c>
      <c r="AG3913" s="223">
        <v>0.93875319999999995</v>
      </c>
      <c r="AH3913" s="341"/>
      <c r="AI3913" s="218"/>
      <c r="AJ3913" s="218"/>
      <c r="AK3913" s="153"/>
      <c r="AL3913" s="152"/>
      <c r="AM3913" s="152"/>
      <c r="AN3913" s="152"/>
      <c r="AO3913" s="152"/>
      <c r="AP3913" s="152"/>
      <c r="AQ3913" s="152"/>
      <c r="AR3913" s="152"/>
      <c r="AS3913" s="152"/>
      <c r="AT3913" s="152"/>
      <c r="AU3913" s="153"/>
      <c r="AV3913" s="479"/>
      <c r="AW3913" s="479"/>
      <c r="AX3913" s="442"/>
      <c r="AY3913" s="153"/>
      <c r="AZ3913" s="152"/>
      <c r="BA3913" s="152"/>
      <c r="BB3913" s="152"/>
      <c r="BC3913" s="152"/>
      <c r="BD3913" s="152"/>
      <c r="BE3913" s="152"/>
      <c r="BF3913" s="152"/>
      <c r="BG3913" s="152"/>
      <c r="BH3913" s="152"/>
      <c r="BI3913" s="153"/>
      <c r="BJ3913" s="153"/>
      <c r="BK3913" s="153"/>
      <c r="BL3913" s="153"/>
      <c r="BM3913" s="153"/>
      <c r="BN3913" s="153"/>
      <c r="BO3913" s="153"/>
      <c r="BP3913" s="153"/>
      <c r="BQ3913" s="153"/>
      <c r="BR3913" s="153"/>
      <c r="BS3913" s="153"/>
      <c r="BT3913" s="153"/>
      <c r="BU3913" s="153"/>
      <c r="BV3913" s="153"/>
      <c r="BW3913" s="153"/>
      <c r="BX3913" s="153"/>
      <c r="BY3913" s="153"/>
      <c r="BZ3913" s="153"/>
      <c r="CA3913" s="152"/>
      <c r="CB3913" s="152"/>
    </row>
    <row r="3914" spans="1:80" s="87" customFormat="1" x14ac:dyDescent="0.2">
      <c r="A3914" s="152"/>
      <c r="B3914" s="683"/>
      <c r="C3914" s="683"/>
      <c r="D3914" s="698"/>
      <c r="E3914" s="215"/>
      <c r="F3914" s="215"/>
      <c r="G3914" s="153"/>
      <c r="H3914" s="153"/>
      <c r="I3914" s="323">
        <v>20</v>
      </c>
      <c r="J3914" s="312">
        <v>60</v>
      </c>
      <c r="K3914" s="150">
        <v>1</v>
      </c>
      <c r="L3914" s="656">
        <v>20</v>
      </c>
      <c r="M3914" s="663">
        <v>34844</v>
      </c>
      <c r="N3914" s="600">
        <v>3.9637799999999999</v>
      </c>
      <c r="O3914" s="604">
        <v>1.6372999999999999E-2</v>
      </c>
      <c r="P3914" s="250"/>
      <c r="Q3914" s="250"/>
      <c r="R3914" s="250"/>
      <c r="S3914" s="250">
        <v>3.6000000000000004E-2</v>
      </c>
      <c r="T3914" s="250">
        <v>9.6999999999999989E-2</v>
      </c>
      <c r="U3914" s="250">
        <v>0.24100000000000002</v>
      </c>
      <c r="V3914" s="250">
        <v>0.4</v>
      </c>
      <c r="W3914" s="250">
        <v>0.18600000000000003</v>
      </c>
      <c r="X3914" s="250">
        <v>3.6000000000000004E-2</v>
      </c>
      <c r="Y3914" s="250">
        <v>4.0000000000000001E-3</v>
      </c>
      <c r="Z3914" s="150">
        <v>14</v>
      </c>
      <c r="AA3914" s="150">
        <v>1.61</v>
      </c>
      <c r="AB3914" s="152"/>
      <c r="AC3914" s="152"/>
      <c r="AD3914" s="223">
        <v>8.8389100000000003</v>
      </c>
      <c r="AE3914" s="223">
        <v>0.4815682</v>
      </c>
      <c r="AF3914" s="223">
        <v>4.2545451999999999</v>
      </c>
      <c r="AG3914" s="223">
        <v>0.93875319999999995</v>
      </c>
      <c r="AH3914" s="341"/>
      <c r="AI3914" s="218"/>
      <c r="AJ3914" s="218"/>
      <c r="AK3914" s="153"/>
      <c r="AL3914" s="152"/>
      <c r="AM3914" s="152"/>
      <c r="AN3914" s="152"/>
      <c r="AO3914" s="152"/>
      <c r="AP3914" s="152"/>
      <c r="AQ3914" s="152"/>
      <c r="AR3914" s="152"/>
      <c r="AS3914" s="152"/>
      <c r="AT3914" s="152"/>
      <c r="AU3914" s="153"/>
      <c r="AV3914" s="479"/>
      <c r="AW3914" s="479"/>
      <c r="AX3914" s="442"/>
      <c r="AY3914" s="153"/>
      <c r="AZ3914" s="152"/>
      <c r="BA3914" s="152"/>
      <c r="BB3914" s="152"/>
      <c r="BC3914" s="152"/>
      <c r="BD3914" s="152"/>
      <c r="BE3914" s="152"/>
      <c r="BF3914" s="152"/>
      <c r="BG3914" s="152"/>
      <c r="BH3914" s="152"/>
      <c r="BI3914" s="153"/>
      <c r="BJ3914" s="153"/>
      <c r="BK3914" s="153"/>
      <c r="BL3914" s="153"/>
      <c r="BM3914" s="153"/>
      <c r="BN3914" s="153"/>
      <c r="BO3914" s="153"/>
      <c r="BP3914" s="153"/>
      <c r="BQ3914" s="153"/>
      <c r="BR3914" s="153"/>
      <c r="BS3914" s="153"/>
      <c r="BT3914" s="153"/>
      <c r="BU3914" s="153"/>
      <c r="BV3914" s="153"/>
      <c r="BW3914" s="153"/>
      <c r="BX3914" s="153"/>
      <c r="BY3914" s="153"/>
      <c r="BZ3914" s="153"/>
      <c r="CA3914" s="152"/>
      <c r="CB3914" s="152"/>
    </row>
    <row r="3915" spans="1:80" s="87" customFormat="1" x14ac:dyDescent="0.2">
      <c r="A3915" s="152"/>
      <c r="B3915" s="683"/>
      <c r="C3915" s="683"/>
      <c r="D3915" s="698"/>
      <c r="E3915" s="215"/>
      <c r="F3915" s="215"/>
      <c r="G3915" s="153"/>
      <c r="H3915" s="153"/>
      <c r="I3915" s="323">
        <v>20</v>
      </c>
      <c r="J3915" s="312">
        <v>60</v>
      </c>
      <c r="K3915" s="150">
        <v>1</v>
      </c>
      <c r="L3915" s="656">
        <v>20</v>
      </c>
      <c r="M3915" s="663">
        <v>34850</v>
      </c>
      <c r="N3915" s="600">
        <v>3.25596</v>
      </c>
      <c r="O3915" s="604">
        <v>2.2360000000000001E-3</v>
      </c>
      <c r="P3915" s="250"/>
      <c r="Q3915" s="250"/>
      <c r="R3915" s="250"/>
      <c r="S3915" s="250">
        <v>0.13800000000000001</v>
      </c>
      <c r="T3915" s="250">
        <v>0.1</v>
      </c>
      <c r="U3915" s="250">
        <v>0.13100000000000001</v>
      </c>
      <c r="V3915" s="250">
        <v>0.29600000000000004</v>
      </c>
      <c r="W3915" s="250">
        <v>0.23499999999999999</v>
      </c>
      <c r="X3915" s="250">
        <v>9.0999999999999998E-2</v>
      </c>
      <c r="Y3915" s="250">
        <v>9.0000000000000011E-3</v>
      </c>
      <c r="Z3915" s="150">
        <v>14</v>
      </c>
      <c r="AA3915" s="150">
        <v>1.47</v>
      </c>
      <c r="AB3915" s="152"/>
      <c r="AC3915" s="152"/>
      <c r="AD3915" s="223">
        <v>8.5645989999999994</v>
      </c>
      <c r="AE3915" s="223">
        <v>0.46632869999999998</v>
      </c>
      <c r="AF3915" s="223">
        <v>3.9851526000000002</v>
      </c>
      <c r="AG3915" s="223">
        <v>0.82293300000000003</v>
      </c>
      <c r="AH3915" s="341"/>
      <c r="AI3915" s="218"/>
      <c r="AJ3915" s="218"/>
      <c r="AK3915" s="153"/>
      <c r="AL3915" s="152"/>
      <c r="AM3915" s="152"/>
      <c r="AN3915" s="152"/>
      <c r="AO3915" s="152"/>
      <c r="AP3915" s="152"/>
      <c r="AQ3915" s="152"/>
      <c r="AR3915" s="152"/>
      <c r="AS3915" s="152"/>
      <c r="AT3915" s="152"/>
      <c r="AU3915" s="153"/>
      <c r="AV3915" s="479"/>
      <c r="AW3915" s="479"/>
      <c r="AX3915" s="442"/>
      <c r="AY3915" s="153"/>
      <c r="AZ3915" s="152"/>
      <c r="BA3915" s="152"/>
      <c r="BB3915" s="152"/>
      <c r="BC3915" s="152"/>
      <c r="BD3915" s="152"/>
      <c r="BE3915" s="152"/>
      <c r="BF3915" s="152"/>
      <c r="BG3915" s="152"/>
      <c r="BH3915" s="152"/>
      <c r="BI3915" s="153"/>
      <c r="BJ3915" s="153"/>
      <c r="BK3915" s="153"/>
      <c r="BL3915" s="153"/>
      <c r="BM3915" s="153"/>
      <c r="BN3915" s="153"/>
      <c r="BO3915" s="153"/>
      <c r="BP3915" s="153"/>
      <c r="BQ3915" s="153"/>
      <c r="BR3915" s="153"/>
      <c r="BS3915" s="153"/>
      <c r="BT3915" s="153"/>
      <c r="BU3915" s="153"/>
      <c r="BV3915" s="153"/>
      <c r="BW3915" s="153"/>
      <c r="BX3915" s="153"/>
      <c r="BY3915" s="153"/>
      <c r="BZ3915" s="153"/>
      <c r="CA3915" s="152"/>
      <c r="CB3915" s="152"/>
    </row>
    <row r="3916" spans="1:80" s="87" customFormat="1" x14ac:dyDescent="0.2">
      <c r="A3916" s="152"/>
      <c r="B3916" s="683"/>
      <c r="C3916" s="683"/>
      <c r="D3916" s="698"/>
      <c r="E3916" s="215"/>
      <c r="F3916" s="215"/>
      <c r="G3916" s="153"/>
      <c r="H3916" s="153"/>
      <c r="I3916" s="323">
        <v>20</v>
      </c>
      <c r="J3916" s="312">
        <v>60</v>
      </c>
      <c r="K3916" s="150">
        <v>1</v>
      </c>
      <c r="L3916" s="656">
        <v>20</v>
      </c>
      <c r="M3916" s="663">
        <v>34850</v>
      </c>
      <c r="N3916" s="600">
        <v>3.25596</v>
      </c>
      <c r="O3916" s="604">
        <v>2.7499999999999998E-3</v>
      </c>
      <c r="P3916" s="250"/>
      <c r="Q3916" s="250"/>
      <c r="R3916" s="250"/>
      <c r="S3916" s="250">
        <v>0.122</v>
      </c>
      <c r="T3916" s="250">
        <v>5.0999999999999997E-2</v>
      </c>
      <c r="U3916" s="250">
        <v>0.17300000000000001</v>
      </c>
      <c r="V3916" s="250">
        <v>0.307</v>
      </c>
      <c r="W3916" s="250">
        <v>0.249</v>
      </c>
      <c r="X3916" s="250">
        <v>0.09</v>
      </c>
      <c r="Y3916" s="250">
        <v>8.0000000000000002E-3</v>
      </c>
      <c r="Z3916" s="150">
        <v>15</v>
      </c>
      <c r="AA3916" s="150">
        <v>1.41</v>
      </c>
      <c r="AB3916" s="152"/>
      <c r="AC3916" s="152"/>
      <c r="AD3916" s="223">
        <v>8.5645989999999994</v>
      </c>
      <c r="AE3916" s="223">
        <v>0.46632869999999998</v>
      </c>
      <c r="AF3916" s="223">
        <v>3.9851526000000002</v>
      </c>
      <c r="AG3916" s="223">
        <v>0.82293300000000003</v>
      </c>
      <c r="AH3916" s="341"/>
      <c r="AI3916" s="218"/>
      <c r="AJ3916" s="218"/>
      <c r="AK3916" s="153"/>
      <c r="AL3916" s="152"/>
      <c r="AM3916" s="152"/>
      <c r="AN3916" s="152"/>
      <c r="AO3916" s="152"/>
      <c r="AP3916" s="152"/>
      <c r="AQ3916" s="152"/>
      <c r="AR3916" s="152"/>
      <c r="AS3916" s="152"/>
      <c r="AT3916" s="152"/>
      <c r="AU3916" s="153"/>
      <c r="AV3916" s="479"/>
      <c r="AW3916" s="479"/>
      <c r="AX3916" s="442"/>
      <c r="AY3916" s="153"/>
      <c r="AZ3916" s="152"/>
      <c r="BA3916" s="152"/>
      <c r="BB3916" s="152"/>
      <c r="BC3916" s="152"/>
      <c r="BD3916" s="152"/>
      <c r="BE3916" s="152"/>
      <c r="BF3916" s="152"/>
      <c r="BG3916" s="152"/>
      <c r="BH3916" s="152"/>
      <c r="BI3916" s="153"/>
      <c r="BJ3916" s="153"/>
      <c r="BK3916" s="153"/>
      <c r="BL3916" s="153"/>
      <c r="BM3916" s="153"/>
      <c r="BN3916" s="153"/>
      <c r="BO3916" s="153"/>
      <c r="BP3916" s="153"/>
      <c r="BQ3916" s="153"/>
      <c r="BR3916" s="153"/>
      <c r="BS3916" s="153"/>
      <c r="BT3916" s="153"/>
      <c r="BU3916" s="153"/>
      <c r="BV3916" s="153"/>
      <c r="BW3916" s="153"/>
      <c r="BX3916" s="153"/>
      <c r="BY3916" s="153"/>
      <c r="BZ3916" s="153"/>
      <c r="CA3916" s="152"/>
      <c r="CB3916" s="152"/>
    </row>
    <row r="3917" spans="1:80" s="87" customFormat="1" x14ac:dyDescent="0.2">
      <c r="A3917" s="152"/>
      <c r="B3917" s="683"/>
      <c r="C3917" s="683"/>
      <c r="D3917" s="698"/>
      <c r="E3917" s="215"/>
      <c r="F3917" s="215"/>
      <c r="G3917" s="153"/>
      <c r="H3917" s="153"/>
      <c r="I3917" s="323">
        <v>20</v>
      </c>
      <c r="J3917" s="312">
        <v>60</v>
      </c>
      <c r="K3917" s="150">
        <v>1</v>
      </c>
      <c r="L3917" s="656">
        <v>20</v>
      </c>
      <c r="M3917" s="663">
        <v>34856</v>
      </c>
      <c r="N3917" s="600">
        <v>3.5390899999999998</v>
      </c>
      <c r="O3917" s="604">
        <v>6.7279999999999996E-3</v>
      </c>
      <c r="P3917" s="250"/>
      <c r="Q3917" s="250"/>
      <c r="R3917" s="250"/>
      <c r="S3917" s="250"/>
      <c r="T3917" s="250">
        <v>8.5000000000000006E-2</v>
      </c>
      <c r="U3917" s="250">
        <v>0.27399999999999997</v>
      </c>
      <c r="V3917" s="250">
        <v>0.373</v>
      </c>
      <c r="W3917" s="250">
        <v>0.19399999999999998</v>
      </c>
      <c r="X3917" s="250">
        <v>7.0000000000000007E-2</v>
      </c>
      <c r="Y3917" s="250">
        <v>4.0000000000000001E-3</v>
      </c>
      <c r="Z3917" s="150">
        <v>8</v>
      </c>
      <c r="AA3917" s="150">
        <v>1.54</v>
      </c>
      <c r="AB3917" s="152"/>
      <c r="AC3917" s="152"/>
      <c r="AD3917" s="223">
        <v>8.686515</v>
      </c>
      <c r="AE3917" s="223">
        <v>0.49985560000000001</v>
      </c>
      <c r="AF3917" s="223">
        <v>4.3381498000000001</v>
      </c>
      <c r="AG3917" s="223">
        <v>0.84122039999999998</v>
      </c>
      <c r="AH3917" s="341"/>
      <c r="AI3917" s="218"/>
      <c r="AJ3917" s="218"/>
      <c r="AK3917" s="153"/>
      <c r="AL3917" s="152"/>
      <c r="AM3917" s="152"/>
      <c r="AN3917" s="152"/>
      <c r="AO3917" s="152"/>
      <c r="AP3917" s="152"/>
      <c r="AQ3917" s="152"/>
      <c r="AR3917" s="152"/>
      <c r="AS3917" s="152"/>
      <c r="AT3917" s="152"/>
      <c r="AU3917" s="153"/>
      <c r="AV3917" s="479"/>
      <c r="AW3917" s="479"/>
      <c r="AX3917" s="442"/>
      <c r="AY3917" s="153"/>
      <c r="AZ3917" s="152"/>
      <c r="BA3917" s="152"/>
      <c r="BB3917" s="152"/>
      <c r="BC3917" s="152"/>
      <c r="BD3917" s="152"/>
      <c r="BE3917" s="152"/>
      <c r="BF3917" s="152"/>
      <c r="BG3917" s="152"/>
      <c r="BH3917" s="152"/>
      <c r="BI3917" s="153"/>
      <c r="BJ3917" s="153"/>
      <c r="BK3917" s="153"/>
      <c r="BL3917" s="153"/>
      <c r="BM3917" s="153"/>
      <c r="BN3917" s="153"/>
      <c r="BO3917" s="153"/>
      <c r="BP3917" s="153"/>
      <c r="BQ3917" s="153"/>
      <c r="BR3917" s="153"/>
      <c r="BS3917" s="153"/>
      <c r="BT3917" s="153"/>
      <c r="BU3917" s="153"/>
      <c r="BV3917" s="153"/>
      <c r="BW3917" s="153"/>
      <c r="BX3917" s="153"/>
      <c r="BY3917" s="153"/>
      <c r="BZ3917" s="153"/>
      <c r="CA3917" s="152"/>
      <c r="CB3917" s="152"/>
    </row>
    <row r="3918" spans="1:80" s="87" customFormat="1" x14ac:dyDescent="0.2">
      <c r="A3918" s="152"/>
      <c r="B3918" s="683"/>
      <c r="C3918" s="683"/>
      <c r="D3918" s="698"/>
      <c r="E3918" s="215"/>
      <c r="F3918" s="215"/>
      <c r="G3918" s="153"/>
      <c r="H3918" s="153"/>
      <c r="I3918" s="323">
        <v>20</v>
      </c>
      <c r="J3918" s="312">
        <v>60</v>
      </c>
      <c r="K3918" s="150">
        <v>1</v>
      </c>
      <c r="L3918" s="656">
        <v>20</v>
      </c>
      <c r="M3918" s="663">
        <v>34856</v>
      </c>
      <c r="N3918" s="600">
        <v>3.5390899999999998</v>
      </c>
      <c r="O3918" s="604">
        <v>6.77E-3</v>
      </c>
      <c r="P3918" s="250"/>
      <c r="Q3918" s="250"/>
      <c r="R3918" s="250"/>
      <c r="S3918" s="250">
        <v>0.158</v>
      </c>
      <c r="T3918" s="250">
        <v>8.5999999999999993E-2</v>
      </c>
      <c r="U3918" s="250">
        <v>0.115</v>
      </c>
      <c r="V3918" s="250">
        <v>0.3</v>
      </c>
      <c r="W3918" s="250">
        <v>0.24600000000000002</v>
      </c>
      <c r="X3918" s="250">
        <v>9.1999999999999998E-2</v>
      </c>
      <c r="Y3918" s="250">
        <v>3.0000000000000001E-3</v>
      </c>
      <c r="Z3918" s="150">
        <v>13</v>
      </c>
      <c r="AA3918" s="150">
        <v>1.44</v>
      </c>
      <c r="AB3918" s="152"/>
      <c r="AC3918" s="152"/>
      <c r="AD3918" s="223">
        <v>8.686515</v>
      </c>
      <c r="AE3918" s="223">
        <v>0.49985560000000001</v>
      </c>
      <c r="AF3918" s="223">
        <v>4.3381498000000001</v>
      </c>
      <c r="AG3918" s="223">
        <v>0.84122039999999998</v>
      </c>
      <c r="AH3918" s="341"/>
      <c r="AI3918" s="218"/>
      <c r="AJ3918" s="218"/>
      <c r="AK3918" s="153"/>
      <c r="AL3918" s="152"/>
      <c r="AM3918" s="152"/>
      <c r="AN3918" s="152"/>
      <c r="AO3918" s="152"/>
      <c r="AP3918" s="152"/>
      <c r="AQ3918" s="152"/>
      <c r="AR3918" s="152"/>
      <c r="AS3918" s="152"/>
      <c r="AT3918" s="152"/>
      <c r="AU3918" s="153"/>
      <c r="AV3918" s="479"/>
      <c r="AW3918" s="479"/>
      <c r="AX3918" s="442"/>
      <c r="AY3918" s="153"/>
      <c r="AZ3918" s="152"/>
      <c r="BA3918" s="152"/>
      <c r="BB3918" s="152"/>
      <c r="BC3918" s="152"/>
      <c r="BD3918" s="152"/>
      <c r="BE3918" s="152"/>
      <c r="BF3918" s="152"/>
      <c r="BG3918" s="152"/>
      <c r="BH3918" s="152"/>
      <c r="BI3918" s="153"/>
      <c r="BJ3918" s="153"/>
      <c r="BK3918" s="153"/>
      <c r="BL3918" s="153"/>
      <c r="BM3918" s="153"/>
      <c r="BN3918" s="153"/>
      <c r="BO3918" s="153"/>
      <c r="BP3918" s="153"/>
      <c r="BQ3918" s="153"/>
      <c r="BR3918" s="153"/>
      <c r="BS3918" s="153"/>
      <c r="BT3918" s="153"/>
      <c r="BU3918" s="153"/>
      <c r="BV3918" s="153"/>
      <c r="BW3918" s="153"/>
      <c r="BX3918" s="153"/>
      <c r="BY3918" s="153"/>
      <c r="BZ3918" s="153"/>
      <c r="CA3918" s="152"/>
      <c r="CB3918" s="152"/>
    </row>
    <row r="3919" spans="1:80" s="87" customFormat="1" x14ac:dyDescent="0.2">
      <c r="A3919" s="152"/>
      <c r="B3919" s="683"/>
      <c r="C3919" s="683"/>
      <c r="D3919" s="698"/>
      <c r="E3919" s="215"/>
      <c r="F3919" s="215"/>
      <c r="G3919" s="153"/>
      <c r="H3919" s="153"/>
      <c r="I3919" s="323">
        <v>20</v>
      </c>
      <c r="J3919" s="312">
        <v>60</v>
      </c>
      <c r="K3919" s="150">
        <v>1</v>
      </c>
      <c r="L3919" s="656">
        <v>20</v>
      </c>
      <c r="M3919" s="663">
        <v>34864</v>
      </c>
      <c r="N3919" s="600">
        <v>2.4943499999999998</v>
      </c>
      <c r="O3919" s="604">
        <v>7.4830000000000001E-3</v>
      </c>
      <c r="P3919" s="250"/>
      <c r="Q3919" s="250"/>
      <c r="R3919" s="250"/>
      <c r="S3919" s="250"/>
      <c r="T3919" s="250">
        <v>4.5999999999999999E-2</v>
      </c>
      <c r="U3919" s="250">
        <v>0.14300000000000002</v>
      </c>
      <c r="V3919" s="250">
        <v>0.42799999999999999</v>
      </c>
      <c r="W3919" s="250">
        <v>0.317</v>
      </c>
      <c r="X3919" s="250">
        <v>6.2E-2</v>
      </c>
      <c r="Y3919" s="250">
        <v>4.0000000000000001E-3</v>
      </c>
      <c r="Z3919" s="150">
        <v>8</v>
      </c>
      <c r="AA3919" s="150">
        <v>1.21</v>
      </c>
      <c r="AB3919" s="152"/>
      <c r="AC3919" s="152"/>
      <c r="AD3919" s="223">
        <v>8.3512459999999997</v>
      </c>
      <c r="AE3919" s="223">
        <v>0.42061019999999999</v>
      </c>
      <c r="AF3919" s="223">
        <v>3.5113932000000001</v>
      </c>
      <c r="AG3919" s="223">
        <v>0.69187330000000002</v>
      </c>
      <c r="AH3919" s="341"/>
      <c r="AI3919" s="218"/>
      <c r="AJ3919" s="218"/>
      <c r="AK3919" s="153"/>
      <c r="AL3919" s="152"/>
      <c r="AM3919" s="152"/>
      <c r="AN3919" s="152"/>
      <c r="AO3919" s="152"/>
      <c r="AP3919" s="152"/>
      <c r="AQ3919" s="152"/>
      <c r="AR3919" s="152"/>
      <c r="AS3919" s="152"/>
      <c r="AT3919" s="152"/>
      <c r="AU3919" s="153"/>
      <c r="AV3919" s="479"/>
      <c r="AW3919" s="479"/>
      <c r="AX3919" s="442"/>
      <c r="AY3919" s="153"/>
      <c r="AZ3919" s="152"/>
      <c r="BA3919" s="152"/>
      <c r="BB3919" s="152"/>
      <c r="BC3919" s="152"/>
      <c r="BD3919" s="152"/>
      <c r="BE3919" s="152"/>
      <c r="BF3919" s="152"/>
      <c r="BG3919" s="152"/>
      <c r="BH3919" s="152"/>
      <c r="BI3919" s="153"/>
      <c r="BJ3919" s="153"/>
      <c r="BK3919" s="153"/>
      <c r="BL3919" s="153"/>
      <c r="BM3919" s="153"/>
      <c r="BN3919" s="153"/>
      <c r="BO3919" s="153"/>
      <c r="BP3919" s="153"/>
      <c r="BQ3919" s="153"/>
      <c r="BR3919" s="153"/>
      <c r="BS3919" s="153"/>
      <c r="BT3919" s="153"/>
      <c r="BU3919" s="153"/>
      <c r="BV3919" s="153"/>
      <c r="BW3919" s="153"/>
      <c r="BX3919" s="153"/>
      <c r="BY3919" s="153"/>
      <c r="BZ3919" s="153"/>
      <c r="CA3919" s="152"/>
      <c r="CB3919" s="152"/>
    </row>
    <row r="3920" spans="1:80" s="87" customFormat="1" x14ac:dyDescent="0.2">
      <c r="A3920" s="152"/>
      <c r="B3920" s="683"/>
      <c r="C3920" s="683"/>
      <c r="D3920" s="698"/>
      <c r="E3920" s="215"/>
      <c r="F3920" s="215"/>
      <c r="G3920" s="153"/>
      <c r="H3920" s="153"/>
      <c r="I3920" s="323">
        <v>20</v>
      </c>
      <c r="J3920" s="312">
        <v>60</v>
      </c>
      <c r="K3920" s="150">
        <v>1</v>
      </c>
      <c r="L3920" s="656">
        <v>20</v>
      </c>
      <c r="M3920" s="663">
        <v>34864</v>
      </c>
      <c r="N3920" s="600">
        <v>2.4943499999999998</v>
      </c>
      <c r="O3920" s="604">
        <v>1.364E-3</v>
      </c>
      <c r="P3920" s="250"/>
      <c r="Q3920" s="250"/>
      <c r="R3920" s="250"/>
      <c r="S3920" s="250"/>
      <c r="T3920" s="250">
        <v>0.04</v>
      </c>
      <c r="U3920" s="250">
        <v>0.113</v>
      </c>
      <c r="V3920" s="250">
        <v>0.34</v>
      </c>
      <c r="W3920" s="250">
        <v>0.36</v>
      </c>
      <c r="X3920" s="250">
        <v>0.14000000000000001</v>
      </c>
      <c r="Y3920" s="250">
        <v>6.9999999999999993E-3</v>
      </c>
      <c r="Z3920" s="150">
        <v>5</v>
      </c>
      <c r="AA3920" s="150">
        <v>0.99</v>
      </c>
      <c r="AB3920" s="152"/>
      <c r="AC3920" s="152"/>
      <c r="AD3920" s="223">
        <v>8.3512459999999997</v>
      </c>
      <c r="AE3920" s="223">
        <v>0.42061019999999999</v>
      </c>
      <c r="AF3920" s="223">
        <v>3.5113932000000001</v>
      </c>
      <c r="AG3920" s="223">
        <v>0.69187330000000002</v>
      </c>
      <c r="AH3920" s="341"/>
      <c r="AI3920" s="218"/>
      <c r="AJ3920" s="218"/>
      <c r="AK3920" s="153"/>
      <c r="AL3920" s="152"/>
      <c r="AM3920" s="152"/>
      <c r="AN3920" s="152"/>
      <c r="AO3920" s="152"/>
      <c r="AP3920" s="152"/>
      <c r="AQ3920" s="152"/>
      <c r="AR3920" s="152"/>
      <c r="AS3920" s="152"/>
      <c r="AT3920" s="152"/>
      <c r="AU3920" s="153"/>
      <c r="AV3920" s="479"/>
      <c r="AW3920" s="479"/>
      <c r="AX3920" s="442"/>
      <c r="AY3920" s="153"/>
      <c r="AZ3920" s="152"/>
      <c r="BA3920" s="152"/>
      <c r="BB3920" s="152"/>
      <c r="BC3920" s="152"/>
      <c r="BD3920" s="152"/>
      <c r="BE3920" s="152"/>
      <c r="BF3920" s="152"/>
      <c r="BG3920" s="152"/>
      <c r="BH3920" s="152"/>
      <c r="BI3920" s="153"/>
      <c r="BJ3920" s="153"/>
      <c r="BK3920" s="153"/>
      <c r="BL3920" s="153"/>
      <c r="BM3920" s="153"/>
      <c r="BN3920" s="153"/>
      <c r="BO3920" s="153"/>
      <c r="BP3920" s="153"/>
      <c r="BQ3920" s="153"/>
      <c r="BR3920" s="153"/>
      <c r="BS3920" s="153"/>
      <c r="BT3920" s="153"/>
      <c r="BU3920" s="153"/>
      <c r="BV3920" s="153"/>
      <c r="BW3920" s="153"/>
      <c r="BX3920" s="153"/>
      <c r="BY3920" s="153"/>
      <c r="BZ3920" s="153"/>
      <c r="CA3920" s="152"/>
      <c r="CB3920" s="152"/>
    </row>
    <row r="3921" spans="1:80" s="87" customFormat="1" x14ac:dyDescent="0.2">
      <c r="A3921" s="152"/>
      <c r="B3921" s="683"/>
      <c r="C3921" s="683"/>
      <c r="D3921" s="698"/>
      <c r="E3921" s="215"/>
      <c r="F3921" s="215"/>
      <c r="G3921" s="153"/>
      <c r="H3921" s="153"/>
      <c r="I3921" s="323">
        <v>20</v>
      </c>
      <c r="J3921" s="312">
        <v>60</v>
      </c>
      <c r="K3921" s="150">
        <v>1</v>
      </c>
      <c r="L3921" s="656">
        <v>20</v>
      </c>
      <c r="M3921" s="663">
        <v>34870</v>
      </c>
      <c r="N3921" s="600">
        <v>2.1602600000000001</v>
      </c>
      <c r="O3921" s="604">
        <v>4.9299999999999995E-4</v>
      </c>
      <c r="P3921" s="250"/>
      <c r="Q3921" s="250"/>
      <c r="R3921" s="250"/>
      <c r="S3921" s="250"/>
      <c r="T3921" s="250">
        <v>3.7000000000000005E-2</v>
      </c>
      <c r="U3921" s="250">
        <v>5.5999999999999994E-2</v>
      </c>
      <c r="V3921" s="250">
        <v>0.24100000000000002</v>
      </c>
      <c r="W3921" s="250">
        <v>0.44400000000000001</v>
      </c>
      <c r="X3921" s="250">
        <v>0.20399999999999999</v>
      </c>
      <c r="Y3921" s="250">
        <v>1.8000000000000002E-2</v>
      </c>
      <c r="Z3921" s="150">
        <v>5</v>
      </c>
      <c r="AA3921" s="150">
        <v>0.77</v>
      </c>
      <c r="AB3921" s="152"/>
      <c r="AC3921" s="152"/>
      <c r="AD3921" s="223">
        <v>8.3512459999999997</v>
      </c>
      <c r="AE3921" s="223">
        <v>0.39927489999999999</v>
      </c>
      <c r="AF3921" s="223">
        <v>3.3441839999999998</v>
      </c>
      <c r="AG3921" s="223">
        <v>0.65225060000000001</v>
      </c>
      <c r="AH3921" s="341"/>
      <c r="AI3921" s="218"/>
      <c r="AJ3921" s="218"/>
      <c r="AK3921" s="153"/>
      <c r="AL3921" s="152"/>
      <c r="AM3921" s="152"/>
      <c r="AN3921" s="152"/>
      <c r="AO3921" s="152"/>
      <c r="AP3921" s="152"/>
      <c r="AQ3921" s="152"/>
      <c r="AR3921" s="152"/>
      <c r="AS3921" s="152"/>
      <c r="AT3921" s="152"/>
      <c r="AU3921" s="153"/>
      <c r="AV3921" s="479"/>
      <c r="AW3921" s="479"/>
      <c r="AX3921" s="442"/>
      <c r="AY3921" s="153"/>
      <c r="AZ3921" s="152"/>
      <c r="BA3921" s="152"/>
      <c r="BB3921" s="152"/>
      <c r="BC3921" s="152"/>
      <c r="BD3921" s="152"/>
      <c r="BE3921" s="152"/>
      <c r="BF3921" s="152"/>
      <c r="BG3921" s="152"/>
      <c r="BH3921" s="152"/>
      <c r="BI3921" s="153"/>
      <c r="BJ3921" s="153"/>
      <c r="BK3921" s="153"/>
      <c r="BL3921" s="153"/>
      <c r="BM3921" s="153"/>
      <c r="BN3921" s="153"/>
      <c r="BO3921" s="153"/>
      <c r="BP3921" s="153"/>
      <c r="BQ3921" s="153"/>
      <c r="BR3921" s="153"/>
      <c r="BS3921" s="153"/>
      <c r="BT3921" s="153"/>
      <c r="BU3921" s="153"/>
      <c r="BV3921" s="153"/>
      <c r="BW3921" s="153"/>
      <c r="BX3921" s="153"/>
      <c r="BY3921" s="153"/>
      <c r="BZ3921" s="153"/>
      <c r="CA3921" s="152"/>
      <c r="CB3921" s="152"/>
    </row>
    <row r="3922" spans="1:80" s="87" customFormat="1" x14ac:dyDescent="0.2">
      <c r="A3922" s="152"/>
      <c r="B3922" s="683"/>
      <c r="C3922" s="683"/>
      <c r="D3922" s="698"/>
      <c r="E3922" s="215"/>
      <c r="F3922" s="215"/>
      <c r="G3922" s="153"/>
      <c r="H3922" s="153"/>
      <c r="I3922" s="323">
        <v>20</v>
      </c>
      <c r="J3922" s="312">
        <v>60</v>
      </c>
      <c r="K3922" s="150">
        <v>1</v>
      </c>
      <c r="L3922" s="656">
        <v>20</v>
      </c>
      <c r="M3922" s="663">
        <v>34870</v>
      </c>
      <c r="N3922" s="600">
        <v>2.1602600000000001</v>
      </c>
      <c r="O3922" s="604">
        <v>6.9399999999999996E-4</v>
      </c>
      <c r="P3922" s="250"/>
      <c r="Q3922" s="250"/>
      <c r="R3922" s="250"/>
      <c r="S3922" s="250"/>
      <c r="T3922" s="250"/>
      <c r="U3922" s="250">
        <v>0.184</v>
      </c>
      <c r="V3922" s="250">
        <v>0.42100000000000004</v>
      </c>
      <c r="W3922" s="250">
        <v>0.28899999999999998</v>
      </c>
      <c r="X3922" s="250">
        <v>9.1999999999999998E-2</v>
      </c>
      <c r="Y3922" s="250">
        <v>1.3999999999999999E-2</v>
      </c>
      <c r="Z3922" s="150">
        <v>4</v>
      </c>
      <c r="AA3922" s="150">
        <v>1.19</v>
      </c>
      <c r="AB3922" s="152"/>
      <c r="AC3922" s="152"/>
      <c r="AD3922" s="223">
        <v>8.3512459999999997</v>
      </c>
      <c r="AE3922" s="223">
        <v>0.39927489999999999</v>
      </c>
      <c r="AF3922" s="223">
        <v>3.3441839999999998</v>
      </c>
      <c r="AG3922" s="223">
        <v>0.65225060000000001</v>
      </c>
      <c r="AH3922" s="341"/>
      <c r="AI3922" s="218"/>
      <c r="AJ3922" s="218"/>
      <c r="AK3922" s="153"/>
      <c r="AL3922" s="152"/>
      <c r="AM3922" s="152"/>
      <c r="AN3922" s="152"/>
      <c r="AO3922" s="152"/>
      <c r="AP3922" s="152"/>
      <c r="AQ3922" s="152"/>
      <c r="AR3922" s="152"/>
      <c r="AS3922" s="152"/>
      <c r="AT3922" s="152"/>
      <c r="AU3922" s="153"/>
      <c r="AV3922" s="479"/>
      <c r="AW3922" s="479"/>
      <c r="AX3922" s="442"/>
      <c r="AY3922" s="153"/>
      <c r="AZ3922" s="152"/>
      <c r="BA3922" s="152"/>
      <c r="BB3922" s="152"/>
      <c r="BC3922" s="152"/>
      <c r="BD3922" s="152"/>
      <c r="BE3922" s="152"/>
      <c r="BF3922" s="152"/>
      <c r="BG3922" s="152"/>
      <c r="BH3922" s="152"/>
      <c r="BI3922" s="153"/>
      <c r="BJ3922" s="153"/>
      <c r="BK3922" s="153"/>
      <c r="BL3922" s="153"/>
      <c r="BM3922" s="153"/>
      <c r="BN3922" s="153"/>
      <c r="BO3922" s="153"/>
      <c r="BP3922" s="153"/>
      <c r="BQ3922" s="153"/>
      <c r="BR3922" s="153"/>
      <c r="BS3922" s="153"/>
      <c r="BT3922" s="153"/>
      <c r="BU3922" s="153"/>
      <c r="BV3922" s="153"/>
      <c r="BW3922" s="153"/>
      <c r="BX3922" s="153"/>
      <c r="BY3922" s="153"/>
      <c r="BZ3922" s="153"/>
      <c r="CA3922" s="152"/>
      <c r="CB3922" s="152"/>
    </row>
    <row r="3923" spans="1:80" s="87" customFormat="1" x14ac:dyDescent="0.2">
      <c r="A3923" s="152"/>
      <c r="B3923" s="683"/>
      <c r="C3923" s="683"/>
      <c r="D3923" s="698"/>
      <c r="E3923" s="215"/>
      <c r="F3923" s="215"/>
      <c r="G3923" s="153"/>
      <c r="H3923" s="153"/>
      <c r="I3923" s="323">
        <v>20</v>
      </c>
      <c r="J3923" s="312">
        <v>60</v>
      </c>
      <c r="K3923" s="150">
        <v>1</v>
      </c>
      <c r="L3923" s="656">
        <v>20</v>
      </c>
      <c r="M3923" s="663">
        <v>34886</v>
      </c>
      <c r="N3923" s="600">
        <v>1.2401</v>
      </c>
      <c r="O3923" s="604">
        <v>1.07E-4</v>
      </c>
      <c r="P3923" s="250"/>
      <c r="Q3923" s="250"/>
      <c r="R3923" s="250"/>
      <c r="S3923" s="250"/>
      <c r="T3923" s="250"/>
      <c r="U3923" s="250">
        <v>8.3000000000000004E-2</v>
      </c>
      <c r="V3923" s="250">
        <v>0.16699999999999998</v>
      </c>
      <c r="W3923" s="250">
        <v>0.41700000000000004</v>
      </c>
      <c r="X3923" s="250">
        <v>0.25</v>
      </c>
      <c r="Y3923" s="250">
        <v>8.3000000000000004E-2</v>
      </c>
      <c r="Z3923" s="150">
        <v>2</v>
      </c>
      <c r="AA3923" s="150">
        <v>0.66</v>
      </c>
      <c r="AB3923" s="152"/>
      <c r="AC3923" s="152"/>
      <c r="AD3923" s="223">
        <v>8.1988509999999994</v>
      </c>
      <c r="AE3923" s="223">
        <v>0.32612530000000001</v>
      </c>
      <c r="AF3923" s="223">
        <v>2.6846366000000002</v>
      </c>
      <c r="AG3923" s="223">
        <v>0.46937659999999998</v>
      </c>
      <c r="AH3923" s="341"/>
      <c r="AI3923" s="218"/>
      <c r="AJ3923" s="218"/>
      <c r="AK3923" s="153"/>
      <c r="AL3923" s="152"/>
      <c r="AM3923" s="152"/>
      <c r="AN3923" s="152"/>
      <c r="AO3923" s="152"/>
      <c r="AP3923" s="152"/>
      <c r="AQ3923" s="152"/>
      <c r="AR3923" s="152"/>
      <c r="AS3923" s="152"/>
      <c r="AT3923" s="152"/>
      <c r="AU3923" s="153"/>
      <c r="AV3923" s="479"/>
      <c r="AW3923" s="479"/>
      <c r="AX3923" s="442"/>
      <c r="AY3923" s="153"/>
      <c r="AZ3923" s="152"/>
      <c r="BA3923" s="152"/>
      <c r="BB3923" s="152"/>
      <c r="BC3923" s="152"/>
      <c r="BD3923" s="152"/>
      <c r="BE3923" s="152"/>
      <c r="BF3923" s="152"/>
      <c r="BG3923" s="152"/>
      <c r="BH3923" s="152"/>
      <c r="BI3923" s="153"/>
      <c r="BJ3923" s="153"/>
      <c r="BK3923" s="153"/>
      <c r="BL3923" s="153"/>
      <c r="BM3923" s="153"/>
      <c r="BN3923" s="153"/>
      <c r="BO3923" s="153"/>
      <c r="BP3923" s="153"/>
      <c r="BQ3923" s="153"/>
      <c r="BR3923" s="153"/>
      <c r="BS3923" s="153"/>
      <c r="BT3923" s="153"/>
      <c r="BU3923" s="153"/>
      <c r="BV3923" s="153"/>
      <c r="BW3923" s="153"/>
      <c r="BX3923" s="153"/>
      <c r="BY3923" s="153"/>
      <c r="BZ3923" s="153"/>
      <c r="CA3923" s="152"/>
      <c r="CB3923" s="152"/>
    </row>
    <row r="3924" spans="1:80" s="87" customFormat="1" x14ac:dyDescent="0.2">
      <c r="A3924" s="152"/>
      <c r="B3924" s="683"/>
      <c r="C3924" s="683"/>
      <c r="D3924" s="698"/>
      <c r="E3924" s="215"/>
      <c r="F3924" s="215"/>
      <c r="G3924" s="153"/>
      <c r="H3924" s="153"/>
      <c r="I3924" s="323">
        <v>20</v>
      </c>
      <c r="J3924" s="312">
        <v>60</v>
      </c>
      <c r="K3924" s="150">
        <v>1</v>
      </c>
      <c r="L3924" s="656">
        <v>20</v>
      </c>
      <c r="M3924" s="663">
        <v>34886</v>
      </c>
      <c r="N3924" s="600">
        <v>1.2401</v>
      </c>
      <c r="O3924" s="604">
        <v>7.9799999999999999E-4</v>
      </c>
      <c r="P3924" s="250"/>
      <c r="Q3924" s="250"/>
      <c r="R3924" s="250"/>
      <c r="S3924" s="250"/>
      <c r="T3924" s="250"/>
      <c r="U3924" s="250">
        <v>5.5999999999999994E-2</v>
      </c>
      <c r="V3924" s="250">
        <v>0.51700000000000002</v>
      </c>
      <c r="W3924" s="250">
        <v>0.34799999999999998</v>
      </c>
      <c r="X3924" s="250">
        <v>6.7000000000000004E-2</v>
      </c>
      <c r="Y3924" s="250">
        <v>1.2E-2</v>
      </c>
      <c r="Z3924" s="150">
        <v>3</v>
      </c>
      <c r="AA3924" s="150">
        <v>1.1000000000000001</v>
      </c>
      <c r="AB3924" s="152"/>
      <c r="AC3924" s="152"/>
      <c r="AD3924" s="223">
        <v>8.1988509999999994</v>
      </c>
      <c r="AE3924" s="223">
        <v>0.32612530000000001</v>
      </c>
      <c r="AF3924" s="223">
        <v>2.6846366000000002</v>
      </c>
      <c r="AG3924" s="223">
        <v>0.46937659999999998</v>
      </c>
      <c r="AH3924" s="341"/>
      <c r="AI3924" s="218"/>
      <c r="AJ3924" s="218"/>
      <c r="AK3924" s="153"/>
      <c r="AL3924" s="152"/>
      <c r="AM3924" s="152"/>
      <c r="AN3924" s="152"/>
      <c r="AO3924" s="152"/>
      <c r="AP3924" s="152"/>
      <c r="AQ3924" s="152"/>
      <c r="AR3924" s="152"/>
      <c r="AS3924" s="152"/>
      <c r="AT3924" s="152"/>
      <c r="AU3924" s="153"/>
      <c r="AV3924" s="479"/>
      <c r="AW3924" s="479"/>
      <c r="AX3924" s="442"/>
      <c r="AY3924" s="153"/>
      <c r="AZ3924" s="152"/>
      <c r="BA3924" s="152"/>
      <c r="BB3924" s="152"/>
      <c r="BC3924" s="152"/>
      <c r="BD3924" s="152"/>
      <c r="BE3924" s="152"/>
      <c r="BF3924" s="152"/>
      <c r="BG3924" s="152"/>
      <c r="BH3924" s="152"/>
      <c r="BI3924" s="153"/>
      <c r="BJ3924" s="153"/>
      <c r="BK3924" s="153"/>
      <c r="BL3924" s="153"/>
      <c r="BM3924" s="153"/>
      <c r="BN3924" s="153"/>
      <c r="BO3924" s="153"/>
      <c r="BP3924" s="153"/>
      <c r="BQ3924" s="153"/>
      <c r="BR3924" s="153"/>
      <c r="BS3924" s="153"/>
      <c r="BT3924" s="153"/>
      <c r="BU3924" s="153"/>
      <c r="BV3924" s="153"/>
      <c r="BW3924" s="153"/>
      <c r="BX3924" s="153"/>
      <c r="BY3924" s="153"/>
      <c r="BZ3924" s="153"/>
      <c r="CA3924" s="152"/>
      <c r="CB3924" s="152"/>
    </row>
    <row r="3925" spans="1:80" s="87" customFormat="1" x14ac:dyDescent="0.2">
      <c r="A3925" s="152"/>
      <c r="B3925" s="683"/>
      <c r="C3925" s="683"/>
      <c r="D3925" s="698"/>
      <c r="E3925" s="215"/>
      <c r="F3925" s="215"/>
      <c r="G3925" s="153"/>
      <c r="H3925" s="153"/>
      <c r="I3925" s="323">
        <v>20</v>
      </c>
      <c r="J3925" s="312">
        <v>60</v>
      </c>
      <c r="K3925" s="150">
        <v>1</v>
      </c>
      <c r="L3925" s="656">
        <v>20</v>
      </c>
      <c r="M3925" s="663">
        <v>34897</v>
      </c>
      <c r="N3925" s="600">
        <v>0.86070999999999998</v>
      </c>
      <c r="O3925" s="604">
        <v>8.7100000000000003E-5</v>
      </c>
      <c r="P3925" s="250"/>
      <c r="Q3925" s="250"/>
      <c r="R3925" s="250"/>
      <c r="S3925" s="250"/>
      <c r="T3925" s="250"/>
      <c r="U3925" s="250">
        <v>0.25</v>
      </c>
      <c r="V3925" s="250">
        <v>0.41700000000000004</v>
      </c>
      <c r="W3925" s="250">
        <v>0.25</v>
      </c>
      <c r="X3925" s="250">
        <v>8.3000000000000004E-2</v>
      </c>
      <c r="Y3925" s="250">
        <v>0</v>
      </c>
      <c r="Z3925" s="150">
        <v>4</v>
      </c>
      <c r="AA3925" s="150">
        <v>1.32</v>
      </c>
      <c r="AB3925" s="152"/>
      <c r="AC3925" s="152"/>
      <c r="AD3925" s="223">
        <v>8.137893</v>
      </c>
      <c r="AE3925" s="223">
        <v>0.2834547</v>
      </c>
      <c r="AF3925" s="223">
        <v>2.3037711999999999</v>
      </c>
      <c r="AG3925" s="223">
        <v>0.37489169999999999</v>
      </c>
      <c r="AH3925" s="341"/>
      <c r="AI3925" s="218"/>
      <c r="AJ3925" s="218"/>
      <c r="AK3925" s="153"/>
      <c r="AL3925" s="152"/>
      <c r="AM3925" s="152"/>
      <c r="AN3925" s="152"/>
      <c r="AO3925" s="152"/>
      <c r="AP3925" s="152"/>
      <c r="AQ3925" s="152"/>
      <c r="AR3925" s="152"/>
      <c r="AS3925" s="152"/>
      <c r="AT3925" s="152"/>
      <c r="AU3925" s="153"/>
      <c r="AV3925" s="479"/>
      <c r="AW3925" s="479"/>
      <c r="AX3925" s="442"/>
      <c r="AY3925" s="153"/>
      <c r="AZ3925" s="152"/>
      <c r="BA3925" s="152"/>
      <c r="BB3925" s="152"/>
      <c r="BC3925" s="152"/>
      <c r="BD3925" s="152"/>
      <c r="BE3925" s="152"/>
      <c r="BF3925" s="152"/>
      <c r="BG3925" s="152"/>
      <c r="BH3925" s="152"/>
      <c r="BI3925" s="153"/>
      <c r="BJ3925" s="153"/>
      <c r="BK3925" s="153"/>
      <c r="BL3925" s="153"/>
      <c r="BM3925" s="153"/>
      <c r="BN3925" s="153"/>
      <c r="BO3925" s="153"/>
      <c r="BP3925" s="153"/>
      <c r="BQ3925" s="153"/>
      <c r="BR3925" s="153"/>
      <c r="BS3925" s="153"/>
      <c r="BT3925" s="153"/>
      <c r="BU3925" s="153"/>
      <c r="BV3925" s="153"/>
      <c r="BW3925" s="153"/>
      <c r="BX3925" s="153"/>
      <c r="BY3925" s="153"/>
      <c r="BZ3925" s="153"/>
      <c r="CA3925" s="152"/>
      <c r="CB3925" s="152"/>
    </row>
    <row r="3926" spans="1:80" s="87" customFormat="1" x14ac:dyDescent="0.2">
      <c r="A3926" s="152"/>
      <c r="B3926" s="683"/>
      <c r="C3926" s="683"/>
      <c r="D3926" s="698"/>
      <c r="E3926" s="215"/>
      <c r="F3926" s="215"/>
      <c r="G3926" s="153"/>
      <c r="H3926" s="153"/>
      <c r="I3926" s="323">
        <v>20</v>
      </c>
      <c r="J3926" s="312">
        <v>60</v>
      </c>
      <c r="K3926" s="150">
        <v>1</v>
      </c>
      <c r="L3926" s="656">
        <v>20</v>
      </c>
      <c r="M3926" s="663">
        <v>34897</v>
      </c>
      <c r="N3926" s="600">
        <v>0.86070999999999998</v>
      </c>
      <c r="O3926" s="604">
        <v>2.62E-5</v>
      </c>
      <c r="P3926" s="250"/>
      <c r="Q3926" s="250"/>
      <c r="R3926" s="250"/>
      <c r="S3926" s="250"/>
      <c r="T3926" s="250"/>
      <c r="U3926" s="250">
        <v>0.25</v>
      </c>
      <c r="V3926" s="250">
        <v>0.25</v>
      </c>
      <c r="W3926" s="250">
        <v>0.25</v>
      </c>
      <c r="X3926" s="250">
        <v>0.25</v>
      </c>
      <c r="Y3926" s="250">
        <v>0</v>
      </c>
      <c r="Z3926" s="150">
        <v>3</v>
      </c>
      <c r="AA3926" s="150">
        <v>1</v>
      </c>
      <c r="AB3926" s="152"/>
      <c r="AC3926" s="152"/>
      <c r="AD3926" s="223">
        <v>8.137893</v>
      </c>
      <c r="AE3926" s="223">
        <v>0.2834547</v>
      </c>
      <c r="AF3926" s="223">
        <v>2.3037711999999999</v>
      </c>
      <c r="AG3926" s="223">
        <v>0.37489169999999999</v>
      </c>
      <c r="AH3926" s="341"/>
      <c r="AI3926" s="218"/>
      <c r="AJ3926" s="218"/>
      <c r="AK3926" s="153"/>
      <c r="AL3926" s="152"/>
      <c r="AM3926" s="152"/>
      <c r="AN3926" s="152"/>
      <c r="AO3926" s="152"/>
      <c r="AP3926" s="152"/>
      <c r="AQ3926" s="152"/>
      <c r="AR3926" s="152"/>
      <c r="AS3926" s="152"/>
      <c r="AT3926" s="152"/>
      <c r="AU3926" s="153"/>
      <c r="AV3926" s="479"/>
      <c r="AW3926" s="479"/>
      <c r="AX3926" s="442"/>
      <c r="AY3926" s="153"/>
      <c r="AZ3926" s="152"/>
      <c r="BA3926" s="152"/>
      <c r="BB3926" s="152"/>
      <c r="BC3926" s="152"/>
      <c r="BD3926" s="152"/>
      <c r="BE3926" s="152"/>
      <c r="BF3926" s="152"/>
      <c r="BG3926" s="152"/>
      <c r="BH3926" s="152"/>
      <c r="BI3926" s="153"/>
      <c r="BJ3926" s="153"/>
      <c r="BK3926" s="153"/>
      <c r="BL3926" s="153"/>
      <c r="BM3926" s="153"/>
      <c r="BN3926" s="153"/>
      <c r="BO3926" s="153"/>
      <c r="BP3926" s="153"/>
      <c r="BQ3926" s="153"/>
      <c r="BR3926" s="153"/>
      <c r="BS3926" s="153"/>
      <c r="BT3926" s="153"/>
      <c r="BU3926" s="153"/>
      <c r="BV3926" s="153"/>
      <c r="BW3926" s="153"/>
      <c r="BX3926" s="153"/>
      <c r="BY3926" s="153"/>
      <c r="BZ3926" s="153"/>
      <c r="CA3926" s="152"/>
      <c r="CB3926" s="152"/>
    </row>
    <row r="3927" spans="1:80" s="87" customFormat="1" x14ac:dyDescent="0.2">
      <c r="A3927" s="152"/>
      <c r="B3927" s="683"/>
      <c r="C3927" s="683"/>
      <c r="D3927" s="698"/>
      <c r="E3927" s="215"/>
      <c r="F3927" s="215"/>
      <c r="G3927" s="153"/>
      <c r="H3927" s="153"/>
      <c r="I3927" s="323">
        <v>20</v>
      </c>
      <c r="J3927" s="312">
        <v>60</v>
      </c>
      <c r="K3927" s="150">
        <v>1</v>
      </c>
      <c r="L3927" s="656">
        <v>20</v>
      </c>
      <c r="M3927" s="663">
        <v>34911</v>
      </c>
      <c r="N3927" s="600">
        <v>0.61155000000000004</v>
      </c>
      <c r="O3927" s="604">
        <v>4.9299999999999999E-5</v>
      </c>
      <c r="P3927" s="250"/>
      <c r="Q3927" s="250"/>
      <c r="R3927" s="250"/>
      <c r="S3927" s="250"/>
      <c r="T3927" s="250"/>
      <c r="U3927" s="250">
        <v>0.28600000000000003</v>
      </c>
      <c r="V3927" s="250">
        <v>0.14300000000000002</v>
      </c>
      <c r="W3927" s="250">
        <v>0.28600000000000003</v>
      </c>
      <c r="X3927" s="250">
        <v>0.14300000000000002</v>
      </c>
      <c r="Y3927" s="250">
        <v>0.14199999999999999</v>
      </c>
      <c r="Z3927" s="150">
        <v>2</v>
      </c>
      <c r="AA3927" s="150">
        <v>0.84</v>
      </c>
      <c r="AB3927" s="152"/>
      <c r="AC3927" s="152"/>
      <c r="AD3927" s="223">
        <v>8.1683719999999997</v>
      </c>
      <c r="AE3927" s="223">
        <v>0.2194488</v>
      </c>
      <c r="AF3927" s="223">
        <v>1.7835648</v>
      </c>
      <c r="AG3927" s="223">
        <v>0.34746060000000001</v>
      </c>
      <c r="AH3927" s="341"/>
      <c r="AI3927" s="218"/>
      <c r="AJ3927" s="218"/>
      <c r="AK3927" s="153"/>
      <c r="AL3927" s="152"/>
      <c r="AM3927" s="152"/>
      <c r="AN3927" s="152"/>
      <c r="AO3927" s="152"/>
      <c r="AP3927" s="152"/>
      <c r="AQ3927" s="152"/>
      <c r="AR3927" s="152"/>
      <c r="AS3927" s="152"/>
      <c r="AT3927" s="152"/>
      <c r="AU3927" s="153"/>
      <c r="AV3927" s="479"/>
      <c r="AW3927" s="479"/>
      <c r="AX3927" s="442"/>
      <c r="AY3927" s="153"/>
      <c r="AZ3927" s="152"/>
      <c r="BA3927" s="152"/>
      <c r="BB3927" s="152"/>
      <c r="BC3927" s="152"/>
      <c r="BD3927" s="152"/>
      <c r="BE3927" s="152"/>
      <c r="BF3927" s="152"/>
      <c r="BG3927" s="152"/>
      <c r="BH3927" s="152"/>
      <c r="BI3927" s="153"/>
      <c r="BJ3927" s="153"/>
      <c r="BK3927" s="153"/>
      <c r="BL3927" s="153"/>
      <c r="BM3927" s="153"/>
      <c r="BN3927" s="153"/>
      <c r="BO3927" s="153"/>
      <c r="BP3927" s="153"/>
      <c r="BQ3927" s="153"/>
      <c r="BR3927" s="153"/>
      <c r="BS3927" s="153"/>
      <c r="BT3927" s="153"/>
      <c r="BU3927" s="153"/>
      <c r="BV3927" s="153"/>
      <c r="BW3927" s="153"/>
      <c r="BX3927" s="153"/>
      <c r="BY3927" s="153"/>
      <c r="BZ3927" s="153"/>
      <c r="CA3927" s="152"/>
      <c r="CB3927" s="152"/>
    </row>
    <row r="3928" spans="1:80" s="87" customFormat="1" x14ac:dyDescent="0.2">
      <c r="A3928" s="152"/>
      <c r="B3928" s="683"/>
      <c r="C3928" s="683"/>
      <c r="D3928" s="698"/>
      <c r="E3928" s="215"/>
      <c r="F3928" s="215"/>
      <c r="G3928" s="153"/>
      <c r="H3928" s="153"/>
      <c r="I3928" s="323">
        <v>20</v>
      </c>
      <c r="J3928" s="312">
        <v>60</v>
      </c>
      <c r="K3928" s="150">
        <v>1</v>
      </c>
      <c r="L3928" s="656">
        <v>20</v>
      </c>
      <c r="M3928" s="663">
        <v>34911</v>
      </c>
      <c r="N3928" s="600">
        <v>0.61155000000000004</v>
      </c>
      <c r="O3928" s="604">
        <v>1.36E-5</v>
      </c>
      <c r="P3928" s="250"/>
      <c r="Q3928" s="250"/>
      <c r="R3928" s="250"/>
      <c r="S3928" s="250"/>
      <c r="T3928" s="250"/>
      <c r="U3928" s="250"/>
      <c r="V3928" s="250">
        <v>0.33299999999999996</v>
      </c>
      <c r="W3928" s="250">
        <v>0.33299999999999996</v>
      </c>
      <c r="X3928" s="250">
        <v>0.33299999999999996</v>
      </c>
      <c r="Y3928" s="250">
        <v>1E-3</v>
      </c>
      <c r="Z3928" s="150">
        <v>2</v>
      </c>
      <c r="AA3928" s="150">
        <v>0.71</v>
      </c>
      <c r="AB3928" s="152"/>
      <c r="AC3928" s="152"/>
      <c r="AD3928" s="223">
        <v>8.1683719999999997</v>
      </c>
      <c r="AE3928" s="223">
        <v>0.2194488</v>
      </c>
      <c r="AF3928" s="223">
        <v>1.7835648</v>
      </c>
      <c r="AG3928" s="223">
        <v>0.34746060000000001</v>
      </c>
      <c r="AH3928" s="341"/>
      <c r="AI3928" s="218"/>
      <c r="AJ3928" s="218"/>
      <c r="AK3928" s="153"/>
      <c r="AL3928" s="152"/>
      <c r="AM3928" s="152"/>
      <c r="AN3928" s="152"/>
      <c r="AO3928" s="152"/>
      <c r="AP3928" s="152"/>
      <c r="AQ3928" s="152"/>
      <c r="AR3928" s="152"/>
      <c r="AS3928" s="152"/>
      <c r="AT3928" s="152"/>
      <c r="AU3928" s="153"/>
      <c r="AV3928" s="479"/>
      <c r="AW3928" s="479"/>
      <c r="AX3928" s="442"/>
      <c r="AY3928" s="153"/>
      <c r="AZ3928" s="152"/>
      <c r="BA3928" s="152"/>
      <c r="BB3928" s="152"/>
      <c r="BC3928" s="152"/>
      <c r="BD3928" s="152"/>
      <c r="BE3928" s="152"/>
      <c r="BF3928" s="152"/>
      <c r="BG3928" s="152"/>
      <c r="BH3928" s="152"/>
      <c r="BI3928" s="153"/>
      <c r="BJ3928" s="153"/>
      <c r="BK3928" s="153"/>
      <c r="BL3928" s="153"/>
      <c r="BM3928" s="153"/>
      <c r="BN3928" s="153"/>
      <c r="BO3928" s="153"/>
      <c r="BP3928" s="153"/>
      <c r="BQ3928" s="153"/>
      <c r="BR3928" s="153"/>
      <c r="BS3928" s="153"/>
      <c r="BT3928" s="153"/>
      <c r="BU3928" s="153"/>
      <c r="BV3928" s="153"/>
      <c r="BW3928" s="153"/>
      <c r="BX3928" s="153"/>
      <c r="BY3928" s="153"/>
      <c r="BZ3928" s="153"/>
      <c r="CA3928" s="152"/>
      <c r="CB3928" s="152"/>
    </row>
    <row r="3929" spans="1:80" s="87" customFormat="1" x14ac:dyDescent="0.2">
      <c r="A3929" s="152"/>
      <c r="B3929" s="683"/>
      <c r="C3929" s="683"/>
      <c r="D3929" s="698"/>
      <c r="E3929" s="215"/>
      <c r="F3929" s="215"/>
      <c r="G3929" s="153"/>
      <c r="H3929" s="153"/>
      <c r="I3929" s="323">
        <v>10</v>
      </c>
      <c r="J3929" s="312">
        <v>60</v>
      </c>
      <c r="K3929" s="150">
        <v>1</v>
      </c>
      <c r="L3929" s="656">
        <v>10</v>
      </c>
      <c r="M3929" s="663">
        <v>34918</v>
      </c>
      <c r="N3929" s="600">
        <v>0.53227999999999998</v>
      </c>
      <c r="O3929" s="604">
        <v>1.2400000000000001E-4</v>
      </c>
      <c r="P3929" s="250"/>
      <c r="Q3929" s="250"/>
      <c r="R3929" s="250"/>
      <c r="S3929" s="250"/>
      <c r="T3929" s="250"/>
      <c r="U3929" s="250">
        <v>0.28600000000000003</v>
      </c>
      <c r="V3929" s="250">
        <v>0.14300000000000002</v>
      </c>
      <c r="W3929" s="250">
        <v>0.28600000000000003</v>
      </c>
      <c r="X3929" s="250">
        <v>0.14300000000000002</v>
      </c>
      <c r="Y3929" s="250">
        <v>0.14199999999999999</v>
      </c>
      <c r="Z3929" s="150">
        <v>3</v>
      </c>
      <c r="AA3929" s="150">
        <v>0.84</v>
      </c>
      <c r="AB3929" s="152"/>
      <c r="AC3929" s="152"/>
      <c r="AD3929" s="223">
        <v>8.1683719999999997</v>
      </c>
      <c r="AE3929" s="223">
        <v>0.21640090000000001</v>
      </c>
      <c r="AF3929" s="223">
        <v>1.7556966000000001</v>
      </c>
      <c r="AG3929" s="223">
        <v>0.28955049999999999</v>
      </c>
      <c r="AH3929" s="341"/>
      <c r="AI3929" s="218"/>
      <c r="AJ3929" s="218"/>
      <c r="AK3929" s="153"/>
      <c r="AL3929" s="152"/>
      <c r="AM3929" s="152"/>
      <c r="AN3929" s="152"/>
      <c r="AO3929" s="152"/>
      <c r="AP3929" s="152"/>
      <c r="AQ3929" s="152"/>
      <c r="AR3929" s="152"/>
      <c r="AS3929" s="152"/>
      <c r="AT3929" s="152"/>
      <c r="AU3929" s="153"/>
      <c r="AV3929" s="479"/>
      <c r="AW3929" s="479"/>
      <c r="AX3929" s="442"/>
      <c r="AY3929" s="153"/>
      <c r="AZ3929" s="152"/>
      <c r="BA3929" s="152"/>
      <c r="BB3929" s="152"/>
      <c r="BC3929" s="152"/>
      <c r="BD3929" s="152"/>
      <c r="BE3929" s="152"/>
      <c r="BF3929" s="152"/>
      <c r="BG3929" s="152"/>
      <c r="BH3929" s="152"/>
      <c r="BI3929" s="153"/>
      <c r="BJ3929" s="153"/>
      <c r="BK3929" s="153"/>
      <c r="BL3929" s="153"/>
      <c r="BM3929" s="153"/>
      <c r="BN3929" s="153"/>
      <c r="BO3929" s="153"/>
      <c r="BP3929" s="153"/>
      <c r="BQ3929" s="153"/>
      <c r="BR3929" s="153"/>
      <c r="BS3929" s="153"/>
      <c r="BT3929" s="153"/>
      <c r="BU3929" s="153"/>
      <c r="BV3929" s="153"/>
      <c r="BW3929" s="153"/>
      <c r="BX3929" s="153"/>
      <c r="BY3929" s="153"/>
      <c r="BZ3929" s="153"/>
      <c r="CA3929" s="152"/>
      <c r="CB3929" s="152"/>
    </row>
    <row r="3930" spans="1:80" s="87" customFormat="1" x14ac:dyDescent="0.2">
      <c r="A3930" s="152"/>
      <c r="B3930" s="683"/>
      <c r="C3930" s="683"/>
      <c r="D3930" s="698"/>
      <c r="E3930" s="215"/>
      <c r="F3930" s="215"/>
      <c r="G3930" s="153"/>
      <c r="H3930" s="153"/>
      <c r="I3930" s="323">
        <v>10</v>
      </c>
      <c r="J3930" s="312">
        <v>60</v>
      </c>
      <c r="K3930" s="150">
        <v>1</v>
      </c>
      <c r="L3930" s="656">
        <v>10</v>
      </c>
      <c r="M3930" s="663">
        <v>34918</v>
      </c>
      <c r="N3930" s="600">
        <v>0.53227999999999998</v>
      </c>
      <c r="O3930" s="604">
        <v>1.2400000000000001E-4</v>
      </c>
      <c r="P3930" s="250"/>
      <c r="Q3930" s="250"/>
      <c r="R3930" s="250"/>
      <c r="S3930" s="250"/>
      <c r="T3930" s="250"/>
      <c r="U3930" s="250">
        <v>0.42899999999999999</v>
      </c>
      <c r="V3930" s="250">
        <v>0.14300000000000002</v>
      </c>
      <c r="W3930" s="250">
        <v>0.14300000000000002</v>
      </c>
      <c r="X3930" s="250">
        <v>0.14300000000000002</v>
      </c>
      <c r="Y3930" s="250">
        <v>0.14199999999999999</v>
      </c>
      <c r="Z3930" s="150">
        <v>3</v>
      </c>
      <c r="AA3930" s="150">
        <v>1.42</v>
      </c>
      <c r="AB3930" s="152"/>
      <c r="AC3930" s="152"/>
      <c r="AD3930" s="223">
        <v>8.1683719999999997</v>
      </c>
      <c r="AE3930" s="223">
        <v>0.21640090000000001</v>
      </c>
      <c r="AF3930" s="223">
        <v>1.7556966000000001</v>
      </c>
      <c r="AG3930" s="223">
        <v>0.28955049999999999</v>
      </c>
      <c r="AH3930" s="341"/>
      <c r="AI3930" s="218"/>
      <c r="AJ3930" s="218"/>
      <c r="AK3930" s="153"/>
      <c r="AL3930" s="152"/>
      <c r="AM3930" s="152"/>
      <c r="AN3930" s="152"/>
      <c r="AO3930" s="152"/>
      <c r="AP3930" s="152"/>
      <c r="AQ3930" s="152"/>
      <c r="AR3930" s="152"/>
      <c r="AS3930" s="152"/>
      <c r="AT3930" s="152"/>
      <c r="AU3930" s="153"/>
      <c r="AV3930" s="479"/>
      <c r="AW3930" s="479"/>
      <c r="AX3930" s="442"/>
      <c r="AY3930" s="153"/>
      <c r="AZ3930" s="152"/>
      <c r="BA3930" s="152"/>
      <c r="BB3930" s="152"/>
      <c r="BC3930" s="152"/>
      <c r="BD3930" s="152"/>
      <c r="BE3930" s="152"/>
      <c r="BF3930" s="152"/>
      <c r="BG3930" s="152"/>
      <c r="BH3930" s="152"/>
      <c r="BI3930" s="153"/>
      <c r="BJ3930" s="153"/>
      <c r="BK3930" s="153"/>
      <c r="BL3930" s="153"/>
      <c r="BM3930" s="153"/>
      <c r="BN3930" s="153"/>
      <c r="BO3930" s="153"/>
      <c r="BP3930" s="153"/>
      <c r="BQ3930" s="153"/>
      <c r="BR3930" s="153"/>
      <c r="BS3930" s="153"/>
      <c r="BT3930" s="153"/>
      <c r="BU3930" s="153"/>
      <c r="BV3930" s="153"/>
      <c r="BW3930" s="153"/>
      <c r="BX3930" s="153"/>
      <c r="BY3930" s="153"/>
      <c r="BZ3930" s="153"/>
      <c r="CA3930" s="152"/>
      <c r="CB3930" s="152"/>
    </row>
    <row r="3931" spans="1:80" s="87" customFormat="1" x14ac:dyDescent="0.2">
      <c r="A3931" s="152"/>
      <c r="B3931" s="683"/>
      <c r="C3931" s="683"/>
      <c r="D3931" s="698"/>
      <c r="E3931" s="215"/>
      <c r="F3931" s="215"/>
      <c r="G3931" s="153"/>
      <c r="H3931" s="153"/>
      <c r="I3931" s="323">
        <v>20</v>
      </c>
      <c r="J3931" s="312">
        <v>60</v>
      </c>
      <c r="K3931" s="150">
        <v>1</v>
      </c>
      <c r="L3931" s="656">
        <v>20</v>
      </c>
      <c r="M3931" s="663">
        <v>34926</v>
      </c>
      <c r="N3931" s="600">
        <v>0.53793999999999997</v>
      </c>
      <c r="O3931" s="604">
        <v>1.47E-5</v>
      </c>
      <c r="P3931" s="250"/>
      <c r="Q3931" s="250"/>
      <c r="R3931" s="250"/>
      <c r="S3931" s="250"/>
      <c r="T3931" s="250"/>
      <c r="U3931" s="250">
        <v>0.33299999999999996</v>
      </c>
      <c r="V3931" s="250">
        <v>0</v>
      </c>
      <c r="W3931" s="250">
        <v>0.33299999999999996</v>
      </c>
      <c r="X3931" s="250">
        <v>0.33299999999999996</v>
      </c>
      <c r="Y3931" s="250">
        <v>1E-3</v>
      </c>
      <c r="Z3931" s="150">
        <v>2</v>
      </c>
      <c r="AA3931" s="150">
        <v>0.71</v>
      </c>
      <c r="AB3931" s="152"/>
      <c r="AC3931" s="152"/>
      <c r="AD3931" s="223">
        <v>8.1074140000000003</v>
      </c>
      <c r="AE3931" s="223">
        <v>0.20420930000000001</v>
      </c>
      <c r="AF3931" s="223">
        <v>1.6535131999999999</v>
      </c>
      <c r="AG3931" s="223">
        <v>0.25907150000000001</v>
      </c>
      <c r="AH3931" s="341"/>
      <c r="AI3931" s="218"/>
      <c r="AJ3931" s="218"/>
      <c r="AK3931" s="153"/>
      <c r="AL3931" s="152"/>
      <c r="AM3931" s="152"/>
      <c r="AN3931" s="152"/>
      <c r="AO3931" s="152"/>
      <c r="AP3931" s="152"/>
      <c r="AQ3931" s="152"/>
      <c r="AR3931" s="152"/>
      <c r="AS3931" s="152"/>
      <c r="AT3931" s="152"/>
      <c r="AU3931" s="153"/>
      <c r="AV3931" s="479"/>
      <c r="AW3931" s="479"/>
      <c r="AX3931" s="442"/>
      <c r="AY3931" s="153"/>
      <c r="AZ3931" s="152"/>
      <c r="BA3931" s="152"/>
      <c r="BB3931" s="152"/>
      <c r="BC3931" s="152"/>
      <c r="BD3931" s="152"/>
      <c r="BE3931" s="152"/>
      <c r="BF3931" s="152"/>
      <c r="BG3931" s="152"/>
      <c r="BH3931" s="152"/>
      <c r="BI3931" s="153"/>
      <c r="BJ3931" s="153"/>
      <c r="BK3931" s="153"/>
      <c r="BL3931" s="153"/>
      <c r="BM3931" s="153"/>
      <c r="BN3931" s="153"/>
      <c r="BO3931" s="153"/>
      <c r="BP3931" s="153"/>
      <c r="BQ3931" s="153"/>
      <c r="BR3931" s="153"/>
      <c r="BS3931" s="153"/>
      <c r="BT3931" s="153"/>
      <c r="BU3931" s="153"/>
      <c r="BV3931" s="153"/>
      <c r="BW3931" s="153"/>
      <c r="BX3931" s="153"/>
      <c r="BY3931" s="153"/>
      <c r="BZ3931" s="153"/>
      <c r="CA3931" s="152"/>
      <c r="CB3931" s="152"/>
    </row>
    <row r="3932" spans="1:80" s="87" customFormat="1" x14ac:dyDescent="0.2">
      <c r="A3932" s="152"/>
      <c r="B3932" s="683"/>
      <c r="C3932" s="683"/>
      <c r="D3932" s="698"/>
      <c r="E3932" s="215"/>
      <c r="F3932" s="215"/>
      <c r="G3932" s="153"/>
      <c r="H3932" s="153"/>
      <c r="I3932" s="323">
        <v>17</v>
      </c>
      <c r="J3932" s="312">
        <v>60</v>
      </c>
      <c r="K3932" s="150">
        <v>1</v>
      </c>
      <c r="L3932" s="656">
        <v>17</v>
      </c>
      <c r="M3932" s="663">
        <v>34982</v>
      </c>
      <c r="N3932" s="600">
        <v>0.37373000000000001</v>
      </c>
      <c r="O3932" s="604">
        <v>2.73E-5</v>
      </c>
      <c r="P3932" s="250"/>
      <c r="Q3932" s="250"/>
      <c r="R3932" s="250"/>
      <c r="S3932" s="250"/>
      <c r="T3932" s="250"/>
      <c r="U3932" s="250"/>
      <c r="V3932" s="250">
        <v>0.222222</v>
      </c>
      <c r="W3932" s="250">
        <v>0.36111100000000002</v>
      </c>
      <c r="X3932" s="250">
        <v>0.222222</v>
      </c>
      <c r="Y3932" s="250">
        <v>0.19444400000000001</v>
      </c>
      <c r="Z3932" s="150">
        <v>1</v>
      </c>
      <c r="AA3932" s="150">
        <v>0.59</v>
      </c>
      <c r="AB3932" s="152"/>
      <c r="AC3932" s="152"/>
      <c r="AD3932" s="223">
        <v>7.9550190000000001</v>
      </c>
      <c r="AE3932" s="223">
        <v>0.1767782</v>
      </c>
      <c r="AF3932" s="223">
        <v>1.4119888</v>
      </c>
      <c r="AG3932" s="223">
        <v>0.22554460000000001</v>
      </c>
      <c r="AH3932" s="341"/>
      <c r="AI3932" s="218"/>
      <c r="AJ3932" s="218"/>
      <c r="AK3932" s="153"/>
      <c r="AL3932" s="152"/>
      <c r="AM3932" s="152"/>
      <c r="AN3932" s="152"/>
      <c r="AO3932" s="152"/>
      <c r="AP3932" s="152"/>
      <c r="AQ3932" s="152"/>
      <c r="AR3932" s="152"/>
      <c r="AS3932" s="152"/>
      <c r="AT3932" s="152"/>
      <c r="AU3932" s="153"/>
      <c r="AV3932" s="479"/>
      <c r="AW3932" s="479"/>
      <c r="AX3932" s="442"/>
      <c r="AY3932" s="153"/>
      <c r="AZ3932" s="152"/>
      <c r="BA3932" s="152"/>
      <c r="BB3932" s="152"/>
      <c r="BC3932" s="152"/>
      <c r="BD3932" s="152"/>
      <c r="BE3932" s="152"/>
      <c r="BF3932" s="152"/>
      <c r="BG3932" s="152"/>
      <c r="BH3932" s="152"/>
      <c r="BI3932" s="153"/>
      <c r="BJ3932" s="153"/>
      <c r="BK3932" s="153"/>
      <c r="BL3932" s="153"/>
      <c r="BM3932" s="153"/>
      <c r="BN3932" s="153"/>
      <c r="BO3932" s="153"/>
      <c r="BP3932" s="153"/>
      <c r="BQ3932" s="153"/>
      <c r="BR3932" s="153"/>
      <c r="BS3932" s="153"/>
      <c r="BT3932" s="153"/>
      <c r="BU3932" s="153"/>
      <c r="BV3932" s="153"/>
      <c r="BW3932" s="153"/>
      <c r="BX3932" s="153"/>
      <c r="BY3932" s="153"/>
      <c r="BZ3932" s="153"/>
      <c r="CA3932" s="152"/>
      <c r="CB3932" s="152"/>
    </row>
    <row r="3933" spans="1:80" s="87" customFormat="1" x14ac:dyDescent="0.2">
      <c r="A3933" s="152"/>
      <c r="B3933" s="683"/>
      <c r="C3933" s="683"/>
      <c r="D3933" s="698"/>
      <c r="E3933" s="215"/>
      <c r="F3933" s="215"/>
      <c r="G3933" s="153"/>
      <c r="H3933" s="153"/>
      <c r="I3933" s="323">
        <v>20</v>
      </c>
      <c r="J3933" s="312">
        <v>60</v>
      </c>
      <c r="K3933" s="150">
        <v>1</v>
      </c>
      <c r="L3933" s="656">
        <v>20</v>
      </c>
      <c r="M3933" s="663">
        <v>35158</v>
      </c>
      <c r="N3933" s="600">
        <v>1.5515399999999999</v>
      </c>
      <c r="O3933" s="604">
        <v>6.2969999999999996E-3</v>
      </c>
      <c r="P3933" s="250"/>
      <c r="Q3933" s="250"/>
      <c r="R3933" s="250"/>
      <c r="S3933" s="250"/>
      <c r="T3933" s="250">
        <v>2.5000000000000001E-3</v>
      </c>
      <c r="U3933" s="250">
        <v>6.9900000000000004E-2</v>
      </c>
      <c r="V3933" s="250">
        <v>0.42588399999999998</v>
      </c>
      <c r="W3933" s="250">
        <v>0.43215500000000001</v>
      </c>
      <c r="X3933" s="250">
        <v>6.4842999999999998E-2</v>
      </c>
      <c r="Y3933" s="250">
        <v>4.6700000000000005E-3</v>
      </c>
      <c r="Z3933" s="150">
        <v>6</v>
      </c>
      <c r="AA3933" s="150">
        <v>1</v>
      </c>
      <c r="AB3933" s="152"/>
      <c r="AC3933" s="152"/>
      <c r="AD3933" s="223">
        <v>8.2598090000000006</v>
      </c>
      <c r="AE3933" s="223">
        <v>0.33222109999999999</v>
      </c>
      <c r="AF3933" s="223">
        <v>2.7403729999999999</v>
      </c>
      <c r="AG3933" s="223">
        <v>0.56081360000000002</v>
      </c>
      <c r="AH3933" s="341"/>
      <c r="AI3933" s="218"/>
      <c r="AJ3933" s="218"/>
      <c r="AK3933" s="153"/>
      <c r="AL3933" s="152"/>
      <c r="AM3933" s="152"/>
      <c r="AN3933" s="152"/>
      <c r="AO3933" s="152"/>
      <c r="AP3933" s="152"/>
      <c r="AQ3933" s="152"/>
      <c r="AR3933" s="152"/>
      <c r="AS3933" s="152"/>
      <c r="AT3933" s="152"/>
      <c r="AU3933" s="153"/>
      <c r="AV3933" s="479"/>
      <c r="AW3933" s="479"/>
      <c r="AX3933" s="442"/>
      <c r="AY3933" s="153"/>
      <c r="AZ3933" s="152"/>
      <c r="BA3933" s="152"/>
      <c r="BB3933" s="152"/>
      <c r="BC3933" s="152"/>
      <c r="BD3933" s="152"/>
      <c r="BE3933" s="152"/>
      <c r="BF3933" s="152"/>
      <c r="BG3933" s="152"/>
      <c r="BH3933" s="152"/>
      <c r="BI3933" s="153"/>
      <c r="BJ3933" s="153"/>
      <c r="BK3933" s="153"/>
      <c r="BL3933" s="153"/>
      <c r="BM3933" s="153"/>
      <c r="BN3933" s="153"/>
      <c r="BO3933" s="153"/>
      <c r="BP3933" s="153"/>
      <c r="BQ3933" s="153"/>
      <c r="BR3933" s="153"/>
      <c r="BS3933" s="153"/>
      <c r="BT3933" s="153"/>
      <c r="BU3933" s="153"/>
      <c r="BV3933" s="153"/>
      <c r="BW3933" s="153"/>
      <c r="BX3933" s="153"/>
      <c r="BY3933" s="153"/>
      <c r="BZ3933" s="153"/>
      <c r="CA3933" s="152"/>
      <c r="CB3933" s="152"/>
    </row>
    <row r="3934" spans="1:80" s="87" customFormat="1" x14ac:dyDescent="0.2">
      <c r="A3934" s="152"/>
      <c r="B3934" s="683"/>
      <c r="C3934" s="683"/>
      <c r="D3934" s="698"/>
      <c r="E3934" s="215"/>
      <c r="F3934" s="215"/>
      <c r="G3934" s="153"/>
      <c r="H3934" s="153"/>
      <c r="I3934" s="323">
        <v>20</v>
      </c>
      <c r="J3934" s="312">
        <v>60</v>
      </c>
      <c r="K3934" s="150">
        <v>1</v>
      </c>
      <c r="L3934" s="656">
        <v>20</v>
      </c>
      <c r="M3934" s="663">
        <v>35166</v>
      </c>
      <c r="N3934" s="600">
        <v>8.55044</v>
      </c>
      <c r="O3934" s="604">
        <v>1.5219E-2</v>
      </c>
      <c r="P3934" s="250"/>
      <c r="Q3934" s="250"/>
      <c r="R3934" s="250"/>
      <c r="S3934" s="250">
        <v>5.3899999999999997E-2</v>
      </c>
      <c r="T3934" s="250">
        <v>7.0199999999999999E-2</v>
      </c>
      <c r="U3934" s="250">
        <v>0.12029999999999999</v>
      </c>
      <c r="V3934" s="250">
        <v>0.27082400000000001</v>
      </c>
      <c r="W3934" s="250">
        <v>0.36050399999999994</v>
      </c>
      <c r="X3934" s="250">
        <v>0.11964999999999999</v>
      </c>
      <c r="Y3934" s="250">
        <v>4.5440000000000003E-3</v>
      </c>
      <c r="Z3934" s="150">
        <v>22</v>
      </c>
      <c r="AA3934" s="150">
        <v>1.04</v>
      </c>
      <c r="AB3934" s="152"/>
      <c r="AC3934" s="152"/>
      <c r="AD3934" s="223">
        <v>10.36286</v>
      </c>
      <c r="AE3934" s="223">
        <v>0.60958000000000001</v>
      </c>
      <c r="AF3934" s="223">
        <v>6.3167920000000004</v>
      </c>
      <c r="AG3934" s="223">
        <v>1.3045012</v>
      </c>
      <c r="AH3934" s="341"/>
      <c r="AI3934" s="218"/>
      <c r="AJ3934" s="218"/>
      <c r="AK3934" s="153"/>
      <c r="AL3934" s="152"/>
      <c r="AM3934" s="152"/>
      <c r="AN3934" s="152"/>
      <c r="AO3934" s="152"/>
      <c r="AP3934" s="152"/>
      <c r="AQ3934" s="152"/>
      <c r="AR3934" s="152"/>
      <c r="AS3934" s="152"/>
      <c r="AT3934" s="152"/>
      <c r="AU3934" s="153"/>
      <c r="AV3934" s="479"/>
      <c r="AW3934" s="479"/>
      <c r="AX3934" s="442"/>
      <c r="AY3934" s="153"/>
      <c r="AZ3934" s="152"/>
      <c r="BA3934" s="152"/>
      <c r="BB3934" s="152"/>
      <c r="BC3934" s="152"/>
      <c r="BD3934" s="152"/>
      <c r="BE3934" s="152"/>
      <c r="BF3934" s="152"/>
      <c r="BG3934" s="152"/>
      <c r="BH3934" s="152"/>
      <c r="BI3934" s="153"/>
      <c r="BJ3934" s="153"/>
      <c r="BK3934" s="153"/>
      <c r="BL3934" s="153"/>
      <c r="BM3934" s="153"/>
      <c r="BN3934" s="153"/>
      <c r="BO3934" s="153"/>
      <c r="BP3934" s="153"/>
      <c r="BQ3934" s="153"/>
      <c r="BR3934" s="153"/>
      <c r="BS3934" s="153"/>
      <c r="BT3934" s="153"/>
      <c r="BU3934" s="153"/>
      <c r="BV3934" s="153"/>
      <c r="BW3934" s="153"/>
      <c r="BX3934" s="153"/>
      <c r="BY3934" s="153"/>
      <c r="BZ3934" s="153"/>
      <c r="CA3934" s="152"/>
      <c r="CB3934" s="152"/>
    </row>
    <row r="3935" spans="1:80" s="87" customFormat="1" x14ac:dyDescent="0.2">
      <c r="A3935" s="152"/>
      <c r="B3935" s="683"/>
      <c r="C3935" s="683"/>
      <c r="D3935" s="698"/>
      <c r="E3935" s="215"/>
      <c r="F3935" s="215"/>
      <c r="G3935" s="153"/>
      <c r="H3935" s="153"/>
      <c r="I3935" s="323">
        <v>20</v>
      </c>
      <c r="J3935" s="312">
        <v>60</v>
      </c>
      <c r="K3935" s="150">
        <v>1</v>
      </c>
      <c r="L3935" s="656">
        <v>20</v>
      </c>
      <c r="M3935" s="663">
        <v>35199</v>
      </c>
      <c r="N3935" s="600">
        <v>7.1631099999999996</v>
      </c>
      <c r="O3935" s="604">
        <v>1.1021E-2</v>
      </c>
      <c r="P3935" s="250"/>
      <c r="Q3935" s="250"/>
      <c r="R3935" s="250"/>
      <c r="S3935" s="250">
        <v>4.24E-2</v>
      </c>
      <c r="T3935" s="250">
        <v>9.5299999999999996E-2</v>
      </c>
      <c r="U3935" s="250">
        <v>0.16059999999999999</v>
      </c>
      <c r="V3935" s="250">
        <v>0.28669899999999998</v>
      </c>
      <c r="W3935" s="250">
        <v>0.29569899999999999</v>
      </c>
      <c r="X3935" s="250">
        <v>0.11481999999999999</v>
      </c>
      <c r="Y3935" s="250">
        <v>4.4039999999999999E-3</v>
      </c>
      <c r="Z3935" s="150">
        <v>13</v>
      </c>
      <c r="AA3935" s="150">
        <v>1.23</v>
      </c>
      <c r="AB3935" s="152"/>
      <c r="AC3935" s="152"/>
      <c r="AD3935" s="223">
        <v>9.9971119999999996</v>
      </c>
      <c r="AE3935" s="223">
        <v>0.5699573</v>
      </c>
      <c r="AF3935" s="223">
        <v>5.6851127999999997</v>
      </c>
      <c r="AG3935" s="223">
        <v>1.1612499000000001</v>
      </c>
      <c r="AH3935" s="341"/>
      <c r="AI3935" s="218"/>
      <c r="AJ3935" s="218"/>
      <c r="AK3935" s="153"/>
      <c r="AL3935" s="152"/>
      <c r="AM3935" s="152"/>
      <c r="AN3935" s="152"/>
      <c r="AO3935" s="152"/>
      <c r="AP3935" s="152"/>
      <c r="AQ3935" s="152"/>
      <c r="AR3935" s="152"/>
      <c r="AS3935" s="152"/>
      <c r="AT3935" s="152"/>
      <c r="AU3935" s="153"/>
      <c r="AV3935" s="479"/>
      <c r="AW3935" s="479"/>
      <c r="AX3935" s="442"/>
      <c r="AY3935" s="153"/>
      <c r="AZ3935" s="152"/>
      <c r="BA3935" s="152"/>
      <c r="BB3935" s="152"/>
      <c r="BC3935" s="152"/>
      <c r="BD3935" s="152"/>
      <c r="BE3935" s="152"/>
      <c r="BF3935" s="152"/>
      <c r="BG3935" s="152"/>
      <c r="BH3935" s="152"/>
      <c r="BI3935" s="153"/>
      <c r="BJ3935" s="153"/>
      <c r="BK3935" s="153"/>
      <c r="BL3935" s="153"/>
      <c r="BM3935" s="153"/>
      <c r="BN3935" s="153"/>
      <c r="BO3935" s="153"/>
      <c r="BP3935" s="153"/>
      <c r="BQ3935" s="153"/>
      <c r="BR3935" s="153"/>
      <c r="BS3935" s="153"/>
      <c r="BT3935" s="153"/>
      <c r="BU3935" s="153"/>
      <c r="BV3935" s="153"/>
      <c r="BW3935" s="153"/>
      <c r="BX3935" s="153"/>
      <c r="BY3935" s="153"/>
      <c r="BZ3935" s="153"/>
      <c r="CA3935" s="152"/>
      <c r="CB3935" s="152"/>
    </row>
    <row r="3936" spans="1:80" s="87" customFormat="1" x14ac:dyDescent="0.2">
      <c r="A3936" s="152"/>
      <c r="B3936" s="683"/>
      <c r="C3936" s="683"/>
      <c r="D3936" s="698"/>
      <c r="E3936" s="215"/>
      <c r="F3936" s="215"/>
      <c r="G3936" s="153"/>
      <c r="H3936" s="153"/>
      <c r="I3936" s="323">
        <v>20</v>
      </c>
      <c r="J3936" s="312">
        <v>60</v>
      </c>
      <c r="K3936" s="150">
        <v>1</v>
      </c>
      <c r="L3936" s="656">
        <v>20</v>
      </c>
      <c r="M3936" s="663">
        <v>35202</v>
      </c>
      <c r="N3936" s="600">
        <v>11.0136</v>
      </c>
      <c r="O3936" s="604">
        <v>2.9597999999999999E-2</v>
      </c>
      <c r="P3936" s="250"/>
      <c r="Q3936" s="250"/>
      <c r="R3936" s="250">
        <v>0.13830000000000001</v>
      </c>
      <c r="S3936" s="250">
        <v>7.6100000000000001E-2</v>
      </c>
      <c r="T3936" s="250">
        <v>0.16550000000000001</v>
      </c>
      <c r="U3936" s="250">
        <v>0.1517</v>
      </c>
      <c r="V3936" s="250">
        <v>0.194772</v>
      </c>
      <c r="W3936" s="250">
        <v>0.20663499999999999</v>
      </c>
      <c r="X3936" s="250">
        <v>6.4295999999999992E-2</v>
      </c>
      <c r="Y3936" s="250">
        <v>2.797E-3</v>
      </c>
      <c r="Z3936" s="150">
        <v>34</v>
      </c>
      <c r="AA3936" s="150">
        <v>2.31</v>
      </c>
      <c r="AB3936" s="152"/>
      <c r="AC3936" s="152"/>
      <c r="AD3936" s="223">
        <v>10.66765</v>
      </c>
      <c r="AE3936" s="223">
        <v>0.68882540000000003</v>
      </c>
      <c r="AF3936" s="223">
        <v>7.3339812999999996</v>
      </c>
      <c r="AG3936" s="223">
        <v>1.4599441</v>
      </c>
      <c r="AH3936" s="341"/>
      <c r="AI3936" s="218"/>
      <c r="AJ3936" s="218"/>
      <c r="AK3936" s="153"/>
      <c r="AL3936" s="152"/>
      <c r="AM3936" s="152"/>
      <c r="AN3936" s="152"/>
      <c r="AO3936" s="152"/>
      <c r="AP3936" s="152"/>
      <c r="AQ3936" s="152"/>
      <c r="AR3936" s="152"/>
      <c r="AS3936" s="152"/>
      <c r="AT3936" s="152"/>
      <c r="AU3936" s="153"/>
      <c r="AV3936" s="479"/>
      <c r="AW3936" s="479"/>
      <c r="AX3936" s="442"/>
      <c r="AY3936" s="153"/>
      <c r="AZ3936" s="152"/>
      <c r="BA3936" s="152"/>
      <c r="BB3936" s="152"/>
      <c r="BC3936" s="152"/>
      <c r="BD3936" s="152"/>
      <c r="BE3936" s="152"/>
      <c r="BF3936" s="152"/>
      <c r="BG3936" s="152"/>
      <c r="BH3936" s="152"/>
      <c r="BI3936" s="153"/>
      <c r="BJ3936" s="153"/>
      <c r="BK3936" s="153"/>
      <c r="BL3936" s="153"/>
      <c r="BM3936" s="153"/>
      <c r="BN3936" s="153"/>
      <c r="BO3936" s="153"/>
      <c r="BP3936" s="153"/>
      <c r="BQ3936" s="153"/>
      <c r="BR3936" s="153"/>
      <c r="BS3936" s="153"/>
      <c r="BT3936" s="153"/>
      <c r="BU3936" s="153"/>
      <c r="BV3936" s="153"/>
      <c r="BW3936" s="153"/>
      <c r="BX3936" s="153"/>
      <c r="BY3936" s="153"/>
      <c r="BZ3936" s="153"/>
      <c r="CA3936" s="152"/>
      <c r="CB3936" s="152"/>
    </row>
    <row r="3937" spans="1:80" s="87" customFormat="1" x14ac:dyDescent="0.2">
      <c r="A3937" s="152"/>
      <c r="B3937" s="683"/>
      <c r="C3937" s="683"/>
      <c r="D3937" s="698"/>
      <c r="E3937" s="215"/>
      <c r="F3937" s="215"/>
      <c r="G3937" s="153"/>
      <c r="H3937" s="153"/>
      <c r="I3937" s="323">
        <v>20</v>
      </c>
      <c r="J3937" s="312">
        <v>60</v>
      </c>
      <c r="K3937" s="150">
        <v>1</v>
      </c>
      <c r="L3937" s="656">
        <v>20</v>
      </c>
      <c r="M3937" s="663">
        <v>35213</v>
      </c>
      <c r="N3937" s="600">
        <v>7.5877999999999997</v>
      </c>
      <c r="O3937" s="604">
        <v>1.5219999999999999E-3</v>
      </c>
      <c r="P3937" s="250"/>
      <c r="Q3937" s="250"/>
      <c r="R3937" s="250"/>
      <c r="S3937" s="250"/>
      <c r="T3937" s="250">
        <v>2.5699999999999997E-2</v>
      </c>
      <c r="U3937" s="250">
        <v>9.2799999999999994E-2</v>
      </c>
      <c r="V3937" s="250">
        <v>0.20846499999999998</v>
      </c>
      <c r="W3937" s="250">
        <v>0.40972599999999998</v>
      </c>
      <c r="X3937" s="250">
        <v>0.25078800000000001</v>
      </c>
      <c r="Y3937" s="250">
        <v>1.2607E-2</v>
      </c>
      <c r="Z3937" s="150">
        <v>6</v>
      </c>
      <c r="AA3937" s="150">
        <v>0.75</v>
      </c>
      <c r="AB3937" s="152"/>
      <c r="AC3937" s="152"/>
      <c r="AD3937" s="223"/>
      <c r="AE3937" s="223"/>
      <c r="AF3937" s="223"/>
      <c r="AG3937" s="223"/>
      <c r="AH3937" s="341"/>
      <c r="AI3937" s="218"/>
      <c r="AJ3937" s="218"/>
      <c r="AK3937" s="153"/>
      <c r="AL3937" s="152"/>
      <c r="AM3937" s="152"/>
      <c r="AN3937" s="152"/>
      <c r="AO3937" s="152"/>
      <c r="AP3937" s="152"/>
      <c r="AQ3937" s="152"/>
      <c r="AR3937" s="152"/>
      <c r="AS3937" s="152"/>
      <c r="AT3937" s="152"/>
      <c r="AU3937" s="153"/>
      <c r="AV3937" s="479"/>
      <c r="AW3937" s="479"/>
      <c r="AX3937" s="442"/>
      <c r="AY3937" s="153"/>
      <c r="AZ3937" s="152"/>
      <c r="BA3937" s="152"/>
      <c r="BB3937" s="152"/>
      <c r="BC3937" s="152"/>
      <c r="BD3937" s="152"/>
      <c r="BE3937" s="152"/>
      <c r="BF3937" s="152"/>
      <c r="BG3937" s="152"/>
      <c r="BH3937" s="152"/>
      <c r="BI3937" s="153"/>
      <c r="BJ3937" s="153"/>
      <c r="BK3937" s="153"/>
      <c r="BL3937" s="153"/>
      <c r="BM3937" s="153"/>
      <c r="BN3937" s="153"/>
      <c r="BO3937" s="153"/>
      <c r="BP3937" s="153"/>
      <c r="BQ3937" s="153"/>
      <c r="BR3937" s="153"/>
      <c r="BS3937" s="153"/>
      <c r="BT3937" s="153"/>
      <c r="BU3937" s="153"/>
      <c r="BV3937" s="153"/>
      <c r="BW3937" s="153"/>
      <c r="BX3937" s="153"/>
      <c r="BY3937" s="153"/>
      <c r="BZ3937" s="153"/>
      <c r="CA3937" s="152"/>
      <c r="CB3937" s="152"/>
    </row>
    <row r="3938" spans="1:80" s="87" customFormat="1" x14ac:dyDescent="0.2">
      <c r="A3938" s="152"/>
      <c r="B3938" s="683"/>
      <c r="C3938" s="683"/>
      <c r="D3938" s="698"/>
      <c r="E3938" s="215"/>
      <c r="F3938" s="215"/>
      <c r="G3938" s="153"/>
      <c r="H3938" s="153"/>
      <c r="I3938" s="323">
        <v>20</v>
      </c>
      <c r="J3938" s="312">
        <v>60</v>
      </c>
      <c r="K3938" s="150">
        <v>1</v>
      </c>
      <c r="L3938" s="656">
        <v>20</v>
      </c>
      <c r="M3938" s="663">
        <v>35233</v>
      </c>
      <c r="N3938" s="600">
        <v>2.9728300000000001</v>
      </c>
      <c r="O3938" s="604">
        <v>2.215E-3</v>
      </c>
      <c r="P3938" s="250"/>
      <c r="Q3938" s="250"/>
      <c r="R3938" s="250">
        <v>7.4400000000000008E-2</v>
      </c>
      <c r="S3938" s="250">
        <v>0</v>
      </c>
      <c r="T3938" s="250">
        <v>1.72E-2</v>
      </c>
      <c r="U3938" s="250">
        <v>0.26940000000000003</v>
      </c>
      <c r="V3938" s="250">
        <v>0.12951699999999999</v>
      </c>
      <c r="W3938" s="250">
        <v>0.36207500000000004</v>
      </c>
      <c r="X3938" s="250">
        <v>0.13416800000000001</v>
      </c>
      <c r="Y3938" s="250">
        <v>1.3238000000000002E-2</v>
      </c>
      <c r="Z3938" s="150">
        <v>16</v>
      </c>
      <c r="AA3938" s="150">
        <v>0.98</v>
      </c>
      <c r="AB3938" s="152"/>
      <c r="AC3938" s="152"/>
      <c r="AD3938" s="223">
        <v>8.503641</v>
      </c>
      <c r="AE3938" s="223">
        <v>0.37793959999999999</v>
      </c>
      <c r="AF3938" s="223">
        <v>3.2141324</v>
      </c>
      <c r="AG3938" s="223">
        <v>0.91741790000000001</v>
      </c>
      <c r="AH3938" s="341"/>
      <c r="AI3938" s="218"/>
      <c r="AJ3938" s="218"/>
      <c r="AK3938" s="153"/>
      <c r="AL3938" s="152"/>
      <c r="AM3938" s="152"/>
      <c r="AN3938" s="152"/>
      <c r="AO3938" s="152"/>
      <c r="AP3938" s="152"/>
      <c r="AQ3938" s="152"/>
      <c r="AR3938" s="152"/>
      <c r="AS3938" s="152"/>
      <c r="AT3938" s="152"/>
      <c r="AU3938" s="153"/>
      <c r="AV3938" s="479"/>
      <c r="AW3938" s="479"/>
      <c r="AX3938" s="442"/>
      <c r="AY3938" s="153"/>
      <c r="AZ3938" s="152"/>
      <c r="BA3938" s="152"/>
      <c r="BB3938" s="152"/>
      <c r="BC3938" s="152"/>
      <c r="BD3938" s="152"/>
      <c r="BE3938" s="152"/>
      <c r="BF3938" s="152"/>
      <c r="BG3938" s="152"/>
      <c r="BH3938" s="152"/>
      <c r="BI3938" s="153"/>
      <c r="BJ3938" s="153"/>
      <c r="BK3938" s="153"/>
      <c r="BL3938" s="153"/>
      <c r="BM3938" s="153"/>
      <c r="BN3938" s="153"/>
      <c r="BO3938" s="153"/>
      <c r="BP3938" s="153"/>
      <c r="BQ3938" s="153"/>
      <c r="BR3938" s="153"/>
      <c r="BS3938" s="153"/>
      <c r="BT3938" s="153"/>
      <c r="BU3938" s="153"/>
      <c r="BV3938" s="153"/>
      <c r="BW3938" s="153"/>
      <c r="BX3938" s="153"/>
      <c r="BY3938" s="153"/>
      <c r="BZ3938" s="153"/>
      <c r="CA3938" s="152"/>
      <c r="CB3938" s="152"/>
    </row>
    <row r="3939" spans="1:80" s="87" customFormat="1" x14ac:dyDescent="0.2">
      <c r="A3939" s="152"/>
      <c r="B3939" s="683"/>
      <c r="C3939" s="683"/>
      <c r="D3939" s="698"/>
      <c r="E3939" s="215"/>
      <c r="F3939" s="215"/>
      <c r="G3939" s="153"/>
      <c r="H3939" s="153"/>
      <c r="I3939" s="323">
        <v>20</v>
      </c>
      <c r="J3939" s="312" t="s">
        <v>29</v>
      </c>
      <c r="K3939" s="150">
        <v>1</v>
      </c>
      <c r="L3939" s="656" t="s">
        <v>29</v>
      </c>
      <c r="M3939" s="663">
        <v>35269</v>
      </c>
      <c r="N3939" s="600">
        <v>0.57474999999999998</v>
      </c>
      <c r="O3939" s="604">
        <v>0</v>
      </c>
      <c r="P3939" s="250"/>
      <c r="Q3939" s="250"/>
      <c r="R3939" s="250"/>
      <c r="S3939" s="250"/>
      <c r="T3939" s="250"/>
      <c r="U3939" s="250"/>
      <c r="V3939" s="250">
        <v>0</v>
      </c>
      <c r="W3939" s="250">
        <v>0</v>
      </c>
      <c r="X3939" s="250">
        <v>0</v>
      </c>
      <c r="Y3939" s="250">
        <v>0</v>
      </c>
      <c r="Z3939" s="150"/>
      <c r="AA3939" s="150"/>
      <c r="AB3939" s="152"/>
      <c r="AC3939" s="152"/>
      <c r="AD3939" s="223">
        <v>8.2293299999999991</v>
      </c>
      <c r="AE3939" s="223">
        <v>0.18287400000000001</v>
      </c>
      <c r="AF3939" s="223">
        <v>1.5048828000000001</v>
      </c>
      <c r="AG3939" s="223">
        <v>0.40232279999999998</v>
      </c>
      <c r="AH3939" s="341"/>
      <c r="AI3939" s="218"/>
      <c r="AJ3939" s="218"/>
      <c r="AK3939" s="153"/>
      <c r="AL3939" s="152"/>
      <c r="AM3939" s="152"/>
      <c r="AN3939" s="152"/>
      <c r="AO3939" s="152"/>
      <c r="AP3939" s="152"/>
      <c r="AQ3939" s="152"/>
      <c r="AR3939" s="152"/>
      <c r="AS3939" s="152"/>
      <c r="AT3939" s="152"/>
      <c r="AU3939" s="153"/>
      <c r="AV3939" s="479"/>
      <c r="AW3939" s="479"/>
      <c r="AX3939" s="442"/>
      <c r="AY3939" s="153"/>
      <c r="AZ3939" s="152"/>
      <c r="BA3939" s="152"/>
      <c r="BB3939" s="152"/>
      <c r="BC3939" s="152"/>
      <c r="BD3939" s="152"/>
      <c r="BE3939" s="152"/>
      <c r="BF3939" s="152"/>
      <c r="BG3939" s="152"/>
      <c r="BH3939" s="152"/>
      <c r="BI3939" s="153"/>
      <c r="BJ3939" s="153"/>
      <c r="BK3939" s="153"/>
      <c r="BL3939" s="153"/>
      <c r="BM3939" s="153"/>
      <c r="BN3939" s="153"/>
      <c r="BO3939" s="153"/>
      <c r="BP3939" s="153"/>
      <c r="BQ3939" s="153"/>
      <c r="BR3939" s="153"/>
      <c r="BS3939" s="153"/>
      <c r="BT3939" s="153"/>
      <c r="BU3939" s="153"/>
      <c r="BV3939" s="153"/>
      <c r="BW3939" s="153"/>
      <c r="BX3939" s="153"/>
      <c r="BY3939" s="153"/>
      <c r="BZ3939" s="153"/>
      <c r="CA3939" s="152"/>
      <c r="CB3939" s="152"/>
    </row>
    <row r="3940" spans="1:80" s="87" customFormat="1" x14ac:dyDescent="0.2">
      <c r="A3940" s="152"/>
      <c r="B3940" s="683"/>
      <c r="C3940" s="683"/>
      <c r="D3940" s="698"/>
      <c r="E3940" s="215"/>
      <c r="F3940" s="215"/>
      <c r="G3940" s="153"/>
      <c r="H3940" s="153"/>
      <c r="I3940" s="323" t="s">
        <v>29</v>
      </c>
      <c r="J3940" s="312" t="s">
        <v>29</v>
      </c>
      <c r="K3940" s="150" t="s">
        <v>29</v>
      </c>
      <c r="L3940" s="656" t="s">
        <v>29</v>
      </c>
      <c r="M3940" s="663">
        <v>35298</v>
      </c>
      <c r="N3940" s="600">
        <v>0.30010999999999999</v>
      </c>
      <c r="O3940" s="604">
        <v>0</v>
      </c>
      <c r="P3940" s="250"/>
      <c r="Q3940" s="250"/>
      <c r="R3940" s="250"/>
      <c r="S3940" s="250"/>
      <c r="T3940" s="250"/>
      <c r="U3940" s="250"/>
      <c r="V3940" s="250">
        <v>0</v>
      </c>
      <c r="W3940" s="250">
        <v>0</v>
      </c>
      <c r="X3940" s="250">
        <v>0</v>
      </c>
      <c r="Y3940" s="250">
        <v>0</v>
      </c>
      <c r="Z3940" s="150"/>
      <c r="AA3940" s="150"/>
      <c r="AB3940" s="152"/>
      <c r="AC3940" s="152"/>
      <c r="AD3940" s="223">
        <v>7.7111869999999998</v>
      </c>
      <c r="AE3940" s="223">
        <v>0.14934710000000001</v>
      </c>
      <c r="AF3940" s="223">
        <v>1.1518856</v>
      </c>
      <c r="AG3940" s="223">
        <v>0.24992780000000001</v>
      </c>
      <c r="AH3940" s="341"/>
      <c r="AI3940" s="218"/>
      <c r="AJ3940" s="218"/>
      <c r="AK3940" s="153"/>
      <c r="AL3940" s="152"/>
      <c r="AM3940" s="152"/>
      <c r="AN3940" s="152"/>
      <c r="AO3940" s="152"/>
      <c r="AP3940" s="152"/>
      <c r="AQ3940" s="152"/>
      <c r="AR3940" s="152"/>
      <c r="AS3940" s="152"/>
      <c r="AT3940" s="152"/>
      <c r="AU3940" s="153"/>
      <c r="AV3940" s="479"/>
      <c r="AW3940" s="479"/>
      <c r="AX3940" s="442"/>
      <c r="AY3940" s="153"/>
      <c r="AZ3940" s="152"/>
      <c r="BA3940" s="152"/>
      <c r="BB3940" s="152"/>
      <c r="BC3940" s="152"/>
      <c r="BD3940" s="152"/>
      <c r="BE3940" s="152"/>
      <c r="BF3940" s="152"/>
      <c r="BG3940" s="152"/>
      <c r="BH3940" s="152"/>
      <c r="BI3940" s="153"/>
      <c r="BJ3940" s="153"/>
      <c r="BK3940" s="153"/>
      <c r="BL3940" s="153"/>
      <c r="BM3940" s="153"/>
      <c r="BN3940" s="153"/>
      <c r="BO3940" s="153"/>
      <c r="BP3940" s="153"/>
      <c r="BQ3940" s="153"/>
      <c r="BR3940" s="153"/>
      <c r="BS3940" s="153"/>
      <c r="BT3940" s="153"/>
      <c r="BU3940" s="153"/>
      <c r="BV3940" s="153"/>
      <c r="BW3940" s="153"/>
      <c r="BX3940" s="153"/>
      <c r="BY3940" s="153"/>
      <c r="BZ3940" s="153"/>
      <c r="CA3940" s="152"/>
      <c r="CB3940" s="152"/>
    </row>
    <row r="3941" spans="1:80" s="87" customFormat="1" x14ac:dyDescent="0.2">
      <c r="A3941" s="152"/>
      <c r="B3941" s="683"/>
      <c r="C3941" s="683"/>
      <c r="D3941" s="698"/>
      <c r="E3941" s="215"/>
      <c r="F3941" s="215"/>
      <c r="G3941" s="153"/>
      <c r="H3941" s="153"/>
      <c r="I3941" s="323">
        <v>20</v>
      </c>
      <c r="J3941" s="312">
        <v>60</v>
      </c>
      <c r="K3941" s="150">
        <v>1</v>
      </c>
      <c r="L3941" s="656">
        <v>20</v>
      </c>
      <c r="M3941" s="663">
        <v>35530</v>
      </c>
      <c r="N3941" s="600">
        <v>0.98811000000000004</v>
      </c>
      <c r="O3941" s="604">
        <v>7.0219999999999996E-3</v>
      </c>
      <c r="P3941" s="250"/>
      <c r="Q3941" s="250"/>
      <c r="R3941" s="250"/>
      <c r="S3941" s="250"/>
      <c r="T3941" s="250">
        <v>4.2000000000000003E-2</v>
      </c>
      <c r="U3941" s="250">
        <v>0.12659999999999999</v>
      </c>
      <c r="V3941" s="250">
        <v>0.30531900000000001</v>
      </c>
      <c r="W3941" s="250">
        <v>0.39799599999999996</v>
      </c>
      <c r="X3941" s="250">
        <v>0.12343700000000001</v>
      </c>
      <c r="Y3941" s="250">
        <v>4.6639999999999997E-3</v>
      </c>
      <c r="Z3941" s="150">
        <v>8</v>
      </c>
      <c r="AA3941" s="150">
        <v>0.96</v>
      </c>
      <c r="AB3941" s="152"/>
      <c r="AC3941" s="152"/>
      <c r="AD3941" s="223">
        <v>8.1988509999999994</v>
      </c>
      <c r="AE3941" s="223">
        <v>0.2316404</v>
      </c>
      <c r="AF3941" s="223">
        <v>1.9043270000000001</v>
      </c>
      <c r="AG3941" s="223">
        <v>0.51509510000000003</v>
      </c>
      <c r="AH3941" s="341"/>
      <c r="AI3941" s="218"/>
      <c r="AJ3941" s="218"/>
      <c r="AK3941" s="153"/>
      <c r="AL3941" s="152"/>
      <c r="AM3941" s="152"/>
      <c r="AN3941" s="152"/>
      <c r="AO3941" s="152"/>
      <c r="AP3941" s="152"/>
      <c r="AQ3941" s="152"/>
      <c r="AR3941" s="152"/>
      <c r="AS3941" s="152"/>
      <c r="AT3941" s="152"/>
      <c r="AU3941" s="153"/>
      <c r="AV3941" s="479"/>
      <c r="AW3941" s="479"/>
      <c r="AX3941" s="442"/>
      <c r="AY3941" s="153"/>
      <c r="AZ3941" s="152"/>
      <c r="BA3941" s="152"/>
      <c r="BB3941" s="152"/>
      <c r="BC3941" s="152"/>
      <c r="BD3941" s="152"/>
      <c r="BE3941" s="152"/>
      <c r="BF3941" s="152"/>
      <c r="BG3941" s="152"/>
      <c r="BH3941" s="152"/>
      <c r="BI3941" s="153"/>
      <c r="BJ3941" s="153"/>
      <c r="BK3941" s="153"/>
      <c r="BL3941" s="153"/>
      <c r="BM3941" s="153"/>
      <c r="BN3941" s="153"/>
      <c r="BO3941" s="153"/>
      <c r="BP3941" s="153"/>
      <c r="BQ3941" s="153"/>
      <c r="BR3941" s="153"/>
      <c r="BS3941" s="153"/>
      <c r="BT3941" s="153"/>
      <c r="BU3941" s="153"/>
      <c r="BV3941" s="153"/>
      <c r="BW3941" s="153"/>
      <c r="BX3941" s="153"/>
      <c r="BY3941" s="153"/>
      <c r="BZ3941" s="153"/>
      <c r="CA3941" s="152"/>
      <c r="CB3941" s="152"/>
    </row>
    <row r="3942" spans="1:80" s="87" customFormat="1" x14ac:dyDescent="0.2">
      <c r="A3942" s="152"/>
      <c r="B3942" s="683"/>
      <c r="C3942" s="683"/>
      <c r="D3942" s="698"/>
      <c r="E3942" s="215"/>
      <c r="F3942" s="215"/>
      <c r="G3942" s="153"/>
      <c r="H3942" s="153"/>
      <c r="I3942" s="323">
        <v>20</v>
      </c>
      <c r="J3942" s="312">
        <v>60</v>
      </c>
      <c r="K3942" s="150">
        <v>1</v>
      </c>
      <c r="L3942" s="656">
        <v>20</v>
      </c>
      <c r="M3942" s="663">
        <v>35552</v>
      </c>
      <c r="N3942" s="600">
        <v>2.8086199999999999</v>
      </c>
      <c r="O3942" s="604">
        <v>2.2880000000000001E-3</v>
      </c>
      <c r="P3942" s="250"/>
      <c r="Q3942" s="250"/>
      <c r="R3942" s="250"/>
      <c r="S3942" s="250"/>
      <c r="T3942" s="250">
        <v>8.1000000000000003E-2</v>
      </c>
      <c r="U3942" s="250">
        <v>0.17699999999999999</v>
      </c>
      <c r="V3942" s="250">
        <v>0.32908999999999999</v>
      </c>
      <c r="W3942" s="250">
        <v>0.299286</v>
      </c>
      <c r="X3942" s="250">
        <v>0.10679900000000001</v>
      </c>
      <c r="Y3942" s="250">
        <v>6.8300000000000001E-3</v>
      </c>
      <c r="Z3942" s="150">
        <v>7</v>
      </c>
      <c r="AA3942" s="150">
        <v>1.2</v>
      </c>
      <c r="AB3942" s="152"/>
      <c r="AC3942" s="152"/>
      <c r="AD3942" s="223">
        <v>9.9056750000000005</v>
      </c>
      <c r="AE3942" s="223">
        <v>0.44194549999999999</v>
      </c>
      <c r="AF3942" s="223">
        <v>4.3660180000000004</v>
      </c>
      <c r="AG3942" s="223">
        <v>0.78331030000000001</v>
      </c>
      <c r="AH3942" s="341"/>
      <c r="AI3942" s="218"/>
      <c r="AJ3942" s="218"/>
      <c r="AK3942" s="153"/>
      <c r="AL3942" s="152"/>
      <c r="AM3942" s="152"/>
      <c r="AN3942" s="152"/>
      <c r="AO3942" s="152"/>
      <c r="AP3942" s="152"/>
      <c r="AQ3942" s="152"/>
      <c r="AR3942" s="152"/>
      <c r="AS3942" s="152"/>
      <c r="AT3942" s="152"/>
      <c r="AU3942" s="153"/>
      <c r="AV3942" s="479"/>
      <c r="AW3942" s="479"/>
      <c r="AX3942" s="442"/>
      <c r="AY3942" s="153"/>
      <c r="AZ3942" s="152"/>
      <c r="BA3942" s="152"/>
      <c r="BB3942" s="152"/>
      <c r="BC3942" s="152"/>
      <c r="BD3942" s="152"/>
      <c r="BE3942" s="152"/>
      <c r="BF3942" s="152"/>
      <c r="BG3942" s="152"/>
      <c r="BH3942" s="152"/>
      <c r="BI3942" s="153"/>
      <c r="BJ3942" s="153"/>
      <c r="BK3942" s="153"/>
      <c r="BL3942" s="153"/>
      <c r="BM3942" s="153"/>
      <c r="BN3942" s="153"/>
      <c r="BO3942" s="153"/>
      <c r="BP3942" s="153"/>
      <c r="BQ3942" s="153"/>
      <c r="BR3942" s="153"/>
      <c r="BS3942" s="153"/>
      <c r="BT3942" s="153"/>
      <c r="BU3942" s="153"/>
      <c r="BV3942" s="153"/>
      <c r="BW3942" s="153"/>
      <c r="BX3942" s="153"/>
      <c r="BY3942" s="153"/>
      <c r="BZ3942" s="153"/>
      <c r="CA3942" s="152"/>
      <c r="CB3942" s="152"/>
    </row>
    <row r="3943" spans="1:80" s="87" customFormat="1" x14ac:dyDescent="0.2">
      <c r="A3943" s="152"/>
      <c r="B3943" s="683"/>
      <c r="C3943" s="683"/>
      <c r="D3943" s="698"/>
      <c r="E3943" s="215"/>
      <c r="F3943" s="215"/>
      <c r="G3943" s="153"/>
      <c r="H3943" s="153"/>
      <c r="I3943" s="323">
        <v>20</v>
      </c>
      <c r="J3943" s="312">
        <v>60</v>
      </c>
      <c r="K3943" s="150">
        <v>1</v>
      </c>
      <c r="L3943" s="656">
        <v>20</v>
      </c>
      <c r="M3943" s="663">
        <v>35559</v>
      </c>
      <c r="N3943" s="600">
        <v>10.1076</v>
      </c>
      <c r="O3943" s="604">
        <v>3.0543000000000001E-2</v>
      </c>
      <c r="P3943" s="250"/>
      <c r="Q3943" s="250">
        <v>0.18629999999999999</v>
      </c>
      <c r="R3943" s="250">
        <v>0</v>
      </c>
      <c r="S3943" s="250">
        <v>9.3999999999999986E-3</v>
      </c>
      <c r="T3943" s="250">
        <v>4.4900000000000002E-2</v>
      </c>
      <c r="U3943" s="250">
        <v>0.1085</v>
      </c>
      <c r="V3943" s="250">
        <v>0.25610900000000003</v>
      </c>
      <c r="W3943" s="250">
        <v>0.28730499999999998</v>
      </c>
      <c r="X3943" s="250">
        <v>0.10270600000000001</v>
      </c>
      <c r="Y3943" s="250">
        <v>4.7660000000000003E-3</v>
      </c>
      <c r="Z3943" s="150">
        <v>49</v>
      </c>
      <c r="AA3943" s="150">
        <v>1.33</v>
      </c>
      <c r="AB3943" s="152"/>
      <c r="AC3943" s="152"/>
      <c r="AD3943" s="223">
        <v>10.423818000000001</v>
      </c>
      <c r="AE3943" s="223">
        <v>0.60653210000000002</v>
      </c>
      <c r="AF3943" s="223">
        <v>6.3260813999999996</v>
      </c>
      <c r="AG3943" s="223">
        <v>1.3837466</v>
      </c>
      <c r="AH3943" s="341"/>
      <c r="AI3943" s="218"/>
      <c r="AJ3943" s="218"/>
      <c r="AK3943" s="153"/>
      <c r="AL3943" s="152"/>
      <c r="AM3943" s="152"/>
      <c r="AN3943" s="152"/>
      <c r="AO3943" s="152"/>
      <c r="AP3943" s="152"/>
      <c r="AQ3943" s="152"/>
      <c r="AR3943" s="152"/>
      <c r="AS3943" s="152"/>
      <c r="AT3943" s="152"/>
      <c r="AU3943" s="153"/>
      <c r="AV3943" s="479"/>
      <c r="AW3943" s="479"/>
      <c r="AX3943" s="442"/>
      <c r="AY3943" s="153"/>
      <c r="AZ3943" s="152"/>
      <c r="BA3943" s="152"/>
      <c r="BB3943" s="152"/>
      <c r="BC3943" s="152"/>
      <c r="BD3943" s="152"/>
      <c r="BE3943" s="152"/>
      <c r="BF3943" s="152"/>
      <c r="BG3943" s="152"/>
      <c r="BH3943" s="152"/>
      <c r="BI3943" s="153"/>
      <c r="BJ3943" s="153"/>
      <c r="BK3943" s="153"/>
      <c r="BL3943" s="153"/>
      <c r="BM3943" s="153"/>
      <c r="BN3943" s="153"/>
      <c r="BO3943" s="153"/>
      <c r="BP3943" s="153"/>
      <c r="BQ3943" s="153"/>
      <c r="BR3943" s="153"/>
      <c r="BS3943" s="153"/>
      <c r="BT3943" s="153"/>
      <c r="BU3943" s="153"/>
      <c r="BV3943" s="153"/>
      <c r="BW3943" s="153"/>
      <c r="BX3943" s="153"/>
      <c r="BY3943" s="153"/>
      <c r="BZ3943" s="153"/>
      <c r="CA3943" s="152"/>
      <c r="CB3943" s="152"/>
    </row>
    <row r="3944" spans="1:80" s="87" customFormat="1" x14ac:dyDescent="0.2">
      <c r="A3944" s="152"/>
      <c r="B3944" s="683"/>
      <c r="C3944" s="683"/>
      <c r="D3944" s="698"/>
      <c r="E3944" s="215"/>
      <c r="F3944" s="215"/>
      <c r="G3944" s="153"/>
      <c r="H3944" s="153"/>
      <c r="I3944" s="323">
        <v>20</v>
      </c>
      <c r="J3944" s="312">
        <v>60</v>
      </c>
      <c r="K3944" s="150">
        <v>1</v>
      </c>
      <c r="L3944" s="656">
        <v>20</v>
      </c>
      <c r="M3944" s="663">
        <v>35561</v>
      </c>
      <c r="N3944" s="600">
        <v>9.2865699999999993</v>
      </c>
      <c r="O3944" s="604">
        <v>3.9253999999999997E-2</v>
      </c>
      <c r="P3944" s="250"/>
      <c r="Q3944" s="250"/>
      <c r="R3944" s="250">
        <v>0.10289999999999999</v>
      </c>
      <c r="S3944" s="250">
        <v>0.10869999999999999</v>
      </c>
      <c r="T3944" s="250">
        <v>0.1653</v>
      </c>
      <c r="U3944" s="250">
        <v>0.21760000000000002</v>
      </c>
      <c r="V3944" s="250">
        <v>0.208372</v>
      </c>
      <c r="W3944" s="250">
        <v>0.15617400000000001</v>
      </c>
      <c r="X3944" s="250">
        <v>3.9049E-2</v>
      </c>
      <c r="Y3944" s="250">
        <v>1.8599999999999999E-3</v>
      </c>
      <c r="Z3944" s="150">
        <v>29</v>
      </c>
      <c r="AA3944" s="150">
        <v>2.7</v>
      </c>
      <c r="AB3944" s="152"/>
      <c r="AC3944" s="152"/>
      <c r="AD3944" s="223">
        <v>10.637171</v>
      </c>
      <c r="AE3944" s="223">
        <v>0.64920270000000002</v>
      </c>
      <c r="AF3944" s="223">
        <v>6.9113135999999997</v>
      </c>
      <c r="AG3944" s="223">
        <v>1.3685071</v>
      </c>
      <c r="AH3944" s="341"/>
      <c r="AI3944" s="218"/>
      <c r="AJ3944" s="218"/>
      <c r="AK3944" s="153"/>
      <c r="AL3944" s="152"/>
      <c r="AM3944" s="152"/>
      <c r="AN3944" s="152"/>
      <c r="AO3944" s="152"/>
      <c r="AP3944" s="152"/>
      <c r="AQ3944" s="152"/>
      <c r="AR3944" s="152"/>
      <c r="AS3944" s="152"/>
      <c r="AT3944" s="152"/>
      <c r="AU3944" s="153"/>
      <c r="AV3944" s="479"/>
      <c r="AW3944" s="479"/>
      <c r="AX3944" s="442"/>
      <c r="AY3944" s="153"/>
      <c r="AZ3944" s="152"/>
      <c r="BA3944" s="152"/>
      <c r="BB3944" s="152"/>
      <c r="BC3944" s="152"/>
      <c r="BD3944" s="152"/>
      <c r="BE3944" s="152"/>
      <c r="BF3944" s="152"/>
      <c r="BG3944" s="152"/>
      <c r="BH3944" s="152"/>
      <c r="BI3944" s="153"/>
      <c r="BJ3944" s="153"/>
      <c r="BK3944" s="153"/>
      <c r="BL3944" s="153"/>
      <c r="BM3944" s="153"/>
      <c r="BN3944" s="153"/>
      <c r="BO3944" s="153"/>
      <c r="BP3944" s="153"/>
      <c r="BQ3944" s="153"/>
      <c r="BR3944" s="153"/>
      <c r="BS3944" s="153"/>
      <c r="BT3944" s="153"/>
      <c r="BU3944" s="153"/>
      <c r="BV3944" s="153"/>
      <c r="BW3944" s="153"/>
      <c r="BX3944" s="153"/>
      <c r="BY3944" s="153"/>
      <c r="BZ3944" s="153"/>
      <c r="CA3944" s="152"/>
      <c r="CB3944" s="152"/>
    </row>
    <row r="3945" spans="1:80" s="87" customFormat="1" x14ac:dyDescent="0.2">
      <c r="A3945" s="152"/>
      <c r="B3945" s="683"/>
      <c r="C3945" s="683"/>
      <c r="D3945" s="698"/>
      <c r="E3945" s="215"/>
      <c r="F3945" s="215"/>
      <c r="G3945" s="153"/>
      <c r="H3945" s="153"/>
      <c r="I3945" s="323">
        <v>20</v>
      </c>
      <c r="J3945" s="312">
        <v>60</v>
      </c>
      <c r="K3945" s="150">
        <v>1</v>
      </c>
      <c r="L3945" s="656">
        <v>20</v>
      </c>
      <c r="M3945" s="663">
        <v>35563</v>
      </c>
      <c r="N3945" s="600">
        <v>12.9672</v>
      </c>
      <c r="O3945" s="604">
        <v>5.4262999999999999E-2</v>
      </c>
      <c r="P3945" s="250"/>
      <c r="Q3945" s="250"/>
      <c r="R3945" s="250">
        <v>1.3100000000000001E-2</v>
      </c>
      <c r="S3945" s="250">
        <v>6.7000000000000004E-2</v>
      </c>
      <c r="T3945" s="250">
        <v>0.12869999999999998</v>
      </c>
      <c r="U3945" s="250">
        <v>0.1825</v>
      </c>
      <c r="V3945" s="250">
        <v>0.241479</v>
      </c>
      <c r="W3945" s="250">
        <v>0.25764300000000001</v>
      </c>
      <c r="X3945" s="250">
        <v>0.104215</v>
      </c>
      <c r="Y3945" s="250">
        <v>5.4100000000000007E-3</v>
      </c>
      <c r="Z3945" s="150">
        <v>18</v>
      </c>
      <c r="AA3945" s="150">
        <v>1.46</v>
      </c>
      <c r="AB3945" s="152"/>
      <c r="AC3945" s="152"/>
      <c r="AD3945" s="223">
        <v>10.515255</v>
      </c>
      <c r="AE3945" s="223">
        <v>0.69492120000000002</v>
      </c>
      <c r="AF3945" s="223">
        <v>7.3014684000000001</v>
      </c>
      <c r="AG3945" s="223">
        <v>1.6123391</v>
      </c>
      <c r="AH3945" s="341"/>
      <c r="AI3945" s="218"/>
      <c r="AJ3945" s="218"/>
      <c r="AK3945" s="153"/>
      <c r="AL3945" s="152"/>
      <c r="AM3945" s="152"/>
      <c r="AN3945" s="152"/>
      <c r="AO3945" s="152"/>
      <c r="AP3945" s="152"/>
      <c r="AQ3945" s="152"/>
      <c r="AR3945" s="152"/>
      <c r="AS3945" s="152"/>
      <c r="AT3945" s="152"/>
      <c r="AU3945" s="153"/>
      <c r="AV3945" s="479"/>
      <c r="AW3945" s="479"/>
      <c r="AX3945" s="442"/>
      <c r="AY3945" s="153"/>
      <c r="AZ3945" s="152"/>
      <c r="BA3945" s="152"/>
      <c r="BB3945" s="152"/>
      <c r="BC3945" s="152"/>
      <c r="BD3945" s="152"/>
      <c r="BE3945" s="152"/>
      <c r="BF3945" s="152"/>
      <c r="BG3945" s="152"/>
      <c r="BH3945" s="152"/>
      <c r="BI3945" s="153"/>
      <c r="BJ3945" s="153"/>
      <c r="BK3945" s="153"/>
      <c r="BL3945" s="153"/>
      <c r="BM3945" s="153"/>
      <c r="BN3945" s="153"/>
      <c r="BO3945" s="153"/>
      <c r="BP3945" s="153"/>
      <c r="BQ3945" s="153"/>
      <c r="BR3945" s="153"/>
      <c r="BS3945" s="153"/>
      <c r="BT3945" s="153"/>
      <c r="BU3945" s="153"/>
      <c r="BV3945" s="153"/>
      <c r="BW3945" s="153"/>
      <c r="BX3945" s="153"/>
      <c r="BY3945" s="153"/>
      <c r="BZ3945" s="153"/>
      <c r="CA3945" s="152"/>
      <c r="CB3945" s="152"/>
    </row>
    <row r="3946" spans="1:80" s="87" customFormat="1" x14ac:dyDescent="0.2">
      <c r="A3946" s="152"/>
      <c r="B3946" s="683"/>
      <c r="C3946" s="683"/>
      <c r="D3946" s="698"/>
      <c r="E3946" s="215"/>
      <c r="F3946" s="215"/>
      <c r="G3946" s="153"/>
      <c r="H3946" s="153"/>
      <c r="I3946" s="323">
        <v>19</v>
      </c>
      <c r="J3946" s="312">
        <v>60</v>
      </c>
      <c r="K3946" s="150">
        <v>1</v>
      </c>
      <c r="L3946" s="656">
        <v>19</v>
      </c>
      <c r="M3946" s="663">
        <v>35565</v>
      </c>
      <c r="N3946" s="600">
        <v>11.6648</v>
      </c>
      <c r="O3946" s="604">
        <v>6.8747000000000003E-2</v>
      </c>
      <c r="P3946" s="250"/>
      <c r="Q3946" s="250">
        <v>8.14E-2</v>
      </c>
      <c r="R3946" s="250">
        <v>3.85E-2</v>
      </c>
      <c r="S3946" s="250">
        <v>7.7499999999999999E-2</v>
      </c>
      <c r="T3946" s="250">
        <v>0.1182</v>
      </c>
      <c r="U3946" s="250">
        <v>0.14800000000000002</v>
      </c>
      <c r="V3946" s="250">
        <v>0.242759</v>
      </c>
      <c r="W3946" s="250">
        <v>0.21677199999999999</v>
      </c>
      <c r="X3946" s="250">
        <v>7.3797000000000001E-2</v>
      </c>
      <c r="Y3946" s="250">
        <v>3.2209999999999999E-3</v>
      </c>
      <c r="Z3946" s="150">
        <v>40</v>
      </c>
      <c r="AA3946" s="150">
        <v>1.8</v>
      </c>
      <c r="AB3946" s="152"/>
      <c r="AC3946" s="152"/>
      <c r="AD3946" s="223"/>
      <c r="AE3946" s="223"/>
      <c r="AF3946" s="223"/>
      <c r="AG3946" s="223"/>
      <c r="AH3946" s="341"/>
      <c r="AI3946" s="218"/>
      <c r="AJ3946" s="218"/>
      <c r="AK3946" s="153"/>
      <c r="AL3946" s="152"/>
      <c r="AM3946" s="152"/>
      <c r="AN3946" s="152"/>
      <c r="AO3946" s="152"/>
      <c r="AP3946" s="152"/>
      <c r="AQ3946" s="152"/>
      <c r="AR3946" s="152"/>
      <c r="AS3946" s="152"/>
      <c r="AT3946" s="152"/>
      <c r="AU3946" s="153"/>
      <c r="AV3946" s="479"/>
      <c r="AW3946" s="479"/>
      <c r="AX3946" s="442"/>
      <c r="AY3946" s="153"/>
      <c r="AZ3946" s="152"/>
      <c r="BA3946" s="152"/>
      <c r="BB3946" s="152"/>
      <c r="BC3946" s="152"/>
      <c r="BD3946" s="152"/>
      <c r="BE3946" s="152"/>
      <c r="BF3946" s="152"/>
      <c r="BG3946" s="152"/>
      <c r="BH3946" s="152"/>
      <c r="BI3946" s="153"/>
      <c r="BJ3946" s="153"/>
      <c r="BK3946" s="153"/>
      <c r="BL3946" s="153"/>
      <c r="BM3946" s="153"/>
      <c r="BN3946" s="153"/>
      <c r="BO3946" s="153"/>
      <c r="BP3946" s="153"/>
      <c r="BQ3946" s="153"/>
      <c r="BR3946" s="153"/>
      <c r="BS3946" s="153"/>
      <c r="BT3946" s="153"/>
      <c r="BU3946" s="153"/>
      <c r="BV3946" s="153"/>
      <c r="BW3946" s="153"/>
      <c r="BX3946" s="153"/>
      <c r="BY3946" s="153"/>
      <c r="BZ3946" s="153"/>
      <c r="CA3946" s="152"/>
      <c r="CB3946" s="152"/>
    </row>
    <row r="3947" spans="1:80" s="87" customFormat="1" x14ac:dyDescent="0.2">
      <c r="A3947" s="152"/>
      <c r="B3947" s="683"/>
      <c r="C3947" s="683"/>
      <c r="D3947" s="698"/>
      <c r="E3947" s="215"/>
      <c r="F3947" s="215"/>
      <c r="G3947" s="153"/>
      <c r="H3947" s="153"/>
      <c r="I3947" s="323">
        <v>20</v>
      </c>
      <c r="J3947" s="312">
        <v>60</v>
      </c>
      <c r="K3947" s="150">
        <v>1</v>
      </c>
      <c r="L3947" s="656">
        <v>20</v>
      </c>
      <c r="M3947" s="663">
        <v>35587</v>
      </c>
      <c r="N3947" s="600">
        <v>4.8131599999999999</v>
      </c>
      <c r="O3947" s="604">
        <v>4.555E-3</v>
      </c>
      <c r="P3947" s="250"/>
      <c r="Q3947" s="250"/>
      <c r="R3947" s="250"/>
      <c r="S3947" s="250">
        <v>7.2300000000000003E-2</v>
      </c>
      <c r="T3947" s="250">
        <v>0.1797</v>
      </c>
      <c r="U3947" s="250">
        <v>0.19020000000000001</v>
      </c>
      <c r="V3947" s="250">
        <v>0.22082299999999999</v>
      </c>
      <c r="W3947" s="250">
        <v>0.23239200000000002</v>
      </c>
      <c r="X3947" s="250">
        <v>0.100204</v>
      </c>
      <c r="Y3947" s="250">
        <v>4.4229999999999998E-3</v>
      </c>
      <c r="Z3947" s="150">
        <v>10</v>
      </c>
      <c r="AA3947" s="150">
        <v>1.67</v>
      </c>
      <c r="AB3947" s="152"/>
      <c r="AC3947" s="152"/>
      <c r="AD3947" s="223">
        <v>8.7474729999999994</v>
      </c>
      <c r="AE3947" s="223">
        <v>0.49071189999999998</v>
      </c>
      <c r="AF3947" s="223">
        <v>4.2917028000000004</v>
      </c>
      <c r="AG3947" s="223">
        <v>1.0637171000000001</v>
      </c>
      <c r="AH3947" s="341"/>
      <c r="AI3947" s="218"/>
      <c r="AJ3947" s="218"/>
      <c r="AK3947" s="153"/>
      <c r="AL3947" s="152"/>
      <c r="AM3947" s="152"/>
      <c r="AN3947" s="152"/>
      <c r="AO3947" s="152"/>
      <c r="AP3947" s="152"/>
      <c r="AQ3947" s="152"/>
      <c r="AR3947" s="152"/>
      <c r="AS3947" s="152"/>
      <c r="AT3947" s="152"/>
      <c r="AU3947" s="153"/>
      <c r="AV3947" s="479"/>
      <c r="AW3947" s="479"/>
      <c r="AX3947" s="442"/>
      <c r="AY3947" s="153"/>
      <c r="AZ3947" s="152"/>
      <c r="BA3947" s="152"/>
      <c r="BB3947" s="152"/>
      <c r="BC3947" s="152"/>
      <c r="BD3947" s="152"/>
      <c r="BE3947" s="152"/>
      <c r="BF3947" s="152"/>
      <c r="BG3947" s="152"/>
      <c r="BH3947" s="152"/>
      <c r="BI3947" s="153"/>
      <c r="BJ3947" s="153"/>
      <c r="BK3947" s="153"/>
      <c r="BL3947" s="153"/>
      <c r="BM3947" s="153"/>
      <c r="BN3947" s="153"/>
      <c r="BO3947" s="153"/>
      <c r="BP3947" s="153"/>
      <c r="BQ3947" s="153"/>
      <c r="BR3947" s="153"/>
      <c r="BS3947" s="153"/>
      <c r="BT3947" s="153"/>
      <c r="BU3947" s="153"/>
      <c r="BV3947" s="153"/>
      <c r="BW3947" s="153"/>
      <c r="BX3947" s="153"/>
      <c r="BY3947" s="153"/>
      <c r="BZ3947" s="153"/>
      <c r="CA3947" s="152"/>
      <c r="CB3947" s="152"/>
    </row>
    <row r="3948" spans="1:80" s="87" customFormat="1" x14ac:dyDescent="0.2">
      <c r="A3948" s="152"/>
      <c r="B3948" s="683"/>
      <c r="C3948" s="683"/>
      <c r="D3948" s="698"/>
      <c r="E3948" s="215"/>
      <c r="F3948" s="215"/>
      <c r="G3948" s="153"/>
      <c r="H3948" s="153"/>
      <c r="I3948" s="323">
        <v>20</v>
      </c>
      <c r="J3948" s="312">
        <v>60</v>
      </c>
      <c r="K3948" s="150">
        <v>1</v>
      </c>
      <c r="L3948" s="656">
        <v>20</v>
      </c>
      <c r="M3948" s="663">
        <v>35598</v>
      </c>
      <c r="N3948" s="600">
        <v>4.0204000000000004</v>
      </c>
      <c r="O3948" s="604">
        <v>7.1159999999999999E-3</v>
      </c>
      <c r="P3948" s="250"/>
      <c r="Q3948" s="250"/>
      <c r="R3948" s="250">
        <v>0.1605</v>
      </c>
      <c r="S3948" s="250">
        <v>8.5999999999999993E-2</v>
      </c>
      <c r="T3948" s="250">
        <v>0.10710000000000001</v>
      </c>
      <c r="U3948" s="250">
        <v>0.193</v>
      </c>
      <c r="V3948" s="250">
        <v>0.228126</v>
      </c>
      <c r="W3948" s="250">
        <v>0.161493</v>
      </c>
      <c r="X3948" s="250">
        <v>5.9885000000000001E-2</v>
      </c>
      <c r="Y3948" s="250">
        <v>3.8040000000000001E-3</v>
      </c>
      <c r="Z3948" s="150">
        <v>21</v>
      </c>
      <c r="AA3948" s="150">
        <v>2.37</v>
      </c>
      <c r="AB3948" s="152"/>
      <c r="AC3948" s="152"/>
      <c r="AD3948" s="223">
        <v>8.686515</v>
      </c>
      <c r="AE3948" s="223">
        <v>0.44499339999999998</v>
      </c>
      <c r="AF3948" s="223">
        <v>3.8643904</v>
      </c>
      <c r="AG3948" s="223">
        <v>0.99056750000000005</v>
      </c>
      <c r="AH3948" s="341"/>
      <c r="AI3948" s="218"/>
      <c r="AJ3948" s="218"/>
      <c r="AK3948" s="153"/>
      <c r="AL3948" s="152"/>
      <c r="AM3948" s="152"/>
      <c r="AN3948" s="152"/>
      <c r="AO3948" s="152"/>
      <c r="AP3948" s="152"/>
      <c r="AQ3948" s="152"/>
      <c r="AR3948" s="152"/>
      <c r="AS3948" s="152"/>
      <c r="AT3948" s="152"/>
      <c r="AU3948" s="153"/>
      <c r="AV3948" s="479"/>
      <c r="AW3948" s="479"/>
      <c r="AX3948" s="442"/>
      <c r="AY3948" s="153"/>
      <c r="AZ3948" s="152"/>
      <c r="BA3948" s="152"/>
      <c r="BB3948" s="152"/>
      <c r="BC3948" s="152"/>
      <c r="BD3948" s="152"/>
      <c r="BE3948" s="152"/>
      <c r="BF3948" s="152"/>
      <c r="BG3948" s="152"/>
      <c r="BH3948" s="152"/>
      <c r="BI3948" s="153"/>
      <c r="BJ3948" s="153"/>
      <c r="BK3948" s="153"/>
      <c r="BL3948" s="153"/>
      <c r="BM3948" s="153"/>
      <c r="BN3948" s="153"/>
      <c r="BO3948" s="153"/>
      <c r="BP3948" s="153"/>
      <c r="BQ3948" s="153"/>
      <c r="BR3948" s="153"/>
      <c r="BS3948" s="153"/>
      <c r="BT3948" s="153"/>
      <c r="BU3948" s="153"/>
      <c r="BV3948" s="153"/>
      <c r="BW3948" s="153"/>
      <c r="BX3948" s="153"/>
      <c r="BY3948" s="153"/>
      <c r="BZ3948" s="153"/>
      <c r="CA3948" s="152"/>
      <c r="CB3948" s="152"/>
    </row>
    <row r="3949" spans="1:80" s="87" customFormat="1" x14ac:dyDescent="0.2">
      <c r="A3949" s="152"/>
      <c r="B3949" s="683"/>
      <c r="C3949" s="683"/>
      <c r="D3949" s="698"/>
      <c r="E3949" s="215"/>
      <c r="F3949" s="215"/>
      <c r="G3949" s="153"/>
      <c r="H3949" s="153"/>
      <c r="I3949" s="323">
        <v>20</v>
      </c>
      <c r="J3949" s="312">
        <v>60</v>
      </c>
      <c r="K3949" s="150">
        <v>1</v>
      </c>
      <c r="L3949" s="656">
        <v>20</v>
      </c>
      <c r="M3949" s="663">
        <v>35638</v>
      </c>
      <c r="N3949" s="600">
        <v>1.0589</v>
      </c>
      <c r="O3949" s="604">
        <v>2.225E-3</v>
      </c>
      <c r="P3949" s="250"/>
      <c r="Q3949" s="250"/>
      <c r="R3949" s="250"/>
      <c r="S3949" s="250"/>
      <c r="T3949" s="250"/>
      <c r="U3949" s="250">
        <v>5.5899999999999998E-2</v>
      </c>
      <c r="V3949" s="250">
        <v>0.31023700000000004</v>
      </c>
      <c r="W3949" s="250">
        <v>0.48002499999999998</v>
      </c>
      <c r="X3949" s="250">
        <v>0.15043699999999999</v>
      </c>
      <c r="Y3949" s="250">
        <v>3.4329999999999999E-3</v>
      </c>
      <c r="Z3949" s="150">
        <v>3</v>
      </c>
      <c r="AA3949" s="150">
        <v>0.82</v>
      </c>
      <c r="AB3949" s="152"/>
      <c r="AC3949" s="152"/>
      <c r="AD3949" s="223">
        <v>8.2293299999999991</v>
      </c>
      <c r="AE3949" s="223">
        <v>0.2285925</v>
      </c>
      <c r="AF3949" s="223">
        <v>1.8857482000000001</v>
      </c>
      <c r="AG3949" s="223">
        <v>0.55776570000000003</v>
      </c>
      <c r="AH3949" s="341"/>
      <c r="AI3949" s="218"/>
      <c r="AJ3949" s="218"/>
      <c r="AK3949" s="153"/>
      <c r="AL3949" s="152"/>
      <c r="AM3949" s="152"/>
      <c r="AN3949" s="152"/>
      <c r="AO3949" s="152"/>
      <c r="AP3949" s="152"/>
      <c r="AQ3949" s="152"/>
      <c r="AR3949" s="152"/>
      <c r="AS3949" s="152"/>
      <c r="AT3949" s="152"/>
      <c r="AU3949" s="153"/>
      <c r="AV3949" s="479"/>
      <c r="AW3949" s="479"/>
      <c r="AX3949" s="442"/>
      <c r="AY3949" s="153"/>
      <c r="AZ3949" s="152"/>
      <c r="BA3949" s="152"/>
      <c r="BB3949" s="152"/>
      <c r="BC3949" s="152"/>
      <c r="BD3949" s="152"/>
      <c r="BE3949" s="152"/>
      <c r="BF3949" s="152"/>
      <c r="BG3949" s="152"/>
      <c r="BH3949" s="152"/>
      <c r="BI3949" s="153"/>
      <c r="BJ3949" s="153"/>
      <c r="BK3949" s="153"/>
      <c r="BL3949" s="153"/>
      <c r="BM3949" s="153"/>
      <c r="BN3949" s="153"/>
      <c r="BO3949" s="153"/>
      <c r="BP3949" s="153"/>
      <c r="BQ3949" s="153"/>
      <c r="BR3949" s="153"/>
      <c r="BS3949" s="153"/>
      <c r="BT3949" s="153"/>
      <c r="BU3949" s="153"/>
      <c r="BV3949" s="153"/>
      <c r="BW3949" s="153"/>
      <c r="BX3949" s="153"/>
      <c r="BY3949" s="153"/>
      <c r="BZ3949" s="153"/>
      <c r="CA3949" s="152"/>
      <c r="CB3949" s="152"/>
    </row>
    <row r="3950" spans="1:80" s="87" customFormat="1" x14ac:dyDescent="0.2">
      <c r="A3950" s="152"/>
      <c r="B3950" s="683"/>
      <c r="C3950" s="683"/>
      <c r="D3950" s="698"/>
      <c r="E3950" s="215"/>
      <c r="F3950" s="215"/>
      <c r="G3950" s="153"/>
      <c r="H3950" s="153"/>
      <c r="I3950" s="323">
        <v>20</v>
      </c>
      <c r="J3950" s="312">
        <v>60</v>
      </c>
      <c r="K3950" s="150">
        <v>1</v>
      </c>
      <c r="L3950" s="656">
        <v>20</v>
      </c>
      <c r="M3950" s="663">
        <v>35690</v>
      </c>
      <c r="N3950" s="600">
        <v>0.3256</v>
      </c>
      <c r="O3950" s="604">
        <v>0</v>
      </c>
      <c r="P3950" s="250"/>
      <c r="Q3950" s="250"/>
      <c r="R3950" s="250"/>
      <c r="S3950" s="250"/>
      <c r="T3950" s="250"/>
      <c r="U3950" s="250"/>
      <c r="V3950" s="250">
        <v>0</v>
      </c>
      <c r="W3950" s="250">
        <v>0</v>
      </c>
      <c r="X3950" s="250">
        <v>0</v>
      </c>
      <c r="Y3950" s="250">
        <v>0</v>
      </c>
      <c r="Z3950" s="150"/>
      <c r="AA3950" s="150"/>
      <c r="AB3950" s="152"/>
      <c r="AC3950" s="152"/>
      <c r="AD3950" s="223">
        <v>8.137893</v>
      </c>
      <c r="AE3950" s="223">
        <v>0.1188681</v>
      </c>
      <c r="AF3950" s="223">
        <v>0.975387</v>
      </c>
      <c r="AG3950" s="223">
        <v>0.38098749999999998</v>
      </c>
      <c r="AH3950" s="341"/>
      <c r="AI3950" s="218"/>
      <c r="AJ3950" s="218"/>
      <c r="AK3950" s="153"/>
      <c r="AL3950" s="152"/>
      <c r="AM3950" s="152"/>
      <c r="AN3950" s="152"/>
      <c r="AO3950" s="152"/>
      <c r="AP3950" s="152"/>
      <c r="AQ3950" s="152"/>
      <c r="AR3950" s="152"/>
      <c r="AS3950" s="152"/>
      <c r="AT3950" s="152"/>
      <c r="AU3950" s="153"/>
      <c r="AV3950" s="479"/>
      <c r="AW3950" s="479"/>
      <c r="AX3950" s="442"/>
      <c r="AY3950" s="153"/>
      <c r="AZ3950" s="152"/>
      <c r="BA3950" s="152"/>
      <c r="BB3950" s="152"/>
      <c r="BC3950" s="152"/>
      <c r="BD3950" s="152"/>
      <c r="BE3950" s="152"/>
      <c r="BF3950" s="152"/>
      <c r="BG3950" s="152"/>
      <c r="BH3950" s="152"/>
      <c r="BI3950" s="153"/>
      <c r="BJ3950" s="153"/>
      <c r="BK3950" s="153"/>
      <c r="BL3950" s="153"/>
      <c r="BM3950" s="153"/>
      <c r="BN3950" s="153"/>
      <c r="BO3950" s="153"/>
      <c r="BP3950" s="153"/>
      <c r="BQ3950" s="153"/>
      <c r="BR3950" s="153"/>
      <c r="BS3950" s="153"/>
      <c r="BT3950" s="153"/>
      <c r="BU3950" s="153"/>
      <c r="BV3950" s="153"/>
      <c r="BW3950" s="153"/>
      <c r="BX3950" s="153"/>
      <c r="BY3950" s="153"/>
      <c r="BZ3950" s="153"/>
      <c r="CA3950" s="152"/>
      <c r="CB3950" s="152"/>
    </row>
    <row r="3951" spans="1:80" s="87" customFormat="1" ht="15" x14ac:dyDescent="0.25">
      <c r="A3951" s="152"/>
      <c r="B3951" s="683"/>
      <c r="C3951" s="683"/>
      <c r="D3951" s="698"/>
      <c r="E3951" s="215"/>
      <c r="F3951" s="215"/>
      <c r="G3951" s="153"/>
      <c r="H3951" s="153"/>
      <c r="I3951" s="115">
        <v>20</v>
      </c>
      <c r="J3951" s="115">
        <v>60</v>
      </c>
      <c r="K3951" s="150">
        <v>1</v>
      </c>
      <c r="L3951" s="656">
        <v>20</v>
      </c>
      <c r="M3951" s="663">
        <v>35898</v>
      </c>
      <c r="N3951" s="600">
        <v>1.3505199999999999</v>
      </c>
      <c r="O3951" s="604">
        <v>3.075E-3</v>
      </c>
      <c r="P3951" s="250"/>
      <c r="Q3951" s="250"/>
      <c r="R3951" s="250"/>
      <c r="S3951" s="250"/>
      <c r="T3951" s="250">
        <v>6.0000000000000001E-3</v>
      </c>
      <c r="U3951" s="250">
        <v>9.1999999999999998E-2</v>
      </c>
      <c r="V3951" s="250">
        <v>0.33600000000000002</v>
      </c>
      <c r="W3951" s="250">
        <v>0.45700000000000002</v>
      </c>
      <c r="X3951" s="250">
        <v>0.10400000000000001</v>
      </c>
      <c r="Y3951" s="250">
        <v>4.0000000000000001E-3</v>
      </c>
      <c r="Z3951" s="150">
        <v>5</v>
      </c>
      <c r="AA3951" s="150">
        <v>0.91</v>
      </c>
      <c r="AB3951" s="152"/>
      <c r="AC3951" s="152"/>
      <c r="AD3951" s="223"/>
      <c r="AE3951" s="223"/>
      <c r="AF3951" s="223"/>
      <c r="AG3951" s="223"/>
      <c r="AH3951" s="341"/>
      <c r="AI3951" s="218"/>
      <c r="AJ3951" s="218"/>
      <c r="AK3951" s="153"/>
      <c r="AL3951" s="152"/>
      <c r="AM3951" s="152"/>
      <c r="AN3951" s="152"/>
      <c r="AO3951" s="152"/>
      <c r="AP3951" s="152"/>
      <c r="AQ3951" s="152"/>
      <c r="AR3951" s="152"/>
      <c r="AS3951" s="152"/>
      <c r="AT3951" s="152"/>
      <c r="AU3951" s="153"/>
      <c r="AV3951" s="479"/>
      <c r="AW3951" s="479"/>
      <c r="AX3951" s="442"/>
      <c r="AY3951" s="153"/>
      <c r="AZ3951" s="152"/>
      <c r="BA3951" s="152"/>
      <c r="BB3951" s="152"/>
      <c r="BC3951" s="152"/>
      <c r="BD3951" s="152"/>
      <c r="BE3951" s="152"/>
      <c r="BF3951" s="152"/>
      <c r="BG3951" s="152"/>
      <c r="BH3951" s="152"/>
      <c r="BI3951" s="153"/>
      <c r="BJ3951" s="153"/>
      <c r="BK3951" s="153"/>
      <c r="BL3951" s="153"/>
      <c r="BM3951" s="153"/>
      <c r="BN3951" s="153"/>
      <c r="BO3951" s="153"/>
      <c r="BP3951" s="153"/>
      <c r="BQ3951" s="153"/>
      <c r="BR3951" s="153"/>
      <c r="BS3951" s="153"/>
      <c r="BT3951" s="153"/>
      <c r="BU3951" s="153"/>
      <c r="BV3951" s="153"/>
      <c r="BW3951" s="153"/>
      <c r="BX3951" s="153"/>
      <c r="BY3951" s="153"/>
      <c r="BZ3951" s="153"/>
      <c r="CA3951" s="152"/>
      <c r="CB3951" s="152"/>
    </row>
    <row r="3952" spans="1:80" s="87" customFormat="1" ht="15" x14ac:dyDescent="0.25">
      <c r="A3952" s="152"/>
      <c r="B3952" s="683"/>
      <c r="C3952" s="683"/>
      <c r="D3952" s="698"/>
      <c r="E3952" s="215"/>
      <c r="F3952" s="215"/>
      <c r="G3952" s="153"/>
      <c r="H3952" s="153"/>
      <c r="I3952" s="115">
        <v>20</v>
      </c>
      <c r="J3952" s="115">
        <v>60</v>
      </c>
      <c r="K3952" s="150">
        <v>1</v>
      </c>
      <c r="L3952" s="656">
        <v>20</v>
      </c>
      <c r="M3952" s="663">
        <v>35917</v>
      </c>
      <c r="N3952" s="600">
        <v>5.37941</v>
      </c>
      <c r="O3952" s="604">
        <v>1.7003000000000001E-2</v>
      </c>
      <c r="P3952" s="250"/>
      <c r="Q3952" s="250"/>
      <c r="R3952" s="250"/>
      <c r="S3952" s="250">
        <v>0.109</v>
      </c>
      <c r="T3952" s="250">
        <v>7.6999999999999999E-2</v>
      </c>
      <c r="U3952" s="250">
        <v>0.185</v>
      </c>
      <c r="V3952" s="250">
        <v>0.27200000000000002</v>
      </c>
      <c r="W3952" s="250">
        <v>0.23899999999999999</v>
      </c>
      <c r="X3952" s="250">
        <v>0.114</v>
      </c>
      <c r="Y3952" s="250">
        <v>3.0000000000000001E-3</v>
      </c>
      <c r="Z3952" s="150">
        <v>15</v>
      </c>
      <c r="AA3952" s="150">
        <v>1.44</v>
      </c>
      <c r="AB3952" s="152"/>
      <c r="AC3952" s="152"/>
      <c r="AD3952" s="223"/>
      <c r="AE3952" s="223"/>
      <c r="AF3952" s="223"/>
      <c r="AG3952" s="223"/>
      <c r="AH3952" s="341"/>
      <c r="AI3952" s="218"/>
      <c r="AJ3952" s="218"/>
      <c r="AK3952" s="153"/>
      <c r="AL3952" s="152"/>
      <c r="AM3952" s="152"/>
      <c r="AN3952" s="152"/>
      <c r="AO3952" s="152"/>
      <c r="AP3952" s="152"/>
      <c r="AQ3952" s="152"/>
      <c r="AR3952" s="152"/>
      <c r="AS3952" s="152"/>
      <c r="AT3952" s="152"/>
      <c r="AU3952" s="153"/>
      <c r="AV3952" s="479"/>
      <c r="AW3952" s="479"/>
      <c r="AX3952" s="442"/>
      <c r="AY3952" s="153"/>
      <c r="AZ3952" s="152"/>
      <c r="BA3952" s="152"/>
      <c r="BB3952" s="152"/>
      <c r="BC3952" s="152"/>
      <c r="BD3952" s="152"/>
      <c r="BE3952" s="152"/>
      <c r="BF3952" s="152"/>
      <c r="BG3952" s="152"/>
      <c r="BH3952" s="152"/>
      <c r="BI3952" s="153"/>
      <c r="BJ3952" s="153"/>
      <c r="BK3952" s="153"/>
      <c r="BL3952" s="153"/>
      <c r="BM3952" s="153"/>
      <c r="BN3952" s="153"/>
      <c r="BO3952" s="153"/>
      <c r="BP3952" s="153"/>
      <c r="BQ3952" s="153"/>
      <c r="BR3952" s="153"/>
      <c r="BS3952" s="153"/>
      <c r="BT3952" s="153"/>
      <c r="BU3952" s="153"/>
      <c r="BV3952" s="153"/>
      <c r="BW3952" s="153"/>
      <c r="BX3952" s="153"/>
      <c r="BY3952" s="153"/>
      <c r="BZ3952" s="153"/>
      <c r="CA3952" s="152"/>
      <c r="CB3952" s="152"/>
    </row>
    <row r="3953" spans="1:80" s="87" customFormat="1" ht="15" x14ac:dyDescent="0.25">
      <c r="A3953" s="152"/>
      <c r="B3953" s="683"/>
      <c r="C3953" s="683"/>
      <c r="D3953" s="698"/>
      <c r="E3953" s="215"/>
      <c r="F3953" s="215"/>
      <c r="G3953" s="153"/>
      <c r="H3953" s="153"/>
      <c r="I3953" s="115">
        <v>20</v>
      </c>
      <c r="J3953" s="115">
        <v>60</v>
      </c>
      <c r="K3953" s="150">
        <v>1</v>
      </c>
      <c r="L3953" s="656">
        <v>20</v>
      </c>
      <c r="M3953" s="663">
        <v>35921</v>
      </c>
      <c r="N3953" s="600">
        <v>6.9649200000000002</v>
      </c>
      <c r="O3953" s="604">
        <v>2.6449E-2</v>
      </c>
      <c r="P3953" s="250"/>
      <c r="Q3953" s="250"/>
      <c r="R3953" s="250">
        <v>3.2000000000000001E-2</v>
      </c>
      <c r="S3953" s="250">
        <v>0.02</v>
      </c>
      <c r="T3953" s="250">
        <v>0.113</v>
      </c>
      <c r="U3953" s="250">
        <v>0.16</v>
      </c>
      <c r="V3953" s="250">
        <v>0.255</v>
      </c>
      <c r="W3953" s="250">
        <v>0.30299999999999999</v>
      </c>
      <c r="X3953" s="250">
        <v>0.115</v>
      </c>
      <c r="Y3953" s="250">
        <v>2E-3</v>
      </c>
      <c r="Z3953" s="150">
        <v>20</v>
      </c>
      <c r="AA3953" s="150">
        <v>1.24</v>
      </c>
      <c r="AB3953" s="152"/>
      <c r="AC3953" s="152"/>
      <c r="AD3953" s="223"/>
      <c r="AE3953" s="223"/>
      <c r="AF3953" s="223"/>
      <c r="AG3953" s="223"/>
      <c r="AH3953" s="341"/>
      <c r="AI3953" s="218"/>
      <c r="AJ3953" s="218"/>
      <c r="AK3953" s="153"/>
      <c r="AL3953" s="152"/>
      <c r="AM3953" s="152"/>
      <c r="AN3953" s="152"/>
      <c r="AO3953" s="152"/>
      <c r="AP3953" s="152"/>
      <c r="AQ3953" s="152"/>
      <c r="AR3953" s="152"/>
      <c r="AS3953" s="152"/>
      <c r="AT3953" s="152"/>
      <c r="AU3953" s="153"/>
      <c r="AV3953" s="479"/>
      <c r="AW3953" s="479"/>
      <c r="AX3953" s="442"/>
      <c r="AY3953" s="153"/>
      <c r="AZ3953" s="152"/>
      <c r="BA3953" s="152"/>
      <c r="BB3953" s="152"/>
      <c r="BC3953" s="152"/>
      <c r="BD3953" s="152"/>
      <c r="BE3953" s="152"/>
      <c r="BF3953" s="152"/>
      <c r="BG3953" s="152"/>
      <c r="BH3953" s="152"/>
      <c r="BI3953" s="153"/>
      <c r="BJ3953" s="153"/>
      <c r="BK3953" s="153"/>
      <c r="BL3953" s="153"/>
      <c r="BM3953" s="153"/>
      <c r="BN3953" s="153"/>
      <c r="BO3953" s="153"/>
      <c r="BP3953" s="153"/>
      <c r="BQ3953" s="153"/>
      <c r="BR3953" s="153"/>
      <c r="BS3953" s="153"/>
      <c r="BT3953" s="153"/>
      <c r="BU3953" s="153"/>
      <c r="BV3953" s="153"/>
      <c r="BW3953" s="153"/>
      <c r="BX3953" s="153"/>
      <c r="BY3953" s="153"/>
      <c r="BZ3953" s="153"/>
      <c r="CA3953" s="152"/>
      <c r="CB3953" s="152"/>
    </row>
    <row r="3954" spans="1:80" s="87" customFormat="1" ht="15" x14ac:dyDescent="0.25">
      <c r="A3954" s="152"/>
      <c r="B3954" s="683"/>
      <c r="C3954" s="683"/>
      <c r="D3954" s="698"/>
      <c r="E3954" s="215"/>
      <c r="F3954" s="215"/>
      <c r="G3954" s="153"/>
      <c r="H3954" s="153"/>
      <c r="I3954" s="115">
        <v>20</v>
      </c>
      <c r="J3954" s="115">
        <v>60</v>
      </c>
      <c r="K3954" s="150">
        <v>1</v>
      </c>
      <c r="L3954" s="656">
        <v>20</v>
      </c>
      <c r="M3954" s="663">
        <v>35926</v>
      </c>
      <c r="N3954" s="600">
        <v>3.85053</v>
      </c>
      <c r="O3954" s="604">
        <v>7.8720000000000005E-3</v>
      </c>
      <c r="P3954" s="250"/>
      <c r="Q3954" s="250"/>
      <c r="R3954" s="250"/>
      <c r="S3954" s="250">
        <v>4.4000000000000004E-2</v>
      </c>
      <c r="T3954" s="250">
        <v>0.17100000000000001</v>
      </c>
      <c r="U3954" s="250">
        <v>0.22399999999999998</v>
      </c>
      <c r="V3954" s="250">
        <v>0.251</v>
      </c>
      <c r="W3954" s="250">
        <v>0.23499999999999999</v>
      </c>
      <c r="X3954" s="250">
        <v>7.400000000000001E-2</v>
      </c>
      <c r="Y3954" s="250">
        <v>1E-3</v>
      </c>
      <c r="Z3954" s="150">
        <v>11</v>
      </c>
      <c r="AA3954" s="150">
        <v>1.69</v>
      </c>
      <c r="AB3954" s="152"/>
      <c r="AC3954" s="152"/>
      <c r="AD3954" s="223"/>
      <c r="AE3954" s="223"/>
      <c r="AF3954" s="223"/>
      <c r="AG3954" s="223"/>
      <c r="AH3954" s="341"/>
      <c r="AI3954" s="218"/>
      <c r="AJ3954" s="218"/>
      <c r="AK3954" s="153"/>
      <c r="AL3954" s="152"/>
      <c r="AM3954" s="152"/>
      <c r="AN3954" s="152"/>
      <c r="AO3954" s="152"/>
      <c r="AP3954" s="152"/>
      <c r="AQ3954" s="152"/>
      <c r="AR3954" s="152"/>
      <c r="AS3954" s="152"/>
      <c r="AT3954" s="152"/>
      <c r="AU3954" s="153"/>
      <c r="AV3954" s="479"/>
      <c r="AW3954" s="479"/>
      <c r="AX3954" s="442"/>
      <c r="AY3954" s="153"/>
      <c r="AZ3954" s="152"/>
      <c r="BA3954" s="152"/>
      <c r="BB3954" s="152"/>
      <c r="BC3954" s="152"/>
      <c r="BD3954" s="152"/>
      <c r="BE3954" s="152"/>
      <c r="BF3954" s="152"/>
      <c r="BG3954" s="152"/>
      <c r="BH3954" s="152"/>
      <c r="BI3954" s="153"/>
      <c r="BJ3954" s="153"/>
      <c r="BK3954" s="153"/>
      <c r="BL3954" s="153"/>
      <c r="BM3954" s="153"/>
      <c r="BN3954" s="153"/>
      <c r="BO3954" s="153"/>
      <c r="BP3954" s="153"/>
      <c r="BQ3954" s="153"/>
      <c r="BR3954" s="153"/>
      <c r="BS3954" s="153"/>
      <c r="BT3954" s="153"/>
      <c r="BU3954" s="153"/>
      <c r="BV3954" s="153"/>
      <c r="BW3954" s="153"/>
      <c r="BX3954" s="153"/>
      <c r="BY3954" s="153"/>
      <c r="BZ3954" s="153"/>
      <c r="CA3954" s="152"/>
      <c r="CB3954" s="152"/>
    </row>
    <row r="3955" spans="1:80" s="87" customFormat="1" ht="15" x14ac:dyDescent="0.25">
      <c r="A3955" s="152"/>
      <c r="B3955" s="683"/>
      <c r="C3955" s="683"/>
      <c r="D3955" s="698"/>
      <c r="E3955" s="215"/>
      <c r="F3955" s="215"/>
      <c r="G3955" s="153"/>
      <c r="H3955" s="153"/>
      <c r="I3955" s="115">
        <v>20</v>
      </c>
      <c r="J3955" s="115">
        <v>60</v>
      </c>
      <c r="K3955" s="150">
        <v>1</v>
      </c>
      <c r="L3955" s="656">
        <v>20</v>
      </c>
      <c r="M3955" s="663">
        <v>35934</v>
      </c>
      <c r="N3955" s="600">
        <v>2.2310400000000001</v>
      </c>
      <c r="O3955" s="604">
        <v>1.1755E-2</v>
      </c>
      <c r="P3955" s="250"/>
      <c r="Q3955" s="250"/>
      <c r="R3955" s="250">
        <v>8.6999999999999994E-2</v>
      </c>
      <c r="S3955" s="250">
        <v>0.01</v>
      </c>
      <c r="T3955" s="250">
        <v>0.17600000000000002</v>
      </c>
      <c r="U3955" s="250">
        <v>0.23499999999999999</v>
      </c>
      <c r="V3955" s="250">
        <v>0.28000000000000003</v>
      </c>
      <c r="W3955" s="250">
        <v>0.17</v>
      </c>
      <c r="X3955" s="250">
        <v>4.0999999999999995E-2</v>
      </c>
      <c r="Y3955" s="250">
        <v>2E-3</v>
      </c>
      <c r="Z3955" s="150">
        <v>15</v>
      </c>
      <c r="AA3955" s="150">
        <v>2.04</v>
      </c>
      <c r="AB3955" s="152"/>
      <c r="AC3955" s="152"/>
      <c r="AD3955" s="223"/>
      <c r="AE3955" s="223"/>
      <c r="AF3955" s="223"/>
      <c r="AG3955" s="223"/>
      <c r="AH3955" s="341"/>
      <c r="AI3955" s="218"/>
      <c r="AJ3955" s="218"/>
      <c r="AK3955" s="153"/>
      <c r="AL3955" s="152"/>
      <c r="AM3955" s="152"/>
      <c r="AN3955" s="152"/>
      <c r="AO3955" s="152"/>
      <c r="AP3955" s="152"/>
      <c r="AQ3955" s="152"/>
      <c r="AR3955" s="152"/>
      <c r="AS3955" s="152"/>
      <c r="AT3955" s="152"/>
      <c r="AU3955" s="153"/>
      <c r="AV3955" s="479"/>
      <c r="AW3955" s="479"/>
      <c r="AX3955" s="442"/>
      <c r="AY3955" s="153"/>
      <c r="AZ3955" s="152"/>
      <c r="BA3955" s="152"/>
      <c r="BB3955" s="152"/>
      <c r="BC3955" s="152"/>
      <c r="BD3955" s="152"/>
      <c r="BE3955" s="152"/>
      <c r="BF3955" s="152"/>
      <c r="BG3955" s="152"/>
      <c r="BH3955" s="152"/>
      <c r="BI3955" s="153"/>
      <c r="BJ3955" s="153"/>
      <c r="BK3955" s="153"/>
      <c r="BL3955" s="153"/>
      <c r="BM3955" s="153"/>
      <c r="BN3955" s="153"/>
      <c r="BO3955" s="153"/>
      <c r="BP3955" s="153"/>
      <c r="BQ3955" s="153"/>
      <c r="BR3955" s="153"/>
      <c r="BS3955" s="153"/>
      <c r="BT3955" s="153"/>
      <c r="BU3955" s="153"/>
      <c r="BV3955" s="153"/>
      <c r="BW3955" s="153"/>
      <c r="BX3955" s="153"/>
      <c r="BY3955" s="153"/>
      <c r="BZ3955" s="153"/>
      <c r="CA3955" s="152"/>
      <c r="CB3955" s="152"/>
    </row>
    <row r="3956" spans="1:80" s="87" customFormat="1" ht="15" x14ac:dyDescent="0.25">
      <c r="A3956" s="152"/>
      <c r="B3956" s="683"/>
      <c r="C3956" s="683"/>
      <c r="D3956" s="698"/>
      <c r="E3956" s="215"/>
      <c r="F3956" s="215"/>
      <c r="G3956" s="153"/>
      <c r="H3956" s="153"/>
      <c r="I3956" s="115">
        <v>20</v>
      </c>
      <c r="J3956" s="115">
        <v>60</v>
      </c>
      <c r="K3956" s="150">
        <v>1</v>
      </c>
      <c r="L3956" s="656">
        <v>20</v>
      </c>
      <c r="M3956" s="663">
        <v>35957</v>
      </c>
      <c r="N3956" s="600">
        <v>1.8799600000000001</v>
      </c>
      <c r="O3956" s="604">
        <v>6.581E-3</v>
      </c>
      <c r="P3956" s="250"/>
      <c r="Q3956" s="250"/>
      <c r="R3956" s="250"/>
      <c r="S3956" s="250">
        <v>1.4999999999999999E-2</v>
      </c>
      <c r="T3956" s="250">
        <v>2.7999999999999997E-2</v>
      </c>
      <c r="U3956" s="250">
        <v>0.24399999999999999</v>
      </c>
      <c r="V3956" s="250">
        <v>0.40700000000000003</v>
      </c>
      <c r="W3956" s="250">
        <v>0.23800000000000002</v>
      </c>
      <c r="X3956" s="250">
        <v>6.6000000000000003E-2</v>
      </c>
      <c r="Y3956" s="250">
        <v>2E-3</v>
      </c>
      <c r="Z3956" s="150">
        <v>9</v>
      </c>
      <c r="AA3956" s="150">
        <v>1.39</v>
      </c>
      <c r="AB3956" s="152"/>
      <c r="AC3956" s="152"/>
      <c r="AD3956" s="223"/>
      <c r="AE3956" s="223"/>
      <c r="AF3956" s="223"/>
      <c r="AG3956" s="223"/>
      <c r="AH3956" s="341"/>
      <c r="AI3956" s="218"/>
      <c r="AJ3956" s="218"/>
      <c r="AK3956" s="153"/>
      <c r="AL3956" s="152"/>
      <c r="AM3956" s="152"/>
      <c r="AN3956" s="152"/>
      <c r="AO3956" s="152"/>
      <c r="AP3956" s="152"/>
      <c r="AQ3956" s="152"/>
      <c r="AR3956" s="152"/>
      <c r="AS3956" s="152"/>
      <c r="AT3956" s="152"/>
      <c r="AU3956" s="153"/>
      <c r="AV3956" s="479"/>
      <c r="AW3956" s="479"/>
      <c r="AX3956" s="442"/>
      <c r="AY3956" s="153"/>
      <c r="AZ3956" s="152"/>
      <c r="BA3956" s="152"/>
      <c r="BB3956" s="152"/>
      <c r="BC3956" s="152"/>
      <c r="BD3956" s="152"/>
      <c r="BE3956" s="152"/>
      <c r="BF3956" s="152"/>
      <c r="BG3956" s="152"/>
      <c r="BH3956" s="152"/>
      <c r="BI3956" s="153"/>
      <c r="BJ3956" s="153"/>
      <c r="BK3956" s="153"/>
      <c r="BL3956" s="153"/>
      <c r="BM3956" s="153"/>
      <c r="BN3956" s="153"/>
      <c r="BO3956" s="153"/>
      <c r="BP3956" s="153"/>
      <c r="BQ3956" s="153"/>
      <c r="BR3956" s="153"/>
      <c r="BS3956" s="153"/>
      <c r="BT3956" s="153"/>
      <c r="BU3956" s="153"/>
      <c r="BV3956" s="153"/>
      <c r="BW3956" s="153"/>
      <c r="BX3956" s="153"/>
      <c r="BY3956" s="153"/>
      <c r="BZ3956" s="153"/>
      <c r="CA3956" s="152"/>
      <c r="CB3956" s="152"/>
    </row>
    <row r="3957" spans="1:80" s="87" customFormat="1" ht="15" x14ac:dyDescent="0.25">
      <c r="A3957" s="152"/>
      <c r="B3957" s="683"/>
      <c r="C3957" s="683"/>
      <c r="D3957" s="698"/>
      <c r="E3957" s="215"/>
      <c r="F3957" s="215"/>
      <c r="G3957" s="153"/>
      <c r="H3957" s="153"/>
      <c r="I3957" s="115">
        <v>19</v>
      </c>
      <c r="J3957" s="115">
        <v>60</v>
      </c>
      <c r="K3957" s="150">
        <v>1</v>
      </c>
      <c r="L3957" s="656">
        <v>19</v>
      </c>
      <c r="M3957" s="663">
        <v>36007</v>
      </c>
      <c r="N3957" s="600">
        <v>0.72480999999999995</v>
      </c>
      <c r="O3957" s="604">
        <v>1.4484E-2</v>
      </c>
      <c r="P3957" s="250"/>
      <c r="Q3957" s="250"/>
      <c r="R3957" s="250"/>
      <c r="S3957" s="250"/>
      <c r="T3957" s="250">
        <v>1.1000000000000001E-2</v>
      </c>
      <c r="U3957" s="250">
        <v>5.4000000000000006E-2</v>
      </c>
      <c r="V3957" s="250">
        <v>0.28800000000000003</v>
      </c>
      <c r="W3957" s="250">
        <v>0.46299999999999997</v>
      </c>
      <c r="X3957" s="250">
        <v>0.17399999999999999</v>
      </c>
      <c r="Y3957" s="250">
        <v>0.01</v>
      </c>
      <c r="Z3957" s="150">
        <v>7</v>
      </c>
      <c r="AA3957" s="150">
        <v>0.8</v>
      </c>
      <c r="AB3957" s="152"/>
      <c r="AC3957" s="152"/>
      <c r="AD3957" s="223"/>
      <c r="AE3957" s="223"/>
      <c r="AF3957" s="223"/>
      <c r="AG3957" s="223"/>
      <c r="AH3957" s="341"/>
      <c r="AI3957" s="218"/>
      <c r="AJ3957" s="218"/>
      <c r="AK3957" s="153"/>
      <c r="AL3957" s="152"/>
      <c r="AM3957" s="152"/>
      <c r="AN3957" s="152"/>
      <c r="AO3957" s="152"/>
      <c r="AP3957" s="152"/>
      <c r="AQ3957" s="152"/>
      <c r="AR3957" s="152"/>
      <c r="AS3957" s="152"/>
      <c r="AT3957" s="152"/>
      <c r="AU3957" s="153"/>
      <c r="AV3957" s="479"/>
      <c r="AW3957" s="479"/>
      <c r="AX3957" s="442"/>
      <c r="AY3957" s="153"/>
      <c r="AZ3957" s="152"/>
      <c r="BA3957" s="152"/>
      <c r="BB3957" s="152"/>
      <c r="BC3957" s="152"/>
      <c r="BD3957" s="152"/>
      <c r="BE3957" s="152"/>
      <c r="BF3957" s="152"/>
      <c r="BG3957" s="152"/>
      <c r="BH3957" s="152"/>
      <c r="BI3957" s="153"/>
      <c r="BJ3957" s="153"/>
      <c r="BK3957" s="153"/>
      <c r="BL3957" s="153"/>
      <c r="BM3957" s="153"/>
      <c r="BN3957" s="153"/>
      <c r="BO3957" s="153"/>
      <c r="BP3957" s="153"/>
      <c r="BQ3957" s="153"/>
      <c r="BR3957" s="153"/>
      <c r="BS3957" s="153"/>
      <c r="BT3957" s="153"/>
      <c r="BU3957" s="153"/>
      <c r="BV3957" s="153"/>
      <c r="BW3957" s="153"/>
      <c r="BX3957" s="153"/>
      <c r="BY3957" s="153"/>
      <c r="BZ3957" s="153"/>
      <c r="CA3957" s="152"/>
      <c r="CB3957" s="152"/>
    </row>
    <row r="3958" spans="1:80" s="87" customFormat="1" ht="15" x14ac:dyDescent="0.25">
      <c r="A3958" s="152"/>
      <c r="B3958" s="683"/>
      <c r="C3958" s="683"/>
      <c r="D3958" s="698"/>
      <c r="E3958" s="215"/>
      <c r="F3958" s="215"/>
      <c r="G3958" s="153"/>
      <c r="H3958" s="153"/>
      <c r="I3958" s="115">
        <v>20</v>
      </c>
      <c r="J3958" s="115">
        <v>60</v>
      </c>
      <c r="K3958" s="150">
        <v>1</v>
      </c>
      <c r="L3958" s="656">
        <v>20</v>
      </c>
      <c r="M3958" s="663">
        <v>36249</v>
      </c>
      <c r="N3958" s="600">
        <v>1.3335300000000001</v>
      </c>
      <c r="O3958" s="604">
        <v>1.3854E-2</v>
      </c>
      <c r="P3958" s="250"/>
      <c r="Q3958" s="250"/>
      <c r="R3958" s="250"/>
      <c r="S3958" s="250"/>
      <c r="T3958" s="250">
        <v>0.11199999999999999</v>
      </c>
      <c r="U3958" s="250">
        <v>0.25700000000000001</v>
      </c>
      <c r="V3958" s="250">
        <v>0.30299999999999999</v>
      </c>
      <c r="W3958" s="250">
        <v>0.255</v>
      </c>
      <c r="X3958" s="250">
        <v>7.0000000000000007E-2</v>
      </c>
      <c r="Y3958" s="250">
        <v>2E-3</v>
      </c>
      <c r="Z3958" s="150">
        <v>7</v>
      </c>
      <c r="AA3958" s="150">
        <v>1.49</v>
      </c>
      <c r="AB3958" s="152"/>
      <c r="AC3958" s="152"/>
      <c r="AD3958" s="223"/>
      <c r="AE3958" s="223"/>
      <c r="AF3958" s="223"/>
      <c r="AG3958" s="223"/>
      <c r="AH3958" s="341"/>
      <c r="AI3958" s="218"/>
      <c r="AJ3958" s="218"/>
      <c r="AK3958" s="153"/>
      <c r="AL3958" s="152"/>
      <c r="AM3958" s="152"/>
      <c r="AN3958" s="152"/>
      <c r="AO3958" s="152"/>
      <c r="AP3958" s="152"/>
      <c r="AQ3958" s="152"/>
      <c r="AR3958" s="152"/>
      <c r="AS3958" s="152"/>
      <c r="AT3958" s="152"/>
      <c r="AU3958" s="153"/>
      <c r="AV3958" s="479"/>
      <c r="AW3958" s="479"/>
      <c r="AX3958" s="442"/>
      <c r="AY3958" s="153"/>
      <c r="AZ3958" s="152"/>
      <c r="BA3958" s="152"/>
      <c r="BB3958" s="152"/>
      <c r="BC3958" s="152"/>
      <c r="BD3958" s="152"/>
      <c r="BE3958" s="152"/>
      <c r="BF3958" s="152"/>
      <c r="BG3958" s="152"/>
      <c r="BH3958" s="152"/>
      <c r="BI3958" s="153"/>
      <c r="BJ3958" s="153"/>
      <c r="BK3958" s="153"/>
      <c r="BL3958" s="153"/>
      <c r="BM3958" s="153"/>
      <c r="BN3958" s="153"/>
      <c r="BO3958" s="153"/>
      <c r="BP3958" s="153"/>
      <c r="BQ3958" s="153"/>
      <c r="BR3958" s="153"/>
      <c r="BS3958" s="153"/>
      <c r="BT3958" s="153"/>
      <c r="BU3958" s="153"/>
      <c r="BV3958" s="153"/>
      <c r="BW3958" s="153"/>
      <c r="BX3958" s="153"/>
      <c r="BY3958" s="153"/>
      <c r="BZ3958" s="153"/>
      <c r="CA3958" s="152"/>
      <c r="CB3958" s="152"/>
    </row>
    <row r="3959" spans="1:80" s="87" customFormat="1" ht="15" x14ac:dyDescent="0.25">
      <c r="A3959" s="152"/>
      <c r="B3959" s="683"/>
      <c r="C3959" s="683"/>
      <c r="D3959" s="698"/>
      <c r="E3959" s="215"/>
      <c r="F3959" s="215"/>
      <c r="G3959" s="153"/>
      <c r="H3959" s="153"/>
      <c r="I3959" s="115">
        <v>20</v>
      </c>
      <c r="J3959" s="115">
        <v>60</v>
      </c>
      <c r="K3959" s="150">
        <v>1</v>
      </c>
      <c r="L3959" s="656">
        <v>20</v>
      </c>
      <c r="M3959" s="663">
        <v>36280</v>
      </c>
      <c r="N3959" s="600">
        <v>4.1619700000000002</v>
      </c>
      <c r="O3959" s="604">
        <v>3.5999999999999997E-2</v>
      </c>
      <c r="P3959" s="250"/>
      <c r="Q3959" s="250"/>
      <c r="R3959" s="250"/>
      <c r="S3959" s="250">
        <v>2.4E-2</v>
      </c>
      <c r="T3959" s="250">
        <v>0.04</v>
      </c>
      <c r="U3959" s="250">
        <v>0.17899999999999999</v>
      </c>
      <c r="V3959" s="250">
        <v>0.45700000000000002</v>
      </c>
      <c r="W3959" s="250">
        <v>0.23800000000000002</v>
      </c>
      <c r="X3959" s="250">
        <v>6.0999999999999999E-2</v>
      </c>
      <c r="Y3959" s="250">
        <v>2E-3</v>
      </c>
      <c r="Z3959" s="150">
        <v>12</v>
      </c>
      <c r="AA3959" s="150">
        <v>1.35</v>
      </c>
      <c r="AB3959" s="152"/>
      <c r="AC3959" s="152"/>
      <c r="AD3959" s="223"/>
      <c r="AE3959" s="223"/>
      <c r="AF3959" s="223"/>
      <c r="AG3959" s="223"/>
      <c r="AH3959" s="341"/>
      <c r="AI3959" s="218"/>
      <c r="AJ3959" s="218"/>
      <c r="AK3959" s="153"/>
      <c r="AL3959" s="152"/>
      <c r="AM3959" s="152"/>
      <c r="AN3959" s="152"/>
      <c r="AO3959" s="152"/>
      <c r="AP3959" s="152"/>
      <c r="AQ3959" s="152"/>
      <c r="AR3959" s="152"/>
      <c r="AS3959" s="152"/>
      <c r="AT3959" s="152"/>
      <c r="AU3959" s="153"/>
      <c r="AV3959" s="479"/>
      <c r="AW3959" s="479"/>
      <c r="AX3959" s="442"/>
      <c r="AY3959" s="153"/>
      <c r="AZ3959" s="152"/>
      <c r="BA3959" s="152"/>
      <c r="BB3959" s="152"/>
      <c r="BC3959" s="152"/>
      <c r="BD3959" s="152"/>
      <c r="BE3959" s="152"/>
      <c r="BF3959" s="152"/>
      <c r="BG3959" s="152"/>
      <c r="BH3959" s="152"/>
      <c r="BI3959" s="153"/>
      <c r="BJ3959" s="153"/>
      <c r="BK3959" s="153"/>
      <c r="BL3959" s="153"/>
      <c r="BM3959" s="153"/>
      <c r="BN3959" s="153"/>
      <c r="BO3959" s="153"/>
      <c r="BP3959" s="153"/>
      <c r="BQ3959" s="153"/>
      <c r="BR3959" s="153"/>
      <c r="BS3959" s="153"/>
      <c r="BT3959" s="153"/>
      <c r="BU3959" s="153"/>
      <c r="BV3959" s="153"/>
      <c r="BW3959" s="153"/>
      <c r="BX3959" s="153"/>
      <c r="BY3959" s="153"/>
      <c r="BZ3959" s="153"/>
      <c r="CA3959" s="152"/>
      <c r="CB3959" s="152"/>
    </row>
    <row r="3960" spans="1:80" s="87" customFormat="1" ht="15" x14ac:dyDescent="0.25">
      <c r="A3960" s="152"/>
      <c r="B3960" s="683"/>
      <c r="C3960" s="683"/>
      <c r="D3960" s="698"/>
      <c r="E3960" s="215"/>
      <c r="F3960" s="215"/>
      <c r="G3960" s="153"/>
      <c r="H3960" s="153"/>
      <c r="I3960" s="115">
        <v>20</v>
      </c>
      <c r="J3960" s="115">
        <v>60</v>
      </c>
      <c r="K3960" s="150">
        <v>1</v>
      </c>
      <c r="L3960" s="656">
        <v>20</v>
      </c>
      <c r="M3960" s="663">
        <v>36293</v>
      </c>
      <c r="N3960" s="600">
        <v>2.6528999999999998</v>
      </c>
      <c r="O3960" s="604">
        <v>7.9349999999999993E-3</v>
      </c>
      <c r="P3960" s="250"/>
      <c r="Q3960" s="250"/>
      <c r="R3960" s="250"/>
      <c r="S3960" s="250"/>
      <c r="T3960" s="250">
        <v>4.0999999999999995E-2</v>
      </c>
      <c r="U3960" s="250">
        <v>0.21299999999999999</v>
      </c>
      <c r="V3960" s="250">
        <v>0.38</v>
      </c>
      <c r="W3960" s="250">
        <v>0.29299999999999998</v>
      </c>
      <c r="X3960" s="250">
        <v>7.0000000000000007E-2</v>
      </c>
      <c r="Y3960" s="250">
        <v>2E-3</v>
      </c>
      <c r="Z3960" s="150">
        <v>6</v>
      </c>
      <c r="AA3960" s="150">
        <v>1.28</v>
      </c>
      <c r="AB3960" s="152"/>
      <c r="AC3960" s="152"/>
      <c r="AD3960" s="223"/>
      <c r="AE3960" s="223"/>
      <c r="AF3960" s="223"/>
      <c r="AG3960" s="223"/>
      <c r="AH3960" s="341"/>
      <c r="AI3960" s="218"/>
      <c r="AJ3960" s="218"/>
      <c r="AK3960" s="153"/>
      <c r="AL3960" s="152"/>
      <c r="AM3960" s="152"/>
      <c r="AN3960" s="152"/>
      <c r="AO3960" s="152"/>
      <c r="AP3960" s="152"/>
      <c r="AQ3960" s="152"/>
      <c r="AR3960" s="152"/>
      <c r="AS3960" s="152"/>
      <c r="AT3960" s="152"/>
      <c r="AU3960" s="153"/>
      <c r="AV3960" s="479"/>
      <c r="AW3960" s="479"/>
      <c r="AX3960" s="442"/>
      <c r="AY3960" s="153"/>
      <c r="AZ3960" s="152"/>
      <c r="BA3960" s="152"/>
      <c r="BB3960" s="152"/>
      <c r="BC3960" s="152"/>
      <c r="BD3960" s="152"/>
      <c r="BE3960" s="152"/>
      <c r="BF3960" s="152"/>
      <c r="BG3960" s="152"/>
      <c r="BH3960" s="152"/>
      <c r="BI3960" s="153"/>
      <c r="BJ3960" s="153"/>
      <c r="BK3960" s="153"/>
      <c r="BL3960" s="153"/>
      <c r="BM3960" s="153"/>
      <c r="BN3960" s="153"/>
      <c r="BO3960" s="153"/>
      <c r="BP3960" s="153"/>
      <c r="BQ3960" s="153"/>
      <c r="BR3960" s="153"/>
      <c r="BS3960" s="153"/>
      <c r="BT3960" s="153"/>
      <c r="BU3960" s="153"/>
      <c r="BV3960" s="153"/>
      <c r="BW3960" s="153"/>
      <c r="BX3960" s="153"/>
      <c r="BY3960" s="153"/>
      <c r="BZ3960" s="153"/>
      <c r="CA3960" s="152"/>
      <c r="CB3960" s="152"/>
    </row>
    <row r="3961" spans="1:80" s="87" customFormat="1" ht="15" x14ac:dyDescent="0.25">
      <c r="A3961" s="152"/>
      <c r="B3961" s="683"/>
      <c r="C3961" s="683"/>
      <c r="D3961" s="698"/>
      <c r="E3961" s="215"/>
      <c r="F3961" s="215"/>
      <c r="G3961" s="153"/>
      <c r="H3961" s="153"/>
      <c r="I3961" s="115">
        <v>20</v>
      </c>
      <c r="J3961" s="115">
        <v>60</v>
      </c>
      <c r="K3961" s="150">
        <v>1</v>
      </c>
      <c r="L3961" s="656">
        <v>20</v>
      </c>
      <c r="M3961" s="663">
        <v>36302</v>
      </c>
      <c r="N3961" s="600">
        <v>8.3239300000000007</v>
      </c>
      <c r="O3961" s="604">
        <v>6.0979999999999999E-2</v>
      </c>
      <c r="P3961" s="250"/>
      <c r="Q3961" s="250"/>
      <c r="R3961" s="250"/>
      <c r="S3961" s="250">
        <v>2.6000000000000002E-2</v>
      </c>
      <c r="T3961" s="250">
        <v>9.6999999999999989E-2</v>
      </c>
      <c r="U3961" s="250">
        <v>0.16200000000000001</v>
      </c>
      <c r="V3961" s="250">
        <v>0.29899999999999999</v>
      </c>
      <c r="W3961" s="250">
        <v>0.29699999999999999</v>
      </c>
      <c r="X3961" s="250">
        <v>0.11699999999999999</v>
      </c>
      <c r="Y3961" s="250">
        <v>3.0000000000000001E-3</v>
      </c>
      <c r="Z3961" s="150">
        <v>15</v>
      </c>
      <c r="AA3961" s="150">
        <v>1.21</v>
      </c>
      <c r="AB3961" s="152"/>
      <c r="AC3961" s="152"/>
      <c r="AD3961" s="223"/>
      <c r="AE3961" s="223"/>
      <c r="AF3961" s="223"/>
      <c r="AG3961" s="223"/>
      <c r="AH3961" s="341"/>
      <c r="AI3961" s="218"/>
      <c r="AJ3961" s="218"/>
      <c r="AK3961" s="153"/>
      <c r="AL3961" s="152"/>
      <c r="AM3961" s="152"/>
      <c r="AN3961" s="152"/>
      <c r="AO3961" s="152"/>
      <c r="AP3961" s="152"/>
      <c r="AQ3961" s="152"/>
      <c r="AR3961" s="152"/>
      <c r="AS3961" s="152"/>
      <c r="AT3961" s="152"/>
      <c r="AU3961" s="153"/>
      <c r="AV3961" s="479"/>
      <c r="AW3961" s="479"/>
      <c r="AX3961" s="442"/>
      <c r="AY3961" s="153"/>
      <c r="AZ3961" s="152"/>
      <c r="BA3961" s="152"/>
      <c r="BB3961" s="152"/>
      <c r="BC3961" s="152"/>
      <c r="BD3961" s="152"/>
      <c r="BE3961" s="152"/>
      <c r="BF3961" s="152"/>
      <c r="BG3961" s="152"/>
      <c r="BH3961" s="152"/>
      <c r="BI3961" s="153"/>
      <c r="BJ3961" s="153"/>
      <c r="BK3961" s="153"/>
      <c r="BL3961" s="153"/>
      <c r="BM3961" s="153"/>
      <c r="BN3961" s="153"/>
      <c r="BO3961" s="153"/>
      <c r="BP3961" s="153"/>
      <c r="BQ3961" s="153"/>
      <c r="BR3961" s="153"/>
      <c r="BS3961" s="153"/>
      <c r="BT3961" s="153"/>
      <c r="BU3961" s="153"/>
      <c r="BV3961" s="153"/>
      <c r="BW3961" s="153"/>
      <c r="BX3961" s="153"/>
      <c r="BY3961" s="153"/>
      <c r="BZ3961" s="153"/>
      <c r="CA3961" s="152"/>
      <c r="CB3961" s="152"/>
    </row>
    <row r="3962" spans="1:80" s="87" customFormat="1" ht="15" x14ac:dyDescent="0.25">
      <c r="A3962" s="152"/>
      <c r="B3962" s="683"/>
      <c r="C3962" s="683"/>
      <c r="D3962" s="698"/>
      <c r="E3962" s="215"/>
      <c r="F3962" s="215"/>
      <c r="G3962" s="153"/>
      <c r="H3962" s="153"/>
      <c r="I3962" s="115">
        <v>20</v>
      </c>
      <c r="J3962" s="115">
        <v>60</v>
      </c>
      <c r="K3962" s="150">
        <v>1</v>
      </c>
      <c r="L3962" s="656">
        <v>20</v>
      </c>
      <c r="M3962" s="663">
        <v>36312</v>
      </c>
      <c r="N3962" s="600">
        <v>6.2854200000000002</v>
      </c>
      <c r="O3962" s="604">
        <v>1.0064999999999999E-2</v>
      </c>
      <c r="P3962" s="250"/>
      <c r="Q3962" s="250"/>
      <c r="R3962" s="250"/>
      <c r="S3962" s="250">
        <v>0.04</v>
      </c>
      <c r="T3962" s="250">
        <v>0.24100000000000002</v>
      </c>
      <c r="U3962" s="250">
        <v>0.25700000000000001</v>
      </c>
      <c r="V3962" s="250">
        <v>0.23499999999999999</v>
      </c>
      <c r="W3962" s="250">
        <v>0.16300000000000001</v>
      </c>
      <c r="X3962" s="250">
        <v>6.0999999999999999E-2</v>
      </c>
      <c r="Y3962" s="250">
        <v>3.0000000000000001E-3</v>
      </c>
      <c r="Z3962" s="150">
        <v>11</v>
      </c>
      <c r="AA3962" s="150">
        <v>2.2200000000000002</v>
      </c>
      <c r="AB3962" s="152"/>
      <c r="AC3962" s="152"/>
      <c r="AD3962" s="223"/>
      <c r="AE3962" s="223"/>
      <c r="AF3962" s="223"/>
      <c r="AG3962" s="223"/>
      <c r="AH3962" s="341"/>
      <c r="AI3962" s="218"/>
      <c r="AJ3962" s="218"/>
      <c r="AK3962" s="153"/>
      <c r="AL3962" s="152"/>
      <c r="AM3962" s="152"/>
      <c r="AN3962" s="152"/>
      <c r="AO3962" s="152"/>
      <c r="AP3962" s="152"/>
      <c r="AQ3962" s="152"/>
      <c r="AR3962" s="152"/>
      <c r="AS3962" s="152"/>
      <c r="AT3962" s="152"/>
      <c r="AU3962" s="153"/>
      <c r="AV3962" s="479"/>
      <c r="AW3962" s="479"/>
      <c r="AX3962" s="442"/>
      <c r="AY3962" s="153"/>
      <c r="AZ3962" s="152"/>
      <c r="BA3962" s="152"/>
      <c r="BB3962" s="152"/>
      <c r="BC3962" s="152"/>
      <c r="BD3962" s="152"/>
      <c r="BE3962" s="152"/>
      <c r="BF3962" s="152"/>
      <c r="BG3962" s="152"/>
      <c r="BH3962" s="152"/>
      <c r="BI3962" s="153"/>
      <c r="BJ3962" s="153"/>
      <c r="BK3962" s="153"/>
      <c r="BL3962" s="153"/>
      <c r="BM3962" s="153"/>
      <c r="BN3962" s="153"/>
      <c r="BO3962" s="153"/>
      <c r="BP3962" s="153"/>
      <c r="BQ3962" s="153"/>
      <c r="BR3962" s="153"/>
      <c r="BS3962" s="153"/>
      <c r="BT3962" s="153"/>
      <c r="BU3962" s="153"/>
      <c r="BV3962" s="153"/>
      <c r="BW3962" s="153"/>
      <c r="BX3962" s="153"/>
      <c r="BY3962" s="153"/>
      <c r="BZ3962" s="153"/>
      <c r="CA3962" s="152"/>
      <c r="CB3962" s="152"/>
    </row>
    <row r="3963" spans="1:80" s="87" customFormat="1" ht="15" x14ac:dyDescent="0.25">
      <c r="A3963" s="152"/>
      <c r="B3963" s="683"/>
      <c r="C3963" s="683"/>
      <c r="D3963" s="698"/>
      <c r="E3963" s="215"/>
      <c r="F3963" s="215"/>
      <c r="G3963" s="153"/>
      <c r="H3963" s="153"/>
      <c r="I3963" s="115">
        <v>20</v>
      </c>
      <c r="J3963" s="115">
        <v>60</v>
      </c>
      <c r="K3963" s="150">
        <v>1</v>
      </c>
      <c r="L3963" s="656">
        <v>20</v>
      </c>
      <c r="M3963" s="663">
        <v>36326</v>
      </c>
      <c r="N3963" s="600">
        <v>4.5017199999999997</v>
      </c>
      <c r="O3963" s="604">
        <v>3.4006000000000002E-2</v>
      </c>
      <c r="P3963" s="250"/>
      <c r="Q3963" s="250"/>
      <c r="R3963" s="250">
        <v>0.127</v>
      </c>
      <c r="S3963" s="250">
        <v>6.4000000000000001E-2</v>
      </c>
      <c r="T3963" s="250">
        <v>0.14699999999999999</v>
      </c>
      <c r="U3963" s="250">
        <v>0.19899999999999998</v>
      </c>
      <c r="V3963" s="250">
        <v>0.23499999999999999</v>
      </c>
      <c r="W3963" s="250">
        <v>0.17600000000000002</v>
      </c>
      <c r="X3963" s="250">
        <v>5.0999999999999997E-2</v>
      </c>
      <c r="Y3963" s="250">
        <v>1E-3</v>
      </c>
      <c r="Z3963" s="150">
        <v>24</v>
      </c>
      <c r="AA3963" s="150">
        <v>2.2799999999999998</v>
      </c>
      <c r="AB3963" s="152"/>
      <c r="AC3963" s="152"/>
      <c r="AD3963" s="223"/>
      <c r="AE3963" s="223"/>
      <c r="AF3963" s="223"/>
      <c r="AG3963" s="223"/>
      <c r="AH3963" s="341"/>
      <c r="AI3963" s="218"/>
      <c r="AJ3963" s="218"/>
      <c r="AK3963" s="153"/>
      <c r="AL3963" s="152"/>
      <c r="AM3963" s="152"/>
      <c r="AN3963" s="152"/>
      <c r="AO3963" s="152"/>
      <c r="AP3963" s="152"/>
      <c r="AQ3963" s="152"/>
      <c r="AR3963" s="152"/>
      <c r="AS3963" s="152"/>
      <c r="AT3963" s="152"/>
      <c r="AU3963" s="153"/>
      <c r="AV3963" s="479"/>
      <c r="AW3963" s="479"/>
      <c r="AX3963" s="442"/>
      <c r="AY3963" s="153"/>
      <c r="AZ3963" s="152"/>
      <c r="BA3963" s="152"/>
      <c r="BB3963" s="152"/>
      <c r="BC3963" s="152"/>
      <c r="BD3963" s="152"/>
      <c r="BE3963" s="152"/>
      <c r="BF3963" s="152"/>
      <c r="BG3963" s="152"/>
      <c r="BH3963" s="152"/>
      <c r="BI3963" s="153"/>
      <c r="BJ3963" s="153"/>
      <c r="BK3963" s="153"/>
      <c r="BL3963" s="153"/>
      <c r="BM3963" s="153"/>
      <c r="BN3963" s="153"/>
      <c r="BO3963" s="153"/>
      <c r="BP3963" s="153"/>
      <c r="BQ3963" s="153"/>
      <c r="BR3963" s="153"/>
      <c r="BS3963" s="153"/>
      <c r="BT3963" s="153"/>
      <c r="BU3963" s="153"/>
      <c r="BV3963" s="153"/>
      <c r="BW3963" s="153"/>
      <c r="BX3963" s="153"/>
      <c r="BY3963" s="153"/>
      <c r="BZ3963" s="153"/>
      <c r="CA3963" s="152"/>
      <c r="CB3963" s="152"/>
    </row>
    <row r="3964" spans="1:80" s="87" customFormat="1" ht="15" x14ac:dyDescent="0.25">
      <c r="A3964" s="152"/>
      <c r="B3964" s="683"/>
      <c r="C3964" s="683"/>
      <c r="D3964" s="698"/>
      <c r="E3964" s="215"/>
      <c r="F3964" s="215"/>
      <c r="G3964" s="153"/>
      <c r="H3964" s="153"/>
      <c r="I3964" s="115">
        <v>20</v>
      </c>
      <c r="J3964" s="115">
        <v>60</v>
      </c>
      <c r="K3964" s="150">
        <v>1</v>
      </c>
      <c r="L3964" s="656">
        <v>20</v>
      </c>
      <c r="M3964" s="663">
        <v>36349</v>
      </c>
      <c r="N3964" s="600">
        <v>1.141</v>
      </c>
      <c r="O3964" s="604">
        <v>8.5649999999999997E-3</v>
      </c>
      <c r="P3964" s="250"/>
      <c r="Q3964" s="250"/>
      <c r="R3964" s="250"/>
      <c r="S3964" s="250"/>
      <c r="T3964" s="250">
        <v>3.2000000000000001E-2</v>
      </c>
      <c r="U3964" s="250">
        <v>0.20600000000000002</v>
      </c>
      <c r="V3964" s="250">
        <v>0.316</v>
      </c>
      <c r="W3964" s="250">
        <v>0.34600000000000003</v>
      </c>
      <c r="X3964" s="250">
        <v>9.6999999999999989E-2</v>
      </c>
      <c r="Y3964" s="250">
        <v>3.0000000000000001E-3</v>
      </c>
      <c r="Z3964" s="150">
        <v>8</v>
      </c>
      <c r="AA3964" s="150">
        <v>1.1299999999999999</v>
      </c>
      <c r="AB3964" s="152"/>
      <c r="AC3964" s="152"/>
      <c r="AD3964" s="223"/>
      <c r="AE3964" s="223"/>
      <c r="AF3964" s="223"/>
      <c r="AG3964" s="223"/>
      <c r="AH3964" s="341"/>
      <c r="AI3964" s="218"/>
      <c r="AJ3964" s="218"/>
      <c r="AK3964" s="153"/>
      <c r="AL3964" s="152"/>
      <c r="AM3964" s="152"/>
      <c r="AN3964" s="152"/>
      <c r="AO3964" s="152"/>
      <c r="AP3964" s="152"/>
      <c r="AQ3964" s="152"/>
      <c r="AR3964" s="152"/>
      <c r="AS3964" s="152"/>
      <c r="AT3964" s="152"/>
      <c r="AU3964" s="153"/>
      <c r="AV3964" s="479"/>
      <c r="AW3964" s="479"/>
      <c r="AX3964" s="442"/>
      <c r="AY3964" s="153"/>
      <c r="AZ3964" s="152"/>
      <c r="BA3964" s="152"/>
      <c r="BB3964" s="152"/>
      <c r="BC3964" s="152"/>
      <c r="BD3964" s="152"/>
      <c r="BE3964" s="152"/>
      <c r="BF3964" s="152"/>
      <c r="BG3964" s="152"/>
      <c r="BH3964" s="152"/>
      <c r="BI3964" s="153"/>
      <c r="BJ3964" s="153"/>
      <c r="BK3964" s="153"/>
      <c r="BL3964" s="153"/>
      <c r="BM3964" s="153"/>
      <c r="BN3964" s="153"/>
      <c r="BO3964" s="153"/>
      <c r="BP3964" s="153"/>
      <c r="BQ3964" s="153"/>
      <c r="BR3964" s="153"/>
      <c r="BS3964" s="153"/>
      <c r="BT3964" s="153"/>
      <c r="BU3964" s="153"/>
      <c r="BV3964" s="153"/>
      <c r="BW3964" s="153"/>
      <c r="BX3964" s="153"/>
      <c r="BY3964" s="153"/>
      <c r="BZ3964" s="153"/>
      <c r="CA3964" s="152"/>
      <c r="CB3964" s="152"/>
    </row>
    <row r="3965" spans="1:80" ht="15" x14ac:dyDescent="0.25">
      <c r="A3965" s="9" t="s">
        <v>206</v>
      </c>
      <c r="B3965" s="639" t="s">
        <v>66</v>
      </c>
      <c r="C3965" s="639" t="s">
        <v>609</v>
      </c>
      <c r="D3965" s="4">
        <f>VLOOKUP(E3965,'Quality Code'!D4:E24,2,TRUE)*VLOOKUP(MROUND(F3965,10),'Quality Code'!D28:E69,2,TRUE)*VLOOKUP(COUNTA(CB3965:CB3975),'Quality Code'!D73:E93,2,TRUE)</f>
        <v>4</v>
      </c>
      <c r="E3965" s="14">
        <v>0.8</v>
      </c>
      <c r="F3965" s="18">
        <v>130</v>
      </c>
      <c r="G3965" s="12">
        <v>852.80100000000004</v>
      </c>
      <c r="H3965" s="2" t="s">
        <v>231</v>
      </c>
      <c r="I3965" s="10"/>
      <c r="J3965" s="10" t="s">
        <v>283</v>
      </c>
      <c r="K3965" s="10"/>
      <c r="L3965" s="640" t="s">
        <v>284</v>
      </c>
      <c r="M3965" s="640" t="s">
        <v>835</v>
      </c>
      <c r="N3965" s="579" t="s">
        <v>285</v>
      </c>
      <c r="O3965" s="579"/>
      <c r="P3965" s="10" t="s">
        <v>64</v>
      </c>
      <c r="Q3965" s="10" t="s">
        <v>64</v>
      </c>
      <c r="R3965" s="10" t="s">
        <v>64</v>
      </c>
      <c r="S3965" s="10" t="s">
        <v>64</v>
      </c>
      <c r="T3965" s="10" t="s">
        <v>64</v>
      </c>
      <c r="U3965" s="10" t="s">
        <v>64</v>
      </c>
      <c r="V3965" s="10"/>
      <c r="W3965" s="10"/>
      <c r="X3965" s="10"/>
      <c r="Y3965" s="10"/>
      <c r="Z3965" s="11"/>
      <c r="AA3965" s="81"/>
      <c r="AB3965" s="81"/>
      <c r="AC3965" s="116">
        <v>2.5000000000000001E-3</v>
      </c>
      <c r="AD3965" s="11"/>
      <c r="AE3965" s="11"/>
      <c r="AF3965" s="10"/>
      <c r="AG3965" s="10"/>
      <c r="AH3965" s="345" t="s">
        <v>359</v>
      </c>
      <c r="AI3965" s="18">
        <v>14</v>
      </c>
      <c r="AJ3965" s="18"/>
      <c r="AK3965" s="10"/>
      <c r="AL3965" s="17"/>
      <c r="AM3965" s="17"/>
      <c r="AN3965" s="17"/>
      <c r="AO3965" s="17"/>
      <c r="AP3965" s="17"/>
      <c r="AQ3965" s="17"/>
      <c r="AR3965" s="17"/>
      <c r="AS3965" s="17"/>
      <c r="AT3965" s="17"/>
      <c r="AU3965" s="18">
        <v>38</v>
      </c>
      <c r="AV3965" s="17">
        <v>1</v>
      </c>
      <c r="AW3965" s="17">
        <v>1</v>
      </c>
      <c r="AX3965" s="17">
        <v>1</v>
      </c>
      <c r="AY3965" s="17">
        <v>0.90269999999999995</v>
      </c>
      <c r="AZ3965" s="17">
        <v>0.70799999999999996</v>
      </c>
      <c r="BA3965" s="17">
        <v>0.499</v>
      </c>
      <c r="BB3965" s="17">
        <v>0.40710000000000002</v>
      </c>
      <c r="BC3965" s="17">
        <v>0.3805</v>
      </c>
      <c r="BD3965" s="17">
        <v>0.34510000000000002</v>
      </c>
      <c r="BE3965" s="17">
        <v>0.32740000000000002</v>
      </c>
      <c r="BF3965" s="17"/>
      <c r="BG3965" s="17"/>
      <c r="BH3965" s="17"/>
      <c r="BI3965" s="4">
        <f>AU3965/AI3965</f>
        <v>2.7142857142857144</v>
      </c>
      <c r="BJ3965" s="2"/>
      <c r="BK3965" s="2" t="s">
        <v>175</v>
      </c>
      <c r="BL3965" s="12"/>
      <c r="BM3965" s="12">
        <v>70.781800000000004</v>
      </c>
      <c r="BN3965" s="12">
        <v>34.441270000000003</v>
      </c>
      <c r="BO3965" s="12">
        <v>1.6367223</v>
      </c>
      <c r="BP3965" s="12">
        <v>56.386657999999997</v>
      </c>
      <c r="BQ3965" s="12">
        <f>BN3965/BO3965</f>
        <v>21.042830540037247</v>
      </c>
      <c r="BR3965" s="12" t="s">
        <v>29</v>
      </c>
      <c r="BS3965" s="18">
        <v>5</v>
      </c>
      <c r="BT3965" s="12">
        <v>2.0116139999999998</v>
      </c>
      <c r="BU3965" s="2"/>
      <c r="BV3965" s="2"/>
      <c r="BW3965" s="2"/>
      <c r="BX3965" s="2"/>
      <c r="BY3965" s="2"/>
      <c r="BZ3965" s="2"/>
      <c r="CA3965" s="381"/>
      <c r="CB3965" s="9" t="s">
        <v>224</v>
      </c>
    </row>
    <row r="3966" spans="1:80" s="87" customFormat="1" ht="15" x14ac:dyDescent="0.2">
      <c r="A3966" s="152"/>
      <c r="B3966" s="683"/>
      <c r="C3966" s="683"/>
      <c r="D3966" s="698"/>
      <c r="E3966" s="215"/>
      <c r="F3966" s="215"/>
      <c r="G3966" s="153"/>
      <c r="H3966" s="153"/>
      <c r="I3966" s="153"/>
      <c r="J3966" s="153"/>
      <c r="K3966" s="153"/>
      <c r="L3966" s="653"/>
      <c r="M3966" s="663">
        <v>31155</v>
      </c>
      <c r="N3966" s="600">
        <v>35.957099999999997</v>
      </c>
      <c r="O3966" s="604">
        <v>8.8164000000000006E-2</v>
      </c>
      <c r="P3966" s="250"/>
      <c r="Q3966" s="250"/>
      <c r="R3966" s="250"/>
      <c r="S3966" s="250">
        <v>1.3000000000000001E-2</v>
      </c>
      <c r="T3966" s="250">
        <v>1.3999999999999999E-2</v>
      </c>
      <c r="U3966" s="250">
        <v>4.9000000000000002E-2</v>
      </c>
      <c r="V3966" s="250">
        <v>0.25800000000000001</v>
      </c>
      <c r="W3966" s="250">
        <v>0.41700000000000004</v>
      </c>
      <c r="X3966" s="250">
        <v>0.23800000000000002</v>
      </c>
      <c r="Y3966" s="250">
        <v>1.1000000000000001E-2</v>
      </c>
      <c r="Z3966" s="150"/>
      <c r="AA3966" s="150">
        <v>0.76</v>
      </c>
      <c r="AB3966" s="152"/>
      <c r="AC3966" s="152"/>
      <c r="AD3966" s="223">
        <v>32.61253</v>
      </c>
      <c r="AE3966" s="223">
        <v>1.3014532999999999</v>
      </c>
      <c r="AF3966" s="223">
        <v>42.452558000000003</v>
      </c>
      <c r="AG3966" s="223">
        <v>0.84731619999999996</v>
      </c>
      <c r="AH3966" s="341"/>
      <c r="AI3966" s="218"/>
      <c r="AJ3966" s="218"/>
      <c r="AK3966" s="153"/>
      <c r="AL3966" s="152"/>
      <c r="AM3966" s="152"/>
      <c r="AN3966" s="152"/>
      <c r="AO3966" s="152"/>
      <c r="AP3966" s="152"/>
      <c r="AQ3966" s="152"/>
      <c r="AR3966" s="152"/>
      <c r="AS3966" s="152"/>
      <c r="AT3966" s="152"/>
      <c r="AU3966" s="153"/>
      <c r="AV3966" s="479"/>
      <c r="AW3966" s="479"/>
      <c r="AX3966" s="442"/>
      <c r="AY3966" s="153"/>
      <c r="AZ3966" s="152"/>
      <c r="BA3966" s="152"/>
      <c r="BB3966" s="152"/>
      <c r="BC3966" s="152"/>
      <c r="BD3966" s="152"/>
      <c r="BE3966" s="152"/>
      <c r="BF3966" s="152"/>
      <c r="BG3966" s="152"/>
      <c r="BH3966" s="152"/>
      <c r="BI3966" s="153"/>
      <c r="BJ3966" s="153"/>
      <c r="BK3966" s="153"/>
      <c r="BL3966" s="153"/>
      <c r="BM3966" s="153"/>
      <c r="BN3966" s="153"/>
      <c r="BO3966" s="153"/>
      <c r="BP3966" s="153"/>
      <c r="BQ3966" s="153"/>
      <c r="BR3966" s="153"/>
      <c r="BS3966" s="153"/>
      <c r="BT3966" s="153"/>
      <c r="BU3966" s="153"/>
      <c r="BV3966" s="153"/>
      <c r="BW3966" s="153"/>
      <c r="BX3966" s="153"/>
      <c r="BY3966" s="153"/>
      <c r="BZ3966" s="153"/>
      <c r="CA3966" s="152"/>
      <c r="CB3966" s="486" t="s">
        <v>638</v>
      </c>
    </row>
    <row r="3967" spans="1:80" s="87" customFormat="1" ht="15" x14ac:dyDescent="0.2">
      <c r="A3967" s="152"/>
      <c r="B3967" s="683"/>
      <c r="C3967" s="683"/>
      <c r="D3967" s="698"/>
      <c r="E3967" s="215"/>
      <c r="F3967" s="215"/>
      <c r="G3967" s="153"/>
      <c r="H3967" s="153"/>
      <c r="I3967" s="153"/>
      <c r="J3967" s="153"/>
      <c r="K3967" s="153"/>
      <c r="L3967" s="653"/>
      <c r="M3967" s="663">
        <v>31167</v>
      </c>
      <c r="N3967" s="600">
        <v>21.970700000000001</v>
      </c>
      <c r="O3967" s="604">
        <v>6.2969999999999996E-3</v>
      </c>
      <c r="P3967" s="250"/>
      <c r="Q3967" s="250"/>
      <c r="R3967" s="250"/>
      <c r="S3967" s="250"/>
      <c r="T3967" s="250">
        <v>8.6999999999999994E-2</v>
      </c>
      <c r="U3967" s="250">
        <v>3.3000000000000002E-2</v>
      </c>
      <c r="V3967" s="250">
        <v>0.185</v>
      </c>
      <c r="W3967" s="250">
        <v>0.42399999999999999</v>
      </c>
      <c r="X3967" s="250">
        <v>0.26100000000000001</v>
      </c>
      <c r="Y3967" s="250">
        <v>0.01</v>
      </c>
      <c r="Z3967" s="150"/>
      <c r="AA3967" s="150">
        <v>0.73</v>
      </c>
      <c r="AB3967" s="152"/>
      <c r="AC3967" s="152"/>
      <c r="AD3967" s="223">
        <v>31.393370000000001</v>
      </c>
      <c r="AE3967" s="223">
        <v>1.1307708999999999</v>
      </c>
      <c r="AF3967" s="223">
        <v>35.485508000000003</v>
      </c>
      <c r="AG3967" s="223">
        <v>0.61872369999999999</v>
      </c>
      <c r="AH3967" s="341"/>
      <c r="AI3967" s="218"/>
      <c r="AJ3967" s="218"/>
      <c r="AK3967" s="153"/>
      <c r="AL3967" s="152"/>
      <c r="AM3967" s="152"/>
      <c r="AN3967" s="152"/>
      <c r="AO3967" s="152"/>
      <c r="AP3967" s="152"/>
      <c r="AQ3967" s="152"/>
      <c r="AR3967" s="152"/>
      <c r="AS3967" s="152"/>
      <c r="AT3967" s="152"/>
      <c r="AU3967" s="153"/>
      <c r="AV3967" s="479"/>
      <c r="AW3967" s="479"/>
      <c r="AX3967" s="442"/>
      <c r="AY3967" s="153"/>
      <c r="AZ3967" s="152"/>
      <c r="BA3967" s="152"/>
      <c r="BB3967" s="152"/>
      <c r="BC3967" s="152"/>
      <c r="BD3967" s="152"/>
      <c r="BE3967" s="152"/>
      <c r="BF3967" s="152"/>
      <c r="BG3967" s="152"/>
      <c r="BH3967" s="152"/>
      <c r="BI3967" s="153"/>
      <c r="BJ3967" s="153"/>
      <c r="BK3967" s="153"/>
      <c r="BL3967" s="153"/>
      <c r="BM3967" s="153"/>
      <c r="BN3967" s="153"/>
      <c r="BO3967" s="153"/>
      <c r="BP3967" s="153"/>
      <c r="BQ3967" s="153"/>
      <c r="BR3967" s="153"/>
      <c r="BS3967" s="153"/>
      <c r="BT3967" s="153"/>
      <c r="BU3967" s="153"/>
      <c r="BV3967" s="153"/>
      <c r="BW3967" s="153"/>
      <c r="BX3967" s="153"/>
      <c r="BY3967" s="153"/>
      <c r="BZ3967" s="153"/>
      <c r="CA3967" s="152"/>
      <c r="CB3967" s="486" t="s">
        <v>639</v>
      </c>
    </row>
    <row r="3968" spans="1:80" s="87" customFormat="1" ht="15" x14ac:dyDescent="0.2">
      <c r="A3968" s="152"/>
      <c r="B3968" s="683"/>
      <c r="C3968" s="683"/>
      <c r="D3968" s="698"/>
      <c r="E3968" s="215"/>
      <c r="F3968" s="215"/>
      <c r="G3968" s="153"/>
      <c r="H3968" s="153"/>
      <c r="I3968" s="153"/>
      <c r="J3968" s="153"/>
      <c r="K3968" s="153"/>
      <c r="L3968" s="653"/>
      <c r="M3968" s="663">
        <v>31167</v>
      </c>
      <c r="N3968" s="600">
        <v>21.970700000000001</v>
      </c>
      <c r="O3968" s="604">
        <v>1.312E-2</v>
      </c>
      <c r="P3968" s="250"/>
      <c r="Q3968" s="250"/>
      <c r="R3968" s="250"/>
      <c r="S3968" s="250"/>
      <c r="T3968" s="250">
        <v>1.1000000000000001E-2</v>
      </c>
      <c r="U3968" s="250">
        <v>3.7000000000000005E-2</v>
      </c>
      <c r="V3968" s="250">
        <v>0.33100000000000002</v>
      </c>
      <c r="W3968" s="250">
        <v>0.47</v>
      </c>
      <c r="X3968" s="250">
        <v>0.14699999999999999</v>
      </c>
      <c r="Y3968" s="250">
        <v>4.0000000000000001E-3</v>
      </c>
      <c r="Z3968" s="150"/>
      <c r="AA3968" s="150">
        <v>0.84</v>
      </c>
      <c r="AB3968" s="152"/>
      <c r="AC3968" s="152"/>
      <c r="AD3968" s="223">
        <v>31.393370000000001</v>
      </c>
      <c r="AE3968" s="223">
        <v>1.1307708999999999</v>
      </c>
      <c r="AF3968" s="223">
        <v>35.485508000000003</v>
      </c>
      <c r="AG3968" s="223">
        <v>0.61872369999999999</v>
      </c>
      <c r="AH3968" s="341"/>
      <c r="AI3968" s="218"/>
      <c r="AJ3968" s="218"/>
      <c r="AK3968" s="153"/>
      <c r="AL3968" s="152"/>
      <c r="AM3968" s="152"/>
      <c r="AN3968" s="152"/>
      <c r="AO3968" s="152"/>
      <c r="AP3968" s="152"/>
      <c r="AQ3968" s="152"/>
      <c r="AR3968" s="152"/>
      <c r="AS3968" s="152"/>
      <c r="AT3968" s="152"/>
      <c r="AU3968" s="153"/>
      <c r="AV3968" s="479"/>
      <c r="AW3968" s="479"/>
      <c r="AX3968" s="442"/>
      <c r="AY3968" s="153"/>
      <c r="AZ3968" s="152"/>
      <c r="BA3968" s="152"/>
      <c r="BB3968" s="152"/>
      <c r="BC3968" s="152"/>
      <c r="BD3968" s="152"/>
      <c r="BE3968" s="152"/>
      <c r="BF3968" s="152"/>
      <c r="BG3968" s="152"/>
      <c r="BH3968" s="152"/>
      <c r="BI3968" s="153"/>
      <c r="BJ3968" s="153"/>
      <c r="BK3968" s="153"/>
      <c r="BL3968" s="153"/>
      <c r="BM3968" s="153"/>
      <c r="BN3968" s="153"/>
      <c r="BO3968" s="153"/>
      <c r="BP3968" s="153"/>
      <c r="BQ3968" s="153"/>
      <c r="BR3968" s="153"/>
      <c r="BS3968" s="153"/>
      <c r="BT3968" s="153"/>
      <c r="BU3968" s="153"/>
      <c r="BV3968" s="153"/>
      <c r="BW3968" s="153"/>
      <c r="BX3968" s="153"/>
      <c r="BY3968" s="153"/>
      <c r="BZ3968" s="153"/>
      <c r="CA3968" s="152"/>
      <c r="CB3968" s="486" t="s">
        <v>640</v>
      </c>
    </row>
    <row r="3969" spans="1:80" s="87" customFormat="1" x14ac:dyDescent="0.2">
      <c r="A3969" s="152"/>
      <c r="B3969" s="683"/>
      <c r="C3969" s="683"/>
      <c r="D3969" s="698"/>
      <c r="E3969" s="215"/>
      <c r="F3969" s="215"/>
      <c r="G3969" s="153"/>
      <c r="H3969" s="153"/>
      <c r="I3969" s="153"/>
      <c r="J3969" s="153"/>
      <c r="K3969" s="153"/>
      <c r="L3969" s="653"/>
      <c r="M3969" s="663">
        <v>31168</v>
      </c>
      <c r="N3969" s="600">
        <v>26.981999999999999</v>
      </c>
      <c r="O3969" s="604">
        <v>8.8159999999999992E-3</v>
      </c>
      <c r="P3969" s="250"/>
      <c r="Q3969" s="250"/>
      <c r="R3969" s="250"/>
      <c r="S3969" s="250"/>
      <c r="T3969" s="250">
        <v>1.9E-2</v>
      </c>
      <c r="U3969" s="250">
        <v>2.7000000000000003E-2</v>
      </c>
      <c r="V3969" s="250">
        <v>0.17800000000000002</v>
      </c>
      <c r="W3969" s="250">
        <v>0.40299999999999997</v>
      </c>
      <c r="X3969" s="250">
        <v>0.33299999999999996</v>
      </c>
      <c r="Y3969" s="250">
        <v>0.04</v>
      </c>
      <c r="Z3969" s="150"/>
      <c r="AA3969" s="150">
        <v>0.62</v>
      </c>
      <c r="AB3969" s="152"/>
      <c r="AC3969" s="152"/>
      <c r="AD3969" s="223">
        <v>31.393370000000001</v>
      </c>
      <c r="AE3969" s="223">
        <v>1.2374474</v>
      </c>
      <c r="AF3969" s="223">
        <v>38.829692000000001</v>
      </c>
      <c r="AG3969" s="223">
        <v>0.69492120000000002</v>
      </c>
      <c r="AH3969" s="341"/>
      <c r="AI3969" s="218"/>
      <c r="AJ3969" s="218"/>
      <c r="AK3969" s="153"/>
      <c r="AL3969" s="152"/>
      <c r="AM3969" s="152"/>
      <c r="AN3969" s="152"/>
      <c r="AO3969" s="152"/>
      <c r="AP3969" s="152"/>
      <c r="AQ3969" s="152"/>
      <c r="AR3969" s="152"/>
      <c r="AS3969" s="152"/>
      <c r="AT3969" s="152"/>
      <c r="AU3969" s="153"/>
      <c r="AV3969" s="479"/>
      <c r="AW3969" s="479"/>
      <c r="AX3969" s="442"/>
      <c r="AY3969" s="153"/>
      <c r="AZ3969" s="152"/>
      <c r="BA3969" s="152"/>
      <c r="BB3969" s="152"/>
      <c r="BC3969" s="152"/>
      <c r="BD3969" s="152"/>
      <c r="BE3969" s="152"/>
      <c r="BF3969" s="152"/>
      <c r="BG3969" s="152"/>
      <c r="BH3969" s="152"/>
      <c r="BI3969" s="153"/>
      <c r="BJ3969" s="153"/>
      <c r="BK3969" s="153"/>
      <c r="BL3969" s="153"/>
      <c r="BM3969" s="153"/>
      <c r="BN3969" s="153"/>
      <c r="BO3969" s="153"/>
      <c r="BP3969" s="153"/>
      <c r="BQ3969" s="153"/>
      <c r="BR3969" s="153"/>
      <c r="BS3969" s="153"/>
      <c r="BT3969" s="153"/>
      <c r="BU3969" s="153"/>
      <c r="BV3969" s="153"/>
      <c r="BW3969" s="153"/>
      <c r="BX3969" s="153"/>
      <c r="BY3969" s="153"/>
      <c r="BZ3969" s="153"/>
      <c r="CA3969" s="152"/>
      <c r="CB3969" s="152"/>
    </row>
    <row r="3970" spans="1:80" s="87" customFormat="1" x14ac:dyDescent="0.2">
      <c r="A3970" s="152"/>
      <c r="B3970" s="683"/>
      <c r="C3970" s="683"/>
      <c r="D3970" s="698"/>
      <c r="E3970" s="215"/>
      <c r="F3970" s="215"/>
      <c r="G3970" s="153"/>
      <c r="H3970" s="153"/>
      <c r="I3970" s="153"/>
      <c r="J3970" s="153"/>
      <c r="K3970" s="153"/>
      <c r="L3970" s="653"/>
      <c r="M3970" s="663">
        <v>31169</v>
      </c>
      <c r="N3970" s="600">
        <v>37.372799999999998</v>
      </c>
      <c r="O3970" s="604">
        <v>8.2916000000000004E-2</v>
      </c>
      <c r="P3970" s="250"/>
      <c r="Q3970" s="250"/>
      <c r="R3970" s="250"/>
      <c r="S3970" s="250">
        <v>4.0000000000000001E-3</v>
      </c>
      <c r="T3970" s="250">
        <v>3.1E-2</v>
      </c>
      <c r="U3970" s="250">
        <v>0.14899999999999999</v>
      </c>
      <c r="V3970" s="250">
        <v>0.312</v>
      </c>
      <c r="W3970" s="250">
        <v>0.308</v>
      </c>
      <c r="X3970" s="250">
        <v>0.182</v>
      </c>
      <c r="Y3970" s="250">
        <v>1.3999999999999999E-2</v>
      </c>
      <c r="Z3970" s="150"/>
      <c r="AA3970" s="150">
        <v>0.99</v>
      </c>
      <c r="AB3970" s="152"/>
      <c r="AC3970" s="152"/>
      <c r="AD3970" s="223">
        <v>32.61253</v>
      </c>
      <c r="AE3970" s="223">
        <v>1.3837466</v>
      </c>
      <c r="AF3970" s="223">
        <v>45.146484000000001</v>
      </c>
      <c r="AG3970" s="223">
        <v>0.82902880000000001</v>
      </c>
      <c r="AH3970" s="341"/>
      <c r="AI3970" s="218"/>
      <c r="AJ3970" s="218"/>
      <c r="AK3970" s="153"/>
      <c r="AL3970" s="152"/>
      <c r="AM3970" s="152"/>
      <c r="AN3970" s="152"/>
      <c r="AO3970" s="152"/>
      <c r="AP3970" s="152"/>
      <c r="AQ3970" s="152"/>
      <c r="AR3970" s="152"/>
      <c r="AS3970" s="152"/>
      <c r="AT3970" s="152"/>
      <c r="AU3970" s="153"/>
      <c r="AV3970" s="479"/>
      <c r="AW3970" s="479"/>
      <c r="AX3970" s="442"/>
      <c r="AY3970" s="153"/>
      <c r="AZ3970" s="152"/>
      <c r="BA3970" s="152"/>
      <c r="BB3970" s="152"/>
      <c r="BC3970" s="152"/>
      <c r="BD3970" s="152"/>
      <c r="BE3970" s="152"/>
      <c r="BF3970" s="152"/>
      <c r="BG3970" s="152"/>
      <c r="BH3970" s="152"/>
      <c r="BI3970" s="153"/>
      <c r="BJ3970" s="153"/>
      <c r="BK3970" s="153"/>
      <c r="BL3970" s="153"/>
      <c r="BM3970" s="153"/>
      <c r="BN3970" s="153"/>
      <c r="BO3970" s="153"/>
      <c r="BP3970" s="153"/>
      <c r="BQ3970" s="153"/>
      <c r="BR3970" s="153"/>
      <c r="BS3970" s="153"/>
      <c r="BT3970" s="153"/>
      <c r="BU3970" s="153"/>
      <c r="BV3970" s="153"/>
      <c r="BW3970" s="153"/>
      <c r="BX3970" s="153"/>
      <c r="BY3970" s="153"/>
      <c r="BZ3970" s="153"/>
      <c r="CA3970" s="152"/>
      <c r="CB3970" s="152"/>
    </row>
    <row r="3971" spans="1:80" s="87" customFormat="1" x14ac:dyDescent="0.2">
      <c r="A3971" s="152"/>
      <c r="B3971" s="683"/>
      <c r="C3971" s="683"/>
      <c r="D3971" s="698"/>
      <c r="E3971" s="215"/>
      <c r="F3971" s="215"/>
      <c r="G3971" s="153"/>
      <c r="H3971" s="153"/>
      <c r="I3971" s="153"/>
      <c r="J3971" s="153"/>
      <c r="K3971" s="153"/>
      <c r="L3971" s="653"/>
      <c r="M3971" s="663">
        <v>31174</v>
      </c>
      <c r="N3971" s="600">
        <v>37.372799999999998</v>
      </c>
      <c r="O3971" s="604">
        <v>0.12594900000000001</v>
      </c>
      <c r="P3971" s="250"/>
      <c r="Q3971" s="250"/>
      <c r="R3971" s="250"/>
      <c r="S3971" s="250">
        <v>3.0000000000000001E-3</v>
      </c>
      <c r="T3971" s="250">
        <v>1.3000000000000001E-2</v>
      </c>
      <c r="U3971" s="250">
        <v>9.1999999999999998E-2</v>
      </c>
      <c r="V3971" s="250">
        <v>0.33899999999999997</v>
      </c>
      <c r="W3971" s="250">
        <v>0.433</v>
      </c>
      <c r="X3971" s="250">
        <v>0.114</v>
      </c>
      <c r="Y3971" s="250">
        <v>6.0000000000000001E-3</v>
      </c>
      <c r="Z3971" s="150"/>
      <c r="AA3971" s="150">
        <v>0.92</v>
      </c>
      <c r="AB3971" s="152"/>
      <c r="AC3971" s="152"/>
      <c r="AD3971" s="223">
        <v>32.917319999999997</v>
      </c>
      <c r="AE3971" s="223">
        <v>1.3776508000000001</v>
      </c>
      <c r="AF3971" s="223">
        <v>45.332272000000003</v>
      </c>
      <c r="AG3971" s="223">
        <v>0.82293300000000003</v>
      </c>
      <c r="AH3971" s="341"/>
      <c r="AI3971" s="218"/>
      <c r="AJ3971" s="218"/>
      <c r="AK3971" s="153"/>
      <c r="AL3971" s="152"/>
      <c r="AM3971" s="152"/>
      <c r="AN3971" s="152"/>
      <c r="AO3971" s="152"/>
      <c r="AP3971" s="152"/>
      <c r="AQ3971" s="152"/>
      <c r="AR3971" s="152"/>
      <c r="AS3971" s="152"/>
      <c r="AT3971" s="152"/>
      <c r="AU3971" s="153"/>
      <c r="AV3971" s="479"/>
      <c r="AW3971" s="479"/>
      <c r="AX3971" s="442"/>
      <c r="AY3971" s="153"/>
      <c r="AZ3971" s="152"/>
      <c r="BA3971" s="152"/>
      <c r="BB3971" s="152"/>
      <c r="BC3971" s="152"/>
      <c r="BD3971" s="152"/>
      <c r="BE3971" s="152"/>
      <c r="BF3971" s="152"/>
      <c r="BG3971" s="152"/>
      <c r="BH3971" s="152"/>
      <c r="BI3971" s="153"/>
      <c r="BJ3971" s="153"/>
      <c r="BK3971" s="153"/>
      <c r="BL3971" s="153"/>
      <c r="BM3971" s="153"/>
      <c r="BN3971" s="153"/>
      <c r="BO3971" s="153"/>
      <c r="BP3971" s="153"/>
      <c r="BQ3971" s="153"/>
      <c r="BR3971" s="153"/>
      <c r="BS3971" s="153"/>
      <c r="BT3971" s="153"/>
      <c r="BU3971" s="153"/>
      <c r="BV3971" s="153"/>
      <c r="BW3971" s="153"/>
      <c r="BX3971" s="153"/>
      <c r="BY3971" s="153"/>
      <c r="BZ3971" s="153"/>
      <c r="CA3971" s="152"/>
      <c r="CB3971" s="152"/>
    </row>
    <row r="3972" spans="1:80" s="87" customFormat="1" x14ac:dyDescent="0.2">
      <c r="A3972" s="152"/>
      <c r="B3972" s="683"/>
      <c r="C3972" s="683"/>
      <c r="D3972" s="698"/>
      <c r="E3972" s="215"/>
      <c r="F3972" s="215"/>
      <c r="G3972" s="153"/>
      <c r="H3972" s="153"/>
      <c r="I3972" s="153"/>
      <c r="J3972" s="153"/>
      <c r="K3972" s="153"/>
      <c r="L3972" s="653"/>
      <c r="M3972" s="663">
        <v>31175</v>
      </c>
      <c r="N3972" s="600">
        <v>43.318399999999997</v>
      </c>
      <c r="O3972" s="604">
        <v>5.3527999999999999E-2</v>
      </c>
      <c r="P3972" s="250"/>
      <c r="Q3972" s="250"/>
      <c r="R3972" s="250"/>
      <c r="S3972" s="250"/>
      <c r="T3972" s="250">
        <v>1.9E-2</v>
      </c>
      <c r="U3972" s="250">
        <v>4.0999999999999995E-2</v>
      </c>
      <c r="V3972" s="250">
        <v>0.17600000000000002</v>
      </c>
      <c r="W3972" s="250">
        <v>0.435</v>
      </c>
      <c r="X3972" s="250">
        <v>0.318</v>
      </c>
      <c r="Y3972" s="250">
        <v>1.1000000000000001E-2</v>
      </c>
      <c r="Z3972" s="150"/>
      <c r="AA3972" s="150">
        <v>0.66</v>
      </c>
      <c r="AB3972" s="152"/>
      <c r="AC3972" s="152"/>
      <c r="AD3972" s="223">
        <v>33.222110000000001</v>
      </c>
      <c r="AE3972" s="223">
        <v>1.4386087999999999</v>
      </c>
      <c r="AF3972" s="223">
        <v>47.747515999999997</v>
      </c>
      <c r="AG3972" s="223">
        <v>0.90827420000000003</v>
      </c>
      <c r="AH3972" s="341"/>
      <c r="AI3972" s="218"/>
      <c r="AJ3972" s="218"/>
      <c r="AK3972" s="153"/>
      <c r="AL3972" s="152"/>
      <c r="AM3972" s="152"/>
      <c r="AN3972" s="152"/>
      <c r="AO3972" s="152"/>
      <c r="AP3972" s="152"/>
      <c r="AQ3972" s="152"/>
      <c r="AR3972" s="152"/>
      <c r="AS3972" s="152"/>
      <c r="AT3972" s="152"/>
      <c r="AU3972" s="153"/>
      <c r="AV3972" s="479"/>
      <c r="AW3972" s="479"/>
      <c r="AX3972" s="442"/>
      <c r="AY3972" s="153"/>
      <c r="AZ3972" s="152"/>
      <c r="BA3972" s="152"/>
      <c r="BB3972" s="152"/>
      <c r="BC3972" s="152"/>
      <c r="BD3972" s="152"/>
      <c r="BE3972" s="152"/>
      <c r="BF3972" s="152"/>
      <c r="BG3972" s="152"/>
      <c r="BH3972" s="152"/>
      <c r="BI3972" s="153"/>
      <c r="BJ3972" s="153"/>
      <c r="BK3972" s="153"/>
      <c r="BL3972" s="153"/>
      <c r="BM3972" s="153"/>
      <c r="BN3972" s="153"/>
      <c r="BO3972" s="153"/>
      <c r="BP3972" s="153"/>
      <c r="BQ3972" s="153"/>
      <c r="BR3972" s="153"/>
      <c r="BS3972" s="153"/>
      <c r="BT3972" s="153"/>
      <c r="BU3972" s="153"/>
      <c r="BV3972" s="153"/>
      <c r="BW3972" s="153"/>
      <c r="BX3972" s="153"/>
      <c r="BY3972" s="153"/>
      <c r="BZ3972" s="153"/>
      <c r="CA3972" s="152"/>
      <c r="CB3972" s="152"/>
    </row>
    <row r="3973" spans="1:80" s="87" customFormat="1" x14ac:dyDescent="0.2">
      <c r="A3973" s="152"/>
      <c r="B3973" s="683"/>
      <c r="C3973" s="683"/>
      <c r="D3973" s="698"/>
      <c r="E3973" s="215"/>
      <c r="F3973" s="215"/>
      <c r="G3973" s="153"/>
      <c r="H3973" s="153"/>
      <c r="I3973" s="153"/>
      <c r="J3973" s="153"/>
      <c r="K3973" s="153"/>
      <c r="L3973" s="653"/>
      <c r="M3973" s="663">
        <v>31176</v>
      </c>
      <c r="N3973" s="600">
        <v>41.053400000000003</v>
      </c>
      <c r="O3973" s="604">
        <v>0.115453</v>
      </c>
      <c r="P3973" s="250"/>
      <c r="Q3973" s="250"/>
      <c r="R3973" s="250"/>
      <c r="S3973" s="250">
        <v>2E-3</v>
      </c>
      <c r="T3973" s="250">
        <v>4.0000000000000001E-3</v>
      </c>
      <c r="U3973" s="250">
        <v>3.5000000000000003E-2</v>
      </c>
      <c r="V3973" s="250">
        <v>0.245</v>
      </c>
      <c r="W3973" s="250">
        <v>0.54500000000000004</v>
      </c>
      <c r="X3973" s="250">
        <v>0.16399999999999998</v>
      </c>
      <c r="Y3973" s="250">
        <v>5.0000000000000001E-3</v>
      </c>
      <c r="Z3973" s="150"/>
      <c r="AA3973" s="150">
        <v>0.76</v>
      </c>
      <c r="AB3973" s="152"/>
      <c r="AC3973" s="152"/>
      <c r="AD3973" s="223">
        <v>32.917319999999997</v>
      </c>
      <c r="AE3973" s="223">
        <v>1.4294651</v>
      </c>
      <c r="AF3973" s="223">
        <v>47.004364000000002</v>
      </c>
      <c r="AG3973" s="223">
        <v>0.87474730000000001</v>
      </c>
      <c r="AH3973" s="341"/>
      <c r="AI3973" s="218"/>
      <c r="AJ3973" s="218"/>
      <c r="AK3973" s="153"/>
      <c r="AL3973" s="152"/>
      <c r="AM3973" s="152"/>
      <c r="AN3973" s="152"/>
      <c r="AO3973" s="152"/>
      <c r="AP3973" s="152"/>
      <c r="AQ3973" s="152"/>
      <c r="AR3973" s="152"/>
      <c r="AS3973" s="152"/>
      <c r="AT3973" s="152"/>
      <c r="AU3973" s="153"/>
      <c r="AV3973" s="479"/>
      <c r="AW3973" s="479"/>
      <c r="AX3973" s="442"/>
      <c r="AY3973" s="153"/>
      <c r="AZ3973" s="152"/>
      <c r="BA3973" s="152"/>
      <c r="BB3973" s="152"/>
      <c r="BC3973" s="152"/>
      <c r="BD3973" s="152"/>
      <c r="BE3973" s="152"/>
      <c r="BF3973" s="152"/>
      <c r="BG3973" s="152"/>
      <c r="BH3973" s="152"/>
      <c r="BI3973" s="153"/>
      <c r="BJ3973" s="153"/>
      <c r="BK3973" s="153"/>
      <c r="BL3973" s="153"/>
      <c r="BM3973" s="153"/>
      <c r="BN3973" s="153"/>
      <c r="BO3973" s="153"/>
      <c r="BP3973" s="153"/>
      <c r="BQ3973" s="153"/>
      <c r="BR3973" s="153"/>
      <c r="BS3973" s="153"/>
      <c r="BT3973" s="153"/>
      <c r="BU3973" s="153"/>
      <c r="BV3973" s="153"/>
      <c r="BW3973" s="153"/>
      <c r="BX3973" s="153"/>
      <c r="BY3973" s="153"/>
      <c r="BZ3973" s="153"/>
      <c r="CA3973" s="152"/>
      <c r="CB3973" s="152"/>
    </row>
    <row r="3974" spans="1:80" s="87" customFormat="1" x14ac:dyDescent="0.2">
      <c r="A3974" s="152"/>
      <c r="B3974" s="683"/>
      <c r="C3974" s="683"/>
      <c r="D3974" s="698"/>
      <c r="E3974" s="215"/>
      <c r="F3974" s="215"/>
      <c r="G3974" s="153"/>
      <c r="H3974" s="153"/>
      <c r="I3974" s="153"/>
      <c r="J3974" s="153"/>
      <c r="K3974" s="153"/>
      <c r="L3974" s="653"/>
      <c r="M3974" s="663">
        <v>31182</v>
      </c>
      <c r="N3974" s="600">
        <v>30.294599999999999</v>
      </c>
      <c r="O3974" s="604">
        <v>6.1925000000000001E-2</v>
      </c>
      <c r="P3974" s="250"/>
      <c r="Q3974" s="250"/>
      <c r="R3974" s="250"/>
      <c r="S3974" s="250">
        <v>6.0000000000000001E-3</v>
      </c>
      <c r="T3974" s="250">
        <v>4.0000000000000001E-3</v>
      </c>
      <c r="U3974" s="250">
        <v>3.6000000000000004E-2</v>
      </c>
      <c r="V3974" s="250">
        <v>0.29199999999999998</v>
      </c>
      <c r="W3974" s="250">
        <v>0.50700000000000001</v>
      </c>
      <c r="X3974" s="250">
        <v>0.15</v>
      </c>
      <c r="Y3974" s="250">
        <v>5.0000000000000001E-3</v>
      </c>
      <c r="Z3974" s="150"/>
      <c r="AA3974" s="150">
        <v>0.8</v>
      </c>
      <c r="AB3974" s="152"/>
      <c r="AC3974" s="152"/>
      <c r="AD3974" s="223">
        <v>32.002949999999998</v>
      </c>
      <c r="AE3974" s="223">
        <v>1.2618305999999999</v>
      </c>
      <c r="AF3974" s="223">
        <v>40.40889</v>
      </c>
      <c r="AG3974" s="223">
        <v>0.74978339999999999</v>
      </c>
      <c r="AH3974" s="341"/>
      <c r="AI3974" s="218"/>
      <c r="AJ3974" s="218"/>
      <c r="AK3974" s="153"/>
      <c r="AL3974" s="152"/>
      <c r="AM3974" s="152"/>
      <c r="AN3974" s="152"/>
      <c r="AO3974" s="152"/>
      <c r="AP3974" s="152"/>
      <c r="AQ3974" s="152"/>
      <c r="AR3974" s="152"/>
      <c r="AS3974" s="152"/>
      <c r="AT3974" s="152"/>
      <c r="AU3974" s="153"/>
      <c r="AV3974" s="479"/>
      <c r="AW3974" s="479"/>
      <c r="AX3974" s="442"/>
      <c r="AY3974" s="153"/>
      <c r="AZ3974" s="152"/>
      <c r="BA3974" s="152"/>
      <c r="BB3974" s="152"/>
      <c r="BC3974" s="152"/>
      <c r="BD3974" s="152"/>
      <c r="BE3974" s="152"/>
      <c r="BF3974" s="152"/>
      <c r="BG3974" s="152"/>
      <c r="BH3974" s="152"/>
      <c r="BI3974" s="153"/>
      <c r="BJ3974" s="153"/>
      <c r="BK3974" s="153"/>
      <c r="BL3974" s="153"/>
      <c r="BM3974" s="153"/>
      <c r="BN3974" s="153"/>
      <c r="BO3974" s="153"/>
      <c r="BP3974" s="153"/>
      <c r="BQ3974" s="153"/>
      <c r="BR3974" s="153"/>
      <c r="BS3974" s="153"/>
      <c r="BT3974" s="153"/>
      <c r="BU3974" s="153"/>
      <c r="BV3974" s="153"/>
      <c r="BW3974" s="153"/>
      <c r="BX3974" s="153"/>
      <c r="BY3974" s="153"/>
      <c r="BZ3974" s="153"/>
      <c r="CA3974" s="152"/>
      <c r="CB3974" s="152"/>
    </row>
    <row r="3975" spans="1:80" s="87" customFormat="1" x14ac:dyDescent="0.2">
      <c r="A3975" s="152"/>
      <c r="B3975" s="683"/>
      <c r="C3975" s="683"/>
      <c r="D3975" s="698"/>
      <c r="E3975" s="215"/>
      <c r="F3975" s="215"/>
      <c r="G3975" s="153"/>
      <c r="H3975" s="153"/>
      <c r="I3975" s="153"/>
      <c r="J3975" s="153"/>
      <c r="K3975" s="153"/>
      <c r="L3975" s="653"/>
      <c r="M3975" s="663">
        <v>31183</v>
      </c>
      <c r="N3975" s="600">
        <v>29.728300000000001</v>
      </c>
      <c r="O3975" s="604">
        <v>9.5510000000000005E-3</v>
      </c>
      <c r="P3975" s="250"/>
      <c r="Q3975" s="250"/>
      <c r="R3975" s="250"/>
      <c r="S3975" s="250">
        <v>1.1000000000000001E-2</v>
      </c>
      <c r="T3975" s="250">
        <v>1.8000000000000002E-2</v>
      </c>
      <c r="U3975" s="250">
        <v>2.6000000000000002E-2</v>
      </c>
      <c r="V3975" s="250">
        <v>0.155</v>
      </c>
      <c r="W3975" s="250">
        <v>0.39500000000000002</v>
      </c>
      <c r="X3975" s="250">
        <v>0.376</v>
      </c>
      <c r="Y3975" s="250">
        <v>1.9E-2</v>
      </c>
      <c r="Z3975" s="150"/>
      <c r="AA3975" s="150">
        <v>0.6</v>
      </c>
      <c r="AB3975" s="152"/>
      <c r="AC3975" s="152"/>
      <c r="AD3975" s="223">
        <v>32.307740000000003</v>
      </c>
      <c r="AE3975" s="223">
        <v>1.2587827</v>
      </c>
      <c r="AF3975" s="223">
        <v>40.687572000000003</v>
      </c>
      <c r="AG3975" s="223">
        <v>0.73149600000000004</v>
      </c>
      <c r="AH3975" s="341"/>
      <c r="AI3975" s="218"/>
      <c r="AJ3975" s="218"/>
      <c r="AK3975" s="153"/>
      <c r="AL3975" s="152"/>
      <c r="AM3975" s="152"/>
      <c r="AN3975" s="152"/>
      <c r="AO3975" s="152"/>
      <c r="AP3975" s="152"/>
      <c r="AQ3975" s="152"/>
      <c r="AR3975" s="152"/>
      <c r="AS3975" s="152"/>
      <c r="AT3975" s="152"/>
      <c r="AU3975" s="153"/>
      <c r="AV3975" s="479"/>
      <c r="AW3975" s="479"/>
      <c r="AX3975" s="442"/>
      <c r="AY3975" s="153"/>
      <c r="AZ3975" s="152"/>
      <c r="BA3975" s="152"/>
      <c r="BB3975" s="152"/>
      <c r="BC3975" s="152"/>
      <c r="BD3975" s="152"/>
      <c r="BE3975" s="152"/>
      <c r="BF3975" s="152"/>
      <c r="BG3975" s="152"/>
      <c r="BH3975" s="152"/>
      <c r="BI3975" s="153"/>
      <c r="BJ3975" s="153"/>
      <c r="BK3975" s="153"/>
      <c r="BL3975" s="153"/>
      <c r="BM3975" s="153"/>
      <c r="BN3975" s="153"/>
      <c r="BO3975" s="153"/>
      <c r="BP3975" s="153"/>
      <c r="BQ3975" s="153"/>
      <c r="BR3975" s="153"/>
      <c r="BS3975" s="153"/>
      <c r="BT3975" s="153"/>
      <c r="BU3975" s="153"/>
      <c r="BV3975" s="153"/>
      <c r="BW3975" s="153"/>
      <c r="BX3975" s="153"/>
      <c r="BY3975" s="153"/>
      <c r="BZ3975" s="153"/>
      <c r="CA3975" s="152"/>
      <c r="CB3975" s="152"/>
    </row>
    <row r="3976" spans="1:80" s="87" customFormat="1" x14ac:dyDescent="0.2">
      <c r="A3976" s="152"/>
      <c r="B3976" s="683"/>
      <c r="C3976" s="683"/>
      <c r="D3976" s="698"/>
      <c r="E3976" s="215"/>
      <c r="F3976" s="215"/>
      <c r="G3976" s="153"/>
      <c r="H3976" s="153"/>
      <c r="I3976" s="153"/>
      <c r="J3976" s="153"/>
      <c r="K3976" s="153"/>
      <c r="L3976" s="653"/>
      <c r="M3976" s="663">
        <v>31184</v>
      </c>
      <c r="N3976" s="600">
        <v>34.258400000000002</v>
      </c>
      <c r="O3976" s="604">
        <v>5.5627000000000003E-2</v>
      </c>
      <c r="P3976" s="250"/>
      <c r="Q3976" s="250"/>
      <c r="R3976" s="250"/>
      <c r="S3976" s="250">
        <v>1.4999999999999999E-2</v>
      </c>
      <c r="T3976" s="250">
        <v>1.1000000000000001E-2</v>
      </c>
      <c r="U3976" s="250">
        <v>6.2E-2</v>
      </c>
      <c r="V3976" s="250">
        <v>0.34600000000000003</v>
      </c>
      <c r="W3976" s="250">
        <v>0.40399999999999997</v>
      </c>
      <c r="X3976" s="250">
        <v>0.155</v>
      </c>
      <c r="Y3976" s="250">
        <v>6.9999999999999993E-3</v>
      </c>
      <c r="Z3976" s="150"/>
      <c r="AA3976" s="150">
        <v>0.89</v>
      </c>
      <c r="AB3976" s="152"/>
      <c r="AC3976" s="152"/>
      <c r="AD3976" s="223">
        <v>32.307740000000003</v>
      </c>
      <c r="AE3976" s="223">
        <v>1.3349802</v>
      </c>
      <c r="AF3976" s="223">
        <v>43.102815999999997</v>
      </c>
      <c r="AG3976" s="223">
        <v>0.79550189999999998</v>
      </c>
      <c r="AH3976" s="341"/>
      <c r="AI3976" s="218"/>
      <c r="AJ3976" s="218"/>
      <c r="AK3976" s="153"/>
      <c r="AL3976" s="152"/>
      <c r="AM3976" s="152"/>
      <c r="AN3976" s="152"/>
      <c r="AO3976" s="152"/>
      <c r="AP3976" s="152"/>
      <c r="AQ3976" s="152"/>
      <c r="AR3976" s="152"/>
      <c r="AS3976" s="152"/>
      <c r="AT3976" s="152"/>
      <c r="AU3976" s="153"/>
      <c r="AV3976" s="479"/>
      <c r="AW3976" s="479"/>
      <c r="AX3976" s="442"/>
      <c r="AY3976" s="153"/>
      <c r="AZ3976" s="152"/>
      <c r="BA3976" s="152"/>
      <c r="BB3976" s="152"/>
      <c r="BC3976" s="152"/>
      <c r="BD3976" s="152"/>
      <c r="BE3976" s="152"/>
      <c r="BF3976" s="152"/>
      <c r="BG3976" s="152"/>
      <c r="BH3976" s="152"/>
      <c r="BI3976" s="153"/>
      <c r="BJ3976" s="153"/>
      <c r="BK3976" s="153"/>
      <c r="BL3976" s="153"/>
      <c r="BM3976" s="153"/>
      <c r="BN3976" s="153"/>
      <c r="BO3976" s="153"/>
      <c r="BP3976" s="153"/>
      <c r="BQ3976" s="153"/>
      <c r="BR3976" s="153"/>
      <c r="BS3976" s="153"/>
      <c r="BT3976" s="153"/>
      <c r="BU3976" s="153"/>
      <c r="BV3976" s="153"/>
      <c r="BW3976" s="153"/>
      <c r="BX3976" s="153"/>
      <c r="BY3976" s="153"/>
      <c r="BZ3976" s="153"/>
      <c r="CA3976" s="152"/>
      <c r="CB3976" s="152"/>
    </row>
    <row r="3977" spans="1:80" s="87" customFormat="1" x14ac:dyDescent="0.2">
      <c r="A3977" s="152"/>
      <c r="B3977" s="683"/>
      <c r="C3977" s="683"/>
      <c r="D3977" s="698"/>
      <c r="E3977" s="215"/>
      <c r="F3977" s="215"/>
      <c r="G3977" s="153"/>
      <c r="H3977" s="153"/>
      <c r="I3977" s="153"/>
      <c r="J3977" s="153"/>
      <c r="K3977" s="153"/>
      <c r="L3977" s="653"/>
      <c r="M3977" s="663">
        <v>31188</v>
      </c>
      <c r="N3977" s="600">
        <v>52.944800000000001</v>
      </c>
      <c r="O3977" s="604">
        <v>0.53528100000000001</v>
      </c>
      <c r="P3977" s="250"/>
      <c r="Q3977" s="250"/>
      <c r="R3977" s="250"/>
      <c r="S3977" s="250">
        <v>3.0000000000000001E-3</v>
      </c>
      <c r="T3977" s="250">
        <v>3.3000000000000002E-2</v>
      </c>
      <c r="U3977" s="250">
        <v>0.12</v>
      </c>
      <c r="V3977" s="250">
        <v>0.28699999999999998</v>
      </c>
      <c r="W3977" s="250">
        <v>0.42299999999999999</v>
      </c>
      <c r="X3977" s="250">
        <v>0.13100000000000001</v>
      </c>
      <c r="Y3977" s="250">
        <v>3.0000000000000001E-3</v>
      </c>
      <c r="Z3977" s="150"/>
      <c r="AA3977" s="150">
        <v>0.91</v>
      </c>
      <c r="AB3977" s="152"/>
      <c r="AC3977" s="152"/>
      <c r="AD3977" s="223">
        <v>33.526899999999998</v>
      </c>
      <c r="AE3977" s="223">
        <v>1.5513811</v>
      </c>
      <c r="AF3977" s="223">
        <v>52.02064</v>
      </c>
      <c r="AG3977" s="223">
        <v>1.0179986000000001</v>
      </c>
      <c r="AH3977" s="341"/>
      <c r="AI3977" s="218"/>
      <c r="AJ3977" s="218"/>
      <c r="AK3977" s="153"/>
      <c r="AL3977" s="152"/>
      <c r="AM3977" s="152"/>
      <c r="AN3977" s="152"/>
      <c r="AO3977" s="152"/>
      <c r="AP3977" s="152"/>
      <c r="AQ3977" s="152"/>
      <c r="AR3977" s="152"/>
      <c r="AS3977" s="152"/>
      <c r="AT3977" s="152"/>
      <c r="AU3977" s="153"/>
      <c r="AV3977" s="479"/>
      <c r="AW3977" s="479"/>
      <c r="AX3977" s="442"/>
      <c r="AY3977" s="153"/>
      <c r="AZ3977" s="152"/>
      <c r="BA3977" s="152"/>
      <c r="BB3977" s="152"/>
      <c r="BC3977" s="152"/>
      <c r="BD3977" s="152"/>
      <c r="BE3977" s="152"/>
      <c r="BF3977" s="152"/>
      <c r="BG3977" s="152"/>
      <c r="BH3977" s="152"/>
      <c r="BI3977" s="153"/>
      <c r="BJ3977" s="153"/>
      <c r="BK3977" s="153"/>
      <c r="BL3977" s="153"/>
      <c r="BM3977" s="153"/>
      <c r="BN3977" s="153"/>
      <c r="BO3977" s="153"/>
      <c r="BP3977" s="153"/>
      <c r="BQ3977" s="153"/>
      <c r="BR3977" s="153"/>
      <c r="BS3977" s="153"/>
      <c r="BT3977" s="153"/>
      <c r="BU3977" s="153"/>
      <c r="BV3977" s="153"/>
      <c r="BW3977" s="153"/>
      <c r="BX3977" s="153"/>
      <c r="BY3977" s="153"/>
      <c r="BZ3977" s="153"/>
      <c r="CA3977" s="152"/>
      <c r="CB3977" s="152"/>
    </row>
    <row r="3978" spans="1:80" s="87" customFormat="1" x14ac:dyDescent="0.2">
      <c r="A3978" s="152"/>
      <c r="B3978" s="683"/>
      <c r="C3978" s="683"/>
      <c r="D3978" s="698"/>
      <c r="E3978" s="215"/>
      <c r="F3978" s="215"/>
      <c r="G3978" s="153"/>
      <c r="H3978" s="153"/>
      <c r="I3978" s="153"/>
      <c r="J3978" s="153"/>
      <c r="K3978" s="153"/>
      <c r="L3978" s="653"/>
      <c r="M3978" s="663">
        <v>31189</v>
      </c>
      <c r="N3978" s="600">
        <v>57.757899999999999</v>
      </c>
      <c r="O3978" s="604">
        <v>0.80817000000000005</v>
      </c>
      <c r="P3978" s="250"/>
      <c r="Q3978" s="250"/>
      <c r="R3978" s="250"/>
      <c r="S3978" s="250">
        <v>2E-3</v>
      </c>
      <c r="T3978" s="250">
        <v>1.4999999999999999E-2</v>
      </c>
      <c r="U3978" s="250">
        <v>0.10099999999999999</v>
      </c>
      <c r="V3978" s="250">
        <v>0.33899999999999997</v>
      </c>
      <c r="W3978" s="250">
        <v>0.434</v>
      </c>
      <c r="X3978" s="250">
        <v>0.10400000000000001</v>
      </c>
      <c r="Y3978" s="250">
        <v>5.0000000000000001E-3</v>
      </c>
      <c r="Z3978" s="150"/>
      <c r="AA3978" s="150">
        <v>0.93</v>
      </c>
      <c r="AB3978" s="152"/>
      <c r="AC3978" s="152"/>
      <c r="AD3978" s="223">
        <v>34.136479999999999</v>
      </c>
      <c r="AE3978" s="223">
        <v>1.6031953999999999</v>
      </c>
      <c r="AF3978" s="223">
        <v>54.714565999999998</v>
      </c>
      <c r="AG3978" s="223">
        <v>1.0545734</v>
      </c>
      <c r="AH3978" s="341"/>
      <c r="AI3978" s="218"/>
      <c r="AJ3978" s="218"/>
      <c r="AK3978" s="153"/>
      <c r="AL3978" s="152"/>
      <c r="AM3978" s="152"/>
      <c r="AN3978" s="152"/>
      <c r="AO3978" s="152"/>
      <c r="AP3978" s="152"/>
      <c r="AQ3978" s="152"/>
      <c r="AR3978" s="152"/>
      <c r="AS3978" s="152"/>
      <c r="AT3978" s="152"/>
      <c r="AU3978" s="153"/>
      <c r="AV3978" s="479"/>
      <c r="AW3978" s="479"/>
      <c r="AX3978" s="442"/>
      <c r="AY3978" s="153"/>
      <c r="AZ3978" s="152"/>
      <c r="BA3978" s="152"/>
      <c r="BB3978" s="152"/>
      <c r="BC3978" s="152"/>
      <c r="BD3978" s="152"/>
      <c r="BE3978" s="152"/>
      <c r="BF3978" s="152"/>
      <c r="BG3978" s="152"/>
      <c r="BH3978" s="152"/>
      <c r="BI3978" s="153"/>
      <c r="BJ3978" s="153"/>
      <c r="BK3978" s="153"/>
      <c r="BL3978" s="153"/>
      <c r="BM3978" s="153"/>
      <c r="BN3978" s="153"/>
      <c r="BO3978" s="153"/>
      <c r="BP3978" s="153"/>
      <c r="BQ3978" s="153"/>
      <c r="BR3978" s="153"/>
      <c r="BS3978" s="153"/>
      <c r="BT3978" s="153"/>
      <c r="BU3978" s="153"/>
      <c r="BV3978" s="153"/>
      <c r="BW3978" s="153"/>
      <c r="BX3978" s="153"/>
      <c r="BY3978" s="153"/>
      <c r="BZ3978" s="153"/>
      <c r="CA3978" s="152"/>
      <c r="CB3978" s="152"/>
    </row>
    <row r="3979" spans="1:80" s="87" customFormat="1" x14ac:dyDescent="0.2">
      <c r="A3979" s="152"/>
      <c r="B3979" s="683"/>
      <c r="C3979" s="683"/>
      <c r="D3979" s="698"/>
      <c r="E3979" s="215"/>
      <c r="F3979" s="215"/>
      <c r="G3979" s="153"/>
      <c r="H3979" s="153"/>
      <c r="I3979" s="153"/>
      <c r="J3979" s="153"/>
      <c r="K3979" s="153"/>
      <c r="L3979" s="653"/>
      <c r="M3979" s="663">
        <v>31189</v>
      </c>
      <c r="N3979" s="600">
        <v>57.757899999999999</v>
      </c>
      <c r="O3979" s="604">
        <v>1.5113829999999999</v>
      </c>
      <c r="P3979" s="250"/>
      <c r="Q3979" s="250"/>
      <c r="R3979" s="250"/>
      <c r="S3979" s="250">
        <v>1E-3</v>
      </c>
      <c r="T3979" s="250">
        <v>4.0000000000000001E-3</v>
      </c>
      <c r="U3979" s="250">
        <v>3.3000000000000002E-2</v>
      </c>
      <c r="V3979" s="250">
        <v>0.29399999999999998</v>
      </c>
      <c r="W3979" s="250">
        <v>0.48299999999999998</v>
      </c>
      <c r="X3979" s="250">
        <v>0.17699999999999999</v>
      </c>
      <c r="Y3979" s="250">
        <v>8.0000000000000002E-3</v>
      </c>
      <c r="Z3979" s="150"/>
      <c r="AA3979" s="150">
        <v>0.79</v>
      </c>
      <c r="AB3979" s="152"/>
      <c r="AC3979" s="152"/>
      <c r="AD3979" s="223">
        <v>34.136479999999999</v>
      </c>
      <c r="AE3979" s="223">
        <v>1.6031953999999999</v>
      </c>
      <c r="AF3979" s="223">
        <v>54.714565999999998</v>
      </c>
      <c r="AG3979" s="223">
        <v>1.0545734</v>
      </c>
      <c r="AH3979" s="341"/>
      <c r="AI3979" s="218"/>
      <c r="AJ3979" s="218"/>
      <c r="AK3979" s="153"/>
      <c r="AL3979" s="152"/>
      <c r="AM3979" s="152"/>
      <c r="AN3979" s="152"/>
      <c r="AO3979" s="152"/>
      <c r="AP3979" s="152"/>
      <c r="AQ3979" s="152"/>
      <c r="AR3979" s="152"/>
      <c r="AS3979" s="152"/>
      <c r="AT3979" s="152"/>
      <c r="AU3979" s="153"/>
      <c r="AV3979" s="479"/>
      <c r="AW3979" s="479"/>
      <c r="AX3979" s="442"/>
      <c r="AY3979" s="153"/>
      <c r="AZ3979" s="152"/>
      <c r="BA3979" s="152"/>
      <c r="BB3979" s="152"/>
      <c r="BC3979" s="152"/>
      <c r="BD3979" s="152"/>
      <c r="BE3979" s="152"/>
      <c r="BF3979" s="152"/>
      <c r="BG3979" s="152"/>
      <c r="BH3979" s="152"/>
      <c r="BI3979" s="153"/>
      <c r="BJ3979" s="153"/>
      <c r="BK3979" s="153"/>
      <c r="BL3979" s="153"/>
      <c r="BM3979" s="153"/>
      <c r="BN3979" s="153"/>
      <c r="BO3979" s="153"/>
      <c r="BP3979" s="153"/>
      <c r="BQ3979" s="153"/>
      <c r="BR3979" s="153"/>
      <c r="BS3979" s="153"/>
      <c r="BT3979" s="153"/>
      <c r="BU3979" s="153"/>
      <c r="BV3979" s="153"/>
      <c r="BW3979" s="153"/>
      <c r="BX3979" s="153"/>
      <c r="BY3979" s="153"/>
      <c r="BZ3979" s="153"/>
      <c r="CA3979" s="152"/>
      <c r="CB3979" s="152"/>
    </row>
    <row r="3980" spans="1:80" s="87" customFormat="1" x14ac:dyDescent="0.2">
      <c r="A3980" s="152"/>
      <c r="B3980" s="683"/>
      <c r="C3980" s="683"/>
      <c r="D3980" s="698"/>
      <c r="E3980" s="215"/>
      <c r="F3980" s="215"/>
      <c r="G3980" s="153"/>
      <c r="H3980" s="153"/>
      <c r="I3980" s="153"/>
      <c r="J3980" s="153"/>
      <c r="K3980" s="153"/>
      <c r="L3980" s="653"/>
      <c r="M3980" s="663">
        <v>31190</v>
      </c>
      <c r="N3980" s="600">
        <v>63.420499999999997</v>
      </c>
      <c r="O3980" s="604">
        <v>0.241401</v>
      </c>
      <c r="P3980" s="250"/>
      <c r="Q3980" s="250"/>
      <c r="R3980" s="250"/>
      <c r="S3980" s="250">
        <v>3.0000000000000001E-3</v>
      </c>
      <c r="T3980" s="250">
        <v>4.0000000000000001E-3</v>
      </c>
      <c r="U3980" s="250">
        <v>1.7000000000000001E-2</v>
      </c>
      <c r="V3980" s="250">
        <v>0.19600000000000001</v>
      </c>
      <c r="W3980" s="250">
        <v>0.50900000000000001</v>
      </c>
      <c r="X3980" s="250">
        <v>0.26500000000000001</v>
      </c>
      <c r="Y3980" s="250">
        <v>6.0000000000000001E-3</v>
      </c>
      <c r="Z3980" s="150"/>
      <c r="AA3980" s="150">
        <v>0.68</v>
      </c>
      <c r="AB3980" s="152"/>
      <c r="AC3980" s="152"/>
      <c r="AD3980" s="223">
        <v>34.441270000000003</v>
      </c>
      <c r="AE3980" s="223">
        <v>1.6519618</v>
      </c>
      <c r="AF3980" s="223">
        <v>56.944021999999997</v>
      </c>
      <c r="AG3980" s="223">
        <v>1.1124835</v>
      </c>
      <c r="AH3980" s="341"/>
      <c r="AI3980" s="218"/>
      <c r="AJ3980" s="218"/>
      <c r="AK3980" s="153"/>
      <c r="AL3980" s="152"/>
      <c r="AM3980" s="152"/>
      <c r="AN3980" s="152"/>
      <c r="AO3980" s="152"/>
      <c r="AP3980" s="152"/>
      <c r="AQ3980" s="152"/>
      <c r="AR3980" s="152"/>
      <c r="AS3980" s="152"/>
      <c r="AT3980" s="152"/>
      <c r="AU3980" s="153"/>
      <c r="AV3980" s="479"/>
      <c r="AW3980" s="479"/>
      <c r="AX3980" s="442"/>
      <c r="AY3980" s="153"/>
      <c r="AZ3980" s="152"/>
      <c r="BA3980" s="152"/>
      <c r="BB3980" s="152"/>
      <c r="BC3980" s="152"/>
      <c r="BD3980" s="152"/>
      <c r="BE3980" s="152"/>
      <c r="BF3980" s="152"/>
      <c r="BG3980" s="152"/>
      <c r="BH3980" s="152"/>
      <c r="BI3980" s="153"/>
      <c r="BJ3980" s="153"/>
      <c r="BK3980" s="153"/>
      <c r="BL3980" s="153"/>
      <c r="BM3980" s="153"/>
      <c r="BN3980" s="153"/>
      <c r="BO3980" s="153"/>
      <c r="BP3980" s="153"/>
      <c r="BQ3980" s="153"/>
      <c r="BR3980" s="153"/>
      <c r="BS3980" s="153"/>
      <c r="BT3980" s="153"/>
      <c r="BU3980" s="153"/>
      <c r="BV3980" s="153"/>
      <c r="BW3980" s="153"/>
      <c r="BX3980" s="153"/>
      <c r="BY3980" s="153"/>
      <c r="BZ3980" s="153"/>
      <c r="CA3980" s="152"/>
      <c r="CB3980" s="152"/>
    </row>
    <row r="3981" spans="1:80" s="87" customFormat="1" x14ac:dyDescent="0.2">
      <c r="A3981" s="152"/>
      <c r="B3981" s="683"/>
      <c r="C3981" s="683"/>
      <c r="D3981" s="698"/>
      <c r="E3981" s="215"/>
      <c r="F3981" s="215"/>
      <c r="G3981" s="153"/>
      <c r="H3981" s="153"/>
      <c r="I3981" s="153"/>
      <c r="J3981" s="153"/>
      <c r="K3981" s="153"/>
      <c r="L3981" s="653"/>
      <c r="M3981" s="663">
        <v>31190</v>
      </c>
      <c r="N3981" s="600">
        <v>63.420499999999997</v>
      </c>
      <c r="O3981" s="604">
        <v>0.84385500000000002</v>
      </c>
      <c r="P3981" s="250"/>
      <c r="Q3981" s="250"/>
      <c r="R3981" s="250"/>
      <c r="S3981" s="250">
        <v>2E-3</v>
      </c>
      <c r="T3981" s="250">
        <v>1.3000000000000001E-2</v>
      </c>
      <c r="U3981" s="250">
        <v>9.6000000000000002E-2</v>
      </c>
      <c r="V3981" s="250">
        <v>0.39899999999999997</v>
      </c>
      <c r="W3981" s="250">
        <v>0.35</v>
      </c>
      <c r="X3981" s="250">
        <v>0.13300000000000001</v>
      </c>
      <c r="Y3981" s="250">
        <v>6.9999999999999993E-3</v>
      </c>
      <c r="Z3981" s="150"/>
      <c r="AA3981" s="150">
        <v>1.02</v>
      </c>
      <c r="AB3981" s="152"/>
      <c r="AC3981" s="152"/>
      <c r="AD3981" s="223">
        <v>34.441270000000003</v>
      </c>
      <c r="AE3981" s="223">
        <v>1.6519618</v>
      </c>
      <c r="AF3981" s="223">
        <v>56.944021999999997</v>
      </c>
      <c r="AG3981" s="223">
        <v>1.1124835</v>
      </c>
      <c r="AH3981" s="341"/>
      <c r="AI3981" s="218"/>
      <c r="AJ3981" s="218"/>
      <c r="AK3981" s="153"/>
      <c r="AL3981" s="152"/>
      <c r="AM3981" s="152"/>
      <c r="AN3981" s="152"/>
      <c r="AO3981" s="152"/>
      <c r="AP3981" s="152"/>
      <c r="AQ3981" s="152"/>
      <c r="AR3981" s="152"/>
      <c r="AS3981" s="152"/>
      <c r="AT3981" s="152"/>
      <c r="AU3981" s="153"/>
      <c r="AV3981" s="479"/>
      <c r="AW3981" s="479"/>
      <c r="AX3981" s="442"/>
      <c r="AY3981" s="153"/>
      <c r="AZ3981" s="152"/>
      <c r="BA3981" s="152"/>
      <c r="BB3981" s="152"/>
      <c r="BC3981" s="152"/>
      <c r="BD3981" s="152"/>
      <c r="BE3981" s="152"/>
      <c r="BF3981" s="152"/>
      <c r="BG3981" s="152"/>
      <c r="BH3981" s="152"/>
      <c r="BI3981" s="153"/>
      <c r="BJ3981" s="153"/>
      <c r="BK3981" s="153"/>
      <c r="BL3981" s="153"/>
      <c r="BM3981" s="153"/>
      <c r="BN3981" s="153"/>
      <c r="BO3981" s="153"/>
      <c r="BP3981" s="153"/>
      <c r="BQ3981" s="153"/>
      <c r="BR3981" s="153"/>
      <c r="BS3981" s="153"/>
      <c r="BT3981" s="153"/>
      <c r="BU3981" s="153"/>
      <c r="BV3981" s="153"/>
      <c r="BW3981" s="153"/>
      <c r="BX3981" s="153"/>
      <c r="BY3981" s="153"/>
      <c r="BZ3981" s="153"/>
      <c r="CA3981" s="152"/>
      <c r="CB3981" s="152"/>
    </row>
    <row r="3982" spans="1:80" s="87" customFormat="1" x14ac:dyDescent="0.2">
      <c r="A3982" s="152"/>
      <c r="B3982" s="683"/>
      <c r="C3982" s="683"/>
      <c r="D3982" s="698"/>
      <c r="E3982" s="215"/>
      <c r="F3982" s="215"/>
      <c r="G3982" s="153"/>
      <c r="H3982" s="153"/>
      <c r="I3982" s="153"/>
      <c r="J3982" s="153"/>
      <c r="K3982" s="153"/>
      <c r="L3982" s="653"/>
      <c r="M3982" s="663">
        <v>31196</v>
      </c>
      <c r="N3982" s="600">
        <v>51.5291</v>
      </c>
      <c r="O3982" s="604">
        <v>2.2565789999999999</v>
      </c>
      <c r="P3982" s="250"/>
      <c r="Q3982" s="250"/>
      <c r="R3982" s="250"/>
      <c r="S3982" s="250">
        <v>6.9999999999999993E-3</v>
      </c>
      <c r="T3982" s="250">
        <v>6.4000000000000001E-2</v>
      </c>
      <c r="U3982" s="250">
        <v>0.25600000000000001</v>
      </c>
      <c r="V3982" s="250">
        <v>0.40899999999999997</v>
      </c>
      <c r="W3982" s="250">
        <v>0.23100000000000001</v>
      </c>
      <c r="X3982" s="250">
        <v>3.1E-2</v>
      </c>
      <c r="Y3982" s="250">
        <v>2E-3</v>
      </c>
      <c r="Z3982" s="150"/>
      <c r="AA3982" s="150">
        <v>1.49</v>
      </c>
      <c r="AB3982" s="152"/>
      <c r="AC3982" s="152"/>
      <c r="AD3982" s="223">
        <v>33.222110000000001</v>
      </c>
      <c r="AE3982" s="223">
        <v>1.5209021</v>
      </c>
      <c r="AF3982" s="223">
        <v>50.534336000000003</v>
      </c>
      <c r="AG3982" s="223">
        <v>1.0210465</v>
      </c>
      <c r="AH3982" s="341"/>
      <c r="AI3982" s="218"/>
      <c r="AJ3982" s="218"/>
      <c r="AK3982" s="153"/>
      <c r="AL3982" s="152"/>
      <c r="AM3982" s="152"/>
      <c r="AN3982" s="152"/>
      <c r="AO3982" s="152"/>
      <c r="AP3982" s="152"/>
      <c r="AQ3982" s="152"/>
      <c r="AR3982" s="152"/>
      <c r="AS3982" s="152"/>
      <c r="AT3982" s="152"/>
      <c r="AU3982" s="153"/>
      <c r="AV3982" s="479"/>
      <c r="AW3982" s="479"/>
      <c r="AX3982" s="442"/>
      <c r="AY3982" s="153"/>
      <c r="AZ3982" s="152"/>
      <c r="BA3982" s="152"/>
      <c r="BB3982" s="152"/>
      <c r="BC3982" s="152"/>
      <c r="BD3982" s="152"/>
      <c r="BE3982" s="152"/>
      <c r="BF3982" s="152"/>
      <c r="BG3982" s="152"/>
      <c r="BH3982" s="152"/>
      <c r="BI3982" s="153"/>
      <c r="BJ3982" s="153"/>
      <c r="BK3982" s="153"/>
      <c r="BL3982" s="153"/>
      <c r="BM3982" s="153"/>
      <c r="BN3982" s="153"/>
      <c r="BO3982" s="153"/>
      <c r="BP3982" s="153"/>
      <c r="BQ3982" s="153"/>
      <c r="BR3982" s="153"/>
      <c r="BS3982" s="153"/>
      <c r="BT3982" s="153"/>
      <c r="BU3982" s="153"/>
      <c r="BV3982" s="153"/>
      <c r="BW3982" s="153"/>
      <c r="BX3982" s="153"/>
      <c r="BY3982" s="153"/>
      <c r="BZ3982" s="153"/>
      <c r="CA3982" s="152"/>
      <c r="CB3982" s="152"/>
    </row>
    <row r="3983" spans="1:80" s="87" customFormat="1" x14ac:dyDescent="0.2">
      <c r="A3983" s="152"/>
      <c r="B3983" s="683"/>
      <c r="C3983" s="683"/>
      <c r="D3983" s="698"/>
      <c r="E3983" s="215"/>
      <c r="F3983" s="215"/>
      <c r="G3983" s="153"/>
      <c r="H3983" s="153"/>
      <c r="I3983" s="153"/>
      <c r="J3983" s="153"/>
      <c r="K3983" s="153"/>
      <c r="L3983" s="653"/>
      <c r="M3983" s="663">
        <v>31196</v>
      </c>
      <c r="N3983" s="600">
        <v>51.5291</v>
      </c>
      <c r="O3983" s="604">
        <v>1.9731939999999999</v>
      </c>
      <c r="P3983" s="250"/>
      <c r="Q3983" s="250"/>
      <c r="R3983" s="250">
        <v>1E-3</v>
      </c>
      <c r="S3983" s="250">
        <v>5.0000000000000001E-3</v>
      </c>
      <c r="T3983" s="250">
        <v>6.6000000000000003E-2</v>
      </c>
      <c r="U3983" s="250">
        <v>0.29899999999999999</v>
      </c>
      <c r="V3983" s="250">
        <v>0.44600000000000001</v>
      </c>
      <c r="W3983" s="250">
        <v>0.16399999999999998</v>
      </c>
      <c r="X3983" s="250">
        <v>1.7000000000000001E-2</v>
      </c>
      <c r="Y3983" s="250">
        <v>2E-3</v>
      </c>
      <c r="Z3983" s="150"/>
      <c r="AA3983" s="150">
        <v>1.64</v>
      </c>
      <c r="AB3983" s="152"/>
      <c r="AC3983" s="152"/>
      <c r="AD3983" s="223">
        <v>33.222110000000001</v>
      </c>
      <c r="AE3983" s="223">
        <v>1.5209021</v>
      </c>
      <c r="AF3983" s="223">
        <v>50.534336000000003</v>
      </c>
      <c r="AG3983" s="223">
        <v>1.0210465</v>
      </c>
      <c r="AH3983" s="341"/>
      <c r="AI3983" s="218"/>
      <c r="AJ3983" s="218"/>
      <c r="AK3983" s="153"/>
      <c r="AL3983" s="152"/>
      <c r="AM3983" s="152"/>
      <c r="AN3983" s="152"/>
      <c r="AO3983" s="152"/>
      <c r="AP3983" s="152"/>
      <c r="AQ3983" s="152"/>
      <c r="AR3983" s="152"/>
      <c r="AS3983" s="152"/>
      <c r="AT3983" s="152"/>
      <c r="AU3983" s="153"/>
      <c r="AV3983" s="479"/>
      <c r="AW3983" s="479"/>
      <c r="AX3983" s="442"/>
      <c r="AY3983" s="153"/>
      <c r="AZ3983" s="152"/>
      <c r="BA3983" s="152"/>
      <c r="BB3983" s="152"/>
      <c r="BC3983" s="152"/>
      <c r="BD3983" s="152"/>
      <c r="BE3983" s="152"/>
      <c r="BF3983" s="152"/>
      <c r="BG3983" s="152"/>
      <c r="BH3983" s="152"/>
      <c r="BI3983" s="153"/>
      <c r="BJ3983" s="153"/>
      <c r="BK3983" s="153"/>
      <c r="BL3983" s="153"/>
      <c r="BM3983" s="153"/>
      <c r="BN3983" s="153"/>
      <c r="BO3983" s="153"/>
      <c r="BP3983" s="153"/>
      <c r="BQ3983" s="153"/>
      <c r="BR3983" s="153"/>
      <c r="BS3983" s="153"/>
      <c r="BT3983" s="153"/>
      <c r="BU3983" s="153"/>
      <c r="BV3983" s="153"/>
      <c r="BW3983" s="153"/>
      <c r="BX3983" s="153"/>
      <c r="BY3983" s="153"/>
      <c r="BZ3983" s="153"/>
      <c r="CA3983" s="152"/>
      <c r="CB3983" s="152"/>
    </row>
    <row r="3984" spans="1:80" s="87" customFormat="1" x14ac:dyDescent="0.2">
      <c r="A3984" s="152"/>
      <c r="B3984" s="683"/>
      <c r="C3984" s="683"/>
      <c r="D3984" s="698"/>
      <c r="E3984" s="215"/>
      <c r="F3984" s="215"/>
      <c r="G3984" s="153"/>
      <c r="H3984" s="153"/>
      <c r="I3984" s="153"/>
      <c r="J3984" s="153"/>
      <c r="K3984" s="153"/>
      <c r="L3984" s="653"/>
      <c r="M3984" s="663">
        <v>31197</v>
      </c>
      <c r="N3984" s="600">
        <v>45.3003</v>
      </c>
      <c r="O3984" s="604">
        <v>1.4694</v>
      </c>
      <c r="P3984" s="250"/>
      <c r="Q3984" s="250"/>
      <c r="R3984" s="250"/>
      <c r="S3984" s="250">
        <v>5.0000000000000001E-3</v>
      </c>
      <c r="T3984" s="250">
        <v>6.5000000000000002E-2</v>
      </c>
      <c r="U3984" s="250">
        <v>0.26600000000000001</v>
      </c>
      <c r="V3984" s="250">
        <v>0.40799999999999997</v>
      </c>
      <c r="W3984" s="250">
        <v>0.22699999999999998</v>
      </c>
      <c r="X3984" s="250">
        <v>2.7000000000000003E-2</v>
      </c>
      <c r="Y3984" s="250">
        <v>2E-3</v>
      </c>
      <c r="Z3984" s="150"/>
      <c r="AA3984" s="150">
        <v>1.51</v>
      </c>
      <c r="AB3984" s="152"/>
      <c r="AC3984" s="152"/>
      <c r="AD3984" s="223">
        <v>32.917319999999997</v>
      </c>
      <c r="AE3984" s="223">
        <v>1.4447045999999999</v>
      </c>
      <c r="AF3984" s="223">
        <v>47.561728000000002</v>
      </c>
      <c r="AG3984" s="223">
        <v>0.95399270000000003</v>
      </c>
      <c r="AH3984" s="341"/>
      <c r="AI3984" s="218"/>
      <c r="AJ3984" s="218"/>
      <c r="AK3984" s="153"/>
      <c r="AL3984" s="152"/>
      <c r="AM3984" s="152"/>
      <c r="AN3984" s="152"/>
      <c r="AO3984" s="152"/>
      <c r="AP3984" s="152"/>
      <c r="AQ3984" s="152"/>
      <c r="AR3984" s="152"/>
      <c r="AS3984" s="152"/>
      <c r="AT3984" s="152"/>
      <c r="AU3984" s="153"/>
      <c r="AV3984" s="479"/>
      <c r="AW3984" s="479"/>
      <c r="AX3984" s="442"/>
      <c r="AY3984" s="153"/>
      <c r="AZ3984" s="152"/>
      <c r="BA3984" s="152"/>
      <c r="BB3984" s="152"/>
      <c r="BC3984" s="152"/>
      <c r="BD3984" s="152"/>
      <c r="BE3984" s="152"/>
      <c r="BF3984" s="152"/>
      <c r="BG3984" s="152"/>
      <c r="BH3984" s="152"/>
      <c r="BI3984" s="153"/>
      <c r="BJ3984" s="153"/>
      <c r="BK3984" s="153"/>
      <c r="BL3984" s="153"/>
      <c r="BM3984" s="153"/>
      <c r="BN3984" s="153"/>
      <c r="BO3984" s="153"/>
      <c r="BP3984" s="153"/>
      <c r="BQ3984" s="153"/>
      <c r="BR3984" s="153"/>
      <c r="BS3984" s="153"/>
      <c r="BT3984" s="153"/>
      <c r="BU3984" s="153"/>
      <c r="BV3984" s="153"/>
      <c r="BW3984" s="153"/>
      <c r="BX3984" s="153"/>
      <c r="BY3984" s="153"/>
      <c r="BZ3984" s="153"/>
      <c r="CA3984" s="152"/>
      <c r="CB3984" s="152"/>
    </row>
    <row r="3985" spans="1:80" s="87" customFormat="1" x14ac:dyDescent="0.2">
      <c r="A3985" s="152"/>
      <c r="B3985" s="683"/>
      <c r="C3985" s="683"/>
      <c r="D3985" s="698"/>
      <c r="E3985" s="215"/>
      <c r="F3985" s="215"/>
      <c r="G3985" s="153"/>
      <c r="H3985" s="153"/>
      <c r="I3985" s="153"/>
      <c r="J3985" s="153"/>
      <c r="K3985" s="153"/>
      <c r="L3985" s="653"/>
      <c r="M3985" s="663">
        <v>31198</v>
      </c>
      <c r="N3985" s="600">
        <v>40.204000000000001</v>
      </c>
      <c r="O3985" s="604">
        <v>1.406426</v>
      </c>
      <c r="P3985" s="250"/>
      <c r="Q3985" s="250"/>
      <c r="R3985" s="250"/>
      <c r="S3985" s="250">
        <v>3.0000000000000001E-3</v>
      </c>
      <c r="T3985" s="250">
        <v>6.5000000000000002E-2</v>
      </c>
      <c r="U3985" s="250">
        <v>0.32200000000000001</v>
      </c>
      <c r="V3985" s="250">
        <v>0.40500000000000003</v>
      </c>
      <c r="W3985" s="250">
        <v>0.187</v>
      </c>
      <c r="X3985" s="250">
        <v>1.7000000000000001E-2</v>
      </c>
      <c r="Y3985" s="250">
        <v>1E-3</v>
      </c>
      <c r="Z3985" s="150"/>
      <c r="AA3985" s="150">
        <v>1.66</v>
      </c>
      <c r="AB3985" s="152"/>
      <c r="AC3985" s="152"/>
      <c r="AD3985" s="223">
        <v>32.917319999999997</v>
      </c>
      <c r="AE3985" s="223">
        <v>1.3715550000000001</v>
      </c>
      <c r="AF3985" s="223">
        <v>45.146484000000001</v>
      </c>
      <c r="AG3985" s="223">
        <v>0.88998679999999997</v>
      </c>
      <c r="AH3985" s="341"/>
      <c r="AI3985" s="218"/>
      <c r="AJ3985" s="218"/>
      <c r="AK3985" s="153"/>
      <c r="AL3985" s="152"/>
      <c r="AM3985" s="152"/>
      <c r="AN3985" s="152"/>
      <c r="AO3985" s="152"/>
      <c r="AP3985" s="152"/>
      <c r="AQ3985" s="152"/>
      <c r="AR3985" s="152"/>
      <c r="AS3985" s="152"/>
      <c r="AT3985" s="152"/>
      <c r="AU3985" s="153"/>
      <c r="AV3985" s="479"/>
      <c r="AW3985" s="479"/>
      <c r="AX3985" s="442"/>
      <c r="AY3985" s="153"/>
      <c r="AZ3985" s="152"/>
      <c r="BA3985" s="152"/>
      <c r="BB3985" s="152"/>
      <c r="BC3985" s="152"/>
      <c r="BD3985" s="152"/>
      <c r="BE3985" s="152"/>
      <c r="BF3985" s="152"/>
      <c r="BG3985" s="152"/>
      <c r="BH3985" s="152"/>
      <c r="BI3985" s="153"/>
      <c r="BJ3985" s="153"/>
      <c r="BK3985" s="153"/>
      <c r="BL3985" s="153"/>
      <c r="BM3985" s="153"/>
      <c r="BN3985" s="153"/>
      <c r="BO3985" s="153"/>
      <c r="BP3985" s="153"/>
      <c r="BQ3985" s="153"/>
      <c r="BR3985" s="153"/>
      <c r="BS3985" s="153"/>
      <c r="BT3985" s="153"/>
      <c r="BU3985" s="153"/>
      <c r="BV3985" s="153"/>
      <c r="BW3985" s="153"/>
      <c r="BX3985" s="153"/>
      <c r="BY3985" s="153"/>
      <c r="BZ3985" s="153"/>
      <c r="CA3985" s="152"/>
      <c r="CB3985" s="152"/>
    </row>
    <row r="3986" spans="1:80" s="87" customFormat="1" x14ac:dyDescent="0.2">
      <c r="A3986" s="152"/>
      <c r="B3986" s="683"/>
      <c r="C3986" s="683"/>
      <c r="D3986" s="698"/>
      <c r="E3986" s="215"/>
      <c r="F3986" s="215"/>
      <c r="G3986" s="153"/>
      <c r="H3986" s="153"/>
      <c r="I3986" s="153"/>
      <c r="J3986" s="153"/>
      <c r="K3986" s="153"/>
      <c r="L3986" s="653"/>
      <c r="M3986" s="663">
        <v>31203</v>
      </c>
      <c r="N3986" s="600">
        <v>38.505299999999998</v>
      </c>
      <c r="O3986" s="604">
        <v>0.48280299999999998</v>
      </c>
      <c r="P3986" s="250"/>
      <c r="Q3986" s="250"/>
      <c r="R3986" s="250"/>
      <c r="S3986" s="250">
        <v>8.0000000000000002E-3</v>
      </c>
      <c r="T3986" s="250">
        <v>5.7000000000000002E-2</v>
      </c>
      <c r="U3986" s="250">
        <v>0.26800000000000002</v>
      </c>
      <c r="V3986" s="250">
        <v>0.42299999999999999</v>
      </c>
      <c r="W3986" s="250">
        <v>0.21100000000000002</v>
      </c>
      <c r="X3986" s="250">
        <v>3.3000000000000002E-2</v>
      </c>
      <c r="Y3986" s="250">
        <v>0</v>
      </c>
      <c r="Z3986" s="150"/>
      <c r="AA3986" s="150">
        <v>1.52</v>
      </c>
      <c r="AB3986" s="152"/>
      <c r="AC3986" s="152"/>
      <c r="AD3986" s="223">
        <v>32.917319999999997</v>
      </c>
      <c r="AE3986" s="223">
        <v>1.3532675999999999</v>
      </c>
      <c r="AF3986" s="223">
        <v>44.589120000000001</v>
      </c>
      <c r="AG3986" s="223">
        <v>0.86255570000000004</v>
      </c>
      <c r="AH3986" s="341"/>
      <c r="AI3986" s="218"/>
      <c r="AJ3986" s="218"/>
      <c r="AK3986" s="153"/>
      <c r="AL3986" s="152"/>
      <c r="AM3986" s="152"/>
      <c r="AN3986" s="152"/>
      <c r="AO3986" s="152"/>
      <c r="AP3986" s="152"/>
      <c r="AQ3986" s="152"/>
      <c r="AR3986" s="152"/>
      <c r="AS3986" s="152"/>
      <c r="AT3986" s="152"/>
      <c r="AU3986" s="153"/>
      <c r="AV3986" s="479"/>
      <c r="AW3986" s="479"/>
      <c r="AX3986" s="442"/>
      <c r="AY3986" s="153"/>
      <c r="AZ3986" s="152"/>
      <c r="BA3986" s="152"/>
      <c r="BB3986" s="152"/>
      <c r="BC3986" s="152"/>
      <c r="BD3986" s="152"/>
      <c r="BE3986" s="152"/>
      <c r="BF3986" s="152"/>
      <c r="BG3986" s="152"/>
      <c r="BH3986" s="152"/>
      <c r="BI3986" s="153"/>
      <c r="BJ3986" s="153"/>
      <c r="BK3986" s="153"/>
      <c r="BL3986" s="153"/>
      <c r="BM3986" s="153"/>
      <c r="BN3986" s="153"/>
      <c r="BO3986" s="153"/>
      <c r="BP3986" s="153"/>
      <c r="BQ3986" s="153"/>
      <c r="BR3986" s="153"/>
      <c r="BS3986" s="153"/>
      <c r="BT3986" s="153"/>
      <c r="BU3986" s="153"/>
      <c r="BV3986" s="153"/>
      <c r="BW3986" s="153"/>
      <c r="BX3986" s="153"/>
      <c r="BY3986" s="153"/>
      <c r="BZ3986" s="153"/>
      <c r="CA3986" s="152"/>
      <c r="CB3986" s="152"/>
    </row>
    <row r="3987" spans="1:80" s="87" customFormat="1" x14ac:dyDescent="0.2">
      <c r="A3987" s="152"/>
      <c r="B3987" s="683"/>
      <c r="C3987" s="683"/>
      <c r="D3987" s="698"/>
      <c r="E3987" s="215"/>
      <c r="F3987" s="215"/>
      <c r="G3987" s="153"/>
      <c r="H3987" s="153"/>
      <c r="I3987" s="153"/>
      <c r="J3987" s="153"/>
      <c r="K3987" s="153"/>
      <c r="L3987" s="653"/>
      <c r="M3987" s="663">
        <v>31204</v>
      </c>
      <c r="N3987" s="600">
        <v>45.583399999999997</v>
      </c>
      <c r="O3987" s="604">
        <v>0.98659699999999995</v>
      </c>
      <c r="P3987" s="250"/>
      <c r="Q3987" s="250"/>
      <c r="R3987" s="250"/>
      <c r="S3987" s="250">
        <v>6.0000000000000001E-3</v>
      </c>
      <c r="T3987" s="250">
        <v>5.7000000000000002E-2</v>
      </c>
      <c r="U3987" s="250">
        <v>0.24</v>
      </c>
      <c r="V3987" s="250">
        <v>0.45399999999999996</v>
      </c>
      <c r="W3987" s="250">
        <v>0.21100000000000002</v>
      </c>
      <c r="X3987" s="250">
        <v>3.1E-2</v>
      </c>
      <c r="Y3987" s="250">
        <v>1E-3</v>
      </c>
      <c r="Z3987" s="150"/>
      <c r="AA3987" s="150">
        <v>1.48</v>
      </c>
      <c r="AB3987" s="152"/>
      <c r="AC3987" s="152"/>
      <c r="AD3987" s="223">
        <v>33.526899999999998</v>
      </c>
      <c r="AE3987" s="223">
        <v>1.4477525</v>
      </c>
      <c r="AF3987" s="223">
        <v>48.583562000000001</v>
      </c>
      <c r="AG3987" s="223">
        <v>0.93875319999999995</v>
      </c>
      <c r="AH3987" s="341"/>
      <c r="AI3987" s="218"/>
      <c r="AJ3987" s="218"/>
      <c r="AK3987" s="153"/>
      <c r="AL3987" s="152"/>
      <c r="AM3987" s="152"/>
      <c r="AN3987" s="152"/>
      <c r="AO3987" s="152"/>
      <c r="AP3987" s="152"/>
      <c r="AQ3987" s="152"/>
      <c r="AR3987" s="152"/>
      <c r="AS3987" s="152"/>
      <c r="AT3987" s="152"/>
      <c r="AU3987" s="153"/>
      <c r="AV3987" s="479"/>
      <c r="AW3987" s="479"/>
      <c r="AX3987" s="442"/>
      <c r="AY3987" s="153"/>
      <c r="AZ3987" s="152"/>
      <c r="BA3987" s="152"/>
      <c r="BB3987" s="152"/>
      <c r="BC3987" s="152"/>
      <c r="BD3987" s="152"/>
      <c r="BE3987" s="152"/>
      <c r="BF3987" s="152"/>
      <c r="BG3987" s="152"/>
      <c r="BH3987" s="152"/>
      <c r="BI3987" s="153"/>
      <c r="BJ3987" s="153"/>
      <c r="BK3987" s="153"/>
      <c r="BL3987" s="153"/>
      <c r="BM3987" s="153"/>
      <c r="BN3987" s="153"/>
      <c r="BO3987" s="153"/>
      <c r="BP3987" s="153"/>
      <c r="BQ3987" s="153"/>
      <c r="BR3987" s="153"/>
      <c r="BS3987" s="153"/>
      <c r="BT3987" s="153"/>
      <c r="BU3987" s="153"/>
      <c r="BV3987" s="153"/>
      <c r="BW3987" s="153"/>
      <c r="BX3987" s="153"/>
      <c r="BY3987" s="153"/>
      <c r="BZ3987" s="153"/>
      <c r="CA3987" s="152"/>
      <c r="CB3987" s="152"/>
    </row>
    <row r="3988" spans="1:80" s="87" customFormat="1" x14ac:dyDescent="0.2">
      <c r="A3988" s="152"/>
      <c r="B3988" s="683"/>
      <c r="C3988" s="683"/>
      <c r="D3988" s="698"/>
      <c r="E3988" s="215"/>
      <c r="F3988" s="215"/>
      <c r="G3988" s="153"/>
      <c r="H3988" s="153"/>
      <c r="I3988" s="153"/>
      <c r="J3988" s="153"/>
      <c r="K3988" s="153"/>
      <c r="L3988" s="653"/>
      <c r="M3988" s="663">
        <v>31205</v>
      </c>
      <c r="N3988" s="600">
        <v>45.583399999999997</v>
      </c>
      <c r="O3988" s="604">
        <v>0.25189699999999998</v>
      </c>
      <c r="P3988" s="250"/>
      <c r="Q3988" s="250"/>
      <c r="R3988" s="250"/>
      <c r="S3988" s="250">
        <v>3.0000000000000001E-3</v>
      </c>
      <c r="T3988" s="250">
        <v>2.6000000000000002E-2</v>
      </c>
      <c r="U3988" s="250">
        <v>0.13500000000000001</v>
      </c>
      <c r="V3988" s="250">
        <v>0.36</v>
      </c>
      <c r="W3988" s="250">
        <v>0.36200000000000004</v>
      </c>
      <c r="X3988" s="250">
        <v>0.111</v>
      </c>
      <c r="Y3988" s="250">
        <v>3.0000000000000001E-3</v>
      </c>
      <c r="Z3988" s="150"/>
      <c r="AA3988" s="150">
        <v>1.05</v>
      </c>
      <c r="AB3988" s="152"/>
      <c r="AC3988" s="152"/>
      <c r="AD3988" s="223">
        <v>33.526899999999998</v>
      </c>
      <c r="AE3988" s="223">
        <v>1.4538483</v>
      </c>
      <c r="AF3988" s="223">
        <v>48.769350000000003</v>
      </c>
      <c r="AG3988" s="223">
        <v>0.95094480000000003</v>
      </c>
      <c r="AH3988" s="341"/>
      <c r="AI3988" s="218"/>
      <c r="AJ3988" s="218"/>
      <c r="AK3988" s="153"/>
      <c r="AL3988" s="152"/>
      <c r="AM3988" s="152"/>
      <c r="AN3988" s="152"/>
      <c r="AO3988" s="152"/>
      <c r="AP3988" s="152"/>
      <c r="AQ3988" s="152"/>
      <c r="AR3988" s="152"/>
      <c r="AS3988" s="152"/>
      <c r="AT3988" s="152"/>
      <c r="AU3988" s="153"/>
      <c r="AV3988" s="479"/>
      <c r="AW3988" s="479"/>
      <c r="AX3988" s="442"/>
      <c r="AY3988" s="153"/>
      <c r="AZ3988" s="152"/>
      <c r="BA3988" s="152"/>
      <c r="BB3988" s="152"/>
      <c r="BC3988" s="152"/>
      <c r="BD3988" s="152"/>
      <c r="BE3988" s="152"/>
      <c r="BF3988" s="152"/>
      <c r="BG3988" s="152"/>
      <c r="BH3988" s="152"/>
      <c r="BI3988" s="153"/>
      <c r="BJ3988" s="153"/>
      <c r="BK3988" s="153"/>
      <c r="BL3988" s="153"/>
      <c r="BM3988" s="153"/>
      <c r="BN3988" s="153"/>
      <c r="BO3988" s="153"/>
      <c r="BP3988" s="153"/>
      <c r="BQ3988" s="153"/>
      <c r="BR3988" s="153"/>
      <c r="BS3988" s="153"/>
      <c r="BT3988" s="153"/>
      <c r="BU3988" s="153"/>
      <c r="BV3988" s="153"/>
      <c r="BW3988" s="153"/>
      <c r="BX3988" s="153"/>
      <c r="BY3988" s="153"/>
      <c r="BZ3988" s="153"/>
      <c r="CA3988" s="152"/>
      <c r="CB3988" s="152"/>
    </row>
    <row r="3989" spans="1:80" s="87" customFormat="1" x14ac:dyDescent="0.2">
      <c r="A3989" s="152"/>
      <c r="B3989" s="683"/>
      <c r="C3989" s="683"/>
      <c r="D3989" s="698"/>
      <c r="E3989" s="215"/>
      <c r="F3989" s="215"/>
      <c r="G3989" s="153"/>
      <c r="H3989" s="153"/>
      <c r="I3989" s="153"/>
      <c r="J3989" s="153"/>
      <c r="K3989" s="153"/>
      <c r="L3989" s="653"/>
      <c r="M3989" s="663">
        <v>31209</v>
      </c>
      <c r="N3989" s="600">
        <v>32.842700000000001</v>
      </c>
      <c r="O3989" s="604">
        <v>0.10495699999999999</v>
      </c>
      <c r="P3989" s="250"/>
      <c r="Q3989" s="250"/>
      <c r="R3989" s="250"/>
      <c r="S3989" s="250"/>
      <c r="T3989" s="250">
        <v>2E-3</v>
      </c>
      <c r="U3989" s="250">
        <v>6.5000000000000002E-2</v>
      </c>
      <c r="V3989" s="250">
        <v>0.29100000000000004</v>
      </c>
      <c r="W3989" s="250">
        <v>0.49700000000000005</v>
      </c>
      <c r="X3989" s="250">
        <v>0.14000000000000001</v>
      </c>
      <c r="Y3989" s="250">
        <v>5.0000000000000001E-3</v>
      </c>
      <c r="Z3989" s="150"/>
      <c r="AA3989" s="150">
        <v>0.82</v>
      </c>
      <c r="AB3989" s="152"/>
      <c r="AC3989" s="152"/>
      <c r="AD3989" s="223">
        <v>32.307740000000003</v>
      </c>
      <c r="AE3989" s="223">
        <v>1.2770701</v>
      </c>
      <c r="AF3989" s="223">
        <v>41.244936000000003</v>
      </c>
      <c r="AG3989" s="223">
        <v>0.79550189999999998</v>
      </c>
      <c r="AH3989" s="341"/>
      <c r="AI3989" s="218"/>
      <c r="AJ3989" s="218"/>
      <c r="AK3989" s="153"/>
      <c r="AL3989" s="152"/>
      <c r="AM3989" s="152"/>
      <c r="AN3989" s="152"/>
      <c r="AO3989" s="152"/>
      <c r="AP3989" s="152"/>
      <c r="AQ3989" s="152"/>
      <c r="AR3989" s="152"/>
      <c r="AS3989" s="152"/>
      <c r="AT3989" s="152"/>
      <c r="AU3989" s="153"/>
      <c r="AV3989" s="479"/>
      <c r="AW3989" s="479"/>
      <c r="AX3989" s="442"/>
      <c r="AY3989" s="153"/>
      <c r="AZ3989" s="152"/>
      <c r="BA3989" s="152"/>
      <c r="BB3989" s="152"/>
      <c r="BC3989" s="152"/>
      <c r="BD3989" s="152"/>
      <c r="BE3989" s="152"/>
      <c r="BF3989" s="152"/>
      <c r="BG3989" s="152"/>
      <c r="BH3989" s="152"/>
      <c r="BI3989" s="153"/>
      <c r="BJ3989" s="153"/>
      <c r="BK3989" s="153"/>
      <c r="BL3989" s="153"/>
      <c r="BM3989" s="153"/>
      <c r="BN3989" s="153"/>
      <c r="BO3989" s="153"/>
      <c r="BP3989" s="153"/>
      <c r="BQ3989" s="153"/>
      <c r="BR3989" s="153"/>
      <c r="BS3989" s="153"/>
      <c r="BT3989" s="153"/>
      <c r="BU3989" s="153"/>
      <c r="BV3989" s="153"/>
      <c r="BW3989" s="153"/>
      <c r="BX3989" s="153"/>
      <c r="BY3989" s="153"/>
      <c r="BZ3989" s="153"/>
      <c r="CA3989" s="152"/>
      <c r="CB3989" s="152"/>
    </row>
    <row r="3990" spans="1:80" s="87" customFormat="1" x14ac:dyDescent="0.2">
      <c r="A3990" s="152"/>
      <c r="B3990" s="683"/>
      <c r="C3990" s="683"/>
      <c r="D3990" s="698"/>
      <c r="E3990" s="215"/>
      <c r="F3990" s="215"/>
      <c r="G3990" s="153"/>
      <c r="H3990" s="153"/>
      <c r="I3990" s="153"/>
      <c r="J3990" s="153"/>
      <c r="K3990" s="153"/>
      <c r="L3990" s="653"/>
      <c r="M3990" s="663">
        <v>31210</v>
      </c>
      <c r="N3990" s="600">
        <v>33.125900000000001</v>
      </c>
      <c r="O3990" s="604">
        <v>0.26239299999999999</v>
      </c>
      <c r="P3990" s="250"/>
      <c r="Q3990" s="250"/>
      <c r="R3990" s="250"/>
      <c r="S3990" s="250"/>
      <c r="T3990" s="250">
        <v>1.3000000000000001E-2</v>
      </c>
      <c r="U3990" s="250">
        <v>0.14099999999999999</v>
      </c>
      <c r="V3990" s="250">
        <v>0.40700000000000003</v>
      </c>
      <c r="W3990" s="250">
        <v>0.36899999999999999</v>
      </c>
      <c r="X3990" s="250">
        <v>6.7000000000000004E-2</v>
      </c>
      <c r="Y3990" s="250">
        <v>3.0000000000000001E-3</v>
      </c>
      <c r="Z3990" s="150"/>
      <c r="AA3990" s="150">
        <v>1.1100000000000001</v>
      </c>
      <c r="AB3990" s="152"/>
      <c r="AC3990" s="152"/>
      <c r="AD3990" s="223">
        <v>32.307740000000003</v>
      </c>
      <c r="AE3990" s="223">
        <v>1.3014532999999999</v>
      </c>
      <c r="AF3990" s="223">
        <v>42.080981999999999</v>
      </c>
      <c r="AG3990" s="223">
        <v>0.78635820000000001</v>
      </c>
      <c r="AH3990" s="341"/>
      <c r="AI3990" s="218"/>
      <c r="AJ3990" s="218"/>
      <c r="AK3990" s="153"/>
      <c r="AL3990" s="152"/>
      <c r="AM3990" s="152"/>
      <c r="AN3990" s="152"/>
      <c r="AO3990" s="152"/>
      <c r="AP3990" s="152"/>
      <c r="AQ3990" s="152"/>
      <c r="AR3990" s="152"/>
      <c r="AS3990" s="152"/>
      <c r="AT3990" s="152"/>
      <c r="AU3990" s="153"/>
      <c r="AV3990" s="479"/>
      <c r="AW3990" s="479"/>
      <c r="AX3990" s="442"/>
      <c r="AY3990" s="153"/>
      <c r="AZ3990" s="152"/>
      <c r="BA3990" s="152"/>
      <c r="BB3990" s="152"/>
      <c r="BC3990" s="152"/>
      <c r="BD3990" s="152"/>
      <c r="BE3990" s="152"/>
      <c r="BF3990" s="152"/>
      <c r="BG3990" s="152"/>
      <c r="BH3990" s="152"/>
      <c r="BI3990" s="153"/>
      <c r="BJ3990" s="153"/>
      <c r="BK3990" s="153"/>
      <c r="BL3990" s="153"/>
      <c r="BM3990" s="153"/>
      <c r="BN3990" s="153"/>
      <c r="BO3990" s="153"/>
      <c r="BP3990" s="153"/>
      <c r="BQ3990" s="153"/>
      <c r="BR3990" s="153"/>
      <c r="BS3990" s="153"/>
      <c r="BT3990" s="153"/>
      <c r="BU3990" s="153"/>
      <c r="BV3990" s="153"/>
      <c r="BW3990" s="153"/>
      <c r="BX3990" s="153"/>
      <c r="BY3990" s="153"/>
      <c r="BZ3990" s="153"/>
      <c r="CA3990" s="152"/>
      <c r="CB3990" s="152"/>
    </row>
    <row r="3991" spans="1:80" s="87" customFormat="1" x14ac:dyDescent="0.2">
      <c r="A3991" s="152"/>
      <c r="B3991" s="683"/>
      <c r="C3991" s="683"/>
      <c r="D3991" s="698"/>
      <c r="E3991" s="215"/>
      <c r="F3991" s="215"/>
      <c r="G3991" s="153"/>
      <c r="H3991" s="153"/>
      <c r="I3991" s="153"/>
      <c r="J3991" s="153"/>
      <c r="K3991" s="153"/>
      <c r="L3991" s="653"/>
      <c r="M3991" s="663">
        <v>31215</v>
      </c>
      <c r="N3991" s="600">
        <v>23.811</v>
      </c>
      <c r="O3991" s="604">
        <v>8.2916000000000004E-2</v>
      </c>
      <c r="P3991" s="250"/>
      <c r="Q3991" s="250"/>
      <c r="R3991" s="250"/>
      <c r="S3991" s="250"/>
      <c r="T3991" s="250">
        <v>8.0000000000000002E-3</v>
      </c>
      <c r="U3991" s="250">
        <v>0.107</v>
      </c>
      <c r="V3991" s="250">
        <v>0.46200000000000002</v>
      </c>
      <c r="W3991" s="250">
        <v>0.36</v>
      </c>
      <c r="X3991" s="250">
        <v>0.06</v>
      </c>
      <c r="Y3991" s="250">
        <v>3.0000000000000001E-3</v>
      </c>
      <c r="Z3991" s="150"/>
      <c r="AA3991" s="150">
        <v>1.1200000000000001</v>
      </c>
      <c r="AB3991" s="152"/>
      <c r="AC3991" s="152"/>
      <c r="AD3991" s="223">
        <v>32.002949999999998</v>
      </c>
      <c r="AE3991" s="223">
        <v>1.1490583000000001</v>
      </c>
      <c r="AF3991" s="223">
        <v>36.786023999999998</v>
      </c>
      <c r="AG3991" s="223">
        <v>0.64615480000000003</v>
      </c>
      <c r="AH3991" s="341"/>
      <c r="AI3991" s="218"/>
      <c r="AJ3991" s="218"/>
      <c r="AK3991" s="153"/>
      <c r="AL3991" s="152"/>
      <c r="AM3991" s="152"/>
      <c r="AN3991" s="152"/>
      <c r="AO3991" s="152"/>
      <c r="AP3991" s="152"/>
      <c r="AQ3991" s="152"/>
      <c r="AR3991" s="152"/>
      <c r="AS3991" s="152"/>
      <c r="AT3991" s="152"/>
      <c r="AU3991" s="153"/>
      <c r="AV3991" s="479"/>
      <c r="AW3991" s="479"/>
      <c r="AX3991" s="442"/>
      <c r="AY3991" s="153"/>
      <c r="AZ3991" s="152"/>
      <c r="BA3991" s="152"/>
      <c r="BB3991" s="152"/>
      <c r="BC3991" s="152"/>
      <c r="BD3991" s="152"/>
      <c r="BE3991" s="152"/>
      <c r="BF3991" s="152"/>
      <c r="BG3991" s="152"/>
      <c r="BH3991" s="152"/>
      <c r="BI3991" s="153"/>
      <c r="BJ3991" s="153"/>
      <c r="BK3991" s="153"/>
      <c r="BL3991" s="153"/>
      <c r="BM3991" s="153"/>
      <c r="BN3991" s="153"/>
      <c r="BO3991" s="153"/>
      <c r="BP3991" s="153"/>
      <c r="BQ3991" s="153"/>
      <c r="BR3991" s="153"/>
      <c r="BS3991" s="153"/>
      <c r="BT3991" s="153"/>
      <c r="BU3991" s="153"/>
      <c r="BV3991" s="153"/>
      <c r="BW3991" s="153"/>
      <c r="BX3991" s="153"/>
      <c r="BY3991" s="153"/>
      <c r="BZ3991" s="153"/>
      <c r="CA3991" s="152"/>
      <c r="CB3991" s="152"/>
    </row>
    <row r="3992" spans="1:80" s="87" customFormat="1" x14ac:dyDescent="0.2">
      <c r="A3992" s="152"/>
      <c r="B3992" s="683"/>
      <c r="C3992" s="683"/>
      <c r="D3992" s="698"/>
      <c r="E3992" s="215"/>
      <c r="F3992" s="215"/>
      <c r="G3992" s="153"/>
      <c r="H3992" s="153"/>
      <c r="I3992" s="153"/>
      <c r="J3992" s="153"/>
      <c r="K3992" s="153"/>
      <c r="L3992" s="653"/>
      <c r="M3992" s="663">
        <v>31216</v>
      </c>
      <c r="N3992" s="600">
        <v>24.830200000000001</v>
      </c>
      <c r="O3992" s="604">
        <v>0.18892300000000001</v>
      </c>
      <c r="P3992" s="250"/>
      <c r="Q3992" s="250"/>
      <c r="R3992" s="250"/>
      <c r="S3992" s="250"/>
      <c r="T3992" s="250">
        <v>1.3999999999999999E-2</v>
      </c>
      <c r="U3992" s="250">
        <v>0.124</v>
      </c>
      <c r="V3992" s="250">
        <v>0.36399999999999999</v>
      </c>
      <c r="W3992" s="250">
        <v>0.433</v>
      </c>
      <c r="X3992" s="250">
        <v>6.3E-2</v>
      </c>
      <c r="Y3992" s="250">
        <v>2E-3</v>
      </c>
      <c r="Z3992" s="150"/>
      <c r="AA3992" s="150">
        <v>1</v>
      </c>
      <c r="AB3992" s="152"/>
      <c r="AC3992" s="152"/>
      <c r="AD3992" s="223">
        <v>32.002949999999998</v>
      </c>
      <c r="AE3992" s="223">
        <v>1.1490583000000001</v>
      </c>
      <c r="AF3992" s="223">
        <v>36.786023999999998</v>
      </c>
      <c r="AG3992" s="223">
        <v>0.67358589999999996</v>
      </c>
      <c r="AH3992" s="341"/>
      <c r="AI3992" s="218"/>
      <c r="AJ3992" s="218"/>
      <c r="AK3992" s="153"/>
      <c r="AL3992" s="152"/>
      <c r="AM3992" s="152"/>
      <c r="AN3992" s="152"/>
      <c r="AO3992" s="152"/>
      <c r="AP3992" s="152"/>
      <c r="AQ3992" s="152"/>
      <c r="AR3992" s="152"/>
      <c r="AS3992" s="152"/>
      <c r="AT3992" s="152"/>
      <c r="AU3992" s="153"/>
      <c r="AV3992" s="479"/>
      <c r="AW3992" s="479"/>
      <c r="AX3992" s="442"/>
      <c r="AY3992" s="153"/>
      <c r="AZ3992" s="152"/>
      <c r="BA3992" s="152"/>
      <c r="BB3992" s="152"/>
      <c r="BC3992" s="152"/>
      <c r="BD3992" s="152"/>
      <c r="BE3992" s="152"/>
      <c r="BF3992" s="152"/>
      <c r="BG3992" s="152"/>
      <c r="BH3992" s="152"/>
      <c r="BI3992" s="153"/>
      <c r="BJ3992" s="153"/>
      <c r="BK3992" s="153"/>
      <c r="BL3992" s="153"/>
      <c r="BM3992" s="153"/>
      <c r="BN3992" s="153"/>
      <c r="BO3992" s="153"/>
      <c r="BP3992" s="153"/>
      <c r="BQ3992" s="153"/>
      <c r="BR3992" s="153"/>
      <c r="BS3992" s="153"/>
      <c r="BT3992" s="153"/>
      <c r="BU3992" s="153"/>
      <c r="BV3992" s="153"/>
      <c r="BW3992" s="153"/>
      <c r="BX3992" s="153"/>
      <c r="BY3992" s="153"/>
      <c r="BZ3992" s="153"/>
      <c r="CA3992" s="152"/>
      <c r="CB3992" s="152"/>
    </row>
    <row r="3993" spans="1:80" s="87" customFormat="1" x14ac:dyDescent="0.2">
      <c r="A3993" s="152"/>
      <c r="B3993" s="683"/>
      <c r="C3993" s="683"/>
      <c r="D3993" s="698"/>
      <c r="E3993" s="215"/>
      <c r="F3993" s="215"/>
      <c r="G3993" s="153"/>
      <c r="H3993" s="153"/>
      <c r="I3993" s="153"/>
      <c r="J3993" s="153"/>
      <c r="K3993" s="153"/>
      <c r="L3993" s="653"/>
      <c r="M3993" s="663">
        <v>31217</v>
      </c>
      <c r="N3993" s="600">
        <v>22.763400000000001</v>
      </c>
      <c r="O3993" s="604">
        <v>0.10495699999999999</v>
      </c>
      <c r="P3993" s="250"/>
      <c r="Q3993" s="250"/>
      <c r="R3993" s="250"/>
      <c r="S3993" s="250"/>
      <c r="T3993" s="250">
        <v>1.7000000000000001E-2</v>
      </c>
      <c r="U3993" s="250">
        <v>0.19</v>
      </c>
      <c r="V3993" s="250">
        <v>0.377</v>
      </c>
      <c r="W3993" s="250">
        <v>0.35100000000000003</v>
      </c>
      <c r="X3993" s="250">
        <v>6.4000000000000001E-2</v>
      </c>
      <c r="Y3993" s="250">
        <v>1E-3</v>
      </c>
      <c r="Z3993" s="150"/>
      <c r="AA3993" s="150">
        <v>1.17</v>
      </c>
      <c r="AB3993" s="152"/>
      <c r="AC3993" s="152"/>
      <c r="AD3993" s="223">
        <v>31.698160000000001</v>
      </c>
      <c r="AE3993" s="223">
        <v>1.1185792999999999</v>
      </c>
      <c r="AF3993" s="223">
        <v>35.485508000000003</v>
      </c>
      <c r="AG3993" s="223">
        <v>0.64005900000000004</v>
      </c>
      <c r="AH3993" s="341"/>
      <c r="AI3993" s="218"/>
      <c r="AJ3993" s="218"/>
      <c r="AK3993" s="153"/>
      <c r="AL3993" s="152"/>
      <c r="AM3993" s="152"/>
      <c r="AN3993" s="152"/>
      <c r="AO3993" s="152"/>
      <c r="AP3993" s="152"/>
      <c r="AQ3993" s="152"/>
      <c r="AR3993" s="152"/>
      <c r="AS3993" s="152"/>
      <c r="AT3993" s="152"/>
      <c r="AU3993" s="153"/>
      <c r="AV3993" s="479"/>
      <c r="AW3993" s="479"/>
      <c r="AX3993" s="442"/>
      <c r="AY3993" s="153"/>
      <c r="AZ3993" s="152"/>
      <c r="BA3993" s="152"/>
      <c r="BB3993" s="152"/>
      <c r="BC3993" s="152"/>
      <c r="BD3993" s="152"/>
      <c r="BE3993" s="152"/>
      <c r="BF3993" s="152"/>
      <c r="BG3993" s="152"/>
      <c r="BH3993" s="152"/>
      <c r="BI3993" s="153"/>
      <c r="BJ3993" s="153"/>
      <c r="BK3993" s="153"/>
      <c r="BL3993" s="153"/>
      <c r="BM3993" s="153"/>
      <c r="BN3993" s="153"/>
      <c r="BO3993" s="153"/>
      <c r="BP3993" s="153"/>
      <c r="BQ3993" s="153"/>
      <c r="BR3993" s="153"/>
      <c r="BS3993" s="153"/>
      <c r="BT3993" s="153"/>
      <c r="BU3993" s="153"/>
      <c r="BV3993" s="153"/>
      <c r="BW3993" s="153"/>
      <c r="BX3993" s="153"/>
      <c r="BY3993" s="153"/>
      <c r="BZ3993" s="153"/>
      <c r="CA3993" s="152"/>
      <c r="CB3993" s="152"/>
    </row>
    <row r="3994" spans="1:80" s="87" customFormat="1" x14ac:dyDescent="0.2">
      <c r="A3994" s="152"/>
      <c r="B3994" s="683"/>
      <c r="C3994" s="683"/>
      <c r="D3994" s="698"/>
      <c r="E3994" s="215"/>
      <c r="F3994" s="215"/>
      <c r="G3994" s="153"/>
      <c r="H3994" s="153"/>
      <c r="I3994" s="153"/>
      <c r="J3994" s="153"/>
      <c r="K3994" s="153"/>
      <c r="L3994" s="653"/>
      <c r="M3994" s="663">
        <v>31223</v>
      </c>
      <c r="N3994" s="600">
        <v>14.5527</v>
      </c>
      <c r="O3994" s="604">
        <v>4.6181E-2</v>
      </c>
      <c r="P3994" s="250"/>
      <c r="Q3994" s="250"/>
      <c r="R3994" s="250"/>
      <c r="S3994" s="250"/>
      <c r="T3994" s="250">
        <v>1.6E-2</v>
      </c>
      <c r="U3994" s="250">
        <v>0.16600000000000001</v>
      </c>
      <c r="V3994" s="250">
        <v>0.32899999999999996</v>
      </c>
      <c r="W3994" s="250">
        <v>0.40299999999999997</v>
      </c>
      <c r="X3994" s="250">
        <v>8.3000000000000004E-2</v>
      </c>
      <c r="Y3994" s="250">
        <v>3.0000000000000001E-3</v>
      </c>
      <c r="Z3994" s="150"/>
      <c r="AA3994" s="150">
        <v>1.02</v>
      </c>
      <c r="AB3994" s="152"/>
      <c r="AC3994" s="152"/>
      <c r="AD3994" s="223">
        <v>30.78379</v>
      </c>
      <c r="AE3994" s="223">
        <v>0.95704060000000002</v>
      </c>
      <c r="AF3994" s="223">
        <v>29.447398</v>
      </c>
      <c r="AG3994" s="223">
        <v>0.49375980000000003</v>
      </c>
      <c r="AH3994" s="341"/>
      <c r="AI3994" s="218"/>
      <c r="AJ3994" s="218"/>
      <c r="AK3994" s="153"/>
      <c r="AL3994" s="152"/>
      <c r="AM3994" s="152"/>
      <c r="AN3994" s="152"/>
      <c r="AO3994" s="152"/>
      <c r="AP3994" s="152"/>
      <c r="AQ3994" s="152"/>
      <c r="AR3994" s="152"/>
      <c r="AS3994" s="152"/>
      <c r="AT3994" s="152"/>
      <c r="AU3994" s="153"/>
      <c r="AV3994" s="479"/>
      <c r="AW3994" s="479"/>
      <c r="AX3994" s="442"/>
      <c r="AY3994" s="153"/>
      <c r="AZ3994" s="152"/>
      <c r="BA3994" s="152"/>
      <c r="BB3994" s="152"/>
      <c r="BC3994" s="152"/>
      <c r="BD3994" s="152"/>
      <c r="BE3994" s="152"/>
      <c r="BF3994" s="152"/>
      <c r="BG3994" s="152"/>
      <c r="BH3994" s="152"/>
      <c r="BI3994" s="153"/>
      <c r="BJ3994" s="153"/>
      <c r="BK3994" s="153"/>
      <c r="BL3994" s="153"/>
      <c r="BM3994" s="153"/>
      <c r="BN3994" s="153"/>
      <c r="BO3994" s="153"/>
      <c r="BP3994" s="153"/>
      <c r="BQ3994" s="153"/>
      <c r="BR3994" s="153"/>
      <c r="BS3994" s="153"/>
      <c r="BT3994" s="153"/>
      <c r="BU3994" s="153"/>
      <c r="BV3994" s="153"/>
      <c r="BW3994" s="153"/>
      <c r="BX3994" s="153"/>
      <c r="BY3994" s="153"/>
      <c r="BZ3994" s="153"/>
      <c r="CA3994" s="152"/>
      <c r="CB3994" s="152"/>
    </row>
    <row r="3995" spans="1:80" s="87" customFormat="1" x14ac:dyDescent="0.2">
      <c r="A3995" s="152"/>
      <c r="B3995" s="683"/>
      <c r="C3995" s="683"/>
      <c r="D3995" s="698"/>
      <c r="E3995" s="215"/>
      <c r="F3995" s="215"/>
      <c r="G3995" s="153"/>
      <c r="H3995" s="153"/>
      <c r="I3995" s="153"/>
      <c r="J3995" s="153"/>
      <c r="K3995" s="153"/>
      <c r="L3995" s="653"/>
      <c r="M3995" s="663">
        <v>31224</v>
      </c>
      <c r="N3995" s="600">
        <v>13.873200000000001</v>
      </c>
      <c r="O3995" s="604">
        <v>9.4461000000000003E-2</v>
      </c>
      <c r="P3995" s="250"/>
      <c r="Q3995" s="250"/>
      <c r="R3995" s="250"/>
      <c r="S3995" s="250"/>
      <c r="T3995" s="250">
        <v>1.9E-2</v>
      </c>
      <c r="U3995" s="250">
        <v>0.19600000000000001</v>
      </c>
      <c r="V3995" s="250">
        <v>0.32400000000000001</v>
      </c>
      <c r="W3995" s="250">
        <v>0.34700000000000003</v>
      </c>
      <c r="X3995" s="250">
        <v>0.111</v>
      </c>
      <c r="Y3995" s="250">
        <v>3.0000000000000001E-3</v>
      </c>
      <c r="Z3995" s="150"/>
      <c r="AA3995" s="150">
        <v>1.0900000000000001</v>
      </c>
      <c r="AB3995" s="152"/>
      <c r="AC3995" s="152"/>
      <c r="AD3995" s="223">
        <v>31.08858</v>
      </c>
      <c r="AE3995" s="223">
        <v>0.93265739999999997</v>
      </c>
      <c r="AF3995" s="223">
        <v>28.982928000000001</v>
      </c>
      <c r="AG3995" s="223">
        <v>0.47852030000000001</v>
      </c>
      <c r="AH3995" s="341"/>
      <c r="AI3995" s="218"/>
      <c r="AJ3995" s="218"/>
      <c r="AK3995" s="153"/>
      <c r="AL3995" s="152"/>
      <c r="AM3995" s="152"/>
      <c r="AN3995" s="152"/>
      <c r="AO3995" s="152"/>
      <c r="AP3995" s="152"/>
      <c r="AQ3995" s="152"/>
      <c r="AR3995" s="152"/>
      <c r="AS3995" s="152"/>
      <c r="AT3995" s="152"/>
      <c r="AU3995" s="153"/>
      <c r="AV3995" s="479"/>
      <c r="AW3995" s="479"/>
      <c r="AX3995" s="442"/>
      <c r="AY3995" s="153"/>
      <c r="AZ3995" s="152"/>
      <c r="BA3995" s="152"/>
      <c r="BB3995" s="152"/>
      <c r="BC3995" s="152"/>
      <c r="BD3995" s="152"/>
      <c r="BE3995" s="152"/>
      <c r="BF3995" s="152"/>
      <c r="BG3995" s="152"/>
      <c r="BH3995" s="152"/>
      <c r="BI3995" s="153"/>
      <c r="BJ3995" s="153"/>
      <c r="BK3995" s="153"/>
      <c r="BL3995" s="153"/>
      <c r="BM3995" s="153"/>
      <c r="BN3995" s="153"/>
      <c r="BO3995" s="153"/>
      <c r="BP3995" s="153"/>
      <c r="BQ3995" s="153"/>
      <c r="BR3995" s="153"/>
      <c r="BS3995" s="153"/>
      <c r="BT3995" s="153"/>
      <c r="BU3995" s="153"/>
      <c r="BV3995" s="153"/>
      <c r="BW3995" s="153"/>
      <c r="BX3995" s="153"/>
      <c r="BY3995" s="153"/>
      <c r="BZ3995" s="153"/>
      <c r="CA3995" s="152"/>
      <c r="CB3995" s="152"/>
    </row>
    <row r="3996" spans="1:80" s="87" customFormat="1" x14ac:dyDescent="0.2">
      <c r="A3996" s="152"/>
      <c r="B3996" s="683"/>
      <c r="C3996" s="683"/>
      <c r="D3996" s="698"/>
      <c r="E3996" s="215"/>
      <c r="F3996" s="215"/>
      <c r="G3996" s="153"/>
      <c r="H3996" s="153"/>
      <c r="I3996" s="153"/>
      <c r="J3996" s="153"/>
      <c r="K3996" s="153"/>
      <c r="L3996" s="653"/>
      <c r="M3996" s="663">
        <v>31237</v>
      </c>
      <c r="N3996" s="600">
        <v>7.53118</v>
      </c>
      <c r="O3996" s="604">
        <v>1.2595E-2</v>
      </c>
      <c r="P3996" s="250"/>
      <c r="Q3996" s="250"/>
      <c r="R3996" s="250"/>
      <c r="S3996" s="250"/>
      <c r="T3996" s="250"/>
      <c r="U3996" s="250">
        <v>0.21899999999999997</v>
      </c>
      <c r="V3996" s="250">
        <v>0.66700000000000004</v>
      </c>
      <c r="W3996" s="250">
        <v>9.4E-2</v>
      </c>
      <c r="X3996" s="250">
        <v>0.02</v>
      </c>
      <c r="Y3996" s="250">
        <v>0</v>
      </c>
      <c r="Z3996" s="150"/>
      <c r="AA3996" s="150">
        <v>1.49</v>
      </c>
      <c r="AB3996" s="152"/>
      <c r="AC3996" s="152"/>
      <c r="AD3996" s="223">
        <v>30.478999999999999</v>
      </c>
      <c r="AE3996" s="223">
        <v>0.73454390000000003</v>
      </c>
      <c r="AF3996" s="223">
        <v>22.387454000000002</v>
      </c>
      <c r="AG3996" s="223">
        <v>0.33526899999999998</v>
      </c>
      <c r="AH3996" s="341"/>
      <c r="AI3996" s="218"/>
      <c r="AJ3996" s="218"/>
      <c r="AK3996" s="153"/>
      <c r="AL3996" s="152"/>
      <c r="AM3996" s="152"/>
      <c r="AN3996" s="152"/>
      <c r="AO3996" s="152"/>
      <c r="AP3996" s="152"/>
      <c r="AQ3996" s="152"/>
      <c r="AR3996" s="152"/>
      <c r="AS3996" s="152"/>
      <c r="AT3996" s="152"/>
      <c r="AU3996" s="153"/>
      <c r="AV3996" s="479"/>
      <c r="AW3996" s="479"/>
      <c r="AX3996" s="442"/>
      <c r="AY3996" s="153"/>
      <c r="AZ3996" s="152"/>
      <c r="BA3996" s="152"/>
      <c r="BB3996" s="152"/>
      <c r="BC3996" s="152"/>
      <c r="BD3996" s="152"/>
      <c r="BE3996" s="152"/>
      <c r="BF3996" s="152"/>
      <c r="BG3996" s="152"/>
      <c r="BH3996" s="152"/>
      <c r="BI3996" s="153"/>
      <c r="BJ3996" s="153"/>
      <c r="BK3996" s="153"/>
      <c r="BL3996" s="153"/>
      <c r="BM3996" s="153"/>
      <c r="BN3996" s="153"/>
      <c r="BO3996" s="153"/>
      <c r="BP3996" s="153"/>
      <c r="BQ3996" s="153"/>
      <c r="BR3996" s="153"/>
      <c r="BS3996" s="153"/>
      <c r="BT3996" s="153"/>
      <c r="BU3996" s="153"/>
      <c r="BV3996" s="153"/>
      <c r="BW3996" s="153"/>
      <c r="BX3996" s="153"/>
      <c r="BY3996" s="153"/>
      <c r="BZ3996" s="153"/>
      <c r="CA3996" s="152"/>
      <c r="CB3996" s="152"/>
    </row>
    <row r="3997" spans="1:80" s="87" customFormat="1" x14ac:dyDescent="0.2">
      <c r="A3997" s="152"/>
      <c r="B3997" s="683"/>
      <c r="C3997" s="683"/>
      <c r="D3997" s="698"/>
      <c r="E3997" s="215"/>
      <c r="F3997" s="215"/>
      <c r="G3997" s="153"/>
      <c r="H3997" s="153"/>
      <c r="I3997" s="153"/>
      <c r="J3997" s="153"/>
      <c r="K3997" s="153"/>
      <c r="L3997" s="653"/>
      <c r="M3997" s="663">
        <v>31238</v>
      </c>
      <c r="N3997" s="600">
        <v>7.3046800000000003</v>
      </c>
      <c r="O3997" s="604">
        <v>6.0879999999999997E-3</v>
      </c>
      <c r="P3997" s="250"/>
      <c r="Q3997" s="250"/>
      <c r="R3997" s="250"/>
      <c r="S3997" s="250"/>
      <c r="T3997" s="250">
        <v>6.0000000000000001E-3</v>
      </c>
      <c r="U3997" s="250">
        <v>7.8E-2</v>
      </c>
      <c r="V3997" s="250">
        <v>0.43099999999999999</v>
      </c>
      <c r="W3997" s="250">
        <v>0.33500000000000002</v>
      </c>
      <c r="X3997" s="250">
        <v>0.13400000000000001</v>
      </c>
      <c r="Y3997" s="250">
        <v>1.6E-2</v>
      </c>
      <c r="Z3997" s="150"/>
      <c r="AA3997" s="150">
        <v>1.02</v>
      </c>
      <c r="AB3997" s="152"/>
      <c r="AC3997" s="152"/>
      <c r="AD3997" s="223">
        <v>30.478999999999999</v>
      </c>
      <c r="AE3997" s="223">
        <v>0.71625649999999996</v>
      </c>
      <c r="AF3997" s="223">
        <v>21.830089999999998</v>
      </c>
      <c r="AG3997" s="223">
        <v>0.33526899999999998</v>
      </c>
      <c r="AH3997" s="341"/>
      <c r="AI3997" s="218"/>
      <c r="AJ3997" s="218"/>
      <c r="AK3997" s="153"/>
      <c r="AL3997" s="152"/>
      <c r="AM3997" s="152"/>
      <c r="AN3997" s="152"/>
      <c r="AO3997" s="152"/>
      <c r="AP3997" s="152"/>
      <c r="AQ3997" s="152"/>
      <c r="AR3997" s="152"/>
      <c r="AS3997" s="152"/>
      <c r="AT3997" s="152"/>
      <c r="AU3997" s="153"/>
      <c r="AV3997" s="479"/>
      <c r="AW3997" s="479"/>
      <c r="AX3997" s="442"/>
      <c r="AY3997" s="153"/>
      <c r="AZ3997" s="152"/>
      <c r="BA3997" s="152"/>
      <c r="BB3997" s="152"/>
      <c r="BC3997" s="152"/>
      <c r="BD3997" s="152"/>
      <c r="BE3997" s="152"/>
      <c r="BF3997" s="152"/>
      <c r="BG3997" s="152"/>
      <c r="BH3997" s="152"/>
      <c r="BI3997" s="153"/>
      <c r="BJ3997" s="153"/>
      <c r="BK3997" s="153"/>
      <c r="BL3997" s="153"/>
      <c r="BM3997" s="153"/>
      <c r="BN3997" s="153"/>
      <c r="BO3997" s="153"/>
      <c r="BP3997" s="153"/>
      <c r="BQ3997" s="153"/>
      <c r="BR3997" s="153"/>
      <c r="BS3997" s="153"/>
      <c r="BT3997" s="153"/>
      <c r="BU3997" s="153"/>
      <c r="BV3997" s="153"/>
      <c r="BW3997" s="153"/>
      <c r="BX3997" s="153"/>
      <c r="BY3997" s="153"/>
      <c r="BZ3997" s="153"/>
      <c r="CA3997" s="152"/>
      <c r="CB3997" s="152"/>
    </row>
    <row r="3998" spans="1:80" s="87" customFormat="1" x14ac:dyDescent="0.2">
      <c r="A3998" s="152"/>
      <c r="B3998" s="683"/>
      <c r="C3998" s="683"/>
      <c r="D3998" s="698"/>
      <c r="E3998" s="215"/>
      <c r="F3998" s="215"/>
      <c r="G3998" s="153"/>
      <c r="H3998" s="153"/>
      <c r="I3998" s="153"/>
      <c r="J3998" s="153"/>
      <c r="K3998" s="153"/>
      <c r="L3998" s="653"/>
      <c r="M3998" s="663">
        <v>31245</v>
      </c>
      <c r="N3998" s="600">
        <v>6.0589199999999996</v>
      </c>
      <c r="O3998" s="604">
        <v>1.5740000000000001E-3</v>
      </c>
      <c r="P3998" s="250"/>
      <c r="Q3998" s="250"/>
      <c r="R3998" s="250"/>
      <c r="S3998" s="250"/>
      <c r="T3998" s="250">
        <v>5.5999999999999994E-2</v>
      </c>
      <c r="U3998" s="250">
        <v>0.16699999999999998</v>
      </c>
      <c r="V3998" s="250">
        <v>0.36099999999999999</v>
      </c>
      <c r="W3998" s="250">
        <v>0.33299999999999996</v>
      </c>
      <c r="X3998" s="250">
        <v>8.3000000000000004E-2</v>
      </c>
      <c r="Y3998" s="250">
        <v>0</v>
      </c>
      <c r="Z3998" s="150"/>
      <c r="AA3998" s="150">
        <v>1.18</v>
      </c>
      <c r="AB3998" s="152"/>
      <c r="AC3998" s="152"/>
      <c r="AD3998" s="223">
        <v>30.174209999999999</v>
      </c>
      <c r="AE3998" s="223">
        <v>0.66749009999999998</v>
      </c>
      <c r="AF3998" s="223">
        <v>20.157997999999999</v>
      </c>
      <c r="AG3998" s="223">
        <v>0.30174210000000001</v>
      </c>
      <c r="AH3998" s="341"/>
      <c r="AI3998" s="218"/>
      <c r="AJ3998" s="218"/>
      <c r="AK3998" s="153"/>
      <c r="AL3998" s="152"/>
      <c r="AM3998" s="152"/>
      <c r="AN3998" s="152"/>
      <c r="AO3998" s="152"/>
      <c r="AP3998" s="152"/>
      <c r="AQ3998" s="152"/>
      <c r="AR3998" s="152"/>
      <c r="AS3998" s="152"/>
      <c r="AT3998" s="152"/>
      <c r="AU3998" s="153"/>
      <c r="AV3998" s="479"/>
      <c r="AW3998" s="479"/>
      <c r="AX3998" s="442"/>
      <c r="AY3998" s="153"/>
      <c r="AZ3998" s="152"/>
      <c r="BA3998" s="152"/>
      <c r="BB3998" s="152"/>
      <c r="BC3998" s="152"/>
      <c r="BD3998" s="152"/>
      <c r="BE3998" s="152"/>
      <c r="BF3998" s="152"/>
      <c r="BG3998" s="152"/>
      <c r="BH3998" s="152"/>
      <c r="BI3998" s="153"/>
      <c r="BJ3998" s="153"/>
      <c r="BK3998" s="153"/>
      <c r="BL3998" s="153"/>
      <c r="BM3998" s="153"/>
      <c r="BN3998" s="153"/>
      <c r="BO3998" s="153"/>
      <c r="BP3998" s="153"/>
      <c r="BQ3998" s="153"/>
      <c r="BR3998" s="153"/>
      <c r="BS3998" s="153"/>
      <c r="BT3998" s="153"/>
      <c r="BU3998" s="153"/>
      <c r="BV3998" s="153"/>
      <c r="BW3998" s="153"/>
      <c r="BX3998" s="153"/>
      <c r="BY3998" s="153"/>
      <c r="BZ3998" s="153"/>
      <c r="CA3998" s="152"/>
      <c r="CB3998" s="152"/>
    </row>
    <row r="3999" spans="1:80" s="87" customFormat="1" x14ac:dyDescent="0.2">
      <c r="A3999" s="152"/>
      <c r="B3999" s="683"/>
      <c r="C3999" s="683"/>
      <c r="D3999" s="698"/>
      <c r="E3999" s="215"/>
      <c r="F3999" s="215"/>
      <c r="G3999" s="153"/>
      <c r="H3999" s="153"/>
      <c r="I3999" s="153"/>
      <c r="J3999" s="153"/>
      <c r="K3999" s="153"/>
      <c r="L3999" s="653"/>
      <c r="M3999" s="663">
        <v>31246</v>
      </c>
      <c r="N3999" s="600">
        <v>5.9739800000000001</v>
      </c>
      <c r="O3999" s="604">
        <v>2.1000000000000001E-4</v>
      </c>
      <c r="P3999" s="250"/>
      <c r="Q3999" s="250"/>
      <c r="R3999" s="250"/>
      <c r="S3999" s="250"/>
      <c r="T3999" s="250"/>
      <c r="U3999" s="250"/>
      <c r="V3999" s="250">
        <v>0.4</v>
      </c>
      <c r="W3999" s="250">
        <v>0.4</v>
      </c>
      <c r="X3999" s="250">
        <v>0.2</v>
      </c>
      <c r="Y3999" s="250">
        <v>0</v>
      </c>
      <c r="Z3999" s="150"/>
      <c r="AA3999" s="150">
        <v>0.84</v>
      </c>
      <c r="AB3999" s="152"/>
      <c r="AC3999" s="152"/>
      <c r="AD3999" s="223">
        <v>30.174209999999999</v>
      </c>
      <c r="AE3999" s="223">
        <v>0.6583464</v>
      </c>
      <c r="AF3999" s="223">
        <v>19.879315999999999</v>
      </c>
      <c r="AG3999" s="223">
        <v>0.30174210000000001</v>
      </c>
      <c r="AH3999" s="341"/>
      <c r="AI3999" s="218"/>
      <c r="AJ3999" s="218"/>
      <c r="AK3999" s="153"/>
      <c r="AL3999" s="152"/>
      <c r="AM3999" s="152"/>
      <c r="AN3999" s="152"/>
      <c r="AO3999" s="152"/>
      <c r="AP3999" s="152"/>
      <c r="AQ3999" s="152"/>
      <c r="AR3999" s="152"/>
      <c r="AS3999" s="152"/>
      <c r="AT3999" s="152"/>
      <c r="AU3999" s="153"/>
      <c r="AV3999" s="479"/>
      <c r="AW3999" s="479"/>
      <c r="AX3999" s="442"/>
      <c r="AY3999" s="153"/>
      <c r="AZ3999" s="152"/>
      <c r="BA3999" s="152"/>
      <c r="BB3999" s="152"/>
      <c r="BC3999" s="152"/>
      <c r="BD3999" s="152"/>
      <c r="BE3999" s="152"/>
      <c r="BF3999" s="152"/>
      <c r="BG3999" s="152"/>
      <c r="BH3999" s="152"/>
      <c r="BI3999" s="153"/>
      <c r="BJ3999" s="153"/>
      <c r="BK3999" s="153"/>
      <c r="BL3999" s="153"/>
      <c r="BM3999" s="153"/>
      <c r="BN3999" s="153"/>
      <c r="BO3999" s="153"/>
      <c r="BP3999" s="153"/>
      <c r="BQ3999" s="153"/>
      <c r="BR3999" s="153"/>
      <c r="BS3999" s="153"/>
      <c r="BT3999" s="153"/>
      <c r="BU3999" s="153"/>
      <c r="BV3999" s="153"/>
      <c r="BW3999" s="153"/>
      <c r="BX3999" s="153"/>
      <c r="BY3999" s="153"/>
      <c r="BZ3999" s="153"/>
      <c r="CA3999" s="152"/>
      <c r="CB3999" s="152"/>
    </row>
    <row r="4000" spans="1:80" s="87" customFormat="1" x14ac:dyDescent="0.2">
      <c r="A4000" s="152"/>
      <c r="B4000" s="683"/>
      <c r="C4000" s="683"/>
      <c r="D4000" s="698"/>
      <c r="E4000" s="215"/>
      <c r="F4000" s="215"/>
      <c r="G4000" s="153"/>
      <c r="H4000" s="153"/>
      <c r="I4000" s="153"/>
      <c r="J4000" s="153"/>
      <c r="K4000" s="153"/>
      <c r="L4000" s="653"/>
      <c r="M4000" s="663">
        <v>31251</v>
      </c>
      <c r="N4000" s="600">
        <v>5.2661600000000002</v>
      </c>
      <c r="O4000" s="604">
        <v>2.1000000000000001E-4</v>
      </c>
      <c r="P4000" s="250"/>
      <c r="Q4000" s="250"/>
      <c r="R4000" s="250"/>
      <c r="S4000" s="250"/>
      <c r="T4000" s="250"/>
      <c r="U4000" s="250"/>
      <c r="V4000" s="250">
        <v>0.2</v>
      </c>
      <c r="W4000" s="250">
        <v>0.4</v>
      </c>
      <c r="X4000" s="250">
        <v>0.4</v>
      </c>
      <c r="Y4000" s="250">
        <v>0</v>
      </c>
      <c r="Z4000" s="150"/>
      <c r="AA4000" s="150">
        <v>0.59</v>
      </c>
      <c r="AB4000" s="152"/>
      <c r="AC4000" s="152"/>
      <c r="AD4000" s="223">
        <v>30.174209999999999</v>
      </c>
      <c r="AE4000" s="223">
        <v>0.62481949999999997</v>
      </c>
      <c r="AF4000" s="223">
        <v>18.857482000000001</v>
      </c>
      <c r="AG4000" s="223">
        <v>0.28040680000000001</v>
      </c>
      <c r="AH4000" s="341"/>
      <c r="AI4000" s="218"/>
      <c r="AJ4000" s="218"/>
      <c r="AK4000" s="153"/>
      <c r="AL4000" s="152"/>
      <c r="AM4000" s="152"/>
      <c r="AN4000" s="152"/>
      <c r="AO4000" s="152"/>
      <c r="AP4000" s="152"/>
      <c r="AQ4000" s="152"/>
      <c r="AR4000" s="152"/>
      <c r="AS4000" s="152"/>
      <c r="AT4000" s="152"/>
      <c r="AU4000" s="153"/>
      <c r="AV4000" s="479"/>
      <c r="AW4000" s="479"/>
      <c r="AX4000" s="442"/>
      <c r="AY4000" s="153"/>
      <c r="AZ4000" s="152"/>
      <c r="BA4000" s="152"/>
      <c r="BB4000" s="152"/>
      <c r="BC4000" s="152"/>
      <c r="BD4000" s="152"/>
      <c r="BE4000" s="152"/>
      <c r="BF4000" s="152"/>
      <c r="BG4000" s="152"/>
      <c r="BH4000" s="152"/>
      <c r="BI4000" s="153"/>
      <c r="BJ4000" s="153"/>
      <c r="BK4000" s="153"/>
      <c r="BL4000" s="153"/>
      <c r="BM4000" s="153"/>
      <c r="BN4000" s="153"/>
      <c r="BO4000" s="153"/>
      <c r="BP4000" s="153"/>
      <c r="BQ4000" s="153"/>
      <c r="BR4000" s="153"/>
      <c r="BS4000" s="153"/>
      <c r="BT4000" s="153"/>
      <c r="BU4000" s="153"/>
      <c r="BV4000" s="153"/>
      <c r="BW4000" s="153"/>
      <c r="BX4000" s="153"/>
      <c r="BY4000" s="153"/>
      <c r="BZ4000" s="153"/>
      <c r="CA4000" s="152"/>
      <c r="CB4000" s="152"/>
    </row>
    <row r="4001" spans="1:80" s="87" customFormat="1" x14ac:dyDescent="0.2">
      <c r="A4001" s="152"/>
      <c r="B4001" s="683"/>
      <c r="C4001" s="683"/>
      <c r="D4001" s="698"/>
      <c r="E4001" s="215"/>
      <c r="F4001" s="215"/>
      <c r="G4001" s="153"/>
      <c r="H4001" s="153"/>
      <c r="I4001" s="153"/>
      <c r="J4001" s="153"/>
      <c r="K4001" s="153"/>
      <c r="L4001" s="653"/>
      <c r="M4001" s="663">
        <v>31258</v>
      </c>
      <c r="N4001" s="600">
        <v>5.2378499999999999</v>
      </c>
      <c r="O4001" s="604">
        <v>1.6789999999999999E-3</v>
      </c>
      <c r="P4001" s="250"/>
      <c r="Q4001" s="250"/>
      <c r="R4001" s="250"/>
      <c r="S4001" s="250"/>
      <c r="T4001" s="250"/>
      <c r="U4001" s="250">
        <v>8.3000000000000004E-2</v>
      </c>
      <c r="V4001" s="250">
        <v>0.27800000000000002</v>
      </c>
      <c r="W4001" s="250">
        <v>0.5</v>
      </c>
      <c r="X4001" s="250">
        <v>0.111</v>
      </c>
      <c r="Y4001" s="250">
        <v>2.7999999999999997E-2</v>
      </c>
      <c r="Z4001" s="150"/>
      <c r="AA4001" s="150">
        <v>0.82</v>
      </c>
      <c r="AB4001" s="152"/>
      <c r="AC4001" s="152"/>
      <c r="AD4001" s="223">
        <v>29.869420000000002</v>
      </c>
      <c r="AE4001" s="223">
        <v>0.61872369999999999</v>
      </c>
      <c r="AF4001" s="223">
        <v>18.485906</v>
      </c>
      <c r="AG4001" s="223">
        <v>0.2834547</v>
      </c>
      <c r="AH4001" s="341"/>
      <c r="AI4001" s="218"/>
      <c r="AJ4001" s="218"/>
      <c r="AK4001" s="153"/>
      <c r="AL4001" s="152"/>
      <c r="AM4001" s="152"/>
      <c r="AN4001" s="152"/>
      <c r="AO4001" s="152"/>
      <c r="AP4001" s="152"/>
      <c r="AQ4001" s="152"/>
      <c r="AR4001" s="152"/>
      <c r="AS4001" s="152"/>
      <c r="AT4001" s="152"/>
      <c r="AU4001" s="153"/>
      <c r="AV4001" s="479"/>
      <c r="AW4001" s="479"/>
      <c r="AX4001" s="442"/>
      <c r="AY4001" s="153"/>
      <c r="AZ4001" s="152"/>
      <c r="BA4001" s="152"/>
      <c r="BB4001" s="152"/>
      <c r="BC4001" s="152"/>
      <c r="BD4001" s="152"/>
      <c r="BE4001" s="152"/>
      <c r="BF4001" s="152"/>
      <c r="BG4001" s="152"/>
      <c r="BH4001" s="152"/>
      <c r="BI4001" s="153"/>
      <c r="BJ4001" s="153"/>
      <c r="BK4001" s="153"/>
      <c r="BL4001" s="153"/>
      <c r="BM4001" s="153"/>
      <c r="BN4001" s="153"/>
      <c r="BO4001" s="153"/>
      <c r="BP4001" s="153"/>
      <c r="BQ4001" s="153"/>
      <c r="BR4001" s="153"/>
      <c r="BS4001" s="153"/>
      <c r="BT4001" s="153"/>
      <c r="BU4001" s="153"/>
      <c r="BV4001" s="153"/>
      <c r="BW4001" s="153"/>
      <c r="BX4001" s="153"/>
      <c r="BY4001" s="153"/>
      <c r="BZ4001" s="153"/>
      <c r="CA4001" s="152"/>
      <c r="CB4001" s="152"/>
    </row>
    <row r="4002" spans="1:80" s="87" customFormat="1" x14ac:dyDescent="0.2">
      <c r="A4002" s="152"/>
      <c r="B4002" s="683"/>
      <c r="C4002" s="683"/>
      <c r="D4002" s="698"/>
      <c r="E4002" s="215"/>
      <c r="F4002" s="215"/>
      <c r="G4002" s="153"/>
      <c r="H4002" s="153"/>
      <c r="I4002" s="153"/>
      <c r="J4002" s="153"/>
      <c r="K4002" s="153"/>
      <c r="L4002" s="653"/>
      <c r="M4002" s="663">
        <v>31279</v>
      </c>
      <c r="N4002" s="600">
        <v>3.8788399999999998</v>
      </c>
      <c r="O4002" s="604">
        <v>6.3000000000000003E-4</v>
      </c>
      <c r="P4002" s="250"/>
      <c r="Q4002" s="250"/>
      <c r="R4002" s="250"/>
      <c r="S4002" s="250"/>
      <c r="T4002" s="250"/>
      <c r="U4002" s="250">
        <v>0.222</v>
      </c>
      <c r="V4002" s="250">
        <v>0.33299999999999996</v>
      </c>
      <c r="W4002" s="250">
        <v>0.33299999999999996</v>
      </c>
      <c r="X4002" s="250">
        <v>0.111</v>
      </c>
      <c r="Y4002" s="250">
        <v>1E-3</v>
      </c>
      <c r="Z4002" s="150"/>
      <c r="AA4002" s="150">
        <v>1.1200000000000001</v>
      </c>
      <c r="AB4002" s="152"/>
      <c r="AC4002" s="152"/>
      <c r="AD4002" s="223">
        <v>29.564630000000001</v>
      </c>
      <c r="AE4002" s="223">
        <v>0.57605309999999998</v>
      </c>
      <c r="AF4002" s="223">
        <v>16.999601999999999</v>
      </c>
      <c r="AG4002" s="223">
        <v>0.2285925</v>
      </c>
      <c r="AH4002" s="341"/>
      <c r="AI4002" s="218"/>
      <c r="AJ4002" s="218"/>
      <c r="AK4002" s="153"/>
      <c r="AL4002" s="152"/>
      <c r="AM4002" s="152"/>
      <c r="AN4002" s="152"/>
      <c r="AO4002" s="152"/>
      <c r="AP4002" s="152"/>
      <c r="AQ4002" s="152"/>
      <c r="AR4002" s="152"/>
      <c r="AS4002" s="152"/>
      <c r="AT4002" s="152"/>
      <c r="AU4002" s="153"/>
      <c r="AV4002" s="479"/>
      <c r="AW4002" s="479"/>
      <c r="AX4002" s="442"/>
      <c r="AY4002" s="153"/>
      <c r="AZ4002" s="152"/>
      <c r="BA4002" s="152"/>
      <c r="BB4002" s="152"/>
      <c r="BC4002" s="152"/>
      <c r="BD4002" s="152"/>
      <c r="BE4002" s="152"/>
      <c r="BF4002" s="152"/>
      <c r="BG4002" s="152"/>
      <c r="BH4002" s="152"/>
      <c r="BI4002" s="153"/>
      <c r="BJ4002" s="153"/>
      <c r="BK4002" s="153"/>
      <c r="BL4002" s="153"/>
      <c r="BM4002" s="153"/>
      <c r="BN4002" s="153"/>
      <c r="BO4002" s="153"/>
      <c r="BP4002" s="153"/>
      <c r="BQ4002" s="153"/>
      <c r="BR4002" s="153"/>
      <c r="BS4002" s="153"/>
      <c r="BT4002" s="153"/>
      <c r="BU4002" s="153"/>
      <c r="BV4002" s="153"/>
      <c r="BW4002" s="153"/>
      <c r="BX4002" s="153"/>
      <c r="BY4002" s="153"/>
      <c r="BZ4002" s="153"/>
      <c r="CA4002" s="152"/>
      <c r="CB4002" s="152"/>
    </row>
    <row r="4003" spans="1:80" s="87" customFormat="1" x14ac:dyDescent="0.2">
      <c r="A4003" s="152"/>
      <c r="B4003" s="683"/>
      <c r="C4003" s="683"/>
      <c r="D4003" s="698"/>
      <c r="E4003" s="215"/>
      <c r="F4003" s="215"/>
      <c r="G4003" s="153"/>
      <c r="H4003" s="153"/>
      <c r="I4003" s="153"/>
      <c r="J4003" s="153"/>
      <c r="K4003" s="153"/>
      <c r="L4003" s="653"/>
      <c r="M4003" s="663">
        <v>31524</v>
      </c>
      <c r="N4003" s="600">
        <v>42.185899999999997</v>
      </c>
      <c r="O4003" s="604">
        <v>0.25189699999999998</v>
      </c>
      <c r="P4003" s="250"/>
      <c r="Q4003" s="250"/>
      <c r="R4003" s="250"/>
      <c r="S4003" s="250">
        <v>3.0000000000000001E-3</v>
      </c>
      <c r="T4003" s="250">
        <v>1.2E-2</v>
      </c>
      <c r="U4003" s="250">
        <v>8.3000000000000004E-2</v>
      </c>
      <c r="V4003" s="250">
        <v>0.379</v>
      </c>
      <c r="W4003" s="250">
        <v>0.41700000000000004</v>
      </c>
      <c r="X4003" s="250">
        <v>0.10099999999999999</v>
      </c>
      <c r="Y4003" s="250">
        <v>5.0000000000000001E-3</v>
      </c>
      <c r="Z4003" s="150"/>
      <c r="AA4003" s="150">
        <v>0.96</v>
      </c>
      <c r="AB4003" s="152"/>
      <c r="AC4003" s="152"/>
      <c r="AD4003" s="223">
        <v>32.61253</v>
      </c>
      <c r="AE4003" s="223">
        <v>1.4386087999999999</v>
      </c>
      <c r="AF4003" s="223">
        <v>46.911470000000001</v>
      </c>
      <c r="AG4003" s="223">
        <v>0.89913050000000005</v>
      </c>
      <c r="AH4003" s="341"/>
      <c r="AI4003" s="218"/>
      <c r="AJ4003" s="218"/>
      <c r="AK4003" s="153"/>
      <c r="AL4003" s="152"/>
      <c r="AM4003" s="152"/>
      <c r="AN4003" s="152"/>
      <c r="AO4003" s="152"/>
      <c r="AP4003" s="152"/>
      <c r="AQ4003" s="152"/>
      <c r="AR4003" s="152"/>
      <c r="AS4003" s="152"/>
      <c r="AT4003" s="152"/>
      <c r="AU4003" s="153"/>
      <c r="AV4003" s="479"/>
      <c r="AW4003" s="479"/>
      <c r="AX4003" s="442"/>
      <c r="AY4003" s="153"/>
      <c r="AZ4003" s="152"/>
      <c r="BA4003" s="152"/>
      <c r="BB4003" s="152"/>
      <c r="BC4003" s="152"/>
      <c r="BD4003" s="152"/>
      <c r="BE4003" s="152"/>
      <c r="BF4003" s="152"/>
      <c r="BG4003" s="152"/>
      <c r="BH4003" s="152"/>
      <c r="BI4003" s="153"/>
      <c r="BJ4003" s="153"/>
      <c r="BK4003" s="153"/>
      <c r="BL4003" s="153"/>
      <c r="BM4003" s="153"/>
      <c r="BN4003" s="153"/>
      <c r="BO4003" s="153"/>
      <c r="BP4003" s="153"/>
      <c r="BQ4003" s="153"/>
      <c r="BR4003" s="153"/>
      <c r="BS4003" s="153"/>
      <c r="BT4003" s="153"/>
      <c r="BU4003" s="153"/>
      <c r="BV4003" s="153"/>
      <c r="BW4003" s="153"/>
      <c r="BX4003" s="153"/>
      <c r="BY4003" s="153"/>
      <c r="BZ4003" s="153"/>
      <c r="CA4003" s="152"/>
      <c r="CB4003" s="152"/>
    </row>
    <row r="4004" spans="1:80" s="87" customFormat="1" x14ac:dyDescent="0.2">
      <c r="A4004" s="152"/>
      <c r="B4004" s="683"/>
      <c r="C4004" s="683"/>
      <c r="D4004" s="698"/>
      <c r="E4004" s="215"/>
      <c r="F4004" s="215"/>
      <c r="G4004" s="153"/>
      <c r="H4004" s="153"/>
      <c r="I4004" s="153"/>
      <c r="J4004" s="153"/>
      <c r="K4004" s="153"/>
      <c r="L4004" s="653"/>
      <c r="M4004" s="663">
        <v>31525</v>
      </c>
      <c r="N4004" s="600">
        <v>54.643500000000003</v>
      </c>
      <c r="O4004" s="604">
        <v>0.41982900000000001</v>
      </c>
      <c r="P4004" s="250"/>
      <c r="Q4004" s="250"/>
      <c r="R4004" s="250"/>
      <c r="S4004" s="250">
        <v>1.9E-2</v>
      </c>
      <c r="T4004" s="250">
        <v>0.14300000000000002</v>
      </c>
      <c r="U4004" s="250">
        <v>0.34200000000000003</v>
      </c>
      <c r="V4004" s="250">
        <v>0.254</v>
      </c>
      <c r="W4004" s="250">
        <v>0.128</v>
      </c>
      <c r="X4004" s="250">
        <v>0.111</v>
      </c>
      <c r="Y4004" s="250">
        <v>3.0000000000000001E-3</v>
      </c>
      <c r="Z4004" s="150"/>
      <c r="AA4004" s="150">
        <v>2.02</v>
      </c>
      <c r="AB4004" s="152"/>
      <c r="AC4004" s="152"/>
      <c r="AD4004" s="223">
        <v>33.831690000000002</v>
      </c>
      <c r="AE4004" s="223">
        <v>1.584908</v>
      </c>
      <c r="AF4004" s="223">
        <v>53.599837999999998</v>
      </c>
      <c r="AG4004" s="223">
        <v>1.0179986000000001</v>
      </c>
      <c r="AH4004" s="341"/>
      <c r="AI4004" s="218"/>
      <c r="AJ4004" s="218"/>
      <c r="AK4004" s="153"/>
      <c r="AL4004" s="152"/>
      <c r="AM4004" s="152"/>
      <c r="AN4004" s="152"/>
      <c r="AO4004" s="152"/>
      <c r="AP4004" s="152"/>
      <c r="AQ4004" s="152"/>
      <c r="AR4004" s="152"/>
      <c r="AS4004" s="152"/>
      <c r="AT4004" s="152"/>
      <c r="AU4004" s="153"/>
      <c r="AV4004" s="479"/>
      <c r="AW4004" s="479"/>
      <c r="AX4004" s="442"/>
      <c r="AY4004" s="153"/>
      <c r="AZ4004" s="152"/>
      <c r="BA4004" s="152"/>
      <c r="BB4004" s="152"/>
      <c r="BC4004" s="152"/>
      <c r="BD4004" s="152"/>
      <c r="BE4004" s="152"/>
      <c r="BF4004" s="152"/>
      <c r="BG4004" s="152"/>
      <c r="BH4004" s="152"/>
      <c r="BI4004" s="153"/>
      <c r="BJ4004" s="153"/>
      <c r="BK4004" s="153"/>
      <c r="BL4004" s="153"/>
      <c r="BM4004" s="153"/>
      <c r="BN4004" s="153"/>
      <c r="BO4004" s="153"/>
      <c r="BP4004" s="153"/>
      <c r="BQ4004" s="153"/>
      <c r="BR4004" s="153"/>
      <c r="BS4004" s="153"/>
      <c r="BT4004" s="153"/>
      <c r="BU4004" s="153"/>
      <c r="BV4004" s="153"/>
      <c r="BW4004" s="153"/>
      <c r="BX4004" s="153"/>
      <c r="BY4004" s="153"/>
      <c r="BZ4004" s="153"/>
      <c r="CA4004" s="152"/>
      <c r="CB4004" s="152"/>
    </row>
    <row r="4005" spans="1:80" s="87" customFormat="1" x14ac:dyDescent="0.2">
      <c r="A4005" s="152"/>
      <c r="B4005" s="683"/>
      <c r="C4005" s="683"/>
      <c r="D4005" s="698"/>
      <c r="E4005" s="215"/>
      <c r="F4005" s="215"/>
      <c r="G4005" s="153"/>
      <c r="H4005" s="153"/>
      <c r="I4005" s="153"/>
      <c r="J4005" s="153"/>
      <c r="K4005" s="153"/>
      <c r="L4005" s="653"/>
      <c r="M4005" s="663">
        <v>31526</v>
      </c>
      <c r="N4005" s="600">
        <v>48.414700000000003</v>
      </c>
      <c r="O4005" s="604">
        <v>0.29387999999999997</v>
      </c>
      <c r="P4005" s="250"/>
      <c r="Q4005" s="250">
        <v>1.3999999999999999E-2</v>
      </c>
      <c r="R4005" s="250">
        <v>2E-3</v>
      </c>
      <c r="S4005" s="250">
        <v>8.0000000000000002E-3</v>
      </c>
      <c r="T4005" s="250">
        <v>1.8000000000000002E-2</v>
      </c>
      <c r="U4005" s="250">
        <v>0.04</v>
      </c>
      <c r="V4005" s="250">
        <v>0.248</v>
      </c>
      <c r="W4005" s="250">
        <v>0.47200000000000003</v>
      </c>
      <c r="X4005" s="250">
        <v>0.193</v>
      </c>
      <c r="Y4005" s="250">
        <v>5.0000000000000001E-3</v>
      </c>
      <c r="Z4005" s="150"/>
      <c r="AA4005" s="150">
        <v>0.78</v>
      </c>
      <c r="AB4005" s="152"/>
      <c r="AC4005" s="152"/>
      <c r="AD4005" s="223">
        <v>33.222110000000001</v>
      </c>
      <c r="AE4005" s="223">
        <v>1.4965189000000001</v>
      </c>
      <c r="AF4005" s="223">
        <v>49.69829</v>
      </c>
      <c r="AG4005" s="223">
        <v>0.97532799999999997</v>
      </c>
      <c r="AH4005" s="341"/>
      <c r="AI4005" s="218"/>
      <c r="AJ4005" s="218"/>
      <c r="AK4005" s="153"/>
      <c r="AL4005" s="152"/>
      <c r="AM4005" s="152"/>
      <c r="AN4005" s="152"/>
      <c r="AO4005" s="152"/>
      <c r="AP4005" s="152"/>
      <c r="AQ4005" s="152"/>
      <c r="AR4005" s="152"/>
      <c r="AS4005" s="152"/>
      <c r="AT4005" s="152"/>
      <c r="AU4005" s="153"/>
      <c r="AV4005" s="479"/>
      <c r="AW4005" s="479"/>
      <c r="AX4005" s="442"/>
      <c r="AY4005" s="153"/>
      <c r="AZ4005" s="152"/>
      <c r="BA4005" s="152"/>
      <c r="BB4005" s="152"/>
      <c r="BC4005" s="152"/>
      <c r="BD4005" s="152"/>
      <c r="BE4005" s="152"/>
      <c r="BF4005" s="152"/>
      <c r="BG4005" s="152"/>
      <c r="BH4005" s="152"/>
      <c r="BI4005" s="153"/>
      <c r="BJ4005" s="153"/>
      <c r="BK4005" s="153"/>
      <c r="BL4005" s="153"/>
      <c r="BM4005" s="153"/>
      <c r="BN4005" s="153"/>
      <c r="BO4005" s="153"/>
      <c r="BP4005" s="153"/>
      <c r="BQ4005" s="153"/>
      <c r="BR4005" s="153"/>
      <c r="BS4005" s="153"/>
      <c r="BT4005" s="153"/>
      <c r="BU4005" s="153"/>
      <c r="BV4005" s="153"/>
      <c r="BW4005" s="153"/>
      <c r="BX4005" s="153"/>
      <c r="BY4005" s="153"/>
      <c r="BZ4005" s="153"/>
      <c r="CA4005" s="152"/>
      <c r="CB4005" s="152"/>
    </row>
    <row r="4006" spans="1:80" s="87" customFormat="1" x14ac:dyDescent="0.2">
      <c r="A4006" s="152"/>
      <c r="B4006" s="683"/>
      <c r="C4006" s="683"/>
      <c r="D4006" s="698"/>
      <c r="E4006" s="215"/>
      <c r="F4006" s="215"/>
      <c r="G4006" s="153"/>
      <c r="H4006" s="153"/>
      <c r="I4006" s="153"/>
      <c r="J4006" s="153"/>
      <c r="K4006" s="153"/>
      <c r="L4006" s="653"/>
      <c r="M4006" s="663">
        <v>31527</v>
      </c>
      <c r="N4006" s="600">
        <v>45.583399999999997</v>
      </c>
      <c r="O4006" s="604">
        <v>0.37784600000000002</v>
      </c>
      <c r="P4006" s="250"/>
      <c r="Q4006" s="250"/>
      <c r="R4006" s="250"/>
      <c r="S4006" s="250">
        <v>3.0000000000000001E-3</v>
      </c>
      <c r="T4006" s="250">
        <v>6.9999999999999993E-3</v>
      </c>
      <c r="U4006" s="250">
        <v>9.3000000000000013E-2</v>
      </c>
      <c r="V4006" s="250">
        <v>0.36</v>
      </c>
      <c r="W4006" s="250">
        <v>0.4</v>
      </c>
      <c r="X4006" s="250">
        <v>0.13200000000000001</v>
      </c>
      <c r="Y4006" s="250">
        <v>5.0000000000000001E-3</v>
      </c>
      <c r="Z4006" s="150"/>
      <c r="AA4006" s="150">
        <v>0.94</v>
      </c>
      <c r="AB4006" s="152"/>
      <c r="AC4006" s="152"/>
      <c r="AD4006" s="223">
        <v>32.61253</v>
      </c>
      <c r="AE4006" s="223">
        <v>1.4995668</v>
      </c>
      <c r="AF4006" s="223">
        <v>48.862243999999997</v>
      </c>
      <c r="AG4006" s="223">
        <v>0.93265739999999997</v>
      </c>
      <c r="AH4006" s="341"/>
      <c r="AI4006" s="218"/>
      <c r="AJ4006" s="218"/>
      <c r="AK4006" s="153"/>
      <c r="AL4006" s="152"/>
      <c r="AM4006" s="152"/>
      <c r="AN4006" s="152"/>
      <c r="AO4006" s="152"/>
      <c r="AP4006" s="152"/>
      <c r="AQ4006" s="152"/>
      <c r="AR4006" s="152"/>
      <c r="AS4006" s="152"/>
      <c r="AT4006" s="152"/>
      <c r="AU4006" s="153"/>
      <c r="AV4006" s="479"/>
      <c r="AW4006" s="479"/>
      <c r="AX4006" s="442"/>
      <c r="AY4006" s="153"/>
      <c r="AZ4006" s="152"/>
      <c r="BA4006" s="152"/>
      <c r="BB4006" s="152"/>
      <c r="BC4006" s="152"/>
      <c r="BD4006" s="152"/>
      <c r="BE4006" s="152"/>
      <c r="BF4006" s="152"/>
      <c r="BG4006" s="152"/>
      <c r="BH4006" s="152"/>
      <c r="BI4006" s="153"/>
      <c r="BJ4006" s="153"/>
      <c r="BK4006" s="153"/>
      <c r="BL4006" s="153"/>
      <c r="BM4006" s="153"/>
      <c r="BN4006" s="153"/>
      <c r="BO4006" s="153"/>
      <c r="BP4006" s="153"/>
      <c r="BQ4006" s="153"/>
      <c r="BR4006" s="153"/>
      <c r="BS4006" s="153"/>
      <c r="BT4006" s="153"/>
      <c r="BU4006" s="153"/>
      <c r="BV4006" s="153"/>
      <c r="BW4006" s="153"/>
      <c r="BX4006" s="153"/>
      <c r="BY4006" s="153"/>
      <c r="BZ4006" s="153"/>
      <c r="CA4006" s="152"/>
      <c r="CB4006" s="152"/>
    </row>
    <row r="4007" spans="1:80" s="87" customFormat="1" x14ac:dyDescent="0.2">
      <c r="A4007" s="152"/>
      <c r="B4007" s="683"/>
      <c r="C4007" s="683"/>
      <c r="D4007" s="698"/>
      <c r="E4007" s="215"/>
      <c r="F4007" s="215"/>
      <c r="G4007" s="153"/>
      <c r="H4007" s="153"/>
      <c r="I4007" s="153"/>
      <c r="J4007" s="153"/>
      <c r="K4007" s="153"/>
      <c r="L4007" s="653"/>
      <c r="M4007" s="663">
        <v>31531</v>
      </c>
      <c r="N4007" s="600">
        <v>31.7102</v>
      </c>
      <c r="O4007" s="604">
        <v>0.230906</v>
      </c>
      <c r="P4007" s="250"/>
      <c r="Q4007" s="250"/>
      <c r="R4007" s="250"/>
      <c r="S4007" s="250">
        <v>3.0000000000000001E-3</v>
      </c>
      <c r="T4007" s="250">
        <v>4.0000000000000001E-3</v>
      </c>
      <c r="U4007" s="250">
        <v>8.8000000000000009E-2</v>
      </c>
      <c r="V4007" s="250">
        <v>0.41</v>
      </c>
      <c r="W4007" s="250">
        <v>0.40399999999999997</v>
      </c>
      <c r="X4007" s="250">
        <v>8.8000000000000009E-2</v>
      </c>
      <c r="Y4007" s="250">
        <v>3.0000000000000001E-3</v>
      </c>
      <c r="Z4007" s="150"/>
      <c r="AA4007" s="150">
        <v>1.01</v>
      </c>
      <c r="AB4007" s="152"/>
      <c r="AC4007" s="152"/>
      <c r="AD4007" s="223">
        <v>32.307740000000003</v>
      </c>
      <c r="AE4007" s="223">
        <v>1.2374474</v>
      </c>
      <c r="AF4007" s="223">
        <v>39.944420000000001</v>
      </c>
      <c r="AG4007" s="223">
        <v>0.79245399999999999</v>
      </c>
      <c r="AH4007" s="341"/>
      <c r="AI4007" s="218"/>
      <c r="AJ4007" s="218"/>
      <c r="AK4007" s="153"/>
      <c r="AL4007" s="152"/>
      <c r="AM4007" s="152"/>
      <c r="AN4007" s="152"/>
      <c r="AO4007" s="152"/>
      <c r="AP4007" s="152"/>
      <c r="AQ4007" s="152"/>
      <c r="AR4007" s="152"/>
      <c r="AS4007" s="152"/>
      <c r="AT4007" s="152"/>
      <c r="AU4007" s="153"/>
      <c r="AV4007" s="479"/>
      <c r="AW4007" s="479"/>
      <c r="AX4007" s="442"/>
      <c r="AY4007" s="153"/>
      <c r="AZ4007" s="152"/>
      <c r="BA4007" s="152"/>
      <c r="BB4007" s="152"/>
      <c r="BC4007" s="152"/>
      <c r="BD4007" s="152"/>
      <c r="BE4007" s="152"/>
      <c r="BF4007" s="152"/>
      <c r="BG4007" s="152"/>
      <c r="BH4007" s="152"/>
      <c r="BI4007" s="153"/>
      <c r="BJ4007" s="153"/>
      <c r="BK4007" s="153"/>
      <c r="BL4007" s="153"/>
      <c r="BM4007" s="153"/>
      <c r="BN4007" s="153"/>
      <c r="BO4007" s="153"/>
      <c r="BP4007" s="153"/>
      <c r="BQ4007" s="153"/>
      <c r="BR4007" s="153"/>
      <c r="BS4007" s="153"/>
      <c r="BT4007" s="153"/>
      <c r="BU4007" s="153"/>
      <c r="BV4007" s="153"/>
      <c r="BW4007" s="153"/>
      <c r="BX4007" s="153"/>
      <c r="BY4007" s="153"/>
      <c r="BZ4007" s="153"/>
      <c r="CA4007" s="152"/>
      <c r="CB4007" s="152"/>
    </row>
    <row r="4008" spans="1:80" s="87" customFormat="1" x14ac:dyDescent="0.2">
      <c r="A4008" s="152"/>
      <c r="B4008" s="683"/>
      <c r="C4008" s="683"/>
      <c r="D4008" s="698"/>
      <c r="E4008" s="215"/>
      <c r="F4008" s="215"/>
      <c r="G4008" s="153"/>
      <c r="H4008" s="153"/>
      <c r="I4008" s="153"/>
      <c r="J4008" s="153"/>
      <c r="K4008" s="153"/>
      <c r="L4008" s="653"/>
      <c r="M4008" s="663">
        <v>31552</v>
      </c>
      <c r="N4008" s="600">
        <v>50.679699999999997</v>
      </c>
      <c r="O4008" s="604">
        <v>0.43032399999999998</v>
      </c>
      <c r="P4008" s="250"/>
      <c r="Q4008" s="250"/>
      <c r="R4008" s="250">
        <v>6.9999999999999993E-3</v>
      </c>
      <c r="S4008" s="250">
        <v>5.0000000000000001E-3</v>
      </c>
      <c r="T4008" s="250">
        <v>1.3000000000000001E-2</v>
      </c>
      <c r="U4008" s="250">
        <v>6.8000000000000005E-2</v>
      </c>
      <c r="V4008" s="250">
        <v>0.27</v>
      </c>
      <c r="W4008" s="250">
        <v>0.46700000000000003</v>
      </c>
      <c r="X4008" s="250">
        <v>0.16399999999999998</v>
      </c>
      <c r="Y4008" s="250">
        <v>6.0000000000000001E-3</v>
      </c>
      <c r="Z4008" s="150"/>
      <c r="AA4008" s="150">
        <v>0.82</v>
      </c>
      <c r="AB4008" s="152"/>
      <c r="AC4008" s="152"/>
      <c r="AD4008" s="223">
        <v>33.526899999999998</v>
      </c>
      <c r="AE4008" s="223">
        <v>1.5026147000000001</v>
      </c>
      <c r="AF4008" s="223">
        <v>50.348548000000001</v>
      </c>
      <c r="AG4008" s="223">
        <v>1.0058069999999999</v>
      </c>
      <c r="AH4008" s="341"/>
      <c r="AI4008" s="218"/>
      <c r="AJ4008" s="218"/>
      <c r="AK4008" s="153"/>
      <c r="AL4008" s="152"/>
      <c r="AM4008" s="152"/>
      <c r="AN4008" s="152"/>
      <c r="AO4008" s="152"/>
      <c r="AP4008" s="152"/>
      <c r="AQ4008" s="152"/>
      <c r="AR4008" s="152"/>
      <c r="AS4008" s="152"/>
      <c r="AT4008" s="152"/>
      <c r="AU4008" s="153"/>
      <c r="AV4008" s="479"/>
      <c r="AW4008" s="479"/>
      <c r="AX4008" s="442"/>
      <c r="AY4008" s="153"/>
      <c r="AZ4008" s="152"/>
      <c r="BA4008" s="152"/>
      <c r="BB4008" s="152"/>
      <c r="BC4008" s="152"/>
      <c r="BD4008" s="152"/>
      <c r="BE4008" s="152"/>
      <c r="BF4008" s="152"/>
      <c r="BG4008" s="152"/>
      <c r="BH4008" s="152"/>
      <c r="BI4008" s="153"/>
      <c r="BJ4008" s="153"/>
      <c r="BK4008" s="153"/>
      <c r="BL4008" s="153"/>
      <c r="BM4008" s="153"/>
      <c r="BN4008" s="153"/>
      <c r="BO4008" s="153"/>
      <c r="BP4008" s="153"/>
      <c r="BQ4008" s="153"/>
      <c r="BR4008" s="153"/>
      <c r="BS4008" s="153"/>
      <c r="BT4008" s="153"/>
      <c r="BU4008" s="153"/>
      <c r="BV4008" s="153"/>
      <c r="BW4008" s="153"/>
      <c r="BX4008" s="153"/>
      <c r="BY4008" s="153"/>
      <c r="BZ4008" s="153"/>
      <c r="CA4008" s="152"/>
      <c r="CB4008" s="152"/>
    </row>
    <row r="4009" spans="1:80" s="87" customFormat="1" x14ac:dyDescent="0.2">
      <c r="A4009" s="152"/>
      <c r="B4009" s="683"/>
      <c r="C4009" s="683"/>
      <c r="D4009" s="698"/>
      <c r="E4009" s="215"/>
      <c r="F4009" s="215"/>
      <c r="G4009" s="153"/>
      <c r="H4009" s="153"/>
      <c r="I4009" s="153"/>
      <c r="J4009" s="153"/>
      <c r="K4009" s="153"/>
      <c r="L4009" s="653"/>
      <c r="M4009" s="663">
        <v>31553</v>
      </c>
      <c r="N4009" s="600">
        <v>63.420499999999997</v>
      </c>
      <c r="O4009" s="604">
        <v>1.123041</v>
      </c>
      <c r="P4009" s="250"/>
      <c r="Q4009" s="250"/>
      <c r="R4009" s="250">
        <v>1E-3</v>
      </c>
      <c r="S4009" s="250">
        <v>3.0000000000000001E-3</v>
      </c>
      <c r="T4009" s="250">
        <v>2.2000000000000002E-2</v>
      </c>
      <c r="U4009" s="250">
        <v>0.1</v>
      </c>
      <c r="V4009" s="250">
        <v>0.26500000000000001</v>
      </c>
      <c r="W4009" s="250">
        <v>0.41200000000000003</v>
      </c>
      <c r="X4009" s="250">
        <v>0.18899999999999997</v>
      </c>
      <c r="Y4009" s="250">
        <v>8.0000000000000002E-3</v>
      </c>
      <c r="Z4009" s="150"/>
      <c r="AA4009" s="150">
        <v>0.83</v>
      </c>
      <c r="AB4009" s="152"/>
      <c r="AC4009" s="152"/>
      <c r="AD4009" s="223">
        <v>34.441270000000003</v>
      </c>
      <c r="AE4009" s="223">
        <v>1.6519618</v>
      </c>
      <c r="AF4009" s="223">
        <v>56.851128000000003</v>
      </c>
      <c r="AG4009" s="223">
        <v>1.1155314000000001</v>
      </c>
      <c r="AH4009" s="341"/>
      <c r="AI4009" s="218"/>
      <c r="AJ4009" s="218"/>
      <c r="AK4009" s="153"/>
      <c r="AL4009" s="152"/>
      <c r="AM4009" s="152"/>
      <c r="AN4009" s="152"/>
      <c r="AO4009" s="152"/>
      <c r="AP4009" s="152"/>
      <c r="AQ4009" s="152"/>
      <c r="AR4009" s="152"/>
      <c r="AS4009" s="152"/>
      <c r="AT4009" s="152"/>
      <c r="AU4009" s="153"/>
      <c r="AV4009" s="479"/>
      <c r="AW4009" s="479"/>
      <c r="AX4009" s="442"/>
      <c r="AY4009" s="153"/>
      <c r="AZ4009" s="152"/>
      <c r="BA4009" s="152"/>
      <c r="BB4009" s="152"/>
      <c r="BC4009" s="152"/>
      <c r="BD4009" s="152"/>
      <c r="BE4009" s="152"/>
      <c r="BF4009" s="152"/>
      <c r="BG4009" s="152"/>
      <c r="BH4009" s="152"/>
      <c r="BI4009" s="153"/>
      <c r="BJ4009" s="153"/>
      <c r="BK4009" s="153"/>
      <c r="BL4009" s="153"/>
      <c r="BM4009" s="153"/>
      <c r="BN4009" s="153"/>
      <c r="BO4009" s="153"/>
      <c r="BP4009" s="153"/>
      <c r="BQ4009" s="153"/>
      <c r="BR4009" s="153"/>
      <c r="BS4009" s="153"/>
      <c r="BT4009" s="153"/>
      <c r="BU4009" s="153"/>
      <c r="BV4009" s="153"/>
      <c r="BW4009" s="153"/>
      <c r="BX4009" s="153"/>
      <c r="BY4009" s="153"/>
      <c r="BZ4009" s="153"/>
      <c r="CA4009" s="152"/>
      <c r="CB4009" s="152"/>
    </row>
    <row r="4010" spans="1:80" s="87" customFormat="1" x14ac:dyDescent="0.2">
      <c r="A4010" s="152"/>
      <c r="B4010" s="683"/>
      <c r="C4010" s="683"/>
      <c r="D4010" s="698"/>
      <c r="E4010" s="215"/>
      <c r="F4010" s="215"/>
      <c r="G4010" s="153"/>
      <c r="H4010" s="153"/>
      <c r="I4010" s="153"/>
      <c r="J4010" s="153"/>
      <c r="K4010" s="153"/>
      <c r="L4010" s="653"/>
      <c r="M4010" s="663">
        <v>31554</v>
      </c>
      <c r="N4010" s="600">
        <v>54.360399999999998</v>
      </c>
      <c r="O4010" s="604">
        <v>0.78717899999999996</v>
      </c>
      <c r="P4010" s="250"/>
      <c r="Q4010" s="250"/>
      <c r="R4010" s="250">
        <v>5.0000000000000001E-3</v>
      </c>
      <c r="S4010" s="250">
        <v>3.0000000000000001E-3</v>
      </c>
      <c r="T4010" s="250">
        <v>8.0000000000000002E-3</v>
      </c>
      <c r="U4010" s="250">
        <v>4.9000000000000002E-2</v>
      </c>
      <c r="V4010" s="250">
        <v>0.249</v>
      </c>
      <c r="W4010" s="250">
        <v>0.48100000000000004</v>
      </c>
      <c r="X4010" s="250">
        <v>0.19899999999999998</v>
      </c>
      <c r="Y4010" s="250">
        <v>6.0000000000000001E-3</v>
      </c>
      <c r="Z4010" s="150"/>
      <c r="AA4010" s="150">
        <v>0.76</v>
      </c>
      <c r="AB4010" s="152"/>
      <c r="AC4010" s="152"/>
      <c r="AD4010" s="223">
        <v>34.136479999999999</v>
      </c>
      <c r="AE4010" s="223">
        <v>1.5757642999999999</v>
      </c>
      <c r="AF4010" s="223">
        <v>53.785626000000001</v>
      </c>
      <c r="AG4010" s="223">
        <v>1.0119028000000001</v>
      </c>
      <c r="AH4010" s="341"/>
      <c r="AI4010" s="218"/>
      <c r="AJ4010" s="218"/>
      <c r="AK4010" s="153"/>
      <c r="AL4010" s="152"/>
      <c r="AM4010" s="152"/>
      <c r="AN4010" s="152"/>
      <c r="AO4010" s="152"/>
      <c r="AP4010" s="152"/>
      <c r="AQ4010" s="152"/>
      <c r="AR4010" s="152"/>
      <c r="AS4010" s="152"/>
      <c r="AT4010" s="152"/>
      <c r="AU4010" s="153"/>
      <c r="AV4010" s="479"/>
      <c r="AW4010" s="479"/>
      <c r="AX4010" s="442"/>
      <c r="AY4010" s="153"/>
      <c r="AZ4010" s="152"/>
      <c r="BA4010" s="152"/>
      <c r="BB4010" s="152"/>
      <c r="BC4010" s="152"/>
      <c r="BD4010" s="152"/>
      <c r="BE4010" s="152"/>
      <c r="BF4010" s="152"/>
      <c r="BG4010" s="152"/>
      <c r="BH4010" s="152"/>
      <c r="BI4010" s="153"/>
      <c r="BJ4010" s="153"/>
      <c r="BK4010" s="153"/>
      <c r="BL4010" s="153"/>
      <c r="BM4010" s="153"/>
      <c r="BN4010" s="153"/>
      <c r="BO4010" s="153"/>
      <c r="BP4010" s="153"/>
      <c r="BQ4010" s="153"/>
      <c r="BR4010" s="153"/>
      <c r="BS4010" s="153"/>
      <c r="BT4010" s="153"/>
      <c r="BU4010" s="153"/>
      <c r="BV4010" s="153"/>
      <c r="BW4010" s="153"/>
      <c r="BX4010" s="153"/>
      <c r="BY4010" s="153"/>
      <c r="BZ4010" s="153"/>
      <c r="CA4010" s="152"/>
      <c r="CB4010" s="152"/>
    </row>
    <row r="4011" spans="1:80" s="87" customFormat="1" x14ac:dyDescent="0.2">
      <c r="A4011" s="152"/>
      <c r="B4011" s="683"/>
      <c r="C4011" s="683"/>
      <c r="D4011" s="698"/>
      <c r="E4011" s="215"/>
      <c r="F4011" s="215"/>
      <c r="G4011" s="153"/>
      <c r="H4011" s="153"/>
      <c r="I4011" s="153"/>
      <c r="J4011" s="153"/>
      <c r="K4011" s="153"/>
      <c r="L4011" s="653"/>
      <c r="M4011" s="663">
        <v>31555</v>
      </c>
      <c r="N4011" s="600">
        <v>49.547199999999997</v>
      </c>
      <c r="O4011" s="604">
        <v>0.51429000000000002</v>
      </c>
      <c r="P4011" s="250"/>
      <c r="Q4011" s="250"/>
      <c r="R4011" s="250">
        <v>1E-3</v>
      </c>
      <c r="S4011" s="250">
        <v>1E-3</v>
      </c>
      <c r="T4011" s="250">
        <v>8.0000000000000002E-3</v>
      </c>
      <c r="U4011" s="250">
        <v>3.7000000000000005E-2</v>
      </c>
      <c r="V4011" s="250">
        <v>0.29600000000000004</v>
      </c>
      <c r="W4011" s="250">
        <v>0.46799999999999997</v>
      </c>
      <c r="X4011" s="250">
        <v>0.14400000000000002</v>
      </c>
      <c r="Y4011" s="250">
        <v>4.4999999999999998E-2</v>
      </c>
      <c r="Z4011" s="150"/>
      <c r="AA4011" s="150">
        <v>0.79</v>
      </c>
      <c r="AB4011" s="152"/>
      <c r="AC4011" s="152"/>
      <c r="AD4011" s="223">
        <v>33.222110000000001</v>
      </c>
      <c r="AE4011" s="223">
        <v>1.4995668</v>
      </c>
      <c r="AF4011" s="223">
        <v>49.791184000000001</v>
      </c>
      <c r="AG4011" s="223">
        <v>0.99361540000000004</v>
      </c>
      <c r="AH4011" s="341"/>
      <c r="AI4011" s="218"/>
      <c r="AJ4011" s="218"/>
      <c r="AK4011" s="153"/>
      <c r="AL4011" s="152"/>
      <c r="AM4011" s="152"/>
      <c r="AN4011" s="152"/>
      <c r="AO4011" s="152"/>
      <c r="AP4011" s="152"/>
      <c r="AQ4011" s="152"/>
      <c r="AR4011" s="152"/>
      <c r="AS4011" s="152"/>
      <c r="AT4011" s="152"/>
      <c r="AU4011" s="153"/>
      <c r="AV4011" s="479"/>
      <c r="AW4011" s="479"/>
      <c r="AX4011" s="442"/>
      <c r="AY4011" s="153"/>
      <c r="AZ4011" s="152"/>
      <c r="BA4011" s="152"/>
      <c r="BB4011" s="152"/>
      <c r="BC4011" s="152"/>
      <c r="BD4011" s="152"/>
      <c r="BE4011" s="152"/>
      <c r="BF4011" s="152"/>
      <c r="BG4011" s="152"/>
      <c r="BH4011" s="152"/>
      <c r="BI4011" s="153"/>
      <c r="BJ4011" s="153"/>
      <c r="BK4011" s="153"/>
      <c r="BL4011" s="153"/>
      <c r="BM4011" s="153"/>
      <c r="BN4011" s="153"/>
      <c r="BO4011" s="153"/>
      <c r="BP4011" s="153"/>
      <c r="BQ4011" s="153"/>
      <c r="BR4011" s="153"/>
      <c r="BS4011" s="153"/>
      <c r="BT4011" s="153"/>
      <c r="BU4011" s="153"/>
      <c r="BV4011" s="153"/>
      <c r="BW4011" s="153"/>
      <c r="BX4011" s="153"/>
      <c r="BY4011" s="153"/>
      <c r="BZ4011" s="153"/>
      <c r="CA4011" s="152"/>
      <c r="CB4011" s="152"/>
    </row>
    <row r="4012" spans="1:80" s="87" customFormat="1" x14ac:dyDescent="0.2">
      <c r="A4012" s="152"/>
      <c r="B4012" s="683"/>
      <c r="C4012" s="683"/>
      <c r="D4012" s="698"/>
      <c r="E4012" s="215"/>
      <c r="F4012" s="215"/>
      <c r="G4012" s="153"/>
      <c r="H4012" s="153"/>
      <c r="I4012" s="153"/>
      <c r="J4012" s="153"/>
      <c r="K4012" s="153"/>
      <c r="L4012" s="653"/>
      <c r="M4012" s="663">
        <v>31557</v>
      </c>
      <c r="N4012" s="600">
        <v>48.697800000000001</v>
      </c>
      <c r="O4012" s="604">
        <v>0.93411900000000003</v>
      </c>
      <c r="P4012" s="250"/>
      <c r="Q4012" s="250"/>
      <c r="R4012" s="250"/>
      <c r="S4012" s="250">
        <v>6.0000000000000001E-3</v>
      </c>
      <c r="T4012" s="250">
        <v>7.0999999999999994E-2</v>
      </c>
      <c r="U4012" s="250">
        <v>0.21199999999999999</v>
      </c>
      <c r="V4012" s="250">
        <v>0.32899999999999996</v>
      </c>
      <c r="W4012" s="250">
        <v>0.28699999999999998</v>
      </c>
      <c r="X4012" s="250">
        <v>9.3000000000000013E-2</v>
      </c>
      <c r="Y4012" s="250">
        <v>2E-3</v>
      </c>
      <c r="Z4012" s="150"/>
      <c r="AA4012" s="150">
        <v>1.28</v>
      </c>
      <c r="AB4012" s="152"/>
      <c r="AC4012" s="152"/>
      <c r="AD4012" s="223"/>
      <c r="AE4012" s="223"/>
      <c r="AF4012" s="223"/>
      <c r="AG4012" s="223"/>
      <c r="AH4012" s="341"/>
      <c r="AI4012" s="218"/>
      <c r="AJ4012" s="218"/>
      <c r="AK4012" s="153"/>
      <c r="AL4012" s="152"/>
      <c r="AM4012" s="152"/>
      <c r="AN4012" s="152"/>
      <c r="AO4012" s="152"/>
      <c r="AP4012" s="152"/>
      <c r="AQ4012" s="152"/>
      <c r="AR4012" s="152"/>
      <c r="AS4012" s="152"/>
      <c r="AT4012" s="152"/>
      <c r="AU4012" s="153"/>
      <c r="AV4012" s="479"/>
      <c r="AW4012" s="479"/>
      <c r="AX4012" s="442"/>
      <c r="AY4012" s="153"/>
      <c r="AZ4012" s="152"/>
      <c r="BA4012" s="152"/>
      <c r="BB4012" s="152"/>
      <c r="BC4012" s="152"/>
      <c r="BD4012" s="152"/>
      <c r="BE4012" s="152"/>
      <c r="BF4012" s="152"/>
      <c r="BG4012" s="152"/>
      <c r="BH4012" s="152"/>
      <c r="BI4012" s="153"/>
      <c r="BJ4012" s="153"/>
      <c r="BK4012" s="153"/>
      <c r="BL4012" s="153"/>
      <c r="BM4012" s="153"/>
      <c r="BN4012" s="153"/>
      <c r="BO4012" s="153"/>
      <c r="BP4012" s="153"/>
      <c r="BQ4012" s="153"/>
      <c r="BR4012" s="153"/>
      <c r="BS4012" s="153"/>
      <c r="BT4012" s="153"/>
      <c r="BU4012" s="153"/>
      <c r="BV4012" s="153"/>
      <c r="BW4012" s="153"/>
      <c r="BX4012" s="153"/>
      <c r="BY4012" s="153"/>
      <c r="BZ4012" s="153"/>
      <c r="CA4012" s="152"/>
      <c r="CB4012" s="152"/>
    </row>
    <row r="4013" spans="1:80" s="87" customFormat="1" x14ac:dyDescent="0.2">
      <c r="A4013" s="152"/>
      <c r="B4013" s="683"/>
      <c r="C4013" s="683"/>
      <c r="D4013" s="698"/>
      <c r="E4013" s="215"/>
      <c r="F4013" s="215"/>
      <c r="G4013" s="153"/>
      <c r="H4013" s="153"/>
      <c r="I4013" s="153"/>
      <c r="J4013" s="153"/>
      <c r="K4013" s="153"/>
      <c r="L4013" s="653"/>
      <c r="M4013" s="663">
        <v>31558</v>
      </c>
      <c r="N4013" s="600">
        <v>65.402299999999997</v>
      </c>
      <c r="O4013" s="604">
        <v>1.773776</v>
      </c>
      <c r="P4013" s="250"/>
      <c r="Q4013" s="250"/>
      <c r="R4013" s="250">
        <v>2E-3</v>
      </c>
      <c r="S4013" s="250">
        <v>1.1000000000000001E-2</v>
      </c>
      <c r="T4013" s="250">
        <v>9.9000000000000005E-2</v>
      </c>
      <c r="U4013" s="250">
        <v>0.28300000000000003</v>
      </c>
      <c r="V4013" s="250">
        <v>0.26800000000000002</v>
      </c>
      <c r="W4013" s="250">
        <v>0.20800000000000002</v>
      </c>
      <c r="X4013" s="250">
        <v>0.12</v>
      </c>
      <c r="Y4013" s="250">
        <v>9.0000000000000011E-3</v>
      </c>
      <c r="Z4013" s="150"/>
      <c r="AA4013" s="150">
        <v>1.52</v>
      </c>
      <c r="AB4013" s="152"/>
      <c r="AC4013" s="152"/>
      <c r="AD4013" s="223">
        <v>34.441270000000003</v>
      </c>
      <c r="AE4013" s="223">
        <v>1.6397702000000001</v>
      </c>
      <c r="AF4013" s="223">
        <v>56.479551999999998</v>
      </c>
      <c r="AG4013" s="223">
        <v>1.158202</v>
      </c>
      <c r="AH4013" s="341"/>
      <c r="AI4013" s="218"/>
      <c r="AJ4013" s="218"/>
      <c r="AK4013" s="153"/>
      <c r="AL4013" s="152"/>
      <c r="AM4013" s="152"/>
      <c r="AN4013" s="152"/>
      <c r="AO4013" s="152"/>
      <c r="AP4013" s="152"/>
      <c r="AQ4013" s="152"/>
      <c r="AR4013" s="152"/>
      <c r="AS4013" s="152"/>
      <c r="AT4013" s="152"/>
      <c r="AU4013" s="153"/>
      <c r="AV4013" s="479"/>
      <c r="AW4013" s="479"/>
      <c r="AX4013" s="442"/>
      <c r="AY4013" s="153"/>
      <c r="AZ4013" s="152"/>
      <c r="BA4013" s="152"/>
      <c r="BB4013" s="152"/>
      <c r="BC4013" s="152"/>
      <c r="BD4013" s="152"/>
      <c r="BE4013" s="152"/>
      <c r="BF4013" s="152"/>
      <c r="BG4013" s="152"/>
      <c r="BH4013" s="152"/>
      <c r="BI4013" s="153"/>
      <c r="BJ4013" s="153"/>
      <c r="BK4013" s="153"/>
      <c r="BL4013" s="153"/>
      <c r="BM4013" s="153"/>
      <c r="BN4013" s="153"/>
      <c r="BO4013" s="153"/>
      <c r="BP4013" s="153"/>
      <c r="BQ4013" s="153"/>
      <c r="BR4013" s="153"/>
      <c r="BS4013" s="153"/>
      <c r="BT4013" s="153"/>
      <c r="BU4013" s="153"/>
      <c r="BV4013" s="153"/>
      <c r="BW4013" s="153"/>
      <c r="BX4013" s="153"/>
      <c r="BY4013" s="153"/>
      <c r="BZ4013" s="153"/>
      <c r="CA4013" s="152"/>
      <c r="CB4013" s="152"/>
    </row>
    <row r="4014" spans="1:80" s="87" customFormat="1" x14ac:dyDescent="0.2">
      <c r="A4014" s="152"/>
      <c r="B4014" s="683"/>
      <c r="C4014" s="683"/>
      <c r="D4014" s="698"/>
      <c r="E4014" s="215"/>
      <c r="F4014" s="215"/>
      <c r="G4014" s="153"/>
      <c r="H4014" s="153"/>
      <c r="I4014" s="153"/>
      <c r="J4014" s="153"/>
      <c r="K4014" s="153"/>
      <c r="L4014" s="653"/>
      <c r="M4014" s="663">
        <v>31559</v>
      </c>
      <c r="N4014" s="600">
        <v>91.45</v>
      </c>
      <c r="O4014" s="604">
        <v>3.0017740000000002</v>
      </c>
      <c r="P4014" s="250"/>
      <c r="Q4014" s="250"/>
      <c r="R4014" s="250">
        <v>2E-3</v>
      </c>
      <c r="S4014" s="250">
        <v>6.0000000000000001E-3</v>
      </c>
      <c r="T4014" s="250">
        <v>4.2999999999999997E-2</v>
      </c>
      <c r="U4014" s="250">
        <v>0.20199999999999999</v>
      </c>
      <c r="V4014" s="250">
        <v>0.316</v>
      </c>
      <c r="W4014" s="250">
        <v>0.28699999999999998</v>
      </c>
      <c r="X4014" s="250">
        <v>0.13600000000000001</v>
      </c>
      <c r="Y4014" s="250">
        <v>8.0000000000000002E-3</v>
      </c>
      <c r="Z4014" s="150"/>
      <c r="AA4014" s="150">
        <v>1.1599999999999999</v>
      </c>
      <c r="AB4014" s="152"/>
      <c r="AC4014" s="152"/>
      <c r="AD4014" s="223">
        <v>35.050849999999997</v>
      </c>
      <c r="AE4014" s="223">
        <v>1.9171290999999999</v>
      </c>
      <c r="AF4014" s="223">
        <v>67.162362000000002</v>
      </c>
      <c r="AG4014" s="223">
        <v>1.3624113</v>
      </c>
      <c r="AH4014" s="341"/>
      <c r="AI4014" s="218"/>
      <c r="AJ4014" s="218"/>
      <c r="AK4014" s="153"/>
      <c r="AL4014" s="152"/>
      <c r="AM4014" s="152"/>
      <c r="AN4014" s="152"/>
      <c r="AO4014" s="152"/>
      <c r="AP4014" s="152"/>
      <c r="AQ4014" s="152"/>
      <c r="AR4014" s="152"/>
      <c r="AS4014" s="152"/>
      <c r="AT4014" s="152"/>
      <c r="AU4014" s="153"/>
      <c r="AV4014" s="479"/>
      <c r="AW4014" s="479"/>
      <c r="AX4014" s="442"/>
      <c r="AY4014" s="153"/>
      <c r="AZ4014" s="152"/>
      <c r="BA4014" s="152"/>
      <c r="BB4014" s="152"/>
      <c r="BC4014" s="152"/>
      <c r="BD4014" s="152"/>
      <c r="BE4014" s="152"/>
      <c r="BF4014" s="152"/>
      <c r="BG4014" s="152"/>
      <c r="BH4014" s="152"/>
      <c r="BI4014" s="153"/>
      <c r="BJ4014" s="153"/>
      <c r="BK4014" s="153"/>
      <c r="BL4014" s="153"/>
      <c r="BM4014" s="153"/>
      <c r="BN4014" s="153"/>
      <c r="BO4014" s="153"/>
      <c r="BP4014" s="153"/>
      <c r="BQ4014" s="153"/>
      <c r="BR4014" s="153"/>
      <c r="BS4014" s="153"/>
      <c r="BT4014" s="153"/>
      <c r="BU4014" s="153"/>
      <c r="BV4014" s="153"/>
      <c r="BW4014" s="153"/>
      <c r="BX4014" s="153"/>
      <c r="BY4014" s="153"/>
      <c r="BZ4014" s="153"/>
      <c r="CA4014" s="152"/>
      <c r="CB4014" s="152"/>
    </row>
    <row r="4015" spans="1:80" s="87" customFormat="1" x14ac:dyDescent="0.2">
      <c r="A4015" s="152"/>
      <c r="B4015" s="683"/>
      <c r="C4015" s="683"/>
      <c r="D4015" s="698"/>
      <c r="E4015" s="215"/>
      <c r="F4015" s="215"/>
      <c r="G4015" s="153"/>
      <c r="H4015" s="153"/>
      <c r="I4015" s="153"/>
      <c r="J4015" s="153"/>
      <c r="K4015" s="153"/>
      <c r="L4015" s="653"/>
      <c r="M4015" s="663">
        <v>31561</v>
      </c>
      <c r="N4015" s="600">
        <v>121.745</v>
      </c>
      <c r="O4015" s="604">
        <v>4.7650550000000003</v>
      </c>
      <c r="P4015" s="250"/>
      <c r="Q4015" s="250"/>
      <c r="R4015" s="250">
        <v>1.2E-2</v>
      </c>
      <c r="S4015" s="250">
        <v>2.2000000000000002E-2</v>
      </c>
      <c r="T4015" s="250">
        <v>6.5000000000000002E-2</v>
      </c>
      <c r="U4015" s="250">
        <v>0.151</v>
      </c>
      <c r="V4015" s="250">
        <v>0.27200000000000002</v>
      </c>
      <c r="W4015" s="250">
        <v>0.308</v>
      </c>
      <c r="X4015" s="250">
        <v>0.16200000000000001</v>
      </c>
      <c r="Y4015" s="250">
        <v>8.0000000000000002E-3</v>
      </c>
      <c r="Z4015" s="150"/>
      <c r="AA4015" s="150">
        <v>1.06</v>
      </c>
      <c r="AB4015" s="152"/>
      <c r="AC4015" s="152"/>
      <c r="AD4015" s="223">
        <v>35.050849999999997</v>
      </c>
      <c r="AE4015" s="223">
        <v>2.2463023</v>
      </c>
      <c r="AF4015" s="223">
        <v>78.681218000000001</v>
      </c>
      <c r="AG4015" s="223">
        <v>1.5483332000000001</v>
      </c>
      <c r="AH4015" s="341"/>
      <c r="AI4015" s="218"/>
      <c r="AJ4015" s="218"/>
      <c r="AK4015" s="153"/>
      <c r="AL4015" s="152"/>
      <c r="AM4015" s="152"/>
      <c r="AN4015" s="152"/>
      <c r="AO4015" s="152"/>
      <c r="AP4015" s="152"/>
      <c r="AQ4015" s="152"/>
      <c r="AR4015" s="152"/>
      <c r="AS4015" s="152"/>
      <c r="AT4015" s="152"/>
      <c r="AU4015" s="153"/>
      <c r="AV4015" s="479"/>
      <c r="AW4015" s="479"/>
      <c r="AX4015" s="442"/>
      <c r="AY4015" s="153"/>
      <c r="AZ4015" s="152"/>
      <c r="BA4015" s="152"/>
      <c r="BB4015" s="152"/>
      <c r="BC4015" s="152"/>
      <c r="BD4015" s="152"/>
      <c r="BE4015" s="152"/>
      <c r="BF4015" s="152"/>
      <c r="BG4015" s="152"/>
      <c r="BH4015" s="152"/>
      <c r="BI4015" s="153"/>
      <c r="BJ4015" s="153"/>
      <c r="BK4015" s="153"/>
      <c r="BL4015" s="153"/>
      <c r="BM4015" s="153"/>
      <c r="BN4015" s="153"/>
      <c r="BO4015" s="153"/>
      <c r="BP4015" s="153"/>
      <c r="BQ4015" s="153"/>
      <c r="BR4015" s="153"/>
      <c r="BS4015" s="153"/>
      <c r="BT4015" s="153"/>
      <c r="BU4015" s="153"/>
      <c r="BV4015" s="153"/>
      <c r="BW4015" s="153"/>
      <c r="BX4015" s="153"/>
      <c r="BY4015" s="153"/>
      <c r="BZ4015" s="153"/>
      <c r="CA4015" s="152"/>
      <c r="CB4015" s="152"/>
    </row>
    <row r="4016" spans="1:80" s="87" customFormat="1" x14ac:dyDescent="0.2">
      <c r="A4016" s="152"/>
      <c r="B4016" s="683"/>
      <c r="C4016" s="683"/>
      <c r="D4016" s="698"/>
      <c r="E4016" s="215"/>
      <c r="F4016" s="215"/>
      <c r="G4016" s="153"/>
      <c r="H4016" s="153"/>
      <c r="I4016" s="153"/>
      <c r="J4016" s="153"/>
      <c r="K4016" s="153"/>
      <c r="L4016" s="653"/>
      <c r="M4016" s="663">
        <v>31562</v>
      </c>
      <c r="N4016" s="600">
        <v>148.92500000000001</v>
      </c>
      <c r="O4016" s="604">
        <v>6.1294969999999998</v>
      </c>
      <c r="P4016" s="250"/>
      <c r="Q4016" s="250">
        <v>6.0000000000000001E-3</v>
      </c>
      <c r="R4016" s="250">
        <v>5.0000000000000001E-3</v>
      </c>
      <c r="S4016" s="250">
        <v>2.1000000000000001E-2</v>
      </c>
      <c r="T4016" s="250">
        <v>7.8E-2</v>
      </c>
      <c r="U4016" s="250">
        <v>0.22699999999999998</v>
      </c>
      <c r="V4016" s="250">
        <v>0.32299999999999995</v>
      </c>
      <c r="W4016" s="250">
        <v>0.22</v>
      </c>
      <c r="X4016" s="250">
        <v>0.114</v>
      </c>
      <c r="Y4016" s="250">
        <v>6.0000000000000001E-3</v>
      </c>
      <c r="Z4016" s="150"/>
      <c r="AA4016" s="150">
        <v>1.41</v>
      </c>
      <c r="AB4016" s="152"/>
      <c r="AC4016" s="152"/>
      <c r="AD4016" s="223"/>
      <c r="AE4016" s="223"/>
      <c r="AF4016" s="223"/>
      <c r="AG4016" s="223"/>
      <c r="AH4016" s="341"/>
      <c r="AI4016" s="218"/>
      <c r="AJ4016" s="218"/>
      <c r="AK4016" s="153"/>
      <c r="AL4016" s="152"/>
      <c r="AM4016" s="152"/>
      <c r="AN4016" s="152"/>
      <c r="AO4016" s="152"/>
      <c r="AP4016" s="152"/>
      <c r="AQ4016" s="152"/>
      <c r="AR4016" s="152"/>
      <c r="AS4016" s="152"/>
      <c r="AT4016" s="152"/>
      <c r="AU4016" s="153"/>
      <c r="AV4016" s="479"/>
      <c r="AW4016" s="479"/>
      <c r="AX4016" s="442"/>
      <c r="AY4016" s="153"/>
      <c r="AZ4016" s="152"/>
      <c r="BA4016" s="152"/>
      <c r="BB4016" s="152"/>
      <c r="BC4016" s="152"/>
      <c r="BD4016" s="152"/>
      <c r="BE4016" s="152"/>
      <c r="BF4016" s="152"/>
      <c r="BG4016" s="152"/>
      <c r="BH4016" s="152"/>
      <c r="BI4016" s="153"/>
      <c r="BJ4016" s="153"/>
      <c r="BK4016" s="153"/>
      <c r="BL4016" s="153"/>
      <c r="BM4016" s="153"/>
      <c r="BN4016" s="153"/>
      <c r="BO4016" s="153"/>
      <c r="BP4016" s="153"/>
      <c r="BQ4016" s="153"/>
      <c r="BR4016" s="153"/>
      <c r="BS4016" s="153"/>
      <c r="BT4016" s="153"/>
      <c r="BU4016" s="153"/>
      <c r="BV4016" s="153"/>
      <c r="BW4016" s="153"/>
      <c r="BX4016" s="153"/>
      <c r="BY4016" s="153"/>
      <c r="BZ4016" s="153"/>
      <c r="CA4016" s="152"/>
      <c r="CB4016" s="152"/>
    </row>
    <row r="4017" spans="1:80" s="87" customFormat="1" x14ac:dyDescent="0.2">
      <c r="A4017" s="152"/>
      <c r="B4017" s="683"/>
      <c r="C4017" s="683"/>
      <c r="D4017" s="698"/>
      <c r="E4017" s="215"/>
      <c r="F4017" s="215"/>
      <c r="G4017" s="153"/>
      <c r="H4017" s="153"/>
      <c r="I4017" s="153"/>
      <c r="J4017" s="153"/>
      <c r="K4017" s="153"/>
      <c r="L4017" s="653"/>
      <c r="M4017" s="663">
        <v>31565</v>
      </c>
      <c r="N4017" s="600">
        <v>123.443</v>
      </c>
      <c r="O4017" s="604">
        <v>6.5913089999999999</v>
      </c>
      <c r="P4017" s="250"/>
      <c r="Q4017" s="250"/>
      <c r="R4017" s="250">
        <v>1E-3</v>
      </c>
      <c r="S4017" s="250">
        <v>2.3E-2</v>
      </c>
      <c r="T4017" s="250">
        <v>0.109</v>
      </c>
      <c r="U4017" s="250">
        <v>0.28899999999999998</v>
      </c>
      <c r="V4017" s="250">
        <v>0.29199999999999998</v>
      </c>
      <c r="W4017" s="250">
        <v>0.217</v>
      </c>
      <c r="X4017" s="250">
        <v>6.8000000000000005E-2</v>
      </c>
      <c r="Y4017" s="250">
        <v>1E-3</v>
      </c>
      <c r="Z4017" s="150"/>
      <c r="AA4017" s="150">
        <v>1.66</v>
      </c>
      <c r="AB4017" s="152"/>
      <c r="AC4017" s="152"/>
      <c r="AD4017" s="223"/>
      <c r="AE4017" s="223"/>
      <c r="AF4017" s="223"/>
      <c r="AG4017" s="223"/>
      <c r="AH4017" s="341"/>
      <c r="AI4017" s="218"/>
      <c r="AJ4017" s="218"/>
      <c r="AK4017" s="153"/>
      <c r="AL4017" s="152"/>
      <c r="AM4017" s="152"/>
      <c r="AN4017" s="152"/>
      <c r="AO4017" s="152"/>
      <c r="AP4017" s="152"/>
      <c r="AQ4017" s="152"/>
      <c r="AR4017" s="152"/>
      <c r="AS4017" s="152"/>
      <c r="AT4017" s="152"/>
      <c r="AU4017" s="153"/>
      <c r="AV4017" s="479"/>
      <c r="AW4017" s="479"/>
      <c r="AX4017" s="442"/>
      <c r="AY4017" s="153"/>
      <c r="AZ4017" s="152"/>
      <c r="BA4017" s="152"/>
      <c r="BB4017" s="152"/>
      <c r="BC4017" s="152"/>
      <c r="BD4017" s="152"/>
      <c r="BE4017" s="152"/>
      <c r="BF4017" s="152"/>
      <c r="BG4017" s="152"/>
      <c r="BH4017" s="152"/>
      <c r="BI4017" s="153"/>
      <c r="BJ4017" s="153"/>
      <c r="BK4017" s="153"/>
      <c r="BL4017" s="153"/>
      <c r="BM4017" s="153"/>
      <c r="BN4017" s="153"/>
      <c r="BO4017" s="153"/>
      <c r="BP4017" s="153"/>
      <c r="BQ4017" s="153"/>
      <c r="BR4017" s="153"/>
      <c r="BS4017" s="153"/>
      <c r="BT4017" s="153"/>
      <c r="BU4017" s="153"/>
      <c r="BV4017" s="153"/>
      <c r="BW4017" s="153"/>
      <c r="BX4017" s="153"/>
      <c r="BY4017" s="153"/>
      <c r="BZ4017" s="153"/>
      <c r="CA4017" s="152"/>
      <c r="CB4017" s="152"/>
    </row>
    <row r="4018" spans="1:80" s="87" customFormat="1" x14ac:dyDescent="0.2">
      <c r="A4018" s="152"/>
      <c r="B4018" s="683"/>
      <c r="C4018" s="683"/>
      <c r="D4018" s="698"/>
      <c r="E4018" s="215"/>
      <c r="F4018" s="215"/>
      <c r="G4018" s="153"/>
      <c r="H4018" s="153"/>
      <c r="I4018" s="153"/>
      <c r="J4018" s="153"/>
      <c r="K4018" s="153"/>
      <c r="L4018" s="653"/>
      <c r="M4018" s="663">
        <v>31566</v>
      </c>
      <c r="N4018" s="600">
        <v>124.29300000000001</v>
      </c>
      <c r="O4018" s="604">
        <v>5.8146259999999996</v>
      </c>
      <c r="P4018" s="250"/>
      <c r="Q4018" s="250"/>
      <c r="R4018" s="250">
        <v>6.0000000000000001E-3</v>
      </c>
      <c r="S4018" s="250">
        <v>2.5000000000000001E-2</v>
      </c>
      <c r="T4018" s="250">
        <v>0.11599999999999999</v>
      </c>
      <c r="U4018" s="250">
        <v>0.28199999999999997</v>
      </c>
      <c r="V4018" s="250">
        <v>0.27</v>
      </c>
      <c r="W4018" s="250">
        <v>0.23100000000000001</v>
      </c>
      <c r="X4018" s="250">
        <v>6.8000000000000005E-2</v>
      </c>
      <c r="Y4018" s="250">
        <v>2E-3</v>
      </c>
      <c r="Z4018" s="150"/>
      <c r="AA4018" s="150">
        <v>1.67</v>
      </c>
      <c r="AB4018" s="152"/>
      <c r="AC4018" s="152"/>
      <c r="AD4018" s="223">
        <v>36.87959</v>
      </c>
      <c r="AE4018" s="223">
        <v>2.1396258000000001</v>
      </c>
      <c r="AF4018" s="223">
        <v>78.959900000000005</v>
      </c>
      <c r="AG4018" s="223">
        <v>1.5727164</v>
      </c>
      <c r="AH4018" s="341"/>
      <c r="AI4018" s="218"/>
      <c r="AJ4018" s="218"/>
      <c r="AK4018" s="153"/>
      <c r="AL4018" s="152"/>
      <c r="AM4018" s="152"/>
      <c r="AN4018" s="152"/>
      <c r="AO4018" s="152"/>
      <c r="AP4018" s="152"/>
      <c r="AQ4018" s="152"/>
      <c r="AR4018" s="152"/>
      <c r="AS4018" s="152"/>
      <c r="AT4018" s="152"/>
      <c r="AU4018" s="153"/>
      <c r="AV4018" s="479"/>
      <c r="AW4018" s="479"/>
      <c r="AX4018" s="442"/>
      <c r="AY4018" s="153"/>
      <c r="AZ4018" s="152"/>
      <c r="BA4018" s="152"/>
      <c r="BB4018" s="152"/>
      <c r="BC4018" s="152"/>
      <c r="BD4018" s="152"/>
      <c r="BE4018" s="152"/>
      <c r="BF4018" s="152"/>
      <c r="BG4018" s="152"/>
      <c r="BH4018" s="152"/>
      <c r="BI4018" s="153"/>
      <c r="BJ4018" s="153"/>
      <c r="BK4018" s="153"/>
      <c r="BL4018" s="153"/>
      <c r="BM4018" s="153"/>
      <c r="BN4018" s="153"/>
      <c r="BO4018" s="153"/>
      <c r="BP4018" s="153"/>
      <c r="BQ4018" s="153"/>
      <c r="BR4018" s="153"/>
      <c r="BS4018" s="153"/>
      <c r="BT4018" s="153"/>
      <c r="BU4018" s="153"/>
      <c r="BV4018" s="153"/>
      <c r="BW4018" s="153"/>
      <c r="BX4018" s="153"/>
      <c r="BY4018" s="153"/>
      <c r="BZ4018" s="153"/>
      <c r="CA4018" s="152"/>
      <c r="CB4018" s="152"/>
    </row>
    <row r="4019" spans="1:80" s="87" customFormat="1" x14ac:dyDescent="0.2">
      <c r="A4019" s="152"/>
      <c r="B4019" s="683"/>
      <c r="C4019" s="683"/>
      <c r="D4019" s="698"/>
      <c r="E4019" s="215"/>
      <c r="F4019" s="215"/>
      <c r="G4019" s="153"/>
      <c r="H4019" s="153"/>
      <c r="I4019" s="153"/>
      <c r="J4019" s="153"/>
      <c r="K4019" s="153"/>
      <c r="L4019" s="653"/>
      <c r="M4019" s="663">
        <v>31569</v>
      </c>
      <c r="N4019" s="600">
        <v>82.106800000000007</v>
      </c>
      <c r="O4019" s="604">
        <v>6.5283350000000002</v>
      </c>
      <c r="P4019" s="250"/>
      <c r="Q4019" s="250"/>
      <c r="R4019" s="250"/>
      <c r="S4019" s="250">
        <v>1.8000000000000002E-2</v>
      </c>
      <c r="T4019" s="250">
        <v>0.105</v>
      </c>
      <c r="U4019" s="250">
        <v>0.317</v>
      </c>
      <c r="V4019" s="250">
        <v>0.34399999999999997</v>
      </c>
      <c r="W4019" s="250">
        <v>0.182</v>
      </c>
      <c r="X4019" s="250">
        <v>3.2000000000000001E-2</v>
      </c>
      <c r="Y4019" s="250">
        <v>2E-3</v>
      </c>
      <c r="Z4019" s="150"/>
      <c r="AA4019" s="150">
        <v>1.77</v>
      </c>
      <c r="AB4019" s="152"/>
      <c r="AC4019" s="152"/>
      <c r="AD4019" s="223"/>
      <c r="AE4019" s="223"/>
      <c r="AF4019" s="223"/>
      <c r="AG4019" s="223"/>
      <c r="AH4019" s="341"/>
      <c r="AI4019" s="218"/>
      <c r="AJ4019" s="218"/>
      <c r="AK4019" s="153"/>
      <c r="AL4019" s="152"/>
      <c r="AM4019" s="152"/>
      <c r="AN4019" s="152"/>
      <c r="AO4019" s="152"/>
      <c r="AP4019" s="152"/>
      <c r="AQ4019" s="152"/>
      <c r="AR4019" s="152"/>
      <c r="AS4019" s="152"/>
      <c r="AT4019" s="152"/>
      <c r="AU4019" s="153"/>
      <c r="AV4019" s="479"/>
      <c r="AW4019" s="479"/>
      <c r="AX4019" s="442"/>
      <c r="AY4019" s="153"/>
      <c r="AZ4019" s="152"/>
      <c r="BA4019" s="152"/>
      <c r="BB4019" s="152"/>
      <c r="BC4019" s="152"/>
      <c r="BD4019" s="152"/>
      <c r="BE4019" s="152"/>
      <c r="BF4019" s="152"/>
      <c r="BG4019" s="152"/>
      <c r="BH4019" s="152"/>
      <c r="BI4019" s="153"/>
      <c r="BJ4019" s="153"/>
      <c r="BK4019" s="153"/>
      <c r="BL4019" s="153"/>
      <c r="BM4019" s="153"/>
      <c r="BN4019" s="153"/>
      <c r="BO4019" s="153"/>
      <c r="BP4019" s="153"/>
      <c r="BQ4019" s="153"/>
      <c r="BR4019" s="153"/>
      <c r="BS4019" s="153"/>
      <c r="BT4019" s="153"/>
      <c r="BU4019" s="153"/>
      <c r="BV4019" s="153"/>
      <c r="BW4019" s="153"/>
      <c r="BX4019" s="153"/>
      <c r="BY4019" s="153"/>
      <c r="BZ4019" s="153"/>
      <c r="CA4019" s="152"/>
      <c r="CB4019" s="152"/>
    </row>
    <row r="4020" spans="1:80" s="87" customFormat="1" x14ac:dyDescent="0.2">
      <c r="A4020" s="152"/>
      <c r="B4020" s="683"/>
      <c r="C4020" s="683"/>
      <c r="D4020" s="698"/>
      <c r="E4020" s="215"/>
      <c r="F4020" s="215"/>
      <c r="G4020" s="153"/>
      <c r="H4020" s="153"/>
      <c r="I4020" s="153"/>
      <c r="J4020" s="153"/>
      <c r="K4020" s="153"/>
      <c r="L4020" s="653"/>
      <c r="M4020" s="663">
        <v>31570</v>
      </c>
      <c r="N4020" s="600">
        <v>77.576800000000006</v>
      </c>
      <c r="O4020" s="604">
        <v>5.2478569999999998</v>
      </c>
      <c r="P4020" s="250"/>
      <c r="Q4020" s="250"/>
      <c r="R4020" s="250"/>
      <c r="S4020" s="250">
        <v>1.8000000000000002E-2</v>
      </c>
      <c r="T4020" s="250">
        <v>9.8000000000000004E-2</v>
      </c>
      <c r="U4020" s="250">
        <v>0.26500000000000001</v>
      </c>
      <c r="V4020" s="250">
        <v>0.35200000000000004</v>
      </c>
      <c r="W4020" s="250">
        <v>0.23</v>
      </c>
      <c r="X4020" s="250">
        <v>3.5000000000000003E-2</v>
      </c>
      <c r="Y4020" s="250">
        <v>2E-3</v>
      </c>
      <c r="Z4020" s="150"/>
      <c r="AA4020" s="150">
        <v>1.58</v>
      </c>
      <c r="AB4020" s="152"/>
      <c r="AC4020" s="152"/>
      <c r="AD4020" s="223">
        <v>34.441270000000003</v>
      </c>
      <c r="AE4020" s="223">
        <v>1.7433988</v>
      </c>
      <c r="AF4020" s="223">
        <v>60.009523999999999</v>
      </c>
      <c r="AG4020" s="223">
        <v>1.2923096000000001</v>
      </c>
      <c r="AH4020" s="341"/>
      <c r="AI4020" s="218"/>
      <c r="AJ4020" s="218"/>
      <c r="AK4020" s="153"/>
      <c r="AL4020" s="152"/>
      <c r="AM4020" s="152"/>
      <c r="AN4020" s="152"/>
      <c r="AO4020" s="152"/>
      <c r="AP4020" s="152"/>
      <c r="AQ4020" s="152"/>
      <c r="AR4020" s="152"/>
      <c r="AS4020" s="152"/>
      <c r="AT4020" s="152"/>
      <c r="AU4020" s="153"/>
      <c r="AV4020" s="479"/>
      <c r="AW4020" s="479"/>
      <c r="AX4020" s="442"/>
      <c r="AY4020" s="153"/>
      <c r="AZ4020" s="152"/>
      <c r="BA4020" s="152"/>
      <c r="BB4020" s="152"/>
      <c r="BC4020" s="152"/>
      <c r="BD4020" s="152"/>
      <c r="BE4020" s="152"/>
      <c r="BF4020" s="152"/>
      <c r="BG4020" s="152"/>
      <c r="BH4020" s="152"/>
      <c r="BI4020" s="153"/>
      <c r="BJ4020" s="153"/>
      <c r="BK4020" s="153"/>
      <c r="BL4020" s="153"/>
      <c r="BM4020" s="153"/>
      <c r="BN4020" s="153"/>
      <c r="BO4020" s="153"/>
      <c r="BP4020" s="153"/>
      <c r="BQ4020" s="153"/>
      <c r="BR4020" s="153"/>
      <c r="BS4020" s="153"/>
      <c r="BT4020" s="153"/>
      <c r="BU4020" s="153"/>
      <c r="BV4020" s="153"/>
      <c r="BW4020" s="153"/>
      <c r="BX4020" s="153"/>
      <c r="BY4020" s="153"/>
      <c r="BZ4020" s="153"/>
      <c r="CA4020" s="152"/>
      <c r="CB4020" s="152"/>
    </row>
    <row r="4021" spans="1:80" s="87" customFormat="1" x14ac:dyDescent="0.2">
      <c r="A4021" s="152"/>
      <c r="B4021" s="683"/>
      <c r="C4021" s="683"/>
      <c r="D4021" s="698"/>
      <c r="E4021" s="215"/>
      <c r="F4021" s="215"/>
      <c r="G4021" s="153"/>
      <c r="H4021" s="153"/>
      <c r="I4021" s="153"/>
      <c r="J4021" s="153"/>
      <c r="K4021" s="153"/>
      <c r="L4021" s="653"/>
      <c r="M4021" s="663">
        <v>31571</v>
      </c>
      <c r="N4021" s="600">
        <v>91.166899999999998</v>
      </c>
      <c r="O4021" s="604">
        <v>10.600669999999999</v>
      </c>
      <c r="P4021" s="250"/>
      <c r="Q4021" s="250"/>
      <c r="R4021" s="250">
        <v>2E-3</v>
      </c>
      <c r="S4021" s="250">
        <v>2.2000000000000002E-2</v>
      </c>
      <c r="T4021" s="250">
        <v>0.126</v>
      </c>
      <c r="U4021" s="250">
        <v>0.28399999999999997</v>
      </c>
      <c r="V4021" s="250">
        <v>0.371</v>
      </c>
      <c r="W4021" s="250">
        <v>0.16399999999999998</v>
      </c>
      <c r="X4021" s="250">
        <v>2.7999999999999997E-2</v>
      </c>
      <c r="Y4021" s="250">
        <v>3.0000000000000001E-3</v>
      </c>
      <c r="Z4021" s="150"/>
      <c r="AA4021" s="150">
        <v>1.77</v>
      </c>
      <c r="AB4021" s="152"/>
      <c r="AC4021" s="152"/>
      <c r="AD4021" s="223"/>
      <c r="AE4021" s="223"/>
      <c r="AF4021" s="223"/>
      <c r="AG4021" s="223"/>
      <c r="AH4021" s="341"/>
      <c r="AI4021" s="218"/>
      <c r="AJ4021" s="218"/>
      <c r="AK4021" s="153"/>
      <c r="AL4021" s="152"/>
      <c r="AM4021" s="152"/>
      <c r="AN4021" s="152"/>
      <c r="AO4021" s="152"/>
      <c r="AP4021" s="152"/>
      <c r="AQ4021" s="152"/>
      <c r="AR4021" s="152"/>
      <c r="AS4021" s="152"/>
      <c r="AT4021" s="152"/>
      <c r="AU4021" s="153"/>
      <c r="AV4021" s="479"/>
      <c r="AW4021" s="479"/>
      <c r="AX4021" s="442"/>
      <c r="AY4021" s="153"/>
      <c r="AZ4021" s="152"/>
      <c r="BA4021" s="152"/>
      <c r="BB4021" s="152"/>
      <c r="BC4021" s="152"/>
      <c r="BD4021" s="152"/>
      <c r="BE4021" s="152"/>
      <c r="BF4021" s="152"/>
      <c r="BG4021" s="152"/>
      <c r="BH4021" s="152"/>
      <c r="BI4021" s="153"/>
      <c r="BJ4021" s="153"/>
      <c r="BK4021" s="153"/>
      <c r="BL4021" s="153"/>
      <c r="BM4021" s="153"/>
      <c r="BN4021" s="153"/>
      <c r="BO4021" s="153"/>
      <c r="BP4021" s="153"/>
      <c r="BQ4021" s="153"/>
      <c r="BR4021" s="153"/>
      <c r="BS4021" s="153"/>
      <c r="BT4021" s="153"/>
      <c r="BU4021" s="153"/>
      <c r="BV4021" s="153"/>
      <c r="BW4021" s="153"/>
      <c r="BX4021" s="153"/>
      <c r="BY4021" s="153"/>
      <c r="BZ4021" s="153"/>
      <c r="CA4021" s="152"/>
      <c r="CB4021" s="152"/>
    </row>
    <row r="4022" spans="1:80" s="87" customFormat="1" x14ac:dyDescent="0.2">
      <c r="A4022" s="152"/>
      <c r="B4022" s="683"/>
      <c r="C4022" s="683"/>
      <c r="D4022" s="698"/>
      <c r="E4022" s="215"/>
      <c r="F4022" s="215"/>
      <c r="G4022" s="153"/>
      <c r="H4022" s="153"/>
      <c r="I4022" s="153"/>
      <c r="J4022" s="153"/>
      <c r="K4022" s="153"/>
      <c r="L4022" s="653"/>
      <c r="M4022" s="663">
        <v>31573</v>
      </c>
      <c r="N4022" s="600">
        <v>63.137300000000003</v>
      </c>
      <c r="O4022" s="604">
        <v>6.4233779999999996</v>
      </c>
      <c r="P4022" s="250"/>
      <c r="Q4022" s="250"/>
      <c r="R4022" s="250">
        <v>1E-3</v>
      </c>
      <c r="S4022" s="250">
        <v>1.2E-2</v>
      </c>
      <c r="T4022" s="250">
        <v>9.1999999999999998E-2</v>
      </c>
      <c r="U4022" s="250">
        <v>0.27399999999999997</v>
      </c>
      <c r="V4022" s="250">
        <v>0.35600000000000004</v>
      </c>
      <c r="W4022" s="250">
        <v>0.23600000000000002</v>
      </c>
      <c r="X4022" s="250">
        <v>2.8999999999999998E-2</v>
      </c>
      <c r="Y4022" s="250">
        <v>0</v>
      </c>
      <c r="Z4022" s="150"/>
      <c r="AA4022" s="150">
        <v>1.58</v>
      </c>
      <c r="AB4022" s="152"/>
      <c r="AC4022" s="152"/>
      <c r="AD4022" s="223">
        <v>33.831690000000002</v>
      </c>
      <c r="AE4022" s="223">
        <v>1.6214827999999999</v>
      </c>
      <c r="AF4022" s="223">
        <v>54.807459999999999</v>
      </c>
      <c r="AG4022" s="223">
        <v>1.1521062</v>
      </c>
      <c r="AH4022" s="341"/>
      <c r="AI4022" s="218"/>
      <c r="AJ4022" s="218"/>
      <c r="AK4022" s="153"/>
      <c r="AL4022" s="152"/>
      <c r="AM4022" s="152"/>
      <c r="AN4022" s="152"/>
      <c r="AO4022" s="152"/>
      <c r="AP4022" s="152"/>
      <c r="AQ4022" s="152"/>
      <c r="AR4022" s="152"/>
      <c r="AS4022" s="152"/>
      <c r="AT4022" s="152"/>
      <c r="AU4022" s="153"/>
      <c r="AV4022" s="479"/>
      <c r="AW4022" s="479"/>
      <c r="AX4022" s="442"/>
      <c r="AY4022" s="153"/>
      <c r="AZ4022" s="152"/>
      <c r="BA4022" s="152"/>
      <c r="BB4022" s="152"/>
      <c r="BC4022" s="152"/>
      <c r="BD4022" s="152"/>
      <c r="BE4022" s="152"/>
      <c r="BF4022" s="152"/>
      <c r="BG4022" s="152"/>
      <c r="BH4022" s="152"/>
      <c r="BI4022" s="153"/>
      <c r="BJ4022" s="153"/>
      <c r="BK4022" s="153"/>
      <c r="BL4022" s="153"/>
      <c r="BM4022" s="153"/>
      <c r="BN4022" s="153"/>
      <c r="BO4022" s="153"/>
      <c r="BP4022" s="153"/>
      <c r="BQ4022" s="153"/>
      <c r="BR4022" s="153"/>
      <c r="BS4022" s="153"/>
      <c r="BT4022" s="153"/>
      <c r="BU4022" s="153"/>
      <c r="BV4022" s="153"/>
      <c r="BW4022" s="153"/>
      <c r="BX4022" s="153"/>
      <c r="BY4022" s="153"/>
      <c r="BZ4022" s="153"/>
      <c r="CA4022" s="152"/>
      <c r="CB4022" s="152"/>
    </row>
    <row r="4023" spans="1:80" s="87" customFormat="1" x14ac:dyDescent="0.2">
      <c r="A4023" s="152"/>
      <c r="B4023" s="683"/>
      <c r="C4023" s="683"/>
      <c r="D4023" s="698"/>
      <c r="E4023" s="215"/>
      <c r="F4023" s="215"/>
      <c r="G4023" s="153"/>
      <c r="H4023" s="153"/>
      <c r="I4023" s="153"/>
      <c r="J4023" s="153"/>
      <c r="K4023" s="153"/>
      <c r="L4023" s="653"/>
      <c r="M4023" s="663">
        <v>31587</v>
      </c>
      <c r="N4023" s="600">
        <v>25.226600000000001</v>
      </c>
      <c r="O4023" s="604">
        <v>0.14693999999999999</v>
      </c>
      <c r="P4023" s="250"/>
      <c r="Q4023" s="250"/>
      <c r="R4023" s="250"/>
      <c r="S4023" s="250">
        <v>1E-3</v>
      </c>
      <c r="T4023" s="250">
        <v>6.9999999999999993E-3</v>
      </c>
      <c r="U4023" s="250">
        <v>0.10199999999999999</v>
      </c>
      <c r="V4023" s="250">
        <v>0.41499999999999998</v>
      </c>
      <c r="W4023" s="250">
        <v>0.433</v>
      </c>
      <c r="X4023" s="250">
        <v>4.0999999999999995E-2</v>
      </c>
      <c r="Y4023" s="250">
        <v>1E-3</v>
      </c>
      <c r="Z4023" s="150"/>
      <c r="AA4023" s="150">
        <v>1.04</v>
      </c>
      <c r="AB4023" s="152"/>
      <c r="AC4023" s="152"/>
      <c r="AD4023" s="223">
        <v>31.393370000000001</v>
      </c>
      <c r="AE4023" s="223">
        <v>1.1551541000000001</v>
      </c>
      <c r="AF4023" s="223">
        <v>36.228659999999998</v>
      </c>
      <c r="AG4023" s="223">
        <v>0.69492120000000002</v>
      </c>
      <c r="AH4023" s="341"/>
      <c r="AI4023" s="218"/>
      <c r="AJ4023" s="218"/>
      <c r="AK4023" s="153"/>
      <c r="AL4023" s="152"/>
      <c r="AM4023" s="152"/>
      <c r="AN4023" s="152"/>
      <c r="AO4023" s="152"/>
      <c r="AP4023" s="152"/>
      <c r="AQ4023" s="152"/>
      <c r="AR4023" s="152"/>
      <c r="AS4023" s="152"/>
      <c r="AT4023" s="152"/>
      <c r="AU4023" s="153"/>
      <c r="AV4023" s="479"/>
      <c r="AW4023" s="479"/>
      <c r="AX4023" s="442"/>
      <c r="AY4023" s="153"/>
      <c r="AZ4023" s="152"/>
      <c r="BA4023" s="152"/>
      <c r="BB4023" s="152"/>
      <c r="BC4023" s="152"/>
      <c r="BD4023" s="152"/>
      <c r="BE4023" s="152"/>
      <c r="BF4023" s="152"/>
      <c r="BG4023" s="152"/>
      <c r="BH4023" s="152"/>
      <c r="BI4023" s="153"/>
      <c r="BJ4023" s="153"/>
      <c r="BK4023" s="153"/>
      <c r="BL4023" s="153"/>
      <c r="BM4023" s="153"/>
      <c r="BN4023" s="153"/>
      <c r="BO4023" s="153"/>
      <c r="BP4023" s="153"/>
      <c r="BQ4023" s="153"/>
      <c r="BR4023" s="153"/>
      <c r="BS4023" s="153"/>
      <c r="BT4023" s="153"/>
      <c r="BU4023" s="153"/>
      <c r="BV4023" s="153"/>
      <c r="BW4023" s="153"/>
      <c r="BX4023" s="153"/>
      <c r="BY4023" s="153"/>
      <c r="BZ4023" s="153"/>
      <c r="CA4023" s="152"/>
      <c r="CB4023" s="152"/>
    </row>
    <row r="4024" spans="1:80" s="87" customFormat="1" ht="15" x14ac:dyDescent="0.25">
      <c r="A4024" s="152"/>
      <c r="B4024" s="683"/>
      <c r="C4024" s="683"/>
      <c r="D4024" s="698"/>
      <c r="E4024" s="215"/>
      <c r="F4024" s="215"/>
      <c r="G4024" s="153"/>
      <c r="H4024" s="153"/>
      <c r="I4024" s="320">
        <v>20</v>
      </c>
      <c r="J4024" s="320">
        <v>60</v>
      </c>
      <c r="K4024" s="222">
        <v>1</v>
      </c>
      <c r="L4024" s="658">
        <v>20</v>
      </c>
      <c r="M4024" s="663">
        <v>34443</v>
      </c>
      <c r="N4024" s="600">
        <v>18.261700000000001</v>
      </c>
      <c r="O4024" s="604">
        <v>2.1201000000000001E-2</v>
      </c>
      <c r="P4024" s="250"/>
      <c r="Q4024" s="250"/>
      <c r="R4024" s="250"/>
      <c r="S4024" s="250"/>
      <c r="T4024" s="250">
        <v>3.0000000000000001E-3</v>
      </c>
      <c r="U4024" s="250">
        <v>3.3000000000000002E-2</v>
      </c>
      <c r="V4024" s="250">
        <v>0.184</v>
      </c>
      <c r="W4024" s="250">
        <v>0.41600000000000004</v>
      </c>
      <c r="X4024" s="250">
        <v>0.32</v>
      </c>
      <c r="Y4024" s="250">
        <v>4.4000000000000004E-2</v>
      </c>
      <c r="Z4024" s="150"/>
      <c r="AA4024" s="150">
        <v>0.63</v>
      </c>
      <c r="AB4024" s="152"/>
      <c r="AC4024" s="152"/>
      <c r="AD4024" s="223"/>
      <c r="AE4024" s="223"/>
      <c r="AF4024" s="223"/>
      <c r="AG4024" s="223"/>
      <c r="AH4024" s="341"/>
      <c r="AI4024" s="218"/>
      <c r="AJ4024" s="218"/>
      <c r="AK4024" s="153"/>
      <c r="AL4024" s="152"/>
      <c r="AM4024" s="152"/>
      <c r="AN4024" s="152"/>
      <c r="AO4024" s="152"/>
      <c r="AP4024" s="152"/>
      <c r="AQ4024" s="152"/>
      <c r="AR4024" s="152"/>
      <c r="AS4024" s="152"/>
      <c r="AT4024" s="152"/>
      <c r="AU4024" s="153"/>
      <c r="AV4024" s="479"/>
      <c r="AW4024" s="479"/>
      <c r="AX4024" s="442"/>
      <c r="AY4024" s="153"/>
      <c r="AZ4024" s="152"/>
      <c r="BA4024" s="152"/>
      <c r="BB4024" s="152"/>
      <c r="BC4024" s="152"/>
      <c r="BD4024" s="152"/>
      <c r="BE4024" s="152"/>
      <c r="BF4024" s="152"/>
      <c r="BG4024" s="152"/>
      <c r="BH4024" s="152"/>
      <c r="BI4024" s="153"/>
      <c r="BJ4024" s="153"/>
      <c r="BK4024" s="153"/>
      <c r="BL4024" s="153"/>
      <c r="BM4024" s="153"/>
      <c r="BN4024" s="153"/>
      <c r="BO4024" s="153"/>
      <c r="BP4024" s="153"/>
      <c r="BQ4024" s="153"/>
      <c r="BR4024" s="153"/>
      <c r="BS4024" s="153"/>
      <c r="BT4024" s="153"/>
      <c r="BU4024" s="153"/>
      <c r="BV4024" s="153"/>
      <c r="BW4024" s="153"/>
      <c r="BX4024" s="153"/>
      <c r="BY4024" s="153"/>
      <c r="BZ4024" s="153"/>
      <c r="CA4024" s="152"/>
      <c r="CB4024" s="152"/>
    </row>
    <row r="4025" spans="1:80" s="87" customFormat="1" ht="15" x14ac:dyDescent="0.25">
      <c r="A4025" s="152"/>
      <c r="B4025" s="683"/>
      <c r="C4025" s="683"/>
      <c r="D4025" s="698"/>
      <c r="E4025" s="215"/>
      <c r="F4025" s="215"/>
      <c r="G4025" s="153"/>
      <c r="H4025" s="153"/>
      <c r="I4025" s="320">
        <v>20</v>
      </c>
      <c r="J4025" s="320">
        <v>60</v>
      </c>
      <c r="K4025" s="222">
        <v>1</v>
      </c>
      <c r="L4025" s="658">
        <v>20</v>
      </c>
      <c r="M4025" s="663">
        <v>34443</v>
      </c>
      <c r="N4025" s="600">
        <v>18.261700000000001</v>
      </c>
      <c r="O4025" s="604">
        <v>1.6163E-2</v>
      </c>
      <c r="P4025" s="250"/>
      <c r="Q4025" s="250"/>
      <c r="R4025" s="250"/>
      <c r="S4025" s="250"/>
      <c r="T4025" s="250">
        <v>8.0000000000000002E-3</v>
      </c>
      <c r="U4025" s="250">
        <v>7.8E-2</v>
      </c>
      <c r="V4025" s="250">
        <v>0.49099999999999999</v>
      </c>
      <c r="W4025" s="250">
        <v>0.23699999999999999</v>
      </c>
      <c r="X4025" s="250">
        <v>0.159</v>
      </c>
      <c r="Y4025" s="250">
        <v>2.7000000000000003E-2</v>
      </c>
      <c r="Z4025" s="150"/>
      <c r="AA4025" s="150">
        <v>1.1100000000000001</v>
      </c>
      <c r="AB4025" s="152"/>
      <c r="AC4025" s="152"/>
      <c r="AD4025" s="223"/>
      <c r="AE4025" s="223"/>
      <c r="AF4025" s="223"/>
      <c r="AG4025" s="223"/>
      <c r="AH4025" s="341"/>
      <c r="AI4025" s="218"/>
      <c r="AJ4025" s="218"/>
      <c r="AK4025" s="153"/>
      <c r="AL4025" s="152"/>
      <c r="AM4025" s="152"/>
      <c r="AN4025" s="152"/>
      <c r="AO4025" s="152"/>
      <c r="AP4025" s="152"/>
      <c r="AQ4025" s="152"/>
      <c r="AR4025" s="152"/>
      <c r="AS4025" s="152"/>
      <c r="AT4025" s="152"/>
      <c r="AU4025" s="153"/>
      <c r="AV4025" s="479"/>
      <c r="AW4025" s="479"/>
      <c r="AX4025" s="442"/>
      <c r="AY4025" s="153"/>
      <c r="AZ4025" s="152"/>
      <c r="BA4025" s="152"/>
      <c r="BB4025" s="152"/>
      <c r="BC4025" s="152"/>
      <c r="BD4025" s="152"/>
      <c r="BE4025" s="152"/>
      <c r="BF4025" s="152"/>
      <c r="BG4025" s="152"/>
      <c r="BH4025" s="152"/>
      <c r="BI4025" s="153"/>
      <c r="BJ4025" s="153"/>
      <c r="BK4025" s="153"/>
      <c r="BL4025" s="153"/>
      <c r="BM4025" s="153"/>
      <c r="BN4025" s="153"/>
      <c r="BO4025" s="153"/>
      <c r="BP4025" s="153"/>
      <c r="BQ4025" s="153"/>
      <c r="BR4025" s="153"/>
      <c r="BS4025" s="153"/>
      <c r="BT4025" s="153"/>
      <c r="BU4025" s="153"/>
      <c r="BV4025" s="153"/>
      <c r="BW4025" s="153"/>
      <c r="BX4025" s="153"/>
      <c r="BY4025" s="153"/>
      <c r="BZ4025" s="153"/>
      <c r="CA4025" s="152"/>
      <c r="CB4025" s="152"/>
    </row>
    <row r="4026" spans="1:80" s="87" customFormat="1" ht="15" x14ac:dyDescent="0.25">
      <c r="A4026" s="152"/>
      <c r="B4026" s="683"/>
      <c r="C4026" s="683"/>
      <c r="D4026" s="698"/>
      <c r="E4026" s="215"/>
      <c r="F4026" s="215"/>
      <c r="G4026" s="153"/>
      <c r="H4026" s="153"/>
      <c r="I4026" s="320">
        <v>20</v>
      </c>
      <c r="J4026" s="320">
        <v>60</v>
      </c>
      <c r="K4026" s="222">
        <v>1</v>
      </c>
      <c r="L4026" s="658">
        <v>20</v>
      </c>
      <c r="M4026" s="663">
        <v>34444</v>
      </c>
      <c r="N4026" s="600">
        <v>23.301400000000001</v>
      </c>
      <c r="O4026" s="604">
        <v>6.7487000000000005E-2</v>
      </c>
      <c r="P4026" s="250"/>
      <c r="Q4026" s="250"/>
      <c r="R4026" s="250"/>
      <c r="S4026" s="250"/>
      <c r="T4026" s="250">
        <v>2E-3</v>
      </c>
      <c r="U4026" s="250">
        <v>0.11599999999999999</v>
      </c>
      <c r="V4026" s="250">
        <v>0.48100000000000004</v>
      </c>
      <c r="W4026" s="250">
        <v>0.25900000000000001</v>
      </c>
      <c r="X4026" s="250">
        <v>0.122</v>
      </c>
      <c r="Y4026" s="250">
        <v>0.02</v>
      </c>
      <c r="Z4026" s="150"/>
      <c r="AA4026" s="150">
        <v>1.1499999999999999</v>
      </c>
      <c r="AB4026" s="152"/>
      <c r="AC4026" s="152"/>
      <c r="AD4026" s="223"/>
      <c r="AE4026" s="223"/>
      <c r="AF4026" s="223"/>
      <c r="AG4026" s="223"/>
      <c r="AH4026" s="341"/>
      <c r="AI4026" s="218"/>
      <c r="AJ4026" s="218"/>
      <c r="AK4026" s="153"/>
      <c r="AL4026" s="152"/>
      <c r="AM4026" s="152"/>
      <c r="AN4026" s="152"/>
      <c r="AO4026" s="152"/>
      <c r="AP4026" s="152"/>
      <c r="AQ4026" s="152"/>
      <c r="AR4026" s="152"/>
      <c r="AS4026" s="152"/>
      <c r="AT4026" s="152"/>
      <c r="AU4026" s="153"/>
      <c r="AV4026" s="479"/>
      <c r="AW4026" s="479"/>
      <c r="AX4026" s="442"/>
      <c r="AY4026" s="153"/>
      <c r="AZ4026" s="152"/>
      <c r="BA4026" s="152"/>
      <c r="BB4026" s="152"/>
      <c r="BC4026" s="152"/>
      <c r="BD4026" s="152"/>
      <c r="BE4026" s="152"/>
      <c r="BF4026" s="152"/>
      <c r="BG4026" s="152"/>
      <c r="BH4026" s="152"/>
      <c r="BI4026" s="153"/>
      <c r="BJ4026" s="153"/>
      <c r="BK4026" s="153"/>
      <c r="BL4026" s="153"/>
      <c r="BM4026" s="153"/>
      <c r="BN4026" s="153"/>
      <c r="BO4026" s="153"/>
      <c r="BP4026" s="153"/>
      <c r="BQ4026" s="153"/>
      <c r="BR4026" s="153"/>
      <c r="BS4026" s="153"/>
      <c r="BT4026" s="153"/>
      <c r="BU4026" s="153"/>
      <c r="BV4026" s="153"/>
      <c r="BW4026" s="153"/>
      <c r="BX4026" s="153"/>
      <c r="BY4026" s="153"/>
      <c r="BZ4026" s="153"/>
      <c r="CA4026" s="152"/>
      <c r="CB4026" s="152"/>
    </row>
    <row r="4027" spans="1:80" s="87" customFormat="1" ht="15" x14ac:dyDescent="0.25">
      <c r="A4027" s="152"/>
      <c r="B4027" s="683"/>
      <c r="C4027" s="683"/>
      <c r="D4027" s="698"/>
      <c r="E4027" s="215"/>
      <c r="F4027" s="215"/>
      <c r="G4027" s="153"/>
      <c r="H4027" s="153"/>
      <c r="I4027" s="320">
        <v>20</v>
      </c>
      <c r="J4027" s="320">
        <v>60</v>
      </c>
      <c r="K4027" s="222">
        <v>1</v>
      </c>
      <c r="L4027" s="658">
        <v>20</v>
      </c>
      <c r="M4027" s="663">
        <v>34444</v>
      </c>
      <c r="N4027" s="600">
        <v>23.301400000000001</v>
      </c>
      <c r="O4027" s="604">
        <v>5.6992000000000001E-2</v>
      </c>
      <c r="P4027" s="250"/>
      <c r="Q4027" s="250"/>
      <c r="R4027" s="250"/>
      <c r="S4027" s="250"/>
      <c r="T4027" s="250">
        <v>1.3999999999999999E-2</v>
      </c>
      <c r="U4027" s="250">
        <v>8.900000000000001E-2</v>
      </c>
      <c r="V4027" s="250">
        <v>0.29699999999999999</v>
      </c>
      <c r="W4027" s="250">
        <v>0.373</v>
      </c>
      <c r="X4027" s="250">
        <v>0.19899999999999998</v>
      </c>
      <c r="Y4027" s="250">
        <v>2.7999999999999997E-2</v>
      </c>
      <c r="Z4027" s="150"/>
      <c r="AA4027" s="150">
        <v>0.83</v>
      </c>
      <c r="AB4027" s="152"/>
      <c r="AC4027" s="152"/>
      <c r="AD4027" s="223"/>
      <c r="AE4027" s="223"/>
      <c r="AF4027" s="223"/>
      <c r="AG4027" s="223"/>
      <c r="AH4027" s="341"/>
      <c r="AI4027" s="218"/>
      <c r="AJ4027" s="218"/>
      <c r="AK4027" s="153"/>
      <c r="AL4027" s="152"/>
      <c r="AM4027" s="152"/>
      <c r="AN4027" s="152"/>
      <c r="AO4027" s="152"/>
      <c r="AP4027" s="152"/>
      <c r="AQ4027" s="152"/>
      <c r="AR4027" s="152"/>
      <c r="AS4027" s="152"/>
      <c r="AT4027" s="152"/>
      <c r="AU4027" s="153"/>
      <c r="AV4027" s="479"/>
      <c r="AW4027" s="479"/>
      <c r="AX4027" s="442"/>
      <c r="AY4027" s="153"/>
      <c r="AZ4027" s="152"/>
      <c r="BA4027" s="152"/>
      <c r="BB4027" s="152"/>
      <c r="BC4027" s="152"/>
      <c r="BD4027" s="152"/>
      <c r="BE4027" s="152"/>
      <c r="BF4027" s="152"/>
      <c r="BG4027" s="152"/>
      <c r="BH4027" s="152"/>
      <c r="BI4027" s="153"/>
      <c r="BJ4027" s="153"/>
      <c r="BK4027" s="153"/>
      <c r="BL4027" s="153"/>
      <c r="BM4027" s="153"/>
      <c r="BN4027" s="153"/>
      <c r="BO4027" s="153"/>
      <c r="BP4027" s="153"/>
      <c r="BQ4027" s="153"/>
      <c r="BR4027" s="153"/>
      <c r="BS4027" s="153"/>
      <c r="BT4027" s="153"/>
      <c r="BU4027" s="153"/>
      <c r="BV4027" s="153"/>
      <c r="BW4027" s="153"/>
      <c r="BX4027" s="153"/>
      <c r="BY4027" s="153"/>
      <c r="BZ4027" s="153"/>
      <c r="CA4027" s="152"/>
      <c r="CB4027" s="152"/>
    </row>
    <row r="4028" spans="1:80" s="87" customFormat="1" ht="15" x14ac:dyDescent="0.25">
      <c r="A4028" s="152"/>
      <c r="B4028" s="683"/>
      <c r="C4028" s="683"/>
      <c r="D4028" s="698"/>
      <c r="E4028" s="215"/>
      <c r="F4028" s="215"/>
      <c r="G4028" s="153"/>
      <c r="H4028" s="153"/>
      <c r="I4028" s="320">
        <v>20</v>
      </c>
      <c r="J4028" s="320">
        <v>60</v>
      </c>
      <c r="K4028" s="222">
        <v>1</v>
      </c>
      <c r="L4028" s="658">
        <v>20</v>
      </c>
      <c r="M4028" s="663">
        <v>34452</v>
      </c>
      <c r="N4028" s="600">
        <v>17.299099999999999</v>
      </c>
      <c r="O4028" s="604">
        <v>2.4035000000000001E-2</v>
      </c>
      <c r="P4028" s="250"/>
      <c r="Q4028" s="250"/>
      <c r="R4028" s="250"/>
      <c r="S4028" s="250"/>
      <c r="T4028" s="250">
        <v>6.0000000000000001E-3</v>
      </c>
      <c r="U4028" s="250">
        <v>8.6999999999999994E-2</v>
      </c>
      <c r="V4028" s="250">
        <v>0.40200000000000002</v>
      </c>
      <c r="W4028" s="250">
        <v>0.41200000000000003</v>
      </c>
      <c r="X4028" s="250">
        <v>0.09</v>
      </c>
      <c r="Y4028" s="250">
        <v>3.0000000000000001E-3</v>
      </c>
      <c r="Z4028" s="150"/>
      <c r="AA4028" s="150">
        <v>0.99</v>
      </c>
      <c r="AB4028" s="152"/>
      <c r="AC4028" s="152"/>
      <c r="AD4028" s="223"/>
      <c r="AE4028" s="223"/>
      <c r="AF4028" s="223"/>
      <c r="AG4028" s="223"/>
      <c r="AH4028" s="341"/>
      <c r="AI4028" s="218"/>
      <c r="AJ4028" s="218"/>
      <c r="AK4028" s="153"/>
      <c r="AL4028" s="152"/>
      <c r="AM4028" s="152"/>
      <c r="AN4028" s="152"/>
      <c r="AO4028" s="152"/>
      <c r="AP4028" s="152"/>
      <c r="AQ4028" s="152"/>
      <c r="AR4028" s="152"/>
      <c r="AS4028" s="152"/>
      <c r="AT4028" s="152"/>
      <c r="AU4028" s="153"/>
      <c r="AV4028" s="479"/>
      <c r="AW4028" s="479"/>
      <c r="AX4028" s="442"/>
      <c r="AY4028" s="153"/>
      <c r="AZ4028" s="152"/>
      <c r="BA4028" s="152"/>
      <c r="BB4028" s="152"/>
      <c r="BC4028" s="152"/>
      <c r="BD4028" s="152"/>
      <c r="BE4028" s="152"/>
      <c r="BF4028" s="152"/>
      <c r="BG4028" s="152"/>
      <c r="BH4028" s="152"/>
      <c r="BI4028" s="153"/>
      <c r="BJ4028" s="153"/>
      <c r="BK4028" s="153"/>
      <c r="BL4028" s="153"/>
      <c r="BM4028" s="153"/>
      <c r="BN4028" s="153"/>
      <c r="BO4028" s="153"/>
      <c r="BP4028" s="153"/>
      <c r="BQ4028" s="153"/>
      <c r="BR4028" s="153"/>
      <c r="BS4028" s="153"/>
      <c r="BT4028" s="153"/>
      <c r="BU4028" s="153"/>
      <c r="BV4028" s="153"/>
      <c r="BW4028" s="153"/>
      <c r="BX4028" s="153"/>
      <c r="BY4028" s="153"/>
      <c r="BZ4028" s="153"/>
      <c r="CA4028" s="152"/>
      <c r="CB4028" s="152"/>
    </row>
    <row r="4029" spans="1:80" s="87" customFormat="1" ht="15" x14ac:dyDescent="0.25">
      <c r="A4029" s="152"/>
      <c r="B4029" s="683"/>
      <c r="C4029" s="683"/>
      <c r="D4029" s="698"/>
      <c r="E4029" s="215"/>
      <c r="F4029" s="215"/>
      <c r="G4029" s="153"/>
      <c r="H4029" s="153"/>
      <c r="I4029" s="320">
        <v>20</v>
      </c>
      <c r="J4029" s="320">
        <v>60</v>
      </c>
      <c r="K4029" s="222">
        <v>1</v>
      </c>
      <c r="L4029" s="658">
        <v>20</v>
      </c>
      <c r="M4029" s="663">
        <v>34452</v>
      </c>
      <c r="N4029" s="600">
        <v>17.299099999999999</v>
      </c>
      <c r="O4029" s="604">
        <v>2.1516E-2</v>
      </c>
      <c r="P4029" s="250"/>
      <c r="Q4029" s="250"/>
      <c r="R4029" s="250"/>
      <c r="S4029" s="250"/>
      <c r="T4029" s="250">
        <v>1.1000000000000001E-2</v>
      </c>
      <c r="U4029" s="250">
        <v>0.14199999999999999</v>
      </c>
      <c r="V4029" s="250">
        <v>0.49200000000000005</v>
      </c>
      <c r="W4029" s="250">
        <v>0.26100000000000001</v>
      </c>
      <c r="X4029" s="250">
        <v>9.0999999999999998E-2</v>
      </c>
      <c r="Y4029" s="250">
        <v>3.0000000000000001E-3</v>
      </c>
      <c r="Z4029" s="150"/>
      <c r="AA4029" s="150">
        <v>1.23</v>
      </c>
      <c r="AB4029" s="152"/>
      <c r="AC4029" s="152"/>
      <c r="AD4029" s="223"/>
      <c r="AE4029" s="223"/>
      <c r="AF4029" s="223"/>
      <c r="AG4029" s="223"/>
      <c r="AH4029" s="341"/>
      <c r="AI4029" s="218"/>
      <c r="AJ4029" s="218"/>
      <c r="AK4029" s="153"/>
      <c r="AL4029" s="152"/>
      <c r="AM4029" s="152"/>
      <c r="AN4029" s="152"/>
      <c r="AO4029" s="152"/>
      <c r="AP4029" s="152"/>
      <c r="AQ4029" s="152"/>
      <c r="AR4029" s="152"/>
      <c r="AS4029" s="152"/>
      <c r="AT4029" s="152"/>
      <c r="AU4029" s="153"/>
      <c r="AV4029" s="479"/>
      <c r="AW4029" s="479"/>
      <c r="AX4029" s="442"/>
      <c r="AY4029" s="153"/>
      <c r="AZ4029" s="152"/>
      <c r="BA4029" s="152"/>
      <c r="BB4029" s="152"/>
      <c r="BC4029" s="152"/>
      <c r="BD4029" s="152"/>
      <c r="BE4029" s="152"/>
      <c r="BF4029" s="152"/>
      <c r="BG4029" s="152"/>
      <c r="BH4029" s="152"/>
      <c r="BI4029" s="153"/>
      <c r="BJ4029" s="153"/>
      <c r="BK4029" s="153"/>
      <c r="BL4029" s="153"/>
      <c r="BM4029" s="153"/>
      <c r="BN4029" s="153"/>
      <c r="BO4029" s="153"/>
      <c r="BP4029" s="153"/>
      <c r="BQ4029" s="153"/>
      <c r="BR4029" s="153"/>
      <c r="BS4029" s="153"/>
      <c r="BT4029" s="153"/>
      <c r="BU4029" s="153"/>
      <c r="BV4029" s="153"/>
      <c r="BW4029" s="153"/>
      <c r="BX4029" s="153"/>
      <c r="BY4029" s="153"/>
      <c r="BZ4029" s="153"/>
      <c r="CA4029" s="152"/>
      <c r="CB4029" s="152"/>
    </row>
    <row r="4030" spans="1:80" s="87" customFormat="1" ht="15" x14ac:dyDescent="0.25">
      <c r="A4030" s="152"/>
      <c r="B4030" s="683"/>
      <c r="C4030" s="683"/>
      <c r="D4030" s="698"/>
      <c r="E4030" s="215"/>
      <c r="F4030" s="215"/>
      <c r="G4030" s="153"/>
      <c r="H4030" s="153"/>
      <c r="I4030" s="320">
        <v>20</v>
      </c>
      <c r="J4030" s="320">
        <v>60</v>
      </c>
      <c r="K4030" s="222">
        <v>1</v>
      </c>
      <c r="L4030" s="658">
        <v>20</v>
      </c>
      <c r="M4030" s="663">
        <v>34453</v>
      </c>
      <c r="N4030" s="600">
        <v>16.3931</v>
      </c>
      <c r="O4030" s="604">
        <v>7.9769999999999997E-3</v>
      </c>
      <c r="P4030" s="250"/>
      <c r="Q4030" s="250"/>
      <c r="R4030" s="250"/>
      <c r="S4030" s="250"/>
      <c r="T4030" s="250">
        <v>1.3000000000000001E-2</v>
      </c>
      <c r="U4030" s="250">
        <v>6.6000000000000003E-2</v>
      </c>
      <c r="V4030" s="250">
        <v>0.34200000000000003</v>
      </c>
      <c r="W4030" s="250">
        <v>0.40799999999999997</v>
      </c>
      <c r="X4030" s="250">
        <v>0.16300000000000001</v>
      </c>
      <c r="Y4030" s="250">
        <v>8.0000000000000002E-3</v>
      </c>
      <c r="Z4030" s="150"/>
      <c r="AA4030" s="150">
        <v>0.87</v>
      </c>
      <c r="AB4030" s="152"/>
      <c r="AC4030" s="152"/>
      <c r="AD4030" s="223"/>
      <c r="AE4030" s="223"/>
      <c r="AF4030" s="223"/>
      <c r="AG4030" s="223"/>
      <c r="AH4030" s="341"/>
      <c r="AI4030" s="218"/>
      <c r="AJ4030" s="218"/>
      <c r="AK4030" s="153"/>
      <c r="AL4030" s="152"/>
      <c r="AM4030" s="152"/>
      <c r="AN4030" s="152"/>
      <c r="AO4030" s="152"/>
      <c r="AP4030" s="152"/>
      <c r="AQ4030" s="152"/>
      <c r="AR4030" s="152"/>
      <c r="AS4030" s="152"/>
      <c r="AT4030" s="152"/>
      <c r="AU4030" s="153"/>
      <c r="AV4030" s="479"/>
      <c r="AW4030" s="479"/>
      <c r="AX4030" s="442"/>
      <c r="AY4030" s="153"/>
      <c r="AZ4030" s="152"/>
      <c r="BA4030" s="152"/>
      <c r="BB4030" s="152"/>
      <c r="BC4030" s="152"/>
      <c r="BD4030" s="152"/>
      <c r="BE4030" s="152"/>
      <c r="BF4030" s="152"/>
      <c r="BG4030" s="152"/>
      <c r="BH4030" s="152"/>
      <c r="BI4030" s="153"/>
      <c r="BJ4030" s="153"/>
      <c r="BK4030" s="153"/>
      <c r="BL4030" s="153"/>
      <c r="BM4030" s="153"/>
      <c r="BN4030" s="153"/>
      <c r="BO4030" s="153"/>
      <c r="BP4030" s="153"/>
      <c r="BQ4030" s="153"/>
      <c r="BR4030" s="153"/>
      <c r="BS4030" s="153"/>
      <c r="BT4030" s="153"/>
      <c r="BU4030" s="153"/>
      <c r="BV4030" s="153"/>
      <c r="BW4030" s="153"/>
      <c r="BX4030" s="153"/>
      <c r="BY4030" s="153"/>
      <c r="BZ4030" s="153"/>
      <c r="CA4030" s="152"/>
      <c r="CB4030" s="152"/>
    </row>
    <row r="4031" spans="1:80" s="87" customFormat="1" ht="15" x14ac:dyDescent="0.25">
      <c r="A4031" s="152"/>
      <c r="B4031" s="683"/>
      <c r="C4031" s="683"/>
      <c r="D4031" s="698"/>
      <c r="E4031" s="215"/>
      <c r="F4031" s="215"/>
      <c r="G4031" s="153"/>
      <c r="H4031" s="153"/>
      <c r="I4031" s="320">
        <v>20</v>
      </c>
      <c r="J4031" s="320">
        <v>60</v>
      </c>
      <c r="K4031" s="222">
        <v>1</v>
      </c>
      <c r="L4031" s="658">
        <v>20</v>
      </c>
      <c r="M4031" s="663">
        <v>34453</v>
      </c>
      <c r="N4031" s="600">
        <v>16.3931</v>
      </c>
      <c r="O4031" s="604">
        <v>1.1440000000000001E-2</v>
      </c>
      <c r="P4031" s="250"/>
      <c r="Q4031" s="250"/>
      <c r="R4031" s="250"/>
      <c r="S4031" s="250"/>
      <c r="T4031" s="250"/>
      <c r="U4031" s="250">
        <v>0.13800000000000001</v>
      </c>
      <c r="V4031" s="250">
        <v>0.498</v>
      </c>
      <c r="W4031" s="250">
        <v>0.27600000000000002</v>
      </c>
      <c r="X4031" s="250">
        <v>8.199999999999999E-2</v>
      </c>
      <c r="Y4031" s="250">
        <v>6.0000000000000001E-3</v>
      </c>
      <c r="Z4031" s="150"/>
      <c r="AA4031" s="150">
        <v>1.21</v>
      </c>
      <c r="AB4031" s="152"/>
      <c r="AC4031" s="152"/>
      <c r="AD4031" s="223"/>
      <c r="AE4031" s="223"/>
      <c r="AF4031" s="223"/>
      <c r="AG4031" s="223"/>
      <c r="AH4031" s="341"/>
      <c r="AI4031" s="218"/>
      <c r="AJ4031" s="218"/>
      <c r="AK4031" s="153"/>
      <c r="AL4031" s="152"/>
      <c r="AM4031" s="152"/>
      <c r="AN4031" s="152"/>
      <c r="AO4031" s="152"/>
      <c r="AP4031" s="152"/>
      <c r="AQ4031" s="152"/>
      <c r="AR4031" s="152"/>
      <c r="AS4031" s="152"/>
      <c r="AT4031" s="152"/>
      <c r="AU4031" s="153"/>
      <c r="AV4031" s="479"/>
      <c r="AW4031" s="479"/>
      <c r="AX4031" s="442"/>
      <c r="AY4031" s="153"/>
      <c r="AZ4031" s="152"/>
      <c r="BA4031" s="152"/>
      <c r="BB4031" s="152"/>
      <c r="BC4031" s="152"/>
      <c r="BD4031" s="152"/>
      <c r="BE4031" s="152"/>
      <c r="BF4031" s="152"/>
      <c r="BG4031" s="152"/>
      <c r="BH4031" s="152"/>
      <c r="BI4031" s="153"/>
      <c r="BJ4031" s="153"/>
      <c r="BK4031" s="153"/>
      <c r="BL4031" s="153"/>
      <c r="BM4031" s="153"/>
      <c r="BN4031" s="153"/>
      <c r="BO4031" s="153"/>
      <c r="BP4031" s="153"/>
      <c r="BQ4031" s="153"/>
      <c r="BR4031" s="153"/>
      <c r="BS4031" s="153"/>
      <c r="BT4031" s="153"/>
      <c r="BU4031" s="153"/>
      <c r="BV4031" s="153"/>
      <c r="BW4031" s="153"/>
      <c r="BX4031" s="153"/>
      <c r="BY4031" s="153"/>
      <c r="BZ4031" s="153"/>
      <c r="CA4031" s="152"/>
      <c r="CB4031" s="152"/>
    </row>
    <row r="4032" spans="1:80" s="87" customFormat="1" ht="15" x14ac:dyDescent="0.25">
      <c r="A4032" s="152"/>
      <c r="B4032" s="683"/>
      <c r="C4032" s="683"/>
      <c r="D4032" s="698"/>
      <c r="E4032" s="215"/>
      <c r="F4032" s="215"/>
      <c r="G4032" s="153"/>
      <c r="H4032" s="153"/>
      <c r="I4032" s="320">
        <v>20</v>
      </c>
      <c r="J4032" s="320">
        <v>60</v>
      </c>
      <c r="K4032" s="222">
        <v>1</v>
      </c>
      <c r="L4032" s="658">
        <v>20</v>
      </c>
      <c r="M4032" s="663">
        <v>34457</v>
      </c>
      <c r="N4032" s="600">
        <v>15.175599999999999</v>
      </c>
      <c r="O4032" s="604">
        <v>4.5129999999999997E-3</v>
      </c>
      <c r="P4032" s="250"/>
      <c r="Q4032" s="250"/>
      <c r="R4032" s="250"/>
      <c r="S4032" s="250"/>
      <c r="T4032" s="250">
        <v>6.9999999999999993E-3</v>
      </c>
      <c r="U4032" s="250">
        <v>0.06</v>
      </c>
      <c r="V4032" s="250">
        <v>0.45899999999999996</v>
      </c>
      <c r="W4032" s="250">
        <v>0.37</v>
      </c>
      <c r="X4032" s="250">
        <v>9.6999999999999989E-2</v>
      </c>
      <c r="Y4032" s="250">
        <v>6.9999999999999993E-3</v>
      </c>
      <c r="Z4032" s="150"/>
      <c r="AA4032" s="150">
        <v>1.04</v>
      </c>
      <c r="AB4032" s="152"/>
      <c r="AC4032" s="152"/>
      <c r="AD4032" s="223"/>
      <c r="AE4032" s="223"/>
      <c r="AF4032" s="223"/>
      <c r="AG4032" s="223"/>
      <c r="AH4032" s="341"/>
      <c r="AI4032" s="218"/>
      <c r="AJ4032" s="218"/>
      <c r="AK4032" s="153"/>
      <c r="AL4032" s="152"/>
      <c r="AM4032" s="152"/>
      <c r="AN4032" s="152"/>
      <c r="AO4032" s="152"/>
      <c r="AP4032" s="152"/>
      <c r="AQ4032" s="152"/>
      <c r="AR4032" s="152"/>
      <c r="AS4032" s="152"/>
      <c r="AT4032" s="152"/>
      <c r="AU4032" s="153"/>
      <c r="AV4032" s="479"/>
      <c r="AW4032" s="479"/>
      <c r="AX4032" s="442"/>
      <c r="AY4032" s="153"/>
      <c r="AZ4032" s="152"/>
      <c r="BA4032" s="152"/>
      <c r="BB4032" s="152"/>
      <c r="BC4032" s="152"/>
      <c r="BD4032" s="152"/>
      <c r="BE4032" s="152"/>
      <c r="BF4032" s="152"/>
      <c r="BG4032" s="152"/>
      <c r="BH4032" s="152"/>
      <c r="BI4032" s="153"/>
      <c r="BJ4032" s="153"/>
      <c r="BK4032" s="153"/>
      <c r="BL4032" s="153"/>
      <c r="BM4032" s="153"/>
      <c r="BN4032" s="153"/>
      <c r="BO4032" s="153"/>
      <c r="BP4032" s="153"/>
      <c r="BQ4032" s="153"/>
      <c r="BR4032" s="153"/>
      <c r="BS4032" s="153"/>
      <c r="BT4032" s="153"/>
      <c r="BU4032" s="153"/>
      <c r="BV4032" s="153"/>
      <c r="BW4032" s="153"/>
      <c r="BX4032" s="153"/>
      <c r="BY4032" s="153"/>
      <c r="BZ4032" s="153"/>
      <c r="CA4032" s="152"/>
      <c r="CB4032" s="152"/>
    </row>
    <row r="4033" spans="1:80" s="87" customFormat="1" ht="15" x14ac:dyDescent="0.25">
      <c r="A4033" s="152"/>
      <c r="B4033" s="683"/>
      <c r="C4033" s="683"/>
      <c r="D4033" s="698"/>
      <c r="E4033" s="215"/>
      <c r="F4033" s="215"/>
      <c r="G4033" s="153"/>
      <c r="H4033" s="153"/>
      <c r="I4033" s="320">
        <v>20</v>
      </c>
      <c r="J4033" s="320">
        <v>60</v>
      </c>
      <c r="K4033" s="222">
        <v>1</v>
      </c>
      <c r="L4033" s="658">
        <v>20</v>
      </c>
      <c r="M4033" s="663">
        <v>34457</v>
      </c>
      <c r="N4033" s="600">
        <v>15.175599999999999</v>
      </c>
      <c r="O4033" s="604">
        <v>1.3435000000000001E-2</v>
      </c>
      <c r="P4033" s="250"/>
      <c r="Q4033" s="250"/>
      <c r="R4033" s="250"/>
      <c r="S4033" s="250"/>
      <c r="T4033" s="250">
        <v>2E-3</v>
      </c>
      <c r="U4033" s="250">
        <v>0.126</v>
      </c>
      <c r="V4033" s="250">
        <v>0.47299999999999998</v>
      </c>
      <c r="W4033" s="250">
        <v>0.309</v>
      </c>
      <c r="X4033" s="250">
        <v>8.5000000000000006E-2</v>
      </c>
      <c r="Y4033" s="250">
        <v>5.0000000000000001E-3</v>
      </c>
      <c r="Z4033" s="150"/>
      <c r="AA4033" s="150">
        <v>1.1599999999999999</v>
      </c>
      <c r="AB4033" s="152"/>
      <c r="AC4033" s="152"/>
      <c r="AD4033" s="223"/>
      <c r="AE4033" s="223"/>
      <c r="AF4033" s="223"/>
      <c r="AG4033" s="223"/>
      <c r="AH4033" s="341"/>
      <c r="AI4033" s="218"/>
      <c r="AJ4033" s="218"/>
      <c r="AK4033" s="153"/>
      <c r="AL4033" s="152"/>
      <c r="AM4033" s="152"/>
      <c r="AN4033" s="152"/>
      <c r="AO4033" s="152"/>
      <c r="AP4033" s="152"/>
      <c r="AQ4033" s="152"/>
      <c r="AR4033" s="152"/>
      <c r="AS4033" s="152"/>
      <c r="AT4033" s="152"/>
      <c r="AU4033" s="153"/>
      <c r="AV4033" s="479"/>
      <c r="AW4033" s="479"/>
      <c r="AX4033" s="442"/>
      <c r="AY4033" s="153"/>
      <c r="AZ4033" s="152"/>
      <c r="BA4033" s="152"/>
      <c r="BB4033" s="152"/>
      <c r="BC4033" s="152"/>
      <c r="BD4033" s="152"/>
      <c r="BE4033" s="152"/>
      <c r="BF4033" s="152"/>
      <c r="BG4033" s="152"/>
      <c r="BH4033" s="152"/>
      <c r="BI4033" s="153"/>
      <c r="BJ4033" s="153"/>
      <c r="BK4033" s="153"/>
      <c r="BL4033" s="153"/>
      <c r="BM4033" s="153"/>
      <c r="BN4033" s="153"/>
      <c r="BO4033" s="153"/>
      <c r="BP4033" s="153"/>
      <c r="BQ4033" s="153"/>
      <c r="BR4033" s="153"/>
      <c r="BS4033" s="153"/>
      <c r="BT4033" s="153"/>
      <c r="BU4033" s="153"/>
      <c r="BV4033" s="153"/>
      <c r="BW4033" s="153"/>
      <c r="BX4033" s="153"/>
      <c r="BY4033" s="153"/>
      <c r="BZ4033" s="153"/>
      <c r="CA4033" s="152"/>
      <c r="CB4033" s="152"/>
    </row>
    <row r="4034" spans="1:80" s="87" customFormat="1" ht="15" x14ac:dyDescent="0.25">
      <c r="A4034" s="152"/>
      <c r="B4034" s="683"/>
      <c r="C4034" s="683"/>
      <c r="D4034" s="698"/>
      <c r="E4034" s="215"/>
      <c r="F4034" s="215"/>
      <c r="G4034" s="153"/>
      <c r="H4034" s="153"/>
      <c r="I4034" s="320">
        <v>20</v>
      </c>
      <c r="J4034" s="320">
        <v>60</v>
      </c>
      <c r="K4034" s="222">
        <v>1</v>
      </c>
      <c r="L4034" s="658">
        <v>20</v>
      </c>
      <c r="M4034" s="663">
        <v>34458</v>
      </c>
      <c r="N4034" s="600">
        <v>16.279800000000002</v>
      </c>
      <c r="O4034" s="604">
        <v>2.0990000000000002E-3</v>
      </c>
      <c r="P4034" s="250"/>
      <c r="Q4034" s="250"/>
      <c r="R4034" s="250"/>
      <c r="S4034" s="250"/>
      <c r="T4034" s="250"/>
      <c r="U4034" s="250">
        <v>1.6E-2</v>
      </c>
      <c r="V4034" s="250">
        <v>0.109</v>
      </c>
      <c r="W4034" s="250">
        <v>0.42200000000000004</v>
      </c>
      <c r="X4034" s="250">
        <v>0.43700000000000006</v>
      </c>
      <c r="Y4034" s="250">
        <v>1.6E-2</v>
      </c>
      <c r="Z4034" s="150"/>
      <c r="AA4034" s="150">
        <v>0.54</v>
      </c>
      <c r="AB4034" s="152"/>
      <c r="AC4034" s="152"/>
      <c r="AD4034" s="223"/>
      <c r="AE4034" s="223"/>
      <c r="AF4034" s="223"/>
      <c r="AG4034" s="223"/>
      <c r="AH4034" s="341"/>
      <c r="AI4034" s="218"/>
      <c r="AJ4034" s="218"/>
      <c r="AK4034" s="153"/>
      <c r="AL4034" s="152"/>
      <c r="AM4034" s="152"/>
      <c r="AN4034" s="152"/>
      <c r="AO4034" s="152"/>
      <c r="AP4034" s="152"/>
      <c r="AQ4034" s="152"/>
      <c r="AR4034" s="152"/>
      <c r="AS4034" s="152"/>
      <c r="AT4034" s="152"/>
      <c r="AU4034" s="153"/>
      <c r="AV4034" s="479"/>
      <c r="AW4034" s="479"/>
      <c r="AX4034" s="442"/>
      <c r="AY4034" s="153"/>
      <c r="AZ4034" s="152"/>
      <c r="BA4034" s="152"/>
      <c r="BB4034" s="152"/>
      <c r="BC4034" s="152"/>
      <c r="BD4034" s="152"/>
      <c r="BE4034" s="152"/>
      <c r="BF4034" s="152"/>
      <c r="BG4034" s="152"/>
      <c r="BH4034" s="152"/>
      <c r="BI4034" s="153"/>
      <c r="BJ4034" s="153"/>
      <c r="BK4034" s="153"/>
      <c r="BL4034" s="153"/>
      <c r="BM4034" s="153"/>
      <c r="BN4034" s="153"/>
      <c r="BO4034" s="153"/>
      <c r="BP4034" s="153"/>
      <c r="BQ4034" s="153"/>
      <c r="BR4034" s="153"/>
      <c r="BS4034" s="153"/>
      <c r="BT4034" s="153"/>
      <c r="BU4034" s="153"/>
      <c r="BV4034" s="153"/>
      <c r="BW4034" s="153"/>
      <c r="BX4034" s="153"/>
      <c r="BY4034" s="153"/>
      <c r="BZ4034" s="153"/>
      <c r="CA4034" s="152"/>
      <c r="CB4034" s="152"/>
    </row>
    <row r="4035" spans="1:80" s="87" customFormat="1" ht="15" x14ac:dyDescent="0.25">
      <c r="A4035" s="152"/>
      <c r="B4035" s="683"/>
      <c r="C4035" s="683"/>
      <c r="D4035" s="698"/>
      <c r="E4035" s="215"/>
      <c r="F4035" s="215"/>
      <c r="G4035" s="153"/>
      <c r="H4035" s="153"/>
      <c r="I4035" s="320">
        <v>20</v>
      </c>
      <c r="J4035" s="320">
        <v>60</v>
      </c>
      <c r="K4035" s="222">
        <v>1</v>
      </c>
      <c r="L4035" s="658">
        <v>20</v>
      </c>
      <c r="M4035" s="663">
        <v>34458</v>
      </c>
      <c r="N4035" s="600">
        <v>16.279800000000002</v>
      </c>
      <c r="O4035" s="604">
        <v>2.435E-2</v>
      </c>
      <c r="P4035" s="250"/>
      <c r="Q4035" s="250"/>
      <c r="R4035" s="250"/>
      <c r="S4035" s="250"/>
      <c r="T4035" s="250">
        <v>3.6000000000000004E-2</v>
      </c>
      <c r="U4035" s="250">
        <v>0.12</v>
      </c>
      <c r="V4035" s="250">
        <v>0.35299999999999998</v>
      </c>
      <c r="W4035" s="250">
        <v>0.34899999999999998</v>
      </c>
      <c r="X4035" s="250">
        <v>0.13800000000000001</v>
      </c>
      <c r="Y4035" s="250">
        <v>4.0000000000000001E-3</v>
      </c>
      <c r="Z4035" s="150"/>
      <c r="AA4035" s="150">
        <v>1.02</v>
      </c>
      <c r="AB4035" s="152"/>
      <c r="AC4035" s="152"/>
      <c r="AD4035" s="223"/>
      <c r="AE4035" s="223"/>
      <c r="AF4035" s="223"/>
      <c r="AG4035" s="223"/>
      <c r="AH4035" s="341"/>
      <c r="AI4035" s="218"/>
      <c r="AJ4035" s="218"/>
      <c r="AK4035" s="153"/>
      <c r="AL4035" s="152"/>
      <c r="AM4035" s="152"/>
      <c r="AN4035" s="152"/>
      <c r="AO4035" s="152"/>
      <c r="AP4035" s="152"/>
      <c r="AQ4035" s="152"/>
      <c r="AR4035" s="152"/>
      <c r="AS4035" s="152"/>
      <c r="AT4035" s="152"/>
      <c r="AU4035" s="153"/>
      <c r="AV4035" s="479"/>
      <c r="AW4035" s="479"/>
      <c r="AX4035" s="442"/>
      <c r="AY4035" s="153"/>
      <c r="AZ4035" s="152"/>
      <c r="BA4035" s="152"/>
      <c r="BB4035" s="152"/>
      <c r="BC4035" s="152"/>
      <c r="BD4035" s="152"/>
      <c r="BE4035" s="152"/>
      <c r="BF4035" s="152"/>
      <c r="BG4035" s="152"/>
      <c r="BH4035" s="152"/>
      <c r="BI4035" s="153"/>
      <c r="BJ4035" s="153"/>
      <c r="BK4035" s="153"/>
      <c r="BL4035" s="153"/>
      <c r="BM4035" s="153"/>
      <c r="BN4035" s="153"/>
      <c r="BO4035" s="153"/>
      <c r="BP4035" s="153"/>
      <c r="BQ4035" s="153"/>
      <c r="BR4035" s="153"/>
      <c r="BS4035" s="153"/>
      <c r="BT4035" s="153"/>
      <c r="BU4035" s="153"/>
      <c r="BV4035" s="153"/>
      <c r="BW4035" s="153"/>
      <c r="BX4035" s="153"/>
      <c r="BY4035" s="153"/>
      <c r="BZ4035" s="153"/>
      <c r="CA4035" s="152"/>
      <c r="CB4035" s="152"/>
    </row>
    <row r="4036" spans="1:80" s="87" customFormat="1" ht="15" x14ac:dyDescent="0.25">
      <c r="A4036" s="152"/>
      <c r="B4036" s="683"/>
      <c r="C4036" s="683"/>
      <c r="D4036" s="698"/>
      <c r="E4036" s="215"/>
      <c r="F4036" s="215"/>
      <c r="G4036" s="153"/>
      <c r="H4036" s="153"/>
      <c r="I4036" s="320">
        <v>20</v>
      </c>
      <c r="J4036" s="320">
        <v>60</v>
      </c>
      <c r="K4036" s="222">
        <v>1</v>
      </c>
      <c r="L4036" s="658">
        <v>20</v>
      </c>
      <c r="M4036" s="663">
        <v>34464</v>
      </c>
      <c r="N4036" s="600">
        <v>38.788400000000003</v>
      </c>
      <c r="O4036" s="604">
        <v>1.4904000000000001E-2</v>
      </c>
      <c r="P4036" s="250"/>
      <c r="Q4036" s="250"/>
      <c r="R4036" s="250"/>
      <c r="S4036" s="250"/>
      <c r="T4036" s="250"/>
      <c r="U4036" s="250">
        <v>1.7000000000000001E-2</v>
      </c>
      <c r="V4036" s="250">
        <v>0.158</v>
      </c>
      <c r="W4036" s="250">
        <v>0.46500000000000002</v>
      </c>
      <c r="X4036" s="250">
        <v>0.33799999999999997</v>
      </c>
      <c r="Y4036" s="250">
        <v>2.2000000000000002E-2</v>
      </c>
      <c r="Z4036" s="150"/>
      <c r="AA4036" s="150">
        <v>0.62</v>
      </c>
      <c r="AB4036" s="152"/>
      <c r="AC4036" s="152"/>
      <c r="AD4036" s="223"/>
      <c r="AE4036" s="223"/>
      <c r="AF4036" s="223"/>
      <c r="AG4036" s="223"/>
      <c r="AH4036" s="341"/>
      <c r="AI4036" s="218"/>
      <c r="AJ4036" s="218"/>
      <c r="AK4036" s="153"/>
      <c r="AL4036" s="152"/>
      <c r="AM4036" s="152"/>
      <c r="AN4036" s="152"/>
      <c r="AO4036" s="152"/>
      <c r="AP4036" s="152"/>
      <c r="AQ4036" s="152"/>
      <c r="AR4036" s="152"/>
      <c r="AS4036" s="152"/>
      <c r="AT4036" s="152"/>
      <c r="AU4036" s="153"/>
      <c r="AV4036" s="479"/>
      <c r="AW4036" s="479"/>
      <c r="AX4036" s="442"/>
      <c r="AY4036" s="153"/>
      <c r="AZ4036" s="152"/>
      <c r="BA4036" s="152"/>
      <c r="BB4036" s="152"/>
      <c r="BC4036" s="152"/>
      <c r="BD4036" s="152"/>
      <c r="BE4036" s="152"/>
      <c r="BF4036" s="152"/>
      <c r="BG4036" s="152"/>
      <c r="BH4036" s="152"/>
      <c r="BI4036" s="153"/>
      <c r="BJ4036" s="153"/>
      <c r="BK4036" s="153"/>
      <c r="BL4036" s="153"/>
      <c r="BM4036" s="153"/>
      <c r="BN4036" s="153"/>
      <c r="BO4036" s="153"/>
      <c r="BP4036" s="153"/>
      <c r="BQ4036" s="153"/>
      <c r="BR4036" s="153"/>
      <c r="BS4036" s="153"/>
      <c r="BT4036" s="153"/>
      <c r="BU4036" s="153"/>
      <c r="BV4036" s="153"/>
      <c r="BW4036" s="153"/>
      <c r="BX4036" s="153"/>
      <c r="BY4036" s="153"/>
      <c r="BZ4036" s="153"/>
      <c r="CA4036" s="152"/>
      <c r="CB4036" s="152"/>
    </row>
    <row r="4037" spans="1:80" s="87" customFormat="1" ht="15" x14ac:dyDescent="0.25">
      <c r="A4037" s="152"/>
      <c r="B4037" s="683"/>
      <c r="C4037" s="683"/>
      <c r="D4037" s="698"/>
      <c r="E4037" s="215"/>
      <c r="F4037" s="215"/>
      <c r="G4037" s="153"/>
      <c r="H4037" s="153"/>
      <c r="I4037" s="320">
        <v>20</v>
      </c>
      <c r="J4037" s="320">
        <v>60</v>
      </c>
      <c r="K4037" s="222">
        <v>1</v>
      </c>
      <c r="L4037" s="658">
        <v>20</v>
      </c>
      <c r="M4037" s="663">
        <v>34464</v>
      </c>
      <c r="N4037" s="600">
        <v>38.788400000000003</v>
      </c>
      <c r="O4037" s="604">
        <v>7.0740999999999998E-2</v>
      </c>
      <c r="P4037" s="250"/>
      <c r="Q4037" s="250"/>
      <c r="R4037" s="250"/>
      <c r="S4037" s="250"/>
      <c r="T4037" s="250">
        <v>5.0000000000000001E-3</v>
      </c>
      <c r="U4037" s="250">
        <v>2.5000000000000001E-2</v>
      </c>
      <c r="V4037" s="250">
        <v>0.26899999999999996</v>
      </c>
      <c r="W4037" s="250">
        <v>0.49399999999999999</v>
      </c>
      <c r="X4037" s="250">
        <v>0.19899999999999998</v>
      </c>
      <c r="Y4037" s="250">
        <v>8.0000000000000002E-3</v>
      </c>
      <c r="Z4037" s="150"/>
      <c r="AA4037" s="150">
        <v>0.75</v>
      </c>
      <c r="AB4037" s="152"/>
      <c r="AC4037" s="152"/>
      <c r="AD4037" s="223"/>
      <c r="AE4037" s="223"/>
      <c r="AF4037" s="223"/>
      <c r="AG4037" s="223"/>
      <c r="AH4037" s="341"/>
      <c r="AI4037" s="218"/>
      <c r="AJ4037" s="218"/>
      <c r="AK4037" s="153"/>
      <c r="AL4037" s="152"/>
      <c r="AM4037" s="152"/>
      <c r="AN4037" s="152"/>
      <c r="AO4037" s="152"/>
      <c r="AP4037" s="152"/>
      <c r="AQ4037" s="152"/>
      <c r="AR4037" s="152"/>
      <c r="AS4037" s="152"/>
      <c r="AT4037" s="152"/>
      <c r="AU4037" s="153"/>
      <c r="AV4037" s="479"/>
      <c r="AW4037" s="479"/>
      <c r="AX4037" s="442"/>
      <c r="AY4037" s="153"/>
      <c r="AZ4037" s="152"/>
      <c r="BA4037" s="152"/>
      <c r="BB4037" s="152"/>
      <c r="BC4037" s="152"/>
      <c r="BD4037" s="152"/>
      <c r="BE4037" s="152"/>
      <c r="BF4037" s="152"/>
      <c r="BG4037" s="152"/>
      <c r="BH4037" s="152"/>
      <c r="BI4037" s="153"/>
      <c r="BJ4037" s="153"/>
      <c r="BK4037" s="153"/>
      <c r="BL4037" s="153"/>
      <c r="BM4037" s="153"/>
      <c r="BN4037" s="153"/>
      <c r="BO4037" s="153"/>
      <c r="BP4037" s="153"/>
      <c r="BQ4037" s="153"/>
      <c r="BR4037" s="153"/>
      <c r="BS4037" s="153"/>
      <c r="BT4037" s="153"/>
      <c r="BU4037" s="153"/>
      <c r="BV4037" s="153"/>
      <c r="BW4037" s="153"/>
      <c r="BX4037" s="153"/>
      <c r="BY4037" s="153"/>
      <c r="BZ4037" s="153"/>
      <c r="CA4037" s="152"/>
      <c r="CB4037" s="152"/>
    </row>
    <row r="4038" spans="1:80" s="87" customFormat="1" ht="15" x14ac:dyDescent="0.25">
      <c r="A4038" s="152"/>
      <c r="B4038" s="683"/>
      <c r="C4038" s="683"/>
      <c r="D4038" s="698"/>
      <c r="E4038" s="215"/>
      <c r="F4038" s="215"/>
      <c r="G4038" s="153"/>
      <c r="H4038" s="153"/>
      <c r="I4038" s="320">
        <v>20</v>
      </c>
      <c r="J4038" s="320">
        <v>60</v>
      </c>
      <c r="K4038" s="222">
        <v>1</v>
      </c>
      <c r="L4038" s="658">
        <v>20</v>
      </c>
      <c r="M4038" s="663">
        <v>34465</v>
      </c>
      <c r="N4038" s="600">
        <v>42.185899999999997</v>
      </c>
      <c r="O4038" s="604">
        <v>5.5102999999999999E-2</v>
      </c>
      <c r="P4038" s="250"/>
      <c r="Q4038" s="250"/>
      <c r="R4038" s="250"/>
      <c r="S4038" s="250"/>
      <c r="T4038" s="250">
        <v>1.2E-2</v>
      </c>
      <c r="U4038" s="250">
        <v>0.06</v>
      </c>
      <c r="V4038" s="250">
        <v>0.26899999999999996</v>
      </c>
      <c r="W4038" s="250">
        <v>0.34700000000000003</v>
      </c>
      <c r="X4038" s="250">
        <v>0.29499999999999998</v>
      </c>
      <c r="Y4038" s="250">
        <v>1.7000000000000001E-2</v>
      </c>
      <c r="Z4038" s="150"/>
      <c r="AA4038" s="150">
        <v>0.73</v>
      </c>
      <c r="AB4038" s="152"/>
      <c r="AC4038" s="152"/>
      <c r="AD4038" s="223"/>
      <c r="AE4038" s="223"/>
      <c r="AF4038" s="223"/>
      <c r="AG4038" s="223"/>
      <c r="AH4038" s="341"/>
      <c r="AI4038" s="218"/>
      <c r="AJ4038" s="218"/>
      <c r="AK4038" s="153"/>
      <c r="AL4038" s="152"/>
      <c r="AM4038" s="152"/>
      <c r="AN4038" s="152"/>
      <c r="AO4038" s="152"/>
      <c r="AP4038" s="152"/>
      <c r="AQ4038" s="152"/>
      <c r="AR4038" s="152"/>
      <c r="AS4038" s="152"/>
      <c r="AT4038" s="152"/>
      <c r="AU4038" s="153"/>
      <c r="AV4038" s="479"/>
      <c r="AW4038" s="479"/>
      <c r="AX4038" s="442"/>
      <c r="AY4038" s="153"/>
      <c r="AZ4038" s="152"/>
      <c r="BA4038" s="152"/>
      <c r="BB4038" s="152"/>
      <c r="BC4038" s="152"/>
      <c r="BD4038" s="152"/>
      <c r="BE4038" s="152"/>
      <c r="BF4038" s="152"/>
      <c r="BG4038" s="152"/>
      <c r="BH4038" s="152"/>
      <c r="BI4038" s="153"/>
      <c r="BJ4038" s="153"/>
      <c r="BK4038" s="153"/>
      <c r="BL4038" s="153"/>
      <c r="BM4038" s="153"/>
      <c r="BN4038" s="153"/>
      <c r="BO4038" s="153"/>
      <c r="BP4038" s="153"/>
      <c r="BQ4038" s="153"/>
      <c r="BR4038" s="153"/>
      <c r="BS4038" s="153"/>
      <c r="BT4038" s="153"/>
      <c r="BU4038" s="153"/>
      <c r="BV4038" s="153"/>
      <c r="BW4038" s="153"/>
      <c r="BX4038" s="153"/>
      <c r="BY4038" s="153"/>
      <c r="BZ4038" s="153"/>
      <c r="CA4038" s="152"/>
      <c r="CB4038" s="152"/>
    </row>
    <row r="4039" spans="1:80" s="87" customFormat="1" ht="15" x14ac:dyDescent="0.25">
      <c r="A4039" s="152"/>
      <c r="B4039" s="683"/>
      <c r="C4039" s="683"/>
      <c r="D4039" s="698"/>
      <c r="E4039" s="215"/>
      <c r="F4039" s="215"/>
      <c r="G4039" s="153"/>
      <c r="H4039" s="153"/>
      <c r="I4039" s="320">
        <v>20</v>
      </c>
      <c r="J4039" s="320">
        <v>60</v>
      </c>
      <c r="K4039" s="222">
        <v>1</v>
      </c>
      <c r="L4039" s="658">
        <v>20</v>
      </c>
      <c r="M4039" s="663">
        <v>34465</v>
      </c>
      <c r="N4039" s="600">
        <v>42.185899999999997</v>
      </c>
      <c r="O4039" s="604">
        <v>3.9253999999999997E-2</v>
      </c>
      <c r="P4039" s="250"/>
      <c r="Q4039" s="250"/>
      <c r="R4039" s="250"/>
      <c r="S4039" s="250"/>
      <c r="T4039" s="250">
        <v>3.0000000000000001E-3</v>
      </c>
      <c r="U4039" s="250">
        <v>1.8000000000000002E-2</v>
      </c>
      <c r="V4039" s="250">
        <v>0.24100000000000002</v>
      </c>
      <c r="W4039" s="250">
        <v>0.47600000000000003</v>
      </c>
      <c r="X4039" s="250">
        <v>0.25</v>
      </c>
      <c r="Y4039" s="250">
        <v>1.2E-2</v>
      </c>
      <c r="Z4039" s="150"/>
      <c r="AA4039" s="150">
        <v>0.71</v>
      </c>
      <c r="AB4039" s="152"/>
      <c r="AC4039" s="152"/>
      <c r="AD4039" s="223"/>
      <c r="AE4039" s="223"/>
      <c r="AF4039" s="223"/>
      <c r="AG4039" s="223"/>
      <c r="AH4039" s="341"/>
      <c r="AI4039" s="218"/>
      <c r="AJ4039" s="218"/>
      <c r="AK4039" s="153"/>
      <c r="AL4039" s="152"/>
      <c r="AM4039" s="152"/>
      <c r="AN4039" s="152"/>
      <c r="AO4039" s="152"/>
      <c r="AP4039" s="152"/>
      <c r="AQ4039" s="152"/>
      <c r="AR4039" s="152"/>
      <c r="AS4039" s="152"/>
      <c r="AT4039" s="152"/>
      <c r="AU4039" s="153"/>
      <c r="AV4039" s="479"/>
      <c r="AW4039" s="479"/>
      <c r="AX4039" s="442"/>
      <c r="AY4039" s="153"/>
      <c r="AZ4039" s="152"/>
      <c r="BA4039" s="152"/>
      <c r="BB4039" s="152"/>
      <c r="BC4039" s="152"/>
      <c r="BD4039" s="152"/>
      <c r="BE4039" s="152"/>
      <c r="BF4039" s="152"/>
      <c r="BG4039" s="152"/>
      <c r="BH4039" s="152"/>
      <c r="BI4039" s="153"/>
      <c r="BJ4039" s="153"/>
      <c r="BK4039" s="153"/>
      <c r="BL4039" s="153"/>
      <c r="BM4039" s="153"/>
      <c r="BN4039" s="153"/>
      <c r="BO4039" s="153"/>
      <c r="BP4039" s="153"/>
      <c r="BQ4039" s="153"/>
      <c r="BR4039" s="153"/>
      <c r="BS4039" s="153"/>
      <c r="BT4039" s="153"/>
      <c r="BU4039" s="153"/>
      <c r="BV4039" s="153"/>
      <c r="BW4039" s="153"/>
      <c r="BX4039" s="153"/>
      <c r="BY4039" s="153"/>
      <c r="BZ4039" s="153"/>
      <c r="CA4039" s="152"/>
      <c r="CB4039" s="152"/>
    </row>
    <row r="4040" spans="1:80" s="87" customFormat="1" ht="15" x14ac:dyDescent="0.25">
      <c r="A4040" s="152"/>
      <c r="B4040" s="683"/>
      <c r="C4040" s="683"/>
      <c r="D4040" s="698"/>
      <c r="E4040" s="215"/>
      <c r="F4040" s="215"/>
      <c r="G4040" s="153"/>
      <c r="H4040" s="153"/>
      <c r="I4040" s="320">
        <v>20</v>
      </c>
      <c r="J4040" s="320">
        <v>60</v>
      </c>
      <c r="K4040" s="222">
        <v>1</v>
      </c>
      <c r="L4040" s="658">
        <v>20</v>
      </c>
      <c r="M4040" s="663">
        <v>34469</v>
      </c>
      <c r="N4040" s="600">
        <v>30.860800000000001</v>
      </c>
      <c r="O4040" s="604">
        <v>9.0259999999999993E-3</v>
      </c>
      <c r="P4040" s="250"/>
      <c r="Q4040" s="250"/>
      <c r="R4040" s="250"/>
      <c r="S4040" s="250"/>
      <c r="T4040" s="250">
        <v>3.1E-2</v>
      </c>
      <c r="U4040" s="250">
        <v>5.0999999999999997E-2</v>
      </c>
      <c r="V4040" s="250">
        <v>0.32799999999999996</v>
      </c>
      <c r="W4040" s="250">
        <v>0.38700000000000001</v>
      </c>
      <c r="X4040" s="250">
        <v>0.191</v>
      </c>
      <c r="Y4040" s="250">
        <v>1.2E-2</v>
      </c>
      <c r="Z4040" s="150"/>
      <c r="AA4040" s="150">
        <v>0.85</v>
      </c>
      <c r="AB4040" s="152"/>
      <c r="AC4040" s="152"/>
      <c r="AD4040" s="223"/>
      <c r="AE4040" s="223"/>
      <c r="AF4040" s="223"/>
      <c r="AG4040" s="223"/>
      <c r="AH4040" s="341"/>
      <c r="AI4040" s="218"/>
      <c r="AJ4040" s="218"/>
      <c r="AK4040" s="153"/>
      <c r="AL4040" s="152"/>
      <c r="AM4040" s="152"/>
      <c r="AN4040" s="152"/>
      <c r="AO4040" s="152"/>
      <c r="AP4040" s="152"/>
      <c r="AQ4040" s="152"/>
      <c r="AR4040" s="152"/>
      <c r="AS4040" s="152"/>
      <c r="AT4040" s="152"/>
      <c r="AU4040" s="153"/>
      <c r="AV4040" s="479"/>
      <c r="AW4040" s="479"/>
      <c r="AX4040" s="442"/>
      <c r="AY4040" s="153"/>
      <c r="AZ4040" s="152"/>
      <c r="BA4040" s="152"/>
      <c r="BB4040" s="152"/>
      <c r="BC4040" s="152"/>
      <c r="BD4040" s="152"/>
      <c r="BE4040" s="152"/>
      <c r="BF4040" s="152"/>
      <c r="BG4040" s="152"/>
      <c r="BH4040" s="152"/>
      <c r="BI4040" s="153"/>
      <c r="BJ4040" s="153"/>
      <c r="BK4040" s="153"/>
      <c r="BL4040" s="153"/>
      <c r="BM4040" s="153"/>
      <c r="BN4040" s="153"/>
      <c r="BO4040" s="153"/>
      <c r="BP4040" s="153"/>
      <c r="BQ4040" s="153"/>
      <c r="BR4040" s="153"/>
      <c r="BS4040" s="153"/>
      <c r="BT4040" s="153"/>
      <c r="BU4040" s="153"/>
      <c r="BV4040" s="153"/>
      <c r="BW4040" s="153"/>
      <c r="BX4040" s="153"/>
      <c r="BY4040" s="153"/>
      <c r="BZ4040" s="153"/>
      <c r="CA4040" s="152"/>
      <c r="CB4040" s="152"/>
    </row>
    <row r="4041" spans="1:80" s="87" customFormat="1" ht="15" x14ac:dyDescent="0.25">
      <c r="A4041" s="152"/>
      <c r="B4041" s="683"/>
      <c r="C4041" s="683"/>
      <c r="D4041" s="698"/>
      <c r="E4041" s="215"/>
      <c r="F4041" s="215"/>
      <c r="G4041" s="153"/>
      <c r="H4041" s="153"/>
      <c r="I4041" s="320">
        <v>20</v>
      </c>
      <c r="J4041" s="320">
        <v>60</v>
      </c>
      <c r="K4041" s="222">
        <v>1</v>
      </c>
      <c r="L4041" s="658">
        <v>20</v>
      </c>
      <c r="M4041" s="663">
        <v>34469</v>
      </c>
      <c r="N4041" s="600">
        <v>30.860800000000001</v>
      </c>
      <c r="O4041" s="604">
        <v>1.7212999999999999E-2</v>
      </c>
      <c r="P4041" s="250"/>
      <c r="Q4041" s="250"/>
      <c r="R4041" s="250"/>
      <c r="S4041" s="250"/>
      <c r="T4041" s="250">
        <v>0.02</v>
      </c>
      <c r="U4041" s="250">
        <v>0.21100000000000002</v>
      </c>
      <c r="V4041" s="250">
        <v>0.3</v>
      </c>
      <c r="W4041" s="250">
        <v>0.315</v>
      </c>
      <c r="X4041" s="250">
        <v>0.13400000000000001</v>
      </c>
      <c r="Y4041" s="250">
        <v>0.02</v>
      </c>
      <c r="Z4041" s="150"/>
      <c r="AA4041" s="150">
        <v>1.07</v>
      </c>
      <c r="AB4041" s="152"/>
      <c r="AC4041" s="152"/>
      <c r="AD4041" s="223"/>
      <c r="AE4041" s="223"/>
      <c r="AF4041" s="223"/>
      <c r="AG4041" s="223"/>
      <c r="AH4041" s="341"/>
      <c r="AI4041" s="218"/>
      <c r="AJ4041" s="218"/>
      <c r="AK4041" s="153"/>
      <c r="AL4041" s="152"/>
      <c r="AM4041" s="152"/>
      <c r="AN4041" s="152"/>
      <c r="AO4041" s="152"/>
      <c r="AP4041" s="152"/>
      <c r="AQ4041" s="152"/>
      <c r="AR4041" s="152"/>
      <c r="AS4041" s="152"/>
      <c r="AT4041" s="152"/>
      <c r="AU4041" s="153"/>
      <c r="AV4041" s="479"/>
      <c r="AW4041" s="479"/>
      <c r="AX4041" s="442"/>
      <c r="AY4041" s="153"/>
      <c r="AZ4041" s="152"/>
      <c r="BA4041" s="152"/>
      <c r="BB4041" s="152"/>
      <c r="BC4041" s="152"/>
      <c r="BD4041" s="152"/>
      <c r="BE4041" s="152"/>
      <c r="BF4041" s="152"/>
      <c r="BG4041" s="152"/>
      <c r="BH4041" s="152"/>
      <c r="BI4041" s="153"/>
      <c r="BJ4041" s="153"/>
      <c r="BK4041" s="153"/>
      <c r="BL4041" s="153"/>
      <c r="BM4041" s="153"/>
      <c r="BN4041" s="153"/>
      <c r="BO4041" s="153"/>
      <c r="BP4041" s="153"/>
      <c r="BQ4041" s="153"/>
      <c r="BR4041" s="153"/>
      <c r="BS4041" s="153"/>
      <c r="BT4041" s="153"/>
      <c r="BU4041" s="153"/>
      <c r="BV4041" s="153"/>
      <c r="BW4041" s="153"/>
      <c r="BX4041" s="153"/>
      <c r="BY4041" s="153"/>
      <c r="BZ4041" s="153"/>
      <c r="CA4041" s="152"/>
      <c r="CB4041" s="152"/>
    </row>
    <row r="4042" spans="1:80" s="87" customFormat="1" ht="15" x14ac:dyDescent="0.25">
      <c r="A4042" s="152"/>
      <c r="B4042" s="683"/>
      <c r="C4042" s="683"/>
      <c r="D4042" s="698"/>
      <c r="E4042" s="215"/>
      <c r="F4042" s="215"/>
      <c r="G4042" s="153"/>
      <c r="H4042" s="153"/>
      <c r="I4042" s="320">
        <v>20</v>
      </c>
      <c r="J4042" s="320">
        <v>60</v>
      </c>
      <c r="K4042" s="222">
        <v>1</v>
      </c>
      <c r="L4042" s="658">
        <v>20</v>
      </c>
      <c r="M4042" s="663">
        <v>34471</v>
      </c>
      <c r="N4042" s="600">
        <v>26.359100000000002</v>
      </c>
      <c r="O4042" s="604">
        <v>3.4640000000000001E-3</v>
      </c>
      <c r="P4042" s="250"/>
      <c r="Q4042" s="250"/>
      <c r="R4042" s="250"/>
      <c r="S4042" s="250"/>
      <c r="T4042" s="250"/>
      <c r="U4042" s="250">
        <v>7.2000000000000008E-2</v>
      </c>
      <c r="V4042" s="250">
        <v>0.23699999999999999</v>
      </c>
      <c r="W4042" s="250">
        <v>0.34</v>
      </c>
      <c r="X4042" s="250">
        <v>0.28899999999999998</v>
      </c>
      <c r="Y4042" s="250">
        <v>6.2E-2</v>
      </c>
      <c r="Z4042" s="150"/>
      <c r="AA4042" s="150">
        <v>0.68</v>
      </c>
      <c r="AB4042" s="152"/>
      <c r="AC4042" s="152"/>
      <c r="AD4042" s="223"/>
      <c r="AE4042" s="223"/>
      <c r="AF4042" s="223"/>
      <c r="AG4042" s="223"/>
      <c r="AH4042" s="341"/>
      <c r="AI4042" s="218"/>
      <c r="AJ4042" s="218"/>
      <c r="AK4042" s="153"/>
      <c r="AL4042" s="152"/>
      <c r="AM4042" s="152"/>
      <c r="AN4042" s="152"/>
      <c r="AO4042" s="152"/>
      <c r="AP4042" s="152"/>
      <c r="AQ4042" s="152"/>
      <c r="AR4042" s="152"/>
      <c r="AS4042" s="152"/>
      <c r="AT4042" s="152"/>
      <c r="AU4042" s="153"/>
      <c r="AV4042" s="479"/>
      <c r="AW4042" s="479"/>
      <c r="AX4042" s="442"/>
      <c r="AY4042" s="153"/>
      <c r="AZ4042" s="152"/>
      <c r="BA4042" s="152"/>
      <c r="BB4042" s="152"/>
      <c r="BC4042" s="152"/>
      <c r="BD4042" s="152"/>
      <c r="BE4042" s="152"/>
      <c r="BF4042" s="152"/>
      <c r="BG4042" s="152"/>
      <c r="BH4042" s="152"/>
      <c r="BI4042" s="153"/>
      <c r="BJ4042" s="153"/>
      <c r="BK4042" s="153"/>
      <c r="BL4042" s="153"/>
      <c r="BM4042" s="153"/>
      <c r="BN4042" s="153"/>
      <c r="BO4042" s="153"/>
      <c r="BP4042" s="153"/>
      <c r="BQ4042" s="153"/>
      <c r="BR4042" s="153"/>
      <c r="BS4042" s="153"/>
      <c r="BT4042" s="153"/>
      <c r="BU4042" s="153"/>
      <c r="BV4042" s="153"/>
      <c r="BW4042" s="153"/>
      <c r="BX4042" s="153"/>
      <c r="BY4042" s="153"/>
      <c r="BZ4042" s="153"/>
      <c r="CA4042" s="152"/>
      <c r="CB4042" s="152"/>
    </row>
    <row r="4043" spans="1:80" s="87" customFormat="1" ht="15" x14ac:dyDescent="0.25">
      <c r="A4043" s="152"/>
      <c r="B4043" s="683"/>
      <c r="C4043" s="683"/>
      <c r="D4043" s="698"/>
      <c r="E4043" s="215"/>
      <c r="F4043" s="215"/>
      <c r="G4043" s="153"/>
      <c r="H4043" s="153"/>
      <c r="I4043" s="320">
        <v>20</v>
      </c>
      <c r="J4043" s="320">
        <v>60</v>
      </c>
      <c r="K4043" s="222">
        <v>1</v>
      </c>
      <c r="L4043" s="658">
        <v>20</v>
      </c>
      <c r="M4043" s="663">
        <v>34471</v>
      </c>
      <c r="N4043" s="600">
        <v>26.359100000000002</v>
      </c>
      <c r="O4043" s="604">
        <v>7.1161000000000002E-2</v>
      </c>
      <c r="P4043" s="250"/>
      <c r="Q4043" s="250"/>
      <c r="R4043" s="250"/>
      <c r="S4043" s="250"/>
      <c r="T4043" s="250">
        <v>6.9999999999999993E-3</v>
      </c>
      <c r="U4043" s="250">
        <v>0.06</v>
      </c>
      <c r="V4043" s="250">
        <v>0.45500000000000002</v>
      </c>
      <c r="W4043" s="250">
        <v>0.42100000000000004</v>
      </c>
      <c r="X4043" s="250">
        <v>5.2000000000000005E-2</v>
      </c>
      <c r="Y4043" s="250">
        <v>5.0000000000000001E-3</v>
      </c>
      <c r="Z4043" s="150"/>
      <c r="AA4043" s="150">
        <v>1.03</v>
      </c>
      <c r="AB4043" s="152"/>
      <c r="AC4043" s="152"/>
      <c r="AD4043" s="223"/>
      <c r="AE4043" s="223"/>
      <c r="AF4043" s="223"/>
      <c r="AG4043" s="223"/>
      <c r="AH4043" s="341"/>
      <c r="AI4043" s="218"/>
      <c r="AJ4043" s="218"/>
      <c r="AK4043" s="153"/>
      <c r="AL4043" s="152"/>
      <c r="AM4043" s="152"/>
      <c r="AN4043" s="152"/>
      <c r="AO4043" s="152"/>
      <c r="AP4043" s="152"/>
      <c r="AQ4043" s="152"/>
      <c r="AR4043" s="152"/>
      <c r="AS4043" s="152"/>
      <c r="AT4043" s="152"/>
      <c r="AU4043" s="153"/>
      <c r="AV4043" s="479"/>
      <c r="AW4043" s="479"/>
      <c r="AX4043" s="442"/>
      <c r="AY4043" s="153"/>
      <c r="AZ4043" s="152"/>
      <c r="BA4043" s="152"/>
      <c r="BB4043" s="152"/>
      <c r="BC4043" s="152"/>
      <c r="BD4043" s="152"/>
      <c r="BE4043" s="152"/>
      <c r="BF4043" s="152"/>
      <c r="BG4043" s="152"/>
      <c r="BH4043" s="152"/>
      <c r="BI4043" s="153"/>
      <c r="BJ4043" s="153"/>
      <c r="BK4043" s="153"/>
      <c r="BL4043" s="153"/>
      <c r="BM4043" s="153"/>
      <c r="BN4043" s="153"/>
      <c r="BO4043" s="153"/>
      <c r="BP4043" s="153"/>
      <c r="BQ4043" s="153"/>
      <c r="BR4043" s="153"/>
      <c r="BS4043" s="153"/>
      <c r="BT4043" s="153"/>
      <c r="BU4043" s="153"/>
      <c r="BV4043" s="153"/>
      <c r="BW4043" s="153"/>
      <c r="BX4043" s="153"/>
      <c r="BY4043" s="153"/>
      <c r="BZ4043" s="153"/>
      <c r="CA4043" s="152"/>
      <c r="CB4043" s="152"/>
    </row>
    <row r="4044" spans="1:80" s="87" customFormat="1" ht="15" x14ac:dyDescent="0.25">
      <c r="A4044" s="152"/>
      <c r="B4044" s="683"/>
      <c r="C4044" s="683"/>
      <c r="D4044" s="698"/>
      <c r="E4044" s="215"/>
      <c r="F4044" s="215"/>
      <c r="G4044" s="153"/>
      <c r="H4044" s="153"/>
      <c r="I4044" s="320">
        <v>20</v>
      </c>
      <c r="J4044" s="320">
        <v>60</v>
      </c>
      <c r="K4044" s="222">
        <v>1</v>
      </c>
      <c r="L4044" s="658">
        <v>20</v>
      </c>
      <c r="M4044" s="663">
        <v>34472</v>
      </c>
      <c r="N4044" s="600">
        <v>23.329699999999999</v>
      </c>
      <c r="O4044" s="604">
        <v>1.4274E-2</v>
      </c>
      <c r="P4044" s="250"/>
      <c r="Q4044" s="250"/>
      <c r="R4044" s="250"/>
      <c r="S4044" s="250"/>
      <c r="T4044" s="250"/>
      <c r="U4044" s="250">
        <v>3.7000000000000005E-2</v>
      </c>
      <c r="V4044" s="250">
        <v>0.42200000000000004</v>
      </c>
      <c r="W4044" s="250">
        <v>0.45899999999999996</v>
      </c>
      <c r="X4044" s="250">
        <v>7.0000000000000007E-2</v>
      </c>
      <c r="Y4044" s="250">
        <v>1.2E-2</v>
      </c>
      <c r="Z4044" s="150"/>
      <c r="AA4044" s="150">
        <v>0.94</v>
      </c>
      <c r="AB4044" s="152"/>
      <c r="AC4044" s="152"/>
      <c r="AD4044" s="223"/>
      <c r="AE4044" s="223"/>
      <c r="AF4044" s="223"/>
      <c r="AG4044" s="223"/>
      <c r="AH4044" s="341"/>
      <c r="AI4044" s="218"/>
      <c r="AJ4044" s="218"/>
      <c r="AK4044" s="153"/>
      <c r="AL4044" s="152"/>
      <c r="AM4044" s="152"/>
      <c r="AN4044" s="152"/>
      <c r="AO4044" s="152"/>
      <c r="AP4044" s="152"/>
      <c r="AQ4044" s="152"/>
      <c r="AR4044" s="152"/>
      <c r="AS4044" s="152"/>
      <c r="AT4044" s="152"/>
      <c r="AU4044" s="153"/>
      <c r="AV4044" s="479"/>
      <c r="AW4044" s="479"/>
      <c r="AX4044" s="442"/>
      <c r="AY4044" s="153"/>
      <c r="AZ4044" s="152"/>
      <c r="BA4044" s="152"/>
      <c r="BB4044" s="152"/>
      <c r="BC4044" s="152"/>
      <c r="BD4044" s="152"/>
      <c r="BE4044" s="152"/>
      <c r="BF4044" s="152"/>
      <c r="BG4044" s="152"/>
      <c r="BH4044" s="152"/>
      <c r="BI4044" s="153"/>
      <c r="BJ4044" s="153"/>
      <c r="BK4044" s="153"/>
      <c r="BL4044" s="153"/>
      <c r="BM4044" s="153"/>
      <c r="BN4044" s="153"/>
      <c r="BO4044" s="153"/>
      <c r="BP4044" s="153"/>
      <c r="BQ4044" s="153"/>
      <c r="BR4044" s="153"/>
      <c r="BS4044" s="153"/>
      <c r="BT4044" s="153"/>
      <c r="BU4044" s="153"/>
      <c r="BV4044" s="153"/>
      <c r="BW4044" s="153"/>
      <c r="BX4044" s="153"/>
      <c r="BY4044" s="153"/>
      <c r="BZ4044" s="153"/>
      <c r="CA4044" s="152"/>
      <c r="CB4044" s="152"/>
    </row>
    <row r="4045" spans="1:80" s="87" customFormat="1" ht="15" x14ac:dyDescent="0.25">
      <c r="A4045" s="152"/>
      <c r="B4045" s="683"/>
      <c r="C4045" s="683"/>
      <c r="D4045" s="698"/>
      <c r="E4045" s="215"/>
      <c r="F4045" s="215"/>
      <c r="G4045" s="153"/>
      <c r="H4045" s="153"/>
      <c r="I4045" s="320">
        <v>20</v>
      </c>
      <c r="J4045" s="320">
        <v>60</v>
      </c>
      <c r="K4045" s="222">
        <v>1</v>
      </c>
      <c r="L4045" s="658">
        <v>20</v>
      </c>
      <c r="M4045" s="663">
        <v>34472</v>
      </c>
      <c r="N4045" s="600">
        <v>23.329699999999999</v>
      </c>
      <c r="O4045" s="604">
        <v>5.8780000000000004E-3</v>
      </c>
      <c r="P4045" s="250"/>
      <c r="Q4045" s="250"/>
      <c r="R4045" s="250"/>
      <c r="S4045" s="250"/>
      <c r="T4045" s="250"/>
      <c r="U4045" s="250">
        <v>1.8000000000000002E-2</v>
      </c>
      <c r="V4045" s="250">
        <v>0.36</v>
      </c>
      <c r="W4045" s="250">
        <v>0.48200000000000004</v>
      </c>
      <c r="X4045" s="250">
        <v>0.122</v>
      </c>
      <c r="Y4045" s="250">
        <v>1.8000000000000002E-2</v>
      </c>
      <c r="Z4045" s="150"/>
      <c r="AA4045" s="150">
        <v>0.84</v>
      </c>
      <c r="AB4045" s="152"/>
      <c r="AC4045" s="152"/>
      <c r="AD4045" s="223"/>
      <c r="AE4045" s="223"/>
      <c r="AF4045" s="223"/>
      <c r="AG4045" s="223"/>
      <c r="AH4045" s="341"/>
      <c r="AI4045" s="218"/>
      <c r="AJ4045" s="218"/>
      <c r="AK4045" s="153"/>
      <c r="AL4045" s="152"/>
      <c r="AM4045" s="152"/>
      <c r="AN4045" s="152"/>
      <c r="AO4045" s="152"/>
      <c r="AP4045" s="152"/>
      <c r="AQ4045" s="152"/>
      <c r="AR4045" s="152"/>
      <c r="AS4045" s="152"/>
      <c r="AT4045" s="152"/>
      <c r="AU4045" s="153"/>
      <c r="AV4045" s="479"/>
      <c r="AW4045" s="479"/>
      <c r="AX4045" s="442"/>
      <c r="AY4045" s="153"/>
      <c r="AZ4045" s="152"/>
      <c r="BA4045" s="152"/>
      <c r="BB4045" s="152"/>
      <c r="BC4045" s="152"/>
      <c r="BD4045" s="152"/>
      <c r="BE4045" s="152"/>
      <c r="BF4045" s="152"/>
      <c r="BG4045" s="152"/>
      <c r="BH4045" s="152"/>
      <c r="BI4045" s="153"/>
      <c r="BJ4045" s="153"/>
      <c r="BK4045" s="153"/>
      <c r="BL4045" s="153"/>
      <c r="BM4045" s="153"/>
      <c r="BN4045" s="153"/>
      <c r="BO4045" s="153"/>
      <c r="BP4045" s="153"/>
      <c r="BQ4045" s="153"/>
      <c r="BR4045" s="153"/>
      <c r="BS4045" s="153"/>
      <c r="BT4045" s="153"/>
      <c r="BU4045" s="153"/>
      <c r="BV4045" s="153"/>
      <c r="BW4045" s="153"/>
      <c r="BX4045" s="153"/>
      <c r="BY4045" s="153"/>
      <c r="BZ4045" s="153"/>
      <c r="CA4045" s="152"/>
      <c r="CB4045" s="152"/>
    </row>
    <row r="4046" spans="1:80" s="87" customFormat="1" ht="15" x14ac:dyDescent="0.25">
      <c r="A4046" s="152"/>
      <c r="B4046" s="683"/>
      <c r="C4046" s="683"/>
      <c r="D4046" s="698"/>
      <c r="E4046" s="215"/>
      <c r="F4046" s="215"/>
      <c r="G4046" s="153"/>
      <c r="H4046" s="153"/>
      <c r="I4046" s="320">
        <v>20</v>
      </c>
      <c r="J4046" s="320">
        <v>60</v>
      </c>
      <c r="K4046" s="222">
        <v>1</v>
      </c>
      <c r="L4046" s="658">
        <v>20</v>
      </c>
      <c r="M4046" s="663">
        <v>34478</v>
      </c>
      <c r="N4046" s="600">
        <v>22.706800000000001</v>
      </c>
      <c r="O4046" s="604">
        <v>3.0439999999999998E-3</v>
      </c>
      <c r="P4046" s="250"/>
      <c r="Q4046" s="250"/>
      <c r="R4046" s="250"/>
      <c r="S4046" s="250"/>
      <c r="T4046" s="250"/>
      <c r="U4046" s="250">
        <v>8.3000000000000004E-2</v>
      </c>
      <c r="V4046" s="250">
        <v>0.20300000000000001</v>
      </c>
      <c r="W4046" s="250">
        <v>0.39299999999999996</v>
      </c>
      <c r="X4046" s="250">
        <v>0.27300000000000002</v>
      </c>
      <c r="Y4046" s="250">
        <v>4.8000000000000001E-2</v>
      </c>
      <c r="Z4046" s="150"/>
      <c r="AA4046" s="150">
        <v>0.69</v>
      </c>
      <c r="AB4046" s="152"/>
      <c r="AC4046" s="152"/>
      <c r="AD4046" s="223"/>
      <c r="AE4046" s="223"/>
      <c r="AF4046" s="223"/>
      <c r="AG4046" s="223"/>
      <c r="AH4046" s="341"/>
      <c r="AI4046" s="218"/>
      <c r="AJ4046" s="218"/>
      <c r="AK4046" s="153"/>
      <c r="AL4046" s="152"/>
      <c r="AM4046" s="152"/>
      <c r="AN4046" s="152"/>
      <c r="AO4046" s="152"/>
      <c r="AP4046" s="152"/>
      <c r="AQ4046" s="152"/>
      <c r="AR4046" s="152"/>
      <c r="AS4046" s="152"/>
      <c r="AT4046" s="152"/>
      <c r="AU4046" s="153"/>
      <c r="AV4046" s="479"/>
      <c r="AW4046" s="479"/>
      <c r="AX4046" s="442"/>
      <c r="AY4046" s="153"/>
      <c r="AZ4046" s="152"/>
      <c r="BA4046" s="152"/>
      <c r="BB4046" s="152"/>
      <c r="BC4046" s="152"/>
      <c r="BD4046" s="152"/>
      <c r="BE4046" s="152"/>
      <c r="BF4046" s="152"/>
      <c r="BG4046" s="152"/>
      <c r="BH4046" s="152"/>
      <c r="BI4046" s="153"/>
      <c r="BJ4046" s="153"/>
      <c r="BK4046" s="153"/>
      <c r="BL4046" s="153"/>
      <c r="BM4046" s="153"/>
      <c r="BN4046" s="153"/>
      <c r="BO4046" s="153"/>
      <c r="BP4046" s="153"/>
      <c r="BQ4046" s="153"/>
      <c r="BR4046" s="153"/>
      <c r="BS4046" s="153"/>
      <c r="BT4046" s="153"/>
      <c r="BU4046" s="153"/>
      <c r="BV4046" s="153"/>
      <c r="BW4046" s="153"/>
      <c r="BX4046" s="153"/>
      <c r="BY4046" s="153"/>
      <c r="BZ4046" s="153"/>
      <c r="CA4046" s="152"/>
      <c r="CB4046" s="152"/>
    </row>
    <row r="4047" spans="1:80" s="87" customFormat="1" ht="15" x14ac:dyDescent="0.25">
      <c r="A4047" s="152"/>
      <c r="B4047" s="683"/>
      <c r="C4047" s="683"/>
      <c r="D4047" s="698"/>
      <c r="E4047" s="215"/>
      <c r="F4047" s="215"/>
      <c r="G4047" s="153"/>
      <c r="H4047" s="153"/>
      <c r="I4047" s="320">
        <v>20</v>
      </c>
      <c r="J4047" s="320">
        <v>60</v>
      </c>
      <c r="K4047" s="222">
        <v>1</v>
      </c>
      <c r="L4047" s="658">
        <v>20</v>
      </c>
      <c r="M4047" s="663">
        <v>34478</v>
      </c>
      <c r="N4047" s="600">
        <v>22.706800000000001</v>
      </c>
      <c r="O4047" s="604">
        <v>4.8279999999999998E-3</v>
      </c>
      <c r="P4047" s="250"/>
      <c r="Q4047" s="250"/>
      <c r="R4047" s="250"/>
      <c r="S4047" s="250"/>
      <c r="T4047" s="250"/>
      <c r="U4047" s="250">
        <v>5.0999999999999997E-2</v>
      </c>
      <c r="V4047" s="250">
        <v>0.248</v>
      </c>
      <c r="W4047" s="250">
        <v>0.48200000000000004</v>
      </c>
      <c r="X4047" s="250">
        <v>0.21199999999999999</v>
      </c>
      <c r="Y4047" s="250">
        <v>6.9999999999999993E-3</v>
      </c>
      <c r="Z4047" s="150"/>
      <c r="AA4047" s="150">
        <v>0.75</v>
      </c>
      <c r="AB4047" s="152"/>
      <c r="AC4047" s="152"/>
      <c r="AD4047" s="223"/>
      <c r="AE4047" s="223"/>
      <c r="AF4047" s="223"/>
      <c r="AG4047" s="223"/>
      <c r="AH4047" s="341"/>
      <c r="AI4047" s="218"/>
      <c r="AJ4047" s="218"/>
      <c r="AK4047" s="153"/>
      <c r="AL4047" s="152"/>
      <c r="AM4047" s="152"/>
      <c r="AN4047" s="152"/>
      <c r="AO4047" s="152"/>
      <c r="AP4047" s="152"/>
      <c r="AQ4047" s="152"/>
      <c r="AR4047" s="152"/>
      <c r="AS4047" s="152"/>
      <c r="AT4047" s="152"/>
      <c r="AU4047" s="153"/>
      <c r="AV4047" s="479"/>
      <c r="AW4047" s="479"/>
      <c r="AX4047" s="442"/>
      <c r="AY4047" s="153"/>
      <c r="AZ4047" s="152"/>
      <c r="BA4047" s="152"/>
      <c r="BB4047" s="152"/>
      <c r="BC4047" s="152"/>
      <c r="BD4047" s="152"/>
      <c r="BE4047" s="152"/>
      <c r="BF4047" s="152"/>
      <c r="BG4047" s="152"/>
      <c r="BH4047" s="152"/>
      <c r="BI4047" s="153"/>
      <c r="BJ4047" s="153"/>
      <c r="BK4047" s="153"/>
      <c r="BL4047" s="153"/>
      <c r="BM4047" s="153"/>
      <c r="BN4047" s="153"/>
      <c r="BO4047" s="153"/>
      <c r="BP4047" s="153"/>
      <c r="BQ4047" s="153"/>
      <c r="BR4047" s="153"/>
      <c r="BS4047" s="153"/>
      <c r="BT4047" s="153"/>
      <c r="BU4047" s="153"/>
      <c r="BV4047" s="153"/>
      <c r="BW4047" s="153"/>
      <c r="BX4047" s="153"/>
      <c r="BY4047" s="153"/>
      <c r="BZ4047" s="153"/>
      <c r="CA4047" s="152"/>
      <c r="CB4047" s="152"/>
    </row>
    <row r="4048" spans="1:80" s="87" customFormat="1" ht="15" x14ac:dyDescent="0.25">
      <c r="A4048" s="152"/>
      <c r="B4048" s="683"/>
      <c r="C4048" s="683"/>
      <c r="D4048" s="698"/>
      <c r="E4048" s="215"/>
      <c r="F4048" s="215"/>
      <c r="G4048" s="153"/>
      <c r="H4048" s="153"/>
      <c r="I4048" s="320">
        <v>20</v>
      </c>
      <c r="J4048" s="320">
        <v>60</v>
      </c>
      <c r="K4048" s="222">
        <v>1</v>
      </c>
      <c r="L4048" s="658">
        <v>20</v>
      </c>
      <c r="M4048" s="663">
        <v>34479</v>
      </c>
      <c r="N4048" s="600">
        <v>25.3965</v>
      </c>
      <c r="O4048" s="604">
        <v>5.6680000000000003E-3</v>
      </c>
      <c r="P4048" s="250"/>
      <c r="Q4048" s="250"/>
      <c r="R4048" s="250"/>
      <c r="S4048" s="250"/>
      <c r="T4048" s="250">
        <v>3.1E-2</v>
      </c>
      <c r="U4048" s="250">
        <v>0.14899999999999999</v>
      </c>
      <c r="V4048" s="250">
        <v>0.34200000000000003</v>
      </c>
      <c r="W4048" s="250">
        <v>0.27899999999999997</v>
      </c>
      <c r="X4048" s="250">
        <v>0.17399999999999999</v>
      </c>
      <c r="Y4048" s="250">
        <v>2.5000000000000001E-2</v>
      </c>
      <c r="Z4048" s="150"/>
      <c r="AA4048" s="150">
        <v>1.05</v>
      </c>
      <c r="AB4048" s="152"/>
      <c r="AC4048" s="152"/>
      <c r="AD4048" s="223"/>
      <c r="AE4048" s="223"/>
      <c r="AF4048" s="223"/>
      <c r="AG4048" s="223"/>
      <c r="AH4048" s="341"/>
      <c r="AI4048" s="218"/>
      <c r="AJ4048" s="218"/>
      <c r="AK4048" s="153"/>
      <c r="AL4048" s="152"/>
      <c r="AM4048" s="152"/>
      <c r="AN4048" s="152"/>
      <c r="AO4048" s="152"/>
      <c r="AP4048" s="152"/>
      <c r="AQ4048" s="152"/>
      <c r="AR4048" s="152"/>
      <c r="AS4048" s="152"/>
      <c r="AT4048" s="152"/>
      <c r="AU4048" s="153"/>
      <c r="AV4048" s="479"/>
      <c r="AW4048" s="479"/>
      <c r="AX4048" s="442"/>
      <c r="AY4048" s="153"/>
      <c r="AZ4048" s="152"/>
      <c r="BA4048" s="152"/>
      <c r="BB4048" s="152"/>
      <c r="BC4048" s="152"/>
      <c r="BD4048" s="152"/>
      <c r="BE4048" s="152"/>
      <c r="BF4048" s="152"/>
      <c r="BG4048" s="152"/>
      <c r="BH4048" s="152"/>
      <c r="BI4048" s="153"/>
      <c r="BJ4048" s="153"/>
      <c r="BK4048" s="153"/>
      <c r="BL4048" s="153"/>
      <c r="BM4048" s="153"/>
      <c r="BN4048" s="153"/>
      <c r="BO4048" s="153"/>
      <c r="BP4048" s="153"/>
      <c r="BQ4048" s="153"/>
      <c r="BR4048" s="153"/>
      <c r="BS4048" s="153"/>
      <c r="BT4048" s="153"/>
      <c r="BU4048" s="153"/>
      <c r="BV4048" s="153"/>
      <c r="BW4048" s="153"/>
      <c r="BX4048" s="153"/>
      <c r="BY4048" s="153"/>
      <c r="BZ4048" s="153"/>
      <c r="CA4048" s="152"/>
      <c r="CB4048" s="152"/>
    </row>
    <row r="4049" spans="1:80" s="87" customFormat="1" ht="15" x14ac:dyDescent="0.25">
      <c r="A4049" s="152"/>
      <c r="B4049" s="683"/>
      <c r="C4049" s="683"/>
      <c r="D4049" s="698"/>
      <c r="E4049" s="215"/>
      <c r="F4049" s="215"/>
      <c r="G4049" s="153"/>
      <c r="H4049" s="153"/>
      <c r="I4049" s="320">
        <v>20</v>
      </c>
      <c r="J4049" s="320">
        <v>60</v>
      </c>
      <c r="K4049" s="222">
        <v>1</v>
      </c>
      <c r="L4049" s="658">
        <v>20</v>
      </c>
      <c r="M4049" s="663">
        <v>34479</v>
      </c>
      <c r="N4049" s="600">
        <v>25.3965</v>
      </c>
      <c r="O4049" s="604">
        <v>2.7290000000000001E-3</v>
      </c>
      <c r="P4049" s="250"/>
      <c r="Q4049" s="250"/>
      <c r="R4049" s="250"/>
      <c r="S4049" s="250"/>
      <c r="T4049" s="250"/>
      <c r="U4049" s="250">
        <v>5.2000000000000005E-2</v>
      </c>
      <c r="V4049" s="250">
        <v>0.14300000000000002</v>
      </c>
      <c r="W4049" s="250">
        <v>0.40200000000000002</v>
      </c>
      <c r="X4049" s="250">
        <v>0.33799999999999997</v>
      </c>
      <c r="Y4049" s="250">
        <v>6.5000000000000002E-2</v>
      </c>
      <c r="Z4049" s="150"/>
      <c r="AA4049" s="150">
        <v>0.59</v>
      </c>
      <c r="AB4049" s="152"/>
      <c r="AC4049" s="152"/>
      <c r="AD4049" s="223"/>
      <c r="AE4049" s="223"/>
      <c r="AF4049" s="223"/>
      <c r="AG4049" s="223"/>
      <c r="AH4049" s="341"/>
      <c r="AI4049" s="218"/>
      <c r="AJ4049" s="218"/>
      <c r="AK4049" s="153"/>
      <c r="AL4049" s="152"/>
      <c r="AM4049" s="152"/>
      <c r="AN4049" s="152"/>
      <c r="AO4049" s="152"/>
      <c r="AP4049" s="152"/>
      <c r="AQ4049" s="152"/>
      <c r="AR4049" s="152"/>
      <c r="AS4049" s="152"/>
      <c r="AT4049" s="152"/>
      <c r="AU4049" s="153"/>
      <c r="AV4049" s="479"/>
      <c r="AW4049" s="479"/>
      <c r="AX4049" s="442"/>
      <c r="AY4049" s="153"/>
      <c r="AZ4049" s="152"/>
      <c r="BA4049" s="152"/>
      <c r="BB4049" s="152"/>
      <c r="BC4049" s="152"/>
      <c r="BD4049" s="152"/>
      <c r="BE4049" s="152"/>
      <c r="BF4049" s="152"/>
      <c r="BG4049" s="152"/>
      <c r="BH4049" s="152"/>
      <c r="BI4049" s="153"/>
      <c r="BJ4049" s="153"/>
      <c r="BK4049" s="153"/>
      <c r="BL4049" s="153"/>
      <c r="BM4049" s="153"/>
      <c r="BN4049" s="153"/>
      <c r="BO4049" s="153"/>
      <c r="BP4049" s="153"/>
      <c r="BQ4049" s="153"/>
      <c r="BR4049" s="153"/>
      <c r="BS4049" s="153"/>
      <c r="BT4049" s="153"/>
      <c r="BU4049" s="153"/>
      <c r="BV4049" s="153"/>
      <c r="BW4049" s="153"/>
      <c r="BX4049" s="153"/>
      <c r="BY4049" s="153"/>
      <c r="BZ4049" s="153"/>
      <c r="CA4049" s="152"/>
      <c r="CB4049" s="152"/>
    </row>
    <row r="4050" spans="1:80" s="87" customFormat="1" ht="15" x14ac:dyDescent="0.25">
      <c r="A4050" s="152"/>
      <c r="B4050" s="683"/>
      <c r="C4050" s="683"/>
      <c r="D4050" s="698"/>
      <c r="E4050" s="215"/>
      <c r="F4050" s="215"/>
      <c r="G4050" s="153"/>
      <c r="H4050" s="153"/>
      <c r="I4050" s="320">
        <v>20</v>
      </c>
      <c r="J4050" s="320">
        <v>60</v>
      </c>
      <c r="K4050" s="222">
        <v>1</v>
      </c>
      <c r="L4050" s="658">
        <v>20</v>
      </c>
      <c r="M4050" s="663">
        <v>34486</v>
      </c>
      <c r="N4050" s="600">
        <v>27.406700000000001</v>
      </c>
      <c r="O4050" s="604">
        <v>1.5848999999999999E-2</v>
      </c>
      <c r="P4050" s="250"/>
      <c r="Q4050" s="250"/>
      <c r="R4050" s="250"/>
      <c r="S4050" s="250"/>
      <c r="T4050" s="250">
        <v>9.0000000000000011E-3</v>
      </c>
      <c r="U4050" s="250">
        <v>0.24199999999999999</v>
      </c>
      <c r="V4050" s="250">
        <v>0.51800000000000002</v>
      </c>
      <c r="W4050" s="250">
        <v>0.14400000000000002</v>
      </c>
      <c r="X4050" s="250">
        <v>7.5999999999999998E-2</v>
      </c>
      <c r="Y4050" s="250">
        <v>1.1000000000000001E-2</v>
      </c>
      <c r="Z4050" s="150"/>
      <c r="AA4050" s="150">
        <v>1.43</v>
      </c>
      <c r="AB4050" s="152"/>
      <c r="AC4050" s="152"/>
      <c r="AD4050" s="223"/>
      <c r="AE4050" s="223"/>
      <c r="AF4050" s="223"/>
      <c r="AG4050" s="223"/>
      <c r="AH4050" s="341"/>
      <c r="AI4050" s="218"/>
      <c r="AJ4050" s="218"/>
      <c r="AK4050" s="153"/>
      <c r="AL4050" s="152"/>
      <c r="AM4050" s="152"/>
      <c r="AN4050" s="152"/>
      <c r="AO4050" s="152"/>
      <c r="AP4050" s="152"/>
      <c r="AQ4050" s="152"/>
      <c r="AR4050" s="152"/>
      <c r="AS4050" s="152"/>
      <c r="AT4050" s="152"/>
      <c r="AU4050" s="153"/>
      <c r="AV4050" s="479"/>
      <c r="AW4050" s="479"/>
      <c r="AX4050" s="442"/>
      <c r="AY4050" s="153"/>
      <c r="AZ4050" s="152"/>
      <c r="BA4050" s="152"/>
      <c r="BB4050" s="152"/>
      <c r="BC4050" s="152"/>
      <c r="BD4050" s="152"/>
      <c r="BE4050" s="152"/>
      <c r="BF4050" s="152"/>
      <c r="BG4050" s="152"/>
      <c r="BH4050" s="152"/>
      <c r="BI4050" s="153"/>
      <c r="BJ4050" s="153"/>
      <c r="BK4050" s="153"/>
      <c r="BL4050" s="153"/>
      <c r="BM4050" s="153"/>
      <c r="BN4050" s="153"/>
      <c r="BO4050" s="153"/>
      <c r="BP4050" s="153"/>
      <c r="BQ4050" s="153"/>
      <c r="BR4050" s="153"/>
      <c r="BS4050" s="153"/>
      <c r="BT4050" s="153"/>
      <c r="BU4050" s="153"/>
      <c r="BV4050" s="153"/>
      <c r="BW4050" s="153"/>
      <c r="BX4050" s="153"/>
      <c r="BY4050" s="153"/>
      <c r="BZ4050" s="153"/>
      <c r="CA4050" s="152"/>
      <c r="CB4050" s="152"/>
    </row>
    <row r="4051" spans="1:80" s="87" customFormat="1" ht="15" x14ac:dyDescent="0.25">
      <c r="A4051" s="152"/>
      <c r="B4051" s="683"/>
      <c r="C4051" s="683"/>
      <c r="D4051" s="698"/>
      <c r="E4051" s="215"/>
      <c r="F4051" s="215"/>
      <c r="G4051" s="153"/>
      <c r="H4051" s="153"/>
      <c r="I4051" s="320">
        <v>20</v>
      </c>
      <c r="J4051" s="320">
        <v>60</v>
      </c>
      <c r="K4051" s="222">
        <v>1</v>
      </c>
      <c r="L4051" s="658">
        <v>20</v>
      </c>
      <c r="M4051" s="663">
        <v>34486</v>
      </c>
      <c r="N4051" s="600">
        <v>27.406700000000001</v>
      </c>
      <c r="O4051" s="604">
        <v>9.8659999999999998E-3</v>
      </c>
      <c r="P4051" s="250"/>
      <c r="Q4051" s="250"/>
      <c r="R4051" s="250"/>
      <c r="S4051" s="250"/>
      <c r="T4051" s="250"/>
      <c r="U4051" s="250">
        <v>1.3999999999999999E-2</v>
      </c>
      <c r="V4051" s="250">
        <v>0.129</v>
      </c>
      <c r="W4051" s="250">
        <v>0.51100000000000001</v>
      </c>
      <c r="X4051" s="250">
        <v>0.3</v>
      </c>
      <c r="Y4051" s="250">
        <v>4.5999999999999999E-2</v>
      </c>
      <c r="Z4051" s="150"/>
      <c r="AA4051" s="150">
        <v>0.62</v>
      </c>
      <c r="AB4051" s="152"/>
      <c r="AC4051" s="152"/>
      <c r="AD4051" s="223"/>
      <c r="AE4051" s="223"/>
      <c r="AF4051" s="223"/>
      <c r="AG4051" s="223"/>
      <c r="AH4051" s="341"/>
      <c r="AI4051" s="218"/>
      <c r="AJ4051" s="218"/>
      <c r="AK4051" s="153"/>
      <c r="AL4051" s="152"/>
      <c r="AM4051" s="152"/>
      <c r="AN4051" s="152"/>
      <c r="AO4051" s="152"/>
      <c r="AP4051" s="152"/>
      <c r="AQ4051" s="152"/>
      <c r="AR4051" s="152"/>
      <c r="AS4051" s="152"/>
      <c r="AT4051" s="152"/>
      <c r="AU4051" s="153"/>
      <c r="AV4051" s="479"/>
      <c r="AW4051" s="479"/>
      <c r="AX4051" s="442"/>
      <c r="AY4051" s="153"/>
      <c r="AZ4051" s="152"/>
      <c r="BA4051" s="152"/>
      <c r="BB4051" s="152"/>
      <c r="BC4051" s="152"/>
      <c r="BD4051" s="152"/>
      <c r="BE4051" s="152"/>
      <c r="BF4051" s="152"/>
      <c r="BG4051" s="152"/>
      <c r="BH4051" s="152"/>
      <c r="BI4051" s="153"/>
      <c r="BJ4051" s="153"/>
      <c r="BK4051" s="153"/>
      <c r="BL4051" s="153"/>
      <c r="BM4051" s="153"/>
      <c r="BN4051" s="153"/>
      <c r="BO4051" s="153"/>
      <c r="BP4051" s="153"/>
      <c r="BQ4051" s="153"/>
      <c r="BR4051" s="153"/>
      <c r="BS4051" s="153"/>
      <c r="BT4051" s="153"/>
      <c r="BU4051" s="153"/>
      <c r="BV4051" s="153"/>
      <c r="BW4051" s="153"/>
      <c r="BX4051" s="153"/>
      <c r="BY4051" s="153"/>
      <c r="BZ4051" s="153"/>
      <c r="CA4051" s="152"/>
      <c r="CB4051" s="152"/>
    </row>
    <row r="4052" spans="1:80" s="87" customFormat="1" ht="15" x14ac:dyDescent="0.25">
      <c r="A4052" s="152"/>
      <c r="B4052" s="683"/>
      <c r="C4052" s="683"/>
      <c r="D4052" s="698"/>
      <c r="E4052" s="215"/>
      <c r="F4052" s="215"/>
      <c r="G4052" s="153"/>
      <c r="H4052" s="153"/>
      <c r="I4052" s="320">
        <v>20</v>
      </c>
      <c r="J4052" s="320">
        <v>60</v>
      </c>
      <c r="K4052" s="222">
        <v>1</v>
      </c>
      <c r="L4052" s="658">
        <v>20</v>
      </c>
      <c r="M4052" s="663">
        <v>34487</v>
      </c>
      <c r="N4052" s="600">
        <v>24.575399999999998</v>
      </c>
      <c r="O4052" s="604">
        <v>2.8340000000000001E-3</v>
      </c>
      <c r="P4052" s="250"/>
      <c r="Q4052" s="250"/>
      <c r="R4052" s="250"/>
      <c r="S4052" s="250"/>
      <c r="T4052" s="250"/>
      <c r="U4052" s="250">
        <v>0.106</v>
      </c>
      <c r="V4052" s="250">
        <v>0.247</v>
      </c>
      <c r="W4052" s="250">
        <v>0.34100000000000003</v>
      </c>
      <c r="X4052" s="250">
        <v>0.27100000000000002</v>
      </c>
      <c r="Y4052" s="250">
        <v>3.5000000000000003E-2</v>
      </c>
      <c r="Z4052" s="150"/>
      <c r="AA4052" s="150">
        <v>0.74</v>
      </c>
      <c r="AB4052" s="152"/>
      <c r="AC4052" s="152"/>
      <c r="AD4052" s="223"/>
      <c r="AE4052" s="223"/>
      <c r="AF4052" s="223"/>
      <c r="AG4052" s="223"/>
      <c r="AH4052" s="341"/>
      <c r="AI4052" s="218"/>
      <c r="AJ4052" s="218"/>
      <c r="AK4052" s="153"/>
      <c r="AL4052" s="152"/>
      <c r="AM4052" s="152"/>
      <c r="AN4052" s="152"/>
      <c r="AO4052" s="152"/>
      <c r="AP4052" s="152"/>
      <c r="AQ4052" s="152"/>
      <c r="AR4052" s="152"/>
      <c r="AS4052" s="152"/>
      <c r="AT4052" s="152"/>
      <c r="AU4052" s="153"/>
      <c r="AV4052" s="479"/>
      <c r="AW4052" s="479"/>
      <c r="AX4052" s="442"/>
      <c r="AY4052" s="153"/>
      <c r="AZ4052" s="152"/>
      <c r="BA4052" s="152"/>
      <c r="BB4052" s="152"/>
      <c r="BC4052" s="152"/>
      <c r="BD4052" s="152"/>
      <c r="BE4052" s="152"/>
      <c r="BF4052" s="152"/>
      <c r="BG4052" s="152"/>
      <c r="BH4052" s="152"/>
      <c r="BI4052" s="153"/>
      <c r="BJ4052" s="153"/>
      <c r="BK4052" s="153"/>
      <c r="BL4052" s="153"/>
      <c r="BM4052" s="153"/>
      <c r="BN4052" s="153"/>
      <c r="BO4052" s="153"/>
      <c r="BP4052" s="153"/>
      <c r="BQ4052" s="153"/>
      <c r="BR4052" s="153"/>
      <c r="BS4052" s="153"/>
      <c r="BT4052" s="153"/>
      <c r="BU4052" s="153"/>
      <c r="BV4052" s="153"/>
      <c r="BW4052" s="153"/>
      <c r="BX4052" s="153"/>
      <c r="BY4052" s="153"/>
      <c r="BZ4052" s="153"/>
      <c r="CA4052" s="152"/>
      <c r="CB4052" s="152"/>
    </row>
    <row r="4053" spans="1:80" s="87" customFormat="1" ht="15" x14ac:dyDescent="0.25">
      <c r="A4053" s="152"/>
      <c r="B4053" s="683"/>
      <c r="C4053" s="683"/>
      <c r="D4053" s="698"/>
      <c r="E4053" s="215"/>
      <c r="F4053" s="215"/>
      <c r="G4053" s="153"/>
      <c r="H4053" s="153"/>
      <c r="I4053" s="320">
        <v>20</v>
      </c>
      <c r="J4053" s="320">
        <v>60</v>
      </c>
      <c r="K4053" s="222">
        <v>1</v>
      </c>
      <c r="L4053" s="658">
        <v>20</v>
      </c>
      <c r="M4053" s="663">
        <v>34487</v>
      </c>
      <c r="N4053" s="600">
        <v>24.575399999999998</v>
      </c>
      <c r="O4053" s="604">
        <v>5.8780000000000004E-3</v>
      </c>
      <c r="P4053" s="250"/>
      <c r="Q4053" s="250"/>
      <c r="R4053" s="250"/>
      <c r="S4053" s="250"/>
      <c r="T4053" s="250"/>
      <c r="U4053" s="250">
        <v>0.114</v>
      </c>
      <c r="V4053" s="250">
        <v>0.40700000000000003</v>
      </c>
      <c r="W4053" s="250">
        <v>0.317</v>
      </c>
      <c r="X4053" s="250">
        <v>0.13800000000000001</v>
      </c>
      <c r="Y4053" s="250">
        <v>2.4E-2</v>
      </c>
      <c r="Z4053" s="150"/>
      <c r="AA4053" s="150">
        <v>1.04</v>
      </c>
      <c r="AB4053" s="152"/>
      <c r="AC4053" s="152"/>
      <c r="AD4053" s="223"/>
      <c r="AE4053" s="223"/>
      <c r="AF4053" s="223"/>
      <c r="AG4053" s="223"/>
      <c r="AH4053" s="341"/>
      <c r="AI4053" s="218"/>
      <c r="AJ4053" s="218"/>
      <c r="AK4053" s="153"/>
      <c r="AL4053" s="152"/>
      <c r="AM4053" s="152"/>
      <c r="AN4053" s="152"/>
      <c r="AO4053" s="152"/>
      <c r="AP4053" s="152"/>
      <c r="AQ4053" s="152"/>
      <c r="AR4053" s="152"/>
      <c r="AS4053" s="152"/>
      <c r="AT4053" s="152"/>
      <c r="AU4053" s="153"/>
      <c r="AV4053" s="479"/>
      <c r="AW4053" s="479"/>
      <c r="AX4053" s="442"/>
      <c r="AY4053" s="153"/>
      <c r="AZ4053" s="152"/>
      <c r="BA4053" s="152"/>
      <c r="BB4053" s="152"/>
      <c r="BC4053" s="152"/>
      <c r="BD4053" s="152"/>
      <c r="BE4053" s="152"/>
      <c r="BF4053" s="152"/>
      <c r="BG4053" s="152"/>
      <c r="BH4053" s="152"/>
      <c r="BI4053" s="153"/>
      <c r="BJ4053" s="153"/>
      <c r="BK4053" s="153"/>
      <c r="BL4053" s="153"/>
      <c r="BM4053" s="153"/>
      <c r="BN4053" s="153"/>
      <c r="BO4053" s="153"/>
      <c r="BP4053" s="153"/>
      <c r="BQ4053" s="153"/>
      <c r="BR4053" s="153"/>
      <c r="BS4053" s="153"/>
      <c r="BT4053" s="153"/>
      <c r="BU4053" s="153"/>
      <c r="BV4053" s="153"/>
      <c r="BW4053" s="153"/>
      <c r="BX4053" s="153"/>
      <c r="BY4053" s="153"/>
      <c r="BZ4053" s="153"/>
      <c r="CA4053" s="152"/>
      <c r="CB4053" s="152"/>
    </row>
    <row r="4054" spans="1:80" s="87" customFormat="1" ht="15" x14ac:dyDescent="0.25">
      <c r="A4054" s="152"/>
      <c r="B4054" s="683"/>
      <c r="C4054" s="683"/>
      <c r="D4054" s="698"/>
      <c r="E4054" s="215"/>
      <c r="F4054" s="215"/>
      <c r="G4054" s="153"/>
      <c r="H4054" s="153"/>
      <c r="I4054" s="320">
        <v>20</v>
      </c>
      <c r="J4054" s="320">
        <v>60</v>
      </c>
      <c r="K4054" s="222">
        <v>1</v>
      </c>
      <c r="L4054" s="658">
        <v>20</v>
      </c>
      <c r="M4054" s="663">
        <v>34493</v>
      </c>
      <c r="N4054" s="600">
        <v>16.6479</v>
      </c>
      <c r="O4054" s="604">
        <v>5.2499999999999997E-4</v>
      </c>
      <c r="P4054" s="250"/>
      <c r="Q4054" s="250"/>
      <c r="R4054" s="250"/>
      <c r="S4054" s="250"/>
      <c r="T4054" s="250"/>
      <c r="U4054" s="250"/>
      <c r="V4054" s="250">
        <v>0.14300000000000002</v>
      </c>
      <c r="W4054" s="250">
        <v>0.42899999999999999</v>
      </c>
      <c r="X4054" s="250">
        <v>0.35700000000000004</v>
      </c>
      <c r="Y4054" s="250">
        <v>7.0999999999999994E-2</v>
      </c>
      <c r="Z4054" s="150"/>
      <c r="AA4054" s="150">
        <v>0.56000000000000005</v>
      </c>
      <c r="AB4054" s="152"/>
      <c r="AC4054" s="152"/>
      <c r="AD4054" s="223"/>
      <c r="AE4054" s="223"/>
      <c r="AF4054" s="223"/>
      <c r="AG4054" s="223"/>
      <c r="AH4054" s="341"/>
      <c r="AI4054" s="218"/>
      <c r="AJ4054" s="218"/>
      <c r="AK4054" s="153"/>
      <c r="AL4054" s="152"/>
      <c r="AM4054" s="152"/>
      <c r="AN4054" s="152"/>
      <c r="AO4054" s="152"/>
      <c r="AP4054" s="152"/>
      <c r="AQ4054" s="152"/>
      <c r="AR4054" s="152"/>
      <c r="AS4054" s="152"/>
      <c r="AT4054" s="152"/>
      <c r="AU4054" s="153"/>
      <c r="AV4054" s="479"/>
      <c r="AW4054" s="479"/>
      <c r="AX4054" s="442"/>
      <c r="AY4054" s="153"/>
      <c r="AZ4054" s="152"/>
      <c r="BA4054" s="152"/>
      <c r="BB4054" s="152"/>
      <c r="BC4054" s="152"/>
      <c r="BD4054" s="152"/>
      <c r="BE4054" s="152"/>
      <c r="BF4054" s="152"/>
      <c r="BG4054" s="152"/>
      <c r="BH4054" s="152"/>
      <c r="BI4054" s="153"/>
      <c r="BJ4054" s="153"/>
      <c r="BK4054" s="153"/>
      <c r="BL4054" s="153"/>
      <c r="BM4054" s="153"/>
      <c r="BN4054" s="153"/>
      <c r="BO4054" s="153"/>
      <c r="BP4054" s="153"/>
      <c r="BQ4054" s="153"/>
      <c r="BR4054" s="153"/>
      <c r="BS4054" s="153"/>
      <c r="BT4054" s="153"/>
      <c r="BU4054" s="153"/>
      <c r="BV4054" s="153"/>
      <c r="BW4054" s="153"/>
      <c r="BX4054" s="153"/>
      <c r="BY4054" s="153"/>
      <c r="BZ4054" s="153"/>
      <c r="CA4054" s="152"/>
      <c r="CB4054" s="152"/>
    </row>
    <row r="4055" spans="1:80" s="87" customFormat="1" ht="15" x14ac:dyDescent="0.25">
      <c r="A4055" s="152"/>
      <c r="B4055" s="683"/>
      <c r="C4055" s="683"/>
      <c r="D4055" s="698"/>
      <c r="E4055" s="215"/>
      <c r="F4055" s="215"/>
      <c r="G4055" s="153"/>
      <c r="H4055" s="153"/>
      <c r="I4055" s="320">
        <v>20</v>
      </c>
      <c r="J4055" s="320">
        <v>60</v>
      </c>
      <c r="K4055" s="222">
        <v>1</v>
      </c>
      <c r="L4055" s="658">
        <v>20</v>
      </c>
      <c r="M4055" s="663">
        <v>34493</v>
      </c>
      <c r="N4055" s="600">
        <v>16.6479</v>
      </c>
      <c r="O4055" s="604">
        <v>4.8279999999999998E-3</v>
      </c>
      <c r="P4055" s="250"/>
      <c r="Q4055" s="250"/>
      <c r="R4055" s="250"/>
      <c r="S4055" s="250"/>
      <c r="T4055" s="250">
        <v>1.3999999999999999E-2</v>
      </c>
      <c r="U4055" s="250">
        <v>0.11</v>
      </c>
      <c r="V4055" s="250">
        <v>0.59299999999999997</v>
      </c>
      <c r="W4055" s="250">
        <v>0.22800000000000001</v>
      </c>
      <c r="X4055" s="250">
        <v>4.8000000000000001E-2</v>
      </c>
      <c r="Y4055" s="250">
        <v>6.9999999999999993E-3</v>
      </c>
      <c r="Z4055" s="150"/>
      <c r="AA4055" s="150">
        <v>1.29</v>
      </c>
      <c r="AB4055" s="152"/>
      <c r="AC4055" s="152"/>
      <c r="AD4055" s="223"/>
      <c r="AE4055" s="223"/>
      <c r="AF4055" s="223"/>
      <c r="AG4055" s="223"/>
      <c r="AH4055" s="341"/>
      <c r="AI4055" s="218"/>
      <c r="AJ4055" s="218"/>
      <c r="AK4055" s="153"/>
      <c r="AL4055" s="152"/>
      <c r="AM4055" s="152"/>
      <c r="AN4055" s="152"/>
      <c r="AO4055" s="152"/>
      <c r="AP4055" s="152"/>
      <c r="AQ4055" s="152"/>
      <c r="AR4055" s="152"/>
      <c r="AS4055" s="152"/>
      <c r="AT4055" s="152"/>
      <c r="AU4055" s="153"/>
      <c r="AV4055" s="479"/>
      <c r="AW4055" s="479"/>
      <c r="AX4055" s="442"/>
      <c r="AY4055" s="153"/>
      <c r="AZ4055" s="152"/>
      <c r="BA4055" s="152"/>
      <c r="BB4055" s="152"/>
      <c r="BC4055" s="152"/>
      <c r="BD4055" s="152"/>
      <c r="BE4055" s="152"/>
      <c r="BF4055" s="152"/>
      <c r="BG4055" s="152"/>
      <c r="BH4055" s="152"/>
      <c r="BI4055" s="153"/>
      <c r="BJ4055" s="153"/>
      <c r="BK4055" s="153"/>
      <c r="BL4055" s="153"/>
      <c r="BM4055" s="153"/>
      <c r="BN4055" s="153"/>
      <c r="BO4055" s="153"/>
      <c r="BP4055" s="153"/>
      <c r="BQ4055" s="153"/>
      <c r="BR4055" s="153"/>
      <c r="BS4055" s="153"/>
      <c r="BT4055" s="153"/>
      <c r="BU4055" s="153"/>
      <c r="BV4055" s="153"/>
      <c r="BW4055" s="153"/>
      <c r="BX4055" s="153"/>
      <c r="BY4055" s="153"/>
      <c r="BZ4055" s="153"/>
      <c r="CA4055" s="152"/>
      <c r="CB4055" s="152"/>
    </row>
    <row r="4056" spans="1:80" s="87" customFormat="1" ht="15" x14ac:dyDescent="0.25">
      <c r="A4056" s="152"/>
      <c r="B4056" s="683"/>
      <c r="C4056" s="683"/>
      <c r="D4056" s="698"/>
      <c r="E4056" s="215"/>
      <c r="F4056" s="215"/>
      <c r="G4056" s="153"/>
      <c r="H4056" s="153"/>
      <c r="I4056" s="320">
        <v>20</v>
      </c>
      <c r="J4056" s="320">
        <v>60</v>
      </c>
      <c r="K4056" s="222">
        <v>1</v>
      </c>
      <c r="L4056" s="658">
        <v>20</v>
      </c>
      <c r="M4056" s="663">
        <v>34499</v>
      </c>
      <c r="N4056" s="600">
        <v>13.7033</v>
      </c>
      <c r="O4056" s="604">
        <v>8.9210000000000001E-3</v>
      </c>
      <c r="P4056" s="250"/>
      <c r="Q4056" s="250"/>
      <c r="R4056" s="250"/>
      <c r="S4056" s="250"/>
      <c r="T4056" s="250"/>
      <c r="U4056" s="250">
        <v>5.2999999999999999E-2</v>
      </c>
      <c r="V4056" s="250">
        <v>0.45299999999999996</v>
      </c>
      <c r="W4056" s="250">
        <v>0.434</v>
      </c>
      <c r="X4056" s="250">
        <v>5.5999999999999994E-2</v>
      </c>
      <c r="Y4056" s="250">
        <v>4.0000000000000001E-3</v>
      </c>
      <c r="Z4056" s="150"/>
      <c r="AA4056" s="150">
        <v>1.01</v>
      </c>
      <c r="AB4056" s="152"/>
      <c r="AC4056" s="152"/>
      <c r="AD4056" s="223"/>
      <c r="AE4056" s="223"/>
      <c r="AF4056" s="223"/>
      <c r="AG4056" s="223"/>
      <c r="AH4056" s="341"/>
      <c r="AI4056" s="218"/>
      <c r="AJ4056" s="218"/>
      <c r="AK4056" s="153"/>
      <c r="AL4056" s="152"/>
      <c r="AM4056" s="152"/>
      <c r="AN4056" s="152"/>
      <c r="AO4056" s="152"/>
      <c r="AP4056" s="152"/>
      <c r="AQ4056" s="152"/>
      <c r="AR4056" s="152"/>
      <c r="AS4056" s="152"/>
      <c r="AT4056" s="152"/>
      <c r="AU4056" s="153"/>
      <c r="AV4056" s="479"/>
      <c r="AW4056" s="479"/>
      <c r="AX4056" s="442"/>
      <c r="AY4056" s="153"/>
      <c r="AZ4056" s="152"/>
      <c r="BA4056" s="152"/>
      <c r="BB4056" s="152"/>
      <c r="BC4056" s="152"/>
      <c r="BD4056" s="152"/>
      <c r="BE4056" s="152"/>
      <c r="BF4056" s="152"/>
      <c r="BG4056" s="152"/>
      <c r="BH4056" s="152"/>
      <c r="BI4056" s="153"/>
      <c r="BJ4056" s="153"/>
      <c r="BK4056" s="153"/>
      <c r="BL4056" s="153"/>
      <c r="BM4056" s="153"/>
      <c r="BN4056" s="153"/>
      <c r="BO4056" s="153"/>
      <c r="BP4056" s="153"/>
      <c r="BQ4056" s="153"/>
      <c r="BR4056" s="153"/>
      <c r="BS4056" s="153"/>
      <c r="BT4056" s="153"/>
      <c r="BU4056" s="153"/>
      <c r="BV4056" s="153"/>
      <c r="BW4056" s="153"/>
      <c r="BX4056" s="153"/>
      <c r="BY4056" s="153"/>
      <c r="BZ4056" s="153"/>
      <c r="CA4056" s="152"/>
      <c r="CB4056" s="152"/>
    </row>
    <row r="4057" spans="1:80" s="87" customFormat="1" ht="15" x14ac:dyDescent="0.25">
      <c r="A4057" s="152"/>
      <c r="B4057" s="683"/>
      <c r="C4057" s="683"/>
      <c r="D4057" s="698"/>
      <c r="E4057" s="215"/>
      <c r="F4057" s="215"/>
      <c r="G4057" s="153"/>
      <c r="H4057" s="153"/>
      <c r="I4057" s="320">
        <v>20</v>
      </c>
      <c r="J4057" s="320">
        <v>60</v>
      </c>
      <c r="K4057" s="222">
        <v>1</v>
      </c>
      <c r="L4057" s="658">
        <v>20</v>
      </c>
      <c r="M4057" s="663">
        <v>34499</v>
      </c>
      <c r="N4057" s="600">
        <v>13.7033</v>
      </c>
      <c r="O4057" s="604">
        <v>6.0879999999999997E-3</v>
      </c>
      <c r="P4057" s="250"/>
      <c r="Q4057" s="250"/>
      <c r="R4057" s="250"/>
      <c r="S4057" s="250"/>
      <c r="T4057" s="250"/>
      <c r="U4057" s="250">
        <v>0.105</v>
      </c>
      <c r="V4057" s="250">
        <v>0.40299999999999997</v>
      </c>
      <c r="W4057" s="250">
        <v>0.35899999999999999</v>
      </c>
      <c r="X4057" s="250">
        <v>0.11599999999999999</v>
      </c>
      <c r="Y4057" s="250">
        <v>1.7000000000000001E-2</v>
      </c>
      <c r="Z4057" s="150"/>
      <c r="AA4057" s="150">
        <v>1.01</v>
      </c>
      <c r="AB4057" s="152"/>
      <c r="AC4057" s="152"/>
      <c r="AD4057" s="223"/>
      <c r="AE4057" s="223"/>
      <c r="AF4057" s="223"/>
      <c r="AG4057" s="223"/>
      <c r="AH4057" s="341"/>
      <c r="AI4057" s="218"/>
      <c r="AJ4057" s="218"/>
      <c r="AK4057" s="153"/>
      <c r="AL4057" s="152"/>
      <c r="AM4057" s="152"/>
      <c r="AN4057" s="152"/>
      <c r="AO4057" s="152"/>
      <c r="AP4057" s="152"/>
      <c r="AQ4057" s="152"/>
      <c r="AR4057" s="152"/>
      <c r="AS4057" s="152"/>
      <c r="AT4057" s="152"/>
      <c r="AU4057" s="153"/>
      <c r="AV4057" s="479"/>
      <c r="AW4057" s="479"/>
      <c r="AX4057" s="442"/>
      <c r="AY4057" s="153"/>
      <c r="AZ4057" s="152"/>
      <c r="BA4057" s="152"/>
      <c r="BB4057" s="152"/>
      <c r="BC4057" s="152"/>
      <c r="BD4057" s="152"/>
      <c r="BE4057" s="152"/>
      <c r="BF4057" s="152"/>
      <c r="BG4057" s="152"/>
      <c r="BH4057" s="152"/>
      <c r="BI4057" s="153"/>
      <c r="BJ4057" s="153"/>
      <c r="BK4057" s="153"/>
      <c r="BL4057" s="153"/>
      <c r="BM4057" s="153"/>
      <c r="BN4057" s="153"/>
      <c r="BO4057" s="153"/>
      <c r="BP4057" s="153"/>
      <c r="BQ4057" s="153"/>
      <c r="BR4057" s="153"/>
      <c r="BS4057" s="153"/>
      <c r="BT4057" s="153"/>
      <c r="BU4057" s="153"/>
      <c r="BV4057" s="153"/>
      <c r="BW4057" s="153"/>
      <c r="BX4057" s="153"/>
      <c r="BY4057" s="153"/>
      <c r="BZ4057" s="153"/>
      <c r="CA4057" s="152"/>
      <c r="CB4057" s="152"/>
    </row>
    <row r="4058" spans="1:80" s="87" customFormat="1" ht="15" x14ac:dyDescent="0.25">
      <c r="A4058" s="152"/>
      <c r="B4058" s="683"/>
      <c r="C4058" s="683"/>
      <c r="D4058" s="698"/>
      <c r="E4058" s="215"/>
      <c r="F4058" s="215"/>
      <c r="G4058" s="153"/>
      <c r="H4058" s="153"/>
      <c r="I4058" s="320">
        <v>20</v>
      </c>
      <c r="J4058" s="320">
        <v>60</v>
      </c>
      <c r="K4058" s="222">
        <v>1</v>
      </c>
      <c r="L4058" s="658">
        <v>20</v>
      </c>
      <c r="M4058" s="663">
        <v>34821</v>
      </c>
      <c r="N4058" s="600">
        <v>27.972899999999999</v>
      </c>
      <c r="O4058" s="604">
        <v>3.8099000000000001E-2</v>
      </c>
      <c r="P4058" s="250"/>
      <c r="Q4058" s="250"/>
      <c r="R4058" s="250"/>
      <c r="S4058" s="250"/>
      <c r="T4058" s="250">
        <v>6.9999999999999993E-3</v>
      </c>
      <c r="U4058" s="250">
        <v>5.0999999999999997E-2</v>
      </c>
      <c r="V4058" s="250">
        <v>0.41</v>
      </c>
      <c r="W4058" s="250">
        <v>0.46</v>
      </c>
      <c r="X4058" s="250">
        <v>6.9000000000000006E-2</v>
      </c>
      <c r="Y4058" s="250">
        <v>3.0000000000000001E-3</v>
      </c>
      <c r="Z4058" s="150">
        <v>5</v>
      </c>
      <c r="AA4058" s="150">
        <v>0.95</v>
      </c>
      <c r="AB4058" s="152"/>
      <c r="AC4058" s="152"/>
      <c r="AD4058" s="223"/>
      <c r="AE4058" s="223"/>
      <c r="AF4058" s="223"/>
      <c r="AG4058" s="223"/>
      <c r="AH4058" s="341"/>
      <c r="AI4058" s="218"/>
      <c r="AJ4058" s="218"/>
      <c r="AK4058" s="153"/>
      <c r="AL4058" s="152"/>
      <c r="AM4058" s="152"/>
      <c r="AN4058" s="152"/>
      <c r="AO4058" s="152"/>
      <c r="AP4058" s="152"/>
      <c r="AQ4058" s="152"/>
      <c r="AR4058" s="152"/>
      <c r="AS4058" s="152"/>
      <c r="AT4058" s="152"/>
      <c r="AU4058" s="153"/>
      <c r="AV4058" s="479"/>
      <c r="AW4058" s="479"/>
      <c r="AX4058" s="442"/>
      <c r="AY4058" s="153"/>
      <c r="AZ4058" s="152"/>
      <c r="BA4058" s="152"/>
      <c r="BB4058" s="152"/>
      <c r="BC4058" s="152"/>
      <c r="BD4058" s="152"/>
      <c r="BE4058" s="152"/>
      <c r="BF4058" s="152"/>
      <c r="BG4058" s="152"/>
      <c r="BH4058" s="152"/>
      <c r="BI4058" s="153"/>
      <c r="BJ4058" s="153"/>
      <c r="BK4058" s="153"/>
      <c r="BL4058" s="153"/>
      <c r="BM4058" s="153"/>
      <c r="BN4058" s="153"/>
      <c r="BO4058" s="153"/>
      <c r="BP4058" s="153"/>
      <c r="BQ4058" s="153"/>
      <c r="BR4058" s="153"/>
      <c r="BS4058" s="153"/>
      <c r="BT4058" s="153"/>
      <c r="BU4058" s="153"/>
      <c r="BV4058" s="153"/>
      <c r="BW4058" s="153"/>
      <c r="BX4058" s="153"/>
      <c r="BY4058" s="153"/>
      <c r="BZ4058" s="153"/>
      <c r="CA4058" s="152"/>
      <c r="CB4058" s="152"/>
    </row>
    <row r="4059" spans="1:80" s="87" customFormat="1" ht="15" x14ac:dyDescent="0.25">
      <c r="A4059" s="152"/>
      <c r="B4059" s="683"/>
      <c r="C4059" s="683"/>
      <c r="D4059" s="698"/>
      <c r="E4059" s="215"/>
      <c r="F4059" s="215"/>
      <c r="G4059" s="153"/>
      <c r="H4059" s="153"/>
      <c r="I4059" s="320">
        <v>20</v>
      </c>
      <c r="J4059" s="320">
        <v>60</v>
      </c>
      <c r="K4059" s="222">
        <v>1</v>
      </c>
      <c r="L4059" s="658">
        <v>20</v>
      </c>
      <c r="M4059" s="663">
        <v>34821</v>
      </c>
      <c r="N4059" s="600">
        <v>27.972899999999999</v>
      </c>
      <c r="O4059" s="604">
        <v>2.6554000000000001E-2</v>
      </c>
      <c r="P4059" s="250"/>
      <c r="Q4059" s="250"/>
      <c r="R4059" s="250"/>
      <c r="S4059" s="250"/>
      <c r="T4059" s="250"/>
      <c r="U4059" s="250">
        <v>7.8E-2</v>
      </c>
      <c r="V4059" s="250">
        <v>0.41</v>
      </c>
      <c r="W4059" s="250">
        <v>0.41100000000000003</v>
      </c>
      <c r="X4059" s="250">
        <v>9.6000000000000002E-2</v>
      </c>
      <c r="Y4059" s="250">
        <v>5.0000000000000001E-3</v>
      </c>
      <c r="Z4059" s="150">
        <v>3</v>
      </c>
      <c r="AA4059" s="150">
        <v>0.98</v>
      </c>
      <c r="AB4059" s="152"/>
      <c r="AC4059" s="152"/>
      <c r="AD4059" s="223"/>
      <c r="AE4059" s="223"/>
      <c r="AF4059" s="223"/>
      <c r="AG4059" s="223"/>
      <c r="AH4059" s="341"/>
      <c r="AI4059" s="218"/>
      <c r="AJ4059" s="218"/>
      <c r="AK4059" s="153"/>
      <c r="AL4059" s="152"/>
      <c r="AM4059" s="152"/>
      <c r="AN4059" s="152"/>
      <c r="AO4059" s="152"/>
      <c r="AP4059" s="152"/>
      <c r="AQ4059" s="152"/>
      <c r="AR4059" s="152"/>
      <c r="AS4059" s="152"/>
      <c r="AT4059" s="152"/>
      <c r="AU4059" s="153"/>
      <c r="AV4059" s="479"/>
      <c r="AW4059" s="479"/>
      <c r="AX4059" s="442"/>
      <c r="AY4059" s="153"/>
      <c r="AZ4059" s="152"/>
      <c r="BA4059" s="152"/>
      <c r="BB4059" s="152"/>
      <c r="BC4059" s="152"/>
      <c r="BD4059" s="152"/>
      <c r="BE4059" s="152"/>
      <c r="BF4059" s="152"/>
      <c r="BG4059" s="152"/>
      <c r="BH4059" s="152"/>
      <c r="BI4059" s="153"/>
      <c r="BJ4059" s="153"/>
      <c r="BK4059" s="153"/>
      <c r="BL4059" s="153"/>
      <c r="BM4059" s="153"/>
      <c r="BN4059" s="153"/>
      <c r="BO4059" s="153"/>
      <c r="BP4059" s="153"/>
      <c r="BQ4059" s="153"/>
      <c r="BR4059" s="153"/>
      <c r="BS4059" s="153"/>
      <c r="BT4059" s="153"/>
      <c r="BU4059" s="153"/>
      <c r="BV4059" s="153"/>
      <c r="BW4059" s="153"/>
      <c r="BX4059" s="153"/>
      <c r="BY4059" s="153"/>
      <c r="BZ4059" s="153"/>
      <c r="CA4059" s="152"/>
      <c r="CB4059" s="152"/>
    </row>
    <row r="4060" spans="1:80" s="87" customFormat="1" ht="15" x14ac:dyDescent="0.25">
      <c r="A4060" s="152"/>
      <c r="B4060" s="683"/>
      <c r="C4060" s="683"/>
      <c r="D4060" s="698"/>
      <c r="E4060" s="215"/>
      <c r="F4060" s="215"/>
      <c r="G4060" s="153"/>
      <c r="H4060" s="153"/>
      <c r="I4060" s="320">
        <v>20</v>
      </c>
      <c r="J4060" s="320">
        <v>60</v>
      </c>
      <c r="K4060" s="222">
        <v>1</v>
      </c>
      <c r="L4060" s="658">
        <v>20</v>
      </c>
      <c r="M4060" s="663">
        <v>34822</v>
      </c>
      <c r="N4060" s="600">
        <v>29.162099999999999</v>
      </c>
      <c r="O4060" s="604">
        <v>1.1965E-2</v>
      </c>
      <c r="P4060" s="250"/>
      <c r="Q4060" s="250"/>
      <c r="R4060" s="250"/>
      <c r="S4060" s="250"/>
      <c r="T4060" s="250">
        <v>9.5000000000000001E-2</v>
      </c>
      <c r="U4060" s="250">
        <v>0.315</v>
      </c>
      <c r="V4060" s="250">
        <v>0.33700000000000002</v>
      </c>
      <c r="W4060" s="250">
        <v>0.155</v>
      </c>
      <c r="X4060" s="250">
        <v>9.1999999999999998E-2</v>
      </c>
      <c r="Y4060" s="250">
        <v>6.0000000000000001E-3</v>
      </c>
      <c r="Z4060" s="150">
        <v>7</v>
      </c>
      <c r="AA4060" s="150">
        <v>1.66</v>
      </c>
      <c r="AB4060" s="152"/>
      <c r="AC4060" s="152"/>
      <c r="AD4060" s="223"/>
      <c r="AE4060" s="223"/>
      <c r="AF4060" s="223"/>
      <c r="AG4060" s="223"/>
      <c r="AH4060" s="341"/>
      <c r="AI4060" s="218"/>
      <c r="AJ4060" s="218"/>
      <c r="AK4060" s="153"/>
      <c r="AL4060" s="152"/>
      <c r="AM4060" s="152"/>
      <c r="AN4060" s="152"/>
      <c r="AO4060" s="152"/>
      <c r="AP4060" s="152"/>
      <c r="AQ4060" s="152"/>
      <c r="AR4060" s="152"/>
      <c r="AS4060" s="152"/>
      <c r="AT4060" s="152"/>
      <c r="AU4060" s="153"/>
      <c r="AV4060" s="479"/>
      <c r="AW4060" s="479"/>
      <c r="AX4060" s="442"/>
      <c r="AY4060" s="153"/>
      <c r="AZ4060" s="152"/>
      <c r="BA4060" s="152"/>
      <c r="BB4060" s="152"/>
      <c r="BC4060" s="152"/>
      <c r="BD4060" s="152"/>
      <c r="BE4060" s="152"/>
      <c r="BF4060" s="152"/>
      <c r="BG4060" s="152"/>
      <c r="BH4060" s="152"/>
      <c r="BI4060" s="153"/>
      <c r="BJ4060" s="153"/>
      <c r="BK4060" s="153"/>
      <c r="BL4060" s="153"/>
      <c r="BM4060" s="153"/>
      <c r="BN4060" s="153"/>
      <c r="BO4060" s="153"/>
      <c r="BP4060" s="153"/>
      <c r="BQ4060" s="153"/>
      <c r="BR4060" s="153"/>
      <c r="BS4060" s="153"/>
      <c r="BT4060" s="153"/>
      <c r="BU4060" s="153"/>
      <c r="BV4060" s="153"/>
      <c r="BW4060" s="153"/>
      <c r="BX4060" s="153"/>
      <c r="BY4060" s="153"/>
      <c r="BZ4060" s="153"/>
      <c r="CA4060" s="152"/>
      <c r="CB4060" s="152"/>
    </row>
    <row r="4061" spans="1:80" s="87" customFormat="1" ht="15" x14ac:dyDescent="0.25">
      <c r="A4061" s="152"/>
      <c r="B4061" s="683"/>
      <c r="C4061" s="683"/>
      <c r="D4061" s="698"/>
      <c r="E4061" s="215"/>
      <c r="F4061" s="215"/>
      <c r="G4061" s="153"/>
      <c r="H4061" s="153"/>
      <c r="I4061" s="320">
        <v>20</v>
      </c>
      <c r="J4061" s="320">
        <v>60</v>
      </c>
      <c r="K4061" s="222">
        <v>1</v>
      </c>
      <c r="L4061" s="658">
        <v>20</v>
      </c>
      <c r="M4061" s="663">
        <v>34822</v>
      </c>
      <c r="N4061" s="600">
        <v>29.162099999999999</v>
      </c>
      <c r="O4061" s="604">
        <v>2.4035000000000001E-2</v>
      </c>
      <c r="P4061" s="250"/>
      <c r="Q4061" s="250"/>
      <c r="R4061" s="250"/>
      <c r="S4061" s="250"/>
      <c r="T4061" s="250">
        <v>2.1000000000000001E-2</v>
      </c>
      <c r="U4061" s="250">
        <v>0.157</v>
      </c>
      <c r="V4061" s="250">
        <v>0.54299999999999993</v>
      </c>
      <c r="W4061" s="250">
        <v>0.19699999999999998</v>
      </c>
      <c r="X4061" s="250">
        <v>7.8E-2</v>
      </c>
      <c r="Y4061" s="250">
        <v>4.0000000000000001E-3</v>
      </c>
      <c r="Z4061" s="150">
        <v>8</v>
      </c>
      <c r="AA4061" s="150">
        <v>1.33</v>
      </c>
      <c r="AB4061" s="152"/>
      <c r="AC4061" s="152"/>
      <c r="AD4061" s="223"/>
      <c r="AE4061" s="223"/>
      <c r="AF4061" s="223"/>
      <c r="AG4061" s="223"/>
      <c r="AH4061" s="341"/>
      <c r="AI4061" s="218"/>
      <c r="AJ4061" s="218"/>
      <c r="AK4061" s="153"/>
      <c r="AL4061" s="152"/>
      <c r="AM4061" s="152"/>
      <c r="AN4061" s="152"/>
      <c r="AO4061" s="152"/>
      <c r="AP4061" s="152"/>
      <c r="AQ4061" s="152"/>
      <c r="AR4061" s="152"/>
      <c r="AS4061" s="152"/>
      <c r="AT4061" s="152"/>
      <c r="AU4061" s="153"/>
      <c r="AV4061" s="479"/>
      <c r="AW4061" s="479"/>
      <c r="AX4061" s="442"/>
      <c r="AY4061" s="153"/>
      <c r="AZ4061" s="152"/>
      <c r="BA4061" s="152"/>
      <c r="BB4061" s="152"/>
      <c r="BC4061" s="152"/>
      <c r="BD4061" s="152"/>
      <c r="BE4061" s="152"/>
      <c r="BF4061" s="152"/>
      <c r="BG4061" s="152"/>
      <c r="BH4061" s="152"/>
      <c r="BI4061" s="153"/>
      <c r="BJ4061" s="153"/>
      <c r="BK4061" s="153"/>
      <c r="BL4061" s="153"/>
      <c r="BM4061" s="153"/>
      <c r="BN4061" s="153"/>
      <c r="BO4061" s="153"/>
      <c r="BP4061" s="153"/>
      <c r="BQ4061" s="153"/>
      <c r="BR4061" s="153"/>
      <c r="BS4061" s="153"/>
      <c r="BT4061" s="153"/>
      <c r="BU4061" s="153"/>
      <c r="BV4061" s="153"/>
      <c r="BW4061" s="153"/>
      <c r="BX4061" s="153"/>
      <c r="BY4061" s="153"/>
      <c r="BZ4061" s="153"/>
      <c r="CA4061" s="152"/>
      <c r="CB4061" s="152"/>
    </row>
    <row r="4062" spans="1:80" s="87" customFormat="1" ht="15" x14ac:dyDescent="0.25">
      <c r="A4062" s="152"/>
      <c r="B4062" s="683"/>
      <c r="C4062" s="683"/>
      <c r="D4062" s="698"/>
      <c r="E4062" s="215"/>
      <c r="F4062" s="215"/>
      <c r="G4062" s="153"/>
      <c r="H4062" s="153"/>
      <c r="I4062" s="320">
        <v>20</v>
      </c>
      <c r="J4062" s="320">
        <v>60</v>
      </c>
      <c r="K4062" s="222">
        <v>1</v>
      </c>
      <c r="L4062" s="658">
        <v>20</v>
      </c>
      <c r="M4062" s="663">
        <v>34828</v>
      </c>
      <c r="N4062" s="600">
        <v>47.848500000000001</v>
      </c>
      <c r="O4062" s="604">
        <v>6.1400000000000003E-2</v>
      </c>
      <c r="P4062" s="250"/>
      <c r="Q4062" s="250"/>
      <c r="R4062" s="250"/>
      <c r="S4062" s="250"/>
      <c r="T4062" s="250">
        <v>1.4999999999999999E-2</v>
      </c>
      <c r="U4062" s="250">
        <v>0.13300000000000001</v>
      </c>
      <c r="V4062" s="250">
        <v>0.312</v>
      </c>
      <c r="W4062" s="250">
        <v>0.33899999999999997</v>
      </c>
      <c r="X4062" s="250">
        <v>0.19</v>
      </c>
      <c r="Y4062" s="250">
        <v>1.1000000000000001E-2</v>
      </c>
      <c r="Z4062" s="150">
        <v>6</v>
      </c>
      <c r="AA4062" s="150">
        <v>0.92</v>
      </c>
      <c r="AB4062" s="152"/>
      <c r="AC4062" s="152"/>
      <c r="AD4062" s="223"/>
      <c r="AE4062" s="223"/>
      <c r="AF4062" s="223"/>
      <c r="AG4062" s="223"/>
      <c r="AH4062" s="341"/>
      <c r="AI4062" s="218"/>
      <c r="AJ4062" s="218"/>
      <c r="AK4062" s="153"/>
      <c r="AL4062" s="152"/>
      <c r="AM4062" s="152"/>
      <c r="AN4062" s="152"/>
      <c r="AO4062" s="152"/>
      <c r="AP4062" s="152"/>
      <c r="AQ4062" s="152"/>
      <c r="AR4062" s="152"/>
      <c r="AS4062" s="152"/>
      <c r="AT4062" s="152"/>
      <c r="AU4062" s="153"/>
      <c r="AV4062" s="479"/>
      <c r="AW4062" s="479"/>
      <c r="AX4062" s="442"/>
      <c r="AY4062" s="153"/>
      <c r="AZ4062" s="152"/>
      <c r="BA4062" s="152"/>
      <c r="BB4062" s="152"/>
      <c r="BC4062" s="152"/>
      <c r="BD4062" s="152"/>
      <c r="BE4062" s="152"/>
      <c r="BF4062" s="152"/>
      <c r="BG4062" s="152"/>
      <c r="BH4062" s="152"/>
      <c r="BI4062" s="153"/>
      <c r="BJ4062" s="153"/>
      <c r="BK4062" s="153"/>
      <c r="BL4062" s="153"/>
      <c r="BM4062" s="153"/>
      <c r="BN4062" s="153"/>
      <c r="BO4062" s="153"/>
      <c r="BP4062" s="153"/>
      <c r="BQ4062" s="153"/>
      <c r="BR4062" s="153"/>
      <c r="BS4062" s="153"/>
      <c r="BT4062" s="153"/>
      <c r="BU4062" s="153"/>
      <c r="BV4062" s="153"/>
      <c r="BW4062" s="153"/>
      <c r="BX4062" s="153"/>
      <c r="BY4062" s="153"/>
      <c r="BZ4062" s="153"/>
      <c r="CA4062" s="152"/>
      <c r="CB4062" s="152"/>
    </row>
    <row r="4063" spans="1:80" s="87" customFormat="1" ht="15" x14ac:dyDescent="0.25">
      <c r="A4063" s="152"/>
      <c r="B4063" s="683"/>
      <c r="C4063" s="683"/>
      <c r="D4063" s="698"/>
      <c r="E4063" s="215"/>
      <c r="F4063" s="215"/>
      <c r="G4063" s="153"/>
      <c r="H4063" s="153"/>
      <c r="I4063" s="320">
        <v>20</v>
      </c>
      <c r="J4063" s="320">
        <v>60</v>
      </c>
      <c r="K4063" s="222">
        <v>1</v>
      </c>
      <c r="L4063" s="658">
        <v>20</v>
      </c>
      <c r="M4063" s="663">
        <v>34828</v>
      </c>
      <c r="N4063" s="600">
        <v>47.848500000000001</v>
      </c>
      <c r="O4063" s="604">
        <v>4.9224999999999998E-2</v>
      </c>
      <c r="P4063" s="250"/>
      <c r="Q4063" s="250"/>
      <c r="R4063" s="250"/>
      <c r="S4063" s="250"/>
      <c r="T4063" s="250">
        <v>2.4E-2</v>
      </c>
      <c r="U4063" s="250">
        <v>0.17899999999999999</v>
      </c>
      <c r="V4063" s="250">
        <v>0.316</v>
      </c>
      <c r="W4063" s="250">
        <v>0.29100000000000004</v>
      </c>
      <c r="X4063" s="250">
        <v>0.17899999999999999</v>
      </c>
      <c r="Y4063" s="250">
        <v>1.1000000000000001E-2</v>
      </c>
      <c r="Z4063" s="150">
        <v>7</v>
      </c>
      <c r="AA4063" s="150">
        <v>1.04</v>
      </c>
      <c r="AB4063" s="152"/>
      <c r="AC4063" s="152"/>
      <c r="AD4063" s="223"/>
      <c r="AE4063" s="223"/>
      <c r="AF4063" s="223"/>
      <c r="AG4063" s="223"/>
      <c r="AH4063" s="341"/>
      <c r="AI4063" s="218"/>
      <c r="AJ4063" s="218"/>
      <c r="AK4063" s="153"/>
      <c r="AL4063" s="152"/>
      <c r="AM4063" s="152"/>
      <c r="AN4063" s="152"/>
      <c r="AO4063" s="152"/>
      <c r="AP4063" s="152"/>
      <c r="AQ4063" s="152"/>
      <c r="AR4063" s="152"/>
      <c r="AS4063" s="152"/>
      <c r="AT4063" s="152"/>
      <c r="AU4063" s="153"/>
      <c r="AV4063" s="479"/>
      <c r="AW4063" s="479"/>
      <c r="AX4063" s="442"/>
      <c r="AY4063" s="153"/>
      <c r="AZ4063" s="152"/>
      <c r="BA4063" s="152"/>
      <c r="BB4063" s="152"/>
      <c r="BC4063" s="152"/>
      <c r="BD4063" s="152"/>
      <c r="BE4063" s="152"/>
      <c r="BF4063" s="152"/>
      <c r="BG4063" s="152"/>
      <c r="BH4063" s="152"/>
      <c r="BI4063" s="153"/>
      <c r="BJ4063" s="153"/>
      <c r="BK4063" s="153"/>
      <c r="BL4063" s="153"/>
      <c r="BM4063" s="153"/>
      <c r="BN4063" s="153"/>
      <c r="BO4063" s="153"/>
      <c r="BP4063" s="153"/>
      <c r="BQ4063" s="153"/>
      <c r="BR4063" s="153"/>
      <c r="BS4063" s="153"/>
      <c r="BT4063" s="153"/>
      <c r="BU4063" s="153"/>
      <c r="BV4063" s="153"/>
      <c r="BW4063" s="153"/>
      <c r="BX4063" s="153"/>
      <c r="BY4063" s="153"/>
      <c r="BZ4063" s="153"/>
      <c r="CA4063" s="152"/>
      <c r="CB4063" s="152"/>
    </row>
    <row r="4064" spans="1:80" s="87" customFormat="1" ht="15" x14ac:dyDescent="0.25">
      <c r="A4064" s="152"/>
      <c r="B4064" s="683"/>
      <c r="C4064" s="683"/>
      <c r="D4064" s="698"/>
      <c r="E4064" s="215"/>
      <c r="F4064" s="215"/>
      <c r="G4064" s="153"/>
      <c r="H4064" s="153"/>
      <c r="I4064" s="320">
        <v>20</v>
      </c>
      <c r="J4064" s="320">
        <v>60</v>
      </c>
      <c r="K4064" s="222">
        <v>1</v>
      </c>
      <c r="L4064" s="658">
        <v>20</v>
      </c>
      <c r="M4064" s="663">
        <v>34829</v>
      </c>
      <c r="N4064" s="600">
        <v>48.414700000000003</v>
      </c>
      <c r="O4064" s="604">
        <v>0.14588999999999999</v>
      </c>
      <c r="P4064" s="250"/>
      <c r="Q4064" s="250"/>
      <c r="R4064" s="250"/>
      <c r="S4064" s="250"/>
      <c r="T4064" s="250">
        <v>5.2000000000000005E-2</v>
      </c>
      <c r="U4064" s="250">
        <v>0.22600000000000001</v>
      </c>
      <c r="V4064" s="250">
        <v>0.36399999999999999</v>
      </c>
      <c r="W4064" s="250">
        <v>0.254</v>
      </c>
      <c r="X4064" s="250">
        <v>9.8000000000000004E-2</v>
      </c>
      <c r="Y4064" s="250">
        <v>6.0000000000000001E-3</v>
      </c>
      <c r="Z4064" s="150">
        <v>8</v>
      </c>
      <c r="AA4064" s="150">
        <v>1.31</v>
      </c>
      <c r="AB4064" s="152"/>
      <c r="AC4064" s="152"/>
      <c r="AD4064" s="223">
        <v>33.526899999999998</v>
      </c>
      <c r="AE4064" s="223">
        <v>1.4965189000000001</v>
      </c>
      <c r="AF4064" s="223">
        <v>50.162759999999999</v>
      </c>
      <c r="AG4064" s="223">
        <v>1.0088549</v>
      </c>
      <c r="AH4064" s="341"/>
      <c r="AI4064" s="218"/>
      <c r="AJ4064" s="218"/>
      <c r="AK4064" s="153"/>
      <c r="AL4064" s="152"/>
      <c r="AM4064" s="152"/>
      <c r="AN4064" s="152"/>
      <c r="AO4064" s="152"/>
      <c r="AP4064" s="152"/>
      <c r="AQ4064" s="152"/>
      <c r="AR4064" s="152"/>
      <c r="AS4064" s="152"/>
      <c r="AT4064" s="152"/>
      <c r="AU4064" s="153"/>
      <c r="AV4064" s="479"/>
      <c r="AW4064" s="479"/>
      <c r="AX4064" s="442"/>
      <c r="AY4064" s="153"/>
      <c r="AZ4064" s="152"/>
      <c r="BA4064" s="152"/>
      <c r="BB4064" s="152"/>
      <c r="BC4064" s="152"/>
      <c r="BD4064" s="152"/>
      <c r="BE4064" s="152"/>
      <c r="BF4064" s="152"/>
      <c r="BG4064" s="152"/>
      <c r="BH4064" s="152"/>
      <c r="BI4064" s="153"/>
      <c r="BJ4064" s="153"/>
      <c r="BK4064" s="153"/>
      <c r="BL4064" s="153"/>
      <c r="BM4064" s="153"/>
      <c r="BN4064" s="153"/>
      <c r="BO4064" s="153"/>
      <c r="BP4064" s="153"/>
      <c r="BQ4064" s="153"/>
      <c r="BR4064" s="153"/>
      <c r="BS4064" s="153"/>
      <c r="BT4064" s="153"/>
      <c r="BU4064" s="153"/>
      <c r="BV4064" s="153"/>
      <c r="BW4064" s="153"/>
      <c r="BX4064" s="153"/>
      <c r="BY4064" s="153"/>
      <c r="BZ4064" s="153"/>
      <c r="CA4064" s="152"/>
      <c r="CB4064" s="152"/>
    </row>
    <row r="4065" spans="1:80" s="87" customFormat="1" ht="15" x14ac:dyDescent="0.25">
      <c r="A4065" s="152"/>
      <c r="B4065" s="683"/>
      <c r="C4065" s="683"/>
      <c r="D4065" s="698"/>
      <c r="E4065" s="215"/>
      <c r="F4065" s="215"/>
      <c r="G4065" s="153"/>
      <c r="H4065" s="153"/>
      <c r="I4065" s="320">
        <v>20</v>
      </c>
      <c r="J4065" s="320">
        <v>60</v>
      </c>
      <c r="K4065" s="222">
        <v>1</v>
      </c>
      <c r="L4065" s="658">
        <v>20</v>
      </c>
      <c r="M4065" s="663">
        <v>34829</v>
      </c>
      <c r="N4065" s="600">
        <v>48.414700000000003</v>
      </c>
      <c r="O4065" s="604">
        <v>0.120701</v>
      </c>
      <c r="P4065" s="250"/>
      <c r="Q4065" s="250"/>
      <c r="R4065" s="250"/>
      <c r="S4065" s="250">
        <v>2E-3</v>
      </c>
      <c r="T4065" s="250">
        <v>3.3000000000000002E-2</v>
      </c>
      <c r="U4065" s="250">
        <v>0.159</v>
      </c>
      <c r="V4065" s="250">
        <v>0.43700000000000006</v>
      </c>
      <c r="W4065" s="250">
        <v>0.27699999999999997</v>
      </c>
      <c r="X4065" s="250">
        <v>8.5999999999999993E-2</v>
      </c>
      <c r="Y4065" s="250">
        <v>6.0000000000000001E-3</v>
      </c>
      <c r="Z4065" s="150">
        <v>8</v>
      </c>
      <c r="AA4065" s="150">
        <v>1.23</v>
      </c>
      <c r="AB4065" s="152"/>
      <c r="AC4065" s="152"/>
      <c r="AD4065" s="223">
        <v>33.526899999999998</v>
      </c>
      <c r="AE4065" s="223">
        <v>1.4965189000000001</v>
      </c>
      <c r="AF4065" s="223">
        <v>50.162759999999999</v>
      </c>
      <c r="AG4065" s="223">
        <v>1.0088549</v>
      </c>
      <c r="AH4065" s="341"/>
      <c r="AI4065" s="218"/>
      <c r="AJ4065" s="218"/>
      <c r="AK4065" s="153"/>
      <c r="AL4065" s="152"/>
      <c r="AM4065" s="152"/>
      <c r="AN4065" s="152"/>
      <c r="AO4065" s="152"/>
      <c r="AP4065" s="152"/>
      <c r="AQ4065" s="152"/>
      <c r="AR4065" s="152"/>
      <c r="AS4065" s="152"/>
      <c r="AT4065" s="152"/>
      <c r="AU4065" s="153"/>
      <c r="AV4065" s="479"/>
      <c r="AW4065" s="479"/>
      <c r="AX4065" s="442"/>
      <c r="AY4065" s="153"/>
      <c r="AZ4065" s="152"/>
      <c r="BA4065" s="152"/>
      <c r="BB4065" s="152"/>
      <c r="BC4065" s="152"/>
      <c r="BD4065" s="152"/>
      <c r="BE4065" s="152"/>
      <c r="BF4065" s="152"/>
      <c r="BG4065" s="152"/>
      <c r="BH4065" s="152"/>
      <c r="BI4065" s="153"/>
      <c r="BJ4065" s="153"/>
      <c r="BK4065" s="153"/>
      <c r="BL4065" s="153"/>
      <c r="BM4065" s="153"/>
      <c r="BN4065" s="153"/>
      <c r="BO4065" s="153"/>
      <c r="BP4065" s="153"/>
      <c r="BQ4065" s="153"/>
      <c r="BR4065" s="153"/>
      <c r="BS4065" s="153"/>
      <c r="BT4065" s="153"/>
      <c r="BU4065" s="153"/>
      <c r="BV4065" s="153"/>
      <c r="BW4065" s="153"/>
      <c r="BX4065" s="153"/>
      <c r="BY4065" s="153"/>
      <c r="BZ4065" s="153"/>
      <c r="CA4065" s="152"/>
      <c r="CB4065" s="152"/>
    </row>
    <row r="4066" spans="1:80" s="87" customFormat="1" ht="15" x14ac:dyDescent="0.25">
      <c r="A4066" s="152"/>
      <c r="B4066" s="683"/>
      <c r="C4066" s="683"/>
      <c r="D4066" s="698"/>
      <c r="E4066" s="215"/>
      <c r="F4066" s="215"/>
      <c r="G4066" s="153"/>
      <c r="H4066" s="153"/>
      <c r="I4066" s="320">
        <v>20</v>
      </c>
      <c r="J4066" s="320">
        <v>45</v>
      </c>
      <c r="K4066" s="222">
        <v>1</v>
      </c>
      <c r="L4066" s="658">
        <v>15</v>
      </c>
      <c r="M4066" s="663">
        <v>34835</v>
      </c>
      <c r="N4066" s="600">
        <v>48.131599999999999</v>
      </c>
      <c r="O4066" s="604">
        <v>1.3854340000000001</v>
      </c>
      <c r="P4066" s="250"/>
      <c r="Q4066" s="250"/>
      <c r="R4066" s="250"/>
      <c r="S4066" s="250">
        <v>1E-3</v>
      </c>
      <c r="T4066" s="250">
        <v>3.2000000000000001E-2</v>
      </c>
      <c r="U4066" s="250">
        <v>0.30099999999999999</v>
      </c>
      <c r="V4066" s="250">
        <v>0.51600000000000001</v>
      </c>
      <c r="W4066" s="250">
        <v>0.13</v>
      </c>
      <c r="X4066" s="250">
        <v>1.8000000000000002E-2</v>
      </c>
      <c r="Y4066" s="250">
        <v>2E-3</v>
      </c>
      <c r="Z4066" s="150">
        <v>11</v>
      </c>
      <c r="AA4066" s="150">
        <v>1.6</v>
      </c>
      <c r="AB4066" s="152"/>
      <c r="AC4066" s="152"/>
      <c r="AD4066" s="223"/>
      <c r="AE4066" s="223"/>
      <c r="AF4066" s="223"/>
      <c r="AG4066" s="223"/>
      <c r="AH4066" s="341"/>
      <c r="AI4066" s="218"/>
      <c r="AJ4066" s="218"/>
      <c r="AK4066" s="153"/>
      <c r="AL4066" s="152"/>
      <c r="AM4066" s="152"/>
      <c r="AN4066" s="152"/>
      <c r="AO4066" s="152"/>
      <c r="AP4066" s="152"/>
      <c r="AQ4066" s="152"/>
      <c r="AR4066" s="152"/>
      <c r="AS4066" s="152"/>
      <c r="AT4066" s="152"/>
      <c r="AU4066" s="153"/>
      <c r="AV4066" s="479"/>
      <c r="AW4066" s="479"/>
      <c r="AX4066" s="442"/>
      <c r="AY4066" s="153"/>
      <c r="AZ4066" s="152"/>
      <c r="BA4066" s="152"/>
      <c r="BB4066" s="152"/>
      <c r="BC4066" s="152"/>
      <c r="BD4066" s="152"/>
      <c r="BE4066" s="152"/>
      <c r="BF4066" s="152"/>
      <c r="BG4066" s="152"/>
      <c r="BH4066" s="152"/>
      <c r="BI4066" s="153"/>
      <c r="BJ4066" s="153"/>
      <c r="BK4066" s="153"/>
      <c r="BL4066" s="153"/>
      <c r="BM4066" s="153"/>
      <c r="BN4066" s="153"/>
      <c r="BO4066" s="153"/>
      <c r="BP4066" s="153"/>
      <c r="BQ4066" s="153"/>
      <c r="BR4066" s="153"/>
      <c r="BS4066" s="153"/>
      <c r="BT4066" s="153"/>
      <c r="BU4066" s="153"/>
      <c r="BV4066" s="153"/>
      <c r="BW4066" s="153"/>
      <c r="BX4066" s="153"/>
      <c r="BY4066" s="153"/>
      <c r="BZ4066" s="153"/>
      <c r="CA4066" s="152"/>
      <c r="CB4066" s="152"/>
    </row>
    <row r="4067" spans="1:80" s="87" customFormat="1" ht="15" x14ac:dyDescent="0.25">
      <c r="A4067" s="152"/>
      <c r="B4067" s="683"/>
      <c r="C4067" s="683"/>
      <c r="D4067" s="698"/>
      <c r="E4067" s="215"/>
      <c r="F4067" s="215"/>
      <c r="G4067" s="153"/>
      <c r="H4067" s="153"/>
      <c r="I4067" s="320">
        <v>20</v>
      </c>
      <c r="J4067" s="320">
        <v>30</v>
      </c>
      <c r="K4067" s="222">
        <v>1</v>
      </c>
      <c r="L4067" s="658">
        <v>10</v>
      </c>
      <c r="M4067" s="663">
        <v>34835</v>
      </c>
      <c r="N4067" s="600">
        <v>48.131599999999999</v>
      </c>
      <c r="O4067" s="604">
        <v>2.5819459999999999</v>
      </c>
      <c r="P4067" s="250"/>
      <c r="Q4067" s="250"/>
      <c r="R4067" s="250"/>
      <c r="S4067" s="250">
        <v>1E-3</v>
      </c>
      <c r="T4067" s="250">
        <v>0.04</v>
      </c>
      <c r="U4067" s="250">
        <v>0.33700000000000002</v>
      </c>
      <c r="V4067" s="250">
        <v>0.44400000000000001</v>
      </c>
      <c r="W4067" s="250">
        <v>0.159</v>
      </c>
      <c r="X4067" s="250">
        <v>1.7000000000000001E-2</v>
      </c>
      <c r="Y4067" s="250">
        <v>2E-3</v>
      </c>
      <c r="Z4067" s="150">
        <v>11</v>
      </c>
      <c r="AA4067" s="150">
        <v>1.65</v>
      </c>
      <c r="AB4067" s="152"/>
      <c r="AC4067" s="152"/>
      <c r="AD4067" s="223"/>
      <c r="AE4067" s="223"/>
      <c r="AF4067" s="223"/>
      <c r="AG4067" s="223"/>
      <c r="AH4067" s="341"/>
      <c r="AI4067" s="218"/>
      <c r="AJ4067" s="218"/>
      <c r="AK4067" s="153"/>
      <c r="AL4067" s="152"/>
      <c r="AM4067" s="152"/>
      <c r="AN4067" s="152"/>
      <c r="AO4067" s="152"/>
      <c r="AP4067" s="152"/>
      <c r="AQ4067" s="152"/>
      <c r="AR4067" s="152"/>
      <c r="AS4067" s="152"/>
      <c r="AT4067" s="152"/>
      <c r="AU4067" s="153"/>
      <c r="AV4067" s="479"/>
      <c r="AW4067" s="479"/>
      <c r="AX4067" s="442"/>
      <c r="AY4067" s="153"/>
      <c r="AZ4067" s="152"/>
      <c r="BA4067" s="152"/>
      <c r="BB4067" s="152"/>
      <c r="BC4067" s="152"/>
      <c r="BD4067" s="152"/>
      <c r="BE4067" s="152"/>
      <c r="BF4067" s="152"/>
      <c r="BG4067" s="152"/>
      <c r="BH4067" s="152"/>
      <c r="BI4067" s="153"/>
      <c r="BJ4067" s="153"/>
      <c r="BK4067" s="153"/>
      <c r="BL4067" s="153"/>
      <c r="BM4067" s="153"/>
      <c r="BN4067" s="153"/>
      <c r="BO4067" s="153"/>
      <c r="BP4067" s="153"/>
      <c r="BQ4067" s="153"/>
      <c r="BR4067" s="153"/>
      <c r="BS4067" s="153"/>
      <c r="BT4067" s="153"/>
      <c r="BU4067" s="153"/>
      <c r="BV4067" s="153"/>
      <c r="BW4067" s="153"/>
      <c r="BX4067" s="153"/>
      <c r="BY4067" s="153"/>
      <c r="BZ4067" s="153"/>
      <c r="CA4067" s="152"/>
      <c r="CB4067" s="152"/>
    </row>
    <row r="4068" spans="1:80" s="87" customFormat="1" ht="15" x14ac:dyDescent="0.25">
      <c r="A4068" s="152"/>
      <c r="B4068" s="683"/>
      <c r="C4068" s="683"/>
      <c r="D4068" s="698"/>
      <c r="E4068" s="215"/>
      <c r="F4068" s="215"/>
      <c r="G4068" s="153"/>
      <c r="H4068" s="153"/>
      <c r="I4068" s="320">
        <v>20</v>
      </c>
      <c r="J4068" s="320">
        <v>15</v>
      </c>
      <c r="K4068" s="222">
        <v>1</v>
      </c>
      <c r="L4068" s="658">
        <v>5</v>
      </c>
      <c r="M4068" s="663">
        <v>34836</v>
      </c>
      <c r="N4068" s="600">
        <v>53.227899999999998</v>
      </c>
      <c r="O4068" s="604">
        <v>3.6315170000000001</v>
      </c>
      <c r="P4068" s="250"/>
      <c r="Q4068" s="250"/>
      <c r="R4068" s="250"/>
      <c r="S4068" s="250">
        <v>2E-3</v>
      </c>
      <c r="T4068" s="250">
        <v>5.7999999999999996E-2</v>
      </c>
      <c r="U4068" s="250">
        <v>0.33600000000000002</v>
      </c>
      <c r="V4068" s="250">
        <v>0.43099999999999999</v>
      </c>
      <c r="W4068" s="250">
        <v>0.14800000000000002</v>
      </c>
      <c r="X4068" s="250">
        <v>2.2000000000000002E-2</v>
      </c>
      <c r="Y4068" s="250">
        <v>3.0000000000000001E-3</v>
      </c>
      <c r="Z4068" s="150">
        <v>9</v>
      </c>
      <c r="AA4068" s="150">
        <v>1.69</v>
      </c>
      <c r="AB4068" s="152"/>
      <c r="AC4068" s="152"/>
      <c r="AD4068" s="223"/>
      <c r="AE4068" s="223"/>
      <c r="AF4068" s="223"/>
      <c r="AG4068" s="223"/>
      <c r="AH4068" s="341"/>
      <c r="AI4068" s="218"/>
      <c r="AJ4068" s="218"/>
      <c r="AK4068" s="153"/>
      <c r="AL4068" s="152"/>
      <c r="AM4068" s="152"/>
      <c r="AN4068" s="152"/>
      <c r="AO4068" s="152"/>
      <c r="AP4068" s="152"/>
      <c r="AQ4068" s="152"/>
      <c r="AR4068" s="152"/>
      <c r="AS4068" s="152"/>
      <c r="AT4068" s="152"/>
      <c r="AU4068" s="153"/>
      <c r="AV4068" s="479"/>
      <c r="AW4068" s="479"/>
      <c r="AX4068" s="442"/>
      <c r="AY4068" s="153"/>
      <c r="AZ4068" s="152"/>
      <c r="BA4068" s="152"/>
      <c r="BB4068" s="152"/>
      <c r="BC4068" s="152"/>
      <c r="BD4068" s="152"/>
      <c r="BE4068" s="152"/>
      <c r="BF4068" s="152"/>
      <c r="BG4068" s="152"/>
      <c r="BH4068" s="152"/>
      <c r="BI4068" s="153"/>
      <c r="BJ4068" s="153"/>
      <c r="BK4068" s="153"/>
      <c r="BL4068" s="153"/>
      <c r="BM4068" s="153"/>
      <c r="BN4068" s="153"/>
      <c r="BO4068" s="153"/>
      <c r="BP4068" s="153"/>
      <c r="BQ4068" s="153"/>
      <c r="BR4068" s="153"/>
      <c r="BS4068" s="153"/>
      <c r="BT4068" s="153"/>
      <c r="BU4068" s="153"/>
      <c r="BV4068" s="153"/>
      <c r="BW4068" s="153"/>
      <c r="BX4068" s="153"/>
      <c r="BY4068" s="153"/>
      <c r="BZ4068" s="153"/>
      <c r="CA4068" s="152"/>
      <c r="CB4068" s="152"/>
    </row>
    <row r="4069" spans="1:80" s="87" customFormat="1" ht="15" x14ac:dyDescent="0.25">
      <c r="A4069" s="152"/>
      <c r="B4069" s="683"/>
      <c r="C4069" s="683"/>
      <c r="D4069" s="698"/>
      <c r="E4069" s="215"/>
      <c r="F4069" s="215"/>
      <c r="G4069" s="153"/>
      <c r="H4069" s="153"/>
      <c r="I4069" s="320">
        <v>20</v>
      </c>
      <c r="J4069" s="320">
        <v>15</v>
      </c>
      <c r="K4069" s="222">
        <v>1</v>
      </c>
      <c r="L4069" s="658">
        <v>5</v>
      </c>
      <c r="M4069" s="663">
        <v>34836</v>
      </c>
      <c r="N4069" s="600">
        <v>53.227899999999998</v>
      </c>
      <c r="O4069" s="604">
        <v>1.521879</v>
      </c>
      <c r="P4069" s="250"/>
      <c r="Q4069" s="250"/>
      <c r="R4069" s="250"/>
      <c r="S4069" s="250"/>
      <c r="T4069" s="250">
        <v>3.4000000000000002E-2</v>
      </c>
      <c r="U4069" s="250">
        <v>0.252</v>
      </c>
      <c r="V4069" s="250">
        <v>0.436</v>
      </c>
      <c r="W4069" s="250">
        <v>0.23699999999999999</v>
      </c>
      <c r="X4069" s="250">
        <v>3.7000000000000005E-2</v>
      </c>
      <c r="Y4069" s="250">
        <v>4.0000000000000001E-3</v>
      </c>
      <c r="Z4069" s="150">
        <v>8</v>
      </c>
      <c r="AA4069" s="150">
        <v>1.42</v>
      </c>
      <c r="AB4069" s="152"/>
      <c r="AC4069" s="152"/>
      <c r="AD4069" s="223"/>
      <c r="AE4069" s="223"/>
      <c r="AF4069" s="223"/>
      <c r="AG4069" s="223"/>
      <c r="AH4069" s="341"/>
      <c r="AI4069" s="218"/>
      <c r="AJ4069" s="218"/>
      <c r="AK4069" s="153"/>
      <c r="AL4069" s="152"/>
      <c r="AM4069" s="152"/>
      <c r="AN4069" s="152"/>
      <c r="AO4069" s="152"/>
      <c r="AP4069" s="152"/>
      <c r="AQ4069" s="152"/>
      <c r="AR4069" s="152"/>
      <c r="AS4069" s="152"/>
      <c r="AT4069" s="152"/>
      <c r="AU4069" s="153"/>
      <c r="AV4069" s="479"/>
      <c r="AW4069" s="479"/>
      <c r="AX4069" s="442"/>
      <c r="AY4069" s="153"/>
      <c r="AZ4069" s="152"/>
      <c r="BA4069" s="152"/>
      <c r="BB4069" s="152"/>
      <c r="BC4069" s="152"/>
      <c r="BD4069" s="152"/>
      <c r="BE4069" s="152"/>
      <c r="BF4069" s="152"/>
      <c r="BG4069" s="152"/>
      <c r="BH4069" s="152"/>
      <c r="BI4069" s="153"/>
      <c r="BJ4069" s="153"/>
      <c r="BK4069" s="153"/>
      <c r="BL4069" s="153"/>
      <c r="BM4069" s="153"/>
      <c r="BN4069" s="153"/>
      <c r="BO4069" s="153"/>
      <c r="BP4069" s="153"/>
      <c r="BQ4069" s="153"/>
      <c r="BR4069" s="153"/>
      <c r="BS4069" s="153"/>
      <c r="BT4069" s="153"/>
      <c r="BU4069" s="153"/>
      <c r="BV4069" s="153"/>
      <c r="BW4069" s="153"/>
      <c r="BX4069" s="153"/>
      <c r="BY4069" s="153"/>
      <c r="BZ4069" s="153"/>
      <c r="CA4069" s="152"/>
      <c r="CB4069" s="152"/>
    </row>
    <row r="4070" spans="1:80" s="87" customFormat="1" ht="15" x14ac:dyDescent="0.25">
      <c r="A4070" s="152"/>
      <c r="B4070" s="683"/>
      <c r="C4070" s="683"/>
      <c r="D4070" s="698"/>
      <c r="E4070" s="215"/>
      <c r="F4070" s="215"/>
      <c r="G4070" s="153"/>
      <c r="H4070" s="153"/>
      <c r="I4070" s="320">
        <v>20</v>
      </c>
      <c r="J4070" s="320">
        <v>15</v>
      </c>
      <c r="K4070" s="222">
        <v>1</v>
      </c>
      <c r="L4070" s="658">
        <v>5</v>
      </c>
      <c r="M4070" s="663">
        <v>34842</v>
      </c>
      <c r="N4070" s="600">
        <v>71.631100000000004</v>
      </c>
      <c r="O4070" s="604">
        <v>1.658323</v>
      </c>
      <c r="P4070" s="250"/>
      <c r="Q4070" s="250"/>
      <c r="R4070" s="250"/>
      <c r="S4070" s="250">
        <v>1E-3</v>
      </c>
      <c r="T4070" s="250">
        <v>2.8999999999999998E-2</v>
      </c>
      <c r="U4070" s="250">
        <v>0.158</v>
      </c>
      <c r="V4070" s="250">
        <v>0.36599999999999999</v>
      </c>
      <c r="W4070" s="250">
        <v>0.37200000000000005</v>
      </c>
      <c r="X4070" s="250">
        <v>7.0999999999999994E-2</v>
      </c>
      <c r="Y4070" s="250">
        <v>3.0000000000000001E-3</v>
      </c>
      <c r="Z4070" s="150">
        <v>9</v>
      </c>
      <c r="AA4070" s="150">
        <v>1.1100000000000001</v>
      </c>
      <c r="AB4070" s="152"/>
      <c r="AC4070" s="152"/>
      <c r="AD4070" s="223"/>
      <c r="AE4070" s="223"/>
      <c r="AF4070" s="223"/>
      <c r="AG4070" s="223"/>
      <c r="AH4070" s="341"/>
      <c r="AI4070" s="218"/>
      <c r="AJ4070" s="218"/>
      <c r="AK4070" s="153"/>
      <c r="AL4070" s="152"/>
      <c r="AM4070" s="152"/>
      <c r="AN4070" s="152"/>
      <c r="AO4070" s="152"/>
      <c r="AP4070" s="152"/>
      <c r="AQ4070" s="152"/>
      <c r="AR4070" s="152"/>
      <c r="AS4070" s="152"/>
      <c r="AT4070" s="152"/>
      <c r="AU4070" s="153"/>
      <c r="AV4070" s="479"/>
      <c r="AW4070" s="479"/>
      <c r="AX4070" s="442"/>
      <c r="AY4070" s="153"/>
      <c r="AZ4070" s="152"/>
      <c r="BA4070" s="152"/>
      <c r="BB4070" s="152"/>
      <c r="BC4070" s="152"/>
      <c r="BD4070" s="152"/>
      <c r="BE4070" s="152"/>
      <c r="BF4070" s="152"/>
      <c r="BG4070" s="152"/>
      <c r="BH4070" s="152"/>
      <c r="BI4070" s="153"/>
      <c r="BJ4070" s="153"/>
      <c r="BK4070" s="153"/>
      <c r="BL4070" s="153"/>
      <c r="BM4070" s="153"/>
      <c r="BN4070" s="153"/>
      <c r="BO4070" s="153"/>
      <c r="BP4070" s="153"/>
      <c r="BQ4070" s="153"/>
      <c r="BR4070" s="153"/>
      <c r="BS4070" s="153"/>
      <c r="BT4070" s="153"/>
      <c r="BU4070" s="153"/>
      <c r="BV4070" s="153"/>
      <c r="BW4070" s="153"/>
      <c r="BX4070" s="153"/>
      <c r="BY4070" s="153"/>
      <c r="BZ4070" s="153"/>
      <c r="CA4070" s="152"/>
      <c r="CB4070" s="152"/>
    </row>
    <row r="4071" spans="1:80" s="87" customFormat="1" ht="15" x14ac:dyDescent="0.25">
      <c r="A4071" s="152"/>
      <c r="B4071" s="683"/>
      <c r="C4071" s="683"/>
      <c r="D4071" s="698"/>
      <c r="E4071" s="215"/>
      <c r="F4071" s="215"/>
      <c r="G4071" s="153"/>
      <c r="H4071" s="153"/>
      <c r="I4071" s="320">
        <v>20</v>
      </c>
      <c r="J4071" s="320">
        <v>15</v>
      </c>
      <c r="K4071" s="222">
        <v>1</v>
      </c>
      <c r="L4071" s="658">
        <v>5</v>
      </c>
      <c r="M4071" s="663">
        <v>34842</v>
      </c>
      <c r="N4071" s="600">
        <v>71.631100000000004</v>
      </c>
      <c r="O4071" s="604">
        <v>1.10205</v>
      </c>
      <c r="P4071" s="250"/>
      <c r="Q4071" s="250"/>
      <c r="R4071" s="250"/>
      <c r="S4071" s="250">
        <v>2E-3</v>
      </c>
      <c r="T4071" s="250">
        <v>1.8000000000000002E-2</v>
      </c>
      <c r="U4071" s="250">
        <v>0.157</v>
      </c>
      <c r="V4071" s="250">
        <v>0.44600000000000001</v>
      </c>
      <c r="W4071" s="250">
        <v>0.32700000000000001</v>
      </c>
      <c r="X4071" s="250">
        <v>4.8000000000000001E-2</v>
      </c>
      <c r="Y4071" s="250">
        <v>2E-3</v>
      </c>
      <c r="Z4071" s="150">
        <v>10</v>
      </c>
      <c r="AA4071" s="150">
        <v>1.21</v>
      </c>
      <c r="AB4071" s="152"/>
      <c r="AC4071" s="152"/>
      <c r="AD4071" s="223"/>
      <c r="AE4071" s="223"/>
      <c r="AF4071" s="223"/>
      <c r="AG4071" s="223"/>
      <c r="AH4071" s="341"/>
      <c r="AI4071" s="218"/>
      <c r="AJ4071" s="218"/>
      <c r="AK4071" s="153"/>
      <c r="AL4071" s="152"/>
      <c r="AM4071" s="152"/>
      <c r="AN4071" s="152"/>
      <c r="AO4071" s="152"/>
      <c r="AP4071" s="152"/>
      <c r="AQ4071" s="152"/>
      <c r="AR4071" s="152"/>
      <c r="AS4071" s="152"/>
      <c r="AT4071" s="152"/>
      <c r="AU4071" s="153"/>
      <c r="AV4071" s="479"/>
      <c r="AW4071" s="479"/>
      <c r="AX4071" s="442"/>
      <c r="AY4071" s="153"/>
      <c r="AZ4071" s="152"/>
      <c r="BA4071" s="152"/>
      <c r="BB4071" s="152"/>
      <c r="BC4071" s="152"/>
      <c r="BD4071" s="152"/>
      <c r="BE4071" s="152"/>
      <c r="BF4071" s="152"/>
      <c r="BG4071" s="152"/>
      <c r="BH4071" s="152"/>
      <c r="BI4071" s="153"/>
      <c r="BJ4071" s="153"/>
      <c r="BK4071" s="153"/>
      <c r="BL4071" s="153"/>
      <c r="BM4071" s="153"/>
      <c r="BN4071" s="153"/>
      <c r="BO4071" s="153"/>
      <c r="BP4071" s="153"/>
      <c r="BQ4071" s="153"/>
      <c r="BR4071" s="153"/>
      <c r="BS4071" s="153"/>
      <c r="BT4071" s="153"/>
      <c r="BU4071" s="153"/>
      <c r="BV4071" s="153"/>
      <c r="BW4071" s="153"/>
      <c r="BX4071" s="153"/>
      <c r="BY4071" s="153"/>
      <c r="BZ4071" s="153"/>
      <c r="CA4071" s="152"/>
      <c r="CB4071" s="152"/>
    </row>
    <row r="4072" spans="1:80" s="87" customFormat="1" ht="15" x14ac:dyDescent="0.25">
      <c r="A4072" s="152"/>
      <c r="B4072" s="683"/>
      <c r="C4072" s="683"/>
      <c r="D4072" s="698"/>
      <c r="E4072" s="215"/>
      <c r="F4072" s="215"/>
      <c r="G4072" s="153"/>
      <c r="H4072" s="153"/>
      <c r="I4072" s="320">
        <v>20</v>
      </c>
      <c r="J4072" s="320">
        <v>15</v>
      </c>
      <c r="K4072" s="222">
        <v>1</v>
      </c>
      <c r="L4072" s="658">
        <v>5</v>
      </c>
      <c r="M4072" s="663">
        <v>34843</v>
      </c>
      <c r="N4072" s="600">
        <v>70.781800000000004</v>
      </c>
      <c r="O4072" s="604">
        <v>1.91022</v>
      </c>
      <c r="P4072" s="250"/>
      <c r="Q4072" s="250"/>
      <c r="R4072" s="250"/>
      <c r="S4072" s="250">
        <v>1E-3</v>
      </c>
      <c r="T4072" s="250">
        <v>3.3000000000000002E-2</v>
      </c>
      <c r="U4072" s="250">
        <v>0.22</v>
      </c>
      <c r="V4072" s="250">
        <v>0.46</v>
      </c>
      <c r="W4072" s="250">
        <v>0.24</v>
      </c>
      <c r="X4072" s="250">
        <v>4.2999999999999997E-2</v>
      </c>
      <c r="Y4072" s="250">
        <v>3.0000000000000001E-3</v>
      </c>
      <c r="Z4072" s="150">
        <v>9</v>
      </c>
      <c r="AA4072" s="150">
        <v>1.38</v>
      </c>
      <c r="AB4072" s="152"/>
      <c r="AC4072" s="152"/>
      <c r="AD4072" s="223"/>
      <c r="AE4072" s="223"/>
      <c r="AF4072" s="223"/>
      <c r="AG4072" s="223"/>
      <c r="AH4072" s="341"/>
      <c r="AI4072" s="218"/>
      <c r="AJ4072" s="218"/>
      <c r="AK4072" s="153"/>
      <c r="AL4072" s="152"/>
      <c r="AM4072" s="152"/>
      <c r="AN4072" s="152"/>
      <c r="AO4072" s="152"/>
      <c r="AP4072" s="152"/>
      <c r="AQ4072" s="152"/>
      <c r="AR4072" s="152"/>
      <c r="AS4072" s="152"/>
      <c r="AT4072" s="152"/>
      <c r="AU4072" s="153"/>
      <c r="AV4072" s="479"/>
      <c r="AW4072" s="479"/>
      <c r="AX4072" s="442"/>
      <c r="AY4072" s="153"/>
      <c r="AZ4072" s="152"/>
      <c r="BA4072" s="152"/>
      <c r="BB4072" s="152"/>
      <c r="BC4072" s="152"/>
      <c r="BD4072" s="152"/>
      <c r="BE4072" s="152"/>
      <c r="BF4072" s="152"/>
      <c r="BG4072" s="152"/>
      <c r="BH4072" s="152"/>
      <c r="BI4072" s="153"/>
      <c r="BJ4072" s="153"/>
      <c r="BK4072" s="153"/>
      <c r="BL4072" s="153"/>
      <c r="BM4072" s="153"/>
      <c r="BN4072" s="153"/>
      <c r="BO4072" s="153"/>
      <c r="BP4072" s="153"/>
      <c r="BQ4072" s="153"/>
      <c r="BR4072" s="153"/>
      <c r="BS4072" s="153"/>
      <c r="BT4072" s="153"/>
      <c r="BU4072" s="153"/>
      <c r="BV4072" s="153"/>
      <c r="BW4072" s="153"/>
      <c r="BX4072" s="153"/>
      <c r="BY4072" s="153"/>
      <c r="BZ4072" s="153"/>
      <c r="CA4072" s="152"/>
      <c r="CB4072" s="152"/>
    </row>
    <row r="4073" spans="1:80" s="87" customFormat="1" ht="15" x14ac:dyDescent="0.25">
      <c r="A4073" s="152"/>
      <c r="B4073" s="683"/>
      <c r="C4073" s="683"/>
      <c r="D4073" s="698"/>
      <c r="E4073" s="215"/>
      <c r="F4073" s="215"/>
      <c r="G4073" s="153"/>
      <c r="H4073" s="153"/>
      <c r="I4073" s="320">
        <v>20</v>
      </c>
      <c r="J4073" s="320">
        <v>15</v>
      </c>
      <c r="K4073" s="222">
        <v>1</v>
      </c>
      <c r="L4073" s="658">
        <v>5</v>
      </c>
      <c r="M4073" s="663">
        <v>34843</v>
      </c>
      <c r="N4073" s="600">
        <v>70.781800000000004</v>
      </c>
      <c r="O4073" s="604">
        <v>3.127723</v>
      </c>
      <c r="P4073" s="250"/>
      <c r="Q4073" s="250"/>
      <c r="R4073" s="250"/>
      <c r="S4073" s="250">
        <v>4.0000000000000001E-3</v>
      </c>
      <c r="T4073" s="250">
        <v>3.7999999999999999E-2</v>
      </c>
      <c r="U4073" s="250">
        <v>0.182</v>
      </c>
      <c r="V4073" s="250">
        <v>0.44799999999999995</v>
      </c>
      <c r="W4073" s="250">
        <v>0.29100000000000004</v>
      </c>
      <c r="X4073" s="250">
        <v>3.4000000000000002E-2</v>
      </c>
      <c r="Y4073" s="250">
        <v>3.0000000000000001E-3</v>
      </c>
      <c r="Z4073" s="150">
        <v>12</v>
      </c>
      <c r="AA4073" s="150">
        <v>1.3</v>
      </c>
      <c r="AB4073" s="152"/>
      <c r="AC4073" s="152"/>
      <c r="AD4073" s="223"/>
      <c r="AE4073" s="223"/>
      <c r="AF4073" s="223"/>
      <c r="AG4073" s="223"/>
      <c r="AH4073" s="341"/>
      <c r="AI4073" s="218"/>
      <c r="AJ4073" s="218"/>
      <c r="AK4073" s="153"/>
      <c r="AL4073" s="152"/>
      <c r="AM4073" s="152"/>
      <c r="AN4073" s="152"/>
      <c r="AO4073" s="152"/>
      <c r="AP4073" s="152"/>
      <c r="AQ4073" s="152"/>
      <c r="AR4073" s="152"/>
      <c r="AS4073" s="152"/>
      <c r="AT4073" s="152"/>
      <c r="AU4073" s="153"/>
      <c r="AV4073" s="479"/>
      <c r="AW4073" s="479"/>
      <c r="AX4073" s="442"/>
      <c r="AY4073" s="153"/>
      <c r="AZ4073" s="152"/>
      <c r="BA4073" s="152"/>
      <c r="BB4073" s="152"/>
      <c r="BC4073" s="152"/>
      <c r="BD4073" s="152"/>
      <c r="BE4073" s="152"/>
      <c r="BF4073" s="152"/>
      <c r="BG4073" s="152"/>
      <c r="BH4073" s="152"/>
      <c r="BI4073" s="153"/>
      <c r="BJ4073" s="153"/>
      <c r="BK4073" s="153"/>
      <c r="BL4073" s="153"/>
      <c r="BM4073" s="153"/>
      <c r="BN4073" s="153"/>
      <c r="BO4073" s="153"/>
      <c r="BP4073" s="153"/>
      <c r="BQ4073" s="153"/>
      <c r="BR4073" s="153"/>
      <c r="BS4073" s="153"/>
      <c r="BT4073" s="153"/>
      <c r="BU4073" s="153"/>
      <c r="BV4073" s="153"/>
      <c r="BW4073" s="153"/>
      <c r="BX4073" s="153"/>
      <c r="BY4073" s="153"/>
      <c r="BZ4073" s="153"/>
      <c r="CA4073" s="152"/>
      <c r="CB4073" s="152"/>
    </row>
    <row r="4074" spans="1:80" s="87" customFormat="1" ht="15" x14ac:dyDescent="0.25">
      <c r="A4074" s="152"/>
      <c r="B4074" s="683"/>
      <c r="C4074" s="683"/>
      <c r="D4074" s="698"/>
      <c r="E4074" s="215"/>
      <c r="F4074" s="215"/>
      <c r="G4074" s="153"/>
      <c r="H4074" s="153"/>
      <c r="I4074" s="320">
        <v>20</v>
      </c>
      <c r="J4074" s="320">
        <v>15</v>
      </c>
      <c r="K4074" s="222">
        <v>1</v>
      </c>
      <c r="L4074" s="658">
        <v>5</v>
      </c>
      <c r="M4074" s="663">
        <v>34850</v>
      </c>
      <c r="N4074" s="600">
        <v>82.956199999999995</v>
      </c>
      <c r="O4074" s="604">
        <v>0.27813599999999999</v>
      </c>
      <c r="P4074" s="250"/>
      <c r="Q4074" s="250"/>
      <c r="R4074" s="250"/>
      <c r="S4074" s="250"/>
      <c r="T4074" s="250">
        <v>0.02</v>
      </c>
      <c r="U4074" s="250">
        <v>8.900000000000001E-2</v>
      </c>
      <c r="V4074" s="250">
        <v>0.307</v>
      </c>
      <c r="W4074" s="250">
        <v>0.35299999999999998</v>
      </c>
      <c r="X4074" s="250">
        <v>0.21899999999999997</v>
      </c>
      <c r="Y4074" s="250">
        <v>1.2E-2</v>
      </c>
      <c r="Z4074" s="150">
        <v>5</v>
      </c>
      <c r="AA4074" s="150">
        <v>0.85</v>
      </c>
      <c r="AB4074" s="152"/>
      <c r="AC4074" s="152"/>
      <c r="AD4074" s="223"/>
      <c r="AE4074" s="223"/>
      <c r="AF4074" s="223"/>
      <c r="AG4074" s="223"/>
      <c r="AH4074" s="341"/>
      <c r="AI4074" s="218"/>
      <c r="AJ4074" s="218"/>
      <c r="AK4074" s="153"/>
      <c r="AL4074" s="152"/>
      <c r="AM4074" s="152"/>
      <c r="AN4074" s="152"/>
      <c r="AO4074" s="152"/>
      <c r="AP4074" s="152"/>
      <c r="AQ4074" s="152"/>
      <c r="AR4074" s="152"/>
      <c r="AS4074" s="152"/>
      <c r="AT4074" s="152"/>
      <c r="AU4074" s="153"/>
      <c r="AV4074" s="479"/>
      <c r="AW4074" s="479"/>
      <c r="AX4074" s="442"/>
      <c r="AY4074" s="153"/>
      <c r="AZ4074" s="152"/>
      <c r="BA4074" s="152"/>
      <c r="BB4074" s="152"/>
      <c r="BC4074" s="152"/>
      <c r="BD4074" s="152"/>
      <c r="BE4074" s="152"/>
      <c r="BF4074" s="152"/>
      <c r="BG4074" s="152"/>
      <c r="BH4074" s="152"/>
      <c r="BI4074" s="153"/>
      <c r="BJ4074" s="153"/>
      <c r="BK4074" s="153"/>
      <c r="BL4074" s="153"/>
      <c r="BM4074" s="153"/>
      <c r="BN4074" s="153"/>
      <c r="BO4074" s="153"/>
      <c r="BP4074" s="153"/>
      <c r="BQ4074" s="153"/>
      <c r="BR4074" s="153"/>
      <c r="BS4074" s="153"/>
      <c r="BT4074" s="153"/>
      <c r="BU4074" s="153"/>
      <c r="BV4074" s="153"/>
      <c r="BW4074" s="153"/>
      <c r="BX4074" s="153"/>
      <c r="BY4074" s="153"/>
      <c r="BZ4074" s="153"/>
      <c r="CA4074" s="152"/>
      <c r="CB4074" s="152"/>
    </row>
    <row r="4075" spans="1:80" s="87" customFormat="1" ht="15" x14ac:dyDescent="0.25">
      <c r="A4075" s="152"/>
      <c r="B4075" s="683"/>
      <c r="C4075" s="683"/>
      <c r="D4075" s="698"/>
      <c r="E4075" s="215"/>
      <c r="F4075" s="215"/>
      <c r="G4075" s="153"/>
      <c r="H4075" s="153"/>
      <c r="I4075" s="320">
        <v>20</v>
      </c>
      <c r="J4075" s="320">
        <v>15</v>
      </c>
      <c r="K4075" s="222">
        <v>1</v>
      </c>
      <c r="L4075" s="658">
        <v>5</v>
      </c>
      <c r="M4075" s="663">
        <v>34850</v>
      </c>
      <c r="N4075" s="600">
        <v>82.956199999999995</v>
      </c>
      <c r="O4075" s="604">
        <v>0.27708700000000003</v>
      </c>
      <c r="P4075" s="250"/>
      <c r="Q4075" s="250"/>
      <c r="R4075" s="250"/>
      <c r="S4075" s="250">
        <v>9.0000000000000011E-3</v>
      </c>
      <c r="T4075" s="250">
        <v>6.0999999999999999E-2</v>
      </c>
      <c r="U4075" s="250">
        <v>0.11199999999999999</v>
      </c>
      <c r="V4075" s="250">
        <v>0.27</v>
      </c>
      <c r="W4075" s="250">
        <v>0.33399999999999996</v>
      </c>
      <c r="X4075" s="250">
        <v>0.19800000000000001</v>
      </c>
      <c r="Y4075" s="250">
        <v>1.6E-2</v>
      </c>
      <c r="Z4075" s="150">
        <v>10</v>
      </c>
      <c r="AA4075" s="150">
        <v>0.91</v>
      </c>
      <c r="AB4075" s="152"/>
      <c r="AC4075" s="152"/>
      <c r="AD4075" s="223"/>
      <c r="AE4075" s="223"/>
      <c r="AF4075" s="223"/>
      <c r="AG4075" s="223"/>
      <c r="AH4075" s="341"/>
      <c r="AI4075" s="218"/>
      <c r="AJ4075" s="218"/>
      <c r="AK4075" s="153"/>
      <c r="AL4075" s="152"/>
      <c r="AM4075" s="152"/>
      <c r="AN4075" s="152"/>
      <c r="AO4075" s="152"/>
      <c r="AP4075" s="152"/>
      <c r="AQ4075" s="152"/>
      <c r="AR4075" s="152"/>
      <c r="AS4075" s="152"/>
      <c r="AT4075" s="152"/>
      <c r="AU4075" s="153"/>
      <c r="AV4075" s="479"/>
      <c r="AW4075" s="479"/>
      <c r="AX4075" s="442"/>
      <c r="AY4075" s="153"/>
      <c r="AZ4075" s="152"/>
      <c r="BA4075" s="152"/>
      <c r="BB4075" s="152"/>
      <c r="BC4075" s="152"/>
      <c r="BD4075" s="152"/>
      <c r="BE4075" s="152"/>
      <c r="BF4075" s="152"/>
      <c r="BG4075" s="152"/>
      <c r="BH4075" s="152"/>
      <c r="BI4075" s="153"/>
      <c r="BJ4075" s="153"/>
      <c r="BK4075" s="153"/>
      <c r="BL4075" s="153"/>
      <c r="BM4075" s="153"/>
      <c r="BN4075" s="153"/>
      <c r="BO4075" s="153"/>
      <c r="BP4075" s="153"/>
      <c r="BQ4075" s="153"/>
      <c r="BR4075" s="153"/>
      <c r="BS4075" s="153"/>
      <c r="BT4075" s="153"/>
      <c r="BU4075" s="153"/>
      <c r="BV4075" s="153"/>
      <c r="BW4075" s="153"/>
      <c r="BX4075" s="153"/>
      <c r="BY4075" s="153"/>
      <c r="BZ4075" s="153"/>
      <c r="CA4075" s="152"/>
      <c r="CB4075" s="152"/>
    </row>
    <row r="4076" spans="1:80" s="87" customFormat="1" ht="15" x14ac:dyDescent="0.25">
      <c r="A4076" s="152"/>
      <c r="B4076" s="683"/>
      <c r="C4076" s="683"/>
      <c r="D4076" s="698"/>
      <c r="E4076" s="215"/>
      <c r="F4076" s="215"/>
      <c r="G4076" s="153"/>
      <c r="H4076" s="153"/>
      <c r="I4076" s="320">
        <v>20</v>
      </c>
      <c r="J4076" s="320">
        <v>30</v>
      </c>
      <c r="K4076" s="222">
        <v>1</v>
      </c>
      <c r="L4076" s="658">
        <v>10</v>
      </c>
      <c r="M4076" s="663">
        <v>34851</v>
      </c>
      <c r="N4076" s="600">
        <v>88.052499999999995</v>
      </c>
      <c r="O4076" s="604">
        <v>0.49644700000000003</v>
      </c>
      <c r="P4076" s="250"/>
      <c r="Q4076" s="250"/>
      <c r="R4076" s="250"/>
      <c r="S4076" s="250">
        <v>6.9999999999999993E-3</v>
      </c>
      <c r="T4076" s="250">
        <v>4.4999999999999998E-2</v>
      </c>
      <c r="U4076" s="250">
        <v>0.183</v>
      </c>
      <c r="V4076" s="250">
        <v>0.374</v>
      </c>
      <c r="W4076" s="250">
        <v>0.27200000000000002</v>
      </c>
      <c r="X4076" s="250">
        <v>0.113</v>
      </c>
      <c r="Y4076" s="250">
        <v>6.0000000000000001E-3</v>
      </c>
      <c r="Z4076" s="150">
        <v>11</v>
      </c>
      <c r="AA4076" s="150">
        <v>1.22</v>
      </c>
      <c r="AB4076" s="152"/>
      <c r="AC4076" s="152"/>
      <c r="AD4076" s="223"/>
      <c r="AE4076" s="223"/>
      <c r="AF4076" s="223"/>
      <c r="AG4076" s="223"/>
      <c r="AH4076" s="341"/>
      <c r="AI4076" s="218"/>
      <c r="AJ4076" s="218"/>
      <c r="AK4076" s="153"/>
      <c r="AL4076" s="152"/>
      <c r="AM4076" s="152"/>
      <c r="AN4076" s="152"/>
      <c r="AO4076" s="152"/>
      <c r="AP4076" s="152"/>
      <c r="AQ4076" s="152"/>
      <c r="AR4076" s="152"/>
      <c r="AS4076" s="152"/>
      <c r="AT4076" s="152"/>
      <c r="AU4076" s="153"/>
      <c r="AV4076" s="479"/>
      <c r="AW4076" s="479"/>
      <c r="AX4076" s="442"/>
      <c r="AY4076" s="153"/>
      <c r="AZ4076" s="152"/>
      <c r="BA4076" s="152"/>
      <c r="BB4076" s="152"/>
      <c r="BC4076" s="152"/>
      <c r="BD4076" s="152"/>
      <c r="BE4076" s="152"/>
      <c r="BF4076" s="152"/>
      <c r="BG4076" s="152"/>
      <c r="BH4076" s="152"/>
      <c r="BI4076" s="153"/>
      <c r="BJ4076" s="153"/>
      <c r="BK4076" s="153"/>
      <c r="BL4076" s="153"/>
      <c r="BM4076" s="153"/>
      <c r="BN4076" s="153"/>
      <c r="BO4076" s="153"/>
      <c r="BP4076" s="153"/>
      <c r="BQ4076" s="153"/>
      <c r="BR4076" s="153"/>
      <c r="BS4076" s="153"/>
      <c r="BT4076" s="153"/>
      <c r="BU4076" s="153"/>
      <c r="BV4076" s="153"/>
      <c r="BW4076" s="153"/>
      <c r="BX4076" s="153"/>
      <c r="BY4076" s="153"/>
      <c r="BZ4076" s="153"/>
      <c r="CA4076" s="152"/>
      <c r="CB4076" s="152"/>
    </row>
    <row r="4077" spans="1:80" s="87" customFormat="1" ht="15" x14ac:dyDescent="0.25">
      <c r="A4077" s="152"/>
      <c r="B4077" s="683"/>
      <c r="C4077" s="683"/>
      <c r="D4077" s="698"/>
      <c r="E4077" s="215"/>
      <c r="F4077" s="215"/>
      <c r="G4077" s="153"/>
      <c r="H4077" s="153"/>
      <c r="I4077" s="320">
        <v>20</v>
      </c>
      <c r="J4077" s="320">
        <v>30</v>
      </c>
      <c r="K4077" s="222">
        <v>1</v>
      </c>
      <c r="L4077" s="658">
        <v>10</v>
      </c>
      <c r="M4077" s="663">
        <v>34851</v>
      </c>
      <c r="N4077" s="600">
        <v>88.052499999999995</v>
      </c>
      <c r="O4077" s="604">
        <v>0.23195499999999999</v>
      </c>
      <c r="P4077" s="250"/>
      <c r="Q4077" s="250"/>
      <c r="R4077" s="250"/>
      <c r="S4077" s="250">
        <v>3.0000000000000001E-3</v>
      </c>
      <c r="T4077" s="250">
        <v>1.6E-2</v>
      </c>
      <c r="U4077" s="250">
        <v>8.5000000000000006E-2</v>
      </c>
      <c r="V4077" s="250">
        <v>0.38700000000000001</v>
      </c>
      <c r="W4077" s="250">
        <v>0.35399999999999998</v>
      </c>
      <c r="X4077" s="250">
        <v>0.14599999999999999</v>
      </c>
      <c r="Y4077" s="250">
        <v>9.0000000000000011E-3</v>
      </c>
      <c r="Z4077" s="150">
        <v>9</v>
      </c>
      <c r="AA4077" s="150">
        <v>0.98</v>
      </c>
      <c r="AB4077" s="152"/>
      <c r="AC4077" s="152"/>
      <c r="AD4077" s="223"/>
      <c r="AE4077" s="223"/>
      <c r="AF4077" s="223"/>
      <c r="AG4077" s="223"/>
      <c r="AH4077" s="341"/>
      <c r="AI4077" s="218"/>
      <c r="AJ4077" s="218"/>
      <c r="AK4077" s="153"/>
      <c r="AL4077" s="152"/>
      <c r="AM4077" s="152"/>
      <c r="AN4077" s="152"/>
      <c r="AO4077" s="152"/>
      <c r="AP4077" s="152"/>
      <c r="AQ4077" s="152"/>
      <c r="AR4077" s="152"/>
      <c r="AS4077" s="152"/>
      <c r="AT4077" s="152"/>
      <c r="AU4077" s="153"/>
      <c r="AV4077" s="479"/>
      <c r="AW4077" s="479"/>
      <c r="AX4077" s="442"/>
      <c r="AY4077" s="153"/>
      <c r="AZ4077" s="152"/>
      <c r="BA4077" s="152"/>
      <c r="BB4077" s="152"/>
      <c r="BC4077" s="152"/>
      <c r="BD4077" s="152"/>
      <c r="BE4077" s="152"/>
      <c r="BF4077" s="152"/>
      <c r="BG4077" s="152"/>
      <c r="BH4077" s="152"/>
      <c r="BI4077" s="153"/>
      <c r="BJ4077" s="153"/>
      <c r="BK4077" s="153"/>
      <c r="BL4077" s="153"/>
      <c r="BM4077" s="153"/>
      <c r="BN4077" s="153"/>
      <c r="BO4077" s="153"/>
      <c r="BP4077" s="153"/>
      <c r="BQ4077" s="153"/>
      <c r="BR4077" s="153"/>
      <c r="BS4077" s="153"/>
      <c r="BT4077" s="153"/>
      <c r="BU4077" s="153"/>
      <c r="BV4077" s="153"/>
      <c r="BW4077" s="153"/>
      <c r="BX4077" s="153"/>
      <c r="BY4077" s="153"/>
      <c r="BZ4077" s="153"/>
      <c r="CA4077" s="152"/>
      <c r="CB4077" s="152"/>
    </row>
    <row r="4078" spans="1:80" s="87" customFormat="1" ht="15" x14ac:dyDescent="0.25">
      <c r="A4078" s="152"/>
      <c r="B4078" s="683"/>
      <c r="C4078" s="683"/>
      <c r="D4078" s="698"/>
      <c r="E4078" s="215"/>
      <c r="F4078" s="215"/>
      <c r="G4078" s="153"/>
      <c r="H4078" s="153"/>
      <c r="I4078" s="320">
        <v>20</v>
      </c>
      <c r="J4078" s="320">
        <v>15</v>
      </c>
      <c r="K4078" s="222">
        <v>1</v>
      </c>
      <c r="L4078" s="658">
        <v>5</v>
      </c>
      <c r="M4078" s="663">
        <v>34853</v>
      </c>
      <c r="N4078" s="600">
        <v>95.130700000000004</v>
      </c>
      <c r="O4078" s="604">
        <v>1.025431</v>
      </c>
      <c r="P4078" s="250"/>
      <c r="Q4078" s="250"/>
      <c r="R4078" s="250"/>
      <c r="S4078" s="250">
        <v>2E-3</v>
      </c>
      <c r="T4078" s="250">
        <v>7.9000000000000001E-2</v>
      </c>
      <c r="U4078" s="250">
        <v>0.23300000000000001</v>
      </c>
      <c r="V4078" s="250">
        <v>0.34600000000000003</v>
      </c>
      <c r="W4078" s="250">
        <v>0.21100000000000002</v>
      </c>
      <c r="X4078" s="250">
        <v>0.109</v>
      </c>
      <c r="Y4078" s="250">
        <v>0.02</v>
      </c>
      <c r="Z4078" s="150">
        <v>10</v>
      </c>
      <c r="AA4078" s="150">
        <v>1.38</v>
      </c>
      <c r="AB4078" s="152"/>
      <c r="AC4078" s="152"/>
      <c r="AD4078" s="223"/>
      <c r="AE4078" s="223"/>
      <c r="AF4078" s="223"/>
      <c r="AG4078" s="223"/>
      <c r="AH4078" s="341"/>
      <c r="AI4078" s="218"/>
      <c r="AJ4078" s="218"/>
      <c r="AK4078" s="153"/>
      <c r="AL4078" s="152"/>
      <c r="AM4078" s="152"/>
      <c r="AN4078" s="152"/>
      <c r="AO4078" s="152"/>
      <c r="AP4078" s="152"/>
      <c r="AQ4078" s="152"/>
      <c r="AR4078" s="152"/>
      <c r="AS4078" s="152"/>
      <c r="AT4078" s="152"/>
      <c r="AU4078" s="153"/>
      <c r="AV4078" s="479"/>
      <c r="AW4078" s="479"/>
      <c r="AX4078" s="442"/>
      <c r="AY4078" s="153"/>
      <c r="AZ4078" s="152"/>
      <c r="BA4078" s="152"/>
      <c r="BB4078" s="152"/>
      <c r="BC4078" s="152"/>
      <c r="BD4078" s="152"/>
      <c r="BE4078" s="152"/>
      <c r="BF4078" s="152"/>
      <c r="BG4078" s="152"/>
      <c r="BH4078" s="152"/>
      <c r="BI4078" s="153"/>
      <c r="BJ4078" s="153"/>
      <c r="BK4078" s="153"/>
      <c r="BL4078" s="153"/>
      <c r="BM4078" s="153"/>
      <c r="BN4078" s="153"/>
      <c r="BO4078" s="153"/>
      <c r="BP4078" s="153"/>
      <c r="BQ4078" s="153"/>
      <c r="BR4078" s="153"/>
      <c r="BS4078" s="153"/>
      <c r="BT4078" s="153"/>
      <c r="BU4078" s="153"/>
      <c r="BV4078" s="153"/>
      <c r="BW4078" s="153"/>
      <c r="BX4078" s="153"/>
      <c r="BY4078" s="153"/>
      <c r="BZ4078" s="153"/>
      <c r="CA4078" s="152"/>
      <c r="CB4078" s="152"/>
    </row>
    <row r="4079" spans="1:80" s="87" customFormat="1" ht="15" x14ac:dyDescent="0.25">
      <c r="A4079" s="152"/>
      <c r="B4079" s="683"/>
      <c r="C4079" s="683"/>
      <c r="D4079" s="698"/>
      <c r="E4079" s="215"/>
      <c r="F4079" s="215"/>
      <c r="G4079" s="153"/>
      <c r="H4079" s="153"/>
      <c r="I4079" s="320">
        <v>20</v>
      </c>
      <c r="J4079" s="320">
        <v>15</v>
      </c>
      <c r="K4079" s="222">
        <v>1</v>
      </c>
      <c r="L4079" s="658">
        <v>5</v>
      </c>
      <c r="M4079" s="663">
        <v>34853</v>
      </c>
      <c r="N4079" s="600">
        <v>95.130700000000004</v>
      </c>
      <c r="O4079" s="604">
        <v>2.0361690000000001</v>
      </c>
      <c r="P4079" s="250"/>
      <c r="Q4079" s="250"/>
      <c r="R4079" s="250"/>
      <c r="S4079" s="250">
        <v>1.3000000000000001E-2</v>
      </c>
      <c r="T4079" s="250">
        <v>9.1999999999999998E-2</v>
      </c>
      <c r="U4079" s="250">
        <v>0.253</v>
      </c>
      <c r="V4079" s="250">
        <v>0.33600000000000002</v>
      </c>
      <c r="W4079" s="250">
        <v>0.215</v>
      </c>
      <c r="X4079" s="250">
        <v>8.5000000000000006E-2</v>
      </c>
      <c r="Y4079" s="250">
        <v>6.0000000000000001E-3</v>
      </c>
      <c r="Z4079" s="150">
        <v>15</v>
      </c>
      <c r="AA4079" s="150">
        <v>1.49</v>
      </c>
      <c r="AB4079" s="152"/>
      <c r="AC4079" s="152"/>
      <c r="AD4079" s="223"/>
      <c r="AE4079" s="223"/>
      <c r="AF4079" s="223"/>
      <c r="AG4079" s="223"/>
      <c r="AH4079" s="341"/>
      <c r="AI4079" s="218"/>
      <c r="AJ4079" s="218"/>
      <c r="AK4079" s="153"/>
      <c r="AL4079" s="152"/>
      <c r="AM4079" s="152"/>
      <c r="AN4079" s="152"/>
      <c r="AO4079" s="152"/>
      <c r="AP4079" s="152"/>
      <c r="AQ4079" s="152"/>
      <c r="AR4079" s="152"/>
      <c r="AS4079" s="152"/>
      <c r="AT4079" s="152"/>
      <c r="AU4079" s="153"/>
      <c r="AV4079" s="479"/>
      <c r="AW4079" s="479"/>
      <c r="AX4079" s="442"/>
      <c r="AY4079" s="153"/>
      <c r="AZ4079" s="152"/>
      <c r="BA4079" s="152"/>
      <c r="BB4079" s="152"/>
      <c r="BC4079" s="152"/>
      <c r="BD4079" s="152"/>
      <c r="BE4079" s="152"/>
      <c r="BF4079" s="152"/>
      <c r="BG4079" s="152"/>
      <c r="BH4079" s="152"/>
      <c r="BI4079" s="153"/>
      <c r="BJ4079" s="153"/>
      <c r="BK4079" s="153"/>
      <c r="BL4079" s="153"/>
      <c r="BM4079" s="153"/>
      <c r="BN4079" s="153"/>
      <c r="BO4079" s="153"/>
      <c r="BP4079" s="153"/>
      <c r="BQ4079" s="153"/>
      <c r="BR4079" s="153"/>
      <c r="BS4079" s="153"/>
      <c r="BT4079" s="153"/>
      <c r="BU4079" s="153"/>
      <c r="BV4079" s="153"/>
      <c r="BW4079" s="153"/>
      <c r="BX4079" s="153"/>
      <c r="BY4079" s="153"/>
      <c r="BZ4079" s="153"/>
      <c r="CA4079" s="152"/>
      <c r="CB4079" s="152"/>
    </row>
    <row r="4080" spans="1:80" s="87" customFormat="1" ht="15" x14ac:dyDescent="0.25">
      <c r="A4080" s="152"/>
      <c r="B4080" s="683"/>
      <c r="C4080" s="683"/>
      <c r="D4080" s="698"/>
      <c r="E4080" s="215"/>
      <c r="F4080" s="215"/>
      <c r="G4080" s="153"/>
      <c r="H4080" s="153"/>
      <c r="I4080" s="320">
        <v>20</v>
      </c>
      <c r="J4080" s="320">
        <v>30</v>
      </c>
      <c r="K4080" s="222">
        <v>1</v>
      </c>
      <c r="L4080" s="658">
        <v>10</v>
      </c>
      <c r="M4080" s="663">
        <v>34856</v>
      </c>
      <c r="N4080" s="600">
        <v>83.2393</v>
      </c>
      <c r="O4080" s="604">
        <v>2.298562</v>
      </c>
      <c r="P4080" s="250"/>
      <c r="Q4080" s="250"/>
      <c r="R4080" s="250"/>
      <c r="S4080" s="250">
        <v>1.7000000000000001E-2</v>
      </c>
      <c r="T4080" s="250">
        <v>0.184</v>
      </c>
      <c r="U4080" s="250">
        <v>0.37200000000000005</v>
      </c>
      <c r="V4080" s="250">
        <v>0.25900000000000001</v>
      </c>
      <c r="W4080" s="250">
        <v>0.12</v>
      </c>
      <c r="X4080" s="250">
        <v>4.4999999999999998E-2</v>
      </c>
      <c r="Y4080" s="250">
        <v>3.0000000000000001E-3</v>
      </c>
      <c r="Z4080" s="150">
        <v>15</v>
      </c>
      <c r="AA4080" s="150">
        <v>2.29</v>
      </c>
      <c r="AB4080" s="152"/>
      <c r="AC4080" s="152"/>
      <c r="AD4080" s="223"/>
      <c r="AE4080" s="223"/>
      <c r="AF4080" s="223"/>
      <c r="AG4080" s="223"/>
      <c r="AH4080" s="341"/>
      <c r="AI4080" s="218"/>
      <c r="AJ4080" s="218"/>
      <c r="AK4080" s="153"/>
      <c r="AL4080" s="152"/>
      <c r="AM4080" s="152"/>
      <c r="AN4080" s="152"/>
      <c r="AO4080" s="152"/>
      <c r="AP4080" s="152"/>
      <c r="AQ4080" s="152"/>
      <c r="AR4080" s="152"/>
      <c r="AS4080" s="152"/>
      <c r="AT4080" s="152"/>
      <c r="AU4080" s="153"/>
      <c r="AV4080" s="479"/>
      <c r="AW4080" s="479"/>
      <c r="AX4080" s="442"/>
      <c r="AY4080" s="153"/>
      <c r="AZ4080" s="152"/>
      <c r="BA4080" s="152"/>
      <c r="BB4080" s="152"/>
      <c r="BC4080" s="152"/>
      <c r="BD4080" s="152"/>
      <c r="BE4080" s="152"/>
      <c r="BF4080" s="152"/>
      <c r="BG4080" s="152"/>
      <c r="BH4080" s="152"/>
      <c r="BI4080" s="153"/>
      <c r="BJ4080" s="153"/>
      <c r="BK4080" s="153"/>
      <c r="BL4080" s="153"/>
      <c r="BM4080" s="153"/>
      <c r="BN4080" s="153"/>
      <c r="BO4080" s="153"/>
      <c r="BP4080" s="153"/>
      <c r="BQ4080" s="153"/>
      <c r="BR4080" s="153"/>
      <c r="BS4080" s="153"/>
      <c r="BT4080" s="153"/>
      <c r="BU4080" s="153"/>
      <c r="BV4080" s="153"/>
      <c r="BW4080" s="153"/>
      <c r="BX4080" s="153"/>
      <c r="BY4080" s="153"/>
      <c r="BZ4080" s="153"/>
      <c r="CA4080" s="152"/>
      <c r="CB4080" s="152"/>
    </row>
    <row r="4081" spans="1:80" s="87" customFormat="1" ht="15" x14ac:dyDescent="0.25">
      <c r="A4081" s="152"/>
      <c r="B4081" s="683"/>
      <c r="C4081" s="683"/>
      <c r="D4081" s="698"/>
      <c r="E4081" s="215"/>
      <c r="F4081" s="215"/>
      <c r="G4081" s="153"/>
      <c r="H4081" s="153"/>
      <c r="I4081" s="320">
        <v>20</v>
      </c>
      <c r="J4081" s="320">
        <v>15</v>
      </c>
      <c r="K4081" s="222">
        <v>1</v>
      </c>
      <c r="L4081" s="658">
        <v>5</v>
      </c>
      <c r="M4081" s="663">
        <v>34856</v>
      </c>
      <c r="N4081" s="600">
        <v>83.2393</v>
      </c>
      <c r="O4081" s="604">
        <v>3.5055689999999999</v>
      </c>
      <c r="P4081" s="250"/>
      <c r="Q4081" s="250"/>
      <c r="R4081" s="250"/>
      <c r="S4081" s="250">
        <v>1.2E-2</v>
      </c>
      <c r="T4081" s="250">
        <v>9.8000000000000004E-2</v>
      </c>
      <c r="U4081" s="250">
        <v>0.27200000000000002</v>
      </c>
      <c r="V4081" s="250">
        <v>0.38600000000000001</v>
      </c>
      <c r="W4081" s="250">
        <v>0.17300000000000001</v>
      </c>
      <c r="X4081" s="250">
        <v>5.5999999999999994E-2</v>
      </c>
      <c r="Y4081" s="250">
        <v>3.0000000000000001E-3</v>
      </c>
      <c r="Z4081" s="150">
        <v>15</v>
      </c>
      <c r="AA4081" s="150">
        <v>1.62</v>
      </c>
      <c r="AB4081" s="152"/>
      <c r="AC4081" s="152"/>
      <c r="AD4081" s="223"/>
      <c r="AE4081" s="223"/>
      <c r="AF4081" s="223"/>
      <c r="AG4081" s="223"/>
      <c r="AH4081" s="341"/>
      <c r="AI4081" s="218"/>
      <c r="AJ4081" s="218"/>
      <c r="AK4081" s="153"/>
      <c r="AL4081" s="152"/>
      <c r="AM4081" s="152"/>
      <c r="AN4081" s="152"/>
      <c r="AO4081" s="152"/>
      <c r="AP4081" s="152"/>
      <c r="AQ4081" s="152"/>
      <c r="AR4081" s="152"/>
      <c r="AS4081" s="152"/>
      <c r="AT4081" s="152"/>
      <c r="AU4081" s="153"/>
      <c r="AV4081" s="479"/>
      <c r="AW4081" s="479"/>
      <c r="AX4081" s="442"/>
      <c r="AY4081" s="153"/>
      <c r="AZ4081" s="152"/>
      <c r="BA4081" s="152"/>
      <c r="BB4081" s="152"/>
      <c r="BC4081" s="152"/>
      <c r="BD4081" s="152"/>
      <c r="BE4081" s="152"/>
      <c r="BF4081" s="152"/>
      <c r="BG4081" s="152"/>
      <c r="BH4081" s="152"/>
      <c r="BI4081" s="153"/>
      <c r="BJ4081" s="153"/>
      <c r="BK4081" s="153"/>
      <c r="BL4081" s="153"/>
      <c r="BM4081" s="153"/>
      <c r="BN4081" s="153"/>
      <c r="BO4081" s="153"/>
      <c r="BP4081" s="153"/>
      <c r="BQ4081" s="153"/>
      <c r="BR4081" s="153"/>
      <c r="BS4081" s="153"/>
      <c r="BT4081" s="153"/>
      <c r="BU4081" s="153"/>
      <c r="BV4081" s="153"/>
      <c r="BW4081" s="153"/>
      <c r="BX4081" s="153"/>
      <c r="BY4081" s="153"/>
      <c r="BZ4081" s="153"/>
      <c r="CA4081" s="152"/>
      <c r="CB4081" s="152"/>
    </row>
    <row r="4082" spans="1:80" s="87" customFormat="1" ht="15" x14ac:dyDescent="0.25">
      <c r="A4082" s="152"/>
      <c r="B4082" s="683"/>
      <c r="C4082" s="683"/>
      <c r="D4082" s="698"/>
      <c r="E4082" s="215"/>
      <c r="F4082" s="215"/>
      <c r="G4082" s="153"/>
      <c r="H4082" s="153"/>
      <c r="I4082" s="320">
        <v>20</v>
      </c>
      <c r="J4082" s="320">
        <v>30</v>
      </c>
      <c r="K4082" s="222">
        <v>1</v>
      </c>
      <c r="L4082" s="658">
        <v>10</v>
      </c>
      <c r="M4082" s="663">
        <v>34857</v>
      </c>
      <c r="N4082" s="600">
        <v>66.534800000000004</v>
      </c>
      <c r="O4082" s="604">
        <v>2.4874839999999998</v>
      </c>
      <c r="P4082" s="250"/>
      <c r="Q4082" s="250"/>
      <c r="R4082" s="250"/>
      <c r="S4082" s="250">
        <v>4.0000000000000001E-3</v>
      </c>
      <c r="T4082" s="250">
        <v>9.6000000000000002E-2</v>
      </c>
      <c r="U4082" s="250">
        <v>0.376</v>
      </c>
      <c r="V4082" s="250">
        <v>0.38500000000000001</v>
      </c>
      <c r="W4082" s="250">
        <v>0.11199999999999999</v>
      </c>
      <c r="X4082" s="250">
        <v>2.5000000000000001E-2</v>
      </c>
      <c r="Y4082" s="250">
        <v>2E-3</v>
      </c>
      <c r="Z4082" s="150">
        <v>12</v>
      </c>
      <c r="AA4082" s="150">
        <v>1.92</v>
      </c>
      <c r="AB4082" s="152"/>
      <c r="AC4082" s="152"/>
      <c r="AD4082" s="223"/>
      <c r="AE4082" s="223"/>
      <c r="AF4082" s="223"/>
      <c r="AG4082" s="223"/>
      <c r="AH4082" s="341"/>
      <c r="AI4082" s="218"/>
      <c r="AJ4082" s="218"/>
      <c r="AK4082" s="153"/>
      <c r="AL4082" s="152"/>
      <c r="AM4082" s="152"/>
      <c r="AN4082" s="152"/>
      <c r="AO4082" s="152"/>
      <c r="AP4082" s="152"/>
      <c r="AQ4082" s="152"/>
      <c r="AR4082" s="152"/>
      <c r="AS4082" s="152"/>
      <c r="AT4082" s="152"/>
      <c r="AU4082" s="153"/>
      <c r="AV4082" s="479"/>
      <c r="AW4082" s="479"/>
      <c r="AX4082" s="442"/>
      <c r="AY4082" s="153"/>
      <c r="AZ4082" s="152"/>
      <c r="BA4082" s="152"/>
      <c r="BB4082" s="152"/>
      <c r="BC4082" s="152"/>
      <c r="BD4082" s="152"/>
      <c r="BE4082" s="152"/>
      <c r="BF4082" s="152"/>
      <c r="BG4082" s="152"/>
      <c r="BH4082" s="152"/>
      <c r="BI4082" s="153"/>
      <c r="BJ4082" s="153"/>
      <c r="BK4082" s="153"/>
      <c r="BL4082" s="153"/>
      <c r="BM4082" s="153"/>
      <c r="BN4082" s="153"/>
      <c r="BO4082" s="153"/>
      <c r="BP4082" s="153"/>
      <c r="BQ4082" s="153"/>
      <c r="BR4082" s="153"/>
      <c r="BS4082" s="153"/>
      <c r="BT4082" s="153"/>
      <c r="BU4082" s="153"/>
      <c r="BV4082" s="153"/>
      <c r="BW4082" s="153"/>
      <c r="BX4082" s="153"/>
      <c r="BY4082" s="153"/>
      <c r="BZ4082" s="153"/>
      <c r="CA4082" s="152"/>
      <c r="CB4082" s="152"/>
    </row>
    <row r="4083" spans="1:80" s="87" customFormat="1" ht="15" x14ac:dyDescent="0.25">
      <c r="A4083" s="152"/>
      <c r="B4083" s="683"/>
      <c r="C4083" s="683"/>
      <c r="D4083" s="698"/>
      <c r="E4083" s="215"/>
      <c r="F4083" s="215"/>
      <c r="G4083" s="153"/>
      <c r="H4083" s="153"/>
      <c r="I4083" s="320">
        <v>20</v>
      </c>
      <c r="J4083" s="320">
        <v>15</v>
      </c>
      <c r="K4083" s="222">
        <v>1</v>
      </c>
      <c r="L4083" s="658">
        <v>5</v>
      </c>
      <c r="M4083" s="663">
        <v>34857</v>
      </c>
      <c r="N4083" s="600">
        <v>66.534800000000004</v>
      </c>
      <c r="O4083" s="604">
        <v>1.9522029999999999</v>
      </c>
      <c r="P4083" s="250"/>
      <c r="Q4083" s="250"/>
      <c r="R4083" s="250"/>
      <c r="S4083" s="250">
        <v>1.4999999999999999E-2</v>
      </c>
      <c r="T4083" s="250">
        <v>0.12300000000000001</v>
      </c>
      <c r="U4083" s="250">
        <v>0.27100000000000002</v>
      </c>
      <c r="V4083" s="250">
        <v>0.38</v>
      </c>
      <c r="W4083" s="250">
        <v>0.17699999999999999</v>
      </c>
      <c r="X4083" s="250">
        <v>3.2000000000000001E-2</v>
      </c>
      <c r="Y4083" s="250">
        <v>2E-3</v>
      </c>
      <c r="Z4083" s="150">
        <v>14</v>
      </c>
      <c r="AA4083" s="150">
        <v>1.69</v>
      </c>
      <c r="AB4083" s="152"/>
      <c r="AC4083" s="152"/>
      <c r="AD4083" s="223"/>
      <c r="AE4083" s="223"/>
      <c r="AF4083" s="223"/>
      <c r="AG4083" s="223"/>
      <c r="AH4083" s="341"/>
      <c r="AI4083" s="218"/>
      <c r="AJ4083" s="218"/>
      <c r="AK4083" s="153"/>
      <c r="AL4083" s="152"/>
      <c r="AM4083" s="152"/>
      <c r="AN4083" s="152"/>
      <c r="AO4083" s="152"/>
      <c r="AP4083" s="152"/>
      <c r="AQ4083" s="152"/>
      <c r="AR4083" s="152"/>
      <c r="AS4083" s="152"/>
      <c r="AT4083" s="152"/>
      <c r="AU4083" s="153"/>
      <c r="AV4083" s="479"/>
      <c r="AW4083" s="479"/>
      <c r="AX4083" s="442"/>
      <c r="AY4083" s="153"/>
      <c r="AZ4083" s="152"/>
      <c r="BA4083" s="152"/>
      <c r="BB4083" s="152"/>
      <c r="BC4083" s="152"/>
      <c r="BD4083" s="152"/>
      <c r="BE4083" s="152"/>
      <c r="BF4083" s="152"/>
      <c r="BG4083" s="152"/>
      <c r="BH4083" s="152"/>
      <c r="BI4083" s="153"/>
      <c r="BJ4083" s="153"/>
      <c r="BK4083" s="153"/>
      <c r="BL4083" s="153"/>
      <c r="BM4083" s="153"/>
      <c r="BN4083" s="153"/>
      <c r="BO4083" s="153"/>
      <c r="BP4083" s="153"/>
      <c r="BQ4083" s="153"/>
      <c r="BR4083" s="153"/>
      <c r="BS4083" s="153"/>
      <c r="BT4083" s="153"/>
      <c r="BU4083" s="153"/>
      <c r="BV4083" s="153"/>
      <c r="BW4083" s="153"/>
      <c r="BX4083" s="153"/>
      <c r="BY4083" s="153"/>
      <c r="BZ4083" s="153"/>
      <c r="CA4083" s="152"/>
      <c r="CB4083" s="152"/>
    </row>
    <row r="4084" spans="1:80" s="87" customFormat="1" ht="15" x14ac:dyDescent="0.25">
      <c r="A4084" s="152"/>
      <c r="B4084" s="683"/>
      <c r="C4084" s="683"/>
      <c r="D4084" s="698"/>
      <c r="E4084" s="215"/>
      <c r="F4084" s="215"/>
      <c r="G4084" s="153"/>
      <c r="H4084" s="153"/>
      <c r="I4084" s="320">
        <v>20</v>
      </c>
      <c r="J4084" s="320">
        <v>30</v>
      </c>
      <c r="K4084" s="222">
        <v>1</v>
      </c>
      <c r="L4084" s="658">
        <v>10</v>
      </c>
      <c r="M4084" s="663">
        <v>34865</v>
      </c>
      <c r="N4084" s="600">
        <v>68.233599999999996</v>
      </c>
      <c r="O4084" s="604">
        <v>0.29073100000000002</v>
      </c>
      <c r="P4084" s="250"/>
      <c r="Q4084" s="250"/>
      <c r="R4084" s="250"/>
      <c r="S4084" s="250">
        <v>4.0000000000000001E-3</v>
      </c>
      <c r="T4084" s="250">
        <v>1.8000000000000002E-2</v>
      </c>
      <c r="U4084" s="250">
        <v>9.1999999999999998E-2</v>
      </c>
      <c r="V4084" s="250">
        <v>0.30599999999999999</v>
      </c>
      <c r="W4084" s="250">
        <v>0.42100000000000004</v>
      </c>
      <c r="X4084" s="250">
        <v>0.156</v>
      </c>
      <c r="Y4084" s="250">
        <v>3.0000000000000001E-3</v>
      </c>
      <c r="Z4084" s="150">
        <v>10</v>
      </c>
      <c r="AA4084" s="150">
        <v>0.88</v>
      </c>
      <c r="AB4084" s="152"/>
      <c r="AC4084" s="152"/>
      <c r="AD4084" s="223"/>
      <c r="AE4084" s="223"/>
      <c r="AF4084" s="223"/>
      <c r="AG4084" s="223"/>
      <c r="AH4084" s="341"/>
      <c r="AI4084" s="218"/>
      <c r="AJ4084" s="218"/>
      <c r="AK4084" s="153"/>
      <c r="AL4084" s="152"/>
      <c r="AM4084" s="152"/>
      <c r="AN4084" s="152"/>
      <c r="AO4084" s="152"/>
      <c r="AP4084" s="152"/>
      <c r="AQ4084" s="152"/>
      <c r="AR4084" s="152"/>
      <c r="AS4084" s="152"/>
      <c r="AT4084" s="152"/>
      <c r="AU4084" s="153"/>
      <c r="AV4084" s="479"/>
      <c r="AW4084" s="479"/>
      <c r="AX4084" s="442"/>
      <c r="AY4084" s="153"/>
      <c r="AZ4084" s="152"/>
      <c r="BA4084" s="152"/>
      <c r="BB4084" s="152"/>
      <c r="BC4084" s="152"/>
      <c r="BD4084" s="152"/>
      <c r="BE4084" s="152"/>
      <c r="BF4084" s="152"/>
      <c r="BG4084" s="152"/>
      <c r="BH4084" s="152"/>
      <c r="BI4084" s="153"/>
      <c r="BJ4084" s="153"/>
      <c r="BK4084" s="153"/>
      <c r="BL4084" s="153"/>
      <c r="BM4084" s="153"/>
      <c r="BN4084" s="153"/>
      <c r="BO4084" s="153"/>
      <c r="BP4084" s="153"/>
      <c r="BQ4084" s="153"/>
      <c r="BR4084" s="153"/>
      <c r="BS4084" s="153"/>
      <c r="BT4084" s="153"/>
      <c r="BU4084" s="153"/>
      <c r="BV4084" s="153"/>
      <c r="BW4084" s="153"/>
      <c r="BX4084" s="153"/>
      <c r="BY4084" s="153"/>
      <c r="BZ4084" s="153"/>
      <c r="CA4084" s="152"/>
      <c r="CB4084" s="152"/>
    </row>
    <row r="4085" spans="1:80" s="87" customFormat="1" ht="15" x14ac:dyDescent="0.25">
      <c r="A4085" s="152"/>
      <c r="B4085" s="683"/>
      <c r="C4085" s="683"/>
      <c r="D4085" s="698"/>
      <c r="E4085" s="215"/>
      <c r="F4085" s="215"/>
      <c r="G4085" s="153"/>
      <c r="H4085" s="153"/>
      <c r="I4085" s="320">
        <v>20</v>
      </c>
      <c r="J4085" s="320">
        <v>30</v>
      </c>
      <c r="K4085" s="222">
        <v>1</v>
      </c>
      <c r="L4085" s="658">
        <v>10</v>
      </c>
      <c r="M4085" s="663">
        <v>34865</v>
      </c>
      <c r="N4085" s="600">
        <v>68.233599999999996</v>
      </c>
      <c r="O4085" s="604">
        <v>0.103173</v>
      </c>
      <c r="P4085" s="250"/>
      <c r="Q4085" s="250"/>
      <c r="R4085" s="250"/>
      <c r="S4085" s="250"/>
      <c r="T4085" s="250">
        <v>6.9999999999999993E-3</v>
      </c>
      <c r="U4085" s="250">
        <v>6.2E-2</v>
      </c>
      <c r="V4085" s="250">
        <v>0.28100000000000003</v>
      </c>
      <c r="W4085" s="250">
        <v>0.42100000000000004</v>
      </c>
      <c r="X4085" s="250">
        <v>0.222</v>
      </c>
      <c r="Y4085" s="250">
        <v>6.9999999999999993E-3</v>
      </c>
      <c r="Z4085" s="150">
        <v>6</v>
      </c>
      <c r="AA4085" s="150">
        <v>0.78</v>
      </c>
      <c r="AB4085" s="152"/>
      <c r="AC4085" s="152"/>
      <c r="AD4085" s="223"/>
      <c r="AE4085" s="223"/>
      <c r="AF4085" s="223"/>
      <c r="AG4085" s="223"/>
      <c r="AH4085" s="341"/>
      <c r="AI4085" s="218"/>
      <c r="AJ4085" s="218"/>
      <c r="AK4085" s="153"/>
      <c r="AL4085" s="152"/>
      <c r="AM4085" s="152"/>
      <c r="AN4085" s="152"/>
      <c r="AO4085" s="152"/>
      <c r="AP4085" s="152"/>
      <c r="AQ4085" s="152"/>
      <c r="AR4085" s="152"/>
      <c r="AS4085" s="152"/>
      <c r="AT4085" s="152"/>
      <c r="AU4085" s="153"/>
      <c r="AV4085" s="479"/>
      <c r="AW4085" s="479"/>
      <c r="AX4085" s="442"/>
      <c r="AY4085" s="153"/>
      <c r="AZ4085" s="152"/>
      <c r="BA4085" s="152"/>
      <c r="BB4085" s="152"/>
      <c r="BC4085" s="152"/>
      <c r="BD4085" s="152"/>
      <c r="BE4085" s="152"/>
      <c r="BF4085" s="152"/>
      <c r="BG4085" s="152"/>
      <c r="BH4085" s="152"/>
      <c r="BI4085" s="153"/>
      <c r="BJ4085" s="153"/>
      <c r="BK4085" s="153"/>
      <c r="BL4085" s="153"/>
      <c r="BM4085" s="153"/>
      <c r="BN4085" s="153"/>
      <c r="BO4085" s="153"/>
      <c r="BP4085" s="153"/>
      <c r="BQ4085" s="153"/>
      <c r="BR4085" s="153"/>
      <c r="BS4085" s="153"/>
      <c r="BT4085" s="153"/>
      <c r="BU4085" s="153"/>
      <c r="BV4085" s="153"/>
      <c r="BW4085" s="153"/>
      <c r="BX4085" s="153"/>
      <c r="BY4085" s="153"/>
      <c r="BZ4085" s="153"/>
      <c r="CA4085" s="152"/>
      <c r="CB4085" s="152"/>
    </row>
    <row r="4086" spans="1:80" s="87" customFormat="1" ht="15" x14ac:dyDescent="0.25">
      <c r="A4086" s="152"/>
      <c r="B4086" s="683"/>
      <c r="C4086" s="683"/>
      <c r="D4086" s="698"/>
      <c r="E4086" s="215"/>
      <c r="F4086" s="215"/>
      <c r="G4086" s="153"/>
      <c r="H4086" s="153"/>
      <c r="I4086" s="320">
        <v>20</v>
      </c>
      <c r="J4086" s="320">
        <v>30</v>
      </c>
      <c r="K4086" s="222">
        <v>1</v>
      </c>
      <c r="L4086" s="658">
        <v>10</v>
      </c>
      <c r="M4086" s="663">
        <v>34870</v>
      </c>
      <c r="N4086" s="600">
        <v>51.812199999999997</v>
      </c>
      <c r="O4086" s="604">
        <v>0.11965099999999999</v>
      </c>
      <c r="P4086" s="250"/>
      <c r="Q4086" s="250"/>
      <c r="R4086" s="250"/>
      <c r="S4086" s="250"/>
      <c r="T4086" s="250">
        <v>0.04</v>
      </c>
      <c r="U4086" s="250">
        <v>0.11800000000000001</v>
      </c>
      <c r="V4086" s="250">
        <v>0.33</v>
      </c>
      <c r="W4086" s="250">
        <v>0.39399999999999996</v>
      </c>
      <c r="X4086" s="250">
        <v>0.115</v>
      </c>
      <c r="Y4086" s="250">
        <v>3.0000000000000001E-3</v>
      </c>
      <c r="Z4086" s="150">
        <v>7</v>
      </c>
      <c r="AA4086" s="150">
        <v>0.98</v>
      </c>
      <c r="AB4086" s="152"/>
      <c r="AC4086" s="152"/>
      <c r="AD4086" s="223"/>
      <c r="AE4086" s="223"/>
      <c r="AF4086" s="223"/>
      <c r="AG4086" s="223"/>
      <c r="AH4086" s="341"/>
      <c r="AI4086" s="218"/>
      <c r="AJ4086" s="218"/>
      <c r="AK4086" s="153"/>
      <c r="AL4086" s="152"/>
      <c r="AM4086" s="152"/>
      <c r="AN4086" s="152"/>
      <c r="AO4086" s="152"/>
      <c r="AP4086" s="152"/>
      <c r="AQ4086" s="152"/>
      <c r="AR4086" s="152"/>
      <c r="AS4086" s="152"/>
      <c r="AT4086" s="152"/>
      <c r="AU4086" s="153"/>
      <c r="AV4086" s="479"/>
      <c r="AW4086" s="479"/>
      <c r="AX4086" s="442"/>
      <c r="AY4086" s="153"/>
      <c r="AZ4086" s="152"/>
      <c r="BA4086" s="152"/>
      <c r="BB4086" s="152"/>
      <c r="BC4086" s="152"/>
      <c r="BD4086" s="152"/>
      <c r="BE4086" s="152"/>
      <c r="BF4086" s="152"/>
      <c r="BG4086" s="152"/>
      <c r="BH4086" s="152"/>
      <c r="BI4086" s="153"/>
      <c r="BJ4086" s="153"/>
      <c r="BK4086" s="153"/>
      <c r="BL4086" s="153"/>
      <c r="BM4086" s="153"/>
      <c r="BN4086" s="153"/>
      <c r="BO4086" s="153"/>
      <c r="BP4086" s="153"/>
      <c r="BQ4086" s="153"/>
      <c r="BR4086" s="153"/>
      <c r="BS4086" s="153"/>
      <c r="BT4086" s="153"/>
      <c r="BU4086" s="153"/>
      <c r="BV4086" s="153"/>
      <c r="BW4086" s="153"/>
      <c r="BX4086" s="153"/>
      <c r="BY4086" s="153"/>
      <c r="BZ4086" s="153"/>
      <c r="CA4086" s="152"/>
      <c r="CB4086" s="152"/>
    </row>
    <row r="4087" spans="1:80" s="87" customFormat="1" ht="15" x14ac:dyDescent="0.25">
      <c r="A4087" s="152"/>
      <c r="B4087" s="683"/>
      <c r="C4087" s="683"/>
      <c r="D4087" s="698"/>
      <c r="E4087" s="215"/>
      <c r="F4087" s="215"/>
      <c r="G4087" s="153"/>
      <c r="H4087" s="153"/>
      <c r="I4087" s="320">
        <v>20</v>
      </c>
      <c r="J4087" s="320">
        <v>30</v>
      </c>
      <c r="K4087" s="222">
        <v>1</v>
      </c>
      <c r="L4087" s="658">
        <v>10</v>
      </c>
      <c r="M4087" s="663">
        <v>34870</v>
      </c>
      <c r="N4087" s="600">
        <v>51.812199999999997</v>
      </c>
      <c r="O4087" s="604">
        <v>0.115453</v>
      </c>
      <c r="P4087" s="250"/>
      <c r="Q4087" s="250"/>
      <c r="R4087" s="250"/>
      <c r="S4087" s="250">
        <v>1.9E-2</v>
      </c>
      <c r="T4087" s="250">
        <v>0.14300000000000002</v>
      </c>
      <c r="U4087" s="250">
        <v>0.27300000000000002</v>
      </c>
      <c r="V4087" s="250">
        <v>0.24399999999999999</v>
      </c>
      <c r="W4087" s="250">
        <v>0.218</v>
      </c>
      <c r="X4087" s="250">
        <v>9.9000000000000005E-2</v>
      </c>
      <c r="Y4087" s="250">
        <v>4.0000000000000001E-3</v>
      </c>
      <c r="Z4087" s="150">
        <v>13</v>
      </c>
      <c r="AA4087" s="150">
        <v>1.66</v>
      </c>
      <c r="AB4087" s="152"/>
      <c r="AC4087" s="152"/>
      <c r="AD4087" s="223"/>
      <c r="AE4087" s="223"/>
      <c r="AF4087" s="223"/>
      <c r="AG4087" s="223"/>
      <c r="AH4087" s="341"/>
      <c r="AI4087" s="218"/>
      <c r="AJ4087" s="218"/>
      <c r="AK4087" s="153"/>
      <c r="AL4087" s="152"/>
      <c r="AM4087" s="152"/>
      <c r="AN4087" s="152"/>
      <c r="AO4087" s="152"/>
      <c r="AP4087" s="152"/>
      <c r="AQ4087" s="152"/>
      <c r="AR4087" s="152"/>
      <c r="AS4087" s="152"/>
      <c r="AT4087" s="152"/>
      <c r="AU4087" s="153"/>
      <c r="AV4087" s="479"/>
      <c r="AW4087" s="479"/>
      <c r="AX4087" s="442"/>
      <c r="AY4087" s="153"/>
      <c r="AZ4087" s="152"/>
      <c r="BA4087" s="152"/>
      <c r="BB4087" s="152"/>
      <c r="BC4087" s="152"/>
      <c r="BD4087" s="152"/>
      <c r="BE4087" s="152"/>
      <c r="BF4087" s="152"/>
      <c r="BG4087" s="152"/>
      <c r="BH4087" s="152"/>
      <c r="BI4087" s="153"/>
      <c r="BJ4087" s="153"/>
      <c r="BK4087" s="153"/>
      <c r="BL4087" s="153"/>
      <c r="BM4087" s="153"/>
      <c r="BN4087" s="153"/>
      <c r="BO4087" s="153"/>
      <c r="BP4087" s="153"/>
      <c r="BQ4087" s="153"/>
      <c r="BR4087" s="153"/>
      <c r="BS4087" s="153"/>
      <c r="BT4087" s="153"/>
      <c r="BU4087" s="153"/>
      <c r="BV4087" s="153"/>
      <c r="BW4087" s="153"/>
      <c r="BX4087" s="153"/>
      <c r="BY4087" s="153"/>
      <c r="BZ4087" s="153"/>
      <c r="CA4087" s="152"/>
      <c r="CB4087" s="152"/>
    </row>
    <row r="4088" spans="1:80" s="87" customFormat="1" ht="15" x14ac:dyDescent="0.25">
      <c r="A4088" s="152"/>
      <c r="B4088" s="683"/>
      <c r="C4088" s="683"/>
      <c r="D4088" s="698"/>
      <c r="E4088" s="215"/>
      <c r="F4088" s="215"/>
      <c r="G4088" s="153"/>
      <c r="H4088" s="153"/>
      <c r="I4088" s="320">
        <v>20</v>
      </c>
      <c r="J4088" s="320">
        <v>60</v>
      </c>
      <c r="K4088" s="222">
        <v>1</v>
      </c>
      <c r="L4088" s="658">
        <v>20</v>
      </c>
      <c r="M4088" s="663">
        <v>34871</v>
      </c>
      <c r="N4088" s="600">
        <v>48.414700000000003</v>
      </c>
      <c r="O4088" s="604">
        <v>0.15953500000000001</v>
      </c>
      <c r="P4088" s="250"/>
      <c r="Q4088" s="250"/>
      <c r="R4088" s="250"/>
      <c r="S4088" s="250"/>
      <c r="T4088" s="250">
        <v>2.3E-2</v>
      </c>
      <c r="U4088" s="250">
        <v>0.128</v>
      </c>
      <c r="V4088" s="250">
        <v>0.42</v>
      </c>
      <c r="W4088" s="250">
        <v>0.35200000000000004</v>
      </c>
      <c r="X4088" s="250">
        <v>7.4999999999999997E-2</v>
      </c>
      <c r="Y4088" s="250">
        <v>2E-3</v>
      </c>
      <c r="Z4088" s="150">
        <v>8</v>
      </c>
      <c r="AA4088" s="150">
        <v>1.1200000000000001</v>
      </c>
      <c r="AB4088" s="152"/>
      <c r="AC4088" s="152"/>
      <c r="AD4088" s="223">
        <v>32.61253</v>
      </c>
      <c r="AE4088" s="223">
        <v>1.4812794</v>
      </c>
      <c r="AF4088" s="223">
        <v>48.304879999999997</v>
      </c>
      <c r="AG4088" s="223">
        <v>0.99056750000000005</v>
      </c>
      <c r="AH4088" s="341"/>
      <c r="AI4088" s="218"/>
      <c r="AJ4088" s="218"/>
      <c r="AK4088" s="153"/>
      <c r="AL4088" s="152"/>
      <c r="AM4088" s="152"/>
      <c r="AN4088" s="152"/>
      <c r="AO4088" s="152"/>
      <c r="AP4088" s="152"/>
      <c r="AQ4088" s="152"/>
      <c r="AR4088" s="152"/>
      <c r="AS4088" s="152"/>
      <c r="AT4088" s="152"/>
      <c r="AU4088" s="153"/>
      <c r="AV4088" s="479"/>
      <c r="AW4088" s="479"/>
      <c r="AX4088" s="442"/>
      <c r="AY4088" s="153"/>
      <c r="AZ4088" s="152"/>
      <c r="BA4088" s="152"/>
      <c r="BB4088" s="152"/>
      <c r="BC4088" s="152"/>
      <c r="BD4088" s="152"/>
      <c r="BE4088" s="152"/>
      <c r="BF4088" s="152"/>
      <c r="BG4088" s="152"/>
      <c r="BH4088" s="152"/>
      <c r="BI4088" s="153"/>
      <c r="BJ4088" s="153"/>
      <c r="BK4088" s="153"/>
      <c r="BL4088" s="153"/>
      <c r="BM4088" s="153"/>
      <c r="BN4088" s="153"/>
      <c r="BO4088" s="153"/>
      <c r="BP4088" s="153"/>
      <c r="BQ4088" s="153"/>
      <c r="BR4088" s="153"/>
      <c r="BS4088" s="153"/>
      <c r="BT4088" s="153"/>
      <c r="BU4088" s="153"/>
      <c r="BV4088" s="153"/>
      <c r="BW4088" s="153"/>
      <c r="BX4088" s="153"/>
      <c r="BY4088" s="153"/>
      <c r="BZ4088" s="153"/>
      <c r="CA4088" s="152"/>
      <c r="CB4088" s="152"/>
    </row>
    <row r="4089" spans="1:80" s="87" customFormat="1" ht="15" x14ac:dyDescent="0.25">
      <c r="A4089" s="152"/>
      <c r="B4089" s="683"/>
      <c r="C4089" s="683"/>
      <c r="D4089" s="698"/>
      <c r="E4089" s="215"/>
      <c r="F4089" s="215"/>
      <c r="G4089" s="153"/>
      <c r="H4089" s="153"/>
      <c r="I4089" s="320">
        <v>20</v>
      </c>
      <c r="J4089" s="320">
        <v>60</v>
      </c>
      <c r="K4089" s="222">
        <v>1</v>
      </c>
      <c r="L4089" s="658">
        <v>20</v>
      </c>
      <c r="M4089" s="663">
        <v>34871</v>
      </c>
      <c r="N4089" s="600">
        <v>48.414700000000003</v>
      </c>
      <c r="O4089" s="604">
        <v>0.270789</v>
      </c>
      <c r="P4089" s="250"/>
      <c r="Q4089" s="250"/>
      <c r="R4089" s="250"/>
      <c r="S4089" s="250">
        <v>2E-3</v>
      </c>
      <c r="T4089" s="250">
        <v>6.4000000000000001E-2</v>
      </c>
      <c r="U4089" s="250">
        <v>0.157</v>
      </c>
      <c r="V4089" s="250">
        <v>0.29600000000000004</v>
      </c>
      <c r="W4089" s="250">
        <v>0.38200000000000001</v>
      </c>
      <c r="X4089" s="250">
        <v>9.6999999999999989E-2</v>
      </c>
      <c r="Y4089" s="250">
        <v>2E-3</v>
      </c>
      <c r="Z4089" s="150">
        <v>10</v>
      </c>
      <c r="AA4089" s="150">
        <v>1.05</v>
      </c>
      <c r="AB4089" s="152"/>
      <c r="AC4089" s="152"/>
      <c r="AD4089" s="223">
        <v>32.61253</v>
      </c>
      <c r="AE4089" s="223">
        <v>1.4812794</v>
      </c>
      <c r="AF4089" s="223">
        <v>48.304879999999997</v>
      </c>
      <c r="AG4089" s="223">
        <v>0.99056750000000005</v>
      </c>
      <c r="AH4089" s="341"/>
      <c r="AI4089" s="218"/>
      <c r="AJ4089" s="218"/>
      <c r="AK4089" s="153"/>
      <c r="AL4089" s="152"/>
      <c r="AM4089" s="152"/>
      <c r="AN4089" s="152"/>
      <c r="AO4089" s="152"/>
      <c r="AP4089" s="152"/>
      <c r="AQ4089" s="152"/>
      <c r="AR4089" s="152"/>
      <c r="AS4089" s="152"/>
      <c r="AT4089" s="152"/>
      <c r="AU4089" s="153"/>
      <c r="AV4089" s="479"/>
      <c r="AW4089" s="479"/>
      <c r="AX4089" s="442"/>
      <c r="AY4089" s="153"/>
      <c r="AZ4089" s="152"/>
      <c r="BA4089" s="152"/>
      <c r="BB4089" s="152"/>
      <c r="BC4089" s="152"/>
      <c r="BD4089" s="152"/>
      <c r="BE4089" s="152"/>
      <c r="BF4089" s="152"/>
      <c r="BG4089" s="152"/>
      <c r="BH4089" s="152"/>
      <c r="BI4089" s="153"/>
      <c r="BJ4089" s="153"/>
      <c r="BK4089" s="153"/>
      <c r="BL4089" s="153"/>
      <c r="BM4089" s="153"/>
      <c r="BN4089" s="153"/>
      <c r="BO4089" s="153"/>
      <c r="BP4089" s="153"/>
      <c r="BQ4089" s="153"/>
      <c r="BR4089" s="153"/>
      <c r="BS4089" s="153"/>
      <c r="BT4089" s="153"/>
      <c r="BU4089" s="153"/>
      <c r="BV4089" s="153"/>
      <c r="BW4089" s="153"/>
      <c r="BX4089" s="153"/>
      <c r="BY4089" s="153"/>
      <c r="BZ4089" s="153"/>
      <c r="CA4089" s="152"/>
      <c r="CB4089" s="152"/>
    </row>
    <row r="4090" spans="1:80" s="87" customFormat="1" ht="15" x14ac:dyDescent="0.25">
      <c r="A4090" s="152"/>
      <c r="B4090" s="683"/>
      <c r="C4090" s="683"/>
      <c r="D4090" s="698"/>
      <c r="E4090" s="215"/>
      <c r="F4090" s="215"/>
      <c r="G4090" s="153"/>
      <c r="H4090" s="153"/>
      <c r="I4090" s="320">
        <v>20</v>
      </c>
      <c r="J4090" s="320">
        <v>30</v>
      </c>
      <c r="K4090" s="222">
        <v>1</v>
      </c>
      <c r="L4090" s="658">
        <v>10</v>
      </c>
      <c r="M4090" s="663">
        <v>34877</v>
      </c>
      <c r="N4090" s="600">
        <v>57.191699999999997</v>
      </c>
      <c r="O4090" s="604">
        <v>0.13644400000000001</v>
      </c>
      <c r="P4090" s="250"/>
      <c r="Q4090" s="250"/>
      <c r="R4090" s="250"/>
      <c r="S4090" s="250">
        <v>0.01</v>
      </c>
      <c r="T4090" s="250">
        <v>2.8999999999999998E-2</v>
      </c>
      <c r="U4090" s="250">
        <v>0.17499999999999999</v>
      </c>
      <c r="V4090" s="250">
        <v>0.35600000000000004</v>
      </c>
      <c r="W4090" s="250">
        <v>0.29600000000000004</v>
      </c>
      <c r="X4090" s="250">
        <v>0.13100000000000001</v>
      </c>
      <c r="Y4090" s="250">
        <v>3.0000000000000001E-3</v>
      </c>
      <c r="Z4090" s="150">
        <v>12</v>
      </c>
      <c r="AA4090" s="150">
        <v>1.1499999999999999</v>
      </c>
      <c r="AB4090" s="152"/>
      <c r="AC4090" s="152"/>
      <c r="AD4090" s="223"/>
      <c r="AE4090" s="223"/>
      <c r="AF4090" s="223"/>
      <c r="AG4090" s="223"/>
      <c r="AH4090" s="341"/>
      <c r="AI4090" s="218"/>
      <c r="AJ4090" s="218"/>
      <c r="AK4090" s="153"/>
      <c r="AL4090" s="152"/>
      <c r="AM4090" s="152"/>
      <c r="AN4090" s="152"/>
      <c r="AO4090" s="152"/>
      <c r="AP4090" s="152"/>
      <c r="AQ4090" s="152"/>
      <c r="AR4090" s="152"/>
      <c r="AS4090" s="152"/>
      <c r="AT4090" s="152"/>
      <c r="AU4090" s="153"/>
      <c r="AV4090" s="479"/>
      <c r="AW4090" s="479"/>
      <c r="AX4090" s="442"/>
      <c r="AY4090" s="153"/>
      <c r="AZ4090" s="152"/>
      <c r="BA4090" s="152"/>
      <c r="BB4090" s="152"/>
      <c r="BC4090" s="152"/>
      <c r="BD4090" s="152"/>
      <c r="BE4090" s="152"/>
      <c r="BF4090" s="152"/>
      <c r="BG4090" s="152"/>
      <c r="BH4090" s="152"/>
      <c r="BI4090" s="153"/>
      <c r="BJ4090" s="153"/>
      <c r="BK4090" s="153"/>
      <c r="BL4090" s="153"/>
      <c r="BM4090" s="153"/>
      <c r="BN4090" s="153"/>
      <c r="BO4090" s="153"/>
      <c r="BP4090" s="153"/>
      <c r="BQ4090" s="153"/>
      <c r="BR4090" s="153"/>
      <c r="BS4090" s="153"/>
      <c r="BT4090" s="153"/>
      <c r="BU4090" s="153"/>
      <c r="BV4090" s="153"/>
      <c r="BW4090" s="153"/>
      <c r="BX4090" s="153"/>
      <c r="BY4090" s="153"/>
      <c r="BZ4090" s="153"/>
      <c r="CA4090" s="152"/>
      <c r="CB4090" s="152"/>
    </row>
    <row r="4091" spans="1:80" s="87" customFormat="1" ht="15" x14ac:dyDescent="0.25">
      <c r="A4091" s="152"/>
      <c r="B4091" s="683"/>
      <c r="C4091" s="683"/>
      <c r="D4091" s="698"/>
      <c r="E4091" s="215"/>
      <c r="F4091" s="215"/>
      <c r="G4091" s="153"/>
      <c r="H4091" s="153"/>
      <c r="I4091" s="320">
        <v>20</v>
      </c>
      <c r="J4091" s="320">
        <v>30</v>
      </c>
      <c r="K4091" s="222">
        <v>1</v>
      </c>
      <c r="L4091" s="658">
        <v>10</v>
      </c>
      <c r="M4091" s="663">
        <v>34877</v>
      </c>
      <c r="N4091" s="600">
        <v>57.191699999999997</v>
      </c>
      <c r="O4091" s="604">
        <v>0.15428700000000001</v>
      </c>
      <c r="P4091" s="250"/>
      <c r="Q4091" s="250"/>
      <c r="R4091" s="250"/>
      <c r="S4091" s="250"/>
      <c r="T4091" s="250">
        <v>3.9E-2</v>
      </c>
      <c r="U4091" s="250">
        <v>0.14599999999999999</v>
      </c>
      <c r="V4091" s="250">
        <v>0.30399999999999999</v>
      </c>
      <c r="W4091" s="250">
        <v>0.33399999999999996</v>
      </c>
      <c r="X4091" s="250">
        <v>0.16699999999999998</v>
      </c>
      <c r="Y4091" s="250">
        <v>0.01</v>
      </c>
      <c r="Z4091" s="150">
        <v>7</v>
      </c>
      <c r="AA4091" s="150">
        <v>0.98</v>
      </c>
      <c r="AB4091" s="152"/>
      <c r="AC4091" s="152"/>
      <c r="AD4091" s="223"/>
      <c r="AE4091" s="223"/>
      <c r="AF4091" s="223"/>
      <c r="AG4091" s="223"/>
      <c r="AH4091" s="341"/>
      <c r="AI4091" s="218"/>
      <c r="AJ4091" s="218"/>
      <c r="AK4091" s="153"/>
      <c r="AL4091" s="152"/>
      <c r="AM4091" s="152"/>
      <c r="AN4091" s="152"/>
      <c r="AO4091" s="152"/>
      <c r="AP4091" s="152"/>
      <c r="AQ4091" s="152"/>
      <c r="AR4091" s="152"/>
      <c r="AS4091" s="152"/>
      <c r="AT4091" s="152"/>
      <c r="AU4091" s="153"/>
      <c r="AV4091" s="479"/>
      <c r="AW4091" s="479"/>
      <c r="AX4091" s="442"/>
      <c r="AY4091" s="153"/>
      <c r="AZ4091" s="152"/>
      <c r="BA4091" s="152"/>
      <c r="BB4091" s="152"/>
      <c r="BC4091" s="152"/>
      <c r="BD4091" s="152"/>
      <c r="BE4091" s="152"/>
      <c r="BF4091" s="152"/>
      <c r="BG4091" s="152"/>
      <c r="BH4091" s="152"/>
      <c r="BI4091" s="153"/>
      <c r="BJ4091" s="153"/>
      <c r="BK4091" s="153"/>
      <c r="BL4091" s="153"/>
      <c r="BM4091" s="153"/>
      <c r="BN4091" s="153"/>
      <c r="BO4091" s="153"/>
      <c r="BP4091" s="153"/>
      <c r="BQ4091" s="153"/>
      <c r="BR4091" s="153"/>
      <c r="BS4091" s="153"/>
      <c r="BT4091" s="153"/>
      <c r="BU4091" s="153"/>
      <c r="BV4091" s="153"/>
      <c r="BW4091" s="153"/>
      <c r="BX4091" s="153"/>
      <c r="BY4091" s="153"/>
      <c r="BZ4091" s="153"/>
      <c r="CA4091" s="152"/>
      <c r="CB4091" s="152"/>
    </row>
    <row r="4092" spans="1:80" s="87" customFormat="1" ht="15" x14ac:dyDescent="0.25">
      <c r="A4092" s="152"/>
      <c r="B4092" s="683"/>
      <c r="C4092" s="683"/>
      <c r="D4092" s="698"/>
      <c r="E4092" s="215"/>
      <c r="F4092" s="215"/>
      <c r="G4092" s="153"/>
      <c r="H4092" s="153"/>
      <c r="I4092" s="320">
        <v>20</v>
      </c>
      <c r="J4092" s="320">
        <v>30</v>
      </c>
      <c r="K4092" s="222">
        <v>1</v>
      </c>
      <c r="L4092" s="658">
        <v>10</v>
      </c>
      <c r="M4092" s="663">
        <v>34878</v>
      </c>
      <c r="N4092" s="600">
        <v>55.492899999999999</v>
      </c>
      <c r="O4092" s="604">
        <v>0.15218799999999999</v>
      </c>
      <c r="P4092" s="250"/>
      <c r="Q4092" s="250"/>
      <c r="R4092" s="250"/>
      <c r="S4092" s="250">
        <v>0.01</v>
      </c>
      <c r="T4092" s="250">
        <v>2.1000000000000001E-2</v>
      </c>
      <c r="U4092" s="250">
        <v>0.13400000000000001</v>
      </c>
      <c r="V4092" s="250">
        <v>0.37</v>
      </c>
      <c r="W4092" s="250">
        <v>0.34</v>
      </c>
      <c r="X4092" s="250">
        <v>0.12300000000000001</v>
      </c>
      <c r="Y4092" s="250">
        <v>2E-3</v>
      </c>
      <c r="Z4092" s="150">
        <v>13</v>
      </c>
      <c r="AA4092" s="150">
        <v>1.07</v>
      </c>
      <c r="AB4092" s="152"/>
      <c r="AC4092" s="152"/>
      <c r="AD4092" s="223"/>
      <c r="AE4092" s="223"/>
      <c r="AF4092" s="223"/>
      <c r="AG4092" s="223"/>
      <c r="AH4092" s="341"/>
      <c r="AI4092" s="218"/>
      <c r="AJ4092" s="218"/>
      <c r="AK4092" s="153"/>
      <c r="AL4092" s="152"/>
      <c r="AM4092" s="152"/>
      <c r="AN4092" s="152"/>
      <c r="AO4092" s="152"/>
      <c r="AP4092" s="152"/>
      <c r="AQ4092" s="152"/>
      <c r="AR4092" s="152"/>
      <c r="AS4092" s="152"/>
      <c r="AT4092" s="152"/>
      <c r="AU4092" s="153"/>
      <c r="AV4092" s="479"/>
      <c r="AW4092" s="479"/>
      <c r="AX4092" s="442"/>
      <c r="AY4092" s="153"/>
      <c r="AZ4092" s="152"/>
      <c r="BA4092" s="152"/>
      <c r="BB4092" s="152"/>
      <c r="BC4092" s="152"/>
      <c r="BD4092" s="152"/>
      <c r="BE4092" s="152"/>
      <c r="BF4092" s="152"/>
      <c r="BG4092" s="152"/>
      <c r="BH4092" s="152"/>
      <c r="BI4092" s="153"/>
      <c r="BJ4092" s="153"/>
      <c r="BK4092" s="153"/>
      <c r="BL4092" s="153"/>
      <c r="BM4092" s="153"/>
      <c r="BN4092" s="153"/>
      <c r="BO4092" s="153"/>
      <c r="BP4092" s="153"/>
      <c r="BQ4092" s="153"/>
      <c r="BR4092" s="153"/>
      <c r="BS4092" s="153"/>
      <c r="BT4092" s="153"/>
      <c r="BU4092" s="153"/>
      <c r="BV4092" s="153"/>
      <c r="BW4092" s="153"/>
      <c r="BX4092" s="153"/>
      <c r="BY4092" s="153"/>
      <c r="BZ4092" s="153"/>
      <c r="CA4092" s="152"/>
      <c r="CB4092" s="152"/>
    </row>
    <row r="4093" spans="1:80" s="87" customFormat="1" ht="15" x14ac:dyDescent="0.25">
      <c r="A4093" s="152"/>
      <c r="B4093" s="683"/>
      <c r="C4093" s="683"/>
      <c r="D4093" s="698"/>
      <c r="E4093" s="215"/>
      <c r="F4093" s="215"/>
      <c r="G4093" s="153"/>
      <c r="H4093" s="153"/>
      <c r="I4093" s="320">
        <v>20</v>
      </c>
      <c r="J4093" s="320">
        <v>30</v>
      </c>
      <c r="K4093" s="222">
        <v>1</v>
      </c>
      <c r="L4093" s="658">
        <v>10</v>
      </c>
      <c r="M4093" s="663">
        <v>34878</v>
      </c>
      <c r="N4093" s="600">
        <v>55.492899999999999</v>
      </c>
      <c r="O4093" s="604">
        <v>0.36315199999999997</v>
      </c>
      <c r="P4093" s="250"/>
      <c r="Q4093" s="250"/>
      <c r="R4093" s="250"/>
      <c r="S4093" s="250"/>
      <c r="T4093" s="250">
        <v>3.7999999999999999E-2</v>
      </c>
      <c r="U4093" s="250">
        <v>0.16699999999999998</v>
      </c>
      <c r="V4093" s="250">
        <v>0.34299999999999997</v>
      </c>
      <c r="W4093" s="250">
        <v>0.33799999999999997</v>
      </c>
      <c r="X4093" s="250">
        <v>0.11199999999999999</v>
      </c>
      <c r="Y4093" s="250">
        <v>2E-3</v>
      </c>
      <c r="Z4093" s="150">
        <v>7</v>
      </c>
      <c r="AA4093" s="150">
        <v>1.1000000000000001</v>
      </c>
      <c r="AB4093" s="152"/>
      <c r="AC4093" s="152"/>
      <c r="AD4093" s="223"/>
      <c r="AE4093" s="223"/>
      <c r="AF4093" s="223"/>
      <c r="AG4093" s="223"/>
      <c r="AH4093" s="341"/>
      <c r="AI4093" s="218"/>
      <c r="AJ4093" s="218"/>
      <c r="AK4093" s="153"/>
      <c r="AL4093" s="152"/>
      <c r="AM4093" s="152"/>
      <c r="AN4093" s="152"/>
      <c r="AO4093" s="152"/>
      <c r="AP4093" s="152"/>
      <c r="AQ4093" s="152"/>
      <c r="AR4093" s="152"/>
      <c r="AS4093" s="152"/>
      <c r="AT4093" s="152"/>
      <c r="AU4093" s="153"/>
      <c r="AV4093" s="479"/>
      <c r="AW4093" s="479"/>
      <c r="AX4093" s="442"/>
      <c r="AY4093" s="153"/>
      <c r="AZ4093" s="152"/>
      <c r="BA4093" s="152"/>
      <c r="BB4093" s="152"/>
      <c r="BC4093" s="152"/>
      <c r="BD4093" s="152"/>
      <c r="BE4093" s="152"/>
      <c r="BF4093" s="152"/>
      <c r="BG4093" s="152"/>
      <c r="BH4093" s="152"/>
      <c r="BI4093" s="153"/>
      <c r="BJ4093" s="153"/>
      <c r="BK4093" s="153"/>
      <c r="BL4093" s="153"/>
      <c r="BM4093" s="153"/>
      <c r="BN4093" s="153"/>
      <c r="BO4093" s="153"/>
      <c r="BP4093" s="153"/>
      <c r="BQ4093" s="153"/>
      <c r="BR4093" s="153"/>
      <c r="BS4093" s="153"/>
      <c r="BT4093" s="153"/>
      <c r="BU4093" s="153"/>
      <c r="BV4093" s="153"/>
      <c r="BW4093" s="153"/>
      <c r="BX4093" s="153"/>
      <c r="BY4093" s="153"/>
      <c r="BZ4093" s="153"/>
      <c r="CA4093" s="152"/>
      <c r="CB4093" s="152"/>
    </row>
    <row r="4094" spans="1:80" s="87" customFormat="1" ht="15" x14ac:dyDescent="0.25">
      <c r="A4094" s="152"/>
      <c r="B4094" s="683"/>
      <c r="C4094" s="683"/>
      <c r="D4094" s="698"/>
      <c r="E4094" s="215"/>
      <c r="F4094" s="215"/>
      <c r="G4094" s="153"/>
      <c r="H4094" s="153"/>
      <c r="I4094" s="115">
        <v>20</v>
      </c>
      <c r="J4094" s="115">
        <v>10</v>
      </c>
      <c r="K4094" s="222">
        <v>1</v>
      </c>
      <c r="L4094" s="658">
        <v>3.3333333333333335</v>
      </c>
      <c r="M4094" s="663">
        <v>35568</v>
      </c>
      <c r="N4094" s="600">
        <v>142.97900000000001</v>
      </c>
      <c r="O4094" s="604">
        <v>10.91554</v>
      </c>
      <c r="P4094" s="250"/>
      <c r="Q4094" s="250"/>
      <c r="R4094" s="250">
        <v>8.0000000000000002E-3</v>
      </c>
      <c r="S4094" s="250">
        <v>4.0000000000000001E-3</v>
      </c>
      <c r="T4094" s="250">
        <v>6.5000000000000002E-2</v>
      </c>
      <c r="U4094" s="250">
        <v>0.22600000000000001</v>
      </c>
      <c r="V4094" s="250">
        <v>0.34700000000000003</v>
      </c>
      <c r="W4094" s="250">
        <v>0.26100000000000001</v>
      </c>
      <c r="X4094" s="250">
        <v>8.4000000000000005E-2</v>
      </c>
      <c r="Y4094" s="250">
        <v>5.0000000000000001E-3</v>
      </c>
      <c r="Z4094" s="150">
        <v>26</v>
      </c>
      <c r="AA4094" s="150">
        <v>1.35</v>
      </c>
      <c r="AB4094" s="152"/>
      <c r="AC4094" s="152"/>
      <c r="AD4094" s="223"/>
      <c r="AE4094" s="223"/>
      <c r="AF4094" s="223"/>
      <c r="AG4094" s="223"/>
      <c r="AH4094" s="341"/>
      <c r="AI4094" s="218"/>
      <c r="AJ4094" s="218"/>
      <c r="AK4094" s="153"/>
      <c r="AL4094" s="152"/>
      <c r="AM4094" s="152"/>
      <c r="AN4094" s="152"/>
      <c r="AO4094" s="152"/>
      <c r="AP4094" s="152"/>
      <c r="AQ4094" s="152"/>
      <c r="AR4094" s="152"/>
      <c r="AS4094" s="152"/>
      <c r="AT4094" s="152"/>
      <c r="AU4094" s="153"/>
      <c r="AV4094" s="479"/>
      <c r="AW4094" s="479"/>
      <c r="AX4094" s="442"/>
      <c r="AY4094" s="153"/>
      <c r="AZ4094" s="152"/>
      <c r="BA4094" s="152"/>
      <c r="BB4094" s="152"/>
      <c r="BC4094" s="152"/>
      <c r="BD4094" s="152"/>
      <c r="BE4094" s="152"/>
      <c r="BF4094" s="152"/>
      <c r="BG4094" s="152"/>
      <c r="BH4094" s="152"/>
      <c r="BI4094" s="153"/>
      <c r="BJ4094" s="153"/>
      <c r="BK4094" s="153"/>
      <c r="BL4094" s="153"/>
      <c r="BM4094" s="153"/>
      <c r="BN4094" s="153"/>
      <c r="BO4094" s="153"/>
      <c r="BP4094" s="153"/>
      <c r="BQ4094" s="153"/>
      <c r="BR4094" s="153"/>
      <c r="BS4094" s="153"/>
      <c r="BT4094" s="153"/>
      <c r="BU4094" s="153"/>
      <c r="BV4094" s="153"/>
      <c r="BW4094" s="153"/>
      <c r="BX4094" s="153"/>
      <c r="BY4094" s="153"/>
      <c r="BZ4094" s="153"/>
      <c r="CA4094" s="152"/>
      <c r="CB4094" s="152"/>
    </row>
    <row r="4095" spans="1:80" s="87" customFormat="1" ht="15" x14ac:dyDescent="0.25">
      <c r="A4095" s="152"/>
      <c r="B4095" s="683"/>
      <c r="C4095" s="683"/>
      <c r="D4095" s="698"/>
      <c r="E4095" s="215"/>
      <c r="F4095" s="215"/>
      <c r="G4095" s="153"/>
      <c r="H4095" s="153"/>
      <c r="I4095" s="115">
        <v>20</v>
      </c>
      <c r="J4095" s="115">
        <v>10</v>
      </c>
      <c r="K4095" s="222">
        <v>1</v>
      </c>
      <c r="L4095" s="658">
        <v>3.3333333333333335</v>
      </c>
      <c r="M4095" s="663">
        <v>35568</v>
      </c>
      <c r="N4095" s="600">
        <v>142.97900000000001</v>
      </c>
      <c r="O4095" s="604">
        <v>10.02341</v>
      </c>
      <c r="P4095" s="250"/>
      <c r="Q4095" s="250"/>
      <c r="R4095" s="250">
        <v>9.0000000000000011E-3</v>
      </c>
      <c r="S4095" s="250">
        <v>1.6E-2</v>
      </c>
      <c r="T4095" s="250">
        <v>9.5000000000000001E-2</v>
      </c>
      <c r="U4095" s="250">
        <v>0.26200000000000001</v>
      </c>
      <c r="V4095" s="250">
        <v>0.34899999999999998</v>
      </c>
      <c r="W4095" s="250">
        <v>0.191</v>
      </c>
      <c r="X4095" s="250">
        <v>7.5999999999999998E-2</v>
      </c>
      <c r="Y4095" s="250">
        <v>2E-3</v>
      </c>
      <c r="Z4095" s="150">
        <v>27</v>
      </c>
      <c r="AA4095" s="150">
        <v>1.58</v>
      </c>
      <c r="AB4095" s="835"/>
      <c r="AC4095" s="152"/>
      <c r="AD4095" s="223"/>
      <c r="AE4095" s="223"/>
      <c r="AF4095" s="223"/>
      <c r="AG4095" s="223"/>
      <c r="AH4095" s="341"/>
      <c r="AI4095" s="218"/>
      <c r="AJ4095" s="218"/>
      <c r="AK4095" s="153"/>
      <c r="AL4095" s="152"/>
      <c r="AM4095" s="152"/>
      <c r="AN4095" s="152"/>
      <c r="AO4095" s="152"/>
      <c r="AP4095" s="152"/>
      <c r="AQ4095" s="152"/>
      <c r="AR4095" s="152"/>
      <c r="AS4095" s="152"/>
      <c r="AT4095" s="152"/>
      <c r="AU4095" s="153"/>
      <c r="AV4095" s="479"/>
      <c r="AW4095" s="479"/>
      <c r="AX4095" s="442"/>
      <c r="AY4095" s="153"/>
      <c r="AZ4095" s="152"/>
      <c r="BA4095" s="152"/>
      <c r="BB4095" s="152"/>
      <c r="BC4095" s="152"/>
      <c r="BD4095" s="152"/>
      <c r="BE4095" s="152"/>
      <c r="BF4095" s="152"/>
      <c r="BG4095" s="152"/>
      <c r="BH4095" s="152"/>
      <c r="BI4095" s="153"/>
      <c r="BJ4095" s="153"/>
      <c r="BK4095" s="153"/>
      <c r="BL4095" s="153"/>
      <c r="BM4095" s="153"/>
      <c r="BN4095" s="153"/>
      <c r="BO4095" s="153"/>
      <c r="BP4095" s="153"/>
      <c r="BQ4095" s="153"/>
      <c r="BR4095" s="153"/>
      <c r="BS4095" s="153"/>
      <c r="BT4095" s="153"/>
      <c r="BU4095" s="153"/>
      <c r="BV4095" s="153"/>
      <c r="BW4095" s="153"/>
      <c r="BX4095" s="153"/>
      <c r="BY4095" s="153"/>
      <c r="BZ4095" s="153"/>
      <c r="CA4095" s="152"/>
      <c r="CB4095" s="152"/>
    </row>
    <row r="4096" spans="1:80" ht="15" x14ac:dyDescent="0.25">
      <c r="A4096" s="9" t="s">
        <v>207</v>
      </c>
      <c r="B4096" s="639" t="s">
        <v>66</v>
      </c>
      <c r="C4096" s="639"/>
      <c r="D4096" s="4">
        <f>VLOOKUP(E4096,'Quality Code'!D4:E24,2,TRUE)*VLOOKUP(MROUND(F4096,10),'Quality Code'!D28:E69,2,TRUE)*VLOOKUP(COUNTA(CB4096:CB4106),'Quality Code'!D73:E93,2,TRUE)</f>
        <v>3.6</v>
      </c>
      <c r="E4096" s="14">
        <v>0.8</v>
      </c>
      <c r="F4096" s="18">
        <v>93</v>
      </c>
      <c r="G4096" s="12">
        <v>37.033299999999997</v>
      </c>
      <c r="H4096" s="2" t="s">
        <v>231</v>
      </c>
      <c r="I4096" s="10"/>
      <c r="J4096" s="10" t="s">
        <v>283</v>
      </c>
      <c r="K4096" s="10"/>
      <c r="L4096" s="640" t="s">
        <v>284</v>
      </c>
      <c r="M4096" s="640" t="s">
        <v>882</v>
      </c>
      <c r="N4096" s="579" t="s">
        <v>296</v>
      </c>
      <c r="O4096" s="579"/>
      <c r="P4096" s="10" t="s">
        <v>64</v>
      </c>
      <c r="Q4096" s="10" t="s">
        <v>64</v>
      </c>
      <c r="R4096" s="10" t="s">
        <v>64</v>
      </c>
      <c r="S4096" s="10" t="s">
        <v>64</v>
      </c>
      <c r="T4096" s="10" t="s">
        <v>64</v>
      </c>
      <c r="U4096" s="10" t="s">
        <v>64</v>
      </c>
      <c r="V4096" s="10" t="s">
        <v>665</v>
      </c>
      <c r="W4096" s="10" t="s">
        <v>664</v>
      </c>
      <c r="X4096" s="10" t="s">
        <v>666</v>
      </c>
      <c r="Y4096" s="10"/>
      <c r="Z4096" s="11"/>
      <c r="AA4096" s="81"/>
      <c r="AB4096" s="81"/>
      <c r="AC4096" s="116">
        <v>2.4E-2</v>
      </c>
      <c r="AD4096" s="11"/>
      <c r="AE4096" s="11"/>
      <c r="AF4096" s="10"/>
      <c r="AG4096" s="10"/>
      <c r="AH4096" s="345" t="s">
        <v>360</v>
      </c>
      <c r="AI4096" s="18"/>
      <c r="AJ4096" s="18"/>
      <c r="AK4096" s="10"/>
      <c r="AL4096" s="17"/>
      <c r="AM4096" s="17"/>
      <c r="AN4096" s="17"/>
      <c r="AO4096" s="17"/>
      <c r="AP4096" s="17"/>
      <c r="AQ4096" s="17"/>
      <c r="AR4096" s="17"/>
      <c r="AS4096" s="17"/>
      <c r="AT4096" s="17"/>
      <c r="AU4096" s="18">
        <v>27</v>
      </c>
      <c r="AV4096" s="18">
        <v>1</v>
      </c>
      <c r="AW4096" s="18">
        <v>1</v>
      </c>
      <c r="AX4096" s="18">
        <v>1</v>
      </c>
      <c r="AY4096" s="17">
        <v>0.95189999999999997</v>
      </c>
      <c r="AZ4096" s="17">
        <v>0.875</v>
      </c>
      <c r="BA4096" s="17">
        <v>0.58650000000000002</v>
      </c>
      <c r="BB4096" s="17">
        <v>0.3846</v>
      </c>
      <c r="BC4096" s="17">
        <v>0.2019</v>
      </c>
      <c r="BD4096" s="17">
        <v>0.14419999999999999</v>
      </c>
      <c r="BE4096" s="17">
        <v>9.5999999999999992E-3</v>
      </c>
      <c r="BF4096" s="17"/>
      <c r="BG4096" s="17"/>
      <c r="BH4096" s="17"/>
      <c r="BI4096" s="4"/>
      <c r="BJ4096" s="2"/>
      <c r="BK4096" s="2" t="s">
        <v>175</v>
      </c>
      <c r="BL4096" s="12"/>
      <c r="BM4096" s="12">
        <v>0.62287999999999999</v>
      </c>
      <c r="BN4096" s="12">
        <v>2.7431100000000002</v>
      </c>
      <c r="BO4096" s="12">
        <v>0.21699354700000001</v>
      </c>
      <c r="BP4096" s="12">
        <v>0.59521830499999995</v>
      </c>
      <c r="BQ4096" s="12">
        <f>BN4096/BO4096</f>
        <v>12.641435830347527</v>
      </c>
      <c r="BR4096" s="12" t="s">
        <v>276</v>
      </c>
      <c r="BS4096" s="12"/>
      <c r="BT4096" s="12"/>
      <c r="BU4096" s="2"/>
      <c r="BV4096" s="2"/>
      <c r="BW4096" s="2"/>
      <c r="BX4096" s="2"/>
      <c r="BY4096" s="2" t="s">
        <v>84</v>
      </c>
      <c r="BZ4096" s="2"/>
      <c r="CA4096" s="381"/>
      <c r="CB4096" s="9" t="s">
        <v>224</v>
      </c>
    </row>
    <row r="4097" spans="1:80" s="87" customFormat="1" x14ac:dyDescent="0.2">
      <c r="A4097" s="152"/>
      <c r="B4097" s="683"/>
      <c r="C4097" s="683"/>
      <c r="D4097" s="698"/>
      <c r="E4097" s="215"/>
      <c r="F4097" s="215"/>
      <c r="G4097" s="153"/>
      <c r="H4097" s="153"/>
      <c r="I4097" s="153"/>
      <c r="J4097" s="153"/>
      <c r="K4097" s="153"/>
      <c r="L4097" s="653"/>
      <c r="M4097" s="663">
        <v>32961</v>
      </c>
      <c r="N4097" s="600">
        <v>6.7379999999999995E-2</v>
      </c>
      <c r="O4097" s="604"/>
      <c r="P4097" s="250"/>
      <c r="Q4097" s="250"/>
      <c r="R4097" s="250"/>
      <c r="S4097" s="250"/>
      <c r="T4097" s="250"/>
      <c r="U4097" s="250"/>
      <c r="V4097" s="250"/>
      <c r="W4097" s="250"/>
      <c r="X4097" s="250"/>
      <c r="Y4097" s="250"/>
      <c r="Z4097" s="150"/>
      <c r="AA4097" s="150"/>
      <c r="AB4097" s="152"/>
      <c r="AC4097" s="152"/>
      <c r="AD4097" s="223">
        <v>1.920177</v>
      </c>
      <c r="AE4097" s="223">
        <v>0.154813968</v>
      </c>
      <c r="AF4097" s="223">
        <v>0.29726079999999999</v>
      </c>
      <c r="AG4097" s="223">
        <v>0.22668756300000001</v>
      </c>
      <c r="AH4097" s="341" t="s">
        <v>361</v>
      </c>
      <c r="AI4097" s="218"/>
      <c r="AJ4097" s="218"/>
      <c r="AK4097" s="153"/>
      <c r="AL4097" s="152"/>
      <c r="AM4097" s="152"/>
      <c r="AN4097" s="152"/>
      <c r="AO4097" s="152"/>
      <c r="AP4097" s="152"/>
      <c r="AQ4097" s="152"/>
      <c r="AR4097" s="152"/>
      <c r="AS4097" s="152"/>
      <c r="AT4097" s="152"/>
      <c r="AU4097" s="153"/>
      <c r="AV4097" s="479"/>
      <c r="AW4097" s="479"/>
      <c r="AX4097" s="442"/>
      <c r="AY4097" s="153"/>
      <c r="AZ4097" s="152"/>
      <c r="BA4097" s="152"/>
      <c r="BB4097" s="152"/>
      <c r="BC4097" s="152"/>
      <c r="BD4097" s="152"/>
      <c r="BE4097" s="152"/>
      <c r="BF4097" s="152"/>
      <c r="BG4097" s="152"/>
      <c r="BH4097" s="152"/>
      <c r="BI4097" s="153"/>
      <c r="BJ4097" s="153"/>
      <c r="BK4097" s="153"/>
      <c r="BL4097" s="153"/>
      <c r="BM4097" s="153"/>
      <c r="BN4097" s="153"/>
      <c r="BO4097" s="153"/>
      <c r="BP4097" s="153"/>
      <c r="BQ4097" s="153"/>
      <c r="BR4097" s="153"/>
      <c r="BS4097" s="153"/>
      <c r="BT4097" s="153"/>
      <c r="BU4097" s="153"/>
      <c r="BV4097" s="153"/>
      <c r="BW4097" s="153"/>
      <c r="BX4097" s="153"/>
      <c r="BY4097" s="153"/>
      <c r="BZ4097" s="153"/>
      <c r="CA4097" s="152"/>
      <c r="CB4097" s="154" t="s">
        <v>597</v>
      </c>
    </row>
    <row r="4098" spans="1:80" s="87" customFormat="1" ht="15" x14ac:dyDescent="0.2">
      <c r="A4098" s="152"/>
      <c r="B4098" s="683"/>
      <c r="C4098" s="683"/>
      <c r="D4098" s="698"/>
      <c r="E4098" s="215"/>
      <c r="F4098" s="215"/>
      <c r="G4098" s="153"/>
      <c r="H4098" s="153"/>
      <c r="I4098" s="153"/>
      <c r="J4098" s="153"/>
      <c r="K4098" s="153"/>
      <c r="L4098" s="653"/>
      <c r="M4098" s="663">
        <v>32968</v>
      </c>
      <c r="N4098" s="600">
        <v>9.3429999999999999E-2</v>
      </c>
      <c r="O4098" s="604"/>
      <c r="P4098" s="250"/>
      <c r="Q4098" s="250"/>
      <c r="R4098" s="250"/>
      <c r="S4098" s="250"/>
      <c r="T4098" s="250"/>
      <c r="U4098" s="250"/>
      <c r="V4098" s="250"/>
      <c r="W4098" s="250"/>
      <c r="X4098" s="250"/>
      <c r="Y4098" s="250"/>
      <c r="Z4098" s="150"/>
      <c r="AA4098" s="150"/>
      <c r="AB4098" s="152"/>
      <c r="AC4098" s="152"/>
      <c r="AD4098" s="223">
        <v>2.0116139999999998</v>
      </c>
      <c r="AE4098" s="223">
        <v>0.17086712100000001</v>
      </c>
      <c r="AF4098" s="223">
        <v>0.34370780000000001</v>
      </c>
      <c r="AG4098" s="223">
        <v>0.27183973</v>
      </c>
      <c r="AH4098" s="341"/>
      <c r="AI4098" s="218"/>
      <c r="AJ4098" s="218"/>
      <c r="AK4098" s="153"/>
      <c r="AL4098" s="152"/>
      <c r="AM4098" s="152"/>
      <c r="AN4098" s="152"/>
      <c r="AO4098" s="152"/>
      <c r="AP4098" s="152"/>
      <c r="AQ4098" s="152"/>
      <c r="AR4098" s="152"/>
      <c r="AS4098" s="152"/>
      <c r="AT4098" s="152"/>
      <c r="AU4098" s="153"/>
      <c r="AV4098" s="479"/>
      <c r="AW4098" s="479"/>
      <c r="AX4098" s="442"/>
      <c r="AY4098" s="153"/>
      <c r="AZ4098" s="152"/>
      <c r="BA4098" s="152"/>
      <c r="BB4098" s="152"/>
      <c r="BC4098" s="152"/>
      <c r="BD4098" s="152"/>
      <c r="BE4098" s="152"/>
      <c r="BF4098" s="152"/>
      <c r="BG4098" s="152"/>
      <c r="BH4098" s="152"/>
      <c r="BI4098" s="153"/>
      <c r="BJ4098" s="153"/>
      <c r="BK4098" s="153"/>
      <c r="BL4098" s="153"/>
      <c r="BM4098" s="153"/>
      <c r="BN4098" s="153"/>
      <c r="BO4098" s="153"/>
      <c r="BP4098" s="153"/>
      <c r="BQ4098" s="153"/>
      <c r="BR4098" s="153"/>
      <c r="BS4098" s="153"/>
      <c r="BT4098" s="153"/>
      <c r="BU4098" s="153"/>
      <c r="BV4098" s="153"/>
      <c r="BW4098" s="153"/>
      <c r="BX4098" s="153"/>
      <c r="BY4098" s="153"/>
      <c r="BZ4098" s="153"/>
      <c r="CA4098" s="152"/>
      <c r="CB4098" s="486" t="s">
        <v>639</v>
      </c>
    </row>
    <row r="4099" spans="1:80" s="87" customFormat="1" ht="15" x14ac:dyDescent="0.2">
      <c r="A4099" s="152"/>
      <c r="B4099" s="683"/>
      <c r="C4099" s="683"/>
      <c r="D4099" s="698"/>
      <c r="E4099" s="215"/>
      <c r="F4099" s="215"/>
      <c r="G4099" s="153"/>
      <c r="H4099" s="153"/>
      <c r="I4099" s="153"/>
      <c r="J4099" s="153"/>
      <c r="K4099" s="153"/>
      <c r="L4099" s="653"/>
      <c r="M4099" s="663">
        <v>32974</v>
      </c>
      <c r="N4099" s="600">
        <v>0.10815</v>
      </c>
      <c r="O4099" s="604"/>
      <c r="P4099" s="250"/>
      <c r="Q4099" s="250"/>
      <c r="R4099" s="250"/>
      <c r="S4099" s="250"/>
      <c r="T4099" s="250"/>
      <c r="U4099" s="250"/>
      <c r="V4099" s="250"/>
      <c r="W4099" s="250"/>
      <c r="X4099" s="250"/>
      <c r="Y4099" s="250"/>
      <c r="Z4099" s="150"/>
      <c r="AA4099" s="150"/>
      <c r="AB4099" s="152"/>
      <c r="AC4099" s="152"/>
      <c r="AD4099" s="223">
        <v>2.0116139999999998</v>
      </c>
      <c r="AE4099" s="223">
        <v>0.182412197</v>
      </c>
      <c r="AF4099" s="223">
        <v>0.36693130000000002</v>
      </c>
      <c r="AG4099" s="223">
        <v>0.294758937</v>
      </c>
      <c r="AH4099" s="341"/>
      <c r="AI4099" s="218"/>
      <c r="AJ4099" s="218"/>
      <c r="AK4099" s="153"/>
      <c r="AL4099" s="152"/>
      <c r="AM4099" s="152"/>
      <c r="AN4099" s="152"/>
      <c r="AO4099" s="152"/>
      <c r="AP4099" s="152"/>
      <c r="AQ4099" s="152"/>
      <c r="AR4099" s="152"/>
      <c r="AS4099" s="152"/>
      <c r="AT4099" s="152"/>
      <c r="AU4099" s="153"/>
      <c r="AV4099" s="479"/>
      <c r="AW4099" s="479"/>
      <c r="AX4099" s="442"/>
      <c r="AY4099" s="153"/>
      <c r="AZ4099" s="152"/>
      <c r="BA4099" s="152"/>
      <c r="BB4099" s="152"/>
      <c r="BC4099" s="152"/>
      <c r="BD4099" s="152"/>
      <c r="BE4099" s="152"/>
      <c r="BF4099" s="152"/>
      <c r="BG4099" s="152"/>
      <c r="BH4099" s="152"/>
      <c r="BI4099" s="153"/>
      <c r="BJ4099" s="153"/>
      <c r="BK4099" s="153"/>
      <c r="BL4099" s="153"/>
      <c r="BM4099" s="153"/>
      <c r="BN4099" s="153"/>
      <c r="BO4099" s="153"/>
      <c r="BP4099" s="153"/>
      <c r="BQ4099" s="153"/>
      <c r="BR4099" s="153"/>
      <c r="BS4099" s="153"/>
      <c r="BT4099" s="153"/>
      <c r="BU4099" s="153"/>
      <c r="BV4099" s="153"/>
      <c r="BW4099" s="153"/>
      <c r="BX4099" s="153"/>
      <c r="BY4099" s="153"/>
      <c r="BZ4099" s="153"/>
      <c r="CA4099" s="152"/>
      <c r="CB4099" s="486" t="s">
        <v>640</v>
      </c>
    </row>
    <row r="4100" spans="1:80" s="87" customFormat="1" x14ac:dyDescent="0.2">
      <c r="A4100" s="152"/>
      <c r="B4100" s="683"/>
      <c r="C4100" s="683"/>
      <c r="D4100" s="698"/>
      <c r="E4100" s="215"/>
      <c r="F4100" s="215"/>
      <c r="G4100" s="153"/>
      <c r="H4100" s="153"/>
      <c r="I4100" s="153"/>
      <c r="J4100" s="153"/>
      <c r="K4100" s="153"/>
      <c r="L4100" s="653"/>
      <c r="M4100" s="663">
        <v>32982</v>
      </c>
      <c r="N4100" s="600">
        <v>0.14723</v>
      </c>
      <c r="O4100" s="604"/>
      <c r="P4100" s="250"/>
      <c r="Q4100" s="250"/>
      <c r="R4100" s="250"/>
      <c r="S4100" s="250"/>
      <c r="T4100" s="250"/>
      <c r="U4100" s="250"/>
      <c r="V4100" s="250"/>
      <c r="W4100" s="250"/>
      <c r="X4100" s="250"/>
      <c r="Y4100" s="250"/>
      <c r="Z4100" s="150"/>
      <c r="AA4100" s="150"/>
      <c r="AB4100" s="152"/>
      <c r="AC4100" s="152"/>
      <c r="AD4100" s="223">
        <v>2.1335299999999999</v>
      </c>
      <c r="AE4100" s="223">
        <v>0.17939068599999999</v>
      </c>
      <c r="AF4100" s="223">
        <v>0.38272328</v>
      </c>
      <c r="AG4100" s="223">
        <v>0.38468640799999998</v>
      </c>
      <c r="AH4100" s="341"/>
      <c r="AI4100" s="218"/>
      <c r="AJ4100" s="218"/>
      <c r="AK4100" s="153"/>
      <c r="AL4100" s="152"/>
      <c r="AM4100" s="152"/>
      <c r="AN4100" s="152"/>
      <c r="AO4100" s="152"/>
      <c r="AP4100" s="152"/>
      <c r="AQ4100" s="152"/>
      <c r="AR4100" s="152"/>
      <c r="AS4100" s="152"/>
      <c r="AT4100" s="152"/>
      <c r="AU4100" s="153"/>
      <c r="AV4100" s="479"/>
      <c r="AW4100" s="479"/>
      <c r="AX4100" s="442"/>
      <c r="AY4100" s="153"/>
      <c r="AZ4100" s="152"/>
      <c r="BA4100" s="152"/>
      <c r="BB4100" s="152"/>
      <c r="BC4100" s="152"/>
      <c r="BD4100" s="152"/>
      <c r="BE4100" s="152"/>
      <c r="BF4100" s="152"/>
      <c r="BG4100" s="152"/>
      <c r="BH4100" s="152"/>
      <c r="BI4100" s="153"/>
      <c r="BJ4100" s="153"/>
      <c r="BK4100" s="153"/>
      <c r="BL4100" s="153"/>
      <c r="BM4100" s="153"/>
      <c r="BN4100" s="153"/>
      <c r="BO4100" s="153"/>
      <c r="BP4100" s="153"/>
      <c r="BQ4100" s="153"/>
      <c r="BR4100" s="153"/>
      <c r="BS4100" s="153"/>
      <c r="BT4100" s="153"/>
      <c r="BU4100" s="153"/>
      <c r="BV4100" s="153"/>
      <c r="BW4100" s="153"/>
      <c r="BX4100" s="153"/>
      <c r="BY4100" s="153"/>
      <c r="BZ4100" s="153"/>
      <c r="CA4100" s="152"/>
      <c r="CB4100" s="152"/>
    </row>
    <row r="4101" spans="1:80" s="87" customFormat="1" x14ac:dyDescent="0.2">
      <c r="A4101" s="152"/>
      <c r="B4101" s="683"/>
      <c r="C4101" s="683"/>
      <c r="D4101" s="698"/>
      <c r="E4101" s="215"/>
      <c r="F4101" s="215"/>
      <c r="G4101" s="153"/>
      <c r="H4101" s="153"/>
      <c r="I4101" s="153"/>
      <c r="J4101" s="153"/>
      <c r="K4101" s="153"/>
      <c r="L4101" s="653"/>
      <c r="M4101" s="663">
        <v>32986</v>
      </c>
      <c r="N4101" s="600">
        <v>0.15373999999999999</v>
      </c>
      <c r="O4101" s="604"/>
      <c r="P4101" s="250"/>
      <c r="Q4101" s="250"/>
      <c r="R4101" s="250"/>
      <c r="S4101" s="250"/>
      <c r="T4101" s="250"/>
      <c r="U4101" s="250"/>
      <c r="V4101" s="250"/>
      <c r="W4101" s="250"/>
      <c r="X4101" s="250"/>
      <c r="Y4101" s="250"/>
      <c r="Z4101" s="150"/>
      <c r="AA4101" s="150"/>
      <c r="AB4101" s="152"/>
      <c r="AC4101" s="152"/>
      <c r="AD4101" s="223">
        <v>2.1944880000000002</v>
      </c>
      <c r="AE4101" s="223">
        <v>0.21123640299999999</v>
      </c>
      <c r="AF4101" s="223">
        <v>0.46354106</v>
      </c>
      <c r="AG4101" s="223">
        <v>0.33166527099999998</v>
      </c>
      <c r="AH4101" s="341"/>
      <c r="AI4101" s="218"/>
      <c r="AJ4101" s="218"/>
      <c r="AK4101" s="153"/>
      <c r="AL4101" s="152"/>
      <c r="AM4101" s="152"/>
      <c r="AN4101" s="152"/>
      <c r="AO4101" s="152"/>
      <c r="AP4101" s="152"/>
      <c r="AQ4101" s="152"/>
      <c r="AR4101" s="152"/>
      <c r="AS4101" s="152"/>
      <c r="AT4101" s="152"/>
      <c r="AU4101" s="153"/>
      <c r="AV4101" s="479"/>
      <c r="AW4101" s="479"/>
      <c r="AX4101" s="442"/>
      <c r="AY4101" s="153"/>
      <c r="AZ4101" s="152"/>
      <c r="BA4101" s="152"/>
      <c r="BB4101" s="152"/>
      <c r="BC4101" s="152"/>
      <c r="BD4101" s="152"/>
      <c r="BE4101" s="152"/>
      <c r="BF4101" s="152"/>
      <c r="BG4101" s="152"/>
      <c r="BH4101" s="152"/>
      <c r="BI4101" s="153"/>
      <c r="BJ4101" s="153"/>
      <c r="BK4101" s="153"/>
      <c r="BL4101" s="153"/>
      <c r="BM4101" s="153"/>
      <c r="BN4101" s="153"/>
      <c r="BO4101" s="153"/>
      <c r="BP4101" s="153"/>
      <c r="BQ4101" s="153"/>
      <c r="BR4101" s="153"/>
      <c r="BS4101" s="153"/>
      <c r="BT4101" s="153"/>
      <c r="BU4101" s="153"/>
      <c r="BV4101" s="153"/>
      <c r="BW4101" s="153"/>
      <c r="BX4101" s="153"/>
      <c r="BY4101" s="153"/>
      <c r="BZ4101" s="153"/>
      <c r="CA4101" s="152"/>
      <c r="CB4101" s="152"/>
    </row>
    <row r="4102" spans="1:80" s="87" customFormat="1" x14ac:dyDescent="0.2">
      <c r="A4102" s="152"/>
      <c r="B4102" s="683"/>
      <c r="C4102" s="683"/>
      <c r="D4102" s="698"/>
      <c r="E4102" s="215"/>
      <c r="F4102" s="215"/>
      <c r="G4102" s="153"/>
      <c r="H4102" s="153"/>
      <c r="I4102" s="153"/>
      <c r="J4102" s="153"/>
      <c r="K4102" s="153"/>
      <c r="L4102" s="653"/>
      <c r="M4102" s="663">
        <v>32997</v>
      </c>
      <c r="N4102" s="600">
        <v>0.13164999999999999</v>
      </c>
      <c r="O4102" s="604"/>
      <c r="P4102" s="250"/>
      <c r="Q4102" s="250"/>
      <c r="R4102" s="250"/>
      <c r="S4102" s="250"/>
      <c r="T4102" s="250"/>
      <c r="U4102" s="250"/>
      <c r="V4102" s="250"/>
      <c r="W4102" s="250"/>
      <c r="X4102" s="250"/>
      <c r="Y4102" s="250"/>
      <c r="Z4102" s="150"/>
      <c r="AA4102" s="150"/>
      <c r="AB4102" s="152"/>
      <c r="AC4102" s="152"/>
      <c r="AD4102" s="223">
        <v>2.2249669999999999</v>
      </c>
      <c r="AE4102" s="223">
        <v>0.19957482200000001</v>
      </c>
      <c r="AF4102" s="223">
        <v>0.44403332000000001</v>
      </c>
      <c r="AG4102" s="223">
        <v>0.29650073199999999</v>
      </c>
      <c r="AH4102" s="341"/>
      <c r="AI4102" s="218"/>
      <c r="AJ4102" s="218"/>
      <c r="AK4102" s="153"/>
      <c r="AL4102" s="152"/>
      <c r="AM4102" s="152"/>
      <c r="AN4102" s="152"/>
      <c r="AO4102" s="152"/>
      <c r="AP4102" s="152"/>
      <c r="AQ4102" s="152"/>
      <c r="AR4102" s="152"/>
      <c r="AS4102" s="152"/>
      <c r="AT4102" s="152"/>
      <c r="AU4102" s="153"/>
      <c r="AV4102" s="479"/>
      <c r="AW4102" s="479"/>
      <c r="AX4102" s="442"/>
      <c r="AY4102" s="153"/>
      <c r="AZ4102" s="152"/>
      <c r="BA4102" s="152"/>
      <c r="BB4102" s="152"/>
      <c r="BC4102" s="152"/>
      <c r="BD4102" s="152"/>
      <c r="BE4102" s="152"/>
      <c r="BF4102" s="152"/>
      <c r="BG4102" s="152"/>
      <c r="BH4102" s="152"/>
      <c r="BI4102" s="153"/>
      <c r="BJ4102" s="153"/>
      <c r="BK4102" s="153"/>
      <c r="BL4102" s="153"/>
      <c r="BM4102" s="153"/>
      <c r="BN4102" s="153"/>
      <c r="BO4102" s="153"/>
      <c r="BP4102" s="153"/>
      <c r="BQ4102" s="153"/>
      <c r="BR4102" s="153"/>
      <c r="BS4102" s="153"/>
      <c r="BT4102" s="153"/>
      <c r="BU4102" s="153"/>
      <c r="BV4102" s="153"/>
      <c r="BW4102" s="153"/>
      <c r="BX4102" s="153"/>
      <c r="BY4102" s="153"/>
      <c r="BZ4102" s="153"/>
      <c r="CA4102" s="152"/>
      <c r="CB4102" s="152"/>
    </row>
    <row r="4103" spans="1:80" s="87" customFormat="1" x14ac:dyDescent="0.2">
      <c r="A4103" s="152"/>
      <c r="B4103" s="683"/>
      <c r="C4103" s="683"/>
      <c r="D4103" s="698"/>
      <c r="E4103" s="215"/>
      <c r="F4103" s="215"/>
      <c r="G4103" s="153"/>
      <c r="H4103" s="153"/>
      <c r="I4103" s="153"/>
      <c r="J4103" s="153"/>
      <c r="K4103" s="153"/>
      <c r="L4103" s="653"/>
      <c r="M4103" s="663">
        <v>33002</v>
      </c>
      <c r="N4103" s="600">
        <v>0.10334</v>
      </c>
      <c r="O4103" s="604"/>
      <c r="P4103" s="250"/>
      <c r="Q4103" s="250"/>
      <c r="R4103" s="250"/>
      <c r="S4103" s="250"/>
      <c r="T4103" s="250"/>
      <c r="U4103" s="250"/>
      <c r="V4103" s="250"/>
      <c r="W4103" s="250"/>
      <c r="X4103" s="250"/>
      <c r="Y4103" s="250"/>
      <c r="Z4103" s="150"/>
      <c r="AA4103" s="150"/>
      <c r="AB4103" s="152"/>
      <c r="AC4103" s="152"/>
      <c r="AD4103" s="223">
        <v>2.1640090000000001</v>
      </c>
      <c r="AE4103" s="223">
        <v>0.18373256299999999</v>
      </c>
      <c r="AF4103" s="223">
        <v>0.39758631999999999</v>
      </c>
      <c r="AG4103" s="223">
        <v>0.25992605099999999</v>
      </c>
      <c r="AH4103" s="341"/>
      <c r="AI4103" s="218"/>
      <c r="AJ4103" s="218"/>
      <c r="AK4103" s="153"/>
      <c r="AL4103" s="152"/>
      <c r="AM4103" s="152"/>
      <c r="AN4103" s="152"/>
      <c r="AO4103" s="152"/>
      <c r="AP4103" s="152"/>
      <c r="AQ4103" s="152"/>
      <c r="AR4103" s="152"/>
      <c r="AS4103" s="152"/>
      <c r="AT4103" s="152"/>
      <c r="AU4103" s="153"/>
      <c r="AV4103" s="479"/>
      <c r="AW4103" s="479"/>
      <c r="AX4103" s="442"/>
      <c r="AY4103" s="153"/>
      <c r="AZ4103" s="152"/>
      <c r="BA4103" s="152"/>
      <c r="BB4103" s="152"/>
      <c r="BC4103" s="152"/>
      <c r="BD4103" s="152"/>
      <c r="BE4103" s="152"/>
      <c r="BF4103" s="152"/>
      <c r="BG4103" s="152"/>
      <c r="BH4103" s="152"/>
      <c r="BI4103" s="153"/>
      <c r="BJ4103" s="153"/>
      <c r="BK4103" s="153"/>
      <c r="BL4103" s="153"/>
      <c r="BM4103" s="153"/>
      <c r="BN4103" s="153"/>
      <c r="BO4103" s="153"/>
      <c r="BP4103" s="153"/>
      <c r="BQ4103" s="153"/>
      <c r="BR4103" s="153"/>
      <c r="BS4103" s="153"/>
      <c r="BT4103" s="153"/>
      <c r="BU4103" s="153"/>
      <c r="BV4103" s="153"/>
      <c r="BW4103" s="153"/>
      <c r="BX4103" s="153"/>
      <c r="BY4103" s="153"/>
      <c r="BZ4103" s="153"/>
      <c r="CA4103" s="152"/>
      <c r="CB4103" s="152"/>
    </row>
    <row r="4104" spans="1:80" s="87" customFormat="1" x14ac:dyDescent="0.2">
      <c r="A4104" s="152"/>
      <c r="B4104" s="683"/>
      <c r="C4104" s="683"/>
      <c r="D4104" s="698"/>
      <c r="E4104" s="215"/>
      <c r="F4104" s="215"/>
      <c r="G4104" s="153"/>
      <c r="H4104" s="153"/>
      <c r="I4104" s="153"/>
      <c r="J4104" s="153"/>
      <c r="K4104" s="153"/>
      <c r="L4104" s="653"/>
      <c r="M4104" s="663">
        <v>33009</v>
      </c>
      <c r="N4104" s="600">
        <v>0.10362</v>
      </c>
      <c r="O4104" s="604"/>
      <c r="P4104" s="250"/>
      <c r="Q4104" s="250"/>
      <c r="R4104" s="250"/>
      <c r="S4104" s="250"/>
      <c r="T4104" s="250"/>
      <c r="U4104" s="250"/>
      <c r="V4104" s="250"/>
      <c r="W4104" s="250"/>
      <c r="X4104" s="250"/>
      <c r="Y4104" s="250"/>
      <c r="Z4104" s="150"/>
      <c r="AA4104" s="150"/>
      <c r="AB4104" s="152"/>
      <c r="AC4104" s="152"/>
      <c r="AD4104" s="223">
        <v>2.2249669999999999</v>
      </c>
      <c r="AE4104" s="223">
        <v>0.17285350699999999</v>
      </c>
      <c r="AF4104" s="223">
        <v>0.38458115999999998</v>
      </c>
      <c r="AG4104" s="223">
        <v>0.26945202899999998</v>
      </c>
      <c r="AH4104" s="341"/>
      <c r="AI4104" s="218"/>
      <c r="AJ4104" s="218"/>
      <c r="AK4104" s="153"/>
      <c r="AL4104" s="152"/>
      <c r="AM4104" s="152"/>
      <c r="AN4104" s="152"/>
      <c r="AO4104" s="152"/>
      <c r="AP4104" s="152"/>
      <c r="AQ4104" s="152"/>
      <c r="AR4104" s="152"/>
      <c r="AS4104" s="152"/>
      <c r="AT4104" s="152"/>
      <c r="AU4104" s="153"/>
      <c r="AV4104" s="479"/>
      <c r="AW4104" s="479"/>
      <c r="AX4104" s="442"/>
      <c r="AY4104" s="153"/>
      <c r="AZ4104" s="152"/>
      <c r="BA4104" s="152"/>
      <c r="BB4104" s="152"/>
      <c r="BC4104" s="152"/>
      <c r="BD4104" s="152"/>
      <c r="BE4104" s="152"/>
      <c r="BF4104" s="152"/>
      <c r="BG4104" s="152"/>
      <c r="BH4104" s="152"/>
      <c r="BI4104" s="153"/>
      <c r="BJ4104" s="153"/>
      <c r="BK4104" s="153"/>
      <c r="BL4104" s="153"/>
      <c r="BM4104" s="153"/>
      <c r="BN4104" s="153"/>
      <c r="BO4104" s="153"/>
      <c r="BP4104" s="153"/>
      <c r="BQ4104" s="153"/>
      <c r="BR4104" s="153"/>
      <c r="BS4104" s="153"/>
      <c r="BT4104" s="153"/>
      <c r="BU4104" s="153"/>
      <c r="BV4104" s="153"/>
      <c r="BW4104" s="153"/>
      <c r="BX4104" s="153"/>
      <c r="BY4104" s="153"/>
      <c r="BZ4104" s="153"/>
      <c r="CA4104" s="152"/>
      <c r="CB4104" s="152"/>
    </row>
    <row r="4105" spans="1:80" s="87" customFormat="1" x14ac:dyDescent="0.2">
      <c r="A4105" s="152"/>
      <c r="B4105" s="683"/>
      <c r="C4105" s="683"/>
      <c r="D4105" s="698"/>
      <c r="E4105" s="215"/>
      <c r="F4105" s="215"/>
      <c r="G4105" s="153"/>
      <c r="H4105" s="153"/>
      <c r="I4105" s="153"/>
      <c r="J4105" s="153"/>
      <c r="K4105" s="153"/>
      <c r="L4105" s="653"/>
      <c r="M4105" s="663">
        <v>33036</v>
      </c>
      <c r="N4105" s="600">
        <v>0.25226999999999999</v>
      </c>
      <c r="O4105" s="604"/>
      <c r="P4105" s="250"/>
      <c r="Q4105" s="250"/>
      <c r="R4105" s="250"/>
      <c r="S4105" s="250"/>
      <c r="T4105" s="250"/>
      <c r="U4105" s="250"/>
      <c r="V4105" s="250"/>
      <c r="W4105" s="250"/>
      <c r="X4105" s="250"/>
      <c r="Y4105" s="250"/>
      <c r="Z4105" s="150"/>
      <c r="AA4105" s="150"/>
      <c r="AB4105" s="152"/>
      <c r="AC4105" s="152"/>
      <c r="AD4105" s="223">
        <v>2.3164039999999999</v>
      </c>
      <c r="AE4105" s="223">
        <v>0.243430961</v>
      </c>
      <c r="AF4105" s="223">
        <v>0.56386658000000001</v>
      </c>
      <c r="AG4105" s="223">
        <v>0.44739355800000002</v>
      </c>
      <c r="AH4105" s="341"/>
      <c r="AI4105" s="218"/>
      <c r="AJ4105" s="218"/>
      <c r="AK4105" s="153"/>
      <c r="AL4105" s="152"/>
      <c r="AM4105" s="152"/>
      <c r="AN4105" s="152"/>
      <c r="AO4105" s="152"/>
      <c r="AP4105" s="152"/>
      <c r="AQ4105" s="152"/>
      <c r="AR4105" s="152"/>
      <c r="AS4105" s="152"/>
      <c r="AT4105" s="152"/>
      <c r="AU4105" s="153"/>
      <c r="AV4105" s="479"/>
      <c r="AW4105" s="479"/>
      <c r="AX4105" s="442"/>
      <c r="AY4105" s="153"/>
      <c r="AZ4105" s="152"/>
      <c r="BA4105" s="152"/>
      <c r="BB4105" s="152"/>
      <c r="BC4105" s="152"/>
      <c r="BD4105" s="152"/>
      <c r="BE4105" s="152"/>
      <c r="BF4105" s="152"/>
      <c r="BG4105" s="152"/>
      <c r="BH4105" s="152"/>
      <c r="BI4105" s="153"/>
      <c r="BJ4105" s="153"/>
      <c r="BK4105" s="153"/>
      <c r="BL4105" s="153"/>
      <c r="BM4105" s="153"/>
      <c r="BN4105" s="153"/>
      <c r="BO4105" s="153"/>
      <c r="BP4105" s="153"/>
      <c r="BQ4105" s="153"/>
      <c r="BR4105" s="153"/>
      <c r="BS4105" s="153"/>
      <c r="BT4105" s="153"/>
      <c r="BU4105" s="153"/>
      <c r="BV4105" s="153"/>
      <c r="BW4105" s="153"/>
      <c r="BX4105" s="153"/>
      <c r="BY4105" s="153"/>
      <c r="BZ4105" s="153"/>
      <c r="CA4105" s="152"/>
      <c r="CB4105" s="152"/>
    </row>
    <row r="4106" spans="1:80" s="87" customFormat="1" x14ac:dyDescent="0.2">
      <c r="A4106" s="152"/>
      <c r="B4106" s="683"/>
      <c r="C4106" s="683"/>
      <c r="D4106" s="698"/>
      <c r="E4106" s="215"/>
      <c r="F4106" s="215"/>
      <c r="G4106" s="153"/>
      <c r="H4106" s="153"/>
      <c r="I4106" s="153"/>
      <c r="J4106" s="153"/>
      <c r="K4106" s="153"/>
      <c r="L4106" s="653"/>
      <c r="M4106" s="663">
        <v>33039</v>
      </c>
      <c r="N4106" s="600">
        <v>0.24660000000000001</v>
      </c>
      <c r="O4106" s="604"/>
      <c r="P4106" s="250"/>
      <c r="Q4106" s="250"/>
      <c r="R4106" s="250"/>
      <c r="S4106" s="250"/>
      <c r="T4106" s="250"/>
      <c r="U4106" s="250"/>
      <c r="V4106" s="250"/>
      <c r="W4106" s="250"/>
      <c r="X4106" s="250"/>
      <c r="Y4106" s="250"/>
      <c r="Z4106" s="150"/>
      <c r="AA4106" s="150"/>
      <c r="AB4106" s="152"/>
      <c r="AC4106" s="152"/>
      <c r="AD4106" s="223">
        <v>2.2554460000000001</v>
      </c>
      <c r="AE4106" s="223">
        <v>0.23757144899999999</v>
      </c>
      <c r="AF4106" s="223">
        <v>0.53581259199999998</v>
      </c>
      <c r="AG4106" s="223">
        <v>0.42209821800000003</v>
      </c>
      <c r="AH4106" s="341"/>
      <c r="AI4106" s="218"/>
      <c r="AJ4106" s="218"/>
      <c r="AK4106" s="153"/>
      <c r="AL4106" s="152"/>
      <c r="AM4106" s="152"/>
      <c r="AN4106" s="152"/>
      <c r="AO4106" s="152"/>
      <c r="AP4106" s="152"/>
      <c r="AQ4106" s="152"/>
      <c r="AR4106" s="152"/>
      <c r="AS4106" s="152"/>
      <c r="AT4106" s="152"/>
      <c r="AU4106" s="153"/>
      <c r="AV4106" s="479"/>
      <c r="AW4106" s="479"/>
      <c r="AX4106" s="442"/>
      <c r="AY4106" s="153"/>
      <c r="AZ4106" s="152"/>
      <c r="BA4106" s="152"/>
      <c r="BB4106" s="152"/>
      <c r="BC4106" s="152"/>
      <c r="BD4106" s="152"/>
      <c r="BE4106" s="152"/>
      <c r="BF4106" s="152"/>
      <c r="BG4106" s="152"/>
      <c r="BH4106" s="152"/>
      <c r="BI4106" s="153"/>
      <c r="BJ4106" s="153"/>
      <c r="BK4106" s="153"/>
      <c r="BL4106" s="153"/>
      <c r="BM4106" s="153"/>
      <c r="BN4106" s="153"/>
      <c r="BO4106" s="153"/>
      <c r="BP4106" s="153"/>
      <c r="BQ4106" s="153"/>
      <c r="BR4106" s="153"/>
      <c r="BS4106" s="153"/>
      <c r="BT4106" s="153"/>
      <c r="BU4106" s="153"/>
      <c r="BV4106" s="153"/>
      <c r="BW4106" s="153"/>
      <c r="BX4106" s="153"/>
      <c r="BY4106" s="153"/>
      <c r="BZ4106" s="153"/>
      <c r="CA4106" s="152"/>
      <c r="CB4106" s="152"/>
    </row>
    <row r="4107" spans="1:80" s="87" customFormat="1" x14ac:dyDescent="0.2">
      <c r="A4107" s="152"/>
      <c r="B4107" s="683"/>
      <c r="C4107" s="683"/>
      <c r="D4107" s="698"/>
      <c r="E4107" s="215"/>
      <c r="F4107" s="215"/>
      <c r="G4107" s="153"/>
      <c r="H4107" s="153"/>
      <c r="I4107" s="153"/>
      <c r="J4107" s="153"/>
      <c r="K4107" s="153"/>
      <c r="L4107" s="653"/>
      <c r="M4107" s="663">
        <v>33121</v>
      </c>
      <c r="N4107" s="600">
        <v>2.7179999999999999E-2</v>
      </c>
      <c r="O4107" s="604"/>
      <c r="P4107" s="250"/>
      <c r="Q4107" s="250"/>
      <c r="R4107" s="250"/>
      <c r="S4107" s="250"/>
      <c r="T4107" s="250"/>
      <c r="U4107" s="250"/>
      <c r="V4107" s="250"/>
      <c r="W4107" s="250"/>
      <c r="X4107" s="250"/>
      <c r="Y4107" s="250"/>
      <c r="Z4107" s="150"/>
      <c r="AA4107" s="150"/>
      <c r="AB4107" s="152"/>
      <c r="AC4107" s="152"/>
      <c r="AD4107" s="223">
        <v>1.82874</v>
      </c>
      <c r="AE4107" s="223">
        <v>0.117293352</v>
      </c>
      <c r="AF4107" s="223">
        <v>0.214492246</v>
      </c>
      <c r="AG4107" s="223">
        <v>0.12658883100000001</v>
      </c>
      <c r="AH4107" s="341"/>
      <c r="AI4107" s="218"/>
      <c r="AJ4107" s="218"/>
      <c r="AK4107" s="153"/>
      <c r="AL4107" s="152"/>
      <c r="AM4107" s="152"/>
      <c r="AN4107" s="152"/>
      <c r="AO4107" s="152"/>
      <c r="AP4107" s="152"/>
      <c r="AQ4107" s="152"/>
      <c r="AR4107" s="152"/>
      <c r="AS4107" s="152"/>
      <c r="AT4107" s="152"/>
      <c r="AU4107" s="153"/>
      <c r="AV4107" s="479"/>
      <c r="AW4107" s="479"/>
      <c r="AX4107" s="442"/>
      <c r="AY4107" s="153"/>
      <c r="AZ4107" s="152"/>
      <c r="BA4107" s="152"/>
      <c r="BB4107" s="152"/>
      <c r="BC4107" s="152"/>
      <c r="BD4107" s="152"/>
      <c r="BE4107" s="152"/>
      <c r="BF4107" s="152"/>
      <c r="BG4107" s="152"/>
      <c r="BH4107" s="152"/>
      <c r="BI4107" s="153"/>
      <c r="BJ4107" s="153"/>
      <c r="BK4107" s="153"/>
      <c r="BL4107" s="153"/>
      <c r="BM4107" s="153"/>
      <c r="BN4107" s="153"/>
      <c r="BO4107" s="153"/>
      <c r="BP4107" s="153"/>
      <c r="BQ4107" s="153"/>
      <c r="BR4107" s="153"/>
      <c r="BS4107" s="153"/>
      <c r="BT4107" s="153"/>
      <c r="BU4107" s="153"/>
      <c r="BV4107" s="153"/>
      <c r="BW4107" s="153"/>
      <c r="BX4107" s="153"/>
      <c r="BY4107" s="153"/>
      <c r="BZ4107" s="153"/>
      <c r="CA4107" s="152"/>
      <c r="CB4107" s="152"/>
    </row>
    <row r="4108" spans="1:80" s="87" customFormat="1" x14ac:dyDescent="0.2">
      <c r="A4108" s="152"/>
      <c r="B4108" s="683"/>
      <c r="C4108" s="683"/>
      <c r="D4108" s="698"/>
      <c r="E4108" s="215"/>
      <c r="F4108" s="215"/>
      <c r="G4108" s="153"/>
      <c r="H4108" s="153"/>
      <c r="I4108" s="153"/>
      <c r="J4108" s="153"/>
      <c r="K4108" s="153"/>
      <c r="L4108" s="653"/>
      <c r="M4108" s="663">
        <v>33352</v>
      </c>
      <c r="N4108" s="600">
        <v>0.11466999999999999</v>
      </c>
      <c r="O4108" s="604"/>
      <c r="P4108" s="250"/>
      <c r="Q4108" s="250"/>
      <c r="R4108" s="250"/>
      <c r="S4108" s="250"/>
      <c r="T4108" s="250"/>
      <c r="U4108" s="250"/>
      <c r="V4108" s="250"/>
      <c r="W4108" s="250"/>
      <c r="X4108" s="250"/>
      <c r="Y4108" s="250"/>
      <c r="Z4108" s="150"/>
      <c r="AA4108" s="150"/>
      <c r="AB4108" s="152"/>
      <c r="AC4108" s="152"/>
      <c r="AD4108" s="223">
        <v>2.1335299999999999</v>
      </c>
      <c r="AE4108" s="223">
        <v>0.171988643</v>
      </c>
      <c r="AF4108" s="223">
        <v>0.36693130000000002</v>
      </c>
      <c r="AG4108" s="223">
        <v>0.31250620299999998</v>
      </c>
      <c r="AH4108" s="341"/>
      <c r="AI4108" s="218"/>
      <c r="AJ4108" s="218"/>
      <c r="AK4108" s="153"/>
      <c r="AL4108" s="152"/>
      <c r="AM4108" s="152"/>
      <c r="AN4108" s="152"/>
      <c r="AO4108" s="152"/>
      <c r="AP4108" s="152"/>
      <c r="AQ4108" s="152"/>
      <c r="AR4108" s="152"/>
      <c r="AS4108" s="152"/>
      <c r="AT4108" s="152"/>
      <c r="AU4108" s="153"/>
      <c r="AV4108" s="479"/>
      <c r="AW4108" s="479"/>
      <c r="AX4108" s="442"/>
      <c r="AY4108" s="153"/>
      <c r="AZ4108" s="152"/>
      <c r="BA4108" s="152"/>
      <c r="BB4108" s="152"/>
      <c r="BC4108" s="152"/>
      <c r="BD4108" s="152"/>
      <c r="BE4108" s="152"/>
      <c r="BF4108" s="152"/>
      <c r="BG4108" s="152"/>
      <c r="BH4108" s="152"/>
      <c r="BI4108" s="153"/>
      <c r="BJ4108" s="153"/>
      <c r="BK4108" s="153"/>
      <c r="BL4108" s="153"/>
      <c r="BM4108" s="153"/>
      <c r="BN4108" s="153"/>
      <c r="BO4108" s="153"/>
      <c r="BP4108" s="153"/>
      <c r="BQ4108" s="153"/>
      <c r="BR4108" s="153"/>
      <c r="BS4108" s="153"/>
      <c r="BT4108" s="153"/>
      <c r="BU4108" s="153"/>
      <c r="BV4108" s="153"/>
      <c r="BW4108" s="153"/>
      <c r="BX4108" s="153"/>
      <c r="BY4108" s="153"/>
      <c r="BZ4108" s="153"/>
      <c r="CA4108" s="152"/>
      <c r="CB4108" s="152"/>
    </row>
    <row r="4109" spans="1:80" s="87" customFormat="1" x14ac:dyDescent="0.2">
      <c r="A4109" s="152"/>
      <c r="B4109" s="683"/>
      <c r="C4109" s="683"/>
      <c r="D4109" s="698"/>
      <c r="E4109" s="215"/>
      <c r="F4109" s="215"/>
      <c r="G4109" s="153"/>
      <c r="H4109" s="153"/>
      <c r="I4109" s="153"/>
      <c r="J4109" s="153"/>
      <c r="K4109" s="153"/>
      <c r="L4109" s="653"/>
      <c r="M4109" s="663">
        <v>33371</v>
      </c>
      <c r="N4109" s="600">
        <v>0.11325</v>
      </c>
      <c r="O4109" s="604"/>
      <c r="P4109" s="250"/>
      <c r="Q4109" s="250"/>
      <c r="R4109" s="250"/>
      <c r="S4109" s="250"/>
      <c r="T4109" s="250"/>
      <c r="U4109" s="250"/>
      <c r="V4109" s="250"/>
      <c r="W4109" s="250"/>
      <c r="X4109" s="250"/>
      <c r="Y4109" s="250"/>
      <c r="Z4109" s="150"/>
      <c r="AA4109" s="150"/>
      <c r="AB4109" s="152"/>
      <c r="AC4109" s="152"/>
      <c r="AD4109" s="223">
        <v>2.2249669999999999</v>
      </c>
      <c r="AE4109" s="223">
        <v>0.19623465800000001</v>
      </c>
      <c r="AF4109" s="223">
        <v>0.43660179999999998</v>
      </c>
      <c r="AG4109" s="223">
        <v>0.25939574500000001</v>
      </c>
      <c r="AH4109" s="341"/>
      <c r="AI4109" s="218"/>
      <c r="AJ4109" s="218"/>
      <c r="AK4109" s="153"/>
      <c r="AL4109" s="152"/>
      <c r="AM4109" s="152"/>
      <c r="AN4109" s="152"/>
      <c r="AO4109" s="152"/>
      <c r="AP4109" s="152"/>
      <c r="AQ4109" s="152"/>
      <c r="AR4109" s="152"/>
      <c r="AS4109" s="152"/>
      <c r="AT4109" s="152"/>
      <c r="AU4109" s="153"/>
      <c r="AV4109" s="479"/>
      <c r="AW4109" s="479"/>
      <c r="AX4109" s="442"/>
      <c r="AY4109" s="153"/>
      <c r="AZ4109" s="152"/>
      <c r="BA4109" s="152"/>
      <c r="BB4109" s="152"/>
      <c r="BC4109" s="152"/>
      <c r="BD4109" s="152"/>
      <c r="BE4109" s="152"/>
      <c r="BF4109" s="152"/>
      <c r="BG4109" s="152"/>
      <c r="BH4109" s="152"/>
      <c r="BI4109" s="153"/>
      <c r="BJ4109" s="153"/>
      <c r="BK4109" s="153"/>
      <c r="BL4109" s="153"/>
      <c r="BM4109" s="153"/>
      <c r="BN4109" s="153"/>
      <c r="BO4109" s="153"/>
      <c r="BP4109" s="153"/>
      <c r="BQ4109" s="153"/>
      <c r="BR4109" s="153"/>
      <c r="BS4109" s="153"/>
      <c r="BT4109" s="153"/>
      <c r="BU4109" s="153"/>
      <c r="BV4109" s="153"/>
      <c r="BW4109" s="153"/>
      <c r="BX4109" s="153"/>
      <c r="BY4109" s="153"/>
      <c r="BZ4109" s="153"/>
      <c r="CA4109" s="152"/>
      <c r="CB4109" s="152"/>
    </row>
    <row r="4110" spans="1:80" s="87" customFormat="1" x14ac:dyDescent="0.2">
      <c r="A4110" s="152"/>
      <c r="B4110" s="683"/>
      <c r="C4110" s="683"/>
      <c r="D4110" s="698"/>
      <c r="E4110" s="215"/>
      <c r="F4110" s="215"/>
      <c r="G4110" s="153"/>
      <c r="H4110" s="153"/>
      <c r="I4110" s="153"/>
      <c r="J4110" s="153"/>
      <c r="K4110" s="153"/>
      <c r="L4110" s="653"/>
      <c r="M4110" s="663">
        <v>33387</v>
      </c>
      <c r="N4110" s="600">
        <v>0.18432000000000001</v>
      </c>
      <c r="O4110" s="604"/>
      <c r="P4110" s="250"/>
      <c r="Q4110" s="250"/>
      <c r="R4110" s="250"/>
      <c r="S4110" s="250"/>
      <c r="T4110" s="250"/>
      <c r="U4110" s="250"/>
      <c r="V4110" s="250"/>
      <c r="W4110" s="250"/>
      <c r="X4110" s="250"/>
      <c r="Y4110" s="250"/>
      <c r="Z4110" s="150"/>
      <c r="AA4110" s="150"/>
      <c r="AB4110" s="152"/>
      <c r="AC4110" s="152"/>
      <c r="AD4110" s="223">
        <v>2.2249669999999999</v>
      </c>
      <c r="AE4110" s="223">
        <v>0.210764373</v>
      </c>
      <c r="AF4110" s="223">
        <v>0.46892891199999998</v>
      </c>
      <c r="AG4110" s="223">
        <v>0.39306317400000002</v>
      </c>
      <c r="AH4110" s="341"/>
      <c r="AI4110" s="218"/>
      <c r="AJ4110" s="218"/>
      <c r="AK4110" s="153"/>
      <c r="AL4110" s="152"/>
      <c r="AM4110" s="152"/>
      <c r="AN4110" s="152"/>
      <c r="AO4110" s="152"/>
      <c r="AP4110" s="152"/>
      <c r="AQ4110" s="152"/>
      <c r="AR4110" s="152"/>
      <c r="AS4110" s="152"/>
      <c r="AT4110" s="152"/>
      <c r="AU4110" s="153"/>
      <c r="AV4110" s="479"/>
      <c r="AW4110" s="479"/>
      <c r="AX4110" s="442"/>
      <c r="AY4110" s="153"/>
      <c r="AZ4110" s="152"/>
      <c r="BA4110" s="152"/>
      <c r="BB4110" s="152"/>
      <c r="BC4110" s="152"/>
      <c r="BD4110" s="152"/>
      <c r="BE4110" s="152"/>
      <c r="BF4110" s="152"/>
      <c r="BG4110" s="152"/>
      <c r="BH4110" s="152"/>
      <c r="BI4110" s="153"/>
      <c r="BJ4110" s="153"/>
      <c r="BK4110" s="153"/>
      <c r="BL4110" s="153"/>
      <c r="BM4110" s="153"/>
      <c r="BN4110" s="153"/>
      <c r="BO4110" s="153"/>
      <c r="BP4110" s="153"/>
      <c r="BQ4110" s="153"/>
      <c r="BR4110" s="153"/>
      <c r="BS4110" s="153"/>
      <c r="BT4110" s="153"/>
      <c r="BU4110" s="153"/>
      <c r="BV4110" s="153"/>
      <c r="BW4110" s="153"/>
      <c r="BX4110" s="153"/>
      <c r="BY4110" s="153"/>
      <c r="BZ4110" s="153"/>
      <c r="CA4110" s="152"/>
      <c r="CB4110" s="152"/>
    </row>
    <row r="4111" spans="1:80" s="87" customFormat="1" x14ac:dyDescent="0.2">
      <c r="A4111" s="152"/>
      <c r="B4111" s="683"/>
      <c r="C4111" s="683"/>
      <c r="D4111" s="698"/>
      <c r="E4111" s="215"/>
      <c r="F4111" s="215"/>
      <c r="G4111" s="153"/>
      <c r="H4111" s="153"/>
      <c r="I4111" s="153"/>
      <c r="J4111" s="153"/>
      <c r="K4111" s="153"/>
      <c r="L4111" s="653"/>
      <c r="M4111" s="663">
        <v>33409</v>
      </c>
      <c r="N4111" s="600">
        <v>0.25538</v>
      </c>
      <c r="O4111" s="604"/>
      <c r="P4111" s="250"/>
      <c r="Q4111" s="250"/>
      <c r="R4111" s="250"/>
      <c r="S4111" s="250"/>
      <c r="T4111" s="250"/>
      <c r="U4111" s="250"/>
      <c r="V4111" s="250"/>
      <c r="W4111" s="250"/>
      <c r="X4111" s="250"/>
      <c r="Y4111" s="250"/>
      <c r="Z4111" s="150"/>
      <c r="AA4111" s="150"/>
      <c r="AB4111" s="152"/>
      <c r="AC4111" s="152"/>
      <c r="AD4111" s="223">
        <v>2.43832</v>
      </c>
      <c r="AE4111" s="223">
        <v>0.23104986899999999</v>
      </c>
      <c r="AF4111" s="223">
        <v>0.56335566299999995</v>
      </c>
      <c r="AG4111" s="223">
        <v>0.453327694</v>
      </c>
      <c r="AH4111" s="341"/>
      <c r="AI4111" s="218"/>
      <c r="AJ4111" s="218"/>
      <c r="AK4111" s="153"/>
      <c r="AL4111" s="152"/>
      <c r="AM4111" s="152"/>
      <c r="AN4111" s="152"/>
      <c r="AO4111" s="152"/>
      <c r="AP4111" s="152"/>
      <c r="AQ4111" s="152"/>
      <c r="AR4111" s="152"/>
      <c r="AS4111" s="152"/>
      <c r="AT4111" s="152"/>
      <c r="AU4111" s="153"/>
      <c r="AV4111" s="479"/>
      <c r="AW4111" s="479"/>
      <c r="AX4111" s="442"/>
      <c r="AY4111" s="153"/>
      <c r="AZ4111" s="152"/>
      <c r="BA4111" s="152"/>
      <c r="BB4111" s="152"/>
      <c r="BC4111" s="152"/>
      <c r="BD4111" s="152"/>
      <c r="BE4111" s="152"/>
      <c r="BF4111" s="152"/>
      <c r="BG4111" s="152"/>
      <c r="BH4111" s="152"/>
      <c r="BI4111" s="153"/>
      <c r="BJ4111" s="153"/>
      <c r="BK4111" s="153"/>
      <c r="BL4111" s="153"/>
      <c r="BM4111" s="153"/>
      <c r="BN4111" s="153"/>
      <c r="BO4111" s="153"/>
      <c r="BP4111" s="153"/>
      <c r="BQ4111" s="153"/>
      <c r="BR4111" s="153"/>
      <c r="BS4111" s="153"/>
      <c r="BT4111" s="153"/>
      <c r="BU4111" s="153"/>
      <c r="BV4111" s="153"/>
      <c r="BW4111" s="153"/>
      <c r="BX4111" s="153"/>
      <c r="BY4111" s="153"/>
      <c r="BZ4111" s="153"/>
      <c r="CA4111" s="152"/>
      <c r="CB4111" s="152"/>
    </row>
    <row r="4112" spans="1:80" s="87" customFormat="1" x14ac:dyDescent="0.2">
      <c r="A4112" s="152"/>
      <c r="B4112" s="683"/>
      <c r="C4112" s="683"/>
      <c r="D4112" s="698"/>
      <c r="E4112" s="215"/>
      <c r="F4112" s="215"/>
      <c r="G4112" s="153"/>
      <c r="H4112" s="153"/>
      <c r="I4112" s="153"/>
      <c r="J4112" s="153"/>
      <c r="K4112" s="153"/>
      <c r="L4112" s="653"/>
      <c r="M4112" s="663">
        <v>33529</v>
      </c>
      <c r="N4112" s="600">
        <v>2.1520000000000001E-2</v>
      </c>
      <c r="O4112" s="604"/>
      <c r="P4112" s="250"/>
      <c r="Q4112" s="250"/>
      <c r="R4112" s="250"/>
      <c r="S4112" s="250"/>
      <c r="T4112" s="250"/>
      <c r="U4112" s="250"/>
      <c r="V4112" s="250"/>
      <c r="W4112" s="250"/>
      <c r="X4112" s="250"/>
      <c r="Y4112" s="250"/>
      <c r="Z4112" s="150"/>
      <c r="AA4112" s="150"/>
      <c r="AB4112" s="152"/>
      <c r="AC4112" s="152"/>
      <c r="AD4112" s="223"/>
      <c r="AE4112" s="223"/>
      <c r="AF4112" s="223"/>
      <c r="AG4112" s="223"/>
      <c r="AH4112" s="341"/>
      <c r="AI4112" s="218"/>
      <c r="AJ4112" s="218"/>
      <c r="AK4112" s="153"/>
      <c r="AL4112" s="152"/>
      <c r="AM4112" s="152"/>
      <c r="AN4112" s="152"/>
      <c r="AO4112" s="152"/>
      <c r="AP4112" s="152"/>
      <c r="AQ4112" s="152"/>
      <c r="AR4112" s="152"/>
      <c r="AS4112" s="152"/>
      <c r="AT4112" s="152"/>
      <c r="AU4112" s="153"/>
      <c r="AV4112" s="479"/>
      <c r="AW4112" s="479"/>
      <c r="AX4112" s="442"/>
      <c r="AY4112" s="153"/>
      <c r="AZ4112" s="152"/>
      <c r="BA4112" s="152"/>
      <c r="BB4112" s="152"/>
      <c r="BC4112" s="152"/>
      <c r="BD4112" s="152"/>
      <c r="BE4112" s="152"/>
      <c r="BF4112" s="152"/>
      <c r="BG4112" s="152"/>
      <c r="BH4112" s="152"/>
      <c r="BI4112" s="153"/>
      <c r="BJ4112" s="153"/>
      <c r="BK4112" s="153"/>
      <c r="BL4112" s="153"/>
      <c r="BM4112" s="153"/>
      <c r="BN4112" s="153"/>
      <c r="BO4112" s="153"/>
      <c r="BP4112" s="153"/>
      <c r="BQ4112" s="153"/>
      <c r="BR4112" s="153"/>
      <c r="BS4112" s="153"/>
      <c r="BT4112" s="153"/>
      <c r="BU4112" s="153"/>
      <c r="BV4112" s="153"/>
      <c r="BW4112" s="153"/>
      <c r="BX4112" s="153"/>
      <c r="BY4112" s="153"/>
      <c r="BZ4112" s="153"/>
      <c r="CA4112" s="152"/>
      <c r="CB4112" s="152"/>
    </row>
    <row r="4113" spans="1:80" s="87" customFormat="1" x14ac:dyDescent="0.2">
      <c r="A4113" s="152"/>
      <c r="B4113" s="683"/>
      <c r="C4113" s="683"/>
      <c r="D4113" s="698"/>
      <c r="E4113" s="215"/>
      <c r="F4113" s="215"/>
      <c r="G4113" s="153"/>
      <c r="H4113" s="153"/>
      <c r="I4113" s="153"/>
      <c r="J4113" s="153"/>
      <c r="K4113" s="153"/>
      <c r="L4113" s="653"/>
      <c r="M4113" s="663">
        <v>33688</v>
      </c>
      <c r="N4113" s="600">
        <v>0.12343999999999999</v>
      </c>
      <c r="O4113" s="604"/>
      <c r="P4113" s="250"/>
      <c r="Q4113" s="250"/>
      <c r="R4113" s="250"/>
      <c r="S4113" s="250"/>
      <c r="T4113" s="250"/>
      <c r="U4113" s="250"/>
      <c r="V4113" s="250"/>
      <c r="W4113" s="250"/>
      <c r="X4113" s="250"/>
      <c r="Y4113" s="250"/>
      <c r="Z4113" s="150"/>
      <c r="AA4113" s="150"/>
      <c r="AB4113" s="152"/>
      <c r="AC4113" s="152"/>
      <c r="AD4113" s="223">
        <v>2.1944880000000002</v>
      </c>
      <c r="AE4113" s="223">
        <v>0.18160404199999999</v>
      </c>
      <c r="AF4113" s="223">
        <v>0.39851525999999998</v>
      </c>
      <c r="AG4113" s="223">
        <v>0.30983431</v>
      </c>
      <c r="AH4113" s="341"/>
      <c r="AI4113" s="218"/>
      <c r="AJ4113" s="218"/>
      <c r="AK4113" s="153"/>
      <c r="AL4113" s="152"/>
      <c r="AM4113" s="152"/>
      <c r="AN4113" s="152"/>
      <c r="AO4113" s="152"/>
      <c r="AP4113" s="152"/>
      <c r="AQ4113" s="152"/>
      <c r="AR4113" s="152"/>
      <c r="AS4113" s="152"/>
      <c r="AT4113" s="152"/>
      <c r="AU4113" s="153"/>
      <c r="AV4113" s="479"/>
      <c r="AW4113" s="479"/>
      <c r="AX4113" s="442"/>
      <c r="AY4113" s="153"/>
      <c r="AZ4113" s="152"/>
      <c r="BA4113" s="152"/>
      <c r="BB4113" s="152"/>
      <c r="BC4113" s="152"/>
      <c r="BD4113" s="152"/>
      <c r="BE4113" s="152"/>
      <c r="BF4113" s="152"/>
      <c r="BG4113" s="152"/>
      <c r="BH4113" s="152"/>
      <c r="BI4113" s="153"/>
      <c r="BJ4113" s="153"/>
      <c r="BK4113" s="153"/>
      <c r="BL4113" s="153"/>
      <c r="BM4113" s="153"/>
      <c r="BN4113" s="153"/>
      <c r="BO4113" s="153"/>
      <c r="BP4113" s="153"/>
      <c r="BQ4113" s="153"/>
      <c r="BR4113" s="153"/>
      <c r="BS4113" s="153"/>
      <c r="BT4113" s="153"/>
      <c r="BU4113" s="153"/>
      <c r="BV4113" s="153"/>
      <c r="BW4113" s="153"/>
      <c r="BX4113" s="153"/>
      <c r="BY4113" s="153"/>
      <c r="BZ4113" s="153"/>
      <c r="CA4113" s="152"/>
      <c r="CB4113" s="152"/>
    </row>
    <row r="4114" spans="1:80" s="87" customFormat="1" x14ac:dyDescent="0.2">
      <c r="A4114" s="152"/>
      <c r="B4114" s="683"/>
      <c r="C4114" s="683"/>
      <c r="D4114" s="698"/>
      <c r="E4114" s="215"/>
      <c r="F4114" s="215"/>
      <c r="G4114" s="153"/>
      <c r="H4114" s="153"/>
      <c r="I4114" s="153"/>
      <c r="J4114" s="153"/>
      <c r="K4114" s="153"/>
      <c r="L4114" s="653"/>
      <c r="M4114" s="663">
        <v>33697</v>
      </c>
      <c r="N4114" s="600">
        <v>0.12570999999999999</v>
      </c>
      <c r="O4114" s="604"/>
      <c r="P4114" s="250"/>
      <c r="Q4114" s="250"/>
      <c r="R4114" s="250"/>
      <c r="S4114" s="250"/>
      <c r="T4114" s="250"/>
      <c r="U4114" s="250"/>
      <c r="V4114" s="250"/>
      <c r="W4114" s="250"/>
      <c r="X4114" s="250"/>
      <c r="Y4114" s="250"/>
      <c r="Z4114" s="150"/>
      <c r="AA4114" s="150"/>
      <c r="AB4114" s="152"/>
      <c r="AC4114" s="152"/>
      <c r="AD4114" s="223">
        <v>2.1335299999999999</v>
      </c>
      <c r="AE4114" s="223">
        <v>0.17699590700000001</v>
      </c>
      <c r="AF4114" s="223">
        <v>0.37761411</v>
      </c>
      <c r="AG4114" s="223">
        <v>0.33290715900000001</v>
      </c>
      <c r="AH4114" s="341"/>
      <c r="AI4114" s="218"/>
      <c r="AJ4114" s="218"/>
      <c r="AK4114" s="153"/>
      <c r="AL4114" s="152"/>
      <c r="AM4114" s="152"/>
      <c r="AN4114" s="152"/>
      <c r="AO4114" s="152"/>
      <c r="AP4114" s="152"/>
      <c r="AQ4114" s="152"/>
      <c r="AR4114" s="152"/>
      <c r="AS4114" s="152"/>
      <c r="AT4114" s="152"/>
      <c r="AU4114" s="153"/>
      <c r="AV4114" s="479"/>
      <c r="AW4114" s="479"/>
      <c r="AX4114" s="442"/>
      <c r="AY4114" s="153"/>
      <c r="AZ4114" s="152"/>
      <c r="BA4114" s="152"/>
      <c r="BB4114" s="152"/>
      <c r="BC4114" s="152"/>
      <c r="BD4114" s="152"/>
      <c r="BE4114" s="152"/>
      <c r="BF4114" s="152"/>
      <c r="BG4114" s="152"/>
      <c r="BH4114" s="152"/>
      <c r="BI4114" s="153"/>
      <c r="BJ4114" s="153"/>
      <c r="BK4114" s="153"/>
      <c r="BL4114" s="153"/>
      <c r="BM4114" s="153"/>
      <c r="BN4114" s="153"/>
      <c r="BO4114" s="153"/>
      <c r="BP4114" s="153"/>
      <c r="BQ4114" s="153"/>
      <c r="BR4114" s="153"/>
      <c r="BS4114" s="153"/>
      <c r="BT4114" s="153"/>
      <c r="BU4114" s="153"/>
      <c r="BV4114" s="153"/>
      <c r="BW4114" s="153"/>
      <c r="BX4114" s="153"/>
      <c r="BY4114" s="153"/>
      <c r="BZ4114" s="153"/>
      <c r="CA4114" s="152"/>
      <c r="CB4114" s="152"/>
    </row>
    <row r="4115" spans="1:80" s="87" customFormat="1" x14ac:dyDescent="0.2">
      <c r="A4115" s="152"/>
      <c r="B4115" s="683"/>
      <c r="C4115" s="683"/>
      <c r="D4115" s="698"/>
      <c r="E4115" s="215"/>
      <c r="F4115" s="215"/>
      <c r="G4115" s="153"/>
      <c r="H4115" s="153"/>
      <c r="I4115" s="153"/>
      <c r="J4115" s="153"/>
      <c r="K4115" s="153"/>
      <c r="L4115" s="653"/>
      <c r="M4115" s="663">
        <v>33709</v>
      </c>
      <c r="N4115" s="600">
        <v>0.15997</v>
      </c>
      <c r="O4115" s="604"/>
      <c r="P4115" s="250"/>
      <c r="Q4115" s="250"/>
      <c r="R4115" s="250"/>
      <c r="S4115" s="250"/>
      <c r="T4115" s="250"/>
      <c r="U4115" s="250"/>
      <c r="V4115" s="250"/>
      <c r="W4115" s="250"/>
      <c r="X4115" s="250"/>
      <c r="Y4115" s="250"/>
      <c r="Z4115" s="150"/>
      <c r="AA4115" s="150"/>
      <c r="AB4115" s="152"/>
      <c r="AC4115" s="152"/>
      <c r="AD4115" s="223">
        <v>2.1944880000000002</v>
      </c>
      <c r="AE4115" s="223">
        <v>0.18757284599999999</v>
      </c>
      <c r="AF4115" s="223">
        <v>0.41161331400000001</v>
      </c>
      <c r="AG4115" s="223">
        <v>0.388639923</v>
      </c>
      <c r="AH4115" s="341"/>
      <c r="AI4115" s="218"/>
      <c r="AJ4115" s="218"/>
      <c r="AK4115" s="153"/>
      <c r="AL4115" s="152"/>
      <c r="AM4115" s="152"/>
      <c r="AN4115" s="152"/>
      <c r="AO4115" s="152"/>
      <c r="AP4115" s="152"/>
      <c r="AQ4115" s="152"/>
      <c r="AR4115" s="152"/>
      <c r="AS4115" s="152"/>
      <c r="AT4115" s="152"/>
      <c r="AU4115" s="153"/>
      <c r="AV4115" s="479"/>
      <c r="AW4115" s="479"/>
      <c r="AX4115" s="442"/>
      <c r="AY4115" s="153"/>
      <c r="AZ4115" s="152"/>
      <c r="BA4115" s="152"/>
      <c r="BB4115" s="152"/>
      <c r="BC4115" s="152"/>
      <c r="BD4115" s="152"/>
      <c r="BE4115" s="152"/>
      <c r="BF4115" s="152"/>
      <c r="BG4115" s="152"/>
      <c r="BH4115" s="152"/>
      <c r="BI4115" s="153"/>
      <c r="BJ4115" s="153"/>
      <c r="BK4115" s="153"/>
      <c r="BL4115" s="153"/>
      <c r="BM4115" s="153"/>
      <c r="BN4115" s="153"/>
      <c r="BO4115" s="153"/>
      <c r="BP4115" s="153"/>
      <c r="BQ4115" s="153"/>
      <c r="BR4115" s="153"/>
      <c r="BS4115" s="153"/>
      <c r="BT4115" s="153"/>
      <c r="BU4115" s="153"/>
      <c r="BV4115" s="153"/>
      <c r="BW4115" s="153"/>
      <c r="BX4115" s="153"/>
      <c r="BY4115" s="153"/>
      <c r="BZ4115" s="153"/>
      <c r="CA4115" s="152"/>
      <c r="CB4115" s="152"/>
    </row>
    <row r="4116" spans="1:80" s="87" customFormat="1" x14ac:dyDescent="0.2">
      <c r="A4116" s="152"/>
      <c r="B4116" s="683"/>
      <c r="C4116" s="683"/>
      <c r="D4116" s="698"/>
      <c r="E4116" s="215"/>
      <c r="F4116" s="215"/>
      <c r="G4116" s="153"/>
      <c r="H4116" s="153"/>
      <c r="I4116" s="153"/>
      <c r="J4116" s="153"/>
      <c r="K4116" s="153"/>
      <c r="L4116" s="653"/>
      <c r="M4116" s="663">
        <v>33722</v>
      </c>
      <c r="N4116" s="600">
        <v>0.19733999999999999</v>
      </c>
      <c r="O4116" s="604"/>
      <c r="P4116" s="250"/>
      <c r="Q4116" s="250"/>
      <c r="R4116" s="250"/>
      <c r="S4116" s="250"/>
      <c r="T4116" s="250"/>
      <c r="U4116" s="250"/>
      <c r="V4116" s="250"/>
      <c r="W4116" s="250"/>
      <c r="X4116" s="250"/>
      <c r="Y4116" s="250"/>
      <c r="Z4116" s="150"/>
      <c r="AA4116" s="150"/>
      <c r="AB4116" s="152"/>
      <c r="AC4116" s="152"/>
      <c r="AD4116" s="223">
        <v>2.2249669999999999</v>
      </c>
      <c r="AE4116" s="223">
        <v>0.211891678</v>
      </c>
      <c r="AF4116" s="223">
        <v>0.47143705000000002</v>
      </c>
      <c r="AG4116" s="223">
        <v>0.41859828599999999</v>
      </c>
      <c r="AH4116" s="341"/>
      <c r="AI4116" s="218"/>
      <c r="AJ4116" s="218"/>
      <c r="AK4116" s="153"/>
      <c r="AL4116" s="152"/>
      <c r="AM4116" s="152"/>
      <c r="AN4116" s="152"/>
      <c r="AO4116" s="152"/>
      <c r="AP4116" s="152"/>
      <c r="AQ4116" s="152"/>
      <c r="AR4116" s="152"/>
      <c r="AS4116" s="152"/>
      <c r="AT4116" s="152"/>
      <c r="AU4116" s="153"/>
      <c r="AV4116" s="479"/>
      <c r="AW4116" s="479"/>
      <c r="AX4116" s="442"/>
      <c r="AY4116" s="153"/>
      <c r="AZ4116" s="152"/>
      <c r="BA4116" s="152"/>
      <c r="BB4116" s="152"/>
      <c r="BC4116" s="152"/>
      <c r="BD4116" s="152"/>
      <c r="BE4116" s="152"/>
      <c r="BF4116" s="152"/>
      <c r="BG4116" s="152"/>
      <c r="BH4116" s="152"/>
      <c r="BI4116" s="153"/>
      <c r="BJ4116" s="153"/>
      <c r="BK4116" s="153"/>
      <c r="BL4116" s="153"/>
      <c r="BM4116" s="153"/>
      <c r="BN4116" s="153"/>
      <c r="BO4116" s="153"/>
      <c r="BP4116" s="153"/>
      <c r="BQ4116" s="153"/>
      <c r="BR4116" s="153"/>
      <c r="BS4116" s="153"/>
      <c r="BT4116" s="153"/>
      <c r="BU4116" s="153"/>
      <c r="BV4116" s="153"/>
      <c r="BW4116" s="153"/>
      <c r="BX4116" s="153"/>
      <c r="BY4116" s="153"/>
      <c r="BZ4116" s="153"/>
      <c r="CA4116" s="152"/>
      <c r="CB4116" s="152"/>
    </row>
    <row r="4117" spans="1:80" s="87" customFormat="1" x14ac:dyDescent="0.2">
      <c r="A4117" s="152"/>
      <c r="B4117" s="683"/>
      <c r="C4117" s="683"/>
      <c r="D4117" s="698"/>
      <c r="E4117" s="215"/>
      <c r="F4117" s="215"/>
      <c r="G4117" s="153"/>
      <c r="H4117" s="153"/>
      <c r="I4117" s="153"/>
      <c r="J4117" s="153"/>
      <c r="K4117" s="153"/>
      <c r="L4117" s="653"/>
      <c r="M4117" s="663">
        <v>33729</v>
      </c>
      <c r="N4117" s="600">
        <v>0.23018</v>
      </c>
      <c r="O4117" s="604"/>
      <c r="P4117" s="250"/>
      <c r="Q4117" s="250"/>
      <c r="R4117" s="250"/>
      <c r="S4117" s="250"/>
      <c r="T4117" s="250"/>
      <c r="U4117" s="250"/>
      <c r="V4117" s="250"/>
      <c r="W4117" s="250"/>
      <c r="X4117" s="250"/>
      <c r="Y4117" s="250"/>
      <c r="Z4117" s="150"/>
      <c r="AA4117" s="150"/>
      <c r="AB4117" s="152"/>
      <c r="AC4117" s="152"/>
      <c r="AD4117" s="223">
        <v>2.2554460000000001</v>
      </c>
      <c r="AE4117" s="223">
        <v>0.22653310800000001</v>
      </c>
      <c r="AF4117" s="223">
        <v>0.51091699999999995</v>
      </c>
      <c r="AG4117" s="223">
        <v>0.450535036</v>
      </c>
      <c r="AH4117" s="341"/>
      <c r="AI4117" s="218"/>
      <c r="AJ4117" s="218"/>
      <c r="AK4117" s="153"/>
      <c r="AL4117" s="152"/>
      <c r="AM4117" s="152"/>
      <c r="AN4117" s="152"/>
      <c r="AO4117" s="152"/>
      <c r="AP4117" s="152"/>
      <c r="AQ4117" s="152"/>
      <c r="AR4117" s="152"/>
      <c r="AS4117" s="152"/>
      <c r="AT4117" s="152"/>
      <c r="AU4117" s="153"/>
      <c r="AV4117" s="479"/>
      <c r="AW4117" s="479"/>
      <c r="AX4117" s="442"/>
      <c r="AY4117" s="153"/>
      <c r="AZ4117" s="152"/>
      <c r="BA4117" s="152"/>
      <c r="BB4117" s="152"/>
      <c r="BC4117" s="152"/>
      <c r="BD4117" s="152"/>
      <c r="BE4117" s="152"/>
      <c r="BF4117" s="152"/>
      <c r="BG4117" s="152"/>
      <c r="BH4117" s="152"/>
      <c r="BI4117" s="153"/>
      <c r="BJ4117" s="153"/>
      <c r="BK4117" s="153"/>
      <c r="BL4117" s="153"/>
      <c r="BM4117" s="153"/>
      <c r="BN4117" s="153"/>
      <c r="BO4117" s="153"/>
      <c r="BP4117" s="153"/>
      <c r="BQ4117" s="153"/>
      <c r="BR4117" s="153"/>
      <c r="BS4117" s="153"/>
      <c r="BT4117" s="153"/>
      <c r="BU4117" s="153"/>
      <c r="BV4117" s="153"/>
      <c r="BW4117" s="153"/>
      <c r="BX4117" s="153"/>
      <c r="BY4117" s="153"/>
      <c r="BZ4117" s="153"/>
      <c r="CA4117" s="152"/>
      <c r="CB4117" s="152"/>
    </row>
    <row r="4118" spans="1:80" s="87" customFormat="1" x14ac:dyDescent="0.2">
      <c r="A4118" s="152"/>
      <c r="B4118" s="683"/>
      <c r="C4118" s="683"/>
      <c r="D4118" s="698"/>
      <c r="E4118" s="215"/>
      <c r="F4118" s="215"/>
      <c r="G4118" s="153"/>
      <c r="H4118" s="153"/>
      <c r="I4118" s="153"/>
      <c r="J4118" s="153"/>
      <c r="K4118" s="153"/>
      <c r="L4118" s="653"/>
      <c r="M4118" s="663">
        <v>33744</v>
      </c>
      <c r="N4118" s="600">
        <v>0.19338</v>
      </c>
      <c r="O4118" s="604"/>
      <c r="P4118" s="250"/>
      <c r="Q4118" s="250"/>
      <c r="R4118" s="250"/>
      <c r="S4118" s="250"/>
      <c r="T4118" s="250"/>
      <c r="U4118" s="250"/>
      <c r="V4118" s="250"/>
      <c r="W4118" s="250"/>
      <c r="X4118" s="250"/>
      <c r="Y4118" s="250"/>
      <c r="Z4118" s="150"/>
      <c r="AA4118" s="150"/>
      <c r="AB4118" s="152"/>
      <c r="AC4118" s="152"/>
      <c r="AD4118" s="223">
        <v>2.1944880000000002</v>
      </c>
      <c r="AE4118" s="223">
        <v>0.22181938900000001</v>
      </c>
      <c r="AF4118" s="223">
        <v>0.48676456000000001</v>
      </c>
      <c r="AG4118" s="223">
        <v>0.39727398899999999</v>
      </c>
      <c r="AH4118" s="341"/>
      <c r="AI4118" s="218"/>
      <c r="AJ4118" s="218"/>
      <c r="AK4118" s="153"/>
      <c r="AL4118" s="152"/>
      <c r="AM4118" s="152"/>
      <c r="AN4118" s="152"/>
      <c r="AO4118" s="152"/>
      <c r="AP4118" s="152"/>
      <c r="AQ4118" s="152"/>
      <c r="AR4118" s="152"/>
      <c r="AS4118" s="152"/>
      <c r="AT4118" s="152"/>
      <c r="AU4118" s="153"/>
      <c r="AV4118" s="479"/>
      <c r="AW4118" s="479"/>
      <c r="AX4118" s="442"/>
      <c r="AY4118" s="153"/>
      <c r="AZ4118" s="152"/>
      <c r="BA4118" s="152"/>
      <c r="BB4118" s="152"/>
      <c r="BC4118" s="152"/>
      <c r="BD4118" s="152"/>
      <c r="BE4118" s="152"/>
      <c r="BF4118" s="152"/>
      <c r="BG4118" s="152"/>
      <c r="BH4118" s="152"/>
      <c r="BI4118" s="153"/>
      <c r="BJ4118" s="153"/>
      <c r="BK4118" s="153"/>
      <c r="BL4118" s="153"/>
      <c r="BM4118" s="153"/>
      <c r="BN4118" s="153"/>
      <c r="BO4118" s="153"/>
      <c r="BP4118" s="153"/>
      <c r="BQ4118" s="153"/>
      <c r="BR4118" s="153"/>
      <c r="BS4118" s="153"/>
      <c r="BT4118" s="153"/>
      <c r="BU4118" s="153"/>
      <c r="BV4118" s="153"/>
      <c r="BW4118" s="153"/>
      <c r="BX4118" s="153"/>
      <c r="BY4118" s="153"/>
      <c r="BZ4118" s="153"/>
      <c r="CA4118" s="152"/>
      <c r="CB4118" s="152"/>
    </row>
    <row r="4119" spans="1:80" s="87" customFormat="1" x14ac:dyDescent="0.2">
      <c r="A4119" s="152"/>
      <c r="B4119" s="683"/>
      <c r="C4119" s="683"/>
      <c r="D4119" s="698"/>
      <c r="E4119" s="215"/>
      <c r="F4119" s="215"/>
      <c r="G4119" s="153"/>
      <c r="H4119" s="153"/>
      <c r="I4119" s="153"/>
      <c r="J4119" s="153"/>
      <c r="K4119" s="153"/>
      <c r="L4119" s="653"/>
      <c r="M4119" s="663">
        <v>33770</v>
      </c>
      <c r="N4119" s="600">
        <v>9.5130000000000006E-2</v>
      </c>
      <c r="O4119" s="604"/>
      <c r="P4119" s="250"/>
      <c r="Q4119" s="250"/>
      <c r="R4119" s="250"/>
      <c r="S4119" s="250"/>
      <c r="T4119" s="250"/>
      <c r="U4119" s="250"/>
      <c r="V4119" s="250"/>
      <c r="W4119" s="250"/>
      <c r="X4119" s="250"/>
      <c r="Y4119" s="250"/>
      <c r="Z4119" s="150"/>
      <c r="AA4119" s="150"/>
      <c r="AB4119" s="152"/>
      <c r="AC4119" s="152"/>
      <c r="AD4119" s="223">
        <v>2.1640090000000001</v>
      </c>
      <c r="AE4119" s="223">
        <v>0.16630372700000001</v>
      </c>
      <c r="AF4119" s="223">
        <v>0.35987135599999998</v>
      </c>
      <c r="AG4119" s="223">
        <v>0.264350645</v>
      </c>
      <c r="AH4119" s="341"/>
      <c r="AI4119" s="218"/>
      <c r="AJ4119" s="218"/>
      <c r="AK4119" s="153"/>
      <c r="AL4119" s="152"/>
      <c r="AM4119" s="152"/>
      <c r="AN4119" s="152"/>
      <c r="AO4119" s="152"/>
      <c r="AP4119" s="152"/>
      <c r="AQ4119" s="152"/>
      <c r="AR4119" s="152"/>
      <c r="AS4119" s="152"/>
      <c r="AT4119" s="152"/>
      <c r="AU4119" s="153"/>
      <c r="AV4119" s="479"/>
      <c r="AW4119" s="479"/>
      <c r="AX4119" s="442"/>
      <c r="AY4119" s="153"/>
      <c r="AZ4119" s="152"/>
      <c r="BA4119" s="152"/>
      <c r="BB4119" s="152"/>
      <c r="BC4119" s="152"/>
      <c r="BD4119" s="152"/>
      <c r="BE4119" s="152"/>
      <c r="BF4119" s="152"/>
      <c r="BG4119" s="152"/>
      <c r="BH4119" s="152"/>
      <c r="BI4119" s="153"/>
      <c r="BJ4119" s="153"/>
      <c r="BK4119" s="153"/>
      <c r="BL4119" s="153"/>
      <c r="BM4119" s="153"/>
      <c r="BN4119" s="153"/>
      <c r="BO4119" s="153"/>
      <c r="BP4119" s="153"/>
      <c r="BQ4119" s="153"/>
      <c r="BR4119" s="153"/>
      <c r="BS4119" s="153"/>
      <c r="BT4119" s="153"/>
      <c r="BU4119" s="153"/>
      <c r="BV4119" s="153"/>
      <c r="BW4119" s="153"/>
      <c r="BX4119" s="153"/>
      <c r="BY4119" s="153"/>
      <c r="BZ4119" s="153"/>
      <c r="CA4119" s="152"/>
      <c r="CB4119" s="152"/>
    </row>
    <row r="4120" spans="1:80" s="87" customFormat="1" x14ac:dyDescent="0.2">
      <c r="A4120" s="152"/>
      <c r="B4120" s="683"/>
      <c r="C4120" s="683"/>
      <c r="D4120" s="698"/>
      <c r="E4120" s="215"/>
      <c r="F4120" s="215"/>
      <c r="G4120" s="153"/>
      <c r="H4120" s="153"/>
      <c r="I4120" s="153"/>
      <c r="J4120" s="153"/>
      <c r="K4120" s="153"/>
      <c r="L4120" s="653"/>
      <c r="M4120" s="663">
        <v>34051</v>
      </c>
      <c r="N4120" s="600">
        <v>8.2390000000000005E-2</v>
      </c>
      <c r="O4120" s="604"/>
      <c r="P4120" s="250"/>
      <c r="Q4120" s="250"/>
      <c r="R4120" s="250"/>
      <c r="S4120" s="250"/>
      <c r="T4120" s="250"/>
      <c r="U4120" s="250"/>
      <c r="V4120" s="250"/>
      <c r="W4120" s="250"/>
      <c r="X4120" s="250"/>
      <c r="Y4120" s="250"/>
      <c r="Z4120" s="150"/>
      <c r="AA4120" s="150"/>
      <c r="AB4120" s="152"/>
      <c r="AC4120" s="152"/>
      <c r="AD4120" s="223">
        <v>1.9811350000000001</v>
      </c>
      <c r="AE4120" s="223">
        <v>0.162992314</v>
      </c>
      <c r="AF4120" s="223">
        <v>0.32289954399999998</v>
      </c>
      <c r="AG4120" s="223">
        <v>0.25428394700000001</v>
      </c>
      <c r="AH4120" s="341"/>
      <c r="AI4120" s="218"/>
      <c r="AJ4120" s="218"/>
      <c r="AK4120" s="153"/>
      <c r="AL4120" s="152"/>
      <c r="AM4120" s="152"/>
      <c r="AN4120" s="152"/>
      <c r="AO4120" s="152"/>
      <c r="AP4120" s="152"/>
      <c r="AQ4120" s="152"/>
      <c r="AR4120" s="152"/>
      <c r="AS4120" s="152"/>
      <c r="AT4120" s="152"/>
      <c r="AU4120" s="153"/>
      <c r="AV4120" s="479"/>
      <c r="AW4120" s="479"/>
      <c r="AX4120" s="442"/>
      <c r="AY4120" s="153"/>
      <c r="AZ4120" s="152"/>
      <c r="BA4120" s="152"/>
      <c r="BB4120" s="152"/>
      <c r="BC4120" s="152"/>
      <c r="BD4120" s="152"/>
      <c r="BE4120" s="152"/>
      <c r="BF4120" s="152"/>
      <c r="BG4120" s="152"/>
      <c r="BH4120" s="152"/>
      <c r="BI4120" s="153"/>
      <c r="BJ4120" s="153"/>
      <c r="BK4120" s="153"/>
      <c r="BL4120" s="153"/>
      <c r="BM4120" s="153"/>
      <c r="BN4120" s="153"/>
      <c r="BO4120" s="153"/>
      <c r="BP4120" s="153"/>
      <c r="BQ4120" s="153"/>
      <c r="BR4120" s="153"/>
      <c r="BS4120" s="153"/>
      <c r="BT4120" s="153"/>
      <c r="BU4120" s="153"/>
      <c r="BV4120" s="153"/>
      <c r="BW4120" s="153"/>
      <c r="BX4120" s="153"/>
      <c r="BY4120" s="153"/>
      <c r="BZ4120" s="153"/>
      <c r="CA4120" s="152"/>
      <c r="CB4120" s="152"/>
    </row>
    <row r="4121" spans="1:80" s="87" customFormat="1" x14ac:dyDescent="0.2">
      <c r="A4121" s="152"/>
      <c r="B4121" s="683"/>
      <c r="C4121" s="683"/>
      <c r="D4121" s="698"/>
      <c r="E4121" s="215"/>
      <c r="F4121" s="215"/>
      <c r="G4121" s="153"/>
      <c r="H4121" s="153"/>
      <c r="I4121" s="153"/>
      <c r="J4121" s="153"/>
      <c r="K4121" s="153"/>
      <c r="L4121" s="653"/>
      <c r="M4121" s="663">
        <v>34059</v>
      </c>
      <c r="N4121" s="600">
        <v>0.15883</v>
      </c>
      <c r="O4121" s="604"/>
      <c r="P4121" s="250"/>
      <c r="Q4121" s="250"/>
      <c r="R4121" s="250"/>
      <c r="S4121" s="250"/>
      <c r="T4121" s="250"/>
      <c r="U4121" s="250"/>
      <c r="V4121" s="250"/>
      <c r="W4121" s="250"/>
      <c r="X4121" s="250"/>
      <c r="Y4121" s="250"/>
      <c r="Z4121" s="150"/>
      <c r="AA4121" s="150"/>
      <c r="AB4121" s="152"/>
      <c r="AC4121" s="152"/>
      <c r="AD4121" s="223">
        <v>2.2249669999999999</v>
      </c>
      <c r="AE4121" s="223">
        <v>0.17400168799999999</v>
      </c>
      <c r="AF4121" s="223">
        <v>0.38713574499999998</v>
      </c>
      <c r="AG4121" s="223">
        <v>0.41028719899999999</v>
      </c>
      <c r="AH4121" s="341"/>
      <c r="AI4121" s="218"/>
      <c r="AJ4121" s="218"/>
      <c r="AK4121" s="153"/>
      <c r="AL4121" s="152"/>
      <c r="AM4121" s="152"/>
      <c r="AN4121" s="152"/>
      <c r="AO4121" s="152"/>
      <c r="AP4121" s="152"/>
      <c r="AQ4121" s="152"/>
      <c r="AR4121" s="152"/>
      <c r="AS4121" s="152"/>
      <c r="AT4121" s="152"/>
      <c r="AU4121" s="153"/>
      <c r="AV4121" s="479"/>
      <c r="AW4121" s="479"/>
      <c r="AX4121" s="442"/>
      <c r="AY4121" s="153"/>
      <c r="AZ4121" s="152"/>
      <c r="BA4121" s="152"/>
      <c r="BB4121" s="152"/>
      <c r="BC4121" s="152"/>
      <c r="BD4121" s="152"/>
      <c r="BE4121" s="152"/>
      <c r="BF4121" s="152"/>
      <c r="BG4121" s="152"/>
      <c r="BH4121" s="152"/>
      <c r="BI4121" s="153"/>
      <c r="BJ4121" s="153"/>
      <c r="BK4121" s="153"/>
      <c r="BL4121" s="153"/>
      <c r="BM4121" s="153"/>
      <c r="BN4121" s="153"/>
      <c r="BO4121" s="153"/>
      <c r="BP4121" s="153"/>
      <c r="BQ4121" s="153"/>
      <c r="BR4121" s="153"/>
      <c r="BS4121" s="153"/>
      <c r="BT4121" s="153"/>
      <c r="BU4121" s="153"/>
      <c r="BV4121" s="153"/>
      <c r="BW4121" s="153"/>
      <c r="BX4121" s="153"/>
      <c r="BY4121" s="153"/>
      <c r="BZ4121" s="153"/>
      <c r="CA4121" s="152"/>
      <c r="CB4121" s="152"/>
    </row>
    <row r="4122" spans="1:80" s="87" customFormat="1" x14ac:dyDescent="0.2">
      <c r="A4122" s="152"/>
      <c r="B4122" s="683"/>
      <c r="C4122" s="683"/>
      <c r="D4122" s="698"/>
      <c r="E4122" s="215"/>
      <c r="F4122" s="215"/>
      <c r="G4122" s="153"/>
      <c r="H4122" s="153"/>
      <c r="I4122" s="153"/>
      <c r="J4122" s="153"/>
      <c r="K4122" s="153"/>
      <c r="L4122" s="653"/>
      <c r="M4122" s="663">
        <v>34064</v>
      </c>
      <c r="N4122" s="600">
        <v>0.20074</v>
      </c>
      <c r="O4122" s="604"/>
      <c r="P4122" s="250"/>
      <c r="Q4122" s="250"/>
      <c r="R4122" s="250"/>
      <c r="S4122" s="250"/>
      <c r="T4122" s="250"/>
      <c r="U4122" s="250"/>
      <c r="V4122" s="250"/>
      <c r="W4122" s="250"/>
      <c r="X4122" s="250"/>
      <c r="Y4122" s="250"/>
      <c r="Z4122" s="150"/>
      <c r="AA4122" s="150"/>
      <c r="AB4122" s="152"/>
      <c r="AC4122" s="152"/>
      <c r="AD4122" s="223">
        <v>2.1944880000000002</v>
      </c>
      <c r="AE4122" s="223">
        <v>0.202177367</v>
      </c>
      <c r="AF4122" s="223">
        <v>0.44366174400000002</v>
      </c>
      <c r="AG4122" s="223">
        <v>0.45252635899999999</v>
      </c>
      <c r="AH4122" s="341"/>
      <c r="AI4122" s="218"/>
      <c r="AJ4122" s="218"/>
      <c r="AK4122" s="153"/>
      <c r="AL4122" s="152"/>
      <c r="AM4122" s="152"/>
      <c r="AN4122" s="152"/>
      <c r="AO4122" s="152"/>
      <c r="AP4122" s="152"/>
      <c r="AQ4122" s="152"/>
      <c r="AR4122" s="152"/>
      <c r="AS4122" s="152"/>
      <c r="AT4122" s="152"/>
      <c r="AU4122" s="153"/>
      <c r="AV4122" s="479"/>
      <c r="AW4122" s="479"/>
      <c r="AX4122" s="442"/>
      <c r="AY4122" s="153"/>
      <c r="AZ4122" s="152"/>
      <c r="BA4122" s="152"/>
      <c r="BB4122" s="152"/>
      <c r="BC4122" s="152"/>
      <c r="BD4122" s="152"/>
      <c r="BE4122" s="152"/>
      <c r="BF4122" s="152"/>
      <c r="BG4122" s="152"/>
      <c r="BH4122" s="152"/>
      <c r="BI4122" s="153"/>
      <c r="BJ4122" s="153"/>
      <c r="BK4122" s="153"/>
      <c r="BL4122" s="153"/>
      <c r="BM4122" s="153"/>
      <c r="BN4122" s="153"/>
      <c r="BO4122" s="153"/>
      <c r="BP4122" s="153"/>
      <c r="BQ4122" s="153"/>
      <c r="BR4122" s="153"/>
      <c r="BS4122" s="153"/>
      <c r="BT4122" s="153"/>
      <c r="BU4122" s="153"/>
      <c r="BV4122" s="153"/>
      <c r="BW4122" s="153"/>
      <c r="BX4122" s="153"/>
      <c r="BY4122" s="153"/>
      <c r="BZ4122" s="153"/>
      <c r="CA4122" s="152"/>
      <c r="CB4122" s="152"/>
    </row>
    <row r="4123" spans="1:80" s="87" customFormat="1" x14ac:dyDescent="0.2">
      <c r="A4123" s="152"/>
      <c r="B4123" s="683"/>
      <c r="C4123" s="683"/>
      <c r="D4123" s="698"/>
      <c r="E4123" s="215"/>
      <c r="F4123" s="215"/>
      <c r="G4123" s="153"/>
      <c r="H4123" s="153"/>
      <c r="I4123" s="153"/>
      <c r="J4123" s="153"/>
      <c r="K4123" s="153"/>
      <c r="L4123" s="653"/>
      <c r="M4123" s="663">
        <v>34410</v>
      </c>
      <c r="N4123" s="600">
        <v>6.8229999999999999E-2</v>
      </c>
      <c r="O4123" s="604"/>
      <c r="P4123" s="250"/>
      <c r="Q4123" s="250"/>
      <c r="R4123" s="250"/>
      <c r="S4123" s="250"/>
      <c r="T4123" s="250"/>
      <c r="U4123" s="250"/>
      <c r="V4123" s="250"/>
      <c r="W4123" s="250"/>
      <c r="X4123" s="250"/>
      <c r="Y4123" s="250"/>
      <c r="Z4123" s="150"/>
      <c r="AA4123" s="150"/>
      <c r="AB4123" s="152"/>
      <c r="AC4123" s="152"/>
      <c r="AD4123" s="223">
        <v>1.9506559999999999</v>
      </c>
      <c r="AE4123" s="223">
        <v>0.14227502</v>
      </c>
      <c r="AF4123" s="223">
        <v>0.27752082500000003</v>
      </c>
      <c r="AG4123" s="223">
        <v>0.245872435</v>
      </c>
      <c r="AH4123" s="341"/>
      <c r="AI4123" s="218"/>
      <c r="AJ4123" s="218"/>
      <c r="AK4123" s="153"/>
      <c r="AL4123" s="152"/>
      <c r="AM4123" s="152"/>
      <c r="AN4123" s="152"/>
      <c r="AO4123" s="152"/>
      <c r="AP4123" s="152"/>
      <c r="AQ4123" s="152"/>
      <c r="AR4123" s="152"/>
      <c r="AS4123" s="152"/>
      <c r="AT4123" s="152"/>
      <c r="AU4123" s="153"/>
      <c r="AV4123" s="479"/>
      <c r="AW4123" s="479"/>
      <c r="AX4123" s="442"/>
      <c r="AY4123" s="153"/>
      <c r="AZ4123" s="152"/>
      <c r="BA4123" s="152"/>
      <c r="BB4123" s="152"/>
      <c r="BC4123" s="152"/>
      <c r="BD4123" s="152"/>
      <c r="BE4123" s="152"/>
      <c r="BF4123" s="152"/>
      <c r="BG4123" s="152"/>
      <c r="BH4123" s="152"/>
      <c r="BI4123" s="153"/>
      <c r="BJ4123" s="153"/>
      <c r="BK4123" s="153"/>
      <c r="BL4123" s="153"/>
      <c r="BM4123" s="153"/>
      <c r="BN4123" s="153"/>
      <c r="BO4123" s="153"/>
      <c r="BP4123" s="153"/>
      <c r="BQ4123" s="153"/>
      <c r="BR4123" s="153"/>
      <c r="BS4123" s="153"/>
      <c r="BT4123" s="153"/>
      <c r="BU4123" s="153"/>
      <c r="BV4123" s="153"/>
      <c r="BW4123" s="153"/>
      <c r="BX4123" s="153"/>
      <c r="BY4123" s="153"/>
      <c r="BZ4123" s="153"/>
      <c r="CA4123" s="152"/>
      <c r="CB4123" s="152"/>
    </row>
    <row r="4124" spans="1:80" s="87" customFormat="1" x14ac:dyDescent="0.2">
      <c r="A4124" s="152"/>
      <c r="B4124" s="683"/>
      <c r="C4124" s="683"/>
      <c r="D4124" s="698"/>
      <c r="E4124" s="215"/>
      <c r="F4124" s="215"/>
      <c r="G4124" s="153"/>
      <c r="H4124" s="153"/>
      <c r="I4124" s="153"/>
      <c r="J4124" s="153"/>
      <c r="K4124" s="153"/>
      <c r="L4124" s="653"/>
      <c r="M4124" s="663">
        <v>34429</v>
      </c>
      <c r="N4124" s="600">
        <v>9.5699999999999993E-2</v>
      </c>
      <c r="O4124" s="604"/>
      <c r="P4124" s="250"/>
      <c r="Q4124" s="250"/>
      <c r="R4124" s="250"/>
      <c r="S4124" s="250"/>
      <c r="T4124" s="250"/>
      <c r="U4124" s="250"/>
      <c r="V4124" s="250"/>
      <c r="W4124" s="250"/>
      <c r="X4124" s="250"/>
      <c r="Y4124" s="250"/>
      <c r="Z4124" s="150"/>
      <c r="AA4124" s="150"/>
      <c r="AB4124" s="152"/>
      <c r="AC4124" s="152"/>
      <c r="AD4124" s="223">
        <v>1.9506559999999999</v>
      </c>
      <c r="AE4124" s="223">
        <v>0.157752637</v>
      </c>
      <c r="AF4124" s="223">
        <v>0.30771137500000001</v>
      </c>
      <c r="AG4124" s="223">
        <v>0.31100081499999999</v>
      </c>
      <c r="AH4124" s="341"/>
      <c r="AI4124" s="218"/>
      <c r="AJ4124" s="218"/>
      <c r="AK4124" s="153"/>
      <c r="AL4124" s="152"/>
      <c r="AM4124" s="152"/>
      <c r="AN4124" s="152"/>
      <c r="AO4124" s="152"/>
      <c r="AP4124" s="152"/>
      <c r="AQ4124" s="152"/>
      <c r="AR4124" s="152"/>
      <c r="AS4124" s="152"/>
      <c r="AT4124" s="152"/>
      <c r="AU4124" s="153"/>
      <c r="AV4124" s="479"/>
      <c r="AW4124" s="479"/>
      <c r="AX4124" s="442"/>
      <c r="AY4124" s="153"/>
      <c r="AZ4124" s="152"/>
      <c r="BA4124" s="152"/>
      <c r="BB4124" s="152"/>
      <c r="BC4124" s="152"/>
      <c r="BD4124" s="152"/>
      <c r="BE4124" s="152"/>
      <c r="BF4124" s="152"/>
      <c r="BG4124" s="152"/>
      <c r="BH4124" s="152"/>
      <c r="BI4124" s="153"/>
      <c r="BJ4124" s="153"/>
      <c r="BK4124" s="153"/>
      <c r="BL4124" s="153"/>
      <c r="BM4124" s="153"/>
      <c r="BN4124" s="153"/>
      <c r="BO4124" s="153"/>
      <c r="BP4124" s="153"/>
      <c r="BQ4124" s="153"/>
      <c r="BR4124" s="153"/>
      <c r="BS4124" s="153"/>
      <c r="BT4124" s="153"/>
      <c r="BU4124" s="153"/>
      <c r="BV4124" s="153"/>
      <c r="BW4124" s="153"/>
      <c r="BX4124" s="153"/>
      <c r="BY4124" s="153"/>
      <c r="BZ4124" s="153"/>
      <c r="CA4124" s="152"/>
      <c r="CB4124" s="152"/>
    </row>
    <row r="4125" spans="1:80" s="87" customFormat="1" x14ac:dyDescent="0.2">
      <c r="A4125" s="152"/>
      <c r="B4125" s="683"/>
      <c r="C4125" s="683"/>
      <c r="D4125" s="698"/>
      <c r="E4125" s="215"/>
      <c r="F4125" s="215"/>
      <c r="G4125" s="153"/>
      <c r="H4125" s="153"/>
      <c r="I4125" s="153"/>
      <c r="J4125" s="153"/>
      <c r="K4125" s="153"/>
      <c r="L4125" s="653"/>
      <c r="M4125" s="663">
        <v>34437</v>
      </c>
      <c r="N4125" s="600">
        <v>0.10503999999999999</v>
      </c>
      <c r="O4125" s="604"/>
      <c r="P4125" s="250"/>
      <c r="Q4125" s="250"/>
      <c r="R4125" s="250"/>
      <c r="S4125" s="250"/>
      <c r="T4125" s="250"/>
      <c r="U4125" s="250"/>
      <c r="V4125" s="250"/>
      <c r="W4125" s="250"/>
      <c r="X4125" s="250"/>
      <c r="Y4125" s="250"/>
      <c r="Z4125" s="150"/>
      <c r="AA4125" s="150"/>
      <c r="AB4125" s="152"/>
      <c r="AC4125" s="152"/>
      <c r="AD4125" s="223">
        <v>1.9811350000000001</v>
      </c>
      <c r="AE4125" s="223">
        <v>0.15966306899999999</v>
      </c>
      <c r="AF4125" s="223">
        <v>0.31630406999999999</v>
      </c>
      <c r="AG4125" s="223">
        <v>0.332091307</v>
      </c>
      <c r="AH4125" s="341"/>
      <c r="AI4125" s="218"/>
      <c r="AJ4125" s="218"/>
      <c r="AK4125" s="153"/>
      <c r="AL4125" s="152"/>
      <c r="AM4125" s="152"/>
      <c r="AN4125" s="152"/>
      <c r="AO4125" s="152"/>
      <c r="AP4125" s="152"/>
      <c r="AQ4125" s="152"/>
      <c r="AR4125" s="152"/>
      <c r="AS4125" s="152"/>
      <c r="AT4125" s="152"/>
      <c r="AU4125" s="153"/>
      <c r="AV4125" s="479"/>
      <c r="AW4125" s="479"/>
      <c r="AX4125" s="442"/>
      <c r="AY4125" s="153"/>
      <c r="AZ4125" s="152"/>
      <c r="BA4125" s="152"/>
      <c r="BB4125" s="152"/>
      <c r="BC4125" s="152"/>
      <c r="BD4125" s="152"/>
      <c r="BE4125" s="152"/>
      <c r="BF4125" s="152"/>
      <c r="BG4125" s="152"/>
      <c r="BH4125" s="152"/>
      <c r="BI4125" s="153"/>
      <c r="BJ4125" s="153"/>
      <c r="BK4125" s="153"/>
      <c r="BL4125" s="153"/>
      <c r="BM4125" s="153"/>
      <c r="BN4125" s="153"/>
      <c r="BO4125" s="153"/>
      <c r="BP4125" s="153"/>
      <c r="BQ4125" s="153"/>
      <c r="BR4125" s="153"/>
      <c r="BS4125" s="153"/>
      <c r="BT4125" s="153"/>
      <c r="BU4125" s="153"/>
      <c r="BV4125" s="153"/>
      <c r="BW4125" s="153"/>
      <c r="BX4125" s="153"/>
      <c r="BY4125" s="153"/>
      <c r="BZ4125" s="153"/>
      <c r="CA4125" s="152"/>
      <c r="CB4125" s="152"/>
    </row>
    <row r="4126" spans="1:80" s="87" customFormat="1" x14ac:dyDescent="0.2">
      <c r="A4126" s="152"/>
      <c r="B4126" s="683"/>
      <c r="C4126" s="683"/>
      <c r="D4126" s="698"/>
      <c r="E4126" s="215"/>
      <c r="F4126" s="215"/>
      <c r="G4126" s="153"/>
      <c r="H4126" s="153"/>
      <c r="I4126" s="153"/>
      <c r="J4126" s="153"/>
      <c r="K4126" s="153"/>
      <c r="L4126" s="653"/>
      <c r="M4126" s="663">
        <v>34442</v>
      </c>
      <c r="N4126" s="600">
        <v>0.14552999999999999</v>
      </c>
      <c r="O4126" s="604"/>
      <c r="P4126" s="250"/>
      <c r="Q4126" s="250"/>
      <c r="R4126" s="250"/>
      <c r="S4126" s="250"/>
      <c r="T4126" s="250"/>
      <c r="U4126" s="250"/>
      <c r="V4126" s="250"/>
      <c r="W4126" s="250"/>
      <c r="X4126" s="250"/>
      <c r="Y4126" s="250"/>
      <c r="Z4126" s="150"/>
      <c r="AA4126" s="150"/>
      <c r="AB4126" s="152"/>
      <c r="AC4126" s="152"/>
      <c r="AD4126" s="223">
        <v>2.1030509999999998</v>
      </c>
      <c r="AE4126" s="223">
        <v>0.16630932600000001</v>
      </c>
      <c r="AF4126" s="223">
        <v>0.34974590999999999</v>
      </c>
      <c r="AG4126" s="223">
        <v>0.41610108899999998</v>
      </c>
      <c r="AH4126" s="341"/>
      <c r="AI4126" s="218"/>
      <c r="AJ4126" s="218"/>
      <c r="AK4126" s="153"/>
      <c r="AL4126" s="152"/>
      <c r="AM4126" s="152"/>
      <c r="AN4126" s="152"/>
      <c r="AO4126" s="152"/>
      <c r="AP4126" s="152"/>
      <c r="AQ4126" s="152"/>
      <c r="AR4126" s="152"/>
      <c r="AS4126" s="152"/>
      <c r="AT4126" s="152"/>
      <c r="AU4126" s="153"/>
      <c r="AV4126" s="479"/>
      <c r="AW4126" s="479"/>
      <c r="AX4126" s="442"/>
      <c r="AY4126" s="153"/>
      <c r="AZ4126" s="152"/>
      <c r="BA4126" s="152"/>
      <c r="BB4126" s="152"/>
      <c r="BC4126" s="152"/>
      <c r="BD4126" s="152"/>
      <c r="BE4126" s="152"/>
      <c r="BF4126" s="152"/>
      <c r="BG4126" s="152"/>
      <c r="BH4126" s="152"/>
      <c r="BI4126" s="153"/>
      <c r="BJ4126" s="153"/>
      <c r="BK4126" s="153"/>
      <c r="BL4126" s="153"/>
      <c r="BM4126" s="153"/>
      <c r="BN4126" s="153"/>
      <c r="BO4126" s="153"/>
      <c r="BP4126" s="153"/>
      <c r="BQ4126" s="153"/>
      <c r="BR4126" s="153"/>
      <c r="BS4126" s="153"/>
      <c r="BT4126" s="153"/>
      <c r="BU4126" s="153"/>
      <c r="BV4126" s="153"/>
      <c r="BW4126" s="153"/>
      <c r="BX4126" s="153"/>
      <c r="BY4126" s="153"/>
      <c r="BZ4126" s="153"/>
      <c r="CA4126" s="152"/>
      <c r="CB4126" s="152"/>
    </row>
    <row r="4127" spans="1:80" s="87" customFormat="1" x14ac:dyDescent="0.2">
      <c r="A4127" s="152"/>
      <c r="B4127" s="683"/>
      <c r="C4127" s="683"/>
      <c r="D4127" s="698"/>
      <c r="E4127" s="215"/>
      <c r="F4127" s="215"/>
      <c r="G4127" s="153"/>
      <c r="H4127" s="153"/>
      <c r="I4127" s="153"/>
      <c r="J4127" s="153"/>
      <c r="K4127" s="153"/>
      <c r="L4127" s="653"/>
      <c r="M4127" s="663">
        <v>34444</v>
      </c>
      <c r="N4127" s="600">
        <v>0.19338</v>
      </c>
      <c r="O4127" s="604"/>
      <c r="P4127" s="250"/>
      <c r="Q4127" s="250"/>
      <c r="R4127" s="250"/>
      <c r="S4127" s="250"/>
      <c r="T4127" s="250"/>
      <c r="U4127" s="250"/>
      <c r="V4127" s="250"/>
      <c r="W4127" s="250"/>
      <c r="X4127" s="250"/>
      <c r="Y4127" s="250"/>
      <c r="Z4127" s="150"/>
      <c r="AA4127" s="150"/>
      <c r="AB4127" s="152"/>
      <c r="AC4127" s="152"/>
      <c r="AD4127" s="223">
        <v>2.3164039999999999</v>
      </c>
      <c r="AE4127" s="223">
        <v>0.173890716</v>
      </c>
      <c r="AF4127" s="223">
        <v>0.402788384</v>
      </c>
      <c r="AG4127" s="223">
        <v>0.48010048399999999</v>
      </c>
      <c r="AH4127" s="341"/>
      <c r="AI4127" s="218"/>
      <c r="AJ4127" s="218"/>
      <c r="AK4127" s="153"/>
      <c r="AL4127" s="152"/>
      <c r="AM4127" s="152"/>
      <c r="AN4127" s="152"/>
      <c r="AO4127" s="152"/>
      <c r="AP4127" s="152"/>
      <c r="AQ4127" s="152"/>
      <c r="AR4127" s="152"/>
      <c r="AS4127" s="152"/>
      <c r="AT4127" s="152"/>
      <c r="AU4127" s="153"/>
      <c r="AV4127" s="479"/>
      <c r="AW4127" s="479"/>
      <c r="AX4127" s="442"/>
      <c r="AY4127" s="153"/>
      <c r="AZ4127" s="152"/>
      <c r="BA4127" s="152"/>
      <c r="BB4127" s="152"/>
      <c r="BC4127" s="152"/>
      <c r="BD4127" s="152"/>
      <c r="BE4127" s="152"/>
      <c r="BF4127" s="152"/>
      <c r="BG4127" s="152"/>
      <c r="BH4127" s="152"/>
      <c r="BI4127" s="153"/>
      <c r="BJ4127" s="153"/>
      <c r="BK4127" s="153"/>
      <c r="BL4127" s="153"/>
      <c r="BM4127" s="153"/>
      <c r="BN4127" s="153"/>
      <c r="BO4127" s="153"/>
      <c r="BP4127" s="153"/>
      <c r="BQ4127" s="153"/>
      <c r="BR4127" s="153"/>
      <c r="BS4127" s="153"/>
      <c r="BT4127" s="153"/>
      <c r="BU4127" s="153"/>
      <c r="BV4127" s="153"/>
      <c r="BW4127" s="153"/>
      <c r="BX4127" s="153"/>
      <c r="BY4127" s="153"/>
      <c r="BZ4127" s="153"/>
      <c r="CA4127" s="152"/>
      <c r="CB4127" s="152"/>
    </row>
    <row r="4128" spans="1:80" s="87" customFormat="1" x14ac:dyDescent="0.2">
      <c r="A4128" s="152"/>
      <c r="B4128" s="683"/>
      <c r="C4128" s="683"/>
      <c r="D4128" s="698"/>
      <c r="E4128" s="215"/>
      <c r="F4128" s="215"/>
      <c r="G4128" s="153"/>
      <c r="H4128" s="153"/>
      <c r="I4128" s="153"/>
      <c r="J4128" s="153"/>
      <c r="K4128" s="153"/>
      <c r="L4128" s="653"/>
      <c r="M4128" s="663">
        <v>34456</v>
      </c>
      <c r="N4128" s="600">
        <v>0.20413000000000001</v>
      </c>
      <c r="O4128" s="604"/>
      <c r="P4128" s="250"/>
      <c r="Q4128" s="250"/>
      <c r="R4128" s="250"/>
      <c r="S4128" s="250"/>
      <c r="T4128" s="250"/>
      <c r="U4128" s="250"/>
      <c r="V4128" s="250"/>
      <c r="W4128" s="250"/>
      <c r="X4128" s="250"/>
      <c r="Y4128" s="250"/>
      <c r="Z4128" s="150"/>
      <c r="AA4128" s="150"/>
      <c r="AB4128" s="152"/>
      <c r="AC4128" s="152"/>
      <c r="AD4128" s="223"/>
      <c r="AE4128" s="223"/>
      <c r="AF4128" s="223"/>
      <c r="AG4128" s="223"/>
      <c r="AH4128" s="341"/>
      <c r="AI4128" s="218"/>
      <c r="AJ4128" s="218"/>
      <c r="AK4128" s="153"/>
      <c r="AL4128" s="152"/>
      <c r="AM4128" s="152"/>
      <c r="AN4128" s="152"/>
      <c r="AO4128" s="152"/>
      <c r="AP4128" s="152"/>
      <c r="AQ4128" s="152"/>
      <c r="AR4128" s="152"/>
      <c r="AS4128" s="152"/>
      <c r="AT4128" s="152"/>
      <c r="AU4128" s="153"/>
      <c r="AV4128" s="479"/>
      <c r="AW4128" s="479"/>
      <c r="AX4128" s="442"/>
      <c r="AY4128" s="153"/>
      <c r="AZ4128" s="152"/>
      <c r="BA4128" s="152"/>
      <c r="BB4128" s="152"/>
      <c r="BC4128" s="152"/>
      <c r="BD4128" s="152"/>
      <c r="BE4128" s="152"/>
      <c r="BF4128" s="152"/>
      <c r="BG4128" s="152"/>
      <c r="BH4128" s="152"/>
      <c r="BI4128" s="153"/>
      <c r="BJ4128" s="153"/>
      <c r="BK4128" s="153"/>
      <c r="BL4128" s="153"/>
      <c r="BM4128" s="153"/>
      <c r="BN4128" s="153"/>
      <c r="BO4128" s="153"/>
      <c r="BP4128" s="153"/>
      <c r="BQ4128" s="153"/>
      <c r="BR4128" s="153"/>
      <c r="BS4128" s="153"/>
      <c r="BT4128" s="153"/>
      <c r="BU4128" s="153"/>
      <c r="BV4128" s="153"/>
      <c r="BW4128" s="153"/>
      <c r="BX4128" s="153"/>
      <c r="BY4128" s="153"/>
      <c r="BZ4128" s="153"/>
      <c r="CA4128" s="152"/>
      <c r="CB4128" s="152"/>
    </row>
    <row r="4129" spans="1:80" s="87" customFormat="1" x14ac:dyDescent="0.2">
      <c r="A4129" s="152"/>
      <c r="B4129" s="683"/>
      <c r="C4129" s="683"/>
      <c r="D4129" s="698"/>
      <c r="E4129" s="215"/>
      <c r="F4129" s="215"/>
      <c r="G4129" s="153"/>
      <c r="H4129" s="153"/>
      <c r="I4129" s="153"/>
      <c r="J4129" s="153"/>
      <c r="K4129" s="153"/>
      <c r="L4129" s="653"/>
      <c r="M4129" s="663">
        <v>34459</v>
      </c>
      <c r="N4129" s="600">
        <v>0.19677</v>
      </c>
      <c r="O4129" s="604"/>
      <c r="P4129" s="250"/>
      <c r="Q4129" s="250"/>
      <c r="R4129" s="250"/>
      <c r="S4129" s="250"/>
      <c r="T4129" s="250"/>
      <c r="U4129" s="250"/>
      <c r="V4129" s="250"/>
      <c r="W4129" s="250"/>
      <c r="X4129" s="250"/>
      <c r="Y4129" s="250"/>
      <c r="Z4129" s="150"/>
      <c r="AA4129" s="150"/>
      <c r="AB4129" s="152"/>
      <c r="AC4129" s="152"/>
      <c r="AD4129" s="223">
        <v>2.2249669999999999</v>
      </c>
      <c r="AE4129" s="223">
        <v>0.17615191899999999</v>
      </c>
      <c r="AF4129" s="223">
        <v>0.39191978599999999</v>
      </c>
      <c r="AG4129" s="223">
        <v>0.50208355100000002</v>
      </c>
      <c r="AH4129" s="341"/>
      <c r="AI4129" s="218"/>
      <c r="AJ4129" s="218"/>
      <c r="AK4129" s="153"/>
      <c r="AL4129" s="152"/>
      <c r="AM4129" s="152"/>
      <c r="AN4129" s="152"/>
      <c r="AO4129" s="152"/>
      <c r="AP4129" s="152"/>
      <c r="AQ4129" s="152"/>
      <c r="AR4129" s="152"/>
      <c r="AS4129" s="152"/>
      <c r="AT4129" s="152"/>
      <c r="AU4129" s="153"/>
      <c r="AV4129" s="479"/>
      <c r="AW4129" s="479"/>
      <c r="AX4129" s="442"/>
      <c r="AY4129" s="153"/>
      <c r="AZ4129" s="152"/>
      <c r="BA4129" s="152"/>
      <c r="BB4129" s="152"/>
      <c r="BC4129" s="152"/>
      <c r="BD4129" s="152"/>
      <c r="BE4129" s="152"/>
      <c r="BF4129" s="152"/>
      <c r="BG4129" s="152"/>
      <c r="BH4129" s="152"/>
      <c r="BI4129" s="153"/>
      <c r="BJ4129" s="153"/>
      <c r="BK4129" s="153"/>
      <c r="BL4129" s="153"/>
      <c r="BM4129" s="153"/>
      <c r="BN4129" s="153"/>
      <c r="BO4129" s="153"/>
      <c r="BP4129" s="153"/>
      <c r="BQ4129" s="153"/>
      <c r="BR4129" s="153"/>
      <c r="BS4129" s="153"/>
      <c r="BT4129" s="153"/>
      <c r="BU4129" s="153"/>
      <c r="BV4129" s="153"/>
      <c r="BW4129" s="153"/>
      <c r="BX4129" s="153"/>
      <c r="BY4129" s="153"/>
      <c r="BZ4129" s="153"/>
      <c r="CA4129" s="152"/>
      <c r="CB4129" s="152"/>
    </row>
    <row r="4130" spans="1:80" s="87" customFormat="1" x14ac:dyDescent="0.2">
      <c r="A4130" s="152"/>
      <c r="B4130" s="683"/>
      <c r="C4130" s="683"/>
      <c r="D4130" s="698"/>
      <c r="E4130" s="215"/>
      <c r="F4130" s="215"/>
      <c r="G4130" s="153"/>
      <c r="H4130" s="153"/>
      <c r="I4130" s="153"/>
      <c r="J4130" s="153"/>
      <c r="K4130" s="153"/>
      <c r="L4130" s="653"/>
      <c r="M4130" s="663">
        <v>34463</v>
      </c>
      <c r="N4130" s="600">
        <v>0.29842000000000002</v>
      </c>
      <c r="O4130" s="604"/>
      <c r="P4130" s="250"/>
      <c r="Q4130" s="250"/>
      <c r="R4130" s="250"/>
      <c r="S4130" s="250"/>
      <c r="T4130" s="250"/>
      <c r="U4130" s="250"/>
      <c r="V4130" s="250"/>
      <c r="W4130" s="250"/>
      <c r="X4130" s="250"/>
      <c r="Y4130" s="250"/>
      <c r="Z4130" s="150"/>
      <c r="AA4130" s="150"/>
      <c r="AB4130" s="152"/>
      <c r="AC4130" s="152"/>
      <c r="AD4130" s="223">
        <v>2.3164039999999999</v>
      </c>
      <c r="AE4130" s="223">
        <v>0.19414320900000001</v>
      </c>
      <c r="AF4130" s="223">
        <v>0.44969985400000001</v>
      </c>
      <c r="AG4130" s="223">
        <v>0.66359979300000005</v>
      </c>
      <c r="AH4130" s="341"/>
      <c r="AI4130" s="218"/>
      <c r="AJ4130" s="218"/>
      <c r="AK4130" s="153"/>
      <c r="AL4130" s="152"/>
      <c r="AM4130" s="152"/>
      <c r="AN4130" s="152"/>
      <c r="AO4130" s="152"/>
      <c r="AP4130" s="152"/>
      <c r="AQ4130" s="152"/>
      <c r="AR4130" s="152"/>
      <c r="AS4130" s="152"/>
      <c r="AT4130" s="152"/>
      <c r="AU4130" s="153"/>
      <c r="AV4130" s="479"/>
      <c r="AW4130" s="479"/>
      <c r="AX4130" s="442"/>
      <c r="AY4130" s="153"/>
      <c r="AZ4130" s="152"/>
      <c r="BA4130" s="152"/>
      <c r="BB4130" s="152"/>
      <c r="BC4130" s="152"/>
      <c r="BD4130" s="152"/>
      <c r="BE4130" s="152"/>
      <c r="BF4130" s="152"/>
      <c r="BG4130" s="152"/>
      <c r="BH4130" s="152"/>
      <c r="BI4130" s="153"/>
      <c r="BJ4130" s="153"/>
      <c r="BK4130" s="153"/>
      <c r="BL4130" s="153"/>
      <c r="BM4130" s="153"/>
      <c r="BN4130" s="153"/>
      <c r="BO4130" s="153"/>
      <c r="BP4130" s="153"/>
      <c r="BQ4130" s="153"/>
      <c r="BR4130" s="153"/>
      <c r="BS4130" s="153"/>
      <c r="BT4130" s="153"/>
      <c r="BU4130" s="153"/>
      <c r="BV4130" s="153"/>
      <c r="BW4130" s="153"/>
      <c r="BX4130" s="153"/>
      <c r="BY4130" s="153"/>
      <c r="BZ4130" s="153"/>
      <c r="CA4130" s="152"/>
      <c r="CB4130" s="152"/>
    </row>
    <row r="4131" spans="1:80" s="87" customFormat="1" x14ac:dyDescent="0.2">
      <c r="A4131" s="152"/>
      <c r="B4131" s="683"/>
      <c r="C4131" s="683"/>
      <c r="D4131" s="698"/>
      <c r="E4131" s="215"/>
      <c r="F4131" s="215"/>
      <c r="G4131" s="153"/>
      <c r="H4131" s="153"/>
      <c r="I4131" s="153"/>
      <c r="J4131" s="153"/>
      <c r="K4131" s="153"/>
      <c r="L4131" s="653"/>
      <c r="M4131" s="663">
        <v>34491</v>
      </c>
      <c r="N4131" s="600">
        <v>0.25424999999999998</v>
      </c>
      <c r="O4131" s="604"/>
      <c r="P4131" s="250"/>
      <c r="Q4131" s="250"/>
      <c r="R4131" s="250"/>
      <c r="S4131" s="250"/>
      <c r="T4131" s="250"/>
      <c r="U4131" s="250"/>
      <c r="V4131" s="250"/>
      <c r="W4131" s="250"/>
      <c r="X4131" s="250"/>
      <c r="Y4131" s="250"/>
      <c r="Z4131" s="150"/>
      <c r="AA4131" s="150"/>
      <c r="AB4131" s="152"/>
      <c r="AC4131" s="152"/>
      <c r="AD4131" s="223">
        <v>2.1335299999999999</v>
      </c>
      <c r="AE4131" s="223">
        <v>0.190711457</v>
      </c>
      <c r="AF4131" s="223">
        <v>0.40687572</v>
      </c>
      <c r="AG4131" s="223">
        <v>0.62488908700000001</v>
      </c>
      <c r="AH4131" s="341"/>
      <c r="AI4131" s="218"/>
      <c r="AJ4131" s="218"/>
      <c r="AK4131" s="153"/>
      <c r="AL4131" s="152"/>
      <c r="AM4131" s="152"/>
      <c r="AN4131" s="152"/>
      <c r="AO4131" s="152"/>
      <c r="AP4131" s="152"/>
      <c r="AQ4131" s="152"/>
      <c r="AR4131" s="152"/>
      <c r="AS4131" s="152"/>
      <c r="AT4131" s="152"/>
      <c r="AU4131" s="153"/>
      <c r="AV4131" s="479"/>
      <c r="AW4131" s="479"/>
      <c r="AX4131" s="442"/>
      <c r="AY4131" s="153"/>
      <c r="AZ4131" s="152"/>
      <c r="BA4131" s="152"/>
      <c r="BB4131" s="152"/>
      <c r="BC4131" s="152"/>
      <c r="BD4131" s="152"/>
      <c r="BE4131" s="152"/>
      <c r="BF4131" s="152"/>
      <c r="BG4131" s="152"/>
      <c r="BH4131" s="152"/>
      <c r="BI4131" s="153"/>
      <c r="BJ4131" s="153"/>
      <c r="BK4131" s="153"/>
      <c r="BL4131" s="153"/>
      <c r="BM4131" s="153"/>
      <c r="BN4131" s="153"/>
      <c r="BO4131" s="153"/>
      <c r="BP4131" s="153"/>
      <c r="BQ4131" s="153"/>
      <c r="BR4131" s="153"/>
      <c r="BS4131" s="153"/>
      <c r="BT4131" s="153"/>
      <c r="BU4131" s="153"/>
      <c r="BV4131" s="153"/>
      <c r="BW4131" s="153"/>
      <c r="BX4131" s="153"/>
      <c r="BY4131" s="153"/>
      <c r="BZ4131" s="153"/>
      <c r="CA4131" s="152"/>
      <c r="CB4131" s="152"/>
    </row>
    <row r="4132" spans="1:80" s="87" customFormat="1" x14ac:dyDescent="0.2">
      <c r="A4132" s="152"/>
      <c r="B4132" s="683"/>
      <c r="C4132" s="683"/>
      <c r="D4132" s="698"/>
      <c r="E4132" s="215"/>
      <c r="F4132" s="215"/>
      <c r="G4132" s="153"/>
      <c r="H4132" s="153"/>
      <c r="I4132" s="153"/>
      <c r="J4132" s="153"/>
      <c r="K4132" s="153"/>
      <c r="L4132" s="653"/>
      <c r="M4132" s="663">
        <v>34494</v>
      </c>
      <c r="N4132" s="600">
        <v>0.23386000000000001</v>
      </c>
      <c r="O4132" s="604"/>
      <c r="P4132" s="250"/>
      <c r="Q4132" s="250"/>
      <c r="R4132" s="250"/>
      <c r="S4132" s="250"/>
      <c r="T4132" s="250"/>
      <c r="U4132" s="250"/>
      <c r="V4132" s="250"/>
      <c r="W4132" s="250"/>
      <c r="X4132" s="250"/>
      <c r="Y4132" s="250"/>
      <c r="Z4132" s="150"/>
      <c r="AA4132" s="150"/>
      <c r="AB4132" s="152"/>
      <c r="AC4132" s="152"/>
      <c r="AD4132" s="223">
        <v>2.1335299999999999</v>
      </c>
      <c r="AE4132" s="223">
        <v>0.18935078799999999</v>
      </c>
      <c r="AF4132" s="223">
        <v>0.403972783</v>
      </c>
      <c r="AG4132" s="223">
        <v>0.57891702199999995</v>
      </c>
      <c r="AH4132" s="341"/>
      <c r="AI4132" s="218"/>
      <c r="AJ4132" s="218"/>
      <c r="AK4132" s="153"/>
      <c r="AL4132" s="152"/>
      <c r="AM4132" s="152"/>
      <c r="AN4132" s="152"/>
      <c r="AO4132" s="152"/>
      <c r="AP4132" s="152"/>
      <c r="AQ4132" s="152"/>
      <c r="AR4132" s="152"/>
      <c r="AS4132" s="152"/>
      <c r="AT4132" s="152"/>
      <c r="AU4132" s="153"/>
      <c r="AV4132" s="479"/>
      <c r="AW4132" s="479"/>
      <c r="AX4132" s="442"/>
      <c r="AY4132" s="153"/>
      <c r="AZ4132" s="152"/>
      <c r="BA4132" s="152"/>
      <c r="BB4132" s="152"/>
      <c r="BC4132" s="152"/>
      <c r="BD4132" s="152"/>
      <c r="BE4132" s="152"/>
      <c r="BF4132" s="152"/>
      <c r="BG4132" s="152"/>
      <c r="BH4132" s="152"/>
      <c r="BI4132" s="153"/>
      <c r="BJ4132" s="153"/>
      <c r="BK4132" s="153"/>
      <c r="BL4132" s="153"/>
      <c r="BM4132" s="153"/>
      <c r="BN4132" s="153"/>
      <c r="BO4132" s="153"/>
      <c r="BP4132" s="153"/>
      <c r="BQ4132" s="153"/>
      <c r="BR4132" s="153"/>
      <c r="BS4132" s="153"/>
      <c r="BT4132" s="153"/>
      <c r="BU4132" s="153"/>
      <c r="BV4132" s="153"/>
      <c r="BW4132" s="153"/>
      <c r="BX4132" s="153"/>
      <c r="BY4132" s="153"/>
      <c r="BZ4132" s="153"/>
      <c r="CA4132" s="152"/>
      <c r="CB4132" s="152"/>
    </row>
    <row r="4133" spans="1:80" s="87" customFormat="1" x14ac:dyDescent="0.2">
      <c r="A4133" s="152"/>
      <c r="B4133" s="683"/>
      <c r="C4133" s="683"/>
      <c r="D4133" s="698"/>
      <c r="E4133" s="215"/>
      <c r="F4133" s="215"/>
      <c r="G4133" s="153"/>
      <c r="H4133" s="153"/>
      <c r="I4133" s="153"/>
      <c r="J4133" s="153"/>
      <c r="K4133" s="153"/>
      <c r="L4133" s="653"/>
      <c r="M4133" s="663">
        <v>34499</v>
      </c>
      <c r="N4133" s="600">
        <v>0.20044999999999999</v>
      </c>
      <c r="O4133" s="604"/>
      <c r="P4133" s="250"/>
      <c r="Q4133" s="250"/>
      <c r="R4133" s="250"/>
      <c r="S4133" s="250"/>
      <c r="T4133" s="250"/>
      <c r="U4133" s="250"/>
      <c r="V4133" s="250"/>
      <c r="W4133" s="250"/>
      <c r="X4133" s="250"/>
      <c r="Y4133" s="250"/>
      <c r="Z4133" s="150"/>
      <c r="AA4133" s="150"/>
      <c r="AB4133" s="152"/>
      <c r="AC4133" s="152"/>
      <c r="AD4133" s="223">
        <v>1.9811350000000001</v>
      </c>
      <c r="AE4133" s="223">
        <v>0.18252231899999999</v>
      </c>
      <c r="AF4133" s="223">
        <v>0.36158989499999999</v>
      </c>
      <c r="AG4133" s="223">
        <v>0.55437718700000005</v>
      </c>
      <c r="AH4133" s="341"/>
      <c r="AI4133" s="218"/>
      <c r="AJ4133" s="218"/>
      <c r="AK4133" s="153"/>
      <c r="AL4133" s="152"/>
      <c r="AM4133" s="152"/>
      <c r="AN4133" s="152"/>
      <c r="AO4133" s="152"/>
      <c r="AP4133" s="152"/>
      <c r="AQ4133" s="152"/>
      <c r="AR4133" s="152"/>
      <c r="AS4133" s="152"/>
      <c r="AT4133" s="152"/>
      <c r="AU4133" s="153"/>
      <c r="AV4133" s="479"/>
      <c r="AW4133" s="479"/>
      <c r="AX4133" s="442"/>
      <c r="AY4133" s="153"/>
      <c r="AZ4133" s="152"/>
      <c r="BA4133" s="152"/>
      <c r="BB4133" s="152"/>
      <c r="BC4133" s="152"/>
      <c r="BD4133" s="152"/>
      <c r="BE4133" s="152"/>
      <c r="BF4133" s="152"/>
      <c r="BG4133" s="152"/>
      <c r="BH4133" s="152"/>
      <c r="BI4133" s="153"/>
      <c r="BJ4133" s="153"/>
      <c r="BK4133" s="153"/>
      <c r="BL4133" s="153"/>
      <c r="BM4133" s="153"/>
      <c r="BN4133" s="153"/>
      <c r="BO4133" s="153"/>
      <c r="BP4133" s="153"/>
      <c r="BQ4133" s="153"/>
      <c r="BR4133" s="153"/>
      <c r="BS4133" s="153"/>
      <c r="BT4133" s="153"/>
      <c r="BU4133" s="153"/>
      <c r="BV4133" s="153"/>
      <c r="BW4133" s="153"/>
      <c r="BX4133" s="153"/>
      <c r="BY4133" s="153"/>
      <c r="BZ4133" s="153"/>
      <c r="CA4133" s="152"/>
      <c r="CB4133" s="152"/>
    </row>
    <row r="4134" spans="1:80" s="87" customFormat="1" x14ac:dyDescent="0.2">
      <c r="A4134" s="152"/>
      <c r="B4134" s="683"/>
      <c r="C4134" s="683"/>
      <c r="D4134" s="698"/>
      <c r="E4134" s="215"/>
      <c r="F4134" s="215"/>
      <c r="G4134" s="153"/>
      <c r="H4134" s="153"/>
      <c r="I4134" s="153"/>
      <c r="J4134" s="153"/>
      <c r="K4134" s="153"/>
      <c r="L4134" s="653"/>
      <c r="M4134" s="663">
        <v>34514</v>
      </c>
      <c r="N4134" s="600">
        <v>0.11608</v>
      </c>
      <c r="O4134" s="604"/>
      <c r="P4134" s="250"/>
      <c r="Q4134" s="250"/>
      <c r="R4134" s="250"/>
      <c r="S4134" s="250"/>
      <c r="T4134" s="250"/>
      <c r="U4134" s="250"/>
      <c r="V4134" s="250"/>
      <c r="W4134" s="250"/>
      <c r="X4134" s="250"/>
      <c r="Y4134" s="250"/>
      <c r="Z4134" s="150"/>
      <c r="AA4134" s="150"/>
      <c r="AB4134" s="152"/>
      <c r="AC4134" s="152"/>
      <c r="AD4134" s="223">
        <v>1.8896980000000001</v>
      </c>
      <c r="AE4134" s="223">
        <v>0.15396810999999999</v>
      </c>
      <c r="AF4134" s="223">
        <v>0.29094400799999998</v>
      </c>
      <c r="AG4134" s="223">
        <v>0.39899074099999998</v>
      </c>
      <c r="AH4134" s="341"/>
      <c r="AI4134" s="218"/>
      <c r="AJ4134" s="218"/>
      <c r="AK4134" s="153"/>
      <c r="AL4134" s="152"/>
      <c r="AM4134" s="152"/>
      <c r="AN4134" s="152"/>
      <c r="AO4134" s="152"/>
      <c r="AP4134" s="152"/>
      <c r="AQ4134" s="152"/>
      <c r="AR4134" s="152"/>
      <c r="AS4134" s="152"/>
      <c r="AT4134" s="152"/>
      <c r="AU4134" s="153"/>
      <c r="AV4134" s="479"/>
      <c r="AW4134" s="479"/>
      <c r="AX4134" s="442"/>
      <c r="AY4134" s="153"/>
      <c r="AZ4134" s="152"/>
      <c r="BA4134" s="152"/>
      <c r="BB4134" s="152"/>
      <c r="BC4134" s="152"/>
      <c r="BD4134" s="152"/>
      <c r="BE4134" s="152"/>
      <c r="BF4134" s="152"/>
      <c r="BG4134" s="152"/>
      <c r="BH4134" s="152"/>
      <c r="BI4134" s="153"/>
      <c r="BJ4134" s="153"/>
      <c r="BK4134" s="153"/>
      <c r="BL4134" s="153"/>
      <c r="BM4134" s="153"/>
      <c r="BN4134" s="153"/>
      <c r="BO4134" s="153"/>
      <c r="BP4134" s="153"/>
      <c r="BQ4134" s="153"/>
      <c r="BR4134" s="153"/>
      <c r="BS4134" s="153"/>
      <c r="BT4134" s="153"/>
      <c r="BU4134" s="153"/>
      <c r="BV4134" s="153"/>
      <c r="BW4134" s="153"/>
      <c r="BX4134" s="153"/>
      <c r="BY4134" s="153"/>
      <c r="BZ4134" s="153"/>
      <c r="CA4134" s="152"/>
      <c r="CB4134" s="152"/>
    </row>
    <row r="4135" spans="1:80" s="87" customFormat="1" x14ac:dyDescent="0.2">
      <c r="A4135" s="152"/>
      <c r="B4135" s="683"/>
      <c r="C4135" s="683"/>
      <c r="D4135" s="698"/>
      <c r="E4135" s="215"/>
      <c r="F4135" s="215"/>
      <c r="G4135" s="153"/>
      <c r="H4135" s="153"/>
      <c r="I4135" s="153"/>
      <c r="J4135" s="153"/>
      <c r="K4135" s="153"/>
      <c r="L4135" s="653"/>
      <c r="M4135" s="663">
        <v>34522</v>
      </c>
      <c r="N4135" s="600">
        <v>0.11523</v>
      </c>
      <c r="O4135" s="604"/>
      <c r="P4135" s="250"/>
      <c r="Q4135" s="250"/>
      <c r="R4135" s="250"/>
      <c r="S4135" s="250"/>
      <c r="T4135" s="250"/>
      <c r="U4135" s="250"/>
      <c r="V4135" s="250"/>
      <c r="W4135" s="250"/>
      <c r="X4135" s="250"/>
      <c r="Y4135" s="250"/>
      <c r="Z4135" s="150"/>
      <c r="AA4135" s="150"/>
      <c r="AB4135" s="152"/>
      <c r="AC4135" s="152"/>
      <c r="AD4135" s="223">
        <v>1.859219</v>
      </c>
      <c r="AE4135" s="223">
        <v>0.15339431100000001</v>
      </c>
      <c r="AF4135" s="223">
        <v>0.28518458000000002</v>
      </c>
      <c r="AG4135" s="223">
        <v>0.40407013000000003</v>
      </c>
      <c r="AH4135" s="341"/>
      <c r="AI4135" s="218"/>
      <c r="AJ4135" s="218"/>
      <c r="AK4135" s="153"/>
      <c r="AL4135" s="152"/>
      <c r="AM4135" s="152"/>
      <c r="AN4135" s="152"/>
      <c r="AO4135" s="152"/>
      <c r="AP4135" s="152"/>
      <c r="AQ4135" s="152"/>
      <c r="AR4135" s="152"/>
      <c r="AS4135" s="152"/>
      <c r="AT4135" s="152"/>
      <c r="AU4135" s="153"/>
      <c r="AV4135" s="479"/>
      <c r="AW4135" s="479"/>
      <c r="AX4135" s="442"/>
      <c r="AY4135" s="153"/>
      <c r="AZ4135" s="152"/>
      <c r="BA4135" s="152"/>
      <c r="BB4135" s="152"/>
      <c r="BC4135" s="152"/>
      <c r="BD4135" s="152"/>
      <c r="BE4135" s="152"/>
      <c r="BF4135" s="152"/>
      <c r="BG4135" s="152"/>
      <c r="BH4135" s="152"/>
      <c r="BI4135" s="153"/>
      <c r="BJ4135" s="153"/>
      <c r="BK4135" s="153"/>
      <c r="BL4135" s="153"/>
      <c r="BM4135" s="153"/>
      <c r="BN4135" s="153"/>
      <c r="BO4135" s="153"/>
      <c r="BP4135" s="153"/>
      <c r="BQ4135" s="153"/>
      <c r="BR4135" s="153"/>
      <c r="BS4135" s="153"/>
      <c r="BT4135" s="153"/>
      <c r="BU4135" s="153"/>
      <c r="BV4135" s="153"/>
      <c r="BW4135" s="153"/>
      <c r="BX4135" s="153"/>
      <c r="BY4135" s="153"/>
      <c r="BZ4135" s="153"/>
      <c r="CA4135" s="152"/>
      <c r="CB4135" s="152"/>
    </row>
    <row r="4136" spans="1:80" s="87" customFormat="1" x14ac:dyDescent="0.2">
      <c r="A4136" s="152"/>
      <c r="B4136" s="683"/>
      <c r="C4136" s="683"/>
      <c r="D4136" s="698"/>
      <c r="E4136" s="215"/>
      <c r="F4136" s="215"/>
      <c r="G4136" s="153"/>
      <c r="H4136" s="153"/>
      <c r="I4136" s="153"/>
      <c r="J4136" s="153"/>
      <c r="K4136" s="153"/>
      <c r="L4136" s="653"/>
      <c r="M4136" s="663">
        <v>34610</v>
      </c>
      <c r="N4136" s="600">
        <v>2.9159999999999998E-2</v>
      </c>
      <c r="O4136" s="604"/>
      <c r="P4136" s="250"/>
      <c r="Q4136" s="250"/>
      <c r="R4136" s="250"/>
      <c r="S4136" s="250"/>
      <c r="T4136" s="250"/>
      <c r="U4136" s="250"/>
      <c r="V4136" s="250"/>
      <c r="W4136" s="250"/>
      <c r="X4136" s="250"/>
      <c r="Y4136" s="250"/>
      <c r="Z4136" s="150"/>
      <c r="AA4136" s="150"/>
      <c r="AB4136" s="152"/>
      <c r="AC4136" s="152"/>
      <c r="AD4136" s="223">
        <v>1.859219</v>
      </c>
      <c r="AE4136" s="223">
        <v>9.8557093999999998E-2</v>
      </c>
      <c r="AF4136" s="223">
        <v>0.18323341500000001</v>
      </c>
      <c r="AG4136" s="223">
        <v>0.15915523400000001</v>
      </c>
      <c r="AH4136" s="341"/>
      <c r="AI4136" s="218"/>
      <c r="AJ4136" s="218"/>
      <c r="AK4136" s="153"/>
      <c r="AL4136" s="152"/>
      <c r="AM4136" s="152"/>
      <c r="AN4136" s="152"/>
      <c r="AO4136" s="152"/>
      <c r="AP4136" s="152"/>
      <c r="AQ4136" s="152"/>
      <c r="AR4136" s="152"/>
      <c r="AS4136" s="152"/>
      <c r="AT4136" s="152"/>
      <c r="AU4136" s="153"/>
      <c r="AV4136" s="479"/>
      <c r="AW4136" s="479"/>
      <c r="AX4136" s="442"/>
      <c r="AY4136" s="153"/>
      <c r="AZ4136" s="152"/>
      <c r="BA4136" s="152"/>
      <c r="BB4136" s="152"/>
      <c r="BC4136" s="152"/>
      <c r="BD4136" s="152"/>
      <c r="BE4136" s="152"/>
      <c r="BF4136" s="152"/>
      <c r="BG4136" s="152"/>
      <c r="BH4136" s="152"/>
      <c r="BI4136" s="153"/>
      <c r="BJ4136" s="153"/>
      <c r="BK4136" s="153"/>
      <c r="BL4136" s="153"/>
      <c r="BM4136" s="153"/>
      <c r="BN4136" s="153"/>
      <c r="BO4136" s="153"/>
      <c r="BP4136" s="153"/>
      <c r="BQ4136" s="153"/>
      <c r="BR4136" s="153"/>
      <c r="BS4136" s="153"/>
      <c r="BT4136" s="153"/>
      <c r="BU4136" s="153"/>
      <c r="BV4136" s="153"/>
      <c r="BW4136" s="153"/>
      <c r="BX4136" s="153"/>
      <c r="BY4136" s="153"/>
      <c r="BZ4136" s="153"/>
      <c r="CA4136" s="152"/>
      <c r="CB4136" s="152"/>
    </row>
    <row r="4137" spans="1:80" s="87" customFormat="1" x14ac:dyDescent="0.2">
      <c r="A4137" s="152"/>
      <c r="B4137" s="683"/>
      <c r="C4137" s="683"/>
      <c r="D4137" s="698"/>
      <c r="E4137" s="215"/>
      <c r="F4137" s="215"/>
      <c r="G4137" s="153"/>
      <c r="H4137" s="153"/>
      <c r="I4137" s="153"/>
      <c r="J4137" s="153"/>
      <c r="K4137" s="153"/>
      <c r="L4137" s="653"/>
      <c r="M4137" s="663">
        <v>34886</v>
      </c>
      <c r="N4137" s="600">
        <v>0.30010999999999999</v>
      </c>
      <c r="O4137" s="604"/>
      <c r="P4137" s="250"/>
      <c r="Q4137" s="250"/>
      <c r="R4137" s="250"/>
      <c r="S4137" s="250"/>
      <c r="T4137" s="250"/>
      <c r="U4137" s="250"/>
      <c r="V4137" s="250"/>
      <c r="W4137" s="250"/>
      <c r="X4137" s="250"/>
      <c r="Y4137" s="250"/>
      <c r="Z4137" s="150"/>
      <c r="AA4137" s="150"/>
      <c r="AB4137" s="152"/>
      <c r="AC4137" s="152"/>
      <c r="AD4137" s="223">
        <v>2.2249669999999999</v>
      </c>
      <c r="AE4137" s="223">
        <v>0.19456457499999999</v>
      </c>
      <c r="AF4137" s="223">
        <v>0.43288604000000003</v>
      </c>
      <c r="AG4137" s="223">
        <v>0.69264508599999997</v>
      </c>
      <c r="AH4137" s="341"/>
      <c r="AI4137" s="218"/>
      <c r="AJ4137" s="218"/>
      <c r="AK4137" s="153"/>
      <c r="AL4137" s="152"/>
      <c r="AM4137" s="152"/>
      <c r="AN4137" s="152"/>
      <c r="AO4137" s="152"/>
      <c r="AP4137" s="152"/>
      <c r="AQ4137" s="152"/>
      <c r="AR4137" s="152"/>
      <c r="AS4137" s="152"/>
      <c r="AT4137" s="152"/>
      <c r="AU4137" s="153"/>
      <c r="AV4137" s="479"/>
      <c r="AW4137" s="479"/>
      <c r="AX4137" s="442"/>
      <c r="AY4137" s="153"/>
      <c r="AZ4137" s="152"/>
      <c r="BA4137" s="152"/>
      <c r="BB4137" s="152"/>
      <c r="BC4137" s="152"/>
      <c r="BD4137" s="152"/>
      <c r="BE4137" s="152"/>
      <c r="BF4137" s="152"/>
      <c r="BG4137" s="152"/>
      <c r="BH4137" s="152"/>
      <c r="BI4137" s="153"/>
      <c r="BJ4137" s="153"/>
      <c r="BK4137" s="153"/>
      <c r="BL4137" s="153"/>
      <c r="BM4137" s="153"/>
      <c r="BN4137" s="153"/>
      <c r="BO4137" s="153"/>
      <c r="BP4137" s="153"/>
      <c r="BQ4137" s="153"/>
      <c r="BR4137" s="153"/>
      <c r="BS4137" s="153"/>
      <c r="BT4137" s="153"/>
      <c r="BU4137" s="153"/>
      <c r="BV4137" s="153"/>
      <c r="BW4137" s="153"/>
      <c r="BX4137" s="153"/>
      <c r="BY4137" s="153"/>
      <c r="BZ4137" s="153"/>
      <c r="CA4137" s="152"/>
      <c r="CB4137" s="152"/>
    </row>
    <row r="4138" spans="1:80" s="87" customFormat="1" x14ac:dyDescent="0.2">
      <c r="A4138" s="152"/>
      <c r="B4138" s="683"/>
      <c r="C4138" s="683"/>
      <c r="D4138" s="698"/>
      <c r="E4138" s="215"/>
      <c r="F4138" s="215"/>
      <c r="G4138" s="153"/>
      <c r="H4138" s="153"/>
      <c r="I4138" s="153"/>
      <c r="J4138" s="153"/>
      <c r="K4138" s="153"/>
      <c r="L4138" s="653"/>
      <c r="M4138" s="663">
        <v>34898</v>
      </c>
      <c r="N4138" s="600">
        <v>0.16364999999999999</v>
      </c>
      <c r="O4138" s="604"/>
      <c r="P4138" s="250"/>
      <c r="Q4138" s="250"/>
      <c r="R4138" s="250"/>
      <c r="S4138" s="250"/>
      <c r="T4138" s="250"/>
      <c r="U4138" s="250"/>
      <c r="V4138" s="250"/>
      <c r="W4138" s="250"/>
      <c r="X4138" s="250"/>
      <c r="Y4138" s="250"/>
      <c r="Z4138" s="150"/>
      <c r="AA4138" s="150"/>
      <c r="AB4138" s="152"/>
      <c r="AC4138" s="152"/>
      <c r="AD4138" s="223">
        <v>2.0725720000000001</v>
      </c>
      <c r="AE4138" s="223">
        <v>0.15979064000000001</v>
      </c>
      <c r="AF4138" s="223">
        <v>0.33116710999999999</v>
      </c>
      <c r="AG4138" s="223">
        <v>0.49416162699999999</v>
      </c>
      <c r="AH4138" s="341"/>
      <c r="AI4138" s="218"/>
      <c r="AJ4138" s="218"/>
      <c r="AK4138" s="153"/>
      <c r="AL4138" s="152"/>
      <c r="AM4138" s="152"/>
      <c r="AN4138" s="152"/>
      <c r="AO4138" s="152"/>
      <c r="AP4138" s="152"/>
      <c r="AQ4138" s="152"/>
      <c r="AR4138" s="152"/>
      <c r="AS4138" s="152"/>
      <c r="AT4138" s="152"/>
      <c r="AU4138" s="153"/>
      <c r="AV4138" s="479"/>
      <c r="AW4138" s="479"/>
      <c r="AX4138" s="442"/>
      <c r="AY4138" s="153"/>
      <c r="AZ4138" s="152"/>
      <c r="BA4138" s="152"/>
      <c r="BB4138" s="152"/>
      <c r="BC4138" s="152"/>
      <c r="BD4138" s="152"/>
      <c r="BE4138" s="152"/>
      <c r="BF4138" s="152"/>
      <c r="BG4138" s="152"/>
      <c r="BH4138" s="152"/>
      <c r="BI4138" s="153"/>
      <c r="BJ4138" s="153"/>
      <c r="BK4138" s="153"/>
      <c r="BL4138" s="153"/>
      <c r="BM4138" s="153"/>
      <c r="BN4138" s="153"/>
      <c r="BO4138" s="153"/>
      <c r="BP4138" s="153"/>
      <c r="BQ4138" s="153"/>
      <c r="BR4138" s="153"/>
      <c r="BS4138" s="153"/>
      <c r="BT4138" s="153"/>
      <c r="BU4138" s="153"/>
      <c r="BV4138" s="153"/>
      <c r="BW4138" s="153"/>
      <c r="BX4138" s="153"/>
      <c r="BY4138" s="153"/>
      <c r="BZ4138" s="153"/>
      <c r="CA4138" s="152"/>
      <c r="CB4138" s="152"/>
    </row>
    <row r="4139" spans="1:80" s="87" customFormat="1" x14ac:dyDescent="0.2">
      <c r="A4139" s="152"/>
      <c r="B4139" s="683"/>
      <c r="C4139" s="683"/>
      <c r="D4139" s="698"/>
      <c r="E4139" s="215"/>
      <c r="F4139" s="215"/>
      <c r="G4139" s="153"/>
      <c r="H4139" s="153"/>
      <c r="I4139" s="153"/>
      <c r="J4139" s="153"/>
      <c r="K4139" s="153"/>
      <c r="L4139" s="653"/>
      <c r="M4139" s="663">
        <v>34974</v>
      </c>
      <c r="N4139" s="600">
        <v>3.1989999999999998E-2</v>
      </c>
      <c r="O4139" s="604"/>
      <c r="P4139" s="250"/>
      <c r="Q4139" s="250"/>
      <c r="R4139" s="250"/>
      <c r="S4139" s="250"/>
      <c r="T4139" s="250"/>
      <c r="U4139" s="250"/>
      <c r="V4139" s="250"/>
      <c r="W4139" s="250"/>
      <c r="X4139" s="250"/>
      <c r="Y4139" s="250"/>
      <c r="Z4139" s="150"/>
      <c r="AA4139" s="150"/>
      <c r="AB4139" s="152"/>
      <c r="AC4139" s="152"/>
      <c r="AD4139" s="223">
        <v>2.0725720000000001</v>
      </c>
      <c r="AE4139" s="223">
        <v>7.9895320000000006E-2</v>
      </c>
      <c r="AF4139" s="223">
        <v>0.16558355499999999</v>
      </c>
      <c r="AG4139" s="223">
        <v>0.193218906</v>
      </c>
      <c r="AH4139" s="341"/>
      <c r="AI4139" s="218"/>
      <c r="AJ4139" s="218"/>
      <c r="AK4139" s="153"/>
      <c r="AL4139" s="152"/>
      <c r="AM4139" s="152"/>
      <c r="AN4139" s="152"/>
      <c r="AO4139" s="152"/>
      <c r="AP4139" s="152"/>
      <c r="AQ4139" s="152"/>
      <c r="AR4139" s="152"/>
      <c r="AS4139" s="152"/>
      <c r="AT4139" s="152"/>
      <c r="AU4139" s="153"/>
      <c r="AV4139" s="479"/>
      <c r="AW4139" s="479"/>
      <c r="AX4139" s="442"/>
      <c r="AY4139" s="153"/>
      <c r="AZ4139" s="152"/>
      <c r="BA4139" s="152"/>
      <c r="BB4139" s="152"/>
      <c r="BC4139" s="152"/>
      <c r="BD4139" s="152"/>
      <c r="BE4139" s="152"/>
      <c r="BF4139" s="152"/>
      <c r="BG4139" s="152"/>
      <c r="BH4139" s="152"/>
      <c r="BI4139" s="153"/>
      <c r="BJ4139" s="153"/>
      <c r="BK4139" s="153"/>
      <c r="BL4139" s="153"/>
      <c r="BM4139" s="153"/>
      <c r="BN4139" s="153"/>
      <c r="BO4139" s="153"/>
      <c r="BP4139" s="153"/>
      <c r="BQ4139" s="153"/>
      <c r="BR4139" s="153"/>
      <c r="BS4139" s="153"/>
      <c r="BT4139" s="153"/>
      <c r="BU4139" s="153"/>
      <c r="BV4139" s="153"/>
      <c r="BW4139" s="153"/>
      <c r="BX4139" s="153"/>
      <c r="BY4139" s="153"/>
      <c r="BZ4139" s="153"/>
      <c r="CA4139" s="152"/>
      <c r="CB4139" s="152"/>
    </row>
    <row r="4140" spans="1:80" s="87" customFormat="1" x14ac:dyDescent="0.2">
      <c r="A4140" s="152"/>
      <c r="B4140" s="683"/>
      <c r="C4140" s="683"/>
      <c r="D4140" s="698"/>
      <c r="E4140" s="215"/>
      <c r="F4140" s="215"/>
      <c r="G4140" s="153"/>
      <c r="H4140" s="153"/>
      <c r="I4140" s="153"/>
      <c r="J4140" s="153"/>
      <c r="K4140" s="153"/>
      <c r="L4140" s="653"/>
      <c r="M4140" s="663">
        <v>34773</v>
      </c>
      <c r="N4140" s="600">
        <v>0.13505</v>
      </c>
      <c r="O4140" s="604"/>
      <c r="P4140" s="250"/>
      <c r="Q4140" s="250"/>
      <c r="R4140" s="250"/>
      <c r="S4140" s="250"/>
      <c r="T4140" s="250"/>
      <c r="U4140" s="250"/>
      <c r="V4140" s="250"/>
      <c r="W4140" s="250"/>
      <c r="X4140" s="250"/>
      <c r="Y4140" s="250"/>
      <c r="Z4140" s="150"/>
      <c r="AA4140" s="150"/>
      <c r="AB4140" s="152"/>
      <c r="AC4140" s="152"/>
      <c r="AD4140" s="223">
        <v>1.9811350000000001</v>
      </c>
      <c r="AE4140" s="223">
        <v>0.15830323700000001</v>
      </c>
      <c r="AF4140" s="223">
        <v>0.31361014399999998</v>
      </c>
      <c r="AG4140" s="223">
        <v>0.43064226900000002</v>
      </c>
      <c r="AH4140" s="341"/>
      <c r="AI4140" s="218"/>
      <c r="AJ4140" s="218"/>
      <c r="AK4140" s="153"/>
      <c r="AL4140" s="152"/>
      <c r="AM4140" s="152"/>
      <c r="AN4140" s="152"/>
      <c r="AO4140" s="152"/>
      <c r="AP4140" s="152"/>
      <c r="AQ4140" s="152"/>
      <c r="AR4140" s="152"/>
      <c r="AS4140" s="152"/>
      <c r="AT4140" s="152"/>
      <c r="AU4140" s="153"/>
      <c r="AV4140" s="479"/>
      <c r="AW4140" s="479"/>
      <c r="AX4140" s="442"/>
      <c r="AY4140" s="153"/>
      <c r="AZ4140" s="152"/>
      <c r="BA4140" s="152"/>
      <c r="BB4140" s="152"/>
      <c r="BC4140" s="152"/>
      <c r="BD4140" s="152"/>
      <c r="BE4140" s="152"/>
      <c r="BF4140" s="152"/>
      <c r="BG4140" s="152"/>
      <c r="BH4140" s="152"/>
      <c r="BI4140" s="153"/>
      <c r="BJ4140" s="153"/>
      <c r="BK4140" s="153"/>
      <c r="BL4140" s="153"/>
      <c r="BM4140" s="153"/>
      <c r="BN4140" s="153"/>
      <c r="BO4140" s="153"/>
      <c r="BP4140" s="153"/>
      <c r="BQ4140" s="153"/>
      <c r="BR4140" s="153"/>
      <c r="BS4140" s="153"/>
      <c r="BT4140" s="153"/>
      <c r="BU4140" s="153"/>
      <c r="BV4140" s="153"/>
      <c r="BW4140" s="153"/>
      <c r="BX4140" s="153"/>
      <c r="BY4140" s="153"/>
      <c r="BZ4140" s="153"/>
      <c r="CA4140" s="152"/>
      <c r="CB4140" s="152"/>
    </row>
    <row r="4141" spans="1:80" s="87" customFormat="1" x14ac:dyDescent="0.2">
      <c r="A4141" s="152"/>
      <c r="B4141" s="683"/>
      <c r="C4141" s="683"/>
      <c r="D4141" s="698"/>
      <c r="E4141" s="215"/>
      <c r="F4141" s="215"/>
      <c r="G4141" s="153"/>
      <c r="H4141" s="153"/>
      <c r="I4141" s="153"/>
      <c r="J4141" s="153"/>
      <c r="K4141" s="153"/>
      <c r="L4141" s="653"/>
      <c r="M4141" s="663">
        <v>34800</v>
      </c>
      <c r="N4141" s="600">
        <v>0.17752000000000001</v>
      </c>
      <c r="O4141" s="604"/>
      <c r="P4141" s="250"/>
      <c r="Q4141" s="250"/>
      <c r="R4141" s="250"/>
      <c r="S4141" s="250"/>
      <c r="T4141" s="250"/>
      <c r="U4141" s="250"/>
      <c r="V4141" s="250"/>
      <c r="W4141" s="250"/>
      <c r="X4141" s="250"/>
      <c r="Y4141" s="250"/>
      <c r="Z4141" s="150"/>
      <c r="AA4141" s="150"/>
      <c r="AB4141" s="152"/>
      <c r="AC4141" s="152"/>
      <c r="AD4141" s="223">
        <v>2.1640090000000001</v>
      </c>
      <c r="AE4141" s="223">
        <v>0.17493228899999999</v>
      </c>
      <c r="AF4141" s="223">
        <v>0.37854304999999999</v>
      </c>
      <c r="AG4141" s="223">
        <v>0.46896522699999998</v>
      </c>
      <c r="AH4141" s="341"/>
      <c r="AI4141" s="218"/>
      <c r="AJ4141" s="218"/>
      <c r="AK4141" s="153"/>
      <c r="AL4141" s="152"/>
      <c r="AM4141" s="152"/>
      <c r="AN4141" s="152"/>
      <c r="AO4141" s="152"/>
      <c r="AP4141" s="152"/>
      <c r="AQ4141" s="152"/>
      <c r="AR4141" s="152"/>
      <c r="AS4141" s="152"/>
      <c r="AT4141" s="152"/>
      <c r="AU4141" s="153"/>
      <c r="AV4141" s="479"/>
      <c r="AW4141" s="479"/>
      <c r="AX4141" s="442"/>
      <c r="AY4141" s="153"/>
      <c r="AZ4141" s="152"/>
      <c r="BA4141" s="152"/>
      <c r="BB4141" s="152"/>
      <c r="BC4141" s="152"/>
      <c r="BD4141" s="152"/>
      <c r="BE4141" s="152"/>
      <c r="BF4141" s="152"/>
      <c r="BG4141" s="152"/>
      <c r="BH4141" s="152"/>
      <c r="BI4141" s="153"/>
      <c r="BJ4141" s="153"/>
      <c r="BK4141" s="153"/>
      <c r="BL4141" s="153"/>
      <c r="BM4141" s="153"/>
      <c r="BN4141" s="153"/>
      <c r="BO4141" s="153"/>
      <c r="BP4141" s="153"/>
      <c r="BQ4141" s="153"/>
      <c r="BR4141" s="153"/>
      <c r="BS4141" s="153"/>
      <c r="BT4141" s="153"/>
      <c r="BU4141" s="153"/>
      <c r="BV4141" s="153"/>
      <c r="BW4141" s="153"/>
      <c r="BX4141" s="153"/>
      <c r="BY4141" s="153"/>
      <c r="BZ4141" s="153"/>
      <c r="CA4141" s="152"/>
      <c r="CB4141" s="152"/>
    </row>
    <row r="4142" spans="1:80" s="87" customFormat="1" x14ac:dyDescent="0.2">
      <c r="A4142" s="152"/>
      <c r="B4142" s="683"/>
      <c r="C4142" s="683"/>
      <c r="D4142" s="698"/>
      <c r="E4142" s="215"/>
      <c r="F4142" s="215"/>
      <c r="G4142" s="153"/>
      <c r="H4142" s="153"/>
      <c r="I4142" s="153"/>
      <c r="J4142" s="153"/>
      <c r="K4142" s="153"/>
      <c r="L4142" s="653"/>
      <c r="M4142" s="663">
        <v>34809</v>
      </c>
      <c r="N4142" s="600">
        <v>0.15176000000000001</v>
      </c>
      <c r="O4142" s="604"/>
      <c r="P4142" s="250"/>
      <c r="Q4142" s="250"/>
      <c r="R4142" s="250"/>
      <c r="S4142" s="250"/>
      <c r="T4142" s="250"/>
      <c r="U4142" s="250"/>
      <c r="V4142" s="250"/>
      <c r="W4142" s="250"/>
      <c r="X4142" s="250"/>
      <c r="Y4142" s="250"/>
      <c r="Z4142" s="150"/>
      <c r="AA4142" s="150"/>
      <c r="AB4142" s="152"/>
      <c r="AC4142" s="152"/>
      <c r="AD4142" s="223">
        <v>2.2249669999999999</v>
      </c>
      <c r="AE4142" s="223">
        <v>0.150829298</v>
      </c>
      <c r="AF4142" s="223">
        <v>0.33557957500000002</v>
      </c>
      <c r="AG4142" s="223">
        <v>0.45222820800000002</v>
      </c>
      <c r="AH4142" s="341"/>
      <c r="AI4142" s="218"/>
      <c r="AJ4142" s="218"/>
      <c r="AK4142" s="153"/>
      <c r="AL4142" s="152"/>
      <c r="AM4142" s="152"/>
      <c r="AN4142" s="152"/>
      <c r="AO4142" s="152"/>
      <c r="AP4142" s="152"/>
      <c r="AQ4142" s="152"/>
      <c r="AR4142" s="152"/>
      <c r="AS4142" s="152"/>
      <c r="AT4142" s="152"/>
      <c r="AU4142" s="153"/>
      <c r="AV4142" s="479"/>
      <c r="AW4142" s="479"/>
      <c r="AX4142" s="442"/>
      <c r="AY4142" s="153"/>
      <c r="AZ4142" s="152"/>
      <c r="BA4142" s="152"/>
      <c r="BB4142" s="152"/>
      <c r="BC4142" s="152"/>
      <c r="BD4142" s="152"/>
      <c r="BE4142" s="152"/>
      <c r="BF4142" s="152"/>
      <c r="BG4142" s="152"/>
      <c r="BH4142" s="152"/>
      <c r="BI4142" s="153"/>
      <c r="BJ4142" s="153"/>
      <c r="BK4142" s="153"/>
      <c r="BL4142" s="153"/>
      <c r="BM4142" s="153"/>
      <c r="BN4142" s="153"/>
      <c r="BO4142" s="153"/>
      <c r="BP4142" s="153"/>
      <c r="BQ4142" s="153"/>
      <c r="BR4142" s="153"/>
      <c r="BS4142" s="153"/>
      <c r="BT4142" s="153"/>
      <c r="BU4142" s="153"/>
      <c r="BV4142" s="153"/>
      <c r="BW4142" s="153"/>
      <c r="BX4142" s="153"/>
      <c r="BY4142" s="153"/>
      <c r="BZ4142" s="153"/>
      <c r="CA4142" s="152"/>
      <c r="CB4142" s="152"/>
    </row>
    <row r="4143" spans="1:80" s="87" customFormat="1" x14ac:dyDescent="0.2">
      <c r="A4143" s="152"/>
      <c r="B4143" s="683"/>
      <c r="C4143" s="683"/>
      <c r="D4143" s="698"/>
      <c r="E4143" s="215"/>
      <c r="F4143" s="215"/>
      <c r="G4143" s="153"/>
      <c r="H4143" s="153"/>
      <c r="I4143" s="153"/>
      <c r="J4143" s="153"/>
      <c r="K4143" s="153"/>
      <c r="L4143" s="653"/>
      <c r="M4143" s="663">
        <v>34817</v>
      </c>
      <c r="N4143" s="600">
        <v>0.16591</v>
      </c>
      <c r="O4143" s="604"/>
      <c r="P4143" s="250"/>
      <c r="Q4143" s="250"/>
      <c r="R4143" s="250"/>
      <c r="S4143" s="250"/>
      <c r="T4143" s="250"/>
      <c r="U4143" s="250"/>
      <c r="V4143" s="250"/>
      <c r="W4143" s="250"/>
      <c r="X4143" s="250"/>
      <c r="Y4143" s="250"/>
      <c r="Z4143" s="150"/>
      <c r="AA4143" s="150"/>
      <c r="AB4143" s="152"/>
      <c r="AC4143" s="152"/>
      <c r="AD4143" s="223">
        <v>2.2249669999999999</v>
      </c>
      <c r="AE4143" s="223">
        <v>0.161121179</v>
      </c>
      <c r="AF4143" s="223">
        <v>0.35847794599999999</v>
      </c>
      <c r="AG4143" s="223">
        <v>0.46283218500000001</v>
      </c>
      <c r="AH4143" s="341"/>
      <c r="AI4143" s="218"/>
      <c r="AJ4143" s="218"/>
      <c r="AK4143" s="153"/>
      <c r="AL4143" s="152"/>
      <c r="AM4143" s="152"/>
      <c r="AN4143" s="152"/>
      <c r="AO4143" s="152"/>
      <c r="AP4143" s="152"/>
      <c r="AQ4143" s="152"/>
      <c r="AR4143" s="152"/>
      <c r="AS4143" s="152"/>
      <c r="AT4143" s="152"/>
      <c r="AU4143" s="153"/>
      <c r="AV4143" s="479"/>
      <c r="AW4143" s="479"/>
      <c r="AX4143" s="442"/>
      <c r="AY4143" s="153"/>
      <c r="AZ4143" s="152"/>
      <c r="BA4143" s="152"/>
      <c r="BB4143" s="152"/>
      <c r="BC4143" s="152"/>
      <c r="BD4143" s="152"/>
      <c r="BE4143" s="152"/>
      <c r="BF4143" s="152"/>
      <c r="BG4143" s="152"/>
      <c r="BH4143" s="152"/>
      <c r="BI4143" s="153"/>
      <c r="BJ4143" s="153"/>
      <c r="BK4143" s="153"/>
      <c r="BL4143" s="153"/>
      <c r="BM4143" s="153"/>
      <c r="BN4143" s="153"/>
      <c r="BO4143" s="153"/>
      <c r="BP4143" s="153"/>
      <c r="BQ4143" s="153"/>
      <c r="BR4143" s="153"/>
      <c r="BS4143" s="153"/>
      <c r="BT4143" s="153"/>
      <c r="BU4143" s="153"/>
      <c r="BV4143" s="153"/>
      <c r="BW4143" s="153"/>
      <c r="BX4143" s="153"/>
      <c r="BY4143" s="153"/>
      <c r="BZ4143" s="153"/>
      <c r="CA4143" s="152"/>
      <c r="CB4143" s="152"/>
    </row>
    <row r="4144" spans="1:80" s="87" customFormat="1" x14ac:dyDescent="0.2">
      <c r="A4144" s="152"/>
      <c r="B4144" s="683"/>
      <c r="C4144" s="683"/>
      <c r="D4144" s="698"/>
      <c r="E4144" s="215"/>
      <c r="F4144" s="215"/>
      <c r="G4144" s="153"/>
      <c r="H4144" s="153"/>
      <c r="I4144" s="153"/>
      <c r="J4144" s="153"/>
      <c r="K4144" s="153"/>
      <c r="L4144" s="653"/>
      <c r="M4144" s="663">
        <v>34824</v>
      </c>
      <c r="N4144" s="600">
        <v>0.22225</v>
      </c>
      <c r="O4144" s="604"/>
      <c r="P4144" s="250"/>
      <c r="Q4144" s="250"/>
      <c r="R4144" s="250"/>
      <c r="S4144" s="250"/>
      <c r="T4144" s="250"/>
      <c r="U4144" s="250"/>
      <c r="V4144" s="250"/>
      <c r="W4144" s="250"/>
      <c r="X4144" s="250"/>
      <c r="Y4144" s="250"/>
      <c r="Z4144" s="150"/>
      <c r="AA4144" s="150"/>
      <c r="AB4144" s="152"/>
      <c r="AC4144" s="152"/>
      <c r="AD4144" s="223">
        <v>2.2249669999999999</v>
      </c>
      <c r="AE4144" s="223">
        <v>0.18256085999999999</v>
      </c>
      <c r="AF4144" s="223">
        <v>0.40617901499999998</v>
      </c>
      <c r="AG4144" s="223">
        <v>0.547193025</v>
      </c>
      <c r="AH4144" s="341"/>
      <c r="AI4144" s="218"/>
      <c r="AJ4144" s="218"/>
      <c r="AK4144" s="153"/>
      <c r="AL4144" s="152"/>
      <c r="AM4144" s="152"/>
      <c r="AN4144" s="152"/>
      <c r="AO4144" s="152"/>
      <c r="AP4144" s="152"/>
      <c r="AQ4144" s="152"/>
      <c r="AR4144" s="152"/>
      <c r="AS4144" s="152"/>
      <c r="AT4144" s="152"/>
      <c r="AU4144" s="153"/>
      <c r="AV4144" s="479"/>
      <c r="AW4144" s="479"/>
      <c r="AX4144" s="442"/>
      <c r="AY4144" s="153"/>
      <c r="AZ4144" s="152"/>
      <c r="BA4144" s="152"/>
      <c r="BB4144" s="152"/>
      <c r="BC4144" s="152"/>
      <c r="BD4144" s="152"/>
      <c r="BE4144" s="152"/>
      <c r="BF4144" s="152"/>
      <c r="BG4144" s="152"/>
      <c r="BH4144" s="152"/>
      <c r="BI4144" s="153"/>
      <c r="BJ4144" s="153"/>
      <c r="BK4144" s="153"/>
      <c r="BL4144" s="153"/>
      <c r="BM4144" s="153"/>
      <c r="BN4144" s="153"/>
      <c r="BO4144" s="153"/>
      <c r="BP4144" s="153"/>
      <c r="BQ4144" s="153"/>
      <c r="BR4144" s="153"/>
      <c r="BS4144" s="153"/>
      <c r="BT4144" s="153"/>
      <c r="BU4144" s="153"/>
      <c r="BV4144" s="153"/>
      <c r="BW4144" s="153"/>
      <c r="BX4144" s="153"/>
      <c r="BY4144" s="153"/>
      <c r="BZ4144" s="153"/>
      <c r="CA4144" s="152"/>
      <c r="CB4144" s="152"/>
    </row>
    <row r="4145" spans="1:80" s="87" customFormat="1" x14ac:dyDescent="0.2">
      <c r="A4145" s="152"/>
      <c r="B4145" s="683"/>
      <c r="C4145" s="683"/>
      <c r="D4145" s="698"/>
      <c r="E4145" s="215"/>
      <c r="F4145" s="215"/>
      <c r="G4145" s="153"/>
      <c r="H4145" s="153"/>
      <c r="I4145" s="153"/>
      <c r="J4145" s="153"/>
      <c r="K4145" s="153"/>
      <c r="L4145" s="653"/>
      <c r="M4145" s="663">
        <v>35254</v>
      </c>
      <c r="N4145" s="600">
        <v>0.39072000000000001</v>
      </c>
      <c r="O4145" s="604"/>
      <c r="P4145" s="250"/>
      <c r="Q4145" s="250"/>
      <c r="R4145" s="250"/>
      <c r="S4145" s="250"/>
      <c r="T4145" s="250"/>
      <c r="U4145" s="250"/>
      <c r="V4145" s="250"/>
      <c r="W4145" s="250"/>
      <c r="X4145" s="250"/>
      <c r="Y4145" s="250"/>
      <c r="Z4145" s="150"/>
      <c r="AA4145" s="150"/>
      <c r="AB4145" s="152"/>
      <c r="AC4145" s="152"/>
      <c r="AD4145" s="223">
        <v>3.2307739999999998</v>
      </c>
      <c r="AE4145" s="223">
        <v>0.15167615600000001</v>
      </c>
      <c r="AF4145" s="223">
        <v>0.49001584999999998</v>
      </c>
      <c r="AG4145" s="223">
        <v>0.79563190500000003</v>
      </c>
      <c r="AH4145" s="341"/>
      <c r="AI4145" s="218"/>
      <c r="AJ4145" s="218"/>
      <c r="AK4145" s="153"/>
      <c r="AL4145" s="152"/>
      <c r="AM4145" s="152"/>
      <c r="AN4145" s="152"/>
      <c r="AO4145" s="152"/>
      <c r="AP4145" s="152"/>
      <c r="AQ4145" s="152"/>
      <c r="AR4145" s="152"/>
      <c r="AS4145" s="152"/>
      <c r="AT4145" s="152"/>
      <c r="AU4145" s="153"/>
      <c r="AV4145" s="479"/>
      <c r="AW4145" s="479"/>
      <c r="AX4145" s="442"/>
      <c r="AY4145" s="153"/>
      <c r="AZ4145" s="152"/>
      <c r="BA4145" s="152"/>
      <c r="BB4145" s="152"/>
      <c r="BC4145" s="152"/>
      <c r="BD4145" s="152"/>
      <c r="BE4145" s="152"/>
      <c r="BF4145" s="152"/>
      <c r="BG4145" s="152"/>
      <c r="BH4145" s="152"/>
      <c r="BI4145" s="153"/>
      <c r="BJ4145" s="153"/>
      <c r="BK4145" s="153"/>
      <c r="BL4145" s="153"/>
      <c r="BM4145" s="153"/>
      <c r="BN4145" s="153"/>
      <c r="BO4145" s="153"/>
      <c r="BP4145" s="153"/>
      <c r="BQ4145" s="153"/>
      <c r="BR4145" s="153"/>
      <c r="BS4145" s="153"/>
      <c r="BT4145" s="153"/>
      <c r="BU4145" s="153"/>
      <c r="BV4145" s="153"/>
      <c r="BW4145" s="153"/>
      <c r="BX4145" s="153"/>
      <c r="BY4145" s="153"/>
      <c r="BZ4145" s="153"/>
      <c r="CA4145" s="152"/>
      <c r="CB4145" s="152"/>
    </row>
    <row r="4146" spans="1:80" s="87" customFormat="1" x14ac:dyDescent="0.2">
      <c r="A4146" s="152"/>
      <c r="B4146" s="683"/>
      <c r="C4146" s="683"/>
      <c r="D4146" s="698"/>
      <c r="E4146" s="215"/>
      <c r="F4146" s="215"/>
      <c r="G4146" s="153"/>
      <c r="H4146" s="153"/>
      <c r="I4146" s="153"/>
      <c r="J4146" s="153"/>
      <c r="K4146" s="153"/>
      <c r="L4146" s="653"/>
      <c r="M4146" s="663">
        <v>35268</v>
      </c>
      <c r="N4146" s="600">
        <v>0.23130999999999999</v>
      </c>
      <c r="O4146" s="604"/>
      <c r="P4146" s="250"/>
      <c r="Q4146" s="250"/>
      <c r="R4146" s="250"/>
      <c r="S4146" s="250"/>
      <c r="T4146" s="250"/>
      <c r="U4146" s="250"/>
      <c r="V4146" s="250"/>
      <c r="W4146" s="250"/>
      <c r="X4146" s="250"/>
      <c r="Y4146" s="250"/>
      <c r="Z4146" s="150"/>
      <c r="AA4146" s="150"/>
      <c r="AB4146" s="152"/>
      <c r="AC4146" s="152"/>
      <c r="AD4146" s="223">
        <v>3.078379</v>
      </c>
      <c r="AE4146" s="223">
        <v>0.115699491</v>
      </c>
      <c r="AF4146" s="223">
        <v>0.35615559600000002</v>
      </c>
      <c r="AG4146" s="223">
        <v>0.64948729800000005</v>
      </c>
      <c r="AH4146" s="341"/>
      <c r="AI4146" s="218"/>
      <c r="AJ4146" s="218"/>
      <c r="AK4146" s="153"/>
      <c r="AL4146" s="152"/>
      <c r="AM4146" s="152"/>
      <c r="AN4146" s="152"/>
      <c r="AO4146" s="152"/>
      <c r="AP4146" s="152"/>
      <c r="AQ4146" s="152"/>
      <c r="AR4146" s="152"/>
      <c r="AS4146" s="152"/>
      <c r="AT4146" s="152"/>
      <c r="AU4146" s="153"/>
      <c r="AV4146" s="479"/>
      <c r="AW4146" s="479"/>
      <c r="AX4146" s="442"/>
      <c r="AY4146" s="153"/>
      <c r="AZ4146" s="152"/>
      <c r="BA4146" s="152"/>
      <c r="BB4146" s="152"/>
      <c r="BC4146" s="152"/>
      <c r="BD4146" s="152"/>
      <c r="BE4146" s="152"/>
      <c r="BF4146" s="152"/>
      <c r="BG4146" s="152"/>
      <c r="BH4146" s="152"/>
      <c r="BI4146" s="153"/>
      <c r="BJ4146" s="153"/>
      <c r="BK4146" s="153"/>
      <c r="BL4146" s="153"/>
      <c r="BM4146" s="153"/>
      <c r="BN4146" s="153"/>
      <c r="BO4146" s="153"/>
      <c r="BP4146" s="153"/>
      <c r="BQ4146" s="153"/>
      <c r="BR4146" s="153"/>
      <c r="BS4146" s="153"/>
      <c r="BT4146" s="153"/>
      <c r="BU4146" s="153"/>
      <c r="BV4146" s="153"/>
      <c r="BW4146" s="153"/>
      <c r="BX4146" s="153"/>
      <c r="BY4146" s="153"/>
      <c r="BZ4146" s="153"/>
      <c r="CA4146" s="152"/>
      <c r="CB4146" s="152"/>
    </row>
    <row r="4147" spans="1:80" s="87" customFormat="1" x14ac:dyDescent="0.2">
      <c r="A4147" s="152"/>
      <c r="B4147" s="683"/>
      <c r="C4147" s="683"/>
      <c r="D4147" s="698"/>
      <c r="E4147" s="215"/>
      <c r="F4147" s="215"/>
      <c r="G4147" s="153"/>
      <c r="H4147" s="153"/>
      <c r="I4147" s="153"/>
      <c r="J4147" s="153"/>
      <c r="K4147" s="153"/>
      <c r="L4147" s="653"/>
      <c r="M4147" s="663">
        <v>35305</v>
      </c>
      <c r="N4147" s="600">
        <v>0.10561</v>
      </c>
      <c r="O4147" s="604"/>
      <c r="P4147" s="250"/>
      <c r="Q4147" s="250"/>
      <c r="R4147" s="250"/>
      <c r="S4147" s="250"/>
      <c r="T4147" s="250"/>
      <c r="U4147" s="250"/>
      <c r="V4147" s="250"/>
      <c r="W4147" s="250"/>
      <c r="X4147" s="250"/>
      <c r="Y4147" s="250"/>
      <c r="Z4147" s="150"/>
      <c r="AA4147" s="150"/>
      <c r="AB4147" s="152"/>
      <c r="AC4147" s="152"/>
      <c r="AD4147" s="223">
        <v>2.8345470000000001</v>
      </c>
      <c r="AE4147" s="223">
        <v>9.4484899999999997E-2</v>
      </c>
      <c r="AF4147" s="223">
        <v>0.26781340199999998</v>
      </c>
      <c r="AG4147" s="223">
        <v>0.394334617</v>
      </c>
      <c r="AH4147" s="341"/>
      <c r="AI4147" s="218"/>
      <c r="AJ4147" s="218"/>
      <c r="AK4147" s="153"/>
      <c r="AL4147" s="152"/>
      <c r="AM4147" s="152"/>
      <c r="AN4147" s="152"/>
      <c r="AO4147" s="152"/>
      <c r="AP4147" s="152"/>
      <c r="AQ4147" s="152"/>
      <c r="AR4147" s="152"/>
      <c r="AS4147" s="152"/>
      <c r="AT4147" s="152"/>
      <c r="AU4147" s="153"/>
      <c r="AV4147" s="479"/>
      <c r="AW4147" s="479"/>
      <c r="AX4147" s="442"/>
      <c r="AY4147" s="153"/>
      <c r="AZ4147" s="152"/>
      <c r="BA4147" s="152"/>
      <c r="BB4147" s="152"/>
      <c r="BC4147" s="152"/>
      <c r="BD4147" s="152"/>
      <c r="BE4147" s="152"/>
      <c r="BF4147" s="152"/>
      <c r="BG4147" s="152"/>
      <c r="BH4147" s="152"/>
      <c r="BI4147" s="153"/>
      <c r="BJ4147" s="153"/>
      <c r="BK4147" s="153"/>
      <c r="BL4147" s="153"/>
      <c r="BM4147" s="153"/>
      <c r="BN4147" s="153"/>
      <c r="BO4147" s="153"/>
      <c r="BP4147" s="153"/>
      <c r="BQ4147" s="153"/>
      <c r="BR4147" s="153"/>
      <c r="BS4147" s="153"/>
      <c r="BT4147" s="153"/>
      <c r="BU4147" s="153"/>
      <c r="BV4147" s="153"/>
      <c r="BW4147" s="153"/>
      <c r="BX4147" s="153"/>
      <c r="BY4147" s="153"/>
      <c r="BZ4147" s="153"/>
      <c r="CA4147" s="152"/>
      <c r="CB4147" s="152"/>
    </row>
    <row r="4148" spans="1:80" s="87" customFormat="1" ht="15" x14ac:dyDescent="0.25">
      <c r="A4148" s="152"/>
      <c r="B4148" s="683"/>
      <c r="C4148" s="683"/>
      <c r="D4148" s="698"/>
      <c r="E4148" s="215"/>
      <c r="F4148" s="215"/>
      <c r="G4148" s="153"/>
      <c r="H4148" s="153"/>
      <c r="I4148" s="163">
        <v>5</v>
      </c>
      <c r="J4148" s="322">
        <v>60</v>
      </c>
      <c r="K4148" s="163">
        <v>2</v>
      </c>
      <c r="L4148" s="656">
        <v>10</v>
      </c>
      <c r="M4148" s="663">
        <v>33380</v>
      </c>
      <c r="N4148" s="600">
        <v>0.23130999999999999</v>
      </c>
      <c r="O4148" s="604">
        <v>1.7420000000000001E-3</v>
      </c>
      <c r="P4148" s="250"/>
      <c r="Q4148" s="250"/>
      <c r="R4148" s="250"/>
      <c r="S4148" s="250">
        <v>0.13730000000000001</v>
      </c>
      <c r="T4148" s="250">
        <v>0.16309999999999999</v>
      </c>
      <c r="U4148" s="250">
        <v>0.1953</v>
      </c>
      <c r="V4148" s="250">
        <v>0.2661</v>
      </c>
      <c r="W4148" s="250">
        <v>0.14810000000000001</v>
      </c>
      <c r="X4148" s="250">
        <v>9.0100000000000013E-2</v>
      </c>
      <c r="Y4148" s="250"/>
      <c r="Z4148" s="150"/>
      <c r="AA4148" s="150"/>
      <c r="AB4148" s="152"/>
      <c r="AC4148" s="152"/>
      <c r="AD4148" s="223">
        <v>2.3773620000000002</v>
      </c>
      <c r="AE4148" s="223">
        <v>0.22820174400000001</v>
      </c>
      <c r="AF4148" s="223">
        <v>0.54250096000000003</v>
      </c>
      <c r="AG4148" s="223">
        <v>0.42639285999999998</v>
      </c>
      <c r="AH4148" s="341"/>
      <c r="AI4148" s="218"/>
      <c r="AJ4148" s="218"/>
      <c r="AK4148" s="153"/>
      <c r="AL4148" s="152"/>
      <c r="AM4148" s="152"/>
      <c r="AN4148" s="152"/>
      <c r="AO4148" s="152"/>
      <c r="AP4148" s="152"/>
      <c r="AQ4148" s="152"/>
      <c r="AR4148" s="152"/>
      <c r="AS4148" s="152"/>
      <c r="AT4148" s="152"/>
      <c r="AU4148" s="153"/>
      <c r="AV4148" s="479"/>
      <c r="AW4148" s="479"/>
      <c r="AX4148" s="442"/>
      <c r="AY4148" s="153"/>
      <c r="AZ4148" s="152"/>
      <c r="BA4148" s="152"/>
      <c r="BB4148" s="152"/>
      <c r="BC4148" s="152"/>
      <c r="BD4148" s="152"/>
      <c r="BE4148" s="152"/>
      <c r="BF4148" s="152"/>
      <c r="BG4148" s="152"/>
      <c r="BH4148" s="152"/>
      <c r="BI4148" s="153"/>
      <c r="BJ4148" s="153"/>
      <c r="BK4148" s="153"/>
      <c r="BL4148" s="153"/>
      <c r="BM4148" s="153"/>
      <c r="BN4148" s="153"/>
      <c r="BO4148" s="153"/>
      <c r="BP4148" s="153"/>
      <c r="BQ4148" s="153"/>
      <c r="BR4148" s="153"/>
      <c r="BS4148" s="153"/>
      <c r="BT4148" s="153"/>
      <c r="BU4148" s="153"/>
      <c r="BV4148" s="153"/>
      <c r="BW4148" s="153"/>
      <c r="BX4148" s="153"/>
      <c r="BY4148" s="153"/>
      <c r="BZ4148" s="153"/>
      <c r="CA4148" s="152"/>
      <c r="CB4148" s="152"/>
    </row>
    <row r="4149" spans="1:80" s="87" customFormat="1" ht="15" x14ac:dyDescent="0.25">
      <c r="A4149" s="152"/>
      <c r="B4149" s="683"/>
      <c r="C4149" s="683"/>
      <c r="D4149" s="698"/>
      <c r="E4149" s="215"/>
      <c r="F4149" s="215"/>
      <c r="G4149" s="153"/>
      <c r="H4149" s="153"/>
      <c r="I4149" s="163">
        <v>6</v>
      </c>
      <c r="J4149" s="322">
        <v>60</v>
      </c>
      <c r="K4149" s="163">
        <v>2</v>
      </c>
      <c r="L4149" s="656">
        <v>12</v>
      </c>
      <c r="M4149" s="663">
        <v>33393</v>
      </c>
      <c r="N4149" s="600">
        <v>0.29161999999999999</v>
      </c>
      <c r="O4149" s="604">
        <v>4.6389999999999999E-3</v>
      </c>
      <c r="P4149" s="250"/>
      <c r="Q4149" s="250"/>
      <c r="R4149" s="250"/>
      <c r="S4149" s="250">
        <v>5.67E-2</v>
      </c>
      <c r="T4149" s="250">
        <v>7.8200000000000006E-2</v>
      </c>
      <c r="U4149" s="250">
        <v>0.2082</v>
      </c>
      <c r="V4149" s="250">
        <v>0.34460000000000002</v>
      </c>
      <c r="W4149" s="250">
        <v>0.18309999999999998</v>
      </c>
      <c r="X4149" s="250">
        <v>0.12920000000000001</v>
      </c>
      <c r="Y4149" s="250"/>
      <c r="Z4149" s="150"/>
      <c r="AA4149" s="150"/>
      <c r="AB4149" s="152"/>
      <c r="AC4149" s="152"/>
      <c r="AD4149" s="223">
        <v>2.43832</v>
      </c>
      <c r="AE4149" s="223">
        <v>0.244708271</v>
      </c>
      <c r="AF4149" s="223">
        <v>0.59665816199999999</v>
      </c>
      <c r="AG4149" s="223">
        <v>0.48829037800000002</v>
      </c>
      <c r="AH4149" s="341"/>
      <c r="AI4149" s="218"/>
      <c r="AJ4149" s="218"/>
      <c r="AK4149" s="153"/>
      <c r="AL4149" s="152"/>
      <c r="AM4149" s="152"/>
      <c r="AN4149" s="152"/>
      <c r="AO4149" s="152"/>
      <c r="AP4149" s="152"/>
      <c r="AQ4149" s="152"/>
      <c r="AR4149" s="152"/>
      <c r="AS4149" s="152"/>
      <c r="AT4149" s="152"/>
      <c r="AU4149" s="153"/>
      <c r="AV4149" s="479"/>
      <c r="AW4149" s="479"/>
      <c r="AX4149" s="442"/>
      <c r="AY4149" s="153"/>
      <c r="AZ4149" s="152"/>
      <c r="BA4149" s="152"/>
      <c r="BB4149" s="152"/>
      <c r="BC4149" s="152"/>
      <c r="BD4149" s="152"/>
      <c r="BE4149" s="152"/>
      <c r="BF4149" s="152"/>
      <c r="BG4149" s="152"/>
      <c r="BH4149" s="152"/>
      <c r="BI4149" s="153"/>
      <c r="BJ4149" s="153"/>
      <c r="BK4149" s="153"/>
      <c r="BL4149" s="153"/>
      <c r="BM4149" s="153"/>
      <c r="BN4149" s="153"/>
      <c r="BO4149" s="153"/>
      <c r="BP4149" s="153"/>
      <c r="BQ4149" s="153"/>
      <c r="BR4149" s="153"/>
      <c r="BS4149" s="153"/>
      <c r="BT4149" s="153"/>
      <c r="BU4149" s="153"/>
      <c r="BV4149" s="153"/>
      <c r="BW4149" s="153"/>
      <c r="BX4149" s="153"/>
      <c r="BY4149" s="153"/>
      <c r="BZ4149" s="153"/>
      <c r="CA4149" s="152"/>
      <c r="CB4149" s="152"/>
    </row>
    <row r="4150" spans="1:80" s="87" customFormat="1" ht="15" x14ac:dyDescent="0.25">
      <c r="A4150" s="152"/>
      <c r="B4150" s="683"/>
      <c r="C4150" s="683"/>
      <c r="D4150" s="698"/>
      <c r="E4150" s="215"/>
      <c r="F4150" s="215"/>
      <c r="G4150" s="153"/>
      <c r="H4150" s="153"/>
      <c r="I4150" s="163">
        <v>7</v>
      </c>
      <c r="J4150" s="322">
        <v>60</v>
      </c>
      <c r="K4150" s="163">
        <v>2</v>
      </c>
      <c r="L4150" s="656">
        <v>14</v>
      </c>
      <c r="M4150" s="663">
        <v>33403</v>
      </c>
      <c r="N4150" s="600">
        <v>0.3624</v>
      </c>
      <c r="O4150" s="604">
        <v>5.1529999999999996E-3</v>
      </c>
      <c r="P4150" s="250"/>
      <c r="Q4150" s="250"/>
      <c r="R4150" s="250">
        <v>3.6000000000000004E-2</v>
      </c>
      <c r="S4150" s="250">
        <v>1.32E-2</v>
      </c>
      <c r="T4150" s="250">
        <v>0.12740000000000001</v>
      </c>
      <c r="U4150" s="250">
        <v>0.24059999999999998</v>
      </c>
      <c r="V4150" s="250">
        <v>0.31370000000000003</v>
      </c>
      <c r="W4150" s="250">
        <v>0.1726</v>
      </c>
      <c r="X4150" s="250">
        <v>9.6399999999999986E-2</v>
      </c>
      <c r="Y4150" s="250"/>
      <c r="Z4150" s="150"/>
      <c r="AA4150" s="150"/>
      <c r="AB4150" s="152"/>
      <c r="AC4150" s="152"/>
      <c r="AD4150" s="223">
        <v>2.4687990000000002</v>
      </c>
      <c r="AE4150" s="223">
        <v>0.23890268000000001</v>
      </c>
      <c r="AF4150" s="223">
        <v>0.58978400600000003</v>
      </c>
      <c r="AG4150" s="223">
        <v>0.61207631100000004</v>
      </c>
      <c r="AH4150" s="341"/>
      <c r="AI4150" s="218"/>
      <c r="AJ4150" s="218"/>
      <c r="AK4150" s="153"/>
      <c r="AL4150" s="152"/>
      <c r="AM4150" s="152"/>
      <c r="AN4150" s="152"/>
      <c r="AO4150" s="152"/>
      <c r="AP4150" s="152"/>
      <c r="AQ4150" s="152"/>
      <c r="AR4150" s="152"/>
      <c r="AS4150" s="152"/>
      <c r="AT4150" s="152"/>
      <c r="AU4150" s="153"/>
      <c r="AV4150" s="479"/>
      <c r="AW4150" s="479"/>
      <c r="AX4150" s="442"/>
      <c r="AY4150" s="153"/>
      <c r="AZ4150" s="152"/>
      <c r="BA4150" s="152"/>
      <c r="BB4150" s="152"/>
      <c r="BC4150" s="152"/>
      <c r="BD4150" s="152"/>
      <c r="BE4150" s="152"/>
      <c r="BF4150" s="152"/>
      <c r="BG4150" s="152"/>
      <c r="BH4150" s="152"/>
      <c r="BI4150" s="153"/>
      <c r="BJ4150" s="153"/>
      <c r="BK4150" s="153"/>
      <c r="BL4150" s="153"/>
      <c r="BM4150" s="153"/>
      <c r="BN4150" s="153"/>
      <c r="BO4150" s="153"/>
      <c r="BP4150" s="153"/>
      <c r="BQ4150" s="153"/>
      <c r="BR4150" s="153"/>
      <c r="BS4150" s="153"/>
      <c r="BT4150" s="153"/>
      <c r="BU4150" s="153"/>
      <c r="BV4150" s="153"/>
      <c r="BW4150" s="153"/>
      <c r="BX4150" s="153"/>
      <c r="BY4150" s="153"/>
      <c r="BZ4150" s="153"/>
      <c r="CA4150" s="152"/>
      <c r="CB4150" s="152"/>
    </row>
    <row r="4151" spans="1:80" s="87" customFormat="1" ht="15" x14ac:dyDescent="0.25">
      <c r="A4151" s="152"/>
      <c r="B4151" s="683"/>
      <c r="C4151" s="683"/>
      <c r="D4151" s="698"/>
      <c r="E4151" s="215"/>
      <c r="F4151" s="215"/>
      <c r="G4151" s="153"/>
      <c r="H4151" s="153"/>
      <c r="I4151" s="163">
        <v>6</v>
      </c>
      <c r="J4151" s="322">
        <v>60</v>
      </c>
      <c r="K4151" s="163">
        <v>2</v>
      </c>
      <c r="L4151" s="656">
        <v>12</v>
      </c>
      <c r="M4151" s="663">
        <v>34093</v>
      </c>
      <c r="N4151" s="600">
        <v>0.1996</v>
      </c>
      <c r="O4151" s="604">
        <v>2.5709999999999999E-3</v>
      </c>
      <c r="P4151" s="250"/>
      <c r="Q4151" s="250"/>
      <c r="R4151" s="250"/>
      <c r="S4151" s="250">
        <v>5.74E-2</v>
      </c>
      <c r="T4151" s="250">
        <v>0.16739999999999999</v>
      </c>
      <c r="U4151" s="250">
        <v>0.13200000000000001</v>
      </c>
      <c r="V4151" s="250">
        <v>0.1797</v>
      </c>
      <c r="W4151" s="250">
        <v>0.21629999999999999</v>
      </c>
      <c r="X4151" s="250">
        <v>0.24679999999999999</v>
      </c>
      <c r="Y4151" s="250"/>
      <c r="Z4151" s="150"/>
      <c r="AA4151" s="150"/>
      <c r="AB4151" s="152"/>
      <c r="AC4151" s="152"/>
      <c r="AD4151" s="223">
        <v>2.1944880000000002</v>
      </c>
      <c r="AE4151" s="223">
        <v>0.20562742000000001</v>
      </c>
      <c r="AF4151" s="223">
        <v>0.45123260500000001</v>
      </c>
      <c r="AG4151" s="223">
        <v>0.44236119400000001</v>
      </c>
      <c r="AH4151" s="341"/>
      <c r="AI4151" s="218"/>
      <c r="AJ4151" s="218"/>
      <c r="AK4151" s="153"/>
      <c r="AL4151" s="152"/>
      <c r="AM4151" s="152"/>
      <c r="AN4151" s="152"/>
      <c r="AO4151" s="152"/>
      <c r="AP4151" s="152"/>
      <c r="AQ4151" s="152"/>
      <c r="AR4151" s="152"/>
      <c r="AS4151" s="152"/>
      <c r="AT4151" s="152"/>
      <c r="AU4151" s="153"/>
      <c r="AV4151" s="479"/>
      <c r="AW4151" s="479"/>
      <c r="AX4151" s="442"/>
      <c r="AY4151" s="153"/>
      <c r="AZ4151" s="152"/>
      <c r="BA4151" s="152"/>
      <c r="BB4151" s="152"/>
      <c r="BC4151" s="152"/>
      <c r="BD4151" s="152"/>
      <c r="BE4151" s="152"/>
      <c r="BF4151" s="152"/>
      <c r="BG4151" s="152"/>
      <c r="BH4151" s="152"/>
      <c r="BI4151" s="153"/>
      <c r="BJ4151" s="153"/>
      <c r="BK4151" s="153"/>
      <c r="BL4151" s="153"/>
      <c r="BM4151" s="153"/>
      <c r="BN4151" s="153"/>
      <c r="BO4151" s="153"/>
      <c r="BP4151" s="153"/>
      <c r="BQ4151" s="153"/>
      <c r="BR4151" s="153"/>
      <c r="BS4151" s="153"/>
      <c r="BT4151" s="153"/>
      <c r="BU4151" s="153"/>
      <c r="BV4151" s="153"/>
      <c r="BW4151" s="153"/>
      <c r="BX4151" s="153"/>
      <c r="BY4151" s="153"/>
      <c r="BZ4151" s="153"/>
      <c r="CA4151" s="152"/>
      <c r="CB4151" s="152"/>
    </row>
    <row r="4152" spans="1:80" s="87" customFormat="1" ht="15" x14ac:dyDescent="0.25">
      <c r="A4152" s="152"/>
      <c r="B4152" s="683"/>
      <c r="C4152" s="683"/>
      <c r="D4152" s="698"/>
      <c r="E4152" s="215"/>
      <c r="F4152" s="215"/>
      <c r="G4152" s="153"/>
      <c r="H4152" s="153"/>
      <c r="I4152" s="163">
        <v>6</v>
      </c>
      <c r="J4152" s="322">
        <v>60</v>
      </c>
      <c r="K4152" s="163">
        <v>2</v>
      </c>
      <c r="L4152" s="656">
        <v>12</v>
      </c>
      <c r="M4152" s="663">
        <v>34101</v>
      </c>
      <c r="N4152" s="600">
        <v>0.24151</v>
      </c>
      <c r="O4152" s="604">
        <v>1.3849999999999999E-3</v>
      </c>
      <c r="P4152" s="250"/>
      <c r="Q4152" s="250"/>
      <c r="R4152" s="250"/>
      <c r="S4152" s="250">
        <v>2.63E-2</v>
      </c>
      <c r="T4152" s="250">
        <v>0.11720000000000001</v>
      </c>
      <c r="U4152" s="250">
        <v>0.10279999999999999</v>
      </c>
      <c r="V4152" s="250">
        <v>0.23199999999999998</v>
      </c>
      <c r="W4152" s="250">
        <v>0.27750000000000002</v>
      </c>
      <c r="X4152" s="250">
        <v>0.24390000000000001</v>
      </c>
      <c r="Y4152" s="250"/>
      <c r="Z4152" s="150"/>
      <c r="AA4152" s="150"/>
      <c r="AB4152" s="152"/>
      <c r="AC4152" s="152"/>
      <c r="AD4152" s="223">
        <v>2.2554460000000001</v>
      </c>
      <c r="AE4152" s="223">
        <v>0.216339118</v>
      </c>
      <c r="AF4152" s="223">
        <v>0.48792573500000003</v>
      </c>
      <c r="AG4152" s="223">
        <v>0.49497547800000002</v>
      </c>
      <c r="AH4152" s="341"/>
      <c r="AI4152" s="218"/>
      <c r="AJ4152" s="218"/>
      <c r="AK4152" s="153"/>
      <c r="AL4152" s="152"/>
      <c r="AM4152" s="152"/>
      <c r="AN4152" s="152"/>
      <c r="AO4152" s="152"/>
      <c r="AP4152" s="152"/>
      <c r="AQ4152" s="152"/>
      <c r="AR4152" s="152"/>
      <c r="AS4152" s="152"/>
      <c r="AT4152" s="152"/>
      <c r="AU4152" s="153"/>
      <c r="AV4152" s="479"/>
      <c r="AW4152" s="479"/>
      <c r="AX4152" s="442"/>
      <c r="AY4152" s="153"/>
      <c r="AZ4152" s="152"/>
      <c r="BA4152" s="152"/>
      <c r="BB4152" s="152"/>
      <c r="BC4152" s="152"/>
      <c r="BD4152" s="152"/>
      <c r="BE4152" s="152"/>
      <c r="BF4152" s="152"/>
      <c r="BG4152" s="152"/>
      <c r="BH4152" s="152"/>
      <c r="BI4152" s="153"/>
      <c r="BJ4152" s="153"/>
      <c r="BK4152" s="153"/>
      <c r="BL4152" s="153"/>
      <c r="BM4152" s="153"/>
      <c r="BN4152" s="153"/>
      <c r="BO4152" s="153"/>
      <c r="BP4152" s="153"/>
      <c r="BQ4152" s="153"/>
      <c r="BR4152" s="153"/>
      <c r="BS4152" s="153"/>
      <c r="BT4152" s="153"/>
      <c r="BU4152" s="153"/>
      <c r="BV4152" s="153"/>
      <c r="BW4152" s="153"/>
      <c r="BX4152" s="153"/>
      <c r="BY4152" s="153"/>
      <c r="BZ4152" s="153"/>
      <c r="CA4152" s="152"/>
      <c r="CB4152" s="152"/>
    </row>
    <row r="4153" spans="1:80" s="87" customFormat="1" ht="15" x14ac:dyDescent="0.25">
      <c r="A4153" s="152"/>
      <c r="B4153" s="683"/>
      <c r="C4153" s="683"/>
      <c r="D4153" s="698"/>
      <c r="E4153" s="215"/>
      <c r="F4153" s="215"/>
      <c r="G4153" s="153"/>
      <c r="H4153" s="153"/>
      <c r="I4153" s="163">
        <v>6</v>
      </c>
      <c r="J4153" s="322">
        <v>60</v>
      </c>
      <c r="K4153" s="163">
        <v>2</v>
      </c>
      <c r="L4153" s="656">
        <v>12</v>
      </c>
      <c r="M4153" s="663">
        <v>34106</v>
      </c>
      <c r="N4153" s="600">
        <v>0.39524999999999999</v>
      </c>
      <c r="O4153" s="604">
        <v>1.6163E-2</v>
      </c>
      <c r="P4153" s="250"/>
      <c r="Q4153" s="250"/>
      <c r="R4153" s="250">
        <v>1.0800000000000001E-2</v>
      </c>
      <c r="S4153" s="250">
        <v>4.4999999999999998E-2</v>
      </c>
      <c r="T4153" s="250">
        <v>0.1036</v>
      </c>
      <c r="U4153" s="250">
        <v>0.16760000000000003</v>
      </c>
      <c r="V4153" s="250">
        <v>0.26079999999999998</v>
      </c>
      <c r="W4153" s="250">
        <v>0.23769999999999999</v>
      </c>
      <c r="X4153" s="250">
        <v>0.1741</v>
      </c>
      <c r="Y4153" s="250"/>
      <c r="Z4153" s="150"/>
      <c r="AA4153" s="150"/>
      <c r="AB4153" s="152"/>
      <c r="AC4153" s="152"/>
      <c r="AD4153" s="223">
        <v>2.4992779999999999</v>
      </c>
      <c r="AE4153" s="223">
        <v>0.229521738</v>
      </c>
      <c r="AF4153" s="223">
        <v>0.57362044999999995</v>
      </c>
      <c r="AG4153" s="223">
        <v>0.68904751399999997</v>
      </c>
      <c r="AH4153" s="341"/>
      <c r="AI4153" s="218"/>
      <c r="AJ4153" s="218"/>
      <c r="AK4153" s="153"/>
      <c r="AL4153" s="152"/>
      <c r="AM4153" s="152"/>
      <c r="AN4153" s="152"/>
      <c r="AO4153" s="152"/>
      <c r="AP4153" s="152"/>
      <c r="AQ4153" s="152"/>
      <c r="AR4153" s="152"/>
      <c r="AS4153" s="152"/>
      <c r="AT4153" s="152"/>
      <c r="AU4153" s="153"/>
      <c r="AV4153" s="479"/>
      <c r="AW4153" s="479"/>
      <c r="AX4153" s="442"/>
      <c r="AY4153" s="153"/>
      <c r="AZ4153" s="152"/>
      <c r="BA4153" s="152"/>
      <c r="BB4153" s="152"/>
      <c r="BC4153" s="152"/>
      <c r="BD4153" s="152"/>
      <c r="BE4153" s="152"/>
      <c r="BF4153" s="152"/>
      <c r="BG4153" s="152"/>
      <c r="BH4153" s="152"/>
      <c r="BI4153" s="153"/>
      <c r="BJ4153" s="153"/>
      <c r="BK4153" s="153"/>
      <c r="BL4153" s="153"/>
      <c r="BM4153" s="153"/>
      <c r="BN4153" s="153"/>
      <c r="BO4153" s="153"/>
      <c r="BP4153" s="153"/>
      <c r="BQ4153" s="153"/>
      <c r="BR4153" s="153"/>
      <c r="BS4153" s="153"/>
      <c r="BT4153" s="153"/>
      <c r="BU4153" s="153"/>
      <c r="BV4153" s="153"/>
      <c r="BW4153" s="153"/>
      <c r="BX4153" s="153"/>
      <c r="BY4153" s="153"/>
      <c r="BZ4153" s="153"/>
      <c r="CA4153" s="152"/>
      <c r="CB4153" s="152"/>
    </row>
    <row r="4154" spans="1:80" s="87" customFormat="1" ht="15" x14ac:dyDescent="0.25">
      <c r="A4154" s="152"/>
      <c r="B4154" s="683"/>
      <c r="C4154" s="683"/>
      <c r="D4154" s="698"/>
      <c r="E4154" s="215"/>
      <c r="F4154" s="215"/>
      <c r="G4154" s="153"/>
      <c r="H4154" s="153"/>
      <c r="I4154" s="163">
        <v>6</v>
      </c>
      <c r="J4154" s="322">
        <v>60</v>
      </c>
      <c r="K4154" s="163">
        <v>2</v>
      </c>
      <c r="L4154" s="656">
        <v>12</v>
      </c>
      <c r="M4154" s="663">
        <v>34109</v>
      </c>
      <c r="N4154" s="600">
        <v>0.49264000000000002</v>
      </c>
      <c r="O4154" s="604">
        <v>1.291E-2</v>
      </c>
      <c r="P4154" s="250"/>
      <c r="Q4154" s="250"/>
      <c r="R4154" s="250"/>
      <c r="S4154" s="250">
        <v>7.1900000000000006E-2</v>
      </c>
      <c r="T4154" s="250">
        <v>7.7199999999999991E-2</v>
      </c>
      <c r="U4154" s="250">
        <v>0.17899999999999999</v>
      </c>
      <c r="V4154" s="250">
        <v>0.28460000000000002</v>
      </c>
      <c r="W4154" s="250">
        <v>0.22719999999999999</v>
      </c>
      <c r="X4154" s="250">
        <v>0.1598</v>
      </c>
      <c r="Y4154" s="250"/>
      <c r="Z4154" s="150"/>
      <c r="AA4154" s="150"/>
      <c r="AB4154" s="152"/>
      <c r="AC4154" s="152"/>
      <c r="AD4154" s="223">
        <v>2.529757</v>
      </c>
      <c r="AE4154" s="223">
        <v>0.26081578</v>
      </c>
      <c r="AF4154" s="223">
        <v>0.65977963500000003</v>
      </c>
      <c r="AG4154" s="223">
        <v>0.74582896200000004</v>
      </c>
      <c r="AH4154" s="341"/>
      <c r="AI4154" s="218"/>
      <c r="AJ4154" s="218"/>
      <c r="AK4154" s="153"/>
      <c r="AL4154" s="152"/>
      <c r="AM4154" s="152"/>
      <c r="AN4154" s="152"/>
      <c r="AO4154" s="152"/>
      <c r="AP4154" s="152"/>
      <c r="AQ4154" s="152"/>
      <c r="AR4154" s="152"/>
      <c r="AS4154" s="152"/>
      <c r="AT4154" s="152"/>
      <c r="AU4154" s="153"/>
      <c r="AV4154" s="479"/>
      <c r="AW4154" s="479"/>
      <c r="AX4154" s="442"/>
      <c r="AY4154" s="153"/>
      <c r="AZ4154" s="152"/>
      <c r="BA4154" s="152"/>
      <c r="BB4154" s="152"/>
      <c r="BC4154" s="152"/>
      <c r="BD4154" s="152"/>
      <c r="BE4154" s="152"/>
      <c r="BF4154" s="152"/>
      <c r="BG4154" s="152"/>
      <c r="BH4154" s="152"/>
      <c r="BI4154" s="153"/>
      <c r="BJ4154" s="153"/>
      <c r="BK4154" s="153"/>
      <c r="BL4154" s="153"/>
      <c r="BM4154" s="153"/>
      <c r="BN4154" s="153"/>
      <c r="BO4154" s="153"/>
      <c r="BP4154" s="153"/>
      <c r="BQ4154" s="153"/>
      <c r="BR4154" s="153"/>
      <c r="BS4154" s="153"/>
      <c r="BT4154" s="153"/>
      <c r="BU4154" s="153"/>
      <c r="BV4154" s="153"/>
      <c r="BW4154" s="153"/>
      <c r="BX4154" s="153"/>
      <c r="BY4154" s="153"/>
      <c r="BZ4154" s="153"/>
      <c r="CA4154" s="152"/>
      <c r="CB4154" s="152"/>
    </row>
    <row r="4155" spans="1:80" s="87" customFormat="1" ht="15" x14ac:dyDescent="0.25">
      <c r="A4155" s="152"/>
      <c r="B4155" s="683"/>
      <c r="C4155" s="683"/>
      <c r="D4155" s="698"/>
      <c r="E4155" s="215"/>
      <c r="F4155" s="215"/>
      <c r="G4155" s="153"/>
      <c r="H4155" s="153"/>
      <c r="I4155" s="163">
        <v>6</v>
      </c>
      <c r="J4155" s="322">
        <v>60</v>
      </c>
      <c r="K4155" s="163">
        <v>2</v>
      </c>
      <c r="L4155" s="656">
        <v>12</v>
      </c>
      <c r="M4155" s="663">
        <v>34115</v>
      </c>
      <c r="N4155" s="600">
        <v>0.42326999999999998</v>
      </c>
      <c r="O4155" s="604">
        <v>2.6129999999999999E-3</v>
      </c>
      <c r="P4155" s="250"/>
      <c r="Q4155" s="250"/>
      <c r="R4155" s="250"/>
      <c r="S4155" s="250">
        <v>2.2700000000000001E-2</v>
      </c>
      <c r="T4155" s="250">
        <v>6.9400000000000003E-2</v>
      </c>
      <c r="U4155" s="250">
        <v>0.17920000000000003</v>
      </c>
      <c r="V4155" s="250">
        <v>0.26890000000000003</v>
      </c>
      <c r="W4155" s="250">
        <v>0.2777</v>
      </c>
      <c r="X4155" s="250">
        <v>0.18170000000000003</v>
      </c>
      <c r="Y4155" s="250"/>
      <c r="Z4155" s="150"/>
      <c r="AA4155" s="150"/>
      <c r="AB4155" s="152"/>
      <c r="AC4155" s="152"/>
      <c r="AD4155" s="223">
        <v>2.3468830000000001</v>
      </c>
      <c r="AE4155" s="223">
        <v>0.238785153</v>
      </c>
      <c r="AF4155" s="223">
        <v>0.56038305499999996</v>
      </c>
      <c r="AG4155" s="223">
        <v>0.75534363900000001</v>
      </c>
      <c r="AH4155" s="341"/>
      <c r="AI4155" s="218"/>
      <c r="AJ4155" s="218"/>
      <c r="AK4155" s="153"/>
      <c r="AL4155" s="152"/>
      <c r="AM4155" s="152"/>
      <c r="AN4155" s="152"/>
      <c r="AO4155" s="152"/>
      <c r="AP4155" s="152"/>
      <c r="AQ4155" s="152"/>
      <c r="AR4155" s="152"/>
      <c r="AS4155" s="152"/>
      <c r="AT4155" s="152"/>
      <c r="AU4155" s="153"/>
      <c r="AV4155" s="479"/>
      <c r="AW4155" s="479"/>
      <c r="AX4155" s="442"/>
      <c r="AY4155" s="153"/>
      <c r="AZ4155" s="152"/>
      <c r="BA4155" s="152"/>
      <c r="BB4155" s="152"/>
      <c r="BC4155" s="152"/>
      <c r="BD4155" s="152"/>
      <c r="BE4155" s="152"/>
      <c r="BF4155" s="152"/>
      <c r="BG4155" s="152"/>
      <c r="BH4155" s="152"/>
      <c r="BI4155" s="153"/>
      <c r="BJ4155" s="153"/>
      <c r="BK4155" s="153"/>
      <c r="BL4155" s="153"/>
      <c r="BM4155" s="153"/>
      <c r="BN4155" s="153"/>
      <c r="BO4155" s="153"/>
      <c r="BP4155" s="153"/>
      <c r="BQ4155" s="153"/>
      <c r="BR4155" s="153"/>
      <c r="BS4155" s="153"/>
      <c r="BT4155" s="153"/>
      <c r="BU4155" s="153"/>
      <c r="BV4155" s="153"/>
      <c r="BW4155" s="153"/>
      <c r="BX4155" s="153"/>
      <c r="BY4155" s="153"/>
      <c r="BZ4155" s="153"/>
      <c r="CA4155" s="152"/>
      <c r="CB4155" s="152"/>
    </row>
    <row r="4156" spans="1:80" s="87" customFormat="1" ht="15" x14ac:dyDescent="0.25">
      <c r="A4156" s="152"/>
      <c r="B4156" s="683"/>
      <c r="C4156" s="683"/>
      <c r="D4156" s="698"/>
      <c r="E4156" s="215"/>
      <c r="F4156" s="215"/>
      <c r="G4156" s="153"/>
      <c r="H4156" s="153"/>
      <c r="I4156" s="163">
        <v>6</v>
      </c>
      <c r="J4156" s="322">
        <v>60</v>
      </c>
      <c r="K4156" s="163">
        <v>2</v>
      </c>
      <c r="L4156" s="656">
        <v>12</v>
      </c>
      <c r="M4156" s="663">
        <v>34123</v>
      </c>
      <c r="N4156" s="600">
        <v>0.37373000000000001</v>
      </c>
      <c r="O4156" s="604">
        <v>9.3199999999999999E-4</v>
      </c>
      <c r="P4156" s="250"/>
      <c r="Q4156" s="250"/>
      <c r="R4156" s="250"/>
      <c r="S4156" s="250"/>
      <c r="T4156" s="250">
        <v>3.5400000000000001E-2</v>
      </c>
      <c r="U4156" s="250">
        <v>0.1666</v>
      </c>
      <c r="V4156" s="250">
        <v>0.31559999999999999</v>
      </c>
      <c r="W4156" s="250">
        <v>0.28360000000000002</v>
      </c>
      <c r="X4156" s="250">
        <v>0.19850000000000001</v>
      </c>
      <c r="Y4156" s="250"/>
      <c r="Z4156" s="150"/>
      <c r="AA4156" s="150"/>
      <c r="AB4156" s="152"/>
      <c r="AC4156" s="152"/>
      <c r="AD4156" s="223">
        <v>2.3164039999999999</v>
      </c>
      <c r="AE4156" s="223">
        <v>0.23938046199999999</v>
      </c>
      <c r="AF4156" s="223">
        <v>0.55448428599999999</v>
      </c>
      <c r="AG4156" s="223">
        <v>0.67606292499999998</v>
      </c>
      <c r="AH4156" s="341"/>
      <c r="AI4156" s="218"/>
      <c r="AJ4156" s="218"/>
      <c r="AK4156" s="153"/>
      <c r="AL4156" s="152"/>
      <c r="AM4156" s="152"/>
      <c r="AN4156" s="152"/>
      <c r="AO4156" s="152"/>
      <c r="AP4156" s="152"/>
      <c r="AQ4156" s="152"/>
      <c r="AR4156" s="152"/>
      <c r="AS4156" s="152"/>
      <c r="AT4156" s="152"/>
      <c r="AU4156" s="153"/>
      <c r="AV4156" s="479"/>
      <c r="AW4156" s="479"/>
      <c r="AX4156" s="442"/>
      <c r="AY4156" s="153"/>
      <c r="AZ4156" s="152"/>
      <c r="BA4156" s="152"/>
      <c r="BB4156" s="152"/>
      <c r="BC4156" s="152"/>
      <c r="BD4156" s="152"/>
      <c r="BE4156" s="152"/>
      <c r="BF4156" s="152"/>
      <c r="BG4156" s="152"/>
      <c r="BH4156" s="152"/>
      <c r="BI4156" s="153"/>
      <c r="BJ4156" s="153"/>
      <c r="BK4156" s="153"/>
      <c r="BL4156" s="153"/>
      <c r="BM4156" s="153"/>
      <c r="BN4156" s="153"/>
      <c r="BO4156" s="153"/>
      <c r="BP4156" s="153"/>
      <c r="BQ4156" s="153"/>
      <c r="BR4156" s="153"/>
      <c r="BS4156" s="153"/>
      <c r="BT4156" s="153"/>
      <c r="BU4156" s="153"/>
      <c r="BV4156" s="153"/>
      <c r="BW4156" s="153"/>
      <c r="BX4156" s="153"/>
      <c r="BY4156" s="153"/>
      <c r="BZ4156" s="153"/>
      <c r="CA4156" s="152"/>
      <c r="CB4156" s="152"/>
    </row>
    <row r="4157" spans="1:80" s="87" customFormat="1" ht="15" x14ac:dyDescent="0.25">
      <c r="A4157" s="152"/>
      <c r="B4157" s="683"/>
      <c r="C4157" s="683"/>
      <c r="D4157" s="698"/>
      <c r="E4157" s="215"/>
      <c r="F4157" s="215"/>
      <c r="G4157" s="153"/>
      <c r="H4157" s="153"/>
      <c r="I4157" s="163">
        <v>6</v>
      </c>
      <c r="J4157" s="322">
        <v>60</v>
      </c>
      <c r="K4157" s="163">
        <v>2</v>
      </c>
      <c r="L4157" s="656">
        <v>12</v>
      </c>
      <c r="M4157" s="663">
        <v>34130</v>
      </c>
      <c r="N4157" s="600">
        <v>0.36523</v>
      </c>
      <c r="O4157" s="604">
        <v>9.0600000000000001E-4</v>
      </c>
      <c r="P4157" s="250"/>
      <c r="Q4157" s="250"/>
      <c r="R4157" s="250"/>
      <c r="S4157" s="250"/>
      <c r="T4157" s="250">
        <v>0.1167</v>
      </c>
      <c r="U4157" s="250">
        <v>0.20430000000000001</v>
      </c>
      <c r="V4157" s="250">
        <v>0.3175</v>
      </c>
      <c r="W4157" s="250">
        <v>0.23719999999999999</v>
      </c>
      <c r="X4157" s="250">
        <v>0.124</v>
      </c>
      <c r="Y4157" s="250"/>
      <c r="Z4157" s="150"/>
      <c r="AA4157" s="150"/>
      <c r="AB4157" s="152"/>
      <c r="AC4157" s="152"/>
      <c r="AD4157" s="223">
        <v>2.2554460000000001</v>
      </c>
      <c r="AE4157" s="223">
        <v>0.21149954700000001</v>
      </c>
      <c r="AF4157" s="223">
        <v>0.47701069000000001</v>
      </c>
      <c r="AG4157" s="223">
        <v>0.76449760499999997</v>
      </c>
      <c r="AH4157" s="341"/>
      <c r="AI4157" s="218"/>
      <c r="AJ4157" s="218"/>
      <c r="AK4157" s="153"/>
      <c r="AL4157" s="152"/>
      <c r="AM4157" s="152"/>
      <c r="AN4157" s="152"/>
      <c r="AO4157" s="152"/>
      <c r="AP4157" s="152"/>
      <c r="AQ4157" s="152"/>
      <c r="AR4157" s="152"/>
      <c r="AS4157" s="152"/>
      <c r="AT4157" s="152"/>
      <c r="AU4157" s="153"/>
      <c r="AV4157" s="479"/>
      <c r="AW4157" s="479"/>
      <c r="AX4157" s="442"/>
      <c r="AY4157" s="153"/>
      <c r="AZ4157" s="152"/>
      <c r="BA4157" s="152"/>
      <c r="BB4157" s="152"/>
      <c r="BC4157" s="152"/>
      <c r="BD4157" s="152"/>
      <c r="BE4157" s="152"/>
      <c r="BF4157" s="152"/>
      <c r="BG4157" s="152"/>
      <c r="BH4157" s="152"/>
      <c r="BI4157" s="153"/>
      <c r="BJ4157" s="153"/>
      <c r="BK4157" s="153"/>
      <c r="BL4157" s="153"/>
      <c r="BM4157" s="153"/>
      <c r="BN4157" s="153"/>
      <c r="BO4157" s="153"/>
      <c r="BP4157" s="153"/>
      <c r="BQ4157" s="153"/>
      <c r="BR4157" s="153"/>
      <c r="BS4157" s="153"/>
      <c r="BT4157" s="153"/>
      <c r="BU4157" s="153"/>
      <c r="BV4157" s="153"/>
      <c r="BW4157" s="153"/>
      <c r="BX4157" s="153"/>
      <c r="BY4157" s="153"/>
      <c r="BZ4157" s="153"/>
      <c r="CA4157" s="152"/>
      <c r="CB4157" s="152"/>
    </row>
    <row r="4158" spans="1:80" s="87" customFormat="1" ht="15" x14ac:dyDescent="0.25">
      <c r="A4158" s="152"/>
      <c r="B4158" s="683"/>
      <c r="C4158" s="683"/>
      <c r="D4158" s="698"/>
      <c r="E4158" s="215"/>
      <c r="F4158" s="215"/>
      <c r="G4158" s="153"/>
      <c r="H4158" s="153"/>
      <c r="I4158" s="163">
        <v>6</v>
      </c>
      <c r="J4158" s="322">
        <v>60</v>
      </c>
      <c r="K4158" s="163">
        <v>1</v>
      </c>
      <c r="L4158" s="656">
        <v>6</v>
      </c>
      <c r="M4158" s="663">
        <v>34157</v>
      </c>
      <c r="N4158" s="600">
        <v>0.18743000000000001</v>
      </c>
      <c r="O4158" s="604">
        <v>1.364E-3</v>
      </c>
      <c r="P4158" s="250"/>
      <c r="Q4158" s="250"/>
      <c r="R4158" s="250"/>
      <c r="S4158" s="250">
        <v>0.18149999999999999</v>
      </c>
      <c r="T4158" s="250">
        <v>9.4399999999999998E-2</v>
      </c>
      <c r="U4158" s="250">
        <v>0.1598</v>
      </c>
      <c r="V4158" s="250">
        <v>0.2082</v>
      </c>
      <c r="W4158" s="250">
        <v>0.2009</v>
      </c>
      <c r="X4158" s="250">
        <v>0.15490000000000001</v>
      </c>
      <c r="Y4158" s="250"/>
      <c r="Z4158" s="150"/>
      <c r="AA4158" s="150"/>
      <c r="AB4158" s="152"/>
      <c r="AC4158" s="152"/>
      <c r="AD4158" s="223">
        <v>2.1335299999999999</v>
      </c>
      <c r="AE4158" s="223">
        <v>0.176723773</v>
      </c>
      <c r="AF4158" s="223">
        <v>0.37703352299999998</v>
      </c>
      <c r="AG4158" s="223">
        <v>0.49712591299999997</v>
      </c>
      <c r="AH4158" s="341"/>
      <c r="AI4158" s="218"/>
      <c r="AJ4158" s="218"/>
      <c r="AK4158" s="153"/>
      <c r="AL4158" s="152"/>
      <c r="AM4158" s="152"/>
      <c r="AN4158" s="152"/>
      <c r="AO4158" s="152"/>
      <c r="AP4158" s="152"/>
      <c r="AQ4158" s="152"/>
      <c r="AR4158" s="152"/>
      <c r="AS4158" s="152"/>
      <c r="AT4158" s="152"/>
      <c r="AU4158" s="153"/>
      <c r="AV4158" s="479"/>
      <c r="AW4158" s="479"/>
      <c r="AX4158" s="442"/>
      <c r="AY4158" s="153"/>
      <c r="AZ4158" s="152"/>
      <c r="BA4158" s="152"/>
      <c r="BB4158" s="152"/>
      <c r="BC4158" s="152"/>
      <c r="BD4158" s="152"/>
      <c r="BE4158" s="152"/>
      <c r="BF4158" s="152"/>
      <c r="BG4158" s="152"/>
      <c r="BH4158" s="152"/>
      <c r="BI4158" s="153"/>
      <c r="BJ4158" s="153"/>
      <c r="BK4158" s="153"/>
      <c r="BL4158" s="153"/>
      <c r="BM4158" s="153"/>
      <c r="BN4158" s="153"/>
      <c r="BO4158" s="153"/>
      <c r="BP4158" s="153"/>
      <c r="BQ4158" s="153"/>
      <c r="BR4158" s="153"/>
      <c r="BS4158" s="153"/>
      <c r="BT4158" s="153"/>
      <c r="BU4158" s="153"/>
      <c r="BV4158" s="153"/>
      <c r="BW4158" s="153"/>
      <c r="BX4158" s="153"/>
      <c r="BY4158" s="153"/>
      <c r="BZ4158" s="153"/>
      <c r="CA4158" s="152"/>
      <c r="CB4158" s="152"/>
    </row>
    <row r="4159" spans="1:80" s="87" customFormat="1" ht="15" x14ac:dyDescent="0.25">
      <c r="A4159" s="152"/>
      <c r="B4159" s="683"/>
      <c r="C4159" s="683"/>
      <c r="D4159" s="698"/>
      <c r="E4159" s="215"/>
      <c r="F4159" s="215"/>
      <c r="G4159" s="153"/>
      <c r="H4159" s="153"/>
      <c r="I4159" s="163">
        <v>9</v>
      </c>
      <c r="J4159" s="322">
        <v>60</v>
      </c>
      <c r="K4159" s="163">
        <v>5</v>
      </c>
      <c r="L4159" s="656">
        <v>45</v>
      </c>
      <c r="M4159" s="663">
        <v>34449</v>
      </c>
      <c r="N4159" s="600">
        <v>0.27039000000000002</v>
      </c>
      <c r="O4159" s="604">
        <v>2.34E-4</v>
      </c>
      <c r="P4159" s="250"/>
      <c r="Q4159" s="250"/>
      <c r="R4159" s="250"/>
      <c r="S4159" s="250">
        <v>0.1009</v>
      </c>
      <c r="T4159" s="250">
        <v>9.6099999999999991E-2</v>
      </c>
      <c r="U4159" s="250">
        <v>0.1153</v>
      </c>
      <c r="V4159" s="250">
        <v>0.16820000000000002</v>
      </c>
      <c r="W4159" s="250">
        <v>0.17780000000000001</v>
      </c>
      <c r="X4159" s="250">
        <v>0.34130000000000005</v>
      </c>
      <c r="Y4159" s="250"/>
      <c r="Z4159" s="150"/>
      <c r="AA4159" s="150"/>
      <c r="AB4159" s="152"/>
      <c r="AC4159" s="152"/>
      <c r="AD4159" s="223">
        <v>2.3164039999999999</v>
      </c>
      <c r="AE4159" s="223">
        <v>0.197953084</v>
      </c>
      <c r="AF4159" s="223">
        <v>0.45852478400000002</v>
      </c>
      <c r="AG4159" s="223">
        <v>0.58969702199999996</v>
      </c>
      <c r="AH4159" s="341"/>
      <c r="AI4159" s="218"/>
      <c r="AJ4159" s="218"/>
      <c r="AK4159" s="153"/>
      <c r="AL4159" s="152"/>
      <c r="AM4159" s="152"/>
      <c r="AN4159" s="152"/>
      <c r="AO4159" s="152"/>
      <c r="AP4159" s="152"/>
      <c r="AQ4159" s="152"/>
      <c r="AR4159" s="152"/>
      <c r="AS4159" s="152"/>
      <c r="AT4159" s="152"/>
      <c r="AU4159" s="153"/>
      <c r="AV4159" s="479"/>
      <c r="AW4159" s="479"/>
      <c r="AX4159" s="442"/>
      <c r="AY4159" s="153"/>
      <c r="AZ4159" s="152"/>
      <c r="BA4159" s="152"/>
      <c r="BB4159" s="152"/>
      <c r="BC4159" s="152"/>
      <c r="BD4159" s="152"/>
      <c r="BE4159" s="152"/>
      <c r="BF4159" s="152"/>
      <c r="BG4159" s="152"/>
      <c r="BH4159" s="152"/>
      <c r="BI4159" s="153"/>
      <c r="BJ4159" s="153"/>
      <c r="BK4159" s="153"/>
      <c r="BL4159" s="153"/>
      <c r="BM4159" s="153"/>
      <c r="BN4159" s="153"/>
      <c r="BO4159" s="153"/>
      <c r="BP4159" s="153"/>
      <c r="BQ4159" s="153"/>
      <c r="BR4159" s="153"/>
      <c r="BS4159" s="153"/>
      <c r="BT4159" s="153"/>
      <c r="BU4159" s="153"/>
      <c r="BV4159" s="153"/>
      <c r="BW4159" s="153"/>
      <c r="BX4159" s="153"/>
      <c r="BY4159" s="153"/>
      <c r="BZ4159" s="153"/>
      <c r="CA4159" s="152"/>
      <c r="CB4159" s="152"/>
    </row>
    <row r="4160" spans="1:80" s="87" customFormat="1" ht="15" x14ac:dyDescent="0.25">
      <c r="A4160" s="152"/>
      <c r="B4160" s="683"/>
      <c r="C4160" s="683"/>
      <c r="D4160" s="698"/>
      <c r="E4160" s="215"/>
      <c r="F4160" s="215"/>
      <c r="G4160" s="153"/>
      <c r="H4160" s="153"/>
      <c r="I4160" s="163">
        <v>8</v>
      </c>
      <c r="J4160" s="322">
        <v>60</v>
      </c>
      <c r="K4160" s="163">
        <v>5</v>
      </c>
      <c r="L4160" s="656">
        <v>40</v>
      </c>
      <c r="M4160" s="663">
        <v>34452</v>
      </c>
      <c r="N4160" s="600">
        <v>0.22197</v>
      </c>
      <c r="O4160" s="604">
        <v>8.7399999999999997E-5</v>
      </c>
      <c r="P4160" s="250"/>
      <c r="Q4160" s="250"/>
      <c r="R4160" s="250"/>
      <c r="S4160" s="250"/>
      <c r="T4160" s="250">
        <v>0.1</v>
      </c>
      <c r="U4160" s="250">
        <v>0.14279999999999998</v>
      </c>
      <c r="V4160" s="250">
        <v>0.21420000000000003</v>
      </c>
      <c r="W4160" s="250">
        <v>0.2</v>
      </c>
      <c r="X4160" s="250">
        <v>0.34279999999999999</v>
      </c>
      <c r="Y4160" s="250"/>
      <c r="Z4160" s="150"/>
      <c r="AA4160" s="150"/>
      <c r="AB4160" s="152"/>
      <c r="AC4160" s="152"/>
      <c r="AD4160" s="223">
        <v>2.2859250000000002</v>
      </c>
      <c r="AE4160" s="223">
        <v>0.181614201</v>
      </c>
      <c r="AF4160" s="223">
        <v>0.415143286</v>
      </c>
      <c r="AG4160" s="223">
        <v>0.53469536799999995</v>
      </c>
      <c r="AH4160" s="341"/>
      <c r="AI4160" s="218"/>
      <c r="AJ4160" s="218"/>
      <c r="AK4160" s="153"/>
      <c r="AL4160" s="152"/>
      <c r="AM4160" s="152"/>
      <c r="AN4160" s="152"/>
      <c r="AO4160" s="152"/>
      <c r="AP4160" s="152"/>
      <c r="AQ4160" s="152"/>
      <c r="AR4160" s="152"/>
      <c r="AS4160" s="152"/>
      <c r="AT4160" s="152"/>
      <c r="AU4160" s="153"/>
      <c r="AV4160" s="479"/>
      <c r="AW4160" s="479"/>
      <c r="AX4160" s="442"/>
      <c r="AY4160" s="153"/>
      <c r="AZ4160" s="152"/>
      <c r="BA4160" s="152"/>
      <c r="BB4160" s="152"/>
      <c r="BC4160" s="152"/>
      <c r="BD4160" s="152"/>
      <c r="BE4160" s="152"/>
      <c r="BF4160" s="152"/>
      <c r="BG4160" s="152"/>
      <c r="BH4160" s="152"/>
      <c r="BI4160" s="153"/>
      <c r="BJ4160" s="153"/>
      <c r="BK4160" s="153"/>
      <c r="BL4160" s="153"/>
      <c r="BM4160" s="153"/>
      <c r="BN4160" s="153"/>
      <c r="BO4160" s="153"/>
      <c r="BP4160" s="153"/>
      <c r="BQ4160" s="153"/>
      <c r="BR4160" s="153"/>
      <c r="BS4160" s="153"/>
      <c r="BT4160" s="153"/>
      <c r="BU4160" s="153"/>
      <c r="BV4160" s="153"/>
      <c r="BW4160" s="153"/>
      <c r="BX4160" s="153"/>
      <c r="BY4160" s="153"/>
      <c r="BZ4160" s="153"/>
      <c r="CA4160" s="152"/>
      <c r="CB4160" s="152"/>
    </row>
    <row r="4161" spans="1:80" s="87" customFormat="1" ht="15" x14ac:dyDescent="0.25">
      <c r="A4161" s="152"/>
      <c r="B4161" s="683"/>
      <c r="C4161" s="683"/>
      <c r="D4161" s="698"/>
      <c r="E4161" s="215"/>
      <c r="F4161" s="215"/>
      <c r="G4161" s="153"/>
      <c r="H4161" s="153"/>
      <c r="I4161" s="163">
        <v>9</v>
      </c>
      <c r="J4161" s="322">
        <v>60</v>
      </c>
      <c r="K4161" s="163">
        <v>5</v>
      </c>
      <c r="L4161" s="656">
        <v>45</v>
      </c>
      <c r="M4161" s="663">
        <v>34466</v>
      </c>
      <c r="N4161" s="600">
        <v>0.37656000000000001</v>
      </c>
      <c r="O4161" s="604">
        <v>1.343E-3</v>
      </c>
      <c r="P4161" s="250"/>
      <c r="Q4161" s="250"/>
      <c r="R4161" s="250">
        <v>0.1371</v>
      </c>
      <c r="S4161" s="250">
        <v>7.8299999999999995E-2</v>
      </c>
      <c r="T4161" s="250">
        <v>7.8299999999999995E-2</v>
      </c>
      <c r="U4161" s="250">
        <v>0.17120000000000002</v>
      </c>
      <c r="V4161" s="250">
        <v>0.20350000000000001</v>
      </c>
      <c r="W4161" s="250">
        <v>0.155</v>
      </c>
      <c r="X4161" s="250">
        <v>0.17620000000000002</v>
      </c>
      <c r="Y4161" s="250"/>
      <c r="Z4161" s="150"/>
      <c r="AA4161" s="150"/>
      <c r="AB4161" s="152"/>
      <c r="AC4161" s="152"/>
      <c r="AD4161" s="223">
        <v>2.3468830000000001</v>
      </c>
      <c r="AE4161" s="223">
        <v>0.20915718999999999</v>
      </c>
      <c r="AF4161" s="223">
        <v>0.49085189600000001</v>
      </c>
      <c r="AG4161" s="223">
        <v>0.76658953399999996</v>
      </c>
      <c r="AH4161" s="341"/>
      <c r="AI4161" s="218"/>
      <c r="AJ4161" s="218"/>
      <c r="AK4161" s="153"/>
      <c r="AL4161" s="152"/>
      <c r="AM4161" s="152"/>
      <c r="AN4161" s="152"/>
      <c r="AO4161" s="152"/>
      <c r="AP4161" s="152"/>
      <c r="AQ4161" s="152"/>
      <c r="AR4161" s="152"/>
      <c r="AS4161" s="152"/>
      <c r="AT4161" s="152"/>
      <c r="AU4161" s="153"/>
      <c r="AV4161" s="479"/>
      <c r="AW4161" s="479"/>
      <c r="AX4161" s="442"/>
      <c r="AY4161" s="153"/>
      <c r="AZ4161" s="152"/>
      <c r="BA4161" s="152"/>
      <c r="BB4161" s="152"/>
      <c r="BC4161" s="152"/>
      <c r="BD4161" s="152"/>
      <c r="BE4161" s="152"/>
      <c r="BF4161" s="152"/>
      <c r="BG4161" s="152"/>
      <c r="BH4161" s="152"/>
      <c r="BI4161" s="153"/>
      <c r="BJ4161" s="153"/>
      <c r="BK4161" s="153"/>
      <c r="BL4161" s="153"/>
      <c r="BM4161" s="153"/>
      <c r="BN4161" s="153"/>
      <c r="BO4161" s="153"/>
      <c r="BP4161" s="153"/>
      <c r="BQ4161" s="153"/>
      <c r="BR4161" s="153"/>
      <c r="BS4161" s="153"/>
      <c r="BT4161" s="153"/>
      <c r="BU4161" s="153"/>
      <c r="BV4161" s="153"/>
      <c r="BW4161" s="153"/>
      <c r="BX4161" s="153"/>
      <c r="BY4161" s="153"/>
      <c r="BZ4161" s="153"/>
      <c r="CA4161" s="152"/>
      <c r="CB4161" s="152"/>
    </row>
    <row r="4162" spans="1:80" s="87" customFormat="1" ht="15" x14ac:dyDescent="0.25">
      <c r="A4162" s="152"/>
      <c r="B4162" s="683"/>
      <c r="C4162" s="683"/>
      <c r="D4162" s="698"/>
      <c r="E4162" s="215"/>
      <c r="F4162" s="215"/>
      <c r="G4162" s="153"/>
      <c r="H4162" s="153"/>
      <c r="I4162" s="163">
        <v>8</v>
      </c>
      <c r="J4162" s="322">
        <v>60</v>
      </c>
      <c r="K4162" s="163">
        <v>5</v>
      </c>
      <c r="L4162" s="656">
        <v>40</v>
      </c>
      <c r="M4162" s="663">
        <v>34470</v>
      </c>
      <c r="N4162" s="600">
        <v>0.30578</v>
      </c>
      <c r="O4162" s="604">
        <v>3.7800000000000003E-4</v>
      </c>
      <c r="P4162" s="250"/>
      <c r="Q4162" s="250"/>
      <c r="R4162" s="250"/>
      <c r="S4162" s="250">
        <v>5.62E-2</v>
      </c>
      <c r="T4162" s="250">
        <v>8.9399999999999993E-2</v>
      </c>
      <c r="U4162" s="250">
        <v>0.20519999999999999</v>
      </c>
      <c r="V4162" s="250">
        <v>0.26150000000000001</v>
      </c>
      <c r="W4162" s="250">
        <v>0.1986</v>
      </c>
      <c r="X4162" s="250">
        <v>0.18869999999999998</v>
      </c>
      <c r="Y4162" s="250"/>
      <c r="Z4162" s="150"/>
      <c r="AA4162" s="150"/>
      <c r="AB4162" s="152"/>
      <c r="AC4162" s="152"/>
      <c r="AD4162" s="223">
        <v>2.2859250000000002</v>
      </c>
      <c r="AE4162" s="223">
        <v>0.19807286099999999</v>
      </c>
      <c r="AF4162" s="223">
        <v>0.45276535600000001</v>
      </c>
      <c r="AG4162" s="223">
        <v>0.67661629099999998</v>
      </c>
      <c r="AH4162" s="341"/>
      <c r="AI4162" s="218"/>
      <c r="AJ4162" s="218"/>
      <c r="AK4162" s="153"/>
      <c r="AL4162" s="152"/>
      <c r="AM4162" s="152"/>
      <c r="AN4162" s="152"/>
      <c r="AO4162" s="152"/>
      <c r="AP4162" s="152"/>
      <c r="AQ4162" s="152"/>
      <c r="AR4162" s="152"/>
      <c r="AS4162" s="152"/>
      <c r="AT4162" s="152"/>
      <c r="AU4162" s="153"/>
      <c r="AV4162" s="479"/>
      <c r="AW4162" s="479"/>
      <c r="AX4162" s="442"/>
      <c r="AY4162" s="153"/>
      <c r="AZ4162" s="152"/>
      <c r="BA4162" s="152"/>
      <c r="BB4162" s="152"/>
      <c r="BC4162" s="152"/>
      <c r="BD4162" s="152"/>
      <c r="BE4162" s="152"/>
      <c r="BF4162" s="152"/>
      <c r="BG4162" s="152"/>
      <c r="BH4162" s="152"/>
      <c r="BI4162" s="153"/>
      <c r="BJ4162" s="153"/>
      <c r="BK4162" s="153"/>
      <c r="BL4162" s="153"/>
      <c r="BM4162" s="153"/>
      <c r="BN4162" s="153"/>
      <c r="BO4162" s="153"/>
      <c r="BP4162" s="153"/>
      <c r="BQ4162" s="153"/>
      <c r="BR4162" s="153"/>
      <c r="BS4162" s="153"/>
      <c r="BT4162" s="153"/>
      <c r="BU4162" s="153"/>
      <c r="BV4162" s="153"/>
      <c r="BW4162" s="153"/>
      <c r="BX4162" s="153"/>
      <c r="BY4162" s="153"/>
      <c r="BZ4162" s="153"/>
      <c r="CA4162" s="152"/>
      <c r="CB4162" s="152"/>
    </row>
    <row r="4163" spans="1:80" s="87" customFormat="1" ht="15" x14ac:dyDescent="0.25">
      <c r="A4163" s="152"/>
      <c r="B4163" s="683"/>
      <c r="C4163" s="683"/>
      <c r="D4163" s="698"/>
      <c r="E4163" s="215"/>
      <c r="F4163" s="215"/>
      <c r="G4163" s="153"/>
      <c r="H4163" s="153"/>
      <c r="I4163" s="163">
        <v>8</v>
      </c>
      <c r="J4163" s="322">
        <v>60</v>
      </c>
      <c r="K4163" s="163">
        <v>5</v>
      </c>
      <c r="L4163" s="656">
        <v>40</v>
      </c>
      <c r="M4163" s="663">
        <v>34473</v>
      </c>
      <c r="N4163" s="600">
        <v>0.28878999999999999</v>
      </c>
      <c r="O4163" s="604">
        <v>1.9599999999999999E-4</v>
      </c>
      <c r="P4163" s="250"/>
      <c r="Q4163" s="250"/>
      <c r="R4163" s="250"/>
      <c r="S4163" s="250"/>
      <c r="T4163" s="250">
        <v>0.13200000000000001</v>
      </c>
      <c r="U4163" s="250">
        <v>0.18230000000000002</v>
      </c>
      <c r="V4163" s="250">
        <v>0.25780000000000003</v>
      </c>
      <c r="W4163" s="250">
        <v>0.22010000000000002</v>
      </c>
      <c r="X4163" s="250">
        <v>0.20749999999999999</v>
      </c>
      <c r="Y4163" s="250"/>
      <c r="Z4163" s="150"/>
      <c r="AA4163" s="150"/>
      <c r="AB4163" s="152"/>
      <c r="AC4163" s="152"/>
      <c r="AD4163" s="223">
        <v>2.2554460000000001</v>
      </c>
      <c r="AE4163" s="223">
        <v>0.193212147</v>
      </c>
      <c r="AF4163" s="223">
        <v>0.43576575400000001</v>
      </c>
      <c r="AG4163" s="223">
        <v>0.66012926900000002</v>
      </c>
      <c r="AH4163" s="341"/>
      <c r="AI4163" s="218"/>
      <c r="AJ4163" s="218"/>
      <c r="AK4163" s="153"/>
      <c r="AL4163" s="152"/>
      <c r="AM4163" s="152"/>
      <c r="AN4163" s="152"/>
      <c r="AO4163" s="152"/>
      <c r="AP4163" s="152"/>
      <c r="AQ4163" s="152"/>
      <c r="AR4163" s="152"/>
      <c r="AS4163" s="152"/>
      <c r="AT4163" s="152"/>
      <c r="AU4163" s="153"/>
      <c r="AV4163" s="479"/>
      <c r="AW4163" s="479"/>
      <c r="AX4163" s="442"/>
      <c r="AY4163" s="153"/>
      <c r="AZ4163" s="152"/>
      <c r="BA4163" s="152"/>
      <c r="BB4163" s="152"/>
      <c r="BC4163" s="152"/>
      <c r="BD4163" s="152"/>
      <c r="BE4163" s="152"/>
      <c r="BF4163" s="152"/>
      <c r="BG4163" s="152"/>
      <c r="BH4163" s="152"/>
      <c r="BI4163" s="153"/>
      <c r="BJ4163" s="153"/>
      <c r="BK4163" s="153"/>
      <c r="BL4163" s="153"/>
      <c r="BM4163" s="153"/>
      <c r="BN4163" s="153"/>
      <c r="BO4163" s="153"/>
      <c r="BP4163" s="153"/>
      <c r="BQ4163" s="153"/>
      <c r="BR4163" s="153"/>
      <c r="BS4163" s="153"/>
      <c r="BT4163" s="153"/>
      <c r="BU4163" s="153"/>
      <c r="BV4163" s="153"/>
      <c r="BW4163" s="153"/>
      <c r="BX4163" s="153"/>
      <c r="BY4163" s="153"/>
      <c r="BZ4163" s="153"/>
      <c r="CA4163" s="152"/>
      <c r="CB4163" s="152"/>
    </row>
    <row r="4164" spans="1:80" s="87" customFormat="1" ht="15" x14ac:dyDescent="0.25">
      <c r="A4164" s="152"/>
      <c r="B4164" s="683"/>
      <c r="C4164" s="683"/>
      <c r="D4164" s="698"/>
      <c r="E4164" s="215"/>
      <c r="F4164" s="215"/>
      <c r="G4164" s="153"/>
      <c r="H4164" s="153"/>
      <c r="I4164" s="163">
        <v>8</v>
      </c>
      <c r="J4164" s="322">
        <v>60</v>
      </c>
      <c r="K4164" s="163">
        <v>5</v>
      </c>
      <c r="L4164" s="656">
        <v>40</v>
      </c>
      <c r="M4164" s="663">
        <v>34477</v>
      </c>
      <c r="N4164" s="600">
        <v>0.29444999999999999</v>
      </c>
      <c r="O4164" s="604">
        <v>4.73E-4</v>
      </c>
      <c r="P4164" s="250"/>
      <c r="Q4164" s="250"/>
      <c r="R4164" s="250"/>
      <c r="S4164" s="250">
        <v>4.6799999999999994E-2</v>
      </c>
      <c r="T4164" s="250">
        <v>0.151</v>
      </c>
      <c r="U4164" s="250">
        <v>0.17180000000000001</v>
      </c>
      <c r="V4164" s="250">
        <v>0.19789999999999999</v>
      </c>
      <c r="W4164" s="250">
        <v>0.20309999999999997</v>
      </c>
      <c r="X4164" s="250">
        <v>0.2291</v>
      </c>
      <c r="Y4164" s="250"/>
      <c r="Z4164" s="150"/>
      <c r="AA4164" s="150"/>
      <c r="AB4164" s="152"/>
      <c r="AC4164" s="152"/>
      <c r="AD4164" s="223">
        <v>2.2554460000000001</v>
      </c>
      <c r="AE4164" s="223">
        <v>0.190740877</v>
      </c>
      <c r="AF4164" s="223">
        <v>0.43019211400000001</v>
      </c>
      <c r="AG4164" s="223">
        <v>0.68381949900000005</v>
      </c>
      <c r="AH4164" s="341"/>
      <c r="AI4164" s="218"/>
      <c r="AJ4164" s="218"/>
      <c r="AK4164" s="153"/>
      <c r="AL4164" s="152"/>
      <c r="AM4164" s="152"/>
      <c r="AN4164" s="152"/>
      <c r="AO4164" s="152"/>
      <c r="AP4164" s="152"/>
      <c r="AQ4164" s="152"/>
      <c r="AR4164" s="152"/>
      <c r="AS4164" s="152"/>
      <c r="AT4164" s="152"/>
      <c r="AU4164" s="153"/>
      <c r="AV4164" s="479"/>
      <c r="AW4164" s="479"/>
      <c r="AX4164" s="442"/>
      <c r="AY4164" s="153"/>
      <c r="AZ4164" s="152"/>
      <c r="BA4164" s="152"/>
      <c r="BB4164" s="152"/>
      <c r="BC4164" s="152"/>
      <c r="BD4164" s="152"/>
      <c r="BE4164" s="152"/>
      <c r="BF4164" s="152"/>
      <c r="BG4164" s="152"/>
      <c r="BH4164" s="152"/>
      <c r="BI4164" s="153"/>
      <c r="BJ4164" s="153"/>
      <c r="BK4164" s="153"/>
      <c r="BL4164" s="153"/>
      <c r="BM4164" s="153"/>
      <c r="BN4164" s="153"/>
      <c r="BO4164" s="153"/>
      <c r="BP4164" s="153"/>
      <c r="BQ4164" s="153"/>
      <c r="BR4164" s="153"/>
      <c r="BS4164" s="153"/>
      <c r="BT4164" s="153"/>
      <c r="BU4164" s="153"/>
      <c r="BV4164" s="153"/>
      <c r="BW4164" s="153"/>
      <c r="BX4164" s="153"/>
      <c r="BY4164" s="153"/>
      <c r="BZ4164" s="153"/>
      <c r="CA4164" s="152"/>
      <c r="CB4164" s="152"/>
    </row>
    <row r="4165" spans="1:80" s="87" customFormat="1" ht="15" x14ac:dyDescent="0.25">
      <c r="A4165" s="152"/>
      <c r="B4165" s="683"/>
      <c r="C4165" s="683"/>
      <c r="D4165" s="698"/>
      <c r="E4165" s="215"/>
      <c r="F4165" s="215"/>
      <c r="G4165" s="153"/>
      <c r="H4165" s="153"/>
      <c r="I4165" s="163">
        <v>8</v>
      </c>
      <c r="J4165" s="322">
        <v>60</v>
      </c>
      <c r="K4165" s="163">
        <v>5</v>
      </c>
      <c r="L4165" s="656">
        <v>40</v>
      </c>
      <c r="M4165" s="663">
        <v>34480</v>
      </c>
      <c r="N4165" s="600">
        <v>0.29161999999999999</v>
      </c>
      <c r="O4165" s="604">
        <v>5.8E-4</v>
      </c>
      <c r="P4165" s="250"/>
      <c r="Q4165" s="250"/>
      <c r="R4165" s="250"/>
      <c r="S4165" s="250"/>
      <c r="T4165" s="250">
        <v>0.15279999999999999</v>
      </c>
      <c r="U4165" s="250">
        <v>0.19949999999999998</v>
      </c>
      <c r="V4165" s="250">
        <v>0.2462</v>
      </c>
      <c r="W4165" s="250">
        <v>0.21440000000000001</v>
      </c>
      <c r="X4165" s="250">
        <v>0.18679999999999999</v>
      </c>
      <c r="Y4165" s="250"/>
      <c r="Z4165" s="150"/>
      <c r="AA4165" s="150"/>
      <c r="AB4165" s="152"/>
      <c r="AC4165" s="152"/>
      <c r="AD4165" s="223">
        <v>2.2554460000000001</v>
      </c>
      <c r="AE4165" s="223">
        <v>0.19197651199999999</v>
      </c>
      <c r="AF4165" s="223">
        <v>0.43297893399999998</v>
      </c>
      <c r="AG4165" s="223">
        <v>0.67353293299999994</v>
      </c>
      <c r="AH4165" s="341"/>
      <c r="AI4165" s="218"/>
      <c r="AJ4165" s="218"/>
      <c r="AK4165" s="153"/>
      <c r="AL4165" s="152"/>
      <c r="AM4165" s="152"/>
      <c r="AN4165" s="152"/>
      <c r="AO4165" s="152"/>
      <c r="AP4165" s="152"/>
      <c r="AQ4165" s="152"/>
      <c r="AR4165" s="152"/>
      <c r="AS4165" s="152"/>
      <c r="AT4165" s="152"/>
      <c r="AU4165" s="153"/>
      <c r="AV4165" s="479"/>
      <c r="AW4165" s="479"/>
      <c r="AX4165" s="442"/>
      <c r="AY4165" s="153"/>
      <c r="AZ4165" s="152"/>
      <c r="BA4165" s="152"/>
      <c r="BB4165" s="152"/>
      <c r="BC4165" s="152"/>
      <c r="BD4165" s="152"/>
      <c r="BE4165" s="152"/>
      <c r="BF4165" s="152"/>
      <c r="BG4165" s="152"/>
      <c r="BH4165" s="152"/>
      <c r="BI4165" s="153"/>
      <c r="BJ4165" s="153"/>
      <c r="BK4165" s="153"/>
      <c r="BL4165" s="153"/>
      <c r="BM4165" s="153"/>
      <c r="BN4165" s="153"/>
      <c r="BO4165" s="153"/>
      <c r="BP4165" s="153"/>
      <c r="BQ4165" s="153"/>
      <c r="BR4165" s="153"/>
      <c r="BS4165" s="153"/>
      <c r="BT4165" s="153"/>
      <c r="BU4165" s="153"/>
      <c r="BV4165" s="153"/>
      <c r="BW4165" s="153"/>
      <c r="BX4165" s="153"/>
      <c r="BY4165" s="153"/>
      <c r="BZ4165" s="153"/>
      <c r="CA4165" s="152"/>
      <c r="CB4165" s="152"/>
    </row>
    <row r="4166" spans="1:80" s="87" customFormat="1" ht="15" x14ac:dyDescent="0.25">
      <c r="A4166" s="152"/>
      <c r="B4166" s="683"/>
      <c r="C4166" s="683"/>
      <c r="D4166" s="698"/>
      <c r="E4166" s="215"/>
      <c r="F4166" s="215"/>
      <c r="G4166" s="153"/>
      <c r="H4166" s="153"/>
      <c r="I4166" s="163">
        <v>8</v>
      </c>
      <c r="J4166" s="322">
        <v>60</v>
      </c>
      <c r="K4166" s="163">
        <v>1</v>
      </c>
      <c r="L4166" s="656">
        <v>8</v>
      </c>
      <c r="M4166" s="663">
        <v>34487</v>
      </c>
      <c r="N4166" s="600">
        <v>0.31143999999999999</v>
      </c>
      <c r="O4166" s="604">
        <v>1.7949999999999999E-3</v>
      </c>
      <c r="P4166" s="250"/>
      <c r="Q4166" s="250"/>
      <c r="R4166" s="250"/>
      <c r="S4166" s="250">
        <v>6.6199999999999995E-2</v>
      </c>
      <c r="T4166" s="250">
        <v>0.1986</v>
      </c>
      <c r="U4166" s="250">
        <v>0.21600000000000003</v>
      </c>
      <c r="V4166" s="250">
        <v>0.22640000000000002</v>
      </c>
      <c r="W4166" s="250">
        <v>0.16719999999999999</v>
      </c>
      <c r="X4166" s="250">
        <v>0.12529999999999999</v>
      </c>
      <c r="Y4166" s="250"/>
      <c r="Z4166" s="150"/>
      <c r="AA4166" s="150"/>
      <c r="AB4166" s="152"/>
      <c r="AC4166" s="152"/>
      <c r="AD4166" s="223">
        <v>2.2859250000000002</v>
      </c>
      <c r="AE4166" s="223">
        <v>0.19400899499999999</v>
      </c>
      <c r="AF4166" s="223">
        <v>0.443475956</v>
      </c>
      <c r="AG4166" s="223">
        <v>0.70483485499999998</v>
      </c>
      <c r="AH4166" s="341"/>
      <c r="AI4166" s="218"/>
      <c r="AJ4166" s="218"/>
      <c r="AK4166" s="153"/>
      <c r="AL4166" s="152"/>
      <c r="AM4166" s="152"/>
      <c r="AN4166" s="152"/>
      <c r="AO4166" s="152"/>
      <c r="AP4166" s="152"/>
      <c r="AQ4166" s="152"/>
      <c r="AR4166" s="152"/>
      <c r="AS4166" s="152"/>
      <c r="AT4166" s="152"/>
      <c r="AU4166" s="153"/>
      <c r="AV4166" s="479"/>
      <c r="AW4166" s="479"/>
      <c r="AX4166" s="442"/>
      <c r="AY4166" s="153"/>
      <c r="AZ4166" s="152"/>
      <c r="BA4166" s="152"/>
      <c r="BB4166" s="152"/>
      <c r="BC4166" s="152"/>
      <c r="BD4166" s="152"/>
      <c r="BE4166" s="152"/>
      <c r="BF4166" s="152"/>
      <c r="BG4166" s="152"/>
      <c r="BH4166" s="152"/>
      <c r="BI4166" s="153"/>
      <c r="BJ4166" s="153"/>
      <c r="BK4166" s="153"/>
      <c r="BL4166" s="153"/>
      <c r="BM4166" s="153"/>
      <c r="BN4166" s="153"/>
      <c r="BO4166" s="153"/>
      <c r="BP4166" s="153"/>
      <c r="BQ4166" s="153"/>
      <c r="BR4166" s="153"/>
      <c r="BS4166" s="153"/>
      <c r="BT4166" s="153"/>
      <c r="BU4166" s="153"/>
      <c r="BV4166" s="153"/>
      <c r="BW4166" s="153"/>
      <c r="BX4166" s="153"/>
      <c r="BY4166" s="153"/>
      <c r="BZ4166" s="153"/>
      <c r="CA4166" s="152"/>
      <c r="CB4166" s="152"/>
    </row>
    <row r="4167" spans="1:80" s="87" customFormat="1" ht="15" x14ac:dyDescent="0.25">
      <c r="A4167" s="152"/>
      <c r="B4167" s="683"/>
      <c r="C4167" s="683"/>
      <c r="D4167" s="698"/>
      <c r="E4167" s="215"/>
      <c r="F4167" s="215"/>
      <c r="G4167" s="153"/>
      <c r="H4167" s="153"/>
      <c r="I4167" s="163">
        <v>8</v>
      </c>
      <c r="J4167" s="322">
        <v>60</v>
      </c>
      <c r="K4167" s="163">
        <v>1</v>
      </c>
      <c r="L4167" s="656">
        <v>8</v>
      </c>
      <c r="M4167" s="663">
        <v>34487</v>
      </c>
      <c r="N4167" s="600">
        <v>0.31143999999999999</v>
      </c>
      <c r="O4167" s="604">
        <v>9.3700000000000001E-5</v>
      </c>
      <c r="P4167" s="250"/>
      <c r="Q4167" s="250"/>
      <c r="R4167" s="250"/>
      <c r="S4167" s="250"/>
      <c r="T4167" s="250"/>
      <c r="U4167" s="250">
        <v>0.2666</v>
      </c>
      <c r="V4167" s="250">
        <v>0.2666</v>
      </c>
      <c r="W4167" s="250">
        <v>0.2</v>
      </c>
      <c r="X4167" s="250">
        <v>0.2666</v>
      </c>
      <c r="Y4167" s="250"/>
      <c r="Z4167" s="150"/>
      <c r="AA4167" s="150"/>
      <c r="AB4167" s="152"/>
      <c r="AC4167" s="152"/>
      <c r="AD4167" s="223">
        <v>2.2859250000000002</v>
      </c>
      <c r="AE4167" s="223">
        <v>0.19400899499999999</v>
      </c>
      <c r="AF4167" s="223">
        <v>0.443475956</v>
      </c>
      <c r="AG4167" s="223">
        <v>0.70483485499999998</v>
      </c>
      <c r="AH4167" s="341"/>
      <c r="AI4167" s="218"/>
      <c r="AJ4167" s="218"/>
      <c r="AK4167" s="153"/>
      <c r="AL4167" s="152"/>
      <c r="AM4167" s="152"/>
      <c r="AN4167" s="152"/>
      <c r="AO4167" s="152"/>
      <c r="AP4167" s="152"/>
      <c r="AQ4167" s="152"/>
      <c r="AR4167" s="152"/>
      <c r="AS4167" s="152"/>
      <c r="AT4167" s="152"/>
      <c r="AU4167" s="153"/>
      <c r="AV4167" s="479"/>
      <c r="AW4167" s="479"/>
      <c r="AX4167" s="442"/>
      <c r="AY4167" s="153"/>
      <c r="AZ4167" s="152"/>
      <c r="BA4167" s="152"/>
      <c r="BB4167" s="152"/>
      <c r="BC4167" s="152"/>
      <c r="BD4167" s="152"/>
      <c r="BE4167" s="152"/>
      <c r="BF4167" s="152"/>
      <c r="BG4167" s="152"/>
      <c r="BH4167" s="152"/>
      <c r="BI4167" s="153"/>
      <c r="BJ4167" s="153"/>
      <c r="BK4167" s="153"/>
      <c r="BL4167" s="153"/>
      <c r="BM4167" s="153"/>
      <c r="BN4167" s="153"/>
      <c r="BO4167" s="153"/>
      <c r="BP4167" s="153"/>
      <c r="BQ4167" s="153"/>
      <c r="BR4167" s="153"/>
      <c r="BS4167" s="153"/>
      <c r="BT4167" s="153"/>
      <c r="BU4167" s="153"/>
      <c r="BV4167" s="153"/>
      <c r="BW4167" s="153"/>
      <c r="BX4167" s="153"/>
      <c r="BY4167" s="153"/>
      <c r="BZ4167" s="153"/>
      <c r="CA4167" s="152"/>
      <c r="CB4167" s="152"/>
    </row>
    <row r="4168" spans="1:80" s="87" customFormat="1" ht="15" x14ac:dyDescent="0.25">
      <c r="A4168" s="152"/>
      <c r="B4168" s="683"/>
      <c r="C4168" s="683"/>
      <c r="D4168" s="698"/>
      <c r="E4168" s="215"/>
      <c r="F4168" s="215"/>
      <c r="G4168" s="153"/>
      <c r="H4168" s="153"/>
      <c r="I4168" s="163">
        <v>8</v>
      </c>
      <c r="J4168" s="322">
        <v>60</v>
      </c>
      <c r="K4168" s="163">
        <v>1</v>
      </c>
      <c r="L4168" s="656">
        <v>8</v>
      </c>
      <c r="M4168" s="663">
        <v>34487</v>
      </c>
      <c r="N4168" s="600">
        <v>0.31143999999999999</v>
      </c>
      <c r="O4168" s="604">
        <v>3.2499999999999999E-4</v>
      </c>
      <c r="P4168" s="250"/>
      <c r="Q4168" s="250"/>
      <c r="R4168" s="250"/>
      <c r="S4168" s="250"/>
      <c r="T4168" s="250">
        <v>0.17300000000000001</v>
      </c>
      <c r="U4168" s="250">
        <v>0.21149999999999999</v>
      </c>
      <c r="V4168" s="250">
        <v>0.21149999999999999</v>
      </c>
      <c r="W4168" s="250">
        <v>0.1923</v>
      </c>
      <c r="X4168" s="250">
        <v>0.21149999999999999</v>
      </c>
      <c r="Y4168" s="250"/>
      <c r="Z4168" s="150"/>
      <c r="AA4168" s="150"/>
      <c r="AB4168" s="152"/>
      <c r="AC4168" s="152"/>
      <c r="AD4168" s="223">
        <v>2.2859250000000002</v>
      </c>
      <c r="AE4168" s="223">
        <v>0.19400899499999999</v>
      </c>
      <c r="AF4168" s="223">
        <v>0.443475956</v>
      </c>
      <c r="AG4168" s="223">
        <v>0.70483485499999998</v>
      </c>
      <c r="AH4168" s="341"/>
      <c r="AI4168" s="218"/>
      <c r="AJ4168" s="218"/>
      <c r="AK4168" s="153"/>
      <c r="AL4168" s="152"/>
      <c r="AM4168" s="152"/>
      <c r="AN4168" s="152"/>
      <c r="AO4168" s="152"/>
      <c r="AP4168" s="152"/>
      <c r="AQ4168" s="152"/>
      <c r="AR4168" s="152"/>
      <c r="AS4168" s="152"/>
      <c r="AT4168" s="152"/>
      <c r="AU4168" s="153"/>
      <c r="AV4168" s="479"/>
      <c r="AW4168" s="479"/>
      <c r="AX4168" s="442"/>
      <c r="AY4168" s="153"/>
      <c r="AZ4168" s="152"/>
      <c r="BA4168" s="152"/>
      <c r="BB4168" s="152"/>
      <c r="BC4168" s="152"/>
      <c r="BD4168" s="152"/>
      <c r="BE4168" s="152"/>
      <c r="BF4168" s="152"/>
      <c r="BG4168" s="152"/>
      <c r="BH4168" s="152"/>
      <c r="BI4168" s="153"/>
      <c r="BJ4168" s="153"/>
      <c r="BK4168" s="153"/>
      <c r="BL4168" s="153"/>
      <c r="BM4168" s="153"/>
      <c r="BN4168" s="153"/>
      <c r="BO4168" s="153"/>
      <c r="BP4168" s="153"/>
      <c r="BQ4168" s="153"/>
      <c r="BR4168" s="153"/>
      <c r="BS4168" s="153"/>
      <c r="BT4168" s="153"/>
      <c r="BU4168" s="153"/>
      <c r="BV4168" s="153"/>
      <c r="BW4168" s="153"/>
      <c r="BX4168" s="153"/>
      <c r="BY4168" s="153"/>
      <c r="BZ4168" s="153"/>
      <c r="CA4168" s="152"/>
      <c r="CB4168" s="152"/>
    </row>
    <row r="4169" spans="1:80" s="87" customFormat="1" ht="15" x14ac:dyDescent="0.25">
      <c r="A4169" s="152"/>
      <c r="B4169" s="683"/>
      <c r="C4169" s="683"/>
      <c r="D4169" s="698"/>
      <c r="E4169" s="215"/>
      <c r="F4169" s="215"/>
      <c r="G4169" s="153"/>
      <c r="H4169" s="153"/>
      <c r="I4169" s="163">
        <v>8</v>
      </c>
      <c r="J4169" s="322">
        <v>60</v>
      </c>
      <c r="K4169" s="163">
        <v>1</v>
      </c>
      <c r="L4169" s="656">
        <v>8</v>
      </c>
      <c r="M4169" s="663">
        <v>34487</v>
      </c>
      <c r="N4169" s="600">
        <v>0.31143999999999999</v>
      </c>
      <c r="O4169" s="604">
        <v>1.25E-4</v>
      </c>
      <c r="P4169" s="250"/>
      <c r="Q4169" s="250"/>
      <c r="R4169" s="250"/>
      <c r="S4169" s="250"/>
      <c r="T4169" s="250">
        <v>0.35</v>
      </c>
      <c r="U4169" s="250">
        <v>0.1</v>
      </c>
      <c r="V4169" s="250">
        <v>0.25</v>
      </c>
      <c r="W4169" s="250">
        <v>0.15</v>
      </c>
      <c r="X4169" s="250">
        <v>0.15</v>
      </c>
      <c r="Y4169" s="250"/>
      <c r="Z4169" s="150"/>
      <c r="AA4169" s="150"/>
      <c r="AB4169" s="152"/>
      <c r="AC4169" s="152"/>
      <c r="AD4169" s="223">
        <v>2.2859250000000002</v>
      </c>
      <c r="AE4169" s="223">
        <v>0.19400899499999999</v>
      </c>
      <c r="AF4169" s="223">
        <v>0.443475956</v>
      </c>
      <c r="AG4169" s="223">
        <v>0.70483485499999998</v>
      </c>
      <c r="AH4169" s="341"/>
      <c r="AI4169" s="218"/>
      <c r="AJ4169" s="218"/>
      <c r="AK4169" s="153"/>
      <c r="AL4169" s="152"/>
      <c r="AM4169" s="152"/>
      <c r="AN4169" s="152"/>
      <c r="AO4169" s="152"/>
      <c r="AP4169" s="152"/>
      <c r="AQ4169" s="152"/>
      <c r="AR4169" s="152"/>
      <c r="AS4169" s="152"/>
      <c r="AT4169" s="152"/>
      <c r="AU4169" s="153"/>
      <c r="AV4169" s="479"/>
      <c r="AW4169" s="479"/>
      <c r="AX4169" s="442"/>
      <c r="AY4169" s="153"/>
      <c r="AZ4169" s="152"/>
      <c r="BA4169" s="152"/>
      <c r="BB4169" s="152"/>
      <c r="BC4169" s="152"/>
      <c r="BD4169" s="152"/>
      <c r="BE4169" s="152"/>
      <c r="BF4169" s="152"/>
      <c r="BG4169" s="152"/>
      <c r="BH4169" s="152"/>
      <c r="BI4169" s="153"/>
      <c r="BJ4169" s="153"/>
      <c r="BK4169" s="153"/>
      <c r="BL4169" s="153"/>
      <c r="BM4169" s="153"/>
      <c r="BN4169" s="153"/>
      <c r="BO4169" s="153"/>
      <c r="BP4169" s="153"/>
      <c r="BQ4169" s="153"/>
      <c r="BR4169" s="153"/>
      <c r="BS4169" s="153"/>
      <c r="BT4169" s="153"/>
      <c r="BU4169" s="153"/>
      <c r="BV4169" s="153"/>
      <c r="BW4169" s="153"/>
      <c r="BX4169" s="153"/>
      <c r="BY4169" s="153"/>
      <c r="BZ4169" s="153"/>
      <c r="CA4169" s="152"/>
      <c r="CB4169" s="152"/>
    </row>
    <row r="4170" spans="1:80" s="87" customFormat="1" ht="15" x14ac:dyDescent="0.25">
      <c r="A4170" s="152"/>
      <c r="B4170" s="683"/>
      <c r="C4170" s="683"/>
      <c r="D4170" s="698"/>
      <c r="E4170" s="215"/>
      <c r="F4170" s="215"/>
      <c r="G4170" s="153"/>
      <c r="H4170" s="153"/>
      <c r="I4170" s="163">
        <v>8</v>
      </c>
      <c r="J4170" s="322">
        <v>60</v>
      </c>
      <c r="K4170" s="163">
        <v>1</v>
      </c>
      <c r="L4170" s="656">
        <v>8</v>
      </c>
      <c r="M4170" s="663">
        <v>34487</v>
      </c>
      <c r="N4170" s="600">
        <v>0.31143999999999999</v>
      </c>
      <c r="O4170" s="604">
        <v>1.3960000000000001E-3</v>
      </c>
      <c r="P4170" s="250"/>
      <c r="Q4170" s="250"/>
      <c r="R4170" s="250"/>
      <c r="S4170" s="250">
        <v>0.3705</v>
      </c>
      <c r="T4170" s="250">
        <v>0.11599999999999999</v>
      </c>
      <c r="U4170" s="250">
        <v>0.16510000000000002</v>
      </c>
      <c r="V4170" s="250">
        <v>0.1875</v>
      </c>
      <c r="W4170" s="250">
        <v>9.3699999999999992E-2</v>
      </c>
      <c r="X4170" s="250">
        <v>6.6900000000000001E-2</v>
      </c>
      <c r="Y4170" s="250"/>
      <c r="Z4170" s="150"/>
      <c r="AA4170" s="150"/>
      <c r="AB4170" s="152"/>
      <c r="AC4170" s="152"/>
      <c r="AD4170" s="223">
        <v>2.2859250000000002</v>
      </c>
      <c r="AE4170" s="223">
        <v>0.19400899499999999</v>
      </c>
      <c r="AF4170" s="223">
        <v>0.443475956</v>
      </c>
      <c r="AG4170" s="223">
        <v>0.70483485499999998</v>
      </c>
      <c r="AH4170" s="341"/>
      <c r="AI4170" s="218"/>
      <c r="AJ4170" s="218"/>
      <c r="AK4170" s="153"/>
      <c r="AL4170" s="152"/>
      <c r="AM4170" s="152"/>
      <c r="AN4170" s="152"/>
      <c r="AO4170" s="152"/>
      <c r="AP4170" s="152"/>
      <c r="AQ4170" s="152"/>
      <c r="AR4170" s="152"/>
      <c r="AS4170" s="152"/>
      <c r="AT4170" s="152"/>
      <c r="AU4170" s="153"/>
      <c r="AV4170" s="479"/>
      <c r="AW4170" s="479"/>
      <c r="AX4170" s="442"/>
      <c r="AY4170" s="153"/>
      <c r="AZ4170" s="152"/>
      <c r="BA4170" s="152"/>
      <c r="BB4170" s="152"/>
      <c r="BC4170" s="152"/>
      <c r="BD4170" s="152"/>
      <c r="BE4170" s="152"/>
      <c r="BF4170" s="152"/>
      <c r="BG4170" s="152"/>
      <c r="BH4170" s="152"/>
      <c r="BI4170" s="153"/>
      <c r="BJ4170" s="153"/>
      <c r="BK4170" s="153"/>
      <c r="BL4170" s="153"/>
      <c r="BM4170" s="153"/>
      <c r="BN4170" s="153"/>
      <c r="BO4170" s="153"/>
      <c r="BP4170" s="153"/>
      <c r="BQ4170" s="153"/>
      <c r="BR4170" s="153"/>
      <c r="BS4170" s="153"/>
      <c r="BT4170" s="153"/>
      <c r="BU4170" s="153"/>
      <c r="BV4170" s="153"/>
      <c r="BW4170" s="153"/>
      <c r="BX4170" s="153"/>
      <c r="BY4170" s="153"/>
      <c r="BZ4170" s="153"/>
      <c r="CA4170" s="152"/>
      <c r="CB4170" s="152"/>
    </row>
    <row r="4171" spans="1:80" s="87" customFormat="1" x14ac:dyDescent="0.2">
      <c r="A4171" s="152"/>
      <c r="B4171" s="683"/>
      <c r="C4171" s="683"/>
      <c r="D4171" s="698"/>
      <c r="E4171" s="215"/>
      <c r="F4171" s="215"/>
      <c r="G4171" s="153"/>
      <c r="H4171" s="153"/>
      <c r="I4171" s="163">
        <v>7</v>
      </c>
      <c r="J4171" s="163">
        <v>60</v>
      </c>
      <c r="K4171" s="163">
        <v>5</v>
      </c>
      <c r="L4171" s="656">
        <v>35</v>
      </c>
      <c r="M4171" s="663">
        <v>34829</v>
      </c>
      <c r="N4171" s="600">
        <v>0.35674</v>
      </c>
      <c r="O4171" s="604">
        <v>6.2600000000000004E-4</v>
      </c>
      <c r="P4171" s="250"/>
      <c r="Q4171" s="250"/>
      <c r="R4171" s="250"/>
      <c r="S4171" s="250"/>
      <c r="T4171" s="250">
        <v>7.400000000000001E-2</v>
      </c>
      <c r="U4171" s="250">
        <v>0.13800000000000001</v>
      </c>
      <c r="V4171" s="250">
        <v>0.25700000000000001</v>
      </c>
      <c r="W4171" s="250">
        <v>0.27100000000000002</v>
      </c>
      <c r="X4171" s="250">
        <v>0.26200000000000001</v>
      </c>
      <c r="Y4171" s="250"/>
      <c r="Z4171" s="150"/>
      <c r="AA4171" s="150"/>
      <c r="AB4171" s="152"/>
      <c r="AC4171" s="152"/>
      <c r="AD4171" s="223">
        <v>2.3164039999999999</v>
      </c>
      <c r="AE4171" s="223">
        <v>0.21660141999999999</v>
      </c>
      <c r="AF4171" s="223">
        <v>0.50172049399999996</v>
      </c>
      <c r="AG4171" s="223">
        <v>0.71273795600000001</v>
      </c>
      <c r="AH4171" s="341"/>
      <c r="AI4171" s="218"/>
      <c r="AJ4171" s="218"/>
      <c r="AK4171" s="153"/>
      <c r="AL4171" s="152"/>
      <c r="AM4171" s="152"/>
      <c r="AN4171" s="152"/>
      <c r="AO4171" s="152"/>
      <c r="AP4171" s="152"/>
      <c r="AQ4171" s="152"/>
      <c r="AR4171" s="152"/>
      <c r="AS4171" s="152"/>
      <c r="AT4171" s="152"/>
      <c r="AU4171" s="153"/>
      <c r="AV4171" s="479"/>
      <c r="AW4171" s="479"/>
      <c r="AX4171" s="442"/>
      <c r="AY4171" s="153"/>
      <c r="AZ4171" s="152"/>
      <c r="BA4171" s="152"/>
      <c r="BB4171" s="152"/>
      <c r="BC4171" s="152"/>
      <c r="BD4171" s="152"/>
      <c r="BE4171" s="152"/>
      <c r="BF4171" s="152"/>
      <c r="BG4171" s="152"/>
      <c r="BH4171" s="152"/>
      <c r="BI4171" s="153"/>
      <c r="BJ4171" s="153"/>
      <c r="BK4171" s="153"/>
      <c r="BL4171" s="153"/>
      <c r="BM4171" s="153"/>
      <c r="BN4171" s="153"/>
      <c r="BO4171" s="153"/>
      <c r="BP4171" s="153"/>
      <c r="BQ4171" s="153"/>
      <c r="BR4171" s="153"/>
      <c r="BS4171" s="153"/>
      <c r="BT4171" s="153"/>
      <c r="BU4171" s="153"/>
      <c r="BV4171" s="153"/>
      <c r="BW4171" s="153"/>
      <c r="BX4171" s="153"/>
      <c r="BY4171" s="153"/>
      <c r="BZ4171" s="153"/>
      <c r="CA4171" s="152"/>
      <c r="CB4171" s="152"/>
    </row>
    <row r="4172" spans="1:80" s="87" customFormat="1" x14ac:dyDescent="0.2">
      <c r="A4172" s="152"/>
      <c r="B4172" s="683"/>
      <c r="C4172" s="683"/>
      <c r="D4172" s="698"/>
      <c r="E4172" s="215"/>
      <c r="F4172" s="215"/>
      <c r="G4172" s="153"/>
      <c r="H4172" s="153"/>
      <c r="I4172" s="163">
        <v>7</v>
      </c>
      <c r="J4172" s="163">
        <v>60</v>
      </c>
      <c r="K4172" s="163">
        <v>5</v>
      </c>
      <c r="L4172" s="656">
        <v>35</v>
      </c>
      <c r="M4172" s="663">
        <v>34835</v>
      </c>
      <c r="N4172" s="600">
        <v>0.33126</v>
      </c>
      <c r="O4172" s="604">
        <v>4.7399999999999997E-4</v>
      </c>
      <c r="P4172" s="250"/>
      <c r="Q4172" s="250"/>
      <c r="R4172" s="250"/>
      <c r="S4172" s="250">
        <v>0.14800000000000002</v>
      </c>
      <c r="T4172" s="250">
        <v>5.4000000000000006E-2</v>
      </c>
      <c r="U4172" s="250">
        <v>0.111</v>
      </c>
      <c r="V4172" s="250">
        <v>0.19899999999999998</v>
      </c>
      <c r="W4172" s="250">
        <v>0.24100000000000002</v>
      </c>
      <c r="X4172" s="250">
        <v>0.247</v>
      </c>
      <c r="Y4172" s="250"/>
      <c r="Z4172" s="150"/>
      <c r="AA4172" s="150"/>
      <c r="AB4172" s="152"/>
      <c r="AC4172" s="152"/>
      <c r="AD4172" s="223"/>
      <c r="AE4172" s="223"/>
      <c r="AF4172" s="223"/>
      <c r="AG4172" s="223"/>
      <c r="AH4172" s="341"/>
      <c r="AI4172" s="218"/>
      <c r="AJ4172" s="218"/>
      <c r="AK4172" s="153"/>
      <c r="AL4172" s="152"/>
      <c r="AM4172" s="152"/>
      <c r="AN4172" s="152"/>
      <c r="AO4172" s="152"/>
      <c r="AP4172" s="152"/>
      <c r="AQ4172" s="152"/>
      <c r="AR4172" s="152"/>
      <c r="AS4172" s="152"/>
      <c r="AT4172" s="152"/>
      <c r="AU4172" s="153"/>
      <c r="AV4172" s="479"/>
      <c r="AW4172" s="479"/>
      <c r="AX4172" s="442"/>
      <c r="AY4172" s="153"/>
      <c r="AZ4172" s="152"/>
      <c r="BA4172" s="152"/>
      <c r="BB4172" s="152"/>
      <c r="BC4172" s="152"/>
      <c r="BD4172" s="152"/>
      <c r="BE4172" s="152"/>
      <c r="BF4172" s="152"/>
      <c r="BG4172" s="152"/>
      <c r="BH4172" s="152"/>
      <c r="BI4172" s="153"/>
      <c r="BJ4172" s="153"/>
      <c r="BK4172" s="153"/>
      <c r="BL4172" s="153"/>
      <c r="BM4172" s="153"/>
      <c r="BN4172" s="153"/>
      <c r="BO4172" s="153"/>
      <c r="BP4172" s="153"/>
      <c r="BQ4172" s="153"/>
      <c r="BR4172" s="153"/>
      <c r="BS4172" s="153"/>
      <c r="BT4172" s="153"/>
      <c r="BU4172" s="153"/>
      <c r="BV4172" s="153"/>
      <c r="BW4172" s="153"/>
      <c r="BX4172" s="153"/>
      <c r="BY4172" s="153"/>
      <c r="BZ4172" s="153"/>
      <c r="CA4172" s="152"/>
      <c r="CB4172" s="152"/>
    </row>
    <row r="4173" spans="1:80" s="87" customFormat="1" x14ac:dyDescent="0.2">
      <c r="A4173" s="152"/>
      <c r="B4173" s="683"/>
      <c r="C4173" s="683"/>
      <c r="D4173" s="698"/>
      <c r="E4173" s="215"/>
      <c r="F4173" s="215"/>
      <c r="G4173" s="153"/>
      <c r="H4173" s="153"/>
      <c r="I4173" s="163">
        <v>7</v>
      </c>
      <c r="J4173" s="163">
        <v>60</v>
      </c>
      <c r="K4173" s="163">
        <v>5</v>
      </c>
      <c r="L4173" s="656">
        <v>35</v>
      </c>
      <c r="M4173" s="663">
        <v>34843</v>
      </c>
      <c r="N4173" s="600">
        <v>0.42752000000000001</v>
      </c>
      <c r="O4173" s="604">
        <v>1.333E-3</v>
      </c>
      <c r="P4173" s="250"/>
      <c r="Q4173" s="250"/>
      <c r="R4173" s="250"/>
      <c r="S4173" s="250">
        <v>8.5999999999999993E-2</v>
      </c>
      <c r="T4173" s="250">
        <v>0.127</v>
      </c>
      <c r="U4173" s="250">
        <v>0.19600000000000001</v>
      </c>
      <c r="V4173" s="250">
        <v>0.24600000000000002</v>
      </c>
      <c r="W4173" s="250">
        <v>0.2</v>
      </c>
      <c r="X4173" s="250">
        <v>0.14499999999999999</v>
      </c>
      <c r="Y4173" s="250"/>
      <c r="Z4173" s="150"/>
      <c r="AA4173" s="150"/>
      <c r="AB4173" s="152"/>
      <c r="AC4173" s="152"/>
      <c r="AD4173" s="223">
        <v>2.3773620000000002</v>
      </c>
      <c r="AE4173" s="223">
        <v>0.21828825299999999</v>
      </c>
      <c r="AF4173" s="223">
        <v>0.51893375200000003</v>
      </c>
      <c r="AG4173" s="223">
        <v>0.82385997899999996</v>
      </c>
      <c r="AH4173" s="341"/>
      <c r="AI4173" s="218"/>
      <c r="AJ4173" s="218"/>
      <c r="AK4173" s="153"/>
      <c r="AL4173" s="152"/>
      <c r="AM4173" s="152"/>
      <c r="AN4173" s="152"/>
      <c r="AO4173" s="152"/>
      <c r="AP4173" s="152"/>
      <c r="AQ4173" s="152"/>
      <c r="AR4173" s="152"/>
      <c r="AS4173" s="152"/>
      <c r="AT4173" s="152"/>
      <c r="AU4173" s="153"/>
      <c r="AV4173" s="479"/>
      <c r="AW4173" s="479"/>
      <c r="AX4173" s="442"/>
      <c r="AY4173" s="153"/>
      <c r="AZ4173" s="152"/>
      <c r="BA4173" s="152"/>
      <c r="BB4173" s="152"/>
      <c r="BC4173" s="152"/>
      <c r="BD4173" s="152"/>
      <c r="BE4173" s="152"/>
      <c r="BF4173" s="152"/>
      <c r="BG4173" s="152"/>
      <c r="BH4173" s="152"/>
      <c r="BI4173" s="153"/>
      <c r="BJ4173" s="153"/>
      <c r="BK4173" s="153"/>
      <c r="BL4173" s="153"/>
      <c r="BM4173" s="153"/>
      <c r="BN4173" s="153"/>
      <c r="BO4173" s="153"/>
      <c r="BP4173" s="153"/>
      <c r="BQ4173" s="153"/>
      <c r="BR4173" s="153"/>
      <c r="BS4173" s="153"/>
      <c r="BT4173" s="153"/>
      <c r="BU4173" s="153"/>
      <c r="BV4173" s="153"/>
      <c r="BW4173" s="153"/>
      <c r="BX4173" s="153"/>
      <c r="BY4173" s="153"/>
      <c r="BZ4173" s="153"/>
      <c r="CA4173" s="152"/>
      <c r="CB4173" s="152"/>
    </row>
    <row r="4174" spans="1:80" s="87" customFormat="1" x14ac:dyDescent="0.2">
      <c r="A4174" s="152"/>
      <c r="B4174" s="683"/>
      <c r="C4174" s="683"/>
      <c r="D4174" s="698"/>
      <c r="E4174" s="215"/>
      <c r="F4174" s="215"/>
      <c r="G4174" s="153"/>
      <c r="H4174" s="153"/>
      <c r="I4174" s="163">
        <v>8</v>
      </c>
      <c r="J4174" s="163">
        <v>60</v>
      </c>
      <c r="K4174" s="163">
        <v>5</v>
      </c>
      <c r="L4174" s="656">
        <v>40</v>
      </c>
      <c r="M4174" s="663">
        <v>34850</v>
      </c>
      <c r="N4174" s="600">
        <v>0.46999000000000002</v>
      </c>
      <c r="O4174" s="604">
        <v>1.763E-3</v>
      </c>
      <c r="P4174" s="250"/>
      <c r="Q4174" s="250"/>
      <c r="R4174" s="250"/>
      <c r="S4174" s="250">
        <v>5.0000000000000001E-3</v>
      </c>
      <c r="T4174" s="250">
        <v>0.126</v>
      </c>
      <c r="U4174" s="250">
        <v>0.21299999999999999</v>
      </c>
      <c r="V4174" s="250">
        <v>0.27800000000000002</v>
      </c>
      <c r="W4174" s="250">
        <v>0.21</v>
      </c>
      <c r="X4174" s="250">
        <v>0.16800000000000001</v>
      </c>
      <c r="Y4174" s="250"/>
      <c r="Z4174" s="150"/>
      <c r="AA4174" s="150"/>
      <c r="AB4174" s="152"/>
      <c r="AC4174" s="152"/>
      <c r="AD4174" s="223">
        <v>2.4078409999999999</v>
      </c>
      <c r="AE4174" s="223">
        <v>0.21904369900000001</v>
      </c>
      <c r="AF4174" s="223">
        <v>0.52740568499999996</v>
      </c>
      <c r="AG4174" s="223">
        <v>0.89276225499999995</v>
      </c>
      <c r="AH4174" s="341"/>
      <c r="AI4174" s="218"/>
      <c r="AJ4174" s="218"/>
      <c r="AK4174" s="153"/>
      <c r="AL4174" s="152"/>
      <c r="AM4174" s="152"/>
      <c r="AN4174" s="152"/>
      <c r="AO4174" s="152"/>
      <c r="AP4174" s="152"/>
      <c r="AQ4174" s="152"/>
      <c r="AR4174" s="152"/>
      <c r="AS4174" s="152"/>
      <c r="AT4174" s="152"/>
      <c r="AU4174" s="153"/>
      <c r="AV4174" s="479"/>
      <c r="AW4174" s="479"/>
      <c r="AX4174" s="442"/>
      <c r="AY4174" s="153"/>
      <c r="AZ4174" s="152"/>
      <c r="BA4174" s="152"/>
      <c r="BB4174" s="152"/>
      <c r="BC4174" s="152"/>
      <c r="BD4174" s="152"/>
      <c r="BE4174" s="152"/>
      <c r="BF4174" s="152"/>
      <c r="BG4174" s="152"/>
      <c r="BH4174" s="152"/>
      <c r="BI4174" s="153"/>
      <c r="BJ4174" s="153"/>
      <c r="BK4174" s="153"/>
      <c r="BL4174" s="153"/>
      <c r="BM4174" s="153"/>
      <c r="BN4174" s="153"/>
      <c r="BO4174" s="153"/>
      <c r="BP4174" s="153"/>
      <c r="BQ4174" s="153"/>
      <c r="BR4174" s="153"/>
      <c r="BS4174" s="153"/>
      <c r="BT4174" s="153"/>
      <c r="BU4174" s="153"/>
      <c r="BV4174" s="153"/>
      <c r="BW4174" s="153"/>
      <c r="BX4174" s="153"/>
      <c r="BY4174" s="153"/>
      <c r="BZ4174" s="153"/>
      <c r="CA4174" s="152"/>
      <c r="CB4174" s="152"/>
    </row>
    <row r="4175" spans="1:80" s="87" customFormat="1" x14ac:dyDescent="0.2">
      <c r="A4175" s="152"/>
      <c r="B4175" s="683"/>
      <c r="C4175" s="683"/>
      <c r="D4175" s="698"/>
      <c r="E4175" s="215"/>
      <c r="F4175" s="215"/>
      <c r="G4175" s="153"/>
      <c r="H4175" s="153"/>
      <c r="I4175" s="163">
        <v>8</v>
      </c>
      <c r="J4175" s="163">
        <v>60</v>
      </c>
      <c r="K4175" s="163">
        <v>5</v>
      </c>
      <c r="L4175" s="656">
        <v>40</v>
      </c>
      <c r="M4175" s="663">
        <v>34858</v>
      </c>
      <c r="N4175" s="600">
        <v>0.58040999999999998</v>
      </c>
      <c r="O4175" s="604">
        <v>1.2700000000000001E-3</v>
      </c>
      <c r="P4175" s="250"/>
      <c r="Q4175" s="250"/>
      <c r="R4175" s="250"/>
      <c r="S4175" s="250">
        <v>0.23800000000000002</v>
      </c>
      <c r="T4175" s="250">
        <v>0.16800000000000001</v>
      </c>
      <c r="U4175" s="250">
        <v>0.17199999999999999</v>
      </c>
      <c r="V4175" s="250">
        <v>0.19</v>
      </c>
      <c r="W4175" s="250">
        <v>0.12300000000000001</v>
      </c>
      <c r="X4175" s="250">
        <v>0.10899999999999999</v>
      </c>
      <c r="Y4175" s="250"/>
      <c r="Z4175" s="150"/>
      <c r="AA4175" s="150"/>
      <c r="AB4175" s="152"/>
      <c r="AC4175" s="152"/>
      <c r="AD4175" s="223">
        <v>2.529757</v>
      </c>
      <c r="AE4175" s="223">
        <v>0.21674975599999999</v>
      </c>
      <c r="AF4175" s="223">
        <v>0.54830683499999999</v>
      </c>
      <c r="AG4175" s="223">
        <v>1.0585675560000001</v>
      </c>
      <c r="AH4175" s="341"/>
      <c r="AI4175" s="218"/>
      <c r="AJ4175" s="218"/>
      <c r="AK4175" s="153"/>
      <c r="AL4175" s="152"/>
      <c r="AM4175" s="152"/>
      <c r="AN4175" s="152"/>
      <c r="AO4175" s="152"/>
      <c r="AP4175" s="152"/>
      <c r="AQ4175" s="152"/>
      <c r="AR4175" s="152"/>
      <c r="AS4175" s="152"/>
      <c r="AT4175" s="152"/>
      <c r="AU4175" s="153"/>
      <c r="AV4175" s="479"/>
      <c r="AW4175" s="479"/>
      <c r="AX4175" s="442"/>
      <c r="AY4175" s="153"/>
      <c r="AZ4175" s="152"/>
      <c r="BA4175" s="152"/>
      <c r="BB4175" s="152"/>
      <c r="BC4175" s="152"/>
      <c r="BD4175" s="152"/>
      <c r="BE4175" s="152"/>
      <c r="BF4175" s="152"/>
      <c r="BG4175" s="152"/>
      <c r="BH4175" s="152"/>
      <c r="BI4175" s="153"/>
      <c r="BJ4175" s="153"/>
      <c r="BK4175" s="153"/>
      <c r="BL4175" s="153"/>
      <c r="BM4175" s="153"/>
      <c r="BN4175" s="153"/>
      <c r="BO4175" s="153"/>
      <c r="BP4175" s="153"/>
      <c r="BQ4175" s="153"/>
      <c r="BR4175" s="153"/>
      <c r="BS4175" s="153"/>
      <c r="BT4175" s="153"/>
      <c r="BU4175" s="153"/>
      <c r="BV4175" s="153"/>
      <c r="BW4175" s="153"/>
      <c r="BX4175" s="153"/>
      <c r="BY4175" s="153"/>
      <c r="BZ4175" s="153"/>
      <c r="CA4175" s="152"/>
      <c r="CB4175" s="152"/>
    </row>
    <row r="4176" spans="1:80" s="87" customFormat="1" x14ac:dyDescent="0.2">
      <c r="A4176" s="152"/>
      <c r="B4176" s="683"/>
      <c r="C4176" s="683"/>
      <c r="D4176" s="698"/>
      <c r="E4176" s="215"/>
      <c r="F4176" s="215"/>
      <c r="G4176" s="153"/>
      <c r="H4176" s="153"/>
      <c r="I4176" s="163">
        <v>8</v>
      </c>
      <c r="J4176" s="163">
        <v>60</v>
      </c>
      <c r="K4176" s="163">
        <v>5</v>
      </c>
      <c r="L4176" s="656">
        <v>40</v>
      </c>
      <c r="M4176" s="663">
        <v>34863</v>
      </c>
      <c r="N4176" s="600">
        <v>0.60023000000000004</v>
      </c>
      <c r="O4176" s="604">
        <v>5.9620000000000003E-3</v>
      </c>
      <c r="P4176" s="250"/>
      <c r="Q4176" s="250"/>
      <c r="R4176" s="250">
        <v>0.27399999999999997</v>
      </c>
      <c r="S4176" s="250">
        <v>0.151</v>
      </c>
      <c r="T4176" s="250">
        <v>0.14199999999999999</v>
      </c>
      <c r="U4176" s="250">
        <v>0.14899999999999999</v>
      </c>
      <c r="V4176" s="250">
        <v>0.13500000000000001</v>
      </c>
      <c r="W4176" s="250">
        <v>8.5000000000000006E-2</v>
      </c>
      <c r="X4176" s="250">
        <v>6.3E-2</v>
      </c>
      <c r="Y4176" s="250"/>
      <c r="Z4176" s="150"/>
      <c r="AA4176" s="150"/>
      <c r="AB4176" s="152"/>
      <c r="AC4176" s="152"/>
      <c r="AD4176" s="223">
        <v>2.6821519999999999</v>
      </c>
      <c r="AE4176" s="223">
        <v>0.21136147399999999</v>
      </c>
      <c r="AF4176" s="223">
        <v>0.566885635</v>
      </c>
      <c r="AG4176" s="223">
        <v>1.0578373130000001</v>
      </c>
      <c r="AH4176" s="341"/>
      <c r="AI4176" s="218"/>
      <c r="AJ4176" s="218"/>
      <c r="AK4176" s="153"/>
      <c r="AL4176" s="152"/>
      <c r="AM4176" s="152"/>
      <c r="AN4176" s="152"/>
      <c r="AO4176" s="152"/>
      <c r="AP4176" s="152"/>
      <c r="AQ4176" s="152"/>
      <c r="AR4176" s="152"/>
      <c r="AS4176" s="152"/>
      <c r="AT4176" s="152"/>
      <c r="AU4176" s="153"/>
      <c r="AV4176" s="479"/>
      <c r="AW4176" s="479"/>
      <c r="AX4176" s="442"/>
      <c r="AY4176" s="153"/>
      <c r="AZ4176" s="152"/>
      <c r="BA4176" s="152"/>
      <c r="BB4176" s="152"/>
      <c r="BC4176" s="152"/>
      <c r="BD4176" s="152"/>
      <c r="BE4176" s="152"/>
      <c r="BF4176" s="152"/>
      <c r="BG4176" s="152"/>
      <c r="BH4176" s="152"/>
      <c r="BI4176" s="153"/>
      <c r="BJ4176" s="153"/>
      <c r="BK4176" s="153"/>
      <c r="BL4176" s="153"/>
      <c r="BM4176" s="153"/>
      <c r="BN4176" s="153"/>
      <c r="BO4176" s="153"/>
      <c r="BP4176" s="153"/>
      <c r="BQ4176" s="153"/>
      <c r="BR4176" s="153"/>
      <c r="BS4176" s="153"/>
      <c r="BT4176" s="153"/>
      <c r="BU4176" s="153"/>
      <c r="BV4176" s="153"/>
      <c r="BW4176" s="153"/>
      <c r="BX4176" s="153"/>
      <c r="BY4176" s="153"/>
      <c r="BZ4176" s="153"/>
      <c r="CA4176" s="152"/>
      <c r="CB4176" s="152"/>
    </row>
    <row r="4177" spans="1:80" s="87" customFormat="1" x14ac:dyDescent="0.2">
      <c r="A4177" s="152"/>
      <c r="B4177" s="683"/>
      <c r="C4177" s="683"/>
      <c r="D4177" s="698"/>
      <c r="E4177" s="215"/>
      <c r="F4177" s="215"/>
      <c r="G4177" s="153"/>
      <c r="H4177" s="153"/>
      <c r="I4177" s="163">
        <v>8</v>
      </c>
      <c r="J4177" s="163">
        <v>60</v>
      </c>
      <c r="K4177" s="163">
        <v>5</v>
      </c>
      <c r="L4177" s="656">
        <v>40</v>
      </c>
      <c r="M4177" s="663">
        <v>34869</v>
      </c>
      <c r="N4177" s="600">
        <v>0.63704000000000005</v>
      </c>
      <c r="O4177" s="604">
        <v>1.5529999999999999E-3</v>
      </c>
      <c r="P4177" s="250"/>
      <c r="Q4177" s="250"/>
      <c r="R4177" s="250">
        <v>5.2999999999999999E-2</v>
      </c>
      <c r="S4177" s="250">
        <v>0.125</v>
      </c>
      <c r="T4177" s="250">
        <v>0.13500000000000001</v>
      </c>
      <c r="U4177" s="250">
        <v>0.16800000000000001</v>
      </c>
      <c r="V4177" s="250">
        <v>0.21899999999999997</v>
      </c>
      <c r="W4177" s="250">
        <v>0.16800000000000001</v>
      </c>
      <c r="X4177" s="250">
        <v>0.13100000000000001</v>
      </c>
      <c r="Y4177" s="250"/>
      <c r="Z4177" s="150"/>
      <c r="AA4177" s="150"/>
      <c r="AB4177" s="152"/>
      <c r="AC4177" s="152"/>
      <c r="AD4177" s="223">
        <v>2.7431100000000002</v>
      </c>
      <c r="AE4177" s="223">
        <v>0.21699354700000001</v>
      </c>
      <c r="AF4177" s="223">
        <v>0.59521830499999995</v>
      </c>
      <c r="AG4177" s="223">
        <v>1.0688460870000001</v>
      </c>
      <c r="AH4177" s="341"/>
      <c r="AI4177" s="218"/>
      <c r="AJ4177" s="218"/>
      <c r="AK4177" s="153"/>
      <c r="AL4177" s="152"/>
      <c r="AM4177" s="152"/>
      <c r="AN4177" s="152"/>
      <c r="AO4177" s="152"/>
      <c r="AP4177" s="152"/>
      <c r="AQ4177" s="152"/>
      <c r="AR4177" s="152"/>
      <c r="AS4177" s="152"/>
      <c r="AT4177" s="152"/>
      <c r="AU4177" s="153"/>
      <c r="AV4177" s="479"/>
      <c r="AW4177" s="479"/>
      <c r="AX4177" s="442"/>
      <c r="AY4177" s="153"/>
      <c r="AZ4177" s="152"/>
      <c r="BA4177" s="152"/>
      <c r="BB4177" s="152"/>
      <c r="BC4177" s="152"/>
      <c r="BD4177" s="152"/>
      <c r="BE4177" s="152"/>
      <c r="BF4177" s="152"/>
      <c r="BG4177" s="152"/>
      <c r="BH4177" s="152"/>
      <c r="BI4177" s="153"/>
      <c r="BJ4177" s="153"/>
      <c r="BK4177" s="153"/>
      <c r="BL4177" s="153"/>
      <c r="BM4177" s="153"/>
      <c r="BN4177" s="153"/>
      <c r="BO4177" s="153"/>
      <c r="BP4177" s="153"/>
      <c r="BQ4177" s="153"/>
      <c r="BR4177" s="153"/>
      <c r="BS4177" s="153"/>
      <c r="BT4177" s="153"/>
      <c r="BU4177" s="153"/>
      <c r="BV4177" s="153"/>
      <c r="BW4177" s="153"/>
      <c r="BX4177" s="153"/>
      <c r="BY4177" s="153"/>
      <c r="BZ4177" s="153"/>
      <c r="CA4177" s="152"/>
      <c r="CB4177" s="152"/>
    </row>
    <row r="4178" spans="1:80" s="87" customFormat="1" x14ac:dyDescent="0.2">
      <c r="A4178" s="152"/>
      <c r="B4178" s="683"/>
      <c r="C4178" s="683"/>
      <c r="D4178" s="698"/>
      <c r="E4178" s="215"/>
      <c r="F4178" s="215"/>
      <c r="G4178" s="153"/>
      <c r="H4178" s="153"/>
      <c r="I4178" s="163">
        <v>7</v>
      </c>
      <c r="J4178" s="163">
        <v>60</v>
      </c>
      <c r="K4178" s="163">
        <v>5</v>
      </c>
      <c r="L4178" s="656">
        <v>35</v>
      </c>
      <c r="M4178" s="663">
        <v>34878</v>
      </c>
      <c r="N4178" s="600">
        <v>0.49264000000000002</v>
      </c>
      <c r="O4178" s="604">
        <v>2.7290000000000001E-3</v>
      </c>
      <c r="P4178" s="250"/>
      <c r="Q4178" s="250"/>
      <c r="R4178" s="250"/>
      <c r="S4178" s="250">
        <v>4.0999999999999995E-2</v>
      </c>
      <c r="T4178" s="250">
        <v>6.9000000000000006E-2</v>
      </c>
      <c r="U4178" s="250">
        <v>0.17100000000000001</v>
      </c>
      <c r="V4178" s="250">
        <v>0.32700000000000001</v>
      </c>
      <c r="W4178" s="250">
        <v>0.22399999999999998</v>
      </c>
      <c r="X4178" s="250">
        <v>0.16800000000000001</v>
      </c>
      <c r="Y4178" s="250"/>
      <c r="Z4178" s="150"/>
      <c r="AA4178" s="150"/>
      <c r="AB4178" s="152"/>
      <c r="AC4178" s="152"/>
      <c r="AD4178" s="223">
        <v>2.2859250000000002</v>
      </c>
      <c r="AE4178" s="223">
        <v>0.214726587</v>
      </c>
      <c r="AF4178" s="223">
        <v>0.49083331699999999</v>
      </c>
      <c r="AG4178" s="223">
        <v>1.0013918770000001</v>
      </c>
      <c r="AH4178" s="341"/>
      <c r="AI4178" s="218"/>
      <c r="AJ4178" s="218"/>
      <c r="AK4178" s="153"/>
      <c r="AL4178" s="152"/>
      <c r="AM4178" s="152"/>
      <c r="AN4178" s="152"/>
      <c r="AO4178" s="152"/>
      <c r="AP4178" s="152"/>
      <c r="AQ4178" s="152"/>
      <c r="AR4178" s="152"/>
      <c r="AS4178" s="152"/>
      <c r="AT4178" s="152"/>
      <c r="AU4178" s="153"/>
      <c r="AV4178" s="479"/>
      <c r="AW4178" s="479"/>
      <c r="AX4178" s="442"/>
      <c r="AY4178" s="153"/>
      <c r="AZ4178" s="152"/>
      <c r="BA4178" s="152"/>
      <c r="BB4178" s="152"/>
      <c r="BC4178" s="152"/>
      <c r="BD4178" s="152"/>
      <c r="BE4178" s="152"/>
      <c r="BF4178" s="152"/>
      <c r="BG4178" s="152"/>
      <c r="BH4178" s="152"/>
      <c r="BI4178" s="153"/>
      <c r="BJ4178" s="153"/>
      <c r="BK4178" s="153"/>
      <c r="BL4178" s="153"/>
      <c r="BM4178" s="153"/>
      <c r="BN4178" s="153"/>
      <c r="BO4178" s="153"/>
      <c r="BP4178" s="153"/>
      <c r="BQ4178" s="153"/>
      <c r="BR4178" s="153"/>
      <c r="BS4178" s="153"/>
      <c r="BT4178" s="153"/>
      <c r="BU4178" s="153"/>
      <c r="BV4178" s="153"/>
      <c r="BW4178" s="153"/>
      <c r="BX4178" s="153"/>
      <c r="BY4178" s="153"/>
      <c r="BZ4178" s="153"/>
      <c r="CA4178" s="152"/>
      <c r="CB4178" s="152"/>
    </row>
    <row r="4179" spans="1:80" s="87" customFormat="1" x14ac:dyDescent="0.2">
      <c r="A4179" s="152"/>
      <c r="B4179" s="683"/>
      <c r="C4179" s="683"/>
      <c r="D4179" s="698"/>
      <c r="E4179" s="215"/>
      <c r="F4179" s="215"/>
      <c r="G4179" s="153"/>
      <c r="H4179" s="153"/>
      <c r="I4179" s="163">
        <v>8</v>
      </c>
      <c r="J4179" s="163">
        <v>60</v>
      </c>
      <c r="K4179" s="163">
        <v>5</v>
      </c>
      <c r="L4179" s="656">
        <v>40</v>
      </c>
      <c r="M4179" s="663">
        <v>35150</v>
      </c>
      <c r="N4179" s="600">
        <v>0.31992999999999999</v>
      </c>
      <c r="O4179" s="604">
        <v>1.3999999999999999E-4</v>
      </c>
      <c r="P4179" s="250"/>
      <c r="Q4179" s="250"/>
      <c r="R4179" s="250"/>
      <c r="S4179" s="250"/>
      <c r="T4179" s="250"/>
      <c r="U4179" s="250">
        <v>3.6000000000000004E-2</v>
      </c>
      <c r="V4179" s="250">
        <v>0.188</v>
      </c>
      <c r="W4179" s="250">
        <v>0.35700000000000004</v>
      </c>
      <c r="X4179" s="250">
        <v>0.42</v>
      </c>
      <c r="Y4179" s="250"/>
      <c r="Z4179" s="150"/>
      <c r="AA4179" s="150"/>
      <c r="AB4179" s="152"/>
      <c r="AC4179" s="152"/>
      <c r="AD4179" s="223">
        <v>2.2859250000000002</v>
      </c>
      <c r="AE4179" s="223">
        <v>0.19669114700000001</v>
      </c>
      <c r="AF4179" s="223">
        <v>0.44960696</v>
      </c>
      <c r="AG4179" s="223">
        <v>0.71096675600000003</v>
      </c>
      <c r="AH4179" s="341"/>
      <c r="AI4179" s="218"/>
      <c r="AJ4179" s="218"/>
      <c r="AK4179" s="153"/>
      <c r="AL4179" s="152"/>
      <c r="AM4179" s="152"/>
      <c r="AN4179" s="152"/>
      <c r="AO4179" s="152"/>
      <c r="AP4179" s="152"/>
      <c r="AQ4179" s="152"/>
      <c r="AR4179" s="152"/>
      <c r="AS4179" s="152"/>
      <c r="AT4179" s="152"/>
      <c r="AU4179" s="153"/>
      <c r="AV4179" s="479"/>
      <c r="AW4179" s="479"/>
      <c r="AX4179" s="442"/>
      <c r="AY4179" s="153"/>
      <c r="AZ4179" s="152"/>
      <c r="BA4179" s="152"/>
      <c r="BB4179" s="152"/>
      <c r="BC4179" s="152"/>
      <c r="BD4179" s="152"/>
      <c r="BE4179" s="152"/>
      <c r="BF4179" s="152"/>
      <c r="BG4179" s="152"/>
      <c r="BH4179" s="152"/>
      <c r="BI4179" s="153"/>
      <c r="BJ4179" s="153"/>
      <c r="BK4179" s="153"/>
      <c r="BL4179" s="153"/>
      <c r="BM4179" s="153"/>
      <c r="BN4179" s="153"/>
      <c r="BO4179" s="153"/>
      <c r="BP4179" s="153"/>
      <c r="BQ4179" s="153"/>
      <c r="BR4179" s="153"/>
      <c r="BS4179" s="153"/>
      <c r="BT4179" s="153"/>
      <c r="BU4179" s="153"/>
      <c r="BV4179" s="153"/>
      <c r="BW4179" s="153"/>
      <c r="BX4179" s="153"/>
      <c r="BY4179" s="153"/>
      <c r="BZ4179" s="153"/>
      <c r="CA4179" s="152"/>
      <c r="CB4179" s="152"/>
    </row>
    <row r="4180" spans="1:80" s="87" customFormat="1" x14ac:dyDescent="0.2">
      <c r="A4180" s="152"/>
      <c r="B4180" s="683"/>
      <c r="C4180" s="683"/>
      <c r="D4180" s="698"/>
      <c r="E4180" s="215"/>
      <c r="F4180" s="215"/>
      <c r="G4180" s="153"/>
      <c r="H4180" s="153"/>
      <c r="I4180" s="163">
        <v>8</v>
      </c>
      <c r="J4180" s="163">
        <v>60</v>
      </c>
      <c r="K4180" s="163">
        <v>5</v>
      </c>
      <c r="L4180" s="656">
        <v>40</v>
      </c>
      <c r="M4180" s="663">
        <v>35164</v>
      </c>
      <c r="N4180" s="600">
        <v>0.52944999999999998</v>
      </c>
      <c r="O4180" s="604">
        <v>1.207E-3</v>
      </c>
      <c r="P4180" s="250"/>
      <c r="Q4180" s="250"/>
      <c r="R4180" s="250"/>
      <c r="S4180" s="250">
        <v>6.7000000000000004E-2</v>
      </c>
      <c r="T4180" s="250">
        <v>9.3000000000000013E-2</v>
      </c>
      <c r="U4180" s="250">
        <v>0.111</v>
      </c>
      <c r="V4180" s="250">
        <v>0.18100000000000002</v>
      </c>
      <c r="W4180" s="250">
        <v>0.23399999999999999</v>
      </c>
      <c r="X4180" s="250">
        <v>0.314</v>
      </c>
      <c r="Y4180" s="250"/>
      <c r="Z4180" s="150"/>
      <c r="AA4180" s="150"/>
      <c r="AB4180" s="152"/>
      <c r="AC4180" s="152"/>
      <c r="AD4180" s="223">
        <v>2.3468830000000001</v>
      </c>
      <c r="AE4180" s="223">
        <v>0.23334247399999999</v>
      </c>
      <c r="AF4180" s="223">
        <v>0.54761013000000003</v>
      </c>
      <c r="AG4180" s="223">
        <v>0.96581462299999998</v>
      </c>
      <c r="AH4180" s="341"/>
      <c r="AI4180" s="218"/>
      <c r="AJ4180" s="218"/>
      <c r="AK4180" s="153"/>
      <c r="AL4180" s="152"/>
      <c r="AM4180" s="152"/>
      <c r="AN4180" s="152"/>
      <c r="AO4180" s="152"/>
      <c r="AP4180" s="152"/>
      <c r="AQ4180" s="152"/>
      <c r="AR4180" s="152"/>
      <c r="AS4180" s="152"/>
      <c r="AT4180" s="152"/>
      <c r="AU4180" s="153"/>
      <c r="AV4180" s="479"/>
      <c r="AW4180" s="479"/>
      <c r="AX4180" s="442"/>
      <c r="AY4180" s="153"/>
      <c r="AZ4180" s="152"/>
      <c r="BA4180" s="152"/>
      <c r="BB4180" s="152"/>
      <c r="BC4180" s="152"/>
      <c r="BD4180" s="152"/>
      <c r="BE4180" s="152"/>
      <c r="BF4180" s="152"/>
      <c r="BG4180" s="152"/>
      <c r="BH4180" s="152"/>
      <c r="BI4180" s="153"/>
      <c r="BJ4180" s="153"/>
      <c r="BK4180" s="153"/>
      <c r="BL4180" s="153"/>
      <c r="BM4180" s="153"/>
      <c r="BN4180" s="153"/>
      <c r="BO4180" s="153"/>
      <c r="BP4180" s="153"/>
      <c r="BQ4180" s="153"/>
      <c r="BR4180" s="153"/>
      <c r="BS4180" s="153"/>
      <c r="BT4180" s="153"/>
      <c r="BU4180" s="153"/>
      <c r="BV4180" s="153"/>
      <c r="BW4180" s="153"/>
      <c r="BX4180" s="153"/>
      <c r="BY4180" s="153"/>
      <c r="BZ4180" s="153"/>
      <c r="CA4180" s="152"/>
      <c r="CB4180" s="152"/>
    </row>
    <row r="4181" spans="1:80" s="87" customFormat="1" x14ac:dyDescent="0.2">
      <c r="A4181" s="152"/>
      <c r="B4181" s="683"/>
      <c r="C4181" s="683"/>
      <c r="D4181" s="698"/>
      <c r="E4181" s="215"/>
      <c r="F4181" s="215"/>
      <c r="G4181" s="153"/>
      <c r="H4181" s="153"/>
      <c r="I4181" s="163">
        <v>8</v>
      </c>
      <c r="J4181" s="163">
        <v>60</v>
      </c>
      <c r="K4181" s="163">
        <v>5</v>
      </c>
      <c r="L4181" s="656">
        <v>40</v>
      </c>
      <c r="M4181" s="663">
        <v>35178</v>
      </c>
      <c r="N4181" s="600">
        <v>0.39072000000000001</v>
      </c>
      <c r="O4181" s="604">
        <v>1.8259999999999999E-3</v>
      </c>
      <c r="P4181" s="250"/>
      <c r="Q4181" s="250"/>
      <c r="R4181" s="250">
        <v>0.25</v>
      </c>
      <c r="S4181" s="250">
        <v>7.0999999999999994E-2</v>
      </c>
      <c r="T4181" s="250">
        <v>0.128</v>
      </c>
      <c r="U4181" s="250">
        <v>0.17100000000000001</v>
      </c>
      <c r="V4181" s="250">
        <v>0.183</v>
      </c>
      <c r="W4181" s="250">
        <v>0.11699999999999999</v>
      </c>
      <c r="X4181" s="250">
        <v>0.08</v>
      </c>
      <c r="Y4181" s="250"/>
      <c r="Z4181" s="150"/>
      <c r="AA4181" s="150"/>
      <c r="AB4181" s="152"/>
      <c r="AC4181" s="152"/>
      <c r="AD4181" s="223">
        <v>2.3164039999999999</v>
      </c>
      <c r="AE4181" s="223">
        <v>0.19761220099999999</v>
      </c>
      <c r="AF4181" s="223">
        <v>0.45773518499999999</v>
      </c>
      <c r="AG4181" s="223">
        <v>0.85421611399999997</v>
      </c>
      <c r="AH4181" s="341"/>
      <c r="AI4181" s="218"/>
      <c r="AJ4181" s="218"/>
      <c r="AK4181" s="153"/>
      <c r="AL4181" s="152"/>
      <c r="AM4181" s="152"/>
      <c r="AN4181" s="152"/>
      <c r="AO4181" s="152"/>
      <c r="AP4181" s="152"/>
      <c r="AQ4181" s="152"/>
      <c r="AR4181" s="152"/>
      <c r="AS4181" s="152"/>
      <c r="AT4181" s="152"/>
      <c r="AU4181" s="153"/>
      <c r="AV4181" s="479"/>
      <c r="AW4181" s="479"/>
      <c r="AX4181" s="442"/>
      <c r="AY4181" s="153"/>
      <c r="AZ4181" s="152"/>
      <c r="BA4181" s="152"/>
      <c r="BB4181" s="152"/>
      <c r="BC4181" s="152"/>
      <c r="BD4181" s="152"/>
      <c r="BE4181" s="152"/>
      <c r="BF4181" s="152"/>
      <c r="BG4181" s="152"/>
      <c r="BH4181" s="152"/>
      <c r="BI4181" s="153"/>
      <c r="BJ4181" s="153"/>
      <c r="BK4181" s="153"/>
      <c r="BL4181" s="153"/>
      <c r="BM4181" s="153"/>
      <c r="BN4181" s="153"/>
      <c r="BO4181" s="153"/>
      <c r="BP4181" s="153"/>
      <c r="BQ4181" s="153"/>
      <c r="BR4181" s="153"/>
      <c r="BS4181" s="153"/>
      <c r="BT4181" s="153"/>
      <c r="BU4181" s="153"/>
      <c r="BV4181" s="153"/>
      <c r="BW4181" s="153"/>
      <c r="BX4181" s="153"/>
      <c r="BY4181" s="153"/>
      <c r="BZ4181" s="153"/>
      <c r="CA4181" s="152"/>
      <c r="CB4181" s="152"/>
    </row>
    <row r="4182" spans="1:80" s="87" customFormat="1" x14ac:dyDescent="0.2">
      <c r="A4182" s="152"/>
      <c r="B4182" s="683"/>
      <c r="C4182" s="683"/>
      <c r="D4182" s="698"/>
      <c r="E4182" s="215"/>
      <c r="F4182" s="215"/>
      <c r="G4182" s="153"/>
      <c r="H4182" s="153"/>
      <c r="I4182" s="163">
        <v>8</v>
      </c>
      <c r="J4182" s="163">
        <v>60</v>
      </c>
      <c r="K4182" s="163">
        <v>5</v>
      </c>
      <c r="L4182" s="656">
        <v>40</v>
      </c>
      <c r="M4182" s="663">
        <v>35191</v>
      </c>
      <c r="N4182" s="600">
        <v>0.34258</v>
      </c>
      <c r="O4182" s="604">
        <v>1.155E-3</v>
      </c>
      <c r="P4182" s="250"/>
      <c r="Q4182" s="250"/>
      <c r="R4182" s="250">
        <v>9.8000000000000004E-2</v>
      </c>
      <c r="S4182" s="250">
        <v>0.17199999999999999</v>
      </c>
      <c r="T4182" s="250">
        <v>0.13500000000000001</v>
      </c>
      <c r="U4182" s="250">
        <v>0.13</v>
      </c>
      <c r="V4182" s="250">
        <v>0.19</v>
      </c>
      <c r="W4182" s="250">
        <v>0.159</v>
      </c>
      <c r="X4182" s="250">
        <v>0.11600000000000002</v>
      </c>
      <c r="Y4182" s="250"/>
      <c r="Z4182" s="150"/>
      <c r="AA4182" s="150"/>
      <c r="AB4182" s="152"/>
      <c r="AC4182" s="152"/>
      <c r="AD4182" s="223">
        <v>2.2859250000000002</v>
      </c>
      <c r="AE4182" s="223">
        <v>0.19409027200000001</v>
      </c>
      <c r="AF4182" s="223">
        <v>0.44366174400000002</v>
      </c>
      <c r="AG4182" s="223">
        <v>0.77410022999999994</v>
      </c>
      <c r="AH4182" s="341"/>
      <c r="AI4182" s="218"/>
      <c r="AJ4182" s="218"/>
      <c r="AK4182" s="153"/>
      <c r="AL4182" s="152"/>
      <c r="AM4182" s="152"/>
      <c r="AN4182" s="152"/>
      <c r="AO4182" s="152"/>
      <c r="AP4182" s="152"/>
      <c r="AQ4182" s="152"/>
      <c r="AR4182" s="152"/>
      <c r="AS4182" s="152"/>
      <c r="AT4182" s="152"/>
      <c r="AU4182" s="153"/>
      <c r="AV4182" s="479"/>
      <c r="AW4182" s="479"/>
      <c r="AX4182" s="442"/>
      <c r="AY4182" s="153"/>
      <c r="AZ4182" s="152"/>
      <c r="BA4182" s="152"/>
      <c r="BB4182" s="152"/>
      <c r="BC4182" s="152"/>
      <c r="BD4182" s="152"/>
      <c r="BE4182" s="152"/>
      <c r="BF4182" s="152"/>
      <c r="BG4182" s="152"/>
      <c r="BH4182" s="152"/>
      <c r="BI4182" s="153"/>
      <c r="BJ4182" s="153"/>
      <c r="BK4182" s="153"/>
      <c r="BL4182" s="153"/>
      <c r="BM4182" s="153"/>
      <c r="BN4182" s="153"/>
      <c r="BO4182" s="153"/>
      <c r="BP4182" s="153"/>
      <c r="BQ4182" s="153"/>
      <c r="BR4182" s="153"/>
      <c r="BS4182" s="153"/>
      <c r="BT4182" s="153"/>
      <c r="BU4182" s="153"/>
      <c r="BV4182" s="153"/>
      <c r="BW4182" s="153"/>
      <c r="BX4182" s="153"/>
      <c r="BY4182" s="153"/>
      <c r="BZ4182" s="153"/>
      <c r="CA4182" s="152"/>
      <c r="CB4182" s="152"/>
    </row>
    <row r="4183" spans="1:80" s="87" customFormat="1" x14ac:dyDescent="0.2">
      <c r="A4183" s="152"/>
      <c r="B4183" s="683"/>
      <c r="C4183" s="683"/>
      <c r="D4183" s="698"/>
      <c r="E4183" s="215"/>
      <c r="F4183" s="215"/>
      <c r="G4183" s="153"/>
      <c r="H4183" s="153"/>
      <c r="I4183" s="163">
        <v>10</v>
      </c>
      <c r="J4183" s="163">
        <v>60</v>
      </c>
      <c r="K4183" s="163">
        <v>4</v>
      </c>
      <c r="L4183" s="656">
        <v>40</v>
      </c>
      <c r="M4183" s="663">
        <v>35207</v>
      </c>
      <c r="N4183" s="600">
        <v>0.85787000000000002</v>
      </c>
      <c r="O4183" s="604">
        <v>3.9569999999999996E-3</v>
      </c>
      <c r="P4183" s="250"/>
      <c r="Q4183" s="250"/>
      <c r="R4183" s="250">
        <v>0.14099999999999999</v>
      </c>
      <c r="S4183" s="250">
        <v>0.13800000000000001</v>
      </c>
      <c r="T4183" s="250">
        <v>9.3000000000000013E-2</v>
      </c>
      <c r="U4183" s="250">
        <v>0.109</v>
      </c>
      <c r="V4183" s="250">
        <v>0.159</v>
      </c>
      <c r="W4183" s="250">
        <v>0.157</v>
      </c>
      <c r="X4183" s="250">
        <v>0.20399999999999999</v>
      </c>
      <c r="Y4183" s="250"/>
      <c r="Z4183" s="150"/>
      <c r="AA4183" s="150"/>
      <c r="AB4183" s="152"/>
      <c r="AC4183" s="152"/>
      <c r="AD4183" s="223">
        <v>2.9564629999999998</v>
      </c>
      <c r="AE4183" s="223">
        <v>0.229817944</v>
      </c>
      <c r="AF4183" s="223">
        <v>0.67942671600000004</v>
      </c>
      <c r="AG4183" s="223">
        <v>1.2639158740000001</v>
      </c>
      <c r="AH4183" s="341"/>
      <c r="AI4183" s="218"/>
      <c r="AJ4183" s="218"/>
      <c r="AK4183" s="153"/>
      <c r="AL4183" s="152"/>
      <c r="AM4183" s="152"/>
      <c r="AN4183" s="152"/>
      <c r="AO4183" s="152"/>
      <c r="AP4183" s="152"/>
      <c r="AQ4183" s="152"/>
      <c r="AR4183" s="152"/>
      <c r="AS4183" s="152"/>
      <c r="AT4183" s="152"/>
      <c r="AU4183" s="153"/>
      <c r="AV4183" s="479"/>
      <c r="AW4183" s="479"/>
      <c r="AX4183" s="442"/>
      <c r="AY4183" s="153"/>
      <c r="AZ4183" s="152"/>
      <c r="BA4183" s="152"/>
      <c r="BB4183" s="152"/>
      <c r="BC4183" s="152"/>
      <c r="BD4183" s="152"/>
      <c r="BE4183" s="152"/>
      <c r="BF4183" s="152"/>
      <c r="BG4183" s="152"/>
      <c r="BH4183" s="152"/>
      <c r="BI4183" s="153"/>
      <c r="BJ4183" s="153"/>
      <c r="BK4183" s="153"/>
      <c r="BL4183" s="153"/>
      <c r="BM4183" s="153"/>
      <c r="BN4183" s="153"/>
      <c r="BO4183" s="153"/>
      <c r="BP4183" s="153"/>
      <c r="BQ4183" s="153"/>
      <c r="BR4183" s="153"/>
      <c r="BS4183" s="153"/>
      <c r="BT4183" s="153"/>
      <c r="BU4183" s="153"/>
      <c r="BV4183" s="153"/>
      <c r="BW4183" s="153"/>
      <c r="BX4183" s="153"/>
      <c r="BY4183" s="153"/>
      <c r="BZ4183" s="153"/>
      <c r="CA4183" s="152"/>
      <c r="CB4183" s="152"/>
    </row>
    <row r="4184" spans="1:80" s="87" customFormat="1" x14ac:dyDescent="0.2">
      <c r="A4184" s="152"/>
      <c r="B4184" s="683"/>
      <c r="C4184" s="683"/>
      <c r="D4184" s="698"/>
      <c r="E4184" s="215"/>
      <c r="F4184" s="215"/>
      <c r="G4184" s="153"/>
      <c r="H4184" s="153"/>
      <c r="I4184" s="163">
        <v>10</v>
      </c>
      <c r="J4184" s="163">
        <v>60</v>
      </c>
      <c r="K4184" s="163">
        <v>4</v>
      </c>
      <c r="L4184" s="656">
        <v>40</v>
      </c>
      <c r="M4184" s="663">
        <v>35213</v>
      </c>
      <c r="N4184" s="600">
        <v>0.91449999999999998</v>
      </c>
      <c r="O4184" s="604">
        <v>7.515E-3</v>
      </c>
      <c r="P4184" s="250"/>
      <c r="Q4184" s="250">
        <v>0.223</v>
      </c>
      <c r="R4184" s="250">
        <v>6.3E-2</v>
      </c>
      <c r="S4184" s="250">
        <v>0.13500000000000001</v>
      </c>
      <c r="T4184" s="250">
        <v>0.109</v>
      </c>
      <c r="U4184" s="250">
        <v>0.124</v>
      </c>
      <c r="V4184" s="250">
        <v>0.13699999999999998</v>
      </c>
      <c r="W4184" s="250">
        <v>0.10300000000000001</v>
      </c>
      <c r="X4184" s="250">
        <v>0.10600000000000001</v>
      </c>
      <c r="Y4184" s="250"/>
      <c r="Z4184" s="150"/>
      <c r="AA4184" s="150"/>
      <c r="AB4184" s="152"/>
      <c r="AC4184" s="152"/>
      <c r="AD4184" s="223">
        <v>3.0478999999999998</v>
      </c>
      <c r="AE4184" s="223">
        <v>0.231457526</v>
      </c>
      <c r="AF4184" s="223">
        <v>0.70543703599999996</v>
      </c>
      <c r="AG4184" s="223">
        <v>1.2943741769999999</v>
      </c>
      <c r="AH4184" s="341"/>
      <c r="AI4184" s="218"/>
      <c r="AJ4184" s="218"/>
      <c r="AK4184" s="153"/>
      <c r="AL4184" s="152"/>
      <c r="AM4184" s="152"/>
      <c r="AN4184" s="152"/>
      <c r="AO4184" s="152"/>
      <c r="AP4184" s="152"/>
      <c r="AQ4184" s="152"/>
      <c r="AR4184" s="152"/>
      <c r="AS4184" s="152"/>
      <c r="AT4184" s="152"/>
      <c r="AU4184" s="153"/>
      <c r="AV4184" s="479"/>
      <c r="AW4184" s="479"/>
      <c r="AX4184" s="442"/>
      <c r="AY4184" s="153"/>
      <c r="AZ4184" s="152"/>
      <c r="BA4184" s="152"/>
      <c r="BB4184" s="152"/>
      <c r="BC4184" s="152"/>
      <c r="BD4184" s="152"/>
      <c r="BE4184" s="152"/>
      <c r="BF4184" s="152"/>
      <c r="BG4184" s="152"/>
      <c r="BH4184" s="152"/>
      <c r="BI4184" s="153"/>
      <c r="BJ4184" s="153"/>
      <c r="BK4184" s="153"/>
      <c r="BL4184" s="153"/>
      <c r="BM4184" s="153"/>
      <c r="BN4184" s="153"/>
      <c r="BO4184" s="153"/>
      <c r="BP4184" s="153"/>
      <c r="BQ4184" s="153"/>
      <c r="BR4184" s="153"/>
      <c r="BS4184" s="153"/>
      <c r="BT4184" s="153"/>
      <c r="BU4184" s="153"/>
      <c r="BV4184" s="153"/>
      <c r="BW4184" s="153"/>
      <c r="BX4184" s="153"/>
      <c r="BY4184" s="153"/>
      <c r="BZ4184" s="153"/>
      <c r="CA4184" s="152"/>
      <c r="CB4184" s="152"/>
    </row>
    <row r="4185" spans="1:80" s="87" customFormat="1" x14ac:dyDescent="0.2">
      <c r="A4185" s="152"/>
      <c r="B4185" s="683"/>
      <c r="C4185" s="683"/>
      <c r="D4185" s="698"/>
      <c r="E4185" s="215"/>
      <c r="F4185" s="215"/>
      <c r="G4185" s="153"/>
      <c r="H4185" s="153"/>
      <c r="I4185" s="163">
        <v>11</v>
      </c>
      <c r="J4185" s="163">
        <v>60</v>
      </c>
      <c r="K4185" s="163">
        <v>4</v>
      </c>
      <c r="L4185" s="656">
        <v>44</v>
      </c>
      <c r="M4185" s="663">
        <v>35220</v>
      </c>
      <c r="N4185" s="600">
        <v>1.13534</v>
      </c>
      <c r="O4185" s="604">
        <v>7.7879999999999998E-3</v>
      </c>
      <c r="P4185" s="250"/>
      <c r="Q4185" s="250"/>
      <c r="R4185" s="250">
        <v>9.5000000000000001E-2</v>
      </c>
      <c r="S4185" s="250">
        <v>7.2000000000000008E-2</v>
      </c>
      <c r="T4185" s="250">
        <v>0.13300000000000001</v>
      </c>
      <c r="U4185" s="250">
        <v>0.127</v>
      </c>
      <c r="V4185" s="250">
        <v>0.14800000000000002</v>
      </c>
      <c r="W4185" s="250">
        <v>0.16200000000000001</v>
      </c>
      <c r="X4185" s="250">
        <v>0.26400000000000001</v>
      </c>
      <c r="Y4185" s="250"/>
      <c r="Z4185" s="150"/>
      <c r="AA4185" s="150"/>
      <c r="AB4185" s="152"/>
      <c r="AC4185" s="152"/>
      <c r="AD4185" s="223">
        <v>3.3526899999999999</v>
      </c>
      <c r="AE4185" s="223">
        <v>0.26592927500000002</v>
      </c>
      <c r="AF4185" s="223">
        <v>0.89155016499999995</v>
      </c>
      <c r="AG4185" s="223">
        <v>1.272512144</v>
      </c>
      <c r="AH4185" s="341"/>
      <c r="AI4185" s="218"/>
      <c r="AJ4185" s="218"/>
      <c r="AK4185" s="153"/>
      <c r="AL4185" s="152"/>
      <c r="AM4185" s="152"/>
      <c r="AN4185" s="152"/>
      <c r="AO4185" s="152"/>
      <c r="AP4185" s="152"/>
      <c r="AQ4185" s="152"/>
      <c r="AR4185" s="152"/>
      <c r="AS4185" s="152"/>
      <c r="AT4185" s="152"/>
      <c r="AU4185" s="153"/>
      <c r="AV4185" s="479"/>
      <c r="AW4185" s="479"/>
      <c r="AX4185" s="442"/>
      <c r="AY4185" s="153"/>
      <c r="AZ4185" s="152"/>
      <c r="BA4185" s="152"/>
      <c r="BB4185" s="152"/>
      <c r="BC4185" s="152"/>
      <c r="BD4185" s="152"/>
      <c r="BE4185" s="152"/>
      <c r="BF4185" s="152"/>
      <c r="BG4185" s="152"/>
      <c r="BH4185" s="152"/>
      <c r="BI4185" s="153"/>
      <c r="BJ4185" s="153"/>
      <c r="BK4185" s="153"/>
      <c r="BL4185" s="153"/>
      <c r="BM4185" s="153"/>
      <c r="BN4185" s="153"/>
      <c r="BO4185" s="153"/>
      <c r="BP4185" s="153"/>
      <c r="BQ4185" s="153"/>
      <c r="BR4185" s="153"/>
      <c r="BS4185" s="153"/>
      <c r="BT4185" s="153"/>
      <c r="BU4185" s="153"/>
      <c r="BV4185" s="153"/>
      <c r="BW4185" s="153"/>
      <c r="BX4185" s="153"/>
      <c r="BY4185" s="153"/>
      <c r="BZ4185" s="153"/>
      <c r="CA4185" s="152"/>
      <c r="CB4185" s="152"/>
    </row>
    <row r="4186" spans="1:80" s="87" customFormat="1" x14ac:dyDescent="0.2">
      <c r="A4186" s="152"/>
      <c r="B4186" s="683"/>
      <c r="C4186" s="683"/>
      <c r="D4186" s="698"/>
      <c r="E4186" s="215"/>
      <c r="F4186" s="215"/>
      <c r="G4186" s="153"/>
      <c r="H4186" s="153"/>
      <c r="I4186" s="163">
        <v>10</v>
      </c>
      <c r="J4186" s="163">
        <v>60</v>
      </c>
      <c r="K4186" s="163">
        <v>4</v>
      </c>
      <c r="L4186" s="656">
        <v>40</v>
      </c>
      <c r="M4186" s="663">
        <v>35229</v>
      </c>
      <c r="N4186" s="600">
        <v>1.51756</v>
      </c>
      <c r="O4186" s="604">
        <v>0.126998</v>
      </c>
      <c r="P4186" s="250">
        <v>5.2999999999999999E-2</v>
      </c>
      <c r="Q4186" s="250">
        <v>7.0000000000000007E-2</v>
      </c>
      <c r="R4186" s="250">
        <v>0.182</v>
      </c>
      <c r="S4186" s="250">
        <v>0.127</v>
      </c>
      <c r="T4186" s="250">
        <v>0.13800000000000001</v>
      </c>
      <c r="U4186" s="250">
        <v>0.14499999999999999</v>
      </c>
      <c r="V4186" s="250">
        <v>0.14499999999999999</v>
      </c>
      <c r="W4186" s="250">
        <v>8.199999999999999E-2</v>
      </c>
      <c r="X4186" s="250">
        <v>5.7999999999999996E-2</v>
      </c>
      <c r="Y4186" s="250"/>
      <c r="Z4186" s="150"/>
      <c r="AA4186" s="150"/>
      <c r="AB4186" s="152"/>
      <c r="AC4186" s="152"/>
      <c r="AD4186" s="223">
        <v>3.3831690000000001</v>
      </c>
      <c r="AE4186" s="223">
        <v>0.32755314499999999</v>
      </c>
      <c r="AF4186" s="223">
        <v>1.1081325259999999</v>
      </c>
      <c r="AG4186" s="223">
        <v>1.3684761839999999</v>
      </c>
      <c r="AH4186" s="341"/>
      <c r="AI4186" s="218"/>
      <c r="AJ4186" s="218"/>
      <c r="AK4186" s="153"/>
      <c r="AL4186" s="152"/>
      <c r="AM4186" s="152"/>
      <c r="AN4186" s="152"/>
      <c r="AO4186" s="152"/>
      <c r="AP4186" s="152"/>
      <c r="AQ4186" s="152"/>
      <c r="AR4186" s="152"/>
      <c r="AS4186" s="152"/>
      <c r="AT4186" s="152"/>
      <c r="AU4186" s="153"/>
      <c r="AV4186" s="479"/>
      <c r="AW4186" s="479"/>
      <c r="AX4186" s="442"/>
      <c r="AY4186" s="153"/>
      <c r="AZ4186" s="152"/>
      <c r="BA4186" s="152"/>
      <c r="BB4186" s="152"/>
      <c r="BC4186" s="152"/>
      <c r="BD4186" s="152"/>
      <c r="BE4186" s="152"/>
      <c r="BF4186" s="152"/>
      <c r="BG4186" s="152"/>
      <c r="BH4186" s="152"/>
      <c r="BI4186" s="153"/>
      <c r="BJ4186" s="153"/>
      <c r="BK4186" s="153"/>
      <c r="BL4186" s="153"/>
      <c r="BM4186" s="153"/>
      <c r="BN4186" s="153"/>
      <c r="BO4186" s="153"/>
      <c r="BP4186" s="153"/>
      <c r="BQ4186" s="153"/>
      <c r="BR4186" s="153"/>
      <c r="BS4186" s="153"/>
      <c r="BT4186" s="153"/>
      <c r="BU4186" s="153"/>
      <c r="BV4186" s="153"/>
      <c r="BW4186" s="153"/>
      <c r="BX4186" s="153"/>
      <c r="BY4186" s="153"/>
      <c r="BZ4186" s="153"/>
      <c r="CA4186" s="152"/>
      <c r="CB4186" s="152"/>
    </row>
    <row r="4187" spans="1:80" s="87" customFormat="1" x14ac:dyDescent="0.2">
      <c r="A4187" s="152"/>
      <c r="B4187" s="683"/>
      <c r="C4187" s="683"/>
      <c r="D4187" s="698"/>
      <c r="E4187" s="215"/>
      <c r="F4187" s="215"/>
      <c r="G4187" s="153"/>
      <c r="H4187" s="153"/>
      <c r="I4187" s="163">
        <v>11</v>
      </c>
      <c r="J4187" s="163">
        <v>60</v>
      </c>
      <c r="K4187" s="163">
        <v>4</v>
      </c>
      <c r="L4187" s="656">
        <v>44</v>
      </c>
      <c r="M4187" s="663">
        <v>35233</v>
      </c>
      <c r="N4187" s="600">
        <v>1.28257</v>
      </c>
      <c r="O4187" s="604">
        <v>6.2553999999999998E-2</v>
      </c>
      <c r="P4187" s="250"/>
      <c r="Q4187" s="250">
        <v>0.13400000000000001</v>
      </c>
      <c r="R4187" s="250">
        <v>0.14499999999999999</v>
      </c>
      <c r="S4187" s="250">
        <v>0.161</v>
      </c>
      <c r="T4187" s="250">
        <v>0.13900000000000001</v>
      </c>
      <c r="U4187" s="250">
        <v>0.14699999999999999</v>
      </c>
      <c r="V4187" s="250">
        <v>0.14000000000000001</v>
      </c>
      <c r="W4187" s="250">
        <v>7.6999999999999999E-2</v>
      </c>
      <c r="X4187" s="250">
        <v>5.7999999999999996E-2</v>
      </c>
      <c r="Y4187" s="250"/>
      <c r="Z4187" s="150"/>
      <c r="AA4187" s="150"/>
      <c r="AB4187" s="152"/>
      <c r="AC4187" s="152"/>
      <c r="AD4187" s="223">
        <v>3.4441269999999999</v>
      </c>
      <c r="AE4187" s="223">
        <v>0.28283433099999999</v>
      </c>
      <c r="AF4187" s="223">
        <v>0.97408648399999997</v>
      </c>
      <c r="AG4187" s="223">
        <v>1.3178694070000001</v>
      </c>
      <c r="AH4187" s="341"/>
      <c r="AI4187" s="218"/>
      <c r="AJ4187" s="218"/>
      <c r="AK4187" s="153"/>
      <c r="AL4187" s="152"/>
      <c r="AM4187" s="152"/>
      <c r="AN4187" s="152"/>
      <c r="AO4187" s="152"/>
      <c r="AP4187" s="152"/>
      <c r="AQ4187" s="152"/>
      <c r="AR4187" s="152"/>
      <c r="AS4187" s="152"/>
      <c r="AT4187" s="152"/>
      <c r="AU4187" s="153"/>
      <c r="AV4187" s="479"/>
      <c r="AW4187" s="479"/>
      <c r="AX4187" s="442"/>
      <c r="AY4187" s="153"/>
      <c r="AZ4187" s="152"/>
      <c r="BA4187" s="152"/>
      <c r="BB4187" s="152"/>
      <c r="BC4187" s="152"/>
      <c r="BD4187" s="152"/>
      <c r="BE4187" s="152"/>
      <c r="BF4187" s="152"/>
      <c r="BG4187" s="152"/>
      <c r="BH4187" s="152"/>
      <c r="BI4187" s="153"/>
      <c r="BJ4187" s="153"/>
      <c r="BK4187" s="153"/>
      <c r="BL4187" s="153"/>
      <c r="BM4187" s="153"/>
      <c r="BN4187" s="153"/>
      <c r="BO4187" s="153"/>
      <c r="BP4187" s="153"/>
      <c r="BQ4187" s="153"/>
      <c r="BR4187" s="153"/>
      <c r="BS4187" s="153"/>
      <c r="BT4187" s="153"/>
      <c r="BU4187" s="153"/>
      <c r="BV4187" s="153"/>
      <c r="BW4187" s="153"/>
      <c r="BX4187" s="153"/>
      <c r="BY4187" s="153"/>
      <c r="BZ4187" s="153"/>
      <c r="CA4187" s="152"/>
      <c r="CB4187" s="152"/>
    </row>
    <row r="4188" spans="1:80" s="87" customFormat="1" x14ac:dyDescent="0.2">
      <c r="A4188" s="152"/>
      <c r="B4188" s="683"/>
      <c r="C4188" s="683"/>
      <c r="D4188" s="698"/>
      <c r="E4188" s="215"/>
      <c r="F4188" s="215"/>
      <c r="G4188" s="153"/>
      <c r="H4188" s="153"/>
      <c r="I4188" s="163">
        <v>10</v>
      </c>
      <c r="J4188" s="163">
        <v>60</v>
      </c>
      <c r="K4188" s="163">
        <v>4</v>
      </c>
      <c r="L4188" s="656">
        <v>40</v>
      </c>
      <c r="M4188" s="663">
        <v>35240</v>
      </c>
      <c r="N4188" s="600">
        <v>0.69649000000000005</v>
      </c>
      <c r="O4188" s="604">
        <v>1.123E-2</v>
      </c>
      <c r="P4188" s="250"/>
      <c r="Q4188" s="250">
        <v>7.6999999999999999E-2</v>
      </c>
      <c r="R4188" s="250">
        <v>9.1999999999999998E-2</v>
      </c>
      <c r="S4188" s="250">
        <v>0.115</v>
      </c>
      <c r="T4188" s="250">
        <v>0.13600000000000001</v>
      </c>
      <c r="U4188" s="250">
        <v>0.17499999999999999</v>
      </c>
      <c r="V4188" s="250">
        <v>0.20100000000000001</v>
      </c>
      <c r="W4188" s="250">
        <v>0.122</v>
      </c>
      <c r="X4188" s="250">
        <v>8.1000000000000003E-2</v>
      </c>
      <c r="Y4188" s="250"/>
      <c r="Z4188" s="150"/>
      <c r="AA4188" s="150"/>
      <c r="AB4188" s="152"/>
      <c r="AC4188" s="152"/>
      <c r="AD4188" s="223">
        <v>3.261253</v>
      </c>
      <c r="AE4188" s="223">
        <v>0.20372505399999999</v>
      </c>
      <c r="AF4188" s="223">
        <v>0.66437788799999997</v>
      </c>
      <c r="AG4188" s="223">
        <v>1.047502545</v>
      </c>
      <c r="AH4188" s="341"/>
      <c r="AI4188" s="218"/>
      <c r="AJ4188" s="218"/>
      <c r="AK4188" s="153"/>
      <c r="AL4188" s="152"/>
      <c r="AM4188" s="152"/>
      <c r="AN4188" s="152"/>
      <c r="AO4188" s="152"/>
      <c r="AP4188" s="152"/>
      <c r="AQ4188" s="152"/>
      <c r="AR4188" s="152"/>
      <c r="AS4188" s="152"/>
      <c r="AT4188" s="152"/>
      <c r="AU4188" s="153"/>
      <c r="AV4188" s="479"/>
      <c r="AW4188" s="479"/>
      <c r="AX4188" s="442"/>
      <c r="AY4188" s="153"/>
      <c r="AZ4188" s="152"/>
      <c r="BA4188" s="152"/>
      <c r="BB4188" s="152"/>
      <c r="BC4188" s="152"/>
      <c r="BD4188" s="152"/>
      <c r="BE4188" s="152"/>
      <c r="BF4188" s="152"/>
      <c r="BG4188" s="152"/>
      <c r="BH4188" s="152"/>
      <c r="BI4188" s="153"/>
      <c r="BJ4188" s="153"/>
      <c r="BK4188" s="153"/>
      <c r="BL4188" s="153"/>
      <c r="BM4188" s="153"/>
      <c r="BN4188" s="153"/>
      <c r="BO4188" s="153"/>
      <c r="BP4188" s="153"/>
      <c r="BQ4188" s="153"/>
      <c r="BR4188" s="153"/>
      <c r="BS4188" s="153"/>
      <c r="BT4188" s="153"/>
      <c r="BU4188" s="153"/>
      <c r="BV4188" s="153"/>
      <c r="BW4188" s="153"/>
      <c r="BX4188" s="153"/>
      <c r="BY4188" s="153"/>
      <c r="BZ4188" s="153"/>
      <c r="CA4188" s="152"/>
      <c r="CB4188" s="152"/>
    </row>
    <row r="4189" spans="1:80" s="87" customFormat="1" x14ac:dyDescent="0.2">
      <c r="A4189" s="152"/>
      <c r="B4189" s="683"/>
      <c r="C4189" s="683"/>
      <c r="D4189" s="698"/>
      <c r="E4189" s="215"/>
      <c r="F4189" s="215"/>
      <c r="G4189" s="153"/>
      <c r="H4189" s="153"/>
      <c r="I4189" s="163">
        <v>11</v>
      </c>
      <c r="J4189" s="163">
        <v>60</v>
      </c>
      <c r="K4189" s="163">
        <v>4</v>
      </c>
      <c r="L4189" s="656">
        <v>44</v>
      </c>
      <c r="M4189" s="663">
        <v>35247</v>
      </c>
      <c r="N4189" s="600">
        <v>0.56625000000000003</v>
      </c>
      <c r="O4189" s="604">
        <v>2.2669999999999999E-3</v>
      </c>
      <c r="P4189" s="250"/>
      <c r="Q4189" s="250"/>
      <c r="R4189" s="250"/>
      <c r="S4189" s="250">
        <v>0.106</v>
      </c>
      <c r="T4189" s="250">
        <v>0.1</v>
      </c>
      <c r="U4189" s="250">
        <v>0.191</v>
      </c>
      <c r="V4189" s="250">
        <v>0.19500000000000001</v>
      </c>
      <c r="W4189" s="250">
        <v>0.17100000000000001</v>
      </c>
      <c r="X4189" s="250">
        <v>0.23600000000000002</v>
      </c>
      <c r="Y4189" s="250"/>
      <c r="Z4189" s="150"/>
      <c r="AA4189" s="150"/>
      <c r="AB4189" s="152"/>
      <c r="AC4189" s="152"/>
      <c r="AD4189" s="223">
        <v>3.2307739999999998</v>
      </c>
      <c r="AE4189" s="223">
        <v>0.169014681</v>
      </c>
      <c r="AF4189" s="223">
        <v>0.54603093199999997</v>
      </c>
      <c r="AG4189" s="223">
        <v>1.035497839</v>
      </c>
      <c r="AH4189" s="341"/>
      <c r="AI4189" s="218"/>
      <c r="AJ4189" s="218"/>
      <c r="AK4189" s="153"/>
      <c r="AL4189" s="152"/>
      <c r="AM4189" s="152"/>
      <c r="AN4189" s="152"/>
      <c r="AO4189" s="152"/>
      <c r="AP4189" s="152"/>
      <c r="AQ4189" s="152"/>
      <c r="AR4189" s="152"/>
      <c r="AS4189" s="152"/>
      <c r="AT4189" s="152"/>
      <c r="AU4189" s="153"/>
      <c r="AV4189" s="479"/>
      <c r="AW4189" s="479"/>
      <c r="AX4189" s="442"/>
      <c r="AY4189" s="153"/>
      <c r="AZ4189" s="152"/>
      <c r="BA4189" s="152"/>
      <c r="BB4189" s="152"/>
      <c r="BC4189" s="152"/>
      <c r="BD4189" s="152"/>
      <c r="BE4189" s="152"/>
      <c r="BF4189" s="152"/>
      <c r="BG4189" s="152"/>
      <c r="BH4189" s="152"/>
      <c r="BI4189" s="153"/>
      <c r="BJ4189" s="153"/>
      <c r="BK4189" s="153"/>
      <c r="BL4189" s="153"/>
      <c r="BM4189" s="153"/>
      <c r="BN4189" s="153"/>
      <c r="BO4189" s="153"/>
      <c r="BP4189" s="153"/>
      <c r="BQ4189" s="153"/>
      <c r="BR4189" s="153"/>
      <c r="BS4189" s="153"/>
      <c r="BT4189" s="153"/>
      <c r="BU4189" s="153"/>
      <c r="BV4189" s="153"/>
      <c r="BW4189" s="153"/>
      <c r="BX4189" s="153"/>
      <c r="BY4189" s="153"/>
      <c r="BZ4189" s="153"/>
      <c r="CA4189" s="152"/>
      <c r="CB4189" s="152"/>
    </row>
    <row r="4190" spans="1:80" ht="15" x14ac:dyDescent="0.25">
      <c r="A4190" s="9" t="s">
        <v>208</v>
      </c>
      <c r="B4190" s="639" t="s">
        <v>66</v>
      </c>
      <c r="C4190" s="639"/>
      <c r="D4190" s="4">
        <f>VLOOKUP(E4190,'Quality Code'!D4:E24,2,TRUE)*VLOOKUP(MROUND(F4190,10),'Quality Code'!D28:E69,2,TRUE)*VLOOKUP(COUNTA(CB4190:CB4200),'Quality Code'!D73:E93,2,TRUE)</f>
        <v>3.8249999999999997</v>
      </c>
      <c r="E4190" s="14">
        <v>0.85</v>
      </c>
      <c r="F4190" s="18">
        <v>92</v>
      </c>
      <c r="G4190" s="12">
        <v>185.42500000000001</v>
      </c>
      <c r="H4190" s="2" t="s">
        <v>231</v>
      </c>
      <c r="I4190" s="10"/>
      <c r="J4190" s="10" t="s">
        <v>283</v>
      </c>
      <c r="K4190" s="10"/>
      <c r="L4190" s="640" t="s">
        <v>284</v>
      </c>
      <c r="M4190" s="640" t="s">
        <v>841</v>
      </c>
      <c r="N4190" s="579" t="s">
        <v>285</v>
      </c>
      <c r="O4190" s="579"/>
      <c r="P4190" s="10" t="s">
        <v>64</v>
      </c>
      <c r="Q4190" s="10" t="s">
        <v>64</v>
      </c>
      <c r="R4190" s="10" t="s">
        <v>64</v>
      </c>
      <c r="S4190" s="10" t="s">
        <v>64</v>
      </c>
      <c r="T4190" s="10" t="s">
        <v>64</v>
      </c>
      <c r="U4190" s="10" t="s">
        <v>64</v>
      </c>
      <c r="V4190" s="10"/>
      <c r="W4190" s="10"/>
      <c r="X4190" s="162"/>
      <c r="Y4190" s="10"/>
      <c r="Z4190" s="11"/>
      <c r="AA4190" s="81"/>
      <c r="AB4190" s="81"/>
      <c r="AC4190" s="116">
        <v>0.01</v>
      </c>
      <c r="AD4190" s="11"/>
      <c r="AE4190" s="11"/>
      <c r="AF4190" s="10"/>
      <c r="AG4190" s="10"/>
      <c r="AH4190" s="345" t="s">
        <v>362</v>
      </c>
      <c r="AI4190" s="18">
        <v>29</v>
      </c>
      <c r="AJ4190" s="17">
        <v>1</v>
      </c>
      <c r="AK4190" s="17">
        <v>0.91420000000000001</v>
      </c>
      <c r="AL4190" s="17">
        <v>0.72050000000000003</v>
      </c>
      <c r="AM4190" s="17">
        <v>0.52100000000000002</v>
      </c>
      <c r="AN4190" s="17">
        <v>0.34599999999999997</v>
      </c>
      <c r="AO4190" s="17">
        <v>0.23549999999999999</v>
      </c>
      <c r="AP4190" s="17">
        <v>0.15379999999999999</v>
      </c>
      <c r="AQ4190" s="17">
        <v>9.8599999999999993E-2</v>
      </c>
      <c r="AR4190" s="17">
        <v>6.0100000000000001E-2</v>
      </c>
      <c r="AS4190" s="17">
        <v>2.2800000000000001E-2</v>
      </c>
      <c r="AT4190" s="17">
        <v>5.5999999999999999E-3</v>
      </c>
      <c r="AU4190" s="18">
        <v>83.4</v>
      </c>
      <c r="AV4190" s="17">
        <v>1</v>
      </c>
      <c r="AW4190" s="17">
        <v>1</v>
      </c>
      <c r="AX4190" s="17">
        <v>1</v>
      </c>
      <c r="AY4190" s="17">
        <v>0.7208</v>
      </c>
      <c r="AZ4190" s="17">
        <v>0.35560000000000003</v>
      </c>
      <c r="BA4190" s="17">
        <v>0.1041</v>
      </c>
      <c r="BB4190" s="17">
        <v>1.7399999999999999E-2</v>
      </c>
      <c r="BC4190" s="17">
        <v>5.8999999999999999E-3</v>
      </c>
      <c r="BD4190" s="17">
        <v>3.8E-3</v>
      </c>
      <c r="BE4190" s="17">
        <v>2.2000000000000001E-3</v>
      </c>
      <c r="BF4190" s="17">
        <v>1.1999999999999999E-3</v>
      </c>
      <c r="BG4190" s="17">
        <v>5.0000000000000001E-4</v>
      </c>
      <c r="BH4190" s="17">
        <v>2.0000000000000001E-4</v>
      </c>
      <c r="BI4190" s="4">
        <f>AU4190/AI4190</f>
        <v>2.8758620689655174</v>
      </c>
      <c r="BJ4190" s="2" t="s">
        <v>68</v>
      </c>
      <c r="BK4190" s="2" t="s">
        <v>68</v>
      </c>
      <c r="BL4190" s="12"/>
      <c r="BM4190" s="12">
        <v>5.1246</v>
      </c>
      <c r="BN4190" s="12">
        <f>(12.831*(BM4190/0.028317)^0.168)*0.3048</f>
        <v>9.366005457928674</v>
      </c>
      <c r="BO4190" s="12">
        <f>(0.428*(BM4190/0.028317)^0.263)*0.3048</f>
        <v>0.5119303528412259</v>
      </c>
      <c r="BP4190" s="12">
        <f>BO4190*BN4190</f>
        <v>4.7947424787902735</v>
      </c>
      <c r="BQ4190" s="12">
        <f>BN4190/BO4190</f>
        <v>18.29546813535692</v>
      </c>
      <c r="BR4190" s="12" t="s">
        <v>379</v>
      </c>
      <c r="BS4190" s="18">
        <v>3</v>
      </c>
      <c r="BT4190" s="12"/>
      <c r="BU4190" s="2"/>
      <c r="BV4190" s="2"/>
      <c r="BW4190" s="2"/>
      <c r="BX4190" s="2"/>
      <c r="BY4190" s="2" t="s">
        <v>83</v>
      </c>
      <c r="BZ4190" s="2"/>
      <c r="CA4190" s="381"/>
      <c r="CB4190" s="9" t="s">
        <v>224</v>
      </c>
    </row>
    <row r="4191" spans="1:80" s="87" customFormat="1" ht="15" x14ac:dyDescent="0.25">
      <c r="A4191" s="252" t="s">
        <v>581</v>
      </c>
      <c r="B4191" s="683"/>
      <c r="C4191" s="683"/>
      <c r="D4191" s="292"/>
      <c r="E4191" s="215"/>
      <c r="F4191" s="215"/>
      <c r="G4191" s="153"/>
      <c r="H4191" s="153"/>
      <c r="I4191" s="164">
        <v>18</v>
      </c>
      <c r="J4191" s="164">
        <v>30</v>
      </c>
      <c r="K4191" s="150">
        <v>1</v>
      </c>
      <c r="L4191" s="656">
        <v>9</v>
      </c>
      <c r="M4191" s="663">
        <v>34459</v>
      </c>
      <c r="N4191" s="600">
        <v>0.58889999999999998</v>
      </c>
      <c r="O4191" s="604">
        <v>6.0900000000000003E-5</v>
      </c>
      <c r="P4191" s="250"/>
      <c r="Q4191" s="250"/>
      <c r="R4191" s="250"/>
      <c r="S4191" s="250"/>
      <c r="T4191" s="250"/>
      <c r="U4191" s="250"/>
      <c r="V4191" s="250">
        <v>8.5714285714285715E-2</v>
      </c>
      <c r="W4191" s="250">
        <v>0.25714285714285717</v>
      </c>
      <c r="X4191" s="250">
        <v>0.57142857142857151</v>
      </c>
      <c r="Y4191" s="250">
        <v>8.5714285714285715E-2</v>
      </c>
      <c r="Z4191" s="150">
        <v>1.3</v>
      </c>
      <c r="AA4191" s="150">
        <v>0.4</v>
      </c>
      <c r="AB4191" s="152"/>
      <c r="AC4191" s="152"/>
      <c r="AD4191" s="223">
        <v>4.3889760000000004</v>
      </c>
      <c r="AE4191" s="223">
        <v>0.38708330000000002</v>
      </c>
      <c r="AF4191" s="223">
        <v>1.6990312599999999</v>
      </c>
      <c r="AG4191" s="223">
        <v>0.34441270000000002</v>
      </c>
      <c r="AH4191" s="341" t="s">
        <v>363</v>
      </c>
      <c r="AI4191" s="218"/>
      <c r="AJ4191" s="218"/>
      <c r="AK4191" s="153"/>
      <c r="AL4191" s="152"/>
      <c r="AM4191" s="152"/>
      <c r="AN4191" s="152"/>
      <c r="AO4191" s="152"/>
      <c r="AP4191" s="152"/>
      <c r="AQ4191" s="152"/>
      <c r="AR4191" s="152"/>
      <c r="AS4191" s="152"/>
      <c r="AT4191" s="152"/>
      <c r="AU4191" s="157">
        <v>45.5</v>
      </c>
      <c r="AV4191" s="158">
        <v>1</v>
      </c>
      <c r="AW4191" s="158">
        <v>1</v>
      </c>
      <c r="AX4191" s="158">
        <v>0.99529999999999996</v>
      </c>
      <c r="AY4191" s="158">
        <v>0.9294</v>
      </c>
      <c r="AZ4191" s="158">
        <v>0.67759999999999998</v>
      </c>
      <c r="BA4191" s="158">
        <v>0.30120000000000002</v>
      </c>
      <c r="BB4191" s="158">
        <v>0.16</v>
      </c>
      <c r="BC4191" s="158">
        <v>0.1129</v>
      </c>
      <c r="BD4191" s="158">
        <v>9.1800000000000007E-2</v>
      </c>
      <c r="BE4191" s="158">
        <v>7.0599999999999996E-2</v>
      </c>
      <c r="BF4191" s="158"/>
      <c r="BG4191" s="158"/>
      <c r="BH4191" s="158"/>
      <c r="BI4191" s="156">
        <f>AU4191/AI4190</f>
        <v>1.5689655172413792</v>
      </c>
      <c r="BJ4191" s="155" t="s">
        <v>68</v>
      </c>
      <c r="BK4191" s="155" t="s">
        <v>175</v>
      </c>
      <c r="BL4191" s="153"/>
      <c r="BM4191" s="153"/>
      <c r="BN4191" s="153"/>
      <c r="BO4191" s="153"/>
      <c r="BP4191" s="153"/>
      <c r="BQ4191" s="153"/>
      <c r="BR4191" s="153"/>
      <c r="BS4191" s="153"/>
      <c r="BT4191" s="153"/>
      <c r="BU4191" s="153"/>
      <c r="BV4191" s="153"/>
      <c r="BW4191" s="153"/>
      <c r="BX4191" s="153"/>
      <c r="BY4191" s="153"/>
      <c r="BZ4191" s="153"/>
      <c r="CA4191" s="152"/>
      <c r="CB4191" s="154" t="s">
        <v>597</v>
      </c>
    </row>
    <row r="4192" spans="1:80" s="87" customFormat="1" ht="15" x14ac:dyDescent="0.2">
      <c r="A4192" s="252" t="s">
        <v>581</v>
      </c>
      <c r="B4192" s="683"/>
      <c r="C4192" s="683"/>
      <c r="D4192" s="292"/>
      <c r="E4192" s="215"/>
      <c r="F4192" s="215"/>
      <c r="G4192" s="153"/>
      <c r="H4192" s="153"/>
      <c r="I4192" s="164">
        <v>18</v>
      </c>
      <c r="J4192" s="164">
        <v>30</v>
      </c>
      <c r="K4192" s="150">
        <v>1</v>
      </c>
      <c r="L4192" s="656">
        <v>9</v>
      </c>
      <c r="M4192" s="663">
        <v>34459</v>
      </c>
      <c r="N4192" s="600">
        <v>0.58889999999999998</v>
      </c>
      <c r="O4192" s="604">
        <v>9.0799999999999995E-4</v>
      </c>
      <c r="P4192" s="250"/>
      <c r="Q4192" s="250"/>
      <c r="R4192" s="250"/>
      <c r="S4192" s="250"/>
      <c r="T4192" s="250"/>
      <c r="U4192" s="250">
        <v>2.23E-2</v>
      </c>
      <c r="V4192" s="250">
        <v>0.30167597765363124</v>
      </c>
      <c r="W4192" s="250">
        <v>0.43202979515828682</v>
      </c>
      <c r="X4192" s="250">
        <v>0.24394785847299816</v>
      </c>
      <c r="Y4192" s="250">
        <v>0</v>
      </c>
      <c r="Z4192" s="150">
        <v>3.8</v>
      </c>
      <c r="AA4192" s="150">
        <v>0.76</v>
      </c>
      <c r="AB4192" s="152"/>
      <c r="AC4192" s="152"/>
      <c r="AD4192" s="223">
        <v>4.3889760000000004</v>
      </c>
      <c r="AE4192" s="223">
        <v>0.38708330000000002</v>
      </c>
      <c r="AF4192" s="223">
        <v>1.6990312599999999</v>
      </c>
      <c r="AG4192" s="223">
        <v>0.34441270000000002</v>
      </c>
      <c r="AH4192" s="341" t="s">
        <v>364</v>
      </c>
      <c r="AI4192" s="218"/>
      <c r="AJ4192" s="218"/>
      <c r="AK4192" s="153"/>
      <c r="AL4192" s="152"/>
      <c r="AM4192" s="152"/>
      <c r="AN4192" s="152"/>
      <c r="AO4192" s="152"/>
      <c r="AP4192" s="152"/>
      <c r="AQ4192" s="152"/>
      <c r="AR4192" s="152"/>
      <c r="AS4192" s="152"/>
      <c r="AT4192" s="152"/>
      <c r="AU4192" s="153"/>
      <c r="AV4192" s="479"/>
      <c r="AW4192" s="479"/>
      <c r="AX4192" s="442"/>
      <c r="AY4192" s="153"/>
      <c r="AZ4192" s="152"/>
      <c r="BA4192" s="152"/>
      <c r="BB4192" s="152"/>
      <c r="BC4192" s="152"/>
      <c r="BD4192" s="152"/>
      <c r="BE4192" s="152"/>
      <c r="BF4192" s="152"/>
      <c r="BG4192" s="152"/>
      <c r="BH4192" s="152"/>
      <c r="BI4192" s="153"/>
      <c r="BJ4192" s="153"/>
      <c r="BK4192" s="153"/>
      <c r="BL4192" s="153"/>
      <c r="BM4192" s="153"/>
      <c r="BN4192" s="153"/>
      <c r="BO4192" s="153"/>
      <c r="BP4192" s="153"/>
      <c r="BQ4192" s="153"/>
      <c r="BR4192" s="153"/>
      <c r="BS4192" s="153"/>
      <c r="BT4192" s="153"/>
      <c r="BU4192" s="153"/>
      <c r="BV4192" s="153"/>
      <c r="BW4192" s="153"/>
      <c r="BX4192" s="153"/>
      <c r="BY4192" s="153"/>
      <c r="BZ4192" s="153"/>
      <c r="CA4192" s="152"/>
      <c r="CB4192" s="486" t="s">
        <v>638</v>
      </c>
    </row>
    <row r="4193" spans="1:80" s="87" customFormat="1" ht="15" x14ac:dyDescent="0.2">
      <c r="A4193" s="252" t="s">
        <v>581</v>
      </c>
      <c r="B4193" s="683"/>
      <c r="C4193" s="683"/>
      <c r="D4193" s="292"/>
      <c r="E4193" s="215"/>
      <c r="F4193" s="215"/>
      <c r="G4193" s="153"/>
      <c r="H4193" s="153"/>
      <c r="I4193" s="164">
        <v>21</v>
      </c>
      <c r="J4193" s="164">
        <v>30</v>
      </c>
      <c r="K4193" s="150">
        <v>1</v>
      </c>
      <c r="L4193" s="656">
        <v>10.5</v>
      </c>
      <c r="M4193" s="663">
        <v>34461</v>
      </c>
      <c r="N4193" s="600">
        <v>1.08155</v>
      </c>
      <c r="O4193" s="604">
        <v>7.8300000000000002E-3</v>
      </c>
      <c r="P4193" s="250"/>
      <c r="Q4193" s="250"/>
      <c r="R4193" s="250"/>
      <c r="S4193" s="250"/>
      <c r="T4193" s="250">
        <v>3.2199999999999999E-2</v>
      </c>
      <c r="U4193" s="250">
        <v>0.19309999999999999</v>
      </c>
      <c r="V4193" s="250">
        <v>0.40988316414479981</v>
      </c>
      <c r="W4193" s="250">
        <v>0.26029496265083313</v>
      </c>
      <c r="X4193" s="250">
        <v>9.7490902126029511E-2</v>
      </c>
      <c r="Y4193" s="250">
        <v>7.0867649875502783E-3</v>
      </c>
      <c r="Z4193" s="150">
        <v>8.3000000000000007</v>
      </c>
      <c r="AA4193" s="150">
        <v>1.23</v>
      </c>
      <c r="AB4193" s="152"/>
      <c r="AC4193" s="152"/>
      <c r="AD4193" s="223">
        <v>4.4499339999999998</v>
      </c>
      <c r="AE4193" s="223">
        <v>0.45718500000000001</v>
      </c>
      <c r="AF4193" s="223">
        <v>2.0343786000000001</v>
      </c>
      <c r="AG4193" s="223">
        <v>0.50899930000000004</v>
      </c>
      <c r="AH4193" s="341" t="s">
        <v>365</v>
      </c>
      <c r="AI4193" s="218"/>
      <c r="AJ4193" s="218"/>
      <c r="AK4193" s="153"/>
      <c r="AL4193" s="152"/>
      <c r="AM4193" s="152"/>
      <c r="AN4193" s="152"/>
      <c r="AO4193" s="152"/>
      <c r="AP4193" s="152"/>
      <c r="AQ4193" s="152"/>
      <c r="AR4193" s="152"/>
      <c r="AS4193" s="152"/>
      <c r="AT4193" s="152"/>
      <c r="AU4193" s="153"/>
      <c r="AV4193" s="479"/>
      <c r="AW4193" s="479"/>
      <c r="AX4193" s="442"/>
      <c r="AY4193" s="153"/>
      <c r="AZ4193" s="152"/>
      <c r="BA4193" s="152"/>
      <c r="BB4193" s="152"/>
      <c r="BC4193" s="152"/>
      <c r="BD4193" s="152"/>
      <c r="BE4193" s="152"/>
      <c r="BF4193" s="152"/>
      <c r="BG4193" s="152"/>
      <c r="BH4193" s="152"/>
      <c r="BI4193" s="153"/>
      <c r="BJ4193" s="153"/>
      <c r="BK4193" s="153"/>
      <c r="BL4193" s="153"/>
      <c r="BM4193" s="153"/>
      <c r="BN4193" s="153"/>
      <c r="BO4193" s="153"/>
      <c r="BP4193" s="153"/>
      <c r="BQ4193" s="153"/>
      <c r="BR4193" s="153"/>
      <c r="BS4193" s="153"/>
      <c r="BT4193" s="153"/>
      <c r="BU4193" s="153"/>
      <c r="BV4193" s="153"/>
      <c r="BW4193" s="153"/>
      <c r="BX4193" s="153"/>
      <c r="BY4193" s="153"/>
      <c r="BZ4193" s="153"/>
      <c r="CA4193" s="152"/>
      <c r="CB4193" s="486" t="s">
        <v>639</v>
      </c>
    </row>
    <row r="4194" spans="1:80" s="87" customFormat="1" ht="15" x14ac:dyDescent="0.2">
      <c r="A4194" s="252" t="s">
        <v>581</v>
      </c>
      <c r="B4194" s="683"/>
      <c r="C4194" s="683"/>
      <c r="D4194" s="292"/>
      <c r="E4194" s="215"/>
      <c r="F4194" s="215"/>
      <c r="G4194" s="153"/>
      <c r="H4194" s="153"/>
      <c r="I4194" s="164">
        <v>21</v>
      </c>
      <c r="J4194" s="164">
        <v>30</v>
      </c>
      <c r="K4194" s="150">
        <v>1</v>
      </c>
      <c r="L4194" s="656">
        <v>10.5</v>
      </c>
      <c r="M4194" s="663">
        <v>34461</v>
      </c>
      <c r="N4194" s="600">
        <v>1.08155</v>
      </c>
      <c r="O4194" s="604">
        <v>2.918E-3</v>
      </c>
      <c r="P4194" s="250"/>
      <c r="Q4194" s="250"/>
      <c r="R4194" s="250"/>
      <c r="S4194" s="250"/>
      <c r="T4194" s="250">
        <v>1.7000000000000001E-2</v>
      </c>
      <c r="U4194" s="250">
        <v>0.1668</v>
      </c>
      <c r="V4194" s="250">
        <v>0.4687661331956634</v>
      </c>
      <c r="W4194" s="250">
        <v>0.25761486835312342</v>
      </c>
      <c r="X4194" s="250">
        <v>8.5699535363964893E-2</v>
      </c>
      <c r="Y4194" s="250">
        <v>4.1300980898296329E-3</v>
      </c>
      <c r="Z4194" s="150">
        <v>4.8</v>
      </c>
      <c r="AA4194" s="150">
        <v>1.21</v>
      </c>
      <c r="AB4194" s="152"/>
      <c r="AC4194" s="152"/>
      <c r="AD4194" s="223">
        <v>4.4499339999999998</v>
      </c>
      <c r="AE4194" s="223">
        <v>0.45718500000000001</v>
      </c>
      <c r="AF4194" s="223">
        <v>2.0343786000000001</v>
      </c>
      <c r="AG4194" s="223">
        <v>0.50899930000000004</v>
      </c>
      <c r="AH4194" s="341"/>
      <c r="AI4194" s="218"/>
      <c r="AJ4194" s="218"/>
      <c r="AK4194" s="153"/>
      <c r="AL4194" s="152"/>
      <c r="AM4194" s="152"/>
      <c r="AN4194" s="152"/>
      <c r="AO4194" s="152"/>
      <c r="AP4194" s="152"/>
      <c r="AQ4194" s="152"/>
      <c r="AR4194" s="152"/>
      <c r="AS4194" s="152"/>
      <c r="AT4194" s="152"/>
      <c r="AU4194" s="153"/>
      <c r="AV4194" s="479"/>
      <c r="AW4194" s="479"/>
      <c r="AX4194" s="442"/>
      <c r="AY4194" s="153"/>
      <c r="AZ4194" s="152"/>
      <c r="BA4194" s="152"/>
      <c r="BB4194" s="152"/>
      <c r="BC4194" s="152"/>
      <c r="BD4194" s="152"/>
      <c r="BE4194" s="152"/>
      <c r="BF4194" s="152"/>
      <c r="BG4194" s="152"/>
      <c r="BH4194" s="152"/>
      <c r="BI4194" s="153"/>
      <c r="BJ4194" s="153"/>
      <c r="BK4194" s="153"/>
      <c r="BL4194" s="153"/>
      <c r="BM4194" s="153"/>
      <c r="BN4194" s="153"/>
      <c r="BO4194" s="153"/>
      <c r="BP4194" s="153"/>
      <c r="BQ4194" s="153"/>
      <c r="BR4194" s="153"/>
      <c r="BS4194" s="153"/>
      <c r="BT4194" s="153"/>
      <c r="BU4194" s="153"/>
      <c r="BV4194" s="153"/>
      <c r="BW4194" s="153"/>
      <c r="BX4194" s="153"/>
      <c r="BY4194" s="153"/>
      <c r="BZ4194" s="153"/>
      <c r="CA4194" s="152"/>
      <c r="CB4194" s="486" t="s">
        <v>640</v>
      </c>
    </row>
    <row r="4195" spans="1:80" s="87" customFormat="1" x14ac:dyDescent="0.2">
      <c r="A4195" s="252" t="s">
        <v>581</v>
      </c>
      <c r="B4195" s="683"/>
      <c r="C4195" s="683"/>
      <c r="D4195" s="292"/>
      <c r="E4195" s="215"/>
      <c r="F4195" s="215"/>
      <c r="G4195" s="153"/>
      <c r="H4195" s="153"/>
      <c r="I4195" s="164">
        <v>20</v>
      </c>
      <c r="J4195" s="164">
        <v>30</v>
      </c>
      <c r="K4195" s="150">
        <v>1</v>
      </c>
      <c r="L4195" s="656">
        <v>10</v>
      </c>
      <c r="M4195" s="663">
        <v>34462</v>
      </c>
      <c r="N4195" s="600">
        <v>1.19763</v>
      </c>
      <c r="O4195" s="604">
        <v>3.5270000000000002E-3</v>
      </c>
      <c r="P4195" s="250"/>
      <c r="Q4195" s="250"/>
      <c r="R4195" s="250"/>
      <c r="S4195" s="250"/>
      <c r="T4195" s="250"/>
      <c r="U4195" s="250">
        <v>4.5400000000000003E-2</v>
      </c>
      <c r="V4195" s="250">
        <v>0.13911007025761127</v>
      </c>
      <c r="W4195" s="250">
        <v>0.43747072599531622</v>
      </c>
      <c r="X4195" s="250">
        <v>0.36861826697892269</v>
      </c>
      <c r="Y4195" s="250">
        <v>9.3676814988290398E-3</v>
      </c>
      <c r="Z4195" s="150">
        <v>4.3</v>
      </c>
      <c r="AA4195" s="150">
        <v>0.57999999999999996</v>
      </c>
      <c r="AB4195" s="152"/>
      <c r="AC4195" s="152"/>
      <c r="AD4195" s="223"/>
      <c r="AE4195" s="223"/>
      <c r="AF4195" s="223"/>
      <c r="AG4195" s="223"/>
      <c r="AH4195" s="341"/>
      <c r="AI4195" s="218"/>
      <c r="AJ4195" s="218"/>
      <c r="AK4195" s="153"/>
      <c r="AL4195" s="152"/>
      <c r="AM4195" s="152"/>
      <c r="AN4195" s="152"/>
      <c r="AO4195" s="152"/>
      <c r="AP4195" s="152"/>
      <c r="AQ4195" s="152"/>
      <c r="AR4195" s="152"/>
      <c r="AS4195" s="152"/>
      <c r="AT4195" s="152"/>
      <c r="AU4195" s="153"/>
      <c r="AV4195" s="479"/>
      <c r="AW4195" s="479"/>
      <c r="AX4195" s="442"/>
      <c r="AY4195" s="153"/>
      <c r="AZ4195" s="152"/>
      <c r="BA4195" s="152"/>
      <c r="BB4195" s="152"/>
      <c r="BC4195" s="152"/>
      <c r="BD4195" s="152"/>
      <c r="BE4195" s="152"/>
      <c r="BF4195" s="152"/>
      <c r="BG4195" s="152"/>
      <c r="BH4195" s="152"/>
      <c r="BI4195" s="153"/>
      <c r="BJ4195" s="153"/>
      <c r="BK4195" s="153"/>
      <c r="BL4195" s="153"/>
      <c r="BM4195" s="153"/>
      <c r="BN4195" s="153"/>
      <c r="BO4195" s="153"/>
      <c r="BP4195" s="153"/>
      <c r="BQ4195" s="153"/>
      <c r="BR4195" s="153"/>
      <c r="BS4195" s="153"/>
      <c r="BT4195" s="153"/>
      <c r="BU4195" s="153"/>
      <c r="BV4195" s="153"/>
      <c r="BW4195" s="153"/>
      <c r="BX4195" s="153"/>
      <c r="BY4195" s="153"/>
      <c r="BZ4195" s="153"/>
      <c r="CA4195" s="152"/>
      <c r="CB4195" s="152"/>
    </row>
    <row r="4196" spans="1:80" s="87" customFormat="1" x14ac:dyDescent="0.2">
      <c r="A4196" s="252" t="s">
        <v>581</v>
      </c>
      <c r="B4196" s="683"/>
      <c r="C4196" s="683"/>
      <c r="D4196" s="292"/>
      <c r="E4196" s="215"/>
      <c r="F4196" s="215"/>
      <c r="G4196" s="153"/>
      <c r="H4196" s="153"/>
      <c r="I4196" s="164">
        <v>20</v>
      </c>
      <c r="J4196" s="164">
        <v>30</v>
      </c>
      <c r="K4196" s="150">
        <v>1</v>
      </c>
      <c r="L4196" s="656">
        <v>10</v>
      </c>
      <c r="M4196" s="663">
        <v>34462</v>
      </c>
      <c r="N4196" s="600">
        <v>1.19763</v>
      </c>
      <c r="O4196" s="604">
        <v>8.5019999999999991E-3</v>
      </c>
      <c r="P4196" s="250"/>
      <c r="Q4196" s="250"/>
      <c r="R4196" s="250"/>
      <c r="S4196" s="250">
        <v>6.4299999999999996E-2</v>
      </c>
      <c r="T4196" s="250">
        <v>1.66E-2</v>
      </c>
      <c r="U4196" s="250">
        <v>0.13819999999999999</v>
      </c>
      <c r="V4196" s="250">
        <v>0.35594202898550725</v>
      </c>
      <c r="W4196" s="250">
        <v>0.26589371980676335</v>
      </c>
      <c r="X4196" s="250">
        <v>0.15536231884057972</v>
      </c>
      <c r="Y4196" s="250">
        <v>3.6714975845410637E-3</v>
      </c>
      <c r="Z4196" s="150">
        <v>10.5</v>
      </c>
      <c r="AA4196" s="150">
        <v>1.1399999999999999</v>
      </c>
      <c r="AB4196" s="152"/>
      <c r="AC4196" s="152"/>
      <c r="AD4196" s="223"/>
      <c r="AE4196" s="223"/>
      <c r="AF4196" s="223"/>
      <c r="AG4196" s="223"/>
      <c r="AH4196" s="341"/>
      <c r="AI4196" s="218"/>
      <c r="AJ4196" s="218"/>
      <c r="AK4196" s="153"/>
      <c r="AL4196" s="152"/>
      <c r="AM4196" s="152"/>
      <c r="AN4196" s="152"/>
      <c r="AO4196" s="152"/>
      <c r="AP4196" s="152"/>
      <c r="AQ4196" s="152"/>
      <c r="AR4196" s="152"/>
      <c r="AS4196" s="152"/>
      <c r="AT4196" s="152"/>
      <c r="AU4196" s="153"/>
      <c r="AV4196" s="479"/>
      <c r="AW4196" s="479"/>
      <c r="AX4196" s="442"/>
      <c r="AY4196" s="153"/>
      <c r="AZ4196" s="152"/>
      <c r="BA4196" s="152"/>
      <c r="BB4196" s="152"/>
      <c r="BC4196" s="152"/>
      <c r="BD4196" s="152"/>
      <c r="BE4196" s="152"/>
      <c r="BF4196" s="152"/>
      <c r="BG4196" s="152"/>
      <c r="BH4196" s="152"/>
      <c r="BI4196" s="153"/>
      <c r="BJ4196" s="153"/>
      <c r="BK4196" s="153"/>
      <c r="BL4196" s="153"/>
      <c r="BM4196" s="153"/>
      <c r="BN4196" s="153"/>
      <c r="BO4196" s="153"/>
      <c r="BP4196" s="153"/>
      <c r="BQ4196" s="153"/>
      <c r="BR4196" s="153"/>
      <c r="BS4196" s="153"/>
      <c r="BT4196" s="153"/>
      <c r="BU4196" s="153"/>
      <c r="BV4196" s="153"/>
      <c r="BW4196" s="153"/>
      <c r="BX4196" s="153"/>
      <c r="BY4196" s="153"/>
      <c r="BZ4196" s="153"/>
      <c r="CA4196" s="152"/>
      <c r="CB4196" s="152"/>
    </row>
    <row r="4197" spans="1:80" s="87" customFormat="1" x14ac:dyDescent="0.2">
      <c r="A4197" s="252" t="s">
        <v>580</v>
      </c>
      <c r="B4197" s="683"/>
      <c r="C4197" s="683"/>
      <c r="D4197" s="292"/>
      <c r="E4197" s="215"/>
      <c r="F4197" s="215"/>
      <c r="G4197" s="153"/>
      <c r="H4197" s="153"/>
      <c r="I4197" s="164">
        <v>21</v>
      </c>
      <c r="J4197" s="164">
        <v>30</v>
      </c>
      <c r="K4197" s="150">
        <v>1</v>
      </c>
      <c r="L4197" s="656">
        <v>10.5</v>
      </c>
      <c r="M4197" s="663">
        <v>34465</v>
      </c>
      <c r="N4197" s="600">
        <v>1.37033</v>
      </c>
      <c r="O4197" s="604">
        <v>5.4500000000000002E-4</v>
      </c>
      <c r="P4197" s="250"/>
      <c r="Q4197" s="250"/>
      <c r="R4197" s="250"/>
      <c r="S4197" s="250"/>
      <c r="T4197" s="250"/>
      <c r="U4197" s="250">
        <v>2.6600000000000002E-2</v>
      </c>
      <c r="V4197" s="250">
        <v>0.12426035502958581</v>
      </c>
      <c r="W4197" s="250">
        <v>0.37573964497041418</v>
      </c>
      <c r="X4197" s="250">
        <v>0.45562130177514798</v>
      </c>
      <c r="Y4197" s="250">
        <v>1.7751479289940829E-2</v>
      </c>
      <c r="Z4197" s="150">
        <v>2.8</v>
      </c>
      <c r="AA4197" s="150">
        <v>0.52</v>
      </c>
      <c r="AB4197" s="152"/>
      <c r="AC4197" s="152"/>
      <c r="AD4197" s="223">
        <v>7.7111869999999998</v>
      </c>
      <c r="AE4197" s="223">
        <v>0.29564629999999997</v>
      </c>
      <c r="AF4197" s="223">
        <v>2.27961876</v>
      </c>
      <c r="AG4197" s="223">
        <v>0.60348420000000003</v>
      </c>
      <c r="AH4197" s="341"/>
      <c r="AI4197" s="218"/>
      <c r="AJ4197" s="218"/>
      <c r="AK4197" s="153"/>
      <c r="AL4197" s="152"/>
      <c r="AM4197" s="152"/>
      <c r="AN4197" s="152"/>
      <c r="AO4197" s="152"/>
      <c r="AP4197" s="152"/>
      <c r="AQ4197" s="152"/>
      <c r="AR4197" s="152"/>
      <c r="AS4197" s="152"/>
      <c r="AT4197" s="152"/>
      <c r="AU4197" s="153"/>
      <c r="AV4197" s="479"/>
      <c r="AW4197" s="479"/>
      <c r="AX4197" s="442"/>
      <c r="AY4197" s="153"/>
      <c r="AZ4197" s="152"/>
      <c r="BA4197" s="152"/>
      <c r="BB4197" s="152"/>
      <c r="BC4197" s="152"/>
      <c r="BD4197" s="152"/>
      <c r="BE4197" s="152"/>
      <c r="BF4197" s="152"/>
      <c r="BG4197" s="152"/>
      <c r="BH4197" s="152"/>
      <c r="BI4197" s="153"/>
      <c r="BJ4197" s="153"/>
      <c r="BK4197" s="153"/>
      <c r="BL4197" s="153"/>
      <c r="BM4197" s="153"/>
      <c r="BN4197" s="153"/>
      <c r="BO4197" s="153"/>
      <c r="BP4197" s="153"/>
      <c r="BQ4197" s="153"/>
      <c r="BR4197" s="153"/>
      <c r="BS4197" s="153"/>
      <c r="BT4197" s="153"/>
      <c r="BU4197" s="153"/>
      <c r="BV4197" s="153"/>
      <c r="BW4197" s="153"/>
      <c r="BX4197" s="153"/>
      <c r="BY4197" s="153"/>
      <c r="BZ4197" s="153"/>
      <c r="CA4197" s="152"/>
      <c r="CB4197" s="152"/>
    </row>
    <row r="4198" spans="1:80" s="87" customFormat="1" x14ac:dyDescent="0.2">
      <c r="A4198" s="252" t="s">
        <v>580</v>
      </c>
      <c r="B4198" s="683"/>
      <c r="C4198" s="683"/>
      <c r="D4198" s="292"/>
      <c r="E4198" s="215"/>
      <c r="F4198" s="215"/>
      <c r="G4198" s="153"/>
      <c r="H4198" s="153"/>
      <c r="I4198" s="164">
        <v>21</v>
      </c>
      <c r="J4198" s="164">
        <v>30</v>
      </c>
      <c r="K4198" s="150">
        <v>1</v>
      </c>
      <c r="L4198" s="656">
        <v>10.5</v>
      </c>
      <c r="M4198" s="663">
        <v>34465</v>
      </c>
      <c r="N4198" s="600">
        <v>1.37033</v>
      </c>
      <c r="O4198" s="604">
        <v>1.0120000000000001E-3</v>
      </c>
      <c r="P4198" s="250"/>
      <c r="Q4198" s="250"/>
      <c r="R4198" s="250"/>
      <c r="S4198" s="250"/>
      <c r="T4198" s="250"/>
      <c r="U4198" s="250">
        <v>1.43E-2</v>
      </c>
      <c r="V4198" s="250">
        <v>0.15262321144674085</v>
      </c>
      <c r="W4198" s="250">
        <v>0.4689984101748807</v>
      </c>
      <c r="X4198" s="250">
        <v>0.35294117647058826</v>
      </c>
      <c r="Y4198" s="250">
        <v>1.1128775834658189E-2</v>
      </c>
      <c r="Z4198" s="150">
        <v>3.5</v>
      </c>
      <c r="AA4198" s="150">
        <v>0.6</v>
      </c>
      <c r="AB4198" s="152"/>
      <c r="AC4198" s="152"/>
      <c r="AD4198" s="223">
        <v>7.7111869999999998</v>
      </c>
      <c r="AE4198" s="223">
        <v>0.29564629999999997</v>
      </c>
      <c r="AF4198" s="223">
        <v>2.27961876</v>
      </c>
      <c r="AG4198" s="223">
        <v>0.60348420000000003</v>
      </c>
      <c r="AH4198" s="341"/>
      <c r="AI4198" s="218"/>
      <c r="AJ4198" s="218"/>
      <c r="AK4198" s="153"/>
      <c r="AL4198" s="152"/>
      <c r="AM4198" s="152"/>
      <c r="AN4198" s="152"/>
      <c r="AO4198" s="152"/>
      <c r="AP4198" s="152"/>
      <c r="AQ4198" s="152"/>
      <c r="AR4198" s="152"/>
      <c r="AS4198" s="152"/>
      <c r="AT4198" s="152"/>
      <c r="AU4198" s="153"/>
      <c r="AV4198" s="479"/>
      <c r="AW4198" s="479"/>
      <c r="AX4198" s="442"/>
      <c r="AY4198" s="153"/>
      <c r="AZ4198" s="152"/>
      <c r="BA4198" s="152"/>
      <c r="BB4198" s="152"/>
      <c r="BC4198" s="152"/>
      <c r="BD4198" s="152"/>
      <c r="BE4198" s="152"/>
      <c r="BF4198" s="152"/>
      <c r="BG4198" s="152"/>
      <c r="BH4198" s="152"/>
      <c r="BI4198" s="153"/>
      <c r="BJ4198" s="153"/>
      <c r="BK4198" s="153"/>
      <c r="BL4198" s="153"/>
      <c r="BM4198" s="153"/>
      <c r="BN4198" s="153"/>
      <c r="BO4198" s="153"/>
      <c r="BP4198" s="153"/>
      <c r="BQ4198" s="153"/>
      <c r="BR4198" s="153"/>
      <c r="BS4198" s="153"/>
      <c r="BT4198" s="153"/>
      <c r="BU4198" s="153"/>
      <c r="BV4198" s="153"/>
      <c r="BW4198" s="153"/>
      <c r="BX4198" s="153"/>
      <c r="BY4198" s="153"/>
      <c r="BZ4198" s="153"/>
      <c r="CA4198" s="152"/>
      <c r="CB4198" s="152"/>
    </row>
    <row r="4199" spans="1:80" s="87" customFormat="1" x14ac:dyDescent="0.2">
      <c r="A4199" s="252" t="s">
        <v>580</v>
      </c>
      <c r="B4199" s="683"/>
      <c r="C4199" s="683"/>
      <c r="D4199" s="292"/>
      <c r="E4199" s="215"/>
      <c r="F4199" s="215"/>
      <c r="G4199" s="153"/>
      <c r="H4199" s="153"/>
      <c r="I4199" s="164">
        <v>20</v>
      </c>
      <c r="J4199" s="164">
        <v>30</v>
      </c>
      <c r="K4199" s="150">
        <v>1</v>
      </c>
      <c r="L4199" s="656">
        <v>10</v>
      </c>
      <c r="M4199" s="663">
        <v>34467</v>
      </c>
      <c r="N4199" s="600">
        <v>1.27407</v>
      </c>
      <c r="O4199" s="604">
        <v>4.9849999999999998E-3</v>
      </c>
      <c r="P4199" s="250"/>
      <c r="Q4199" s="250"/>
      <c r="R4199" s="250"/>
      <c r="S4199" s="250"/>
      <c r="T4199" s="250">
        <v>3.4000000000000002E-3</v>
      </c>
      <c r="U4199" s="250">
        <v>3.3099999999999997E-2</v>
      </c>
      <c r="V4199" s="250">
        <v>0.13324315184308419</v>
      </c>
      <c r="W4199" s="250">
        <v>0.4210348326006087</v>
      </c>
      <c r="X4199" s="250">
        <v>0.4024349002367264</v>
      </c>
      <c r="Y4199" s="250">
        <v>6.7636117686844773E-3</v>
      </c>
      <c r="Z4199" s="150">
        <v>3.9</v>
      </c>
      <c r="AA4199" s="150">
        <v>0.56000000000000005</v>
      </c>
      <c r="AB4199" s="152"/>
      <c r="AC4199" s="152"/>
      <c r="AD4199" s="223"/>
      <c r="AE4199" s="223"/>
      <c r="AF4199" s="223"/>
      <c r="AG4199" s="223"/>
      <c r="AH4199" s="341"/>
      <c r="AI4199" s="218"/>
      <c r="AJ4199" s="218"/>
      <c r="AK4199" s="153"/>
      <c r="AL4199" s="152"/>
      <c r="AM4199" s="152"/>
      <c r="AN4199" s="152"/>
      <c r="AO4199" s="152"/>
      <c r="AP4199" s="152"/>
      <c r="AQ4199" s="152"/>
      <c r="AR4199" s="152"/>
      <c r="AS4199" s="152"/>
      <c r="AT4199" s="152"/>
      <c r="AU4199" s="153"/>
      <c r="AV4199" s="479"/>
      <c r="AW4199" s="479"/>
      <c r="AX4199" s="442"/>
      <c r="AY4199" s="153"/>
      <c r="AZ4199" s="152"/>
      <c r="BA4199" s="152"/>
      <c r="BB4199" s="152"/>
      <c r="BC4199" s="152"/>
      <c r="BD4199" s="152"/>
      <c r="BE4199" s="152"/>
      <c r="BF4199" s="152"/>
      <c r="BG4199" s="152"/>
      <c r="BH4199" s="152"/>
      <c r="BI4199" s="153"/>
      <c r="BJ4199" s="153"/>
      <c r="BK4199" s="153"/>
      <c r="BL4199" s="153"/>
      <c r="BM4199" s="153"/>
      <c r="BN4199" s="153"/>
      <c r="BO4199" s="153"/>
      <c r="BP4199" s="153"/>
      <c r="BQ4199" s="153"/>
      <c r="BR4199" s="153"/>
      <c r="BS4199" s="153"/>
      <c r="BT4199" s="153"/>
      <c r="BU4199" s="153"/>
      <c r="BV4199" s="153"/>
      <c r="BW4199" s="153"/>
      <c r="BX4199" s="153"/>
      <c r="BY4199" s="153"/>
      <c r="BZ4199" s="153"/>
      <c r="CA4199" s="152"/>
      <c r="CB4199" s="152"/>
    </row>
    <row r="4200" spans="1:80" s="87" customFormat="1" x14ac:dyDescent="0.2">
      <c r="A4200" s="252" t="s">
        <v>580</v>
      </c>
      <c r="B4200" s="683"/>
      <c r="C4200" s="683"/>
      <c r="D4200" s="292"/>
      <c r="E4200" s="215"/>
      <c r="F4200" s="215"/>
      <c r="G4200" s="153"/>
      <c r="H4200" s="153"/>
      <c r="I4200" s="164">
        <v>20</v>
      </c>
      <c r="J4200" s="164">
        <v>30</v>
      </c>
      <c r="K4200" s="150">
        <v>1</v>
      </c>
      <c r="L4200" s="656">
        <v>10</v>
      </c>
      <c r="M4200" s="663">
        <v>34467</v>
      </c>
      <c r="N4200" s="600">
        <v>1.27407</v>
      </c>
      <c r="O4200" s="604">
        <v>5.2269999999999999E-3</v>
      </c>
      <c r="P4200" s="250"/>
      <c r="Q4200" s="250"/>
      <c r="R4200" s="250"/>
      <c r="S4200" s="250"/>
      <c r="T4200" s="250">
        <v>1.29E-2</v>
      </c>
      <c r="U4200" s="250">
        <v>3.9100000000000003E-2</v>
      </c>
      <c r="V4200" s="250">
        <v>0.16041397153945663</v>
      </c>
      <c r="W4200" s="250">
        <v>0.43952134540750315</v>
      </c>
      <c r="X4200" s="250">
        <v>0.34120310478654586</v>
      </c>
      <c r="Y4200" s="250">
        <v>6.7917205692108653E-3</v>
      </c>
      <c r="Z4200" s="150">
        <v>6</v>
      </c>
      <c r="AA4200" s="150">
        <v>0.61</v>
      </c>
      <c r="AB4200" s="152"/>
      <c r="AC4200" s="152"/>
      <c r="AD4200" s="223"/>
      <c r="AE4200" s="223"/>
      <c r="AF4200" s="223"/>
      <c r="AG4200" s="223"/>
      <c r="AH4200" s="341"/>
      <c r="AI4200" s="218"/>
      <c r="AJ4200" s="218"/>
      <c r="AK4200" s="153"/>
      <c r="AL4200" s="152"/>
      <c r="AM4200" s="152"/>
      <c r="AN4200" s="152"/>
      <c r="AO4200" s="152"/>
      <c r="AP4200" s="152"/>
      <c r="AQ4200" s="152"/>
      <c r="AR4200" s="152"/>
      <c r="AS4200" s="152"/>
      <c r="AT4200" s="152"/>
      <c r="AU4200" s="153"/>
      <c r="AV4200" s="479"/>
      <c r="AW4200" s="479"/>
      <c r="AX4200" s="442"/>
      <c r="AY4200" s="153"/>
      <c r="AZ4200" s="152"/>
      <c r="BA4200" s="152"/>
      <c r="BB4200" s="152"/>
      <c r="BC4200" s="152"/>
      <c r="BD4200" s="152"/>
      <c r="BE4200" s="152"/>
      <c r="BF4200" s="152"/>
      <c r="BG4200" s="152"/>
      <c r="BH4200" s="152"/>
      <c r="BI4200" s="153"/>
      <c r="BJ4200" s="153"/>
      <c r="BK4200" s="153"/>
      <c r="BL4200" s="153"/>
      <c r="BM4200" s="153"/>
      <c r="BN4200" s="153"/>
      <c r="BO4200" s="153"/>
      <c r="BP4200" s="153"/>
      <c r="BQ4200" s="153"/>
      <c r="BR4200" s="153"/>
      <c r="BS4200" s="153"/>
      <c r="BT4200" s="153"/>
      <c r="BU4200" s="153"/>
      <c r="BV4200" s="153"/>
      <c r="BW4200" s="153"/>
      <c r="BX4200" s="153"/>
      <c r="BY4200" s="153"/>
      <c r="BZ4200" s="153"/>
      <c r="CA4200" s="152"/>
      <c r="CB4200" s="152"/>
    </row>
    <row r="4201" spans="1:80" s="87" customFormat="1" x14ac:dyDescent="0.2">
      <c r="A4201" s="252" t="s">
        <v>580</v>
      </c>
      <c r="B4201" s="683"/>
      <c r="C4201" s="683"/>
      <c r="D4201" s="292"/>
      <c r="E4201" s="215"/>
      <c r="F4201" s="215"/>
      <c r="G4201" s="153"/>
      <c r="H4201" s="153"/>
      <c r="I4201" s="164">
        <v>21</v>
      </c>
      <c r="J4201" s="164">
        <v>30</v>
      </c>
      <c r="K4201" s="150">
        <v>1</v>
      </c>
      <c r="L4201" s="656">
        <v>10.5</v>
      </c>
      <c r="M4201" s="663">
        <v>34469</v>
      </c>
      <c r="N4201" s="600">
        <v>1.0419099999999999</v>
      </c>
      <c r="O4201" s="604">
        <v>1.49E-3</v>
      </c>
      <c r="P4201" s="250"/>
      <c r="Q4201" s="250"/>
      <c r="R4201" s="250"/>
      <c r="S4201" s="250"/>
      <c r="T4201" s="250">
        <v>1.23E-2</v>
      </c>
      <c r="U4201" s="250">
        <v>1.43E-2</v>
      </c>
      <c r="V4201" s="250">
        <v>0.10450819672131147</v>
      </c>
      <c r="W4201" s="250">
        <v>0.39139344262295084</v>
      </c>
      <c r="X4201" s="250">
        <v>0.46413934426229519</v>
      </c>
      <c r="Y4201" s="250">
        <v>1.3319672131147542E-2</v>
      </c>
      <c r="Z4201" s="150">
        <v>5.7</v>
      </c>
      <c r="AA4201" s="150">
        <v>0.52</v>
      </c>
      <c r="AB4201" s="152"/>
      <c r="AC4201" s="152"/>
      <c r="AD4201" s="223">
        <v>7.2844810000000004</v>
      </c>
      <c r="AE4201" s="223">
        <v>0.28040680000000001</v>
      </c>
      <c r="AF4201" s="223">
        <v>2.0427390600000002</v>
      </c>
      <c r="AG4201" s="223">
        <v>0.50595140000000005</v>
      </c>
      <c r="AH4201" s="341"/>
      <c r="AI4201" s="218"/>
      <c r="AJ4201" s="218"/>
      <c r="AK4201" s="153"/>
      <c r="AL4201" s="152"/>
      <c r="AM4201" s="152"/>
      <c r="AN4201" s="152"/>
      <c r="AO4201" s="152"/>
      <c r="AP4201" s="152"/>
      <c r="AQ4201" s="152"/>
      <c r="AR4201" s="152"/>
      <c r="AS4201" s="152"/>
      <c r="AT4201" s="152"/>
      <c r="AU4201" s="153"/>
      <c r="AV4201" s="479"/>
      <c r="AW4201" s="479"/>
      <c r="AX4201" s="442"/>
      <c r="AY4201" s="153"/>
      <c r="AZ4201" s="152"/>
      <c r="BA4201" s="152"/>
      <c r="BB4201" s="152"/>
      <c r="BC4201" s="152"/>
      <c r="BD4201" s="152"/>
      <c r="BE4201" s="152"/>
      <c r="BF4201" s="152"/>
      <c r="BG4201" s="152"/>
      <c r="BH4201" s="152"/>
      <c r="BI4201" s="153"/>
      <c r="BJ4201" s="153"/>
      <c r="BK4201" s="153"/>
      <c r="BL4201" s="153"/>
      <c r="BM4201" s="153"/>
      <c r="BN4201" s="153"/>
      <c r="BO4201" s="153"/>
      <c r="BP4201" s="153"/>
      <c r="BQ4201" s="153"/>
      <c r="BR4201" s="153"/>
      <c r="BS4201" s="153"/>
      <c r="BT4201" s="153"/>
      <c r="BU4201" s="153"/>
      <c r="BV4201" s="153"/>
      <c r="BW4201" s="153"/>
      <c r="BX4201" s="153"/>
      <c r="BY4201" s="153"/>
      <c r="BZ4201" s="153"/>
      <c r="CA4201" s="152"/>
      <c r="CB4201" s="152"/>
    </row>
    <row r="4202" spans="1:80" s="87" customFormat="1" x14ac:dyDescent="0.2">
      <c r="A4202" s="252" t="s">
        <v>580</v>
      </c>
      <c r="B4202" s="683"/>
      <c r="C4202" s="683"/>
      <c r="D4202" s="292"/>
      <c r="E4202" s="215"/>
      <c r="F4202" s="215"/>
      <c r="G4202" s="153"/>
      <c r="H4202" s="153"/>
      <c r="I4202" s="164">
        <v>21</v>
      </c>
      <c r="J4202" s="164">
        <v>30</v>
      </c>
      <c r="K4202" s="150">
        <v>1</v>
      </c>
      <c r="L4202" s="656">
        <v>10.5</v>
      </c>
      <c r="M4202" s="663">
        <v>34469</v>
      </c>
      <c r="N4202" s="600">
        <v>1.0419099999999999</v>
      </c>
      <c r="O4202" s="604">
        <v>3.9899999999999999E-4</v>
      </c>
      <c r="P4202" s="250"/>
      <c r="Q4202" s="250"/>
      <c r="R4202" s="250"/>
      <c r="S4202" s="250"/>
      <c r="T4202" s="250"/>
      <c r="U4202" s="250">
        <v>3.8E-3</v>
      </c>
      <c r="V4202" s="250">
        <v>6.4393939393939406E-2</v>
      </c>
      <c r="W4202" s="250">
        <v>0.36742424242424249</v>
      </c>
      <c r="X4202" s="250">
        <v>0.54545454545454553</v>
      </c>
      <c r="Y4202" s="250">
        <v>1.8939393939393943E-2</v>
      </c>
      <c r="Z4202" s="150">
        <v>1.9</v>
      </c>
      <c r="AA4202" s="150">
        <v>0.46</v>
      </c>
      <c r="AB4202" s="152"/>
      <c r="AC4202" s="152"/>
      <c r="AD4202" s="223">
        <v>7.2844810000000004</v>
      </c>
      <c r="AE4202" s="223">
        <v>0.28040680000000001</v>
      </c>
      <c r="AF4202" s="223">
        <v>2.0427390600000002</v>
      </c>
      <c r="AG4202" s="223">
        <v>0.50595140000000005</v>
      </c>
      <c r="AH4202" s="341"/>
      <c r="AI4202" s="218"/>
      <c r="AJ4202" s="218"/>
      <c r="AK4202" s="153"/>
      <c r="AL4202" s="152"/>
      <c r="AM4202" s="152"/>
      <c r="AN4202" s="152"/>
      <c r="AO4202" s="152"/>
      <c r="AP4202" s="152"/>
      <c r="AQ4202" s="152"/>
      <c r="AR4202" s="152"/>
      <c r="AS4202" s="152"/>
      <c r="AT4202" s="152"/>
      <c r="AU4202" s="153"/>
      <c r="AV4202" s="479"/>
      <c r="AW4202" s="479"/>
      <c r="AX4202" s="442"/>
      <c r="AY4202" s="153"/>
      <c r="AZ4202" s="152"/>
      <c r="BA4202" s="152"/>
      <c r="BB4202" s="152"/>
      <c r="BC4202" s="152"/>
      <c r="BD4202" s="152"/>
      <c r="BE4202" s="152"/>
      <c r="BF4202" s="152"/>
      <c r="BG4202" s="152"/>
      <c r="BH4202" s="152"/>
      <c r="BI4202" s="153"/>
      <c r="BJ4202" s="153"/>
      <c r="BK4202" s="153"/>
      <c r="BL4202" s="153"/>
      <c r="BM4202" s="153"/>
      <c r="BN4202" s="153"/>
      <c r="BO4202" s="153"/>
      <c r="BP4202" s="153"/>
      <c r="BQ4202" s="153"/>
      <c r="BR4202" s="153"/>
      <c r="BS4202" s="153"/>
      <c r="BT4202" s="153"/>
      <c r="BU4202" s="153"/>
      <c r="BV4202" s="153"/>
      <c r="BW4202" s="153"/>
      <c r="BX4202" s="153"/>
      <c r="BY4202" s="153"/>
      <c r="BZ4202" s="153"/>
      <c r="CA4202" s="152"/>
      <c r="CB4202" s="152"/>
    </row>
    <row r="4203" spans="1:80" s="87" customFormat="1" x14ac:dyDescent="0.2">
      <c r="A4203" s="252" t="s">
        <v>580</v>
      </c>
      <c r="B4203" s="683"/>
      <c r="C4203" s="683"/>
      <c r="D4203" s="292"/>
      <c r="E4203" s="215"/>
      <c r="F4203" s="215"/>
      <c r="G4203" s="153"/>
      <c r="H4203" s="153"/>
      <c r="I4203" s="164">
        <v>21</v>
      </c>
      <c r="J4203" s="164">
        <v>30</v>
      </c>
      <c r="K4203" s="150">
        <v>1</v>
      </c>
      <c r="L4203" s="656">
        <v>10.5</v>
      </c>
      <c r="M4203" s="663">
        <v>34471</v>
      </c>
      <c r="N4203" s="600">
        <v>0.83806000000000003</v>
      </c>
      <c r="O4203" s="604">
        <v>2.0470000000000002E-3</v>
      </c>
      <c r="P4203" s="250"/>
      <c r="Q4203" s="250"/>
      <c r="R4203" s="250"/>
      <c r="S4203" s="250"/>
      <c r="T4203" s="250">
        <v>4.3E-3</v>
      </c>
      <c r="U4203" s="250">
        <v>7.0499999999999993E-2</v>
      </c>
      <c r="V4203" s="250">
        <v>0.20498220640569392</v>
      </c>
      <c r="W4203" s="250">
        <v>0.4120996441281139</v>
      </c>
      <c r="X4203" s="250">
        <v>0.30177935943060497</v>
      </c>
      <c r="Y4203" s="250">
        <v>6.4056939501779351E-3</v>
      </c>
      <c r="Z4203" s="150">
        <v>4.2</v>
      </c>
      <c r="AA4203" s="150">
        <v>0.66</v>
      </c>
      <c r="AB4203" s="152"/>
      <c r="AC4203" s="152"/>
      <c r="AD4203" s="223">
        <v>6.9492120000000002</v>
      </c>
      <c r="AE4203" s="223">
        <v>0.2621194</v>
      </c>
      <c r="AF4203" s="223">
        <v>1.8216513400000001</v>
      </c>
      <c r="AG4203" s="223">
        <v>0.45718500000000001</v>
      </c>
      <c r="AH4203" s="341"/>
      <c r="AI4203" s="218"/>
      <c r="AJ4203" s="218"/>
      <c r="AK4203" s="153"/>
      <c r="AL4203" s="152"/>
      <c r="AM4203" s="152"/>
      <c r="AN4203" s="152"/>
      <c r="AO4203" s="152"/>
      <c r="AP4203" s="152"/>
      <c r="AQ4203" s="152"/>
      <c r="AR4203" s="152"/>
      <c r="AS4203" s="152"/>
      <c r="AT4203" s="152"/>
      <c r="AU4203" s="153"/>
      <c r="AV4203" s="479"/>
      <c r="AW4203" s="479"/>
      <c r="AX4203" s="442"/>
      <c r="AY4203" s="153"/>
      <c r="AZ4203" s="152"/>
      <c r="BA4203" s="152"/>
      <c r="BB4203" s="152"/>
      <c r="BC4203" s="152"/>
      <c r="BD4203" s="152"/>
      <c r="BE4203" s="152"/>
      <c r="BF4203" s="152"/>
      <c r="BG4203" s="152"/>
      <c r="BH4203" s="152"/>
      <c r="BI4203" s="153"/>
      <c r="BJ4203" s="153"/>
      <c r="BK4203" s="153"/>
      <c r="BL4203" s="153"/>
      <c r="BM4203" s="153"/>
      <c r="BN4203" s="153"/>
      <c r="BO4203" s="153"/>
      <c r="BP4203" s="153"/>
      <c r="BQ4203" s="153"/>
      <c r="BR4203" s="153"/>
      <c r="BS4203" s="153"/>
      <c r="BT4203" s="153"/>
      <c r="BU4203" s="153"/>
      <c r="BV4203" s="153"/>
      <c r="BW4203" s="153"/>
      <c r="BX4203" s="153"/>
      <c r="BY4203" s="153"/>
      <c r="BZ4203" s="153"/>
      <c r="CA4203" s="152"/>
      <c r="CB4203" s="152"/>
    </row>
    <row r="4204" spans="1:80" s="87" customFormat="1" x14ac:dyDescent="0.2">
      <c r="A4204" s="252" t="s">
        <v>580</v>
      </c>
      <c r="B4204" s="683"/>
      <c r="C4204" s="683"/>
      <c r="D4204" s="292"/>
      <c r="E4204" s="215"/>
      <c r="F4204" s="215"/>
      <c r="G4204" s="153"/>
      <c r="H4204" s="153"/>
      <c r="I4204" s="164">
        <v>21</v>
      </c>
      <c r="J4204" s="164">
        <v>30</v>
      </c>
      <c r="K4204" s="150">
        <v>1</v>
      </c>
      <c r="L4204" s="656">
        <v>10.5</v>
      </c>
      <c r="M4204" s="663">
        <v>34471</v>
      </c>
      <c r="N4204" s="600">
        <v>0.83806000000000003</v>
      </c>
      <c r="O4204" s="604">
        <v>7.2499999999999995E-4</v>
      </c>
      <c r="P4204" s="250"/>
      <c r="Q4204" s="250"/>
      <c r="R4204" s="250"/>
      <c r="S4204" s="250"/>
      <c r="T4204" s="250"/>
      <c r="U4204" s="250">
        <v>0.12859999999999999</v>
      </c>
      <c r="V4204" s="250">
        <v>0.31428571428571428</v>
      </c>
      <c r="W4204" s="250">
        <v>0.31428571428571428</v>
      </c>
      <c r="X4204" s="250">
        <v>0.24285714285714285</v>
      </c>
      <c r="Y4204" s="250">
        <v>0</v>
      </c>
      <c r="Z4204" s="150">
        <v>3.7</v>
      </c>
      <c r="AA4204" s="150">
        <v>0.88</v>
      </c>
      <c r="AB4204" s="152"/>
      <c r="AC4204" s="152"/>
      <c r="AD4204" s="223">
        <v>6.9492120000000002</v>
      </c>
      <c r="AE4204" s="223">
        <v>0.2621194</v>
      </c>
      <c r="AF4204" s="223">
        <v>1.8216513400000001</v>
      </c>
      <c r="AG4204" s="223">
        <v>0.45718500000000001</v>
      </c>
      <c r="AH4204" s="341"/>
      <c r="AI4204" s="218"/>
      <c r="AJ4204" s="218"/>
      <c r="AK4204" s="153"/>
      <c r="AL4204" s="152"/>
      <c r="AM4204" s="152"/>
      <c r="AN4204" s="152"/>
      <c r="AO4204" s="152"/>
      <c r="AP4204" s="152"/>
      <c r="AQ4204" s="152"/>
      <c r="AR4204" s="152"/>
      <c r="AS4204" s="152"/>
      <c r="AT4204" s="152"/>
      <c r="AU4204" s="153"/>
      <c r="AV4204" s="479"/>
      <c r="AW4204" s="479"/>
      <c r="AX4204" s="442"/>
      <c r="AY4204" s="153"/>
      <c r="AZ4204" s="152"/>
      <c r="BA4204" s="152"/>
      <c r="BB4204" s="152"/>
      <c r="BC4204" s="152"/>
      <c r="BD4204" s="152"/>
      <c r="BE4204" s="152"/>
      <c r="BF4204" s="152"/>
      <c r="BG4204" s="152"/>
      <c r="BH4204" s="152"/>
      <c r="BI4204" s="153"/>
      <c r="BJ4204" s="153"/>
      <c r="BK4204" s="153"/>
      <c r="BL4204" s="153"/>
      <c r="BM4204" s="153"/>
      <c r="BN4204" s="153"/>
      <c r="BO4204" s="153"/>
      <c r="BP4204" s="153"/>
      <c r="BQ4204" s="153"/>
      <c r="BR4204" s="153"/>
      <c r="BS4204" s="153"/>
      <c r="BT4204" s="153"/>
      <c r="BU4204" s="153"/>
      <c r="BV4204" s="153"/>
      <c r="BW4204" s="153"/>
      <c r="BX4204" s="153"/>
      <c r="BY4204" s="153"/>
      <c r="BZ4204" s="153"/>
      <c r="CA4204" s="152"/>
      <c r="CB4204" s="152"/>
    </row>
    <row r="4205" spans="1:80" s="87" customFormat="1" x14ac:dyDescent="0.2">
      <c r="A4205" s="252" t="s">
        <v>580</v>
      </c>
      <c r="B4205" s="683"/>
      <c r="C4205" s="683"/>
      <c r="D4205" s="292"/>
      <c r="E4205" s="215"/>
      <c r="F4205" s="215"/>
      <c r="G4205" s="153"/>
      <c r="H4205" s="153"/>
      <c r="I4205" s="164">
        <v>21</v>
      </c>
      <c r="J4205" s="164">
        <v>30</v>
      </c>
      <c r="K4205" s="150">
        <v>1</v>
      </c>
      <c r="L4205" s="656">
        <v>10.5</v>
      </c>
      <c r="M4205" s="663">
        <v>34474</v>
      </c>
      <c r="N4205" s="600">
        <v>0.80974000000000002</v>
      </c>
      <c r="O4205" s="604">
        <v>4.4299999999999998E-4</v>
      </c>
      <c r="P4205" s="250"/>
      <c r="Q4205" s="250"/>
      <c r="R4205" s="250"/>
      <c r="S4205" s="250"/>
      <c r="T4205" s="250">
        <v>0.10189999999999999</v>
      </c>
      <c r="U4205" s="250">
        <v>8.2799999999999999E-2</v>
      </c>
      <c r="V4205" s="250">
        <v>0.27707006369426757</v>
      </c>
      <c r="W4205" s="250">
        <v>0.337579617834395</v>
      </c>
      <c r="X4205" s="250">
        <v>0.18789808917197454</v>
      </c>
      <c r="Y4205" s="250">
        <v>1.2738853503184716E-2</v>
      </c>
      <c r="Z4205" s="150">
        <v>4.2</v>
      </c>
      <c r="AA4205" s="150">
        <v>0.93</v>
      </c>
      <c r="AB4205" s="152"/>
      <c r="AC4205" s="152"/>
      <c r="AD4205" s="223">
        <v>6.7968169999999999</v>
      </c>
      <c r="AE4205" s="223">
        <v>0.27126309999999998</v>
      </c>
      <c r="AF4205" s="223">
        <v>1.8439459</v>
      </c>
      <c r="AG4205" s="223">
        <v>0.4388976</v>
      </c>
      <c r="AH4205" s="341"/>
      <c r="AI4205" s="218"/>
      <c r="AJ4205" s="218"/>
      <c r="AK4205" s="153"/>
      <c r="AL4205" s="152"/>
      <c r="AM4205" s="152"/>
      <c r="AN4205" s="152"/>
      <c r="AO4205" s="152"/>
      <c r="AP4205" s="152"/>
      <c r="AQ4205" s="152"/>
      <c r="AR4205" s="152"/>
      <c r="AS4205" s="152"/>
      <c r="AT4205" s="152"/>
      <c r="AU4205" s="153"/>
      <c r="AV4205" s="479"/>
      <c r="AW4205" s="479"/>
      <c r="AX4205" s="442"/>
      <c r="AY4205" s="153"/>
      <c r="AZ4205" s="152"/>
      <c r="BA4205" s="152"/>
      <c r="BB4205" s="152"/>
      <c r="BC4205" s="152"/>
      <c r="BD4205" s="152"/>
      <c r="BE4205" s="152"/>
      <c r="BF4205" s="152"/>
      <c r="BG4205" s="152"/>
      <c r="BH4205" s="152"/>
      <c r="BI4205" s="153"/>
      <c r="BJ4205" s="153"/>
      <c r="BK4205" s="153"/>
      <c r="BL4205" s="153"/>
      <c r="BM4205" s="153"/>
      <c r="BN4205" s="153"/>
      <c r="BO4205" s="153"/>
      <c r="BP4205" s="153"/>
      <c r="BQ4205" s="153"/>
      <c r="BR4205" s="153"/>
      <c r="BS4205" s="153"/>
      <c r="BT4205" s="153"/>
      <c r="BU4205" s="153"/>
      <c r="BV4205" s="153"/>
      <c r="BW4205" s="153"/>
      <c r="BX4205" s="153"/>
      <c r="BY4205" s="153"/>
      <c r="BZ4205" s="153"/>
      <c r="CA4205" s="152"/>
      <c r="CB4205" s="152"/>
    </row>
    <row r="4206" spans="1:80" s="87" customFormat="1" x14ac:dyDescent="0.2">
      <c r="A4206" s="252" t="s">
        <v>580</v>
      </c>
      <c r="B4206" s="683"/>
      <c r="C4206" s="683"/>
      <c r="D4206" s="292"/>
      <c r="E4206" s="215"/>
      <c r="F4206" s="215"/>
      <c r="G4206" s="153"/>
      <c r="H4206" s="153"/>
      <c r="I4206" s="164">
        <v>21</v>
      </c>
      <c r="J4206" s="164">
        <v>30</v>
      </c>
      <c r="K4206" s="150">
        <v>1</v>
      </c>
      <c r="L4206" s="656">
        <v>10.5</v>
      </c>
      <c r="M4206" s="663">
        <v>34474</v>
      </c>
      <c r="N4206" s="600">
        <v>0.80974000000000002</v>
      </c>
      <c r="O4206" s="604">
        <v>4.8099999999999998E-4</v>
      </c>
      <c r="P4206" s="250"/>
      <c r="Q4206" s="250"/>
      <c r="R4206" s="250"/>
      <c r="S4206" s="250"/>
      <c r="T4206" s="250"/>
      <c r="U4206" s="250">
        <v>0.22059999999999999</v>
      </c>
      <c r="V4206" s="250">
        <v>0.28235294117647058</v>
      </c>
      <c r="W4206" s="250">
        <v>0.33235294117647057</v>
      </c>
      <c r="X4206" s="250">
        <v>0.16176470588235298</v>
      </c>
      <c r="Y4206" s="250">
        <v>2.9411764705882353E-3</v>
      </c>
      <c r="Z4206" s="150">
        <v>3.5</v>
      </c>
      <c r="AA4206" s="150">
        <v>1.01</v>
      </c>
      <c r="AB4206" s="152"/>
      <c r="AC4206" s="152"/>
      <c r="AD4206" s="223">
        <v>6.7968169999999999</v>
      </c>
      <c r="AE4206" s="223">
        <v>0.27126309999999998</v>
      </c>
      <c r="AF4206" s="223">
        <v>1.8439459</v>
      </c>
      <c r="AG4206" s="223">
        <v>0.4388976</v>
      </c>
      <c r="AH4206" s="341"/>
      <c r="AI4206" s="218"/>
      <c r="AJ4206" s="218"/>
      <c r="AK4206" s="153"/>
      <c r="AL4206" s="152"/>
      <c r="AM4206" s="152"/>
      <c r="AN4206" s="152"/>
      <c r="AO4206" s="152"/>
      <c r="AP4206" s="152"/>
      <c r="AQ4206" s="152"/>
      <c r="AR4206" s="152"/>
      <c r="AS4206" s="152"/>
      <c r="AT4206" s="152"/>
      <c r="AU4206" s="153"/>
      <c r="AV4206" s="479"/>
      <c r="AW4206" s="479"/>
      <c r="AX4206" s="442"/>
      <c r="AY4206" s="153"/>
      <c r="AZ4206" s="152"/>
      <c r="BA4206" s="152"/>
      <c r="BB4206" s="152"/>
      <c r="BC4206" s="152"/>
      <c r="BD4206" s="152"/>
      <c r="BE4206" s="152"/>
      <c r="BF4206" s="152"/>
      <c r="BG4206" s="152"/>
      <c r="BH4206" s="152"/>
      <c r="BI4206" s="153"/>
      <c r="BJ4206" s="153"/>
      <c r="BK4206" s="153"/>
      <c r="BL4206" s="153"/>
      <c r="BM4206" s="153"/>
      <c r="BN4206" s="153"/>
      <c r="BO4206" s="153"/>
      <c r="BP4206" s="153"/>
      <c r="BQ4206" s="153"/>
      <c r="BR4206" s="153"/>
      <c r="BS4206" s="153"/>
      <c r="BT4206" s="153"/>
      <c r="BU4206" s="153"/>
      <c r="BV4206" s="153"/>
      <c r="BW4206" s="153"/>
      <c r="BX4206" s="153"/>
      <c r="BY4206" s="153"/>
      <c r="BZ4206" s="153"/>
      <c r="CA4206" s="152"/>
      <c r="CB4206" s="152"/>
    </row>
    <row r="4207" spans="1:80" s="87" customFormat="1" x14ac:dyDescent="0.2">
      <c r="A4207" s="252" t="s">
        <v>580</v>
      </c>
      <c r="B4207" s="683"/>
      <c r="C4207" s="683"/>
      <c r="D4207" s="292"/>
      <c r="E4207" s="215"/>
      <c r="F4207" s="215"/>
      <c r="G4207" s="153"/>
      <c r="H4207" s="153"/>
      <c r="I4207" s="164">
        <v>23</v>
      </c>
      <c r="J4207" s="164">
        <v>30</v>
      </c>
      <c r="K4207" s="150">
        <v>1</v>
      </c>
      <c r="L4207" s="656">
        <v>11.5</v>
      </c>
      <c r="M4207" s="663">
        <v>34479</v>
      </c>
      <c r="N4207" s="600">
        <v>0.70499000000000001</v>
      </c>
      <c r="O4207" s="604">
        <v>1.0499999999999999E-5</v>
      </c>
      <c r="P4207" s="250"/>
      <c r="Q4207" s="250"/>
      <c r="R4207" s="250"/>
      <c r="S4207" s="250"/>
      <c r="T4207" s="250"/>
      <c r="U4207" s="250"/>
      <c r="V4207" s="250">
        <v>0.1111111111111111</v>
      </c>
      <c r="W4207" s="250">
        <v>0.33333333333333326</v>
      </c>
      <c r="X4207" s="250">
        <v>0.44444444444444442</v>
      </c>
      <c r="Y4207" s="250">
        <v>0.1111111111111111</v>
      </c>
      <c r="Z4207" s="150">
        <v>1.1000000000000001</v>
      </c>
      <c r="AA4207" s="150">
        <v>0.46</v>
      </c>
      <c r="AB4207" s="152"/>
      <c r="AC4207" s="152"/>
      <c r="AD4207" s="223">
        <v>6.8577750000000002</v>
      </c>
      <c r="AE4207" s="223">
        <v>0.25907150000000001</v>
      </c>
      <c r="AF4207" s="223">
        <v>1.7770622199999999</v>
      </c>
      <c r="AG4207" s="223">
        <v>0.39927489999999999</v>
      </c>
      <c r="AH4207" s="341"/>
      <c r="AI4207" s="218"/>
      <c r="AJ4207" s="218"/>
      <c r="AK4207" s="153"/>
      <c r="AL4207" s="152"/>
      <c r="AM4207" s="152"/>
      <c r="AN4207" s="152"/>
      <c r="AO4207" s="152"/>
      <c r="AP4207" s="152"/>
      <c r="AQ4207" s="152"/>
      <c r="AR4207" s="152"/>
      <c r="AS4207" s="152"/>
      <c r="AT4207" s="152"/>
      <c r="AU4207" s="153"/>
      <c r="AV4207" s="479"/>
      <c r="AW4207" s="479"/>
      <c r="AX4207" s="442"/>
      <c r="AY4207" s="153"/>
      <c r="AZ4207" s="152"/>
      <c r="BA4207" s="152"/>
      <c r="BB4207" s="152"/>
      <c r="BC4207" s="152"/>
      <c r="BD4207" s="152"/>
      <c r="BE4207" s="152"/>
      <c r="BF4207" s="152"/>
      <c r="BG4207" s="152"/>
      <c r="BH4207" s="152"/>
      <c r="BI4207" s="153"/>
      <c r="BJ4207" s="153"/>
      <c r="BK4207" s="153"/>
      <c r="BL4207" s="153"/>
      <c r="BM4207" s="153"/>
      <c r="BN4207" s="153"/>
      <c r="BO4207" s="153"/>
      <c r="BP4207" s="153"/>
      <c r="BQ4207" s="153"/>
      <c r="BR4207" s="153"/>
      <c r="BS4207" s="153"/>
      <c r="BT4207" s="153"/>
      <c r="BU4207" s="153"/>
      <c r="BV4207" s="153"/>
      <c r="BW4207" s="153"/>
      <c r="BX4207" s="153"/>
      <c r="BY4207" s="153"/>
      <c r="BZ4207" s="153"/>
      <c r="CA4207" s="152"/>
      <c r="CB4207" s="152"/>
    </row>
    <row r="4208" spans="1:80" s="87" customFormat="1" x14ac:dyDescent="0.2">
      <c r="A4208" s="252" t="s">
        <v>580</v>
      </c>
      <c r="B4208" s="683"/>
      <c r="C4208" s="683"/>
      <c r="D4208" s="292"/>
      <c r="E4208" s="215"/>
      <c r="F4208" s="215"/>
      <c r="G4208" s="153"/>
      <c r="H4208" s="153"/>
      <c r="I4208" s="164">
        <v>23</v>
      </c>
      <c r="J4208" s="164">
        <v>30</v>
      </c>
      <c r="K4208" s="150">
        <v>1</v>
      </c>
      <c r="L4208" s="656">
        <v>11.5</v>
      </c>
      <c r="M4208" s="663">
        <v>34479</v>
      </c>
      <c r="N4208" s="600">
        <v>0.70499000000000001</v>
      </c>
      <c r="O4208" s="604">
        <v>2.0000000000000001E-4</v>
      </c>
      <c r="P4208" s="250"/>
      <c r="Q4208" s="250"/>
      <c r="R4208" s="250"/>
      <c r="S4208" s="250"/>
      <c r="T4208" s="250">
        <v>9.6799999999999997E-2</v>
      </c>
      <c r="U4208" s="250">
        <v>1.29E-2</v>
      </c>
      <c r="V4208" s="250">
        <v>0.14838709677419357</v>
      </c>
      <c r="W4208" s="250">
        <v>0.34838709677419355</v>
      </c>
      <c r="X4208" s="250">
        <v>0.36774193548387096</v>
      </c>
      <c r="Y4208" s="250">
        <v>2.5806451612903226E-2</v>
      </c>
      <c r="Z4208" s="150">
        <v>5.5</v>
      </c>
      <c r="AA4208" s="150">
        <v>0.6</v>
      </c>
      <c r="AB4208" s="152"/>
      <c r="AC4208" s="152"/>
      <c r="AD4208" s="223">
        <v>6.8577750000000002</v>
      </c>
      <c r="AE4208" s="223">
        <v>0.25907150000000001</v>
      </c>
      <c r="AF4208" s="223">
        <v>1.7770622199999999</v>
      </c>
      <c r="AG4208" s="223">
        <v>0.39927489999999999</v>
      </c>
      <c r="AH4208" s="341"/>
      <c r="AI4208" s="218"/>
      <c r="AJ4208" s="218"/>
      <c r="AK4208" s="153"/>
      <c r="AL4208" s="152"/>
      <c r="AM4208" s="152"/>
      <c r="AN4208" s="152"/>
      <c r="AO4208" s="152"/>
      <c r="AP4208" s="152"/>
      <c r="AQ4208" s="152"/>
      <c r="AR4208" s="152"/>
      <c r="AS4208" s="152"/>
      <c r="AT4208" s="152"/>
      <c r="AU4208" s="153"/>
      <c r="AV4208" s="479"/>
      <c r="AW4208" s="479"/>
      <c r="AX4208" s="442"/>
      <c r="AY4208" s="153"/>
      <c r="AZ4208" s="152"/>
      <c r="BA4208" s="152"/>
      <c r="BB4208" s="152"/>
      <c r="BC4208" s="152"/>
      <c r="BD4208" s="152"/>
      <c r="BE4208" s="152"/>
      <c r="BF4208" s="152"/>
      <c r="BG4208" s="152"/>
      <c r="BH4208" s="152"/>
      <c r="BI4208" s="153"/>
      <c r="BJ4208" s="153"/>
      <c r="BK4208" s="153"/>
      <c r="BL4208" s="153"/>
      <c r="BM4208" s="153"/>
      <c r="BN4208" s="153"/>
      <c r="BO4208" s="153"/>
      <c r="BP4208" s="153"/>
      <c r="BQ4208" s="153"/>
      <c r="BR4208" s="153"/>
      <c r="BS4208" s="153"/>
      <c r="BT4208" s="153"/>
      <c r="BU4208" s="153"/>
      <c r="BV4208" s="153"/>
      <c r="BW4208" s="153"/>
      <c r="BX4208" s="153"/>
      <c r="BY4208" s="153"/>
      <c r="BZ4208" s="153"/>
      <c r="CA4208" s="152"/>
      <c r="CB4208" s="152"/>
    </row>
    <row r="4209" spans="1:80" s="87" customFormat="1" x14ac:dyDescent="0.2">
      <c r="A4209" s="252" t="s">
        <v>580</v>
      </c>
      <c r="B4209" s="683"/>
      <c r="C4209" s="683"/>
      <c r="D4209" s="292"/>
      <c r="E4209" s="215"/>
      <c r="F4209" s="215"/>
      <c r="G4209" s="153"/>
      <c r="H4209" s="153"/>
      <c r="I4209" s="164">
        <v>21</v>
      </c>
      <c r="J4209" s="164">
        <v>30</v>
      </c>
      <c r="K4209" s="150">
        <v>1</v>
      </c>
      <c r="L4209" s="656">
        <v>10.5</v>
      </c>
      <c r="M4209" s="663">
        <v>34481</v>
      </c>
      <c r="N4209" s="600">
        <v>0.78991999999999996</v>
      </c>
      <c r="O4209" s="604">
        <v>4.7399999999999997E-4</v>
      </c>
      <c r="P4209" s="250"/>
      <c r="Q4209" s="250"/>
      <c r="R4209" s="250"/>
      <c r="S4209" s="250"/>
      <c r="T4209" s="250"/>
      <c r="U4209" s="250">
        <v>7.5300000000000006E-2</v>
      </c>
      <c r="V4209" s="250">
        <v>9.638554216867469E-2</v>
      </c>
      <c r="W4209" s="250">
        <v>0.37951807228915657</v>
      </c>
      <c r="X4209" s="250">
        <v>0.43072289156626503</v>
      </c>
      <c r="Y4209" s="250">
        <v>1.8072289156626505E-2</v>
      </c>
      <c r="Z4209" s="150">
        <v>3.5</v>
      </c>
      <c r="AA4209" s="150">
        <v>0.54</v>
      </c>
      <c r="AB4209" s="152"/>
      <c r="AC4209" s="152"/>
      <c r="AD4209" s="223">
        <v>6.8577750000000002</v>
      </c>
      <c r="AE4209" s="223">
        <v>0.26516729999999999</v>
      </c>
      <c r="AF4209" s="223">
        <v>1.81886452</v>
      </c>
      <c r="AG4209" s="223">
        <v>0.4388976</v>
      </c>
      <c r="AH4209" s="341"/>
      <c r="AI4209" s="218"/>
      <c r="AJ4209" s="218"/>
      <c r="AK4209" s="153"/>
      <c r="AL4209" s="152"/>
      <c r="AM4209" s="152"/>
      <c r="AN4209" s="152"/>
      <c r="AO4209" s="152"/>
      <c r="AP4209" s="152"/>
      <c r="AQ4209" s="152"/>
      <c r="AR4209" s="152"/>
      <c r="AS4209" s="152"/>
      <c r="AT4209" s="152"/>
      <c r="AU4209" s="153"/>
      <c r="AV4209" s="479"/>
      <c r="AW4209" s="479"/>
      <c r="AX4209" s="442"/>
      <c r="AY4209" s="153"/>
      <c r="AZ4209" s="152"/>
      <c r="BA4209" s="152"/>
      <c r="BB4209" s="152"/>
      <c r="BC4209" s="152"/>
      <c r="BD4209" s="152"/>
      <c r="BE4209" s="152"/>
      <c r="BF4209" s="152"/>
      <c r="BG4209" s="152"/>
      <c r="BH4209" s="152"/>
      <c r="BI4209" s="153"/>
      <c r="BJ4209" s="153"/>
      <c r="BK4209" s="153"/>
      <c r="BL4209" s="153"/>
      <c r="BM4209" s="153"/>
      <c r="BN4209" s="153"/>
      <c r="BO4209" s="153"/>
      <c r="BP4209" s="153"/>
      <c r="BQ4209" s="153"/>
      <c r="BR4209" s="153"/>
      <c r="BS4209" s="153"/>
      <c r="BT4209" s="153"/>
      <c r="BU4209" s="153"/>
      <c r="BV4209" s="153"/>
      <c r="BW4209" s="153"/>
      <c r="BX4209" s="153"/>
      <c r="BY4209" s="153"/>
      <c r="BZ4209" s="153"/>
      <c r="CA4209" s="152"/>
      <c r="CB4209" s="152"/>
    </row>
    <row r="4210" spans="1:80" s="87" customFormat="1" x14ac:dyDescent="0.2">
      <c r="A4210" s="252" t="s">
        <v>580</v>
      </c>
      <c r="B4210" s="683"/>
      <c r="C4210" s="683"/>
      <c r="D4210" s="292"/>
      <c r="E4210" s="215"/>
      <c r="F4210" s="215"/>
      <c r="G4210" s="153"/>
      <c r="H4210" s="153"/>
      <c r="I4210" s="164">
        <v>21</v>
      </c>
      <c r="J4210" s="164">
        <v>30</v>
      </c>
      <c r="K4210" s="150">
        <v>1</v>
      </c>
      <c r="L4210" s="656">
        <v>10.5</v>
      </c>
      <c r="M4210" s="663">
        <v>34481</v>
      </c>
      <c r="N4210" s="600">
        <v>0.78991999999999996</v>
      </c>
      <c r="O4210" s="604">
        <v>5.6700000000000001E-4</v>
      </c>
      <c r="P4210" s="250"/>
      <c r="Q4210" s="250"/>
      <c r="R4210" s="250"/>
      <c r="S4210" s="250"/>
      <c r="T4210" s="250"/>
      <c r="U4210" s="250">
        <v>1.29E-2</v>
      </c>
      <c r="V4210" s="250">
        <v>0.1134020618556701</v>
      </c>
      <c r="W4210" s="250">
        <v>0.40979381443298968</v>
      </c>
      <c r="X4210" s="250">
        <v>0.44329896907216493</v>
      </c>
      <c r="Y4210" s="250">
        <v>2.0618556701030931E-2</v>
      </c>
      <c r="Z4210" s="150">
        <v>3.1</v>
      </c>
      <c r="AA4210" s="150">
        <v>0.53</v>
      </c>
      <c r="AB4210" s="152"/>
      <c r="AC4210" s="152"/>
      <c r="AD4210" s="223">
        <v>6.8577750000000002</v>
      </c>
      <c r="AE4210" s="223">
        <v>0.26516729999999999</v>
      </c>
      <c r="AF4210" s="223">
        <v>1.81886452</v>
      </c>
      <c r="AG4210" s="223">
        <v>0.4388976</v>
      </c>
      <c r="AH4210" s="341"/>
      <c r="AI4210" s="218"/>
      <c r="AJ4210" s="218"/>
      <c r="AK4210" s="153"/>
      <c r="AL4210" s="152"/>
      <c r="AM4210" s="152"/>
      <c r="AN4210" s="152"/>
      <c r="AO4210" s="152"/>
      <c r="AP4210" s="152"/>
      <c r="AQ4210" s="152"/>
      <c r="AR4210" s="152"/>
      <c r="AS4210" s="152"/>
      <c r="AT4210" s="152"/>
      <c r="AU4210" s="153"/>
      <c r="AV4210" s="479"/>
      <c r="AW4210" s="479"/>
      <c r="AX4210" s="442"/>
      <c r="AY4210" s="153"/>
      <c r="AZ4210" s="152"/>
      <c r="BA4210" s="152"/>
      <c r="BB4210" s="152"/>
      <c r="BC4210" s="152"/>
      <c r="BD4210" s="152"/>
      <c r="BE4210" s="152"/>
      <c r="BF4210" s="152"/>
      <c r="BG4210" s="152"/>
      <c r="BH4210" s="152"/>
      <c r="BI4210" s="153"/>
      <c r="BJ4210" s="153"/>
      <c r="BK4210" s="153"/>
      <c r="BL4210" s="153"/>
      <c r="BM4210" s="153"/>
      <c r="BN4210" s="153"/>
      <c r="BO4210" s="153"/>
      <c r="BP4210" s="153"/>
      <c r="BQ4210" s="153"/>
      <c r="BR4210" s="153"/>
      <c r="BS4210" s="153"/>
      <c r="BT4210" s="153"/>
      <c r="BU4210" s="153"/>
      <c r="BV4210" s="153"/>
      <c r="BW4210" s="153"/>
      <c r="BX4210" s="153"/>
      <c r="BY4210" s="153"/>
      <c r="BZ4210" s="153"/>
      <c r="CA4210" s="152"/>
      <c r="CB4210" s="152"/>
    </row>
    <row r="4211" spans="1:80" s="87" customFormat="1" x14ac:dyDescent="0.2">
      <c r="A4211" s="252" t="s">
        <v>580</v>
      </c>
      <c r="B4211" s="683"/>
      <c r="C4211" s="683"/>
      <c r="D4211" s="292"/>
      <c r="E4211" s="215"/>
      <c r="F4211" s="215"/>
      <c r="G4211" s="153"/>
      <c r="H4211" s="153"/>
      <c r="I4211" s="164">
        <v>21</v>
      </c>
      <c r="J4211" s="164">
        <v>30</v>
      </c>
      <c r="K4211" s="150">
        <v>1</v>
      </c>
      <c r="L4211" s="656">
        <v>10.5</v>
      </c>
      <c r="M4211" s="663">
        <v>34485</v>
      </c>
      <c r="N4211" s="600">
        <v>0.68233999999999995</v>
      </c>
      <c r="O4211" s="604">
        <v>8.4900000000000004E-4</v>
      </c>
      <c r="P4211" s="250"/>
      <c r="Q4211" s="250"/>
      <c r="R4211" s="250"/>
      <c r="S4211" s="250"/>
      <c r="T4211" s="250"/>
      <c r="U4211" s="250">
        <v>5.7599999999999998E-2</v>
      </c>
      <c r="V4211" s="250">
        <v>0.36101694915254234</v>
      </c>
      <c r="W4211" s="250">
        <v>0.44406779661016949</v>
      </c>
      <c r="X4211" s="250">
        <v>0.13220338983050847</v>
      </c>
      <c r="Y4211" s="250">
        <v>5.084745762711864E-3</v>
      </c>
      <c r="Z4211" s="150">
        <v>3.9</v>
      </c>
      <c r="AA4211" s="150">
        <v>0.89</v>
      </c>
      <c r="AB4211" s="152"/>
      <c r="AC4211" s="152"/>
      <c r="AD4211" s="223">
        <v>6.8882539999999999</v>
      </c>
      <c r="AE4211" s="223">
        <v>0.25297570000000003</v>
      </c>
      <c r="AF4211" s="223">
        <v>1.74269144</v>
      </c>
      <c r="AG4211" s="223">
        <v>0.3931791</v>
      </c>
      <c r="AH4211" s="341"/>
      <c r="AI4211" s="218"/>
      <c r="AJ4211" s="218"/>
      <c r="AK4211" s="153"/>
      <c r="AL4211" s="152"/>
      <c r="AM4211" s="152"/>
      <c r="AN4211" s="152"/>
      <c r="AO4211" s="152"/>
      <c r="AP4211" s="152"/>
      <c r="AQ4211" s="152"/>
      <c r="AR4211" s="152"/>
      <c r="AS4211" s="152"/>
      <c r="AT4211" s="152"/>
      <c r="AU4211" s="153"/>
      <c r="AV4211" s="479"/>
      <c r="AW4211" s="479"/>
      <c r="AX4211" s="442"/>
      <c r="AY4211" s="153"/>
      <c r="AZ4211" s="152"/>
      <c r="BA4211" s="152"/>
      <c r="BB4211" s="152"/>
      <c r="BC4211" s="152"/>
      <c r="BD4211" s="152"/>
      <c r="BE4211" s="152"/>
      <c r="BF4211" s="152"/>
      <c r="BG4211" s="152"/>
      <c r="BH4211" s="152"/>
      <c r="BI4211" s="153"/>
      <c r="BJ4211" s="153"/>
      <c r="BK4211" s="153"/>
      <c r="BL4211" s="153"/>
      <c r="BM4211" s="153"/>
      <c r="BN4211" s="153"/>
      <c r="BO4211" s="153"/>
      <c r="BP4211" s="153"/>
      <c r="BQ4211" s="153"/>
      <c r="BR4211" s="153"/>
      <c r="BS4211" s="153"/>
      <c r="BT4211" s="153"/>
      <c r="BU4211" s="153"/>
      <c r="BV4211" s="153"/>
      <c r="BW4211" s="153"/>
      <c r="BX4211" s="153"/>
      <c r="BY4211" s="153"/>
      <c r="BZ4211" s="153"/>
      <c r="CA4211" s="152"/>
      <c r="CB4211" s="152"/>
    </row>
    <row r="4212" spans="1:80" s="87" customFormat="1" x14ac:dyDescent="0.2">
      <c r="A4212" s="252" t="s">
        <v>580</v>
      </c>
      <c r="B4212" s="683"/>
      <c r="C4212" s="683"/>
      <c r="D4212" s="292"/>
      <c r="E4212" s="215"/>
      <c r="F4212" s="215"/>
      <c r="G4212" s="153"/>
      <c r="H4212" s="153"/>
      <c r="I4212" s="164">
        <v>21</v>
      </c>
      <c r="J4212" s="164">
        <v>30</v>
      </c>
      <c r="K4212" s="150">
        <v>1</v>
      </c>
      <c r="L4212" s="656">
        <v>10.5</v>
      </c>
      <c r="M4212" s="663">
        <v>34485</v>
      </c>
      <c r="N4212" s="600">
        <v>0.68233999999999995</v>
      </c>
      <c r="O4212" s="604">
        <v>1.73E-4</v>
      </c>
      <c r="P4212" s="250"/>
      <c r="Q4212" s="250"/>
      <c r="R4212" s="250"/>
      <c r="S4212" s="250"/>
      <c r="T4212" s="250">
        <v>0.1008</v>
      </c>
      <c r="U4212" s="250">
        <v>6.7199999999999996E-2</v>
      </c>
      <c r="V4212" s="250">
        <v>8.403361344537813E-2</v>
      </c>
      <c r="W4212" s="250">
        <v>0.29411764705882348</v>
      </c>
      <c r="X4212" s="250">
        <v>0.42857142857142849</v>
      </c>
      <c r="Y4212" s="250">
        <v>2.5210084033613439E-2</v>
      </c>
      <c r="Z4212" s="150">
        <v>5.2</v>
      </c>
      <c r="AA4212" s="150">
        <v>0.54</v>
      </c>
      <c r="AB4212" s="152"/>
      <c r="AC4212" s="152"/>
      <c r="AD4212" s="223">
        <v>6.8882539999999999</v>
      </c>
      <c r="AE4212" s="223">
        <v>0.25297570000000003</v>
      </c>
      <c r="AF4212" s="223">
        <v>1.74269144</v>
      </c>
      <c r="AG4212" s="223">
        <v>0.3931791</v>
      </c>
      <c r="AH4212" s="341"/>
      <c r="AI4212" s="218"/>
      <c r="AJ4212" s="218"/>
      <c r="AK4212" s="153"/>
      <c r="AL4212" s="152"/>
      <c r="AM4212" s="152"/>
      <c r="AN4212" s="152"/>
      <c r="AO4212" s="152"/>
      <c r="AP4212" s="152"/>
      <c r="AQ4212" s="152"/>
      <c r="AR4212" s="152"/>
      <c r="AS4212" s="152"/>
      <c r="AT4212" s="152"/>
      <c r="AU4212" s="153"/>
      <c r="AV4212" s="479"/>
      <c r="AW4212" s="479"/>
      <c r="AX4212" s="442"/>
      <c r="AY4212" s="153"/>
      <c r="AZ4212" s="152"/>
      <c r="BA4212" s="152"/>
      <c r="BB4212" s="152"/>
      <c r="BC4212" s="152"/>
      <c r="BD4212" s="152"/>
      <c r="BE4212" s="152"/>
      <c r="BF4212" s="152"/>
      <c r="BG4212" s="152"/>
      <c r="BH4212" s="152"/>
      <c r="BI4212" s="153"/>
      <c r="BJ4212" s="153"/>
      <c r="BK4212" s="153"/>
      <c r="BL4212" s="153"/>
      <c r="BM4212" s="153"/>
      <c r="BN4212" s="153"/>
      <c r="BO4212" s="153"/>
      <c r="BP4212" s="153"/>
      <c r="BQ4212" s="153"/>
      <c r="BR4212" s="153"/>
      <c r="BS4212" s="153"/>
      <c r="BT4212" s="153"/>
      <c r="BU4212" s="153"/>
      <c r="BV4212" s="153"/>
      <c r="BW4212" s="153"/>
      <c r="BX4212" s="153"/>
      <c r="BY4212" s="153"/>
      <c r="BZ4212" s="153"/>
      <c r="CA4212" s="152"/>
      <c r="CB4212" s="152"/>
    </row>
    <row r="4213" spans="1:80" s="87" customFormat="1" x14ac:dyDescent="0.2">
      <c r="A4213" s="252" t="s">
        <v>580</v>
      </c>
      <c r="B4213" s="683"/>
      <c r="C4213" s="683"/>
      <c r="D4213" s="292"/>
      <c r="E4213" s="215"/>
      <c r="F4213" s="215"/>
      <c r="G4213" s="153"/>
      <c r="H4213" s="153"/>
      <c r="I4213" s="164">
        <v>21</v>
      </c>
      <c r="J4213" s="164">
        <v>30</v>
      </c>
      <c r="K4213" s="150">
        <v>1</v>
      </c>
      <c r="L4213" s="656">
        <v>10.5</v>
      </c>
      <c r="M4213" s="663">
        <v>34488</v>
      </c>
      <c r="N4213" s="600">
        <v>0.64270000000000005</v>
      </c>
      <c r="O4213" s="604">
        <v>4.2700000000000002E-4</v>
      </c>
      <c r="P4213" s="250"/>
      <c r="Q4213" s="250"/>
      <c r="R4213" s="250"/>
      <c r="S4213" s="250"/>
      <c r="T4213" s="250">
        <v>4.9500000000000002E-2</v>
      </c>
      <c r="U4213" s="250">
        <v>3.3000000000000002E-2</v>
      </c>
      <c r="V4213" s="250">
        <v>0.13861386138613863</v>
      </c>
      <c r="W4213" s="250">
        <v>0.44224422442244232</v>
      </c>
      <c r="X4213" s="250">
        <v>0.32673267326732669</v>
      </c>
      <c r="Y4213" s="250">
        <v>9.9009900990099028E-3</v>
      </c>
      <c r="Z4213" s="150">
        <v>5.8</v>
      </c>
      <c r="AA4213" s="150">
        <v>0.62</v>
      </c>
      <c r="AB4213" s="152"/>
      <c r="AC4213" s="152"/>
      <c r="AD4213" s="223">
        <v>6.7663380000000002</v>
      </c>
      <c r="AE4213" s="223">
        <v>0.25602360000000002</v>
      </c>
      <c r="AF4213" s="223">
        <v>1.7324731</v>
      </c>
      <c r="AG4213" s="223">
        <v>0.3718438</v>
      </c>
      <c r="AH4213" s="341"/>
      <c r="AI4213" s="218"/>
      <c r="AJ4213" s="218"/>
      <c r="AK4213" s="153"/>
      <c r="AL4213" s="152"/>
      <c r="AM4213" s="152"/>
      <c r="AN4213" s="152"/>
      <c r="AO4213" s="152"/>
      <c r="AP4213" s="152"/>
      <c r="AQ4213" s="152"/>
      <c r="AR4213" s="152"/>
      <c r="AS4213" s="152"/>
      <c r="AT4213" s="152"/>
      <c r="AU4213" s="153"/>
      <c r="AV4213" s="479"/>
      <c r="AW4213" s="479"/>
      <c r="AX4213" s="442"/>
      <c r="AY4213" s="153"/>
      <c r="AZ4213" s="152"/>
      <c r="BA4213" s="152"/>
      <c r="BB4213" s="152"/>
      <c r="BC4213" s="152"/>
      <c r="BD4213" s="152"/>
      <c r="BE4213" s="152"/>
      <c r="BF4213" s="152"/>
      <c r="BG4213" s="152"/>
      <c r="BH4213" s="152"/>
      <c r="BI4213" s="153"/>
      <c r="BJ4213" s="153"/>
      <c r="BK4213" s="153"/>
      <c r="BL4213" s="153"/>
      <c r="BM4213" s="153"/>
      <c r="BN4213" s="153"/>
      <c r="BO4213" s="153"/>
      <c r="BP4213" s="153"/>
      <c r="BQ4213" s="153"/>
      <c r="BR4213" s="153"/>
      <c r="BS4213" s="153"/>
      <c r="BT4213" s="153"/>
      <c r="BU4213" s="153"/>
      <c r="BV4213" s="153"/>
      <c r="BW4213" s="153"/>
      <c r="BX4213" s="153"/>
      <c r="BY4213" s="153"/>
      <c r="BZ4213" s="153"/>
      <c r="CA4213" s="152"/>
      <c r="CB4213" s="152"/>
    </row>
    <row r="4214" spans="1:80" s="87" customFormat="1" x14ac:dyDescent="0.2">
      <c r="A4214" s="252" t="s">
        <v>580</v>
      </c>
      <c r="B4214" s="683"/>
      <c r="C4214" s="683"/>
      <c r="D4214" s="292"/>
      <c r="E4214" s="215"/>
      <c r="F4214" s="215"/>
      <c r="G4214" s="153"/>
      <c r="H4214" s="153"/>
      <c r="I4214" s="164">
        <v>21</v>
      </c>
      <c r="J4214" s="164">
        <v>30</v>
      </c>
      <c r="K4214" s="150">
        <v>1</v>
      </c>
      <c r="L4214" s="656">
        <v>10.5</v>
      </c>
      <c r="M4214" s="663">
        <v>34488</v>
      </c>
      <c r="N4214" s="600">
        <v>0.64270000000000005</v>
      </c>
      <c r="O4214" s="604">
        <v>2.8400000000000002E-4</v>
      </c>
      <c r="P4214" s="250"/>
      <c r="Q4214" s="250"/>
      <c r="R4214" s="250"/>
      <c r="S4214" s="250"/>
      <c r="T4214" s="250"/>
      <c r="U4214" s="250">
        <v>3.9800000000000002E-2</v>
      </c>
      <c r="V4214" s="250">
        <v>0.10945273631840796</v>
      </c>
      <c r="W4214" s="250">
        <v>0.46268656716417911</v>
      </c>
      <c r="X4214" s="250">
        <v>0.37313432835820898</v>
      </c>
      <c r="Y4214" s="250">
        <v>1.492537313432836E-2</v>
      </c>
      <c r="Z4214" s="150">
        <v>4</v>
      </c>
      <c r="AA4214" s="150">
        <v>0.56999999999999995</v>
      </c>
      <c r="AB4214" s="152"/>
      <c r="AC4214" s="152"/>
      <c r="AD4214" s="223">
        <v>6.7663380000000002</v>
      </c>
      <c r="AE4214" s="223">
        <v>0.25602360000000002</v>
      </c>
      <c r="AF4214" s="223">
        <v>1.7324731</v>
      </c>
      <c r="AG4214" s="223">
        <v>0.3718438</v>
      </c>
      <c r="AH4214" s="341"/>
      <c r="AI4214" s="218"/>
      <c r="AJ4214" s="218"/>
      <c r="AK4214" s="153"/>
      <c r="AL4214" s="152"/>
      <c r="AM4214" s="152"/>
      <c r="AN4214" s="152"/>
      <c r="AO4214" s="152"/>
      <c r="AP4214" s="152"/>
      <c r="AQ4214" s="152"/>
      <c r="AR4214" s="152"/>
      <c r="AS4214" s="152"/>
      <c r="AT4214" s="152"/>
      <c r="AU4214" s="153"/>
      <c r="AV4214" s="479"/>
      <c r="AW4214" s="479"/>
      <c r="AX4214" s="442"/>
      <c r="AY4214" s="153"/>
      <c r="AZ4214" s="152"/>
      <c r="BA4214" s="152"/>
      <c r="BB4214" s="152"/>
      <c r="BC4214" s="152"/>
      <c r="BD4214" s="152"/>
      <c r="BE4214" s="152"/>
      <c r="BF4214" s="152"/>
      <c r="BG4214" s="152"/>
      <c r="BH4214" s="152"/>
      <c r="BI4214" s="153"/>
      <c r="BJ4214" s="153"/>
      <c r="BK4214" s="153"/>
      <c r="BL4214" s="153"/>
      <c r="BM4214" s="153"/>
      <c r="BN4214" s="153"/>
      <c r="BO4214" s="153"/>
      <c r="BP4214" s="153"/>
      <c r="BQ4214" s="153"/>
      <c r="BR4214" s="153"/>
      <c r="BS4214" s="153"/>
      <c r="BT4214" s="153"/>
      <c r="BU4214" s="153"/>
      <c r="BV4214" s="153"/>
      <c r="BW4214" s="153"/>
      <c r="BX4214" s="153"/>
      <c r="BY4214" s="153"/>
      <c r="BZ4214" s="153"/>
      <c r="CA4214" s="152"/>
      <c r="CB4214" s="152"/>
    </row>
    <row r="4215" spans="1:80" s="87" customFormat="1" x14ac:dyDescent="0.2">
      <c r="A4215" s="252" t="s">
        <v>580</v>
      </c>
      <c r="B4215" s="683"/>
      <c r="C4215" s="683"/>
      <c r="D4215" s="292"/>
      <c r="E4215" s="215"/>
      <c r="F4215" s="215"/>
      <c r="G4215" s="153"/>
      <c r="H4215" s="153"/>
      <c r="I4215" s="164">
        <v>22</v>
      </c>
      <c r="J4215" s="164">
        <v>30</v>
      </c>
      <c r="K4215" s="150">
        <v>1</v>
      </c>
      <c r="L4215" s="656">
        <v>11</v>
      </c>
      <c r="M4215" s="663">
        <v>34494</v>
      </c>
      <c r="N4215" s="600">
        <v>0.48132000000000003</v>
      </c>
      <c r="O4215" s="604">
        <v>1.36E-5</v>
      </c>
      <c r="P4215" s="250"/>
      <c r="Q4215" s="250"/>
      <c r="R4215" s="250"/>
      <c r="S4215" s="250"/>
      <c r="T4215" s="250"/>
      <c r="U4215" s="250"/>
      <c r="V4215" s="250">
        <v>0.25</v>
      </c>
      <c r="W4215" s="250">
        <v>0.25</v>
      </c>
      <c r="X4215" s="250">
        <v>0.375</v>
      </c>
      <c r="Y4215" s="250">
        <v>0.125</v>
      </c>
      <c r="Z4215" s="150">
        <v>2.1</v>
      </c>
      <c r="AA4215" s="150">
        <v>0.5</v>
      </c>
      <c r="AB4215" s="152"/>
      <c r="AC4215" s="152"/>
      <c r="AD4215" s="223">
        <v>6.4005900000000002</v>
      </c>
      <c r="AE4215" s="223">
        <v>0.2407841</v>
      </c>
      <c r="AF4215" s="223">
        <v>1.54111146</v>
      </c>
      <c r="AG4215" s="223">
        <v>0.31393369999999998</v>
      </c>
      <c r="AH4215" s="341"/>
      <c r="AI4215" s="218"/>
      <c r="AJ4215" s="218"/>
      <c r="AK4215" s="153"/>
      <c r="AL4215" s="152"/>
      <c r="AM4215" s="152"/>
      <c r="AN4215" s="152"/>
      <c r="AO4215" s="152"/>
      <c r="AP4215" s="152"/>
      <c r="AQ4215" s="152"/>
      <c r="AR4215" s="152"/>
      <c r="AS4215" s="152"/>
      <c r="AT4215" s="152"/>
      <c r="AU4215" s="153"/>
      <c r="AV4215" s="479"/>
      <c r="AW4215" s="479"/>
      <c r="AX4215" s="442"/>
      <c r="AY4215" s="153"/>
      <c r="AZ4215" s="152"/>
      <c r="BA4215" s="152"/>
      <c r="BB4215" s="152"/>
      <c r="BC4215" s="152"/>
      <c r="BD4215" s="152"/>
      <c r="BE4215" s="152"/>
      <c r="BF4215" s="152"/>
      <c r="BG4215" s="152"/>
      <c r="BH4215" s="152"/>
      <c r="BI4215" s="153"/>
      <c r="BJ4215" s="153"/>
      <c r="BK4215" s="153"/>
      <c r="BL4215" s="153"/>
      <c r="BM4215" s="153"/>
      <c r="BN4215" s="153"/>
      <c r="BO4215" s="153"/>
      <c r="BP4215" s="153"/>
      <c r="BQ4215" s="153"/>
      <c r="BR4215" s="153"/>
      <c r="BS4215" s="153"/>
      <c r="BT4215" s="153"/>
      <c r="BU4215" s="153"/>
      <c r="BV4215" s="153"/>
      <c r="BW4215" s="153"/>
      <c r="BX4215" s="153"/>
      <c r="BY4215" s="153"/>
      <c r="BZ4215" s="153"/>
      <c r="CA4215" s="152"/>
      <c r="CB4215" s="152"/>
    </row>
    <row r="4216" spans="1:80" s="87" customFormat="1" x14ac:dyDescent="0.2">
      <c r="A4216" s="252" t="s">
        <v>580</v>
      </c>
      <c r="B4216" s="683"/>
      <c r="C4216" s="683"/>
      <c r="D4216" s="292"/>
      <c r="E4216" s="215"/>
      <c r="F4216" s="215"/>
      <c r="G4216" s="153"/>
      <c r="H4216" s="153"/>
      <c r="I4216" s="164">
        <v>22</v>
      </c>
      <c r="J4216" s="164">
        <v>30</v>
      </c>
      <c r="K4216" s="150">
        <v>1</v>
      </c>
      <c r="L4216" s="656">
        <v>11</v>
      </c>
      <c r="M4216" s="663">
        <v>34494</v>
      </c>
      <c r="N4216" s="600">
        <v>0.48132000000000003</v>
      </c>
      <c r="O4216" s="604">
        <v>2.0999999999999998E-6</v>
      </c>
      <c r="P4216" s="250"/>
      <c r="Q4216" s="250"/>
      <c r="R4216" s="250"/>
      <c r="S4216" s="250"/>
      <c r="T4216" s="250"/>
      <c r="U4216" s="250"/>
      <c r="V4216" s="250">
        <v>0</v>
      </c>
      <c r="W4216" s="250">
        <v>0.5</v>
      </c>
      <c r="X4216" s="250">
        <v>0</v>
      </c>
      <c r="Y4216" s="250">
        <v>0.5</v>
      </c>
      <c r="Z4216" s="150">
        <v>0.8</v>
      </c>
      <c r="AA4216" s="150">
        <v>0.25</v>
      </c>
      <c r="AB4216" s="152"/>
      <c r="AC4216" s="152"/>
      <c r="AD4216" s="223">
        <v>6.4005900000000002</v>
      </c>
      <c r="AE4216" s="223">
        <v>0.2407841</v>
      </c>
      <c r="AF4216" s="223">
        <v>1.54111146</v>
      </c>
      <c r="AG4216" s="223">
        <v>0.31393369999999998</v>
      </c>
      <c r="AH4216" s="341"/>
      <c r="AI4216" s="218"/>
      <c r="AJ4216" s="218"/>
      <c r="AK4216" s="153"/>
      <c r="AL4216" s="152"/>
      <c r="AM4216" s="152"/>
      <c r="AN4216" s="152"/>
      <c r="AO4216" s="152"/>
      <c r="AP4216" s="152"/>
      <c r="AQ4216" s="152"/>
      <c r="AR4216" s="152"/>
      <c r="AS4216" s="152"/>
      <c r="AT4216" s="152"/>
      <c r="AU4216" s="153"/>
      <c r="AV4216" s="479"/>
      <c r="AW4216" s="479"/>
      <c r="AX4216" s="442"/>
      <c r="AY4216" s="153"/>
      <c r="AZ4216" s="152"/>
      <c r="BA4216" s="152"/>
      <c r="BB4216" s="152"/>
      <c r="BC4216" s="152"/>
      <c r="BD4216" s="152"/>
      <c r="BE4216" s="152"/>
      <c r="BF4216" s="152"/>
      <c r="BG4216" s="152"/>
      <c r="BH4216" s="152"/>
      <c r="BI4216" s="153"/>
      <c r="BJ4216" s="153"/>
      <c r="BK4216" s="153"/>
      <c r="BL4216" s="153"/>
      <c r="BM4216" s="153"/>
      <c r="BN4216" s="153"/>
      <c r="BO4216" s="153"/>
      <c r="BP4216" s="153"/>
      <c r="BQ4216" s="153"/>
      <c r="BR4216" s="153"/>
      <c r="BS4216" s="153"/>
      <c r="BT4216" s="153"/>
      <c r="BU4216" s="153"/>
      <c r="BV4216" s="153"/>
      <c r="BW4216" s="153"/>
      <c r="BX4216" s="153"/>
      <c r="BY4216" s="153"/>
      <c r="BZ4216" s="153"/>
      <c r="CA4216" s="152"/>
      <c r="CB4216" s="152"/>
    </row>
    <row r="4217" spans="1:80" s="87" customFormat="1" x14ac:dyDescent="0.2">
      <c r="A4217" s="252" t="s">
        <v>580</v>
      </c>
      <c r="B4217" s="683"/>
      <c r="C4217" s="683"/>
      <c r="D4217" s="292"/>
      <c r="E4217" s="215"/>
      <c r="F4217" s="215"/>
      <c r="G4217" s="153"/>
      <c r="H4217" s="153"/>
      <c r="I4217" s="164">
        <v>22</v>
      </c>
      <c r="J4217" s="164">
        <v>30</v>
      </c>
      <c r="K4217" s="150">
        <v>1</v>
      </c>
      <c r="L4217" s="656">
        <v>11</v>
      </c>
      <c r="M4217" s="663">
        <v>34497</v>
      </c>
      <c r="N4217" s="600">
        <v>0.39921000000000001</v>
      </c>
      <c r="O4217" s="604">
        <v>3.57E-5</v>
      </c>
      <c r="P4217" s="250"/>
      <c r="Q4217" s="250"/>
      <c r="R4217" s="250"/>
      <c r="S4217" s="250"/>
      <c r="T4217" s="250"/>
      <c r="U4217" s="250">
        <v>7.1399999999999991E-2</v>
      </c>
      <c r="V4217" s="250">
        <v>0.39285714285714279</v>
      </c>
      <c r="W4217" s="250">
        <v>0.21428571428571427</v>
      </c>
      <c r="X4217" s="250">
        <v>0.25</v>
      </c>
      <c r="Y4217" s="250">
        <v>7.1428571428571425E-2</v>
      </c>
      <c r="Z4217" s="150">
        <v>2.8</v>
      </c>
      <c r="AA4217" s="150">
        <v>0.89</v>
      </c>
      <c r="AB4217" s="152"/>
      <c r="AC4217" s="152"/>
      <c r="AD4217" s="223">
        <v>6.3396319999999999</v>
      </c>
      <c r="AE4217" s="223">
        <v>0.2285925</v>
      </c>
      <c r="AF4217" s="223">
        <v>1.4491464000000001</v>
      </c>
      <c r="AG4217" s="223">
        <v>0.27431100000000003</v>
      </c>
      <c r="AH4217" s="341"/>
      <c r="AI4217" s="218"/>
      <c r="AJ4217" s="218"/>
      <c r="AK4217" s="153"/>
      <c r="AL4217" s="152"/>
      <c r="AM4217" s="152"/>
      <c r="AN4217" s="152"/>
      <c r="AO4217" s="152"/>
      <c r="AP4217" s="152"/>
      <c r="AQ4217" s="152"/>
      <c r="AR4217" s="152"/>
      <c r="AS4217" s="152"/>
      <c r="AT4217" s="152"/>
      <c r="AU4217" s="153"/>
      <c r="AV4217" s="479"/>
      <c r="AW4217" s="479"/>
      <c r="AX4217" s="442"/>
      <c r="AY4217" s="153"/>
      <c r="AZ4217" s="152"/>
      <c r="BA4217" s="152"/>
      <c r="BB4217" s="152"/>
      <c r="BC4217" s="152"/>
      <c r="BD4217" s="152"/>
      <c r="BE4217" s="152"/>
      <c r="BF4217" s="152"/>
      <c r="BG4217" s="152"/>
      <c r="BH4217" s="152"/>
      <c r="BI4217" s="153"/>
      <c r="BJ4217" s="153"/>
      <c r="BK4217" s="153"/>
      <c r="BL4217" s="153"/>
      <c r="BM4217" s="153"/>
      <c r="BN4217" s="153"/>
      <c r="BO4217" s="153"/>
      <c r="BP4217" s="153"/>
      <c r="BQ4217" s="153"/>
      <c r="BR4217" s="153"/>
      <c r="BS4217" s="153"/>
      <c r="BT4217" s="153"/>
      <c r="BU4217" s="153"/>
      <c r="BV4217" s="153"/>
      <c r="BW4217" s="153"/>
      <c r="BX4217" s="153"/>
      <c r="BY4217" s="153"/>
      <c r="BZ4217" s="153"/>
      <c r="CA4217" s="152"/>
      <c r="CB4217" s="152"/>
    </row>
    <row r="4218" spans="1:80" s="87" customFormat="1" x14ac:dyDescent="0.2">
      <c r="A4218" s="252" t="s">
        <v>580</v>
      </c>
      <c r="B4218" s="683"/>
      <c r="C4218" s="683"/>
      <c r="D4218" s="292"/>
      <c r="E4218" s="215"/>
      <c r="F4218" s="215"/>
      <c r="G4218" s="153"/>
      <c r="H4218" s="153"/>
      <c r="I4218" s="164">
        <v>22</v>
      </c>
      <c r="J4218" s="164">
        <v>30</v>
      </c>
      <c r="K4218" s="150">
        <v>1</v>
      </c>
      <c r="L4218" s="656">
        <v>11</v>
      </c>
      <c r="M4218" s="663">
        <v>34497</v>
      </c>
      <c r="N4218" s="600">
        <v>0.39921000000000001</v>
      </c>
      <c r="O4218" s="604">
        <v>2.94E-5</v>
      </c>
      <c r="P4218" s="250"/>
      <c r="Q4218" s="250"/>
      <c r="R4218" s="250"/>
      <c r="S4218" s="250"/>
      <c r="T4218" s="250"/>
      <c r="U4218" s="250"/>
      <c r="V4218" s="250">
        <v>0.21052631578947367</v>
      </c>
      <c r="W4218" s="250">
        <v>0.47368421052631576</v>
      </c>
      <c r="X4218" s="250">
        <v>0.26315789473684209</v>
      </c>
      <c r="Y4218" s="250">
        <v>5.2631578947368418E-2</v>
      </c>
      <c r="Z4218" s="150">
        <v>1.3</v>
      </c>
      <c r="AA4218" s="150">
        <v>0.61</v>
      </c>
      <c r="AB4218" s="152"/>
      <c r="AC4218" s="152"/>
      <c r="AD4218" s="223">
        <v>6.3396319999999999</v>
      </c>
      <c r="AE4218" s="223">
        <v>0.2285925</v>
      </c>
      <c r="AF4218" s="223">
        <v>1.4491464000000001</v>
      </c>
      <c r="AG4218" s="223">
        <v>0.27431100000000003</v>
      </c>
      <c r="AH4218" s="341"/>
      <c r="AI4218" s="218"/>
      <c r="AJ4218" s="218"/>
      <c r="AK4218" s="153"/>
      <c r="AL4218" s="152"/>
      <c r="AM4218" s="152"/>
      <c r="AN4218" s="152"/>
      <c r="AO4218" s="152"/>
      <c r="AP4218" s="152"/>
      <c r="AQ4218" s="152"/>
      <c r="AR4218" s="152"/>
      <c r="AS4218" s="152"/>
      <c r="AT4218" s="152"/>
      <c r="AU4218" s="153"/>
      <c r="AV4218" s="479"/>
      <c r="AW4218" s="479"/>
      <c r="AX4218" s="442"/>
      <c r="AY4218" s="153"/>
      <c r="AZ4218" s="152"/>
      <c r="BA4218" s="152"/>
      <c r="BB4218" s="152"/>
      <c r="BC4218" s="152"/>
      <c r="BD4218" s="152"/>
      <c r="BE4218" s="152"/>
      <c r="BF4218" s="152"/>
      <c r="BG4218" s="152"/>
      <c r="BH4218" s="152"/>
      <c r="BI4218" s="153"/>
      <c r="BJ4218" s="153"/>
      <c r="BK4218" s="153"/>
      <c r="BL4218" s="153"/>
      <c r="BM4218" s="153"/>
      <c r="BN4218" s="153"/>
      <c r="BO4218" s="153"/>
      <c r="BP4218" s="153"/>
      <c r="BQ4218" s="153"/>
      <c r="BR4218" s="153"/>
      <c r="BS4218" s="153"/>
      <c r="BT4218" s="153"/>
      <c r="BU4218" s="153"/>
      <c r="BV4218" s="153"/>
      <c r="BW4218" s="153"/>
      <c r="BX4218" s="153"/>
      <c r="BY4218" s="153"/>
      <c r="BZ4218" s="153"/>
      <c r="CA4218" s="152"/>
      <c r="CB4218" s="152"/>
    </row>
    <row r="4219" spans="1:80" s="87" customFormat="1" x14ac:dyDescent="0.2">
      <c r="A4219" s="252" t="s">
        <v>580</v>
      </c>
      <c r="B4219" s="683"/>
      <c r="C4219" s="683"/>
      <c r="D4219" s="292"/>
      <c r="E4219" s="215"/>
      <c r="F4219" s="215"/>
      <c r="G4219" s="153"/>
      <c r="H4219" s="153"/>
      <c r="I4219" s="164">
        <v>21</v>
      </c>
      <c r="J4219" s="164">
        <v>30</v>
      </c>
      <c r="K4219" s="150">
        <v>1</v>
      </c>
      <c r="L4219" s="656">
        <v>10.5</v>
      </c>
      <c r="M4219" s="663">
        <v>34629</v>
      </c>
      <c r="N4219" s="600">
        <v>0.13958000000000001</v>
      </c>
      <c r="O4219" s="604">
        <v>1.26E-5</v>
      </c>
      <c r="P4219" s="250"/>
      <c r="Q4219" s="250"/>
      <c r="R4219" s="250"/>
      <c r="S4219" s="250"/>
      <c r="T4219" s="250"/>
      <c r="U4219" s="250"/>
      <c r="V4219" s="250">
        <v>0.22222222222222221</v>
      </c>
      <c r="W4219" s="250">
        <v>0.38888888888888884</v>
      </c>
      <c r="X4219" s="250">
        <v>0.38888888888888884</v>
      </c>
      <c r="Y4219" s="250">
        <v>0</v>
      </c>
      <c r="Z4219" s="150">
        <v>2.2999999999999998</v>
      </c>
      <c r="AA4219" s="150">
        <v>0.56999999999999995</v>
      </c>
      <c r="AB4219" s="152"/>
      <c r="AC4219" s="152"/>
      <c r="AD4219" s="223">
        <v>3.2917320000000001</v>
      </c>
      <c r="AE4219" s="223">
        <v>0.31088579999999999</v>
      </c>
      <c r="AF4219" s="223">
        <v>1.0236918800000001</v>
      </c>
      <c r="AG4219" s="223">
        <v>0.13715550000000001</v>
      </c>
      <c r="AH4219" s="341"/>
      <c r="AI4219" s="218"/>
      <c r="AJ4219" s="218"/>
      <c r="AK4219" s="153"/>
      <c r="AL4219" s="152"/>
      <c r="AM4219" s="152"/>
      <c r="AN4219" s="152"/>
      <c r="AO4219" s="152"/>
      <c r="AP4219" s="152"/>
      <c r="AQ4219" s="152"/>
      <c r="AR4219" s="152"/>
      <c r="AS4219" s="152"/>
      <c r="AT4219" s="152"/>
      <c r="AU4219" s="153"/>
      <c r="AV4219" s="479"/>
      <c r="AW4219" s="479"/>
      <c r="AX4219" s="442"/>
      <c r="AY4219" s="153"/>
      <c r="AZ4219" s="152"/>
      <c r="BA4219" s="152"/>
      <c r="BB4219" s="152"/>
      <c r="BC4219" s="152"/>
      <c r="BD4219" s="152"/>
      <c r="BE4219" s="152"/>
      <c r="BF4219" s="152"/>
      <c r="BG4219" s="152"/>
      <c r="BH4219" s="152"/>
      <c r="BI4219" s="153"/>
      <c r="BJ4219" s="153"/>
      <c r="BK4219" s="153"/>
      <c r="BL4219" s="153"/>
      <c r="BM4219" s="153"/>
      <c r="BN4219" s="153"/>
      <c r="BO4219" s="153"/>
      <c r="BP4219" s="153"/>
      <c r="BQ4219" s="153"/>
      <c r="BR4219" s="153"/>
      <c r="BS4219" s="153"/>
      <c r="BT4219" s="153"/>
      <c r="BU4219" s="153"/>
      <c r="BV4219" s="153"/>
      <c r="BW4219" s="153"/>
      <c r="BX4219" s="153"/>
      <c r="BY4219" s="153"/>
      <c r="BZ4219" s="153"/>
      <c r="CA4219" s="152"/>
      <c r="CB4219" s="152"/>
    </row>
    <row r="4220" spans="1:80" s="87" customFormat="1" x14ac:dyDescent="0.2">
      <c r="A4220" s="252" t="s">
        <v>580</v>
      </c>
      <c r="B4220" s="683"/>
      <c r="C4220" s="683"/>
      <c r="D4220" s="292"/>
      <c r="E4220" s="215"/>
      <c r="F4220" s="215"/>
      <c r="G4220" s="153"/>
      <c r="H4220" s="153"/>
      <c r="I4220" s="164">
        <v>21</v>
      </c>
      <c r="J4220" s="164">
        <v>30</v>
      </c>
      <c r="K4220" s="150">
        <v>1</v>
      </c>
      <c r="L4220" s="656">
        <v>10.5</v>
      </c>
      <c r="M4220" s="663">
        <v>34629</v>
      </c>
      <c r="N4220" s="600">
        <v>0.13958000000000001</v>
      </c>
      <c r="O4220" s="604">
        <v>5.2500000000000002E-5</v>
      </c>
      <c r="P4220" s="250"/>
      <c r="Q4220" s="250"/>
      <c r="R4220" s="250"/>
      <c r="S4220" s="250"/>
      <c r="T4220" s="250"/>
      <c r="U4220" s="250"/>
      <c r="V4220" s="250">
        <v>4.2253521126760563E-2</v>
      </c>
      <c r="W4220" s="250">
        <v>0.39436619718309857</v>
      </c>
      <c r="X4220" s="250">
        <v>0.49295774647887319</v>
      </c>
      <c r="Y4220" s="250">
        <v>7.0422535211267595E-2</v>
      </c>
      <c r="Z4220" s="150">
        <v>2.2999999999999998</v>
      </c>
      <c r="AA4220" s="150">
        <v>0.46</v>
      </c>
      <c r="AB4220" s="152"/>
      <c r="AC4220" s="152"/>
      <c r="AD4220" s="223">
        <v>3.2917320000000001</v>
      </c>
      <c r="AE4220" s="223">
        <v>0.31088579999999999</v>
      </c>
      <c r="AF4220" s="223">
        <v>1.0236918800000001</v>
      </c>
      <c r="AG4220" s="223">
        <v>0.13715550000000001</v>
      </c>
      <c r="AH4220" s="341"/>
      <c r="AI4220" s="218"/>
      <c r="AJ4220" s="218"/>
      <c r="AK4220" s="153"/>
      <c r="AL4220" s="152"/>
      <c r="AM4220" s="152"/>
      <c r="AN4220" s="152"/>
      <c r="AO4220" s="152"/>
      <c r="AP4220" s="152"/>
      <c r="AQ4220" s="152"/>
      <c r="AR4220" s="152"/>
      <c r="AS4220" s="152"/>
      <c r="AT4220" s="152"/>
      <c r="AU4220" s="153"/>
      <c r="AV4220" s="479"/>
      <c r="AW4220" s="479"/>
      <c r="AX4220" s="442"/>
      <c r="AY4220" s="153"/>
      <c r="AZ4220" s="152"/>
      <c r="BA4220" s="152"/>
      <c r="BB4220" s="152"/>
      <c r="BC4220" s="152"/>
      <c r="BD4220" s="152"/>
      <c r="BE4220" s="152"/>
      <c r="BF4220" s="152"/>
      <c r="BG4220" s="152"/>
      <c r="BH4220" s="152"/>
      <c r="BI4220" s="153"/>
      <c r="BJ4220" s="153"/>
      <c r="BK4220" s="153"/>
      <c r="BL4220" s="153"/>
      <c r="BM4220" s="153"/>
      <c r="BN4220" s="153"/>
      <c r="BO4220" s="153"/>
      <c r="BP4220" s="153"/>
      <c r="BQ4220" s="153"/>
      <c r="BR4220" s="153"/>
      <c r="BS4220" s="153"/>
      <c r="BT4220" s="153"/>
      <c r="BU4220" s="153"/>
      <c r="BV4220" s="153"/>
      <c r="BW4220" s="153"/>
      <c r="BX4220" s="153"/>
      <c r="BY4220" s="153"/>
      <c r="BZ4220" s="153"/>
      <c r="CA4220" s="152"/>
      <c r="CB4220" s="152"/>
    </row>
    <row r="4221" spans="1:80" s="87" customFormat="1" x14ac:dyDescent="0.2">
      <c r="A4221" s="252" t="s">
        <v>580</v>
      </c>
      <c r="B4221" s="683"/>
      <c r="C4221" s="683"/>
      <c r="D4221" s="292"/>
      <c r="E4221" s="215"/>
      <c r="F4221" s="215"/>
      <c r="G4221" s="153"/>
      <c r="H4221" s="153"/>
      <c r="I4221" s="164">
        <v>23</v>
      </c>
      <c r="J4221" s="164">
        <v>60</v>
      </c>
      <c r="K4221" s="150">
        <v>1</v>
      </c>
      <c r="L4221" s="656">
        <v>23</v>
      </c>
      <c r="M4221" s="663">
        <v>34815</v>
      </c>
      <c r="N4221" s="600">
        <v>0.80125000000000002</v>
      </c>
      <c r="O4221" s="604">
        <v>7.7879999999999998E-3</v>
      </c>
      <c r="P4221" s="250"/>
      <c r="Q4221" s="250"/>
      <c r="R4221" s="250"/>
      <c r="S4221" s="250">
        <v>2.3700000000000002E-2</v>
      </c>
      <c r="T4221" s="250">
        <v>9.820000000000001E-2</v>
      </c>
      <c r="U4221" s="250">
        <v>6.9000000000000006E-2</v>
      </c>
      <c r="V4221" s="250">
        <v>0.14522855507400445</v>
      </c>
      <c r="W4221" s="250">
        <v>0.38784855670946117</v>
      </c>
      <c r="X4221" s="250">
        <v>0.26265434622618372</v>
      </c>
      <c r="Y4221" s="250">
        <v>1.3328972115463245E-2</v>
      </c>
      <c r="Z4221" s="150">
        <v>11</v>
      </c>
      <c r="AA4221" s="150">
        <v>0.7</v>
      </c>
      <c r="AB4221" s="152"/>
      <c r="AC4221" s="152"/>
      <c r="AD4221" s="223">
        <v>6.7053799999999999</v>
      </c>
      <c r="AE4221" s="223">
        <v>0.31088579999999999</v>
      </c>
      <c r="AF4221" s="223">
        <v>2.0845413599999998</v>
      </c>
      <c r="AG4221" s="223">
        <v>0.38403540000000003</v>
      </c>
      <c r="AH4221" s="341"/>
      <c r="AI4221" s="218"/>
      <c r="AJ4221" s="218"/>
      <c r="AK4221" s="153"/>
      <c r="AL4221" s="152"/>
      <c r="AM4221" s="152"/>
      <c r="AN4221" s="152"/>
      <c r="AO4221" s="152"/>
      <c r="AP4221" s="152"/>
      <c r="AQ4221" s="152"/>
      <c r="AR4221" s="152"/>
      <c r="AS4221" s="152"/>
      <c r="AT4221" s="152"/>
      <c r="AU4221" s="153"/>
      <c r="AV4221" s="479"/>
      <c r="AW4221" s="479"/>
      <c r="AX4221" s="442"/>
      <c r="AY4221" s="153"/>
      <c r="AZ4221" s="152"/>
      <c r="BA4221" s="152"/>
      <c r="BB4221" s="152"/>
      <c r="BC4221" s="152"/>
      <c r="BD4221" s="152"/>
      <c r="BE4221" s="152"/>
      <c r="BF4221" s="152"/>
      <c r="BG4221" s="152"/>
      <c r="BH4221" s="152"/>
      <c r="BI4221" s="153"/>
      <c r="BJ4221" s="153"/>
      <c r="BK4221" s="153"/>
      <c r="BL4221" s="153"/>
      <c r="BM4221" s="153"/>
      <c r="BN4221" s="153"/>
      <c r="BO4221" s="153"/>
      <c r="BP4221" s="153"/>
      <c r="BQ4221" s="153"/>
      <c r="BR4221" s="153"/>
      <c r="BS4221" s="153"/>
      <c r="BT4221" s="153"/>
      <c r="BU4221" s="153"/>
      <c r="BV4221" s="153"/>
      <c r="BW4221" s="153"/>
      <c r="BX4221" s="153"/>
      <c r="BY4221" s="153"/>
      <c r="BZ4221" s="153"/>
      <c r="CA4221" s="152"/>
      <c r="CB4221" s="152"/>
    </row>
    <row r="4222" spans="1:80" s="87" customFormat="1" x14ac:dyDescent="0.2">
      <c r="A4222" s="252" t="s">
        <v>580</v>
      </c>
      <c r="B4222" s="683"/>
      <c r="C4222" s="683"/>
      <c r="D4222" s="292"/>
      <c r="E4222" s="215"/>
      <c r="F4222" s="215"/>
      <c r="G4222" s="153"/>
      <c r="H4222" s="153"/>
      <c r="I4222" s="164">
        <v>23</v>
      </c>
      <c r="J4222" s="164">
        <v>60</v>
      </c>
      <c r="K4222" s="150">
        <v>1</v>
      </c>
      <c r="L4222" s="656">
        <v>23</v>
      </c>
      <c r="M4222" s="663">
        <v>34815</v>
      </c>
      <c r="N4222" s="600">
        <v>0.80125000000000002</v>
      </c>
      <c r="O4222" s="604">
        <v>9.2890000000000004E-3</v>
      </c>
      <c r="P4222" s="250"/>
      <c r="Q4222" s="250"/>
      <c r="R4222" s="250"/>
      <c r="S4222" s="250"/>
      <c r="T4222" s="250">
        <v>2.3199999999999998E-2</v>
      </c>
      <c r="U4222" s="250">
        <v>9.1600000000000001E-2</v>
      </c>
      <c r="V4222" s="250">
        <v>0.15872471717517997</v>
      </c>
      <c r="W4222" s="250">
        <v>0.38813849845731924</v>
      </c>
      <c r="X4222" s="250">
        <v>0.31827219746314711</v>
      </c>
      <c r="Y4222" s="250">
        <v>2.0089132670551936E-2</v>
      </c>
      <c r="Z4222" s="150">
        <v>7</v>
      </c>
      <c r="AA4222" s="150">
        <v>0.63</v>
      </c>
      <c r="AB4222" s="152"/>
      <c r="AC4222" s="152"/>
      <c r="AD4222" s="223">
        <v>6.7053799999999999</v>
      </c>
      <c r="AE4222" s="223">
        <v>0.31088579999999999</v>
      </c>
      <c r="AF4222" s="223">
        <v>2.0845413599999998</v>
      </c>
      <c r="AG4222" s="223">
        <v>0.38403540000000003</v>
      </c>
      <c r="AH4222" s="341"/>
      <c r="AI4222" s="218"/>
      <c r="AJ4222" s="218"/>
      <c r="AK4222" s="153"/>
      <c r="AL4222" s="152"/>
      <c r="AM4222" s="152"/>
      <c r="AN4222" s="152"/>
      <c r="AO4222" s="152"/>
      <c r="AP4222" s="152"/>
      <c r="AQ4222" s="152"/>
      <c r="AR4222" s="152"/>
      <c r="AS4222" s="152"/>
      <c r="AT4222" s="152"/>
      <c r="AU4222" s="153"/>
      <c r="AV4222" s="479"/>
      <c r="AW4222" s="479"/>
      <c r="AX4222" s="442"/>
      <c r="AY4222" s="153"/>
      <c r="AZ4222" s="152"/>
      <c r="BA4222" s="152"/>
      <c r="BB4222" s="152"/>
      <c r="BC4222" s="152"/>
      <c r="BD4222" s="152"/>
      <c r="BE4222" s="152"/>
      <c r="BF4222" s="152"/>
      <c r="BG4222" s="152"/>
      <c r="BH4222" s="152"/>
      <c r="BI4222" s="153"/>
      <c r="BJ4222" s="153"/>
      <c r="BK4222" s="153"/>
      <c r="BL4222" s="153"/>
      <c r="BM4222" s="153"/>
      <c r="BN4222" s="153"/>
      <c r="BO4222" s="153"/>
      <c r="BP4222" s="153"/>
      <c r="BQ4222" s="153"/>
      <c r="BR4222" s="153"/>
      <c r="BS4222" s="153"/>
      <c r="BT4222" s="153"/>
      <c r="BU4222" s="153"/>
      <c r="BV4222" s="153"/>
      <c r="BW4222" s="153"/>
      <c r="BX4222" s="153"/>
      <c r="BY4222" s="153"/>
      <c r="BZ4222" s="153"/>
      <c r="CA4222" s="152"/>
      <c r="CB4222" s="152"/>
    </row>
    <row r="4223" spans="1:80" s="87" customFormat="1" x14ac:dyDescent="0.2">
      <c r="A4223" s="252" t="s">
        <v>580</v>
      </c>
      <c r="B4223" s="683"/>
      <c r="C4223" s="683"/>
      <c r="D4223" s="292"/>
      <c r="E4223" s="215"/>
      <c r="F4223" s="215"/>
      <c r="G4223" s="153"/>
      <c r="H4223" s="153"/>
      <c r="I4223" s="164">
        <v>23</v>
      </c>
      <c r="J4223" s="164">
        <v>60</v>
      </c>
      <c r="K4223" s="150">
        <v>1</v>
      </c>
      <c r="L4223" s="656">
        <v>23</v>
      </c>
      <c r="M4223" s="663">
        <v>34818</v>
      </c>
      <c r="N4223" s="600">
        <v>0.92298999999999998</v>
      </c>
      <c r="O4223" s="604">
        <v>4.2820000000000002E-3</v>
      </c>
      <c r="P4223" s="250"/>
      <c r="Q4223" s="250"/>
      <c r="R4223" s="250"/>
      <c r="S4223" s="250"/>
      <c r="T4223" s="250"/>
      <c r="U4223" s="250">
        <v>3.0499999999999999E-2</v>
      </c>
      <c r="V4223" s="250">
        <v>0.20578525389089763</v>
      </c>
      <c r="W4223" s="250">
        <v>0.46612167898129214</v>
      </c>
      <c r="X4223" s="250">
        <v>0.27637163967929568</v>
      </c>
      <c r="Y4223" s="250">
        <v>2.1223078132369122E-2</v>
      </c>
      <c r="Z4223" s="150">
        <v>4.5</v>
      </c>
      <c r="AA4223" s="150">
        <v>0.66</v>
      </c>
      <c r="AB4223" s="152"/>
      <c r="AC4223" s="152"/>
      <c r="AD4223" s="223">
        <v>7.1016069999999996</v>
      </c>
      <c r="AE4223" s="223">
        <v>0.31393369999999998</v>
      </c>
      <c r="AF4223" s="223">
        <v>2.2294559999999999</v>
      </c>
      <c r="AG4223" s="223">
        <v>0.41451440000000001</v>
      </c>
      <c r="AH4223" s="341"/>
      <c r="AI4223" s="218"/>
      <c r="AJ4223" s="218"/>
      <c r="AK4223" s="153"/>
      <c r="AL4223" s="152"/>
      <c r="AM4223" s="152"/>
      <c r="AN4223" s="152"/>
      <c r="AO4223" s="152"/>
      <c r="AP4223" s="152"/>
      <c r="AQ4223" s="152"/>
      <c r="AR4223" s="152"/>
      <c r="AS4223" s="152"/>
      <c r="AT4223" s="152"/>
      <c r="AU4223" s="153"/>
      <c r="AV4223" s="479"/>
      <c r="AW4223" s="479"/>
      <c r="AX4223" s="442"/>
      <c r="AY4223" s="153"/>
      <c r="AZ4223" s="152"/>
      <c r="BA4223" s="152"/>
      <c r="BB4223" s="152"/>
      <c r="BC4223" s="152"/>
      <c r="BD4223" s="152"/>
      <c r="BE4223" s="152"/>
      <c r="BF4223" s="152"/>
      <c r="BG4223" s="152"/>
      <c r="BH4223" s="152"/>
      <c r="BI4223" s="153"/>
      <c r="BJ4223" s="153"/>
      <c r="BK4223" s="153"/>
      <c r="BL4223" s="153"/>
      <c r="BM4223" s="153"/>
      <c r="BN4223" s="153"/>
      <c r="BO4223" s="153"/>
      <c r="BP4223" s="153"/>
      <c r="BQ4223" s="153"/>
      <c r="BR4223" s="153"/>
      <c r="BS4223" s="153"/>
      <c r="BT4223" s="153"/>
      <c r="BU4223" s="153"/>
      <c r="BV4223" s="153"/>
      <c r="BW4223" s="153"/>
      <c r="BX4223" s="153"/>
      <c r="BY4223" s="153"/>
      <c r="BZ4223" s="153"/>
      <c r="CA4223" s="152"/>
      <c r="CB4223" s="152"/>
    </row>
    <row r="4224" spans="1:80" s="87" customFormat="1" x14ac:dyDescent="0.2">
      <c r="A4224" s="252" t="s">
        <v>580</v>
      </c>
      <c r="B4224" s="683"/>
      <c r="C4224" s="683"/>
      <c r="D4224" s="292"/>
      <c r="E4224" s="215"/>
      <c r="F4224" s="215"/>
      <c r="G4224" s="153"/>
      <c r="H4224" s="153"/>
      <c r="I4224" s="164">
        <v>23</v>
      </c>
      <c r="J4224" s="164">
        <v>60</v>
      </c>
      <c r="K4224" s="150">
        <v>1</v>
      </c>
      <c r="L4224" s="656">
        <v>23</v>
      </c>
      <c r="M4224" s="663">
        <v>34818</v>
      </c>
      <c r="N4224" s="600">
        <v>0.92298999999999998</v>
      </c>
      <c r="O4224" s="604">
        <v>4.2820000000000002E-3</v>
      </c>
      <c r="P4224" s="250"/>
      <c r="Q4224" s="250"/>
      <c r="R4224" s="250"/>
      <c r="S4224" s="250"/>
      <c r="T4224" s="250">
        <v>2.1700000000000001E-2</v>
      </c>
      <c r="U4224" s="250">
        <v>6.5599999999999992E-2</v>
      </c>
      <c r="V4224" s="250">
        <v>0.29142407553107785</v>
      </c>
      <c r="W4224" s="250">
        <v>0.43933910306844998</v>
      </c>
      <c r="X4224" s="250">
        <v>0.16789929189614475</v>
      </c>
      <c r="Y4224" s="250">
        <v>1.4004720692368213E-2</v>
      </c>
      <c r="Z4224" s="150">
        <v>6</v>
      </c>
      <c r="AA4224" s="150">
        <v>0.84</v>
      </c>
      <c r="AB4224" s="152"/>
      <c r="AC4224" s="152"/>
      <c r="AD4224" s="223">
        <v>7.1016069999999996</v>
      </c>
      <c r="AE4224" s="223">
        <v>0.31393369999999998</v>
      </c>
      <c r="AF4224" s="223">
        <v>2.2294559999999999</v>
      </c>
      <c r="AG4224" s="223">
        <v>0.41451440000000001</v>
      </c>
      <c r="AH4224" s="341"/>
      <c r="AI4224" s="218"/>
      <c r="AJ4224" s="218"/>
      <c r="AK4224" s="153"/>
      <c r="AL4224" s="152"/>
      <c r="AM4224" s="152"/>
      <c r="AN4224" s="152"/>
      <c r="AO4224" s="152"/>
      <c r="AP4224" s="152"/>
      <c r="AQ4224" s="152"/>
      <c r="AR4224" s="152"/>
      <c r="AS4224" s="152"/>
      <c r="AT4224" s="152"/>
      <c r="AU4224" s="153"/>
      <c r="AV4224" s="479"/>
      <c r="AW4224" s="479"/>
      <c r="AX4224" s="442"/>
      <c r="AY4224" s="153"/>
      <c r="AZ4224" s="152"/>
      <c r="BA4224" s="152"/>
      <c r="BB4224" s="152"/>
      <c r="BC4224" s="152"/>
      <c r="BD4224" s="152"/>
      <c r="BE4224" s="152"/>
      <c r="BF4224" s="152"/>
      <c r="BG4224" s="152"/>
      <c r="BH4224" s="152"/>
      <c r="BI4224" s="153"/>
      <c r="BJ4224" s="153"/>
      <c r="BK4224" s="153"/>
      <c r="BL4224" s="153"/>
      <c r="BM4224" s="153"/>
      <c r="BN4224" s="153"/>
      <c r="BO4224" s="153"/>
      <c r="BP4224" s="153"/>
      <c r="BQ4224" s="153"/>
      <c r="BR4224" s="153"/>
      <c r="BS4224" s="153"/>
      <c r="BT4224" s="153"/>
      <c r="BU4224" s="153"/>
      <c r="BV4224" s="153"/>
      <c r="BW4224" s="153"/>
      <c r="BX4224" s="153"/>
      <c r="BY4224" s="153"/>
      <c r="BZ4224" s="153"/>
      <c r="CA4224" s="152"/>
      <c r="CB4224" s="152"/>
    </row>
    <row r="4225" spans="1:80" s="87" customFormat="1" x14ac:dyDescent="0.2">
      <c r="A4225" s="252" t="s">
        <v>580</v>
      </c>
      <c r="B4225" s="683"/>
      <c r="C4225" s="683"/>
      <c r="D4225" s="292"/>
      <c r="E4225" s="215"/>
      <c r="F4225" s="215"/>
      <c r="G4225" s="153"/>
      <c r="H4225" s="153"/>
      <c r="I4225" s="164">
        <v>24</v>
      </c>
      <c r="J4225" s="164">
        <v>60</v>
      </c>
      <c r="K4225" s="150">
        <v>1</v>
      </c>
      <c r="L4225" s="656">
        <v>24</v>
      </c>
      <c r="M4225" s="663">
        <v>34823</v>
      </c>
      <c r="N4225" s="600">
        <v>0.97113000000000005</v>
      </c>
      <c r="O4225" s="604">
        <v>6.5909999999999996E-3</v>
      </c>
      <c r="P4225" s="250"/>
      <c r="Q4225" s="250"/>
      <c r="R4225" s="250"/>
      <c r="S4225" s="250"/>
      <c r="T4225" s="250">
        <v>3.5999999999999999E-3</v>
      </c>
      <c r="U4225" s="250">
        <v>1.3999999999999999E-2</v>
      </c>
      <c r="V4225" s="250">
        <v>0.14846771794108896</v>
      </c>
      <c r="W4225" s="250">
        <v>0.53813349201626504</v>
      </c>
      <c r="X4225" s="250">
        <v>0.28483586234255681</v>
      </c>
      <c r="Y4225" s="250">
        <v>1.1008628384409405E-2</v>
      </c>
      <c r="Z4225" s="150">
        <v>6</v>
      </c>
      <c r="AA4225" s="150">
        <v>0.62</v>
      </c>
      <c r="AB4225" s="152"/>
      <c r="AC4225" s="152"/>
      <c r="AD4225" s="223">
        <v>7.1930440000000004</v>
      </c>
      <c r="AE4225" s="223">
        <v>0.32612530000000001</v>
      </c>
      <c r="AF4225" s="223">
        <v>2.3455735</v>
      </c>
      <c r="AG4225" s="223">
        <v>0.41451440000000001</v>
      </c>
      <c r="AH4225" s="341"/>
      <c r="AI4225" s="218"/>
      <c r="AJ4225" s="218"/>
      <c r="AK4225" s="153"/>
      <c r="AL4225" s="152"/>
      <c r="AM4225" s="152"/>
      <c r="AN4225" s="152"/>
      <c r="AO4225" s="152"/>
      <c r="AP4225" s="152"/>
      <c r="AQ4225" s="152"/>
      <c r="AR4225" s="152"/>
      <c r="AS4225" s="152"/>
      <c r="AT4225" s="152"/>
      <c r="AU4225" s="153"/>
      <c r="AV4225" s="479"/>
      <c r="AW4225" s="479"/>
      <c r="AX4225" s="442"/>
      <c r="AY4225" s="153"/>
      <c r="AZ4225" s="152"/>
      <c r="BA4225" s="152"/>
      <c r="BB4225" s="152"/>
      <c r="BC4225" s="152"/>
      <c r="BD4225" s="152"/>
      <c r="BE4225" s="152"/>
      <c r="BF4225" s="152"/>
      <c r="BG4225" s="152"/>
      <c r="BH4225" s="152"/>
      <c r="BI4225" s="153"/>
      <c r="BJ4225" s="153"/>
      <c r="BK4225" s="153"/>
      <c r="BL4225" s="153"/>
      <c r="BM4225" s="153"/>
      <c r="BN4225" s="153"/>
      <c r="BO4225" s="153"/>
      <c r="BP4225" s="153"/>
      <c r="BQ4225" s="153"/>
      <c r="BR4225" s="153"/>
      <c r="BS4225" s="153"/>
      <c r="BT4225" s="153"/>
      <c r="BU4225" s="153"/>
      <c r="BV4225" s="153"/>
      <c r="BW4225" s="153"/>
      <c r="BX4225" s="153"/>
      <c r="BY4225" s="153"/>
      <c r="BZ4225" s="153"/>
      <c r="CA4225" s="152"/>
      <c r="CB4225" s="152"/>
    </row>
    <row r="4226" spans="1:80" s="87" customFormat="1" x14ac:dyDescent="0.2">
      <c r="A4226" s="252" t="s">
        <v>580</v>
      </c>
      <c r="B4226" s="683"/>
      <c r="C4226" s="683"/>
      <c r="D4226" s="292"/>
      <c r="E4226" s="215"/>
      <c r="F4226" s="215"/>
      <c r="G4226" s="153"/>
      <c r="H4226" s="153"/>
      <c r="I4226" s="164">
        <v>24</v>
      </c>
      <c r="J4226" s="164">
        <v>60</v>
      </c>
      <c r="K4226" s="150">
        <v>1</v>
      </c>
      <c r="L4226" s="656">
        <v>24</v>
      </c>
      <c r="M4226" s="663">
        <v>34823</v>
      </c>
      <c r="N4226" s="600">
        <v>0.97113000000000005</v>
      </c>
      <c r="O4226" s="604">
        <v>4.2820000000000002E-3</v>
      </c>
      <c r="P4226" s="250"/>
      <c r="Q4226" s="250"/>
      <c r="R4226" s="250"/>
      <c r="S4226" s="250"/>
      <c r="T4226" s="250">
        <v>1.2199999999999999E-2</v>
      </c>
      <c r="U4226" s="250">
        <v>4.6699999999999998E-2</v>
      </c>
      <c r="V4226" s="250">
        <v>0.23510392609699768</v>
      </c>
      <c r="W4226" s="250">
        <v>0.41416474210931481</v>
      </c>
      <c r="X4226" s="250">
        <v>0.27698229407236336</v>
      </c>
      <c r="Y4226" s="250">
        <v>1.4934565050038491E-2</v>
      </c>
      <c r="Z4226" s="150">
        <v>8</v>
      </c>
      <c r="AA4226" s="150">
        <v>0.68</v>
      </c>
      <c r="AB4226" s="152"/>
      <c r="AC4226" s="152"/>
      <c r="AD4226" s="223">
        <v>7.1930440000000004</v>
      </c>
      <c r="AE4226" s="223">
        <v>0.32612530000000001</v>
      </c>
      <c r="AF4226" s="223">
        <v>2.3455735</v>
      </c>
      <c r="AG4226" s="223">
        <v>0.41451440000000001</v>
      </c>
      <c r="AH4226" s="341"/>
      <c r="AI4226" s="218"/>
      <c r="AJ4226" s="218"/>
      <c r="AK4226" s="153"/>
      <c r="AL4226" s="152"/>
      <c r="AM4226" s="152"/>
      <c r="AN4226" s="152"/>
      <c r="AO4226" s="152"/>
      <c r="AP4226" s="152"/>
      <c r="AQ4226" s="152"/>
      <c r="AR4226" s="152"/>
      <c r="AS4226" s="152"/>
      <c r="AT4226" s="152"/>
      <c r="AU4226" s="153"/>
      <c r="AV4226" s="479"/>
      <c r="AW4226" s="479"/>
      <c r="AX4226" s="442"/>
      <c r="AY4226" s="153"/>
      <c r="AZ4226" s="152"/>
      <c r="BA4226" s="152"/>
      <c r="BB4226" s="152"/>
      <c r="BC4226" s="152"/>
      <c r="BD4226" s="152"/>
      <c r="BE4226" s="152"/>
      <c r="BF4226" s="152"/>
      <c r="BG4226" s="152"/>
      <c r="BH4226" s="152"/>
      <c r="BI4226" s="153"/>
      <c r="BJ4226" s="153"/>
      <c r="BK4226" s="153"/>
      <c r="BL4226" s="153"/>
      <c r="BM4226" s="153"/>
      <c r="BN4226" s="153"/>
      <c r="BO4226" s="153"/>
      <c r="BP4226" s="153"/>
      <c r="BQ4226" s="153"/>
      <c r="BR4226" s="153"/>
      <c r="BS4226" s="153"/>
      <c r="BT4226" s="153"/>
      <c r="BU4226" s="153"/>
      <c r="BV4226" s="153"/>
      <c r="BW4226" s="153"/>
      <c r="BX4226" s="153"/>
      <c r="BY4226" s="153"/>
      <c r="BZ4226" s="153"/>
      <c r="CA4226" s="152"/>
      <c r="CB4226" s="152"/>
    </row>
    <row r="4227" spans="1:80" s="87" customFormat="1" x14ac:dyDescent="0.2">
      <c r="A4227" s="252" t="s">
        <v>580</v>
      </c>
      <c r="B4227" s="683"/>
      <c r="C4227" s="683"/>
      <c r="D4227" s="292"/>
      <c r="E4227" s="215"/>
      <c r="F4227" s="215"/>
      <c r="G4227" s="153"/>
      <c r="H4227" s="153"/>
      <c r="I4227" s="163">
        <v>24</v>
      </c>
      <c r="J4227" s="164">
        <v>60</v>
      </c>
      <c r="K4227" s="150">
        <v>1</v>
      </c>
      <c r="L4227" s="656">
        <v>24</v>
      </c>
      <c r="M4227" s="663">
        <v>34824</v>
      </c>
      <c r="N4227" s="600">
        <v>1.0107600000000001</v>
      </c>
      <c r="O4227" s="604">
        <v>5.4100000000000003E-4</v>
      </c>
      <c r="P4227" s="250"/>
      <c r="Q4227" s="250"/>
      <c r="R4227" s="250"/>
      <c r="S4227" s="250"/>
      <c r="T4227" s="250"/>
      <c r="U4227" s="250">
        <v>9.7999999999999997E-3</v>
      </c>
      <c r="V4227" s="250">
        <v>3.0637254901960786E-2</v>
      </c>
      <c r="W4227" s="250">
        <v>0.28553921568627449</v>
      </c>
      <c r="X4227" s="250">
        <v>0.62254901960784315</v>
      </c>
      <c r="Y4227" s="250">
        <v>5.1470588235294115E-2</v>
      </c>
      <c r="Z4227" s="150">
        <v>4.5</v>
      </c>
      <c r="AA4227" s="150">
        <v>0.44</v>
      </c>
      <c r="AB4227" s="152"/>
      <c r="AC4227" s="152"/>
      <c r="AD4227" s="223">
        <v>7.2844810000000004</v>
      </c>
      <c r="AE4227" s="223">
        <v>0.3291732</v>
      </c>
      <c r="AF4227" s="223">
        <v>2.3975941399999998</v>
      </c>
      <c r="AG4227" s="223">
        <v>0.42061019999999999</v>
      </c>
      <c r="AH4227" s="341"/>
      <c r="AI4227" s="218"/>
      <c r="AJ4227" s="218"/>
      <c r="AK4227" s="153"/>
      <c r="AL4227" s="152"/>
      <c r="AM4227" s="152"/>
      <c r="AN4227" s="152"/>
      <c r="AO4227" s="152"/>
      <c r="AP4227" s="152"/>
      <c r="AQ4227" s="152"/>
      <c r="AR4227" s="152"/>
      <c r="AS4227" s="152"/>
      <c r="AT4227" s="152"/>
      <c r="AU4227" s="153"/>
      <c r="AV4227" s="479"/>
      <c r="AW4227" s="479"/>
      <c r="AX4227" s="442"/>
      <c r="AY4227" s="153"/>
      <c r="AZ4227" s="152"/>
      <c r="BA4227" s="152"/>
      <c r="BB4227" s="152"/>
      <c r="BC4227" s="152"/>
      <c r="BD4227" s="152"/>
      <c r="BE4227" s="152"/>
      <c r="BF4227" s="152"/>
      <c r="BG4227" s="152"/>
      <c r="BH4227" s="152"/>
      <c r="BI4227" s="153"/>
      <c r="BJ4227" s="153"/>
      <c r="BK4227" s="153"/>
      <c r="BL4227" s="153"/>
      <c r="BM4227" s="153"/>
      <c r="BN4227" s="153"/>
      <c r="BO4227" s="153"/>
      <c r="BP4227" s="153"/>
      <c r="BQ4227" s="153"/>
      <c r="BR4227" s="153"/>
      <c r="BS4227" s="153"/>
      <c r="BT4227" s="153"/>
      <c r="BU4227" s="153"/>
      <c r="BV4227" s="153"/>
      <c r="BW4227" s="153"/>
      <c r="BX4227" s="153"/>
      <c r="BY4227" s="153"/>
      <c r="BZ4227" s="153"/>
      <c r="CA4227" s="152"/>
      <c r="CB4227" s="152"/>
    </row>
    <row r="4228" spans="1:80" s="87" customFormat="1" x14ac:dyDescent="0.2">
      <c r="A4228" s="252" t="s">
        <v>580</v>
      </c>
      <c r="B4228" s="683"/>
      <c r="C4228" s="683"/>
      <c r="D4228" s="292"/>
      <c r="E4228" s="215"/>
      <c r="F4228" s="215"/>
      <c r="G4228" s="153"/>
      <c r="H4228" s="153"/>
      <c r="I4228" s="163">
        <v>24</v>
      </c>
      <c r="J4228" s="164">
        <v>60</v>
      </c>
      <c r="K4228" s="150">
        <v>1</v>
      </c>
      <c r="L4228" s="656">
        <v>24</v>
      </c>
      <c r="M4228" s="663">
        <v>34824</v>
      </c>
      <c r="N4228" s="600">
        <v>1.0107600000000001</v>
      </c>
      <c r="O4228" s="604">
        <v>2.5609999999999999E-3</v>
      </c>
      <c r="P4228" s="250"/>
      <c r="Q4228" s="250"/>
      <c r="R4228" s="250"/>
      <c r="S4228" s="250"/>
      <c r="T4228" s="250">
        <v>1.1699999999999999E-2</v>
      </c>
      <c r="U4228" s="250">
        <v>3.3599999999999998E-2</v>
      </c>
      <c r="V4228" s="250">
        <v>0.17857142857142855</v>
      </c>
      <c r="W4228" s="250">
        <v>0.42361835245046919</v>
      </c>
      <c r="X4228" s="250">
        <v>0.33680917622523454</v>
      </c>
      <c r="Y4228" s="250">
        <v>1.5641293013555782E-2</v>
      </c>
      <c r="Z4228" s="150">
        <v>7</v>
      </c>
      <c r="AA4228" s="150">
        <v>0.61</v>
      </c>
      <c r="AB4228" s="152"/>
      <c r="AC4228" s="152"/>
      <c r="AD4228" s="223">
        <v>7.2844810000000004</v>
      </c>
      <c r="AE4228" s="223">
        <v>0.3291732</v>
      </c>
      <c r="AF4228" s="223">
        <v>2.3975941399999998</v>
      </c>
      <c r="AG4228" s="223">
        <v>0.42061019999999999</v>
      </c>
      <c r="AH4228" s="341"/>
      <c r="AI4228" s="218"/>
      <c r="AJ4228" s="218"/>
      <c r="AK4228" s="153"/>
      <c r="AL4228" s="152"/>
      <c r="AM4228" s="152"/>
      <c r="AN4228" s="152"/>
      <c r="AO4228" s="152"/>
      <c r="AP4228" s="152"/>
      <c r="AQ4228" s="152"/>
      <c r="AR4228" s="152"/>
      <c r="AS4228" s="152"/>
      <c r="AT4228" s="152"/>
      <c r="AU4228" s="153"/>
      <c r="AV4228" s="479"/>
      <c r="AW4228" s="479"/>
      <c r="AX4228" s="442"/>
      <c r="AY4228" s="153"/>
      <c r="AZ4228" s="152"/>
      <c r="BA4228" s="152"/>
      <c r="BB4228" s="152"/>
      <c r="BC4228" s="152"/>
      <c r="BD4228" s="152"/>
      <c r="BE4228" s="152"/>
      <c r="BF4228" s="152"/>
      <c r="BG4228" s="152"/>
      <c r="BH4228" s="152"/>
      <c r="BI4228" s="153"/>
      <c r="BJ4228" s="153"/>
      <c r="BK4228" s="153"/>
      <c r="BL4228" s="153"/>
      <c r="BM4228" s="153"/>
      <c r="BN4228" s="153"/>
      <c r="BO4228" s="153"/>
      <c r="BP4228" s="153"/>
      <c r="BQ4228" s="153"/>
      <c r="BR4228" s="153"/>
      <c r="BS4228" s="153"/>
      <c r="BT4228" s="153"/>
      <c r="BU4228" s="153"/>
      <c r="BV4228" s="153"/>
      <c r="BW4228" s="153"/>
      <c r="BX4228" s="153"/>
      <c r="BY4228" s="153"/>
      <c r="BZ4228" s="153"/>
      <c r="CA4228" s="152"/>
      <c r="CB4228" s="152"/>
    </row>
    <row r="4229" spans="1:80" s="87" customFormat="1" x14ac:dyDescent="0.2">
      <c r="A4229" s="252" t="s">
        <v>580</v>
      </c>
      <c r="B4229" s="683"/>
      <c r="C4229" s="683"/>
      <c r="D4229" s="292"/>
      <c r="E4229" s="215"/>
      <c r="F4229" s="215"/>
      <c r="G4229" s="153"/>
      <c r="H4229" s="153"/>
      <c r="I4229" s="164">
        <v>25</v>
      </c>
      <c r="J4229" s="164">
        <v>60</v>
      </c>
      <c r="K4229" s="150">
        <v>1</v>
      </c>
      <c r="L4229" s="656">
        <v>25</v>
      </c>
      <c r="M4229" s="663">
        <v>34825</v>
      </c>
      <c r="N4229" s="600">
        <v>1.3816600000000001</v>
      </c>
      <c r="O4229" s="604">
        <v>1.1124999999999999E-2</v>
      </c>
      <c r="P4229" s="250"/>
      <c r="Q4229" s="250"/>
      <c r="R4229" s="250"/>
      <c r="S4229" s="250"/>
      <c r="T4229" s="250">
        <v>4.7400000000000005E-2</v>
      </c>
      <c r="U4229" s="250">
        <v>5.4100000000000002E-2</v>
      </c>
      <c r="V4229" s="250">
        <v>0.14779030237967436</v>
      </c>
      <c r="W4229" s="250">
        <v>0.39190075744020997</v>
      </c>
      <c r="X4229" s="250">
        <v>0.33977455716586158</v>
      </c>
      <c r="Y4229" s="250">
        <v>1.908510765193535E-2</v>
      </c>
      <c r="Z4229" s="150">
        <v>9.5</v>
      </c>
      <c r="AA4229" s="150">
        <v>0.61</v>
      </c>
      <c r="AB4229" s="152"/>
      <c r="AC4229" s="152"/>
      <c r="AD4229" s="223">
        <v>7.4978340000000001</v>
      </c>
      <c r="AE4229" s="223">
        <v>0.37489169999999999</v>
      </c>
      <c r="AF4229" s="223">
        <v>2.81097244</v>
      </c>
      <c r="AG4229" s="223">
        <v>0.49071189999999998</v>
      </c>
      <c r="AH4229" s="341"/>
      <c r="AI4229" s="218"/>
      <c r="AJ4229" s="218"/>
      <c r="AK4229" s="153"/>
      <c r="AL4229" s="152"/>
      <c r="AM4229" s="152"/>
      <c r="AN4229" s="152"/>
      <c r="AO4229" s="152"/>
      <c r="AP4229" s="152"/>
      <c r="AQ4229" s="152"/>
      <c r="AR4229" s="152"/>
      <c r="AS4229" s="152"/>
      <c r="AT4229" s="152"/>
      <c r="AU4229" s="153"/>
      <c r="AV4229" s="479"/>
      <c r="AW4229" s="479"/>
      <c r="AX4229" s="442"/>
      <c r="AY4229" s="153"/>
      <c r="AZ4229" s="152"/>
      <c r="BA4229" s="152"/>
      <c r="BB4229" s="152"/>
      <c r="BC4229" s="152"/>
      <c r="BD4229" s="152"/>
      <c r="BE4229" s="152"/>
      <c r="BF4229" s="152"/>
      <c r="BG4229" s="152"/>
      <c r="BH4229" s="152"/>
      <c r="BI4229" s="153"/>
      <c r="BJ4229" s="153"/>
      <c r="BK4229" s="153"/>
      <c r="BL4229" s="153"/>
      <c r="BM4229" s="153"/>
      <c r="BN4229" s="153"/>
      <c r="BO4229" s="153"/>
      <c r="BP4229" s="153"/>
      <c r="BQ4229" s="153"/>
      <c r="BR4229" s="153"/>
      <c r="BS4229" s="153"/>
      <c r="BT4229" s="153"/>
      <c r="BU4229" s="153"/>
      <c r="BV4229" s="153"/>
      <c r="BW4229" s="153"/>
      <c r="BX4229" s="153"/>
      <c r="BY4229" s="153"/>
      <c r="BZ4229" s="153"/>
      <c r="CA4229" s="152"/>
      <c r="CB4229" s="152"/>
    </row>
    <row r="4230" spans="1:80" s="87" customFormat="1" x14ac:dyDescent="0.2">
      <c r="A4230" s="252" t="s">
        <v>580</v>
      </c>
      <c r="B4230" s="683"/>
      <c r="C4230" s="683"/>
      <c r="D4230" s="292"/>
      <c r="E4230" s="215"/>
      <c r="F4230" s="215"/>
      <c r="G4230" s="153"/>
      <c r="H4230" s="153"/>
      <c r="I4230" s="164">
        <v>25</v>
      </c>
      <c r="J4230" s="164">
        <v>60</v>
      </c>
      <c r="K4230" s="150">
        <v>1</v>
      </c>
      <c r="L4230" s="656">
        <v>25</v>
      </c>
      <c r="M4230" s="663">
        <v>34825</v>
      </c>
      <c r="N4230" s="600">
        <v>1.3816600000000001</v>
      </c>
      <c r="O4230" s="604">
        <v>2.2776000000000001E-2</v>
      </c>
      <c r="P4230" s="250"/>
      <c r="Q4230" s="250"/>
      <c r="R4230" s="250"/>
      <c r="S4230" s="250">
        <v>6.0000000000000001E-3</v>
      </c>
      <c r="T4230" s="250">
        <v>1.7000000000000001E-2</v>
      </c>
      <c r="U4230" s="250">
        <v>3.0899999999999997E-2</v>
      </c>
      <c r="V4230" s="250">
        <v>0.14419132408134769</v>
      </c>
      <c r="W4230" s="250">
        <v>0.41020045968985486</v>
      </c>
      <c r="X4230" s="250">
        <v>0.37237787669837952</v>
      </c>
      <c r="Y4230" s="250">
        <v>1.969683745017602E-2</v>
      </c>
      <c r="Z4230" s="150">
        <v>11.5</v>
      </c>
      <c r="AA4230" s="150">
        <v>0.57999999999999996</v>
      </c>
      <c r="AB4230" s="152"/>
      <c r="AC4230" s="152"/>
      <c r="AD4230" s="223">
        <v>7.4978340000000001</v>
      </c>
      <c r="AE4230" s="223">
        <v>0.37489169999999999</v>
      </c>
      <c r="AF4230" s="223">
        <v>2.81097244</v>
      </c>
      <c r="AG4230" s="223">
        <v>0.49071189999999998</v>
      </c>
      <c r="AH4230" s="341"/>
      <c r="AI4230" s="218"/>
      <c r="AJ4230" s="218"/>
      <c r="AK4230" s="153"/>
      <c r="AL4230" s="152"/>
      <c r="AM4230" s="152"/>
      <c r="AN4230" s="152"/>
      <c r="AO4230" s="152"/>
      <c r="AP4230" s="152"/>
      <c r="AQ4230" s="152"/>
      <c r="AR4230" s="152"/>
      <c r="AS4230" s="152"/>
      <c r="AT4230" s="152"/>
      <c r="AU4230" s="153"/>
      <c r="AV4230" s="479"/>
      <c r="AW4230" s="479"/>
      <c r="AX4230" s="442"/>
      <c r="AY4230" s="153"/>
      <c r="AZ4230" s="152"/>
      <c r="BA4230" s="152"/>
      <c r="BB4230" s="152"/>
      <c r="BC4230" s="152"/>
      <c r="BD4230" s="152"/>
      <c r="BE4230" s="152"/>
      <c r="BF4230" s="152"/>
      <c r="BG4230" s="152"/>
      <c r="BH4230" s="152"/>
      <c r="BI4230" s="153"/>
      <c r="BJ4230" s="153"/>
      <c r="BK4230" s="153"/>
      <c r="BL4230" s="153"/>
      <c r="BM4230" s="153"/>
      <c r="BN4230" s="153"/>
      <c r="BO4230" s="153"/>
      <c r="BP4230" s="153"/>
      <c r="BQ4230" s="153"/>
      <c r="BR4230" s="153"/>
      <c r="BS4230" s="153"/>
      <c r="BT4230" s="153"/>
      <c r="BU4230" s="153"/>
      <c r="BV4230" s="153"/>
      <c r="BW4230" s="153"/>
      <c r="BX4230" s="153"/>
      <c r="BY4230" s="153"/>
      <c r="BZ4230" s="153"/>
      <c r="CA4230" s="152"/>
      <c r="CB4230" s="152"/>
    </row>
    <row r="4231" spans="1:80" s="87" customFormat="1" x14ac:dyDescent="0.2">
      <c r="A4231" s="252" t="s">
        <v>580</v>
      </c>
      <c r="B4231" s="683"/>
      <c r="C4231" s="683"/>
      <c r="D4231" s="292"/>
      <c r="E4231" s="215"/>
      <c r="F4231" s="215"/>
      <c r="G4231" s="153"/>
      <c r="H4231" s="153"/>
      <c r="I4231" s="164">
        <v>22</v>
      </c>
      <c r="J4231" s="164">
        <v>60</v>
      </c>
      <c r="K4231" s="150">
        <v>1</v>
      </c>
      <c r="L4231" s="656">
        <v>22</v>
      </c>
      <c r="M4231" s="663">
        <v>34827</v>
      </c>
      <c r="N4231" s="600">
        <v>1.4439500000000001</v>
      </c>
      <c r="O4231" s="604">
        <v>1.8159999999999999E-3</v>
      </c>
      <c r="P4231" s="250"/>
      <c r="Q4231" s="250"/>
      <c r="R4231" s="250"/>
      <c r="S4231" s="250"/>
      <c r="T4231" s="250"/>
      <c r="U4231" s="250">
        <v>9.4999999999999998E-3</v>
      </c>
      <c r="V4231" s="250">
        <v>4.8033126293995865E-2</v>
      </c>
      <c r="W4231" s="250">
        <v>0.2939958592132505</v>
      </c>
      <c r="X4231" s="250">
        <v>0.60993788819875772</v>
      </c>
      <c r="Y4231" s="250">
        <v>3.850931677018634E-2</v>
      </c>
      <c r="Z4231" s="150">
        <v>3</v>
      </c>
      <c r="AA4231" s="150">
        <v>0.45</v>
      </c>
      <c r="AB4231" s="152"/>
      <c r="AC4231" s="152"/>
      <c r="AD4231" s="223">
        <v>7.5892710000000001</v>
      </c>
      <c r="AE4231" s="223">
        <v>0.38098749999999998</v>
      </c>
      <c r="AF4231" s="223">
        <v>2.8917902199999999</v>
      </c>
      <c r="AG4231" s="223">
        <v>0.49680770000000002</v>
      </c>
      <c r="AH4231" s="341"/>
      <c r="AI4231" s="218"/>
      <c r="AJ4231" s="218"/>
      <c r="AK4231" s="153"/>
      <c r="AL4231" s="152"/>
      <c r="AM4231" s="152"/>
      <c r="AN4231" s="152"/>
      <c r="AO4231" s="152"/>
      <c r="AP4231" s="152"/>
      <c r="AQ4231" s="152"/>
      <c r="AR4231" s="152"/>
      <c r="AS4231" s="152"/>
      <c r="AT4231" s="152"/>
      <c r="AU4231" s="153"/>
      <c r="AV4231" s="479"/>
      <c r="AW4231" s="479"/>
      <c r="AX4231" s="442"/>
      <c r="AY4231" s="153"/>
      <c r="AZ4231" s="152"/>
      <c r="BA4231" s="152"/>
      <c r="BB4231" s="152"/>
      <c r="BC4231" s="152"/>
      <c r="BD4231" s="152"/>
      <c r="BE4231" s="152"/>
      <c r="BF4231" s="152"/>
      <c r="BG4231" s="152"/>
      <c r="BH4231" s="152"/>
      <c r="BI4231" s="153"/>
      <c r="BJ4231" s="153"/>
      <c r="BK4231" s="153"/>
      <c r="BL4231" s="153"/>
      <c r="BM4231" s="153"/>
      <c r="BN4231" s="153"/>
      <c r="BO4231" s="153"/>
      <c r="BP4231" s="153"/>
      <c r="BQ4231" s="153"/>
      <c r="BR4231" s="153"/>
      <c r="BS4231" s="153"/>
      <c r="BT4231" s="153"/>
      <c r="BU4231" s="153"/>
      <c r="BV4231" s="153"/>
      <c r="BW4231" s="153"/>
      <c r="BX4231" s="153"/>
      <c r="BY4231" s="153"/>
      <c r="BZ4231" s="153"/>
      <c r="CA4231" s="152"/>
      <c r="CB4231" s="152"/>
    </row>
    <row r="4232" spans="1:80" s="87" customFormat="1" x14ac:dyDescent="0.2">
      <c r="A4232" s="252" t="s">
        <v>580</v>
      </c>
      <c r="B4232" s="683"/>
      <c r="C4232" s="683"/>
      <c r="D4232" s="292"/>
      <c r="E4232" s="215"/>
      <c r="F4232" s="215"/>
      <c r="G4232" s="153"/>
      <c r="H4232" s="153"/>
      <c r="I4232" s="163">
        <v>25</v>
      </c>
      <c r="J4232" s="164">
        <v>60</v>
      </c>
      <c r="K4232" s="150">
        <v>1</v>
      </c>
      <c r="L4232" s="656">
        <v>25</v>
      </c>
      <c r="M4232" s="663">
        <v>34828</v>
      </c>
      <c r="N4232" s="600">
        <v>1.56003</v>
      </c>
      <c r="O4232" s="604">
        <v>4.4710000000000001E-3</v>
      </c>
      <c r="P4232" s="250"/>
      <c r="Q4232" s="250"/>
      <c r="R4232" s="250"/>
      <c r="S4232" s="250"/>
      <c r="T4232" s="250"/>
      <c r="U4232" s="250">
        <v>1.7500000000000002E-2</v>
      </c>
      <c r="V4232" s="250">
        <v>0.16911764705882354</v>
      </c>
      <c r="W4232" s="250">
        <v>0.39966299019607843</v>
      </c>
      <c r="X4232" s="250">
        <v>0.38985906862745096</v>
      </c>
      <c r="Y4232" s="250">
        <v>2.389705882352941E-2</v>
      </c>
      <c r="Z4232" s="150">
        <v>4</v>
      </c>
      <c r="AA4232" s="150">
        <v>0.56999999999999995</v>
      </c>
      <c r="AB4232" s="152"/>
      <c r="AC4232" s="152"/>
      <c r="AD4232" s="223">
        <v>7.8026239999999998</v>
      </c>
      <c r="AE4232" s="223">
        <v>0.36574800000000002</v>
      </c>
      <c r="AF4232" s="223">
        <v>2.8537036800000002</v>
      </c>
      <c r="AG4232" s="223">
        <v>0.54557409999999995</v>
      </c>
      <c r="AH4232" s="341"/>
      <c r="AI4232" s="218"/>
      <c r="AJ4232" s="218"/>
      <c r="AK4232" s="153"/>
      <c r="AL4232" s="152"/>
      <c r="AM4232" s="152"/>
      <c r="AN4232" s="152"/>
      <c r="AO4232" s="152"/>
      <c r="AP4232" s="152"/>
      <c r="AQ4232" s="152"/>
      <c r="AR4232" s="152"/>
      <c r="AS4232" s="152"/>
      <c r="AT4232" s="152"/>
      <c r="AU4232" s="153"/>
      <c r="AV4232" s="479"/>
      <c r="AW4232" s="479"/>
      <c r="AX4232" s="442"/>
      <c r="AY4232" s="153"/>
      <c r="AZ4232" s="152"/>
      <c r="BA4232" s="152"/>
      <c r="BB4232" s="152"/>
      <c r="BC4232" s="152"/>
      <c r="BD4232" s="152"/>
      <c r="BE4232" s="152"/>
      <c r="BF4232" s="152"/>
      <c r="BG4232" s="152"/>
      <c r="BH4232" s="152"/>
      <c r="BI4232" s="153"/>
      <c r="BJ4232" s="153"/>
      <c r="BK4232" s="153"/>
      <c r="BL4232" s="153"/>
      <c r="BM4232" s="153"/>
      <c r="BN4232" s="153"/>
      <c r="BO4232" s="153"/>
      <c r="BP4232" s="153"/>
      <c r="BQ4232" s="153"/>
      <c r="BR4232" s="153"/>
      <c r="BS4232" s="153"/>
      <c r="BT4232" s="153"/>
      <c r="BU4232" s="153"/>
      <c r="BV4232" s="153"/>
      <c r="BW4232" s="153"/>
      <c r="BX4232" s="153"/>
      <c r="BY4232" s="153"/>
      <c r="BZ4232" s="153"/>
      <c r="CA4232" s="152"/>
      <c r="CB4232" s="152"/>
    </row>
    <row r="4233" spans="1:80" s="87" customFormat="1" x14ac:dyDescent="0.2">
      <c r="A4233" s="252" t="s">
        <v>580</v>
      </c>
      <c r="B4233" s="683"/>
      <c r="C4233" s="683"/>
      <c r="D4233" s="292"/>
      <c r="E4233" s="215"/>
      <c r="F4233" s="215"/>
      <c r="G4233" s="153"/>
      <c r="H4233" s="153"/>
      <c r="I4233" s="163">
        <v>25</v>
      </c>
      <c r="J4233" s="164">
        <v>60</v>
      </c>
      <c r="K4233" s="150">
        <v>1</v>
      </c>
      <c r="L4233" s="656">
        <v>25</v>
      </c>
      <c r="M4233" s="663">
        <v>34828</v>
      </c>
      <c r="N4233" s="600">
        <v>1.56003</v>
      </c>
      <c r="O4233" s="604">
        <v>6.6649999999999999E-3</v>
      </c>
      <c r="P4233" s="250"/>
      <c r="Q4233" s="250"/>
      <c r="R4233" s="250"/>
      <c r="S4233" s="250"/>
      <c r="T4233" s="250">
        <v>3.6200000000000003E-2</v>
      </c>
      <c r="U4233" s="250">
        <v>8.8499999999999995E-2</v>
      </c>
      <c r="V4233" s="250">
        <v>0.27766287487073427</v>
      </c>
      <c r="W4233" s="250">
        <v>0.3257497414684592</v>
      </c>
      <c r="X4233" s="250">
        <v>0.25180972078593589</v>
      </c>
      <c r="Y4233" s="250">
        <v>2.006204756980352E-2</v>
      </c>
      <c r="Z4233" s="150">
        <v>8.5</v>
      </c>
      <c r="AA4233" s="150">
        <v>0.81</v>
      </c>
      <c r="AB4233" s="152"/>
      <c r="AC4233" s="152"/>
      <c r="AD4233" s="223">
        <v>7.8026239999999998</v>
      </c>
      <c r="AE4233" s="223">
        <v>0.36574800000000002</v>
      </c>
      <c r="AF4233" s="223">
        <v>2.8537036800000002</v>
      </c>
      <c r="AG4233" s="223">
        <v>0.54557409999999995</v>
      </c>
      <c r="AH4233" s="341"/>
      <c r="AI4233" s="218"/>
      <c r="AJ4233" s="218"/>
      <c r="AK4233" s="153"/>
      <c r="AL4233" s="152"/>
      <c r="AM4233" s="152"/>
      <c r="AN4233" s="152"/>
      <c r="AO4233" s="152"/>
      <c r="AP4233" s="152"/>
      <c r="AQ4233" s="152"/>
      <c r="AR4233" s="152"/>
      <c r="AS4233" s="152"/>
      <c r="AT4233" s="152"/>
      <c r="AU4233" s="153"/>
      <c r="AV4233" s="479"/>
      <c r="AW4233" s="479"/>
      <c r="AX4233" s="442"/>
      <c r="AY4233" s="153"/>
      <c r="AZ4233" s="152"/>
      <c r="BA4233" s="152"/>
      <c r="BB4233" s="152"/>
      <c r="BC4233" s="152"/>
      <c r="BD4233" s="152"/>
      <c r="BE4233" s="152"/>
      <c r="BF4233" s="152"/>
      <c r="BG4233" s="152"/>
      <c r="BH4233" s="152"/>
      <c r="BI4233" s="153"/>
      <c r="BJ4233" s="153"/>
      <c r="BK4233" s="153"/>
      <c r="BL4233" s="153"/>
      <c r="BM4233" s="153"/>
      <c r="BN4233" s="153"/>
      <c r="BO4233" s="153"/>
      <c r="BP4233" s="153"/>
      <c r="BQ4233" s="153"/>
      <c r="BR4233" s="153"/>
      <c r="BS4233" s="153"/>
      <c r="BT4233" s="153"/>
      <c r="BU4233" s="153"/>
      <c r="BV4233" s="153"/>
      <c r="BW4233" s="153"/>
      <c r="BX4233" s="153"/>
      <c r="BY4233" s="153"/>
      <c r="BZ4233" s="153"/>
      <c r="CA4233" s="152"/>
      <c r="CB4233" s="152"/>
    </row>
    <row r="4234" spans="1:80" s="87" customFormat="1" x14ac:dyDescent="0.2">
      <c r="A4234" s="252" t="s">
        <v>580</v>
      </c>
      <c r="B4234" s="683"/>
      <c r="C4234" s="683"/>
      <c r="D4234" s="292"/>
      <c r="E4234" s="215"/>
      <c r="F4234" s="215"/>
      <c r="G4234" s="153"/>
      <c r="H4234" s="153"/>
      <c r="I4234" s="163">
        <v>22</v>
      </c>
      <c r="J4234" s="164">
        <v>60</v>
      </c>
      <c r="K4234" s="150">
        <v>1</v>
      </c>
      <c r="L4234" s="656">
        <v>22</v>
      </c>
      <c r="M4234" s="663">
        <v>34831</v>
      </c>
      <c r="N4234" s="600">
        <v>2.1687500000000002</v>
      </c>
      <c r="O4234" s="604">
        <v>9.0889999999999999E-3</v>
      </c>
      <c r="P4234" s="250"/>
      <c r="Q4234" s="250"/>
      <c r="R4234" s="250"/>
      <c r="S4234" s="250"/>
      <c r="T4234" s="250">
        <v>5.5000000000000005E-3</v>
      </c>
      <c r="U4234" s="250">
        <v>2.1099999999999997E-2</v>
      </c>
      <c r="V4234" s="250">
        <v>9.3668007696344258E-2</v>
      </c>
      <c r="W4234" s="250">
        <v>0.39548714360678688</v>
      </c>
      <c r="X4234" s="250">
        <v>0.4607311527024664</v>
      </c>
      <c r="Y4234" s="250">
        <v>2.3526324995627079E-2</v>
      </c>
      <c r="Z4234" s="150">
        <v>5.5</v>
      </c>
      <c r="AA4234" s="150">
        <v>0.51</v>
      </c>
      <c r="AB4234" s="152"/>
      <c r="AC4234" s="152"/>
      <c r="AD4234" s="223">
        <v>7.9550190000000001</v>
      </c>
      <c r="AE4234" s="223">
        <v>0.41146650000000001</v>
      </c>
      <c r="AF4234" s="223">
        <v>3.2735845600000002</v>
      </c>
      <c r="AG4234" s="223">
        <v>0.6583464</v>
      </c>
      <c r="AH4234" s="341"/>
      <c r="AI4234" s="218"/>
      <c r="AJ4234" s="218"/>
      <c r="AK4234" s="153"/>
      <c r="AL4234" s="152"/>
      <c r="AM4234" s="152"/>
      <c r="AN4234" s="152"/>
      <c r="AO4234" s="152"/>
      <c r="AP4234" s="152"/>
      <c r="AQ4234" s="152"/>
      <c r="AR4234" s="152"/>
      <c r="AS4234" s="152"/>
      <c r="AT4234" s="152"/>
      <c r="AU4234" s="153"/>
      <c r="AV4234" s="479"/>
      <c r="AW4234" s="479"/>
      <c r="AX4234" s="442"/>
      <c r="AY4234" s="153"/>
      <c r="AZ4234" s="152"/>
      <c r="BA4234" s="152"/>
      <c r="BB4234" s="152"/>
      <c r="BC4234" s="152"/>
      <c r="BD4234" s="152"/>
      <c r="BE4234" s="152"/>
      <c r="BF4234" s="152"/>
      <c r="BG4234" s="152"/>
      <c r="BH4234" s="152"/>
      <c r="BI4234" s="153"/>
      <c r="BJ4234" s="153"/>
      <c r="BK4234" s="153"/>
      <c r="BL4234" s="153"/>
      <c r="BM4234" s="153"/>
      <c r="BN4234" s="153"/>
      <c r="BO4234" s="153"/>
      <c r="BP4234" s="153"/>
      <c r="BQ4234" s="153"/>
      <c r="BR4234" s="153"/>
      <c r="BS4234" s="153"/>
      <c r="BT4234" s="153"/>
      <c r="BU4234" s="153"/>
      <c r="BV4234" s="153"/>
      <c r="BW4234" s="153"/>
      <c r="BX4234" s="153"/>
      <c r="BY4234" s="153"/>
      <c r="BZ4234" s="153"/>
      <c r="CA4234" s="152"/>
      <c r="CB4234" s="152"/>
    </row>
    <row r="4235" spans="1:80" s="87" customFormat="1" x14ac:dyDescent="0.2">
      <c r="A4235" s="252" t="s">
        <v>580</v>
      </c>
      <c r="B4235" s="683"/>
      <c r="C4235" s="683"/>
      <c r="D4235" s="292"/>
      <c r="E4235" s="215"/>
      <c r="F4235" s="215"/>
      <c r="G4235" s="153"/>
      <c r="H4235" s="153"/>
      <c r="I4235" s="163">
        <v>22</v>
      </c>
      <c r="J4235" s="164">
        <v>60</v>
      </c>
      <c r="K4235" s="150">
        <v>1</v>
      </c>
      <c r="L4235" s="656">
        <v>22</v>
      </c>
      <c r="M4235" s="663">
        <v>34831</v>
      </c>
      <c r="N4235" s="600">
        <v>2.1687500000000002</v>
      </c>
      <c r="O4235" s="604">
        <v>1.1335E-2</v>
      </c>
      <c r="P4235" s="250"/>
      <c r="Q4235" s="250"/>
      <c r="R4235" s="250"/>
      <c r="S4235" s="250"/>
      <c r="T4235" s="250">
        <v>8.1000000000000013E-3</v>
      </c>
      <c r="U4235" s="250">
        <v>3.27E-2</v>
      </c>
      <c r="V4235" s="250">
        <v>0.12625477166690233</v>
      </c>
      <c r="W4235" s="250">
        <v>0.41835147744945567</v>
      </c>
      <c r="X4235" s="250">
        <v>0.39459917998020644</v>
      </c>
      <c r="Y4235" s="250">
        <v>2.0076346670436875E-2</v>
      </c>
      <c r="Z4235" s="150">
        <v>8</v>
      </c>
      <c r="AA4235" s="150">
        <v>0.56000000000000005</v>
      </c>
      <c r="AB4235" s="152"/>
      <c r="AC4235" s="152"/>
      <c r="AD4235" s="223">
        <v>7.9550190000000001</v>
      </c>
      <c r="AE4235" s="223">
        <v>0.41146650000000001</v>
      </c>
      <c r="AF4235" s="223">
        <v>3.2735845600000002</v>
      </c>
      <c r="AG4235" s="223">
        <v>0.6583464</v>
      </c>
      <c r="AH4235" s="341"/>
      <c r="AI4235" s="218"/>
      <c r="AJ4235" s="218"/>
      <c r="AK4235" s="153"/>
      <c r="AL4235" s="152"/>
      <c r="AM4235" s="152"/>
      <c r="AN4235" s="152"/>
      <c r="AO4235" s="152"/>
      <c r="AP4235" s="152"/>
      <c r="AQ4235" s="152"/>
      <c r="AR4235" s="152"/>
      <c r="AS4235" s="152"/>
      <c r="AT4235" s="152"/>
      <c r="AU4235" s="153"/>
      <c r="AV4235" s="479"/>
      <c r="AW4235" s="479"/>
      <c r="AX4235" s="442"/>
      <c r="AY4235" s="153"/>
      <c r="AZ4235" s="152"/>
      <c r="BA4235" s="152"/>
      <c r="BB4235" s="152"/>
      <c r="BC4235" s="152"/>
      <c r="BD4235" s="152"/>
      <c r="BE4235" s="152"/>
      <c r="BF4235" s="152"/>
      <c r="BG4235" s="152"/>
      <c r="BH4235" s="152"/>
      <c r="BI4235" s="153"/>
      <c r="BJ4235" s="153"/>
      <c r="BK4235" s="153"/>
      <c r="BL4235" s="153"/>
      <c r="BM4235" s="153"/>
      <c r="BN4235" s="153"/>
      <c r="BO4235" s="153"/>
      <c r="BP4235" s="153"/>
      <c r="BQ4235" s="153"/>
      <c r="BR4235" s="153"/>
      <c r="BS4235" s="153"/>
      <c r="BT4235" s="153"/>
      <c r="BU4235" s="153"/>
      <c r="BV4235" s="153"/>
      <c r="BW4235" s="153"/>
      <c r="BX4235" s="153"/>
      <c r="BY4235" s="153"/>
      <c r="BZ4235" s="153"/>
      <c r="CA4235" s="152"/>
      <c r="CB4235" s="152"/>
    </row>
    <row r="4236" spans="1:80" s="87" customFormat="1" x14ac:dyDescent="0.2">
      <c r="A4236" s="252" t="s">
        <v>580</v>
      </c>
      <c r="B4236" s="683"/>
      <c r="C4236" s="683"/>
      <c r="D4236" s="292"/>
      <c r="E4236" s="215"/>
      <c r="F4236" s="215"/>
      <c r="G4236" s="153"/>
      <c r="H4236" s="153"/>
      <c r="I4236" s="163">
        <v>22</v>
      </c>
      <c r="J4236" s="164">
        <v>60</v>
      </c>
      <c r="K4236" s="150">
        <v>1</v>
      </c>
      <c r="L4236" s="656">
        <v>22</v>
      </c>
      <c r="M4236" s="663">
        <v>34833</v>
      </c>
      <c r="N4236" s="600">
        <v>1.7525599999999999</v>
      </c>
      <c r="O4236" s="604">
        <v>2.2460000000000002E-3</v>
      </c>
      <c r="P4236" s="250"/>
      <c r="Q4236" s="250"/>
      <c r="R4236" s="250"/>
      <c r="S4236" s="250"/>
      <c r="T4236" s="250">
        <v>4.4000000000000003E-3</v>
      </c>
      <c r="U4236" s="250">
        <v>5.7999999999999996E-2</v>
      </c>
      <c r="V4236" s="250">
        <v>0.25125796712512583</v>
      </c>
      <c r="W4236" s="250">
        <v>0.36766185843676624</v>
      </c>
      <c r="X4236" s="250">
        <v>0.29755115732975512</v>
      </c>
      <c r="Y4236" s="250">
        <v>2.1133847702113386E-2</v>
      </c>
      <c r="Z4236" s="150">
        <v>5.5</v>
      </c>
      <c r="AA4236" s="150">
        <v>0.68</v>
      </c>
      <c r="AB4236" s="152"/>
      <c r="AC4236" s="152"/>
      <c r="AD4236" s="223">
        <v>7.5587920000000004</v>
      </c>
      <c r="AE4236" s="223">
        <v>0.396227</v>
      </c>
      <c r="AF4236" s="223">
        <v>2.9949025599999999</v>
      </c>
      <c r="AG4236" s="223">
        <v>0.58519679999999996</v>
      </c>
      <c r="AH4236" s="341"/>
      <c r="AI4236" s="218"/>
      <c r="AJ4236" s="218"/>
      <c r="AK4236" s="153"/>
      <c r="AL4236" s="152"/>
      <c r="AM4236" s="152"/>
      <c r="AN4236" s="152"/>
      <c r="AO4236" s="152"/>
      <c r="AP4236" s="152"/>
      <c r="AQ4236" s="152"/>
      <c r="AR4236" s="152"/>
      <c r="AS4236" s="152"/>
      <c r="AT4236" s="152"/>
      <c r="AU4236" s="153"/>
      <c r="AV4236" s="479"/>
      <c r="AW4236" s="479"/>
      <c r="AX4236" s="442"/>
      <c r="AY4236" s="153"/>
      <c r="AZ4236" s="152"/>
      <c r="BA4236" s="152"/>
      <c r="BB4236" s="152"/>
      <c r="BC4236" s="152"/>
      <c r="BD4236" s="152"/>
      <c r="BE4236" s="152"/>
      <c r="BF4236" s="152"/>
      <c r="BG4236" s="152"/>
      <c r="BH4236" s="152"/>
      <c r="BI4236" s="153"/>
      <c r="BJ4236" s="153"/>
      <c r="BK4236" s="153"/>
      <c r="BL4236" s="153"/>
      <c r="BM4236" s="153"/>
      <c r="BN4236" s="153"/>
      <c r="BO4236" s="153"/>
      <c r="BP4236" s="153"/>
      <c r="BQ4236" s="153"/>
      <c r="BR4236" s="153"/>
      <c r="BS4236" s="153"/>
      <c r="BT4236" s="153"/>
      <c r="BU4236" s="153"/>
      <c r="BV4236" s="153"/>
      <c r="BW4236" s="153"/>
      <c r="BX4236" s="153"/>
      <c r="BY4236" s="153"/>
      <c r="BZ4236" s="153"/>
      <c r="CA4236" s="152"/>
      <c r="CB4236" s="152"/>
    </row>
    <row r="4237" spans="1:80" s="87" customFormat="1" x14ac:dyDescent="0.2">
      <c r="A4237" s="252" t="s">
        <v>580</v>
      </c>
      <c r="B4237" s="683"/>
      <c r="C4237" s="683"/>
      <c r="D4237" s="292"/>
      <c r="E4237" s="215"/>
      <c r="F4237" s="215"/>
      <c r="G4237" s="153"/>
      <c r="H4237" s="153"/>
      <c r="I4237" s="163">
        <v>22</v>
      </c>
      <c r="J4237" s="164">
        <v>60</v>
      </c>
      <c r="K4237" s="150">
        <v>1</v>
      </c>
      <c r="L4237" s="656">
        <v>22</v>
      </c>
      <c r="M4237" s="663">
        <v>34833</v>
      </c>
      <c r="N4237" s="600">
        <v>1.7525599999999999</v>
      </c>
      <c r="O4237" s="604">
        <v>1.91E-3</v>
      </c>
      <c r="P4237" s="250"/>
      <c r="Q4237" s="250"/>
      <c r="R4237" s="250"/>
      <c r="S4237" s="250"/>
      <c r="T4237" s="250"/>
      <c r="U4237" s="250">
        <v>2.12E-2</v>
      </c>
      <c r="V4237" s="250">
        <v>7.7769049489395115E-2</v>
      </c>
      <c r="W4237" s="250">
        <v>0.27258444619010203</v>
      </c>
      <c r="X4237" s="250">
        <v>0.58876669285153171</v>
      </c>
      <c r="Y4237" s="250">
        <v>3.967007069913589E-2</v>
      </c>
      <c r="Z4237" s="150">
        <v>3</v>
      </c>
      <c r="AA4237" s="150">
        <v>0.45</v>
      </c>
      <c r="AB4237" s="152"/>
      <c r="AC4237" s="152"/>
      <c r="AD4237" s="223">
        <v>7.5587920000000004</v>
      </c>
      <c r="AE4237" s="223">
        <v>0.396227</v>
      </c>
      <c r="AF4237" s="223">
        <v>2.9949025599999999</v>
      </c>
      <c r="AG4237" s="223">
        <v>0.58519679999999996</v>
      </c>
      <c r="AH4237" s="341"/>
      <c r="AI4237" s="218"/>
      <c r="AJ4237" s="218"/>
      <c r="AK4237" s="153"/>
      <c r="AL4237" s="152"/>
      <c r="AM4237" s="152"/>
      <c r="AN4237" s="152"/>
      <c r="AO4237" s="152"/>
      <c r="AP4237" s="152"/>
      <c r="AQ4237" s="152"/>
      <c r="AR4237" s="152"/>
      <c r="AS4237" s="152"/>
      <c r="AT4237" s="152"/>
      <c r="AU4237" s="153"/>
      <c r="AV4237" s="479"/>
      <c r="AW4237" s="479"/>
      <c r="AX4237" s="442"/>
      <c r="AY4237" s="153"/>
      <c r="AZ4237" s="152"/>
      <c r="BA4237" s="152"/>
      <c r="BB4237" s="152"/>
      <c r="BC4237" s="152"/>
      <c r="BD4237" s="152"/>
      <c r="BE4237" s="152"/>
      <c r="BF4237" s="152"/>
      <c r="BG4237" s="152"/>
      <c r="BH4237" s="152"/>
      <c r="BI4237" s="153"/>
      <c r="BJ4237" s="153"/>
      <c r="BK4237" s="153"/>
      <c r="BL4237" s="153"/>
      <c r="BM4237" s="153"/>
      <c r="BN4237" s="153"/>
      <c r="BO4237" s="153"/>
      <c r="BP4237" s="153"/>
      <c r="BQ4237" s="153"/>
      <c r="BR4237" s="153"/>
      <c r="BS4237" s="153"/>
      <c r="BT4237" s="153"/>
      <c r="BU4237" s="153"/>
      <c r="BV4237" s="153"/>
      <c r="BW4237" s="153"/>
      <c r="BX4237" s="153"/>
      <c r="BY4237" s="153"/>
      <c r="BZ4237" s="153"/>
      <c r="CA4237" s="152"/>
      <c r="CB4237" s="152"/>
    </row>
    <row r="4238" spans="1:80" s="87" customFormat="1" x14ac:dyDescent="0.2">
      <c r="A4238" s="252" t="s">
        <v>580</v>
      </c>
      <c r="B4238" s="683"/>
      <c r="C4238" s="683"/>
      <c r="D4238" s="292"/>
      <c r="E4238" s="215"/>
      <c r="F4238" s="215"/>
      <c r="G4238" s="153"/>
      <c r="H4238" s="153"/>
      <c r="I4238" s="163">
        <v>22</v>
      </c>
      <c r="J4238" s="164">
        <v>60</v>
      </c>
      <c r="K4238" s="150">
        <v>1</v>
      </c>
      <c r="L4238" s="656">
        <v>22</v>
      </c>
      <c r="M4238" s="663">
        <v>34835</v>
      </c>
      <c r="N4238" s="600">
        <v>2.3782700000000001</v>
      </c>
      <c r="O4238" s="604">
        <v>7.2110000000000004E-3</v>
      </c>
      <c r="P4238" s="250"/>
      <c r="Q4238" s="250"/>
      <c r="R4238" s="250"/>
      <c r="S4238" s="250">
        <v>3.49E-2</v>
      </c>
      <c r="T4238" s="250">
        <v>1.3500000000000002E-2</v>
      </c>
      <c r="U4238" s="250">
        <v>6.0599999999999994E-2</v>
      </c>
      <c r="V4238" s="250">
        <v>0.20397350993377486</v>
      </c>
      <c r="W4238" s="250">
        <v>0.33189845474613688</v>
      </c>
      <c r="X4238" s="250">
        <v>0.32803532008830016</v>
      </c>
      <c r="Y4238" s="250">
        <v>2.7152317880794703E-2</v>
      </c>
      <c r="Z4238" s="150">
        <v>17</v>
      </c>
      <c r="AA4238" s="150">
        <v>0.65</v>
      </c>
      <c r="AB4238" s="152"/>
      <c r="AC4238" s="152"/>
      <c r="AD4238" s="223">
        <v>7.8940609999999998</v>
      </c>
      <c r="AE4238" s="223">
        <v>0.43584970000000001</v>
      </c>
      <c r="AF4238" s="223">
        <v>3.44079376</v>
      </c>
      <c r="AG4238" s="223">
        <v>0.69187330000000002</v>
      </c>
      <c r="AH4238" s="341"/>
      <c r="AI4238" s="218"/>
      <c r="AJ4238" s="218"/>
      <c r="AK4238" s="153"/>
      <c r="AL4238" s="152"/>
      <c r="AM4238" s="152"/>
      <c r="AN4238" s="152"/>
      <c r="AO4238" s="152"/>
      <c r="AP4238" s="152"/>
      <c r="AQ4238" s="152"/>
      <c r="AR4238" s="152"/>
      <c r="AS4238" s="152"/>
      <c r="AT4238" s="152"/>
      <c r="AU4238" s="153"/>
      <c r="AV4238" s="479"/>
      <c r="AW4238" s="479"/>
      <c r="AX4238" s="442"/>
      <c r="AY4238" s="153"/>
      <c r="AZ4238" s="152"/>
      <c r="BA4238" s="152"/>
      <c r="BB4238" s="152"/>
      <c r="BC4238" s="152"/>
      <c r="BD4238" s="152"/>
      <c r="BE4238" s="152"/>
      <c r="BF4238" s="152"/>
      <c r="BG4238" s="152"/>
      <c r="BH4238" s="152"/>
      <c r="BI4238" s="153"/>
      <c r="BJ4238" s="153"/>
      <c r="BK4238" s="153"/>
      <c r="BL4238" s="153"/>
      <c r="BM4238" s="153"/>
      <c r="BN4238" s="153"/>
      <c r="BO4238" s="153"/>
      <c r="BP4238" s="153"/>
      <c r="BQ4238" s="153"/>
      <c r="BR4238" s="153"/>
      <c r="BS4238" s="153"/>
      <c r="BT4238" s="153"/>
      <c r="BU4238" s="153"/>
      <c r="BV4238" s="153"/>
      <c r="BW4238" s="153"/>
      <c r="BX4238" s="153"/>
      <c r="BY4238" s="153"/>
      <c r="BZ4238" s="153"/>
      <c r="CA4238" s="152"/>
      <c r="CB4238" s="152"/>
    </row>
    <row r="4239" spans="1:80" s="87" customFormat="1" x14ac:dyDescent="0.2">
      <c r="A4239" s="252" t="s">
        <v>580</v>
      </c>
      <c r="B4239" s="683"/>
      <c r="C4239" s="683"/>
      <c r="D4239" s="292"/>
      <c r="E4239" s="215"/>
      <c r="F4239" s="215"/>
      <c r="G4239" s="153"/>
      <c r="H4239" s="153"/>
      <c r="I4239" s="163">
        <v>22</v>
      </c>
      <c r="J4239" s="164">
        <v>60</v>
      </c>
      <c r="K4239" s="150">
        <v>1</v>
      </c>
      <c r="L4239" s="656">
        <v>22</v>
      </c>
      <c r="M4239" s="663">
        <v>34835</v>
      </c>
      <c r="N4239" s="600">
        <v>2.3782700000000001</v>
      </c>
      <c r="O4239" s="604">
        <v>5.8780000000000004E-3</v>
      </c>
      <c r="P4239" s="250"/>
      <c r="Q4239" s="250"/>
      <c r="R4239" s="250"/>
      <c r="S4239" s="250">
        <v>1.29E-2</v>
      </c>
      <c r="T4239" s="250">
        <v>0.03</v>
      </c>
      <c r="U4239" s="250">
        <v>0.10039999999999999</v>
      </c>
      <c r="V4239" s="250">
        <v>0.2311733800350263</v>
      </c>
      <c r="W4239" s="250">
        <v>0.29866630742287492</v>
      </c>
      <c r="X4239" s="250">
        <v>0.30580627778526209</v>
      </c>
      <c r="Y4239" s="250">
        <v>2.1015761821366028E-2</v>
      </c>
      <c r="Z4239" s="150">
        <v>10</v>
      </c>
      <c r="AA4239" s="150">
        <v>0.71</v>
      </c>
      <c r="AB4239" s="152"/>
      <c r="AC4239" s="152"/>
      <c r="AD4239" s="223">
        <v>7.8940609999999998</v>
      </c>
      <c r="AE4239" s="223">
        <v>0.43584970000000001</v>
      </c>
      <c r="AF4239" s="223">
        <v>3.44079376</v>
      </c>
      <c r="AG4239" s="223">
        <v>0.69187330000000002</v>
      </c>
      <c r="AH4239" s="341"/>
      <c r="AI4239" s="218"/>
      <c r="AJ4239" s="218"/>
      <c r="AK4239" s="153"/>
      <c r="AL4239" s="152"/>
      <c r="AM4239" s="152"/>
      <c r="AN4239" s="152"/>
      <c r="AO4239" s="152"/>
      <c r="AP4239" s="152"/>
      <c r="AQ4239" s="152"/>
      <c r="AR4239" s="152"/>
      <c r="AS4239" s="152"/>
      <c r="AT4239" s="152"/>
      <c r="AU4239" s="153"/>
      <c r="AV4239" s="479"/>
      <c r="AW4239" s="479"/>
      <c r="AX4239" s="442"/>
      <c r="AY4239" s="153"/>
      <c r="AZ4239" s="152"/>
      <c r="BA4239" s="152"/>
      <c r="BB4239" s="152"/>
      <c r="BC4239" s="152"/>
      <c r="BD4239" s="152"/>
      <c r="BE4239" s="152"/>
      <c r="BF4239" s="152"/>
      <c r="BG4239" s="152"/>
      <c r="BH4239" s="152"/>
      <c r="BI4239" s="153"/>
      <c r="BJ4239" s="153"/>
      <c r="BK4239" s="153"/>
      <c r="BL4239" s="153"/>
      <c r="BM4239" s="153"/>
      <c r="BN4239" s="153"/>
      <c r="BO4239" s="153"/>
      <c r="BP4239" s="153"/>
      <c r="BQ4239" s="153"/>
      <c r="BR4239" s="153"/>
      <c r="BS4239" s="153"/>
      <c r="BT4239" s="153"/>
      <c r="BU4239" s="153"/>
      <c r="BV4239" s="153"/>
      <c r="BW4239" s="153"/>
      <c r="BX4239" s="153"/>
      <c r="BY4239" s="153"/>
      <c r="BZ4239" s="153"/>
      <c r="CA4239" s="152"/>
      <c r="CB4239" s="152"/>
    </row>
    <row r="4240" spans="1:80" s="87" customFormat="1" x14ac:dyDescent="0.2">
      <c r="A4240" s="252" t="s">
        <v>580</v>
      </c>
      <c r="B4240" s="683"/>
      <c r="C4240" s="683"/>
      <c r="D4240" s="292"/>
      <c r="E4240" s="215"/>
      <c r="F4240" s="215"/>
      <c r="G4240" s="153"/>
      <c r="H4240" s="153"/>
      <c r="I4240" s="164">
        <v>21</v>
      </c>
      <c r="J4240" s="164">
        <v>60</v>
      </c>
      <c r="K4240" s="150">
        <v>1</v>
      </c>
      <c r="L4240" s="656">
        <v>21</v>
      </c>
      <c r="M4240" s="663">
        <v>34837</v>
      </c>
      <c r="N4240" s="600">
        <v>3.25596</v>
      </c>
      <c r="O4240" s="604">
        <v>2.4244999999999999E-2</v>
      </c>
      <c r="P4240" s="250"/>
      <c r="Q4240" s="250"/>
      <c r="R4240" s="250">
        <v>0.1421</v>
      </c>
      <c r="S4240" s="250">
        <v>9.9700000000000011E-2</v>
      </c>
      <c r="T4240" s="250">
        <v>0.1249</v>
      </c>
      <c r="U4240" s="250">
        <v>0.14279999999999998</v>
      </c>
      <c r="V4240" s="250">
        <v>0.16349572931559073</v>
      </c>
      <c r="W4240" s="250">
        <v>0.16166281755196302</v>
      </c>
      <c r="X4240" s="250">
        <v>0.15587081637889949</v>
      </c>
      <c r="Y4240" s="250">
        <v>9.4578247003189262E-3</v>
      </c>
      <c r="Z4240" s="150">
        <v>33</v>
      </c>
      <c r="AA4240" s="150">
        <v>2.09</v>
      </c>
      <c r="AB4240" s="152"/>
      <c r="AC4240" s="152"/>
      <c r="AD4240" s="223">
        <v>8.5341199999999997</v>
      </c>
      <c r="AE4240" s="223">
        <v>0.4602329</v>
      </c>
      <c r="AF4240" s="223">
        <v>3.9275583200000002</v>
      </c>
      <c r="AG4240" s="223">
        <v>0.82293300000000003</v>
      </c>
      <c r="AH4240" s="341"/>
      <c r="AI4240" s="218"/>
      <c r="AJ4240" s="218"/>
      <c r="AK4240" s="153"/>
      <c r="AL4240" s="152"/>
      <c r="AM4240" s="152"/>
      <c r="AN4240" s="152"/>
      <c r="AO4240" s="152"/>
      <c r="AP4240" s="152"/>
      <c r="AQ4240" s="152"/>
      <c r="AR4240" s="152"/>
      <c r="AS4240" s="152"/>
      <c r="AT4240" s="152"/>
      <c r="AU4240" s="153"/>
      <c r="AV4240" s="479"/>
      <c r="AW4240" s="479"/>
      <c r="AX4240" s="442"/>
      <c r="AY4240" s="153"/>
      <c r="AZ4240" s="152"/>
      <c r="BA4240" s="152"/>
      <c r="BB4240" s="152"/>
      <c r="BC4240" s="152"/>
      <c r="BD4240" s="152"/>
      <c r="BE4240" s="152"/>
      <c r="BF4240" s="152"/>
      <c r="BG4240" s="152"/>
      <c r="BH4240" s="152"/>
      <c r="BI4240" s="153"/>
      <c r="BJ4240" s="153"/>
      <c r="BK4240" s="153"/>
      <c r="BL4240" s="153"/>
      <c r="BM4240" s="153"/>
      <c r="BN4240" s="153"/>
      <c r="BO4240" s="153"/>
      <c r="BP4240" s="153"/>
      <c r="BQ4240" s="153"/>
      <c r="BR4240" s="153"/>
      <c r="BS4240" s="153"/>
      <c r="BT4240" s="153"/>
      <c r="BU4240" s="153"/>
      <c r="BV4240" s="153"/>
      <c r="BW4240" s="153"/>
      <c r="BX4240" s="153"/>
      <c r="BY4240" s="153"/>
      <c r="BZ4240" s="153"/>
      <c r="CA4240" s="152"/>
      <c r="CB4240" s="152"/>
    </row>
    <row r="4241" spans="1:80" s="87" customFormat="1" x14ac:dyDescent="0.2">
      <c r="A4241" s="252" t="s">
        <v>580</v>
      </c>
      <c r="B4241" s="683"/>
      <c r="C4241" s="683"/>
      <c r="D4241" s="292"/>
      <c r="E4241" s="215"/>
      <c r="F4241" s="215"/>
      <c r="G4241" s="153"/>
      <c r="H4241" s="153"/>
      <c r="I4241" s="164">
        <v>21</v>
      </c>
      <c r="J4241" s="164">
        <v>60</v>
      </c>
      <c r="K4241" s="150">
        <v>1</v>
      </c>
      <c r="L4241" s="656">
        <v>21</v>
      </c>
      <c r="M4241" s="663">
        <v>34837</v>
      </c>
      <c r="N4241" s="600">
        <v>3.25596</v>
      </c>
      <c r="O4241" s="604">
        <v>1.5533999999999999E-2</v>
      </c>
      <c r="P4241" s="250"/>
      <c r="Q4241" s="250"/>
      <c r="R4241" s="250">
        <v>4.9100000000000005E-2</v>
      </c>
      <c r="S4241" s="250">
        <v>0.1396</v>
      </c>
      <c r="T4241" s="250">
        <v>0.1166</v>
      </c>
      <c r="U4241" s="250">
        <v>0.18100000000000002</v>
      </c>
      <c r="V4241" s="250">
        <v>0.17722029988465976</v>
      </c>
      <c r="W4241" s="250">
        <v>0.1709919261822376</v>
      </c>
      <c r="X4241" s="250">
        <v>0.15628604382929642</v>
      </c>
      <c r="Y4241" s="250">
        <v>9.2848904267589377E-3</v>
      </c>
      <c r="Z4241" s="150">
        <v>21.5</v>
      </c>
      <c r="AA4241" s="150">
        <v>1.9</v>
      </c>
      <c r="AB4241" s="152"/>
      <c r="AC4241" s="152"/>
      <c r="AD4241" s="223">
        <v>8.5341199999999997</v>
      </c>
      <c r="AE4241" s="223">
        <v>0.4602329</v>
      </c>
      <c r="AF4241" s="223">
        <v>3.9275583200000002</v>
      </c>
      <c r="AG4241" s="223">
        <v>0.82293300000000003</v>
      </c>
      <c r="AH4241" s="341"/>
      <c r="AI4241" s="218"/>
      <c r="AJ4241" s="218"/>
      <c r="AK4241" s="153"/>
      <c r="AL4241" s="152"/>
      <c r="AM4241" s="152"/>
      <c r="AN4241" s="152"/>
      <c r="AO4241" s="152"/>
      <c r="AP4241" s="152"/>
      <c r="AQ4241" s="152"/>
      <c r="AR4241" s="152"/>
      <c r="AS4241" s="152"/>
      <c r="AT4241" s="152"/>
      <c r="AU4241" s="153"/>
      <c r="AV4241" s="479"/>
      <c r="AW4241" s="479"/>
      <c r="AX4241" s="442"/>
      <c r="AY4241" s="153"/>
      <c r="AZ4241" s="152"/>
      <c r="BA4241" s="152"/>
      <c r="BB4241" s="152"/>
      <c r="BC4241" s="152"/>
      <c r="BD4241" s="152"/>
      <c r="BE4241" s="152"/>
      <c r="BF4241" s="152"/>
      <c r="BG4241" s="152"/>
      <c r="BH4241" s="152"/>
      <c r="BI4241" s="153"/>
      <c r="BJ4241" s="153"/>
      <c r="BK4241" s="153"/>
      <c r="BL4241" s="153"/>
      <c r="BM4241" s="153"/>
      <c r="BN4241" s="153"/>
      <c r="BO4241" s="153"/>
      <c r="BP4241" s="153"/>
      <c r="BQ4241" s="153"/>
      <c r="BR4241" s="153"/>
      <c r="BS4241" s="153"/>
      <c r="BT4241" s="153"/>
      <c r="BU4241" s="153"/>
      <c r="BV4241" s="153"/>
      <c r="BW4241" s="153"/>
      <c r="BX4241" s="153"/>
      <c r="BY4241" s="153"/>
      <c r="BZ4241" s="153"/>
      <c r="CA4241" s="152"/>
      <c r="CB4241" s="152"/>
    </row>
    <row r="4242" spans="1:80" s="87" customFormat="1" x14ac:dyDescent="0.2">
      <c r="A4242" s="252" t="s">
        <v>580</v>
      </c>
      <c r="B4242" s="683"/>
      <c r="C4242" s="683"/>
      <c r="D4242" s="292"/>
      <c r="E4242" s="215"/>
      <c r="F4242" s="215"/>
      <c r="G4242" s="153"/>
      <c r="H4242" s="153"/>
      <c r="I4242" s="163">
        <v>24</v>
      </c>
      <c r="J4242" s="164">
        <v>60</v>
      </c>
      <c r="K4242" s="150">
        <v>1</v>
      </c>
      <c r="L4242" s="656">
        <v>24</v>
      </c>
      <c r="M4242" s="663">
        <v>34838</v>
      </c>
      <c r="N4242" s="600">
        <v>3.9071500000000001</v>
      </c>
      <c r="O4242" s="604">
        <v>9.3307000000000001E-2</v>
      </c>
      <c r="P4242" s="250"/>
      <c r="Q4242" s="250">
        <v>4.4999999999999998E-2</v>
      </c>
      <c r="R4242" s="250">
        <v>0.14369999999999999</v>
      </c>
      <c r="S4242" s="250">
        <v>9.7899999999999987E-2</v>
      </c>
      <c r="T4242" s="250">
        <v>0.12429999999999999</v>
      </c>
      <c r="U4242" s="250">
        <v>0.17610000000000001</v>
      </c>
      <c r="V4242" s="250">
        <v>0.22382577631678247</v>
      </c>
      <c r="W4242" s="250">
        <v>0.12487316455483899</v>
      </c>
      <c r="X4242" s="250">
        <v>5.8801331667351492E-2</v>
      </c>
      <c r="Y4242" s="250">
        <v>5.8197553019312511E-3</v>
      </c>
      <c r="Z4242" s="150">
        <v>39</v>
      </c>
      <c r="AA4242" s="150">
        <v>2.68</v>
      </c>
      <c r="AB4242" s="152"/>
      <c r="AC4242" s="152"/>
      <c r="AD4242" s="223">
        <v>8.5950780000000009</v>
      </c>
      <c r="AE4242" s="223">
        <v>0.49680770000000002</v>
      </c>
      <c r="AF4242" s="223">
        <v>4.2703371800000003</v>
      </c>
      <c r="AG4242" s="223">
        <v>0.91132210000000002</v>
      </c>
      <c r="AH4242" s="341"/>
      <c r="AI4242" s="218"/>
      <c r="AJ4242" s="218"/>
      <c r="AK4242" s="153"/>
      <c r="AL4242" s="152"/>
      <c r="AM4242" s="152"/>
      <c r="AN4242" s="152"/>
      <c r="AO4242" s="152"/>
      <c r="AP4242" s="152"/>
      <c r="AQ4242" s="152"/>
      <c r="AR4242" s="152"/>
      <c r="AS4242" s="152"/>
      <c r="AT4242" s="152"/>
      <c r="AU4242" s="153"/>
      <c r="AV4242" s="479"/>
      <c r="AW4242" s="479"/>
      <c r="AX4242" s="442"/>
      <c r="AY4242" s="153"/>
      <c r="AZ4242" s="152"/>
      <c r="BA4242" s="152"/>
      <c r="BB4242" s="152"/>
      <c r="BC4242" s="152"/>
      <c r="BD4242" s="152"/>
      <c r="BE4242" s="152"/>
      <c r="BF4242" s="152"/>
      <c r="BG4242" s="152"/>
      <c r="BH4242" s="152"/>
      <c r="BI4242" s="153"/>
      <c r="BJ4242" s="153"/>
      <c r="BK4242" s="153"/>
      <c r="BL4242" s="153"/>
      <c r="BM4242" s="153"/>
      <c r="BN4242" s="153"/>
      <c r="BO4242" s="153"/>
      <c r="BP4242" s="153"/>
      <c r="BQ4242" s="153"/>
      <c r="BR4242" s="153"/>
      <c r="BS4242" s="153"/>
      <c r="BT4242" s="153"/>
      <c r="BU4242" s="153"/>
      <c r="BV4242" s="153"/>
      <c r="BW4242" s="153"/>
      <c r="BX4242" s="153"/>
      <c r="BY4242" s="153"/>
      <c r="BZ4242" s="153"/>
      <c r="CA4242" s="152"/>
      <c r="CB4242" s="152"/>
    </row>
    <row r="4243" spans="1:80" s="87" customFormat="1" x14ac:dyDescent="0.2">
      <c r="A4243" s="252" t="s">
        <v>580</v>
      </c>
      <c r="B4243" s="683"/>
      <c r="C4243" s="683"/>
      <c r="D4243" s="292"/>
      <c r="E4243" s="215"/>
      <c r="F4243" s="215"/>
      <c r="G4243" s="153"/>
      <c r="H4243" s="153"/>
      <c r="I4243" s="164">
        <v>24</v>
      </c>
      <c r="J4243" s="164">
        <v>60</v>
      </c>
      <c r="K4243" s="150">
        <v>1</v>
      </c>
      <c r="L4243" s="656">
        <v>24</v>
      </c>
      <c r="M4243" s="663">
        <v>34838</v>
      </c>
      <c r="N4243" s="600">
        <v>3.9071500000000001</v>
      </c>
      <c r="O4243" s="604">
        <v>2.5295000000000002E-2</v>
      </c>
      <c r="P4243" s="250"/>
      <c r="Q4243" s="250"/>
      <c r="R4243" s="250">
        <v>0.39510000000000001</v>
      </c>
      <c r="S4243" s="250">
        <v>0.10150000000000001</v>
      </c>
      <c r="T4243" s="250">
        <v>4.9699999999999994E-2</v>
      </c>
      <c r="U4243" s="250">
        <v>6.480000000000001E-2</v>
      </c>
      <c r="V4243" s="250">
        <v>0.1094222083787572</v>
      </c>
      <c r="W4243" s="250">
        <v>0.14580283444946271</v>
      </c>
      <c r="X4243" s="250">
        <v>0.12256657841457716</v>
      </c>
      <c r="Y4243" s="250">
        <v>1.1026319887867932E-2</v>
      </c>
      <c r="Z4243" s="150">
        <v>41</v>
      </c>
      <c r="AA4243" s="150">
        <v>7.69</v>
      </c>
      <c r="AB4243" s="152"/>
      <c r="AC4243" s="152"/>
      <c r="AD4243" s="223">
        <v>8.5950780000000009</v>
      </c>
      <c r="AE4243" s="223">
        <v>0.49680770000000002</v>
      </c>
      <c r="AF4243" s="223">
        <v>4.2703371800000003</v>
      </c>
      <c r="AG4243" s="223">
        <v>0.91132210000000002</v>
      </c>
      <c r="AH4243" s="341"/>
      <c r="AI4243" s="218"/>
      <c r="AJ4243" s="218"/>
      <c r="AK4243" s="153"/>
      <c r="AL4243" s="152"/>
      <c r="AM4243" s="152"/>
      <c r="AN4243" s="152"/>
      <c r="AO4243" s="152"/>
      <c r="AP4243" s="152"/>
      <c r="AQ4243" s="152"/>
      <c r="AR4243" s="152"/>
      <c r="AS4243" s="152"/>
      <c r="AT4243" s="152"/>
      <c r="AU4243" s="153"/>
      <c r="AV4243" s="479"/>
      <c r="AW4243" s="479"/>
      <c r="AX4243" s="442"/>
      <c r="AY4243" s="153"/>
      <c r="AZ4243" s="152"/>
      <c r="BA4243" s="152"/>
      <c r="BB4243" s="152"/>
      <c r="BC4243" s="152"/>
      <c r="BD4243" s="152"/>
      <c r="BE4243" s="152"/>
      <c r="BF4243" s="152"/>
      <c r="BG4243" s="152"/>
      <c r="BH4243" s="152"/>
      <c r="BI4243" s="153"/>
      <c r="BJ4243" s="153"/>
      <c r="BK4243" s="153"/>
      <c r="BL4243" s="153"/>
      <c r="BM4243" s="153"/>
      <c r="BN4243" s="153"/>
      <c r="BO4243" s="153"/>
      <c r="BP4243" s="153"/>
      <c r="BQ4243" s="153"/>
      <c r="BR4243" s="153"/>
      <c r="BS4243" s="153"/>
      <c r="BT4243" s="153"/>
      <c r="BU4243" s="153"/>
      <c r="BV4243" s="153"/>
      <c r="BW4243" s="153"/>
      <c r="BX4243" s="153"/>
      <c r="BY4243" s="153"/>
      <c r="BZ4243" s="153"/>
      <c r="CA4243" s="152"/>
      <c r="CB4243" s="152"/>
    </row>
    <row r="4244" spans="1:80" s="87" customFormat="1" x14ac:dyDescent="0.2">
      <c r="A4244" s="252" t="s">
        <v>580</v>
      </c>
      <c r="B4244" s="683"/>
      <c r="C4244" s="683"/>
      <c r="D4244" s="292"/>
      <c r="E4244" s="215"/>
      <c r="F4244" s="215"/>
      <c r="G4244" s="153"/>
      <c r="H4244" s="153"/>
      <c r="I4244" s="164">
        <v>24</v>
      </c>
      <c r="J4244" s="164">
        <v>60</v>
      </c>
      <c r="K4244" s="150">
        <v>1</v>
      </c>
      <c r="L4244" s="656">
        <v>24</v>
      </c>
      <c r="M4244" s="663">
        <v>34838</v>
      </c>
      <c r="N4244" s="600">
        <v>3.9071500000000001</v>
      </c>
      <c r="O4244" s="604">
        <v>4.8910000000000002E-2</v>
      </c>
      <c r="P4244" s="250"/>
      <c r="Q4244" s="250"/>
      <c r="R4244" s="250">
        <v>0.20379999999999998</v>
      </c>
      <c r="S4244" s="250">
        <v>6.7099999999999993E-2</v>
      </c>
      <c r="T4244" s="250">
        <v>7.17E-2</v>
      </c>
      <c r="U4244" s="250">
        <v>0.1149</v>
      </c>
      <c r="V4244" s="250">
        <v>0.21252563445270448</v>
      </c>
      <c r="W4244" s="250">
        <v>0.22122532683927199</v>
      </c>
      <c r="X4244" s="250">
        <v>9.9685977954370675E-2</v>
      </c>
      <c r="Y4244" s="250">
        <v>9.0521661112535259E-3</v>
      </c>
      <c r="Z4244" s="150">
        <v>32.5</v>
      </c>
      <c r="AA4244" s="150">
        <v>1.71</v>
      </c>
      <c r="AB4244" s="152"/>
      <c r="AC4244" s="152"/>
      <c r="AD4244" s="223">
        <v>8.5950780000000009</v>
      </c>
      <c r="AE4244" s="223">
        <v>0.49680770000000002</v>
      </c>
      <c r="AF4244" s="223">
        <v>4.2703371800000003</v>
      </c>
      <c r="AG4244" s="223">
        <v>0.91132210000000002</v>
      </c>
      <c r="AH4244" s="341"/>
      <c r="AI4244" s="218"/>
      <c r="AJ4244" s="218"/>
      <c r="AK4244" s="153"/>
      <c r="AL4244" s="152"/>
      <c r="AM4244" s="152"/>
      <c r="AN4244" s="152"/>
      <c r="AO4244" s="152"/>
      <c r="AP4244" s="152"/>
      <c r="AQ4244" s="152"/>
      <c r="AR4244" s="152"/>
      <c r="AS4244" s="152"/>
      <c r="AT4244" s="152"/>
      <c r="AU4244" s="153"/>
      <c r="AV4244" s="479"/>
      <c r="AW4244" s="479"/>
      <c r="AX4244" s="442"/>
      <c r="AY4244" s="153"/>
      <c r="AZ4244" s="152"/>
      <c r="BA4244" s="152"/>
      <c r="BB4244" s="152"/>
      <c r="BC4244" s="152"/>
      <c r="BD4244" s="152"/>
      <c r="BE4244" s="152"/>
      <c r="BF4244" s="152"/>
      <c r="BG4244" s="152"/>
      <c r="BH4244" s="152"/>
      <c r="BI4244" s="153"/>
      <c r="BJ4244" s="153"/>
      <c r="BK4244" s="153"/>
      <c r="BL4244" s="153"/>
      <c r="BM4244" s="153"/>
      <c r="BN4244" s="153"/>
      <c r="BO4244" s="153"/>
      <c r="BP4244" s="153"/>
      <c r="BQ4244" s="153"/>
      <c r="BR4244" s="153"/>
      <c r="BS4244" s="153"/>
      <c r="BT4244" s="153"/>
      <c r="BU4244" s="153"/>
      <c r="BV4244" s="153"/>
      <c r="BW4244" s="153"/>
      <c r="BX4244" s="153"/>
      <c r="BY4244" s="153"/>
      <c r="BZ4244" s="153"/>
      <c r="CA4244" s="152"/>
      <c r="CB4244" s="152"/>
    </row>
    <row r="4245" spans="1:80" s="87" customFormat="1" x14ac:dyDescent="0.2">
      <c r="A4245" s="252" t="s">
        <v>580</v>
      </c>
      <c r="B4245" s="683"/>
      <c r="C4245" s="683"/>
      <c r="D4245" s="292"/>
      <c r="E4245" s="215"/>
      <c r="F4245" s="215"/>
      <c r="G4245" s="153"/>
      <c r="H4245" s="153"/>
      <c r="I4245" s="163">
        <v>23</v>
      </c>
      <c r="J4245" s="164">
        <v>60</v>
      </c>
      <c r="K4245" s="150">
        <v>1</v>
      </c>
      <c r="L4245" s="656">
        <v>23</v>
      </c>
      <c r="M4245" s="663">
        <v>34840</v>
      </c>
      <c r="N4245" s="600">
        <v>4.4167800000000002</v>
      </c>
      <c r="O4245" s="604">
        <v>4.0304E-2</v>
      </c>
      <c r="P4245" s="250"/>
      <c r="Q4245" s="250"/>
      <c r="R4245" s="250">
        <v>0.2772</v>
      </c>
      <c r="S4245" s="250">
        <v>0.11789999999999999</v>
      </c>
      <c r="T4245" s="250">
        <v>0.1066</v>
      </c>
      <c r="U4245" s="250">
        <v>0.1149</v>
      </c>
      <c r="V4245" s="250">
        <v>0.14723485755326793</v>
      </c>
      <c r="W4245" s="250">
        <v>0.1413585217750887</v>
      </c>
      <c r="X4245" s="250">
        <v>8.538098243628528E-2</v>
      </c>
      <c r="Y4245" s="250">
        <v>9.4021372450867318E-3</v>
      </c>
      <c r="Z4245" s="150">
        <v>43.5</v>
      </c>
      <c r="AA4245" s="150">
        <v>4.05</v>
      </c>
      <c r="AB4245" s="152"/>
      <c r="AC4245" s="152"/>
      <c r="AD4245" s="223">
        <v>9.2351369999999999</v>
      </c>
      <c r="AE4245" s="223">
        <v>0.47547240000000002</v>
      </c>
      <c r="AF4245" s="223">
        <v>4.39109938</v>
      </c>
      <c r="AG4245" s="223">
        <v>1.0027591</v>
      </c>
      <c r="AH4245" s="341"/>
      <c r="AI4245" s="218"/>
      <c r="AJ4245" s="218"/>
      <c r="AK4245" s="153"/>
      <c r="AL4245" s="152"/>
      <c r="AM4245" s="152"/>
      <c r="AN4245" s="152"/>
      <c r="AO4245" s="152"/>
      <c r="AP4245" s="152"/>
      <c r="AQ4245" s="152"/>
      <c r="AR4245" s="152"/>
      <c r="AS4245" s="152"/>
      <c r="AT4245" s="152"/>
      <c r="AU4245" s="153"/>
      <c r="AV4245" s="479"/>
      <c r="AW4245" s="479"/>
      <c r="AX4245" s="442"/>
      <c r="AY4245" s="153"/>
      <c r="AZ4245" s="152"/>
      <c r="BA4245" s="152"/>
      <c r="BB4245" s="152"/>
      <c r="BC4245" s="152"/>
      <c r="BD4245" s="152"/>
      <c r="BE4245" s="152"/>
      <c r="BF4245" s="152"/>
      <c r="BG4245" s="152"/>
      <c r="BH4245" s="152"/>
      <c r="BI4245" s="153"/>
      <c r="BJ4245" s="153"/>
      <c r="BK4245" s="153"/>
      <c r="BL4245" s="153"/>
      <c r="BM4245" s="153"/>
      <c r="BN4245" s="153"/>
      <c r="BO4245" s="153"/>
      <c r="BP4245" s="153"/>
      <c r="BQ4245" s="153"/>
      <c r="BR4245" s="153"/>
      <c r="BS4245" s="153"/>
      <c r="BT4245" s="153"/>
      <c r="BU4245" s="153"/>
      <c r="BV4245" s="153"/>
      <c r="BW4245" s="153"/>
      <c r="BX4245" s="153"/>
      <c r="BY4245" s="153"/>
      <c r="BZ4245" s="153"/>
      <c r="CA4245" s="152"/>
      <c r="CB4245" s="152"/>
    </row>
    <row r="4246" spans="1:80" s="87" customFormat="1" x14ac:dyDescent="0.2">
      <c r="A4246" s="252" t="s">
        <v>580</v>
      </c>
      <c r="B4246" s="683"/>
      <c r="C4246" s="683"/>
      <c r="D4246" s="292"/>
      <c r="E4246" s="215"/>
      <c r="F4246" s="215"/>
      <c r="G4246" s="153"/>
      <c r="H4246" s="153"/>
      <c r="I4246" s="164">
        <v>23</v>
      </c>
      <c r="J4246" s="164">
        <v>60</v>
      </c>
      <c r="K4246" s="150">
        <v>1</v>
      </c>
      <c r="L4246" s="656">
        <v>23</v>
      </c>
      <c r="M4246" s="663">
        <v>34840</v>
      </c>
      <c r="N4246" s="600">
        <v>4.4167800000000002</v>
      </c>
      <c r="O4246" s="604">
        <v>2.1831E-2</v>
      </c>
      <c r="P4246" s="250"/>
      <c r="Q4246" s="250"/>
      <c r="R4246" s="250">
        <v>0.1152</v>
      </c>
      <c r="S4246" s="250">
        <v>5.4600000000000003E-2</v>
      </c>
      <c r="T4246" s="250">
        <v>7.8E-2</v>
      </c>
      <c r="U4246" s="250">
        <v>0.14829999999999999</v>
      </c>
      <c r="V4246" s="250">
        <v>0.21991185897435897</v>
      </c>
      <c r="W4246" s="250">
        <v>0.22512019230769226</v>
      </c>
      <c r="X4246" s="250">
        <v>0.14691506410256408</v>
      </c>
      <c r="Y4246" s="250">
        <v>1.1979166666666666E-2</v>
      </c>
      <c r="Z4246" s="150">
        <v>34</v>
      </c>
      <c r="AA4246" s="150">
        <v>1.41</v>
      </c>
      <c r="AB4246" s="152"/>
      <c r="AC4246" s="152"/>
      <c r="AD4246" s="223">
        <v>9.2351369999999999</v>
      </c>
      <c r="AE4246" s="223">
        <v>0.47547240000000002</v>
      </c>
      <c r="AF4246" s="223">
        <v>4.39109938</v>
      </c>
      <c r="AG4246" s="223">
        <v>1.0027591</v>
      </c>
      <c r="AH4246" s="341"/>
      <c r="AI4246" s="218"/>
      <c r="AJ4246" s="218"/>
      <c r="AK4246" s="153"/>
      <c r="AL4246" s="152"/>
      <c r="AM4246" s="152"/>
      <c r="AN4246" s="152"/>
      <c r="AO4246" s="152"/>
      <c r="AP4246" s="152"/>
      <c r="AQ4246" s="152"/>
      <c r="AR4246" s="152"/>
      <c r="AS4246" s="152"/>
      <c r="AT4246" s="152"/>
      <c r="AU4246" s="153"/>
      <c r="AV4246" s="479"/>
      <c r="AW4246" s="479"/>
      <c r="AX4246" s="442"/>
      <c r="AY4246" s="153"/>
      <c r="AZ4246" s="152"/>
      <c r="BA4246" s="152"/>
      <c r="BB4246" s="152"/>
      <c r="BC4246" s="152"/>
      <c r="BD4246" s="152"/>
      <c r="BE4246" s="152"/>
      <c r="BF4246" s="152"/>
      <c r="BG4246" s="152"/>
      <c r="BH4246" s="152"/>
      <c r="BI4246" s="153"/>
      <c r="BJ4246" s="153"/>
      <c r="BK4246" s="153"/>
      <c r="BL4246" s="153"/>
      <c r="BM4246" s="153"/>
      <c r="BN4246" s="153"/>
      <c r="BO4246" s="153"/>
      <c r="BP4246" s="153"/>
      <c r="BQ4246" s="153"/>
      <c r="BR4246" s="153"/>
      <c r="BS4246" s="153"/>
      <c r="BT4246" s="153"/>
      <c r="BU4246" s="153"/>
      <c r="BV4246" s="153"/>
      <c r="BW4246" s="153"/>
      <c r="BX4246" s="153"/>
      <c r="BY4246" s="153"/>
      <c r="BZ4246" s="153"/>
      <c r="CA4246" s="152"/>
      <c r="CB4246" s="152"/>
    </row>
    <row r="4247" spans="1:80" s="87" customFormat="1" x14ac:dyDescent="0.2">
      <c r="A4247" s="252" t="s">
        <v>580</v>
      </c>
      <c r="B4247" s="683"/>
      <c r="C4247" s="683"/>
      <c r="D4247" s="292"/>
      <c r="E4247" s="215"/>
      <c r="F4247" s="215"/>
      <c r="G4247" s="153"/>
      <c r="H4247" s="153"/>
      <c r="I4247" s="164">
        <v>23</v>
      </c>
      <c r="J4247" s="164">
        <v>60</v>
      </c>
      <c r="K4247" s="150">
        <v>1</v>
      </c>
      <c r="L4247" s="656">
        <v>23</v>
      </c>
      <c r="M4247" s="663">
        <v>34841</v>
      </c>
      <c r="N4247" s="600">
        <v>4.3601599999999996</v>
      </c>
      <c r="O4247" s="604">
        <v>1.8471999999999999E-2</v>
      </c>
      <c r="P4247" s="250"/>
      <c r="Q4247" s="250"/>
      <c r="R4247" s="250">
        <v>6.9599999999999995E-2</v>
      </c>
      <c r="S4247" s="250">
        <v>0.1067</v>
      </c>
      <c r="T4247" s="250">
        <v>9.6300000000000011E-2</v>
      </c>
      <c r="U4247" s="250">
        <v>0.16670000000000001</v>
      </c>
      <c r="V4247" s="250">
        <v>0.19062873739962413</v>
      </c>
      <c r="W4247" s="250">
        <v>0.20408337604647186</v>
      </c>
      <c r="X4247" s="250">
        <v>0.15389543823680163</v>
      </c>
      <c r="Y4247" s="250">
        <v>1.2087818212882281E-2</v>
      </c>
      <c r="Z4247" s="150">
        <v>23.5</v>
      </c>
      <c r="AA4247" s="150">
        <v>1.58</v>
      </c>
      <c r="AB4247" s="152"/>
      <c r="AC4247" s="152"/>
      <c r="AD4247" s="223">
        <v>9.2960949999999993</v>
      </c>
      <c r="AE4247" s="223">
        <v>0.4815682</v>
      </c>
      <c r="AF4247" s="223">
        <v>4.4765618600000003</v>
      </c>
      <c r="AG4247" s="223">
        <v>0.96923219999999999</v>
      </c>
      <c r="AH4247" s="341"/>
      <c r="AI4247" s="218"/>
      <c r="AJ4247" s="218"/>
      <c r="AK4247" s="153"/>
      <c r="AL4247" s="152"/>
      <c r="AM4247" s="152"/>
      <c r="AN4247" s="152"/>
      <c r="AO4247" s="152"/>
      <c r="AP4247" s="152"/>
      <c r="AQ4247" s="152"/>
      <c r="AR4247" s="152"/>
      <c r="AS4247" s="152"/>
      <c r="AT4247" s="152"/>
      <c r="AU4247" s="153"/>
      <c r="AV4247" s="479"/>
      <c r="AW4247" s="479"/>
      <c r="AX4247" s="442"/>
      <c r="AY4247" s="153"/>
      <c r="AZ4247" s="152"/>
      <c r="BA4247" s="152"/>
      <c r="BB4247" s="152"/>
      <c r="BC4247" s="152"/>
      <c r="BD4247" s="152"/>
      <c r="BE4247" s="152"/>
      <c r="BF4247" s="152"/>
      <c r="BG4247" s="152"/>
      <c r="BH4247" s="152"/>
      <c r="BI4247" s="153"/>
      <c r="BJ4247" s="153"/>
      <c r="BK4247" s="153"/>
      <c r="BL4247" s="153"/>
      <c r="BM4247" s="153"/>
      <c r="BN4247" s="153"/>
      <c r="BO4247" s="153"/>
      <c r="BP4247" s="153"/>
      <c r="BQ4247" s="153"/>
      <c r="BR4247" s="153"/>
      <c r="BS4247" s="153"/>
      <c r="BT4247" s="153"/>
      <c r="BU4247" s="153"/>
      <c r="BV4247" s="153"/>
      <c r="BW4247" s="153"/>
      <c r="BX4247" s="153"/>
      <c r="BY4247" s="153"/>
      <c r="BZ4247" s="153"/>
      <c r="CA4247" s="152"/>
      <c r="CB4247" s="152"/>
    </row>
    <row r="4248" spans="1:80" s="87" customFormat="1" x14ac:dyDescent="0.2">
      <c r="A4248" s="252" t="s">
        <v>580</v>
      </c>
      <c r="B4248" s="683"/>
      <c r="C4248" s="683"/>
      <c r="D4248" s="292"/>
      <c r="E4248" s="215"/>
      <c r="F4248" s="215"/>
      <c r="G4248" s="153"/>
      <c r="H4248" s="153"/>
      <c r="I4248" s="164">
        <v>23</v>
      </c>
      <c r="J4248" s="164">
        <v>60</v>
      </c>
      <c r="K4248" s="150">
        <v>1</v>
      </c>
      <c r="L4248" s="656">
        <v>23</v>
      </c>
      <c r="M4248" s="663">
        <v>34841</v>
      </c>
      <c r="N4248" s="600">
        <v>4.3601599999999996</v>
      </c>
      <c r="O4248" s="604">
        <v>3.6209999999999999E-2</v>
      </c>
      <c r="P4248" s="250"/>
      <c r="Q4248" s="250"/>
      <c r="R4248" s="250">
        <v>0.24850000000000003</v>
      </c>
      <c r="S4248" s="250">
        <v>0.126</v>
      </c>
      <c r="T4248" s="250">
        <v>0.14050000000000001</v>
      </c>
      <c r="U4248" s="250">
        <v>0.1575</v>
      </c>
      <c r="V4248" s="250">
        <v>0.13911342333820617</v>
      </c>
      <c r="W4248" s="250">
        <v>0.12150657838163209</v>
      </c>
      <c r="X4248" s="250">
        <v>5.9914868002407751E-2</v>
      </c>
      <c r="Y4248" s="250">
        <v>6.9223492991658765E-3</v>
      </c>
      <c r="Z4248" s="150">
        <v>32.5</v>
      </c>
      <c r="AA4248" s="150">
        <v>4.3</v>
      </c>
      <c r="AB4248" s="152"/>
      <c r="AC4248" s="152"/>
      <c r="AD4248" s="223">
        <v>9.2960949999999993</v>
      </c>
      <c r="AE4248" s="223">
        <v>0.4815682</v>
      </c>
      <c r="AF4248" s="223">
        <v>4.4765618600000003</v>
      </c>
      <c r="AG4248" s="223">
        <v>0.96923219999999999</v>
      </c>
      <c r="AH4248" s="341"/>
      <c r="AI4248" s="218"/>
      <c r="AJ4248" s="218"/>
      <c r="AK4248" s="153"/>
      <c r="AL4248" s="152"/>
      <c r="AM4248" s="152"/>
      <c r="AN4248" s="152"/>
      <c r="AO4248" s="152"/>
      <c r="AP4248" s="152"/>
      <c r="AQ4248" s="152"/>
      <c r="AR4248" s="152"/>
      <c r="AS4248" s="152"/>
      <c r="AT4248" s="152"/>
      <c r="AU4248" s="153"/>
      <c r="AV4248" s="479"/>
      <c r="AW4248" s="479"/>
      <c r="AX4248" s="442"/>
      <c r="AY4248" s="153"/>
      <c r="AZ4248" s="152"/>
      <c r="BA4248" s="152"/>
      <c r="BB4248" s="152"/>
      <c r="BC4248" s="152"/>
      <c r="BD4248" s="152"/>
      <c r="BE4248" s="152"/>
      <c r="BF4248" s="152"/>
      <c r="BG4248" s="152"/>
      <c r="BH4248" s="152"/>
      <c r="BI4248" s="153"/>
      <c r="BJ4248" s="153"/>
      <c r="BK4248" s="153"/>
      <c r="BL4248" s="153"/>
      <c r="BM4248" s="153"/>
      <c r="BN4248" s="153"/>
      <c r="BO4248" s="153"/>
      <c r="BP4248" s="153"/>
      <c r="BQ4248" s="153"/>
      <c r="BR4248" s="153"/>
      <c r="BS4248" s="153"/>
      <c r="BT4248" s="153"/>
      <c r="BU4248" s="153"/>
      <c r="BV4248" s="153"/>
      <c r="BW4248" s="153"/>
      <c r="BX4248" s="153"/>
      <c r="BY4248" s="153"/>
      <c r="BZ4248" s="153"/>
      <c r="CA4248" s="152"/>
      <c r="CB4248" s="152"/>
    </row>
    <row r="4249" spans="1:80" s="87" customFormat="1" x14ac:dyDescent="0.2">
      <c r="A4249" s="252" t="s">
        <v>580</v>
      </c>
      <c r="B4249" s="683"/>
      <c r="C4249" s="683"/>
      <c r="D4249" s="292"/>
      <c r="E4249" s="215"/>
      <c r="F4249" s="215"/>
      <c r="G4249" s="153"/>
      <c r="H4249" s="153"/>
      <c r="I4249" s="163">
        <v>20</v>
      </c>
      <c r="J4249" s="164">
        <v>60</v>
      </c>
      <c r="K4249" s="150">
        <v>1</v>
      </c>
      <c r="L4249" s="656">
        <v>20</v>
      </c>
      <c r="M4249" s="663">
        <v>34842</v>
      </c>
      <c r="N4249" s="600">
        <v>4.5583400000000003</v>
      </c>
      <c r="O4249" s="604">
        <v>1.291E-2</v>
      </c>
      <c r="P4249" s="250"/>
      <c r="Q4249" s="250"/>
      <c r="R4249" s="250"/>
      <c r="S4249" s="250">
        <v>8.0799999999999997E-2</v>
      </c>
      <c r="T4249" s="250">
        <v>4.2999999999999997E-2</v>
      </c>
      <c r="U4249" s="250">
        <v>9.8800000000000013E-2</v>
      </c>
      <c r="V4249" s="250">
        <v>0.22477210938749403</v>
      </c>
      <c r="W4249" s="250">
        <v>0.33543898928514315</v>
      </c>
      <c r="X4249" s="250">
        <v>0.19838477530785226</v>
      </c>
      <c r="Y4249" s="250">
        <v>1.8870941947865028E-2</v>
      </c>
      <c r="Z4249" s="150">
        <v>14</v>
      </c>
      <c r="AA4249" s="150">
        <v>0.89</v>
      </c>
      <c r="AB4249" s="152"/>
      <c r="AC4249" s="152"/>
      <c r="AD4249" s="223">
        <v>9.2351369999999999</v>
      </c>
      <c r="AE4249" s="223">
        <v>0.4815682</v>
      </c>
      <c r="AF4249" s="223">
        <v>4.4468357799999998</v>
      </c>
      <c r="AG4249" s="223">
        <v>1.0240944000000001</v>
      </c>
      <c r="AH4249" s="341"/>
      <c r="AI4249" s="218"/>
      <c r="AJ4249" s="218"/>
      <c r="AK4249" s="153"/>
      <c r="AL4249" s="152"/>
      <c r="AM4249" s="152"/>
      <c r="AN4249" s="152"/>
      <c r="AO4249" s="152"/>
      <c r="AP4249" s="152"/>
      <c r="AQ4249" s="152"/>
      <c r="AR4249" s="152"/>
      <c r="AS4249" s="152"/>
      <c r="AT4249" s="152"/>
      <c r="AU4249" s="153"/>
      <c r="AV4249" s="479"/>
      <c r="AW4249" s="479"/>
      <c r="AX4249" s="442"/>
      <c r="AY4249" s="153"/>
      <c r="AZ4249" s="152"/>
      <c r="BA4249" s="152"/>
      <c r="BB4249" s="152"/>
      <c r="BC4249" s="152"/>
      <c r="BD4249" s="152"/>
      <c r="BE4249" s="152"/>
      <c r="BF4249" s="152"/>
      <c r="BG4249" s="152"/>
      <c r="BH4249" s="152"/>
      <c r="BI4249" s="153"/>
      <c r="BJ4249" s="153"/>
      <c r="BK4249" s="153"/>
      <c r="BL4249" s="153"/>
      <c r="BM4249" s="153"/>
      <c r="BN4249" s="153"/>
      <c r="BO4249" s="153"/>
      <c r="BP4249" s="153"/>
      <c r="BQ4249" s="153"/>
      <c r="BR4249" s="153"/>
      <c r="BS4249" s="153"/>
      <c r="BT4249" s="153"/>
      <c r="BU4249" s="153"/>
      <c r="BV4249" s="153"/>
      <c r="BW4249" s="153"/>
      <c r="BX4249" s="153"/>
      <c r="BY4249" s="153"/>
      <c r="BZ4249" s="153"/>
      <c r="CA4249" s="152"/>
      <c r="CB4249" s="152"/>
    </row>
    <row r="4250" spans="1:80" s="87" customFormat="1" x14ac:dyDescent="0.2">
      <c r="A4250" s="252" t="s">
        <v>580</v>
      </c>
      <c r="B4250" s="683"/>
      <c r="C4250" s="683"/>
      <c r="D4250" s="292"/>
      <c r="E4250" s="215"/>
      <c r="F4250" s="215"/>
      <c r="G4250" s="153"/>
      <c r="H4250" s="153"/>
      <c r="I4250" s="164">
        <v>20</v>
      </c>
      <c r="J4250" s="164">
        <v>60</v>
      </c>
      <c r="K4250" s="150">
        <v>1</v>
      </c>
      <c r="L4250" s="656">
        <v>20</v>
      </c>
      <c r="M4250" s="663">
        <v>34842</v>
      </c>
      <c r="N4250" s="600">
        <v>4.5583400000000003</v>
      </c>
      <c r="O4250" s="604">
        <v>1.1755E-2</v>
      </c>
      <c r="P4250" s="250"/>
      <c r="Q4250" s="250"/>
      <c r="R4250" s="250"/>
      <c r="S4250" s="250">
        <v>7.6E-3</v>
      </c>
      <c r="T4250" s="250">
        <v>4.4800000000000006E-2</v>
      </c>
      <c r="U4250" s="250">
        <v>5.9299999999999999E-2</v>
      </c>
      <c r="V4250" s="250">
        <v>0.20561323244765092</v>
      </c>
      <c r="W4250" s="250">
        <v>0.38351222945627311</v>
      </c>
      <c r="X4250" s="250">
        <v>0.27362308639802924</v>
      </c>
      <c r="Y4250" s="250">
        <v>2.5602674643674116E-2</v>
      </c>
      <c r="Z4250" s="150">
        <v>10.5</v>
      </c>
      <c r="AA4250" s="150">
        <v>0.7</v>
      </c>
      <c r="AB4250" s="152"/>
      <c r="AC4250" s="152"/>
      <c r="AD4250" s="223">
        <v>9.2351369999999999</v>
      </c>
      <c r="AE4250" s="223">
        <v>0.4815682</v>
      </c>
      <c r="AF4250" s="223">
        <v>4.4468357799999998</v>
      </c>
      <c r="AG4250" s="223">
        <v>1.0240944000000001</v>
      </c>
      <c r="AH4250" s="341"/>
      <c r="AI4250" s="218"/>
      <c r="AJ4250" s="218"/>
      <c r="AK4250" s="153"/>
      <c r="AL4250" s="152"/>
      <c r="AM4250" s="152"/>
      <c r="AN4250" s="152"/>
      <c r="AO4250" s="152"/>
      <c r="AP4250" s="152"/>
      <c r="AQ4250" s="152"/>
      <c r="AR4250" s="152"/>
      <c r="AS4250" s="152"/>
      <c r="AT4250" s="152"/>
      <c r="AU4250" s="153"/>
      <c r="AV4250" s="479"/>
      <c r="AW4250" s="479"/>
      <c r="AX4250" s="442"/>
      <c r="AY4250" s="153"/>
      <c r="AZ4250" s="152"/>
      <c r="BA4250" s="152"/>
      <c r="BB4250" s="152"/>
      <c r="BC4250" s="152"/>
      <c r="BD4250" s="152"/>
      <c r="BE4250" s="152"/>
      <c r="BF4250" s="152"/>
      <c r="BG4250" s="152"/>
      <c r="BH4250" s="152"/>
      <c r="BI4250" s="153"/>
      <c r="BJ4250" s="153"/>
      <c r="BK4250" s="153"/>
      <c r="BL4250" s="153"/>
      <c r="BM4250" s="153"/>
      <c r="BN4250" s="153"/>
      <c r="BO4250" s="153"/>
      <c r="BP4250" s="153"/>
      <c r="BQ4250" s="153"/>
      <c r="BR4250" s="153"/>
      <c r="BS4250" s="153"/>
      <c r="BT4250" s="153"/>
      <c r="BU4250" s="153"/>
      <c r="BV4250" s="153"/>
      <c r="BW4250" s="153"/>
      <c r="BX4250" s="153"/>
      <c r="BY4250" s="153"/>
      <c r="BZ4250" s="153"/>
      <c r="CA4250" s="152"/>
      <c r="CB4250" s="152"/>
    </row>
    <row r="4251" spans="1:80" s="87" customFormat="1" x14ac:dyDescent="0.2">
      <c r="A4251" s="252" t="s">
        <v>580</v>
      </c>
      <c r="B4251" s="683"/>
      <c r="C4251" s="683"/>
      <c r="D4251" s="292"/>
      <c r="E4251" s="215"/>
      <c r="F4251" s="215"/>
      <c r="G4251" s="153"/>
      <c r="H4251" s="153"/>
      <c r="I4251" s="164">
        <v>26</v>
      </c>
      <c r="J4251" s="164">
        <v>60</v>
      </c>
      <c r="K4251" s="150">
        <v>1</v>
      </c>
      <c r="L4251" s="656">
        <v>26</v>
      </c>
      <c r="M4251" s="663">
        <v>34843</v>
      </c>
      <c r="N4251" s="600">
        <v>3.9071500000000001</v>
      </c>
      <c r="O4251" s="604">
        <v>1.6583000000000001E-2</v>
      </c>
      <c r="P4251" s="250"/>
      <c r="Q4251" s="250"/>
      <c r="R4251" s="250">
        <v>8.09E-2</v>
      </c>
      <c r="S4251" s="250">
        <v>0.17910000000000001</v>
      </c>
      <c r="T4251" s="250">
        <v>0.10710000000000001</v>
      </c>
      <c r="U4251" s="250">
        <v>0.12119999999999999</v>
      </c>
      <c r="V4251" s="250">
        <v>0.19135945233359547</v>
      </c>
      <c r="W4251" s="250">
        <v>0.1939035108006846</v>
      </c>
      <c r="X4251" s="250">
        <v>0.11577778805680188</v>
      </c>
      <c r="Y4251" s="250">
        <v>1.0592534344789305E-2</v>
      </c>
      <c r="Z4251" s="150">
        <v>25</v>
      </c>
      <c r="AA4251" s="150">
        <v>1.9</v>
      </c>
      <c r="AB4251" s="152"/>
      <c r="AC4251" s="152"/>
      <c r="AD4251" s="223">
        <v>9.0522629999999999</v>
      </c>
      <c r="AE4251" s="223">
        <v>0.49375980000000003</v>
      </c>
      <c r="AF4251" s="223">
        <v>4.4691303400000004</v>
      </c>
      <c r="AG4251" s="223">
        <v>0.87474730000000001</v>
      </c>
      <c r="AH4251" s="341"/>
      <c r="AI4251" s="218"/>
      <c r="AJ4251" s="218"/>
      <c r="AK4251" s="153"/>
      <c r="AL4251" s="152"/>
      <c r="AM4251" s="152"/>
      <c r="AN4251" s="152"/>
      <c r="AO4251" s="152"/>
      <c r="AP4251" s="152"/>
      <c r="AQ4251" s="152"/>
      <c r="AR4251" s="152"/>
      <c r="AS4251" s="152"/>
      <c r="AT4251" s="152"/>
      <c r="AU4251" s="153"/>
      <c r="AV4251" s="479"/>
      <c r="AW4251" s="479"/>
      <c r="AX4251" s="442"/>
      <c r="AY4251" s="153"/>
      <c r="AZ4251" s="152"/>
      <c r="BA4251" s="152"/>
      <c r="BB4251" s="152"/>
      <c r="BC4251" s="152"/>
      <c r="BD4251" s="152"/>
      <c r="BE4251" s="152"/>
      <c r="BF4251" s="152"/>
      <c r="BG4251" s="152"/>
      <c r="BH4251" s="152"/>
      <c r="BI4251" s="153"/>
      <c r="BJ4251" s="153"/>
      <c r="BK4251" s="153"/>
      <c r="BL4251" s="153"/>
      <c r="BM4251" s="153"/>
      <c r="BN4251" s="153"/>
      <c r="BO4251" s="153"/>
      <c r="BP4251" s="153"/>
      <c r="BQ4251" s="153"/>
      <c r="BR4251" s="153"/>
      <c r="BS4251" s="153"/>
      <c r="BT4251" s="153"/>
      <c r="BU4251" s="153"/>
      <c r="BV4251" s="153"/>
      <c r="BW4251" s="153"/>
      <c r="BX4251" s="153"/>
      <c r="BY4251" s="153"/>
      <c r="BZ4251" s="153"/>
      <c r="CA4251" s="152"/>
      <c r="CB4251" s="152"/>
    </row>
    <row r="4252" spans="1:80" s="87" customFormat="1" x14ac:dyDescent="0.2">
      <c r="A4252" s="252" t="s">
        <v>580</v>
      </c>
      <c r="B4252" s="683"/>
      <c r="C4252" s="683"/>
      <c r="D4252" s="292"/>
      <c r="E4252" s="215"/>
      <c r="F4252" s="215"/>
      <c r="G4252" s="153"/>
      <c r="H4252" s="153"/>
      <c r="I4252" s="164">
        <v>26</v>
      </c>
      <c r="J4252" s="164">
        <v>60</v>
      </c>
      <c r="K4252" s="150">
        <v>1</v>
      </c>
      <c r="L4252" s="656">
        <v>26</v>
      </c>
      <c r="M4252" s="663">
        <v>34843</v>
      </c>
      <c r="N4252" s="600">
        <v>3.9071500000000001</v>
      </c>
      <c r="O4252" s="604">
        <v>2.7184E-2</v>
      </c>
      <c r="P4252" s="250"/>
      <c r="Q4252" s="250"/>
      <c r="R4252" s="250">
        <v>0.30449999999999999</v>
      </c>
      <c r="S4252" s="250">
        <v>9.1999999999999998E-2</v>
      </c>
      <c r="T4252" s="250">
        <v>9.8299999999999998E-2</v>
      </c>
      <c r="U4252" s="250">
        <v>0.13720000000000002</v>
      </c>
      <c r="V4252" s="250">
        <v>0.17824942599540797</v>
      </c>
      <c r="W4252" s="250">
        <v>0.11687293498347988</v>
      </c>
      <c r="X4252" s="250">
        <v>6.6024528196225563E-2</v>
      </c>
      <c r="Y4252" s="250">
        <v>6.8320546564372524E-3</v>
      </c>
      <c r="Z4252" s="150">
        <v>42</v>
      </c>
      <c r="AA4252" s="150">
        <v>3.88</v>
      </c>
      <c r="AB4252" s="152"/>
      <c r="AC4252" s="152"/>
      <c r="AD4252" s="223">
        <v>9.0522629999999999</v>
      </c>
      <c r="AE4252" s="223">
        <v>0.49375980000000003</v>
      </c>
      <c r="AF4252" s="223">
        <v>4.4691303400000004</v>
      </c>
      <c r="AG4252" s="223">
        <v>0.87474730000000001</v>
      </c>
      <c r="AH4252" s="341"/>
      <c r="AI4252" s="218"/>
      <c r="AJ4252" s="218"/>
      <c r="AK4252" s="153"/>
      <c r="AL4252" s="152"/>
      <c r="AM4252" s="152"/>
      <c r="AN4252" s="152"/>
      <c r="AO4252" s="152"/>
      <c r="AP4252" s="152"/>
      <c r="AQ4252" s="152"/>
      <c r="AR4252" s="152"/>
      <c r="AS4252" s="152"/>
      <c r="AT4252" s="152"/>
      <c r="AU4252" s="153"/>
      <c r="AV4252" s="479"/>
      <c r="AW4252" s="479"/>
      <c r="AX4252" s="442"/>
      <c r="AY4252" s="153"/>
      <c r="AZ4252" s="152"/>
      <c r="BA4252" s="152"/>
      <c r="BB4252" s="152"/>
      <c r="BC4252" s="152"/>
      <c r="BD4252" s="152"/>
      <c r="BE4252" s="152"/>
      <c r="BF4252" s="152"/>
      <c r="BG4252" s="152"/>
      <c r="BH4252" s="152"/>
      <c r="BI4252" s="153"/>
      <c r="BJ4252" s="153"/>
      <c r="BK4252" s="153"/>
      <c r="BL4252" s="153"/>
      <c r="BM4252" s="153"/>
      <c r="BN4252" s="153"/>
      <c r="BO4252" s="153"/>
      <c r="BP4252" s="153"/>
      <c r="BQ4252" s="153"/>
      <c r="BR4252" s="153"/>
      <c r="BS4252" s="153"/>
      <c r="BT4252" s="153"/>
      <c r="BU4252" s="153"/>
      <c r="BV4252" s="153"/>
      <c r="BW4252" s="153"/>
      <c r="BX4252" s="153"/>
      <c r="BY4252" s="153"/>
      <c r="BZ4252" s="153"/>
      <c r="CA4252" s="152"/>
      <c r="CB4252" s="152"/>
    </row>
    <row r="4253" spans="1:80" s="87" customFormat="1" x14ac:dyDescent="0.2">
      <c r="A4253" s="252" t="s">
        <v>580</v>
      </c>
      <c r="B4253" s="683"/>
      <c r="C4253" s="683"/>
      <c r="D4253" s="292"/>
      <c r="E4253" s="215"/>
      <c r="F4253" s="215"/>
      <c r="G4253" s="153"/>
      <c r="H4253" s="153"/>
      <c r="I4253" s="163">
        <v>23</v>
      </c>
      <c r="J4253" s="164">
        <v>60</v>
      </c>
      <c r="K4253" s="150">
        <v>1</v>
      </c>
      <c r="L4253" s="656">
        <v>23</v>
      </c>
      <c r="M4253" s="663">
        <v>34844</v>
      </c>
      <c r="N4253" s="600">
        <v>3.9071500000000001</v>
      </c>
      <c r="O4253" s="604">
        <v>5.0379999999999999E-3</v>
      </c>
      <c r="P4253" s="250"/>
      <c r="Q4253" s="250"/>
      <c r="R4253" s="250"/>
      <c r="S4253" s="250"/>
      <c r="T4253" s="250">
        <v>3.9100000000000003E-2</v>
      </c>
      <c r="U4253" s="250">
        <v>3.9699999999999999E-2</v>
      </c>
      <c r="V4253" s="250">
        <v>0.173936360386128</v>
      </c>
      <c r="W4253" s="250">
        <v>0.40293171254915983</v>
      </c>
      <c r="X4253" s="250">
        <v>0.32767250625670363</v>
      </c>
      <c r="Y4253" s="250">
        <v>1.662495530925992E-2</v>
      </c>
      <c r="Z4253" s="150">
        <v>7</v>
      </c>
      <c r="AA4253" s="150">
        <v>0.63</v>
      </c>
      <c r="AB4253" s="152"/>
      <c r="AC4253" s="152"/>
      <c r="AD4253" s="223">
        <v>9.2960949999999993</v>
      </c>
      <c r="AE4253" s="223">
        <v>0.45108920000000002</v>
      </c>
      <c r="AF4253" s="223">
        <v>4.1932351600000004</v>
      </c>
      <c r="AG4253" s="223">
        <v>0.92960949999999998</v>
      </c>
      <c r="AH4253" s="341"/>
      <c r="AI4253" s="218"/>
      <c r="AJ4253" s="218"/>
      <c r="AK4253" s="153"/>
      <c r="AL4253" s="152"/>
      <c r="AM4253" s="152"/>
      <c r="AN4253" s="152"/>
      <c r="AO4253" s="152"/>
      <c r="AP4253" s="152"/>
      <c r="AQ4253" s="152"/>
      <c r="AR4253" s="152"/>
      <c r="AS4253" s="152"/>
      <c r="AT4253" s="152"/>
      <c r="AU4253" s="153"/>
      <c r="AV4253" s="479"/>
      <c r="AW4253" s="479"/>
      <c r="AX4253" s="442"/>
      <c r="AY4253" s="153"/>
      <c r="AZ4253" s="152"/>
      <c r="BA4253" s="152"/>
      <c r="BB4253" s="152"/>
      <c r="BC4253" s="152"/>
      <c r="BD4253" s="152"/>
      <c r="BE4253" s="152"/>
      <c r="BF4253" s="152"/>
      <c r="BG4253" s="152"/>
      <c r="BH4253" s="152"/>
      <c r="BI4253" s="153"/>
      <c r="BJ4253" s="153"/>
      <c r="BK4253" s="153"/>
      <c r="BL4253" s="153"/>
      <c r="BM4253" s="153"/>
      <c r="BN4253" s="153"/>
      <c r="BO4253" s="153"/>
      <c r="BP4253" s="153"/>
      <c r="BQ4253" s="153"/>
      <c r="BR4253" s="153"/>
      <c r="BS4253" s="153"/>
      <c r="BT4253" s="153"/>
      <c r="BU4253" s="153"/>
      <c r="BV4253" s="153"/>
      <c r="BW4253" s="153"/>
      <c r="BX4253" s="153"/>
      <c r="BY4253" s="153"/>
      <c r="BZ4253" s="153"/>
      <c r="CA4253" s="152"/>
      <c r="CB4253" s="152"/>
    </row>
    <row r="4254" spans="1:80" s="87" customFormat="1" x14ac:dyDescent="0.2">
      <c r="A4254" s="252" t="s">
        <v>580</v>
      </c>
      <c r="B4254" s="683"/>
      <c r="C4254" s="683"/>
      <c r="D4254" s="292"/>
      <c r="E4254" s="215"/>
      <c r="F4254" s="215"/>
      <c r="G4254" s="153"/>
      <c r="H4254" s="153"/>
      <c r="I4254" s="163">
        <v>23</v>
      </c>
      <c r="J4254" s="164">
        <v>60</v>
      </c>
      <c r="K4254" s="150">
        <v>1</v>
      </c>
      <c r="L4254" s="656">
        <v>23</v>
      </c>
      <c r="M4254" s="663">
        <v>34844</v>
      </c>
      <c r="N4254" s="600">
        <v>3.9071500000000001</v>
      </c>
      <c r="O4254" s="604">
        <v>6.7169999999999999E-3</v>
      </c>
      <c r="P4254" s="250"/>
      <c r="Q4254" s="250"/>
      <c r="R4254" s="250">
        <v>0.1011</v>
      </c>
      <c r="S4254" s="250">
        <v>0.12330000000000001</v>
      </c>
      <c r="T4254" s="250">
        <v>0.1047</v>
      </c>
      <c r="U4254" s="250">
        <v>0.16170000000000001</v>
      </c>
      <c r="V4254" s="250">
        <v>0.13514232508645915</v>
      </c>
      <c r="W4254" s="250">
        <v>0.1943335993615323</v>
      </c>
      <c r="X4254" s="250">
        <v>0.17172120244745939</v>
      </c>
      <c r="Y4254" s="250">
        <v>7.9808459696727851E-3</v>
      </c>
      <c r="Z4254" s="150">
        <v>21.5</v>
      </c>
      <c r="AA4254" s="150">
        <v>1.9</v>
      </c>
      <c r="AB4254" s="152"/>
      <c r="AC4254" s="152"/>
      <c r="AD4254" s="223">
        <v>9.2960949999999993</v>
      </c>
      <c r="AE4254" s="223">
        <v>0.45108920000000002</v>
      </c>
      <c r="AF4254" s="223">
        <v>4.1932351600000004</v>
      </c>
      <c r="AG4254" s="223">
        <v>0.92960949999999998</v>
      </c>
      <c r="AH4254" s="341"/>
      <c r="AI4254" s="218"/>
      <c r="AJ4254" s="218"/>
      <c r="AK4254" s="153"/>
      <c r="AL4254" s="152"/>
      <c r="AM4254" s="152"/>
      <c r="AN4254" s="152"/>
      <c r="AO4254" s="152"/>
      <c r="AP4254" s="152"/>
      <c r="AQ4254" s="152"/>
      <c r="AR4254" s="152"/>
      <c r="AS4254" s="152"/>
      <c r="AT4254" s="152"/>
      <c r="AU4254" s="153"/>
      <c r="AV4254" s="479"/>
      <c r="AW4254" s="479"/>
      <c r="AX4254" s="442"/>
      <c r="AY4254" s="153"/>
      <c r="AZ4254" s="152"/>
      <c r="BA4254" s="152"/>
      <c r="BB4254" s="152"/>
      <c r="BC4254" s="152"/>
      <c r="BD4254" s="152"/>
      <c r="BE4254" s="152"/>
      <c r="BF4254" s="152"/>
      <c r="BG4254" s="152"/>
      <c r="BH4254" s="152"/>
      <c r="BI4254" s="153"/>
      <c r="BJ4254" s="153"/>
      <c r="BK4254" s="153"/>
      <c r="BL4254" s="153"/>
      <c r="BM4254" s="153"/>
      <c r="BN4254" s="153"/>
      <c r="BO4254" s="153"/>
      <c r="BP4254" s="153"/>
      <c r="BQ4254" s="153"/>
      <c r="BR4254" s="153"/>
      <c r="BS4254" s="153"/>
      <c r="BT4254" s="153"/>
      <c r="BU4254" s="153"/>
      <c r="BV4254" s="153"/>
      <c r="BW4254" s="153"/>
      <c r="BX4254" s="153"/>
      <c r="BY4254" s="153"/>
      <c r="BZ4254" s="153"/>
      <c r="CA4254" s="152"/>
      <c r="CB4254" s="152"/>
    </row>
    <row r="4255" spans="1:80" s="87" customFormat="1" x14ac:dyDescent="0.2">
      <c r="A4255" s="252" t="s">
        <v>580</v>
      </c>
      <c r="B4255" s="683"/>
      <c r="C4255" s="683"/>
      <c r="D4255" s="292"/>
      <c r="E4255" s="215"/>
      <c r="F4255" s="215"/>
      <c r="G4255" s="153"/>
      <c r="H4255" s="153"/>
      <c r="I4255" s="163">
        <v>24</v>
      </c>
      <c r="J4255" s="164">
        <v>60</v>
      </c>
      <c r="K4255" s="150">
        <v>1</v>
      </c>
      <c r="L4255" s="656">
        <v>24</v>
      </c>
      <c r="M4255" s="663">
        <v>34848</v>
      </c>
      <c r="N4255" s="600">
        <v>3.6240299999999999</v>
      </c>
      <c r="O4255" s="604">
        <v>1.4589E-2</v>
      </c>
      <c r="P4255" s="250"/>
      <c r="Q4255" s="250"/>
      <c r="R4255" s="250">
        <v>7.4700000000000003E-2</v>
      </c>
      <c r="S4255" s="250">
        <v>0.1419</v>
      </c>
      <c r="T4255" s="250">
        <v>9.3800000000000008E-2</v>
      </c>
      <c r="U4255" s="250">
        <v>0.1777</v>
      </c>
      <c r="V4255" s="250">
        <v>0.20646387832699623</v>
      </c>
      <c r="W4255" s="250">
        <v>0.17202607278652907</v>
      </c>
      <c r="X4255" s="250">
        <v>0.12520369364475831</v>
      </c>
      <c r="Y4255" s="250">
        <v>8.1477457903313417E-3</v>
      </c>
      <c r="Z4255" s="150">
        <v>35.5</v>
      </c>
      <c r="AA4255" s="150">
        <v>1.93</v>
      </c>
      <c r="AB4255" s="152"/>
      <c r="AC4255" s="152"/>
      <c r="AD4255" s="223">
        <v>8.6560360000000003</v>
      </c>
      <c r="AE4255" s="223">
        <v>0.46937659999999998</v>
      </c>
      <c r="AF4255" s="223">
        <v>4.0631835599999997</v>
      </c>
      <c r="AG4255" s="223">
        <v>0.89303469999999996</v>
      </c>
      <c r="AH4255" s="341"/>
      <c r="AI4255" s="218"/>
      <c r="AJ4255" s="218"/>
      <c r="AK4255" s="153"/>
      <c r="AL4255" s="152"/>
      <c r="AM4255" s="152"/>
      <c r="AN4255" s="152"/>
      <c r="AO4255" s="152"/>
      <c r="AP4255" s="152"/>
      <c r="AQ4255" s="152"/>
      <c r="AR4255" s="152"/>
      <c r="AS4255" s="152"/>
      <c r="AT4255" s="152"/>
      <c r="AU4255" s="153"/>
      <c r="AV4255" s="479"/>
      <c r="AW4255" s="479"/>
      <c r="AX4255" s="442"/>
      <c r="AY4255" s="153"/>
      <c r="AZ4255" s="152"/>
      <c r="BA4255" s="152"/>
      <c r="BB4255" s="152"/>
      <c r="BC4255" s="152"/>
      <c r="BD4255" s="152"/>
      <c r="BE4255" s="152"/>
      <c r="BF4255" s="152"/>
      <c r="BG4255" s="152"/>
      <c r="BH4255" s="152"/>
      <c r="BI4255" s="153"/>
      <c r="BJ4255" s="153"/>
      <c r="BK4255" s="153"/>
      <c r="BL4255" s="153"/>
      <c r="BM4255" s="153"/>
      <c r="BN4255" s="153"/>
      <c r="BO4255" s="153"/>
      <c r="BP4255" s="153"/>
      <c r="BQ4255" s="153"/>
      <c r="BR4255" s="153"/>
      <c r="BS4255" s="153"/>
      <c r="BT4255" s="153"/>
      <c r="BU4255" s="153"/>
      <c r="BV4255" s="153"/>
      <c r="BW4255" s="153"/>
      <c r="BX4255" s="153"/>
      <c r="BY4255" s="153"/>
      <c r="BZ4255" s="153"/>
      <c r="CA4255" s="152"/>
      <c r="CB4255" s="152"/>
    </row>
    <row r="4256" spans="1:80" s="87" customFormat="1" x14ac:dyDescent="0.2">
      <c r="A4256" s="252" t="s">
        <v>580</v>
      </c>
      <c r="B4256" s="683"/>
      <c r="C4256" s="683"/>
      <c r="D4256" s="292"/>
      <c r="E4256" s="215"/>
      <c r="F4256" s="215"/>
      <c r="G4256" s="153"/>
      <c r="H4256" s="153"/>
      <c r="I4256" s="163">
        <v>24</v>
      </c>
      <c r="J4256" s="164">
        <v>60</v>
      </c>
      <c r="K4256" s="150">
        <v>1</v>
      </c>
      <c r="L4256" s="656">
        <v>24</v>
      </c>
      <c r="M4256" s="663">
        <v>34848</v>
      </c>
      <c r="N4256" s="600">
        <v>3.6240299999999999</v>
      </c>
      <c r="O4256" s="604">
        <v>4.5865999999999997E-2</v>
      </c>
      <c r="P4256" s="250"/>
      <c r="Q4256" s="250"/>
      <c r="R4256" s="250">
        <v>0.46130000000000004</v>
      </c>
      <c r="S4256" s="250">
        <v>7.980000000000001E-2</v>
      </c>
      <c r="T4256" s="250">
        <v>8.1000000000000003E-2</v>
      </c>
      <c r="U4256" s="250">
        <v>0.1103</v>
      </c>
      <c r="V4256" s="250">
        <v>0.15850010315659172</v>
      </c>
      <c r="W4256" s="250">
        <v>7.5630974485936323E-2</v>
      </c>
      <c r="X4256" s="250">
        <v>2.9537170758544805E-2</v>
      </c>
      <c r="Y4256" s="250">
        <v>3.885564954267244E-3</v>
      </c>
      <c r="Z4256" s="150">
        <v>50</v>
      </c>
      <c r="AA4256" s="150">
        <v>10.29</v>
      </c>
      <c r="AB4256" s="152"/>
      <c r="AC4256" s="152"/>
      <c r="AD4256" s="223">
        <v>8.6560360000000003</v>
      </c>
      <c r="AE4256" s="223">
        <v>0.46937659999999998</v>
      </c>
      <c r="AF4256" s="223">
        <v>4.0631835599999997</v>
      </c>
      <c r="AG4256" s="223">
        <v>0.89303469999999996</v>
      </c>
      <c r="AH4256" s="341"/>
      <c r="AI4256" s="218"/>
      <c r="AJ4256" s="218"/>
      <c r="AK4256" s="153"/>
      <c r="AL4256" s="152"/>
      <c r="AM4256" s="152"/>
      <c r="AN4256" s="152"/>
      <c r="AO4256" s="152"/>
      <c r="AP4256" s="152"/>
      <c r="AQ4256" s="152"/>
      <c r="AR4256" s="152"/>
      <c r="AS4256" s="152"/>
      <c r="AT4256" s="152"/>
      <c r="AU4256" s="153"/>
      <c r="AV4256" s="479"/>
      <c r="AW4256" s="479"/>
      <c r="AX4256" s="442"/>
      <c r="AY4256" s="153"/>
      <c r="AZ4256" s="152"/>
      <c r="BA4256" s="152"/>
      <c r="BB4256" s="152"/>
      <c r="BC4256" s="152"/>
      <c r="BD4256" s="152"/>
      <c r="BE4256" s="152"/>
      <c r="BF4256" s="152"/>
      <c r="BG4256" s="152"/>
      <c r="BH4256" s="152"/>
      <c r="BI4256" s="153"/>
      <c r="BJ4256" s="153"/>
      <c r="BK4256" s="153"/>
      <c r="BL4256" s="153"/>
      <c r="BM4256" s="153"/>
      <c r="BN4256" s="153"/>
      <c r="BO4256" s="153"/>
      <c r="BP4256" s="153"/>
      <c r="BQ4256" s="153"/>
      <c r="BR4256" s="153"/>
      <c r="BS4256" s="153"/>
      <c r="BT4256" s="153"/>
      <c r="BU4256" s="153"/>
      <c r="BV4256" s="153"/>
      <c r="BW4256" s="153"/>
      <c r="BX4256" s="153"/>
      <c r="BY4256" s="153"/>
      <c r="BZ4256" s="153"/>
      <c r="CA4256" s="152"/>
      <c r="CB4256" s="152"/>
    </row>
    <row r="4257" spans="1:80" s="87" customFormat="1" x14ac:dyDescent="0.2">
      <c r="A4257" s="252" t="s">
        <v>580</v>
      </c>
      <c r="B4257" s="683"/>
      <c r="C4257" s="683"/>
      <c r="D4257" s="292"/>
      <c r="E4257" s="215"/>
      <c r="F4257" s="215"/>
      <c r="G4257" s="153"/>
      <c r="H4257" s="153"/>
      <c r="I4257" s="163">
        <v>24</v>
      </c>
      <c r="J4257" s="164">
        <v>60</v>
      </c>
      <c r="K4257" s="150">
        <v>1</v>
      </c>
      <c r="L4257" s="656">
        <v>24</v>
      </c>
      <c r="M4257" s="663">
        <v>34848</v>
      </c>
      <c r="N4257" s="600">
        <v>3.6240299999999999</v>
      </c>
      <c r="O4257" s="604">
        <v>7.9869999999999993E-3</v>
      </c>
      <c r="P4257" s="250"/>
      <c r="Q4257" s="250"/>
      <c r="R4257" s="250"/>
      <c r="S4257" s="250">
        <v>0.2361</v>
      </c>
      <c r="T4257" s="250">
        <v>9.2100000000000015E-2</v>
      </c>
      <c r="U4257" s="250">
        <v>0.13869999999999999</v>
      </c>
      <c r="V4257" s="250">
        <v>0.1813652217239661</v>
      </c>
      <c r="W4257" s="250">
        <v>0.16372695565520679</v>
      </c>
      <c r="X4257" s="250">
        <v>0.17289486796213255</v>
      </c>
      <c r="Y4257" s="250">
        <v>1.5146985550572995E-2</v>
      </c>
      <c r="Z4257" s="150">
        <v>16</v>
      </c>
      <c r="AA4257" s="150">
        <v>1.76</v>
      </c>
      <c r="AB4257" s="152"/>
      <c r="AC4257" s="152"/>
      <c r="AD4257" s="223">
        <v>8.6560360000000003</v>
      </c>
      <c r="AE4257" s="223">
        <v>0.46937659999999998</v>
      </c>
      <c r="AF4257" s="223">
        <v>4.0631835599999997</v>
      </c>
      <c r="AG4257" s="223">
        <v>0.89303469999999996</v>
      </c>
      <c r="AH4257" s="341"/>
      <c r="AI4257" s="218"/>
      <c r="AJ4257" s="218"/>
      <c r="AK4257" s="153"/>
      <c r="AL4257" s="152"/>
      <c r="AM4257" s="152"/>
      <c r="AN4257" s="152"/>
      <c r="AO4257" s="152"/>
      <c r="AP4257" s="152"/>
      <c r="AQ4257" s="152"/>
      <c r="AR4257" s="152"/>
      <c r="AS4257" s="152"/>
      <c r="AT4257" s="152"/>
      <c r="AU4257" s="153"/>
      <c r="AV4257" s="479"/>
      <c r="AW4257" s="479"/>
      <c r="AX4257" s="442"/>
      <c r="AY4257" s="153"/>
      <c r="AZ4257" s="152"/>
      <c r="BA4257" s="152"/>
      <c r="BB4257" s="152"/>
      <c r="BC4257" s="152"/>
      <c r="BD4257" s="152"/>
      <c r="BE4257" s="152"/>
      <c r="BF4257" s="152"/>
      <c r="BG4257" s="152"/>
      <c r="BH4257" s="152"/>
      <c r="BI4257" s="153"/>
      <c r="BJ4257" s="153"/>
      <c r="BK4257" s="153"/>
      <c r="BL4257" s="153"/>
      <c r="BM4257" s="153"/>
      <c r="BN4257" s="153"/>
      <c r="BO4257" s="153"/>
      <c r="BP4257" s="153"/>
      <c r="BQ4257" s="153"/>
      <c r="BR4257" s="153"/>
      <c r="BS4257" s="153"/>
      <c r="BT4257" s="153"/>
      <c r="BU4257" s="153"/>
      <c r="BV4257" s="153"/>
      <c r="BW4257" s="153"/>
      <c r="BX4257" s="153"/>
      <c r="BY4257" s="153"/>
      <c r="BZ4257" s="153"/>
      <c r="CA4257" s="152"/>
      <c r="CB4257" s="152"/>
    </row>
    <row r="4258" spans="1:80" s="87" customFormat="1" x14ac:dyDescent="0.2">
      <c r="A4258" s="252" t="s">
        <v>579</v>
      </c>
      <c r="B4258" s="683"/>
      <c r="C4258" s="683"/>
      <c r="D4258" s="292"/>
      <c r="E4258" s="215"/>
      <c r="F4258" s="215"/>
      <c r="G4258" s="153"/>
      <c r="H4258" s="153"/>
      <c r="I4258" s="164">
        <v>23</v>
      </c>
      <c r="J4258" s="164">
        <v>60</v>
      </c>
      <c r="K4258" s="150">
        <v>1</v>
      </c>
      <c r="L4258" s="656">
        <v>23</v>
      </c>
      <c r="M4258" s="663">
        <v>34854</v>
      </c>
      <c r="N4258" s="600">
        <v>7.5594900000000003</v>
      </c>
      <c r="O4258" s="604">
        <v>0.247699</v>
      </c>
      <c r="P4258" s="250"/>
      <c r="Q4258" s="250"/>
      <c r="R4258" s="250">
        <v>0.14369999999999999</v>
      </c>
      <c r="S4258" s="250">
        <v>5.8499999999999996E-2</v>
      </c>
      <c r="T4258" s="250">
        <v>5.8400000000000001E-2</v>
      </c>
      <c r="U4258" s="250">
        <v>7.9500000000000001E-2</v>
      </c>
      <c r="V4258" s="250">
        <v>0.18012401945746967</v>
      </c>
      <c r="W4258" s="250">
        <v>0.30643871335290762</v>
      </c>
      <c r="X4258" s="250">
        <v>0.16020092905035277</v>
      </c>
      <c r="Y4258" s="250">
        <v>1.3152416845611112E-2</v>
      </c>
      <c r="Z4258" s="150">
        <v>66.5</v>
      </c>
      <c r="AA4258" s="150">
        <v>1.06</v>
      </c>
      <c r="AB4258" s="152"/>
      <c r="AC4258" s="152"/>
      <c r="AD4258" s="223">
        <v>14.050819000000001</v>
      </c>
      <c r="AE4258" s="223">
        <v>0.46328079999999999</v>
      </c>
      <c r="AF4258" s="223">
        <v>6.5090825800000003</v>
      </c>
      <c r="AG4258" s="223">
        <v>1.158202</v>
      </c>
      <c r="AH4258" s="341"/>
      <c r="AI4258" s="218"/>
      <c r="AJ4258" s="218"/>
      <c r="AK4258" s="153"/>
      <c r="AL4258" s="152"/>
      <c r="AM4258" s="152"/>
      <c r="AN4258" s="152"/>
      <c r="AO4258" s="152"/>
      <c r="AP4258" s="152"/>
      <c r="AQ4258" s="152"/>
      <c r="AR4258" s="152"/>
      <c r="AS4258" s="152"/>
      <c r="AT4258" s="152"/>
      <c r="AU4258" s="153"/>
      <c r="AV4258" s="479"/>
      <c r="AW4258" s="479"/>
      <c r="AX4258" s="442"/>
      <c r="AY4258" s="153"/>
      <c r="AZ4258" s="152"/>
      <c r="BA4258" s="152"/>
      <c r="BB4258" s="152"/>
      <c r="BC4258" s="152"/>
      <c r="BD4258" s="152"/>
      <c r="BE4258" s="152"/>
      <c r="BF4258" s="152"/>
      <c r="BG4258" s="152"/>
      <c r="BH4258" s="152"/>
      <c r="BI4258" s="153"/>
      <c r="BJ4258" s="153"/>
      <c r="BK4258" s="153"/>
      <c r="BL4258" s="153"/>
      <c r="BM4258" s="153"/>
      <c r="BN4258" s="153"/>
      <c r="BO4258" s="153"/>
      <c r="BP4258" s="153"/>
      <c r="BQ4258" s="153"/>
      <c r="BR4258" s="153"/>
      <c r="BS4258" s="153"/>
      <c r="BT4258" s="153"/>
      <c r="BU4258" s="153"/>
      <c r="BV4258" s="153"/>
      <c r="BW4258" s="153"/>
      <c r="BX4258" s="153"/>
      <c r="BY4258" s="153"/>
      <c r="BZ4258" s="153"/>
      <c r="CA4258" s="152"/>
      <c r="CB4258" s="152"/>
    </row>
    <row r="4259" spans="1:80" s="87" customFormat="1" x14ac:dyDescent="0.2">
      <c r="A4259" s="252" t="s">
        <v>579</v>
      </c>
      <c r="B4259" s="683"/>
      <c r="C4259" s="683"/>
      <c r="D4259" s="292"/>
      <c r="E4259" s="215"/>
      <c r="F4259" s="215"/>
      <c r="G4259" s="153"/>
      <c r="H4259" s="153"/>
      <c r="I4259" s="164">
        <v>23</v>
      </c>
      <c r="J4259" s="164">
        <v>60</v>
      </c>
      <c r="K4259" s="150">
        <v>1</v>
      </c>
      <c r="L4259" s="656">
        <v>23</v>
      </c>
      <c r="M4259" s="663">
        <v>34854</v>
      </c>
      <c r="N4259" s="600">
        <v>7.5594900000000003</v>
      </c>
      <c r="O4259" s="604">
        <v>0.28548299999999999</v>
      </c>
      <c r="P4259" s="250"/>
      <c r="Q4259" s="250">
        <v>2.1000000000000001E-2</v>
      </c>
      <c r="R4259" s="250">
        <v>9.2100000000000015E-2</v>
      </c>
      <c r="S4259" s="250">
        <v>6.54E-2</v>
      </c>
      <c r="T4259" s="250">
        <v>6.3200000000000006E-2</v>
      </c>
      <c r="U4259" s="250">
        <v>0.1033</v>
      </c>
      <c r="V4259" s="250">
        <v>0.22017355629708757</v>
      </c>
      <c r="W4259" s="250">
        <v>0.29027668806186013</v>
      </c>
      <c r="X4259" s="250">
        <v>0.13288022157732049</v>
      </c>
      <c r="Y4259" s="250">
        <v>1.2019435280327451E-2</v>
      </c>
      <c r="Z4259" s="150">
        <v>41</v>
      </c>
      <c r="AA4259" s="150">
        <v>1.17</v>
      </c>
      <c r="AB4259" s="152"/>
      <c r="AC4259" s="152"/>
      <c r="AD4259" s="223">
        <v>14.050819000000001</v>
      </c>
      <c r="AE4259" s="223">
        <v>0.46328079999999999</v>
      </c>
      <c r="AF4259" s="223">
        <v>6.5090825800000003</v>
      </c>
      <c r="AG4259" s="223">
        <v>1.158202</v>
      </c>
      <c r="AH4259" s="341"/>
      <c r="AI4259" s="218"/>
      <c r="AJ4259" s="218"/>
      <c r="AK4259" s="153"/>
      <c r="AL4259" s="152"/>
      <c r="AM4259" s="152"/>
      <c r="AN4259" s="152"/>
      <c r="AO4259" s="152"/>
      <c r="AP4259" s="152"/>
      <c r="AQ4259" s="152"/>
      <c r="AR4259" s="152"/>
      <c r="AS4259" s="152"/>
      <c r="AT4259" s="152"/>
      <c r="AU4259" s="153"/>
      <c r="AV4259" s="479"/>
      <c r="AW4259" s="479"/>
      <c r="AX4259" s="442"/>
      <c r="AY4259" s="153"/>
      <c r="AZ4259" s="152"/>
      <c r="BA4259" s="152"/>
      <c r="BB4259" s="152"/>
      <c r="BC4259" s="152"/>
      <c r="BD4259" s="152"/>
      <c r="BE4259" s="152"/>
      <c r="BF4259" s="152"/>
      <c r="BG4259" s="152"/>
      <c r="BH4259" s="152"/>
      <c r="BI4259" s="153"/>
      <c r="BJ4259" s="153"/>
      <c r="BK4259" s="153"/>
      <c r="BL4259" s="153"/>
      <c r="BM4259" s="153"/>
      <c r="BN4259" s="153"/>
      <c r="BO4259" s="153"/>
      <c r="BP4259" s="153"/>
      <c r="BQ4259" s="153"/>
      <c r="BR4259" s="153"/>
      <c r="BS4259" s="153"/>
      <c r="BT4259" s="153"/>
      <c r="BU4259" s="153"/>
      <c r="BV4259" s="153"/>
      <c r="BW4259" s="153"/>
      <c r="BX4259" s="153"/>
      <c r="BY4259" s="153"/>
      <c r="BZ4259" s="153"/>
      <c r="CA4259" s="152"/>
      <c r="CB4259" s="152"/>
    </row>
    <row r="4260" spans="1:80" s="87" customFormat="1" x14ac:dyDescent="0.2">
      <c r="A4260" s="252" t="s">
        <v>579</v>
      </c>
      <c r="B4260" s="683"/>
      <c r="C4260" s="683"/>
      <c r="D4260" s="292"/>
      <c r="E4260" s="215"/>
      <c r="F4260" s="215"/>
      <c r="G4260" s="153"/>
      <c r="H4260" s="153"/>
      <c r="I4260" s="164">
        <v>23</v>
      </c>
      <c r="J4260" s="164">
        <v>60</v>
      </c>
      <c r="K4260" s="150">
        <v>1</v>
      </c>
      <c r="L4260" s="656">
        <v>23</v>
      </c>
      <c r="M4260" s="663">
        <v>34857</v>
      </c>
      <c r="N4260" s="600">
        <v>5.6625399999999999</v>
      </c>
      <c r="O4260" s="604">
        <v>8.4490999999999997E-2</v>
      </c>
      <c r="P4260" s="250"/>
      <c r="Q4260" s="250"/>
      <c r="R4260" s="250">
        <v>9.5199999999999993E-2</v>
      </c>
      <c r="S4260" s="250">
        <v>0.11560000000000001</v>
      </c>
      <c r="T4260" s="250">
        <v>6.480000000000001E-2</v>
      </c>
      <c r="U4260" s="250">
        <v>7.46E-2</v>
      </c>
      <c r="V4260" s="250">
        <v>0.14952216002226826</v>
      </c>
      <c r="W4260" s="250">
        <v>0.27485850369591441</v>
      </c>
      <c r="X4260" s="250">
        <v>0.21015680574026535</v>
      </c>
      <c r="Y4260" s="250">
        <v>1.5355828410602172E-2</v>
      </c>
      <c r="Z4260" s="150">
        <v>24</v>
      </c>
      <c r="AA4260" s="150">
        <v>1</v>
      </c>
      <c r="AB4260" s="152"/>
      <c r="AC4260" s="152"/>
      <c r="AD4260" s="223">
        <v>13.593634</v>
      </c>
      <c r="AE4260" s="223">
        <v>0.38708330000000002</v>
      </c>
      <c r="AF4260" s="223">
        <v>5.2615161600000002</v>
      </c>
      <c r="AG4260" s="223">
        <v>1.0698129000000001</v>
      </c>
      <c r="AH4260" s="341"/>
      <c r="AI4260" s="218"/>
      <c r="AJ4260" s="218"/>
      <c r="AK4260" s="153"/>
      <c r="AL4260" s="152"/>
      <c r="AM4260" s="152"/>
      <c r="AN4260" s="152"/>
      <c r="AO4260" s="152"/>
      <c r="AP4260" s="152"/>
      <c r="AQ4260" s="152"/>
      <c r="AR4260" s="152"/>
      <c r="AS4260" s="152"/>
      <c r="AT4260" s="152"/>
      <c r="AU4260" s="153"/>
      <c r="AV4260" s="479"/>
      <c r="AW4260" s="479"/>
      <c r="AX4260" s="442"/>
      <c r="AY4260" s="153"/>
      <c r="AZ4260" s="152"/>
      <c r="BA4260" s="152"/>
      <c r="BB4260" s="152"/>
      <c r="BC4260" s="152"/>
      <c r="BD4260" s="152"/>
      <c r="BE4260" s="152"/>
      <c r="BF4260" s="152"/>
      <c r="BG4260" s="152"/>
      <c r="BH4260" s="152"/>
      <c r="BI4260" s="153"/>
      <c r="BJ4260" s="153"/>
      <c r="BK4260" s="153"/>
      <c r="BL4260" s="153"/>
      <c r="BM4260" s="153"/>
      <c r="BN4260" s="153"/>
      <c r="BO4260" s="153"/>
      <c r="BP4260" s="153"/>
      <c r="BQ4260" s="153"/>
      <c r="BR4260" s="153"/>
      <c r="BS4260" s="153"/>
      <c r="BT4260" s="153"/>
      <c r="BU4260" s="153"/>
      <c r="BV4260" s="153"/>
      <c r="BW4260" s="153"/>
      <c r="BX4260" s="153"/>
      <c r="BY4260" s="153"/>
      <c r="BZ4260" s="153"/>
      <c r="CA4260" s="152"/>
      <c r="CB4260" s="152"/>
    </row>
    <row r="4261" spans="1:80" s="87" customFormat="1" x14ac:dyDescent="0.2">
      <c r="A4261" s="252" t="s">
        <v>579</v>
      </c>
      <c r="B4261" s="683"/>
      <c r="C4261" s="683"/>
      <c r="D4261" s="292"/>
      <c r="E4261" s="215"/>
      <c r="F4261" s="215"/>
      <c r="G4261" s="153"/>
      <c r="H4261" s="153"/>
      <c r="I4261" s="164">
        <v>23</v>
      </c>
      <c r="J4261" s="164">
        <v>60</v>
      </c>
      <c r="K4261" s="150">
        <v>1</v>
      </c>
      <c r="L4261" s="656">
        <v>23</v>
      </c>
      <c r="M4261" s="663">
        <v>34857</v>
      </c>
      <c r="N4261" s="600">
        <v>5.6625399999999999</v>
      </c>
      <c r="O4261" s="604">
        <v>6.8851999999999997E-2</v>
      </c>
      <c r="P4261" s="250"/>
      <c r="Q4261" s="250"/>
      <c r="R4261" s="250">
        <v>7.9600000000000004E-2</v>
      </c>
      <c r="S4261" s="250">
        <v>4.3400000000000001E-2</v>
      </c>
      <c r="T4261" s="250">
        <v>3.6900000000000002E-2</v>
      </c>
      <c r="U4261" s="250">
        <v>5.8700000000000002E-2</v>
      </c>
      <c r="V4261" s="250">
        <v>0.19793051072716922</v>
      </c>
      <c r="W4261" s="250">
        <v>0.35483197265995825</v>
      </c>
      <c r="X4261" s="250">
        <v>0.21450541104993356</v>
      </c>
      <c r="Y4261" s="250">
        <v>1.4106702107461556E-2</v>
      </c>
      <c r="Z4261" s="150">
        <v>32</v>
      </c>
      <c r="AA4261" s="150">
        <v>0.84</v>
      </c>
      <c r="AB4261" s="152"/>
      <c r="AC4261" s="152"/>
      <c r="AD4261" s="223">
        <v>13.593634</v>
      </c>
      <c r="AE4261" s="223">
        <v>0.38708330000000002</v>
      </c>
      <c r="AF4261" s="223">
        <v>5.2615161600000002</v>
      </c>
      <c r="AG4261" s="223">
        <v>1.0698129000000001</v>
      </c>
      <c r="AH4261" s="341"/>
      <c r="AI4261" s="218"/>
      <c r="AJ4261" s="218"/>
      <c r="AK4261" s="153"/>
      <c r="AL4261" s="152"/>
      <c r="AM4261" s="152"/>
      <c r="AN4261" s="152"/>
      <c r="AO4261" s="152"/>
      <c r="AP4261" s="152"/>
      <c r="AQ4261" s="152"/>
      <c r="AR4261" s="152"/>
      <c r="AS4261" s="152"/>
      <c r="AT4261" s="152"/>
      <c r="AU4261" s="153"/>
      <c r="AV4261" s="479"/>
      <c r="AW4261" s="479"/>
      <c r="AX4261" s="442"/>
      <c r="AY4261" s="153"/>
      <c r="AZ4261" s="152"/>
      <c r="BA4261" s="152"/>
      <c r="BB4261" s="152"/>
      <c r="BC4261" s="152"/>
      <c r="BD4261" s="152"/>
      <c r="BE4261" s="152"/>
      <c r="BF4261" s="152"/>
      <c r="BG4261" s="152"/>
      <c r="BH4261" s="152"/>
      <c r="BI4261" s="153"/>
      <c r="BJ4261" s="153"/>
      <c r="BK4261" s="153"/>
      <c r="BL4261" s="153"/>
      <c r="BM4261" s="153"/>
      <c r="BN4261" s="153"/>
      <c r="BO4261" s="153"/>
      <c r="BP4261" s="153"/>
      <c r="BQ4261" s="153"/>
      <c r="BR4261" s="153"/>
      <c r="BS4261" s="153"/>
      <c r="BT4261" s="153"/>
      <c r="BU4261" s="153"/>
      <c r="BV4261" s="153"/>
      <c r="BW4261" s="153"/>
      <c r="BX4261" s="153"/>
      <c r="BY4261" s="153"/>
      <c r="BZ4261" s="153"/>
      <c r="CA4261" s="152"/>
      <c r="CB4261" s="152"/>
    </row>
    <row r="4262" spans="1:80" s="87" customFormat="1" x14ac:dyDescent="0.2">
      <c r="A4262" s="252" t="s">
        <v>579</v>
      </c>
      <c r="B4262" s="683"/>
      <c r="C4262" s="683"/>
      <c r="D4262" s="292"/>
      <c r="E4262" s="215"/>
      <c r="F4262" s="215"/>
      <c r="G4262" s="153"/>
      <c r="H4262" s="153"/>
      <c r="I4262" s="163">
        <v>21</v>
      </c>
      <c r="J4262" s="163">
        <v>60</v>
      </c>
      <c r="K4262" s="150">
        <v>1</v>
      </c>
      <c r="L4262" s="656">
        <v>21</v>
      </c>
      <c r="M4262" s="663">
        <v>34861</v>
      </c>
      <c r="N4262" s="600">
        <v>4.2469099999999997</v>
      </c>
      <c r="O4262" s="604">
        <v>6.3709000000000002E-2</v>
      </c>
      <c r="P4262" s="250"/>
      <c r="Q4262" s="250"/>
      <c r="R4262" s="250">
        <v>0.2346</v>
      </c>
      <c r="S4262" s="250">
        <v>3.9800000000000002E-2</v>
      </c>
      <c r="T4262" s="250">
        <v>3.5200000000000002E-2</v>
      </c>
      <c r="U4262" s="250">
        <v>5.6600000000000004E-2</v>
      </c>
      <c r="V4262" s="250">
        <v>0.11832143164415382</v>
      </c>
      <c r="W4262" s="250">
        <v>0.25970059365052045</v>
      </c>
      <c r="X4262" s="250">
        <v>0.23337348361008342</v>
      </c>
      <c r="Y4262" s="250">
        <v>2.2412458057300175E-2</v>
      </c>
      <c r="Z4262" s="150">
        <v>56</v>
      </c>
      <c r="AA4262" s="150">
        <v>0.95</v>
      </c>
      <c r="AB4262" s="152"/>
      <c r="AC4262" s="152"/>
      <c r="AD4262" s="223">
        <v>12.892617</v>
      </c>
      <c r="AE4262" s="223">
        <v>0.33526899999999998</v>
      </c>
      <c r="AF4262" s="223">
        <v>4.3223578199999997</v>
      </c>
      <c r="AG4262" s="223">
        <v>0.98142379999999996</v>
      </c>
      <c r="AH4262" s="341"/>
      <c r="AI4262" s="218"/>
      <c r="AJ4262" s="218"/>
      <c r="AK4262" s="153"/>
      <c r="AL4262" s="152"/>
      <c r="AM4262" s="152"/>
      <c r="AN4262" s="152"/>
      <c r="AO4262" s="152"/>
      <c r="AP4262" s="152"/>
      <c r="AQ4262" s="152"/>
      <c r="AR4262" s="152"/>
      <c r="AS4262" s="152"/>
      <c r="AT4262" s="152"/>
      <c r="AU4262" s="153"/>
      <c r="AV4262" s="479"/>
      <c r="AW4262" s="479"/>
      <c r="AX4262" s="442"/>
      <c r="AY4262" s="153"/>
      <c r="AZ4262" s="152"/>
      <c r="BA4262" s="152"/>
      <c r="BB4262" s="152"/>
      <c r="BC4262" s="152"/>
      <c r="BD4262" s="152"/>
      <c r="BE4262" s="152"/>
      <c r="BF4262" s="152"/>
      <c r="BG4262" s="152"/>
      <c r="BH4262" s="152"/>
      <c r="BI4262" s="153"/>
      <c r="BJ4262" s="153"/>
      <c r="BK4262" s="153"/>
      <c r="BL4262" s="153"/>
      <c r="BM4262" s="153"/>
      <c r="BN4262" s="153"/>
      <c r="BO4262" s="153"/>
      <c r="BP4262" s="153"/>
      <c r="BQ4262" s="153"/>
      <c r="BR4262" s="153"/>
      <c r="BS4262" s="153"/>
      <c r="BT4262" s="153"/>
      <c r="BU4262" s="153"/>
      <c r="BV4262" s="153"/>
      <c r="BW4262" s="153"/>
      <c r="BX4262" s="153"/>
      <c r="BY4262" s="153"/>
      <c r="BZ4262" s="153"/>
      <c r="CA4262" s="152"/>
      <c r="CB4262" s="152"/>
    </row>
    <row r="4263" spans="1:80" s="87" customFormat="1" x14ac:dyDescent="0.2">
      <c r="A4263" s="252" t="s">
        <v>579</v>
      </c>
      <c r="B4263" s="683"/>
      <c r="C4263" s="683"/>
      <c r="D4263" s="292"/>
      <c r="E4263" s="215"/>
      <c r="F4263" s="215"/>
      <c r="G4263" s="153"/>
      <c r="H4263" s="153"/>
      <c r="I4263" s="163">
        <v>21</v>
      </c>
      <c r="J4263" s="163">
        <v>60</v>
      </c>
      <c r="K4263" s="150">
        <v>1</v>
      </c>
      <c r="L4263" s="656">
        <v>21</v>
      </c>
      <c r="M4263" s="663">
        <v>34861</v>
      </c>
      <c r="N4263" s="600">
        <v>4.2469099999999997</v>
      </c>
      <c r="O4263" s="604">
        <v>0.14693999999999999</v>
      </c>
      <c r="P4263" s="250"/>
      <c r="Q4263" s="250"/>
      <c r="R4263" s="250">
        <v>0.2898</v>
      </c>
      <c r="S4263" s="250">
        <v>3.7200000000000004E-2</v>
      </c>
      <c r="T4263" s="250">
        <v>5.0300000000000004E-2</v>
      </c>
      <c r="U4263" s="250">
        <v>8.1600000000000006E-2</v>
      </c>
      <c r="V4263" s="250">
        <v>0.15364526061139214</v>
      </c>
      <c r="W4263" s="250">
        <v>0.225634117733304</v>
      </c>
      <c r="X4263" s="250">
        <v>0.14919177479656917</v>
      </c>
      <c r="Y4263" s="250">
        <v>1.2709845319258119E-2</v>
      </c>
      <c r="Z4263" s="150">
        <v>55</v>
      </c>
      <c r="AA4263" s="150">
        <v>1.59</v>
      </c>
      <c r="AB4263" s="152"/>
      <c r="AC4263" s="152"/>
      <c r="AD4263" s="223">
        <v>12.892617</v>
      </c>
      <c r="AE4263" s="223">
        <v>0.33526899999999998</v>
      </c>
      <c r="AF4263" s="223">
        <v>4.3223578199999997</v>
      </c>
      <c r="AG4263" s="223">
        <v>0.98142379999999996</v>
      </c>
      <c r="AH4263" s="341"/>
      <c r="AI4263" s="218"/>
      <c r="AJ4263" s="218"/>
      <c r="AK4263" s="153"/>
      <c r="AL4263" s="152"/>
      <c r="AM4263" s="152"/>
      <c r="AN4263" s="152"/>
      <c r="AO4263" s="152"/>
      <c r="AP4263" s="152"/>
      <c r="AQ4263" s="152"/>
      <c r="AR4263" s="152"/>
      <c r="AS4263" s="152"/>
      <c r="AT4263" s="152"/>
      <c r="AU4263" s="153"/>
      <c r="AV4263" s="479"/>
      <c r="AW4263" s="479"/>
      <c r="AX4263" s="442"/>
      <c r="AY4263" s="153"/>
      <c r="AZ4263" s="152"/>
      <c r="BA4263" s="152"/>
      <c r="BB4263" s="152"/>
      <c r="BC4263" s="152"/>
      <c r="BD4263" s="152"/>
      <c r="BE4263" s="152"/>
      <c r="BF4263" s="152"/>
      <c r="BG4263" s="152"/>
      <c r="BH4263" s="152"/>
      <c r="BI4263" s="153"/>
      <c r="BJ4263" s="153"/>
      <c r="BK4263" s="153"/>
      <c r="BL4263" s="153"/>
      <c r="BM4263" s="153"/>
      <c r="BN4263" s="153"/>
      <c r="BO4263" s="153"/>
      <c r="BP4263" s="153"/>
      <c r="BQ4263" s="153"/>
      <c r="BR4263" s="153"/>
      <c r="BS4263" s="153"/>
      <c r="BT4263" s="153"/>
      <c r="BU4263" s="153"/>
      <c r="BV4263" s="153"/>
      <c r="BW4263" s="153"/>
      <c r="BX4263" s="153"/>
      <c r="BY4263" s="153"/>
      <c r="BZ4263" s="153"/>
      <c r="CA4263" s="152"/>
      <c r="CB4263" s="152"/>
    </row>
    <row r="4264" spans="1:80" s="87" customFormat="1" x14ac:dyDescent="0.2">
      <c r="A4264" s="252" t="s">
        <v>579</v>
      </c>
      <c r="B4264" s="683"/>
      <c r="C4264" s="683"/>
      <c r="D4264" s="292"/>
      <c r="E4264" s="215"/>
      <c r="F4264" s="215"/>
      <c r="G4264" s="153"/>
      <c r="H4264" s="153"/>
      <c r="I4264" s="163">
        <v>21</v>
      </c>
      <c r="J4264" s="163">
        <v>60</v>
      </c>
      <c r="K4264" s="150">
        <v>1</v>
      </c>
      <c r="L4264" s="656">
        <v>21</v>
      </c>
      <c r="M4264" s="663">
        <v>34861</v>
      </c>
      <c r="N4264" s="600">
        <v>4.2469099999999997</v>
      </c>
      <c r="O4264" s="604">
        <v>0.21516199999999999</v>
      </c>
      <c r="P4264" s="250"/>
      <c r="Q4264" s="250"/>
      <c r="R4264" s="250">
        <v>5.9900000000000002E-2</v>
      </c>
      <c r="S4264" s="250">
        <v>5.0900000000000001E-2</v>
      </c>
      <c r="T4264" s="250">
        <v>9.5799999999999996E-2</v>
      </c>
      <c r="U4264" s="250">
        <v>0.16600000000000001</v>
      </c>
      <c r="V4264" s="250">
        <v>0.22373476021906299</v>
      </c>
      <c r="W4264" s="250">
        <v>0.24972805754490979</v>
      </c>
      <c r="X4264" s="250">
        <v>0.13986959337529314</v>
      </c>
      <c r="Y4264" s="250">
        <v>1.4115856917398657E-2</v>
      </c>
      <c r="Z4264" s="150">
        <v>30.5</v>
      </c>
      <c r="AA4264" s="150">
        <v>1.31</v>
      </c>
      <c r="AB4264" s="152"/>
      <c r="AC4264" s="152"/>
      <c r="AD4264" s="223">
        <v>12.892617</v>
      </c>
      <c r="AE4264" s="223">
        <v>0.33526899999999998</v>
      </c>
      <c r="AF4264" s="223">
        <v>4.3223578199999997</v>
      </c>
      <c r="AG4264" s="223">
        <v>0.98142379999999996</v>
      </c>
      <c r="AH4264" s="341"/>
      <c r="AI4264" s="218"/>
      <c r="AJ4264" s="218"/>
      <c r="AK4264" s="153"/>
      <c r="AL4264" s="152"/>
      <c r="AM4264" s="152"/>
      <c r="AN4264" s="152"/>
      <c r="AO4264" s="152"/>
      <c r="AP4264" s="152"/>
      <c r="AQ4264" s="152"/>
      <c r="AR4264" s="152"/>
      <c r="AS4264" s="152"/>
      <c r="AT4264" s="152"/>
      <c r="AU4264" s="153"/>
      <c r="AV4264" s="479"/>
      <c r="AW4264" s="479"/>
      <c r="AX4264" s="442"/>
      <c r="AY4264" s="153"/>
      <c r="AZ4264" s="152"/>
      <c r="BA4264" s="152"/>
      <c r="BB4264" s="152"/>
      <c r="BC4264" s="152"/>
      <c r="BD4264" s="152"/>
      <c r="BE4264" s="152"/>
      <c r="BF4264" s="152"/>
      <c r="BG4264" s="152"/>
      <c r="BH4264" s="152"/>
      <c r="BI4264" s="153"/>
      <c r="BJ4264" s="153"/>
      <c r="BK4264" s="153"/>
      <c r="BL4264" s="153"/>
      <c r="BM4264" s="153"/>
      <c r="BN4264" s="153"/>
      <c r="BO4264" s="153"/>
      <c r="BP4264" s="153"/>
      <c r="BQ4264" s="153"/>
      <c r="BR4264" s="153"/>
      <c r="BS4264" s="153"/>
      <c r="BT4264" s="153"/>
      <c r="BU4264" s="153"/>
      <c r="BV4264" s="153"/>
      <c r="BW4264" s="153"/>
      <c r="BX4264" s="153"/>
      <c r="BY4264" s="153"/>
      <c r="BZ4264" s="153"/>
      <c r="CA4264" s="152"/>
      <c r="CB4264" s="152"/>
    </row>
    <row r="4265" spans="1:80" s="87" customFormat="1" x14ac:dyDescent="0.2">
      <c r="A4265" s="252" t="s">
        <v>579</v>
      </c>
      <c r="B4265" s="683"/>
      <c r="C4265" s="683"/>
      <c r="D4265" s="292"/>
      <c r="E4265" s="215"/>
      <c r="F4265" s="215"/>
      <c r="G4265" s="153"/>
      <c r="H4265" s="153"/>
      <c r="I4265" s="163">
        <v>22</v>
      </c>
      <c r="J4265" s="163">
        <v>60</v>
      </c>
      <c r="K4265" s="150">
        <v>1</v>
      </c>
      <c r="L4265" s="656">
        <v>22</v>
      </c>
      <c r="M4265" s="663">
        <v>34863</v>
      </c>
      <c r="N4265" s="600">
        <v>6.3420500000000004</v>
      </c>
      <c r="O4265" s="604">
        <v>0.23930199999999999</v>
      </c>
      <c r="P4265" s="250"/>
      <c r="Q4265" s="250"/>
      <c r="R4265" s="250">
        <v>4.6199999999999998E-2</v>
      </c>
      <c r="S4265" s="250">
        <v>3.6400000000000002E-2</v>
      </c>
      <c r="T4265" s="250">
        <v>5.8499999999999996E-2</v>
      </c>
      <c r="U4265" s="250">
        <v>0.1186</v>
      </c>
      <c r="V4265" s="250">
        <v>0.2378850392810716</v>
      </c>
      <c r="W4265" s="250">
        <v>0.30813881195953202</v>
      </c>
      <c r="X4265" s="250">
        <v>0.18196461877578701</v>
      </c>
      <c r="Y4265" s="250">
        <v>1.2264737466794778E-2</v>
      </c>
      <c r="Z4265" s="150">
        <v>37</v>
      </c>
      <c r="AA4265" s="150">
        <v>0.99</v>
      </c>
      <c r="AB4265" s="152"/>
      <c r="AC4265" s="152"/>
      <c r="AD4265" s="223">
        <v>13.502197000000001</v>
      </c>
      <c r="AE4265" s="223">
        <v>0.42365809999999998</v>
      </c>
      <c r="AF4265" s="223">
        <v>5.72041252</v>
      </c>
      <c r="AG4265" s="223">
        <v>1.1063877</v>
      </c>
      <c r="AH4265" s="341"/>
      <c r="AI4265" s="218"/>
      <c r="AJ4265" s="218"/>
      <c r="AK4265" s="153"/>
      <c r="AL4265" s="152"/>
      <c r="AM4265" s="152"/>
      <c r="AN4265" s="152"/>
      <c r="AO4265" s="152"/>
      <c r="AP4265" s="152"/>
      <c r="AQ4265" s="152"/>
      <c r="AR4265" s="152"/>
      <c r="AS4265" s="152"/>
      <c r="AT4265" s="152"/>
      <c r="AU4265" s="153"/>
      <c r="AV4265" s="479"/>
      <c r="AW4265" s="479"/>
      <c r="AX4265" s="442"/>
      <c r="AY4265" s="153"/>
      <c r="AZ4265" s="152"/>
      <c r="BA4265" s="152"/>
      <c r="BB4265" s="152"/>
      <c r="BC4265" s="152"/>
      <c r="BD4265" s="152"/>
      <c r="BE4265" s="152"/>
      <c r="BF4265" s="152"/>
      <c r="BG4265" s="152"/>
      <c r="BH4265" s="152"/>
      <c r="BI4265" s="153"/>
      <c r="BJ4265" s="153"/>
      <c r="BK4265" s="153"/>
      <c r="BL4265" s="153"/>
      <c r="BM4265" s="153"/>
      <c r="BN4265" s="153"/>
      <c r="BO4265" s="153"/>
      <c r="BP4265" s="153"/>
      <c r="BQ4265" s="153"/>
      <c r="BR4265" s="153"/>
      <c r="BS4265" s="153"/>
      <c r="BT4265" s="153"/>
      <c r="BU4265" s="153"/>
      <c r="BV4265" s="153"/>
      <c r="BW4265" s="153"/>
      <c r="BX4265" s="153"/>
      <c r="BY4265" s="153"/>
      <c r="BZ4265" s="153"/>
      <c r="CA4265" s="152"/>
      <c r="CB4265" s="152"/>
    </row>
    <row r="4266" spans="1:80" s="87" customFormat="1" x14ac:dyDescent="0.2">
      <c r="A4266" s="252" t="s">
        <v>579</v>
      </c>
      <c r="B4266" s="683"/>
      <c r="C4266" s="683"/>
      <c r="D4266" s="292"/>
      <c r="E4266" s="215"/>
      <c r="F4266" s="215"/>
      <c r="G4266" s="153"/>
      <c r="H4266" s="153"/>
      <c r="I4266" s="163">
        <v>22</v>
      </c>
      <c r="J4266" s="163">
        <v>60</v>
      </c>
      <c r="K4266" s="150">
        <v>1</v>
      </c>
      <c r="L4266" s="656">
        <v>22</v>
      </c>
      <c r="M4266" s="663">
        <v>34863</v>
      </c>
      <c r="N4266" s="600">
        <v>6.3420500000000004</v>
      </c>
      <c r="O4266" s="604">
        <v>0.22880700000000001</v>
      </c>
      <c r="P4266" s="250"/>
      <c r="Q4266" s="250"/>
      <c r="R4266" s="250">
        <v>0.1119</v>
      </c>
      <c r="S4266" s="250">
        <v>0.05</v>
      </c>
      <c r="T4266" s="250">
        <v>7.1800000000000003E-2</v>
      </c>
      <c r="U4266" s="250">
        <v>0.09</v>
      </c>
      <c r="V4266" s="250">
        <v>0.14832434593920721</v>
      </c>
      <c r="W4266" s="250">
        <v>0.3194063027409102</v>
      </c>
      <c r="X4266" s="250">
        <v>0.19564488718223139</v>
      </c>
      <c r="Y4266" s="250">
        <v>1.2872457410336777E-2</v>
      </c>
      <c r="Z4266" s="150">
        <v>38</v>
      </c>
      <c r="AA4266" s="150">
        <v>0.93</v>
      </c>
      <c r="AB4266" s="152"/>
      <c r="AC4266" s="152"/>
      <c r="AD4266" s="223">
        <v>13.502197000000001</v>
      </c>
      <c r="AE4266" s="223">
        <v>0.42365809999999998</v>
      </c>
      <c r="AF4266" s="223">
        <v>5.72041252</v>
      </c>
      <c r="AG4266" s="223">
        <v>1.1063877</v>
      </c>
      <c r="AH4266" s="341"/>
      <c r="AI4266" s="218"/>
      <c r="AJ4266" s="218"/>
      <c r="AK4266" s="153"/>
      <c r="AL4266" s="152"/>
      <c r="AM4266" s="152"/>
      <c r="AN4266" s="152"/>
      <c r="AO4266" s="152"/>
      <c r="AP4266" s="152"/>
      <c r="AQ4266" s="152"/>
      <c r="AR4266" s="152"/>
      <c r="AS4266" s="152"/>
      <c r="AT4266" s="152"/>
      <c r="AU4266" s="153"/>
      <c r="AV4266" s="479"/>
      <c r="AW4266" s="479"/>
      <c r="AX4266" s="442"/>
      <c r="AY4266" s="153"/>
      <c r="AZ4266" s="152"/>
      <c r="BA4266" s="152"/>
      <c r="BB4266" s="152"/>
      <c r="BC4266" s="152"/>
      <c r="BD4266" s="152"/>
      <c r="BE4266" s="152"/>
      <c r="BF4266" s="152"/>
      <c r="BG4266" s="152"/>
      <c r="BH4266" s="152"/>
      <c r="BI4266" s="153"/>
      <c r="BJ4266" s="153"/>
      <c r="BK4266" s="153"/>
      <c r="BL4266" s="153"/>
      <c r="BM4266" s="153"/>
      <c r="BN4266" s="153"/>
      <c r="BO4266" s="153"/>
      <c r="BP4266" s="153"/>
      <c r="BQ4266" s="153"/>
      <c r="BR4266" s="153"/>
      <c r="BS4266" s="153"/>
      <c r="BT4266" s="153"/>
      <c r="BU4266" s="153"/>
      <c r="BV4266" s="153"/>
      <c r="BW4266" s="153"/>
      <c r="BX4266" s="153"/>
      <c r="BY4266" s="153"/>
      <c r="BZ4266" s="153"/>
      <c r="CA4266" s="152"/>
      <c r="CB4266" s="152"/>
    </row>
    <row r="4267" spans="1:80" s="87" customFormat="1" x14ac:dyDescent="0.2">
      <c r="A4267" s="252" t="s">
        <v>579</v>
      </c>
      <c r="B4267" s="683"/>
      <c r="C4267" s="683"/>
      <c r="D4267" s="292"/>
      <c r="E4267" s="215"/>
      <c r="F4267" s="215"/>
      <c r="G4267" s="153"/>
      <c r="H4267" s="153"/>
      <c r="I4267" s="163">
        <v>22</v>
      </c>
      <c r="J4267" s="163">
        <v>60</v>
      </c>
      <c r="K4267" s="150">
        <v>1</v>
      </c>
      <c r="L4267" s="656">
        <v>22</v>
      </c>
      <c r="M4267" s="663">
        <v>34864</v>
      </c>
      <c r="N4267" s="600">
        <v>7.1348000000000003</v>
      </c>
      <c r="O4267" s="604">
        <v>0.20361699999999999</v>
      </c>
      <c r="P4267" s="250"/>
      <c r="Q4267" s="250"/>
      <c r="R4267" s="250">
        <v>6.7799999999999999E-2</v>
      </c>
      <c r="S4267" s="250">
        <v>3.1899999999999998E-2</v>
      </c>
      <c r="T4267" s="250">
        <v>1.89E-2</v>
      </c>
      <c r="U4267" s="250">
        <v>7.0099999999999996E-2</v>
      </c>
      <c r="V4267" s="250">
        <v>0.17968138970073685</v>
      </c>
      <c r="W4267" s="250">
        <v>0.35724282715185451</v>
      </c>
      <c r="X4267" s="250">
        <v>0.25582815351472987</v>
      </c>
      <c r="Y4267" s="250">
        <v>1.8496411860755499E-2</v>
      </c>
      <c r="Z4267" s="150">
        <v>35</v>
      </c>
      <c r="AA4267" s="150">
        <v>0.74</v>
      </c>
      <c r="AB4267" s="152"/>
      <c r="AC4267" s="152"/>
      <c r="AD4267" s="223">
        <v>13.806986999999999</v>
      </c>
      <c r="AE4267" s="223">
        <v>0.45413710000000002</v>
      </c>
      <c r="AF4267" s="223">
        <v>6.2703449999999998</v>
      </c>
      <c r="AG4267" s="223">
        <v>1.1399146</v>
      </c>
      <c r="AH4267" s="341"/>
      <c r="AI4267" s="218"/>
      <c r="AJ4267" s="218"/>
      <c r="AK4267" s="153"/>
      <c r="AL4267" s="152"/>
      <c r="AM4267" s="152"/>
      <c r="AN4267" s="152"/>
      <c r="AO4267" s="152"/>
      <c r="AP4267" s="152"/>
      <c r="AQ4267" s="152"/>
      <c r="AR4267" s="152"/>
      <c r="AS4267" s="152"/>
      <c r="AT4267" s="152"/>
      <c r="AU4267" s="153"/>
      <c r="AV4267" s="479"/>
      <c r="AW4267" s="479"/>
      <c r="AX4267" s="442"/>
      <c r="AY4267" s="153"/>
      <c r="AZ4267" s="152"/>
      <c r="BA4267" s="152"/>
      <c r="BB4267" s="152"/>
      <c r="BC4267" s="152"/>
      <c r="BD4267" s="152"/>
      <c r="BE4267" s="152"/>
      <c r="BF4267" s="152"/>
      <c r="BG4267" s="152"/>
      <c r="BH4267" s="152"/>
      <c r="BI4267" s="153"/>
      <c r="BJ4267" s="153"/>
      <c r="BK4267" s="153"/>
      <c r="BL4267" s="153"/>
      <c r="BM4267" s="153"/>
      <c r="BN4267" s="153"/>
      <c r="BO4267" s="153"/>
      <c r="BP4267" s="153"/>
      <c r="BQ4267" s="153"/>
      <c r="BR4267" s="153"/>
      <c r="BS4267" s="153"/>
      <c r="BT4267" s="153"/>
      <c r="BU4267" s="153"/>
      <c r="BV4267" s="153"/>
      <c r="BW4267" s="153"/>
      <c r="BX4267" s="153"/>
      <c r="BY4267" s="153"/>
      <c r="BZ4267" s="153"/>
      <c r="CA4267" s="152"/>
      <c r="CB4267" s="152"/>
    </row>
    <row r="4268" spans="1:80" s="87" customFormat="1" x14ac:dyDescent="0.2">
      <c r="A4268" s="252" t="s">
        <v>579</v>
      </c>
      <c r="B4268" s="683"/>
      <c r="C4268" s="683"/>
      <c r="D4268" s="292"/>
      <c r="E4268" s="215"/>
      <c r="F4268" s="215"/>
      <c r="G4268" s="153"/>
      <c r="H4268" s="153"/>
      <c r="I4268" s="163">
        <v>22</v>
      </c>
      <c r="J4268" s="163">
        <v>60</v>
      </c>
      <c r="K4268" s="150">
        <v>1</v>
      </c>
      <c r="L4268" s="656">
        <v>22</v>
      </c>
      <c r="M4268" s="663">
        <v>34864</v>
      </c>
      <c r="N4268" s="600">
        <v>7.1348000000000003</v>
      </c>
      <c r="O4268" s="604">
        <v>0.26344200000000001</v>
      </c>
      <c r="P4268" s="250"/>
      <c r="Q4268" s="250">
        <v>0.04</v>
      </c>
      <c r="R4268" s="250">
        <v>6.9900000000000004E-2</v>
      </c>
      <c r="S4268" s="250">
        <v>6.5199999999999994E-2</v>
      </c>
      <c r="T4268" s="250">
        <v>6.2699999999999992E-2</v>
      </c>
      <c r="U4268" s="250">
        <v>0.13919999999999999</v>
      </c>
      <c r="V4268" s="250">
        <v>0.11934727750736451</v>
      </c>
      <c r="W4268" s="250">
        <v>0.31921846459228603</v>
      </c>
      <c r="X4268" s="250">
        <v>0.17119975504429266</v>
      </c>
      <c r="Y4268" s="250">
        <v>1.2939362903992144E-2</v>
      </c>
      <c r="Z4268" s="150">
        <v>48</v>
      </c>
      <c r="AA4268" s="150">
        <v>0.99</v>
      </c>
      <c r="AB4268" s="152"/>
      <c r="AC4268" s="152"/>
      <c r="AD4268" s="223">
        <v>13.806986999999999</v>
      </c>
      <c r="AE4268" s="223">
        <v>0.45413710000000002</v>
      </c>
      <c r="AF4268" s="223">
        <v>6.2703449999999998</v>
      </c>
      <c r="AG4268" s="223">
        <v>1.1399146</v>
      </c>
      <c r="AH4268" s="341"/>
      <c r="AI4268" s="218"/>
      <c r="AJ4268" s="218"/>
      <c r="AK4268" s="153"/>
      <c r="AL4268" s="152"/>
      <c r="AM4268" s="152"/>
      <c r="AN4268" s="152"/>
      <c r="AO4268" s="152"/>
      <c r="AP4268" s="152"/>
      <c r="AQ4268" s="152"/>
      <c r="AR4268" s="152"/>
      <c r="AS4268" s="152"/>
      <c r="AT4268" s="152"/>
      <c r="AU4268" s="153"/>
      <c r="AV4268" s="479"/>
      <c r="AW4268" s="479"/>
      <c r="AX4268" s="442"/>
      <c r="AY4268" s="153"/>
      <c r="AZ4268" s="152"/>
      <c r="BA4268" s="152"/>
      <c r="BB4268" s="152"/>
      <c r="BC4268" s="152"/>
      <c r="BD4268" s="152"/>
      <c r="BE4268" s="152"/>
      <c r="BF4268" s="152"/>
      <c r="BG4268" s="152"/>
      <c r="BH4268" s="152"/>
      <c r="BI4268" s="153"/>
      <c r="BJ4268" s="153"/>
      <c r="BK4268" s="153"/>
      <c r="BL4268" s="153"/>
      <c r="BM4268" s="153"/>
      <c r="BN4268" s="153"/>
      <c r="BO4268" s="153"/>
      <c r="BP4268" s="153"/>
      <c r="BQ4268" s="153"/>
      <c r="BR4268" s="153"/>
      <c r="BS4268" s="153"/>
      <c r="BT4268" s="153"/>
      <c r="BU4268" s="153"/>
      <c r="BV4268" s="153"/>
      <c r="BW4268" s="153"/>
      <c r="BX4268" s="153"/>
      <c r="BY4268" s="153"/>
      <c r="BZ4268" s="153"/>
      <c r="CA4268" s="152"/>
      <c r="CB4268" s="152"/>
    </row>
    <row r="4269" spans="1:80" s="87" customFormat="1" x14ac:dyDescent="0.2">
      <c r="A4269" s="252" t="s">
        <v>579</v>
      </c>
      <c r="B4269" s="683"/>
      <c r="C4269" s="683"/>
      <c r="D4269" s="292"/>
      <c r="E4269" s="215"/>
      <c r="F4269" s="215"/>
      <c r="G4269" s="153"/>
      <c r="H4269" s="153"/>
      <c r="I4269" s="163">
        <v>22</v>
      </c>
      <c r="J4269" s="163">
        <v>60</v>
      </c>
      <c r="K4269" s="150">
        <v>1</v>
      </c>
      <c r="L4269" s="656">
        <v>22</v>
      </c>
      <c r="M4269" s="663">
        <v>34866</v>
      </c>
      <c r="N4269" s="600">
        <v>6.6534800000000001</v>
      </c>
      <c r="O4269" s="604">
        <v>0.28548299999999999</v>
      </c>
      <c r="P4269" s="250"/>
      <c r="Q4269" s="250">
        <v>0.11220000000000001</v>
      </c>
      <c r="R4269" s="250">
        <v>7.4999999999999997E-2</v>
      </c>
      <c r="S4269" s="250">
        <v>5.91E-2</v>
      </c>
      <c r="T4269" s="250">
        <v>7.0800000000000002E-2</v>
      </c>
      <c r="U4269" s="250">
        <v>0.10279999999999999</v>
      </c>
      <c r="V4269" s="250">
        <v>0.19937551701548778</v>
      </c>
      <c r="W4269" s="250">
        <v>0.22984894779876922</v>
      </c>
      <c r="X4269" s="250">
        <v>0.14472608340147178</v>
      </c>
      <c r="Y4269" s="250">
        <v>6.2017950299570138E-3</v>
      </c>
      <c r="Z4269" s="150">
        <v>54</v>
      </c>
      <c r="AA4269" s="150">
        <v>1.45</v>
      </c>
      <c r="AB4269" s="152"/>
      <c r="AC4269" s="152"/>
      <c r="AD4269" s="223">
        <v>13.685071000000001</v>
      </c>
      <c r="AE4269" s="223">
        <v>0.43280180000000001</v>
      </c>
      <c r="AF4269" s="223">
        <v>5.9229214399999996</v>
      </c>
      <c r="AG4269" s="223">
        <v>1.1246750999999999</v>
      </c>
      <c r="AH4269" s="341"/>
      <c r="AI4269" s="218"/>
      <c r="AJ4269" s="218"/>
      <c r="AK4269" s="153"/>
      <c r="AL4269" s="152"/>
      <c r="AM4269" s="152"/>
      <c r="AN4269" s="152"/>
      <c r="AO4269" s="152"/>
      <c r="AP4269" s="152"/>
      <c r="AQ4269" s="152"/>
      <c r="AR4269" s="152"/>
      <c r="AS4269" s="152"/>
      <c r="AT4269" s="152"/>
      <c r="AU4269" s="153"/>
      <c r="AV4269" s="479"/>
      <c r="AW4269" s="479"/>
      <c r="AX4269" s="442"/>
      <c r="AY4269" s="153"/>
      <c r="AZ4269" s="152"/>
      <c r="BA4269" s="152"/>
      <c r="BB4269" s="152"/>
      <c r="BC4269" s="152"/>
      <c r="BD4269" s="152"/>
      <c r="BE4269" s="152"/>
      <c r="BF4269" s="152"/>
      <c r="BG4269" s="152"/>
      <c r="BH4269" s="152"/>
      <c r="BI4269" s="153"/>
      <c r="BJ4269" s="153"/>
      <c r="BK4269" s="153"/>
      <c r="BL4269" s="153"/>
      <c r="BM4269" s="153"/>
      <c r="BN4269" s="153"/>
      <c r="BO4269" s="153"/>
      <c r="BP4269" s="153"/>
      <c r="BQ4269" s="153"/>
      <c r="BR4269" s="153"/>
      <c r="BS4269" s="153"/>
      <c r="BT4269" s="153"/>
      <c r="BU4269" s="153"/>
      <c r="BV4269" s="153"/>
      <c r="BW4269" s="153"/>
      <c r="BX4269" s="153"/>
      <c r="BY4269" s="153"/>
      <c r="BZ4269" s="153"/>
      <c r="CA4269" s="152"/>
      <c r="CB4269" s="152"/>
    </row>
    <row r="4270" spans="1:80" s="87" customFormat="1" x14ac:dyDescent="0.2">
      <c r="A4270" s="252" t="s">
        <v>579</v>
      </c>
      <c r="B4270" s="683"/>
      <c r="C4270" s="683"/>
      <c r="D4270" s="292"/>
      <c r="E4270" s="215"/>
      <c r="F4270" s="215"/>
      <c r="G4270" s="153"/>
      <c r="H4270" s="153"/>
      <c r="I4270" s="163">
        <v>22</v>
      </c>
      <c r="J4270" s="163">
        <v>60</v>
      </c>
      <c r="K4270" s="150">
        <v>1</v>
      </c>
      <c r="L4270" s="656">
        <v>22</v>
      </c>
      <c r="M4270" s="663">
        <v>34866</v>
      </c>
      <c r="N4270" s="600">
        <v>6.6534800000000001</v>
      </c>
      <c r="O4270" s="604">
        <v>0.19312099999999999</v>
      </c>
      <c r="P4270" s="250"/>
      <c r="Q4270" s="250"/>
      <c r="R4270" s="250">
        <v>9.4E-2</v>
      </c>
      <c r="S4270" s="250">
        <v>2.23E-2</v>
      </c>
      <c r="T4270" s="250">
        <v>2.3E-2</v>
      </c>
      <c r="U4270" s="250">
        <v>6.6500000000000004E-2</v>
      </c>
      <c r="V4270" s="250">
        <v>0.20732633491613961</v>
      </c>
      <c r="W4270" s="250">
        <v>0.37966058386389279</v>
      </c>
      <c r="X4270" s="250">
        <v>0.19542334745792783</v>
      </c>
      <c r="Y4270" s="250">
        <v>1.1810716237605488E-2</v>
      </c>
      <c r="Z4270" s="150">
        <v>46</v>
      </c>
      <c r="AA4270" s="150">
        <v>0.84</v>
      </c>
      <c r="AB4270" s="152"/>
      <c r="AC4270" s="152"/>
      <c r="AD4270" s="223">
        <v>13.685071000000001</v>
      </c>
      <c r="AE4270" s="223">
        <v>0.43280180000000001</v>
      </c>
      <c r="AF4270" s="223">
        <v>5.9229214399999996</v>
      </c>
      <c r="AG4270" s="223">
        <v>1.1246750999999999</v>
      </c>
      <c r="AH4270" s="341"/>
      <c r="AI4270" s="218"/>
      <c r="AJ4270" s="218"/>
      <c r="AK4270" s="153"/>
      <c r="AL4270" s="152"/>
      <c r="AM4270" s="152"/>
      <c r="AN4270" s="152"/>
      <c r="AO4270" s="152"/>
      <c r="AP4270" s="152"/>
      <c r="AQ4270" s="152"/>
      <c r="AR4270" s="152"/>
      <c r="AS4270" s="152"/>
      <c r="AT4270" s="152"/>
      <c r="AU4270" s="153"/>
      <c r="AV4270" s="479"/>
      <c r="AW4270" s="479"/>
      <c r="AX4270" s="442"/>
      <c r="AY4270" s="153"/>
      <c r="AZ4270" s="152"/>
      <c r="BA4270" s="152"/>
      <c r="BB4270" s="152"/>
      <c r="BC4270" s="152"/>
      <c r="BD4270" s="152"/>
      <c r="BE4270" s="152"/>
      <c r="BF4270" s="152"/>
      <c r="BG4270" s="152"/>
      <c r="BH4270" s="152"/>
      <c r="BI4270" s="153"/>
      <c r="BJ4270" s="153"/>
      <c r="BK4270" s="153"/>
      <c r="BL4270" s="153"/>
      <c r="BM4270" s="153"/>
      <c r="BN4270" s="153"/>
      <c r="BO4270" s="153"/>
      <c r="BP4270" s="153"/>
      <c r="BQ4270" s="153"/>
      <c r="BR4270" s="153"/>
      <c r="BS4270" s="153"/>
      <c r="BT4270" s="153"/>
      <c r="BU4270" s="153"/>
      <c r="BV4270" s="153"/>
      <c r="BW4270" s="153"/>
      <c r="BX4270" s="153"/>
      <c r="BY4270" s="153"/>
      <c r="BZ4270" s="153"/>
      <c r="CA4270" s="152"/>
      <c r="CB4270" s="152"/>
    </row>
    <row r="4271" spans="1:80" s="87" customFormat="1" x14ac:dyDescent="0.2">
      <c r="A4271" s="252" t="s">
        <v>579</v>
      </c>
      <c r="B4271" s="683"/>
      <c r="C4271" s="683"/>
      <c r="D4271" s="292"/>
      <c r="E4271" s="215"/>
      <c r="F4271" s="215"/>
      <c r="G4271" s="153"/>
      <c r="H4271" s="153"/>
      <c r="I4271" s="163">
        <v>21</v>
      </c>
      <c r="J4271" s="163">
        <v>60</v>
      </c>
      <c r="K4271" s="150">
        <v>1</v>
      </c>
      <c r="L4271" s="656">
        <v>21</v>
      </c>
      <c r="M4271" s="663">
        <v>34870</v>
      </c>
      <c r="N4271" s="600">
        <v>4.5866600000000002</v>
      </c>
      <c r="O4271" s="604">
        <v>0.126998</v>
      </c>
      <c r="P4271" s="250"/>
      <c r="Q4271" s="250">
        <v>6.7500000000000004E-2</v>
      </c>
      <c r="R4271" s="250">
        <v>2.4799999999999999E-2</v>
      </c>
      <c r="S4271" s="250">
        <v>7.980000000000001E-2</v>
      </c>
      <c r="T4271" s="250">
        <v>9.4299999999999995E-2</v>
      </c>
      <c r="U4271" s="250">
        <v>0.1515</v>
      </c>
      <c r="V4271" s="250">
        <v>0.19636881220392025</v>
      </c>
      <c r="W4271" s="250">
        <v>0.21656743013603375</v>
      </c>
      <c r="X4271" s="250">
        <v>0.15495023686383591</v>
      </c>
      <c r="Y4271" s="250">
        <v>1.4157503585553481E-2</v>
      </c>
      <c r="Z4271" s="150">
        <v>45</v>
      </c>
      <c r="AA4271" s="150">
        <v>1.49</v>
      </c>
      <c r="AB4271" s="152"/>
      <c r="AC4271" s="152"/>
      <c r="AD4271" s="223">
        <v>13.136449000000001</v>
      </c>
      <c r="AE4271" s="223">
        <v>0.35355639999999999</v>
      </c>
      <c r="AF4271" s="223">
        <v>4.6447000000000003</v>
      </c>
      <c r="AG4271" s="223">
        <v>0.98142379999999996</v>
      </c>
      <c r="AH4271" s="341"/>
      <c r="AI4271" s="218"/>
      <c r="AJ4271" s="218"/>
      <c r="AK4271" s="153"/>
      <c r="AL4271" s="152"/>
      <c r="AM4271" s="152"/>
      <c r="AN4271" s="152"/>
      <c r="AO4271" s="152"/>
      <c r="AP4271" s="152"/>
      <c r="AQ4271" s="152"/>
      <c r="AR4271" s="152"/>
      <c r="AS4271" s="152"/>
      <c r="AT4271" s="152"/>
      <c r="AU4271" s="153"/>
      <c r="AV4271" s="479"/>
      <c r="AW4271" s="479"/>
      <c r="AX4271" s="442"/>
      <c r="AY4271" s="153"/>
      <c r="AZ4271" s="152"/>
      <c r="BA4271" s="152"/>
      <c r="BB4271" s="152"/>
      <c r="BC4271" s="152"/>
      <c r="BD4271" s="152"/>
      <c r="BE4271" s="152"/>
      <c r="BF4271" s="152"/>
      <c r="BG4271" s="152"/>
      <c r="BH4271" s="152"/>
      <c r="BI4271" s="153"/>
      <c r="BJ4271" s="153"/>
      <c r="BK4271" s="153"/>
      <c r="BL4271" s="153"/>
      <c r="BM4271" s="153"/>
      <c r="BN4271" s="153"/>
      <c r="BO4271" s="153"/>
      <c r="BP4271" s="153"/>
      <c r="BQ4271" s="153"/>
      <c r="BR4271" s="153"/>
      <c r="BS4271" s="153"/>
      <c r="BT4271" s="153"/>
      <c r="BU4271" s="153"/>
      <c r="BV4271" s="153"/>
      <c r="BW4271" s="153"/>
      <c r="BX4271" s="153"/>
      <c r="BY4271" s="153"/>
      <c r="BZ4271" s="153"/>
      <c r="CA4271" s="152"/>
      <c r="CB4271" s="152"/>
    </row>
    <row r="4272" spans="1:80" s="87" customFormat="1" x14ac:dyDescent="0.2">
      <c r="A4272" s="252" t="s">
        <v>579</v>
      </c>
      <c r="B4272" s="683"/>
      <c r="C4272" s="683"/>
      <c r="D4272" s="292"/>
      <c r="E4272" s="215"/>
      <c r="F4272" s="215"/>
      <c r="G4272" s="153"/>
      <c r="H4272" s="153"/>
      <c r="I4272" s="163">
        <v>21</v>
      </c>
      <c r="J4272" s="163">
        <v>60</v>
      </c>
      <c r="K4272" s="150">
        <v>1</v>
      </c>
      <c r="L4272" s="656">
        <v>21</v>
      </c>
      <c r="M4272" s="663">
        <v>34870</v>
      </c>
      <c r="N4272" s="600">
        <v>4.5866600000000002</v>
      </c>
      <c r="O4272" s="604">
        <v>0.17632800000000001</v>
      </c>
      <c r="P4272" s="250"/>
      <c r="Q4272" s="250"/>
      <c r="R4272" s="250">
        <v>0.13470000000000001</v>
      </c>
      <c r="S4272" s="250">
        <v>0.13500000000000001</v>
      </c>
      <c r="T4272" s="250">
        <v>0.12659999999999999</v>
      </c>
      <c r="U4272" s="250">
        <v>0.1547</v>
      </c>
      <c r="V4272" s="250">
        <v>0.14957168180291899</v>
      </c>
      <c r="W4272" s="250">
        <v>0.16650137827095324</v>
      </c>
      <c r="X4272" s="250">
        <v>0.12249822347511696</v>
      </c>
      <c r="Y4272" s="250">
        <v>1.0518589087842322E-2</v>
      </c>
      <c r="Z4272" s="150">
        <v>41</v>
      </c>
      <c r="AA4272" s="150">
        <v>2.5099999999999998</v>
      </c>
      <c r="AB4272" s="152"/>
      <c r="AC4272" s="152"/>
      <c r="AD4272" s="223">
        <v>13.136449000000001</v>
      </c>
      <c r="AE4272" s="223">
        <v>0.35355639999999999</v>
      </c>
      <c r="AF4272" s="223">
        <v>4.6447000000000003</v>
      </c>
      <c r="AG4272" s="223">
        <v>0.98142379999999996</v>
      </c>
      <c r="AH4272" s="341"/>
      <c r="AI4272" s="218"/>
      <c r="AJ4272" s="218"/>
      <c r="AK4272" s="153"/>
      <c r="AL4272" s="152"/>
      <c r="AM4272" s="152"/>
      <c r="AN4272" s="152"/>
      <c r="AO4272" s="152"/>
      <c r="AP4272" s="152"/>
      <c r="AQ4272" s="152"/>
      <c r="AR4272" s="152"/>
      <c r="AS4272" s="152"/>
      <c r="AT4272" s="152"/>
      <c r="AU4272" s="153"/>
      <c r="AV4272" s="479"/>
      <c r="AW4272" s="479"/>
      <c r="AX4272" s="442"/>
      <c r="AY4272" s="153"/>
      <c r="AZ4272" s="152"/>
      <c r="BA4272" s="152"/>
      <c r="BB4272" s="152"/>
      <c r="BC4272" s="152"/>
      <c r="BD4272" s="152"/>
      <c r="BE4272" s="152"/>
      <c r="BF4272" s="152"/>
      <c r="BG4272" s="152"/>
      <c r="BH4272" s="152"/>
      <c r="BI4272" s="153"/>
      <c r="BJ4272" s="153"/>
      <c r="BK4272" s="153"/>
      <c r="BL4272" s="153"/>
      <c r="BM4272" s="153"/>
      <c r="BN4272" s="153"/>
      <c r="BO4272" s="153"/>
      <c r="BP4272" s="153"/>
      <c r="BQ4272" s="153"/>
      <c r="BR4272" s="153"/>
      <c r="BS4272" s="153"/>
      <c r="BT4272" s="153"/>
      <c r="BU4272" s="153"/>
      <c r="BV4272" s="153"/>
      <c r="BW4272" s="153"/>
      <c r="BX4272" s="153"/>
      <c r="BY4272" s="153"/>
      <c r="BZ4272" s="153"/>
      <c r="CA4272" s="152"/>
      <c r="CB4272" s="152"/>
    </row>
    <row r="4273" spans="1:80" s="87" customFormat="1" x14ac:dyDescent="0.2">
      <c r="A4273" s="252" t="s">
        <v>579</v>
      </c>
      <c r="B4273" s="683"/>
      <c r="C4273" s="683"/>
      <c r="D4273" s="292"/>
      <c r="E4273" s="215"/>
      <c r="F4273" s="215"/>
      <c r="G4273" s="153"/>
      <c r="H4273" s="153"/>
      <c r="I4273" s="163">
        <v>21</v>
      </c>
      <c r="J4273" s="163">
        <v>60</v>
      </c>
      <c r="K4273" s="150">
        <v>1</v>
      </c>
      <c r="L4273" s="656">
        <v>21</v>
      </c>
      <c r="M4273" s="663">
        <v>34871</v>
      </c>
      <c r="N4273" s="600">
        <v>4.3601599999999996</v>
      </c>
      <c r="O4273" s="604">
        <v>1.6898E-2</v>
      </c>
      <c r="P4273" s="250"/>
      <c r="Q4273" s="250"/>
      <c r="R4273" s="250"/>
      <c r="S4273" s="250">
        <v>8.0000000000000002E-3</v>
      </c>
      <c r="T4273" s="250">
        <v>1.84E-2</v>
      </c>
      <c r="U4273" s="250">
        <v>4.5100000000000001E-2</v>
      </c>
      <c r="V4273" s="250">
        <v>0.13914195792612225</v>
      </c>
      <c r="W4273" s="250">
        <v>0.37858207719065762</v>
      </c>
      <c r="X4273" s="250">
        <v>0.38785820771906571</v>
      </c>
      <c r="Y4273" s="250">
        <v>2.2859035945005796E-2</v>
      </c>
      <c r="Z4273" s="150">
        <v>12</v>
      </c>
      <c r="AA4273" s="150">
        <v>0.56999999999999995</v>
      </c>
      <c r="AB4273" s="152"/>
      <c r="AC4273" s="152"/>
      <c r="AD4273" s="223">
        <v>13.136449000000001</v>
      </c>
      <c r="AE4273" s="223">
        <v>0.34441270000000002</v>
      </c>
      <c r="AF4273" s="223">
        <v>4.5239377999999997</v>
      </c>
      <c r="AG4273" s="223">
        <v>0.96008850000000001</v>
      </c>
      <c r="AH4273" s="341"/>
      <c r="AI4273" s="218"/>
      <c r="AJ4273" s="218"/>
      <c r="AK4273" s="153"/>
      <c r="AL4273" s="152"/>
      <c r="AM4273" s="152"/>
      <c r="AN4273" s="152"/>
      <c r="AO4273" s="152"/>
      <c r="AP4273" s="152"/>
      <c r="AQ4273" s="152"/>
      <c r="AR4273" s="152"/>
      <c r="AS4273" s="152"/>
      <c r="AT4273" s="152"/>
      <c r="AU4273" s="153"/>
      <c r="AV4273" s="479"/>
      <c r="AW4273" s="479"/>
      <c r="AX4273" s="442"/>
      <c r="AY4273" s="153"/>
      <c r="AZ4273" s="152"/>
      <c r="BA4273" s="152"/>
      <c r="BB4273" s="152"/>
      <c r="BC4273" s="152"/>
      <c r="BD4273" s="152"/>
      <c r="BE4273" s="152"/>
      <c r="BF4273" s="152"/>
      <c r="BG4273" s="152"/>
      <c r="BH4273" s="152"/>
      <c r="BI4273" s="153"/>
      <c r="BJ4273" s="153"/>
      <c r="BK4273" s="153"/>
      <c r="BL4273" s="153"/>
      <c r="BM4273" s="153"/>
      <c r="BN4273" s="153"/>
      <c r="BO4273" s="153"/>
      <c r="BP4273" s="153"/>
      <c r="BQ4273" s="153"/>
      <c r="BR4273" s="153"/>
      <c r="BS4273" s="153"/>
      <c r="BT4273" s="153"/>
      <c r="BU4273" s="153"/>
      <c r="BV4273" s="153"/>
      <c r="BW4273" s="153"/>
      <c r="BX4273" s="153"/>
      <c r="BY4273" s="153"/>
      <c r="BZ4273" s="153"/>
      <c r="CA4273" s="152"/>
      <c r="CB4273" s="152"/>
    </row>
    <row r="4274" spans="1:80" s="87" customFormat="1" x14ac:dyDescent="0.2">
      <c r="A4274" s="252" t="s">
        <v>579</v>
      </c>
      <c r="B4274" s="683"/>
      <c r="C4274" s="683"/>
      <c r="D4274" s="292"/>
      <c r="E4274" s="215"/>
      <c r="F4274" s="215"/>
      <c r="G4274" s="153"/>
      <c r="H4274" s="153"/>
      <c r="I4274" s="163">
        <v>21</v>
      </c>
      <c r="J4274" s="163">
        <v>60</v>
      </c>
      <c r="K4274" s="150">
        <v>1</v>
      </c>
      <c r="L4274" s="656">
        <v>21</v>
      </c>
      <c r="M4274" s="663">
        <v>34871</v>
      </c>
      <c r="N4274" s="600">
        <v>4.3601599999999996</v>
      </c>
      <c r="O4274" s="604">
        <v>3.5580000000000001E-2</v>
      </c>
      <c r="P4274" s="250"/>
      <c r="Q4274" s="250"/>
      <c r="R4274" s="250"/>
      <c r="S4274" s="250">
        <v>6.88E-2</v>
      </c>
      <c r="T4274" s="250">
        <v>0.10189999999999999</v>
      </c>
      <c r="U4274" s="250">
        <v>0.11550000000000001</v>
      </c>
      <c r="V4274" s="250">
        <v>0.15796836746589984</v>
      </c>
      <c r="W4274" s="250">
        <v>0.32771149885361212</v>
      </c>
      <c r="X4274" s="250">
        <v>0.21400536276376639</v>
      </c>
      <c r="Y4274" s="250">
        <v>1.4106400341973342E-2</v>
      </c>
      <c r="Z4274" s="150">
        <v>12.5</v>
      </c>
      <c r="AA4274" s="150">
        <v>0.87</v>
      </c>
      <c r="AB4274" s="152"/>
      <c r="AC4274" s="152"/>
      <c r="AD4274" s="223">
        <v>13.136449000000001</v>
      </c>
      <c r="AE4274" s="223">
        <v>0.34441270000000002</v>
      </c>
      <c r="AF4274" s="223">
        <v>4.5239377999999997</v>
      </c>
      <c r="AG4274" s="223">
        <v>0.96008850000000001</v>
      </c>
      <c r="AH4274" s="341"/>
      <c r="AI4274" s="218"/>
      <c r="AJ4274" s="218"/>
      <c r="AK4274" s="153"/>
      <c r="AL4274" s="152"/>
      <c r="AM4274" s="152"/>
      <c r="AN4274" s="152"/>
      <c r="AO4274" s="152"/>
      <c r="AP4274" s="152"/>
      <c r="AQ4274" s="152"/>
      <c r="AR4274" s="152"/>
      <c r="AS4274" s="152"/>
      <c r="AT4274" s="152"/>
      <c r="AU4274" s="153"/>
      <c r="AV4274" s="479"/>
      <c r="AW4274" s="479"/>
      <c r="AX4274" s="442"/>
      <c r="AY4274" s="153"/>
      <c r="AZ4274" s="152"/>
      <c r="BA4274" s="152"/>
      <c r="BB4274" s="152"/>
      <c r="BC4274" s="152"/>
      <c r="BD4274" s="152"/>
      <c r="BE4274" s="152"/>
      <c r="BF4274" s="152"/>
      <c r="BG4274" s="152"/>
      <c r="BH4274" s="152"/>
      <c r="BI4274" s="153"/>
      <c r="BJ4274" s="153"/>
      <c r="BK4274" s="153"/>
      <c r="BL4274" s="153"/>
      <c r="BM4274" s="153"/>
      <c r="BN4274" s="153"/>
      <c r="BO4274" s="153"/>
      <c r="BP4274" s="153"/>
      <c r="BQ4274" s="153"/>
      <c r="BR4274" s="153"/>
      <c r="BS4274" s="153"/>
      <c r="BT4274" s="153"/>
      <c r="BU4274" s="153"/>
      <c r="BV4274" s="153"/>
      <c r="BW4274" s="153"/>
      <c r="BX4274" s="153"/>
      <c r="BY4274" s="153"/>
      <c r="BZ4274" s="153"/>
      <c r="CA4274" s="152"/>
      <c r="CB4274" s="152"/>
    </row>
    <row r="4275" spans="1:80" s="87" customFormat="1" x14ac:dyDescent="0.2">
      <c r="A4275" s="252" t="s">
        <v>579</v>
      </c>
      <c r="B4275" s="683"/>
      <c r="C4275" s="683"/>
      <c r="D4275" s="292"/>
      <c r="E4275" s="215"/>
      <c r="F4275" s="215"/>
      <c r="G4275" s="153"/>
      <c r="H4275" s="153"/>
      <c r="I4275" s="163">
        <v>21</v>
      </c>
      <c r="J4275" s="163">
        <v>60</v>
      </c>
      <c r="K4275" s="150">
        <v>1</v>
      </c>
      <c r="L4275" s="656">
        <v>21</v>
      </c>
      <c r="M4275" s="663">
        <v>34873</v>
      </c>
      <c r="N4275" s="600">
        <v>4.1619700000000002</v>
      </c>
      <c r="O4275" s="604">
        <v>5.3633E-2</v>
      </c>
      <c r="P4275" s="250"/>
      <c r="Q4275" s="250"/>
      <c r="R4275" s="250"/>
      <c r="S4275" s="250"/>
      <c r="T4275" s="250">
        <v>2.4799999999999999E-2</v>
      </c>
      <c r="U4275" s="250">
        <v>5.0099999999999999E-2</v>
      </c>
      <c r="V4275" s="250">
        <v>0.18391792176286262</v>
      </c>
      <c r="W4275" s="250">
        <v>0.43609117557869198</v>
      </c>
      <c r="X4275" s="250">
        <v>0.28785504902456283</v>
      </c>
      <c r="Y4275" s="250">
        <v>1.7234408167391083E-2</v>
      </c>
      <c r="Z4275" s="150">
        <v>6</v>
      </c>
      <c r="AA4275" s="150">
        <v>0.65</v>
      </c>
      <c r="AB4275" s="152"/>
      <c r="AC4275" s="152"/>
      <c r="AD4275" s="223">
        <v>12.984054</v>
      </c>
      <c r="AE4275" s="223">
        <v>0.33222109999999999</v>
      </c>
      <c r="AF4275" s="223">
        <v>4.3130684199999996</v>
      </c>
      <c r="AG4275" s="223">
        <v>0.97228009999999998</v>
      </c>
      <c r="AH4275" s="341"/>
      <c r="AI4275" s="218"/>
      <c r="AJ4275" s="218"/>
      <c r="AK4275" s="153"/>
      <c r="AL4275" s="152"/>
      <c r="AM4275" s="152"/>
      <c r="AN4275" s="152"/>
      <c r="AO4275" s="152"/>
      <c r="AP4275" s="152"/>
      <c r="AQ4275" s="152"/>
      <c r="AR4275" s="152"/>
      <c r="AS4275" s="152"/>
      <c r="AT4275" s="152"/>
      <c r="AU4275" s="153"/>
      <c r="AV4275" s="479"/>
      <c r="AW4275" s="479"/>
      <c r="AX4275" s="442"/>
      <c r="AY4275" s="153"/>
      <c r="AZ4275" s="152"/>
      <c r="BA4275" s="152"/>
      <c r="BB4275" s="152"/>
      <c r="BC4275" s="152"/>
      <c r="BD4275" s="152"/>
      <c r="BE4275" s="152"/>
      <c r="BF4275" s="152"/>
      <c r="BG4275" s="152"/>
      <c r="BH4275" s="152"/>
      <c r="BI4275" s="153"/>
      <c r="BJ4275" s="153"/>
      <c r="BK4275" s="153"/>
      <c r="BL4275" s="153"/>
      <c r="BM4275" s="153"/>
      <c r="BN4275" s="153"/>
      <c r="BO4275" s="153"/>
      <c r="BP4275" s="153"/>
      <c r="BQ4275" s="153"/>
      <c r="BR4275" s="153"/>
      <c r="BS4275" s="153"/>
      <c r="BT4275" s="153"/>
      <c r="BU4275" s="153"/>
      <c r="BV4275" s="153"/>
      <c r="BW4275" s="153"/>
      <c r="BX4275" s="153"/>
      <c r="BY4275" s="153"/>
      <c r="BZ4275" s="153"/>
      <c r="CA4275" s="152"/>
      <c r="CB4275" s="152"/>
    </row>
    <row r="4276" spans="1:80" s="87" customFormat="1" x14ac:dyDescent="0.2">
      <c r="A4276" s="252" t="s">
        <v>579</v>
      </c>
      <c r="B4276" s="683"/>
      <c r="C4276" s="683"/>
      <c r="D4276" s="292"/>
      <c r="E4276" s="215"/>
      <c r="F4276" s="215"/>
      <c r="G4276" s="153"/>
      <c r="H4276" s="153"/>
      <c r="I4276" s="163">
        <v>21</v>
      </c>
      <c r="J4276" s="163">
        <v>60</v>
      </c>
      <c r="K4276" s="150">
        <v>1</v>
      </c>
      <c r="L4276" s="656">
        <v>21</v>
      </c>
      <c r="M4276" s="663">
        <v>34873</v>
      </c>
      <c r="N4276" s="600">
        <v>4.1619700000000002</v>
      </c>
      <c r="O4276" s="604">
        <v>6.8012000000000003E-2</v>
      </c>
      <c r="P4276" s="250"/>
      <c r="Q4276" s="250"/>
      <c r="R4276" s="250"/>
      <c r="S4276" s="250">
        <v>2.8799999999999999E-2</v>
      </c>
      <c r="T4276" s="250">
        <v>5.6500000000000002E-2</v>
      </c>
      <c r="U4276" s="250">
        <v>0.1017</v>
      </c>
      <c r="V4276" s="250">
        <v>0.21144689921708471</v>
      </c>
      <c r="W4276" s="250">
        <v>0.35173416738052077</v>
      </c>
      <c r="X4276" s="250">
        <v>0.23495428013626313</v>
      </c>
      <c r="Y4276" s="250">
        <v>1.4861445903141623E-2</v>
      </c>
      <c r="Z4276" s="150">
        <v>18.5</v>
      </c>
      <c r="AA4276" s="150">
        <v>0.79</v>
      </c>
      <c r="AB4276" s="152"/>
      <c r="AC4276" s="152"/>
      <c r="AD4276" s="223">
        <v>12.984054</v>
      </c>
      <c r="AE4276" s="223">
        <v>0.33222109999999999</v>
      </c>
      <c r="AF4276" s="223">
        <v>4.3130684199999996</v>
      </c>
      <c r="AG4276" s="223">
        <v>0.97228009999999998</v>
      </c>
      <c r="AH4276" s="341"/>
      <c r="AI4276" s="218"/>
      <c r="AJ4276" s="218"/>
      <c r="AK4276" s="153"/>
      <c r="AL4276" s="152"/>
      <c r="AM4276" s="152"/>
      <c r="AN4276" s="152"/>
      <c r="AO4276" s="152"/>
      <c r="AP4276" s="152"/>
      <c r="AQ4276" s="152"/>
      <c r="AR4276" s="152"/>
      <c r="AS4276" s="152"/>
      <c r="AT4276" s="152"/>
      <c r="AU4276" s="153"/>
      <c r="AV4276" s="479"/>
      <c r="AW4276" s="479"/>
      <c r="AX4276" s="442"/>
      <c r="AY4276" s="153"/>
      <c r="AZ4276" s="152"/>
      <c r="BA4276" s="152"/>
      <c r="BB4276" s="152"/>
      <c r="BC4276" s="152"/>
      <c r="BD4276" s="152"/>
      <c r="BE4276" s="152"/>
      <c r="BF4276" s="152"/>
      <c r="BG4276" s="152"/>
      <c r="BH4276" s="152"/>
      <c r="BI4276" s="153"/>
      <c r="BJ4276" s="153"/>
      <c r="BK4276" s="153"/>
      <c r="BL4276" s="153"/>
      <c r="BM4276" s="153"/>
      <c r="BN4276" s="153"/>
      <c r="BO4276" s="153"/>
      <c r="BP4276" s="153"/>
      <c r="BQ4276" s="153"/>
      <c r="BR4276" s="153"/>
      <c r="BS4276" s="153"/>
      <c r="BT4276" s="153"/>
      <c r="BU4276" s="153"/>
      <c r="BV4276" s="153"/>
      <c r="BW4276" s="153"/>
      <c r="BX4276" s="153"/>
      <c r="BY4276" s="153"/>
      <c r="BZ4276" s="153"/>
      <c r="CA4276" s="152"/>
      <c r="CB4276" s="152"/>
    </row>
    <row r="4277" spans="1:80" s="87" customFormat="1" x14ac:dyDescent="0.2">
      <c r="A4277" s="252" t="s">
        <v>579</v>
      </c>
      <c r="B4277" s="683"/>
      <c r="C4277" s="683"/>
      <c r="D4277" s="292"/>
      <c r="E4277" s="215"/>
      <c r="F4277" s="215"/>
      <c r="G4277" s="153"/>
      <c r="H4277" s="153"/>
      <c r="I4277" s="163">
        <v>21</v>
      </c>
      <c r="J4277" s="163">
        <v>60</v>
      </c>
      <c r="K4277" s="150">
        <v>1</v>
      </c>
      <c r="L4277" s="656">
        <v>21</v>
      </c>
      <c r="M4277" s="663">
        <v>34877</v>
      </c>
      <c r="N4277" s="600">
        <v>5.8607300000000002</v>
      </c>
      <c r="O4277" s="604">
        <v>0.138543</v>
      </c>
      <c r="P4277" s="250"/>
      <c r="Q4277" s="250"/>
      <c r="R4277" s="250">
        <v>0.13159999999999999</v>
      </c>
      <c r="S4277" s="250">
        <v>3.6299999999999999E-2</v>
      </c>
      <c r="T4277" s="250">
        <v>6.5299999999999997E-2</v>
      </c>
      <c r="U4277" s="250">
        <v>9.8599999999999993E-2</v>
      </c>
      <c r="V4277" s="250">
        <v>0.15856741000448452</v>
      </c>
      <c r="W4277" s="250">
        <v>0.29210322475437239</v>
      </c>
      <c r="X4277" s="250">
        <v>0.20181214073137924</v>
      </c>
      <c r="Y4277" s="250">
        <v>1.5726283175017328E-2</v>
      </c>
      <c r="Z4277" s="150">
        <v>48.5</v>
      </c>
      <c r="AA4277" s="150">
        <v>0.97</v>
      </c>
      <c r="AB4277" s="152"/>
      <c r="AC4277" s="152"/>
      <c r="AD4277" s="223"/>
      <c r="AE4277" s="223"/>
      <c r="AF4277" s="223"/>
      <c r="AG4277" s="223"/>
      <c r="AH4277" s="341"/>
      <c r="AI4277" s="218"/>
      <c r="AJ4277" s="218"/>
      <c r="AK4277" s="153"/>
      <c r="AL4277" s="152"/>
      <c r="AM4277" s="152"/>
      <c r="AN4277" s="152"/>
      <c r="AO4277" s="152"/>
      <c r="AP4277" s="152"/>
      <c r="AQ4277" s="152"/>
      <c r="AR4277" s="152"/>
      <c r="AS4277" s="152"/>
      <c r="AT4277" s="152"/>
      <c r="AU4277" s="153"/>
      <c r="AV4277" s="479"/>
      <c r="AW4277" s="479"/>
      <c r="AX4277" s="442"/>
      <c r="AY4277" s="153"/>
      <c r="AZ4277" s="152"/>
      <c r="BA4277" s="152"/>
      <c r="BB4277" s="152"/>
      <c r="BC4277" s="152"/>
      <c r="BD4277" s="152"/>
      <c r="BE4277" s="152"/>
      <c r="BF4277" s="152"/>
      <c r="BG4277" s="152"/>
      <c r="BH4277" s="152"/>
      <c r="BI4277" s="153"/>
      <c r="BJ4277" s="153"/>
      <c r="BK4277" s="153"/>
      <c r="BL4277" s="153"/>
      <c r="BM4277" s="153"/>
      <c r="BN4277" s="153"/>
      <c r="BO4277" s="153"/>
      <c r="BP4277" s="153"/>
      <c r="BQ4277" s="153"/>
      <c r="BR4277" s="153"/>
      <c r="BS4277" s="153"/>
      <c r="BT4277" s="153"/>
      <c r="BU4277" s="153"/>
      <c r="BV4277" s="153"/>
      <c r="BW4277" s="153"/>
      <c r="BX4277" s="153"/>
      <c r="BY4277" s="153"/>
      <c r="BZ4277" s="153"/>
      <c r="CA4277" s="152"/>
      <c r="CB4277" s="152"/>
    </row>
    <row r="4278" spans="1:80" s="87" customFormat="1" x14ac:dyDescent="0.2">
      <c r="A4278" s="252" t="s">
        <v>579</v>
      </c>
      <c r="B4278" s="683"/>
      <c r="C4278" s="683"/>
      <c r="D4278" s="292"/>
      <c r="E4278" s="215"/>
      <c r="F4278" s="215"/>
      <c r="G4278" s="153"/>
      <c r="H4278" s="153"/>
      <c r="I4278" s="163">
        <v>21</v>
      </c>
      <c r="J4278" s="163">
        <v>60</v>
      </c>
      <c r="K4278" s="150">
        <v>1</v>
      </c>
      <c r="L4278" s="656">
        <v>21</v>
      </c>
      <c r="M4278" s="663">
        <v>34877</v>
      </c>
      <c r="N4278" s="600">
        <v>5.8607300000000002</v>
      </c>
      <c r="O4278" s="604">
        <v>0.114403</v>
      </c>
      <c r="P4278" s="250"/>
      <c r="Q4278" s="250"/>
      <c r="R4278" s="250">
        <v>1.32E-2</v>
      </c>
      <c r="S4278" s="250">
        <v>2.0799999999999999E-2</v>
      </c>
      <c r="T4278" s="250">
        <v>2.9300000000000003E-2</v>
      </c>
      <c r="U4278" s="250">
        <v>6.1600000000000002E-2</v>
      </c>
      <c r="V4278" s="250">
        <v>0.21500807553733389</v>
      </c>
      <c r="W4278" s="250">
        <v>0.37581065970928068</v>
      </c>
      <c r="X4278" s="250">
        <v>0.26423158156292709</v>
      </c>
      <c r="Y4278" s="250">
        <v>2.0077028202261156E-2</v>
      </c>
      <c r="Z4278" s="150">
        <v>23.5</v>
      </c>
      <c r="AA4278" s="150">
        <v>0.72</v>
      </c>
      <c r="AB4278" s="152"/>
      <c r="AC4278" s="152"/>
      <c r="AD4278" s="223"/>
      <c r="AE4278" s="223"/>
      <c r="AF4278" s="223"/>
      <c r="AG4278" s="223"/>
      <c r="AH4278" s="341"/>
      <c r="AI4278" s="218"/>
      <c r="AJ4278" s="218"/>
      <c r="AK4278" s="153"/>
      <c r="AL4278" s="152"/>
      <c r="AM4278" s="152"/>
      <c r="AN4278" s="152"/>
      <c r="AO4278" s="152"/>
      <c r="AP4278" s="152"/>
      <c r="AQ4278" s="152"/>
      <c r="AR4278" s="152"/>
      <c r="AS4278" s="152"/>
      <c r="AT4278" s="152"/>
      <c r="AU4278" s="153"/>
      <c r="AV4278" s="479"/>
      <c r="AW4278" s="479"/>
      <c r="AX4278" s="442"/>
      <c r="AY4278" s="153"/>
      <c r="AZ4278" s="152"/>
      <c r="BA4278" s="152"/>
      <c r="BB4278" s="152"/>
      <c r="BC4278" s="152"/>
      <c r="BD4278" s="152"/>
      <c r="BE4278" s="152"/>
      <c r="BF4278" s="152"/>
      <c r="BG4278" s="152"/>
      <c r="BH4278" s="152"/>
      <c r="BI4278" s="153"/>
      <c r="BJ4278" s="153"/>
      <c r="BK4278" s="153"/>
      <c r="BL4278" s="153"/>
      <c r="BM4278" s="153"/>
      <c r="BN4278" s="153"/>
      <c r="BO4278" s="153"/>
      <c r="BP4278" s="153"/>
      <c r="BQ4278" s="153"/>
      <c r="BR4278" s="153"/>
      <c r="BS4278" s="153"/>
      <c r="BT4278" s="153"/>
      <c r="BU4278" s="153"/>
      <c r="BV4278" s="153"/>
      <c r="BW4278" s="153"/>
      <c r="BX4278" s="153"/>
      <c r="BY4278" s="153"/>
      <c r="BZ4278" s="153"/>
      <c r="CA4278" s="152"/>
      <c r="CB4278" s="152"/>
    </row>
    <row r="4279" spans="1:80" s="87" customFormat="1" x14ac:dyDescent="0.2">
      <c r="A4279" s="252" t="s">
        <v>579</v>
      </c>
      <c r="B4279" s="683"/>
      <c r="C4279" s="683"/>
      <c r="D4279" s="292"/>
      <c r="E4279" s="215"/>
      <c r="F4279" s="215"/>
      <c r="G4279" s="153"/>
      <c r="H4279" s="153"/>
      <c r="I4279" s="163">
        <v>22</v>
      </c>
      <c r="J4279" s="163">
        <v>60</v>
      </c>
      <c r="K4279" s="150">
        <v>1</v>
      </c>
      <c r="L4279" s="656">
        <v>22</v>
      </c>
      <c r="M4279" s="663">
        <v>34880</v>
      </c>
      <c r="N4279" s="600">
        <v>4.4167800000000002</v>
      </c>
      <c r="O4279" s="604">
        <v>1.5009E-2</v>
      </c>
      <c r="P4279" s="250"/>
      <c r="Q4279" s="250"/>
      <c r="R4279" s="250"/>
      <c r="S4279" s="250"/>
      <c r="T4279" s="250">
        <v>1.15E-2</v>
      </c>
      <c r="U4279" s="250">
        <v>4.3299999999999998E-2</v>
      </c>
      <c r="V4279" s="250">
        <v>0.14418726070309781</v>
      </c>
      <c r="W4279" s="250">
        <v>0.33188304907761923</v>
      </c>
      <c r="X4279" s="250">
        <v>0.39932126696832582</v>
      </c>
      <c r="Y4279" s="250">
        <v>6.9787678384963456E-2</v>
      </c>
      <c r="Z4279" s="150">
        <v>8.5</v>
      </c>
      <c r="AA4279" s="150">
        <v>0.53</v>
      </c>
      <c r="AB4279" s="152"/>
      <c r="AC4279" s="152"/>
      <c r="AD4279" s="223">
        <v>13.075491</v>
      </c>
      <c r="AE4279" s="223">
        <v>0.34441270000000002</v>
      </c>
      <c r="AF4279" s="223">
        <v>4.5035011200000001</v>
      </c>
      <c r="AG4279" s="223">
        <v>0.98142379999999996</v>
      </c>
      <c r="AH4279" s="341"/>
      <c r="AI4279" s="218"/>
      <c r="AJ4279" s="218"/>
      <c r="AK4279" s="153"/>
      <c r="AL4279" s="152"/>
      <c r="AM4279" s="152"/>
      <c r="AN4279" s="152"/>
      <c r="AO4279" s="152"/>
      <c r="AP4279" s="152"/>
      <c r="AQ4279" s="152"/>
      <c r="AR4279" s="152"/>
      <c r="AS4279" s="152"/>
      <c r="AT4279" s="152"/>
      <c r="AU4279" s="153"/>
      <c r="AV4279" s="479"/>
      <c r="AW4279" s="479"/>
      <c r="AX4279" s="442"/>
      <c r="AY4279" s="153"/>
      <c r="AZ4279" s="152"/>
      <c r="BA4279" s="152"/>
      <c r="BB4279" s="152"/>
      <c r="BC4279" s="152"/>
      <c r="BD4279" s="152"/>
      <c r="BE4279" s="152"/>
      <c r="BF4279" s="152"/>
      <c r="BG4279" s="152"/>
      <c r="BH4279" s="152"/>
      <c r="BI4279" s="153"/>
      <c r="BJ4279" s="153"/>
      <c r="BK4279" s="153"/>
      <c r="BL4279" s="153"/>
      <c r="BM4279" s="153"/>
      <c r="BN4279" s="153"/>
      <c r="BO4279" s="153"/>
      <c r="BP4279" s="153"/>
      <c r="BQ4279" s="153"/>
      <c r="BR4279" s="153"/>
      <c r="BS4279" s="153"/>
      <c r="BT4279" s="153"/>
      <c r="BU4279" s="153"/>
      <c r="BV4279" s="153"/>
      <c r="BW4279" s="153"/>
      <c r="BX4279" s="153"/>
      <c r="BY4279" s="153"/>
      <c r="BZ4279" s="153"/>
      <c r="CA4279" s="152"/>
      <c r="CB4279" s="152"/>
    </row>
    <row r="4280" spans="1:80" s="87" customFormat="1" x14ac:dyDescent="0.2">
      <c r="A4280" s="252" t="s">
        <v>579</v>
      </c>
      <c r="B4280" s="683"/>
      <c r="C4280" s="683"/>
      <c r="D4280" s="292"/>
      <c r="E4280" s="215"/>
      <c r="F4280" s="215"/>
      <c r="G4280" s="153"/>
      <c r="H4280" s="153"/>
      <c r="I4280" s="163">
        <v>22</v>
      </c>
      <c r="J4280" s="163">
        <v>60</v>
      </c>
      <c r="K4280" s="150">
        <v>1</v>
      </c>
      <c r="L4280" s="656">
        <v>22</v>
      </c>
      <c r="M4280" s="663">
        <v>34880</v>
      </c>
      <c r="N4280" s="600">
        <v>4.4167800000000002</v>
      </c>
      <c r="O4280" s="604">
        <v>1.5952999999999998E-2</v>
      </c>
      <c r="P4280" s="250"/>
      <c r="Q4280" s="250"/>
      <c r="R4280" s="250"/>
      <c r="S4280" s="250">
        <v>3.3300000000000003E-2</v>
      </c>
      <c r="T4280" s="250">
        <v>1.2E-2</v>
      </c>
      <c r="U4280" s="250">
        <v>5.16E-2</v>
      </c>
      <c r="V4280" s="250">
        <v>0.1578561537834976</v>
      </c>
      <c r="W4280" s="250">
        <v>0.32239146371263344</v>
      </c>
      <c r="X4280" s="250">
        <v>0.34821210393418595</v>
      </c>
      <c r="Y4280" s="250">
        <v>7.4611061334202186E-2</v>
      </c>
      <c r="Z4280" s="150">
        <v>14.5</v>
      </c>
      <c r="AA4280" s="150">
        <v>0.56999999999999995</v>
      </c>
      <c r="AB4280" s="152"/>
      <c r="AC4280" s="152"/>
      <c r="AD4280" s="223">
        <v>13.075491</v>
      </c>
      <c r="AE4280" s="223">
        <v>0.34441270000000002</v>
      </c>
      <c r="AF4280" s="223">
        <v>4.5035011200000001</v>
      </c>
      <c r="AG4280" s="223">
        <v>0.98142379999999996</v>
      </c>
      <c r="AH4280" s="341"/>
      <c r="AI4280" s="218"/>
      <c r="AJ4280" s="218"/>
      <c r="AK4280" s="153"/>
      <c r="AL4280" s="152"/>
      <c r="AM4280" s="152"/>
      <c r="AN4280" s="152"/>
      <c r="AO4280" s="152"/>
      <c r="AP4280" s="152"/>
      <c r="AQ4280" s="152"/>
      <c r="AR4280" s="152"/>
      <c r="AS4280" s="152"/>
      <c r="AT4280" s="152"/>
      <c r="AU4280" s="153"/>
      <c r="AV4280" s="479"/>
      <c r="AW4280" s="479"/>
      <c r="AX4280" s="442"/>
      <c r="AY4280" s="153"/>
      <c r="AZ4280" s="152"/>
      <c r="BA4280" s="152"/>
      <c r="BB4280" s="152"/>
      <c r="BC4280" s="152"/>
      <c r="BD4280" s="152"/>
      <c r="BE4280" s="152"/>
      <c r="BF4280" s="152"/>
      <c r="BG4280" s="152"/>
      <c r="BH4280" s="152"/>
      <c r="BI4280" s="153"/>
      <c r="BJ4280" s="153"/>
      <c r="BK4280" s="153"/>
      <c r="BL4280" s="153"/>
      <c r="BM4280" s="153"/>
      <c r="BN4280" s="153"/>
      <c r="BO4280" s="153"/>
      <c r="BP4280" s="153"/>
      <c r="BQ4280" s="153"/>
      <c r="BR4280" s="153"/>
      <c r="BS4280" s="153"/>
      <c r="BT4280" s="153"/>
      <c r="BU4280" s="153"/>
      <c r="BV4280" s="153"/>
      <c r="BW4280" s="153"/>
      <c r="BX4280" s="153"/>
      <c r="BY4280" s="153"/>
      <c r="BZ4280" s="153"/>
      <c r="CA4280" s="152"/>
      <c r="CB4280" s="152"/>
    </row>
    <row r="4281" spans="1:80" s="87" customFormat="1" x14ac:dyDescent="0.2">
      <c r="A4281" s="252" t="s">
        <v>579</v>
      </c>
      <c r="B4281" s="683"/>
      <c r="C4281" s="683"/>
      <c r="D4281" s="292"/>
      <c r="E4281" s="215"/>
      <c r="F4281" s="215"/>
      <c r="G4281" s="153"/>
      <c r="H4281" s="153"/>
      <c r="I4281" s="163">
        <v>21</v>
      </c>
      <c r="J4281" s="163">
        <v>60</v>
      </c>
      <c r="K4281" s="150">
        <v>1</v>
      </c>
      <c r="L4281" s="656">
        <v>21</v>
      </c>
      <c r="M4281" s="663">
        <v>34883</v>
      </c>
      <c r="N4281" s="600">
        <v>3.7372800000000002</v>
      </c>
      <c r="O4281" s="604">
        <v>1.8787000000000002E-2</v>
      </c>
      <c r="P4281" s="250"/>
      <c r="Q4281" s="250"/>
      <c r="R4281" s="250"/>
      <c r="S4281" s="250">
        <v>3.9E-2</v>
      </c>
      <c r="T4281" s="250">
        <v>4.2599999999999999E-2</v>
      </c>
      <c r="U4281" s="250">
        <v>0.1207</v>
      </c>
      <c r="V4281" s="250">
        <v>0.21463208939489775</v>
      </c>
      <c r="W4281" s="250">
        <v>0.32040199592381752</v>
      </c>
      <c r="X4281" s="250">
        <v>0.2458359687961206</v>
      </c>
      <c r="Y4281" s="250">
        <v>1.679668283083843E-2</v>
      </c>
      <c r="Z4281" s="150">
        <v>14</v>
      </c>
      <c r="AA4281" s="150">
        <v>0.8</v>
      </c>
      <c r="AB4281" s="152"/>
      <c r="AC4281" s="152"/>
      <c r="AD4281" s="223">
        <v>12.709743</v>
      </c>
      <c r="AE4281" s="223">
        <v>0.32612530000000001</v>
      </c>
      <c r="AF4281" s="223">
        <v>4.1449302799999996</v>
      </c>
      <c r="AG4281" s="223">
        <v>0.90827420000000003</v>
      </c>
      <c r="AH4281" s="341"/>
      <c r="AI4281" s="218"/>
      <c r="AJ4281" s="218"/>
      <c r="AK4281" s="153"/>
      <c r="AL4281" s="152"/>
      <c r="AM4281" s="152"/>
      <c r="AN4281" s="152"/>
      <c r="AO4281" s="152"/>
      <c r="AP4281" s="152"/>
      <c r="AQ4281" s="152"/>
      <c r="AR4281" s="152"/>
      <c r="AS4281" s="152"/>
      <c r="AT4281" s="152"/>
      <c r="AU4281" s="153"/>
      <c r="AV4281" s="479"/>
      <c r="AW4281" s="479"/>
      <c r="AX4281" s="442"/>
      <c r="AY4281" s="153"/>
      <c r="AZ4281" s="152"/>
      <c r="BA4281" s="152"/>
      <c r="BB4281" s="152"/>
      <c r="BC4281" s="152"/>
      <c r="BD4281" s="152"/>
      <c r="BE4281" s="152"/>
      <c r="BF4281" s="152"/>
      <c r="BG4281" s="152"/>
      <c r="BH4281" s="152"/>
      <c r="BI4281" s="153"/>
      <c r="BJ4281" s="153"/>
      <c r="BK4281" s="153"/>
      <c r="BL4281" s="153"/>
      <c r="BM4281" s="153"/>
      <c r="BN4281" s="153"/>
      <c r="BO4281" s="153"/>
      <c r="BP4281" s="153"/>
      <c r="BQ4281" s="153"/>
      <c r="BR4281" s="153"/>
      <c r="BS4281" s="153"/>
      <c r="BT4281" s="153"/>
      <c r="BU4281" s="153"/>
      <c r="BV4281" s="153"/>
      <c r="BW4281" s="153"/>
      <c r="BX4281" s="153"/>
      <c r="BY4281" s="153"/>
      <c r="BZ4281" s="153"/>
      <c r="CA4281" s="152"/>
      <c r="CB4281" s="152"/>
    </row>
    <row r="4282" spans="1:80" s="87" customFormat="1" x14ac:dyDescent="0.2">
      <c r="A4282" s="252" t="s">
        <v>579</v>
      </c>
      <c r="B4282" s="683"/>
      <c r="C4282" s="683"/>
      <c r="D4282" s="292"/>
      <c r="E4282" s="215"/>
      <c r="F4282" s="215"/>
      <c r="G4282" s="153"/>
      <c r="H4282" s="153"/>
      <c r="I4282" s="163">
        <v>21</v>
      </c>
      <c r="J4282" s="163">
        <v>60</v>
      </c>
      <c r="K4282" s="150">
        <v>1</v>
      </c>
      <c r="L4282" s="656">
        <v>21</v>
      </c>
      <c r="M4282" s="663">
        <v>34883</v>
      </c>
      <c r="N4282" s="600">
        <v>3.7372800000000002</v>
      </c>
      <c r="O4282" s="604">
        <v>1.6688000000000001E-2</v>
      </c>
      <c r="P4282" s="250"/>
      <c r="Q4282" s="250"/>
      <c r="R4282" s="250"/>
      <c r="S4282" s="250">
        <v>2.1099999999999997E-2</v>
      </c>
      <c r="T4282" s="250">
        <v>0.1024</v>
      </c>
      <c r="U4282" s="250">
        <v>0.26640000000000003</v>
      </c>
      <c r="V4282" s="250">
        <v>0.25939134569662387</v>
      </c>
      <c r="W4282" s="250">
        <v>0.1982089079093359</v>
      </c>
      <c r="X4282" s="250">
        <v>0.14297035980345538</v>
      </c>
      <c r="Y4282" s="250">
        <v>9.5894753526707885E-3</v>
      </c>
      <c r="Z4282" s="150">
        <v>14.5</v>
      </c>
      <c r="AA4282" s="150">
        <v>1.54</v>
      </c>
      <c r="AB4282" s="152"/>
      <c r="AC4282" s="152"/>
      <c r="AD4282" s="223">
        <v>12.709743</v>
      </c>
      <c r="AE4282" s="223">
        <v>0.32612530000000001</v>
      </c>
      <c r="AF4282" s="223">
        <v>4.1449302799999996</v>
      </c>
      <c r="AG4282" s="223">
        <v>0.90827420000000003</v>
      </c>
      <c r="AH4282" s="341"/>
      <c r="AI4282" s="218"/>
      <c r="AJ4282" s="218"/>
      <c r="AK4282" s="153"/>
      <c r="AL4282" s="152"/>
      <c r="AM4282" s="152"/>
      <c r="AN4282" s="152"/>
      <c r="AO4282" s="152"/>
      <c r="AP4282" s="152"/>
      <c r="AQ4282" s="152"/>
      <c r="AR4282" s="152"/>
      <c r="AS4282" s="152"/>
      <c r="AT4282" s="152"/>
      <c r="AU4282" s="153"/>
      <c r="AV4282" s="479"/>
      <c r="AW4282" s="479"/>
      <c r="AX4282" s="442"/>
      <c r="AY4282" s="153"/>
      <c r="AZ4282" s="152"/>
      <c r="BA4282" s="152"/>
      <c r="BB4282" s="152"/>
      <c r="BC4282" s="152"/>
      <c r="BD4282" s="152"/>
      <c r="BE4282" s="152"/>
      <c r="BF4282" s="152"/>
      <c r="BG4282" s="152"/>
      <c r="BH4282" s="152"/>
      <c r="BI4282" s="153"/>
      <c r="BJ4282" s="153"/>
      <c r="BK4282" s="153"/>
      <c r="BL4282" s="153"/>
      <c r="BM4282" s="153"/>
      <c r="BN4282" s="153"/>
      <c r="BO4282" s="153"/>
      <c r="BP4282" s="153"/>
      <c r="BQ4282" s="153"/>
      <c r="BR4282" s="153"/>
      <c r="BS4282" s="153"/>
      <c r="BT4282" s="153"/>
      <c r="BU4282" s="153"/>
      <c r="BV4282" s="153"/>
      <c r="BW4282" s="153"/>
      <c r="BX4282" s="153"/>
      <c r="BY4282" s="153"/>
      <c r="BZ4282" s="153"/>
      <c r="CA4282" s="152"/>
      <c r="CB4282" s="152"/>
    </row>
    <row r="4283" spans="1:80" ht="15" x14ac:dyDescent="0.25">
      <c r="A4283" s="9" t="s">
        <v>209</v>
      </c>
      <c r="B4283" s="639" t="s">
        <v>66</v>
      </c>
      <c r="C4283" s="639" t="s">
        <v>608</v>
      </c>
      <c r="D4283" s="4">
        <f>VLOOKUP(E4283,'Quality Code'!D4:E24,2,TRUE)*VLOOKUP(MROUND(F4283,10),'Quality Code'!D28:E69,2,TRUE)*VLOOKUP(COUNTA(CB4283:CB4293),'Quality Code'!D73:E93,2,TRUE)</f>
        <v>3.8</v>
      </c>
      <c r="E4283" s="14">
        <v>0.95</v>
      </c>
      <c r="F4283" s="18">
        <v>84</v>
      </c>
      <c r="G4283" s="12">
        <v>56.456299999999999</v>
      </c>
      <c r="H4283" s="2" t="s">
        <v>231</v>
      </c>
      <c r="I4283" s="10"/>
      <c r="J4283" s="10" t="s">
        <v>283</v>
      </c>
      <c r="K4283" s="10"/>
      <c r="L4283" s="640" t="s">
        <v>284</v>
      </c>
      <c r="M4283" s="640" t="s">
        <v>841</v>
      </c>
      <c r="N4283" s="579" t="s">
        <v>285</v>
      </c>
      <c r="O4283" s="579"/>
      <c r="P4283" s="10" t="s">
        <v>64</v>
      </c>
      <c r="Q4283" s="10" t="s">
        <v>64</v>
      </c>
      <c r="R4283" s="10" t="s">
        <v>64</v>
      </c>
      <c r="S4283" s="10" t="s">
        <v>64</v>
      </c>
      <c r="T4283" s="10" t="s">
        <v>64</v>
      </c>
      <c r="U4283" s="10" t="s">
        <v>64</v>
      </c>
      <c r="V4283" s="10"/>
      <c r="W4283" s="10"/>
      <c r="X4283" s="10"/>
      <c r="Y4283" s="10"/>
      <c r="Z4283" s="11"/>
      <c r="AA4283" s="81"/>
      <c r="AB4283" s="81"/>
      <c r="AC4283" s="116">
        <v>1.5299999999999999E-2</v>
      </c>
      <c r="AD4283" s="11"/>
      <c r="AE4283" s="11"/>
      <c r="AF4283" s="10"/>
      <c r="AG4283" s="10"/>
      <c r="AH4283" s="345" t="s">
        <v>366</v>
      </c>
      <c r="AI4283" s="18">
        <v>43.2</v>
      </c>
      <c r="AJ4283" s="17">
        <v>1</v>
      </c>
      <c r="AK4283" s="17">
        <v>0.81040000000000001</v>
      </c>
      <c r="AL4283" s="17">
        <v>0.61329999999999996</v>
      </c>
      <c r="AM4283" s="17">
        <v>0.40539999999999998</v>
      </c>
      <c r="AN4283" s="17">
        <v>0.2611</v>
      </c>
      <c r="AO4283" s="17">
        <v>0.161</v>
      </c>
      <c r="AP4283" s="17">
        <v>0.1028</v>
      </c>
      <c r="AQ4283" s="17">
        <v>6.9199999999999998E-2</v>
      </c>
      <c r="AR4283" s="17">
        <v>4.1099999999999998E-2</v>
      </c>
      <c r="AS4283" s="17">
        <v>1.8100000000000002E-2</v>
      </c>
      <c r="AT4283" s="17">
        <v>6.6E-3</v>
      </c>
      <c r="AU4283" s="18">
        <v>134.5</v>
      </c>
      <c r="AV4283" s="17">
        <v>1</v>
      </c>
      <c r="AW4283" s="17">
        <v>1</v>
      </c>
      <c r="AX4283" s="17">
        <v>1</v>
      </c>
      <c r="AY4283" s="17">
        <v>0.46139999999999998</v>
      </c>
      <c r="AZ4283" s="17">
        <v>0.1782</v>
      </c>
      <c r="BA4283" s="17">
        <v>5.11E-2</v>
      </c>
      <c r="BB4283" s="17">
        <v>1.43E-2</v>
      </c>
      <c r="BC4283" s="17">
        <v>3.7000000000000002E-3</v>
      </c>
      <c r="BD4283" s="17">
        <v>2E-3</v>
      </c>
      <c r="BE4283" s="17">
        <v>1.1000000000000001E-3</v>
      </c>
      <c r="BF4283" s="17">
        <v>8.0000000000000004E-4</v>
      </c>
      <c r="BG4283" s="17">
        <v>5.9999999999999995E-4</v>
      </c>
      <c r="BH4283" s="17">
        <v>4.0000000000000002E-4</v>
      </c>
      <c r="BI4283" s="4">
        <f>AU4283/AI4283</f>
        <v>3.1134259259259256</v>
      </c>
      <c r="BJ4283" s="2" t="s">
        <v>68</v>
      </c>
      <c r="BK4283" s="2" t="s">
        <v>68</v>
      </c>
      <c r="BL4283" s="12"/>
      <c r="BM4283" s="12">
        <v>2.4801899999999999</v>
      </c>
      <c r="BN4283" s="12">
        <v>6.5225059999999999</v>
      </c>
      <c r="BO4283" s="12">
        <v>0.3078379</v>
      </c>
      <c r="BP4283" s="12">
        <v>2.0086458559999998</v>
      </c>
      <c r="BQ4283" s="12">
        <f>BN4283/BO4283</f>
        <v>21.188118811881189</v>
      </c>
      <c r="BR4283" s="12" t="s">
        <v>276</v>
      </c>
      <c r="BS4283" s="18">
        <v>3</v>
      </c>
      <c r="BT4283" s="12"/>
      <c r="BU4283" s="2"/>
      <c r="BV4283" s="2"/>
      <c r="BW4283" s="2"/>
      <c r="BX4283" s="2"/>
      <c r="BY4283" s="2" t="s">
        <v>85</v>
      </c>
      <c r="BZ4283" s="2"/>
      <c r="CA4283" s="381"/>
      <c r="CB4283" s="9" t="s">
        <v>224</v>
      </c>
    </row>
    <row r="4284" spans="1:80" s="87" customFormat="1" ht="15" x14ac:dyDescent="0.25">
      <c r="A4284" s="152"/>
      <c r="B4284" s="683"/>
      <c r="C4284" s="683"/>
      <c r="D4284" s="698"/>
      <c r="E4284" s="215"/>
      <c r="F4284" s="215"/>
      <c r="G4284" s="153"/>
      <c r="H4284" s="153"/>
      <c r="I4284" s="163">
        <v>20</v>
      </c>
      <c r="J4284" s="163">
        <v>30</v>
      </c>
      <c r="K4284" s="150">
        <v>1</v>
      </c>
      <c r="L4284" s="656">
        <v>10</v>
      </c>
      <c r="M4284" s="663">
        <v>34460</v>
      </c>
      <c r="N4284" s="600">
        <v>0.41337000000000002</v>
      </c>
      <c r="O4284" s="604">
        <v>2.4000000000000001E-5</v>
      </c>
      <c r="P4284" s="250"/>
      <c r="Q4284" s="250"/>
      <c r="R4284" s="250"/>
      <c r="S4284" s="250"/>
      <c r="T4284" s="250"/>
      <c r="U4284" s="250"/>
      <c r="V4284" s="250">
        <v>0.12</v>
      </c>
      <c r="W4284" s="250">
        <v>0.24</v>
      </c>
      <c r="X4284" s="250">
        <v>0.52</v>
      </c>
      <c r="Y4284" s="250">
        <v>0.12</v>
      </c>
      <c r="Z4284" s="150">
        <v>1.2</v>
      </c>
      <c r="AA4284" s="150">
        <v>0.39</v>
      </c>
      <c r="AB4284" s="152"/>
      <c r="AC4284" s="152"/>
      <c r="AD4284" s="223">
        <v>4.7547240000000004</v>
      </c>
      <c r="AE4284" s="223">
        <v>0.18287400000000001</v>
      </c>
      <c r="AF4284" s="223">
        <v>0.86361966999999995</v>
      </c>
      <c r="AG4284" s="223">
        <v>0.38403540000000003</v>
      </c>
      <c r="AH4284" s="341" t="s">
        <v>367</v>
      </c>
      <c r="AI4284" s="218"/>
      <c r="AJ4284" s="218"/>
      <c r="AK4284" s="153"/>
      <c r="AL4284" s="152"/>
      <c r="AM4284" s="152"/>
      <c r="AN4284" s="152"/>
      <c r="AO4284" s="152"/>
      <c r="AP4284" s="152"/>
      <c r="AQ4284" s="152"/>
      <c r="AR4284" s="152"/>
      <c r="AS4284" s="152"/>
      <c r="AT4284" s="152"/>
      <c r="AU4284" s="157">
        <v>62</v>
      </c>
      <c r="AV4284" s="158">
        <v>1</v>
      </c>
      <c r="AW4284" s="158">
        <v>1</v>
      </c>
      <c r="AX4284" s="158">
        <v>0.99829999999999997</v>
      </c>
      <c r="AY4284" s="158">
        <v>0.86029999999999995</v>
      </c>
      <c r="AZ4284" s="158">
        <v>0.51680000000000004</v>
      </c>
      <c r="BA4284" s="158">
        <v>0.2306</v>
      </c>
      <c r="BB4284" s="158">
        <v>0.1077</v>
      </c>
      <c r="BC4284" s="158">
        <v>7.0699999999999999E-2</v>
      </c>
      <c r="BD4284" s="158">
        <v>5.0500000000000003E-2</v>
      </c>
      <c r="BE4284" s="158">
        <v>4.5499999999999999E-2</v>
      </c>
      <c r="BF4284" s="158"/>
      <c r="BG4284" s="158"/>
      <c r="BH4284" s="158"/>
      <c r="BI4284" s="156">
        <f>AU4284/AI4283</f>
        <v>1.4351851851851851</v>
      </c>
      <c r="BJ4284" s="155" t="s">
        <v>68</v>
      </c>
      <c r="BK4284" s="155" t="s">
        <v>175</v>
      </c>
      <c r="BL4284" s="153"/>
      <c r="BM4284" s="153"/>
      <c r="BN4284" s="153"/>
      <c r="BO4284" s="153"/>
      <c r="BP4284" s="153"/>
      <c r="BQ4284" s="153"/>
      <c r="BR4284" s="153"/>
      <c r="BS4284" s="153"/>
      <c r="BT4284" s="153"/>
      <c r="BU4284" s="153"/>
      <c r="BV4284" s="153"/>
      <c r="BW4284" s="153"/>
      <c r="BX4284" s="153"/>
      <c r="BY4284" s="153"/>
      <c r="BZ4284" s="153"/>
      <c r="CA4284" s="152"/>
      <c r="CB4284" s="154" t="s">
        <v>597</v>
      </c>
    </row>
    <row r="4285" spans="1:80" s="87" customFormat="1" ht="15" x14ac:dyDescent="0.2">
      <c r="A4285" s="152"/>
      <c r="B4285" s="683"/>
      <c r="C4285" s="683"/>
      <c r="D4285" s="698"/>
      <c r="E4285" s="215"/>
      <c r="F4285" s="215"/>
      <c r="G4285" s="153"/>
      <c r="H4285" s="153"/>
      <c r="I4285" s="163">
        <v>20</v>
      </c>
      <c r="J4285" s="163">
        <v>30</v>
      </c>
      <c r="K4285" s="150">
        <v>1</v>
      </c>
      <c r="L4285" s="656">
        <v>10</v>
      </c>
      <c r="M4285" s="663">
        <v>34460</v>
      </c>
      <c r="N4285" s="600">
        <v>0.41337000000000002</v>
      </c>
      <c r="O4285" s="604">
        <v>1.6100000000000001E-4</v>
      </c>
      <c r="P4285" s="250"/>
      <c r="Q4285" s="250"/>
      <c r="R4285" s="250"/>
      <c r="S4285" s="250"/>
      <c r="T4285" s="250"/>
      <c r="U4285" s="250"/>
      <c r="V4285" s="250">
        <v>5.2023121387283239E-2</v>
      </c>
      <c r="W4285" s="250">
        <v>0.35260115606936415</v>
      </c>
      <c r="X4285" s="250">
        <v>0.52023121387283244</v>
      </c>
      <c r="Y4285" s="250">
        <v>7.5144508670520235E-2</v>
      </c>
      <c r="Z4285" s="150">
        <v>1.7</v>
      </c>
      <c r="AA4285" s="150">
        <v>0.44</v>
      </c>
      <c r="AB4285" s="152"/>
      <c r="AC4285" s="152"/>
      <c r="AD4285" s="223">
        <v>4.7547240000000004</v>
      </c>
      <c r="AE4285" s="223">
        <v>0.18287400000000001</v>
      </c>
      <c r="AF4285" s="223">
        <v>0.86361966999999995</v>
      </c>
      <c r="AG4285" s="223">
        <v>0.38403540000000003</v>
      </c>
      <c r="AH4285" s="341"/>
      <c r="AI4285" s="218"/>
      <c r="AJ4285" s="218"/>
      <c r="AK4285" s="153"/>
      <c r="AL4285" s="152"/>
      <c r="AM4285" s="152"/>
      <c r="AN4285" s="152"/>
      <c r="AO4285" s="152"/>
      <c r="AP4285" s="152"/>
      <c r="AQ4285" s="152"/>
      <c r="AR4285" s="152"/>
      <c r="AS4285" s="152"/>
      <c r="AT4285" s="152"/>
      <c r="AU4285" s="153"/>
      <c r="AV4285" s="479"/>
      <c r="AW4285" s="479"/>
      <c r="AX4285" s="442"/>
      <c r="AY4285" s="153"/>
      <c r="AZ4285" s="152"/>
      <c r="BA4285" s="152"/>
      <c r="BB4285" s="152"/>
      <c r="BC4285" s="152"/>
      <c r="BD4285" s="152"/>
      <c r="BE4285" s="152"/>
      <c r="BF4285" s="152"/>
      <c r="BG4285" s="152"/>
      <c r="BH4285" s="152"/>
      <c r="BI4285" s="153"/>
      <c r="BJ4285" s="153"/>
      <c r="BK4285" s="153"/>
      <c r="BL4285" s="153"/>
      <c r="BM4285" s="153"/>
      <c r="BN4285" s="153"/>
      <c r="BO4285" s="153"/>
      <c r="BP4285" s="153"/>
      <c r="BQ4285" s="153"/>
      <c r="BR4285" s="153"/>
      <c r="BS4285" s="153"/>
      <c r="BT4285" s="153"/>
      <c r="BU4285" s="153"/>
      <c r="BV4285" s="153"/>
      <c r="BW4285" s="153"/>
      <c r="BX4285" s="153"/>
      <c r="BY4285" s="153"/>
      <c r="BZ4285" s="153"/>
      <c r="CA4285" s="152"/>
      <c r="CB4285" s="486" t="s">
        <v>638</v>
      </c>
    </row>
    <row r="4286" spans="1:80" s="87" customFormat="1" ht="15" x14ac:dyDescent="0.2">
      <c r="A4286" s="152"/>
      <c r="B4286" s="683"/>
      <c r="C4286" s="683"/>
      <c r="D4286" s="698"/>
      <c r="E4286" s="215"/>
      <c r="F4286" s="215"/>
      <c r="G4286" s="153"/>
      <c r="H4286" s="153"/>
      <c r="I4286" s="163">
        <v>20</v>
      </c>
      <c r="J4286" s="163">
        <v>30</v>
      </c>
      <c r="K4286" s="150">
        <v>1</v>
      </c>
      <c r="L4286" s="656">
        <v>10</v>
      </c>
      <c r="M4286" s="663">
        <v>34462</v>
      </c>
      <c r="N4286" s="600">
        <v>0.62570999999999999</v>
      </c>
      <c r="O4286" s="604">
        <v>2.5700000000000001E-4</v>
      </c>
      <c r="P4286" s="250"/>
      <c r="Q4286" s="250"/>
      <c r="R4286" s="250"/>
      <c r="S4286" s="250"/>
      <c r="T4286" s="250"/>
      <c r="U4286" s="250">
        <v>4.8300000000000003E-2</v>
      </c>
      <c r="V4286" s="250">
        <v>0.19702602230483271</v>
      </c>
      <c r="W4286" s="250">
        <v>0.33828996282527884</v>
      </c>
      <c r="X4286" s="250">
        <v>0.36431226765799257</v>
      </c>
      <c r="Y4286" s="250">
        <v>5.2044609665427517E-2</v>
      </c>
      <c r="Z4286" s="150">
        <v>3</v>
      </c>
      <c r="AA4286" s="150">
        <v>0.57999999999999996</v>
      </c>
      <c r="AB4286" s="152"/>
      <c r="AC4286" s="152"/>
      <c r="AD4286" s="223">
        <v>4.9071189999999998</v>
      </c>
      <c r="AE4286" s="223">
        <v>0.2072572</v>
      </c>
      <c r="AF4286" s="223">
        <v>1.0171833640000001</v>
      </c>
      <c r="AG4286" s="223">
        <v>0.54862200000000005</v>
      </c>
      <c r="AH4286" s="341"/>
      <c r="AI4286" s="218"/>
      <c r="AJ4286" s="218"/>
      <c r="AK4286" s="153"/>
      <c r="AL4286" s="152"/>
      <c r="AM4286" s="152"/>
      <c r="AN4286" s="152"/>
      <c r="AO4286" s="152"/>
      <c r="AP4286" s="152"/>
      <c r="AQ4286" s="152"/>
      <c r="AR4286" s="152"/>
      <c r="AS4286" s="152"/>
      <c r="AT4286" s="152"/>
      <c r="AU4286" s="153"/>
      <c r="AV4286" s="479"/>
      <c r="AW4286" s="479"/>
      <c r="AX4286" s="442"/>
      <c r="AY4286" s="153"/>
      <c r="AZ4286" s="152"/>
      <c r="BA4286" s="152"/>
      <c r="BB4286" s="152"/>
      <c r="BC4286" s="152"/>
      <c r="BD4286" s="152"/>
      <c r="BE4286" s="152"/>
      <c r="BF4286" s="152"/>
      <c r="BG4286" s="152"/>
      <c r="BH4286" s="152"/>
      <c r="BI4286" s="153"/>
      <c r="BJ4286" s="153"/>
      <c r="BK4286" s="153"/>
      <c r="BL4286" s="153"/>
      <c r="BM4286" s="153"/>
      <c r="BN4286" s="153"/>
      <c r="BO4286" s="153"/>
      <c r="BP4286" s="153"/>
      <c r="BQ4286" s="153"/>
      <c r="BR4286" s="153"/>
      <c r="BS4286" s="153"/>
      <c r="BT4286" s="153"/>
      <c r="BU4286" s="153"/>
      <c r="BV4286" s="153"/>
      <c r="BW4286" s="153"/>
      <c r="BX4286" s="153"/>
      <c r="BY4286" s="153"/>
      <c r="BZ4286" s="153"/>
      <c r="CA4286" s="152"/>
      <c r="CB4286" s="486" t="s">
        <v>639</v>
      </c>
    </row>
    <row r="4287" spans="1:80" s="87" customFormat="1" ht="15" x14ac:dyDescent="0.2">
      <c r="A4287" s="152"/>
      <c r="B4287" s="683"/>
      <c r="C4287" s="683"/>
      <c r="D4287" s="698"/>
      <c r="E4287" s="215"/>
      <c r="F4287" s="215"/>
      <c r="G4287" s="153"/>
      <c r="H4287" s="153"/>
      <c r="I4287" s="163">
        <v>20</v>
      </c>
      <c r="J4287" s="163">
        <v>30</v>
      </c>
      <c r="K4287" s="150">
        <v>1</v>
      </c>
      <c r="L4287" s="656">
        <v>10</v>
      </c>
      <c r="M4287" s="663">
        <v>34462</v>
      </c>
      <c r="N4287" s="600">
        <v>0.62570999999999999</v>
      </c>
      <c r="O4287" s="604">
        <v>2.1000000000000001E-4</v>
      </c>
      <c r="P4287" s="250"/>
      <c r="Q4287" s="250"/>
      <c r="R4287" s="250"/>
      <c r="S4287" s="250"/>
      <c r="T4287" s="250"/>
      <c r="U4287" s="250">
        <v>1.3500000000000002E-2</v>
      </c>
      <c r="V4287" s="250">
        <v>8.9686098654708529E-2</v>
      </c>
      <c r="W4287" s="250">
        <v>0.35874439461883406</v>
      </c>
      <c r="X4287" s="250">
        <v>0.4932735426008969</v>
      </c>
      <c r="Y4287" s="250">
        <v>4.4843049327354258E-2</v>
      </c>
      <c r="Z4287" s="150">
        <v>3</v>
      </c>
      <c r="AA4287" s="150">
        <v>0.47</v>
      </c>
      <c r="AB4287" s="152"/>
      <c r="AC4287" s="152"/>
      <c r="AD4287" s="223">
        <v>4.9071189999999998</v>
      </c>
      <c r="AE4287" s="223">
        <v>0.2072572</v>
      </c>
      <c r="AF4287" s="223">
        <v>1.0171833640000001</v>
      </c>
      <c r="AG4287" s="223">
        <v>0.54862200000000005</v>
      </c>
      <c r="AH4287" s="341"/>
      <c r="AI4287" s="218"/>
      <c r="AJ4287" s="218"/>
      <c r="AK4287" s="153"/>
      <c r="AL4287" s="152"/>
      <c r="AM4287" s="152"/>
      <c r="AN4287" s="152"/>
      <c r="AO4287" s="152"/>
      <c r="AP4287" s="152"/>
      <c r="AQ4287" s="152"/>
      <c r="AR4287" s="152"/>
      <c r="AS4287" s="152"/>
      <c r="AT4287" s="152"/>
      <c r="AU4287" s="153"/>
      <c r="AV4287" s="479"/>
      <c r="AW4287" s="479"/>
      <c r="AX4287" s="442"/>
      <c r="AY4287" s="153"/>
      <c r="AZ4287" s="152"/>
      <c r="BA4287" s="152"/>
      <c r="BB4287" s="152"/>
      <c r="BC4287" s="152"/>
      <c r="BD4287" s="152"/>
      <c r="BE4287" s="152"/>
      <c r="BF4287" s="152"/>
      <c r="BG4287" s="152"/>
      <c r="BH4287" s="152"/>
      <c r="BI4287" s="153"/>
      <c r="BJ4287" s="153"/>
      <c r="BK4287" s="153"/>
      <c r="BL4287" s="153"/>
      <c r="BM4287" s="153"/>
      <c r="BN4287" s="153"/>
      <c r="BO4287" s="153"/>
      <c r="BP4287" s="153"/>
      <c r="BQ4287" s="153"/>
      <c r="BR4287" s="153"/>
      <c r="BS4287" s="153"/>
      <c r="BT4287" s="153"/>
      <c r="BU4287" s="153"/>
      <c r="BV4287" s="153"/>
      <c r="BW4287" s="153"/>
      <c r="BX4287" s="153"/>
      <c r="BY4287" s="153"/>
      <c r="BZ4287" s="153"/>
      <c r="CA4287" s="152"/>
      <c r="CB4287" s="486" t="s">
        <v>640</v>
      </c>
    </row>
    <row r="4288" spans="1:80" s="87" customFormat="1" x14ac:dyDescent="0.2">
      <c r="A4288" s="152"/>
      <c r="B4288" s="683"/>
      <c r="C4288" s="683"/>
      <c r="D4288" s="698"/>
      <c r="E4288" s="215"/>
      <c r="F4288" s="215"/>
      <c r="G4288" s="153"/>
      <c r="H4288" s="153"/>
      <c r="I4288" s="163">
        <v>20</v>
      </c>
      <c r="J4288" s="163">
        <v>30</v>
      </c>
      <c r="K4288" s="150">
        <v>1</v>
      </c>
      <c r="L4288" s="656">
        <v>10</v>
      </c>
      <c r="M4288" s="663">
        <v>34463</v>
      </c>
      <c r="N4288" s="600">
        <v>0.69932000000000005</v>
      </c>
      <c r="O4288" s="604">
        <v>9.77E-4</v>
      </c>
      <c r="P4288" s="250"/>
      <c r="Q4288" s="250"/>
      <c r="R4288" s="250"/>
      <c r="S4288" s="250"/>
      <c r="T4288" s="250"/>
      <c r="U4288" s="250">
        <v>2.0499999999999997E-2</v>
      </c>
      <c r="V4288" s="250">
        <v>0.14009111617312076</v>
      </c>
      <c r="W4288" s="250">
        <v>0.4031890660592255</v>
      </c>
      <c r="X4288" s="250">
        <v>0.40888382687927105</v>
      </c>
      <c r="Y4288" s="250">
        <v>2.7334851936218683E-2</v>
      </c>
      <c r="Z4288" s="150">
        <v>3.1</v>
      </c>
      <c r="AA4288" s="150">
        <v>0.54</v>
      </c>
      <c r="AB4288" s="152"/>
      <c r="AC4288" s="152"/>
      <c r="AD4288" s="223">
        <v>5.0595140000000001</v>
      </c>
      <c r="AE4288" s="223">
        <v>0.2285925</v>
      </c>
      <c r="AF4288" s="223">
        <v>1.153536348</v>
      </c>
      <c r="AG4288" s="223">
        <v>0.58824469999999995</v>
      </c>
      <c r="AH4288" s="341"/>
      <c r="AI4288" s="218"/>
      <c r="AJ4288" s="218"/>
      <c r="AK4288" s="153"/>
      <c r="AL4288" s="152"/>
      <c r="AM4288" s="152"/>
      <c r="AN4288" s="152"/>
      <c r="AO4288" s="152"/>
      <c r="AP4288" s="152"/>
      <c r="AQ4288" s="152"/>
      <c r="AR4288" s="152"/>
      <c r="AS4288" s="152"/>
      <c r="AT4288" s="152"/>
      <c r="AU4288" s="153"/>
      <c r="AV4288" s="479"/>
      <c r="AW4288" s="479"/>
      <c r="AX4288" s="442"/>
      <c r="AY4288" s="153"/>
      <c r="AZ4288" s="152"/>
      <c r="BA4288" s="152"/>
      <c r="BB4288" s="152"/>
      <c r="BC4288" s="152"/>
      <c r="BD4288" s="152"/>
      <c r="BE4288" s="152"/>
      <c r="BF4288" s="152"/>
      <c r="BG4288" s="152"/>
      <c r="BH4288" s="152"/>
      <c r="BI4288" s="153"/>
      <c r="BJ4288" s="153"/>
      <c r="BK4288" s="153"/>
      <c r="BL4288" s="153"/>
      <c r="BM4288" s="153"/>
      <c r="BN4288" s="153"/>
      <c r="BO4288" s="153"/>
      <c r="BP4288" s="153"/>
      <c r="BQ4288" s="153"/>
      <c r="BR4288" s="153"/>
      <c r="BS4288" s="153"/>
      <c r="BT4288" s="153"/>
      <c r="BU4288" s="153"/>
      <c r="BV4288" s="153"/>
      <c r="BW4288" s="153"/>
      <c r="BX4288" s="153"/>
      <c r="BY4288" s="153"/>
      <c r="BZ4288" s="153"/>
      <c r="CA4288" s="152"/>
      <c r="CB4288" s="152"/>
    </row>
    <row r="4289" spans="1:80" s="87" customFormat="1" x14ac:dyDescent="0.2">
      <c r="A4289" s="152"/>
      <c r="B4289" s="683"/>
      <c r="C4289" s="683"/>
      <c r="D4289" s="698"/>
      <c r="E4289" s="215"/>
      <c r="F4289" s="215"/>
      <c r="G4289" s="153"/>
      <c r="H4289" s="153"/>
      <c r="I4289" s="163">
        <v>20</v>
      </c>
      <c r="J4289" s="163">
        <v>30</v>
      </c>
      <c r="K4289" s="150">
        <v>1</v>
      </c>
      <c r="L4289" s="656">
        <v>10</v>
      </c>
      <c r="M4289" s="663">
        <v>34463</v>
      </c>
      <c r="N4289" s="600">
        <v>0.69932000000000005</v>
      </c>
      <c r="O4289" s="604">
        <v>1.5319999999999999E-3</v>
      </c>
      <c r="P4289" s="250"/>
      <c r="Q4289" s="250"/>
      <c r="R4289" s="250"/>
      <c r="S4289" s="250"/>
      <c r="T4289" s="250"/>
      <c r="U4289" s="250">
        <v>6.5700000000000008E-2</v>
      </c>
      <c r="V4289" s="250">
        <v>0.22527075812274372</v>
      </c>
      <c r="W4289" s="250">
        <v>0.38122743682310478</v>
      </c>
      <c r="X4289" s="250">
        <v>0.30252707581227439</v>
      </c>
      <c r="Y4289" s="250">
        <v>2.5270758122743688E-2</v>
      </c>
      <c r="Z4289" s="150">
        <v>3.8</v>
      </c>
      <c r="AA4289" s="150">
        <v>0.65</v>
      </c>
      <c r="AB4289" s="152"/>
      <c r="AC4289" s="152"/>
      <c r="AD4289" s="223">
        <v>5.0595140000000001</v>
      </c>
      <c r="AE4289" s="223">
        <v>0.2285925</v>
      </c>
      <c r="AF4289" s="223">
        <v>1.153536348</v>
      </c>
      <c r="AG4289" s="223">
        <v>0.58824469999999995</v>
      </c>
      <c r="AH4289" s="341"/>
      <c r="AI4289" s="218"/>
      <c r="AJ4289" s="218"/>
      <c r="AK4289" s="153"/>
      <c r="AL4289" s="152"/>
      <c r="AM4289" s="152"/>
      <c r="AN4289" s="152"/>
      <c r="AO4289" s="152"/>
      <c r="AP4289" s="152"/>
      <c r="AQ4289" s="152"/>
      <c r="AR4289" s="152"/>
      <c r="AS4289" s="152"/>
      <c r="AT4289" s="152"/>
      <c r="AU4289" s="153"/>
      <c r="AV4289" s="479"/>
      <c r="AW4289" s="479"/>
      <c r="AX4289" s="442"/>
      <c r="AY4289" s="153"/>
      <c r="AZ4289" s="152"/>
      <c r="BA4289" s="152"/>
      <c r="BB4289" s="152"/>
      <c r="BC4289" s="152"/>
      <c r="BD4289" s="152"/>
      <c r="BE4289" s="152"/>
      <c r="BF4289" s="152"/>
      <c r="BG4289" s="152"/>
      <c r="BH4289" s="152"/>
      <c r="BI4289" s="153"/>
      <c r="BJ4289" s="153"/>
      <c r="BK4289" s="153"/>
      <c r="BL4289" s="153"/>
      <c r="BM4289" s="153"/>
      <c r="BN4289" s="153"/>
      <c r="BO4289" s="153"/>
      <c r="BP4289" s="153"/>
      <c r="BQ4289" s="153"/>
      <c r="BR4289" s="153"/>
      <c r="BS4289" s="153"/>
      <c r="BT4289" s="153"/>
      <c r="BU4289" s="153"/>
      <c r="BV4289" s="153"/>
      <c r="BW4289" s="153"/>
      <c r="BX4289" s="153"/>
      <c r="BY4289" s="153"/>
      <c r="BZ4289" s="153"/>
      <c r="CA4289" s="152"/>
      <c r="CB4289" s="152"/>
    </row>
    <row r="4290" spans="1:80" s="87" customFormat="1" x14ac:dyDescent="0.2">
      <c r="A4290" s="152"/>
      <c r="B4290" s="683"/>
      <c r="C4290" s="683"/>
      <c r="D4290" s="698"/>
      <c r="E4290" s="215"/>
      <c r="F4290" s="215"/>
      <c r="G4290" s="153"/>
      <c r="H4290" s="153"/>
      <c r="I4290" s="163">
        <v>21</v>
      </c>
      <c r="J4290" s="163">
        <v>30</v>
      </c>
      <c r="K4290" s="150">
        <v>1</v>
      </c>
      <c r="L4290" s="656">
        <v>10.5</v>
      </c>
      <c r="M4290" s="663">
        <v>34464</v>
      </c>
      <c r="N4290" s="600">
        <v>0.75595000000000001</v>
      </c>
      <c r="O4290" s="604">
        <v>9.6199999999999996E-4</v>
      </c>
      <c r="P4290" s="250"/>
      <c r="Q4290" s="250"/>
      <c r="R4290" s="250"/>
      <c r="S4290" s="250"/>
      <c r="T4290" s="250"/>
      <c r="U4290" s="250">
        <v>8.6E-3</v>
      </c>
      <c r="V4290" s="250">
        <v>9.8060344827586188E-2</v>
      </c>
      <c r="W4290" s="250">
        <v>0.41056034482758613</v>
      </c>
      <c r="X4290" s="250">
        <v>0.45366379310344823</v>
      </c>
      <c r="Y4290" s="250">
        <v>2.9094827586206896E-2</v>
      </c>
      <c r="Z4290" s="150">
        <v>3</v>
      </c>
      <c r="AA4290" s="150">
        <v>0.51</v>
      </c>
      <c r="AB4290" s="152"/>
      <c r="AC4290" s="152"/>
      <c r="AD4290" s="223">
        <v>5.2119090000000003</v>
      </c>
      <c r="AE4290" s="223">
        <v>0.21335299999999999</v>
      </c>
      <c r="AF4290" s="223">
        <v>1.1074634329999999</v>
      </c>
      <c r="AG4290" s="223">
        <v>0.62786739999999996</v>
      </c>
      <c r="AH4290" s="341"/>
      <c r="AI4290" s="218"/>
      <c r="AJ4290" s="218"/>
      <c r="AK4290" s="153"/>
      <c r="AL4290" s="152"/>
      <c r="AM4290" s="152"/>
      <c r="AN4290" s="152"/>
      <c r="AO4290" s="152"/>
      <c r="AP4290" s="152"/>
      <c r="AQ4290" s="152"/>
      <c r="AR4290" s="152"/>
      <c r="AS4290" s="152"/>
      <c r="AT4290" s="152"/>
      <c r="AU4290" s="153"/>
      <c r="AV4290" s="479"/>
      <c r="AW4290" s="479"/>
      <c r="AX4290" s="442"/>
      <c r="AY4290" s="153"/>
      <c r="AZ4290" s="152"/>
      <c r="BA4290" s="152"/>
      <c r="BB4290" s="152"/>
      <c r="BC4290" s="152"/>
      <c r="BD4290" s="152"/>
      <c r="BE4290" s="152"/>
      <c r="BF4290" s="152"/>
      <c r="BG4290" s="152"/>
      <c r="BH4290" s="152"/>
      <c r="BI4290" s="153"/>
      <c r="BJ4290" s="153"/>
      <c r="BK4290" s="153"/>
      <c r="BL4290" s="153"/>
      <c r="BM4290" s="153"/>
      <c r="BN4290" s="153"/>
      <c r="BO4290" s="153"/>
      <c r="BP4290" s="153"/>
      <c r="BQ4290" s="153"/>
      <c r="BR4290" s="153"/>
      <c r="BS4290" s="153"/>
      <c r="BT4290" s="153"/>
      <c r="BU4290" s="153"/>
      <c r="BV4290" s="153"/>
      <c r="BW4290" s="153"/>
      <c r="BX4290" s="153"/>
      <c r="BY4290" s="153"/>
      <c r="BZ4290" s="153"/>
      <c r="CA4290" s="152"/>
      <c r="CB4290" s="152"/>
    </row>
    <row r="4291" spans="1:80" s="87" customFormat="1" x14ac:dyDescent="0.2">
      <c r="A4291" s="152"/>
      <c r="B4291" s="683"/>
      <c r="C4291" s="683"/>
      <c r="D4291" s="698"/>
      <c r="E4291" s="215"/>
      <c r="F4291" s="215"/>
      <c r="G4291" s="153"/>
      <c r="H4291" s="153"/>
      <c r="I4291" s="163">
        <v>21</v>
      </c>
      <c r="J4291" s="163">
        <v>30</v>
      </c>
      <c r="K4291" s="150">
        <v>1</v>
      </c>
      <c r="L4291" s="656">
        <v>10.5</v>
      </c>
      <c r="M4291" s="663">
        <v>34464</v>
      </c>
      <c r="N4291" s="600">
        <v>0.75595000000000001</v>
      </c>
      <c r="O4291" s="604">
        <v>3.653E-3</v>
      </c>
      <c r="P4291" s="250"/>
      <c r="Q4291" s="250"/>
      <c r="R4291" s="250"/>
      <c r="S4291" s="250"/>
      <c r="T4291" s="250">
        <v>4.6799999999999994E-2</v>
      </c>
      <c r="U4291" s="250">
        <v>5.1900000000000002E-2</v>
      </c>
      <c r="V4291" s="250">
        <v>0.18115124153498871</v>
      </c>
      <c r="W4291" s="250">
        <v>0.41281038374717838</v>
      </c>
      <c r="X4291" s="250">
        <v>0.28781038374717838</v>
      </c>
      <c r="Y4291" s="250">
        <v>1.9469525959367948E-2</v>
      </c>
      <c r="Z4291" s="150">
        <v>7.9</v>
      </c>
      <c r="AA4291" s="150">
        <v>0.65</v>
      </c>
      <c r="AB4291" s="152"/>
      <c r="AC4291" s="152"/>
      <c r="AD4291" s="223">
        <v>5.2119090000000003</v>
      </c>
      <c r="AE4291" s="223">
        <v>0.21335299999999999</v>
      </c>
      <c r="AF4291" s="223">
        <v>1.1074634329999999</v>
      </c>
      <c r="AG4291" s="223">
        <v>0.62786739999999996</v>
      </c>
      <c r="AH4291" s="341"/>
      <c r="AI4291" s="218"/>
      <c r="AJ4291" s="218"/>
      <c r="AK4291" s="153"/>
      <c r="AL4291" s="152"/>
      <c r="AM4291" s="152"/>
      <c r="AN4291" s="152"/>
      <c r="AO4291" s="152"/>
      <c r="AP4291" s="152"/>
      <c r="AQ4291" s="152"/>
      <c r="AR4291" s="152"/>
      <c r="AS4291" s="152"/>
      <c r="AT4291" s="152"/>
      <c r="AU4291" s="153"/>
      <c r="AV4291" s="479"/>
      <c r="AW4291" s="479"/>
      <c r="AX4291" s="442"/>
      <c r="AY4291" s="153"/>
      <c r="AZ4291" s="152"/>
      <c r="BA4291" s="152"/>
      <c r="BB4291" s="152"/>
      <c r="BC4291" s="152"/>
      <c r="BD4291" s="152"/>
      <c r="BE4291" s="152"/>
      <c r="BF4291" s="152"/>
      <c r="BG4291" s="152"/>
      <c r="BH4291" s="152"/>
      <c r="BI4291" s="153"/>
      <c r="BJ4291" s="153"/>
      <c r="BK4291" s="153"/>
      <c r="BL4291" s="153"/>
      <c r="BM4291" s="153"/>
      <c r="BN4291" s="153"/>
      <c r="BO4291" s="153"/>
      <c r="BP4291" s="153"/>
      <c r="BQ4291" s="153"/>
      <c r="BR4291" s="153"/>
      <c r="BS4291" s="153"/>
      <c r="BT4291" s="153"/>
      <c r="BU4291" s="153"/>
      <c r="BV4291" s="153"/>
      <c r="BW4291" s="153"/>
      <c r="BX4291" s="153"/>
      <c r="BY4291" s="153"/>
      <c r="BZ4291" s="153"/>
      <c r="CA4291" s="152"/>
      <c r="CB4291" s="152"/>
    </row>
    <row r="4292" spans="1:80" s="87" customFormat="1" x14ac:dyDescent="0.2">
      <c r="A4292" s="152"/>
      <c r="B4292" s="683"/>
      <c r="C4292" s="683"/>
      <c r="D4292" s="698"/>
      <c r="E4292" s="215"/>
      <c r="F4292" s="215"/>
      <c r="G4292" s="153"/>
      <c r="H4292" s="153"/>
      <c r="I4292" s="163">
        <v>24</v>
      </c>
      <c r="J4292" s="163">
        <v>30</v>
      </c>
      <c r="K4292" s="150">
        <v>1</v>
      </c>
      <c r="L4292" s="656">
        <v>12</v>
      </c>
      <c r="M4292" s="663">
        <v>34465</v>
      </c>
      <c r="N4292" s="600">
        <v>0.77010999999999996</v>
      </c>
      <c r="O4292" s="604">
        <v>2.1410000000000001E-3</v>
      </c>
      <c r="P4292" s="250"/>
      <c r="Q4292" s="250"/>
      <c r="R4292" s="250"/>
      <c r="S4292" s="250"/>
      <c r="T4292" s="250">
        <v>1.4800000000000001E-2</v>
      </c>
      <c r="U4292" s="250">
        <v>3.5699999999999996E-2</v>
      </c>
      <c r="V4292" s="250">
        <v>0.19677840661732696</v>
      </c>
      <c r="W4292" s="250">
        <v>0.4444928167174575</v>
      </c>
      <c r="X4292" s="250">
        <v>0.29429690901175448</v>
      </c>
      <c r="Y4292" s="250">
        <v>1.3931214627775359E-2</v>
      </c>
      <c r="Z4292" s="150">
        <v>6</v>
      </c>
      <c r="AA4292" s="150">
        <v>0.65</v>
      </c>
      <c r="AB4292" s="152"/>
      <c r="AC4292" s="152"/>
      <c r="AD4292" s="223">
        <v>5.2119090000000003</v>
      </c>
      <c r="AE4292" s="223">
        <v>0.22249669999999999</v>
      </c>
      <c r="AF4292" s="223">
        <v>1.1618751650000001</v>
      </c>
      <c r="AG4292" s="223">
        <v>0.63091529999999996</v>
      </c>
      <c r="AH4292" s="341"/>
      <c r="AI4292" s="218"/>
      <c r="AJ4292" s="218"/>
      <c r="AK4292" s="153"/>
      <c r="AL4292" s="152"/>
      <c r="AM4292" s="152"/>
      <c r="AN4292" s="152"/>
      <c r="AO4292" s="152"/>
      <c r="AP4292" s="152"/>
      <c r="AQ4292" s="152"/>
      <c r="AR4292" s="152"/>
      <c r="AS4292" s="152"/>
      <c r="AT4292" s="152"/>
      <c r="AU4292" s="153"/>
      <c r="AV4292" s="479"/>
      <c r="AW4292" s="479"/>
      <c r="AX4292" s="442"/>
      <c r="AY4292" s="153"/>
      <c r="AZ4292" s="152"/>
      <c r="BA4292" s="152"/>
      <c r="BB4292" s="152"/>
      <c r="BC4292" s="152"/>
      <c r="BD4292" s="152"/>
      <c r="BE4292" s="152"/>
      <c r="BF4292" s="152"/>
      <c r="BG4292" s="152"/>
      <c r="BH4292" s="152"/>
      <c r="BI4292" s="153"/>
      <c r="BJ4292" s="153"/>
      <c r="BK4292" s="153"/>
      <c r="BL4292" s="153"/>
      <c r="BM4292" s="153"/>
      <c r="BN4292" s="153"/>
      <c r="BO4292" s="153"/>
      <c r="BP4292" s="153"/>
      <c r="BQ4292" s="153"/>
      <c r="BR4292" s="153"/>
      <c r="BS4292" s="153"/>
      <c r="BT4292" s="153"/>
      <c r="BU4292" s="153"/>
      <c r="BV4292" s="153"/>
      <c r="BW4292" s="153"/>
      <c r="BX4292" s="153"/>
      <c r="BY4292" s="153"/>
      <c r="BZ4292" s="153"/>
      <c r="CA4292" s="152"/>
      <c r="CB4292" s="152"/>
    </row>
    <row r="4293" spans="1:80" s="87" customFormat="1" x14ac:dyDescent="0.2">
      <c r="A4293" s="152"/>
      <c r="B4293" s="683"/>
      <c r="C4293" s="683"/>
      <c r="D4293" s="698"/>
      <c r="E4293" s="215"/>
      <c r="F4293" s="215"/>
      <c r="G4293" s="153"/>
      <c r="H4293" s="153"/>
      <c r="I4293" s="163">
        <v>24</v>
      </c>
      <c r="J4293" s="163">
        <v>30</v>
      </c>
      <c r="K4293" s="150">
        <v>1</v>
      </c>
      <c r="L4293" s="656">
        <v>12</v>
      </c>
      <c r="M4293" s="663">
        <v>34465</v>
      </c>
      <c r="N4293" s="600">
        <v>0.77010999999999996</v>
      </c>
      <c r="O4293" s="604">
        <v>1.784E-3</v>
      </c>
      <c r="P4293" s="250"/>
      <c r="Q4293" s="250"/>
      <c r="R4293" s="250"/>
      <c r="S4293" s="250"/>
      <c r="T4293" s="250"/>
      <c r="U4293" s="250">
        <v>2.86E-2</v>
      </c>
      <c r="V4293" s="250">
        <v>0.12415584415584416</v>
      </c>
      <c r="W4293" s="250">
        <v>0.45610389610389612</v>
      </c>
      <c r="X4293" s="250">
        <v>0.37454545454545451</v>
      </c>
      <c r="Y4293" s="250">
        <v>1.6623376623376623E-2</v>
      </c>
      <c r="Z4293" s="150">
        <v>4.5</v>
      </c>
      <c r="AA4293" s="150">
        <v>0.56999999999999995</v>
      </c>
      <c r="AB4293" s="152"/>
      <c r="AC4293" s="152"/>
      <c r="AD4293" s="223">
        <v>5.2119090000000003</v>
      </c>
      <c r="AE4293" s="223">
        <v>0.22249669999999999</v>
      </c>
      <c r="AF4293" s="223">
        <v>1.1618751650000001</v>
      </c>
      <c r="AG4293" s="223">
        <v>0.63091529999999996</v>
      </c>
      <c r="AH4293" s="341"/>
      <c r="AI4293" s="218"/>
      <c r="AJ4293" s="218"/>
      <c r="AK4293" s="153"/>
      <c r="AL4293" s="152"/>
      <c r="AM4293" s="152"/>
      <c r="AN4293" s="152"/>
      <c r="AO4293" s="152"/>
      <c r="AP4293" s="152"/>
      <c r="AQ4293" s="152"/>
      <c r="AR4293" s="152"/>
      <c r="AS4293" s="152"/>
      <c r="AT4293" s="152"/>
      <c r="AU4293" s="153"/>
      <c r="AV4293" s="479"/>
      <c r="AW4293" s="479"/>
      <c r="AX4293" s="442"/>
      <c r="AY4293" s="153"/>
      <c r="AZ4293" s="152"/>
      <c r="BA4293" s="152"/>
      <c r="BB4293" s="152"/>
      <c r="BC4293" s="152"/>
      <c r="BD4293" s="152"/>
      <c r="BE4293" s="152"/>
      <c r="BF4293" s="152"/>
      <c r="BG4293" s="152"/>
      <c r="BH4293" s="152"/>
      <c r="BI4293" s="153"/>
      <c r="BJ4293" s="153"/>
      <c r="BK4293" s="153"/>
      <c r="BL4293" s="153"/>
      <c r="BM4293" s="153"/>
      <c r="BN4293" s="153"/>
      <c r="BO4293" s="153"/>
      <c r="BP4293" s="153"/>
      <c r="BQ4293" s="153"/>
      <c r="BR4293" s="153"/>
      <c r="BS4293" s="153"/>
      <c r="BT4293" s="153"/>
      <c r="BU4293" s="153"/>
      <c r="BV4293" s="153"/>
      <c r="BW4293" s="153"/>
      <c r="BX4293" s="153"/>
      <c r="BY4293" s="153"/>
      <c r="BZ4293" s="153"/>
      <c r="CA4293" s="152"/>
      <c r="CB4293" s="152"/>
    </row>
    <row r="4294" spans="1:80" s="87" customFormat="1" x14ac:dyDescent="0.2">
      <c r="A4294" s="152"/>
      <c r="B4294" s="683"/>
      <c r="C4294" s="683"/>
      <c r="D4294" s="698"/>
      <c r="E4294" s="215"/>
      <c r="F4294" s="215"/>
      <c r="G4294" s="153"/>
      <c r="H4294" s="153"/>
      <c r="I4294" s="163">
        <v>22</v>
      </c>
      <c r="J4294" s="163">
        <v>30</v>
      </c>
      <c r="K4294" s="150">
        <v>1</v>
      </c>
      <c r="L4294" s="656">
        <v>11</v>
      </c>
      <c r="M4294" s="663">
        <v>34467</v>
      </c>
      <c r="N4294" s="600">
        <v>0.89468000000000003</v>
      </c>
      <c r="O4294" s="604">
        <v>8.52E-4</v>
      </c>
      <c r="P4294" s="250"/>
      <c r="Q4294" s="250"/>
      <c r="R4294" s="250"/>
      <c r="S4294" s="250"/>
      <c r="T4294" s="250"/>
      <c r="U4294" s="250">
        <v>3.5799999999999998E-2</v>
      </c>
      <c r="V4294" s="250">
        <v>0.15028901734104047</v>
      </c>
      <c r="W4294" s="250">
        <v>0.33179190751445092</v>
      </c>
      <c r="X4294" s="250">
        <v>0.4346820809248555</v>
      </c>
      <c r="Y4294" s="250">
        <v>4.7398843930635835E-2</v>
      </c>
      <c r="Z4294" s="150">
        <v>3.5</v>
      </c>
      <c r="AA4294" s="150">
        <v>0.52</v>
      </c>
      <c r="AB4294" s="152"/>
      <c r="AC4294" s="152"/>
      <c r="AD4294" s="223">
        <v>4.9985559999999998</v>
      </c>
      <c r="AE4294" s="223">
        <v>0.25297570000000003</v>
      </c>
      <c r="AF4294" s="223">
        <v>1.2601742060000001</v>
      </c>
      <c r="AG4294" s="223">
        <v>0.69796910000000001</v>
      </c>
      <c r="AH4294" s="341"/>
      <c r="AI4294" s="218"/>
      <c r="AJ4294" s="218"/>
      <c r="AK4294" s="153"/>
      <c r="AL4294" s="152"/>
      <c r="AM4294" s="152"/>
      <c r="AN4294" s="152"/>
      <c r="AO4294" s="152"/>
      <c r="AP4294" s="152"/>
      <c r="AQ4294" s="152"/>
      <c r="AR4294" s="152"/>
      <c r="AS4294" s="152"/>
      <c r="AT4294" s="152"/>
      <c r="AU4294" s="153"/>
      <c r="AV4294" s="479"/>
      <c r="AW4294" s="479"/>
      <c r="AX4294" s="442"/>
      <c r="AY4294" s="153"/>
      <c r="AZ4294" s="152"/>
      <c r="BA4294" s="152"/>
      <c r="BB4294" s="152"/>
      <c r="BC4294" s="152"/>
      <c r="BD4294" s="152"/>
      <c r="BE4294" s="152"/>
      <c r="BF4294" s="152"/>
      <c r="BG4294" s="152"/>
      <c r="BH4294" s="152"/>
      <c r="BI4294" s="153"/>
      <c r="BJ4294" s="153"/>
      <c r="BK4294" s="153"/>
      <c r="BL4294" s="153"/>
      <c r="BM4294" s="153"/>
      <c r="BN4294" s="153"/>
      <c r="BO4294" s="153"/>
      <c r="BP4294" s="153"/>
      <c r="BQ4294" s="153"/>
      <c r="BR4294" s="153"/>
      <c r="BS4294" s="153"/>
      <c r="BT4294" s="153"/>
      <c r="BU4294" s="153"/>
      <c r="BV4294" s="153"/>
      <c r="BW4294" s="153"/>
      <c r="BX4294" s="153"/>
      <c r="BY4294" s="153"/>
      <c r="BZ4294" s="153"/>
      <c r="CA4294" s="152"/>
      <c r="CB4294" s="152"/>
    </row>
    <row r="4295" spans="1:80" s="87" customFormat="1" x14ac:dyDescent="0.2">
      <c r="A4295" s="152"/>
      <c r="B4295" s="683"/>
      <c r="C4295" s="683"/>
      <c r="D4295" s="698"/>
      <c r="E4295" s="215"/>
      <c r="F4295" s="215"/>
      <c r="G4295" s="153"/>
      <c r="H4295" s="153"/>
      <c r="I4295" s="163">
        <v>22</v>
      </c>
      <c r="J4295" s="163">
        <v>30</v>
      </c>
      <c r="K4295" s="150">
        <v>1</v>
      </c>
      <c r="L4295" s="656">
        <v>11</v>
      </c>
      <c r="M4295" s="663">
        <v>34467</v>
      </c>
      <c r="N4295" s="600">
        <v>0.89468000000000003</v>
      </c>
      <c r="O4295" s="604">
        <v>9.7499999999999996E-4</v>
      </c>
      <c r="P4295" s="250"/>
      <c r="Q4295" s="250"/>
      <c r="R4295" s="250"/>
      <c r="S4295" s="250"/>
      <c r="T4295" s="250">
        <v>3.1200000000000002E-2</v>
      </c>
      <c r="U4295" s="250">
        <v>2.1099999999999997E-2</v>
      </c>
      <c r="V4295" s="250">
        <v>9.7487437185929657E-2</v>
      </c>
      <c r="W4295" s="250">
        <v>0.34874371859296488</v>
      </c>
      <c r="X4295" s="250">
        <v>0.46432160804020101</v>
      </c>
      <c r="Y4295" s="250">
        <v>3.718592964824121E-2</v>
      </c>
      <c r="Z4295" s="150">
        <v>6.8</v>
      </c>
      <c r="AA4295" s="150">
        <v>0.5</v>
      </c>
      <c r="AB4295" s="152"/>
      <c r="AC4295" s="152"/>
      <c r="AD4295" s="223">
        <v>4.9985559999999998</v>
      </c>
      <c r="AE4295" s="223">
        <v>0.25297570000000003</v>
      </c>
      <c r="AF4295" s="223">
        <v>1.2601742060000001</v>
      </c>
      <c r="AG4295" s="223">
        <v>0.69796910000000001</v>
      </c>
      <c r="AH4295" s="341"/>
      <c r="AI4295" s="218"/>
      <c r="AJ4295" s="218"/>
      <c r="AK4295" s="153"/>
      <c r="AL4295" s="152"/>
      <c r="AM4295" s="152"/>
      <c r="AN4295" s="152"/>
      <c r="AO4295" s="152"/>
      <c r="AP4295" s="152"/>
      <c r="AQ4295" s="152"/>
      <c r="AR4295" s="152"/>
      <c r="AS4295" s="152"/>
      <c r="AT4295" s="152"/>
      <c r="AU4295" s="153"/>
      <c r="AV4295" s="479"/>
      <c r="AW4295" s="479"/>
      <c r="AX4295" s="442"/>
      <c r="AY4295" s="153"/>
      <c r="AZ4295" s="152"/>
      <c r="BA4295" s="152"/>
      <c r="BB4295" s="152"/>
      <c r="BC4295" s="152"/>
      <c r="BD4295" s="152"/>
      <c r="BE4295" s="152"/>
      <c r="BF4295" s="152"/>
      <c r="BG4295" s="152"/>
      <c r="BH4295" s="152"/>
      <c r="BI4295" s="153"/>
      <c r="BJ4295" s="153"/>
      <c r="BK4295" s="153"/>
      <c r="BL4295" s="153"/>
      <c r="BM4295" s="153"/>
      <c r="BN4295" s="153"/>
      <c r="BO4295" s="153"/>
      <c r="BP4295" s="153"/>
      <c r="BQ4295" s="153"/>
      <c r="BR4295" s="153"/>
      <c r="BS4295" s="153"/>
      <c r="BT4295" s="153"/>
      <c r="BU4295" s="153"/>
      <c r="BV4295" s="153"/>
      <c r="BW4295" s="153"/>
      <c r="BX4295" s="153"/>
      <c r="BY4295" s="153"/>
      <c r="BZ4295" s="153"/>
      <c r="CA4295" s="152"/>
      <c r="CB4295" s="152"/>
    </row>
    <row r="4296" spans="1:80" s="87" customFormat="1" x14ac:dyDescent="0.2">
      <c r="A4296" s="152"/>
      <c r="B4296" s="683"/>
      <c r="C4296" s="683"/>
      <c r="D4296" s="698"/>
      <c r="E4296" s="215"/>
      <c r="F4296" s="215"/>
      <c r="G4296" s="153"/>
      <c r="H4296" s="153"/>
      <c r="I4296" s="163">
        <v>21</v>
      </c>
      <c r="J4296" s="163">
        <v>30</v>
      </c>
      <c r="K4296" s="150">
        <v>1</v>
      </c>
      <c r="L4296" s="656">
        <v>10.5</v>
      </c>
      <c r="M4296" s="663">
        <v>34468</v>
      </c>
      <c r="N4296" s="600">
        <v>0.85221000000000002</v>
      </c>
      <c r="O4296" s="604">
        <v>5.0500000000000002E-4</v>
      </c>
      <c r="P4296" s="250"/>
      <c r="Q4296" s="250"/>
      <c r="R4296" s="250"/>
      <c r="S4296" s="250"/>
      <c r="T4296" s="250"/>
      <c r="U4296" s="250">
        <v>4.6999999999999993E-3</v>
      </c>
      <c r="V4296" s="250">
        <v>0.13992094861660079</v>
      </c>
      <c r="W4296" s="250">
        <v>0.48853754940711464</v>
      </c>
      <c r="X4296" s="250">
        <v>0.34940711462450591</v>
      </c>
      <c r="Y4296" s="250">
        <v>1.7391304347826087E-2</v>
      </c>
      <c r="Z4296" s="150">
        <v>2.8</v>
      </c>
      <c r="AA4296" s="150">
        <v>0.59</v>
      </c>
      <c r="AB4296" s="152"/>
      <c r="AC4296" s="152"/>
      <c r="AD4296" s="223">
        <v>4.9985559999999998</v>
      </c>
      <c r="AE4296" s="223">
        <v>0.23468829999999999</v>
      </c>
      <c r="AF4296" s="223">
        <v>1.1703777129999999</v>
      </c>
      <c r="AG4296" s="223">
        <v>0.62177159999999998</v>
      </c>
      <c r="AH4296" s="341"/>
      <c r="AI4296" s="218"/>
      <c r="AJ4296" s="218"/>
      <c r="AK4296" s="153"/>
      <c r="AL4296" s="152"/>
      <c r="AM4296" s="152"/>
      <c r="AN4296" s="152"/>
      <c r="AO4296" s="152"/>
      <c r="AP4296" s="152"/>
      <c r="AQ4296" s="152"/>
      <c r="AR4296" s="152"/>
      <c r="AS4296" s="152"/>
      <c r="AT4296" s="152"/>
      <c r="AU4296" s="153"/>
      <c r="AV4296" s="479"/>
      <c r="AW4296" s="479"/>
      <c r="AX4296" s="442"/>
      <c r="AY4296" s="153"/>
      <c r="AZ4296" s="152"/>
      <c r="BA4296" s="152"/>
      <c r="BB4296" s="152"/>
      <c r="BC4296" s="152"/>
      <c r="BD4296" s="152"/>
      <c r="BE4296" s="152"/>
      <c r="BF4296" s="152"/>
      <c r="BG4296" s="152"/>
      <c r="BH4296" s="152"/>
      <c r="BI4296" s="153"/>
      <c r="BJ4296" s="153"/>
      <c r="BK4296" s="153"/>
      <c r="BL4296" s="153"/>
      <c r="BM4296" s="153"/>
      <c r="BN4296" s="153"/>
      <c r="BO4296" s="153"/>
      <c r="BP4296" s="153"/>
      <c r="BQ4296" s="153"/>
      <c r="BR4296" s="153"/>
      <c r="BS4296" s="153"/>
      <c r="BT4296" s="153"/>
      <c r="BU4296" s="153"/>
      <c r="BV4296" s="153"/>
      <c r="BW4296" s="153"/>
      <c r="BX4296" s="153"/>
      <c r="BY4296" s="153"/>
      <c r="BZ4296" s="153"/>
      <c r="CA4296" s="152"/>
      <c r="CB4296" s="152"/>
    </row>
    <row r="4297" spans="1:80" s="87" customFormat="1" x14ac:dyDescent="0.2">
      <c r="A4297" s="152"/>
      <c r="B4297" s="683"/>
      <c r="C4297" s="683"/>
      <c r="D4297" s="698"/>
      <c r="E4297" s="215"/>
      <c r="F4297" s="215"/>
      <c r="G4297" s="153"/>
      <c r="H4297" s="153"/>
      <c r="I4297" s="163">
        <v>21</v>
      </c>
      <c r="J4297" s="163">
        <v>30</v>
      </c>
      <c r="K4297" s="150">
        <v>1</v>
      </c>
      <c r="L4297" s="656">
        <v>10.5</v>
      </c>
      <c r="M4297" s="663">
        <v>34468</v>
      </c>
      <c r="N4297" s="600">
        <v>0.85221000000000002</v>
      </c>
      <c r="O4297" s="604">
        <v>1.322E-3</v>
      </c>
      <c r="P4297" s="250"/>
      <c r="Q4297" s="250"/>
      <c r="R4297" s="250"/>
      <c r="S4297" s="250"/>
      <c r="T4297" s="250"/>
      <c r="U4297" s="250">
        <v>2.0999999999999999E-3</v>
      </c>
      <c r="V4297" s="250">
        <v>9.2783505154639179E-2</v>
      </c>
      <c r="W4297" s="250">
        <v>0.40618556701030933</v>
      </c>
      <c r="X4297" s="250">
        <v>0.44329896907216498</v>
      </c>
      <c r="Y4297" s="250">
        <v>5.5670103092783509E-2</v>
      </c>
      <c r="Z4297" s="150">
        <v>2.2999999999999998</v>
      </c>
      <c r="AA4297" s="150">
        <v>0.5</v>
      </c>
      <c r="AB4297" s="152"/>
      <c r="AC4297" s="152"/>
      <c r="AD4297" s="223">
        <v>4.9985559999999998</v>
      </c>
      <c r="AE4297" s="223">
        <v>0.23468829999999999</v>
      </c>
      <c r="AF4297" s="223">
        <v>1.1703777129999999</v>
      </c>
      <c r="AG4297" s="223">
        <v>0.62177159999999998</v>
      </c>
      <c r="AH4297" s="341"/>
      <c r="AI4297" s="218"/>
      <c r="AJ4297" s="218"/>
      <c r="AK4297" s="153"/>
      <c r="AL4297" s="152"/>
      <c r="AM4297" s="152"/>
      <c r="AN4297" s="152"/>
      <c r="AO4297" s="152"/>
      <c r="AP4297" s="152"/>
      <c r="AQ4297" s="152"/>
      <c r="AR4297" s="152"/>
      <c r="AS4297" s="152"/>
      <c r="AT4297" s="152"/>
      <c r="AU4297" s="153"/>
      <c r="AV4297" s="479"/>
      <c r="AW4297" s="479"/>
      <c r="AX4297" s="442"/>
      <c r="AY4297" s="153"/>
      <c r="AZ4297" s="152"/>
      <c r="BA4297" s="152"/>
      <c r="BB4297" s="152"/>
      <c r="BC4297" s="152"/>
      <c r="BD4297" s="152"/>
      <c r="BE4297" s="152"/>
      <c r="BF4297" s="152"/>
      <c r="BG4297" s="152"/>
      <c r="BH4297" s="152"/>
      <c r="BI4297" s="153"/>
      <c r="BJ4297" s="153"/>
      <c r="BK4297" s="153"/>
      <c r="BL4297" s="153"/>
      <c r="BM4297" s="153"/>
      <c r="BN4297" s="153"/>
      <c r="BO4297" s="153"/>
      <c r="BP4297" s="153"/>
      <c r="BQ4297" s="153"/>
      <c r="BR4297" s="153"/>
      <c r="BS4297" s="153"/>
      <c r="BT4297" s="153"/>
      <c r="BU4297" s="153"/>
      <c r="BV4297" s="153"/>
      <c r="BW4297" s="153"/>
      <c r="BX4297" s="153"/>
      <c r="BY4297" s="153"/>
      <c r="BZ4297" s="153"/>
      <c r="CA4297" s="152"/>
      <c r="CB4297" s="152"/>
    </row>
    <row r="4298" spans="1:80" s="87" customFormat="1" x14ac:dyDescent="0.2">
      <c r="A4298" s="152"/>
      <c r="B4298" s="683"/>
      <c r="C4298" s="683"/>
      <c r="D4298" s="698"/>
      <c r="E4298" s="215"/>
      <c r="F4298" s="215"/>
      <c r="G4298" s="153"/>
      <c r="H4298" s="153"/>
      <c r="I4298" s="163">
        <v>21</v>
      </c>
      <c r="J4298" s="163">
        <v>30</v>
      </c>
      <c r="K4298" s="150">
        <v>1</v>
      </c>
      <c r="L4298" s="656">
        <v>10.5</v>
      </c>
      <c r="M4298" s="663">
        <v>34474</v>
      </c>
      <c r="N4298" s="600">
        <v>0.45867000000000002</v>
      </c>
      <c r="O4298" s="604">
        <v>4.8099999999999997E-5</v>
      </c>
      <c r="P4298" s="250"/>
      <c r="Q4298" s="250"/>
      <c r="R4298" s="250"/>
      <c r="S4298" s="250"/>
      <c r="T4298" s="250"/>
      <c r="U4298" s="250"/>
      <c r="V4298" s="250">
        <v>0.16326530612244894</v>
      </c>
      <c r="W4298" s="250">
        <v>0.44897959183673464</v>
      </c>
      <c r="X4298" s="250">
        <v>0.34693877551020408</v>
      </c>
      <c r="Y4298" s="250">
        <v>4.0816326530612235E-2</v>
      </c>
      <c r="Z4298" s="150">
        <v>1.7</v>
      </c>
      <c r="AA4298" s="150">
        <v>0.57999999999999996</v>
      </c>
      <c r="AB4298" s="152"/>
      <c r="AC4298" s="152"/>
      <c r="AD4298" s="223">
        <v>4.9375980000000004</v>
      </c>
      <c r="AE4298" s="223">
        <v>0.1767782</v>
      </c>
      <c r="AF4298" s="223">
        <v>0.87490943899999996</v>
      </c>
      <c r="AG4298" s="223">
        <v>0.50595140000000005</v>
      </c>
      <c r="AH4298" s="341"/>
      <c r="AI4298" s="218"/>
      <c r="AJ4298" s="218"/>
      <c r="AK4298" s="153"/>
      <c r="AL4298" s="152"/>
      <c r="AM4298" s="152"/>
      <c r="AN4298" s="152"/>
      <c r="AO4298" s="152"/>
      <c r="AP4298" s="152"/>
      <c r="AQ4298" s="152"/>
      <c r="AR4298" s="152"/>
      <c r="AS4298" s="152"/>
      <c r="AT4298" s="152"/>
      <c r="AU4298" s="153"/>
      <c r="AV4298" s="479"/>
      <c r="AW4298" s="479"/>
      <c r="AX4298" s="442"/>
      <c r="AY4298" s="153"/>
      <c r="AZ4298" s="152"/>
      <c r="BA4298" s="152"/>
      <c r="BB4298" s="152"/>
      <c r="BC4298" s="152"/>
      <c r="BD4298" s="152"/>
      <c r="BE4298" s="152"/>
      <c r="BF4298" s="152"/>
      <c r="BG4298" s="152"/>
      <c r="BH4298" s="152"/>
      <c r="BI4298" s="153"/>
      <c r="BJ4298" s="153"/>
      <c r="BK4298" s="153"/>
      <c r="BL4298" s="153"/>
      <c r="BM4298" s="153"/>
      <c r="BN4298" s="153"/>
      <c r="BO4298" s="153"/>
      <c r="BP4298" s="153"/>
      <c r="BQ4298" s="153"/>
      <c r="BR4298" s="153"/>
      <c r="BS4298" s="153"/>
      <c r="BT4298" s="153"/>
      <c r="BU4298" s="153"/>
      <c r="BV4298" s="153"/>
      <c r="BW4298" s="153"/>
      <c r="BX4298" s="153"/>
      <c r="BY4298" s="153"/>
      <c r="BZ4298" s="153"/>
      <c r="CA4298" s="152"/>
      <c r="CB4298" s="152"/>
    </row>
    <row r="4299" spans="1:80" s="87" customFormat="1" x14ac:dyDescent="0.2">
      <c r="A4299" s="152"/>
      <c r="B4299" s="683"/>
      <c r="C4299" s="683"/>
      <c r="D4299" s="698"/>
      <c r="E4299" s="215"/>
      <c r="F4299" s="215"/>
      <c r="G4299" s="153"/>
      <c r="H4299" s="153"/>
      <c r="I4299" s="163">
        <v>21</v>
      </c>
      <c r="J4299" s="163">
        <v>30</v>
      </c>
      <c r="K4299" s="150">
        <v>1</v>
      </c>
      <c r="L4299" s="656">
        <v>10.5</v>
      </c>
      <c r="M4299" s="663">
        <v>34474</v>
      </c>
      <c r="N4299" s="600">
        <v>0.45867000000000002</v>
      </c>
      <c r="O4299" s="604">
        <v>1.6399999999999999E-5</v>
      </c>
      <c r="P4299" s="250"/>
      <c r="Q4299" s="250"/>
      <c r="R4299" s="250"/>
      <c r="S4299" s="250"/>
      <c r="T4299" s="250"/>
      <c r="U4299" s="250"/>
      <c r="V4299" s="250">
        <v>5.5555555555555546E-2</v>
      </c>
      <c r="W4299" s="250">
        <v>0.33333333333333326</v>
      </c>
      <c r="X4299" s="250">
        <v>0.49999999999999994</v>
      </c>
      <c r="Y4299" s="250">
        <v>0.11111111111111109</v>
      </c>
      <c r="Z4299" s="150">
        <v>2.1</v>
      </c>
      <c r="AA4299" s="150">
        <v>0.42</v>
      </c>
      <c r="AB4299" s="152"/>
      <c r="AC4299" s="152"/>
      <c r="AD4299" s="223">
        <v>4.9375980000000004</v>
      </c>
      <c r="AE4299" s="223">
        <v>0.1767782</v>
      </c>
      <c r="AF4299" s="223">
        <v>0.87490943899999996</v>
      </c>
      <c r="AG4299" s="223">
        <v>0.50595140000000005</v>
      </c>
      <c r="AH4299" s="341"/>
      <c r="AI4299" s="218"/>
      <c r="AJ4299" s="218"/>
      <c r="AK4299" s="153"/>
      <c r="AL4299" s="152"/>
      <c r="AM4299" s="152"/>
      <c r="AN4299" s="152"/>
      <c r="AO4299" s="152"/>
      <c r="AP4299" s="152"/>
      <c r="AQ4299" s="152"/>
      <c r="AR4299" s="152"/>
      <c r="AS4299" s="152"/>
      <c r="AT4299" s="152"/>
      <c r="AU4299" s="153"/>
      <c r="AV4299" s="479"/>
      <c r="AW4299" s="479"/>
      <c r="AX4299" s="442"/>
      <c r="AY4299" s="153"/>
      <c r="AZ4299" s="152"/>
      <c r="BA4299" s="152"/>
      <c r="BB4299" s="152"/>
      <c r="BC4299" s="152"/>
      <c r="BD4299" s="152"/>
      <c r="BE4299" s="152"/>
      <c r="BF4299" s="152"/>
      <c r="BG4299" s="152"/>
      <c r="BH4299" s="152"/>
      <c r="BI4299" s="153"/>
      <c r="BJ4299" s="153"/>
      <c r="BK4299" s="153"/>
      <c r="BL4299" s="153"/>
      <c r="BM4299" s="153"/>
      <c r="BN4299" s="153"/>
      <c r="BO4299" s="153"/>
      <c r="BP4299" s="153"/>
      <c r="BQ4299" s="153"/>
      <c r="BR4299" s="153"/>
      <c r="BS4299" s="153"/>
      <c r="BT4299" s="153"/>
      <c r="BU4299" s="153"/>
      <c r="BV4299" s="153"/>
      <c r="BW4299" s="153"/>
      <c r="BX4299" s="153"/>
      <c r="BY4299" s="153"/>
      <c r="BZ4299" s="153"/>
      <c r="CA4299" s="152"/>
      <c r="CB4299" s="152"/>
    </row>
    <row r="4300" spans="1:80" s="87" customFormat="1" x14ac:dyDescent="0.2">
      <c r="A4300" s="152"/>
      <c r="B4300" s="683"/>
      <c r="C4300" s="683"/>
      <c r="D4300" s="698"/>
      <c r="E4300" s="215"/>
      <c r="F4300" s="215"/>
      <c r="G4300" s="153"/>
      <c r="H4300" s="153"/>
      <c r="I4300" s="163">
        <v>21</v>
      </c>
      <c r="J4300" s="163">
        <v>30</v>
      </c>
      <c r="K4300" s="150">
        <v>1</v>
      </c>
      <c r="L4300" s="656">
        <v>10.5</v>
      </c>
      <c r="M4300" s="663">
        <v>34478</v>
      </c>
      <c r="N4300" s="600">
        <v>0.35391</v>
      </c>
      <c r="O4300" s="604">
        <v>5.5699999999999999E-5</v>
      </c>
      <c r="P4300" s="250"/>
      <c r="Q4300" s="250"/>
      <c r="R4300" s="250"/>
      <c r="S4300" s="250"/>
      <c r="T4300" s="250"/>
      <c r="U4300" s="250"/>
      <c r="V4300" s="250">
        <v>0.1</v>
      </c>
      <c r="W4300" s="250">
        <v>0.41666666666666663</v>
      </c>
      <c r="X4300" s="250">
        <v>0.45</v>
      </c>
      <c r="Y4300" s="250">
        <v>3.3333333333333333E-2</v>
      </c>
      <c r="Z4300" s="150">
        <v>1.2</v>
      </c>
      <c r="AA4300" s="150">
        <v>0.51</v>
      </c>
      <c r="AB4300" s="152"/>
      <c r="AC4300" s="152"/>
      <c r="AD4300" s="223">
        <v>4.6023290000000001</v>
      </c>
      <c r="AE4300" s="223">
        <v>0.19201770000000001</v>
      </c>
      <c r="AF4300" s="223">
        <v>0.88932150399999998</v>
      </c>
      <c r="AG4300" s="223">
        <v>0.41146650000000001</v>
      </c>
      <c r="AH4300" s="341"/>
      <c r="AI4300" s="218"/>
      <c r="AJ4300" s="218"/>
      <c r="AK4300" s="153"/>
      <c r="AL4300" s="152"/>
      <c r="AM4300" s="152"/>
      <c r="AN4300" s="152"/>
      <c r="AO4300" s="152"/>
      <c r="AP4300" s="152"/>
      <c r="AQ4300" s="152"/>
      <c r="AR4300" s="152"/>
      <c r="AS4300" s="152"/>
      <c r="AT4300" s="152"/>
      <c r="AU4300" s="153"/>
      <c r="AV4300" s="479"/>
      <c r="AW4300" s="479"/>
      <c r="AX4300" s="442"/>
      <c r="AY4300" s="153"/>
      <c r="AZ4300" s="152"/>
      <c r="BA4300" s="152"/>
      <c r="BB4300" s="152"/>
      <c r="BC4300" s="152"/>
      <c r="BD4300" s="152"/>
      <c r="BE4300" s="152"/>
      <c r="BF4300" s="152"/>
      <c r="BG4300" s="152"/>
      <c r="BH4300" s="152"/>
      <c r="BI4300" s="153"/>
      <c r="BJ4300" s="153"/>
      <c r="BK4300" s="153"/>
      <c r="BL4300" s="153"/>
      <c r="BM4300" s="153"/>
      <c r="BN4300" s="153"/>
      <c r="BO4300" s="153"/>
      <c r="BP4300" s="153"/>
      <c r="BQ4300" s="153"/>
      <c r="BR4300" s="153"/>
      <c r="BS4300" s="153"/>
      <c r="BT4300" s="153"/>
      <c r="BU4300" s="153"/>
      <c r="BV4300" s="153"/>
      <c r="BW4300" s="153"/>
      <c r="BX4300" s="153"/>
      <c r="BY4300" s="153"/>
      <c r="BZ4300" s="153"/>
      <c r="CA4300" s="152"/>
      <c r="CB4300" s="152"/>
    </row>
    <row r="4301" spans="1:80" s="87" customFormat="1" x14ac:dyDescent="0.2">
      <c r="A4301" s="152"/>
      <c r="B4301" s="683"/>
      <c r="C4301" s="683"/>
      <c r="D4301" s="698"/>
      <c r="E4301" s="215"/>
      <c r="F4301" s="215"/>
      <c r="G4301" s="153"/>
      <c r="H4301" s="153"/>
      <c r="I4301" s="163">
        <v>21</v>
      </c>
      <c r="J4301" s="163">
        <v>30</v>
      </c>
      <c r="K4301" s="150">
        <v>1</v>
      </c>
      <c r="L4301" s="656">
        <v>10.5</v>
      </c>
      <c r="M4301" s="663">
        <v>34478</v>
      </c>
      <c r="N4301" s="600">
        <v>0.35391</v>
      </c>
      <c r="O4301" s="604">
        <v>1.8300000000000001E-5</v>
      </c>
      <c r="P4301" s="250"/>
      <c r="Q4301" s="250"/>
      <c r="R4301" s="250"/>
      <c r="S4301" s="250"/>
      <c r="T4301" s="250"/>
      <c r="U4301" s="250"/>
      <c r="V4301" s="250">
        <v>0.26315789473684215</v>
      </c>
      <c r="W4301" s="250">
        <v>0.31578947368421051</v>
      </c>
      <c r="X4301" s="250">
        <v>0.31578947368421051</v>
      </c>
      <c r="Y4301" s="250">
        <v>0.10526315789473685</v>
      </c>
      <c r="Z4301" s="150">
        <v>1.5</v>
      </c>
      <c r="AA4301" s="150">
        <v>0.59</v>
      </c>
      <c r="AB4301" s="152"/>
      <c r="AC4301" s="152"/>
      <c r="AD4301" s="223">
        <v>4.6023290000000001</v>
      </c>
      <c r="AE4301" s="223">
        <v>0.19201770000000001</v>
      </c>
      <c r="AF4301" s="223">
        <v>0.88932150399999998</v>
      </c>
      <c r="AG4301" s="223">
        <v>0.41146650000000001</v>
      </c>
      <c r="AH4301" s="341"/>
      <c r="AI4301" s="218"/>
      <c r="AJ4301" s="218"/>
      <c r="AK4301" s="153"/>
      <c r="AL4301" s="152"/>
      <c r="AM4301" s="152"/>
      <c r="AN4301" s="152"/>
      <c r="AO4301" s="152"/>
      <c r="AP4301" s="152"/>
      <c r="AQ4301" s="152"/>
      <c r="AR4301" s="152"/>
      <c r="AS4301" s="152"/>
      <c r="AT4301" s="152"/>
      <c r="AU4301" s="153"/>
      <c r="AV4301" s="479"/>
      <c r="AW4301" s="479"/>
      <c r="AX4301" s="442"/>
      <c r="AY4301" s="153"/>
      <c r="AZ4301" s="152"/>
      <c r="BA4301" s="152"/>
      <c r="BB4301" s="152"/>
      <c r="BC4301" s="152"/>
      <c r="BD4301" s="152"/>
      <c r="BE4301" s="152"/>
      <c r="BF4301" s="152"/>
      <c r="BG4301" s="152"/>
      <c r="BH4301" s="152"/>
      <c r="BI4301" s="153"/>
      <c r="BJ4301" s="153"/>
      <c r="BK4301" s="153"/>
      <c r="BL4301" s="153"/>
      <c r="BM4301" s="153"/>
      <c r="BN4301" s="153"/>
      <c r="BO4301" s="153"/>
      <c r="BP4301" s="153"/>
      <c r="BQ4301" s="153"/>
      <c r="BR4301" s="153"/>
      <c r="BS4301" s="153"/>
      <c r="BT4301" s="153"/>
      <c r="BU4301" s="153"/>
      <c r="BV4301" s="153"/>
      <c r="BW4301" s="153"/>
      <c r="BX4301" s="153"/>
      <c r="BY4301" s="153"/>
      <c r="BZ4301" s="153"/>
      <c r="CA4301" s="152"/>
      <c r="CB4301" s="152"/>
    </row>
    <row r="4302" spans="1:80" s="87" customFormat="1" x14ac:dyDescent="0.2">
      <c r="A4302" s="152"/>
      <c r="B4302" s="683"/>
      <c r="C4302" s="683"/>
      <c r="D4302" s="698"/>
      <c r="E4302" s="215"/>
      <c r="F4302" s="215"/>
      <c r="G4302" s="153"/>
      <c r="H4302" s="153"/>
      <c r="I4302" s="163">
        <v>21</v>
      </c>
      <c r="J4302" s="163">
        <v>30</v>
      </c>
      <c r="K4302" s="150">
        <v>1</v>
      </c>
      <c r="L4302" s="656">
        <v>10.5</v>
      </c>
      <c r="M4302" s="663">
        <v>34488</v>
      </c>
      <c r="N4302" s="600">
        <v>0.36523</v>
      </c>
      <c r="O4302" s="604">
        <v>1.7100000000000001E-4</v>
      </c>
      <c r="P4302" s="250"/>
      <c r="Q4302" s="250"/>
      <c r="R4302" s="250"/>
      <c r="S4302" s="250"/>
      <c r="T4302" s="250"/>
      <c r="U4302" s="250"/>
      <c r="V4302" s="250">
        <v>3.3707865168539318E-2</v>
      </c>
      <c r="W4302" s="250">
        <v>0.40449438202247184</v>
      </c>
      <c r="X4302" s="250">
        <v>0.5056179775280899</v>
      </c>
      <c r="Y4302" s="250">
        <v>5.6179775280898875E-2</v>
      </c>
      <c r="Z4302" s="150">
        <v>2</v>
      </c>
      <c r="AA4302" s="150">
        <v>0.46</v>
      </c>
      <c r="AB4302" s="152"/>
      <c r="AC4302" s="152"/>
      <c r="AD4302" s="223">
        <v>4.6632870000000004</v>
      </c>
      <c r="AE4302" s="223">
        <v>0.17982609999999999</v>
      </c>
      <c r="AF4302" s="223">
        <v>0.83433861899999995</v>
      </c>
      <c r="AG4302" s="223">
        <v>0.4602329</v>
      </c>
      <c r="AH4302" s="341"/>
      <c r="AI4302" s="218"/>
      <c r="AJ4302" s="218"/>
      <c r="AK4302" s="153"/>
      <c r="AL4302" s="152"/>
      <c r="AM4302" s="152"/>
      <c r="AN4302" s="152"/>
      <c r="AO4302" s="152"/>
      <c r="AP4302" s="152"/>
      <c r="AQ4302" s="152"/>
      <c r="AR4302" s="152"/>
      <c r="AS4302" s="152"/>
      <c r="AT4302" s="152"/>
      <c r="AU4302" s="153"/>
      <c r="AV4302" s="479"/>
      <c r="AW4302" s="479"/>
      <c r="AX4302" s="442"/>
      <c r="AY4302" s="153"/>
      <c r="AZ4302" s="152"/>
      <c r="BA4302" s="152"/>
      <c r="BB4302" s="152"/>
      <c r="BC4302" s="152"/>
      <c r="BD4302" s="152"/>
      <c r="BE4302" s="152"/>
      <c r="BF4302" s="152"/>
      <c r="BG4302" s="152"/>
      <c r="BH4302" s="152"/>
      <c r="BI4302" s="153"/>
      <c r="BJ4302" s="153"/>
      <c r="BK4302" s="153"/>
      <c r="BL4302" s="153"/>
      <c r="BM4302" s="153"/>
      <c r="BN4302" s="153"/>
      <c r="BO4302" s="153"/>
      <c r="BP4302" s="153"/>
      <c r="BQ4302" s="153"/>
      <c r="BR4302" s="153"/>
      <c r="BS4302" s="153"/>
      <c r="BT4302" s="153"/>
      <c r="BU4302" s="153"/>
      <c r="BV4302" s="153"/>
      <c r="BW4302" s="153"/>
      <c r="BX4302" s="153"/>
      <c r="BY4302" s="153"/>
      <c r="BZ4302" s="153"/>
      <c r="CA4302" s="152"/>
      <c r="CB4302" s="152"/>
    </row>
    <row r="4303" spans="1:80" s="87" customFormat="1" x14ac:dyDescent="0.2">
      <c r="A4303" s="152"/>
      <c r="B4303" s="683"/>
      <c r="C4303" s="683"/>
      <c r="D4303" s="698"/>
      <c r="E4303" s="215"/>
      <c r="F4303" s="215"/>
      <c r="G4303" s="153"/>
      <c r="H4303" s="153"/>
      <c r="I4303" s="163">
        <v>21</v>
      </c>
      <c r="J4303" s="163">
        <v>30</v>
      </c>
      <c r="K4303" s="150">
        <v>1</v>
      </c>
      <c r="L4303" s="656">
        <v>10.5</v>
      </c>
      <c r="M4303" s="663">
        <v>34488</v>
      </c>
      <c r="N4303" s="600">
        <v>0.36523</v>
      </c>
      <c r="O4303" s="604">
        <v>3.43E-5</v>
      </c>
      <c r="P4303" s="250"/>
      <c r="Q4303" s="250"/>
      <c r="R4303" s="250"/>
      <c r="S4303" s="250"/>
      <c r="T4303" s="250"/>
      <c r="U4303" s="250"/>
      <c r="V4303" s="250">
        <v>0.19444444444444442</v>
      </c>
      <c r="W4303" s="250">
        <v>0.27777777777777779</v>
      </c>
      <c r="X4303" s="250">
        <v>0.38888888888888884</v>
      </c>
      <c r="Y4303" s="250">
        <v>0.1388888888888889</v>
      </c>
      <c r="Z4303" s="150">
        <v>2.1</v>
      </c>
      <c r="AA4303" s="150">
        <v>0.47</v>
      </c>
      <c r="AB4303" s="152"/>
      <c r="AC4303" s="152"/>
      <c r="AD4303" s="223">
        <v>4.6632870000000004</v>
      </c>
      <c r="AE4303" s="223">
        <v>0.17982609999999999</v>
      </c>
      <c r="AF4303" s="223">
        <v>0.83433861899999995</v>
      </c>
      <c r="AG4303" s="223">
        <v>0.4602329</v>
      </c>
      <c r="AH4303" s="341"/>
      <c r="AI4303" s="218"/>
      <c r="AJ4303" s="218"/>
      <c r="AK4303" s="153"/>
      <c r="AL4303" s="152"/>
      <c r="AM4303" s="152"/>
      <c r="AN4303" s="152"/>
      <c r="AO4303" s="152"/>
      <c r="AP4303" s="152"/>
      <c r="AQ4303" s="152"/>
      <c r="AR4303" s="152"/>
      <c r="AS4303" s="152"/>
      <c r="AT4303" s="152"/>
      <c r="AU4303" s="153"/>
      <c r="AV4303" s="479"/>
      <c r="AW4303" s="479"/>
      <c r="AX4303" s="442"/>
      <c r="AY4303" s="153"/>
      <c r="AZ4303" s="152"/>
      <c r="BA4303" s="152"/>
      <c r="BB4303" s="152"/>
      <c r="BC4303" s="152"/>
      <c r="BD4303" s="152"/>
      <c r="BE4303" s="152"/>
      <c r="BF4303" s="152"/>
      <c r="BG4303" s="152"/>
      <c r="BH4303" s="152"/>
      <c r="BI4303" s="153"/>
      <c r="BJ4303" s="153"/>
      <c r="BK4303" s="153"/>
      <c r="BL4303" s="153"/>
      <c r="BM4303" s="153"/>
      <c r="BN4303" s="153"/>
      <c r="BO4303" s="153"/>
      <c r="BP4303" s="153"/>
      <c r="BQ4303" s="153"/>
      <c r="BR4303" s="153"/>
      <c r="BS4303" s="153"/>
      <c r="BT4303" s="153"/>
      <c r="BU4303" s="153"/>
      <c r="BV4303" s="153"/>
      <c r="BW4303" s="153"/>
      <c r="BX4303" s="153"/>
      <c r="BY4303" s="153"/>
      <c r="BZ4303" s="153"/>
      <c r="CA4303" s="152"/>
      <c r="CB4303" s="152"/>
    </row>
    <row r="4304" spans="1:80" s="87" customFormat="1" x14ac:dyDescent="0.2">
      <c r="A4304" s="152"/>
      <c r="B4304" s="683"/>
      <c r="C4304" s="683"/>
      <c r="D4304" s="698"/>
      <c r="E4304" s="215"/>
      <c r="F4304" s="215"/>
      <c r="G4304" s="153"/>
      <c r="H4304" s="153"/>
      <c r="I4304" s="163">
        <v>20</v>
      </c>
      <c r="J4304" s="163">
        <v>30</v>
      </c>
      <c r="K4304" s="150">
        <v>1</v>
      </c>
      <c r="L4304" s="656">
        <v>10</v>
      </c>
      <c r="M4304" s="663">
        <v>34496</v>
      </c>
      <c r="N4304" s="600">
        <v>0.23075000000000001</v>
      </c>
      <c r="O4304" s="604">
        <v>6.5799999999999997E-6</v>
      </c>
      <c r="P4304" s="250"/>
      <c r="Q4304" s="250"/>
      <c r="R4304" s="250"/>
      <c r="S4304" s="250"/>
      <c r="T4304" s="250"/>
      <c r="U4304" s="250"/>
      <c r="V4304" s="250">
        <v>0.2857142857142857</v>
      </c>
      <c r="W4304" s="250">
        <v>0.2857142857142857</v>
      </c>
      <c r="X4304" s="250">
        <v>0.2857142857142857</v>
      </c>
      <c r="Y4304" s="250">
        <v>0.14285714285714285</v>
      </c>
      <c r="Z4304" s="150">
        <v>1.8</v>
      </c>
      <c r="AA4304" s="150">
        <v>0.59</v>
      </c>
      <c r="AB4304" s="152"/>
      <c r="AC4304" s="152"/>
      <c r="AD4304" s="223">
        <v>4.6023290000000001</v>
      </c>
      <c r="AE4304" s="223">
        <v>0.14934710000000001</v>
      </c>
      <c r="AF4304" s="223">
        <v>0.68218376700000005</v>
      </c>
      <c r="AG4304" s="223">
        <v>0.36270010000000003</v>
      </c>
      <c r="AH4304" s="341"/>
      <c r="AI4304" s="218"/>
      <c r="AJ4304" s="218"/>
      <c r="AK4304" s="153"/>
      <c r="AL4304" s="152"/>
      <c r="AM4304" s="152"/>
      <c r="AN4304" s="152"/>
      <c r="AO4304" s="152"/>
      <c r="AP4304" s="152"/>
      <c r="AQ4304" s="152"/>
      <c r="AR4304" s="152"/>
      <c r="AS4304" s="152"/>
      <c r="AT4304" s="152"/>
      <c r="AU4304" s="153"/>
      <c r="AV4304" s="479"/>
      <c r="AW4304" s="479"/>
      <c r="AX4304" s="442"/>
      <c r="AY4304" s="153"/>
      <c r="AZ4304" s="152"/>
      <c r="BA4304" s="152"/>
      <c r="BB4304" s="152"/>
      <c r="BC4304" s="152"/>
      <c r="BD4304" s="152"/>
      <c r="BE4304" s="152"/>
      <c r="BF4304" s="152"/>
      <c r="BG4304" s="152"/>
      <c r="BH4304" s="152"/>
      <c r="BI4304" s="153"/>
      <c r="BJ4304" s="153"/>
      <c r="BK4304" s="153"/>
      <c r="BL4304" s="153"/>
      <c r="BM4304" s="153"/>
      <c r="BN4304" s="153"/>
      <c r="BO4304" s="153"/>
      <c r="BP4304" s="153"/>
      <c r="BQ4304" s="153"/>
      <c r="BR4304" s="153"/>
      <c r="BS4304" s="153"/>
      <c r="BT4304" s="153"/>
      <c r="BU4304" s="153"/>
      <c r="BV4304" s="153"/>
      <c r="BW4304" s="153"/>
      <c r="BX4304" s="153"/>
      <c r="BY4304" s="153"/>
      <c r="BZ4304" s="153"/>
      <c r="CA4304" s="152"/>
      <c r="CB4304" s="152"/>
    </row>
    <row r="4305" spans="1:80" s="87" customFormat="1" x14ac:dyDescent="0.2">
      <c r="A4305" s="152"/>
      <c r="B4305" s="683"/>
      <c r="C4305" s="683"/>
      <c r="D4305" s="698"/>
      <c r="E4305" s="215"/>
      <c r="F4305" s="215"/>
      <c r="G4305" s="153"/>
      <c r="H4305" s="153"/>
      <c r="I4305" s="163">
        <v>20</v>
      </c>
      <c r="J4305" s="163">
        <v>30</v>
      </c>
      <c r="K4305" s="150">
        <v>1</v>
      </c>
      <c r="L4305" s="656">
        <v>10</v>
      </c>
      <c r="M4305" s="663">
        <v>34496</v>
      </c>
      <c r="N4305" s="600">
        <v>0.23075000000000001</v>
      </c>
      <c r="O4305" s="604">
        <v>1.5999999999999999E-5</v>
      </c>
      <c r="P4305" s="250"/>
      <c r="Q4305" s="250"/>
      <c r="R4305" s="250"/>
      <c r="S4305" s="250"/>
      <c r="T4305" s="250"/>
      <c r="U4305" s="250"/>
      <c r="V4305" s="250">
        <v>6.25E-2</v>
      </c>
      <c r="W4305" s="250">
        <v>0.375</v>
      </c>
      <c r="X4305" s="250">
        <v>0.5</v>
      </c>
      <c r="Y4305" s="250">
        <v>6.25E-2</v>
      </c>
      <c r="Z4305" s="150">
        <v>1.2</v>
      </c>
      <c r="AA4305" s="150">
        <v>0.46</v>
      </c>
      <c r="AB4305" s="152"/>
      <c r="AC4305" s="152"/>
      <c r="AD4305" s="223">
        <v>4.6023290000000001</v>
      </c>
      <c r="AE4305" s="223">
        <v>0.14934710000000001</v>
      </c>
      <c r="AF4305" s="223">
        <v>0.68218376700000005</v>
      </c>
      <c r="AG4305" s="223">
        <v>0.36270010000000003</v>
      </c>
      <c r="AH4305" s="341"/>
      <c r="AI4305" s="218"/>
      <c r="AJ4305" s="218"/>
      <c r="AK4305" s="153"/>
      <c r="AL4305" s="152"/>
      <c r="AM4305" s="152"/>
      <c r="AN4305" s="152"/>
      <c r="AO4305" s="152"/>
      <c r="AP4305" s="152"/>
      <c r="AQ4305" s="152"/>
      <c r="AR4305" s="152"/>
      <c r="AS4305" s="152"/>
      <c r="AT4305" s="152"/>
      <c r="AU4305" s="153"/>
      <c r="AV4305" s="479"/>
      <c r="AW4305" s="479"/>
      <c r="AX4305" s="442"/>
      <c r="AY4305" s="153"/>
      <c r="AZ4305" s="152"/>
      <c r="BA4305" s="152"/>
      <c r="BB4305" s="152"/>
      <c r="BC4305" s="152"/>
      <c r="BD4305" s="152"/>
      <c r="BE4305" s="152"/>
      <c r="BF4305" s="152"/>
      <c r="BG4305" s="152"/>
      <c r="BH4305" s="152"/>
      <c r="BI4305" s="153"/>
      <c r="BJ4305" s="153"/>
      <c r="BK4305" s="153"/>
      <c r="BL4305" s="153"/>
      <c r="BM4305" s="153"/>
      <c r="BN4305" s="153"/>
      <c r="BO4305" s="153"/>
      <c r="BP4305" s="153"/>
      <c r="BQ4305" s="153"/>
      <c r="BR4305" s="153"/>
      <c r="BS4305" s="153"/>
      <c r="BT4305" s="153"/>
      <c r="BU4305" s="153"/>
      <c r="BV4305" s="153"/>
      <c r="BW4305" s="153"/>
      <c r="BX4305" s="153"/>
      <c r="BY4305" s="153"/>
      <c r="BZ4305" s="153"/>
      <c r="CA4305" s="152"/>
      <c r="CB4305" s="152"/>
    </row>
    <row r="4306" spans="1:80" s="87" customFormat="1" x14ac:dyDescent="0.2">
      <c r="A4306" s="152"/>
      <c r="B4306" s="683"/>
      <c r="C4306" s="683"/>
      <c r="D4306" s="698"/>
      <c r="E4306" s="215"/>
      <c r="F4306" s="215"/>
      <c r="G4306" s="153"/>
      <c r="H4306" s="153"/>
      <c r="I4306" s="163">
        <v>19</v>
      </c>
      <c r="J4306" s="163">
        <v>30</v>
      </c>
      <c r="K4306" s="150">
        <v>1</v>
      </c>
      <c r="L4306" s="656">
        <v>9.5</v>
      </c>
      <c r="M4306" s="663">
        <v>34498</v>
      </c>
      <c r="N4306" s="600">
        <v>0.24546999999999999</v>
      </c>
      <c r="O4306" s="604">
        <v>4.5099999999999998E-5</v>
      </c>
      <c r="P4306" s="250"/>
      <c r="Q4306" s="250"/>
      <c r="R4306" s="250"/>
      <c r="S4306" s="250"/>
      <c r="T4306" s="250"/>
      <c r="U4306" s="250"/>
      <c r="V4306" s="250">
        <v>0.18604651162790695</v>
      </c>
      <c r="W4306" s="250">
        <v>0.30232558139534887</v>
      </c>
      <c r="X4306" s="250">
        <v>0.39534883720930236</v>
      </c>
      <c r="Y4306" s="250">
        <v>0.11627906976744186</v>
      </c>
      <c r="Z4306" s="150">
        <v>2.1</v>
      </c>
      <c r="AA4306" s="150">
        <v>0.49</v>
      </c>
      <c r="AB4306" s="152"/>
      <c r="AC4306" s="152"/>
      <c r="AD4306" s="223">
        <v>4.5718500000000004</v>
      </c>
      <c r="AE4306" s="223">
        <v>0.14934710000000001</v>
      </c>
      <c r="AF4306" s="223">
        <v>0.686448367</v>
      </c>
      <c r="AG4306" s="223">
        <v>0.35660429999999999</v>
      </c>
      <c r="AH4306" s="341"/>
      <c r="AI4306" s="218"/>
      <c r="AJ4306" s="218"/>
      <c r="AK4306" s="153"/>
      <c r="AL4306" s="152"/>
      <c r="AM4306" s="152"/>
      <c r="AN4306" s="152"/>
      <c r="AO4306" s="152"/>
      <c r="AP4306" s="152"/>
      <c r="AQ4306" s="152"/>
      <c r="AR4306" s="152"/>
      <c r="AS4306" s="152"/>
      <c r="AT4306" s="152"/>
      <c r="AU4306" s="153"/>
      <c r="AV4306" s="479"/>
      <c r="AW4306" s="479"/>
      <c r="AX4306" s="442"/>
      <c r="AY4306" s="153"/>
      <c r="AZ4306" s="152"/>
      <c r="BA4306" s="152"/>
      <c r="BB4306" s="152"/>
      <c r="BC4306" s="152"/>
      <c r="BD4306" s="152"/>
      <c r="BE4306" s="152"/>
      <c r="BF4306" s="152"/>
      <c r="BG4306" s="152"/>
      <c r="BH4306" s="152"/>
      <c r="BI4306" s="153"/>
      <c r="BJ4306" s="153"/>
      <c r="BK4306" s="153"/>
      <c r="BL4306" s="153"/>
      <c r="BM4306" s="153"/>
      <c r="BN4306" s="153"/>
      <c r="BO4306" s="153"/>
      <c r="BP4306" s="153"/>
      <c r="BQ4306" s="153"/>
      <c r="BR4306" s="153"/>
      <c r="BS4306" s="153"/>
      <c r="BT4306" s="153"/>
      <c r="BU4306" s="153"/>
      <c r="BV4306" s="153"/>
      <c r="BW4306" s="153"/>
      <c r="BX4306" s="153"/>
      <c r="BY4306" s="153"/>
      <c r="BZ4306" s="153"/>
      <c r="CA4306" s="152"/>
      <c r="CB4306" s="152"/>
    </row>
    <row r="4307" spans="1:80" s="87" customFormat="1" x14ac:dyDescent="0.2">
      <c r="A4307" s="152"/>
      <c r="B4307" s="683"/>
      <c r="C4307" s="683"/>
      <c r="D4307" s="698"/>
      <c r="E4307" s="215"/>
      <c r="F4307" s="215"/>
      <c r="G4307" s="153"/>
      <c r="H4307" s="153"/>
      <c r="I4307" s="163">
        <v>19</v>
      </c>
      <c r="J4307" s="163">
        <v>30</v>
      </c>
      <c r="K4307" s="150">
        <v>1</v>
      </c>
      <c r="L4307" s="656">
        <v>9.5</v>
      </c>
      <c r="M4307" s="663">
        <v>34498</v>
      </c>
      <c r="N4307" s="600">
        <v>0.24546999999999999</v>
      </c>
      <c r="O4307" s="604">
        <v>7.6600000000000005E-5</v>
      </c>
      <c r="P4307" s="250"/>
      <c r="Q4307" s="250"/>
      <c r="R4307" s="250"/>
      <c r="S4307" s="250"/>
      <c r="T4307" s="250"/>
      <c r="U4307" s="250"/>
      <c r="V4307" s="250">
        <v>0.20731707317073172</v>
      </c>
      <c r="W4307" s="250">
        <v>0.48780487804878042</v>
      </c>
      <c r="X4307" s="250">
        <v>0.25609756097560976</v>
      </c>
      <c r="Y4307" s="250">
        <v>4.878048780487805E-2</v>
      </c>
      <c r="Z4307" s="150">
        <v>2</v>
      </c>
      <c r="AA4307" s="150">
        <v>0.66</v>
      </c>
      <c r="AB4307" s="152"/>
      <c r="AC4307" s="152"/>
      <c r="AD4307" s="223">
        <v>4.5718500000000004</v>
      </c>
      <c r="AE4307" s="223">
        <v>0.14934710000000001</v>
      </c>
      <c r="AF4307" s="223">
        <v>0.686448367</v>
      </c>
      <c r="AG4307" s="223">
        <v>0.35660429999999999</v>
      </c>
      <c r="AH4307" s="341"/>
      <c r="AI4307" s="218"/>
      <c r="AJ4307" s="218"/>
      <c r="AK4307" s="153"/>
      <c r="AL4307" s="152"/>
      <c r="AM4307" s="152"/>
      <c r="AN4307" s="152"/>
      <c r="AO4307" s="152"/>
      <c r="AP4307" s="152"/>
      <c r="AQ4307" s="152"/>
      <c r="AR4307" s="152"/>
      <c r="AS4307" s="152"/>
      <c r="AT4307" s="152"/>
      <c r="AU4307" s="153"/>
      <c r="AV4307" s="479"/>
      <c r="AW4307" s="479"/>
      <c r="AX4307" s="442"/>
      <c r="AY4307" s="153"/>
      <c r="AZ4307" s="152"/>
      <c r="BA4307" s="152"/>
      <c r="BB4307" s="152"/>
      <c r="BC4307" s="152"/>
      <c r="BD4307" s="152"/>
      <c r="BE4307" s="152"/>
      <c r="BF4307" s="152"/>
      <c r="BG4307" s="152"/>
      <c r="BH4307" s="152"/>
      <c r="BI4307" s="153"/>
      <c r="BJ4307" s="153"/>
      <c r="BK4307" s="153"/>
      <c r="BL4307" s="153"/>
      <c r="BM4307" s="153"/>
      <c r="BN4307" s="153"/>
      <c r="BO4307" s="153"/>
      <c r="BP4307" s="153"/>
      <c r="BQ4307" s="153"/>
      <c r="BR4307" s="153"/>
      <c r="BS4307" s="153"/>
      <c r="BT4307" s="153"/>
      <c r="BU4307" s="153"/>
      <c r="BV4307" s="153"/>
      <c r="BW4307" s="153"/>
      <c r="BX4307" s="153"/>
      <c r="BY4307" s="153"/>
      <c r="BZ4307" s="153"/>
      <c r="CA4307" s="152"/>
      <c r="CB4307" s="152"/>
    </row>
    <row r="4308" spans="1:80" s="87" customFormat="1" x14ac:dyDescent="0.2">
      <c r="A4308" s="152"/>
      <c r="B4308" s="683"/>
      <c r="C4308" s="683"/>
      <c r="D4308" s="698"/>
      <c r="E4308" s="215"/>
      <c r="F4308" s="215"/>
      <c r="G4308" s="153"/>
      <c r="H4308" s="153"/>
      <c r="I4308" s="163">
        <v>22</v>
      </c>
      <c r="J4308" s="163">
        <v>60</v>
      </c>
      <c r="K4308" s="150">
        <v>1</v>
      </c>
      <c r="L4308" s="656">
        <v>22</v>
      </c>
      <c r="M4308" s="663">
        <v>34814</v>
      </c>
      <c r="N4308" s="600">
        <v>0.39638000000000001</v>
      </c>
      <c r="O4308" s="604">
        <v>8.4599999999999996E-4</v>
      </c>
      <c r="P4308" s="250"/>
      <c r="Q4308" s="250"/>
      <c r="R4308" s="250"/>
      <c r="S4308" s="250"/>
      <c r="T4308" s="250">
        <v>2.0299999999999999E-2</v>
      </c>
      <c r="U4308" s="250">
        <v>4.07E-2</v>
      </c>
      <c r="V4308" s="250">
        <v>0.35830429732868752</v>
      </c>
      <c r="W4308" s="250">
        <v>0.37166085946573746</v>
      </c>
      <c r="X4308" s="250">
        <v>0.19279907084785131</v>
      </c>
      <c r="Y4308" s="250">
        <v>1.6260162601626015E-2</v>
      </c>
      <c r="Z4308" s="150">
        <v>6</v>
      </c>
      <c r="AA4308" s="150">
        <v>0.87</v>
      </c>
      <c r="AB4308" s="152"/>
      <c r="AC4308" s="152"/>
      <c r="AD4308" s="223">
        <v>4.6023290000000001</v>
      </c>
      <c r="AE4308" s="223">
        <v>0.19506560000000001</v>
      </c>
      <c r="AF4308" s="223">
        <v>0.89672743899999996</v>
      </c>
      <c r="AG4308" s="223">
        <v>0.4815682</v>
      </c>
      <c r="AH4308" s="341"/>
      <c r="AI4308" s="218"/>
      <c r="AJ4308" s="218"/>
      <c r="AK4308" s="153"/>
      <c r="AL4308" s="152"/>
      <c r="AM4308" s="152"/>
      <c r="AN4308" s="152"/>
      <c r="AO4308" s="152"/>
      <c r="AP4308" s="152"/>
      <c r="AQ4308" s="152"/>
      <c r="AR4308" s="152"/>
      <c r="AS4308" s="152"/>
      <c r="AT4308" s="152"/>
      <c r="AU4308" s="153"/>
      <c r="AV4308" s="479"/>
      <c r="AW4308" s="479"/>
      <c r="AX4308" s="442"/>
      <c r="AY4308" s="153"/>
      <c r="AZ4308" s="152"/>
      <c r="BA4308" s="152"/>
      <c r="BB4308" s="152"/>
      <c r="BC4308" s="152"/>
      <c r="BD4308" s="152"/>
      <c r="BE4308" s="152"/>
      <c r="BF4308" s="152"/>
      <c r="BG4308" s="152"/>
      <c r="BH4308" s="152"/>
      <c r="BI4308" s="153"/>
      <c r="BJ4308" s="153"/>
      <c r="BK4308" s="153"/>
      <c r="BL4308" s="153"/>
      <c r="BM4308" s="153"/>
      <c r="BN4308" s="153"/>
      <c r="BO4308" s="153"/>
      <c r="BP4308" s="153"/>
      <c r="BQ4308" s="153"/>
      <c r="BR4308" s="153"/>
      <c r="BS4308" s="153"/>
      <c r="BT4308" s="153"/>
      <c r="BU4308" s="153"/>
      <c r="BV4308" s="153"/>
      <c r="BW4308" s="153"/>
      <c r="BX4308" s="153"/>
      <c r="BY4308" s="153"/>
      <c r="BZ4308" s="153"/>
      <c r="CA4308" s="152"/>
      <c r="CB4308" s="152"/>
    </row>
    <row r="4309" spans="1:80" s="87" customFormat="1" x14ac:dyDescent="0.2">
      <c r="A4309" s="152"/>
      <c r="B4309" s="683"/>
      <c r="C4309" s="683"/>
      <c r="D4309" s="698"/>
      <c r="E4309" s="215"/>
      <c r="F4309" s="215"/>
      <c r="G4309" s="153"/>
      <c r="H4309" s="153"/>
      <c r="I4309" s="163">
        <v>22</v>
      </c>
      <c r="J4309" s="163">
        <v>60</v>
      </c>
      <c r="K4309" s="150">
        <v>1</v>
      </c>
      <c r="L4309" s="656">
        <v>22</v>
      </c>
      <c r="M4309" s="663">
        <v>34814</v>
      </c>
      <c r="N4309" s="600">
        <v>0.39638000000000001</v>
      </c>
      <c r="O4309" s="604">
        <v>2.0599999999999999E-4</v>
      </c>
      <c r="P4309" s="250"/>
      <c r="Q4309" s="250"/>
      <c r="R4309" s="250"/>
      <c r="S4309" s="250"/>
      <c r="T4309" s="250"/>
      <c r="U4309" s="250">
        <v>4.3799999999999999E-2</v>
      </c>
      <c r="V4309" s="250">
        <v>0.21198156682027652</v>
      </c>
      <c r="W4309" s="250">
        <v>0.45852534562211988</v>
      </c>
      <c r="X4309" s="250">
        <v>0.25115207373271892</v>
      </c>
      <c r="Y4309" s="250">
        <v>3.4562211981566816E-2</v>
      </c>
      <c r="Z4309" s="150">
        <v>2</v>
      </c>
      <c r="AA4309" s="150">
        <v>0.68</v>
      </c>
      <c r="AB4309" s="152"/>
      <c r="AC4309" s="152"/>
      <c r="AD4309" s="223">
        <v>4.6023290000000001</v>
      </c>
      <c r="AE4309" s="223">
        <v>0.19506560000000001</v>
      </c>
      <c r="AF4309" s="223">
        <v>0.89672743899999996</v>
      </c>
      <c r="AG4309" s="223">
        <v>0.4815682</v>
      </c>
      <c r="AH4309" s="341"/>
      <c r="AI4309" s="218"/>
      <c r="AJ4309" s="218"/>
      <c r="AK4309" s="153"/>
      <c r="AL4309" s="152"/>
      <c r="AM4309" s="152"/>
      <c r="AN4309" s="152"/>
      <c r="AO4309" s="152"/>
      <c r="AP4309" s="152"/>
      <c r="AQ4309" s="152"/>
      <c r="AR4309" s="152"/>
      <c r="AS4309" s="152"/>
      <c r="AT4309" s="152"/>
      <c r="AU4309" s="153"/>
      <c r="AV4309" s="479"/>
      <c r="AW4309" s="479"/>
      <c r="AX4309" s="442"/>
      <c r="AY4309" s="153"/>
      <c r="AZ4309" s="152"/>
      <c r="BA4309" s="152"/>
      <c r="BB4309" s="152"/>
      <c r="BC4309" s="152"/>
      <c r="BD4309" s="152"/>
      <c r="BE4309" s="152"/>
      <c r="BF4309" s="152"/>
      <c r="BG4309" s="152"/>
      <c r="BH4309" s="152"/>
      <c r="BI4309" s="153"/>
      <c r="BJ4309" s="153"/>
      <c r="BK4309" s="153"/>
      <c r="BL4309" s="153"/>
      <c r="BM4309" s="153"/>
      <c r="BN4309" s="153"/>
      <c r="BO4309" s="153"/>
      <c r="BP4309" s="153"/>
      <c r="BQ4309" s="153"/>
      <c r="BR4309" s="153"/>
      <c r="BS4309" s="153"/>
      <c r="BT4309" s="153"/>
      <c r="BU4309" s="153"/>
      <c r="BV4309" s="153"/>
      <c r="BW4309" s="153"/>
      <c r="BX4309" s="153"/>
      <c r="BY4309" s="153"/>
      <c r="BZ4309" s="153"/>
      <c r="CA4309" s="152"/>
      <c r="CB4309" s="152"/>
    </row>
    <row r="4310" spans="1:80" s="87" customFormat="1" x14ac:dyDescent="0.2">
      <c r="A4310" s="152"/>
      <c r="B4310" s="683"/>
      <c r="C4310" s="683"/>
      <c r="D4310" s="698"/>
      <c r="E4310" s="215"/>
      <c r="F4310" s="215"/>
      <c r="G4310" s="153"/>
      <c r="H4310" s="153"/>
      <c r="I4310" s="163">
        <v>23</v>
      </c>
      <c r="J4310" s="163">
        <v>60</v>
      </c>
      <c r="K4310" s="150">
        <v>1</v>
      </c>
      <c r="L4310" s="656">
        <v>23</v>
      </c>
      <c r="M4310" s="663">
        <v>34818</v>
      </c>
      <c r="N4310" s="600">
        <v>0.44451000000000002</v>
      </c>
      <c r="O4310" s="604">
        <v>1.5430000000000001E-3</v>
      </c>
      <c r="P4310" s="250"/>
      <c r="Q4310" s="250"/>
      <c r="R4310" s="250"/>
      <c r="S4310" s="250"/>
      <c r="T4310" s="250">
        <v>9.0000000000000011E-3</v>
      </c>
      <c r="U4310" s="250">
        <v>0.1148</v>
      </c>
      <c r="V4310" s="250">
        <v>0.48965517241379303</v>
      </c>
      <c r="W4310" s="250">
        <v>0.24707646176911546</v>
      </c>
      <c r="X4310" s="250">
        <v>0.12653673163418289</v>
      </c>
      <c r="Y4310" s="250">
        <v>1.2893553223388305E-2</v>
      </c>
      <c r="Z4310" s="150">
        <v>6.5</v>
      </c>
      <c r="AA4310" s="150">
        <v>1.17</v>
      </c>
      <c r="AB4310" s="152"/>
      <c r="AC4310" s="152"/>
      <c r="AD4310" s="223">
        <v>4.8766400000000001</v>
      </c>
      <c r="AE4310" s="223">
        <v>0.1981135</v>
      </c>
      <c r="AF4310" s="223">
        <v>0.97029179700000001</v>
      </c>
      <c r="AG4310" s="223">
        <v>0.51814300000000002</v>
      </c>
      <c r="AH4310" s="341"/>
      <c r="AI4310" s="218"/>
      <c r="AJ4310" s="218"/>
      <c r="AK4310" s="153"/>
      <c r="AL4310" s="152"/>
      <c r="AM4310" s="152"/>
      <c r="AN4310" s="152"/>
      <c r="AO4310" s="152"/>
      <c r="AP4310" s="152"/>
      <c r="AQ4310" s="152"/>
      <c r="AR4310" s="152"/>
      <c r="AS4310" s="152"/>
      <c r="AT4310" s="152"/>
      <c r="AU4310" s="153"/>
      <c r="AV4310" s="479"/>
      <c r="AW4310" s="479"/>
      <c r="AX4310" s="442"/>
      <c r="AY4310" s="153"/>
      <c r="AZ4310" s="152"/>
      <c r="BA4310" s="152"/>
      <c r="BB4310" s="152"/>
      <c r="BC4310" s="152"/>
      <c r="BD4310" s="152"/>
      <c r="BE4310" s="152"/>
      <c r="BF4310" s="152"/>
      <c r="BG4310" s="152"/>
      <c r="BH4310" s="152"/>
      <c r="BI4310" s="153"/>
      <c r="BJ4310" s="153"/>
      <c r="BK4310" s="153"/>
      <c r="BL4310" s="153"/>
      <c r="BM4310" s="153"/>
      <c r="BN4310" s="153"/>
      <c r="BO4310" s="153"/>
      <c r="BP4310" s="153"/>
      <c r="BQ4310" s="153"/>
      <c r="BR4310" s="153"/>
      <c r="BS4310" s="153"/>
      <c r="BT4310" s="153"/>
      <c r="BU4310" s="153"/>
      <c r="BV4310" s="153"/>
      <c r="BW4310" s="153"/>
      <c r="BX4310" s="153"/>
      <c r="BY4310" s="153"/>
      <c r="BZ4310" s="153"/>
      <c r="CA4310" s="152"/>
      <c r="CB4310" s="152"/>
    </row>
    <row r="4311" spans="1:80" s="87" customFormat="1" x14ac:dyDescent="0.2">
      <c r="A4311" s="152"/>
      <c r="B4311" s="683"/>
      <c r="C4311" s="683"/>
      <c r="D4311" s="698"/>
      <c r="E4311" s="215"/>
      <c r="F4311" s="215"/>
      <c r="G4311" s="153"/>
      <c r="H4311" s="153"/>
      <c r="I4311" s="163">
        <v>23</v>
      </c>
      <c r="J4311" s="163">
        <v>60</v>
      </c>
      <c r="K4311" s="150">
        <v>1</v>
      </c>
      <c r="L4311" s="656">
        <v>23</v>
      </c>
      <c r="M4311" s="663">
        <v>34818</v>
      </c>
      <c r="N4311" s="600">
        <v>0.44451000000000002</v>
      </c>
      <c r="O4311" s="604">
        <v>2.3830000000000001E-3</v>
      </c>
      <c r="P4311" s="250"/>
      <c r="Q4311" s="250"/>
      <c r="R4311" s="250"/>
      <c r="S4311" s="250"/>
      <c r="T4311" s="250">
        <v>6.4699999999999994E-2</v>
      </c>
      <c r="U4311" s="250">
        <v>0.1512</v>
      </c>
      <c r="V4311" s="250">
        <v>0.29460911080167101</v>
      </c>
      <c r="W4311" s="250">
        <v>0.30734036204495724</v>
      </c>
      <c r="X4311" s="250">
        <v>0.16769444997016117</v>
      </c>
      <c r="Y4311" s="250">
        <v>1.4521583449373385E-2</v>
      </c>
      <c r="Z4311" s="150">
        <v>7</v>
      </c>
      <c r="AA4311" s="150">
        <v>1.02</v>
      </c>
      <c r="AB4311" s="152"/>
      <c r="AC4311" s="152"/>
      <c r="AD4311" s="223">
        <v>4.8766400000000001</v>
      </c>
      <c r="AE4311" s="223">
        <v>0.1981135</v>
      </c>
      <c r="AF4311" s="223">
        <v>0.97029179700000001</v>
      </c>
      <c r="AG4311" s="223">
        <v>0.51814300000000002</v>
      </c>
      <c r="AH4311" s="341"/>
      <c r="AI4311" s="218"/>
      <c r="AJ4311" s="218"/>
      <c r="AK4311" s="153"/>
      <c r="AL4311" s="152"/>
      <c r="AM4311" s="152"/>
      <c r="AN4311" s="152"/>
      <c r="AO4311" s="152"/>
      <c r="AP4311" s="152"/>
      <c r="AQ4311" s="152"/>
      <c r="AR4311" s="152"/>
      <c r="AS4311" s="152"/>
      <c r="AT4311" s="152"/>
      <c r="AU4311" s="153"/>
      <c r="AV4311" s="479"/>
      <c r="AW4311" s="479"/>
      <c r="AX4311" s="442"/>
      <c r="AY4311" s="153"/>
      <c r="AZ4311" s="152"/>
      <c r="BA4311" s="152"/>
      <c r="BB4311" s="152"/>
      <c r="BC4311" s="152"/>
      <c r="BD4311" s="152"/>
      <c r="BE4311" s="152"/>
      <c r="BF4311" s="152"/>
      <c r="BG4311" s="152"/>
      <c r="BH4311" s="152"/>
      <c r="BI4311" s="153"/>
      <c r="BJ4311" s="153"/>
      <c r="BK4311" s="153"/>
      <c r="BL4311" s="153"/>
      <c r="BM4311" s="153"/>
      <c r="BN4311" s="153"/>
      <c r="BO4311" s="153"/>
      <c r="BP4311" s="153"/>
      <c r="BQ4311" s="153"/>
      <c r="BR4311" s="153"/>
      <c r="BS4311" s="153"/>
      <c r="BT4311" s="153"/>
      <c r="BU4311" s="153"/>
      <c r="BV4311" s="153"/>
      <c r="BW4311" s="153"/>
      <c r="BX4311" s="153"/>
      <c r="BY4311" s="153"/>
      <c r="BZ4311" s="153"/>
      <c r="CA4311" s="152"/>
      <c r="CB4311" s="152"/>
    </row>
    <row r="4312" spans="1:80" s="87" customFormat="1" x14ac:dyDescent="0.2">
      <c r="A4312" s="152"/>
      <c r="B4312" s="683"/>
      <c r="C4312" s="683"/>
      <c r="D4312" s="698"/>
      <c r="E4312" s="215"/>
      <c r="F4312" s="215"/>
      <c r="G4312" s="153"/>
      <c r="H4312" s="153"/>
      <c r="I4312" s="163">
        <v>20</v>
      </c>
      <c r="J4312" s="163">
        <v>60</v>
      </c>
      <c r="K4312" s="150">
        <v>1</v>
      </c>
      <c r="L4312" s="656">
        <v>20</v>
      </c>
      <c r="M4312" s="663">
        <v>34823</v>
      </c>
      <c r="N4312" s="600">
        <v>0.50397000000000003</v>
      </c>
      <c r="O4312" s="604">
        <v>1.01E-4</v>
      </c>
      <c r="P4312" s="250"/>
      <c r="Q4312" s="250"/>
      <c r="R4312" s="250"/>
      <c r="S4312" s="250"/>
      <c r="T4312" s="250"/>
      <c r="U4312" s="250"/>
      <c r="V4312" s="250">
        <v>0.18378378378378379</v>
      </c>
      <c r="W4312" s="250">
        <v>0.30810810810810813</v>
      </c>
      <c r="X4312" s="250">
        <v>0.40540540540540543</v>
      </c>
      <c r="Y4312" s="250">
        <v>0.10270270270270271</v>
      </c>
      <c r="Z4312" s="150">
        <v>2</v>
      </c>
      <c r="AA4312" s="150">
        <v>0.49</v>
      </c>
      <c r="AB4312" s="152"/>
      <c r="AC4312" s="152"/>
      <c r="AD4312" s="223">
        <v>5.1814299999999998</v>
      </c>
      <c r="AE4312" s="223">
        <v>0.20116139999999999</v>
      </c>
      <c r="AF4312" s="223">
        <v>1.0429232740000001</v>
      </c>
      <c r="AG4312" s="223">
        <v>0.5272867</v>
      </c>
      <c r="AH4312" s="341"/>
      <c r="AI4312" s="218"/>
      <c r="AJ4312" s="218"/>
      <c r="AK4312" s="153"/>
      <c r="AL4312" s="152"/>
      <c r="AM4312" s="152"/>
      <c r="AN4312" s="152"/>
      <c r="AO4312" s="152"/>
      <c r="AP4312" s="152"/>
      <c r="AQ4312" s="152"/>
      <c r="AR4312" s="152"/>
      <c r="AS4312" s="152"/>
      <c r="AT4312" s="152"/>
      <c r="AU4312" s="153"/>
      <c r="AV4312" s="479"/>
      <c r="AW4312" s="479"/>
      <c r="AX4312" s="442"/>
      <c r="AY4312" s="153"/>
      <c r="AZ4312" s="152"/>
      <c r="BA4312" s="152"/>
      <c r="BB4312" s="152"/>
      <c r="BC4312" s="152"/>
      <c r="BD4312" s="152"/>
      <c r="BE4312" s="152"/>
      <c r="BF4312" s="152"/>
      <c r="BG4312" s="152"/>
      <c r="BH4312" s="152"/>
      <c r="BI4312" s="153"/>
      <c r="BJ4312" s="153"/>
      <c r="BK4312" s="153"/>
      <c r="BL4312" s="153"/>
      <c r="BM4312" s="153"/>
      <c r="BN4312" s="153"/>
      <c r="BO4312" s="153"/>
      <c r="BP4312" s="153"/>
      <c r="BQ4312" s="153"/>
      <c r="BR4312" s="153"/>
      <c r="BS4312" s="153"/>
      <c r="BT4312" s="153"/>
      <c r="BU4312" s="153"/>
      <c r="BV4312" s="153"/>
      <c r="BW4312" s="153"/>
      <c r="BX4312" s="153"/>
      <c r="BY4312" s="153"/>
      <c r="BZ4312" s="153"/>
      <c r="CA4312" s="152"/>
      <c r="CB4312" s="152"/>
    </row>
    <row r="4313" spans="1:80" s="87" customFormat="1" x14ac:dyDescent="0.2">
      <c r="A4313" s="152"/>
      <c r="B4313" s="683"/>
      <c r="C4313" s="683"/>
      <c r="D4313" s="698"/>
      <c r="E4313" s="215"/>
      <c r="F4313" s="215"/>
      <c r="G4313" s="153"/>
      <c r="H4313" s="153"/>
      <c r="I4313" s="163">
        <v>20</v>
      </c>
      <c r="J4313" s="163">
        <v>60</v>
      </c>
      <c r="K4313" s="150">
        <v>1</v>
      </c>
      <c r="L4313" s="656">
        <v>20</v>
      </c>
      <c r="M4313" s="663">
        <v>34823</v>
      </c>
      <c r="N4313" s="600">
        <v>0.50397000000000003</v>
      </c>
      <c r="O4313" s="604">
        <v>1.1019999999999999E-3</v>
      </c>
      <c r="P4313" s="250"/>
      <c r="Q4313" s="250"/>
      <c r="R4313" s="250"/>
      <c r="S4313" s="250"/>
      <c r="T4313" s="250"/>
      <c r="U4313" s="250">
        <v>1.66E-2</v>
      </c>
      <c r="V4313" s="250">
        <v>0.11342964151952917</v>
      </c>
      <c r="W4313" s="250">
        <v>0.37506688068485822</v>
      </c>
      <c r="X4313" s="250">
        <v>0.44087747458533966</v>
      </c>
      <c r="Y4313" s="250">
        <v>5.403959336543606E-2</v>
      </c>
      <c r="Z4313" s="150">
        <v>3</v>
      </c>
      <c r="AA4313" s="150">
        <v>0.5</v>
      </c>
      <c r="AB4313" s="152"/>
      <c r="AC4313" s="152"/>
      <c r="AD4313" s="223">
        <v>5.1814299999999998</v>
      </c>
      <c r="AE4313" s="223">
        <v>0.20116139999999999</v>
      </c>
      <c r="AF4313" s="223">
        <v>1.0429232740000001</v>
      </c>
      <c r="AG4313" s="223">
        <v>0.5272867</v>
      </c>
      <c r="AH4313" s="341"/>
      <c r="AI4313" s="218"/>
      <c r="AJ4313" s="218"/>
      <c r="AK4313" s="153"/>
      <c r="AL4313" s="152"/>
      <c r="AM4313" s="152"/>
      <c r="AN4313" s="152"/>
      <c r="AO4313" s="152"/>
      <c r="AP4313" s="152"/>
      <c r="AQ4313" s="152"/>
      <c r="AR4313" s="152"/>
      <c r="AS4313" s="152"/>
      <c r="AT4313" s="152"/>
      <c r="AU4313" s="153"/>
      <c r="AV4313" s="479"/>
      <c r="AW4313" s="479"/>
      <c r="AX4313" s="442"/>
      <c r="AY4313" s="153"/>
      <c r="AZ4313" s="152"/>
      <c r="BA4313" s="152"/>
      <c r="BB4313" s="152"/>
      <c r="BC4313" s="152"/>
      <c r="BD4313" s="152"/>
      <c r="BE4313" s="152"/>
      <c r="BF4313" s="152"/>
      <c r="BG4313" s="152"/>
      <c r="BH4313" s="152"/>
      <c r="BI4313" s="153"/>
      <c r="BJ4313" s="153"/>
      <c r="BK4313" s="153"/>
      <c r="BL4313" s="153"/>
      <c r="BM4313" s="153"/>
      <c r="BN4313" s="153"/>
      <c r="BO4313" s="153"/>
      <c r="BP4313" s="153"/>
      <c r="BQ4313" s="153"/>
      <c r="BR4313" s="153"/>
      <c r="BS4313" s="153"/>
      <c r="BT4313" s="153"/>
      <c r="BU4313" s="153"/>
      <c r="BV4313" s="153"/>
      <c r="BW4313" s="153"/>
      <c r="BX4313" s="153"/>
      <c r="BY4313" s="153"/>
      <c r="BZ4313" s="153"/>
      <c r="CA4313" s="152"/>
      <c r="CB4313" s="152"/>
    </row>
    <row r="4314" spans="1:80" s="87" customFormat="1" x14ac:dyDescent="0.2">
      <c r="A4314" s="152"/>
      <c r="B4314" s="683"/>
      <c r="C4314" s="683"/>
      <c r="D4314" s="698"/>
      <c r="E4314" s="215"/>
      <c r="F4314" s="215"/>
      <c r="G4314" s="153"/>
      <c r="H4314" s="153"/>
      <c r="I4314" s="163">
        <v>21</v>
      </c>
      <c r="J4314" s="163">
        <v>60</v>
      </c>
      <c r="K4314" s="150">
        <v>1</v>
      </c>
      <c r="L4314" s="656">
        <v>21</v>
      </c>
      <c r="M4314" s="663">
        <v>34825</v>
      </c>
      <c r="N4314" s="600">
        <v>0.77859999999999996</v>
      </c>
      <c r="O4314" s="604">
        <v>8.1340000000000006E-3</v>
      </c>
      <c r="P4314" s="250"/>
      <c r="Q4314" s="250"/>
      <c r="R4314" s="250">
        <v>0.49570000000000003</v>
      </c>
      <c r="S4314" s="250">
        <v>0</v>
      </c>
      <c r="T4314" s="250">
        <v>3.1600000000000003E-2</v>
      </c>
      <c r="U4314" s="250">
        <v>5.4100000000000002E-2</v>
      </c>
      <c r="V4314" s="250">
        <v>8.7028140013726829E-2</v>
      </c>
      <c r="W4314" s="250">
        <v>0.16122168840082363</v>
      </c>
      <c r="X4314" s="250">
        <v>0.15271105010295127</v>
      </c>
      <c r="Y4314" s="250">
        <v>1.7638984214138641E-2</v>
      </c>
      <c r="Z4314" s="150">
        <v>37.5</v>
      </c>
      <c r="AA4314" s="150">
        <v>7.07</v>
      </c>
      <c r="AB4314" s="152"/>
      <c r="AC4314" s="152"/>
      <c r="AD4314" s="223">
        <v>5.333825</v>
      </c>
      <c r="AE4314" s="223">
        <v>0.2407841</v>
      </c>
      <c r="AF4314" s="223">
        <v>1.2807509029999999</v>
      </c>
      <c r="AG4314" s="223">
        <v>0.6156758</v>
      </c>
      <c r="AH4314" s="341"/>
      <c r="AI4314" s="218"/>
      <c r="AJ4314" s="218"/>
      <c r="AK4314" s="153"/>
      <c r="AL4314" s="152"/>
      <c r="AM4314" s="152"/>
      <c r="AN4314" s="152"/>
      <c r="AO4314" s="152"/>
      <c r="AP4314" s="152"/>
      <c r="AQ4314" s="152"/>
      <c r="AR4314" s="152"/>
      <c r="AS4314" s="152"/>
      <c r="AT4314" s="152"/>
      <c r="AU4314" s="153"/>
      <c r="AV4314" s="479"/>
      <c r="AW4314" s="479"/>
      <c r="AX4314" s="442"/>
      <c r="AY4314" s="153"/>
      <c r="AZ4314" s="152"/>
      <c r="BA4314" s="152"/>
      <c r="BB4314" s="152"/>
      <c r="BC4314" s="152"/>
      <c r="BD4314" s="152"/>
      <c r="BE4314" s="152"/>
      <c r="BF4314" s="152"/>
      <c r="BG4314" s="152"/>
      <c r="BH4314" s="152"/>
      <c r="BI4314" s="153"/>
      <c r="BJ4314" s="153"/>
      <c r="BK4314" s="153"/>
      <c r="BL4314" s="153"/>
      <c r="BM4314" s="153"/>
      <c r="BN4314" s="153"/>
      <c r="BO4314" s="153"/>
      <c r="BP4314" s="153"/>
      <c r="BQ4314" s="153"/>
      <c r="BR4314" s="153"/>
      <c r="BS4314" s="153"/>
      <c r="BT4314" s="153"/>
      <c r="BU4314" s="153"/>
      <c r="BV4314" s="153"/>
      <c r="BW4314" s="153"/>
      <c r="BX4314" s="153"/>
      <c r="BY4314" s="153"/>
      <c r="BZ4314" s="153"/>
      <c r="CA4314" s="152"/>
      <c r="CB4314" s="152"/>
    </row>
    <row r="4315" spans="1:80" s="87" customFormat="1" x14ac:dyDescent="0.2">
      <c r="A4315" s="152"/>
      <c r="B4315" s="683"/>
      <c r="C4315" s="683"/>
      <c r="D4315" s="698"/>
      <c r="E4315" s="215"/>
      <c r="F4315" s="215"/>
      <c r="G4315" s="153"/>
      <c r="H4315" s="153"/>
      <c r="I4315" s="163">
        <v>21</v>
      </c>
      <c r="J4315" s="163">
        <v>60</v>
      </c>
      <c r="K4315" s="150">
        <v>1</v>
      </c>
      <c r="L4315" s="656">
        <v>21</v>
      </c>
      <c r="M4315" s="663">
        <v>34825</v>
      </c>
      <c r="N4315" s="600">
        <v>0.77859999999999996</v>
      </c>
      <c r="O4315" s="604">
        <v>1.5740000000000001E-3</v>
      </c>
      <c r="P4315" s="250"/>
      <c r="Q4315" s="250"/>
      <c r="R4315" s="250"/>
      <c r="S4315" s="250"/>
      <c r="T4315" s="250">
        <v>0.11599999999999999</v>
      </c>
      <c r="U4315" s="250">
        <v>0.1056</v>
      </c>
      <c r="V4315" s="250">
        <v>0.18743027147638527</v>
      </c>
      <c r="W4315" s="250">
        <v>0.26626998884343622</v>
      </c>
      <c r="X4315" s="250">
        <v>0.27519523986612127</v>
      </c>
      <c r="Y4315" s="250">
        <v>4.9460766084046121E-2</v>
      </c>
      <c r="Z4315" s="150">
        <v>9.5</v>
      </c>
      <c r="AA4315" s="150">
        <v>0.74</v>
      </c>
      <c r="AB4315" s="152"/>
      <c r="AC4315" s="152"/>
      <c r="AD4315" s="223">
        <v>5.333825</v>
      </c>
      <c r="AE4315" s="223">
        <v>0.2407841</v>
      </c>
      <c r="AF4315" s="223">
        <v>1.2807509029999999</v>
      </c>
      <c r="AG4315" s="223">
        <v>0.6156758</v>
      </c>
      <c r="AH4315" s="341"/>
      <c r="AI4315" s="218"/>
      <c r="AJ4315" s="218"/>
      <c r="AK4315" s="153"/>
      <c r="AL4315" s="152"/>
      <c r="AM4315" s="152"/>
      <c r="AN4315" s="152"/>
      <c r="AO4315" s="152"/>
      <c r="AP4315" s="152"/>
      <c r="AQ4315" s="152"/>
      <c r="AR4315" s="152"/>
      <c r="AS4315" s="152"/>
      <c r="AT4315" s="152"/>
      <c r="AU4315" s="153"/>
      <c r="AV4315" s="479"/>
      <c r="AW4315" s="479"/>
      <c r="AX4315" s="442"/>
      <c r="AY4315" s="153"/>
      <c r="AZ4315" s="152"/>
      <c r="BA4315" s="152"/>
      <c r="BB4315" s="152"/>
      <c r="BC4315" s="152"/>
      <c r="BD4315" s="152"/>
      <c r="BE4315" s="152"/>
      <c r="BF4315" s="152"/>
      <c r="BG4315" s="152"/>
      <c r="BH4315" s="152"/>
      <c r="BI4315" s="153"/>
      <c r="BJ4315" s="153"/>
      <c r="BK4315" s="153"/>
      <c r="BL4315" s="153"/>
      <c r="BM4315" s="153"/>
      <c r="BN4315" s="153"/>
      <c r="BO4315" s="153"/>
      <c r="BP4315" s="153"/>
      <c r="BQ4315" s="153"/>
      <c r="BR4315" s="153"/>
      <c r="BS4315" s="153"/>
      <c r="BT4315" s="153"/>
      <c r="BU4315" s="153"/>
      <c r="BV4315" s="153"/>
      <c r="BW4315" s="153"/>
      <c r="BX4315" s="153"/>
      <c r="BY4315" s="153"/>
      <c r="BZ4315" s="153"/>
      <c r="CA4315" s="152"/>
      <c r="CB4315" s="152"/>
    </row>
    <row r="4316" spans="1:80" s="87" customFormat="1" x14ac:dyDescent="0.2">
      <c r="A4316" s="152"/>
      <c r="B4316" s="683"/>
      <c r="C4316" s="683"/>
      <c r="D4316" s="698"/>
      <c r="E4316" s="215"/>
      <c r="F4316" s="215"/>
      <c r="G4316" s="153"/>
      <c r="H4316" s="153"/>
      <c r="I4316" s="163">
        <v>21</v>
      </c>
      <c r="J4316" s="163">
        <v>60</v>
      </c>
      <c r="K4316" s="150">
        <v>1</v>
      </c>
      <c r="L4316" s="656">
        <v>21</v>
      </c>
      <c r="M4316" s="663">
        <v>34825</v>
      </c>
      <c r="N4316" s="600">
        <v>0.77859999999999996</v>
      </c>
      <c r="O4316" s="604">
        <v>1.805E-3</v>
      </c>
      <c r="P4316" s="250"/>
      <c r="Q4316" s="250"/>
      <c r="R4316" s="250"/>
      <c r="S4316" s="250"/>
      <c r="T4316" s="250"/>
      <c r="U4316" s="250">
        <v>6.0199999999999997E-2</v>
      </c>
      <c r="V4316" s="250">
        <v>0.20235371036286368</v>
      </c>
      <c r="W4316" s="250">
        <v>0.32494279176201374</v>
      </c>
      <c r="X4316" s="250">
        <v>0.35534488394900293</v>
      </c>
      <c r="Y4316" s="250">
        <v>5.7208237986270019E-2</v>
      </c>
      <c r="Z4316" s="150">
        <v>4</v>
      </c>
      <c r="AA4316" s="150">
        <v>0.57999999999999996</v>
      </c>
      <c r="AB4316" s="152"/>
      <c r="AC4316" s="152"/>
      <c r="AD4316" s="223">
        <v>5.333825</v>
      </c>
      <c r="AE4316" s="223">
        <v>0.2407841</v>
      </c>
      <c r="AF4316" s="223">
        <v>1.2807509029999999</v>
      </c>
      <c r="AG4316" s="223">
        <v>0.6156758</v>
      </c>
      <c r="AH4316" s="341"/>
      <c r="AI4316" s="218"/>
      <c r="AJ4316" s="218"/>
      <c r="AK4316" s="153"/>
      <c r="AL4316" s="152"/>
      <c r="AM4316" s="152"/>
      <c r="AN4316" s="152"/>
      <c r="AO4316" s="152"/>
      <c r="AP4316" s="152"/>
      <c r="AQ4316" s="152"/>
      <c r="AR4316" s="152"/>
      <c r="AS4316" s="152"/>
      <c r="AT4316" s="152"/>
      <c r="AU4316" s="153"/>
      <c r="AV4316" s="479"/>
      <c r="AW4316" s="479"/>
      <c r="AX4316" s="442"/>
      <c r="AY4316" s="153"/>
      <c r="AZ4316" s="152"/>
      <c r="BA4316" s="152"/>
      <c r="BB4316" s="152"/>
      <c r="BC4316" s="152"/>
      <c r="BD4316" s="152"/>
      <c r="BE4316" s="152"/>
      <c r="BF4316" s="152"/>
      <c r="BG4316" s="152"/>
      <c r="BH4316" s="152"/>
      <c r="BI4316" s="153"/>
      <c r="BJ4316" s="153"/>
      <c r="BK4316" s="153"/>
      <c r="BL4316" s="153"/>
      <c r="BM4316" s="153"/>
      <c r="BN4316" s="153"/>
      <c r="BO4316" s="153"/>
      <c r="BP4316" s="153"/>
      <c r="BQ4316" s="153"/>
      <c r="BR4316" s="153"/>
      <c r="BS4316" s="153"/>
      <c r="BT4316" s="153"/>
      <c r="BU4316" s="153"/>
      <c r="BV4316" s="153"/>
      <c r="BW4316" s="153"/>
      <c r="BX4316" s="153"/>
      <c r="BY4316" s="153"/>
      <c r="BZ4316" s="153"/>
      <c r="CA4316" s="152"/>
      <c r="CB4316" s="152"/>
    </row>
    <row r="4317" spans="1:80" s="87" customFormat="1" x14ac:dyDescent="0.2">
      <c r="A4317" s="152"/>
      <c r="B4317" s="683"/>
      <c r="C4317" s="683"/>
      <c r="D4317" s="698"/>
      <c r="E4317" s="215"/>
      <c r="F4317" s="215"/>
      <c r="G4317" s="153"/>
      <c r="H4317" s="153"/>
      <c r="I4317" s="163">
        <v>20</v>
      </c>
      <c r="J4317" s="163">
        <v>60</v>
      </c>
      <c r="K4317" s="150">
        <v>1</v>
      </c>
      <c r="L4317" s="656">
        <v>20</v>
      </c>
      <c r="M4317" s="663">
        <v>34828</v>
      </c>
      <c r="N4317" s="600">
        <v>0.86919999999999997</v>
      </c>
      <c r="O4317" s="604">
        <v>1.1019999999999999E-3</v>
      </c>
      <c r="P4317" s="250"/>
      <c r="Q4317" s="250"/>
      <c r="R4317" s="250"/>
      <c r="S4317" s="250"/>
      <c r="T4317" s="250"/>
      <c r="U4317" s="250">
        <v>3.27E-2</v>
      </c>
      <c r="V4317" s="250">
        <v>0.13810316139767054</v>
      </c>
      <c r="W4317" s="250">
        <v>0.31558513588463666</v>
      </c>
      <c r="X4317" s="250">
        <v>0.45146977260122012</v>
      </c>
      <c r="Y4317" s="250">
        <v>6.2118691070438166E-2</v>
      </c>
      <c r="Z4317" s="150">
        <v>3</v>
      </c>
      <c r="AA4317" s="150">
        <v>0.49</v>
      </c>
      <c r="AB4317" s="152"/>
      <c r="AC4317" s="152"/>
      <c r="AD4317" s="223">
        <v>5.3033460000000003</v>
      </c>
      <c r="AE4317" s="223">
        <v>0.2316404</v>
      </c>
      <c r="AF4317" s="223">
        <v>1.235096832</v>
      </c>
      <c r="AG4317" s="223">
        <v>0.67358589999999996</v>
      </c>
      <c r="AH4317" s="341"/>
      <c r="AI4317" s="218"/>
      <c r="AJ4317" s="218"/>
      <c r="AK4317" s="153"/>
      <c r="AL4317" s="152"/>
      <c r="AM4317" s="152"/>
      <c r="AN4317" s="152"/>
      <c r="AO4317" s="152"/>
      <c r="AP4317" s="152"/>
      <c r="AQ4317" s="152"/>
      <c r="AR4317" s="152"/>
      <c r="AS4317" s="152"/>
      <c r="AT4317" s="152"/>
      <c r="AU4317" s="153"/>
      <c r="AV4317" s="479"/>
      <c r="AW4317" s="479"/>
      <c r="AX4317" s="442"/>
      <c r="AY4317" s="153"/>
      <c r="AZ4317" s="152"/>
      <c r="BA4317" s="152"/>
      <c r="BB4317" s="152"/>
      <c r="BC4317" s="152"/>
      <c r="BD4317" s="152"/>
      <c r="BE4317" s="152"/>
      <c r="BF4317" s="152"/>
      <c r="BG4317" s="152"/>
      <c r="BH4317" s="152"/>
      <c r="BI4317" s="153"/>
      <c r="BJ4317" s="153"/>
      <c r="BK4317" s="153"/>
      <c r="BL4317" s="153"/>
      <c r="BM4317" s="153"/>
      <c r="BN4317" s="153"/>
      <c r="BO4317" s="153"/>
      <c r="BP4317" s="153"/>
      <c r="BQ4317" s="153"/>
      <c r="BR4317" s="153"/>
      <c r="BS4317" s="153"/>
      <c r="BT4317" s="153"/>
      <c r="BU4317" s="153"/>
      <c r="BV4317" s="153"/>
      <c r="BW4317" s="153"/>
      <c r="BX4317" s="153"/>
      <c r="BY4317" s="153"/>
      <c r="BZ4317" s="153"/>
      <c r="CA4317" s="152"/>
      <c r="CB4317" s="152"/>
    </row>
    <row r="4318" spans="1:80" s="87" customFormat="1" x14ac:dyDescent="0.2">
      <c r="A4318" s="152"/>
      <c r="B4318" s="683"/>
      <c r="C4318" s="683"/>
      <c r="D4318" s="698"/>
      <c r="E4318" s="215"/>
      <c r="F4318" s="215"/>
      <c r="G4318" s="153"/>
      <c r="H4318" s="153"/>
      <c r="I4318" s="163">
        <v>20</v>
      </c>
      <c r="J4318" s="163">
        <v>60</v>
      </c>
      <c r="K4318" s="150">
        <v>1</v>
      </c>
      <c r="L4318" s="656">
        <v>20</v>
      </c>
      <c r="M4318" s="663">
        <v>34828</v>
      </c>
      <c r="N4318" s="600">
        <v>0.86919999999999997</v>
      </c>
      <c r="O4318" s="604">
        <v>1.047E-3</v>
      </c>
      <c r="P4318" s="250"/>
      <c r="Q4318" s="250"/>
      <c r="R4318" s="250"/>
      <c r="S4318" s="250"/>
      <c r="T4318" s="250"/>
      <c r="U4318" s="250">
        <v>2.64E-2</v>
      </c>
      <c r="V4318" s="250">
        <v>0.14355828220858896</v>
      </c>
      <c r="W4318" s="250">
        <v>0.33190184049079752</v>
      </c>
      <c r="X4318" s="250">
        <v>0.43619631901840494</v>
      </c>
      <c r="Y4318" s="250">
        <v>6.1963190184049076E-2</v>
      </c>
      <c r="Z4318" s="150">
        <v>5.5</v>
      </c>
      <c r="AA4318" s="150">
        <v>0.5</v>
      </c>
      <c r="AB4318" s="152"/>
      <c r="AC4318" s="152"/>
      <c r="AD4318" s="223">
        <v>5.3033460000000003</v>
      </c>
      <c r="AE4318" s="223">
        <v>0.2316404</v>
      </c>
      <c r="AF4318" s="223">
        <v>1.235096832</v>
      </c>
      <c r="AG4318" s="223">
        <v>0.67358589999999996</v>
      </c>
      <c r="AH4318" s="341"/>
      <c r="AI4318" s="218"/>
      <c r="AJ4318" s="218"/>
      <c r="AK4318" s="153"/>
      <c r="AL4318" s="152"/>
      <c r="AM4318" s="152"/>
      <c r="AN4318" s="152"/>
      <c r="AO4318" s="152"/>
      <c r="AP4318" s="152"/>
      <c r="AQ4318" s="152"/>
      <c r="AR4318" s="152"/>
      <c r="AS4318" s="152"/>
      <c r="AT4318" s="152"/>
      <c r="AU4318" s="153"/>
      <c r="AV4318" s="479"/>
      <c r="AW4318" s="479"/>
      <c r="AX4318" s="442"/>
      <c r="AY4318" s="153"/>
      <c r="AZ4318" s="152"/>
      <c r="BA4318" s="152"/>
      <c r="BB4318" s="152"/>
      <c r="BC4318" s="152"/>
      <c r="BD4318" s="152"/>
      <c r="BE4318" s="152"/>
      <c r="BF4318" s="152"/>
      <c r="BG4318" s="152"/>
      <c r="BH4318" s="152"/>
      <c r="BI4318" s="153"/>
      <c r="BJ4318" s="153"/>
      <c r="BK4318" s="153"/>
      <c r="BL4318" s="153"/>
      <c r="BM4318" s="153"/>
      <c r="BN4318" s="153"/>
      <c r="BO4318" s="153"/>
      <c r="BP4318" s="153"/>
      <c r="BQ4318" s="153"/>
      <c r="BR4318" s="153"/>
      <c r="BS4318" s="153"/>
      <c r="BT4318" s="153"/>
      <c r="BU4318" s="153"/>
      <c r="BV4318" s="153"/>
      <c r="BW4318" s="153"/>
      <c r="BX4318" s="153"/>
      <c r="BY4318" s="153"/>
      <c r="BZ4318" s="153"/>
      <c r="CA4318" s="152"/>
      <c r="CB4318" s="152"/>
    </row>
    <row r="4319" spans="1:80" s="87" customFormat="1" x14ac:dyDescent="0.2">
      <c r="A4319" s="152"/>
      <c r="B4319" s="683"/>
      <c r="C4319" s="683"/>
      <c r="D4319" s="698"/>
      <c r="E4319" s="215"/>
      <c r="F4319" s="215"/>
      <c r="G4319" s="153"/>
      <c r="H4319" s="153"/>
      <c r="I4319" s="163">
        <v>22</v>
      </c>
      <c r="J4319" s="163">
        <v>60</v>
      </c>
      <c r="K4319" s="150">
        <v>1</v>
      </c>
      <c r="L4319" s="656">
        <v>22</v>
      </c>
      <c r="M4319" s="663">
        <v>34830</v>
      </c>
      <c r="N4319" s="600">
        <v>1.18347</v>
      </c>
      <c r="O4319" s="604">
        <v>2.8969999999999998E-3</v>
      </c>
      <c r="P4319" s="250"/>
      <c r="Q4319" s="250"/>
      <c r="R4319" s="250"/>
      <c r="S4319" s="250"/>
      <c r="T4319" s="250"/>
      <c r="U4319" s="250">
        <v>1.9099999999999999E-2</v>
      </c>
      <c r="V4319" s="250">
        <v>8.5301302931596101E-2</v>
      </c>
      <c r="W4319" s="250">
        <v>0.31901465798045597</v>
      </c>
      <c r="X4319" s="250">
        <v>0.51974755700325725</v>
      </c>
      <c r="Y4319" s="250">
        <v>5.6799674267100982E-2</v>
      </c>
      <c r="Z4319" s="150">
        <v>5</v>
      </c>
      <c r="AA4319" s="150">
        <v>0.47</v>
      </c>
      <c r="AB4319" s="152"/>
      <c r="AC4319" s="152"/>
      <c r="AD4319" s="223">
        <v>5.4862200000000003</v>
      </c>
      <c r="AE4319" s="223">
        <v>0.25907150000000001</v>
      </c>
      <c r="AF4319" s="223">
        <v>1.4225488690000001</v>
      </c>
      <c r="AG4319" s="223">
        <v>0.81683720000000004</v>
      </c>
      <c r="AH4319" s="341"/>
      <c r="AI4319" s="218"/>
      <c r="AJ4319" s="218"/>
      <c r="AK4319" s="153"/>
      <c r="AL4319" s="152"/>
      <c r="AM4319" s="152"/>
      <c r="AN4319" s="152"/>
      <c r="AO4319" s="152"/>
      <c r="AP4319" s="152"/>
      <c r="AQ4319" s="152"/>
      <c r="AR4319" s="152"/>
      <c r="AS4319" s="152"/>
      <c r="AT4319" s="152"/>
      <c r="AU4319" s="153"/>
      <c r="AV4319" s="479"/>
      <c r="AW4319" s="479"/>
      <c r="AX4319" s="442"/>
      <c r="AY4319" s="153"/>
      <c r="AZ4319" s="152"/>
      <c r="BA4319" s="152"/>
      <c r="BB4319" s="152"/>
      <c r="BC4319" s="152"/>
      <c r="BD4319" s="152"/>
      <c r="BE4319" s="152"/>
      <c r="BF4319" s="152"/>
      <c r="BG4319" s="152"/>
      <c r="BH4319" s="152"/>
      <c r="BI4319" s="153"/>
      <c r="BJ4319" s="153"/>
      <c r="BK4319" s="153"/>
      <c r="BL4319" s="153"/>
      <c r="BM4319" s="153"/>
      <c r="BN4319" s="153"/>
      <c r="BO4319" s="153"/>
      <c r="BP4319" s="153"/>
      <c r="BQ4319" s="153"/>
      <c r="BR4319" s="153"/>
      <c r="BS4319" s="153"/>
      <c r="BT4319" s="153"/>
      <c r="BU4319" s="153"/>
      <c r="BV4319" s="153"/>
      <c r="BW4319" s="153"/>
      <c r="BX4319" s="153"/>
      <c r="BY4319" s="153"/>
      <c r="BZ4319" s="153"/>
      <c r="CA4319" s="152"/>
      <c r="CB4319" s="152"/>
    </row>
    <row r="4320" spans="1:80" s="87" customFormat="1" x14ac:dyDescent="0.2">
      <c r="A4320" s="152"/>
      <c r="B4320" s="683"/>
      <c r="C4320" s="683"/>
      <c r="D4320" s="698"/>
      <c r="E4320" s="215"/>
      <c r="F4320" s="215"/>
      <c r="G4320" s="153"/>
      <c r="H4320" s="153"/>
      <c r="I4320" s="163">
        <v>22</v>
      </c>
      <c r="J4320" s="163">
        <v>60</v>
      </c>
      <c r="K4320" s="150">
        <v>1</v>
      </c>
      <c r="L4320" s="656">
        <v>22</v>
      </c>
      <c r="M4320" s="663">
        <v>34830</v>
      </c>
      <c r="N4320" s="600">
        <v>1.18347</v>
      </c>
      <c r="O4320" s="604">
        <v>0</v>
      </c>
      <c r="P4320" s="250"/>
      <c r="Q4320" s="250"/>
      <c r="R4320" s="250"/>
      <c r="S4320" s="250"/>
      <c r="T4320" s="250">
        <v>2.4700000000000003E-2</v>
      </c>
      <c r="U4320" s="250">
        <v>1.7600000000000001E-2</v>
      </c>
      <c r="V4320" s="250">
        <v>0.13681722689075632</v>
      </c>
      <c r="W4320" s="250">
        <v>0.38918067226890757</v>
      </c>
      <c r="X4320" s="250">
        <v>0.40191701680672265</v>
      </c>
      <c r="Y4320" s="250">
        <v>2.9805672268907565E-2</v>
      </c>
      <c r="Z4320" s="150">
        <v>8</v>
      </c>
      <c r="AA4320" s="150">
        <v>0.55000000000000004</v>
      </c>
      <c r="AB4320" s="152"/>
      <c r="AC4320" s="152"/>
      <c r="AD4320" s="223">
        <v>5.4862200000000003</v>
      </c>
      <c r="AE4320" s="223">
        <v>0.25907150000000001</v>
      </c>
      <c r="AF4320" s="223">
        <v>1.4225488690000001</v>
      </c>
      <c r="AG4320" s="223">
        <v>0.81683720000000004</v>
      </c>
      <c r="AH4320" s="341"/>
      <c r="AI4320" s="218"/>
      <c r="AJ4320" s="218"/>
      <c r="AK4320" s="153"/>
      <c r="AL4320" s="152"/>
      <c r="AM4320" s="152"/>
      <c r="AN4320" s="152"/>
      <c r="AO4320" s="152"/>
      <c r="AP4320" s="152"/>
      <c r="AQ4320" s="152"/>
      <c r="AR4320" s="152"/>
      <c r="AS4320" s="152"/>
      <c r="AT4320" s="152"/>
      <c r="AU4320" s="153"/>
      <c r="AV4320" s="479"/>
      <c r="AW4320" s="479"/>
      <c r="AX4320" s="442"/>
      <c r="AY4320" s="153"/>
      <c r="AZ4320" s="152"/>
      <c r="BA4320" s="152"/>
      <c r="BB4320" s="152"/>
      <c r="BC4320" s="152"/>
      <c r="BD4320" s="152"/>
      <c r="BE4320" s="152"/>
      <c r="BF4320" s="152"/>
      <c r="BG4320" s="152"/>
      <c r="BH4320" s="152"/>
      <c r="BI4320" s="153"/>
      <c r="BJ4320" s="153"/>
      <c r="BK4320" s="153"/>
      <c r="BL4320" s="153"/>
      <c r="BM4320" s="153"/>
      <c r="BN4320" s="153"/>
      <c r="BO4320" s="153"/>
      <c r="BP4320" s="153"/>
      <c r="BQ4320" s="153"/>
      <c r="BR4320" s="153"/>
      <c r="BS4320" s="153"/>
      <c r="BT4320" s="153"/>
      <c r="BU4320" s="153"/>
      <c r="BV4320" s="153"/>
      <c r="BW4320" s="153"/>
      <c r="BX4320" s="153"/>
      <c r="BY4320" s="153"/>
      <c r="BZ4320" s="153"/>
      <c r="CA4320" s="152"/>
      <c r="CB4320" s="152"/>
    </row>
    <row r="4321" spans="1:80" s="87" customFormat="1" x14ac:dyDescent="0.2">
      <c r="A4321" s="152"/>
      <c r="B4321" s="683"/>
      <c r="C4321" s="683"/>
      <c r="D4321" s="698"/>
      <c r="E4321" s="215"/>
      <c r="F4321" s="215"/>
      <c r="G4321" s="153"/>
      <c r="H4321" s="153"/>
      <c r="I4321" s="163">
        <v>21</v>
      </c>
      <c r="J4321" s="163">
        <v>60</v>
      </c>
      <c r="K4321" s="150">
        <v>1</v>
      </c>
      <c r="L4321" s="656">
        <v>21</v>
      </c>
      <c r="M4321" s="663">
        <v>34831</v>
      </c>
      <c r="N4321" s="600">
        <v>1.2429300000000001</v>
      </c>
      <c r="O4321" s="604">
        <v>1.3015000000000001E-2</v>
      </c>
      <c r="P4321" s="250"/>
      <c r="Q4321" s="250"/>
      <c r="R4321" s="250"/>
      <c r="S4321" s="250">
        <v>8.5099999999999995E-2</v>
      </c>
      <c r="T4321" s="250">
        <v>6.2899999999999998E-2</v>
      </c>
      <c r="U4321" s="250">
        <v>8.6400000000000005E-2</v>
      </c>
      <c r="V4321" s="250">
        <v>0.1839718424258833</v>
      </c>
      <c r="W4321" s="250">
        <v>0.33049050133116736</v>
      </c>
      <c r="X4321" s="250">
        <v>0.23735391002211087</v>
      </c>
      <c r="Y4321" s="250">
        <v>1.3762916835882856E-2</v>
      </c>
      <c r="Z4321" s="150">
        <v>19</v>
      </c>
      <c r="AA4321" s="150">
        <v>0.83</v>
      </c>
      <c r="AB4321" s="152"/>
      <c r="AC4321" s="152"/>
      <c r="AD4321" s="223">
        <v>5.516699</v>
      </c>
      <c r="AE4321" s="223">
        <v>0.25907150000000001</v>
      </c>
      <c r="AF4321" s="223">
        <v>1.4288696160000001</v>
      </c>
      <c r="AG4321" s="223">
        <v>0.82902880000000001</v>
      </c>
      <c r="AH4321" s="341"/>
      <c r="AI4321" s="218"/>
      <c r="AJ4321" s="218"/>
      <c r="AK4321" s="153"/>
      <c r="AL4321" s="152"/>
      <c r="AM4321" s="152"/>
      <c r="AN4321" s="152"/>
      <c r="AO4321" s="152"/>
      <c r="AP4321" s="152"/>
      <c r="AQ4321" s="152"/>
      <c r="AR4321" s="152"/>
      <c r="AS4321" s="152"/>
      <c r="AT4321" s="152"/>
      <c r="AU4321" s="153"/>
      <c r="AV4321" s="479"/>
      <c r="AW4321" s="479"/>
      <c r="AX4321" s="442"/>
      <c r="AY4321" s="153"/>
      <c r="AZ4321" s="152"/>
      <c r="BA4321" s="152"/>
      <c r="BB4321" s="152"/>
      <c r="BC4321" s="152"/>
      <c r="BD4321" s="152"/>
      <c r="BE4321" s="152"/>
      <c r="BF4321" s="152"/>
      <c r="BG4321" s="152"/>
      <c r="BH4321" s="152"/>
      <c r="BI4321" s="153"/>
      <c r="BJ4321" s="153"/>
      <c r="BK4321" s="153"/>
      <c r="BL4321" s="153"/>
      <c r="BM4321" s="153"/>
      <c r="BN4321" s="153"/>
      <c r="BO4321" s="153"/>
      <c r="BP4321" s="153"/>
      <c r="BQ4321" s="153"/>
      <c r="BR4321" s="153"/>
      <c r="BS4321" s="153"/>
      <c r="BT4321" s="153"/>
      <c r="BU4321" s="153"/>
      <c r="BV4321" s="153"/>
      <c r="BW4321" s="153"/>
      <c r="BX4321" s="153"/>
      <c r="BY4321" s="153"/>
      <c r="BZ4321" s="153"/>
      <c r="CA4321" s="152"/>
      <c r="CB4321" s="152"/>
    </row>
    <row r="4322" spans="1:80" s="87" customFormat="1" x14ac:dyDescent="0.2">
      <c r="A4322" s="152"/>
      <c r="B4322" s="683"/>
      <c r="C4322" s="683"/>
      <c r="D4322" s="698"/>
      <c r="E4322" s="215"/>
      <c r="F4322" s="215"/>
      <c r="G4322" s="153"/>
      <c r="H4322" s="153"/>
      <c r="I4322" s="163">
        <v>21</v>
      </c>
      <c r="J4322" s="163">
        <v>60</v>
      </c>
      <c r="K4322" s="150">
        <v>1</v>
      </c>
      <c r="L4322" s="656">
        <v>21</v>
      </c>
      <c r="M4322" s="663">
        <v>34831</v>
      </c>
      <c r="N4322" s="600">
        <v>1.2429300000000001</v>
      </c>
      <c r="O4322" s="604">
        <v>7.9030000000000003E-3</v>
      </c>
      <c r="P4322" s="250"/>
      <c r="Q4322" s="250"/>
      <c r="R4322" s="250"/>
      <c r="S4322" s="250">
        <v>1.52E-2</v>
      </c>
      <c r="T4322" s="250">
        <v>3.7100000000000001E-2</v>
      </c>
      <c r="U4322" s="250">
        <v>6.3299999999999995E-2</v>
      </c>
      <c r="V4322" s="250">
        <v>0.1779227518718956</v>
      </c>
      <c r="W4322" s="250">
        <v>0.36652086885610496</v>
      </c>
      <c r="X4322" s="250">
        <v>0.31714730521165391</v>
      </c>
      <c r="Y4322" s="250">
        <v>2.2759285343613312E-2</v>
      </c>
      <c r="Z4322" s="150">
        <v>12</v>
      </c>
      <c r="AA4322" s="150">
        <v>0.65</v>
      </c>
      <c r="AB4322" s="152"/>
      <c r="AC4322" s="152"/>
      <c r="AD4322" s="223">
        <v>5.516699</v>
      </c>
      <c r="AE4322" s="223">
        <v>0.25907150000000001</v>
      </c>
      <c r="AF4322" s="223">
        <v>1.4288696160000001</v>
      </c>
      <c r="AG4322" s="223">
        <v>0.82902880000000001</v>
      </c>
      <c r="AH4322" s="341"/>
      <c r="AI4322" s="218"/>
      <c r="AJ4322" s="218"/>
      <c r="AK4322" s="153"/>
      <c r="AL4322" s="152"/>
      <c r="AM4322" s="152"/>
      <c r="AN4322" s="152"/>
      <c r="AO4322" s="152"/>
      <c r="AP4322" s="152"/>
      <c r="AQ4322" s="152"/>
      <c r="AR4322" s="152"/>
      <c r="AS4322" s="152"/>
      <c r="AT4322" s="152"/>
      <c r="AU4322" s="153"/>
      <c r="AV4322" s="479"/>
      <c r="AW4322" s="479"/>
      <c r="AX4322" s="442"/>
      <c r="AY4322" s="153"/>
      <c r="AZ4322" s="152"/>
      <c r="BA4322" s="152"/>
      <c r="BB4322" s="152"/>
      <c r="BC4322" s="152"/>
      <c r="BD4322" s="152"/>
      <c r="BE4322" s="152"/>
      <c r="BF4322" s="152"/>
      <c r="BG4322" s="152"/>
      <c r="BH4322" s="152"/>
      <c r="BI4322" s="153"/>
      <c r="BJ4322" s="153"/>
      <c r="BK4322" s="153"/>
      <c r="BL4322" s="153"/>
      <c r="BM4322" s="153"/>
      <c r="BN4322" s="153"/>
      <c r="BO4322" s="153"/>
      <c r="BP4322" s="153"/>
      <c r="BQ4322" s="153"/>
      <c r="BR4322" s="153"/>
      <c r="BS4322" s="153"/>
      <c r="BT4322" s="153"/>
      <c r="BU4322" s="153"/>
      <c r="BV4322" s="153"/>
      <c r="BW4322" s="153"/>
      <c r="BX4322" s="153"/>
      <c r="BY4322" s="153"/>
      <c r="BZ4322" s="153"/>
      <c r="CA4322" s="152"/>
      <c r="CB4322" s="152"/>
    </row>
    <row r="4323" spans="1:80" s="87" customFormat="1" x14ac:dyDescent="0.2">
      <c r="A4323" s="152"/>
      <c r="B4323" s="683"/>
      <c r="C4323" s="683"/>
      <c r="D4323" s="698"/>
      <c r="E4323" s="215"/>
      <c r="F4323" s="215"/>
      <c r="G4323" s="153"/>
      <c r="H4323" s="153"/>
      <c r="I4323" s="163">
        <v>21</v>
      </c>
      <c r="J4323" s="163">
        <v>60</v>
      </c>
      <c r="K4323" s="150">
        <v>1</v>
      </c>
      <c r="L4323" s="656">
        <v>21</v>
      </c>
      <c r="M4323" s="663">
        <v>34833</v>
      </c>
      <c r="N4323" s="600">
        <v>0.90317999999999998</v>
      </c>
      <c r="O4323" s="604">
        <v>1.658E-3</v>
      </c>
      <c r="P4323" s="250"/>
      <c r="Q4323" s="250"/>
      <c r="R4323" s="250"/>
      <c r="S4323" s="250"/>
      <c r="T4323" s="250">
        <v>3.27E-2</v>
      </c>
      <c r="U4323" s="250">
        <v>7.7699999999999991E-2</v>
      </c>
      <c r="V4323" s="250">
        <v>0.26664267722202234</v>
      </c>
      <c r="W4323" s="250">
        <v>0.20331054336092119</v>
      </c>
      <c r="X4323" s="250">
        <v>0.37279596977329982</v>
      </c>
      <c r="Y4323" s="250">
        <v>4.6779417056495146E-2</v>
      </c>
      <c r="Z4323" s="150">
        <v>10</v>
      </c>
      <c r="AA4323" s="150">
        <v>0.67</v>
      </c>
      <c r="AB4323" s="152"/>
      <c r="AC4323" s="152"/>
      <c r="AD4323" s="223">
        <v>5.425262</v>
      </c>
      <c r="AE4323" s="223">
        <v>0.23468829999999999</v>
      </c>
      <c r="AF4323" s="223">
        <v>1.27526023</v>
      </c>
      <c r="AG4323" s="223">
        <v>0.7436876</v>
      </c>
      <c r="AH4323" s="341"/>
      <c r="AI4323" s="218"/>
      <c r="AJ4323" s="218"/>
      <c r="AK4323" s="153"/>
      <c r="AL4323" s="152"/>
      <c r="AM4323" s="152"/>
      <c r="AN4323" s="152"/>
      <c r="AO4323" s="152"/>
      <c r="AP4323" s="152"/>
      <c r="AQ4323" s="152"/>
      <c r="AR4323" s="152"/>
      <c r="AS4323" s="152"/>
      <c r="AT4323" s="152"/>
      <c r="AU4323" s="153"/>
      <c r="AV4323" s="479"/>
      <c r="AW4323" s="479"/>
      <c r="AX4323" s="442"/>
      <c r="AY4323" s="153"/>
      <c r="AZ4323" s="152"/>
      <c r="BA4323" s="152"/>
      <c r="BB4323" s="152"/>
      <c r="BC4323" s="152"/>
      <c r="BD4323" s="152"/>
      <c r="BE4323" s="152"/>
      <c r="BF4323" s="152"/>
      <c r="BG4323" s="152"/>
      <c r="BH4323" s="152"/>
      <c r="BI4323" s="153"/>
      <c r="BJ4323" s="153"/>
      <c r="BK4323" s="153"/>
      <c r="BL4323" s="153"/>
      <c r="BM4323" s="153"/>
      <c r="BN4323" s="153"/>
      <c r="BO4323" s="153"/>
      <c r="BP4323" s="153"/>
      <c r="BQ4323" s="153"/>
      <c r="BR4323" s="153"/>
      <c r="BS4323" s="153"/>
      <c r="BT4323" s="153"/>
      <c r="BU4323" s="153"/>
      <c r="BV4323" s="153"/>
      <c r="BW4323" s="153"/>
      <c r="BX4323" s="153"/>
      <c r="BY4323" s="153"/>
      <c r="BZ4323" s="153"/>
      <c r="CA4323" s="152"/>
      <c r="CB4323" s="152"/>
    </row>
    <row r="4324" spans="1:80" s="87" customFormat="1" x14ac:dyDescent="0.2">
      <c r="A4324" s="152"/>
      <c r="B4324" s="683"/>
      <c r="C4324" s="683"/>
      <c r="D4324" s="698"/>
      <c r="E4324" s="215"/>
      <c r="F4324" s="215"/>
      <c r="G4324" s="153"/>
      <c r="H4324" s="153"/>
      <c r="I4324" s="163">
        <v>21</v>
      </c>
      <c r="J4324" s="163">
        <v>60</v>
      </c>
      <c r="K4324" s="150">
        <v>1</v>
      </c>
      <c r="L4324" s="656">
        <v>21</v>
      </c>
      <c r="M4324" s="663">
        <v>34833</v>
      </c>
      <c r="N4324" s="600">
        <v>0.90317999999999998</v>
      </c>
      <c r="O4324" s="604">
        <v>5.5729999999999998E-3</v>
      </c>
      <c r="P4324" s="250"/>
      <c r="Q4324" s="250"/>
      <c r="R4324" s="250"/>
      <c r="S4324" s="250"/>
      <c r="T4324" s="250">
        <v>6.3200000000000006E-2</v>
      </c>
      <c r="U4324" s="250">
        <v>8.8000000000000009E-2</v>
      </c>
      <c r="V4324" s="250">
        <v>0.23688802216976293</v>
      </c>
      <c r="W4324" s="250">
        <v>0.36272195422354514</v>
      </c>
      <c r="X4324" s="250">
        <v>0.22600841629888119</v>
      </c>
      <c r="Y4324" s="250">
        <v>2.3196140819049572E-2</v>
      </c>
      <c r="Z4324" s="150">
        <v>10</v>
      </c>
      <c r="AA4324" s="150">
        <v>0.8</v>
      </c>
      <c r="AB4324" s="152"/>
      <c r="AC4324" s="152"/>
      <c r="AD4324" s="223">
        <v>5.425262</v>
      </c>
      <c r="AE4324" s="223">
        <v>0.23468829999999999</v>
      </c>
      <c r="AF4324" s="223">
        <v>1.27526023</v>
      </c>
      <c r="AG4324" s="223">
        <v>0.7436876</v>
      </c>
      <c r="AH4324" s="341"/>
      <c r="AI4324" s="218"/>
      <c r="AJ4324" s="218"/>
      <c r="AK4324" s="153"/>
      <c r="AL4324" s="152"/>
      <c r="AM4324" s="152"/>
      <c r="AN4324" s="152"/>
      <c r="AO4324" s="152"/>
      <c r="AP4324" s="152"/>
      <c r="AQ4324" s="152"/>
      <c r="AR4324" s="152"/>
      <c r="AS4324" s="152"/>
      <c r="AT4324" s="152"/>
      <c r="AU4324" s="153"/>
      <c r="AV4324" s="479"/>
      <c r="AW4324" s="479"/>
      <c r="AX4324" s="442"/>
      <c r="AY4324" s="153"/>
      <c r="AZ4324" s="152"/>
      <c r="BA4324" s="152"/>
      <c r="BB4324" s="152"/>
      <c r="BC4324" s="152"/>
      <c r="BD4324" s="152"/>
      <c r="BE4324" s="152"/>
      <c r="BF4324" s="152"/>
      <c r="BG4324" s="152"/>
      <c r="BH4324" s="152"/>
      <c r="BI4324" s="153"/>
      <c r="BJ4324" s="153"/>
      <c r="BK4324" s="153"/>
      <c r="BL4324" s="153"/>
      <c r="BM4324" s="153"/>
      <c r="BN4324" s="153"/>
      <c r="BO4324" s="153"/>
      <c r="BP4324" s="153"/>
      <c r="BQ4324" s="153"/>
      <c r="BR4324" s="153"/>
      <c r="BS4324" s="153"/>
      <c r="BT4324" s="153"/>
      <c r="BU4324" s="153"/>
      <c r="BV4324" s="153"/>
      <c r="BW4324" s="153"/>
      <c r="BX4324" s="153"/>
      <c r="BY4324" s="153"/>
      <c r="BZ4324" s="153"/>
      <c r="CA4324" s="152"/>
      <c r="CB4324" s="152"/>
    </row>
    <row r="4325" spans="1:80" s="87" customFormat="1" x14ac:dyDescent="0.2">
      <c r="A4325" s="152"/>
      <c r="B4325" s="683"/>
      <c r="C4325" s="683"/>
      <c r="D4325" s="698"/>
      <c r="E4325" s="215"/>
      <c r="F4325" s="215"/>
      <c r="G4325" s="153"/>
      <c r="H4325" s="153"/>
      <c r="I4325" s="163">
        <v>21</v>
      </c>
      <c r="J4325" s="163">
        <v>60</v>
      </c>
      <c r="K4325" s="150">
        <v>1</v>
      </c>
      <c r="L4325" s="656">
        <v>21</v>
      </c>
      <c r="M4325" s="663">
        <v>34833</v>
      </c>
      <c r="N4325" s="600">
        <v>0.90317999999999998</v>
      </c>
      <c r="O4325" s="604">
        <v>2.3830000000000001E-3</v>
      </c>
      <c r="P4325" s="250"/>
      <c r="Q4325" s="250"/>
      <c r="R4325" s="250"/>
      <c r="S4325" s="250"/>
      <c r="T4325" s="250"/>
      <c r="U4325" s="250">
        <v>4.2699999999999995E-2</v>
      </c>
      <c r="V4325" s="250">
        <v>0.21745454545454546</v>
      </c>
      <c r="W4325" s="250">
        <v>0.43612121212121208</v>
      </c>
      <c r="X4325" s="250">
        <v>0.27127272727272728</v>
      </c>
      <c r="Y4325" s="250">
        <v>3.2484848484848484E-2</v>
      </c>
      <c r="Z4325" s="150">
        <v>3.5</v>
      </c>
      <c r="AA4325" s="150">
        <v>0.67</v>
      </c>
      <c r="AB4325" s="152"/>
      <c r="AC4325" s="152"/>
      <c r="AD4325" s="223">
        <v>5.425262</v>
      </c>
      <c r="AE4325" s="223">
        <v>0.23468829999999999</v>
      </c>
      <c r="AF4325" s="223">
        <v>1.27526023</v>
      </c>
      <c r="AG4325" s="223">
        <v>0.7436876</v>
      </c>
      <c r="AH4325" s="341"/>
      <c r="AI4325" s="218"/>
      <c r="AJ4325" s="218"/>
      <c r="AK4325" s="153"/>
      <c r="AL4325" s="152"/>
      <c r="AM4325" s="152"/>
      <c r="AN4325" s="152"/>
      <c r="AO4325" s="152"/>
      <c r="AP4325" s="152"/>
      <c r="AQ4325" s="152"/>
      <c r="AR4325" s="152"/>
      <c r="AS4325" s="152"/>
      <c r="AT4325" s="152"/>
      <c r="AU4325" s="153"/>
      <c r="AV4325" s="479"/>
      <c r="AW4325" s="479"/>
      <c r="AX4325" s="442"/>
      <c r="AY4325" s="153"/>
      <c r="AZ4325" s="152"/>
      <c r="BA4325" s="152"/>
      <c r="BB4325" s="152"/>
      <c r="BC4325" s="152"/>
      <c r="BD4325" s="152"/>
      <c r="BE4325" s="152"/>
      <c r="BF4325" s="152"/>
      <c r="BG4325" s="152"/>
      <c r="BH4325" s="152"/>
      <c r="BI4325" s="153"/>
      <c r="BJ4325" s="153"/>
      <c r="BK4325" s="153"/>
      <c r="BL4325" s="153"/>
      <c r="BM4325" s="153"/>
      <c r="BN4325" s="153"/>
      <c r="BO4325" s="153"/>
      <c r="BP4325" s="153"/>
      <c r="BQ4325" s="153"/>
      <c r="BR4325" s="153"/>
      <c r="BS4325" s="153"/>
      <c r="BT4325" s="153"/>
      <c r="BU4325" s="153"/>
      <c r="BV4325" s="153"/>
      <c r="BW4325" s="153"/>
      <c r="BX4325" s="153"/>
      <c r="BY4325" s="153"/>
      <c r="BZ4325" s="153"/>
      <c r="CA4325" s="152"/>
      <c r="CB4325" s="152"/>
    </row>
    <row r="4326" spans="1:80" s="87" customFormat="1" x14ac:dyDescent="0.2">
      <c r="A4326" s="152"/>
      <c r="B4326" s="683"/>
      <c r="C4326" s="683"/>
      <c r="D4326" s="698"/>
      <c r="E4326" s="215"/>
      <c r="F4326" s="215"/>
      <c r="G4326" s="153"/>
      <c r="H4326" s="153"/>
      <c r="I4326" s="163">
        <v>24</v>
      </c>
      <c r="J4326" s="163">
        <v>60</v>
      </c>
      <c r="K4326" s="150">
        <v>1</v>
      </c>
      <c r="L4326" s="656">
        <v>24</v>
      </c>
      <c r="M4326" s="663">
        <v>34835</v>
      </c>
      <c r="N4326" s="600">
        <v>1.56003</v>
      </c>
      <c r="O4326" s="604">
        <v>0</v>
      </c>
      <c r="P4326" s="250"/>
      <c r="Q4326" s="250"/>
      <c r="R4326" s="250"/>
      <c r="S4326" s="250">
        <v>1.0700000000000001E-2</v>
      </c>
      <c r="T4326" s="250">
        <v>2.2499999999999999E-2</v>
      </c>
      <c r="U4326" s="250">
        <v>4.6500000000000007E-2</v>
      </c>
      <c r="V4326" s="250">
        <v>0.16597995003730984</v>
      </c>
      <c r="W4326" s="250">
        <v>0.33653440612529606</v>
      </c>
      <c r="X4326" s="250">
        <v>0.35661681212081897</v>
      </c>
      <c r="Y4326" s="250">
        <v>6.1058300619667133E-2</v>
      </c>
      <c r="Z4326" s="150"/>
      <c r="AA4326" s="150">
        <v>0.57999999999999996</v>
      </c>
      <c r="AB4326" s="152"/>
      <c r="AC4326" s="152"/>
      <c r="AD4326" s="223">
        <v>6.0957999999999997</v>
      </c>
      <c r="AE4326" s="223">
        <v>0.26821519999999999</v>
      </c>
      <c r="AF4326" s="223">
        <v>1.627097384</v>
      </c>
      <c r="AG4326" s="223">
        <v>0.93875319999999995</v>
      </c>
      <c r="AH4326" s="341"/>
      <c r="AI4326" s="218"/>
      <c r="AJ4326" s="218"/>
      <c r="AK4326" s="153"/>
      <c r="AL4326" s="152"/>
      <c r="AM4326" s="152"/>
      <c r="AN4326" s="152"/>
      <c r="AO4326" s="152"/>
      <c r="AP4326" s="152"/>
      <c r="AQ4326" s="152"/>
      <c r="AR4326" s="152"/>
      <c r="AS4326" s="152"/>
      <c r="AT4326" s="152"/>
      <c r="AU4326" s="153"/>
      <c r="AV4326" s="479"/>
      <c r="AW4326" s="479"/>
      <c r="AX4326" s="442"/>
      <c r="AY4326" s="153"/>
      <c r="AZ4326" s="152"/>
      <c r="BA4326" s="152"/>
      <c r="BB4326" s="152"/>
      <c r="BC4326" s="152"/>
      <c r="BD4326" s="152"/>
      <c r="BE4326" s="152"/>
      <c r="BF4326" s="152"/>
      <c r="BG4326" s="152"/>
      <c r="BH4326" s="152"/>
      <c r="BI4326" s="153"/>
      <c r="BJ4326" s="153"/>
      <c r="BK4326" s="153"/>
      <c r="BL4326" s="153"/>
      <c r="BM4326" s="153"/>
      <c r="BN4326" s="153"/>
      <c r="BO4326" s="153"/>
      <c r="BP4326" s="153"/>
      <c r="BQ4326" s="153"/>
      <c r="BR4326" s="153"/>
      <c r="BS4326" s="153"/>
      <c r="BT4326" s="153"/>
      <c r="BU4326" s="153"/>
      <c r="BV4326" s="153"/>
      <c r="BW4326" s="153"/>
      <c r="BX4326" s="153"/>
      <c r="BY4326" s="153"/>
      <c r="BZ4326" s="153"/>
      <c r="CA4326" s="152"/>
      <c r="CB4326" s="152"/>
    </row>
    <row r="4327" spans="1:80" s="87" customFormat="1" x14ac:dyDescent="0.2">
      <c r="A4327" s="152"/>
      <c r="B4327" s="683"/>
      <c r="C4327" s="683"/>
      <c r="D4327" s="698"/>
      <c r="E4327" s="215"/>
      <c r="F4327" s="215"/>
      <c r="G4327" s="153"/>
      <c r="H4327" s="153"/>
      <c r="I4327" s="163">
        <v>24</v>
      </c>
      <c r="J4327" s="163">
        <v>60</v>
      </c>
      <c r="K4327" s="150">
        <v>1</v>
      </c>
      <c r="L4327" s="656">
        <v>24</v>
      </c>
      <c r="M4327" s="663">
        <v>34835</v>
      </c>
      <c r="N4327" s="600">
        <v>1.56003</v>
      </c>
      <c r="O4327" s="604">
        <v>7.9559999999999995E-3</v>
      </c>
      <c r="P4327" s="250"/>
      <c r="Q4327" s="250"/>
      <c r="R4327" s="250"/>
      <c r="S4327" s="250"/>
      <c r="T4327" s="250">
        <v>6.6E-3</v>
      </c>
      <c r="U4327" s="250">
        <v>1.9299999999999998E-2</v>
      </c>
      <c r="V4327" s="250">
        <v>0.15706312966586938</v>
      </c>
      <c r="W4327" s="250">
        <v>0.4230629847068203</v>
      </c>
      <c r="X4327" s="250">
        <v>0.36457200840762488</v>
      </c>
      <c r="Y4327" s="250">
        <v>2.9426686960933531E-2</v>
      </c>
      <c r="Z4327" s="150">
        <v>6</v>
      </c>
      <c r="AA4327" s="150">
        <v>0.57999999999999996</v>
      </c>
      <c r="AB4327" s="152"/>
      <c r="AC4327" s="152"/>
      <c r="AD4327" s="223">
        <v>6.0957999999999997</v>
      </c>
      <c r="AE4327" s="223">
        <v>0.26821519999999999</v>
      </c>
      <c r="AF4327" s="223">
        <v>1.627097384</v>
      </c>
      <c r="AG4327" s="223">
        <v>0.93875319999999995</v>
      </c>
      <c r="AH4327" s="341"/>
      <c r="AI4327" s="218"/>
      <c r="AJ4327" s="218"/>
      <c r="AK4327" s="153"/>
      <c r="AL4327" s="152"/>
      <c r="AM4327" s="152"/>
      <c r="AN4327" s="152"/>
      <c r="AO4327" s="152"/>
      <c r="AP4327" s="152"/>
      <c r="AQ4327" s="152"/>
      <c r="AR4327" s="152"/>
      <c r="AS4327" s="152"/>
      <c r="AT4327" s="152"/>
      <c r="AU4327" s="153"/>
      <c r="AV4327" s="479"/>
      <c r="AW4327" s="479"/>
      <c r="AX4327" s="442"/>
      <c r="AY4327" s="153"/>
      <c r="AZ4327" s="152"/>
      <c r="BA4327" s="152"/>
      <c r="BB4327" s="152"/>
      <c r="BC4327" s="152"/>
      <c r="BD4327" s="152"/>
      <c r="BE4327" s="152"/>
      <c r="BF4327" s="152"/>
      <c r="BG4327" s="152"/>
      <c r="BH4327" s="152"/>
      <c r="BI4327" s="153"/>
      <c r="BJ4327" s="153"/>
      <c r="BK4327" s="153"/>
      <c r="BL4327" s="153"/>
      <c r="BM4327" s="153"/>
      <c r="BN4327" s="153"/>
      <c r="BO4327" s="153"/>
      <c r="BP4327" s="153"/>
      <c r="BQ4327" s="153"/>
      <c r="BR4327" s="153"/>
      <c r="BS4327" s="153"/>
      <c r="BT4327" s="153"/>
      <c r="BU4327" s="153"/>
      <c r="BV4327" s="153"/>
      <c r="BW4327" s="153"/>
      <c r="BX4327" s="153"/>
      <c r="BY4327" s="153"/>
      <c r="BZ4327" s="153"/>
      <c r="CA4327" s="152"/>
      <c r="CB4327" s="152"/>
    </row>
    <row r="4328" spans="1:80" s="87" customFormat="1" x14ac:dyDescent="0.2">
      <c r="A4328" s="152"/>
      <c r="B4328" s="683"/>
      <c r="C4328" s="683"/>
      <c r="D4328" s="698"/>
      <c r="E4328" s="215"/>
      <c r="F4328" s="215"/>
      <c r="G4328" s="153"/>
      <c r="H4328" s="153"/>
      <c r="I4328" s="163">
        <v>21</v>
      </c>
      <c r="J4328" s="163">
        <v>60</v>
      </c>
      <c r="K4328" s="150">
        <v>1</v>
      </c>
      <c r="L4328" s="656">
        <v>21</v>
      </c>
      <c r="M4328" s="663">
        <v>34837</v>
      </c>
      <c r="N4328" s="600">
        <v>2.1064600000000002</v>
      </c>
      <c r="O4328" s="604">
        <v>2.4035000000000001E-2</v>
      </c>
      <c r="P4328" s="250"/>
      <c r="Q4328" s="250"/>
      <c r="R4328" s="250"/>
      <c r="S4328" s="250">
        <v>2.3799999999999998E-2</v>
      </c>
      <c r="T4328" s="250">
        <v>9.2799999999999994E-2</v>
      </c>
      <c r="U4328" s="250">
        <v>0.1368</v>
      </c>
      <c r="V4328" s="250">
        <v>0.1887737174982432</v>
      </c>
      <c r="W4328" s="250">
        <v>0.30727336612789885</v>
      </c>
      <c r="X4328" s="250">
        <v>0.23453970484891079</v>
      </c>
      <c r="Y4328" s="250">
        <v>1.5958069805575081E-2</v>
      </c>
      <c r="Z4328" s="150">
        <v>14.5</v>
      </c>
      <c r="AA4328" s="150">
        <v>0.87</v>
      </c>
      <c r="AB4328" s="152"/>
      <c r="AC4328" s="152"/>
      <c r="AD4328" s="223">
        <v>6.4615479999999996</v>
      </c>
      <c r="AE4328" s="223">
        <v>0.33526899999999998</v>
      </c>
      <c r="AF4328" s="223">
        <v>2.169310871</v>
      </c>
      <c r="AG4328" s="223">
        <v>0.94180109999999995</v>
      </c>
      <c r="AH4328" s="341"/>
      <c r="AI4328" s="218"/>
      <c r="AJ4328" s="218"/>
      <c r="AK4328" s="153"/>
      <c r="AL4328" s="152"/>
      <c r="AM4328" s="152"/>
      <c r="AN4328" s="152"/>
      <c r="AO4328" s="152"/>
      <c r="AP4328" s="152"/>
      <c r="AQ4328" s="152"/>
      <c r="AR4328" s="152"/>
      <c r="AS4328" s="152"/>
      <c r="AT4328" s="152"/>
      <c r="AU4328" s="153"/>
      <c r="AV4328" s="479"/>
      <c r="AW4328" s="479"/>
      <c r="AX4328" s="442"/>
      <c r="AY4328" s="153"/>
      <c r="AZ4328" s="152"/>
      <c r="BA4328" s="152"/>
      <c r="BB4328" s="152"/>
      <c r="BC4328" s="152"/>
      <c r="BD4328" s="152"/>
      <c r="BE4328" s="152"/>
      <c r="BF4328" s="152"/>
      <c r="BG4328" s="152"/>
      <c r="BH4328" s="152"/>
      <c r="BI4328" s="153"/>
      <c r="BJ4328" s="153"/>
      <c r="BK4328" s="153"/>
      <c r="BL4328" s="153"/>
      <c r="BM4328" s="153"/>
      <c r="BN4328" s="153"/>
      <c r="BO4328" s="153"/>
      <c r="BP4328" s="153"/>
      <c r="BQ4328" s="153"/>
      <c r="BR4328" s="153"/>
      <c r="BS4328" s="153"/>
      <c r="BT4328" s="153"/>
      <c r="BU4328" s="153"/>
      <c r="BV4328" s="153"/>
      <c r="BW4328" s="153"/>
      <c r="BX4328" s="153"/>
      <c r="BY4328" s="153"/>
      <c r="BZ4328" s="153"/>
      <c r="CA4328" s="152"/>
      <c r="CB4328" s="152"/>
    </row>
    <row r="4329" spans="1:80" s="87" customFormat="1" x14ac:dyDescent="0.2">
      <c r="A4329" s="152"/>
      <c r="B4329" s="683"/>
      <c r="C4329" s="683"/>
      <c r="D4329" s="698"/>
      <c r="E4329" s="215"/>
      <c r="F4329" s="215"/>
      <c r="G4329" s="153"/>
      <c r="H4329" s="153"/>
      <c r="I4329" s="163">
        <v>21</v>
      </c>
      <c r="J4329" s="163">
        <v>60</v>
      </c>
      <c r="K4329" s="150">
        <v>1</v>
      </c>
      <c r="L4329" s="656">
        <v>21</v>
      </c>
      <c r="M4329" s="663">
        <v>34837</v>
      </c>
      <c r="N4329" s="600">
        <v>2.1064600000000002</v>
      </c>
      <c r="O4329" s="604">
        <v>2.9808000000000001E-2</v>
      </c>
      <c r="P4329" s="250"/>
      <c r="Q4329" s="250"/>
      <c r="R4329" s="250"/>
      <c r="S4329" s="250">
        <v>1.6899999999999998E-2</v>
      </c>
      <c r="T4329" s="250">
        <v>1.1299999999999999E-2</v>
      </c>
      <c r="U4329" s="250">
        <v>3.0699999999999998E-2</v>
      </c>
      <c r="V4329" s="250">
        <v>0.22812877549570032</v>
      </c>
      <c r="W4329" s="250">
        <v>0.4524672494255324</v>
      </c>
      <c r="X4329" s="250">
        <v>0.23954705896287876</v>
      </c>
      <c r="Y4329" s="250">
        <v>2.1036173690569256E-2</v>
      </c>
      <c r="Z4329" s="150">
        <v>15</v>
      </c>
      <c r="AA4329" s="150">
        <v>0.71</v>
      </c>
      <c r="AB4329" s="152"/>
      <c r="AC4329" s="152"/>
      <c r="AD4329" s="223">
        <v>6.4615479999999996</v>
      </c>
      <c r="AE4329" s="223">
        <v>0.33526899999999998</v>
      </c>
      <c r="AF4329" s="223">
        <v>2.169310871</v>
      </c>
      <c r="AG4329" s="223">
        <v>0.94180109999999995</v>
      </c>
      <c r="AH4329" s="341"/>
      <c r="AI4329" s="218"/>
      <c r="AJ4329" s="218"/>
      <c r="AK4329" s="153"/>
      <c r="AL4329" s="152"/>
      <c r="AM4329" s="152"/>
      <c r="AN4329" s="152"/>
      <c r="AO4329" s="152"/>
      <c r="AP4329" s="152"/>
      <c r="AQ4329" s="152"/>
      <c r="AR4329" s="152"/>
      <c r="AS4329" s="152"/>
      <c r="AT4329" s="152"/>
      <c r="AU4329" s="153"/>
      <c r="AV4329" s="479"/>
      <c r="AW4329" s="479"/>
      <c r="AX4329" s="442"/>
      <c r="AY4329" s="153"/>
      <c r="AZ4329" s="152"/>
      <c r="BA4329" s="152"/>
      <c r="BB4329" s="152"/>
      <c r="BC4329" s="152"/>
      <c r="BD4329" s="152"/>
      <c r="BE4329" s="152"/>
      <c r="BF4329" s="152"/>
      <c r="BG4329" s="152"/>
      <c r="BH4329" s="152"/>
      <c r="BI4329" s="153"/>
      <c r="BJ4329" s="153"/>
      <c r="BK4329" s="153"/>
      <c r="BL4329" s="153"/>
      <c r="BM4329" s="153"/>
      <c r="BN4329" s="153"/>
      <c r="BO4329" s="153"/>
      <c r="BP4329" s="153"/>
      <c r="BQ4329" s="153"/>
      <c r="BR4329" s="153"/>
      <c r="BS4329" s="153"/>
      <c r="BT4329" s="153"/>
      <c r="BU4329" s="153"/>
      <c r="BV4329" s="153"/>
      <c r="BW4329" s="153"/>
      <c r="BX4329" s="153"/>
      <c r="BY4329" s="153"/>
      <c r="BZ4329" s="153"/>
      <c r="CA4329" s="152"/>
      <c r="CB4329" s="152"/>
    </row>
    <row r="4330" spans="1:80" s="87" customFormat="1" x14ac:dyDescent="0.2">
      <c r="A4330" s="152"/>
      <c r="B4330" s="683"/>
      <c r="C4330" s="683"/>
      <c r="D4330" s="698"/>
      <c r="E4330" s="215"/>
      <c r="F4330" s="215"/>
      <c r="G4330" s="153"/>
      <c r="H4330" s="153"/>
      <c r="I4330" s="163">
        <v>21</v>
      </c>
      <c r="J4330" s="163">
        <v>60</v>
      </c>
      <c r="K4330" s="150">
        <v>1</v>
      </c>
      <c r="L4330" s="656">
        <v>21</v>
      </c>
      <c r="M4330" s="663">
        <v>34840</v>
      </c>
      <c r="N4330" s="600">
        <v>2.3612799999999998</v>
      </c>
      <c r="O4330" s="604">
        <v>2.9492999999999998E-2</v>
      </c>
      <c r="P4330" s="250"/>
      <c r="Q4330" s="250"/>
      <c r="R4330" s="250">
        <v>5.5999999999999994E-2</v>
      </c>
      <c r="S4330" s="250">
        <v>1.9400000000000001E-2</v>
      </c>
      <c r="T4330" s="250">
        <v>7.0800000000000002E-2</v>
      </c>
      <c r="U4330" s="250">
        <v>0.1191</v>
      </c>
      <c r="V4330" s="250">
        <v>0.20843197501637031</v>
      </c>
      <c r="W4330" s="250">
        <v>0.28801692439429805</v>
      </c>
      <c r="X4330" s="250">
        <v>0.22180526872512971</v>
      </c>
      <c r="Y4330" s="250">
        <v>1.6319951644587719E-2</v>
      </c>
      <c r="Z4330" s="150">
        <v>28.5</v>
      </c>
      <c r="AA4330" s="150">
        <v>0.93</v>
      </c>
      <c r="AB4330" s="152"/>
      <c r="AC4330" s="152"/>
      <c r="AD4330" s="223">
        <v>6.4920270000000002</v>
      </c>
      <c r="AE4330" s="223">
        <v>0.31393369999999998</v>
      </c>
      <c r="AF4330" s="223">
        <v>2.0473128360000001</v>
      </c>
      <c r="AG4330" s="223">
        <v>1.2313516</v>
      </c>
      <c r="AH4330" s="341"/>
      <c r="AI4330" s="218"/>
      <c r="AJ4330" s="218"/>
      <c r="AK4330" s="153"/>
      <c r="AL4330" s="152"/>
      <c r="AM4330" s="152"/>
      <c r="AN4330" s="152"/>
      <c r="AO4330" s="152"/>
      <c r="AP4330" s="152"/>
      <c r="AQ4330" s="152"/>
      <c r="AR4330" s="152"/>
      <c r="AS4330" s="152"/>
      <c r="AT4330" s="152"/>
      <c r="AU4330" s="153"/>
      <c r="AV4330" s="479"/>
      <c r="AW4330" s="479"/>
      <c r="AX4330" s="442"/>
      <c r="AY4330" s="153"/>
      <c r="AZ4330" s="152"/>
      <c r="BA4330" s="152"/>
      <c r="BB4330" s="152"/>
      <c r="BC4330" s="152"/>
      <c r="BD4330" s="152"/>
      <c r="BE4330" s="152"/>
      <c r="BF4330" s="152"/>
      <c r="BG4330" s="152"/>
      <c r="BH4330" s="152"/>
      <c r="BI4330" s="153"/>
      <c r="BJ4330" s="153"/>
      <c r="BK4330" s="153"/>
      <c r="BL4330" s="153"/>
      <c r="BM4330" s="153"/>
      <c r="BN4330" s="153"/>
      <c r="BO4330" s="153"/>
      <c r="BP4330" s="153"/>
      <c r="BQ4330" s="153"/>
      <c r="BR4330" s="153"/>
      <c r="BS4330" s="153"/>
      <c r="BT4330" s="153"/>
      <c r="BU4330" s="153"/>
      <c r="BV4330" s="153"/>
      <c r="BW4330" s="153"/>
      <c r="BX4330" s="153"/>
      <c r="BY4330" s="153"/>
      <c r="BZ4330" s="153"/>
      <c r="CA4330" s="152"/>
      <c r="CB4330" s="152"/>
    </row>
    <row r="4331" spans="1:80" s="87" customFormat="1" x14ac:dyDescent="0.2">
      <c r="A4331" s="152"/>
      <c r="B4331" s="683"/>
      <c r="C4331" s="683"/>
      <c r="D4331" s="698"/>
      <c r="E4331" s="215"/>
      <c r="F4331" s="215"/>
      <c r="G4331" s="153"/>
      <c r="H4331" s="153"/>
      <c r="I4331" s="163">
        <v>21</v>
      </c>
      <c r="J4331" s="163">
        <v>60</v>
      </c>
      <c r="K4331" s="150">
        <v>1</v>
      </c>
      <c r="L4331" s="656">
        <v>21</v>
      </c>
      <c r="M4331" s="663">
        <v>34840</v>
      </c>
      <c r="N4331" s="600">
        <v>2.3612799999999998</v>
      </c>
      <c r="O4331" s="604">
        <v>7.3785000000000003E-2</v>
      </c>
      <c r="P4331" s="250"/>
      <c r="Q4331" s="250"/>
      <c r="R4331" s="250">
        <v>8.9200000000000002E-2</v>
      </c>
      <c r="S4331" s="250">
        <v>7.1599999999999997E-2</v>
      </c>
      <c r="T4331" s="250">
        <v>5.67E-2</v>
      </c>
      <c r="U4331" s="250">
        <v>0.1057</v>
      </c>
      <c r="V4331" s="250">
        <v>0.30739680487579646</v>
      </c>
      <c r="W4331" s="250">
        <v>0.25727213962508083</v>
      </c>
      <c r="X4331" s="250">
        <v>0.1003139717425432</v>
      </c>
      <c r="Y4331" s="250">
        <v>1.1746236956320993E-2</v>
      </c>
      <c r="Z4331" s="150">
        <v>32.5</v>
      </c>
      <c r="AA4331" s="150">
        <v>1.28</v>
      </c>
      <c r="AB4331" s="152"/>
      <c r="AC4331" s="152"/>
      <c r="AD4331" s="223">
        <v>6.4920270000000002</v>
      </c>
      <c r="AE4331" s="223">
        <v>0.31393369999999998</v>
      </c>
      <c r="AF4331" s="223">
        <v>2.0473128360000001</v>
      </c>
      <c r="AG4331" s="223">
        <v>1.2313516</v>
      </c>
      <c r="AH4331" s="341"/>
      <c r="AI4331" s="218"/>
      <c r="AJ4331" s="218"/>
      <c r="AK4331" s="153"/>
      <c r="AL4331" s="152"/>
      <c r="AM4331" s="152"/>
      <c r="AN4331" s="152"/>
      <c r="AO4331" s="152"/>
      <c r="AP4331" s="152"/>
      <c r="AQ4331" s="152"/>
      <c r="AR4331" s="152"/>
      <c r="AS4331" s="152"/>
      <c r="AT4331" s="152"/>
      <c r="AU4331" s="153"/>
      <c r="AV4331" s="479"/>
      <c r="AW4331" s="479"/>
      <c r="AX4331" s="442"/>
      <c r="AY4331" s="153"/>
      <c r="AZ4331" s="152"/>
      <c r="BA4331" s="152"/>
      <c r="BB4331" s="152"/>
      <c r="BC4331" s="152"/>
      <c r="BD4331" s="152"/>
      <c r="BE4331" s="152"/>
      <c r="BF4331" s="152"/>
      <c r="BG4331" s="152"/>
      <c r="BH4331" s="152"/>
      <c r="BI4331" s="153"/>
      <c r="BJ4331" s="153"/>
      <c r="BK4331" s="153"/>
      <c r="BL4331" s="153"/>
      <c r="BM4331" s="153"/>
      <c r="BN4331" s="153"/>
      <c r="BO4331" s="153"/>
      <c r="BP4331" s="153"/>
      <c r="BQ4331" s="153"/>
      <c r="BR4331" s="153"/>
      <c r="BS4331" s="153"/>
      <c r="BT4331" s="153"/>
      <c r="BU4331" s="153"/>
      <c r="BV4331" s="153"/>
      <c r="BW4331" s="153"/>
      <c r="BX4331" s="153"/>
      <c r="BY4331" s="153"/>
      <c r="BZ4331" s="153"/>
      <c r="CA4331" s="152"/>
      <c r="CB4331" s="152"/>
    </row>
    <row r="4332" spans="1:80" s="87" customFormat="1" x14ac:dyDescent="0.2">
      <c r="A4332" s="152"/>
      <c r="B4332" s="683"/>
      <c r="C4332" s="683"/>
      <c r="D4332" s="698"/>
      <c r="E4332" s="215"/>
      <c r="F4332" s="215"/>
      <c r="G4332" s="153"/>
      <c r="H4332" s="153"/>
      <c r="I4332" s="163">
        <v>21</v>
      </c>
      <c r="J4332" s="163">
        <v>60</v>
      </c>
      <c r="K4332" s="150">
        <v>1</v>
      </c>
      <c r="L4332" s="656">
        <v>21</v>
      </c>
      <c r="M4332" s="663">
        <v>34842</v>
      </c>
      <c r="N4332" s="600">
        <v>2.2650199999999998</v>
      </c>
      <c r="O4332" s="604">
        <v>1.8158000000000001E-2</v>
      </c>
      <c r="P4332" s="250"/>
      <c r="Q4332" s="250"/>
      <c r="R4332" s="250">
        <v>5.6399999999999999E-2</v>
      </c>
      <c r="S4332" s="250">
        <v>3.5900000000000001E-2</v>
      </c>
      <c r="T4332" s="250">
        <v>7.4499999999999997E-2</v>
      </c>
      <c r="U4332" s="250">
        <v>9.4899999999999998E-2</v>
      </c>
      <c r="V4332" s="250">
        <v>0.18022199017674134</v>
      </c>
      <c r="W4332" s="250">
        <v>0.25153730131105695</v>
      </c>
      <c r="X4332" s="250">
        <v>0.27006226553737867</v>
      </c>
      <c r="Y4332" s="250">
        <v>3.6469814750357737E-2</v>
      </c>
      <c r="Z4332" s="150">
        <v>37.5</v>
      </c>
      <c r="AA4332" s="150">
        <v>0.83</v>
      </c>
      <c r="AB4332" s="152"/>
      <c r="AC4332" s="152"/>
      <c r="AD4332" s="223">
        <v>6.5225059999999999</v>
      </c>
      <c r="AE4332" s="223">
        <v>0.3078379</v>
      </c>
      <c r="AF4332" s="223">
        <v>2.0086458559999998</v>
      </c>
      <c r="AG4332" s="223">
        <v>1.2252558</v>
      </c>
      <c r="AH4332" s="341"/>
      <c r="AI4332" s="218"/>
      <c r="AJ4332" s="218"/>
      <c r="AK4332" s="153"/>
      <c r="AL4332" s="152"/>
      <c r="AM4332" s="152"/>
      <c r="AN4332" s="152"/>
      <c r="AO4332" s="152"/>
      <c r="AP4332" s="152"/>
      <c r="AQ4332" s="152"/>
      <c r="AR4332" s="152"/>
      <c r="AS4332" s="152"/>
      <c r="AT4332" s="152"/>
      <c r="AU4332" s="153"/>
      <c r="AV4332" s="479"/>
      <c r="AW4332" s="479"/>
      <c r="AX4332" s="442"/>
      <c r="AY4332" s="153"/>
      <c r="AZ4332" s="152"/>
      <c r="BA4332" s="152"/>
      <c r="BB4332" s="152"/>
      <c r="BC4332" s="152"/>
      <c r="BD4332" s="152"/>
      <c r="BE4332" s="152"/>
      <c r="BF4332" s="152"/>
      <c r="BG4332" s="152"/>
      <c r="BH4332" s="152"/>
      <c r="BI4332" s="153"/>
      <c r="BJ4332" s="153"/>
      <c r="BK4332" s="153"/>
      <c r="BL4332" s="153"/>
      <c r="BM4332" s="153"/>
      <c r="BN4332" s="153"/>
      <c r="BO4332" s="153"/>
      <c r="BP4332" s="153"/>
      <c r="BQ4332" s="153"/>
      <c r="BR4332" s="153"/>
      <c r="BS4332" s="153"/>
      <c r="BT4332" s="153"/>
      <c r="BU4332" s="153"/>
      <c r="BV4332" s="153"/>
      <c r="BW4332" s="153"/>
      <c r="BX4332" s="153"/>
      <c r="BY4332" s="153"/>
      <c r="BZ4332" s="153"/>
      <c r="CA4332" s="152"/>
      <c r="CB4332" s="152"/>
    </row>
    <row r="4333" spans="1:80" s="87" customFormat="1" x14ac:dyDescent="0.2">
      <c r="A4333" s="152"/>
      <c r="B4333" s="683"/>
      <c r="C4333" s="683"/>
      <c r="D4333" s="698"/>
      <c r="E4333" s="215"/>
      <c r="F4333" s="215"/>
      <c r="G4333" s="153"/>
      <c r="H4333" s="153"/>
      <c r="I4333" s="163">
        <v>21</v>
      </c>
      <c r="J4333" s="163">
        <v>60</v>
      </c>
      <c r="K4333" s="150">
        <v>1</v>
      </c>
      <c r="L4333" s="656">
        <v>21</v>
      </c>
      <c r="M4333" s="663">
        <v>34842</v>
      </c>
      <c r="N4333" s="600">
        <v>2.2650199999999998</v>
      </c>
      <c r="O4333" s="604">
        <v>1.5952999999999998E-2</v>
      </c>
      <c r="P4333" s="250"/>
      <c r="Q4333" s="250"/>
      <c r="R4333" s="250">
        <v>0.14099999999999999</v>
      </c>
      <c r="S4333" s="250">
        <v>2.9399999999999999E-2</v>
      </c>
      <c r="T4333" s="250">
        <v>1.8100000000000002E-2</v>
      </c>
      <c r="U4333" s="250">
        <v>4.8399999999999999E-2</v>
      </c>
      <c r="V4333" s="250">
        <v>0.14666373045584671</v>
      </c>
      <c r="W4333" s="250">
        <v>0.27914556265139834</v>
      </c>
      <c r="X4333" s="250">
        <v>0.29874476987447696</v>
      </c>
      <c r="Y4333" s="250">
        <v>3.8449680687073329E-2</v>
      </c>
      <c r="Z4333" s="150">
        <v>28.5</v>
      </c>
      <c r="AA4333" s="150">
        <v>0.7</v>
      </c>
      <c r="AB4333" s="152"/>
      <c r="AC4333" s="152"/>
      <c r="AD4333" s="223">
        <v>6.5225059999999999</v>
      </c>
      <c r="AE4333" s="223">
        <v>0.3078379</v>
      </c>
      <c r="AF4333" s="223">
        <v>2.0086458559999998</v>
      </c>
      <c r="AG4333" s="223">
        <v>1.2252558</v>
      </c>
      <c r="AH4333" s="341"/>
      <c r="AI4333" s="218"/>
      <c r="AJ4333" s="218"/>
      <c r="AK4333" s="153"/>
      <c r="AL4333" s="152"/>
      <c r="AM4333" s="152"/>
      <c r="AN4333" s="152"/>
      <c r="AO4333" s="152"/>
      <c r="AP4333" s="152"/>
      <c r="AQ4333" s="152"/>
      <c r="AR4333" s="152"/>
      <c r="AS4333" s="152"/>
      <c r="AT4333" s="152"/>
      <c r="AU4333" s="153"/>
      <c r="AV4333" s="479"/>
      <c r="AW4333" s="479"/>
      <c r="AX4333" s="442"/>
      <c r="AY4333" s="153"/>
      <c r="AZ4333" s="152"/>
      <c r="BA4333" s="152"/>
      <c r="BB4333" s="152"/>
      <c r="BC4333" s="152"/>
      <c r="BD4333" s="152"/>
      <c r="BE4333" s="152"/>
      <c r="BF4333" s="152"/>
      <c r="BG4333" s="152"/>
      <c r="BH4333" s="152"/>
      <c r="BI4333" s="153"/>
      <c r="BJ4333" s="153"/>
      <c r="BK4333" s="153"/>
      <c r="BL4333" s="153"/>
      <c r="BM4333" s="153"/>
      <c r="BN4333" s="153"/>
      <c r="BO4333" s="153"/>
      <c r="BP4333" s="153"/>
      <c r="BQ4333" s="153"/>
      <c r="BR4333" s="153"/>
      <c r="BS4333" s="153"/>
      <c r="BT4333" s="153"/>
      <c r="BU4333" s="153"/>
      <c r="BV4333" s="153"/>
      <c r="BW4333" s="153"/>
      <c r="BX4333" s="153"/>
      <c r="BY4333" s="153"/>
      <c r="BZ4333" s="153"/>
      <c r="CA4333" s="152"/>
      <c r="CB4333" s="152"/>
    </row>
    <row r="4334" spans="1:80" s="87" customFormat="1" x14ac:dyDescent="0.2">
      <c r="A4334" s="152"/>
      <c r="B4334" s="683"/>
      <c r="C4334" s="683"/>
      <c r="D4334" s="698"/>
      <c r="E4334" s="215"/>
      <c r="F4334" s="215"/>
      <c r="G4334" s="153"/>
      <c r="H4334" s="153"/>
      <c r="I4334" s="163">
        <v>22</v>
      </c>
      <c r="J4334" s="163">
        <v>60</v>
      </c>
      <c r="K4334" s="150">
        <v>1</v>
      </c>
      <c r="L4334" s="656">
        <v>22</v>
      </c>
      <c r="M4334" s="663">
        <v>34844</v>
      </c>
      <c r="N4334" s="600">
        <v>2.0951399999999998</v>
      </c>
      <c r="O4334" s="604">
        <v>1.7947999999999999E-2</v>
      </c>
      <c r="P4334" s="250"/>
      <c r="Q4334" s="250"/>
      <c r="R4334" s="250"/>
      <c r="S4334" s="250">
        <v>4.0300000000000002E-2</v>
      </c>
      <c r="T4334" s="250">
        <v>2.1499999999999998E-2</v>
      </c>
      <c r="U4334" s="250">
        <v>5.2499999999999998E-2</v>
      </c>
      <c r="V4334" s="250">
        <v>0.22017184143721927</v>
      </c>
      <c r="W4334" s="250">
        <v>0.36138774978845267</v>
      </c>
      <c r="X4334" s="250">
        <v>0.26938098027728957</v>
      </c>
      <c r="Y4334" s="250">
        <v>3.472629043806548E-2</v>
      </c>
      <c r="Z4334" s="150">
        <v>21</v>
      </c>
      <c r="AA4334" s="150">
        <v>0.71</v>
      </c>
      <c r="AB4334" s="835"/>
      <c r="AC4334" s="152"/>
      <c r="AD4334" s="223">
        <v>6.4005900000000002</v>
      </c>
      <c r="AE4334" s="223">
        <v>0.31088579999999999</v>
      </c>
      <c r="AF4334" s="223">
        <v>1.9799930720000001</v>
      </c>
      <c r="AG4334" s="223">
        <v>1.0301902000000001</v>
      </c>
      <c r="AH4334" s="341"/>
      <c r="AI4334" s="218"/>
      <c r="AJ4334" s="218"/>
      <c r="AK4334" s="153"/>
      <c r="AL4334" s="152"/>
      <c r="AM4334" s="152"/>
      <c r="AN4334" s="152"/>
      <c r="AO4334" s="152"/>
      <c r="AP4334" s="152"/>
      <c r="AQ4334" s="152"/>
      <c r="AR4334" s="152"/>
      <c r="AS4334" s="152"/>
      <c r="AT4334" s="152"/>
      <c r="AU4334" s="153"/>
      <c r="AV4334" s="479"/>
      <c r="AW4334" s="479"/>
      <c r="AX4334" s="442"/>
      <c r="AY4334" s="153"/>
      <c r="AZ4334" s="152"/>
      <c r="BA4334" s="152"/>
      <c r="BB4334" s="152"/>
      <c r="BC4334" s="152"/>
      <c r="BD4334" s="152"/>
      <c r="BE4334" s="152"/>
      <c r="BF4334" s="152"/>
      <c r="BG4334" s="152"/>
      <c r="BH4334" s="152"/>
      <c r="BI4334" s="153"/>
      <c r="BJ4334" s="153"/>
      <c r="BK4334" s="153"/>
      <c r="BL4334" s="153"/>
      <c r="BM4334" s="153"/>
      <c r="BN4334" s="153"/>
      <c r="BO4334" s="153"/>
      <c r="BP4334" s="153"/>
      <c r="BQ4334" s="153"/>
      <c r="BR4334" s="153"/>
      <c r="BS4334" s="153"/>
      <c r="BT4334" s="153"/>
      <c r="BU4334" s="153"/>
      <c r="BV4334" s="153"/>
      <c r="BW4334" s="153"/>
      <c r="BX4334" s="153"/>
      <c r="BY4334" s="153"/>
      <c r="BZ4334" s="153"/>
      <c r="CA4334" s="152"/>
      <c r="CB4334" s="152"/>
    </row>
    <row r="4335" spans="1:80" s="87" customFormat="1" x14ac:dyDescent="0.2">
      <c r="A4335" s="152"/>
      <c r="B4335" s="683"/>
      <c r="C4335" s="683"/>
      <c r="D4335" s="698"/>
      <c r="E4335" s="215"/>
      <c r="F4335" s="215"/>
      <c r="G4335" s="153"/>
      <c r="H4335" s="153"/>
      <c r="I4335" s="163">
        <v>22</v>
      </c>
      <c r="J4335" s="163">
        <v>60</v>
      </c>
      <c r="K4335" s="150">
        <v>1</v>
      </c>
      <c r="L4335" s="656">
        <v>22</v>
      </c>
      <c r="M4335" s="663">
        <v>34844</v>
      </c>
      <c r="N4335" s="600">
        <v>2.0951399999999998</v>
      </c>
      <c r="O4335" s="604">
        <v>1.7003000000000001E-2</v>
      </c>
      <c r="P4335" s="250"/>
      <c r="Q4335" s="250"/>
      <c r="R4335" s="250"/>
      <c r="S4335" s="250">
        <v>8.3000000000000001E-3</v>
      </c>
      <c r="T4335" s="250">
        <v>2.1600000000000001E-2</v>
      </c>
      <c r="U4335" s="250">
        <v>6.9199999999999998E-2</v>
      </c>
      <c r="V4335" s="250">
        <v>0.24851025498891352</v>
      </c>
      <c r="W4335" s="250">
        <v>0.36689301552106429</v>
      </c>
      <c r="X4335" s="250">
        <v>0.25703298226164084</v>
      </c>
      <c r="Y4335" s="250">
        <v>2.8478381374722847E-2</v>
      </c>
      <c r="Z4335" s="150">
        <v>14</v>
      </c>
      <c r="AA4335" s="150">
        <v>0.74</v>
      </c>
      <c r="AB4335" s="835"/>
      <c r="AC4335" s="152"/>
      <c r="AD4335" s="223">
        <v>6.4005900000000002</v>
      </c>
      <c r="AE4335" s="223">
        <v>0.31088579999999999</v>
      </c>
      <c r="AF4335" s="223">
        <v>1.9799930720000001</v>
      </c>
      <c r="AG4335" s="223">
        <v>1.0301902000000001</v>
      </c>
      <c r="AH4335" s="341"/>
      <c r="AI4335" s="218"/>
      <c r="AJ4335" s="218"/>
      <c r="AK4335" s="153"/>
      <c r="AL4335" s="152"/>
      <c r="AM4335" s="152"/>
      <c r="AN4335" s="152"/>
      <c r="AO4335" s="152"/>
      <c r="AP4335" s="152"/>
      <c r="AQ4335" s="152"/>
      <c r="AR4335" s="152"/>
      <c r="AS4335" s="152"/>
      <c r="AT4335" s="152"/>
      <c r="AU4335" s="153"/>
      <c r="AV4335" s="479"/>
      <c r="AW4335" s="479"/>
      <c r="AX4335" s="442"/>
      <c r="AY4335" s="153"/>
      <c r="AZ4335" s="152"/>
      <c r="BA4335" s="152"/>
      <c r="BB4335" s="152"/>
      <c r="BC4335" s="152"/>
      <c r="BD4335" s="152"/>
      <c r="BE4335" s="152"/>
      <c r="BF4335" s="152"/>
      <c r="BG4335" s="152"/>
      <c r="BH4335" s="152"/>
      <c r="BI4335" s="153"/>
      <c r="BJ4335" s="153"/>
      <c r="BK4335" s="153"/>
      <c r="BL4335" s="153"/>
      <c r="BM4335" s="153"/>
      <c r="BN4335" s="153"/>
      <c r="BO4335" s="153"/>
      <c r="BP4335" s="153"/>
      <c r="BQ4335" s="153"/>
      <c r="BR4335" s="153"/>
      <c r="BS4335" s="153"/>
      <c r="BT4335" s="153"/>
      <c r="BU4335" s="153"/>
      <c r="BV4335" s="153"/>
      <c r="BW4335" s="153"/>
      <c r="BX4335" s="153"/>
      <c r="BY4335" s="153"/>
      <c r="BZ4335" s="153"/>
      <c r="CA4335" s="152"/>
      <c r="CB4335" s="152"/>
    </row>
    <row r="4336" spans="1:80" s="87" customFormat="1" x14ac:dyDescent="0.2">
      <c r="A4336" s="152"/>
      <c r="B4336" s="683"/>
      <c r="C4336" s="683"/>
      <c r="D4336" s="698"/>
      <c r="E4336" s="215"/>
      <c r="F4336" s="215"/>
      <c r="G4336" s="153"/>
      <c r="H4336" s="153"/>
      <c r="I4336" s="163">
        <v>24</v>
      </c>
      <c r="J4336" s="163">
        <v>60</v>
      </c>
      <c r="K4336" s="150">
        <v>1</v>
      </c>
      <c r="L4336" s="656">
        <v>24</v>
      </c>
      <c r="M4336" s="663">
        <v>34845</v>
      </c>
      <c r="N4336" s="600">
        <v>1.85731</v>
      </c>
      <c r="O4336" s="604">
        <v>1.4799E-2</v>
      </c>
      <c r="P4336" s="250"/>
      <c r="Q4336" s="250"/>
      <c r="R4336" s="250"/>
      <c r="S4336" s="250">
        <v>4.0000000000000001E-3</v>
      </c>
      <c r="T4336" s="250">
        <v>1.2E-2</v>
      </c>
      <c r="U4336" s="250">
        <v>6.5299999999999997E-2</v>
      </c>
      <c r="V4336" s="250">
        <v>0.26548773099060891</v>
      </c>
      <c r="W4336" s="250">
        <v>0.38200545289306276</v>
      </c>
      <c r="X4336" s="250">
        <v>0.24674341108754924</v>
      </c>
      <c r="Y4336" s="250">
        <v>2.4500151469251743E-2</v>
      </c>
      <c r="Z4336" s="150">
        <v>10</v>
      </c>
      <c r="AA4336" s="150">
        <v>0.75</v>
      </c>
      <c r="AB4336" s="835"/>
      <c r="AC4336" s="152"/>
      <c r="AD4336" s="223">
        <v>6.0957999999999997</v>
      </c>
      <c r="AE4336" s="223">
        <v>0.33526899999999998</v>
      </c>
      <c r="AF4336" s="223">
        <v>2.048835908</v>
      </c>
      <c r="AG4336" s="223">
        <v>0.94789690000000004</v>
      </c>
      <c r="AH4336" s="341"/>
      <c r="AI4336" s="218"/>
      <c r="AJ4336" s="218"/>
      <c r="AK4336" s="153"/>
      <c r="AL4336" s="152"/>
      <c r="AM4336" s="152"/>
      <c r="AN4336" s="152"/>
      <c r="AO4336" s="152"/>
      <c r="AP4336" s="152"/>
      <c r="AQ4336" s="152"/>
      <c r="AR4336" s="152"/>
      <c r="AS4336" s="152"/>
      <c r="AT4336" s="152"/>
      <c r="AU4336" s="153"/>
      <c r="AV4336" s="479"/>
      <c r="AW4336" s="479"/>
      <c r="AX4336" s="442"/>
      <c r="AY4336" s="153"/>
      <c r="AZ4336" s="152"/>
      <c r="BA4336" s="152"/>
      <c r="BB4336" s="152"/>
      <c r="BC4336" s="152"/>
      <c r="BD4336" s="152"/>
      <c r="BE4336" s="152"/>
      <c r="BF4336" s="152"/>
      <c r="BG4336" s="152"/>
      <c r="BH4336" s="152"/>
      <c r="BI4336" s="153"/>
      <c r="BJ4336" s="153"/>
      <c r="BK4336" s="153"/>
      <c r="BL4336" s="153"/>
      <c r="BM4336" s="153"/>
      <c r="BN4336" s="153"/>
      <c r="BO4336" s="153"/>
      <c r="BP4336" s="153"/>
      <c r="BQ4336" s="153"/>
      <c r="BR4336" s="153"/>
      <c r="BS4336" s="153"/>
      <c r="BT4336" s="153"/>
      <c r="BU4336" s="153"/>
      <c r="BV4336" s="153"/>
      <c r="BW4336" s="153"/>
      <c r="BX4336" s="153"/>
      <c r="BY4336" s="153"/>
      <c r="BZ4336" s="153"/>
      <c r="CA4336" s="152"/>
      <c r="CB4336" s="152"/>
    </row>
    <row r="4337" spans="1:80" s="87" customFormat="1" x14ac:dyDescent="0.2">
      <c r="A4337" s="152"/>
      <c r="B4337" s="683"/>
      <c r="C4337" s="683"/>
      <c r="D4337" s="698"/>
      <c r="E4337" s="215"/>
      <c r="F4337" s="215"/>
      <c r="G4337" s="153"/>
      <c r="H4337" s="153"/>
      <c r="I4337" s="163">
        <v>24</v>
      </c>
      <c r="J4337" s="163">
        <v>60</v>
      </c>
      <c r="K4337" s="150">
        <v>1</v>
      </c>
      <c r="L4337" s="656">
        <v>24</v>
      </c>
      <c r="M4337" s="663">
        <v>34845</v>
      </c>
      <c r="N4337" s="600">
        <v>1.85731</v>
      </c>
      <c r="O4337" s="604">
        <v>1.3644E-2</v>
      </c>
      <c r="P4337" s="250"/>
      <c r="Q4337" s="250"/>
      <c r="R4337" s="250"/>
      <c r="S4337" s="250"/>
      <c r="T4337" s="250">
        <v>1.46E-2</v>
      </c>
      <c r="U4337" s="250">
        <v>7.0000000000000007E-2</v>
      </c>
      <c r="V4337" s="250">
        <v>0.27475932735611291</v>
      </c>
      <c r="W4337" s="250">
        <v>0.39358757178862125</v>
      </c>
      <c r="X4337" s="250">
        <v>0.22662479857868859</v>
      </c>
      <c r="Y4337" s="250">
        <v>2.045201008139487E-2</v>
      </c>
      <c r="Z4337" s="150">
        <v>9</v>
      </c>
      <c r="AA4337" s="150">
        <v>0.78</v>
      </c>
      <c r="AB4337" s="835"/>
      <c r="AC4337" s="152"/>
      <c r="AD4337" s="223">
        <v>6.0957999999999997</v>
      </c>
      <c r="AE4337" s="223">
        <v>0.33526899999999998</v>
      </c>
      <c r="AF4337" s="223">
        <v>2.048835908</v>
      </c>
      <c r="AG4337" s="223">
        <v>0.94789690000000004</v>
      </c>
      <c r="AH4337" s="341"/>
      <c r="AI4337" s="218"/>
      <c r="AJ4337" s="218"/>
      <c r="AK4337" s="153"/>
      <c r="AL4337" s="152"/>
      <c r="AM4337" s="152"/>
      <c r="AN4337" s="152"/>
      <c r="AO4337" s="152"/>
      <c r="AP4337" s="152"/>
      <c r="AQ4337" s="152"/>
      <c r="AR4337" s="152"/>
      <c r="AS4337" s="152"/>
      <c r="AT4337" s="152"/>
      <c r="AU4337" s="153"/>
      <c r="AV4337" s="479"/>
      <c r="AW4337" s="479"/>
      <c r="AX4337" s="442"/>
      <c r="AY4337" s="153"/>
      <c r="AZ4337" s="152"/>
      <c r="BA4337" s="152"/>
      <c r="BB4337" s="152"/>
      <c r="BC4337" s="152"/>
      <c r="BD4337" s="152"/>
      <c r="BE4337" s="152"/>
      <c r="BF4337" s="152"/>
      <c r="BG4337" s="152"/>
      <c r="BH4337" s="152"/>
      <c r="BI4337" s="153"/>
      <c r="BJ4337" s="153"/>
      <c r="BK4337" s="153"/>
      <c r="BL4337" s="153"/>
      <c r="BM4337" s="153"/>
      <c r="BN4337" s="153"/>
      <c r="BO4337" s="153"/>
      <c r="BP4337" s="153"/>
      <c r="BQ4337" s="153"/>
      <c r="BR4337" s="153"/>
      <c r="BS4337" s="153"/>
      <c r="BT4337" s="153"/>
      <c r="BU4337" s="153"/>
      <c r="BV4337" s="153"/>
      <c r="BW4337" s="153"/>
      <c r="BX4337" s="153"/>
      <c r="BY4337" s="153"/>
      <c r="BZ4337" s="153"/>
      <c r="CA4337" s="152"/>
      <c r="CB4337" s="152"/>
    </row>
    <row r="4338" spans="1:80" s="87" customFormat="1" x14ac:dyDescent="0.2">
      <c r="A4338" s="152"/>
      <c r="B4338" s="683"/>
      <c r="C4338" s="683"/>
      <c r="D4338" s="698"/>
      <c r="E4338" s="215"/>
      <c r="F4338" s="215"/>
      <c r="G4338" s="153"/>
      <c r="H4338" s="153"/>
      <c r="I4338" s="163">
        <v>21</v>
      </c>
      <c r="J4338" s="163">
        <v>60</v>
      </c>
      <c r="K4338" s="150">
        <v>1</v>
      </c>
      <c r="L4338" s="656">
        <v>21</v>
      </c>
      <c r="M4338" s="663">
        <v>34849</v>
      </c>
      <c r="N4338" s="600">
        <v>2.1659199999999998</v>
      </c>
      <c r="O4338" s="604">
        <v>3.2537000000000003E-2</v>
      </c>
      <c r="P4338" s="250"/>
      <c r="Q4338" s="250"/>
      <c r="R4338" s="250"/>
      <c r="S4338" s="250">
        <v>1.1599999999999999E-2</v>
      </c>
      <c r="T4338" s="250">
        <v>1.0500000000000001E-2</v>
      </c>
      <c r="U4338" s="250">
        <v>5.2199999999999996E-2</v>
      </c>
      <c r="V4338" s="250">
        <v>0.25402607361963186</v>
      </c>
      <c r="W4338" s="250">
        <v>0.41545245398773006</v>
      </c>
      <c r="X4338" s="250">
        <v>0.23014655760054534</v>
      </c>
      <c r="Y4338" s="250">
        <v>2.6116223585548739E-2</v>
      </c>
      <c r="Z4338" s="150">
        <v>16.5</v>
      </c>
      <c r="AA4338" s="150">
        <v>0.74</v>
      </c>
      <c r="AB4338" s="835"/>
      <c r="AC4338" s="152"/>
      <c r="AD4338" s="223">
        <v>6.4920270000000002</v>
      </c>
      <c r="AE4338" s="223">
        <v>0.33222109999999999</v>
      </c>
      <c r="AF4338" s="223">
        <v>2.1526332369999999</v>
      </c>
      <c r="AG4338" s="223">
        <v>1.1063877</v>
      </c>
      <c r="AH4338" s="341"/>
      <c r="AI4338" s="218"/>
      <c r="AJ4338" s="218"/>
      <c r="AK4338" s="153"/>
      <c r="AL4338" s="152"/>
      <c r="AM4338" s="152"/>
      <c r="AN4338" s="152"/>
      <c r="AO4338" s="152"/>
      <c r="AP4338" s="152"/>
      <c r="AQ4338" s="152"/>
      <c r="AR4338" s="152"/>
      <c r="AS4338" s="152"/>
      <c r="AT4338" s="152"/>
      <c r="AU4338" s="153"/>
      <c r="AV4338" s="479"/>
      <c r="AW4338" s="479"/>
      <c r="AX4338" s="442"/>
      <c r="AY4338" s="153"/>
      <c r="AZ4338" s="152"/>
      <c r="BA4338" s="152"/>
      <c r="BB4338" s="152"/>
      <c r="BC4338" s="152"/>
      <c r="BD4338" s="152"/>
      <c r="BE4338" s="152"/>
      <c r="BF4338" s="152"/>
      <c r="BG4338" s="152"/>
      <c r="BH4338" s="152"/>
      <c r="BI4338" s="153"/>
      <c r="BJ4338" s="153"/>
      <c r="BK4338" s="153"/>
      <c r="BL4338" s="153"/>
      <c r="BM4338" s="153"/>
      <c r="BN4338" s="153"/>
      <c r="BO4338" s="153"/>
      <c r="BP4338" s="153"/>
      <c r="BQ4338" s="153"/>
      <c r="BR4338" s="153"/>
      <c r="BS4338" s="153"/>
      <c r="BT4338" s="153"/>
      <c r="BU4338" s="153"/>
      <c r="BV4338" s="153"/>
      <c r="BW4338" s="153"/>
      <c r="BX4338" s="153"/>
      <c r="BY4338" s="153"/>
      <c r="BZ4338" s="153"/>
      <c r="CA4338" s="152"/>
      <c r="CB4338" s="152"/>
    </row>
    <row r="4339" spans="1:80" s="87" customFormat="1" x14ac:dyDescent="0.2">
      <c r="A4339" s="152"/>
      <c r="B4339" s="683"/>
      <c r="C4339" s="683"/>
      <c r="D4339" s="698"/>
      <c r="E4339" s="215"/>
      <c r="F4339" s="215"/>
      <c r="G4339" s="153"/>
      <c r="H4339" s="153"/>
      <c r="I4339" s="163">
        <v>21</v>
      </c>
      <c r="J4339" s="163">
        <v>60</v>
      </c>
      <c r="K4339" s="150">
        <v>1</v>
      </c>
      <c r="L4339" s="656">
        <v>21</v>
      </c>
      <c r="M4339" s="663">
        <v>34849</v>
      </c>
      <c r="N4339" s="600">
        <v>2.1659199999999998</v>
      </c>
      <c r="O4339" s="604">
        <v>3.2851999999999999E-2</v>
      </c>
      <c r="P4339" s="250"/>
      <c r="Q4339" s="250"/>
      <c r="R4339" s="250"/>
      <c r="S4339" s="250">
        <v>1.5E-3</v>
      </c>
      <c r="T4339" s="250">
        <v>1.4800000000000001E-2</v>
      </c>
      <c r="U4339" s="250">
        <v>4.82E-2</v>
      </c>
      <c r="V4339" s="250">
        <v>0.29460862196801185</v>
      </c>
      <c r="W4339" s="250">
        <v>0.40307170850545487</v>
      </c>
      <c r="X4339" s="250">
        <v>0.21061328249126152</v>
      </c>
      <c r="Y4339" s="250">
        <v>2.7094587437771423E-2</v>
      </c>
      <c r="Z4339" s="150">
        <v>11</v>
      </c>
      <c r="AA4339" s="150">
        <v>0.79</v>
      </c>
      <c r="AB4339" s="835"/>
      <c r="AC4339" s="152"/>
      <c r="AD4339" s="223">
        <v>6.4920270000000002</v>
      </c>
      <c r="AE4339" s="223">
        <v>0.33222109999999999</v>
      </c>
      <c r="AF4339" s="223">
        <v>2.1526332369999999</v>
      </c>
      <c r="AG4339" s="223">
        <v>1.1063877</v>
      </c>
      <c r="AH4339" s="341"/>
      <c r="AI4339" s="218"/>
      <c r="AJ4339" s="218"/>
      <c r="AK4339" s="153"/>
      <c r="AL4339" s="152"/>
      <c r="AM4339" s="152"/>
      <c r="AN4339" s="152"/>
      <c r="AO4339" s="152"/>
      <c r="AP4339" s="152"/>
      <c r="AQ4339" s="152"/>
      <c r="AR4339" s="152"/>
      <c r="AS4339" s="152"/>
      <c r="AT4339" s="152"/>
      <c r="AU4339" s="153"/>
      <c r="AV4339" s="479"/>
      <c r="AW4339" s="479"/>
      <c r="AX4339" s="442"/>
      <c r="AY4339" s="153"/>
      <c r="AZ4339" s="152"/>
      <c r="BA4339" s="152"/>
      <c r="BB4339" s="152"/>
      <c r="BC4339" s="152"/>
      <c r="BD4339" s="152"/>
      <c r="BE4339" s="152"/>
      <c r="BF4339" s="152"/>
      <c r="BG4339" s="152"/>
      <c r="BH4339" s="152"/>
      <c r="BI4339" s="153"/>
      <c r="BJ4339" s="153"/>
      <c r="BK4339" s="153"/>
      <c r="BL4339" s="153"/>
      <c r="BM4339" s="153"/>
      <c r="BN4339" s="153"/>
      <c r="BO4339" s="153"/>
      <c r="BP4339" s="153"/>
      <c r="BQ4339" s="153"/>
      <c r="BR4339" s="153"/>
      <c r="BS4339" s="153"/>
      <c r="BT4339" s="153"/>
      <c r="BU4339" s="153"/>
      <c r="BV4339" s="153"/>
      <c r="BW4339" s="153"/>
      <c r="BX4339" s="153"/>
      <c r="BY4339" s="153"/>
      <c r="BZ4339" s="153"/>
      <c r="CA4339" s="152"/>
      <c r="CB4339" s="152"/>
    </row>
    <row r="4340" spans="1:80" s="87" customFormat="1" x14ac:dyDescent="0.2">
      <c r="A4340" s="152"/>
      <c r="B4340" s="683"/>
      <c r="C4340" s="683"/>
      <c r="D4340" s="698"/>
      <c r="E4340" s="215"/>
      <c r="F4340" s="215"/>
      <c r="G4340" s="153"/>
      <c r="H4340" s="153"/>
      <c r="I4340" s="163">
        <v>21</v>
      </c>
      <c r="J4340" s="163">
        <v>60</v>
      </c>
      <c r="K4340" s="150">
        <v>1</v>
      </c>
      <c r="L4340" s="656">
        <v>21</v>
      </c>
      <c r="M4340" s="663">
        <v>34854</v>
      </c>
      <c r="N4340" s="600">
        <v>3.3409</v>
      </c>
      <c r="O4340" s="604">
        <v>9.4461000000000003E-2</v>
      </c>
      <c r="P4340" s="250"/>
      <c r="Q4340" s="250"/>
      <c r="R4340" s="250">
        <v>7.4900000000000008E-2</v>
      </c>
      <c r="S4340" s="250">
        <v>2.0299999999999999E-2</v>
      </c>
      <c r="T4340" s="250">
        <v>3.39E-2</v>
      </c>
      <c r="U4340" s="250">
        <v>8.4100000000000008E-2</v>
      </c>
      <c r="V4340" s="250">
        <v>0.27531484312440851</v>
      </c>
      <c r="W4340" s="250">
        <v>0.29407439761228799</v>
      </c>
      <c r="X4340" s="250">
        <v>0.18772657785542696</v>
      </c>
      <c r="Y4340" s="250">
        <v>2.9642571158185919E-2</v>
      </c>
      <c r="Z4340" s="150">
        <v>45.5</v>
      </c>
      <c r="AA4340" s="150">
        <v>0.97</v>
      </c>
      <c r="AB4340" s="835"/>
      <c r="AC4340" s="152"/>
      <c r="AD4340" s="223">
        <v>6.5529849999999996</v>
      </c>
      <c r="AE4340" s="223">
        <v>0.36574800000000002</v>
      </c>
      <c r="AF4340" s="223">
        <v>2.3957535399999998</v>
      </c>
      <c r="AG4340" s="223">
        <v>1.4081298</v>
      </c>
      <c r="AH4340" s="341"/>
      <c r="AI4340" s="218"/>
      <c r="AJ4340" s="218"/>
      <c r="AK4340" s="153"/>
      <c r="AL4340" s="152"/>
      <c r="AM4340" s="152"/>
      <c r="AN4340" s="152"/>
      <c r="AO4340" s="152"/>
      <c r="AP4340" s="152"/>
      <c r="AQ4340" s="152"/>
      <c r="AR4340" s="152"/>
      <c r="AS4340" s="152"/>
      <c r="AT4340" s="152"/>
      <c r="AU4340" s="153"/>
      <c r="AV4340" s="479"/>
      <c r="AW4340" s="479"/>
      <c r="AX4340" s="442"/>
      <c r="AY4340" s="153"/>
      <c r="AZ4340" s="152"/>
      <c r="BA4340" s="152"/>
      <c r="BB4340" s="152"/>
      <c r="BC4340" s="152"/>
      <c r="BD4340" s="152"/>
      <c r="BE4340" s="152"/>
      <c r="BF4340" s="152"/>
      <c r="BG4340" s="152"/>
      <c r="BH4340" s="152"/>
      <c r="BI4340" s="153"/>
      <c r="BJ4340" s="153"/>
      <c r="BK4340" s="153"/>
      <c r="BL4340" s="153"/>
      <c r="BM4340" s="153"/>
      <c r="BN4340" s="153"/>
      <c r="BO4340" s="153"/>
      <c r="BP4340" s="153"/>
      <c r="BQ4340" s="153"/>
      <c r="BR4340" s="153"/>
      <c r="BS4340" s="153"/>
      <c r="BT4340" s="153"/>
      <c r="BU4340" s="153"/>
      <c r="BV4340" s="153"/>
      <c r="BW4340" s="153"/>
      <c r="BX4340" s="153"/>
      <c r="BY4340" s="153"/>
      <c r="BZ4340" s="153"/>
      <c r="CA4340" s="152"/>
      <c r="CB4340" s="152"/>
    </row>
    <row r="4341" spans="1:80" s="87" customFormat="1" x14ac:dyDescent="0.2">
      <c r="A4341" s="152"/>
      <c r="B4341" s="683"/>
      <c r="C4341" s="683"/>
      <c r="D4341" s="698"/>
      <c r="E4341" s="215"/>
      <c r="F4341" s="215"/>
      <c r="G4341" s="153"/>
      <c r="H4341" s="153"/>
      <c r="I4341" s="163">
        <v>21</v>
      </c>
      <c r="J4341" s="163">
        <v>60</v>
      </c>
      <c r="K4341" s="150">
        <v>1</v>
      </c>
      <c r="L4341" s="656">
        <v>21</v>
      </c>
      <c r="M4341" s="663">
        <v>34854</v>
      </c>
      <c r="N4341" s="600">
        <v>3.3409</v>
      </c>
      <c r="O4341" s="604">
        <v>0.124899</v>
      </c>
      <c r="P4341" s="250"/>
      <c r="Q4341" s="250"/>
      <c r="R4341" s="250">
        <v>3.4799999999999998E-2</v>
      </c>
      <c r="S4341" s="250">
        <v>3.0099999999999998E-2</v>
      </c>
      <c r="T4341" s="250">
        <v>3.6299999999999999E-2</v>
      </c>
      <c r="U4341" s="250">
        <v>0.1094</v>
      </c>
      <c r="V4341" s="250">
        <v>0.2972545169758874</v>
      </c>
      <c r="W4341" s="250">
        <v>0.31265304771779651</v>
      </c>
      <c r="X4341" s="250">
        <v>0.1624842815857398</v>
      </c>
      <c r="Y4341" s="250">
        <v>1.7069646363255312E-2</v>
      </c>
      <c r="Z4341" s="150">
        <v>27</v>
      </c>
      <c r="AA4341" s="150">
        <v>1.02</v>
      </c>
      <c r="AB4341" s="835"/>
      <c r="AC4341" s="152"/>
      <c r="AD4341" s="223">
        <v>6.5529849999999996</v>
      </c>
      <c r="AE4341" s="223">
        <v>0.36574800000000002</v>
      </c>
      <c r="AF4341" s="223">
        <v>2.3957535399999998</v>
      </c>
      <c r="AG4341" s="223">
        <v>1.4081298</v>
      </c>
      <c r="AH4341" s="341"/>
      <c r="AI4341" s="218"/>
      <c r="AJ4341" s="218"/>
      <c r="AK4341" s="153"/>
      <c r="AL4341" s="152"/>
      <c r="AM4341" s="152"/>
      <c r="AN4341" s="152"/>
      <c r="AO4341" s="152"/>
      <c r="AP4341" s="152"/>
      <c r="AQ4341" s="152"/>
      <c r="AR4341" s="152"/>
      <c r="AS4341" s="152"/>
      <c r="AT4341" s="152"/>
      <c r="AU4341" s="153"/>
      <c r="AV4341" s="479"/>
      <c r="AW4341" s="479"/>
      <c r="AX4341" s="442"/>
      <c r="AY4341" s="153"/>
      <c r="AZ4341" s="152"/>
      <c r="BA4341" s="152"/>
      <c r="BB4341" s="152"/>
      <c r="BC4341" s="152"/>
      <c r="BD4341" s="152"/>
      <c r="BE4341" s="152"/>
      <c r="BF4341" s="152"/>
      <c r="BG4341" s="152"/>
      <c r="BH4341" s="152"/>
      <c r="BI4341" s="153"/>
      <c r="BJ4341" s="153"/>
      <c r="BK4341" s="153"/>
      <c r="BL4341" s="153"/>
      <c r="BM4341" s="153"/>
      <c r="BN4341" s="153"/>
      <c r="BO4341" s="153"/>
      <c r="BP4341" s="153"/>
      <c r="BQ4341" s="153"/>
      <c r="BR4341" s="153"/>
      <c r="BS4341" s="153"/>
      <c r="BT4341" s="153"/>
      <c r="BU4341" s="153"/>
      <c r="BV4341" s="153"/>
      <c r="BW4341" s="153"/>
      <c r="BX4341" s="153"/>
      <c r="BY4341" s="153"/>
      <c r="BZ4341" s="153"/>
      <c r="CA4341" s="152"/>
      <c r="CB4341" s="152"/>
    </row>
    <row r="4342" spans="1:80" s="87" customFormat="1" x14ac:dyDescent="0.2">
      <c r="A4342" s="152"/>
      <c r="B4342" s="683"/>
      <c r="C4342" s="683"/>
      <c r="D4342" s="698"/>
      <c r="E4342" s="215"/>
      <c r="F4342" s="215"/>
      <c r="G4342" s="153"/>
      <c r="H4342" s="153"/>
      <c r="I4342" s="163">
        <v>22</v>
      </c>
      <c r="J4342" s="163">
        <v>30</v>
      </c>
      <c r="K4342" s="150">
        <v>1</v>
      </c>
      <c r="L4342" s="656">
        <v>11</v>
      </c>
      <c r="M4342" s="663">
        <v>34855</v>
      </c>
      <c r="N4342" s="600">
        <v>3.5107699999999999</v>
      </c>
      <c r="O4342" s="604">
        <v>0.230906</v>
      </c>
      <c r="P4342" s="250"/>
      <c r="Q4342" s="250"/>
      <c r="R4342" s="250">
        <v>1.8500000000000003E-2</v>
      </c>
      <c r="S4342" s="250">
        <v>5.28E-2</v>
      </c>
      <c r="T4342" s="250">
        <v>6.1600000000000002E-2</v>
      </c>
      <c r="U4342" s="250">
        <v>0.11109999999999999</v>
      </c>
      <c r="V4342" s="250">
        <v>0.31072825663649944</v>
      </c>
      <c r="W4342" s="250">
        <v>0.27403932783464408</v>
      </c>
      <c r="X4342" s="250">
        <v>0.152760097883644</v>
      </c>
      <c r="Y4342" s="250">
        <v>1.8414215216140336E-2</v>
      </c>
      <c r="Z4342" s="150">
        <v>29</v>
      </c>
      <c r="AA4342" s="150">
        <v>1.1100000000000001</v>
      </c>
      <c r="AB4342" s="835"/>
      <c r="AC4342" s="152"/>
      <c r="AD4342" s="223">
        <v>6.7053799999999999</v>
      </c>
      <c r="AE4342" s="223">
        <v>0.39013120000000001</v>
      </c>
      <c r="AF4342" s="223">
        <v>2.6215869810000001</v>
      </c>
      <c r="AG4342" s="223">
        <v>1.4172735000000001</v>
      </c>
      <c r="AH4342" s="341"/>
      <c r="AI4342" s="218"/>
      <c r="AJ4342" s="218"/>
      <c r="AK4342" s="153"/>
      <c r="AL4342" s="152"/>
      <c r="AM4342" s="152"/>
      <c r="AN4342" s="152"/>
      <c r="AO4342" s="152"/>
      <c r="AP4342" s="152"/>
      <c r="AQ4342" s="152"/>
      <c r="AR4342" s="152"/>
      <c r="AS4342" s="152"/>
      <c r="AT4342" s="152"/>
      <c r="AU4342" s="153"/>
      <c r="AV4342" s="479"/>
      <c r="AW4342" s="479"/>
      <c r="AX4342" s="442"/>
      <c r="AY4342" s="153"/>
      <c r="AZ4342" s="152"/>
      <c r="BA4342" s="152"/>
      <c r="BB4342" s="152"/>
      <c r="BC4342" s="152"/>
      <c r="BD4342" s="152"/>
      <c r="BE4342" s="152"/>
      <c r="BF4342" s="152"/>
      <c r="BG4342" s="152"/>
      <c r="BH4342" s="152"/>
      <c r="BI4342" s="153"/>
      <c r="BJ4342" s="153"/>
      <c r="BK4342" s="153"/>
      <c r="BL4342" s="153"/>
      <c r="BM4342" s="153"/>
      <c r="BN4342" s="153"/>
      <c r="BO4342" s="153"/>
      <c r="BP4342" s="153"/>
      <c r="BQ4342" s="153"/>
      <c r="BR4342" s="153"/>
      <c r="BS4342" s="153"/>
      <c r="BT4342" s="153"/>
      <c r="BU4342" s="153"/>
      <c r="BV4342" s="153"/>
      <c r="BW4342" s="153"/>
      <c r="BX4342" s="153"/>
      <c r="BY4342" s="153"/>
      <c r="BZ4342" s="153"/>
      <c r="CA4342" s="152"/>
      <c r="CB4342" s="152"/>
    </row>
    <row r="4343" spans="1:80" s="87" customFormat="1" x14ac:dyDescent="0.2">
      <c r="A4343" s="152"/>
      <c r="B4343" s="683"/>
      <c r="C4343" s="683"/>
      <c r="D4343" s="698"/>
      <c r="E4343" s="215"/>
      <c r="F4343" s="215"/>
      <c r="G4343" s="153"/>
      <c r="H4343" s="153"/>
      <c r="I4343" s="163">
        <v>22</v>
      </c>
      <c r="J4343" s="163">
        <v>30</v>
      </c>
      <c r="K4343" s="150">
        <v>1</v>
      </c>
      <c r="L4343" s="656">
        <v>11</v>
      </c>
      <c r="M4343" s="663">
        <v>34855</v>
      </c>
      <c r="N4343" s="600">
        <v>3.5107699999999999</v>
      </c>
      <c r="O4343" s="604">
        <v>0.15323700000000001</v>
      </c>
      <c r="P4343" s="250"/>
      <c r="Q4343" s="250"/>
      <c r="R4343" s="250">
        <v>2.5000000000000001E-2</v>
      </c>
      <c r="S4343" s="250">
        <v>3.5299999999999998E-2</v>
      </c>
      <c r="T4343" s="250">
        <v>5.0199999999999995E-2</v>
      </c>
      <c r="U4343" s="250">
        <v>9.3699999999999992E-2</v>
      </c>
      <c r="V4343" s="250">
        <v>0.25434621623527753</v>
      </c>
      <c r="W4343" s="250">
        <v>0.3099830735594894</v>
      </c>
      <c r="X4343" s="250">
        <v>0.21009062698356729</v>
      </c>
      <c r="Y4343" s="250">
        <v>2.1351999435785318E-2</v>
      </c>
      <c r="Z4343" s="150">
        <v>25</v>
      </c>
      <c r="AA4343" s="150">
        <v>0.91</v>
      </c>
      <c r="AB4343" s="835"/>
      <c r="AC4343" s="152"/>
      <c r="AD4343" s="223">
        <v>6.7053799999999999</v>
      </c>
      <c r="AE4343" s="223">
        <v>0.39013120000000001</v>
      </c>
      <c r="AF4343" s="223">
        <v>2.6215869810000001</v>
      </c>
      <c r="AG4343" s="223">
        <v>1.4172735000000001</v>
      </c>
      <c r="AH4343" s="341"/>
      <c r="AI4343" s="218"/>
      <c r="AJ4343" s="218"/>
      <c r="AK4343" s="153"/>
      <c r="AL4343" s="152"/>
      <c r="AM4343" s="152"/>
      <c r="AN4343" s="152"/>
      <c r="AO4343" s="152"/>
      <c r="AP4343" s="152"/>
      <c r="AQ4343" s="152"/>
      <c r="AR4343" s="152"/>
      <c r="AS4343" s="152"/>
      <c r="AT4343" s="152"/>
      <c r="AU4343" s="153"/>
      <c r="AV4343" s="479"/>
      <c r="AW4343" s="479"/>
      <c r="AX4343" s="442"/>
      <c r="AY4343" s="153"/>
      <c r="AZ4343" s="152"/>
      <c r="BA4343" s="152"/>
      <c r="BB4343" s="152"/>
      <c r="BC4343" s="152"/>
      <c r="BD4343" s="152"/>
      <c r="BE4343" s="152"/>
      <c r="BF4343" s="152"/>
      <c r="BG4343" s="152"/>
      <c r="BH4343" s="152"/>
      <c r="BI4343" s="153"/>
      <c r="BJ4343" s="153"/>
      <c r="BK4343" s="153"/>
      <c r="BL4343" s="153"/>
      <c r="BM4343" s="153"/>
      <c r="BN4343" s="153"/>
      <c r="BO4343" s="153"/>
      <c r="BP4343" s="153"/>
      <c r="BQ4343" s="153"/>
      <c r="BR4343" s="153"/>
      <c r="BS4343" s="153"/>
      <c r="BT4343" s="153"/>
      <c r="BU4343" s="153"/>
      <c r="BV4343" s="153"/>
      <c r="BW4343" s="153"/>
      <c r="BX4343" s="153"/>
      <c r="BY4343" s="153"/>
      <c r="BZ4343" s="153"/>
      <c r="CA4343" s="152"/>
      <c r="CB4343" s="152"/>
    </row>
    <row r="4344" spans="1:80" s="87" customFormat="1" x14ac:dyDescent="0.2">
      <c r="A4344" s="152"/>
      <c r="B4344" s="683"/>
      <c r="C4344" s="683"/>
      <c r="D4344" s="698"/>
      <c r="E4344" s="215"/>
      <c r="F4344" s="215"/>
      <c r="G4344" s="153"/>
      <c r="H4344" s="153"/>
      <c r="I4344" s="163">
        <v>21</v>
      </c>
      <c r="J4344" s="163">
        <v>60</v>
      </c>
      <c r="K4344" s="150">
        <v>1</v>
      </c>
      <c r="L4344" s="656">
        <v>21</v>
      </c>
      <c r="M4344" s="663">
        <v>34857</v>
      </c>
      <c r="N4344" s="600">
        <v>2.44339</v>
      </c>
      <c r="O4344" s="604">
        <v>3.0752000000000002E-2</v>
      </c>
      <c r="P4344" s="250"/>
      <c r="Q4344" s="250"/>
      <c r="R4344" s="250">
        <v>5.9000000000000004E-2</v>
      </c>
      <c r="S4344" s="250">
        <v>2.0899999999999998E-2</v>
      </c>
      <c r="T4344" s="250">
        <v>1.7600000000000001E-2</v>
      </c>
      <c r="U4344" s="250">
        <v>4.9000000000000002E-2</v>
      </c>
      <c r="V4344" s="250">
        <v>0.18329943452314432</v>
      </c>
      <c r="W4344" s="250">
        <v>0.34243758521266848</v>
      </c>
      <c r="X4344" s="250">
        <v>0.2927739657137749</v>
      </c>
      <c r="Y4344" s="250">
        <v>3.4934400214568298E-2</v>
      </c>
      <c r="Z4344" s="150">
        <v>19</v>
      </c>
      <c r="AA4344" s="150">
        <v>0.68</v>
      </c>
      <c r="AB4344" s="835"/>
      <c r="AC4344" s="152"/>
      <c r="AD4344" s="223">
        <v>6.4920270000000002</v>
      </c>
      <c r="AE4344" s="223">
        <v>0.31698159999999997</v>
      </c>
      <c r="AF4344" s="223">
        <v>2.057365109</v>
      </c>
      <c r="AG4344" s="223">
        <v>1.0972440000000001</v>
      </c>
      <c r="AH4344" s="341"/>
      <c r="AI4344" s="218"/>
      <c r="AJ4344" s="218"/>
      <c r="AK4344" s="153"/>
      <c r="AL4344" s="152"/>
      <c r="AM4344" s="152"/>
      <c r="AN4344" s="152"/>
      <c r="AO4344" s="152"/>
      <c r="AP4344" s="152"/>
      <c r="AQ4344" s="152"/>
      <c r="AR4344" s="152"/>
      <c r="AS4344" s="152"/>
      <c r="AT4344" s="152"/>
      <c r="AU4344" s="153"/>
      <c r="AV4344" s="479"/>
      <c r="AW4344" s="479"/>
      <c r="AX4344" s="442"/>
      <c r="AY4344" s="153"/>
      <c r="AZ4344" s="152"/>
      <c r="BA4344" s="152"/>
      <c r="BB4344" s="152"/>
      <c r="BC4344" s="152"/>
      <c r="BD4344" s="152"/>
      <c r="BE4344" s="152"/>
      <c r="BF4344" s="152"/>
      <c r="BG4344" s="152"/>
      <c r="BH4344" s="152"/>
      <c r="BI4344" s="153"/>
      <c r="BJ4344" s="153"/>
      <c r="BK4344" s="153"/>
      <c r="BL4344" s="153"/>
      <c r="BM4344" s="153"/>
      <c r="BN4344" s="153"/>
      <c r="BO4344" s="153"/>
      <c r="BP4344" s="153"/>
      <c r="BQ4344" s="153"/>
      <c r="BR4344" s="153"/>
      <c r="BS4344" s="153"/>
      <c r="BT4344" s="153"/>
      <c r="BU4344" s="153"/>
      <c r="BV4344" s="153"/>
      <c r="BW4344" s="153"/>
      <c r="BX4344" s="153"/>
      <c r="BY4344" s="153"/>
      <c r="BZ4344" s="153"/>
      <c r="CA4344" s="152"/>
      <c r="CB4344" s="152"/>
    </row>
    <row r="4345" spans="1:80" s="87" customFormat="1" x14ac:dyDescent="0.2">
      <c r="A4345" s="152"/>
      <c r="B4345" s="683"/>
      <c r="C4345" s="683"/>
      <c r="D4345" s="698"/>
      <c r="E4345" s="215"/>
      <c r="F4345" s="215"/>
      <c r="G4345" s="153"/>
      <c r="H4345" s="153"/>
      <c r="I4345" s="163">
        <v>21</v>
      </c>
      <c r="J4345" s="163">
        <v>60</v>
      </c>
      <c r="K4345" s="150">
        <v>1</v>
      </c>
      <c r="L4345" s="656">
        <v>21</v>
      </c>
      <c r="M4345" s="663">
        <v>34857</v>
      </c>
      <c r="N4345" s="600">
        <v>2.44339</v>
      </c>
      <c r="O4345" s="604">
        <v>3.4425999999999998E-2</v>
      </c>
      <c r="P4345" s="250"/>
      <c r="Q4345" s="250"/>
      <c r="R4345" s="250">
        <v>4.4500000000000005E-2</v>
      </c>
      <c r="S4345" s="250">
        <v>5.6000000000000008E-3</v>
      </c>
      <c r="T4345" s="250">
        <v>1.55E-2</v>
      </c>
      <c r="U4345" s="250">
        <v>4.9000000000000002E-2</v>
      </c>
      <c r="V4345" s="250">
        <v>0.20113568439928273</v>
      </c>
      <c r="W4345" s="250">
        <v>0.38820482167762504</v>
      </c>
      <c r="X4345" s="250">
        <v>0.26834030683403071</v>
      </c>
      <c r="Y4345" s="250">
        <v>2.7754532775453276E-2</v>
      </c>
      <c r="Z4345" s="150">
        <v>25</v>
      </c>
      <c r="AA4345" s="150">
        <v>0.7</v>
      </c>
      <c r="AB4345" s="835"/>
      <c r="AC4345" s="152"/>
      <c r="AD4345" s="223">
        <v>6.4920270000000002</v>
      </c>
      <c r="AE4345" s="223">
        <v>0.31698159999999997</v>
      </c>
      <c r="AF4345" s="223">
        <v>2.057365109</v>
      </c>
      <c r="AG4345" s="223">
        <v>1.0972440000000001</v>
      </c>
      <c r="AH4345" s="341"/>
      <c r="AI4345" s="218"/>
      <c r="AJ4345" s="218"/>
      <c r="AK4345" s="153"/>
      <c r="AL4345" s="152"/>
      <c r="AM4345" s="152"/>
      <c r="AN4345" s="152"/>
      <c r="AO4345" s="152"/>
      <c r="AP4345" s="152"/>
      <c r="AQ4345" s="152"/>
      <c r="AR4345" s="152"/>
      <c r="AS4345" s="152"/>
      <c r="AT4345" s="152"/>
      <c r="AU4345" s="153"/>
      <c r="AV4345" s="479"/>
      <c r="AW4345" s="479"/>
      <c r="AX4345" s="442"/>
      <c r="AY4345" s="153"/>
      <c r="AZ4345" s="152"/>
      <c r="BA4345" s="152"/>
      <c r="BB4345" s="152"/>
      <c r="BC4345" s="152"/>
      <c r="BD4345" s="152"/>
      <c r="BE4345" s="152"/>
      <c r="BF4345" s="152"/>
      <c r="BG4345" s="152"/>
      <c r="BH4345" s="152"/>
      <c r="BI4345" s="153"/>
      <c r="BJ4345" s="153"/>
      <c r="BK4345" s="153"/>
      <c r="BL4345" s="153"/>
      <c r="BM4345" s="153"/>
      <c r="BN4345" s="153"/>
      <c r="BO4345" s="153"/>
      <c r="BP4345" s="153"/>
      <c r="BQ4345" s="153"/>
      <c r="BR4345" s="153"/>
      <c r="BS4345" s="153"/>
      <c r="BT4345" s="153"/>
      <c r="BU4345" s="153"/>
      <c r="BV4345" s="153"/>
      <c r="BW4345" s="153"/>
      <c r="BX4345" s="153"/>
      <c r="BY4345" s="153"/>
      <c r="BZ4345" s="153"/>
      <c r="CA4345" s="152"/>
      <c r="CB4345" s="152"/>
    </row>
    <row r="4346" spans="1:80" s="87" customFormat="1" x14ac:dyDescent="0.2">
      <c r="A4346" s="152"/>
      <c r="B4346" s="683"/>
      <c r="C4346" s="683"/>
      <c r="D4346" s="698"/>
      <c r="E4346" s="215"/>
      <c r="F4346" s="215"/>
      <c r="G4346" s="153"/>
      <c r="H4346" s="153"/>
      <c r="I4346" s="163">
        <v>20</v>
      </c>
      <c r="J4346" s="163">
        <v>60</v>
      </c>
      <c r="K4346" s="150">
        <v>1</v>
      </c>
      <c r="L4346" s="656">
        <v>20</v>
      </c>
      <c r="M4346" s="663">
        <v>34859</v>
      </c>
      <c r="N4346" s="600">
        <v>1.87147</v>
      </c>
      <c r="O4346" s="604">
        <v>3.2641999999999997E-2</v>
      </c>
      <c r="P4346" s="250"/>
      <c r="Q4346" s="250">
        <v>0.1018</v>
      </c>
      <c r="R4346" s="250">
        <v>2.6800000000000001E-2</v>
      </c>
      <c r="S4346" s="250">
        <v>4.0000000000000001E-3</v>
      </c>
      <c r="T4346" s="250">
        <v>2.3E-2</v>
      </c>
      <c r="U4346" s="250">
        <v>6.88E-2</v>
      </c>
      <c r="V4346" s="250">
        <v>0.20430874589813094</v>
      </c>
      <c r="W4346" s="250">
        <v>0.31924260644477509</v>
      </c>
      <c r="X4346" s="250">
        <v>0.22471108574689683</v>
      </c>
      <c r="Y4346" s="250">
        <v>2.7250677700099871E-2</v>
      </c>
      <c r="Z4346" s="150">
        <v>46</v>
      </c>
      <c r="AA4346" s="150">
        <v>0.85</v>
      </c>
      <c r="AB4346" s="835"/>
      <c r="AC4346" s="152"/>
      <c r="AD4346" s="223">
        <v>6.0348420000000003</v>
      </c>
      <c r="AE4346" s="223">
        <v>0.29564629999999997</v>
      </c>
      <c r="AF4346" s="223">
        <v>1.7820699179999999</v>
      </c>
      <c r="AG4346" s="223">
        <v>1.0149507</v>
      </c>
      <c r="AH4346" s="341"/>
      <c r="AI4346" s="218"/>
      <c r="AJ4346" s="218"/>
      <c r="AK4346" s="153"/>
      <c r="AL4346" s="152"/>
      <c r="AM4346" s="152"/>
      <c r="AN4346" s="152"/>
      <c r="AO4346" s="152"/>
      <c r="AP4346" s="152"/>
      <c r="AQ4346" s="152"/>
      <c r="AR4346" s="152"/>
      <c r="AS4346" s="152"/>
      <c r="AT4346" s="152"/>
      <c r="AU4346" s="153"/>
      <c r="AV4346" s="479"/>
      <c r="AW4346" s="479"/>
      <c r="AX4346" s="442"/>
      <c r="AY4346" s="153"/>
      <c r="AZ4346" s="152"/>
      <c r="BA4346" s="152"/>
      <c r="BB4346" s="152"/>
      <c r="BC4346" s="152"/>
      <c r="BD4346" s="152"/>
      <c r="BE4346" s="152"/>
      <c r="BF4346" s="152"/>
      <c r="BG4346" s="152"/>
      <c r="BH4346" s="152"/>
      <c r="BI4346" s="153"/>
      <c r="BJ4346" s="153"/>
      <c r="BK4346" s="153"/>
      <c r="BL4346" s="153"/>
      <c r="BM4346" s="153"/>
      <c r="BN4346" s="153"/>
      <c r="BO4346" s="153"/>
      <c r="BP4346" s="153"/>
      <c r="BQ4346" s="153"/>
      <c r="BR4346" s="153"/>
      <c r="BS4346" s="153"/>
      <c r="BT4346" s="153"/>
      <c r="BU4346" s="153"/>
      <c r="BV4346" s="153"/>
      <c r="BW4346" s="153"/>
      <c r="BX4346" s="153"/>
      <c r="BY4346" s="153"/>
      <c r="BZ4346" s="153"/>
      <c r="CA4346" s="152"/>
      <c r="CB4346" s="152"/>
    </row>
    <row r="4347" spans="1:80" s="87" customFormat="1" x14ac:dyDescent="0.2">
      <c r="A4347" s="152"/>
      <c r="B4347" s="683"/>
      <c r="C4347" s="683"/>
      <c r="D4347" s="698"/>
      <c r="E4347" s="215"/>
      <c r="F4347" s="215"/>
      <c r="G4347" s="153"/>
      <c r="H4347" s="153"/>
      <c r="I4347" s="163">
        <v>20</v>
      </c>
      <c r="J4347" s="163">
        <v>60</v>
      </c>
      <c r="K4347" s="150">
        <v>1</v>
      </c>
      <c r="L4347" s="656">
        <v>20</v>
      </c>
      <c r="M4347" s="663">
        <v>34859</v>
      </c>
      <c r="N4347" s="600">
        <v>1.87147</v>
      </c>
      <c r="O4347" s="604">
        <v>2.6554000000000001E-2</v>
      </c>
      <c r="P4347" s="250"/>
      <c r="Q4347" s="250"/>
      <c r="R4347" s="250">
        <v>3.2899999999999999E-2</v>
      </c>
      <c r="S4347" s="250">
        <v>3.4300000000000004E-2</v>
      </c>
      <c r="T4347" s="250">
        <v>2.12E-2</v>
      </c>
      <c r="U4347" s="250">
        <v>6.5000000000000002E-2</v>
      </c>
      <c r="V4347" s="250">
        <v>0.19892135958861157</v>
      </c>
      <c r="W4347" s="250">
        <v>0.33836698858647934</v>
      </c>
      <c r="X4347" s="250">
        <v>0.28172582465822155</v>
      </c>
      <c r="Y4347" s="250">
        <v>2.7467703499310173E-2</v>
      </c>
      <c r="Z4347" s="150">
        <v>22.5</v>
      </c>
      <c r="AA4347" s="150">
        <v>0.71</v>
      </c>
      <c r="AB4347" s="835"/>
      <c r="AC4347" s="152"/>
      <c r="AD4347" s="223">
        <v>6.0348420000000003</v>
      </c>
      <c r="AE4347" s="223">
        <v>0.29564629999999997</v>
      </c>
      <c r="AF4347" s="223">
        <v>1.7820699179999999</v>
      </c>
      <c r="AG4347" s="223">
        <v>1.0149507</v>
      </c>
      <c r="AH4347" s="341"/>
      <c r="AI4347" s="218"/>
      <c r="AJ4347" s="218"/>
      <c r="AK4347" s="153"/>
      <c r="AL4347" s="152"/>
      <c r="AM4347" s="152"/>
      <c r="AN4347" s="152"/>
      <c r="AO4347" s="152"/>
      <c r="AP4347" s="152"/>
      <c r="AQ4347" s="152"/>
      <c r="AR4347" s="152"/>
      <c r="AS4347" s="152"/>
      <c r="AT4347" s="152"/>
      <c r="AU4347" s="153"/>
      <c r="AV4347" s="479"/>
      <c r="AW4347" s="479"/>
      <c r="AX4347" s="442"/>
      <c r="AY4347" s="153"/>
      <c r="AZ4347" s="152"/>
      <c r="BA4347" s="152"/>
      <c r="BB4347" s="152"/>
      <c r="BC4347" s="152"/>
      <c r="BD4347" s="152"/>
      <c r="BE4347" s="152"/>
      <c r="BF4347" s="152"/>
      <c r="BG4347" s="152"/>
      <c r="BH4347" s="152"/>
      <c r="BI4347" s="153"/>
      <c r="BJ4347" s="153"/>
      <c r="BK4347" s="153"/>
      <c r="BL4347" s="153"/>
      <c r="BM4347" s="153"/>
      <c r="BN4347" s="153"/>
      <c r="BO4347" s="153"/>
      <c r="BP4347" s="153"/>
      <c r="BQ4347" s="153"/>
      <c r="BR4347" s="153"/>
      <c r="BS4347" s="153"/>
      <c r="BT4347" s="153"/>
      <c r="BU4347" s="153"/>
      <c r="BV4347" s="153"/>
      <c r="BW4347" s="153"/>
      <c r="BX4347" s="153"/>
      <c r="BY4347" s="153"/>
      <c r="BZ4347" s="153"/>
      <c r="CA4347" s="152"/>
      <c r="CB4347" s="152"/>
    </row>
    <row r="4348" spans="1:80" s="87" customFormat="1" x14ac:dyDescent="0.2">
      <c r="A4348" s="152"/>
      <c r="B4348" s="683"/>
      <c r="C4348" s="683"/>
      <c r="D4348" s="698"/>
      <c r="E4348" s="215"/>
      <c r="F4348" s="215"/>
      <c r="G4348" s="153"/>
      <c r="H4348" s="153"/>
      <c r="I4348" s="163">
        <v>21</v>
      </c>
      <c r="J4348" s="163">
        <v>60</v>
      </c>
      <c r="K4348" s="150">
        <v>1</v>
      </c>
      <c r="L4348" s="656">
        <v>21</v>
      </c>
      <c r="M4348" s="663">
        <v>34862</v>
      </c>
      <c r="N4348" s="600">
        <v>2.4178999999999999</v>
      </c>
      <c r="O4348" s="604">
        <v>9.7924999999999998E-2</v>
      </c>
      <c r="P4348" s="250"/>
      <c r="Q4348" s="250"/>
      <c r="R4348" s="250">
        <v>0.25989999999999996</v>
      </c>
      <c r="S4348" s="250">
        <v>1.66E-2</v>
      </c>
      <c r="T4348" s="250">
        <v>2.4300000000000002E-2</v>
      </c>
      <c r="U4348" s="250">
        <v>5.4699999999999999E-2</v>
      </c>
      <c r="V4348" s="250">
        <v>0.18720426205035845</v>
      </c>
      <c r="W4348" s="250">
        <v>0.26681640451130906</v>
      </c>
      <c r="X4348" s="250">
        <v>0.16241534447693329</v>
      </c>
      <c r="Y4348" s="250">
        <v>2.803475926674108E-2</v>
      </c>
      <c r="Z4348" s="150">
        <v>68.5</v>
      </c>
      <c r="AA4348" s="150">
        <v>1.1299999999999999</v>
      </c>
      <c r="AB4348" s="835"/>
      <c r="AC4348" s="152"/>
      <c r="AD4348" s="223">
        <v>6.4005900000000002</v>
      </c>
      <c r="AE4348" s="223">
        <v>0.33222109999999999</v>
      </c>
      <c r="AF4348" s="223">
        <v>2.1328713829999999</v>
      </c>
      <c r="AG4348" s="223">
        <v>1.0789565999999999</v>
      </c>
      <c r="AH4348" s="341"/>
      <c r="AI4348" s="218"/>
      <c r="AJ4348" s="218"/>
      <c r="AK4348" s="153"/>
      <c r="AL4348" s="152"/>
      <c r="AM4348" s="152"/>
      <c r="AN4348" s="152"/>
      <c r="AO4348" s="152"/>
      <c r="AP4348" s="152"/>
      <c r="AQ4348" s="152"/>
      <c r="AR4348" s="152"/>
      <c r="AS4348" s="152"/>
      <c r="AT4348" s="152"/>
      <c r="AU4348" s="153"/>
      <c r="AV4348" s="479"/>
      <c r="AW4348" s="479"/>
      <c r="AX4348" s="442"/>
      <c r="AY4348" s="153"/>
      <c r="AZ4348" s="152"/>
      <c r="BA4348" s="152"/>
      <c r="BB4348" s="152"/>
      <c r="BC4348" s="152"/>
      <c r="BD4348" s="152"/>
      <c r="BE4348" s="152"/>
      <c r="BF4348" s="152"/>
      <c r="BG4348" s="152"/>
      <c r="BH4348" s="152"/>
      <c r="BI4348" s="153"/>
      <c r="BJ4348" s="153"/>
      <c r="BK4348" s="153"/>
      <c r="BL4348" s="153"/>
      <c r="BM4348" s="153"/>
      <c r="BN4348" s="153"/>
      <c r="BO4348" s="153"/>
      <c r="BP4348" s="153"/>
      <c r="BQ4348" s="153"/>
      <c r="BR4348" s="153"/>
      <c r="BS4348" s="153"/>
      <c r="BT4348" s="153"/>
      <c r="BU4348" s="153"/>
      <c r="BV4348" s="153"/>
      <c r="BW4348" s="153"/>
      <c r="BX4348" s="153"/>
      <c r="BY4348" s="153"/>
      <c r="BZ4348" s="153"/>
      <c r="CA4348" s="152"/>
      <c r="CB4348" s="152"/>
    </row>
    <row r="4349" spans="1:80" s="87" customFormat="1" x14ac:dyDescent="0.2">
      <c r="A4349" s="152"/>
      <c r="B4349" s="683"/>
      <c r="C4349" s="683"/>
      <c r="D4349" s="698"/>
      <c r="E4349" s="215"/>
      <c r="F4349" s="215"/>
      <c r="G4349" s="153"/>
      <c r="H4349" s="153"/>
      <c r="I4349" s="163">
        <v>21</v>
      </c>
      <c r="J4349" s="163">
        <v>60</v>
      </c>
      <c r="K4349" s="150">
        <v>1</v>
      </c>
      <c r="L4349" s="656">
        <v>21</v>
      </c>
      <c r="M4349" s="663">
        <v>34862</v>
      </c>
      <c r="N4349" s="600">
        <v>2.4178999999999999</v>
      </c>
      <c r="O4349" s="604">
        <v>9.4146999999999995E-2</v>
      </c>
      <c r="P4349" s="250"/>
      <c r="Q4349" s="250"/>
      <c r="R4349" s="250">
        <v>0.1013</v>
      </c>
      <c r="S4349" s="250">
        <v>5.5999999999999994E-2</v>
      </c>
      <c r="T4349" s="250">
        <v>4.2000000000000003E-2</v>
      </c>
      <c r="U4349" s="250">
        <v>6.6100000000000006E-2</v>
      </c>
      <c r="V4349" s="250">
        <v>0.21935612734782392</v>
      </c>
      <c r="W4349" s="250">
        <v>0.32508934749577345</v>
      </c>
      <c r="X4349" s="250">
        <v>0.16550508977550774</v>
      </c>
      <c r="Y4349" s="250">
        <v>2.4689156317099795E-2</v>
      </c>
      <c r="Z4349" s="150">
        <v>47</v>
      </c>
      <c r="AA4349" s="150">
        <v>0.97</v>
      </c>
      <c r="AB4349" s="835"/>
      <c r="AC4349" s="152"/>
      <c r="AD4349" s="223">
        <v>6.4005900000000002</v>
      </c>
      <c r="AE4349" s="223">
        <v>0.33222109999999999</v>
      </c>
      <c r="AF4349" s="223">
        <v>2.1328713829999999</v>
      </c>
      <c r="AG4349" s="223">
        <v>1.0789565999999999</v>
      </c>
      <c r="AH4349" s="341"/>
      <c r="AI4349" s="218"/>
      <c r="AJ4349" s="218"/>
      <c r="AK4349" s="153"/>
      <c r="AL4349" s="152"/>
      <c r="AM4349" s="152"/>
      <c r="AN4349" s="152"/>
      <c r="AO4349" s="152"/>
      <c r="AP4349" s="152"/>
      <c r="AQ4349" s="152"/>
      <c r="AR4349" s="152"/>
      <c r="AS4349" s="152"/>
      <c r="AT4349" s="152"/>
      <c r="AU4349" s="153"/>
      <c r="AV4349" s="479"/>
      <c r="AW4349" s="479"/>
      <c r="AX4349" s="442"/>
      <c r="AY4349" s="153"/>
      <c r="AZ4349" s="152"/>
      <c r="BA4349" s="152"/>
      <c r="BB4349" s="152"/>
      <c r="BC4349" s="152"/>
      <c r="BD4349" s="152"/>
      <c r="BE4349" s="152"/>
      <c r="BF4349" s="152"/>
      <c r="BG4349" s="152"/>
      <c r="BH4349" s="152"/>
      <c r="BI4349" s="153"/>
      <c r="BJ4349" s="153"/>
      <c r="BK4349" s="153"/>
      <c r="BL4349" s="153"/>
      <c r="BM4349" s="153"/>
      <c r="BN4349" s="153"/>
      <c r="BO4349" s="153"/>
      <c r="BP4349" s="153"/>
      <c r="BQ4349" s="153"/>
      <c r="BR4349" s="153"/>
      <c r="BS4349" s="153"/>
      <c r="BT4349" s="153"/>
      <c r="BU4349" s="153"/>
      <c r="BV4349" s="153"/>
      <c r="BW4349" s="153"/>
      <c r="BX4349" s="153"/>
      <c r="BY4349" s="153"/>
      <c r="BZ4349" s="153"/>
      <c r="CA4349" s="152"/>
      <c r="CB4349" s="152"/>
    </row>
    <row r="4350" spans="1:80" s="87" customFormat="1" x14ac:dyDescent="0.2">
      <c r="A4350" s="152"/>
      <c r="B4350" s="683"/>
      <c r="C4350" s="683"/>
      <c r="D4350" s="698"/>
      <c r="E4350" s="215"/>
      <c r="F4350" s="215"/>
      <c r="G4350" s="153"/>
      <c r="H4350" s="153"/>
      <c r="I4350" s="163">
        <v>22</v>
      </c>
      <c r="J4350" s="163">
        <v>60</v>
      </c>
      <c r="K4350" s="150">
        <v>1</v>
      </c>
      <c r="L4350" s="656">
        <v>22</v>
      </c>
      <c r="M4350" s="663">
        <v>34863</v>
      </c>
      <c r="N4350" s="600">
        <v>2.6387399999999999</v>
      </c>
      <c r="O4350" s="604">
        <v>8.2810999999999996E-2</v>
      </c>
      <c r="P4350" s="250"/>
      <c r="Q4350" s="250"/>
      <c r="R4350" s="250">
        <v>3.61E-2</v>
      </c>
      <c r="S4350" s="250">
        <v>2.8799999999999999E-2</v>
      </c>
      <c r="T4350" s="250">
        <v>3.7900000000000003E-2</v>
      </c>
      <c r="U4350" s="250">
        <v>7.400000000000001E-2</v>
      </c>
      <c r="V4350" s="250">
        <v>0.30800582241630275</v>
      </c>
      <c r="W4350" s="250">
        <v>0.33319170699083356</v>
      </c>
      <c r="X4350" s="250">
        <v>0.17425547818560919</v>
      </c>
      <c r="Y4350" s="250">
        <v>7.7737125772060281E-3</v>
      </c>
      <c r="Z4350" s="150">
        <v>39.5</v>
      </c>
      <c r="AA4350" s="150">
        <v>0.97</v>
      </c>
      <c r="AB4350" s="835"/>
      <c r="AC4350" s="152"/>
      <c r="AD4350" s="223">
        <v>6.4920270000000002</v>
      </c>
      <c r="AE4350" s="223">
        <v>0.33831689999999998</v>
      </c>
      <c r="AF4350" s="223">
        <v>2.1971450039999998</v>
      </c>
      <c r="AG4350" s="223">
        <v>1.2008726000000001</v>
      </c>
      <c r="AH4350" s="341"/>
      <c r="AI4350" s="218"/>
      <c r="AJ4350" s="218"/>
      <c r="AK4350" s="153"/>
      <c r="AL4350" s="152"/>
      <c r="AM4350" s="152"/>
      <c r="AN4350" s="152"/>
      <c r="AO4350" s="152"/>
      <c r="AP4350" s="152"/>
      <c r="AQ4350" s="152"/>
      <c r="AR4350" s="152"/>
      <c r="AS4350" s="152"/>
      <c r="AT4350" s="152"/>
      <c r="AU4350" s="153"/>
      <c r="AV4350" s="479"/>
      <c r="AW4350" s="479"/>
      <c r="AX4350" s="442"/>
      <c r="AY4350" s="153"/>
      <c r="AZ4350" s="152"/>
      <c r="BA4350" s="152"/>
      <c r="BB4350" s="152"/>
      <c r="BC4350" s="152"/>
      <c r="BD4350" s="152"/>
      <c r="BE4350" s="152"/>
      <c r="BF4350" s="152"/>
      <c r="BG4350" s="152"/>
      <c r="BH4350" s="152"/>
      <c r="BI4350" s="153"/>
      <c r="BJ4350" s="153"/>
      <c r="BK4350" s="153"/>
      <c r="BL4350" s="153"/>
      <c r="BM4350" s="153"/>
      <c r="BN4350" s="153"/>
      <c r="BO4350" s="153"/>
      <c r="BP4350" s="153"/>
      <c r="BQ4350" s="153"/>
      <c r="BR4350" s="153"/>
      <c r="BS4350" s="153"/>
      <c r="BT4350" s="153"/>
      <c r="BU4350" s="153"/>
      <c r="BV4350" s="153"/>
      <c r="BW4350" s="153"/>
      <c r="BX4350" s="153"/>
      <c r="BY4350" s="153"/>
      <c r="BZ4350" s="153"/>
      <c r="CA4350" s="152"/>
      <c r="CB4350" s="152"/>
    </row>
    <row r="4351" spans="1:80" s="87" customFormat="1" x14ac:dyDescent="0.2">
      <c r="A4351" s="152"/>
      <c r="B4351" s="683"/>
      <c r="C4351" s="683"/>
      <c r="D4351" s="698"/>
      <c r="E4351" s="215"/>
      <c r="F4351" s="215"/>
      <c r="G4351" s="153"/>
      <c r="H4351" s="153"/>
      <c r="I4351" s="163">
        <v>22</v>
      </c>
      <c r="J4351" s="163">
        <v>60</v>
      </c>
      <c r="K4351" s="150">
        <v>1</v>
      </c>
      <c r="L4351" s="656">
        <v>22</v>
      </c>
      <c r="M4351" s="663">
        <v>34863</v>
      </c>
      <c r="N4351" s="600">
        <v>2.6387399999999999</v>
      </c>
      <c r="O4351" s="604">
        <v>0.11650199999999999</v>
      </c>
      <c r="P4351" s="250"/>
      <c r="Q4351" s="250"/>
      <c r="R4351" s="250">
        <v>1.3899999999999999E-2</v>
      </c>
      <c r="S4351" s="250">
        <v>1.6799999999999999E-2</v>
      </c>
      <c r="T4351" s="250">
        <v>4.7100000000000003E-2</v>
      </c>
      <c r="U4351" s="250">
        <v>0.10550000000000001</v>
      </c>
      <c r="V4351" s="250">
        <v>0.32015801442691832</v>
      </c>
      <c r="W4351" s="250">
        <v>0.34851456381201423</v>
      </c>
      <c r="X4351" s="250">
        <v>0.12811014074905988</v>
      </c>
      <c r="Y4351" s="250">
        <v>1.9930603282095984E-2</v>
      </c>
      <c r="Z4351" s="150">
        <v>29</v>
      </c>
      <c r="AA4351" s="150">
        <v>1.01</v>
      </c>
      <c r="AB4351" s="835"/>
      <c r="AC4351" s="152"/>
      <c r="AD4351" s="223">
        <v>6.4920270000000002</v>
      </c>
      <c r="AE4351" s="223">
        <v>0.33831689999999998</v>
      </c>
      <c r="AF4351" s="223">
        <v>2.1971450039999998</v>
      </c>
      <c r="AG4351" s="223">
        <v>1.2008726000000001</v>
      </c>
      <c r="AH4351" s="341"/>
      <c r="AI4351" s="218"/>
      <c r="AJ4351" s="218"/>
      <c r="AK4351" s="153"/>
      <c r="AL4351" s="152"/>
      <c r="AM4351" s="152"/>
      <c r="AN4351" s="152"/>
      <c r="AO4351" s="152"/>
      <c r="AP4351" s="152"/>
      <c r="AQ4351" s="152"/>
      <c r="AR4351" s="152"/>
      <c r="AS4351" s="152"/>
      <c r="AT4351" s="152"/>
      <c r="AU4351" s="153"/>
      <c r="AV4351" s="479"/>
      <c r="AW4351" s="479"/>
      <c r="AX4351" s="442"/>
      <c r="AY4351" s="153"/>
      <c r="AZ4351" s="152"/>
      <c r="BA4351" s="152"/>
      <c r="BB4351" s="152"/>
      <c r="BC4351" s="152"/>
      <c r="BD4351" s="152"/>
      <c r="BE4351" s="152"/>
      <c r="BF4351" s="152"/>
      <c r="BG4351" s="152"/>
      <c r="BH4351" s="152"/>
      <c r="BI4351" s="153"/>
      <c r="BJ4351" s="153"/>
      <c r="BK4351" s="153"/>
      <c r="BL4351" s="153"/>
      <c r="BM4351" s="153"/>
      <c r="BN4351" s="153"/>
      <c r="BO4351" s="153"/>
      <c r="BP4351" s="153"/>
      <c r="BQ4351" s="153"/>
      <c r="BR4351" s="153"/>
      <c r="BS4351" s="153"/>
      <c r="BT4351" s="153"/>
      <c r="BU4351" s="153"/>
      <c r="BV4351" s="153"/>
      <c r="BW4351" s="153"/>
      <c r="BX4351" s="153"/>
      <c r="BY4351" s="153"/>
      <c r="BZ4351" s="153"/>
      <c r="CA4351" s="152"/>
      <c r="CB4351" s="152"/>
    </row>
    <row r="4352" spans="1:80" s="87" customFormat="1" x14ac:dyDescent="0.2">
      <c r="A4352" s="152"/>
      <c r="B4352" s="683"/>
      <c r="C4352" s="683"/>
      <c r="D4352" s="698"/>
      <c r="E4352" s="215"/>
      <c r="F4352" s="215"/>
      <c r="G4352" s="153"/>
      <c r="H4352" s="153"/>
      <c r="I4352" s="163">
        <v>22</v>
      </c>
      <c r="J4352" s="163">
        <v>60</v>
      </c>
      <c r="K4352" s="150">
        <v>1</v>
      </c>
      <c r="L4352" s="656">
        <v>22</v>
      </c>
      <c r="M4352" s="663">
        <v>34865</v>
      </c>
      <c r="N4352" s="600">
        <v>2.7463299999999999</v>
      </c>
      <c r="O4352" s="604">
        <v>9.0472999999999998E-2</v>
      </c>
      <c r="P4352" s="250"/>
      <c r="Q4352" s="250"/>
      <c r="R4352" s="250"/>
      <c r="S4352" s="250">
        <v>1.3600000000000001E-2</v>
      </c>
      <c r="T4352" s="250">
        <v>3.3799999999999997E-2</v>
      </c>
      <c r="U4352" s="250">
        <v>9.3200000000000005E-2</v>
      </c>
      <c r="V4352" s="250">
        <v>0.30287964876033063</v>
      </c>
      <c r="W4352" s="250">
        <v>0.33993342516069786</v>
      </c>
      <c r="X4352" s="250">
        <v>0.1962809917355372</v>
      </c>
      <c r="Y4352" s="250">
        <v>2.0338326446280992E-2</v>
      </c>
      <c r="Z4352" s="150">
        <v>15</v>
      </c>
      <c r="AA4352" s="150">
        <v>0.89</v>
      </c>
      <c r="AB4352" s="835"/>
      <c r="AC4352" s="152"/>
      <c r="AD4352" s="223">
        <v>6.4920270000000002</v>
      </c>
      <c r="AE4352" s="223">
        <v>0.32002950000000002</v>
      </c>
      <c r="AF4352" s="223">
        <v>2.0839046309999998</v>
      </c>
      <c r="AG4352" s="223">
        <v>1.2862138000000001</v>
      </c>
      <c r="AH4352" s="341"/>
      <c r="AI4352" s="218"/>
      <c r="AJ4352" s="218"/>
      <c r="AK4352" s="153"/>
      <c r="AL4352" s="152"/>
      <c r="AM4352" s="152"/>
      <c r="AN4352" s="152"/>
      <c r="AO4352" s="152"/>
      <c r="AP4352" s="152"/>
      <c r="AQ4352" s="152"/>
      <c r="AR4352" s="152"/>
      <c r="AS4352" s="152"/>
      <c r="AT4352" s="152"/>
      <c r="AU4352" s="153"/>
      <c r="AV4352" s="479"/>
      <c r="AW4352" s="479"/>
      <c r="AX4352" s="442"/>
      <c r="AY4352" s="153"/>
      <c r="AZ4352" s="152"/>
      <c r="BA4352" s="152"/>
      <c r="BB4352" s="152"/>
      <c r="BC4352" s="152"/>
      <c r="BD4352" s="152"/>
      <c r="BE4352" s="152"/>
      <c r="BF4352" s="152"/>
      <c r="BG4352" s="152"/>
      <c r="BH4352" s="152"/>
      <c r="BI4352" s="153"/>
      <c r="BJ4352" s="153"/>
      <c r="BK4352" s="153"/>
      <c r="BL4352" s="153"/>
      <c r="BM4352" s="153"/>
      <c r="BN4352" s="153"/>
      <c r="BO4352" s="153"/>
      <c r="BP4352" s="153"/>
      <c r="BQ4352" s="153"/>
      <c r="BR4352" s="153"/>
      <c r="BS4352" s="153"/>
      <c r="BT4352" s="153"/>
      <c r="BU4352" s="153"/>
      <c r="BV4352" s="153"/>
      <c r="BW4352" s="153"/>
      <c r="BX4352" s="153"/>
      <c r="BY4352" s="153"/>
      <c r="BZ4352" s="153"/>
      <c r="CA4352" s="152"/>
      <c r="CB4352" s="152"/>
    </row>
    <row r="4353" spans="1:80" s="87" customFormat="1" x14ac:dyDescent="0.2">
      <c r="A4353" s="152"/>
      <c r="B4353" s="683"/>
      <c r="C4353" s="683"/>
      <c r="D4353" s="698"/>
      <c r="E4353" s="215"/>
      <c r="F4353" s="215"/>
      <c r="G4353" s="153"/>
      <c r="H4353" s="153"/>
      <c r="I4353" s="163">
        <v>22</v>
      </c>
      <c r="J4353" s="163">
        <v>60</v>
      </c>
      <c r="K4353" s="150">
        <v>1</v>
      </c>
      <c r="L4353" s="656">
        <v>22</v>
      </c>
      <c r="M4353" s="663">
        <v>34865</v>
      </c>
      <c r="N4353" s="600">
        <v>2.7463299999999999</v>
      </c>
      <c r="O4353" s="604">
        <v>7.0740999999999998E-2</v>
      </c>
      <c r="P4353" s="250"/>
      <c r="Q4353" s="250"/>
      <c r="R4353" s="250">
        <v>3.3700000000000001E-2</v>
      </c>
      <c r="S4353" s="250">
        <v>3.61E-2</v>
      </c>
      <c r="T4353" s="250">
        <v>4.9100000000000005E-2</v>
      </c>
      <c r="U4353" s="250">
        <v>8.8100000000000012E-2</v>
      </c>
      <c r="V4353" s="250">
        <v>0.23833204405643349</v>
      </c>
      <c r="W4353" s="250">
        <v>0.3296588941687848</v>
      </c>
      <c r="X4353" s="250">
        <v>0.2016981618595057</v>
      </c>
      <c r="Y4353" s="250">
        <v>2.3335911887133021E-2</v>
      </c>
      <c r="Z4353" s="150">
        <v>23</v>
      </c>
      <c r="AA4353" s="150">
        <v>0.88</v>
      </c>
      <c r="AB4353" s="835"/>
      <c r="AC4353" s="152"/>
      <c r="AD4353" s="223">
        <v>6.4920270000000002</v>
      </c>
      <c r="AE4353" s="223">
        <v>0.32002950000000002</v>
      </c>
      <c r="AF4353" s="223">
        <v>2.0839046309999998</v>
      </c>
      <c r="AG4353" s="223">
        <v>1.2862138000000001</v>
      </c>
      <c r="AH4353" s="341"/>
      <c r="AI4353" s="218"/>
      <c r="AJ4353" s="218"/>
      <c r="AK4353" s="153"/>
      <c r="AL4353" s="152"/>
      <c r="AM4353" s="152"/>
      <c r="AN4353" s="152"/>
      <c r="AO4353" s="152"/>
      <c r="AP4353" s="152"/>
      <c r="AQ4353" s="152"/>
      <c r="AR4353" s="152"/>
      <c r="AS4353" s="152"/>
      <c r="AT4353" s="152"/>
      <c r="AU4353" s="153"/>
      <c r="AV4353" s="479"/>
      <c r="AW4353" s="479"/>
      <c r="AX4353" s="442"/>
      <c r="AY4353" s="153"/>
      <c r="AZ4353" s="152"/>
      <c r="BA4353" s="152"/>
      <c r="BB4353" s="152"/>
      <c r="BC4353" s="152"/>
      <c r="BD4353" s="152"/>
      <c r="BE4353" s="152"/>
      <c r="BF4353" s="152"/>
      <c r="BG4353" s="152"/>
      <c r="BH4353" s="152"/>
      <c r="BI4353" s="153"/>
      <c r="BJ4353" s="153"/>
      <c r="BK4353" s="153"/>
      <c r="BL4353" s="153"/>
      <c r="BM4353" s="153"/>
      <c r="BN4353" s="153"/>
      <c r="BO4353" s="153"/>
      <c r="BP4353" s="153"/>
      <c r="BQ4353" s="153"/>
      <c r="BR4353" s="153"/>
      <c r="BS4353" s="153"/>
      <c r="BT4353" s="153"/>
      <c r="BU4353" s="153"/>
      <c r="BV4353" s="153"/>
      <c r="BW4353" s="153"/>
      <c r="BX4353" s="153"/>
      <c r="BY4353" s="153"/>
      <c r="BZ4353" s="153"/>
      <c r="CA4353" s="152"/>
      <c r="CB4353" s="152"/>
    </row>
    <row r="4354" spans="1:80" s="87" customFormat="1" x14ac:dyDescent="0.2">
      <c r="A4354" s="152"/>
      <c r="B4354" s="683"/>
      <c r="C4354" s="683"/>
      <c r="D4354" s="698"/>
      <c r="E4354" s="215"/>
      <c r="F4354" s="215"/>
      <c r="G4354" s="153"/>
      <c r="H4354" s="153"/>
      <c r="I4354" s="163">
        <v>22</v>
      </c>
      <c r="J4354" s="163">
        <v>60</v>
      </c>
      <c r="K4354" s="150">
        <v>1</v>
      </c>
      <c r="L4354" s="656">
        <v>22</v>
      </c>
      <c r="M4354" s="663">
        <v>34866</v>
      </c>
      <c r="N4354" s="600">
        <v>2.5198299999999998</v>
      </c>
      <c r="O4354" s="604">
        <v>0.15428700000000001</v>
      </c>
      <c r="P4354" s="250"/>
      <c r="Q4354" s="250"/>
      <c r="R4354" s="250">
        <v>0.21840000000000001</v>
      </c>
      <c r="S4354" s="250">
        <v>0.1234</v>
      </c>
      <c r="T4354" s="250">
        <v>0.1168</v>
      </c>
      <c r="U4354" s="250">
        <v>0.1134</v>
      </c>
      <c r="V4354" s="250">
        <v>0.14409876417895298</v>
      </c>
      <c r="W4354" s="250">
        <v>0.16488610314580321</v>
      </c>
      <c r="X4354" s="250">
        <v>9.9423960210114959E-2</v>
      </c>
      <c r="Y4354" s="250">
        <v>1.9598886830596934E-2</v>
      </c>
      <c r="Z4354" s="150">
        <v>50</v>
      </c>
      <c r="AA4354" s="150">
        <v>3.08</v>
      </c>
      <c r="AB4354" s="835"/>
      <c r="AC4354" s="152"/>
      <c r="AD4354" s="223">
        <v>6.5529849999999996</v>
      </c>
      <c r="AE4354" s="223">
        <v>0.3291732</v>
      </c>
      <c r="AF4354" s="223">
        <v>2.1441040359999999</v>
      </c>
      <c r="AG4354" s="223">
        <v>1.2008726000000001</v>
      </c>
      <c r="AH4354" s="341"/>
      <c r="AI4354" s="218"/>
      <c r="AJ4354" s="218"/>
      <c r="AK4354" s="153"/>
      <c r="AL4354" s="152"/>
      <c r="AM4354" s="152"/>
      <c r="AN4354" s="152"/>
      <c r="AO4354" s="152"/>
      <c r="AP4354" s="152"/>
      <c r="AQ4354" s="152"/>
      <c r="AR4354" s="152"/>
      <c r="AS4354" s="152"/>
      <c r="AT4354" s="152"/>
      <c r="AU4354" s="153"/>
      <c r="AV4354" s="479"/>
      <c r="AW4354" s="479"/>
      <c r="AX4354" s="442"/>
      <c r="AY4354" s="153"/>
      <c r="AZ4354" s="152"/>
      <c r="BA4354" s="152"/>
      <c r="BB4354" s="152"/>
      <c r="BC4354" s="152"/>
      <c r="BD4354" s="152"/>
      <c r="BE4354" s="152"/>
      <c r="BF4354" s="152"/>
      <c r="BG4354" s="152"/>
      <c r="BH4354" s="152"/>
      <c r="BI4354" s="153"/>
      <c r="BJ4354" s="153"/>
      <c r="BK4354" s="153"/>
      <c r="BL4354" s="153"/>
      <c r="BM4354" s="153"/>
      <c r="BN4354" s="153"/>
      <c r="BO4354" s="153"/>
      <c r="BP4354" s="153"/>
      <c r="BQ4354" s="153"/>
      <c r="BR4354" s="153"/>
      <c r="BS4354" s="153"/>
      <c r="BT4354" s="153"/>
      <c r="BU4354" s="153"/>
      <c r="BV4354" s="153"/>
      <c r="BW4354" s="153"/>
      <c r="BX4354" s="153"/>
      <c r="BY4354" s="153"/>
      <c r="BZ4354" s="153"/>
      <c r="CA4354" s="152"/>
      <c r="CB4354" s="152"/>
    </row>
    <row r="4355" spans="1:80" s="87" customFormat="1" x14ac:dyDescent="0.2">
      <c r="A4355" s="152"/>
      <c r="B4355" s="683"/>
      <c r="C4355" s="683"/>
      <c r="D4355" s="698"/>
      <c r="E4355" s="215"/>
      <c r="F4355" s="215"/>
      <c r="G4355" s="153"/>
      <c r="H4355" s="153"/>
      <c r="I4355" s="163">
        <v>22</v>
      </c>
      <c r="J4355" s="163">
        <v>60</v>
      </c>
      <c r="K4355" s="150">
        <v>1</v>
      </c>
      <c r="L4355" s="656">
        <v>22</v>
      </c>
      <c r="M4355" s="663">
        <v>34866</v>
      </c>
      <c r="N4355" s="600">
        <v>2.5198299999999998</v>
      </c>
      <c r="O4355" s="604">
        <v>9.0683E-2</v>
      </c>
      <c r="P4355" s="250"/>
      <c r="Q4355" s="250"/>
      <c r="R4355" s="250">
        <v>0.31010000000000004</v>
      </c>
      <c r="S4355" s="250">
        <v>3.6799999999999999E-2</v>
      </c>
      <c r="T4355" s="250">
        <v>3.5299999999999998E-2</v>
      </c>
      <c r="U4355" s="250">
        <v>7.3200000000000001E-2</v>
      </c>
      <c r="V4355" s="250">
        <v>0.19447283931065262</v>
      </c>
      <c r="W4355" s="250">
        <v>0.20906460112011746</v>
      </c>
      <c r="X4355" s="250">
        <v>0.12720820075730307</v>
      </c>
      <c r="Y4355" s="250">
        <v>1.3850295866507333E-2</v>
      </c>
      <c r="Z4355" s="150">
        <v>68.5</v>
      </c>
      <c r="AA4355" s="150">
        <v>1.64</v>
      </c>
      <c r="AB4355" s="835"/>
      <c r="AC4355" s="152"/>
      <c r="AD4355" s="223">
        <v>6.5529849999999996</v>
      </c>
      <c r="AE4355" s="223">
        <v>0.3291732</v>
      </c>
      <c r="AF4355" s="223">
        <v>2.1441040359999999</v>
      </c>
      <c r="AG4355" s="223">
        <v>1.2008726000000001</v>
      </c>
      <c r="AH4355" s="341"/>
      <c r="AI4355" s="218"/>
      <c r="AJ4355" s="218"/>
      <c r="AK4355" s="153"/>
      <c r="AL4355" s="152"/>
      <c r="AM4355" s="152"/>
      <c r="AN4355" s="152"/>
      <c r="AO4355" s="152"/>
      <c r="AP4355" s="152"/>
      <c r="AQ4355" s="152"/>
      <c r="AR4355" s="152"/>
      <c r="AS4355" s="152"/>
      <c r="AT4355" s="152"/>
      <c r="AU4355" s="153"/>
      <c r="AV4355" s="479"/>
      <c r="AW4355" s="479"/>
      <c r="AX4355" s="442"/>
      <c r="AY4355" s="153"/>
      <c r="AZ4355" s="152"/>
      <c r="BA4355" s="152"/>
      <c r="BB4355" s="152"/>
      <c r="BC4355" s="152"/>
      <c r="BD4355" s="152"/>
      <c r="BE4355" s="152"/>
      <c r="BF4355" s="152"/>
      <c r="BG4355" s="152"/>
      <c r="BH4355" s="152"/>
      <c r="BI4355" s="153"/>
      <c r="BJ4355" s="153"/>
      <c r="BK4355" s="153"/>
      <c r="BL4355" s="153"/>
      <c r="BM4355" s="153"/>
      <c r="BN4355" s="153"/>
      <c r="BO4355" s="153"/>
      <c r="BP4355" s="153"/>
      <c r="BQ4355" s="153"/>
      <c r="BR4355" s="153"/>
      <c r="BS4355" s="153"/>
      <c r="BT4355" s="153"/>
      <c r="BU4355" s="153"/>
      <c r="BV4355" s="153"/>
      <c r="BW4355" s="153"/>
      <c r="BX4355" s="153"/>
      <c r="BY4355" s="153"/>
      <c r="BZ4355" s="153"/>
      <c r="CA4355" s="152"/>
      <c r="CB4355" s="152"/>
    </row>
    <row r="4356" spans="1:80" s="87" customFormat="1" x14ac:dyDescent="0.2">
      <c r="A4356" s="152"/>
      <c r="B4356" s="683"/>
      <c r="C4356" s="683"/>
      <c r="D4356" s="698"/>
      <c r="E4356" s="215"/>
      <c r="F4356" s="215"/>
      <c r="G4356" s="153"/>
      <c r="H4356" s="153"/>
      <c r="I4356" s="163">
        <v>22</v>
      </c>
      <c r="J4356" s="163">
        <v>60</v>
      </c>
      <c r="K4356" s="150">
        <v>1</v>
      </c>
      <c r="L4356" s="656">
        <v>22</v>
      </c>
      <c r="M4356" s="663">
        <v>34866</v>
      </c>
      <c r="N4356" s="600">
        <v>2.5198299999999998</v>
      </c>
      <c r="O4356" s="604">
        <v>0.126998</v>
      </c>
      <c r="P4356" s="250"/>
      <c r="Q4356" s="250"/>
      <c r="R4356" s="250">
        <v>0.1149</v>
      </c>
      <c r="S4356" s="250">
        <v>9.3599999999999989E-2</v>
      </c>
      <c r="T4356" s="250">
        <v>8.6699999999999999E-2</v>
      </c>
      <c r="U4356" s="250">
        <v>0.1105</v>
      </c>
      <c r="V4356" s="250">
        <v>0.2209963515481477</v>
      </c>
      <c r="W4356" s="250">
        <v>0.24251655697296853</v>
      </c>
      <c r="X4356" s="250">
        <v>0.11468180251017604</v>
      </c>
      <c r="Y4356" s="250">
        <v>1.6230207534644856E-2</v>
      </c>
      <c r="Z4356" s="150">
        <v>55.5</v>
      </c>
      <c r="AA4356" s="150">
        <v>1.39</v>
      </c>
      <c r="AB4356" s="835"/>
      <c r="AC4356" s="152"/>
      <c r="AD4356" s="223">
        <v>6.5529849999999996</v>
      </c>
      <c r="AE4356" s="223">
        <v>0.3291732</v>
      </c>
      <c r="AF4356" s="223">
        <v>2.1441040359999999</v>
      </c>
      <c r="AG4356" s="223">
        <v>1.2008726000000001</v>
      </c>
      <c r="AH4356" s="341"/>
      <c r="AI4356" s="218"/>
      <c r="AJ4356" s="218"/>
      <c r="AK4356" s="153"/>
      <c r="AL4356" s="152"/>
      <c r="AM4356" s="152"/>
      <c r="AN4356" s="152"/>
      <c r="AO4356" s="152"/>
      <c r="AP4356" s="152"/>
      <c r="AQ4356" s="152"/>
      <c r="AR4356" s="152"/>
      <c r="AS4356" s="152"/>
      <c r="AT4356" s="152"/>
      <c r="AU4356" s="153"/>
      <c r="AV4356" s="479"/>
      <c r="AW4356" s="479"/>
      <c r="AX4356" s="442"/>
      <c r="AY4356" s="153"/>
      <c r="AZ4356" s="152"/>
      <c r="BA4356" s="152"/>
      <c r="BB4356" s="152"/>
      <c r="BC4356" s="152"/>
      <c r="BD4356" s="152"/>
      <c r="BE4356" s="152"/>
      <c r="BF4356" s="152"/>
      <c r="BG4356" s="152"/>
      <c r="BH4356" s="152"/>
      <c r="BI4356" s="153"/>
      <c r="BJ4356" s="153"/>
      <c r="BK4356" s="153"/>
      <c r="BL4356" s="153"/>
      <c r="BM4356" s="153"/>
      <c r="BN4356" s="153"/>
      <c r="BO4356" s="153"/>
      <c r="BP4356" s="153"/>
      <c r="BQ4356" s="153"/>
      <c r="BR4356" s="153"/>
      <c r="BS4356" s="153"/>
      <c r="BT4356" s="153"/>
      <c r="BU4356" s="153"/>
      <c r="BV4356" s="153"/>
      <c r="BW4356" s="153"/>
      <c r="BX4356" s="153"/>
      <c r="BY4356" s="153"/>
      <c r="BZ4356" s="153"/>
      <c r="CA4356" s="152"/>
      <c r="CB4356" s="152"/>
    </row>
    <row r="4357" spans="1:80" s="87" customFormat="1" x14ac:dyDescent="0.2">
      <c r="A4357" s="152"/>
      <c r="B4357" s="683"/>
      <c r="C4357" s="683"/>
      <c r="D4357" s="698"/>
      <c r="E4357" s="215"/>
      <c r="F4357" s="215"/>
      <c r="G4357" s="153"/>
      <c r="H4357" s="153"/>
      <c r="I4357" s="163">
        <v>20</v>
      </c>
      <c r="J4357" s="163">
        <v>60</v>
      </c>
      <c r="K4357" s="150">
        <v>1</v>
      </c>
      <c r="L4357" s="656">
        <v>20</v>
      </c>
      <c r="M4357" s="663">
        <v>34871</v>
      </c>
      <c r="N4357" s="600">
        <v>1.61382</v>
      </c>
      <c r="O4357" s="604">
        <v>6.0879999999999997E-3</v>
      </c>
      <c r="P4357" s="250"/>
      <c r="Q4357" s="250"/>
      <c r="R4357" s="250"/>
      <c r="S4357" s="250"/>
      <c r="T4357" s="250">
        <v>2.5000000000000001E-3</v>
      </c>
      <c r="U4357" s="250">
        <v>2.5600000000000001E-2</v>
      </c>
      <c r="V4357" s="250">
        <v>0.12979027121994069</v>
      </c>
      <c r="W4357" s="250">
        <v>0.37806083232678156</v>
      </c>
      <c r="X4357" s="250">
        <v>0.43043812451960023</v>
      </c>
      <c r="Y4357" s="250">
        <v>3.3600527067091247E-2</v>
      </c>
      <c r="Z4357" s="150">
        <v>5.5</v>
      </c>
      <c r="AA4357" s="150">
        <v>0.53</v>
      </c>
      <c r="AB4357" s="835"/>
      <c r="AC4357" s="152"/>
      <c r="AD4357" s="223">
        <v>5.882447</v>
      </c>
      <c r="AE4357" s="223">
        <v>0.27735890000000002</v>
      </c>
      <c r="AF4357" s="223">
        <v>1.6198323320000001</v>
      </c>
      <c r="AG4357" s="223">
        <v>0.97228009999999998</v>
      </c>
      <c r="AH4357" s="341"/>
      <c r="AI4357" s="218"/>
      <c r="AJ4357" s="218"/>
      <c r="AK4357" s="153"/>
      <c r="AL4357" s="152"/>
      <c r="AM4357" s="152"/>
      <c r="AN4357" s="152"/>
      <c r="AO4357" s="152"/>
      <c r="AP4357" s="152"/>
      <c r="AQ4357" s="152"/>
      <c r="AR4357" s="152"/>
      <c r="AS4357" s="152"/>
      <c r="AT4357" s="152"/>
      <c r="AU4357" s="153"/>
      <c r="AV4357" s="479"/>
      <c r="AW4357" s="479"/>
      <c r="AX4357" s="442"/>
      <c r="AY4357" s="153"/>
      <c r="AZ4357" s="152"/>
      <c r="BA4357" s="152"/>
      <c r="BB4357" s="152"/>
      <c r="BC4357" s="152"/>
      <c r="BD4357" s="152"/>
      <c r="BE4357" s="152"/>
      <c r="BF4357" s="152"/>
      <c r="BG4357" s="152"/>
      <c r="BH4357" s="152"/>
      <c r="BI4357" s="153"/>
      <c r="BJ4357" s="153"/>
      <c r="BK4357" s="153"/>
      <c r="BL4357" s="153"/>
      <c r="BM4357" s="153"/>
      <c r="BN4357" s="153"/>
      <c r="BO4357" s="153"/>
      <c r="BP4357" s="153"/>
      <c r="BQ4357" s="153"/>
      <c r="BR4357" s="153"/>
      <c r="BS4357" s="153"/>
      <c r="BT4357" s="153"/>
      <c r="BU4357" s="153"/>
      <c r="BV4357" s="153"/>
      <c r="BW4357" s="153"/>
      <c r="BX4357" s="153"/>
      <c r="BY4357" s="153"/>
      <c r="BZ4357" s="153"/>
      <c r="CA4357" s="152"/>
      <c r="CB4357" s="152"/>
    </row>
    <row r="4358" spans="1:80" s="87" customFormat="1" x14ac:dyDescent="0.2">
      <c r="A4358" s="152"/>
      <c r="B4358" s="683"/>
      <c r="C4358" s="683"/>
      <c r="D4358" s="698"/>
      <c r="E4358" s="215"/>
      <c r="F4358" s="215"/>
      <c r="G4358" s="153"/>
      <c r="H4358" s="153"/>
      <c r="I4358" s="163">
        <v>20</v>
      </c>
      <c r="J4358" s="163">
        <v>60</v>
      </c>
      <c r="K4358" s="150">
        <v>1</v>
      </c>
      <c r="L4358" s="656">
        <v>20</v>
      </c>
      <c r="M4358" s="663">
        <v>34871</v>
      </c>
      <c r="N4358" s="600">
        <v>1.61382</v>
      </c>
      <c r="O4358" s="604">
        <v>5.1009999999999996E-3</v>
      </c>
      <c r="P4358" s="250"/>
      <c r="Q4358" s="250"/>
      <c r="R4358" s="250"/>
      <c r="S4358" s="250">
        <v>2.1299999999999999E-2</v>
      </c>
      <c r="T4358" s="250">
        <v>3.4999999999999996E-3</v>
      </c>
      <c r="U4358" s="250">
        <v>4.58E-2</v>
      </c>
      <c r="V4358" s="250">
        <v>0.12369316034765085</v>
      </c>
      <c r="W4358" s="250">
        <v>0.34034513162866858</v>
      </c>
      <c r="X4358" s="250">
        <v>0.4363269933240963</v>
      </c>
      <c r="Y4358" s="250">
        <v>2.8970903136415163E-2</v>
      </c>
      <c r="Z4358" s="150">
        <v>10</v>
      </c>
      <c r="AA4358" s="150">
        <v>0.53</v>
      </c>
      <c r="AB4358" s="835"/>
      <c r="AC4358" s="152"/>
      <c r="AD4358" s="223">
        <v>5.882447</v>
      </c>
      <c r="AE4358" s="223">
        <v>0.27735890000000002</v>
      </c>
      <c r="AF4358" s="223">
        <v>1.6198323320000001</v>
      </c>
      <c r="AG4358" s="223">
        <v>0.97228009999999998</v>
      </c>
      <c r="AH4358" s="341"/>
      <c r="AI4358" s="218"/>
      <c r="AJ4358" s="218"/>
      <c r="AK4358" s="153"/>
      <c r="AL4358" s="152"/>
      <c r="AM4358" s="152"/>
      <c r="AN4358" s="152"/>
      <c r="AO4358" s="152"/>
      <c r="AP4358" s="152"/>
      <c r="AQ4358" s="152"/>
      <c r="AR4358" s="152"/>
      <c r="AS4358" s="152"/>
      <c r="AT4358" s="152"/>
      <c r="AU4358" s="153"/>
      <c r="AV4358" s="479"/>
      <c r="AW4358" s="479"/>
      <c r="AX4358" s="442"/>
      <c r="AY4358" s="153"/>
      <c r="AZ4358" s="152"/>
      <c r="BA4358" s="152"/>
      <c r="BB4358" s="152"/>
      <c r="BC4358" s="152"/>
      <c r="BD4358" s="152"/>
      <c r="BE4358" s="152"/>
      <c r="BF4358" s="152"/>
      <c r="BG4358" s="152"/>
      <c r="BH4358" s="152"/>
      <c r="BI4358" s="153"/>
      <c r="BJ4358" s="153"/>
      <c r="BK4358" s="153"/>
      <c r="BL4358" s="153"/>
      <c r="BM4358" s="153"/>
      <c r="BN4358" s="153"/>
      <c r="BO4358" s="153"/>
      <c r="BP4358" s="153"/>
      <c r="BQ4358" s="153"/>
      <c r="BR4358" s="153"/>
      <c r="BS4358" s="153"/>
      <c r="BT4358" s="153"/>
      <c r="BU4358" s="153"/>
      <c r="BV4358" s="153"/>
      <c r="BW4358" s="153"/>
      <c r="BX4358" s="153"/>
      <c r="BY4358" s="153"/>
      <c r="BZ4358" s="153"/>
      <c r="CA4358" s="152"/>
      <c r="CB4358" s="152"/>
    </row>
    <row r="4359" spans="1:80" s="87" customFormat="1" x14ac:dyDescent="0.2">
      <c r="A4359" s="152"/>
      <c r="B4359" s="683"/>
      <c r="C4359" s="683"/>
      <c r="D4359" s="698"/>
      <c r="E4359" s="215"/>
      <c r="F4359" s="215"/>
      <c r="G4359" s="153"/>
      <c r="H4359" s="153"/>
      <c r="I4359" s="163">
        <v>20</v>
      </c>
      <c r="J4359" s="163">
        <v>60</v>
      </c>
      <c r="K4359" s="150">
        <v>1</v>
      </c>
      <c r="L4359" s="656">
        <v>20</v>
      </c>
      <c r="M4359" s="663">
        <v>34872</v>
      </c>
      <c r="N4359" s="600">
        <v>1.56003</v>
      </c>
      <c r="O4359" s="604">
        <v>1.1124999999999999E-2</v>
      </c>
      <c r="P4359" s="250"/>
      <c r="Q4359" s="250"/>
      <c r="R4359" s="250"/>
      <c r="S4359" s="250">
        <v>9.0000000000000011E-3</v>
      </c>
      <c r="T4359" s="250">
        <v>8.6999999999999994E-2</v>
      </c>
      <c r="U4359" s="250">
        <v>0.13819999999999999</v>
      </c>
      <c r="V4359" s="250">
        <v>0.28349673202614384</v>
      </c>
      <c r="W4359" s="250">
        <v>0.25957049486461253</v>
      </c>
      <c r="X4359" s="250">
        <v>0.20302287581699346</v>
      </c>
      <c r="Y4359" s="250">
        <v>1.9724556489262371E-2</v>
      </c>
      <c r="Z4359" s="150">
        <v>10</v>
      </c>
      <c r="AA4359" s="150">
        <v>1.04</v>
      </c>
      <c r="AB4359" s="835"/>
      <c r="AC4359" s="152"/>
      <c r="AD4359" s="223">
        <v>5.8519680000000003</v>
      </c>
      <c r="AE4359" s="223">
        <v>0.29869420000000002</v>
      </c>
      <c r="AF4359" s="223">
        <v>1.754007324</v>
      </c>
      <c r="AG4359" s="223">
        <v>0.8777952</v>
      </c>
      <c r="AH4359" s="341"/>
      <c r="AI4359" s="218"/>
      <c r="AJ4359" s="218"/>
      <c r="AK4359" s="153"/>
      <c r="AL4359" s="152"/>
      <c r="AM4359" s="152"/>
      <c r="AN4359" s="152"/>
      <c r="AO4359" s="152"/>
      <c r="AP4359" s="152"/>
      <c r="AQ4359" s="152"/>
      <c r="AR4359" s="152"/>
      <c r="AS4359" s="152"/>
      <c r="AT4359" s="152"/>
      <c r="AU4359" s="153"/>
      <c r="AV4359" s="479"/>
      <c r="AW4359" s="479"/>
      <c r="AX4359" s="442"/>
      <c r="AY4359" s="153"/>
      <c r="AZ4359" s="152"/>
      <c r="BA4359" s="152"/>
      <c r="BB4359" s="152"/>
      <c r="BC4359" s="152"/>
      <c r="BD4359" s="152"/>
      <c r="BE4359" s="152"/>
      <c r="BF4359" s="152"/>
      <c r="BG4359" s="152"/>
      <c r="BH4359" s="152"/>
      <c r="BI4359" s="153"/>
      <c r="BJ4359" s="153"/>
      <c r="BK4359" s="153"/>
      <c r="BL4359" s="153"/>
      <c r="BM4359" s="153"/>
      <c r="BN4359" s="153"/>
      <c r="BO4359" s="153"/>
      <c r="BP4359" s="153"/>
      <c r="BQ4359" s="153"/>
      <c r="BR4359" s="153"/>
      <c r="BS4359" s="153"/>
      <c r="BT4359" s="153"/>
      <c r="BU4359" s="153"/>
      <c r="BV4359" s="153"/>
      <c r="BW4359" s="153"/>
      <c r="BX4359" s="153"/>
      <c r="BY4359" s="153"/>
      <c r="BZ4359" s="153"/>
      <c r="CA4359" s="152"/>
      <c r="CB4359" s="152"/>
    </row>
    <row r="4360" spans="1:80" s="87" customFormat="1" x14ac:dyDescent="0.2">
      <c r="A4360" s="152"/>
      <c r="B4360" s="683"/>
      <c r="C4360" s="683"/>
      <c r="D4360" s="698"/>
      <c r="E4360" s="215"/>
      <c r="F4360" s="215"/>
      <c r="G4360" s="153"/>
      <c r="H4360" s="153"/>
      <c r="I4360" s="163">
        <v>20</v>
      </c>
      <c r="J4360" s="163">
        <v>60</v>
      </c>
      <c r="K4360" s="150">
        <v>1</v>
      </c>
      <c r="L4360" s="656">
        <v>20</v>
      </c>
      <c r="M4360" s="663">
        <v>34872</v>
      </c>
      <c r="N4360" s="600">
        <v>1.56003</v>
      </c>
      <c r="O4360" s="604">
        <v>3.506E-3</v>
      </c>
      <c r="P4360" s="250"/>
      <c r="Q4360" s="250"/>
      <c r="R4360" s="250"/>
      <c r="S4360" s="250"/>
      <c r="T4360" s="250">
        <v>3.4799999999999998E-2</v>
      </c>
      <c r="U4360" s="250">
        <v>0.12539999999999998</v>
      </c>
      <c r="V4360" s="250">
        <v>0.22869371045775957</v>
      </c>
      <c r="W4360" s="250">
        <v>0.25567547450688494</v>
      </c>
      <c r="X4360" s="250">
        <v>0.33513211760327499</v>
      </c>
      <c r="Y4360" s="250">
        <v>2.0282843319687386E-2</v>
      </c>
      <c r="Z4360" s="150">
        <v>9</v>
      </c>
      <c r="AA4360" s="150">
        <v>0.73</v>
      </c>
      <c r="AB4360" s="835"/>
      <c r="AC4360" s="152"/>
      <c r="AD4360" s="223">
        <v>5.8519680000000003</v>
      </c>
      <c r="AE4360" s="223">
        <v>0.29869420000000002</v>
      </c>
      <c r="AF4360" s="223">
        <v>1.754007324</v>
      </c>
      <c r="AG4360" s="223">
        <v>0.8777952</v>
      </c>
      <c r="AH4360" s="341"/>
      <c r="AI4360" s="218"/>
      <c r="AJ4360" s="218"/>
      <c r="AK4360" s="153"/>
      <c r="AL4360" s="152"/>
      <c r="AM4360" s="152"/>
      <c r="AN4360" s="152"/>
      <c r="AO4360" s="152"/>
      <c r="AP4360" s="152"/>
      <c r="AQ4360" s="152"/>
      <c r="AR4360" s="152"/>
      <c r="AS4360" s="152"/>
      <c r="AT4360" s="152"/>
      <c r="AU4360" s="153"/>
      <c r="AV4360" s="479"/>
      <c r="AW4360" s="479"/>
      <c r="AX4360" s="442"/>
      <c r="AY4360" s="153"/>
      <c r="AZ4360" s="152"/>
      <c r="BA4360" s="152"/>
      <c r="BB4360" s="152"/>
      <c r="BC4360" s="152"/>
      <c r="BD4360" s="152"/>
      <c r="BE4360" s="152"/>
      <c r="BF4360" s="152"/>
      <c r="BG4360" s="152"/>
      <c r="BH4360" s="152"/>
      <c r="BI4360" s="153"/>
      <c r="BJ4360" s="153"/>
      <c r="BK4360" s="153"/>
      <c r="BL4360" s="153"/>
      <c r="BM4360" s="153"/>
      <c r="BN4360" s="153"/>
      <c r="BO4360" s="153"/>
      <c r="BP4360" s="153"/>
      <c r="BQ4360" s="153"/>
      <c r="BR4360" s="153"/>
      <c r="BS4360" s="153"/>
      <c r="BT4360" s="153"/>
      <c r="BU4360" s="153"/>
      <c r="BV4360" s="153"/>
      <c r="BW4360" s="153"/>
      <c r="BX4360" s="153"/>
      <c r="BY4360" s="153"/>
      <c r="BZ4360" s="153"/>
      <c r="CA4360" s="152"/>
      <c r="CB4360" s="152"/>
    </row>
    <row r="4361" spans="1:80" s="87" customFormat="1" x14ac:dyDescent="0.2">
      <c r="A4361" s="152"/>
      <c r="B4361" s="683"/>
      <c r="C4361" s="683"/>
      <c r="D4361" s="698"/>
      <c r="E4361" s="215"/>
      <c r="F4361" s="215"/>
      <c r="G4361" s="153"/>
      <c r="H4361" s="153"/>
      <c r="I4361" s="163">
        <v>20</v>
      </c>
      <c r="J4361" s="163">
        <v>60</v>
      </c>
      <c r="K4361" s="150">
        <v>1</v>
      </c>
      <c r="L4361" s="656">
        <v>20</v>
      </c>
      <c r="M4361" s="663">
        <v>34875</v>
      </c>
      <c r="N4361" s="600">
        <v>1.9875499999999999</v>
      </c>
      <c r="O4361" s="604">
        <v>1.7843000000000001E-2</v>
      </c>
      <c r="P4361" s="250"/>
      <c r="Q4361" s="250"/>
      <c r="R4361" s="250"/>
      <c r="S4361" s="250">
        <v>4.9699999999999994E-2</v>
      </c>
      <c r="T4361" s="250">
        <v>3.04E-2</v>
      </c>
      <c r="U4361" s="250">
        <v>7.7499999999999999E-2</v>
      </c>
      <c r="V4361" s="250">
        <v>0.19971779421859509</v>
      </c>
      <c r="W4361" s="250">
        <v>0.33532911295858431</v>
      </c>
      <c r="X4361" s="250">
        <v>0.28022271375181146</v>
      </c>
      <c r="Y4361" s="250">
        <v>2.7076500648310575E-2</v>
      </c>
      <c r="Z4361" s="150">
        <v>19</v>
      </c>
      <c r="AA4361" s="150">
        <v>0.72</v>
      </c>
      <c r="AB4361" s="835"/>
      <c r="AC4361" s="152"/>
      <c r="AD4361" s="223">
        <v>6.1262790000000003</v>
      </c>
      <c r="AE4361" s="223">
        <v>0.31393369999999998</v>
      </c>
      <c r="AF4361" s="223">
        <v>1.9142725330000001</v>
      </c>
      <c r="AG4361" s="223">
        <v>1.0484776</v>
      </c>
      <c r="AH4361" s="341"/>
      <c r="AI4361" s="218"/>
      <c r="AJ4361" s="218"/>
      <c r="AK4361" s="153"/>
      <c r="AL4361" s="152"/>
      <c r="AM4361" s="152"/>
      <c r="AN4361" s="152"/>
      <c r="AO4361" s="152"/>
      <c r="AP4361" s="152"/>
      <c r="AQ4361" s="152"/>
      <c r="AR4361" s="152"/>
      <c r="AS4361" s="152"/>
      <c r="AT4361" s="152"/>
      <c r="AU4361" s="153"/>
      <c r="AV4361" s="479"/>
      <c r="AW4361" s="479"/>
      <c r="AX4361" s="442"/>
      <c r="AY4361" s="153"/>
      <c r="AZ4361" s="152"/>
      <c r="BA4361" s="152"/>
      <c r="BB4361" s="152"/>
      <c r="BC4361" s="152"/>
      <c r="BD4361" s="152"/>
      <c r="BE4361" s="152"/>
      <c r="BF4361" s="152"/>
      <c r="BG4361" s="152"/>
      <c r="BH4361" s="152"/>
      <c r="BI4361" s="153"/>
      <c r="BJ4361" s="153"/>
      <c r="BK4361" s="153"/>
      <c r="BL4361" s="153"/>
      <c r="BM4361" s="153"/>
      <c r="BN4361" s="153"/>
      <c r="BO4361" s="153"/>
      <c r="BP4361" s="153"/>
      <c r="BQ4361" s="153"/>
      <c r="BR4361" s="153"/>
      <c r="BS4361" s="153"/>
      <c r="BT4361" s="153"/>
      <c r="BU4361" s="153"/>
      <c r="BV4361" s="153"/>
      <c r="BW4361" s="153"/>
      <c r="BX4361" s="153"/>
      <c r="BY4361" s="153"/>
      <c r="BZ4361" s="153"/>
      <c r="CA4361" s="152"/>
      <c r="CB4361" s="152"/>
    </row>
    <row r="4362" spans="1:80" s="87" customFormat="1" x14ac:dyDescent="0.2">
      <c r="A4362" s="152"/>
      <c r="B4362" s="683"/>
      <c r="C4362" s="683"/>
      <c r="D4362" s="698"/>
      <c r="E4362" s="215"/>
      <c r="F4362" s="215"/>
      <c r="G4362" s="153"/>
      <c r="H4362" s="153"/>
      <c r="I4362" s="163">
        <v>20</v>
      </c>
      <c r="J4362" s="163">
        <v>60</v>
      </c>
      <c r="K4362" s="150">
        <v>1</v>
      </c>
      <c r="L4362" s="656">
        <v>20</v>
      </c>
      <c r="M4362" s="663">
        <v>34875</v>
      </c>
      <c r="N4362" s="600">
        <v>1.9875499999999999</v>
      </c>
      <c r="O4362" s="604">
        <v>1.6792999999999999E-2</v>
      </c>
      <c r="P4362" s="250"/>
      <c r="Q4362" s="250"/>
      <c r="R4362" s="250"/>
      <c r="S4362" s="250">
        <v>8.199999999999999E-3</v>
      </c>
      <c r="T4362" s="250">
        <v>4.2800000000000005E-2</v>
      </c>
      <c r="U4362" s="250">
        <v>9.1600000000000001E-2</v>
      </c>
      <c r="V4362" s="250">
        <v>0.21254873588166728</v>
      </c>
      <c r="W4362" s="250">
        <v>0.31508501145544437</v>
      </c>
      <c r="X4362" s="250">
        <v>0.29317898629366135</v>
      </c>
      <c r="Y4362" s="250">
        <v>3.6536838297359216E-2</v>
      </c>
      <c r="Z4362" s="150">
        <v>11</v>
      </c>
      <c r="AA4362" s="150">
        <v>0.7</v>
      </c>
      <c r="AB4362" s="835"/>
      <c r="AC4362" s="152"/>
      <c r="AD4362" s="223">
        <v>6.1262790000000003</v>
      </c>
      <c r="AE4362" s="223">
        <v>0.31393369999999998</v>
      </c>
      <c r="AF4362" s="223">
        <v>1.9142725330000001</v>
      </c>
      <c r="AG4362" s="223">
        <v>1.0484776</v>
      </c>
      <c r="AH4362" s="341"/>
      <c r="AI4362" s="218"/>
      <c r="AJ4362" s="218"/>
      <c r="AK4362" s="153"/>
      <c r="AL4362" s="152"/>
      <c r="AM4362" s="152"/>
      <c r="AN4362" s="152"/>
      <c r="AO4362" s="152"/>
      <c r="AP4362" s="152"/>
      <c r="AQ4362" s="152"/>
      <c r="AR4362" s="152"/>
      <c r="AS4362" s="152"/>
      <c r="AT4362" s="152"/>
      <c r="AU4362" s="153"/>
      <c r="AV4362" s="479"/>
      <c r="AW4362" s="479"/>
      <c r="AX4362" s="442"/>
      <c r="AY4362" s="153"/>
      <c r="AZ4362" s="152"/>
      <c r="BA4362" s="152"/>
      <c r="BB4362" s="152"/>
      <c r="BC4362" s="152"/>
      <c r="BD4362" s="152"/>
      <c r="BE4362" s="152"/>
      <c r="BF4362" s="152"/>
      <c r="BG4362" s="152"/>
      <c r="BH4362" s="152"/>
      <c r="BI4362" s="153"/>
      <c r="BJ4362" s="153"/>
      <c r="BK4362" s="153"/>
      <c r="BL4362" s="153"/>
      <c r="BM4362" s="153"/>
      <c r="BN4362" s="153"/>
      <c r="BO4362" s="153"/>
      <c r="BP4362" s="153"/>
      <c r="BQ4362" s="153"/>
      <c r="BR4362" s="153"/>
      <c r="BS4362" s="153"/>
      <c r="BT4362" s="153"/>
      <c r="BU4362" s="153"/>
      <c r="BV4362" s="153"/>
      <c r="BW4362" s="153"/>
      <c r="BX4362" s="153"/>
      <c r="BY4362" s="153"/>
      <c r="BZ4362" s="153"/>
      <c r="CA4362" s="152"/>
      <c r="CB4362" s="152"/>
    </row>
    <row r="4363" spans="1:80" s="87" customFormat="1" x14ac:dyDescent="0.2">
      <c r="A4363" s="152"/>
      <c r="B4363" s="683"/>
      <c r="C4363" s="683"/>
      <c r="D4363" s="698"/>
      <c r="E4363" s="215"/>
      <c r="F4363" s="215"/>
      <c r="G4363" s="153"/>
      <c r="H4363" s="153"/>
      <c r="I4363" s="163">
        <v>22</v>
      </c>
      <c r="J4363" s="163">
        <v>60</v>
      </c>
      <c r="K4363" s="150">
        <v>1</v>
      </c>
      <c r="L4363" s="656">
        <v>22</v>
      </c>
      <c r="M4363" s="663">
        <v>34880</v>
      </c>
      <c r="N4363" s="600">
        <v>1.6902699999999999</v>
      </c>
      <c r="O4363" s="604">
        <v>1.4694E-2</v>
      </c>
      <c r="P4363" s="250"/>
      <c r="Q4363" s="250"/>
      <c r="R4363" s="250"/>
      <c r="S4363" s="250">
        <v>2.9500000000000002E-2</v>
      </c>
      <c r="T4363" s="250">
        <v>7.7300000000000008E-2</v>
      </c>
      <c r="U4363" s="250">
        <v>0.10550000000000001</v>
      </c>
      <c r="V4363" s="250">
        <v>0.19143293417986013</v>
      </c>
      <c r="W4363" s="250">
        <v>0.27063409145704403</v>
      </c>
      <c r="X4363" s="250">
        <v>0.26042754962629588</v>
      </c>
      <c r="Y4363" s="250">
        <v>6.5137024833239562E-2</v>
      </c>
      <c r="Z4363" s="150">
        <v>12</v>
      </c>
      <c r="AA4363" s="150">
        <v>0.76</v>
      </c>
      <c r="AB4363" s="835"/>
      <c r="AC4363" s="152"/>
      <c r="AD4363" s="223">
        <v>5.79101</v>
      </c>
      <c r="AE4363" s="223">
        <v>0.3078379</v>
      </c>
      <c r="AF4363" s="223">
        <v>1.7732170650000001</v>
      </c>
      <c r="AG4363" s="223">
        <v>0.95704060000000002</v>
      </c>
      <c r="AH4363" s="341"/>
      <c r="AI4363" s="218"/>
      <c r="AJ4363" s="218"/>
      <c r="AK4363" s="153"/>
      <c r="AL4363" s="152"/>
      <c r="AM4363" s="152"/>
      <c r="AN4363" s="152"/>
      <c r="AO4363" s="152"/>
      <c r="AP4363" s="152"/>
      <c r="AQ4363" s="152"/>
      <c r="AR4363" s="152"/>
      <c r="AS4363" s="152"/>
      <c r="AT4363" s="152"/>
      <c r="AU4363" s="153"/>
      <c r="AV4363" s="479"/>
      <c r="AW4363" s="479"/>
      <c r="AX4363" s="442"/>
      <c r="AY4363" s="153"/>
      <c r="AZ4363" s="152"/>
      <c r="BA4363" s="152"/>
      <c r="BB4363" s="152"/>
      <c r="BC4363" s="152"/>
      <c r="BD4363" s="152"/>
      <c r="BE4363" s="152"/>
      <c r="BF4363" s="152"/>
      <c r="BG4363" s="152"/>
      <c r="BH4363" s="152"/>
      <c r="BI4363" s="153"/>
      <c r="BJ4363" s="153"/>
      <c r="BK4363" s="153"/>
      <c r="BL4363" s="153"/>
      <c r="BM4363" s="153"/>
      <c r="BN4363" s="153"/>
      <c r="BO4363" s="153"/>
      <c r="BP4363" s="153"/>
      <c r="BQ4363" s="153"/>
      <c r="BR4363" s="153"/>
      <c r="BS4363" s="153"/>
      <c r="BT4363" s="153"/>
      <c r="BU4363" s="153"/>
      <c r="BV4363" s="153"/>
      <c r="BW4363" s="153"/>
      <c r="BX4363" s="153"/>
      <c r="BY4363" s="153"/>
      <c r="BZ4363" s="153"/>
      <c r="CA4363" s="152"/>
      <c r="CB4363" s="152"/>
    </row>
    <row r="4364" spans="1:80" s="87" customFormat="1" x14ac:dyDescent="0.2">
      <c r="A4364" s="152"/>
      <c r="B4364" s="683"/>
      <c r="C4364" s="683"/>
      <c r="D4364" s="698"/>
      <c r="E4364" s="215"/>
      <c r="F4364" s="215"/>
      <c r="G4364" s="153"/>
      <c r="H4364" s="153"/>
      <c r="I4364" s="163">
        <v>22</v>
      </c>
      <c r="J4364" s="163">
        <v>60</v>
      </c>
      <c r="K4364" s="150">
        <v>1</v>
      </c>
      <c r="L4364" s="656">
        <v>22</v>
      </c>
      <c r="M4364" s="663">
        <v>34880</v>
      </c>
      <c r="N4364" s="600">
        <v>1.6902699999999999</v>
      </c>
      <c r="O4364" s="604">
        <v>1.3225000000000001E-2</v>
      </c>
      <c r="P4364" s="250"/>
      <c r="Q4364" s="250"/>
      <c r="R4364" s="250">
        <v>0.35609999999999997</v>
      </c>
      <c r="S4364" s="250">
        <v>3.7900000000000003E-2</v>
      </c>
      <c r="T4364" s="250">
        <v>2.46E-2</v>
      </c>
      <c r="U4364" s="250">
        <v>6.8699999999999997E-2</v>
      </c>
      <c r="V4364" s="250">
        <v>0.11012167166284606</v>
      </c>
      <c r="W4364" s="250">
        <v>0.15918709222359376</v>
      </c>
      <c r="X4364" s="250">
        <v>0.18158173161699878</v>
      </c>
      <c r="Y4364" s="250">
        <v>6.1849761946746608E-2</v>
      </c>
      <c r="Z4364" s="150">
        <v>36</v>
      </c>
      <c r="AA4364" s="150">
        <v>1.83</v>
      </c>
      <c r="AB4364" s="835"/>
      <c r="AC4364" s="152"/>
      <c r="AD4364" s="223">
        <v>5.79101</v>
      </c>
      <c r="AE4364" s="223">
        <v>0.3078379</v>
      </c>
      <c r="AF4364" s="223">
        <v>1.7732170650000001</v>
      </c>
      <c r="AG4364" s="223">
        <v>0.95704060000000002</v>
      </c>
      <c r="AH4364" s="341"/>
      <c r="AI4364" s="218"/>
      <c r="AJ4364" s="218"/>
      <c r="AK4364" s="153"/>
      <c r="AL4364" s="152"/>
      <c r="AM4364" s="152"/>
      <c r="AN4364" s="152"/>
      <c r="AO4364" s="152"/>
      <c r="AP4364" s="152"/>
      <c r="AQ4364" s="152"/>
      <c r="AR4364" s="152"/>
      <c r="AS4364" s="152"/>
      <c r="AT4364" s="152"/>
      <c r="AU4364" s="153"/>
      <c r="AV4364" s="479"/>
      <c r="AW4364" s="479"/>
      <c r="AX4364" s="442"/>
      <c r="AY4364" s="153"/>
      <c r="AZ4364" s="152"/>
      <c r="BA4364" s="152"/>
      <c r="BB4364" s="152"/>
      <c r="BC4364" s="152"/>
      <c r="BD4364" s="152"/>
      <c r="BE4364" s="152"/>
      <c r="BF4364" s="152"/>
      <c r="BG4364" s="152"/>
      <c r="BH4364" s="152"/>
      <c r="BI4364" s="153"/>
      <c r="BJ4364" s="153"/>
      <c r="BK4364" s="153"/>
      <c r="BL4364" s="153"/>
      <c r="BM4364" s="153"/>
      <c r="BN4364" s="153"/>
      <c r="BO4364" s="153"/>
      <c r="BP4364" s="153"/>
      <c r="BQ4364" s="153"/>
      <c r="BR4364" s="153"/>
      <c r="BS4364" s="153"/>
      <c r="BT4364" s="153"/>
      <c r="BU4364" s="153"/>
      <c r="BV4364" s="153"/>
      <c r="BW4364" s="153"/>
      <c r="BX4364" s="153"/>
      <c r="BY4364" s="153"/>
      <c r="BZ4364" s="153"/>
      <c r="CA4364" s="152"/>
      <c r="CB4364" s="152"/>
    </row>
    <row r="4365" spans="1:80" s="87" customFormat="1" x14ac:dyDescent="0.2">
      <c r="A4365" s="152"/>
      <c r="B4365" s="683"/>
      <c r="C4365" s="683"/>
      <c r="D4365" s="698"/>
      <c r="E4365" s="215"/>
      <c r="F4365" s="215"/>
      <c r="G4365" s="153"/>
      <c r="H4365" s="153"/>
      <c r="I4365" s="163">
        <v>22</v>
      </c>
      <c r="J4365" s="163">
        <v>60</v>
      </c>
      <c r="K4365" s="150">
        <v>1</v>
      </c>
      <c r="L4365" s="656">
        <v>22</v>
      </c>
      <c r="M4365" s="663">
        <v>34880</v>
      </c>
      <c r="N4365" s="600">
        <v>1.6902699999999999</v>
      </c>
      <c r="O4365" s="604">
        <v>8.7530000000000004E-3</v>
      </c>
      <c r="P4365" s="250"/>
      <c r="Q4365" s="250"/>
      <c r="R4365" s="250">
        <v>4.07E-2</v>
      </c>
      <c r="S4365" s="250">
        <v>0</v>
      </c>
      <c r="T4365" s="250">
        <v>3.4099999999999998E-2</v>
      </c>
      <c r="U4365" s="250">
        <v>0.11070000000000001</v>
      </c>
      <c r="V4365" s="250">
        <v>0.22121655796619191</v>
      </c>
      <c r="W4365" s="250">
        <v>0.27938240383335544</v>
      </c>
      <c r="X4365" s="250">
        <v>0.24870224943431382</v>
      </c>
      <c r="Y4365" s="250">
        <v>6.5220284839611342E-2</v>
      </c>
      <c r="Z4365" s="150">
        <v>20.5</v>
      </c>
      <c r="AA4365" s="150">
        <v>0.77</v>
      </c>
      <c r="AB4365" s="835"/>
      <c r="AC4365" s="152"/>
      <c r="AD4365" s="223">
        <v>5.79101</v>
      </c>
      <c r="AE4365" s="223">
        <v>0.3078379</v>
      </c>
      <c r="AF4365" s="223">
        <v>1.7732170650000001</v>
      </c>
      <c r="AG4365" s="223">
        <v>0.95704060000000002</v>
      </c>
      <c r="AH4365" s="341"/>
      <c r="AI4365" s="218"/>
      <c r="AJ4365" s="218"/>
      <c r="AK4365" s="153"/>
      <c r="AL4365" s="152"/>
      <c r="AM4365" s="152"/>
      <c r="AN4365" s="152"/>
      <c r="AO4365" s="152"/>
      <c r="AP4365" s="152"/>
      <c r="AQ4365" s="152"/>
      <c r="AR4365" s="152"/>
      <c r="AS4365" s="152"/>
      <c r="AT4365" s="152"/>
      <c r="AU4365" s="153"/>
      <c r="AV4365" s="479"/>
      <c r="AW4365" s="479"/>
      <c r="AX4365" s="442"/>
      <c r="AY4365" s="153"/>
      <c r="AZ4365" s="152"/>
      <c r="BA4365" s="152"/>
      <c r="BB4365" s="152"/>
      <c r="BC4365" s="152"/>
      <c r="BD4365" s="152"/>
      <c r="BE4365" s="152"/>
      <c r="BF4365" s="152"/>
      <c r="BG4365" s="152"/>
      <c r="BH4365" s="152"/>
      <c r="BI4365" s="153"/>
      <c r="BJ4365" s="153"/>
      <c r="BK4365" s="153"/>
      <c r="BL4365" s="153"/>
      <c r="BM4365" s="153"/>
      <c r="BN4365" s="153"/>
      <c r="BO4365" s="153"/>
      <c r="BP4365" s="153"/>
      <c r="BQ4365" s="153"/>
      <c r="BR4365" s="153"/>
      <c r="BS4365" s="153"/>
      <c r="BT4365" s="153"/>
      <c r="BU4365" s="153"/>
      <c r="BV4365" s="153"/>
      <c r="BW4365" s="153"/>
      <c r="BX4365" s="153"/>
      <c r="BY4365" s="153"/>
      <c r="BZ4365" s="153"/>
      <c r="CA4365" s="152"/>
      <c r="CB4365" s="152"/>
    </row>
    <row r="4366" spans="1:80" s="87" customFormat="1" x14ac:dyDescent="0.2">
      <c r="A4366" s="152"/>
      <c r="B4366" s="683"/>
      <c r="C4366" s="683"/>
      <c r="D4366" s="698"/>
      <c r="E4366" s="215"/>
      <c r="F4366" s="215"/>
      <c r="G4366" s="153"/>
      <c r="H4366" s="153"/>
      <c r="I4366" s="163">
        <v>22</v>
      </c>
      <c r="J4366" s="163">
        <v>60</v>
      </c>
      <c r="K4366" s="150">
        <v>1</v>
      </c>
      <c r="L4366" s="656">
        <v>22</v>
      </c>
      <c r="M4366" s="663">
        <v>34884</v>
      </c>
      <c r="N4366" s="600">
        <v>1.3816600000000001</v>
      </c>
      <c r="O4366" s="604">
        <v>0</v>
      </c>
      <c r="P4366" s="250"/>
      <c r="Q4366" s="250"/>
      <c r="R4366" s="250"/>
      <c r="S4366" s="250"/>
      <c r="T4366" s="250">
        <v>1.3100000000000001E-2</v>
      </c>
      <c r="U4366" s="250">
        <v>0.14130000000000001</v>
      </c>
      <c r="V4366" s="250">
        <v>0.46825537969055658</v>
      </c>
      <c r="W4366" s="250">
        <v>0.25507482025355044</v>
      </c>
      <c r="X4366" s="250">
        <v>0.11226848911358957</v>
      </c>
      <c r="Y4366" s="250">
        <v>9.9336907090775122E-3</v>
      </c>
      <c r="Z4366" s="150">
        <v>7</v>
      </c>
      <c r="AA4366" s="150">
        <v>1.18</v>
      </c>
      <c r="AB4366" s="835"/>
      <c r="AC4366" s="152"/>
      <c r="AD4366" s="223">
        <v>5.6386149999999997</v>
      </c>
      <c r="AE4366" s="223">
        <v>0.27126309999999998</v>
      </c>
      <c r="AF4366" s="223">
        <v>1.534399439</v>
      </c>
      <c r="AG4366" s="223">
        <v>0.9204658</v>
      </c>
      <c r="AH4366" s="341"/>
      <c r="AI4366" s="218"/>
      <c r="AJ4366" s="218"/>
      <c r="AK4366" s="153"/>
      <c r="AL4366" s="152"/>
      <c r="AM4366" s="152"/>
      <c r="AN4366" s="152"/>
      <c r="AO4366" s="152"/>
      <c r="AP4366" s="152"/>
      <c r="AQ4366" s="152"/>
      <c r="AR4366" s="152"/>
      <c r="AS4366" s="152"/>
      <c r="AT4366" s="152"/>
      <c r="AU4366" s="153"/>
      <c r="AV4366" s="479"/>
      <c r="AW4366" s="479"/>
      <c r="AX4366" s="442"/>
      <c r="AY4366" s="153"/>
      <c r="AZ4366" s="152"/>
      <c r="BA4366" s="152"/>
      <c r="BB4366" s="152"/>
      <c r="BC4366" s="152"/>
      <c r="BD4366" s="152"/>
      <c r="BE4366" s="152"/>
      <c r="BF4366" s="152"/>
      <c r="BG4366" s="152"/>
      <c r="BH4366" s="152"/>
      <c r="BI4366" s="153"/>
      <c r="BJ4366" s="153"/>
      <c r="BK4366" s="153"/>
      <c r="BL4366" s="153"/>
      <c r="BM4366" s="153"/>
      <c r="BN4366" s="153"/>
      <c r="BO4366" s="153"/>
      <c r="BP4366" s="153"/>
      <c r="BQ4366" s="153"/>
      <c r="BR4366" s="153"/>
      <c r="BS4366" s="153"/>
      <c r="BT4366" s="153"/>
      <c r="BU4366" s="153"/>
      <c r="BV4366" s="153"/>
      <c r="BW4366" s="153"/>
      <c r="BX4366" s="153"/>
      <c r="BY4366" s="153"/>
      <c r="BZ4366" s="153"/>
      <c r="CA4366" s="152"/>
      <c r="CB4366" s="152"/>
    </row>
    <row r="4367" spans="1:80" s="87" customFormat="1" x14ac:dyDescent="0.2">
      <c r="A4367" s="152"/>
      <c r="B4367" s="683"/>
      <c r="C4367" s="683"/>
      <c r="D4367" s="698"/>
      <c r="E4367" s="215"/>
      <c r="F4367" s="215"/>
      <c r="G4367" s="153"/>
      <c r="H4367" s="153"/>
      <c r="I4367" s="163">
        <v>22</v>
      </c>
      <c r="J4367" s="163">
        <v>60</v>
      </c>
      <c r="K4367" s="150">
        <v>1</v>
      </c>
      <c r="L4367" s="656">
        <v>22</v>
      </c>
      <c r="M4367" s="663">
        <v>34884</v>
      </c>
      <c r="N4367" s="600">
        <v>1.3816600000000001</v>
      </c>
      <c r="O4367" s="604">
        <v>5.5420000000000001E-3</v>
      </c>
      <c r="P4367" s="250"/>
      <c r="Q4367" s="250"/>
      <c r="R4367" s="250"/>
      <c r="S4367" s="250"/>
      <c r="T4367" s="250">
        <v>1.1399999999999999E-2</v>
      </c>
      <c r="U4367" s="250">
        <v>8.5600000000000009E-2</v>
      </c>
      <c r="V4367" s="250">
        <v>0.26633850020946798</v>
      </c>
      <c r="W4367" s="250">
        <v>0.35515291160452456</v>
      </c>
      <c r="X4367" s="250">
        <v>0.25659824046920826</v>
      </c>
      <c r="Y4367" s="250">
        <v>2.4926686217008803E-2</v>
      </c>
      <c r="Z4367" s="150">
        <v>6</v>
      </c>
      <c r="AA4367" s="150">
        <v>0.77</v>
      </c>
      <c r="AB4367" s="835"/>
      <c r="AC4367" s="152"/>
      <c r="AD4367" s="223">
        <v>5.6386149999999997</v>
      </c>
      <c r="AE4367" s="223">
        <v>0.27126309999999998</v>
      </c>
      <c r="AF4367" s="223">
        <v>1.534399439</v>
      </c>
      <c r="AG4367" s="223">
        <v>0.9204658</v>
      </c>
      <c r="AH4367" s="341"/>
      <c r="AI4367" s="218"/>
      <c r="AJ4367" s="218"/>
      <c r="AK4367" s="153"/>
      <c r="AL4367" s="152"/>
      <c r="AM4367" s="152"/>
      <c r="AN4367" s="152"/>
      <c r="AO4367" s="152"/>
      <c r="AP4367" s="152"/>
      <c r="AQ4367" s="152"/>
      <c r="AR4367" s="152"/>
      <c r="AS4367" s="152"/>
      <c r="AT4367" s="152"/>
      <c r="AU4367" s="153"/>
      <c r="AV4367" s="479"/>
      <c r="AW4367" s="479"/>
      <c r="AX4367" s="442"/>
      <c r="AY4367" s="153"/>
      <c r="AZ4367" s="152"/>
      <c r="BA4367" s="152"/>
      <c r="BB4367" s="152"/>
      <c r="BC4367" s="152"/>
      <c r="BD4367" s="152"/>
      <c r="BE4367" s="152"/>
      <c r="BF4367" s="152"/>
      <c r="BG4367" s="152"/>
      <c r="BH4367" s="152"/>
      <c r="BI4367" s="153"/>
      <c r="BJ4367" s="153"/>
      <c r="BK4367" s="153"/>
      <c r="BL4367" s="153"/>
      <c r="BM4367" s="153"/>
      <c r="BN4367" s="153"/>
      <c r="BO4367" s="153"/>
      <c r="BP4367" s="153"/>
      <c r="BQ4367" s="153"/>
      <c r="BR4367" s="153"/>
      <c r="BS4367" s="153"/>
      <c r="BT4367" s="153"/>
      <c r="BU4367" s="153"/>
      <c r="BV4367" s="153"/>
      <c r="BW4367" s="153"/>
      <c r="BX4367" s="153"/>
      <c r="BY4367" s="153"/>
      <c r="BZ4367" s="153"/>
      <c r="CA4367" s="152"/>
      <c r="CB4367" s="152"/>
    </row>
    <row r="4368" spans="1:80" ht="15" x14ac:dyDescent="0.25">
      <c r="A4368" s="9" t="s">
        <v>210</v>
      </c>
      <c r="B4368" s="639" t="s">
        <v>66</v>
      </c>
      <c r="C4368" s="639" t="s">
        <v>601</v>
      </c>
      <c r="D4368" s="4">
        <f>VLOOKUP(E4368,'Quality Code'!D4:E24,2,TRUE)*VLOOKUP(MROUND(F4368,10),'Quality Code'!D28:E69,2,TRUE)*VLOOKUP(COUNTA(CB4368:CB4378),'Quality Code'!D73:E93,2,TRUE)</f>
        <v>4.25</v>
      </c>
      <c r="E4368" s="14">
        <v>0.85</v>
      </c>
      <c r="F4368" s="18">
        <v>166</v>
      </c>
      <c r="G4368" s="12">
        <v>20.7697</v>
      </c>
      <c r="H4368" s="2" t="s">
        <v>231</v>
      </c>
      <c r="I4368" s="10"/>
      <c r="J4368" s="10" t="s">
        <v>283</v>
      </c>
      <c r="K4368" s="10"/>
      <c r="L4368" s="640" t="s">
        <v>284</v>
      </c>
      <c r="M4368" s="640" t="s">
        <v>887</v>
      </c>
      <c r="N4368" s="579" t="s">
        <v>296</v>
      </c>
      <c r="O4368" s="579"/>
      <c r="P4368" s="10" t="s">
        <v>64</v>
      </c>
      <c r="Q4368" s="10" t="s">
        <v>64</v>
      </c>
      <c r="R4368" s="10" t="s">
        <v>64</v>
      </c>
      <c r="S4368" s="10" t="s">
        <v>64</v>
      </c>
      <c r="T4368" s="10" t="s">
        <v>64</v>
      </c>
      <c r="U4368" s="10" t="s">
        <v>64</v>
      </c>
      <c r="V4368" s="10"/>
      <c r="W4368" s="10"/>
      <c r="X4368" s="10"/>
      <c r="Y4368" s="10"/>
      <c r="Z4368" s="11"/>
      <c r="AA4368" s="81"/>
      <c r="AB4368" s="81"/>
      <c r="AC4368" s="116">
        <v>4.1399999999999999E-2</v>
      </c>
      <c r="AD4368" s="11"/>
      <c r="AE4368" s="11"/>
      <c r="AF4368" s="10"/>
      <c r="AG4368" s="10"/>
      <c r="AH4368" s="345" t="s">
        <v>368</v>
      </c>
      <c r="AI4368" s="18">
        <v>16.8</v>
      </c>
      <c r="AJ4368" s="17">
        <v>1</v>
      </c>
      <c r="AK4368" s="17">
        <v>0.96220000000000006</v>
      </c>
      <c r="AL4368" s="17">
        <v>0.83899999999999997</v>
      </c>
      <c r="AM4368" s="17">
        <v>0.65469999999999995</v>
      </c>
      <c r="AN4368" s="17">
        <v>0.48830000000000001</v>
      </c>
      <c r="AO4368" s="17">
        <v>0.3201</v>
      </c>
      <c r="AP4368" s="17">
        <v>0.20380000000000001</v>
      </c>
      <c r="AQ4368" s="17">
        <v>0.1186</v>
      </c>
      <c r="AR4368" s="17">
        <v>4.5400000000000003E-2</v>
      </c>
      <c r="AS4368" s="17">
        <v>1.3100000000000001E-2</v>
      </c>
      <c r="AT4368" s="17">
        <v>2.5999999999999999E-3</v>
      </c>
      <c r="AU4368" s="18">
        <v>75</v>
      </c>
      <c r="AV4368" s="17">
        <v>1</v>
      </c>
      <c r="AW4368" s="17">
        <v>0.97509999999999997</v>
      </c>
      <c r="AX4368" s="17">
        <v>0.89410000000000001</v>
      </c>
      <c r="AY4368" s="17">
        <v>0.70089999999999997</v>
      </c>
      <c r="AZ4368" s="17">
        <v>0.43609999999999999</v>
      </c>
      <c r="BA4368" s="17">
        <v>0.2336</v>
      </c>
      <c r="BB4368" s="17">
        <v>0.11840000000000001</v>
      </c>
      <c r="BC4368" s="17">
        <v>7.7899999999999997E-2</v>
      </c>
      <c r="BD4368" s="17">
        <v>5.2999999999999999E-2</v>
      </c>
      <c r="BE4368" s="17">
        <v>4.6699999999999998E-2</v>
      </c>
      <c r="BF4368" s="17"/>
      <c r="BG4368" s="17"/>
      <c r="BH4368" s="17"/>
      <c r="BI4368" s="4">
        <f>AU4368/AI4368</f>
        <v>4.4642857142857144</v>
      </c>
      <c r="BJ4368" s="2" t="s">
        <v>68</v>
      </c>
      <c r="BK4368" s="2" t="s">
        <v>175</v>
      </c>
      <c r="BL4368" s="12"/>
      <c r="BM4368" s="12">
        <v>2.5594700000000001</v>
      </c>
      <c r="BN4368" s="12">
        <v>6.3091530000000002</v>
      </c>
      <c r="BO4368" s="12">
        <v>0.39013120000000001</v>
      </c>
      <c r="BP4368" s="12">
        <v>2.4524016</v>
      </c>
      <c r="BQ4368" s="12">
        <f>BN4368/BO4368</f>
        <v>16.171875</v>
      </c>
      <c r="BR4368" s="12" t="s">
        <v>379</v>
      </c>
      <c r="BS4368" s="18">
        <v>2</v>
      </c>
      <c r="BT4368" s="12">
        <v>0.59434100000000001</v>
      </c>
      <c r="BU4368" s="2"/>
      <c r="BV4368" s="2"/>
      <c r="BW4368" s="2"/>
      <c r="BX4368" s="2"/>
      <c r="BY4368" s="2" t="s">
        <v>596</v>
      </c>
      <c r="BZ4368" s="2"/>
      <c r="CA4368" s="381"/>
      <c r="CB4368" s="9" t="s">
        <v>224</v>
      </c>
    </row>
    <row r="4369" spans="1:80" s="87" customFormat="1" ht="16.5" x14ac:dyDescent="0.3">
      <c r="A4369" s="152"/>
      <c r="B4369" s="683"/>
      <c r="C4369" s="683"/>
      <c r="D4369" s="698"/>
      <c r="E4369" s="215"/>
      <c r="F4369" s="215"/>
      <c r="G4369" s="153"/>
      <c r="H4369" s="153"/>
      <c r="I4369" s="325">
        <v>18</v>
      </c>
      <c r="J4369" s="325">
        <v>30</v>
      </c>
      <c r="K4369" s="150">
        <v>1</v>
      </c>
      <c r="L4369" s="656">
        <v>9</v>
      </c>
      <c r="M4369" s="663">
        <v>31541</v>
      </c>
      <c r="N4369" s="600">
        <v>1.31654</v>
      </c>
      <c r="O4369" s="604">
        <v>9.5200000000000005E-4</v>
      </c>
      <c r="P4369" s="848"/>
      <c r="Q4369" s="848"/>
      <c r="R4369" s="848"/>
      <c r="S4369" s="848"/>
      <c r="T4369" s="848"/>
      <c r="U4369" s="848"/>
      <c r="V4369" s="227"/>
      <c r="W4369" s="227"/>
      <c r="X4369" s="227"/>
      <c r="Y4369" s="227"/>
      <c r="Z4369" s="152"/>
      <c r="AA4369" s="152"/>
      <c r="AB4369" s="152"/>
      <c r="AC4369" s="152"/>
      <c r="AD4369" s="223">
        <v>5.4862200000000003</v>
      </c>
      <c r="AE4369" s="223">
        <v>0.29869420000000002</v>
      </c>
      <c r="AF4369" s="223">
        <v>1.6349343999999999</v>
      </c>
      <c r="AG4369" s="223">
        <v>0.80769349999999995</v>
      </c>
      <c r="AH4369" s="341" t="s">
        <v>369</v>
      </c>
      <c r="AI4369" s="218"/>
      <c r="AJ4369" s="218"/>
      <c r="AK4369" s="153"/>
      <c r="AL4369" s="152"/>
      <c r="AM4369" s="152"/>
      <c r="AN4369" s="152"/>
      <c r="AO4369" s="152"/>
      <c r="AP4369" s="152"/>
      <c r="AQ4369" s="152"/>
      <c r="AR4369" s="152"/>
      <c r="AS4369" s="152"/>
      <c r="AT4369" s="152"/>
      <c r="AU4369" s="153"/>
      <c r="AV4369" s="479"/>
      <c r="AW4369" s="479"/>
      <c r="AX4369" s="442"/>
      <c r="AY4369" s="153"/>
      <c r="AZ4369" s="152"/>
      <c r="BA4369" s="152"/>
      <c r="BB4369" s="152"/>
      <c r="BC4369" s="152"/>
      <c r="BD4369" s="152"/>
      <c r="BE4369" s="152"/>
      <c r="BF4369" s="152"/>
      <c r="BG4369" s="152"/>
      <c r="BH4369" s="152"/>
      <c r="BI4369" s="153"/>
      <c r="BJ4369" s="153"/>
      <c r="BK4369" s="153"/>
      <c r="BL4369" s="153"/>
      <c r="BM4369" s="153"/>
      <c r="BN4369" s="153"/>
      <c r="BO4369" s="153"/>
      <c r="BP4369" s="153"/>
      <c r="BQ4369" s="153"/>
      <c r="BR4369" s="153"/>
      <c r="BS4369" s="153"/>
      <c r="BT4369" s="153"/>
      <c r="BU4369" s="153"/>
      <c r="BV4369" s="153"/>
      <c r="BW4369" s="153"/>
      <c r="BX4369" s="153"/>
      <c r="BY4369" s="153"/>
      <c r="BZ4369" s="153"/>
      <c r="CA4369" s="152"/>
      <c r="CB4369" s="154" t="s">
        <v>597</v>
      </c>
    </row>
    <row r="4370" spans="1:80" s="87" customFormat="1" ht="16.5" x14ac:dyDescent="0.3">
      <c r="A4370" s="152"/>
      <c r="B4370" s="683"/>
      <c r="C4370" s="683"/>
      <c r="D4370" s="698"/>
      <c r="E4370" s="215"/>
      <c r="F4370" s="215"/>
      <c r="G4370" s="153"/>
      <c r="H4370" s="153"/>
      <c r="I4370" s="325">
        <v>18</v>
      </c>
      <c r="J4370" s="325">
        <v>30</v>
      </c>
      <c r="K4370" s="150">
        <v>1</v>
      </c>
      <c r="L4370" s="656">
        <v>9</v>
      </c>
      <c r="M4370" s="663">
        <v>31548</v>
      </c>
      <c r="N4370" s="600">
        <v>1.1268499999999999</v>
      </c>
      <c r="O4370" s="604">
        <v>7.0600000000000003E-4</v>
      </c>
      <c r="P4370" s="849"/>
      <c r="Q4370" s="849"/>
      <c r="R4370" s="849"/>
      <c r="S4370" s="849"/>
      <c r="T4370" s="849"/>
      <c r="U4370" s="849"/>
      <c r="V4370" s="488"/>
      <c r="W4370" s="489"/>
      <c r="X4370" s="488"/>
      <c r="Y4370" s="488"/>
      <c r="Z4370" s="152"/>
      <c r="AA4370" s="152"/>
      <c r="AB4370" s="152"/>
      <c r="AC4370" s="152"/>
      <c r="AD4370" s="223">
        <v>5.4862200000000003</v>
      </c>
      <c r="AE4370" s="223">
        <v>0.25602360000000002</v>
      </c>
      <c r="AF4370" s="223">
        <v>1.3980547000000001</v>
      </c>
      <c r="AG4370" s="223">
        <v>0.76807080000000005</v>
      </c>
      <c r="AH4370" s="341" t="s">
        <v>370</v>
      </c>
      <c r="AI4370" s="218"/>
      <c r="AJ4370" s="218"/>
      <c r="AK4370" s="153"/>
      <c r="AL4370" s="152"/>
      <c r="AM4370" s="152"/>
      <c r="AN4370" s="152"/>
      <c r="AO4370" s="152"/>
      <c r="AP4370" s="152"/>
      <c r="AQ4370" s="152"/>
      <c r="AR4370" s="152"/>
      <c r="AS4370" s="152"/>
      <c r="AT4370" s="152"/>
      <c r="AU4370" s="153"/>
      <c r="AV4370" s="479"/>
      <c r="AW4370" s="479"/>
      <c r="AX4370" s="442"/>
      <c r="AY4370" s="153"/>
      <c r="AZ4370" s="152"/>
      <c r="BA4370" s="152"/>
      <c r="BB4370" s="152"/>
      <c r="BC4370" s="152"/>
      <c r="BD4370" s="152"/>
      <c r="BE4370" s="152"/>
      <c r="BF4370" s="152"/>
      <c r="BG4370" s="152"/>
      <c r="BH4370" s="152"/>
      <c r="BI4370" s="153"/>
      <c r="BJ4370" s="153"/>
      <c r="BK4370" s="153"/>
      <c r="BL4370" s="153"/>
      <c r="BM4370" s="153"/>
      <c r="BN4370" s="153"/>
      <c r="BO4370" s="153"/>
      <c r="BP4370" s="153"/>
      <c r="BQ4370" s="153"/>
      <c r="BR4370" s="153"/>
      <c r="BS4370" s="153"/>
      <c r="BT4370" s="153"/>
      <c r="BU4370" s="153"/>
      <c r="BV4370" s="153"/>
      <c r="BW4370" s="153"/>
      <c r="BX4370" s="153"/>
      <c r="BY4370" s="153"/>
      <c r="BZ4370" s="153"/>
      <c r="CA4370" s="152"/>
      <c r="CB4370" s="486" t="s">
        <v>638</v>
      </c>
    </row>
    <row r="4371" spans="1:80" s="87" customFormat="1" ht="16.5" x14ac:dyDescent="0.3">
      <c r="A4371" s="152"/>
      <c r="B4371" s="683"/>
      <c r="C4371" s="683"/>
      <c r="D4371" s="698"/>
      <c r="E4371" s="215"/>
      <c r="F4371" s="215"/>
      <c r="G4371" s="153"/>
      <c r="H4371" s="153"/>
      <c r="I4371" s="325">
        <v>16</v>
      </c>
      <c r="J4371" s="325">
        <v>30</v>
      </c>
      <c r="K4371" s="150">
        <v>1</v>
      </c>
      <c r="L4371" s="656">
        <v>8</v>
      </c>
      <c r="M4371" s="663">
        <v>31580</v>
      </c>
      <c r="N4371" s="600">
        <v>0.37656000000000001</v>
      </c>
      <c r="O4371" s="604">
        <v>1.5319999999999999E-3</v>
      </c>
      <c r="P4371" s="849"/>
      <c r="Q4371" s="849"/>
      <c r="R4371" s="849"/>
      <c r="S4371" s="849"/>
      <c r="T4371" s="849"/>
      <c r="U4371" s="849"/>
      <c r="V4371" s="488"/>
      <c r="W4371" s="489"/>
      <c r="X4371" s="488"/>
      <c r="Y4371" s="488"/>
      <c r="Z4371" s="152"/>
      <c r="AA4371" s="152"/>
      <c r="AB4371" s="152"/>
      <c r="AC4371" s="152"/>
      <c r="AD4371" s="223">
        <v>5.4862200000000003</v>
      </c>
      <c r="AE4371" s="223">
        <v>0.1645866</v>
      </c>
      <c r="AF4371" s="223">
        <v>0.90107179999999998</v>
      </c>
      <c r="AG4371" s="223">
        <v>0.49375980000000003</v>
      </c>
      <c r="AH4371" s="341" t="s">
        <v>371</v>
      </c>
      <c r="AI4371" s="218"/>
      <c r="AJ4371" s="218"/>
      <c r="AK4371" s="153"/>
      <c r="AL4371" s="152"/>
      <c r="AM4371" s="152"/>
      <c r="AN4371" s="152"/>
      <c r="AO4371" s="152"/>
      <c r="AP4371" s="152"/>
      <c r="AQ4371" s="152"/>
      <c r="AR4371" s="152"/>
      <c r="AS4371" s="152"/>
      <c r="AT4371" s="152"/>
      <c r="AU4371" s="153"/>
      <c r="AV4371" s="479"/>
      <c r="AW4371" s="479"/>
      <c r="AX4371" s="442"/>
      <c r="AY4371" s="153"/>
      <c r="AZ4371" s="152"/>
      <c r="BA4371" s="152"/>
      <c r="BB4371" s="152"/>
      <c r="BC4371" s="152"/>
      <c r="BD4371" s="152"/>
      <c r="BE4371" s="152"/>
      <c r="BF4371" s="152"/>
      <c r="BG4371" s="152"/>
      <c r="BH4371" s="152"/>
      <c r="BI4371" s="153"/>
      <c r="BJ4371" s="153"/>
      <c r="BK4371" s="153"/>
      <c r="BL4371" s="153"/>
      <c r="BM4371" s="153"/>
      <c r="BN4371" s="153"/>
      <c r="BO4371" s="153"/>
      <c r="BP4371" s="153"/>
      <c r="BQ4371" s="153"/>
      <c r="BR4371" s="153"/>
      <c r="BS4371" s="153"/>
      <c r="BT4371" s="153"/>
      <c r="BU4371" s="153"/>
      <c r="BV4371" s="153"/>
      <c r="BW4371" s="153"/>
      <c r="BX4371" s="153"/>
      <c r="BY4371" s="153"/>
      <c r="BZ4371" s="153"/>
      <c r="CA4371" s="152"/>
      <c r="CB4371" s="486" t="s">
        <v>639</v>
      </c>
    </row>
    <row r="4372" spans="1:80" s="87" customFormat="1" ht="16.5" x14ac:dyDescent="0.3">
      <c r="A4372" s="152"/>
      <c r="B4372" s="683"/>
      <c r="C4372" s="683"/>
      <c r="D4372" s="698"/>
      <c r="E4372" s="215"/>
      <c r="F4372" s="215"/>
      <c r="G4372" s="153"/>
      <c r="H4372" s="153"/>
      <c r="I4372" s="325">
        <v>15</v>
      </c>
      <c r="J4372" s="325">
        <v>30</v>
      </c>
      <c r="K4372" s="150">
        <v>1</v>
      </c>
      <c r="L4372" s="656">
        <v>7.5</v>
      </c>
      <c r="M4372" s="663">
        <v>31589</v>
      </c>
      <c r="N4372" s="600">
        <v>0.27492</v>
      </c>
      <c r="O4372" s="604">
        <v>6.0899999999999995E-4</v>
      </c>
      <c r="P4372" s="849"/>
      <c r="Q4372" s="849"/>
      <c r="R4372" s="849"/>
      <c r="S4372" s="849"/>
      <c r="T4372" s="849"/>
      <c r="U4372" s="849"/>
      <c r="V4372" s="488"/>
      <c r="W4372" s="489"/>
      <c r="X4372" s="488"/>
      <c r="Y4372" s="488"/>
      <c r="Z4372" s="152"/>
      <c r="AA4372" s="152"/>
      <c r="AB4372" s="152"/>
      <c r="AC4372" s="152"/>
      <c r="AD4372" s="223">
        <v>5.1814299999999998</v>
      </c>
      <c r="AE4372" s="223">
        <v>0.15544289999999999</v>
      </c>
      <c r="AF4372" s="223">
        <v>0.80817779999999995</v>
      </c>
      <c r="AG4372" s="223">
        <v>0.33526899999999998</v>
      </c>
      <c r="AH4372" s="341"/>
      <c r="AI4372" s="218"/>
      <c r="AJ4372" s="218"/>
      <c r="AK4372" s="153"/>
      <c r="AL4372" s="152"/>
      <c r="AM4372" s="152"/>
      <c r="AN4372" s="152"/>
      <c r="AO4372" s="152"/>
      <c r="AP4372" s="152"/>
      <c r="AQ4372" s="152"/>
      <c r="AR4372" s="152"/>
      <c r="AS4372" s="152"/>
      <c r="AT4372" s="152"/>
      <c r="AU4372" s="153"/>
      <c r="AV4372" s="479"/>
      <c r="AW4372" s="479"/>
      <c r="AX4372" s="442"/>
      <c r="AY4372" s="153"/>
      <c r="AZ4372" s="152"/>
      <c r="BA4372" s="152"/>
      <c r="BB4372" s="152"/>
      <c r="BC4372" s="152"/>
      <c r="BD4372" s="152"/>
      <c r="BE4372" s="152"/>
      <c r="BF4372" s="152"/>
      <c r="BG4372" s="152"/>
      <c r="BH4372" s="152"/>
      <c r="BI4372" s="153"/>
      <c r="BJ4372" s="153"/>
      <c r="BK4372" s="153"/>
      <c r="BL4372" s="153"/>
      <c r="BM4372" s="153"/>
      <c r="BN4372" s="153"/>
      <c r="BO4372" s="153"/>
      <c r="BP4372" s="153"/>
      <c r="BQ4372" s="153"/>
      <c r="BR4372" s="153"/>
      <c r="BS4372" s="153"/>
      <c r="BT4372" s="153"/>
      <c r="BU4372" s="153"/>
      <c r="BV4372" s="153"/>
      <c r="BW4372" s="153"/>
      <c r="BX4372" s="153"/>
      <c r="BY4372" s="153"/>
      <c r="BZ4372" s="153"/>
      <c r="CA4372" s="152"/>
      <c r="CB4372" s="486" t="s">
        <v>640</v>
      </c>
    </row>
    <row r="4373" spans="1:80" s="87" customFormat="1" ht="16.5" x14ac:dyDescent="0.3">
      <c r="A4373" s="152"/>
      <c r="B4373" s="683"/>
      <c r="C4373" s="683"/>
      <c r="D4373" s="698"/>
      <c r="E4373" s="215"/>
      <c r="F4373" s="215"/>
      <c r="G4373" s="153"/>
      <c r="H4373" s="153"/>
      <c r="I4373" s="325">
        <v>15</v>
      </c>
      <c r="J4373" s="325">
        <v>30</v>
      </c>
      <c r="K4373" s="150">
        <v>1</v>
      </c>
      <c r="L4373" s="656">
        <v>7.5</v>
      </c>
      <c r="M4373" s="663">
        <v>31603</v>
      </c>
      <c r="N4373" s="600">
        <v>0.24263999999999999</v>
      </c>
      <c r="O4373" s="604">
        <v>1.1860000000000001E-2</v>
      </c>
      <c r="P4373" s="849"/>
      <c r="Q4373" s="849"/>
      <c r="R4373" s="849"/>
      <c r="S4373" s="849"/>
      <c r="T4373" s="849"/>
      <c r="U4373" s="849"/>
      <c r="V4373" s="488"/>
      <c r="W4373" s="489"/>
      <c r="X4373" s="488"/>
      <c r="Y4373" s="488"/>
      <c r="Z4373" s="152"/>
      <c r="AA4373" s="152"/>
      <c r="AB4373" s="152"/>
      <c r="AC4373" s="152"/>
      <c r="AD4373" s="223">
        <v>5.1814299999999998</v>
      </c>
      <c r="AE4373" s="223">
        <v>0.14020340000000001</v>
      </c>
      <c r="AF4373" s="223">
        <v>0.73386260000000003</v>
      </c>
      <c r="AG4373" s="223">
        <v>0.33526899999999998</v>
      </c>
      <c r="AH4373" s="341"/>
      <c r="AI4373" s="218"/>
      <c r="AJ4373" s="218"/>
      <c r="AK4373" s="153"/>
      <c r="AL4373" s="152"/>
      <c r="AM4373" s="152"/>
      <c r="AN4373" s="152"/>
      <c r="AO4373" s="152"/>
      <c r="AP4373" s="152"/>
      <c r="AQ4373" s="152"/>
      <c r="AR4373" s="152"/>
      <c r="AS4373" s="152"/>
      <c r="AT4373" s="152"/>
      <c r="AU4373" s="153"/>
      <c r="AV4373" s="479"/>
      <c r="AW4373" s="479"/>
      <c r="AX4373" s="442"/>
      <c r="AY4373" s="153"/>
      <c r="AZ4373" s="152"/>
      <c r="BA4373" s="152"/>
      <c r="BB4373" s="152"/>
      <c r="BC4373" s="152"/>
      <c r="BD4373" s="152"/>
      <c r="BE4373" s="152"/>
      <c r="BF4373" s="152"/>
      <c r="BG4373" s="152"/>
      <c r="BH4373" s="152"/>
      <c r="BI4373" s="153"/>
      <c r="BJ4373" s="153"/>
      <c r="BK4373" s="153"/>
      <c r="BL4373" s="153"/>
      <c r="BM4373" s="153"/>
      <c r="BN4373" s="153"/>
      <c r="BO4373" s="153"/>
      <c r="BP4373" s="153"/>
      <c r="BQ4373" s="153"/>
      <c r="BR4373" s="153"/>
      <c r="BS4373" s="153"/>
      <c r="BT4373" s="153"/>
      <c r="BU4373" s="153"/>
      <c r="BV4373" s="153"/>
      <c r="BW4373" s="153"/>
      <c r="BX4373" s="153"/>
      <c r="BY4373" s="153"/>
      <c r="BZ4373" s="153"/>
      <c r="CA4373" s="152"/>
      <c r="CB4373" s="152"/>
    </row>
    <row r="4374" spans="1:80" s="87" customFormat="1" ht="16.5" x14ac:dyDescent="0.3">
      <c r="A4374" s="152"/>
      <c r="B4374" s="683"/>
      <c r="C4374" s="683"/>
      <c r="D4374" s="698"/>
      <c r="E4374" s="215"/>
      <c r="F4374" s="215"/>
      <c r="G4374" s="153"/>
      <c r="H4374" s="153"/>
      <c r="I4374" s="325">
        <v>13</v>
      </c>
      <c r="J4374" s="325">
        <v>30</v>
      </c>
      <c r="K4374" s="150">
        <v>1</v>
      </c>
      <c r="L4374" s="656">
        <v>6.5</v>
      </c>
      <c r="M4374" s="663">
        <v>31643</v>
      </c>
      <c r="N4374" s="600">
        <v>5.2659999999999998E-2</v>
      </c>
      <c r="O4374" s="604">
        <v>5.3399999999999997E-4</v>
      </c>
      <c r="P4374" s="849"/>
      <c r="Q4374" s="849"/>
      <c r="R4374" s="849"/>
      <c r="S4374" s="849"/>
      <c r="T4374" s="849"/>
      <c r="U4374" s="849"/>
      <c r="V4374" s="488"/>
      <c r="W4374" s="489"/>
      <c r="X4374" s="488"/>
      <c r="Y4374" s="488"/>
      <c r="Z4374" s="152"/>
      <c r="AA4374" s="152"/>
      <c r="AB4374" s="152"/>
      <c r="AC4374" s="152"/>
      <c r="AD4374" s="223">
        <v>4.8766400000000001</v>
      </c>
      <c r="AE4374" s="223">
        <v>5.7910099999999999E-2</v>
      </c>
      <c r="AF4374" s="223">
        <v>0.28332669999999999</v>
      </c>
      <c r="AG4374" s="223">
        <v>0.18896979999999999</v>
      </c>
      <c r="AH4374" s="341"/>
      <c r="AI4374" s="218"/>
      <c r="AJ4374" s="218"/>
      <c r="AK4374" s="153"/>
      <c r="AL4374" s="152"/>
      <c r="AM4374" s="152"/>
      <c r="AN4374" s="152"/>
      <c r="AO4374" s="152"/>
      <c r="AP4374" s="152"/>
      <c r="AQ4374" s="152"/>
      <c r="AR4374" s="152"/>
      <c r="AS4374" s="152"/>
      <c r="AT4374" s="152"/>
      <c r="AU4374" s="153"/>
      <c r="AV4374" s="479"/>
      <c r="AW4374" s="479"/>
      <c r="AX4374" s="442"/>
      <c r="AY4374" s="153"/>
      <c r="AZ4374" s="152"/>
      <c r="BA4374" s="152"/>
      <c r="BB4374" s="152"/>
      <c r="BC4374" s="152"/>
      <c r="BD4374" s="152"/>
      <c r="BE4374" s="152"/>
      <c r="BF4374" s="152"/>
      <c r="BG4374" s="152"/>
      <c r="BH4374" s="152"/>
      <c r="BI4374" s="153"/>
      <c r="BJ4374" s="153"/>
      <c r="BK4374" s="153"/>
      <c r="BL4374" s="153"/>
      <c r="BM4374" s="153"/>
      <c r="BN4374" s="153"/>
      <c r="BO4374" s="153"/>
      <c r="BP4374" s="153"/>
      <c r="BQ4374" s="153"/>
      <c r="BR4374" s="153"/>
      <c r="BS4374" s="153"/>
      <c r="BT4374" s="153"/>
      <c r="BU4374" s="153"/>
      <c r="BV4374" s="153"/>
      <c r="BW4374" s="153"/>
      <c r="BX4374" s="153"/>
      <c r="BY4374" s="153"/>
      <c r="BZ4374" s="153"/>
      <c r="CA4374" s="152"/>
      <c r="CB4374" s="152"/>
    </row>
    <row r="4375" spans="1:80" s="87" customFormat="1" ht="16.5" x14ac:dyDescent="0.3">
      <c r="A4375" s="152"/>
      <c r="B4375" s="683"/>
      <c r="C4375" s="683"/>
      <c r="D4375" s="698"/>
      <c r="E4375" s="215"/>
      <c r="F4375" s="215"/>
      <c r="G4375" s="153"/>
      <c r="H4375" s="153"/>
      <c r="I4375" s="325">
        <v>12</v>
      </c>
      <c r="J4375" s="325">
        <v>30</v>
      </c>
      <c r="K4375" s="150">
        <v>1</v>
      </c>
      <c r="L4375" s="656">
        <v>6</v>
      </c>
      <c r="M4375" s="663">
        <v>31672</v>
      </c>
      <c r="N4375" s="600">
        <v>8.1540000000000001E-2</v>
      </c>
      <c r="O4375" s="604">
        <v>1.186E-3</v>
      </c>
      <c r="P4375" s="849"/>
      <c r="Q4375" s="849"/>
      <c r="R4375" s="849"/>
      <c r="S4375" s="849"/>
      <c r="T4375" s="849"/>
      <c r="U4375" s="849"/>
      <c r="V4375" s="488"/>
      <c r="W4375" s="489"/>
      <c r="X4375" s="488"/>
      <c r="Y4375" s="488"/>
      <c r="Z4375" s="152"/>
      <c r="AA4375" s="152"/>
      <c r="AB4375" s="152"/>
      <c r="AC4375" s="152"/>
      <c r="AD4375" s="223">
        <v>4.5718500000000004</v>
      </c>
      <c r="AE4375" s="223">
        <v>7.9245399999999994E-2</v>
      </c>
      <c r="AF4375" s="223">
        <v>0.36693130000000002</v>
      </c>
      <c r="AG4375" s="223">
        <v>0.24383199999999999</v>
      </c>
      <c r="AH4375" s="341"/>
      <c r="AI4375" s="218"/>
      <c r="AJ4375" s="218"/>
      <c r="AK4375" s="153"/>
      <c r="AL4375" s="152"/>
      <c r="AM4375" s="152"/>
      <c r="AN4375" s="152"/>
      <c r="AO4375" s="152"/>
      <c r="AP4375" s="152"/>
      <c r="AQ4375" s="152"/>
      <c r="AR4375" s="152"/>
      <c r="AS4375" s="152"/>
      <c r="AT4375" s="152"/>
      <c r="AU4375" s="153"/>
      <c r="AV4375" s="479"/>
      <c r="AW4375" s="479"/>
      <c r="AX4375" s="442"/>
      <c r="AY4375" s="153"/>
      <c r="AZ4375" s="152"/>
      <c r="BA4375" s="152"/>
      <c r="BB4375" s="152"/>
      <c r="BC4375" s="152"/>
      <c r="BD4375" s="152"/>
      <c r="BE4375" s="152"/>
      <c r="BF4375" s="152"/>
      <c r="BG4375" s="152"/>
      <c r="BH4375" s="152"/>
      <c r="BI4375" s="153"/>
      <c r="BJ4375" s="153"/>
      <c r="BK4375" s="153"/>
      <c r="BL4375" s="153"/>
      <c r="BM4375" s="153"/>
      <c r="BN4375" s="153"/>
      <c r="BO4375" s="153"/>
      <c r="BP4375" s="153"/>
      <c r="BQ4375" s="153"/>
      <c r="BR4375" s="153"/>
      <c r="BS4375" s="153"/>
      <c r="BT4375" s="153"/>
      <c r="BU4375" s="153"/>
      <c r="BV4375" s="153"/>
      <c r="BW4375" s="153"/>
      <c r="BX4375" s="153"/>
      <c r="BY4375" s="153"/>
      <c r="BZ4375" s="153"/>
      <c r="CA4375" s="152"/>
      <c r="CB4375" s="152"/>
    </row>
    <row r="4376" spans="1:80" s="87" customFormat="1" ht="16.5" x14ac:dyDescent="0.3">
      <c r="A4376" s="152"/>
      <c r="B4376" s="683"/>
      <c r="C4376" s="683"/>
      <c r="D4376" s="698"/>
      <c r="E4376" s="215"/>
      <c r="F4376" s="215"/>
      <c r="G4376" s="153"/>
      <c r="H4376" s="153"/>
      <c r="I4376" s="325">
        <v>18</v>
      </c>
      <c r="J4376" s="325">
        <v>30</v>
      </c>
      <c r="K4376" s="150">
        <v>1</v>
      </c>
      <c r="L4376" s="656">
        <v>9</v>
      </c>
      <c r="M4376" s="663">
        <v>31897</v>
      </c>
      <c r="N4376" s="600">
        <v>2.91621</v>
      </c>
      <c r="O4376" s="604">
        <v>1.469E-3</v>
      </c>
      <c r="P4376" s="849"/>
      <c r="Q4376" s="849"/>
      <c r="R4376" s="849"/>
      <c r="S4376" s="849"/>
      <c r="T4376" s="849"/>
      <c r="U4376" s="849"/>
      <c r="V4376" s="488"/>
      <c r="W4376" s="489"/>
      <c r="X4376" s="488"/>
      <c r="Y4376" s="488"/>
      <c r="Z4376" s="152"/>
      <c r="AA4376" s="152"/>
      <c r="AB4376" s="152"/>
      <c r="AC4376" s="152"/>
      <c r="AD4376" s="223">
        <v>5.79101</v>
      </c>
      <c r="AE4376" s="223">
        <v>0.31393369999999998</v>
      </c>
      <c r="AF4376" s="223">
        <v>1.8114330000000001</v>
      </c>
      <c r="AG4376" s="223">
        <v>0.80769349999999995</v>
      </c>
      <c r="AH4376" s="341"/>
      <c r="AI4376" s="218"/>
      <c r="AJ4376" s="218"/>
      <c r="AK4376" s="153"/>
      <c r="AL4376" s="152"/>
      <c r="AM4376" s="152"/>
      <c r="AN4376" s="152"/>
      <c r="AO4376" s="152"/>
      <c r="AP4376" s="152"/>
      <c r="AQ4376" s="152"/>
      <c r="AR4376" s="152"/>
      <c r="AS4376" s="152"/>
      <c r="AT4376" s="152"/>
      <c r="AU4376" s="153"/>
      <c r="AV4376" s="479"/>
      <c r="AW4376" s="479"/>
      <c r="AX4376" s="442"/>
      <c r="AY4376" s="153"/>
      <c r="AZ4376" s="152"/>
      <c r="BA4376" s="152"/>
      <c r="BB4376" s="152"/>
      <c r="BC4376" s="152"/>
      <c r="BD4376" s="152"/>
      <c r="BE4376" s="152"/>
      <c r="BF4376" s="152"/>
      <c r="BG4376" s="152"/>
      <c r="BH4376" s="152"/>
      <c r="BI4376" s="153"/>
      <c r="BJ4376" s="153"/>
      <c r="BK4376" s="153"/>
      <c r="BL4376" s="153"/>
      <c r="BM4376" s="153"/>
      <c r="BN4376" s="153"/>
      <c r="BO4376" s="153"/>
      <c r="BP4376" s="153"/>
      <c r="BQ4376" s="153"/>
      <c r="BR4376" s="153"/>
      <c r="BS4376" s="153"/>
      <c r="BT4376" s="153"/>
      <c r="BU4376" s="153"/>
      <c r="BV4376" s="153"/>
      <c r="BW4376" s="153"/>
      <c r="BX4376" s="153"/>
      <c r="BY4376" s="153"/>
      <c r="BZ4376" s="153"/>
      <c r="CA4376" s="152"/>
      <c r="CB4376" s="152"/>
    </row>
    <row r="4377" spans="1:80" s="87" customFormat="1" ht="16.5" x14ac:dyDescent="0.3">
      <c r="A4377" s="152"/>
      <c r="B4377" s="683"/>
      <c r="C4377" s="683"/>
      <c r="D4377" s="698"/>
      <c r="E4377" s="215"/>
      <c r="F4377" s="215"/>
      <c r="G4377" s="153"/>
      <c r="H4377" s="153"/>
      <c r="I4377" s="325">
        <v>15</v>
      </c>
      <c r="J4377" s="325">
        <v>30</v>
      </c>
      <c r="K4377" s="150">
        <v>1</v>
      </c>
      <c r="L4377" s="656">
        <v>7.5</v>
      </c>
      <c r="M4377" s="663">
        <v>31919</v>
      </c>
      <c r="N4377" s="600">
        <v>0.25255</v>
      </c>
      <c r="O4377" s="604">
        <v>3.82E-3</v>
      </c>
      <c r="P4377" s="849"/>
      <c r="Q4377" s="849"/>
      <c r="R4377" s="849"/>
      <c r="S4377" s="849"/>
      <c r="T4377" s="849"/>
      <c r="U4377" s="849"/>
      <c r="V4377" s="488"/>
      <c r="W4377" s="489"/>
      <c r="X4377" s="488"/>
      <c r="Y4377" s="488"/>
      <c r="Z4377" s="152"/>
      <c r="AA4377" s="152"/>
      <c r="AB4377" s="152"/>
      <c r="AC4377" s="152"/>
      <c r="AD4377" s="223">
        <v>5.4862200000000003</v>
      </c>
      <c r="AE4377" s="223">
        <v>0.1310597</v>
      </c>
      <c r="AF4377" s="223">
        <v>0.71528380000000003</v>
      </c>
      <c r="AG4377" s="223">
        <v>0.34746060000000001</v>
      </c>
      <c r="AH4377" s="341"/>
      <c r="AI4377" s="218"/>
      <c r="AJ4377" s="218"/>
      <c r="AK4377" s="153"/>
      <c r="AL4377" s="152"/>
      <c r="AM4377" s="152"/>
      <c r="AN4377" s="152"/>
      <c r="AO4377" s="152"/>
      <c r="AP4377" s="152"/>
      <c r="AQ4377" s="152"/>
      <c r="AR4377" s="152"/>
      <c r="AS4377" s="152"/>
      <c r="AT4377" s="152"/>
      <c r="AU4377" s="153"/>
      <c r="AV4377" s="479"/>
      <c r="AW4377" s="479"/>
      <c r="AX4377" s="442"/>
      <c r="AY4377" s="153"/>
      <c r="AZ4377" s="152"/>
      <c r="BA4377" s="152"/>
      <c r="BB4377" s="152"/>
      <c r="BC4377" s="152"/>
      <c r="BD4377" s="152"/>
      <c r="BE4377" s="152"/>
      <c r="BF4377" s="152"/>
      <c r="BG4377" s="152"/>
      <c r="BH4377" s="152"/>
      <c r="BI4377" s="153"/>
      <c r="BJ4377" s="153"/>
      <c r="BK4377" s="153"/>
      <c r="BL4377" s="153"/>
      <c r="BM4377" s="153"/>
      <c r="BN4377" s="153"/>
      <c r="BO4377" s="153"/>
      <c r="BP4377" s="153"/>
      <c r="BQ4377" s="153"/>
      <c r="BR4377" s="153"/>
      <c r="BS4377" s="153"/>
      <c r="BT4377" s="153"/>
      <c r="BU4377" s="153"/>
      <c r="BV4377" s="153"/>
      <c r="BW4377" s="153"/>
      <c r="BX4377" s="153"/>
      <c r="BY4377" s="153"/>
      <c r="BZ4377" s="153"/>
      <c r="CA4377" s="152"/>
      <c r="CB4377" s="152"/>
    </row>
    <row r="4378" spans="1:80" s="87" customFormat="1" ht="16.5" x14ac:dyDescent="0.3">
      <c r="A4378" s="152"/>
      <c r="B4378" s="683"/>
      <c r="C4378" s="683"/>
      <c r="D4378" s="698"/>
      <c r="E4378" s="215"/>
      <c r="F4378" s="215"/>
      <c r="G4378" s="153"/>
      <c r="H4378" s="153"/>
      <c r="I4378" s="325">
        <v>16</v>
      </c>
      <c r="J4378" s="325">
        <v>30</v>
      </c>
      <c r="K4378" s="150">
        <v>1</v>
      </c>
      <c r="L4378" s="656">
        <v>8</v>
      </c>
      <c r="M4378" s="663">
        <v>31932</v>
      </c>
      <c r="N4378" s="600">
        <v>0.24235999999999999</v>
      </c>
      <c r="O4378" s="604">
        <v>4.0509999999999999E-3</v>
      </c>
      <c r="P4378" s="849"/>
      <c r="Q4378" s="849"/>
      <c r="R4378" s="849"/>
      <c r="S4378" s="849"/>
      <c r="T4378" s="849"/>
      <c r="U4378" s="849"/>
      <c r="V4378" s="488"/>
      <c r="W4378" s="489"/>
      <c r="X4378" s="488"/>
      <c r="Y4378" s="488"/>
      <c r="Z4378" s="152"/>
      <c r="AA4378" s="152"/>
      <c r="AB4378" s="152"/>
      <c r="AC4378" s="152"/>
      <c r="AD4378" s="223">
        <v>5.79101</v>
      </c>
      <c r="AE4378" s="223">
        <v>0.1188681</v>
      </c>
      <c r="AF4378" s="223">
        <v>0.68741560000000002</v>
      </c>
      <c r="AG4378" s="223">
        <v>0.3718438</v>
      </c>
      <c r="AH4378" s="341"/>
      <c r="AI4378" s="218"/>
      <c r="AJ4378" s="218"/>
      <c r="AK4378" s="153"/>
      <c r="AL4378" s="152"/>
      <c r="AM4378" s="152"/>
      <c r="AN4378" s="152"/>
      <c r="AO4378" s="152"/>
      <c r="AP4378" s="152"/>
      <c r="AQ4378" s="152"/>
      <c r="AR4378" s="152"/>
      <c r="AS4378" s="152"/>
      <c r="AT4378" s="152"/>
      <c r="AU4378" s="153"/>
      <c r="AV4378" s="479"/>
      <c r="AW4378" s="479"/>
      <c r="AX4378" s="442"/>
      <c r="AY4378" s="153"/>
      <c r="AZ4378" s="152"/>
      <c r="BA4378" s="152"/>
      <c r="BB4378" s="152"/>
      <c r="BC4378" s="152"/>
      <c r="BD4378" s="152"/>
      <c r="BE4378" s="152"/>
      <c r="BF4378" s="152"/>
      <c r="BG4378" s="152"/>
      <c r="BH4378" s="152"/>
      <c r="BI4378" s="153"/>
      <c r="BJ4378" s="153"/>
      <c r="BK4378" s="153"/>
      <c r="BL4378" s="153"/>
      <c r="BM4378" s="153"/>
      <c r="BN4378" s="153"/>
      <c r="BO4378" s="153"/>
      <c r="BP4378" s="153"/>
      <c r="BQ4378" s="153"/>
      <c r="BR4378" s="153"/>
      <c r="BS4378" s="153"/>
      <c r="BT4378" s="153"/>
      <c r="BU4378" s="153"/>
      <c r="BV4378" s="153"/>
      <c r="BW4378" s="153"/>
      <c r="BX4378" s="153"/>
      <c r="BY4378" s="153"/>
      <c r="BZ4378" s="153"/>
      <c r="CA4378" s="152"/>
      <c r="CB4378" s="152"/>
    </row>
    <row r="4379" spans="1:80" s="87" customFormat="1" ht="16.5" x14ac:dyDescent="0.3">
      <c r="A4379" s="152"/>
      <c r="B4379" s="683"/>
      <c r="C4379" s="683"/>
      <c r="D4379" s="698"/>
      <c r="E4379" s="215"/>
      <c r="F4379" s="215"/>
      <c r="G4379" s="153"/>
      <c r="H4379" s="153"/>
      <c r="I4379" s="325">
        <v>14</v>
      </c>
      <c r="J4379" s="325">
        <v>30</v>
      </c>
      <c r="K4379" s="150">
        <v>1</v>
      </c>
      <c r="L4379" s="656">
        <v>7</v>
      </c>
      <c r="M4379" s="663">
        <v>31952</v>
      </c>
      <c r="N4379" s="600">
        <v>0.23244999999999999</v>
      </c>
      <c r="O4379" s="604">
        <v>1.6789999999999999E-3</v>
      </c>
      <c r="P4379" s="849"/>
      <c r="Q4379" s="849"/>
      <c r="R4379" s="849"/>
      <c r="S4379" s="849"/>
      <c r="T4379" s="849"/>
      <c r="U4379" s="849"/>
      <c r="V4379" s="488"/>
      <c r="W4379" s="489"/>
      <c r="X4379" s="488"/>
      <c r="Y4379" s="488"/>
      <c r="Z4379" s="152"/>
      <c r="AA4379" s="152"/>
      <c r="AB4379" s="152"/>
      <c r="AC4379" s="152"/>
      <c r="AD4379" s="223">
        <v>4.8766400000000001</v>
      </c>
      <c r="AE4379" s="223">
        <v>0.1188681</v>
      </c>
      <c r="AF4379" s="223">
        <v>0.58523219999999998</v>
      </c>
      <c r="AG4379" s="223">
        <v>0.27735890000000002</v>
      </c>
      <c r="AH4379" s="341"/>
      <c r="AI4379" s="218"/>
      <c r="AJ4379" s="218"/>
      <c r="AK4379" s="153"/>
      <c r="AL4379" s="152"/>
      <c r="AM4379" s="152"/>
      <c r="AN4379" s="152"/>
      <c r="AO4379" s="152"/>
      <c r="AP4379" s="152"/>
      <c r="AQ4379" s="152"/>
      <c r="AR4379" s="152"/>
      <c r="AS4379" s="152"/>
      <c r="AT4379" s="152"/>
      <c r="AU4379" s="153"/>
      <c r="AV4379" s="479"/>
      <c r="AW4379" s="479"/>
      <c r="AX4379" s="442"/>
      <c r="AY4379" s="153"/>
      <c r="AZ4379" s="152"/>
      <c r="BA4379" s="152"/>
      <c r="BB4379" s="152"/>
      <c r="BC4379" s="152"/>
      <c r="BD4379" s="152"/>
      <c r="BE4379" s="152"/>
      <c r="BF4379" s="152"/>
      <c r="BG4379" s="152"/>
      <c r="BH4379" s="152"/>
      <c r="BI4379" s="153"/>
      <c r="BJ4379" s="153"/>
      <c r="BK4379" s="153"/>
      <c r="BL4379" s="153"/>
      <c r="BM4379" s="153"/>
      <c r="BN4379" s="153"/>
      <c r="BO4379" s="153"/>
      <c r="BP4379" s="153"/>
      <c r="BQ4379" s="153"/>
      <c r="BR4379" s="153"/>
      <c r="BS4379" s="153"/>
      <c r="BT4379" s="153"/>
      <c r="BU4379" s="153"/>
      <c r="BV4379" s="153"/>
      <c r="BW4379" s="153"/>
      <c r="BX4379" s="153"/>
      <c r="BY4379" s="153"/>
      <c r="BZ4379" s="153"/>
      <c r="CA4379" s="152"/>
      <c r="CB4379" s="152"/>
    </row>
    <row r="4380" spans="1:80" s="87" customFormat="1" ht="16.5" x14ac:dyDescent="0.3">
      <c r="A4380" s="152"/>
      <c r="B4380" s="683"/>
      <c r="C4380" s="683"/>
      <c r="D4380" s="698"/>
      <c r="E4380" s="215"/>
      <c r="F4380" s="215"/>
      <c r="G4380" s="153"/>
      <c r="H4380" s="153"/>
      <c r="I4380" s="325">
        <v>10</v>
      </c>
      <c r="J4380" s="325">
        <v>30</v>
      </c>
      <c r="K4380" s="150">
        <v>1</v>
      </c>
      <c r="L4380" s="656">
        <v>5</v>
      </c>
      <c r="M4380" s="663">
        <v>32280</v>
      </c>
      <c r="N4380" s="600">
        <v>2.7180200000000001</v>
      </c>
      <c r="O4380" s="604">
        <v>1.2279999999999999E-2</v>
      </c>
      <c r="P4380" s="849"/>
      <c r="Q4380" s="849"/>
      <c r="R4380" s="849"/>
      <c r="S4380" s="849"/>
      <c r="T4380" s="849"/>
      <c r="U4380" s="849"/>
      <c r="V4380" s="488"/>
      <c r="W4380" s="489"/>
      <c r="X4380" s="488"/>
      <c r="Y4380" s="488"/>
      <c r="Z4380" s="152"/>
      <c r="AA4380" s="152"/>
      <c r="AB4380" s="152"/>
      <c r="AC4380" s="152"/>
      <c r="AD4380" s="223">
        <v>6.0957999999999997</v>
      </c>
      <c r="AE4380" s="223">
        <v>0.41451440000000001</v>
      </c>
      <c r="AF4380" s="223">
        <v>2.5267168</v>
      </c>
      <c r="AG4380" s="223">
        <v>1.0606692</v>
      </c>
      <c r="AH4380" s="341"/>
      <c r="AI4380" s="218"/>
      <c r="AJ4380" s="218"/>
      <c r="AK4380" s="153"/>
      <c r="AL4380" s="152"/>
      <c r="AM4380" s="152"/>
      <c r="AN4380" s="152"/>
      <c r="AO4380" s="152"/>
      <c r="AP4380" s="152"/>
      <c r="AQ4380" s="152"/>
      <c r="AR4380" s="152"/>
      <c r="AS4380" s="152"/>
      <c r="AT4380" s="152"/>
      <c r="AU4380" s="153"/>
      <c r="AV4380" s="479"/>
      <c r="AW4380" s="479"/>
      <c r="AX4380" s="442"/>
      <c r="AY4380" s="153"/>
      <c r="AZ4380" s="152"/>
      <c r="BA4380" s="152"/>
      <c r="BB4380" s="152"/>
      <c r="BC4380" s="152"/>
      <c r="BD4380" s="152"/>
      <c r="BE4380" s="152"/>
      <c r="BF4380" s="152"/>
      <c r="BG4380" s="152"/>
      <c r="BH4380" s="152"/>
      <c r="BI4380" s="153"/>
      <c r="BJ4380" s="153"/>
      <c r="BK4380" s="153"/>
      <c r="BL4380" s="153"/>
      <c r="BM4380" s="153"/>
      <c r="BN4380" s="153"/>
      <c r="BO4380" s="153"/>
      <c r="BP4380" s="153"/>
      <c r="BQ4380" s="153"/>
      <c r="BR4380" s="153"/>
      <c r="BS4380" s="153"/>
      <c r="BT4380" s="153"/>
      <c r="BU4380" s="153"/>
      <c r="BV4380" s="153"/>
      <c r="BW4380" s="153"/>
      <c r="BX4380" s="153"/>
      <c r="BY4380" s="153"/>
      <c r="BZ4380" s="153"/>
      <c r="CA4380" s="152"/>
      <c r="CB4380" s="152"/>
    </row>
    <row r="4381" spans="1:80" s="87" customFormat="1" ht="16.5" x14ac:dyDescent="0.3">
      <c r="A4381" s="152"/>
      <c r="B4381" s="683"/>
      <c r="C4381" s="683"/>
      <c r="D4381" s="698"/>
      <c r="E4381" s="215"/>
      <c r="F4381" s="215"/>
      <c r="G4381" s="153"/>
      <c r="H4381" s="153"/>
      <c r="I4381" s="325">
        <v>13</v>
      </c>
      <c r="J4381" s="325">
        <v>30</v>
      </c>
      <c r="K4381" s="150">
        <v>1</v>
      </c>
      <c r="L4381" s="656">
        <v>6.5</v>
      </c>
      <c r="M4381" s="663">
        <v>32637</v>
      </c>
      <c r="N4381" s="600">
        <v>2.34429</v>
      </c>
      <c r="O4381" s="604">
        <v>2.6869000000000001E-2</v>
      </c>
      <c r="P4381" s="849"/>
      <c r="Q4381" s="849"/>
      <c r="R4381" s="849"/>
      <c r="S4381" s="849"/>
      <c r="T4381" s="849"/>
      <c r="U4381" s="849"/>
      <c r="V4381" s="488"/>
      <c r="W4381" s="489"/>
      <c r="X4381" s="488"/>
      <c r="Y4381" s="488"/>
      <c r="Z4381" s="152"/>
      <c r="AA4381" s="152"/>
      <c r="AB4381" s="152"/>
      <c r="AC4381" s="152"/>
      <c r="AD4381" s="223">
        <v>5.8214889999999997</v>
      </c>
      <c r="AE4381" s="223">
        <v>0.4175623</v>
      </c>
      <c r="AF4381" s="223">
        <v>2.4338228000000002</v>
      </c>
      <c r="AG4381" s="223">
        <v>0.95094480000000003</v>
      </c>
      <c r="AH4381" s="341"/>
      <c r="AI4381" s="218"/>
      <c r="AJ4381" s="218"/>
      <c r="AK4381" s="153"/>
      <c r="AL4381" s="152"/>
      <c r="AM4381" s="152"/>
      <c r="AN4381" s="152"/>
      <c r="AO4381" s="152"/>
      <c r="AP4381" s="152"/>
      <c r="AQ4381" s="152"/>
      <c r="AR4381" s="152"/>
      <c r="AS4381" s="152"/>
      <c r="AT4381" s="152"/>
      <c r="AU4381" s="153"/>
      <c r="AV4381" s="479"/>
      <c r="AW4381" s="479"/>
      <c r="AX4381" s="442"/>
      <c r="AY4381" s="153"/>
      <c r="AZ4381" s="152"/>
      <c r="BA4381" s="152"/>
      <c r="BB4381" s="152"/>
      <c r="BC4381" s="152"/>
      <c r="BD4381" s="152"/>
      <c r="BE4381" s="152"/>
      <c r="BF4381" s="152"/>
      <c r="BG4381" s="152"/>
      <c r="BH4381" s="152"/>
      <c r="BI4381" s="153"/>
      <c r="BJ4381" s="153"/>
      <c r="BK4381" s="153"/>
      <c r="BL4381" s="153"/>
      <c r="BM4381" s="153"/>
      <c r="BN4381" s="153"/>
      <c r="BO4381" s="153"/>
      <c r="BP4381" s="153"/>
      <c r="BQ4381" s="153"/>
      <c r="BR4381" s="153"/>
      <c r="BS4381" s="153"/>
      <c r="BT4381" s="153"/>
      <c r="BU4381" s="153"/>
      <c r="BV4381" s="153"/>
      <c r="BW4381" s="153"/>
      <c r="BX4381" s="153"/>
      <c r="BY4381" s="153"/>
      <c r="BZ4381" s="153"/>
      <c r="CA4381" s="152"/>
      <c r="CB4381" s="152"/>
    </row>
    <row r="4382" spans="1:80" s="87" customFormat="1" ht="16.5" x14ac:dyDescent="0.3">
      <c r="A4382" s="152"/>
      <c r="B4382" s="683"/>
      <c r="C4382" s="683"/>
      <c r="D4382" s="698"/>
      <c r="E4382" s="215"/>
      <c r="F4382" s="215"/>
      <c r="G4382" s="153"/>
      <c r="H4382" s="153"/>
      <c r="I4382" s="325">
        <v>14</v>
      </c>
      <c r="J4382" s="325">
        <v>30</v>
      </c>
      <c r="K4382" s="150">
        <v>1</v>
      </c>
      <c r="L4382" s="656">
        <v>7</v>
      </c>
      <c r="M4382" s="663">
        <v>32640</v>
      </c>
      <c r="N4382" s="600">
        <v>1.90544</v>
      </c>
      <c r="O4382" s="604">
        <v>3.6944999999999999E-2</v>
      </c>
      <c r="P4382" s="849"/>
      <c r="Q4382" s="849"/>
      <c r="R4382" s="849"/>
      <c r="S4382" s="849"/>
      <c r="T4382" s="849"/>
      <c r="U4382" s="849"/>
      <c r="V4382" s="488"/>
      <c r="W4382" s="489"/>
      <c r="X4382" s="488"/>
      <c r="Y4382" s="488"/>
      <c r="Z4382" s="152"/>
      <c r="AA4382" s="152"/>
      <c r="AB4382" s="152"/>
      <c r="AC4382" s="152"/>
      <c r="AD4382" s="223">
        <v>5.5471779999999997</v>
      </c>
      <c r="AE4382" s="223">
        <v>0.37793959999999999</v>
      </c>
      <c r="AF4382" s="223">
        <v>2.0994044000000001</v>
      </c>
      <c r="AG4382" s="223">
        <v>0.81683720000000004</v>
      </c>
      <c r="AH4382" s="341"/>
      <c r="AI4382" s="218"/>
      <c r="AJ4382" s="218"/>
      <c r="AK4382" s="153"/>
      <c r="AL4382" s="152"/>
      <c r="AM4382" s="152"/>
      <c r="AN4382" s="152"/>
      <c r="AO4382" s="152"/>
      <c r="AP4382" s="152"/>
      <c r="AQ4382" s="152"/>
      <c r="AR4382" s="152"/>
      <c r="AS4382" s="152"/>
      <c r="AT4382" s="152"/>
      <c r="AU4382" s="153"/>
      <c r="AV4382" s="479"/>
      <c r="AW4382" s="479"/>
      <c r="AX4382" s="442"/>
      <c r="AY4382" s="153"/>
      <c r="AZ4382" s="152"/>
      <c r="BA4382" s="152"/>
      <c r="BB4382" s="152"/>
      <c r="BC4382" s="152"/>
      <c r="BD4382" s="152"/>
      <c r="BE4382" s="152"/>
      <c r="BF4382" s="152"/>
      <c r="BG4382" s="152"/>
      <c r="BH4382" s="152"/>
      <c r="BI4382" s="153"/>
      <c r="BJ4382" s="153"/>
      <c r="BK4382" s="153"/>
      <c r="BL4382" s="153"/>
      <c r="BM4382" s="153"/>
      <c r="BN4382" s="153"/>
      <c r="BO4382" s="153"/>
      <c r="BP4382" s="153"/>
      <c r="BQ4382" s="153"/>
      <c r="BR4382" s="153"/>
      <c r="BS4382" s="153"/>
      <c r="BT4382" s="153"/>
      <c r="BU4382" s="153"/>
      <c r="BV4382" s="153"/>
      <c r="BW4382" s="153"/>
      <c r="BX4382" s="153"/>
      <c r="BY4382" s="153"/>
      <c r="BZ4382" s="153"/>
      <c r="CA4382" s="152"/>
      <c r="CB4382" s="152"/>
    </row>
    <row r="4383" spans="1:80" s="87" customFormat="1" ht="16.5" x14ac:dyDescent="0.3">
      <c r="A4383" s="152"/>
      <c r="B4383" s="683"/>
      <c r="C4383" s="683"/>
      <c r="D4383" s="698"/>
      <c r="E4383" s="215"/>
      <c r="F4383" s="215"/>
      <c r="G4383" s="153"/>
      <c r="H4383" s="153"/>
      <c r="I4383" s="325">
        <v>11</v>
      </c>
      <c r="J4383" s="325">
        <v>30</v>
      </c>
      <c r="K4383" s="150">
        <v>1</v>
      </c>
      <c r="L4383" s="656">
        <v>5.5</v>
      </c>
      <c r="M4383" s="663">
        <v>32658</v>
      </c>
      <c r="N4383" s="600">
        <v>0.87768999999999997</v>
      </c>
      <c r="O4383" s="604">
        <v>1.0191E-2</v>
      </c>
      <c r="P4383" s="849"/>
      <c r="Q4383" s="849"/>
      <c r="R4383" s="849"/>
      <c r="S4383" s="849"/>
      <c r="T4383" s="849"/>
      <c r="U4383" s="849"/>
      <c r="V4383" s="488"/>
      <c r="W4383" s="489"/>
      <c r="X4383" s="488"/>
      <c r="Y4383" s="488"/>
      <c r="Z4383" s="152"/>
      <c r="AA4383" s="152"/>
      <c r="AB4383" s="152"/>
      <c r="AC4383" s="152"/>
      <c r="AD4383" s="223">
        <v>4.9985559999999998</v>
      </c>
      <c r="AE4383" s="223">
        <v>0.29869420000000002</v>
      </c>
      <c r="AF4383" s="223">
        <v>1.4863040000000001</v>
      </c>
      <c r="AG4383" s="223">
        <v>0.6126279</v>
      </c>
      <c r="AH4383" s="341"/>
      <c r="AI4383" s="218"/>
      <c r="AJ4383" s="218"/>
      <c r="AK4383" s="153"/>
      <c r="AL4383" s="152"/>
      <c r="AM4383" s="152"/>
      <c r="AN4383" s="152"/>
      <c r="AO4383" s="152"/>
      <c r="AP4383" s="152"/>
      <c r="AQ4383" s="152"/>
      <c r="AR4383" s="152"/>
      <c r="AS4383" s="152"/>
      <c r="AT4383" s="152"/>
      <c r="AU4383" s="153"/>
      <c r="AV4383" s="479"/>
      <c r="AW4383" s="479"/>
      <c r="AX4383" s="442"/>
      <c r="AY4383" s="153"/>
      <c r="AZ4383" s="152"/>
      <c r="BA4383" s="152"/>
      <c r="BB4383" s="152"/>
      <c r="BC4383" s="152"/>
      <c r="BD4383" s="152"/>
      <c r="BE4383" s="152"/>
      <c r="BF4383" s="152"/>
      <c r="BG4383" s="152"/>
      <c r="BH4383" s="152"/>
      <c r="BI4383" s="153"/>
      <c r="BJ4383" s="153"/>
      <c r="BK4383" s="153"/>
      <c r="BL4383" s="153"/>
      <c r="BM4383" s="153"/>
      <c r="BN4383" s="153"/>
      <c r="BO4383" s="153"/>
      <c r="BP4383" s="153"/>
      <c r="BQ4383" s="153"/>
      <c r="BR4383" s="153"/>
      <c r="BS4383" s="153"/>
      <c r="BT4383" s="153"/>
      <c r="BU4383" s="153"/>
      <c r="BV4383" s="153"/>
      <c r="BW4383" s="153"/>
      <c r="BX4383" s="153"/>
      <c r="BY4383" s="153"/>
      <c r="BZ4383" s="153"/>
      <c r="CA4383" s="152"/>
      <c r="CB4383" s="152"/>
    </row>
    <row r="4384" spans="1:80" s="87" customFormat="1" ht="16.5" x14ac:dyDescent="0.3">
      <c r="A4384" s="152"/>
      <c r="B4384" s="683"/>
      <c r="C4384" s="683"/>
      <c r="D4384" s="698"/>
      <c r="E4384" s="215"/>
      <c r="F4384" s="215"/>
      <c r="G4384" s="153"/>
      <c r="H4384" s="153"/>
      <c r="I4384" s="325">
        <v>11</v>
      </c>
      <c r="J4384" s="325">
        <v>30</v>
      </c>
      <c r="K4384" s="150">
        <v>1</v>
      </c>
      <c r="L4384" s="656">
        <v>5.5</v>
      </c>
      <c r="M4384" s="663">
        <v>32679</v>
      </c>
      <c r="N4384" s="600">
        <v>0.44451000000000002</v>
      </c>
      <c r="O4384" s="604">
        <v>1.3200000000000001E-4</v>
      </c>
      <c r="P4384" s="849"/>
      <c r="Q4384" s="849"/>
      <c r="R4384" s="849"/>
      <c r="S4384" s="849"/>
      <c r="T4384" s="849"/>
      <c r="U4384" s="849"/>
      <c r="V4384" s="488"/>
      <c r="W4384" s="489"/>
      <c r="X4384" s="488"/>
      <c r="Y4384" s="488"/>
      <c r="Z4384" s="152"/>
      <c r="AA4384" s="152"/>
      <c r="AB4384" s="152"/>
      <c r="AC4384" s="152"/>
      <c r="AD4384" s="223">
        <v>4.9375980000000004</v>
      </c>
      <c r="AE4384" s="223">
        <v>0.22249669999999999</v>
      </c>
      <c r="AF4384" s="223">
        <v>1.0961491999999999</v>
      </c>
      <c r="AG4384" s="223">
        <v>0.39927489999999999</v>
      </c>
      <c r="AH4384" s="341"/>
      <c r="AI4384" s="218"/>
      <c r="AJ4384" s="218"/>
      <c r="AK4384" s="153"/>
      <c r="AL4384" s="152"/>
      <c r="AM4384" s="152"/>
      <c r="AN4384" s="152"/>
      <c r="AO4384" s="152"/>
      <c r="AP4384" s="152"/>
      <c r="AQ4384" s="152"/>
      <c r="AR4384" s="152"/>
      <c r="AS4384" s="152"/>
      <c r="AT4384" s="152"/>
      <c r="AU4384" s="153"/>
      <c r="AV4384" s="479"/>
      <c r="AW4384" s="479"/>
      <c r="AX4384" s="442"/>
      <c r="AY4384" s="153"/>
      <c r="AZ4384" s="152"/>
      <c r="BA4384" s="152"/>
      <c r="BB4384" s="152"/>
      <c r="BC4384" s="152"/>
      <c r="BD4384" s="152"/>
      <c r="BE4384" s="152"/>
      <c r="BF4384" s="152"/>
      <c r="BG4384" s="152"/>
      <c r="BH4384" s="152"/>
      <c r="BI4384" s="153"/>
      <c r="BJ4384" s="153"/>
      <c r="BK4384" s="153"/>
      <c r="BL4384" s="153"/>
      <c r="BM4384" s="153"/>
      <c r="BN4384" s="153"/>
      <c r="BO4384" s="153"/>
      <c r="BP4384" s="153"/>
      <c r="BQ4384" s="153"/>
      <c r="BR4384" s="153"/>
      <c r="BS4384" s="153"/>
      <c r="BT4384" s="153"/>
      <c r="BU4384" s="153"/>
      <c r="BV4384" s="153"/>
      <c r="BW4384" s="153"/>
      <c r="BX4384" s="153"/>
      <c r="BY4384" s="153"/>
      <c r="BZ4384" s="153"/>
      <c r="CA4384" s="152"/>
      <c r="CB4384" s="152"/>
    </row>
    <row r="4385" spans="1:80" s="87" customFormat="1" ht="16.5" x14ac:dyDescent="0.3">
      <c r="A4385" s="152"/>
      <c r="B4385" s="683"/>
      <c r="C4385" s="683"/>
      <c r="D4385" s="698"/>
      <c r="E4385" s="215"/>
      <c r="F4385" s="215"/>
      <c r="G4385" s="153"/>
      <c r="H4385" s="153"/>
      <c r="I4385" s="325">
        <v>11</v>
      </c>
      <c r="J4385" s="325">
        <v>30</v>
      </c>
      <c r="K4385" s="150">
        <v>1</v>
      </c>
      <c r="L4385" s="656">
        <v>5.5</v>
      </c>
      <c r="M4385" s="663">
        <v>32691</v>
      </c>
      <c r="N4385" s="600">
        <v>0.26103999999999999</v>
      </c>
      <c r="O4385" s="604">
        <v>2.6400000000000002E-4</v>
      </c>
      <c r="P4385" s="849"/>
      <c r="Q4385" s="849"/>
      <c r="R4385" s="849"/>
      <c r="S4385" s="849"/>
      <c r="T4385" s="849"/>
      <c r="U4385" s="849"/>
      <c r="V4385" s="488"/>
      <c r="W4385" s="489"/>
      <c r="X4385" s="488"/>
      <c r="Y4385" s="488"/>
      <c r="Z4385" s="152"/>
      <c r="AA4385" s="152"/>
      <c r="AB4385" s="152"/>
      <c r="AC4385" s="152"/>
      <c r="AD4385" s="223">
        <v>4.2061019999999996</v>
      </c>
      <c r="AE4385" s="223">
        <v>0.18896979999999999</v>
      </c>
      <c r="AF4385" s="223">
        <v>0.78959900000000005</v>
      </c>
      <c r="AG4385" s="223">
        <v>0.32612530000000001</v>
      </c>
      <c r="AH4385" s="341"/>
      <c r="AI4385" s="218"/>
      <c r="AJ4385" s="218"/>
      <c r="AK4385" s="153"/>
      <c r="AL4385" s="152"/>
      <c r="AM4385" s="152"/>
      <c r="AN4385" s="152"/>
      <c r="AO4385" s="152"/>
      <c r="AP4385" s="152"/>
      <c r="AQ4385" s="152"/>
      <c r="AR4385" s="152"/>
      <c r="AS4385" s="152"/>
      <c r="AT4385" s="152"/>
      <c r="AU4385" s="153"/>
      <c r="AV4385" s="479"/>
      <c r="AW4385" s="479"/>
      <c r="AX4385" s="442"/>
      <c r="AY4385" s="153"/>
      <c r="AZ4385" s="152"/>
      <c r="BA4385" s="152"/>
      <c r="BB4385" s="152"/>
      <c r="BC4385" s="152"/>
      <c r="BD4385" s="152"/>
      <c r="BE4385" s="152"/>
      <c r="BF4385" s="152"/>
      <c r="BG4385" s="152"/>
      <c r="BH4385" s="152"/>
      <c r="BI4385" s="153"/>
      <c r="BJ4385" s="153"/>
      <c r="BK4385" s="153"/>
      <c r="BL4385" s="153"/>
      <c r="BM4385" s="153"/>
      <c r="BN4385" s="153"/>
      <c r="BO4385" s="153"/>
      <c r="BP4385" s="153"/>
      <c r="BQ4385" s="153"/>
      <c r="BR4385" s="153"/>
      <c r="BS4385" s="153"/>
      <c r="BT4385" s="153"/>
      <c r="BU4385" s="153"/>
      <c r="BV4385" s="153"/>
      <c r="BW4385" s="153"/>
      <c r="BX4385" s="153"/>
      <c r="BY4385" s="153"/>
      <c r="BZ4385" s="153"/>
      <c r="CA4385" s="152"/>
      <c r="CB4385" s="152"/>
    </row>
    <row r="4386" spans="1:80" s="87" customFormat="1" ht="16.5" x14ac:dyDescent="0.3">
      <c r="A4386" s="152"/>
      <c r="B4386" s="683"/>
      <c r="C4386" s="683"/>
      <c r="D4386" s="698"/>
      <c r="E4386" s="215"/>
      <c r="F4386" s="215"/>
      <c r="G4386" s="153"/>
      <c r="H4386" s="153"/>
      <c r="I4386" s="325">
        <v>11</v>
      </c>
      <c r="J4386" s="325">
        <v>30</v>
      </c>
      <c r="K4386" s="150">
        <v>1</v>
      </c>
      <c r="L4386" s="656">
        <v>5.5</v>
      </c>
      <c r="M4386" s="663">
        <v>32701</v>
      </c>
      <c r="N4386" s="600">
        <v>0.15146999999999999</v>
      </c>
      <c r="O4386" s="604">
        <v>4.0899999999999998E-5</v>
      </c>
      <c r="P4386" s="849"/>
      <c r="Q4386" s="849"/>
      <c r="R4386" s="849"/>
      <c r="S4386" s="849"/>
      <c r="T4386" s="849"/>
      <c r="U4386" s="849"/>
      <c r="V4386" s="488"/>
      <c r="W4386" s="489"/>
      <c r="X4386" s="488"/>
      <c r="Y4386" s="488"/>
      <c r="Z4386" s="152"/>
      <c r="AA4386" s="152"/>
      <c r="AB4386" s="152"/>
      <c r="AC4386" s="152"/>
      <c r="AD4386" s="223">
        <v>4.0841859999999999</v>
      </c>
      <c r="AE4386" s="223">
        <v>0.16763449999999999</v>
      </c>
      <c r="AF4386" s="223">
        <v>0.68741560000000002</v>
      </c>
      <c r="AG4386" s="223">
        <v>0.2194488</v>
      </c>
      <c r="AH4386" s="341"/>
      <c r="AI4386" s="218"/>
      <c r="AJ4386" s="218"/>
      <c r="AK4386" s="153"/>
      <c r="AL4386" s="152"/>
      <c r="AM4386" s="152"/>
      <c r="AN4386" s="152"/>
      <c r="AO4386" s="152"/>
      <c r="AP4386" s="152"/>
      <c r="AQ4386" s="152"/>
      <c r="AR4386" s="152"/>
      <c r="AS4386" s="152"/>
      <c r="AT4386" s="152"/>
      <c r="AU4386" s="153"/>
      <c r="AV4386" s="479"/>
      <c r="AW4386" s="479"/>
      <c r="AX4386" s="442"/>
      <c r="AY4386" s="153"/>
      <c r="AZ4386" s="152"/>
      <c r="BA4386" s="152"/>
      <c r="BB4386" s="152"/>
      <c r="BC4386" s="152"/>
      <c r="BD4386" s="152"/>
      <c r="BE4386" s="152"/>
      <c r="BF4386" s="152"/>
      <c r="BG4386" s="152"/>
      <c r="BH4386" s="152"/>
      <c r="BI4386" s="153"/>
      <c r="BJ4386" s="153"/>
      <c r="BK4386" s="153"/>
      <c r="BL4386" s="153"/>
      <c r="BM4386" s="153"/>
      <c r="BN4386" s="153"/>
      <c r="BO4386" s="153"/>
      <c r="BP4386" s="153"/>
      <c r="BQ4386" s="153"/>
      <c r="BR4386" s="153"/>
      <c r="BS4386" s="153"/>
      <c r="BT4386" s="153"/>
      <c r="BU4386" s="153"/>
      <c r="BV4386" s="153"/>
      <c r="BW4386" s="153"/>
      <c r="BX4386" s="153"/>
      <c r="BY4386" s="153"/>
      <c r="BZ4386" s="153"/>
      <c r="CA4386" s="152"/>
      <c r="CB4386" s="152"/>
    </row>
    <row r="4387" spans="1:80" s="87" customFormat="1" ht="16.5" x14ac:dyDescent="0.3">
      <c r="A4387" s="152"/>
      <c r="B4387" s="683"/>
      <c r="C4387" s="683"/>
      <c r="D4387" s="698"/>
      <c r="E4387" s="215"/>
      <c r="F4387" s="215"/>
      <c r="G4387" s="153"/>
      <c r="H4387" s="153"/>
      <c r="I4387" s="325">
        <v>12</v>
      </c>
      <c r="J4387" s="325">
        <v>30</v>
      </c>
      <c r="K4387" s="150">
        <v>1</v>
      </c>
      <c r="L4387" s="656">
        <v>6</v>
      </c>
      <c r="M4387" s="663">
        <v>32979</v>
      </c>
      <c r="N4387" s="600">
        <v>0.94847999999999999</v>
      </c>
      <c r="O4387" s="604">
        <v>2.8440000000000002E-3</v>
      </c>
      <c r="P4387" s="849"/>
      <c r="Q4387" s="849"/>
      <c r="R4387" s="849"/>
      <c r="S4387" s="849"/>
      <c r="T4387" s="849"/>
      <c r="U4387" s="849"/>
      <c r="V4387" s="488"/>
      <c r="W4387" s="489"/>
      <c r="X4387" s="488"/>
      <c r="Y4387" s="488"/>
      <c r="Z4387" s="152"/>
      <c r="AA4387" s="152"/>
      <c r="AB4387" s="152"/>
      <c r="AC4387" s="152"/>
      <c r="AD4387" s="223">
        <v>4.9985559999999998</v>
      </c>
      <c r="AE4387" s="223">
        <v>0.2865026</v>
      </c>
      <c r="AF4387" s="223">
        <v>1.43428336</v>
      </c>
      <c r="AG4387" s="223">
        <v>0.6583464</v>
      </c>
      <c r="AH4387" s="341"/>
      <c r="AI4387" s="218"/>
      <c r="AJ4387" s="218"/>
      <c r="AK4387" s="153"/>
      <c r="AL4387" s="152"/>
      <c r="AM4387" s="152"/>
      <c r="AN4387" s="152"/>
      <c r="AO4387" s="152"/>
      <c r="AP4387" s="152"/>
      <c r="AQ4387" s="152"/>
      <c r="AR4387" s="152"/>
      <c r="AS4387" s="152"/>
      <c r="AT4387" s="152"/>
      <c r="AU4387" s="153"/>
      <c r="AV4387" s="479"/>
      <c r="AW4387" s="479"/>
      <c r="AX4387" s="442"/>
      <c r="AY4387" s="153"/>
      <c r="AZ4387" s="152"/>
      <c r="BA4387" s="152"/>
      <c r="BB4387" s="152"/>
      <c r="BC4387" s="152"/>
      <c r="BD4387" s="152"/>
      <c r="BE4387" s="152"/>
      <c r="BF4387" s="152"/>
      <c r="BG4387" s="152"/>
      <c r="BH4387" s="152"/>
      <c r="BI4387" s="153"/>
      <c r="BJ4387" s="153"/>
      <c r="BK4387" s="153"/>
      <c r="BL4387" s="153"/>
      <c r="BM4387" s="153"/>
      <c r="BN4387" s="153"/>
      <c r="BO4387" s="153"/>
      <c r="BP4387" s="153"/>
      <c r="BQ4387" s="153"/>
      <c r="BR4387" s="153"/>
      <c r="BS4387" s="153"/>
      <c r="BT4387" s="153"/>
      <c r="BU4387" s="153"/>
      <c r="BV4387" s="153"/>
      <c r="BW4387" s="153"/>
      <c r="BX4387" s="153"/>
      <c r="BY4387" s="153"/>
      <c r="BZ4387" s="153"/>
      <c r="CA4387" s="152"/>
      <c r="CB4387" s="152"/>
    </row>
    <row r="4388" spans="1:80" s="87" customFormat="1" ht="16.5" x14ac:dyDescent="0.3">
      <c r="A4388" s="152"/>
      <c r="B4388" s="683"/>
      <c r="C4388" s="683"/>
      <c r="D4388" s="698"/>
      <c r="E4388" s="215"/>
      <c r="F4388" s="215"/>
      <c r="G4388" s="153"/>
      <c r="H4388" s="153"/>
      <c r="I4388" s="325">
        <v>24</v>
      </c>
      <c r="J4388" s="325">
        <v>30</v>
      </c>
      <c r="K4388" s="150">
        <v>1</v>
      </c>
      <c r="L4388" s="656">
        <v>12</v>
      </c>
      <c r="M4388" s="663">
        <v>32982</v>
      </c>
      <c r="N4388" s="600">
        <v>0.94847999999999999</v>
      </c>
      <c r="O4388" s="604">
        <v>1.0012999999999999E-2</v>
      </c>
      <c r="P4388" s="849"/>
      <c r="Q4388" s="849"/>
      <c r="R4388" s="849"/>
      <c r="S4388" s="849"/>
      <c r="T4388" s="849"/>
      <c r="U4388" s="849"/>
      <c r="V4388" s="488"/>
      <c r="W4388" s="489"/>
      <c r="X4388" s="488"/>
      <c r="Y4388" s="488"/>
      <c r="Z4388" s="152"/>
      <c r="AA4388" s="152"/>
      <c r="AB4388" s="152"/>
      <c r="AC4388" s="152"/>
      <c r="AD4388" s="223">
        <v>4.9985559999999998</v>
      </c>
      <c r="AE4388" s="223">
        <v>0.30479000000000001</v>
      </c>
      <c r="AF4388" s="223">
        <v>1.52717736</v>
      </c>
      <c r="AG4388" s="223">
        <v>0.62177159999999998</v>
      </c>
      <c r="AH4388" s="341"/>
      <c r="AI4388" s="218"/>
      <c r="AJ4388" s="218"/>
      <c r="AK4388" s="153"/>
      <c r="AL4388" s="152"/>
      <c r="AM4388" s="152"/>
      <c r="AN4388" s="152"/>
      <c r="AO4388" s="152"/>
      <c r="AP4388" s="152"/>
      <c r="AQ4388" s="152"/>
      <c r="AR4388" s="152"/>
      <c r="AS4388" s="152"/>
      <c r="AT4388" s="152"/>
      <c r="AU4388" s="153"/>
      <c r="AV4388" s="479"/>
      <c r="AW4388" s="479"/>
      <c r="AX4388" s="442"/>
      <c r="AY4388" s="153"/>
      <c r="AZ4388" s="152"/>
      <c r="BA4388" s="152"/>
      <c r="BB4388" s="152"/>
      <c r="BC4388" s="152"/>
      <c r="BD4388" s="152"/>
      <c r="BE4388" s="152"/>
      <c r="BF4388" s="152"/>
      <c r="BG4388" s="152"/>
      <c r="BH4388" s="152"/>
      <c r="BI4388" s="153"/>
      <c r="BJ4388" s="153"/>
      <c r="BK4388" s="153"/>
      <c r="BL4388" s="153"/>
      <c r="BM4388" s="153"/>
      <c r="BN4388" s="153"/>
      <c r="BO4388" s="153"/>
      <c r="BP4388" s="153"/>
      <c r="BQ4388" s="153"/>
      <c r="BR4388" s="153"/>
      <c r="BS4388" s="153"/>
      <c r="BT4388" s="153"/>
      <c r="BU4388" s="153"/>
      <c r="BV4388" s="153"/>
      <c r="BW4388" s="153"/>
      <c r="BX4388" s="153"/>
      <c r="BY4388" s="153"/>
      <c r="BZ4388" s="153"/>
      <c r="CA4388" s="152"/>
      <c r="CB4388" s="152"/>
    </row>
    <row r="4389" spans="1:80" s="87" customFormat="1" ht="16.5" x14ac:dyDescent="0.3">
      <c r="A4389" s="152"/>
      <c r="B4389" s="683"/>
      <c r="C4389" s="683"/>
      <c r="D4389" s="698"/>
      <c r="E4389" s="215"/>
      <c r="F4389" s="215"/>
      <c r="G4389" s="153"/>
      <c r="H4389" s="153"/>
      <c r="I4389" s="325">
        <v>12</v>
      </c>
      <c r="J4389" s="325">
        <v>30</v>
      </c>
      <c r="K4389" s="150">
        <v>1</v>
      </c>
      <c r="L4389" s="656">
        <v>6</v>
      </c>
      <c r="M4389" s="663">
        <v>32993</v>
      </c>
      <c r="N4389" s="600">
        <v>0.71065</v>
      </c>
      <c r="O4389" s="604">
        <v>1.2489999999999999E-2</v>
      </c>
      <c r="P4389" s="849"/>
      <c r="Q4389" s="849"/>
      <c r="R4389" s="849"/>
      <c r="S4389" s="849"/>
      <c r="T4389" s="849"/>
      <c r="U4389" s="849"/>
      <c r="V4389" s="488"/>
      <c r="W4389" s="489"/>
      <c r="X4389" s="488"/>
      <c r="Y4389" s="488"/>
      <c r="Z4389" s="152"/>
      <c r="AA4389" s="152"/>
      <c r="AB4389" s="152"/>
      <c r="AC4389" s="152"/>
      <c r="AD4389" s="223">
        <v>4.9680770000000001</v>
      </c>
      <c r="AE4389" s="223">
        <v>0.24992780000000001</v>
      </c>
      <c r="AF4389" s="223">
        <v>1.2447796</v>
      </c>
      <c r="AG4389" s="223">
        <v>0.57300519999999999</v>
      </c>
      <c r="AH4389" s="341"/>
      <c r="AI4389" s="218"/>
      <c r="AJ4389" s="218"/>
      <c r="AK4389" s="153"/>
      <c r="AL4389" s="152"/>
      <c r="AM4389" s="152"/>
      <c r="AN4389" s="152"/>
      <c r="AO4389" s="152"/>
      <c r="AP4389" s="152"/>
      <c r="AQ4389" s="152"/>
      <c r="AR4389" s="152"/>
      <c r="AS4389" s="152"/>
      <c r="AT4389" s="152"/>
      <c r="AU4389" s="153"/>
      <c r="AV4389" s="479"/>
      <c r="AW4389" s="479"/>
      <c r="AX4389" s="442"/>
      <c r="AY4389" s="153"/>
      <c r="AZ4389" s="152"/>
      <c r="BA4389" s="152"/>
      <c r="BB4389" s="152"/>
      <c r="BC4389" s="152"/>
      <c r="BD4389" s="152"/>
      <c r="BE4389" s="152"/>
      <c r="BF4389" s="152"/>
      <c r="BG4389" s="152"/>
      <c r="BH4389" s="152"/>
      <c r="BI4389" s="153"/>
      <c r="BJ4389" s="153"/>
      <c r="BK4389" s="153"/>
      <c r="BL4389" s="153"/>
      <c r="BM4389" s="153"/>
      <c r="BN4389" s="153"/>
      <c r="BO4389" s="153"/>
      <c r="BP4389" s="153"/>
      <c r="BQ4389" s="153"/>
      <c r="BR4389" s="153"/>
      <c r="BS4389" s="153"/>
      <c r="BT4389" s="153"/>
      <c r="BU4389" s="153"/>
      <c r="BV4389" s="153"/>
      <c r="BW4389" s="153"/>
      <c r="BX4389" s="153"/>
      <c r="BY4389" s="153"/>
      <c r="BZ4389" s="153"/>
      <c r="CA4389" s="152"/>
      <c r="CB4389" s="152"/>
    </row>
    <row r="4390" spans="1:80" s="87" customFormat="1" ht="16.5" x14ac:dyDescent="0.3">
      <c r="A4390" s="152"/>
      <c r="B4390" s="683"/>
      <c r="C4390" s="683"/>
      <c r="D4390" s="698"/>
      <c r="E4390" s="215"/>
      <c r="F4390" s="215"/>
      <c r="G4390" s="153"/>
      <c r="H4390" s="153"/>
      <c r="I4390" s="325">
        <v>17</v>
      </c>
      <c r="J4390" s="325">
        <v>30</v>
      </c>
      <c r="K4390" s="150">
        <v>1</v>
      </c>
      <c r="L4390" s="656">
        <v>8.5</v>
      </c>
      <c r="M4390" s="663">
        <v>33028</v>
      </c>
      <c r="N4390" s="600">
        <v>0.90883999999999998</v>
      </c>
      <c r="O4390" s="604">
        <v>2.1305999999999999E-2</v>
      </c>
      <c r="P4390" s="849"/>
      <c r="Q4390" s="849"/>
      <c r="R4390" s="849"/>
      <c r="S4390" s="849"/>
      <c r="T4390" s="849"/>
      <c r="U4390" s="849"/>
      <c r="V4390" s="488"/>
      <c r="W4390" s="489"/>
      <c r="X4390" s="488"/>
      <c r="Y4390" s="488"/>
      <c r="Z4390" s="152"/>
      <c r="AA4390" s="152"/>
      <c r="AB4390" s="152"/>
      <c r="AC4390" s="152"/>
      <c r="AD4390" s="223"/>
      <c r="AE4390" s="223"/>
      <c r="AF4390" s="223"/>
      <c r="AG4390" s="223"/>
      <c r="AH4390" s="341"/>
      <c r="AI4390" s="218"/>
      <c r="AJ4390" s="218"/>
      <c r="AK4390" s="153"/>
      <c r="AL4390" s="152"/>
      <c r="AM4390" s="152"/>
      <c r="AN4390" s="152"/>
      <c r="AO4390" s="152"/>
      <c r="AP4390" s="152"/>
      <c r="AQ4390" s="152"/>
      <c r="AR4390" s="152"/>
      <c r="AS4390" s="152"/>
      <c r="AT4390" s="152"/>
      <c r="AU4390" s="153"/>
      <c r="AV4390" s="479"/>
      <c r="AW4390" s="479"/>
      <c r="AX4390" s="442"/>
      <c r="AY4390" s="153"/>
      <c r="AZ4390" s="152"/>
      <c r="BA4390" s="152"/>
      <c r="BB4390" s="152"/>
      <c r="BC4390" s="152"/>
      <c r="BD4390" s="152"/>
      <c r="BE4390" s="152"/>
      <c r="BF4390" s="152"/>
      <c r="BG4390" s="152"/>
      <c r="BH4390" s="152"/>
      <c r="BI4390" s="153"/>
      <c r="BJ4390" s="153"/>
      <c r="BK4390" s="153"/>
      <c r="BL4390" s="153"/>
      <c r="BM4390" s="153"/>
      <c r="BN4390" s="153"/>
      <c r="BO4390" s="153"/>
      <c r="BP4390" s="153"/>
      <c r="BQ4390" s="153"/>
      <c r="BR4390" s="153"/>
      <c r="BS4390" s="153"/>
      <c r="BT4390" s="153"/>
      <c r="BU4390" s="153"/>
      <c r="BV4390" s="153"/>
      <c r="BW4390" s="153"/>
      <c r="BX4390" s="153"/>
      <c r="BY4390" s="153"/>
      <c r="BZ4390" s="153"/>
      <c r="CA4390" s="152"/>
      <c r="CB4390" s="152"/>
    </row>
    <row r="4391" spans="1:80" s="87" customFormat="1" ht="16.5" x14ac:dyDescent="0.3">
      <c r="A4391" s="152"/>
      <c r="B4391" s="683"/>
      <c r="C4391" s="683"/>
      <c r="D4391" s="698"/>
      <c r="E4391" s="215"/>
      <c r="F4391" s="215"/>
      <c r="G4391" s="153"/>
      <c r="H4391" s="153"/>
      <c r="I4391" s="325">
        <v>17</v>
      </c>
      <c r="J4391" s="325">
        <v>30</v>
      </c>
      <c r="K4391" s="150">
        <v>1</v>
      </c>
      <c r="L4391" s="656">
        <v>8.5</v>
      </c>
      <c r="M4391" s="663">
        <v>33029</v>
      </c>
      <c r="N4391" s="600">
        <v>0.83521999999999996</v>
      </c>
      <c r="O4391" s="604">
        <v>9.6559999999999997E-3</v>
      </c>
      <c r="P4391" s="849"/>
      <c r="Q4391" s="849"/>
      <c r="R4391" s="849"/>
      <c r="S4391" s="849"/>
      <c r="T4391" s="849"/>
      <c r="U4391" s="849"/>
      <c r="V4391" s="488"/>
      <c r="W4391" s="489"/>
      <c r="X4391" s="488"/>
      <c r="Y4391" s="488"/>
      <c r="Z4391" s="152"/>
      <c r="AA4391" s="152"/>
      <c r="AB4391" s="152"/>
      <c r="AC4391" s="152"/>
      <c r="AD4391" s="223"/>
      <c r="AE4391" s="223"/>
      <c r="AF4391" s="223"/>
      <c r="AG4391" s="223"/>
      <c r="AH4391" s="341"/>
      <c r="AI4391" s="218"/>
      <c r="AJ4391" s="218"/>
      <c r="AK4391" s="153"/>
      <c r="AL4391" s="152"/>
      <c r="AM4391" s="152"/>
      <c r="AN4391" s="152"/>
      <c r="AO4391" s="152"/>
      <c r="AP4391" s="152"/>
      <c r="AQ4391" s="152"/>
      <c r="AR4391" s="152"/>
      <c r="AS4391" s="152"/>
      <c r="AT4391" s="152"/>
      <c r="AU4391" s="153"/>
      <c r="AV4391" s="479"/>
      <c r="AW4391" s="479"/>
      <c r="AX4391" s="442"/>
      <c r="AY4391" s="153"/>
      <c r="AZ4391" s="152"/>
      <c r="BA4391" s="152"/>
      <c r="BB4391" s="152"/>
      <c r="BC4391" s="152"/>
      <c r="BD4391" s="152"/>
      <c r="BE4391" s="152"/>
      <c r="BF4391" s="152"/>
      <c r="BG4391" s="152"/>
      <c r="BH4391" s="152"/>
      <c r="BI4391" s="153"/>
      <c r="BJ4391" s="153"/>
      <c r="BK4391" s="153"/>
      <c r="BL4391" s="153"/>
      <c r="BM4391" s="153"/>
      <c r="BN4391" s="153"/>
      <c r="BO4391" s="153"/>
      <c r="BP4391" s="153"/>
      <c r="BQ4391" s="153"/>
      <c r="BR4391" s="153"/>
      <c r="BS4391" s="153"/>
      <c r="BT4391" s="153"/>
      <c r="BU4391" s="153"/>
      <c r="BV4391" s="153"/>
      <c r="BW4391" s="153"/>
      <c r="BX4391" s="153"/>
      <c r="BY4391" s="153"/>
      <c r="BZ4391" s="153"/>
      <c r="CA4391" s="152"/>
      <c r="CB4391" s="152"/>
    </row>
    <row r="4392" spans="1:80" s="87" customFormat="1" ht="16.5" x14ac:dyDescent="0.3">
      <c r="A4392" s="152"/>
      <c r="B4392" s="683"/>
      <c r="C4392" s="683"/>
      <c r="D4392" s="698"/>
      <c r="E4392" s="215"/>
      <c r="F4392" s="215"/>
      <c r="G4392" s="153"/>
      <c r="H4392" s="153"/>
      <c r="I4392" s="325">
        <v>12</v>
      </c>
      <c r="J4392" s="325">
        <v>30</v>
      </c>
      <c r="K4392" s="150">
        <v>1</v>
      </c>
      <c r="L4392" s="656">
        <v>6</v>
      </c>
      <c r="M4392" s="663">
        <v>33050</v>
      </c>
      <c r="N4392" s="600">
        <v>0.30861</v>
      </c>
      <c r="O4392" s="604">
        <v>1.438E-3</v>
      </c>
      <c r="P4392" s="849"/>
      <c r="Q4392" s="849"/>
      <c r="R4392" s="849"/>
      <c r="S4392" s="849"/>
      <c r="T4392" s="849"/>
      <c r="U4392" s="849"/>
      <c r="V4392" s="488"/>
      <c r="W4392" s="489"/>
      <c r="X4392" s="488"/>
      <c r="Y4392" s="488"/>
      <c r="Z4392" s="152"/>
      <c r="AA4392" s="152"/>
      <c r="AB4392" s="152"/>
      <c r="AC4392" s="152"/>
      <c r="AD4392" s="223">
        <v>4.2061019999999996</v>
      </c>
      <c r="AE4392" s="223">
        <v>0.21030509999999999</v>
      </c>
      <c r="AF4392" s="223">
        <v>0.88249299999999997</v>
      </c>
      <c r="AG4392" s="223">
        <v>0.35660429999999999</v>
      </c>
      <c r="AH4392" s="341"/>
      <c r="AI4392" s="218"/>
      <c r="AJ4392" s="218"/>
      <c r="AK4392" s="153"/>
      <c r="AL4392" s="152"/>
      <c r="AM4392" s="152"/>
      <c r="AN4392" s="152"/>
      <c r="AO4392" s="152"/>
      <c r="AP4392" s="152"/>
      <c r="AQ4392" s="152"/>
      <c r="AR4392" s="152"/>
      <c r="AS4392" s="152"/>
      <c r="AT4392" s="152"/>
      <c r="AU4392" s="153"/>
      <c r="AV4392" s="479"/>
      <c r="AW4392" s="479"/>
      <c r="AX4392" s="442"/>
      <c r="AY4392" s="153"/>
      <c r="AZ4392" s="152"/>
      <c r="BA4392" s="152"/>
      <c r="BB4392" s="152"/>
      <c r="BC4392" s="152"/>
      <c r="BD4392" s="152"/>
      <c r="BE4392" s="152"/>
      <c r="BF4392" s="152"/>
      <c r="BG4392" s="152"/>
      <c r="BH4392" s="152"/>
      <c r="BI4392" s="153"/>
      <c r="BJ4392" s="153"/>
      <c r="BK4392" s="153"/>
      <c r="BL4392" s="153"/>
      <c r="BM4392" s="153"/>
      <c r="BN4392" s="153"/>
      <c r="BO4392" s="153"/>
      <c r="BP4392" s="153"/>
      <c r="BQ4392" s="153"/>
      <c r="BR4392" s="153"/>
      <c r="BS4392" s="153"/>
      <c r="BT4392" s="153"/>
      <c r="BU4392" s="153"/>
      <c r="BV4392" s="153"/>
      <c r="BW4392" s="153"/>
      <c r="BX4392" s="153"/>
      <c r="BY4392" s="153"/>
      <c r="BZ4392" s="153"/>
      <c r="CA4392" s="152"/>
      <c r="CB4392" s="152"/>
    </row>
    <row r="4393" spans="1:80" s="87" customFormat="1" ht="16.5" x14ac:dyDescent="0.3">
      <c r="A4393" s="152"/>
      <c r="B4393" s="683"/>
      <c r="C4393" s="683"/>
      <c r="D4393" s="698"/>
      <c r="E4393" s="215"/>
      <c r="F4393" s="215"/>
      <c r="G4393" s="153"/>
      <c r="H4393" s="153"/>
      <c r="I4393" s="325">
        <v>18</v>
      </c>
      <c r="J4393" s="325">
        <v>60</v>
      </c>
      <c r="K4393" s="150">
        <v>1</v>
      </c>
      <c r="L4393" s="656">
        <v>18</v>
      </c>
      <c r="M4393" s="663">
        <v>33393</v>
      </c>
      <c r="N4393" s="600">
        <v>0.98528000000000004</v>
      </c>
      <c r="O4393" s="604">
        <v>8.7639999999999992E-3</v>
      </c>
      <c r="P4393" s="849"/>
      <c r="Q4393" s="849"/>
      <c r="R4393" s="849"/>
      <c r="S4393" s="849"/>
      <c r="T4393" s="849"/>
      <c r="U4393" s="849"/>
      <c r="V4393" s="488"/>
      <c r="W4393" s="489"/>
      <c r="X4393" s="488"/>
      <c r="Y4393" s="488"/>
      <c r="Z4393" s="152"/>
      <c r="AA4393" s="152"/>
      <c r="AB4393" s="152"/>
      <c r="AC4393" s="152"/>
      <c r="AD4393" s="223">
        <v>5.4862200000000003</v>
      </c>
      <c r="AE4393" s="223">
        <v>0.24992780000000001</v>
      </c>
      <c r="AF4393" s="223">
        <v>1.3655417999999999</v>
      </c>
      <c r="AG4393" s="223">
        <v>0.72235229999999995</v>
      </c>
      <c r="AH4393" s="341"/>
      <c r="AI4393" s="218"/>
      <c r="AJ4393" s="218"/>
      <c r="AK4393" s="153"/>
      <c r="AL4393" s="152"/>
      <c r="AM4393" s="152"/>
      <c r="AN4393" s="152"/>
      <c r="AO4393" s="152"/>
      <c r="AP4393" s="152"/>
      <c r="AQ4393" s="152"/>
      <c r="AR4393" s="152"/>
      <c r="AS4393" s="152"/>
      <c r="AT4393" s="152"/>
      <c r="AU4393" s="153"/>
      <c r="AV4393" s="479"/>
      <c r="AW4393" s="479"/>
      <c r="AX4393" s="442"/>
      <c r="AY4393" s="153"/>
      <c r="AZ4393" s="152"/>
      <c r="BA4393" s="152"/>
      <c r="BB4393" s="152"/>
      <c r="BC4393" s="152"/>
      <c r="BD4393" s="152"/>
      <c r="BE4393" s="152"/>
      <c r="BF4393" s="152"/>
      <c r="BG4393" s="152"/>
      <c r="BH4393" s="152"/>
      <c r="BI4393" s="153"/>
      <c r="BJ4393" s="153"/>
      <c r="BK4393" s="153"/>
      <c r="BL4393" s="153"/>
      <c r="BM4393" s="153"/>
      <c r="BN4393" s="153"/>
      <c r="BO4393" s="153"/>
      <c r="BP4393" s="153"/>
      <c r="BQ4393" s="153"/>
      <c r="BR4393" s="153"/>
      <c r="BS4393" s="153"/>
      <c r="BT4393" s="153"/>
      <c r="BU4393" s="153"/>
      <c r="BV4393" s="153"/>
      <c r="BW4393" s="153"/>
      <c r="BX4393" s="153"/>
      <c r="BY4393" s="153"/>
      <c r="BZ4393" s="153"/>
      <c r="CA4393" s="152"/>
      <c r="CB4393" s="152"/>
    </row>
    <row r="4394" spans="1:80" s="87" customFormat="1" ht="16.5" x14ac:dyDescent="0.3">
      <c r="A4394" s="152"/>
      <c r="B4394" s="683"/>
      <c r="C4394" s="683"/>
      <c r="D4394" s="698"/>
      <c r="E4394" s="215"/>
      <c r="F4394" s="215"/>
      <c r="G4394" s="153"/>
      <c r="H4394" s="153"/>
      <c r="I4394" s="325">
        <v>14</v>
      </c>
      <c r="J4394" s="325">
        <v>60</v>
      </c>
      <c r="K4394" s="150">
        <v>1</v>
      </c>
      <c r="L4394" s="656">
        <v>14</v>
      </c>
      <c r="M4394" s="663">
        <v>33413</v>
      </c>
      <c r="N4394" s="600">
        <v>0.33692</v>
      </c>
      <c r="O4394" s="604">
        <v>1.637E-3</v>
      </c>
      <c r="P4394" s="849"/>
      <c r="Q4394" s="849"/>
      <c r="R4394" s="849"/>
      <c r="S4394" s="849"/>
      <c r="T4394" s="849"/>
      <c r="U4394" s="849"/>
      <c r="V4394" s="488"/>
      <c r="W4394" s="489"/>
      <c r="X4394" s="488"/>
      <c r="Y4394" s="488"/>
      <c r="Z4394" s="152"/>
      <c r="AA4394" s="152"/>
      <c r="AB4394" s="152"/>
      <c r="AC4394" s="152"/>
      <c r="AD4394" s="223">
        <v>5.2728669999999997</v>
      </c>
      <c r="AE4394" s="223">
        <v>0.1645866</v>
      </c>
      <c r="AF4394" s="223">
        <v>0.87320359999999997</v>
      </c>
      <c r="AG4394" s="223">
        <v>0.38708330000000002</v>
      </c>
      <c r="AH4394" s="341"/>
      <c r="AI4394" s="218"/>
      <c r="AJ4394" s="218"/>
      <c r="AK4394" s="153"/>
      <c r="AL4394" s="152"/>
      <c r="AM4394" s="152"/>
      <c r="AN4394" s="152"/>
      <c r="AO4394" s="152"/>
      <c r="AP4394" s="152"/>
      <c r="AQ4394" s="152"/>
      <c r="AR4394" s="152"/>
      <c r="AS4394" s="152"/>
      <c r="AT4394" s="152"/>
      <c r="AU4394" s="153"/>
      <c r="AV4394" s="479"/>
      <c r="AW4394" s="479"/>
      <c r="AX4394" s="442"/>
      <c r="AY4394" s="153"/>
      <c r="AZ4394" s="152"/>
      <c r="BA4394" s="152"/>
      <c r="BB4394" s="152"/>
      <c r="BC4394" s="152"/>
      <c r="BD4394" s="152"/>
      <c r="BE4394" s="152"/>
      <c r="BF4394" s="152"/>
      <c r="BG4394" s="152"/>
      <c r="BH4394" s="152"/>
      <c r="BI4394" s="153"/>
      <c r="BJ4394" s="153"/>
      <c r="BK4394" s="153"/>
      <c r="BL4394" s="153"/>
      <c r="BM4394" s="153"/>
      <c r="BN4394" s="153"/>
      <c r="BO4394" s="153"/>
      <c r="BP4394" s="153"/>
      <c r="BQ4394" s="153"/>
      <c r="BR4394" s="153"/>
      <c r="BS4394" s="153"/>
      <c r="BT4394" s="153"/>
      <c r="BU4394" s="153"/>
      <c r="BV4394" s="153"/>
      <c r="BW4394" s="153"/>
      <c r="BX4394" s="153"/>
      <c r="BY4394" s="153"/>
      <c r="BZ4394" s="153"/>
      <c r="CA4394" s="152"/>
      <c r="CB4394" s="152"/>
    </row>
    <row r="4395" spans="1:80" s="87" customFormat="1" ht="16.5" x14ac:dyDescent="0.3">
      <c r="A4395" s="152"/>
      <c r="B4395" s="683"/>
      <c r="C4395" s="683"/>
      <c r="D4395" s="698"/>
      <c r="E4395" s="215"/>
      <c r="F4395" s="215"/>
      <c r="G4395" s="153"/>
      <c r="H4395" s="153"/>
      <c r="I4395" s="325">
        <v>14</v>
      </c>
      <c r="J4395" s="325">
        <v>60</v>
      </c>
      <c r="K4395" s="150">
        <v>1</v>
      </c>
      <c r="L4395" s="656">
        <v>14</v>
      </c>
      <c r="M4395" s="663">
        <v>33429</v>
      </c>
      <c r="N4395" s="600">
        <v>0.1996</v>
      </c>
      <c r="O4395" s="604">
        <v>5.8799999999999999E-5</v>
      </c>
      <c r="P4395" s="849"/>
      <c r="Q4395" s="849"/>
      <c r="R4395" s="849"/>
      <c r="S4395" s="849"/>
      <c r="T4395" s="849"/>
      <c r="U4395" s="849"/>
      <c r="V4395" s="488"/>
      <c r="W4395" s="489"/>
      <c r="X4395" s="488"/>
      <c r="Y4395" s="488"/>
      <c r="Z4395" s="152"/>
      <c r="AA4395" s="152"/>
      <c r="AB4395" s="152"/>
      <c r="AC4395" s="152"/>
      <c r="AD4395" s="223">
        <v>4.8156819999999998</v>
      </c>
      <c r="AE4395" s="223">
        <v>0.12801180000000001</v>
      </c>
      <c r="AF4395" s="223">
        <v>0.61217146</v>
      </c>
      <c r="AG4395" s="223">
        <v>0.34136480000000002</v>
      </c>
      <c r="AH4395" s="341"/>
      <c r="AI4395" s="218"/>
      <c r="AJ4395" s="218"/>
      <c r="AK4395" s="153"/>
      <c r="AL4395" s="152"/>
      <c r="AM4395" s="152"/>
      <c r="AN4395" s="152"/>
      <c r="AO4395" s="152"/>
      <c r="AP4395" s="152"/>
      <c r="AQ4395" s="152"/>
      <c r="AR4395" s="152"/>
      <c r="AS4395" s="152"/>
      <c r="AT4395" s="152"/>
      <c r="AU4395" s="153"/>
      <c r="AV4395" s="479"/>
      <c r="AW4395" s="479"/>
      <c r="AX4395" s="442"/>
      <c r="AY4395" s="153"/>
      <c r="AZ4395" s="152"/>
      <c r="BA4395" s="152"/>
      <c r="BB4395" s="152"/>
      <c r="BC4395" s="152"/>
      <c r="BD4395" s="152"/>
      <c r="BE4395" s="152"/>
      <c r="BF4395" s="152"/>
      <c r="BG4395" s="152"/>
      <c r="BH4395" s="152"/>
      <c r="BI4395" s="153"/>
      <c r="BJ4395" s="153"/>
      <c r="BK4395" s="153"/>
      <c r="BL4395" s="153"/>
      <c r="BM4395" s="153"/>
      <c r="BN4395" s="153"/>
      <c r="BO4395" s="153"/>
      <c r="BP4395" s="153"/>
      <c r="BQ4395" s="153"/>
      <c r="BR4395" s="153"/>
      <c r="BS4395" s="153"/>
      <c r="BT4395" s="153"/>
      <c r="BU4395" s="153"/>
      <c r="BV4395" s="153"/>
      <c r="BW4395" s="153"/>
      <c r="BX4395" s="153"/>
      <c r="BY4395" s="153"/>
      <c r="BZ4395" s="153"/>
      <c r="CA4395" s="152"/>
      <c r="CB4395" s="152"/>
    </row>
    <row r="4396" spans="1:80" s="87" customFormat="1" ht="16.5" x14ac:dyDescent="0.3">
      <c r="A4396" s="152"/>
      <c r="B4396" s="683"/>
      <c r="C4396" s="683"/>
      <c r="D4396" s="698"/>
      <c r="E4396" s="215"/>
      <c r="F4396" s="215"/>
      <c r="G4396" s="153"/>
      <c r="H4396" s="153"/>
      <c r="I4396" s="325">
        <v>14</v>
      </c>
      <c r="J4396" s="325">
        <v>60</v>
      </c>
      <c r="K4396" s="150">
        <v>1</v>
      </c>
      <c r="L4396" s="656">
        <v>14</v>
      </c>
      <c r="M4396" s="663">
        <v>33693</v>
      </c>
      <c r="N4396" s="600">
        <v>0.18770999999999999</v>
      </c>
      <c r="O4396" s="604">
        <v>1.6479999999999999E-3</v>
      </c>
      <c r="P4396" s="849"/>
      <c r="Q4396" s="849"/>
      <c r="R4396" s="849"/>
      <c r="S4396" s="849"/>
      <c r="T4396" s="849"/>
      <c r="U4396" s="849"/>
      <c r="V4396" s="488"/>
      <c r="W4396" s="489"/>
      <c r="X4396" s="488"/>
      <c r="Y4396" s="488"/>
      <c r="Z4396" s="152"/>
      <c r="AA4396" s="152"/>
      <c r="AB4396" s="152"/>
      <c r="AC4396" s="152"/>
      <c r="AD4396" s="223">
        <v>4.8461610000000004</v>
      </c>
      <c r="AE4396" s="223">
        <v>0.14020340000000001</v>
      </c>
      <c r="AF4396" s="223">
        <v>0.67533938000000004</v>
      </c>
      <c r="AG4396" s="223">
        <v>0.26821519999999999</v>
      </c>
      <c r="AH4396" s="341"/>
      <c r="AI4396" s="218"/>
      <c r="AJ4396" s="218"/>
      <c r="AK4396" s="153"/>
      <c r="AL4396" s="152"/>
      <c r="AM4396" s="152"/>
      <c r="AN4396" s="152"/>
      <c r="AO4396" s="152"/>
      <c r="AP4396" s="152"/>
      <c r="AQ4396" s="152"/>
      <c r="AR4396" s="152"/>
      <c r="AS4396" s="152"/>
      <c r="AT4396" s="152"/>
      <c r="AU4396" s="153"/>
      <c r="AV4396" s="479"/>
      <c r="AW4396" s="479"/>
      <c r="AX4396" s="442"/>
      <c r="AY4396" s="153"/>
      <c r="AZ4396" s="152"/>
      <c r="BA4396" s="152"/>
      <c r="BB4396" s="152"/>
      <c r="BC4396" s="152"/>
      <c r="BD4396" s="152"/>
      <c r="BE4396" s="152"/>
      <c r="BF4396" s="152"/>
      <c r="BG4396" s="152"/>
      <c r="BH4396" s="152"/>
      <c r="BI4396" s="153"/>
      <c r="BJ4396" s="153"/>
      <c r="BK4396" s="153"/>
      <c r="BL4396" s="153"/>
      <c r="BM4396" s="153"/>
      <c r="BN4396" s="153"/>
      <c r="BO4396" s="153"/>
      <c r="BP4396" s="153"/>
      <c r="BQ4396" s="153"/>
      <c r="BR4396" s="153"/>
      <c r="BS4396" s="153"/>
      <c r="BT4396" s="153"/>
      <c r="BU4396" s="153"/>
      <c r="BV4396" s="153"/>
      <c r="BW4396" s="153"/>
      <c r="BX4396" s="153"/>
      <c r="BY4396" s="153"/>
      <c r="BZ4396" s="153"/>
      <c r="CA4396" s="152"/>
      <c r="CB4396" s="152"/>
    </row>
    <row r="4397" spans="1:80" s="87" customFormat="1" ht="16.5" x14ac:dyDescent="0.3">
      <c r="A4397" s="152"/>
      <c r="B4397" s="683"/>
      <c r="C4397" s="683"/>
      <c r="D4397" s="698"/>
      <c r="E4397" s="215"/>
      <c r="F4397" s="215"/>
      <c r="G4397" s="153"/>
      <c r="H4397" s="153"/>
      <c r="I4397" s="325">
        <v>14</v>
      </c>
      <c r="J4397" s="325">
        <v>60</v>
      </c>
      <c r="K4397" s="150">
        <v>1</v>
      </c>
      <c r="L4397" s="656">
        <v>14</v>
      </c>
      <c r="M4397" s="663">
        <v>33704</v>
      </c>
      <c r="N4397" s="600">
        <v>0.33692</v>
      </c>
      <c r="O4397" s="604">
        <v>5.2900000000000004E-3</v>
      </c>
      <c r="P4397" s="849"/>
      <c r="Q4397" s="849"/>
      <c r="R4397" s="849"/>
      <c r="S4397" s="849"/>
      <c r="T4397" s="849"/>
      <c r="U4397" s="849"/>
      <c r="V4397" s="488"/>
      <c r="W4397" s="489"/>
      <c r="X4397" s="488"/>
      <c r="Y4397" s="488"/>
      <c r="Z4397" s="152"/>
      <c r="AA4397" s="152"/>
      <c r="AB4397" s="152"/>
      <c r="AC4397" s="152"/>
      <c r="AD4397" s="223">
        <v>5.3947830000000003</v>
      </c>
      <c r="AE4397" s="223">
        <v>0.15849079999999999</v>
      </c>
      <c r="AF4397" s="223">
        <v>0.85462479999999996</v>
      </c>
      <c r="AG4397" s="223">
        <v>0.39013120000000001</v>
      </c>
      <c r="AH4397" s="341"/>
      <c r="AI4397" s="218"/>
      <c r="AJ4397" s="218"/>
      <c r="AK4397" s="153"/>
      <c r="AL4397" s="152"/>
      <c r="AM4397" s="152"/>
      <c r="AN4397" s="152"/>
      <c r="AO4397" s="152"/>
      <c r="AP4397" s="152"/>
      <c r="AQ4397" s="152"/>
      <c r="AR4397" s="152"/>
      <c r="AS4397" s="152"/>
      <c r="AT4397" s="152"/>
      <c r="AU4397" s="153"/>
      <c r="AV4397" s="479"/>
      <c r="AW4397" s="479"/>
      <c r="AX4397" s="442"/>
      <c r="AY4397" s="153"/>
      <c r="AZ4397" s="152"/>
      <c r="BA4397" s="152"/>
      <c r="BB4397" s="152"/>
      <c r="BC4397" s="152"/>
      <c r="BD4397" s="152"/>
      <c r="BE4397" s="152"/>
      <c r="BF4397" s="152"/>
      <c r="BG4397" s="152"/>
      <c r="BH4397" s="152"/>
      <c r="BI4397" s="153"/>
      <c r="BJ4397" s="153"/>
      <c r="BK4397" s="153"/>
      <c r="BL4397" s="153"/>
      <c r="BM4397" s="153"/>
      <c r="BN4397" s="153"/>
      <c r="BO4397" s="153"/>
      <c r="BP4397" s="153"/>
      <c r="BQ4397" s="153"/>
      <c r="BR4397" s="153"/>
      <c r="BS4397" s="153"/>
      <c r="BT4397" s="153"/>
      <c r="BU4397" s="153"/>
      <c r="BV4397" s="153"/>
      <c r="BW4397" s="153"/>
      <c r="BX4397" s="153"/>
      <c r="BY4397" s="153"/>
      <c r="BZ4397" s="153"/>
      <c r="CA4397" s="152"/>
      <c r="CB4397" s="152"/>
    </row>
    <row r="4398" spans="1:80" s="87" customFormat="1" ht="16.5" x14ac:dyDescent="0.3">
      <c r="A4398" s="152"/>
      <c r="B4398" s="683"/>
      <c r="C4398" s="683"/>
      <c r="D4398" s="698"/>
      <c r="E4398" s="215"/>
      <c r="F4398" s="215"/>
      <c r="G4398" s="153"/>
      <c r="H4398" s="153"/>
      <c r="I4398" s="325">
        <v>14</v>
      </c>
      <c r="J4398" s="325">
        <v>60</v>
      </c>
      <c r="K4398" s="150">
        <v>1</v>
      </c>
      <c r="L4398" s="656">
        <v>14</v>
      </c>
      <c r="M4398" s="663">
        <v>33714</v>
      </c>
      <c r="N4398" s="600">
        <v>0.54359999999999997</v>
      </c>
      <c r="O4398" s="604">
        <v>1.2805E-2</v>
      </c>
      <c r="P4398" s="849"/>
      <c r="Q4398" s="849"/>
      <c r="R4398" s="849"/>
      <c r="S4398" s="849"/>
      <c r="T4398" s="849"/>
      <c r="U4398" s="849"/>
      <c r="V4398" s="488"/>
      <c r="W4398" s="489"/>
      <c r="X4398" s="488"/>
      <c r="Y4398" s="488"/>
      <c r="Z4398" s="152"/>
      <c r="AA4398" s="152"/>
      <c r="AB4398" s="152"/>
      <c r="AC4398" s="152"/>
      <c r="AD4398" s="223"/>
      <c r="AE4398" s="223"/>
      <c r="AF4398" s="223"/>
      <c r="AG4398" s="223"/>
      <c r="AH4398" s="341"/>
      <c r="AI4398" s="218"/>
      <c r="AJ4398" s="218"/>
      <c r="AK4398" s="153"/>
      <c r="AL4398" s="152"/>
      <c r="AM4398" s="152"/>
      <c r="AN4398" s="152"/>
      <c r="AO4398" s="152"/>
      <c r="AP4398" s="152"/>
      <c r="AQ4398" s="152"/>
      <c r="AR4398" s="152"/>
      <c r="AS4398" s="152"/>
      <c r="AT4398" s="152"/>
      <c r="AU4398" s="153"/>
      <c r="AV4398" s="479"/>
      <c r="AW4398" s="479"/>
      <c r="AX4398" s="442"/>
      <c r="AY4398" s="153"/>
      <c r="AZ4398" s="152"/>
      <c r="BA4398" s="152"/>
      <c r="BB4398" s="152"/>
      <c r="BC4398" s="152"/>
      <c r="BD4398" s="152"/>
      <c r="BE4398" s="152"/>
      <c r="BF4398" s="152"/>
      <c r="BG4398" s="152"/>
      <c r="BH4398" s="152"/>
      <c r="BI4398" s="153"/>
      <c r="BJ4398" s="153"/>
      <c r="BK4398" s="153"/>
      <c r="BL4398" s="153"/>
      <c r="BM4398" s="153"/>
      <c r="BN4398" s="153"/>
      <c r="BO4398" s="153"/>
      <c r="BP4398" s="153"/>
      <c r="BQ4398" s="153"/>
      <c r="BR4398" s="153"/>
      <c r="BS4398" s="153"/>
      <c r="BT4398" s="153"/>
      <c r="BU4398" s="153"/>
      <c r="BV4398" s="153"/>
      <c r="BW4398" s="153"/>
      <c r="BX4398" s="153"/>
      <c r="BY4398" s="153"/>
      <c r="BZ4398" s="153"/>
      <c r="CA4398" s="152"/>
      <c r="CB4398" s="152"/>
    </row>
    <row r="4399" spans="1:80" s="87" customFormat="1" ht="16.5" x14ac:dyDescent="0.3">
      <c r="A4399" s="152"/>
      <c r="B4399" s="683"/>
      <c r="C4399" s="683"/>
      <c r="D4399" s="698"/>
      <c r="E4399" s="215"/>
      <c r="F4399" s="215"/>
      <c r="G4399" s="153"/>
      <c r="H4399" s="153"/>
      <c r="I4399" s="325">
        <v>16</v>
      </c>
      <c r="J4399" s="325">
        <v>60</v>
      </c>
      <c r="K4399" s="150">
        <v>1</v>
      </c>
      <c r="L4399" s="656">
        <v>16</v>
      </c>
      <c r="M4399" s="663">
        <v>33728</v>
      </c>
      <c r="N4399" s="600">
        <v>0.56059000000000003</v>
      </c>
      <c r="O4399" s="604">
        <v>1.9102000000000001E-2</v>
      </c>
      <c r="P4399" s="849"/>
      <c r="Q4399" s="849"/>
      <c r="R4399" s="849"/>
      <c r="S4399" s="849"/>
      <c r="T4399" s="849"/>
      <c r="U4399" s="849"/>
      <c r="V4399" s="488"/>
      <c r="W4399" s="489"/>
      <c r="X4399" s="488"/>
      <c r="Y4399" s="488"/>
      <c r="Z4399" s="152"/>
      <c r="AA4399" s="152"/>
      <c r="AB4399" s="152"/>
      <c r="AC4399" s="152"/>
      <c r="AD4399" s="223"/>
      <c r="AE4399" s="223"/>
      <c r="AF4399" s="223"/>
      <c r="AG4399" s="223"/>
      <c r="AH4399" s="341"/>
      <c r="AI4399" s="218"/>
      <c r="AJ4399" s="218"/>
      <c r="AK4399" s="153"/>
      <c r="AL4399" s="152"/>
      <c r="AM4399" s="152"/>
      <c r="AN4399" s="152"/>
      <c r="AO4399" s="152"/>
      <c r="AP4399" s="152"/>
      <c r="AQ4399" s="152"/>
      <c r="AR4399" s="152"/>
      <c r="AS4399" s="152"/>
      <c r="AT4399" s="152"/>
      <c r="AU4399" s="153"/>
      <c r="AV4399" s="479"/>
      <c r="AW4399" s="479"/>
      <c r="AX4399" s="442"/>
      <c r="AY4399" s="153"/>
      <c r="AZ4399" s="152"/>
      <c r="BA4399" s="152"/>
      <c r="BB4399" s="152"/>
      <c r="BC4399" s="152"/>
      <c r="BD4399" s="152"/>
      <c r="BE4399" s="152"/>
      <c r="BF4399" s="152"/>
      <c r="BG4399" s="152"/>
      <c r="BH4399" s="152"/>
      <c r="BI4399" s="153"/>
      <c r="BJ4399" s="153"/>
      <c r="BK4399" s="153"/>
      <c r="BL4399" s="153"/>
      <c r="BM4399" s="153"/>
      <c r="BN4399" s="153"/>
      <c r="BO4399" s="153"/>
      <c r="BP4399" s="153"/>
      <c r="BQ4399" s="153"/>
      <c r="BR4399" s="153"/>
      <c r="BS4399" s="153"/>
      <c r="BT4399" s="153"/>
      <c r="BU4399" s="153"/>
      <c r="BV4399" s="153"/>
      <c r="BW4399" s="153"/>
      <c r="BX4399" s="153"/>
      <c r="BY4399" s="153"/>
      <c r="BZ4399" s="153"/>
      <c r="CA4399" s="152"/>
      <c r="CB4399" s="152"/>
    </row>
    <row r="4400" spans="1:80" s="87" customFormat="1" ht="16.5" x14ac:dyDescent="0.3">
      <c r="A4400" s="152"/>
      <c r="B4400" s="683"/>
      <c r="C4400" s="683"/>
      <c r="D4400" s="698"/>
      <c r="E4400" s="215"/>
      <c r="F4400" s="215"/>
      <c r="G4400" s="153"/>
      <c r="H4400" s="153"/>
      <c r="I4400" s="325">
        <v>15</v>
      </c>
      <c r="J4400" s="325">
        <v>60</v>
      </c>
      <c r="K4400" s="150">
        <v>1</v>
      </c>
      <c r="L4400" s="656">
        <v>15</v>
      </c>
      <c r="M4400" s="663">
        <v>33735</v>
      </c>
      <c r="N4400" s="600">
        <v>0.43318000000000001</v>
      </c>
      <c r="O4400" s="604">
        <v>2.1519999999999998E-3</v>
      </c>
      <c r="P4400" s="849"/>
      <c r="Q4400" s="849"/>
      <c r="R4400" s="849"/>
      <c r="S4400" s="849"/>
      <c r="T4400" s="849"/>
      <c r="U4400" s="849"/>
      <c r="V4400" s="488"/>
      <c r="W4400" s="489"/>
      <c r="X4400" s="488"/>
      <c r="Y4400" s="488"/>
      <c r="Z4400" s="152"/>
      <c r="AA4400" s="152"/>
      <c r="AB4400" s="152"/>
      <c r="AC4400" s="152"/>
      <c r="AD4400" s="223"/>
      <c r="AE4400" s="223"/>
      <c r="AF4400" s="223"/>
      <c r="AG4400" s="223"/>
      <c r="AH4400" s="341"/>
      <c r="AI4400" s="218"/>
      <c r="AJ4400" s="218"/>
      <c r="AK4400" s="153"/>
      <c r="AL4400" s="152"/>
      <c r="AM4400" s="152"/>
      <c r="AN4400" s="152"/>
      <c r="AO4400" s="152"/>
      <c r="AP4400" s="152"/>
      <c r="AQ4400" s="152"/>
      <c r="AR4400" s="152"/>
      <c r="AS4400" s="152"/>
      <c r="AT4400" s="152"/>
      <c r="AU4400" s="153"/>
      <c r="AV4400" s="479"/>
      <c r="AW4400" s="479"/>
      <c r="AX4400" s="442"/>
      <c r="AY4400" s="153"/>
      <c r="AZ4400" s="152"/>
      <c r="BA4400" s="152"/>
      <c r="BB4400" s="152"/>
      <c r="BC4400" s="152"/>
      <c r="BD4400" s="152"/>
      <c r="BE4400" s="152"/>
      <c r="BF4400" s="152"/>
      <c r="BG4400" s="152"/>
      <c r="BH4400" s="152"/>
      <c r="BI4400" s="153"/>
      <c r="BJ4400" s="153"/>
      <c r="BK4400" s="153"/>
      <c r="BL4400" s="153"/>
      <c r="BM4400" s="153"/>
      <c r="BN4400" s="153"/>
      <c r="BO4400" s="153"/>
      <c r="BP4400" s="153"/>
      <c r="BQ4400" s="153"/>
      <c r="BR4400" s="153"/>
      <c r="BS4400" s="153"/>
      <c r="BT4400" s="153"/>
      <c r="BU4400" s="153"/>
      <c r="BV4400" s="153"/>
      <c r="BW4400" s="153"/>
      <c r="BX4400" s="153"/>
      <c r="BY4400" s="153"/>
      <c r="BZ4400" s="153"/>
      <c r="CA4400" s="152"/>
      <c r="CB4400" s="152"/>
    </row>
    <row r="4401" spans="1:80" s="87" customFormat="1" ht="16.5" x14ac:dyDescent="0.3">
      <c r="A4401" s="152"/>
      <c r="B4401" s="683"/>
      <c r="C4401" s="683"/>
      <c r="D4401" s="698"/>
      <c r="E4401" s="215"/>
      <c r="F4401" s="215"/>
      <c r="G4401" s="153"/>
      <c r="H4401" s="153"/>
      <c r="I4401" s="325">
        <v>15</v>
      </c>
      <c r="J4401" s="325">
        <v>60</v>
      </c>
      <c r="K4401" s="150">
        <v>1</v>
      </c>
      <c r="L4401" s="656">
        <v>15</v>
      </c>
      <c r="M4401" s="663">
        <v>33744</v>
      </c>
      <c r="N4401" s="600">
        <v>0.40204000000000001</v>
      </c>
      <c r="O4401" s="604">
        <v>1.0496E-2</v>
      </c>
      <c r="P4401" s="849"/>
      <c r="Q4401" s="849"/>
      <c r="R4401" s="849"/>
      <c r="S4401" s="849"/>
      <c r="T4401" s="849"/>
      <c r="U4401" s="849"/>
      <c r="V4401" s="488"/>
      <c r="W4401" s="489"/>
      <c r="X4401" s="488"/>
      <c r="Y4401" s="488"/>
      <c r="Z4401" s="152"/>
      <c r="AA4401" s="152"/>
      <c r="AB4401" s="152"/>
      <c r="AC4401" s="152"/>
      <c r="AD4401" s="223">
        <v>5.4557409999999997</v>
      </c>
      <c r="AE4401" s="223">
        <v>0.17068240000000001</v>
      </c>
      <c r="AF4401" s="223">
        <v>0.93822939999999999</v>
      </c>
      <c r="AG4401" s="223">
        <v>0.43584970000000001</v>
      </c>
      <c r="AH4401" s="341"/>
      <c r="AI4401" s="218"/>
      <c r="AJ4401" s="218"/>
      <c r="AK4401" s="153"/>
      <c r="AL4401" s="152"/>
      <c r="AM4401" s="152"/>
      <c r="AN4401" s="152"/>
      <c r="AO4401" s="152"/>
      <c r="AP4401" s="152"/>
      <c r="AQ4401" s="152"/>
      <c r="AR4401" s="152"/>
      <c r="AS4401" s="152"/>
      <c r="AT4401" s="152"/>
      <c r="AU4401" s="153"/>
      <c r="AV4401" s="479"/>
      <c r="AW4401" s="479"/>
      <c r="AX4401" s="442"/>
      <c r="AY4401" s="153"/>
      <c r="AZ4401" s="152"/>
      <c r="BA4401" s="152"/>
      <c r="BB4401" s="152"/>
      <c r="BC4401" s="152"/>
      <c r="BD4401" s="152"/>
      <c r="BE4401" s="152"/>
      <c r="BF4401" s="152"/>
      <c r="BG4401" s="152"/>
      <c r="BH4401" s="152"/>
      <c r="BI4401" s="153"/>
      <c r="BJ4401" s="153"/>
      <c r="BK4401" s="153"/>
      <c r="BL4401" s="153"/>
      <c r="BM4401" s="153"/>
      <c r="BN4401" s="153"/>
      <c r="BO4401" s="153"/>
      <c r="BP4401" s="153"/>
      <c r="BQ4401" s="153"/>
      <c r="BR4401" s="153"/>
      <c r="BS4401" s="153"/>
      <c r="BT4401" s="153"/>
      <c r="BU4401" s="153"/>
      <c r="BV4401" s="153"/>
      <c r="BW4401" s="153"/>
      <c r="BX4401" s="153"/>
      <c r="BY4401" s="153"/>
      <c r="BZ4401" s="153"/>
      <c r="CA4401" s="152"/>
      <c r="CB4401" s="152"/>
    </row>
    <row r="4402" spans="1:80" s="87" customFormat="1" ht="16.5" x14ac:dyDescent="0.3">
      <c r="A4402" s="152"/>
      <c r="B4402" s="683"/>
      <c r="C4402" s="683"/>
      <c r="D4402" s="698"/>
      <c r="E4402" s="215"/>
      <c r="F4402" s="215"/>
      <c r="G4402" s="153"/>
      <c r="H4402" s="153"/>
      <c r="I4402" s="325">
        <v>15</v>
      </c>
      <c r="J4402" s="325">
        <v>60</v>
      </c>
      <c r="K4402" s="150">
        <v>1</v>
      </c>
      <c r="L4402" s="656">
        <v>15</v>
      </c>
      <c r="M4402" s="663">
        <v>33750</v>
      </c>
      <c r="N4402" s="600">
        <v>0.32275999999999999</v>
      </c>
      <c r="O4402" s="604">
        <v>4.261E-3</v>
      </c>
      <c r="P4402" s="849"/>
      <c r="Q4402" s="849"/>
      <c r="R4402" s="849"/>
      <c r="S4402" s="849"/>
      <c r="T4402" s="849"/>
      <c r="U4402" s="849"/>
      <c r="V4402" s="488"/>
      <c r="W4402" s="489"/>
      <c r="X4402" s="488"/>
      <c r="Y4402" s="488"/>
      <c r="Z4402" s="152"/>
      <c r="AA4402" s="152"/>
      <c r="AB4402" s="152"/>
      <c r="AC4402" s="152"/>
      <c r="AD4402" s="223">
        <v>5.242388</v>
      </c>
      <c r="AE4402" s="223">
        <v>0.14934710000000001</v>
      </c>
      <c r="AF4402" s="223">
        <v>0.78030960000000005</v>
      </c>
      <c r="AG4402" s="223">
        <v>0.36574800000000002</v>
      </c>
      <c r="AH4402" s="341"/>
      <c r="AI4402" s="218"/>
      <c r="AJ4402" s="218"/>
      <c r="AK4402" s="153"/>
      <c r="AL4402" s="152"/>
      <c r="AM4402" s="152"/>
      <c r="AN4402" s="152"/>
      <c r="AO4402" s="152"/>
      <c r="AP4402" s="152"/>
      <c r="AQ4402" s="152"/>
      <c r="AR4402" s="152"/>
      <c r="AS4402" s="152"/>
      <c r="AT4402" s="152"/>
      <c r="AU4402" s="153"/>
      <c r="AV4402" s="479"/>
      <c r="AW4402" s="479"/>
      <c r="AX4402" s="442"/>
      <c r="AY4402" s="153"/>
      <c r="AZ4402" s="152"/>
      <c r="BA4402" s="152"/>
      <c r="BB4402" s="152"/>
      <c r="BC4402" s="152"/>
      <c r="BD4402" s="152"/>
      <c r="BE4402" s="152"/>
      <c r="BF4402" s="152"/>
      <c r="BG4402" s="152"/>
      <c r="BH4402" s="152"/>
      <c r="BI4402" s="153"/>
      <c r="BJ4402" s="153"/>
      <c r="BK4402" s="153"/>
      <c r="BL4402" s="153"/>
      <c r="BM4402" s="153"/>
      <c r="BN4402" s="153"/>
      <c r="BO4402" s="153"/>
      <c r="BP4402" s="153"/>
      <c r="BQ4402" s="153"/>
      <c r="BR4402" s="153"/>
      <c r="BS4402" s="153"/>
      <c r="BT4402" s="153"/>
      <c r="BU4402" s="153"/>
      <c r="BV4402" s="153"/>
      <c r="BW4402" s="153"/>
      <c r="BX4402" s="153"/>
      <c r="BY4402" s="153"/>
      <c r="BZ4402" s="153"/>
      <c r="CA4402" s="152"/>
      <c r="CB4402" s="152"/>
    </row>
    <row r="4403" spans="1:80" s="87" customFormat="1" ht="16.5" x14ac:dyDescent="0.3">
      <c r="A4403" s="152"/>
      <c r="B4403" s="683"/>
      <c r="C4403" s="683"/>
      <c r="D4403" s="698"/>
      <c r="E4403" s="215"/>
      <c r="F4403" s="215"/>
      <c r="G4403" s="153"/>
      <c r="H4403" s="153"/>
      <c r="I4403" s="325">
        <v>15</v>
      </c>
      <c r="J4403" s="325">
        <v>60</v>
      </c>
      <c r="K4403" s="150">
        <v>1</v>
      </c>
      <c r="L4403" s="656">
        <v>15</v>
      </c>
      <c r="M4403" s="663">
        <v>33784</v>
      </c>
      <c r="N4403" s="600">
        <v>0.20555000000000001</v>
      </c>
      <c r="O4403" s="604">
        <v>3.7360000000000002E-3</v>
      </c>
      <c r="P4403" s="849"/>
      <c r="Q4403" s="849"/>
      <c r="R4403" s="849"/>
      <c r="S4403" s="849"/>
      <c r="T4403" s="849"/>
      <c r="U4403" s="849"/>
      <c r="V4403" s="488"/>
      <c r="W4403" s="489"/>
      <c r="X4403" s="488"/>
      <c r="Y4403" s="488"/>
      <c r="Z4403" s="152"/>
      <c r="AA4403" s="152"/>
      <c r="AB4403" s="152"/>
      <c r="AC4403" s="152"/>
      <c r="AD4403" s="223"/>
      <c r="AE4403" s="223"/>
      <c r="AF4403" s="223"/>
      <c r="AG4403" s="223"/>
      <c r="AH4403" s="341"/>
      <c r="AI4403" s="218"/>
      <c r="AJ4403" s="218"/>
      <c r="AK4403" s="153"/>
      <c r="AL4403" s="152"/>
      <c r="AM4403" s="152"/>
      <c r="AN4403" s="152"/>
      <c r="AO4403" s="152"/>
      <c r="AP4403" s="152"/>
      <c r="AQ4403" s="152"/>
      <c r="AR4403" s="152"/>
      <c r="AS4403" s="152"/>
      <c r="AT4403" s="152"/>
      <c r="AU4403" s="153"/>
      <c r="AV4403" s="479"/>
      <c r="AW4403" s="479"/>
      <c r="AX4403" s="442"/>
      <c r="AY4403" s="153"/>
      <c r="AZ4403" s="152"/>
      <c r="BA4403" s="152"/>
      <c r="BB4403" s="152"/>
      <c r="BC4403" s="152"/>
      <c r="BD4403" s="152"/>
      <c r="BE4403" s="152"/>
      <c r="BF4403" s="152"/>
      <c r="BG4403" s="152"/>
      <c r="BH4403" s="152"/>
      <c r="BI4403" s="153"/>
      <c r="BJ4403" s="153"/>
      <c r="BK4403" s="153"/>
      <c r="BL4403" s="153"/>
      <c r="BM4403" s="153"/>
      <c r="BN4403" s="153"/>
      <c r="BO4403" s="153"/>
      <c r="BP4403" s="153"/>
      <c r="BQ4403" s="153"/>
      <c r="BR4403" s="153"/>
      <c r="BS4403" s="153"/>
      <c r="BT4403" s="153"/>
      <c r="BU4403" s="153"/>
      <c r="BV4403" s="153"/>
      <c r="BW4403" s="153"/>
      <c r="BX4403" s="153"/>
      <c r="BY4403" s="153"/>
      <c r="BZ4403" s="153"/>
      <c r="CA4403" s="152"/>
      <c r="CB4403" s="152"/>
    </row>
    <row r="4404" spans="1:80" s="87" customFormat="1" ht="16.5" x14ac:dyDescent="0.3">
      <c r="A4404" s="152"/>
      <c r="B4404" s="683"/>
      <c r="C4404" s="683"/>
      <c r="D4404" s="698"/>
      <c r="E4404" s="215"/>
      <c r="F4404" s="215"/>
      <c r="G4404" s="153"/>
      <c r="H4404" s="153"/>
      <c r="I4404" s="325">
        <v>13</v>
      </c>
      <c r="J4404" s="325">
        <v>60</v>
      </c>
      <c r="K4404" s="150">
        <v>1</v>
      </c>
      <c r="L4404" s="656">
        <v>13</v>
      </c>
      <c r="M4404" s="663">
        <v>33827</v>
      </c>
      <c r="N4404" s="600">
        <v>7.1059999999999998E-2</v>
      </c>
      <c r="O4404" s="604">
        <v>1.0900000000000001E-5</v>
      </c>
      <c r="P4404" s="849"/>
      <c r="Q4404" s="849"/>
      <c r="R4404" s="849"/>
      <c r="S4404" s="849"/>
      <c r="T4404" s="849"/>
      <c r="U4404" s="849"/>
      <c r="V4404" s="488"/>
      <c r="W4404" s="489"/>
      <c r="X4404" s="488"/>
      <c r="Y4404" s="488"/>
      <c r="Z4404" s="152"/>
      <c r="AA4404" s="152"/>
      <c r="AB4404" s="152"/>
      <c r="AC4404" s="152"/>
      <c r="AD4404" s="223">
        <v>4.3280180000000001</v>
      </c>
      <c r="AE4404" s="223">
        <v>7.9245399999999994E-2</v>
      </c>
      <c r="AF4404" s="223">
        <v>0.34370780000000001</v>
      </c>
      <c r="AG4404" s="223">
        <v>0.1981135</v>
      </c>
      <c r="AH4404" s="341"/>
      <c r="AI4404" s="218"/>
      <c r="AJ4404" s="218"/>
      <c r="AK4404" s="153"/>
      <c r="AL4404" s="152"/>
      <c r="AM4404" s="152"/>
      <c r="AN4404" s="152"/>
      <c r="AO4404" s="152"/>
      <c r="AP4404" s="152"/>
      <c r="AQ4404" s="152"/>
      <c r="AR4404" s="152"/>
      <c r="AS4404" s="152"/>
      <c r="AT4404" s="152"/>
      <c r="AU4404" s="153"/>
      <c r="AV4404" s="479"/>
      <c r="AW4404" s="479"/>
      <c r="AX4404" s="442"/>
      <c r="AY4404" s="153"/>
      <c r="AZ4404" s="152"/>
      <c r="BA4404" s="152"/>
      <c r="BB4404" s="152"/>
      <c r="BC4404" s="152"/>
      <c r="BD4404" s="152"/>
      <c r="BE4404" s="152"/>
      <c r="BF4404" s="152"/>
      <c r="BG4404" s="152"/>
      <c r="BH4404" s="152"/>
      <c r="BI4404" s="153"/>
      <c r="BJ4404" s="153"/>
      <c r="BK4404" s="153"/>
      <c r="BL4404" s="153"/>
      <c r="BM4404" s="153"/>
      <c r="BN4404" s="153"/>
      <c r="BO4404" s="153"/>
      <c r="BP4404" s="153"/>
      <c r="BQ4404" s="153"/>
      <c r="BR4404" s="153"/>
      <c r="BS4404" s="153"/>
      <c r="BT4404" s="153"/>
      <c r="BU4404" s="153"/>
      <c r="BV4404" s="153"/>
      <c r="BW4404" s="153"/>
      <c r="BX4404" s="153"/>
      <c r="BY4404" s="153"/>
      <c r="BZ4404" s="153"/>
      <c r="CA4404" s="152"/>
      <c r="CB4404" s="152"/>
    </row>
    <row r="4405" spans="1:80" s="87" customFormat="1" ht="16.5" x14ac:dyDescent="0.3">
      <c r="A4405" s="152"/>
      <c r="B4405" s="683"/>
      <c r="C4405" s="683"/>
      <c r="D4405" s="698"/>
      <c r="E4405" s="215"/>
      <c r="F4405" s="215"/>
      <c r="G4405" s="153"/>
      <c r="H4405" s="153"/>
      <c r="I4405" s="325">
        <v>15</v>
      </c>
      <c r="J4405" s="325">
        <v>30</v>
      </c>
      <c r="K4405" s="150">
        <v>1</v>
      </c>
      <c r="L4405" s="656">
        <v>7.5</v>
      </c>
      <c r="M4405" s="663">
        <v>34067</v>
      </c>
      <c r="N4405" s="600">
        <v>0.33126</v>
      </c>
      <c r="O4405" s="604">
        <v>2.1410999999999999E-2</v>
      </c>
      <c r="P4405" s="849"/>
      <c r="Q4405" s="849"/>
      <c r="R4405" s="849"/>
      <c r="S4405" s="849"/>
      <c r="T4405" s="849"/>
      <c r="U4405" s="849"/>
      <c r="V4405" s="488"/>
      <c r="W4405" s="489"/>
      <c r="X4405" s="488"/>
      <c r="Y4405" s="488"/>
      <c r="Z4405" s="152"/>
      <c r="AA4405" s="152"/>
      <c r="AB4405" s="152"/>
      <c r="AC4405" s="152"/>
      <c r="AD4405" s="223">
        <v>5.1814299999999998</v>
      </c>
      <c r="AE4405" s="223">
        <v>0.15849079999999999</v>
      </c>
      <c r="AF4405" s="223">
        <v>0.82675659999999995</v>
      </c>
      <c r="AG4405" s="223">
        <v>0.39013120000000001</v>
      </c>
      <c r="AH4405" s="341"/>
      <c r="AI4405" s="218"/>
      <c r="AJ4405" s="218"/>
      <c r="AK4405" s="153"/>
      <c r="AL4405" s="152"/>
      <c r="AM4405" s="152"/>
      <c r="AN4405" s="152"/>
      <c r="AO4405" s="152"/>
      <c r="AP4405" s="152"/>
      <c r="AQ4405" s="152"/>
      <c r="AR4405" s="152"/>
      <c r="AS4405" s="152"/>
      <c r="AT4405" s="152"/>
      <c r="AU4405" s="153"/>
      <c r="AV4405" s="479"/>
      <c r="AW4405" s="479"/>
      <c r="AX4405" s="442"/>
      <c r="AY4405" s="153"/>
      <c r="AZ4405" s="152"/>
      <c r="BA4405" s="152"/>
      <c r="BB4405" s="152"/>
      <c r="BC4405" s="152"/>
      <c r="BD4405" s="152"/>
      <c r="BE4405" s="152"/>
      <c r="BF4405" s="152"/>
      <c r="BG4405" s="152"/>
      <c r="BH4405" s="152"/>
      <c r="BI4405" s="153"/>
      <c r="BJ4405" s="153"/>
      <c r="BK4405" s="153"/>
      <c r="BL4405" s="153"/>
      <c r="BM4405" s="153"/>
      <c r="BN4405" s="153"/>
      <c r="BO4405" s="153"/>
      <c r="BP4405" s="153"/>
      <c r="BQ4405" s="153"/>
      <c r="BR4405" s="153"/>
      <c r="BS4405" s="153"/>
      <c r="BT4405" s="153"/>
      <c r="BU4405" s="153"/>
      <c r="BV4405" s="153"/>
      <c r="BW4405" s="153"/>
      <c r="BX4405" s="153"/>
      <c r="BY4405" s="153"/>
      <c r="BZ4405" s="153"/>
      <c r="CA4405" s="152"/>
      <c r="CB4405" s="152"/>
    </row>
    <row r="4406" spans="1:80" s="87" customFormat="1" ht="16.5" x14ac:dyDescent="0.3">
      <c r="A4406" s="152"/>
      <c r="B4406" s="683"/>
      <c r="C4406" s="683"/>
      <c r="D4406" s="698"/>
      <c r="E4406" s="215"/>
      <c r="F4406" s="215"/>
      <c r="G4406" s="153"/>
      <c r="H4406" s="153"/>
      <c r="I4406" s="325">
        <v>14</v>
      </c>
      <c r="J4406" s="325">
        <v>30</v>
      </c>
      <c r="K4406" s="150">
        <v>1</v>
      </c>
      <c r="L4406" s="656">
        <v>7</v>
      </c>
      <c r="M4406" s="663">
        <v>34088</v>
      </c>
      <c r="N4406" s="600">
        <v>0.63419999999999999</v>
      </c>
      <c r="O4406" s="604">
        <v>1.7212999999999999E-2</v>
      </c>
      <c r="P4406" s="849"/>
      <c r="Q4406" s="849"/>
      <c r="R4406" s="849"/>
      <c r="S4406" s="849"/>
      <c r="T4406" s="849"/>
      <c r="U4406" s="849"/>
      <c r="V4406" s="488"/>
      <c r="W4406" s="489"/>
      <c r="X4406" s="488"/>
      <c r="Y4406" s="488"/>
      <c r="Z4406" s="152"/>
      <c r="AA4406" s="152"/>
      <c r="AB4406" s="152"/>
      <c r="AC4406" s="152"/>
      <c r="AD4406" s="223">
        <v>4.9375980000000004</v>
      </c>
      <c r="AE4406" s="223">
        <v>0.25297570000000003</v>
      </c>
      <c r="AF4406" s="223">
        <v>1.2447796</v>
      </c>
      <c r="AG4406" s="223">
        <v>0.57605309999999998</v>
      </c>
      <c r="AH4406" s="341"/>
      <c r="AI4406" s="218"/>
      <c r="AJ4406" s="218"/>
      <c r="AK4406" s="153"/>
      <c r="AL4406" s="152"/>
      <c r="AM4406" s="152"/>
      <c r="AN4406" s="152"/>
      <c r="AO4406" s="152"/>
      <c r="AP4406" s="152"/>
      <c r="AQ4406" s="152"/>
      <c r="AR4406" s="152"/>
      <c r="AS4406" s="152"/>
      <c r="AT4406" s="152"/>
      <c r="AU4406" s="153"/>
      <c r="AV4406" s="479"/>
      <c r="AW4406" s="479"/>
      <c r="AX4406" s="442"/>
      <c r="AY4406" s="153"/>
      <c r="AZ4406" s="152"/>
      <c r="BA4406" s="152"/>
      <c r="BB4406" s="152"/>
      <c r="BC4406" s="152"/>
      <c r="BD4406" s="152"/>
      <c r="BE4406" s="152"/>
      <c r="BF4406" s="152"/>
      <c r="BG4406" s="152"/>
      <c r="BH4406" s="152"/>
      <c r="BI4406" s="153"/>
      <c r="BJ4406" s="153"/>
      <c r="BK4406" s="153"/>
      <c r="BL4406" s="153"/>
      <c r="BM4406" s="153"/>
      <c r="BN4406" s="153"/>
      <c r="BO4406" s="153"/>
      <c r="BP4406" s="153"/>
      <c r="BQ4406" s="153"/>
      <c r="BR4406" s="153"/>
      <c r="BS4406" s="153"/>
      <c r="BT4406" s="153"/>
      <c r="BU4406" s="153"/>
      <c r="BV4406" s="153"/>
      <c r="BW4406" s="153"/>
      <c r="BX4406" s="153"/>
      <c r="BY4406" s="153"/>
      <c r="BZ4406" s="153"/>
      <c r="CA4406" s="152"/>
      <c r="CB4406" s="152"/>
    </row>
    <row r="4407" spans="1:80" s="87" customFormat="1" ht="16.5" x14ac:dyDescent="0.3">
      <c r="A4407" s="152"/>
      <c r="B4407" s="683"/>
      <c r="C4407" s="683"/>
      <c r="D4407" s="698"/>
      <c r="E4407" s="215"/>
      <c r="F4407" s="215"/>
      <c r="G4407" s="153"/>
      <c r="H4407" s="153"/>
      <c r="I4407" s="325">
        <v>18</v>
      </c>
      <c r="J4407" s="325">
        <v>30</v>
      </c>
      <c r="K4407" s="150">
        <v>1</v>
      </c>
      <c r="L4407" s="656">
        <v>9</v>
      </c>
      <c r="M4407" s="663">
        <v>34088</v>
      </c>
      <c r="N4407" s="600">
        <v>0.93149000000000004</v>
      </c>
      <c r="O4407" s="604">
        <v>9.5090000000000001E-3</v>
      </c>
      <c r="P4407" s="849"/>
      <c r="Q4407" s="849"/>
      <c r="R4407" s="849"/>
      <c r="S4407" s="849"/>
      <c r="T4407" s="849"/>
      <c r="U4407" s="849"/>
      <c r="V4407" s="488"/>
      <c r="W4407" s="489"/>
      <c r="X4407" s="488"/>
      <c r="Y4407" s="488"/>
      <c r="Z4407" s="152"/>
      <c r="AA4407" s="152"/>
      <c r="AB4407" s="152"/>
      <c r="AC4407" s="152"/>
      <c r="AD4407" s="223">
        <v>4.9375980000000004</v>
      </c>
      <c r="AE4407" s="223">
        <v>0.25297570000000003</v>
      </c>
      <c r="AF4407" s="223">
        <v>1.2447796</v>
      </c>
      <c r="AG4407" s="223">
        <v>0.57605309999999998</v>
      </c>
      <c r="AH4407" s="341"/>
      <c r="AI4407" s="218"/>
      <c r="AJ4407" s="218"/>
      <c r="AK4407" s="153"/>
      <c r="AL4407" s="152"/>
      <c r="AM4407" s="152"/>
      <c r="AN4407" s="152"/>
      <c r="AO4407" s="152"/>
      <c r="AP4407" s="152"/>
      <c r="AQ4407" s="152"/>
      <c r="AR4407" s="152"/>
      <c r="AS4407" s="152"/>
      <c r="AT4407" s="152"/>
      <c r="AU4407" s="153"/>
      <c r="AV4407" s="479"/>
      <c r="AW4407" s="479"/>
      <c r="AX4407" s="442"/>
      <c r="AY4407" s="153"/>
      <c r="AZ4407" s="152"/>
      <c r="BA4407" s="152"/>
      <c r="BB4407" s="152"/>
      <c r="BC4407" s="152"/>
      <c r="BD4407" s="152"/>
      <c r="BE4407" s="152"/>
      <c r="BF4407" s="152"/>
      <c r="BG4407" s="152"/>
      <c r="BH4407" s="152"/>
      <c r="BI4407" s="153"/>
      <c r="BJ4407" s="153"/>
      <c r="BK4407" s="153"/>
      <c r="BL4407" s="153"/>
      <c r="BM4407" s="153"/>
      <c r="BN4407" s="153"/>
      <c r="BO4407" s="153"/>
      <c r="BP4407" s="153"/>
      <c r="BQ4407" s="153"/>
      <c r="BR4407" s="153"/>
      <c r="BS4407" s="153"/>
      <c r="BT4407" s="153"/>
      <c r="BU4407" s="153"/>
      <c r="BV4407" s="153"/>
      <c r="BW4407" s="153"/>
      <c r="BX4407" s="153"/>
      <c r="BY4407" s="153"/>
      <c r="BZ4407" s="153"/>
      <c r="CA4407" s="152"/>
      <c r="CB4407" s="152"/>
    </row>
    <row r="4408" spans="1:80" s="87" customFormat="1" ht="16.5" x14ac:dyDescent="0.3">
      <c r="A4408" s="152"/>
      <c r="B4408" s="683"/>
      <c r="C4408" s="683"/>
      <c r="D4408" s="698"/>
      <c r="E4408" s="215"/>
      <c r="F4408" s="215"/>
      <c r="G4408" s="153"/>
      <c r="H4408" s="153"/>
      <c r="I4408" s="325">
        <v>18</v>
      </c>
      <c r="J4408" s="325">
        <v>30</v>
      </c>
      <c r="K4408" s="150">
        <v>1</v>
      </c>
      <c r="L4408" s="656">
        <v>9</v>
      </c>
      <c r="M4408" s="663">
        <v>34093</v>
      </c>
      <c r="N4408" s="600">
        <v>1.27407</v>
      </c>
      <c r="O4408" s="604">
        <v>3.5265999999999999E-2</v>
      </c>
      <c r="P4408" s="849"/>
      <c r="Q4408" s="849"/>
      <c r="R4408" s="849"/>
      <c r="S4408" s="849"/>
      <c r="T4408" s="849"/>
      <c r="U4408" s="849"/>
      <c r="V4408" s="488"/>
      <c r="W4408" s="489"/>
      <c r="X4408" s="488"/>
      <c r="Y4408" s="488"/>
      <c r="Z4408" s="152"/>
      <c r="AA4408" s="152"/>
      <c r="AB4408" s="152"/>
      <c r="AC4408" s="152"/>
      <c r="AD4408" s="223">
        <v>5.5471779999999997</v>
      </c>
      <c r="AE4408" s="223">
        <v>0.29869420000000002</v>
      </c>
      <c r="AF4408" s="223">
        <v>1.6628026</v>
      </c>
      <c r="AG4408" s="223">
        <v>0.73454390000000003</v>
      </c>
      <c r="AH4408" s="341"/>
      <c r="AI4408" s="218"/>
      <c r="AJ4408" s="218"/>
      <c r="AK4408" s="153"/>
      <c r="AL4408" s="152"/>
      <c r="AM4408" s="152"/>
      <c r="AN4408" s="152"/>
      <c r="AO4408" s="152"/>
      <c r="AP4408" s="152"/>
      <c r="AQ4408" s="152"/>
      <c r="AR4408" s="152"/>
      <c r="AS4408" s="152"/>
      <c r="AT4408" s="152"/>
      <c r="AU4408" s="153"/>
      <c r="AV4408" s="479"/>
      <c r="AW4408" s="479"/>
      <c r="AX4408" s="442"/>
      <c r="AY4408" s="153"/>
      <c r="AZ4408" s="152"/>
      <c r="BA4408" s="152"/>
      <c r="BB4408" s="152"/>
      <c r="BC4408" s="152"/>
      <c r="BD4408" s="152"/>
      <c r="BE4408" s="152"/>
      <c r="BF4408" s="152"/>
      <c r="BG4408" s="152"/>
      <c r="BH4408" s="152"/>
      <c r="BI4408" s="153"/>
      <c r="BJ4408" s="153"/>
      <c r="BK4408" s="153"/>
      <c r="BL4408" s="153"/>
      <c r="BM4408" s="153"/>
      <c r="BN4408" s="153"/>
      <c r="BO4408" s="153"/>
      <c r="BP4408" s="153"/>
      <c r="BQ4408" s="153"/>
      <c r="BR4408" s="153"/>
      <c r="BS4408" s="153"/>
      <c r="BT4408" s="153"/>
      <c r="BU4408" s="153"/>
      <c r="BV4408" s="153"/>
      <c r="BW4408" s="153"/>
      <c r="BX4408" s="153"/>
      <c r="BY4408" s="153"/>
      <c r="BZ4408" s="153"/>
      <c r="CA4408" s="152"/>
      <c r="CB4408" s="152"/>
    </row>
    <row r="4409" spans="1:80" s="87" customFormat="1" ht="16.5" x14ac:dyDescent="0.3">
      <c r="A4409" s="152"/>
      <c r="B4409" s="683"/>
      <c r="C4409" s="683"/>
      <c r="D4409" s="698"/>
      <c r="E4409" s="215"/>
      <c r="F4409" s="215"/>
      <c r="G4409" s="153"/>
      <c r="H4409" s="153"/>
      <c r="I4409" s="325">
        <v>18</v>
      </c>
      <c r="J4409" s="325">
        <v>30</v>
      </c>
      <c r="K4409" s="150">
        <v>1</v>
      </c>
      <c r="L4409" s="656">
        <v>9</v>
      </c>
      <c r="M4409" s="663">
        <v>34095</v>
      </c>
      <c r="N4409" s="600">
        <v>1.59684</v>
      </c>
      <c r="O4409" s="604">
        <v>5.7726E-2</v>
      </c>
      <c r="P4409" s="849"/>
      <c r="Q4409" s="849"/>
      <c r="R4409" s="849"/>
      <c r="S4409" s="849"/>
      <c r="T4409" s="849"/>
      <c r="U4409" s="849"/>
      <c r="V4409" s="488"/>
      <c r="W4409" s="489"/>
      <c r="X4409" s="488"/>
      <c r="Y4409" s="488"/>
      <c r="Z4409" s="152"/>
      <c r="AA4409" s="152"/>
      <c r="AB4409" s="152"/>
      <c r="AC4409" s="152"/>
      <c r="AD4409" s="223">
        <v>5.5471779999999997</v>
      </c>
      <c r="AE4409" s="223">
        <v>0.34746060000000001</v>
      </c>
      <c r="AF4409" s="223">
        <v>1.9229058000000001</v>
      </c>
      <c r="AG4409" s="223">
        <v>0.86255570000000004</v>
      </c>
      <c r="AH4409" s="341"/>
      <c r="AI4409" s="218"/>
      <c r="AJ4409" s="218"/>
      <c r="AK4409" s="153"/>
      <c r="AL4409" s="152"/>
      <c r="AM4409" s="152"/>
      <c r="AN4409" s="152"/>
      <c r="AO4409" s="152"/>
      <c r="AP4409" s="152"/>
      <c r="AQ4409" s="152"/>
      <c r="AR4409" s="152"/>
      <c r="AS4409" s="152"/>
      <c r="AT4409" s="152"/>
      <c r="AU4409" s="153"/>
      <c r="AV4409" s="479"/>
      <c r="AW4409" s="479"/>
      <c r="AX4409" s="442"/>
      <c r="AY4409" s="153"/>
      <c r="AZ4409" s="152"/>
      <c r="BA4409" s="152"/>
      <c r="BB4409" s="152"/>
      <c r="BC4409" s="152"/>
      <c r="BD4409" s="152"/>
      <c r="BE4409" s="152"/>
      <c r="BF4409" s="152"/>
      <c r="BG4409" s="152"/>
      <c r="BH4409" s="152"/>
      <c r="BI4409" s="153"/>
      <c r="BJ4409" s="153"/>
      <c r="BK4409" s="153"/>
      <c r="BL4409" s="153"/>
      <c r="BM4409" s="153"/>
      <c r="BN4409" s="153"/>
      <c r="BO4409" s="153"/>
      <c r="BP4409" s="153"/>
      <c r="BQ4409" s="153"/>
      <c r="BR4409" s="153"/>
      <c r="BS4409" s="153"/>
      <c r="BT4409" s="153"/>
      <c r="BU4409" s="153"/>
      <c r="BV4409" s="153"/>
      <c r="BW4409" s="153"/>
      <c r="BX4409" s="153"/>
      <c r="BY4409" s="153"/>
      <c r="BZ4409" s="153"/>
      <c r="CA4409" s="152"/>
      <c r="CB4409" s="152"/>
    </row>
    <row r="4410" spans="1:80" s="87" customFormat="1" ht="16.5" x14ac:dyDescent="0.3">
      <c r="A4410" s="152"/>
      <c r="B4410" s="683"/>
      <c r="C4410" s="683"/>
      <c r="D4410" s="698"/>
      <c r="E4410" s="215"/>
      <c r="F4410" s="215"/>
      <c r="G4410" s="153"/>
      <c r="H4410" s="153"/>
      <c r="I4410" s="325">
        <v>12</v>
      </c>
      <c r="J4410" s="325">
        <v>30</v>
      </c>
      <c r="K4410" s="150">
        <v>1</v>
      </c>
      <c r="L4410" s="656">
        <v>6</v>
      </c>
      <c r="M4410" s="663">
        <v>34096</v>
      </c>
      <c r="N4410" s="600">
        <v>1.6902699999999999</v>
      </c>
      <c r="O4410" s="604">
        <v>0.15848499999999999</v>
      </c>
      <c r="P4410" s="849"/>
      <c r="Q4410" s="849"/>
      <c r="R4410" s="849"/>
      <c r="S4410" s="849"/>
      <c r="T4410" s="849"/>
      <c r="U4410" s="849"/>
      <c r="V4410" s="488"/>
      <c r="W4410" s="489"/>
      <c r="X4410" s="488"/>
      <c r="Y4410" s="488"/>
      <c r="Z4410" s="152"/>
      <c r="AA4410" s="152"/>
      <c r="AB4410" s="152"/>
      <c r="AC4410" s="152"/>
      <c r="AD4410" s="223">
        <v>5.608136</v>
      </c>
      <c r="AE4410" s="223">
        <v>0.35355639999999999</v>
      </c>
      <c r="AF4410" s="223">
        <v>1.9879316</v>
      </c>
      <c r="AG4410" s="223">
        <v>0.82293300000000003</v>
      </c>
      <c r="AH4410" s="341"/>
      <c r="AI4410" s="218"/>
      <c r="AJ4410" s="218"/>
      <c r="AK4410" s="153"/>
      <c r="AL4410" s="152"/>
      <c r="AM4410" s="152"/>
      <c r="AN4410" s="152"/>
      <c r="AO4410" s="152"/>
      <c r="AP4410" s="152"/>
      <c r="AQ4410" s="152"/>
      <c r="AR4410" s="152"/>
      <c r="AS4410" s="152"/>
      <c r="AT4410" s="152"/>
      <c r="AU4410" s="153"/>
      <c r="AV4410" s="479"/>
      <c r="AW4410" s="479"/>
      <c r="AX4410" s="442"/>
      <c r="AY4410" s="153"/>
      <c r="AZ4410" s="152"/>
      <c r="BA4410" s="152"/>
      <c r="BB4410" s="152"/>
      <c r="BC4410" s="152"/>
      <c r="BD4410" s="152"/>
      <c r="BE4410" s="152"/>
      <c r="BF4410" s="152"/>
      <c r="BG4410" s="152"/>
      <c r="BH4410" s="152"/>
      <c r="BI4410" s="153"/>
      <c r="BJ4410" s="153"/>
      <c r="BK4410" s="153"/>
      <c r="BL4410" s="153"/>
      <c r="BM4410" s="153"/>
      <c r="BN4410" s="153"/>
      <c r="BO4410" s="153"/>
      <c r="BP4410" s="153"/>
      <c r="BQ4410" s="153"/>
      <c r="BR4410" s="153"/>
      <c r="BS4410" s="153"/>
      <c r="BT4410" s="153"/>
      <c r="BU4410" s="153"/>
      <c r="BV4410" s="153"/>
      <c r="BW4410" s="153"/>
      <c r="BX4410" s="153"/>
      <c r="BY4410" s="153"/>
      <c r="BZ4410" s="153"/>
      <c r="CA4410" s="152"/>
      <c r="CB4410" s="152"/>
    </row>
    <row r="4411" spans="1:80" s="87" customFormat="1" ht="16.5" x14ac:dyDescent="0.3">
      <c r="A4411" s="152"/>
      <c r="B4411" s="683"/>
      <c r="C4411" s="683"/>
      <c r="D4411" s="698"/>
      <c r="E4411" s="215"/>
      <c r="F4411" s="215"/>
      <c r="G4411" s="153"/>
      <c r="H4411" s="153"/>
      <c r="I4411" s="325">
        <v>12</v>
      </c>
      <c r="J4411" s="325">
        <v>30</v>
      </c>
      <c r="K4411" s="150">
        <v>1</v>
      </c>
      <c r="L4411" s="656">
        <v>6</v>
      </c>
      <c r="M4411" s="663">
        <v>34100</v>
      </c>
      <c r="N4411" s="600">
        <v>1.6591199999999999</v>
      </c>
      <c r="O4411" s="604">
        <v>0.11965099999999999</v>
      </c>
      <c r="P4411" s="849"/>
      <c r="Q4411" s="849"/>
      <c r="R4411" s="849"/>
      <c r="S4411" s="849"/>
      <c r="T4411" s="849"/>
      <c r="U4411" s="849"/>
      <c r="V4411" s="488"/>
      <c r="W4411" s="489"/>
      <c r="X4411" s="488"/>
      <c r="Y4411" s="488"/>
      <c r="Z4411" s="152"/>
      <c r="AA4411" s="152"/>
      <c r="AB4411" s="152"/>
      <c r="AC4411" s="152"/>
      <c r="AD4411" s="223">
        <v>5.608136</v>
      </c>
      <c r="AE4411" s="223">
        <v>0.34441270000000002</v>
      </c>
      <c r="AF4411" s="223">
        <v>1.9349820200000001</v>
      </c>
      <c r="AG4411" s="223">
        <v>0.82902880000000001</v>
      </c>
      <c r="AH4411" s="341"/>
      <c r="AI4411" s="218"/>
      <c r="AJ4411" s="218"/>
      <c r="AK4411" s="153"/>
      <c r="AL4411" s="152"/>
      <c r="AM4411" s="152"/>
      <c r="AN4411" s="152"/>
      <c r="AO4411" s="152"/>
      <c r="AP4411" s="152"/>
      <c r="AQ4411" s="152"/>
      <c r="AR4411" s="152"/>
      <c r="AS4411" s="152"/>
      <c r="AT4411" s="152"/>
      <c r="AU4411" s="153"/>
      <c r="AV4411" s="479"/>
      <c r="AW4411" s="479"/>
      <c r="AX4411" s="442"/>
      <c r="AY4411" s="153"/>
      <c r="AZ4411" s="152"/>
      <c r="BA4411" s="152"/>
      <c r="BB4411" s="152"/>
      <c r="BC4411" s="152"/>
      <c r="BD4411" s="152"/>
      <c r="BE4411" s="152"/>
      <c r="BF4411" s="152"/>
      <c r="BG4411" s="152"/>
      <c r="BH4411" s="152"/>
      <c r="BI4411" s="153"/>
      <c r="BJ4411" s="153"/>
      <c r="BK4411" s="153"/>
      <c r="BL4411" s="153"/>
      <c r="BM4411" s="153"/>
      <c r="BN4411" s="153"/>
      <c r="BO4411" s="153"/>
      <c r="BP4411" s="153"/>
      <c r="BQ4411" s="153"/>
      <c r="BR4411" s="153"/>
      <c r="BS4411" s="153"/>
      <c r="BT4411" s="153"/>
      <c r="BU4411" s="153"/>
      <c r="BV4411" s="153"/>
      <c r="BW4411" s="153"/>
      <c r="BX4411" s="153"/>
      <c r="BY4411" s="153"/>
      <c r="BZ4411" s="153"/>
      <c r="CA4411" s="152"/>
      <c r="CB4411" s="152"/>
    </row>
    <row r="4412" spans="1:80" s="87" customFormat="1" ht="16.5" x14ac:dyDescent="0.3">
      <c r="A4412" s="152"/>
      <c r="B4412" s="683"/>
      <c r="C4412" s="683"/>
      <c r="D4412" s="698"/>
      <c r="E4412" s="215"/>
      <c r="F4412" s="215"/>
      <c r="G4412" s="153"/>
      <c r="H4412" s="153"/>
      <c r="I4412" s="325">
        <v>10</v>
      </c>
      <c r="J4412" s="325">
        <v>60</v>
      </c>
      <c r="K4412" s="150">
        <v>1</v>
      </c>
      <c r="L4412" s="656">
        <v>10</v>
      </c>
      <c r="M4412" s="663">
        <v>34106</v>
      </c>
      <c r="N4412" s="600">
        <v>2.5424799999999999</v>
      </c>
      <c r="O4412" s="604">
        <v>9.0578000000000006E-2</v>
      </c>
      <c r="P4412" s="849"/>
      <c r="Q4412" s="849"/>
      <c r="R4412" s="849"/>
      <c r="S4412" s="849"/>
      <c r="T4412" s="849"/>
      <c r="U4412" s="849"/>
      <c r="V4412" s="488"/>
      <c r="W4412" s="489"/>
      <c r="X4412" s="488"/>
      <c r="Y4412" s="488"/>
      <c r="Z4412" s="152"/>
      <c r="AA4412" s="152"/>
      <c r="AB4412" s="152"/>
      <c r="AC4412" s="152"/>
      <c r="AD4412" s="223">
        <v>6.3091530000000002</v>
      </c>
      <c r="AE4412" s="223">
        <v>0.39013120000000001</v>
      </c>
      <c r="AF4412" s="223">
        <v>2.4524016</v>
      </c>
      <c r="AG4412" s="223">
        <v>1.0240944000000001</v>
      </c>
      <c r="AH4412" s="341"/>
      <c r="AI4412" s="218"/>
      <c r="AJ4412" s="218"/>
      <c r="AK4412" s="153"/>
      <c r="AL4412" s="152"/>
      <c r="AM4412" s="152"/>
      <c r="AN4412" s="152"/>
      <c r="AO4412" s="152"/>
      <c r="AP4412" s="152"/>
      <c r="AQ4412" s="152"/>
      <c r="AR4412" s="152"/>
      <c r="AS4412" s="152"/>
      <c r="AT4412" s="152"/>
      <c r="AU4412" s="153"/>
      <c r="AV4412" s="479"/>
      <c r="AW4412" s="479"/>
      <c r="AX4412" s="442"/>
      <c r="AY4412" s="153"/>
      <c r="AZ4412" s="152"/>
      <c r="BA4412" s="152"/>
      <c r="BB4412" s="152"/>
      <c r="BC4412" s="152"/>
      <c r="BD4412" s="152"/>
      <c r="BE4412" s="152"/>
      <c r="BF4412" s="152"/>
      <c r="BG4412" s="152"/>
      <c r="BH4412" s="152"/>
      <c r="BI4412" s="153"/>
      <c r="BJ4412" s="153"/>
      <c r="BK4412" s="153"/>
      <c r="BL4412" s="153"/>
      <c r="BM4412" s="153"/>
      <c r="BN4412" s="153"/>
      <c r="BO4412" s="153"/>
      <c r="BP4412" s="153"/>
      <c r="BQ4412" s="153"/>
      <c r="BR4412" s="153"/>
      <c r="BS4412" s="153"/>
      <c r="BT4412" s="153"/>
      <c r="BU4412" s="153"/>
      <c r="BV4412" s="153"/>
      <c r="BW4412" s="153"/>
      <c r="BX4412" s="153"/>
      <c r="BY4412" s="153"/>
      <c r="BZ4412" s="153"/>
      <c r="CA4412" s="152"/>
      <c r="CB4412" s="152"/>
    </row>
    <row r="4413" spans="1:80" s="87" customFormat="1" ht="16.5" x14ac:dyDescent="0.3">
      <c r="A4413" s="152"/>
      <c r="B4413" s="683"/>
      <c r="C4413" s="683"/>
      <c r="D4413" s="698"/>
      <c r="E4413" s="215"/>
      <c r="F4413" s="215"/>
      <c r="G4413" s="153"/>
      <c r="H4413" s="153"/>
      <c r="I4413" s="325">
        <v>18</v>
      </c>
      <c r="J4413" s="325">
        <v>60</v>
      </c>
      <c r="K4413" s="150">
        <v>1</v>
      </c>
      <c r="L4413" s="656">
        <v>18</v>
      </c>
      <c r="M4413" s="663">
        <v>34124</v>
      </c>
      <c r="N4413" s="600">
        <v>0.61721999999999999</v>
      </c>
      <c r="O4413" s="604">
        <v>1.8263000000000001E-2</v>
      </c>
      <c r="P4413" s="849"/>
      <c r="Q4413" s="849"/>
      <c r="R4413" s="849"/>
      <c r="S4413" s="849"/>
      <c r="T4413" s="849"/>
      <c r="U4413" s="849"/>
      <c r="V4413" s="488"/>
      <c r="W4413" s="489"/>
      <c r="X4413" s="488"/>
      <c r="Y4413" s="488"/>
      <c r="Z4413" s="152"/>
      <c r="AA4413" s="152"/>
      <c r="AB4413" s="152"/>
      <c r="AC4413" s="152"/>
      <c r="AD4413" s="223">
        <v>5.4862200000000003</v>
      </c>
      <c r="AE4413" s="223">
        <v>0.17982609999999999</v>
      </c>
      <c r="AF4413" s="223">
        <v>0.98096064000000005</v>
      </c>
      <c r="AG4413" s="223">
        <v>0.62786739999999996</v>
      </c>
      <c r="AH4413" s="341"/>
      <c r="AI4413" s="218"/>
      <c r="AJ4413" s="218"/>
      <c r="AK4413" s="153"/>
      <c r="AL4413" s="152"/>
      <c r="AM4413" s="152"/>
      <c r="AN4413" s="152"/>
      <c r="AO4413" s="152"/>
      <c r="AP4413" s="152"/>
      <c r="AQ4413" s="152"/>
      <c r="AR4413" s="152"/>
      <c r="AS4413" s="152"/>
      <c r="AT4413" s="152"/>
      <c r="AU4413" s="153"/>
      <c r="AV4413" s="479"/>
      <c r="AW4413" s="479"/>
      <c r="AX4413" s="442"/>
      <c r="AY4413" s="153"/>
      <c r="AZ4413" s="152"/>
      <c r="BA4413" s="152"/>
      <c r="BB4413" s="152"/>
      <c r="BC4413" s="152"/>
      <c r="BD4413" s="152"/>
      <c r="BE4413" s="152"/>
      <c r="BF4413" s="152"/>
      <c r="BG4413" s="152"/>
      <c r="BH4413" s="152"/>
      <c r="BI4413" s="153"/>
      <c r="BJ4413" s="153"/>
      <c r="BK4413" s="153"/>
      <c r="BL4413" s="153"/>
      <c r="BM4413" s="153"/>
      <c r="BN4413" s="153"/>
      <c r="BO4413" s="153"/>
      <c r="BP4413" s="153"/>
      <c r="BQ4413" s="153"/>
      <c r="BR4413" s="153"/>
      <c r="BS4413" s="153"/>
      <c r="BT4413" s="153"/>
      <c r="BU4413" s="153"/>
      <c r="BV4413" s="153"/>
      <c r="BW4413" s="153"/>
      <c r="BX4413" s="153"/>
      <c r="BY4413" s="153"/>
      <c r="BZ4413" s="153"/>
      <c r="CA4413" s="152"/>
      <c r="CB4413" s="152"/>
    </row>
    <row r="4414" spans="1:80" s="87" customFormat="1" ht="16.5" x14ac:dyDescent="0.3">
      <c r="A4414" s="152"/>
      <c r="B4414" s="683"/>
      <c r="C4414" s="683"/>
      <c r="D4414" s="698"/>
      <c r="E4414" s="215"/>
      <c r="F4414" s="215"/>
      <c r="G4414" s="153"/>
      <c r="H4414" s="153"/>
      <c r="I4414" s="325">
        <v>18</v>
      </c>
      <c r="J4414" s="325">
        <v>60</v>
      </c>
      <c r="K4414" s="150">
        <v>1</v>
      </c>
      <c r="L4414" s="656">
        <v>18</v>
      </c>
      <c r="M4414" s="663">
        <v>34127</v>
      </c>
      <c r="N4414" s="600">
        <v>1.47509</v>
      </c>
      <c r="O4414" s="604">
        <v>4.6915999999999999E-2</v>
      </c>
      <c r="P4414" s="849"/>
      <c r="Q4414" s="849"/>
      <c r="R4414" s="849"/>
      <c r="S4414" s="849"/>
      <c r="T4414" s="849"/>
      <c r="U4414" s="849"/>
      <c r="V4414" s="488"/>
      <c r="W4414" s="489"/>
      <c r="X4414" s="488"/>
      <c r="Y4414" s="488"/>
      <c r="Z4414" s="152"/>
      <c r="AA4414" s="152"/>
      <c r="AB4414" s="152"/>
      <c r="AC4414" s="152"/>
      <c r="AD4414" s="223">
        <v>5.6386149999999997</v>
      </c>
      <c r="AE4414" s="223">
        <v>0.32307740000000001</v>
      </c>
      <c r="AF4414" s="223">
        <v>1.8207224</v>
      </c>
      <c r="AG4414" s="223">
        <v>0.79854979999999998</v>
      </c>
      <c r="AH4414" s="341"/>
      <c r="AI4414" s="218"/>
      <c r="AJ4414" s="218"/>
      <c r="AK4414" s="153"/>
      <c r="AL4414" s="152"/>
      <c r="AM4414" s="152"/>
      <c r="AN4414" s="152"/>
      <c r="AO4414" s="152"/>
      <c r="AP4414" s="152"/>
      <c r="AQ4414" s="152"/>
      <c r="AR4414" s="152"/>
      <c r="AS4414" s="152"/>
      <c r="AT4414" s="152"/>
      <c r="AU4414" s="153"/>
      <c r="AV4414" s="479"/>
      <c r="AW4414" s="479"/>
      <c r="AX4414" s="442"/>
      <c r="AY4414" s="153"/>
      <c r="AZ4414" s="152"/>
      <c r="BA4414" s="152"/>
      <c r="BB4414" s="152"/>
      <c r="BC4414" s="152"/>
      <c r="BD4414" s="152"/>
      <c r="BE4414" s="152"/>
      <c r="BF4414" s="152"/>
      <c r="BG4414" s="152"/>
      <c r="BH4414" s="152"/>
      <c r="BI4414" s="153"/>
      <c r="BJ4414" s="153"/>
      <c r="BK4414" s="153"/>
      <c r="BL4414" s="153"/>
      <c r="BM4414" s="153"/>
      <c r="BN4414" s="153"/>
      <c r="BO4414" s="153"/>
      <c r="BP4414" s="153"/>
      <c r="BQ4414" s="153"/>
      <c r="BR4414" s="153"/>
      <c r="BS4414" s="153"/>
      <c r="BT4414" s="153"/>
      <c r="BU4414" s="153"/>
      <c r="BV4414" s="153"/>
      <c r="BW4414" s="153"/>
      <c r="BX4414" s="153"/>
      <c r="BY4414" s="153"/>
      <c r="BZ4414" s="153"/>
      <c r="CA4414" s="152"/>
      <c r="CB4414" s="152"/>
    </row>
    <row r="4415" spans="1:80" s="87" customFormat="1" ht="16.5" x14ac:dyDescent="0.3">
      <c r="A4415" s="152"/>
      <c r="B4415" s="683"/>
      <c r="C4415" s="683"/>
      <c r="D4415" s="698"/>
      <c r="E4415" s="215"/>
      <c r="F4415" s="215"/>
      <c r="G4415" s="153"/>
      <c r="H4415" s="153"/>
      <c r="I4415" s="325">
        <v>18</v>
      </c>
      <c r="J4415" s="325">
        <v>60</v>
      </c>
      <c r="K4415" s="150">
        <v>1</v>
      </c>
      <c r="L4415" s="656">
        <v>18</v>
      </c>
      <c r="M4415" s="663">
        <v>34134</v>
      </c>
      <c r="N4415" s="600">
        <v>1.56569</v>
      </c>
      <c r="O4415" s="604">
        <v>9.6349999999999995E-3</v>
      </c>
      <c r="P4415" s="849"/>
      <c r="Q4415" s="849"/>
      <c r="R4415" s="849"/>
      <c r="S4415" s="849"/>
      <c r="T4415" s="849"/>
      <c r="U4415" s="849"/>
      <c r="V4415" s="488"/>
      <c r="W4415" s="489"/>
      <c r="X4415" s="488"/>
      <c r="Y4415" s="488"/>
      <c r="Z4415" s="152"/>
      <c r="AA4415" s="152"/>
      <c r="AB4415" s="152"/>
      <c r="AC4415" s="152"/>
      <c r="AD4415" s="223">
        <v>5.6386149999999997</v>
      </c>
      <c r="AE4415" s="223">
        <v>0.3291732</v>
      </c>
      <c r="AF4415" s="223">
        <v>1.85788</v>
      </c>
      <c r="AG4415" s="223">
        <v>0.84731619999999996</v>
      </c>
      <c r="AH4415" s="341"/>
      <c r="AI4415" s="218"/>
      <c r="AJ4415" s="218"/>
      <c r="AK4415" s="153"/>
      <c r="AL4415" s="152"/>
      <c r="AM4415" s="152"/>
      <c r="AN4415" s="152"/>
      <c r="AO4415" s="152"/>
      <c r="AP4415" s="152"/>
      <c r="AQ4415" s="152"/>
      <c r="AR4415" s="152"/>
      <c r="AS4415" s="152"/>
      <c r="AT4415" s="152"/>
      <c r="AU4415" s="153"/>
      <c r="AV4415" s="479"/>
      <c r="AW4415" s="479"/>
      <c r="AX4415" s="442"/>
      <c r="AY4415" s="153"/>
      <c r="AZ4415" s="152"/>
      <c r="BA4415" s="152"/>
      <c r="BB4415" s="152"/>
      <c r="BC4415" s="152"/>
      <c r="BD4415" s="152"/>
      <c r="BE4415" s="152"/>
      <c r="BF4415" s="152"/>
      <c r="BG4415" s="152"/>
      <c r="BH4415" s="152"/>
      <c r="BI4415" s="153"/>
      <c r="BJ4415" s="153"/>
      <c r="BK4415" s="153"/>
      <c r="BL4415" s="153"/>
      <c r="BM4415" s="153"/>
      <c r="BN4415" s="153"/>
      <c r="BO4415" s="153"/>
      <c r="BP4415" s="153"/>
      <c r="BQ4415" s="153"/>
      <c r="BR4415" s="153"/>
      <c r="BS4415" s="153"/>
      <c r="BT4415" s="153"/>
      <c r="BU4415" s="153"/>
      <c r="BV4415" s="153"/>
      <c r="BW4415" s="153"/>
      <c r="BX4415" s="153"/>
      <c r="BY4415" s="153"/>
      <c r="BZ4415" s="153"/>
      <c r="CA4415" s="152"/>
      <c r="CB4415" s="152"/>
    </row>
    <row r="4416" spans="1:80" s="87" customFormat="1" ht="16.5" x14ac:dyDescent="0.3">
      <c r="A4416" s="152"/>
      <c r="B4416" s="683"/>
      <c r="C4416" s="683"/>
      <c r="D4416" s="698"/>
      <c r="E4416" s="215"/>
      <c r="F4416" s="215"/>
      <c r="G4416" s="153"/>
      <c r="H4416" s="153"/>
      <c r="I4416" s="325">
        <v>18</v>
      </c>
      <c r="J4416" s="325">
        <v>30</v>
      </c>
      <c r="K4416" s="150">
        <v>1</v>
      </c>
      <c r="L4416" s="656">
        <v>9</v>
      </c>
      <c r="M4416" s="663">
        <v>34136</v>
      </c>
      <c r="N4416" s="600">
        <v>2.5424799999999999</v>
      </c>
      <c r="O4416" s="604">
        <v>6.3919000000000004E-2</v>
      </c>
      <c r="P4416" s="849"/>
      <c r="Q4416" s="849"/>
      <c r="R4416" s="849"/>
      <c r="S4416" s="849"/>
      <c r="T4416" s="849"/>
      <c r="U4416" s="849"/>
      <c r="V4416" s="488"/>
      <c r="W4416" s="489"/>
      <c r="X4416" s="488"/>
      <c r="Y4416" s="488"/>
      <c r="Z4416" s="152"/>
      <c r="AA4416" s="152"/>
      <c r="AB4416" s="152"/>
      <c r="AC4416" s="152"/>
      <c r="AD4416" s="223"/>
      <c r="AE4416" s="223"/>
      <c r="AF4416" s="223"/>
      <c r="AG4416" s="223"/>
      <c r="AH4416" s="341"/>
      <c r="AI4416" s="218"/>
      <c r="AJ4416" s="218"/>
      <c r="AK4416" s="153"/>
      <c r="AL4416" s="152"/>
      <c r="AM4416" s="152"/>
      <c r="AN4416" s="152"/>
      <c r="AO4416" s="152"/>
      <c r="AP4416" s="152"/>
      <c r="AQ4416" s="152"/>
      <c r="AR4416" s="152"/>
      <c r="AS4416" s="152"/>
      <c r="AT4416" s="152"/>
      <c r="AU4416" s="153"/>
      <c r="AV4416" s="479"/>
      <c r="AW4416" s="479"/>
      <c r="AX4416" s="442"/>
      <c r="AY4416" s="153"/>
      <c r="AZ4416" s="152"/>
      <c r="BA4416" s="152"/>
      <c r="BB4416" s="152"/>
      <c r="BC4416" s="152"/>
      <c r="BD4416" s="152"/>
      <c r="BE4416" s="152"/>
      <c r="BF4416" s="152"/>
      <c r="BG4416" s="152"/>
      <c r="BH4416" s="152"/>
      <c r="BI4416" s="153"/>
      <c r="BJ4416" s="153"/>
      <c r="BK4416" s="153"/>
      <c r="BL4416" s="153"/>
      <c r="BM4416" s="153"/>
      <c r="BN4416" s="153"/>
      <c r="BO4416" s="153"/>
      <c r="BP4416" s="153"/>
      <c r="BQ4416" s="153"/>
      <c r="BR4416" s="153"/>
      <c r="BS4416" s="153"/>
      <c r="BT4416" s="153"/>
      <c r="BU4416" s="153"/>
      <c r="BV4416" s="153"/>
      <c r="BW4416" s="153"/>
      <c r="BX4416" s="153"/>
      <c r="BY4416" s="153"/>
      <c r="BZ4416" s="153"/>
      <c r="CA4416" s="152"/>
      <c r="CB4416" s="152"/>
    </row>
    <row r="4417" spans="1:80" s="87" customFormat="1" ht="16.5" x14ac:dyDescent="0.3">
      <c r="A4417" s="152"/>
      <c r="B4417" s="683"/>
      <c r="C4417" s="683"/>
      <c r="D4417" s="698"/>
      <c r="E4417" s="215"/>
      <c r="F4417" s="215"/>
      <c r="G4417" s="153"/>
      <c r="H4417" s="153"/>
      <c r="I4417" s="325">
        <v>17</v>
      </c>
      <c r="J4417" s="325">
        <v>30</v>
      </c>
      <c r="K4417" s="150">
        <v>1</v>
      </c>
      <c r="L4417" s="656">
        <v>8.5</v>
      </c>
      <c r="M4417" s="663">
        <v>34148</v>
      </c>
      <c r="N4417" s="600">
        <v>0.63419999999999999</v>
      </c>
      <c r="O4417" s="604">
        <v>1.3958999999999999E-2</v>
      </c>
      <c r="P4417" s="849"/>
      <c r="Q4417" s="849"/>
      <c r="R4417" s="849"/>
      <c r="S4417" s="849"/>
      <c r="T4417" s="849"/>
      <c r="U4417" s="849"/>
      <c r="V4417" s="488"/>
      <c r="W4417" s="489"/>
      <c r="X4417" s="488"/>
      <c r="Y4417" s="488"/>
      <c r="Z4417" s="152"/>
      <c r="AA4417" s="152"/>
      <c r="AB4417" s="152"/>
      <c r="AC4417" s="152"/>
      <c r="AD4417" s="223">
        <v>5.5471779999999997</v>
      </c>
      <c r="AE4417" s="223">
        <v>0.1981135</v>
      </c>
      <c r="AF4417" s="223">
        <v>1.0961491999999999</v>
      </c>
      <c r="AG4417" s="223">
        <v>0.58519679999999996</v>
      </c>
      <c r="AH4417" s="341"/>
      <c r="AI4417" s="218"/>
      <c r="AJ4417" s="218"/>
      <c r="AK4417" s="153"/>
      <c r="AL4417" s="152"/>
      <c r="AM4417" s="152"/>
      <c r="AN4417" s="152"/>
      <c r="AO4417" s="152"/>
      <c r="AP4417" s="152"/>
      <c r="AQ4417" s="152"/>
      <c r="AR4417" s="152"/>
      <c r="AS4417" s="152"/>
      <c r="AT4417" s="152"/>
      <c r="AU4417" s="153"/>
      <c r="AV4417" s="479"/>
      <c r="AW4417" s="479"/>
      <c r="AX4417" s="442"/>
      <c r="AY4417" s="153"/>
      <c r="AZ4417" s="152"/>
      <c r="BA4417" s="152"/>
      <c r="BB4417" s="152"/>
      <c r="BC4417" s="152"/>
      <c r="BD4417" s="152"/>
      <c r="BE4417" s="152"/>
      <c r="BF4417" s="152"/>
      <c r="BG4417" s="152"/>
      <c r="BH4417" s="152"/>
      <c r="BI4417" s="153"/>
      <c r="BJ4417" s="153"/>
      <c r="BK4417" s="153"/>
      <c r="BL4417" s="153"/>
      <c r="BM4417" s="153"/>
      <c r="BN4417" s="153"/>
      <c r="BO4417" s="153"/>
      <c r="BP4417" s="153"/>
      <c r="BQ4417" s="153"/>
      <c r="BR4417" s="153"/>
      <c r="BS4417" s="153"/>
      <c r="BT4417" s="153"/>
      <c r="BU4417" s="153"/>
      <c r="BV4417" s="153"/>
      <c r="BW4417" s="153"/>
      <c r="BX4417" s="153"/>
      <c r="BY4417" s="153"/>
      <c r="BZ4417" s="153"/>
      <c r="CA4417" s="152"/>
      <c r="CB4417" s="152"/>
    </row>
    <row r="4418" spans="1:80" s="87" customFormat="1" ht="16.5" x14ac:dyDescent="0.3">
      <c r="A4418" s="152"/>
      <c r="B4418" s="683"/>
      <c r="C4418" s="683"/>
      <c r="D4418" s="698"/>
      <c r="E4418" s="215"/>
      <c r="F4418" s="215"/>
      <c r="G4418" s="153"/>
      <c r="H4418" s="153"/>
      <c r="I4418" s="325">
        <v>17</v>
      </c>
      <c r="J4418" s="325">
        <v>30</v>
      </c>
      <c r="K4418" s="150">
        <v>1</v>
      </c>
      <c r="L4418" s="656">
        <v>8.5</v>
      </c>
      <c r="M4418" s="663">
        <v>34162</v>
      </c>
      <c r="N4418" s="600">
        <v>0.41903000000000001</v>
      </c>
      <c r="O4418" s="604">
        <v>1.3849999999999999E-3</v>
      </c>
      <c r="P4418" s="849"/>
      <c r="Q4418" s="849"/>
      <c r="R4418" s="849"/>
      <c r="S4418" s="849"/>
      <c r="T4418" s="849"/>
      <c r="U4418" s="849"/>
      <c r="V4418" s="488"/>
      <c r="W4418" s="489"/>
      <c r="X4418" s="488"/>
      <c r="Y4418" s="488"/>
      <c r="Z4418" s="152"/>
      <c r="AA4418" s="152"/>
      <c r="AB4418" s="152"/>
      <c r="AC4418" s="152"/>
      <c r="AD4418" s="223">
        <v>5.3947830000000003</v>
      </c>
      <c r="AE4418" s="223">
        <v>0.1645866</v>
      </c>
      <c r="AF4418" s="223">
        <v>0.89178239999999998</v>
      </c>
      <c r="AG4418" s="223">
        <v>0.46937659999999998</v>
      </c>
      <c r="AH4418" s="341"/>
      <c r="AI4418" s="218"/>
      <c r="AJ4418" s="218"/>
      <c r="AK4418" s="153"/>
      <c r="AL4418" s="152"/>
      <c r="AM4418" s="152"/>
      <c r="AN4418" s="152"/>
      <c r="AO4418" s="152"/>
      <c r="AP4418" s="152"/>
      <c r="AQ4418" s="152"/>
      <c r="AR4418" s="152"/>
      <c r="AS4418" s="152"/>
      <c r="AT4418" s="152"/>
      <c r="AU4418" s="153"/>
      <c r="AV4418" s="479"/>
      <c r="AW4418" s="479"/>
      <c r="AX4418" s="442"/>
      <c r="AY4418" s="153"/>
      <c r="AZ4418" s="152"/>
      <c r="BA4418" s="152"/>
      <c r="BB4418" s="152"/>
      <c r="BC4418" s="152"/>
      <c r="BD4418" s="152"/>
      <c r="BE4418" s="152"/>
      <c r="BF4418" s="152"/>
      <c r="BG4418" s="152"/>
      <c r="BH4418" s="152"/>
      <c r="BI4418" s="153"/>
      <c r="BJ4418" s="153"/>
      <c r="BK4418" s="153"/>
      <c r="BL4418" s="153"/>
      <c r="BM4418" s="153"/>
      <c r="BN4418" s="153"/>
      <c r="BO4418" s="153"/>
      <c r="BP4418" s="153"/>
      <c r="BQ4418" s="153"/>
      <c r="BR4418" s="153"/>
      <c r="BS4418" s="153"/>
      <c r="BT4418" s="153"/>
      <c r="BU4418" s="153"/>
      <c r="BV4418" s="153"/>
      <c r="BW4418" s="153"/>
      <c r="BX4418" s="153"/>
      <c r="BY4418" s="153"/>
      <c r="BZ4418" s="153"/>
      <c r="CA4418" s="152"/>
      <c r="CB4418" s="152"/>
    </row>
    <row r="4419" spans="1:80" s="87" customFormat="1" ht="16.5" x14ac:dyDescent="0.3">
      <c r="A4419" s="152"/>
      <c r="B4419" s="683"/>
      <c r="C4419" s="683"/>
      <c r="D4419" s="698"/>
      <c r="E4419" s="215"/>
      <c r="F4419" s="215"/>
      <c r="G4419" s="153"/>
      <c r="H4419" s="153"/>
      <c r="I4419" s="325">
        <v>14</v>
      </c>
      <c r="J4419" s="325">
        <v>30</v>
      </c>
      <c r="K4419" s="150">
        <v>1</v>
      </c>
      <c r="L4419" s="656">
        <v>7</v>
      </c>
      <c r="M4419" s="663">
        <v>34205</v>
      </c>
      <c r="N4419" s="600">
        <v>0.11466999999999999</v>
      </c>
      <c r="O4419" s="604">
        <v>1.333E-3</v>
      </c>
      <c r="P4419" s="849"/>
      <c r="Q4419" s="849"/>
      <c r="R4419" s="849"/>
      <c r="S4419" s="849"/>
      <c r="T4419" s="849"/>
      <c r="U4419" s="849"/>
      <c r="V4419" s="488"/>
      <c r="W4419" s="489"/>
      <c r="X4419" s="488"/>
      <c r="Y4419" s="488"/>
      <c r="Z4419" s="152"/>
      <c r="AA4419" s="152"/>
      <c r="AB4419" s="152"/>
      <c r="AC4419" s="152"/>
      <c r="AD4419" s="223">
        <v>4.7242449999999998</v>
      </c>
      <c r="AE4419" s="223">
        <v>0.1036286</v>
      </c>
      <c r="AF4419" s="223">
        <v>0.49326713999999999</v>
      </c>
      <c r="AG4419" s="223">
        <v>0.2407841</v>
      </c>
      <c r="AH4419" s="341"/>
      <c r="AI4419" s="218"/>
      <c r="AJ4419" s="218"/>
      <c r="AK4419" s="153"/>
      <c r="AL4419" s="152"/>
      <c r="AM4419" s="152"/>
      <c r="AN4419" s="152"/>
      <c r="AO4419" s="152"/>
      <c r="AP4419" s="152"/>
      <c r="AQ4419" s="152"/>
      <c r="AR4419" s="152"/>
      <c r="AS4419" s="152"/>
      <c r="AT4419" s="152"/>
      <c r="AU4419" s="153"/>
      <c r="AV4419" s="479"/>
      <c r="AW4419" s="479"/>
      <c r="AX4419" s="442"/>
      <c r="AY4419" s="153"/>
      <c r="AZ4419" s="152"/>
      <c r="BA4419" s="152"/>
      <c r="BB4419" s="152"/>
      <c r="BC4419" s="152"/>
      <c r="BD4419" s="152"/>
      <c r="BE4419" s="152"/>
      <c r="BF4419" s="152"/>
      <c r="BG4419" s="152"/>
      <c r="BH4419" s="152"/>
      <c r="BI4419" s="153"/>
      <c r="BJ4419" s="153"/>
      <c r="BK4419" s="153"/>
      <c r="BL4419" s="153"/>
      <c r="BM4419" s="153"/>
      <c r="BN4419" s="153"/>
      <c r="BO4419" s="153"/>
      <c r="BP4419" s="153"/>
      <c r="BQ4419" s="153"/>
      <c r="BR4419" s="153"/>
      <c r="BS4419" s="153"/>
      <c r="BT4419" s="153"/>
      <c r="BU4419" s="153"/>
      <c r="BV4419" s="153"/>
      <c r="BW4419" s="153"/>
      <c r="BX4419" s="153"/>
      <c r="BY4419" s="153"/>
      <c r="BZ4419" s="153"/>
      <c r="CA4419" s="152"/>
      <c r="CB4419" s="152"/>
    </row>
    <row r="4420" spans="1:80" s="87" customFormat="1" ht="15" x14ac:dyDescent="0.25">
      <c r="A4420" s="152"/>
      <c r="B4420" s="683"/>
      <c r="C4420" s="683"/>
      <c r="D4420" s="698"/>
      <c r="E4420" s="215"/>
      <c r="F4420" s="215"/>
      <c r="G4420" s="153"/>
      <c r="H4420" s="153"/>
      <c r="I4420" s="326">
        <v>15</v>
      </c>
      <c r="J4420" s="326">
        <v>60</v>
      </c>
      <c r="K4420" s="150">
        <v>1</v>
      </c>
      <c r="L4420" s="656">
        <v>15</v>
      </c>
      <c r="M4420" s="663">
        <v>34431</v>
      </c>
      <c r="N4420" s="600">
        <v>0.19253000000000001</v>
      </c>
      <c r="O4420" s="604">
        <v>1.8370000000000001E-3</v>
      </c>
      <c r="P4420" s="250"/>
      <c r="Q4420" s="250"/>
      <c r="R4420" s="250"/>
      <c r="S4420" s="250">
        <v>3.4799999999999998E-2</v>
      </c>
      <c r="T4420" s="250">
        <v>2.7400000000000001E-2</v>
      </c>
      <c r="U4420" s="250">
        <v>0.15279999999999999</v>
      </c>
      <c r="V4420" s="250">
        <v>0.26624857468643098</v>
      </c>
      <c r="W4420" s="250">
        <v>0.35347776510832385</v>
      </c>
      <c r="X4420" s="250">
        <v>0.15678449258836943</v>
      </c>
      <c r="Y4420" s="250">
        <v>8.5518814139110607E-3</v>
      </c>
      <c r="Z4420" s="150"/>
      <c r="AA4420" s="150">
        <v>0.97</v>
      </c>
      <c r="AB4420" s="152"/>
      <c r="AC4420" s="152"/>
      <c r="AD4420" s="223">
        <v>4.7242449999999998</v>
      </c>
      <c r="AE4420" s="223">
        <v>0.1310597</v>
      </c>
      <c r="AF4420" s="223">
        <v>0.61310039999999999</v>
      </c>
      <c r="AG4420" s="223">
        <v>0.31698159999999997</v>
      </c>
      <c r="AH4420" s="341"/>
      <c r="AI4420" s="218"/>
      <c r="AJ4420" s="218"/>
      <c r="AK4420" s="153"/>
      <c r="AL4420" s="152"/>
      <c r="AM4420" s="152"/>
      <c r="AN4420" s="152"/>
      <c r="AO4420" s="152"/>
      <c r="AP4420" s="152"/>
      <c r="AQ4420" s="152"/>
      <c r="AR4420" s="152"/>
      <c r="AS4420" s="152"/>
      <c r="AT4420" s="152"/>
      <c r="AU4420" s="153"/>
      <c r="AV4420" s="479"/>
      <c r="AW4420" s="479"/>
      <c r="AX4420" s="442"/>
      <c r="AY4420" s="153"/>
      <c r="AZ4420" s="152"/>
      <c r="BA4420" s="152"/>
      <c r="BB4420" s="152"/>
      <c r="BC4420" s="152"/>
      <c r="BD4420" s="152"/>
      <c r="BE4420" s="152"/>
      <c r="BF4420" s="152"/>
      <c r="BG4420" s="152"/>
      <c r="BH4420" s="152"/>
      <c r="BI4420" s="153"/>
      <c r="BJ4420" s="153"/>
      <c r="BK4420" s="153"/>
      <c r="BL4420" s="153"/>
      <c r="BM4420" s="153"/>
      <c r="BN4420" s="153"/>
      <c r="BO4420" s="153"/>
      <c r="BP4420" s="153"/>
      <c r="BQ4420" s="153"/>
      <c r="BR4420" s="153"/>
      <c r="BS4420" s="153"/>
      <c r="BT4420" s="153"/>
      <c r="BU4420" s="153"/>
      <c r="BV4420" s="153"/>
      <c r="BW4420" s="153"/>
      <c r="BX4420" s="153"/>
      <c r="BY4420" s="153"/>
      <c r="BZ4420" s="153"/>
      <c r="CA4420" s="152"/>
      <c r="CB4420" s="152"/>
    </row>
    <row r="4421" spans="1:80" s="87" customFormat="1" ht="15" x14ac:dyDescent="0.25">
      <c r="A4421" s="152"/>
      <c r="B4421" s="683"/>
      <c r="C4421" s="683"/>
      <c r="D4421" s="698"/>
      <c r="E4421" s="215"/>
      <c r="F4421" s="215"/>
      <c r="G4421" s="153"/>
      <c r="H4421" s="153"/>
      <c r="I4421" s="326">
        <v>15</v>
      </c>
      <c r="J4421" s="326">
        <v>60</v>
      </c>
      <c r="K4421" s="150">
        <v>1</v>
      </c>
      <c r="L4421" s="656">
        <v>15</v>
      </c>
      <c r="M4421" s="663">
        <v>34431</v>
      </c>
      <c r="N4421" s="600">
        <v>0.19253000000000001</v>
      </c>
      <c r="O4421" s="604">
        <v>8.4400000000000002E-4</v>
      </c>
      <c r="P4421" s="250"/>
      <c r="Q4421" s="250"/>
      <c r="R4421" s="250"/>
      <c r="S4421" s="250"/>
      <c r="T4421" s="250">
        <v>1.7399999999999999E-2</v>
      </c>
      <c r="U4421" s="250">
        <v>2.9900000000000003E-2</v>
      </c>
      <c r="V4421" s="250">
        <v>0.11332503113325032</v>
      </c>
      <c r="W4421" s="250">
        <v>0.32752179327521797</v>
      </c>
      <c r="X4421" s="250">
        <v>0.47945205479452058</v>
      </c>
      <c r="Y4421" s="250">
        <v>3.2378580323785801E-2</v>
      </c>
      <c r="Z4421" s="150"/>
      <c r="AA4421" s="150">
        <v>0.49</v>
      </c>
      <c r="AB4421" s="152"/>
      <c r="AC4421" s="152"/>
      <c r="AD4421" s="223">
        <v>4.7242449999999998</v>
      </c>
      <c r="AE4421" s="223">
        <v>0.1310597</v>
      </c>
      <c r="AF4421" s="223">
        <v>0.61310039999999999</v>
      </c>
      <c r="AG4421" s="223">
        <v>0.31698159999999997</v>
      </c>
      <c r="AH4421" s="341"/>
      <c r="AI4421" s="218"/>
      <c r="AJ4421" s="218"/>
      <c r="AK4421" s="153"/>
      <c r="AL4421" s="152"/>
      <c r="AM4421" s="152"/>
      <c r="AN4421" s="152"/>
      <c r="AO4421" s="152"/>
      <c r="AP4421" s="152"/>
      <c r="AQ4421" s="152"/>
      <c r="AR4421" s="152"/>
      <c r="AS4421" s="152"/>
      <c r="AT4421" s="152"/>
      <c r="AU4421" s="153"/>
      <c r="AV4421" s="479"/>
      <c r="AW4421" s="479"/>
      <c r="AX4421" s="442"/>
      <c r="AY4421" s="153"/>
      <c r="AZ4421" s="152"/>
      <c r="BA4421" s="152"/>
      <c r="BB4421" s="152"/>
      <c r="BC4421" s="152"/>
      <c r="BD4421" s="152"/>
      <c r="BE4421" s="152"/>
      <c r="BF4421" s="152"/>
      <c r="BG4421" s="152"/>
      <c r="BH4421" s="152"/>
      <c r="BI4421" s="153"/>
      <c r="BJ4421" s="153"/>
      <c r="BK4421" s="153"/>
      <c r="BL4421" s="153"/>
      <c r="BM4421" s="153"/>
      <c r="BN4421" s="153"/>
      <c r="BO4421" s="153"/>
      <c r="BP4421" s="153"/>
      <c r="BQ4421" s="153"/>
      <c r="BR4421" s="153"/>
      <c r="BS4421" s="153"/>
      <c r="BT4421" s="153"/>
      <c r="BU4421" s="153"/>
      <c r="BV4421" s="153"/>
      <c r="BW4421" s="153"/>
      <c r="BX4421" s="153"/>
      <c r="BY4421" s="153"/>
      <c r="BZ4421" s="153"/>
      <c r="CA4421" s="152"/>
      <c r="CB4421" s="152"/>
    </row>
    <row r="4422" spans="1:80" s="87" customFormat="1" ht="15" x14ac:dyDescent="0.25">
      <c r="A4422" s="152"/>
      <c r="B4422" s="683"/>
      <c r="C4422" s="683"/>
      <c r="D4422" s="698"/>
      <c r="E4422" s="215"/>
      <c r="F4422" s="215"/>
      <c r="G4422" s="153"/>
      <c r="H4422" s="153"/>
      <c r="I4422" s="326">
        <v>15</v>
      </c>
      <c r="J4422" s="326">
        <v>60</v>
      </c>
      <c r="K4422" s="150">
        <v>1</v>
      </c>
      <c r="L4422" s="656">
        <v>15</v>
      </c>
      <c r="M4422" s="663">
        <v>34431</v>
      </c>
      <c r="N4422" s="600">
        <v>0.19253000000000001</v>
      </c>
      <c r="O4422" s="604">
        <v>3.1700000000000001E-3</v>
      </c>
      <c r="P4422" s="250"/>
      <c r="Q4422" s="250"/>
      <c r="R4422" s="250"/>
      <c r="S4422" s="250"/>
      <c r="T4422" s="250">
        <v>0.14330000000000001</v>
      </c>
      <c r="U4422" s="250">
        <v>0.17910000000000001</v>
      </c>
      <c r="V4422" s="250">
        <v>0.23369745117510754</v>
      </c>
      <c r="W4422" s="250">
        <v>0.31744455478318434</v>
      </c>
      <c r="X4422" s="250">
        <v>0.12048990400529626</v>
      </c>
      <c r="Y4422" s="250">
        <v>5.9582919563058593E-3</v>
      </c>
      <c r="Z4422" s="150"/>
      <c r="AA4422" s="150">
        <v>1.18</v>
      </c>
      <c r="AB4422" s="152"/>
      <c r="AC4422" s="152"/>
      <c r="AD4422" s="223">
        <v>4.7242449999999998</v>
      </c>
      <c r="AE4422" s="223">
        <v>0.1310597</v>
      </c>
      <c r="AF4422" s="223">
        <v>0.61310039999999999</v>
      </c>
      <c r="AG4422" s="223">
        <v>0.31698159999999997</v>
      </c>
      <c r="AH4422" s="341"/>
      <c r="AI4422" s="218"/>
      <c r="AJ4422" s="218"/>
      <c r="AK4422" s="153"/>
      <c r="AL4422" s="152"/>
      <c r="AM4422" s="152"/>
      <c r="AN4422" s="152"/>
      <c r="AO4422" s="152"/>
      <c r="AP4422" s="152"/>
      <c r="AQ4422" s="152"/>
      <c r="AR4422" s="152"/>
      <c r="AS4422" s="152"/>
      <c r="AT4422" s="152"/>
      <c r="AU4422" s="153"/>
      <c r="AV4422" s="479"/>
      <c r="AW4422" s="479"/>
      <c r="AX4422" s="442"/>
      <c r="AY4422" s="153"/>
      <c r="AZ4422" s="152"/>
      <c r="BA4422" s="152"/>
      <c r="BB4422" s="152"/>
      <c r="BC4422" s="152"/>
      <c r="BD4422" s="152"/>
      <c r="BE4422" s="152"/>
      <c r="BF4422" s="152"/>
      <c r="BG4422" s="152"/>
      <c r="BH4422" s="152"/>
      <c r="BI4422" s="153"/>
      <c r="BJ4422" s="153"/>
      <c r="BK4422" s="153"/>
      <c r="BL4422" s="153"/>
      <c r="BM4422" s="153"/>
      <c r="BN4422" s="153"/>
      <c r="BO4422" s="153"/>
      <c r="BP4422" s="153"/>
      <c r="BQ4422" s="153"/>
      <c r="BR4422" s="153"/>
      <c r="BS4422" s="153"/>
      <c r="BT4422" s="153"/>
      <c r="BU4422" s="153"/>
      <c r="BV4422" s="153"/>
      <c r="BW4422" s="153"/>
      <c r="BX4422" s="153"/>
      <c r="BY4422" s="153"/>
      <c r="BZ4422" s="153"/>
      <c r="CA4422" s="152"/>
      <c r="CB4422" s="152"/>
    </row>
    <row r="4423" spans="1:80" s="87" customFormat="1" ht="15" x14ac:dyDescent="0.25">
      <c r="A4423" s="152"/>
      <c r="B4423" s="683"/>
      <c r="C4423" s="683"/>
      <c r="D4423" s="698"/>
      <c r="E4423" s="215"/>
      <c r="F4423" s="215"/>
      <c r="G4423" s="153"/>
      <c r="H4423" s="153"/>
      <c r="I4423" s="326">
        <v>17</v>
      </c>
      <c r="J4423" s="326">
        <v>60</v>
      </c>
      <c r="K4423" s="150">
        <v>1</v>
      </c>
      <c r="L4423" s="656">
        <v>17</v>
      </c>
      <c r="M4423" s="663">
        <v>34437</v>
      </c>
      <c r="N4423" s="600">
        <v>0.22877</v>
      </c>
      <c r="O4423" s="604">
        <v>8.3859999999999994E-3</v>
      </c>
      <c r="P4423" s="250"/>
      <c r="Q4423" s="250"/>
      <c r="R4423" s="250"/>
      <c r="S4423" s="250">
        <v>5.6000000000000008E-3</v>
      </c>
      <c r="T4423" s="250">
        <v>1.7500000000000002E-2</v>
      </c>
      <c r="U4423" s="250">
        <v>0.1103</v>
      </c>
      <c r="V4423" s="250">
        <v>0.36930395593390086</v>
      </c>
      <c r="W4423" s="250">
        <v>0.37643965948923386</v>
      </c>
      <c r="X4423" s="250">
        <v>0.11730095142714073</v>
      </c>
      <c r="Y4423" s="250">
        <v>3.5052578868302454E-3</v>
      </c>
      <c r="Z4423" s="150"/>
      <c r="AA4423" s="150">
        <v>1.01</v>
      </c>
      <c r="AB4423" s="152"/>
      <c r="AC4423" s="152"/>
      <c r="AD4423" s="223">
        <v>5.0595140000000001</v>
      </c>
      <c r="AE4423" s="223">
        <v>0.14020340000000001</v>
      </c>
      <c r="AF4423" s="223">
        <v>0.71063909999999997</v>
      </c>
      <c r="AG4423" s="223">
        <v>0.3291732</v>
      </c>
      <c r="AH4423" s="341"/>
      <c r="AI4423" s="218"/>
      <c r="AJ4423" s="218"/>
      <c r="AK4423" s="153"/>
      <c r="AL4423" s="152"/>
      <c r="AM4423" s="152"/>
      <c r="AN4423" s="152"/>
      <c r="AO4423" s="152"/>
      <c r="AP4423" s="152"/>
      <c r="AQ4423" s="152"/>
      <c r="AR4423" s="152"/>
      <c r="AS4423" s="152"/>
      <c r="AT4423" s="152"/>
      <c r="AU4423" s="153"/>
      <c r="AV4423" s="479"/>
      <c r="AW4423" s="479"/>
      <c r="AX4423" s="442"/>
      <c r="AY4423" s="153"/>
      <c r="AZ4423" s="152"/>
      <c r="BA4423" s="152"/>
      <c r="BB4423" s="152"/>
      <c r="BC4423" s="152"/>
      <c r="BD4423" s="152"/>
      <c r="BE4423" s="152"/>
      <c r="BF4423" s="152"/>
      <c r="BG4423" s="152"/>
      <c r="BH4423" s="152"/>
      <c r="BI4423" s="153"/>
      <c r="BJ4423" s="153"/>
      <c r="BK4423" s="153"/>
      <c r="BL4423" s="153"/>
      <c r="BM4423" s="153"/>
      <c r="BN4423" s="153"/>
      <c r="BO4423" s="153"/>
      <c r="BP4423" s="153"/>
      <c r="BQ4423" s="153"/>
      <c r="BR4423" s="153"/>
      <c r="BS4423" s="153"/>
      <c r="BT4423" s="153"/>
      <c r="BU4423" s="153"/>
      <c r="BV4423" s="153"/>
      <c r="BW4423" s="153"/>
      <c r="BX4423" s="153"/>
      <c r="BY4423" s="153"/>
      <c r="BZ4423" s="153"/>
      <c r="CA4423" s="152"/>
      <c r="CB4423" s="152"/>
    </row>
    <row r="4424" spans="1:80" s="87" customFormat="1" ht="15" x14ac:dyDescent="0.25">
      <c r="A4424" s="152"/>
      <c r="B4424" s="683"/>
      <c r="C4424" s="683"/>
      <c r="D4424" s="698"/>
      <c r="E4424" s="215"/>
      <c r="F4424" s="215"/>
      <c r="G4424" s="153"/>
      <c r="H4424" s="153"/>
      <c r="I4424" s="326">
        <v>17</v>
      </c>
      <c r="J4424" s="326">
        <v>60</v>
      </c>
      <c r="K4424" s="150">
        <v>1</v>
      </c>
      <c r="L4424" s="656">
        <v>17</v>
      </c>
      <c r="M4424" s="663">
        <v>34437</v>
      </c>
      <c r="N4424" s="600">
        <v>0.22877</v>
      </c>
      <c r="O4424" s="604">
        <v>1.7420000000000001E-3</v>
      </c>
      <c r="P4424" s="250"/>
      <c r="Q4424" s="250"/>
      <c r="R4424" s="250"/>
      <c r="S4424" s="250"/>
      <c r="T4424" s="250">
        <v>2.2799999999999997E-2</v>
      </c>
      <c r="U4424" s="250">
        <v>0.12380000000000001</v>
      </c>
      <c r="V4424" s="250">
        <v>0.33894230769230765</v>
      </c>
      <c r="W4424" s="250">
        <v>0.40745192307692307</v>
      </c>
      <c r="X4424" s="250">
        <v>0.1015625</v>
      </c>
      <c r="Y4424" s="250">
        <v>5.4086538461538443E-3</v>
      </c>
      <c r="Z4424" s="150"/>
      <c r="AA4424" s="150">
        <v>0.98</v>
      </c>
      <c r="AB4424" s="152"/>
      <c r="AC4424" s="152"/>
      <c r="AD4424" s="223">
        <v>5.0595140000000001</v>
      </c>
      <c r="AE4424" s="223">
        <v>0.14020340000000001</v>
      </c>
      <c r="AF4424" s="223">
        <v>0.71063909999999997</v>
      </c>
      <c r="AG4424" s="223">
        <v>0.3291732</v>
      </c>
      <c r="AH4424" s="341"/>
      <c r="AI4424" s="218"/>
      <c r="AJ4424" s="218"/>
      <c r="AK4424" s="153"/>
      <c r="AL4424" s="152"/>
      <c r="AM4424" s="152"/>
      <c r="AN4424" s="152"/>
      <c r="AO4424" s="152"/>
      <c r="AP4424" s="152"/>
      <c r="AQ4424" s="152"/>
      <c r="AR4424" s="152"/>
      <c r="AS4424" s="152"/>
      <c r="AT4424" s="152"/>
      <c r="AU4424" s="153"/>
      <c r="AV4424" s="479"/>
      <c r="AW4424" s="479"/>
      <c r="AX4424" s="442"/>
      <c r="AY4424" s="153"/>
      <c r="AZ4424" s="152"/>
      <c r="BA4424" s="152"/>
      <c r="BB4424" s="152"/>
      <c r="BC4424" s="152"/>
      <c r="BD4424" s="152"/>
      <c r="BE4424" s="152"/>
      <c r="BF4424" s="152"/>
      <c r="BG4424" s="152"/>
      <c r="BH4424" s="152"/>
      <c r="BI4424" s="153"/>
      <c r="BJ4424" s="153"/>
      <c r="BK4424" s="153"/>
      <c r="BL4424" s="153"/>
      <c r="BM4424" s="153"/>
      <c r="BN4424" s="153"/>
      <c r="BO4424" s="153"/>
      <c r="BP4424" s="153"/>
      <c r="BQ4424" s="153"/>
      <c r="BR4424" s="153"/>
      <c r="BS4424" s="153"/>
      <c r="BT4424" s="153"/>
      <c r="BU4424" s="153"/>
      <c r="BV4424" s="153"/>
      <c r="BW4424" s="153"/>
      <c r="BX4424" s="153"/>
      <c r="BY4424" s="153"/>
      <c r="BZ4424" s="153"/>
      <c r="CA4424" s="152"/>
      <c r="CB4424" s="152"/>
    </row>
    <row r="4425" spans="1:80" s="87" customFormat="1" ht="15" x14ac:dyDescent="0.25">
      <c r="A4425" s="152"/>
      <c r="B4425" s="683"/>
      <c r="C4425" s="683"/>
      <c r="D4425" s="698"/>
      <c r="E4425" s="215"/>
      <c r="F4425" s="215"/>
      <c r="G4425" s="153"/>
      <c r="H4425" s="153"/>
      <c r="I4425" s="326">
        <v>17</v>
      </c>
      <c r="J4425" s="326">
        <v>60</v>
      </c>
      <c r="K4425" s="150">
        <v>1</v>
      </c>
      <c r="L4425" s="656">
        <v>17</v>
      </c>
      <c r="M4425" s="663">
        <v>34437</v>
      </c>
      <c r="N4425" s="600">
        <v>0.22877</v>
      </c>
      <c r="O4425" s="604">
        <v>4.0200000000000001E-4</v>
      </c>
      <c r="P4425" s="250"/>
      <c r="Q4425" s="250"/>
      <c r="R4425" s="250"/>
      <c r="S4425" s="250"/>
      <c r="T4425" s="250">
        <v>2.87E-2</v>
      </c>
      <c r="U4425" s="250">
        <v>6.5299999999999997E-2</v>
      </c>
      <c r="V4425" s="250">
        <v>0.28459530026109658</v>
      </c>
      <c r="W4425" s="250">
        <v>0.42297650130548303</v>
      </c>
      <c r="X4425" s="250">
        <v>0.1906005221932115</v>
      </c>
      <c r="Y4425" s="250">
        <v>7.832898172323759E-3</v>
      </c>
      <c r="Z4425" s="150"/>
      <c r="AA4425" s="150">
        <v>0.82</v>
      </c>
      <c r="AB4425" s="152"/>
      <c r="AC4425" s="152"/>
      <c r="AD4425" s="223">
        <v>5.0595140000000001</v>
      </c>
      <c r="AE4425" s="223">
        <v>0.14020340000000001</v>
      </c>
      <c r="AF4425" s="223">
        <v>0.71063909999999997</v>
      </c>
      <c r="AG4425" s="223">
        <v>0.3291732</v>
      </c>
      <c r="AH4425" s="341"/>
      <c r="AI4425" s="218"/>
      <c r="AJ4425" s="218"/>
      <c r="AK4425" s="153"/>
      <c r="AL4425" s="152"/>
      <c r="AM4425" s="152"/>
      <c r="AN4425" s="152"/>
      <c r="AO4425" s="152"/>
      <c r="AP4425" s="152"/>
      <c r="AQ4425" s="152"/>
      <c r="AR4425" s="152"/>
      <c r="AS4425" s="152"/>
      <c r="AT4425" s="152"/>
      <c r="AU4425" s="153"/>
      <c r="AV4425" s="479"/>
      <c r="AW4425" s="479"/>
      <c r="AX4425" s="442"/>
      <c r="AY4425" s="153"/>
      <c r="AZ4425" s="152"/>
      <c r="BA4425" s="152"/>
      <c r="BB4425" s="152"/>
      <c r="BC4425" s="152"/>
      <c r="BD4425" s="152"/>
      <c r="BE4425" s="152"/>
      <c r="BF4425" s="152"/>
      <c r="BG4425" s="152"/>
      <c r="BH4425" s="152"/>
      <c r="BI4425" s="153"/>
      <c r="BJ4425" s="153"/>
      <c r="BK4425" s="153"/>
      <c r="BL4425" s="153"/>
      <c r="BM4425" s="153"/>
      <c r="BN4425" s="153"/>
      <c r="BO4425" s="153"/>
      <c r="BP4425" s="153"/>
      <c r="BQ4425" s="153"/>
      <c r="BR4425" s="153"/>
      <c r="BS4425" s="153"/>
      <c r="BT4425" s="153"/>
      <c r="BU4425" s="153"/>
      <c r="BV4425" s="153"/>
      <c r="BW4425" s="153"/>
      <c r="BX4425" s="153"/>
      <c r="BY4425" s="153"/>
      <c r="BZ4425" s="153"/>
      <c r="CA4425" s="152"/>
      <c r="CB4425" s="152"/>
    </row>
    <row r="4426" spans="1:80" s="87" customFormat="1" ht="15" x14ac:dyDescent="0.25">
      <c r="A4426" s="152"/>
      <c r="B4426" s="683"/>
      <c r="C4426" s="683"/>
      <c r="D4426" s="698"/>
      <c r="E4426" s="215"/>
      <c r="F4426" s="215"/>
      <c r="G4426" s="153"/>
      <c r="H4426" s="153"/>
      <c r="I4426" s="326">
        <v>20</v>
      </c>
      <c r="J4426" s="326">
        <v>60</v>
      </c>
      <c r="K4426" s="150">
        <v>1</v>
      </c>
      <c r="L4426" s="656">
        <v>20</v>
      </c>
      <c r="M4426" s="663">
        <v>34446</v>
      </c>
      <c r="N4426" s="600">
        <v>1.79786</v>
      </c>
      <c r="O4426" s="604">
        <v>1.3435000000000001E-2</v>
      </c>
      <c r="P4426" s="250"/>
      <c r="Q4426" s="250"/>
      <c r="R4426" s="250">
        <v>2.6200000000000001E-2</v>
      </c>
      <c r="S4426" s="250">
        <v>0.11320000000000001</v>
      </c>
      <c r="T4426" s="250">
        <v>8.5999999999999993E-2</v>
      </c>
      <c r="U4426" s="250">
        <v>0.14249999999999999</v>
      </c>
      <c r="V4426" s="250">
        <v>0.20823547831532804</v>
      </c>
      <c r="W4426" s="250">
        <v>0.25724127133239394</v>
      </c>
      <c r="X4426" s="250">
        <v>0.15891654924064505</v>
      </c>
      <c r="Y4426" s="250">
        <v>7.6718334116173473E-3</v>
      </c>
      <c r="Z4426" s="150"/>
      <c r="AA4426" s="150">
        <v>1.29</v>
      </c>
      <c r="AB4426" s="152"/>
      <c r="AC4426" s="152"/>
      <c r="AD4426" s="223">
        <v>6.3091530000000002</v>
      </c>
      <c r="AE4426" s="223">
        <v>0.38098749999999998</v>
      </c>
      <c r="AF4426" s="223">
        <v>2.4059545999999998</v>
      </c>
      <c r="AG4426" s="223">
        <v>0.75283129999999998</v>
      </c>
      <c r="AH4426" s="341"/>
      <c r="AI4426" s="218"/>
      <c r="AJ4426" s="218"/>
      <c r="AK4426" s="153"/>
      <c r="AL4426" s="152"/>
      <c r="AM4426" s="152"/>
      <c r="AN4426" s="152"/>
      <c r="AO4426" s="152"/>
      <c r="AP4426" s="152"/>
      <c r="AQ4426" s="152"/>
      <c r="AR4426" s="152"/>
      <c r="AS4426" s="152"/>
      <c r="AT4426" s="152"/>
      <c r="AU4426" s="153"/>
      <c r="AV4426" s="479"/>
      <c r="AW4426" s="479"/>
      <c r="AX4426" s="442"/>
      <c r="AY4426" s="153"/>
      <c r="AZ4426" s="152"/>
      <c r="BA4426" s="152"/>
      <c r="BB4426" s="152"/>
      <c r="BC4426" s="152"/>
      <c r="BD4426" s="152"/>
      <c r="BE4426" s="152"/>
      <c r="BF4426" s="152"/>
      <c r="BG4426" s="152"/>
      <c r="BH4426" s="152"/>
      <c r="BI4426" s="153"/>
      <c r="BJ4426" s="153"/>
      <c r="BK4426" s="153"/>
      <c r="BL4426" s="153"/>
      <c r="BM4426" s="153"/>
      <c r="BN4426" s="153"/>
      <c r="BO4426" s="153"/>
      <c r="BP4426" s="153"/>
      <c r="BQ4426" s="153"/>
      <c r="BR4426" s="153"/>
      <c r="BS4426" s="153"/>
      <c r="BT4426" s="153"/>
      <c r="BU4426" s="153"/>
      <c r="BV4426" s="153"/>
      <c r="BW4426" s="153"/>
      <c r="BX4426" s="153"/>
      <c r="BY4426" s="153"/>
      <c r="BZ4426" s="153"/>
      <c r="CA4426" s="152"/>
      <c r="CB4426" s="152"/>
    </row>
    <row r="4427" spans="1:80" s="87" customFormat="1" ht="15" x14ac:dyDescent="0.25">
      <c r="A4427" s="152"/>
      <c r="B4427" s="683"/>
      <c r="C4427" s="683"/>
      <c r="D4427" s="698"/>
      <c r="E4427" s="215"/>
      <c r="F4427" s="215"/>
      <c r="G4427" s="153"/>
      <c r="H4427" s="153"/>
      <c r="I4427" s="326">
        <v>20</v>
      </c>
      <c r="J4427" s="326">
        <v>60</v>
      </c>
      <c r="K4427" s="150">
        <v>1</v>
      </c>
      <c r="L4427" s="656">
        <v>20</v>
      </c>
      <c r="M4427" s="663">
        <v>34446</v>
      </c>
      <c r="N4427" s="600">
        <v>1.79786</v>
      </c>
      <c r="O4427" s="604">
        <v>3.4216000000000003E-2</v>
      </c>
      <c r="P4427" s="250"/>
      <c r="Q4427" s="250"/>
      <c r="R4427" s="250">
        <v>0.13289999999999999</v>
      </c>
      <c r="S4427" s="250">
        <v>8.3000000000000004E-2</v>
      </c>
      <c r="T4427" s="250">
        <v>0.1084</v>
      </c>
      <c r="U4427" s="250">
        <v>0.16420000000000001</v>
      </c>
      <c r="V4427" s="250">
        <v>0.27043619731712554</v>
      </c>
      <c r="W4427" s="250">
        <v>0.17159345550541791</v>
      </c>
      <c r="X4427" s="250">
        <v>6.6304447923381513E-2</v>
      </c>
      <c r="Y4427" s="250">
        <v>3.1617398778279147E-3</v>
      </c>
      <c r="Z4427" s="150"/>
      <c r="AA4427" s="150">
        <v>1.94</v>
      </c>
      <c r="AB4427" s="152"/>
      <c r="AC4427" s="152"/>
      <c r="AD4427" s="223">
        <v>6.3091530000000002</v>
      </c>
      <c r="AE4427" s="223">
        <v>0.38098749999999998</v>
      </c>
      <c r="AF4427" s="223">
        <v>2.4059545999999998</v>
      </c>
      <c r="AG4427" s="223">
        <v>0.75283129999999998</v>
      </c>
      <c r="AH4427" s="341"/>
      <c r="AI4427" s="218"/>
      <c r="AJ4427" s="218"/>
      <c r="AK4427" s="153"/>
      <c r="AL4427" s="152"/>
      <c r="AM4427" s="152"/>
      <c r="AN4427" s="152"/>
      <c r="AO4427" s="152"/>
      <c r="AP4427" s="152"/>
      <c r="AQ4427" s="152"/>
      <c r="AR4427" s="152"/>
      <c r="AS4427" s="152"/>
      <c r="AT4427" s="152"/>
      <c r="AU4427" s="153"/>
      <c r="AV4427" s="479"/>
      <c r="AW4427" s="479"/>
      <c r="AX4427" s="442"/>
      <c r="AY4427" s="153"/>
      <c r="AZ4427" s="152"/>
      <c r="BA4427" s="152"/>
      <c r="BB4427" s="152"/>
      <c r="BC4427" s="152"/>
      <c r="BD4427" s="152"/>
      <c r="BE4427" s="152"/>
      <c r="BF4427" s="152"/>
      <c r="BG4427" s="152"/>
      <c r="BH4427" s="152"/>
      <c r="BI4427" s="153"/>
      <c r="BJ4427" s="153"/>
      <c r="BK4427" s="153"/>
      <c r="BL4427" s="153"/>
      <c r="BM4427" s="153"/>
      <c r="BN4427" s="153"/>
      <c r="BO4427" s="153"/>
      <c r="BP4427" s="153"/>
      <c r="BQ4427" s="153"/>
      <c r="BR4427" s="153"/>
      <c r="BS4427" s="153"/>
      <c r="BT4427" s="153"/>
      <c r="BU4427" s="153"/>
      <c r="BV4427" s="153"/>
      <c r="BW4427" s="153"/>
      <c r="BX4427" s="153"/>
      <c r="BY4427" s="153"/>
      <c r="BZ4427" s="153"/>
      <c r="CA4427" s="152"/>
      <c r="CB4427" s="152"/>
    </row>
    <row r="4428" spans="1:80" s="87" customFormat="1" ht="15" x14ac:dyDescent="0.25">
      <c r="A4428" s="152"/>
      <c r="B4428" s="683"/>
      <c r="C4428" s="683"/>
      <c r="D4428" s="698"/>
      <c r="E4428" s="215"/>
      <c r="F4428" s="215"/>
      <c r="G4428" s="153"/>
      <c r="H4428" s="153"/>
      <c r="I4428" s="326">
        <v>17</v>
      </c>
      <c r="J4428" s="326">
        <v>60</v>
      </c>
      <c r="K4428" s="150">
        <v>1</v>
      </c>
      <c r="L4428" s="656">
        <v>17</v>
      </c>
      <c r="M4428" s="663">
        <v>34451</v>
      </c>
      <c r="N4428" s="600">
        <v>1.3278700000000001</v>
      </c>
      <c r="O4428" s="604">
        <v>1.176E-3</v>
      </c>
      <c r="P4428" s="250"/>
      <c r="Q4428" s="250"/>
      <c r="R4428" s="250"/>
      <c r="S4428" s="250"/>
      <c r="T4428" s="250">
        <v>2.1499999999999998E-2</v>
      </c>
      <c r="U4428" s="250">
        <v>0.12619999999999998</v>
      </c>
      <c r="V4428" s="250">
        <v>0.26857654431512984</v>
      </c>
      <c r="W4428" s="250">
        <v>0.36257833482542523</v>
      </c>
      <c r="X4428" s="250">
        <v>0.20411817367949867</v>
      </c>
      <c r="Y4428" s="250">
        <v>1.700984780662489E-2</v>
      </c>
      <c r="Z4428" s="150"/>
      <c r="AA4428" s="150">
        <v>0.86</v>
      </c>
      <c r="AB4428" s="152"/>
      <c r="AC4428" s="152"/>
      <c r="AD4428" s="223">
        <v>5.516699</v>
      </c>
      <c r="AE4428" s="223">
        <v>0.31698159999999997</v>
      </c>
      <c r="AF4428" s="223">
        <v>1.7464071999999999</v>
      </c>
      <c r="AG4428" s="223">
        <v>0.75587919999999997</v>
      </c>
      <c r="AH4428" s="341"/>
      <c r="AI4428" s="218"/>
      <c r="AJ4428" s="218"/>
      <c r="AK4428" s="153"/>
      <c r="AL4428" s="152"/>
      <c r="AM4428" s="152"/>
      <c r="AN4428" s="152"/>
      <c r="AO4428" s="152"/>
      <c r="AP4428" s="152"/>
      <c r="AQ4428" s="152"/>
      <c r="AR4428" s="152"/>
      <c r="AS4428" s="152"/>
      <c r="AT4428" s="152"/>
      <c r="AU4428" s="153"/>
      <c r="AV4428" s="479"/>
      <c r="AW4428" s="479"/>
      <c r="AX4428" s="442"/>
      <c r="AY4428" s="153"/>
      <c r="AZ4428" s="152"/>
      <c r="BA4428" s="152"/>
      <c r="BB4428" s="152"/>
      <c r="BC4428" s="152"/>
      <c r="BD4428" s="152"/>
      <c r="BE4428" s="152"/>
      <c r="BF4428" s="152"/>
      <c r="BG4428" s="152"/>
      <c r="BH4428" s="152"/>
      <c r="BI4428" s="153"/>
      <c r="BJ4428" s="153"/>
      <c r="BK4428" s="153"/>
      <c r="BL4428" s="153"/>
      <c r="BM4428" s="153"/>
      <c r="BN4428" s="153"/>
      <c r="BO4428" s="153"/>
      <c r="BP4428" s="153"/>
      <c r="BQ4428" s="153"/>
      <c r="BR4428" s="153"/>
      <c r="BS4428" s="153"/>
      <c r="BT4428" s="153"/>
      <c r="BU4428" s="153"/>
      <c r="BV4428" s="153"/>
      <c r="BW4428" s="153"/>
      <c r="BX4428" s="153"/>
      <c r="BY4428" s="153"/>
      <c r="BZ4428" s="153"/>
      <c r="CA4428" s="152"/>
      <c r="CB4428" s="152"/>
    </row>
    <row r="4429" spans="1:80" s="87" customFormat="1" ht="15" x14ac:dyDescent="0.25">
      <c r="A4429" s="152"/>
      <c r="B4429" s="683"/>
      <c r="C4429" s="683"/>
      <c r="D4429" s="698"/>
      <c r="E4429" s="215"/>
      <c r="F4429" s="215"/>
      <c r="G4429" s="153"/>
      <c r="H4429" s="153"/>
      <c r="I4429" s="326">
        <v>17</v>
      </c>
      <c r="J4429" s="326">
        <v>60</v>
      </c>
      <c r="K4429" s="150">
        <v>1</v>
      </c>
      <c r="L4429" s="656">
        <v>17</v>
      </c>
      <c r="M4429" s="663">
        <v>34451</v>
      </c>
      <c r="N4429" s="600">
        <v>1.3278700000000001</v>
      </c>
      <c r="O4429" s="604">
        <v>1.511E-3</v>
      </c>
      <c r="P4429" s="250"/>
      <c r="Q4429" s="250"/>
      <c r="R4429" s="250"/>
      <c r="S4429" s="250"/>
      <c r="T4429" s="250">
        <v>3.2000000000000001E-2</v>
      </c>
      <c r="U4429" s="250">
        <v>0.12300000000000001</v>
      </c>
      <c r="V4429" s="250">
        <v>0.28908964558721334</v>
      </c>
      <c r="W4429" s="250">
        <v>0.38290479499652541</v>
      </c>
      <c r="X4429" s="250">
        <v>0.16261292564280752</v>
      </c>
      <c r="Y4429" s="250">
        <v>1.0423905489923559E-2</v>
      </c>
      <c r="Z4429" s="150"/>
      <c r="AA4429" s="150">
        <v>0.92</v>
      </c>
      <c r="AB4429" s="152"/>
      <c r="AC4429" s="152"/>
      <c r="AD4429" s="223">
        <v>5.516699</v>
      </c>
      <c r="AE4429" s="223">
        <v>0.31698159999999997</v>
      </c>
      <c r="AF4429" s="223">
        <v>1.7464071999999999</v>
      </c>
      <c r="AG4429" s="223">
        <v>0.75587919999999997</v>
      </c>
      <c r="AH4429" s="341"/>
      <c r="AI4429" s="218"/>
      <c r="AJ4429" s="218"/>
      <c r="AK4429" s="153"/>
      <c r="AL4429" s="152"/>
      <c r="AM4429" s="152"/>
      <c r="AN4429" s="152"/>
      <c r="AO4429" s="152"/>
      <c r="AP4429" s="152"/>
      <c r="AQ4429" s="152"/>
      <c r="AR4429" s="152"/>
      <c r="AS4429" s="152"/>
      <c r="AT4429" s="152"/>
      <c r="AU4429" s="153"/>
      <c r="AV4429" s="479"/>
      <c r="AW4429" s="479"/>
      <c r="AX4429" s="442"/>
      <c r="AY4429" s="153"/>
      <c r="AZ4429" s="152"/>
      <c r="BA4429" s="152"/>
      <c r="BB4429" s="152"/>
      <c r="BC4429" s="152"/>
      <c r="BD4429" s="152"/>
      <c r="BE4429" s="152"/>
      <c r="BF4429" s="152"/>
      <c r="BG4429" s="152"/>
      <c r="BH4429" s="152"/>
      <c r="BI4429" s="153"/>
      <c r="BJ4429" s="153"/>
      <c r="BK4429" s="153"/>
      <c r="BL4429" s="153"/>
      <c r="BM4429" s="153"/>
      <c r="BN4429" s="153"/>
      <c r="BO4429" s="153"/>
      <c r="BP4429" s="153"/>
      <c r="BQ4429" s="153"/>
      <c r="BR4429" s="153"/>
      <c r="BS4429" s="153"/>
      <c r="BT4429" s="153"/>
      <c r="BU4429" s="153"/>
      <c r="BV4429" s="153"/>
      <c r="BW4429" s="153"/>
      <c r="BX4429" s="153"/>
      <c r="BY4429" s="153"/>
      <c r="BZ4429" s="153"/>
      <c r="CA4429" s="152"/>
      <c r="CB4429" s="152"/>
    </row>
    <row r="4430" spans="1:80" s="87" customFormat="1" ht="15" x14ac:dyDescent="0.25">
      <c r="A4430" s="152"/>
      <c r="B4430" s="683"/>
      <c r="C4430" s="683"/>
      <c r="D4430" s="698"/>
      <c r="E4430" s="215"/>
      <c r="F4430" s="215"/>
      <c r="G4430" s="153"/>
      <c r="H4430" s="153"/>
      <c r="I4430" s="326">
        <v>12</v>
      </c>
      <c r="J4430" s="326">
        <v>60</v>
      </c>
      <c r="K4430" s="150">
        <v>1</v>
      </c>
      <c r="L4430" s="656">
        <v>12</v>
      </c>
      <c r="M4430" s="663">
        <v>34458</v>
      </c>
      <c r="N4430" s="600">
        <v>0.73046999999999995</v>
      </c>
      <c r="O4430" s="604">
        <v>8.4700000000000001E-3</v>
      </c>
      <c r="P4430" s="250"/>
      <c r="Q4430" s="250"/>
      <c r="R4430" s="250"/>
      <c r="S4430" s="250">
        <v>0.18079999999999999</v>
      </c>
      <c r="T4430" s="250">
        <v>0.1358</v>
      </c>
      <c r="U4430" s="250">
        <v>0.1993</v>
      </c>
      <c r="V4430" s="250">
        <v>0.23638613861386135</v>
      </c>
      <c r="W4430" s="250">
        <v>0.19504950495049503</v>
      </c>
      <c r="X4430" s="250">
        <v>5.0742574257425732E-2</v>
      </c>
      <c r="Y4430" s="250">
        <v>1.9801980198019798E-3</v>
      </c>
      <c r="Z4430" s="150"/>
      <c r="AA4430" s="150">
        <v>2.11</v>
      </c>
      <c r="AB4430" s="152"/>
      <c r="AC4430" s="152"/>
      <c r="AD4430" s="223">
        <v>5.4862200000000003</v>
      </c>
      <c r="AE4430" s="223">
        <v>0.2285925</v>
      </c>
      <c r="AF4430" s="223">
        <v>1.2540690000000001</v>
      </c>
      <c r="AG4430" s="223">
        <v>0.58519679999999996</v>
      </c>
      <c r="AH4430" s="341"/>
      <c r="AI4430" s="218"/>
      <c r="AJ4430" s="218"/>
      <c r="AK4430" s="153"/>
      <c r="AL4430" s="152"/>
      <c r="AM4430" s="152"/>
      <c r="AN4430" s="152"/>
      <c r="AO4430" s="152"/>
      <c r="AP4430" s="152"/>
      <c r="AQ4430" s="152"/>
      <c r="AR4430" s="152"/>
      <c r="AS4430" s="152"/>
      <c r="AT4430" s="152"/>
      <c r="AU4430" s="153"/>
      <c r="AV4430" s="479"/>
      <c r="AW4430" s="479"/>
      <c r="AX4430" s="442"/>
      <c r="AY4430" s="153"/>
      <c r="AZ4430" s="152"/>
      <c r="BA4430" s="152"/>
      <c r="BB4430" s="152"/>
      <c r="BC4430" s="152"/>
      <c r="BD4430" s="152"/>
      <c r="BE4430" s="152"/>
      <c r="BF4430" s="152"/>
      <c r="BG4430" s="152"/>
      <c r="BH4430" s="152"/>
      <c r="BI4430" s="153"/>
      <c r="BJ4430" s="153"/>
      <c r="BK4430" s="153"/>
      <c r="BL4430" s="153"/>
      <c r="BM4430" s="153"/>
      <c r="BN4430" s="153"/>
      <c r="BO4430" s="153"/>
      <c r="BP4430" s="153"/>
      <c r="BQ4430" s="153"/>
      <c r="BR4430" s="153"/>
      <c r="BS4430" s="153"/>
      <c r="BT4430" s="153"/>
      <c r="BU4430" s="153"/>
      <c r="BV4430" s="153"/>
      <c r="BW4430" s="153"/>
      <c r="BX4430" s="153"/>
      <c r="BY4430" s="153"/>
      <c r="BZ4430" s="153"/>
      <c r="CA4430" s="152"/>
      <c r="CB4430" s="152"/>
    </row>
    <row r="4431" spans="1:80" s="87" customFormat="1" ht="15" x14ac:dyDescent="0.25">
      <c r="A4431" s="152"/>
      <c r="B4431" s="683"/>
      <c r="C4431" s="683"/>
      <c r="D4431" s="698"/>
      <c r="E4431" s="215"/>
      <c r="F4431" s="215"/>
      <c r="G4431" s="153"/>
      <c r="H4431" s="153"/>
      <c r="I4431" s="326">
        <v>12</v>
      </c>
      <c r="J4431" s="326">
        <v>60</v>
      </c>
      <c r="K4431" s="150">
        <v>1</v>
      </c>
      <c r="L4431" s="656">
        <v>12</v>
      </c>
      <c r="M4431" s="663">
        <v>34458</v>
      </c>
      <c r="N4431" s="600">
        <v>0.73046999999999995</v>
      </c>
      <c r="O4431" s="604">
        <v>6.9899999999999997E-3</v>
      </c>
      <c r="P4431" s="250"/>
      <c r="Q4431" s="250"/>
      <c r="R4431" s="250"/>
      <c r="S4431" s="250">
        <v>0.1109</v>
      </c>
      <c r="T4431" s="250">
        <v>6.6600000000000006E-2</v>
      </c>
      <c r="U4431" s="250">
        <v>0.17710000000000001</v>
      </c>
      <c r="V4431" s="250">
        <v>0.30316674170793934</v>
      </c>
      <c r="W4431" s="250">
        <v>0.26714693081194651</v>
      </c>
      <c r="X4431" s="250">
        <v>7.2639951973585457E-2</v>
      </c>
      <c r="Y4431" s="250">
        <v>2.4013207263995193E-3</v>
      </c>
      <c r="Z4431" s="150"/>
      <c r="AA4431" s="150">
        <v>1.43</v>
      </c>
      <c r="AB4431" s="152"/>
      <c r="AC4431" s="152"/>
      <c r="AD4431" s="223">
        <v>5.4862200000000003</v>
      </c>
      <c r="AE4431" s="223">
        <v>0.2285925</v>
      </c>
      <c r="AF4431" s="223">
        <v>1.2540690000000001</v>
      </c>
      <c r="AG4431" s="223">
        <v>0.58519679999999996</v>
      </c>
      <c r="AH4431" s="341"/>
      <c r="AI4431" s="218"/>
      <c r="AJ4431" s="218"/>
      <c r="AK4431" s="153"/>
      <c r="AL4431" s="152"/>
      <c r="AM4431" s="152"/>
      <c r="AN4431" s="152"/>
      <c r="AO4431" s="152"/>
      <c r="AP4431" s="152"/>
      <c r="AQ4431" s="152"/>
      <c r="AR4431" s="152"/>
      <c r="AS4431" s="152"/>
      <c r="AT4431" s="152"/>
      <c r="AU4431" s="153"/>
      <c r="AV4431" s="479"/>
      <c r="AW4431" s="479"/>
      <c r="AX4431" s="442"/>
      <c r="AY4431" s="153"/>
      <c r="AZ4431" s="152"/>
      <c r="BA4431" s="152"/>
      <c r="BB4431" s="152"/>
      <c r="BC4431" s="152"/>
      <c r="BD4431" s="152"/>
      <c r="BE4431" s="152"/>
      <c r="BF4431" s="152"/>
      <c r="BG4431" s="152"/>
      <c r="BH4431" s="152"/>
      <c r="BI4431" s="153"/>
      <c r="BJ4431" s="153"/>
      <c r="BK4431" s="153"/>
      <c r="BL4431" s="153"/>
      <c r="BM4431" s="153"/>
      <c r="BN4431" s="153"/>
      <c r="BO4431" s="153"/>
      <c r="BP4431" s="153"/>
      <c r="BQ4431" s="153"/>
      <c r="BR4431" s="153"/>
      <c r="BS4431" s="153"/>
      <c r="BT4431" s="153"/>
      <c r="BU4431" s="153"/>
      <c r="BV4431" s="153"/>
      <c r="BW4431" s="153"/>
      <c r="BX4431" s="153"/>
      <c r="BY4431" s="153"/>
      <c r="BZ4431" s="153"/>
      <c r="CA4431" s="152"/>
      <c r="CB4431" s="152"/>
    </row>
    <row r="4432" spans="1:80" s="87" customFormat="1" ht="15" x14ac:dyDescent="0.25">
      <c r="A4432" s="152"/>
      <c r="B4432" s="683"/>
      <c r="C4432" s="683"/>
      <c r="D4432" s="698"/>
      <c r="E4432" s="215"/>
      <c r="F4432" s="215"/>
      <c r="G4432" s="153"/>
      <c r="H4432" s="153"/>
      <c r="I4432" s="326">
        <v>12</v>
      </c>
      <c r="J4432" s="326">
        <v>60</v>
      </c>
      <c r="K4432" s="150">
        <v>1</v>
      </c>
      <c r="L4432" s="656">
        <v>12</v>
      </c>
      <c r="M4432" s="663">
        <v>34458</v>
      </c>
      <c r="N4432" s="600">
        <v>0.73046999999999995</v>
      </c>
      <c r="O4432" s="604">
        <v>1.312E-2</v>
      </c>
      <c r="P4432" s="250"/>
      <c r="Q4432" s="250"/>
      <c r="R4432" s="250">
        <v>4.4999999999999998E-2</v>
      </c>
      <c r="S4432" s="250">
        <v>0.1244</v>
      </c>
      <c r="T4432" s="250">
        <v>0.17120000000000002</v>
      </c>
      <c r="U4432" s="250">
        <v>0.21280000000000002</v>
      </c>
      <c r="V4432" s="250">
        <v>0.22723635781725077</v>
      </c>
      <c r="W4432" s="250">
        <v>0.17394783165306454</v>
      </c>
      <c r="X4432" s="250">
        <v>4.3686989918386952E-2</v>
      </c>
      <c r="Y4432" s="250">
        <v>1.600256040966555E-3</v>
      </c>
      <c r="Z4432" s="150"/>
      <c r="AA4432" s="150">
        <v>2.38</v>
      </c>
      <c r="AB4432" s="152"/>
      <c r="AC4432" s="152"/>
      <c r="AD4432" s="223">
        <v>5.4862200000000003</v>
      </c>
      <c r="AE4432" s="223">
        <v>0.2285925</v>
      </c>
      <c r="AF4432" s="223">
        <v>1.2540690000000001</v>
      </c>
      <c r="AG4432" s="223">
        <v>0.58519679999999996</v>
      </c>
      <c r="AH4432" s="341"/>
      <c r="AI4432" s="218"/>
      <c r="AJ4432" s="218"/>
      <c r="AK4432" s="153"/>
      <c r="AL4432" s="152"/>
      <c r="AM4432" s="152"/>
      <c r="AN4432" s="152"/>
      <c r="AO4432" s="152"/>
      <c r="AP4432" s="152"/>
      <c r="AQ4432" s="152"/>
      <c r="AR4432" s="152"/>
      <c r="AS4432" s="152"/>
      <c r="AT4432" s="152"/>
      <c r="AU4432" s="153"/>
      <c r="AV4432" s="479"/>
      <c r="AW4432" s="479"/>
      <c r="AX4432" s="442"/>
      <c r="AY4432" s="153"/>
      <c r="AZ4432" s="152"/>
      <c r="BA4432" s="152"/>
      <c r="BB4432" s="152"/>
      <c r="BC4432" s="152"/>
      <c r="BD4432" s="152"/>
      <c r="BE4432" s="152"/>
      <c r="BF4432" s="152"/>
      <c r="BG4432" s="152"/>
      <c r="BH4432" s="152"/>
      <c r="BI4432" s="153"/>
      <c r="BJ4432" s="153"/>
      <c r="BK4432" s="153"/>
      <c r="BL4432" s="153"/>
      <c r="BM4432" s="153"/>
      <c r="BN4432" s="153"/>
      <c r="BO4432" s="153"/>
      <c r="BP4432" s="153"/>
      <c r="BQ4432" s="153"/>
      <c r="BR4432" s="153"/>
      <c r="BS4432" s="153"/>
      <c r="BT4432" s="153"/>
      <c r="BU4432" s="153"/>
      <c r="BV4432" s="153"/>
      <c r="BW4432" s="153"/>
      <c r="BX4432" s="153"/>
      <c r="BY4432" s="153"/>
      <c r="BZ4432" s="153"/>
      <c r="CA4432" s="152"/>
      <c r="CB4432" s="152"/>
    </row>
    <row r="4433" spans="1:80" s="87" customFormat="1" ht="15" x14ac:dyDescent="0.25">
      <c r="A4433" s="152"/>
      <c r="B4433" s="683"/>
      <c r="C4433" s="683"/>
      <c r="D4433" s="698"/>
      <c r="E4433" s="215"/>
      <c r="F4433" s="215"/>
      <c r="G4433" s="153"/>
      <c r="H4433" s="153"/>
      <c r="I4433" s="326">
        <v>34</v>
      </c>
      <c r="J4433" s="326">
        <v>60</v>
      </c>
      <c r="K4433" s="150">
        <v>1</v>
      </c>
      <c r="L4433" s="656">
        <v>34</v>
      </c>
      <c r="M4433" s="663">
        <v>34459</v>
      </c>
      <c r="N4433" s="600">
        <v>0.86070999999999998</v>
      </c>
      <c r="O4433" s="604">
        <v>4.8799999999999999E-4</v>
      </c>
      <c r="P4433" s="250"/>
      <c r="Q4433" s="250"/>
      <c r="R4433" s="250"/>
      <c r="S4433" s="250"/>
      <c r="T4433" s="250">
        <v>0.1142</v>
      </c>
      <c r="U4433" s="250">
        <v>0.19829999999999998</v>
      </c>
      <c r="V4433" s="250">
        <v>0.21336206896551727</v>
      </c>
      <c r="W4433" s="250">
        <v>0.32327586206896552</v>
      </c>
      <c r="X4433" s="250">
        <v>0.14224137931034483</v>
      </c>
      <c r="Y4433" s="250">
        <v>8.6206896551724154E-3</v>
      </c>
      <c r="Z4433" s="150"/>
      <c r="AA4433" s="150">
        <v>1.0900000000000001</v>
      </c>
      <c r="AB4433" s="152"/>
      <c r="AC4433" s="152"/>
      <c r="AD4433" s="223">
        <v>5.7300519999999997</v>
      </c>
      <c r="AE4433" s="223">
        <v>0.24687990000000001</v>
      </c>
      <c r="AF4433" s="223">
        <v>1.4119888</v>
      </c>
      <c r="AG4433" s="223">
        <v>0.60348420000000003</v>
      </c>
      <c r="AH4433" s="341"/>
      <c r="AI4433" s="218"/>
      <c r="AJ4433" s="218"/>
      <c r="AK4433" s="153"/>
      <c r="AL4433" s="152"/>
      <c r="AM4433" s="152"/>
      <c r="AN4433" s="152"/>
      <c r="AO4433" s="152"/>
      <c r="AP4433" s="152"/>
      <c r="AQ4433" s="152"/>
      <c r="AR4433" s="152"/>
      <c r="AS4433" s="152"/>
      <c r="AT4433" s="152"/>
      <c r="AU4433" s="153"/>
      <c r="AV4433" s="479"/>
      <c r="AW4433" s="479"/>
      <c r="AX4433" s="442"/>
      <c r="AY4433" s="153"/>
      <c r="AZ4433" s="152"/>
      <c r="BA4433" s="152"/>
      <c r="BB4433" s="152"/>
      <c r="BC4433" s="152"/>
      <c r="BD4433" s="152"/>
      <c r="BE4433" s="152"/>
      <c r="BF4433" s="152"/>
      <c r="BG4433" s="152"/>
      <c r="BH4433" s="152"/>
      <c r="BI4433" s="153"/>
      <c r="BJ4433" s="153"/>
      <c r="BK4433" s="153"/>
      <c r="BL4433" s="153"/>
      <c r="BM4433" s="153"/>
      <c r="BN4433" s="153"/>
      <c r="BO4433" s="153"/>
      <c r="BP4433" s="153"/>
      <c r="BQ4433" s="153"/>
      <c r="BR4433" s="153"/>
      <c r="BS4433" s="153"/>
      <c r="BT4433" s="153"/>
      <c r="BU4433" s="153"/>
      <c r="BV4433" s="153"/>
      <c r="BW4433" s="153"/>
      <c r="BX4433" s="153"/>
      <c r="BY4433" s="153"/>
      <c r="BZ4433" s="153"/>
      <c r="CA4433" s="152"/>
      <c r="CB4433" s="152"/>
    </row>
    <row r="4434" spans="1:80" s="87" customFormat="1" ht="15" x14ac:dyDescent="0.25">
      <c r="A4434" s="152"/>
      <c r="B4434" s="683"/>
      <c r="C4434" s="683"/>
      <c r="D4434" s="698"/>
      <c r="E4434" s="215"/>
      <c r="F4434" s="215"/>
      <c r="G4434" s="153"/>
      <c r="H4434" s="153"/>
      <c r="I4434" s="326">
        <v>34</v>
      </c>
      <c r="J4434" s="326">
        <v>60</v>
      </c>
      <c r="K4434" s="150">
        <v>1</v>
      </c>
      <c r="L4434" s="656">
        <v>34</v>
      </c>
      <c r="M4434" s="663">
        <v>34459</v>
      </c>
      <c r="N4434" s="600">
        <v>0.86070999999999998</v>
      </c>
      <c r="O4434" s="604">
        <v>1.1021E-2</v>
      </c>
      <c r="P4434" s="250"/>
      <c r="Q4434" s="250"/>
      <c r="R4434" s="250">
        <v>5.0599999999999999E-2</v>
      </c>
      <c r="S4434" s="250">
        <v>7.7300000000000008E-2</v>
      </c>
      <c r="T4434" s="250">
        <v>9.8599999999999993E-2</v>
      </c>
      <c r="U4434" s="250">
        <v>0.23899999999999999</v>
      </c>
      <c r="V4434" s="250">
        <v>0.34091991238929625</v>
      </c>
      <c r="W4434" s="250">
        <v>0.16388915341396057</v>
      </c>
      <c r="X4434" s="250">
        <v>2.7711646509856205E-2</v>
      </c>
      <c r="Y4434" s="250">
        <v>1.9998095419483859E-3</v>
      </c>
      <c r="Z4434" s="150"/>
      <c r="AA4434" s="150">
        <v>1.86</v>
      </c>
      <c r="AB4434" s="152"/>
      <c r="AC4434" s="152"/>
      <c r="AD4434" s="223">
        <v>5.7300519999999997</v>
      </c>
      <c r="AE4434" s="223">
        <v>0.24687990000000001</v>
      </c>
      <c r="AF4434" s="223">
        <v>1.4119888</v>
      </c>
      <c r="AG4434" s="223">
        <v>0.60348420000000003</v>
      </c>
      <c r="AH4434" s="341"/>
      <c r="AI4434" s="218"/>
      <c r="AJ4434" s="218"/>
      <c r="AK4434" s="153"/>
      <c r="AL4434" s="152"/>
      <c r="AM4434" s="152"/>
      <c r="AN4434" s="152"/>
      <c r="AO4434" s="152"/>
      <c r="AP4434" s="152"/>
      <c r="AQ4434" s="152"/>
      <c r="AR4434" s="152"/>
      <c r="AS4434" s="152"/>
      <c r="AT4434" s="152"/>
      <c r="AU4434" s="153"/>
      <c r="AV4434" s="479"/>
      <c r="AW4434" s="479"/>
      <c r="AX4434" s="442"/>
      <c r="AY4434" s="153"/>
      <c r="AZ4434" s="152"/>
      <c r="BA4434" s="152"/>
      <c r="BB4434" s="152"/>
      <c r="BC4434" s="152"/>
      <c r="BD4434" s="152"/>
      <c r="BE4434" s="152"/>
      <c r="BF4434" s="152"/>
      <c r="BG4434" s="152"/>
      <c r="BH4434" s="152"/>
      <c r="BI4434" s="153"/>
      <c r="BJ4434" s="153"/>
      <c r="BK4434" s="153"/>
      <c r="BL4434" s="153"/>
      <c r="BM4434" s="153"/>
      <c r="BN4434" s="153"/>
      <c r="BO4434" s="153"/>
      <c r="BP4434" s="153"/>
      <c r="BQ4434" s="153"/>
      <c r="BR4434" s="153"/>
      <c r="BS4434" s="153"/>
      <c r="BT4434" s="153"/>
      <c r="BU4434" s="153"/>
      <c r="BV4434" s="153"/>
      <c r="BW4434" s="153"/>
      <c r="BX4434" s="153"/>
      <c r="BY4434" s="153"/>
      <c r="BZ4434" s="153"/>
      <c r="CA4434" s="152"/>
      <c r="CB4434" s="152"/>
    </row>
    <row r="4435" spans="1:80" s="87" customFormat="1" ht="15" x14ac:dyDescent="0.25">
      <c r="A4435" s="152"/>
      <c r="B4435" s="683"/>
      <c r="C4435" s="683"/>
      <c r="D4435" s="698"/>
      <c r="E4435" s="215"/>
      <c r="F4435" s="215"/>
      <c r="G4435" s="153"/>
      <c r="H4435" s="153"/>
      <c r="I4435" s="326">
        <v>16</v>
      </c>
      <c r="J4435" s="326">
        <v>60</v>
      </c>
      <c r="K4435" s="150">
        <v>1</v>
      </c>
      <c r="L4435" s="656">
        <v>16</v>
      </c>
      <c r="M4435" s="663">
        <v>34463</v>
      </c>
      <c r="N4435" s="600">
        <v>0.98245000000000005</v>
      </c>
      <c r="O4435" s="604">
        <v>7.62E-3</v>
      </c>
      <c r="P4435" s="250"/>
      <c r="Q4435" s="250"/>
      <c r="R4435" s="250"/>
      <c r="S4435" s="250">
        <v>7.6600000000000001E-2</v>
      </c>
      <c r="T4435" s="250">
        <v>0.1076</v>
      </c>
      <c r="U4435" s="250">
        <v>0.24530000000000002</v>
      </c>
      <c r="V4435" s="250">
        <v>0.26464507236388696</v>
      </c>
      <c r="W4435" s="250">
        <v>0.22839421088904202</v>
      </c>
      <c r="X4435" s="250">
        <v>7.4293590627153683E-2</v>
      </c>
      <c r="Y4435" s="250">
        <v>3.0323914541695381E-3</v>
      </c>
      <c r="Z4435" s="150"/>
      <c r="AA4435" s="150">
        <v>1.66</v>
      </c>
      <c r="AB4435" s="152"/>
      <c r="AC4435" s="152"/>
      <c r="AD4435" s="223">
        <v>5.5471779999999997</v>
      </c>
      <c r="AE4435" s="223">
        <v>0.27735890000000002</v>
      </c>
      <c r="AF4435" s="223">
        <v>1.532751</v>
      </c>
      <c r="AG4435" s="223">
        <v>0.64920270000000002</v>
      </c>
      <c r="AH4435" s="341"/>
      <c r="AI4435" s="218"/>
      <c r="AJ4435" s="218"/>
      <c r="AK4435" s="153"/>
      <c r="AL4435" s="152"/>
      <c r="AM4435" s="152"/>
      <c r="AN4435" s="152"/>
      <c r="AO4435" s="152"/>
      <c r="AP4435" s="152"/>
      <c r="AQ4435" s="152"/>
      <c r="AR4435" s="152"/>
      <c r="AS4435" s="152"/>
      <c r="AT4435" s="152"/>
      <c r="AU4435" s="153"/>
      <c r="AV4435" s="479"/>
      <c r="AW4435" s="479"/>
      <c r="AX4435" s="442"/>
      <c r="AY4435" s="153"/>
      <c r="AZ4435" s="152"/>
      <c r="BA4435" s="152"/>
      <c r="BB4435" s="152"/>
      <c r="BC4435" s="152"/>
      <c r="BD4435" s="152"/>
      <c r="BE4435" s="152"/>
      <c r="BF4435" s="152"/>
      <c r="BG4435" s="152"/>
      <c r="BH4435" s="152"/>
      <c r="BI4435" s="153"/>
      <c r="BJ4435" s="153"/>
      <c r="BK4435" s="153"/>
      <c r="BL4435" s="153"/>
      <c r="BM4435" s="153"/>
      <c r="BN4435" s="153"/>
      <c r="BO4435" s="153"/>
      <c r="BP4435" s="153"/>
      <c r="BQ4435" s="153"/>
      <c r="BR4435" s="153"/>
      <c r="BS4435" s="153"/>
      <c r="BT4435" s="153"/>
      <c r="BU4435" s="153"/>
      <c r="BV4435" s="153"/>
      <c r="BW4435" s="153"/>
      <c r="BX4435" s="153"/>
      <c r="BY4435" s="153"/>
      <c r="BZ4435" s="153"/>
      <c r="CA4435" s="152"/>
      <c r="CB4435" s="152"/>
    </row>
    <row r="4436" spans="1:80" s="87" customFormat="1" ht="15" x14ac:dyDescent="0.25">
      <c r="A4436" s="152"/>
      <c r="B4436" s="683"/>
      <c r="C4436" s="683"/>
      <c r="D4436" s="698"/>
      <c r="E4436" s="215"/>
      <c r="F4436" s="215"/>
      <c r="G4436" s="153"/>
      <c r="H4436" s="153"/>
      <c r="I4436" s="326">
        <v>16</v>
      </c>
      <c r="J4436" s="326">
        <v>60</v>
      </c>
      <c r="K4436" s="150">
        <v>1</v>
      </c>
      <c r="L4436" s="656">
        <v>16</v>
      </c>
      <c r="M4436" s="663">
        <v>34463</v>
      </c>
      <c r="N4436" s="600">
        <v>0.98245000000000005</v>
      </c>
      <c r="O4436" s="604">
        <v>8.2810000000000002E-3</v>
      </c>
      <c r="P4436" s="250"/>
      <c r="Q4436" s="250"/>
      <c r="R4436" s="250">
        <v>0.1358</v>
      </c>
      <c r="S4436" s="250">
        <v>5.8099999999999999E-2</v>
      </c>
      <c r="T4436" s="250">
        <v>3.5699999999999996E-2</v>
      </c>
      <c r="U4436" s="250">
        <v>0.1472</v>
      </c>
      <c r="V4436" s="250">
        <v>0.27534576830351476</v>
      </c>
      <c r="W4436" s="250">
        <v>0.26037304910544345</v>
      </c>
      <c r="X4436" s="250">
        <v>8.2857505392716663E-2</v>
      </c>
      <c r="Y4436" s="250">
        <v>4.6948356807511729E-3</v>
      </c>
      <c r="Z4436" s="150"/>
      <c r="AA4436" s="150">
        <v>1.47</v>
      </c>
      <c r="AB4436" s="152"/>
      <c r="AC4436" s="152"/>
      <c r="AD4436" s="223">
        <v>5.5471779999999997</v>
      </c>
      <c r="AE4436" s="223">
        <v>0.27735890000000002</v>
      </c>
      <c r="AF4436" s="223">
        <v>1.532751</v>
      </c>
      <c r="AG4436" s="223">
        <v>0.64920270000000002</v>
      </c>
      <c r="AH4436" s="341"/>
      <c r="AI4436" s="218"/>
      <c r="AJ4436" s="218"/>
      <c r="AK4436" s="153"/>
      <c r="AL4436" s="152"/>
      <c r="AM4436" s="152"/>
      <c r="AN4436" s="152"/>
      <c r="AO4436" s="152"/>
      <c r="AP4436" s="152"/>
      <c r="AQ4436" s="152"/>
      <c r="AR4436" s="152"/>
      <c r="AS4436" s="152"/>
      <c r="AT4436" s="152"/>
      <c r="AU4436" s="153"/>
      <c r="AV4436" s="479"/>
      <c r="AW4436" s="479"/>
      <c r="AX4436" s="442"/>
      <c r="AY4436" s="153"/>
      <c r="AZ4436" s="152"/>
      <c r="BA4436" s="152"/>
      <c r="BB4436" s="152"/>
      <c r="BC4436" s="152"/>
      <c r="BD4436" s="152"/>
      <c r="BE4436" s="152"/>
      <c r="BF4436" s="152"/>
      <c r="BG4436" s="152"/>
      <c r="BH4436" s="152"/>
      <c r="BI4436" s="153"/>
      <c r="BJ4436" s="153"/>
      <c r="BK4436" s="153"/>
      <c r="BL4436" s="153"/>
      <c r="BM4436" s="153"/>
      <c r="BN4436" s="153"/>
      <c r="BO4436" s="153"/>
      <c r="BP4436" s="153"/>
      <c r="BQ4436" s="153"/>
      <c r="BR4436" s="153"/>
      <c r="BS4436" s="153"/>
      <c r="BT4436" s="153"/>
      <c r="BU4436" s="153"/>
      <c r="BV4436" s="153"/>
      <c r="BW4436" s="153"/>
      <c r="BX4436" s="153"/>
      <c r="BY4436" s="153"/>
      <c r="BZ4436" s="153"/>
      <c r="CA4436" s="152"/>
      <c r="CB4436" s="152"/>
    </row>
    <row r="4437" spans="1:80" s="87" customFormat="1" ht="15" x14ac:dyDescent="0.25">
      <c r="A4437" s="152"/>
      <c r="B4437" s="683"/>
      <c r="C4437" s="683"/>
      <c r="D4437" s="698"/>
      <c r="E4437" s="215"/>
      <c r="F4437" s="215"/>
      <c r="G4437" s="153"/>
      <c r="H4437" s="153"/>
      <c r="I4437" s="326">
        <v>18</v>
      </c>
      <c r="J4437" s="326">
        <v>60</v>
      </c>
      <c r="K4437" s="150">
        <v>1</v>
      </c>
      <c r="L4437" s="656">
        <v>18</v>
      </c>
      <c r="M4437" s="663">
        <v>34465</v>
      </c>
      <c r="N4437" s="600">
        <v>0.92015999999999998</v>
      </c>
      <c r="O4437" s="604">
        <v>4.2719999999999998E-3</v>
      </c>
      <c r="P4437" s="250"/>
      <c r="Q4437" s="250"/>
      <c r="R4437" s="250"/>
      <c r="S4437" s="250"/>
      <c r="T4437" s="250">
        <v>5.0199999999999995E-2</v>
      </c>
      <c r="U4437" s="250">
        <v>0.22750000000000001</v>
      </c>
      <c r="V4437" s="250">
        <v>0.33202164289227748</v>
      </c>
      <c r="W4437" s="250">
        <v>0.30521396950319724</v>
      </c>
      <c r="X4437" s="250">
        <v>8.2636497786522364E-2</v>
      </c>
      <c r="Y4437" s="250">
        <v>2.4594195769798328E-3</v>
      </c>
      <c r="Z4437" s="150"/>
      <c r="AA4437" s="150">
        <v>1.26</v>
      </c>
      <c r="AB4437" s="152"/>
      <c r="AC4437" s="152"/>
      <c r="AD4437" s="223">
        <v>5.5471779999999997</v>
      </c>
      <c r="AE4437" s="223">
        <v>0.24992780000000001</v>
      </c>
      <c r="AF4437" s="223">
        <v>1.39341</v>
      </c>
      <c r="AG4437" s="223">
        <v>0.6126279</v>
      </c>
      <c r="AH4437" s="341"/>
      <c r="AI4437" s="218"/>
      <c r="AJ4437" s="218"/>
      <c r="AK4437" s="153"/>
      <c r="AL4437" s="152"/>
      <c r="AM4437" s="152"/>
      <c r="AN4437" s="152"/>
      <c r="AO4437" s="152"/>
      <c r="AP4437" s="152"/>
      <c r="AQ4437" s="152"/>
      <c r="AR4437" s="152"/>
      <c r="AS4437" s="152"/>
      <c r="AT4437" s="152"/>
      <c r="AU4437" s="153"/>
      <c r="AV4437" s="479"/>
      <c r="AW4437" s="479"/>
      <c r="AX4437" s="442"/>
      <c r="AY4437" s="153"/>
      <c r="AZ4437" s="152"/>
      <c r="BA4437" s="152"/>
      <c r="BB4437" s="152"/>
      <c r="BC4437" s="152"/>
      <c r="BD4437" s="152"/>
      <c r="BE4437" s="152"/>
      <c r="BF4437" s="152"/>
      <c r="BG4437" s="152"/>
      <c r="BH4437" s="152"/>
      <c r="BI4437" s="153"/>
      <c r="BJ4437" s="153"/>
      <c r="BK4437" s="153"/>
      <c r="BL4437" s="153"/>
      <c r="BM4437" s="153"/>
      <c r="BN4437" s="153"/>
      <c r="BO4437" s="153"/>
      <c r="BP4437" s="153"/>
      <c r="BQ4437" s="153"/>
      <c r="BR4437" s="153"/>
      <c r="BS4437" s="153"/>
      <c r="BT4437" s="153"/>
      <c r="BU4437" s="153"/>
      <c r="BV4437" s="153"/>
      <c r="BW4437" s="153"/>
      <c r="BX4437" s="153"/>
      <c r="BY4437" s="153"/>
      <c r="BZ4437" s="153"/>
      <c r="CA4437" s="152"/>
      <c r="CB4437" s="152"/>
    </row>
    <row r="4438" spans="1:80" s="87" customFormat="1" ht="15" x14ac:dyDescent="0.25">
      <c r="A4438" s="152"/>
      <c r="B4438" s="683"/>
      <c r="C4438" s="683"/>
      <c r="D4438" s="698"/>
      <c r="E4438" s="215"/>
      <c r="F4438" s="215"/>
      <c r="G4438" s="153"/>
      <c r="H4438" s="153"/>
      <c r="I4438" s="326">
        <v>18</v>
      </c>
      <c r="J4438" s="326">
        <v>60</v>
      </c>
      <c r="K4438" s="150">
        <v>1</v>
      </c>
      <c r="L4438" s="656">
        <v>18</v>
      </c>
      <c r="M4438" s="663">
        <v>34465</v>
      </c>
      <c r="N4438" s="600">
        <v>0.92015999999999998</v>
      </c>
      <c r="O4438" s="604">
        <v>2.8233000000000001E-2</v>
      </c>
      <c r="P4438" s="250"/>
      <c r="Q4438" s="250"/>
      <c r="R4438" s="250"/>
      <c r="S4438" s="250">
        <v>6.8499999999999991E-2</v>
      </c>
      <c r="T4438" s="250">
        <v>0.1072</v>
      </c>
      <c r="U4438" s="250">
        <v>0.2883</v>
      </c>
      <c r="V4438" s="250">
        <v>0.34471230637792061</v>
      </c>
      <c r="W4438" s="250">
        <v>0.15081163404034026</v>
      </c>
      <c r="X4438" s="250">
        <v>3.9003008803536271E-2</v>
      </c>
      <c r="Y4438" s="250">
        <v>1.4858289068013818E-3</v>
      </c>
      <c r="Z4438" s="150"/>
      <c r="AA4438" s="150">
        <v>1.86</v>
      </c>
      <c r="AB4438" s="152"/>
      <c r="AC4438" s="152"/>
      <c r="AD4438" s="223">
        <v>5.5471779999999997</v>
      </c>
      <c r="AE4438" s="223">
        <v>0.24992780000000001</v>
      </c>
      <c r="AF4438" s="223">
        <v>1.39341</v>
      </c>
      <c r="AG4438" s="223">
        <v>0.6126279</v>
      </c>
      <c r="AH4438" s="341"/>
      <c r="AI4438" s="218"/>
      <c r="AJ4438" s="218"/>
      <c r="AK4438" s="153"/>
      <c r="AL4438" s="152"/>
      <c r="AM4438" s="152"/>
      <c r="AN4438" s="152"/>
      <c r="AO4438" s="152"/>
      <c r="AP4438" s="152"/>
      <c r="AQ4438" s="152"/>
      <c r="AR4438" s="152"/>
      <c r="AS4438" s="152"/>
      <c r="AT4438" s="152"/>
      <c r="AU4438" s="153"/>
      <c r="AV4438" s="479"/>
      <c r="AW4438" s="479"/>
      <c r="AX4438" s="442"/>
      <c r="AY4438" s="153"/>
      <c r="AZ4438" s="152"/>
      <c r="BA4438" s="152"/>
      <c r="BB4438" s="152"/>
      <c r="BC4438" s="152"/>
      <c r="BD4438" s="152"/>
      <c r="BE4438" s="152"/>
      <c r="BF4438" s="152"/>
      <c r="BG4438" s="152"/>
      <c r="BH4438" s="152"/>
      <c r="BI4438" s="153"/>
      <c r="BJ4438" s="153"/>
      <c r="BK4438" s="153"/>
      <c r="BL4438" s="153"/>
      <c r="BM4438" s="153"/>
      <c r="BN4438" s="153"/>
      <c r="BO4438" s="153"/>
      <c r="BP4438" s="153"/>
      <c r="BQ4438" s="153"/>
      <c r="BR4438" s="153"/>
      <c r="BS4438" s="153"/>
      <c r="BT4438" s="153"/>
      <c r="BU4438" s="153"/>
      <c r="BV4438" s="153"/>
      <c r="BW4438" s="153"/>
      <c r="BX4438" s="153"/>
      <c r="BY4438" s="153"/>
      <c r="BZ4438" s="153"/>
      <c r="CA4438" s="152"/>
      <c r="CB4438" s="152"/>
    </row>
    <row r="4439" spans="1:80" s="87" customFormat="1" ht="15" x14ac:dyDescent="0.25">
      <c r="A4439" s="152"/>
      <c r="B4439" s="683"/>
      <c r="C4439" s="683"/>
      <c r="D4439" s="698"/>
      <c r="E4439" s="215"/>
      <c r="F4439" s="215"/>
      <c r="G4439" s="153"/>
      <c r="H4439" s="153"/>
      <c r="I4439" s="326">
        <v>18</v>
      </c>
      <c r="J4439" s="326">
        <v>60</v>
      </c>
      <c r="K4439" s="150">
        <v>1</v>
      </c>
      <c r="L4439" s="656">
        <v>18</v>
      </c>
      <c r="M4439" s="663">
        <v>34466</v>
      </c>
      <c r="N4439" s="600">
        <v>0.84089000000000003</v>
      </c>
      <c r="O4439" s="604">
        <v>1.1019999999999999E-3</v>
      </c>
      <c r="P4439" s="250"/>
      <c r="Q4439" s="250"/>
      <c r="R4439" s="250"/>
      <c r="S4439" s="250">
        <v>8.199999999999999E-2</v>
      </c>
      <c r="T4439" s="250">
        <v>0.1182</v>
      </c>
      <c r="U4439" s="250">
        <v>0.1764</v>
      </c>
      <c r="V4439" s="250">
        <v>0.28026692087702576</v>
      </c>
      <c r="W4439" s="250">
        <v>0.25738798856053391</v>
      </c>
      <c r="X4439" s="250">
        <v>7.8169685414680667E-2</v>
      </c>
      <c r="Y4439" s="250">
        <v>7.6263107721639663E-3</v>
      </c>
      <c r="Z4439" s="150"/>
      <c r="AA4439" s="150">
        <v>1.47</v>
      </c>
      <c r="AB4439" s="152"/>
      <c r="AC4439" s="152"/>
      <c r="AD4439" s="223">
        <v>5.516699</v>
      </c>
      <c r="AE4439" s="223">
        <v>0.25297570000000003</v>
      </c>
      <c r="AF4439" s="223">
        <v>1.39341</v>
      </c>
      <c r="AG4439" s="223">
        <v>0.62481949999999997</v>
      </c>
      <c r="AH4439" s="341"/>
      <c r="AI4439" s="218"/>
      <c r="AJ4439" s="218"/>
      <c r="AK4439" s="153"/>
      <c r="AL4439" s="152"/>
      <c r="AM4439" s="152"/>
      <c r="AN4439" s="152"/>
      <c r="AO4439" s="152"/>
      <c r="AP4439" s="152"/>
      <c r="AQ4439" s="152"/>
      <c r="AR4439" s="152"/>
      <c r="AS4439" s="152"/>
      <c r="AT4439" s="152"/>
      <c r="AU4439" s="153"/>
      <c r="AV4439" s="479"/>
      <c r="AW4439" s="479"/>
      <c r="AX4439" s="442"/>
      <c r="AY4439" s="153"/>
      <c r="AZ4439" s="152"/>
      <c r="BA4439" s="152"/>
      <c r="BB4439" s="152"/>
      <c r="BC4439" s="152"/>
      <c r="BD4439" s="152"/>
      <c r="BE4439" s="152"/>
      <c r="BF4439" s="152"/>
      <c r="BG4439" s="152"/>
      <c r="BH4439" s="152"/>
      <c r="BI4439" s="153"/>
      <c r="BJ4439" s="153"/>
      <c r="BK4439" s="153"/>
      <c r="BL4439" s="153"/>
      <c r="BM4439" s="153"/>
      <c r="BN4439" s="153"/>
      <c r="BO4439" s="153"/>
      <c r="BP4439" s="153"/>
      <c r="BQ4439" s="153"/>
      <c r="BR4439" s="153"/>
      <c r="BS4439" s="153"/>
      <c r="BT4439" s="153"/>
      <c r="BU4439" s="153"/>
      <c r="BV4439" s="153"/>
      <c r="BW4439" s="153"/>
      <c r="BX4439" s="153"/>
      <c r="BY4439" s="153"/>
      <c r="BZ4439" s="153"/>
      <c r="CA4439" s="152"/>
      <c r="CB4439" s="152"/>
    </row>
    <row r="4440" spans="1:80" s="87" customFormat="1" ht="15" x14ac:dyDescent="0.25">
      <c r="A4440" s="152"/>
      <c r="B4440" s="683"/>
      <c r="C4440" s="683"/>
      <c r="D4440" s="698"/>
      <c r="E4440" s="215"/>
      <c r="F4440" s="215"/>
      <c r="G4440" s="153"/>
      <c r="H4440" s="153"/>
      <c r="I4440" s="326">
        <v>18</v>
      </c>
      <c r="J4440" s="326">
        <v>60</v>
      </c>
      <c r="K4440" s="150">
        <v>1</v>
      </c>
      <c r="L4440" s="656">
        <v>18</v>
      </c>
      <c r="M4440" s="663">
        <v>34466</v>
      </c>
      <c r="N4440" s="600">
        <v>0.84089000000000003</v>
      </c>
      <c r="O4440" s="604">
        <v>3.3899999999999998E-3</v>
      </c>
      <c r="P4440" s="250"/>
      <c r="Q4440" s="250"/>
      <c r="R4440" s="250">
        <v>0.1105</v>
      </c>
      <c r="S4440" s="250">
        <v>0.1012</v>
      </c>
      <c r="T4440" s="250">
        <v>8.6300000000000002E-2</v>
      </c>
      <c r="U4440" s="250">
        <v>0.15010000000000001</v>
      </c>
      <c r="V4440" s="250">
        <v>0.24783415841584161</v>
      </c>
      <c r="W4440" s="250">
        <v>0.24133663366336638</v>
      </c>
      <c r="X4440" s="250">
        <v>5.9096534653465344E-2</v>
      </c>
      <c r="Y4440" s="250">
        <v>3.7128712871287127E-3</v>
      </c>
      <c r="Z4440" s="150"/>
      <c r="AA4440" s="150">
        <v>1.73</v>
      </c>
      <c r="AB4440" s="152"/>
      <c r="AC4440" s="152"/>
      <c r="AD4440" s="223">
        <v>5.516699</v>
      </c>
      <c r="AE4440" s="223">
        <v>0.25297570000000003</v>
      </c>
      <c r="AF4440" s="223">
        <v>1.39341</v>
      </c>
      <c r="AG4440" s="223">
        <v>0.62481949999999997</v>
      </c>
      <c r="AH4440" s="341"/>
      <c r="AI4440" s="218"/>
      <c r="AJ4440" s="218"/>
      <c r="AK4440" s="153"/>
      <c r="AL4440" s="152"/>
      <c r="AM4440" s="152"/>
      <c r="AN4440" s="152"/>
      <c r="AO4440" s="152"/>
      <c r="AP4440" s="152"/>
      <c r="AQ4440" s="152"/>
      <c r="AR4440" s="152"/>
      <c r="AS4440" s="152"/>
      <c r="AT4440" s="152"/>
      <c r="AU4440" s="153"/>
      <c r="AV4440" s="479"/>
      <c r="AW4440" s="479"/>
      <c r="AX4440" s="442"/>
      <c r="AY4440" s="153"/>
      <c r="AZ4440" s="152"/>
      <c r="BA4440" s="152"/>
      <c r="BB4440" s="152"/>
      <c r="BC4440" s="152"/>
      <c r="BD4440" s="152"/>
      <c r="BE4440" s="152"/>
      <c r="BF4440" s="152"/>
      <c r="BG4440" s="152"/>
      <c r="BH4440" s="152"/>
      <c r="BI4440" s="153"/>
      <c r="BJ4440" s="153"/>
      <c r="BK4440" s="153"/>
      <c r="BL4440" s="153"/>
      <c r="BM4440" s="153"/>
      <c r="BN4440" s="153"/>
      <c r="BO4440" s="153"/>
      <c r="BP4440" s="153"/>
      <c r="BQ4440" s="153"/>
      <c r="BR4440" s="153"/>
      <c r="BS4440" s="153"/>
      <c r="BT4440" s="153"/>
      <c r="BU4440" s="153"/>
      <c r="BV4440" s="153"/>
      <c r="BW4440" s="153"/>
      <c r="BX4440" s="153"/>
      <c r="BY4440" s="153"/>
      <c r="BZ4440" s="153"/>
      <c r="CA4440" s="152"/>
      <c r="CB4440" s="152"/>
    </row>
    <row r="4441" spans="1:80" s="87" customFormat="1" ht="15" x14ac:dyDescent="0.25">
      <c r="A4441" s="152"/>
      <c r="B4441" s="683"/>
      <c r="C4441" s="683"/>
      <c r="D4441" s="698"/>
      <c r="E4441" s="215"/>
      <c r="F4441" s="215"/>
      <c r="G4441" s="153"/>
      <c r="H4441" s="153"/>
      <c r="I4441" s="326">
        <v>18</v>
      </c>
      <c r="J4441" s="326">
        <v>60</v>
      </c>
      <c r="K4441" s="150">
        <v>1</v>
      </c>
      <c r="L4441" s="656">
        <v>18</v>
      </c>
      <c r="M4441" s="663">
        <v>34470</v>
      </c>
      <c r="N4441" s="600">
        <v>0.58323999999999998</v>
      </c>
      <c r="O4441" s="604">
        <v>1.6479999999999999E-3</v>
      </c>
      <c r="P4441" s="250"/>
      <c r="Q4441" s="250"/>
      <c r="R4441" s="250"/>
      <c r="S4441" s="250"/>
      <c r="T4441" s="250">
        <v>3.8199999999999998E-2</v>
      </c>
      <c r="U4441" s="250">
        <v>0.16170000000000001</v>
      </c>
      <c r="V4441" s="250">
        <v>0.32972628898790579</v>
      </c>
      <c r="W4441" s="250">
        <v>0.34945894334818589</v>
      </c>
      <c r="X4441" s="250">
        <v>0.11266709102482496</v>
      </c>
      <c r="Y4441" s="250">
        <v>8.2749840865690653E-3</v>
      </c>
      <c r="Z4441" s="150"/>
      <c r="AA4441" s="150">
        <v>1.06</v>
      </c>
      <c r="AB4441" s="152"/>
      <c r="AC4441" s="152"/>
      <c r="AD4441" s="223">
        <v>5.4862200000000003</v>
      </c>
      <c r="AE4441" s="223">
        <v>0.20116139999999999</v>
      </c>
      <c r="AF4441" s="223">
        <v>1.0961491999999999</v>
      </c>
      <c r="AG4441" s="223">
        <v>0.49985560000000001</v>
      </c>
      <c r="AH4441" s="341"/>
      <c r="AI4441" s="218"/>
      <c r="AJ4441" s="218"/>
      <c r="AK4441" s="153"/>
      <c r="AL4441" s="152"/>
      <c r="AM4441" s="152"/>
      <c r="AN4441" s="152"/>
      <c r="AO4441" s="152"/>
      <c r="AP4441" s="152"/>
      <c r="AQ4441" s="152"/>
      <c r="AR4441" s="152"/>
      <c r="AS4441" s="152"/>
      <c r="AT4441" s="152"/>
      <c r="AU4441" s="153"/>
      <c r="AV4441" s="479"/>
      <c r="AW4441" s="479"/>
      <c r="AX4441" s="442"/>
      <c r="AY4441" s="153"/>
      <c r="AZ4441" s="152"/>
      <c r="BA4441" s="152"/>
      <c r="BB4441" s="152"/>
      <c r="BC4441" s="152"/>
      <c r="BD4441" s="152"/>
      <c r="BE4441" s="152"/>
      <c r="BF4441" s="152"/>
      <c r="BG4441" s="152"/>
      <c r="BH4441" s="152"/>
      <c r="BI4441" s="153"/>
      <c r="BJ4441" s="153"/>
      <c r="BK4441" s="153"/>
      <c r="BL4441" s="153"/>
      <c r="BM4441" s="153"/>
      <c r="BN4441" s="153"/>
      <c r="BO4441" s="153"/>
      <c r="BP4441" s="153"/>
      <c r="BQ4441" s="153"/>
      <c r="BR4441" s="153"/>
      <c r="BS4441" s="153"/>
      <c r="BT4441" s="153"/>
      <c r="BU4441" s="153"/>
      <c r="BV4441" s="153"/>
      <c r="BW4441" s="153"/>
      <c r="BX4441" s="153"/>
      <c r="BY4441" s="153"/>
      <c r="BZ4441" s="153"/>
      <c r="CA4441" s="152"/>
      <c r="CB4441" s="152"/>
    </row>
    <row r="4442" spans="1:80" s="87" customFormat="1" ht="15" x14ac:dyDescent="0.25">
      <c r="A4442" s="152"/>
      <c r="B4442" s="683"/>
      <c r="C4442" s="683"/>
      <c r="D4442" s="698"/>
      <c r="E4442" s="215"/>
      <c r="F4442" s="215"/>
      <c r="G4442" s="153"/>
      <c r="H4442" s="153"/>
      <c r="I4442" s="326">
        <v>18</v>
      </c>
      <c r="J4442" s="326">
        <v>60</v>
      </c>
      <c r="K4442" s="150">
        <v>1</v>
      </c>
      <c r="L4442" s="656">
        <v>18</v>
      </c>
      <c r="M4442" s="663">
        <v>34470</v>
      </c>
      <c r="N4442" s="600">
        <v>0.58323999999999998</v>
      </c>
      <c r="O4442" s="604">
        <v>1.65E-4</v>
      </c>
      <c r="P4442" s="250"/>
      <c r="Q4442" s="250"/>
      <c r="R4442" s="250"/>
      <c r="S4442" s="250"/>
      <c r="T4442" s="250">
        <v>0.12740000000000001</v>
      </c>
      <c r="U4442" s="250">
        <v>0.121</v>
      </c>
      <c r="V4442" s="250">
        <v>0.21019108280254778</v>
      </c>
      <c r="W4442" s="250">
        <v>0.28662420382165604</v>
      </c>
      <c r="X4442" s="250">
        <v>0.21656050955414011</v>
      </c>
      <c r="Y4442" s="250">
        <v>3.8216560509554132E-2</v>
      </c>
      <c r="Z4442" s="150"/>
      <c r="AA4442" s="150">
        <v>0.91</v>
      </c>
      <c r="AB4442" s="152"/>
      <c r="AC4442" s="152"/>
      <c r="AD4442" s="223">
        <v>5.4862200000000003</v>
      </c>
      <c r="AE4442" s="223">
        <v>0.20116139999999999</v>
      </c>
      <c r="AF4442" s="223">
        <v>1.0961491999999999</v>
      </c>
      <c r="AG4442" s="223">
        <v>0.49985560000000001</v>
      </c>
      <c r="AH4442" s="341"/>
      <c r="AI4442" s="218"/>
      <c r="AJ4442" s="218"/>
      <c r="AK4442" s="153"/>
      <c r="AL4442" s="152"/>
      <c r="AM4442" s="152"/>
      <c r="AN4442" s="152"/>
      <c r="AO4442" s="152"/>
      <c r="AP4442" s="152"/>
      <c r="AQ4442" s="152"/>
      <c r="AR4442" s="152"/>
      <c r="AS4442" s="152"/>
      <c r="AT4442" s="152"/>
      <c r="AU4442" s="153"/>
      <c r="AV4442" s="479"/>
      <c r="AW4442" s="479"/>
      <c r="AX4442" s="442"/>
      <c r="AY4442" s="153"/>
      <c r="AZ4442" s="152"/>
      <c r="BA4442" s="152"/>
      <c r="BB4442" s="152"/>
      <c r="BC4442" s="152"/>
      <c r="BD4442" s="152"/>
      <c r="BE4442" s="152"/>
      <c r="BF4442" s="152"/>
      <c r="BG4442" s="152"/>
      <c r="BH4442" s="152"/>
      <c r="BI4442" s="153"/>
      <c r="BJ4442" s="153"/>
      <c r="BK4442" s="153"/>
      <c r="BL4442" s="153"/>
      <c r="BM4442" s="153"/>
      <c r="BN4442" s="153"/>
      <c r="BO4442" s="153"/>
      <c r="BP4442" s="153"/>
      <c r="BQ4442" s="153"/>
      <c r="BR4442" s="153"/>
      <c r="BS4442" s="153"/>
      <c r="BT4442" s="153"/>
      <c r="BU4442" s="153"/>
      <c r="BV4442" s="153"/>
      <c r="BW4442" s="153"/>
      <c r="BX4442" s="153"/>
      <c r="BY4442" s="153"/>
      <c r="BZ4442" s="153"/>
      <c r="CA4442" s="152"/>
      <c r="CB4442" s="152"/>
    </row>
    <row r="4443" spans="1:80" s="87" customFormat="1" ht="15" x14ac:dyDescent="0.25">
      <c r="A4443" s="152"/>
      <c r="B4443" s="683"/>
      <c r="C4443" s="683"/>
      <c r="D4443" s="698"/>
      <c r="E4443" s="215"/>
      <c r="F4443" s="215"/>
      <c r="G4443" s="153"/>
      <c r="H4443" s="153"/>
      <c r="I4443" s="326">
        <v>18</v>
      </c>
      <c r="J4443" s="326">
        <v>60</v>
      </c>
      <c r="K4443" s="150">
        <v>1</v>
      </c>
      <c r="L4443" s="656">
        <v>18</v>
      </c>
      <c r="M4443" s="663">
        <v>34471</v>
      </c>
      <c r="N4443" s="600">
        <v>0.84089000000000003</v>
      </c>
      <c r="O4443" s="604">
        <v>6.8120000000000003E-3</v>
      </c>
      <c r="P4443" s="250"/>
      <c r="Q4443" s="250"/>
      <c r="R4443" s="250"/>
      <c r="S4443" s="250">
        <v>2.8199999999999999E-2</v>
      </c>
      <c r="T4443" s="250">
        <v>9.3200000000000005E-2</v>
      </c>
      <c r="U4443" s="250">
        <v>0.2341</v>
      </c>
      <c r="V4443" s="250">
        <v>0.36044362292051751</v>
      </c>
      <c r="W4443" s="250">
        <v>0.22365988909426981</v>
      </c>
      <c r="X4443" s="250">
        <v>5.7917436845348114E-2</v>
      </c>
      <c r="Y4443" s="250">
        <v>2.4645717806531112E-3</v>
      </c>
      <c r="Z4443" s="150"/>
      <c r="AA4443" s="150">
        <v>1.51</v>
      </c>
      <c r="AB4443" s="152"/>
      <c r="AC4443" s="152"/>
      <c r="AD4443" s="223">
        <v>5.608136</v>
      </c>
      <c r="AE4443" s="223">
        <v>0.24992780000000001</v>
      </c>
      <c r="AF4443" s="223">
        <v>1.4026993999999999</v>
      </c>
      <c r="AG4443" s="223">
        <v>0.61872369999999999</v>
      </c>
      <c r="AH4443" s="341"/>
      <c r="AI4443" s="218"/>
      <c r="AJ4443" s="218"/>
      <c r="AK4443" s="153"/>
      <c r="AL4443" s="152"/>
      <c r="AM4443" s="152"/>
      <c r="AN4443" s="152"/>
      <c r="AO4443" s="152"/>
      <c r="AP4443" s="152"/>
      <c r="AQ4443" s="152"/>
      <c r="AR4443" s="152"/>
      <c r="AS4443" s="152"/>
      <c r="AT4443" s="152"/>
      <c r="AU4443" s="153"/>
      <c r="AV4443" s="479"/>
      <c r="AW4443" s="479"/>
      <c r="AX4443" s="442"/>
      <c r="AY4443" s="153"/>
      <c r="AZ4443" s="152"/>
      <c r="BA4443" s="152"/>
      <c r="BB4443" s="152"/>
      <c r="BC4443" s="152"/>
      <c r="BD4443" s="152"/>
      <c r="BE4443" s="152"/>
      <c r="BF4443" s="152"/>
      <c r="BG4443" s="152"/>
      <c r="BH4443" s="152"/>
      <c r="BI4443" s="153"/>
      <c r="BJ4443" s="153"/>
      <c r="BK4443" s="153"/>
      <c r="BL4443" s="153"/>
      <c r="BM4443" s="153"/>
      <c r="BN4443" s="153"/>
      <c r="BO4443" s="153"/>
      <c r="BP4443" s="153"/>
      <c r="BQ4443" s="153"/>
      <c r="BR4443" s="153"/>
      <c r="BS4443" s="153"/>
      <c r="BT4443" s="153"/>
      <c r="BU4443" s="153"/>
      <c r="BV4443" s="153"/>
      <c r="BW4443" s="153"/>
      <c r="BX4443" s="153"/>
      <c r="BY4443" s="153"/>
      <c r="BZ4443" s="153"/>
      <c r="CA4443" s="152"/>
      <c r="CB4443" s="152"/>
    </row>
    <row r="4444" spans="1:80" s="87" customFormat="1" ht="15" x14ac:dyDescent="0.25">
      <c r="A4444" s="152"/>
      <c r="B4444" s="683"/>
      <c r="C4444" s="683"/>
      <c r="D4444" s="698"/>
      <c r="E4444" s="215"/>
      <c r="F4444" s="215"/>
      <c r="G4444" s="153"/>
      <c r="H4444" s="153"/>
      <c r="I4444" s="326">
        <v>18</v>
      </c>
      <c r="J4444" s="326">
        <v>60</v>
      </c>
      <c r="K4444" s="150">
        <v>1</v>
      </c>
      <c r="L4444" s="656">
        <v>18</v>
      </c>
      <c r="M4444" s="663">
        <v>34471</v>
      </c>
      <c r="N4444" s="600">
        <v>0.84089000000000003</v>
      </c>
      <c r="O4444" s="604">
        <v>5.7099999999999998E-3</v>
      </c>
      <c r="P4444" s="250"/>
      <c r="Q4444" s="250"/>
      <c r="R4444" s="250"/>
      <c r="S4444" s="250">
        <v>5.4000000000000006E-2</v>
      </c>
      <c r="T4444" s="250">
        <v>9.9000000000000005E-2</v>
      </c>
      <c r="U4444" s="250">
        <v>0.25540000000000002</v>
      </c>
      <c r="V4444" s="250">
        <v>0.30503491363469315</v>
      </c>
      <c r="W4444" s="250">
        <v>0.23098125689084895</v>
      </c>
      <c r="X4444" s="250">
        <v>5.3472987872105839E-2</v>
      </c>
      <c r="Y4444" s="250">
        <v>2.0213156927600148E-3</v>
      </c>
      <c r="Z4444" s="150"/>
      <c r="AA4444" s="150">
        <v>1.62</v>
      </c>
      <c r="AB4444" s="152"/>
      <c r="AC4444" s="152"/>
      <c r="AD4444" s="223">
        <v>5.608136</v>
      </c>
      <c r="AE4444" s="223">
        <v>0.24992780000000001</v>
      </c>
      <c r="AF4444" s="223">
        <v>1.4026993999999999</v>
      </c>
      <c r="AG4444" s="223">
        <v>0.61872369999999999</v>
      </c>
      <c r="AH4444" s="341"/>
      <c r="AI4444" s="218"/>
      <c r="AJ4444" s="218"/>
      <c r="AK4444" s="153"/>
      <c r="AL4444" s="152"/>
      <c r="AM4444" s="152"/>
      <c r="AN4444" s="152"/>
      <c r="AO4444" s="152"/>
      <c r="AP4444" s="152"/>
      <c r="AQ4444" s="152"/>
      <c r="AR4444" s="152"/>
      <c r="AS4444" s="152"/>
      <c r="AT4444" s="152"/>
      <c r="AU4444" s="153"/>
      <c r="AV4444" s="479"/>
      <c r="AW4444" s="479"/>
      <c r="AX4444" s="442"/>
      <c r="AY4444" s="153"/>
      <c r="AZ4444" s="152"/>
      <c r="BA4444" s="152"/>
      <c r="BB4444" s="152"/>
      <c r="BC4444" s="152"/>
      <c r="BD4444" s="152"/>
      <c r="BE4444" s="152"/>
      <c r="BF4444" s="152"/>
      <c r="BG4444" s="152"/>
      <c r="BH4444" s="152"/>
      <c r="BI4444" s="153"/>
      <c r="BJ4444" s="153"/>
      <c r="BK4444" s="153"/>
      <c r="BL4444" s="153"/>
      <c r="BM4444" s="153"/>
      <c r="BN4444" s="153"/>
      <c r="BO4444" s="153"/>
      <c r="BP4444" s="153"/>
      <c r="BQ4444" s="153"/>
      <c r="BR4444" s="153"/>
      <c r="BS4444" s="153"/>
      <c r="BT4444" s="153"/>
      <c r="BU4444" s="153"/>
      <c r="BV4444" s="153"/>
      <c r="BW4444" s="153"/>
      <c r="BX4444" s="153"/>
      <c r="BY4444" s="153"/>
      <c r="BZ4444" s="153"/>
      <c r="CA4444" s="152"/>
      <c r="CB4444" s="152"/>
    </row>
    <row r="4445" spans="1:80" s="87" customFormat="1" ht="15" x14ac:dyDescent="0.25">
      <c r="A4445" s="152"/>
      <c r="B4445" s="683"/>
      <c r="C4445" s="683"/>
      <c r="D4445" s="698"/>
      <c r="E4445" s="215"/>
      <c r="F4445" s="215"/>
      <c r="G4445" s="153"/>
      <c r="H4445" s="153"/>
      <c r="I4445" s="326">
        <v>18</v>
      </c>
      <c r="J4445" s="326">
        <v>60</v>
      </c>
      <c r="K4445" s="150">
        <v>1</v>
      </c>
      <c r="L4445" s="656">
        <v>18</v>
      </c>
      <c r="M4445" s="663">
        <v>34474</v>
      </c>
      <c r="N4445" s="600">
        <v>0.72197</v>
      </c>
      <c r="O4445" s="604">
        <v>8.1969999999999994E-3</v>
      </c>
      <c r="P4445" s="250"/>
      <c r="Q4445" s="250"/>
      <c r="R4445" s="250"/>
      <c r="S4445" s="250">
        <v>4.7199999999999999E-2</v>
      </c>
      <c r="T4445" s="250">
        <v>0.15890000000000001</v>
      </c>
      <c r="U4445" s="250">
        <v>0.2102</v>
      </c>
      <c r="V4445" s="250">
        <v>0.2704088171216199</v>
      </c>
      <c r="W4445" s="250">
        <v>0.22952710495963088</v>
      </c>
      <c r="X4445" s="250">
        <v>8.0225554273997191E-2</v>
      </c>
      <c r="Y4445" s="250">
        <v>3.5883634499551454E-3</v>
      </c>
      <c r="Z4445" s="150"/>
      <c r="AA4445" s="150">
        <v>1.61</v>
      </c>
      <c r="AB4445" s="152"/>
      <c r="AC4445" s="152"/>
      <c r="AD4445" s="223">
        <v>5.516699</v>
      </c>
      <c r="AE4445" s="223">
        <v>0.23468829999999999</v>
      </c>
      <c r="AF4445" s="223">
        <v>1.300516</v>
      </c>
      <c r="AG4445" s="223">
        <v>0.53338249999999998</v>
      </c>
      <c r="AH4445" s="341"/>
      <c r="AI4445" s="218"/>
      <c r="AJ4445" s="218"/>
      <c r="AK4445" s="153"/>
      <c r="AL4445" s="152"/>
      <c r="AM4445" s="152"/>
      <c r="AN4445" s="152"/>
      <c r="AO4445" s="152"/>
      <c r="AP4445" s="152"/>
      <c r="AQ4445" s="152"/>
      <c r="AR4445" s="152"/>
      <c r="AS4445" s="152"/>
      <c r="AT4445" s="152"/>
      <c r="AU4445" s="153"/>
      <c r="AV4445" s="479"/>
      <c r="AW4445" s="479"/>
      <c r="AX4445" s="442"/>
      <c r="AY4445" s="153"/>
      <c r="AZ4445" s="152"/>
      <c r="BA4445" s="152"/>
      <c r="BB4445" s="152"/>
      <c r="BC4445" s="152"/>
      <c r="BD4445" s="152"/>
      <c r="BE4445" s="152"/>
      <c r="BF4445" s="152"/>
      <c r="BG4445" s="152"/>
      <c r="BH4445" s="152"/>
      <c r="BI4445" s="153"/>
      <c r="BJ4445" s="153"/>
      <c r="BK4445" s="153"/>
      <c r="BL4445" s="153"/>
      <c r="BM4445" s="153"/>
      <c r="BN4445" s="153"/>
      <c r="BO4445" s="153"/>
      <c r="BP4445" s="153"/>
      <c r="BQ4445" s="153"/>
      <c r="BR4445" s="153"/>
      <c r="BS4445" s="153"/>
      <c r="BT4445" s="153"/>
      <c r="BU4445" s="153"/>
      <c r="BV4445" s="153"/>
      <c r="BW4445" s="153"/>
      <c r="BX4445" s="153"/>
      <c r="BY4445" s="153"/>
      <c r="BZ4445" s="153"/>
      <c r="CA4445" s="152"/>
      <c r="CB4445" s="152"/>
    </row>
    <row r="4446" spans="1:80" s="87" customFormat="1" ht="15" x14ac:dyDescent="0.25">
      <c r="A4446" s="152"/>
      <c r="B4446" s="683"/>
      <c r="C4446" s="683"/>
      <c r="D4446" s="698"/>
      <c r="E4446" s="215"/>
      <c r="F4446" s="215"/>
      <c r="G4446" s="153"/>
      <c r="H4446" s="153"/>
      <c r="I4446" s="326">
        <v>18</v>
      </c>
      <c r="J4446" s="326">
        <v>60</v>
      </c>
      <c r="K4446" s="150">
        <v>1</v>
      </c>
      <c r="L4446" s="656">
        <v>18</v>
      </c>
      <c r="M4446" s="663">
        <v>34474</v>
      </c>
      <c r="N4446" s="600">
        <v>0.72197</v>
      </c>
      <c r="O4446" s="604">
        <v>1.2699999999999999E-2</v>
      </c>
      <c r="P4446" s="250"/>
      <c r="Q4446" s="250"/>
      <c r="R4446" s="250">
        <v>3.1699999999999999E-2</v>
      </c>
      <c r="S4446" s="250">
        <v>9.2799999999999994E-2</v>
      </c>
      <c r="T4446" s="250">
        <v>0.15859999999999999</v>
      </c>
      <c r="U4446" s="250">
        <v>0.19289999999999999</v>
      </c>
      <c r="V4446" s="250">
        <v>0.24321873196471264</v>
      </c>
      <c r="W4446" s="250">
        <v>0.21139417923983836</v>
      </c>
      <c r="X4446" s="250">
        <v>6.6452304394426578E-2</v>
      </c>
      <c r="Y4446" s="250">
        <v>2.8031989446780435E-3</v>
      </c>
      <c r="Z4446" s="150"/>
      <c r="AA4446" s="150">
        <v>1.87</v>
      </c>
      <c r="AB4446" s="152"/>
      <c r="AC4446" s="152"/>
      <c r="AD4446" s="223">
        <v>5.516699</v>
      </c>
      <c r="AE4446" s="223">
        <v>0.23468829999999999</v>
      </c>
      <c r="AF4446" s="223">
        <v>1.300516</v>
      </c>
      <c r="AG4446" s="223">
        <v>0.53338249999999998</v>
      </c>
      <c r="AH4446" s="341"/>
      <c r="AI4446" s="218"/>
      <c r="AJ4446" s="218"/>
      <c r="AK4446" s="153"/>
      <c r="AL4446" s="152"/>
      <c r="AM4446" s="152"/>
      <c r="AN4446" s="152"/>
      <c r="AO4446" s="152"/>
      <c r="AP4446" s="152"/>
      <c r="AQ4446" s="152"/>
      <c r="AR4446" s="152"/>
      <c r="AS4446" s="152"/>
      <c r="AT4446" s="152"/>
      <c r="AU4446" s="153"/>
      <c r="AV4446" s="479"/>
      <c r="AW4446" s="479"/>
      <c r="AX4446" s="442"/>
      <c r="AY4446" s="153"/>
      <c r="AZ4446" s="152"/>
      <c r="BA4446" s="152"/>
      <c r="BB4446" s="152"/>
      <c r="BC4446" s="152"/>
      <c r="BD4446" s="152"/>
      <c r="BE4446" s="152"/>
      <c r="BF4446" s="152"/>
      <c r="BG4446" s="152"/>
      <c r="BH4446" s="152"/>
      <c r="BI4446" s="153"/>
      <c r="BJ4446" s="153"/>
      <c r="BK4446" s="153"/>
      <c r="BL4446" s="153"/>
      <c r="BM4446" s="153"/>
      <c r="BN4446" s="153"/>
      <c r="BO4446" s="153"/>
      <c r="BP4446" s="153"/>
      <c r="BQ4446" s="153"/>
      <c r="BR4446" s="153"/>
      <c r="BS4446" s="153"/>
      <c r="BT4446" s="153"/>
      <c r="BU4446" s="153"/>
      <c r="BV4446" s="153"/>
      <c r="BW4446" s="153"/>
      <c r="BX4446" s="153"/>
      <c r="BY4446" s="153"/>
      <c r="BZ4446" s="153"/>
      <c r="CA4446" s="152"/>
      <c r="CB4446" s="152"/>
    </row>
    <row r="4447" spans="1:80" s="87" customFormat="1" ht="15" x14ac:dyDescent="0.25">
      <c r="A4447" s="152"/>
      <c r="B4447" s="683"/>
      <c r="C4447" s="683"/>
      <c r="D4447" s="698"/>
      <c r="E4447" s="215"/>
      <c r="F4447" s="215"/>
      <c r="G4447" s="153"/>
      <c r="H4447" s="153"/>
      <c r="I4447" s="326">
        <v>18</v>
      </c>
      <c r="J4447" s="326">
        <v>60</v>
      </c>
      <c r="K4447" s="150">
        <v>1</v>
      </c>
      <c r="L4447" s="656">
        <v>18</v>
      </c>
      <c r="M4447" s="663">
        <v>34477</v>
      </c>
      <c r="N4447" s="600">
        <v>0.75029000000000001</v>
      </c>
      <c r="O4447" s="604">
        <v>9.0050000000000009E-3</v>
      </c>
      <c r="P4447" s="250"/>
      <c r="Q4447" s="250"/>
      <c r="R4447" s="250"/>
      <c r="S4447" s="250">
        <v>8.5199999999999998E-2</v>
      </c>
      <c r="T4447" s="250">
        <v>0.1128</v>
      </c>
      <c r="U4447" s="250">
        <v>0.20269999999999999</v>
      </c>
      <c r="V4447" s="250">
        <v>0.30638397017707364</v>
      </c>
      <c r="W4447" s="250">
        <v>0.21738117427772599</v>
      </c>
      <c r="X4447" s="250">
        <v>7.1411929170549851E-2</v>
      </c>
      <c r="Y4447" s="250">
        <v>4.1938490214352281E-3</v>
      </c>
      <c r="Z4447" s="150"/>
      <c r="AA4447" s="150">
        <v>1.6</v>
      </c>
      <c r="AB4447" s="152"/>
      <c r="AC4447" s="152"/>
      <c r="AD4447" s="223">
        <v>5.516699</v>
      </c>
      <c r="AE4447" s="223">
        <v>0.24687990000000001</v>
      </c>
      <c r="AF4447" s="223">
        <v>1.3562524</v>
      </c>
      <c r="AG4447" s="223">
        <v>0.51509510000000003</v>
      </c>
      <c r="AH4447" s="341"/>
      <c r="AI4447" s="218"/>
      <c r="AJ4447" s="218"/>
      <c r="AK4447" s="153"/>
      <c r="AL4447" s="152"/>
      <c r="AM4447" s="152"/>
      <c r="AN4447" s="152"/>
      <c r="AO4447" s="152"/>
      <c r="AP4447" s="152"/>
      <c r="AQ4447" s="152"/>
      <c r="AR4447" s="152"/>
      <c r="AS4447" s="152"/>
      <c r="AT4447" s="152"/>
      <c r="AU4447" s="153"/>
      <c r="AV4447" s="479"/>
      <c r="AW4447" s="479"/>
      <c r="AX4447" s="442"/>
      <c r="AY4447" s="153"/>
      <c r="AZ4447" s="152"/>
      <c r="BA4447" s="152"/>
      <c r="BB4447" s="152"/>
      <c r="BC4447" s="152"/>
      <c r="BD4447" s="152"/>
      <c r="BE4447" s="152"/>
      <c r="BF4447" s="152"/>
      <c r="BG4447" s="152"/>
      <c r="BH4447" s="152"/>
      <c r="BI4447" s="153"/>
      <c r="BJ4447" s="153"/>
      <c r="BK4447" s="153"/>
      <c r="BL4447" s="153"/>
      <c r="BM4447" s="153"/>
      <c r="BN4447" s="153"/>
      <c r="BO4447" s="153"/>
      <c r="BP4447" s="153"/>
      <c r="BQ4447" s="153"/>
      <c r="BR4447" s="153"/>
      <c r="BS4447" s="153"/>
      <c r="BT4447" s="153"/>
      <c r="BU4447" s="153"/>
      <c r="BV4447" s="153"/>
      <c r="BW4447" s="153"/>
      <c r="BX4447" s="153"/>
      <c r="BY4447" s="153"/>
      <c r="BZ4447" s="153"/>
      <c r="CA4447" s="152"/>
      <c r="CB4447" s="152"/>
    </row>
    <row r="4448" spans="1:80" s="87" customFormat="1" ht="15" x14ac:dyDescent="0.25">
      <c r="A4448" s="152"/>
      <c r="B4448" s="683"/>
      <c r="C4448" s="683"/>
      <c r="D4448" s="698"/>
      <c r="E4448" s="215"/>
      <c r="F4448" s="215"/>
      <c r="G4448" s="153"/>
      <c r="H4448" s="153"/>
      <c r="I4448" s="326">
        <v>18</v>
      </c>
      <c r="J4448" s="326">
        <v>60</v>
      </c>
      <c r="K4448" s="150">
        <v>1</v>
      </c>
      <c r="L4448" s="656">
        <v>18</v>
      </c>
      <c r="M4448" s="663">
        <v>34477</v>
      </c>
      <c r="N4448" s="600">
        <v>0.75029000000000001</v>
      </c>
      <c r="O4448" s="604">
        <v>1.1335E-2</v>
      </c>
      <c r="P4448" s="250"/>
      <c r="Q4448" s="250"/>
      <c r="R4448" s="250"/>
      <c r="S4448" s="250">
        <v>7.2599999999999998E-2</v>
      </c>
      <c r="T4448" s="250">
        <v>9.5600000000000004E-2</v>
      </c>
      <c r="U4448" s="250">
        <v>0.21059999999999998</v>
      </c>
      <c r="V4448" s="250">
        <v>0.35196304849884524</v>
      </c>
      <c r="W4448" s="250">
        <v>0.21394919168591223</v>
      </c>
      <c r="X4448" s="250">
        <v>5.330254041570439E-2</v>
      </c>
      <c r="Y4448" s="250">
        <v>1.9399538106235565E-3</v>
      </c>
      <c r="Z4448" s="150"/>
      <c r="AA4448" s="150">
        <v>1.58</v>
      </c>
      <c r="AB4448" s="152"/>
      <c r="AC4448" s="152"/>
      <c r="AD4448" s="223">
        <v>5.516699</v>
      </c>
      <c r="AE4448" s="223">
        <v>0.24687990000000001</v>
      </c>
      <c r="AF4448" s="223">
        <v>1.3562524</v>
      </c>
      <c r="AG4448" s="223">
        <v>0.51509510000000003</v>
      </c>
      <c r="AH4448" s="341"/>
      <c r="AI4448" s="218"/>
      <c r="AJ4448" s="218"/>
      <c r="AK4448" s="153"/>
      <c r="AL4448" s="152"/>
      <c r="AM4448" s="152"/>
      <c r="AN4448" s="152"/>
      <c r="AO4448" s="152"/>
      <c r="AP4448" s="152"/>
      <c r="AQ4448" s="152"/>
      <c r="AR4448" s="152"/>
      <c r="AS4448" s="152"/>
      <c r="AT4448" s="152"/>
      <c r="AU4448" s="153"/>
      <c r="AV4448" s="479"/>
      <c r="AW4448" s="479"/>
      <c r="AX4448" s="442"/>
      <c r="AY4448" s="153"/>
      <c r="AZ4448" s="152"/>
      <c r="BA4448" s="152"/>
      <c r="BB4448" s="152"/>
      <c r="BC4448" s="152"/>
      <c r="BD4448" s="152"/>
      <c r="BE4448" s="152"/>
      <c r="BF4448" s="152"/>
      <c r="BG4448" s="152"/>
      <c r="BH4448" s="152"/>
      <c r="BI4448" s="153"/>
      <c r="BJ4448" s="153"/>
      <c r="BK4448" s="153"/>
      <c r="BL4448" s="153"/>
      <c r="BM4448" s="153"/>
      <c r="BN4448" s="153"/>
      <c r="BO4448" s="153"/>
      <c r="BP4448" s="153"/>
      <c r="BQ4448" s="153"/>
      <c r="BR4448" s="153"/>
      <c r="BS4448" s="153"/>
      <c r="BT4448" s="153"/>
      <c r="BU4448" s="153"/>
      <c r="BV4448" s="153"/>
      <c r="BW4448" s="153"/>
      <c r="BX4448" s="153"/>
      <c r="BY4448" s="153"/>
      <c r="BZ4448" s="153"/>
      <c r="CA4448" s="152"/>
      <c r="CB4448" s="152"/>
    </row>
    <row r="4449" spans="1:80" s="87" customFormat="1" ht="15" x14ac:dyDescent="0.25">
      <c r="A4449" s="152"/>
      <c r="B4449" s="683"/>
      <c r="C4449" s="683"/>
      <c r="D4449" s="698"/>
      <c r="E4449" s="215"/>
      <c r="F4449" s="215"/>
      <c r="G4449" s="153"/>
      <c r="H4449" s="153"/>
      <c r="I4449" s="326">
        <v>18</v>
      </c>
      <c r="J4449" s="326">
        <v>60</v>
      </c>
      <c r="K4449" s="150">
        <v>1</v>
      </c>
      <c r="L4449" s="656">
        <v>18</v>
      </c>
      <c r="M4449" s="663">
        <v>34478</v>
      </c>
      <c r="N4449" s="600">
        <v>0.69649000000000005</v>
      </c>
      <c r="O4449" s="604">
        <v>2.3089999999999999E-3</v>
      </c>
      <c r="P4449" s="250"/>
      <c r="Q4449" s="250"/>
      <c r="R4449" s="250"/>
      <c r="S4449" s="250"/>
      <c r="T4449" s="250">
        <v>3.8100000000000002E-2</v>
      </c>
      <c r="U4449" s="250">
        <v>0.19989999999999999</v>
      </c>
      <c r="V4449" s="250">
        <v>0.43880326382592932</v>
      </c>
      <c r="W4449" s="250">
        <v>0.26699909338168637</v>
      </c>
      <c r="X4449" s="250">
        <v>5.3490480507706266E-2</v>
      </c>
      <c r="Y4449" s="250">
        <v>2.7198549410698105E-3</v>
      </c>
      <c r="Z4449" s="150"/>
      <c r="AA4449" s="150">
        <v>1.32</v>
      </c>
      <c r="AB4449" s="152"/>
      <c r="AC4449" s="152"/>
      <c r="AD4449" s="223">
        <v>5.516699</v>
      </c>
      <c r="AE4449" s="223">
        <v>0.23468829999999999</v>
      </c>
      <c r="AF4449" s="223">
        <v>1.300516</v>
      </c>
      <c r="AG4449" s="223">
        <v>0.51509510000000003</v>
      </c>
      <c r="AH4449" s="341"/>
      <c r="AI4449" s="218"/>
      <c r="AJ4449" s="218"/>
      <c r="AK4449" s="153"/>
      <c r="AL4449" s="152"/>
      <c r="AM4449" s="152"/>
      <c r="AN4449" s="152"/>
      <c r="AO4449" s="152"/>
      <c r="AP4449" s="152"/>
      <c r="AQ4449" s="152"/>
      <c r="AR4449" s="152"/>
      <c r="AS4449" s="152"/>
      <c r="AT4449" s="152"/>
      <c r="AU4449" s="153"/>
      <c r="AV4449" s="479"/>
      <c r="AW4449" s="479"/>
      <c r="AX4449" s="442"/>
      <c r="AY4449" s="153"/>
      <c r="AZ4449" s="152"/>
      <c r="BA4449" s="152"/>
      <c r="BB4449" s="152"/>
      <c r="BC4449" s="152"/>
      <c r="BD4449" s="152"/>
      <c r="BE4449" s="152"/>
      <c r="BF4449" s="152"/>
      <c r="BG4449" s="152"/>
      <c r="BH4449" s="152"/>
      <c r="BI4449" s="153"/>
      <c r="BJ4449" s="153"/>
      <c r="BK4449" s="153"/>
      <c r="BL4449" s="153"/>
      <c r="BM4449" s="153"/>
      <c r="BN4449" s="153"/>
      <c r="BO4449" s="153"/>
      <c r="BP4449" s="153"/>
      <c r="BQ4449" s="153"/>
      <c r="BR4449" s="153"/>
      <c r="BS4449" s="153"/>
      <c r="BT4449" s="153"/>
      <c r="BU4449" s="153"/>
      <c r="BV4449" s="153"/>
      <c r="BW4449" s="153"/>
      <c r="BX4449" s="153"/>
      <c r="BY4449" s="153"/>
      <c r="BZ4449" s="153"/>
      <c r="CA4449" s="152"/>
      <c r="CB4449" s="152"/>
    </row>
    <row r="4450" spans="1:80" s="87" customFormat="1" ht="15" x14ac:dyDescent="0.25">
      <c r="A4450" s="152"/>
      <c r="B4450" s="683"/>
      <c r="C4450" s="683"/>
      <c r="D4450" s="698"/>
      <c r="E4450" s="215"/>
      <c r="F4450" s="215"/>
      <c r="G4450" s="153"/>
      <c r="H4450" s="153"/>
      <c r="I4450" s="326">
        <v>18</v>
      </c>
      <c r="J4450" s="326">
        <v>60</v>
      </c>
      <c r="K4450" s="150">
        <v>1</v>
      </c>
      <c r="L4450" s="656">
        <v>18</v>
      </c>
      <c r="M4450" s="663">
        <v>34478</v>
      </c>
      <c r="N4450" s="600">
        <v>0.69649000000000005</v>
      </c>
      <c r="O4450" s="604">
        <v>1.5640000000000001E-3</v>
      </c>
      <c r="P4450" s="250"/>
      <c r="Q4450" s="250"/>
      <c r="R4450" s="250"/>
      <c r="S4450" s="250">
        <v>3.1E-2</v>
      </c>
      <c r="T4450" s="250">
        <v>1.41E-2</v>
      </c>
      <c r="U4450" s="250">
        <v>0.19390000000000002</v>
      </c>
      <c r="V4450" s="250">
        <v>0.47340067340067343</v>
      </c>
      <c r="W4450" s="250">
        <v>0.23232323232323232</v>
      </c>
      <c r="X4450" s="250">
        <v>5.1178451178451184E-2</v>
      </c>
      <c r="Y4450" s="250">
        <v>4.0404040404040404E-3</v>
      </c>
      <c r="Z4450" s="150"/>
      <c r="AA4450" s="150">
        <v>1.36</v>
      </c>
      <c r="AB4450" s="152"/>
      <c r="AC4450" s="152"/>
      <c r="AD4450" s="223">
        <v>5.516699</v>
      </c>
      <c r="AE4450" s="223">
        <v>0.23468829999999999</v>
      </c>
      <c r="AF4450" s="223">
        <v>1.300516</v>
      </c>
      <c r="AG4450" s="223">
        <v>0.51509510000000003</v>
      </c>
      <c r="AH4450" s="341"/>
      <c r="AI4450" s="218"/>
      <c r="AJ4450" s="218"/>
      <c r="AK4450" s="153"/>
      <c r="AL4450" s="152"/>
      <c r="AM4450" s="152"/>
      <c r="AN4450" s="152"/>
      <c r="AO4450" s="152"/>
      <c r="AP4450" s="152"/>
      <c r="AQ4450" s="152"/>
      <c r="AR4450" s="152"/>
      <c r="AS4450" s="152"/>
      <c r="AT4450" s="152"/>
      <c r="AU4450" s="153"/>
      <c r="AV4450" s="479"/>
      <c r="AW4450" s="479"/>
      <c r="AX4450" s="442"/>
      <c r="AY4450" s="153"/>
      <c r="AZ4450" s="152"/>
      <c r="BA4450" s="152"/>
      <c r="BB4450" s="152"/>
      <c r="BC4450" s="152"/>
      <c r="BD4450" s="152"/>
      <c r="BE4450" s="152"/>
      <c r="BF4450" s="152"/>
      <c r="BG4450" s="152"/>
      <c r="BH4450" s="152"/>
      <c r="BI4450" s="153"/>
      <c r="BJ4450" s="153"/>
      <c r="BK4450" s="153"/>
      <c r="BL4450" s="153"/>
      <c r="BM4450" s="153"/>
      <c r="BN4450" s="153"/>
      <c r="BO4450" s="153"/>
      <c r="BP4450" s="153"/>
      <c r="BQ4450" s="153"/>
      <c r="BR4450" s="153"/>
      <c r="BS4450" s="153"/>
      <c r="BT4450" s="153"/>
      <c r="BU4450" s="153"/>
      <c r="BV4450" s="153"/>
      <c r="BW4450" s="153"/>
      <c r="BX4450" s="153"/>
      <c r="BY4450" s="153"/>
      <c r="BZ4450" s="153"/>
      <c r="CA4450" s="152"/>
      <c r="CB4450" s="152"/>
    </row>
    <row r="4451" spans="1:80" s="87" customFormat="1" ht="15" x14ac:dyDescent="0.25">
      <c r="A4451" s="152"/>
      <c r="B4451" s="683"/>
      <c r="C4451" s="683"/>
      <c r="D4451" s="698"/>
      <c r="E4451" s="215"/>
      <c r="F4451" s="215"/>
      <c r="G4451" s="153"/>
      <c r="H4451" s="153"/>
      <c r="I4451" s="326">
        <v>18</v>
      </c>
      <c r="J4451" s="326">
        <v>60</v>
      </c>
      <c r="K4451" s="150">
        <v>1</v>
      </c>
      <c r="L4451" s="656">
        <v>18</v>
      </c>
      <c r="M4451" s="663">
        <v>34479</v>
      </c>
      <c r="N4451" s="600">
        <v>0.64553000000000005</v>
      </c>
      <c r="O4451" s="604">
        <v>7.6410000000000002E-3</v>
      </c>
      <c r="P4451" s="250"/>
      <c r="Q4451" s="250"/>
      <c r="R4451" s="250"/>
      <c r="S4451" s="250">
        <v>4.2199999999999994E-2</v>
      </c>
      <c r="T4451" s="250">
        <v>0.1048</v>
      </c>
      <c r="U4451" s="250">
        <v>0.24199999999999999</v>
      </c>
      <c r="V4451" s="250">
        <v>0.35336174893441502</v>
      </c>
      <c r="W4451" s="250">
        <v>0.21572941014711947</v>
      </c>
      <c r="X4451" s="250">
        <v>4.0148494431458827E-2</v>
      </c>
      <c r="Y4451" s="250">
        <v>1.7874329712635776E-3</v>
      </c>
      <c r="Z4451" s="150"/>
      <c r="AA4451" s="150">
        <v>1.61</v>
      </c>
      <c r="AB4451" s="152"/>
      <c r="AC4451" s="152"/>
      <c r="AD4451" s="223">
        <v>5.516699</v>
      </c>
      <c r="AE4451" s="223">
        <v>0.24383199999999999</v>
      </c>
      <c r="AF4451" s="223">
        <v>1.3469629999999999</v>
      </c>
      <c r="AG4451" s="223">
        <v>0.48461609999999999</v>
      </c>
      <c r="AH4451" s="341"/>
      <c r="AI4451" s="218"/>
      <c r="AJ4451" s="218"/>
      <c r="AK4451" s="153"/>
      <c r="AL4451" s="152"/>
      <c r="AM4451" s="152"/>
      <c r="AN4451" s="152"/>
      <c r="AO4451" s="152"/>
      <c r="AP4451" s="152"/>
      <c r="AQ4451" s="152"/>
      <c r="AR4451" s="152"/>
      <c r="AS4451" s="152"/>
      <c r="AT4451" s="152"/>
      <c r="AU4451" s="153"/>
      <c r="AV4451" s="479"/>
      <c r="AW4451" s="479"/>
      <c r="AX4451" s="442"/>
      <c r="AY4451" s="153"/>
      <c r="AZ4451" s="152"/>
      <c r="BA4451" s="152"/>
      <c r="BB4451" s="152"/>
      <c r="BC4451" s="152"/>
      <c r="BD4451" s="152"/>
      <c r="BE4451" s="152"/>
      <c r="BF4451" s="152"/>
      <c r="BG4451" s="152"/>
      <c r="BH4451" s="152"/>
      <c r="BI4451" s="153"/>
      <c r="BJ4451" s="153"/>
      <c r="BK4451" s="153"/>
      <c r="BL4451" s="153"/>
      <c r="BM4451" s="153"/>
      <c r="BN4451" s="153"/>
      <c r="BO4451" s="153"/>
      <c r="BP4451" s="153"/>
      <c r="BQ4451" s="153"/>
      <c r="BR4451" s="153"/>
      <c r="BS4451" s="153"/>
      <c r="BT4451" s="153"/>
      <c r="BU4451" s="153"/>
      <c r="BV4451" s="153"/>
      <c r="BW4451" s="153"/>
      <c r="BX4451" s="153"/>
      <c r="BY4451" s="153"/>
      <c r="BZ4451" s="153"/>
      <c r="CA4451" s="152"/>
      <c r="CB4451" s="152"/>
    </row>
    <row r="4452" spans="1:80" s="87" customFormat="1" ht="15" x14ac:dyDescent="0.25">
      <c r="A4452" s="152"/>
      <c r="B4452" s="683"/>
      <c r="C4452" s="683"/>
      <c r="D4452" s="698"/>
      <c r="E4452" s="215"/>
      <c r="F4452" s="215"/>
      <c r="G4452" s="153"/>
      <c r="H4452" s="153"/>
      <c r="I4452" s="326">
        <v>18</v>
      </c>
      <c r="J4452" s="326">
        <v>60</v>
      </c>
      <c r="K4452" s="150">
        <v>1</v>
      </c>
      <c r="L4452" s="656">
        <v>18</v>
      </c>
      <c r="M4452" s="663">
        <v>34479</v>
      </c>
      <c r="N4452" s="600">
        <v>0.64553000000000005</v>
      </c>
      <c r="O4452" s="604">
        <v>6.6540000000000002E-3</v>
      </c>
      <c r="P4452" s="250"/>
      <c r="Q4452" s="250"/>
      <c r="R4452" s="250"/>
      <c r="S4452" s="250"/>
      <c r="T4452" s="250">
        <v>9.6000000000000002E-2</v>
      </c>
      <c r="U4452" s="250">
        <v>0.1782</v>
      </c>
      <c r="V4452" s="250">
        <v>0.4083885209713024</v>
      </c>
      <c r="W4452" s="250">
        <v>0.26947335225480917</v>
      </c>
      <c r="X4452" s="250">
        <v>4.6515294859665719E-2</v>
      </c>
      <c r="Y4452" s="250">
        <v>1.4191106906338694E-3</v>
      </c>
      <c r="Z4452" s="150"/>
      <c r="AA4452" s="150">
        <v>1.36</v>
      </c>
      <c r="AB4452" s="152"/>
      <c r="AC4452" s="152"/>
      <c r="AD4452" s="223">
        <v>5.516699</v>
      </c>
      <c r="AE4452" s="223">
        <v>0.24383199999999999</v>
      </c>
      <c r="AF4452" s="223">
        <v>1.3469629999999999</v>
      </c>
      <c r="AG4452" s="223">
        <v>0.48461609999999999</v>
      </c>
      <c r="AH4452" s="341"/>
      <c r="AI4452" s="218"/>
      <c r="AJ4452" s="218"/>
      <c r="AK4452" s="153"/>
      <c r="AL4452" s="152"/>
      <c r="AM4452" s="152"/>
      <c r="AN4452" s="152"/>
      <c r="AO4452" s="152"/>
      <c r="AP4452" s="152"/>
      <c r="AQ4452" s="152"/>
      <c r="AR4452" s="152"/>
      <c r="AS4452" s="152"/>
      <c r="AT4452" s="152"/>
      <c r="AU4452" s="153"/>
      <c r="AV4452" s="479"/>
      <c r="AW4452" s="479"/>
      <c r="AX4452" s="442"/>
      <c r="AY4452" s="153"/>
      <c r="AZ4452" s="152"/>
      <c r="BA4452" s="152"/>
      <c r="BB4452" s="152"/>
      <c r="BC4452" s="152"/>
      <c r="BD4452" s="152"/>
      <c r="BE4452" s="152"/>
      <c r="BF4452" s="152"/>
      <c r="BG4452" s="152"/>
      <c r="BH4452" s="152"/>
      <c r="BI4452" s="153"/>
      <c r="BJ4452" s="153"/>
      <c r="BK4452" s="153"/>
      <c r="BL4452" s="153"/>
      <c r="BM4452" s="153"/>
      <c r="BN4452" s="153"/>
      <c r="BO4452" s="153"/>
      <c r="BP4452" s="153"/>
      <c r="BQ4452" s="153"/>
      <c r="BR4452" s="153"/>
      <c r="BS4452" s="153"/>
      <c r="BT4452" s="153"/>
      <c r="BU4452" s="153"/>
      <c r="BV4452" s="153"/>
      <c r="BW4452" s="153"/>
      <c r="BX4452" s="153"/>
      <c r="BY4452" s="153"/>
      <c r="BZ4452" s="153"/>
      <c r="CA4452" s="152"/>
      <c r="CB4452" s="152"/>
    </row>
    <row r="4453" spans="1:80" s="87" customFormat="1" ht="15" x14ac:dyDescent="0.25">
      <c r="A4453" s="152"/>
      <c r="B4453" s="683"/>
      <c r="C4453" s="683"/>
      <c r="D4453" s="698"/>
      <c r="E4453" s="215"/>
      <c r="F4453" s="215"/>
      <c r="G4453" s="153"/>
      <c r="H4453" s="153"/>
      <c r="I4453" s="326">
        <v>18</v>
      </c>
      <c r="J4453" s="326">
        <v>60</v>
      </c>
      <c r="K4453" s="150">
        <v>1</v>
      </c>
      <c r="L4453" s="656">
        <v>18</v>
      </c>
      <c r="M4453" s="663">
        <v>34480</v>
      </c>
      <c r="N4453" s="600">
        <v>0.60023000000000004</v>
      </c>
      <c r="O4453" s="604">
        <v>5.0799999999999999E-4</v>
      </c>
      <c r="P4453" s="250"/>
      <c r="Q4453" s="250"/>
      <c r="R4453" s="250"/>
      <c r="S4453" s="250"/>
      <c r="T4453" s="250"/>
      <c r="U4453" s="250">
        <v>0.10310000000000001</v>
      </c>
      <c r="V4453" s="250">
        <v>0.46391752577319584</v>
      </c>
      <c r="W4453" s="250">
        <v>0.32989690721649478</v>
      </c>
      <c r="X4453" s="250">
        <v>9.4845360824742264E-2</v>
      </c>
      <c r="Y4453" s="250">
        <v>8.2474226804123713E-3</v>
      </c>
      <c r="Z4453" s="150"/>
      <c r="AA4453" s="150">
        <v>1.1100000000000001</v>
      </c>
      <c r="AB4453" s="152"/>
      <c r="AC4453" s="152"/>
      <c r="AD4453" s="223">
        <v>5.516699</v>
      </c>
      <c r="AE4453" s="223">
        <v>0.2285925</v>
      </c>
      <c r="AF4453" s="223">
        <v>1.2633584</v>
      </c>
      <c r="AG4453" s="223">
        <v>0.45413710000000002</v>
      </c>
      <c r="AH4453" s="341"/>
      <c r="AI4453" s="218"/>
      <c r="AJ4453" s="218"/>
      <c r="AK4453" s="153"/>
      <c r="AL4453" s="152"/>
      <c r="AM4453" s="152"/>
      <c r="AN4453" s="152"/>
      <c r="AO4453" s="152"/>
      <c r="AP4453" s="152"/>
      <c r="AQ4453" s="152"/>
      <c r="AR4453" s="152"/>
      <c r="AS4453" s="152"/>
      <c r="AT4453" s="152"/>
      <c r="AU4453" s="153"/>
      <c r="AV4453" s="479"/>
      <c r="AW4453" s="479"/>
      <c r="AX4453" s="442"/>
      <c r="AY4453" s="153"/>
      <c r="AZ4453" s="152"/>
      <c r="BA4453" s="152"/>
      <c r="BB4453" s="152"/>
      <c r="BC4453" s="152"/>
      <c r="BD4453" s="152"/>
      <c r="BE4453" s="152"/>
      <c r="BF4453" s="152"/>
      <c r="BG4453" s="152"/>
      <c r="BH4453" s="152"/>
      <c r="BI4453" s="153"/>
      <c r="BJ4453" s="153"/>
      <c r="BK4453" s="153"/>
      <c r="BL4453" s="153"/>
      <c r="BM4453" s="153"/>
      <c r="BN4453" s="153"/>
      <c r="BO4453" s="153"/>
      <c r="BP4453" s="153"/>
      <c r="BQ4453" s="153"/>
      <c r="BR4453" s="153"/>
      <c r="BS4453" s="153"/>
      <c r="BT4453" s="153"/>
      <c r="BU4453" s="153"/>
      <c r="BV4453" s="153"/>
      <c r="BW4453" s="153"/>
      <c r="BX4453" s="153"/>
      <c r="BY4453" s="153"/>
      <c r="BZ4453" s="153"/>
      <c r="CA4453" s="152"/>
      <c r="CB4453" s="152"/>
    </row>
    <row r="4454" spans="1:80" s="87" customFormat="1" ht="15" x14ac:dyDescent="0.25">
      <c r="A4454" s="152"/>
      <c r="B4454" s="683"/>
      <c r="C4454" s="683"/>
      <c r="D4454" s="698"/>
      <c r="E4454" s="215"/>
      <c r="F4454" s="215"/>
      <c r="G4454" s="153"/>
      <c r="H4454" s="153"/>
      <c r="I4454" s="326">
        <v>18</v>
      </c>
      <c r="J4454" s="326">
        <v>60</v>
      </c>
      <c r="K4454" s="150">
        <v>1</v>
      </c>
      <c r="L4454" s="656">
        <v>18</v>
      </c>
      <c r="M4454" s="663">
        <v>34480</v>
      </c>
      <c r="N4454" s="600">
        <v>0.60023000000000004</v>
      </c>
      <c r="O4454" s="604">
        <v>1.7699999999999999E-4</v>
      </c>
      <c r="P4454" s="250"/>
      <c r="Q4454" s="250"/>
      <c r="R4454" s="250"/>
      <c r="S4454" s="250"/>
      <c r="T4454" s="250"/>
      <c r="U4454" s="250">
        <v>7.690000000000001E-2</v>
      </c>
      <c r="V4454" s="250">
        <v>0.44970414201183428</v>
      </c>
      <c r="W4454" s="250">
        <v>0.32544378698224846</v>
      </c>
      <c r="X4454" s="250">
        <v>0.13017751479289941</v>
      </c>
      <c r="Y4454" s="250">
        <v>1.7751479289940825E-2</v>
      </c>
      <c r="Z4454" s="150"/>
      <c r="AA4454" s="150">
        <v>1.04</v>
      </c>
      <c r="AB4454" s="152"/>
      <c r="AC4454" s="152"/>
      <c r="AD4454" s="223">
        <v>5.516699</v>
      </c>
      <c r="AE4454" s="223">
        <v>0.2285925</v>
      </c>
      <c r="AF4454" s="223">
        <v>1.2633584</v>
      </c>
      <c r="AG4454" s="223">
        <v>0.45413710000000002</v>
      </c>
      <c r="AH4454" s="341"/>
      <c r="AI4454" s="218"/>
      <c r="AJ4454" s="218"/>
      <c r="AK4454" s="153"/>
      <c r="AL4454" s="152"/>
      <c r="AM4454" s="152"/>
      <c r="AN4454" s="152"/>
      <c r="AO4454" s="152"/>
      <c r="AP4454" s="152"/>
      <c r="AQ4454" s="152"/>
      <c r="AR4454" s="152"/>
      <c r="AS4454" s="152"/>
      <c r="AT4454" s="152"/>
      <c r="AU4454" s="153"/>
      <c r="AV4454" s="479"/>
      <c r="AW4454" s="479"/>
      <c r="AX4454" s="442"/>
      <c r="AY4454" s="153"/>
      <c r="AZ4454" s="152"/>
      <c r="BA4454" s="152"/>
      <c r="BB4454" s="152"/>
      <c r="BC4454" s="152"/>
      <c r="BD4454" s="152"/>
      <c r="BE4454" s="152"/>
      <c r="BF4454" s="152"/>
      <c r="BG4454" s="152"/>
      <c r="BH4454" s="152"/>
      <c r="BI4454" s="153"/>
      <c r="BJ4454" s="153"/>
      <c r="BK4454" s="153"/>
      <c r="BL4454" s="153"/>
      <c r="BM4454" s="153"/>
      <c r="BN4454" s="153"/>
      <c r="BO4454" s="153"/>
      <c r="BP4454" s="153"/>
      <c r="BQ4454" s="153"/>
      <c r="BR4454" s="153"/>
      <c r="BS4454" s="153"/>
      <c r="BT4454" s="153"/>
      <c r="BU4454" s="153"/>
      <c r="BV4454" s="153"/>
      <c r="BW4454" s="153"/>
      <c r="BX4454" s="153"/>
      <c r="BY4454" s="153"/>
      <c r="BZ4454" s="153"/>
      <c r="CA4454" s="152"/>
      <c r="CB4454" s="152"/>
    </row>
    <row r="4455" spans="1:80" s="87" customFormat="1" ht="15" x14ac:dyDescent="0.25">
      <c r="A4455" s="152"/>
      <c r="B4455" s="683"/>
      <c r="C4455" s="683"/>
      <c r="D4455" s="698"/>
      <c r="E4455" s="215"/>
      <c r="F4455" s="215"/>
      <c r="G4455" s="153"/>
      <c r="H4455" s="153"/>
      <c r="I4455" s="326">
        <v>18</v>
      </c>
      <c r="J4455" s="326">
        <v>60</v>
      </c>
      <c r="K4455" s="150">
        <v>1</v>
      </c>
      <c r="L4455" s="656">
        <v>18</v>
      </c>
      <c r="M4455" s="663">
        <v>34486</v>
      </c>
      <c r="N4455" s="600">
        <v>0.49547000000000002</v>
      </c>
      <c r="O4455" s="604">
        <v>1.6789999999999999E-3</v>
      </c>
      <c r="P4455" s="250"/>
      <c r="Q4455" s="250"/>
      <c r="R4455" s="250"/>
      <c r="S4455" s="250"/>
      <c r="T4455" s="250"/>
      <c r="U4455" s="250">
        <v>9.1700000000000004E-2</v>
      </c>
      <c r="V4455" s="250">
        <v>0.33312538989394885</v>
      </c>
      <c r="W4455" s="250">
        <v>0.4173424828446663</v>
      </c>
      <c r="X4455" s="250">
        <v>0.14847161572052403</v>
      </c>
      <c r="Y4455" s="250">
        <v>9.3574547723019336E-3</v>
      </c>
      <c r="Z4455" s="150"/>
      <c r="AA4455" s="150">
        <v>0.9</v>
      </c>
      <c r="AB4455" s="152"/>
      <c r="AC4455" s="152"/>
      <c r="AD4455" s="223">
        <v>5.4862200000000003</v>
      </c>
      <c r="AE4455" s="223">
        <v>0.2316404</v>
      </c>
      <c r="AF4455" s="223">
        <v>1.2726478000000001</v>
      </c>
      <c r="AG4455" s="223">
        <v>0.40841860000000002</v>
      </c>
      <c r="AH4455" s="341"/>
      <c r="AI4455" s="218"/>
      <c r="AJ4455" s="218"/>
      <c r="AK4455" s="153"/>
      <c r="AL4455" s="152"/>
      <c r="AM4455" s="152"/>
      <c r="AN4455" s="152"/>
      <c r="AO4455" s="152"/>
      <c r="AP4455" s="152"/>
      <c r="AQ4455" s="152"/>
      <c r="AR4455" s="152"/>
      <c r="AS4455" s="152"/>
      <c r="AT4455" s="152"/>
      <c r="AU4455" s="153"/>
      <c r="AV4455" s="479"/>
      <c r="AW4455" s="479"/>
      <c r="AX4455" s="442"/>
      <c r="AY4455" s="153"/>
      <c r="AZ4455" s="152"/>
      <c r="BA4455" s="152"/>
      <c r="BB4455" s="152"/>
      <c r="BC4455" s="152"/>
      <c r="BD4455" s="152"/>
      <c r="BE4455" s="152"/>
      <c r="BF4455" s="152"/>
      <c r="BG4455" s="152"/>
      <c r="BH4455" s="152"/>
      <c r="BI4455" s="153"/>
      <c r="BJ4455" s="153"/>
      <c r="BK4455" s="153"/>
      <c r="BL4455" s="153"/>
      <c r="BM4455" s="153"/>
      <c r="BN4455" s="153"/>
      <c r="BO4455" s="153"/>
      <c r="BP4455" s="153"/>
      <c r="BQ4455" s="153"/>
      <c r="BR4455" s="153"/>
      <c r="BS4455" s="153"/>
      <c r="BT4455" s="153"/>
      <c r="BU4455" s="153"/>
      <c r="BV4455" s="153"/>
      <c r="BW4455" s="153"/>
      <c r="BX4455" s="153"/>
      <c r="BY4455" s="153"/>
      <c r="BZ4455" s="153"/>
      <c r="CA4455" s="152"/>
      <c r="CB4455" s="152"/>
    </row>
    <row r="4456" spans="1:80" s="87" customFormat="1" ht="15" x14ac:dyDescent="0.25">
      <c r="A4456" s="152"/>
      <c r="B4456" s="683"/>
      <c r="C4456" s="683"/>
      <c r="D4456" s="698"/>
      <c r="E4456" s="215"/>
      <c r="F4456" s="215"/>
      <c r="G4456" s="153"/>
      <c r="H4456" s="153"/>
      <c r="I4456" s="326">
        <v>18</v>
      </c>
      <c r="J4456" s="326">
        <v>60</v>
      </c>
      <c r="K4456" s="150">
        <v>1</v>
      </c>
      <c r="L4456" s="656">
        <v>18</v>
      </c>
      <c r="M4456" s="663">
        <v>34486</v>
      </c>
      <c r="N4456" s="600">
        <v>0.49547000000000002</v>
      </c>
      <c r="O4456" s="604">
        <v>2.2669999999999999E-3</v>
      </c>
      <c r="P4456" s="250"/>
      <c r="Q4456" s="250"/>
      <c r="R4456" s="250"/>
      <c r="S4456" s="250">
        <v>1.89E-2</v>
      </c>
      <c r="T4456" s="250">
        <v>4.2500000000000003E-2</v>
      </c>
      <c r="U4456" s="250">
        <v>0.1575</v>
      </c>
      <c r="V4456" s="250">
        <v>0.40184757505773677</v>
      </c>
      <c r="W4456" s="250">
        <v>0.32009237875288682</v>
      </c>
      <c r="X4456" s="250">
        <v>5.5889145496535793E-2</v>
      </c>
      <c r="Y4456" s="250">
        <v>3.2332563510392609E-3</v>
      </c>
      <c r="Z4456" s="150"/>
      <c r="AA4456" s="150">
        <v>1.23</v>
      </c>
      <c r="AB4456" s="152"/>
      <c r="AC4456" s="152"/>
      <c r="AD4456" s="223">
        <v>5.4862200000000003</v>
      </c>
      <c r="AE4456" s="223">
        <v>0.2316404</v>
      </c>
      <c r="AF4456" s="223">
        <v>1.2726478000000001</v>
      </c>
      <c r="AG4456" s="223">
        <v>0.40841860000000002</v>
      </c>
      <c r="AH4456" s="341"/>
      <c r="AI4456" s="218"/>
      <c r="AJ4456" s="218"/>
      <c r="AK4456" s="153"/>
      <c r="AL4456" s="152"/>
      <c r="AM4456" s="152"/>
      <c r="AN4456" s="152"/>
      <c r="AO4456" s="152"/>
      <c r="AP4456" s="152"/>
      <c r="AQ4456" s="152"/>
      <c r="AR4456" s="152"/>
      <c r="AS4456" s="152"/>
      <c r="AT4456" s="152"/>
      <c r="AU4456" s="153"/>
      <c r="AV4456" s="479"/>
      <c r="AW4456" s="479"/>
      <c r="AX4456" s="442"/>
      <c r="AY4456" s="153"/>
      <c r="AZ4456" s="152"/>
      <c r="BA4456" s="152"/>
      <c r="BB4456" s="152"/>
      <c r="BC4456" s="152"/>
      <c r="BD4456" s="152"/>
      <c r="BE4456" s="152"/>
      <c r="BF4456" s="152"/>
      <c r="BG4456" s="152"/>
      <c r="BH4456" s="152"/>
      <c r="BI4456" s="153"/>
      <c r="BJ4456" s="153"/>
      <c r="BK4456" s="153"/>
      <c r="BL4456" s="153"/>
      <c r="BM4456" s="153"/>
      <c r="BN4456" s="153"/>
      <c r="BO4456" s="153"/>
      <c r="BP4456" s="153"/>
      <c r="BQ4456" s="153"/>
      <c r="BR4456" s="153"/>
      <c r="BS4456" s="153"/>
      <c r="BT4456" s="153"/>
      <c r="BU4456" s="153"/>
      <c r="BV4456" s="153"/>
      <c r="BW4456" s="153"/>
      <c r="BX4456" s="153"/>
      <c r="BY4456" s="153"/>
      <c r="BZ4456" s="153"/>
      <c r="CA4456" s="152"/>
      <c r="CB4456" s="152"/>
    </row>
    <row r="4457" spans="1:80" s="87" customFormat="1" ht="15" x14ac:dyDescent="0.25">
      <c r="A4457" s="152"/>
      <c r="B4457" s="683"/>
      <c r="C4457" s="683"/>
      <c r="D4457" s="698"/>
      <c r="E4457" s="215"/>
      <c r="F4457" s="215"/>
      <c r="G4457" s="153"/>
      <c r="H4457" s="153"/>
      <c r="I4457" s="326">
        <v>18</v>
      </c>
      <c r="J4457" s="326">
        <v>60</v>
      </c>
      <c r="K4457" s="150">
        <v>1</v>
      </c>
      <c r="L4457" s="656">
        <v>18</v>
      </c>
      <c r="M4457" s="663">
        <v>34487</v>
      </c>
      <c r="N4457" s="600">
        <v>0.42752000000000001</v>
      </c>
      <c r="O4457" s="604">
        <v>3.107E-3</v>
      </c>
      <c r="P4457" s="250"/>
      <c r="Q4457" s="250"/>
      <c r="R4457" s="250"/>
      <c r="S4457" s="250">
        <v>3.4799999999999998E-2</v>
      </c>
      <c r="T4457" s="250">
        <v>4.9000000000000002E-2</v>
      </c>
      <c r="U4457" s="250">
        <v>0.2041</v>
      </c>
      <c r="V4457" s="250">
        <v>0.37837837837837829</v>
      </c>
      <c r="W4457" s="250">
        <v>0.28547297297297297</v>
      </c>
      <c r="X4457" s="250">
        <v>4.3918918918918901E-2</v>
      </c>
      <c r="Y4457" s="250">
        <v>4.3918918918918913E-3</v>
      </c>
      <c r="Z4457" s="150"/>
      <c r="AA4457" s="150">
        <v>1.36</v>
      </c>
      <c r="AB4457" s="152"/>
      <c r="AC4457" s="152"/>
      <c r="AD4457" s="223">
        <v>5.333825</v>
      </c>
      <c r="AE4457" s="223">
        <v>0.19506560000000001</v>
      </c>
      <c r="AF4457" s="223">
        <v>1.0404127999999999</v>
      </c>
      <c r="AG4457" s="223">
        <v>0.42061019999999999</v>
      </c>
      <c r="AH4457" s="341"/>
      <c r="AI4457" s="218"/>
      <c r="AJ4457" s="218"/>
      <c r="AK4457" s="153"/>
      <c r="AL4457" s="152"/>
      <c r="AM4457" s="152"/>
      <c r="AN4457" s="152"/>
      <c r="AO4457" s="152"/>
      <c r="AP4457" s="152"/>
      <c r="AQ4457" s="152"/>
      <c r="AR4457" s="152"/>
      <c r="AS4457" s="152"/>
      <c r="AT4457" s="152"/>
      <c r="AU4457" s="153"/>
      <c r="AV4457" s="479"/>
      <c r="AW4457" s="479"/>
      <c r="AX4457" s="442"/>
      <c r="AY4457" s="153"/>
      <c r="AZ4457" s="152"/>
      <c r="BA4457" s="152"/>
      <c r="BB4457" s="152"/>
      <c r="BC4457" s="152"/>
      <c r="BD4457" s="152"/>
      <c r="BE4457" s="152"/>
      <c r="BF4457" s="152"/>
      <c r="BG4457" s="152"/>
      <c r="BH4457" s="152"/>
      <c r="BI4457" s="153"/>
      <c r="BJ4457" s="153"/>
      <c r="BK4457" s="153"/>
      <c r="BL4457" s="153"/>
      <c r="BM4457" s="153"/>
      <c r="BN4457" s="153"/>
      <c r="BO4457" s="153"/>
      <c r="BP4457" s="153"/>
      <c r="BQ4457" s="153"/>
      <c r="BR4457" s="153"/>
      <c r="BS4457" s="153"/>
      <c r="BT4457" s="153"/>
      <c r="BU4457" s="153"/>
      <c r="BV4457" s="153"/>
      <c r="BW4457" s="153"/>
      <c r="BX4457" s="153"/>
      <c r="BY4457" s="153"/>
      <c r="BZ4457" s="153"/>
      <c r="CA4457" s="152"/>
      <c r="CB4457" s="152"/>
    </row>
    <row r="4458" spans="1:80" s="87" customFormat="1" ht="15" x14ac:dyDescent="0.25">
      <c r="A4458" s="152"/>
      <c r="B4458" s="683"/>
      <c r="C4458" s="683"/>
      <c r="D4458" s="698"/>
      <c r="E4458" s="215"/>
      <c r="F4458" s="215"/>
      <c r="G4458" s="153"/>
      <c r="H4458" s="153"/>
      <c r="I4458" s="326">
        <v>18</v>
      </c>
      <c r="J4458" s="326">
        <v>60</v>
      </c>
      <c r="K4458" s="150">
        <v>1</v>
      </c>
      <c r="L4458" s="656">
        <v>18</v>
      </c>
      <c r="M4458" s="663">
        <v>34487</v>
      </c>
      <c r="N4458" s="600">
        <v>0.42752000000000001</v>
      </c>
      <c r="O4458" s="604">
        <v>4.44E-4</v>
      </c>
      <c r="P4458" s="250"/>
      <c r="Q4458" s="250"/>
      <c r="R4458" s="250"/>
      <c r="S4458" s="250"/>
      <c r="T4458" s="250"/>
      <c r="U4458" s="250">
        <v>9.9299999999999999E-2</v>
      </c>
      <c r="V4458" s="250">
        <v>0.22222222222222221</v>
      </c>
      <c r="W4458" s="250">
        <v>0.50827423167848695</v>
      </c>
      <c r="X4458" s="250">
        <v>0.16075650118203305</v>
      </c>
      <c r="Y4458" s="250">
        <v>9.4562647754137114E-3</v>
      </c>
      <c r="Z4458" s="150"/>
      <c r="AA4458" s="150">
        <v>0.8</v>
      </c>
      <c r="AB4458" s="152"/>
      <c r="AC4458" s="152"/>
      <c r="AD4458" s="223">
        <v>5.333825</v>
      </c>
      <c r="AE4458" s="223">
        <v>0.19506560000000001</v>
      </c>
      <c r="AF4458" s="223">
        <v>1.0404127999999999</v>
      </c>
      <c r="AG4458" s="223">
        <v>0.42061019999999999</v>
      </c>
      <c r="AH4458" s="341"/>
      <c r="AI4458" s="218"/>
      <c r="AJ4458" s="218"/>
      <c r="AK4458" s="153"/>
      <c r="AL4458" s="152"/>
      <c r="AM4458" s="152"/>
      <c r="AN4458" s="152"/>
      <c r="AO4458" s="152"/>
      <c r="AP4458" s="152"/>
      <c r="AQ4458" s="152"/>
      <c r="AR4458" s="152"/>
      <c r="AS4458" s="152"/>
      <c r="AT4458" s="152"/>
      <c r="AU4458" s="153"/>
      <c r="AV4458" s="479"/>
      <c r="AW4458" s="479"/>
      <c r="AX4458" s="442"/>
      <c r="AY4458" s="153"/>
      <c r="AZ4458" s="152"/>
      <c r="BA4458" s="152"/>
      <c r="BB4458" s="152"/>
      <c r="BC4458" s="152"/>
      <c r="BD4458" s="152"/>
      <c r="BE4458" s="152"/>
      <c r="BF4458" s="152"/>
      <c r="BG4458" s="152"/>
      <c r="BH4458" s="152"/>
      <c r="BI4458" s="153"/>
      <c r="BJ4458" s="153"/>
      <c r="BK4458" s="153"/>
      <c r="BL4458" s="153"/>
      <c r="BM4458" s="153"/>
      <c r="BN4458" s="153"/>
      <c r="BO4458" s="153"/>
      <c r="BP4458" s="153"/>
      <c r="BQ4458" s="153"/>
      <c r="BR4458" s="153"/>
      <c r="BS4458" s="153"/>
      <c r="BT4458" s="153"/>
      <c r="BU4458" s="153"/>
      <c r="BV4458" s="153"/>
      <c r="BW4458" s="153"/>
      <c r="BX4458" s="153"/>
      <c r="BY4458" s="153"/>
      <c r="BZ4458" s="153"/>
      <c r="CA4458" s="152"/>
      <c r="CB4458" s="152"/>
    </row>
    <row r="4459" spans="1:80" s="87" customFormat="1" ht="15" x14ac:dyDescent="0.25">
      <c r="A4459" s="152"/>
      <c r="B4459" s="683"/>
      <c r="C4459" s="683"/>
      <c r="D4459" s="698"/>
      <c r="E4459" s="215"/>
      <c r="F4459" s="215"/>
      <c r="G4459" s="153"/>
      <c r="H4459" s="153"/>
      <c r="I4459" s="326">
        <v>16</v>
      </c>
      <c r="J4459" s="326">
        <v>60</v>
      </c>
      <c r="K4459" s="150">
        <v>1</v>
      </c>
      <c r="L4459" s="656">
        <v>16</v>
      </c>
      <c r="M4459" s="663">
        <v>34493</v>
      </c>
      <c r="N4459" s="600">
        <v>0.35391</v>
      </c>
      <c r="O4459" s="604">
        <v>9.4499999999999998E-4</v>
      </c>
      <c r="P4459" s="250"/>
      <c r="Q4459" s="250"/>
      <c r="R4459" s="250"/>
      <c r="S4459" s="250"/>
      <c r="T4459" s="250"/>
      <c r="U4459" s="250">
        <v>5.7699999999999994E-2</v>
      </c>
      <c r="V4459" s="250">
        <v>0.48390677025527201</v>
      </c>
      <c r="W4459" s="250">
        <v>0.36625971143174252</v>
      </c>
      <c r="X4459" s="250">
        <v>8.4350721420643746E-2</v>
      </c>
      <c r="Y4459" s="250">
        <v>7.7691453940066605E-3</v>
      </c>
      <c r="Z4459" s="150"/>
      <c r="AA4459" s="150">
        <v>1.06</v>
      </c>
      <c r="AB4459" s="152"/>
      <c r="AC4459" s="152"/>
      <c r="AD4459" s="223">
        <v>5.2728669999999997</v>
      </c>
      <c r="AE4459" s="223">
        <v>0.18896979999999999</v>
      </c>
      <c r="AF4459" s="223">
        <v>0.99396580000000001</v>
      </c>
      <c r="AG4459" s="223">
        <v>0.36879590000000001</v>
      </c>
      <c r="AH4459" s="341"/>
      <c r="AI4459" s="218"/>
      <c r="AJ4459" s="218"/>
      <c r="AK4459" s="153"/>
      <c r="AL4459" s="152"/>
      <c r="AM4459" s="152"/>
      <c r="AN4459" s="152"/>
      <c r="AO4459" s="152"/>
      <c r="AP4459" s="152"/>
      <c r="AQ4459" s="152"/>
      <c r="AR4459" s="152"/>
      <c r="AS4459" s="152"/>
      <c r="AT4459" s="152"/>
      <c r="AU4459" s="153"/>
      <c r="AV4459" s="479"/>
      <c r="AW4459" s="479"/>
      <c r="AX4459" s="442"/>
      <c r="AY4459" s="153"/>
      <c r="AZ4459" s="152"/>
      <c r="BA4459" s="152"/>
      <c r="BB4459" s="152"/>
      <c r="BC4459" s="152"/>
      <c r="BD4459" s="152"/>
      <c r="BE4459" s="152"/>
      <c r="BF4459" s="152"/>
      <c r="BG4459" s="152"/>
      <c r="BH4459" s="152"/>
      <c r="BI4459" s="153"/>
      <c r="BJ4459" s="153"/>
      <c r="BK4459" s="153"/>
      <c r="BL4459" s="153"/>
      <c r="BM4459" s="153"/>
      <c r="BN4459" s="153"/>
      <c r="BO4459" s="153"/>
      <c r="BP4459" s="153"/>
      <c r="BQ4459" s="153"/>
      <c r="BR4459" s="153"/>
      <c r="BS4459" s="153"/>
      <c r="BT4459" s="153"/>
      <c r="BU4459" s="153"/>
      <c r="BV4459" s="153"/>
      <c r="BW4459" s="153"/>
      <c r="BX4459" s="153"/>
      <c r="BY4459" s="153"/>
      <c r="BZ4459" s="153"/>
      <c r="CA4459" s="152"/>
      <c r="CB4459" s="152"/>
    </row>
    <row r="4460" spans="1:80" s="87" customFormat="1" ht="15" x14ac:dyDescent="0.25">
      <c r="A4460" s="152"/>
      <c r="B4460" s="683"/>
      <c r="C4460" s="683"/>
      <c r="D4460" s="698"/>
      <c r="E4460" s="215"/>
      <c r="F4460" s="215"/>
      <c r="G4460" s="153"/>
      <c r="H4460" s="153"/>
      <c r="I4460" s="326">
        <v>16</v>
      </c>
      <c r="J4460" s="326">
        <v>60</v>
      </c>
      <c r="K4460" s="150">
        <v>1</v>
      </c>
      <c r="L4460" s="656">
        <v>16</v>
      </c>
      <c r="M4460" s="663">
        <v>34493</v>
      </c>
      <c r="N4460" s="600">
        <v>0.35391</v>
      </c>
      <c r="O4460" s="604">
        <v>3.88E-4</v>
      </c>
      <c r="P4460" s="250"/>
      <c r="Q4460" s="250"/>
      <c r="R4460" s="250"/>
      <c r="S4460" s="250"/>
      <c r="T4460" s="250">
        <v>5.6799999999999996E-2</v>
      </c>
      <c r="U4460" s="250">
        <v>0.12429999999999999</v>
      </c>
      <c r="V4460" s="250">
        <v>0.2621621621621622</v>
      </c>
      <c r="W4460" s="250">
        <v>0.37297297297297299</v>
      </c>
      <c r="X4460" s="250">
        <v>8.6486486486486491E-2</v>
      </c>
      <c r="Y4460" s="250">
        <v>9.7297297297297303E-2</v>
      </c>
      <c r="Z4460" s="150"/>
      <c r="AA4460" s="150">
        <v>0.92</v>
      </c>
      <c r="AB4460" s="152"/>
      <c r="AC4460" s="152"/>
      <c r="AD4460" s="223">
        <v>5.2728669999999997</v>
      </c>
      <c r="AE4460" s="223">
        <v>0.18896979999999999</v>
      </c>
      <c r="AF4460" s="223">
        <v>0.99396580000000001</v>
      </c>
      <c r="AG4460" s="223">
        <v>0.36879590000000001</v>
      </c>
      <c r="AH4460" s="341"/>
      <c r="AI4460" s="218"/>
      <c r="AJ4460" s="218"/>
      <c r="AK4460" s="153"/>
      <c r="AL4460" s="152"/>
      <c r="AM4460" s="152"/>
      <c r="AN4460" s="152"/>
      <c r="AO4460" s="152"/>
      <c r="AP4460" s="152"/>
      <c r="AQ4460" s="152"/>
      <c r="AR4460" s="152"/>
      <c r="AS4460" s="152"/>
      <c r="AT4460" s="152"/>
      <c r="AU4460" s="153"/>
      <c r="AV4460" s="479"/>
      <c r="AW4460" s="479"/>
      <c r="AX4460" s="442"/>
      <c r="AY4460" s="153"/>
      <c r="AZ4460" s="152"/>
      <c r="BA4460" s="152"/>
      <c r="BB4460" s="152"/>
      <c r="BC4460" s="152"/>
      <c r="BD4460" s="152"/>
      <c r="BE4460" s="152"/>
      <c r="BF4460" s="152"/>
      <c r="BG4460" s="152"/>
      <c r="BH4460" s="152"/>
      <c r="BI4460" s="153"/>
      <c r="BJ4460" s="153"/>
      <c r="BK4460" s="153"/>
      <c r="BL4460" s="153"/>
      <c r="BM4460" s="153"/>
      <c r="BN4460" s="153"/>
      <c r="BO4460" s="153"/>
      <c r="BP4460" s="153"/>
      <c r="BQ4460" s="153"/>
      <c r="BR4460" s="153"/>
      <c r="BS4460" s="153"/>
      <c r="BT4460" s="153"/>
      <c r="BU4460" s="153"/>
      <c r="BV4460" s="153"/>
      <c r="BW4460" s="153"/>
      <c r="BX4460" s="153"/>
      <c r="BY4460" s="153"/>
      <c r="BZ4460" s="153"/>
      <c r="CA4460" s="152"/>
      <c r="CB4460" s="152"/>
    </row>
    <row r="4461" spans="1:80" s="87" customFormat="1" ht="15" x14ac:dyDescent="0.25">
      <c r="A4461" s="152"/>
      <c r="B4461" s="683"/>
      <c r="C4461" s="683"/>
      <c r="D4461" s="698"/>
      <c r="E4461" s="215"/>
      <c r="F4461" s="215"/>
      <c r="G4461" s="153"/>
      <c r="H4461" s="153"/>
      <c r="I4461" s="326">
        <v>16</v>
      </c>
      <c r="J4461" s="326">
        <v>60</v>
      </c>
      <c r="K4461" s="150">
        <v>1</v>
      </c>
      <c r="L4461" s="656">
        <v>16</v>
      </c>
      <c r="M4461" s="663">
        <v>34493</v>
      </c>
      <c r="N4461" s="600">
        <v>0.35391</v>
      </c>
      <c r="O4461" s="604">
        <v>8.6200000000000003E-4</v>
      </c>
      <c r="P4461" s="250"/>
      <c r="Q4461" s="250"/>
      <c r="R4461" s="250"/>
      <c r="S4461" s="250"/>
      <c r="T4461" s="250">
        <v>6.5700000000000008E-2</v>
      </c>
      <c r="U4461" s="250">
        <v>0.17399999999999999</v>
      </c>
      <c r="V4461" s="250">
        <v>0.29197080291970806</v>
      </c>
      <c r="W4461" s="250">
        <v>0.34793187347931875</v>
      </c>
      <c r="X4461" s="250">
        <v>0.11070559610705598</v>
      </c>
      <c r="Y4461" s="250">
        <v>9.7323600973236012E-3</v>
      </c>
      <c r="Z4461" s="150"/>
      <c r="AA4461" s="150">
        <v>1.08</v>
      </c>
      <c r="AB4461" s="152"/>
      <c r="AC4461" s="152"/>
      <c r="AD4461" s="223">
        <v>5.2728669999999997</v>
      </c>
      <c r="AE4461" s="223">
        <v>0.18896979999999999</v>
      </c>
      <c r="AF4461" s="223">
        <v>0.99396580000000001</v>
      </c>
      <c r="AG4461" s="223">
        <v>0.36879590000000001</v>
      </c>
      <c r="AH4461" s="341"/>
      <c r="AI4461" s="218"/>
      <c r="AJ4461" s="218"/>
      <c r="AK4461" s="153"/>
      <c r="AL4461" s="152"/>
      <c r="AM4461" s="152"/>
      <c r="AN4461" s="152"/>
      <c r="AO4461" s="152"/>
      <c r="AP4461" s="152"/>
      <c r="AQ4461" s="152"/>
      <c r="AR4461" s="152"/>
      <c r="AS4461" s="152"/>
      <c r="AT4461" s="152"/>
      <c r="AU4461" s="153"/>
      <c r="AV4461" s="479"/>
      <c r="AW4461" s="479"/>
      <c r="AX4461" s="442"/>
      <c r="AY4461" s="153"/>
      <c r="AZ4461" s="152"/>
      <c r="BA4461" s="152"/>
      <c r="BB4461" s="152"/>
      <c r="BC4461" s="152"/>
      <c r="BD4461" s="152"/>
      <c r="BE4461" s="152"/>
      <c r="BF4461" s="152"/>
      <c r="BG4461" s="152"/>
      <c r="BH4461" s="152"/>
      <c r="BI4461" s="153"/>
      <c r="BJ4461" s="153"/>
      <c r="BK4461" s="153"/>
      <c r="BL4461" s="153"/>
      <c r="BM4461" s="153"/>
      <c r="BN4461" s="153"/>
      <c r="BO4461" s="153"/>
      <c r="BP4461" s="153"/>
      <c r="BQ4461" s="153"/>
      <c r="BR4461" s="153"/>
      <c r="BS4461" s="153"/>
      <c r="BT4461" s="153"/>
      <c r="BU4461" s="153"/>
      <c r="BV4461" s="153"/>
      <c r="BW4461" s="153"/>
      <c r="BX4461" s="153"/>
      <c r="BY4461" s="153"/>
      <c r="BZ4461" s="153"/>
      <c r="CA4461" s="152"/>
      <c r="CB4461" s="152"/>
    </row>
    <row r="4462" spans="1:80" s="87" customFormat="1" ht="15" x14ac:dyDescent="0.25">
      <c r="A4462" s="152"/>
      <c r="B4462" s="683"/>
      <c r="C4462" s="683"/>
      <c r="D4462" s="698"/>
      <c r="E4462" s="215"/>
      <c r="F4462" s="215"/>
      <c r="G4462" s="153"/>
      <c r="H4462" s="153"/>
      <c r="I4462" s="326">
        <v>16</v>
      </c>
      <c r="J4462" s="326">
        <v>60</v>
      </c>
      <c r="K4462" s="150">
        <v>1</v>
      </c>
      <c r="L4462" s="656">
        <v>16</v>
      </c>
      <c r="M4462" s="663">
        <v>34494</v>
      </c>
      <c r="N4462" s="600">
        <v>0.31143999999999999</v>
      </c>
      <c r="O4462" s="604">
        <v>3.4600000000000001E-4</v>
      </c>
      <c r="P4462" s="250"/>
      <c r="Q4462" s="250"/>
      <c r="R4462" s="250"/>
      <c r="S4462" s="250"/>
      <c r="T4462" s="250">
        <v>6.08E-2</v>
      </c>
      <c r="U4462" s="250">
        <v>0.19450000000000001</v>
      </c>
      <c r="V4462" s="250">
        <v>0.24924012158054709</v>
      </c>
      <c r="W4462" s="250">
        <v>0.39209726443768994</v>
      </c>
      <c r="X4462" s="250">
        <v>9.1185410334346489E-2</v>
      </c>
      <c r="Y4462" s="250">
        <v>1.2158054711246197E-2</v>
      </c>
      <c r="Z4462" s="150"/>
      <c r="AA4462" s="150">
        <v>1.01</v>
      </c>
      <c r="AB4462" s="152"/>
      <c r="AC4462" s="152"/>
      <c r="AD4462" s="223">
        <v>5.2728669999999997</v>
      </c>
      <c r="AE4462" s="223">
        <v>0.18896979999999999</v>
      </c>
      <c r="AF4462" s="223">
        <v>0.99396580000000001</v>
      </c>
      <c r="AG4462" s="223">
        <v>0.32307740000000001</v>
      </c>
      <c r="AH4462" s="341"/>
      <c r="AI4462" s="218"/>
      <c r="AJ4462" s="218"/>
      <c r="AK4462" s="153"/>
      <c r="AL4462" s="152"/>
      <c r="AM4462" s="152"/>
      <c r="AN4462" s="152"/>
      <c r="AO4462" s="152"/>
      <c r="AP4462" s="152"/>
      <c r="AQ4462" s="152"/>
      <c r="AR4462" s="152"/>
      <c r="AS4462" s="152"/>
      <c r="AT4462" s="152"/>
      <c r="AU4462" s="153"/>
      <c r="AV4462" s="479"/>
      <c r="AW4462" s="479"/>
      <c r="AX4462" s="442"/>
      <c r="AY4462" s="153"/>
      <c r="AZ4462" s="152"/>
      <c r="BA4462" s="152"/>
      <c r="BB4462" s="152"/>
      <c r="BC4462" s="152"/>
      <c r="BD4462" s="152"/>
      <c r="BE4462" s="152"/>
      <c r="BF4462" s="152"/>
      <c r="BG4462" s="152"/>
      <c r="BH4462" s="152"/>
      <c r="BI4462" s="153"/>
      <c r="BJ4462" s="153"/>
      <c r="BK4462" s="153"/>
      <c r="BL4462" s="153"/>
      <c r="BM4462" s="153"/>
      <c r="BN4462" s="153"/>
      <c r="BO4462" s="153"/>
      <c r="BP4462" s="153"/>
      <c r="BQ4462" s="153"/>
      <c r="BR4462" s="153"/>
      <c r="BS4462" s="153"/>
      <c r="BT4462" s="153"/>
      <c r="BU4462" s="153"/>
      <c r="BV4462" s="153"/>
      <c r="BW4462" s="153"/>
      <c r="BX4462" s="153"/>
      <c r="BY4462" s="153"/>
      <c r="BZ4462" s="153"/>
      <c r="CA4462" s="152"/>
      <c r="CB4462" s="152"/>
    </row>
    <row r="4463" spans="1:80" s="87" customFormat="1" ht="15" x14ac:dyDescent="0.25">
      <c r="A4463" s="152"/>
      <c r="B4463" s="683"/>
      <c r="C4463" s="683"/>
      <c r="D4463" s="698"/>
      <c r="E4463" s="215"/>
      <c r="F4463" s="215"/>
      <c r="G4463" s="153"/>
      <c r="H4463" s="153"/>
      <c r="I4463" s="326">
        <v>16</v>
      </c>
      <c r="J4463" s="326">
        <v>60</v>
      </c>
      <c r="K4463" s="150">
        <v>1</v>
      </c>
      <c r="L4463" s="656">
        <v>16</v>
      </c>
      <c r="M4463" s="663">
        <v>34494</v>
      </c>
      <c r="N4463" s="600">
        <v>0.31143999999999999</v>
      </c>
      <c r="O4463" s="604">
        <v>5.4600000000000004E-4</v>
      </c>
      <c r="P4463" s="250"/>
      <c r="Q4463" s="250"/>
      <c r="R4463" s="250"/>
      <c r="S4463" s="250"/>
      <c r="T4463" s="250">
        <v>7.3099999999999998E-2</v>
      </c>
      <c r="U4463" s="250">
        <v>0.15960000000000002</v>
      </c>
      <c r="V4463" s="250">
        <v>0.28269230769230763</v>
      </c>
      <c r="W4463" s="250">
        <v>0.37115384615384611</v>
      </c>
      <c r="X4463" s="250">
        <v>0.10384615384615384</v>
      </c>
      <c r="Y4463" s="250">
        <v>9.6153846153846142E-3</v>
      </c>
      <c r="Z4463" s="150"/>
      <c r="AA4463" s="150">
        <v>1.04</v>
      </c>
      <c r="AB4463" s="152"/>
      <c r="AC4463" s="152"/>
      <c r="AD4463" s="223">
        <v>5.2728669999999997</v>
      </c>
      <c r="AE4463" s="223">
        <v>0.18896979999999999</v>
      </c>
      <c r="AF4463" s="223">
        <v>0.99396580000000001</v>
      </c>
      <c r="AG4463" s="223">
        <v>0.32307740000000001</v>
      </c>
      <c r="AH4463" s="341"/>
      <c r="AI4463" s="218"/>
      <c r="AJ4463" s="218"/>
      <c r="AK4463" s="153"/>
      <c r="AL4463" s="152"/>
      <c r="AM4463" s="152"/>
      <c r="AN4463" s="152"/>
      <c r="AO4463" s="152"/>
      <c r="AP4463" s="152"/>
      <c r="AQ4463" s="152"/>
      <c r="AR4463" s="152"/>
      <c r="AS4463" s="152"/>
      <c r="AT4463" s="152"/>
      <c r="AU4463" s="153"/>
      <c r="AV4463" s="479"/>
      <c r="AW4463" s="479"/>
      <c r="AX4463" s="442"/>
      <c r="AY4463" s="153"/>
      <c r="AZ4463" s="152"/>
      <c r="BA4463" s="152"/>
      <c r="BB4463" s="152"/>
      <c r="BC4463" s="152"/>
      <c r="BD4463" s="152"/>
      <c r="BE4463" s="152"/>
      <c r="BF4463" s="152"/>
      <c r="BG4463" s="152"/>
      <c r="BH4463" s="152"/>
      <c r="BI4463" s="153"/>
      <c r="BJ4463" s="153"/>
      <c r="BK4463" s="153"/>
      <c r="BL4463" s="153"/>
      <c r="BM4463" s="153"/>
      <c r="BN4463" s="153"/>
      <c r="BO4463" s="153"/>
      <c r="BP4463" s="153"/>
      <c r="BQ4463" s="153"/>
      <c r="BR4463" s="153"/>
      <c r="BS4463" s="153"/>
      <c r="BT4463" s="153"/>
      <c r="BU4463" s="153"/>
      <c r="BV4463" s="153"/>
      <c r="BW4463" s="153"/>
      <c r="BX4463" s="153"/>
      <c r="BY4463" s="153"/>
      <c r="BZ4463" s="153"/>
      <c r="CA4463" s="152"/>
      <c r="CB4463" s="152"/>
    </row>
    <row r="4464" spans="1:80" s="87" customFormat="1" ht="15" x14ac:dyDescent="0.25">
      <c r="A4464" s="152"/>
      <c r="B4464" s="683"/>
      <c r="C4464" s="683"/>
      <c r="D4464" s="698"/>
      <c r="E4464" s="215"/>
      <c r="F4464" s="215"/>
      <c r="G4464" s="153"/>
      <c r="H4464" s="153"/>
      <c r="I4464" s="326">
        <v>16</v>
      </c>
      <c r="J4464" s="326">
        <v>60</v>
      </c>
      <c r="K4464" s="150">
        <v>1</v>
      </c>
      <c r="L4464" s="656">
        <v>16</v>
      </c>
      <c r="M4464" s="663">
        <v>34494</v>
      </c>
      <c r="N4464" s="600">
        <v>0.31143999999999999</v>
      </c>
      <c r="O4464" s="604">
        <v>4.9700000000000002E-5</v>
      </c>
      <c r="P4464" s="250"/>
      <c r="Q4464" s="250"/>
      <c r="R4464" s="250"/>
      <c r="S4464" s="250"/>
      <c r="T4464" s="250">
        <v>0.31909999999999999</v>
      </c>
      <c r="U4464" s="250">
        <v>0.10640000000000001</v>
      </c>
      <c r="V4464" s="250">
        <v>0.21276595744680851</v>
      </c>
      <c r="W4464" s="250">
        <v>0.23404255319148937</v>
      </c>
      <c r="X4464" s="250">
        <v>0.10638297872340426</v>
      </c>
      <c r="Y4464" s="250">
        <v>2.1276595744680851E-2</v>
      </c>
      <c r="Z4464" s="150"/>
      <c r="AA4464" s="150">
        <v>1.57</v>
      </c>
      <c r="AB4464" s="152"/>
      <c r="AC4464" s="152"/>
      <c r="AD4464" s="223">
        <v>5.2728669999999997</v>
      </c>
      <c r="AE4464" s="223">
        <v>0.18896979999999999</v>
      </c>
      <c r="AF4464" s="223">
        <v>0.99396580000000001</v>
      </c>
      <c r="AG4464" s="223">
        <v>0.32307740000000001</v>
      </c>
      <c r="AH4464" s="341"/>
      <c r="AI4464" s="218"/>
      <c r="AJ4464" s="218"/>
      <c r="AK4464" s="153"/>
      <c r="AL4464" s="152"/>
      <c r="AM4464" s="152"/>
      <c r="AN4464" s="152"/>
      <c r="AO4464" s="152"/>
      <c r="AP4464" s="152"/>
      <c r="AQ4464" s="152"/>
      <c r="AR4464" s="152"/>
      <c r="AS4464" s="152"/>
      <c r="AT4464" s="152"/>
      <c r="AU4464" s="153"/>
      <c r="AV4464" s="479"/>
      <c r="AW4464" s="479"/>
      <c r="AX4464" s="442"/>
      <c r="AY4464" s="153"/>
      <c r="AZ4464" s="152"/>
      <c r="BA4464" s="152"/>
      <c r="BB4464" s="152"/>
      <c r="BC4464" s="152"/>
      <c r="BD4464" s="152"/>
      <c r="BE4464" s="152"/>
      <c r="BF4464" s="152"/>
      <c r="BG4464" s="152"/>
      <c r="BH4464" s="152"/>
      <c r="BI4464" s="153"/>
      <c r="BJ4464" s="153"/>
      <c r="BK4464" s="153"/>
      <c r="BL4464" s="153"/>
      <c r="BM4464" s="153"/>
      <c r="BN4464" s="153"/>
      <c r="BO4464" s="153"/>
      <c r="BP4464" s="153"/>
      <c r="BQ4464" s="153"/>
      <c r="BR4464" s="153"/>
      <c r="BS4464" s="153"/>
      <c r="BT4464" s="153"/>
      <c r="BU4464" s="153"/>
      <c r="BV4464" s="153"/>
      <c r="BW4464" s="153"/>
      <c r="BX4464" s="153"/>
      <c r="BY4464" s="153"/>
      <c r="BZ4464" s="153"/>
      <c r="CA4464" s="152"/>
      <c r="CB4464" s="152"/>
    </row>
    <row r="4465" spans="1:80" s="87" customFormat="1" ht="15" x14ac:dyDescent="0.25">
      <c r="A4465" s="152"/>
      <c r="B4465" s="683"/>
      <c r="C4465" s="683"/>
      <c r="D4465" s="698"/>
      <c r="E4465" s="215"/>
      <c r="F4465" s="215"/>
      <c r="G4465" s="153"/>
      <c r="H4465" s="153"/>
      <c r="I4465" s="326">
        <v>15</v>
      </c>
      <c r="J4465" s="326">
        <v>60</v>
      </c>
      <c r="K4465" s="150">
        <v>1</v>
      </c>
      <c r="L4465" s="656">
        <v>15</v>
      </c>
      <c r="M4465" s="663">
        <v>34507</v>
      </c>
      <c r="N4465" s="600">
        <v>0.53793999999999997</v>
      </c>
      <c r="O4465" s="604">
        <v>1.1545E-2</v>
      </c>
      <c r="P4465" s="250"/>
      <c r="Q4465" s="250"/>
      <c r="R4465" s="250"/>
      <c r="S4465" s="250">
        <v>3.0600000000000002E-2</v>
      </c>
      <c r="T4465" s="250">
        <v>0.10929999999999999</v>
      </c>
      <c r="U4465" s="250">
        <v>0.16079999999999997</v>
      </c>
      <c r="V4465" s="250">
        <v>0.31524122807017541</v>
      </c>
      <c r="W4465" s="250">
        <v>0.29669225146198835</v>
      </c>
      <c r="X4465" s="250">
        <v>8.3790204678362568E-2</v>
      </c>
      <c r="Y4465" s="250">
        <v>3.56359649122807E-3</v>
      </c>
      <c r="Z4465" s="150"/>
      <c r="AA4465" s="150">
        <v>1.29</v>
      </c>
      <c r="AB4465" s="152"/>
      <c r="AC4465" s="152"/>
      <c r="AD4465" s="223">
        <v>5.4862200000000003</v>
      </c>
      <c r="AE4465" s="223">
        <v>0.2194488</v>
      </c>
      <c r="AF4465" s="223">
        <v>1.207622</v>
      </c>
      <c r="AG4465" s="223">
        <v>0.46632869999999998</v>
      </c>
      <c r="AH4465" s="341"/>
      <c r="AI4465" s="218"/>
      <c r="AJ4465" s="218"/>
      <c r="AK4465" s="153"/>
      <c r="AL4465" s="152"/>
      <c r="AM4465" s="152"/>
      <c r="AN4465" s="152"/>
      <c r="AO4465" s="152"/>
      <c r="AP4465" s="152"/>
      <c r="AQ4465" s="152"/>
      <c r="AR4465" s="152"/>
      <c r="AS4465" s="152"/>
      <c r="AT4465" s="152"/>
      <c r="AU4465" s="153"/>
      <c r="AV4465" s="479"/>
      <c r="AW4465" s="479"/>
      <c r="AX4465" s="442"/>
      <c r="AY4465" s="153"/>
      <c r="AZ4465" s="152"/>
      <c r="BA4465" s="152"/>
      <c r="BB4465" s="152"/>
      <c r="BC4465" s="152"/>
      <c r="BD4465" s="152"/>
      <c r="BE4465" s="152"/>
      <c r="BF4465" s="152"/>
      <c r="BG4465" s="152"/>
      <c r="BH4465" s="152"/>
      <c r="BI4465" s="153"/>
      <c r="BJ4465" s="153"/>
      <c r="BK4465" s="153"/>
      <c r="BL4465" s="153"/>
      <c r="BM4465" s="153"/>
      <c r="BN4465" s="153"/>
      <c r="BO4465" s="153"/>
      <c r="BP4465" s="153"/>
      <c r="BQ4465" s="153"/>
      <c r="BR4465" s="153"/>
      <c r="BS4465" s="153"/>
      <c r="BT4465" s="153"/>
      <c r="BU4465" s="153"/>
      <c r="BV4465" s="153"/>
      <c r="BW4465" s="153"/>
      <c r="BX4465" s="153"/>
      <c r="BY4465" s="153"/>
      <c r="BZ4465" s="153"/>
      <c r="CA4465" s="152"/>
      <c r="CB4465" s="152"/>
    </row>
    <row r="4466" spans="1:80" s="87" customFormat="1" ht="15" x14ac:dyDescent="0.25">
      <c r="A4466" s="152"/>
      <c r="B4466" s="683"/>
      <c r="C4466" s="683"/>
      <c r="D4466" s="698"/>
      <c r="E4466" s="215"/>
      <c r="F4466" s="215"/>
      <c r="G4466" s="153"/>
      <c r="H4466" s="153"/>
      <c r="I4466" s="326">
        <v>15</v>
      </c>
      <c r="J4466" s="326">
        <v>60</v>
      </c>
      <c r="K4466" s="150">
        <v>1</v>
      </c>
      <c r="L4466" s="656">
        <v>15</v>
      </c>
      <c r="M4466" s="663">
        <v>34507</v>
      </c>
      <c r="N4466" s="600">
        <v>0.53793999999999997</v>
      </c>
      <c r="O4466" s="604">
        <v>4.6179999999999997E-3</v>
      </c>
      <c r="P4466" s="250"/>
      <c r="Q4466" s="250"/>
      <c r="R4466" s="250"/>
      <c r="S4466" s="250"/>
      <c r="T4466" s="250">
        <v>2.07E-2</v>
      </c>
      <c r="U4466" s="250">
        <v>0.14710000000000001</v>
      </c>
      <c r="V4466" s="250">
        <v>0.4357694053563323</v>
      </c>
      <c r="W4466" s="250">
        <v>0.34589196550158874</v>
      </c>
      <c r="X4466" s="250">
        <v>4.7889241942805263E-2</v>
      </c>
      <c r="Y4466" s="250">
        <v>2.7235587834770762E-3</v>
      </c>
      <c r="Z4466" s="150"/>
      <c r="AA4466" s="150">
        <v>1.18</v>
      </c>
      <c r="AB4466" s="152"/>
      <c r="AC4466" s="152"/>
      <c r="AD4466" s="223">
        <v>5.4862200000000003</v>
      </c>
      <c r="AE4466" s="223">
        <v>0.2194488</v>
      </c>
      <c r="AF4466" s="223">
        <v>1.207622</v>
      </c>
      <c r="AG4466" s="223">
        <v>0.46632869999999998</v>
      </c>
      <c r="AH4466" s="341"/>
      <c r="AI4466" s="218"/>
      <c r="AJ4466" s="218"/>
      <c r="AK4466" s="153"/>
      <c r="AL4466" s="152"/>
      <c r="AM4466" s="152"/>
      <c r="AN4466" s="152"/>
      <c r="AO4466" s="152"/>
      <c r="AP4466" s="152"/>
      <c r="AQ4466" s="152"/>
      <c r="AR4466" s="152"/>
      <c r="AS4466" s="152"/>
      <c r="AT4466" s="152"/>
      <c r="AU4466" s="153"/>
      <c r="AV4466" s="479"/>
      <c r="AW4466" s="479"/>
      <c r="AX4466" s="442"/>
      <c r="AY4466" s="153"/>
      <c r="AZ4466" s="152"/>
      <c r="BA4466" s="152"/>
      <c r="BB4466" s="152"/>
      <c r="BC4466" s="152"/>
      <c r="BD4466" s="152"/>
      <c r="BE4466" s="152"/>
      <c r="BF4466" s="152"/>
      <c r="BG4466" s="152"/>
      <c r="BH4466" s="152"/>
      <c r="BI4466" s="153"/>
      <c r="BJ4466" s="153"/>
      <c r="BK4466" s="153"/>
      <c r="BL4466" s="153"/>
      <c r="BM4466" s="153"/>
      <c r="BN4466" s="153"/>
      <c r="BO4466" s="153"/>
      <c r="BP4466" s="153"/>
      <c r="BQ4466" s="153"/>
      <c r="BR4466" s="153"/>
      <c r="BS4466" s="153"/>
      <c r="BT4466" s="153"/>
      <c r="BU4466" s="153"/>
      <c r="BV4466" s="153"/>
      <c r="BW4466" s="153"/>
      <c r="BX4466" s="153"/>
      <c r="BY4466" s="153"/>
      <c r="BZ4466" s="153"/>
      <c r="CA4466" s="152"/>
      <c r="CB4466" s="152"/>
    </row>
    <row r="4467" spans="1:80" s="87" customFormat="1" ht="15" x14ac:dyDescent="0.25">
      <c r="A4467" s="152"/>
      <c r="B4467" s="683"/>
      <c r="C4467" s="683"/>
      <c r="D4467" s="698"/>
      <c r="E4467" s="215"/>
      <c r="F4467" s="215"/>
      <c r="G4467" s="153"/>
      <c r="H4467" s="153"/>
      <c r="I4467" s="326">
        <v>15</v>
      </c>
      <c r="J4467" s="326">
        <v>60</v>
      </c>
      <c r="K4467" s="150">
        <v>1</v>
      </c>
      <c r="L4467" s="656">
        <v>15</v>
      </c>
      <c r="M4467" s="663">
        <v>34507</v>
      </c>
      <c r="N4467" s="600">
        <v>0.53793999999999997</v>
      </c>
      <c r="O4467" s="604">
        <v>1.0496E-2</v>
      </c>
      <c r="P4467" s="250"/>
      <c r="Q4467" s="250"/>
      <c r="R4467" s="250"/>
      <c r="S4467" s="250">
        <v>3.7000000000000005E-2</v>
      </c>
      <c r="T4467" s="250">
        <v>5.5899999999999998E-2</v>
      </c>
      <c r="U4467" s="250">
        <v>0.16260000000000002</v>
      </c>
      <c r="V4467" s="250">
        <v>0.39094444998504035</v>
      </c>
      <c r="W4467" s="250">
        <v>0.28852099331804132</v>
      </c>
      <c r="X4467" s="250">
        <v>6.1334397127755062E-2</v>
      </c>
      <c r="Y4467" s="250">
        <v>3.690036900369004E-3</v>
      </c>
      <c r="Z4467" s="150"/>
      <c r="AA4467" s="150">
        <v>1.3</v>
      </c>
      <c r="AB4467" s="152"/>
      <c r="AC4467" s="152"/>
      <c r="AD4467" s="223">
        <v>5.4862200000000003</v>
      </c>
      <c r="AE4467" s="223">
        <v>0.2194488</v>
      </c>
      <c r="AF4467" s="223">
        <v>1.207622</v>
      </c>
      <c r="AG4467" s="223">
        <v>0.46632869999999998</v>
      </c>
      <c r="AH4467" s="341"/>
      <c r="AI4467" s="218"/>
      <c r="AJ4467" s="218"/>
      <c r="AK4467" s="153"/>
      <c r="AL4467" s="152"/>
      <c r="AM4467" s="152"/>
      <c r="AN4467" s="152"/>
      <c r="AO4467" s="152"/>
      <c r="AP4467" s="152"/>
      <c r="AQ4467" s="152"/>
      <c r="AR4467" s="152"/>
      <c r="AS4467" s="152"/>
      <c r="AT4467" s="152"/>
      <c r="AU4467" s="153"/>
      <c r="AV4467" s="479"/>
      <c r="AW4467" s="479"/>
      <c r="AX4467" s="442"/>
      <c r="AY4467" s="153"/>
      <c r="AZ4467" s="152"/>
      <c r="BA4467" s="152"/>
      <c r="BB4467" s="152"/>
      <c r="BC4467" s="152"/>
      <c r="BD4467" s="152"/>
      <c r="BE4467" s="152"/>
      <c r="BF4467" s="152"/>
      <c r="BG4467" s="152"/>
      <c r="BH4467" s="152"/>
      <c r="BI4467" s="153"/>
      <c r="BJ4467" s="153"/>
      <c r="BK4467" s="153"/>
      <c r="BL4467" s="153"/>
      <c r="BM4467" s="153"/>
      <c r="BN4467" s="153"/>
      <c r="BO4467" s="153"/>
      <c r="BP4467" s="153"/>
      <c r="BQ4467" s="153"/>
      <c r="BR4467" s="153"/>
      <c r="BS4467" s="153"/>
      <c r="BT4467" s="153"/>
      <c r="BU4467" s="153"/>
      <c r="BV4467" s="153"/>
      <c r="BW4467" s="153"/>
      <c r="BX4467" s="153"/>
      <c r="BY4467" s="153"/>
      <c r="BZ4467" s="153"/>
      <c r="CA4467" s="152"/>
      <c r="CB4467" s="152"/>
    </row>
    <row r="4468" spans="1:80" s="87" customFormat="1" ht="15" x14ac:dyDescent="0.25">
      <c r="A4468" s="152"/>
      <c r="B4468" s="683"/>
      <c r="C4468" s="683"/>
      <c r="D4468" s="698"/>
      <c r="E4468" s="215"/>
      <c r="F4468" s="215"/>
      <c r="G4468" s="153"/>
      <c r="H4468" s="153"/>
      <c r="I4468" s="326">
        <v>14</v>
      </c>
      <c r="J4468" s="326">
        <v>60</v>
      </c>
      <c r="K4468" s="150">
        <v>1</v>
      </c>
      <c r="L4468" s="656">
        <v>14</v>
      </c>
      <c r="M4468" s="663">
        <v>34513</v>
      </c>
      <c r="N4468" s="600">
        <v>0.34540999999999999</v>
      </c>
      <c r="O4468" s="604">
        <v>7.7899999999999996E-5</v>
      </c>
      <c r="P4468" s="250"/>
      <c r="Q4468" s="250"/>
      <c r="R4468" s="250"/>
      <c r="S4468" s="250"/>
      <c r="T4468" s="250"/>
      <c r="U4468" s="250"/>
      <c r="V4468" s="250">
        <v>0.22972972972972974</v>
      </c>
      <c r="W4468" s="250">
        <v>0.47297297297297297</v>
      </c>
      <c r="X4468" s="250">
        <v>0.2567567567567568</v>
      </c>
      <c r="Y4468" s="250">
        <v>4.0540540540540543E-2</v>
      </c>
      <c r="Z4468" s="150"/>
      <c r="AA4468" s="150">
        <v>0.7</v>
      </c>
      <c r="AB4468" s="152"/>
      <c r="AC4468" s="152"/>
      <c r="AD4468" s="223">
        <v>5.2119090000000003</v>
      </c>
      <c r="AE4468" s="223">
        <v>0.18896979999999999</v>
      </c>
      <c r="AF4468" s="223">
        <v>0.98467640000000001</v>
      </c>
      <c r="AG4468" s="223">
        <v>0.34441270000000002</v>
      </c>
      <c r="AH4468" s="341"/>
      <c r="AI4468" s="218"/>
      <c r="AJ4468" s="218"/>
      <c r="AK4468" s="153"/>
      <c r="AL4468" s="152"/>
      <c r="AM4468" s="152"/>
      <c r="AN4468" s="152"/>
      <c r="AO4468" s="152"/>
      <c r="AP4468" s="152"/>
      <c r="AQ4468" s="152"/>
      <c r="AR4468" s="152"/>
      <c r="AS4468" s="152"/>
      <c r="AT4468" s="152"/>
      <c r="AU4468" s="153"/>
      <c r="AV4468" s="479"/>
      <c r="AW4468" s="479"/>
      <c r="AX4468" s="442"/>
      <c r="AY4468" s="153"/>
      <c r="AZ4468" s="152"/>
      <c r="BA4468" s="152"/>
      <c r="BB4468" s="152"/>
      <c r="BC4468" s="152"/>
      <c r="BD4468" s="152"/>
      <c r="BE4468" s="152"/>
      <c r="BF4468" s="152"/>
      <c r="BG4468" s="152"/>
      <c r="BH4468" s="152"/>
      <c r="BI4468" s="153"/>
      <c r="BJ4468" s="153"/>
      <c r="BK4468" s="153"/>
      <c r="BL4468" s="153"/>
      <c r="BM4468" s="153"/>
      <c r="BN4468" s="153"/>
      <c r="BO4468" s="153"/>
      <c r="BP4468" s="153"/>
      <c r="BQ4468" s="153"/>
      <c r="BR4468" s="153"/>
      <c r="BS4468" s="153"/>
      <c r="BT4468" s="153"/>
      <c r="BU4468" s="153"/>
      <c r="BV4468" s="153"/>
      <c r="BW4468" s="153"/>
      <c r="BX4468" s="153"/>
      <c r="BY4468" s="153"/>
      <c r="BZ4468" s="153"/>
      <c r="CA4468" s="152"/>
      <c r="CB4468" s="152"/>
    </row>
    <row r="4469" spans="1:80" s="87" customFormat="1" ht="15" x14ac:dyDescent="0.25">
      <c r="A4469" s="152"/>
      <c r="B4469" s="683"/>
      <c r="C4469" s="683"/>
      <c r="D4469" s="698"/>
      <c r="E4469" s="215"/>
      <c r="F4469" s="215"/>
      <c r="G4469" s="153"/>
      <c r="H4469" s="153"/>
      <c r="I4469" s="326">
        <v>14</v>
      </c>
      <c r="J4469" s="326">
        <v>60</v>
      </c>
      <c r="K4469" s="150">
        <v>1</v>
      </c>
      <c r="L4469" s="656">
        <v>14</v>
      </c>
      <c r="M4469" s="663">
        <v>34513</v>
      </c>
      <c r="N4469" s="600">
        <v>0.34540999999999999</v>
      </c>
      <c r="O4469" s="604">
        <v>9.9500000000000001E-4</v>
      </c>
      <c r="P4469" s="250"/>
      <c r="Q4469" s="250"/>
      <c r="R4469" s="250"/>
      <c r="S4469" s="250"/>
      <c r="T4469" s="250">
        <v>6.3E-3</v>
      </c>
      <c r="U4469" s="250">
        <v>3.7900000000000003E-2</v>
      </c>
      <c r="V4469" s="250">
        <v>0.29926238145416223</v>
      </c>
      <c r="W4469" s="250">
        <v>0.48155953635405685</v>
      </c>
      <c r="X4469" s="250">
        <v>0.15384615384615383</v>
      </c>
      <c r="Y4469" s="250">
        <v>2.107481559536354E-2</v>
      </c>
      <c r="Z4469" s="150"/>
      <c r="AA4469" s="150">
        <v>0.85</v>
      </c>
      <c r="AB4469" s="152"/>
      <c r="AC4469" s="152"/>
      <c r="AD4469" s="223">
        <v>5.2119090000000003</v>
      </c>
      <c r="AE4469" s="223">
        <v>0.18896979999999999</v>
      </c>
      <c r="AF4469" s="223">
        <v>0.98467640000000001</v>
      </c>
      <c r="AG4469" s="223">
        <v>0.34441270000000002</v>
      </c>
      <c r="AH4469" s="341"/>
      <c r="AI4469" s="218"/>
      <c r="AJ4469" s="218"/>
      <c r="AK4469" s="153"/>
      <c r="AL4469" s="152"/>
      <c r="AM4469" s="152"/>
      <c r="AN4469" s="152"/>
      <c r="AO4469" s="152"/>
      <c r="AP4469" s="152"/>
      <c r="AQ4469" s="152"/>
      <c r="AR4469" s="152"/>
      <c r="AS4469" s="152"/>
      <c r="AT4469" s="152"/>
      <c r="AU4469" s="153"/>
      <c r="AV4469" s="479"/>
      <c r="AW4469" s="479"/>
      <c r="AX4469" s="442"/>
      <c r="AY4469" s="153"/>
      <c r="AZ4469" s="152"/>
      <c r="BA4469" s="152"/>
      <c r="BB4469" s="152"/>
      <c r="BC4469" s="152"/>
      <c r="BD4469" s="152"/>
      <c r="BE4469" s="152"/>
      <c r="BF4469" s="152"/>
      <c r="BG4469" s="152"/>
      <c r="BH4469" s="152"/>
      <c r="BI4469" s="153"/>
      <c r="BJ4469" s="153"/>
      <c r="BK4469" s="153"/>
      <c r="BL4469" s="153"/>
      <c r="BM4469" s="153"/>
      <c r="BN4469" s="153"/>
      <c r="BO4469" s="153"/>
      <c r="BP4469" s="153"/>
      <c r="BQ4469" s="153"/>
      <c r="BR4469" s="153"/>
      <c r="BS4469" s="153"/>
      <c r="BT4469" s="153"/>
      <c r="BU4469" s="153"/>
      <c r="BV4469" s="153"/>
      <c r="BW4469" s="153"/>
      <c r="BX4469" s="153"/>
      <c r="BY4469" s="153"/>
      <c r="BZ4469" s="153"/>
      <c r="CA4469" s="152"/>
      <c r="CB4469" s="152"/>
    </row>
    <row r="4470" spans="1:80" s="87" customFormat="1" ht="15" x14ac:dyDescent="0.25">
      <c r="A4470" s="152"/>
      <c r="B4470" s="683"/>
      <c r="C4470" s="683"/>
      <c r="D4470" s="698"/>
      <c r="E4470" s="215"/>
      <c r="F4470" s="215"/>
      <c r="G4470" s="153"/>
      <c r="H4470" s="153"/>
      <c r="I4470" s="326">
        <v>14</v>
      </c>
      <c r="J4470" s="326">
        <v>60</v>
      </c>
      <c r="K4470" s="150">
        <v>1</v>
      </c>
      <c r="L4470" s="656">
        <v>14</v>
      </c>
      <c r="M4470" s="663">
        <v>34513</v>
      </c>
      <c r="N4470" s="600">
        <v>0.34540999999999999</v>
      </c>
      <c r="O4470" s="604">
        <v>7.4499999999999995E-5</v>
      </c>
      <c r="P4470" s="250"/>
      <c r="Q4470" s="250"/>
      <c r="R4470" s="250"/>
      <c r="S4470" s="250"/>
      <c r="T4470" s="250"/>
      <c r="U4470" s="250">
        <v>6.9400000000000003E-2</v>
      </c>
      <c r="V4470" s="250">
        <v>0.26388888888888884</v>
      </c>
      <c r="W4470" s="250">
        <v>0.47222222222222221</v>
      </c>
      <c r="X4470" s="250">
        <v>0.15277777777777776</v>
      </c>
      <c r="Y4470" s="250">
        <v>4.1666666666666657E-2</v>
      </c>
      <c r="Z4470" s="150"/>
      <c r="AA4470" s="150">
        <v>0.83</v>
      </c>
      <c r="AB4470" s="152"/>
      <c r="AC4470" s="152"/>
      <c r="AD4470" s="223">
        <v>5.2119090000000003</v>
      </c>
      <c r="AE4470" s="223">
        <v>0.18896979999999999</v>
      </c>
      <c r="AF4470" s="223">
        <v>0.98467640000000001</v>
      </c>
      <c r="AG4470" s="223">
        <v>0.34441270000000002</v>
      </c>
      <c r="AH4470" s="341"/>
      <c r="AI4470" s="218"/>
      <c r="AJ4470" s="218"/>
      <c r="AK4470" s="153"/>
      <c r="AL4470" s="152"/>
      <c r="AM4470" s="152"/>
      <c r="AN4470" s="152"/>
      <c r="AO4470" s="152"/>
      <c r="AP4470" s="152"/>
      <c r="AQ4470" s="152"/>
      <c r="AR4470" s="152"/>
      <c r="AS4470" s="152"/>
      <c r="AT4470" s="152"/>
      <c r="AU4470" s="153"/>
      <c r="AV4470" s="479"/>
      <c r="AW4470" s="479"/>
      <c r="AX4470" s="442"/>
      <c r="AY4470" s="153"/>
      <c r="AZ4470" s="152"/>
      <c r="BA4470" s="152"/>
      <c r="BB4470" s="152"/>
      <c r="BC4470" s="152"/>
      <c r="BD4470" s="152"/>
      <c r="BE4470" s="152"/>
      <c r="BF4470" s="152"/>
      <c r="BG4470" s="152"/>
      <c r="BH4470" s="152"/>
      <c r="BI4470" s="153"/>
      <c r="BJ4470" s="153"/>
      <c r="BK4470" s="153"/>
      <c r="BL4470" s="153"/>
      <c r="BM4470" s="153"/>
      <c r="BN4470" s="153"/>
      <c r="BO4470" s="153"/>
      <c r="BP4470" s="153"/>
      <c r="BQ4470" s="153"/>
      <c r="BR4470" s="153"/>
      <c r="BS4470" s="153"/>
      <c r="BT4470" s="153"/>
      <c r="BU4470" s="153"/>
      <c r="BV4470" s="153"/>
      <c r="BW4470" s="153"/>
      <c r="BX4470" s="153"/>
      <c r="BY4470" s="153"/>
      <c r="BZ4470" s="153"/>
      <c r="CA4470" s="152"/>
      <c r="CB4470" s="152"/>
    </row>
    <row r="4471" spans="1:80" s="87" customFormat="1" ht="15" x14ac:dyDescent="0.25">
      <c r="A4471" s="152"/>
      <c r="B4471" s="683"/>
      <c r="C4471" s="683"/>
      <c r="D4471" s="698"/>
      <c r="E4471" s="215"/>
      <c r="F4471" s="215"/>
      <c r="G4471" s="153"/>
      <c r="H4471" s="153"/>
      <c r="I4471" s="326">
        <v>14</v>
      </c>
      <c r="J4471" s="326">
        <v>60</v>
      </c>
      <c r="K4471" s="150">
        <v>1</v>
      </c>
      <c r="L4471" s="656">
        <v>14</v>
      </c>
      <c r="M4471" s="663">
        <v>34528</v>
      </c>
      <c r="N4471" s="600">
        <v>0.18487999999999999</v>
      </c>
      <c r="O4471" s="604">
        <v>1.44E-4</v>
      </c>
      <c r="P4471" s="250"/>
      <c r="Q4471" s="250"/>
      <c r="R4471" s="250"/>
      <c r="S4471" s="250"/>
      <c r="T4471" s="250"/>
      <c r="U4471" s="250">
        <v>2.92E-2</v>
      </c>
      <c r="V4471" s="250">
        <v>0.23357664233576642</v>
      </c>
      <c r="W4471" s="250">
        <v>0.5912408759124087</v>
      </c>
      <c r="X4471" s="250">
        <v>0.13138686131386862</v>
      </c>
      <c r="Y4471" s="250">
        <v>1.4598540145985401E-2</v>
      </c>
      <c r="Z4471" s="150"/>
      <c r="AA4471" s="150">
        <v>0.79</v>
      </c>
      <c r="AB4471" s="152"/>
      <c r="AC4471" s="152"/>
      <c r="AD4471" s="223">
        <v>4.8156819999999998</v>
      </c>
      <c r="AE4471" s="223">
        <v>0.15544289999999999</v>
      </c>
      <c r="AF4471" s="223">
        <v>0.74129411999999995</v>
      </c>
      <c r="AG4471" s="223">
        <v>0.25206132999999997</v>
      </c>
      <c r="AH4471" s="341"/>
      <c r="AI4471" s="218"/>
      <c r="AJ4471" s="218"/>
      <c r="AK4471" s="153"/>
      <c r="AL4471" s="152"/>
      <c r="AM4471" s="152"/>
      <c r="AN4471" s="152"/>
      <c r="AO4471" s="152"/>
      <c r="AP4471" s="152"/>
      <c r="AQ4471" s="152"/>
      <c r="AR4471" s="152"/>
      <c r="AS4471" s="152"/>
      <c r="AT4471" s="152"/>
      <c r="AU4471" s="153"/>
      <c r="AV4471" s="479"/>
      <c r="AW4471" s="479"/>
      <c r="AX4471" s="442"/>
      <c r="AY4471" s="153"/>
      <c r="AZ4471" s="152"/>
      <c r="BA4471" s="152"/>
      <c r="BB4471" s="152"/>
      <c r="BC4471" s="152"/>
      <c r="BD4471" s="152"/>
      <c r="BE4471" s="152"/>
      <c r="BF4471" s="152"/>
      <c r="BG4471" s="152"/>
      <c r="BH4471" s="152"/>
      <c r="BI4471" s="153"/>
      <c r="BJ4471" s="153"/>
      <c r="BK4471" s="153"/>
      <c r="BL4471" s="153"/>
      <c r="BM4471" s="153"/>
      <c r="BN4471" s="153"/>
      <c r="BO4471" s="153"/>
      <c r="BP4471" s="153"/>
      <c r="BQ4471" s="153"/>
      <c r="BR4471" s="153"/>
      <c r="BS4471" s="153"/>
      <c r="BT4471" s="153"/>
      <c r="BU4471" s="153"/>
      <c r="BV4471" s="153"/>
      <c r="BW4471" s="153"/>
      <c r="BX4471" s="153"/>
      <c r="BY4471" s="153"/>
      <c r="BZ4471" s="153"/>
      <c r="CA4471" s="152"/>
      <c r="CB4471" s="152"/>
    </row>
    <row r="4472" spans="1:80" s="87" customFormat="1" ht="15" x14ac:dyDescent="0.25">
      <c r="A4472" s="152"/>
      <c r="B4472" s="683"/>
      <c r="C4472" s="683"/>
      <c r="D4472" s="698"/>
      <c r="E4472" s="215"/>
      <c r="F4472" s="215"/>
      <c r="G4472" s="153"/>
      <c r="H4472" s="153"/>
      <c r="I4472" s="326">
        <v>14</v>
      </c>
      <c r="J4472" s="326">
        <v>60</v>
      </c>
      <c r="K4472" s="150">
        <v>1</v>
      </c>
      <c r="L4472" s="656">
        <v>14</v>
      </c>
      <c r="M4472" s="663">
        <v>34528</v>
      </c>
      <c r="N4472" s="600">
        <v>0.18487999999999999</v>
      </c>
      <c r="O4472" s="604">
        <v>3.3399999999999999E-4</v>
      </c>
      <c r="P4472" s="250"/>
      <c r="Q4472" s="250"/>
      <c r="R4472" s="250"/>
      <c r="S4472" s="250"/>
      <c r="T4472" s="250">
        <v>3.1300000000000001E-2</v>
      </c>
      <c r="U4472" s="250">
        <v>1.8799999999999997E-2</v>
      </c>
      <c r="V4472" s="250">
        <v>0.14420062695924765</v>
      </c>
      <c r="W4472" s="250">
        <v>0.61128526645768033</v>
      </c>
      <c r="X4472" s="250">
        <v>0.18181818181818182</v>
      </c>
      <c r="Y4472" s="250">
        <v>1.2539184952978058E-2</v>
      </c>
      <c r="Z4472" s="150"/>
      <c r="AA4472" s="150">
        <v>0.7</v>
      </c>
      <c r="AB4472" s="152"/>
      <c r="AC4472" s="152"/>
      <c r="AD4472" s="223">
        <v>4.8156819999999998</v>
      </c>
      <c r="AE4472" s="223">
        <v>0.15544289999999999</v>
      </c>
      <c r="AF4472" s="223">
        <v>0.74129411999999995</v>
      </c>
      <c r="AG4472" s="223">
        <v>0.25206132999999997</v>
      </c>
      <c r="AH4472" s="341"/>
      <c r="AI4472" s="218"/>
      <c r="AJ4472" s="218"/>
      <c r="AK4472" s="153"/>
      <c r="AL4472" s="152"/>
      <c r="AM4472" s="152"/>
      <c r="AN4472" s="152"/>
      <c r="AO4472" s="152"/>
      <c r="AP4472" s="152"/>
      <c r="AQ4472" s="152"/>
      <c r="AR4472" s="152"/>
      <c r="AS4472" s="152"/>
      <c r="AT4472" s="152"/>
      <c r="AU4472" s="153"/>
      <c r="AV4472" s="479"/>
      <c r="AW4472" s="479"/>
      <c r="AX4472" s="442"/>
      <c r="AY4472" s="153"/>
      <c r="AZ4472" s="152"/>
      <c r="BA4472" s="152"/>
      <c r="BB4472" s="152"/>
      <c r="BC4472" s="152"/>
      <c r="BD4472" s="152"/>
      <c r="BE4472" s="152"/>
      <c r="BF4472" s="152"/>
      <c r="BG4472" s="152"/>
      <c r="BH4472" s="152"/>
      <c r="BI4472" s="153"/>
      <c r="BJ4472" s="153"/>
      <c r="BK4472" s="153"/>
      <c r="BL4472" s="153"/>
      <c r="BM4472" s="153"/>
      <c r="BN4472" s="153"/>
      <c r="BO4472" s="153"/>
      <c r="BP4472" s="153"/>
      <c r="BQ4472" s="153"/>
      <c r="BR4472" s="153"/>
      <c r="BS4472" s="153"/>
      <c r="BT4472" s="153"/>
      <c r="BU4472" s="153"/>
      <c r="BV4472" s="153"/>
      <c r="BW4472" s="153"/>
      <c r="BX4472" s="153"/>
      <c r="BY4472" s="153"/>
      <c r="BZ4472" s="153"/>
      <c r="CA4472" s="152"/>
      <c r="CB4472" s="152"/>
    </row>
    <row r="4473" spans="1:80" s="87" customFormat="1" ht="15" x14ac:dyDescent="0.25">
      <c r="A4473" s="152"/>
      <c r="B4473" s="683"/>
      <c r="C4473" s="683"/>
      <c r="D4473" s="698"/>
      <c r="E4473" s="215"/>
      <c r="F4473" s="215"/>
      <c r="G4473" s="153"/>
      <c r="H4473" s="153"/>
      <c r="I4473" s="326">
        <v>14</v>
      </c>
      <c r="J4473" s="326">
        <v>60</v>
      </c>
      <c r="K4473" s="150">
        <v>1</v>
      </c>
      <c r="L4473" s="656">
        <v>14</v>
      </c>
      <c r="M4473" s="663">
        <v>34528</v>
      </c>
      <c r="N4473" s="600">
        <v>0.18487999999999999</v>
      </c>
      <c r="O4473" s="604">
        <v>1.12E-4</v>
      </c>
      <c r="P4473" s="250"/>
      <c r="Q4473" s="250"/>
      <c r="R4473" s="250"/>
      <c r="S4473" s="250"/>
      <c r="T4473" s="250"/>
      <c r="U4473" s="250">
        <v>2.7999999999999997E-2</v>
      </c>
      <c r="V4473" s="250">
        <v>0.34579439252336447</v>
      </c>
      <c r="W4473" s="250">
        <v>0.48598130841121495</v>
      </c>
      <c r="X4473" s="250">
        <v>0.14018691588785048</v>
      </c>
      <c r="Y4473" s="250">
        <v>0</v>
      </c>
      <c r="Z4473" s="150"/>
      <c r="AA4473" s="150">
        <v>0.87</v>
      </c>
      <c r="AB4473" s="152"/>
      <c r="AC4473" s="152"/>
      <c r="AD4473" s="223">
        <v>4.8156819999999998</v>
      </c>
      <c r="AE4473" s="223">
        <v>0.15544289999999999</v>
      </c>
      <c r="AF4473" s="223">
        <v>0.74129411999999995</v>
      </c>
      <c r="AG4473" s="223">
        <v>0.25206132999999997</v>
      </c>
      <c r="AH4473" s="341"/>
      <c r="AI4473" s="218"/>
      <c r="AJ4473" s="218"/>
      <c r="AK4473" s="153"/>
      <c r="AL4473" s="152"/>
      <c r="AM4473" s="152"/>
      <c r="AN4473" s="152"/>
      <c r="AO4473" s="152"/>
      <c r="AP4473" s="152"/>
      <c r="AQ4473" s="152"/>
      <c r="AR4473" s="152"/>
      <c r="AS4473" s="152"/>
      <c r="AT4473" s="152"/>
      <c r="AU4473" s="153"/>
      <c r="AV4473" s="479"/>
      <c r="AW4473" s="479"/>
      <c r="AX4473" s="442"/>
      <c r="AY4473" s="153"/>
      <c r="AZ4473" s="152"/>
      <c r="BA4473" s="152"/>
      <c r="BB4473" s="152"/>
      <c r="BC4473" s="152"/>
      <c r="BD4473" s="152"/>
      <c r="BE4473" s="152"/>
      <c r="BF4473" s="152"/>
      <c r="BG4473" s="152"/>
      <c r="BH4473" s="152"/>
      <c r="BI4473" s="153"/>
      <c r="BJ4473" s="153"/>
      <c r="BK4473" s="153"/>
      <c r="BL4473" s="153"/>
      <c r="BM4473" s="153"/>
      <c r="BN4473" s="153"/>
      <c r="BO4473" s="153"/>
      <c r="BP4473" s="153"/>
      <c r="BQ4473" s="153"/>
      <c r="BR4473" s="153"/>
      <c r="BS4473" s="153"/>
      <c r="BT4473" s="153"/>
      <c r="BU4473" s="153"/>
      <c r="BV4473" s="153"/>
      <c r="BW4473" s="153"/>
      <c r="BX4473" s="153"/>
      <c r="BY4473" s="153"/>
      <c r="BZ4473" s="153"/>
      <c r="CA4473" s="152"/>
      <c r="CB4473" s="152"/>
    </row>
    <row r="4474" spans="1:80" s="87" customFormat="1" ht="15" x14ac:dyDescent="0.25">
      <c r="A4474" s="152"/>
      <c r="B4474" s="683"/>
      <c r="C4474" s="683"/>
      <c r="D4474" s="698"/>
      <c r="E4474" s="215"/>
      <c r="F4474" s="215"/>
      <c r="G4474" s="153"/>
      <c r="H4474" s="153"/>
      <c r="I4474" s="326">
        <v>15</v>
      </c>
      <c r="J4474" s="326">
        <v>60</v>
      </c>
      <c r="K4474" s="150">
        <v>1</v>
      </c>
      <c r="L4474" s="656">
        <v>15</v>
      </c>
      <c r="M4474" s="663">
        <v>34554</v>
      </c>
      <c r="N4474" s="600">
        <v>0.12316000000000001</v>
      </c>
      <c r="O4474" s="604">
        <v>1.3899999999999999E-4</v>
      </c>
      <c r="P4474" s="250"/>
      <c r="Q4474" s="250"/>
      <c r="R4474" s="250"/>
      <c r="S4474" s="250"/>
      <c r="T4474" s="250"/>
      <c r="U4474" s="250">
        <v>6.0599999999999994E-2</v>
      </c>
      <c r="V4474" s="250">
        <v>0.31060606060606061</v>
      </c>
      <c r="W4474" s="250">
        <v>0.44696969696969702</v>
      </c>
      <c r="X4474" s="250">
        <v>0.15151515151515152</v>
      </c>
      <c r="Y4474" s="250">
        <v>3.0303030303030304E-2</v>
      </c>
      <c r="Z4474" s="150"/>
      <c r="AA4474" s="150">
        <v>0.84</v>
      </c>
      <c r="AB4474" s="152"/>
      <c r="AC4474" s="152"/>
      <c r="AD4474" s="223">
        <v>4.4804130000000004</v>
      </c>
      <c r="AE4474" s="223">
        <v>0.11277230000000001</v>
      </c>
      <c r="AF4474" s="223">
        <v>0.51091699999999995</v>
      </c>
      <c r="AG4474" s="223">
        <v>0.24169847</v>
      </c>
      <c r="AH4474" s="341"/>
      <c r="AI4474" s="218"/>
      <c r="AJ4474" s="218"/>
      <c r="AK4474" s="153"/>
      <c r="AL4474" s="152"/>
      <c r="AM4474" s="152"/>
      <c r="AN4474" s="152"/>
      <c r="AO4474" s="152"/>
      <c r="AP4474" s="152"/>
      <c r="AQ4474" s="152"/>
      <c r="AR4474" s="152"/>
      <c r="AS4474" s="152"/>
      <c r="AT4474" s="152"/>
      <c r="AU4474" s="153"/>
      <c r="AV4474" s="479"/>
      <c r="AW4474" s="479"/>
      <c r="AX4474" s="442"/>
      <c r="AY4474" s="153"/>
      <c r="AZ4474" s="152"/>
      <c r="BA4474" s="152"/>
      <c r="BB4474" s="152"/>
      <c r="BC4474" s="152"/>
      <c r="BD4474" s="152"/>
      <c r="BE4474" s="152"/>
      <c r="BF4474" s="152"/>
      <c r="BG4474" s="152"/>
      <c r="BH4474" s="152"/>
      <c r="BI4474" s="153"/>
      <c r="BJ4474" s="153"/>
      <c r="BK4474" s="153"/>
      <c r="BL4474" s="153"/>
      <c r="BM4474" s="153"/>
      <c r="BN4474" s="153"/>
      <c r="BO4474" s="153"/>
      <c r="BP4474" s="153"/>
      <c r="BQ4474" s="153"/>
      <c r="BR4474" s="153"/>
      <c r="BS4474" s="153"/>
      <c r="BT4474" s="153"/>
      <c r="BU4474" s="153"/>
      <c r="BV4474" s="153"/>
      <c r="BW4474" s="153"/>
      <c r="BX4474" s="153"/>
      <c r="BY4474" s="153"/>
      <c r="BZ4474" s="153"/>
      <c r="CA4474" s="152"/>
      <c r="CB4474" s="152"/>
    </row>
    <row r="4475" spans="1:80" s="87" customFormat="1" ht="15" x14ac:dyDescent="0.25">
      <c r="A4475" s="152"/>
      <c r="B4475" s="683"/>
      <c r="C4475" s="683"/>
      <c r="D4475" s="698"/>
      <c r="E4475" s="215"/>
      <c r="F4475" s="215"/>
      <c r="G4475" s="153"/>
      <c r="H4475" s="153"/>
      <c r="I4475" s="326">
        <v>15</v>
      </c>
      <c r="J4475" s="326">
        <v>60</v>
      </c>
      <c r="K4475" s="150">
        <v>1</v>
      </c>
      <c r="L4475" s="656">
        <v>15</v>
      </c>
      <c r="M4475" s="663">
        <v>34554</v>
      </c>
      <c r="N4475" s="600">
        <v>0.12316000000000001</v>
      </c>
      <c r="O4475" s="604">
        <v>4.18E-5</v>
      </c>
      <c r="P4475" s="250"/>
      <c r="Q4475" s="250"/>
      <c r="R4475" s="250"/>
      <c r="S4475" s="250"/>
      <c r="T4475" s="250"/>
      <c r="U4475" s="250">
        <v>7.3200000000000001E-2</v>
      </c>
      <c r="V4475" s="250">
        <v>0.3902439024390244</v>
      </c>
      <c r="W4475" s="250">
        <v>0.3658536585365853</v>
      </c>
      <c r="X4475" s="250">
        <v>9.7560975609756101E-2</v>
      </c>
      <c r="Y4475" s="250">
        <v>7.3170731707317055E-2</v>
      </c>
      <c r="Z4475" s="150"/>
      <c r="AA4475" s="150">
        <v>0.96</v>
      </c>
      <c r="AB4475" s="152"/>
      <c r="AC4475" s="152"/>
      <c r="AD4475" s="223">
        <v>4.4804130000000004</v>
      </c>
      <c r="AE4475" s="223">
        <v>0.11277230000000001</v>
      </c>
      <c r="AF4475" s="223">
        <v>0.51091699999999995</v>
      </c>
      <c r="AG4475" s="223">
        <v>0.24169847</v>
      </c>
      <c r="AH4475" s="341"/>
      <c r="AI4475" s="218"/>
      <c r="AJ4475" s="218"/>
      <c r="AK4475" s="153"/>
      <c r="AL4475" s="152"/>
      <c r="AM4475" s="152"/>
      <c r="AN4475" s="152"/>
      <c r="AO4475" s="152"/>
      <c r="AP4475" s="152"/>
      <c r="AQ4475" s="152"/>
      <c r="AR4475" s="152"/>
      <c r="AS4475" s="152"/>
      <c r="AT4475" s="152"/>
      <c r="AU4475" s="153"/>
      <c r="AV4475" s="479"/>
      <c r="AW4475" s="479"/>
      <c r="AX4475" s="442"/>
      <c r="AY4475" s="153"/>
      <c r="AZ4475" s="152"/>
      <c r="BA4475" s="152"/>
      <c r="BB4475" s="152"/>
      <c r="BC4475" s="152"/>
      <c r="BD4475" s="152"/>
      <c r="BE4475" s="152"/>
      <c r="BF4475" s="152"/>
      <c r="BG4475" s="152"/>
      <c r="BH4475" s="152"/>
      <c r="BI4475" s="153"/>
      <c r="BJ4475" s="153"/>
      <c r="BK4475" s="153"/>
      <c r="BL4475" s="153"/>
      <c r="BM4475" s="153"/>
      <c r="BN4475" s="153"/>
      <c r="BO4475" s="153"/>
      <c r="BP4475" s="153"/>
      <c r="BQ4475" s="153"/>
      <c r="BR4475" s="153"/>
      <c r="BS4475" s="153"/>
      <c r="BT4475" s="153"/>
      <c r="BU4475" s="153"/>
      <c r="BV4475" s="153"/>
      <c r="BW4475" s="153"/>
      <c r="BX4475" s="153"/>
      <c r="BY4475" s="153"/>
      <c r="BZ4475" s="153"/>
      <c r="CA4475" s="152"/>
      <c r="CB4475" s="152"/>
    </row>
    <row r="4476" spans="1:80" s="87" customFormat="1" ht="15" x14ac:dyDescent="0.25">
      <c r="A4476" s="152"/>
      <c r="B4476" s="683"/>
      <c r="C4476" s="683"/>
      <c r="D4476" s="698"/>
      <c r="E4476" s="215"/>
      <c r="F4476" s="215"/>
      <c r="G4476" s="153"/>
      <c r="H4476" s="153"/>
      <c r="I4476" s="326">
        <v>15</v>
      </c>
      <c r="J4476" s="326">
        <v>60</v>
      </c>
      <c r="K4476" s="150">
        <v>1</v>
      </c>
      <c r="L4476" s="656">
        <v>15</v>
      </c>
      <c r="M4476" s="663">
        <v>34554</v>
      </c>
      <c r="N4476" s="600">
        <v>0.12316000000000001</v>
      </c>
      <c r="O4476" s="604">
        <v>8.5199999999999997E-5</v>
      </c>
      <c r="P4476" s="250"/>
      <c r="Q4476" s="250"/>
      <c r="R4476" s="250"/>
      <c r="S4476" s="250"/>
      <c r="T4476" s="250"/>
      <c r="U4476" s="250">
        <v>0.1852</v>
      </c>
      <c r="V4476" s="250">
        <v>0.37037037037037041</v>
      </c>
      <c r="W4476" s="250">
        <v>0.37037037037037041</v>
      </c>
      <c r="X4476" s="250">
        <v>6.1728395061728406E-2</v>
      </c>
      <c r="Y4476" s="250">
        <v>1.234567901234568E-2</v>
      </c>
      <c r="Z4476" s="150"/>
      <c r="AA4476" s="150">
        <v>1.1100000000000001</v>
      </c>
      <c r="AB4476" s="152"/>
      <c r="AC4476" s="152"/>
      <c r="AD4476" s="223">
        <v>4.4804130000000004</v>
      </c>
      <c r="AE4476" s="223">
        <v>0.11277230000000001</v>
      </c>
      <c r="AF4476" s="223">
        <v>0.51091699999999995</v>
      </c>
      <c r="AG4476" s="223">
        <v>0.24169847</v>
      </c>
      <c r="AH4476" s="341"/>
      <c r="AI4476" s="218"/>
      <c r="AJ4476" s="218"/>
      <c r="AK4476" s="153"/>
      <c r="AL4476" s="152"/>
      <c r="AM4476" s="152"/>
      <c r="AN4476" s="152"/>
      <c r="AO4476" s="152"/>
      <c r="AP4476" s="152"/>
      <c r="AQ4476" s="152"/>
      <c r="AR4476" s="152"/>
      <c r="AS4476" s="152"/>
      <c r="AT4476" s="152"/>
      <c r="AU4476" s="153"/>
      <c r="AV4476" s="479"/>
      <c r="AW4476" s="479"/>
      <c r="AX4476" s="442"/>
      <c r="AY4476" s="153"/>
      <c r="AZ4476" s="152"/>
      <c r="BA4476" s="152"/>
      <c r="BB4476" s="152"/>
      <c r="BC4476" s="152"/>
      <c r="BD4476" s="152"/>
      <c r="BE4476" s="152"/>
      <c r="BF4476" s="152"/>
      <c r="BG4476" s="152"/>
      <c r="BH4476" s="152"/>
      <c r="BI4476" s="153"/>
      <c r="BJ4476" s="153"/>
      <c r="BK4476" s="153"/>
      <c r="BL4476" s="153"/>
      <c r="BM4476" s="153"/>
      <c r="BN4476" s="153"/>
      <c r="BO4476" s="153"/>
      <c r="BP4476" s="153"/>
      <c r="BQ4476" s="153"/>
      <c r="BR4476" s="153"/>
      <c r="BS4476" s="153"/>
      <c r="BT4476" s="153"/>
      <c r="BU4476" s="153"/>
      <c r="BV4476" s="153"/>
      <c r="BW4476" s="153"/>
      <c r="BX4476" s="153"/>
      <c r="BY4476" s="153"/>
      <c r="BZ4476" s="153"/>
      <c r="CA4476" s="152"/>
      <c r="CB4476" s="152"/>
    </row>
    <row r="4477" spans="1:80" s="87" customFormat="1" ht="15" x14ac:dyDescent="0.25">
      <c r="A4477" s="152"/>
      <c r="B4477" s="683"/>
      <c r="C4477" s="683"/>
      <c r="D4477" s="698"/>
      <c r="E4477" s="215"/>
      <c r="F4477" s="215"/>
      <c r="G4477" s="153"/>
      <c r="H4477" s="153"/>
      <c r="I4477" s="326">
        <v>14</v>
      </c>
      <c r="J4477" s="326">
        <v>60</v>
      </c>
      <c r="K4477" s="150">
        <v>1</v>
      </c>
      <c r="L4477" s="656">
        <v>14</v>
      </c>
      <c r="M4477" s="663">
        <v>34575</v>
      </c>
      <c r="N4477" s="600">
        <v>5.8889999999999998E-2</v>
      </c>
      <c r="O4477" s="604">
        <v>1.6200000000000001E-4</v>
      </c>
      <c r="P4477" s="250"/>
      <c r="Q4477" s="250"/>
      <c r="R4477" s="250"/>
      <c r="S4477" s="250"/>
      <c r="T4477" s="250"/>
      <c r="U4477" s="250">
        <v>5.2300000000000006E-2</v>
      </c>
      <c r="V4477" s="250">
        <v>9.8039215686274522E-2</v>
      </c>
      <c r="W4477" s="250">
        <v>0.30065359477124182</v>
      </c>
      <c r="X4477" s="250">
        <v>0.46405228758169931</v>
      </c>
      <c r="Y4477" s="250">
        <v>8.4967320261437884E-2</v>
      </c>
      <c r="Z4477" s="150"/>
      <c r="AA4477" s="150">
        <v>0.46</v>
      </c>
      <c r="AB4477" s="152"/>
      <c r="AC4477" s="152"/>
      <c r="AD4477" s="223">
        <v>4.3584969999999998</v>
      </c>
      <c r="AE4477" s="223">
        <v>9.7532800000000003E-2</v>
      </c>
      <c r="AF4477" s="223">
        <v>0.42638345999999999</v>
      </c>
      <c r="AG4477" s="223">
        <v>0.13288844</v>
      </c>
      <c r="AH4477" s="341"/>
      <c r="AI4477" s="218"/>
      <c r="AJ4477" s="218"/>
      <c r="AK4477" s="153"/>
      <c r="AL4477" s="152"/>
      <c r="AM4477" s="152"/>
      <c r="AN4477" s="152"/>
      <c r="AO4477" s="152"/>
      <c r="AP4477" s="152"/>
      <c r="AQ4477" s="152"/>
      <c r="AR4477" s="152"/>
      <c r="AS4477" s="152"/>
      <c r="AT4477" s="152"/>
      <c r="AU4477" s="153"/>
      <c r="AV4477" s="479"/>
      <c r="AW4477" s="479"/>
      <c r="AX4477" s="442"/>
      <c r="AY4477" s="153"/>
      <c r="AZ4477" s="152"/>
      <c r="BA4477" s="152"/>
      <c r="BB4477" s="152"/>
      <c r="BC4477" s="152"/>
      <c r="BD4477" s="152"/>
      <c r="BE4477" s="152"/>
      <c r="BF4477" s="152"/>
      <c r="BG4477" s="152"/>
      <c r="BH4477" s="152"/>
      <c r="BI4477" s="153"/>
      <c r="BJ4477" s="153"/>
      <c r="BK4477" s="153"/>
      <c r="BL4477" s="153"/>
      <c r="BM4477" s="153"/>
      <c r="BN4477" s="153"/>
      <c r="BO4477" s="153"/>
      <c r="BP4477" s="153"/>
      <c r="BQ4477" s="153"/>
      <c r="BR4477" s="153"/>
      <c r="BS4477" s="153"/>
      <c r="BT4477" s="153"/>
      <c r="BU4477" s="153"/>
      <c r="BV4477" s="153"/>
      <c r="BW4477" s="153"/>
      <c r="BX4477" s="153"/>
      <c r="BY4477" s="153"/>
      <c r="BZ4477" s="153"/>
      <c r="CA4477" s="152"/>
      <c r="CB4477" s="152"/>
    </row>
    <row r="4478" spans="1:80" s="87" customFormat="1" ht="15" x14ac:dyDescent="0.25">
      <c r="A4478" s="152"/>
      <c r="B4478" s="683"/>
      <c r="C4478" s="683"/>
      <c r="D4478" s="698"/>
      <c r="E4478" s="215"/>
      <c r="F4478" s="215"/>
      <c r="G4478" s="153"/>
      <c r="H4478" s="153"/>
      <c r="I4478" s="326">
        <v>14</v>
      </c>
      <c r="J4478" s="326">
        <v>60</v>
      </c>
      <c r="K4478" s="150">
        <v>1</v>
      </c>
      <c r="L4478" s="656">
        <v>14</v>
      </c>
      <c r="M4478" s="663">
        <v>34575</v>
      </c>
      <c r="N4478" s="600">
        <v>5.8889999999999998E-2</v>
      </c>
      <c r="O4478" s="604">
        <v>1.64E-4</v>
      </c>
      <c r="P4478" s="250"/>
      <c r="Q4478" s="250"/>
      <c r="R4478" s="250"/>
      <c r="S4478" s="250"/>
      <c r="T4478" s="250"/>
      <c r="U4478" s="250">
        <v>9.0299999999999991E-2</v>
      </c>
      <c r="V4478" s="250">
        <v>0.30967741935483872</v>
      </c>
      <c r="W4478" s="250">
        <v>0.50967741935483868</v>
      </c>
      <c r="X4478" s="250">
        <v>7.7419354838709681E-2</v>
      </c>
      <c r="Y4478" s="250">
        <v>1.2903225806451615E-2</v>
      </c>
      <c r="Z4478" s="150"/>
      <c r="AA4478" s="150">
        <v>0.91</v>
      </c>
      <c r="AB4478" s="152"/>
      <c r="AC4478" s="152"/>
      <c r="AD4478" s="223">
        <v>4.3584969999999998</v>
      </c>
      <c r="AE4478" s="223">
        <v>9.7532800000000003E-2</v>
      </c>
      <c r="AF4478" s="223">
        <v>0.42638345999999999</v>
      </c>
      <c r="AG4478" s="223">
        <v>0.13288844</v>
      </c>
      <c r="AH4478" s="341"/>
      <c r="AI4478" s="218"/>
      <c r="AJ4478" s="218"/>
      <c r="AK4478" s="153"/>
      <c r="AL4478" s="152"/>
      <c r="AM4478" s="152"/>
      <c r="AN4478" s="152"/>
      <c r="AO4478" s="152"/>
      <c r="AP4478" s="152"/>
      <c r="AQ4478" s="152"/>
      <c r="AR4478" s="152"/>
      <c r="AS4478" s="152"/>
      <c r="AT4478" s="152"/>
      <c r="AU4478" s="153"/>
      <c r="AV4478" s="479"/>
      <c r="AW4478" s="479"/>
      <c r="AX4478" s="442"/>
      <c r="AY4478" s="153"/>
      <c r="AZ4478" s="152"/>
      <c r="BA4478" s="152"/>
      <c r="BB4478" s="152"/>
      <c r="BC4478" s="152"/>
      <c r="BD4478" s="152"/>
      <c r="BE4478" s="152"/>
      <c r="BF4478" s="152"/>
      <c r="BG4478" s="152"/>
      <c r="BH4478" s="152"/>
      <c r="BI4478" s="153"/>
      <c r="BJ4478" s="153"/>
      <c r="BK4478" s="153"/>
      <c r="BL4478" s="153"/>
      <c r="BM4478" s="153"/>
      <c r="BN4478" s="153"/>
      <c r="BO4478" s="153"/>
      <c r="BP4478" s="153"/>
      <c r="BQ4478" s="153"/>
      <c r="BR4478" s="153"/>
      <c r="BS4478" s="153"/>
      <c r="BT4478" s="153"/>
      <c r="BU4478" s="153"/>
      <c r="BV4478" s="153"/>
      <c r="BW4478" s="153"/>
      <c r="BX4478" s="153"/>
      <c r="BY4478" s="153"/>
      <c r="BZ4478" s="153"/>
      <c r="CA4478" s="152"/>
      <c r="CB4478" s="152"/>
    </row>
    <row r="4479" spans="1:80" s="87" customFormat="1" ht="15" x14ac:dyDescent="0.25">
      <c r="A4479" s="152"/>
      <c r="B4479" s="683"/>
      <c r="C4479" s="683"/>
      <c r="D4479" s="698"/>
      <c r="E4479" s="215"/>
      <c r="F4479" s="215"/>
      <c r="G4479" s="153"/>
      <c r="H4479" s="153"/>
      <c r="I4479" s="326">
        <v>14</v>
      </c>
      <c r="J4479" s="326">
        <v>60</v>
      </c>
      <c r="K4479" s="150">
        <v>1</v>
      </c>
      <c r="L4479" s="656">
        <v>14</v>
      </c>
      <c r="M4479" s="663">
        <v>34575</v>
      </c>
      <c r="N4479" s="600">
        <v>5.8889999999999998E-2</v>
      </c>
      <c r="O4479" s="604">
        <v>1.74E-4</v>
      </c>
      <c r="P4479" s="250"/>
      <c r="Q4479" s="250"/>
      <c r="R4479" s="250"/>
      <c r="S4479" s="250"/>
      <c r="T4479" s="250">
        <v>4.24E-2</v>
      </c>
      <c r="U4479" s="250">
        <v>0.20610000000000001</v>
      </c>
      <c r="V4479" s="250">
        <v>0.30303030303030304</v>
      </c>
      <c r="W4479" s="250">
        <v>0.33939393939393936</v>
      </c>
      <c r="X4479" s="250">
        <v>9.0909090909090912E-2</v>
      </c>
      <c r="Y4479" s="250">
        <v>1.8181818181818181E-2</v>
      </c>
      <c r="Z4479" s="150"/>
      <c r="AA4479" s="150">
        <v>1.1299999999999999</v>
      </c>
      <c r="AB4479" s="152"/>
      <c r="AC4479" s="152"/>
      <c r="AD4479" s="223">
        <v>4.3584969999999998</v>
      </c>
      <c r="AE4479" s="223">
        <v>9.7532800000000003E-2</v>
      </c>
      <c r="AF4479" s="223">
        <v>0.42638345999999999</v>
      </c>
      <c r="AG4479" s="223">
        <v>0.13288844</v>
      </c>
      <c r="AH4479" s="341"/>
      <c r="AI4479" s="218"/>
      <c r="AJ4479" s="218"/>
      <c r="AK4479" s="153"/>
      <c r="AL4479" s="152"/>
      <c r="AM4479" s="152"/>
      <c r="AN4479" s="152"/>
      <c r="AO4479" s="152"/>
      <c r="AP4479" s="152"/>
      <c r="AQ4479" s="152"/>
      <c r="AR4479" s="152"/>
      <c r="AS4479" s="152"/>
      <c r="AT4479" s="152"/>
      <c r="AU4479" s="153"/>
      <c r="AV4479" s="479"/>
      <c r="AW4479" s="479"/>
      <c r="AX4479" s="442"/>
      <c r="AY4479" s="153"/>
      <c r="AZ4479" s="152"/>
      <c r="BA4479" s="152"/>
      <c r="BB4479" s="152"/>
      <c r="BC4479" s="152"/>
      <c r="BD4479" s="152"/>
      <c r="BE4479" s="152"/>
      <c r="BF4479" s="152"/>
      <c r="BG4479" s="152"/>
      <c r="BH4479" s="152"/>
      <c r="BI4479" s="153"/>
      <c r="BJ4479" s="153"/>
      <c r="BK4479" s="153"/>
      <c r="BL4479" s="153"/>
      <c r="BM4479" s="153"/>
      <c r="BN4479" s="153"/>
      <c r="BO4479" s="153"/>
      <c r="BP4479" s="153"/>
      <c r="BQ4479" s="153"/>
      <c r="BR4479" s="153"/>
      <c r="BS4479" s="153"/>
      <c r="BT4479" s="153"/>
      <c r="BU4479" s="153"/>
      <c r="BV4479" s="153"/>
      <c r="BW4479" s="153"/>
      <c r="BX4479" s="153"/>
      <c r="BY4479" s="153"/>
      <c r="BZ4479" s="153"/>
      <c r="CA4479" s="152"/>
      <c r="CB4479" s="152"/>
    </row>
    <row r="4480" spans="1:80" s="87" customFormat="1" ht="15" x14ac:dyDescent="0.25">
      <c r="A4480" s="152"/>
      <c r="B4480" s="683"/>
      <c r="C4480" s="683"/>
      <c r="D4480" s="698"/>
      <c r="E4480" s="215"/>
      <c r="F4480" s="215"/>
      <c r="G4480" s="153"/>
      <c r="H4480" s="153"/>
      <c r="I4480" s="326">
        <v>14</v>
      </c>
      <c r="J4480" s="326">
        <v>60</v>
      </c>
      <c r="K4480" s="150">
        <v>1</v>
      </c>
      <c r="L4480" s="656">
        <v>14</v>
      </c>
      <c r="M4480" s="663">
        <v>34597</v>
      </c>
      <c r="N4480" s="600">
        <v>4.7849999999999997E-2</v>
      </c>
      <c r="O4480" s="604">
        <v>5.0000000000000002E-5</v>
      </c>
      <c r="P4480" s="250"/>
      <c r="Q4480" s="250"/>
      <c r="R4480" s="250"/>
      <c r="S4480" s="250"/>
      <c r="T4480" s="250"/>
      <c r="U4480" s="250">
        <v>4.1700000000000001E-2</v>
      </c>
      <c r="V4480" s="250">
        <v>0.8125</v>
      </c>
      <c r="W4480" s="250">
        <v>8.3333333333333356E-2</v>
      </c>
      <c r="X4480" s="250">
        <v>4.1666666666666678E-2</v>
      </c>
      <c r="Y4480" s="250">
        <v>2.0833333333333339E-2</v>
      </c>
      <c r="Z4480" s="150"/>
      <c r="AA4480" s="150">
        <v>1.35</v>
      </c>
      <c r="AB4480" s="152"/>
      <c r="AC4480" s="152"/>
      <c r="AD4480" s="223">
        <v>4.2670599999999999</v>
      </c>
      <c r="AE4480" s="223">
        <v>8.8389099999999998E-2</v>
      </c>
      <c r="AF4480" s="223">
        <v>0.37714964000000001</v>
      </c>
      <c r="AG4480" s="223">
        <v>0.14050819000000001</v>
      </c>
      <c r="AH4480" s="341"/>
      <c r="AI4480" s="218"/>
      <c r="AJ4480" s="218"/>
      <c r="AK4480" s="153"/>
      <c r="AL4480" s="152"/>
      <c r="AM4480" s="152"/>
      <c r="AN4480" s="152"/>
      <c r="AO4480" s="152"/>
      <c r="AP4480" s="152"/>
      <c r="AQ4480" s="152"/>
      <c r="AR4480" s="152"/>
      <c r="AS4480" s="152"/>
      <c r="AT4480" s="152"/>
      <c r="AU4480" s="153"/>
      <c r="AV4480" s="479"/>
      <c r="AW4480" s="479"/>
      <c r="AX4480" s="442"/>
      <c r="AY4480" s="153"/>
      <c r="AZ4480" s="152"/>
      <c r="BA4480" s="152"/>
      <c r="BB4480" s="152"/>
      <c r="BC4480" s="152"/>
      <c r="BD4480" s="152"/>
      <c r="BE4480" s="152"/>
      <c r="BF4480" s="152"/>
      <c r="BG4480" s="152"/>
      <c r="BH4480" s="152"/>
      <c r="BI4480" s="153"/>
      <c r="BJ4480" s="153"/>
      <c r="BK4480" s="153"/>
      <c r="BL4480" s="153"/>
      <c r="BM4480" s="153"/>
      <c r="BN4480" s="153"/>
      <c r="BO4480" s="153"/>
      <c r="BP4480" s="153"/>
      <c r="BQ4480" s="153"/>
      <c r="BR4480" s="153"/>
      <c r="BS4480" s="153"/>
      <c r="BT4480" s="153"/>
      <c r="BU4480" s="153"/>
      <c r="BV4480" s="153"/>
      <c r="BW4480" s="153"/>
      <c r="BX4480" s="153"/>
      <c r="BY4480" s="153"/>
      <c r="BZ4480" s="153"/>
      <c r="CA4480" s="152"/>
      <c r="CB4480" s="152"/>
    </row>
    <row r="4481" spans="1:80" s="87" customFormat="1" ht="15" x14ac:dyDescent="0.25">
      <c r="A4481" s="152"/>
      <c r="B4481" s="683"/>
      <c r="C4481" s="683"/>
      <c r="D4481" s="698"/>
      <c r="E4481" s="215"/>
      <c r="F4481" s="215"/>
      <c r="G4481" s="153"/>
      <c r="H4481" s="153"/>
      <c r="I4481" s="326">
        <v>14</v>
      </c>
      <c r="J4481" s="326">
        <v>60</v>
      </c>
      <c r="K4481" s="150">
        <v>1</v>
      </c>
      <c r="L4481" s="656">
        <v>14</v>
      </c>
      <c r="M4481" s="663">
        <v>34597</v>
      </c>
      <c r="N4481" s="600">
        <v>4.7849999999999997E-2</v>
      </c>
      <c r="O4481" s="604">
        <v>7.9799999999999998E-6</v>
      </c>
      <c r="P4481" s="250"/>
      <c r="Q4481" s="250"/>
      <c r="R4481" s="250"/>
      <c r="S4481" s="250"/>
      <c r="T4481" s="250"/>
      <c r="U4481" s="250">
        <v>0.25</v>
      </c>
      <c r="V4481" s="250">
        <v>0.25</v>
      </c>
      <c r="W4481" s="250">
        <v>0.25</v>
      </c>
      <c r="X4481" s="250">
        <v>0.125</v>
      </c>
      <c r="Y4481" s="250">
        <v>0.125</v>
      </c>
      <c r="Z4481" s="150"/>
      <c r="AA4481" s="150">
        <v>1</v>
      </c>
      <c r="AB4481" s="152"/>
      <c r="AC4481" s="152"/>
      <c r="AD4481" s="223">
        <v>4.2670599999999999</v>
      </c>
      <c r="AE4481" s="223">
        <v>8.8389099999999998E-2</v>
      </c>
      <c r="AF4481" s="223">
        <v>0.37714964000000001</v>
      </c>
      <c r="AG4481" s="223">
        <v>0.14050819000000001</v>
      </c>
      <c r="AH4481" s="341"/>
      <c r="AI4481" s="218"/>
      <c r="AJ4481" s="218"/>
      <c r="AK4481" s="153"/>
      <c r="AL4481" s="152"/>
      <c r="AM4481" s="152"/>
      <c r="AN4481" s="152"/>
      <c r="AO4481" s="152"/>
      <c r="AP4481" s="152"/>
      <c r="AQ4481" s="152"/>
      <c r="AR4481" s="152"/>
      <c r="AS4481" s="152"/>
      <c r="AT4481" s="152"/>
      <c r="AU4481" s="153"/>
      <c r="AV4481" s="479"/>
      <c r="AW4481" s="479"/>
      <c r="AX4481" s="442"/>
      <c r="AY4481" s="153"/>
      <c r="AZ4481" s="152"/>
      <c r="BA4481" s="152"/>
      <c r="BB4481" s="152"/>
      <c r="BC4481" s="152"/>
      <c r="BD4481" s="152"/>
      <c r="BE4481" s="152"/>
      <c r="BF4481" s="152"/>
      <c r="BG4481" s="152"/>
      <c r="BH4481" s="152"/>
      <c r="BI4481" s="153"/>
      <c r="BJ4481" s="153"/>
      <c r="BK4481" s="153"/>
      <c r="BL4481" s="153"/>
      <c r="BM4481" s="153"/>
      <c r="BN4481" s="153"/>
      <c r="BO4481" s="153"/>
      <c r="BP4481" s="153"/>
      <c r="BQ4481" s="153"/>
      <c r="BR4481" s="153"/>
      <c r="BS4481" s="153"/>
      <c r="BT4481" s="153"/>
      <c r="BU4481" s="153"/>
      <c r="BV4481" s="153"/>
      <c r="BW4481" s="153"/>
      <c r="BX4481" s="153"/>
      <c r="BY4481" s="153"/>
      <c r="BZ4481" s="153"/>
      <c r="CA4481" s="152"/>
      <c r="CB4481" s="152"/>
    </row>
    <row r="4482" spans="1:80" s="87" customFormat="1" ht="15" x14ac:dyDescent="0.25">
      <c r="A4482" s="152"/>
      <c r="B4482" s="683"/>
      <c r="C4482" s="683"/>
      <c r="D4482" s="698"/>
      <c r="E4482" s="215"/>
      <c r="F4482" s="215"/>
      <c r="G4482" s="153"/>
      <c r="H4482" s="153"/>
      <c r="I4482" s="326">
        <v>14</v>
      </c>
      <c r="J4482" s="326">
        <v>60</v>
      </c>
      <c r="K4482" s="150">
        <v>1</v>
      </c>
      <c r="L4482" s="656">
        <v>14</v>
      </c>
      <c r="M4482" s="663">
        <v>34597</v>
      </c>
      <c r="N4482" s="600">
        <v>4.7849999999999997E-2</v>
      </c>
      <c r="O4482" s="604">
        <v>5.3700000000000003E-6</v>
      </c>
      <c r="P4482" s="250"/>
      <c r="Q4482" s="250"/>
      <c r="R4482" s="250"/>
      <c r="S4482" s="250"/>
      <c r="T4482" s="250"/>
      <c r="U4482" s="250"/>
      <c r="V4482" s="250">
        <v>0.33333333333333326</v>
      </c>
      <c r="W4482" s="250">
        <v>0.33333333333333326</v>
      </c>
      <c r="X4482" s="250">
        <v>0.16666666666666663</v>
      </c>
      <c r="Y4482" s="250">
        <v>0.16666666666666663</v>
      </c>
      <c r="Z4482" s="150"/>
      <c r="AA4482" s="150">
        <v>0.85</v>
      </c>
      <c r="AB4482" s="152"/>
      <c r="AC4482" s="152"/>
      <c r="AD4482" s="223">
        <v>4.2670599999999999</v>
      </c>
      <c r="AE4482" s="223">
        <v>8.8389099999999998E-2</v>
      </c>
      <c r="AF4482" s="223">
        <v>0.37714964000000001</v>
      </c>
      <c r="AG4482" s="223">
        <v>0.14050819000000001</v>
      </c>
      <c r="AH4482" s="341"/>
      <c r="AI4482" s="218"/>
      <c r="AJ4482" s="218"/>
      <c r="AK4482" s="153"/>
      <c r="AL4482" s="152"/>
      <c r="AM4482" s="152"/>
      <c r="AN4482" s="152"/>
      <c r="AO4482" s="152"/>
      <c r="AP4482" s="152"/>
      <c r="AQ4482" s="152"/>
      <c r="AR4482" s="152"/>
      <c r="AS4482" s="152"/>
      <c r="AT4482" s="152"/>
      <c r="AU4482" s="153"/>
      <c r="AV4482" s="479"/>
      <c r="AW4482" s="479"/>
      <c r="AX4482" s="442"/>
      <c r="AY4482" s="153"/>
      <c r="AZ4482" s="152"/>
      <c r="BA4482" s="152"/>
      <c r="BB4482" s="152"/>
      <c r="BC4482" s="152"/>
      <c r="BD4482" s="152"/>
      <c r="BE4482" s="152"/>
      <c r="BF4482" s="152"/>
      <c r="BG4482" s="152"/>
      <c r="BH4482" s="152"/>
      <c r="BI4482" s="153"/>
      <c r="BJ4482" s="153"/>
      <c r="BK4482" s="153"/>
      <c r="BL4482" s="153"/>
      <c r="BM4482" s="153"/>
      <c r="BN4482" s="153"/>
      <c r="BO4482" s="153"/>
      <c r="BP4482" s="153"/>
      <c r="BQ4482" s="153"/>
      <c r="BR4482" s="153"/>
      <c r="BS4482" s="153"/>
      <c r="BT4482" s="153"/>
      <c r="BU4482" s="153"/>
      <c r="BV4482" s="153"/>
      <c r="BW4482" s="153"/>
      <c r="BX4482" s="153"/>
      <c r="BY4482" s="153"/>
      <c r="BZ4482" s="153"/>
      <c r="CA4482" s="152"/>
      <c r="CB4482" s="152"/>
    </row>
    <row r="4483" spans="1:80" s="87" customFormat="1" ht="15" x14ac:dyDescent="0.25">
      <c r="A4483" s="152"/>
      <c r="B4483" s="683"/>
      <c r="C4483" s="683"/>
      <c r="D4483" s="698"/>
      <c r="E4483" s="215"/>
      <c r="F4483" s="215"/>
      <c r="G4483" s="153"/>
      <c r="H4483" s="153"/>
      <c r="I4483" s="326">
        <v>21</v>
      </c>
      <c r="J4483" s="326">
        <v>60</v>
      </c>
      <c r="K4483" s="150">
        <v>1</v>
      </c>
      <c r="L4483" s="656">
        <v>21</v>
      </c>
      <c r="M4483" s="663">
        <v>34795</v>
      </c>
      <c r="N4483" s="600">
        <v>0.33975</v>
      </c>
      <c r="O4483" s="604">
        <v>7.8799999999999996E-4</v>
      </c>
      <c r="P4483" s="250"/>
      <c r="Q4483" s="250"/>
      <c r="R4483" s="250"/>
      <c r="S4483" s="250"/>
      <c r="T4483" s="250">
        <v>4.1299999999999996E-2</v>
      </c>
      <c r="U4483" s="250">
        <v>9.4499999999999987E-2</v>
      </c>
      <c r="V4483" s="250">
        <v>0.2796271637816245</v>
      </c>
      <c r="W4483" s="250">
        <v>0.56591211717709722</v>
      </c>
      <c r="X4483" s="250">
        <v>1.8641810918774968E-2</v>
      </c>
      <c r="Y4483" s="250">
        <v>0.06</v>
      </c>
      <c r="Z4483" s="150">
        <v>6</v>
      </c>
      <c r="AA4483" s="150">
        <v>0.86</v>
      </c>
      <c r="AB4483" s="152"/>
      <c r="AC4483" s="152"/>
      <c r="AD4483" s="223">
        <v>5.2119090000000003</v>
      </c>
      <c r="AE4483" s="223">
        <v>0.1859219</v>
      </c>
      <c r="AF4483" s="223">
        <v>0.9660976</v>
      </c>
      <c r="AG4483" s="223">
        <v>0.34441270000000002</v>
      </c>
      <c r="AH4483" s="341"/>
      <c r="AI4483" s="218"/>
      <c r="AJ4483" s="218"/>
      <c r="AK4483" s="153"/>
      <c r="AL4483" s="152"/>
      <c r="AM4483" s="152"/>
      <c r="AN4483" s="152"/>
      <c r="AO4483" s="152"/>
      <c r="AP4483" s="152"/>
      <c r="AQ4483" s="152"/>
      <c r="AR4483" s="152"/>
      <c r="AS4483" s="152"/>
      <c r="AT4483" s="152"/>
      <c r="AU4483" s="153"/>
      <c r="AV4483" s="479"/>
      <c r="AW4483" s="479"/>
      <c r="AX4483" s="442"/>
      <c r="AY4483" s="153"/>
      <c r="AZ4483" s="152"/>
      <c r="BA4483" s="152"/>
      <c r="BB4483" s="152"/>
      <c r="BC4483" s="152"/>
      <c r="BD4483" s="152"/>
      <c r="BE4483" s="152"/>
      <c r="BF4483" s="152"/>
      <c r="BG4483" s="152"/>
      <c r="BH4483" s="152"/>
      <c r="BI4483" s="153"/>
      <c r="BJ4483" s="153"/>
      <c r="BK4483" s="153"/>
      <c r="BL4483" s="153"/>
      <c r="BM4483" s="153"/>
      <c r="BN4483" s="153"/>
      <c r="BO4483" s="153"/>
      <c r="BP4483" s="153"/>
      <c r="BQ4483" s="153"/>
      <c r="BR4483" s="153"/>
      <c r="BS4483" s="153"/>
      <c r="BT4483" s="153"/>
      <c r="BU4483" s="153"/>
      <c r="BV4483" s="153"/>
      <c r="BW4483" s="153"/>
      <c r="BX4483" s="153"/>
      <c r="BY4483" s="153"/>
      <c r="BZ4483" s="153"/>
      <c r="CA4483" s="152"/>
      <c r="CB4483" s="152"/>
    </row>
    <row r="4484" spans="1:80" s="87" customFormat="1" ht="15" x14ac:dyDescent="0.25">
      <c r="A4484" s="152"/>
      <c r="B4484" s="683"/>
      <c r="C4484" s="683"/>
      <c r="D4484" s="698"/>
      <c r="E4484" s="215"/>
      <c r="F4484" s="215"/>
      <c r="G4484" s="153"/>
      <c r="H4484" s="153"/>
      <c r="I4484" s="326">
        <v>21</v>
      </c>
      <c r="J4484" s="326">
        <v>60</v>
      </c>
      <c r="K4484" s="150">
        <v>1</v>
      </c>
      <c r="L4484" s="656">
        <v>21</v>
      </c>
      <c r="M4484" s="663">
        <v>34795</v>
      </c>
      <c r="N4484" s="600">
        <v>0.33975</v>
      </c>
      <c r="O4484" s="604">
        <v>1.774E-3</v>
      </c>
      <c r="P4484" s="250"/>
      <c r="Q4484" s="250"/>
      <c r="R4484" s="250"/>
      <c r="S4484" s="250"/>
      <c r="T4484" s="250"/>
      <c r="U4484" s="250">
        <v>3.9E-2</v>
      </c>
      <c r="V4484" s="250">
        <v>0.2621015348288076</v>
      </c>
      <c r="W4484" s="250">
        <v>0.67886658795749699</v>
      </c>
      <c r="X4484" s="250">
        <v>2.0070838252656435E-2</v>
      </c>
      <c r="Y4484" s="250">
        <v>0.03</v>
      </c>
      <c r="Z4484" s="150">
        <v>3</v>
      </c>
      <c r="AA4484" s="150">
        <v>0.75</v>
      </c>
      <c r="AB4484" s="152"/>
      <c r="AC4484" s="152"/>
      <c r="AD4484" s="223">
        <v>5.2119090000000003</v>
      </c>
      <c r="AE4484" s="223">
        <v>0.1859219</v>
      </c>
      <c r="AF4484" s="223">
        <v>0.9660976</v>
      </c>
      <c r="AG4484" s="223">
        <v>0.34441270000000002</v>
      </c>
      <c r="AH4484" s="341"/>
      <c r="AI4484" s="218"/>
      <c r="AJ4484" s="218"/>
      <c r="AK4484" s="153"/>
      <c r="AL4484" s="152"/>
      <c r="AM4484" s="152"/>
      <c r="AN4484" s="152"/>
      <c r="AO4484" s="152"/>
      <c r="AP4484" s="152"/>
      <c r="AQ4484" s="152"/>
      <c r="AR4484" s="152"/>
      <c r="AS4484" s="152"/>
      <c r="AT4484" s="152"/>
      <c r="AU4484" s="153"/>
      <c r="AV4484" s="479"/>
      <c r="AW4484" s="479"/>
      <c r="AX4484" s="442"/>
      <c r="AY4484" s="153"/>
      <c r="AZ4484" s="152"/>
      <c r="BA4484" s="152"/>
      <c r="BB4484" s="152"/>
      <c r="BC4484" s="152"/>
      <c r="BD4484" s="152"/>
      <c r="BE4484" s="152"/>
      <c r="BF4484" s="152"/>
      <c r="BG4484" s="152"/>
      <c r="BH4484" s="152"/>
      <c r="BI4484" s="153"/>
      <c r="BJ4484" s="153"/>
      <c r="BK4484" s="153"/>
      <c r="BL4484" s="153"/>
      <c r="BM4484" s="153"/>
      <c r="BN4484" s="153"/>
      <c r="BO4484" s="153"/>
      <c r="BP4484" s="153"/>
      <c r="BQ4484" s="153"/>
      <c r="BR4484" s="153"/>
      <c r="BS4484" s="153"/>
      <c r="BT4484" s="153"/>
      <c r="BU4484" s="153"/>
      <c r="BV4484" s="153"/>
      <c r="BW4484" s="153"/>
      <c r="BX4484" s="153"/>
      <c r="BY4484" s="153"/>
      <c r="BZ4484" s="153"/>
      <c r="CA4484" s="152"/>
      <c r="CB4484" s="152"/>
    </row>
    <row r="4485" spans="1:80" s="87" customFormat="1" ht="15" x14ac:dyDescent="0.25">
      <c r="A4485" s="152"/>
      <c r="B4485" s="683"/>
      <c r="C4485" s="683"/>
      <c r="D4485" s="698"/>
      <c r="E4485" s="215"/>
      <c r="F4485" s="215"/>
      <c r="G4485" s="153"/>
      <c r="H4485" s="153"/>
      <c r="I4485" s="326">
        <v>19</v>
      </c>
      <c r="J4485" s="326">
        <v>60</v>
      </c>
      <c r="K4485" s="150">
        <v>1</v>
      </c>
      <c r="L4485" s="656">
        <v>19</v>
      </c>
      <c r="M4485" s="663">
        <v>34801</v>
      </c>
      <c r="N4485" s="600">
        <v>0.33975</v>
      </c>
      <c r="O4485" s="604">
        <v>8.9400000000000005E-4</v>
      </c>
      <c r="P4485" s="250"/>
      <c r="Q4485" s="250"/>
      <c r="R4485" s="250"/>
      <c r="S4485" s="250"/>
      <c r="T4485" s="250">
        <v>2.2200000000000001E-2</v>
      </c>
      <c r="U4485" s="250">
        <v>9.8400000000000001E-2</v>
      </c>
      <c r="V4485" s="250">
        <v>0.36768149882903978</v>
      </c>
      <c r="W4485" s="250">
        <v>0.5117096018735362</v>
      </c>
      <c r="X4485" s="250">
        <v>0</v>
      </c>
      <c r="Y4485" s="250">
        <v>0.05</v>
      </c>
      <c r="Z4485" s="150">
        <v>5</v>
      </c>
      <c r="AA4485" s="150">
        <v>0.98</v>
      </c>
      <c r="AB4485" s="152"/>
      <c r="AC4485" s="152"/>
      <c r="AD4485" s="223">
        <v>5.242388</v>
      </c>
      <c r="AE4485" s="223">
        <v>0.18287400000000001</v>
      </c>
      <c r="AF4485" s="223">
        <v>0.9568082</v>
      </c>
      <c r="AG4485" s="223">
        <v>0.34746060000000001</v>
      </c>
      <c r="AH4485" s="341"/>
      <c r="AI4485" s="218"/>
      <c r="AJ4485" s="218"/>
      <c r="AK4485" s="153"/>
      <c r="AL4485" s="152"/>
      <c r="AM4485" s="152"/>
      <c r="AN4485" s="152"/>
      <c r="AO4485" s="152"/>
      <c r="AP4485" s="152"/>
      <c r="AQ4485" s="152"/>
      <c r="AR4485" s="152"/>
      <c r="AS4485" s="152"/>
      <c r="AT4485" s="152"/>
      <c r="AU4485" s="153"/>
      <c r="AV4485" s="479"/>
      <c r="AW4485" s="479"/>
      <c r="AX4485" s="442"/>
      <c r="AY4485" s="153"/>
      <c r="AZ4485" s="152"/>
      <c r="BA4485" s="152"/>
      <c r="BB4485" s="152"/>
      <c r="BC4485" s="152"/>
      <c r="BD4485" s="152"/>
      <c r="BE4485" s="152"/>
      <c r="BF4485" s="152"/>
      <c r="BG4485" s="152"/>
      <c r="BH4485" s="152"/>
      <c r="BI4485" s="153"/>
      <c r="BJ4485" s="153"/>
      <c r="BK4485" s="153"/>
      <c r="BL4485" s="153"/>
      <c r="BM4485" s="153"/>
      <c r="BN4485" s="153"/>
      <c r="BO4485" s="153"/>
      <c r="BP4485" s="153"/>
      <c r="BQ4485" s="153"/>
      <c r="BR4485" s="153"/>
      <c r="BS4485" s="153"/>
      <c r="BT4485" s="153"/>
      <c r="BU4485" s="153"/>
      <c r="BV4485" s="153"/>
      <c r="BW4485" s="153"/>
      <c r="BX4485" s="153"/>
      <c r="BY4485" s="153"/>
      <c r="BZ4485" s="153"/>
      <c r="CA4485" s="152"/>
      <c r="CB4485" s="152"/>
    </row>
    <row r="4486" spans="1:80" s="87" customFormat="1" ht="15" x14ac:dyDescent="0.25">
      <c r="A4486" s="152"/>
      <c r="B4486" s="683"/>
      <c r="C4486" s="683"/>
      <c r="D4486" s="698"/>
      <c r="E4486" s="215"/>
      <c r="F4486" s="215"/>
      <c r="G4486" s="153"/>
      <c r="H4486" s="153"/>
      <c r="I4486" s="326">
        <v>19</v>
      </c>
      <c r="J4486" s="326">
        <v>60</v>
      </c>
      <c r="K4486" s="150">
        <v>1</v>
      </c>
      <c r="L4486" s="656">
        <v>19</v>
      </c>
      <c r="M4486" s="663">
        <v>34801</v>
      </c>
      <c r="N4486" s="600">
        <v>0.33975</v>
      </c>
      <c r="O4486" s="604">
        <v>3.4499999999999998E-4</v>
      </c>
      <c r="P4486" s="250"/>
      <c r="Q4486" s="250"/>
      <c r="R4486" s="250"/>
      <c r="S4486" s="250"/>
      <c r="T4486" s="250"/>
      <c r="U4486" s="250">
        <v>0.128</v>
      </c>
      <c r="V4486" s="250">
        <v>0.44512195121951215</v>
      </c>
      <c r="W4486" s="250">
        <v>0.42682926829268281</v>
      </c>
      <c r="X4486" s="250">
        <v>0</v>
      </c>
      <c r="Y4486" s="250">
        <v>0.04</v>
      </c>
      <c r="Z4486" s="150">
        <v>4</v>
      </c>
      <c r="AA4486" s="150">
        <v>1.1200000000000001</v>
      </c>
      <c r="AB4486" s="152"/>
      <c r="AC4486" s="152"/>
      <c r="AD4486" s="223">
        <v>5.242388</v>
      </c>
      <c r="AE4486" s="223">
        <v>0.18287400000000001</v>
      </c>
      <c r="AF4486" s="223">
        <v>0.9568082</v>
      </c>
      <c r="AG4486" s="223">
        <v>0.34746060000000001</v>
      </c>
      <c r="AH4486" s="341"/>
      <c r="AI4486" s="218"/>
      <c r="AJ4486" s="218"/>
      <c r="AK4486" s="153"/>
      <c r="AL4486" s="152"/>
      <c r="AM4486" s="152"/>
      <c r="AN4486" s="152"/>
      <c r="AO4486" s="152"/>
      <c r="AP4486" s="152"/>
      <c r="AQ4486" s="152"/>
      <c r="AR4486" s="152"/>
      <c r="AS4486" s="152"/>
      <c r="AT4486" s="152"/>
      <c r="AU4486" s="153"/>
      <c r="AV4486" s="479"/>
      <c r="AW4486" s="479"/>
      <c r="AX4486" s="442"/>
      <c r="AY4486" s="153"/>
      <c r="AZ4486" s="152"/>
      <c r="BA4486" s="152"/>
      <c r="BB4486" s="152"/>
      <c r="BC4486" s="152"/>
      <c r="BD4486" s="152"/>
      <c r="BE4486" s="152"/>
      <c r="BF4486" s="152"/>
      <c r="BG4486" s="152"/>
      <c r="BH4486" s="152"/>
      <c r="BI4486" s="153"/>
      <c r="BJ4486" s="153"/>
      <c r="BK4486" s="153"/>
      <c r="BL4486" s="153"/>
      <c r="BM4486" s="153"/>
      <c r="BN4486" s="153"/>
      <c r="BO4486" s="153"/>
      <c r="BP4486" s="153"/>
      <c r="BQ4486" s="153"/>
      <c r="BR4486" s="153"/>
      <c r="BS4486" s="153"/>
      <c r="BT4486" s="153"/>
      <c r="BU4486" s="153"/>
      <c r="BV4486" s="153"/>
      <c r="BW4486" s="153"/>
      <c r="BX4486" s="153"/>
      <c r="BY4486" s="153"/>
      <c r="BZ4486" s="153"/>
      <c r="CA4486" s="152"/>
      <c r="CB4486" s="152"/>
    </row>
    <row r="4487" spans="1:80" s="87" customFormat="1" ht="15" x14ac:dyDescent="0.25">
      <c r="A4487" s="152"/>
      <c r="B4487" s="683"/>
      <c r="C4487" s="683"/>
      <c r="D4487" s="698"/>
      <c r="E4487" s="215"/>
      <c r="F4487" s="215"/>
      <c r="G4487" s="153"/>
      <c r="H4487" s="153"/>
      <c r="I4487" s="326">
        <v>19</v>
      </c>
      <c r="J4487" s="326">
        <v>60</v>
      </c>
      <c r="K4487" s="150">
        <v>1</v>
      </c>
      <c r="L4487" s="656">
        <v>19</v>
      </c>
      <c r="M4487" s="663">
        <v>34809</v>
      </c>
      <c r="N4487" s="600">
        <v>0.26756000000000002</v>
      </c>
      <c r="O4487" s="604">
        <v>9.9900000000000002E-5</v>
      </c>
      <c r="P4487" s="250"/>
      <c r="Q4487" s="250"/>
      <c r="R4487" s="250"/>
      <c r="S4487" s="250"/>
      <c r="T4487" s="250"/>
      <c r="U4487" s="250"/>
      <c r="V4487" s="250">
        <v>0.35789473684210527</v>
      </c>
      <c r="W4487" s="250">
        <v>0.64210526315789485</v>
      </c>
      <c r="X4487" s="250">
        <v>0</v>
      </c>
      <c r="Y4487" s="250">
        <v>0.02</v>
      </c>
      <c r="Z4487" s="150">
        <v>2</v>
      </c>
      <c r="AA4487" s="150">
        <v>0.79</v>
      </c>
      <c r="AB4487" s="152"/>
      <c r="AC4487" s="152"/>
      <c r="AD4487" s="223">
        <v>5.1814299999999998</v>
      </c>
      <c r="AE4487" s="223">
        <v>0.17068240000000001</v>
      </c>
      <c r="AF4487" s="223">
        <v>0.87877724000000002</v>
      </c>
      <c r="AG4487" s="223">
        <v>0.32002950000000002</v>
      </c>
      <c r="AH4487" s="341"/>
      <c r="AI4487" s="218"/>
      <c r="AJ4487" s="218"/>
      <c r="AK4487" s="153"/>
      <c r="AL4487" s="152"/>
      <c r="AM4487" s="152"/>
      <c r="AN4487" s="152"/>
      <c r="AO4487" s="152"/>
      <c r="AP4487" s="152"/>
      <c r="AQ4487" s="152"/>
      <c r="AR4487" s="152"/>
      <c r="AS4487" s="152"/>
      <c r="AT4487" s="152"/>
      <c r="AU4487" s="153"/>
      <c r="AV4487" s="479"/>
      <c r="AW4487" s="479"/>
      <c r="AX4487" s="442"/>
      <c r="AY4487" s="153"/>
      <c r="AZ4487" s="152"/>
      <c r="BA4487" s="152"/>
      <c r="BB4487" s="152"/>
      <c r="BC4487" s="152"/>
      <c r="BD4487" s="152"/>
      <c r="BE4487" s="152"/>
      <c r="BF4487" s="152"/>
      <c r="BG4487" s="152"/>
      <c r="BH4487" s="152"/>
      <c r="BI4487" s="153"/>
      <c r="BJ4487" s="153"/>
      <c r="BK4487" s="153"/>
      <c r="BL4487" s="153"/>
      <c r="BM4487" s="153"/>
      <c r="BN4487" s="153"/>
      <c r="BO4487" s="153"/>
      <c r="BP4487" s="153"/>
      <c r="BQ4487" s="153"/>
      <c r="BR4487" s="153"/>
      <c r="BS4487" s="153"/>
      <c r="BT4487" s="153"/>
      <c r="BU4487" s="153"/>
      <c r="BV4487" s="153"/>
      <c r="BW4487" s="153"/>
      <c r="BX4487" s="153"/>
      <c r="BY4487" s="153"/>
      <c r="BZ4487" s="153"/>
      <c r="CA4487" s="152"/>
      <c r="CB4487" s="152"/>
    </row>
    <row r="4488" spans="1:80" s="87" customFormat="1" ht="15" x14ac:dyDescent="0.25">
      <c r="A4488" s="152"/>
      <c r="B4488" s="683"/>
      <c r="C4488" s="683"/>
      <c r="D4488" s="698"/>
      <c r="E4488" s="215"/>
      <c r="F4488" s="215"/>
      <c r="G4488" s="153"/>
      <c r="H4488" s="153"/>
      <c r="I4488" s="326">
        <v>19</v>
      </c>
      <c r="J4488" s="326">
        <v>60</v>
      </c>
      <c r="K4488" s="150">
        <v>1</v>
      </c>
      <c r="L4488" s="656">
        <v>19</v>
      </c>
      <c r="M4488" s="663">
        <v>34809</v>
      </c>
      <c r="N4488" s="600">
        <v>0.26756000000000002</v>
      </c>
      <c r="O4488" s="604">
        <v>1.1E-4</v>
      </c>
      <c r="P4488" s="250"/>
      <c r="Q4488" s="250"/>
      <c r="R4488" s="250"/>
      <c r="S4488" s="250"/>
      <c r="T4488" s="250"/>
      <c r="U4488" s="250">
        <v>0.16039999999999999</v>
      </c>
      <c r="V4488" s="250">
        <v>0.36792452830188682</v>
      </c>
      <c r="W4488" s="250">
        <v>0.47169811320754718</v>
      </c>
      <c r="X4488" s="250">
        <v>0</v>
      </c>
      <c r="Y4488" s="250">
        <v>0.03</v>
      </c>
      <c r="Z4488" s="150">
        <v>3</v>
      </c>
      <c r="AA4488" s="150">
        <v>1.05</v>
      </c>
      <c r="AB4488" s="152"/>
      <c r="AC4488" s="152"/>
      <c r="AD4488" s="223">
        <v>5.1814299999999998</v>
      </c>
      <c r="AE4488" s="223">
        <v>0.17068240000000001</v>
      </c>
      <c r="AF4488" s="223">
        <v>0.87877724000000002</v>
      </c>
      <c r="AG4488" s="223">
        <v>0.32002950000000002</v>
      </c>
      <c r="AH4488" s="341"/>
      <c r="AI4488" s="218"/>
      <c r="AJ4488" s="218"/>
      <c r="AK4488" s="153"/>
      <c r="AL4488" s="152"/>
      <c r="AM4488" s="152"/>
      <c r="AN4488" s="152"/>
      <c r="AO4488" s="152"/>
      <c r="AP4488" s="152"/>
      <c r="AQ4488" s="152"/>
      <c r="AR4488" s="152"/>
      <c r="AS4488" s="152"/>
      <c r="AT4488" s="152"/>
      <c r="AU4488" s="153"/>
      <c r="AV4488" s="479"/>
      <c r="AW4488" s="479"/>
      <c r="AX4488" s="442"/>
      <c r="AY4488" s="153"/>
      <c r="AZ4488" s="152"/>
      <c r="BA4488" s="152"/>
      <c r="BB4488" s="152"/>
      <c r="BC4488" s="152"/>
      <c r="BD4488" s="152"/>
      <c r="BE4488" s="152"/>
      <c r="BF4488" s="152"/>
      <c r="BG4488" s="152"/>
      <c r="BH4488" s="152"/>
      <c r="BI4488" s="153"/>
      <c r="BJ4488" s="153"/>
      <c r="BK4488" s="153"/>
      <c r="BL4488" s="153"/>
      <c r="BM4488" s="153"/>
      <c r="BN4488" s="153"/>
      <c r="BO4488" s="153"/>
      <c r="BP4488" s="153"/>
      <c r="BQ4488" s="153"/>
      <c r="BR4488" s="153"/>
      <c r="BS4488" s="153"/>
      <c r="BT4488" s="153"/>
      <c r="BU4488" s="153"/>
      <c r="BV4488" s="153"/>
      <c r="BW4488" s="153"/>
      <c r="BX4488" s="153"/>
      <c r="BY4488" s="153"/>
      <c r="BZ4488" s="153"/>
      <c r="CA4488" s="152"/>
      <c r="CB4488" s="152"/>
    </row>
    <row r="4489" spans="1:80" s="87" customFormat="1" ht="15" x14ac:dyDescent="0.25">
      <c r="A4489" s="152"/>
      <c r="B4489" s="683"/>
      <c r="C4489" s="683"/>
      <c r="D4489" s="698"/>
      <c r="E4489" s="215"/>
      <c r="F4489" s="215"/>
      <c r="G4489" s="153"/>
      <c r="H4489" s="153"/>
      <c r="I4489" s="326">
        <v>24</v>
      </c>
      <c r="J4489" s="326">
        <v>60</v>
      </c>
      <c r="K4489" s="150">
        <v>1</v>
      </c>
      <c r="L4489" s="656">
        <v>24</v>
      </c>
      <c r="M4489" s="663">
        <v>34815</v>
      </c>
      <c r="N4489" s="600">
        <v>0.32275999999999999</v>
      </c>
      <c r="O4489" s="604">
        <v>1.5009999999999999E-3</v>
      </c>
      <c r="P4489" s="250"/>
      <c r="Q4489" s="250"/>
      <c r="R4489" s="250"/>
      <c r="S4489" s="250">
        <v>5.8099999999999999E-2</v>
      </c>
      <c r="T4489" s="250">
        <v>4.6900000000000004E-2</v>
      </c>
      <c r="U4489" s="250">
        <v>5.8799999999999998E-2</v>
      </c>
      <c r="V4489" s="250">
        <v>0.38585434173669469</v>
      </c>
      <c r="W4489" s="250">
        <v>0.44397759103641449</v>
      </c>
      <c r="X4489" s="250">
        <v>6.3025210084033615E-3</v>
      </c>
      <c r="Y4489" s="250">
        <v>0.13</v>
      </c>
      <c r="Z4489" s="150">
        <v>13</v>
      </c>
      <c r="AA4489" s="150">
        <v>1.0900000000000001</v>
      </c>
      <c r="AB4489" s="152"/>
      <c r="AC4489" s="152"/>
      <c r="AD4489" s="223">
        <v>5.2119090000000003</v>
      </c>
      <c r="AE4489" s="223">
        <v>0.1737303</v>
      </c>
      <c r="AF4489" s="223">
        <v>0.90757438000000001</v>
      </c>
      <c r="AG4489" s="223">
        <v>0.36270010000000003</v>
      </c>
      <c r="AH4489" s="341"/>
      <c r="AI4489" s="218"/>
      <c r="AJ4489" s="218"/>
      <c r="AK4489" s="153"/>
      <c r="AL4489" s="152"/>
      <c r="AM4489" s="152"/>
      <c r="AN4489" s="152"/>
      <c r="AO4489" s="152"/>
      <c r="AP4489" s="152"/>
      <c r="AQ4489" s="152"/>
      <c r="AR4489" s="152"/>
      <c r="AS4489" s="152"/>
      <c r="AT4489" s="152"/>
      <c r="AU4489" s="153"/>
      <c r="AV4489" s="479"/>
      <c r="AW4489" s="479"/>
      <c r="AX4489" s="442"/>
      <c r="AY4489" s="153"/>
      <c r="AZ4489" s="152"/>
      <c r="BA4489" s="152"/>
      <c r="BB4489" s="152"/>
      <c r="BC4489" s="152"/>
      <c r="BD4489" s="152"/>
      <c r="BE4489" s="152"/>
      <c r="BF4489" s="152"/>
      <c r="BG4489" s="152"/>
      <c r="BH4489" s="152"/>
      <c r="BI4489" s="153"/>
      <c r="BJ4489" s="153"/>
      <c r="BK4489" s="153"/>
      <c r="BL4489" s="153"/>
      <c r="BM4489" s="153"/>
      <c r="BN4489" s="153"/>
      <c r="BO4489" s="153"/>
      <c r="BP4489" s="153"/>
      <c r="BQ4489" s="153"/>
      <c r="BR4489" s="153"/>
      <c r="BS4489" s="153"/>
      <c r="BT4489" s="153"/>
      <c r="BU4489" s="153"/>
      <c r="BV4489" s="153"/>
      <c r="BW4489" s="153"/>
      <c r="BX4489" s="153"/>
      <c r="BY4489" s="153"/>
      <c r="BZ4489" s="153"/>
      <c r="CA4489" s="152"/>
      <c r="CB4489" s="152"/>
    </row>
    <row r="4490" spans="1:80" s="87" customFormat="1" ht="15" x14ac:dyDescent="0.25">
      <c r="A4490" s="152"/>
      <c r="B4490" s="683"/>
      <c r="C4490" s="683"/>
      <c r="D4490" s="698"/>
      <c r="E4490" s="215"/>
      <c r="F4490" s="215"/>
      <c r="G4490" s="153"/>
      <c r="H4490" s="153"/>
      <c r="I4490" s="326">
        <v>24</v>
      </c>
      <c r="J4490" s="326">
        <v>60</v>
      </c>
      <c r="K4490" s="150">
        <v>1</v>
      </c>
      <c r="L4490" s="656">
        <v>24</v>
      </c>
      <c r="M4490" s="663">
        <v>34815</v>
      </c>
      <c r="N4490" s="600">
        <v>0.32275999999999999</v>
      </c>
      <c r="O4490" s="604">
        <v>5.2999999999999998E-4</v>
      </c>
      <c r="P4490" s="250"/>
      <c r="Q4490" s="250"/>
      <c r="R4490" s="250"/>
      <c r="S4490" s="250">
        <v>6.3399999999999998E-2</v>
      </c>
      <c r="T4490" s="250">
        <v>1.3899999999999999E-2</v>
      </c>
      <c r="U4490" s="250">
        <v>0.1545</v>
      </c>
      <c r="V4490" s="250">
        <v>0.31683168316831684</v>
      </c>
      <c r="W4490" s="250">
        <v>0.45148514851485144</v>
      </c>
      <c r="X4490" s="250">
        <v>0</v>
      </c>
      <c r="Y4490" s="250">
        <v>0.09</v>
      </c>
      <c r="Z4490" s="150">
        <v>9</v>
      </c>
      <c r="AA4490" s="150">
        <v>1.1100000000000001</v>
      </c>
      <c r="AB4490" s="152"/>
      <c r="AC4490" s="152"/>
      <c r="AD4490" s="223">
        <v>5.2119090000000003</v>
      </c>
      <c r="AE4490" s="223">
        <v>0.1737303</v>
      </c>
      <c r="AF4490" s="223">
        <v>0.90757438000000001</v>
      </c>
      <c r="AG4490" s="223">
        <v>0.36270010000000003</v>
      </c>
      <c r="AH4490" s="341"/>
      <c r="AI4490" s="218"/>
      <c r="AJ4490" s="218"/>
      <c r="AK4490" s="153"/>
      <c r="AL4490" s="152"/>
      <c r="AM4490" s="152"/>
      <c r="AN4490" s="152"/>
      <c r="AO4490" s="152"/>
      <c r="AP4490" s="152"/>
      <c r="AQ4490" s="152"/>
      <c r="AR4490" s="152"/>
      <c r="AS4490" s="152"/>
      <c r="AT4490" s="152"/>
      <c r="AU4490" s="153"/>
      <c r="AV4490" s="479"/>
      <c r="AW4490" s="479"/>
      <c r="AX4490" s="442"/>
      <c r="AY4490" s="153"/>
      <c r="AZ4490" s="152"/>
      <c r="BA4490" s="152"/>
      <c r="BB4490" s="152"/>
      <c r="BC4490" s="152"/>
      <c r="BD4490" s="152"/>
      <c r="BE4490" s="152"/>
      <c r="BF4490" s="152"/>
      <c r="BG4490" s="152"/>
      <c r="BH4490" s="152"/>
      <c r="BI4490" s="153"/>
      <c r="BJ4490" s="153"/>
      <c r="BK4490" s="153"/>
      <c r="BL4490" s="153"/>
      <c r="BM4490" s="153"/>
      <c r="BN4490" s="153"/>
      <c r="BO4490" s="153"/>
      <c r="BP4490" s="153"/>
      <c r="BQ4490" s="153"/>
      <c r="BR4490" s="153"/>
      <c r="BS4490" s="153"/>
      <c r="BT4490" s="153"/>
      <c r="BU4490" s="153"/>
      <c r="BV4490" s="153"/>
      <c r="BW4490" s="153"/>
      <c r="BX4490" s="153"/>
      <c r="BY4490" s="153"/>
      <c r="BZ4490" s="153"/>
      <c r="CA4490" s="152"/>
      <c r="CB4490" s="152"/>
    </row>
    <row r="4491" spans="1:80" s="87" customFormat="1" ht="15" x14ac:dyDescent="0.25">
      <c r="A4491" s="152"/>
      <c r="B4491" s="683"/>
      <c r="C4491" s="683"/>
      <c r="D4491" s="698"/>
      <c r="E4491" s="215"/>
      <c r="F4491" s="215"/>
      <c r="G4491" s="153"/>
      <c r="H4491" s="153"/>
      <c r="I4491" s="326">
        <v>18</v>
      </c>
      <c r="J4491" s="326">
        <v>60</v>
      </c>
      <c r="K4491" s="150">
        <v>1</v>
      </c>
      <c r="L4491" s="656">
        <v>18</v>
      </c>
      <c r="M4491" s="663">
        <v>34820</v>
      </c>
      <c r="N4491" s="600">
        <v>0.64553000000000005</v>
      </c>
      <c r="O4491" s="604">
        <v>2.676E-3</v>
      </c>
      <c r="P4491" s="250"/>
      <c r="Q4491" s="250"/>
      <c r="R4491" s="250"/>
      <c r="S4491" s="250">
        <v>0.02</v>
      </c>
      <c r="T4491" s="250">
        <v>4.2000000000000003E-2</v>
      </c>
      <c r="U4491" s="250">
        <v>0.11699999999999999</v>
      </c>
      <c r="V4491" s="250">
        <v>0.27690494893951295</v>
      </c>
      <c r="W4491" s="250">
        <v>0.53613511390416346</v>
      </c>
      <c r="X4491" s="250">
        <v>7.8554595443833461E-3</v>
      </c>
      <c r="Y4491" s="250">
        <v>0.09</v>
      </c>
      <c r="Z4491" s="150">
        <v>9</v>
      </c>
      <c r="AA4491" s="150">
        <v>0.9</v>
      </c>
      <c r="AB4491" s="152"/>
      <c r="AC4491" s="152"/>
      <c r="AD4491" s="223">
        <v>5.4862200000000003</v>
      </c>
      <c r="AE4491" s="223">
        <v>0.23773620000000001</v>
      </c>
      <c r="AF4491" s="223">
        <v>1.300516</v>
      </c>
      <c r="AG4491" s="223">
        <v>0.49680770000000002</v>
      </c>
      <c r="AH4491" s="341"/>
      <c r="AI4491" s="218"/>
      <c r="AJ4491" s="218"/>
      <c r="AK4491" s="153"/>
      <c r="AL4491" s="152"/>
      <c r="AM4491" s="152"/>
      <c r="AN4491" s="152"/>
      <c r="AO4491" s="152"/>
      <c r="AP4491" s="152"/>
      <c r="AQ4491" s="152"/>
      <c r="AR4491" s="152"/>
      <c r="AS4491" s="152"/>
      <c r="AT4491" s="152"/>
      <c r="AU4491" s="153"/>
      <c r="AV4491" s="479"/>
      <c r="AW4491" s="479"/>
      <c r="AX4491" s="442"/>
      <c r="AY4491" s="153"/>
      <c r="AZ4491" s="152"/>
      <c r="BA4491" s="152"/>
      <c r="BB4491" s="152"/>
      <c r="BC4491" s="152"/>
      <c r="BD4491" s="152"/>
      <c r="BE4491" s="152"/>
      <c r="BF4491" s="152"/>
      <c r="BG4491" s="152"/>
      <c r="BH4491" s="152"/>
      <c r="BI4491" s="153"/>
      <c r="BJ4491" s="153"/>
      <c r="BK4491" s="153"/>
      <c r="BL4491" s="153"/>
      <c r="BM4491" s="153"/>
      <c r="BN4491" s="153"/>
      <c r="BO4491" s="153"/>
      <c r="BP4491" s="153"/>
      <c r="BQ4491" s="153"/>
      <c r="BR4491" s="153"/>
      <c r="BS4491" s="153"/>
      <c r="BT4491" s="153"/>
      <c r="BU4491" s="153"/>
      <c r="BV4491" s="153"/>
      <c r="BW4491" s="153"/>
      <c r="BX4491" s="153"/>
      <c r="BY4491" s="153"/>
      <c r="BZ4491" s="153"/>
      <c r="CA4491" s="152"/>
      <c r="CB4491" s="152"/>
    </row>
    <row r="4492" spans="1:80" s="87" customFormat="1" ht="15" x14ac:dyDescent="0.25">
      <c r="A4492" s="152"/>
      <c r="B4492" s="683"/>
      <c r="C4492" s="683"/>
      <c r="D4492" s="698"/>
      <c r="E4492" s="215"/>
      <c r="F4492" s="215"/>
      <c r="G4492" s="153"/>
      <c r="H4492" s="153"/>
      <c r="I4492" s="326">
        <v>18</v>
      </c>
      <c r="J4492" s="326">
        <v>60</v>
      </c>
      <c r="K4492" s="150">
        <v>1</v>
      </c>
      <c r="L4492" s="656">
        <v>18</v>
      </c>
      <c r="M4492" s="663">
        <v>34820</v>
      </c>
      <c r="N4492" s="600">
        <v>0.64553000000000005</v>
      </c>
      <c r="O4492" s="604">
        <v>6.5300000000000004E-4</v>
      </c>
      <c r="P4492" s="250"/>
      <c r="Q4492" s="250"/>
      <c r="R4492" s="250"/>
      <c r="S4492" s="250">
        <v>9.1799999999999993E-2</v>
      </c>
      <c r="T4492" s="250">
        <v>1.9299999999999998E-2</v>
      </c>
      <c r="U4492" s="250">
        <v>9.98E-2</v>
      </c>
      <c r="V4492" s="250">
        <v>0.29629629629629628</v>
      </c>
      <c r="W4492" s="250">
        <v>0.49275362318840576</v>
      </c>
      <c r="X4492" s="250">
        <v>0</v>
      </c>
      <c r="Y4492" s="250">
        <v>0.1</v>
      </c>
      <c r="Z4492" s="150">
        <v>10</v>
      </c>
      <c r="AA4492" s="150">
        <v>1.02</v>
      </c>
      <c r="AB4492" s="152"/>
      <c r="AC4492" s="152"/>
      <c r="AD4492" s="223">
        <v>5.4862200000000003</v>
      </c>
      <c r="AE4492" s="223">
        <v>0.23773620000000001</v>
      </c>
      <c r="AF4492" s="223">
        <v>1.300516</v>
      </c>
      <c r="AG4492" s="223">
        <v>0.49680770000000002</v>
      </c>
      <c r="AH4492" s="341"/>
      <c r="AI4492" s="218"/>
      <c r="AJ4492" s="218"/>
      <c r="AK4492" s="153"/>
      <c r="AL4492" s="152"/>
      <c r="AM4492" s="152"/>
      <c r="AN4492" s="152"/>
      <c r="AO4492" s="152"/>
      <c r="AP4492" s="152"/>
      <c r="AQ4492" s="152"/>
      <c r="AR4492" s="152"/>
      <c r="AS4492" s="152"/>
      <c r="AT4492" s="152"/>
      <c r="AU4492" s="153"/>
      <c r="AV4492" s="479"/>
      <c r="AW4492" s="479"/>
      <c r="AX4492" s="442"/>
      <c r="AY4492" s="153"/>
      <c r="AZ4492" s="152"/>
      <c r="BA4492" s="152"/>
      <c r="BB4492" s="152"/>
      <c r="BC4492" s="152"/>
      <c r="BD4492" s="152"/>
      <c r="BE4492" s="152"/>
      <c r="BF4492" s="152"/>
      <c r="BG4492" s="152"/>
      <c r="BH4492" s="152"/>
      <c r="BI4492" s="153"/>
      <c r="BJ4492" s="153"/>
      <c r="BK4492" s="153"/>
      <c r="BL4492" s="153"/>
      <c r="BM4492" s="153"/>
      <c r="BN4492" s="153"/>
      <c r="BO4492" s="153"/>
      <c r="BP4492" s="153"/>
      <c r="BQ4492" s="153"/>
      <c r="BR4492" s="153"/>
      <c r="BS4492" s="153"/>
      <c r="BT4492" s="153"/>
      <c r="BU4492" s="153"/>
      <c r="BV4492" s="153"/>
      <c r="BW4492" s="153"/>
      <c r="BX4492" s="153"/>
      <c r="BY4492" s="153"/>
      <c r="BZ4492" s="153"/>
      <c r="CA4492" s="152"/>
      <c r="CB4492" s="152"/>
    </row>
    <row r="4493" spans="1:80" s="87" customFormat="1" ht="15" x14ac:dyDescent="0.25">
      <c r="A4493" s="152"/>
      <c r="B4493" s="683"/>
      <c r="C4493" s="683"/>
      <c r="D4493" s="698"/>
      <c r="E4493" s="215"/>
      <c r="F4493" s="215"/>
      <c r="G4493" s="153"/>
      <c r="H4493" s="153"/>
      <c r="I4493" s="326">
        <v>17</v>
      </c>
      <c r="J4493" s="326">
        <v>60</v>
      </c>
      <c r="K4493" s="150">
        <v>1</v>
      </c>
      <c r="L4493" s="656">
        <v>17</v>
      </c>
      <c r="M4493" s="663">
        <v>34828</v>
      </c>
      <c r="N4493" s="600">
        <v>2.2933300000000001</v>
      </c>
      <c r="O4493" s="604">
        <v>3.3166000000000001E-2</v>
      </c>
      <c r="P4493" s="250"/>
      <c r="Q4493" s="250"/>
      <c r="R4493" s="250">
        <v>3.61E-2</v>
      </c>
      <c r="S4493" s="250">
        <v>0.17010000000000003</v>
      </c>
      <c r="T4493" s="250">
        <v>0.11810000000000001</v>
      </c>
      <c r="U4493" s="250">
        <v>0.14599999999999999</v>
      </c>
      <c r="V4493" s="250">
        <v>0.2188509533160195</v>
      </c>
      <c r="W4493" s="250">
        <v>0.30183062013048712</v>
      </c>
      <c r="X4493" s="250">
        <v>8.9947425096598473E-3</v>
      </c>
      <c r="Y4493" s="250">
        <v>0.22</v>
      </c>
      <c r="Z4493" s="150">
        <v>22</v>
      </c>
      <c r="AA4493" s="150">
        <v>1.82</v>
      </c>
      <c r="AB4493" s="152"/>
      <c r="AC4493" s="152"/>
      <c r="AD4493" s="223">
        <v>6.3396319999999999</v>
      </c>
      <c r="AE4493" s="223">
        <v>0.37489169999999999</v>
      </c>
      <c r="AF4493" s="223">
        <v>2.3687969999999998</v>
      </c>
      <c r="AG4493" s="223">
        <v>0.91437000000000002</v>
      </c>
      <c r="AH4493" s="341"/>
      <c r="AI4493" s="218"/>
      <c r="AJ4493" s="218"/>
      <c r="AK4493" s="153"/>
      <c r="AL4493" s="152"/>
      <c r="AM4493" s="152"/>
      <c r="AN4493" s="152"/>
      <c r="AO4493" s="152"/>
      <c r="AP4493" s="152"/>
      <c r="AQ4493" s="152"/>
      <c r="AR4493" s="152"/>
      <c r="AS4493" s="152"/>
      <c r="AT4493" s="152"/>
      <c r="AU4493" s="153"/>
      <c r="AV4493" s="479"/>
      <c r="AW4493" s="479"/>
      <c r="AX4493" s="442"/>
      <c r="AY4493" s="153"/>
      <c r="AZ4493" s="152"/>
      <c r="BA4493" s="152"/>
      <c r="BB4493" s="152"/>
      <c r="BC4493" s="152"/>
      <c r="BD4493" s="152"/>
      <c r="BE4493" s="152"/>
      <c r="BF4493" s="152"/>
      <c r="BG4493" s="152"/>
      <c r="BH4493" s="152"/>
      <c r="BI4493" s="153"/>
      <c r="BJ4493" s="153"/>
      <c r="BK4493" s="153"/>
      <c r="BL4493" s="153"/>
      <c r="BM4493" s="153"/>
      <c r="BN4493" s="153"/>
      <c r="BO4493" s="153"/>
      <c r="BP4493" s="153"/>
      <c r="BQ4493" s="153"/>
      <c r="BR4493" s="153"/>
      <c r="BS4493" s="153"/>
      <c r="BT4493" s="153"/>
      <c r="BU4493" s="153"/>
      <c r="BV4493" s="153"/>
      <c r="BW4493" s="153"/>
      <c r="BX4493" s="153"/>
      <c r="BY4493" s="153"/>
      <c r="BZ4493" s="153"/>
      <c r="CA4493" s="152"/>
      <c r="CB4493" s="152"/>
    </row>
    <row r="4494" spans="1:80" s="87" customFormat="1" ht="15" x14ac:dyDescent="0.25">
      <c r="A4494" s="152"/>
      <c r="B4494" s="683"/>
      <c r="C4494" s="683"/>
      <c r="D4494" s="698"/>
      <c r="E4494" s="215"/>
      <c r="F4494" s="215"/>
      <c r="G4494" s="153"/>
      <c r="H4494" s="153"/>
      <c r="I4494" s="326">
        <v>17</v>
      </c>
      <c r="J4494" s="326">
        <v>60</v>
      </c>
      <c r="K4494" s="150">
        <v>1</v>
      </c>
      <c r="L4494" s="656">
        <v>17</v>
      </c>
      <c r="M4494" s="663">
        <v>34828</v>
      </c>
      <c r="N4494" s="600">
        <v>2.2933300000000001</v>
      </c>
      <c r="O4494" s="604">
        <v>4.9119999999999997E-2</v>
      </c>
      <c r="P4494" s="250"/>
      <c r="Q4494" s="250">
        <v>0.129</v>
      </c>
      <c r="R4494" s="250">
        <v>6.1100000000000002E-2</v>
      </c>
      <c r="S4494" s="250">
        <v>0.13200000000000001</v>
      </c>
      <c r="T4494" s="250">
        <v>0.1241</v>
      </c>
      <c r="U4494" s="250">
        <v>0.13500000000000001</v>
      </c>
      <c r="V4494" s="250">
        <v>0.18494394020288307</v>
      </c>
      <c r="W4494" s="250">
        <v>0.22594767752269085</v>
      </c>
      <c r="X4494" s="250">
        <v>8.0085424452749597E-3</v>
      </c>
      <c r="Y4494" s="250">
        <v>0.39</v>
      </c>
      <c r="Z4494" s="150">
        <v>39</v>
      </c>
      <c r="AA4494" s="150">
        <v>3.03</v>
      </c>
      <c r="AB4494" s="152"/>
      <c r="AC4494" s="152"/>
      <c r="AD4494" s="223">
        <v>6.3396319999999999</v>
      </c>
      <c r="AE4494" s="223">
        <v>0.37489169999999999</v>
      </c>
      <c r="AF4494" s="223">
        <v>2.3687969999999998</v>
      </c>
      <c r="AG4494" s="223">
        <v>0.91437000000000002</v>
      </c>
      <c r="AH4494" s="341"/>
      <c r="AI4494" s="218"/>
      <c r="AJ4494" s="218"/>
      <c r="AK4494" s="153"/>
      <c r="AL4494" s="152"/>
      <c r="AM4494" s="152"/>
      <c r="AN4494" s="152"/>
      <c r="AO4494" s="152"/>
      <c r="AP4494" s="152"/>
      <c r="AQ4494" s="152"/>
      <c r="AR4494" s="152"/>
      <c r="AS4494" s="152"/>
      <c r="AT4494" s="152"/>
      <c r="AU4494" s="153"/>
      <c r="AV4494" s="479"/>
      <c r="AW4494" s="479"/>
      <c r="AX4494" s="442"/>
      <c r="AY4494" s="153"/>
      <c r="AZ4494" s="152"/>
      <c r="BA4494" s="152"/>
      <c r="BB4494" s="152"/>
      <c r="BC4494" s="152"/>
      <c r="BD4494" s="152"/>
      <c r="BE4494" s="152"/>
      <c r="BF4494" s="152"/>
      <c r="BG4494" s="152"/>
      <c r="BH4494" s="152"/>
      <c r="BI4494" s="153"/>
      <c r="BJ4494" s="153"/>
      <c r="BK4494" s="153"/>
      <c r="BL4494" s="153"/>
      <c r="BM4494" s="153"/>
      <c r="BN4494" s="153"/>
      <c r="BO4494" s="153"/>
      <c r="BP4494" s="153"/>
      <c r="BQ4494" s="153"/>
      <c r="BR4494" s="153"/>
      <c r="BS4494" s="153"/>
      <c r="BT4494" s="153"/>
      <c r="BU4494" s="153"/>
      <c r="BV4494" s="153"/>
      <c r="BW4494" s="153"/>
      <c r="BX4494" s="153"/>
      <c r="BY4494" s="153"/>
      <c r="BZ4494" s="153"/>
      <c r="CA4494" s="152"/>
      <c r="CB4494" s="152"/>
    </row>
    <row r="4495" spans="1:80" s="87" customFormat="1" ht="15" x14ac:dyDescent="0.25">
      <c r="A4495" s="152"/>
      <c r="B4495" s="683"/>
      <c r="C4495" s="683"/>
      <c r="D4495" s="698"/>
      <c r="E4495" s="215"/>
      <c r="F4495" s="215"/>
      <c r="G4495" s="153"/>
      <c r="H4495" s="153"/>
      <c r="I4495" s="326">
        <v>17</v>
      </c>
      <c r="J4495" s="326">
        <v>60</v>
      </c>
      <c r="K4495" s="150">
        <v>1</v>
      </c>
      <c r="L4495" s="656">
        <v>17</v>
      </c>
      <c r="M4495" s="663">
        <v>34830</v>
      </c>
      <c r="N4495" s="600">
        <v>2.30749</v>
      </c>
      <c r="O4495" s="604">
        <v>2.3404999999999999E-2</v>
      </c>
      <c r="P4495" s="250"/>
      <c r="Q4495" s="250"/>
      <c r="R4495" s="250">
        <v>9.7899999999999987E-2</v>
      </c>
      <c r="S4495" s="250">
        <v>5.3899999999999997E-2</v>
      </c>
      <c r="T4495" s="250">
        <v>0.1051</v>
      </c>
      <c r="U4495" s="250">
        <v>0.16879999999999998</v>
      </c>
      <c r="V4495" s="250">
        <v>0.28425165027616867</v>
      </c>
      <c r="W4495" s="250">
        <v>0.28604786923525977</v>
      </c>
      <c r="X4495" s="250">
        <v>3.9965871839777265E-3</v>
      </c>
      <c r="Y4495" s="250">
        <v>0.3</v>
      </c>
      <c r="Z4495" s="150">
        <v>30</v>
      </c>
      <c r="AA4495" s="150">
        <v>1.67</v>
      </c>
      <c r="AB4495" s="152"/>
      <c r="AC4495" s="152"/>
      <c r="AD4495" s="223">
        <v>6.3701109999999996</v>
      </c>
      <c r="AE4495" s="223">
        <v>0.5699573</v>
      </c>
      <c r="AF4495" s="223">
        <v>3.6228660000000001</v>
      </c>
      <c r="AG4495" s="223">
        <v>0.85036409999999996</v>
      </c>
      <c r="AH4495" s="341"/>
      <c r="AI4495" s="218"/>
      <c r="AJ4495" s="218"/>
      <c r="AK4495" s="153"/>
      <c r="AL4495" s="152"/>
      <c r="AM4495" s="152"/>
      <c r="AN4495" s="152"/>
      <c r="AO4495" s="152"/>
      <c r="AP4495" s="152"/>
      <c r="AQ4495" s="152"/>
      <c r="AR4495" s="152"/>
      <c r="AS4495" s="152"/>
      <c r="AT4495" s="152"/>
      <c r="AU4495" s="153"/>
      <c r="AV4495" s="479"/>
      <c r="AW4495" s="479"/>
      <c r="AX4495" s="442"/>
      <c r="AY4495" s="153"/>
      <c r="AZ4495" s="152"/>
      <c r="BA4495" s="152"/>
      <c r="BB4495" s="152"/>
      <c r="BC4495" s="152"/>
      <c r="BD4495" s="152"/>
      <c r="BE4495" s="152"/>
      <c r="BF4495" s="152"/>
      <c r="BG4495" s="152"/>
      <c r="BH4495" s="152"/>
      <c r="BI4495" s="153"/>
      <c r="BJ4495" s="153"/>
      <c r="BK4495" s="153"/>
      <c r="BL4495" s="153"/>
      <c r="BM4495" s="153"/>
      <c r="BN4495" s="153"/>
      <c r="BO4495" s="153"/>
      <c r="BP4495" s="153"/>
      <c r="BQ4495" s="153"/>
      <c r="BR4495" s="153"/>
      <c r="BS4495" s="153"/>
      <c r="BT4495" s="153"/>
      <c r="BU4495" s="153"/>
      <c r="BV4495" s="153"/>
      <c r="BW4495" s="153"/>
      <c r="BX4495" s="153"/>
      <c r="BY4495" s="153"/>
      <c r="BZ4495" s="153"/>
      <c r="CA4495" s="152"/>
      <c r="CB4495" s="152"/>
    </row>
    <row r="4496" spans="1:80" s="87" customFormat="1" ht="15" x14ac:dyDescent="0.25">
      <c r="A4496" s="152"/>
      <c r="B4496" s="683"/>
      <c r="C4496" s="683"/>
      <c r="D4496" s="698"/>
      <c r="E4496" s="215"/>
      <c r="F4496" s="215"/>
      <c r="G4496" s="153"/>
      <c r="H4496" s="153"/>
      <c r="I4496" s="326">
        <v>17</v>
      </c>
      <c r="J4496" s="326">
        <v>60</v>
      </c>
      <c r="K4496" s="150">
        <v>1</v>
      </c>
      <c r="L4496" s="656">
        <v>17</v>
      </c>
      <c r="M4496" s="663">
        <v>34830</v>
      </c>
      <c r="N4496" s="600">
        <v>2.30749</v>
      </c>
      <c r="O4496" s="604">
        <v>2.1621000000000001E-2</v>
      </c>
      <c r="P4496" s="250"/>
      <c r="Q4496" s="250"/>
      <c r="R4496" s="250">
        <v>3.5000000000000003E-2</v>
      </c>
      <c r="S4496" s="250">
        <v>5.5899999999999998E-2</v>
      </c>
      <c r="T4496" s="250">
        <v>0.1011</v>
      </c>
      <c r="U4496" s="250">
        <v>0.19010000000000002</v>
      </c>
      <c r="V4496" s="250">
        <v>0.29992222438265603</v>
      </c>
      <c r="W4496" s="250">
        <v>0.31401905502624927</v>
      </c>
      <c r="X4496" s="250">
        <v>3.9860003888780868E-3</v>
      </c>
      <c r="Y4496" s="250">
        <v>0.21</v>
      </c>
      <c r="Z4496" s="150">
        <v>21</v>
      </c>
      <c r="AA4496" s="150">
        <v>1.52</v>
      </c>
      <c r="AB4496" s="152"/>
      <c r="AC4496" s="152"/>
      <c r="AD4496" s="223">
        <v>6.3701109999999996</v>
      </c>
      <c r="AE4496" s="223">
        <v>0.5699573</v>
      </c>
      <c r="AF4496" s="223">
        <v>3.6228660000000001</v>
      </c>
      <c r="AG4496" s="223">
        <v>0.85036409999999996</v>
      </c>
      <c r="AH4496" s="341"/>
      <c r="AI4496" s="218"/>
      <c r="AJ4496" s="218"/>
      <c r="AK4496" s="153"/>
      <c r="AL4496" s="152"/>
      <c r="AM4496" s="152"/>
      <c r="AN4496" s="152"/>
      <c r="AO4496" s="152"/>
      <c r="AP4496" s="152"/>
      <c r="AQ4496" s="152"/>
      <c r="AR4496" s="152"/>
      <c r="AS4496" s="152"/>
      <c r="AT4496" s="152"/>
      <c r="AU4496" s="153"/>
      <c r="AV4496" s="479"/>
      <c r="AW4496" s="479"/>
      <c r="AX4496" s="442"/>
      <c r="AY4496" s="153"/>
      <c r="AZ4496" s="152"/>
      <c r="BA4496" s="152"/>
      <c r="BB4496" s="152"/>
      <c r="BC4496" s="152"/>
      <c r="BD4496" s="152"/>
      <c r="BE4496" s="152"/>
      <c r="BF4496" s="152"/>
      <c r="BG4496" s="152"/>
      <c r="BH4496" s="152"/>
      <c r="BI4496" s="153"/>
      <c r="BJ4496" s="153"/>
      <c r="BK4496" s="153"/>
      <c r="BL4496" s="153"/>
      <c r="BM4496" s="153"/>
      <c r="BN4496" s="153"/>
      <c r="BO4496" s="153"/>
      <c r="BP4496" s="153"/>
      <c r="BQ4496" s="153"/>
      <c r="BR4496" s="153"/>
      <c r="BS4496" s="153"/>
      <c r="BT4496" s="153"/>
      <c r="BU4496" s="153"/>
      <c r="BV4496" s="153"/>
      <c r="BW4496" s="153"/>
      <c r="BX4496" s="153"/>
      <c r="BY4496" s="153"/>
      <c r="BZ4496" s="153"/>
      <c r="CA4496" s="152"/>
      <c r="CB4496" s="152"/>
    </row>
    <row r="4497" spans="1:80" s="87" customFormat="1" ht="15" x14ac:dyDescent="0.25">
      <c r="A4497" s="152"/>
      <c r="B4497" s="683"/>
      <c r="C4497" s="683"/>
      <c r="D4497" s="698"/>
      <c r="E4497" s="215"/>
      <c r="F4497" s="215"/>
      <c r="G4497" s="153"/>
      <c r="H4497" s="153"/>
      <c r="I4497" s="326">
        <v>20</v>
      </c>
      <c r="J4497" s="326">
        <v>60</v>
      </c>
      <c r="K4497" s="150">
        <v>1</v>
      </c>
      <c r="L4497" s="656">
        <v>20</v>
      </c>
      <c r="M4497" s="663">
        <v>34834</v>
      </c>
      <c r="N4497" s="600">
        <v>1.2316</v>
      </c>
      <c r="O4497" s="604">
        <v>5.7730000000000004E-3</v>
      </c>
      <c r="P4497" s="250"/>
      <c r="Q4497" s="250"/>
      <c r="R4497" s="250"/>
      <c r="S4497" s="250">
        <v>5.7000000000000002E-2</v>
      </c>
      <c r="T4497" s="250">
        <v>8.900000000000001E-2</v>
      </c>
      <c r="U4497" s="250">
        <v>0.1729</v>
      </c>
      <c r="V4497" s="250">
        <v>0.29961866715089885</v>
      </c>
      <c r="W4497" s="250">
        <v>0.37443254040312324</v>
      </c>
      <c r="X4497" s="250">
        <v>7.0818957690212446E-3</v>
      </c>
      <c r="Y4497" s="250">
        <v>0.11</v>
      </c>
      <c r="Z4497" s="150">
        <v>11</v>
      </c>
      <c r="AA4497" s="150">
        <v>1.32</v>
      </c>
      <c r="AB4497" s="152"/>
      <c r="AC4497" s="152"/>
      <c r="AD4497" s="223"/>
      <c r="AE4497" s="223"/>
      <c r="AF4497" s="223"/>
      <c r="AG4497" s="223"/>
      <c r="AH4497" s="341"/>
      <c r="AI4497" s="218"/>
      <c r="AJ4497" s="218"/>
      <c r="AK4497" s="153"/>
      <c r="AL4497" s="152"/>
      <c r="AM4497" s="152"/>
      <c r="AN4497" s="152"/>
      <c r="AO4497" s="152"/>
      <c r="AP4497" s="152"/>
      <c r="AQ4497" s="152"/>
      <c r="AR4497" s="152"/>
      <c r="AS4497" s="152"/>
      <c r="AT4497" s="152"/>
      <c r="AU4497" s="153"/>
      <c r="AV4497" s="479"/>
      <c r="AW4497" s="479"/>
      <c r="AX4497" s="442"/>
      <c r="AY4497" s="153"/>
      <c r="AZ4497" s="152"/>
      <c r="BA4497" s="152"/>
      <c r="BB4497" s="152"/>
      <c r="BC4497" s="152"/>
      <c r="BD4497" s="152"/>
      <c r="BE4497" s="152"/>
      <c r="BF4497" s="152"/>
      <c r="BG4497" s="152"/>
      <c r="BH4497" s="152"/>
      <c r="BI4497" s="153"/>
      <c r="BJ4497" s="153"/>
      <c r="BK4497" s="153"/>
      <c r="BL4497" s="153"/>
      <c r="BM4497" s="153"/>
      <c r="BN4497" s="153"/>
      <c r="BO4497" s="153"/>
      <c r="BP4497" s="153"/>
      <c r="BQ4497" s="153"/>
      <c r="BR4497" s="153"/>
      <c r="BS4497" s="153"/>
      <c r="BT4497" s="153"/>
      <c r="BU4497" s="153"/>
      <c r="BV4497" s="153"/>
      <c r="BW4497" s="153"/>
      <c r="BX4497" s="153"/>
      <c r="BY4497" s="153"/>
      <c r="BZ4497" s="153"/>
      <c r="CA4497" s="152"/>
      <c r="CB4497" s="152"/>
    </row>
    <row r="4498" spans="1:80" s="87" customFormat="1" ht="15" x14ac:dyDescent="0.25">
      <c r="A4498" s="152"/>
      <c r="B4498" s="683"/>
      <c r="C4498" s="683"/>
      <c r="D4498" s="698"/>
      <c r="E4498" s="215"/>
      <c r="F4498" s="215"/>
      <c r="G4498" s="153"/>
      <c r="H4498" s="153"/>
      <c r="I4498" s="326">
        <v>20</v>
      </c>
      <c r="J4498" s="326">
        <v>60</v>
      </c>
      <c r="K4498" s="150">
        <v>1</v>
      </c>
      <c r="L4498" s="656">
        <v>20</v>
      </c>
      <c r="M4498" s="663">
        <v>34834</v>
      </c>
      <c r="N4498" s="600">
        <v>1.2316</v>
      </c>
      <c r="O4498" s="604">
        <v>5.7619999999999998E-3</v>
      </c>
      <c r="P4498" s="250"/>
      <c r="Q4498" s="250"/>
      <c r="R4498" s="250"/>
      <c r="S4498" s="250">
        <v>0.01</v>
      </c>
      <c r="T4498" s="250">
        <v>5.6100000000000004E-2</v>
      </c>
      <c r="U4498" s="250">
        <v>0.14610000000000001</v>
      </c>
      <c r="V4498" s="250">
        <v>0.35161231554017131</v>
      </c>
      <c r="W4498" s="250">
        <v>0.42812898524321374</v>
      </c>
      <c r="X4498" s="250">
        <v>8.0160320641282576E-3</v>
      </c>
      <c r="Y4498" s="250">
        <v>0.12</v>
      </c>
      <c r="Z4498" s="150">
        <v>12</v>
      </c>
      <c r="AA4498" s="150">
        <v>1.1299999999999999</v>
      </c>
      <c r="AB4498" s="152"/>
      <c r="AC4498" s="152"/>
      <c r="AD4498" s="223"/>
      <c r="AE4498" s="223"/>
      <c r="AF4498" s="223"/>
      <c r="AG4498" s="223"/>
      <c r="AH4498" s="341"/>
      <c r="AI4498" s="218"/>
      <c r="AJ4498" s="218"/>
      <c r="AK4498" s="153"/>
      <c r="AL4498" s="152"/>
      <c r="AM4498" s="152"/>
      <c r="AN4498" s="152"/>
      <c r="AO4498" s="152"/>
      <c r="AP4498" s="152"/>
      <c r="AQ4498" s="152"/>
      <c r="AR4498" s="152"/>
      <c r="AS4498" s="152"/>
      <c r="AT4498" s="152"/>
      <c r="AU4498" s="153"/>
      <c r="AV4498" s="479"/>
      <c r="AW4498" s="479"/>
      <c r="AX4498" s="442"/>
      <c r="AY4498" s="153"/>
      <c r="AZ4498" s="152"/>
      <c r="BA4498" s="152"/>
      <c r="BB4498" s="152"/>
      <c r="BC4498" s="152"/>
      <c r="BD4498" s="152"/>
      <c r="BE4498" s="152"/>
      <c r="BF4498" s="152"/>
      <c r="BG4498" s="152"/>
      <c r="BH4498" s="152"/>
      <c r="BI4498" s="153"/>
      <c r="BJ4498" s="153"/>
      <c r="BK4498" s="153"/>
      <c r="BL4498" s="153"/>
      <c r="BM4498" s="153"/>
      <c r="BN4498" s="153"/>
      <c r="BO4498" s="153"/>
      <c r="BP4498" s="153"/>
      <c r="BQ4498" s="153"/>
      <c r="BR4498" s="153"/>
      <c r="BS4498" s="153"/>
      <c r="BT4498" s="153"/>
      <c r="BU4498" s="153"/>
      <c r="BV4498" s="153"/>
      <c r="BW4498" s="153"/>
      <c r="BX4498" s="153"/>
      <c r="BY4498" s="153"/>
      <c r="BZ4498" s="153"/>
      <c r="CA4498" s="152"/>
      <c r="CB4498" s="152"/>
    </row>
    <row r="4499" spans="1:80" s="87" customFormat="1" ht="15" x14ac:dyDescent="0.25">
      <c r="A4499" s="152"/>
      <c r="B4499" s="683"/>
      <c r="C4499" s="683"/>
      <c r="D4499" s="698"/>
      <c r="E4499" s="215"/>
      <c r="F4499" s="215"/>
      <c r="G4499" s="153"/>
      <c r="H4499" s="153"/>
      <c r="I4499" s="326">
        <v>20</v>
      </c>
      <c r="J4499" s="326">
        <v>60</v>
      </c>
      <c r="K4499" s="150">
        <v>1</v>
      </c>
      <c r="L4499" s="656">
        <v>20</v>
      </c>
      <c r="M4499" s="663">
        <v>34836</v>
      </c>
      <c r="N4499" s="600">
        <v>1.50057</v>
      </c>
      <c r="O4499" s="604">
        <v>9.9710000000000007E-3</v>
      </c>
      <c r="P4499" s="250"/>
      <c r="Q4499" s="250"/>
      <c r="R4499" s="250"/>
      <c r="S4499" s="250">
        <v>5.4000000000000006E-2</v>
      </c>
      <c r="T4499" s="250">
        <v>7.4999999999999997E-2</v>
      </c>
      <c r="U4499" s="250">
        <v>0.20960000000000001</v>
      </c>
      <c r="V4499" s="250">
        <v>0.33385992627698785</v>
      </c>
      <c r="W4499" s="250">
        <v>0.32058978409689309</v>
      </c>
      <c r="X4499" s="250">
        <v>6.9510268562401256E-3</v>
      </c>
      <c r="Y4499" s="250">
        <v>0.14000000000000001</v>
      </c>
      <c r="Z4499" s="150">
        <v>14</v>
      </c>
      <c r="AA4499" s="150">
        <v>1.43</v>
      </c>
      <c r="AB4499" s="152"/>
      <c r="AC4499" s="152"/>
      <c r="AD4499" s="223">
        <v>5.6386149999999997</v>
      </c>
      <c r="AE4499" s="223">
        <v>0.35355639999999999</v>
      </c>
      <c r="AF4499" s="223">
        <v>1.9972209999999999</v>
      </c>
      <c r="AG4499" s="223">
        <v>0.75587919999999997</v>
      </c>
      <c r="AH4499" s="341"/>
      <c r="AI4499" s="218"/>
      <c r="AJ4499" s="218"/>
      <c r="AK4499" s="153"/>
      <c r="AL4499" s="152"/>
      <c r="AM4499" s="152"/>
      <c r="AN4499" s="152"/>
      <c r="AO4499" s="152"/>
      <c r="AP4499" s="152"/>
      <c r="AQ4499" s="152"/>
      <c r="AR4499" s="152"/>
      <c r="AS4499" s="152"/>
      <c r="AT4499" s="152"/>
      <c r="AU4499" s="153"/>
      <c r="AV4499" s="479"/>
      <c r="AW4499" s="479"/>
      <c r="AX4499" s="442"/>
      <c r="AY4499" s="153"/>
      <c r="AZ4499" s="152"/>
      <c r="BA4499" s="152"/>
      <c r="BB4499" s="152"/>
      <c r="BC4499" s="152"/>
      <c r="BD4499" s="152"/>
      <c r="BE4499" s="152"/>
      <c r="BF4499" s="152"/>
      <c r="BG4499" s="152"/>
      <c r="BH4499" s="152"/>
      <c r="BI4499" s="153"/>
      <c r="BJ4499" s="153"/>
      <c r="BK4499" s="153"/>
      <c r="BL4499" s="153"/>
      <c r="BM4499" s="153"/>
      <c r="BN4499" s="153"/>
      <c r="BO4499" s="153"/>
      <c r="BP4499" s="153"/>
      <c r="BQ4499" s="153"/>
      <c r="BR4499" s="153"/>
      <c r="BS4499" s="153"/>
      <c r="BT4499" s="153"/>
      <c r="BU4499" s="153"/>
      <c r="BV4499" s="153"/>
      <c r="BW4499" s="153"/>
      <c r="BX4499" s="153"/>
      <c r="BY4499" s="153"/>
      <c r="BZ4499" s="153"/>
      <c r="CA4499" s="152"/>
      <c r="CB4499" s="152"/>
    </row>
    <row r="4500" spans="1:80" s="87" customFormat="1" ht="15" x14ac:dyDescent="0.25">
      <c r="A4500" s="152"/>
      <c r="B4500" s="683"/>
      <c r="C4500" s="683"/>
      <c r="D4500" s="698"/>
      <c r="E4500" s="215"/>
      <c r="F4500" s="215"/>
      <c r="G4500" s="153"/>
      <c r="H4500" s="153"/>
      <c r="I4500" s="326">
        <v>20</v>
      </c>
      <c r="J4500" s="326">
        <v>60</v>
      </c>
      <c r="K4500" s="150">
        <v>1</v>
      </c>
      <c r="L4500" s="656">
        <v>20</v>
      </c>
      <c r="M4500" s="663">
        <v>34836</v>
      </c>
      <c r="N4500" s="600">
        <v>1.50057</v>
      </c>
      <c r="O4500" s="604">
        <v>4.2399999999999998E-3</v>
      </c>
      <c r="P4500" s="250"/>
      <c r="Q4500" s="250"/>
      <c r="R4500" s="250"/>
      <c r="S4500" s="250">
        <v>2.7999999999999997E-2</v>
      </c>
      <c r="T4500" s="250">
        <v>4.2099999999999999E-2</v>
      </c>
      <c r="U4500" s="250">
        <v>0.16719999999999999</v>
      </c>
      <c r="V4500" s="250">
        <v>0.33927686973749371</v>
      </c>
      <c r="W4500" s="250">
        <v>0.41654284299157995</v>
      </c>
      <c r="X4500" s="250">
        <v>6.9341258048538868E-3</v>
      </c>
      <c r="Y4500" s="250">
        <v>0.11</v>
      </c>
      <c r="Z4500" s="150">
        <v>11</v>
      </c>
      <c r="AA4500" s="150">
        <v>1.17</v>
      </c>
      <c r="AB4500" s="152"/>
      <c r="AC4500" s="152"/>
      <c r="AD4500" s="223">
        <v>5.6386149999999997</v>
      </c>
      <c r="AE4500" s="223">
        <v>0.35355639999999999</v>
      </c>
      <c r="AF4500" s="223">
        <v>1.9972209999999999</v>
      </c>
      <c r="AG4500" s="223">
        <v>0.75587919999999997</v>
      </c>
      <c r="AH4500" s="341"/>
      <c r="AI4500" s="218"/>
      <c r="AJ4500" s="218"/>
      <c r="AK4500" s="153"/>
      <c r="AL4500" s="152"/>
      <c r="AM4500" s="152"/>
      <c r="AN4500" s="152"/>
      <c r="AO4500" s="152"/>
      <c r="AP4500" s="152"/>
      <c r="AQ4500" s="152"/>
      <c r="AR4500" s="152"/>
      <c r="AS4500" s="152"/>
      <c r="AT4500" s="152"/>
      <c r="AU4500" s="153"/>
      <c r="AV4500" s="479"/>
      <c r="AW4500" s="479"/>
      <c r="AX4500" s="442"/>
      <c r="AY4500" s="153"/>
      <c r="AZ4500" s="152"/>
      <c r="BA4500" s="152"/>
      <c r="BB4500" s="152"/>
      <c r="BC4500" s="152"/>
      <c r="BD4500" s="152"/>
      <c r="BE4500" s="152"/>
      <c r="BF4500" s="152"/>
      <c r="BG4500" s="152"/>
      <c r="BH4500" s="152"/>
      <c r="BI4500" s="153"/>
      <c r="BJ4500" s="153"/>
      <c r="BK4500" s="153"/>
      <c r="BL4500" s="153"/>
      <c r="BM4500" s="153"/>
      <c r="BN4500" s="153"/>
      <c r="BO4500" s="153"/>
      <c r="BP4500" s="153"/>
      <c r="BQ4500" s="153"/>
      <c r="BR4500" s="153"/>
      <c r="BS4500" s="153"/>
      <c r="BT4500" s="153"/>
      <c r="BU4500" s="153"/>
      <c r="BV4500" s="153"/>
      <c r="BW4500" s="153"/>
      <c r="BX4500" s="153"/>
      <c r="BY4500" s="153"/>
      <c r="BZ4500" s="153"/>
      <c r="CA4500" s="152"/>
      <c r="CB4500" s="152"/>
    </row>
    <row r="4501" spans="1:80" s="87" customFormat="1" ht="15" x14ac:dyDescent="0.25">
      <c r="A4501" s="152"/>
      <c r="B4501" s="683"/>
      <c r="C4501" s="683"/>
      <c r="D4501" s="698"/>
      <c r="E4501" s="215"/>
      <c r="F4501" s="215"/>
      <c r="G4501" s="153"/>
      <c r="H4501" s="153"/>
      <c r="I4501" s="326">
        <v>18</v>
      </c>
      <c r="J4501" s="326">
        <v>60</v>
      </c>
      <c r="K4501" s="150">
        <v>1</v>
      </c>
      <c r="L4501" s="656">
        <v>18</v>
      </c>
      <c r="M4501" s="663">
        <v>34841</v>
      </c>
      <c r="N4501" s="600">
        <v>1.50057</v>
      </c>
      <c r="O4501" s="604">
        <v>2.0569999999999998E-3</v>
      </c>
      <c r="P4501" s="250"/>
      <c r="Q4501" s="250"/>
      <c r="R4501" s="250"/>
      <c r="S4501" s="250"/>
      <c r="T4501" s="250">
        <v>3.32E-2</v>
      </c>
      <c r="U4501" s="250">
        <v>0.1231</v>
      </c>
      <c r="V4501" s="250">
        <v>0.39070480081716036</v>
      </c>
      <c r="W4501" s="250">
        <v>0.44279877425944841</v>
      </c>
      <c r="X4501" s="250">
        <v>1.0214504596527068E-2</v>
      </c>
      <c r="Y4501" s="250">
        <v>7.0000000000000007E-2</v>
      </c>
      <c r="Z4501" s="150">
        <v>7</v>
      </c>
      <c r="AA4501" s="150">
        <v>1.0900000000000001</v>
      </c>
      <c r="AB4501" s="152"/>
      <c r="AC4501" s="152"/>
      <c r="AD4501" s="223">
        <v>5.6386149999999997</v>
      </c>
      <c r="AE4501" s="223">
        <v>0.34746060000000001</v>
      </c>
      <c r="AF4501" s="223">
        <v>1.950774</v>
      </c>
      <c r="AG4501" s="223">
        <v>0.75892709999999997</v>
      </c>
      <c r="AH4501" s="341"/>
      <c r="AI4501" s="218"/>
      <c r="AJ4501" s="218"/>
      <c r="AK4501" s="153"/>
      <c r="AL4501" s="152"/>
      <c r="AM4501" s="152"/>
      <c r="AN4501" s="152"/>
      <c r="AO4501" s="152"/>
      <c r="AP4501" s="152"/>
      <c r="AQ4501" s="152"/>
      <c r="AR4501" s="152"/>
      <c r="AS4501" s="152"/>
      <c r="AT4501" s="152"/>
      <c r="AU4501" s="153"/>
      <c r="AV4501" s="479"/>
      <c r="AW4501" s="479"/>
      <c r="AX4501" s="442"/>
      <c r="AY4501" s="153"/>
      <c r="AZ4501" s="152"/>
      <c r="BA4501" s="152"/>
      <c r="BB4501" s="152"/>
      <c r="BC4501" s="152"/>
      <c r="BD4501" s="152"/>
      <c r="BE4501" s="152"/>
      <c r="BF4501" s="152"/>
      <c r="BG4501" s="152"/>
      <c r="BH4501" s="152"/>
      <c r="BI4501" s="153"/>
      <c r="BJ4501" s="153"/>
      <c r="BK4501" s="153"/>
      <c r="BL4501" s="153"/>
      <c r="BM4501" s="153"/>
      <c r="BN4501" s="153"/>
      <c r="BO4501" s="153"/>
      <c r="BP4501" s="153"/>
      <c r="BQ4501" s="153"/>
      <c r="BR4501" s="153"/>
      <c r="BS4501" s="153"/>
      <c r="BT4501" s="153"/>
      <c r="BU4501" s="153"/>
      <c r="BV4501" s="153"/>
      <c r="BW4501" s="153"/>
      <c r="BX4501" s="153"/>
      <c r="BY4501" s="153"/>
      <c r="BZ4501" s="153"/>
      <c r="CA4501" s="152"/>
      <c r="CB4501" s="152"/>
    </row>
    <row r="4502" spans="1:80" s="87" customFormat="1" ht="15" x14ac:dyDescent="0.25">
      <c r="A4502" s="152"/>
      <c r="B4502" s="683"/>
      <c r="C4502" s="683"/>
      <c r="D4502" s="698"/>
      <c r="E4502" s="215"/>
      <c r="F4502" s="215"/>
      <c r="G4502" s="153"/>
      <c r="H4502" s="153"/>
      <c r="I4502" s="326">
        <v>18</v>
      </c>
      <c r="J4502" s="326">
        <v>60</v>
      </c>
      <c r="K4502" s="150">
        <v>1</v>
      </c>
      <c r="L4502" s="656">
        <v>18</v>
      </c>
      <c r="M4502" s="663">
        <v>34841</v>
      </c>
      <c r="N4502" s="600">
        <v>1.50057</v>
      </c>
      <c r="O4502" s="604">
        <v>1.784E-3</v>
      </c>
      <c r="P4502" s="250"/>
      <c r="Q4502" s="250"/>
      <c r="R4502" s="250"/>
      <c r="S4502" s="250">
        <v>3.1099999999999999E-2</v>
      </c>
      <c r="T4502" s="250">
        <v>5.6900000000000006E-2</v>
      </c>
      <c r="U4502" s="250">
        <v>0.1802</v>
      </c>
      <c r="V4502" s="250">
        <v>0.3450704225352112</v>
      </c>
      <c r="W4502" s="250">
        <v>0.37969483568075113</v>
      </c>
      <c r="X4502" s="250">
        <v>7.042253521126759E-3</v>
      </c>
      <c r="Y4502" s="250">
        <v>0.09</v>
      </c>
      <c r="Z4502" s="150">
        <v>9</v>
      </c>
      <c r="AA4502" s="150">
        <v>1.26</v>
      </c>
      <c r="AB4502" s="152"/>
      <c r="AC4502" s="152"/>
      <c r="AD4502" s="223">
        <v>5.6386149999999997</v>
      </c>
      <c r="AE4502" s="223">
        <v>0.34746060000000001</v>
      </c>
      <c r="AF4502" s="223">
        <v>1.950774</v>
      </c>
      <c r="AG4502" s="223">
        <v>0.75892709999999997</v>
      </c>
      <c r="AH4502" s="341"/>
      <c r="AI4502" s="218"/>
      <c r="AJ4502" s="218"/>
      <c r="AK4502" s="153"/>
      <c r="AL4502" s="152"/>
      <c r="AM4502" s="152"/>
      <c r="AN4502" s="152"/>
      <c r="AO4502" s="152"/>
      <c r="AP4502" s="152"/>
      <c r="AQ4502" s="152"/>
      <c r="AR4502" s="152"/>
      <c r="AS4502" s="152"/>
      <c r="AT4502" s="152"/>
      <c r="AU4502" s="153"/>
      <c r="AV4502" s="479"/>
      <c r="AW4502" s="479"/>
      <c r="AX4502" s="442"/>
      <c r="AY4502" s="153"/>
      <c r="AZ4502" s="152"/>
      <c r="BA4502" s="152"/>
      <c r="BB4502" s="152"/>
      <c r="BC4502" s="152"/>
      <c r="BD4502" s="152"/>
      <c r="BE4502" s="152"/>
      <c r="BF4502" s="152"/>
      <c r="BG4502" s="152"/>
      <c r="BH4502" s="152"/>
      <c r="BI4502" s="153"/>
      <c r="BJ4502" s="153"/>
      <c r="BK4502" s="153"/>
      <c r="BL4502" s="153"/>
      <c r="BM4502" s="153"/>
      <c r="BN4502" s="153"/>
      <c r="BO4502" s="153"/>
      <c r="BP4502" s="153"/>
      <c r="BQ4502" s="153"/>
      <c r="BR4502" s="153"/>
      <c r="BS4502" s="153"/>
      <c r="BT4502" s="153"/>
      <c r="BU4502" s="153"/>
      <c r="BV4502" s="153"/>
      <c r="BW4502" s="153"/>
      <c r="BX4502" s="153"/>
      <c r="BY4502" s="153"/>
      <c r="BZ4502" s="153"/>
      <c r="CA4502" s="152"/>
      <c r="CB4502" s="152"/>
    </row>
    <row r="4503" spans="1:80" s="87" customFormat="1" ht="15" x14ac:dyDescent="0.25">
      <c r="A4503" s="152"/>
      <c r="B4503" s="683"/>
      <c r="C4503" s="683"/>
      <c r="D4503" s="698"/>
      <c r="E4503" s="215"/>
      <c r="F4503" s="215"/>
      <c r="G4503" s="153"/>
      <c r="H4503" s="153"/>
      <c r="I4503" s="326">
        <v>17</v>
      </c>
      <c r="J4503" s="326">
        <v>60</v>
      </c>
      <c r="K4503" s="150">
        <v>1</v>
      </c>
      <c r="L4503" s="656">
        <v>17</v>
      </c>
      <c r="M4503" s="663">
        <v>34843</v>
      </c>
      <c r="N4503" s="600">
        <v>1.3250299999999999</v>
      </c>
      <c r="O4503" s="604">
        <v>6.6020000000000002E-3</v>
      </c>
      <c r="P4503" s="250"/>
      <c r="Q4503" s="250"/>
      <c r="R4503" s="250"/>
      <c r="S4503" s="250">
        <v>0.121</v>
      </c>
      <c r="T4503" s="250">
        <v>0.1429</v>
      </c>
      <c r="U4503" s="250">
        <v>0.14899999999999999</v>
      </c>
      <c r="V4503" s="250">
        <v>0.28939418031483544</v>
      </c>
      <c r="W4503" s="250">
        <v>0.29162028939418039</v>
      </c>
      <c r="X4503" s="250">
        <v>6.0422960725075529E-3</v>
      </c>
      <c r="Y4503" s="250">
        <v>0.15</v>
      </c>
      <c r="Z4503" s="150">
        <v>15</v>
      </c>
      <c r="AA4503" s="150">
        <v>1.62</v>
      </c>
      <c r="AB4503" s="152"/>
      <c r="AC4503" s="152"/>
      <c r="AD4503" s="223">
        <v>5.5776570000000003</v>
      </c>
      <c r="AE4503" s="223">
        <v>0.3291732</v>
      </c>
      <c r="AF4503" s="223">
        <v>1.8300118000000001</v>
      </c>
      <c r="AG4503" s="223">
        <v>0.68272960000000005</v>
      </c>
      <c r="AH4503" s="341"/>
      <c r="AI4503" s="218"/>
      <c r="AJ4503" s="218"/>
      <c r="AK4503" s="153"/>
      <c r="AL4503" s="152"/>
      <c r="AM4503" s="152"/>
      <c r="AN4503" s="152"/>
      <c r="AO4503" s="152"/>
      <c r="AP4503" s="152"/>
      <c r="AQ4503" s="152"/>
      <c r="AR4503" s="152"/>
      <c r="AS4503" s="152"/>
      <c r="AT4503" s="152"/>
      <c r="AU4503" s="153"/>
      <c r="AV4503" s="479"/>
      <c r="AW4503" s="479"/>
      <c r="AX4503" s="442"/>
      <c r="AY4503" s="153"/>
      <c r="AZ4503" s="152"/>
      <c r="BA4503" s="152"/>
      <c r="BB4503" s="152"/>
      <c r="BC4503" s="152"/>
      <c r="BD4503" s="152"/>
      <c r="BE4503" s="152"/>
      <c r="BF4503" s="152"/>
      <c r="BG4503" s="152"/>
      <c r="BH4503" s="152"/>
      <c r="BI4503" s="153"/>
      <c r="BJ4503" s="153"/>
      <c r="BK4503" s="153"/>
      <c r="BL4503" s="153"/>
      <c r="BM4503" s="153"/>
      <c r="BN4503" s="153"/>
      <c r="BO4503" s="153"/>
      <c r="BP4503" s="153"/>
      <c r="BQ4503" s="153"/>
      <c r="BR4503" s="153"/>
      <c r="BS4503" s="153"/>
      <c r="BT4503" s="153"/>
      <c r="BU4503" s="153"/>
      <c r="BV4503" s="153"/>
      <c r="BW4503" s="153"/>
      <c r="BX4503" s="153"/>
      <c r="BY4503" s="153"/>
      <c r="BZ4503" s="153"/>
      <c r="CA4503" s="152"/>
      <c r="CB4503" s="152"/>
    </row>
    <row r="4504" spans="1:80" s="87" customFormat="1" ht="15" x14ac:dyDescent="0.25">
      <c r="A4504" s="152"/>
      <c r="B4504" s="683"/>
      <c r="C4504" s="683"/>
      <c r="D4504" s="698"/>
      <c r="E4504" s="215"/>
      <c r="F4504" s="215"/>
      <c r="G4504" s="153"/>
      <c r="H4504" s="153"/>
      <c r="I4504" s="326">
        <v>17</v>
      </c>
      <c r="J4504" s="326">
        <v>60</v>
      </c>
      <c r="K4504" s="150">
        <v>1</v>
      </c>
      <c r="L4504" s="656">
        <v>17</v>
      </c>
      <c r="M4504" s="663">
        <v>34843</v>
      </c>
      <c r="N4504" s="600">
        <v>1.3250299999999999</v>
      </c>
      <c r="O4504" s="604">
        <v>2.4350000000000001E-3</v>
      </c>
      <c r="P4504" s="250"/>
      <c r="Q4504" s="250"/>
      <c r="R4504" s="250"/>
      <c r="S4504" s="250">
        <v>2.7099999999999999E-2</v>
      </c>
      <c r="T4504" s="250">
        <v>5.6799999999999996E-2</v>
      </c>
      <c r="U4504" s="250">
        <v>0.16699999999999998</v>
      </c>
      <c r="V4504" s="250">
        <v>0.34309083082221259</v>
      </c>
      <c r="W4504" s="250">
        <v>0.39302625914765388</v>
      </c>
      <c r="X4504" s="250">
        <v>1.2914334911752043E-2</v>
      </c>
      <c r="Y4504" s="250">
        <v>0.1</v>
      </c>
      <c r="Z4504" s="150">
        <v>10</v>
      </c>
      <c r="AA4504" s="150">
        <v>1.21</v>
      </c>
      <c r="AB4504" s="152"/>
      <c r="AC4504" s="152"/>
      <c r="AD4504" s="223">
        <v>5.5776570000000003</v>
      </c>
      <c r="AE4504" s="223">
        <v>0.3291732</v>
      </c>
      <c r="AF4504" s="223">
        <v>1.8300118000000001</v>
      </c>
      <c r="AG4504" s="223">
        <v>0.68272960000000005</v>
      </c>
      <c r="AH4504" s="341"/>
      <c r="AI4504" s="218"/>
      <c r="AJ4504" s="218"/>
      <c r="AK4504" s="153"/>
      <c r="AL4504" s="152"/>
      <c r="AM4504" s="152"/>
      <c r="AN4504" s="152"/>
      <c r="AO4504" s="152"/>
      <c r="AP4504" s="152"/>
      <c r="AQ4504" s="152"/>
      <c r="AR4504" s="152"/>
      <c r="AS4504" s="152"/>
      <c r="AT4504" s="152"/>
      <c r="AU4504" s="153"/>
      <c r="AV4504" s="479"/>
      <c r="AW4504" s="479"/>
      <c r="AX4504" s="442"/>
      <c r="AY4504" s="153"/>
      <c r="AZ4504" s="152"/>
      <c r="BA4504" s="152"/>
      <c r="BB4504" s="152"/>
      <c r="BC4504" s="152"/>
      <c r="BD4504" s="152"/>
      <c r="BE4504" s="152"/>
      <c r="BF4504" s="152"/>
      <c r="BG4504" s="152"/>
      <c r="BH4504" s="152"/>
      <c r="BI4504" s="153"/>
      <c r="BJ4504" s="153"/>
      <c r="BK4504" s="153"/>
      <c r="BL4504" s="153"/>
      <c r="BM4504" s="153"/>
      <c r="BN4504" s="153"/>
      <c r="BO4504" s="153"/>
      <c r="BP4504" s="153"/>
      <c r="BQ4504" s="153"/>
      <c r="BR4504" s="153"/>
      <c r="BS4504" s="153"/>
      <c r="BT4504" s="153"/>
      <c r="BU4504" s="153"/>
      <c r="BV4504" s="153"/>
      <c r="BW4504" s="153"/>
      <c r="BX4504" s="153"/>
      <c r="BY4504" s="153"/>
      <c r="BZ4504" s="153"/>
      <c r="CA4504" s="152"/>
      <c r="CB4504" s="152"/>
    </row>
    <row r="4505" spans="1:80" s="87" customFormat="1" ht="15" x14ac:dyDescent="0.25">
      <c r="A4505" s="152"/>
      <c r="B4505" s="683"/>
      <c r="C4505" s="683"/>
      <c r="D4505" s="698"/>
      <c r="E4505" s="215"/>
      <c r="F4505" s="215"/>
      <c r="G4505" s="153"/>
      <c r="H4505" s="153"/>
      <c r="I4505" s="326">
        <v>20</v>
      </c>
      <c r="J4505" s="326">
        <v>60</v>
      </c>
      <c r="K4505" s="150">
        <v>1</v>
      </c>
      <c r="L4505" s="656">
        <v>20</v>
      </c>
      <c r="M4505" s="663">
        <v>34849</v>
      </c>
      <c r="N4505" s="600">
        <v>0.94847999999999999</v>
      </c>
      <c r="O4505" s="604">
        <v>2.9599999999999998E-4</v>
      </c>
      <c r="P4505" s="250"/>
      <c r="Q4505" s="250"/>
      <c r="R4505" s="250"/>
      <c r="S4505" s="250"/>
      <c r="T4505" s="250"/>
      <c r="U4505" s="250">
        <v>0.12770000000000001</v>
      </c>
      <c r="V4505" s="250">
        <v>0.36170212765957449</v>
      </c>
      <c r="W4505" s="250">
        <v>0.48936170212765967</v>
      </c>
      <c r="X4505" s="250">
        <v>2.1276595744680854E-2</v>
      </c>
      <c r="Y4505" s="250">
        <v>0.02</v>
      </c>
      <c r="Z4505" s="150">
        <v>2</v>
      </c>
      <c r="AA4505" s="150">
        <v>0.98</v>
      </c>
      <c r="AB4505" s="152"/>
      <c r="AC4505" s="152"/>
      <c r="AD4505" s="223">
        <v>5.516699</v>
      </c>
      <c r="AE4505" s="223">
        <v>0.29259839999999998</v>
      </c>
      <c r="AF4505" s="223">
        <v>1.6070662</v>
      </c>
      <c r="AG4505" s="223">
        <v>0.60653210000000002</v>
      </c>
      <c r="AH4505" s="341"/>
      <c r="AI4505" s="218"/>
      <c r="AJ4505" s="218"/>
      <c r="AK4505" s="153"/>
      <c r="AL4505" s="152"/>
      <c r="AM4505" s="152"/>
      <c r="AN4505" s="152"/>
      <c r="AO4505" s="152"/>
      <c r="AP4505" s="152"/>
      <c r="AQ4505" s="152"/>
      <c r="AR4505" s="152"/>
      <c r="AS4505" s="152"/>
      <c r="AT4505" s="152"/>
      <c r="AU4505" s="153"/>
      <c r="AV4505" s="479"/>
      <c r="AW4505" s="479"/>
      <c r="AX4505" s="442"/>
      <c r="AY4505" s="153"/>
      <c r="AZ4505" s="152"/>
      <c r="BA4505" s="152"/>
      <c r="BB4505" s="152"/>
      <c r="BC4505" s="152"/>
      <c r="BD4505" s="152"/>
      <c r="BE4505" s="152"/>
      <c r="BF4505" s="152"/>
      <c r="BG4505" s="152"/>
      <c r="BH4505" s="152"/>
      <c r="BI4505" s="153"/>
      <c r="BJ4505" s="153"/>
      <c r="BK4505" s="153"/>
      <c r="BL4505" s="153"/>
      <c r="BM4505" s="153"/>
      <c r="BN4505" s="153"/>
      <c r="BO4505" s="153"/>
      <c r="BP4505" s="153"/>
      <c r="BQ4505" s="153"/>
      <c r="BR4505" s="153"/>
      <c r="BS4505" s="153"/>
      <c r="BT4505" s="153"/>
      <c r="BU4505" s="153"/>
      <c r="BV4505" s="153"/>
      <c r="BW4505" s="153"/>
      <c r="BX4505" s="153"/>
      <c r="BY4505" s="153"/>
      <c r="BZ4505" s="153"/>
      <c r="CA4505" s="152"/>
      <c r="CB4505" s="152"/>
    </row>
    <row r="4506" spans="1:80" s="87" customFormat="1" ht="15" x14ac:dyDescent="0.25">
      <c r="A4506" s="152"/>
      <c r="B4506" s="683"/>
      <c r="C4506" s="683"/>
      <c r="D4506" s="698"/>
      <c r="E4506" s="215"/>
      <c r="F4506" s="215"/>
      <c r="G4506" s="153"/>
      <c r="H4506" s="153"/>
      <c r="I4506" s="326">
        <v>20</v>
      </c>
      <c r="J4506" s="326">
        <v>60</v>
      </c>
      <c r="K4506" s="150">
        <v>1</v>
      </c>
      <c r="L4506" s="656">
        <v>20</v>
      </c>
      <c r="M4506" s="663">
        <v>34849</v>
      </c>
      <c r="N4506" s="600">
        <v>0.94847999999999999</v>
      </c>
      <c r="O4506" s="604">
        <v>6.7599999999999995E-4</v>
      </c>
      <c r="P4506" s="250"/>
      <c r="Q4506" s="250"/>
      <c r="R4506" s="250"/>
      <c r="S4506" s="250"/>
      <c r="T4506" s="250">
        <v>4.4999999999999998E-2</v>
      </c>
      <c r="U4506" s="250">
        <v>0.15529999999999999</v>
      </c>
      <c r="V4506" s="250">
        <v>0.44099378881987583</v>
      </c>
      <c r="W4506" s="250">
        <v>0.35869565217391303</v>
      </c>
      <c r="X4506" s="250">
        <v>0</v>
      </c>
      <c r="Y4506" s="250">
        <v>0.06</v>
      </c>
      <c r="Z4506" s="150">
        <v>6</v>
      </c>
      <c r="AA4506" s="150">
        <v>1.25</v>
      </c>
      <c r="AB4506" s="152"/>
      <c r="AC4506" s="152"/>
      <c r="AD4506" s="223">
        <v>5.516699</v>
      </c>
      <c r="AE4506" s="223">
        <v>0.29259839999999998</v>
      </c>
      <c r="AF4506" s="223">
        <v>1.6070662</v>
      </c>
      <c r="AG4506" s="223">
        <v>0.60653210000000002</v>
      </c>
      <c r="AH4506" s="341"/>
      <c r="AI4506" s="218"/>
      <c r="AJ4506" s="218"/>
      <c r="AK4506" s="153"/>
      <c r="AL4506" s="152"/>
      <c r="AM4506" s="152"/>
      <c r="AN4506" s="152"/>
      <c r="AO4506" s="152"/>
      <c r="AP4506" s="152"/>
      <c r="AQ4506" s="152"/>
      <c r="AR4506" s="152"/>
      <c r="AS4506" s="152"/>
      <c r="AT4506" s="152"/>
      <c r="AU4506" s="153"/>
      <c r="AV4506" s="479"/>
      <c r="AW4506" s="479"/>
      <c r="AX4506" s="442"/>
      <c r="AY4506" s="153"/>
      <c r="AZ4506" s="152"/>
      <c r="BA4506" s="152"/>
      <c r="BB4506" s="152"/>
      <c r="BC4506" s="152"/>
      <c r="BD4506" s="152"/>
      <c r="BE4506" s="152"/>
      <c r="BF4506" s="152"/>
      <c r="BG4506" s="152"/>
      <c r="BH4506" s="152"/>
      <c r="BI4506" s="153"/>
      <c r="BJ4506" s="153"/>
      <c r="BK4506" s="153"/>
      <c r="BL4506" s="153"/>
      <c r="BM4506" s="153"/>
      <c r="BN4506" s="153"/>
      <c r="BO4506" s="153"/>
      <c r="BP4506" s="153"/>
      <c r="BQ4506" s="153"/>
      <c r="BR4506" s="153"/>
      <c r="BS4506" s="153"/>
      <c r="BT4506" s="153"/>
      <c r="BU4506" s="153"/>
      <c r="BV4506" s="153"/>
      <c r="BW4506" s="153"/>
      <c r="BX4506" s="153"/>
      <c r="BY4506" s="153"/>
      <c r="BZ4506" s="153"/>
      <c r="CA4506" s="152"/>
      <c r="CB4506" s="152"/>
    </row>
    <row r="4507" spans="1:80" s="87" customFormat="1" ht="15" x14ac:dyDescent="0.25">
      <c r="A4507" s="152"/>
      <c r="B4507" s="683"/>
      <c r="C4507" s="683"/>
      <c r="D4507" s="698"/>
      <c r="E4507" s="215"/>
      <c r="F4507" s="215"/>
      <c r="G4507" s="153"/>
      <c r="H4507" s="153"/>
      <c r="I4507" s="326">
        <v>20</v>
      </c>
      <c r="J4507" s="326">
        <v>60</v>
      </c>
      <c r="K4507" s="150">
        <v>1</v>
      </c>
      <c r="L4507" s="656">
        <v>20</v>
      </c>
      <c r="M4507" s="663">
        <v>34857</v>
      </c>
      <c r="N4507" s="600">
        <v>1.15516</v>
      </c>
      <c r="O4507" s="604">
        <v>5.888E-3</v>
      </c>
      <c r="P4507" s="250"/>
      <c r="Q4507" s="250"/>
      <c r="R4507" s="250">
        <v>0.30299999999999999</v>
      </c>
      <c r="S4507" s="250">
        <v>1.1000000000000001E-2</v>
      </c>
      <c r="T4507" s="250">
        <v>1.8000000000000002E-2</v>
      </c>
      <c r="U4507" s="250">
        <v>8.3100000000000007E-2</v>
      </c>
      <c r="V4507" s="250">
        <v>0.23168775619319193</v>
      </c>
      <c r="W4507" s="250">
        <v>0.34824451969345932</v>
      </c>
      <c r="X4507" s="250">
        <v>4.9901978256995183E-3</v>
      </c>
      <c r="Y4507" s="250">
        <v>0.31</v>
      </c>
      <c r="Z4507" s="150">
        <v>31</v>
      </c>
      <c r="AA4507" s="150">
        <v>1.55</v>
      </c>
      <c r="AB4507" s="152"/>
      <c r="AC4507" s="152"/>
      <c r="AD4507" s="223">
        <v>5.5471779999999997</v>
      </c>
      <c r="AE4507" s="223">
        <v>0.31088579999999999</v>
      </c>
      <c r="AF4507" s="223">
        <v>1.718539</v>
      </c>
      <c r="AG4507" s="223">
        <v>0.60043630000000003</v>
      </c>
      <c r="AH4507" s="341"/>
      <c r="AI4507" s="218"/>
      <c r="AJ4507" s="218"/>
      <c r="AK4507" s="153"/>
      <c r="AL4507" s="152"/>
      <c r="AM4507" s="152"/>
      <c r="AN4507" s="152"/>
      <c r="AO4507" s="152"/>
      <c r="AP4507" s="152"/>
      <c r="AQ4507" s="152"/>
      <c r="AR4507" s="152"/>
      <c r="AS4507" s="152"/>
      <c r="AT4507" s="152"/>
      <c r="AU4507" s="153"/>
      <c r="AV4507" s="479"/>
      <c r="AW4507" s="479"/>
      <c r="AX4507" s="442"/>
      <c r="AY4507" s="153"/>
      <c r="AZ4507" s="152"/>
      <c r="BA4507" s="152"/>
      <c r="BB4507" s="152"/>
      <c r="BC4507" s="152"/>
      <c r="BD4507" s="152"/>
      <c r="BE4507" s="152"/>
      <c r="BF4507" s="152"/>
      <c r="BG4507" s="152"/>
      <c r="BH4507" s="152"/>
      <c r="BI4507" s="153"/>
      <c r="BJ4507" s="153"/>
      <c r="BK4507" s="153"/>
      <c r="BL4507" s="153"/>
      <c r="BM4507" s="153"/>
      <c r="BN4507" s="153"/>
      <c r="BO4507" s="153"/>
      <c r="BP4507" s="153"/>
      <c r="BQ4507" s="153"/>
      <c r="BR4507" s="153"/>
      <c r="BS4507" s="153"/>
      <c r="BT4507" s="153"/>
      <c r="BU4507" s="153"/>
      <c r="BV4507" s="153"/>
      <c r="BW4507" s="153"/>
      <c r="BX4507" s="153"/>
      <c r="BY4507" s="153"/>
      <c r="BZ4507" s="153"/>
      <c r="CA4507" s="152"/>
      <c r="CB4507" s="152"/>
    </row>
    <row r="4508" spans="1:80" s="87" customFormat="1" ht="15" x14ac:dyDescent="0.25">
      <c r="A4508" s="152"/>
      <c r="B4508" s="683"/>
      <c r="C4508" s="683"/>
      <c r="D4508" s="698"/>
      <c r="E4508" s="215"/>
      <c r="F4508" s="215"/>
      <c r="G4508" s="153"/>
      <c r="H4508" s="153"/>
      <c r="I4508" s="326">
        <v>20</v>
      </c>
      <c r="J4508" s="326">
        <v>60</v>
      </c>
      <c r="K4508" s="150">
        <v>1</v>
      </c>
      <c r="L4508" s="656">
        <v>20</v>
      </c>
      <c r="M4508" s="663">
        <v>34857</v>
      </c>
      <c r="N4508" s="600">
        <v>1.15516</v>
      </c>
      <c r="O4508" s="604">
        <v>3.6319999999999998E-3</v>
      </c>
      <c r="P4508" s="250"/>
      <c r="Q4508" s="250"/>
      <c r="R4508" s="250"/>
      <c r="S4508" s="250"/>
      <c r="T4508" s="250">
        <v>5.9800000000000006E-2</v>
      </c>
      <c r="U4508" s="250">
        <v>0.18579999999999999</v>
      </c>
      <c r="V4508" s="250">
        <v>0.37572254335260113</v>
      </c>
      <c r="W4508" s="250">
        <v>0.37052023121387279</v>
      </c>
      <c r="X4508" s="250">
        <v>8.0924855491329474E-3</v>
      </c>
      <c r="Y4508" s="250">
        <v>7.0000000000000007E-2</v>
      </c>
      <c r="Z4508" s="150">
        <v>7</v>
      </c>
      <c r="AA4508" s="150">
        <v>1.25</v>
      </c>
      <c r="AB4508" s="152"/>
      <c r="AC4508" s="152"/>
      <c r="AD4508" s="223">
        <v>5.5471779999999997</v>
      </c>
      <c r="AE4508" s="223">
        <v>0.31088579999999999</v>
      </c>
      <c r="AF4508" s="223">
        <v>1.718539</v>
      </c>
      <c r="AG4508" s="223">
        <v>0.60043630000000003</v>
      </c>
      <c r="AH4508" s="341"/>
      <c r="AI4508" s="218"/>
      <c r="AJ4508" s="218"/>
      <c r="AK4508" s="153"/>
      <c r="AL4508" s="152"/>
      <c r="AM4508" s="152"/>
      <c r="AN4508" s="152"/>
      <c r="AO4508" s="152"/>
      <c r="AP4508" s="152"/>
      <c r="AQ4508" s="152"/>
      <c r="AR4508" s="152"/>
      <c r="AS4508" s="152"/>
      <c r="AT4508" s="152"/>
      <c r="AU4508" s="153"/>
      <c r="AV4508" s="479"/>
      <c r="AW4508" s="479"/>
      <c r="AX4508" s="442"/>
      <c r="AY4508" s="153"/>
      <c r="AZ4508" s="152"/>
      <c r="BA4508" s="152"/>
      <c r="BB4508" s="152"/>
      <c r="BC4508" s="152"/>
      <c r="BD4508" s="152"/>
      <c r="BE4508" s="152"/>
      <c r="BF4508" s="152"/>
      <c r="BG4508" s="152"/>
      <c r="BH4508" s="152"/>
      <c r="BI4508" s="153"/>
      <c r="BJ4508" s="153"/>
      <c r="BK4508" s="153"/>
      <c r="BL4508" s="153"/>
      <c r="BM4508" s="153"/>
      <c r="BN4508" s="153"/>
      <c r="BO4508" s="153"/>
      <c r="BP4508" s="153"/>
      <c r="BQ4508" s="153"/>
      <c r="BR4508" s="153"/>
      <c r="BS4508" s="153"/>
      <c r="BT4508" s="153"/>
      <c r="BU4508" s="153"/>
      <c r="BV4508" s="153"/>
      <c r="BW4508" s="153"/>
      <c r="BX4508" s="153"/>
      <c r="BY4508" s="153"/>
      <c r="BZ4508" s="153"/>
      <c r="CA4508" s="152"/>
      <c r="CB4508" s="152"/>
    </row>
    <row r="4509" spans="1:80" s="87" customFormat="1" ht="15" x14ac:dyDescent="0.25">
      <c r="A4509" s="152"/>
      <c r="B4509" s="683"/>
      <c r="C4509" s="683"/>
      <c r="D4509" s="698"/>
      <c r="E4509" s="215"/>
      <c r="F4509" s="215"/>
      <c r="G4509" s="153"/>
      <c r="H4509" s="153"/>
      <c r="I4509" s="326">
        <v>17</v>
      </c>
      <c r="J4509" s="326">
        <v>60</v>
      </c>
      <c r="K4509" s="150">
        <v>1</v>
      </c>
      <c r="L4509" s="656">
        <v>17</v>
      </c>
      <c r="M4509" s="663">
        <v>34864</v>
      </c>
      <c r="N4509" s="600">
        <v>0.71065</v>
      </c>
      <c r="O4509" s="604">
        <v>2.823E-3</v>
      </c>
      <c r="P4509" s="250"/>
      <c r="Q4509" s="250"/>
      <c r="R4509" s="250"/>
      <c r="S4509" s="250">
        <v>5.3899999999999997E-2</v>
      </c>
      <c r="T4509" s="250">
        <v>0.1789</v>
      </c>
      <c r="U4509" s="250">
        <v>0.24179999999999999</v>
      </c>
      <c r="V4509" s="250">
        <v>0.3549107142857143</v>
      </c>
      <c r="W4509" s="250">
        <v>0.16927083333333331</v>
      </c>
      <c r="X4509" s="250">
        <v>1.1160714285714285E-3</v>
      </c>
      <c r="Y4509" s="250">
        <v>0.1</v>
      </c>
      <c r="Z4509" s="150">
        <v>10</v>
      </c>
      <c r="AA4509" s="150">
        <v>1.9</v>
      </c>
      <c r="AB4509" s="152"/>
      <c r="AC4509" s="152"/>
      <c r="AD4509" s="223">
        <v>5.516699</v>
      </c>
      <c r="AE4509" s="223">
        <v>0.25602360000000002</v>
      </c>
      <c r="AF4509" s="223">
        <v>1.4119888</v>
      </c>
      <c r="AG4509" s="223">
        <v>0.46632869999999998</v>
      </c>
      <c r="AH4509" s="341"/>
      <c r="AI4509" s="218"/>
      <c r="AJ4509" s="218"/>
      <c r="AK4509" s="153"/>
      <c r="AL4509" s="152"/>
      <c r="AM4509" s="152"/>
      <c r="AN4509" s="152"/>
      <c r="AO4509" s="152"/>
      <c r="AP4509" s="152"/>
      <c r="AQ4509" s="152"/>
      <c r="AR4509" s="152"/>
      <c r="AS4509" s="152"/>
      <c r="AT4509" s="152"/>
      <c r="AU4509" s="153"/>
      <c r="AV4509" s="479"/>
      <c r="AW4509" s="479"/>
      <c r="AX4509" s="442"/>
      <c r="AY4509" s="153"/>
      <c r="AZ4509" s="152"/>
      <c r="BA4509" s="152"/>
      <c r="BB4509" s="152"/>
      <c r="BC4509" s="152"/>
      <c r="BD4509" s="152"/>
      <c r="BE4509" s="152"/>
      <c r="BF4509" s="152"/>
      <c r="BG4509" s="152"/>
      <c r="BH4509" s="152"/>
      <c r="BI4509" s="153"/>
      <c r="BJ4509" s="153"/>
      <c r="BK4509" s="153"/>
      <c r="BL4509" s="153"/>
      <c r="BM4509" s="153"/>
      <c r="BN4509" s="153"/>
      <c r="BO4509" s="153"/>
      <c r="BP4509" s="153"/>
      <c r="BQ4509" s="153"/>
      <c r="BR4509" s="153"/>
      <c r="BS4509" s="153"/>
      <c r="BT4509" s="153"/>
      <c r="BU4509" s="153"/>
      <c r="BV4509" s="153"/>
      <c r="BW4509" s="153"/>
      <c r="BX4509" s="153"/>
      <c r="BY4509" s="153"/>
      <c r="BZ4509" s="153"/>
      <c r="CA4509" s="152"/>
      <c r="CB4509" s="152"/>
    </row>
    <row r="4510" spans="1:80" s="87" customFormat="1" ht="15" x14ac:dyDescent="0.25">
      <c r="A4510" s="152"/>
      <c r="B4510" s="683"/>
      <c r="C4510" s="683"/>
      <c r="D4510" s="698"/>
      <c r="E4510" s="215"/>
      <c r="F4510" s="215"/>
      <c r="G4510" s="153"/>
      <c r="H4510" s="153"/>
      <c r="I4510" s="326">
        <v>17</v>
      </c>
      <c r="J4510" s="326">
        <v>60</v>
      </c>
      <c r="K4510" s="150">
        <v>1</v>
      </c>
      <c r="L4510" s="656">
        <v>17</v>
      </c>
      <c r="M4510" s="663">
        <v>34864</v>
      </c>
      <c r="N4510" s="600">
        <v>0.71065</v>
      </c>
      <c r="O4510" s="604">
        <v>6.2E-4</v>
      </c>
      <c r="P4510" s="250"/>
      <c r="Q4510" s="250"/>
      <c r="R4510" s="250"/>
      <c r="S4510" s="250"/>
      <c r="T4510" s="250">
        <v>1.8600000000000002E-2</v>
      </c>
      <c r="U4510" s="250">
        <v>0.16750000000000001</v>
      </c>
      <c r="V4510" s="250">
        <v>0.32318104906937395</v>
      </c>
      <c r="W4510" s="250">
        <v>0.48223350253807096</v>
      </c>
      <c r="X4510" s="250">
        <v>8.4602368866328256E-3</v>
      </c>
      <c r="Y4510" s="250">
        <v>0.05</v>
      </c>
      <c r="Z4510" s="150">
        <v>5</v>
      </c>
      <c r="AA4510" s="150">
        <v>1.02</v>
      </c>
      <c r="AB4510" s="152"/>
      <c r="AC4510" s="152"/>
      <c r="AD4510" s="223">
        <v>5.516699</v>
      </c>
      <c r="AE4510" s="223">
        <v>0.25602360000000002</v>
      </c>
      <c r="AF4510" s="223">
        <v>1.4119888</v>
      </c>
      <c r="AG4510" s="223">
        <v>0.46632869999999998</v>
      </c>
      <c r="AH4510" s="341"/>
      <c r="AI4510" s="218"/>
      <c r="AJ4510" s="218"/>
      <c r="AK4510" s="153"/>
      <c r="AL4510" s="152"/>
      <c r="AM4510" s="152"/>
      <c r="AN4510" s="152"/>
      <c r="AO4510" s="152"/>
      <c r="AP4510" s="152"/>
      <c r="AQ4510" s="152"/>
      <c r="AR4510" s="152"/>
      <c r="AS4510" s="152"/>
      <c r="AT4510" s="152"/>
      <c r="AU4510" s="153"/>
      <c r="AV4510" s="479"/>
      <c r="AW4510" s="479"/>
      <c r="AX4510" s="442"/>
      <c r="AY4510" s="153"/>
      <c r="AZ4510" s="152"/>
      <c r="BA4510" s="152"/>
      <c r="BB4510" s="152"/>
      <c r="BC4510" s="152"/>
      <c r="BD4510" s="152"/>
      <c r="BE4510" s="152"/>
      <c r="BF4510" s="152"/>
      <c r="BG4510" s="152"/>
      <c r="BH4510" s="152"/>
      <c r="BI4510" s="153"/>
      <c r="BJ4510" s="153"/>
      <c r="BK4510" s="153"/>
      <c r="BL4510" s="153"/>
      <c r="BM4510" s="153"/>
      <c r="BN4510" s="153"/>
      <c r="BO4510" s="153"/>
      <c r="BP4510" s="153"/>
      <c r="BQ4510" s="153"/>
      <c r="BR4510" s="153"/>
      <c r="BS4510" s="153"/>
      <c r="BT4510" s="153"/>
      <c r="BU4510" s="153"/>
      <c r="BV4510" s="153"/>
      <c r="BW4510" s="153"/>
      <c r="BX4510" s="153"/>
      <c r="BY4510" s="153"/>
      <c r="BZ4510" s="153"/>
      <c r="CA4510" s="152"/>
      <c r="CB4510" s="152"/>
    </row>
    <row r="4511" spans="1:80" s="87" customFormat="1" ht="15" x14ac:dyDescent="0.25">
      <c r="A4511" s="152"/>
      <c r="B4511" s="683"/>
      <c r="C4511" s="683"/>
      <c r="D4511" s="698"/>
      <c r="E4511" s="215"/>
      <c r="F4511" s="215"/>
      <c r="G4511" s="153"/>
      <c r="H4511" s="153"/>
      <c r="I4511" s="326">
        <v>20</v>
      </c>
      <c r="J4511" s="326">
        <v>60</v>
      </c>
      <c r="K4511" s="150">
        <v>1</v>
      </c>
      <c r="L4511" s="656">
        <v>20</v>
      </c>
      <c r="M4511" s="663">
        <v>34869</v>
      </c>
      <c r="N4511" s="600">
        <v>0.51246000000000003</v>
      </c>
      <c r="O4511" s="604">
        <v>2.5400000000000002E-3</v>
      </c>
      <c r="P4511" s="250"/>
      <c r="Q4511" s="250"/>
      <c r="R4511" s="250"/>
      <c r="S4511" s="250">
        <v>0.17489999999999997</v>
      </c>
      <c r="T4511" s="250">
        <v>3.5200000000000002E-2</v>
      </c>
      <c r="U4511" s="250">
        <v>0.11699999999999999</v>
      </c>
      <c r="V4511" s="250">
        <v>0.36889991728701399</v>
      </c>
      <c r="W4511" s="250">
        <v>0.29900744416873443</v>
      </c>
      <c r="X4511" s="250">
        <v>4.9627791563275417E-3</v>
      </c>
      <c r="Y4511" s="250">
        <v>0.15</v>
      </c>
      <c r="Z4511" s="150">
        <v>15</v>
      </c>
      <c r="AA4511" s="150">
        <v>1.45</v>
      </c>
      <c r="AB4511" s="152"/>
      <c r="AC4511" s="152"/>
      <c r="AD4511" s="223">
        <v>5.4862200000000003</v>
      </c>
      <c r="AE4511" s="223">
        <v>0.22554460000000001</v>
      </c>
      <c r="AF4511" s="223">
        <v>1.2354902000000001</v>
      </c>
      <c r="AG4511" s="223">
        <v>0.41451440000000001</v>
      </c>
      <c r="AH4511" s="341"/>
      <c r="AI4511" s="218"/>
      <c r="AJ4511" s="218"/>
      <c r="AK4511" s="153"/>
      <c r="AL4511" s="152"/>
      <c r="AM4511" s="152"/>
      <c r="AN4511" s="152"/>
      <c r="AO4511" s="152"/>
      <c r="AP4511" s="152"/>
      <c r="AQ4511" s="152"/>
      <c r="AR4511" s="152"/>
      <c r="AS4511" s="152"/>
      <c r="AT4511" s="152"/>
      <c r="AU4511" s="153"/>
      <c r="AV4511" s="479"/>
      <c r="AW4511" s="479"/>
      <c r="AX4511" s="442"/>
      <c r="AY4511" s="153"/>
      <c r="AZ4511" s="152"/>
      <c r="BA4511" s="152"/>
      <c r="BB4511" s="152"/>
      <c r="BC4511" s="152"/>
      <c r="BD4511" s="152"/>
      <c r="BE4511" s="152"/>
      <c r="BF4511" s="152"/>
      <c r="BG4511" s="152"/>
      <c r="BH4511" s="152"/>
      <c r="BI4511" s="153"/>
      <c r="BJ4511" s="153"/>
      <c r="BK4511" s="153"/>
      <c r="BL4511" s="153"/>
      <c r="BM4511" s="153"/>
      <c r="BN4511" s="153"/>
      <c r="BO4511" s="153"/>
      <c r="BP4511" s="153"/>
      <c r="BQ4511" s="153"/>
      <c r="BR4511" s="153"/>
      <c r="BS4511" s="153"/>
      <c r="BT4511" s="153"/>
      <c r="BU4511" s="153"/>
      <c r="BV4511" s="153"/>
      <c r="BW4511" s="153"/>
      <c r="BX4511" s="153"/>
      <c r="BY4511" s="153"/>
      <c r="BZ4511" s="153"/>
      <c r="CA4511" s="152"/>
      <c r="CB4511" s="152"/>
    </row>
    <row r="4512" spans="1:80" s="87" customFormat="1" ht="15" x14ac:dyDescent="0.25">
      <c r="A4512" s="152"/>
      <c r="B4512" s="683"/>
      <c r="C4512" s="683"/>
      <c r="D4512" s="698"/>
      <c r="E4512" s="215"/>
      <c r="F4512" s="215"/>
      <c r="G4512" s="153"/>
      <c r="H4512" s="153"/>
      <c r="I4512" s="326">
        <v>20</v>
      </c>
      <c r="J4512" s="326">
        <v>60</v>
      </c>
      <c r="K4512" s="150">
        <v>1</v>
      </c>
      <c r="L4512" s="656">
        <v>20</v>
      </c>
      <c r="M4512" s="663">
        <v>34869</v>
      </c>
      <c r="N4512" s="600">
        <v>0.51246000000000003</v>
      </c>
      <c r="O4512" s="604">
        <v>2.8549999999999999E-3</v>
      </c>
      <c r="P4512" s="250"/>
      <c r="Q4512" s="250"/>
      <c r="R4512" s="250"/>
      <c r="S4512" s="250">
        <v>0.1011</v>
      </c>
      <c r="T4512" s="250">
        <v>7.7899999999999997E-2</v>
      </c>
      <c r="U4512" s="250">
        <v>0.15990000000000001</v>
      </c>
      <c r="V4512" s="250">
        <v>0.32389705882352937</v>
      </c>
      <c r="W4512" s="250">
        <v>0.33529411764705874</v>
      </c>
      <c r="X4512" s="250">
        <v>1.8382352941176468E-3</v>
      </c>
      <c r="Y4512" s="250">
        <v>0.12</v>
      </c>
      <c r="Z4512" s="150">
        <v>12</v>
      </c>
      <c r="AA4512" s="150">
        <v>1.42</v>
      </c>
      <c r="AB4512" s="152"/>
      <c r="AC4512" s="152"/>
      <c r="AD4512" s="223">
        <v>5.4862200000000003</v>
      </c>
      <c r="AE4512" s="223">
        <v>0.22554460000000001</v>
      </c>
      <c r="AF4512" s="223">
        <v>1.2354902000000001</v>
      </c>
      <c r="AG4512" s="223">
        <v>0.41451440000000001</v>
      </c>
      <c r="AH4512" s="341"/>
      <c r="AI4512" s="218"/>
      <c r="AJ4512" s="218"/>
      <c r="AK4512" s="153"/>
      <c r="AL4512" s="152"/>
      <c r="AM4512" s="152"/>
      <c r="AN4512" s="152"/>
      <c r="AO4512" s="152"/>
      <c r="AP4512" s="152"/>
      <c r="AQ4512" s="152"/>
      <c r="AR4512" s="152"/>
      <c r="AS4512" s="152"/>
      <c r="AT4512" s="152"/>
      <c r="AU4512" s="153"/>
      <c r="AV4512" s="479"/>
      <c r="AW4512" s="479"/>
      <c r="AX4512" s="442"/>
      <c r="AY4512" s="153"/>
      <c r="AZ4512" s="152"/>
      <c r="BA4512" s="152"/>
      <c r="BB4512" s="152"/>
      <c r="BC4512" s="152"/>
      <c r="BD4512" s="152"/>
      <c r="BE4512" s="152"/>
      <c r="BF4512" s="152"/>
      <c r="BG4512" s="152"/>
      <c r="BH4512" s="152"/>
      <c r="BI4512" s="153"/>
      <c r="BJ4512" s="153"/>
      <c r="BK4512" s="153"/>
      <c r="BL4512" s="153"/>
      <c r="BM4512" s="153"/>
      <c r="BN4512" s="153"/>
      <c r="BO4512" s="153"/>
      <c r="BP4512" s="153"/>
      <c r="BQ4512" s="153"/>
      <c r="BR4512" s="153"/>
      <c r="BS4512" s="153"/>
      <c r="BT4512" s="153"/>
      <c r="BU4512" s="153"/>
      <c r="BV4512" s="153"/>
      <c r="BW4512" s="153"/>
      <c r="BX4512" s="153"/>
      <c r="BY4512" s="153"/>
      <c r="BZ4512" s="153"/>
      <c r="CA4512" s="152"/>
      <c r="CB4512" s="152"/>
    </row>
    <row r="4513" spans="1:80" s="87" customFormat="1" ht="15" x14ac:dyDescent="0.25">
      <c r="A4513" s="152"/>
      <c r="B4513" s="683"/>
      <c r="C4513" s="683"/>
      <c r="D4513" s="698"/>
      <c r="E4513" s="215"/>
      <c r="F4513" s="215"/>
      <c r="G4513" s="153"/>
      <c r="H4513" s="153"/>
      <c r="I4513" s="326">
        <v>20</v>
      </c>
      <c r="J4513" s="326">
        <v>60</v>
      </c>
      <c r="K4513" s="150">
        <v>1</v>
      </c>
      <c r="L4513" s="656">
        <v>20</v>
      </c>
      <c r="M4513" s="663">
        <v>34885</v>
      </c>
      <c r="N4513" s="600">
        <v>0.29727999999999999</v>
      </c>
      <c r="O4513" s="604">
        <v>4.1600000000000002E-5</v>
      </c>
      <c r="P4513" s="250"/>
      <c r="Q4513" s="250"/>
      <c r="R4513" s="250"/>
      <c r="S4513" s="250"/>
      <c r="T4513" s="250"/>
      <c r="U4513" s="250"/>
      <c r="V4513" s="250">
        <v>0.25</v>
      </c>
      <c r="W4513" s="250">
        <v>0.75</v>
      </c>
      <c r="X4513" s="250">
        <v>0</v>
      </c>
      <c r="Y4513" s="250">
        <v>0.01</v>
      </c>
      <c r="Z4513" s="150">
        <v>1</v>
      </c>
      <c r="AA4513" s="150">
        <v>0.63</v>
      </c>
      <c r="AB4513" s="152"/>
      <c r="AC4513" s="152"/>
      <c r="AD4513" s="223">
        <v>5.2119090000000003</v>
      </c>
      <c r="AE4513" s="223">
        <v>0.1859219</v>
      </c>
      <c r="AF4513" s="223">
        <v>0.975387</v>
      </c>
      <c r="AG4513" s="223">
        <v>0.31088579999999999</v>
      </c>
      <c r="AH4513" s="341"/>
      <c r="AI4513" s="218"/>
      <c r="AJ4513" s="218"/>
      <c r="AK4513" s="153"/>
      <c r="AL4513" s="152"/>
      <c r="AM4513" s="152"/>
      <c r="AN4513" s="152"/>
      <c r="AO4513" s="152"/>
      <c r="AP4513" s="152"/>
      <c r="AQ4513" s="152"/>
      <c r="AR4513" s="152"/>
      <c r="AS4513" s="152"/>
      <c r="AT4513" s="152"/>
      <c r="AU4513" s="153"/>
      <c r="AV4513" s="479"/>
      <c r="AW4513" s="479"/>
      <c r="AX4513" s="442"/>
      <c r="AY4513" s="153"/>
      <c r="AZ4513" s="152"/>
      <c r="BA4513" s="152"/>
      <c r="BB4513" s="152"/>
      <c r="BC4513" s="152"/>
      <c r="BD4513" s="152"/>
      <c r="BE4513" s="152"/>
      <c r="BF4513" s="152"/>
      <c r="BG4513" s="152"/>
      <c r="BH4513" s="152"/>
      <c r="BI4513" s="153"/>
      <c r="BJ4513" s="153"/>
      <c r="BK4513" s="153"/>
      <c r="BL4513" s="153"/>
      <c r="BM4513" s="153"/>
      <c r="BN4513" s="153"/>
      <c r="BO4513" s="153"/>
      <c r="BP4513" s="153"/>
      <c r="BQ4513" s="153"/>
      <c r="BR4513" s="153"/>
      <c r="BS4513" s="153"/>
      <c r="BT4513" s="153"/>
      <c r="BU4513" s="153"/>
      <c r="BV4513" s="153"/>
      <c r="BW4513" s="153"/>
      <c r="BX4513" s="153"/>
      <c r="BY4513" s="153"/>
      <c r="BZ4513" s="153"/>
      <c r="CA4513" s="152"/>
      <c r="CB4513" s="152"/>
    </row>
    <row r="4514" spans="1:80" s="87" customFormat="1" ht="15" x14ac:dyDescent="0.25">
      <c r="A4514" s="152"/>
      <c r="B4514" s="683"/>
      <c r="C4514" s="683"/>
      <c r="D4514" s="698"/>
      <c r="E4514" s="215"/>
      <c r="F4514" s="215"/>
      <c r="G4514" s="153"/>
      <c r="H4514" s="153"/>
      <c r="I4514" s="326">
        <v>20</v>
      </c>
      <c r="J4514" s="326">
        <v>60</v>
      </c>
      <c r="K4514" s="150">
        <v>1</v>
      </c>
      <c r="L4514" s="656">
        <v>20</v>
      </c>
      <c r="M4514" s="663">
        <v>34885</v>
      </c>
      <c r="N4514" s="600">
        <v>0.29727999999999999</v>
      </c>
      <c r="O4514" s="604">
        <v>3.1199999999999999E-5</v>
      </c>
      <c r="P4514" s="250"/>
      <c r="Q4514" s="250"/>
      <c r="R4514" s="250"/>
      <c r="S4514" s="250"/>
      <c r="T4514" s="250"/>
      <c r="U4514" s="250">
        <v>0.16670000000000001</v>
      </c>
      <c r="V4514" s="250">
        <v>0.16666666666666663</v>
      </c>
      <c r="W4514" s="250">
        <v>0.66666666666666652</v>
      </c>
      <c r="X4514" s="250">
        <v>0</v>
      </c>
      <c r="Y4514" s="250">
        <v>0.03</v>
      </c>
      <c r="Z4514" s="150">
        <v>3</v>
      </c>
      <c r="AA4514" s="150">
        <v>0.71</v>
      </c>
      <c r="AB4514" s="152"/>
      <c r="AC4514" s="152"/>
      <c r="AD4514" s="223">
        <v>5.2119090000000003</v>
      </c>
      <c r="AE4514" s="223">
        <v>0.1859219</v>
      </c>
      <c r="AF4514" s="223">
        <v>0.975387</v>
      </c>
      <c r="AG4514" s="223">
        <v>0.31088579999999999</v>
      </c>
      <c r="AH4514" s="341"/>
      <c r="AI4514" s="218"/>
      <c r="AJ4514" s="218"/>
      <c r="AK4514" s="153"/>
      <c r="AL4514" s="152"/>
      <c r="AM4514" s="152"/>
      <c r="AN4514" s="152"/>
      <c r="AO4514" s="152"/>
      <c r="AP4514" s="152"/>
      <c r="AQ4514" s="152"/>
      <c r="AR4514" s="152"/>
      <c r="AS4514" s="152"/>
      <c r="AT4514" s="152"/>
      <c r="AU4514" s="153"/>
      <c r="AV4514" s="479"/>
      <c r="AW4514" s="479"/>
      <c r="AX4514" s="442"/>
      <c r="AY4514" s="153"/>
      <c r="AZ4514" s="152"/>
      <c r="BA4514" s="152"/>
      <c r="BB4514" s="152"/>
      <c r="BC4514" s="152"/>
      <c r="BD4514" s="152"/>
      <c r="BE4514" s="152"/>
      <c r="BF4514" s="152"/>
      <c r="BG4514" s="152"/>
      <c r="BH4514" s="152"/>
      <c r="BI4514" s="153"/>
      <c r="BJ4514" s="153"/>
      <c r="BK4514" s="153"/>
      <c r="BL4514" s="153"/>
      <c r="BM4514" s="153"/>
      <c r="BN4514" s="153"/>
      <c r="BO4514" s="153"/>
      <c r="BP4514" s="153"/>
      <c r="BQ4514" s="153"/>
      <c r="BR4514" s="153"/>
      <c r="BS4514" s="153"/>
      <c r="BT4514" s="153"/>
      <c r="BU4514" s="153"/>
      <c r="BV4514" s="153"/>
      <c r="BW4514" s="153"/>
      <c r="BX4514" s="153"/>
      <c r="BY4514" s="153"/>
      <c r="BZ4514" s="153"/>
      <c r="CA4514" s="152"/>
      <c r="CB4514" s="152"/>
    </row>
    <row r="4515" spans="1:80" s="87" customFormat="1" ht="15" x14ac:dyDescent="0.25">
      <c r="A4515" s="152"/>
      <c r="B4515" s="683"/>
      <c r="C4515" s="683"/>
      <c r="D4515" s="698"/>
      <c r="E4515" s="215"/>
      <c r="F4515" s="215"/>
      <c r="G4515" s="153"/>
      <c r="H4515" s="153"/>
      <c r="I4515" s="326">
        <v>17</v>
      </c>
      <c r="J4515" s="326">
        <v>60</v>
      </c>
      <c r="K4515" s="150">
        <v>1</v>
      </c>
      <c r="L4515" s="656">
        <v>17</v>
      </c>
      <c r="M4515" s="663">
        <v>34898</v>
      </c>
      <c r="N4515" s="600">
        <v>0.20612</v>
      </c>
      <c r="O4515" s="604">
        <v>2.7100000000000001E-5</v>
      </c>
      <c r="P4515" s="250"/>
      <c r="Q4515" s="250"/>
      <c r="R4515" s="250"/>
      <c r="S4515" s="250"/>
      <c r="T4515" s="250"/>
      <c r="U4515" s="250">
        <v>0.16</v>
      </c>
      <c r="V4515" s="250">
        <v>0.16</v>
      </c>
      <c r="W4515" s="250">
        <v>0.52</v>
      </c>
      <c r="X4515" s="250">
        <v>0.16</v>
      </c>
      <c r="Y4515" s="250">
        <v>0.02</v>
      </c>
      <c r="Z4515" s="150">
        <v>2</v>
      </c>
      <c r="AA4515" s="150">
        <v>0.48</v>
      </c>
      <c r="AB4515" s="152"/>
      <c r="AC4515" s="152"/>
      <c r="AD4515" s="223">
        <v>5.0899929999999998</v>
      </c>
      <c r="AE4515" s="223">
        <v>0.16153870000000001</v>
      </c>
      <c r="AF4515" s="223">
        <v>0.82768554000000005</v>
      </c>
      <c r="AG4515" s="223">
        <v>0.23590746000000001</v>
      </c>
      <c r="AH4515" s="341"/>
      <c r="AI4515" s="218"/>
      <c r="AJ4515" s="218"/>
      <c r="AK4515" s="153"/>
      <c r="AL4515" s="152"/>
      <c r="AM4515" s="152"/>
      <c r="AN4515" s="152"/>
      <c r="AO4515" s="152"/>
      <c r="AP4515" s="152"/>
      <c r="AQ4515" s="152"/>
      <c r="AR4515" s="152"/>
      <c r="AS4515" s="152"/>
      <c r="AT4515" s="152"/>
      <c r="AU4515" s="153"/>
      <c r="AV4515" s="479"/>
      <c r="AW4515" s="479"/>
      <c r="AX4515" s="442"/>
      <c r="AY4515" s="153"/>
      <c r="AZ4515" s="152"/>
      <c r="BA4515" s="152"/>
      <c r="BB4515" s="152"/>
      <c r="BC4515" s="152"/>
      <c r="BD4515" s="152"/>
      <c r="BE4515" s="152"/>
      <c r="BF4515" s="152"/>
      <c r="BG4515" s="152"/>
      <c r="BH4515" s="152"/>
      <c r="BI4515" s="153"/>
      <c r="BJ4515" s="153"/>
      <c r="BK4515" s="153"/>
      <c r="BL4515" s="153"/>
      <c r="BM4515" s="153"/>
      <c r="BN4515" s="153"/>
      <c r="BO4515" s="153"/>
      <c r="BP4515" s="153"/>
      <c r="BQ4515" s="153"/>
      <c r="BR4515" s="153"/>
      <c r="BS4515" s="153"/>
      <c r="BT4515" s="153"/>
      <c r="BU4515" s="153"/>
      <c r="BV4515" s="153"/>
      <c r="BW4515" s="153"/>
      <c r="BX4515" s="153"/>
      <c r="BY4515" s="153"/>
      <c r="BZ4515" s="153"/>
      <c r="CA4515" s="152"/>
      <c r="CB4515" s="152"/>
    </row>
    <row r="4516" spans="1:80" s="87" customFormat="1" ht="15" x14ac:dyDescent="0.25">
      <c r="A4516" s="152"/>
      <c r="B4516" s="683"/>
      <c r="C4516" s="683"/>
      <c r="D4516" s="698"/>
      <c r="E4516" s="215"/>
      <c r="F4516" s="215"/>
      <c r="G4516" s="153"/>
      <c r="H4516" s="153"/>
      <c r="I4516" s="326">
        <v>20</v>
      </c>
      <c r="J4516" s="326">
        <v>60</v>
      </c>
      <c r="K4516" s="150">
        <v>1</v>
      </c>
      <c r="L4516" s="656">
        <v>20</v>
      </c>
      <c r="M4516" s="663">
        <v>34914</v>
      </c>
      <c r="N4516" s="600">
        <v>0.12203</v>
      </c>
      <c r="O4516" s="604">
        <v>1.7900000000000001E-5</v>
      </c>
      <c r="P4516" s="250"/>
      <c r="Q4516" s="250"/>
      <c r="R4516" s="250"/>
      <c r="S4516" s="250"/>
      <c r="T4516" s="250"/>
      <c r="U4516" s="250"/>
      <c r="V4516" s="250">
        <v>0.33333333333333326</v>
      </c>
      <c r="W4516" s="250">
        <v>0.66666666666666652</v>
      </c>
      <c r="X4516" s="250">
        <v>0</v>
      </c>
      <c r="Y4516" s="250">
        <v>0.02</v>
      </c>
      <c r="Z4516" s="150">
        <v>2</v>
      </c>
      <c r="AA4516" s="150">
        <v>0.71</v>
      </c>
      <c r="AB4516" s="152"/>
      <c r="AC4516" s="152"/>
      <c r="AD4516" s="223">
        <v>4.6632870000000004</v>
      </c>
      <c r="AE4516" s="223">
        <v>0.14934710000000001</v>
      </c>
      <c r="AF4516" s="223">
        <v>0.70134969999999996</v>
      </c>
      <c r="AG4516" s="223">
        <v>0.17007282000000001</v>
      </c>
      <c r="AH4516" s="341"/>
      <c r="AI4516" s="218"/>
      <c r="AJ4516" s="218"/>
      <c r="AK4516" s="153"/>
      <c r="AL4516" s="152"/>
      <c r="AM4516" s="152"/>
      <c r="AN4516" s="152"/>
      <c r="AO4516" s="152"/>
      <c r="AP4516" s="152"/>
      <c r="AQ4516" s="152"/>
      <c r="AR4516" s="152"/>
      <c r="AS4516" s="152"/>
      <c r="AT4516" s="152"/>
      <c r="AU4516" s="153"/>
      <c r="AV4516" s="479"/>
      <c r="AW4516" s="479"/>
      <c r="AX4516" s="442"/>
      <c r="AY4516" s="153"/>
      <c r="AZ4516" s="152"/>
      <c r="BA4516" s="152"/>
      <c r="BB4516" s="152"/>
      <c r="BC4516" s="152"/>
      <c r="BD4516" s="152"/>
      <c r="BE4516" s="152"/>
      <c r="BF4516" s="152"/>
      <c r="BG4516" s="152"/>
      <c r="BH4516" s="152"/>
      <c r="BI4516" s="153"/>
      <c r="BJ4516" s="153"/>
      <c r="BK4516" s="153"/>
      <c r="BL4516" s="153"/>
      <c r="BM4516" s="153"/>
      <c r="BN4516" s="153"/>
      <c r="BO4516" s="153"/>
      <c r="BP4516" s="153"/>
      <c r="BQ4516" s="153"/>
      <c r="BR4516" s="153"/>
      <c r="BS4516" s="153"/>
      <c r="BT4516" s="153"/>
      <c r="BU4516" s="153"/>
      <c r="BV4516" s="153"/>
      <c r="BW4516" s="153"/>
      <c r="BX4516" s="153"/>
      <c r="BY4516" s="153"/>
      <c r="BZ4516" s="153"/>
      <c r="CA4516" s="152"/>
      <c r="CB4516" s="152"/>
    </row>
    <row r="4517" spans="1:80" s="87" customFormat="1" ht="15" x14ac:dyDescent="0.25">
      <c r="A4517" s="152"/>
      <c r="B4517" s="683"/>
      <c r="C4517" s="683"/>
      <c r="D4517" s="698"/>
      <c r="E4517" s="215"/>
      <c r="F4517" s="215"/>
      <c r="G4517" s="153"/>
      <c r="H4517" s="153"/>
      <c r="I4517" s="326">
        <v>20</v>
      </c>
      <c r="J4517" s="326">
        <v>60</v>
      </c>
      <c r="K4517" s="150">
        <v>1</v>
      </c>
      <c r="L4517" s="656">
        <v>20</v>
      </c>
      <c r="M4517" s="663">
        <v>34914</v>
      </c>
      <c r="N4517" s="600">
        <v>0.12203</v>
      </c>
      <c r="O4517" s="604">
        <v>2.6999999999999999E-5</v>
      </c>
      <c r="P4517" s="250"/>
      <c r="Q4517" s="250"/>
      <c r="R4517" s="250"/>
      <c r="S4517" s="250"/>
      <c r="T4517" s="250"/>
      <c r="U4517" s="250">
        <v>0.34619999999999995</v>
      </c>
      <c r="V4517" s="250">
        <v>0.34615384615384603</v>
      </c>
      <c r="W4517" s="250">
        <v>0.30769230769230765</v>
      </c>
      <c r="X4517" s="250">
        <v>0</v>
      </c>
      <c r="Y4517" s="250">
        <v>0.03</v>
      </c>
      <c r="Z4517" s="150">
        <v>3</v>
      </c>
      <c r="AA4517" s="150">
        <v>1.47</v>
      </c>
      <c r="AB4517" s="152"/>
      <c r="AC4517" s="152"/>
      <c r="AD4517" s="223">
        <v>4.6632870000000004</v>
      </c>
      <c r="AE4517" s="223">
        <v>0.14934710000000001</v>
      </c>
      <c r="AF4517" s="223">
        <v>0.70134969999999996</v>
      </c>
      <c r="AG4517" s="223">
        <v>0.17007282000000001</v>
      </c>
      <c r="AH4517" s="341"/>
      <c r="AI4517" s="218"/>
      <c r="AJ4517" s="218"/>
      <c r="AK4517" s="153"/>
      <c r="AL4517" s="152"/>
      <c r="AM4517" s="152"/>
      <c r="AN4517" s="152"/>
      <c r="AO4517" s="152"/>
      <c r="AP4517" s="152"/>
      <c r="AQ4517" s="152"/>
      <c r="AR4517" s="152"/>
      <c r="AS4517" s="152"/>
      <c r="AT4517" s="152"/>
      <c r="AU4517" s="153"/>
      <c r="AV4517" s="479"/>
      <c r="AW4517" s="479"/>
      <c r="AX4517" s="442"/>
      <c r="AY4517" s="153"/>
      <c r="AZ4517" s="152"/>
      <c r="BA4517" s="152"/>
      <c r="BB4517" s="152"/>
      <c r="BC4517" s="152"/>
      <c r="BD4517" s="152"/>
      <c r="BE4517" s="152"/>
      <c r="BF4517" s="152"/>
      <c r="BG4517" s="152"/>
      <c r="BH4517" s="152"/>
      <c r="BI4517" s="153"/>
      <c r="BJ4517" s="153"/>
      <c r="BK4517" s="153"/>
      <c r="BL4517" s="153"/>
      <c r="BM4517" s="153"/>
      <c r="BN4517" s="153"/>
      <c r="BO4517" s="153"/>
      <c r="BP4517" s="153"/>
      <c r="BQ4517" s="153"/>
      <c r="BR4517" s="153"/>
      <c r="BS4517" s="153"/>
      <c r="BT4517" s="153"/>
      <c r="BU4517" s="153"/>
      <c r="BV4517" s="153"/>
      <c r="BW4517" s="153"/>
      <c r="BX4517" s="153"/>
      <c r="BY4517" s="153"/>
      <c r="BZ4517" s="153"/>
      <c r="CA4517" s="152"/>
      <c r="CB4517" s="152"/>
    </row>
    <row r="4518" spans="1:80" s="87" customFormat="1" ht="15" x14ac:dyDescent="0.25">
      <c r="A4518" s="152"/>
      <c r="B4518" s="683"/>
      <c r="C4518" s="683"/>
      <c r="D4518" s="698"/>
      <c r="E4518" s="215"/>
      <c r="F4518" s="215"/>
      <c r="G4518" s="153"/>
      <c r="H4518" s="153"/>
      <c r="I4518" s="326">
        <v>20</v>
      </c>
      <c r="J4518" s="326">
        <v>60</v>
      </c>
      <c r="K4518" s="150">
        <v>1</v>
      </c>
      <c r="L4518" s="656">
        <v>20</v>
      </c>
      <c r="M4518" s="663">
        <v>34919</v>
      </c>
      <c r="N4518" s="600">
        <v>0.12797</v>
      </c>
      <c r="O4518" s="604">
        <v>1.84E-5</v>
      </c>
      <c r="P4518" s="250"/>
      <c r="Q4518" s="250"/>
      <c r="R4518" s="250"/>
      <c r="S4518" s="250"/>
      <c r="T4518" s="250"/>
      <c r="U4518" s="250">
        <v>0.25</v>
      </c>
      <c r="V4518" s="250">
        <v>0.25</v>
      </c>
      <c r="W4518" s="250">
        <v>0.5</v>
      </c>
      <c r="X4518" s="250">
        <v>0</v>
      </c>
      <c r="Y4518" s="250">
        <v>0.02</v>
      </c>
      <c r="Z4518" s="150">
        <v>2</v>
      </c>
      <c r="AA4518" s="150">
        <v>1</v>
      </c>
      <c r="AB4518" s="152"/>
      <c r="AC4518" s="152"/>
      <c r="AD4518" s="223">
        <v>4.6937660000000001</v>
      </c>
      <c r="AE4518" s="223">
        <v>0.152395</v>
      </c>
      <c r="AF4518" s="223">
        <v>0.71063909999999997</v>
      </c>
      <c r="AG4518" s="223">
        <v>0.17403509</v>
      </c>
      <c r="AH4518" s="341"/>
      <c r="AI4518" s="218"/>
      <c r="AJ4518" s="218"/>
      <c r="AK4518" s="153"/>
      <c r="AL4518" s="152"/>
      <c r="AM4518" s="152"/>
      <c r="AN4518" s="152"/>
      <c r="AO4518" s="152"/>
      <c r="AP4518" s="152"/>
      <c r="AQ4518" s="152"/>
      <c r="AR4518" s="152"/>
      <c r="AS4518" s="152"/>
      <c r="AT4518" s="152"/>
      <c r="AU4518" s="153"/>
      <c r="AV4518" s="479"/>
      <c r="AW4518" s="479"/>
      <c r="AX4518" s="442"/>
      <c r="AY4518" s="153"/>
      <c r="AZ4518" s="152"/>
      <c r="BA4518" s="152"/>
      <c r="BB4518" s="152"/>
      <c r="BC4518" s="152"/>
      <c r="BD4518" s="152"/>
      <c r="BE4518" s="152"/>
      <c r="BF4518" s="152"/>
      <c r="BG4518" s="152"/>
      <c r="BH4518" s="152"/>
      <c r="BI4518" s="153"/>
      <c r="BJ4518" s="153"/>
      <c r="BK4518" s="153"/>
      <c r="BL4518" s="153"/>
      <c r="BM4518" s="153"/>
      <c r="BN4518" s="153"/>
      <c r="BO4518" s="153"/>
      <c r="BP4518" s="153"/>
      <c r="BQ4518" s="153"/>
      <c r="BR4518" s="153"/>
      <c r="BS4518" s="153"/>
      <c r="BT4518" s="153"/>
      <c r="BU4518" s="153"/>
      <c r="BV4518" s="153"/>
      <c r="BW4518" s="153"/>
      <c r="BX4518" s="153"/>
      <c r="BY4518" s="153"/>
      <c r="BZ4518" s="153"/>
      <c r="CA4518" s="152"/>
      <c r="CB4518" s="152"/>
    </row>
    <row r="4519" spans="1:80" s="87" customFormat="1" ht="15" x14ac:dyDescent="0.25">
      <c r="A4519" s="152"/>
      <c r="B4519" s="683"/>
      <c r="C4519" s="683"/>
      <c r="D4519" s="698"/>
      <c r="E4519" s="215"/>
      <c r="F4519" s="215"/>
      <c r="G4519" s="153"/>
      <c r="H4519" s="153"/>
      <c r="I4519" s="326">
        <v>20</v>
      </c>
      <c r="J4519" s="326">
        <v>60</v>
      </c>
      <c r="K4519" s="150">
        <v>1</v>
      </c>
      <c r="L4519" s="656">
        <v>20</v>
      </c>
      <c r="M4519" s="663">
        <v>34919</v>
      </c>
      <c r="N4519" s="600">
        <v>0.12797</v>
      </c>
      <c r="O4519" s="604">
        <v>2.3E-5</v>
      </c>
      <c r="P4519" s="250"/>
      <c r="Q4519" s="250"/>
      <c r="R4519" s="250"/>
      <c r="S4519" s="250"/>
      <c r="T4519" s="250"/>
      <c r="U4519" s="250"/>
      <c r="V4519" s="250">
        <v>0.25</v>
      </c>
      <c r="W4519" s="250">
        <v>0.5</v>
      </c>
      <c r="X4519" s="250">
        <v>0.25</v>
      </c>
      <c r="Y4519" s="250">
        <v>0.02</v>
      </c>
      <c r="Z4519" s="150">
        <v>2</v>
      </c>
      <c r="AA4519" s="150">
        <v>0.5</v>
      </c>
      <c r="AB4519" s="152"/>
      <c r="AC4519" s="152"/>
      <c r="AD4519" s="223">
        <v>4.6937660000000001</v>
      </c>
      <c r="AE4519" s="223">
        <v>0.152395</v>
      </c>
      <c r="AF4519" s="223">
        <v>0.71063909999999997</v>
      </c>
      <c r="AG4519" s="223">
        <v>0.17403509</v>
      </c>
      <c r="AH4519" s="341"/>
      <c r="AI4519" s="218"/>
      <c r="AJ4519" s="218"/>
      <c r="AK4519" s="153"/>
      <c r="AL4519" s="152"/>
      <c r="AM4519" s="152"/>
      <c r="AN4519" s="152"/>
      <c r="AO4519" s="152"/>
      <c r="AP4519" s="152"/>
      <c r="AQ4519" s="152"/>
      <c r="AR4519" s="152"/>
      <c r="AS4519" s="152"/>
      <c r="AT4519" s="152"/>
      <c r="AU4519" s="153"/>
      <c r="AV4519" s="479"/>
      <c r="AW4519" s="479"/>
      <c r="AX4519" s="442"/>
      <c r="AY4519" s="153"/>
      <c r="AZ4519" s="152"/>
      <c r="BA4519" s="152"/>
      <c r="BB4519" s="152"/>
      <c r="BC4519" s="152"/>
      <c r="BD4519" s="152"/>
      <c r="BE4519" s="152"/>
      <c r="BF4519" s="152"/>
      <c r="BG4519" s="152"/>
      <c r="BH4519" s="152"/>
      <c r="BI4519" s="153"/>
      <c r="BJ4519" s="153"/>
      <c r="BK4519" s="153"/>
      <c r="BL4519" s="153"/>
      <c r="BM4519" s="153"/>
      <c r="BN4519" s="153"/>
      <c r="BO4519" s="153"/>
      <c r="BP4519" s="153"/>
      <c r="BQ4519" s="153"/>
      <c r="BR4519" s="153"/>
      <c r="BS4519" s="153"/>
      <c r="BT4519" s="153"/>
      <c r="BU4519" s="153"/>
      <c r="BV4519" s="153"/>
      <c r="BW4519" s="153"/>
      <c r="BX4519" s="153"/>
      <c r="BY4519" s="153"/>
      <c r="BZ4519" s="153"/>
      <c r="CA4519" s="152"/>
      <c r="CB4519" s="152"/>
    </row>
    <row r="4520" spans="1:80" s="87" customFormat="1" ht="15" x14ac:dyDescent="0.25">
      <c r="A4520" s="152"/>
      <c r="B4520" s="683"/>
      <c r="C4520" s="683"/>
      <c r="D4520" s="698"/>
      <c r="E4520" s="215"/>
      <c r="F4520" s="215"/>
      <c r="G4520" s="153"/>
      <c r="H4520" s="153"/>
      <c r="I4520" s="326">
        <v>20</v>
      </c>
      <c r="J4520" s="326">
        <v>60</v>
      </c>
      <c r="K4520" s="150">
        <v>1</v>
      </c>
      <c r="L4520" s="656">
        <v>20</v>
      </c>
      <c r="M4520" s="663">
        <v>34925</v>
      </c>
      <c r="N4520" s="600">
        <v>9.9659999999999999E-2</v>
      </c>
      <c r="O4520" s="604">
        <v>1.8600000000000001E-5</v>
      </c>
      <c r="P4520" s="250"/>
      <c r="Q4520" s="250"/>
      <c r="R4520" s="250"/>
      <c r="S4520" s="250"/>
      <c r="T4520" s="250"/>
      <c r="U4520" s="250">
        <v>0.25</v>
      </c>
      <c r="V4520" s="250">
        <v>0.25</v>
      </c>
      <c r="W4520" s="250">
        <v>0.5</v>
      </c>
      <c r="X4520" s="250">
        <v>0</v>
      </c>
      <c r="Y4520" s="250">
        <v>0.02</v>
      </c>
      <c r="Z4520" s="150">
        <v>2</v>
      </c>
      <c r="AA4520" s="150">
        <v>1</v>
      </c>
      <c r="AB4520" s="152"/>
      <c r="AC4520" s="152"/>
      <c r="AD4520" s="223">
        <v>4.5108920000000001</v>
      </c>
      <c r="AE4520" s="223">
        <v>0.1432513</v>
      </c>
      <c r="AF4520" s="223">
        <v>0.65118693999999999</v>
      </c>
      <c r="AG4520" s="223">
        <v>0.14965189000000001</v>
      </c>
      <c r="AH4520" s="341"/>
      <c r="AI4520" s="218"/>
      <c r="AJ4520" s="218"/>
      <c r="AK4520" s="153"/>
      <c r="AL4520" s="152"/>
      <c r="AM4520" s="152"/>
      <c r="AN4520" s="152"/>
      <c r="AO4520" s="152"/>
      <c r="AP4520" s="152"/>
      <c r="AQ4520" s="152"/>
      <c r="AR4520" s="152"/>
      <c r="AS4520" s="152"/>
      <c r="AT4520" s="152"/>
      <c r="AU4520" s="153"/>
      <c r="AV4520" s="479"/>
      <c r="AW4520" s="479"/>
      <c r="AX4520" s="442"/>
      <c r="AY4520" s="153"/>
      <c r="AZ4520" s="152"/>
      <c r="BA4520" s="152"/>
      <c r="BB4520" s="152"/>
      <c r="BC4520" s="152"/>
      <c r="BD4520" s="152"/>
      <c r="BE4520" s="152"/>
      <c r="BF4520" s="152"/>
      <c r="BG4520" s="152"/>
      <c r="BH4520" s="152"/>
      <c r="BI4520" s="153"/>
      <c r="BJ4520" s="153"/>
      <c r="BK4520" s="153"/>
      <c r="BL4520" s="153"/>
      <c r="BM4520" s="153"/>
      <c r="BN4520" s="153"/>
      <c r="BO4520" s="153"/>
      <c r="BP4520" s="153"/>
      <c r="BQ4520" s="153"/>
      <c r="BR4520" s="153"/>
      <c r="BS4520" s="153"/>
      <c r="BT4520" s="153"/>
      <c r="BU4520" s="153"/>
      <c r="BV4520" s="153"/>
      <c r="BW4520" s="153"/>
      <c r="BX4520" s="153"/>
      <c r="BY4520" s="153"/>
      <c r="BZ4520" s="153"/>
      <c r="CA4520" s="152"/>
      <c r="CB4520" s="152"/>
    </row>
    <row r="4521" spans="1:80" s="87" customFormat="1" ht="15" x14ac:dyDescent="0.25">
      <c r="A4521" s="152"/>
      <c r="B4521" s="683"/>
      <c r="C4521" s="683"/>
      <c r="D4521" s="698"/>
      <c r="E4521" s="215"/>
      <c r="F4521" s="215"/>
      <c r="G4521" s="153"/>
      <c r="H4521" s="153"/>
      <c r="I4521" s="326">
        <v>20</v>
      </c>
      <c r="J4521" s="326">
        <v>60</v>
      </c>
      <c r="K4521" s="150">
        <v>1</v>
      </c>
      <c r="L4521" s="656">
        <v>20</v>
      </c>
      <c r="M4521" s="663">
        <v>34925</v>
      </c>
      <c r="N4521" s="600">
        <v>9.9659999999999999E-2</v>
      </c>
      <c r="O4521" s="604">
        <v>5.5600000000000003E-5</v>
      </c>
      <c r="P4521" s="250"/>
      <c r="Q4521" s="250"/>
      <c r="R4521" s="250"/>
      <c r="S4521" s="250"/>
      <c r="T4521" s="250"/>
      <c r="U4521" s="250">
        <v>0.18870000000000001</v>
      </c>
      <c r="V4521" s="250">
        <v>0.35849056603773582</v>
      </c>
      <c r="W4521" s="250">
        <v>0.45283018867924524</v>
      </c>
      <c r="X4521" s="250">
        <v>0</v>
      </c>
      <c r="Y4521" s="250">
        <v>0.04</v>
      </c>
      <c r="Z4521" s="150">
        <v>4</v>
      </c>
      <c r="AA4521" s="150">
        <v>1.1000000000000001</v>
      </c>
      <c r="AB4521" s="152"/>
      <c r="AC4521" s="152"/>
      <c r="AD4521" s="223">
        <v>4.5108920000000001</v>
      </c>
      <c r="AE4521" s="223">
        <v>0.1432513</v>
      </c>
      <c r="AF4521" s="223">
        <v>0.65118693999999999</v>
      </c>
      <c r="AG4521" s="223">
        <v>0.14965189000000001</v>
      </c>
      <c r="AH4521" s="341"/>
      <c r="AI4521" s="218"/>
      <c r="AJ4521" s="218"/>
      <c r="AK4521" s="153"/>
      <c r="AL4521" s="152"/>
      <c r="AM4521" s="152"/>
      <c r="AN4521" s="152"/>
      <c r="AO4521" s="152"/>
      <c r="AP4521" s="152"/>
      <c r="AQ4521" s="152"/>
      <c r="AR4521" s="152"/>
      <c r="AS4521" s="152"/>
      <c r="AT4521" s="152"/>
      <c r="AU4521" s="153"/>
      <c r="AV4521" s="479"/>
      <c r="AW4521" s="479"/>
      <c r="AX4521" s="442"/>
      <c r="AY4521" s="153"/>
      <c r="AZ4521" s="152"/>
      <c r="BA4521" s="152"/>
      <c r="BB4521" s="152"/>
      <c r="BC4521" s="152"/>
      <c r="BD4521" s="152"/>
      <c r="BE4521" s="152"/>
      <c r="BF4521" s="152"/>
      <c r="BG4521" s="152"/>
      <c r="BH4521" s="152"/>
      <c r="BI4521" s="153"/>
      <c r="BJ4521" s="153"/>
      <c r="BK4521" s="153"/>
      <c r="BL4521" s="153"/>
      <c r="BM4521" s="153"/>
      <c r="BN4521" s="153"/>
      <c r="BO4521" s="153"/>
      <c r="BP4521" s="153"/>
      <c r="BQ4521" s="153"/>
      <c r="BR4521" s="153"/>
      <c r="BS4521" s="153"/>
      <c r="BT4521" s="153"/>
      <c r="BU4521" s="153"/>
      <c r="BV4521" s="153"/>
      <c r="BW4521" s="153"/>
      <c r="BX4521" s="153"/>
      <c r="BY4521" s="153"/>
      <c r="BZ4521" s="153"/>
      <c r="CA4521" s="152"/>
      <c r="CB4521" s="152"/>
    </row>
    <row r="4522" spans="1:80" s="87" customFormat="1" ht="15" x14ac:dyDescent="0.25">
      <c r="A4522" s="152"/>
      <c r="B4522" s="683"/>
      <c r="C4522" s="683"/>
      <c r="D4522" s="698"/>
      <c r="E4522" s="215"/>
      <c r="F4522" s="215"/>
      <c r="G4522" s="153"/>
      <c r="H4522" s="153"/>
      <c r="I4522" s="326">
        <v>20</v>
      </c>
      <c r="J4522" s="326">
        <v>60</v>
      </c>
      <c r="K4522" s="150">
        <v>1</v>
      </c>
      <c r="L4522" s="656">
        <v>20</v>
      </c>
      <c r="M4522" s="663">
        <v>35167</v>
      </c>
      <c r="N4522" s="600">
        <v>1.8261700000000001</v>
      </c>
      <c r="O4522" s="604">
        <v>2.6343999999999999E-2</v>
      </c>
      <c r="P4522" s="250"/>
      <c r="Q4522" s="250"/>
      <c r="R4522" s="250">
        <v>0.122</v>
      </c>
      <c r="S4522" s="250">
        <v>7.4999999999999997E-2</v>
      </c>
      <c r="T4522" s="250">
        <v>8.6999999999999994E-2</v>
      </c>
      <c r="U4522" s="250">
        <v>0.17399999999999999</v>
      </c>
      <c r="V4522" s="250">
        <v>0.2495125154204306</v>
      </c>
      <c r="W4522" s="250">
        <v>0.21608500139281311</v>
      </c>
      <c r="X4522" s="250">
        <v>5.929404273946437E-2</v>
      </c>
      <c r="Y4522" s="250">
        <v>1.6912730311592187E-2</v>
      </c>
      <c r="Z4522" s="150">
        <v>34</v>
      </c>
      <c r="AA4522" s="150">
        <v>1.78</v>
      </c>
      <c r="AB4522" s="152"/>
      <c r="AC4522" s="152"/>
      <c r="AD4522" s="223">
        <v>5.608136</v>
      </c>
      <c r="AE4522" s="223">
        <v>0.38403540000000003</v>
      </c>
      <c r="AF4522" s="223">
        <v>2.1551407999999999</v>
      </c>
      <c r="AG4522" s="223">
        <v>0.81378930000000005</v>
      </c>
      <c r="AH4522" s="341"/>
      <c r="AI4522" s="218"/>
      <c r="AJ4522" s="218"/>
      <c r="AK4522" s="153"/>
      <c r="AL4522" s="152"/>
      <c r="AM4522" s="152"/>
      <c r="AN4522" s="152"/>
      <c r="AO4522" s="152"/>
      <c r="AP4522" s="152"/>
      <c r="AQ4522" s="152"/>
      <c r="AR4522" s="152"/>
      <c r="AS4522" s="152"/>
      <c r="AT4522" s="152"/>
      <c r="AU4522" s="153"/>
      <c r="AV4522" s="479"/>
      <c r="AW4522" s="479"/>
      <c r="AX4522" s="442"/>
      <c r="AY4522" s="153"/>
      <c r="AZ4522" s="152"/>
      <c r="BA4522" s="152"/>
      <c r="BB4522" s="152"/>
      <c r="BC4522" s="152"/>
      <c r="BD4522" s="152"/>
      <c r="BE4522" s="152"/>
      <c r="BF4522" s="152"/>
      <c r="BG4522" s="152"/>
      <c r="BH4522" s="152"/>
      <c r="BI4522" s="153"/>
      <c r="BJ4522" s="153"/>
      <c r="BK4522" s="153"/>
      <c r="BL4522" s="153"/>
      <c r="BM4522" s="153"/>
      <c r="BN4522" s="153"/>
      <c r="BO4522" s="153"/>
      <c r="BP4522" s="153"/>
      <c r="BQ4522" s="153"/>
      <c r="BR4522" s="153"/>
      <c r="BS4522" s="153"/>
      <c r="BT4522" s="153"/>
      <c r="BU4522" s="153"/>
      <c r="BV4522" s="153"/>
      <c r="BW4522" s="153"/>
      <c r="BX4522" s="153"/>
      <c r="BY4522" s="153"/>
      <c r="BZ4522" s="153"/>
      <c r="CA4522" s="152"/>
      <c r="CB4522" s="152"/>
    </row>
    <row r="4523" spans="1:80" s="87" customFormat="1" ht="15" x14ac:dyDescent="0.25">
      <c r="A4523" s="152"/>
      <c r="B4523" s="683"/>
      <c r="C4523" s="683"/>
      <c r="D4523" s="698"/>
      <c r="E4523" s="215"/>
      <c r="F4523" s="215"/>
      <c r="G4523" s="153"/>
      <c r="H4523" s="153"/>
      <c r="I4523" s="326">
        <v>20</v>
      </c>
      <c r="J4523" s="326">
        <v>60</v>
      </c>
      <c r="K4523" s="150">
        <v>1</v>
      </c>
      <c r="L4523" s="656">
        <v>20</v>
      </c>
      <c r="M4523" s="663">
        <v>35200</v>
      </c>
      <c r="N4523" s="600">
        <v>2.7916300000000001</v>
      </c>
      <c r="O4523" s="604">
        <v>9.4671000000000005E-2</v>
      </c>
      <c r="P4523" s="250"/>
      <c r="Q4523" s="250"/>
      <c r="R4523" s="250">
        <v>4.0000000000000001E-3</v>
      </c>
      <c r="S4523" s="250">
        <v>7.4999999999999997E-2</v>
      </c>
      <c r="T4523" s="250">
        <v>0.10400000000000001</v>
      </c>
      <c r="U4523" s="250">
        <v>0.19</v>
      </c>
      <c r="V4523" s="250">
        <v>0.28825153272209225</v>
      </c>
      <c r="W4523" s="250">
        <v>0.25743079191565316</v>
      </c>
      <c r="X4523" s="250">
        <v>7.5610594352487279E-2</v>
      </c>
      <c r="Y4523" s="250">
        <v>5.0998348096985557E-3</v>
      </c>
      <c r="Z4523" s="150">
        <v>25</v>
      </c>
      <c r="AA4523" s="150">
        <v>1.48</v>
      </c>
      <c r="AB4523" s="152"/>
      <c r="AC4523" s="152"/>
      <c r="AD4523" s="223">
        <v>6.6139429999999999</v>
      </c>
      <c r="AE4523" s="223">
        <v>0.45413710000000002</v>
      </c>
      <c r="AF4523" s="223">
        <v>3.0004762</v>
      </c>
      <c r="AG4523" s="223">
        <v>0.94484900000000005</v>
      </c>
      <c r="AH4523" s="341"/>
      <c r="AI4523" s="218"/>
      <c r="AJ4523" s="218"/>
      <c r="AK4523" s="153"/>
      <c r="AL4523" s="152"/>
      <c r="AM4523" s="152"/>
      <c r="AN4523" s="152"/>
      <c r="AO4523" s="152"/>
      <c r="AP4523" s="152"/>
      <c r="AQ4523" s="152"/>
      <c r="AR4523" s="152"/>
      <c r="AS4523" s="152"/>
      <c r="AT4523" s="152"/>
      <c r="AU4523" s="153"/>
      <c r="AV4523" s="479"/>
      <c r="AW4523" s="479"/>
      <c r="AX4523" s="442"/>
      <c r="AY4523" s="153"/>
      <c r="AZ4523" s="152"/>
      <c r="BA4523" s="152"/>
      <c r="BB4523" s="152"/>
      <c r="BC4523" s="152"/>
      <c r="BD4523" s="152"/>
      <c r="BE4523" s="152"/>
      <c r="BF4523" s="152"/>
      <c r="BG4523" s="152"/>
      <c r="BH4523" s="152"/>
      <c r="BI4523" s="153"/>
      <c r="BJ4523" s="153"/>
      <c r="BK4523" s="153"/>
      <c r="BL4523" s="153"/>
      <c r="BM4523" s="153"/>
      <c r="BN4523" s="153"/>
      <c r="BO4523" s="153"/>
      <c r="BP4523" s="153"/>
      <c r="BQ4523" s="153"/>
      <c r="BR4523" s="153"/>
      <c r="BS4523" s="153"/>
      <c r="BT4523" s="153"/>
      <c r="BU4523" s="153"/>
      <c r="BV4523" s="153"/>
      <c r="BW4523" s="153"/>
      <c r="BX4523" s="153"/>
      <c r="BY4523" s="153"/>
      <c r="BZ4523" s="153"/>
      <c r="CA4523" s="152"/>
      <c r="CB4523" s="152"/>
    </row>
    <row r="4524" spans="1:80" s="87" customFormat="1" ht="15" x14ac:dyDescent="0.25">
      <c r="A4524" s="152"/>
      <c r="B4524" s="683"/>
      <c r="C4524" s="683"/>
      <c r="D4524" s="698"/>
      <c r="E4524" s="215"/>
      <c r="F4524" s="215"/>
      <c r="G4524" s="153"/>
      <c r="H4524" s="153"/>
      <c r="I4524" s="326">
        <v>20</v>
      </c>
      <c r="J4524" s="326">
        <v>60</v>
      </c>
      <c r="K4524" s="150">
        <v>1</v>
      </c>
      <c r="L4524" s="656">
        <v>20</v>
      </c>
      <c r="M4524" s="663">
        <v>35206</v>
      </c>
      <c r="N4524" s="600">
        <v>2.3782700000000001</v>
      </c>
      <c r="O4524" s="604">
        <v>1.0916E-2</v>
      </c>
      <c r="P4524" s="250"/>
      <c r="Q4524" s="250">
        <v>0.46100000000000002</v>
      </c>
      <c r="R4524" s="250">
        <v>0</v>
      </c>
      <c r="S4524" s="250">
        <v>1.2E-2</v>
      </c>
      <c r="T4524" s="250">
        <v>1.8000000000000002E-2</v>
      </c>
      <c r="U4524" s="250">
        <v>8.900000000000001E-2</v>
      </c>
      <c r="V4524" s="250">
        <v>0.15892891543055285</v>
      </c>
      <c r="W4524" s="250">
        <v>0.17289539587748023</v>
      </c>
      <c r="X4524" s="250">
        <v>8.2739356578693884E-2</v>
      </c>
      <c r="Y4524" s="250">
        <v>5.2013099595453662E-3</v>
      </c>
      <c r="Z4524" s="150">
        <v>41</v>
      </c>
      <c r="AA4524" s="150">
        <v>3.73</v>
      </c>
      <c r="AB4524" s="152"/>
      <c r="AC4524" s="152"/>
      <c r="AD4524" s="223">
        <v>6.4615479999999996</v>
      </c>
      <c r="AE4524" s="223">
        <v>0.41146650000000001</v>
      </c>
      <c r="AF4524" s="223">
        <v>2.6567683999999998</v>
      </c>
      <c r="AG4524" s="223">
        <v>0.86560360000000003</v>
      </c>
      <c r="AH4524" s="341"/>
      <c r="AI4524" s="218"/>
      <c r="AJ4524" s="218"/>
      <c r="AK4524" s="153"/>
      <c r="AL4524" s="152"/>
      <c r="AM4524" s="152"/>
      <c r="AN4524" s="152"/>
      <c r="AO4524" s="152"/>
      <c r="AP4524" s="152"/>
      <c r="AQ4524" s="152"/>
      <c r="AR4524" s="152"/>
      <c r="AS4524" s="152"/>
      <c r="AT4524" s="152"/>
      <c r="AU4524" s="153"/>
      <c r="AV4524" s="479"/>
      <c r="AW4524" s="479"/>
      <c r="AX4524" s="442"/>
      <c r="AY4524" s="153"/>
      <c r="AZ4524" s="152"/>
      <c r="BA4524" s="152"/>
      <c r="BB4524" s="152"/>
      <c r="BC4524" s="152"/>
      <c r="BD4524" s="152"/>
      <c r="BE4524" s="152"/>
      <c r="BF4524" s="152"/>
      <c r="BG4524" s="152"/>
      <c r="BH4524" s="152"/>
      <c r="BI4524" s="153"/>
      <c r="BJ4524" s="153"/>
      <c r="BK4524" s="153"/>
      <c r="BL4524" s="153"/>
      <c r="BM4524" s="153"/>
      <c r="BN4524" s="153"/>
      <c r="BO4524" s="153"/>
      <c r="BP4524" s="153"/>
      <c r="BQ4524" s="153"/>
      <c r="BR4524" s="153"/>
      <c r="BS4524" s="153"/>
      <c r="BT4524" s="153"/>
      <c r="BU4524" s="153"/>
      <c r="BV4524" s="153"/>
      <c r="BW4524" s="153"/>
      <c r="BX4524" s="153"/>
      <c r="BY4524" s="153"/>
      <c r="BZ4524" s="153"/>
      <c r="CA4524" s="152"/>
      <c r="CB4524" s="152"/>
    </row>
    <row r="4525" spans="1:80" s="87" customFormat="1" ht="15" x14ac:dyDescent="0.25">
      <c r="A4525" s="152"/>
      <c r="B4525" s="683"/>
      <c r="C4525" s="683"/>
      <c r="D4525" s="698"/>
      <c r="E4525" s="215"/>
      <c r="F4525" s="215"/>
      <c r="G4525" s="153"/>
      <c r="H4525" s="153"/>
      <c r="I4525" s="326">
        <v>20</v>
      </c>
      <c r="J4525" s="326">
        <v>60</v>
      </c>
      <c r="K4525" s="150">
        <v>1</v>
      </c>
      <c r="L4525" s="656">
        <v>20</v>
      </c>
      <c r="M4525" s="663">
        <v>35229</v>
      </c>
      <c r="N4525" s="600">
        <v>0.75595000000000001</v>
      </c>
      <c r="O4525" s="604">
        <v>1.879E-3</v>
      </c>
      <c r="P4525" s="250"/>
      <c r="Q4525" s="250"/>
      <c r="R4525" s="250"/>
      <c r="S4525" s="250"/>
      <c r="T4525" s="250">
        <v>2E-3</v>
      </c>
      <c r="U4525" s="250">
        <v>7.8E-2</v>
      </c>
      <c r="V4525" s="250">
        <v>0.25698324022346364</v>
      </c>
      <c r="W4525" s="250">
        <v>0.39162011173184352</v>
      </c>
      <c r="X4525" s="250">
        <v>0.25754189944134076</v>
      </c>
      <c r="Y4525" s="250">
        <v>1.3407821229050276E-2</v>
      </c>
      <c r="Z4525" s="150">
        <v>5</v>
      </c>
      <c r="AA4525" s="150">
        <v>0.74</v>
      </c>
      <c r="AB4525" s="152"/>
      <c r="AC4525" s="152"/>
      <c r="AD4525" s="223">
        <v>5.4862200000000003</v>
      </c>
      <c r="AE4525" s="223">
        <v>0.2621194</v>
      </c>
      <c r="AF4525" s="223">
        <v>1.4398569999999999</v>
      </c>
      <c r="AG4525" s="223">
        <v>0.53338249999999998</v>
      </c>
      <c r="AH4525" s="341"/>
      <c r="AI4525" s="218"/>
      <c r="AJ4525" s="218"/>
      <c r="AK4525" s="153"/>
      <c r="AL4525" s="152"/>
      <c r="AM4525" s="152"/>
      <c r="AN4525" s="152"/>
      <c r="AO4525" s="152"/>
      <c r="AP4525" s="152"/>
      <c r="AQ4525" s="152"/>
      <c r="AR4525" s="152"/>
      <c r="AS4525" s="152"/>
      <c r="AT4525" s="152"/>
      <c r="AU4525" s="153"/>
      <c r="AV4525" s="479"/>
      <c r="AW4525" s="479"/>
      <c r="AX4525" s="442"/>
      <c r="AY4525" s="153"/>
      <c r="AZ4525" s="152"/>
      <c r="BA4525" s="152"/>
      <c r="BB4525" s="152"/>
      <c r="BC4525" s="152"/>
      <c r="BD4525" s="152"/>
      <c r="BE4525" s="152"/>
      <c r="BF4525" s="152"/>
      <c r="BG4525" s="152"/>
      <c r="BH4525" s="152"/>
      <c r="BI4525" s="153"/>
      <c r="BJ4525" s="153"/>
      <c r="BK4525" s="153"/>
      <c r="BL4525" s="153"/>
      <c r="BM4525" s="153"/>
      <c r="BN4525" s="153"/>
      <c r="BO4525" s="153"/>
      <c r="BP4525" s="153"/>
      <c r="BQ4525" s="153"/>
      <c r="BR4525" s="153"/>
      <c r="BS4525" s="153"/>
      <c r="BT4525" s="153"/>
      <c r="BU4525" s="153"/>
      <c r="BV4525" s="153"/>
      <c r="BW4525" s="153"/>
      <c r="BX4525" s="153"/>
      <c r="BY4525" s="153"/>
      <c r="BZ4525" s="153"/>
      <c r="CA4525" s="152"/>
      <c r="CB4525" s="152"/>
    </row>
    <row r="4526" spans="1:80" s="87" customFormat="1" ht="15" x14ac:dyDescent="0.25">
      <c r="A4526" s="152"/>
      <c r="B4526" s="683"/>
      <c r="C4526" s="683"/>
      <c r="D4526" s="698"/>
      <c r="E4526" s="215"/>
      <c r="F4526" s="215"/>
      <c r="G4526" s="153"/>
      <c r="H4526" s="153"/>
      <c r="I4526" s="326">
        <v>20</v>
      </c>
      <c r="J4526" s="326">
        <v>60</v>
      </c>
      <c r="K4526" s="150">
        <v>1</v>
      </c>
      <c r="L4526" s="656">
        <v>20</v>
      </c>
      <c r="M4526" s="663">
        <v>35241</v>
      </c>
      <c r="N4526" s="600">
        <v>0.35391</v>
      </c>
      <c r="O4526" s="604">
        <v>2.72E-4</v>
      </c>
      <c r="P4526" s="250"/>
      <c r="Q4526" s="250"/>
      <c r="R4526" s="250"/>
      <c r="S4526" s="250"/>
      <c r="T4526" s="250">
        <v>2.7000000000000003E-2</v>
      </c>
      <c r="U4526" s="250">
        <v>4.7E-2</v>
      </c>
      <c r="V4526" s="250">
        <v>0.18604651162790697</v>
      </c>
      <c r="W4526" s="250">
        <v>0.45736434108527135</v>
      </c>
      <c r="X4526" s="250">
        <v>0.25193798449612403</v>
      </c>
      <c r="Y4526" s="250">
        <v>3.1007751937984503E-2</v>
      </c>
      <c r="Z4526" s="150">
        <v>5</v>
      </c>
      <c r="AA4526" s="150">
        <v>0.69</v>
      </c>
      <c r="AB4526" s="152"/>
      <c r="AC4526" s="152"/>
      <c r="AD4526" s="223">
        <v>5.3947830000000003</v>
      </c>
      <c r="AE4526" s="223">
        <v>0.19201770000000001</v>
      </c>
      <c r="AF4526" s="223">
        <v>1.0404127999999999</v>
      </c>
      <c r="AG4526" s="223">
        <v>0.34136480000000002</v>
      </c>
      <c r="AH4526" s="341"/>
      <c r="AI4526" s="218"/>
      <c r="AJ4526" s="218"/>
      <c r="AK4526" s="153"/>
      <c r="AL4526" s="152"/>
      <c r="AM4526" s="152"/>
      <c r="AN4526" s="152"/>
      <c r="AO4526" s="152"/>
      <c r="AP4526" s="152"/>
      <c r="AQ4526" s="152"/>
      <c r="AR4526" s="152"/>
      <c r="AS4526" s="152"/>
      <c r="AT4526" s="152"/>
      <c r="AU4526" s="153"/>
      <c r="AV4526" s="479"/>
      <c r="AW4526" s="479"/>
      <c r="AX4526" s="442"/>
      <c r="AY4526" s="153"/>
      <c r="AZ4526" s="152"/>
      <c r="BA4526" s="152"/>
      <c r="BB4526" s="152"/>
      <c r="BC4526" s="152"/>
      <c r="BD4526" s="152"/>
      <c r="BE4526" s="152"/>
      <c r="BF4526" s="152"/>
      <c r="BG4526" s="152"/>
      <c r="BH4526" s="152"/>
      <c r="BI4526" s="153"/>
      <c r="BJ4526" s="153"/>
      <c r="BK4526" s="153"/>
      <c r="BL4526" s="153"/>
      <c r="BM4526" s="153"/>
      <c r="BN4526" s="153"/>
      <c r="BO4526" s="153"/>
      <c r="BP4526" s="153"/>
      <c r="BQ4526" s="153"/>
      <c r="BR4526" s="153"/>
      <c r="BS4526" s="153"/>
      <c r="BT4526" s="153"/>
      <c r="BU4526" s="153"/>
      <c r="BV4526" s="153"/>
      <c r="BW4526" s="153"/>
      <c r="BX4526" s="153"/>
      <c r="BY4526" s="153"/>
      <c r="BZ4526" s="153"/>
      <c r="CA4526" s="152"/>
      <c r="CB4526" s="152"/>
    </row>
    <row r="4527" spans="1:80" s="87" customFormat="1" ht="15" x14ac:dyDescent="0.25">
      <c r="A4527" s="152"/>
      <c r="B4527" s="683"/>
      <c r="C4527" s="683"/>
      <c r="D4527" s="698"/>
      <c r="E4527" s="215"/>
      <c r="F4527" s="215"/>
      <c r="G4527" s="153"/>
      <c r="H4527" s="153"/>
      <c r="I4527" s="326">
        <v>20</v>
      </c>
      <c r="J4527" s="326">
        <v>60</v>
      </c>
      <c r="K4527" s="150">
        <v>1</v>
      </c>
      <c r="L4527" s="656">
        <v>20</v>
      </c>
      <c r="M4527" s="663">
        <v>35531</v>
      </c>
      <c r="N4527" s="600">
        <v>0.18176999999999999</v>
      </c>
      <c r="O4527" s="604">
        <v>9.2399999999999996E-5</v>
      </c>
      <c r="P4527" s="250"/>
      <c r="Q4527" s="250"/>
      <c r="R4527" s="250"/>
      <c r="S4527" s="250"/>
      <c r="T4527" s="250"/>
      <c r="U4527" s="250">
        <v>0.25</v>
      </c>
      <c r="V4527" s="250">
        <v>0.14772727272727271</v>
      </c>
      <c r="W4527" s="250">
        <v>0.28409090909090906</v>
      </c>
      <c r="X4527" s="250">
        <v>0.26136363636363635</v>
      </c>
      <c r="Y4527" s="250">
        <v>5.6818181818181816E-2</v>
      </c>
      <c r="Z4527" s="150">
        <v>4</v>
      </c>
      <c r="AA4527" s="150">
        <v>0.78</v>
      </c>
      <c r="AB4527" s="152"/>
      <c r="AC4527" s="152"/>
      <c r="AD4527" s="223">
        <v>4.7852030000000001</v>
      </c>
      <c r="AE4527" s="223">
        <v>0.15849079999999999</v>
      </c>
      <c r="AF4527" s="223">
        <v>0.75429928000000002</v>
      </c>
      <c r="AG4527" s="223">
        <v>0.21030509999999999</v>
      </c>
      <c r="AH4527" s="341"/>
      <c r="AI4527" s="218"/>
      <c r="AJ4527" s="218"/>
      <c r="AK4527" s="153"/>
      <c r="AL4527" s="152"/>
      <c r="AM4527" s="152"/>
      <c r="AN4527" s="152"/>
      <c r="AO4527" s="152"/>
      <c r="AP4527" s="152"/>
      <c r="AQ4527" s="152"/>
      <c r="AR4527" s="152"/>
      <c r="AS4527" s="152"/>
      <c r="AT4527" s="152"/>
      <c r="AU4527" s="153"/>
      <c r="AV4527" s="479"/>
      <c r="AW4527" s="479"/>
      <c r="AX4527" s="442"/>
      <c r="AY4527" s="153"/>
      <c r="AZ4527" s="152"/>
      <c r="BA4527" s="152"/>
      <c r="BB4527" s="152"/>
      <c r="BC4527" s="152"/>
      <c r="BD4527" s="152"/>
      <c r="BE4527" s="152"/>
      <c r="BF4527" s="152"/>
      <c r="BG4527" s="152"/>
      <c r="BH4527" s="152"/>
      <c r="BI4527" s="153"/>
      <c r="BJ4527" s="153"/>
      <c r="BK4527" s="153"/>
      <c r="BL4527" s="153"/>
      <c r="BM4527" s="153"/>
      <c r="BN4527" s="153"/>
      <c r="BO4527" s="153"/>
      <c r="BP4527" s="153"/>
      <c r="BQ4527" s="153"/>
      <c r="BR4527" s="153"/>
      <c r="BS4527" s="153"/>
      <c r="BT4527" s="153"/>
      <c r="BU4527" s="153"/>
      <c r="BV4527" s="153"/>
      <c r="BW4527" s="153"/>
      <c r="BX4527" s="153"/>
      <c r="BY4527" s="153"/>
      <c r="BZ4527" s="153"/>
      <c r="CA4527" s="152"/>
      <c r="CB4527" s="152"/>
    </row>
    <row r="4528" spans="1:80" s="87" customFormat="1" ht="15" x14ac:dyDescent="0.25">
      <c r="A4528" s="152"/>
      <c r="B4528" s="683"/>
      <c r="C4528" s="683"/>
      <c r="D4528" s="698"/>
      <c r="E4528" s="215"/>
      <c r="F4528" s="215"/>
      <c r="G4528" s="153"/>
      <c r="H4528" s="153"/>
      <c r="I4528" s="326">
        <v>13</v>
      </c>
      <c r="J4528" s="326">
        <v>60</v>
      </c>
      <c r="K4528" s="150">
        <v>1</v>
      </c>
      <c r="L4528" s="656">
        <v>13</v>
      </c>
      <c r="M4528" s="663">
        <v>35550</v>
      </c>
      <c r="N4528" s="600">
        <v>1.09853</v>
      </c>
      <c r="O4528" s="604">
        <v>1.6789999999999999E-3</v>
      </c>
      <c r="P4528" s="250"/>
      <c r="Q4528" s="250"/>
      <c r="R4528" s="250"/>
      <c r="S4528" s="250"/>
      <c r="T4528" s="250">
        <v>0.124</v>
      </c>
      <c r="U4528" s="250">
        <v>0.2</v>
      </c>
      <c r="V4528" s="250">
        <v>0.31852315394242803</v>
      </c>
      <c r="W4528" s="250">
        <v>0.2709637046307885</v>
      </c>
      <c r="X4528" s="250">
        <v>8.1351689612015013E-2</v>
      </c>
      <c r="Y4528" s="250">
        <v>5.0062578222778474E-3</v>
      </c>
      <c r="Z4528" s="150">
        <v>7</v>
      </c>
      <c r="AA4528" s="150">
        <v>1.36</v>
      </c>
      <c r="AB4528" s="152"/>
      <c r="AC4528" s="152"/>
      <c r="AD4528" s="223">
        <v>5.0290350000000004</v>
      </c>
      <c r="AE4528" s="223">
        <v>0.29259839999999998</v>
      </c>
      <c r="AF4528" s="223">
        <v>1.4677252000000001</v>
      </c>
      <c r="AG4528" s="223">
        <v>0.72844810000000004</v>
      </c>
      <c r="AH4528" s="341"/>
      <c r="AI4528" s="218"/>
      <c r="AJ4528" s="218"/>
      <c r="AK4528" s="153"/>
      <c r="AL4528" s="152"/>
      <c r="AM4528" s="152"/>
      <c r="AN4528" s="152"/>
      <c r="AO4528" s="152"/>
      <c r="AP4528" s="152"/>
      <c r="AQ4528" s="152"/>
      <c r="AR4528" s="152"/>
      <c r="AS4528" s="152"/>
      <c r="AT4528" s="152"/>
      <c r="AU4528" s="153"/>
      <c r="AV4528" s="479"/>
      <c r="AW4528" s="479"/>
      <c r="AX4528" s="442"/>
      <c r="AY4528" s="153"/>
      <c r="AZ4528" s="152"/>
      <c r="BA4528" s="152"/>
      <c r="BB4528" s="152"/>
      <c r="BC4528" s="152"/>
      <c r="BD4528" s="152"/>
      <c r="BE4528" s="152"/>
      <c r="BF4528" s="152"/>
      <c r="BG4528" s="152"/>
      <c r="BH4528" s="152"/>
      <c r="BI4528" s="153"/>
      <c r="BJ4528" s="153"/>
      <c r="BK4528" s="153"/>
      <c r="BL4528" s="153"/>
      <c r="BM4528" s="153"/>
      <c r="BN4528" s="153"/>
      <c r="BO4528" s="153"/>
      <c r="BP4528" s="153"/>
      <c r="BQ4528" s="153"/>
      <c r="BR4528" s="153"/>
      <c r="BS4528" s="153"/>
      <c r="BT4528" s="153"/>
      <c r="BU4528" s="153"/>
      <c r="BV4528" s="153"/>
      <c r="BW4528" s="153"/>
      <c r="BX4528" s="153"/>
      <c r="BY4528" s="153"/>
      <c r="BZ4528" s="153"/>
      <c r="CA4528" s="152"/>
      <c r="CB4528" s="152"/>
    </row>
    <row r="4529" spans="1:80" s="87" customFormat="1" ht="15" x14ac:dyDescent="0.25">
      <c r="A4529" s="152"/>
      <c r="B4529" s="683"/>
      <c r="C4529" s="683"/>
      <c r="D4529" s="698"/>
      <c r="E4529" s="215"/>
      <c r="F4529" s="215"/>
      <c r="G4529" s="153"/>
      <c r="H4529" s="153"/>
      <c r="I4529" s="326">
        <v>20</v>
      </c>
      <c r="J4529" s="326">
        <v>60</v>
      </c>
      <c r="K4529" s="150">
        <v>1</v>
      </c>
      <c r="L4529" s="656">
        <v>20</v>
      </c>
      <c r="M4529" s="663">
        <v>35557</v>
      </c>
      <c r="N4529" s="600">
        <v>1.29389</v>
      </c>
      <c r="O4529" s="604">
        <v>2.5610000000000001E-2</v>
      </c>
      <c r="P4529" s="250"/>
      <c r="Q4529" s="250"/>
      <c r="R4529" s="250">
        <v>2.5000000000000001E-2</v>
      </c>
      <c r="S4529" s="250">
        <v>9.3000000000000013E-2</v>
      </c>
      <c r="T4529" s="250">
        <v>0.124</v>
      </c>
      <c r="U4529" s="250">
        <v>0.187</v>
      </c>
      <c r="V4529" s="250">
        <v>0.24994886479852732</v>
      </c>
      <c r="W4529" s="250">
        <v>0.23031294743301289</v>
      </c>
      <c r="X4529" s="250">
        <v>8.3861730415217828E-2</v>
      </c>
      <c r="Y4529" s="250">
        <v>6.2589486602577212E-3</v>
      </c>
      <c r="Z4529" s="150">
        <v>18</v>
      </c>
      <c r="AA4529" s="150">
        <v>1.65</v>
      </c>
      <c r="AB4529" s="152"/>
      <c r="AC4529" s="152"/>
      <c r="AD4529" s="223">
        <v>5.5471779999999997</v>
      </c>
      <c r="AE4529" s="223">
        <v>0.27735890000000002</v>
      </c>
      <c r="AF4529" s="223">
        <v>1.5420404000000001</v>
      </c>
      <c r="AG4529" s="223">
        <v>0.76197499999999996</v>
      </c>
      <c r="AH4529" s="341"/>
      <c r="AI4529" s="218"/>
      <c r="AJ4529" s="218"/>
      <c r="AK4529" s="153"/>
      <c r="AL4529" s="152"/>
      <c r="AM4529" s="152"/>
      <c r="AN4529" s="152"/>
      <c r="AO4529" s="152"/>
      <c r="AP4529" s="152"/>
      <c r="AQ4529" s="152"/>
      <c r="AR4529" s="152"/>
      <c r="AS4529" s="152"/>
      <c r="AT4529" s="152"/>
      <c r="AU4529" s="153"/>
      <c r="AV4529" s="479"/>
      <c r="AW4529" s="479"/>
      <c r="AX4529" s="442"/>
      <c r="AY4529" s="153"/>
      <c r="AZ4529" s="152"/>
      <c r="BA4529" s="152"/>
      <c r="BB4529" s="152"/>
      <c r="BC4529" s="152"/>
      <c r="BD4529" s="152"/>
      <c r="BE4529" s="152"/>
      <c r="BF4529" s="152"/>
      <c r="BG4529" s="152"/>
      <c r="BH4529" s="152"/>
      <c r="BI4529" s="153"/>
      <c r="BJ4529" s="153"/>
      <c r="BK4529" s="153"/>
      <c r="BL4529" s="153"/>
      <c r="BM4529" s="153"/>
      <c r="BN4529" s="153"/>
      <c r="BO4529" s="153"/>
      <c r="BP4529" s="153"/>
      <c r="BQ4529" s="153"/>
      <c r="BR4529" s="153"/>
      <c r="BS4529" s="153"/>
      <c r="BT4529" s="153"/>
      <c r="BU4529" s="153"/>
      <c r="BV4529" s="153"/>
      <c r="BW4529" s="153"/>
      <c r="BX4529" s="153"/>
      <c r="BY4529" s="153"/>
      <c r="BZ4529" s="153"/>
      <c r="CA4529" s="152"/>
      <c r="CB4529" s="152"/>
    </row>
    <row r="4530" spans="1:80" s="87" customFormat="1" ht="15" x14ac:dyDescent="0.25">
      <c r="A4530" s="152"/>
      <c r="B4530" s="683"/>
      <c r="C4530" s="683"/>
      <c r="D4530" s="698"/>
      <c r="E4530" s="215"/>
      <c r="F4530" s="215"/>
      <c r="G4530" s="153"/>
      <c r="H4530" s="153"/>
      <c r="I4530" s="326">
        <v>16</v>
      </c>
      <c r="J4530" s="326">
        <v>60</v>
      </c>
      <c r="K4530" s="150">
        <v>1</v>
      </c>
      <c r="L4530" s="656">
        <v>16</v>
      </c>
      <c r="M4530" s="663">
        <v>35565</v>
      </c>
      <c r="N4530" s="600">
        <v>3.8222100000000001</v>
      </c>
      <c r="O4530" s="604">
        <v>5.2793E-2</v>
      </c>
      <c r="P4530" s="250"/>
      <c r="Q4530" s="250"/>
      <c r="R4530" s="250">
        <v>0.03</v>
      </c>
      <c r="S4530" s="250">
        <v>4.2999999999999997E-2</v>
      </c>
      <c r="T4530" s="250">
        <v>8.3000000000000004E-2</v>
      </c>
      <c r="U4530" s="250">
        <v>0.125</v>
      </c>
      <c r="V4530" s="250">
        <v>0.21084876573906469</v>
      </c>
      <c r="W4530" s="250">
        <v>0.33914825055198622</v>
      </c>
      <c r="X4530" s="250">
        <v>0.1650985618522865</v>
      </c>
      <c r="Y4530" s="250">
        <v>3.2422970580629758E-3</v>
      </c>
      <c r="Z4530" s="150">
        <v>25</v>
      </c>
      <c r="AA4530" s="150">
        <v>0.98</v>
      </c>
      <c r="AB4530" s="152"/>
      <c r="AC4530" s="152"/>
      <c r="AD4530" s="223">
        <v>6.0957999999999997</v>
      </c>
      <c r="AE4530" s="223" t="s">
        <v>29</v>
      </c>
      <c r="AF4530" s="223">
        <v>2.3223500000000001</v>
      </c>
      <c r="AG4530" s="223">
        <v>1.5483332000000001</v>
      </c>
      <c r="AH4530" s="341"/>
      <c r="AI4530" s="218"/>
      <c r="AJ4530" s="218"/>
      <c r="AK4530" s="153"/>
      <c r="AL4530" s="152"/>
      <c r="AM4530" s="152"/>
      <c r="AN4530" s="152"/>
      <c r="AO4530" s="152"/>
      <c r="AP4530" s="152"/>
      <c r="AQ4530" s="152"/>
      <c r="AR4530" s="152"/>
      <c r="AS4530" s="152"/>
      <c r="AT4530" s="152"/>
      <c r="AU4530" s="153"/>
      <c r="AV4530" s="479"/>
      <c r="AW4530" s="479"/>
      <c r="AX4530" s="442"/>
      <c r="AY4530" s="153"/>
      <c r="AZ4530" s="152"/>
      <c r="BA4530" s="152"/>
      <c r="BB4530" s="152"/>
      <c r="BC4530" s="152"/>
      <c r="BD4530" s="152"/>
      <c r="BE4530" s="152"/>
      <c r="BF4530" s="152"/>
      <c r="BG4530" s="152"/>
      <c r="BH4530" s="152"/>
      <c r="BI4530" s="153"/>
      <c r="BJ4530" s="153"/>
      <c r="BK4530" s="153"/>
      <c r="BL4530" s="153"/>
      <c r="BM4530" s="153"/>
      <c r="BN4530" s="153"/>
      <c r="BO4530" s="153"/>
      <c r="BP4530" s="153"/>
      <c r="BQ4530" s="153"/>
      <c r="BR4530" s="153"/>
      <c r="BS4530" s="153"/>
      <c r="BT4530" s="153"/>
      <c r="BU4530" s="153"/>
      <c r="BV4530" s="153"/>
      <c r="BW4530" s="153"/>
      <c r="BX4530" s="153"/>
      <c r="BY4530" s="153"/>
      <c r="BZ4530" s="153"/>
      <c r="CA4530" s="152"/>
      <c r="CB4530" s="152"/>
    </row>
    <row r="4531" spans="1:80" s="87" customFormat="1" ht="15" x14ac:dyDescent="0.25">
      <c r="A4531" s="152"/>
      <c r="B4531" s="683"/>
      <c r="C4531" s="683"/>
      <c r="D4531" s="698"/>
      <c r="E4531" s="215"/>
      <c r="F4531" s="215"/>
      <c r="G4531" s="153"/>
      <c r="H4531" s="153"/>
      <c r="I4531" s="326">
        <v>20</v>
      </c>
      <c r="J4531" s="326">
        <v>60</v>
      </c>
      <c r="K4531" s="150">
        <v>1</v>
      </c>
      <c r="L4531" s="656">
        <v>20</v>
      </c>
      <c r="M4531" s="663">
        <v>35581</v>
      </c>
      <c r="N4531" s="600">
        <v>1.9875499999999999</v>
      </c>
      <c r="O4531" s="604">
        <v>5.594E-3</v>
      </c>
      <c r="P4531" s="250"/>
      <c r="Q4531" s="250"/>
      <c r="R4531" s="250"/>
      <c r="S4531" s="250"/>
      <c r="T4531" s="250">
        <v>0.17800000000000002</v>
      </c>
      <c r="U4531" s="250">
        <v>0.191</v>
      </c>
      <c r="V4531" s="250">
        <v>0.2515487140979914</v>
      </c>
      <c r="W4531" s="250">
        <v>0.26712971653838935</v>
      </c>
      <c r="X4531" s="250">
        <v>0.10493711282147551</v>
      </c>
      <c r="Y4531" s="250">
        <v>6.7580251548714099E-3</v>
      </c>
      <c r="Z4531" s="150">
        <v>9</v>
      </c>
      <c r="AA4531" s="150">
        <v>1.4</v>
      </c>
      <c r="AB4531" s="152"/>
      <c r="AC4531" s="152"/>
      <c r="AD4531" s="223">
        <v>6.3701109999999996</v>
      </c>
      <c r="AE4531" s="223">
        <v>0.31088579999999999</v>
      </c>
      <c r="AF4531" s="223">
        <v>1.9786421999999999</v>
      </c>
      <c r="AG4531" s="223">
        <v>0.94484900000000005</v>
      </c>
      <c r="AH4531" s="341"/>
      <c r="AI4531" s="218"/>
      <c r="AJ4531" s="218"/>
      <c r="AK4531" s="153"/>
      <c r="AL4531" s="152"/>
      <c r="AM4531" s="152"/>
      <c r="AN4531" s="152"/>
      <c r="AO4531" s="152"/>
      <c r="AP4531" s="152"/>
      <c r="AQ4531" s="152"/>
      <c r="AR4531" s="152"/>
      <c r="AS4531" s="152"/>
      <c r="AT4531" s="152"/>
      <c r="AU4531" s="153"/>
      <c r="AV4531" s="479"/>
      <c r="AW4531" s="479"/>
      <c r="AX4531" s="442"/>
      <c r="AY4531" s="153"/>
      <c r="AZ4531" s="152"/>
      <c r="BA4531" s="152"/>
      <c r="BB4531" s="152"/>
      <c r="BC4531" s="152"/>
      <c r="BD4531" s="152"/>
      <c r="BE4531" s="152"/>
      <c r="BF4531" s="152"/>
      <c r="BG4531" s="152"/>
      <c r="BH4531" s="152"/>
      <c r="BI4531" s="153"/>
      <c r="BJ4531" s="153"/>
      <c r="BK4531" s="153"/>
      <c r="BL4531" s="153"/>
      <c r="BM4531" s="153"/>
      <c r="BN4531" s="153"/>
      <c r="BO4531" s="153"/>
      <c r="BP4531" s="153"/>
      <c r="BQ4531" s="153"/>
      <c r="BR4531" s="153"/>
      <c r="BS4531" s="153"/>
      <c r="BT4531" s="153"/>
      <c r="BU4531" s="153"/>
      <c r="BV4531" s="153"/>
      <c r="BW4531" s="153"/>
      <c r="BX4531" s="153"/>
      <c r="BY4531" s="153"/>
      <c r="BZ4531" s="153"/>
      <c r="CA4531" s="152"/>
      <c r="CB4531" s="152"/>
    </row>
    <row r="4532" spans="1:80" s="87" customFormat="1" ht="15" x14ac:dyDescent="0.25">
      <c r="A4532" s="152"/>
      <c r="B4532" s="683"/>
      <c r="C4532" s="683"/>
      <c r="D4532" s="698"/>
      <c r="E4532" s="215"/>
      <c r="F4532" s="215"/>
      <c r="G4532" s="153"/>
      <c r="H4532" s="153"/>
      <c r="I4532" s="326">
        <v>20</v>
      </c>
      <c r="J4532" s="326">
        <v>60</v>
      </c>
      <c r="K4532" s="150">
        <v>1</v>
      </c>
      <c r="L4532" s="656">
        <v>20</v>
      </c>
      <c r="M4532" s="663">
        <v>35592</v>
      </c>
      <c r="N4532" s="600">
        <v>1.3873200000000001</v>
      </c>
      <c r="O4532" s="604">
        <v>1.805E-3</v>
      </c>
      <c r="P4532" s="250"/>
      <c r="Q4532" s="250"/>
      <c r="R4532" s="250"/>
      <c r="S4532" s="250"/>
      <c r="T4532" s="250">
        <v>0.14899999999999999</v>
      </c>
      <c r="U4532" s="250">
        <v>0.20899999999999999</v>
      </c>
      <c r="V4532" s="250">
        <v>0.27738927738927738</v>
      </c>
      <c r="W4532" s="250">
        <v>0.25116550116550118</v>
      </c>
      <c r="X4532" s="250">
        <v>0.10139860139860141</v>
      </c>
      <c r="Y4532" s="250">
        <v>1.2820512820512822E-2</v>
      </c>
      <c r="Z4532" s="150">
        <v>8</v>
      </c>
      <c r="AA4532" s="150">
        <v>1.4</v>
      </c>
      <c r="AB4532" s="152"/>
      <c r="AC4532" s="152"/>
      <c r="AD4532" s="223">
        <v>5.5471779999999997</v>
      </c>
      <c r="AE4532" s="223">
        <v>0.26821519999999999</v>
      </c>
      <c r="AF4532" s="223">
        <v>1.4955934</v>
      </c>
      <c r="AG4532" s="223">
        <v>0.87474730000000001</v>
      </c>
      <c r="AH4532" s="341"/>
      <c r="AI4532" s="218"/>
      <c r="AJ4532" s="218"/>
      <c r="AK4532" s="153"/>
      <c r="AL4532" s="152"/>
      <c r="AM4532" s="152"/>
      <c r="AN4532" s="152"/>
      <c r="AO4532" s="152"/>
      <c r="AP4532" s="152"/>
      <c r="AQ4532" s="152"/>
      <c r="AR4532" s="152"/>
      <c r="AS4532" s="152"/>
      <c r="AT4532" s="152"/>
      <c r="AU4532" s="153"/>
      <c r="AV4532" s="479"/>
      <c r="AW4532" s="479"/>
      <c r="AX4532" s="442"/>
      <c r="AY4532" s="153"/>
      <c r="AZ4532" s="152"/>
      <c r="BA4532" s="152"/>
      <c r="BB4532" s="152"/>
      <c r="BC4532" s="152"/>
      <c r="BD4532" s="152"/>
      <c r="BE4532" s="152"/>
      <c r="BF4532" s="152"/>
      <c r="BG4532" s="152"/>
      <c r="BH4532" s="152"/>
      <c r="BI4532" s="153"/>
      <c r="BJ4532" s="153"/>
      <c r="BK4532" s="153"/>
      <c r="BL4532" s="153"/>
      <c r="BM4532" s="153"/>
      <c r="BN4532" s="153"/>
      <c r="BO4532" s="153"/>
      <c r="BP4532" s="153"/>
      <c r="BQ4532" s="153"/>
      <c r="BR4532" s="153"/>
      <c r="BS4532" s="153"/>
      <c r="BT4532" s="153"/>
      <c r="BU4532" s="153"/>
      <c r="BV4532" s="153"/>
      <c r="BW4532" s="153"/>
      <c r="BX4532" s="153"/>
      <c r="BY4532" s="153"/>
      <c r="BZ4532" s="153"/>
      <c r="CA4532" s="152"/>
      <c r="CB4532" s="152"/>
    </row>
    <row r="4533" spans="1:80" s="87" customFormat="1" ht="15" x14ac:dyDescent="0.25">
      <c r="A4533" s="152"/>
      <c r="B4533" s="683"/>
      <c r="C4533" s="683"/>
      <c r="D4533" s="698"/>
      <c r="E4533" s="215"/>
      <c r="F4533" s="215"/>
      <c r="G4533" s="153"/>
      <c r="H4533" s="153"/>
      <c r="I4533" s="326">
        <v>20</v>
      </c>
      <c r="J4533" s="326">
        <v>60</v>
      </c>
      <c r="K4533" s="150">
        <v>1</v>
      </c>
      <c r="L4533" s="656">
        <v>20</v>
      </c>
      <c r="M4533" s="663">
        <v>35603</v>
      </c>
      <c r="N4533" s="600">
        <v>0.63704000000000005</v>
      </c>
      <c r="O4533" s="604">
        <v>1.627E-3</v>
      </c>
      <c r="P4533" s="250"/>
      <c r="Q4533" s="250"/>
      <c r="R4533" s="250"/>
      <c r="S4533" s="250">
        <v>0.13300000000000001</v>
      </c>
      <c r="T4533" s="250">
        <v>0.191</v>
      </c>
      <c r="U4533" s="250">
        <v>0.16699999999999998</v>
      </c>
      <c r="V4533" s="250">
        <v>0.1765463917525773</v>
      </c>
      <c r="W4533" s="250">
        <v>0.22164948453608246</v>
      </c>
      <c r="X4533" s="250">
        <v>0.10502577319587628</v>
      </c>
      <c r="Y4533" s="250">
        <v>5.7989690721649478E-3</v>
      </c>
      <c r="Z4533" s="150">
        <v>13</v>
      </c>
      <c r="AA4533" s="150">
        <v>1.93</v>
      </c>
      <c r="AB4533" s="152"/>
      <c r="AC4533" s="152"/>
      <c r="AD4533" s="223">
        <v>4.8156819999999998</v>
      </c>
      <c r="AE4533" s="223">
        <v>0.2194488</v>
      </c>
      <c r="AF4533" s="223">
        <v>1.0497022</v>
      </c>
      <c r="AG4533" s="223">
        <v>0.62177159999999998</v>
      </c>
      <c r="AH4533" s="341"/>
      <c r="AI4533" s="218"/>
      <c r="AJ4533" s="218"/>
      <c r="AK4533" s="153"/>
      <c r="AL4533" s="152"/>
      <c r="AM4533" s="152"/>
      <c r="AN4533" s="152"/>
      <c r="AO4533" s="152"/>
      <c r="AP4533" s="152"/>
      <c r="AQ4533" s="152"/>
      <c r="AR4533" s="152"/>
      <c r="AS4533" s="152"/>
      <c r="AT4533" s="152"/>
      <c r="AU4533" s="153"/>
      <c r="AV4533" s="479"/>
      <c r="AW4533" s="479"/>
      <c r="AX4533" s="442"/>
      <c r="AY4533" s="153"/>
      <c r="AZ4533" s="152"/>
      <c r="BA4533" s="152"/>
      <c r="BB4533" s="152"/>
      <c r="BC4533" s="152"/>
      <c r="BD4533" s="152"/>
      <c r="BE4533" s="152"/>
      <c r="BF4533" s="152"/>
      <c r="BG4533" s="152"/>
      <c r="BH4533" s="152"/>
      <c r="BI4533" s="153"/>
      <c r="BJ4533" s="153"/>
      <c r="BK4533" s="153"/>
      <c r="BL4533" s="153"/>
      <c r="BM4533" s="153"/>
      <c r="BN4533" s="153"/>
      <c r="BO4533" s="153"/>
      <c r="BP4533" s="153"/>
      <c r="BQ4533" s="153"/>
      <c r="BR4533" s="153"/>
      <c r="BS4533" s="153"/>
      <c r="BT4533" s="153"/>
      <c r="BU4533" s="153"/>
      <c r="BV4533" s="153"/>
      <c r="BW4533" s="153"/>
      <c r="BX4533" s="153"/>
      <c r="BY4533" s="153"/>
      <c r="BZ4533" s="153"/>
      <c r="CA4533" s="152"/>
      <c r="CB4533" s="152"/>
    </row>
    <row r="4534" spans="1:80" s="87" customFormat="1" ht="15" x14ac:dyDescent="0.25">
      <c r="A4534" s="152"/>
      <c r="B4534" s="683"/>
      <c r="C4534" s="683"/>
      <c r="D4534" s="698"/>
      <c r="E4534" s="215"/>
      <c r="F4534" s="215"/>
      <c r="G4534" s="153"/>
      <c r="H4534" s="153"/>
      <c r="I4534" s="326">
        <v>20</v>
      </c>
      <c r="J4534" s="326">
        <v>60</v>
      </c>
      <c r="K4534" s="150">
        <v>1</v>
      </c>
      <c r="L4534" s="656">
        <v>20</v>
      </c>
      <c r="M4534" s="663">
        <v>35660</v>
      </c>
      <c r="N4534" s="600">
        <v>0.11212</v>
      </c>
      <c r="O4534" s="604">
        <v>4.0200000000000001E-5</v>
      </c>
      <c r="P4534" s="250"/>
      <c r="Q4534" s="250"/>
      <c r="R4534" s="250"/>
      <c r="S4534" s="250"/>
      <c r="T4534" s="250"/>
      <c r="U4534" s="250">
        <v>2.6000000000000002E-2</v>
      </c>
      <c r="V4534" s="250">
        <v>0.31578947368421051</v>
      </c>
      <c r="W4534" s="250">
        <v>0.55263157894736847</v>
      </c>
      <c r="X4534" s="250">
        <v>0.10526315789473685</v>
      </c>
      <c r="Y4534" s="250">
        <v>0</v>
      </c>
      <c r="Z4534" s="150"/>
      <c r="AA4534" s="150">
        <v>0.89</v>
      </c>
      <c r="AB4534" s="152"/>
      <c r="AC4534" s="152"/>
      <c r="AD4534" s="223">
        <v>4.8156819999999998</v>
      </c>
      <c r="AE4534" s="223">
        <v>0.1097244</v>
      </c>
      <c r="AF4534" s="223">
        <v>0.52485110000000001</v>
      </c>
      <c r="AG4534" s="223">
        <v>0.2072572</v>
      </c>
      <c r="AH4534" s="341"/>
      <c r="AI4534" s="218"/>
      <c r="AJ4534" s="218"/>
      <c r="AK4534" s="153"/>
      <c r="AL4534" s="152"/>
      <c r="AM4534" s="152"/>
      <c r="AN4534" s="152"/>
      <c r="AO4534" s="152"/>
      <c r="AP4534" s="152"/>
      <c r="AQ4534" s="152"/>
      <c r="AR4534" s="152"/>
      <c r="AS4534" s="152"/>
      <c r="AT4534" s="152"/>
      <c r="AU4534" s="153"/>
      <c r="AV4534" s="479"/>
      <c r="AW4534" s="479"/>
      <c r="AX4534" s="442"/>
      <c r="AY4534" s="153"/>
      <c r="AZ4534" s="152"/>
      <c r="BA4534" s="152"/>
      <c r="BB4534" s="152"/>
      <c r="BC4534" s="152"/>
      <c r="BD4534" s="152"/>
      <c r="BE4534" s="152"/>
      <c r="BF4534" s="152"/>
      <c r="BG4534" s="152"/>
      <c r="BH4534" s="152"/>
      <c r="BI4534" s="153"/>
      <c r="BJ4534" s="153"/>
      <c r="BK4534" s="153"/>
      <c r="BL4534" s="153"/>
      <c r="BM4534" s="153"/>
      <c r="BN4534" s="153"/>
      <c r="BO4534" s="153"/>
      <c r="BP4534" s="153"/>
      <c r="BQ4534" s="153"/>
      <c r="BR4534" s="153"/>
      <c r="BS4534" s="153"/>
      <c r="BT4534" s="153"/>
      <c r="BU4534" s="153"/>
      <c r="BV4534" s="153"/>
      <c r="BW4534" s="153"/>
      <c r="BX4534" s="153"/>
      <c r="BY4534" s="153"/>
      <c r="BZ4534" s="153"/>
      <c r="CA4534" s="152"/>
      <c r="CB4534" s="152"/>
    </row>
    <row r="4535" spans="1:80" ht="15" x14ac:dyDescent="0.25">
      <c r="A4535" s="9" t="s">
        <v>211</v>
      </c>
      <c r="B4535" s="639" t="s">
        <v>66</v>
      </c>
      <c r="C4535" s="639" t="s">
        <v>619</v>
      </c>
      <c r="D4535" s="4">
        <f>VLOOKUP(E4535,'Quality Code'!D4:E24,2,TRUE)*VLOOKUP(MROUND(F4535,10),'Quality Code'!D28:E69,2,TRUE)*VLOOKUP(COUNTA(CB4535:CB4545),'Quality Code'!D73:E93,2,TRUE)</f>
        <v>4.25</v>
      </c>
      <c r="E4535" s="14">
        <v>0.85</v>
      </c>
      <c r="F4535" s="18">
        <v>192</v>
      </c>
      <c r="G4535" s="12">
        <v>385.61200000000002</v>
      </c>
      <c r="H4535" s="2" t="s">
        <v>231</v>
      </c>
      <c r="I4535" s="10"/>
      <c r="J4535" s="10" t="s">
        <v>283</v>
      </c>
      <c r="K4535" s="10"/>
      <c r="L4535" s="640" t="s">
        <v>284</v>
      </c>
      <c r="M4535" s="640" t="s">
        <v>841</v>
      </c>
      <c r="N4535" s="579" t="s">
        <v>285</v>
      </c>
      <c r="O4535" s="579"/>
      <c r="P4535" s="10" t="s">
        <v>64</v>
      </c>
      <c r="Q4535" s="10" t="s">
        <v>64</v>
      </c>
      <c r="R4535" s="10" t="s">
        <v>64</v>
      </c>
      <c r="S4535" s="10" t="s">
        <v>64</v>
      </c>
      <c r="T4535" s="10" t="s">
        <v>64</v>
      </c>
      <c r="U4535" s="10" t="s">
        <v>64</v>
      </c>
      <c r="V4535" s="10"/>
      <c r="W4535" s="10"/>
      <c r="X4535" s="10"/>
      <c r="Y4535" s="10"/>
      <c r="Z4535" s="11"/>
      <c r="AA4535" s="81"/>
      <c r="AB4535" s="81"/>
      <c r="AC4535" s="116">
        <v>4.0000000000000001E-3</v>
      </c>
      <c r="AD4535" s="11"/>
      <c r="AE4535" s="11"/>
      <c r="AF4535" s="10"/>
      <c r="AG4535" s="10"/>
      <c r="AH4535" s="345" t="s">
        <v>372</v>
      </c>
      <c r="AI4535" s="18">
        <v>20.52</v>
      </c>
      <c r="AJ4535" s="17">
        <v>1</v>
      </c>
      <c r="AK4535" s="17">
        <v>1</v>
      </c>
      <c r="AL4535" s="17">
        <v>0.84830000000000005</v>
      </c>
      <c r="AM4535" s="17">
        <v>0.61860000000000004</v>
      </c>
      <c r="AN4535" s="17">
        <v>0.4335</v>
      </c>
      <c r="AO4535" s="17">
        <v>0.32190000000000002</v>
      </c>
      <c r="AP4535" s="17">
        <v>0.2109</v>
      </c>
      <c r="AQ4535" s="17">
        <v>0.12180000000000001</v>
      </c>
      <c r="AR4535" s="17">
        <v>5.0599999999999999E-2</v>
      </c>
      <c r="AS4535" s="17">
        <v>1.3299999999999999E-2</v>
      </c>
      <c r="AT4535" s="17">
        <v>3.0999999999999999E-3</v>
      </c>
      <c r="AU4535" s="18">
        <v>50</v>
      </c>
      <c r="AV4535" s="17">
        <v>1</v>
      </c>
      <c r="AW4535" s="17">
        <v>0.99739999999999995</v>
      </c>
      <c r="AX4535" s="17">
        <v>0.96940000000000004</v>
      </c>
      <c r="AY4535" s="17">
        <v>0.83040000000000003</v>
      </c>
      <c r="AZ4535" s="17">
        <v>0.59060000000000001</v>
      </c>
      <c r="BA4535" s="17">
        <v>0.35199999999999998</v>
      </c>
      <c r="BB4535" s="17">
        <v>0.26400000000000001</v>
      </c>
      <c r="BC4535" s="17">
        <v>0.21560000000000001</v>
      </c>
      <c r="BD4535" s="17">
        <v>0.13389999999999999</v>
      </c>
      <c r="BE4535" s="17">
        <v>0.10970000000000001</v>
      </c>
      <c r="BF4535" s="17"/>
      <c r="BG4535" s="17"/>
      <c r="BH4535" s="17"/>
      <c r="BI4535" s="4">
        <f>AU4535/AI4535</f>
        <v>2.4366471734892787</v>
      </c>
      <c r="BJ4535" s="2" t="s">
        <v>68</v>
      </c>
      <c r="BK4535" s="2" t="s">
        <v>175</v>
      </c>
      <c r="BL4535" s="12"/>
      <c r="BM4535" s="12">
        <v>24.065799999999999</v>
      </c>
      <c r="BN4535" s="12">
        <v>19.293206999999999</v>
      </c>
      <c r="BO4535" s="12">
        <v>0.7894061</v>
      </c>
      <c r="BP4535" s="12">
        <v>15.234616000000001</v>
      </c>
      <c r="BQ4535" s="12">
        <f>BN4535/BO4535</f>
        <v>24.440154440154437</v>
      </c>
      <c r="BR4535" s="12" t="s">
        <v>276</v>
      </c>
      <c r="BS4535" s="18">
        <v>4</v>
      </c>
      <c r="BT4535" s="12">
        <v>1.036286</v>
      </c>
      <c r="BU4535" s="2"/>
      <c r="BV4535" s="2"/>
      <c r="BW4535" s="2"/>
      <c r="BX4535" s="2"/>
      <c r="BY4535" s="2" t="s">
        <v>83</v>
      </c>
      <c r="BZ4535" s="2"/>
      <c r="CA4535" s="381"/>
      <c r="CB4535" s="9" t="s">
        <v>224</v>
      </c>
    </row>
    <row r="4536" spans="1:80" s="87" customFormat="1" x14ac:dyDescent="0.2">
      <c r="A4536" s="152"/>
      <c r="B4536" s="683"/>
      <c r="C4536" s="683"/>
      <c r="D4536" s="698"/>
      <c r="E4536" s="215"/>
      <c r="F4536" s="215"/>
      <c r="G4536" s="153"/>
      <c r="H4536" s="153"/>
      <c r="I4536" s="222">
        <v>19</v>
      </c>
      <c r="J4536" s="222">
        <v>60</v>
      </c>
      <c r="K4536" s="150">
        <v>1</v>
      </c>
      <c r="L4536" s="656">
        <v>19</v>
      </c>
      <c r="M4536" s="663">
        <v>34443</v>
      </c>
      <c r="N4536" s="600">
        <v>6.9649200000000002</v>
      </c>
      <c r="O4536" s="604">
        <v>8.5019999999999991E-3</v>
      </c>
      <c r="P4536" s="250"/>
      <c r="Q4536" s="250"/>
      <c r="R4536" s="250"/>
      <c r="S4536" s="250"/>
      <c r="T4536" s="250">
        <v>6.3E-2</v>
      </c>
      <c r="U4536" s="250">
        <v>9.4E-2</v>
      </c>
      <c r="V4536" s="250">
        <v>0.17300000000000001</v>
      </c>
      <c r="W4536" s="250">
        <v>0.29100000000000004</v>
      </c>
      <c r="X4536" s="250">
        <v>0.33399999999999996</v>
      </c>
      <c r="Y4536" s="250">
        <v>4.4999999999999998E-2</v>
      </c>
      <c r="Z4536" s="150"/>
      <c r="AA4536" s="150">
        <v>0.67</v>
      </c>
      <c r="AB4536" s="152"/>
      <c r="AC4536" s="152"/>
      <c r="AD4536" s="223"/>
      <c r="AE4536" s="223"/>
      <c r="AF4536" s="223"/>
      <c r="AG4536" s="223"/>
      <c r="AH4536" s="341" t="s">
        <v>373</v>
      </c>
      <c r="AI4536" s="218"/>
      <c r="AJ4536" s="218"/>
      <c r="AK4536" s="153"/>
      <c r="AL4536" s="152"/>
      <c r="AM4536" s="152"/>
      <c r="AN4536" s="152"/>
      <c r="AO4536" s="152"/>
      <c r="AP4536" s="152"/>
      <c r="AQ4536" s="152"/>
      <c r="AR4536" s="152"/>
      <c r="AS4536" s="152"/>
      <c r="AT4536" s="152"/>
      <c r="AU4536" s="153"/>
      <c r="AV4536" s="479"/>
      <c r="AW4536" s="479"/>
      <c r="AX4536" s="442"/>
      <c r="AY4536" s="153"/>
      <c r="AZ4536" s="152"/>
      <c r="BA4536" s="152"/>
      <c r="BB4536" s="152"/>
      <c r="BC4536" s="152"/>
      <c r="BD4536" s="152"/>
      <c r="BE4536" s="152"/>
      <c r="BF4536" s="152"/>
      <c r="BG4536" s="152"/>
      <c r="BH4536" s="152"/>
      <c r="BI4536" s="153"/>
      <c r="BJ4536" s="153"/>
      <c r="BK4536" s="153"/>
      <c r="BL4536" s="153"/>
      <c r="BM4536" s="153"/>
      <c r="BN4536" s="153"/>
      <c r="BO4536" s="153"/>
      <c r="BP4536" s="153"/>
      <c r="BQ4536" s="153"/>
      <c r="BR4536" s="153"/>
      <c r="BS4536" s="153"/>
      <c r="BT4536" s="153"/>
      <c r="BU4536" s="153"/>
      <c r="BV4536" s="153"/>
      <c r="BW4536" s="153"/>
      <c r="BX4536" s="153"/>
      <c r="BY4536" s="153"/>
      <c r="BZ4536" s="153"/>
      <c r="CA4536" s="152"/>
      <c r="CB4536" s="154" t="s">
        <v>597</v>
      </c>
    </row>
    <row r="4537" spans="1:80" s="87" customFormat="1" ht="15" x14ac:dyDescent="0.2">
      <c r="A4537" s="152"/>
      <c r="B4537" s="683"/>
      <c r="C4537" s="683"/>
      <c r="D4537" s="698"/>
      <c r="E4537" s="215"/>
      <c r="F4537" s="215"/>
      <c r="G4537" s="153"/>
      <c r="H4537" s="153"/>
      <c r="I4537" s="222">
        <v>19</v>
      </c>
      <c r="J4537" s="222">
        <v>60</v>
      </c>
      <c r="K4537" s="150">
        <v>1</v>
      </c>
      <c r="L4537" s="656">
        <v>19</v>
      </c>
      <c r="M4537" s="663">
        <v>34443</v>
      </c>
      <c r="N4537" s="600">
        <v>6.9649200000000002</v>
      </c>
      <c r="O4537" s="604">
        <v>9.5510000000000005E-3</v>
      </c>
      <c r="P4537" s="250"/>
      <c r="Q4537" s="250"/>
      <c r="R4537" s="250"/>
      <c r="S4537" s="250"/>
      <c r="T4537" s="250"/>
      <c r="U4537" s="250">
        <v>0.03</v>
      </c>
      <c r="V4537" s="250">
        <v>0.16300000000000001</v>
      </c>
      <c r="W4537" s="250">
        <v>0.43700000000000006</v>
      </c>
      <c r="X4537" s="250">
        <v>0.308</v>
      </c>
      <c r="Y4537" s="250">
        <v>6.2E-2</v>
      </c>
      <c r="Z4537" s="150"/>
      <c r="AA4537" s="150">
        <v>0.61</v>
      </c>
      <c r="AB4537" s="152"/>
      <c r="AC4537" s="152"/>
      <c r="AD4537" s="223"/>
      <c r="AE4537" s="223"/>
      <c r="AF4537" s="223"/>
      <c r="AG4537" s="223"/>
      <c r="AH4537" s="341" t="s">
        <v>374</v>
      </c>
      <c r="AI4537" s="218"/>
      <c r="AJ4537" s="218"/>
      <c r="AK4537" s="153"/>
      <c r="AL4537" s="152"/>
      <c r="AM4537" s="152"/>
      <c r="AN4537" s="152"/>
      <c r="AO4537" s="152"/>
      <c r="AP4537" s="152"/>
      <c r="AQ4537" s="152"/>
      <c r="AR4537" s="152"/>
      <c r="AS4537" s="152"/>
      <c r="AT4537" s="152"/>
      <c r="AU4537" s="153"/>
      <c r="AV4537" s="479"/>
      <c r="AW4537" s="479"/>
      <c r="AX4537" s="442"/>
      <c r="AY4537" s="153"/>
      <c r="AZ4537" s="152"/>
      <c r="BA4537" s="152"/>
      <c r="BB4537" s="152"/>
      <c r="BC4537" s="152"/>
      <c r="BD4537" s="152"/>
      <c r="BE4537" s="152"/>
      <c r="BF4537" s="152"/>
      <c r="BG4537" s="152"/>
      <c r="BH4537" s="152"/>
      <c r="BI4537" s="153"/>
      <c r="BJ4537" s="153"/>
      <c r="BK4537" s="153"/>
      <c r="BL4537" s="153"/>
      <c r="BM4537" s="153"/>
      <c r="BN4537" s="153"/>
      <c r="BO4537" s="153"/>
      <c r="BP4537" s="153"/>
      <c r="BQ4537" s="153"/>
      <c r="BR4537" s="153"/>
      <c r="BS4537" s="153"/>
      <c r="BT4537" s="153"/>
      <c r="BU4537" s="153"/>
      <c r="BV4537" s="153"/>
      <c r="BW4537" s="153"/>
      <c r="BX4537" s="153"/>
      <c r="BY4537" s="153"/>
      <c r="BZ4537" s="153"/>
      <c r="CA4537" s="152"/>
      <c r="CB4537" s="486" t="s">
        <v>638</v>
      </c>
    </row>
    <row r="4538" spans="1:80" s="87" customFormat="1" ht="15" x14ac:dyDescent="0.2">
      <c r="A4538" s="152"/>
      <c r="B4538" s="683"/>
      <c r="C4538" s="683"/>
      <c r="D4538" s="698"/>
      <c r="E4538" s="215"/>
      <c r="F4538" s="215"/>
      <c r="G4538" s="153"/>
      <c r="H4538" s="153"/>
      <c r="I4538" s="222">
        <v>20</v>
      </c>
      <c r="J4538" s="222">
        <v>60</v>
      </c>
      <c r="K4538" s="150">
        <v>1</v>
      </c>
      <c r="L4538" s="656">
        <v>20</v>
      </c>
      <c r="M4538" s="663">
        <v>34445</v>
      </c>
      <c r="N4538" s="600">
        <v>8.0691199999999998</v>
      </c>
      <c r="O4538" s="604">
        <v>9.3727000000000005E-2</v>
      </c>
      <c r="P4538" s="250"/>
      <c r="Q4538" s="250"/>
      <c r="R4538" s="250"/>
      <c r="S4538" s="250">
        <v>5.0000000000000001E-3</v>
      </c>
      <c r="T4538" s="250">
        <v>0.06</v>
      </c>
      <c r="U4538" s="250">
        <v>0.18600000000000003</v>
      </c>
      <c r="V4538" s="250">
        <v>0.39100000000000001</v>
      </c>
      <c r="W4538" s="250">
        <v>0.251</v>
      </c>
      <c r="X4538" s="250">
        <v>9.9000000000000005E-2</v>
      </c>
      <c r="Y4538" s="250">
        <v>8.0000000000000002E-3</v>
      </c>
      <c r="Z4538" s="150"/>
      <c r="AA4538" s="150">
        <v>1.29</v>
      </c>
      <c r="AB4538" s="152"/>
      <c r="AC4538" s="152"/>
      <c r="AD4538" s="223"/>
      <c r="AE4538" s="223"/>
      <c r="AF4538" s="223"/>
      <c r="AG4538" s="223"/>
      <c r="AH4538" s="341"/>
      <c r="AI4538" s="218"/>
      <c r="AJ4538" s="218"/>
      <c r="AK4538" s="153"/>
      <c r="AL4538" s="152"/>
      <c r="AM4538" s="152"/>
      <c r="AN4538" s="152"/>
      <c r="AO4538" s="152"/>
      <c r="AP4538" s="152"/>
      <c r="AQ4538" s="152"/>
      <c r="AR4538" s="152"/>
      <c r="AS4538" s="152"/>
      <c r="AT4538" s="152"/>
      <c r="AU4538" s="153"/>
      <c r="AV4538" s="479"/>
      <c r="AW4538" s="479"/>
      <c r="AX4538" s="442"/>
      <c r="AY4538" s="153"/>
      <c r="AZ4538" s="152"/>
      <c r="BA4538" s="152"/>
      <c r="BB4538" s="152"/>
      <c r="BC4538" s="152"/>
      <c r="BD4538" s="152"/>
      <c r="BE4538" s="152"/>
      <c r="BF4538" s="152"/>
      <c r="BG4538" s="152"/>
      <c r="BH4538" s="152"/>
      <c r="BI4538" s="153"/>
      <c r="BJ4538" s="153"/>
      <c r="BK4538" s="153"/>
      <c r="BL4538" s="153"/>
      <c r="BM4538" s="153"/>
      <c r="BN4538" s="153"/>
      <c r="BO4538" s="153"/>
      <c r="BP4538" s="153"/>
      <c r="BQ4538" s="153"/>
      <c r="BR4538" s="153"/>
      <c r="BS4538" s="153"/>
      <c r="BT4538" s="153"/>
      <c r="BU4538" s="153"/>
      <c r="BV4538" s="153"/>
      <c r="BW4538" s="153"/>
      <c r="BX4538" s="153"/>
      <c r="BY4538" s="153"/>
      <c r="BZ4538" s="153"/>
      <c r="CA4538" s="152"/>
      <c r="CB4538" s="486" t="s">
        <v>639</v>
      </c>
    </row>
    <row r="4539" spans="1:80" s="87" customFormat="1" ht="15" x14ac:dyDescent="0.2">
      <c r="A4539" s="152"/>
      <c r="B4539" s="683"/>
      <c r="C4539" s="683"/>
      <c r="D4539" s="698"/>
      <c r="E4539" s="215"/>
      <c r="F4539" s="215"/>
      <c r="G4539" s="153"/>
      <c r="H4539" s="153"/>
      <c r="I4539" s="222">
        <v>20</v>
      </c>
      <c r="J4539" s="222">
        <v>60</v>
      </c>
      <c r="K4539" s="150">
        <v>1</v>
      </c>
      <c r="L4539" s="656">
        <v>20</v>
      </c>
      <c r="M4539" s="663">
        <v>34445</v>
      </c>
      <c r="N4539" s="600">
        <v>8.0691199999999998</v>
      </c>
      <c r="O4539" s="604">
        <v>4.8910000000000002E-2</v>
      </c>
      <c r="P4539" s="250"/>
      <c r="Q4539" s="250"/>
      <c r="R4539" s="250"/>
      <c r="S4539" s="250">
        <v>3.7000000000000005E-2</v>
      </c>
      <c r="T4539" s="250">
        <v>4.5999999999999999E-2</v>
      </c>
      <c r="U4539" s="250">
        <v>0.16500000000000001</v>
      </c>
      <c r="V4539" s="250">
        <v>0.40299999999999997</v>
      </c>
      <c r="W4539" s="250">
        <v>0.27100000000000002</v>
      </c>
      <c r="X4539" s="250">
        <v>7.2999999999999995E-2</v>
      </c>
      <c r="Y4539" s="250">
        <v>5.0000000000000001E-3</v>
      </c>
      <c r="Z4539" s="150"/>
      <c r="AA4539" s="150">
        <v>1.3</v>
      </c>
      <c r="AB4539" s="152"/>
      <c r="AC4539" s="152"/>
      <c r="AD4539" s="223"/>
      <c r="AE4539" s="223"/>
      <c r="AF4539" s="223"/>
      <c r="AG4539" s="223"/>
      <c r="AH4539" s="341"/>
      <c r="AI4539" s="218"/>
      <c r="AJ4539" s="218"/>
      <c r="AK4539" s="153"/>
      <c r="AL4539" s="152"/>
      <c r="AM4539" s="152"/>
      <c r="AN4539" s="152"/>
      <c r="AO4539" s="152"/>
      <c r="AP4539" s="152"/>
      <c r="AQ4539" s="152"/>
      <c r="AR4539" s="152"/>
      <c r="AS4539" s="152"/>
      <c r="AT4539" s="152"/>
      <c r="AU4539" s="153"/>
      <c r="AV4539" s="479"/>
      <c r="AW4539" s="479"/>
      <c r="AX4539" s="442"/>
      <c r="AY4539" s="153"/>
      <c r="AZ4539" s="152"/>
      <c r="BA4539" s="152"/>
      <c r="BB4539" s="152"/>
      <c r="BC4539" s="152"/>
      <c r="BD4539" s="152"/>
      <c r="BE4539" s="152"/>
      <c r="BF4539" s="152"/>
      <c r="BG4539" s="152"/>
      <c r="BH4539" s="152"/>
      <c r="BI4539" s="153"/>
      <c r="BJ4539" s="153"/>
      <c r="BK4539" s="153"/>
      <c r="BL4539" s="153"/>
      <c r="BM4539" s="153"/>
      <c r="BN4539" s="153"/>
      <c r="BO4539" s="153"/>
      <c r="BP4539" s="153"/>
      <c r="BQ4539" s="153"/>
      <c r="BR4539" s="153"/>
      <c r="BS4539" s="153"/>
      <c r="BT4539" s="153"/>
      <c r="BU4539" s="153"/>
      <c r="BV4539" s="153"/>
      <c r="BW4539" s="153"/>
      <c r="BX4539" s="153"/>
      <c r="BY4539" s="153"/>
      <c r="BZ4539" s="153"/>
      <c r="CA4539" s="152"/>
      <c r="CB4539" s="486" t="s">
        <v>640</v>
      </c>
    </row>
    <row r="4540" spans="1:80" s="87" customFormat="1" x14ac:dyDescent="0.2">
      <c r="A4540" s="152"/>
      <c r="B4540" s="683"/>
      <c r="C4540" s="683"/>
      <c r="D4540" s="698"/>
      <c r="E4540" s="215"/>
      <c r="F4540" s="215"/>
      <c r="G4540" s="153"/>
      <c r="H4540" s="153"/>
      <c r="I4540" s="222">
        <v>20</v>
      </c>
      <c r="J4540" s="222">
        <v>60</v>
      </c>
      <c r="K4540" s="150">
        <v>1</v>
      </c>
      <c r="L4540" s="656">
        <v>20</v>
      </c>
      <c r="M4540" s="663">
        <v>34450</v>
      </c>
      <c r="N4540" s="600">
        <v>6.2571099999999999</v>
      </c>
      <c r="O4540" s="604">
        <v>1.0706E-2</v>
      </c>
      <c r="P4540" s="250"/>
      <c r="Q4540" s="250"/>
      <c r="R4540" s="250"/>
      <c r="S4540" s="250"/>
      <c r="T4540" s="250">
        <v>3.7000000000000005E-2</v>
      </c>
      <c r="U4540" s="250">
        <v>9.6999999999999989E-2</v>
      </c>
      <c r="V4540" s="250">
        <v>0.36799999999999999</v>
      </c>
      <c r="W4540" s="250">
        <v>0.377</v>
      </c>
      <c r="X4540" s="250">
        <v>0.11699999999999999</v>
      </c>
      <c r="Y4540" s="250">
        <v>4.0000000000000001E-3</v>
      </c>
      <c r="Z4540" s="150"/>
      <c r="AA4540" s="150">
        <v>1</v>
      </c>
      <c r="AB4540" s="152"/>
      <c r="AC4540" s="152"/>
      <c r="AD4540" s="223"/>
      <c r="AE4540" s="223"/>
      <c r="AF4540" s="223"/>
      <c r="AG4540" s="223"/>
      <c r="AH4540" s="341"/>
      <c r="AI4540" s="218"/>
      <c r="AJ4540" s="218"/>
      <c r="AK4540" s="153"/>
      <c r="AL4540" s="152"/>
      <c r="AM4540" s="152"/>
      <c r="AN4540" s="152"/>
      <c r="AO4540" s="152"/>
      <c r="AP4540" s="152"/>
      <c r="AQ4540" s="152"/>
      <c r="AR4540" s="152"/>
      <c r="AS4540" s="152"/>
      <c r="AT4540" s="152"/>
      <c r="AU4540" s="153"/>
      <c r="AV4540" s="479"/>
      <c r="AW4540" s="479"/>
      <c r="AX4540" s="442"/>
      <c r="AY4540" s="153"/>
      <c r="AZ4540" s="152"/>
      <c r="BA4540" s="152"/>
      <c r="BB4540" s="152"/>
      <c r="BC4540" s="152"/>
      <c r="BD4540" s="152"/>
      <c r="BE4540" s="152"/>
      <c r="BF4540" s="152"/>
      <c r="BG4540" s="152"/>
      <c r="BH4540" s="152"/>
      <c r="BI4540" s="153"/>
      <c r="BJ4540" s="153"/>
      <c r="BK4540" s="153"/>
      <c r="BL4540" s="153"/>
      <c r="BM4540" s="153"/>
      <c r="BN4540" s="153"/>
      <c r="BO4540" s="153"/>
      <c r="BP4540" s="153"/>
      <c r="BQ4540" s="153"/>
      <c r="BR4540" s="153"/>
      <c r="BS4540" s="153"/>
      <c r="BT4540" s="153"/>
      <c r="BU4540" s="153"/>
      <c r="BV4540" s="153"/>
      <c r="BW4540" s="153"/>
      <c r="BX4540" s="153"/>
      <c r="BY4540" s="153"/>
      <c r="BZ4540" s="153"/>
      <c r="CA4540" s="152"/>
      <c r="CB4540" s="152"/>
    </row>
    <row r="4541" spans="1:80" s="87" customFormat="1" x14ac:dyDescent="0.2">
      <c r="A4541" s="152"/>
      <c r="B4541" s="683"/>
      <c r="C4541" s="683"/>
      <c r="D4541" s="698"/>
      <c r="E4541" s="215"/>
      <c r="F4541" s="215"/>
      <c r="G4541" s="153"/>
      <c r="H4541" s="153"/>
      <c r="I4541" s="222">
        <v>20</v>
      </c>
      <c r="J4541" s="222">
        <v>60</v>
      </c>
      <c r="K4541" s="150">
        <v>1</v>
      </c>
      <c r="L4541" s="656">
        <v>20</v>
      </c>
      <c r="M4541" s="663">
        <v>34450</v>
      </c>
      <c r="N4541" s="600">
        <v>6.2571099999999999</v>
      </c>
      <c r="O4541" s="604">
        <v>3.1489999999999999E-3</v>
      </c>
      <c r="P4541" s="250"/>
      <c r="Q4541" s="250"/>
      <c r="R4541" s="250"/>
      <c r="S4541" s="250"/>
      <c r="T4541" s="250"/>
      <c r="U4541" s="250">
        <v>7.9000000000000001E-2</v>
      </c>
      <c r="V4541" s="250">
        <v>0.54700000000000004</v>
      </c>
      <c r="W4541" s="250">
        <v>0.26600000000000001</v>
      </c>
      <c r="X4541" s="250">
        <v>0.10099999999999999</v>
      </c>
      <c r="Y4541" s="250">
        <v>6.9999999999999993E-3</v>
      </c>
      <c r="Z4541" s="150"/>
      <c r="AA4541" s="150">
        <v>1.17</v>
      </c>
      <c r="AB4541" s="152"/>
      <c r="AC4541" s="152"/>
      <c r="AD4541" s="223"/>
      <c r="AE4541" s="223"/>
      <c r="AF4541" s="223"/>
      <c r="AG4541" s="223"/>
      <c r="AH4541" s="341"/>
      <c r="AI4541" s="218"/>
      <c r="AJ4541" s="218"/>
      <c r="AK4541" s="153"/>
      <c r="AL4541" s="152"/>
      <c r="AM4541" s="152"/>
      <c r="AN4541" s="152"/>
      <c r="AO4541" s="152"/>
      <c r="AP4541" s="152"/>
      <c r="AQ4541" s="152"/>
      <c r="AR4541" s="152"/>
      <c r="AS4541" s="152"/>
      <c r="AT4541" s="152"/>
      <c r="AU4541" s="153"/>
      <c r="AV4541" s="479"/>
      <c r="AW4541" s="479"/>
      <c r="AX4541" s="442"/>
      <c r="AY4541" s="153"/>
      <c r="AZ4541" s="152"/>
      <c r="BA4541" s="152"/>
      <c r="BB4541" s="152"/>
      <c r="BC4541" s="152"/>
      <c r="BD4541" s="152"/>
      <c r="BE4541" s="152"/>
      <c r="BF4541" s="152"/>
      <c r="BG4541" s="152"/>
      <c r="BH4541" s="152"/>
      <c r="BI4541" s="153"/>
      <c r="BJ4541" s="153"/>
      <c r="BK4541" s="153"/>
      <c r="BL4541" s="153"/>
      <c r="BM4541" s="153"/>
      <c r="BN4541" s="153"/>
      <c r="BO4541" s="153"/>
      <c r="BP4541" s="153"/>
      <c r="BQ4541" s="153"/>
      <c r="BR4541" s="153"/>
      <c r="BS4541" s="153"/>
      <c r="BT4541" s="153"/>
      <c r="BU4541" s="153"/>
      <c r="BV4541" s="153"/>
      <c r="BW4541" s="153"/>
      <c r="BX4541" s="153"/>
      <c r="BY4541" s="153"/>
      <c r="BZ4541" s="153"/>
      <c r="CA4541" s="152"/>
      <c r="CB4541" s="152"/>
    </row>
    <row r="4542" spans="1:80" s="87" customFormat="1" x14ac:dyDescent="0.2">
      <c r="A4542" s="152"/>
      <c r="B4542" s="683"/>
      <c r="C4542" s="683"/>
      <c r="D4542" s="698"/>
      <c r="E4542" s="215"/>
      <c r="F4542" s="215"/>
      <c r="G4542" s="153"/>
      <c r="H4542" s="153"/>
      <c r="I4542" s="222">
        <v>21</v>
      </c>
      <c r="J4542" s="222">
        <v>60</v>
      </c>
      <c r="K4542" s="150">
        <v>1</v>
      </c>
      <c r="L4542" s="656">
        <v>21</v>
      </c>
      <c r="M4542" s="663">
        <v>34452</v>
      </c>
      <c r="N4542" s="600">
        <v>4.7848499999999996</v>
      </c>
      <c r="O4542" s="604">
        <v>5.2480000000000001E-3</v>
      </c>
      <c r="P4542" s="250"/>
      <c r="Q4542" s="250"/>
      <c r="R4542" s="250"/>
      <c r="S4542" s="250"/>
      <c r="T4542" s="250">
        <v>8.199999999999999E-2</v>
      </c>
      <c r="U4542" s="250">
        <v>0.19899999999999998</v>
      </c>
      <c r="V4542" s="250">
        <v>0.28999999999999998</v>
      </c>
      <c r="W4542" s="250">
        <v>0.29899999999999999</v>
      </c>
      <c r="X4542" s="250">
        <v>0.121</v>
      </c>
      <c r="Y4542" s="250">
        <v>9.0000000000000011E-3</v>
      </c>
      <c r="Z4542" s="150"/>
      <c r="AA4542" s="150">
        <v>1.18</v>
      </c>
      <c r="AB4542" s="152"/>
      <c r="AC4542" s="152"/>
      <c r="AD4542" s="223"/>
      <c r="AE4542" s="223"/>
      <c r="AF4542" s="223"/>
      <c r="AG4542" s="223"/>
      <c r="AH4542" s="341"/>
      <c r="AI4542" s="218"/>
      <c r="AJ4542" s="218"/>
      <c r="AK4542" s="153"/>
      <c r="AL4542" s="152"/>
      <c r="AM4542" s="152"/>
      <c r="AN4542" s="152"/>
      <c r="AO4542" s="152"/>
      <c r="AP4542" s="152"/>
      <c r="AQ4542" s="152"/>
      <c r="AR4542" s="152"/>
      <c r="AS4542" s="152"/>
      <c r="AT4542" s="152"/>
      <c r="AU4542" s="153"/>
      <c r="AV4542" s="479"/>
      <c r="AW4542" s="479"/>
      <c r="AX4542" s="442"/>
      <c r="AY4542" s="153"/>
      <c r="AZ4542" s="152"/>
      <c r="BA4542" s="152"/>
      <c r="BB4542" s="152"/>
      <c r="BC4542" s="152"/>
      <c r="BD4542" s="152"/>
      <c r="BE4542" s="152"/>
      <c r="BF4542" s="152"/>
      <c r="BG4542" s="152"/>
      <c r="BH4542" s="152"/>
      <c r="BI4542" s="153"/>
      <c r="BJ4542" s="153"/>
      <c r="BK4542" s="153"/>
      <c r="BL4542" s="153"/>
      <c r="BM4542" s="153"/>
      <c r="BN4542" s="153"/>
      <c r="BO4542" s="153"/>
      <c r="BP4542" s="153"/>
      <c r="BQ4542" s="153"/>
      <c r="BR4542" s="153"/>
      <c r="BS4542" s="153"/>
      <c r="BT4542" s="153"/>
      <c r="BU4542" s="153"/>
      <c r="BV4542" s="153"/>
      <c r="BW4542" s="153"/>
      <c r="BX4542" s="153"/>
      <c r="BY4542" s="153"/>
      <c r="BZ4542" s="153"/>
      <c r="CA4542" s="152"/>
      <c r="CB4542" s="152"/>
    </row>
    <row r="4543" spans="1:80" s="87" customFormat="1" x14ac:dyDescent="0.2">
      <c r="A4543" s="152"/>
      <c r="B4543" s="683"/>
      <c r="C4543" s="683"/>
      <c r="D4543" s="698"/>
      <c r="E4543" s="215"/>
      <c r="F4543" s="215"/>
      <c r="G4543" s="153"/>
      <c r="H4543" s="153"/>
      <c r="I4543" s="222">
        <v>21</v>
      </c>
      <c r="J4543" s="222">
        <v>60</v>
      </c>
      <c r="K4543" s="150">
        <v>1</v>
      </c>
      <c r="L4543" s="656">
        <v>21</v>
      </c>
      <c r="M4543" s="663">
        <v>34452</v>
      </c>
      <c r="N4543" s="600">
        <v>4.7848499999999996</v>
      </c>
      <c r="O4543" s="604">
        <v>1.0286E-2</v>
      </c>
      <c r="P4543" s="250"/>
      <c r="Q4543" s="250"/>
      <c r="R4543" s="250"/>
      <c r="S4543" s="250"/>
      <c r="T4543" s="250">
        <v>0.02</v>
      </c>
      <c r="U4543" s="250">
        <v>0.16899999999999998</v>
      </c>
      <c r="V4543" s="250">
        <v>0.54400000000000004</v>
      </c>
      <c r="W4543" s="250">
        <v>0.22500000000000001</v>
      </c>
      <c r="X4543" s="250">
        <v>3.7999999999999999E-2</v>
      </c>
      <c r="Y4543" s="250">
        <v>4.0000000000000001E-3</v>
      </c>
      <c r="Z4543" s="150"/>
      <c r="AA4543" s="150">
        <v>1.35</v>
      </c>
      <c r="AB4543" s="152"/>
      <c r="AC4543" s="152"/>
      <c r="AD4543" s="223"/>
      <c r="AE4543" s="223"/>
      <c r="AF4543" s="223"/>
      <c r="AG4543" s="223"/>
      <c r="AH4543" s="341"/>
      <c r="AI4543" s="218"/>
      <c r="AJ4543" s="218"/>
      <c r="AK4543" s="153"/>
      <c r="AL4543" s="152"/>
      <c r="AM4543" s="152"/>
      <c r="AN4543" s="152"/>
      <c r="AO4543" s="152"/>
      <c r="AP4543" s="152"/>
      <c r="AQ4543" s="152"/>
      <c r="AR4543" s="152"/>
      <c r="AS4543" s="152"/>
      <c r="AT4543" s="152"/>
      <c r="AU4543" s="153"/>
      <c r="AV4543" s="479"/>
      <c r="AW4543" s="479"/>
      <c r="AX4543" s="442"/>
      <c r="AY4543" s="153"/>
      <c r="AZ4543" s="152"/>
      <c r="BA4543" s="152"/>
      <c r="BB4543" s="152"/>
      <c r="BC4543" s="152"/>
      <c r="BD4543" s="152"/>
      <c r="BE4543" s="152"/>
      <c r="BF4543" s="152"/>
      <c r="BG4543" s="152"/>
      <c r="BH4543" s="152"/>
      <c r="BI4543" s="153"/>
      <c r="BJ4543" s="153"/>
      <c r="BK4543" s="153"/>
      <c r="BL4543" s="153"/>
      <c r="BM4543" s="153"/>
      <c r="BN4543" s="153"/>
      <c r="BO4543" s="153"/>
      <c r="BP4543" s="153"/>
      <c r="BQ4543" s="153"/>
      <c r="BR4543" s="153"/>
      <c r="BS4543" s="153"/>
      <c r="BT4543" s="153"/>
      <c r="BU4543" s="153"/>
      <c r="BV4543" s="153"/>
      <c r="BW4543" s="153"/>
      <c r="BX4543" s="153"/>
      <c r="BY4543" s="153"/>
      <c r="BZ4543" s="153"/>
      <c r="CA4543" s="152"/>
      <c r="CB4543" s="152"/>
    </row>
    <row r="4544" spans="1:80" s="87" customFormat="1" x14ac:dyDescent="0.2">
      <c r="A4544" s="152"/>
      <c r="B4544" s="683"/>
      <c r="C4544" s="683"/>
      <c r="D4544" s="698"/>
      <c r="E4544" s="215"/>
      <c r="F4544" s="215"/>
      <c r="G4544" s="153"/>
      <c r="H4544" s="153"/>
      <c r="I4544" s="222">
        <v>20</v>
      </c>
      <c r="J4544" s="222">
        <v>60</v>
      </c>
      <c r="K4544" s="150">
        <v>1</v>
      </c>
      <c r="L4544" s="656">
        <v>20</v>
      </c>
      <c r="M4544" s="663">
        <v>34457</v>
      </c>
      <c r="N4544" s="600">
        <v>4.69991</v>
      </c>
      <c r="O4544" s="604">
        <v>1.4694E-2</v>
      </c>
      <c r="P4544" s="250"/>
      <c r="Q4544" s="250"/>
      <c r="R4544" s="250"/>
      <c r="S4544" s="250">
        <v>1.1000000000000001E-2</v>
      </c>
      <c r="T4544" s="250">
        <v>0.16200000000000001</v>
      </c>
      <c r="U4544" s="250">
        <v>0.22899999999999998</v>
      </c>
      <c r="V4544" s="250">
        <v>0.317</v>
      </c>
      <c r="W4544" s="250">
        <v>0.153</v>
      </c>
      <c r="X4544" s="250">
        <v>0.122</v>
      </c>
      <c r="Y4544" s="250">
        <v>6.0000000000000001E-3</v>
      </c>
      <c r="Z4544" s="150"/>
      <c r="AA4544" s="150">
        <v>1.61</v>
      </c>
      <c r="AB4544" s="152"/>
      <c r="AC4544" s="152"/>
      <c r="AD4544" s="223"/>
      <c r="AE4544" s="223"/>
      <c r="AF4544" s="223"/>
      <c r="AG4544" s="223"/>
      <c r="AH4544" s="341"/>
      <c r="AI4544" s="218"/>
      <c r="AJ4544" s="218"/>
      <c r="AK4544" s="153"/>
      <c r="AL4544" s="152"/>
      <c r="AM4544" s="152"/>
      <c r="AN4544" s="152"/>
      <c r="AO4544" s="152"/>
      <c r="AP4544" s="152"/>
      <c r="AQ4544" s="152"/>
      <c r="AR4544" s="152"/>
      <c r="AS4544" s="152"/>
      <c r="AT4544" s="152"/>
      <c r="AU4544" s="153"/>
      <c r="AV4544" s="479"/>
      <c r="AW4544" s="479"/>
      <c r="AX4544" s="442"/>
      <c r="AY4544" s="153"/>
      <c r="AZ4544" s="152"/>
      <c r="BA4544" s="152"/>
      <c r="BB4544" s="152"/>
      <c r="BC4544" s="152"/>
      <c r="BD4544" s="152"/>
      <c r="BE4544" s="152"/>
      <c r="BF4544" s="152"/>
      <c r="BG4544" s="152"/>
      <c r="BH4544" s="152"/>
      <c r="BI4544" s="153"/>
      <c r="BJ4544" s="153"/>
      <c r="BK4544" s="153"/>
      <c r="BL4544" s="153"/>
      <c r="BM4544" s="153"/>
      <c r="BN4544" s="153"/>
      <c r="BO4544" s="153"/>
      <c r="BP4544" s="153"/>
      <c r="BQ4544" s="153"/>
      <c r="BR4544" s="153"/>
      <c r="BS4544" s="153"/>
      <c r="BT4544" s="153"/>
      <c r="BU4544" s="153"/>
      <c r="BV4544" s="153"/>
      <c r="BW4544" s="153"/>
      <c r="BX4544" s="153"/>
      <c r="BY4544" s="153"/>
      <c r="BZ4544" s="153"/>
      <c r="CA4544" s="152"/>
      <c r="CB4544" s="152"/>
    </row>
    <row r="4545" spans="1:80" s="87" customFormat="1" x14ac:dyDescent="0.2">
      <c r="A4545" s="152"/>
      <c r="B4545" s="683"/>
      <c r="C4545" s="683"/>
      <c r="D4545" s="698"/>
      <c r="E4545" s="215"/>
      <c r="F4545" s="215"/>
      <c r="G4545" s="153"/>
      <c r="H4545" s="153"/>
      <c r="I4545" s="222">
        <v>20</v>
      </c>
      <c r="J4545" s="222">
        <v>60</v>
      </c>
      <c r="K4545" s="150">
        <v>1</v>
      </c>
      <c r="L4545" s="656">
        <v>20</v>
      </c>
      <c r="M4545" s="663">
        <v>34457</v>
      </c>
      <c r="N4545" s="600">
        <v>4.69991</v>
      </c>
      <c r="O4545" s="604">
        <v>1.2489999999999999E-2</v>
      </c>
      <c r="P4545" s="250"/>
      <c r="Q4545" s="250"/>
      <c r="R4545" s="250"/>
      <c r="S4545" s="250">
        <v>8.6999999999999994E-2</v>
      </c>
      <c r="T4545" s="250">
        <v>3.4000000000000002E-2</v>
      </c>
      <c r="U4545" s="250">
        <v>0.11599999999999999</v>
      </c>
      <c r="V4545" s="250">
        <v>0.35399999999999998</v>
      </c>
      <c r="W4545" s="250">
        <v>0.312</v>
      </c>
      <c r="X4545" s="250">
        <v>9.3000000000000013E-2</v>
      </c>
      <c r="Y4545" s="250">
        <v>4.0000000000000001E-3</v>
      </c>
      <c r="Z4545" s="150"/>
      <c r="AA4545" s="150">
        <v>1.2</v>
      </c>
      <c r="AB4545" s="152"/>
      <c r="AC4545" s="152"/>
      <c r="AD4545" s="223"/>
      <c r="AE4545" s="223"/>
      <c r="AF4545" s="223"/>
      <c r="AG4545" s="223"/>
      <c r="AH4545" s="341"/>
      <c r="AI4545" s="218"/>
      <c r="AJ4545" s="218"/>
      <c r="AK4545" s="153"/>
      <c r="AL4545" s="152"/>
      <c r="AM4545" s="152"/>
      <c r="AN4545" s="152"/>
      <c r="AO4545" s="152"/>
      <c r="AP4545" s="152"/>
      <c r="AQ4545" s="152"/>
      <c r="AR4545" s="152"/>
      <c r="AS4545" s="152"/>
      <c r="AT4545" s="152"/>
      <c r="AU4545" s="153"/>
      <c r="AV4545" s="479"/>
      <c r="AW4545" s="479"/>
      <c r="AX4545" s="442"/>
      <c r="AY4545" s="153"/>
      <c r="AZ4545" s="152"/>
      <c r="BA4545" s="152"/>
      <c r="BB4545" s="152"/>
      <c r="BC4545" s="152"/>
      <c r="BD4545" s="152"/>
      <c r="BE4545" s="152"/>
      <c r="BF4545" s="152"/>
      <c r="BG4545" s="152"/>
      <c r="BH4545" s="152"/>
      <c r="BI4545" s="153"/>
      <c r="BJ4545" s="153"/>
      <c r="BK4545" s="153"/>
      <c r="BL4545" s="153"/>
      <c r="BM4545" s="153"/>
      <c r="BN4545" s="153"/>
      <c r="BO4545" s="153"/>
      <c r="BP4545" s="153"/>
      <c r="BQ4545" s="153"/>
      <c r="BR4545" s="153"/>
      <c r="BS4545" s="153"/>
      <c r="BT4545" s="153"/>
      <c r="BU4545" s="153"/>
      <c r="BV4545" s="153"/>
      <c r="BW4545" s="153"/>
      <c r="BX4545" s="153"/>
      <c r="BY4545" s="153"/>
      <c r="BZ4545" s="153"/>
      <c r="CA4545" s="152"/>
      <c r="CB4545" s="152"/>
    </row>
    <row r="4546" spans="1:80" s="87" customFormat="1" x14ac:dyDescent="0.2">
      <c r="A4546" s="152"/>
      <c r="B4546" s="683"/>
      <c r="C4546" s="683"/>
      <c r="D4546" s="698"/>
      <c r="E4546" s="215"/>
      <c r="F4546" s="215"/>
      <c r="G4546" s="153"/>
      <c r="H4546" s="153"/>
      <c r="I4546" s="222">
        <v>20</v>
      </c>
      <c r="J4546" s="222">
        <v>60</v>
      </c>
      <c r="K4546" s="150">
        <v>1</v>
      </c>
      <c r="L4546" s="656">
        <v>20</v>
      </c>
      <c r="M4546" s="663">
        <v>34459</v>
      </c>
      <c r="N4546" s="600">
        <v>5.2378499999999999</v>
      </c>
      <c r="O4546" s="604">
        <v>9.3410000000000003E-3</v>
      </c>
      <c r="P4546" s="250"/>
      <c r="Q4546" s="250"/>
      <c r="R4546" s="250"/>
      <c r="S4546" s="250"/>
      <c r="T4546" s="250">
        <v>0.129</v>
      </c>
      <c r="U4546" s="250">
        <v>0.14199999999999999</v>
      </c>
      <c r="V4546" s="250">
        <v>0.45799999999999996</v>
      </c>
      <c r="W4546" s="250">
        <v>0.19800000000000001</v>
      </c>
      <c r="X4546" s="250">
        <v>6.8000000000000005E-2</v>
      </c>
      <c r="Y4546" s="250">
        <v>5.0000000000000001E-3</v>
      </c>
      <c r="Z4546" s="150"/>
      <c r="AA4546" s="150">
        <v>1.41</v>
      </c>
      <c r="AB4546" s="152"/>
      <c r="AC4546" s="152"/>
      <c r="AD4546" s="223"/>
      <c r="AE4546" s="223"/>
      <c r="AF4546" s="223"/>
      <c r="AG4546" s="223"/>
      <c r="AH4546" s="341"/>
      <c r="AI4546" s="218"/>
      <c r="AJ4546" s="218"/>
      <c r="AK4546" s="153"/>
      <c r="AL4546" s="152"/>
      <c r="AM4546" s="152"/>
      <c r="AN4546" s="152"/>
      <c r="AO4546" s="152"/>
      <c r="AP4546" s="152"/>
      <c r="AQ4546" s="152"/>
      <c r="AR4546" s="152"/>
      <c r="AS4546" s="152"/>
      <c r="AT4546" s="152"/>
      <c r="AU4546" s="153"/>
      <c r="AV4546" s="479"/>
      <c r="AW4546" s="479"/>
      <c r="AX4546" s="442"/>
      <c r="AY4546" s="153"/>
      <c r="AZ4546" s="152"/>
      <c r="BA4546" s="152"/>
      <c r="BB4546" s="152"/>
      <c r="BC4546" s="152"/>
      <c r="BD4546" s="152"/>
      <c r="BE4546" s="152"/>
      <c r="BF4546" s="152"/>
      <c r="BG4546" s="152"/>
      <c r="BH4546" s="152"/>
      <c r="BI4546" s="153"/>
      <c r="BJ4546" s="153"/>
      <c r="BK4546" s="153"/>
      <c r="BL4546" s="153"/>
      <c r="BM4546" s="153"/>
      <c r="BN4546" s="153"/>
      <c r="BO4546" s="153"/>
      <c r="BP4546" s="153"/>
      <c r="BQ4546" s="153"/>
      <c r="BR4546" s="153"/>
      <c r="BS4546" s="153"/>
      <c r="BT4546" s="153"/>
      <c r="BU4546" s="153"/>
      <c r="BV4546" s="153"/>
      <c r="BW4546" s="153"/>
      <c r="BX4546" s="153"/>
      <c r="BY4546" s="153"/>
      <c r="BZ4546" s="153"/>
      <c r="CA4546" s="152"/>
      <c r="CB4546" s="152"/>
    </row>
    <row r="4547" spans="1:80" s="87" customFormat="1" x14ac:dyDescent="0.2">
      <c r="A4547" s="152"/>
      <c r="B4547" s="683"/>
      <c r="C4547" s="683"/>
      <c r="D4547" s="698"/>
      <c r="E4547" s="215"/>
      <c r="F4547" s="215"/>
      <c r="G4547" s="153"/>
      <c r="H4547" s="153"/>
      <c r="I4547" s="222">
        <v>20</v>
      </c>
      <c r="J4547" s="222">
        <v>60</v>
      </c>
      <c r="K4547" s="150">
        <v>1</v>
      </c>
      <c r="L4547" s="656">
        <v>20</v>
      </c>
      <c r="M4547" s="663">
        <v>34459</v>
      </c>
      <c r="N4547" s="600">
        <v>5.2378499999999999</v>
      </c>
      <c r="O4547" s="604">
        <v>4.6179999999999997E-3</v>
      </c>
      <c r="P4547" s="250"/>
      <c r="Q4547" s="250"/>
      <c r="R4547" s="250"/>
      <c r="S4547" s="250"/>
      <c r="T4547" s="250">
        <v>0.17100000000000001</v>
      </c>
      <c r="U4547" s="250">
        <v>0.32600000000000001</v>
      </c>
      <c r="V4547" s="250">
        <v>0.29600000000000004</v>
      </c>
      <c r="W4547" s="250">
        <v>0.14499999999999999</v>
      </c>
      <c r="X4547" s="250">
        <v>5.2000000000000005E-2</v>
      </c>
      <c r="Y4547" s="250">
        <v>0.01</v>
      </c>
      <c r="Z4547" s="150"/>
      <c r="AA4547" s="150">
        <v>1.99</v>
      </c>
      <c r="AB4547" s="152"/>
      <c r="AC4547" s="152"/>
      <c r="AD4547" s="223"/>
      <c r="AE4547" s="223"/>
      <c r="AF4547" s="223"/>
      <c r="AG4547" s="223"/>
      <c r="AH4547" s="341"/>
      <c r="AI4547" s="218"/>
      <c r="AJ4547" s="218"/>
      <c r="AK4547" s="153"/>
      <c r="AL4547" s="152"/>
      <c r="AM4547" s="152"/>
      <c r="AN4547" s="152"/>
      <c r="AO4547" s="152"/>
      <c r="AP4547" s="152"/>
      <c r="AQ4547" s="152"/>
      <c r="AR4547" s="152"/>
      <c r="AS4547" s="152"/>
      <c r="AT4547" s="152"/>
      <c r="AU4547" s="153"/>
      <c r="AV4547" s="479"/>
      <c r="AW4547" s="479"/>
      <c r="AX4547" s="442"/>
      <c r="AY4547" s="153"/>
      <c r="AZ4547" s="152"/>
      <c r="BA4547" s="152"/>
      <c r="BB4547" s="152"/>
      <c r="BC4547" s="152"/>
      <c r="BD4547" s="152"/>
      <c r="BE4547" s="152"/>
      <c r="BF4547" s="152"/>
      <c r="BG4547" s="152"/>
      <c r="BH4547" s="152"/>
      <c r="BI4547" s="153"/>
      <c r="BJ4547" s="153"/>
      <c r="BK4547" s="153"/>
      <c r="BL4547" s="153"/>
      <c r="BM4547" s="153"/>
      <c r="BN4547" s="153"/>
      <c r="BO4547" s="153"/>
      <c r="BP4547" s="153"/>
      <c r="BQ4547" s="153"/>
      <c r="BR4547" s="153"/>
      <c r="BS4547" s="153"/>
      <c r="BT4547" s="153"/>
      <c r="BU4547" s="153"/>
      <c r="BV4547" s="153"/>
      <c r="BW4547" s="153"/>
      <c r="BX4547" s="153"/>
      <c r="BY4547" s="153"/>
      <c r="BZ4547" s="153"/>
      <c r="CA4547" s="152"/>
      <c r="CB4547" s="152"/>
    </row>
    <row r="4548" spans="1:80" s="87" customFormat="1" x14ac:dyDescent="0.2">
      <c r="A4548" s="152"/>
      <c r="B4548" s="683"/>
      <c r="C4548" s="683"/>
      <c r="D4548" s="698"/>
      <c r="E4548" s="215"/>
      <c r="F4548" s="215"/>
      <c r="G4548" s="153"/>
      <c r="H4548" s="153"/>
      <c r="I4548" s="222">
        <v>21</v>
      </c>
      <c r="J4548" s="222">
        <v>60</v>
      </c>
      <c r="K4548" s="150">
        <v>1</v>
      </c>
      <c r="L4548" s="656">
        <v>21</v>
      </c>
      <c r="M4548" s="663">
        <v>34464</v>
      </c>
      <c r="N4548" s="600">
        <v>9.5130700000000008</v>
      </c>
      <c r="O4548" s="604">
        <v>7.5358999999999995E-2</v>
      </c>
      <c r="P4548" s="250"/>
      <c r="Q4548" s="250"/>
      <c r="R4548" s="250"/>
      <c r="S4548" s="250">
        <v>6.9999999999999993E-3</v>
      </c>
      <c r="T4548" s="250">
        <v>6.8000000000000005E-2</v>
      </c>
      <c r="U4548" s="250">
        <v>0.13400000000000001</v>
      </c>
      <c r="V4548" s="250">
        <v>0.28800000000000003</v>
      </c>
      <c r="W4548" s="250">
        <v>0.33500000000000002</v>
      </c>
      <c r="X4548" s="250">
        <v>0.159</v>
      </c>
      <c r="Y4548" s="250">
        <v>9.0000000000000011E-3</v>
      </c>
      <c r="Z4548" s="150"/>
      <c r="AA4548" s="150">
        <v>0.99</v>
      </c>
      <c r="AB4548" s="152"/>
      <c r="AC4548" s="152"/>
      <c r="AD4548" s="223"/>
      <c r="AE4548" s="223"/>
      <c r="AF4548" s="223"/>
      <c r="AG4548" s="223"/>
      <c r="AH4548" s="341"/>
      <c r="AI4548" s="218"/>
      <c r="AJ4548" s="218"/>
      <c r="AK4548" s="153"/>
      <c r="AL4548" s="152"/>
      <c r="AM4548" s="152"/>
      <c r="AN4548" s="152"/>
      <c r="AO4548" s="152"/>
      <c r="AP4548" s="152"/>
      <c r="AQ4548" s="152"/>
      <c r="AR4548" s="152"/>
      <c r="AS4548" s="152"/>
      <c r="AT4548" s="152"/>
      <c r="AU4548" s="153"/>
      <c r="AV4548" s="479"/>
      <c r="AW4548" s="479"/>
      <c r="AX4548" s="442"/>
      <c r="AY4548" s="153"/>
      <c r="AZ4548" s="152"/>
      <c r="BA4548" s="152"/>
      <c r="BB4548" s="152"/>
      <c r="BC4548" s="152"/>
      <c r="BD4548" s="152"/>
      <c r="BE4548" s="152"/>
      <c r="BF4548" s="152"/>
      <c r="BG4548" s="152"/>
      <c r="BH4548" s="152"/>
      <c r="BI4548" s="153"/>
      <c r="BJ4548" s="153"/>
      <c r="BK4548" s="153"/>
      <c r="BL4548" s="153"/>
      <c r="BM4548" s="153"/>
      <c r="BN4548" s="153"/>
      <c r="BO4548" s="153"/>
      <c r="BP4548" s="153"/>
      <c r="BQ4548" s="153"/>
      <c r="BR4548" s="153"/>
      <c r="BS4548" s="153"/>
      <c r="BT4548" s="153"/>
      <c r="BU4548" s="153"/>
      <c r="BV4548" s="153"/>
      <c r="BW4548" s="153"/>
      <c r="BX4548" s="153"/>
      <c r="BY4548" s="153"/>
      <c r="BZ4548" s="153"/>
      <c r="CA4548" s="152"/>
      <c r="CB4548" s="152"/>
    </row>
    <row r="4549" spans="1:80" s="87" customFormat="1" x14ac:dyDescent="0.2">
      <c r="A4549" s="152"/>
      <c r="B4549" s="683"/>
      <c r="C4549" s="683"/>
      <c r="D4549" s="698"/>
      <c r="E4549" s="215"/>
      <c r="F4549" s="215"/>
      <c r="G4549" s="153"/>
      <c r="H4549" s="153"/>
      <c r="I4549" s="222">
        <v>21</v>
      </c>
      <c r="J4549" s="222">
        <v>60</v>
      </c>
      <c r="K4549" s="150">
        <v>1</v>
      </c>
      <c r="L4549" s="656">
        <v>21</v>
      </c>
      <c r="M4549" s="663">
        <v>34464</v>
      </c>
      <c r="N4549" s="600">
        <v>9.5130700000000008</v>
      </c>
      <c r="O4549" s="604">
        <v>0.18577399999999999</v>
      </c>
      <c r="P4549" s="250"/>
      <c r="Q4549" s="250"/>
      <c r="R4549" s="250"/>
      <c r="S4549" s="250">
        <v>1.3000000000000001E-2</v>
      </c>
      <c r="T4549" s="250">
        <v>0.13300000000000001</v>
      </c>
      <c r="U4549" s="250">
        <v>0.20600000000000002</v>
      </c>
      <c r="V4549" s="250">
        <v>0.314</v>
      </c>
      <c r="W4549" s="250">
        <v>0.26</v>
      </c>
      <c r="X4549" s="250">
        <v>6.8000000000000005E-2</v>
      </c>
      <c r="Y4549" s="250">
        <v>6.0000000000000001E-3</v>
      </c>
      <c r="Z4549" s="150"/>
      <c r="AA4549" s="150">
        <v>1.44</v>
      </c>
      <c r="AB4549" s="152"/>
      <c r="AC4549" s="152"/>
      <c r="AD4549" s="223"/>
      <c r="AE4549" s="223"/>
      <c r="AF4549" s="223"/>
      <c r="AG4549" s="223"/>
      <c r="AH4549" s="341"/>
      <c r="AI4549" s="218"/>
      <c r="AJ4549" s="218"/>
      <c r="AK4549" s="153"/>
      <c r="AL4549" s="152"/>
      <c r="AM4549" s="152"/>
      <c r="AN4549" s="152"/>
      <c r="AO4549" s="152"/>
      <c r="AP4549" s="152"/>
      <c r="AQ4549" s="152"/>
      <c r="AR4549" s="152"/>
      <c r="AS4549" s="152"/>
      <c r="AT4549" s="152"/>
      <c r="AU4549" s="153"/>
      <c r="AV4549" s="479"/>
      <c r="AW4549" s="479"/>
      <c r="AX4549" s="442"/>
      <c r="AY4549" s="153"/>
      <c r="AZ4549" s="152"/>
      <c r="BA4549" s="152"/>
      <c r="BB4549" s="152"/>
      <c r="BC4549" s="152"/>
      <c r="BD4549" s="152"/>
      <c r="BE4549" s="152"/>
      <c r="BF4549" s="152"/>
      <c r="BG4549" s="152"/>
      <c r="BH4549" s="152"/>
      <c r="BI4549" s="153"/>
      <c r="BJ4549" s="153"/>
      <c r="BK4549" s="153"/>
      <c r="BL4549" s="153"/>
      <c r="BM4549" s="153"/>
      <c r="BN4549" s="153"/>
      <c r="BO4549" s="153"/>
      <c r="BP4549" s="153"/>
      <c r="BQ4549" s="153"/>
      <c r="BR4549" s="153"/>
      <c r="BS4549" s="153"/>
      <c r="BT4549" s="153"/>
      <c r="BU4549" s="153"/>
      <c r="BV4549" s="153"/>
      <c r="BW4549" s="153"/>
      <c r="BX4549" s="153"/>
      <c r="BY4549" s="153"/>
      <c r="BZ4549" s="153"/>
      <c r="CA4549" s="152"/>
      <c r="CB4549" s="152"/>
    </row>
    <row r="4550" spans="1:80" s="87" customFormat="1" x14ac:dyDescent="0.2">
      <c r="A4550" s="152"/>
      <c r="B4550" s="683"/>
      <c r="C4550" s="683"/>
      <c r="D4550" s="698"/>
      <c r="E4550" s="215"/>
      <c r="F4550" s="215"/>
      <c r="G4550" s="153"/>
      <c r="H4550" s="153"/>
      <c r="I4550" s="222">
        <v>19</v>
      </c>
      <c r="J4550" s="222">
        <v>60</v>
      </c>
      <c r="K4550" s="150">
        <v>1</v>
      </c>
      <c r="L4550" s="656">
        <v>19</v>
      </c>
      <c r="M4550" s="663">
        <v>34466</v>
      </c>
      <c r="N4550" s="600">
        <v>11.551600000000001</v>
      </c>
      <c r="O4550" s="604">
        <v>0.33796199999999998</v>
      </c>
      <c r="P4550" s="250"/>
      <c r="Q4550" s="250"/>
      <c r="R4550" s="250"/>
      <c r="S4550" s="250">
        <v>8.0000000000000002E-3</v>
      </c>
      <c r="T4550" s="250">
        <v>0.124</v>
      </c>
      <c r="U4550" s="250">
        <v>0.28699999999999998</v>
      </c>
      <c r="V4550" s="250">
        <v>0.313</v>
      </c>
      <c r="W4550" s="250">
        <v>0.21199999999999999</v>
      </c>
      <c r="X4550" s="250">
        <v>5.2000000000000005E-2</v>
      </c>
      <c r="Y4550" s="250">
        <v>4.0000000000000001E-3</v>
      </c>
      <c r="Z4550" s="150"/>
      <c r="AA4550" s="150">
        <v>1.67</v>
      </c>
      <c r="AB4550" s="152"/>
      <c r="AC4550" s="152"/>
      <c r="AD4550" s="223"/>
      <c r="AE4550" s="223"/>
      <c r="AF4550" s="223"/>
      <c r="AG4550" s="223"/>
      <c r="AH4550" s="341"/>
      <c r="AI4550" s="218"/>
      <c r="AJ4550" s="218"/>
      <c r="AK4550" s="153"/>
      <c r="AL4550" s="152"/>
      <c r="AM4550" s="152"/>
      <c r="AN4550" s="152"/>
      <c r="AO4550" s="152"/>
      <c r="AP4550" s="152"/>
      <c r="AQ4550" s="152"/>
      <c r="AR4550" s="152"/>
      <c r="AS4550" s="152"/>
      <c r="AT4550" s="152"/>
      <c r="AU4550" s="153"/>
      <c r="AV4550" s="479"/>
      <c r="AW4550" s="479"/>
      <c r="AX4550" s="442"/>
      <c r="AY4550" s="153"/>
      <c r="AZ4550" s="152"/>
      <c r="BA4550" s="152"/>
      <c r="BB4550" s="152"/>
      <c r="BC4550" s="152"/>
      <c r="BD4550" s="152"/>
      <c r="BE4550" s="152"/>
      <c r="BF4550" s="152"/>
      <c r="BG4550" s="152"/>
      <c r="BH4550" s="152"/>
      <c r="BI4550" s="153"/>
      <c r="BJ4550" s="153"/>
      <c r="BK4550" s="153"/>
      <c r="BL4550" s="153"/>
      <c r="BM4550" s="153"/>
      <c r="BN4550" s="153"/>
      <c r="BO4550" s="153"/>
      <c r="BP4550" s="153"/>
      <c r="BQ4550" s="153"/>
      <c r="BR4550" s="153"/>
      <c r="BS4550" s="153"/>
      <c r="BT4550" s="153"/>
      <c r="BU4550" s="153"/>
      <c r="BV4550" s="153"/>
      <c r="BW4550" s="153"/>
      <c r="BX4550" s="153"/>
      <c r="BY4550" s="153"/>
      <c r="BZ4550" s="153"/>
      <c r="CA4550" s="152"/>
      <c r="CB4550" s="152"/>
    </row>
    <row r="4551" spans="1:80" s="87" customFormat="1" x14ac:dyDescent="0.2">
      <c r="A4551" s="152"/>
      <c r="B4551" s="683"/>
      <c r="C4551" s="683"/>
      <c r="D4551" s="698"/>
      <c r="E4551" s="215"/>
      <c r="F4551" s="215"/>
      <c r="G4551" s="153"/>
      <c r="H4551" s="153"/>
      <c r="I4551" s="222">
        <v>19</v>
      </c>
      <c r="J4551" s="222">
        <v>60</v>
      </c>
      <c r="K4551" s="150">
        <v>1</v>
      </c>
      <c r="L4551" s="656">
        <v>19</v>
      </c>
      <c r="M4551" s="663">
        <v>34466</v>
      </c>
      <c r="N4551" s="600">
        <v>11.551600000000001</v>
      </c>
      <c r="O4551" s="604">
        <v>0.21516199999999999</v>
      </c>
      <c r="P4551" s="250"/>
      <c r="Q4551" s="250"/>
      <c r="R4551" s="250"/>
      <c r="S4551" s="250">
        <v>1.3999999999999999E-2</v>
      </c>
      <c r="T4551" s="250">
        <v>7.8E-2</v>
      </c>
      <c r="U4551" s="250">
        <v>0.25900000000000001</v>
      </c>
      <c r="V4551" s="250">
        <v>0.36799999999999999</v>
      </c>
      <c r="W4551" s="250">
        <v>0.22800000000000001</v>
      </c>
      <c r="X4551" s="250">
        <v>4.9000000000000002E-2</v>
      </c>
      <c r="Y4551" s="250">
        <v>4.0000000000000001E-3</v>
      </c>
      <c r="Z4551" s="150"/>
      <c r="AA4551" s="150">
        <v>1.51</v>
      </c>
      <c r="AB4551" s="152"/>
      <c r="AC4551" s="152"/>
      <c r="AD4551" s="223"/>
      <c r="AE4551" s="223"/>
      <c r="AF4551" s="223"/>
      <c r="AG4551" s="223"/>
      <c r="AH4551" s="341"/>
      <c r="AI4551" s="218"/>
      <c r="AJ4551" s="218"/>
      <c r="AK4551" s="153"/>
      <c r="AL4551" s="152"/>
      <c r="AM4551" s="152"/>
      <c r="AN4551" s="152"/>
      <c r="AO4551" s="152"/>
      <c r="AP4551" s="152"/>
      <c r="AQ4551" s="152"/>
      <c r="AR4551" s="152"/>
      <c r="AS4551" s="152"/>
      <c r="AT4551" s="152"/>
      <c r="AU4551" s="153"/>
      <c r="AV4551" s="479"/>
      <c r="AW4551" s="479"/>
      <c r="AX4551" s="442"/>
      <c r="AY4551" s="153"/>
      <c r="AZ4551" s="152"/>
      <c r="BA4551" s="152"/>
      <c r="BB4551" s="152"/>
      <c r="BC4551" s="152"/>
      <c r="BD4551" s="152"/>
      <c r="BE4551" s="152"/>
      <c r="BF4551" s="152"/>
      <c r="BG4551" s="152"/>
      <c r="BH4551" s="152"/>
      <c r="BI4551" s="153"/>
      <c r="BJ4551" s="153"/>
      <c r="BK4551" s="153"/>
      <c r="BL4551" s="153"/>
      <c r="BM4551" s="153"/>
      <c r="BN4551" s="153"/>
      <c r="BO4551" s="153"/>
      <c r="BP4551" s="153"/>
      <c r="BQ4551" s="153"/>
      <c r="BR4551" s="153"/>
      <c r="BS4551" s="153"/>
      <c r="BT4551" s="153"/>
      <c r="BU4551" s="153"/>
      <c r="BV4551" s="153"/>
      <c r="BW4551" s="153"/>
      <c r="BX4551" s="153"/>
      <c r="BY4551" s="153"/>
      <c r="BZ4551" s="153"/>
      <c r="CA4551" s="152"/>
      <c r="CB4551" s="152"/>
    </row>
    <row r="4552" spans="1:80" s="87" customFormat="1" x14ac:dyDescent="0.2">
      <c r="A4552" s="152"/>
      <c r="B4552" s="683"/>
      <c r="C4552" s="683"/>
      <c r="D4552" s="698"/>
      <c r="E4552" s="215"/>
      <c r="F4552" s="215"/>
      <c r="G4552" s="153"/>
      <c r="H4552" s="153"/>
      <c r="I4552" s="222">
        <v>21</v>
      </c>
      <c r="J4552" s="222">
        <v>60</v>
      </c>
      <c r="K4552" s="150">
        <v>1</v>
      </c>
      <c r="L4552" s="656">
        <v>21</v>
      </c>
      <c r="M4552" s="663">
        <v>34469</v>
      </c>
      <c r="N4552" s="600">
        <v>9.9943799999999996</v>
      </c>
      <c r="O4552" s="604">
        <v>3.6525000000000002E-2</v>
      </c>
      <c r="P4552" s="250"/>
      <c r="Q4552" s="250"/>
      <c r="R4552" s="250"/>
      <c r="S4552" s="250">
        <v>1.7000000000000001E-2</v>
      </c>
      <c r="T4552" s="250">
        <v>0.11599999999999999</v>
      </c>
      <c r="U4552" s="250">
        <v>0.191</v>
      </c>
      <c r="V4552" s="250">
        <v>0.29699999999999999</v>
      </c>
      <c r="W4552" s="250">
        <v>0.23899999999999999</v>
      </c>
      <c r="X4552" s="250">
        <v>0.121</v>
      </c>
      <c r="Y4552" s="250">
        <v>1.9E-2</v>
      </c>
      <c r="Z4552" s="150"/>
      <c r="AA4552" s="150">
        <v>1.33</v>
      </c>
      <c r="AB4552" s="152"/>
      <c r="AC4552" s="152"/>
      <c r="AD4552" s="223"/>
      <c r="AE4552" s="223"/>
      <c r="AF4552" s="223"/>
      <c r="AG4552" s="223"/>
      <c r="AH4552" s="341"/>
      <c r="AI4552" s="218"/>
      <c r="AJ4552" s="218"/>
      <c r="AK4552" s="153"/>
      <c r="AL4552" s="152"/>
      <c r="AM4552" s="152"/>
      <c r="AN4552" s="152"/>
      <c r="AO4552" s="152"/>
      <c r="AP4552" s="152"/>
      <c r="AQ4552" s="152"/>
      <c r="AR4552" s="152"/>
      <c r="AS4552" s="152"/>
      <c r="AT4552" s="152"/>
      <c r="AU4552" s="153"/>
      <c r="AV4552" s="479"/>
      <c r="AW4552" s="479"/>
      <c r="AX4552" s="442"/>
      <c r="AY4552" s="153"/>
      <c r="AZ4552" s="152"/>
      <c r="BA4552" s="152"/>
      <c r="BB4552" s="152"/>
      <c r="BC4552" s="152"/>
      <c r="BD4552" s="152"/>
      <c r="BE4552" s="152"/>
      <c r="BF4552" s="152"/>
      <c r="BG4552" s="152"/>
      <c r="BH4552" s="152"/>
      <c r="BI4552" s="153"/>
      <c r="BJ4552" s="153"/>
      <c r="BK4552" s="153"/>
      <c r="BL4552" s="153"/>
      <c r="BM4552" s="153"/>
      <c r="BN4552" s="153"/>
      <c r="BO4552" s="153"/>
      <c r="BP4552" s="153"/>
      <c r="BQ4552" s="153"/>
      <c r="BR4552" s="153"/>
      <c r="BS4552" s="153"/>
      <c r="BT4552" s="153"/>
      <c r="BU4552" s="153"/>
      <c r="BV4552" s="153"/>
      <c r="BW4552" s="153"/>
      <c r="BX4552" s="153"/>
      <c r="BY4552" s="153"/>
      <c r="BZ4552" s="153"/>
      <c r="CA4552" s="152"/>
      <c r="CB4552" s="152"/>
    </row>
    <row r="4553" spans="1:80" s="87" customFormat="1" x14ac:dyDescent="0.2">
      <c r="A4553" s="152"/>
      <c r="B4553" s="683"/>
      <c r="C4553" s="683"/>
      <c r="D4553" s="698"/>
      <c r="E4553" s="215"/>
      <c r="F4553" s="215"/>
      <c r="G4553" s="153"/>
      <c r="H4553" s="153"/>
      <c r="I4553" s="222">
        <v>21</v>
      </c>
      <c r="J4553" s="222">
        <v>60</v>
      </c>
      <c r="K4553" s="150">
        <v>1</v>
      </c>
      <c r="L4553" s="656">
        <v>21</v>
      </c>
      <c r="M4553" s="663">
        <v>34469</v>
      </c>
      <c r="N4553" s="600">
        <v>9.9943799999999996</v>
      </c>
      <c r="O4553" s="604">
        <v>2.3720000000000001E-2</v>
      </c>
      <c r="P4553" s="250"/>
      <c r="Q4553" s="250"/>
      <c r="R4553" s="250"/>
      <c r="S4553" s="250">
        <v>2.2000000000000002E-2</v>
      </c>
      <c r="T4553" s="250">
        <v>0.21100000000000002</v>
      </c>
      <c r="U4553" s="250">
        <v>0.23899999999999999</v>
      </c>
      <c r="V4553" s="250">
        <v>0.312</v>
      </c>
      <c r="W4553" s="250">
        <v>0.14599999999999999</v>
      </c>
      <c r="X4553" s="250">
        <v>5.9000000000000004E-2</v>
      </c>
      <c r="Y4553" s="250">
        <v>1.1000000000000001E-2</v>
      </c>
      <c r="Z4553" s="150"/>
      <c r="AA4553" s="150">
        <v>1.88</v>
      </c>
      <c r="AB4553" s="152"/>
      <c r="AC4553" s="152"/>
      <c r="AD4553" s="223"/>
      <c r="AE4553" s="223"/>
      <c r="AF4553" s="223"/>
      <c r="AG4553" s="223"/>
      <c r="AH4553" s="341"/>
      <c r="AI4553" s="218"/>
      <c r="AJ4553" s="218"/>
      <c r="AK4553" s="153"/>
      <c r="AL4553" s="152"/>
      <c r="AM4553" s="152"/>
      <c r="AN4553" s="152"/>
      <c r="AO4553" s="152"/>
      <c r="AP4553" s="152"/>
      <c r="AQ4553" s="152"/>
      <c r="AR4553" s="152"/>
      <c r="AS4553" s="152"/>
      <c r="AT4553" s="152"/>
      <c r="AU4553" s="153"/>
      <c r="AV4553" s="479"/>
      <c r="AW4553" s="479"/>
      <c r="AX4553" s="442"/>
      <c r="AY4553" s="153"/>
      <c r="AZ4553" s="152"/>
      <c r="BA4553" s="152"/>
      <c r="BB4553" s="152"/>
      <c r="BC4553" s="152"/>
      <c r="BD4553" s="152"/>
      <c r="BE4553" s="152"/>
      <c r="BF4553" s="152"/>
      <c r="BG4553" s="152"/>
      <c r="BH4553" s="152"/>
      <c r="BI4553" s="153"/>
      <c r="BJ4553" s="153"/>
      <c r="BK4553" s="153"/>
      <c r="BL4553" s="153"/>
      <c r="BM4553" s="153"/>
      <c r="BN4553" s="153"/>
      <c r="BO4553" s="153"/>
      <c r="BP4553" s="153"/>
      <c r="BQ4553" s="153"/>
      <c r="BR4553" s="153"/>
      <c r="BS4553" s="153"/>
      <c r="BT4553" s="153"/>
      <c r="BU4553" s="153"/>
      <c r="BV4553" s="153"/>
      <c r="BW4553" s="153"/>
      <c r="BX4553" s="153"/>
      <c r="BY4553" s="153"/>
      <c r="BZ4553" s="153"/>
      <c r="CA4553" s="152"/>
      <c r="CB4553" s="152"/>
    </row>
    <row r="4554" spans="1:80" s="87" customFormat="1" x14ac:dyDescent="0.2">
      <c r="A4554" s="152"/>
      <c r="B4554" s="683"/>
      <c r="C4554" s="683"/>
      <c r="D4554" s="698"/>
      <c r="E4554" s="215"/>
      <c r="F4554" s="215"/>
      <c r="G4554" s="153"/>
      <c r="H4554" s="153"/>
      <c r="I4554" s="222">
        <v>20</v>
      </c>
      <c r="J4554" s="222">
        <v>60</v>
      </c>
      <c r="K4554" s="150">
        <v>1</v>
      </c>
      <c r="L4554" s="656">
        <v>20</v>
      </c>
      <c r="M4554" s="663">
        <v>34471</v>
      </c>
      <c r="N4554" s="600">
        <v>9.0317500000000006</v>
      </c>
      <c r="O4554" s="604">
        <v>1.9417E-2</v>
      </c>
      <c r="P4554" s="250"/>
      <c r="Q4554" s="250"/>
      <c r="R4554" s="250"/>
      <c r="S4554" s="250">
        <v>0.01</v>
      </c>
      <c r="T4554" s="250">
        <v>0.185</v>
      </c>
      <c r="U4554" s="250">
        <v>0.182</v>
      </c>
      <c r="V4554" s="250">
        <v>0.248</v>
      </c>
      <c r="W4554" s="250">
        <v>0.253</v>
      </c>
      <c r="X4554" s="250">
        <v>0.107</v>
      </c>
      <c r="Y4554" s="250">
        <v>1.4999999999999999E-2</v>
      </c>
      <c r="Z4554" s="150"/>
      <c r="AA4554" s="150">
        <v>1.42</v>
      </c>
      <c r="AB4554" s="152"/>
      <c r="AC4554" s="152"/>
      <c r="AD4554" s="223"/>
      <c r="AE4554" s="223"/>
      <c r="AF4554" s="223"/>
      <c r="AG4554" s="223"/>
      <c r="AH4554" s="341"/>
      <c r="AI4554" s="218"/>
      <c r="AJ4554" s="218"/>
      <c r="AK4554" s="153"/>
      <c r="AL4554" s="152"/>
      <c r="AM4554" s="152"/>
      <c r="AN4554" s="152"/>
      <c r="AO4554" s="152"/>
      <c r="AP4554" s="152"/>
      <c r="AQ4554" s="152"/>
      <c r="AR4554" s="152"/>
      <c r="AS4554" s="152"/>
      <c r="AT4554" s="152"/>
      <c r="AU4554" s="153"/>
      <c r="AV4554" s="479"/>
      <c r="AW4554" s="479"/>
      <c r="AX4554" s="442"/>
      <c r="AY4554" s="153"/>
      <c r="AZ4554" s="152"/>
      <c r="BA4554" s="152"/>
      <c r="BB4554" s="152"/>
      <c r="BC4554" s="152"/>
      <c r="BD4554" s="152"/>
      <c r="BE4554" s="152"/>
      <c r="BF4554" s="152"/>
      <c r="BG4554" s="152"/>
      <c r="BH4554" s="152"/>
      <c r="BI4554" s="153"/>
      <c r="BJ4554" s="153"/>
      <c r="BK4554" s="153"/>
      <c r="BL4554" s="153"/>
      <c r="BM4554" s="153"/>
      <c r="BN4554" s="153"/>
      <c r="BO4554" s="153"/>
      <c r="BP4554" s="153"/>
      <c r="BQ4554" s="153"/>
      <c r="BR4554" s="153"/>
      <c r="BS4554" s="153"/>
      <c r="BT4554" s="153"/>
      <c r="BU4554" s="153"/>
      <c r="BV4554" s="153"/>
      <c r="BW4554" s="153"/>
      <c r="BX4554" s="153"/>
      <c r="BY4554" s="153"/>
      <c r="BZ4554" s="153"/>
      <c r="CA4554" s="152"/>
      <c r="CB4554" s="152"/>
    </row>
    <row r="4555" spans="1:80" s="87" customFormat="1" x14ac:dyDescent="0.2">
      <c r="A4555" s="152"/>
      <c r="B4555" s="683"/>
      <c r="C4555" s="683"/>
      <c r="D4555" s="698"/>
      <c r="E4555" s="215"/>
      <c r="F4555" s="215"/>
      <c r="G4555" s="153"/>
      <c r="H4555" s="153"/>
      <c r="I4555" s="222">
        <v>20</v>
      </c>
      <c r="J4555" s="222">
        <v>60</v>
      </c>
      <c r="K4555" s="150">
        <v>1</v>
      </c>
      <c r="L4555" s="656">
        <v>20</v>
      </c>
      <c r="M4555" s="663">
        <v>34471</v>
      </c>
      <c r="N4555" s="600">
        <v>9.0317500000000006</v>
      </c>
      <c r="O4555" s="604">
        <v>3.1171999999999998E-2</v>
      </c>
      <c r="P4555" s="250"/>
      <c r="Q4555" s="250"/>
      <c r="R4555" s="250"/>
      <c r="S4555" s="250">
        <v>2.2000000000000002E-2</v>
      </c>
      <c r="T4555" s="250">
        <v>0.17399999999999999</v>
      </c>
      <c r="U4555" s="250">
        <v>0.25</v>
      </c>
      <c r="V4555" s="250">
        <v>0.35200000000000004</v>
      </c>
      <c r="W4555" s="250">
        <v>0.15</v>
      </c>
      <c r="X4555" s="250">
        <v>0.04</v>
      </c>
      <c r="Y4555" s="250">
        <v>1.2E-2</v>
      </c>
      <c r="Z4555" s="150"/>
      <c r="AA4555" s="150">
        <v>1.8</v>
      </c>
      <c r="AB4555" s="152"/>
      <c r="AC4555" s="152"/>
      <c r="AD4555" s="223"/>
      <c r="AE4555" s="223"/>
      <c r="AF4555" s="223"/>
      <c r="AG4555" s="223"/>
      <c r="AH4555" s="341"/>
      <c r="AI4555" s="218"/>
      <c r="AJ4555" s="218"/>
      <c r="AK4555" s="153"/>
      <c r="AL4555" s="152"/>
      <c r="AM4555" s="152"/>
      <c r="AN4555" s="152"/>
      <c r="AO4555" s="152"/>
      <c r="AP4555" s="152"/>
      <c r="AQ4555" s="152"/>
      <c r="AR4555" s="152"/>
      <c r="AS4555" s="152"/>
      <c r="AT4555" s="152"/>
      <c r="AU4555" s="153"/>
      <c r="AV4555" s="479"/>
      <c r="AW4555" s="479"/>
      <c r="AX4555" s="442"/>
      <c r="AY4555" s="153"/>
      <c r="AZ4555" s="152"/>
      <c r="BA4555" s="152"/>
      <c r="BB4555" s="152"/>
      <c r="BC4555" s="152"/>
      <c r="BD4555" s="152"/>
      <c r="BE4555" s="152"/>
      <c r="BF4555" s="152"/>
      <c r="BG4555" s="152"/>
      <c r="BH4555" s="152"/>
      <c r="BI4555" s="153"/>
      <c r="BJ4555" s="153"/>
      <c r="BK4555" s="153"/>
      <c r="BL4555" s="153"/>
      <c r="BM4555" s="153"/>
      <c r="BN4555" s="153"/>
      <c r="BO4555" s="153"/>
      <c r="BP4555" s="153"/>
      <c r="BQ4555" s="153"/>
      <c r="BR4555" s="153"/>
      <c r="BS4555" s="153"/>
      <c r="BT4555" s="153"/>
      <c r="BU4555" s="153"/>
      <c r="BV4555" s="153"/>
      <c r="BW4555" s="153"/>
      <c r="BX4555" s="153"/>
      <c r="BY4555" s="153"/>
      <c r="BZ4555" s="153"/>
      <c r="CA4555" s="152"/>
      <c r="CB4555" s="152"/>
    </row>
    <row r="4556" spans="1:80" s="87" customFormat="1" x14ac:dyDescent="0.2">
      <c r="A4556" s="152"/>
      <c r="B4556" s="683"/>
      <c r="C4556" s="683"/>
      <c r="D4556" s="698"/>
      <c r="E4556" s="215"/>
      <c r="F4556" s="215"/>
      <c r="G4556" s="153"/>
      <c r="H4556" s="153"/>
      <c r="I4556" s="222">
        <v>20</v>
      </c>
      <c r="J4556" s="222">
        <v>60</v>
      </c>
      <c r="K4556" s="150">
        <v>1</v>
      </c>
      <c r="L4556" s="656">
        <v>20</v>
      </c>
      <c r="M4556" s="663">
        <v>34472</v>
      </c>
      <c r="N4556" s="600">
        <v>8.3239300000000007</v>
      </c>
      <c r="O4556" s="604">
        <v>6.0455000000000002E-2</v>
      </c>
      <c r="P4556" s="250"/>
      <c r="Q4556" s="250"/>
      <c r="R4556" s="250"/>
      <c r="S4556" s="250">
        <v>9.0000000000000011E-3</v>
      </c>
      <c r="T4556" s="250">
        <v>0.106</v>
      </c>
      <c r="U4556" s="250">
        <v>0.25900000000000001</v>
      </c>
      <c r="V4556" s="250">
        <v>0.38700000000000001</v>
      </c>
      <c r="W4556" s="250">
        <v>0.187</v>
      </c>
      <c r="X4556" s="250">
        <v>4.8000000000000001E-2</v>
      </c>
      <c r="Y4556" s="250">
        <v>4.0000000000000001E-3</v>
      </c>
      <c r="Z4556" s="150"/>
      <c r="AA4556" s="150">
        <v>1.6</v>
      </c>
      <c r="AB4556" s="152"/>
      <c r="AC4556" s="152"/>
      <c r="AD4556" s="223"/>
      <c r="AE4556" s="223"/>
      <c r="AF4556" s="223"/>
      <c r="AG4556" s="223"/>
      <c r="AH4556" s="341"/>
      <c r="AI4556" s="218"/>
      <c r="AJ4556" s="218"/>
      <c r="AK4556" s="153"/>
      <c r="AL4556" s="152"/>
      <c r="AM4556" s="152"/>
      <c r="AN4556" s="152"/>
      <c r="AO4556" s="152"/>
      <c r="AP4556" s="152"/>
      <c r="AQ4556" s="152"/>
      <c r="AR4556" s="152"/>
      <c r="AS4556" s="152"/>
      <c r="AT4556" s="152"/>
      <c r="AU4556" s="153"/>
      <c r="AV4556" s="479"/>
      <c r="AW4556" s="479"/>
      <c r="AX4556" s="442"/>
      <c r="AY4556" s="153"/>
      <c r="AZ4556" s="152"/>
      <c r="BA4556" s="152"/>
      <c r="BB4556" s="152"/>
      <c r="BC4556" s="152"/>
      <c r="BD4556" s="152"/>
      <c r="BE4556" s="152"/>
      <c r="BF4556" s="152"/>
      <c r="BG4556" s="152"/>
      <c r="BH4556" s="152"/>
      <c r="BI4556" s="153"/>
      <c r="BJ4556" s="153"/>
      <c r="BK4556" s="153"/>
      <c r="BL4556" s="153"/>
      <c r="BM4556" s="153"/>
      <c r="BN4556" s="153"/>
      <c r="BO4556" s="153"/>
      <c r="BP4556" s="153"/>
      <c r="BQ4556" s="153"/>
      <c r="BR4556" s="153"/>
      <c r="BS4556" s="153"/>
      <c r="BT4556" s="153"/>
      <c r="BU4556" s="153"/>
      <c r="BV4556" s="153"/>
      <c r="BW4556" s="153"/>
      <c r="BX4556" s="153"/>
      <c r="BY4556" s="153"/>
      <c r="BZ4556" s="153"/>
      <c r="CA4556" s="152"/>
      <c r="CB4556" s="152"/>
    </row>
    <row r="4557" spans="1:80" s="87" customFormat="1" x14ac:dyDescent="0.2">
      <c r="A4557" s="152"/>
      <c r="B4557" s="683"/>
      <c r="C4557" s="683"/>
      <c r="D4557" s="698"/>
      <c r="E4557" s="215"/>
      <c r="F4557" s="215"/>
      <c r="G4557" s="153"/>
      <c r="H4557" s="153"/>
      <c r="I4557" s="222">
        <v>20</v>
      </c>
      <c r="J4557" s="222">
        <v>60</v>
      </c>
      <c r="K4557" s="150">
        <v>1</v>
      </c>
      <c r="L4557" s="656">
        <v>20</v>
      </c>
      <c r="M4557" s="663">
        <v>34472</v>
      </c>
      <c r="N4557" s="600">
        <v>8.3239300000000007</v>
      </c>
      <c r="O4557" s="604">
        <v>4.1353000000000001E-2</v>
      </c>
      <c r="P4557" s="250"/>
      <c r="Q4557" s="250"/>
      <c r="R4557" s="250"/>
      <c r="S4557" s="250">
        <v>1.9E-2</v>
      </c>
      <c r="T4557" s="250">
        <v>0.106</v>
      </c>
      <c r="U4557" s="250">
        <v>0.20199999999999999</v>
      </c>
      <c r="V4557" s="250">
        <v>0.36499999999999999</v>
      </c>
      <c r="W4557" s="250">
        <v>0.254</v>
      </c>
      <c r="X4557" s="250">
        <v>0.05</v>
      </c>
      <c r="Y4557" s="250">
        <v>4.0000000000000001E-3</v>
      </c>
      <c r="Z4557" s="150"/>
      <c r="AA4557" s="150">
        <v>1.44</v>
      </c>
      <c r="AB4557" s="152"/>
      <c r="AC4557" s="152"/>
      <c r="AD4557" s="223"/>
      <c r="AE4557" s="223"/>
      <c r="AF4557" s="223"/>
      <c r="AG4557" s="223"/>
      <c r="AH4557" s="341"/>
      <c r="AI4557" s="218"/>
      <c r="AJ4557" s="218"/>
      <c r="AK4557" s="153"/>
      <c r="AL4557" s="152"/>
      <c r="AM4557" s="152"/>
      <c r="AN4557" s="152"/>
      <c r="AO4557" s="152"/>
      <c r="AP4557" s="152"/>
      <c r="AQ4557" s="152"/>
      <c r="AR4557" s="152"/>
      <c r="AS4557" s="152"/>
      <c r="AT4557" s="152"/>
      <c r="AU4557" s="153"/>
      <c r="AV4557" s="479"/>
      <c r="AW4557" s="479"/>
      <c r="AX4557" s="442"/>
      <c r="AY4557" s="153"/>
      <c r="AZ4557" s="152"/>
      <c r="BA4557" s="152"/>
      <c r="BB4557" s="152"/>
      <c r="BC4557" s="152"/>
      <c r="BD4557" s="152"/>
      <c r="BE4557" s="152"/>
      <c r="BF4557" s="152"/>
      <c r="BG4557" s="152"/>
      <c r="BH4557" s="152"/>
      <c r="BI4557" s="153"/>
      <c r="BJ4557" s="153"/>
      <c r="BK4557" s="153"/>
      <c r="BL4557" s="153"/>
      <c r="BM4557" s="153"/>
      <c r="BN4557" s="153"/>
      <c r="BO4557" s="153"/>
      <c r="BP4557" s="153"/>
      <c r="BQ4557" s="153"/>
      <c r="BR4557" s="153"/>
      <c r="BS4557" s="153"/>
      <c r="BT4557" s="153"/>
      <c r="BU4557" s="153"/>
      <c r="BV4557" s="153"/>
      <c r="BW4557" s="153"/>
      <c r="BX4557" s="153"/>
      <c r="BY4557" s="153"/>
      <c r="BZ4557" s="153"/>
      <c r="CA4557" s="152"/>
      <c r="CB4557" s="152"/>
    </row>
    <row r="4558" spans="1:80" s="87" customFormat="1" x14ac:dyDescent="0.2">
      <c r="A4558" s="152"/>
      <c r="B4558" s="683"/>
      <c r="C4558" s="683"/>
      <c r="D4558" s="698"/>
      <c r="E4558" s="215"/>
      <c r="F4558" s="215"/>
      <c r="G4558" s="153"/>
      <c r="H4558" s="153"/>
      <c r="I4558" s="222">
        <v>20</v>
      </c>
      <c r="J4558" s="222">
        <v>60</v>
      </c>
      <c r="K4558" s="150">
        <v>1</v>
      </c>
      <c r="L4558" s="656">
        <v>20</v>
      </c>
      <c r="M4558" s="663">
        <v>34478</v>
      </c>
      <c r="N4558" s="600">
        <v>6.2571099999999999</v>
      </c>
      <c r="O4558" s="604">
        <v>7.2734999999999994E-2</v>
      </c>
      <c r="P4558" s="250"/>
      <c r="Q4558" s="250"/>
      <c r="R4558" s="250"/>
      <c r="S4558" s="250">
        <v>9.0000000000000011E-3</v>
      </c>
      <c r="T4558" s="250">
        <v>0.1</v>
      </c>
      <c r="U4558" s="250">
        <v>0.19500000000000001</v>
      </c>
      <c r="V4558" s="250">
        <v>0.39700000000000002</v>
      </c>
      <c r="W4558" s="250">
        <v>0.22800000000000001</v>
      </c>
      <c r="X4558" s="250">
        <v>6.7000000000000004E-2</v>
      </c>
      <c r="Y4558" s="250">
        <v>4.0000000000000001E-3</v>
      </c>
      <c r="Z4558" s="150"/>
      <c r="AA4558" s="150">
        <v>1.42</v>
      </c>
      <c r="AB4558" s="152"/>
      <c r="AC4558" s="152"/>
      <c r="AD4558" s="223"/>
      <c r="AE4558" s="223"/>
      <c r="AF4558" s="223"/>
      <c r="AG4558" s="223"/>
      <c r="AH4558" s="341"/>
      <c r="AI4558" s="218"/>
      <c r="AJ4558" s="218"/>
      <c r="AK4558" s="153"/>
      <c r="AL4558" s="152"/>
      <c r="AM4558" s="152"/>
      <c r="AN4558" s="152"/>
      <c r="AO4558" s="152"/>
      <c r="AP4558" s="152"/>
      <c r="AQ4558" s="152"/>
      <c r="AR4558" s="152"/>
      <c r="AS4558" s="152"/>
      <c r="AT4558" s="152"/>
      <c r="AU4558" s="153"/>
      <c r="AV4558" s="479"/>
      <c r="AW4558" s="479"/>
      <c r="AX4558" s="442"/>
      <c r="AY4558" s="153"/>
      <c r="AZ4558" s="152"/>
      <c r="BA4558" s="152"/>
      <c r="BB4558" s="152"/>
      <c r="BC4558" s="152"/>
      <c r="BD4558" s="152"/>
      <c r="BE4558" s="152"/>
      <c r="BF4558" s="152"/>
      <c r="BG4558" s="152"/>
      <c r="BH4558" s="152"/>
      <c r="BI4558" s="153"/>
      <c r="BJ4558" s="153"/>
      <c r="BK4558" s="153"/>
      <c r="BL4558" s="153"/>
      <c r="BM4558" s="153"/>
      <c r="BN4558" s="153"/>
      <c r="BO4558" s="153"/>
      <c r="BP4558" s="153"/>
      <c r="BQ4558" s="153"/>
      <c r="BR4558" s="153"/>
      <c r="BS4558" s="153"/>
      <c r="BT4558" s="153"/>
      <c r="BU4558" s="153"/>
      <c r="BV4558" s="153"/>
      <c r="BW4558" s="153"/>
      <c r="BX4558" s="153"/>
      <c r="BY4558" s="153"/>
      <c r="BZ4558" s="153"/>
      <c r="CA4558" s="152"/>
      <c r="CB4558" s="152"/>
    </row>
    <row r="4559" spans="1:80" s="87" customFormat="1" x14ac:dyDescent="0.2">
      <c r="A4559" s="152"/>
      <c r="B4559" s="683"/>
      <c r="C4559" s="683"/>
      <c r="D4559" s="698"/>
      <c r="E4559" s="215"/>
      <c r="F4559" s="215"/>
      <c r="G4559" s="153"/>
      <c r="H4559" s="153"/>
      <c r="I4559" s="222">
        <v>20</v>
      </c>
      <c r="J4559" s="222">
        <v>60</v>
      </c>
      <c r="K4559" s="150">
        <v>1</v>
      </c>
      <c r="L4559" s="656">
        <v>20</v>
      </c>
      <c r="M4559" s="663">
        <v>34478</v>
      </c>
      <c r="N4559" s="600">
        <v>6.2571099999999999</v>
      </c>
      <c r="O4559" s="604">
        <v>6.1295000000000002E-2</v>
      </c>
      <c r="P4559" s="250"/>
      <c r="Q4559" s="250"/>
      <c r="R4559" s="250"/>
      <c r="S4559" s="250">
        <v>2.1000000000000001E-2</v>
      </c>
      <c r="T4559" s="250">
        <v>9.8000000000000004E-2</v>
      </c>
      <c r="U4559" s="250">
        <v>0.13800000000000001</v>
      </c>
      <c r="V4559" s="250">
        <v>0.40700000000000003</v>
      </c>
      <c r="W4559" s="250">
        <v>0.29499999999999998</v>
      </c>
      <c r="X4559" s="250">
        <v>3.9E-2</v>
      </c>
      <c r="Y4559" s="250">
        <v>2E-3</v>
      </c>
      <c r="Z4559" s="150"/>
      <c r="AA4559" s="150">
        <v>1.32</v>
      </c>
      <c r="AB4559" s="152"/>
      <c r="AC4559" s="152"/>
      <c r="AD4559" s="223"/>
      <c r="AE4559" s="223"/>
      <c r="AF4559" s="223"/>
      <c r="AG4559" s="223"/>
      <c r="AH4559" s="341"/>
      <c r="AI4559" s="218"/>
      <c r="AJ4559" s="218"/>
      <c r="AK4559" s="153"/>
      <c r="AL4559" s="152"/>
      <c r="AM4559" s="152"/>
      <c r="AN4559" s="152"/>
      <c r="AO4559" s="152"/>
      <c r="AP4559" s="152"/>
      <c r="AQ4559" s="152"/>
      <c r="AR4559" s="152"/>
      <c r="AS4559" s="152"/>
      <c r="AT4559" s="152"/>
      <c r="AU4559" s="153"/>
      <c r="AV4559" s="479"/>
      <c r="AW4559" s="479"/>
      <c r="AX4559" s="442"/>
      <c r="AY4559" s="153"/>
      <c r="AZ4559" s="152"/>
      <c r="BA4559" s="152"/>
      <c r="BB4559" s="152"/>
      <c r="BC4559" s="152"/>
      <c r="BD4559" s="152"/>
      <c r="BE4559" s="152"/>
      <c r="BF4559" s="152"/>
      <c r="BG4559" s="152"/>
      <c r="BH4559" s="152"/>
      <c r="BI4559" s="153"/>
      <c r="BJ4559" s="153"/>
      <c r="BK4559" s="153"/>
      <c r="BL4559" s="153"/>
      <c r="BM4559" s="153"/>
      <c r="BN4559" s="153"/>
      <c r="BO4559" s="153"/>
      <c r="BP4559" s="153"/>
      <c r="BQ4559" s="153"/>
      <c r="BR4559" s="153"/>
      <c r="BS4559" s="153"/>
      <c r="BT4559" s="153"/>
      <c r="BU4559" s="153"/>
      <c r="BV4559" s="153"/>
      <c r="BW4559" s="153"/>
      <c r="BX4559" s="153"/>
      <c r="BY4559" s="153"/>
      <c r="BZ4559" s="153"/>
      <c r="CA4559" s="152"/>
      <c r="CB4559" s="152"/>
    </row>
    <row r="4560" spans="1:80" s="87" customFormat="1" x14ac:dyDescent="0.2">
      <c r="A4560" s="152"/>
      <c r="B4560" s="683"/>
      <c r="C4560" s="683"/>
      <c r="D4560" s="698"/>
      <c r="E4560" s="215"/>
      <c r="F4560" s="215"/>
      <c r="G4560" s="153"/>
      <c r="H4560" s="153"/>
      <c r="I4560" s="222">
        <v>20</v>
      </c>
      <c r="J4560" s="222">
        <v>60</v>
      </c>
      <c r="K4560" s="150">
        <v>1</v>
      </c>
      <c r="L4560" s="656">
        <v>20</v>
      </c>
      <c r="M4560" s="663">
        <v>34480</v>
      </c>
      <c r="N4560" s="600">
        <v>7.1631099999999996</v>
      </c>
      <c r="O4560" s="604">
        <v>0.115453</v>
      </c>
      <c r="P4560" s="250"/>
      <c r="Q4560" s="250"/>
      <c r="R4560" s="250"/>
      <c r="S4560" s="250">
        <v>1.3999999999999999E-2</v>
      </c>
      <c r="T4560" s="250">
        <v>8.6999999999999994E-2</v>
      </c>
      <c r="U4560" s="250">
        <v>0.39100000000000001</v>
      </c>
      <c r="V4560" s="250">
        <v>0.40299999999999997</v>
      </c>
      <c r="W4560" s="250">
        <v>8.900000000000001E-2</v>
      </c>
      <c r="X4560" s="250">
        <v>1.3999999999999999E-2</v>
      </c>
      <c r="Y4560" s="250">
        <v>2E-3</v>
      </c>
      <c r="Z4560" s="150"/>
      <c r="AA4560" s="150">
        <v>1.97</v>
      </c>
      <c r="AB4560" s="152"/>
      <c r="AC4560" s="152"/>
      <c r="AD4560" s="223"/>
      <c r="AE4560" s="223"/>
      <c r="AF4560" s="223"/>
      <c r="AG4560" s="223"/>
      <c r="AH4560" s="341"/>
      <c r="AI4560" s="218"/>
      <c r="AJ4560" s="218"/>
      <c r="AK4560" s="153"/>
      <c r="AL4560" s="152"/>
      <c r="AM4560" s="152"/>
      <c r="AN4560" s="152"/>
      <c r="AO4560" s="152"/>
      <c r="AP4560" s="152"/>
      <c r="AQ4560" s="152"/>
      <c r="AR4560" s="152"/>
      <c r="AS4560" s="152"/>
      <c r="AT4560" s="152"/>
      <c r="AU4560" s="153"/>
      <c r="AV4560" s="479"/>
      <c r="AW4560" s="479"/>
      <c r="AX4560" s="442"/>
      <c r="AY4560" s="153"/>
      <c r="AZ4560" s="152"/>
      <c r="BA4560" s="152"/>
      <c r="BB4560" s="152"/>
      <c r="BC4560" s="152"/>
      <c r="BD4560" s="152"/>
      <c r="BE4560" s="152"/>
      <c r="BF4560" s="152"/>
      <c r="BG4560" s="152"/>
      <c r="BH4560" s="152"/>
      <c r="BI4560" s="153"/>
      <c r="BJ4560" s="153"/>
      <c r="BK4560" s="153"/>
      <c r="BL4560" s="153"/>
      <c r="BM4560" s="153"/>
      <c r="BN4560" s="153"/>
      <c r="BO4560" s="153"/>
      <c r="BP4560" s="153"/>
      <c r="BQ4560" s="153"/>
      <c r="BR4560" s="153"/>
      <c r="BS4560" s="153"/>
      <c r="BT4560" s="153"/>
      <c r="BU4560" s="153"/>
      <c r="BV4560" s="153"/>
      <c r="BW4560" s="153"/>
      <c r="BX4560" s="153"/>
      <c r="BY4560" s="153"/>
      <c r="BZ4560" s="153"/>
      <c r="CA4560" s="152"/>
      <c r="CB4560" s="152"/>
    </row>
    <row r="4561" spans="1:80" s="87" customFormat="1" x14ac:dyDescent="0.2">
      <c r="A4561" s="152"/>
      <c r="B4561" s="683"/>
      <c r="C4561" s="683"/>
      <c r="D4561" s="698"/>
      <c r="E4561" s="215"/>
      <c r="F4561" s="215"/>
      <c r="G4561" s="153"/>
      <c r="H4561" s="153"/>
      <c r="I4561" s="222">
        <v>20</v>
      </c>
      <c r="J4561" s="222">
        <v>60</v>
      </c>
      <c r="K4561" s="150">
        <v>1</v>
      </c>
      <c r="L4561" s="656">
        <v>20</v>
      </c>
      <c r="M4561" s="663">
        <v>34480</v>
      </c>
      <c r="N4561" s="600">
        <v>7.1631099999999996</v>
      </c>
      <c r="O4561" s="604">
        <v>0.14169200000000001</v>
      </c>
      <c r="P4561" s="250"/>
      <c r="Q4561" s="250"/>
      <c r="R4561" s="250"/>
      <c r="S4561" s="250">
        <v>5.0000000000000001E-3</v>
      </c>
      <c r="T4561" s="250">
        <v>0.113</v>
      </c>
      <c r="U4561" s="250">
        <v>0.40600000000000003</v>
      </c>
      <c r="V4561" s="250">
        <v>0.39700000000000002</v>
      </c>
      <c r="W4561" s="250">
        <v>6.7000000000000004E-2</v>
      </c>
      <c r="X4561" s="250">
        <v>1.1000000000000001E-2</v>
      </c>
      <c r="Y4561" s="250">
        <v>1E-3</v>
      </c>
      <c r="Z4561" s="150"/>
      <c r="AA4561" s="150">
        <v>2.08</v>
      </c>
      <c r="AB4561" s="152"/>
      <c r="AC4561" s="152"/>
      <c r="AD4561" s="223"/>
      <c r="AE4561" s="223"/>
      <c r="AF4561" s="223"/>
      <c r="AG4561" s="223"/>
      <c r="AH4561" s="341"/>
      <c r="AI4561" s="218"/>
      <c r="AJ4561" s="218"/>
      <c r="AK4561" s="153"/>
      <c r="AL4561" s="152"/>
      <c r="AM4561" s="152"/>
      <c r="AN4561" s="152"/>
      <c r="AO4561" s="152"/>
      <c r="AP4561" s="152"/>
      <c r="AQ4561" s="152"/>
      <c r="AR4561" s="152"/>
      <c r="AS4561" s="152"/>
      <c r="AT4561" s="152"/>
      <c r="AU4561" s="153"/>
      <c r="AV4561" s="479"/>
      <c r="AW4561" s="479"/>
      <c r="AX4561" s="442"/>
      <c r="AY4561" s="153"/>
      <c r="AZ4561" s="152"/>
      <c r="BA4561" s="152"/>
      <c r="BB4561" s="152"/>
      <c r="BC4561" s="152"/>
      <c r="BD4561" s="152"/>
      <c r="BE4561" s="152"/>
      <c r="BF4561" s="152"/>
      <c r="BG4561" s="152"/>
      <c r="BH4561" s="152"/>
      <c r="BI4561" s="153"/>
      <c r="BJ4561" s="153"/>
      <c r="BK4561" s="153"/>
      <c r="BL4561" s="153"/>
      <c r="BM4561" s="153"/>
      <c r="BN4561" s="153"/>
      <c r="BO4561" s="153"/>
      <c r="BP4561" s="153"/>
      <c r="BQ4561" s="153"/>
      <c r="BR4561" s="153"/>
      <c r="BS4561" s="153"/>
      <c r="BT4561" s="153"/>
      <c r="BU4561" s="153"/>
      <c r="BV4561" s="153"/>
      <c r="BW4561" s="153"/>
      <c r="BX4561" s="153"/>
      <c r="BY4561" s="153"/>
      <c r="BZ4561" s="153"/>
      <c r="CA4561" s="152"/>
      <c r="CB4561" s="152"/>
    </row>
    <row r="4562" spans="1:80" s="87" customFormat="1" x14ac:dyDescent="0.2">
      <c r="A4562" s="152"/>
      <c r="B4562" s="683"/>
      <c r="C4562" s="683"/>
      <c r="D4562" s="698"/>
      <c r="E4562" s="215"/>
      <c r="F4562" s="215"/>
      <c r="G4562" s="153"/>
      <c r="H4562" s="153"/>
      <c r="I4562" s="222">
        <v>21</v>
      </c>
      <c r="J4562" s="222">
        <v>60</v>
      </c>
      <c r="K4562" s="150">
        <v>1</v>
      </c>
      <c r="L4562" s="656">
        <v>21</v>
      </c>
      <c r="M4562" s="663">
        <v>34486</v>
      </c>
      <c r="N4562" s="600">
        <v>9.5130700000000008</v>
      </c>
      <c r="O4562" s="604">
        <v>0.12175</v>
      </c>
      <c r="P4562" s="250"/>
      <c r="Q4562" s="250"/>
      <c r="R4562" s="250"/>
      <c r="S4562" s="250"/>
      <c r="T4562" s="250">
        <v>6.8000000000000005E-2</v>
      </c>
      <c r="U4562" s="250">
        <v>0.28199999999999997</v>
      </c>
      <c r="V4562" s="250">
        <v>0.435</v>
      </c>
      <c r="W4562" s="250">
        <v>0.17899999999999999</v>
      </c>
      <c r="X4562" s="250">
        <v>3.4000000000000002E-2</v>
      </c>
      <c r="Y4562" s="250">
        <v>2E-3</v>
      </c>
      <c r="Z4562" s="150"/>
      <c r="AA4562" s="150">
        <v>1.57</v>
      </c>
      <c r="AB4562" s="152"/>
      <c r="AC4562" s="152"/>
      <c r="AD4562" s="223"/>
      <c r="AE4562" s="223"/>
      <c r="AF4562" s="223"/>
      <c r="AG4562" s="223"/>
      <c r="AH4562" s="341"/>
      <c r="AI4562" s="218"/>
      <c r="AJ4562" s="218"/>
      <c r="AK4562" s="153"/>
      <c r="AL4562" s="152"/>
      <c r="AM4562" s="152"/>
      <c r="AN4562" s="152"/>
      <c r="AO4562" s="152"/>
      <c r="AP4562" s="152"/>
      <c r="AQ4562" s="152"/>
      <c r="AR4562" s="152"/>
      <c r="AS4562" s="152"/>
      <c r="AT4562" s="152"/>
      <c r="AU4562" s="153"/>
      <c r="AV4562" s="479"/>
      <c r="AW4562" s="479"/>
      <c r="AX4562" s="442"/>
      <c r="AY4562" s="153"/>
      <c r="AZ4562" s="152"/>
      <c r="BA4562" s="152"/>
      <c r="BB4562" s="152"/>
      <c r="BC4562" s="152"/>
      <c r="BD4562" s="152"/>
      <c r="BE4562" s="152"/>
      <c r="BF4562" s="152"/>
      <c r="BG4562" s="152"/>
      <c r="BH4562" s="152"/>
      <c r="BI4562" s="153"/>
      <c r="BJ4562" s="153"/>
      <c r="BK4562" s="153"/>
      <c r="BL4562" s="153"/>
      <c r="BM4562" s="153"/>
      <c r="BN4562" s="153"/>
      <c r="BO4562" s="153"/>
      <c r="BP4562" s="153"/>
      <c r="BQ4562" s="153"/>
      <c r="BR4562" s="153"/>
      <c r="BS4562" s="153"/>
      <c r="BT4562" s="153"/>
      <c r="BU4562" s="153"/>
      <c r="BV4562" s="153"/>
      <c r="BW4562" s="153"/>
      <c r="BX4562" s="153"/>
      <c r="BY4562" s="153"/>
      <c r="BZ4562" s="153"/>
      <c r="CA4562" s="152"/>
      <c r="CB4562" s="152"/>
    </row>
    <row r="4563" spans="1:80" s="87" customFormat="1" x14ac:dyDescent="0.2">
      <c r="A4563" s="152"/>
      <c r="B4563" s="683"/>
      <c r="C4563" s="683"/>
      <c r="D4563" s="698"/>
      <c r="E4563" s="215"/>
      <c r="F4563" s="215"/>
      <c r="G4563" s="153"/>
      <c r="H4563" s="153"/>
      <c r="I4563" s="222">
        <v>21</v>
      </c>
      <c r="J4563" s="222">
        <v>60</v>
      </c>
      <c r="K4563" s="150">
        <v>1</v>
      </c>
      <c r="L4563" s="656">
        <v>21</v>
      </c>
      <c r="M4563" s="663">
        <v>34486</v>
      </c>
      <c r="N4563" s="600">
        <v>9.5130700000000008</v>
      </c>
      <c r="O4563" s="604">
        <v>5.8041000000000002E-2</v>
      </c>
      <c r="P4563" s="250"/>
      <c r="Q4563" s="250"/>
      <c r="R4563" s="250"/>
      <c r="S4563" s="250">
        <v>2.6000000000000002E-2</v>
      </c>
      <c r="T4563" s="250">
        <v>0.184</v>
      </c>
      <c r="U4563" s="250">
        <v>0.28499999999999998</v>
      </c>
      <c r="V4563" s="250">
        <v>0.30199999999999999</v>
      </c>
      <c r="W4563" s="250">
        <v>0.14599999999999999</v>
      </c>
      <c r="X4563" s="250">
        <v>5.4000000000000006E-2</v>
      </c>
      <c r="Y4563" s="250">
        <v>3.0000000000000001E-3</v>
      </c>
      <c r="Z4563" s="150"/>
      <c r="AA4563" s="150">
        <v>1.98</v>
      </c>
      <c r="AB4563" s="152"/>
      <c r="AC4563" s="152"/>
      <c r="AD4563" s="223"/>
      <c r="AE4563" s="223"/>
      <c r="AF4563" s="223"/>
      <c r="AG4563" s="223"/>
      <c r="AH4563" s="341"/>
      <c r="AI4563" s="218"/>
      <c r="AJ4563" s="218"/>
      <c r="AK4563" s="153"/>
      <c r="AL4563" s="152"/>
      <c r="AM4563" s="152"/>
      <c r="AN4563" s="152"/>
      <c r="AO4563" s="152"/>
      <c r="AP4563" s="152"/>
      <c r="AQ4563" s="152"/>
      <c r="AR4563" s="152"/>
      <c r="AS4563" s="152"/>
      <c r="AT4563" s="152"/>
      <c r="AU4563" s="153"/>
      <c r="AV4563" s="479"/>
      <c r="AW4563" s="479"/>
      <c r="AX4563" s="442"/>
      <c r="AY4563" s="153"/>
      <c r="AZ4563" s="152"/>
      <c r="BA4563" s="152"/>
      <c r="BB4563" s="152"/>
      <c r="BC4563" s="152"/>
      <c r="BD4563" s="152"/>
      <c r="BE4563" s="152"/>
      <c r="BF4563" s="152"/>
      <c r="BG4563" s="152"/>
      <c r="BH4563" s="152"/>
      <c r="BI4563" s="153"/>
      <c r="BJ4563" s="153"/>
      <c r="BK4563" s="153"/>
      <c r="BL4563" s="153"/>
      <c r="BM4563" s="153"/>
      <c r="BN4563" s="153"/>
      <c r="BO4563" s="153"/>
      <c r="BP4563" s="153"/>
      <c r="BQ4563" s="153"/>
      <c r="BR4563" s="153"/>
      <c r="BS4563" s="153"/>
      <c r="BT4563" s="153"/>
      <c r="BU4563" s="153"/>
      <c r="BV4563" s="153"/>
      <c r="BW4563" s="153"/>
      <c r="BX4563" s="153"/>
      <c r="BY4563" s="153"/>
      <c r="BZ4563" s="153"/>
      <c r="CA4563" s="152"/>
      <c r="CB4563" s="152"/>
    </row>
    <row r="4564" spans="1:80" s="87" customFormat="1" x14ac:dyDescent="0.2">
      <c r="A4564" s="152"/>
      <c r="B4564" s="683"/>
      <c r="C4564" s="683"/>
      <c r="D4564" s="698"/>
      <c r="E4564" s="215"/>
      <c r="F4564" s="215"/>
      <c r="G4564" s="153"/>
      <c r="H4564" s="153"/>
      <c r="I4564" s="222">
        <v>19</v>
      </c>
      <c r="J4564" s="222">
        <v>60</v>
      </c>
      <c r="K4564" s="150">
        <v>1</v>
      </c>
      <c r="L4564" s="656">
        <v>19</v>
      </c>
      <c r="M4564" s="663">
        <v>34488</v>
      </c>
      <c r="N4564" s="600">
        <v>8.3522499999999997</v>
      </c>
      <c r="O4564" s="604">
        <v>3.2011999999999999E-2</v>
      </c>
      <c r="P4564" s="250"/>
      <c r="Q4564" s="250"/>
      <c r="R4564" s="250">
        <v>0.10099999999999999</v>
      </c>
      <c r="S4564" s="250">
        <v>3.5000000000000003E-2</v>
      </c>
      <c r="T4564" s="250">
        <v>6.6000000000000003E-2</v>
      </c>
      <c r="U4564" s="250">
        <v>6.7000000000000004E-2</v>
      </c>
      <c r="V4564" s="250">
        <v>0.19</v>
      </c>
      <c r="W4564" s="250">
        <v>0.37200000000000005</v>
      </c>
      <c r="X4564" s="250">
        <v>0.16300000000000001</v>
      </c>
      <c r="Y4564" s="250">
        <v>6.0000000000000001E-3</v>
      </c>
      <c r="Z4564" s="150"/>
      <c r="AA4564" s="150">
        <v>0.93</v>
      </c>
      <c r="AB4564" s="152"/>
      <c r="AC4564" s="152"/>
      <c r="AD4564" s="223"/>
      <c r="AE4564" s="223"/>
      <c r="AF4564" s="223"/>
      <c r="AG4564" s="223"/>
      <c r="AH4564" s="341"/>
      <c r="AI4564" s="218"/>
      <c r="AJ4564" s="218"/>
      <c r="AK4564" s="153"/>
      <c r="AL4564" s="152"/>
      <c r="AM4564" s="152"/>
      <c r="AN4564" s="152"/>
      <c r="AO4564" s="152"/>
      <c r="AP4564" s="152"/>
      <c r="AQ4564" s="152"/>
      <c r="AR4564" s="152"/>
      <c r="AS4564" s="152"/>
      <c r="AT4564" s="152"/>
      <c r="AU4564" s="153"/>
      <c r="AV4564" s="479"/>
      <c r="AW4564" s="479"/>
      <c r="AX4564" s="442"/>
      <c r="AY4564" s="153"/>
      <c r="AZ4564" s="152"/>
      <c r="BA4564" s="152"/>
      <c r="BB4564" s="152"/>
      <c r="BC4564" s="152"/>
      <c r="BD4564" s="152"/>
      <c r="BE4564" s="152"/>
      <c r="BF4564" s="152"/>
      <c r="BG4564" s="152"/>
      <c r="BH4564" s="152"/>
      <c r="BI4564" s="153"/>
      <c r="BJ4564" s="153"/>
      <c r="BK4564" s="153"/>
      <c r="BL4564" s="153"/>
      <c r="BM4564" s="153"/>
      <c r="BN4564" s="153"/>
      <c r="BO4564" s="153"/>
      <c r="BP4564" s="153"/>
      <c r="BQ4564" s="153"/>
      <c r="BR4564" s="153"/>
      <c r="BS4564" s="153"/>
      <c r="BT4564" s="153"/>
      <c r="BU4564" s="153"/>
      <c r="BV4564" s="153"/>
      <c r="BW4564" s="153"/>
      <c r="BX4564" s="153"/>
      <c r="BY4564" s="153"/>
      <c r="BZ4564" s="153"/>
      <c r="CA4564" s="152"/>
      <c r="CB4564" s="152"/>
    </row>
    <row r="4565" spans="1:80" s="87" customFormat="1" x14ac:dyDescent="0.2">
      <c r="A4565" s="152"/>
      <c r="B4565" s="683"/>
      <c r="C4565" s="683"/>
      <c r="D4565" s="698"/>
      <c r="E4565" s="215"/>
      <c r="F4565" s="215"/>
      <c r="G4565" s="153"/>
      <c r="H4565" s="153"/>
      <c r="I4565" s="222">
        <v>19</v>
      </c>
      <c r="J4565" s="222">
        <v>60</v>
      </c>
      <c r="K4565" s="150">
        <v>1</v>
      </c>
      <c r="L4565" s="656">
        <v>19</v>
      </c>
      <c r="M4565" s="663">
        <v>34488</v>
      </c>
      <c r="N4565" s="600">
        <v>8.3522499999999997</v>
      </c>
      <c r="O4565" s="604">
        <v>1.3539000000000001E-2</v>
      </c>
      <c r="P4565" s="250"/>
      <c r="Q4565" s="250"/>
      <c r="R4565" s="250"/>
      <c r="S4565" s="250">
        <v>0.11</v>
      </c>
      <c r="T4565" s="250">
        <v>0.221</v>
      </c>
      <c r="U4565" s="250">
        <v>0.129</v>
      </c>
      <c r="V4565" s="250">
        <v>0.187</v>
      </c>
      <c r="W4565" s="250">
        <v>0.20600000000000002</v>
      </c>
      <c r="X4565" s="250">
        <v>0.13500000000000001</v>
      </c>
      <c r="Y4565" s="250">
        <v>1.2E-2</v>
      </c>
      <c r="Z4565" s="150"/>
      <c r="AA4565" s="150">
        <v>1.72</v>
      </c>
      <c r="AB4565" s="152"/>
      <c r="AC4565" s="152"/>
      <c r="AD4565" s="223"/>
      <c r="AE4565" s="223"/>
      <c r="AF4565" s="223"/>
      <c r="AG4565" s="223"/>
      <c r="AH4565" s="341"/>
      <c r="AI4565" s="218"/>
      <c r="AJ4565" s="218"/>
      <c r="AK4565" s="153"/>
      <c r="AL4565" s="152"/>
      <c r="AM4565" s="152"/>
      <c r="AN4565" s="152"/>
      <c r="AO4565" s="152"/>
      <c r="AP4565" s="152"/>
      <c r="AQ4565" s="152"/>
      <c r="AR4565" s="152"/>
      <c r="AS4565" s="152"/>
      <c r="AT4565" s="152"/>
      <c r="AU4565" s="153"/>
      <c r="AV4565" s="479"/>
      <c r="AW4565" s="479"/>
      <c r="AX4565" s="442"/>
      <c r="AY4565" s="153"/>
      <c r="AZ4565" s="152"/>
      <c r="BA4565" s="152"/>
      <c r="BB4565" s="152"/>
      <c r="BC4565" s="152"/>
      <c r="BD4565" s="152"/>
      <c r="BE4565" s="152"/>
      <c r="BF4565" s="152"/>
      <c r="BG4565" s="152"/>
      <c r="BH4565" s="152"/>
      <c r="BI4565" s="153"/>
      <c r="BJ4565" s="153"/>
      <c r="BK4565" s="153"/>
      <c r="BL4565" s="153"/>
      <c r="BM4565" s="153"/>
      <c r="BN4565" s="153"/>
      <c r="BO4565" s="153"/>
      <c r="BP4565" s="153"/>
      <c r="BQ4565" s="153"/>
      <c r="BR4565" s="153"/>
      <c r="BS4565" s="153"/>
      <c r="BT4565" s="153"/>
      <c r="BU4565" s="153"/>
      <c r="BV4565" s="153"/>
      <c r="BW4565" s="153"/>
      <c r="BX4565" s="153"/>
      <c r="BY4565" s="153"/>
      <c r="BZ4565" s="153"/>
      <c r="CA4565" s="152"/>
      <c r="CB4565" s="152"/>
    </row>
    <row r="4566" spans="1:80" s="87" customFormat="1" x14ac:dyDescent="0.2">
      <c r="A4566" s="152"/>
      <c r="B4566" s="683"/>
      <c r="C4566" s="683"/>
      <c r="D4566" s="698"/>
      <c r="E4566" s="215"/>
      <c r="F4566" s="215"/>
      <c r="G4566" s="153"/>
      <c r="H4566" s="153"/>
      <c r="I4566" s="222">
        <v>20</v>
      </c>
      <c r="J4566" s="222">
        <v>60</v>
      </c>
      <c r="K4566" s="150">
        <v>1</v>
      </c>
      <c r="L4566" s="656">
        <v>20</v>
      </c>
      <c r="M4566" s="663">
        <v>34491</v>
      </c>
      <c r="N4566" s="600">
        <v>7.4745499999999998</v>
      </c>
      <c r="O4566" s="604">
        <v>1.8053E-2</v>
      </c>
      <c r="P4566" s="250"/>
      <c r="Q4566" s="250"/>
      <c r="R4566" s="250"/>
      <c r="S4566" s="250">
        <v>6.6000000000000003E-2</v>
      </c>
      <c r="T4566" s="250">
        <v>0.10300000000000001</v>
      </c>
      <c r="U4566" s="250">
        <v>0.11800000000000001</v>
      </c>
      <c r="V4566" s="250">
        <v>0.316</v>
      </c>
      <c r="W4566" s="250">
        <v>0.308</v>
      </c>
      <c r="X4566" s="250">
        <v>8.5999999999999993E-2</v>
      </c>
      <c r="Y4566" s="250">
        <v>3.0000000000000001E-3</v>
      </c>
      <c r="Z4566" s="150"/>
      <c r="AA4566" s="150">
        <v>1.25</v>
      </c>
      <c r="AB4566" s="152"/>
      <c r="AC4566" s="152"/>
      <c r="AD4566" s="223"/>
      <c r="AE4566" s="223"/>
      <c r="AF4566" s="223"/>
      <c r="AG4566" s="223"/>
      <c r="AH4566" s="341"/>
      <c r="AI4566" s="218"/>
      <c r="AJ4566" s="218"/>
      <c r="AK4566" s="153"/>
      <c r="AL4566" s="152"/>
      <c r="AM4566" s="152"/>
      <c r="AN4566" s="152"/>
      <c r="AO4566" s="152"/>
      <c r="AP4566" s="152"/>
      <c r="AQ4566" s="152"/>
      <c r="AR4566" s="152"/>
      <c r="AS4566" s="152"/>
      <c r="AT4566" s="152"/>
      <c r="AU4566" s="153"/>
      <c r="AV4566" s="479"/>
      <c r="AW4566" s="479"/>
      <c r="AX4566" s="442"/>
      <c r="AY4566" s="153"/>
      <c r="AZ4566" s="152"/>
      <c r="BA4566" s="152"/>
      <c r="BB4566" s="152"/>
      <c r="BC4566" s="152"/>
      <c r="BD4566" s="152"/>
      <c r="BE4566" s="152"/>
      <c r="BF4566" s="152"/>
      <c r="BG4566" s="152"/>
      <c r="BH4566" s="152"/>
      <c r="BI4566" s="153"/>
      <c r="BJ4566" s="153"/>
      <c r="BK4566" s="153"/>
      <c r="BL4566" s="153"/>
      <c r="BM4566" s="153"/>
      <c r="BN4566" s="153"/>
      <c r="BO4566" s="153"/>
      <c r="BP4566" s="153"/>
      <c r="BQ4566" s="153"/>
      <c r="BR4566" s="153"/>
      <c r="BS4566" s="153"/>
      <c r="BT4566" s="153"/>
      <c r="BU4566" s="153"/>
      <c r="BV4566" s="153"/>
      <c r="BW4566" s="153"/>
      <c r="BX4566" s="153"/>
      <c r="BY4566" s="153"/>
      <c r="BZ4566" s="153"/>
      <c r="CA4566" s="152"/>
      <c r="CB4566" s="152"/>
    </row>
    <row r="4567" spans="1:80" s="87" customFormat="1" x14ac:dyDescent="0.2">
      <c r="A4567" s="152"/>
      <c r="B4567" s="683"/>
      <c r="C4567" s="683"/>
      <c r="D4567" s="698"/>
      <c r="E4567" s="215"/>
      <c r="F4567" s="215"/>
      <c r="G4567" s="153"/>
      <c r="H4567" s="153"/>
      <c r="I4567" s="222">
        <v>20</v>
      </c>
      <c r="J4567" s="222">
        <v>60</v>
      </c>
      <c r="K4567" s="150">
        <v>1</v>
      </c>
      <c r="L4567" s="656">
        <v>20</v>
      </c>
      <c r="M4567" s="663">
        <v>34491</v>
      </c>
      <c r="N4567" s="600">
        <v>7.4745499999999998</v>
      </c>
      <c r="O4567" s="604">
        <v>8.397E-3</v>
      </c>
      <c r="P4567" s="250"/>
      <c r="Q4567" s="250"/>
      <c r="R4567" s="250"/>
      <c r="S4567" s="250">
        <v>3.9E-2</v>
      </c>
      <c r="T4567" s="250">
        <v>4.0999999999999995E-2</v>
      </c>
      <c r="U4567" s="250">
        <v>0.151</v>
      </c>
      <c r="V4567" s="250">
        <v>0.45299999999999996</v>
      </c>
      <c r="W4567" s="250">
        <v>0.26400000000000001</v>
      </c>
      <c r="X4567" s="250">
        <v>4.7E-2</v>
      </c>
      <c r="Y4567" s="250">
        <v>5.0000000000000001E-3</v>
      </c>
      <c r="Z4567" s="150"/>
      <c r="AA4567" s="150">
        <v>1.33</v>
      </c>
      <c r="AB4567" s="152"/>
      <c r="AC4567" s="152"/>
      <c r="AD4567" s="223"/>
      <c r="AE4567" s="223"/>
      <c r="AF4567" s="223"/>
      <c r="AG4567" s="223"/>
      <c r="AH4567" s="341"/>
      <c r="AI4567" s="218"/>
      <c r="AJ4567" s="218"/>
      <c r="AK4567" s="153"/>
      <c r="AL4567" s="152"/>
      <c r="AM4567" s="152"/>
      <c r="AN4567" s="152"/>
      <c r="AO4567" s="152"/>
      <c r="AP4567" s="152"/>
      <c r="AQ4567" s="152"/>
      <c r="AR4567" s="152"/>
      <c r="AS4567" s="152"/>
      <c r="AT4567" s="152"/>
      <c r="AU4567" s="153"/>
      <c r="AV4567" s="479"/>
      <c r="AW4567" s="479"/>
      <c r="AX4567" s="442"/>
      <c r="AY4567" s="153"/>
      <c r="AZ4567" s="152"/>
      <c r="BA4567" s="152"/>
      <c r="BB4567" s="152"/>
      <c r="BC4567" s="152"/>
      <c r="BD4567" s="152"/>
      <c r="BE4567" s="152"/>
      <c r="BF4567" s="152"/>
      <c r="BG4567" s="152"/>
      <c r="BH4567" s="152"/>
      <c r="BI4567" s="153"/>
      <c r="BJ4567" s="153"/>
      <c r="BK4567" s="153"/>
      <c r="BL4567" s="153"/>
      <c r="BM4567" s="153"/>
      <c r="BN4567" s="153"/>
      <c r="BO4567" s="153"/>
      <c r="BP4567" s="153"/>
      <c r="BQ4567" s="153"/>
      <c r="BR4567" s="153"/>
      <c r="BS4567" s="153"/>
      <c r="BT4567" s="153"/>
      <c r="BU4567" s="153"/>
      <c r="BV4567" s="153"/>
      <c r="BW4567" s="153"/>
      <c r="BX4567" s="153"/>
      <c r="BY4567" s="153"/>
      <c r="BZ4567" s="153"/>
      <c r="CA4567" s="152"/>
      <c r="CB4567" s="152"/>
    </row>
    <row r="4568" spans="1:80" s="87" customFormat="1" x14ac:dyDescent="0.2">
      <c r="A4568" s="152"/>
      <c r="B4568" s="683"/>
      <c r="C4568" s="683"/>
      <c r="D4568" s="698"/>
      <c r="E4568" s="215"/>
      <c r="F4568" s="215"/>
      <c r="G4568" s="153"/>
      <c r="H4568" s="153"/>
      <c r="I4568" s="222">
        <v>20</v>
      </c>
      <c r="J4568" s="222">
        <v>60</v>
      </c>
      <c r="K4568" s="150">
        <v>1</v>
      </c>
      <c r="L4568" s="656">
        <v>20</v>
      </c>
      <c r="M4568" s="663">
        <v>34498</v>
      </c>
      <c r="N4568" s="600">
        <v>7.1631099999999996</v>
      </c>
      <c r="O4568" s="604">
        <v>1.2489999999999999E-2</v>
      </c>
      <c r="P4568" s="250"/>
      <c r="Q4568" s="250"/>
      <c r="R4568" s="250"/>
      <c r="S4568" s="250"/>
      <c r="T4568" s="250">
        <v>0.10400000000000001</v>
      </c>
      <c r="U4568" s="250">
        <v>0.22500000000000001</v>
      </c>
      <c r="V4568" s="250">
        <v>0.32100000000000001</v>
      </c>
      <c r="W4568" s="250">
        <v>0.26100000000000001</v>
      </c>
      <c r="X4568" s="250">
        <v>8.3000000000000004E-2</v>
      </c>
      <c r="Y4568" s="250">
        <v>6.0000000000000001E-3</v>
      </c>
      <c r="Z4568" s="150"/>
      <c r="AA4568" s="150">
        <v>1.38</v>
      </c>
      <c r="AB4568" s="152"/>
      <c r="AC4568" s="152"/>
      <c r="AD4568" s="223"/>
      <c r="AE4568" s="223"/>
      <c r="AF4568" s="223"/>
      <c r="AG4568" s="223"/>
      <c r="AH4568" s="341"/>
      <c r="AI4568" s="218"/>
      <c r="AJ4568" s="218"/>
      <c r="AK4568" s="153"/>
      <c r="AL4568" s="152"/>
      <c r="AM4568" s="152"/>
      <c r="AN4568" s="152"/>
      <c r="AO4568" s="152"/>
      <c r="AP4568" s="152"/>
      <c r="AQ4568" s="152"/>
      <c r="AR4568" s="152"/>
      <c r="AS4568" s="152"/>
      <c r="AT4568" s="152"/>
      <c r="AU4568" s="153"/>
      <c r="AV4568" s="479"/>
      <c r="AW4568" s="479"/>
      <c r="AX4568" s="442"/>
      <c r="AY4568" s="153"/>
      <c r="AZ4568" s="152"/>
      <c r="BA4568" s="152"/>
      <c r="BB4568" s="152"/>
      <c r="BC4568" s="152"/>
      <c r="BD4568" s="152"/>
      <c r="BE4568" s="152"/>
      <c r="BF4568" s="152"/>
      <c r="BG4568" s="152"/>
      <c r="BH4568" s="152"/>
      <c r="BI4568" s="153"/>
      <c r="BJ4568" s="153"/>
      <c r="BK4568" s="153"/>
      <c r="BL4568" s="153"/>
      <c r="BM4568" s="153"/>
      <c r="BN4568" s="153"/>
      <c r="BO4568" s="153"/>
      <c r="BP4568" s="153"/>
      <c r="BQ4568" s="153"/>
      <c r="BR4568" s="153"/>
      <c r="BS4568" s="153"/>
      <c r="BT4568" s="153"/>
      <c r="BU4568" s="153"/>
      <c r="BV4568" s="153"/>
      <c r="BW4568" s="153"/>
      <c r="BX4568" s="153"/>
      <c r="BY4568" s="153"/>
      <c r="BZ4568" s="153"/>
      <c r="CA4568" s="152"/>
      <c r="CB4568" s="152"/>
    </row>
    <row r="4569" spans="1:80" s="87" customFormat="1" x14ac:dyDescent="0.2">
      <c r="A4569" s="152"/>
      <c r="B4569" s="683"/>
      <c r="C4569" s="683"/>
      <c r="D4569" s="698"/>
      <c r="E4569" s="215"/>
      <c r="F4569" s="215"/>
      <c r="G4569" s="153"/>
      <c r="H4569" s="153"/>
      <c r="I4569" s="222">
        <v>20</v>
      </c>
      <c r="J4569" s="222">
        <v>60</v>
      </c>
      <c r="K4569" s="150">
        <v>1</v>
      </c>
      <c r="L4569" s="656">
        <v>20</v>
      </c>
      <c r="M4569" s="663">
        <v>34498</v>
      </c>
      <c r="N4569" s="600">
        <v>7.1631099999999996</v>
      </c>
      <c r="O4569" s="604">
        <v>5.3530000000000001E-3</v>
      </c>
      <c r="P4569" s="250"/>
      <c r="Q4569" s="250"/>
      <c r="R4569" s="250"/>
      <c r="S4569" s="250"/>
      <c r="T4569" s="250">
        <v>0.22800000000000001</v>
      </c>
      <c r="U4569" s="250">
        <v>0.35600000000000004</v>
      </c>
      <c r="V4569" s="250">
        <v>0.251</v>
      </c>
      <c r="W4569" s="250">
        <v>0.115</v>
      </c>
      <c r="X4569" s="250">
        <v>4.0999999999999995E-2</v>
      </c>
      <c r="Y4569" s="250">
        <v>9.0000000000000011E-3</v>
      </c>
      <c r="Z4569" s="150"/>
      <c r="AA4569" s="150">
        <v>2.36</v>
      </c>
      <c r="AB4569" s="152"/>
      <c r="AC4569" s="152"/>
      <c r="AD4569" s="223"/>
      <c r="AE4569" s="223"/>
      <c r="AF4569" s="223"/>
      <c r="AG4569" s="223"/>
      <c r="AH4569" s="341"/>
      <c r="AI4569" s="218"/>
      <c r="AJ4569" s="218"/>
      <c r="AK4569" s="153"/>
      <c r="AL4569" s="152"/>
      <c r="AM4569" s="152"/>
      <c r="AN4569" s="152"/>
      <c r="AO4569" s="152"/>
      <c r="AP4569" s="152"/>
      <c r="AQ4569" s="152"/>
      <c r="AR4569" s="152"/>
      <c r="AS4569" s="152"/>
      <c r="AT4569" s="152"/>
      <c r="AU4569" s="153"/>
      <c r="AV4569" s="479"/>
      <c r="AW4569" s="479"/>
      <c r="AX4569" s="442"/>
      <c r="AY4569" s="153"/>
      <c r="AZ4569" s="152"/>
      <c r="BA4569" s="152"/>
      <c r="BB4569" s="152"/>
      <c r="BC4569" s="152"/>
      <c r="BD4569" s="152"/>
      <c r="BE4569" s="152"/>
      <c r="BF4569" s="152"/>
      <c r="BG4569" s="152"/>
      <c r="BH4569" s="152"/>
      <c r="BI4569" s="153"/>
      <c r="BJ4569" s="153"/>
      <c r="BK4569" s="153"/>
      <c r="BL4569" s="153"/>
      <c r="BM4569" s="153"/>
      <c r="BN4569" s="153"/>
      <c r="BO4569" s="153"/>
      <c r="BP4569" s="153"/>
      <c r="BQ4569" s="153"/>
      <c r="BR4569" s="153"/>
      <c r="BS4569" s="153"/>
      <c r="BT4569" s="153"/>
      <c r="BU4569" s="153"/>
      <c r="BV4569" s="153"/>
      <c r="BW4569" s="153"/>
      <c r="BX4569" s="153"/>
      <c r="BY4569" s="153"/>
      <c r="BZ4569" s="153"/>
      <c r="CA4569" s="152"/>
      <c r="CB4569" s="152"/>
    </row>
    <row r="4570" spans="1:80" s="87" customFormat="1" x14ac:dyDescent="0.2">
      <c r="A4570" s="152"/>
      <c r="B4570" s="683"/>
      <c r="C4570" s="683"/>
      <c r="D4570" s="698"/>
      <c r="E4570" s="215"/>
      <c r="F4570" s="215"/>
      <c r="G4570" s="153"/>
      <c r="H4570" s="153"/>
      <c r="I4570" s="222">
        <v>20</v>
      </c>
      <c r="J4570" s="222">
        <v>60</v>
      </c>
      <c r="K4570" s="150">
        <v>1</v>
      </c>
      <c r="L4570" s="656">
        <v>20</v>
      </c>
      <c r="M4570" s="663">
        <v>34821</v>
      </c>
      <c r="N4570" s="600">
        <v>7.5877999999999997</v>
      </c>
      <c r="O4570" s="604">
        <v>2.351E-2</v>
      </c>
      <c r="P4570" s="250"/>
      <c r="Q4570" s="250"/>
      <c r="R4570" s="250"/>
      <c r="S4570" s="250">
        <v>2.8999999999999998E-2</v>
      </c>
      <c r="T4570" s="250">
        <v>0.253</v>
      </c>
      <c r="U4570" s="250">
        <v>0.218</v>
      </c>
      <c r="V4570" s="250">
        <v>0.24399999999999999</v>
      </c>
      <c r="W4570" s="250">
        <v>0.191</v>
      </c>
      <c r="X4570" s="250">
        <v>5.9000000000000004E-2</v>
      </c>
      <c r="Y4570" s="250">
        <v>6.0000000000000001E-3</v>
      </c>
      <c r="Z4570" s="150">
        <v>11</v>
      </c>
      <c r="AA4570" s="150">
        <v>2</v>
      </c>
      <c r="AB4570" s="152"/>
      <c r="AC4570" s="152"/>
      <c r="AD4570" s="223"/>
      <c r="AE4570" s="223"/>
      <c r="AF4570" s="223"/>
      <c r="AG4570" s="223"/>
      <c r="AH4570" s="341"/>
      <c r="AI4570" s="218"/>
      <c r="AJ4570" s="218"/>
      <c r="AK4570" s="153"/>
      <c r="AL4570" s="152"/>
      <c r="AM4570" s="152"/>
      <c r="AN4570" s="152"/>
      <c r="AO4570" s="152"/>
      <c r="AP4570" s="152"/>
      <c r="AQ4570" s="152"/>
      <c r="AR4570" s="152"/>
      <c r="AS4570" s="152"/>
      <c r="AT4570" s="152"/>
      <c r="AU4570" s="153"/>
      <c r="AV4570" s="479"/>
      <c r="AW4570" s="479"/>
      <c r="AX4570" s="442"/>
      <c r="AY4570" s="153"/>
      <c r="AZ4570" s="152"/>
      <c r="BA4570" s="152"/>
      <c r="BB4570" s="152"/>
      <c r="BC4570" s="152"/>
      <c r="BD4570" s="152"/>
      <c r="BE4570" s="152"/>
      <c r="BF4570" s="152"/>
      <c r="BG4570" s="152"/>
      <c r="BH4570" s="152"/>
      <c r="BI4570" s="153"/>
      <c r="BJ4570" s="153"/>
      <c r="BK4570" s="153"/>
      <c r="BL4570" s="153"/>
      <c r="BM4570" s="153"/>
      <c r="BN4570" s="153"/>
      <c r="BO4570" s="153"/>
      <c r="BP4570" s="153"/>
      <c r="BQ4570" s="153"/>
      <c r="BR4570" s="153"/>
      <c r="BS4570" s="153"/>
      <c r="BT4570" s="153"/>
      <c r="BU4570" s="153"/>
      <c r="BV4570" s="153"/>
      <c r="BW4570" s="153"/>
      <c r="BX4570" s="153"/>
      <c r="BY4570" s="153"/>
      <c r="BZ4570" s="153"/>
      <c r="CA4570" s="152"/>
      <c r="CB4570" s="152"/>
    </row>
    <row r="4571" spans="1:80" s="87" customFormat="1" x14ac:dyDescent="0.2">
      <c r="A4571" s="152"/>
      <c r="B4571" s="683"/>
      <c r="C4571" s="683"/>
      <c r="D4571" s="698"/>
      <c r="E4571" s="215"/>
      <c r="F4571" s="215"/>
      <c r="G4571" s="153"/>
      <c r="H4571" s="153"/>
      <c r="I4571" s="222">
        <v>20</v>
      </c>
      <c r="J4571" s="222">
        <v>60</v>
      </c>
      <c r="K4571" s="150">
        <v>1</v>
      </c>
      <c r="L4571" s="656">
        <v>20</v>
      </c>
      <c r="M4571" s="663">
        <v>34821</v>
      </c>
      <c r="N4571" s="600">
        <v>7.5877999999999997</v>
      </c>
      <c r="O4571" s="604">
        <v>3.1489999999999999E-3</v>
      </c>
      <c r="P4571" s="250"/>
      <c r="Q4571" s="250"/>
      <c r="R4571" s="250"/>
      <c r="S4571" s="250"/>
      <c r="T4571" s="250">
        <v>0.12300000000000001</v>
      </c>
      <c r="U4571" s="250">
        <v>0.26500000000000001</v>
      </c>
      <c r="V4571" s="250">
        <v>0.29399999999999998</v>
      </c>
      <c r="W4571" s="250">
        <v>0.20499999999999999</v>
      </c>
      <c r="X4571" s="250">
        <v>9.8000000000000004E-2</v>
      </c>
      <c r="Y4571" s="250">
        <v>1.4999999999999999E-2</v>
      </c>
      <c r="Z4571" s="150">
        <v>6</v>
      </c>
      <c r="AA4571" s="150">
        <v>1.54</v>
      </c>
      <c r="AB4571" s="152"/>
      <c r="AC4571" s="152"/>
      <c r="AD4571" s="223"/>
      <c r="AE4571" s="223"/>
      <c r="AF4571" s="223"/>
      <c r="AG4571" s="223"/>
      <c r="AH4571" s="341"/>
      <c r="AI4571" s="218"/>
      <c r="AJ4571" s="218"/>
      <c r="AK4571" s="153"/>
      <c r="AL4571" s="152"/>
      <c r="AM4571" s="152"/>
      <c r="AN4571" s="152"/>
      <c r="AO4571" s="152"/>
      <c r="AP4571" s="152"/>
      <c r="AQ4571" s="152"/>
      <c r="AR4571" s="152"/>
      <c r="AS4571" s="152"/>
      <c r="AT4571" s="152"/>
      <c r="AU4571" s="153"/>
      <c r="AV4571" s="479"/>
      <c r="AW4571" s="479"/>
      <c r="AX4571" s="442"/>
      <c r="AY4571" s="153"/>
      <c r="AZ4571" s="152"/>
      <c r="BA4571" s="152"/>
      <c r="BB4571" s="152"/>
      <c r="BC4571" s="152"/>
      <c r="BD4571" s="152"/>
      <c r="BE4571" s="152"/>
      <c r="BF4571" s="152"/>
      <c r="BG4571" s="152"/>
      <c r="BH4571" s="152"/>
      <c r="BI4571" s="153"/>
      <c r="BJ4571" s="153"/>
      <c r="BK4571" s="153"/>
      <c r="BL4571" s="153"/>
      <c r="BM4571" s="153"/>
      <c r="BN4571" s="153"/>
      <c r="BO4571" s="153"/>
      <c r="BP4571" s="153"/>
      <c r="BQ4571" s="153"/>
      <c r="BR4571" s="153"/>
      <c r="BS4571" s="153"/>
      <c r="BT4571" s="153"/>
      <c r="BU4571" s="153"/>
      <c r="BV4571" s="153"/>
      <c r="BW4571" s="153"/>
      <c r="BX4571" s="153"/>
      <c r="BY4571" s="153"/>
      <c r="BZ4571" s="153"/>
      <c r="CA4571" s="152"/>
      <c r="CB4571" s="152"/>
    </row>
    <row r="4572" spans="1:80" s="87" customFormat="1" x14ac:dyDescent="0.2">
      <c r="A4572" s="152"/>
      <c r="B4572" s="683"/>
      <c r="C4572" s="683"/>
      <c r="D4572" s="698"/>
      <c r="E4572" s="215"/>
      <c r="F4572" s="215"/>
      <c r="G4572" s="153"/>
      <c r="H4572" s="153"/>
      <c r="I4572" s="222">
        <v>20</v>
      </c>
      <c r="J4572" s="222">
        <v>60</v>
      </c>
      <c r="K4572" s="150">
        <v>1</v>
      </c>
      <c r="L4572" s="656">
        <v>20</v>
      </c>
      <c r="M4572" s="663">
        <v>34822</v>
      </c>
      <c r="N4572" s="600">
        <v>7.8426200000000001</v>
      </c>
      <c r="O4572" s="604">
        <v>6.1190000000000001E-2</v>
      </c>
      <c r="P4572" s="250"/>
      <c r="Q4572" s="250"/>
      <c r="R4572" s="250"/>
      <c r="S4572" s="250"/>
      <c r="T4572" s="250">
        <v>3.1E-2</v>
      </c>
      <c r="U4572" s="250">
        <v>0.17899999999999999</v>
      </c>
      <c r="V4572" s="250">
        <v>0.41100000000000003</v>
      </c>
      <c r="W4572" s="250">
        <v>0.29199999999999998</v>
      </c>
      <c r="X4572" s="250">
        <v>6.5000000000000002E-2</v>
      </c>
      <c r="Y4572" s="250">
        <v>2.2000000000000002E-2</v>
      </c>
      <c r="Z4572" s="150">
        <v>7</v>
      </c>
      <c r="AA4572" s="150">
        <v>1.23</v>
      </c>
      <c r="AB4572" s="152"/>
      <c r="AC4572" s="152"/>
      <c r="AD4572" s="223"/>
      <c r="AE4572" s="223"/>
      <c r="AF4572" s="223"/>
      <c r="AG4572" s="223"/>
      <c r="AH4572" s="341"/>
      <c r="AI4572" s="218"/>
      <c r="AJ4572" s="218"/>
      <c r="AK4572" s="153"/>
      <c r="AL4572" s="152"/>
      <c r="AM4572" s="152"/>
      <c r="AN4572" s="152"/>
      <c r="AO4572" s="152"/>
      <c r="AP4572" s="152"/>
      <c r="AQ4572" s="152"/>
      <c r="AR4572" s="152"/>
      <c r="AS4572" s="152"/>
      <c r="AT4572" s="152"/>
      <c r="AU4572" s="153"/>
      <c r="AV4572" s="479"/>
      <c r="AW4572" s="479"/>
      <c r="AX4572" s="442"/>
      <c r="AY4572" s="153"/>
      <c r="AZ4572" s="152"/>
      <c r="BA4572" s="152"/>
      <c r="BB4572" s="152"/>
      <c r="BC4572" s="152"/>
      <c r="BD4572" s="152"/>
      <c r="BE4572" s="152"/>
      <c r="BF4572" s="152"/>
      <c r="BG4572" s="152"/>
      <c r="BH4572" s="152"/>
      <c r="BI4572" s="153"/>
      <c r="BJ4572" s="153"/>
      <c r="BK4572" s="153"/>
      <c r="BL4572" s="153"/>
      <c r="BM4572" s="153"/>
      <c r="BN4572" s="153"/>
      <c r="BO4572" s="153"/>
      <c r="BP4572" s="153"/>
      <c r="BQ4572" s="153"/>
      <c r="BR4572" s="153"/>
      <c r="BS4572" s="153"/>
      <c r="BT4572" s="153"/>
      <c r="BU4572" s="153"/>
      <c r="BV4572" s="153"/>
      <c r="BW4572" s="153"/>
      <c r="BX4572" s="153"/>
      <c r="BY4572" s="153"/>
      <c r="BZ4572" s="153"/>
      <c r="CA4572" s="152"/>
      <c r="CB4572" s="152"/>
    </row>
    <row r="4573" spans="1:80" s="87" customFormat="1" x14ac:dyDescent="0.2">
      <c r="A4573" s="152"/>
      <c r="B4573" s="683"/>
      <c r="C4573" s="683"/>
      <c r="D4573" s="698"/>
      <c r="E4573" s="215"/>
      <c r="F4573" s="215"/>
      <c r="G4573" s="153"/>
      <c r="H4573" s="153"/>
      <c r="I4573" s="222">
        <v>20</v>
      </c>
      <c r="J4573" s="222">
        <v>60</v>
      </c>
      <c r="K4573" s="150">
        <v>1</v>
      </c>
      <c r="L4573" s="656">
        <v>20</v>
      </c>
      <c r="M4573" s="663">
        <v>34822</v>
      </c>
      <c r="N4573" s="600">
        <v>7.8426200000000001</v>
      </c>
      <c r="O4573" s="604">
        <v>1.5639E-2</v>
      </c>
      <c r="P4573" s="250"/>
      <c r="Q4573" s="250"/>
      <c r="R4573" s="250"/>
      <c r="S4573" s="250">
        <v>3.7999999999999999E-2</v>
      </c>
      <c r="T4573" s="250">
        <v>0.155</v>
      </c>
      <c r="U4573" s="250">
        <v>0.254</v>
      </c>
      <c r="V4573" s="250">
        <v>0.24</v>
      </c>
      <c r="W4573" s="250">
        <v>0.21</v>
      </c>
      <c r="X4573" s="250">
        <v>9.1999999999999998E-2</v>
      </c>
      <c r="Y4573" s="250">
        <v>1.1000000000000001E-2</v>
      </c>
      <c r="Z4573" s="150">
        <v>10</v>
      </c>
      <c r="AA4573" s="150">
        <v>1.72</v>
      </c>
      <c r="AB4573" s="152"/>
      <c r="AC4573" s="152"/>
      <c r="AD4573" s="223"/>
      <c r="AE4573" s="223"/>
      <c r="AF4573" s="223"/>
      <c r="AG4573" s="223"/>
      <c r="AH4573" s="341"/>
      <c r="AI4573" s="218"/>
      <c r="AJ4573" s="218"/>
      <c r="AK4573" s="153"/>
      <c r="AL4573" s="152"/>
      <c r="AM4573" s="152"/>
      <c r="AN4573" s="152"/>
      <c r="AO4573" s="152"/>
      <c r="AP4573" s="152"/>
      <c r="AQ4573" s="152"/>
      <c r="AR4573" s="152"/>
      <c r="AS4573" s="152"/>
      <c r="AT4573" s="152"/>
      <c r="AU4573" s="153"/>
      <c r="AV4573" s="479"/>
      <c r="AW4573" s="479"/>
      <c r="AX4573" s="442"/>
      <c r="AY4573" s="153"/>
      <c r="AZ4573" s="152"/>
      <c r="BA4573" s="152"/>
      <c r="BB4573" s="152"/>
      <c r="BC4573" s="152"/>
      <c r="BD4573" s="152"/>
      <c r="BE4573" s="152"/>
      <c r="BF4573" s="152"/>
      <c r="BG4573" s="152"/>
      <c r="BH4573" s="152"/>
      <c r="BI4573" s="153"/>
      <c r="BJ4573" s="153"/>
      <c r="BK4573" s="153"/>
      <c r="BL4573" s="153"/>
      <c r="BM4573" s="153"/>
      <c r="BN4573" s="153"/>
      <c r="BO4573" s="153"/>
      <c r="BP4573" s="153"/>
      <c r="BQ4573" s="153"/>
      <c r="BR4573" s="153"/>
      <c r="BS4573" s="153"/>
      <c r="BT4573" s="153"/>
      <c r="BU4573" s="153"/>
      <c r="BV4573" s="153"/>
      <c r="BW4573" s="153"/>
      <c r="BX4573" s="153"/>
      <c r="BY4573" s="153"/>
      <c r="BZ4573" s="153"/>
      <c r="CA4573" s="152"/>
      <c r="CB4573" s="152"/>
    </row>
    <row r="4574" spans="1:80" s="87" customFormat="1" x14ac:dyDescent="0.2">
      <c r="A4574" s="152"/>
      <c r="B4574" s="683"/>
      <c r="C4574" s="683"/>
      <c r="D4574" s="698"/>
      <c r="E4574" s="215"/>
      <c r="F4574" s="215"/>
      <c r="G4574" s="153"/>
      <c r="H4574" s="153"/>
      <c r="I4574" s="222">
        <v>20</v>
      </c>
      <c r="J4574" s="222">
        <v>60</v>
      </c>
      <c r="K4574" s="150">
        <v>1</v>
      </c>
      <c r="L4574" s="656">
        <v>20</v>
      </c>
      <c r="M4574" s="663">
        <v>34828</v>
      </c>
      <c r="N4574" s="600">
        <v>10.532299999999999</v>
      </c>
      <c r="O4574" s="604">
        <v>7.7144000000000004E-2</v>
      </c>
      <c r="P4574" s="250"/>
      <c r="Q4574" s="250"/>
      <c r="R4574" s="250"/>
      <c r="S4574" s="250">
        <v>0.02</v>
      </c>
      <c r="T4574" s="250">
        <v>0.20100000000000001</v>
      </c>
      <c r="U4574" s="250">
        <v>0.30299999999999999</v>
      </c>
      <c r="V4574" s="250">
        <v>0.34200000000000003</v>
      </c>
      <c r="W4574" s="250">
        <v>9.6999999999999989E-2</v>
      </c>
      <c r="X4574" s="250">
        <v>3.1E-2</v>
      </c>
      <c r="Y4574" s="250">
        <v>6.0000000000000001E-3</v>
      </c>
      <c r="Z4574" s="150">
        <v>10</v>
      </c>
      <c r="AA4574" s="150">
        <v>2.11</v>
      </c>
      <c r="AB4574" s="152"/>
      <c r="AC4574" s="152"/>
      <c r="AD4574" s="223"/>
      <c r="AE4574" s="223"/>
      <c r="AF4574" s="223"/>
      <c r="AG4574" s="223"/>
      <c r="AH4574" s="341"/>
      <c r="AI4574" s="218"/>
      <c r="AJ4574" s="218"/>
      <c r="AK4574" s="153"/>
      <c r="AL4574" s="152"/>
      <c r="AM4574" s="152"/>
      <c r="AN4574" s="152"/>
      <c r="AO4574" s="152"/>
      <c r="AP4574" s="152"/>
      <c r="AQ4574" s="152"/>
      <c r="AR4574" s="152"/>
      <c r="AS4574" s="152"/>
      <c r="AT4574" s="152"/>
      <c r="AU4574" s="153"/>
      <c r="AV4574" s="479"/>
      <c r="AW4574" s="479"/>
      <c r="AX4574" s="442"/>
      <c r="AY4574" s="153"/>
      <c r="AZ4574" s="152"/>
      <c r="BA4574" s="152"/>
      <c r="BB4574" s="152"/>
      <c r="BC4574" s="152"/>
      <c r="BD4574" s="152"/>
      <c r="BE4574" s="152"/>
      <c r="BF4574" s="152"/>
      <c r="BG4574" s="152"/>
      <c r="BH4574" s="152"/>
      <c r="BI4574" s="153"/>
      <c r="BJ4574" s="153"/>
      <c r="BK4574" s="153"/>
      <c r="BL4574" s="153"/>
      <c r="BM4574" s="153"/>
      <c r="BN4574" s="153"/>
      <c r="BO4574" s="153"/>
      <c r="BP4574" s="153"/>
      <c r="BQ4574" s="153"/>
      <c r="BR4574" s="153"/>
      <c r="BS4574" s="153"/>
      <c r="BT4574" s="153"/>
      <c r="BU4574" s="153"/>
      <c r="BV4574" s="153"/>
      <c r="BW4574" s="153"/>
      <c r="BX4574" s="153"/>
      <c r="BY4574" s="153"/>
      <c r="BZ4574" s="153"/>
      <c r="CA4574" s="152"/>
      <c r="CB4574" s="152"/>
    </row>
    <row r="4575" spans="1:80" s="87" customFormat="1" x14ac:dyDescent="0.2">
      <c r="A4575" s="152"/>
      <c r="B4575" s="683"/>
      <c r="C4575" s="683"/>
      <c r="D4575" s="698"/>
      <c r="E4575" s="215"/>
      <c r="F4575" s="215"/>
      <c r="G4575" s="153"/>
      <c r="H4575" s="153"/>
      <c r="I4575" s="222">
        <v>20</v>
      </c>
      <c r="J4575" s="222">
        <v>60</v>
      </c>
      <c r="K4575" s="150">
        <v>1</v>
      </c>
      <c r="L4575" s="656">
        <v>20</v>
      </c>
      <c r="M4575" s="663">
        <v>34828</v>
      </c>
      <c r="N4575" s="600">
        <v>10.532299999999999</v>
      </c>
      <c r="O4575" s="604">
        <v>0.112304</v>
      </c>
      <c r="P4575" s="250"/>
      <c r="Q4575" s="250"/>
      <c r="R4575" s="250"/>
      <c r="S4575" s="250">
        <v>6.0999999999999999E-2</v>
      </c>
      <c r="T4575" s="250">
        <v>0.26200000000000001</v>
      </c>
      <c r="U4575" s="250">
        <v>0.27699999999999997</v>
      </c>
      <c r="V4575" s="250">
        <v>0.26500000000000001</v>
      </c>
      <c r="W4575" s="250">
        <v>0.106</v>
      </c>
      <c r="X4575" s="250">
        <v>2.6000000000000002E-2</v>
      </c>
      <c r="Y4575" s="250">
        <v>3.0000000000000001E-3</v>
      </c>
      <c r="Z4575" s="150">
        <v>14</v>
      </c>
      <c r="AA4575" s="150">
        <v>2.57</v>
      </c>
      <c r="AB4575" s="152"/>
      <c r="AC4575" s="152"/>
      <c r="AD4575" s="223"/>
      <c r="AE4575" s="223"/>
      <c r="AF4575" s="223"/>
      <c r="AG4575" s="223"/>
      <c r="AH4575" s="341"/>
      <c r="AI4575" s="218"/>
      <c r="AJ4575" s="218"/>
      <c r="AK4575" s="153"/>
      <c r="AL4575" s="152"/>
      <c r="AM4575" s="152"/>
      <c r="AN4575" s="152"/>
      <c r="AO4575" s="152"/>
      <c r="AP4575" s="152"/>
      <c r="AQ4575" s="152"/>
      <c r="AR4575" s="152"/>
      <c r="AS4575" s="152"/>
      <c r="AT4575" s="152"/>
      <c r="AU4575" s="153"/>
      <c r="AV4575" s="479"/>
      <c r="AW4575" s="479"/>
      <c r="AX4575" s="442"/>
      <c r="AY4575" s="153"/>
      <c r="AZ4575" s="152"/>
      <c r="BA4575" s="152"/>
      <c r="BB4575" s="152"/>
      <c r="BC4575" s="152"/>
      <c r="BD4575" s="152"/>
      <c r="BE4575" s="152"/>
      <c r="BF4575" s="152"/>
      <c r="BG4575" s="152"/>
      <c r="BH4575" s="152"/>
      <c r="BI4575" s="153"/>
      <c r="BJ4575" s="153"/>
      <c r="BK4575" s="153"/>
      <c r="BL4575" s="153"/>
      <c r="BM4575" s="153"/>
      <c r="BN4575" s="153"/>
      <c r="BO4575" s="153"/>
      <c r="BP4575" s="153"/>
      <c r="BQ4575" s="153"/>
      <c r="BR4575" s="153"/>
      <c r="BS4575" s="153"/>
      <c r="BT4575" s="153"/>
      <c r="BU4575" s="153"/>
      <c r="BV4575" s="153"/>
      <c r="BW4575" s="153"/>
      <c r="BX4575" s="153"/>
      <c r="BY4575" s="153"/>
      <c r="BZ4575" s="153"/>
      <c r="CA4575" s="152"/>
      <c r="CB4575" s="152"/>
    </row>
    <row r="4576" spans="1:80" s="87" customFormat="1" x14ac:dyDescent="0.2">
      <c r="A4576" s="152"/>
      <c r="B4576" s="683"/>
      <c r="C4576" s="683"/>
      <c r="D4576" s="698"/>
      <c r="E4576" s="215"/>
      <c r="F4576" s="215"/>
      <c r="G4576" s="153"/>
      <c r="H4576" s="153"/>
      <c r="I4576" s="222">
        <v>20</v>
      </c>
      <c r="J4576" s="222">
        <v>60</v>
      </c>
      <c r="K4576" s="150">
        <v>1</v>
      </c>
      <c r="L4576" s="656">
        <v>20</v>
      </c>
      <c r="M4576" s="663">
        <v>34829</v>
      </c>
      <c r="N4576" s="600">
        <v>11.2118</v>
      </c>
      <c r="O4576" s="604">
        <v>0.123849</v>
      </c>
      <c r="P4576" s="250"/>
      <c r="Q4576" s="250"/>
      <c r="R4576" s="250"/>
      <c r="S4576" s="250">
        <v>8.0000000000000002E-3</v>
      </c>
      <c r="T4576" s="250">
        <v>5.4000000000000006E-2</v>
      </c>
      <c r="U4576" s="250">
        <v>0.126</v>
      </c>
      <c r="V4576" s="250">
        <v>0.36700000000000005</v>
      </c>
      <c r="W4576" s="250">
        <v>0.316</v>
      </c>
      <c r="X4576" s="250">
        <v>0.11800000000000001</v>
      </c>
      <c r="Y4576" s="250">
        <v>1.1000000000000001E-2</v>
      </c>
      <c r="Z4576" s="150">
        <v>10</v>
      </c>
      <c r="AA4576" s="150">
        <v>1.1100000000000001</v>
      </c>
      <c r="AB4576" s="152"/>
      <c r="AC4576" s="152"/>
      <c r="AD4576" s="223"/>
      <c r="AE4576" s="223"/>
      <c r="AF4576" s="223"/>
      <c r="AG4576" s="223"/>
      <c r="AH4576" s="341"/>
      <c r="AI4576" s="218"/>
      <c r="AJ4576" s="218"/>
      <c r="AK4576" s="153"/>
      <c r="AL4576" s="152"/>
      <c r="AM4576" s="152"/>
      <c r="AN4576" s="152"/>
      <c r="AO4576" s="152"/>
      <c r="AP4576" s="152"/>
      <c r="AQ4576" s="152"/>
      <c r="AR4576" s="152"/>
      <c r="AS4576" s="152"/>
      <c r="AT4576" s="152"/>
      <c r="AU4576" s="153"/>
      <c r="AV4576" s="479"/>
      <c r="AW4576" s="479"/>
      <c r="AX4576" s="442"/>
      <c r="AY4576" s="153"/>
      <c r="AZ4576" s="152"/>
      <c r="BA4576" s="152"/>
      <c r="BB4576" s="152"/>
      <c r="BC4576" s="152"/>
      <c r="BD4576" s="152"/>
      <c r="BE4576" s="152"/>
      <c r="BF4576" s="152"/>
      <c r="BG4576" s="152"/>
      <c r="BH4576" s="152"/>
      <c r="BI4576" s="153"/>
      <c r="BJ4576" s="153"/>
      <c r="BK4576" s="153"/>
      <c r="BL4576" s="153"/>
      <c r="BM4576" s="153"/>
      <c r="BN4576" s="153"/>
      <c r="BO4576" s="153"/>
      <c r="BP4576" s="153"/>
      <c r="BQ4576" s="153"/>
      <c r="BR4576" s="153"/>
      <c r="BS4576" s="153"/>
      <c r="BT4576" s="153"/>
      <c r="BU4576" s="153"/>
      <c r="BV4576" s="153"/>
      <c r="BW4576" s="153"/>
      <c r="BX4576" s="153"/>
      <c r="BY4576" s="153"/>
      <c r="BZ4576" s="153"/>
      <c r="CA4576" s="152"/>
      <c r="CB4576" s="152"/>
    </row>
    <row r="4577" spans="1:80" s="87" customFormat="1" x14ac:dyDescent="0.2">
      <c r="A4577" s="152"/>
      <c r="B4577" s="683"/>
      <c r="C4577" s="683"/>
      <c r="D4577" s="698"/>
      <c r="E4577" s="215"/>
      <c r="F4577" s="215"/>
      <c r="G4577" s="153"/>
      <c r="H4577" s="153"/>
      <c r="I4577" s="222">
        <v>20</v>
      </c>
      <c r="J4577" s="222">
        <v>60</v>
      </c>
      <c r="K4577" s="150">
        <v>1</v>
      </c>
      <c r="L4577" s="656">
        <v>20</v>
      </c>
      <c r="M4577" s="663">
        <v>34829</v>
      </c>
      <c r="N4577" s="600">
        <v>11.2118</v>
      </c>
      <c r="O4577" s="604">
        <v>0.17737800000000001</v>
      </c>
      <c r="P4577" s="250"/>
      <c r="Q4577" s="250"/>
      <c r="R4577" s="250"/>
      <c r="S4577" s="250">
        <v>1.9E-2</v>
      </c>
      <c r="T4577" s="250">
        <v>0.13800000000000001</v>
      </c>
      <c r="U4577" s="250">
        <v>0.23399999999999999</v>
      </c>
      <c r="V4577" s="250">
        <v>0.35</v>
      </c>
      <c r="W4577" s="250">
        <v>0.21100000000000002</v>
      </c>
      <c r="X4577" s="250">
        <v>4.4000000000000004E-2</v>
      </c>
      <c r="Y4577" s="250">
        <v>4.0000000000000001E-3</v>
      </c>
      <c r="Z4577" s="150">
        <v>13</v>
      </c>
      <c r="AA4577" s="150">
        <v>1.61</v>
      </c>
      <c r="AB4577" s="152"/>
      <c r="AC4577" s="152"/>
      <c r="AD4577" s="223"/>
      <c r="AE4577" s="223"/>
      <c r="AF4577" s="223"/>
      <c r="AG4577" s="223"/>
      <c r="AH4577" s="341"/>
      <c r="AI4577" s="218"/>
      <c r="AJ4577" s="218"/>
      <c r="AK4577" s="153"/>
      <c r="AL4577" s="152"/>
      <c r="AM4577" s="152"/>
      <c r="AN4577" s="152"/>
      <c r="AO4577" s="152"/>
      <c r="AP4577" s="152"/>
      <c r="AQ4577" s="152"/>
      <c r="AR4577" s="152"/>
      <c r="AS4577" s="152"/>
      <c r="AT4577" s="152"/>
      <c r="AU4577" s="153"/>
      <c r="AV4577" s="479"/>
      <c r="AW4577" s="479"/>
      <c r="AX4577" s="442"/>
      <c r="AY4577" s="153"/>
      <c r="AZ4577" s="152"/>
      <c r="BA4577" s="152"/>
      <c r="BB4577" s="152"/>
      <c r="BC4577" s="152"/>
      <c r="BD4577" s="152"/>
      <c r="BE4577" s="152"/>
      <c r="BF4577" s="152"/>
      <c r="BG4577" s="152"/>
      <c r="BH4577" s="152"/>
      <c r="BI4577" s="153"/>
      <c r="BJ4577" s="153"/>
      <c r="BK4577" s="153"/>
      <c r="BL4577" s="153"/>
      <c r="BM4577" s="153"/>
      <c r="BN4577" s="153"/>
      <c r="BO4577" s="153"/>
      <c r="BP4577" s="153"/>
      <c r="BQ4577" s="153"/>
      <c r="BR4577" s="153"/>
      <c r="BS4577" s="153"/>
      <c r="BT4577" s="153"/>
      <c r="BU4577" s="153"/>
      <c r="BV4577" s="153"/>
      <c r="BW4577" s="153"/>
      <c r="BX4577" s="153"/>
      <c r="BY4577" s="153"/>
      <c r="BZ4577" s="153"/>
      <c r="CA4577" s="152"/>
      <c r="CB4577" s="152"/>
    </row>
    <row r="4578" spans="1:80" s="87" customFormat="1" x14ac:dyDescent="0.2">
      <c r="A4578" s="152"/>
      <c r="B4578" s="683"/>
      <c r="C4578" s="683"/>
      <c r="D4578" s="698"/>
      <c r="E4578" s="215"/>
      <c r="F4578" s="215"/>
      <c r="G4578" s="153"/>
      <c r="H4578" s="153"/>
      <c r="I4578" s="222">
        <v>20</v>
      </c>
      <c r="J4578" s="222">
        <v>45</v>
      </c>
      <c r="K4578" s="150">
        <v>1</v>
      </c>
      <c r="L4578" s="656">
        <v>15</v>
      </c>
      <c r="M4578" s="663">
        <v>34836</v>
      </c>
      <c r="N4578" s="600">
        <v>15.3172</v>
      </c>
      <c r="O4578" s="604">
        <v>7.5044E-2</v>
      </c>
      <c r="P4578" s="250"/>
      <c r="Q4578" s="250"/>
      <c r="R4578" s="250"/>
      <c r="S4578" s="250">
        <v>1.4999999999999999E-2</v>
      </c>
      <c r="T4578" s="250">
        <v>7.400000000000001E-2</v>
      </c>
      <c r="U4578" s="250">
        <v>0.16300000000000001</v>
      </c>
      <c r="V4578" s="250">
        <v>0.28800000000000003</v>
      </c>
      <c r="W4578" s="250">
        <v>0.23</v>
      </c>
      <c r="X4578" s="250">
        <v>0.18100000000000002</v>
      </c>
      <c r="Y4578" s="250">
        <v>4.9000000000000002E-2</v>
      </c>
      <c r="Z4578" s="150">
        <v>11</v>
      </c>
      <c r="AA4578" s="150">
        <v>1.1000000000000001</v>
      </c>
      <c r="AB4578" s="152"/>
      <c r="AC4578" s="152"/>
      <c r="AD4578" s="223"/>
      <c r="AE4578" s="223"/>
      <c r="AF4578" s="223"/>
      <c r="AG4578" s="223"/>
      <c r="AH4578" s="341"/>
      <c r="AI4578" s="218"/>
      <c r="AJ4578" s="218"/>
      <c r="AK4578" s="153"/>
      <c r="AL4578" s="152"/>
      <c r="AM4578" s="152"/>
      <c r="AN4578" s="152"/>
      <c r="AO4578" s="152"/>
      <c r="AP4578" s="152"/>
      <c r="AQ4578" s="152"/>
      <c r="AR4578" s="152"/>
      <c r="AS4578" s="152"/>
      <c r="AT4578" s="152"/>
      <c r="AU4578" s="153"/>
      <c r="AV4578" s="479"/>
      <c r="AW4578" s="479"/>
      <c r="AX4578" s="442"/>
      <c r="AY4578" s="153"/>
      <c r="AZ4578" s="152"/>
      <c r="BA4578" s="152"/>
      <c r="BB4578" s="152"/>
      <c r="BC4578" s="152"/>
      <c r="BD4578" s="152"/>
      <c r="BE4578" s="152"/>
      <c r="BF4578" s="152"/>
      <c r="BG4578" s="152"/>
      <c r="BH4578" s="152"/>
      <c r="BI4578" s="153"/>
      <c r="BJ4578" s="153"/>
      <c r="BK4578" s="153"/>
      <c r="BL4578" s="153"/>
      <c r="BM4578" s="153"/>
      <c r="BN4578" s="153"/>
      <c r="BO4578" s="153"/>
      <c r="BP4578" s="153"/>
      <c r="BQ4578" s="153"/>
      <c r="BR4578" s="153"/>
      <c r="BS4578" s="153"/>
      <c r="BT4578" s="153"/>
      <c r="BU4578" s="153"/>
      <c r="BV4578" s="153"/>
      <c r="BW4578" s="153"/>
      <c r="BX4578" s="153"/>
      <c r="BY4578" s="153"/>
      <c r="BZ4578" s="153"/>
      <c r="CA4578" s="152"/>
      <c r="CB4578" s="152"/>
    </row>
    <row r="4579" spans="1:80" s="87" customFormat="1" x14ac:dyDescent="0.2">
      <c r="A4579" s="152"/>
      <c r="B4579" s="683"/>
      <c r="C4579" s="683"/>
      <c r="D4579" s="698"/>
      <c r="E4579" s="215"/>
      <c r="F4579" s="215"/>
      <c r="G4579" s="153"/>
      <c r="H4579" s="153"/>
      <c r="I4579" s="222">
        <v>20</v>
      </c>
      <c r="J4579" s="222">
        <v>60</v>
      </c>
      <c r="K4579" s="150">
        <v>1</v>
      </c>
      <c r="L4579" s="656">
        <v>20</v>
      </c>
      <c r="M4579" s="663">
        <v>34836</v>
      </c>
      <c r="N4579" s="600">
        <v>15.3172</v>
      </c>
      <c r="O4579" s="604">
        <v>7.1686E-2</v>
      </c>
      <c r="P4579" s="250"/>
      <c r="Q4579" s="250"/>
      <c r="R4579" s="250"/>
      <c r="S4579" s="250">
        <v>4.0000000000000001E-3</v>
      </c>
      <c r="T4579" s="250">
        <v>0.05</v>
      </c>
      <c r="U4579" s="250">
        <v>0.14099999999999999</v>
      </c>
      <c r="V4579" s="250">
        <v>0.26600000000000001</v>
      </c>
      <c r="W4579" s="250">
        <v>0.27500000000000002</v>
      </c>
      <c r="X4579" s="250">
        <v>0.221</v>
      </c>
      <c r="Y4579" s="250">
        <v>4.2999999999999997E-2</v>
      </c>
      <c r="Z4579" s="150">
        <v>9</v>
      </c>
      <c r="AA4579" s="150">
        <v>0.91</v>
      </c>
      <c r="AB4579" s="152"/>
      <c r="AC4579" s="152"/>
      <c r="AD4579" s="223"/>
      <c r="AE4579" s="223"/>
      <c r="AF4579" s="223"/>
      <c r="AG4579" s="223"/>
      <c r="AH4579" s="341"/>
      <c r="AI4579" s="218"/>
      <c r="AJ4579" s="218"/>
      <c r="AK4579" s="153"/>
      <c r="AL4579" s="152"/>
      <c r="AM4579" s="152"/>
      <c r="AN4579" s="152"/>
      <c r="AO4579" s="152"/>
      <c r="AP4579" s="152"/>
      <c r="AQ4579" s="152"/>
      <c r="AR4579" s="152"/>
      <c r="AS4579" s="152"/>
      <c r="AT4579" s="152"/>
      <c r="AU4579" s="153"/>
      <c r="AV4579" s="479"/>
      <c r="AW4579" s="479"/>
      <c r="AX4579" s="442"/>
      <c r="AY4579" s="153"/>
      <c r="AZ4579" s="152"/>
      <c r="BA4579" s="152"/>
      <c r="BB4579" s="152"/>
      <c r="BC4579" s="152"/>
      <c r="BD4579" s="152"/>
      <c r="BE4579" s="152"/>
      <c r="BF4579" s="152"/>
      <c r="BG4579" s="152"/>
      <c r="BH4579" s="152"/>
      <c r="BI4579" s="153"/>
      <c r="BJ4579" s="153"/>
      <c r="BK4579" s="153"/>
      <c r="BL4579" s="153"/>
      <c r="BM4579" s="153"/>
      <c r="BN4579" s="153"/>
      <c r="BO4579" s="153"/>
      <c r="BP4579" s="153"/>
      <c r="BQ4579" s="153"/>
      <c r="BR4579" s="153"/>
      <c r="BS4579" s="153"/>
      <c r="BT4579" s="153"/>
      <c r="BU4579" s="153"/>
      <c r="BV4579" s="153"/>
      <c r="BW4579" s="153"/>
      <c r="BX4579" s="153"/>
      <c r="BY4579" s="153"/>
      <c r="BZ4579" s="153"/>
      <c r="CA4579" s="152"/>
      <c r="CB4579" s="152"/>
    </row>
    <row r="4580" spans="1:80" s="87" customFormat="1" x14ac:dyDescent="0.2">
      <c r="A4580" s="152"/>
      <c r="B4580" s="683"/>
      <c r="C4580" s="683"/>
      <c r="D4580" s="698"/>
      <c r="E4580" s="215"/>
      <c r="F4580" s="215"/>
      <c r="G4580" s="153"/>
      <c r="H4580" s="153"/>
      <c r="I4580" s="222">
        <v>20</v>
      </c>
      <c r="J4580" s="222">
        <v>60</v>
      </c>
      <c r="K4580" s="150">
        <v>1</v>
      </c>
      <c r="L4580" s="656">
        <v>20</v>
      </c>
      <c r="M4580" s="663">
        <v>34837</v>
      </c>
      <c r="N4580" s="600">
        <v>15.798500000000001</v>
      </c>
      <c r="O4580" s="604">
        <v>0.12175</v>
      </c>
      <c r="P4580" s="250"/>
      <c r="Q4580" s="250"/>
      <c r="R4580" s="250"/>
      <c r="S4580" s="250">
        <v>6.9999999999999993E-3</v>
      </c>
      <c r="T4580" s="250">
        <v>9.8000000000000004E-2</v>
      </c>
      <c r="U4580" s="250">
        <v>0.182</v>
      </c>
      <c r="V4580" s="250">
        <v>0.32799999999999996</v>
      </c>
      <c r="W4580" s="250">
        <v>0.21</v>
      </c>
      <c r="X4580" s="250">
        <v>0.14599999999999999</v>
      </c>
      <c r="Y4580" s="250">
        <v>2.8999999999999998E-2</v>
      </c>
      <c r="Z4580" s="150">
        <v>15</v>
      </c>
      <c r="AA4580" s="150">
        <v>1.28</v>
      </c>
      <c r="AB4580" s="152"/>
      <c r="AC4580" s="152"/>
      <c r="AD4580" s="223"/>
      <c r="AE4580" s="223"/>
      <c r="AF4580" s="223"/>
      <c r="AG4580" s="223"/>
      <c r="AH4580" s="341"/>
      <c r="AI4580" s="218"/>
      <c r="AJ4580" s="218"/>
      <c r="AK4580" s="153"/>
      <c r="AL4580" s="152"/>
      <c r="AM4580" s="152"/>
      <c r="AN4580" s="152"/>
      <c r="AO4580" s="152"/>
      <c r="AP4580" s="152"/>
      <c r="AQ4580" s="152"/>
      <c r="AR4580" s="152"/>
      <c r="AS4580" s="152"/>
      <c r="AT4580" s="152"/>
      <c r="AU4580" s="153"/>
      <c r="AV4580" s="479"/>
      <c r="AW4580" s="479"/>
      <c r="AX4580" s="442"/>
      <c r="AY4580" s="153"/>
      <c r="AZ4580" s="152"/>
      <c r="BA4580" s="152"/>
      <c r="BB4580" s="152"/>
      <c r="BC4580" s="152"/>
      <c r="BD4580" s="152"/>
      <c r="BE4580" s="152"/>
      <c r="BF4580" s="152"/>
      <c r="BG4580" s="152"/>
      <c r="BH4580" s="152"/>
      <c r="BI4580" s="153"/>
      <c r="BJ4580" s="153"/>
      <c r="BK4580" s="153"/>
      <c r="BL4580" s="153"/>
      <c r="BM4580" s="153"/>
      <c r="BN4580" s="153"/>
      <c r="BO4580" s="153"/>
      <c r="BP4580" s="153"/>
      <c r="BQ4580" s="153"/>
      <c r="BR4580" s="153"/>
      <c r="BS4580" s="153"/>
      <c r="BT4580" s="153"/>
      <c r="BU4580" s="153"/>
      <c r="BV4580" s="153"/>
      <c r="BW4580" s="153"/>
      <c r="BX4580" s="153"/>
      <c r="BY4580" s="153"/>
      <c r="BZ4580" s="153"/>
      <c r="CA4580" s="152"/>
      <c r="CB4580" s="152"/>
    </row>
    <row r="4581" spans="1:80" s="87" customFormat="1" x14ac:dyDescent="0.2">
      <c r="A4581" s="152"/>
      <c r="B4581" s="683"/>
      <c r="C4581" s="683"/>
      <c r="D4581" s="698"/>
      <c r="E4581" s="215"/>
      <c r="F4581" s="215"/>
      <c r="G4581" s="153"/>
      <c r="H4581" s="153"/>
      <c r="I4581" s="222">
        <v>20</v>
      </c>
      <c r="J4581" s="222">
        <v>60</v>
      </c>
      <c r="K4581" s="150">
        <v>1</v>
      </c>
      <c r="L4581" s="656">
        <v>20</v>
      </c>
      <c r="M4581" s="663">
        <v>34837</v>
      </c>
      <c r="N4581" s="600">
        <v>15.798500000000001</v>
      </c>
      <c r="O4581" s="604">
        <v>0.14064299999999999</v>
      </c>
      <c r="P4581" s="250"/>
      <c r="Q4581" s="250"/>
      <c r="R4581" s="250"/>
      <c r="S4581" s="250">
        <v>1.4999999999999999E-2</v>
      </c>
      <c r="T4581" s="250">
        <v>7.8E-2</v>
      </c>
      <c r="U4581" s="250">
        <v>0.20100000000000001</v>
      </c>
      <c r="V4581" s="250">
        <v>0.32200000000000001</v>
      </c>
      <c r="W4581" s="250">
        <v>0.22699999999999998</v>
      </c>
      <c r="X4581" s="250">
        <v>0.13300000000000001</v>
      </c>
      <c r="Y4581" s="250">
        <v>2.4E-2</v>
      </c>
      <c r="Z4581" s="150">
        <v>14</v>
      </c>
      <c r="AA4581" s="150">
        <v>1.28</v>
      </c>
      <c r="AB4581" s="152"/>
      <c r="AC4581" s="152"/>
      <c r="AD4581" s="223"/>
      <c r="AE4581" s="223"/>
      <c r="AF4581" s="223"/>
      <c r="AG4581" s="223"/>
      <c r="AH4581" s="341"/>
      <c r="AI4581" s="218"/>
      <c r="AJ4581" s="218"/>
      <c r="AK4581" s="153"/>
      <c r="AL4581" s="152"/>
      <c r="AM4581" s="152"/>
      <c r="AN4581" s="152"/>
      <c r="AO4581" s="152"/>
      <c r="AP4581" s="152"/>
      <c r="AQ4581" s="152"/>
      <c r="AR4581" s="152"/>
      <c r="AS4581" s="152"/>
      <c r="AT4581" s="152"/>
      <c r="AU4581" s="153"/>
      <c r="AV4581" s="479"/>
      <c r="AW4581" s="479"/>
      <c r="AX4581" s="442"/>
      <c r="AY4581" s="153"/>
      <c r="AZ4581" s="152"/>
      <c r="BA4581" s="152"/>
      <c r="BB4581" s="152"/>
      <c r="BC4581" s="152"/>
      <c r="BD4581" s="152"/>
      <c r="BE4581" s="152"/>
      <c r="BF4581" s="152"/>
      <c r="BG4581" s="152"/>
      <c r="BH4581" s="152"/>
      <c r="BI4581" s="153"/>
      <c r="BJ4581" s="153"/>
      <c r="BK4581" s="153"/>
      <c r="BL4581" s="153"/>
      <c r="BM4581" s="153"/>
      <c r="BN4581" s="153"/>
      <c r="BO4581" s="153"/>
      <c r="BP4581" s="153"/>
      <c r="BQ4581" s="153"/>
      <c r="BR4581" s="153"/>
      <c r="BS4581" s="153"/>
      <c r="BT4581" s="153"/>
      <c r="BU4581" s="153"/>
      <c r="BV4581" s="153"/>
      <c r="BW4581" s="153"/>
      <c r="BX4581" s="153"/>
      <c r="BY4581" s="153"/>
      <c r="BZ4581" s="153"/>
      <c r="CA4581" s="152"/>
      <c r="CB4581" s="152"/>
    </row>
    <row r="4582" spans="1:80" s="87" customFormat="1" x14ac:dyDescent="0.2">
      <c r="A4582" s="152"/>
      <c r="B4582" s="683"/>
      <c r="C4582" s="683"/>
      <c r="D4582" s="698"/>
      <c r="E4582" s="215"/>
      <c r="F4582" s="215"/>
      <c r="G4582" s="153"/>
      <c r="H4582" s="153"/>
      <c r="I4582" s="222">
        <v>20</v>
      </c>
      <c r="J4582" s="222">
        <v>60</v>
      </c>
      <c r="K4582" s="150">
        <v>1</v>
      </c>
      <c r="L4582" s="656">
        <v>20</v>
      </c>
      <c r="M4582" s="663">
        <v>34842</v>
      </c>
      <c r="N4582" s="600">
        <v>19.252600000000001</v>
      </c>
      <c r="O4582" s="604">
        <v>0.30857400000000001</v>
      </c>
      <c r="P4582" s="250"/>
      <c r="Q4582" s="250"/>
      <c r="R4582" s="250"/>
      <c r="S4582" s="250">
        <v>1.8000000000000002E-2</v>
      </c>
      <c r="T4582" s="250">
        <v>0.11800000000000001</v>
      </c>
      <c r="U4582" s="250">
        <v>0.218</v>
      </c>
      <c r="V4582" s="250">
        <v>0.35100000000000003</v>
      </c>
      <c r="W4582" s="250">
        <v>0.22899999999999998</v>
      </c>
      <c r="X4582" s="250">
        <v>5.9000000000000004E-2</v>
      </c>
      <c r="Y4582" s="250">
        <v>6.9999999999999993E-3</v>
      </c>
      <c r="Z4582" s="150">
        <v>12</v>
      </c>
      <c r="AA4582" s="150">
        <v>1.5</v>
      </c>
      <c r="AB4582" s="152"/>
      <c r="AC4582" s="152"/>
      <c r="AD4582" s="223"/>
      <c r="AE4582" s="223"/>
      <c r="AF4582" s="223"/>
      <c r="AG4582" s="223"/>
      <c r="AH4582" s="341"/>
      <c r="AI4582" s="218"/>
      <c r="AJ4582" s="218"/>
      <c r="AK4582" s="153"/>
      <c r="AL4582" s="152"/>
      <c r="AM4582" s="152"/>
      <c r="AN4582" s="152"/>
      <c r="AO4582" s="152"/>
      <c r="AP4582" s="152"/>
      <c r="AQ4582" s="152"/>
      <c r="AR4582" s="152"/>
      <c r="AS4582" s="152"/>
      <c r="AT4582" s="152"/>
      <c r="AU4582" s="153"/>
      <c r="AV4582" s="479"/>
      <c r="AW4582" s="479"/>
      <c r="AX4582" s="442"/>
      <c r="AY4582" s="153"/>
      <c r="AZ4582" s="152"/>
      <c r="BA4582" s="152"/>
      <c r="BB4582" s="152"/>
      <c r="BC4582" s="152"/>
      <c r="BD4582" s="152"/>
      <c r="BE4582" s="152"/>
      <c r="BF4582" s="152"/>
      <c r="BG4582" s="152"/>
      <c r="BH4582" s="152"/>
      <c r="BI4582" s="153"/>
      <c r="BJ4582" s="153"/>
      <c r="BK4582" s="153"/>
      <c r="BL4582" s="153"/>
      <c r="BM4582" s="153"/>
      <c r="BN4582" s="153"/>
      <c r="BO4582" s="153"/>
      <c r="BP4582" s="153"/>
      <c r="BQ4582" s="153"/>
      <c r="BR4582" s="153"/>
      <c r="BS4582" s="153"/>
      <c r="BT4582" s="153"/>
      <c r="BU4582" s="153"/>
      <c r="BV4582" s="153"/>
      <c r="BW4582" s="153"/>
      <c r="BX4582" s="153"/>
      <c r="BY4582" s="153"/>
      <c r="BZ4582" s="153"/>
      <c r="CA4582" s="152"/>
      <c r="CB4582" s="152"/>
    </row>
    <row r="4583" spans="1:80" s="87" customFormat="1" x14ac:dyDescent="0.2">
      <c r="A4583" s="152"/>
      <c r="B4583" s="683"/>
      <c r="C4583" s="683"/>
      <c r="D4583" s="698"/>
      <c r="E4583" s="215"/>
      <c r="F4583" s="215"/>
      <c r="G4583" s="153"/>
      <c r="H4583" s="153"/>
      <c r="I4583" s="222">
        <v>20</v>
      </c>
      <c r="J4583" s="222">
        <v>60</v>
      </c>
      <c r="K4583" s="150">
        <v>1</v>
      </c>
      <c r="L4583" s="656">
        <v>20</v>
      </c>
      <c r="M4583" s="663">
        <v>34842</v>
      </c>
      <c r="N4583" s="600">
        <v>19.252600000000001</v>
      </c>
      <c r="O4583" s="604">
        <v>0.38519300000000001</v>
      </c>
      <c r="P4583" s="250"/>
      <c r="Q4583" s="250"/>
      <c r="R4583" s="250"/>
      <c r="S4583" s="250">
        <v>3.7999999999999999E-2</v>
      </c>
      <c r="T4583" s="250">
        <v>0.161</v>
      </c>
      <c r="U4583" s="250">
        <v>0.30299999999999999</v>
      </c>
      <c r="V4583" s="250">
        <v>0.26200000000000001</v>
      </c>
      <c r="W4583" s="250">
        <v>0.16699999999999998</v>
      </c>
      <c r="X4583" s="250">
        <v>6.3E-2</v>
      </c>
      <c r="Y4583" s="250">
        <v>6.0000000000000001E-3</v>
      </c>
      <c r="Z4583" s="150">
        <v>15</v>
      </c>
      <c r="AA4583" s="150">
        <v>2.0099999999999998</v>
      </c>
      <c r="AB4583" s="152"/>
      <c r="AC4583" s="152"/>
      <c r="AD4583" s="223"/>
      <c r="AE4583" s="223"/>
      <c r="AF4583" s="223"/>
      <c r="AG4583" s="223"/>
      <c r="AH4583" s="341"/>
      <c r="AI4583" s="218"/>
      <c r="AJ4583" s="218"/>
      <c r="AK4583" s="153"/>
      <c r="AL4583" s="152"/>
      <c r="AM4583" s="152"/>
      <c r="AN4583" s="152"/>
      <c r="AO4583" s="152"/>
      <c r="AP4583" s="152"/>
      <c r="AQ4583" s="152"/>
      <c r="AR4583" s="152"/>
      <c r="AS4583" s="152"/>
      <c r="AT4583" s="152"/>
      <c r="AU4583" s="153"/>
      <c r="AV4583" s="479"/>
      <c r="AW4583" s="479"/>
      <c r="AX4583" s="442"/>
      <c r="AY4583" s="153"/>
      <c r="AZ4583" s="152"/>
      <c r="BA4583" s="152"/>
      <c r="BB4583" s="152"/>
      <c r="BC4583" s="152"/>
      <c r="BD4583" s="152"/>
      <c r="BE4583" s="152"/>
      <c r="BF4583" s="152"/>
      <c r="BG4583" s="152"/>
      <c r="BH4583" s="152"/>
      <c r="BI4583" s="153"/>
      <c r="BJ4583" s="153"/>
      <c r="BK4583" s="153"/>
      <c r="BL4583" s="153"/>
      <c r="BM4583" s="153"/>
      <c r="BN4583" s="153"/>
      <c r="BO4583" s="153"/>
      <c r="BP4583" s="153"/>
      <c r="BQ4583" s="153"/>
      <c r="BR4583" s="153"/>
      <c r="BS4583" s="153"/>
      <c r="BT4583" s="153"/>
      <c r="BU4583" s="153"/>
      <c r="BV4583" s="153"/>
      <c r="BW4583" s="153"/>
      <c r="BX4583" s="153"/>
      <c r="BY4583" s="153"/>
      <c r="BZ4583" s="153"/>
      <c r="CA4583" s="152"/>
      <c r="CB4583" s="152"/>
    </row>
    <row r="4584" spans="1:80" s="87" customFormat="1" x14ac:dyDescent="0.2">
      <c r="A4584" s="152"/>
      <c r="B4584" s="683"/>
      <c r="C4584" s="683"/>
      <c r="D4584" s="698"/>
      <c r="E4584" s="215"/>
      <c r="F4584" s="215"/>
      <c r="G4584" s="153"/>
      <c r="H4584" s="153"/>
      <c r="I4584" s="222">
        <v>20</v>
      </c>
      <c r="J4584" s="222">
        <v>60</v>
      </c>
      <c r="K4584" s="150">
        <v>1</v>
      </c>
      <c r="L4584" s="656">
        <v>20</v>
      </c>
      <c r="M4584" s="663">
        <v>34843</v>
      </c>
      <c r="N4584" s="600">
        <v>19.422499999999999</v>
      </c>
      <c r="O4584" s="604">
        <v>0.34845799999999999</v>
      </c>
      <c r="P4584" s="250"/>
      <c r="Q4584" s="250"/>
      <c r="R4584" s="250">
        <v>2.5000000000000001E-2</v>
      </c>
      <c r="S4584" s="250">
        <v>2.2000000000000002E-2</v>
      </c>
      <c r="T4584" s="250">
        <v>8.199999999999999E-2</v>
      </c>
      <c r="U4584" s="250">
        <v>0.20499999999999999</v>
      </c>
      <c r="V4584" s="250">
        <v>0.32299999999999995</v>
      </c>
      <c r="W4584" s="250">
        <v>0.25900000000000001</v>
      </c>
      <c r="X4584" s="250">
        <v>7.5999999999999998E-2</v>
      </c>
      <c r="Y4584" s="250">
        <v>8.0000000000000002E-3</v>
      </c>
      <c r="Z4584" s="150">
        <v>28</v>
      </c>
      <c r="AA4584" s="150">
        <v>1.4</v>
      </c>
      <c r="AB4584" s="152"/>
      <c r="AC4584" s="152"/>
      <c r="AD4584" s="223"/>
      <c r="AE4584" s="223"/>
      <c r="AF4584" s="223"/>
      <c r="AG4584" s="223"/>
      <c r="AH4584" s="341"/>
      <c r="AI4584" s="218"/>
      <c r="AJ4584" s="218"/>
      <c r="AK4584" s="153"/>
      <c r="AL4584" s="152"/>
      <c r="AM4584" s="152"/>
      <c r="AN4584" s="152"/>
      <c r="AO4584" s="152"/>
      <c r="AP4584" s="152"/>
      <c r="AQ4584" s="152"/>
      <c r="AR4584" s="152"/>
      <c r="AS4584" s="152"/>
      <c r="AT4584" s="152"/>
      <c r="AU4584" s="153"/>
      <c r="AV4584" s="479"/>
      <c r="AW4584" s="479"/>
      <c r="AX4584" s="442"/>
      <c r="AY4584" s="153"/>
      <c r="AZ4584" s="152"/>
      <c r="BA4584" s="152"/>
      <c r="BB4584" s="152"/>
      <c r="BC4584" s="152"/>
      <c r="BD4584" s="152"/>
      <c r="BE4584" s="152"/>
      <c r="BF4584" s="152"/>
      <c r="BG4584" s="152"/>
      <c r="BH4584" s="152"/>
      <c r="BI4584" s="153"/>
      <c r="BJ4584" s="153"/>
      <c r="BK4584" s="153"/>
      <c r="BL4584" s="153"/>
      <c r="BM4584" s="153"/>
      <c r="BN4584" s="153"/>
      <c r="BO4584" s="153"/>
      <c r="BP4584" s="153"/>
      <c r="BQ4584" s="153"/>
      <c r="BR4584" s="153"/>
      <c r="BS4584" s="153"/>
      <c r="BT4584" s="153"/>
      <c r="BU4584" s="153"/>
      <c r="BV4584" s="153"/>
      <c r="BW4584" s="153"/>
      <c r="BX4584" s="153"/>
      <c r="BY4584" s="153"/>
      <c r="BZ4584" s="153"/>
      <c r="CA4584" s="152"/>
      <c r="CB4584" s="152"/>
    </row>
    <row r="4585" spans="1:80" s="87" customFormat="1" x14ac:dyDescent="0.2">
      <c r="A4585" s="152"/>
      <c r="B4585" s="683"/>
      <c r="C4585" s="683"/>
      <c r="D4585" s="698"/>
      <c r="E4585" s="215"/>
      <c r="F4585" s="215"/>
      <c r="G4585" s="153"/>
      <c r="H4585" s="153"/>
      <c r="I4585" s="222">
        <v>20</v>
      </c>
      <c r="J4585" s="222">
        <v>60</v>
      </c>
      <c r="K4585" s="150">
        <v>1</v>
      </c>
      <c r="L4585" s="656">
        <v>20</v>
      </c>
      <c r="M4585" s="663">
        <v>34843</v>
      </c>
      <c r="N4585" s="600">
        <v>19.422499999999999</v>
      </c>
      <c r="O4585" s="604">
        <v>0.33376400000000001</v>
      </c>
      <c r="P4585" s="250"/>
      <c r="Q4585" s="250"/>
      <c r="R4585" s="250"/>
      <c r="S4585" s="250">
        <v>1.3000000000000001E-2</v>
      </c>
      <c r="T4585" s="250">
        <v>0.10300000000000001</v>
      </c>
      <c r="U4585" s="250">
        <v>0.22500000000000001</v>
      </c>
      <c r="V4585" s="250">
        <v>0.35700000000000004</v>
      </c>
      <c r="W4585" s="250">
        <v>0.22899999999999998</v>
      </c>
      <c r="X4585" s="250">
        <v>6.7000000000000004E-2</v>
      </c>
      <c r="Y4585" s="250">
        <v>6.0000000000000001E-3</v>
      </c>
      <c r="Z4585" s="150">
        <v>11</v>
      </c>
      <c r="AA4585" s="150">
        <v>1.47</v>
      </c>
      <c r="AB4585" s="152"/>
      <c r="AC4585" s="152"/>
      <c r="AD4585" s="223"/>
      <c r="AE4585" s="223"/>
      <c r="AF4585" s="223"/>
      <c r="AG4585" s="223"/>
      <c r="AH4585" s="341"/>
      <c r="AI4585" s="218"/>
      <c r="AJ4585" s="218"/>
      <c r="AK4585" s="153"/>
      <c r="AL4585" s="152"/>
      <c r="AM4585" s="152"/>
      <c r="AN4585" s="152"/>
      <c r="AO4585" s="152"/>
      <c r="AP4585" s="152"/>
      <c r="AQ4585" s="152"/>
      <c r="AR4585" s="152"/>
      <c r="AS4585" s="152"/>
      <c r="AT4585" s="152"/>
      <c r="AU4585" s="153"/>
      <c r="AV4585" s="479"/>
      <c r="AW4585" s="479"/>
      <c r="AX4585" s="442"/>
      <c r="AY4585" s="153"/>
      <c r="AZ4585" s="152"/>
      <c r="BA4585" s="152"/>
      <c r="BB4585" s="152"/>
      <c r="BC4585" s="152"/>
      <c r="BD4585" s="152"/>
      <c r="BE4585" s="152"/>
      <c r="BF4585" s="152"/>
      <c r="BG4585" s="152"/>
      <c r="BH4585" s="152"/>
      <c r="BI4585" s="153"/>
      <c r="BJ4585" s="153"/>
      <c r="BK4585" s="153"/>
      <c r="BL4585" s="153"/>
      <c r="BM4585" s="153"/>
      <c r="BN4585" s="153"/>
      <c r="BO4585" s="153"/>
      <c r="BP4585" s="153"/>
      <c r="BQ4585" s="153"/>
      <c r="BR4585" s="153"/>
      <c r="BS4585" s="153"/>
      <c r="BT4585" s="153"/>
      <c r="BU4585" s="153"/>
      <c r="BV4585" s="153"/>
      <c r="BW4585" s="153"/>
      <c r="BX4585" s="153"/>
      <c r="BY4585" s="153"/>
      <c r="BZ4585" s="153"/>
      <c r="CA4585" s="152"/>
      <c r="CB4585" s="152"/>
    </row>
    <row r="4586" spans="1:80" s="87" customFormat="1" x14ac:dyDescent="0.2">
      <c r="A4586" s="152"/>
      <c r="B4586" s="683"/>
      <c r="C4586" s="683"/>
      <c r="D4586" s="698"/>
      <c r="E4586" s="215"/>
      <c r="F4586" s="215"/>
      <c r="G4586" s="153"/>
      <c r="H4586" s="153"/>
      <c r="I4586" s="222">
        <v>20</v>
      </c>
      <c r="J4586" s="222">
        <v>60</v>
      </c>
      <c r="K4586" s="150">
        <v>1</v>
      </c>
      <c r="L4586" s="656">
        <v>20</v>
      </c>
      <c r="M4586" s="663">
        <v>34845</v>
      </c>
      <c r="N4586" s="600">
        <v>17.384</v>
      </c>
      <c r="O4586" s="604">
        <v>3.9988999999999997E-2</v>
      </c>
      <c r="P4586" s="250"/>
      <c r="Q4586" s="250"/>
      <c r="R4586" s="250"/>
      <c r="S4586" s="250"/>
      <c r="T4586" s="250">
        <v>3.1E-2</v>
      </c>
      <c r="U4586" s="250">
        <v>0.10300000000000001</v>
      </c>
      <c r="V4586" s="250">
        <v>0.30399999999999999</v>
      </c>
      <c r="W4586" s="250">
        <v>0.38700000000000001</v>
      </c>
      <c r="X4586" s="250">
        <v>0.156</v>
      </c>
      <c r="Y4586" s="250">
        <v>1.9E-2</v>
      </c>
      <c r="Z4586" s="150">
        <v>8</v>
      </c>
      <c r="AA4586" s="150">
        <v>0.89</v>
      </c>
      <c r="AB4586" s="152"/>
      <c r="AC4586" s="152"/>
      <c r="AD4586" s="223"/>
      <c r="AE4586" s="223"/>
      <c r="AF4586" s="223"/>
      <c r="AG4586" s="223"/>
      <c r="AH4586" s="341"/>
      <c r="AI4586" s="218"/>
      <c r="AJ4586" s="218"/>
      <c r="AK4586" s="153"/>
      <c r="AL4586" s="152"/>
      <c r="AM4586" s="152"/>
      <c r="AN4586" s="152"/>
      <c r="AO4586" s="152"/>
      <c r="AP4586" s="152"/>
      <c r="AQ4586" s="152"/>
      <c r="AR4586" s="152"/>
      <c r="AS4586" s="152"/>
      <c r="AT4586" s="152"/>
      <c r="AU4586" s="153"/>
      <c r="AV4586" s="479"/>
      <c r="AW4586" s="479"/>
      <c r="AX4586" s="442"/>
      <c r="AY4586" s="153"/>
      <c r="AZ4586" s="152"/>
      <c r="BA4586" s="152"/>
      <c r="BB4586" s="152"/>
      <c r="BC4586" s="152"/>
      <c r="BD4586" s="152"/>
      <c r="BE4586" s="152"/>
      <c r="BF4586" s="152"/>
      <c r="BG4586" s="152"/>
      <c r="BH4586" s="152"/>
      <c r="BI4586" s="153"/>
      <c r="BJ4586" s="153"/>
      <c r="BK4586" s="153"/>
      <c r="BL4586" s="153"/>
      <c r="BM4586" s="153"/>
      <c r="BN4586" s="153"/>
      <c r="BO4586" s="153"/>
      <c r="BP4586" s="153"/>
      <c r="BQ4586" s="153"/>
      <c r="BR4586" s="153"/>
      <c r="BS4586" s="153"/>
      <c r="BT4586" s="153"/>
      <c r="BU4586" s="153"/>
      <c r="BV4586" s="153"/>
      <c r="BW4586" s="153"/>
      <c r="BX4586" s="153"/>
      <c r="BY4586" s="153"/>
      <c r="BZ4586" s="153"/>
      <c r="CA4586" s="152"/>
      <c r="CB4586" s="152"/>
    </row>
    <row r="4587" spans="1:80" s="87" customFormat="1" x14ac:dyDescent="0.2">
      <c r="A4587" s="152"/>
      <c r="B4587" s="683"/>
      <c r="C4587" s="683"/>
      <c r="D4587" s="698"/>
      <c r="E4587" s="215"/>
      <c r="F4587" s="215"/>
      <c r="G4587" s="153"/>
      <c r="H4587" s="153"/>
      <c r="I4587" s="222">
        <v>20</v>
      </c>
      <c r="J4587" s="222">
        <v>60</v>
      </c>
      <c r="K4587" s="150">
        <v>1</v>
      </c>
      <c r="L4587" s="656">
        <v>20</v>
      </c>
      <c r="M4587" s="663">
        <v>34845</v>
      </c>
      <c r="N4587" s="600">
        <v>17.384</v>
      </c>
      <c r="O4587" s="604">
        <v>0.12594900000000001</v>
      </c>
      <c r="P4587" s="250"/>
      <c r="Q4587" s="250">
        <v>0.21600000000000003</v>
      </c>
      <c r="R4587" s="250">
        <v>0</v>
      </c>
      <c r="S4587" s="250">
        <v>9.0000000000000011E-3</v>
      </c>
      <c r="T4587" s="250">
        <v>8.6999999999999994E-2</v>
      </c>
      <c r="U4587" s="250">
        <v>0.13900000000000001</v>
      </c>
      <c r="V4587" s="250">
        <v>0.248</v>
      </c>
      <c r="W4587" s="250">
        <v>0.214</v>
      </c>
      <c r="X4587" s="250">
        <v>7.9000000000000001E-2</v>
      </c>
      <c r="Y4587" s="250">
        <v>8.0000000000000002E-3</v>
      </c>
      <c r="Z4587" s="150">
        <v>34</v>
      </c>
      <c r="AA4587" s="150">
        <v>1.74</v>
      </c>
      <c r="AB4587" s="152"/>
      <c r="AC4587" s="152"/>
      <c r="AD4587" s="223"/>
      <c r="AE4587" s="223"/>
      <c r="AF4587" s="223"/>
      <c r="AG4587" s="223"/>
      <c r="AH4587" s="341"/>
      <c r="AI4587" s="218"/>
      <c r="AJ4587" s="218"/>
      <c r="AK4587" s="153"/>
      <c r="AL4587" s="152"/>
      <c r="AM4587" s="152"/>
      <c r="AN4587" s="152"/>
      <c r="AO4587" s="152"/>
      <c r="AP4587" s="152"/>
      <c r="AQ4587" s="152"/>
      <c r="AR4587" s="152"/>
      <c r="AS4587" s="152"/>
      <c r="AT4587" s="152"/>
      <c r="AU4587" s="153"/>
      <c r="AV4587" s="479"/>
      <c r="AW4587" s="479"/>
      <c r="AX4587" s="442"/>
      <c r="AY4587" s="153"/>
      <c r="AZ4587" s="152"/>
      <c r="BA4587" s="152"/>
      <c r="BB4587" s="152"/>
      <c r="BC4587" s="152"/>
      <c r="BD4587" s="152"/>
      <c r="BE4587" s="152"/>
      <c r="BF4587" s="152"/>
      <c r="BG4587" s="152"/>
      <c r="BH4587" s="152"/>
      <c r="BI4587" s="153"/>
      <c r="BJ4587" s="153"/>
      <c r="BK4587" s="153"/>
      <c r="BL4587" s="153"/>
      <c r="BM4587" s="153"/>
      <c r="BN4587" s="153"/>
      <c r="BO4587" s="153"/>
      <c r="BP4587" s="153"/>
      <c r="BQ4587" s="153"/>
      <c r="BR4587" s="153"/>
      <c r="BS4587" s="153"/>
      <c r="BT4587" s="153"/>
      <c r="BU4587" s="153"/>
      <c r="BV4587" s="153"/>
      <c r="BW4587" s="153"/>
      <c r="BX4587" s="153"/>
      <c r="BY4587" s="153"/>
      <c r="BZ4587" s="153"/>
      <c r="CA4587" s="152"/>
      <c r="CB4587" s="152"/>
    </row>
    <row r="4588" spans="1:80" s="87" customFormat="1" x14ac:dyDescent="0.2">
      <c r="A4588" s="152"/>
      <c r="B4588" s="683"/>
      <c r="C4588" s="683"/>
      <c r="D4588" s="698"/>
      <c r="E4588" s="215"/>
      <c r="F4588" s="215"/>
      <c r="G4588" s="153"/>
      <c r="H4588" s="153"/>
      <c r="I4588" s="222">
        <v>20</v>
      </c>
      <c r="J4588" s="222">
        <v>30</v>
      </c>
      <c r="K4588" s="150">
        <v>1</v>
      </c>
      <c r="L4588" s="656">
        <v>10</v>
      </c>
      <c r="M4588" s="663">
        <v>34850</v>
      </c>
      <c r="N4588" s="600">
        <v>21.404399999999999</v>
      </c>
      <c r="O4588" s="604">
        <v>0.109155</v>
      </c>
      <c r="P4588" s="250"/>
      <c r="Q4588" s="250"/>
      <c r="R4588" s="250"/>
      <c r="S4588" s="250">
        <v>8.0000000000000002E-3</v>
      </c>
      <c r="T4588" s="250">
        <v>6.7000000000000004E-2</v>
      </c>
      <c r="U4588" s="250">
        <v>0.16899999999999998</v>
      </c>
      <c r="V4588" s="250">
        <v>0.30199999999999999</v>
      </c>
      <c r="W4588" s="250">
        <v>0.3</v>
      </c>
      <c r="X4588" s="250">
        <v>0.13800000000000001</v>
      </c>
      <c r="Y4588" s="250">
        <v>1.6E-2</v>
      </c>
      <c r="Z4588" s="150">
        <v>10</v>
      </c>
      <c r="AA4588" s="150">
        <v>1.1100000000000001</v>
      </c>
      <c r="AB4588" s="152"/>
      <c r="AC4588" s="152"/>
      <c r="AD4588" s="223"/>
      <c r="AE4588" s="223"/>
      <c r="AF4588" s="223"/>
      <c r="AG4588" s="223"/>
      <c r="AH4588" s="341"/>
      <c r="AI4588" s="218"/>
      <c r="AJ4588" s="218"/>
      <c r="AK4588" s="153"/>
      <c r="AL4588" s="152"/>
      <c r="AM4588" s="152"/>
      <c r="AN4588" s="152"/>
      <c r="AO4588" s="152"/>
      <c r="AP4588" s="152"/>
      <c r="AQ4588" s="152"/>
      <c r="AR4588" s="152"/>
      <c r="AS4588" s="152"/>
      <c r="AT4588" s="152"/>
      <c r="AU4588" s="153"/>
      <c r="AV4588" s="479"/>
      <c r="AW4588" s="479"/>
      <c r="AX4588" s="442"/>
      <c r="AY4588" s="153"/>
      <c r="AZ4588" s="152"/>
      <c r="BA4588" s="152"/>
      <c r="BB4588" s="152"/>
      <c r="BC4588" s="152"/>
      <c r="BD4588" s="152"/>
      <c r="BE4588" s="152"/>
      <c r="BF4588" s="152"/>
      <c r="BG4588" s="152"/>
      <c r="BH4588" s="152"/>
      <c r="BI4588" s="153"/>
      <c r="BJ4588" s="153"/>
      <c r="BK4588" s="153"/>
      <c r="BL4588" s="153"/>
      <c r="BM4588" s="153"/>
      <c r="BN4588" s="153"/>
      <c r="BO4588" s="153"/>
      <c r="BP4588" s="153"/>
      <c r="BQ4588" s="153"/>
      <c r="BR4588" s="153"/>
      <c r="BS4588" s="153"/>
      <c r="BT4588" s="153"/>
      <c r="BU4588" s="153"/>
      <c r="BV4588" s="153"/>
      <c r="BW4588" s="153"/>
      <c r="BX4588" s="153"/>
      <c r="BY4588" s="153"/>
      <c r="BZ4588" s="153"/>
      <c r="CA4588" s="152"/>
      <c r="CB4588" s="152"/>
    </row>
    <row r="4589" spans="1:80" s="87" customFormat="1" x14ac:dyDescent="0.2">
      <c r="A4589" s="152"/>
      <c r="B4589" s="683"/>
      <c r="C4589" s="683"/>
      <c r="D4589" s="698"/>
      <c r="E4589" s="215"/>
      <c r="F4589" s="215"/>
      <c r="G4589" s="153"/>
      <c r="H4589" s="153"/>
      <c r="I4589" s="222">
        <v>20</v>
      </c>
      <c r="J4589" s="222">
        <v>45</v>
      </c>
      <c r="K4589" s="150">
        <v>1</v>
      </c>
      <c r="L4589" s="656">
        <v>15</v>
      </c>
      <c r="M4589" s="663">
        <v>34850</v>
      </c>
      <c r="N4589" s="600">
        <v>21.404399999999999</v>
      </c>
      <c r="O4589" s="604">
        <v>0.19627</v>
      </c>
      <c r="P4589" s="250"/>
      <c r="Q4589" s="250"/>
      <c r="R4589" s="250"/>
      <c r="S4589" s="250">
        <v>0.06</v>
      </c>
      <c r="T4589" s="250">
        <v>0.13</v>
      </c>
      <c r="U4589" s="250">
        <v>0.20199999999999999</v>
      </c>
      <c r="V4589" s="250">
        <v>0.29600000000000004</v>
      </c>
      <c r="W4589" s="250">
        <v>0.22800000000000001</v>
      </c>
      <c r="X4589" s="250">
        <v>7.400000000000001E-2</v>
      </c>
      <c r="Y4589" s="250">
        <v>0.01</v>
      </c>
      <c r="Z4589" s="150">
        <v>15</v>
      </c>
      <c r="AA4589" s="150">
        <v>1.55</v>
      </c>
      <c r="AB4589" s="152"/>
      <c r="AC4589" s="152"/>
      <c r="AD4589" s="223"/>
      <c r="AE4589" s="223"/>
      <c r="AF4589" s="223"/>
      <c r="AG4589" s="223"/>
      <c r="AH4589" s="341"/>
      <c r="AI4589" s="218"/>
      <c r="AJ4589" s="218"/>
      <c r="AK4589" s="153"/>
      <c r="AL4589" s="152"/>
      <c r="AM4589" s="152"/>
      <c r="AN4589" s="152"/>
      <c r="AO4589" s="152"/>
      <c r="AP4589" s="152"/>
      <c r="AQ4589" s="152"/>
      <c r="AR4589" s="152"/>
      <c r="AS4589" s="152"/>
      <c r="AT4589" s="152"/>
      <c r="AU4589" s="153"/>
      <c r="AV4589" s="479"/>
      <c r="AW4589" s="479"/>
      <c r="AX4589" s="442"/>
      <c r="AY4589" s="153"/>
      <c r="AZ4589" s="152"/>
      <c r="BA4589" s="152"/>
      <c r="BB4589" s="152"/>
      <c r="BC4589" s="152"/>
      <c r="BD4589" s="152"/>
      <c r="BE4589" s="152"/>
      <c r="BF4589" s="152"/>
      <c r="BG4589" s="152"/>
      <c r="BH4589" s="152"/>
      <c r="BI4589" s="153"/>
      <c r="BJ4589" s="153"/>
      <c r="BK4589" s="153"/>
      <c r="BL4589" s="153"/>
      <c r="BM4589" s="153"/>
      <c r="BN4589" s="153"/>
      <c r="BO4589" s="153"/>
      <c r="BP4589" s="153"/>
      <c r="BQ4589" s="153"/>
      <c r="BR4589" s="153"/>
      <c r="BS4589" s="153"/>
      <c r="BT4589" s="153"/>
      <c r="BU4589" s="153"/>
      <c r="BV4589" s="153"/>
      <c r="BW4589" s="153"/>
      <c r="BX4589" s="153"/>
      <c r="BY4589" s="153"/>
      <c r="BZ4589" s="153"/>
      <c r="CA4589" s="152"/>
      <c r="CB4589" s="152"/>
    </row>
    <row r="4590" spans="1:80" s="87" customFormat="1" x14ac:dyDescent="0.2">
      <c r="A4590" s="152"/>
      <c r="B4590" s="683"/>
      <c r="C4590" s="683"/>
      <c r="D4590" s="698"/>
      <c r="E4590" s="215"/>
      <c r="F4590" s="215"/>
      <c r="G4590" s="153"/>
      <c r="H4590" s="153"/>
      <c r="I4590" s="222">
        <v>20</v>
      </c>
      <c r="J4590" s="222">
        <v>45</v>
      </c>
      <c r="K4590" s="150">
        <v>1</v>
      </c>
      <c r="L4590" s="656">
        <v>15</v>
      </c>
      <c r="M4590" s="663">
        <v>34851</v>
      </c>
      <c r="N4590" s="600">
        <v>21.6875</v>
      </c>
      <c r="O4590" s="604">
        <v>0.18157599999999999</v>
      </c>
      <c r="P4590" s="250"/>
      <c r="Q4590" s="250"/>
      <c r="R4590" s="250"/>
      <c r="S4590" s="250">
        <v>3.7999999999999999E-2</v>
      </c>
      <c r="T4590" s="250">
        <v>0.17899999999999999</v>
      </c>
      <c r="U4590" s="250">
        <v>0.17600000000000002</v>
      </c>
      <c r="V4590" s="250">
        <v>0.24600000000000002</v>
      </c>
      <c r="W4590" s="250">
        <v>0.223</v>
      </c>
      <c r="X4590" s="250">
        <v>0.12300000000000001</v>
      </c>
      <c r="Y4590" s="250">
        <v>1.4999999999999999E-2</v>
      </c>
      <c r="Z4590" s="150">
        <v>14</v>
      </c>
      <c r="AA4590" s="150">
        <v>1.48</v>
      </c>
      <c r="AB4590" s="152"/>
      <c r="AC4590" s="152"/>
      <c r="AD4590" s="223"/>
      <c r="AE4590" s="223"/>
      <c r="AF4590" s="223"/>
      <c r="AG4590" s="223"/>
      <c r="AH4590" s="341"/>
      <c r="AI4590" s="218"/>
      <c r="AJ4590" s="218"/>
      <c r="AK4590" s="153"/>
      <c r="AL4590" s="152"/>
      <c r="AM4590" s="152"/>
      <c r="AN4590" s="152"/>
      <c r="AO4590" s="152"/>
      <c r="AP4590" s="152"/>
      <c r="AQ4590" s="152"/>
      <c r="AR4590" s="152"/>
      <c r="AS4590" s="152"/>
      <c r="AT4590" s="152"/>
      <c r="AU4590" s="153"/>
      <c r="AV4590" s="479"/>
      <c r="AW4590" s="479"/>
      <c r="AX4590" s="442"/>
      <c r="AY4590" s="153"/>
      <c r="AZ4590" s="152"/>
      <c r="BA4590" s="152"/>
      <c r="BB4590" s="152"/>
      <c r="BC4590" s="152"/>
      <c r="BD4590" s="152"/>
      <c r="BE4590" s="152"/>
      <c r="BF4590" s="152"/>
      <c r="BG4590" s="152"/>
      <c r="BH4590" s="152"/>
      <c r="BI4590" s="153"/>
      <c r="BJ4590" s="153"/>
      <c r="BK4590" s="153"/>
      <c r="BL4590" s="153"/>
      <c r="BM4590" s="153"/>
      <c r="BN4590" s="153"/>
      <c r="BO4590" s="153"/>
      <c r="BP4590" s="153"/>
      <c r="BQ4590" s="153"/>
      <c r="BR4590" s="153"/>
      <c r="BS4590" s="153"/>
      <c r="BT4590" s="153"/>
      <c r="BU4590" s="153"/>
      <c r="BV4590" s="153"/>
      <c r="BW4590" s="153"/>
      <c r="BX4590" s="153"/>
      <c r="BY4590" s="153"/>
      <c r="BZ4590" s="153"/>
      <c r="CA4590" s="152"/>
      <c r="CB4590" s="152"/>
    </row>
    <row r="4591" spans="1:80" s="87" customFormat="1" x14ac:dyDescent="0.2">
      <c r="A4591" s="152"/>
      <c r="B4591" s="683"/>
      <c r="C4591" s="683"/>
      <c r="D4591" s="698"/>
      <c r="E4591" s="215"/>
      <c r="F4591" s="215"/>
      <c r="G4591" s="153"/>
      <c r="H4591" s="153"/>
      <c r="I4591" s="222">
        <v>20</v>
      </c>
      <c r="J4591" s="222">
        <v>45</v>
      </c>
      <c r="K4591" s="150">
        <v>1</v>
      </c>
      <c r="L4591" s="656">
        <v>15</v>
      </c>
      <c r="M4591" s="663">
        <v>34851</v>
      </c>
      <c r="N4591" s="600">
        <v>21.6875</v>
      </c>
      <c r="O4591" s="604">
        <v>0.149039</v>
      </c>
      <c r="P4591" s="250"/>
      <c r="Q4591" s="250"/>
      <c r="R4591" s="250">
        <v>9.4E-2</v>
      </c>
      <c r="S4591" s="250">
        <v>1.9E-2</v>
      </c>
      <c r="T4591" s="250">
        <v>0.10800000000000001</v>
      </c>
      <c r="U4591" s="250">
        <v>0.17</v>
      </c>
      <c r="V4591" s="250">
        <v>0.25800000000000001</v>
      </c>
      <c r="W4591" s="250">
        <v>0.22800000000000001</v>
      </c>
      <c r="X4591" s="250">
        <v>0.109</v>
      </c>
      <c r="Y4591" s="250">
        <v>1.3999999999999999E-2</v>
      </c>
      <c r="Z4591" s="150">
        <v>32</v>
      </c>
      <c r="AA4591" s="150">
        <v>1.49</v>
      </c>
      <c r="AB4591" s="152"/>
      <c r="AC4591" s="152"/>
      <c r="AD4591" s="223"/>
      <c r="AE4591" s="223"/>
      <c r="AF4591" s="223"/>
      <c r="AG4591" s="223"/>
      <c r="AH4591" s="341"/>
      <c r="AI4591" s="218"/>
      <c r="AJ4591" s="218"/>
      <c r="AK4591" s="153"/>
      <c r="AL4591" s="152"/>
      <c r="AM4591" s="152"/>
      <c r="AN4591" s="152"/>
      <c r="AO4591" s="152"/>
      <c r="AP4591" s="152"/>
      <c r="AQ4591" s="152"/>
      <c r="AR4591" s="152"/>
      <c r="AS4591" s="152"/>
      <c r="AT4591" s="152"/>
      <c r="AU4591" s="153"/>
      <c r="AV4591" s="479"/>
      <c r="AW4591" s="479"/>
      <c r="AX4591" s="442"/>
      <c r="AY4591" s="153"/>
      <c r="AZ4591" s="152"/>
      <c r="BA4591" s="152"/>
      <c r="BB4591" s="152"/>
      <c r="BC4591" s="152"/>
      <c r="BD4591" s="152"/>
      <c r="BE4591" s="152"/>
      <c r="BF4591" s="152"/>
      <c r="BG4591" s="152"/>
      <c r="BH4591" s="152"/>
      <c r="BI4591" s="153"/>
      <c r="BJ4591" s="153"/>
      <c r="BK4591" s="153"/>
      <c r="BL4591" s="153"/>
      <c r="BM4591" s="153"/>
      <c r="BN4591" s="153"/>
      <c r="BO4591" s="153"/>
      <c r="BP4591" s="153"/>
      <c r="BQ4591" s="153"/>
      <c r="BR4591" s="153"/>
      <c r="BS4591" s="153"/>
      <c r="BT4591" s="153"/>
      <c r="BU4591" s="153"/>
      <c r="BV4591" s="153"/>
      <c r="BW4591" s="153"/>
      <c r="BX4591" s="153"/>
      <c r="BY4591" s="153"/>
      <c r="BZ4591" s="153"/>
      <c r="CA4591" s="152"/>
      <c r="CB4591" s="152"/>
    </row>
    <row r="4592" spans="1:80" s="87" customFormat="1" x14ac:dyDescent="0.2">
      <c r="A4592" s="152"/>
      <c r="B4592" s="683"/>
      <c r="C4592" s="683"/>
      <c r="D4592" s="698"/>
      <c r="E4592" s="215"/>
      <c r="F4592" s="215"/>
      <c r="G4592" s="153"/>
      <c r="H4592" s="153"/>
      <c r="I4592" s="222">
        <v>20</v>
      </c>
      <c r="J4592" s="222">
        <v>60</v>
      </c>
      <c r="K4592" s="150">
        <v>1</v>
      </c>
      <c r="L4592" s="656">
        <v>20</v>
      </c>
      <c r="M4592" s="663">
        <v>34854</v>
      </c>
      <c r="N4592" s="600">
        <v>25.283200000000001</v>
      </c>
      <c r="O4592" s="604">
        <v>0.15848499999999999</v>
      </c>
      <c r="P4592" s="250"/>
      <c r="Q4592" s="250"/>
      <c r="R4592" s="250">
        <v>1.3000000000000001E-2</v>
      </c>
      <c r="S4592" s="250">
        <v>8.5999999999999993E-2</v>
      </c>
      <c r="T4592" s="250">
        <v>0.13800000000000001</v>
      </c>
      <c r="U4592" s="250">
        <v>0.21899999999999997</v>
      </c>
      <c r="V4592" s="250">
        <v>0.24199999999999999</v>
      </c>
      <c r="W4592" s="250">
        <v>0.24600000000000002</v>
      </c>
      <c r="X4592" s="250">
        <v>5.5E-2</v>
      </c>
      <c r="Y4592" s="250">
        <v>1E-3</v>
      </c>
      <c r="Z4592" s="150">
        <v>30</v>
      </c>
      <c r="AA4592" s="150">
        <v>1.76</v>
      </c>
      <c r="AB4592" s="152"/>
      <c r="AC4592" s="152"/>
      <c r="AD4592" s="223"/>
      <c r="AE4592" s="223"/>
      <c r="AF4592" s="223"/>
      <c r="AG4592" s="223"/>
      <c r="AH4592" s="341"/>
      <c r="AI4592" s="218"/>
      <c r="AJ4592" s="218"/>
      <c r="AK4592" s="153"/>
      <c r="AL4592" s="152"/>
      <c r="AM4592" s="152"/>
      <c r="AN4592" s="152"/>
      <c r="AO4592" s="152"/>
      <c r="AP4592" s="152"/>
      <c r="AQ4592" s="152"/>
      <c r="AR4592" s="152"/>
      <c r="AS4592" s="152"/>
      <c r="AT4592" s="152"/>
      <c r="AU4592" s="153"/>
      <c r="AV4592" s="479"/>
      <c r="AW4592" s="479"/>
      <c r="AX4592" s="442"/>
      <c r="AY4592" s="153"/>
      <c r="AZ4592" s="152"/>
      <c r="BA4592" s="152"/>
      <c r="BB4592" s="152"/>
      <c r="BC4592" s="152"/>
      <c r="BD4592" s="152"/>
      <c r="BE4592" s="152"/>
      <c r="BF4592" s="152"/>
      <c r="BG4592" s="152"/>
      <c r="BH4592" s="152"/>
      <c r="BI4592" s="153"/>
      <c r="BJ4592" s="153"/>
      <c r="BK4592" s="153"/>
      <c r="BL4592" s="153"/>
      <c r="BM4592" s="153"/>
      <c r="BN4592" s="153"/>
      <c r="BO4592" s="153"/>
      <c r="BP4592" s="153"/>
      <c r="BQ4592" s="153"/>
      <c r="BR4592" s="153"/>
      <c r="BS4592" s="153"/>
      <c r="BT4592" s="153"/>
      <c r="BU4592" s="153"/>
      <c r="BV4592" s="153"/>
      <c r="BW4592" s="153"/>
      <c r="BX4592" s="153"/>
      <c r="BY4592" s="153"/>
      <c r="BZ4592" s="153"/>
      <c r="CA4592" s="152"/>
      <c r="CB4592" s="152"/>
    </row>
    <row r="4593" spans="1:80" s="87" customFormat="1" x14ac:dyDescent="0.2">
      <c r="A4593" s="152"/>
      <c r="B4593" s="683"/>
      <c r="C4593" s="683"/>
      <c r="D4593" s="698"/>
      <c r="E4593" s="215"/>
      <c r="F4593" s="215"/>
      <c r="G4593" s="153"/>
      <c r="H4593" s="153"/>
      <c r="I4593" s="222">
        <v>20</v>
      </c>
      <c r="J4593" s="222">
        <v>60</v>
      </c>
      <c r="K4593" s="150">
        <v>1</v>
      </c>
      <c r="L4593" s="656">
        <v>20</v>
      </c>
      <c r="M4593" s="663">
        <v>34854</v>
      </c>
      <c r="N4593" s="600">
        <v>25.283200000000001</v>
      </c>
      <c r="O4593" s="604">
        <v>0.133296</v>
      </c>
      <c r="P4593" s="250"/>
      <c r="Q4593" s="250"/>
      <c r="R4593" s="250">
        <v>9.3000000000000013E-2</v>
      </c>
      <c r="S4593" s="250">
        <v>4.4000000000000004E-2</v>
      </c>
      <c r="T4593" s="250">
        <v>0.11900000000000001</v>
      </c>
      <c r="U4593" s="250">
        <v>0.192</v>
      </c>
      <c r="V4593" s="250">
        <v>0.27300000000000002</v>
      </c>
      <c r="W4593" s="250">
        <v>0.20899999999999999</v>
      </c>
      <c r="X4593" s="250">
        <v>6.9000000000000006E-2</v>
      </c>
      <c r="Y4593" s="250">
        <v>1E-3</v>
      </c>
      <c r="Z4593" s="150">
        <v>31</v>
      </c>
      <c r="AA4593" s="150">
        <v>1.75</v>
      </c>
      <c r="AB4593" s="152"/>
      <c r="AC4593" s="152"/>
      <c r="AD4593" s="223"/>
      <c r="AE4593" s="223"/>
      <c r="AF4593" s="223"/>
      <c r="AG4593" s="223"/>
      <c r="AH4593" s="341"/>
      <c r="AI4593" s="218"/>
      <c r="AJ4593" s="218"/>
      <c r="AK4593" s="153"/>
      <c r="AL4593" s="152"/>
      <c r="AM4593" s="152"/>
      <c r="AN4593" s="152"/>
      <c r="AO4593" s="152"/>
      <c r="AP4593" s="152"/>
      <c r="AQ4593" s="152"/>
      <c r="AR4593" s="152"/>
      <c r="AS4593" s="152"/>
      <c r="AT4593" s="152"/>
      <c r="AU4593" s="153"/>
      <c r="AV4593" s="479"/>
      <c r="AW4593" s="479"/>
      <c r="AX4593" s="442"/>
      <c r="AY4593" s="153"/>
      <c r="AZ4593" s="152"/>
      <c r="BA4593" s="152"/>
      <c r="BB4593" s="152"/>
      <c r="BC4593" s="152"/>
      <c r="BD4593" s="152"/>
      <c r="BE4593" s="152"/>
      <c r="BF4593" s="152"/>
      <c r="BG4593" s="152"/>
      <c r="BH4593" s="152"/>
      <c r="BI4593" s="153"/>
      <c r="BJ4593" s="153"/>
      <c r="BK4593" s="153"/>
      <c r="BL4593" s="153"/>
      <c r="BM4593" s="153"/>
      <c r="BN4593" s="153"/>
      <c r="BO4593" s="153"/>
      <c r="BP4593" s="153"/>
      <c r="BQ4593" s="153"/>
      <c r="BR4593" s="153"/>
      <c r="BS4593" s="153"/>
      <c r="BT4593" s="153"/>
      <c r="BU4593" s="153"/>
      <c r="BV4593" s="153"/>
      <c r="BW4593" s="153"/>
      <c r="BX4593" s="153"/>
      <c r="BY4593" s="153"/>
      <c r="BZ4593" s="153"/>
      <c r="CA4593" s="152"/>
      <c r="CB4593" s="152"/>
    </row>
    <row r="4594" spans="1:80" s="87" customFormat="1" x14ac:dyDescent="0.2">
      <c r="A4594" s="152"/>
      <c r="B4594" s="683"/>
      <c r="C4594" s="683"/>
      <c r="D4594" s="698"/>
      <c r="E4594" s="215"/>
      <c r="F4594" s="215"/>
      <c r="G4594" s="153"/>
      <c r="H4594" s="153"/>
      <c r="I4594" s="222">
        <v>20</v>
      </c>
      <c r="J4594" s="222">
        <v>60</v>
      </c>
      <c r="K4594" s="150">
        <v>1</v>
      </c>
      <c r="L4594" s="656">
        <v>20</v>
      </c>
      <c r="M4594" s="663">
        <v>34855</v>
      </c>
      <c r="N4594" s="600">
        <v>29.162099999999999</v>
      </c>
      <c r="O4594" s="604">
        <v>0.341111</v>
      </c>
      <c r="P4594" s="250"/>
      <c r="Q4594" s="250"/>
      <c r="R4594" s="250">
        <v>3.0000000000000001E-3</v>
      </c>
      <c r="S4594" s="250">
        <v>5.2999999999999999E-2</v>
      </c>
      <c r="T4594" s="250">
        <v>0.23</v>
      </c>
      <c r="U4594" s="250">
        <v>0.23899999999999999</v>
      </c>
      <c r="V4594" s="250">
        <v>0.254</v>
      </c>
      <c r="W4594" s="250">
        <v>0.16399999999999998</v>
      </c>
      <c r="X4594" s="250">
        <v>5.5E-2</v>
      </c>
      <c r="Y4594" s="250">
        <v>2E-3</v>
      </c>
      <c r="Z4594" s="150">
        <v>29</v>
      </c>
      <c r="AA4594" s="150">
        <v>2.15</v>
      </c>
      <c r="AB4594" s="152"/>
      <c r="AC4594" s="152"/>
      <c r="AD4594" s="223"/>
      <c r="AE4594" s="223"/>
      <c r="AF4594" s="223"/>
      <c r="AG4594" s="223"/>
      <c r="AH4594" s="341"/>
      <c r="AI4594" s="218"/>
      <c r="AJ4594" s="218"/>
      <c r="AK4594" s="153"/>
      <c r="AL4594" s="152"/>
      <c r="AM4594" s="152"/>
      <c r="AN4594" s="152"/>
      <c r="AO4594" s="152"/>
      <c r="AP4594" s="152"/>
      <c r="AQ4594" s="152"/>
      <c r="AR4594" s="152"/>
      <c r="AS4594" s="152"/>
      <c r="AT4594" s="152"/>
      <c r="AU4594" s="153"/>
      <c r="AV4594" s="479"/>
      <c r="AW4594" s="479"/>
      <c r="AX4594" s="442"/>
      <c r="AY4594" s="153"/>
      <c r="AZ4594" s="152"/>
      <c r="BA4594" s="152"/>
      <c r="BB4594" s="152"/>
      <c r="BC4594" s="152"/>
      <c r="BD4594" s="152"/>
      <c r="BE4594" s="152"/>
      <c r="BF4594" s="152"/>
      <c r="BG4594" s="152"/>
      <c r="BH4594" s="152"/>
      <c r="BI4594" s="153"/>
      <c r="BJ4594" s="153"/>
      <c r="BK4594" s="153"/>
      <c r="BL4594" s="153"/>
      <c r="BM4594" s="153"/>
      <c r="BN4594" s="153"/>
      <c r="BO4594" s="153"/>
      <c r="BP4594" s="153"/>
      <c r="BQ4594" s="153"/>
      <c r="BR4594" s="153"/>
      <c r="BS4594" s="153"/>
      <c r="BT4594" s="153"/>
      <c r="BU4594" s="153"/>
      <c r="BV4594" s="153"/>
      <c r="BW4594" s="153"/>
      <c r="BX4594" s="153"/>
      <c r="BY4594" s="153"/>
      <c r="BZ4594" s="153"/>
      <c r="CA4594" s="152"/>
      <c r="CB4594" s="152"/>
    </row>
    <row r="4595" spans="1:80" s="87" customFormat="1" x14ac:dyDescent="0.2">
      <c r="A4595" s="152"/>
      <c r="B4595" s="683"/>
      <c r="C4595" s="683"/>
      <c r="D4595" s="698"/>
      <c r="E4595" s="215"/>
      <c r="F4595" s="215"/>
      <c r="G4595" s="153"/>
      <c r="H4595" s="153"/>
      <c r="I4595" s="222">
        <v>20</v>
      </c>
      <c r="J4595" s="222">
        <v>60</v>
      </c>
      <c r="K4595" s="150">
        <v>1</v>
      </c>
      <c r="L4595" s="656">
        <v>20</v>
      </c>
      <c r="M4595" s="663">
        <v>34855</v>
      </c>
      <c r="N4595" s="600">
        <v>29.162099999999999</v>
      </c>
      <c r="O4595" s="604">
        <v>0.15218799999999999</v>
      </c>
      <c r="P4595" s="250"/>
      <c r="Q4595" s="250"/>
      <c r="R4595" s="250"/>
      <c r="S4595" s="250">
        <v>2.5000000000000001E-2</v>
      </c>
      <c r="T4595" s="250">
        <v>0.12</v>
      </c>
      <c r="U4595" s="250">
        <v>0.20499999999999999</v>
      </c>
      <c r="V4595" s="250">
        <v>0.31</v>
      </c>
      <c r="W4595" s="250">
        <v>0.23899999999999999</v>
      </c>
      <c r="X4595" s="250">
        <v>9.8000000000000004E-2</v>
      </c>
      <c r="Y4595" s="250">
        <v>3.0000000000000001E-3</v>
      </c>
      <c r="Z4595" s="150">
        <v>14</v>
      </c>
      <c r="AA4595" s="150">
        <v>1.43</v>
      </c>
      <c r="AB4595" s="152"/>
      <c r="AC4595" s="152"/>
      <c r="AD4595" s="223"/>
      <c r="AE4595" s="223"/>
      <c r="AF4595" s="223"/>
      <c r="AG4595" s="223"/>
      <c r="AH4595" s="341"/>
      <c r="AI4595" s="218"/>
      <c r="AJ4595" s="218"/>
      <c r="AK4595" s="153"/>
      <c r="AL4595" s="152"/>
      <c r="AM4595" s="152"/>
      <c r="AN4595" s="152"/>
      <c r="AO4595" s="152"/>
      <c r="AP4595" s="152"/>
      <c r="AQ4595" s="152"/>
      <c r="AR4595" s="152"/>
      <c r="AS4595" s="152"/>
      <c r="AT4595" s="152"/>
      <c r="AU4595" s="153"/>
      <c r="AV4595" s="479"/>
      <c r="AW4595" s="479"/>
      <c r="AX4595" s="442"/>
      <c r="AY4595" s="153"/>
      <c r="AZ4595" s="152"/>
      <c r="BA4595" s="152"/>
      <c r="BB4595" s="152"/>
      <c r="BC4595" s="152"/>
      <c r="BD4595" s="152"/>
      <c r="BE4595" s="152"/>
      <c r="BF4595" s="152"/>
      <c r="BG4595" s="152"/>
      <c r="BH4595" s="152"/>
      <c r="BI4595" s="153"/>
      <c r="BJ4595" s="153"/>
      <c r="BK4595" s="153"/>
      <c r="BL4595" s="153"/>
      <c r="BM4595" s="153"/>
      <c r="BN4595" s="153"/>
      <c r="BO4595" s="153"/>
      <c r="BP4595" s="153"/>
      <c r="BQ4595" s="153"/>
      <c r="BR4595" s="153"/>
      <c r="BS4595" s="153"/>
      <c r="BT4595" s="153"/>
      <c r="BU4595" s="153"/>
      <c r="BV4595" s="153"/>
      <c r="BW4595" s="153"/>
      <c r="BX4595" s="153"/>
      <c r="BY4595" s="153"/>
      <c r="BZ4595" s="153"/>
      <c r="CA4595" s="152"/>
      <c r="CB4595" s="152"/>
    </row>
    <row r="4596" spans="1:80" s="87" customFormat="1" x14ac:dyDescent="0.2">
      <c r="A4596" s="152"/>
      <c r="B4596" s="683"/>
      <c r="C4596" s="683"/>
      <c r="D4596" s="698"/>
      <c r="E4596" s="215"/>
      <c r="F4596" s="215"/>
      <c r="G4596" s="153"/>
      <c r="H4596" s="153"/>
      <c r="I4596" s="222">
        <v>20</v>
      </c>
      <c r="J4596" s="222">
        <v>60</v>
      </c>
      <c r="K4596" s="150">
        <v>1</v>
      </c>
      <c r="L4596" s="656">
        <v>20</v>
      </c>
      <c r="M4596" s="663">
        <v>34856</v>
      </c>
      <c r="N4596" s="600">
        <v>29.162099999999999</v>
      </c>
      <c r="O4596" s="604">
        <v>8.4595000000000004E-2</v>
      </c>
      <c r="P4596" s="250"/>
      <c r="Q4596" s="250"/>
      <c r="R4596" s="250"/>
      <c r="S4596" s="250">
        <v>1.6E-2</v>
      </c>
      <c r="T4596" s="250">
        <v>8.5999999999999993E-2</v>
      </c>
      <c r="U4596" s="250">
        <v>0.17399999999999999</v>
      </c>
      <c r="V4596" s="250">
        <v>0.32799999999999996</v>
      </c>
      <c r="W4596" s="250">
        <v>0.28199999999999997</v>
      </c>
      <c r="X4596" s="250">
        <v>0.111</v>
      </c>
      <c r="Y4596" s="250">
        <v>3.0000000000000001E-3</v>
      </c>
      <c r="Z4596" s="150">
        <v>14</v>
      </c>
      <c r="AA4596" s="150">
        <v>1.25</v>
      </c>
      <c r="AB4596" s="152"/>
      <c r="AC4596" s="152"/>
      <c r="AD4596" s="223"/>
      <c r="AE4596" s="223"/>
      <c r="AF4596" s="223"/>
      <c r="AG4596" s="223"/>
      <c r="AH4596" s="341"/>
      <c r="AI4596" s="218"/>
      <c r="AJ4596" s="218"/>
      <c r="AK4596" s="153"/>
      <c r="AL4596" s="152"/>
      <c r="AM4596" s="152"/>
      <c r="AN4596" s="152"/>
      <c r="AO4596" s="152"/>
      <c r="AP4596" s="152"/>
      <c r="AQ4596" s="152"/>
      <c r="AR4596" s="152"/>
      <c r="AS4596" s="152"/>
      <c r="AT4596" s="152"/>
      <c r="AU4596" s="153"/>
      <c r="AV4596" s="479"/>
      <c r="AW4596" s="479"/>
      <c r="AX4596" s="442"/>
      <c r="AY4596" s="153"/>
      <c r="AZ4596" s="152"/>
      <c r="BA4596" s="152"/>
      <c r="BB4596" s="152"/>
      <c r="BC4596" s="152"/>
      <c r="BD4596" s="152"/>
      <c r="BE4596" s="152"/>
      <c r="BF4596" s="152"/>
      <c r="BG4596" s="152"/>
      <c r="BH4596" s="152"/>
      <c r="BI4596" s="153"/>
      <c r="BJ4596" s="153"/>
      <c r="BK4596" s="153"/>
      <c r="BL4596" s="153"/>
      <c r="BM4596" s="153"/>
      <c r="BN4596" s="153"/>
      <c r="BO4596" s="153"/>
      <c r="BP4596" s="153"/>
      <c r="BQ4596" s="153"/>
      <c r="BR4596" s="153"/>
      <c r="BS4596" s="153"/>
      <c r="BT4596" s="153"/>
      <c r="BU4596" s="153"/>
      <c r="BV4596" s="153"/>
      <c r="BW4596" s="153"/>
      <c r="BX4596" s="153"/>
      <c r="BY4596" s="153"/>
      <c r="BZ4596" s="153"/>
      <c r="CA4596" s="152"/>
      <c r="CB4596" s="152"/>
    </row>
    <row r="4597" spans="1:80" s="87" customFormat="1" x14ac:dyDescent="0.2">
      <c r="A4597" s="152"/>
      <c r="B4597" s="683"/>
      <c r="C4597" s="683"/>
      <c r="D4597" s="698"/>
      <c r="E4597" s="215"/>
      <c r="F4597" s="215"/>
      <c r="G4597" s="153"/>
      <c r="H4597" s="153"/>
      <c r="I4597" s="222">
        <v>20</v>
      </c>
      <c r="J4597" s="222">
        <v>60</v>
      </c>
      <c r="K4597" s="150">
        <v>1</v>
      </c>
      <c r="L4597" s="656">
        <v>20</v>
      </c>
      <c r="M4597" s="663">
        <v>34856</v>
      </c>
      <c r="N4597" s="600">
        <v>29.162099999999999</v>
      </c>
      <c r="O4597" s="604">
        <v>0.14799000000000001</v>
      </c>
      <c r="P4597" s="250"/>
      <c r="Q4597" s="250"/>
      <c r="R4597" s="250">
        <v>2.5000000000000001E-2</v>
      </c>
      <c r="S4597" s="250">
        <v>5.5E-2</v>
      </c>
      <c r="T4597" s="250">
        <v>0.13400000000000001</v>
      </c>
      <c r="U4597" s="250">
        <v>0.19500000000000001</v>
      </c>
      <c r="V4597" s="250">
        <v>0.28000000000000003</v>
      </c>
      <c r="W4597" s="250">
        <v>0.22699999999999998</v>
      </c>
      <c r="X4597" s="250">
        <v>8.199999999999999E-2</v>
      </c>
      <c r="Y4597" s="250">
        <v>2E-3</v>
      </c>
      <c r="Z4597" s="150">
        <v>21</v>
      </c>
      <c r="AA4597" s="150">
        <v>1.6</v>
      </c>
      <c r="AB4597" s="152"/>
      <c r="AC4597" s="152"/>
      <c r="AD4597" s="223"/>
      <c r="AE4597" s="223"/>
      <c r="AF4597" s="223"/>
      <c r="AG4597" s="223"/>
      <c r="AH4597" s="341"/>
      <c r="AI4597" s="218"/>
      <c r="AJ4597" s="218"/>
      <c r="AK4597" s="153"/>
      <c r="AL4597" s="152"/>
      <c r="AM4597" s="152"/>
      <c r="AN4597" s="152"/>
      <c r="AO4597" s="152"/>
      <c r="AP4597" s="152"/>
      <c r="AQ4597" s="152"/>
      <c r="AR4597" s="152"/>
      <c r="AS4597" s="152"/>
      <c r="AT4597" s="152"/>
      <c r="AU4597" s="153"/>
      <c r="AV4597" s="479"/>
      <c r="AW4597" s="479"/>
      <c r="AX4597" s="442"/>
      <c r="AY4597" s="153"/>
      <c r="AZ4597" s="152"/>
      <c r="BA4597" s="152"/>
      <c r="BB4597" s="152"/>
      <c r="BC4597" s="152"/>
      <c r="BD4597" s="152"/>
      <c r="BE4597" s="152"/>
      <c r="BF4597" s="152"/>
      <c r="BG4597" s="152"/>
      <c r="BH4597" s="152"/>
      <c r="BI4597" s="153"/>
      <c r="BJ4597" s="153"/>
      <c r="BK4597" s="153"/>
      <c r="BL4597" s="153"/>
      <c r="BM4597" s="153"/>
      <c r="BN4597" s="153"/>
      <c r="BO4597" s="153"/>
      <c r="BP4597" s="153"/>
      <c r="BQ4597" s="153"/>
      <c r="BR4597" s="153"/>
      <c r="BS4597" s="153"/>
      <c r="BT4597" s="153"/>
      <c r="BU4597" s="153"/>
      <c r="BV4597" s="153"/>
      <c r="BW4597" s="153"/>
      <c r="BX4597" s="153"/>
      <c r="BY4597" s="153"/>
      <c r="BZ4597" s="153"/>
      <c r="CA4597" s="152"/>
      <c r="CB4597" s="152"/>
    </row>
    <row r="4598" spans="1:80" s="87" customFormat="1" x14ac:dyDescent="0.2">
      <c r="A4598" s="152"/>
      <c r="B4598" s="683"/>
      <c r="C4598" s="683"/>
      <c r="D4598" s="698"/>
      <c r="E4598" s="215"/>
      <c r="F4598" s="215"/>
      <c r="G4598" s="153"/>
      <c r="H4598" s="153"/>
      <c r="I4598" s="222">
        <v>20</v>
      </c>
      <c r="J4598" s="222">
        <v>60</v>
      </c>
      <c r="K4598" s="150">
        <v>1</v>
      </c>
      <c r="L4598" s="656">
        <v>20</v>
      </c>
      <c r="M4598" s="663">
        <v>34863</v>
      </c>
      <c r="N4598" s="600">
        <v>21.404399999999999</v>
      </c>
      <c r="O4598" s="604">
        <v>0.21096400000000001</v>
      </c>
      <c r="P4598" s="250"/>
      <c r="Q4598" s="250"/>
      <c r="R4598" s="250"/>
      <c r="S4598" s="250">
        <v>5.0000000000000001E-3</v>
      </c>
      <c r="T4598" s="250">
        <v>8.5999999999999993E-2</v>
      </c>
      <c r="U4598" s="250">
        <v>0.20300000000000001</v>
      </c>
      <c r="V4598" s="250">
        <v>0.38299999999999995</v>
      </c>
      <c r="W4598" s="250">
        <v>0.25700000000000001</v>
      </c>
      <c r="X4598" s="250">
        <v>6.2E-2</v>
      </c>
      <c r="Y4598" s="250">
        <v>4.0000000000000001E-3</v>
      </c>
      <c r="Z4598" s="150">
        <v>11</v>
      </c>
      <c r="AA4598" s="150">
        <v>1.38</v>
      </c>
      <c r="AB4598" s="152"/>
      <c r="AC4598" s="152"/>
      <c r="AD4598" s="223"/>
      <c r="AE4598" s="223"/>
      <c r="AF4598" s="223"/>
      <c r="AG4598" s="223"/>
      <c r="AH4598" s="341"/>
      <c r="AI4598" s="218"/>
      <c r="AJ4598" s="218"/>
      <c r="AK4598" s="153"/>
      <c r="AL4598" s="152"/>
      <c r="AM4598" s="152"/>
      <c r="AN4598" s="152"/>
      <c r="AO4598" s="152"/>
      <c r="AP4598" s="152"/>
      <c r="AQ4598" s="152"/>
      <c r="AR4598" s="152"/>
      <c r="AS4598" s="152"/>
      <c r="AT4598" s="152"/>
      <c r="AU4598" s="153"/>
      <c r="AV4598" s="479"/>
      <c r="AW4598" s="479"/>
      <c r="AX4598" s="442"/>
      <c r="AY4598" s="153"/>
      <c r="AZ4598" s="152"/>
      <c r="BA4598" s="152"/>
      <c r="BB4598" s="152"/>
      <c r="BC4598" s="152"/>
      <c r="BD4598" s="152"/>
      <c r="BE4598" s="152"/>
      <c r="BF4598" s="152"/>
      <c r="BG4598" s="152"/>
      <c r="BH4598" s="152"/>
      <c r="BI4598" s="153"/>
      <c r="BJ4598" s="153"/>
      <c r="BK4598" s="153"/>
      <c r="BL4598" s="153"/>
      <c r="BM4598" s="153"/>
      <c r="BN4598" s="153"/>
      <c r="BO4598" s="153"/>
      <c r="BP4598" s="153"/>
      <c r="BQ4598" s="153"/>
      <c r="BR4598" s="153"/>
      <c r="BS4598" s="153"/>
      <c r="BT4598" s="153"/>
      <c r="BU4598" s="153"/>
      <c r="BV4598" s="153"/>
      <c r="BW4598" s="153"/>
      <c r="BX4598" s="153"/>
      <c r="BY4598" s="153"/>
      <c r="BZ4598" s="153"/>
      <c r="CA4598" s="152"/>
      <c r="CB4598" s="152"/>
    </row>
    <row r="4599" spans="1:80" s="87" customFormat="1" x14ac:dyDescent="0.2">
      <c r="A4599" s="152"/>
      <c r="B4599" s="683"/>
      <c r="C4599" s="683"/>
      <c r="D4599" s="698"/>
      <c r="E4599" s="215"/>
      <c r="F4599" s="215"/>
      <c r="G4599" s="153"/>
      <c r="H4599" s="153"/>
      <c r="I4599" s="222">
        <v>20</v>
      </c>
      <c r="J4599" s="222">
        <v>60</v>
      </c>
      <c r="K4599" s="150">
        <v>1</v>
      </c>
      <c r="L4599" s="656">
        <v>20</v>
      </c>
      <c r="M4599" s="663">
        <v>34863</v>
      </c>
      <c r="N4599" s="600">
        <v>21.404399999999999</v>
      </c>
      <c r="O4599" s="604">
        <v>0.13644400000000001</v>
      </c>
      <c r="P4599" s="250"/>
      <c r="Q4599" s="250"/>
      <c r="R4599" s="250">
        <v>9.6999999999999989E-2</v>
      </c>
      <c r="S4599" s="250">
        <v>5.2999999999999999E-2</v>
      </c>
      <c r="T4599" s="250">
        <v>0.1</v>
      </c>
      <c r="U4599" s="250">
        <v>0.16600000000000001</v>
      </c>
      <c r="V4599" s="250">
        <v>0.26899999999999996</v>
      </c>
      <c r="W4599" s="250">
        <v>0.21600000000000003</v>
      </c>
      <c r="X4599" s="250">
        <v>9.1999999999999998E-2</v>
      </c>
      <c r="Y4599" s="250">
        <v>6.9999999999999993E-3</v>
      </c>
      <c r="Z4599" s="150">
        <v>31</v>
      </c>
      <c r="AA4599" s="150">
        <v>1.61</v>
      </c>
      <c r="AB4599" s="152"/>
      <c r="AC4599" s="152"/>
      <c r="AD4599" s="223"/>
      <c r="AE4599" s="223"/>
      <c r="AF4599" s="223"/>
      <c r="AG4599" s="223"/>
      <c r="AH4599" s="341"/>
      <c r="AI4599" s="218"/>
      <c r="AJ4599" s="218"/>
      <c r="AK4599" s="153"/>
      <c r="AL4599" s="152"/>
      <c r="AM4599" s="152"/>
      <c r="AN4599" s="152"/>
      <c r="AO4599" s="152"/>
      <c r="AP4599" s="152"/>
      <c r="AQ4599" s="152"/>
      <c r="AR4599" s="152"/>
      <c r="AS4599" s="152"/>
      <c r="AT4599" s="152"/>
      <c r="AU4599" s="153"/>
      <c r="AV4599" s="479"/>
      <c r="AW4599" s="479"/>
      <c r="AX4599" s="442"/>
      <c r="AY4599" s="153"/>
      <c r="AZ4599" s="152"/>
      <c r="BA4599" s="152"/>
      <c r="BB4599" s="152"/>
      <c r="BC4599" s="152"/>
      <c r="BD4599" s="152"/>
      <c r="BE4599" s="152"/>
      <c r="BF4599" s="152"/>
      <c r="BG4599" s="152"/>
      <c r="BH4599" s="152"/>
      <c r="BI4599" s="153"/>
      <c r="BJ4599" s="153"/>
      <c r="BK4599" s="153"/>
      <c r="BL4599" s="153"/>
      <c r="BM4599" s="153"/>
      <c r="BN4599" s="153"/>
      <c r="BO4599" s="153"/>
      <c r="BP4599" s="153"/>
      <c r="BQ4599" s="153"/>
      <c r="BR4599" s="153"/>
      <c r="BS4599" s="153"/>
      <c r="BT4599" s="153"/>
      <c r="BU4599" s="153"/>
      <c r="BV4599" s="153"/>
      <c r="BW4599" s="153"/>
      <c r="BX4599" s="153"/>
      <c r="BY4599" s="153"/>
      <c r="BZ4599" s="153"/>
      <c r="CA4599" s="152"/>
      <c r="CB4599" s="152"/>
    </row>
    <row r="4600" spans="1:80" s="87" customFormat="1" x14ac:dyDescent="0.2">
      <c r="A4600" s="152"/>
      <c r="B4600" s="683"/>
      <c r="C4600" s="683"/>
      <c r="D4600" s="698"/>
      <c r="E4600" s="215"/>
      <c r="F4600" s="215"/>
      <c r="G4600" s="153"/>
      <c r="H4600" s="153"/>
      <c r="I4600" s="222">
        <v>19</v>
      </c>
      <c r="J4600" s="222">
        <v>60</v>
      </c>
      <c r="K4600" s="150">
        <v>1</v>
      </c>
      <c r="L4600" s="656">
        <v>19</v>
      </c>
      <c r="M4600" s="663">
        <v>34870</v>
      </c>
      <c r="N4600" s="600">
        <v>23.7544</v>
      </c>
      <c r="O4600" s="604">
        <v>5.1324000000000002E-2</v>
      </c>
      <c r="P4600" s="250"/>
      <c r="Q4600" s="250"/>
      <c r="R4600" s="250"/>
      <c r="S4600" s="250">
        <v>1.9E-2</v>
      </c>
      <c r="T4600" s="250">
        <v>8.1000000000000003E-2</v>
      </c>
      <c r="U4600" s="250">
        <v>0.15</v>
      </c>
      <c r="V4600" s="250">
        <v>0.318</v>
      </c>
      <c r="W4600" s="250">
        <v>0.33399999999999996</v>
      </c>
      <c r="X4600" s="250">
        <v>9.6999999999999989E-2</v>
      </c>
      <c r="Y4600" s="250">
        <v>1E-3</v>
      </c>
      <c r="Z4600" s="150">
        <v>10</v>
      </c>
      <c r="AA4600" s="150">
        <v>1.1599999999999999</v>
      </c>
      <c r="AB4600" s="152"/>
      <c r="AC4600" s="152"/>
      <c r="AD4600" s="223"/>
      <c r="AE4600" s="223"/>
      <c r="AF4600" s="223"/>
      <c r="AG4600" s="223"/>
      <c r="AH4600" s="341"/>
      <c r="AI4600" s="218"/>
      <c r="AJ4600" s="218"/>
      <c r="AK4600" s="153"/>
      <c r="AL4600" s="152"/>
      <c r="AM4600" s="152"/>
      <c r="AN4600" s="152"/>
      <c r="AO4600" s="152"/>
      <c r="AP4600" s="152"/>
      <c r="AQ4600" s="152"/>
      <c r="AR4600" s="152"/>
      <c r="AS4600" s="152"/>
      <c r="AT4600" s="152"/>
      <c r="AU4600" s="153"/>
      <c r="AV4600" s="479"/>
      <c r="AW4600" s="479"/>
      <c r="AX4600" s="442"/>
      <c r="AY4600" s="153"/>
      <c r="AZ4600" s="152"/>
      <c r="BA4600" s="152"/>
      <c r="BB4600" s="152"/>
      <c r="BC4600" s="152"/>
      <c r="BD4600" s="152"/>
      <c r="BE4600" s="152"/>
      <c r="BF4600" s="152"/>
      <c r="BG4600" s="152"/>
      <c r="BH4600" s="152"/>
      <c r="BI4600" s="153"/>
      <c r="BJ4600" s="153"/>
      <c r="BK4600" s="153"/>
      <c r="BL4600" s="153"/>
      <c r="BM4600" s="153"/>
      <c r="BN4600" s="153"/>
      <c r="BO4600" s="153"/>
      <c r="BP4600" s="153"/>
      <c r="BQ4600" s="153"/>
      <c r="BR4600" s="153"/>
      <c r="BS4600" s="153"/>
      <c r="BT4600" s="153"/>
      <c r="BU4600" s="153"/>
      <c r="BV4600" s="153"/>
      <c r="BW4600" s="153"/>
      <c r="BX4600" s="153"/>
      <c r="BY4600" s="153"/>
      <c r="BZ4600" s="153"/>
      <c r="CA4600" s="152"/>
      <c r="CB4600" s="152"/>
    </row>
    <row r="4601" spans="1:80" s="87" customFormat="1" x14ac:dyDescent="0.2">
      <c r="A4601" s="152"/>
      <c r="B4601" s="683"/>
      <c r="C4601" s="683"/>
      <c r="D4601" s="698"/>
      <c r="E4601" s="215"/>
      <c r="F4601" s="215"/>
      <c r="G4601" s="153"/>
      <c r="H4601" s="153"/>
      <c r="I4601" s="222">
        <v>19</v>
      </c>
      <c r="J4601" s="222">
        <v>60</v>
      </c>
      <c r="K4601" s="150">
        <v>1</v>
      </c>
      <c r="L4601" s="656">
        <v>19</v>
      </c>
      <c r="M4601" s="663">
        <v>34870</v>
      </c>
      <c r="N4601" s="600">
        <v>23.7544</v>
      </c>
      <c r="O4601" s="604">
        <v>0.10044400000000001</v>
      </c>
      <c r="P4601" s="250"/>
      <c r="Q4601" s="250"/>
      <c r="R4601" s="250"/>
      <c r="S4601" s="250">
        <v>0.04</v>
      </c>
      <c r="T4601" s="250">
        <v>0.17</v>
      </c>
      <c r="U4601" s="250">
        <v>0.21100000000000002</v>
      </c>
      <c r="V4601" s="250">
        <v>0.29199999999999998</v>
      </c>
      <c r="W4601" s="250">
        <v>0.24399999999999999</v>
      </c>
      <c r="X4601" s="250">
        <v>4.2000000000000003E-2</v>
      </c>
      <c r="Y4601" s="250">
        <v>1E-3</v>
      </c>
      <c r="Z4601" s="150">
        <v>14</v>
      </c>
      <c r="AA4601" s="150">
        <v>1.66</v>
      </c>
      <c r="AB4601" s="152"/>
      <c r="AC4601" s="152"/>
      <c r="AD4601" s="223"/>
      <c r="AE4601" s="223"/>
      <c r="AF4601" s="223"/>
      <c r="AG4601" s="223"/>
      <c r="AH4601" s="341"/>
      <c r="AI4601" s="218"/>
      <c r="AJ4601" s="218"/>
      <c r="AK4601" s="153"/>
      <c r="AL4601" s="152"/>
      <c r="AM4601" s="152"/>
      <c r="AN4601" s="152"/>
      <c r="AO4601" s="152"/>
      <c r="AP4601" s="152"/>
      <c r="AQ4601" s="152"/>
      <c r="AR4601" s="152"/>
      <c r="AS4601" s="152"/>
      <c r="AT4601" s="152"/>
      <c r="AU4601" s="153"/>
      <c r="AV4601" s="479"/>
      <c r="AW4601" s="479"/>
      <c r="AX4601" s="442"/>
      <c r="AY4601" s="153"/>
      <c r="AZ4601" s="152"/>
      <c r="BA4601" s="152"/>
      <c r="BB4601" s="152"/>
      <c r="BC4601" s="152"/>
      <c r="BD4601" s="152"/>
      <c r="BE4601" s="152"/>
      <c r="BF4601" s="152"/>
      <c r="BG4601" s="152"/>
      <c r="BH4601" s="152"/>
      <c r="BI4601" s="153"/>
      <c r="BJ4601" s="153"/>
      <c r="BK4601" s="153"/>
      <c r="BL4601" s="153"/>
      <c r="BM4601" s="153"/>
      <c r="BN4601" s="153"/>
      <c r="BO4601" s="153"/>
      <c r="BP4601" s="153"/>
      <c r="BQ4601" s="153"/>
      <c r="BR4601" s="153"/>
      <c r="BS4601" s="153"/>
      <c r="BT4601" s="153"/>
      <c r="BU4601" s="153"/>
      <c r="BV4601" s="153"/>
      <c r="BW4601" s="153"/>
      <c r="BX4601" s="153"/>
      <c r="BY4601" s="153"/>
      <c r="BZ4601" s="153"/>
      <c r="CA4601" s="152"/>
      <c r="CB4601" s="152"/>
    </row>
    <row r="4602" spans="1:80" s="87" customFormat="1" x14ac:dyDescent="0.2">
      <c r="A4602" s="152"/>
      <c r="B4602" s="683"/>
      <c r="C4602" s="683"/>
      <c r="D4602" s="698"/>
      <c r="E4602" s="215"/>
      <c r="F4602" s="215"/>
      <c r="G4602" s="153"/>
      <c r="H4602" s="153"/>
      <c r="I4602" s="222">
        <v>20</v>
      </c>
      <c r="J4602" s="222">
        <v>60</v>
      </c>
      <c r="K4602" s="150">
        <v>1</v>
      </c>
      <c r="L4602" s="656">
        <v>20</v>
      </c>
      <c r="M4602" s="663">
        <v>34871</v>
      </c>
      <c r="N4602" s="600">
        <v>18.8279</v>
      </c>
      <c r="O4602" s="604">
        <v>0.31802000000000002</v>
      </c>
      <c r="P4602" s="250"/>
      <c r="Q4602" s="250"/>
      <c r="R4602" s="250">
        <v>2.1000000000000001E-2</v>
      </c>
      <c r="S4602" s="250">
        <v>4.2999999999999997E-2</v>
      </c>
      <c r="T4602" s="250">
        <v>0.17699999999999999</v>
      </c>
      <c r="U4602" s="250">
        <v>0.20499999999999999</v>
      </c>
      <c r="V4602" s="250">
        <v>0.30099999999999999</v>
      </c>
      <c r="W4602" s="250">
        <v>0.20300000000000001</v>
      </c>
      <c r="X4602" s="250">
        <v>4.7E-2</v>
      </c>
      <c r="Y4602" s="250">
        <v>3.0000000000000001E-3</v>
      </c>
      <c r="Z4602" s="150">
        <v>24</v>
      </c>
      <c r="AA4602" s="150">
        <v>1.77</v>
      </c>
      <c r="AB4602" s="152"/>
      <c r="AC4602" s="152"/>
      <c r="AD4602" s="223"/>
      <c r="AE4602" s="223"/>
      <c r="AF4602" s="223"/>
      <c r="AG4602" s="223"/>
      <c r="AH4602" s="341"/>
      <c r="AI4602" s="218"/>
      <c r="AJ4602" s="218"/>
      <c r="AK4602" s="153"/>
      <c r="AL4602" s="152"/>
      <c r="AM4602" s="152"/>
      <c r="AN4602" s="152"/>
      <c r="AO4602" s="152"/>
      <c r="AP4602" s="152"/>
      <c r="AQ4602" s="152"/>
      <c r="AR4602" s="152"/>
      <c r="AS4602" s="152"/>
      <c r="AT4602" s="152"/>
      <c r="AU4602" s="153"/>
      <c r="AV4602" s="479"/>
      <c r="AW4602" s="479"/>
      <c r="AX4602" s="442"/>
      <c r="AY4602" s="153"/>
      <c r="AZ4602" s="152"/>
      <c r="BA4602" s="152"/>
      <c r="BB4602" s="152"/>
      <c r="BC4602" s="152"/>
      <c r="BD4602" s="152"/>
      <c r="BE4602" s="152"/>
      <c r="BF4602" s="152"/>
      <c r="BG4602" s="152"/>
      <c r="BH4602" s="152"/>
      <c r="BI4602" s="153"/>
      <c r="BJ4602" s="153"/>
      <c r="BK4602" s="153"/>
      <c r="BL4602" s="153"/>
      <c r="BM4602" s="153"/>
      <c r="BN4602" s="153"/>
      <c r="BO4602" s="153"/>
      <c r="BP4602" s="153"/>
      <c r="BQ4602" s="153"/>
      <c r="BR4602" s="153"/>
      <c r="BS4602" s="153"/>
      <c r="BT4602" s="153"/>
      <c r="BU4602" s="153"/>
      <c r="BV4602" s="153"/>
      <c r="BW4602" s="153"/>
      <c r="BX4602" s="153"/>
      <c r="BY4602" s="153"/>
      <c r="BZ4602" s="153"/>
      <c r="CA4602" s="152"/>
      <c r="CB4602" s="152"/>
    </row>
    <row r="4603" spans="1:80" s="87" customFormat="1" x14ac:dyDescent="0.2">
      <c r="A4603" s="152"/>
      <c r="B4603" s="683"/>
      <c r="C4603" s="683"/>
      <c r="D4603" s="698"/>
      <c r="E4603" s="215"/>
      <c r="F4603" s="215"/>
      <c r="G4603" s="153"/>
      <c r="H4603" s="153"/>
      <c r="I4603" s="222">
        <v>20</v>
      </c>
      <c r="J4603" s="222">
        <v>60</v>
      </c>
      <c r="K4603" s="150">
        <v>1</v>
      </c>
      <c r="L4603" s="656">
        <v>20</v>
      </c>
      <c r="M4603" s="663">
        <v>34871</v>
      </c>
      <c r="N4603" s="600">
        <v>18.8279</v>
      </c>
      <c r="O4603" s="604">
        <v>0.126998</v>
      </c>
      <c r="P4603" s="250"/>
      <c r="Q4603" s="250"/>
      <c r="R4603" s="250"/>
      <c r="S4603" s="250">
        <v>7.6999999999999999E-2</v>
      </c>
      <c r="T4603" s="250">
        <v>0.14899999999999999</v>
      </c>
      <c r="U4603" s="250">
        <v>0.23</v>
      </c>
      <c r="V4603" s="250">
        <v>0.32600000000000001</v>
      </c>
      <c r="W4603" s="250">
        <v>0.18100000000000002</v>
      </c>
      <c r="X4603" s="250">
        <v>3.5000000000000003E-2</v>
      </c>
      <c r="Y4603" s="250">
        <v>2E-3</v>
      </c>
      <c r="Z4603" s="150">
        <v>15</v>
      </c>
      <c r="AA4603" s="150">
        <v>1.82</v>
      </c>
      <c r="AB4603" s="152"/>
      <c r="AC4603" s="152"/>
      <c r="AD4603" s="223"/>
      <c r="AE4603" s="223"/>
      <c r="AF4603" s="223"/>
      <c r="AG4603" s="223"/>
      <c r="AH4603" s="341"/>
      <c r="AI4603" s="218"/>
      <c r="AJ4603" s="218"/>
      <c r="AK4603" s="153"/>
      <c r="AL4603" s="152"/>
      <c r="AM4603" s="152"/>
      <c r="AN4603" s="152"/>
      <c r="AO4603" s="152"/>
      <c r="AP4603" s="152"/>
      <c r="AQ4603" s="152"/>
      <c r="AR4603" s="152"/>
      <c r="AS4603" s="152"/>
      <c r="AT4603" s="152"/>
      <c r="AU4603" s="153"/>
      <c r="AV4603" s="479"/>
      <c r="AW4603" s="479"/>
      <c r="AX4603" s="442"/>
      <c r="AY4603" s="153"/>
      <c r="AZ4603" s="152"/>
      <c r="BA4603" s="152"/>
      <c r="BB4603" s="152"/>
      <c r="BC4603" s="152"/>
      <c r="BD4603" s="152"/>
      <c r="BE4603" s="152"/>
      <c r="BF4603" s="152"/>
      <c r="BG4603" s="152"/>
      <c r="BH4603" s="152"/>
      <c r="BI4603" s="153"/>
      <c r="BJ4603" s="153"/>
      <c r="BK4603" s="153"/>
      <c r="BL4603" s="153"/>
      <c r="BM4603" s="153"/>
      <c r="BN4603" s="153"/>
      <c r="BO4603" s="153"/>
      <c r="BP4603" s="153"/>
      <c r="BQ4603" s="153"/>
      <c r="BR4603" s="153"/>
      <c r="BS4603" s="153"/>
      <c r="BT4603" s="153"/>
      <c r="BU4603" s="153"/>
      <c r="BV4603" s="153"/>
      <c r="BW4603" s="153"/>
      <c r="BX4603" s="153"/>
      <c r="BY4603" s="153"/>
      <c r="BZ4603" s="153"/>
      <c r="CA4603" s="152"/>
      <c r="CB4603" s="152"/>
    </row>
    <row r="4604" spans="1:80" s="87" customFormat="1" x14ac:dyDescent="0.2">
      <c r="A4604" s="152"/>
      <c r="B4604" s="683"/>
      <c r="C4604" s="683"/>
      <c r="D4604" s="698"/>
      <c r="E4604" s="215"/>
      <c r="F4604" s="215"/>
      <c r="G4604" s="153"/>
      <c r="H4604" s="153"/>
      <c r="I4604" s="222">
        <v>20</v>
      </c>
      <c r="J4604" s="222">
        <v>60</v>
      </c>
      <c r="K4604" s="150">
        <v>1</v>
      </c>
      <c r="L4604" s="656">
        <v>20</v>
      </c>
      <c r="M4604" s="663">
        <v>34877</v>
      </c>
      <c r="N4604" s="600">
        <v>23.980899999999998</v>
      </c>
      <c r="O4604" s="604">
        <v>0.72315499999999999</v>
      </c>
      <c r="P4604" s="250"/>
      <c r="Q4604" s="250"/>
      <c r="R4604" s="250">
        <v>6.0000000000000001E-3</v>
      </c>
      <c r="S4604" s="250">
        <v>5.5E-2</v>
      </c>
      <c r="T4604" s="250">
        <v>0.27899999999999997</v>
      </c>
      <c r="U4604" s="250">
        <v>0.316</v>
      </c>
      <c r="V4604" s="250">
        <v>0.19699999999999998</v>
      </c>
      <c r="W4604" s="250">
        <v>0.114</v>
      </c>
      <c r="X4604" s="250">
        <v>0.03</v>
      </c>
      <c r="Y4604" s="250">
        <v>3.0000000000000001E-3</v>
      </c>
      <c r="Z4604" s="150">
        <v>25</v>
      </c>
      <c r="AA4604" s="150">
        <v>2.82</v>
      </c>
      <c r="AB4604" s="152"/>
      <c r="AC4604" s="152"/>
      <c r="AD4604" s="223"/>
      <c r="AE4604" s="223"/>
      <c r="AF4604" s="223"/>
      <c r="AG4604" s="223"/>
      <c r="AH4604" s="341"/>
      <c r="AI4604" s="218"/>
      <c r="AJ4604" s="218"/>
      <c r="AK4604" s="153"/>
      <c r="AL4604" s="152"/>
      <c r="AM4604" s="152"/>
      <c r="AN4604" s="152"/>
      <c r="AO4604" s="152"/>
      <c r="AP4604" s="152"/>
      <c r="AQ4604" s="152"/>
      <c r="AR4604" s="152"/>
      <c r="AS4604" s="152"/>
      <c r="AT4604" s="152"/>
      <c r="AU4604" s="153"/>
      <c r="AV4604" s="479"/>
      <c r="AW4604" s="479"/>
      <c r="AX4604" s="442"/>
      <c r="AY4604" s="153"/>
      <c r="AZ4604" s="152"/>
      <c r="BA4604" s="152"/>
      <c r="BB4604" s="152"/>
      <c r="BC4604" s="152"/>
      <c r="BD4604" s="152"/>
      <c r="BE4604" s="152"/>
      <c r="BF4604" s="152"/>
      <c r="BG4604" s="152"/>
      <c r="BH4604" s="152"/>
      <c r="BI4604" s="153"/>
      <c r="BJ4604" s="153"/>
      <c r="BK4604" s="153"/>
      <c r="BL4604" s="153"/>
      <c r="BM4604" s="153"/>
      <c r="BN4604" s="153"/>
      <c r="BO4604" s="153"/>
      <c r="BP4604" s="153"/>
      <c r="BQ4604" s="153"/>
      <c r="BR4604" s="153"/>
      <c r="BS4604" s="153"/>
      <c r="BT4604" s="153"/>
      <c r="BU4604" s="153"/>
      <c r="BV4604" s="153"/>
      <c r="BW4604" s="153"/>
      <c r="BX4604" s="153"/>
      <c r="BY4604" s="153"/>
      <c r="BZ4604" s="153"/>
      <c r="CA4604" s="152"/>
      <c r="CB4604" s="152"/>
    </row>
    <row r="4605" spans="1:80" s="87" customFormat="1" x14ac:dyDescent="0.2">
      <c r="A4605" s="152"/>
      <c r="B4605" s="683"/>
      <c r="C4605" s="683"/>
      <c r="D4605" s="698"/>
      <c r="E4605" s="215"/>
      <c r="F4605" s="215"/>
      <c r="G4605" s="153"/>
      <c r="H4605" s="153"/>
      <c r="I4605" s="222">
        <v>20</v>
      </c>
      <c r="J4605" s="222">
        <v>60</v>
      </c>
      <c r="K4605" s="150">
        <v>1</v>
      </c>
      <c r="L4605" s="656">
        <v>20</v>
      </c>
      <c r="M4605" s="663">
        <v>34877</v>
      </c>
      <c r="N4605" s="600">
        <v>23.980899999999998</v>
      </c>
      <c r="O4605" s="604">
        <v>0.605603</v>
      </c>
      <c r="P4605" s="250"/>
      <c r="Q4605" s="250"/>
      <c r="R4605" s="250">
        <v>9.0000000000000011E-3</v>
      </c>
      <c r="S4605" s="250">
        <v>4.0999999999999995E-2</v>
      </c>
      <c r="T4605" s="250">
        <v>0.20600000000000002</v>
      </c>
      <c r="U4605" s="250">
        <v>0.33899999999999997</v>
      </c>
      <c r="V4605" s="250">
        <v>0.252</v>
      </c>
      <c r="W4605" s="250">
        <v>0.124</v>
      </c>
      <c r="X4605" s="250">
        <v>2.7000000000000003E-2</v>
      </c>
      <c r="Y4605" s="250">
        <v>2E-3</v>
      </c>
      <c r="Z4605" s="150">
        <v>26</v>
      </c>
      <c r="AA4605" s="150">
        <v>2.4300000000000002</v>
      </c>
      <c r="AB4605" s="152"/>
      <c r="AC4605" s="152"/>
      <c r="AD4605" s="223"/>
      <c r="AE4605" s="223"/>
      <c r="AF4605" s="223"/>
      <c r="AG4605" s="223"/>
      <c r="AH4605" s="341"/>
      <c r="AI4605" s="218"/>
      <c r="AJ4605" s="218"/>
      <c r="AK4605" s="153"/>
      <c r="AL4605" s="152"/>
      <c r="AM4605" s="152"/>
      <c r="AN4605" s="152"/>
      <c r="AO4605" s="152"/>
      <c r="AP4605" s="152"/>
      <c r="AQ4605" s="152"/>
      <c r="AR4605" s="152"/>
      <c r="AS4605" s="152"/>
      <c r="AT4605" s="152"/>
      <c r="AU4605" s="153"/>
      <c r="AV4605" s="479"/>
      <c r="AW4605" s="479"/>
      <c r="AX4605" s="442"/>
      <c r="AY4605" s="153"/>
      <c r="AZ4605" s="152"/>
      <c r="BA4605" s="152"/>
      <c r="BB4605" s="152"/>
      <c r="BC4605" s="152"/>
      <c r="BD4605" s="152"/>
      <c r="BE4605" s="152"/>
      <c r="BF4605" s="152"/>
      <c r="BG4605" s="152"/>
      <c r="BH4605" s="152"/>
      <c r="BI4605" s="153"/>
      <c r="BJ4605" s="153"/>
      <c r="BK4605" s="153"/>
      <c r="BL4605" s="153"/>
      <c r="BM4605" s="153"/>
      <c r="BN4605" s="153"/>
      <c r="BO4605" s="153"/>
      <c r="BP4605" s="153"/>
      <c r="BQ4605" s="153"/>
      <c r="BR4605" s="153"/>
      <c r="BS4605" s="153"/>
      <c r="BT4605" s="153"/>
      <c r="BU4605" s="153"/>
      <c r="BV4605" s="153"/>
      <c r="BW4605" s="153"/>
      <c r="BX4605" s="153"/>
      <c r="BY4605" s="153"/>
      <c r="BZ4605" s="153"/>
      <c r="CA4605" s="152"/>
      <c r="CB4605" s="152"/>
    </row>
    <row r="4606" spans="1:80" s="87" customFormat="1" x14ac:dyDescent="0.2">
      <c r="A4606" s="152"/>
      <c r="B4606" s="683"/>
      <c r="C4606" s="683"/>
      <c r="D4606" s="698"/>
      <c r="E4606" s="215"/>
      <c r="F4606" s="215"/>
      <c r="G4606" s="153"/>
      <c r="H4606" s="153"/>
      <c r="I4606" s="222">
        <v>20</v>
      </c>
      <c r="J4606" s="222">
        <v>60</v>
      </c>
      <c r="K4606" s="150">
        <v>1</v>
      </c>
      <c r="L4606" s="656">
        <v>20</v>
      </c>
      <c r="M4606" s="663">
        <v>34878</v>
      </c>
      <c r="N4606" s="600">
        <v>25.679600000000001</v>
      </c>
      <c r="O4606" s="604">
        <v>0.45866299999999999</v>
      </c>
      <c r="P4606" s="250"/>
      <c r="Q4606" s="250">
        <v>0.107</v>
      </c>
      <c r="R4606" s="250">
        <v>0</v>
      </c>
      <c r="S4606" s="250">
        <v>3.3000000000000002E-2</v>
      </c>
      <c r="T4606" s="250">
        <v>0.157</v>
      </c>
      <c r="U4606" s="250">
        <v>0.22899999999999998</v>
      </c>
      <c r="V4606" s="250">
        <v>0.27899999999999997</v>
      </c>
      <c r="W4606" s="250">
        <v>0.15</v>
      </c>
      <c r="X4606" s="250">
        <v>4.2000000000000003E-2</v>
      </c>
      <c r="Y4606" s="250">
        <v>3.0000000000000001E-3</v>
      </c>
      <c r="Z4606" s="150">
        <v>43</v>
      </c>
      <c r="AA4606" s="150">
        <v>2.16</v>
      </c>
      <c r="AB4606" s="152"/>
      <c r="AC4606" s="152"/>
      <c r="AD4606" s="223"/>
      <c r="AE4606" s="223"/>
      <c r="AF4606" s="223"/>
      <c r="AG4606" s="223"/>
      <c r="AH4606" s="341"/>
      <c r="AI4606" s="218"/>
      <c r="AJ4606" s="218"/>
      <c r="AK4606" s="153"/>
      <c r="AL4606" s="152"/>
      <c r="AM4606" s="152"/>
      <c r="AN4606" s="152"/>
      <c r="AO4606" s="152"/>
      <c r="AP4606" s="152"/>
      <c r="AQ4606" s="152"/>
      <c r="AR4606" s="152"/>
      <c r="AS4606" s="152"/>
      <c r="AT4606" s="152"/>
      <c r="AU4606" s="153"/>
      <c r="AV4606" s="479"/>
      <c r="AW4606" s="479"/>
      <c r="AX4606" s="442"/>
      <c r="AY4606" s="153"/>
      <c r="AZ4606" s="152"/>
      <c r="BA4606" s="152"/>
      <c r="BB4606" s="152"/>
      <c r="BC4606" s="152"/>
      <c r="BD4606" s="152"/>
      <c r="BE4606" s="152"/>
      <c r="BF4606" s="152"/>
      <c r="BG4606" s="152"/>
      <c r="BH4606" s="152"/>
      <c r="BI4606" s="153"/>
      <c r="BJ4606" s="153"/>
      <c r="BK4606" s="153"/>
      <c r="BL4606" s="153"/>
      <c r="BM4606" s="153"/>
      <c r="BN4606" s="153"/>
      <c r="BO4606" s="153"/>
      <c r="BP4606" s="153"/>
      <c r="BQ4606" s="153"/>
      <c r="BR4606" s="153"/>
      <c r="BS4606" s="153"/>
      <c r="BT4606" s="153"/>
      <c r="BU4606" s="153"/>
      <c r="BV4606" s="153"/>
      <c r="BW4606" s="153"/>
      <c r="BX4606" s="153"/>
      <c r="BY4606" s="153"/>
      <c r="BZ4606" s="153"/>
      <c r="CA4606" s="152"/>
      <c r="CB4606" s="152"/>
    </row>
    <row r="4607" spans="1:80" s="87" customFormat="1" x14ac:dyDescent="0.2">
      <c r="A4607" s="152"/>
      <c r="B4607" s="683"/>
      <c r="C4607" s="683"/>
      <c r="D4607" s="698"/>
      <c r="E4607" s="215"/>
      <c r="F4607" s="215"/>
      <c r="G4607" s="153"/>
      <c r="H4607" s="153"/>
      <c r="I4607" s="222">
        <v>20</v>
      </c>
      <c r="J4607" s="222">
        <v>60</v>
      </c>
      <c r="K4607" s="150">
        <v>1</v>
      </c>
      <c r="L4607" s="656">
        <v>20</v>
      </c>
      <c r="M4607" s="663">
        <v>34878</v>
      </c>
      <c r="N4607" s="600">
        <v>25.679600000000001</v>
      </c>
      <c r="O4607" s="604">
        <v>0.77143499999999998</v>
      </c>
      <c r="P4607" s="250"/>
      <c r="Q4607" s="250"/>
      <c r="R4607" s="250"/>
      <c r="S4607" s="250">
        <v>6.5000000000000002E-2</v>
      </c>
      <c r="T4607" s="250">
        <v>0.222</v>
      </c>
      <c r="U4607" s="250">
        <v>0.25600000000000001</v>
      </c>
      <c r="V4607" s="250">
        <v>0.27699999999999997</v>
      </c>
      <c r="W4607" s="250">
        <v>0.14699999999999999</v>
      </c>
      <c r="X4607" s="250">
        <v>3.1E-2</v>
      </c>
      <c r="Y4607" s="250">
        <v>2E-3</v>
      </c>
      <c r="Z4607" s="150">
        <v>16</v>
      </c>
      <c r="AA4607" s="150">
        <v>2.25</v>
      </c>
      <c r="AB4607" s="152"/>
      <c r="AC4607" s="152"/>
      <c r="AD4607" s="223"/>
      <c r="AE4607" s="223"/>
      <c r="AF4607" s="223"/>
      <c r="AG4607" s="223"/>
      <c r="AH4607" s="341"/>
      <c r="AI4607" s="218"/>
      <c r="AJ4607" s="218"/>
      <c r="AK4607" s="153"/>
      <c r="AL4607" s="152"/>
      <c r="AM4607" s="152"/>
      <c r="AN4607" s="152"/>
      <c r="AO4607" s="152"/>
      <c r="AP4607" s="152"/>
      <c r="AQ4607" s="152"/>
      <c r="AR4607" s="152"/>
      <c r="AS4607" s="152"/>
      <c r="AT4607" s="152"/>
      <c r="AU4607" s="153"/>
      <c r="AV4607" s="479"/>
      <c r="AW4607" s="479"/>
      <c r="AX4607" s="442"/>
      <c r="AY4607" s="153"/>
      <c r="AZ4607" s="152"/>
      <c r="BA4607" s="152"/>
      <c r="BB4607" s="152"/>
      <c r="BC4607" s="152"/>
      <c r="BD4607" s="152"/>
      <c r="BE4607" s="152"/>
      <c r="BF4607" s="152"/>
      <c r="BG4607" s="152"/>
      <c r="BH4607" s="152"/>
      <c r="BI4607" s="153"/>
      <c r="BJ4607" s="153"/>
      <c r="BK4607" s="153"/>
      <c r="BL4607" s="153"/>
      <c r="BM4607" s="153"/>
      <c r="BN4607" s="153"/>
      <c r="BO4607" s="153"/>
      <c r="BP4607" s="153"/>
      <c r="BQ4607" s="153"/>
      <c r="BR4607" s="153"/>
      <c r="BS4607" s="153"/>
      <c r="BT4607" s="153"/>
      <c r="BU4607" s="153"/>
      <c r="BV4607" s="153"/>
      <c r="BW4607" s="153"/>
      <c r="BX4607" s="153"/>
      <c r="BY4607" s="153"/>
      <c r="BZ4607" s="153"/>
      <c r="CA4607" s="152"/>
      <c r="CB4607" s="152"/>
    </row>
    <row r="4608" spans="1:80" s="87" customFormat="1" x14ac:dyDescent="0.2">
      <c r="A4608" s="152"/>
      <c r="B4608" s="683"/>
      <c r="C4608" s="683"/>
      <c r="D4608" s="698"/>
      <c r="E4608" s="215"/>
      <c r="F4608" s="215"/>
      <c r="G4608" s="153"/>
      <c r="H4608" s="153"/>
      <c r="I4608" s="222">
        <v>20</v>
      </c>
      <c r="J4608" s="222">
        <v>60</v>
      </c>
      <c r="K4608" s="150">
        <v>1</v>
      </c>
      <c r="L4608" s="656">
        <v>20</v>
      </c>
      <c r="M4608" s="663">
        <v>35568</v>
      </c>
      <c r="N4608" s="600">
        <v>40.204000000000001</v>
      </c>
      <c r="O4608" s="604">
        <v>0.92572200000000004</v>
      </c>
      <c r="P4608" s="250"/>
      <c r="Q4608" s="250">
        <v>4.0999999999999995E-2</v>
      </c>
      <c r="R4608" s="250">
        <v>3.4000000000000002E-2</v>
      </c>
      <c r="S4608" s="250">
        <v>8.3000000000000004E-2</v>
      </c>
      <c r="T4608" s="250">
        <v>0.182</v>
      </c>
      <c r="U4608" s="250">
        <v>0.21600000000000003</v>
      </c>
      <c r="V4608" s="250">
        <v>0.247</v>
      </c>
      <c r="W4608" s="250">
        <v>0.158</v>
      </c>
      <c r="X4608" s="250">
        <v>3.9E-2</v>
      </c>
      <c r="Y4608" s="250">
        <v>1E-3</v>
      </c>
      <c r="Z4608" s="150">
        <v>50</v>
      </c>
      <c r="AA4608" s="150">
        <v>2.39</v>
      </c>
      <c r="AB4608" s="152"/>
      <c r="AC4608" s="152"/>
      <c r="AD4608" s="223"/>
      <c r="AE4608" s="223"/>
      <c r="AF4608" s="223"/>
      <c r="AG4608" s="223"/>
      <c r="AH4608" s="341"/>
      <c r="AI4608" s="218"/>
      <c r="AJ4608" s="218"/>
      <c r="AK4608" s="153"/>
      <c r="AL4608" s="152"/>
      <c r="AM4608" s="152"/>
      <c r="AN4608" s="152"/>
      <c r="AO4608" s="152"/>
      <c r="AP4608" s="152"/>
      <c r="AQ4608" s="152"/>
      <c r="AR4608" s="152"/>
      <c r="AS4608" s="152"/>
      <c r="AT4608" s="152"/>
      <c r="AU4608" s="153"/>
      <c r="AV4608" s="479"/>
      <c r="AW4608" s="479"/>
      <c r="AX4608" s="442"/>
      <c r="AY4608" s="153"/>
      <c r="AZ4608" s="152"/>
      <c r="BA4608" s="152"/>
      <c r="BB4608" s="152"/>
      <c r="BC4608" s="152"/>
      <c r="BD4608" s="152"/>
      <c r="BE4608" s="152"/>
      <c r="BF4608" s="152"/>
      <c r="BG4608" s="152"/>
      <c r="BH4608" s="152"/>
      <c r="BI4608" s="153"/>
      <c r="BJ4608" s="153"/>
      <c r="BK4608" s="153"/>
      <c r="BL4608" s="153"/>
      <c r="BM4608" s="153"/>
      <c r="BN4608" s="153"/>
      <c r="BO4608" s="153"/>
      <c r="BP4608" s="153"/>
      <c r="BQ4608" s="153"/>
      <c r="BR4608" s="153"/>
      <c r="BS4608" s="153"/>
      <c r="BT4608" s="153"/>
      <c r="BU4608" s="153"/>
      <c r="BV4608" s="153"/>
      <c r="BW4608" s="153"/>
      <c r="BX4608" s="153"/>
      <c r="BY4608" s="153"/>
      <c r="BZ4608" s="153"/>
      <c r="CA4608" s="152"/>
      <c r="CB4608" s="152"/>
    </row>
    <row r="4609" spans="1:80" s="87" customFormat="1" x14ac:dyDescent="0.2">
      <c r="A4609" s="152"/>
      <c r="B4609" s="683"/>
      <c r="C4609" s="683"/>
      <c r="D4609" s="698"/>
      <c r="E4609" s="215"/>
      <c r="F4609" s="215"/>
      <c r="G4609" s="153"/>
      <c r="H4609" s="153"/>
      <c r="I4609" s="222">
        <v>20</v>
      </c>
      <c r="J4609" s="222">
        <v>60</v>
      </c>
      <c r="K4609" s="150">
        <v>1</v>
      </c>
      <c r="L4609" s="656">
        <v>20</v>
      </c>
      <c r="M4609" s="663">
        <v>35568</v>
      </c>
      <c r="N4609" s="600">
        <v>39.354700000000001</v>
      </c>
      <c r="O4609" s="604">
        <v>0.94251499999999999</v>
      </c>
      <c r="P4609" s="250">
        <v>0.153</v>
      </c>
      <c r="Q4609" s="250">
        <v>5.2999999999999999E-2</v>
      </c>
      <c r="R4609" s="250">
        <v>8.3000000000000004E-2</v>
      </c>
      <c r="S4609" s="250">
        <v>0.10400000000000001</v>
      </c>
      <c r="T4609" s="250">
        <v>0.20300000000000001</v>
      </c>
      <c r="U4609" s="250">
        <v>0.17100000000000001</v>
      </c>
      <c r="V4609" s="250">
        <v>0.13300000000000001</v>
      </c>
      <c r="W4609" s="250">
        <v>7.9000000000000001E-2</v>
      </c>
      <c r="X4609" s="250">
        <v>2.1000000000000001E-2</v>
      </c>
      <c r="Y4609" s="250">
        <v>0</v>
      </c>
      <c r="Z4609" s="150">
        <v>141</v>
      </c>
      <c r="AA4609" s="150">
        <v>5.55</v>
      </c>
      <c r="AB4609" s="152"/>
      <c r="AC4609" s="152"/>
      <c r="AD4609" s="223"/>
      <c r="AE4609" s="223"/>
      <c r="AF4609" s="223"/>
      <c r="AG4609" s="223"/>
      <c r="AH4609" s="341"/>
      <c r="AI4609" s="218"/>
      <c r="AJ4609" s="218"/>
      <c r="AK4609" s="153"/>
      <c r="AL4609" s="152"/>
      <c r="AM4609" s="152"/>
      <c r="AN4609" s="152"/>
      <c r="AO4609" s="152"/>
      <c r="AP4609" s="152"/>
      <c r="AQ4609" s="152"/>
      <c r="AR4609" s="152"/>
      <c r="AS4609" s="152"/>
      <c r="AT4609" s="152"/>
      <c r="AU4609" s="153"/>
      <c r="AV4609" s="479"/>
      <c r="AW4609" s="479"/>
      <c r="AX4609" s="442"/>
      <c r="AY4609" s="153"/>
      <c r="AZ4609" s="152"/>
      <c r="BA4609" s="152"/>
      <c r="BB4609" s="152"/>
      <c r="BC4609" s="152"/>
      <c r="BD4609" s="152"/>
      <c r="BE4609" s="152"/>
      <c r="BF4609" s="152"/>
      <c r="BG4609" s="152"/>
      <c r="BH4609" s="152"/>
      <c r="BI4609" s="153"/>
      <c r="BJ4609" s="153"/>
      <c r="BK4609" s="153"/>
      <c r="BL4609" s="153"/>
      <c r="BM4609" s="153"/>
      <c r="BN4609" s="153"/>
      <c r="BO4609" s="153"/>
      <c r="BP4609" s="153"/>
      <c r="BQ4609" s="153"/>
      <c r="BR4609" s="153"/>
      <c r="BS4609" s="153"/>
      <c r="BT4609" s="153"/>
      <c r="BU4609" s="153"/>
      <c r="BV4609" s="153"/>
      <c r="BW4609" s="153"/>
      <c r="BX4609" s="153"/>
      <c r="BY4609" s="153"/>
      <c r="BZ4609" s="153"/>
      <c r="CA4609" s="152"/>
      <c r="CB4609" s="152"/>
    </row>
    <row r="4610" spans="1:80" s="87" customFormat="1" x14ac:dyDescent="0.2">
      <c r="A4610" s="152"/>
      <c r="B4610" s="683"/>
      <c r="C4610" s="683"/>
      <c r="D4610" s="698"/>
      <c r="E4610" s="215"/>
      <c r="F4610" s="215"/>
      <c r="G4610" s="153"/>
      <c r="H4610" s="153"/>
      <c r="I4610" s="222">
        <v>20</v>
      </c>
      <c r="J4610" s="222">
        <v>60</v>
      </c>
      <c r="K4610" s="150">
        <v>1</v>
      </c>
      <c r="L4610" s="656">
        <v>20</v>
      </c>
      <c r="M4610" s="663">
        <v>35588</v>
      </c>
      <c r="N4610" s="600">
        <v>34.824599999999997</v>
      </c>
      <c r="O4610" s="604">
        <v>0.21936</v>
      </c>
      <c r="P4610" s="250"/>
      <c r="Q4610" s="250"/>
      <c r="R4610" s="250">
        <v>9.6999999999999989E-2</v>
      </c>
      <c r="S4610" s="250">
        <v>4.7E-2</v>
      </c>
      <c r="T4610" s="250">
        <v>0.154</v>
      </c>
      <c r="U4610" s="250">
        <v>3.5000000000000003E-2</v>
      </c>
      <c r="V4610" s="250">
        <v>0.441</v>
      </c>
      <c r="W4610" s="250">
        <v>0.20100000000000001</v>
      </c>
      <c r="X4610" s="250">
        <v>2.5000000000000001E-2</v>
      </c>
      <c r="Y4610" s="250">
        <v>0</v>
      </c>
      <c r="Z4610" s="150">
        <v>33</v>
      </c>
      <c r="AA4610" s="150">
        <v>1.54</v>
      </c>
      <c r="AB4610" s="152"/>
      <c r="AC4610" s="152"/>
      <c r="AD4610" s="223"/>
      <c r="AE4610" s="223"/>
      <c r="AF4610" s="223"/>
      <c r="AG4610" s="223"/>
      <c r="AH4610" s="341"/>
      <c r="AI4610" s="218"/>
      <c r="AJ4610" s="218"/>
      <c r="AK4610" s="153"/>
      <c r="AL4610" s="152"/>
      <c r="AM4610" s="152"/>
      <c r="AN4610" s="152"/>
      <c r="AO4610" s="152"/>
      <c r="AP4610" s="152"/>
      <c r="AQ4610" s="152"/>
      <c r="AR4610" s="152"/>
      <c r="AS4610" s="152"/>
      <c r="AT4610" s="152"/>
      <c r="AU4610" s="153"/>
      <c r="AV4610" s="479"/>
      <c r="AW4610" s="479"/>
      <c r="AX4610" s="442"/>
      <c r="AY4610" s="153"/>
      <c r="AZ4610" s="152"/>
      <c r="BA4610" s="152"/>
      <c r="BB4610" s="152"/>
      <c r="BC4610" s="152"/>
      <c r="BD4610" s="152"/>
      <c r="BE4610" s="152"/>
      <c r="BF4610" s="152"/>
      <c r="BG4610" s="152"/>
      <c r="BH4610" s="152"/>
      <c r="BI4610" s="153"/>
      <c r="BJ4610" s="153"/>
      <c r="BK4610" s="153"/>
      <c r="BL4610" s="153"/>
      <c r="BM4610" s="153"/>
      <c r="BN4610" s="153"/>
      <c r="BO4610" s="153"/>
      <c r="BP4610" s="153"/>
      <c r="BQ4610" s="153"/>
      <c r="BR4610" s="153"/>
      <c r="BS4610" s="153"/>
      <c r="BT4610" s="153"/>
      <c r="BU4610" s="153"/>
      <c r="BV4610" s="153"/>
      <c r="BW4610" s="153"/>
      <c r="BX4610" s="153"/>
      <c r="BY4610" s="153"/>
      <c r="BZ4610" s="153"/>
      <c r="CA4610" s="152"/>
      <c r="CB4610" s="152"/>
    </row>
    <row r="4611" spans="1:80" s="87" customFormat="1" x14ac:dyDescent="0.2">
      <c r="A4611" s="152"/>
      <c r="B4611" s="683"/>
      <c r="C4611" s="683"/>
      <c r="D4611" s="698"/>
      <c r="E4611" s="215"/>
      <c r="F4611" s="215"/>
      <c r="G4611" s="153"/>
      <c r="H4611" s="153"/>
      <c r="I4611" s="222">
        <v>20</v>
      </c>
      <c r="J4611" s="222">
        <v>60</v>
      </c>
      <c r="K4611" s="150">
        <v>1</v>
      </c>
      <c r="L4611" s="656">
        <v>20</v>
      </c>
      <c r="M4611" s="663">
        <v>35588</v>
      </c>
      <c r="N4611" s="600">
        <v>34.824599999999997</v>
      </c>
      <c r="O4611" s="604">
        <v>0.19522</v>
      </c>
      <c r="P4611" s="250"/>
      <c r="Q4611" s="250">
        <v>0.109</v>
      </c>
      <c r="R4611" s="250">
        <v>5.7999999999999996E-2</v>
      </c>
      <c r="S4611" s="250">
        <v>8.4000000000000005E-2</v>
      </c>
      <c r="T4611" s="250">
        <v>0.151</v>
      </c>
      <c r="U4611" s="250">
        <v>0.21600000000000003</v>
      </c>
      <c r="V4611" s="250">
        <v>0.23499999999999999</v>
      </c>
      <c r="W4611" s="250">
        <v>0.128</v>
      </c>
      <c r="X4611" s="250">
        <v>1.9E-2</v>
      </c>
      <c r="Y4611" s="250">
        <v>0</v>
      </c>
      <c r="Z4611" s="150">
        <v>84</v>
      </c>
      <c r="AA4611" s="150">
        <v>2.92</v>
      </c>
      <c r="AB4611" s="152"/>
      <c r="AC4611" s="152"/>
      <c r="AD4611" s="223"/>
      <c r="AE4611" s="223"/>
      <c r="AF4611" s="223"/>
      <c r="AG4611" s="223"/>
      <c r="AH4611" s="341"/>
      <c r="AI4611" s="218"/>
      <c r="AJ4611" s="218"/>
      <c r="AK4611" s="153"/>
      <c r="AL4611" s="152"/>
      <c r="AM4611" s="152"/>
      <c r="AN4611" s="152"/>
      <c r="AO4611" s="152"/>
      <c r="AP4611" s="152"/>
      <c r="AQ4611" s="152"/>
      <c r="AR4611" s="152"/>
      <c r="AS4611" s="152"/>
      <c r="AT4611" s="152"/>
      <c r="AU4611" s="153"/>
      <c r="AV4611" s="479"/>
      <c r="AW4611" s="479"/>
      <c r="AX4611" s="442"/>
      <c r="AY4611" s="153"/>
      <c r="AZ4611" s="152"/>
      <c r="BA4611" s="152"/>
      <c r="BB4611" s="152"/>
      <c r="BC4611" s="152"/>
      <c r="BD4611" s="152"/>
      <c r="BE4611" s="152"/>
      <c r="BF4611" s="152"/>
      <c r="BG4611" s="152"/>
      <c r="BH4611" s="152"/>
      <c r="BI4611" s="153"/>
      <c r="BJ4611" s="153"/>
      <c r="BK4611" s="153"/>
      <c r="BL4611" s="153"/>
      <c r="BM4611" s="153"/>
      <c r="BN4611" s="153"/>
      <c r="BO4611" s="153"/>
      <c r="BP4611" s="153"/>
      <c r="BQ4611" s="153"/>
      <c r="BR4611" s="153"/>
      <c r="BS4611" s="153"/>
      <c r="BT4611" s="153"/>
      <c r="BU4611" s="153"/>
      <c r="BV4611" s="153"/>
      <c r="BW4611" s="153"/>
      <c r="BX4611" s="153"/>
      <c r="BY4611" s="153"/>
      <c r="BZ4611" s="153"/>
      <c r="CA4611" s="152"/>
      <c r="CB4611" s="152"/>
    </row>
    <row r="4612" spans="1:80" s="87" customFormat="1" x14ac:dyDescent="0.2">
      <c r="A4612" s="152"/>
      <c r="B4612" s="683"/>
      <c r="C4612" s="683"/>
      <c r="D4612" s="698"/>
      <c r="E4612" s="215"/>
      <c r="F4612" s="215"/>
      <c r="G4612" s="153"/>
      <c r="H4612" s="153"/>
      <c r="I4612" s="163">
        <v>22</v>
      </c>
      <c r="J4612" s="163">
        <v>60</v>
      </c>
      <c r="K4612" s="150">
        <v>1</v>
      </c>
      <c r="L4612" s="656">
        <v>22</v>
      </c>
      <c r="M4612" s="663">
        <v>34456</v>
      </c>
      <c r="N4612" s="600">
        <v>4.8131599999999999</v>
      </c>
      <c r="O4612" s="604">
        <v>3.7989999999999999E-3</v>
      </c>
      <c r="P4612" s="250"/>
      <c r="Q4612" s="250"/>
      <c r="R4612" s="250"/>
      <c r="S4612" s="250"/>
      <c r="T4612" s="250">
        <v>1.4999999999999999E-2</v>
      </c>
      <c r="U4612" s="250">
        <v>0.214</v>
      </c>
      <c r="V4612" s="250">
        <v>0.36299999999999999</v>
      </c>
      <c r="W4612" s="250">
        <v>0.28499999999999998</v>
      </c>
      <c r="X4612" s="250">
        <v>0.11699999999999999</v>
      </c>
      <c r="Y4612" s="250">
        <v>6.9999999999999993E-3</v>
      </c>
      <c r="Z4612" s="150">
        <v>8.5</v>
      </c>
      <c r="AA4612" s="150">
        <v>1.19</v>
      </c>
      <c r="AB4612" s="152"/>
      <c r="AC4612" s="152"/>
      <c r="AD4612" s="223"/>
      <c r="AE4612" s="223"/>
      <c r="AF4612" s="223"/>
      <c r="AG4612" s="223"/>
      <c r="AH4612" s="341"/>
      <c r="AI4612" s="218"/>
      <c r="AJ4612" s="218"/>
      <c r="AK4612" s="153"/>
      <c r="AL4612" s="152"/>
      <c r="AM4612" s="152"/>
      <c r="AN4612" s="152"/>
      <c r="AO4612" s="152"/>
      <c r="AP4612" s="152"/>
      <c r="AQ4612" s="152"/>
      <c r="AR4612" s="152"/>
      <c r="AS4612" s="152"/>
      <c r="AT4612" s="152"/>
      <c r="AU4612" s="153"/>
      <c r="AV4612" s="479"/>
      <c r="AW4612" s="479"/>
      <c r="AX4612" s="442"/>
      <c r="AY4612" s="153"/>
      <c r="AZ4612" s="152"/>
      <c r="BA4612" s="152"/>
      <c r="BB4612" s="152"/>
      <c r="BC4612" s="152"/>
      <c r="BD4612" s="152"/>
      <c r="BE4612" s="152"/>
      <c r="BF4612" s="152"/>
      <c r="BG4612" s="152"/>
      <c r="BH4612" s="152"/>
      <c r="BI4612" s="153"/>
      <c r="BJ4612" s="153"/>
      <c r="BK4612" s="153"/>
      <c r="BL4612" s="153"/>
      <c r="BM4612" s="153"/>
      <c r="BN4612" s="153"/>
      <c r="BO4612" s="153"/>
      <c r="BP4612" s="153"/>
      <c r="BQ4612" s="153"/>
      <c r="BR4612" s="153"/>
      <c r="BS4612" s="153"/>
      <c r="BT4612" s="153"/>
      <c r="BU4612" s="153"/>
      <c r="BV4612" s="153"/>
      <c r="BW4612" s="153"/>
      <c r="BX4612" s="153"/>
      <c r="BY4612" s="153"/>
      <c r="BZ4612" s="153"/>
      <c r="CA4612" s="152"/>
      <c r="CB4612" s="152"/>
    </row>
    <row r="4613" spans="1:80" s="87" customFormat="1" x14ac:dyDescent="0.2">
      <c r="A4613" s="152"/>
      <c r="B4613" s="683"/>
      <c r="C4613" s="683"/>
      <c r="D4613" s="698"/>
      <c r="E4613" s="215"/>
      <c r="F4613" s="215"/>
      <c r="G4613" s="153"/>
      <c r="H4613" s="153"/>
      <c r="I4613" s="163">
        <v>40</v>
      </c>
      <c r="J4613" s="163">
        <v>30</v>
      </c>
      <c r="K4613" s="150">
        <v>1</v>
      </c>
      <c r="L4613" s="656">
        <v>20</v>
      </c>
      <c r="M4613" s="663">
        <v>34460</v>
      </c>
      <c r="N4613" s="600">
        <v>5.4077299999999999</v>
      </c>
      <c r="O4613" s="604">
        <v>2.96E-3</v>
      </c>
      <c r="P4613" s="250"/>
      <c r="Q4613" s="250"/>
      <c r="R4613" s="250"/>
      <c r="S4613" s="250"/>
      <c r="T4613" s="250">
        <v>1.2E-2</v>
      </c>
      <c r="U4613" s="250">
        <v>0.113</v>
      </c>
      <c r="V4613" s="250">
        <v>0.36200000000000004</v>
      </c>
      <c r="W4613" s="250">
        <v>0.373</v>
      </c>
      <c r="X4613" s="250">
        <v>0.13100000000000001</v>
      </c>
      <c r="Y4613" s="250">
        <v>0.01</v>
      </c>
      <c r="Z4613" s="150">
        <v>4</v>
      </c>
      <c r="AA4613" s="150">
        <v>0.97</v>
      </c>
      <c r="AB4613" s="152"/>
      <c r="AC4613" s="152"/>
      <c r="AD4613" s="223"/>
      <c r="AE4613" s="223"/>
      <c r="AF4613" s="223"/>
      <c r="AG4613" s="223"/>
      <c r="AH4613" s="341"/>
      <c r="AI4613" s="218"/>
      <c r="AJ4613" s="218"/>
      <c r="AK4613" s="153"/>
      <c r="AL4613" s="152"/>
      <c r="AM4613" s="152"/>
      <c r="AN4613" s="152"/>
      <c r="AO4613" s="152"/>
      <c r="AP4613" s="152"/>
      <c r="AQ4613" s="152"/>
      <c r="AR4613" s="152"/>
      <c r="AS4613" s="152"/>
      <c r="AT4613" s="152"/>
      <c r="AU4613" s="153"/>
      <c r="AV4613" s="479"/>
      <c r="AW4613" s="479"/>
      <c r="AX4613" s="442"/>
      <c r="AY4613" s="153"/>
      <c r="AZ4613" s="152"/>
      <c r="BA4613" s="152"/>
      <c r="BB4613" s="152"/>
      <c r="BC4613" s="152"/>
      <c r="BD4613" s="152"/>
      <c r="BE4613" s="152"/>
      <c r="BF4613" s="152"/>
      <c r="BG4613" s="152"/>
      <c r="BH4613" s="152"/>
      <c r="BI4613" s="153"/>
      <c r="BJ4613" s="153"/>
      <c r="BK4613" s="153"/>
      <c r="BL4613" s="153"/>
      <c r="BM4613" s="153"/>
      <c r="BN4613" s="153"/>
      <c r="BO4613" s="153"/>
      <c r="BP4613" s="153"/>
      <c r="BQ4613" s="153"/>
      <c r="BR4613" s="153"/>
      <c r="BS4613" s="153"/>
      <c r="BT4613" s="153"/>
      <c r="BU4613" s="153"/>
      <c r="BV4613" s="153"/>
      <c r="BW4613" s="153"/>
      <c r="BX4613" s="153"/>
      <c r="BY4613" s="153"/>
      <c r="BZ4613" s="153"/>
      <c r="CA4613" s="152"/>
      <c r="CB4613" s="152"/>
    </row>
    <row r="4614" spans="1:80" s="87" customFormat="1" x14ac:dyDescent="0.2">
      <c r="A4614" s="152"/>
      <c r="B4614" s="683"/>
      <c r="C4614" s="683"/>
      <c r="D4614" s="698"/>
      <c r="E4614" s="215"/>
      <c r="F4614" s="215"/>
      <c r="G4614" s="153"/>
      <c r="H4614" s="153"/>
      <c r="I4614" s="163">
        <v>23</v>
      </c>
      <c r="J4614" s="163">
        <v>30</v>
      </c>
      <c r="K4614" s="150">
        <v>1</v>
      </c>
      <c r="L4614" s="656">
        <v>11.5</v>
      </c>
      <c r="M4614" s="663">
        <v>34461</v>
      </c>
      <c r="N4614" s="600">
        <v>6.22879</v>
      </c>
      <c r="O4614" s="604">
        <v>6.2974000000000002E-2</v>
      </c>
      <c r="P4614" s="250"/>
      <c r="Q4614" s="250"/>
      <c r="R4614" s="250"/>
      <c r="S4614" s="250"/>
      <c r="T4614" s="250"/>
      <c r="U4614" s="250">
        <v>0.10400000000000001</v>
      </c>
      <c r="V4614" s="250">
        <v>0.65799999999999992</v>
      </c>
      <c r="W4614" s="250">
        <v>0.217</v>
      </c>
      <c r="X4614" s="250">
        <v>0.02</v>
      </c>
      <c r="Y4614" s="250">
        <v>1E-3</v>
      </c>
      <c r="Z4614" s="150">
        <v>5.9</v>
      </c>
      <c r="AA4614" s="150">
        <v>1.32</v>
      </c>
      <c r="AB4614" s="152"/>
      <c r="AC4614" s="152"/>
      <c r="AD4614" s="223"/>
      <c r="AE4614" s="223"/>
      <c r="AF4614" s="223"/>
      <c r="AG4614" s="223"/>
      <c r="AH4614" s="341"/>
      <c r="AI4614" s="218"/>
      <c r="AJ4614" s="218"/>
      <c r="AK4614" s="153"/>
      <c r="AL4614" s="152"/>
      <c r="AM4614" s="152"/>
      <c r="AN4614" s="152"/>
      <c r="AO4614" s="152"/>
      <c r="AP4614" s="152"/>
      <c r="AQ4614" s="152"/>
      <c r="AR4614" s="152"/>
      <c r="AS4614" s="152"/>
      <c r="AT4614" s="152"/>
      <c r="AU4614" s="153"/>
      <c r="AV4614" s="479"/>
      <c r="AW4614" s="479"/>
      <c r="AX4614" s="442"/>
      <c r="AY4614" s="153"/>
      <c r="AZ4614" s="152"/>
      <c r="BA4614" s="152"/>
      <c r="BB4614" s="152"/>
      <c r="BC4614" s="152"/>
      <c r="BD4614" s="152"/>
      <c r="BE4614" s="152"/>
      <c r="BF4614" s="152"/>
      <c r="BG4614" s="152"/>
      <c r="BH4614" s="152"/>
      <c r="BI4614" s="153"/>
      <c r="BJ4614" s="153"/>
      <c r="BK4614" s="153"/>
      <c r="BL4614" s="153"/>
      <c r="BM4614" s="153"/>
      <c r="BN4614" s="153"/>
      <c r="BO4614" s="153"/>
      <c r="BP4614" s="153"/>
      <c r="BQ4614" s="153"/>
      <c r="BR4614" s="153"/>
      <c r="BS4614" s="153"/>
      <c r="BT4614" s="153"/>
      <c r="BU4614" s="153"/>
      <c r="BV4614" s="153"/>
      <c r="BW4614" s="153"/>
      <c r="BX4614" s="153"/>
      <c r="BY4614" s="153"/>
      <c r="BZ4614" s="153"/>
      <c r="CA4614" s="152"/>
      <c r="CB4614" s="152"/>
    </row>
    <row r="4615" spans="1:80" s="87" customFormat="1" x14ac:dyDescent="0.2">
      <c r="A4615" s="152"/>
      <c r="B4615" s="683"/>
      <c r="C4615" s="683"/>
      <c r="D4615" s="698"/>
      <c r="E4615" s="215"/>
      <c r="F4615" s="215"/>
      <c r="G4615" s="153"/>
      <c r="H4615" s="153"/>
      <c r="I4615" s="163">
        <v>23</v>
      </c>
      <c r="J4615" s="163">
        <v>30</v>
      </c>
      <c r="K4615" s="150">
        <v>1</v>
      </c>
      <c r="L4615" s="656">
        <v>11.5</v>
      </c>
      <c r="M4615" s="663">
        <v>34461</v>
      </c>
      <c r="N4615" s="600">
        <v>6.22879</v>
      </c>
      <c r="O4615" s="604">
        <v>7.8609999999999999E-3</v>
      </c>
      <c r="P4615" s="250"/>
      <c r="Q4615" s="250"/>
      <c r="R4615" s="250"/>
      <c r="S4615" s="250"/>
      <c r="T4615" s="250">
        <v>0.1</v>
      </c>
      <c r="U4615" s="250">
        <v>0.307</v>
      </c>
      <c r="V4615" s="250">
        <v>0.40899999999999997</v>
      </c>
      <c r="W4615" s="250">
        <v>0.13699999999999998</v>
      </c>
      <c r="X4615" s="250">
        <v>4.4000000000000004E-2</v>
      </c>
      <c r="Y4615" s="250">
        <v>2E-3</v>
      </c>
      <c r="Z4615" s="150">
        <v>5.5</v>
      </c>
      <c r="AA4615" s="150">
        <v>1.71</v>
      </c>
      <c r="AB4615" s="152"/>
      <c r="AC4615" s="152"/>
      <c r="AD4615" s="223"/>
      <c r="AE4615" s="223"/>
      <c r="AF4615" s="223"/>
      <c r="AG4615" s="223"/>
      <c r="AH4615" s="341"/>
      <c r="AI4615" s="218"/>
      <c r="AJ4615" s="218"/>
      <c r="AK4615" s="153"/>
      <c r="AL4615" s="152"/>
      <c r="AM4615" s="152"/>
      <c r="AN4615" s="152"/>
      <c r="AO4615" s="152"/>
      <c r="AP4615" s="152"/>
      <c r="AQ4615" s="152"/>
      <c r="AR4615" s="152"/>
      <c r="AS4615" s="152"/>
      <c r="AT4615" s="152"/>
      <c r="AU4615" s="153"/>
      <c r="AV4615" s="479"/>
      <c r="AW4615" s="479"/>
      <c r="AX4615" s="442"/>
      <c r="AY4615" s="153"/>
      <c r="AZ4615" s="152"/>
      <c r="BA4615" s="152"/>
      <c r="BB4615" s="152"/>
      <c r="BC4615" s="152"/>
      <c r="BD4615" s="152"/>
      <c r="BE4615" s="152"/>
      <c r="BF4615" s="152"/>
      <c r="BG4615" s="152"/>
      <c r="BH4615" s="152"/>
      <c r="BI4615" s="153"/>
      <c r="BJ4615" s="153"/>
      <c r="BK4615" s="153"/>
      <c r="BL4615" s="153"/>
      <c r="BM4615" s="153"/>
      <c r="BN4615" s="153"/>
      <c r="BO4615" s="153"/>
      <c r="BP4615" s="153"/>
      <c r="BQ4615" s="153"/>
      <c r="BR4615" s="153"/>
      <c r="BS4615" s="153"/>
      <c r="BT4615" s="153"/>
      <c r="BU4615" s="153"/>
      <c r="BV4615" s="153"/>
      <c r="BW4615" s="153"/>
      <c r="BX4615" s="153"/>
      <c r="BY4615" s="153"/>
      <c r="BZ4615" s="153"/>
      <c r="CA4615" s="152"/>
      <c r="CB4615" s="152"/>
    </row>
    <row r="4616" spans="1:80" s="87" customFormat="1" x14ac:dyDescent="0.2">
      <c r="A4616" s="152"/>
      <c r="B4616" s="683"/>
      <c r="C4616" s="683"/>
      <c r="D4616" s="698"/>
      <c r="E4616" s="215"/>
      <c r="F4616" s="215"/>
      <c r="G4616" s="153"/>
      <c r="H4616" s="153"/>
      <c r="I4616" s="163">
        <v>23</v>
      </c>
      <c r="J4616" s="163">
        <v>30</v>
      </c>
      <c r="K4616" s="150">
        <v>1</v>
      </c>
      <c r="L4616" s="656">
        <v>11.5</v>
      </c>
      <c r="M4616" s="663">
        <v>34461</v>
      </c>
      <c r="N4616" s="600">
        <v>6.22879</v>
      </c>
      <c r="O4616" s="604">
        <v>5.7936000000000001E-2</v>
      </c>
      <c r="P4616" s="250"/>
      <c r="Q4616" s="250"/>
      <c r="R4616" s="250"/>
      <c r="S4616" s="250"/>
      <c r="T4616" s="250">
        <v>7.0999999999999994E-2</v>
      </c>
      <c r="U4616" s="250">
        <v>0.18600000000000003</v>
      </c>
      <c r="V4616" s="250">
        <v>0.54200000000000004</v>
      </c>
      <c r="W4616" s="250">
        <v>0.184</v>
      </c>
      <c r="X4616" s="250">
        <v>1.6E-2</v>
      </c>
      <c r="Y4616" s="250">
        <v>1E-3</v>
      </c>
      <c r="Z4616" s="150">
        <v>9.1999999999999993</v>
      </c>
      <c r="AA4616" s="150">
        <v>1.47</v>
      </c>
      <c r="AB4616" s="152"/>
      <c r="AC4616" s="152"/>
      <c r="AD4616" s="223"/>
      <c r="AE4616" s="223"/>
      <c r="AF4616" s="223"/>
      <c r="AG4616" s="223"/>
      <c r="AH4616" s="341"/>
      <c r="AI4616" s="218"/>
      <c r="AJ4616" s="218"/>
      <c r="AK4616" s="153"/>
      <c r="AL4616" s="152"/>
      <c r="AM4616" s="152"/>
      <c r="AN4616" s="152"/>
      <c r="AO4616" s="152"/>
      <c r="AP4616" s="152"/>
      <c r="AQ4616" s="152"/>
      <c r="AR4616" s="152"/>
      <c r="AS4616" s="152"/>
      <c r="AT4616" s="152"/>
      <c r="AU4616" s="153"/>
      <c r="AV4616" s="479"/>
      <c r="AW4616" s="479"/>
      <c r="AX4616" s="442"/>
      <c r="AY4616" s="153"/>
      <c r="AZ4616" s="152"/>
      <c r="BA4616" s="152"/>
      <c r="BB4616" s="152"/>
      <c r="BC4616" s="152"/>
      <c r="BD4616" s="152"/>
      <c r="BE4616" s="152"/>
      <c r="BF4616" s="152"/>
      <c r="BG4616" s="152"/>
      <c r="BH4616" s="152"/>
      <c r="BI4616" s="153"/>
      <c r="BJ4616" s="153"/>
      <c r="BK4616" s="153"/>
      <c r="BL4616" s="153"/>
      <c r="BM4616" s="153"/>
      <c r="BN4616" s="153"/>
      <c r="BO4616" s="153"/>
      <c r="BP4616" s="153"/>
      <c r="BQ4616" s="153"/>
      <c r="BR4616" s="153"/>
      <c r="BS4616" s="153"/>
      <c r="BT4616" s="153"/>
      <c r="BU4616" s="153"/>
      <c r="BV4616" s="153"/>
      <c r="BW4616" s="153"/>
      <c r="BX4616" s="153"/>
      <c r="BY4616" s="153"/>
      <c r="BZ4616" s="153"/>
      <c r="CA4616" s="152"/>
      <c r="CB4616" s="152"/>
    </row>
    <row r="4617" spans="1:80" s="87" customFormat="1" x14ac:dyDescent="0.2">
      <c r="A4617" s="152"/>
      <c r="B4617" s="683"/>
      <c r="C4617" s="683"/>
      <c r="D4617" s="698"/>
      <c r="E4617" s="215"/>
      <c r="F4617" s="215"/>
      <c r="G4617" s="153"/>
      <c r="H4617" s="153"/>
      <c r="I4617" s="163">
        <v>22</v>
      </c>
      <c r="J4617" s="163">
        <v>30</v>
      </c>
      <c r="K4617" s="150">
        <v>1</v>
      </c>
      <c r="L4617" s="656">
        <v>11</v>
      </c>
      <c r="M4617" s="663">
        <v>34463</v>
      </c>
      <c r="N4617" s="600">
        <v>8.0124899999999997</v>
      </c>
      <c r="O4617" s="604">
        <v>1.3435000000000001E-2</v>
      </c>
      <c r="P4617" s="250"/>
      <c r="Q4617" s="250"/>
      <c r="R4617" s="250"/>
      <c r="S4617" s="250"/>
      <c r="T4617" s="250">
        <v>0.04</v>
      </c>
      <c r="U4617" s="250">
        <v>0.14099999999999999</v>
      </c>
      <c r="V4617" s="250">
        <v>0.34600000000000003</v>
      </c>
      <c r="W4617" s="250">
        <v>0.311</v>
      </c>
      <c r="X4617" s="250">
        <v>0.156</v>
      </c>
      <c r="Y4617" s="250">
        <v>6.0000000000000001E-3</v>
      </c>
      <c r="Z4617" s="150">
        <v>8</v>
      </c>
      <c r="AA4617" s="150">
        <v>1.06</v>
      </c>
      <c r="AB4617" s="152"/>
      <c r="AC4617" s="152"/>
      <c r="AD4617" s="223"/>
      <c r="AE4617" s="223"/>
      <c r="AF4617" s="223"/>
      <c r="AG4617" s="223"/>
      <c r="AH4617" s="341"/>
      <c r="AI4617" s="218"/>
      <c r="AJ4617" s="218"/>
      <c r="AK4617" s="153"/>
      <c r="AL4617" s="152"/>
      <c r="AM4617" s="152"/>
      <c r="AN4617" s="152"/>
      <c r="AO4617" s="152"/>
      <c r="AP4617" s="152"/>
      <c r="AQ4617" s="152"/>
      <c r="AR4617" s="152"/>
      <c r="AS4617" s="152"/>
      <c r="AT4617" s="152"/>
      <c r="AU4617" s="153"/>
      <c r="AV4617" s="479"/>
      <c r="AW4617" s="479"/>
      <c r="AX4617" s="442"/>
      <c r="AY4617" s="153"/>
      <c r="AZ4617" s="152"/>
      <c r="BA4617" s="152"/>
      <c r="BB4617" s="152"/>
      <c r="BC4617" s="152"/>
      <c r="BD4617" s="152"/>
      <c r="BE4617" s="152"/>
      <c r="BF4617" s="152"/>
      <c r="BG4617" s="152"/>
      <c r="BH4617" s="152"/>
      <c r="BI4617" s="153"/>
      <c r="BJ4617" s="153"/>
      <c r="BK4617" s="153"/>
      <c r="BL4617" s="153"/>
      <c r="BM4617" s="153"/>
      <c r="BN4617" s="153"/>
      <c r="BO4617" s="153"/>
      <c r="BP4617" s="153"/>
      <c r="BQ4617" s="153"/>
      <c r="BR4617" s="153"/>
      <c r="BS4617" s="153"/>
      <c r="BT4617" s="153"/>
      <c r="BU4617" s="153"/>
      <c r="BV4617" s="153"/>
      <c r="BW4617" s="153"/>
      <c r="BX4617" s="153"/>
      <c r="BY4617" s="153"/>
      <c r="BZ4617" s="153"/>
      <c r="CA4617" s="152"/>
      <c r="CB4617" s="152"/>
    </row>
    <row r="4618" spans="1:80" s="87" customFormat="1" x14ac:dyDescent="0.2">
      <c r="A4618" s="152"/>
      <c r="B4618" s="683"/>
      <c r="C4618" s="683"/>
      <c r="D4618" s="698"/>
      <c r="E4618" s="215"/>
      <c r="F4618" s="215"/>
      <c r="G4618" s="153"/>
      <c r="H4618" s="153"/>
      <c r="I4618" s="163">
        <v>22</v>
      </c>
      <c r="J4618" s="163">
        <v>30</v>
      </c>
      <c r="K4618" s="150">
        <v>1</v>
      </c>
      <c r="L4618" s="656">
        <v>11</v>
      </c>
      <c r="M4618" s="663">
        <v>34463</v>
      </c>
      <c r="N4618" s="600">
        <v>8.0124899999999997</v>
      </c>
      <c r="O4618" s="604">
        <v>1.5952999999999998E-2</v>
      </c>
      <c r="P4618" s="250"/>
      <c r="Q4618" s="250"/>
      <c r="R4618" s="250"/>
      <c r="S4618" s="250"/>
      <c r="T4618" s="250">
        <v>0.157</v>
      </c>
      <c r="U4618" s="250">
        <v>0.23300000000000001</v>
      </c>
      <c r="V4618" s="250">
        <v>0.32899999999999996</v>
      </c>
      <c r="W4618" s="250">
        <v>0.215</v>
      </c>
      <c r="X4618" s="250">
        <v>6.3E-2</v>
      </c>
      <c r="Y4618" s="250">
        <v>2E-3</v>
      </c>
      <c r="Z4618" s="150">
        <v>7</v>
      </c>
      <c r="AA4618" s="150">
        <v>1.59</v>
      </c>
      <c r="AB4618" s="152"/>
      <c r="AC4618" s="152"/>
      <c r="AD4618" s="223"/>
      <c r="AE4618" s="223"/>
      <c r="AF4618" s="223"/>
      <c r="AG4618" s="223"/>
      <c r="AH4618" s="341"/>
      <c r="AI4618" s="218"/>
      <c r="AJ4618" s="218"/>
      <c r="AK4618" s="153"/>
      <c r="AL4618" s="152"/>
      <c r="AM4618" s="152"/>
      <c r="AN4618" s="152"/>
      <c r="AO4618" s="152"/>
      <c r="AP4618" s="152"/>
      <c r="AQ4618" s="152"/>
      <c r="AR4618" s="152"/>
      <c r="AS4618" s="152"/>
      <c r="AT4618" s="152"/>
      <c r="AU4618" s="153"/>
      <c r="AV4618" s="479"/>
      <c r="AW4618" s="479"/>
      <c r="AX4618" s="442"/>
      <c r="AY4618" s="153"/>
      <c r="AZ4618" s="152"/>
      <c r="BA4618" s="152"/>
      <c r="BB4618" s="152"/>
      <c r="BC4618" s="152"/>
      <c r="BD4618" s="152"/>
      <c r="BE4618" s="152"/>
      <c r="BF4618" s="152"/>
      <c r="BG4618" s="152"/>
      <c r="BH4618" s="152"/>
      <c r="BI4618" s="153"/>
      <c r="BJ4618" s="153"/>
      <c r="BK4618" s="153"/>
      <c r="BL4618" s="153"/>
      <c r="BM4618" s="153"/>
      <c r="BN4618" s="153"/>
      <c r="BO4618" s="153"/>
      <c r="BP4618" s="153"/>
      <c r="BQ4618" s="153"/>
      <c r="BR4618" s="153"/>
      <c r="BS4618" s="153"/>
      <c r="BT4618" s="153"/>
      <c r="BU4618" s="153"/>
      <c r="BV4618" s="153"/>
      <c r="BW4618" s="153"/>
      <c r="BX4618" s="153"/>
      <c r="BY4618" s="153"/>
      <c r="BZ4618" s="153"/>
      <c r="CA4618" s="152"/>
      <c r="CB4618" s="152"/>
    </row>
    <row r="4619" spans="1:80" s="87" customFormat="1" x14ac:dyDescent="0.2">
      <c r="A4619" s="152"/>
      <c r="B4619" s="683"/>
      <c r="C4619" s="683"/>
      <c r="D4619" s="698"/>
      <c r="E4619" s="215"/>
      <c r="F4619" s="215"/>
      <c r="G4619" s="153"/>
      <c r="H4619" s="153"/>
      <c r="I4619" s="163">
        <v>23</v>
      </c>
      <c r="J4619" s="163">
        <v>30</v>
      </c>
      <c r="K4619" s="150">
        <v>1</v>
      </c>
      <c r="L4619" s="656">
        <v>11.5</v>
      </c>
      <c r="M4619" s="663">
        <v>34464</v>
      </c>
      <c r="N4619" s="600">
        <v>9.06006</v>
      </c>
      <c r="O4619" s="604">
        <v>3.3271000000000002E-2</v>
      </c>
      <c r="P4619" s="250"/>
      <c r="Q4619" s="250"/>
      <c r="R4619" s="250"/>
      <c r="S4619" s="250"/>
      <c r="T4619" s="250">
        <v>7.400000000000001E-2</v>
      </c>
      <c r="U4619" s="250">
        <v>0.193</v>
      </c>
      <c r="V4619" s="250">
        <v>0.36799999999999999</v>
      </c>
      <c r="W4619" s="250">
        <v>0.26100000000000001</v>
      </c>
      <c r="X4619" s="250">
        <v>7.8E-2</v>
      </c>
      <c r="Y4619" s="250">
        <v>2.7000000000000003E-2</v>
      </c>
      <c r="Z4619" s="150">
        <v>6.7</v>
      </c>
      <c r="AA4619" s="150">
        <v>1.29</v>
      </c>
      <c r="AB4619" s="152"/>
      <c r="AC4619" s="152"/>
      <c r="AD4619" s="223"/>
      <c r="AE4619" s="223"/>
      <c r="AF4619" s="223"/>
      <c r="AG4619" s="223"/>
      <c r="AH4619" s="341"/>
      <c r="AI4619" s="218"/>
      <c r="AJ4619" s="218"/>
      <c r="AK4619" s="153"/>
      <c r="AL4619" s="152"/>
      <c r="AM4619" s="152"/>
      <c r="AN4619" s="152"/>
      <c r="AO4619" s="152"/>
      <c r="AP4619" s="152"/>
      <c r="AQ4619" s="152"/>
      <c r="AR4619" s="152"/>
      <c r="AS4619" s="152"/>
      <c r="AT4619" s="152"/>
      <c r="AU4619" s="153"/>
      <c r="AV4619" s="479"/>
      <c r="AW4619" s="479"/>
      <c r="AX4619" s="442"/>
      <c r="AY4619" s="153"/>
      <c r="AZ4619" s="152"/>
      <c r="BA4619" s="152"/>
      <c r="BB4619" s="152"/>
      <c r="BC4619" s="152"/>
      <c r="BD4619" s="152"/>
      <c r="BE4619" s="152"/>
      <c r="BF4619" s="152"/>
      <c r="BG4619" s="152"/>
      <c r="BH4619" s="152"/>
      <c r="BI4619" s="153"/>
      <c r="BJ4619" s="153"/>
      <c r="BK4619" s="153"/>
      <c r="BL4619" s="153"/>
      <c r="BM4619" s="153"/>
      <c r="BN4619" s="153"/>
      <c r="BO4619" s="153"/>
      <c r="BP4619" s="153"/>
      <c r="BQ4619" s="153"/>
      <c r="BR4619" s="153"/>
      <c r="BS4619" s="153"/>
      <c r="BT4619" s="153"/>
      <c r="BU4619" s="153"/>
      <c r="BV4619" s="153"/>
      <c r="BW4619" s="153"/>
      <c r="BX4619" s="153"/>
      <c r="BY4619" s="153"/>
      <c r="BZ4619" s="153"/>
      <c r="CA4619" s="152"/>
      <c r="CB4619" s="152"/>
    </row>
    <row r="4620" spans="1:80" s="87" customFormat="1" x14ac:dyDescent="0.2">
      <c r="A4620" s="152"/>
      <c r="B4620" s="683"/>
      <c r="C4620" s="683"/>
      <c r="D4620" s="698"/>
      <c r="E4620" s="215"/>
      <c r="F4620" s="215"/>
      <c r="G4620" s="153"/>
      <c r="H4620" s="153"/>
      <c r="I4620" s="163">
        <v>23</v>
      </c>
      <c r="J4620" s="163">
        <v>30</v>
      </c>
      <c r="K4620" s="150">
        <v>1</v>
      </c>
      <c r="L4620" s="656">
        <v>11.5</v>
      </c>
      <c r="M4620" s="663">
        <v>34464</v>
      </c>
      <c r="N4620" s="600">
        <v>9.06006</v>
      </c>
      <c r="O4620" s="604">
        <v>9.7924999999999998E-2</v>
      </c>
      <c r="P4620" s="250"/>
      <c r="Q4620" s="250"/>
      <c r="R4620" s="250"/>
      <c r="S4620" s="250">
        <v>1.8000000000000002E-2</v>
      </c>
      <c r="T4620" s="250">
        <v>0.121</v>
      </c>
      <c r="U4620" s="250">
        <v>0.30599999999999999</v>
      </c>
      <c r="V4620" s="250">
        <v>0.39500000000000002</v>
      </c>
      <c r="W4620" s="250">
        <v>0.13900000000000001</v>
      </c>
      <c r="X4620" s="250">
        <v>1.9E-2</v>
      </c>
      <c r="Y4620" s="250">
        <v>1E-3</v>
      </c>
      <c r="Z4620" s="150">
        <v>13.5</v>
      </c>
      <c r="AA4620" s="150">
        <v>1.82</v>
      </c>
      <c r="AB4620" s="152"/>
      <c r="AC4620" s="152"/>
      <c r="AD4620" s="223"/>
      <c r="AE4620" s="223"/>
      <c r="AF4620" s="223"/>
      <c r="AG4620" s="223"/>
      <c r="AH4620" s="341"/>
      <c r="AI4620" s="218"/>
      <c r="AJ4620" s="218"/>
      <c r="AK4620" s="153"/>
      <c r="AL4620" s="152"/>
      <c r="AM4620" s="152"/>
      <c r="AN4620" s="152"/>
      <c r="AO4620" s="152"/>
      <c r="AP4620" s="152"/>
      <c r="AQ4620" s="152"/>
      <c r="AR4620" s="152"/>
      <c r="AS4620" s="152"/>
      <c r="AT4620" s="152"/>
      <c r="AU4620" s="153"/>
      <c r="AV4620" s="479"/>
      <c r="AW4620" s="479"/>
      <c r="AX4620" s="442"/>
      <c r="AY4620" s="153"/>
      <c r="AZ4620" s="152"/>
      <c r="BA4620" s="152"/>
      <c r="BB4620" s="152"/>
      <c r="BC4620" s="152"/>
      <c r="BD4620" s="152"/>
      <c r="BE4620" s="152"/>
      <c r="BF4620" s="152"/>
      <c r="BG4620" s="152"/>
      <c r="BH4620" s="152"/>
      <c r="BI4620" s="153"/>
      <c r="BJ4620" s="153"/>
      <c r="BK4620" s="153"/>
      <c r="BL4620" s="153"/>
      <c r="BM4620" s="153"/>
      <c r="BN4620" s="153"/>
      <c r="BO4620" s="153"/>
      <c r="BP4620" s="153"/>
      <c r="BQ4620" s="153"/>
      <c r="BR4620" s="153"/>
      <c r="BS4620" s="153"/>
      <c r="BT4620" s="153"/>
      <c r="BU4620" s="153"/>
      <c r="BV4620" s="153"/>
      <c r="BW4620" s="153"/>
      <c r="BX4620" s="153"/>
      <c r="BY4620" s="153"/>
      <c r="BZ4620" s="153"/>
      <c r="CA4620" s="152"/>
      <c r="CB4620" s="152"/>
    </row>
    <row r="4621" spans="1:80" s="87" customFormat="1" x14ac:dyDescent="0.2">
      <c r="A4621" s="152"/>
      <c r="B4621" s="683"/>
      <c r="C4621" s="683"/>
      <c r="D4621" s="698"/>
      <c r="E4621" s="215"/>
      <c r="F4621" s="215"/>
      <c r="G4621" s="153"/>
      <c r="H4621" s="153"/>
      <c r="I4621" s="163">
        <v>23</v>
      </c>
      <c r="J4621" s="163">
        <v>30</v>
      </c>
      <c r="K4621" s="150">
        <v>1</v>
      </c>
      <c r="L4621" s="656">
        <v>11.5</v>
      </c>
      <c r="M4621" s="663">
        <v>34464</v>
      </c>
      <c r="N4621" s="600">
        <v>9.06006</v>
      </c>
      <c r="O4621" s="604">
        <v>2.2985999999999999E-2</v>
      </c>
      <c r="P4621" s="250"/>
      <c r="Q4621" s="250"/>
      <c r="R4621" s="250"/>
      <c r="S4621" s="250"/>
      <c r="T4621" s="250">
        <v>5.2999999999999999E-2</v>
      </c>
      <c r="U4621" s="250">
        <v>0.2</v>
      </c>
      <c r="V4621" s="250">
        <v>0.42399999999999999</v>
      </c>
      <c r="W4621" s="250">
        <v>0.26500000000000001</v>
      </c>
      <c r="X4621" s="250">
        <v>5.7000000000000002E-2</v>
      </c>
      <c r="Y4621" s="250">
        <v>2E-3</v>
      </c>
      <c r="Z4621" s="150">
        <v>6</v>
      </c>
      <c r="AA4621" s="150">
        <v>1.33</v>
      </c>
      <c r="AB4621" s="152"/>
      <c r="AC4621" s="152"/>
      <c r="AD4621" s="223"/>
      <c r="AE4621" s="223"/>
      <c r="AF4621" s="223"/>
      <c r="AG4621" s="223"/>
      <c r="AH4621" s="341"/>
      <c r="AI4621" s="218"/>
      <c r="AJ4621" s="218"/>
      <c r="AK4621" s="153"/>
      <c r="AL4621" s="152"/>
      <c r="AM4621" s="152"/>
      <c r="AN4621" s="152"/>
      <c r="AO4621" s="152"/>
      <c r="AP4621" s="152"/>
      <c r="AQ4621" s="152"/>
      <c r="AR4621" s="152"/>
      <c r="AS4621" s="152"/>
      <c r="AT4621" s="152"/>
      <c r="AU4621" s="153"/>
      <c r="AV4621" s="479"/>
      <c r="AW4621" s="479"/>
      <c r="AX4621" s="442"/>
      <c r="AY4621" s="153"/>
      <c r="AZ4621" s="152"/>
      <c r="BA4621" s="152"/>
      <c r="BB4621" s="152"/>
      <c r="BC4621" s="152"/>
      <c r="BD4621" s="152"/>
      <c r="BE4621" s="152"/>
      <c r="BF4621" s="152"/>
      <c r="BG4621" s="152"/>
      <c r="BH4621" s="152"/>
      <c r="BI4621" s="153"/>
      <c r="BJ4621" s="153"/>
      <c r="BK4621" s="153"/>
      <c r="BL4621" s="153"/>
      <c r="BM4621" s="153"/>
      <c r="BN4621" s="153"/>
      <c r="BO4621" s="153"/>
      <c r="BP4621" s="153"/>
      <c r="BQ4621" s="153"/>
      <c r="BR4621" s="153"/>
      <c r="BS4621" s="153"/>
      <c r="BT4621" s="153"/>
      <c r="BU4621" s="153"/>
      <c r="BV4621" s="153"/>
      <c r="BW4621" s="153"/>
      <c r="BX4621" s="153"/>
      <c r="BY4621" s="153"/>
      <c r="BZ4621" s="153"/>
      <c r="CA4621" s="152"/>
      <c r="CB4621" s="152"/>
    </row>
    <row r="4622" spans="1:80" s="87" customFormat="1" x14ac:dyDescent="0.2">
      <c r="A4622" s="152"/>
      <c r="B4622" s="683"/>
      <c r="C4622" s="683"/>
      <c r="D4622" s="698"/>
      <c r="E4622" s="215"/>
      <c r="F4622" s="215"/>
      <c r="G4622" s="153"/>
      <c r="H4622" s="153"/>
      <c r="I4622" s="163">
        <v>23</v>
      </c>
      <c r="J4622" s="163">
        <v>30</v>
      </c>
      <c r="K4622" s="150">
        <v>1</v>
      </c>
      <c r="L4622" s="656">
        <v>11.5</v>
      </c>
      <c r="M4622" s="663">
        <v>34467</v>
      </c>
      <c r="N4622" s="600">
        <v>12.4293</v>
      </c>
      <c r="O4622" s="604">
        <v>0.341111</v>
      </c>
      <c r="P4622" s="250"/>
      <c r="Q4622" s="250"/>
      <c r="R4622" s="250"/>
      <c r="S4622" s="250">
        <v>1.3000000000000001E-2</v>
      </c>
      <c r="T4622" s="250">
        <v>0.11900000000000001</v>
      </c>
      <c r="U4622" s="250">
        <v>0.25900000000000001</v>
      </c>
      <c r="V4622" s="250">
        <v>0.29799999999999999</v>
      </c>
      <c r="W4622" s="250">
        <v>0.24199999999999999</v>
      </c>
      <c r="X4622" s="250">
        <v>6.7000000000000004E-2</v>
      </c>
      <c r="Y4622" s="250">
        <v>2E-3</v>
      </c>
      <c r="Z4622" s="150">
        <v>15.3</v>
      </c>
      <c r="AA4622" s="150">
        <v>1.55</v>
      </c>
      <c r="AB4622" s="152"/>
      <c r="AC4622" s="152"/>
      <c r="AD4622" s="223"/>
      <c r="AE4622" s="223"/>
      <c r="AF4622" s="223"/>
      <c r="AG4622" s="223"/>
      <c r="AH4622" s="341"/>
      <c r="AI4622" s="218"/>
      <c r="AJ4622" s="218"/>
      <c r="AK4622" s="153"/>
      <c r="AL4622" s="152"/>
      <c r="AM4622" s="152"/>
      <c r="AN4622" s="152"/>
      <c r="AO4622" s="152"/>
      <c r="AP4622" s="152"/>
      <c r="AQ4622" s="152"/>
      <c r="AR4622" s="152"/>
      <c r="AS4622" s="152"/>
      <c r="AT4622" s="152"/>
      <c r="AU4622" s="153"/>
      <c r="AV4622" s="479"/>
      <c r="AW4622" s="479"/>
      <c r="AX4622" s="442"/>
      <c r="AY4622" s="153"/>
      <c r="AZ4622" s="152"/>
      <c r="BA4622" s="152"/>
      <c r="BB4622" s="152"/>
      <c r="BC4622" s="152"/>
      <c r="BD4622" s="152"/>
      <c r="BE4622" s="152"/>
      <c r="BF4622" s="152"/>
      <c r="BG4622" s="152"/>
      <c r="BH4622" s="152"/>
      <c r="BI4622" s="153"/>
      <c r="BJ4622" s="153"/>
      <c r="BK4622" s="153"/>
      <c r="BL4622" s="153"/>
      <c r="BM4622" s="153"/>
      <c r="BN4622" s="153"/>
      <c r="BO4622" s="153"/>
      <c r="BP4622" s="153"/>
      <c r="BQ4622" s="153"/>
      <c r="BR4622" s="153"/>
      <c r="BS4622" s="153"/>
      <c r="BT4622" s="153"/>
      <c r="BU4622" s="153"/>
      <c r="BV4622" s="153"/>
      <c r="BW4622" s="153"/>
      <c r="BX4622" s="153"/>
      <c r="BY4622" s="153"/>
      <c r="BZ4622" s="153"/>
      <c r="CA4622" s="152"/>
      <c r="CB4622" s="152"/>
    </row>
    <row r="4623" spans="1:80" s="87" customFormat="1" x14ac:dyDescent="0.2">
      <c r="A4623" s="152"/>
      <c r="B4623" s="683"/>
      <c r="C4623" s="683"/>
      <c r="D4623" s="698"/>
      <c r="E4623" s="215"/>
      <c r="F4623" s="215"/>
      <c r="G4623" s="153"/>
      <c r="H4623" s="153"/>
      <c r="I4623" s="163">
        <v>23</v>
      </c>
      <c r="J4623" s="163">
        <v>30</v>
      </c>
      <c r="K4623" s="150">
        <v>1</v>
      </c>
      <c r="L4623" s="656">
        <v>11.5</v>
      </c>
      <c r="M4623" s="663">
        <v>34467</v>
      </c>
      <c r="N4623" s="600">
        <v>12.4293</v>
      </c>
      <c r="O4623" s="604">
        <v>0.24560000000000001</v>
      </c>
      <c r="P4623" s="250"/>
      <c r="Q4623" s="250"/>
      <c r="R4623" s="250"/>
      <c r="S4623" s="250">
        <v>2.8999999999999998E-2</v>
      </c>
      <c r="T4623" s="250">
        <v>0.156</v>
      </c>
      <c r="U4623" s="250">
        <v>0.222</v>
      </c>
      <c r="V4623" s="250">
        <v>0.32</v>
      </c>
      <c r="W4623" s="250">
        <v>0.22800000000000001</v>
      </c>
      <c r="X4623" s="250">
        <v>4.4000000000000004E-2</v>
      </c>
      <c r="Y4623" s="250">
        <v>1E-3</v>
      </c>
      <c r="Z4623" s="150">
        <v>13.1</v>
      </c>
      <c r="AA4623" s="150">
        <v>1.64</v>
      </c>
      <c r="AB4623" s="152"/>
      <c r="AC4623" s="152"/>
      <c r="AD4623" s="223"/>
      <c r="AE4623" s="223"/>
      <c r="AF4623" s="223"/>
      <c r="AG4623" s="223"/>
      <c r="AH4623" s="341"/>
      <c r="AI4623" s="218"/>
      <c r="AJ4623" s="218"/>
      <c r="AK4623" s="153"/>
      <c r="AL4623" s="152"/>
      <c r="AM4623" s="152"/>
      <c r="AN4623" s="152"/>
      <c r="AO4623" s="152"/>
      <c r="AP4623" s="152"/>
      <c r="AQ4623" s="152"/>
      <c r="AR4623" s="152"/>
      <c r="AS4623" s="152"/>
      <c r="AT4623" s="152"/>
      <c r="AU4623" s="153"/>
      <c r="AV4623" s="479"/>
      <c r="AW4623" s="479"/>
      <c r="AX4623" s="442"/>
      <c r="AY4623" s="153"/>
      <c r="AZ4623" s="152"/>
      <c r="BA4623" s="152"/>
      <c r="BB4623" s="152"/>
      <c r="BC4623" s="152"/>
      <c r="BD4623" s="152"/>
      <c r="BE4623" s="152"/>
      <c r="BF4623" s="152"/>
      <c r="BG4623" s="152"/>
      <c r="BH4623" s="152"/>
      <c r="BI4623" s="153"/>
      <c r="BJ4623" s="153"/>
      <c r="BK4623" s="153"/>
      <c r="BL4623" s="153"/>
      <c r="BM4623" s="153"/>
      <c r="BN4623" s="153"/>
      <c r="BO4623" s="153"/>
      <c r="BP4623" s="153"/>
      <c r="BQ4623" s="153"/>
      <c r="BR4623" s="153"/>
      <c r="BS4623" s="153"/>
      <c r="BT4623" s="153"/>
      <c r="BU4623" s="153"/>
      <c r="BV4623" s="153"/>
      <c r="BW4623" s="153"/>
      <c r="BX4623" s="153"/>
      <c r="BY4623" s="153"/>
      <c r="BZ4623" s="153"/>
      <c r="CA4623" s="152"/>
      <c r="CB4623" s="152"/>
    </row>
    <row r="4624" spans="1:80" s="87" customFormat="1" x14ac:dyDescent="0.2">
      <c r="A4624" s="152"/>
      <c r="B4624" s="683"/>
      <c r="C4624" s="683"/>
      <c r="D4624" s="698"/>
      <c r="E4624" s="215"/>
      <c r="F4624" s="215"/>
      <c r="G4624" s="153"/>
      <c r="H4624" s="153"/>
      <c r="I4624" s="163">
        <v>23</v>
      </c>
      <c r="J4624" s="163">
        <v>30</v>
      </c>
      <c r="K4624" s="150">
        <v>1</v>
      </c>
      <c r="L4624" s="656">
        <v>11.5</v>
      </c>
      <c r="M4624" s="663">
        <v>34468</v>
      </c>
      <c r="N4624" s="600">
        <v>11.6365</v>
      </c>
      <c r="O4624" s="604">
        <v>4.6915999999999999E-2</v>
      </c>
      <c r="P4624" s="250"/>
      <c r="Q4624" s="250"/>
      <c r="R4624" s="250"/>
      <c r="S4624" s="250">
        <v>1.7000000000000001E-2</v>
      </c>
      <c r="T4624" s="250">
        <v>8.5999999999999993E-2</v>
      </c>
      <c r="U4624" s="250">
        <v>0.23600000000000002</v>
      </c>
      <c r="V4624" s="250">
        <v>0.33799999999999997</v>
      </c>
      <c r="W4624" s="250">
        <v>0.22899999999999998</v>
      </c>
      <c r="X4624" s="250">
        <v>9.1999999999999998E-2</v>
      </c>
      <c r="Y4624" s="250">
        <v>2E-3</v>
      </c>
      <c r="Z4624" s="150">
        <v>10.8</v>
      </c>
      <c r="AA4624" s="150">
        <v>1.44</v>
      </c>
      <c r="AB4624" s="152"/>
      <c r="AC4624" s="152"/>
      <c r="AD4624" s="223"/>
      <c r="AE4624" s="223"/>
      <c r="AF4624" s="223"/>
      <c r="AG4624" s="223"/>
      <c r="AH4624" s="341"/>
      <c r="AI4624" s="218"/>
      <c r="AJ4624" s="218"/>
      <c r="AK4624" s="153"/>
      <c r="AL4624" s="152"/>
      <c r="AM4624" s="152"/>
      <c r="AN4624" s="152"/>
      <c r="AO4624" s="152"/>
      <c r="AP4624" s="152"/>
      <c r="AQ4624" s="152"/>
      <c r="AR4624" s="152"/>
      <c r="AS4624" s="152"/>
      <c r="AT4624" s="152"/>
      <c r="AU4624" s="153"/>
      <c r="AV4624" s="479"/>
      <c r="AW4624" s="479"/>
      <c r="AX4624" s="442"/>
      <c r="AY4624" s="153"/>
      <c r="AZ4624" s="152"/>
      <c r="BA4624" s="152"/>
      <c r="BB4624" s="152"/>
      <c r="BC4624" s="152"/>
      <c r="BD4624" s="152"/>
      <c r="BE4624" s="152"/>
      <c r="BF4624" s="152"/>
      <c r="BG4624" s="152"/>
      <c r="BH4624" s="152"/>
      <c r="BI4624" s="153"/>
      <c r="BJ4624" s="153"/>
      <c r="BK4624" s="153"/>
      <c r="BL4624" s="153"/>
      <c r="BM4624" s="153"/>
      <c r="BN4624" s="153"/>
      <c r="BO4624" s="153"/>
      <c r="BP4624" s="153"/>
      <c r="BQ4624" s="153"/>
      <c r="BR4624" s="153"/>
      <c r="BS4624" s="153"/>
      <c r="BT4624" s="153"/>
      <c r="BU4624" s="153"/>
      <c r="BV4624" s="153"/>
      <c r="BW4624" s="153"/>
      <c r="BX4624" s="153"/>
      <c r="BY4624" s="153"/>
      <c r="BZ4624" s="153"/>
      <c r="CA4624" s="152"/>
      <c r="CB4624" s="152"/>
    </row>
    <row r="4625" spans="1:80" s="87" customFormat="1" x14ac:dyDescent="0.2">
      <c r="A4625" s="152"/>
      <c r="B4625" s="683"/>
      <c r="C4625" s="683"/>
      <c r="D4625" s="698"/>
      <c r="E4625" s="215"/>
      <c r="F4625" s="215"/>
      <c r="G4625" s="153"/>
      <c r="H4625" s="153"/>
      <c r="I4625" s="163">
        <v>23</v>
      </c>
      <c r="J4625" s="163">
        <v>30</v>
      </c>
      <c r="K4625" s="150">
        <v>1</v>
      </c>
      <c r="L4625" s="656">
        <v>11.5</v>
      </c>
      <c r="M4625" s="663">
        <v>34468</v>
      </c>
      <c r="N4625" s="600">
        <v>11.6365</v>
      </c>
      <c r="O4625" s="604">
        <v>0.138543</v>
      </c>
      <c r="P4625" s="250"/>
      <c r="Q4625" s="250"/>
      <c r="R4625" s="250"/>
      <c r="S4625" s="250">
        <v>1.6E-2</v>
      </c>
      <c r="T4625" s="250">
        <v>9.3000000000000013E-2</v>
      </c>
      <c r="U4625" s="250">
        <v>0.187</v>
      </c>
      <c r="V4625" s="250">
        <v>0.376</v>
      </c>
      <c r="W4625" s="250">
        <v>0.26700000000000002</v>
      </c>
      <c r="X4625" s="250">
        <v>0.06</v>
      </c>
      <c r="Y4625" s="250">
        <v>1E-3</v>
      </c>
      <c r="Z4625" s="150">
        <v>12.5</v>
      </c>
      <c r="AA4625" s="150">
        <v>1.37</v>
      </c>
      <c r="AB4625" s="152"/>
      <c r="AC4625" s="152"/>
      <c r="AD4625" s="223"/>
      <c r="AE4625" s="223"/>
      <c r="AF4625" s="223"/>
      <c r="AG4625" s="223"/>
      <c r="AH4625" s="341"/>
      <c r="AI4625" s="218"/>
      <c r="AJ4625" s="218"/>
      <c r="AK4625" s="153"/>
      <c r="AL4625" s="152"/>
      <c r="AM4625" s="152"/>
      <c r="AN4625" s="152"/>
      <c r="AO4625" s="152"/>
      <c r="AP4625" s="152"/>
      <c r="AQ4625" s="152"/>
      <c r="AR4625" s="152"/>
      <c r="AS4625" s="152"/>
      <c r="AT4625" s="152"/>
      <c r="AU4625" s="153"/>
      <c r="AV4625" s="479"/>
      <c r="AW4625" s="479"/>
      <c r="AX4625" s="442"/>
      <c r="AY4625" s="153"/>
      <c r="AZ4625" s="152"/>
      <c r="BA4625" s="152"/>
      <c r="BB4625" s="152"/>
      <c r="BC4625" s="152"/>
      <c r="BD4625" s="152"/>
      <c r="BE4625" s="152"/>
      <c r="BF4625" s="152"/>
      <c r="BG4625" s="152"/>
      <c r="BH4625" s="152"/>
      <c r="BI4625" s="153"/>
      <c r="BJ4625" s="153"/>
      <c r="BK4625" s="153"/>
      <c r="BL4625" s="153"/>
      <c r="BM4625" s="153"/>
      <c r="BN4625" s="153"/>
      <c r="BO4625" s="153"/>
      <c r="BP4625" s="153"/>
      <c r="BQ4625" s="153"/>
      <c r="BR4625" s="153"/>
      <c r="BS4625" s="153"/>
      <c r="BT4625" s="153"/>
      <c r="BU4625" s="153"/>
      <c r="BV4625" s="153"/>
      <c r="BW4625" s="153"/>
      <c r="BX4625" s="153"/>
      <c r="BY4625" s="153"/>
      <c r="BZ4625" s="153"/>
      <c r="CA4625" s="152"/>
      <c r="CB4625" s="152"/>
    </row>
    <row r="4626" spans="1:80" s="87" customFormat="1" x14ac:dyDescent="0.2">
      <c r="A4626" s="152"/>
      <c r="B4626" s="683"/>
      <c r="C4626" s="683"/>
      <c r="D4626" s="698"/>
      <c r="E4626" s="215"/>
      <c r="F4626" s="215"/>
      <c r="G4626" s="153"/>
      <c r="H4626" s="153"/>
      <c r="I4626" s="163">
        <v>23</v>
      </c>
      <c r="J4626" s="163">
        <v>30</v>
      </c>
      <c r="K4626" s="150">
        <v>1</v>
      </c>
      <c r="L4626" s="656">
        <v>11.5</v>
      </c>
      <c r="M4626" s="663">
        <v>34469</v>
      </c>
      <c r="N4626" s="600">
        <v>10.135899999999999</v>
      </c>
      <c r="O4626" s="604">
        <v>3.2957E-2</v>
      </c>
      <c r="P4626" s="250"/>
      <c r="Q4626" s="250"/>
      <c r="R4626" s="250"/>
      <c r="S4626" s="250"/>
      <c r="T4626" s="250">
        <v>0.17699999999999999</v>
      </c>
      <c r="U4626" s="250">
        <v>0.30299999999999999</v>
      </c>
      <c r="V4626" s="250">
        <v>0.32400000000000001</v>
      </c>
      <c r="W4626" s="250">
        <v>0.155</v>
      </c>
      <c r="X4626" s="250">
        <v>3.9E-2</v>
      </c>
      <c r="Y4626" s="250">
        <v>1E-3</v>
      </c>
      <c r="Z4626" s="150">
        <v>7.5</v>
      </c>
      <c r="AA4626" s="150">
        <v>1.92</v>
      </c>
      <c r="AB4626" s="152"/>
      <c r="AC4626" s="152"/>
      <c r="AD4626" s="223"/>
      <c r="AE4626" s="223"/>
      <c r="AF4626" s="223"/>
      <c r="AG4626" s="223"/>
      <c r="AH4626" s="341"/>
      <c r="AI4626" s="218"/>
      <c r="AJ4626" s="218"/>
      <c r="AK4626" s="153"/>
      <c r="AL4626" s="152"/>
      <c r="AM4626" s="152"/>
      <c r="AN4626" s="152"/>
      <c r="AO4626" s="152"/>
      <c r="AP4626" s="152"/>
      <c r="AQ4626" s="152"/>
      <c r="AR4626" s="152"/>
      <c r="AS4626" s="152"/>
      <c r="AT4626" s="152"/>
      <c r="AU4626" s="153"/>
      <c r="AV4626" s="479"/>
      <c r="AW4626" s="479"/>
      <c r="AX4626" s="442"/>
      <c r="AY4626" s="153"/>
      <c r="AZ4626" s="152"/>
      <c r="BA4626" s="152"/>
      <c r="BB4626" s="152"/>
      <c r="BC4626" s="152"/>
      <c r="BD4626" s="152"/>
      <c r="BE4626" s="152"/>
      <c r="BF4626" s="152"/>
      <c r="BG4626" s="152"/>
      <c r="BH4626" s="152"/>
      <c r="BI4626" s="153"/>
      <c r="BJ4626" s="153"/>
      <c r="BK4626" s="153"/>
      <c r="BL4626" s="153"/>
      <c r="BM4626" s="153"/>
      <c r="BN4626" s="153"/>
      <c r="BO4626" s="153"/>
      <c r="BP4626" s="153"/>
      <c r="BQ4626" s="153"/>
      <c r="BR4626" s="153"/>
      <c r="BS4626" s="153"/>
      <c r="BT4626" s="153"/>
      <c r="BU4626" s="153"/>
      <c r="BV4626" s="153"/>
      <c r="BW4626" s="153"/>
      <c r="BX4626" s="153"/>
      <c r="BY4626" s="153"/>
      <c r="BZ4626" s="153"/>
      <c r="CA4626" s="152"/>
      <c r="CB4626" s="152"/>
    </row>
    <row r="4627" spans="1:80" s="87" customFormat="1" x14ac:dyDescent="0.2">
      <c r="A4627" s="152"/>
      <c r="B4627" s="683"/>
      <c r="C4627" s="683"/>
      <c r="D4627" s="698"/>
      <c r="E4627" s="215"/>
      <c r="F4627" s="215"/>
      <c r="G4627" s="153"/>
      <c r="H4627" s="153"/>
      <c r="I4627" s="163">
        <v>23</v>
      </c>
      <c r="J4627" s="163">
        <v>30</v>
      </c>
      <c r="K4627" s="150">
        <v>1</v>
      </c>
      <c r="L4627" s="656">
        <v>11.5</v>
      </c>
      <c r="M4627" s="663">
        <v>34469</v>
      </c>
      <c r="N4627" s="600">
        <v>10.135899999999999</v>
      </c>
      <c r="O4627" s="604">
        <v>8.5855000000000001E-2</v>
      </c>
      <c r="P4627" s="250"/>
      <c r="Q4627" s="250"/>
      <c r="R4627" s="250"/>
      <c r="S4627" s="250">
        <v>0.01</v>
      </c>
      <c r="T4627" s="250">
        <v>8.199999999999999E-2</v>
      </c>
      <c r="U4627" s="250">
        <v>0.2</v>
      </c>
      <c r="V4627" s="250">
        <v>0.46100000000000002</v>
      </c>
      <c r="W4627" s="250">
        <v>0.218</v>
      </c>
      <c r="X4627" s="250">
        <v>2.8999999999999998E-2</v>
      </c>
      <c r="Y4627" s="250">
        <v>1E-3</v>
      </c>
      <c r="Z4627" s="150">
        <v>10.5</v>
      </c>
      <c r="AA4627" s="150">
        <v>1.46</v>
      </c>
      <c r="AB4627" s="152"/>
      <c r="AC4627" s="152"/>
      <c r="AD4627" s="223"/>
      <c r="AE4627" s="223"/>
      <c r="AF4627" s="223"/>
      <c r="AG4627" s="223"/>
      <c r="AH4627" s="341"/>
      <c r="AI4627" s="218"/>
      <c r="AJ4627" s="218"/>
      <c r="AK4627" s="153"/>
      <c r="AL4627" s="152"/>
      <c r="AM4627" s="152"/>
      <c r="AN4627" s="152"/>
      <c r="AO4627" s="152"/>
      <c r="AP4627" s="152"/>
      <c r="AQ4627" s="152"/>
      <c r="AR4627" s="152"/>
      <c r="AS4627" s="152"/>
      <c r="AT4627" s="152"/>
      <c r="AU4627" s="153"/>
      <c r="AV4627" s="479"/>
      <c r="AW4627" s="479"/>
      <c r="AX4627" s="442"/>
      <c r="AY4627" s="153"/>
      <c r="AZ4627" s="152"/>
      <c r="BA4627" s="152"/>
      <c r="BB4627" s="152"/>
      <c r="BC4627" s="152"/>
      <c r="BD4627" s="152"/>
      <c r="BE4627" s="152"/>
      <c r="BF4627" s="152"/>
      <c r="BG4627" s="152"/>
      <c r="BH4627" s="152"/>
      <c r="BI4627" s="153"/>
      <c r="BJ4627" s="153"/>
      <c r="BK4627" s="153"/>
      <c r="BL4627" s="153"/>
      <c r="BM4627" s="153"/>
      <c r="BN4627" s="153"/>
      <c r="BO4627" s="153"/>
      <c r="BP4627" s="153"/>
      <c r="BQ4627" s="153"/>
      <c r="BR4627" s="153"/>
      <c r="BS4627" s="153"/>
      <c r="BT4627" s="153"/>
      <c r="BU4627" s="153"/>
      <c r="BV4627" s="153"/>
      <c r="BW4627" s="153"/>
      <c r="BX4627" s="153"/>
      <c r="BY4627" s="153"/>
      <c r="BZ4627" s="153"/>
      <c r="CA4627" s="152"/>
      <c r="CB4627" s="152"/>
    </row>
    <row r="4628" spans="1:80" s="87" customFormat="1" x14ac:dyDescent="0.2">
      <c r="A4628" s="152"/>
      <c r="B4628" s="683"/>
      <c r="C4628" s="683"/>
      <c r="D4628" s="698"/>
      <c r="E4628" s="215"/>
      <c r="F4628" s="215"/>
      <c r="G4628" s="153"/>
      <c r="H4628" s="153"/>
      <c r="I4628" s="163">
        <v>24</v>
      </c>
      <c r="J4628" s="163">
        <v>30</v>
      </c>
      <c r="K4628" s="150">
        <v>1</v>
      </c>
      <c r="L4628" s="656">
        <v>12</v>
      </c>
      <c r="M4628" s="663">
        <v>34470</v>
      </c>
      <c r="N4628" s="600">
        <v>8.6070600000000006</v>
      </c>
      <c r="O4628" s="604">
        <v>7.2840000000000002E-2</v>
      </c>
      <c r="P4628" s="250"/>
      <c r="Q4628" s="250"/>
      <c r="R4628" s="250"/>
      <c r="S4628" s="250">
        <v>5.0999999999999997E-2</v>
      </c>
      <c r="T4628" s="250">
        <v>0.17300000000000001</v>
      </c>
      <c r="U4628" s="250">
        <v>0.26500000000000001</v>
      </c>
      <c r="V4628" s="250">
        <v>0.32500000000000001</v>
      </c>
      <c r="W4628" s="250">
        <v>0.159</v>
      </c>
      <c r="X4628" s="250">
        <v>2.7000000000000003E-2</v>
      </c>
      <c r="Y4628" s="250">
        <v>1E-3</v>
      </c>
      <c r="Z4628" s="150">
        <v>5</v>
      </c>
      <c r="AA4628" s="150">
        <v>1.95</v>
      </c>
      <c r="AB4628" s="152"/>
      <c r="AC4628" s="152"/>
      <c r="AD4628" s="223"/>
      <c r="AE4628" s="223"/>
      <c r="AF4628" s="223"/>
      <c r="AG4628" s="223"/>
      <c r="AH4628" s="341"/>
      <c r="AI4628" s="218"/>
      <c r="AJ4628" s="218"/>
      <c r="AK4628" s="153"/>
      <c r="AL4628" s="152"/>
      <c r="AM4628" s="152"/>
      <c r="AN4628" s="152"/>
      <c r="AO4628" s="152"/>
      <c r="AP4628" s="152"/>
      <c r="AQ4628" s="152"/>
      <c r="AR4628" s="152"/>
      <c r="AS4628" s="152"/>
      <c r="AT4628" s="152"/>
      <c r="AU4628" s="153"/>
      <c r="AV4628" s="479"/>
      <c r="AW4628" s="479"/>
      <c r="AX4628" s="442"/>
      <c r="AY4628" s="153"/>
      <c r="AZ4628" s="152"/>
      <c r="BA4628" s="152"/>
      <c r="BB4628" s="152"/>
      <c r="BC4628" s="152"/>
      <c r="BD4628" s="152"/>
      <c r="BE4628" s="152"/>
      <c r="BF4628" s="152"/>
      <c r="BG4628" s="152"/>
      <c r="BH4628" s="152"/>
      <c r="BI4628" s="153"/>
      <c r="BJ4628" s="153"/>
      <c r="BK4628" s="153"/>
      <c r="BL4628" s="153"/>
      <c r="BM4628" s="153"/>
      <c r="BN4628" s="153"/>
      <c r="BO4628" s="153"/>
      <c r="BP4628" s="153"/>
      <c r="BQ4628" s="153"/>
      <c r="BR4628" s="153"/>
      <c r="BS4628" s="153"/>
      <c r="BT4628" s="153"/>
      <c r="BU4628" s="153"/>
      <c r="BV4628" s="153"/>
      <c r="BW4628" s="153"/>
      <c r="BX4628" s="153"/>
      <c r="BY4628" s="153"/>
      <c r="BZ4628" s="153"/>
      <c r="CA4628" s="152"/>
      <c r="CB4628" s="152"/>
    </row>
    <row r="4629" spans="1:80" s="87" customFormat="1" x14ac:dyDescent="0.2">
      <c r="A4629" s="152"/>
      <c r="B4629" s="683"/>
      <c r="C4629" s="683"/>
      <c r="D4629" s="698"/>
      <c r="E4629" s="215"/>
      <c r="F4629" s="215"/>
      <c r="G4629" s="153"/>
      <c r="H4629" s="153"/>
      <c r="I4629" s="163">
        <v>24</v>
      </c>
      <c r="J4629" s="163">
        <v>30</v>
      </c>
      <c r="K4629" s="150">
        <v>1</v>
      </c>
      <c r="L4629" s="656">
        <v>12</v>
      </c>
      <c r="M4629" s="663">
        <v>34470</v>
      </c>
      <c r="N4629" s="600">
        <v>8.6070600000000006</v>
      </c>
      <c r="O4629" s="604">
        <v>2.372E-3</v>
      </c>
      <c r="P4629" s="250"/>
      <c r="Q4629" s="250"/>
      <c r="R4629" s="250"/>
      <c r="S4629" s="250"/>
      <c r="T4629" s="250"/>
      <c r="U4629" s="250">
        <v>0.09</v>
      </c>
      <c r="V4629" s="250">
        <v>0.27600000000000002</v>
      </c>
      <c r="W4629" s="250">
        <v>0.42299999999999999</v>
      </c>
      <c r="X4629" s="250">
        <v>0.20499999999999999</v>
      </c>
      <c r="Y4629" s="250">
        <v>6.9999999999999993E-3</v>
      </c>
      <c r="Z4629" s="150">
        <v>13</v>
      </c>
      <c r="AA4629" s="150">
        <v>0.8</v>
      </c>
      <c r="AB4629" s="152"/>
      <c r="AC4629" s="152"/>
      <c r="AD4629" s="223"/>
      <c r="AE4629" s="223"/>
      <c r="AF4629" s="223"/>
      <c r="AG4629" s="223"/>
      <c r="AH4629" s="341"/>
      <c r="AI4629" s="218"/>
      <c r="AJ4629" s="218"/>
      <c r="AK4629" s="153"/>
      <c r="AL4629" s="152"/>
      <c r="AM4629" s="152"/>
      <c r="AN4629" s="152"/>
      <c r="AO4629" s="152"/>
      <c r="AP4629" s="152"/>
      <c r="AQ4629" s="152"/>
      <c r="AR4629" s="152"/>
      <c r="AS4629" s="152"/>
      <c r="AT4629" s="152"/>
      <c r="AU4629" s="153"/>
      <c r="AV4629" s="479"/>
      <c r="AW4629" s="479"/>
      <c r="AX4629" s="442"/>
      <c r="AY4629" s="153"/>
      <c r="AZ4629" s="152"/>
      <c r="BA4629" s="152"/>
      <c r="BB4629" s="152"/>
      <c r="BC4629" s="152"/>
      <c r="BD4629" s="152"/>
      <c r="BE4629" s="152"/>
      <c r="BF4629" s="152"/>
      <c r="BG4629" s="152"/>
      <c r="BH4629" s="152"/>
      <c r="BI4629" s="153"/>
      <c r="BJ4629" s="153"/>
      <c r="BK4629" s="153"/>
      <c r="BL4629" s="153"/>
      <c r="BM4629" s="153"/>
      <c r="BN4629" s="153"/>
      <c r="BO4629" s="153"/>
      <c r="BP4629" s="153"/>
      <c r="BQ4629" s="153"/>
      <c r="BR4629" s="153"/>
      <c r="BS4629" s="153"/>
      <c r="BT4629" s="153"/>
      <c r="BU4629" s="153"/>
      <c r="BV4629" s="153"/>
      <c r="BW4629" s="153"/>
      <c r="BX4629" s="153"/>
      <c r="BY4629" s="153"/>
      <c r="BZ4629" s="153"/>
      <c r="CA4629" s="152"/>
      <c r="CB4629" s="152"/>
    </row>
    <row r="4630" spans="1:80" s="87" customFormat="1" x14ac:dyDescent="0.2">
      <c r="A4630" s="152"/>
      <c r="B4630" s="683"/>
      <c r="C4630" s="683"/>
      <c r="D4630" s="698"/>
      <c r="E4630" s="215"/>
      <c r="F4630" s="215"/>
      <c r="G4630" s="153"/>
      <c r="H4630" s="153"/>
      <c r="I4630" s="163">
        <v>24</v>
      </c>
      <c r="J4630" s="163">
        <v>30</v>
      </c>
      <c r="K4630" s="150">
        <v>1</v>
      </c>
      <c r="L4630" s="656">
        <v>12</v>
      </c>
      <c r="M4630" s="663">
        <v>34470</v>
      </c>
      <c r="N4630" s="600">
        <v>8.6070600000000006</v>
      </c>
      <c r="O4630" s="604">
        <v>2.1305999999999999E-2</v>
      </c>
      <c r="P4630" s="250"/>
      <c r="Q4630" s="250"/>
      <c r="R4630" s="250"/>
      <c r="S4630" s="250">
        <v>2.5000000000000001E-2</v>
      </c>
      <c r="T4630" s="250">
        <v>0.25700000000000001</v>
      </c>
      <c r="U4630" s="250">
        <v>0.311</v>
      </c>
      <c r="V4630" s="250">
        <v>0.28000000000000003</v>
      </c>
      <c r="W4630" s="250">
        <v>9.9000000000000005E-2</v>
      </c>
      <c r="X4630" s="250">
        <v>2.7000000000000003E-2</v>
      </c>
      <c r="Y4630" s="250">
        <v>1E-3</v>
      </c>
      <c r="Z4630" s="150">
        <v>10</v>
      </c>
      <c r="AA4630" s="150">
        <v>2.46</v>
      </c>
      <c r="AB4630" s="152"/>
      <c r="AC4630" s="152"/>
      <c r="AD4630" s="223"/>
      <c r="AE4630" s="223"/>
      <c r="AF4630" s="223"/>
      <c r="AG4630" s="223"/>
      <c r="AH4630" s="341"/>
      <c r="AI4630" s="218"/>
      <c r="AJ4630" s="218"/>
      <c r="AK4630" s="153"/>
      <c r="AL4630" s="152"/>
      <c r="AM4630" s="152"/>
      <c r="AN4630" s="152"/>
      <c r="AO4630" s="152"/>
      <c r="AP4630" s="152"/>
      <c r="AQ4630" s="152"/>
      <c r="AR4630" s="152"/>
      <c r="AS4630" s="152"/>
      <c r="AT4630" s="152"/>
      <c r="AU4630" s="153"/>
      <c r="AV4630" s="479"/>
      <c r="AW4630" s="479"/>
      <c r="AX4630" s="442"/>
      <c r="AY4630" s="153"/>
      <c r="AZ4630" s="152"/>
      <c r="BA4630" s="152"/>
      <c r="BB4630" s="152"/>
      <c r="BC4630" s="152"/>
      <c r="BD4630" s="152"/>
      <c r="BE4630" s="152"/>
      <c r="BF4630" s="152"/>
      <c r="BG4630" s="152"/>
      <c r="BH4630" s="152"/>
      <c r="BI4630" s="153"/>
      <c r="BJ4630" s="153"/>
      <c r="BK4630" s="153"/>
      <c r="BL4630" s="153"/>
      <c r="BM4630" s="153"/>
      <c r="BN4630" s="153"/>
      <c r="BO4630" s="153"/>
      <c r="BP4630" s="153"/>
      <c r="BQ4630" s="153"/>
      <c r="BR4630" s="153"/>
      <c r="BS4630" s="153"/>
      <c r="BT4630" s="153"/>
      <c r="BU4630" s="153"/>
      <c r="BV4630" s="153"/>
      <c r="BW4630" s="153"/>
      <c r="BX4630" s="153"/>
      <c r="BY4630" s="153"/>
      <c r="BZ4630" s="153"/>
      <c r="CA4630" s="152"/>
      <c r="CB4630" s="152"/>
    </row>
    <row r="4631" spans="1:80" s="87" customFormat="1" x14ac:dyDescent="0.2">
      <c r="A4631" s="152"/>
      <c r="B4631" s="683"/>
      <c r="C4631" s="683"/>
      <c r="D4631" s="698"/>
      <c r="E4631" s="215"/>
      <c r="F4631" s="215"/>
      <c r="G4631" s="153"/>
      <c r="H4631" s="153"/>
      <c r="I4631" s="163">
        <v>24</v>
      </c>
      <c r="J4631" s="163">
        <v>30</v>
      </c>
      <c r="K4631" s="150">
        <v>1</v>
      </c>
      <c r="L4631" s="656">
        <v>12</v>
      </c>
      <c r="M4631" s="663">
        <v>34471</v>
      </c>
      <c r="N4631" s="600">
        <v>9.1733200000000004</v>
      </c>
      <c r="O4631" s="604">
        <v>2.026E-3</v>
      </c>
      <c r="P4631" s="250"/>
      <c r="Q4631" s="250"/>
      <c r="R4631" s="250"/>
      <c r="S4631" s="250"/>
      <c r="T4631" s="250">
        <v>7.6999999999999999E-2</v>
      </c>
      <c r="U4631" s="250">
        <v>0.17399999999999999</v>
      </c>
      <c r="V4631" s="250">
        <v>0.35100000000000003</v>
      </c>
      <c r="W4631" s="250">
        <v>0.29399999999999998</v>
      </c>
      <c r="X4631" s="250">
        <v>9.9000000000000005E-2</v>
      </c>
      <c r="Y4631" s="250">
        <v>4.0000000000000001E-3</v>
      </c>
      <c r="Z4631" s="150">
        <v>4.8</v>
      </c>
      <c r="AA4631" s="150">
        <v>1.23</v>
      </c>
      <c r="AB4631" s="152"/>
      <c r="AC4631" s="152"/>
      <c r="AD4631" s="223"/>
      <c r="AE4631" s="223"/>
      <c r="AF4631" s="223"/>
      <c r="AG4631" s="223"/>
      <c r="AH4631" s="341"/>
      <c r="AI4631" s="218"/>
      <c r="AJ4631" s="218"/>
      <c r="AK4631" s="153"/>
      <c r="AL4631" s="152"/>
      <c r="AM4631" s="152"/>
      <c r="AN4631" s="152"/>
      <c r="AO4631" s="152"/>
      <c r="AP4631" s="152"/>
      <c r="AQ4631" s="152"/>
      <c r="AR4631" s="152"/>
      <c r="AS4631" s="152"/>
      <c r="AT4631" s="152"/>
      <c r="AU4631" s="153"/>
      <c r="AV4631" s="479"/>
      <c r="AW4631" s="479"/>
      <c r="AX4631" s="442"/>
      <c r="AY4631" s="153"/>
      <c r="AZ4631" s="152"/>
      <c r="BA4631" s="152"/>
      <c r="BB4631" s="152"/>
      <c r="BC4631" s="152"/>
      <c r="BD4631" s="152"/>
      <c r="BE4631" s="152"/>
      <c r="BF4631" s="152"/>
      <c r="BG4631" s="152"/>
      <c r="BH4631" s="152"/>
      <c r="BI4631" s="153"/>
      <c r="BJ4631" s="153"/>
      <c r="BK4631" s="153"/>
      <c r="BL4631" s="153"/>
      <c r="BM4631" s="153"/>
      <c r="BN4631" s="153"/>
      <c r="BO4631" s="153"/>
      <c r="BP4631" s="153"/>
      <c r="BQ4631" s="153"/>
      <c r="BR4631" s="153"/>
      <c r="BS4631" s="153"/>
      <c r="BT4631" s="153"/>
      <c r="BU4631" s="153"/>
      <c r="BV4631" s="153"/>
      <c r="BW4631" s="153"/>
      <c r="BX4631" s="153"/>
      <c r="BY4631" s="153"/>
      <c r="BZ4631" s="153"/>
      <c r="CA4631" s="152"/>
      <c r="CB4631" s="152"/>
    </row>
    <row r="4632" spans="1:80" s="87" customFormat="1" x14ac:dyDescent="0.2">
      <c r="A4632" s="152"/>
      <c r="B4632" s="683"/>
      <c r="C4632" s="683"/>
      <c r="D4632" s="698"/>
      <c r="E4632" s="215"/>
      <c r="F4632" s="215"/>
      <c r="G4632" s="153"/>
      <c r="H4632" s="153"/>
      <c r="I4632" s="163">
        <v>24</v>
      </c>
      <c r="J4632" s="163">
        <v>30</v>
      </c>
      <c r="K4632" s="150">
        <v>1</v>
      </c>
      <c r="L4632" s="656">
        <v>12</v>
      </c>
      <c r="M4632" s="663">
        <v>34471</v>
      </c>
      <c r="N4632" s="600">
        <v>9.1733200000000004</v>
      </c>
      <c r="O4632" s="604">
        <v>3.2330000000000002E-3</v>
      </c>
      <c r="P4632" s="250"/>
      <c r="Q4632" s="250"/>
      <c r="R4632" s="250"/>
      <c r="S4632" s="250"/>
      <c r="T4632" s="250">
        <v>2.3E-2</v>
      </c>
      <c r="U4632" s="250">
        <v>0.154</v>
      </c>
      <c r="V4632" s="250">
        <v>0.43700000000000006</v>
      </c>
      <c r="W4632" s="250">
        <v>0.30099999999999999</v>
      </c>
      <c r="X4632" s="250">
        <v>8.1000000000000003E-2</v>
      </c>
      <c r="Y4632" s="250">
        <v>5.0000000000000001E-3</v>
      </c>
      <c r="Z4632" s="150">
        <v>4.3</v>
      </c>
      <c r="AA4632" s="150">
        <v>1.2</v>
      </c>
      <c r="AB4632" s="152"/>
      <c r="AC4632" s="152"/>
      <c r="AD4632" s="223"/>
      <c r="AE4632" s="223"/>
      <c r="AF4632" s="223"/>
      <c r="AG4632" s="223"/>
      <c r="AH4632" s="341"/>
      <c r="AI4632" s="218"/>
      <c r="AJ4632" s="218"/>
      <c r="AK4632" s="153"/>
      <c r="AL4632" s="152"/>
      <c r="AM4632" s="152"/>
      <c r="AN4632" s="152"/>
      <c r="AO4632" s="152"/>
      <c r="AP4632" s="152"/>
      <c r="AQ4632" s="152"/>
      <c r="AR4632" s="152"/>
      <c r="AS4632" s="152"/>
      <c r="AT4632" s="152"/>
      <c r="AU4632" s="153"/>
      <c r="AV4632" s="479"/>
      <c r="AW4632" s="479"/>
      <c r="AX4632" s="442"/>
      <c r="AY4632" s="153"/>
      <c r="AZ4632" s="152"/>
      <c r="BA4632" s="152"/>
      <c r="BB4632" s="152"/>
      <c r="BC4632" s="152"/>
      <c r="BD4632" s="152"/>
      <c r="BE4632" s="152"/>
      <c r="BF4632" s="152"/>
      <c r="BG4632" s="152"/>
      <c r="BH4632" s="152"/>
      <c r="BI4632" s="153"/>
      <c r="BJ4632" s="153"/>
      <c r="BK4632" s="153"/>
      <c r="BL4632" s="153"/>
      <c r="BM4632" s="153"/>
      <c r="BN4632" s="153"/>
      <c r="BO4632" s="153"/>
      <c r="BP4632" s="153"/>
      <c r="BQ4632" s="153"/>
      <c r="BR4632" s="153"/>
      <c r="BS4632" s="153"/>
      <c r="BT4632" s="153"/>
      <c r="BU4632" s="153"/>
      <c r="BV4632" s="153"/>
      <c r="BW4632" s="153"/>
      <c r="BX4632" s="153"/>
      <c r="BY4632" s="153"/>
      <c r="BZ4632" s="153"/>
      <c r="CA4632" s="152"/>
      <c r="CB4632" s="152"/>
    </row>
    <row r="4633" spans="1:80" s="87" customFormat="1" x14ac:dyDescent="0.2">
      <c r="A4633" s="152"/>
      <c r="B4633" s="683"/>
      <c r="C4633" s="683"/>
      <c r="D4633" s="698"/>
      <c r="E4633" s="215"/>
      <c r="F4633" s="215"/>
      <c r="G4633" s="153"/>
      <c r="H4633" s="153"/>
      <c r="I4633" s="163">
        <v>24</v>
      </c>
      <c r="J4633" s="163">
        <v>30</v>
      </c>
      <c r="K4633" s="150">
        <v>1</v>
      </c>
      <c r="L4633" s="656">
        <v>12</v>
      </c>
      <c r="M4633" s="663">
        <v>34473</v>
      </c>
      <c r="N4633" s="600">
        <v>7.4179300000000001</v>
      </c>
      <c r="O4633" s="604">
        <v>5.731E-3</v>
      </c>
      <c r="P4633" s="250"/>
      <c r="Q4633" s="250"/>
      <c r="R4633" s="250"/>
      <c r="S4633" s="250"/>
      <c r="T4633" s="250">
        <v>4.2000000000000003E-2</v>
      </c>
      <c r="U4633" s="250">
        <v>0.21100000000000002</v>
      </c>
      <c r="V4633" s="250">
        <v>0.47499999999999998</v>
      </c>
      <c r="W4633" s="250">
        <v>0.23800000000000002</v>
      </c>
      <c r="X4633" s="250">
        <v>3.4000000000000002E-2</v>
      </c>
      <c r="Y4633" s="250">
        <v>1E-3</v>
      </c>
      <c r="Z4633" s="150">
        <v>5.0999999999999996</v>
      </c>
      <c r="AA4633" s="150">
        <v>1.39</v>
      </c>
      <c r="AB4633" s="152"/>
      <c r="AC4633" s="152"/>
      <c r="AD4633" s="223"/>
      <c r="AE4633" s="223"/>
      <c r="AF4633" s="223"/>
      <c r="AG4633" s="223"/>
      <c r="AH4633" s="341"/>
      <c r="AI4633" s="218"/>
      <c r="AJ4633" s="218"/>
      <c r="AK4633" s="153"/>
      <c r="AL4633" s="152"/>
      <c r="AM4633" s="152"/>
      <c r="AN4633" s="152"/>
      <c r="AO4633" s="152"/>
      <c r="AP4633" s="152"/>
      <c r="AQ4633" s="152"/>
      <c r="AR4633" s="152"/>
      <c r="AS4633" s="152"/>
      <c r="AT4633" s="152"/>
      <c r="AU4633" s="153"/>
      <c r="AV4633" s="479"/>
      <c r="AW4633" s="479"/>
      <c r="AX4633" s="442"/>
      <c r="AY4633" s="153"/>
      <c r="AZ4633" s="152"/>
      <c r="BA4633" s="152"/>
      <c r="BB4633" s="152"/>
      <c r="BC4633" s="152"/>
      <c r="BD4633" s="152"/>
      <c r="BE4633" s="152"/>
      <c r="BF4633" s="152"/>
      <c r="BG4633" s="152"/>
      <c r="BH4633" s="152"/>
      <c r="BI4633" s="153"/>
      <c r="BJ4633" s="153"/>
      <c r="BK4633" s="153"/>
      <c r="BL4633" s="153"/>
      <c r="BM4633" s="153"/>
      <c r="BN4633" s="153"/>
      <c r="BO4633" s="153"/>
      <c r="BP4633" s="153"/>
      <c r="BQ4633" s="153"/>
      <c r="BR4633" s="153"/>
      <c r="BS4633" s="153"/>
      <c r="BT4633" s="153"/>
      <c r="BU4633" s="153"/>
      <c r="BV4633" s="153"/>
      <c r="BW4633" s="153"/>
      <c r="BX4633" s="153"/>
      <c r="BY4633" s="153"/>
      <c r="BZ4633" s="153"/>
      <c r="CA4633" s="152"/>
      <c r="CB4633" s="152"/>
    </row>
    <row r="4634" spans="1:80" s="87" customFormat="1" x14ac:dyDescent="0.2">
      <c r="A4634" s="152"/>
      <c r="B4634" s="683"/>
      <c r="C4634" s="683"/>
      <c r="D4634" s="698"/>
      <c r="E4634" s="215"/>
      <c r="F4634" s="215"/>
      <c r="G4634" s="153"/>
      <c r="H4634" s="153"/>
      <c r="I4634" s="163">
        <v>24</v>
      </c>
      <c r="J4634" s="163">
        <v>30</v>
      </c>
      <c r="K4634" s="150">
        <v>1</v>
      </c>
      <c r="L4634" s="656">
        <v>12</v>
      </c>
      <c r="M4634" s="663">
        <v>34473</v>
      </c>
      <c r="N4634" s="600">
        <v>7.4179300000000001</v>
      </c>
      <c r="O4634" s="604">
        <v>1.3854E-2</v>
      </c>
      <c r="P4634" s="250"/>
      <c r="Q4634" s="250"/>
      <c r="R4634" s="250"/>
      <c r="S4634" s="250"/>
      <c r="T4634" s="250">
        <v>3.7999999999999999E-2</v>
      </c>
      <c r="U4634" s="250">
        <v>0.16899999999999998</v>
      </c>
      <c r="V4634" s="250">
        <v>0.46</v>
      </c>
      <c r="W4634" s="250">
        <v>0.28300000000000003</v>
      </c>
      <c r="X4634" s="250">
        <v>0.05</v>
      </c>
      <c r="Y4634" s="250">
        <v>1E-3</v>
      </c>
      <c r="Z4634" s="150">
        <v>8</v>
      </c>
      <c r="AA4634" s="150">
        <v>1.28</v>
      </c>
      <c r="AB4634" s="152"/>
      <c r="AC4634" s="152"/>
      <c r="AD4634" s="223"/>
      <c r="AE4634" s="223"/>
      <c r="AF4634" s="223"/>
      <c r="AG4634" s="223"/>
      <c r="AH4634" s="341"/>
      <c r="AI4634" s="218"/>
      <c r="AJ4634" s="218"/>
      <c r="AK4634" s="153"/>
      <c r="AL4634" s="152"/>
      <c r="AM4634" s="152"/>
      <c r="AN4634" s="152"/>
      <c r="AO4634" s="152"/>
      <c r="AP4634" s="152"/>
      <c r="AQ4634" s="152"/>
      <c r="AR4634" s="152"/>
      <c r="AS4634" s="152"/>
      <c r="AT4634" s="152"/>
      <c r="AU4634" s="153"/>
      <c r="AV4634" s="479"/>
      <c r="AW4634" s="479"/>
      <c r="AX4634" s="442"/>
      <c r="AY4634" s="153"/>
      <c r="AZ4634" s="152"/>
      <c r="BA4634" s="152"/>
      <c r="BB4634" s="152"/>
      <c r="BC4634" s="152"/>
      <c r="BD4634" s="152"/>
      <c r="BE4634" s="152"/>
      <c r="BF4634" s="152"/>
      <c r="BG4634" s="152"/>
      <c r="BH4634" s="152"/>
      <c r="BI4634" s="153"/>
      <c r="BJ4634" s="153"/>
      <c r="BK4634" s="153"/>
      <c r="BL4634" s="153"/>
      <c r="BM4634" s="153"/>
      <c r="BN4634" s="153"/>
      <c r="BO4634" s="153"/>
      <c r="BP4634" s="153"/>
      <c r="BQ4634" s="153"/>
      <c r="BR4634" s="153"/>
      <c r="BS4634" s="153"/>
      <c r="BT4634" s="153"/>
      <c r="BU4634" s="153"/>
      <c r="BV4634" s="153"/>
      <c r="BW4634" s="153"/>
      <c r="BX4634" s="153"/>
      <c r="BY4634" s="153"/>
      <c r="BZ4634" s="153"/>
      <c r="CA4634" s="152"/>
      <c r="CB4634" s="152"/>
    </row>
    <row r="4635" spans="1:80" s="87" customFormat="1" x14ac:dyDescent="0.2">
      <c r="A4635" s="152"/>
      <c r="B4635" s="683"/>
      <c r="C4635" s="683"/>
      <c r="D4635" s="698"/>
      <c r="E4635" s="215"/>
      <c r="F4635" s="215"/>
      <c r="G4635" s="153"/>
      <c r="H4635" s="153"/>
      <c r="I4635" s="163">
        <v>23</v>
      </c>
      <c r="J4635" s="163">
        <v>30</v>
      </c>
      <c r="K4635" s="150">
        <v>1</v>
      </c>
      <c r="L4635" s="656">
        <v>11.5</v>
      </c>
      <c r="M4635" s="663">
        <v>34474</v>
      </c>
      <c r="N4635" s="600">
        <v>7.0215500000000004</v>
      </c>
      <c r="O4635" s="604">
        <v>1.011E-3</v>
      </c>
      <c r="P4635" s="250"/>
      <c r="Q4635" s="250"/>
      <c r="R4635" s="250"/>
      <c r="S4635" s="250"/>
      <c r="T4635" s="250"/>
      <c r="U4635" s="250">
        <v>3.1E-2</v>
      </c>
      <c r="V4635" s="250">
        <v>0.48799999999999999</v>
      </c>
      <c r="W4635" s="250">
        <v>0.40100000000000002</v>
      </c>
      <c r="X4635" s="250">
        <v>7.2999999999999995E-2</v>
      </c>
      <c r="Y4635" s="250">
        <v>6.9999999999999993E-3</v>
      </c>
      <c r="Z4635" s="150">
        <v>2.5</v>
      </c>
      <c r="AA4635" s="150">
        <v>1.03</v>
      </c>
      <c r="AB4635" s="152"/>
      <c r="AC4635" s="152"/>
      <c r="AD4635" s="223"/>
      <c r="AE4635" s="223"/>
      <c r="AF4635" s="223"/>
      <c r="AG4635" s="223"/>
      <c r="AH4635" s="341"/>
      <c r="AI4635" s="218"/>
      <c r="AJ4635" s="218"/>
      <c r="AK4635" s="153"/>
      <c r="AL4635" s="152"/>
      <c r="AM4635" s="152"/>
      <c r="AN4635" s="152"/>
      <c r="AO4635" s="152"/>
      <c r="AP4635" s="152"/>
      <c r="AQ4635" s="152"/>
      <c r="AR4635" s="152"/>
      <c r="AS4635" s="152"/>
      <c r="AT4635" s="152"/>
      <c r="AU4635" s="153"/>
      <c r="AV4635" s="479"/>
      <c r="AW4635" s="479"/>
      <c r="AX4635" s="442"/>
      <c r="AY4635" s="153"/>
      <c r="AZ4635" s="152"/>
      <c r="BA4635" s="152"/>
      <c r="BB4635" s="152"/>
      <c r="BC4635" s="152"/>
      <c r="BD4635" s="152"/>
      <c r="BE4635" s="152"/>
      <c r="BF4635" s="152"/>
      <c r="BG4635" s="152"/>
      <c r="BH4635" s="152"/>
      <c r="BI4635" s="153"/>
      <c r="BJ4635" s="153"/>
      <c r="BK4635" s="153"/>
      <c r="BL4635" s="153"/>
      <c r="BM4635" s="153"/>
      <c r="BN4635" s="153"/>
      <c r="BO4635" s="153"/>
      <c r="BP4635" s="153"/>
      <c r="BQ4635" s="153"/>
      <c r="BR4635" s="153"/>
      <c r="BS4635" s="153"/>
      <c r="BT4635" s="153"/>
      <c r="BU4635" s="153"/>
      <c r="BV4635" s="153"/>
      <c r="BW4635" s="153"/>
      <c r="BX4635" s="153"/>
      <c r="BY4635" s="153"/>
      <c r="BZ4635" s="153"/>
      <c r="CA4635" s="152"/>
      <c r="CB4635" s="152"/>
    </row>
    <row r="4636" spans="1:80" s="87" customFormat="1" x14ac:dyDescent="0.2">
      <c r="A4636" s="152"/>
      <c r="B4636" s="683"/>
      <c r="C4636" s="683"/>
      <c r="D4636" s="698"/>
      <c r="E4636" s="215"/>
      <c r="F4636" s="215"/>
      <c r="G4636" s="153"/>
      <c r="H4636" s="153"/>
      <c r="I4636" s="163">
        <v>23</v>
      </c>
      <c r="J4636" s="163">
        <v>30</v>
      </c>
      <c r="K4636" s="150">
        <v>1</v>
      </c>
      <c r="L4636" s="656">
        <v>11.5</v>
      </c>
      <c r="M4636" s="663">
        <v>34474</v>
      </c>
      <c r="N4636" s="600">
        <v>7.0215500000000004</v>
      </c>
      <c r="O4636" s="604">
        <v>3.2330000000000002E-3</v>
      </c>
      <c r="P4636" s="250"/>
      <c r="Q4636" s="250"/>
      <c r="R4636" s="250"/>
      <c r="S4636" s="250"/>
      <c r="T4636" s="250">
        <v>0.16</v>
      </c>
      <c r="U4636" s="250">
        <v>0.249</v>
      </c>
      <c r="V4636" s="250">
        <v>0.34</v>
      </c>
      <c r="W4636" s="250">
        <v>0.21299999999999999</v>
      </c>
      <c r="X4636" s="250">
        <v>3.7000000000000005E-2</v>
      </c>
      <c r="Y4636" s="250">
        <v>1E-3</v>
      </c>
      <c r="Z4636" s="150">
        <v>8.6</v>
      </c>
      <c r="AA4636" s="150">
        <v>1.66</v>
      </c>
      <c r="AB4636" s="152"/>
      <c r="AC4636" s="152"/>
      <c r="AD4636" s="223"/>
      <c r="AE4636" s="223"/>
      <c r="AF4636" s="223"/>
      <c r="AG4636" s="223"/>
      <c r="AH4636" s="341"/>
      <c r="AI4636" s="218"/>
      <c r="AJ4636" s="218"/>
      <c r="AK4636" s="153"/>
      <c r="AL4636" s="152"/>
      <c r="AM4636" s="152"/>
      <c r="AN4636" s="152"/>
      <c r="AO4636" s="152"/>
      <c r="AP4636" s="152"/>
      <c r="AQ4636" s="152"/>
      <c r="AR4636" s="152"/>
      <c r="AS4636" s="152"/>
      <c r="AT4636" s="152"/>
      <c r="AU4636" s="153"/>
      <c r="AV4636" s="479"/>
      <c r="AW4636" s="479"/>
      <c r="AX4636" s="442"/>
      <c r="AY4636" s="153"/>
      <c r="AZ4636" s="152"/>
      <c r="BA4636" s="152"/>
      <c r="BB4636" s="152"/>
      <c r="BC4636" s="152"/>
      <c r="BD4636" s="152"/>
      <c r="BE4636" s="152"/>
      <c r="BF4636" s="152"/>
      <c r="BG4636" s="152"/>
      <c r="BH4636" s="152"/>
      <c r="BI4636" s="153"/>
      <c r="BJ4636" s="153"/>
      <c r="BK4636" s="153"/>
      <c r="BL4636" s="153"/>
      <c r="BM4636" s="153"/>
      <c r="BN4636" s="153"/>
      <c r="BO4636" s="153"/>
      <c r="BP4636" s="153"/>
      <c r="BQ4636" s="153"/>
      <c r="BR4636" s="153"/>
      <c r="BS4636" s="153"/>
      <c r="BT4636" s="153"/>
      <c r="BU4636" s="153"/>
      <c r="BV4636" s="153"/>
      <c r="BW4636" s="153"/>
      <c r="BX4636" s="153"/>
      <c r="BY4636" s="153"/>
      <c r="BZ4636" s="153"/>
      <c r="CA4636" s="152"/>
      <c r="CB4636" s="152"/>
    </row>
    <row r="4637" spans="1:80" s="87" customFormat="1" x14ac:dyDescent="0.2">
      <c r="A4637" s="152"/>
      <c r="B4637" s="683"/>
      <c r="C4637" s="683"/>
      <c r="D4637" s="698"/>
      <c r="E4637" s="215"/>
      <c r="F4637" s="215"/>
      <c r="G4637" s="153"/>
      <c r="H4637" s="153"/>
      <c r="I4637" s="163">
        <v>22</v>
      </c>
      <c r="J4637" s="163">
        <v>30</v>
      </c>
      <c r="K4637" s="150">
        <v>1</v>
      </c>
      <c r="L4637" s="656">
        <v>11</v>
      </c>
      <c r="M4637" s="663">
        <v>34477</v>
      </c>
      <c r="N4637" s="600">
        <v>6.22879</v>
      </c>
      <c r="O4637" s="604">
        <v>3.3379999999999998E-3</v>
      </c>
      <c r="P4637" s="250"/>
      <c r="Q4637" s="250"/>
      <c r="R4637" s="250"/>
      <c r="S4637" s="250"/>
      <c r="T4637" s="250">
        <v>5.2999999999999999E-2</v>
      </c>
      <c r="U4637" s="250">
        <v>0.29299999999999998</v>
      </c>
      <c r="V4637" s="250">
        <v>0.44700000000000001</v>
      </c>
      <c r="W4637" s="250">
        <v>0.18100000000000002</v>
      </c>
      <c r="X4637" s="250">
        <v>2.6000000000000002E-2</v>
      </c>
      <c r="Y4637" s="250">
        <v>0</v>
      </c>
      <c r="Z4637" s="150">
        <v>4.8</v>
      </c>
      <c r="AA4637" s="150">
        <v>1.58</v>
      </c>
      <c r="AB4637" s="152"/>
      <c r="AC4637" s="152"/>
      <c r="AD4637" s="223"/>
      <c r="AE4637" s="223"/>
      <c r="AF4637" s="223"/>
      <c r="AG4637" s="223"/>
      <c r="AH4637" s="341"/>
      <c r="AI4637" s="218"/>
      <c r="AJ4637" s="218"/>
      <c r="AK4637" s="153"/>
      <c r="AL4637" s="152"/>
      <c r="AM4637" s="152"/>
      <c r="AN4637" s="152"/>
      <c r="AO4637" s="152"/>
      <c r="AP4637" s="152"/>
      <c r="AQ4637" s="152"/>
      <c r="AR4637" s="152"/>
      <c r="AS4637" s="152"/>
      <c r="AT4637" s="152"/>
      <c r="AU4637" s="153"/>
      <c r="AV4637" s="479"/>
      <c r="AW4637" s="479"/>
      <c r="AX4637" s="442"/>
      <c r="AY4637" s="153"/>
      <c r="AZ4637" s="152"/>
      <c r="BA4637" s="152"/>
      <c r="BB4637" s="152"/>
      <c r="BC4637" s="152"/>
      <c r="BD4637" s="152"/>
      <c r="BE4637" s="152"/>
      <c r="BF4637" s="152"/>
      <c r="BG4637" s="152"/>
      <c r="BH4637" s="152"/>
      <c r="BI4637" s="153"/>
      <c r="BJ4637" s="153"/>
      <c r="BK4637" s="153"/>
      <c r="BL4637" s="153"/>
      <c r="BM4637" s="153"/>
      <c r="BN4637" s="153"/>
      <c r="BO4637" s="153"/>
      <c r="BP4637" s="153"/>
      <c r="BQ4637" s="153"/>
      <c r="BR4637" s="153"/>
      <c r="BS4637" s="153"/>
      <c r="BT4637" s="153"/>
      <c r="BU4637" s="153"/>
      <c r="BV4637" s="153"/>
      <c r="BW4637" s="153"/>
      <c r="BX4637" s="153"/>
      <c r="BY4637" s="153"/>
      <c r="BZ4637" s="153"/>
      <c r="CA4637" s="152"/>
      <c r="CB4637" s="152"/>
    </row>
    <row r="4638" spans="1:80" s="87" customFormat="1" x14ac:dyDescent="0.2">
      <c r="A4638" s="152"/>
      <c r="B4638" s="683"/>
      <c r="C4638" s="683"/>
      <c r="D4638" s="698"/>
      <c r="E4638" s="215"/>
      <c r="F4638" s="215"/>
      <c r="G4638" s="153"/>
      <c r="H4638" s="153"/>
      <c r="I4638" s="163">
        <v>22</v>
      </c>
      <c r="J4638" s="163">
        <v>30</v>
      </c>
      <c r="K4638" s="150">
        <v>1</v>
      </c>
      <c r="L4638" s="656">
        <v>11</v>
      </c>
      <c r="M4638" s="663">
        <v>34477</v>
      </c>
      <c r="N4638" s="600">
        <v>6.22879</v>
      </c>
      <c r="O4638" s="604">
        <v>2.9390000000000002E-3</v>
      </c>
      <c r="P4638" s="250"/>
      <c r="Q4638" s="250"/>
      <c r="R4638" s="250"/>
      <c r="S4638" s="250"/>
      <c r="T4638" s="250"/>
      <c r="U4638" s="250">
        <v>0.13400000000000001</v>
      </c>
      <c r="V4638" s="250">
        <v>0.45299999999999996</v>
      </c>
      <c r="W4638" s="250">
        <v>0.32299999999999995</v>
      </c>
      <c r="X4638" s="250">
        <v>8.6999999999999994E-2</v>
      </c>
      <c r="Y4638" s="250">
        <v>2E-3</v>
      </c>
      <c r="Z4638" s="150">
        <v>4.0999999999999996</v>
      </c>
      <c r="AA4638" s="150">
        <v>1.1399999999999999</v>
      </c>
      <c r="AB4638" s="152"/>
      <c r="AC4638" s="152"/>
      <c r="AD4638" s="223"/>
      <c r="AE4638" s="223"/>
      <c r="AF4638" s="223"/>
      <c r="AG4638" s="223"/>
      <c r="AH4638" s="341"/>
      <c r="AI4638" s="218"/>
      <c r="AJ4638" s="218"/>
      <c r="AK4638" s="153"/>
      <c r="AL4638" s="152"/>
      <c r="AM4638" s="152"/>
      <c r="AN4638" s="152"/>
      <c r="AO4638" s="152"/>
      <c r="AP4638" s="152"/>
      <c r="AQ4638" s="152"/>
      <c r="AR4638" s="152"/>
      <c r="AS4638" s="152"/>
      <c r="AT4638" s="152"/>
      <c r="AU4638" s="153"/>
      <c r="AV4638" s="479"/>
      <c r="AW4638" s="479"/>
      <c r="AX4638" s="442"/>
      <c r="AY4638" s="153"/>
      <c r="AZ4638" s="152"/>
      <c r="BA4638" s="152"/>
      <c r="BB4638" s="152"/>
      <c r="BC4638" s="152"/>
      <c r="BD4638" s="152"/>
      <c r="BE4638" s="152"/>
      <c r="BF4638" s="152"/>
      <c r="BG4638" s="152"/>
      <c r="BH4638" s="152"/>
      <c r="BI4638" s="153"/>
      <c r="BJ4638" s="153"/>
      <c r="BK4638" s="153"/>
      <c r="BL4638" s="153"/>
      <c r="BM4638" s="153"/>
      <c r="BN4638" s="153"/>
      <c r="BO4638" s="153"/>
      <c r="BP4638" s="153"/>
      <c r="BQ4638" s="153"/>
      <c r="BR4638" s="153"/>
      <c r="BS4638" s="153"/>
      <c r="BT4638" s="153"/>
      <c r="BU4638" s="153"/>
      <c r="BV4638" s="153"/>
      <c r="BW4638" s="153"/>
      <c r="BX4638" s="153"/>
      <c r="BY4638" s="153"/>
      <c r="BZ4638" s="153"/>
      <c r="CA4638" s="152"/>
      <c r="CB4638" s="152"/>
    </row>
    <row r="4639" spans="1:80" s="87" customFormat="1" x14ac:dyDescent="0.2">
      <c r="A4639" s="152"/>
      <c r="B4639" s="683"/>
      <c r="C4639" s="683"/>
      <c r="D4639" s="698"/>
      <c r="E4639" s="215"/>
      <c r="F4639" s="215"/>
      <c r="G4639" s="153"/>
      <c r="H4639" s="153"/>
      <c r="I4639" s="163">
        <v>23</v>
      </c>
      <c r="J4639" s="163">
        <v>30</v>
      </c>
      <c r="K4639" s="150">
        <v>1</v>
      </c>
      <c r="L4639" s="656">
        <v>11.5</v>
      </c>
      <c r="M4639" s="663">
        <v>34480</v>
      </c>
      <c r="N4639" s="600">
        <v>7.0215500000000004</v>
      </c>
      <c r="O4639" s="604">
        <v>6.0034999999999998E-2</v>
      </c>
      <c r="P4639" s="250"/>
      <c r="Q4639" s="250"/>
      <c r="R4639" s="250"/>
      <c r="S4639" s="250">
        <v>8.5000000000000006E-2</v>
      </c>
      <c r="T4639" s="250">
        <v>0.34700000000000003</v>
      </c>
      <c r="U4639" s="250">
        <v>0.25</v>
      </c>
      <c r="V4639" s="250">
        <v>0.183</v>
      </c>
      <c r="W4639" s="250">
        <v>0.11</v>
      </c>
      <c r="X4639" s="250">
        <v>2.3E-2</v>
      </c>
      <c r="Y4639" s="250">
        <v>1E-3</v>
      </c>
      <c r="Z4639" s="150">
        <v>10.1</v>
      </c>
      <c r="AA4639" s="150">
        <v>3.32</v>
      </c>
      <c r="AB4639" s="152"/>
      <c r="AC4639" s="152"/>
      <c r="AD4639" s="223"/>
      <c r="AE4639" s="223"/>
      <c r="AF4639" s="223"/>
      <c r="AG4639" s="223"/>
      <c r="AH4639" s="341"/>
      <c r="AI4639" s="218"/>
      <c r="AJ4639" s="218"/>
      <c r="AK4639" s="153"/>
      <c r="AL4639" s="152"/>
      <c r="AM4639" s="152"/>
      <c r="AN4639" s="152"/>
      <c r="AO4639" s="152"/>
      <c r="AP4639" s="152"/>
      <c r="AQ4639" s="152"/>
      <c r="AR4639" s="152"/>
      <c r="AS4639" s="152"/>
      <c r="AT4639" s="152"/>
      <c r="AU4639" s="153"/>
      <c r="AV4639" s="479"/>
      <c r="AW4639" s="479"/>
      <c r="AX4639" s="442"/>
      <c r="AY4639" s="153"/>
      <c r="AZ4639" s="152"/>
      <c r="BA4639" s="152"/>
      <c r="BB4639" s="152"/>
      <c r="BC4639" s="152"/>
      <c r="BD4639" s="152"/>
      <c r="BE4639" s="152"/>
      <c r="BF4639" s="152"/>
      <c r="BG4639" s="152"/>
      <c r="BH4639" s="152"/>
      <c r="BI4639" s="153"/>
      <c r="BJ4639" s="153"/>
      <c r="BK4639" s="153"/>
      <c r="BL4639" s="153"/>
      <c r="BM4639" s="153"/>
      <c r="BN4639" s="153"/>
      <c r="BO4639" s="153"/>
      <c r="BP4639" s="153"/>
      <c r="BQ4639" s="153"/>
      <c r="BR4639" s="153"/>
      <c r="BS4639" s="153"/>
      <c r="BT4639" s="153"/>
      <c r="BU4639" s="153"/>
      <c r="BV4639" s="153"/>
      <c r="BW4639" s="153"/>
      <c r="BX4639" s="153"/>
      <c r="BY4639" s="153"/>
      <c r="BZ4639" s="153"/>
      <c r="CA4639" s="152"/>
      <c r="CB4639" s="152"/>
    </row>
    <row r="4640" spans="1:80" s="87" customFormat="1" x14ac:dyDescent="0.2">
      <c r="A4640" s="152"/>
      <c r="B4640" s="683"/>
      <c r="C4640" s="683"/>
      <c r="D4640" s="698"/>
      <c r="E4640" s="215"/>
      <c r="F4640" s="215"/>
      <c r="G4640" s="153"/>
      <c r="H4640" s="153"/>
      <c r="I4640" s="163">
        <v>23</v>
      </c>
      <c r="J4640" s="163">
        <v>30</v>
      </c>
      <c r="K4640" s="150">
        <v>1</v>
      </c>
      <c r="L4640" s="656">
        <v>11.5</v>
      </c>
      <c r="M4640" s="663">
        <v>34480</v>
      </c>
      <c r="N4640" s="600">
        <v>7.0215500000000004</v>
      </c>
      <c r="O4640" s="604">
        <v>4.2090000000000001E-3</v>
      </c>
      <c r="P4640" s="250"/>
      <c r="Q4640" s="250"/>
      <c r="R4640" s="250"/>
      <c r="S4640" s="250"/>
      <c r="T4640" s="250">
        <v>0.23899999999999999</v>
      </c>
      <c r="U4640" s="250">
        <v>0.222</v>
      </c>
      <c r="V4640" s="250">
        <v>0.28100000000000003</v>
      </c>
      <c r="W4640" s="250">
        <v>0.18899999999999997</v>
      </c>
      <c r="X4640" s="250">
        <v>6.5000000000000002E-2</v>
      </c>
      <c r="Y4640" s="250">
        <v>5.0000000000000001E-3</v>
      </c>
      <c r="Z4640" s="150">
        <v>9.5</v>
      </c>
      <c r="AA4640" s="150">
        <v>1.81</v>
      </c>
      <c r="AB4640" s="152"/>
      <c r="AC4640" s="152"/>
      <c r="AD4640" s="223"/>
      <c r="AE4640" s="223"/>
      <c r="AF4640" s="223"/>
      <c r="AG4640" s="223"/>
      <c r="AH4640" s="341"/>
      <c r="AI4640" s="218"/>
      <c r="AJ4640" s="218"/>
      <c r="AK4640" s="153"/>
      <c r="AL4640" s="152"/>
      <c r="AM4640" s="152"/>
      <c r="AN4640" s="152"/>
      <c r="AO4640" s="152"/>
      <c r="AP4640" s="152"/>
      <c r="AQ4640" s="152"/>
      <c r="AR4640" s="152"/>
      <c r="AS4640" s="152"/>
      <c r="AT4640" s="152"/>
      <c r="AU4640" s="153"/>
      <c r="AV4640" s="479"/>
      <c r="AW4640" s="479"/>
      <c r="AX4640" s="442"/>
      <c r="AY4640" s="153"/>
      <c r="AZ4640" s="152"/>
      <c r="BA4640" s="152"/>
      <c r="BB4640" s="152"/>
      <c r="BC4640" s="152"/>
      <c r="BD4640" s="152"/>
      <c r="BE4640" s="152"/>
      <c r="BF4640" s="152"/>
      <c r="BG4640" s="152"/>
      <c r="BH4640" s="152"/>
      <c r="BI4640" s="153"/>
      <c r="BJ4640" s="153"/>
      <c r="BK4640" s="153"/>
      <c r="BL4640" s="153"/>
      <c r="BM4640" s="153"/>
      <c r="BN4640" s="153"/>
      <c r="BO4640" s="153"/>
      <c r="BP4640" s="153"/>
      <c r="BQ4640" s="153"/>
      <c r="BR4640" s="153"/>
      <c r="BS4640" s="153"/>
      <c r="BT4640" s="153"/>
      <c r="BU4640" s="153"/>
      <c r="BV4640" s="153"/>
      <c r="BW4640" s="153"/>
      <c r="BX4640" s="153"/>
      <c r="BY4640" s="153"/>
      <c r="BZ4640" s="153"/>
      <c r="CA4640" s="152"/>
      <c r="CB4640" s="152"/>
    </row>
    <row r="4641" spans="1:80" s="87" customFormat="1" x14ac:dyDescent="0.2">
      <c r="A4641" s="152"/>
      <c r="B4641" s="683"/>
      <c r="C4641" s="683"/>
      <c r="D4641" s="698"/>
      <c r="E4641" s="215"/>
      <c r="F4641" s="215"/>
      <c r="G4641" s="153"/>
      <c r="H4641" s="153"/>
      <c r="I4641" s="163">
        <v>23</v>
      </c>
      <c r="J4641" s="163">
        <v>30</v>
      </c>
      <c r="K4641" s="150">
        <v>1</v>
      </c>
      <c r="L4641" s="656">
        <v>11.5</v>
      </c>
      <c r="M4641" s="663">
        <v>34482</v>
      </c>
      <c r="N4641" s="600">
        <v>9.7678799999999999</v>
      </c>
      <c r="O4641" s="604">
        <v>7.7247999999999997E-2</v>
      </c>
      <c r="P4641" s="250"/>
      <c r="Q4641" s="250"/>
      <c r="R4641" s="250"/>
      <c r="S4641" s="250"/>
      <c r="T4641" s="250">
        <v>1.6E-2</v>
      </c>
      <c r="U4641" s="250">
        <v>0.122</v>
      </c>
      <c r="V4641" s="250">
        <v>0.46399999999999997</v>
      </c>
      <c r="W4641" s="250">
        <v>0.35499999999999998</v>
      </c>
      <c r="X4641" s="250">
        <v>4.2000000000000003E-2</v>
      </c>
      <c r="Y4641" s="250">
        <v>1E-3</v>
      </c>
      <c r="Z4641" s="150">
        <v>5.5</v>
      </c>
      <c r="AA4641" s="150">
        <v>1.1599999999999999</v>
      </c>
      <c r="AB4641" s="152"/>
      <c r="AC4641" s="152"/>
      <c r="AD4641" s="223"/>
      <c r="AE4641" s="223"/>
      <c r="AF4641" s="223"/>
      <c r="AG4641" s="223"/>
      <c r="AH4641" s="341"/>
      <c r="AI4641" s="218"/>
      <c r="AJ4641" s="218"/>
      <c r="AK4641" s="153"/>
      <c r="AL4641" s="152"/>
      <c r="AM4641" s="152"/>
      <c r="AN4641" s="152"/>
      <c r="AO4641" s="152"/>
      <c r="AP4641" s="152"/>
      <c r="AQ4641" s="152"/>
      <c r="AR4641" s="152"/>
      <c r="AS4641" s="152"/>
      <c r="AT4641" s="152"/>
      <c r="AU4641" s="153"/>
      <c r="AV4641" s="479"/>
      <c r="AW4641" s="479"/>
      <c r="AX4641" s="442"/>
      <c r="AY4641" s="153"/>
      <c r="AZ4641" s="152"/>
      <c r="BA4641" s="152"/>
      <c r="BB4641" s="152"/>
      <c r="BC4641" s="152"/>
      <c r="BD4641" s="152"/>
      <c r="BE4641" s="152"/>
      <c r="BF4641" s="152"/>
      <c r="BG4641" s="152"/>
      <c r="BH4641" s="152"/>
      <c r="BI4641" s="153"/>
      <c r="BJ4641" s="153"/>
      <c r="BK4641" s="153"/>
      <c r="BL4641" s="153"/>
      <c r="BM4641" s="153"/>
      <c r="BN4641" s="153"/>
      <c r="BO4641" s="153"/>
      <c r="BP4641" s="153"/>
      <c r="BQ4641" s="153"/>
      <c r="BR4641" s="153"/>
      <c r="BS4641" s="153"/>
      <c r="BT4641" s="153"/>
      <c r="BU4641" s="153"/>
      <c r="BV4641" s="153"/>
      <c r="BW4641" s="153"/>
      <c r="BX4641" s="153"/>
      <c r="BY4641" s="153"/>
      <c r="BZ4641" s="153"/>
      <c r="CA4641" s="152"/>
      <c r="CB4641" s="152"/>
    </row>
    <row r="4642" spans="1:80" s="87" customFormat="1" x14ac:dyDescent="0.2">
      <c r="A4642" s="152"/>
      <c r="B4642" s="683"/>
      <c r="C4642" s="683"/>
      <c r="D4642" s="698"/>
      <c r="E4642" s="215"/>
      <c r="F4642" s="215"/>
      <c r="G4642" s="153"/>
      <c r="H4642" s="153"/>
      <c r="I4642" s="163">
        <v>23</v>
      </c>
      <c r="J4642" s="163">
        <v>30</v>
      </c>
      <c r="K4642" s="150">
        <v>1</v>
      </c>
      <c r="L4642" s="656">
        <v>11.5</v>
      </c>
      <c r="M4642" s="663">
        <v>34482</v>
      </c>
      <c r="N4642" s="600">
        <v>9.7678799999999999</v>
      </c>
      <c r="O4642" s="604">
        <v>5.6781999999999999E-2</v>
      </c>
      <c r="P4642" s="250"/>
      <c r="Q4642" s="250"/>
      <c r="R4642" s="250"/>
      <c r="S4642" s="250"/>
      <c r="T4642" s="250">
        <v>0.113</v>
      </c>
      <c r="U4642" s="250">
        <v>0.22899999999999998</v>
      </c>
      <c r="V4642" s="250">
        <v>0.41899999999999998</v>
      </c>
      <c r="W4642" s="250">
        <v>0.20399999999999999</v>
      </c>
      <c r="X4642" s="250">
        <v>3.4000000000000002E-2</v>
      </c>
      <c r="Y4642" s="250">
        <v>1E-3</v>
      </c>
      <c r="Z4642" s="150">
        <v>6.9</v>
      </c>
      <c r="AA4642" s="150">
        <v>1.54</v>
      </c>
      <c r="AB4642" s="152"/>
      <c r="AC4642" s="152"/>
      <c r="AD4642" s="223"/>
      <c r="AE4642" s="223"/>
      <c r="AF4642" s="223"/>
      <c r="AG4642" s="223"/>
      <c r="AH4642" s="341"/>
      <c r="AI4642" s="218"/>
      <c r="AJ4642" s="218"/>
      <c r="AK4642" s="153"/>
      <c r="AL4642" s="152"/>
      <c r="AM4642" s="152"/>
      <c r="AN4642" s="152"/>
      <c r="AO4642" s="152"/>
      <c r="AP4642" s="152"/>
      <c r="AQ4642" s="152"/>
      <c r="AR4642" s="152"/>
      <c r="AS4642" s="152"/>
      <c r="AT4642" s="152"/>
      <c r="AU4642" s="153"/>
      <c r="AV4642" s="479"/>
      <c r="AW4642" s="479"/>
      <c r="AX4642" s="442"/>
      <c r="AY4642" s="153"/>
      <c r="AZ4642" s="152"/>
      <c r="BA4642" s="152"/>
      <c r="BB4642" s="152"/>
      <c r="BC4642" s="152"/>
      <c r="BD4642" s="152"/>
      <c r="BE4642" s="152"/>
      <c r="BF4642" s="152"/>
      <c r="BG4642" s="152"/>
      <c r="BH4642" s="152"/>
      <c r="BI4642" s="153"/>
      <c r="BJ4642" s="153"/>
      <c r="BK4642" s="153"/>
      <c r="BL4642" s="153"/>
      <c r="BM4642" s="153"/>
      <c r="BN4642" s="153"/>
      <c r="BO4642" s="153"/>
      <c r="BP4642" s="153"/>
      <c r="BQ4642" s="153"/>
      <c r="BR4642" s="153"/>
      <c r="BS4642" s="153"/>
      <c r="BT4642" s="153"/>
      <c r="BU4642" s="153"/>
      <c r="BV4642" s="153"/>
      <c r="BW4642" s="153"/>
      <c r="BX4642" s="153"/>
      <c r="BY4642" s="153"/>
      <c r="BZ4642" s="153"/>
      <c r="CA4642" s="152"/>
      <c r="CB4642" s="152"/>
    </row>
    <row r="4643" spans="1:80" s="87" customFormat="1" x14ac:dyDescent="0.2">
      <c r="A4643" s="152"/>
      <c r="B4643" s="683"/>
      <c r="C4643" s="683"/>
      <c r="D4643" s="698"/>
      <c r="E4643" s="215"/>
      <c r="F4643" s="215"/>
      <c r="G4643" s="153"/>
      <c r="H4643" s="153"/>
      <c r="I4643" s="163">
        <v>23</v>
      </c>
      <c r="J4643" s="163">
        <v>30</v>
      </c>
      <c r="K4643" s="150">
        <v>1</v>
      </c>
      <c r="L4643" s="656">
        <v>11.5</v>
      </c>
      <c r="M4643" s="663">
        <v>34487</v>
      </c>
      <c r="N4643" s="600">
        <v>8.4938099999999999</v>
      </c>
      <c r="O4643" s="604">
        <v>2.6658999999999999E-2</v>
      </c>
      <c r="P4643" s="250"/>
      <c r="Q4643" s="250"/>
      <c r="R4643" s="250"/>
      <c r="S4643" s="250">
        <v>1.3999999999999999E-2</v>
      </c>
      <c r="T4643" s="250">
        <v>5.2999999999999999E-2</v>
      </c>
      <c r="U4643" s="250">
        <v>0.30499999999999999</v>
      </c>
      <c r="V4643" s="250">
        <v>0.46200000000000002</v>
      </c>
      <c r="W4643" s="250">
        <v>0.14599999999999999</v>
      </c>
      <c r="X4643" s="250">
        <v>0.02</v>
      </c>
      <c r="Y4643" s="250">
        <v>1E-3</v>
      </c>
      <c r="Z4643" s="150">
        <v>3.3</v>
      </c>
      <c r="AA4643" s="150">
        <v>1.65</v>
      </c>
      <c r="AB4643" s="152"/>
      <c r="AC4643" s="152"/>
      <c r="AD4643" s="223"/>
      <c r="AE4643" s="223"/>
      <c r="AF4643" s="223"/>
      <c r="AG4643" s="223"/>
      <c r="AH4643" s="341"/>
      <c r="AI4643" s="218"/>
      <c r="AJ4643" s="218"/>
      <c r="AK4643" s="153"/>
      <c r="AL4643" s="152"/>
      <c r="AM4643" s="152"/>
      <c r="AN4643" s="152"/>
      <c r="AO4643" s="152"/>
      <c r="AP4643" s="152"/>
      <c r="AQ4643" s="152"/>
      <c r="AR4643" s="152"/>
      <c r="AS4643" s="152"/>
      <c r="AT4643" s="152"/>
      <c r="AU4643" s="153"/>
      <c r="AV4643" s="479"/>
      <c r="AW4643" s="479"/>
      <c r="AX4643" s="442"/>
      <c r="AY4643" s="153"/>
      <c r="AZ4643" s="152"/>
      <c r="BA4643" s="152"/>
      <c r="BB4643" s="152"/>
      <c r="BC4643" s="152"/>
      <c r="BD4643" s="152"/>
      <c r="BE4643" s="152"/>
      <c r="BF4643" s="152"/>
      <c r="BG4643" s="152"/>
      <c r="BH4643" s="152"/>
      <c r="BI4643" s="153"/>
      <c r="BJ4643" s="153"/>
      <c r="BK4643" s="153"/>
      <c r="BL4643" s="153"/>
      <c r="BM4643" s="153"/>
      <c r="BN4643" s="153"/>
      <c r="BO4643" s="153"/>
      <c r="BP4643" s="153"/>
      <c r="BQ4643" s="153"/>
      <c r="BR4643" s="153"/>
      <c r="BS4643" s="153"/>
      <c r="BT4643" s="153"/>
      <c r="BU4643" s="153"/>
      <c r="BV4643" s="153"/>
      <c r="BW4643" s="153"/>
      <c r="BX4643" s="153"/>
      <c r="BY4643" s="153"/>
      <c r="BZ4643" s="153"/>
      <c r="CA4643" s="152"/>
      <c r="CB4643" s="152"/>
    </row>
    <row r="4644" spans="1:80" s="87" customFormat="1" x14ac:dyDescent="0.2">
      <c r="A4644" s="152"/>
      <c r="B4644" s="683"/>
      <c r="C4644" s="683"/>
      <c r="D4644" s="698"/>
      <c r="E4644" s="215"/>
      <c r="F4644" s="215"/>
      <c r="G4644" s="153"/>
      <c r="H4644" s="153"/>
      <c r="I4644" s="163">
        <v>23</v>
      </c>
      <c r="J4644" s="163">
        <v>30</v>
      </c>
      <c r="K4644" s="150">
        <v>1</v>
      </c>
      <c r="L4644" s="656">
        <v>11.5</v>
      </c>
      <c r="M4644" s="663">
        <v>34487</v>
      </c>
      <c r="N4644" s="600">
        <v>8.4938099999999999</v>
      </c>
      <c r="O4644" s="604">
        <v>3.2537000000000003E-2</v>
      </c>
      <c r="P4644" s="250"/>
      <c r="Q4644" s="250"/>
      <c r="R4644" s="250"/>
      <c r="S4644" s="250"/>
      <c r="T4644" s="250">
        <v>4.8000000000000001E-2</v>
      </c>
      <c r="U4644" s="250">
        <v>0.217</v>
      </c>
      <c r="V4644" s="250">
        <v>0.56499999999999995</v>
      </c>
      <c r="W4644" s="250">
        <v>0.13600000000000001</v>
      </c>
      <c r="X4644" s="250">
        <v>3.2000000000000001E-2</v>
      </c>
      <c r="Y4644" s="250">
        <v>1E-3</v>
      </c>
      <c r="Z4644" s="150">
        <v>6.5</v>
      </c>
      <c r="AA4644" s="150">
        <v>1.5</v>
      </c>
      <c r="AB4644" s="152"/>
      <c r="AC4644" s="152"/>
      <c r="AD4644" s="223"/>
      <c r="AE4644" s="223"/>
      <c r="AF4644" s="223"/>
      <c r="AG4644" s="223"/>
      <c r="AH4644" s="341"/>
      <c r="AI4644" s="218"/>
      <c r="AJ4644" s="218"/>
      <c r="AK4644" s="153"/>
      <c r="AL4644" s="152"/>
      <c r="AM4644" s="152"/>
      <c r="AN4644" s="152"/>
      <c r="AO4644" s="152"/>
      <c r="AP4644" s="152"/>
      <c r="AQ4644" s="152"/>
      <c r="AR4644" s="152"/>
      <c r="AS4644" s="152"/>
      <c r="AT4644" s="152"/>
      <c r="AU4644" s="153"/>
      <c r="AV4644" s="479"/>
      <c r="AW4644" s="479"/>
      <c r="AX4644" s="442"/>
      <c r="AY4644" s="153"/>
      <c r="AZ4644" s="152"/>
      <c r="BA4644" s="152"/>
      <c r="BB4644" s="152"/>
      <c r="BC4644" s="152"/>
      <c r="BD4644" s="152"/>
      <c r="BE4644" s="152"/>
      <c r="BF4644" s="152"/>
      <c r="BG4644" s="152"/>
      <c r="BH4644" s="152"/>
      <c r="BI4644" s="153"/>
      <c r="BJ4644" s="153"/>
      <c r="BK4644" s="153"/>
      <c r="BL4644" s="153"/>
      <c r="BM4644" s="153"/>
      <c r="BN4644" s="153"/>
      <c r="BO4644" s="153"/>
      <c r="BP4644" s="153"/>
      <c r="BQ4644" s="153"/>
      <c r="BR4644" s="153"/>
      <c r="BS4644" s="153"/>
      <c r="BT4644" s="153"/>
      <c r="BU4644" s="153"/>
      <c r="BV4644" s="153"/>
      <c r="BW4644" s="153"/>
      <c r="BX4644" s="153"/>
      <c r="BY4644" s="153"/>
      <c r="BZ4644" s="153"/>
      <c r="CA4644" s="152"/>
      <c r="CB4644" s="152"/>
    </row>
    <row r="4645" spans="1:80" s="87" customFormat="1" x14ac:dyDescent="0.2">
      <c r="A4645" s="152"/>
      <c r="B4645" s="683"/>
      <c r="C4645" s="683"/>
      <c r="D4645" s="698"/>
      <c r="E4645" s="215"/>
      <c r="F4645" s="215"/>
      <c r="G4645" s="153"/>
      <c r="H4645" s="153"/>
      <c r="I4645" s="163">
        <v>24</v>
      </c>
      <c r="J4645" s="163">
        <v>30</v>
      </c>
      <c r="K4645" s="150">
        <v>1</v>
      </c>
      <c r="L4645" s="656">
        <v>12</v>
      </c>
      <c r="M4645" s="663">
        <v>34488</v>
      </c>
      <c r="N4645" s="600">
        <v>6.7384199999999996</v>
      </c>
      <c r="O4645" s="604">
        <v>5.5209999999999999E-3</v>
      </c>
      <c r="P4645" s="250"/>
      <c r="Q4645" s="250"/>
      <c r="R4645" s="250"/>
      <c r="S4645" s="250"/>
      <c r="T4645" s="250">
        <v>0.245</v>
      </c>
      <c r="U4645" s="250">
        <v>0.312</v>
      </c>
      <c r="V4645" s="250">
        <v>0.35299999999999998</v>
      </c>
      <c r="W4645" s="250">
        <v>7.9000000000000001E-2</v>
      </c>
      <c r="X4645" s="250">
        <v>1.1000000000000001E-2</v>
      </c>
      <c r="Y4645" s="250">
        <v>1E-3</v>
      </c>
      <c r="Z4645" s="150">
        <v>9</v>
      </c>
      <c r="AA4645" s="150">
        <v>2.2599999999999998</v>
      </c>
      <c r="AB4645" s="152"/>
      <c r="AC4645" s="152"/>
      <c r="AD4645" s="223"/>
      <c r="AE4645" s="223"/>
      <c r="AF4645" s="223"/>
      <c r="AG4645" s="223"/>
      <c r="AH4645" s="341"/>
      <c r="AI4645" s="218"/>
      <c r="AJ4645" s="218"/>
      <c r="AK4645" s="153"/>
      <c r="AL4645" s="152"/>
      <c r="AM4645" s="152"/>
      <c r="AN4645" s="152"/>
      <c r="AO4645" s="152"/>
      <c r="AP4645" s="152"/>
      <c r="AQ4645" s="152"/>
      <c r="AR4645" s="152"/>
      <c r="AS4645" s="152"/>
      <c r="AT4645" s="152"/>
      <c r="AU4645" s="153"/>
      <c r="AV4645" s="479"/>
      <c r="AW4645" s="479"/>
      <c r="AX4645" s="442"/>
      <c r="AY4645" s="153"/>
      <c r="AZ4645" s="152"/>
      <c r="BA4645" s="152"/>
      <c r="BB4645" s="152"/>
      <c r="BC4645" s="152"/>
      <c r="BD4645" s="152"/>
      <c r="BE4645" s="152"/>
      <c r="BF4645" s="152"/>
      <c r="BG4645" s="152"/>
      <c r="BH4645" s="152"/>
      <c r="BI4645" s="153"/>
      <c r="BJ4645" s="153"/>
      <c r="BK4645" s="153"/>
      <c r="BL4645" s="153"/>
      <c r="BM4645" s="153"/>
      <c r="BN4645" s="153"/>
      <c r="BO4645" s="153"/>
      <c r="BP4645" s="153"/>
      <c r="BQ4645" s="153"/>
      <c r="BR4645" s="153"/>
      <c r="BS4645" s="153"/>
      <c r="BT4645" s="153"/>
      <c r="BU4645" s="153"/>
      <c r="BV4645" s="153"/>
      <c r="BW4645" s="153"/>
      <c r="BX4645" s="153"/>
      <c r="BY4645" s="153"/>
      <c r="BZ4645" s="153"/>
      <c r="CA4645" s="152"/>
      <c r="CB4645" s="152"/>
    </row>
    <row r="4646" spans="1:80" s="87" customFormat="1" x14ac:dyDescent="0.2">
      <c r="A4646" s="152"/>
      <c r="B4646" s="683"/>
      <c r="C4646" s="683"/>
      <c r="D4646" s="698"/>
      <c r="E4646" s="215"/>
      <c r="F4646" s="215"/>
      <c r="G4646" s="153"/>
      <c r="H4646" s="153"/>
      <c r="I4646" s="163">
        <v>24</v>
      </c>
      <c r="J4646" s="163">
        <v>30</v>
      </c>
      <c r="K4646" s="150">
        <v>1</v>
      </c>
      <c r="L4646" s="656">
        <v>12</v>
      </c>
      <c r="M4646" s="663">
        <v>34488</v>
      </c>
      <c r="N4646" s="600">
        <v>6.7384199999999996</v>
      </c>
      <c r="O4646" s="604">
        <v>1.364E-3</v>
      </c>
      <c r="P4646" s="250"/>
      <c r="Q4646" s="250"/>
      <c r="R4646" s="250"/>
      <c r="S4646" s="250"/>
      <c r="T4646" s="250"/>
      <c r="U4646" s="250">
        <v>8.1000000000000003E-2</v>
      </c>
      <c r="V4646" s="250">
        <v>0.46200000000000002</v>
      </c>
      <c r="W4646" s="250">
        <v>0.36</v>
      </c>
      <c r="X4646" s="250">
        <v>0.09</v>
      </c>
      <c r="Y4646" s="250">
        <v>6.0000000000000001E-3</v>
      </c>
      <c r="Z4646" s="150">
        <v>3.5</v>
      </c>
      <c r="AA4646" s="150">
        <v>1.07</v>
      </c>
      <c r="AB4646" s="152"/>
      <c r="AC4646" s="152"/>
      <c r="AD4646" s="223"/>
      <c r="AE4646" s="223"/>
      <c r="AF4646" s="223"/>
      <c r="AG4646" s="223"/>
      <c r="AH4646" s="341"/>
      <c r="AI4646" s="218"/>
      <c r="AJ4646" s="218"/>
      <c r="AK4646" s="153"/>
      <c r="AL4646" s="152"/>
      <c r="AM4646" s="152"/>
      <c r="AN4646" s="152"/>
      <c r="AO4646" s="152"/>
      <c r="AP4646" s="152"/>
      <c r="AQ4646" s="152"/>
      <c r="AR4646" s="152"/>
      <c r="AS4646" s="152"/>
      <c r="AT4646" s="152"/>
      <c r="AU4646" s="153"/>
      <c r="AV4646" s="479"/>
      <c r="AW4646" s="479"/>
      <c r="AX4646" s="442"/>
      <c r="AY4646" s="153"/>
      <c r="AZ4646" s="152"/>
      <c r="BA4646" s="152"/>
      <c r="BB4646" s="152"/>
      <c r="BC4646" s="152"/>
      <c r="BD4646" s="152"/>
      <c r="BE4646" s="152"/>
      <c r="BF4646" s="152"/>
      <c r="BG4646" s="152"/>
      <c r="BH4646" s="152"/>
      <c r="BI4646" s="153"/>
      <c r="BJ4646" s="153"/>
      <c r="BK4646" s="153"/>
      <c r="BL4646" s="153"/>
      <c r="BM4646" s="153"/>
      <c r="BN4646" s="153"/>
      <c r="BO4646" s="153"/>
      <c r="BP4646" s="153"/>
      <c r="BQ4646" s="153"/>
      <c r="BR4646" s="153"/>
      <c r="BS4646" s="153"/>
      <c r="BT4646" s="153"/>
      <c r="BU4646" s="153"/>
      <c r="BV4646" s="153"/>
      <c r="BW4646" s="153"/>
      <c r="BX4646" s="153"/>
      <c r="BY4646" s="153"/>
      <c r="BZ4646" s="153"/>
      <c r="CA4646" s="152"/>
      <c r="CB4646" s="152"/>
    </row>
    <row r="4647" spans="1:80" s="87" customFormat="1" x14ac:dyDescent="0.2">
      <c r="A4647" s="152"/>
      <c r="B4647" s="683"/>
      <c r="C4647" s="683"/>
      <c r="D4647" s="698"/>
      <c r="E4647" s="215"/>
      <c r="F4647" s="215"/>
      <c r="G4647" s="153"/>
      <c r="H4647" s="153"/>
      <c r="I4647" s="163">
        <v>23</v>
      </c>
      <c r="J4647" s="163">
        <v>30</v>
      </c>
      <c r="K4647" s="150">
        <v>1</v>
      </c>
      <c r="L4647" s="656">
        <v>11.5</v>
      </c>
      <c r="M4647" s="663">
        <v>34489</v>
      </c>
      <c r="N4647" s="600">
        <v>8.0691199999999998</v>
      </c>
      <c r="O4647" s="604">
        <v>4.849E-3</v>
      </c>
      <c r="P4647" s="250"/>
      <c r="Q4647" s="250"/>
      <c r="R4647" s="250">
        <v>0.63500000000000001</v>
      </c>
      <c r="S4647" s="250">
        <v>0</v>
      </c>
      <c r="T4647" s="250">
        <v>6.0999999999999999E-2</v>
      </c>
      <c r="U4647" s="250">
        <v>0.15</v>
      </c>
      <c r="V4647" s="250">
        <v>0.115</v>
      </c>
      <c r="W4647" s="250">
        <v>3.2000000000000001E-2</v>
      </c>
      <c r="X4647" s="250">
        <v>6.9999999999999993E-3</v>
      </c>
      <c r="Y4647" s="250">
        <v>1E-3</v>
      </c>
      <c r="Z4647" s="150">
        <v>5.5</v>
      </c>
      <c r="AA4647" s="150">
        <v>18.52</v>
      </c>
      <c r="AB4647" s="152"/>
      <c r="AC4647" s="152"/>
      <c r="AD4647" s="223"/>
      <c r="AE4647" s="223"/>
      <c r="AF4647" s="223"/>
      <c r="AG4647" s="223"/>
      <c r="AH4647" s="341"/>
      <c r="AI4647" s="218"/>
      <c r="AJ4647" s="218"/>
      <c r="AK4647" s="153"/>
      <c r="AL4647" s="152"/>
      <c r="AM4647" s="152"/>
      <c r="AN4647" s="152"/>
      <c r="AO4647" s="152"/>
      <c r="AP4647" s="152"/>
      <c r="AQ4647" s="152"/>
      <c r="AR4647" s="152"/>
      <c r="AS4647" s="152"/>
      <c r="AT4647" s="152"/>
      <c r="AU4647" s="153"/>
      <c r="AV4647" s="479"/>
      <c r="AW4647" s="479"/>
      <c r="AX4647" s="442"/>
      <c r="AY4647" s="153"/>
      <c r="AZ4647" s="152"/>
      <c r="BA4647" s="152"/>
      <c r="BB4647" s="152"/>
      <c r="BC4647" s="152"/>
      <c r="BD4647" s="152"/>
      <c r="BE4647" s="152"/>
      <c r="BF4647" s="152"/>
      <c r="BG4647" s="152"/>
      <c r="BH4647" s="152"/>
      <c r="BI4647" s="153"/>
      <c r="BJ4647" s="153"/>
      <c r="BK4647" s="153"/>
      <c r="BL4647" s="153"/>
      <c r="BM4647" s="153"/>
      <c r="BN4647" s="153"/>
      <c r="BO4647" s="153"/>
      <c r="BP4647" s="153"/>
      <c r="BQ4647" s="153"/>
      <c r="BR4647" s="153"/>
      <c r="BS4647" s="153"/>
      <c r="BT4647" s="153"/>
      <c r="BU4647" s="153"/>
      <c r="BV4647" s="153"/>
      <c r="BW4647" s="153"/>
      <c r="BX4647" s="153"/>
      <c r="BY4647" s="153"/>
      <c r="BZ4647" s="153"/>
      <c r="CA4647" s="152"/>
      <c r="CB4647" s="152"/>
    </row>
    <row r="4648" spans="1:80" s="87" customFormat="1" x14ac:dyDescent="0.2">
      <c r="A4648" s="152"/>
      <c r="B4648" s="683"/>
      <c r="C4648" s="683"/>
      <c r="D4648" s="698"/>
      <c r="E4648" s="215"/>
      <c r="F4648" s="215"/>
      <c r="G4648" s="153"/>
      <c r="H4648" s="153"/>
      <c r="I4648" s="163">
        <v>23</v>
      </c>
      <c r="J4648" s="163">
        <v>30</v>
      </c>
      <c r="K4648" s="150">
        <v>1</v>
      </c>
      <c r="L4648" s="656">
        <v>11.5</v>
      </c>
      <c r="M4648" s="663">
        <v>34489</v>
      </c>
      <c r="N4648" s="600">
        <v>8.0691199999999998</v>
      </c>
      <c r="O4648" s="604">
        <v>2.5709999999999999E-3</v>
      </c>
      <c r="P4648" s="250"/>
      <c r="Q4648" s="250"/>
      <c r="R4648" s="250"/>
      <c r="S4648" s="250"/>
      <c r="T4648" s="250">
        <v>0.13100000000000001</v>
      </c>
      <c r="U4648" s="250">
        <v>0.23699999999999999</v>
      </c>
      <c r="V4648" s="250">
        <v>0.48700000000000004</v>
      </c>
      <c r="W4648" s="250">
        <v>0.125</v>
      </c>
      <c r="X4648" s="250">
        <v>1.8000000000000002E-2</v>
      </c>
      <c r="Y4648" s="250">
        <v>3.0000000000000001E-3</v>
      </c>
      <c r="Z4648" s="150">
        <v>7.3</v>
      </c>
      <c r="AA4648" s="150">
        <v>1.66</v>
      </c>
      <c r="AB4648" s="152"/>
      <c r="AC4648" s="152"/>
      <c r="AD4648" s="223"/>
      <c r="AE4648" s="223"/>
      <c r="AF4648" s="223"/>
      <c r="AG4648" s="223"/>
      <c r="AH4648" s="341"/>
      <c r="AI4648" s="218"/>
      <c r="AJ4648" s="218"/>
      <c r="AK4648" s="153"/>
      <c r="AL4648" s="152"/>
      <c r="AM4648" s="152"/>
      <c r="AN4648" s="152"/>
      <c r="AO4648" s="152"/>
      <c r="AP4648" s="152"/>
      <c r="AQ4648" s="152"/>
      <c r="AR4648" s="152"/>
      <c r="AS4648" s="152"/>
      <c r="AT4648" s="152"/>
      <c r="AU4648" s="153"/>
      <c r="AV4648" s="479"/>
      <c r="AW4648" s="479"/>
      <c r="AX4648" s="442"/>
      <c r="AY4648" s="153"/>
      <c r="AZ4648" s="152"/>
      <c r="BA4648" s="152"/>
      <c r="BB4648" s="152"/>
      <c r="BC4648" s="152"/>
      <c r="BD4648" s="152"/>
      <c r="BE4648" s="152"/>
      <c r="BF4648" s="152"/>
      <c r="BG4648" s="152"/>
      <c r="BH4648" s="152"/>
      <c r="BI4648" s="153"/>
      <c r="BJ4648" s="153"/>
      <c r="BK4648" s="153"/>
      <c r="BL4648" s="153"/>
      <c r="BM4648" s="153"/>
      <c r="BN4648" s="153"/>
      <c r="BO4648" s="153"/>
      <c r="BP4648" s="153"/>
      <c r="BQ4648" s="153"/>
      <c r="BR4648" s="153"/>
      <c r="BS4648" s="153"/>
      <c r="BT4648" s="153"/>
      <c r="BU4648" s="153"/>
      <c r="BV4648" s="153"/>
      <c r="BW4648" s="153"/>
      <c r="BX4648" s="153"/>
      <c r="BY4648" s="153"/>
      <c r="BZ4648" s="153"/>
      <c r="CA4648" s="152"/>
      <c r="CB4648" s="152"/>
    </row>
    <row r="4649" spans="1:80" s="87" customFormat="1" x14ac:dyDescent="0.2">
      <c r="A4649" s="152"/>
      <c r="B4649" s="683"/>
      <c r="C4649" s="683"/>
      <c r="D4649" s="698"/>
      <c r="E4649" s="215"/>
      <c r="F4649" s="215"/>
      <c r="G4649" s="153"/>
      <c r="H4649" s="153"/>
      <c r="I4649" s="163">
        <v>23</v>
      </c>
      <c r="J4649" s="163">
        <v>30</v>
      </c>
      <c r="K4649" s="150">
        <v>1</v>
      </c>
      <c r="L4649" s="656">
        <v>11.5</v>
      </c>
      <c r="M4649" s="663">
        <v>34489</v>
      </c>
      <c r="N4649" s="600">
        <v>8.0691199999999998</v>
      </c>
      <c r="O4649" s="604">
        <v>1.2385E-2</v>
      </c>
      <c r="P4649" s="250"/>
      <c r="Q4649" s="250"/>
      <c r="R4649" s="250"/>
      <c r="S4649" s="250">
        <v>6.5000000000000002E-2</v>
      </c>
      <c r="T4649" s="250">
        <v>4.8000000000000001E-2</v>
      </c>
      <c r="U4649" s="250">
        <v>0.188</v>
      </c>
      <c r="V4649" s="250">
        <v>0.34499999999999997</v>
      </c>
      <c r="W4649" s="250">
        <v>0.22800000000000001</v>
      </c>
      <c r="X4649" s="250">
        <v>0.11599999999999999</v>
      </c>
      <c r="Y4649" s="250">
        <v>0.01</v>
      </c>
      <c r="Z4649" s="150">
        <v>5.8</v>
      </c>
      <c r="AA4649" s="150">
        <v>1.34</v>
      </c>
      <c r="AB4649" s="152"/>
      <c r="AC4649" s="152"/>
      <c r="AD4649" s="223"/>
      <c r="AE4649" s="223"/>
      <c r="AF4649" s="223"/>
      <c r="AG4649" s="223"/>
      <c r="AH4649" s="341"/>
      <c r="AI4649" s="218"/>
      <c r="AJ4649" s="218"/>
      <c r="AK4649" s="153"/>
      <c r="AL4649" s="152"/>
      <c r="AM4649" s="152"/>
      <c r="AN4649" s="152"/>
      <c r="AO4649" s="152"/>
      <c r="AP4649" s="152"/>
      <c r="AQ4649" s="152"/>
      <c r="AR4649" s="152"/>
      <c r="AS4649" s="152"/>
      <c r="AT4649" s="152"/>
      <c r="AU4649" s="153"/>
      <c r="AV4649" s="479"/>
      <c r="AW4649" s="479"/>
      <c r="AX4649" s="442"/>
      <c r="AY4649" s="153"/>
      <c r="AZ4649" s="152"/>
      <c r="BA4649" s="152"/>
      <c r="BB4649" s="152"/>
      <c r="BC4649" s="152"/>
      <c r="BD4649" s="152"/>
      <c r="BE4649" s="152"/>
      <c r="BF4649" s="152"/>
      <c r="BG4649" s="152"/>
      <c r="BH4649" s="152"/>
      <c r="BI4649" s="153"/>
      <c r="BJ4649" s="153"/>
      <c r="BK4649" s="153"/>
      <c r="BL4649" s="153"/>
      <c r="BM4649" s="153"/>
      <c r="BN4649" s="153"/>
      <c r="BO4649" s="153"/>
      <c r="BP4649" s="153"/>
      <c r="BQ4649" s="153"/>
      <c r="BR4649" s="153"/>
      <c r="BS4649" s="153"/>
      <c r="BT4649" s="153"/>
      <c r="BU4649" s="153"/>
      <c r="BV4649" s="153"/>
      <c r="BW4649" s="153"/>
      <c r="BX4649" s="153"/>
      <c r="BY4649" s="153"/>
      <c r="BZ4649" s="153"/>
      <c r="CA4649" s="152"/>
      <c r="CB4649" s="152"/>
    </row>
    <row r="4650" spans="1:80" s="87" customFormat="1" x14ac:dyDescent="0.2">
      <c r="A4650" s="152"/>
      <c r="B4650" s="683"/>
      <c r="C4650" s="683"/>
      <c r="D4650" s="698"/>
      <c r="E4650" s="215"/>
      <c r="F4650" s="215"/>
      <c r="G4650" s="153"/>
      <c r="H4650" s="153"/>
      <c r="I4650" s="163">
        <v>23</v>
      </c>
      <c r="J4650" s="163">
        <v>30</v>
      </c>
      <c r="K4650" s="150">
        <v>1</v>
      </c>
      <c r="L4650" s="656">
        <v>11.5</v>
      </c>
      <c r="M4650" s="663">
        <v>34493</v>
      </c>
      <c r="N4650" s="600">
        <v>6.22879</v>
      </c>
      <c r="O4650" s="604">
        <v>1.333E-3</v>
      </c>
      <c r="P4650" s="250"/>
      <c r="Q4650" s="250"/>
      <c r="R4650" s="250"/>
      <c r="S4650" s="250"/>
      <c r="T4650" s="250"/>
      <c r="U4650" s="250">
        <v>0.24199999999999999</v>
      </c>
      <c r="V4650" s="250">
        <v>0.35299999999999998</v>
      </c>
      <c r="W4650" s="250">
        <v>0.32600000000000001</v>
      </c>
      <c r="X4650" s="250">
        <v>7.5999999999999998E-2</v>
      </c>
      <c r="Y4650" s="250">
        <v>3.0000000000000001E-3</v>
      </c>
      <c r="Z4650" s="150">
        <v>3.8</v>
      </c>
      <c r="AA4650" s="150">
        <v>1.21</v>
      </c>
      <c r="AB4650" s="152"/>
      <c r="AC4650" s="152"/>
      <c r="AD4650" s="223"/>
      <c r="AE4650" s="223"/>
      <c r="AF4650" s="223"/>
      <c r="AG4650" s="223"/>
      <c r="AH4650" s="341"/>
      <c r="AI4650" s="218"/>
      <c r="AJ4650" s="218"/>
      <c r="AK4650" s="153"/>
      <c r="AL4650" s="152"/>
      <c r="AM4650" s="152"/>
      <c r="AN4650" s="152"/>
      <c r="AO4650" s="152"/>
      <c r="AP4650" s="152"/>
      <c r="AQ4650" s="152"/>
      <c r="AR4650" s="152"/>
      <c r="AS4650" s="152"/>
      <c r="AT4650" s="152"/>
      <c r="AU4650" s="153"/>
      <c r="AV4650" s="479"/>
      <c r="AW4650" s="479"/>
      <c r="AX4650" s="442"/>
      <c r="AY4650" s="153"/>
      <c r="AZ4650" s="152"/>
      <c r="BA4650" s="152"/>
      <c r="BB4650" s="152"/>
      <c r="BC4650" s="152"/>
      <c r="BD4650" s="152"/>
      <c r="BE4650" s="152"/>
      <c r="BF4650" s="152"/>
      <c r="BG4650" s="152"/>
      <c r="BH4650" s="152"/>
      <c r="BI4650" s="153"/>
      <c r="BJ4650" s="153"/>
      <c r="BK4650" s="153"/>
      <c r="BL4650" s="153"/>
      <c r="BM4650" s="153"/>
      <c r="BN4650" s="153"/>
      <c r="BO4650" s="153"/>
      <c r="BP4650" s="153"/>
      <c r="BQ4650" s="153"/>
      <c r="BR4650" s="153"/>
      <c r="BS4650" s="153"/>
      <c r="BT4650" s="153"/>
      <c r="BU4650" s="153"/>
      <c r="BV4650" s="153"/>
      <c r="BW4650" s="153"/>
      <c r="BX4650" s="153"/>
      <c r="BY4650" s="153"/>
      <c r="BZ4650" s="153"/>
      <c r="CA4650" s="152"/>
      <c r="CB4650" s="152"/>
    </row>
    <row r="4651" spans="1:80" s="87" customFormat="1" x14ac:dyDescent="0.2">
      <c r="A4651" s="152"/>
      <c r="B4651" s="683"/>
      <c r="C4651" s="683"/>
      <c r="D4651" s="698"/>
      <c r="E4651" s="215"/>
      <c r="F4651" s="215"/>
      <c r="G4651" s="153"/>
      <c r="H4651" s="153"/>
      <c r="I4651" s="163">
        <v>23</v>
      </c>
      <c r="J4651" s="163">
        <v>30</v>
      </c>
      <c r="K4651" s="150">
        <v>1</v>
      </c>
      <c r="L4651" s="656">
        <v>11.5</v>
      </c>
      <c r="M4651" s="663">
        <v>34493</v>
      </c>
      <c r="N4651" s="600">
        <v>6.22879</v>
      </c>
      <c r="O4651" s="604">
        <v>1.2589999999999999E-3</v>
      </c>
      <c r="P4651" s="250"/>
      <c r="Q4651" s="250"/>
      <c r="R4651" s="250"/>
      <c r="S4651" s="250"/>
      <c r="T4651" s="250">
        <v>0.38900000000000001</v>
      </c>
      <c r="U4651" s="250">
        <v>0.25800000000000001</v>
      </c>
      <c r="V4651" s="250">
        <v>0.23600000000000002</v>
      </c>
      <c r="W4651" s="250">
        <v>9.1999999999999998E-2</v>
      </c>
      <c r="X4651" s="250">
        <v>2.5000000000000001E-2</v>
      </c>
      <c r="Y4651" s="250">
        <v>0</v>
      </c>
      <c r="Z4651" s="150">
        <v>5.8</v>
      </c>
      <c r="AA4651" s="150">
        <v>2.97</v>
      </c>
      <c r="AB4651" s="152"/>
      <c r="AC4651" s="152"/>
      <c r="AD4651" s="223"/>
      <c r="AE4651" s="223"/>
      <c r="AF4651" s="223"/>
      <c r="AG4651" s="223"/>
      <c r="AH4651" s="341"/>
      <c r="AI4651" s="218"/>
      <c r="AJ4651" s="218"/>
      <c r="AK4651" s="153"/>
      <c r="AL4651" s="152"/>
      <c r="AM4651" s="152"/>
      <c r="AN4651" s="152"/>
      <c r="AO4651" s="152"/>
      <c r="AP4651" s="152"/>
      <c r="AQ4651" s="152"/>
      <c r="AR4651" s="152"/>
      <c r="AS4651" s="152"/>
      <c r="AT4651" s="152"/>
      <c r="AU4651" s="153"/>
      <c r="AV4651" s="479"/>
      <c r="AW4651" s="479"/>
      <c r="AX4651" s="442"/>
      <c r="AY4651" s="153"/>
      <c r="AZ4651" s="152"/>
      <c r="BA4651" s="152"/>
      <c r="BB4651" s="152"/>
      <c r="BC4651" s="152"/>
      <c r="BD4651" s="152"/>
      <c r="BE4651" s="152"/>
      <c r="BF4651" s="152"/>
      <c r="BG4651" s="152"/>
      <c r="BH4651" s="152"/>
      <c r="BI4651" s="153"/>
      <c r="BJ4651" s="153"/>
      <c r="BK4651" s="153"/>
      <c r="BL4651" s="153"/>
      <c r="BM4651" s="153"/>
      <c r="BN4651" s="153"/>
      <c r="BO4651" s="153"/>
      <c r="BP4651" s="153"/>
      <c r="BQ4651" s="153"/>
      <c r="BR4651" s="153"/>
      <c r="BS4651" s="153"/>
      <c r="BT4651" s="153"/>
      <c r="BU4651" s="153"/>
      <c r="BV4651" s="153"/>
      <c r="BW4651" s="153"/>
      <c r="BX4651" s="153"/>
      <c r="BY4651" s="153"/>
      <c r="BZ4651" s="153"/>
      <c r="CA4651" s="152"/>
      <c r="CB4651" s="152"/>
    </row>
    <row r="4652" spans="1:80" s="87" customFormat="1" x14ac:dyDescent="0.2">
      <c r="A4652" s="152"/>
      <c r="B4652" s="683"/>
      <c r="C4652" s="683"/>
      <c r="D4652" s="698"/>
      <c r="E4652" s="215"/>
      <c r="F4652" s="215"/>
      <c r="G4652" s="153"/>
      <c r="H4652" s="153"/>
      <c r="I4652" s="163">
        <v>21</v>
      </c>
      <c r="J4652" s="163">
        <v>30</v>
      </c>
      <c r="K4652" s="150">
        <v>1</v>
      </c>
      <c r="L4652" s="656">
        <v>10.5</v>
      </c>
      <c r="M4652" s="663">
        <v>34495</v>
      </c>
      <c r="N4652" s="600">
        <v>5.4643499999999996</v>
      </c>
      <c r="O4652" s="604">
        <v>1.627E-3</v>
      </c>
      <c r="P4652" s="250"/>
      <c r="Q4652" s="250"/>
      <c r="R4652" s="250"/>
      <c r="S4652" s="250"/>
      <c r="T4652" s="250">
        <v>2.1000000000000001E-2</v>
      </c>
      <c r="U4652" s="250">
        <v>9.9000000000000005E-2</v>
      </c>
      <c r="V4652" s="250">
        <v>0.52400000000000002</v>
      </c>
      <c r="W4652" s="250">
        <v>0.30399999999999999</v>
      </c>
      <c r="X4652" s="250">
        <v>0.05</v>
      </c>
      <c r="Y4652" s="250">
        <v>2E-3</v>
      </c>
      <c r="Z4652" s="150">
        <v>4.5</v>
      </c>
      <c r="AA4652" s="150">
        <v>1.21</v>
      </c>
      <c r="AB4652" s="152"/>
      <c r="AC4652" s="152"/>
      <c r="AD4652" s="223"/>
      <c r="AE4652" s="223"/>
      <c r="AF4652" s="223"/>
      <c r="AG4652" s="223"/>
      <c r="AH4652" s="341"/>
      <c r="AI4652" s="218"/>
      <c r="AJ4652" s="218"/>
      <c r="AK4652" s="153"/>
      <c r="AL4652" s="152"/>
      <c r="AM4652" s="152"/>
      <c r="AN4652" s="152"/>
      <c r="AO4652" s="152"/>
      <c r="AP4652" s="152"/>
      <c r="AQ4652" s="152"/>
      <c r="AR4652" s="152"/>
      <c r="AS4652" s="152"/>
      <c r="AT4652" s="152"/>
      <c r="AU4652" s="153"/>
      <c r="AV4652" s="479"/>
      <c r="AW4652" s="479"/>
      <c r="AX4652" s="442"/>
      <c r="AY4652" s="153"/>
      <c r="AZ4652" s="152"/>
      <c r="BA4652" s="152"/>
      <c r="BB4652" s="152"/>
      <c r="BC4652" s="152"/>
      <c r="BD4652" s="152"/>
      <c r="BE4652" s="152"/>
      <c r="BF4652" s="152"/>
      <c r="BG4652" s="152"/>
      <c r="BH4652" s="152"/>
      <c r="BI4652" s="153"/>
      <c r="BJ4652" s="153"/>
      <c r="BK4652" s="153"/>
      <c r="BL4652" s="153"/>
      <c r="BM4652" s="153"/>
      <c r="BN4652" s="153"/>
      <c r="BO4652" s="153"/>
      <c r="BP4652" s="153"/>
      <c r="BQ4652" s="153"/>
      <c r="BR4652" s="153"/>
      <c r="BS4652" s="153"/>
      <c r="BT4652" s="153"/>
      <c r="BU4652" s="153"/>
      <c r="BV4652" s="153"/>
      <c r="BW4652" s="153"/>
      <c r="BX4652" s="153"/>
      <c r="BY4652" s="153"/>
      <c r="BZ4652" s="153"/>
      <c r="CA4652" s="152"/>
      <c r="CB4652" s="152"/>
    </row>
    <row r="4653" spans="1:80" s="87" customFormat="1" x14ac:dyDescent="0.2">
      <c r="A4653" s="152"/>
      <c r="B4653" s="683"/>
      <c r="C4653" s="683"/>
      <c r="D4653" s="698"/>
      <c r="E4653" s="215"/>
      <c r="F4653" s="215"/>
      <c r="G4653" s="153"/>
      <c r="H4653" s="153"/>
      <c r="I4653" s="163">
        <v>21</v>
      </c>
      <c r="J4653" s="163">
        <v>30</v>
      </c>
      <c r="K4653" s="150">
        <v>1</v>
      </c>
      <c r="L4653" s="656">
        <v>10.5</v>
      </c>
      <c r="M4653" s="663">
        <v>34495</v>
      </c>
      <c r="N4653" s="600">
        <v>5.4643499999999996</v>
      </c>
      <c r="O4653" s="604">
        <v>7.1100000000000004E-4</v>
      </c>
      <c r="P4653" s="250"/>
      <c r="Q4653" s="250"/>
      <c r="R4653" s="250"/>
      <c r="S4653" s="250"/>
      <c r="T4653" s="250"/>
      <c r="U4653" s="250">
        <v>0.20499999999999999</v>
      </c>
      <c r="V4653" s="250">
        <v>0.52400000000000002</v>
      </c>
      <c r="W4653" s="250">
        <v>0.23199999999999998</v>
      </c>
      <c r="X4653" s="250">
        <v>2.7000000000000003E-2</v>
      </c>
      <c r="Y4653" s="250">
        <v>1.1000000000000001E-2</v>
      </c>
      <c r="Z4653" s="150">
        <v>3</v>
      </c>
      <c r="AA4653" s="150">
        <v>1.36</v>
      </c>
      <c r="AB4653" s="152"/>
      <c r="AC4653" s="152"/>
      <c r="AD4653" s="223"/>
      <c r="AE4653" s="223"/>
      <c r="AF4653" s="223"/>
      <c r="AG4653" s="223"/>
      <c r="AH4653" s="341"/>
      <c r="AI4653" s="218"/>
      <c r="AJ4653" s="218"/>
      <c r="AK4653" s="153"/>
      <c r="AL4653" s="152"/>
      <c r="AM4653" s="152"/>
      <c r="AN4653" s="152"/>
      <c r="AO4653" s="152"/>
      <c r="AP4653" s="152"/>
      <c r="AQ4653" s="152"/>
      <c r="AR4653" s="152"/>
      <c r="AS4653" s="152"/>
      <c r="AT4653" s="152"/>
      <c r="AU4653" s="153"/>
      <c r="AV4653" s="479"/>
      <c r="AW4653" s="479"/>
      <c r="AX4653" s="442"/>
      <c r="AY4653" s="153"/>
      <c r="AZ4653" s="152"/>
      <c r="BA4653" s="152"/>
      <c r="BB4653" s="152"/>
      <c r="BC4653" s="152"/>
      <c r="BD4653" s="152"/>
      <c r="BE4653" s="152"/>
      <c r="BF4653" s="152"/>
      <c r="BG4653" s="152"/>
      <c r="BH4653" s="152"/>
      <c r="BI4653" s="153"/>
      <c r="BJ4653" s="153"/>
      <c r="BK4653" s="153"/>
      <c r="BL4653" s="153"/>
      <c r="BM4653" s="153"/>
      <c r="BN4653" s="153"/>
      <c r="BO4653" s="153"/>
      <c r="BP4653" s="153"/>
      <c r="BQ4653" s="153"/>
      <c r="BR4653" s="153"/>
      <c r="BS4653" s="153"/>
      <c r="BT4653" s="153"/>
      <c r="BU4653" s="153"/>
      <c r="BV4653" s="153"/>
      <c r="BW4653" s="153"/>
      <c r="BX4653" s="153"/>
      <c r="BY4653" s="153"/>
      <c r="BZ4653" s="153"/>
      <c r="CA4653" s="152"/>
      <c r="CB4653" s="152"/>
    </row>
    <row r="4654" spans="1:80" s="87" customFormat="1" x14ac:dyDescent="0.2">
      <c r="A4654" s="152"/>
      <c r="B4654" s="683"/>
      <c r="C4654" s="683"/>
      <c r="D4654" s="698"/>
      <c r="E4654" s="215"/>
      <c r="F4654" s="215"/>
      <c r="G4654" s="153"/>
      <c r="H4654" s="153"/>
      <c r="I4654" s="163">
        <v>22</v>
      </c>
      <c r="J4654" s="163">
        <v>30</v>
      </c>
      <c r="K4654" s="150">
        <v>1</v>
      </c>
      <c r="L4654" s="656">
        <v>11</v>
      </c>
      <c r="M4654" s="663">
        <v>34497</v>
      </c>
      <c r="N4654" s="600">
        <v>5.9456699999999998</v>
      </c>
      <c r="O4654" s="604">
        <v>3.3500000000000001E-4</v>
      </c>
      <c r="P4654" s="250"/>
      <c r="Q4654" s="250"/>
      <c r="R4654" s="250"/>
      <c r="S4654" s="250"/>
      <c r="T4654" s="250"/>
      <c r="U4654" s="250">
        <v>0.29699999999999999</v>
      </c>
      <c r="V4654" s="250">
        <v>0.26400000000000001</v>
      </c>
      <c r="W4654" s="250">
        <v>0.27500000000000002</v>
      </c>
      <c r="X4654" s="250">
        <v>0.11</v>
      </c>
      <c r="Y4654" s="250">
        <v>5.5E-2</v>
      </c>
      <c r="Z4654" s="150">
        <v>3.3</v>
      </c>
      <c r="AA4654" s="150">
        <v>1.17</v>
      </c>
      <c r="AB4654" s="152"/>
      <c r="AC4654" s="152"/>
      <c r="AD4654" s="223"/>
      <c r="AE4654" s="223"/>
      <c r="AF4654" s="223"/>
      <c r="AG4654" s="223"/>
      <c r="AH4654" s="341"/>
      <c r="AI4654" s="218"/>
      <c r="AJ4654" s="218"/>
      <c r="AK4654" s="153"/>
      <c r="AL4654" s="152"/>
      <c r="AM4654" s="152"/>
      <c r="AN4654" s="152"/>
      <c r="AO4654" s="152"/>
      <c r="AP4654" s="152"/>
      <c r="AQ4654" s="152"/>
      <c r="AR4654" s="152"/>
      <c r="AS4654" s="152"/>
      <c r="AT4654" s="152"/>
      <c r="AU4654" s="153"/>
      <c r="AV4654" s="479"/>
      <c r="AW4654" s="479"/>
      <c r="AX4654" s="442"/>
      <c r="AY4654" s="153"/>
      <c r="AZ4654" s="152"/>
      <c r="BA4654" s="152"/>
      <c r="BB4654" s="152"/>
      <c r="BC4654" s="152"/>
      <c r="BD4654" s="152"/>
      <c r="BE4654" s="152"/>
      <c r="BF4654" s="152"/>
      <c r="BG4654" s="152"/>
      <c r="BH4654" s="152"/>
      <c r="BI4654" s="153"/>
      <c r="BJ4654" s="153"/>
      <c r="BK4654" s="153"/>
      <c r="BL4654" s="153"/>
      <c r="BM4654" s="153"/>
      <c r="BN4654" s="153"/>
      <c r="BO4654" s="153"/>
      <c r="BP4654" s="153"/>
      <c r="BQ4654" s="153"/>
      <c r="BR4654" s="153"/>
      <c r="BS4654" s="153"/>
      <c r="BT4654" s="153"/>
      <c r="BU4654" s="153"/>
      <c r="BV4654" s="153"/>
      <c r="BW4654" s="153"/>
      <c r="BX4654" s="153"/>
      <c r="BY4654" s="153"/>
      <c r="BZ4654" s="153"/>
      <c r="CA4654" s="152"/>
      <c r="CB4654" s="152"/>
    </row>
    <row r="4655" spans="1:80" s="87" customFormat="1" x14ac:dyDescent="0.2">
      <c r="A4655" s="152"/>
      <c r="B4655" s="683"/>
      <c r="C4655" s="683"/>
      <c r="D4655" s="698"/>
      <c r="E4655" s="215"/>
      <c r="F4655" s="215"/>
      <c r="G4655" s="153"/>
      <c r="H4655" s="153"/>
      <c r="I4655" s="163">
        <v>22</v>
      </c>
      <c r="J4655" s="163">
        <v>30</v>
      </c>
      <c r="K4655" s="150">
        <v>1</v>
      </c>
      <c r="L4655" s="656">
        <v>11</v>
      </c>
      <c r="M4655" s="663">
        <v>34497</v>
      </c>
      <c r="N4655" s="600">
        <v>5.9456699999999998</v>
      </c>
      <c r="O4655" s="604">
        <v>2.5700000000000001E-4</v>
      </c>
      <c r="P4655" s="250"/>
      <c r="Q4655" s="250"/>
      <c r="R4655" s="250"/>
      <c r="S4655" s="250"/>
      <c r="T4655" s="250"/>
      <c r="U4655" s="250">
        <v>0.3</v>
      </c>
      <c r="V4655" s="250">
        <v>0.27100000000000002</v>
      </c>
      <c r="W4655" s="250">
        <v>0.27100000000000002</v>
      </c>
      <c r="X4655" s="250">
        <v>0.114</v>
      </c>
      <c r="Y4655" s="250">
        <v>4.2999999999999997E-2</v>
      </c>
      <c r="Z4655" s="150">
        <v>4</v>
      </c>
      <c r="AA4655" s="150">
        <v>1.2</v>
      </c>
      <c r="AB4655" s="152"/>
      <c r="AC4655" s="152"/>
      <c r="AD4655" s="223"/>
      <c r="AE4655" s="223"/>
      <c r="AF4655" s="223"/>
      <c r="AG4655" s="223"/>
      <c r="AH4655" s="341"/>
      <c r="AI4655" s="218"/>
      <c r="AJ4655" s="218"/>
      <c r="AK4655" s="153"/>
      <c r="AL4655" s="152"/>
      <c r="AM4655" s="152"/>
      <c r="AN4655" s="152"/>
      <c r="AO4655" s="152"/>
      <c r="AP4655" s="152"/>
      <c r="AQ4655" s="152"/>
      <c r="AR4655" s="152"/>
      <c r="AS4655" s="152"/>
      <c r="AT4655" s="152"/>
      <c r="AU4655" s="153"/>
      <c r="AV4655" s="479"/>
      <c r="AW4655" s="479"/>
      <c r="AX4655" s="442"/>
      <c r="AY4655" s="153"/>
      <c r="AZ4655" s="152"/>
      <c r="BA4655" s="152"/>
      <c r="BB4655" s="152"/>
      <c r="BC4655" s="152"/>
      <c r="BD4655" s="152"/>
      <c r="BE4655" s="152"/>
      <c r="BF4655" s="152"/>
      <c r="BG4655" s="152"/>
      <c r="BH4655" s="152"/>
      <c r="BI4655" s="153"/>
      <c r="BJ4655" s="153"/>
      <c r="BK4655" s="153"/>
      <c r="BL4655" s="153"/>
      <c r="BM4655" s="153"/>
      <c r="BN4655" s="153"/>
      <c r="BO4655" s="153"/>
      <c r="BP4655" s="153"/>
      <c r="BQ4655" s="153"/>
      <c r="BR4655" s="153"/>
      <c r="BS4655" s="153"/>
      <c r="BT4655" s="153"/>
      <c r="BU4655" s="153"/>
      <c r="BV4655" s="153"/>
      <c r="BW4655" s="153"/>
      <c r="BX4655" s="153"/>
      <c r="BY4655" s="153"/>
      <c r="BZ4655" s="153"/>
      <c r="CA4655" s="152"/>
      <c r="CB4655" s="152"/>
    </row>
    <row r="4656" spans="1:80" s="87" customFormat="1" x14ac:dyDescent="0.2">
      <c r="A4656" s="152"/>
      <c r="B4656" s="683"/>
      <c r="C4656" s="683"/>
      <c r="D4656" s="698"/>
      <c r="E4656" s="215"/>
      <c r="F4656" s="215"/>
      <c r="G4656" s="153"/>
      <c r="H4656" s="153"/>
      <c r="I4656" s="163">
        <v>23</v>
      </c>
      <c r="J4656" s="163">
        <v>30</v>
      </c>
      <c r="K4656" s="150">
        <v>1</v>
      </c>
      <c r="L4656" s="656">
        <v>11.5</v>
      </c>
      <c r="M4656" s="663">
        <v>34499</v>
      </c>
      <c r="N4656" s="600">
        <v>7.8426200000000001</v>
      </c>
      <c r="O4656" s="604">
        <v>5.3200000000000003E-4</v>
      </c>
      <c r="P4656" s="250"/>
      <c r="Q4656" s="250"/>
      <c r="R4656" s="250"/>
      <c r="S4656" s="250"/>
      <c r="T4656" s="250"/>
      <c r="U4656" s="250">
        <v>9.1999999999999998E-2</v>
      </c>
      <c r="V4656" s="250">
        <v>0.29600000000000004</v>
      </c>
      <c r="W4656" s="250">
        <v>0.40799999999999997</v>
      </c>
      <c r="X4656" s="250">
        <v>0.184</v>
      </c>
      <c r="Y4656" s="250">
        <v>0.02</v>
      </c>
      <c r="Z4656" s="150">
        <v>3</v>
      </c>
      <c r="AA4656" s="150">
        <v>0.83</v>
      </c>
      <c r="AB4656" s="152"/>
      <c r="AC4656" s="152"/>
      <c r="AD4656" s="223"/>
      <c r="AE4656" s="223"/>
      <c r="AF4656" s="223"/>
      <c r="AG4656" s="223"/>
      <c r="AH4656" s="341"/>
      <c r="AI4656" s="218"/>
      <c r="AJ4656" s="218"/>
      <c r="AK4656" s="153"/>
      <c r="AL4656" s="152"/>
      <c r="AM4656" s="152"/>
      <c r="AN4656" s="152"/>
      <c r="AO4656" s="152"/>
      <c r="AP4656" s="152"/>
      <c r="AQ4656" s="152"/>
      <c r="AR4656" s="152"/>
      <c r="AS4656" s="152"/>
      <c r="AT4656" s="152"/>
      <c r="AU4656" s="153"/>
      <c r="AV4656" s="479"/>
      <c r="AW4656" s="479"/>
      <c r="AX4656" s="442"/>
      <c r="AY4656" s="153"/>
      <c r="AZ4656" s="152"/>
      <c r="BA4656" s="152"/>
      <c r="BB4656" s="152"/>
      <c r="BC4656" s="152"/>
      <c r="BD4656" s="152"/>
      <c r="BE4656" s="152"/>
      <c r="BF4656" s="152"/>
      <c r="BG4656" s="152"/>
      <c r="BH4656" s="152"/>
      <c r="BI4656" s="153"/>
      <c r="BJ4656" s="153"/>
      <c r="BK4656" s="153"/>
      <c r="BL4656" s="153"/>
      <c r="BM4656" s="153"/>
      <c r="BN4656" s="153"/>
      <c r="BO4656" s="153"/>
      <c r="BP4656" s="153"/>
      <c r="BQ4656" s="153"/>
      <c r="BR4656" s="153"/>
      <c r="BS4656" s="153"/>
      <c r="BT4656" s="153"/>
      <c r="BU4656" s="153"/>
      <c r="BV4656" s="153"/>
      <c r="BW4656" s="153"/>
      <c r="BX4656" s="153"/>
      <c r="BY4656" s="153"/>
      <c r="BZ4656" s="153"/>
      <c r="CA4656" s="152"/>
      <c r="CB4656" s="152"/>
    </row>
    <row r="4657" spans="1:80" s="87" customFormat="1" x14ac:dyDescent="0.2">
      <c r="A4657" s="152"/>
      <c r="B4657" s="683"/>
      <c r="C4657" s="683"/>
      <c r="D4657" s="698"/>
      <c r="E4657" s="215"/>
      <c r="F4657" s="215"/>
      <c r="G4657" s="153"/>
      <c r="H4657" s="153"/>
      <c r="I4657" s="163">
        <v>23</v>
      </c>
      <c r="J4657" s="163">
        <v>30</v>
      </c>
      <c r="K4657" s="150">
        <v>1</v>
      </c>
      <c r="L4657" s="656">
        <v>11.5</v>
      </c>
      <c r="M4657" s="663">
        <v>34499</v>
      </c>
      <c r="N4657" s="600">
        <v>7.8426200000000001</v>
      </c>
      <c r="O4657" s="604">
        <v>1.4378999999999999E-2</v>
      </c>
      <c r="P4657" s="250"/>
      <c r="Q4657" s="250"/>
      <c r="R4657" s="250"/>
      <c r="S4657" s="250"/>
      <c r="T4657" s="250">
        <v>8.199999999999999E-2</v>
      </c>
      <c r="U4657" s="250">
        <v>0.17699999999999999</v>
      </c>
      <c r="V4657" s="250">
        <v>0.25</v>
      </c>
      <c r="W4657" s="250">
        <v>0.24100000000000002</v>
      </c>
      <c r="X4657" s="250">
        <v>0.23100000000000001</v>
      </c>
      <c r="Y4657" s="250">
        <v>1.9E-2</v>
      </c>
      <c r="Z4657" s="150">
        <v>6.8</v>
      </c>
      <c r="AA4657" s="150">
        <v>1.03</v>
      </c>
      <c r="AB4657" s="152"/>
      <c r="AC4657" s="152"/>
      <c r="AD4657" s="223"/>
      <c r="AE4657" s="223"/>
      <c r="AF4657" s="223"/>
      <c r="AG4657" s="223"/>
      <c r="AH4657" s="341"/>
      <c r="AI4657" s="218"/>
      <c r="AJ4657" s="218"/>
      <c r="AK4657" s="153"/>
      <c r="AL4657" s="152"/>
      <c r="AM4657" s="152"/>
      <c r="AN4657" s="152"/>
      <c r="AO4657" s="152"/>
      <c r="AP4657" s="152"/>
      <c r="AQ4657" s="152"/>
      <c r="AR4657" s="152"/>
      <c r="AS4657" s="152"/>
      <c r="AT4657" s="152"/>
      <c r="AU4657" s="153"/>
      <c r="AV4657" s="479"/>
      <c r="AW4657" s="479"/>
      <c r="AX4657" s="442"/>
      <c r="AY4657" s="153"/>
      <c r="AZ4657" s="152"/>
      <c r="BA4657" s="152"/>
      <c r="BB4657" s="152"/>
      <c r="BC4657" s="152"/>
      <c r="BD4657" s="152"/>
      <c r="BE4657" s="152"/>
      <c r="BF4657" s="152"/>
      <c r="BG4657" s="152"/>
      <c r="BH4657" s="152"/>
      <c r="BI4657" s="153"/>
      <c r="BJ4657" s="153"/>
      <c r="BK4657" s="153"/>
      <c r="BL4657" s="153"/>
      <c r="BM4657" s="153"/>
      <c r="BN4657" s="153"/>
      <c r="BO4657" s="153"/>
      <c r="BP4657" s="153"/>
      <c r="BQ4657" s="153"/>
      <c r="BR4657" s="153"/>
      <c r="BS4657" s="153"/>
      <c r="BT4657" s="153"/>
      <c r="BU4657" s="153"/>
      <c r="BV4657" s="153"/>
      <c r="BW4657" s="153"/>
      <c r="BX4657" s="153"/>
      <c r="BY4657" s="153"/>
      <c r="BZ4657" s="153"/>
      <c r="CA4657" s="152"/>
      <c r="CB4657" s="152"/>
    </row>
    <row r="4658" spans="1:80" s="87" customFormat="1" x14ac:dyDescent="0.2">
      <c r="A4658" s="152"/>
      <c r="B4658" s="683"/>
      <c r="C4658" s="683"/>
      <c r="D4658" s="698"/>
      <c r="E4658" s="215"/>
      <c r="F4658" s="215"/>
      <c r="G4658" s="153"/>
      <c r="H4658" s="153"/>
      <c r="I4658" s="163">
        <v>22</v>
      </c>
      <c r="J4658" s="163">
        <v>30</v>
      </c>
      <c r="K4658" s="150">
        <v>1</v>
      </c>
      <c r="L4658" s="656">
        <v>11</v>
      </c>
      <c r="M4658" s="663">
        <v>34507</v>
      </c>
      <c r="N4658" s="600">
        <v>3.93547</v>
      </c>
      <c r="O4658" s="604">
        <v>2.8899999999999998E-4</v>
      </c>
      <c r="P4658" s="250"/>
      <c r="Q4658" s="250"/>
      <c r="R4658" s="250"/>
      <c r="S4658" s="250"/>
      <c r="T4658" s="250"/>
      <c r="U4658" s="250">
        <v>0.20300000000000001</v>
      </c>
      <c r="V4658" s="250">
        <v>0.49399999999999999</v>
      </c>
      <c r="W4658" s="250">
        <v>0.22800000000000001</v>
      </c>
      <c r="X4658" s="250">
        <v>6.3E-2</v>
      </c>
      <c r="Y4658" s="250">
        <v>1.3000000000000001E-2</v>
      </c>
      <c r="Z4658" s="150">
        <v>2.9</v>
      </c>
      <c r="AA4658" s="150">
        <v>1.32</v>
      </c>
      <c r="AB4658" s="152"/>
      <c r="AC4658" s="152"/>
      <c r="AD4658" s="223"/>
      <c r="AE4658" s="223"/>
      <c r="AF4658" s="223"/>
      <c r="AG4658" s="223"/>
      <c r="AH4658" s="341"/>
      <c r="AI4658" s="218"/>
      <c r="AJ4658" s="218"/>
      <c r="AK4658" s="153"/>
      <c r="AL4658" s="152"/>
      <c r="AM4658" s="152"/>
      <c r="AN4658" s="152"/>
      <c r="AO4658" s="152"/>
      <c r="AP4658" s="152"/>
      <c r="AQ4658" s="152"/>
      <c r="AR4658" s="152"/>
      <c r="AS4658" s="152"/>
      <c r="AT4658" s="152"/>
      <c r="AU4658" s="153"/>
      <c r="AV4658" s="479"/>
      <c r="AW4658" s="479"/>
      <c r="AX4658" s="442"/>
      <c r="AY4658" s="153"/>
      <c r="AZ4658" s="152"/>
      <c r="BA4658" s="152"/>
      <c r="BB4658" s="152"/>
      <c r="BC4658" s="152"/>
      <c r="BD4658" s="152"/>
      <c r="BE4658" s="152"/>
      <c r="BF4658" s="152"/>
      <c r="BG4658" s="152"/>
      <c r="BH4658" s="152"/>
      <c r="BI4658" s="153"/>
      <c r="BJ4658" s="153"/>
      <c r="BK4658" s="153"/>
      <c r="BL4658" s="153"/>
      <c r="BM4658" s="153"/>
      <c r="BN4658" s="153"/>
      <c r="BO4658" s="153"/>
      <c r="BP4658" s="153"/>
      <c r="BQ4658" s="153"/>
      <c r="BR4658" s="153"/>
      <c r="BS4658" s="153"/>
      <c r="BT4658" s="153"/>
      <c r="BU4658" s="153"/>
      <c r="BV4658" s="153"/>
      <c r="BW4658" s="153"/>
      <c r="BX4658" s="153"/>
      <c r="BY4658" s="153"/>
      <c r="BZ4658" s="153"/>
      <c r="CA4658" s="152"/>
      <c r="CB4658" s="152"/>
    </row>
    <row r="4659" spans="1:80" s="87" customFormat="1" x14ac:dyDescent="0.2">
      <c r="A4659" s="152"/>
      <c r="B4659" s="683"/>
      <c r="C4659" s="683"/>
      <c r="D4659" s="698"/>
      <c r="E4659" s="215"/>
      <c r="F4659" s="215"/>
      <c r="G4659" s="153"/>
      <c r="H4659" s="153"/>
      <c r="I4659" s="163">
        <v>22</v>
      </c>
      <c r="J4659" s="163">
        <v>30</v>
      </c>
      <c r="K4659" s="150">
        <v>1</v>
      </c>
      <c r="L4659" s="656">
        <v>11</v>
      </c>
      <c r="M4659" s="663">
        <v>34507</v>
      </c>
      <c r="N4659" s="600">
        <v>3.93547</v>
      </c>
      <c r="O4659" s="604">
        <v>8.0799999999999999E-5</v>
      </c>
      <c r="P4659" s="250"/>
      <c r="Q4659" s="250"/>
      <c r="R4659" s="250"/>
      <c r="S4659" s="250"/>
      <c r="T4659" s="250"/>
      <c r="U4659" s="250"/>
      <c r="V4659" s="250">
        <v>0.318</v>
      </c>
      <c r="W4659" s="250">
        <v>0.45500000000000002</v>
      </c>
      <c r="X4659" s="250">
        <v>0.22699999999999998</v>
      </c>
      <c r="Y4659" s="250">
        <v>0</v>
      </c>
      <c r="Z4659" s="150">
        <v>2.1</v>
      </c>
      <c r="AA4659" s="150">
        <v>0.76</v>
      </c>
      <c r="AB4659" s="152"/>
      <c r="AC4659" s="152"/>
      <c r="AD4659" s="223"/>
      <c r="AE4659" s="223"/>
      <c r="AF4659" s="223"/>
      <c r="AG4659" s="223"/>
      <c r="AH4659" s="341"/>
      <c r="AI4659" s="218"/>
      <c r="AJ4659" s="218"/>
      <c r="AK4659" s="153"/>
      <c r="AL4659" s="152"/>
      <c r="AM4659" s="152"/>
      <c r="AN4659" s="152"/>
      <c r="AO4659" s="152"/>
      <c r="AP4659" s="152"/>
      <c r="AQ4659" s="152"/>
      <c r="AR4659" s="152"/>
      <c r="AS4659" s="152"/>
      <c r="AT4659" s="152"/>
      <c r="AU4659" s="153"/>
      <c r="AV4659" s="479"/>
      <c r="AW4659" s="479"/>
      <c r="AX4659" s="442"/>
      <c r="AY4659" s="153"/>
      <c r="AZ4659" s="152"/>
      <c r="BA4659" s="152"/>
      <c r="BB4659" s="152"/>
      <c r="BC4659" s="152"/>
      <c r="BD4659" s="152"/>
      <c r="BE4659" s="152"/>
      <c r="BF4659" s="152"/>
      <c r="BG4659" s="152"/>
      <c r="BH4659" s="152"/>
      <c r="BI4659" s="153"/>
      <c r="BJ4659" s="153"/>
      <c r="BK4659" s="153"/>
      <c r="BL4659" s="153"/>
      <c r="BM4659" s="153"/>
      <c r="BN4659" s="153"/>
      <c r="BO4659" s="153"/>
      <c r="BP4659" s="153"/>
      <c r="BQ4659" s="153"/>
      <c r="BR4659" s="153"/>
      <c r="BS4659" s="153"/>
      <c r="BT4659" s="153"/>
      <c r="BU4659" s="153"/>
      <c r="BV4659" s="153"/>
      <c r="BW4659" s="153"/>
      <c r="BX4659" s="153"/>
      <c r="BY4659" s="153"/>
      <c r="BZ4659" s="153"/>
      <c r="CA4659" s="152"/>
      <c r="CB4659" s="152"/>
    </row>
    <row r="4660" spans="1:80" s="87" customFormat="1" x14ac:dyDescent="0.2">
      <c r="A4660" s="152"/>
      <c r="B4660" s="683"/>
      <c r="C4660" s="683"/>
      <c r="D4660" s="698"/>
      <c r="E4660" s="215"/>
      <c r="F4660" s="215"/>
      <c r="G4660" s="153"/>
      <c r="H4660" s="153"/>
      <c r="I4660" s="163">
        <v>23</v>
      </c>
      <c r="J4660" s="163">
        <v>60</v>
      </c>
      <c r="K4660" s="150">
        <v>1</v>
      </c>
      <c r="L4660" s="656">
        <v>23</v>
      </c>
      <c r="M4660" s="663">
        <v>34812</v>
      </c>
      <c r="N4660" s="600">
        <v>6.2004799999999998</v>
      </c>
      <c r="O4660" s="604">
        <v>1.134E-3</v>
      </c>
      <c r="P4660" s="250"/>
      <c r="Q4660" s="250"/>
      <c r="R4660" s="250"/>
      <c r="S4660" s="250">
        <v>7.8E-2</v>
      </c>
      <c r="T4660" s="250">
        <v>0</v>
      </c>
      <c r="U4660" s="250">
        <v>4.4999999999999998E-2</v>
      </c>
      <c r="V4660" s="250">
        <v>0.20899999999999999</v>
      </c>
      <c r="W4660" s="250">
        <v>0.36700000000000005</v>
      </c>
      <c r="X4660" s="250">
        <v>0.28000000000000003</v>
      </c>
      <c r="Y4660" s="250">
        <v>2.2000000000000002E-2</v>
      </c>
      <c r="Z4660" s="150">
        <v>8</v>
      </c>
      <c r="AA4660" s="150">
        <v>0.73</v>
      </c>
      <c r="AB4660" s="152"/>
      <c r="AC4660" s="152"/>
      <c r="AD4660" s="223"/>
      <c r="AE4660" s="223"/>
      <c r="AF4660" s="223"/>
      <c r="AG4660" s="223"/>
      <c r="AH4660" s="341"/>
      <c r="AI4660" s="218"/>
      <c r="AJ4660" s="218"/>
      <c r="AK4660" s="153"/>
      <c r="AL4660" s="152"/>
      <c r="AM4660" s="152"/>
      <c r="AN4660" s="152"/>
      <c r="AO4660" s="152"/>
      <c r="AP4660" s="152"/>
      <c r="AQ4660" s="152"/>
      <c r="AR4660" s="152"/>
      <c r="AS4660" s="152"/>
      <c r="AT4660" s="152"/>
      <c r="AU4660" s="153"/>
      <c r="AV4660" s="479"/>
      <c r="AW4660" s="479"/>
      <c r="AX4660" s="442"/>
      <c r="AY4660" s="153"/>
      <c r="AZ4660" s="152"/>
      <c r="BA4660" s="152"/>
      <c r="BB4660" s="152"/>
      <c r="BC4660" s="152"/>
      <c r="BD4660" s="152"/>
      <c r="BE4660" s="152"/>
      <c r="BF4660" s="152"/>
      <c r="BG4660" s="152"/>
      <c r="BH4660" s="152"/>
      <c r="BI4660" s="153"/>
      <c r="BJ4660" s="153"/>
      <c r="BK4660" s="153"/>
      <c r="BL4660" s="153"/>
      <c r="BM4660" s="153"/>
      <c r="BN4660" s="153"/>
      <c r="BO4660" s="153"/>
      <c r="BP4660" s="153"/>
      <c r="BQ4660" s="153"/>
      <c r="BR4660" s="153"/>
      <c r="BS4660" s="153"/>
      <c r="BT4660" s="153"/>
      <c r="BU4660" s="153"/>
      <c r="BV4660" s="153"/>
      <c r="BW4660" s="153"/>
      <c r="BX4660" s="153"/>
      <c r="BY4660" s="153"/>
      <c r="BZ4660" s="153"/>
      <c r="CA4660" s="152"/>
      <c r="CB4660" s="152"/>
    </row>
    <row r="4661" spans="1:80" s="87" customFormat="1" x14ac:dyDescent="0.2">
      <c r="A4661" s="152"/>
      <c r="B4661" s="683"/>
      <c r="C4661" s="683"/>
      <c r="D4661" s="698"/>
      <c r="E4661" s="215"/>
      <c r="F4661" s="215"/>
      <c r="G4661" s="153"/>
      <c r="H4661" s="153"/>
      <c r="I4661" s="163">
        <v>23</v>
      </c>
      <c r="J4661" s="163">
        <v>60</v>
      </c>
      <c r="K4661" s="150">
        <v>1</v>
      </c>
      <c r="L4661" s="656">
        <v>23</v>
      </c>
      <c r="M4661" s="663">
        <v>34812</v>
      </c>
      <c r="N4661" s="600">
        <v>6.2004799999999998</v>
      </c>
      <c r="O4661" s="604">
        <v>1.3015000000000001E-2</v>
      </c>
      <c r="P4661" s="250"/>
      <c r="Q4661" s="250"/>
      <c r="R4661" s="250"/>
      <c r="S4661" s="250">
        <v>1.3000000000000001E-2</v>
      </c>
      <c r="T4661" s="250">
        <v>0.04</v>
      </c>
      <c r="U4661" s="250">
        <v>0.17899999999999999</v>
      </c>
      <c r="V4661" s="250">
        <v>0.40399999999999997</v>
      </c>
      <c r="W4661" s="250">
        <v>0.28300000000000003</v>
      </c>
      <c r="X4661" s="250">
        <v>7.2999999999999995E-2</v>
      </c>
      <c r="Y4661" s="250">
        <v>8.0000000000000002E-3</v>
      </c>
      <c r="Z4661" s="150">
        <v>9</v>
      </c>
      <c r="AA4661" s="150">
        <v>1.26</v>
      </c>
      <c r="AB4661" s="152"/>
      <c r="AC4661" s="152"/>
      <c r="AD4661" s="223"/>
      <c r="AE4661" s="223"/>
      <c r="AF4661" s="223"/>
      <c r="AG4661" s="223"/>
      <c r="AH4661" s="341"/>
      <c r="AI4661" s="218"/>
      <c r="AJ4661" s="218"/>
      <c r="AK4661" s="153"/>
      <c r="AL4661" s="152"/>
      <c r="AM4661" s="152"/>
      <c r="AN4661" s="152"/>
      <c r="AO4661" s="152"/>
      <c r="AP4661" s="152"/>
      <c r="AQ4661" s="152"/>
      <c r="AR4661" s="152"/>
      <c r="AS4661" s="152"/>
      <c r="AT4661" s="152"/>
      <c r="AU4661" s="153"/>
      <c r="AV4661" s="479"/>
      <c r="AW4661" s="479"/>
      <c r="AX4661" s="442"/>
      <c r="AY4661" s="153"/>
      <c r="AZ4661" s="152"/>
      <c r="BA4661" s="152"/>
      <c r="BB4661" s="152"/>
      <c r="BC4661" s="152"/>
      <c r="BD4661" s="152"/>
      <c r="BE4661" s="152"/>
      <c r="BF4661" s="152"/>
      <c r="BG4661" s="152"/>
      <c r="BH4661" s="152"/>
      <c r="BI4661" s="153"/>
      <c r="BJ4661" s="153"/>
      <c r="BK4661" s="153"/>
      <c r="BL4661" s="153"/>
      <c r="BM4661" s="153"/>
      <c r="BN4661" s="153"/>
      <c r="BO4661" s="153"/>
      <c r="BP4661" s="153"/>
      <c r="BQ4661" s="153"/>
      <c r="BR4661" s="153"/>
      <c r="BS4661" s="153"/>
      <c r="BT4661" s="153"/>
      <c r="BU4661" s="153"/>
      <c r="BV4661" s="153"/>
      <c r="BW4661" s="153"/>
      <c r="BX4661" s="153"/>
      <c r="BY4661" s="153"/>
      <c r="BZ4661" s="153"/>
      <c r="CA4661" s="152"/>
      <c r="CB4661" s="152"/>
    </row>
    <row r="4662" spans="1:80" s="87" customFormat="1" x14ac:dyDescent="0.2">
      <c r="A4662" s="152"/>
      <c r="B4662" s="683"/>
      <c r="C4662" s="683"/>
      <c r="D4662" s="698"/>
      <c r="E4662" s="215"/>
      <c r="F4662" s="215"/>
      <c r="G4662" s="153"/>
      <c r="H4662" s="153"/>
      <c r="I4662" s="163">
        <v>23</v>
      </c>
      <c r="J4662" s="163">
        <v>60</v>
      </c>
      <c r="K4662" s="150">
        <v>1</v>
      </c>
      <c r="L4662" s="656">
        <v>23</v>
      </c>
      <c r="M4662" s="663">
        <v>34819</v>
      </c>
      <c r="N4662" s="600">
        <v>6.7667400000000004</v>
      </c>
      <c r="O4662" s="604">
        <v>0.110205</v>
      </c>
      <c r="P4662" s="250"/>
      <c r="Q4662" s="250"/>
      <c r="R4662" s="250">
        <v>0.04</v>
      </c>
      <c r="S4662" s="250">
        <v>3.7000000000000005E-2</v>
      </c>
      <c r="T4662" s="250">
        <v>0.18100000000000002</v>
      </c>
      <c r="U4662" s="250">
        <v>0.27500000000000002</v>
      </c>
      <c r="V4662" s="250">
        <v>0.30599999999999999</v>
      </c>
      <c r="W4662" s="250">
        <v>0.113</v>
      </c>
      <c r="X4662" s="250">
        <v>4.5999999999999999E-2</v>
      </c>
      <c r="Y4662" s="250">
        <v>2E-3</v>
      </c>
      <c r="Z4662" s="150">
        <v>14</v>
      </c>
      <c r="AA4662" s="150">
        <v>2.17</v>
      </c>
      <c r="AB4662" s="152"/>
      <c r="AC4662" s="152"/>
      <c r="AD4662" s="223"/>
      <c r="AE4662" s="223"/>
      <c r="AF4662" s="223"/>
      <c r="AG4662" s="223"/>
      <c r="AH4662" s="341"/>
      <c r="AI4662" s="218"/>
      <c r="AJ4662" s="218"/>
      <c r="AK4662" s="153"/>
      <c r="AL4662" s="152"/>
      <c r="AM4662" s="152"/>
      <c r="AN4662" s="152"/>
      <c r="AO4662" s="152"/>
      <c r="AP4662" s="152"/>
      <c r="AQ4662" s="152"/>
      <c r="AR4662" s="152"/>
      <c r="AS4662" s="152"/>
      <c r="AT4662" s="152"/>
      <c r="AU4662" s="153"/>
      <c r="AV4662" s="479"/>
      <c r="AW4662" s="479"/>
      <c r="AX4662" s="442"/>
      <c r="AY4662" s="153"/>
      <c r="AZ4662" s="152"/>
      <c r="BA4662" s="152"/>
      <c r="BB4662" s="152"/>
      <c r="BC4662" s="152"/>
      <c r="BD4662" s="152"/>
      <c r="BE4662" s="152"/>
      <c r="BF4662" s="152"/>
      <c r="BG4662" s="152"/>
      <c r="BH4662" s="152"/>
      <c r="BI4662" s="153"/>
      <c r="BJ4662" s="153"/>
      <c r="BK4662" s="153"/>
      <c r="BL4662" s="153"/>
      <c r="BM4662" s="153"/>
      <c r="BN4662" s="153"/>
      <c r="BO4662" s="153"/>
      <c r="BP4662" s="153"/>
      <c r="BQ4662" s="153"/>
      <c r="BR4662" s="153"/>
      <c r="BS4662" s="153"/>
      <c r="BT4662" s="153"/>
      <c r="BU4662" s="153"/>
      <c r="BV4662" s="153"/>
      <c r="BW4662" s="153"/>
      <c r="BX4662" s="153"/>
      <c r="BY4662" s="153"/>
      <c r="BZ4662" s="153"/>
      <c r="CA4662" s="152"/>
      <c r="CB4662" s="152"/>
    </row>
    <row r="4663" spans="1:80" s="87" customFormat="1" x14ac:dyDescent="0.2">
      <c r="A4663" s="152"/>
      <c r="B4663" s="683"/>
      <c r="C4663" s="683"/>
      <c r="D4663" s="698"/>
      <c r="E4663" s="215"/>
      <c r="F4663" s="215"/>
      <c r="G4663" s="153"/>
      <c r="H4663" s="153"/>
      <c r="I4663" s="163">
        <v>23</v>
      </c>
      <c r="J4663" s="163">
        <v>60</v>
      </c>
      <c r="K4663" s="150">
        <v>1</v>
      </c>
      <c r="L4663" s="656">
        <v>23</v>
      </c>
      <c r="M4663" s="663">
        <v>34819</v>
      </c>
      <c r="N4663" s="600">
        <v>6.7667400000000004</v>
      </c>
      <c r="O4663" s="604">
        <v>0.106007</v>
      </c>
      <c r="P4663" s="250"/>
      <c r="Q4663" s="250"/>
      <c r="R4663" s="250"/>
      <c r="S4663" s="250">
        <v>2.7999999999999997E-2</v>
      </c>
      <c r="T4663" s="250">
        <v>0.16200000000000001</v>
      </c>
      <c r="U4663" s="250">
        <v>0.28000000000000003</v>
      </c>
      <c r="V4663" s="250">
        <v>0.34299999999999997</v>
      </c>
      <c r="W4663" s="250">
        <v>0.13900000000000001</v>
      </c>
      <c r="X4663" s="250">
        <v>4.7E-2</v>
      </c>
      <c r="Y4663" s="250">
        <v>2E-3</v>
      </c>
      <c r="Z4663" s="150">
        <v>24</v>
      </c>
      <c r="AA4663" s="150">
        <v>1.88</v>
      </c>
      <c r="AB4663" s="152"/>
      <c r="AC4663" s="152"/>
      <c r="AD4663" s="223"/>
      <c r="AE4663" s="223"/>
      <c r="AF4663" s="223"/>
      <c r="AG4663" s="223"/>
      <c r="AH4663" s="341"/>
      <c r="AI4663" s="218"/>
      <c r="AJ4663" s="218"/>
      <c r="AK4663" s="153"/>
      <c r="AL4663" s="152"/>
      <c r="AM4663" s="152"/>
      <c r="AN4663" s="152"/>
      <c r="AO4663" s="152"/>
      <c r="AP4663" s="152"/>
      <c r="AQ4663" s="152"/>
      <c r="AR4663" s="152"/>
      <c r="AS4663" s="152"/>
      <c r="AT4663" s="152"/>
      <c r="AU4663" s="153"/>
      <c r="AV4663" s="479"/>
      <c r="AW4663" s="479"/>
      <c r="AX4663" s="442"/>
      <c r="AY4663" s="153"/>
      <c r="AZ4663" s="152"/>
      <c r="BA4663" s="152"/>
      <c r="BB4663" s="152"/>
      <c r="BC4663" s="152"/>
      <c r="BD4663" s="152"/>
      <c r="BE4663" s="152"/>
      <c r="BF4663" s="152"/>
      <c r="BG4663" s="152"/>
      <c r="BH4663" s="152"/>
      <c r="BI4663" s="153"/>
      <c r="BJ4663" s="153"/>
      <c r="BK4663" s="153"/>
      <c r="BL4663" s="153"/>
      <c r="BM4663" s="153"/>
      <c r="BN4663" s="153"/>
      <c r="BO4663" s="153"/>
      <c r="BP4663" s="153"/>
      <c r="BQ4663" s="153"/>
      <c r="BR4663" s="153"/>
      <c r="BS4663" s="153"/>
      <c r="BT4663" s="153"/>
      <c r="BU4663" s="153"/>
      <c r="BV4663" s="153"/>
      <c r="BW4663" s="153"/>
      <c r="BX4663" s="153"/>
      <c r="BY4663" s="153"/>
      <c r="BZ4663" s="153"/>
      <c r="CA4663" s="152"/>
      <c r="CB4663" s="152"/>
    </row>
    <row r="4664" spans="1:80" s="87" customFormat="1" x14ac:dyDescent="0.2">
      <c r="A4664" s="152"/>
      <c r="B4664" s="683"/>
      <c r="C4664" s="683"/>
      <c r="D4664" s="698"/>
      <c r="E4664" s="215"/>
      <c r="F4664" s="215"/>
      <c r="G4664" s="153"/>
      <c r="H4664" s="153"/>
      <c r="I4664" s="163">
        <v>22</v>
      </c>
      <c r="J4664" s="163">
        <v>60</v>
      </c>
      <c r="K4664" s="150">
        <v>1</v>
      </c>
      <c r="L4664" s="656">
        <v>22</v>
      </c>
      <c r="M4664" s="663">
        <v>34822</v>
      </c>
      <c r="N4664" s="600">
        <v>7.5594900000000003</v>
      </c>
      <c r="O4664" s="604">
        <v>0.178427</v>
      </c>
      <c r="P4664" s="250"/>
      <c r="Q4664" s="250"/>
      <c r="R4664" s="250">
        <v>0.01</v>
      </c>
      <c r="S4664" s="250">
        <v>1.6E-2</v>
      </c>
      <c r="T4664" s="250">
        <v>0.121</v>
      </c>
      <c r="U4664" s="250">
        <v>0.28000000000000003</v>
      </c>
      <c r="V4664" s="250">
        <v>0.33700000000000002</v>
      </c>
      <c r="W4664" s="250">
        <v>0.17399999999999999</v>
      </c>
      <c r="X4664" s="250">
        <v>0.06</v>
      </c>
      <c r="Y4664" s="250">
        <v>2E-3</v>
      </c>
      <c r="Z4664" s="150">
        <v>19</v>
      </c>
      <c r="AA4664" s="150">
        <v>1.72</v>
      </c>
      <c r="AB4664" s="152"/>
      <c r="AC4664" s="152"/>
      <c r="AD4664" s="223"/>
      <c r="AE4664" s="223"/>
      <c r="AF4664" s="223"/>
      <c r="AG4664" s="223"/>
      <c r="AH4664" s="341"/>
      <c r="AI4664" s="218"/>
      <c r="AJ4664" s="218"/>
      <c r="AK4664" s="153"/>
      <c r="AL4664" s="152"/>
      <c r="AM4664" s="152"/>
      <c r="AN4664" s="152"/>
      <c r="AO4664" s="152"/>
      <c r="AP4664" s="152"/>
      <c r="AQ4664" s="152"/>
      <c r="AR4664" s="152"/>
      <c r="AS4664" s="152"/>
      <c r="AT4664" s="152"/>
      <c r="AU4664" s="153"/>
      <c r="AV4664" s="479"/>
      <c r="AW4664" s="479"/>
      <c r="AX4664" s="442"/>
      <c r="AY4664" s="153"/>
      <c r="AZ4664" s="152"/>
      <c r="BA4664" s="152"/>
      <c r="BB4664" s="152"/>
      <c r="BC4664" s="152"/>
      <c r="BD4664" s="152"/>
      <c r="BE4664" s="152"/>
      <c r="BF4664" s="152"/>
      <c r="BG4664" s="152"/>
      <c r="BH4664" s="152"/>
      <c r="BI4664" s="153"/>
      <c r="BJ4664" s="153"/>
      <c r="BK4664" s="153"/>
      <c r="BL4664" s="153"/>
      <c r="BM4664" s="153"/>
      <c r="BN4664" s="153"/>
      <c r="BO4664" s="153"/>
      <c r="BP4664" s="153"/>
      <c r="BQ4664" s="153"/>
      <c r="BR4664" s="153"/>
      <c r="BS4664" s="153"/>
      <c r="BT4664" s="153"/>
      <c r="BU4664" s="153"/>
      <c r="BV4664" s="153"/>
      <c r="BW4664" s="153"/>
      <c r="BX4664" s="153"/>
      <c r="BY4664" s="153"/>
      <c r="BZ4664" s="153"/>
      <c r="CA4664" s="152"/>
      <c r="CB4664" s="152"/>
    </row>
    <row r="4665" spans="1:80" s="87" customFormat="1" x14ac:dyDescent="0.2">
      <c r="A4665" s="152"/>
      <c r="B4665" s="683"/>
      <c r="C4665" s="683"/>
      <c r="D4665" s="698"/>
      <c r="E4665" s="215"/>
      <c r="F4665" s="215"/>
      <c r="G4665" s="153"/>
      <c r="H4665" s="153"/>
      <c r="I4665" s="163">
        <v>22</v>
      </c>
      <c r="J4665" s="163">
        <v>60</v>
      </c>
      <c r="K4665" s="150">
        <v>1</v>
      </c>
      <c r="L4665" s="656">
        <v>22</v>
      </c>
      <c r="M4665" s="663">
        <v>34822</v>
      </c>
      <c r="N4665" s="600">
        <v>7.5594900000000003</v>
      </c>
      <c r="O4665" s="604">
        <v>0.143791</v>
      </c>
      <c r="P4665" s="250"/>
      <c r="Q4665" s="250"/>
      <c r="R4665" s="250"/>
      <c r="S4665" s="250">
        <v>9.0000000000000011E-3</v>
      </c>
      <c r="T4665" s="250">
        <v>0.125</v>
      </c>
      <c r="U4665" s="250">
        <v>0.34299999999999997</v>
      </c>
      <c r="V4665" s="250">
        <v>0.38600000000000001</v>
      </c>
      <c r="W4665" s="250">
        <v>0.11900000000000001</v>
      </c>
      <c r="X4665" s="250">
        <v>1.6E-2</v>
      </c>
      <c r="Y4665" s="250">
        <v>2E-3</v>
      </c>
      <c r="Z4665" s="150">
        <v>16</v>
      </c>
      <c r="AA4665" s="150">
        <v>1.92</v>
      </c>
      <c r="AB4665" s="152"/>
      <c r="AC4665" s="152"/>
      <c r="AD4665" s="223"/>
      <c r="AE4665" s="223"/>
      <c r="AF4665" s="223"/>
      <c r="AG4665" s="223"/>
      <c r="AH4665" s="341"/>
      <c r="AI4665" s="218"/>
      <c r="AJ4665" s="218"/>
      <c r="AK4665" s="153"/>
      <c r="AL4665" s="152"/>
      <c r="AM4665" s="152"/>
      <c r="AN4665" s="152"/>
      <c r="AO4665" s="152"/>
      <c r="AP4665" s="152"/>
      <c r="AQ4665" s="152"/>
      <c r="AR4665" s="152"/>
      <c r="AS4665" s="152"/>
      <c r="AT4665" s="152"/>
      <c r="AU4665" s="153"/>
      <c r="AV4665" s="479"/>
      <c r="AW4665" s="479"/>
      <c r="AX4665" s="442"/>
      <c r="AY4665" s="153"/>
      <c r="AZ4665" s="152"/>
      <c r="BA4665" s="152"/>
      <c r="BB4665" s="152"/>
      <c r="BC4665" s="152"/>
      <c r="BD4665" s="152"/>
      <c r="BE4665" s="152"/>
      <c r="BF4665" s="152"/>
      <c r="BG4665" s="152"/>
      <c r="BH4665" s="152"/>
      <c r="BI4665" s="153"/>
      <c r="BJ4665" s="153"/>
      <c r="BK4665" s="153"/>
      <c r="BL4665" s="153"/>
      <c r="BM4665" s="153"/>
      <c r="BN4665" s="153"/>
      <c r="BO4665" s="153"/>
      <c r="BP4665" s="153"/>
      <c r="BQ4665" s="153"/>
      <c r="BR4665" s="153"/>
      <c r="BS4665" s="153"/>
      <c r="BT4665" s="153"/>
      <c r="BU4665" s="153"/>
      <c r="BV4665" s="153"/>
      <c r="BW4665" s="153"/>
      <c r="BX4665" s="153"/>
      <c r="BY4665" s="153"/>
      <c r="BZ4665" s="153"/>
      <c r="CA4665" s="152"/>
      <c r="CB4665" s="152"/>
    </row>
    <row r="4666" spans="1:80" s="87" customFormat="1" x14ac:dyDescent="0.2">
      <c r="A4666" s="152"/>
      <c r="B4666" s="683"/>
      <c r="C4666" s="683"/>
      <c r="D4666" s="698"/>
      <c r="E4666" s="215"/>
      <c r="F4666" s="215"/>
      <c r="G4666" s="153"/>
      <c r="H4666" s="153"/>
      <c r="I4666" s="163">
        <v>22</v>
      </c>
      <c r="J4666" s="163">
        <v>60</v>
      </c>
      <c r="K4666" s="150">
        <v>1</v>
      </c>
      <c r="L4666" s="656">
        <v>22</v>
      </c>
      <c r="M4666" s="663">
        <v>34823</v>
      </c>
      <c r="N4666" s="600">
        <v>7.8709300000000004</v>
      </c>
      <c r="O4666" s="604">
        <v>0.15428700000000001</v>
      </c>
      <c r="P4666" s="250"/>
      <c r="Q4666" s="250"/>
      <c r="R4666" s="250">
        <v>2.5000000000000001E-2</v>
      </c>
      <c r="S4666" s="250">
        <v>1.3999999999999999E-2</v>
      </c>
      <c r="T4666" s="250">
        <v>8.3000000000000004E-2</v>
      </c>
      <c r="U4666" s="250">
        <v>0.23100000000000001</v>
      </c>
      <c r="V4666" s="250">
        <v>0.36700000000000005</v>
      </c>
      <c r="W4666" s="250">
        <v>0.217</v>
      </c>
      <c r="X4666" s="250">
        <v>0.06</v>
      </c>
      <c r="Y4666" s="250">
        <v>3.0000000000000001E-3</v>
      </c>
      <c r="Z4666" s="150">
        <v>24</v>
      </c>
      <c r="AA4666" s="150">
        <v>1.52</v>
      </c>
      <c r="AB4666" s="152"/>
      <c r="AC4666" s="152"/>
      <c r="AD4666" s="223"/>
      <c r="AE4666" s="223"/>
      <c r="AF4666" s="223"/>
      <c r="AG4666" s="223"/>
      <c r="AH4666" s="341"/>
      <c r="AI4666" s="218"/>
      <c r="AJ4666" s="218"/>
      <c r="AK4666" s="153"/>
      <c r="AL4666" s="152"/>
      <c r="AM4666" s="152"/>
      <c r="AN4666" s="152"/>
      <c r="AO4666" s="152"/>
      <c r="AP4666" s="152"/>
      <c r="AQ4666" s="152"/>
      <c r="AR4666" s="152"/>
      <c r="AS4666" s="152"/>
      <c r="AT4666" s="152"/>
      <c r="AU4666" s="153"/>
      <c r="AV4666" s="479"/>
      <c r="AW4666" s="479"/>
      <c r="AX4666" s="442"/>
      <c r="AY4666" s="153"/>
      <c r="AZ4666" s="152"/>
      <c r="BA4666" s="152"/>
      <c r="BB4666" s="152"/>
      <c r="BC4666" s="152"/>
      <c r="BD4666" s="152"/>
      <c r="BE4666" s="152"/>
      <c r="BF4666" s="152"/>
      <c r="BG4666" s="152"/>
      <c r="BH4666" s="152"/>
      <c r="BI4666" s="153"/>
      <c r="BJ4666" s="153"/>
      <c r="BK4666" s="153"/>
      <c r="BL4666" s="153"/>
      <c r="BM4666" s="153"/>
      <c r="BN4666" s="153"/>
      <c r="BO4666" s="153"/>
      <c r="BP4666" s="153"/>
      <c r="BQ4666" s="153"/>
      <c r="BR4666" s="153"/>
      <c r="BS4666" s="153"/>
      <c r="BT4666" s="153"/>
      <c r="BU4666" s="153"/>
      <c r="BV4666" s="153"/>
      <c r="BW4666" s="153"/>
      <c r="BX4666" s="153"/>
      <c r="BY4666" s="153"/>
      <c r="BZ4666" s="153"/>
      <c r="CA4666" s="152"/>
      <c r="CB4666" s="152"/>
    </row>
    <row r="4667" spans="1:80" s="87" customFormat="1" x14ac:dyDescent="0.2">
      <c r="A4667" s="152"/>
      <c r="B4667" s="683"/>
      <c r="C4667" s="683"/>
      <c r="D4667" s="698"/>
      <c r="E4667" s="215"/>
      <c r="F4667" s="215"/>
      <c r="G4667" s="153"/>
      <c r="H4667" s="153"/>
      <c r="I4667" s="163">
        <v>22</v>
      </c>
      <c r="J4667" s="163">
        <v>60</v>
      </c>
      <c r="K4667" s="150">
        <v>1</v>
      </c>
      <c r="L4667" s="656">
        <v>22</v>
      </c>
      <c r="M4667" s="663">
        <v>34823</v>
      </c>
      <c r="N4667" s="600">
        <v>7.8709300000000004</v>
      </c>
      <c r="O4667" s="604">
        <v>8.2600999999999994E-2</v>
      </c>
      <c r="P4667" s="250"/>
      <c r="Q4667" s="250"/>
      <c r="R4667" s="250"/>
      <c r="S4667" s="250">
        <v>1.3000000000000001E-2</v>
      </c>
      <c r="T4667" s="250">
        <v>0.13900000000000001</v>
      </c>
      <c r="U4667" s="250">
        <v>0.32400000000000001</v>
      </c>
      <c r="V4667" s="250">
        <v>0.34100000000000003</v>
      </c>
      <c r="W4667" s="250">
        <v>0.13900000000000001</v>
      </c>
      <c r="X4667" s="250">
        <v>4.0999999999999995E-2</v>
      </c>
      <c r="Y4667" s="250">
        <v>4.0000000000000001E-3</v>
      </c>
      <c r="Z4667" s="150">
        <v>10</v>
      </c>
      <c r="AA4667" s="150">
        <v>1.9</v>
      </c>
      <c r="AB4667" s="152"/>
      <c r="AC4667" s="152"/>
      <c r="AD4667" s="223"/>
      <c r="AE4667" s="223"/>
      <c r="AF4667" s="223"/>
      <c r="AG4667" s="223"/>
      <c r="AH4667" s="341"/>
      <c r="AI4667" s="218"/>
      <c r="AJ4667" s="218"/>
      <c r="AK4667" s="153"/>
      <c r="AL4667" s="152"/>
      <c r="AM4667" s="152"/>
      <c r="AN4667" s="152"/>
      <c r="AO4667" s="152"/>
      <c r="AP4667" s="152"/>
      <c r="AQ4667" s="152"/>
      <c r="AR4667" s="152"/>
      <c r="AS4667" s="152"/>
      <c r="AT4667" s="152"/>
      <c r="AU4667" s="153"/>
      <c r="AV4667" s="479"/>
      <c r="AW4667" s="479"/>
      <c r="AX4667" s="442"/>
      <c r="AY4667" s="153"/>
      <c r="AZ4667" s="152"/>
      <c r="BA4667" s="152"/>
      <c r="BB4667" s="152"/>
      <c r="BC4667" s="152"/>
      <c r="BD4667" s="152"/>
      <c r="BE4667" s="152"/>
      <c r="BF4667" s="152"/>
      <c r="BG4667" s="152"/>
      <c r="BH4667" s="152"/>
      <c r="BI4667" s="153"/>
      <c r="BJ4667" s="153"/>
      <c r="BK4667" s="153"/>
      <c r="BL4667" s="153"/>
      <c r="BM4667" s="153"/>
      <c r="BN4667" s="153"/>
      <c r="BO4667" s="153"/>
      <c r="BP4667" s="153"/>
      <c r="BQ4667" s="153"/>
      <c r="BR4667" s="153"/>
      <c r="BS4667" s="153"/>
      <c r="BT4667" s="153"/>
      <c r="BU4667" s="153"/>
      <c r="BV4667" s="153"/>
      <c r="BW4667" s="153"/>
      <c r="BX4667" s="153"/>
      <c r="BY4667" s="153"/>
      <c r="BZ4667" s="153"/>
      <c r="CA4667" s="152"/>
      <c r="CB4667" s="152"/>
    </row>
    <row r="4668" spans="1:80" s="87" customFormat="1" x14ac:dyDescent="0.2">
      <c r="A4668" s="152"/>
      <c r="B4668" s="683"/>
      <c r="C4668" s="683"/>
      <c r="D4668" s="698"/>
      <c r="E4668" s="215"/>
      <c r="F4668" s="215"/>
      <c r="G4668" s="153"/>
      <c r="H4668" s="153"/>
      <c r="I4668" s="163">
        <v>22</v>
      </c>
      <c r="J4668" s="163">
        <v>60</v>
      </c>
      <c r="K4668" s="150">
        <v>1</v>
      </c>
      <c r="L4668" s="656">
        <v>22</v>
      </c>
      <c r="M4668" s="663">
        <v>34825</v>
      </c>
      <c r="N4668" s="600">
        <v>10.8721</v>
      </c>
      <c r="O4668" s="604">
        <v>9.8345000000000002E-2</v>
      </c>
      <c r="P4668" s="250"/>
      <c r="Q4668" s="250"/>
      <c r="R4668" s="250"/>
      <c r="S4668" s="250">
        <v>2.5000000000000001E-2</v>
      </c>
      <c r="T4668" s="250">
        <v>0.17699999999999999</v>
      </c>
      <c r="U4668" s="250">
        <v>0.22399999999999998</v>
      </c>
      <c r="V4668" s="250">
        <v>0.30099999999999999</v>
      </c>
      <c r="W4668" s="250">
        <v>0.18</v>
      </c>
      <c r="X4668" s="250">
        <v>8.5000000000000006E-2</v>
      </c>
      <c r="Y4668" s="250">
        <v>6.9999999999999993E-3</v>
      </c>
      <c r="Z4668" s="150">
        <v>15</v>
      </c>
      <c r="AA4668" s="150">
        <v>1.69</v>
      </c>
      <c r="AB4668" s="152"/>
      <c r="AC4668" s="152"/>
      <c r="AD4668" s="223"/>
      <c r="AE4668" s="223"/>
      <c r="AF4668" s="223"/>
      <c r="AG4668" s="223"/>
      <c r="AH4668" s="341"/>
      <c r="AI4668" s="218"/>
      <c r="AJ4668" s="218"/>
      <c r="AK4668" s="153"/>
      <c r="AL4668" s="152"/>
      <c r="AM4668" s="152"/>
      <c r="AN4668" s="152"/>
      <c r="AO4668" s="152"/>
      <c r="AP4668" s="152"/>
      <c r="AQ4668" s="152"/>
      <c r="AR4668" s="152"/>
      <c r="AS4668" s="152"/>
      <c r="AT4668" s="152"/>
      <c r="AU4668" s="153"/>
      <c r="AV4668" s="479"/>
      <c r="AW4668" s="479"/>
      <c r="AX4668" s="442"/>
      <c r="AY4668" s="153"/>
      <c r="AZ4668" s="152"/>
      <c r="BA4668" s="152"/>
      <c r="BB4668" s="152"/>
      <c r="BC4668" s="152"/>
      <c r="BD4668" s="152"/>
      <c r="BE4668" s="152"/>
      <c r="BF4668" s="152"/>
      <c r="BG4668" s="152"/>
      <c r="BH4668" s="152"/>
      <c r="BI4668" s="153"/>
      <c r="BJ4668" s="153"/>
      <c r="BK4668" s="153"/>
      <c r="BL4668" s="153"/>
      <c r="BM4668" s="153"/>
      <c r="BN4668" s="153"/>
      <c r="BO4668" s="153"/>
      <c r="BP4668" s="153"/>
      <c r="BQ4668" s="153"/>
      <c r="BR4668" s="153"/>
      <c r="BS4668" s="153"/>
      <c r="BT4668" s="153"/>
      <c r="BU4668" s="153"/>
      <c r="BV4668" s="153"/>
      <c r="BW4668" s="153"/>
      <c r="BX4668" s="153"/>
      <c r="BY4668" s="153"/>
      <c r="BZ4668" s="153"/>
      <c r="CA4668" s="152"/>
      <c r="CB4668" s="152"/>
    </row>
    <row r="4669" spans="1:80" s="87" customFormat="1" x14ac:dyDescent="0.2">
      <c r="A4669" s="152"/>
      <c r="B4669" s="683"/>
      <c r="C4669" s="683"/>
      <c r="D4669" s="698"/>
      <c r="E4669" s="215"/>
      <c r="F4669" s="215"/>
      <c r="G4669" s="153"/>
      <c r="H4669" s="153"/>
      <c r="I4669" s="163">
        <v>22</v>
      </c>
      <c r="J4669" s="163">
        <v>60</v>
      </c>
      <c r="K4669" s="150">
        <v>1</v>
      </c>
      <c r="L4669" s="656">
        <v>22</v>
      </c>
      <c r="M4669" s="663">
        <v>34825</v>
      </c>
      <c r="N4669" s="600">
        <v>10.8721</v>
      </c>
      <c r="O4669" s="604">
        <v>9.4461000000000003E-2</v>
      </c>
      <c r="P4669" s="250"/>
      <c r="Q4669" s="250"/>
      <c r="R4669" s="250"/>
      <c r="S4669" s="250">
        <v>4.4999999999999998E-2</v>
      </c>
      <c r="T4669" s="250">
        <v>0.182</v>
      </c>
      <c r="U4669" s="250">
        <v>0.26500000000000001</v>
      </c>
      <c r="V4669" s="250">
        <v>0.27200000000000002</v>
      </c>
      <c r="W4669" s="250">
        <v>0.15</v>
      </c>
      <c r="X4669" s="250">
        <v>7.0999999999999994E-2</v>
      </c>
      <c r="Y4669" s="250">
        <v>1.4999999999999999E-2</v>
      </c>
      <c r="Z4669" s="150">
        <v>14</v>
      </c>
      <c r="AA4669" s="150">
        <v>1.96</v>
      </c>
      <c r="AB4669" s="152"/>
      <c r="AC4669" s="152"/>
      <c r="AD4669" s="223"/>
      <c r="AE4669" s="223"/>
      <c r="AF4669" s="223"/>
      <c r="AG4669" s="223"/>
      <c r="AH4669" s="341"/>
      <c r="AI4669" s="218"/>
      <c r="AJ4669" s="218"/>
      <c r="AK4669" s="153"/>
      <c r="AL4669" s="152"/>
      <c r="AM4669" s="152"/>
      <c r="AN4669" s="152"/>
      <c r="AO4669" s="152"/>
      <c r="AP4669" s="152"/>
      <c r="AQ4669" s="152"/>
      <c r="AR4669" s="152"/>
      <c r="AS4669" s="152"/>
      <c r="AT4669" s="152"/>
      <c r="AU4669" s="153"/>
      <c r="AV4669" s="479"/>
      <c r="AW4669" s="479"/>
      <c r="AX4669" s="442"/>
      <c r="AY4669" s="153"/>
      <c r="AZ4669" s="152"/>
      <c r="BA4669" s="152"/>
      <c r="BB4669" s="152"/>
      <c r="BC4669" s="152"/>
      <c r="BD4669" s="152"/>
      <c r="BE4669" s="152"/>
      <c r="BF4669" s="152"/>
      <c r="BG4669" s="152"/>
      <c r="BH4669" s="152"/>
      <c r="BI4669" s="153"/>
      <c r="BJ4669" s="153"/>
      <c r="BK4669" s="153"/>
      <c r="BL4669" s="153"/>
      <c r="BM4669" s="153"/>
      <c r="BN4669" s="153"/>
      <c r="BO4669" s="153"/>
      <c r="BP4669" s="153"/>
      <c r="BQ4669" s="153"/>
      <c r="BR4669" s="153"/>
      <c r="BS4669" s="153"/>
      <c r="BT4669" s="153"/>
      <c r="BU4669" s="153"/>
      <c r="BV4669" s="153"/>
      <c r="BW4669" s="153"/>
      <c r="BX4669" s="153"/>
      <c r="BY4669" s="153"/>
      <c r="BZ4669" s="153"/>
      <c r="CA4669" s="152"/>
      <c r="CB4669" s="152"/>
    </row>
    <row r="4670" spans="1:80" s="87" customFormat="1" x14ac:dyDescent="0.2">
      <c r="A4670" s="152"/>
      <c r="B4670" s="683"/>
      <c r="C4670" s="683"/>
      <c r="D4670" s="698"/>
      <c r="E4670" s="215"/>
      <c r="F4670" s="215"/>
      <c r="G4670" s="153"/>
      <c r="H4670" s="153"/>
      <c r="I4670" s="163">
        <v>23</v>
      </c>
      <c r="J4670" s="163">
        <v>60</v>
      </c>
      <c r="K4670" s="150">
        <v>1</v>
      </c>
      <c r="L4670" s="656">
        <v>23</v>
      </c>
      <c r="M4670" s="663">
        <v>34827</v>
      </c>
      <c r="N4670" s="600">
        <v>9.7112599999999993</v>
      </c>
      <c r="O4670" s="604">
        <v>6.7696999999999993E-2</v>
      </c>
      <c r="P4670" s="250"/>
      <c r="Q4670" s="250"/>
      <c r="R4670" s="250"/>
      <c r="S4670" s="250">
        <v>2.2000000000000002E-2</v>
      </c>
      <c r="T4670" s="250">
        <v>0.11800000000000001</v>
      </c>
      <c r="U4670" s="250">
        <v>0.26800000000000002</v>
      </c>
      <c r="V4670" s="250">
        <v>0.35100000000000003</v>
      </c>
      <c r="W4670" s="250">
        <v>0.18</v>
      </c>
      <c r="X4670" s="250">
        <v>5.7999999999999996E-2</v>
      </c>
      <c r="Y4670" s="250">
        <v>4.0000000000000001E-3</v>
      </c>
      <c r="Z4670" s="150">
        <v>11</v>
      </c>
      <c r="AA4670" s="150">
        <v>1.66</v>
      </c>
      <c r="AB4670" s="152"/>
      <c r="AC4670" s="152"/>
      <c r="AD4670" s="223"/>
      <c r="AE4670" s="223"/>
      <c r="AF4670" s="223"/>
      <c r="AG4670" s="223"/>
      <c r="AH4670" s="341"/>
      <c r="AI4670" s="218"/>
      <c r="AJ4670" s="218"/>
      <c r="AK4670" s="153"/>
      <c r="AL4670" s="152"/>
      <c r="AM4670" s="152"/>
      <c r="AN4670" s="152"/>
      <c r="AO4670" s="152"/>
      <c r="AP4670" s="152"/>
      <c r="AQ4670" s="152"/>
      <c r="AR4670" s="152"/>
      <c r="AS4670" s="152"/>
      <c r="AT4670" s="152"/>
      <c r="AU4670" s="153"/>
      <c r="AV4670" s="479"/>
      <c r="AW4670" s="479"/>
      <c r="AX4670" s="442"/>
      <c r="AY4670" s="153"/>
      <c r="AZ4670" s="152"/>
      <c r="BA4670" s="152"/>
      <c r="BB4670" s="152"/>
      <c r="BC4670" s="152"/>
      <c r="BD4670" s="152"/>
      <c r="BE4670" s="152"/>
      <c r="BF4670" s="152"/>
      <c r="BG4670" s="152"/>
      <c r="BH4670" s="152"/>
      <c r="BI4670" s="153"/>
      <c r="BJ4670" s="153"/>
      <c r="BK4670" s="153"/>
      <c r="BL4670" s="153"/>
      <c r="BM4670" s="153"/>
      <c r="BN4670" s="153"/>
      <c r="BO4670" s="153"/>
      <c r="BP4670" s="153"/>
      <c r="BQ4670" s="153"/>
      <c r="BR4670" s="153"/>
      <c r="BS4670" s="153"/>
      <c r="BT4670" s="153"/>
      <c r="BU4670" s="153"/>
      <c r="BV4670" s="153"/>
      <c r="BW4670" s="153"/>
      <c r="BX4670" s="153"/>
      <c r="BY4670" s="153"/>
      <c r="BZ4670" s="153"/>
      <c r="CA4670" s="152"/>
      <c r="CB4670" s="152"/>
    </row>
    <row r="4671" spans="1:80" s="87" customFormat="1" x14ac:dyDescent="0.2">
      <c r="A4671" s="152"/>
      <c r="B4671" s="683"/>
      <c r="C4671" s="683"/>
      <c r="D4671" s="698"/>
      <c r="E4671" s="215"/>
      <c r="F4671" s="215"/>
      <c r="G4671" s="153"/>
      <c r="H4671" s="153"/>
      <c r="I4671" s="163">
        <v>23</v>
      </c>
      <c r="J4671" s="163">
        <v>60</v>
      </c>
      <c r="K4671" s="150">
        <v>1</v>
      </c>
      <c r="L4671" s="656">
        <v>23</v>
      </c>
      <c r="M4671" s="663">
        <v>34827</v>
      </c>
      <c r="N4671" s="600">
        <v>9.7112599999999993</v>
      </c>
      <c r="O4671" s="604">
        <v>2.7184E-2</v>
      </c>
      <c r="P4671" s="250"/>
      <c r="Q4671" s="250"/>
      <c r="R4671" s="250"/>
      <c r="S4671" s="250"/>
      <c r="T4671" s="250">
        <v>7.400000000000001E-2</v>
      </c>
      <c r="U4671" s="250">
        <v>0.184</v>
      </c>
      <c r="V4671" s="250">
        <v>0.38700000000000001</v>
      </c>
      <c r="W4671" s="250">
        <v>0.253</v>
      </c>
      <c r="X4671" s="250">
        <v>9.6999999999999989E-2</v>
      </c>
      <c r="Y4671" s="250">
        <v>5.0000000000000001E-3</v>
      </c>
      <c r="Z4671" s="150">
        <v>6</v>
      </c>
      <c r="AA4671" s="150">
        <v>1.3</v>
      </c>
      <c r="AB4671" s="152"/>
      <c r="AC4671" s="152"/>
      <c r="AD4671" s="223"/>
      <c r="AE4671" s="223"/>
      <c r="AF4671" s="223"/>
      <c r="AG4671" s="223"/>
      <c r="AH4671" s="341"/>
      <c r="AI4671" s="218"/>
      <c r="AJ4671" s="218"/>
      <c r="AK4671" s="153"/>
      <c r="AL4671" s="152"/>
      <c r="AM4671" s="152"/>
      <c r="AN4671" s="152"/>
      <c r="AO4671" s="152"/>
      <c r="AP4671" s="152"/>
      <c r="AQ4671" s="152"/>
      <c r="AR4671" s="152"/>
      <c r="AS4671" s="152"/>
      <c r="AT4671" s="152"/>
      <c r="AU4671" s="153"/>
      <c r="AV4671" s="479"/>
      <c r="AW4671" s="479"/>
      <c r="AX4671" s="442"/>
      <c r="AY4671" s="153"/>
      <c r="AZ4671" s="152"/>
      <c r="BA4671" s="152"/>
      <c r="BB4671" s="152"/>
      <c r="BC4671" s="152"/>
      <c r="BD4671" s="152"/>
      <c r="BE4671" s="152"/>
      <c r="BF4671" s="152"/>
      <c r="BG4671" s="152"/>
      <c r="BH4671" s="152"/>
      <c r="BI4671" s="153"/>
      <c r="BJ4671" s="153"/>
      <c r="BK4671" s="153"/>
      <c r="BL4671" s="153"/>
      <c r="BM4671" s="153"/>
      <c r="BN4671" s="153"/>
      <c r="BO4671" s="153"/>
      <c r="BP4671" s="153"/>
      <c r="BQ4671" s="153"/>
      <c r="BR4671" s="153"/>
      <c r="BS4671" s="153"/>
      <c r="BT4671" s="153"/>
      <c r="BU4671" s="153"/>
      <c r="BV4671" s="153"/>
      <c r="BW4671" s="153"/>
      <c r="BX4671" s="153"/>
      <c r="BY4671" s="153"/>
      <c r="BZ4671" s="153"/>
      <c r="CA4671" s="152"/>
      <c r="CB4671" s="152"/>
    </row>
    <row r="4672" spans="1:80" s="87" customFormat="1" x14ac:dyDescent="0.2">
      <c r="A4672" s="152"/>
      <c r="B4672" s="683"/>
      <c r="C4672" s="683"/>
      <c r="D4672" s="698"/>
      <c r="E4672" s="215"/>
      <c r="F4672" s="215"/>
      <c r="G4672" s="153"/>
      <c r="H4672" s="153"/>
      <c r="I4672" s="163">
        <v>23</v>
      </c>
      <c r="J4672" s="163">
        <v>60</v>
      </c>
      <c r="K4672" s="150">
        <v>1</v>
      </c>
      <c r="L4672" s="656">
        <v>23</v>
      </c>
      <c r="M4672" s="663">
        <v>34828</v>
      </c>
      <c r="N4672" s="600">
        <v>10.6173</v>
      </c>
      <c r="O4672" s="604">
        <v>0.191022</v>
      </c>
      <c r="P4672" s="250"/>
      <c r="Q4672" s="250"/>
      <c r="R4672" s="250"/>
      <c r="S4672" s="250">
        <v>2.7000000000000003E-2</v>
      </c>
      <c r="T4672" s="250">
        <v>0.127</v>
      </c>
      <c r="U4672" s="250">
        <v>0.27300000000000002</v>
      </c>
      <c r="V4672" s="250">
        <v>0.373</v>
      </c>
      <c r="W4672" s="250">
        <v>0.16800000000000001</v>
      </c>
      <c r="X4672" s="250">
        <v>2.8999999999999998E-2</v>
      </c>
      <c r="Y4672" s="250">
        <v>2E-3</v>
      </c>
      <c r="Z4672" s="150">
        <v>14</v>
      </c>
      <c r="AA4672" s="150">
        <v>1.75</v>
      </c>
      <c r="AB4672" s="152"/>
      <c r="AC4672" s="152"/>
      <c r="AD4672" s="223"/>
      <c r="AE4672" s="223"/>
      <c r="AF4672" s="223"/>
      <c r="AG4672" s="223"/>
      <c r="AH4672" s="341"/>
      <c r="AI4672" s="218"/>
      <c r="AJ4672" s="218"/>
      <c r="AK4672" s="153"/>
      <c r="AL4672" s="152"/>
      <c r="AM4672" s="152"/>
      <c r="AN4672" s="152"/>
      <c r="AO4672" s="152"/>
      <c r="AP4672" s="152"/>
      <c r="AQ4672" s="152"/>
      <c r="AR4672" s="152"/>
      <c r="AS4672" s="152"/>
      <c r="AT4672" s="152"/>
      <c r="AU4672" s="153"/>
      <c r="AV4672" s="479"/>
      <c r="AW4672" s="479"/>
      <c r="AX4672" s="442"/>
      <c r="AY4672" s="153"/>
      <c r="AZ4672" s="152"/>
      <c r="BA4672" s="152"/>
      <c r="BB4672" s="152"/>
      <c r="BC4672" s="152"/>
      <c r="BD4672" s="152"/>
      <c r="BE4672" s="152"/>
      <c r="BF4672" s="152"/>
      <c r="BG4672" s="152"/>
      <c r="BH4672" s="152"/>
      <c r="BI4672" s="153"/>
      <c r="BJ4672" s="153"/>
      <c r="BK4672" s="153"/>
      <c r="BL4672" s="153"/>
      <c r="BM4672" s="153"/>
      <c r="BN4672" s="153"/>
      <c r="BO4672" s="153"/>
      <c r="BP4672" s="153"/>
      <c r="BQ4672" s="153"/>
      <c r="BR4672" s="153"/>
      <c r="BS4672" s="153"/>
      <c r="BT4672" s="153"/>
      <c r="BU4672" s="153"/>
      <c r="BV4672" s="153"/>
      <c r="BW4672" s="153"/>
      <c r="BX4672" s="153"/>
      <c r="BY4672" s="153"/>
      <c r="BZ4672" s="153"/>
      <c r="CA4672" s="152"/>
      <c r="CB4672" s="152"/>
    </row>
    <row r="4673" spans="1:80" s="87" customFormat="1" x14ac:dyDescent="0.2">
      <c r="A4673" s="152"/>
      <c r="B4673" s="683"/>
      <c r="C4673" s="683"/>
      <c r="D4673" s="698"/>
      <c r="E4673" s="215"/>
      <c r="F4673" s="215"/>
      <c r="G4673" s="153"/>
      <c r="H4673" s="153"/>
      <c r="I4673" s="163">
        <v>23</v>
      </c>
      <c r="J4673" s="163">
        <v>60</v>
      </c>
      <c r="K4673" s="150">
        <v>1</v>
      </c>
      <c r="L4673" s="656">
        <v>23</v>
      </c>
      <c r="M4673" s="663">
        <v>34828</v>
      </c>
      <c r="N4673" s="600">
        <v>10.6173</v>
      </c>
      <c r="O4673" s="604">
        <v>0.19731899999999999</v>
      </c>
      <c r="P4673" s="250"/>
      <c r="Q4673" s="250"/>
      <c r="R4673" s="250"/>
      <c r="S4673" s="250">
        <v>3.5000000000000003E-2</v>
      </c>
      <c r="T4673" s="250">
        <v>9.5000000000000001E-2</v>
      </c>
      <c r="U4673" s="250">
        <v>0.254</v>
      </c>
      <c r="V4673" s="250">
        <v>0.40299999999999997</v>
      </c>
      <c r="W4673" s="250">
        <v>0.16800000000000001</v>
      </c>
      <c r="X4673" s="250">
        <v>3.9E-2</v>
      </c>
      <c r="Y4673" s="250">
        <v>4.0000000000000001E-3</v>
      </c>
      <c r="Z4673" s="150">
        <v>14</v>
      </c>
      <c r="AA4673" s="150">
        <v>1.64</v>
      </c>
      <c r="AB4673" s="152"/>
      <c r="AC4673" s="152"/>
      <c r="AD4673" s="223"/>
      <c r="AE4673" s="223"/>
      <c r="AF4673" s="223"/>
      <c r="AG4673" s="223"/>
      <c r="AH4673" s="341"/>
      <c r="AI4673" s="218"/>
      <c r="AJ4673" s="218"/>
      <c r="AK4673" s="153"/>
      <c r="AL4673" s="152"/>
      <c r="AM4673" s="152"/>
      <c r="AN4673" s="152"/>
      <c r="AO4673" s="152"/>
      <c r="AP4673" s="152"/>
      <c r="AQ4673" s="152"/>
      <c r="AR4673" s="152"/>
      <c r="AS4673" s="152"/>
      <c r="AT4673" s="152"/>
      <c r="AU4673" s="153"/>
      <c r="AV4673" s="479"/>
      <c r="AW4673" s="479"/>
      <c r="AX4673" s="442"/>
      <c r="AY4673" s="153"/>
      <c r="AZ4673" s="152"/>
      <c r="BA4673" s="152"/>
      <c r="BB4673" s="152"/>
      <c r="BC4673" s="152"/>
      <c r="BD4673" s="152"/>
      <c r="BE4673" s="152"/>
      <c r="BF4673" s="152"/>
      <c r="BG4673" s="152"/>
      <c r="BH4673" s="152"/>
      <c r="BI4673" s="153"/>
      <c r="BJ4673" s="153"/>
      <c r="BK4673" s="153"/>
      <c r="BL4673" s="153"/>
      <c r="BM4673" s="153"/>
      <c r="BN4673" s="153"/>
      <c r="BO4673" s="153"/>
      <c r="BP4673" s="153"/>
      <c r="BQ4673" s="153"/>
      <c r="BR4673" s="153"/>
      <c r="BS4673" s="153"/>
      <c r="BT4673" s="153"/>
      <c r="BU4673" s="153"/>
      <c r="BV4673" s="153"/>
      <c r="BW4673" s="153"/>
      <c r="BX4673" s="153"/>
      <c r="BY4673" s="153"/>
      <c r="BZ4673" s="153"/>
      <c r="CA4673" s="152"/>
      <c r="CB4673" s="152"/>
    </row>
    <row r="4674" spans="1:80" s="87" customFormat="1" x14ac:dyDescent="0.2">
      <c r="A4674" s="152"/>
      <c r="B4674" s="683"/>
      <c r="C4674" s="683"/>
      <c r="D4674" s="698"/>
      <c r="E4674" s="215"/>
      <c r="F4674" s="215"/>
      <c r="G4674" s="153"/>
      <c r="H4674" s="153"/>
      <c r="I4674" s="163">
        <v>23</v>
      </c>
      <c r="J4674" s="163">
        <v>60</v>
      </c>
      <c r="K4674" s="150">
        <v>1</v>
      </c>
      <c r="L4674" s="656">
        <v>23</v>
      </c>
      <c r="M4674" s="663">
        <v>34829</v>
      </c>
      <c r="N4674" s="600">
        <v>10.758800000000001</v>
      </c>
      <c r="O4674" s="604">
        <v>9.6245999999999998E-2</v>
      </c>
      <c r="P4674" s="250"/>
      <c r="Q4674" s="250"/>
      <c r="R4674" s="250"/>
      <c r="S4674" s="250">
        <v>2.6000000000000002E-2</v>
      </c>
      <c r="T4674" s="250">
        <v>0.13699999999999998</v>
      </c>
      <c r="U4674" s="250">
        <v>0.27699999999999997</v>
      </c>
      <c r="V4674" s="250">
        <v>0.32500000000000001</v>
      </c>
      <c r="W4674" s="250">
        <v>0.188</v>
      </c>
      <c r="X4674" s="250">
        <v>4.4000000000000004E-2</v>
      </c>
      <c r="Y4674" s="250">
        <v>3.0000000000000001E-3</v>
      </c>
      <c r="Z4674" s="150">
        <v>10.5</v>
      </c>
      <c r="AA4674" s="150">
        <v>1.76</v>
      </c>
      <c r="AB4674" s="152"/>
      <c r="AC4674" s="152"/>
      <c r="AD4674" s="223"/>
      <c r="AE4674" s="223"/>
      <c r="AF4674" s="223"/>
      <c r="AG4674" s="223"/>
      <c r="AH4674" s="341"/>
      <c r="AI4674" s="218"/>
      <c r="AJ4674" s="218"/>
      <c r="AK4674" s="153"/>
      <c r="AL4674" s="152"/>
      <c r="AM4674" s="152"/>
      <c r="AN4674" s="152"/>
      <c r="AO4674" s="152"/>
      <c r="AP4674" s="152"/>
      <c r="AQ4674" s="152"/>
      <c r="AR4674" s="152"/>
      <c r="AS4674" s="152"/>
      <c r="AT4674" s="152"/>
      <c r="AU4674" s="153"/>
      <c r="AV4674" s="479"/>
      <c r="AW4674" s="479"/>
      <c r="AX4674" s="442"/>
      <c r="AY4674" s="153"/>
      <c r="AZ4674" s="152"/>
      <c r="BA4674" s="152"/>
      <c r="BB4674" s="152"/>
      <c r="BC4674" s="152"/>
      <c r="BD4674" s="152"/>
      <c r="BE4674" s="152"/>
      <c r="BF4674" s="152"/>
      <c r="BG4674" s="152"/>
      <c r="BH4674" s="152"/>
      <c r="BI4674" s="153"/>
      <c r="BJ4674" s="153"/>
      <c r="BK4674" s="153"/>
      <c r="BL4674" s="153"/>
      <c r="BM4674" s="153"/>
      <c r="BN4674" s="153"/>
      <c r="BO4674" s="153"/>
      <c r="BP4674" s="153"/>
      <c r="BQ4674" s="153"/>
      <c r="BR4674" s="153"/>
      <c r="BS4674" s="153"/>
      <c r="BT4674" s="153"/>
      <c r="BU4674" s="153"/>
      <c r="BV4674" s="153"/>
      <c r="BW4674" s="153"/>
      <c r="BX4674" s="153"/>
      <c r="BY4674" s="153"/>
      <c r="BZ4674" s="153"/>
      <c r="CA4674" s="152"/>
      <c r="CB4674" s="152"/>
    </row>
    <row r="4675" spans="1:80" s="87" customFormat="1" x14ac:dyDescent="0.2">
      <c r="A4675" s="152"/>
      <c r="B4675" s="683"/>
      <c r="C4675" s="683"/>
      <c r="D4675" s="698"/>
      <c r="E4675" s="215"/>
      <c r="F4675" s="215"/>
      <c r="G4675" s="153"/>
      <c r="H4675" s="153"/>
      <c r="I4675" s="163">
        <v>23</v>
      </c>
      <c r="J4675" s="163">
        <v>60</v>
      </c>
      <c r="K4675" s="150">
        <v>1</v>
      </c>
      <c r="L4675" s="656">
        <v>23</v>
      </c>
      <c r="M4675" s="663">
        <v>34829</v>
      </c>
      <c r="N4675" s="600">
        <v>10.758800000000001</v>
      </c>
      <c r="O4675" s="604">
        <v>0.102753</v>
      </c>
      <c r="P4675" s="250"/>
      <c r="Q4675" s="250"/>
      <c r="R4675" s="250"/>
      <c r="S4675" s="250">
        <v>4.2000000000000003E-2</v>
      </c>
      <c r="T4675" s="250">
        <v>0.13100000000000001</v>
      </c>
      <c r="U4675" s="250">
        <v>0.32700000000000001</v>
      </c>
      <c r="V4675" s="250">
        <v>0.33100000000000002</v>
      </c>
      <c r="W4675" s="250">
        <v>0.13</v>
      </c>
      <c r="X4675" s="250">
        <v>3.5000000000000003E-2</v>
      </c>
      <c r="Y4675" s="250">
        <v>3.0000000000000001E-3</v>
      </c>
      <c r="Z4675" s="150">
        <v>14</v>
      </c>
      <c r="AA4675" s="150">
        <v>2</v>
      </c>
      <c r="AB4675" s="152"/>
      <c r="AC4675" s="152"/>
      <c r="AD4675" s="223"/>
      <c r="AE4675" s="223"/>
      <c r="AF4675" s="223"/>
      <c r="AG4675" s="223"/>
      <c r="AH4675" s="341"/>
      <c r="AI4675" s="218"/>
      <c r="AJ4675" s="218"/>
      <c r="AK4675" s="153"/>
      <c r="AL4675" s="152"/>
      <c r="AM4675" s="152"/>
      <c r="AN4675" s="152"/>
      <c r="AO4675" s="152"/>
      <c r="AP4675" s="152"/>
      <c r="AQ4675" s="152"/>
      <c r="AR4675" s="152"/>
      <c r="AS4675" s="152"/>
      <c r="AT4675" s="152"/>
      <c r="AU4675" s="153"/>
      <c r="AV4675" s="479"/>
      <c r="AW4675" s="479"/>
      <c r="AX4675" s="442"/>
      <c r="AY4675" s="153"/>
      <c r="AZ4675" s="152"/>
      <c r="BA4675" s="152"/>
      <c r="BB4675" s="152"/>
      <c r="BC4675" s="152"/>
      <c r="BD4675" s="152"/>
      <c r="BE4675" s="152"/>
      <c r="BF4675" s="152"/>
      <c r="BG4675" s="152"/>
      <c r="BH4675" s="152"/>
      <c r="BI4675" s="153"/>
      <c r="BJ4675" s="153"/>
      <c r="BK4675" s="153"/>
      <c r="BL4675" s="153"/>
      <c r="BM4675" s="153"/>
      <c r="BN4675" s="153"/>
      <c r="BO4675" s="153"/>
      <c r="BP4675" s="153"/>
      <c r="BQ4675" s="153"/>
      <c r="BR4675" s="153"/>
      <c r="BS4675" s="153"/>
      <c r="BT4675" s="153"/>
      <c r="BU4675" s="153"/>
      <c r="BV4675" s="153"/>
      <c r="BW4675" s="153"/>
      <c r="BX4675" s="153"/>
      <c r="BY4675" s="153"/>
      <c r="BZ4675" s="153"/>
      <c r="CA4675" s="152"/>
      <c r="CB4675" s="152"/>
    </row>
    <row r="4676" spans="1:80" s="87" customFormat="1" x14ac:dyDescent="0.2">
      <c r="A4676" s="152"/>
      <c r="B4676" s="683"/>
      <c r="C4676" s="683"/>
      <c r="D4676" s="698"/>
      <c r="E4676" s="215"/>
      <c r="F4676" s="215"/>
      <c r="G4676" s="153"/>
      <c r="H4676" s="153"/>
      <c r="I4676" s="163">
        <v>25</v>
      </c>
      <c r="J4676" s="163">
        <v>60</v>
      </c>
      <c r="K4676" s="150">
        <v>1</v>
      </c>
      <c r="L4676" s="656">
        <v>25</v>
      </c>
      <c r="M4676" s="663">
        <v>34830</v>
      </c>
      <c r="N4676" s="600">
        <v>12.7407</v>
      </c>
      <c r="O4676" s="604">
        <v>1.8158000000000001E-2</v>
      </c>
      <c r="P4676" s="250"/>
      <c r="Q4676" s="250"/>
      <c r="R4676" s="250"/>
      <c r="S4676" s="250">
        <v>3.5000000000000003E-2</v>
      </c>
      <c r="T4676" s="250">
        <v>0.14800000000000002</v>
      </c>
      <c r="U4676" s="250">
        <v>0.22699999999999998</v>
      </c>
      <c r="V4676" s="250">
        <v>0.23699999999999999</v>
      </c>
      <c r="W4676" s="250">
        <v>0.18899999999999997</v>
      </c>
      <c r="X4676" s="250">
        <v>0.14899999999999999</v>
      </c>
      <c r="Y4676" s="250">
        <v>1.4999999999999999E-2</v>
      </c>
      <c r="Z4676" s="150">
        <v>8.5</v>
      </c>
      <c r="AA4676" s="150">
        <v>1.54</v>
      </c>
      <c r="AB4676" s="152"/>
      <c r="AC4676" s="152"/>
      <c r="AD4676" s="223"/>
      <c r="AE4676" s="223"/>
      <c r="AF4676" s="223"/>
      <c r="AG4676" s="223"/>
      <c r="AH4676" s="341"/>
      <c r="AI4676" s="218"/>
      <c r="AJ4676" s="218"/>
      <c r="AK4676" s="153"/>
      <c r="AL4676" s="152"/>
      <c r="AM4676" s="152"/>
      <c r="AN4676" s="152"/>
      <c r="AO4676" s="152"/>
      <c r="AP4676" s="152"/>
      <c r="AQ4676" s="152"/>
      <c r="AR4676" s="152"/>
      <c r="AS4676" s="152"/>
      <c r="AT4676" s="152"/>
      <c r="AU4676" s="153"/>
      <c r="AV4676" s="479"/>
      <c r="AW4676" s="479"/>
      <c r="AX4676" s="442"/>
      <c r="AY4676" s="153"/>
      <c r="AZ4676" s="152"/>
      <c r="BA4676" s="152"/>
      <c r="BB4676" s="152"/>
      <c r="BC4676" s="152"/>
      <c r="BD4676" s="152"/>
      <c r="BE4676" s="152"/>
      <c r="BF4676" s="152"/>
      <c r="BG4676" s="152"/>
      <c r="BH4676" s="152"/>
      <c r="BI4676" s="153"/>
      <c r="BJ4676" s="153"/>
      <c r="BK4676" s="153"/>
      <c r="BL4676" s="153"/>
      <c r="BM4676" s="153"/>
      <c r="BN4676" s="153"/>
      <c r="BO4676" s="153"/>
      <c r="BP4676" s="153"/>
      <c r="BQ4676" s="153"/>
      <c r="BR4676" s="153"/>
      <c r="BS4676" s="153"/>
      <c r="BT4676" s="153"/>
      <c r="BU4676" s="153"/>
      <c r="BV4676" s="153"/>
      <c r="BW4676" s="153"/>
      <c r="BX4676" s="153"/>
      <c r="BY4676" s="153"/>
      <c r="BZ4676" s="153"/>
      <c r="CA4676" s="152"/>
      <c r="CB4676" s="152"/>
    </row>
    <row r="4677" spans="1:80" s="87" customFormat="1" x14ac:dyDescent="0.2">
      <c r="A4677" s="152"/>
      <c r="B4677" s="683"/>
      <c r="C4677" s="683"/>
      <c r="D4677" s="698"/>
      <c r="E4677" s="215"/>
      <c r="F4677" s="215"/>
      <c r="G4677" s="153"/>
      <c r="H4677" s="153"/>
      <c r="I4677" s="163">
        <v>25</v>
      </c>
      <c r="J4677" s="163">
        <v>60</v>
      </c>
      <c r="K4677" s="150">
        <v>1</v>
      </c>
      <c r="L4677" s="656">
        <v>25</v>
      </c>
      <c r="M4677" s="663">
        <v>34830</v>
      </c>
      <c r="N4677" s="600">
        <v>12.7407</v>
      </c>
      <c r="O4677" s="604">
        <v>3.7784999999999999E-2</v>
      </c>
      <c r="P4677" s="250"/>
      <c r="Q4677" s="250"/>
      <c r="R4677" s="250">
        <v>3.6000000000000004E-2</v>
      </c>
      <c r="S4677" s="250">
        <v>4.2000000000000003E-2</v>
      </c>
      <c r="T4677" s="250">
        <v>0.152</v>
      </c>
      <c r="U4677" s="250">
        <v>0.25700000000000001</v>
      </c>
      <c r="V4677" s="250">
        <v>0.25</v>
      </c>
      <c r="W4677" s="250">
        <v>0.155</v>
      </c>
      <c r="X4677" s="250">
        <v>0.1</v>
      </c>
      <c r="Y4677" s="250">
        <v>8.0000000000000002E-3</v>
      </c>
      <c r="Z4677" s="150">
        <v>16</v>
      </c>
      <c r="AA4677" s="150">
        <v>1.93</v>
      </c>
      <c r="AB4677" s="152"/>
      <c r="AC4677" s="152"/>
      <c r="AD4677" s="223"/>
      <c r="AE4677" s="223"/>
      <c r="AF4677" s="223"/>
      <c r="AG4677" s="223"/>
      <c r="AH4677" s="341"/>
      <c r="AI4677" s="218"/>
      <c r="AJ4677" s="218"/>
      <c r="AK4677" s="153"/>
      <c r="AL4677" s="152"/>
      <c r="AM4677" s="152"/>
      <c r="AN4677" s="152"/>
      <c r="AO4677" s="152"/>
      <c r="AP4677" s="152"/>
      <c r="AQ4677" s="152"/>
      <c r="AR4677" s="152"/>
      <c r="AS4677" s="152"/>
      <c r="AT4677" s="152"/>
      <c r="AU4677" s="153"/>
      <c r="AV4677" s="479"/>
      <c r="AW4677" s="479"/>
      <c r="AX4677" s="442"/>
      <c r="AY4677" s="153"/>
      <c r="AZ4677" s="152"/>
      <c r="BA4677" s="152"/>
      <c r="BB4677" s="152"/>
      <c r="BC4677" s="152"/>
      <c r="BD4677" s="152"/>
      <c r="BE4677" s="152"/>
      <c r="BF4677" s="152"/>
      <c r="BG4677" s="152"/>
      <c r="BH4677" s="152"/>
      <c r="BI4677" s="153"/>
      <c r="BJ4677" s="153"/>
      <c r="BK4677" s="153"/>
      <c r="BL4677" s="153"/>
      <c r="BM4677" s="153"/>
      <c r="BN4677" s="153"/>
      <c r="BO4677" s="153"/>
      <c r="BP4677" s="153"/>
      <c r="BQ4677" s="153"/>
      <c r="BR4677" s="153"/>
      <c r="BS4677" s="153"/>
      <c r="BT4677" s="153"/>
      <c r="BU4677" s="153"/>
      <c r="BV4677" s="153"/>
      <c r="BW4677" s="153"/>
      <c r="BX4677" s="153"/>
      <c r="BY4677" s="153"/>
      <c r="BZ4677" s="153"/>
      <c r="CA4677" s="152"/>
      <c r="CB4677" s="152"/>
    </row>
    <row r="4678" spans="1:80" s="87" customFormat="1" x14ac:dyDescent="0.2">
      <c r="A4678" s="152"/>
      <c r="B4678" s="683"/>
      <c r="C4678" s="683"/>
      <c r="D4678" s="698"/>
      <c r="E4678" s="215"/>
      <c r="F4678" s="215"/>
      <c r="G4678" s="153"/>
      <c r="H4678" s="153"/>
      <c r="I4678" s="163">
        <v>21</v>
      </c>
      <c r="J4678" s="163">
        <v>60</v>
      </c>
      <c r="K4678" s="150">
        <v>1</v>
      </c>
      <c r="L4678" s="656">
        <v>21</v>
      </c>
      <c r="M4678" s="663">
        <v>34831</v>
      </c>
      <c r="N4678" s="600">
        <v>12.514200000000001</v>
      </c>
      <c r="O4678" s="604">
        <v>7.2106000000000003E-2</v>
      </c>
      <c r="P4678" s="250"/>
      <c r="Q4678" s="250"/>
      <c r="R4678" s="250"/>
      <c r="S4678" s="250">
        <v>3.0000000000000001E-3</v>
      </c>
      <c r="T4678" s="250">
        <v>6.5000000000000002E-2</v>
      </c>
      <c r="U4678" s="250">
        <v>0.20899999999999999</v>
      </c>
      <c r="V4678" s="250">
        <v>0.4</v>
      </c>
      <c r="W4678" s="250">
        <v>0.23100000000000001</v>
      </c>
      <c r="X4678" s="250">
        <v>8.8000000000000009E-2</v>
      </c>
      <c r="Y4678" s="250">
        <v>4.0000000000000001E-3</v>
      </c>
      <c r="Z4678" s="150">
        <v>8</v>
      </c>
      <c r="AA4678" s="150">
        <v>1.36</v>
      </c>
      <c r="AB4678" s="152"/>
      <c r="AC4678" s="152"/>
      <c r="AD4678" s="223"/>
      <c r="AE4678" s="223"/>
      <c r="AF4678" s="223"/>
      <c r="AG4678" s="223"/>
      <c r="AH4678" s="341"/>
      <c r="AI4678" s="218"/>
      <c r="AJ4678" s="218"/>
      <c r="AK4678" s="153"/>
      <c r="AL4678" s="152"/>
      <c r="AM4678" s="152"/>
      <c r="AN4678" s="152"/>
      <c r="AO4678" s="152"/>
      <c r="AP4678" s="152"/>
      <c r="AQ4678" s="152"/>
      <c r="AR4678" s="152"/>
      <c r="AS4678" s="152"/>
      <c r="AT4678" s="152"/>
      <c r="AU4678" s="153"/>
      <c r="AV4678" s="479"/>
      <c r="AW4678" s="479"/>
      <c r="AX4678" s="442"/>
      <c r="AY4678" s="153"/>
      <c r="AZ4678" s="152"/>
      <c r="BA4678" s="152"/>
      <c r="BB4678" s="152"/>
      <c r="BC4678" s="152"/>
      <c r="BD4678" s="152"/>
      <c r="BE4678" s="152"/>
      <c r="BF4678" s="152"/>
      <c r="BG4678" s="152"/>
      <c r="BH4678" s="152"/>
      <c r="BI4678" s="153"/>
      <c r="BJ4678" s="153"/>
      <c r="BK4678" s="153"/>
      <c r="BL4678" s="153"/>
      <c r="BM4678" s="153"/>
      <c r="BN4678" s="153"/>
      <c r="BO4678" s="153"/>
      <c r="BP4678" s="153"/>
      <c r="BQ4678" s="153"/>
      <c r="BR4678" s="153"/>
      <c r="BS4678" s="153"/>
      <c r="BT4678" s="153"/>
      <c r="BU4678" s="153"/>
      <c r="BV4678" s="153"/>
      <c r="BW4678" s="153"/>
      <c r="BX4678" s="153"/>
      <c r="BY4678" s="153"/>
      <c r="BZ4678" s="153"/>
      <c r="CA4678" s="152"/>
      <c r="CB4678" s="152"/>
    </row>
    <row r="4679" spans="1:80" s="87" customFormat="1" x14ac:dyDescent="0.2">
      <c r="A4679" s="152"/>
      <c r="B4679" s="683"/>
      <c r="C4679" s="683"/>
      <c r="D4679" s="698"/>
      <c r="E4679" s="215"/>
      <c r="F4679" s="215"/>
      <c r="G4679" s="153"/>
      <c r="H4679" s="153"/>
      <c r="I4679" s="163">
        <v>21</v>
      </c>
      <c r="J4679" s="163">
        <v>60</v>
      </c>
      <c r="K4679" s="150">
        <v>1</v>
      </c>
      <c r="L4679" s="656">
        <v>21</v>
      </c>
      <c r="M4679" s="663">
        <v>34831</v>
      </c>
      <c r="N4679" s="600">
        <v>12.514200000000001</v>
      </c>
      <c r="O4679" s="604">
        <v>0.11965099999999999</v>
      </c>
      <c r="P4679" s="250"/>
      <c r="Q4679" s="250"/>
      <c r="R4679" s="250"/>
      <c r="S4679" s="250">
        <v>2.1000000000000001E-2</v>
      </c>
      <c r="T4679" s="250">
        <v>9.4E-2</v>
      </c>
      <c r="U4679" s="250">
        <v>0.161</v>
      </c>
      <c r="V4679" s="250">
        <v>0.30199999999999999</v>
      </c>
      <c r="W4679" s="250">
        <v>0.28199999999999997</v>
      </c>
      <c r="X4679" s="250">
        <v>0.13500000000000001</v>
      </c>
      <c r="Y4679" s="250">
        <v>4.0000000000000001E-3</v>
      </c>
      <c r="Z4679" s="150">
        <v>10</v>
      </c>
      <c r="AA4679" s="150">
        <v>1.2</v>
      </c>
      <c r="AB4679" s="152"/>
      <c r="AC4679" s="152"/>
      <c r="AD4679" s="223"/>
      <c r="AE4679" s="223"/>
      <c r="AF4679" s="223"/>
      <c r="AG4679" s="223"/>
      <c r="AH4679" s="341"/>
      <c r="AI4679" s="218"/>
      <c r="AJ4679" s="218"/>
      <c r="AK4679" s="153"/>
      <c r="AL4679" s="152"/>
      <c r="AM4679" s="152"/>
      <c r="AN4679" s="152"/>
      <c r="AO4679" s="152"/>
      <c r="AP4679" s="152"/>
      <c r="AQ4679" s="152"/>
      <c r="AR4679" s="152"/>
      <c r="AS4679" s="152"/>
      <c r="AT4679" s="152"/>
      <c r="AU4679" s="153"/>
      <c r="AV4679" s="479"/>
      <c r="AW4679" s="479"/>
      <c r="AX4679" s="442"/>
      <c r="AY4679" s="153"/>
      <c r="AZ4679" s="152"/>
      <c r="BA4679" s="152"/>
      <c r="BB4679" s="152"/>
      <c r="BC4679" s="152"/>
      <c r="BD4679" s="152"/>
      <c r="BE4679" s="152"/>
      <c r="BF4679" s="152"/>
      <c r="BG4679" s="152"/>
      <c r="BH4679" s="152"/>
      <c r="BI4679" s="153"/>
      <c r="BJ4679" s="153"/>
      <c r="BK4679" s="153"/>
      <c r="BL4679" s="153"/>
      <c r="BM4679" s="153"/>
      <c r="BN4679" s="153"/>
      <c r="BO4679" s="153"/>
      <c r="BP4679" s="153"/>
      <c r="BQ4679" s="153"/>
      <c r="BR4679" s="153"/>
      <c r="BS4679" s="153"/>
      <c r="BT4679" s="153"/>
      <c r="BU4679" s="153"/>
      <c r="BV4679" s="153"/>
      <c r="BW4679" s="153"/>
      <c r="BX4679" s="153"/>
      <c r="BY4679" s="153"/>
      <c r="BZ4679" s="153"/>
      <c r="CA4679" s="152"/>
      <c r="CB4679" s="152"/>
    </row>
    <row r="4680" spans="1:80" s="87" customFormat="1" x14ac:dyDescent="0.2">
      <c r="A4680" s="152"/>
      <c r="B4680" s="683"/>
      <c r="C4680" s="683"/>
      <c r="D4680" s="698"/>
      <c r="E4680" s="215"/>
      <c r="F4680" s="215"/>
      <c r="G4680" s="153"/>
      <c r="H4680" s="153"/>
      <c r="I4680" s="163">
        <v>23</v>
      </c>
      <c r="J4680" s="163">
        <v>60</v>
      </c>
      <c r="K4680" s="150">
        <v>1</v>
      </c>
      <c r="L4680" s="656">
        <v>23</v>
      </c>
      <c r="M4680" s="663">
        <v>34834</v>
      </c>
      <c r="N4680" s="600">
        <v>10.985300000000001</v>
      </c>
      <c r="O4680" s="604">
        <v>8.0712000000000006E-2</v>
      </c>
      <c r="P4680" s="250"/>
      <c r="Q4680" s="250"/>
      <c r="R4680" s="250"/>
      <c r="S4680" s="250">
        <v>1.8000000000000002E-2</v>
      </c>
      <c r="T4680" s="250">
        <v>6.4000000000000001E-2</v>
      </c>
      <c r="U4680" s="250">
        <v>0.191</v>
      </c>
      <c r="V4680" s="250">
        <v>0.46500000000000002</v>
      </c>
      <c r="W4680" s="250">
        <v>0.20899999999999999</v>
      </c>
      <c r="X4680" s="250">
        <v>4.7E-2</v>
      </c>
      <c r="Y4680" s="250">
        <v>4.0000000000000001E-3</v>
      </c>
      <c r="Z4680" s="150">
        <v>12</v>
      </c>
      <c r="AA4680" s="150">
        <v>1.43</v>
      </c>
      <c r="AB4680" s="152"/>
      <c r="AC4680" s="152"/>
      <c r="AD4680" s="223"/>
      <c r="AE4680" s="223"/>
      <c r="AF4680" s="223"/>
      <c r="AG4680" s="223"/>
      <c r="AH4680" s="341"/>
      <c r="AI4680" s="218"/>
      <c r="AJ4680" s="218"/>
      <c r="AK4680" s="153"/>
      <c r="AL4680" s="152"/>
      <c r="AM4680" s="152"/>
      <c r="AN4680" s="152"/>
      <c r="AO4680" s="152"/>
      <c r="AP4680" s="152"/>
      <c r="AQ4680" s="152"/>
      <c r="AR4680" s="152"/>
      <c r="AS4680" s="152"/>
      <c r="AT4680" s="152"/>
      <c r="AU4680" s="153"/>
      <c r="AV4680" s="479"/>
      <c r="AW4680" s="479"/>
      <c r="AX4680" s="442"/>
      <c r="AY4680" s="153"/>
      <c r="AZ4680" s="152"/>
      <c r="BA4680" s="152"/>
      <c r="BB4680" s="152"/>
      <c r="BC4680" s="152"/>
      <c r="BD4680" s="152"/>
      <c r="BE4680" s="152"/>
      <c r="BF4680" s="152"/>
      <c r="BG4680" s="152"/>
      <c r="BH4680" s="152"/>
      <c r="BI4680" s="153"/>
      <c r="BJ4680" s="153"/>
      <c r="BK4680" s="153"/>
      <c r="BL4680" s="153"/>
      <c r="BM4680" s="153"/>
      <c r="BN4680" s="153"/>
      <c r="BO4680" s="153"/>
      <c r="BP4680" s="153"/>
      <c r="BQ4680" s="153"/>
      <c r="BR4680" s="153"/>
      <c r="BS4680" s="153"/>
      <c r="BT4680" s="153"/>
      <c r="BU4680" s="153"/>
      <c r="BV4680" s="153"/>
      <c r="BW4680" s="153"/>
      <c r="BX4680" s="153"/>
      <c r="BY4680" s="153"/>
      <c r="BZ4680" s="153"/>
      <c r="CA4680" s="152"/>
      <c r="CB4680" s="152"/>
    </row>
    <row r="4681" spans="1:80" s="87" customFormat="1" x14ac:dyDescent="0.2">
      <c r="A4681" s="152"/>
      <c r="B4681" s="683"/>
      <c r="C4681" s="683"/>
      <c r="D4681" s="698"/>
      <c r="E4681" s="215"/>
      <c r="F4681" s="215"/>
      <c r="G4681" s="153"/>
      <c r="H4681" s="153"/>
      <c r="I4681" s="163">
        <v>23</v>
      </c>
      <c r="J4681" s="163">
        <v>60</v>
      </c>
      <c r="K4681" s="150">
        <v>1</v>
      </c>
      <c r="L4681" s="656">
        <v>23</v>
      </c>
      <c r="M4681" s="663">
        <v>34834</v>
      </c>
      <c r="N4681" s="600">
        <v>10.985300000000001</v>
      </c>
      <c r="O4681" s="604">
        <v>2.7078999999999999E-2</v>
      </c>
      <c r="P4681" s="250"/>
      <c r="Q4681" s="250"/>
      <c r="R4681" s="250"/>
      <c r="S4681" s="250">
        <v>3.5000000000000003E-2</v>
      </c>
      <c r="T4681" s="250">
        <v>0.18</v>
      </c>
      <c r="U4681" s="250">
        <v>0.25600000000000001</v>
      </c>
      <c r="V4681" s="250">
        <v>0.308</v>
      </c>
      <c r="W4681" s="250">
        <v>0.155</v>
      </c>
      <c r="X4681" s="250">
        <v>6.3E-2</v>
      </c>
      <c r="Y4681" s="250">
        <v>3.0000000000000001E-3</v>
      </c>
      <c r="Z4681" s="150">
        <v>11</v>
      </c>
      <c r="AA4681" s="150">
        <v>1.87</v>
      </c>
      <c r="AB4681" s="152"/>
      <c r="AC4681" s="152"/>
      <c r="AD4681" s="223"/>
      <c r="AE4681" s="223"/>
      <c r="AF4681" s="223"/>
      <c r="AG4681" s="223"/>
      <c r="AH4681" s="341"/>
      <c r="AI4681" s="218"/>
      <c r="AJ4681" s="218"/>
      <c r="AK4681" s="153"/>
      <c r="AL4681" s="152"/>
      <c r="AM4681" s="152"/>
      <c r="AN4681" s="152"/>
      <c r="AO4681" s="152"/>
      <c r="AP4681" s="152"/>
      <c r="AQ4681" s="152"/>
      <c r="AR4681" s="152"/>
      <c r="AS4681" s="152"/>
      <c r="AT4681" s="152"/>
      <c r="AU4681" s="153"/>
      <c r="AV4681" s="479"/>
      <c r="AW4681" s="479"/>
      <c r="AX4681" s="442"/>
      <c r="AY4681" s="153"/>
      <c r="AZ4681" s="152"/>
      <c r="BA4681" s="152"/>
      <c r="BB4681" s="152"/>
      <c r="BC4681" s="152"/>
      <c r="BD4681" s="152"/>
      <c r="BE4681" s="152"/>
      <c r="BF4681" s="152"/>
      <c r="BG4681" s="152"/>
      <c r="BH4681" s="152"/>
      <c r="BI4681" s="153"/>
      <c r="BJ4681" s="153"/>
      <c r="BK4681" s="153"/>
      <c r="BL4681" s="153"/>
      <c r="BM4681" s="153"/>
      <c r="BN4681" s="153"/>
      <c r="BO4681" s="153"/>
      <c r="BP4681" s="153"/>
      <c r="BQ4681" s="153"/>
      <c r="BR4681" s="153"/>
      <c r="BS4681" s="153"/>
      <c r="BT4681" s="153"/>
      <c r="BU4681" s="153"/>
      <c r="BV4681" s="153"/>
      <c r="BW4681" s="153"/>
      <c r="BX4681" s="153"/>
      <c r="BY4681" s="153"/>
      <c r="BZ4681" s="153"/>
      <c r="CA4681" s="152"/>
      <c r="CB4681" s="152"/>
    </row>
    <row r="4682" spans="1:80" s="87" customFormat="1" x14ac:dyDescent="0.2">
      <c r="A4682" s="152"/>
      <c r="B4682" s="683"/>
      <c r="C4682" s="683"/>
      <c r="D4682" s="698"/>
      <c r="E4682" s="215"/>
      <c r="F4682" s="215"/>
      <c r="G4682" s="153"/>
      <c r="H4682" s="153"/>
      <c r="I4682" s="163">
        <v>23</v>
      </c>
      <c r="J4682" s="163">
        <v>60</v>
      </c>
      <c r="K4682" s="150">
        <v>1</v>
      </c>
      <c r="L4682" s="656">
        <v>23</v>
      </c>
      <c r="M4682" s="663">
        <v>34834</v>
      </c>
      <c r="N4682" s="600">
        <v>10.985300000000001</v>
      </c>
      <c r="O4682" s="604">
        <v>2.1305999999999999E-2</v>
      </c>
      <c r="P4682" s="250"/>
      <c r="Q4682" s="250"/>
      <c r="R4682" s="250"/>
      <c r="S4682" s="250">
        <v>1.1000000000000001E-2</v>
      </c>
      <c r="T4682" s="250">
        <v>0.33299999999999996</v>
      </c>
      <c r="U4682" s="250">
        <v>0.308</v>
      </c>
      <c r="V4682" s="250">
        <v>0.19</v>
      </c>
      <c r="W4682" s="250">
        <v>0.10300000000000001</v>
      </c>
      <c r="X4682" s="250">
        <v>5.0999999999999997E-2</v>
      </c>
      <c r="Y4682" s="250">
        <v>4.0000000000000001E-3</v>
      </c>
      <c r="Z4682" s="150">
        <v>8.5</v>
      </c>
      <c r="AA4682" s="150">
        <v>2.82</v>
      </c>
      <c r="AB4682" s="152"/>
      <c r="AC4682" s="152"/>
      <c r="AD4682" s="223"/>
      <c r="AE4682" s="223"/>
      <c r="AF4682" s="223"/>
      <c r="AG4682" s="223"/>
      <c r="AH4682" s="341"/>
      <c r="AI4682" s="218"/>
      <c r="AJ4682" s="218"/>
      <c r="AK4682" s="153"/>
      <c r="AL4682" s="152"/>
      <c r="AM4682" s="152"/>
      <c r="AN4682" s="152"/>
      <c r="AO4682" s="152"/>
      <c r="AP4682" s="152"/>
      <c r="AQ4682" s="152"/>
      <c r="AR4682" s="152"/>
      <c r="AS4682" s="152"/>
      <c r="AT4682" s="152"/>
      <c r="AU4682" s="153"/>
      <c r="AV4682" s="479"/>
      <c r="AW4682" s="479"/>
      <c r="AX4682" s="442"/>
      <c r="AY4682" s="153"/>
      <c r="AZ4682" s="152"/>
      <c r="BA4682" s="152"/>
      <c r="BB4682" s="152"/>
      <c r="BC4682" s="152"/>
      <c r="BD4682" s="152"/>
      <c r="BE4682" s="152"/>
      <c r="BF4682" s="152"/>
      <c r="BG4682" s="152"/>
      <c r="BH4682" s="152"/>
      <c r="BI4682" s="153"/>
      <c r="BJ4682" s="153"/>
      <c r="BK4682" s="153"/>
      <c r="BL4682" s="153"/>
      <c r="BM4682" s="153"/>
      <c r="BN4682" s="153"/>
      <c r="BO4682" s="153"/>
      <c r="BP4682" s="153"/>
      <c r="BQ4682" s="153"/>
      <c r="BR4682" s="153"/>
      <c r="BS4682" s="153"/>
      <c r="BT4682" s="153"/>
      <c r="BU4682" s="153"/>
      <c r="BV4682" s="153"/>
      <c r="BW4682" s="153"/>
      <c r="BX4682" s="153"/>
      <c r="BY4682" s="153"/>
      <c r="BZ4682" s="153"/>
      <c r="CA4682" s="152"/>
      <c r="CB4682" s="152"/>
    </row>
    <row r="4683" spans="1:80" s="87" customFormat="1" x14ac:dyDescent="0.2">
      <c r="A4683" s="152"/>
      <c r="B4683" s="683"/>
      <c r="C4683" s="683"/>
      <c r="D4683" s="698"/>
      <c r="E4683" s="215"/>
      <c r="F4683" s="215"/>
      <c r="G4683" s="153"/>
      <c r="H4683" s="153"/>
      <c r="I4683" s="163">
        <v>22</v>
      </c>
      <c r="J4683" s="163">
        <v>60</v>
      </c>
      <c r="K4683" s="150">
        <v>1</v>
      </c>
      <c r="L4683" s="656">
        <v>22</v>
      </c>
      <c r="M4683" s="663">
        <v>34836</v>
      </c>
      <c r="N4683" s="600">
        <v>14.637700000000001</v>
      </c>
      <c r="O4683" s="604">
        <v>0.34740799999999999</v>
      </c>
      <c r="P4683" s="250"/>
      <c r="Q4683" s="250"/>
      <c r="R4683" s="250">
        <v>1.6E-2</v>
      </c>
      <c r="S4683" s="250">
        <v>4.2999999999999997E-2</v>
      </c>
      <c r="T4683" s="250">
        <v>0.14899999999999999</v>
      </c>
      <c r="U4683" s="250">
        <v>0.252</v>
      </c>
      <c r="V4683" s="250">
        <v>0.28399999999999997</v>
      </c>
      <c r="W4683" s="250">
        <v>0.19</v>
      </c>
      <c r="X4683" s="250">
        <v>6.3E-2</v>
      </c>
      <c r="Y4683" s="250">
        <v>3.0000000000000001E-3</v>
      </c>
      <c r="Z4683" s="150">
        <v>20</v>
      </c>
      <c r="AA4683" s="150">
        <v>1.81</v>
      </c>
      <c r="AB4683" s="152"/>
      <c r="AC4683" s="152"/>
      <c r="AD4683" s="223"/>
      <c r="AE4683" s="223"/>
      <c r="AF4683" s="223"/>
      <c r="AG4683" s="223"/>
      <c r="AH4683" s="341"/>
      <c r="AI4683" s="218"/>
      <c r="AJ4683" s="218"/>
      <c r="AK4683" s="153"/>
      <c r="AL4683" s="152"/>
      <c r="AM4683" s="152"/>
      <c r="AN4683" s="152"/>
      <c r="AO4683" s="152"/>
      <c r="AP4683" s="152"/>
      <c r="AQ4683" s="152"/>
      <c r="AR4683" s="152"/>
      <c r="AS4683" s="152"/>
      <c r="AT4683" s="152"/>
      <c r="AU4683" s="153"/>
      <c r="AV4683" s="479"/>
      <c r="AW4683" s="479"/>
      <c r="AX4683" s="442"/>
      <c r="AY4683" s="153"/>
      <c r="AZ4683" s="152"/>
      <c r="BA4683" s="152"/>
      <c r="BB4683" s="152"/>
      <c r="BC4683" s="152"/>
      <c r="BD4683" s="152"/>
      <c r="BE4683" s="152"/>
      <c r="BF4683" s="152"/>
      <c r="BG4683" s="152"/>
      <c r="BH4683" s="152"/>
      <c r="BI4683" s="153"/>
      <c r="BJ4683" s="153"/>
      <c r="BK4683" s="153"/>
      <c r="BL4683" s="153"/>
      <c r="BM4683" s="153"/>
      <c r="BN4683" s="153"/>
      <c r="BO4683" s="153"/>
      <c r="BP4683" s="153"/>
      <c r="BQ4683" s="153"/>
      <c r="BR4683" s="153"/>
      <c r="BS4683" s="153"/>
      <c r="BT4683" s="153"/>
      <c r="BU4683" s="153"/>
      <c r="BV4683" s="153"/>
      <c r="BW4683" s="153"/>
      <c r="BX4683" s="153"/>
      <c r="BY4683" s="153"/>
      <c r="BZ4683" s="153"/>
      <c r="CA4683" s="152"/>
      <c r="CB4683" s="152"/>
    </row>
    <row r="4684" spans="1:80" s="87" customFormat="1" x14ac:dyDescent="0.2">
      <c r="A4684" s="152"/>
      <c r="B4684" s="683"/>
      <c r="C4684" s="683"/>
      <c r="D4684" s="698"/>
      <c r="E4684" s="215"/>
      <c r="F4684" s="215"/>
      <c r="G4684" s="153"/>
      <c r="H4684" s="153"/>
      <c r="I4684" s="163">
        <v>22</v>
      </c>
      <c r="J4684" s="163">
        <v>60</v>
      </c>
      <c r="K4684" s="150">
        <v>1</v>
      </c>
      <c r="L4684" s="656">
        <v>22</v>
      </c>
      <c r="M4684" s="663">
        <v>34836</v>
      </c>
      <c r="N4684" s="600">
        <v>14.637700000000001</v>
      </c>
      <c r="O4684" s="604">
        <v>0.225658</v>
      </c>
      <c r="P4684" s="250"/>
      <c r="Q4684" s="250"/>
      <c r="R4684" s="250"/>
      <c r="S4684" s="250">
        <v>5.0999999999999997E-2</v>
      </c>
      <c r="T4684" s="250">
        <v>0.253</v>
      </c>
      <c r="U4684" s="250">
        <v>0.26300000000000001</v>
      </c>
      <c r="V4684" s="250">
        <v>0.22899999999999998</v>
      </c>
      <c r="W4684" s="250">
        <v>0.154</v>
      </c>
      <c r="X4684" s="250">
        <v>4.8000000000000001E-2</v>
      </c>
      <c r="Y4684" s="250">
        <v>3.0000000000000001E-3</v>
      </c>
      <c r="Z4684" s="150">
        <v>12</v>
      </c>
      <c r="AA4684" s="150">
        <v>2.38</v>
      </c>
      <c r="AB4684" s="152"/>
      <c r="AC4684" s="152"/>
      <c r="AD4684" s="223"/>
      <c r="AE4684" s="223"/>
      <c r="AF4684" s="223"/>
      <c r="AG4684" s="223"/>
      <c r="AH4684" s="341"/>
      <c r="AI4684" s="218"/>
      <c r="AJ4684" s="218"/>
      <c r="AK4684" s="153"/>
      <c r="AL4684" s="152"/>
      <c r="AM4684" s="152"/>
      <c r="AN4684" s="152"/>
      <c r="AO4684" s="152"/>
      <c r="AP4684" s="152"/>
      <c r="AQ4684" s="152"/>
      <c r="AR4684" s="152"/>
      <c r="AS4684" s="152"/>
      <c r="AT4684" s="152"/>
      <c r="AU4684" s="153"/>
      <c r="AV4684" s="479"/>
      <c r="AW4684" s="479"/>
      <c r="AX4684" s="442"/>
      <c r="AY4684" s="153"/>
      <c r="AZ4684" s="152"/>
      <c r="BA4684" s="152"/>
      <c r="BB4684" s="152"/>
      <c r="BC4684" s="152"/>
      <c r="BD4684" s="152"/>
      <c r="BE4684" s="152"/>
      <c r="BF4684" s="152"/>
      <c r="BG4684" s="152"/>
      <c r="BH4684" s="152"/>
      <c r="BI4684" s="153"/>
      <c r="BJ4684" s="153"/>
      <c r="BK4684" s="153"/>
      <c r="BL4684" s="153"/>
      <c r="BM4684" s="153"/>
      <c r="BN4684" s="153"/>
      <c r="BO4684" s="153"/>
      <c r="BP4684" s="153"/>
      <c r="BQ4684" s="153"/>
      <c r="BR4684" s="153"/>
      <c r="BS4684" s="153"/>
      <c r="BT4684" s="153"/>
      <c r="BU4684" s="153"/>
      <c r="BV4684" s="153"/>
      <c r="BW4684" s="153"/>
      <c r="BX4684" s="153"/>
      <c r="BY4684" s="153"/>
      <c r="BZ4684" s="153"/>
      <c r="CA4684" s="152"/>
      <c r="CB4684" s="152"/>
    </row>
    <row r="4685" spans="1:80" s="87" customFormat="1" x14ac:dyDescent="0.2">
      <c r="A4685" s="152"/>
      <c r="B4685" s="683"/>
      <c r="C4685" s="683"/>
      <c r="D4685" s="698"/>
      <c r="E4685" s="215"/>
      <c r="F4685" s="215"/>
      <c r="G4685" s="153"/>
      <c r="H4685" s="153"/>
      <c r="I4685" s="163">
        <v>23</v>
      </c>
      <c r="J4685" s="163">
        <v>60</v>
      </c>
      <c r="K4685" s="150">
        <v>1</v>
      </c>
      <c r="L4685" s="656">
        <v>23</v>
      </c>
      <c r="M4685" s="663">
        <v>34838</v>
      </c>
      <c r="N4685" s="600">
        <v>15.6286</v>
      </c>
      <c r="O4685" s="604">
        <v>0.484902</v>
      </c>
      <c r="P4685" s="250"/>
      <c r="Q4685" s="250"/>
      <c r="R4685" s="250">
        <v>1.1000000000000001E-2</v>
      </c>
      <c r="S4685" s="250">
        <v>2.4E-2</v>
      </c>
      <c r="T4685" s="250">
        <v>0.106</v>
      </c>
      <c r="U4685" s="250">
        <v>0.17699999999999999</v>
      </c>
      <c r="V4685" s="250">
        <v>0.35499999999999998</v>
      </c>
      <c r="W4685" s="250">
        <v>0.26500000000000001</v>
      </c>
      <c r="X4685" s="250">
        <v>0.06</v>
      </c>
      <c r="Y4685" s="250">
        <v>2E-3</v>
      </c>
      <c r="Z4685" s="150">
        <v>23</v>
      </c>
      <c r="AA4685" s="150">
        <v>1.4</v>
      </c>
      <c r="AB4685" s="152"/>
      <c r="AC4685" s="152"/>
      <c r="AD4685" s="223"/>
      <c r="AE4685" s="223"/>
      <c r="AF4685" s="223"/>
      <c r="AG4685" s="223"/>
      <c r="AH4685" s="341"/>
      <c r="AI4685" s="218"/>
      <c r="AJ4685" s="218"/>
      <c r="AK4685" s="153"/>
      <c r="AL4685" s="152"/>
      <c r="AM4685" s="152"/>
      <c r="AN4685" s="152"/>
      <c r="AO4685" s="152"/>
      <c r="AP4685" s="152"/>
      <c r="AQ4685" s="152"/>
      <c r="AR4685" s="152"/>
      <c r="AS4685" s="152"/>
      <c r="AT4685" s="152"/>
      <c r="AU4685" s="153"/>
      <c r="AV4685" s="479"/>
      <c r="AW4685" s="479"/>
      <c r="AX4685" s="442"/>
      <c r="AY4685" s="153"/>
      <c r="AZ4685" s="152"/>
      <c r="BA4685" s="152"/>
      <c r="BB4685" s="152"/>
      <c r="BC4685" s="152"/>
      <c r="BD4685" s="152"/>
      <c r="BE4685" s="152"/>
      <c r="BF4685" s="152"/>
      <c r="BG4685" s="152"/>
      <c r="BH4685" s="152"/>
      <c r="BI4685" s="153"/>
      <c r="BJ4685" s="153"/>
      <c r="BK4685" s="153"/>
      <c r="BL4685" s="153"/>
      <c r="BM4685" s="153"/>
      <c r="BN4685" s="153"/>
      <c r="BO4685" s="153"/>
      <c r="BP4685" s="153"/>
      <c r="BQ4685" s="153"/>
      <c r="BR4685" s="153"/>
      <c r="BS4685" s="153"/>
      <c r="BT4685" s="153"/>
      <c r="BU4685" s="153"/>
      <c r="BV4685" s="153"/>
      <c r="BW4685" s="153"/>
      <c r="BX4685" s="153"/>
      <c r="BY4685" s="153"/>
      <c r="BZ4685" s="153"/>
      <c r="CA4685" s="152"/>
      <c r="CB4685" s="152"/>
    </row>
    <row r="4686" spans="1:80" s="87" customFormat="1" x14ac:dyDescent="0.2">
      <c r="A4686" s="152"/>
      <c r="B4686" s="683"/>
      <c r="C4686" s="683"/>
      <c r="D4686" s="698"/>
      <c r="E4686" s="215"/>
      <c r="F4686" s="215"/>
      <c r="G4686" s="153"/>
      <c r="H4686" s="153"/>
      <c r="I4686" s="163">
        <v>23</v>
      </c>
      <c r="J4686" s="163">
        <v>60</v>
      </c>
      <c r="K4686" s="150">
        <v>1</v>
      </c>
      <c r="L4686" s="656">
        <v>23</v>
      </c>
      <c r="M4686" s="663">
        <v>34838</v>
      </c>
      <c r="N4686" s="600">
        <v>15.6286</v>
      </c>
      <c r="O4686" s="604">
        <v>0.54157900000000003</v>
      </c>
      <c r="P4686" s="250"/>
      <c r="Q4686" s="250"/>
      <c r="R4686" s="250">
        <v>1.1000000000000001E-2</v>
      </c>
      <c r="S4686" s="250">
        <v>8.900000000000001E-2</v>
      </c>
      <c r="T4686" s="250">
        <v>0.26500000000000001</v>
      </c>
      <c r="U4686" s="250">
        <v>0.26600000000000001</v>
      </c>
      <c r="V4686" s="250">
        <v>0.22800000000000001</v>
      </c>
      <c r="W4686" s="250">
        <v>0.111</v>
      </c>
      <c r="X4686" s="250">
        <v>2.8999999999999998E-2</v>
      </c>
      <c r="Y4686" s="250">
        <v>2E-3</v>
      </c>
      <c r="Z4686" s="150">
        <v>19</v>
      </c>
      <c r="AA4686" s="150">
        <v>2.81</v>
      </c>
      <c r="AB4686" s="152"/>
      <c r="AC4686" s="152"/>
      <c r="AD4686" s="223"/>
      <c r="AE4686" s="223"/>
      <c r="AF4686" s="223"/>
      <c r="AG4686" s="223"/>
      <c r="AH4686" s="341"/>
      <c r="AI4686" s="218"/>
      <c r="AJ4686" s="218"/>
      <c r="AK4686" s="153"/>
      <c r="AL4686" s="152"/>
      <c r="AM4686" s="152"/>
      <c r="AN4686" s="152"/>
      <c r="AO4686" s="152"/>
      <c r="AP4686" s="152"/>
      <c r="AQ4686" s="152"/>
      <c r="AR4686" s="152"/>
      <c r="AS4686" s="152"/>
      <c r="AT4686" s="152"/>
      <c r="AU4686" s="153"/>
      <c r="AV4686" s="479"/>
      <c r="AW4686" s="479"/>
      <c r="AX4686" s="442"/>
      <c r="AY4686" s="153"/>
      <c r="AZ4686" s="152"/>
      <c r="BA4686" s="152"/>
      <c r="BB4686" s="152"/>
      <c r="BC4686" s="152"/>
      <c r="BD4686" s="152"/>
      <c r="BE4686" s="152"/>
      <c r="BF4686" s="152"/>
      <c r="BG4686" s="152"/>
      <c r="BH4686" s="152"/>
      <c r="BI4686" s="153"/>
      <c r="BJ4686" s="153"/>
      <c r="BK4686" s="153"/>
      <c r="BL4686" s="153"/>
      <c r="BM4686" s="153"/>
      <c r="BN4686" s="153"/>
      <c r="BO4686" s="153"/>
      <c r="BP4686" s="153"/>
      <c r="BQ4686" s="153"/>
      <c r="BR4686" s="153"/>
      <c r="BS4686" s="153"/>
      <c r="BT4686" s="153"/>
      <c r="BU4686" s="153"/>
      <c r="BV4686" s="153"/>
      <c r="BW4686" s="153"/>
      <c r="BX4686" s="153"/>
      <c r="BY4686" s="153"/>
      <c r="BZ4686" s="153"/>
      <c r="CA4686" s="152"/>
      <c r="CB4686" s="152"/>
    </row>
    <row r="4687" spans="1:80" s="87" customFormat="1" x14ac:dyDescent="0.2">
      <c r="A4687" s="152"/>
      <c r="B4687" s="683"/>
      <c r="C4687" s="683"/>
      <c r="D4687" s="698"/>
      <c r="E4687" s="215"/>
      <c r="F4687" s="215"/>
      <c r="G4687" s="153"/>
      <c r="H4687" s="153"/>
      <c r="I4687" s="163">
        <v>21</v>
      </c>
      <c r="J4687" s="163">
        <v>60</v>
      </c>
      <c r="K4687" s="150">
        <v>1</v>
      </c>
      <c r="L4687" s="656">
        <v>21</v>
      </c>
      <c r="M4687" s="663">
        <v>34840</v>
      </c>
      <c r="N4687" s="600">
        <v>17.100899999999999</v>
      </c>
      <c r="O4687" s="604">
        <v>0.74414599999999997</v>
      </c>
      <c r="P4687" s="250"/>
      <c r="Q4687" s="250"/>
      <c r="R4687" s="250"/>
      <c r="S4687" s="250">
        <v>5.9000000000000004E-2</v>
      </c>
      <c r="T4687" s="250">
        <v>0.157</v>
      </c>
      <c r="U4687" s="250">
        <v>0.26300000000000001</v>
      </c>
      <c r="V4687" s="250">
        <v>0.32400000000000001</v>
      </c>
      <c r="W4687" s="250">
        <v>0.16600000000000001</v>
      </c>
      <c r="X4687" s="250">
        <v>0.03</v>
      </c>
      <c r="Y4687" s="250">
        <v>1E-3</v>
      </c>
      <c r="Z4687" s="150">
        <v>14</v>
      </c>
      <c r="AA4687" s="150">
        <v>1.91</v>
      </c>
      <c r="AB4687" s="152"/>
      <c r="AC4687" s="152"/>
      <c r="AD4687" s="223"/>
      <c r="AE4687" s="223"/>
      <c r="AF4687" s="223"/>
      <c r="AG4687" s="223"/>
      <c r="AH4687" s="341"/>
      <c r="AI4687" s="218"/>
      <c r="AJ4687" s="218"/>
      <c r="AK4687" s="153"/>
      <c r="AL4687" s="152"/>
      <c r="AM4687" s="152"/>
      <c r="AN4687" s="152"/>
      <c r="AO4687" s="152"/>
      <c r="AP4687" s="152"/>
      <c r="AQ4687" s="152"/>
      <c r="AR4687" s="152"/>
      <c r="AS4687" s="152"/>
      <c r="AT4687" s="152"/>
      <c r="AU4687" s="153"/>
      <c r="AV4687" s="479"/>
      <c r="AW4687" s="479"/>
      <c r="AX4687" s="442"/>
      <c r="AY4687" s="153"/>
      <c r="AZ4687" s="152"/>
      <c r="BA4687" s="152"/>
      <c r="BB4687" s="152"/>
      <c r="BC4687" s="152"/>
      <c r="BD4687" s="152"/>
      <c r="BE4687" s="152"/>
      <c r="BF4687" s="152"/>
      <c r="BG4687" s="152"/>
      <c r="BH4687" s="152"/>
      <c r="BI4687" s="153"/>
      <c r="BJ4687" s="153"/>
      <c r="BK4687" s="153"/>
      <c r="BL4687" s="153"/>
      <c r="BM4687" s="153"/>
      <c r="BN4687" s="153"/>
      <c r="BO4687" s="153"/>
      <c r="BP4687" s="153"/>
      <c r="BQ4687" s="153"/>
      <c r="BR4687" s="153"/>
      <c r="BS4687" s="153"/>
      <c r="BT4687" s="153"/>
      <c r="BU4687" s="153"/>
      <c r="BV4687" s="153"/>
      <c r="BW4687" s="153"/>
      <c r="BX4687" s="153"/>
      <c r="BY4687" s="153"/>
      <c r="BZ4687" s="153"/>
      <c r="CA4687" s="152"/>
      <c r="CB4687" s="152"/>
    </row>
    <row r="4688" spans="1:80" s="87" customFormat="1" x14ac:dyDescent="0.2">
      <c r="A4688" s="152"/>
      <c r="B4688" s="683"/>
      <c r="C4688" s="683"/>
      <c r="D4688" s="698"/>
      <c r="E4688" s="215"/>
      <c r="F4688" s="215"/>
      <c r="G4688" s="153"/>
      <c r="H4688" s="153"/>
      <c r="I4688" s="163">
        <v>21</v>
      </c>
      <c r="J4688" s="163">
        <v>60</v>
      </c>
      <c r="K4688" s="150">
        <v>1</v>
      </c>
      <c r="L4688" s="656">
        <v>21</v>
      </c>
      <c r="M4688" s="663">
        <v>34840</v>
      </c>
      <c r="N4688" s="600">
        <v>17.100899999999999</v>
      </c>
      <c r="O4688" s="604">
        <v>0.32536700000000002</v>
      </c>
      <c r="P4688" s="250"/>
      <c r="Q4688" s="250"/>
      <c r="R4688" s="250">
        <v>1.3999999999999999E-2</v>
      </c>
      <c r="S4688" s="250">
        <v>5.5E-2</v>
      </c>
      <c r="T4688" s="250">
        <v>0.18600000000000003</v>
      </c>
      <c r="U4688" s="250">
        <v>0.247</v>
      </c>
      <c r="V4688" s="250">
        <v>0.26300000000000001</v>
      </c>
      <c r="W4688" s="250">
        <v>0.17800000000000002</v>
      </c>
      <c r="X4688" s="250">
        <v>5.4000000000000006E-2</v>
      </c>
      <c r="Y4688" s="250">
        <v>2E-3</v>
      </c>
      <c r="Z4688" s="150">
        <v>24</v>
      </c>
      <c r="AA4688" s="150">
        <v>2.02</v>
      </c>
      <c r="AB4688" s="152"/>
      <c r="AC4688" s="152"/>
      <c r="AD4688" s="223"/>
      <c r="AE4688" s="223"/>
      <c r="AF4688" s="223"/>
      <c r="AG4688" s="223"/>
      <c r="AH4688" s="341"/>
      <c r="AI4688" s="218"/>
      <c r="AJ4688" s="218"/>
      <c r="AK4688" s="153"/>
      <c r="AL4688" s="152"/>
      <c r="AM4688" s="152"/>
      <c r="AN4688" s="152"/>
      <c r="AO4688" s="152"/>
      <c r="AP4688" s="152"/>
      <c r="AQ4688" s="152"/>
      <c r="AR4688" s="152"/>
      <c r="AS4688" s="152"/>
      <c r="AT4688" s="152"/>
      <c r="AU4688" s="153"/>
      <c r="AV4688" s="479"/>
      <c r="AW4688" s="479"/>
      <c r="AX4688" s="442"/>
      <c r="AY4688" s="153"/>
      <c r="AZ4688" s="152"/>
      <c r="BA4688" s="152"/>
      <c r="BB4688" s="152"/>
      <c r="BC4688" s="152"/>
      <c r="BD4688" s="152"/>
      <c r="BE4688" s="152"/>
      <c r="BF4688" s="152"/>
      <c r="BG4688" s="152"/>
      <c r="BH4688" s="152"/>
      <c r="BI4688" s="153"/>
      <c r="BJ4688" s="153"/>
      <c r="BK4688" s="153"/>
      <c r="BL4688" s="153"/>
      <c r="BM4688" s="153"/>
      <c r="BN4688" s="153"/>
      <c r="BO4688" s="153"/>
      <c r="BP4688" s="153"/>
      <c r="BQ4688" s="153"/>
      <c r="BR4688" s="153"/>
      <c r="BS4688" s="153"/>
      <c r="BT4688" s="153"/>
      <c r="BU4688" s="153"/>
      <c r="BV4688" s="153"/>
      <c r="BW4688" s="153"/>
      <c r="BX4688" s="153"/>
      <c r="BY4688" s="153"/>
      <c r="BZ4688" s="153"/>
      <c r="CA4688" s="152"/>
      <c r="CB4688" s="152"/>
    </row>
    <row r="4689" spans="1:80" s="87" customFormat="1" x14ac:dyDescent="0.2">
      <c r="A4689" s="152"/>
      <c r="B4689" s="683"/>
      <c r="C4689" s="683"/>
      <c r="D4689" s="698"/>
      <c r="E4689" s="215"/>
      <c r="F4689" s="215"/>
      <c r="G4689" s="153"/>
      <c r="H4689" s="153"/>
      <c r="I4689" s="163">
        <v>21</v>
      </c>
      <c r="J4689" s="163">
        <v>60</v>
      </c>
      <c r="K4689" s="150">
        <v>1</v>
      </c>
      <c r="L4689" s="656">
        <v>21</v>
      </c>
      <c r="M4689" s="663">
        <v>34841</v>
      </c>
      <c r="N4689" s="600">
        <v>18.006900000000002</v>
      </c>
      <c r="O4689" s="604">
        <v>0.248748</v>
      </c>
      <c r="P4689" s="250"/>
      <c r="Q4689" s="250"/>
      <c r="R4689" s="250">
        <v>2.1000000000000001E-2</v>
      </c>
      <c r="S4689" s="250">
        <v>3.7999999999999999E-2</v>
      </c>
      <c r="T4689" s="250">
        <v>0.14599999999999999</v>
      </c>
      <c r="U4689" s="250">
        <v>0.20499999999999999</v>
      </c>
      <c r="V4689" s="250">
        <v>0.24299999999999999</v>
      </c>
      <c r="W4689" s="250">
        <v>0.23899999999999999</v>
      </c>
      <c r="X4689" s="250">
        <v>0.10400000000000001</v>
      </c>
      <c r="Y4689" s="250">
        <v>4.0000000000000001E-3</v>
      </c>
      <c r="Z4689" s="150">
        <v>21</v>
      </c>
      <c r="AA4689" s="150">
        <v>1.55</v>
      </c>
      <c r="AB4689" s="152"/>
      <c r="AC4689" s="152"/>
      <c r="AD4689" s="223"/>
      <c r="AE4689" s="223"/>
      <c r="AF4689" s="223"/>
      <c r="AG4689" s="223"/>
      <c r="AH4689" s="341"/>
      <c r="AI4689" s="218"/>
      <c r="AJ4689" s="218"/>
      <c r="AK4689" s="153"/>
      <c r="AL4689" s="152"/>
      <c r="AM4689" s="152"/>
      <c r="AN4689" s="152"/>
      <c r="AO4689" s="152"/>
      <c r="AP4689" s="152"/>
      <c r="AQ4689" s="152"/>
      <c r="AR4689" s="152"/>
      <c r="AS4689" s="152"/>
      <c r="AT4689" s="152"/>
      <c r="AU4689" s="153"/>
      <c r="AV4689" s="479"/>
      <c r="AW4689" s="479"/>
      <c r="AX4689" s="442"/>
      <c r="AY4689" s="153"/>
      <c r="AZ4689" s="152"/>
      <c r="BA4689" s="152"/>
      <c r="BB4689" s="152"/>
      <c r="BC4689" s="152"/>
      <c r="BD4689" s="152"/>
      <c r="BE4689" s="152"/>
      <c r="BF4689" s="152"/>
      <c r="BG4689" s="152"/>
      <c r="BH4689" s="152"/>
      <c r="BI4689" s="153"/>
      <c r="BJ4689" s="153"/>
      <c r="BK4689" s="153"/>
      <c r="BL4689" s="153"/>
      <c r="BM4689" s="153"/>
      <c r="BN4689" s="153"/>
      <c r="BO4689" s="153"/>
      <c r="BP4689" s="153"/>
      <c r="BQ4689" s="153"/>
      <c r="BR4689" s="153"/>
      <c r="BS4689" s="153"/>
      <c r="BT4689" s="153"/>
      <c r="BU4689" s="153"/>
      <c r="BV4689" s="153"/>
      <c r="BW4689" s="153"/>
      <c r="BX4689" s="153"/>
      <c r="BY4689" s="153"/>
      <c r="BZ4689" s="153"/>
      <c r="CA4689" s="152"/>
      <c r="CB4689" s="152"/>
    </row>
    <row r="4690" spans="1:80" s="87" customFormat="1" x14ac:dyDescent="0.2">
      <c r="A4690" s="152"/>
      <c r="B4690" s="683"/>
      <c r="C4690" s="683"/>
      <c r="D4690" s="698"/>
      <c r="E4690" s="215"/>
      <c r="F4690" s="215"/>
      <c r="G4690" s="153"/>
      <c r="H4690" s="153"/>
      <c r="I4690" s="163">
        <v>21</v>
      </c>
      <c r="J4690" s="163">
        <v>60</v>
      </c>
      <c r="K4690" s="150">
        <v>1</v>
      </c>
      <c r="L4690" s="656">
        <v>21</v>
      </c>
      <c r="M4690" s="663">
        <v>34841</v>
      </c>
      <c r="N4690" s="600">
        <v>18.006900000000002</v>
      </c>
      <c r="O4690" s="604">
        <v>0.55102499999999999</v>
      </c>
      <c r="P4690" s="250"/>
      <c r="Q4690" s="250"/>
      <c r="R4690" s="250">
        <v>2E-3</v>
      </c>
      <c r="S4690" s="250">
        <v>2.7999999999999997E-2</v>
      </c>
      <c r="T4690" s="250">
        <v>0.128</v>
      </c>
      <c r="U4690" s="250">
        <v>0.22699999999999998</v>
      </c>
      <c r="V4690" s="250">
        <v>0.28699999999999998</v>
      </c>
      <c r="W4690" s="250">
        <v>0.23</v>
      </c>
      <c r="X4690" s="250">
        <v>9.5000000000000001E-2</v>
      </c>
      <c r="Y4690" s="250">
        <v>3.0000000000000001E-3</v>
      </c>
      <c r="Z4690" s="150">
        <v>21</v>
      </c>
      <c r="AA4690" s="150">
        <v>1.51</v>
      </c>
      <c r="AB4690" s="152"/>
      <c r="AC4690" s="152"/>
      <c r="AD4690" s="223"/>
      <c r="AE4690" s="223"/>
      <c r="AF4690" s="223"/>
      <c r="AG4690" s="223"/>
      <c r="AH4690" s="341"/>
      <c r="AI4690" s="218"/>
      <c r="AJ4690" s="218"/>
      <c r="AK4690" s="153"/>
      <c r="AL4690" s="152"/>
      <c r="AM4690" s="152"/>
      <c r="AN4690" s="152"/>
      <c r="AO4690" s="152"/>
      <c r="AP4690" s="152"/>
      <c r="AQ4690" s="152"/>
      <c r="AR4690" s="152"/>
      <c r="AS4690" s="152"/>
      <c r="AT4690" s="152"/>
      <c r="AU4690" s="153"/>
      <c r="AV4690" s="479"/>
      <c r="AW4690" s="479"/>
      <c r="AX4690" s="442"/>
      <c r="AY4690" s="153"/>
      <c r="AZ4690" s="152"/>
      <c r="BA4690" s="152"/>
      <c r="BB4690" s="152"/>
      <c r="BC4690" s="152"/>
      <c r="BD4690" s="152"/>
      <c r="BE4690" s="152"/>
      <c r="BF4690" s="152"/>
      <c r="BG4690" s="152"/>
      <c r="BH4690" s="152"/>
      <c r="BI4690" s="153"/>
      <c r="BJ4690" s="153"/>
      <c r="BK4690" s="153"/>
      <c r="BL4690" s="153"/>
      <c r="BM4690" s="153"/>
      <c r="BN4690" s="153"/>
      <c r="BO4690" s="153"/>
      <c r="BP4690" s="153"/>
      <c r="BQ4690" s="153"/>
      <c r="BR4690" s="153"/>
      <c r="BS4690" s="153"/>
      <c r="BT4690" s="153"/>
      <c r="BU4690" s="153"/>
      <c r="BV4690" s="153"/>
      <c r="BW4690" s="153"/>
      <c r="BX4690" s="153"/>
      <c r="BY4690" s="153"/>
      <c r="BZ4690" s="153"/>
      <c r="CA4690" s="152"/>
      <c r="CB4690" s="152"/>
    </row>
    <row r="4691" spans="1:80" s="87" customFormat="1" x14ac:dyDescent="0.2">
      <c r="A4691" s="152"/>
      <c r="B4691" s="683"/>
      <c r="C4691" s="683"/>
      <c r="D4691" s="698"/>
      <c r="E4691" s="215"/>
      <c r="F4691" s="215"/>
      <c r="G4691" s="153"/>
      <c r="H4691" s="153"/>
      <c r="I4691" s="163">
        <v>21</v>
      </c>
      <c r="J4691" s="163">
        <v>60</v>
      </c>
      <c r="K4691" s="150">
        <v>1</v>
      </c>
      <c r="L4691" s="656">
        <v>21</v>
      </c>
      <c r="M4691" s="663">
        <v>34843</v>
      </c>
      <c r="N4691" s="600">
        <v>17.695399999999999</v>
      </c>
      <c r="O4691" s="604">
        <v>0.38834099999999999</v>
      </c>
      <c r="P4691" s="250"/>
      <c r="Q4691" s="250"/>
      <c r="R4691" s="250"/>
      <c r="S4691" s="250">
        <v>4.2999999999999997E-2</v>
      </c>
      <c r="T4691" s="250">
        <v>0.17800000000000002</v>
      </c>
      <c r="U4691" s="250">
        <v>0.28999999999999998</v>
      </c>
      <c r="V4691" s="250">
        <v>0.26100000000000001</v>
      </c>
      <c r="W4691" s="250">
        <v>0.17399999999999999</v>
      </c>
      <c r="X4691" s="250">
        <v>5.0999999999999997E-2</v>
      </c>
      <c r="Y4691" s="250">
        <v>2E-3</v>
      </c>
      <c r="Z4691" s="150">
        <v>15</v>
      </c>
      <c r="AA4691" s="150">
        <v>2.06</v>
      </c>
      <c r="AB4691" s="152"/>
      <c r="AC4691" s="152"/>
      <c r="AD4691" s="223"/>
      <c r="AE4691" s="223"/>
      <c r="AF4691" s="223"/>
      <c r="AG4691" s="223"/>
      <c r="AH4691" s="341"/>
      <c r="AI4691" s="218"/>
      <c r="AJ4691" s="218"/>
      <c r="AK4691" s="153"/>
      <c r="AL4691" s="152"/>
      <c r="AM4691" s="152"/>
      <c r="AN4691" s="152"/>
      <c r="AO4691" s="152"/>
      <c r="AP4691" s="152"/>
      <c r="AQ4691" s="152"/>
      <c r="AR4691" s="152"/>
      <c r="AS4691" s="152"/>
      <c r="AT4691" s="152"/>
      <c r="AU4691" s="153"/>
      <c r="AV4691" s="479"/>
      <c r="AW4691" s="479"/>
      <c r="AX4691" s="442"/>
      <c r="AY4691" s="153"/>
      <c r="AZ4691" s="152"/>
      <c r="BA4691" s="152"/>
      <c r="BB4691" s="152"/>
      <c r="BC4691" s="152"/>
      <c r="BD4691" s="152"/>
      <c r="BE4691" s="152"/>
      <c r="BF4691" s="152"/>
      <c r="BG4691" s="152"/>
      <c r="BH4691" s="152"/>
      <c r="BI4691" s="153"/>
      <c r="BJ4691" s="153"/>
      <c r="BK4691" s="153"/>
      <c r="BL4691" s="153"/>
      <c r="BM4691" s="153"/>
      <c r="BN4691" s="153"/>
      <c r="BO4691" s="153"/>
      <c r="BP4691" s="153"/>
      <c r="BQ4691" s="153"/>
      <c r="BR4691" s="153"/>
      <c r="BS4691" s="153"/>
      <c r="BT4691" s="153"/>
      <c r="BU4691" s="153"/>
      <c r="BV4691" s="153"/>
      <c r="BW4691" s="153"/>
      <c r="BX4691" s="153"/>
      <c r="BY4691" s="153"/>
      <c r="BZ4691" s="153"/>
      <c r="CA4691" s="152"/>
      <c r="CB4691" s="152"/>
    </row>
    <row r="4692" spans="1:80" s="87" customFormat="1" x14ac:dyDescent="0.2">
      <c r="A4692" s="152"/>
      <c r="B4692" s="683"/>
      <c r="C4692" s="683"/>
      <c r="D4692" s="698"/>
      <c r="E4692" s="215"/>
      <c r="F4692" s="215"/>
      <c r="G4692" s="153"/>
      <c r="H4692" s="153"/>
      <c r="I4692" s="163">
        <v>21</v>
      </c>
      <c r="J4692" s="163">
        <v>60</v>
      </c>
      <c r="K4692" s="150">
        <v>1</v>
      </c>
      <c r="L4692" s="656">
        <v>21</v>
      </c>
      <c r="M4692" s="663">
        <v>34843</v>
      </c>
      <c r="N4692" s="600">
        <v>17.695399999999999</v>
      </c>
      <c r="O4692" s="604">
        <v>0.242451</v>
      </c>
      <c r="P4692" s="250"/>
      <c r="Q4692" s="250"/>
      <c r="R4692" s="250"/>
      <c r="S4692" s="250">
        <v>3.3000000000000002E-2</v>
      </c>
      <c r="T4692" s="250">
        <v>0.187</v>
      </c>
      <c r="U4692" s="250">
        <v>0.27800000000000002</v>
      </c>
      <c r="V4692" s="250">
        <v>0.25700000000000001</v>
      </c>
      <c r="W4692" s="250">
        <v>0.17600000000000002</v>
      </c>
      <c r="X4692" s="250">
        <v>6.7000000000000004E-2</v>
      </c>
      <c r="Y4692" s="250">
        <v>3.0000000000000001E-3</v>
      </c>
      <c r="Z4692" s="150">
        <v>12</v>
      </c>
      <c r="AA4692" s="150">
        <v>1.98</v>
      </c>
      <c r="AB4692" s="152"/>
      <c r="AC4692" s="152"/>
      <c r="AD4692" s="223"/>
      <c r="AE4692" s="223"/>
      <c r="AF4692" s="223"/>
      <c r="AG4692" s="223"/>
      <c r="AH4692" s="341"/>
      <c r="AI4692" s="218"/>
      <c r="AJ4692" s="218"/>
      <c r="AK4692" s="153"/>
      <c r="AL4692" s="152"/>
      <c r="AM4692" s="152"/>
      <c r="AN4692" s="152"/>
      <c r="AO4692" s="152"/>
      <c r="AP4692" s="152"/>
      <c r="AQ4692" s="152"/>
      <c r="AR4692" s="152"/>
      <c r="AS4692" s="152"/>
      <c r="AT4692" s="152"/>
      <c r="AU4692" s="153"/>
      <c r="AV4692" s="479"/>
      <c r="AW4692" s="479"/>
      <c r="AX4692" s="442"/>
      <c r="AY4692" s="153"/>
      <c r="AZ4692" s="152"/>
      <c r="BA4692" s="152"/>
      <c r="BB4692" s="152"/>
      <c r="BC4692" s="152"/>
      <c r="BD4692" s="152"/>
      <c r="BE4692" s="152"/>
      <c r="BF4692" s="152"/>
      <c r="BG4692" s="152"/>
      <c r="BH4692" s="152"/>
      <c r="BI4692" s="153"/>
      <c r="BJ4692" s="153"/>
      <c r="BK4692" s="153"/>
      <c r="BL4692" s="153"/>
      <c r="BM4692" s="153"/>
      <c r="BN4692" s="153"/>
      <c r="BO4692" s="153"/>
      <c r="BP4692" s="153"/>
      <c r="BQ4692" s="153"/>
      <c r="BR4692" s="153"/>
      <c r="BS4692" s="153"/>
      <c r="BT4692" s="153"/>
      <c r="BU4692" s="153"/>
      <c r="BV4692" s="153"/>
      <c r="BW4692" s="153"/>
      <c r="BX4692" s="153"/>
      <c r="BY4692" s="153"/>
      <c r="BZ4692" s="153"/>
      <c r="CA4692" s="152"/>
      <c r="CB4692" s="152"/>
    </row>
    <row r="4693" spans="1:80" s="87" customFormat="1" x14ac:dyDescent="0.2">
      <c r="A4693" s="152"/>
      <c r="B4693" s="683"/>
      <c r="C4693" s="683"/>
      <c r="D4693" s="698"/>
      <c r="E4693" s="215"/>
      <c r="F4693" s="215"/>
      <c r="G4693" s="153"/>
      <c r="H4693" s="153"/>
      <c r="I4693" s="163">
        <v>21</v>
      </c>
      <c r="J4693" s="163">
        <v>60</v>
      </c>
      <c r="K4693" s="150">
        <v>1</v>
      </c>
      <c r="L4693" s="656">
        <v>21</v>
      </c>
      <c r="M4693" s="663">
        <v>34844</v>
      </c>
      <c r="N4693" s="600">
        <v>17.695399999999999</v>
      </c>
      <c r="O4693" s="604">
        <v>0.23930199999999999</v>
      </c>
      <c r="P4693" s="250"/>
      <c r="Q4693" s="250"/>
      <c r="R4693" s="250">
        <v>9.4E-2</v>
      </c>
      <c r="S4693" s="250">
        <v>3.7000000000000005E-2</v>
      </c>
      <c r="T4693" s="250">
        <v>9.0999999999999998E-2</v>
      </c>
      <c r="U4693" s="250">
        <v>0.17300000000000001</v>
      </c>
      <c r="V4693" s="250">
        <v>0.26899999999999996</v>
      </c>
      <c r="W4693" s="250">
        <v>0.24100000000000002</v>
      </c>
      <c r="X4693" s="250">
        <v>9.0999999999999998E-2</v>
      </c>
      <c r="Y4693" s="250">
        <v>4.0000000000000001E-3</v>
      </c>
      <c r="Z4693" s="150">
        <v>40</v>
      </c>
      <c r="AA4693" s="150">
        <v>1.53</v>
      </c>
      <c r="AB4693" s="152"/>
      <c r="AC4693" s="152"/>
      <c r="AD4693" s="223"/>
      <c r="AE4693" s="223"/>
      <c r="AF4693" s="223"/>
      <c r="AG4693" s="223"/>
      <c r="AH4693" s="341"/>
      <c r="AI4693" s="218"/>
      <c r="AJ4693" s="218"/>
      <c r="AK4693" s="153"/>
      <c r="AL4693" s="152"/>
      <c r="AM4693" s="152"/>
      <c r="AN4693" s="152"/>
      <c r="AO4693" s="152"/>
      <c r="AP4693" s="152"/>
      <c r="AQ4693" s="152"/>
      <c r="AR4693" s="152"/>
      <c r="AS4693" s="152"/>
      <c r="AT4693" s="152"/>
      <c r="AU4693" s="153"/>
      <c r="AV4693" s="479"/>
      <c r="AW4693" s="479"/>
      <c r="AX4693" s="442"/>
      <c r="AY4693" s="153"/>
      <c r="AZ4693" s="152"/>
      <c r="BA4693" s="152"/>
      <c r="BB4693" s="152"/>
      <c r="BC4693" s="152"/>
      <c r="BD4693" s="152"/>
      <c r="BE4693" s="152"/>
      <c r="BF4693" s="152"/>
      <c r="BG4693" s="152"/>
      <c r="BH4693" s="152"/>
      <c r="BI4693" s="153"/>
      <c r="BJ4693" s="153"/>
      <c r="BK4693" s="153"/>
      <c r="BL4693" s="153"/>
      <c r="BM4693" s="153"/>
      <c r="BN4693" s="153"/>
      <c r="BO4693" s="153"/>
      <c r="BP4693" s="153"/>
      <c r="BQ4693" s="153"/>
      <c r="BR4693" s="153"/>
      <c r="BS4693" s="153"/>
      <c r="BT4693" s="153"/>
      <c r="BU4693" s="153"/>
      <c r="BV4693" s="153"/>
      <c r="BW4693" s="153"/>
      <c r="BX4693" s="153"/>
      <c r="BY4693" s="153"/>
      <c r="BZ4693" s="153"/>
      <c r="CA4693" s="152"/>
      <c r="CB4693" s="152"/>
    </row>
    <row r="4694" spans="1:80" s="87" customFormat="1" x14ac:dyDescent="0.2">
      <c r="A4694" s="152"/>
      <c r="B4694" s="683"/>
      <c r="C4694" s="683"/>
      <c r="D4694" s="698"/>
      <c r="E4694" s="215"/>
      <c r="F4694" s="215"/>
      <c r="G4694" s="153"/>
      <c r="H4694" s="153"/>
      <c r="I4694" s="163">
        <v>21</v>
      </c>
      <c r="J4694" s="163">
        <v>60</v>
      </c>
      <c r="K4694" s="150">
        <v>1</v>
      </c>
      <c r="L4694" s="656">
        <v>21</v>
      </c>
      <c r="M4694" s="663">
        <v>34844</v>
      </c>
      <c r="N4694" s="600">
        <v>17.695399999999999</v>
      </c>
      <c r="O4694" s="604">
        <v>0.34425899999999998</v>
      </c>
      <c r="P4694" s="250"/>
      <c r="Q4694" s="250"/>
      <c r="R4694" s="250"/>
      <c r="S4694" s="250">
        <v>5.2999999999999999E-2</v>
      </c>
      <c r="T4694" s="250">
        <v>0.14699999999999999</v>
      </c>
      <c r="U4694" s="250">
        <v>0.23399999999999999</v>
      </c>
      <c r="V4694" s="250">
        <v>0.28399999999999997</v>
      </c>
      <c r="W4694" s="250">
        <v>0.20499999999999999</v>
      </c>
      <c r="X4694" s="250">
        <v>7.4999999999999997E-2</v>
      </c>
      <c r="Y4694" s="250">
        <v>3.0000000000000001E-3</v>
      </c>
      <c r="Z4694" s="150">
        <v>13.5</v>
      </c>
      <c r="AA4694" s="150">
        <v>1.7</v>
      </c>
      <c r="AB4694" s="152"/>
      <c r="AC4694" s="152"/>
      <c r="AD4694" s="223"/>
      <c r="AE4694" s="223"/>
      <c r="AF4694" s="223"/>
      <c r="AG4694" s="223"/>
      <c r="AH4694" s="341"/>
      <c r="AI4694" s="218"/>
      <c r="AJ4694" s="218"/>
      <c r="AK4694" s="153"/>
      <c r="AL4694" s="152"/>
      <c r="AM4694" s="152"/>
      <c r="AN4694" s="152"/>
      <c r="AO4694" s="152"/>
      <c r="AP4694" s="152"/>
      <c r="AQ4694" s="152"/>
      <c r="AR4694" s="152"/>
      <c r="AS4694" s="152"/>
      <c r="AT4694" s="152"/>
      <c r="AU4694" s="153"/>
      <c r="AV4694" s="479"/>
      <c r="AW4694" s="479"/>
      <c r="AX4694" s="442"/>
      <c r="AY4694" s="153"/>
      <c r="AZ4694" s="152"/>
      <c r="BA4694" s="152"/>
      <c r="BB4694" s="152"/>
      <c r="BC4694" s="152"/>
      <c r="BD4694" s="152"/>
      <c r="BE4694" s="152"/>
      <c r="BF4694" s="152"/>
      <c r="BG4694" s="152"/>
      <c r="BH4694" s="152"/>
      <c r="BI4694" s="153"/>
      <c r="BJ4694" s="153"/>
      <c r="BK4694" s="153"/>
      <c r="BL4694" s="153"/>
      <c r="BM4694" s="153"/>
      <c r="BN4694" s="153"/>
      <c r="BO4694" s="153"/>
      <c r="BP4694" s="153"/>
      <c r="BQ4694" s="153"/>
      <c r="BR4694" s="153"/>
      <c r="BS4694" s="153"/>
      <c r="BT4694" s="153"/>
      <c r="BU4694" s="153"/>
      <c r="BV4694" s="153"/>
      <c r="BW4694" s="153"/>
      <c r="BX4694" s="153"/>
      <c r="BY4694" s="153"/>
      <c r="BZ4694" s="153"/>
      <c r="CA4694" s="152"/>
      <c r="CB4694" s="152"/>
    </row>
    <row r="4695" spans="1:80" s="87" customFormat="1" x14ac:dyDescent="0.2">
      <c r="A4695" s="152"/>
      <c r="B4695" s="683"/>
      <c r="C4695" s="683"/>
      <c r="D4695" s="698"/>
      <c r="E4695" s="215"/>
      <c r="F4695" s="215"/>
      <c r="G4695" s="153"/>
      <c r="H4695" s="153"/>
      <c r="I4695" s="163">
        <v>21</v>
      </c>
      <c r="J4695" s="163">
        <v>60</v>
      </c>
      <c r="K4695" s="150">
        <v>1</v>
      </c>
      <c r="L4695" s="656">
        <v>21</v>
      </c>
      <c r="M4695" s="663">
        <v>34847</v>
      </c>
      <c r="N4695" s="600">
        <v>15.0624</v>
      </c>
      <c r="O4695" s="604">
        <v>0.44081999999999999</v>
      </c>
      <c r="P4695" s="250"/>
      <c r="Q4695" s="250"/>
      <c r="R4695" s="250"/>
      <c r="S4695" s="250">
        <v>2.1000000000000001E-2</v>
      </c>
      <c r="T4695" s="250">
        <v>0.114</v>
      </c>
      <c r="U4695" s="250">
        <v>0.25</v>
      </c>
      <c r="V4695" s="250">
        <v>0.33799999999999997</v>
      </c>
      <c r="W4695" s="250">
        <v>0.222</v>
      </c>
      <c r="X4695" s="250">
        <v>5.4000000000000006E-2</v>
      </c>
      <c r="Y4695" s="250">
        <v>2E-3</v>
      </c>
      <c r="Z4695" s="150">
        <v>13</v>
      </c>
      <c r="AA4695" s="150">
        <v>1.58</v>
      </c>
      <c r="AB4695" s="152"/>
      <c r="AC4695" s="152"/>
      <c r="AD4695" s="223"/>
      <c r="AE4695" s="223"/>
      <c r="AF4695" s="223"/>
      <c r="AG4695" s="223"/>
      <c r="AH4695" s="341"/>
      <c r="AI4695" s="218"/>
      <c r="AJ4695" s="218"/>
      <c r="AK4695" s="153"/>
      <c r="AL4695" s="152"/>
      <c r="AM4695" s="152"/>
      <c r="AN4695" s="152"/>
      <c r="AO4695" s="152"/>
      <c r="AP4695" s="152"/>
      <c r="AQ4695" s="152"/>
      <c r="AR4695" s="152"/>
      <c r="AS4695" s="152"/>
      <c r="AT4695" s="152"/>
      <c r="AU4695" s="153"/>
      <c r="AV4695" s="479"/>
      <c r="AW4695" s="479"/>
      <c r="AX4695" s="442"/>
      <c r="AY4695" s="153"/>
      <c r="AZ4695" s="152"/>
      <c r="BA4695" s="152"/>
      <c r="BB4695" s="152"/>
      <c r="BC4695" s="152"/>
      <c r="BD4695" s="152"/>
      <c r="BE4695" s="152"/>
      <c r="BF4695" s="152"/>
      <c r="BG4695" s="152"/>
      <c r="BH4695" s="152"/>
      <c r="BI4695" s="153"/>
      <c r="BJ4695" s="153"/>
      <c r="BK4695" s="153"/>
      <c r="BL4695" s="153"/>
      <c r="BM4695" s="153"/>
      <c r="BN4695" s="153"/>
      <c r="BO4695" s="153"/>
      <c r="BP4695" s="153"/>
      <c r="BQ4695" s="153"/>
      <c r="BR4695" s="153"/>
      <c r="BS4695" s="153"/>
      <c r="BT4695" s="153"/>
      <c r="BU4695" s="153"/>
      <c r="BV4695" s="153"/>
      <c r="BW4695" s="153"/>
      <c r="BX4695" s="153"/>
      <c r="BY4695" s="153"/>
      <c r="BZ4695" s="153"/>
      <c r="CA4695" s="152"/>
      <c r="CB4695" s="152"/>
    </row>
    <row r="4696" spans="1:80" s="87" customFormat="1" x14ac:dyDescent="0.2">
      <c r="A4696" s="152"/>
      <c r="B4696" s="683"/>
      <c r="C4696" s="683"/>
      <c r="D4696" s="698"/>
      <c r="E4696" s="215"/>
      <c r="F4696" s="215"/>
      <c r="G4696" s="153"/>
      <c r="H4696" s="153"/>
      <c r="I4696" s="163">
        <v>21</v>
      </c>
      <c r="J4696" s="163">
        <v>60</v>
      </c>
      <c r="K4696" s="150">
        <v>1</v>
      </c>
      <c r="L4696" s="656">
        <v>21</v>
      </c>
      <c r="M4696" s="663">
        <v>34847</v>
      </c>
      <c r="N4696" s="600">
        <v>15.0624</v>
      </c>
      <c r="O4696" s="604">
        <v>0.40828300000000001</v>
      </c>
      <c r="P4696" s="250"/>
      <c r="Q4696" s="250"/>
      <c r="R4696" s="250">
        <v>0.01</v>
      </c>
      <c r="S4696" s="250">
        <v>3.4000000000000002E-2</v>
      </c>
      <c r="T4696" s="250">
        <v>0.156</v>
      </c>
      <c r="U4696" s="250">
        <v>0.255</v>
      </c>
      <c r="V4696" s="250">
        <v>0.29499999999999998</v>
      </c>
      <c r="W4696" s="250">
        <v>0.187</v>
      </c>
      <c r="X4696" s="250">
        <v>0.06</v>
      </c>
      <c r="Y4696" s="250">
        <v>3.0000000000000001E-3</v>
      </c>
      <c r="Z4696" s="150">
        <v>21</v>
      </c>
      <c r="AA4696" s="150">
        <v>1.8</v>
      </c>
      <c r="AB4696" s="152"/>
      <c r="AC4696" s="152"/>
      <c r="AD4696" s="223"/>
      <c r="AE4696" s="223"/>
      <c r="AF4696" s="223"/>
      <c r="AG4696" s="223"/>
      <c r="AH4696" s="341"/>
      <c r="AI4696" s="218"/>
      <c r="AJ4696" s="218"/>
      <c r="AK4696" s="153"/>
      <c r="AL4696" s="152"/>
      <c r="AM4696" s="152"/>
      <c r="AN4696" s="152"/>
      <c r="AO4696" s="152"/>
      <c r="AP4696" s="152"/>
      <c r="AQ4696" s="152"/>
      <c r="AR4696" s="152"/>
      <c r="AS4696" s="152"/>
      <c r="AT4696" s="152"/>
      <c r="AU4696" s="153"/>
      <c r="AV4696" s="479"/>
      <c r="AW4696" s="479"/>
      <c r="AX4696" s="442"/>
      <c r="AY4696" s="153"/>
      <c r="AZ4696" s="152"/>
      <c r="BA4696" s="152"/>
      <c r="BB4696" s="152"/>
      <c r="BC4696" s="152"/>
      <c r="BD4696" s="152"/>
      <c r="BE4696" s="152"/>
      <c r="BF4696" s="152"/>
      <c r="BG4696" s="152"/>
      <c r="BH4696" s="152"/>
      <c r="BI4696" s="153"/>
      <c r="BJ4696" s="153"/>
      <c r="BK4696" s="153"/>
      <c r="BL4696" s="153"/>
      <c r="BM4696" s="153"/>
      <c r="BN4696" s="153"/>
      <c r="BO4696" s="153"/>
      <c r="BP4696" s="153"/>
      <c r="BQ4696" s="153"/>
      <c r="BR4696" s="153"/>
      <c r="BS4696" s="153"/>
      <c r="BT4696" s="153"/>
      <c r="BU4696" s="153"/>
      <c r="BV4696" s="153"/>
      <c r="BW4696" s="153"/>
      <c r="BX4696" s="153"/>
      <c r="BY4696" s="153"/>
      <c r="BZ4696" s="153"/>
      <c r="CA4696" s="152"/>
      <c r="CB4696" s="152"/>
    </row>
    <row r="4697" spans="1:80" s="87" customFormat="1" x14ac:dyDescent="0.2">
      <c r="A4697" s="152"/>
      <c r="B4697" s="683"/>
      <c r="C4697" s="683"/>
      <c r="D4697" s="698"/>
      <c r="E4697" s="215"/>
      <c r="F4697" s="215"/>
      <c r="G4697" s="153"/>
      <c r="H4697" s="153"/>
      <c r="I4697" s="163">
        <v>21</v>
      </c>
      <c r="J4697" s="163">
        <v>60</v>
      </c>
      <c r="K4697" s="150">
        <v>1</v>
      </c>
      <c r="L4697" s="656">
        <v>21</v>
      </c>
      <c r="M4697" s="663">
        <v>34848</v>
      </c>
      <c r="N4697" s="600">
        <v>16.336400000000001</v>
      </c>
      <c r="O4697" s="604">
        <v>0.25714500000000001</v>
      </c>
      <c r="P4697" s="250"/>
      <c r="Q4697" s="250"/>
      <c r="R4697" s="250">
        <v>1.6E-2</v>
      </c>
      <c r="S4697" s="250">
        <v>4.2000000000000003E-2</v>
      </c>
      <c r="T4697" s="250">
        <v>0.115</v>
      </c>
      <c r="U4697" s="250">
        <v>0.253</v>
      </c>
      <c r="V4697" s="250">
        <v>0.34100000000000003</v>
      </c>
      <c r="W4697" s="250">
        <v>0.182</v>
      </c>
      <c r="X4697" s="250">
        <v>4.9000000000000002E-2</v>
      </c>
      <c r="Y4697" s="250">
        <v>2E-3</v>
      </c>
      <c r="Z4697" s="150">
        <v>17</v>
      </c>
      <c r="AA4697" s="150">
        <v>1.72</v>
      </c>
      <c r="AB4697" s="152"/>
      <c r="AC4697" s="152"/>
      <c r="AD4697" s="223"/>
      <c r="AE4697" s="223"/>
      <c r="AF4697" s="223"/>
      <c r="AG4697" s="223"/>
      <c r="AH4697" s="341"/>
      <c r="AI4697" s="218"/>
      <c r="AJ4697" s="218"/>
      <c r="AK4697" s="153"/>
      <c r="AL4697" s="152"/>
      <c r="AM4697" s="152"/>
      <c r="AN4697" s="152"/>
      <c r="AO4697" s="152"/>
      <c r="AP4697" s="152"/>
      <c r="AQ4697" s="152"/>
      <c r="AR4697" s="152"/>
      <c r="AS4697" s="152"/>
      <c r="AT4697" s="152"/>
      <c r="AU4697" s="153"/>
      <c r="AV4697" s="479"/>
      <c r="AW4697" s="479"/>
      <c r="AX4697" s="442"/>
      <c r="AY4697" s="153"/>
      <c r="AZ4697" s="152"/>
      <c r="BA4697" s="152"/>
      <c r="BB4697" s="152"/>
      <c r="BC4697" s="152"/>
      <c r="BD4697" s="152"/>
      <c r="BE4697" s="152"/>
      <c r="BF4697" s="152"/>
      <c r="BG4697" s="152"/>
      <c r="BH4697" s="152"/>
      <c r="BI4697" s="153"/>
      <c r="BJ4697" s="153"/>
      <c r="BK4697" s="153"/>
      <c r="BL4697" s="153"/>
      <c r="BM4697" s="153"/>
      <c r="BN4697" s="153"/>
      <c r="BO4697" s="153"/>
      <c r="BP4697" s="153"/>
      <c r="BQ4697" s="153"/>
      <c r="BR4697" s="153"/>
      <c r="BS4697" s="153"/>
      <c r="BT4697" s="153"/>
      <c r="BU4697" s="153"/>
      <c r="BV4697" s="153"/>
      <c r="BW4697" s="153"/>
      <c r="BX4697" s="153"/>
      <c r="BY4697" s="153"/>
      <c r="BZ4697" s="153"/>
      <c r="CA4697" s="152"/>
      <c r="CB4697" s="152"/>
    </row>
    <row r="4698" spans="1:80" s="87" customFormat="1" x14ac:dyDescent="0.2">
      <c r="A4698" s="152"/>
      <c r="B4698" s="683"/>
      <c r="C4698" s="683"/>
      <c r="D4698" s="698"/>
      <c r="E4698" s="215"/>
      <c r="F4698" s="215"/>
      <c r="G4698" s="153"/>
      <c r="H4698" s="153"/>
      <c r="I4698" s="163">
        <v>21</v>
      </c>
      <c r="J4698" s="163">
        <v>60</v>
      </c>
      <c r="K4698" s="150">
        <v>1</v>
      </c>
      <c r="L4698" s="656">
        <v>21</v>
      </c>
      <c r="M4698" s="663">
        <v>34848</v>
      </c>
      <c r="N4698" s="600">
        <v>16.336400000000001</v>
      </c>
      <c r="O4698" s="604">
        <v>0.37679600000000002</v>
      </c>
      <c r="P4698" s="250"/>
      <c r="Q4698" s="250"/>
      <c r="R4698" s="250"/>
      <c r="S4698" s="250">
        <v>2.7999999999999997E-2</v>
      </c>
      <c r="T4698" s="250">
        <v>0.154</v>
      </c>
      <c r="U4698" s="250">
        <v>0.34200000000000003</v>
      </c>
      <c r="V4698" s="250">
        <v>0.3</v>
      </c>
      <c r="W4698" s="250">
        <v>0.14199999999999999</v>
      </c>
      <c r="X4698" s="250">
        <v>3.2000000000000001E-2</v>
      </c>
      <c r="Y4698" s="250">
        <v>2E-3</v>
      </c>
      <c r="Z4698" s="150">
        <v>15</v>
      </c>
      <c r="AA4698" s="150">
        <v>2.1</v>
      </c>
      <c r="AB4698" s="152"/>
      <c r="AC4698" s="152"/>
      <c r="AD4698" s="223"/>
      <c r="AE4698" s="223"/>
      <c r="AF4698" s="223"/>
      <c r="AG4698" s="223"/>
      <c r="AH4698" s="341"/>
      <c r="AI4698" s="218"/>
      <c r="AJ4698" s="218"/>
      <c r="AK4698" s="153"/>
      <c r="AL4698" s="152"/>
      <c r="AM4698" s="152"/>
      <c r="AN4698" s="152"/>
      <c r="AO4698" s="152"/>
      <c r="AP4698" s="152"/>
      <c r="AQ4698" s="152"/>
      <c r="AR4698" s="152"/>
      <c r="AS4698" s="152"/>
      <c r="AT4698" s="152"/>
      <c r="AU4698" s="153"/>
      <c r="AV4698" s="479"/>
      <c r="AW4698" s="479"/>
      <c r="AX4698" s="442"/>
      <c r="AY4698" s="153"/>
      <c r="AZ4698" s="152"/>
      <c r="BA4698" s="152"/>
      <c r="BB4698" s="152"/>
      <c r="BC4698" s="152"/>
      <c r="BD4698" s="152"/>
      <c r="BE4698" s="152"/>
      <c r="BF4698" s="152"/>
      <c r="BG4698" s="152"/>
      <c r="BH4698" s="152"/>
      <c r="BI4698" s="153"/>
      <c r="BJ4698" s="153"/>
      <c r="BK4698" s="153"/>
      <c r="BL4698" s="153"/>
      <c r="BM4698" s="153"/>
      <c r="BN4698" s="153"/>
      <c r="BO4698" s="153"/>
      <c r="BP4698" s="153"/>
      <c r="BQ4698" s="153"/>
      <c r="BR4698" s="153"/>
      <c r="BS4698" s="153"/>
      <c r="BT4698" s="153"/>
      <c r="BU4698" s="153"/>
      <c r="BV4698" s="153"/>
      <c r="BW4698" s="153"/>
      <c r="BX4698" s="153"/>
      <c r="BY4698" s="153"/>
      <c r="BZ4698" s="153"/>
      <c r="CA4698" s="152"/>
      <c r="CB4698" s="152"/>
    </row>
    <row r="4699" spans="1:80" s="87" customFormat="1" x14ac:dyDescent="0.2">
      <c r="A4699" s="152"/>
      <c r="B4699" s="683"/>
      <c r="C4699" s="683"/>
      <c r="D4699" s="698"/>
      <c r="E4699" s="215"/>
      <c r="F4699" s="215"/>
      <c r="G4699" s="153"/>
      <c r="H4699" s="153"/>
      <c r="I4699" s="163">
        <v>20</v>
      </c>
      <c r="J4699" s="163">
        <v>60</v>
      </c>
      <c r="K4699" s="150">
        <v>1</v>
      </c>
      <c r="L4699" s="656">
        <v>20</v>
      </c>
      <c r="M4699" s="663">
        <v>34849</v>
      </c>
      <c r="N4699" s="600">
        <v>18.148399999999999</v>
      </c>
      <c r="O4699" s="604">
        <v>0.19941900000000001</v>
      </c>
      <c r="P4699" s="250"/>
      <c r="Q4699" s="250"/>
      <c r="R4699" s="250">
        <v>2.2000000000000002E-2</v>
      </c>
      <c r="S4699" s="250">
        <v>3.3000000000000002E-2</v>
      </c>
      <c r="T4699" s="250">
        <v>0.11599999999999999</v>
      </c>
      <c r="U4699" s="250">
        <v>0.182</v>
      </c>
      <c r="V4699" s="250">
        <v>0.29600000000000004</v>
      </c>
      <c r="W4699" s="250">
        <v>0.26800000000000002</v>
      </c>
      <c r="X4699" s="250">
        <v>8.1000000000000003E-2</v>
      </c>
      <c r="Y4699" s="250">
        <v>2E-3</v>
      </c>
      <c r="Z4699" s="150">
        <v>18</v>
      </c>
      <c r="AA4699" s="150">
        <v>1.42</v>
      </c>
      <c r="AB4699" s="152"/>
      <c r="AC4699" s="152"/>
      <c r="AD4699" s="223"/>
      <c r="AE4699" s="223"/>
      <c r="AF4699" s="223"/>
      <c r="AG4699" s="223"/>
      <c r="AH4699" s="341"/>
      <c r="AI4699" s="218"/>
      <c r="AJ4699" s="218"/>
      <c r="AK4699" s="153"/>
      <c r="AL4699" s="152"/>
      <c r="AM4699" s="152"/>
      <c r="AN4699" s="152"/>
      <c r="AO4699" s="152"/>
      <c r="AP4699" s="152"/>
      <c r="AQ4699" s="152"/>
      <c r="AR4699" s="152"/>
      <c r="AS4699" s="152"/>
      <c r="AT4699" s="152"/>
      <c r="AU4699" s="153"/>
      <c r="AV4699" s="479"/>
      <c r="AW4699" s="479"/>
      <c r="AX4699" s="442"/>
      <c r="AY4699" s="153"/>
      <c r="AZ4699" s="152"/>
      <c r="BA4699" s="152"/>
      <c r="BB4699" s="152"/>
      <c r="BC4699" s="152"/>
      <c r="BD4699" s="152"/>
      <c r="BE4699" s="152"/>
      <c r="BF4699" s="152"/>
      <c r="BG4699" s="152"/>
      <c r="BH4699" s="152"/>
      <c r="BI4699" s="153"/>
      <c r="BJ4699" s="153"/>
      <c r="BK4699" s="153"/>
      <c r="BL4699" s="153"/>
      <c r="BM4699" s="153"/>
      <c r="BN4699" s="153"/>
      <c r="BO4699" s="153"/>
      <c r="BP4699" s="153"/>
      <c r="BQ4699" s="153"/>
      <c r="BR4699" s="153"/>
      <c r="BS4699" s="153"/>
      <c r="BT4699" s="153"/>
      <c r="BU4699" s="153"/>
      <c r="BV4699" s="153"/>
      <c r="BW4699" s="153"/>
      <c r="BX4699" s="153"/>
      <c r="BY4699" s="153"/>
      <c r="BZ4699" s="153"/>
      <c r="CA4699" s="152"/>
      <c r="CB4699" s="152"/>
    </row>
    <row r="4700" spans="1:80" s="87" customFormat="1" x14ac:dyDescent="0.2">
      <c r="A4700" s="152"/>
      <c r="B4700" s="683"/>
      <c r="C4700" s="683"/>
      <c r="D4700" s="698"/>
      <c r="E4700" s="215"/>
      <c r="F4700" s="215"/>
      <c r="G4700" s="153"/>
      <c r="H4700" s="153"/>
      <c r="I4700" s="163">
        <v>20</v>
      </c>
      <c r="J4700" s="163">
        <v>60</v>
      </c>
      <c r="K4700" s="150">
        <v>1</v>
      </c>
      <c r="L4700" s="656">
        <v>20</v>
      </c>
      <c r="M4700" s="663">
        <v>34849</v>
      </c>
      <c r="N4700" s="600">
        <v>18.148399999999999</v>
      </c>
      <c r="O4700" s="604">
        <v>0.33796199999999998</v>
      </c>
      <c r="P4700" s="250"/>
      <c r="Q4700" s="250"/>
      <c r="R4700" s="250">
        <v>1.4999999999999999E-2</v>
      </c>
      <c r="S4700" s="250">
        <v>5.4000000000000006E-2</v>
      </c>
      <c r="T4700" s="250">
        <v>0.33899999999999997</v>
      </c>
      <c r="U4700" s="250">
        <v>0.23300000000000001</v>
      </c>
      <c r="V4700" s="250">
        <v>0.17399999999999999</v>
      </c>
      <c r="W4700" s="250">
        <v>0.13699999999999998</v>
      </c>
      <c r="X4700" s="250">
        <v>4.4999999999999998E-2</v>
      </c>
      <c r="Y4700" s="250">
        <v>3.0000000000000001E-3</v>
      </c>
      <c r="Z4700" s="150">
        <v>19</v>
      </c>
      <c r="AA4700" s="150">
        <v>3.04</v>
      </c>
      <c r="AB4700" s="152"/>
      <c r="AC4700" s="152"/>
      <c r="AD4700" s="223"/>
      <c r="AE4700" s="223"/>
      <c r="AF4700" s="223"/>
      <c r="AG4700" s="223"/>
      <c r="AH4700" s="341"/>
      <c r="AI4700" s="218"/>
      <c r="AJ4700" s="218"/>
      <c r="AK4700" s="153"/>
      <c r="AL4700" s="152"/>
      <c r="AM4700" s="152"/>
      <c r="AN4700" s="152"/>
      <c r="AO4700" s="152"/>
      <c r="AP4700" s="152"/>
      <c r="AQ4700" s="152"/>
      <c r="AR4700" s="152"/>
      <c r="AS4700" s="152"/>
      <c r="AT4700" s="152"/>
      <c r="AU4700" s="153"/>
      <c r="AV4700" s="479"/>
      <c r="AW4700" s="479"/>
      <c r="AX4700" s="442"/>
      <c r="AY4700" s="153"/>
      <c r="AZ4700" s="152"/>
      <c r="BA4700" s="152"/>
      <c r="BB4700" s="152"/>
      <c r="BC4700" s="152"/>
      <c r="BD4700" s="152"/>
      <c r="BE4700" s="152"/>
      <c r="BF4700" s="152"/>
      <c r="BG4700" s="152"/>
      <c r="BH4700" s="152"/>
      <c r="BI4700" s="153"/>
      <c r="BJ4700" s="153"/>
      <c r="BK4700" s="153"/>
      <c r="BL4700" s="153"/>
      <c r="BM4700" s="153"/>
      <c r="BN4700" s="153"/>
      <c r="BO4700" s="153"/>
      <c r="BP4700" s="153"/>
      <c r="BQ4700" s="153"/>
      <c r="BR4700" s="153"/>
      <c r="BS4700" s="153"/>
      <c r="BT4700" s="153"/>
      <c r="BU4700" s="153"/>
      <c r="BV4700" s="153"/>
      <c r="BW4700" s="153"/>
      <c r="BX4700" s="153"/>
      <c r="BY4700" s="153"/>
      <c r="BZ4700" s="153"/>
      <c r="CA4700" s="152"/>
      <c r="CB4700" s="152"/>
    </row>
    <row r="4701" spans="1:80" s="87" customFormat="1" x14ac:dyDescent="0.2">
      <c r="A4701" s="152"/>
      <c r="B4701" s="683"/>
      <c r="C4701" s="683"/>
      <c r="D4701" s="698"/>
      <c r="E4701" s="215"/>
      <c r="F4701" s="215"/>
      <c r="G4701" s="153"/>
      <c r="H4701" s="153"/>
      <c r="I4701" s="163">
        <v>21</v>
      </c>
      <c r="J4701" s="163">
        <v>60</v>
      </c>
      <c r="K4701" s="150">
        <v>1</v>
      </c>
      <c r="L4701" s="656">
        <v>21</v>
      </c>
      <c r="M4701" s="663">
        <v>34852</v>
      </c>
      <c r="N4701" s="600">
        <v>22.055599999999998</v>
      </c>
      <c r="O4701" s="604">
        <v>0.82391400000000004</v>
      </c>
      <c r="P4701" s="250"/>
      <c r="Q4701" s="250"/>
      <c r="R4701" s="250">
        <v>2.5000000000000001E-2</v>
      </c>
      <c r="S4701" s="250">
        <v>0.06</v>
      </c>
      <c r="T4701" s="250">
        <v>0.21600000000000003</v>
      </c>
      <c r="U4701" s="250">
        <v>0.28899999999999998</v>
      </c>
      <c r="V4701" s="250">
        <v>0.248</v>
      </c>
      <c r="W4701" s="250">
        <v>0.129</v>
      </c>
      <c r="X4701" s="250">
        <v>3.2000000000000001E-2</v>
      </c>
      <c r="Y4701" s="250">
        <v>2E-3</v>
      </c>
      <c r="Z4701" s="150">
        <v>24</v>
      </c>
      <c r="AA4701" s="150">
        <v>2.48</v>
      </c>
      <c r="AB4701" s="152"/>
      <c r="AC4701" s="152"/>
      <c r="AD4701" s="223"/>
      <c r="AE4701" s="223"/>
      <c r="AF4701" s="223"/>
      <c r="AG4701" s="223"/>
      <c r="AH4701" s="341"/>
      <c r="AI4701" s="218"/>
      <c r="AJ4701" s="218"/>
      <c r="AK4701" s="153"/>
      <c r="AL4701" s="152"/>
      <c r="AM4701" s="152"/>
      <c r="AN4701" s="152"/>
      <c r="AO4701" s="152"/>
      <c r="AP4701" s="152"/>
      <c r="AQ4701" s="152"/>
      <c r="AR4701" s="152"/>
      <c r="AS4701" s="152"/>
      <c r="AT4701" s="152"/>
      <c r="AU4701" s="153"/>
      <c r="AV4701" s="479"/>
      <c r="AW4701" s="479"/>
      <c r="AX4701" s="442"/>
      <c r="AY4701" s="153"/>
      <c r="AZ4701" s="152"/>
      <c r="BA4701" s="152"/>
      <c r="BB4701" s="152"/>
      <c r="BC4701" s="152"/>
      <c r="BD4701" s="152"/>
      <c r="BE4701" s="152"/>
      <c r="BF4701" s="152"/>
      <c r="BG4701" s="152"/>
      <c r="BH4701" s="152"/>
      <c r="BI4701" s="153"/>
      <c r="BJ4701" s="153"/>
      <c r="BK4701" s="153"/>
      <c r="BL4701" s="153"/>
      <c r="BM4701" s="153"/>
      <c r="BN4701" s="153"/>
      <c r="BO4701" s="153"/>
      <c r="BP4701" s="153"/>
      <c r="BQ4701" s="153"/>
      <c r="BR4701" s="153"/>
      <c r="BS4701" s="153"/>
      <c r="BT4701" s="153"/>
      <c r="BU4701" s="153"/>
      <c r="BV4701" s="153"/>
      <c r="BW4701" s="153"/>
      <c r="BX4701" s="153"/>
      <c r="BY4701" s="153"/>
      <c r="BZ4701" s="153"/>
      <c r="CA4701" s="152"/>
      <c r="CB4701" s="152"/>
    </row>
    <row r="4702" spans="1:80" s="87" customFormat="1" x14ac:dyDescent="0.2">
      <c r="A4702" s="152"/>
      <c r="B4702" s="683"/>
      <c r="C4702" s="683"/>
      <c r="D4702" s="698"/>
      <c r="E4702" s="215"/>
      <c r="F4702" s="215"/>
      <c r="G4702" s="153"/>
      <c r="H4702" s="153"/>
      <c r="I4702" s="163">
        <v>21</v>
      </c>
      <c r="J4702" s="163">
        <v>60</v>
      </c>
      <c r="K4702" s="150">
        <v>1</v>
      </c>
      <c r="L4702" s="656">
        <v>21</v>
      </c>
      <c r="M4702" s="663">
        <v>34852</v>
      </c>
      <c r="N4702" s="600">
        <v>22.055599999999998</v>
      </c>
      <c r="O4702" s="604">
        <v>0.791377</v>
      </c>
      <c r="P4702" s="250"/>
      <c r="Q4702" s="250"/>
      <c r="R4702" s="250">
        <v>7.2999999999999995E-2</v>
      </c>
      <c r="S4702" s="250">
        <v>8.3000000000000004E-2</v>
      </c>
      <c r="T4702" s="250">
        <v>0.247</v>
      </c>
      <c r="U4702" s="250">
        <v>0.27</v>
      </c>
      <c r="V4702" s="250">
        <v>0.187</v>
      </c>
      <c r="W4702" s="250">
        <v>0.105</v>
      </c>
      <c r="X4702" s="250">
        <v>3.2000000000000001E-2</v>
      </c>
      <c r="Y4702" s="250">
        <v>2E-3</v>
      </c>
      <c r="Z4702" s="150">
        <v>36</v>
      </c>
      <c r="AA4702" s="150">
        <v>3.13</v>
      </c>
      <c r="AB4702" s="152"/>
      <c r="AC4702" s="152"/>
      <c r="AD4702" s="223"/>
      <c r="AE4702" s="223"/>
      <c r="AF4702" s="223"/>
      <c r="AG4702" s="223"/>
      <c r="AH4702" s="341"/>
      <c r="AI4702" s="218"/>
      <c r="AJ4702" s="218"/>
      <c r="AK4702" s="153"/>
      <c r="AL4702" s="152"/>
      <c r="AM4702" s="152"/>
      <c r="AN4702" s="152"/>
      <c r="AO4702" s="152"/>
      <c r="AP4702" s="152"/>
      <c r="AQ4702" s="152"/>
      <c r="AR4702" s="152"/>
      <c r="AS4702" s="152"/>
      <c r="AT4702" s="152"/>
      <c r="AU4702" s="153"/>
      <c r="AV4702" s="479"/>
      <c r="AW4702" s="479"/>
      <c r="AX4702" s="442"/>
      <c r="AY4702" s="153"/>
      <c r="AZ4702" s="152"/>
      <c r="BA4702" s="152"/>
      <c r="BB4702" s="152"/>
      <c r="BC4702" s="152"/>
      <c r="BD4702" s="152"/>
      <c r="BE4702" s="152"/>
      <c r="BF4702" s="152"/>
      <c r="BG4702" s="152"/>
      <c r="BH4702" s="152"/>
      <c r="BI4702" s="153"/>
      <c r="BJ4702" s="153"/>
      <c r="BK4702" s="153"/>
      <c r="BL4702" s="153"/>
      <c r="BM4702" s="153"/>
      <c r="BN4702" s="153"/>
      <c r="BO4702" s="153"/>
      <c r="BP4702" s="153"/>
      <c r="BQ4702" s="153"/>
      <c r="BR4702" s="153"/>
      <c r="BS4702" s="153"/>
      <c r="BT4702" s="153"/>
      <c r="BU4702" s="153"/>
      <c r="BV4702" s="153"/>
      <c r="BW4702" s="153"/>
      <c r="BX4702" s="153"/>
      <c r="BY4702" s="153"/>
      <c r="BZ4702" s="153"/>
      <c r="CA4702" s="152"/>
      <c r="CB4702" s="152"/>
    </row>
    <row r="4703" spans="1:80" s="87" customFormat="1" x14ac:dyDescent="0.2">
      <c r="A4703" s="152"/>
      <c r="B4703" s="683"/>
      <c r="C4703" s="683"/>
      <c r="D4703" s="698"/>
      <c r="E4703" s="215"/>
      <c r="F4703" s="215"/>
      <c r="G4703" s="153"/>
      <c r="H4703" s="153"/>
      <c r="I4703" s="163">
        <v>21</v>
      </c>
      <c r="J4703" s="163">
        <v>60</v>
      </c>
      <c r="K4703" s="150">
        <v>1</v>
      </c>
      <c r="L4703" s="656">
        <v>21</v>
      </c>
      <c r="M4703" s="663">
        <v>34855</v>
      </c>
      <c r="N4703" s="600">
        <v>25.1983</v>
      </c>
      <c r="O4703" s="604">
        <v>0.28653299999999998</v>
      </c>
      <c r="P4703" s="250"/>
      <c r="Q4703" s="250"/>
      <c r="R4703" s="250"/>
      <c r="S4703" s="250">
        <v>0.10400000000000001</v>
      </c>
      <c r="T4703" s="250">
        <v>0.24600000000000002</v>
      </c>
      <c r="U4703" s="250">
        <v>0.21899999999999997</v>
      </c>
      <c r="V4703" s="250">
        <v>0.184</v>
      </c>
      <c r="W4703" s="250">
        <v>0.16699999999999998</v>
      </c>
      <c r="X4703" s="250">
        <v>7.6999999999999999E-2</v>
      </c>
      <c r="Y4703" s="250">
        <v>4.0000000000000001E-3</v>
      </c>
      <c r="Z4703" s="150">
        <v>18</v>
      </c>
      <c r="AA4703" s="150">
        <v>2.48</v>
      </c>
      <c r="AB4703" s="152"/>
      <c r="AC4703" s="152"/>
      <c r="AD4703" s="223"/>
      <c r="AE4703" s="223"/>
      <c r="AF4703" s="223"/>
      <c r="AG4703" s="223"/>
      <c r="AH4703" s="341"/>
      <c r="AI4703" s="218"/>
      <c r="AJ4703" s="218"/>
      <c r="AK4703" s="153"/>
      <c r="AL4703" s="152"/>
      <c r="AM4703" s="152"/>
      <c r="AN4703" s="152"/>
      <c r="AO4703" s="152"/>
      <c r="AP4703" s="152"/>
      <c r="AQ4703" s="152"/>
      <c r="AR4703" s="152"/>
      <c r="AS4703" s="152"/>
      <c r="AT4703" s="152"/>
      <c r="AU4703" s="153"/>
      <c r="AV4703" s="479"/>
      <c r="AW4703" s="479"/>
      <c r="AX4703" s="442"/>
      <c r="AY4703" s="153"/>
      <c r="AZ4703" s="152"/>
      <c r="BA4703" s="152"/>
      <c r="BB4703" s="152"/>
      <c r="BC4703" s="152"/>
      <c r="BD4703" s="152"/>
      <c r="BE4703" s="152"/>
      <c r="BF4703" s="152"/>
      <c r="BG4703" s="152"/>
      <c r="BH4703" s="152"/>
      <c r="BI4703" s="153"/>
      <c r="BJ4703" s="153"/>
      <c r="BK4703" s="153"/>
      <c r="BL4703" s="153"/>
      <c r="BM4703" s="153"/>
      <c r="BN4703" s="153"/>
      <c r="BO4703" s="153"/>
      <c r="BP4703" s="153"/>
      <c r="BQ4703" s="153"/>
      <c r="BR4703" s="153"/>
      <c r="BS4703" s="153"/>
      <c r="BT4703" s="153"/>
      <c r="BU4703" s="153"/>
      <c r="BV4703" s="153"/>
      <c r="BW4703" s="153"/>
      <c r="BX4703" s="153"/>
      <c r="BY4703" s="153"/>
      <c r="BZ4703" s="153"/>
      <c r="CA4703" s="152"/>
      <c r="CB4703" s="152"/>
    </row>
    <row r="4704" spans="1:80" s="87" customFormat="1" x14ac:dyDescent="0.2">
      <c r="A4704" s="152"/>
      <c r="B4704" s="683"/>
      <c r="C4704" s="683"/>
      <c r="D4704" s="698"/>
      <c r="E4704" s="215"/>
      <c r="F4704" s="215"/>
      <c r="G4704" s="153"/>
      <c r="H4704" s="153"/>
      <c r="I4704" s="163">
        <v>21</v>
      </c>
      <c r="J4704" s="163">
        <v>60</v>
      </c>
      <c r="K4704" s="150">
        <v>1</v>
      </c>
      <c r="L4704" s="656">
        <v>21</v>
      </c>
      <c r="M4704" s="663">
        <v>34855</v>
      </c>
      <c r="N4704" s="600">
        <v>25.1983</v>
      </c>
      <c r="O4704" s="604">
        <v>0.17213000000000001</v>
      </c>
      <c r="P4704" s="250"/>
      <c r="Q4704" s="250"/>
      <c r="R4704" s="250"/>
      <c r="S4704" s="250">
        <v>4.2999999999999997E-2</v>
      </c>
      <c r="T4704" s="250">
        <v>0.13600000000000001</v>
      </c>
      <c r="U4704" s="250">
        <v>0.20600000000000002</v>
      </c>
      <c r="V4704" s="250">
        <v>0.26700000000000002</v>
      </c>
      <c r="W4704" s="250">
        <v>0.23499999999999999</v>
      </c>
      <c r="X4704" s="250">
        <v>0.107</v>
      </c>
      <c r="Y4704" s="250">
        <v>6.0000000000000001E-3</v>
      </c>
      <c r="Z4704" s="150">
        <v>15</v>
      </c>
      <c r="AA4704" s="150">
        <v>1.48</v>
      </c>
      <c r="AB4704" s="152"/>
      <c r="AC4704" s="152"/>
      <c r="AD4704" s="223"/>
      <c r="AE4704" s="223"/>
      <c r="AF4704" s="223"/>
      <c r="AG4704" s="223"/>
      <c r="AH4704" s="341"/>
      <c r="AI4704" s="218"/>
      <c r="AJ4704" s="218"/>
      <c r="AK4704" s="153"/>
      <c r="AL4704" s="152"/>
      <c r="AM4704" s="152"/>
      <c r="AN4704" s="152"/>
      <c r="AO4704" s="152"/>
      <c r="AP4704" s="152"/>
      <c r="AQ4704" s="152"/>
      <c r="AR4704" s="152"/>
      <c r="AS4704" s="152"/>
      <c r="AT4704" s="152"/>
      <c r="AU4704" s="153"/>
      <c r="AV4704" s="479"/>
      <c r="AW4704" s="479"/>
      <c r="AX4704" s="442"/>
      <c r="AY4704" s="153"/>
      <c r="AZ4704" s="152"/>
      <c r="BA4704" s="152"/>
      <c r="BB4704" s="152"/>
      <c r="BC4704" s="152"/>
      <c r="BD4704" s="152"/>
      <c r="BE4704" s="152"/>
      <c r="BF4704" s="152"/>
      <c r="BG4704" s="152"/>
      <c r="BH4704" s="152"/>
      <c r="BI4704" s="153"/>
      <c r="BJ4704" s="153"/>
      <c r="BK4704" s="153"/>
      <c r="BL4704" s="153"/>
      <c r="BM4704" s="153"/>
      <c r="BN4704" s="153"/>
      <c r="BO4704" s="153"/>
      <c r="BP4704" s="153"/>
      <c r="BQ4704" s="153"/>
      <c r="BR4704" s="153"/>
      <c r="BS4704" s="153"/>
      <c r="BT4704" s="153"/>
      <c r="BU4704" s="153"/>
      <c r="BV4704" s="153"/>
      <c r="BW4704" s="153"/>
      <c r="BX4704" s="153"/>
      <c r="BY4704" s="153"/>
      <c r="BZ4704" s="153"/>
      <c r="CA4704" s="152"/>
      <c r="CB4704" s="152"/>
    </row>
    <row r="4705" spans="1:80" s="87" customFormat="1" x14ac:dyDescent="0.2">
      <c r="A4705" s="152"/>
      <c r="B4705" s="683"/>
      <c r="C4705" s="683"/>
      <c r="D4705" s="698"/>
      <c r="E4705" s="215"/>
      <c r="F4705" s="215"/>
      <c r="G4705" s="153"/>
      <c r="H4705" s="153"/>
      <c r="I4705" s="163">
        <v>21</v>
      </c>
      <c r="J4705" s="163">
        <v>60</v>
      </c>
      <c r="K4705" s="150">
        <v>1</v>
      </c>
      <c r="L4705" s="656">
        <v>21</v>
      </c>
      <c r="M4705" s="663">
        <v>34857</v>
      </c>
      <c r="N4705" s="600">
        <v>21.8857</v>
      </c>
      <c r="O4705" s="604">
        <v>7.7144000000000004E-2</v>
      </c>
      <c r="P4705" s="250"/>
      <c r="Q4705" s="250"/>
      <c r="R4705" s="250"/>
      <c r="S4705" s="250">
        <v>1.6E-2</v>
      </c>
      <c r="T4705" s="250">
        <v>0.13699999999999998</v>
      </c>
      <c r="U4705" s="250">
        <v>0.253</v>
      </c>
      <c r="V4705" s="250">
        <v>0.28999999999999998</v>
      </c>
      <c r="W4705" s="250">
        <v>0.21100000000000002</v>
      </c>
      <c r="X4705" s="250">
        <v>0.09</v>
      </c>
      <c r="Y4705" s="250">
        <v>3.0000000000000001E-3</v>
      </c>
      <c r="Z4705" s="150">
        <v>10</v>
      </c>
      <c r="AA4705" s="150">
        <v>1.6</v>
      </c>
      <c r="AB4705" s="152"/>
      <c r="AC4705" s="152"/>
      <c r="AD4705" s="223"/>
      <c r="AE4705" s="223"/>
      <c r="AF4705" s="223"/>
      <c r="AG4705" s="223"/>
      <c r="AH4705" s="341"/>
      <c r="AI4705" s="218"/>
      <c r="AJ4705" s="218"/>
      <c r="AK4705" s="153"/>
      <c r="AL4705" s="152"/>
      <c r="AM4705" s="152"/>
      <c r="AN4705" s="152"/>
      <c r="AO4705" s="152"/>
      <c r="AP4705" s="152"/>
      <c r="AQ4705" s="152"/>
      <c r="AR4705" s="152"/>
      <c r="AS4705" s="152"/>
      <c r="AT4705" s="152"/>
      <c r="AU4705" s="153"/>
      <c r="AV4705" s="479"/>
      <c r="AW4705" s="479"/>
      <c r="AX4705" s="442"/>
      <c r="AY4705" s="153"/>
      <c r="AZ4705" s="152"/>
      <c r="BA4705" s="152"/>
      <c r="BB4705" s="152"/>
      <c r="BC4705" s="152"/>
      <c r="BD4705" s="152"/>
      <c r="BE4705" s="152"/>
      <c r="BF4705" s="152"/>
      <c r="BG4705" s="152"/>
      <c r="BH4705" s="152"/>
      <c r="BI4705" s="153"/>
      <c r="BJ4705" s="153"/>
      <c r="BK4705" s="153"/>
      <c r="BL4705" s="153"/>
      <c r="BM4705" s="153"/>
      <c r="BN4705" s="153"/>
      <c r="BO4705" s="153"/>
      <c r="BP4705" s="153"/>
      <c r="BQ4705" s="153"/>
      <c r="BR4705" s="153"/>
      <c r="BS4705" s="153"/>
      <c r="BT4705" s="153"/>
      <c r="BU4705" s="153"/>
      <c r="BV4705" s="153"/>
      <c r="BW4705" s="153"/>
      <c r="BX4705" s="153"/>
      <c r="BY4705" s="153"/>
      <c r="BZ4705" s="153"/>
      <c r="CA4705" s="152"/>
      <c r="CB4705" s="152"/>
    </row>
    <row r="4706" spans="1:80" s="87" customFormat="1" x14ac:dyDescent="0.2">
      <c r="A4706" s="152"/>
      <c r="B4706" s="683"/>
      <c r="C4706" s="683"/>
      <c r="D4706" s="698"/>
      <c r="E4706" s="215"/>
      <c r="F4706" s="215"/>
      <c r="G4706" s="153"/>
      <c r="H4706" s="153"/>
      <c r="I4706" s="163">
        <v>21</v>
      </c>
      <c r="J4706" s="163">
        <v>60</v>
      </c>
      <c r="K4706" s="150">
        <v>1</v>
      </c>
      <c r="L4706" s="656">
        <v>21</v>
      </c>
      <c r="M4706" s="663">
        <v>34857</v>
      </c>
      <c r="N4706" s="600">
        <v>21.8857</v>
      </c>
      <c r="O4706" s="604">
        <v>0.17632800000000001</v>
      </c>
      <c r="P4706" s="250"/>
      <c r="Q4706" s="250"/>
      <c r="R4706" s="250">
        <v>2.3E-2</v>
      </c>
      <c r="S4706" s="250">
        <v>0.13699999999999998</v>
      </c>
      <c r="T4706" s="250">
        <v>0.21</v>
      </c>
      <c r="U4706" s="250">
        <v>0.23100000000000001</v>
      </c>
      <c r="V4706" s="250">
        <v>0.20699999999999999</v>
      </c>
      <c r="W4706" s="250">
        <v>0.127</v>
      </c>
      <c r="X4706" s="250">
        <v>6.2E-2</v>
      </c>
      <c r="Y4706" s="250">
        <v>3.0000000000000001E-3</v>
      </c>
      <c r="Z4706" s="150">
        <v>18</v>
      </c>
      <c r="AA4706" s="150">
        <v>2.71</v>
      </c>
      <c r="AB4706" s="152"/>
      <c r="AC4706" s="152"/>
      <c r="AD4706" s="223"/>
      <c r="AE4706" s="223"/>
      <c r="AF4706" s="223"/>
      <c r="AG4706" s="223"/>
      <c r="AH4706" s="341"/>
      <c r="AI4706" s="218"/>
      <c r="AJ4706" s="218"/>
      <c r="AK4706" s="153"/>
      <c r="AL4706" s="152"/>
      <c r="AM4706" s="152"/>
      <c r="AN4706" s="152"/>
      <c r="AO4706" s="152"/>
      <c r="AP4706" s="152"/>
      <c r="AQ4706" s="152"/>
      <c r="AR4706" s="152"/>
      <c r="AS4706" s="152"/>
      <c r="AT4706" s="152"/>
      <c r="AU4706" s="153"/>
      <c r="AV4706" s="479"/>
      <c r="AW4706" s="479"/>
      <c r="AX4706" s="442"/>
      <c r="AY4706" s="153"/>
      <c r="AZ4706" s="152"/>
      <c r="BA4706" s="152"/>
      <c r="BB4706" s="152"/>
      <c r="BC4706" s="152"/>
      <c r="BD4706" s="152"/>
      <c r="BE4706" s="152"/>
      <c r="BF4706" s="152"/>
      <c r="BG4706" s="152"/>
      <c r="BH4706" s="152"/>
      <c r="BI4706" s="153"/>
      <c r="BJ4706" s="153"/>
      <c r="BK4706" s="153"/>
      <c r="BL4706" s="153"/>
      <c r="BM4706" s="153"/>
      <c r="BN4706" s="153"/>
      <c r="BO4706" s="153"/>
      <c r="BP4706" s="153"/>
      <c r="BQ4706" s="153"/>
      <c r="BR4706" s="153"/>
      <c r="BS4706" s="153"/>
      <c r="BT4706" s="153"/>
      <c r="BU4706" s="153"/>
      <c r="BV4706" s="153"/>
      <c r="BW4706" s="153"/>
      <c r="BX4706" s="153"/>
      <c r="BY4706" s="153"/>
      <c r="BZ4706" s="153"/>
      <c r="CA4706" s="152"/>
      <c r="CB4706" s="152"/>
    </row>
    <row r="4707" spans="1:80" s="87" customFormat="1" x14ac:dyDescent="0.2">
      <c r="A4707" s="152"/>
      <c r="B4707" s="683"/>
      <c r="C4707" s="683"/>
      <c r="D4707" s="698"/>
      <c r="E4707" s="215"/>
      <c r="F4707" s="215"/>
      <c r="G4707" s="153"/>
      <c r="H4707" s="153"/>
      <c r="I4707" s="163">
        <v>21</v>
      </c>
      <c r="J4707" s="163">
        <v>60</v>
      </c>
      <c r="K4707" s="150">
        <v>1</v>
      </c>
      <c r="L4707" s="656">
        <v>21</v>
      </c>
      <c r="M4707" s="663">
        <v>34859</v>
      </c>
      <c r="N4707" s="600">
        <v>20.385100000000001</v>
      </c>
      <c r="O4707" s="604">
        <v>0.60140400000000005</v>
      </c>
      <c r="P4707" s="250"/>
      <c r="Q4707" s="250">
        <v>4.8000000000000001E-2</v>
      </c>
      <c r="R4707" s="250">
        <v>0.10199999999999999</v>
      </c>
      <c r="S4707" s="250">
        <v>8.6999999999999994E-2</v>
      </c>
      <c r="T4707" s="250">
        <v>0.23499999999999999</v>
      </c>
      <c r="U4707" s="250">
        <v>0.214</v>
      </c>
      <c r="V4707" s="250">
        <v>0.18600000000000003</v>
      </c>
      <c r="W4707" s="250">
        <v>0.10199999999999999</v>
      </c>
      <c r="X4707" s="250">
        <v>2.5000000000000001E-2</v>
      </c>
      <c r="Y4707" s="250">
        <v>1E-3</v>
      </c>
      <c r="Z4707" s="150">
        <v>40</v>
      </c>
      <c r="AA4707" s="150">
        <v>3.65</v>
      </c>
      <c r="AB4707" s="152"/>
      <c r="AC4707" s="152"/>
      <c r="AD4707" s="223"/>
      <c r="AE4707" s="223"/>
      <c r="AF4707" s="223"/>
      <c r="AG4707" s="223"/>
      <c r="AH4707" s="341"/>
      <c r="AI4707" s="218"/>
      <c r="AJ4707" s="218"/>
      <c r="AK4707" s="153"/>
      <c r="AL4707" s="152"/>
      <c r="AM4707" s="152"/>
      <c r="AN4707" s="152"/>
      <c r="AO4707" s="152"/>
      <c r="AP4707" s="152"/>
      <c r="AQ4707" s="152"/>
      <c r="AR4707" s="152"/>
      <c r="AS4707" s="152"/>
      <c r="AT4707" s="152"/>
      <c r="AU4707" s="153"/>
      <c r="AV4707" s="479"/>
      <c r="AW4707" s="479"/>
      <c r="AX4707" s="442"/>
      <c r="AY4707" s="153"/>
      <c r="AZ4707" s="152"/>
      <c r="BA4707" s="152"/>
      <c r="BB4707" s="152"/>
      <c r="BC4707" s="152"/>
      <c r="BD4707" s="152"/>
      <c r="BE4707" s="152"/>
      <c r="BF4707" s="152"/>
      <c r="BG4707" s="152"/>
      <c r="BH4707" s="152"/>
      <c r="BI4707" s="153"/>
      <c r="BJ4707" s="153"/>
      <c r="BK4707" s="153"/>
      <c r="BL4707" s="153"/>
      <c r="BM4707" s="153"/>
      <c r="BN4707" s="153"/>
      <c r="BO4707" s="153"/>
      <c r="BP4707" s="153"/>
      <c r="BQ4707" s="153"/>
      <c r="BR4707" s="153"/>
      <c r="BS4707" s="153"/>
      <c r="BT4707" s="153"/>
      <c r="BU4707" s="153"/>
      <c r="BV4707" s="153"/>
      <c r="BW4707" s="153"/>
      <c r="BX4707" s="153"/>
      <c r="BY4707" s="153"/>
      <c r="BZ4707" s="153"/>
      <c r="CA4707" s="152"/>
      <c r="CB4707" s="152"/>
    </row>
    <row r="4708" spans="1:80" s="87" customFormat="1" x14ac:dyDescent="0.2">
      <c r="A4708" s="152"/>
      <c r="B4708" s="683"/>
      <c r="C4708" s="683"/>
      <c r="D4708" s="698"/>
      <c r="E4708" s="215"/>
      <c r="F4708" s="215"/>
      <c r="G4708" s="153"/>
      <c r="H4708" s="153"/>
      <c r="I4708" s="163">
        <v>21</v>
      </c>
      <c r="J4708" s="163">
        <v>60</v>
      </c>
      <c r="K4708" s="150">
        <v>1</v>
      </c>
      <c r="L4708" s="656">
        <v>21</v>
      </c>
      <c r="M4708" s="663">
        <v>34859</v>
      </c>
      <c r="N4708" s="600">
        <v>20.385100000000001</v>
      </c>
      <c r="O4708" s="604">
        <v>0.57201599999999997</v>
      </c>
      <c r="P4708" s="250"/>
      <c r="Q4708" s="250"/>
      <c r="R4708" s="250">
        <v>1.2E-2</v>
      </c>
      <c r="S4708" s="250">
        <v>4.2000000000000003E-2</v>
      </c>
      <c r="T4708" s="250">
        <v>0.17199999999999999</v>
      </c>
      <c r="U4708" s="250">
        <v>0.24600000000000002</v>
      </c>
      <c r="V4708" s="250">
        <v>0.32</v>
      </c>
      <c r="W4708" s="250">
        <v>0.17499999999999999</v>
      </c>
      <c r="X4708" s="250">
        <v>3.2000000000000001E-2</v>
      </c>
      <c r="Y4708" s="250">
        <v>1E-3</v>
      </c>
      <c r="Z4708" s="150">
        <v>21</v>
      </c>
      <c r="AA4708" s="150">
        <v>1.88</v>
      </c>
      <c r="AB4708" s="152"/>
      <c r="AC4708" s="152"/>
      <c r="AD4708" s="223"/>
      <c r="AE4708" s="223"/>
      <c r="AF4708" s="223"/>
      <c r="AG4708" s="223"/>
      <c r="AH4708" s="341"/>
      <c r="AI4708" s="218"/>
      <c r="AJ4708" s="218"/>
      <c r="AK4708" s="153"/>
      <c r="AL4708" s="152"/>
      <c r="AM4708" s="152"/>
      <c r="AN4708" s="152"/>
      <c r="AO4708" s="152"/>
      <c r="AP4708" s="152"/>
      <c r="AQ4708" s="152"/>
      <c r="AR4708" s="152"/>
      <c r="AS4708" s="152"/>
      <c r="AT4708" s="152"/>
      <c r="AU4708" s="153"/>
      <c r="AV4708" s="479"/>
      <c r="AW4708" s="479"/>
      <c r="AX4708" s="442"/>
      <c r="AY4708" s="153"/>
      <c r="AZ4708" s="152"/>
      <c r="BA4708" s="152"/>
      <c r="BB4708" s="152"/>
      <c r="BC4708" s="152"/>
      <c r="BD4708" s="152"/>
      <c r="BE4708" s="152"/>
      <c r="BF4708" s="152"/>
      <c r="BG4708" s="152"/>
      <c r="BH4708" s="152"/>
      <c r="BI4708" s="153"/>
      <c r="BJ4708" s="153"/>
      <c r="BK4708" s="153"/>
      <c r="BL4708" s="153"/>
      <c r="BM4708" s="153"/>
      <c r="BN4708" s="153"/>
      <c r="BO4708" s="153"/>
      <c r="BP4708" s="153"/>
      <c r="BQ4708" s="153"/>
      <c r="BR4708" s="153"/>
      <c r="BS4708" s="153"/>
      <c r="BT4708" s="153"/>
      <c r="BU4708" s="153"/>
      <c r="BV4708" s="153"/>
      <c r="BW4708" s="153"/>
      <c r="BX4708" s="153"/>
      <c r="BY4708" s="153"/>
      <c r="BZ4708" s="153"/>
      <c r="CA4708" s="152"/>
      <c r="CB4708" s="152"/>
    </row>
    <row r="4709" spans="1:80" s="87" customFormat="1" x14ac:dyDescent="0.2">
      <c r="A4709" s="152"/>
      <c r="B4709" s="683"/>
      <c r="C4709" s="683"/>
      <c r="D4709" s="698"/>
      <c r="E4709" s="215"/>
      <c r="F4709" s="215"/>
      <c r="G4709" s="153"/>
      <c r="H4709" s="153"/>
      <c r="I4709" s="163">
        <v>20</v>
      </c>
      <c r="J4709" s="163">
        <v>60</v>
      </c>
      <c r="K4709" s="150">
        <v>1</v>
      </c>
      <c r="L4709" s="656">
        <v>20</v>
      </c>
      <c r="M4709" s="663">
        <v>34862</v>
      </c>
      <c r="N4709" s="600">
        <v>17.553899999999999</v>
      </c>
      <c r="O4709" s="604">
        <v>0.28338400000000002</v>
      </c>
      <c r="P4709" s="250"/>
      <c r="Q4709" s="250"/>
      <c r="R4709" s="250">
        <v>1.7000000000000001E-2</v>
      </c>
      <c r="S4709" s="250">
        <v>2.6000000000000002E-2</v>
      </c>
      <c r="T4709" s="250">
        <v>0.127</v>
      </c>
      <c r="U4709" s="250">
        <v>0.249</v>
      </c>
      <c r="V4709" s="250">
        <v>0.312</v>
      </c>
      <c r="W4709" s="250">
        <v>0.20100000000000001</v>
      </c>
      <c r="X4709" s="250">
        <v>6.7000000000000004E-2</v>
      </c>
      <c r="Y4709" s="250">
        <v>2E-3</v>
      </c>
      <c r="Z4709" s="150">
        <v>19</v>
      </c>
      <c r="AA4709" s="150">
        <v>1.67</v>
      </c>
      <c r="AB4709" s="152"/>
      <c r="AC4709" s="152"/>
      <c r="AD4709" s="223"/>
      <c r="AE4709" s="223"/>
      <c r="AF4709" s="223"/>
      <c r="AG4709" s="223"/>
      <c r="AH4709" s="341"/>
      <c r="AI4709" s="218"/>
      <c r="AJ4709" s="218"/>
      <c r="AK4709" s="153"/>
      <c r="AL4709" s="152"/>
      <c r="AM4709" s="152"/>
      <c r="AN4709" s="152"/>
      <c r="AO4709" s="152"/>
      <c r="AP4709" s="152"/>
      <c r="AQ4709" s="152"/>
      <c r="AR4709" s="152"/>
      <c r="AS4709" s="152"/>
      <c r="AT4709" s="152"/>
      <c r="AU4709" s="153"/>
      <c r="AV4709" s="479"/>
      <c r="AW4709" s="479"/>
      <c r="AX4709" s="442"/>
      <c r="AY4709" s="153"/>
      <c r="AZ4709" s="152"/>
      <c r="BA4709" s="152"/>
      <c r="BB4709" s="152"/>
      <c r="BC4709" s="152"/>
      <c r="BD4709" s="152"/>
      <c r="BE4709" s="152"/>
      <c r="BF4709" s="152"/>
      <c r="BG4709" s="152"/>
      <c r="BH4709" s="152"/>
      <c r="BI4709" s="153"/>
      <c r="BJ4709" s="153"/>
      <c r="BK4709" s="153"/>
      <c r="BL4709" s="153"/>
      <c r="BM4709" s="153"/>
      <c r="BN4709" s="153"/>
      <c r="BO4709" s="153"/>
      <c r="BP4709" s="153"/>
      <c r="BQ4709" s="153"/>
      <c r="BR4709" s="153"/>
      <c r="BS4709" s="153"/>
      <c r="BT4709" s="153"/>
      <c r="BU4709" s="153"/>
      <c r="BV4709" s="153"/>
      <c r="BW4709" s="153"/>
      <c r="BX4709" s="153"/>
      <c r="BY4709" s="153"/>
      <c r="BZ4709" s="153"/>
      <c r="CA4709" s="152"/>
      <c r="CB4709" s="152"/>
    </row>
    <row r="4710" spans="1:80" s="87" customFormat="1" x14ac:dyDescent="0.2">
      <c r="A4710" s="152"/>
      <c r="B4710" s="683"/>
      <c r="C4710" s="683"/>
      <c r="D4710" s="698"/>
      <c r="E4710" s="215"/>
      <c r="F4710" s="215"/>
      <c r="G4710" s="153"/>
      <c r="H4710" s="153"/>
      <c r="I4710" s="163">
        <v>20</v>
      </c>
      <c r="J4710" s="163">
        <v>60</v>
      </c>
      <c r="K4710" s="150">
        <v>1</v>
      </c>
      <c r="L4710" s="656">
        <v>20</v>
      </c>
      <c r="M4710" s="663">
        <v>35228</v>
      </c>
      <c r="N4710" s="600">
        <v>17.553899999999999</v>
      </c>
      <c r="O4710" s="604">
        <v>0.491199</v>
      </c>
      <c r="P4710" s="250"/>
      <c r="Q4710" s="250"/>
      <c r="R4710" s="250"/>
      <c r="S4710" s="250">
        <v>7.4999999999999997E-2</v>
      </c>
      <c r="T4710" s="250">
        <v>0.36099999999999999</v>
      </c>
      <c r="U4710" s="250">
        <v>0.34899999999999998</v>
      </c>
      <c r="V4710" s="250">
        <v>0.16500000000000001</v>
      </c>
      <c r="W4710" s="250">
        <v>4.4000000000000004E-2</v>
      </c>
      <c r="X4710" s="250">
        <v>6.0000000000000001E-3</v>
      </c>
      <c r="Y4710" s="250">
        <v>1E-3</v>
      </c>
      <c r="Z4710" s="150">
        <v>16.5</v>
      </c>
      <c r="AA4710" s="150">
        <v>3.52</v>
      </c>
      <c r="AB4710" s="152"/>
      <c r="AC4710" s="152"/>
      <c r="AD4710" s="223"/>
      <c r="AE4710" s="223"/>
      <c r="AF4710" s="223"/>
      <c r="AG4710" s="223"/>
      <c r="AH4710" s="341"/>
      <c r="AI4710" s="218"/>
      <c r="AJ4710" s="218"/>
      <c r="AK4710" s="153"/>
      <c r="AL4710" s="152"/>
      <c r="AM4710" s="152"/>
      <c r="AN4710" s="152"/>
      <c r="AO4710" s="152"/>
      <c r="AP4710" s="152"/>
      <c r="AQ4710" s="152"/>
      <c r="AR4710" s="152"/>
      <c r="AS4710" s="152"/>
      <c r="AT4710" s="152"/>
      <c r="AU4710" s="153"/>
      <c r="AV4710" s="479"/>
      <c r="AW4710" s="479"/>
      <c r="AX4710" s="442"/>
      <c r="AY4710" s="153"/>
      <c r="AZ4710" s="152"/>
      <c r="BA4710" s="152"/>
      <c r="BB4710" s="152"/>
      <c r="BC4710" s="152"/>
      <c r="BD4710" s="152"/>
      <c r="BE4710" s="152"/>
      <c r="BF4710" s="152"/>
      <c r="BG4710" s="152"/>
      <c r="BH4710" s="152"/>
      <c r="BI4710" s="153"/>
      <c r="BJ4710" s="153"/>
      <c r="BK4710" s="153"/>
      <c r="BL4710" s="153"/>
      <c r="BM4710" s="153"/>
      <c r="BN4710" s="153"/>
      <c r="BO4710" s="153"/>
      <c r="BP4710" s="153"/>
      <c r="BQ4710" s="153"/>
      <c r="BR4710" s="153"/>
      <c r="BS4710" s="153"/>
      <c r="BT4710" s="153"/>
      <c r="BU4710" s="153"/>
      <c r="BV4710" s="153"/>
      <c r="BW4710" s="153"/>
      <c r="BX4710" s="153"/>
      <c r="BY4710" s="153"/>
      <c r="BZ4710" s="153"/>
      <c r="CA4710" s="152"/>
      <c r="CB4710" s="152"/>
    </row>
    <row r="4711" spans="1:80" s="87" customFormat="1" x14ac:dyDescent="0.2">
      <c r="A4711" s="152"/>
      <c r="B4711" s="683"/>
      <c r="C4711" s="683"/>
      <c r="D4711" s="698"/>
      <c r="E4711" s="215"/>
      <c r="F4711" s="215"/>
      <c r="G4711" s="153"/>
      <c r="H4711" s="153"/>
      <c r="I4711" s="163">
        <v>21</v>
      </c>
      <c r="J4711" s="163">
        <v>60</v>
      </c>
      <c r="K4711" s="150">
        <v>1</v>
      </c>
      <c r="L4711" s="656">
        <v>21</v>
      </c>
      <c r="M4711" s="663">
        <v>34864</v>
      </c>
      <c r="N4711" s="600">
        <v>21.545999999999999</v>
      </c>
      <c r="O4711" s="604">
        <v>0.31067299999999998</v>
      </c>
      <c r="P4711" s="250"/>
      <c r="Q4711" s="250"/>
      <c r="R4711" s="250">
        <v>6.2E-2</v>
      </c>
      <c r="S4711" s="250">
        <v>8.6999999999999994E-2</v>
      </c>
      <c r="T4711" s="250">
        <v>0.158</v>
      </c>
      <c r="U4711" s="250">
        <v>0.23899999999999999</v>
      </c>
      <c r="V4711" s="250">
        <v>0.254</v>
      </c>
      <c r="W4711" s="250">
        <v>0.14899999999999999</v>
      </c>
      <c r="X4711" s="250">
        <v>4.9000000000000002E-2</v>
      </c>
      <c r="Y4711" s="250">
        <v>1E-3</v>
      </c>
      <c r="Z4711" s="150">
        <v>21</v>
      </c>
      <c r="AA4711" s="150">
        <v>2.29</v>
      </c>
      <c r="AB4711" s="152"/>
      <c r="AC4711" s="152"/>
      <c r="AD4711" s="223"/>
      <c r="AE4711" s="223"/>
      <c r="AF4711" s="223"/>
      <c r="AG4711" s="223"/>
      <c r="AH4711" s="341"/>
      <c r="AI4711" s="218"/>
      <c r="AJ4711" s="218"/>
      <c r="AK4711" s="153"/>
      <c r="AL4711" s="152"/>
      <c r="AM4711" s="152"/>
      <c r="AN4711" s="152"/>
      <c r="AO4711" s="152"/>
      <c r="AP4711" s="152"/>
      <c r="AQ4711" s="152"/>
      <c r="AR4711" s="152"/>
      <c r="AS4711" s="152"/>
      <c r="AT4711" s="152"/>
      <c r="AU4711" s="153"/>
      <c r="AV4711" s="479"/>
      <c r="AW4711" s="479"/>
      <c r="AX4711" s="442"/>
      <c r="AY4711" s="153"/>
      <c r="AZ4711" s="152"/>
      <c r="BA4711" s="152"/>
      <c r="BB4711" s="152"/>
      <c r="BC4711" s="152"/>
      <c r="BD4711" s="152"/>
      <c r="BE4711" s="152"/>
      <c r="BF4711" s="152"/>
      <c r="BG4711" s="152"/>
      <c r="BH4711" s="152"/>
      <c r="BI4711" s="153"/>
      <c r="BJ4711" s="153"/>
      <c r="BK4711" s="153"/>
      <c r="BL4711" s="153"/>
      <c r="BM4711" s="153"/>
      <c r="BN4711" s="153"/>
      <c r="BO4711" s="153"/>
      <c r="BP4711" s="153"/>
      <c r="BQ4711" s="153"/>
      <c r="BR4711" s="153"/>
      <c r="BS4711" s="153"/>
      <c r="BT4711" s="153"/>
      <c r="BU4711" s="153"/>
      <c r="BV4711" s="153"/>
      <c r="BW4711" s="153"/>
      <c r="BX4711" s="153"/>
      <c r="BY4711" s="153"/>
      <c r="BZ4711" s="153"/>
      <c r="CA4711" s="152"/>
      <c r="CB4711" s="152"/>
    </row>
    <row r="4712" spans="1:80" s="87" customFormat="1" x14ac:dyDescent="0.2">
      <c r="A4712" s="152"/>
      <c r="B4712" s="683"/>
      <c r="C4712" s="683"/>
      <c r="D4712" s="698"/>
      <c r="E4712" s="215"/>
      <c r="F4712" s="215"/>
      <c r="G4712" s="153"/>
      <c r="H4712" s="153"/>
      <c r="I4712" s="163">
        <v>21</v>
      </c>
      <c r="J4712" s="163">
        <v>60</v>
      </c>
      <c r="K4712" s="150">
        <v>1</v>
      </c>
      <c r="L4712" s="656">
        <v>21</v>
      </c>
      <c r="M4712" s="663">
        <v>34864</v>
      </c>
      <c r="N4712" s="600">
        <v>21.545999999999999</v>
      </c>
      <c r="O4712" s="604">
        <v>0.31907000000000002</v>
      </c>
      <c r="P4712" s="250"/>
      <c r="Q4712" s="250"/>
      <c r="R4712" s="250">
        <v>1.3999999999999999E-2</v>
      </c>
      <c r="S4712" s="250">
        <v>2.6000000000000002E-2</v>
      </c>
      <c r="T4712" s="250">
        <v>0.14199999999999999</v>
      </c>
      <c r="U4712" s="250">
        <v>0.23100000000000001</v>
      </c>
      <c r="V4712" s="250">
        <v>0.313</v>
      </c>
      <c r="W4712" s="250">
        <v>0.2</v>
      </c>
      <c r="X4712" s="250">
        <v>7.2999999999999995E-2</v>
      </c>
      <c r="Y4712" s="250">
        <v>2E-3</v>
      </c>
      <c r="Z4712" s="150">
        <v>20</v>
      </c>
      <c r="AA4712" s="150">
        <v>1.65</v>
      </c>
      <c r="AB4712" s="152"/>
      <c r="AC4712" s="152"/>
      <c r="AD4712" s="223"/>
      <c r="AE4712" s="223"/>
      <c r="AF4712" s="223"/>
      <c r="AG4712" s="223"/>
      <c r="AH4712" s="341"/>
      <c r="AI4712" s="218"/>
      <c r="AJ4712" s="218"/>
      <c r="AK4712" s="153"/>
      <c r="AL4712" s="152"/>
      <c r="AM4712" s="152"/>
      <c r="AN4712" s="152"/>
      <c r="AO4712" s="152"/>
      <c r="AP4712" s="152"/>
      <c r="AQ4712" s="152"/>
      <c r="AR4712" s="152"/>
      <c r="AS4712" s="152"/>
      <c r="AT4712" s="152"/>
      <c r="AU4712" s="153"/>
      <c r="AV4712" s="479"/>
      <c r="AW4712" s="479"/>
      <c r="AX4712" s="442"/>
      <c r="AY4712" s="153"/>
      <c r="AZ4712" s="152"/>
      <c r="BA4712" s="152"/>
      <c r="BB4712" s="152"/>
      <c r="BC4712" s="152"/>
      <c r="BD4712" s="152"/>
      <c r="BE4712" s="152"/>
      <c r="BF4712" s="152"/>
      <c r="BG4712" s="152"/>
      <c r="BH4712" s="152"/>
      <c r="BI4712" s="153"/>
      <c r="BJ4712" s="153"/>
      <c r="BK4712" s="153"/>
      <c r="BL4712" s="153"/>
      <c r="BM4712" s="153"/>
      <c r="BN4712" s="153"/>
      <c r="BO4712" s="153"/>
      <c r="BP4712" s="153"/>
      <c r="BQ4712" s="153"/>
      <c r="BR4712" s="153"/>
      <c r="BS4712" s="153"/>
      <c r="BT4712" s="153"/>
      <c r="BU4712" s="153"/>
      <c r="BV4712" s="153"/>
      <c r="BW4712" s="153"/>
      <c r="BX4712" s="153"/>
      <c r="BY4712" s="153"/>
      <c r="BZ4712" s="153"/>
      <c r="CA4712" s="152"/>
      <c r="CB4712" s="152"/>
    </row>
    <row r="4713" spans="1:80" s="87" customFormat="1" x14ac:dyDescent="0.2">
      <c r="A4713" s="152"/>
      <c r="B4713" s="683"/>
      <c r="C4713" s="683"/>
      <c r="D4713" s="698"/>
      <c r="E4713" s="215"/>
      <c r="F4713" s="215"/>
      <c r="G4713" s="153"/>
      <c r="H4713" s="153"/>
      <c r="I4713" s="163">
        <v>21</v>
      </c>
      <c r="J4713" s="163">
        <v>60</v>
      </c>
      <c r="K4713" s="150">
        <v>1</v>
      </c>
      <c r="L4713" s="656">
        <v>21</v>
      </c>
      <c r="M4713" s="663">
        <v>34866</v>
      </c>
      <c r="N4713" s="600">
        <v>21.376100000000001</v>
      </c>
      <c r="O4713" s="604">
        <v>0.35160599999999997</v>
      </c>
      <c r="P4713" s="250"/>
      <c r="Q4713" s="250"/>
      <c r="R4713" s="250"/>
      <c r="S4713" s="250">
        <v>5.5E-2</v>
      </c>
      <c r="T4713" s="250">
        <v>0.17</v>
      </c>
      <c r="U4713" s="250">
        <v>0.22399999999999998</v>
      </c>
      <c r="V4713" s="250">
        <v>0.29499999999999998</v>
      </c>
      <c r="W4713" s="250">
        <v>0.20300000000000001</v>
      </c>
      <c r="X4713" s="250">
        <v>5.0999999999999997E-2</v>
      </c>
      <c r="Y4713" s="250">
        <v>1E-3</v>
      </c>
      <c r="Z4713" s="150">
        <v>11.3</v>
      </c>
      <c r="AA4713" s="150">
        <v>1.78</v>
      </c>
      <c r="AB4713" s="152"/>
      <c r="AC4713" s="152"/>
      <c r="AD4713" s="223"/>
      <c r="AE4713" s="223"/>
      <c r="AF4713" s="223"/>
      <c r="AG4713" s="223"/>
      <c r="AH4713" s="341"/>
      <c r="AI4713" s="218"/>
      <c r="AJ4713" s="218"/>
      <c r="AK4713" s="153"/>
      <c r="AL4713" s="152"/>
      <c r="AM4713" s="152"/>
      <c r="AN4713" s="152"/>
      <c r="AO4713" s="152"/>
      <c r="AP4713" s="152"/>
      <c r="AQ4713" s="152"/>
      <c r="AR4713" s="152"/>
      <c r="AS4713" s="152"/>
      <c r="AT4713" s="152"/>
      <c r="AU4713" s="153"/>
      <c r="AV4713" s="479"/>
      <c r="AW4713" s="479"/>
      <c r="AX4713" s="442"/>
      <c r="AY4713" s="153"/>
      <c r="AZ4713" s="152"/>
      <c r="BA4713" s="152"/>
      <c r="BB4713" s="152"/>
      <c r="BC4713" s="152"/>
      <c r="BD4713" s="152"/>
      <c r="BE4713" s="152"/>
      <c r="BF4713" s="152"/>
      <c r="BG4713" s="152"/>
      <c r="BH4713" s="152"/>
      <c r="BI4713" s="153"/>
      <c r="BJ4713" s="153"/>
      <c r="BK4713" s="153"/>
      <c r="BL4713" s="153"/>
      <c r="BM4713" s="153"/>
      <c r="BN4713" s="153"/>
      <c r="BO4713" s="153"/>
      <c r="BP4713" s="153"/>
      <c r="BQ4713" s="153"/>
      <c r="BR4713" s="153"/>
      <c r="BS4713" s="153"/>
      <c r="BT4713" s="153"/>
      <c r="BU4713" s="153"/>
      <c r="BV4713" s="153"/>
      <c r="BW4713" s="153"/>
      <c r="BX4713" s="153"/>
      <c r="BY4713" s="153"/>
      <c r="BZ4713" s="153"/>
      <c r="CA4713" s="152"/>
      <c r="CB4713" s="152"/>
    </row>
    <row r="4714" spans="1:80" s="87" customFormat="1" x14ac:dyDescent="0.2">
      <c r="A4714" s="152"/>
      <c r="B4714" s="683"/>
      <c r="C4714" s="683"/>
      <c r="D4714" s="698"/>
      <c r="E4714" s="215"/>
      <c r="F4714" s="215"/>
      <c r="G4714" s="153"/>
      <c r="H4714" s="153"/>
      <c r="I4714" s="163">
        <v>21</v>
      </c>
      <c r="J4714" s="163">
        <v>60</v>
      </c>
      <c r="K4714" s="150">
        <v>1</v>
      </c>
      <c r="L4714" s="656">
        <v>21</v>
      </c>
      <c r="M4714" s="663">
        <v>34866</v>
      </c>
      <c r="N4714" s="600">
        <v>21.376100000000001</v>
      </c>
      <c r="O4714" s="604">
        <v>0.38309399999999999</v>
      </c>
      <c r="P4714" s="250"/>
      <c r="Q4714" s="250"/>
      <c r="R4714" s="250">
        <v>1.7000000000000001E-2</v>
      </c>
      <c r="S4714" s="250">
        <v>4.2000000000000003E-2</v>
      </c>
      <c r="T4714" s="250">
        <v>0.156</v>
      </c>
      <c r="U4714" s="250">
        <v>0.255</v>
      </c>
      <c r="V4714" s="250">
        <v>0.30099999999999999</v>
      </c>
      <c r="W4714" s="250">
        <v>0.18600000000000003</v>
      </c>
      <c r="X4714" s="250">
        <v>4.2000000000000003E-2</v>
      </c>
      <c r="Y4714" s="250">
        <v>2E-3</v>
      </c>
      <c r="Z4714" s="150">
        <v>21</v>
      </c>
      <c r="AA4714" s="150">
        <v>1.86</v>
      </c>
      <c r="AB4714" s="152"/>
      <c r="AC4714" s="152"/>
      <c r="AD4714" s="223"/>
      <c r="AE4714" s="223"/>
      <c r="AF4714" s="223"/>
      <c r="AG4714" s="223"/>
      <c r="AH4714" s="341"/>
      <c r="AI4714" s="218"/>
      <c r="AJ4714" s="218"/>
      <c r="AK4714" s="153"/>
      <c r="AL4714" s="152"/>
      <c r="AM4714" s="152"/>
      <c r="AN4714" s="152"/>
      <c r="AO4714" s="152"/>
      <c r="AP4714" s="152"/>
      <c r="AQ4714" s="152"/>
      <c r="AR4714" s="152"/>
      <c r="AS4714" s="152"/>
      <c r="AT4714" s="152"/>
      <c r="AU4714" s="153"/>
      <c r="AV4714" s="479"/>
      <c r="AW4714" s="479"/>
      <c r="AX4714" s="442"/>
      <c r="AY4714" s="153"/>
      <c r="AZ4714" s="152"/>
      <c r="BA4714" s="152"/>
      <c r="BB4714" s="152"/>
      <c r="BC4714" s="152"/>
      <c r="BD4714" s="152"/>
      <c r="BE4714" s="152"/>
      <c r="BF4714" s="152"/>
      <c r="BG4714" s="152"/>
      <c r="BH4714" s="152"/>
      <c r="BI4714" s="153"/>
      <c r="BJ4714" s="153"/>
      <c r="BK4714" s="153"/>
      <c r="BL4714" s="153"/>
      <c r="BM4714" s="153"/>
      <c r="BN4714" s="153"/>
      <c r="BO4714" s="153"/>
      <c r="BP4714" s="153"/>
      <c r="BQ4714" s="153"/>
      <c r="BR4714" s="153"/>
      <c r="BS4714" s="153"/>
      <c r="BT4714" s="153"/>
      <c r="BU4714" s="153"/>
      <c r="BV4714" s="153"/>
      <c r="BW4714" s="153"/>
      <c r="BX4714" s="153"/>
      <c r="BY4714" s="153"/>
      <c r="BZ4714" s="153"/>
      <c r="CA4714" s="152"/>
      <c r="CB4714" s="152"/>
    </row>
    <row r="4715" spans="1:80" s="87" customFormat="1" x14ac:dyDescent="0.2">
      <c r="A4715" s="152"/>
      <c r="B4715" s="683"/>
      <c r="C4715" s="683"/>
      <c r="D4715" s="698"/>
      <c r="E4715" s="215"/>
      <c r="F4715" s="215"/>
      <c r="G4715" s="153"/>
      <c r="H4715" s="153"/>
      <c r="I4715" s="163">
        <v>21</v>
      </c>
      <c r="J4715" s="163">
        <v>60</v>
      </c>
      <c r="K4715" s="150">
        <v>1</v>
      </c>
      <c r="L4715" s="656">
        <v>21</v>
      </c>
      <c r="M4715" s="663">
        <v>34871</v>
      </c>
      <c r="N4715" s="600">
        <v>17.695399999999999</v>
      </c>
      <c r="O4715" s="604">
        <v>9.1628000000000001E-2</v>
      </c>
      <c r="P4715" s="250"/>
      <c r="Q4715" s="250"/>
      <c r="R4715" s="250"/>
      <c r="S4715" s="250">
        <v>7.0999999999999994E-2</v>
      </c>
      <c r="T4715" s="250">
        <v>0.14099999999999999</v>
      </c>
      <c r="U4715" s="250">
        <v>0.22899999999999998</v>
      </c>
      <c r="V4715" s="250">
        <v>0.312</v>
      </c>
      <c r="W4715" s="250">
        <v>0.19899999999999998</v>
      </c>
      <c r="X4715" s="250">
        <v>4.7E-2</v>
      </c>
      <c r="Y4715" s="250">
        <v>1E-3</v>
      </c>
      <c r="Z4715" s="150">
        <v>12.5</v>
      </c>
      <c r="AA4715" s="150">
        <v>1.75</v>
      </c>
      <c r="AB4715" s="152"/>
      <c r="AC4715" s="152"/>
      <c r="AD4715" s="223"/>
      <c r="AE4715" s="223"/>
      <c r="AF4715" s="223"/>
      <c r="AG4715" s="223"/>
      <c r="AH4715" s="341"/>
      <c r="AI4715" s="218"/>
      <c r="AJ4715" s="218"/>
      <c r="AK4715" s="153"/>
      <c r="AL4715" s="152"/>
      <c r="AM4715" s="152"/>
      <c r="AN4715" s="152"/>
      <c r="AO4715" s="152"/>
      <c r="AP4715" s="152"/>
      <c r="AQ4715" s="152"/>
      <c r="AR4715" s="152"/>
      <c r="AS4715" s="152"/>
      <c r="AT4715" s="152"/>
      <c r="AU4715" s="153"/>
      <c r="AV4715" s="479"/>
      <c r="AW4715" s="479"/>
      <c r="AX4715" s="442"/>
      <c r="AY4715" s="153"/>
      <c r="AZ4715" s="152"/>
      <c r="BA4715" s="152"/>
      <c r="BB4715" s="152"/>
      <c r="BC4715" s="152"/>
      <c r="BD4715" s="152"/>
      <c r="BE4715" s="152"/>
      <c r="BF4715" s="152"/>
      <c r="BG4715" s="152"/>
      <c r="BH4715" s="152"/>
      <c r="BI4715" s="153"/>
      <c r="BJ4715" s="153"/>
      <c r="BK4715" s="153"/>
      <c r="BL4715" s="153"/>
      <c r="BM4715" s="153"/>
      <c r="BN4715" s="153"/>
      <c r="BO4715" s="153"/>
      <c r="BP4715" s="153"/>
      <c r="BQ4715" s="153"/>
      <c r="BR4715" s="153"/>
      <c r="BS4715" s="153"/>
      <c r="BT4715" s="153"/>
      <c r="BU4715" s="153"/>
      <c r="BV4715" s="153"/>
      <c r="BW4715" s="153"/>
      <c r="BX4715" s="153"/>
      <c r="BY4715" s="153"/>
      <c r="BZ4715" s="153"/>
      <c r="CA4715" s="152"/>
      <c r="CB4715" s="152"/>
    </row>
    <row r="4716" spans="1:80" s="87" customFormat="1" x14ac:dyDescent="0.2">
      <c r="A4716" s="152"/>
      <c r="B4716" s="683"/>
      <c r="C4716" s="683"/>
      <c r="D4716" s="698"/>
      <c r="E4716" s="215"/>
      <c r="F4716" s="215"/>
      <c r="G4716" s="153"/>
      <c r="H4716" s="153"/>
      <c r="I4716" s="163">
        <v>21</v>
      </c>
      <c r="J4716" s="163">
        <v>60</v>
      </c>
      <c r="K4716" s="150">
        <v>1</v>
      </c>
      <c r="L4716" s="656">
        <v>21</v>
      </c>
      <c r="M4716" s="663">
        <v>34871</v>
      </c>
      <c r="N4716" s="600">
        <v>17.695399999999999</v>
      </c>
      <c r="O4716" s="604">
        <v>0.31172299999999997</v>
      </c>
      <c r="P4716" s="250"/>
      <c r="Q4716" s="250">
        <v>0.193</v>
      </c>
      <c r="R4716" s="250">
        <v>7.0000000000000007E-2</v>
      </c>
      <c r="S4716" s="250">
        <v>8.900000000000001E-2</v>
      </c>
      <c r="T4716" s="250">
        <v>0.14499999999999999</v>
      </c>
      <c r="U4716" s="250">
        <v>0.14899999999999999</v>
      </c>
      <c r="V4716" s="250">
        <v>0.18100000000000002</v>
      </c>
      <c r="W4716" s="250">
        <v>0.13200000000000001</v>
      </c>
      <c r="X4716" s="250">
        <v>0.04</v>
      </c>
      <c r="Y4716" s="250">
        <v>1E-3</v>
      </c>
      <c r="Z4716" s="150">
        <v>61</v>
      </c>
      <c r="AA4716" s="150">
        <v>3.94</v>
      </c>
      <c r="AB4716" s="152"/>
      <c r="AC4716" s="152"/>
      <c r="AD4716" s="223"/>
      <c r="AE4716" s="223"/>
      <c r="AF4716" s="223"/>
      <c r="AG4716" s="223"/>
      <c r="AH4716" s="341"/>
      <c r="AI4716" s="218"/>
      <c r="AJ4716" s="218"/>
      <c r="AK4716" s="153"/>
      <c r="AL4716" s="152"/>
      <c r="AM4716" s="152"/>
      <c r="AN4716" s="152"/>
      <c r="AO4716" s="152"/>
      <c r="AP4716" s="152"/>
      <c r="AQ4716" s="152"/>
      <c r="AR4716" s="152"/>
      <c r="AS4716" s="152"/>
      <c r="AT4716" s="152"/>
      <c r="AU4716" s="153"/>
      <c r="AV4716" s="479"/>
      <c r="AW4716" s="479"/>
      <c r="AX4716" s="442"/>
      <c r="AY4716" s="153"/>
      <c r="AZ4716" s="152"/>
      <c r="BA4716" s="152"/>
      <c r="BB4716" s="152"/>
      <c r="BC4716" s="152"/>
      <c r="BD4716" s="152"/>
      <c r="BE4716" s="152"/>
      <c r="BF4716" s="152"/>
      <c r="BG4716" s="152"/>
      <c r="BH4716" s="152"/>
      <c r="BI4716" s="153"/>
      <c r="BJ4716" s="153"/>
      <c r="BK4716" s="153"/>
      <c r="BL4716" s="153"/>
      <c r="BM4716" s="153"/>
      <c r="BN4716" s="153"/>
      <c r="BO4716" s="153"/>
      <c r="BP4716" s="153"/>
      <c r="BQ4716" s="153"/>
      <c r="BR4716" s="153"/>
      <c r="BS4716" s="153"/>
      <c r="BT4716" s="153"/>
      <c r="BU4716" s="153"/>
      <c r="BV4716" s="153"/>
      <c r="BW4716" s="153"/>
      <c r="BX4716" s="153"/>
      <c r="BY4716" s="153"/>
      <c r="BZ4716" s="153"/>
      <c r="CA4716" s="152"/>
      <c r="CB4716" s="152"/>
    </row>
    <row r="4717" spans="1:80" s="87" customFormat="1" x14ac:dyDescent="0.2">
      <c r="A4717" s="152"/>
      <c r="B4717" s="683"/>
      <c r="C4717" s="683"/>
      <c r="D4717" s="698"/>
      <c r="E4717" s="215"/>
      <c r="F4717" s="215"/>
      <c r="G4717" s="153"/>
      <c r="H4717" s="153"/>
      <c r="I4717" s="163">
        <v>21</v>
      </c>
      <c r="J4717" s="163">
        <v>60</v>
      </c>
      <c r="K4717" s="150">
        <v>1</v>
      </c>
      <c r="L4717" s="656">
        <v>21</v>
      </c>
      <c r="M4717" s="663">
        <v>34871</v>
      </c>
      <c r="N4717" s="600">
        <v>17.695399999999999</v>
      </c>
      <c r="O4717" s="604">
        <v>4.7021E-2</v>
      </c>
      <c r="P4717" s="250"/>
      <c r="Q4717" s="250"/>
      <c r="R4717" s="250"/>
      <c r="S4717" s="250">
        <v>9.3000000000000013E-2</v>
      </c>
      <c r="T4717" s="250">
        <v>0.14199999999999999</v>
      </c>
      <c r="U4717" s="250">
        <v>0.183</v>
      </c>
      <c r="V4717" s="250">
        <v>0.249</v>
      </c>
      <c r="W4717" s="250">
        <v>0.22399999999999998</v>
      </c>
      <c r="X4717" s="250">
        <v>0.10800000000000001</v>
      </c>
      <c r="Y4717" s="250">
        <v>1E-3</v>
      </c>
      <c r="Z4717" s="150">
        <v>9</v>
      </c>
      <c r="AA4717" s="150">
        <v>1.59</v>
      </c>
      <c r="AB4717" s="152"/>
      <c r="AC4717" s="152"/>
      <c r="AD4717" s="223"/>
      <c r="AE4717" s="223"/>
      <c r="AF4717" s="223"/>
      <c r="AG4717" s="223"/>
      <c r="AH4717" s="341"/>
      <c r="AI4717" s="218"/>
      <c r="AJ4717" s="218"/>
      <c r="AK4717" s="153"/>
      <c r="AL4717" s="152"/>
      <c r="AM4717" s="152"/>
      <c r="AN4717" s="152"/>
      <c r="AO4717" s="152"/>
      <c r="AP4717" s="152"/>
      <c r="AQ4717" s="152"/>
      <c r="AR4717" s="152"/>
      <c r="AS4717" s="152"/>
      <c r="AT4717" s="152"/>
      <c r="AU4717" s="153"/>
      <c r="AV4717" s="479"/>
      <c r="AW4717" s="479"/>
      <c r="AX4717" s="442"/>
      <c r="AY4717" s="153"/>
      <c r="AZ4717" s="152"/>
      <c r="BA4717" s="152"/>
      <c r="BB4717" s="152"/>
      <c r="BC4717" s="152"/>
      <c r="BD4717" s="152"/>
      <c r="BE4717" s="152"/>
      <c r="BF4717" s="152"/>
      <c r="BG4717" s="152"/>
      <c r="BH4717" s="152"/>
      <c r="BI4717" s="153"/>
      <c r="BJ4717" s="153"/>
      <c r="BK4717" s="153"/>
      <c r="BL4717" s="153"/>
      <c r="BM4717" s="153"/>
      <c r="BN4717" s="153"/>
      <c r="BO4717" s="153"/>
      <c r="BP4717" s="153"/>
      <c r="BQ4717" s="153"/>
      <c r="BR4717" s="153"/>
      <c r="BS4717" s="153"/>
      <c r="BT4717" s="153"/>
      <c r="BU4717" s="153"/>
      <c r="BV4717" s="153"/>
      <c r="BW4717" s="153"/>
      <c r="BX4717" s="153"/>
      <c r="BY4717" s="153"/>
      <c r="BZ4717" s="153"/>
      <c r="CA4717" s="152"/>
      <c r="CB4717" s="152"/>
    </row>
    <row r="4718" spans="1:80" s="87" customFormat="1" x14ac:dyDescent="0.2">
      <c r="A4718" s="152"/>
      <c r="B4718" s="683"/>
      <c r="C4718" s="683"/>
      <c r="D4718" s="698"/>
      <c r="E4718" s="215"/>
      <c r="F4718" s="215"/>
      <c r="G4718" s="153"/>
      <c r="H4718" s="153"/>
      <c r="I4718" s="163">
        <v>20</v>
      </c>
      <c r="J4718" s="163">
        <v>60</v>
      </c>
      <c r="K4718" s="150">
        <v>1</v>
      </c>
      <c r="L4718" s="656">
        <v>20</v>
      </c>
      <c r="M4718" s="663">
        <v>34873</v>
      </c>
      <c r="N4718" s="600">
        <v>16.336400000000001</v>
      </c>
      <c r="O4718" s="604">
        <v>0.374697</v>
      </c>
      <c r="P4718" s="250"/>
      <c r="Q4718" s="250"/>
      <c r="R4718" s="250">
        <v>1.4999999999999999E-2</v>
      </c>
      <c r="S4718" s="250">
        <v>0.12</v>
      </c>
      <c r="T4718" s="250">
        <v>0.36899999999999999</v>
      </c>
      <c r="U4718" s="250">
        <v>0.27100000000000002</v>
      </c>
      <c r="V4718" s="250">
        <v>0.14599999999999999</v>
      </c>
      <c r="W4718" s="250">
        <v>6.2E-2</v>
      </c>
      <c r="X4718" s="250">
        <v>1.6E-2</v>
      </c>
      <c r="Y4718" s="250">
        <v>1E-3</v>
      </c>
      <c r="Z4718" s="150">
        <v>20</v>
      </c>
      <c r="AA4718" s="150">
        <v>4.03</v>
      </c>
      <c r="AB4718" s="152"/>
      <c r="AC4718" s="152"/>
      <c r="AD4718" s="223"/>
      <c r="AE4718" s="223"/>
      <c r="AF4718" s="223"/>
      <c r="AG4718" s="223"/>
      <c r="AH4718" s="341"/>
      <c r="AI4718" s="218"/>
      <c r="AJ4718" s="218"/>
      <c r="AK4718" s="153"/>
      <c r="AL4718" s="152"/>
      <c r="AM4718" s="152"/>
      <c r="AN4718" s="152"/>
      <c r="AO4718" s="152"/>
      <c r="AP4718" s="152"/>
      <c r="AQ4718" s="152"/>
      <c r="AR4718" s="152"/>
      <c r="AS4718" s="152"/>
      <c r="AT4718" s="152"/>
      <c r="AU4718" s="153"/>
      <c r="AV4718" s="479"/>
      <c r="AW4718" s="479"/>
      <c r="AX4718" s="442"/>
      <c r="AY4718" s="153"/>
      <c r="AZ4718" s="152"/>
      <c r="BA4718" s="152"/>
      <c r="BB4718" s="152"/>
      <c r="BC4718" s="152"/>
      <c r="BD4718" s="152"/>
      <c r="BE4718" s="152"/>
      <c r="BF4718" s="152"/>
      <c r="BG4718" s="152"/>
      <c r="BH4718" s="152"/>
      <c r="BI4718" s="153"/>
      <c r="BJ4718" s="153"/>
      <c r="BK4718" s="153"/>
      <c r="BL4718" s="153"/>
      <c r="BM4718" s="153"/>
      <c r="BN4718" s="153"/>
      <c r="BO4718" s="153"/>
      <c r="BP4718" s="153"/>
      <c r="BQ4718" s="153"/>
      <c r="BR4718" s="153"/>
      <c r="BS4718" s="153"/>
      <c r="BT4718" s="153"/>
      <c r="BU4718" s="153"/>
      <c r="BV4718" s="153"/>
      <c r="BW4718" s="153"/>
      <c r="BX4718" s="153"/>
      <c r="BY4718" s="153"/>
      <c r="BZ4718" s="153"/>
      <c r="CA4718" s="152"/>
      <c r="CB4718" s="152"/>
    </row>
    <row r="4719" spans="1:80" s="87" customFormat="1" x14ac:dyDescent="0.2">
      <c r="A4719" s="152"/>
      <c r="B4719" s="683"/>
      <c r="C4719" s="683"/>
      <c r="D4719" s="698"/>
      <c r="E4719" s="215"/>
      <c r="F4719" s="215"/>
      <c r="G4719" s="153"/>
      <c r="H4719" s="153"/>
      <c r="I4719" s="163">
        <v>20</v>
      </c>
      <c r="J4719" s="163">
        <v>60</v>
      </c>
      <c r="K4719" s="150">
        <v>1</v>
      </c>
      <c r="L4719" s="656">
        <v>20</v>
      </c>
      <c r="M4719" s="663">
        <v>34873</v>
      </c>
      <c r="N4719" s="600">
        <v>16.336400000000001</v>
      </c>
      <c r="O4719" s="604">
        <v>0.66332899999999995</v>
      </c>
      <c r="P4719" s="250"/>
      <c r="Q4719" s="250"/>
      <c r="R4719" s="250">
        <v>5.0000000000000001E-3</v>
      </c>
      <c r="S4719" s="250">
        <v>5.7000000000000002E-2</v>
      </c>
      <c r="T4719" s="250">
        <v>0.29399999999999998</v>
      </c>
      <c r="U4719" s="250">
        <v>0.27399999999999997</v>
      </c>
      <c r="V4719" s="250">
        <v>0.22699999999999998</v>
      </c>
      <c r="W4719" s="250">
        <v>0.11699999999999999</v>
      </c>
      <c r="X4719" s="250">
        <v>2.5000000000000001E-2</v>
      </c>
      <c r="Y4719" s="250">
        <v>1E-3</v>
      </c>
      <c r="Z4719" s="150">
        <v>16</v>
      </c>
      <c r="AA4719" s="150">
        <v>2.78</v>
      </c>
      <c r="AB4719" s="152"/>
      <c r="AC4719" s="152"/>
      <c r="AD4719" s="223"/>
      <c r="AE4719" s="223"/>
      <c r="AF4719" s="223"/>
      <c r="AG4719" s="223"/>
      <c r="AH4719" s="341"/>
      <c r="AI4719" s="218"/>
      <c r="AJ4719" s="218"/>
      <c r="AK4719" s="153"/>
      <c r="AL4719" s="152"/>
      <c r="AM4719" s="152"/>
      <c r="AN4719" s="152"/>
      <c r="AO4719" s="152"/>
      <c r="AP4719" s="152"/>
      <c r="AQ4719" s="152"/>
      <c r="AR4719" s="152"/>
      <c r="AS4719" s="152"/>
      <c r="AT4719" s="152"/>
      <c r="AU4719" s="153"/>
      <c r="AV4719" s="479"/>
      <c r="AW4719" s="479"/>
      <c r="AX4719" s="442"/>
      <c r="AY4719" s="153"/>
      <c r="AZ4719" s="152"/>
      <c r="BA4719" s="152"/>
      <c r="BB4719" s="152"/>
      <c r="BC4719" s="152"/>
      <c r="BD4719" s="152"/>
      <c r="BE4719" s="152"/>
      <c r="BF4719" s="152"/>
      <c r="BG4719" s="152"/>
      <c r="BH4719" s="152"/>
      <c r="BI4719" s="153"/>
      <c r="BJ4719" s="153"/>
      <c r="BK4719" s="153"/>
      <c r="BL4719" s="153"/>
      <c r="BM4719" s="153"/>
      <c r="BN4719" s="153"/>
      <c r="BO4719" s="153"/>
      <c r="BP4719" s="153"/>
      <c r="BQ4719" s="153"/>
      <c r="BR4719" s="153"/>
      <c r="BS4719" s="153"/>
      <c r="BT4719" s="153"/>
      <c r="BU4719" s="153"/>
      <c r="BV4719" s="153"/>
      <c r="BW4719" s="153"/>
      <c r="BX4719" s="153"/>
      <c r="BY4719" s="153"/>
      <c r="BZ4719" s="153"/>
      <c r="CA4719" s="152"/>
      <c r="CB4719" s="152"/>
    </row>
    <row r="4720" spans="1:80" s="87" customFormat="1" x14ac:dyDescent="0.2">
      <c r="A4720" s="152"/>
      <c r="B4720" s="683"/>
      <c r="C4720" s="683"/>
      <c r="D4720" s="698"/>
      <c r="E4720" s="215"/>
      <c r="F4720" s="215"/>
      <c r="G4720" s="153"/>
      <c r="H4720" s="153"/>
      <c r="I4720" s="163">
        <v>20</v>
      </c>
      <c r="J4720" s="163">
        <v>60</v>
      </c>
      <c r="K4720" s="150">
        <v>1</v>
      </c>
      <c r="L4720" s="656">
        <v>20</v>
      </c>
      <c r="M4720" s="663">
        <v>34873</v>
      </c>
      <c r="N4720" s="600">
        <v>16.336400000000001</v>
      </c>
      <c r="O4720" s="604">
        <v>0.40198600000000001</v>
      </c>
      <c r="P4720" s="250"/>
      <c r="Q4720" s="250"/>
      <c r="R4720" s="250"/>
      <c r="S4720" s="250">
        <v>7.400000000000001E-2</v>
      </c>
      <c r="T4720" s="250">
        <v>0.23899999999999999</v>
      </c>
      <c r="U4720" s="250">
        <v>0.27600000000000002</v>
      </c>
      <c r="V4720" s="250">
        <v>0.26700000000000002</v>
      </c>
      <c r="W4720" s="250">
        <v>0.12300000000000001</v>
      </c>
      <c r="X4720" s="250">
        <v>2.1000000000000001E-2</v>
      </c>
      <c r="Y4720" s="250">
        <v>1E-3</v>
      </c>
      <c r="Z4720" s="150">
        <v>15</v>
      </c>
      <c r="AA4720" s="150">
        <v>2.4900000000000002</v>
      </c>
      <c r="AB4720" s="152"/>
      <c r="AC4720" s="152"/>
      <c r="AD4720" s="223"/>
      <c r="AE4720" s="223"/>
      <c r="AF4720" s="223"/>
      <c r="AG4720" s="223"/>
      <c r="AH4720" s="341"/>
      <c r="AI4720" s="218"/>
      <c r="AJ4720" s="218"/>
      <c r="AK4720" s="153"/>
      <c r="AL4720" s="152"/>
      <c r="AM4720" s="152"/>
      <c r="AN4720" s="152"/>
      <c r="AO4720" s="152"/>
      <c r="AP4720" s="152"/>
      <c r="AQ4720" s="152"/>
      <c r="AR4720" s="152"/>
      <c r="AS4720" s="152"/>
      <c r="AT4720" s="152"/>
      <c r="AU4720" s="153"/>
      <c r="AV4720" s="479"/>
      <c r="AW4720" s="479"/>
      <c r="AX4720" s="442"/>
      <c r="AY4720" s="153"/>
      <c r="AZ4720" s="152"/>
      <c r="BA4720" s="152"/>
      <c r="BB4720" s="152"/>
      <c r="BC4720" s="152"/>
      <c r="BD4720" s="152"/>
      <c r="BE4720" s="152"/>
      <c r="BF4720" s="152"/>
      <c r="BG4720" s="152"/>
      <c r="BH4720" s="152"/>
      <c r="BI4720" s="153"/>
      <c r="BJ4720" s="153"/>
      <c r="BK4720" s="153"/>
      <c r="BL4720" s="153"/>
      <c r="BM4720" s="153"/>
      <c r="BN4720" s="153"/>
      <c r="BO4720" s="153"/>
      <c r="BP4720" s="153"/>
      <c r="BQ4720" s="153"/>
      <c r="BR4720" s="153"/>
      <c r="BS4720" s="153"/>
      <c r="BT4720" s="153"/>
      <c r="BU4720" s="153"/>
      <c r="BV4720" s="153"/>
      <c r="BW4720" s="153"/>
      <c r="BX4720" s="153"/>
      <c r="BY4720" s="153"/>
      <c r="BZ4720" s="153"/>
      <c r="CA4720" s="152"/>
      <c r="CB4720" s="152"/>
    </row>
    <row r="4721" spans="1:80" s="87" customFormat="1" x14ac:dyDescent="0.2">
      <c r="A4721" s="152"/>
      <c r="B4721" s="683"/>
      <c r="C4721" s="683"/>
      <c r="D4721" s="698"/>
      <c r="E4721" s="215"/>
      <c r="F4721" s="215"/>
      <c r="G4721" s="153"/>
      <c r="H4721" s="153"/>
      <c r="I4721" s="163">
        <v>21</v>
      </c>
      <c r="J4721" s="163">
        <v>60</v>
      </c>
      <c r="K4721" s="150">
        <v>1</v>
      </c>
      <c r="L4721" s="656">
        <v>21</v>
      </c>
      <c r="M4721" s="663">
        <v>34878</v>
      </c>
      <c r="N4721" s="600">
        <v>23.0749</v>
      </c>
      <c r="O4721" s="604">
        <v>0.55522300000000002</v>
      </c>
      <c r="P4721" s="250"/>
      <c r="Q4721" s="250"/>
      <c r="R4721" s="250">
        <v>0.03</v>
      </c>
      <c r="S4721" s="250">
        <v>5.5E-2</v>
      </c>
      <c r="T4721" s="250">
        <v>0.16200000000000001</v>
      </c>
      <c r="U4721" s="250">
        <v>0.25800000000000001</v>
      </c>
      <c r="V4721" s="250">
        <v>0.30099999999999999</v>
      </c>
      <c r="W4721" s="250">
        <v>0.153</v>
      </c>
      <c r="X4721" s="250">
        <v>0.04</v>
      </c>
      <c r="Y4721" s="250">
        <v>1E-3</v>
      </c>
      <c r="Z4721" s="150">
        <v>27.5</v>
      </c>
      <c r="AA4721" s="150">
        <v>2.0299999999999998</v>
      </c>
      <c r="AB4721" s="152"/>
      <c r="AC4721" s="152"/>
      <c r="AD4721" s="223"/>
      <c r="AE4721" s="223"/>
      <c r="AF4721" s="223"/>
      <c r="AG4721" s="223"/>
      <c r="AH4721" s="341"/>
      <c r="AI4721" s="218"/>
      <c r="AJ4721" s="218"/>
      <c r="AK4721" s="153"/>
      <c r="AL4721" s="152"/>
      <c r="AM4721" s="152"/>
      <c r="AN4721" s="152"/>
      <c r="AO4721" s="152"/>
      <c r="AP4721" s="152"/>
      <c r="AQ4721" s="152"/>
      <c r="AR4721" s="152"/>
      <c r="AS4721" s="152"/>
      <c r="AT4721" s="152"/>
      <c r="AU4721" s="153"/>
      <c r="AV4721" s="479"/>
      <c r="AW4721" s="479"/>
      <c r="AX4721" s="442"/>
      <c r="AY4721" s="153"/>
      <c r="AZ4721" s="152"/>
      <c r="BA4721" s="152"/>
      <c r="BB4721" s="152"/>
      <c r="BC4721" s="152"/>
      <c r="BD4721" s="152"/>
      <c r="BE4721" s="152"/>
      <c r="BF4721" s="152"/>
      <c r="BG4721" s="152"/>
      <c r="BH4721" s="152"/>
      <c r="BI4721" s="153"/>
      <c r="BJ4721" s="153"/>
      <c r="BK4721" s="153"/>
      <c r="BL4721" s="153"/>
      <c r="BM4721" s="153"/>
      <c r="BN4721" s="153"/>
      <c r="BO4721" s="153"/>
      <c r="BP4721" s="153"/>
      <c r="BQ4721" s="153"/>
      <c r="BR4721" s="153"/>
      <c r="BS4721" s="153"/>
      <c r="BT4721" s="153"/>
      <c r="BU4721" s="153"/>
      <c r="BV4721" s="153"/>
      <c r="BW4721" s="153"/>
      <c r="BX4721" s="153"/>
      <c r="BY4721" s="153"/>
      <c r="BZ4721" s="153"/>
      <c r="CA4721" s="152"/>
      <c r="CB4721" s="152"/>
    </row>
    <row r="4722" spans="1:80" s="87" customFormat="1" x14ac:dyDescent="0.2">
      <c r="A4722" s="152"/>
      <c r="B4722" s="683"/>
      <c r="C4722" s="683"/>
      <c r="D4722" s="698"/>
      <c r="E4722" s="215"/>
      <c r="F4722" s="215"/>
      <c r="G4722" s="153"/>
      <c r="H4722" s="153"/>
      <c r="I4722" s="163">
        <v>21</v>
      </c>
      <c r="J4722" s="163">
        <v>60</v>
      </c>
      <c r="K4722" s="150">
        <v>1</v>
      </c>
      <c r="L4722" s="656">
        <v>21</v>
      </c>
      <c r="M4722" s="663">
        <v>34878</v>
      </c>
      <c r="N4722" s="600">
        <v>23.0749</v>
      </c>
      <c r="O4722" s="604">
        <v>0.37049900000000002</v>
      </c>
      <c r="P4722" s="250"/>
      <c r="Q4722" s="250"/>
      <c r="R4722" s="250">
        <v>2.6000000000000002E-2</v>
      </c>
      <c r="S4722" s="250">
        <v>7.0000000000000007E-2</v>
      </c>
      <c r="T4722" s="250">
        <v>0.14899999999999999</v>
      </c>
      <c r="U4722" s="250">
        <v>0.22899999999999998</v>
      </c>
      <c r="V4722" s="250">
        <v>0.29699999999999999</v>
      </c>
      <c r="W4722" s="250">
        <v>0.182</v>
      </c>
      <c r="X4722" s="250">
        <v>4.4999999999999998E-2</v>
      </c>
      <c r="Y4722" s="250">
        <v>2E-3</v>
      </c>
      <c r="Z4722" s="150">
        <v>21</v>
      </c>
      <c r="AA4722" s="150">
        <v>1.88</v>
      </c>
      <c r="AB4722" s="152"/>
      <c r="AC4722" s="152"/>
      <c r="AD4722" s="223"/>
      <c r="AE4722" s="223"/>
      <c r="AF4722" s="223"/>
      <c r="AG4722" s="223"/>
      <c r="AH4722" s="341"/>
      <c r="AI4722" s="218"/>
      <c r="AJ4722" s="218"/>
      <c r="AK4722" s="153"/>
      <c r="AL4722" s="152"/>
      <c r="AM4722" s="152"/>
      <c r="AN4722" s="152"/>
      <c r="AO4722" s="152"/>
      <c r="AP4722" s="152"/>
      <c r="AQ4722" s="152"/>
      <c r="AR4722" s="152"/>
      <c r="AS4722" s="152"/>
      <c r="AT4722" s="152"/>
      <c r="AU4722" s="153"/>
      <c r="AV4722" s="479"/>
      <c r="AW4722" s="479"/>
      <c r="AX4722" s="442"/>
      <c r="AY4722" s="153"/>
      <c r="AZ4722" s="152"/>
      <c r="BA4722" s="152"/>
      <c r="BB4722" s="152"/>
      <c r="BC4722" s="152"/>
      <c r="BD4722" s="152"/>
      <c r="BE4722" s="152"/>
      <c r="BF4722" s="152"/>
      <c r="BG4722" s="152"/>
      <c r="BH4722" s="152"/>
      <c r="BI4722" s="153"/>
      <c r="BJ4722" s="153"/>
      <c r="BK4722" s="153"/>
      <c r="BL4722" s="153"/>
      <c r="BM4722" s="153"/>
      <c r="BN4722" s="153"/>
      <c r="BO4722" s="153"/>
      <c r="BP4722" s="153"/>
      <c r="BQ4722" s="153"/>
      <c r="BR4722" s="153"/>
      <c r="BS4722" s="153"/>
      <c r="BT4722" s="153"/>
      <c r="BU4722" s="153"/>
      <c r="BV4722" s="153"/>
      <c r="BW4722" s="153"/>
      <c r="BX4722" s="153"/>
      <c r="BY4722" s="153"/>
      <c r="BZ4722" s="153"/>
      <c r="CA4722" s="152"/>
      <c r="CB4722" s="152"/>
    </row>
    <row r="4723" spans="1:80" s="87" customFormat="1" x14ac:dyDescent="0.2">
      <c r="A4723" s="152"/>
      <c r="B4723" s="683"/>
      <c r="C4723" s="683"/>
      <c r="D4723" s="698"/>
      <c r="E4723" s="215"/>
      <c r="F4723" s="215"/>
      <c r="G4723" s="153"/>
      <c r="H4723" s="153"/>
      <c r="I4723" s="163">
        <v>21</v>
      </c>
      <c r="J4723" s="163">
        <v>60</v>
      </c>
      <c r="K4723" s="150">
        <v>1</v>
      </c>
      <c r="L4723" s="656">
        <v>21</v>
      </c>
      <c r="M4723" s="663">
        <v>34880</v>
      </c>
      <c r="N4723" s="600">
        <v>19.5641</v>
      </c>
      <c r="O4723" s="604">
        <v>0.26764100000000002</v>
      </c>
      <c r="P4723" s="250"/>
      <c r="Q4723" s="250"/>
      <c r="R4723" s="250">
        <v>2.7000000000000003E-2</v>
      </c>
      <c r="S4723" s="250">
        <v>7.0000000000000007E-2</v>
      </c>
      <c r="T4723" s="250">
        <v>0.20100000000000001</v>
      </c>
      <c r="U4723" s="250">
        <v>0.254</v>
      </c>
      <c r="V4723" s="250">
        <v>0.26</v>
      </c>
      <c r="W4723" s="250">
        <v>0.14800000000000002</v>
      </c>
      <c r="X4723" s="250">
        <v>3.9E-2</v>
      </c>
      <c r="Y4723" s="250">
        <v>1E-3</v>
      </c>
      <c r="Z4723" s="150">
        <v>21</v>
      </c>
      <c r="AA4723" s="150">
        <v>2.2999999999999998</v>
      </c>
      <c r="AB4723" s="152"/>
      <c r="AC4723" s="152"/>
      <c r="AD4723" s="223"/>
      <c r="AE4723" s="223"/>
      <c r="AF4723" s="223"/>
      <c r="AG4723" s="223"/>
      <c r="AH4723" s="341"/>
      <c r="AI4723" s="218"/>
      <c r="AJ4723" s="218"/>
      <c r="AK4723" s="153"/>
      <c r="AL4723" s="152"/>
      <c r="AM4723" s="152"/>
      <c r="AN4723" s="152"/>
      <c r="AO4723" s="152"/>
      <c r="AP4723" s="152"/>
      <c r="AQ4723" s="152"/>
      <c r="AR4723" s="152"/>
      <c r="AS4723" s="152"/>
      <c r="AT4723" s="152"/>
      <c r="AU4723" s="153"/>
      <c r="AV4723" s="479"/>
      <c r="AW4723" s="479"/>
      <c r="AX4723" s="442"/>
      <c r="AY4723" s="153"/>
      <c r="AZ4723" s="152"/>
      <c r="BA4723" s="152"/>
      <c r="BB4723" s="152"/>
      <c r="BC4723" s="152"/>
      <c r="BD4723" s="152"/>
      <c r="BE4723" s="152"/>
      <c r="BF4723" s="152"/>
      <c r="BG4723" s="152"/>
      <c r="BH4723" s="152"/>
      <c r="BI4723" s="153"/>
      <c r="BJ4723" s="153"/>
      <c r="BK4723" s="153"/>
      <c r="BL4723" s="153"/>
      <c r="BM4723" s="153"/>
      <c r="BN4723" s="153"/>
      <c r="BO4723" s="153"/>
      <c r="BP4723" s="153"/>
      <c r="BQ4723" s="153"/>
      <c r="BR4723" s="153"/>
      <c r="BS4723" s="153"/>
      <c r="BT4723" s="153"/>
      <c r="BU4723" s="153"/>
      <c r="BV4723" s="153"/>
      <c r="BW4723" s="153"/>
      <c r="BX4723" s="153"/>
      <c r="BY4723" s="153"/>
      <c r="BZ4723" s="153"/>
      <c r="CA4723" s="152"/>
      <c r="CB4723" s="152"/>
    </row>
    <row r="4724" spans="1:80" s="87" customFormat="1" x14ac:dyDescent="0.2">
      <c r="A4724" s="152"/>
      <c r="B4724" s="683"/>
      <c r="C4724" s="683"/>
      <c r="D4724" s="698"/>
      <c r="E4724" s="215"/>
      <c r="F4724" s="215"/>
      <c r="G4724" s="153"/>
      <c r="H4724" s="153"/>
      <c r="I4724" s="163">
        <v>21</v>
      </c>
      <c r="J4724" s="163">
        <v>60</v>
      </c>
      <c r="K4724" s="150">
        <v>1</v>
      </c>
      <c r="L4724" s="656">
        <v>21</v>
      </c>
      <c r="M4724" s="663">
        <v>34883</v>
      </c>
      <c r="N4724" s="600">
        <v>19.5641</v>
      </c>
      <c r="O4724" s="604">
        <v>0.35580499999999998</v>
      </c>
      <c r="P4724" s="250"/>
      <c r="Q4724" s="250"/>
      <c r="R4724" s="250">
        <v>0.1</v>
      </c>
      <c r="S4724" s="250">
        <v>3.7000000000000005E-2</v>
      </c>
      <c r="T4724" s="250">
        <v>0.105</v>
      </c>
      <c r="U4724" s="250">
        <v>0.218</v>
      </c>
      <c r="V4724" s="250">
        <v>0.308</v>
      </c>
      <c r="W4724" s="250">
        <v>0.184</v>
      </c>
      <c r="X4724" s="250">
        <v>4.4999999999999998E-2</v>
      </c>
      <c r="Y4724" s="250">
        <v>3.0000000000000001E-3</v>
      </c>
      <c r="Z4724" s="150">
        <v>33</v>
      </c>
      <c r="AA4724" s="150">
        <v>1.83</v>
      </c>
      <c r="AB4724" s="152"/>
      <c r="AC4724" s="152"/>
      <c r="AD4724" s="223"/>
      <c r="AE4724" s="223"/>
      <c r="AF4724" s="223"/>
      <c r="AG4724" s="223"/>
      <c r="AH4724" s="341"/>
      <c r="AI4724" s="218"/>
      <c r="AJ4724" s="218"/>
      <c r="AK4724" s="153"/>
      <c r="AL4724" s="152"/>
      <c r="AM4724" s="152"/>
      <c r="AN4724" s="152"/>
      <c r="AO4724" s="152"/>
      <c r="AP4724" s="152"/>
      <c r="AQ4724" s="152"/>
      <c r="AR4724" s="152"/>
      <c r="AS4724" s="152"/>
      <c r="AT4724" s="152"/>
      <c r="AU4724" s="153"/>
      <c r="AV4724" s="479"/>
      <c r="AW4724" s="479"/>
      <c r="AX4724" s="442"/>
      <c r="AY4724" s="153"/>
      <c r="AZ4724" s="152"/>
      <c r="BA4724" s="152"/>
      <c r="BB4724" s="152"/>
      <c r="BC4724" s="152"/>
      <c r="BD4724" s="152"/>
      <c r="BE4724" s="152"/>
      <c r="BF4724" s="152"/>
      <c r="BG4724" s="152"/>
      <c r="BH4724" s="152"/>
      <c r="BI4724" s="153"/>
      <c r="BJ4724" s="153"/>
      <c r="BK4724" s="153"/>
      <c r="BL4724" s="153"/>
      <c r="BM4724" s="153"/>
      <c r="BN4724" s="153"/>
      <c r="BO4724" s="153"/>
      <c r="BP4724" s="153"/>
      <c r="BQ4724" s="153"/>
      <c r="BR4724" s="153"/>
      <c r="BS4724" s="153"/>
      <c r="BT4724" s="153"/>
      <c r="BU4724" s="153"/>
      <c r="BV4724" s="153"/>
      <c r="BW4724" s="153"/>
      <c r="BX4724" s="153"/>
      <c r="BY4724" s="153"/>
      <c r="BZ4724" s="153"/>
      <c r="CA4724" s="152"/>
      <c r="CB4724" s="152"/>
    </row>
    <row r="4725" spans="1:80" s="87" customFormat="1" x14ac:dyDescent="0.2">
      <c r="A4725" s="152"/>
      <c r="B4725" s="683"/>
      <c r="C4725" s="683"/>
      <c r="D4725" s="698"/>
      <c r="E4725" s="215"/>
      <c r="F4725" s="215"/>
      <c r="G4725" s="153"/>
      <c r="H4725" s="153"/>
      <c r="I4725" s="163">
        <v>21</v>
      </c>
      <c r="J4725" s="163">
        <v>60</v>
      </c>
      <c r="K4725" s="150">
        <v>1</v>
      </c>
      <c r="L4725" s="656">
        <v>21</v>
      </c>
      <c r="M4725" s="663">
        <v>34883</v>
      </c>
      <c r="N4725" s="600">
        <v>19.5641</v>
      </c>
      <c r="O4725" s="604">
        <v>0.16373299999999999</v>
      </c>
      <c r="P4725" s="250"/>
      <c r="Q4725" s="250"/>
      <c r="R4725" s="250">
        <v>9.6000000000000002E-2</v>
      </c>
      <c r="S4725" s="250">
        <v>0.03</v>
      </c>
      <c r="T4725" s="250">
        <v>9.8000000000000004E-2</v>
      </c>
      <c r="U4725" s="250">
        <v>0.19500000000000001</v>
      </c>
      <c r="V4725" s="250">
        <v>0.33200000000000002</v>
      </c>
      <c r="W4725" s="250">
        <v>0.19500000000000001</v>
      </c>
      <c r="X4725" s="250">
        <v>0.05</v>
      </c>
      <c r="Y4725" s="250">
        <v>4.0000000000000001E-3</v>
      </c>
      <c r="Z4725" s="150">
        <v>23</v>
      </c>
      <c r="AA4725" s="150">
        <v>1.69</v>
      </c>
      <c r="AB4725" s="152"/>
      <c r="AC4725" s="152"/>
      <c r="AD4725" s="223"/>
      <c r="AE4725" s="223"/>
      <c r="AF4725" s="223"/>
      <c r="AG4725" s="223"/>
      <c r="AH4725" s="341"/>
      <c r="AI4725" s="218"/>
      <c r="AJ4725" s="218"/>
      <c r="AK4725" s="153"/>
      <c r="AL4725" s="152"/>
      <c r="AM4725" s="152"/>
      <c r="AN4725" s="152"/>
      <c r="AO4725" s="152"/>
      <c r="AP4725" s="152"/>
      <c r="AQ4725" s="152"/>
      <c r="AR4725" s="152"/>
      <c r="AS4725" s="152"/>
      <c r="AT4725" s="152"/>
      <c r="AU4725" s="153"/>
      <c r="AV4725" s="479"/>
      <c r="AW4725" s="479"/>
      <c r="AX4725" s="442"/>
      <c r="AY4725" s="153"/>
      <c r="AZ4725" s="152"/>
      <c r="BA4725" s="152"/>
      <c r="BB4725" s="152"/>
      <c r="BC4725" s="152"/>
      <c r="BD4725" s="152"/>
      <c r="BE4725" s="152"/>
      <c r="BF4725" s="152"/>
      <c r="BG4725" s="152"/>
      <c r="BH4725" s="152"/>
      <c r="BI4725" s="153"/>
      <c r="BJ4725" s="153"/>
      <c r="BK4725" s="153"/>
      <c r="BL4725" s="153"/>
      <c r="BM4725" s="153"/>
      <c r="BN4725" s="153"/>
      <c r="BO4725" s="153"/>
      <c r="BP4725" s="153"/>
      <c r="BQ4725" s="153"/>
      <c r="BR4725" s="153"/>
      <c r="BS4725" s="153"/>
      <c r="BT4725" s="153"/>
      <c r="BU4725" s="153"/>
      <c r="BV4725" s="153"/>
      <c r="BW4725" s="153"/>
      <c r="BX4725" s="153"/>
      <c r="BY4725" s="153"/>
      <c r="BZ4725" s="153"/>
      <c r="CA4725" s="152"/>
      <c r="CB4725" s="152"/>
    </row>
    <row r="4726" spans="1:80" s="87" customFormat="1" x14ac:dyDescent="0.2">
      <c r="A4726" s="152"/>
      <c r="B4726" s="683"/>
      <c r="C4726" s="683"/>
      <c r="D4726" s="698"/>
      <c r="E4726" s="215"/>
      <c r="F4726" s="215"/>
      <c r="G4726" s="153"/>
      <c r="H4726" s="153"/>
      <c r="I4726" s="163">
        <v>20</v>
      </c>
      <c r="J4726" s="163">
        <v>60</v>
      </c>
      <c r="K4726" s="150">
        <v>1</v>
      </c>
      <c r="L4726" s="656">
        <v>20</v>
      </c>
      <c r="M4726" s="663">
        <v>34885</v>
      </c>
      <c r="N4726" s="600">
        <v>16.931000000000001</v>
      </c>
      <c r="O4726" s="604">
        <v>0.22040999999999999</v>
      </c>
      <c r="P4726" s="250"/>
      <c r="Q4726" s="250"/>
      <c r="R4726" s="250"/>
      <c r="S4726" s="250">
        <v>5.9000000000000004E-2</v>
      </c>
      <c r="T4726" s="250">
        <v>0.11900000000000001</v>
      </c>
      <c r="U4726" s="250">
        <v>0.23899999999999999</v>
      </c>
      <c r="V4726" s="250">
        <v>0.33100000000000002</v>
      </c>
      <c r="W4726" s="250">
        <v>0.20600000000000002</v>
      </c>
      <c r="X4726" s="250">
        <v>4.4999999999999998E-2</v>
      </c>
      <c r="Y4726" s="250">
        <v>1E-3</v>
      </c>
      <c r="Z4726" s="150">
        <v>18</v>
      </c>
      <c r="AA4726" s="150">
        <v>1.68</v>
      </c>
      <c r="AB4726" s="152"/>
      <c r="AC4726" s="152"/>
      <c r="AD4726" s="223"/>
      <c r="AE4726" s="223"/>
      <c r="AF4726" s="223"/>
      <c r="AG4726" s="223"/>
      <c r="AH4726" s="341"/>
      <c r="AI4726" s="218"/>
      <c r="AJ4726" s="218"/>
      <c r="AK4726" s="153"/>
      <c r="AL4726" s="152"/>
      <c r="AM4726" s="152"/>
      <c r="AN4726" s="152"/>
      <c r="AO4726" s="152"/>
      <c r="AP4726" s="152"/>
      <c r="AQ4726" s="152"/>
      <c r="AR4726" s="152"/>
      <c r="AS4726" s="152"/>
      <c r="AT4726" s="152"/>
      <c r="AU4726" s="153"/>
      <c r="AV4726" s="479"/>
      <c r="AW4726" s="479"/>
      <c r="AX4726" s="442"/>
      <c r="AY4726" s="153"/>
      <c r="AZ4726" s="152"/>
      <c r="BA4726" s="152"/>
      <c r="BB4726" s="152"/>
      <c r="BC4726" s="152"/>
      <c r="BD4726" s="152"/>
      <c r="BE4726" s="152"/>
      <c r="BF4726" s="152"/>
      <c r="BG4726" s="152"/>
      <c r="BH4726" s="152"/>
      <c r="BI4726" s="153"/>
      <c r="BJ4726" s="153"/>
      <c r="BK4726" s="153"/>
      <c r="BL4726" s="153"/>
      <c r="BM4726" s="153"/>
      <c r="BN4726" s="153"/>
      <c r="BO4726" s="153"/>
      <c r="BP4726" s="153"/>
      <c r="BQ4726" s="153"/>
      <c r="BR4726" s="153"/>
      <c r="BS4726" s="153"/>
      <c r="BT4726" s="153"/>
      <c r="BU4726" s="153"/>
      <c r="BV4726" s="153"/>
      <c r="BW4726" s="153"/>
      <c r="BX4726" s="153"/>
      <c r="BY4726" s="153"/>
      <c r="BZ4726" s="153"/>
      <c r="CA4726" s="152"/>
      <c r="CB4726" s="152"/>
    </row>
    <row r="4727" spans="1:80" s="87" customFormat="1" x14ac:dyDescent="0.2">
      <c r="A4727" s="152"/>
      <c r="B4727" s="683"/>
      <c r="C4727" s="683"/>
      <c r="D4727" s="698"/>
      <c r="E4727" s="215"/>
      <c r="F4727" s="215"/>
      <c r="G4727" s="153"/>
      <c r="H4727" s="153"/>
      <c r="I4727" s="163">
        <v>20</v>
      </c>
      <c r="J4727" s="163">
        <v>60</v>
      </c>
      <c r="K4727" s="150">
        <v>1</v>
      </c>
      <c r="L4727" s="656">
        <v>20</v>
      </c>
      <c r="M4727" s="663">
        <v>34885</v>
      </c>
      <c r="N4727" s="600">
        <v>16.931000000000001</v>
      </c>
      <c r="O4727" s="604">
        <v>0.34321000000000002</v>
      </c>
      <c r="P4727" s="250"/>
      <c r="Q4727" s="250"/>
      <c r="R4727" s="250">
        <v>9.0000000000000011E-3</v>
      </c>
      <c r="S4727" s="250">
        <v>3.3000000000000002E-2</v>
      </c>
      <c r="T4727" s="250">
        <v>0.14499999999999999</v>
      </c>
      <c r="U4727" s="250">
        <v>0.23800000000000002</v>
      </c>
      <c r="V4727" s="250">
        <v>0.35200000000000004</v>
      </c>
      <c r="W4727" s="250">
        <v>0.18899999999999997</v>
      </c>
      <c r="X4727" s="250">
        <v>3.3000000000000002E-2</v>
      </c>
      <c r="Y4727" s="250">
        <v>2E-3</v>
      </c>
      <c r="Z4727" s="150">
        <v>21</v>
      </c>
      <c r="AA4727" s="150">
        <v>1.72</v>
      </c>
      <c r="AB4727" s="152"/>
      <c r="AC4727" s="152"/>
      <c r="AD4727" s="223"/>
      <c r="AE4727" s="223"/>
      <c r="AF4727" s="223"/>
      <c r="AG4727" s="223"/>
      <c r="AH4727" s="341"/>
      <c r="AI4727" s="218"/>
      <c r="AJ4727" s="218"/>
      <c r="AK4727" s="153"/>
      <c r="AL4727" s="152"/>
      <c r="AM4727" s="152"/>
      <c r="AN4727" s="152"/>
      <c r="AO4727" s="152"/>
      <c r="AP4727" s="152"/>
      <c r="AQ4727" s="152"/>
      <c r="AR4727" s="152"/>
      <c r="AS4727" s="152"/>
      <c r="AT4727" s="152"/>
      <c r="AU4727" s="153"/>
      <c r="AV4727" s="479"/>
      <c r="AW4727" s="479"/>
      <c r="AX4727" s="442"/>
      <c r="AY4727" s="153"/>
      <c r="AZ4727" s="152"/>
      <c r="BA4727" s="152"/>
      <c r="BB4727" s="152"/>
      <c r="BC4727" s="152"/>
      <c r="BD4727" s="152"/>
      <c r="BE4727" s="152"/>
      <c r="BF4727" s="152"/>
      <c r="BG4727" s="152"/>
      <c r="BH4727" s="152"/>
      <c r="BI4727" s="153"/>
      <c r="BJ4727" s="153"/>
      <c r="BK4727" s="153"/>
      <c r="BL4727" s="153"/>
      <c r="BM4727" s="153"/>
      <c r="BN4727" s="153"/>
      <c r="BO4727" s="153"/>
      <c r="BP4727" s="153"/>
      <c r="BQ4727" s="153"/>
      <c r="BR4727" s="153"/>
      <c r="BS4727" s="153"/>
      <c r="BT4727" s="153"/>
      <c r="BU4727" s="153"/>
      <c r="BV4727" s="153"/>
      <c r="BW4727" s="153"/>
      <c r="BX4727" s="153"/>
      <c r="BY4727" s="153"/>
      <c r="BZ4727" s="153"/>
      <c r="CA4727" s="152"/>
      <c r="CB4727" s="152"/>
    </row>
    <row r="4728" spans="1:80" ht="15" x14ac:dyDescent="0.25">
      <c r="A4728" s="9" t="s">
        <v>212</v>
      </c>
      <c r="B4728" s="639" t="s">
        <v>66</v>
      </c>
      <c r="C4728" s="639"/>
      <c r="D4728" s="4">
        <f>VLOOKUP(E4728,'Quality Code'!D4:E24,2,TRUE)*VLOOKUP(MROUND(F4728,10),'Quality Code'!D28:E69,2,TRUE)*VLOOKUP(COUNTA(CB4728:CB4738),'Quality Code'!D73:E93,2,TRUE)</f>
        <v>2.9250000000000003</v>
      </c>
      <c r="E4728" s="14">
        <v>0.65</v>
      </c>
      <c r="F4728" s="18">
        <v>85</v>
      </c>
      <c r="G4728" s="12">
        <v>58.528100000000002</v>
      </c>
      <c r="H4728" s="2" t="s">
        <v>231</v>
      </c>
      <c r="I4728" s="10"/>
      <c r="J4728" s="10" t="s">
        <v>283</v>
      </c>
      <c r="K4728" s="10"/>
      <c r="L4728" s="640" t="s">
        <v>284</v>
      </c>
      <c r="M4728" s="640" t="s">
        <v>837</v>
      </c>
      <c r="N4728" s="579" t="s">
        <v>285</v>
      </c>
      <c r="O4728" s="578"/>
      <c r="P4728" s="10" t="s">
        <v>64</v>
      </c>
      <c r="Q4728" s="10" t="s">
        <v>64</v>
      </c>
      <c r="R4728" s="10" t="s">
        <v>64</v>
      </c>
      <c r="S4728" s="10" t="s">
        <v>64</v>
      </c>
      <c r="T4728" s="10" t="s">
        <v>64</v>
      </c>
      <c r="U4728" s="10" t="s">
        <v>64</v>
      </c>
      <c r="V4728" s="10"/>
      <c r="W4728" s="10"/>
      <c r="X4728" s="10"/>
      <c r="Y4728" s="10"/>
      <c r="Z4728" s="10"/>
      <c r="AA4728" s="10"/>
      <c r="AB4728" s="11"/>
      <c r="AC4728" s="116">
        <v>3.2000000000000001E-2</v>
      </c>
      <c r="AD4728" s="11"/>
      <c r="AE4728" s="11"/>
      <c r="AF4728" s="10"/>
      <c r="AG4728" s="10"/>
      <c r="AH4728" s="345" t="s">
        <v>375</v>
      </c>
      <c r="AI4728" s="18" t="s">
        <v>29</v>
      </c>
      <c r="AJ4728" s="26"/>
      <c r="AK4728" s="26"/>
      <c r="AL4728" s="26"/>
      <c r="AM4728" s="26"/>
      <c r="AN4728" s="26"/>
      <c r="AO4728" s="26"/>
      <c r="AP4728" s="26"/>
      <c r="AQ4728" s="26"/>
      <c r="AR4728" s="26"/>
      <c r="AS4728" s="26"/>
      <c r="AT4728" s="26"/>
      <c r="AU4728" s="18">
        <v>180</v>
      </c>
      <c r="AV4728" s="17">
        <v>0.97</v>
      </c>
      <c r="AW4728" s="17">
        <v>0.84</v>
      </c>
      <c r="AX4728" s="17">
        <v>0.6</v>
      </c>
      <c r="AY4728" s="17">
        <v>0.44</v>
      </c>
      <c r="AZ4728" s="125">
        <v>0.25</v>
      </c>
      <c r="BA4728" s="125">
        <v>0.2</v>
      </c>
      <c r="BB4728" s="125">
        <v>0.18</v>
      </c>
      <c r="BC4728" s="125">
        <v>0.14000000000000001</v>
      </c>
      <c r="BD4728" s="125">
        <v>0.14000000000000001</v>
      </c>
      <c r="BE4728" s="125">
        <v>0</v>
      </c>
      <c r="BF4728" s="125"/>
      <c r="BG4728" s="125"/>
      <c r="BH4728" s="125"/>
      <c r="BI4728" s="4"/>
      <c r="BJ4728" s="2"/>
      <c r="BK4728" s="2" t="s">
        <v>175</v>
      </c>
      <c r="BL4728" s="12"/>
      <c r="BM4728" s="12">
        <v>5.7191700000000001</v>
      </c>
      <c r="BN4728" s="12"/>
      <c r="BO4728" s="12"/>
      <c r="BP4728" s="12"/>
      <c r="BQ4728" s="12"/>
      <c r="BR4728" s="12" t="s">
        <v>276</v>
      </c>
      <c r="BS4728" s="12"/>
      <c r="BT4728" s="12"/>
      <c r="BU4728" s="2"/>
      <c r="BV4728" s="2"/>
      <c r="BW4728" s="2"/>
      <c r="BX4728" s="2"/>
      <c r="BY4728" s="2"/>
      <c r="BZ4728" s="2"/>
      <c r="CA4728" s="381"/>
      <c r="CB4728" s="9" t="s">
        <v>224</v>
      </c>
    </row>
    <row r="4729" spans="1:80" s="87" customFormat="1" ht="14.25" customHeight="1" x14ac:dyDescent="0.2">
      <c r="A4729" s="152"/>
      <c r="B4729" s="683"/>
      <c r="C4729" s="683"/>
      <c r="D4729" s="698"/>
      <c r="E4729" s="215"/>
      <c r="F4729" s="215"/>
      <c r="G4729" s="153"/>
      <c r="H4729" s="153"/>
      <c r="I4729" s="306">
        <v>11</v>
      </c>
      <c r="J4729" s="306">
        <v>360</v>
      </c>
      <c r="K4729" s="150">
        <v>1</v>
      </c>
      <c r="L4729" s="656">
        <v>66</v>
      </c>
      <c r="M4729" s="663">
        <v>32972</v>
      </c>
      <c r="N4729" s="600">
        <v>1.1042000000000001</v>
      </c>
      <c r="O4729" s="604">
        <v>4.4609999999999997E-3</v>
      </c>
      <c r="P4729" s="250"/>
      <c r="Q4729" s="250"/>
      <c r="R4729" s="250">
        <v>9.0000000000000011E-3</v>
      </c>
      <c r="S4729" s="250">
        <v>5.7000000000000002E-2</v>
      </c>
      <c r="T4729" s="250">
        <v>0.14199999999999999</v>
      </c>
      <c r="U4729" s="250">
        <v>0.27699999999999997</v>
      </c>
      <c r="V4729" s="250">
        <v>0.25700000000000001</v>
      </c>
      <c r="W4729" s="250">
        <v>0.184</v>
      </c>
      <c r="X4729" s="250">
        <v>7.0999999999999994E-2</v>
      </c>
      <c r="Y4729" s="250">
        <v>2E-3</v>
      </c>
      <c r="Z4729" s="150"/>
      <c r="AA4729" s="150">
        <v>1.92</v>
      </c>
      <c r="AB4729" s="152"/>
      <c r="AC4729" s="152"/>
      <c r="AD4729" s="223"/>
      <c r="AE4729" s="223"/>
      <c r="AF4729" s="223"/>
      <c r="AG4729" s="223"/>
      <c r="AH4729" s="341" t="s">
        <v>376</v>
      </c>
      <c r="AI4729" s="218"/>
      <c r="AJ4729" s="218"/>
      <c r="AK4729" s="153"/>
      <c r="AL4729" s="152"/>
      <c r="AM4729" s="152"/>
      <c r="AN4729" s="152"/>
      <c r="AO4729" s="152"/>
      <c r="AP4729" s="152"/>
      <c r="AQ4729" s="152"/>
      <c r="AR4729" s="152"/>
      <c r="AS4729" s="152"/>
      <c r="AT4729" s="152"/>
      <c r="AU4729" s="153"/>
      <c r="AV4729" s="479"/>
      <c r="AW4729" s="479"/>
      <c r="AX4729" s="442"/>
      <c r="AY4729" s="153"/>
      <c r="AZ4729" s="152"/>
      <c r="BA4729" s="152"/>
      <c r="BB4729" s="152"/>
      <c r="BC4729" s="152"/>
      <c r="BD4729" s="152"/>
      <c r="BE4729" s="152"/>
      <c r="BF4729" s="152"/>
      <c r="BG4729" s="152"/>
      <c r="BH4729" s="152"/>
      <c r="BI4729" s="153"/>
      <c r="BJ4729" s="153"/>
      <c r="BK4729" s="153"/>
      <c r="BL4729" s="153"/>
      <c r="BM4729" s="153"/>
      <c r="BN4729" s="153"/>
      <c r="BO4729" s="153"/>
      <c r="BP4729" s="153"/>
      <c r="BQ4729" s="153"/>
      <c r="BR4729" s="153"/>
      <c r="BS4729" s="153"/>
      <c r="BT4729" s="153"/>
      <c r="BU4729" s="153"/>
      <c r="BV4729" s="153"/>
      <c r="BW4729" s="153"/>
      <c r="BX4729" s="153"/>
      <c r="BY4729" s="153"/>
      <c r="BZ4729" s="153"/>
      <c r="CA4729" s="152"/>
      <c r="CB4729" s="486" t="s">
        <v>639</v>
      </c>
    </row>
    <row r="4730" spans="1:80" s="87" customFormat="1" ht="14.25" customHeight="1" x14ac:dyDescent="0.2">
      <c r="A4730" s="152"/>
      <c r="B4730" s="683"/>
      <c r="C4730" s="683"/>
      <c r="D4730" s="698"/>
      <c r="E4730" s="215"/>
      <c r="F4730" s="215"/>
      <c r="G4730" s="153"/>
      <c r="H4730" s="153"/>
      <c r="I4730" s="306">
        <v>8</v>
      </c>
      <c r="J4730" s="306">
        <v>240</v>
      </c>
      <c r="K4730" s="150">
        <v>1</v>
      </c>
      <c r="L4730" s="656">
        <v>32</v>
      </c>
      <c r="M4730" s="663">
        <v>32976</v>
      </c>
      <c r="N4730" s="600">
        <v>1.18913</v>
      </c>
      <c r="O4730" s="604">
        <v>2.0572E-2</v>
      </c>
      <c r="P4730" s="250"/>
      <c r="Q4730" s="250"/>
      <c r="R4730" s="250"/>
      <c r="S4730" s="250"/>
      <c r="T4730" s="250">
        <v>0.113</v>
      </c>
      <c r="U4730" s="250">
        <v>0.311</v>
      </c>
      <c r="V4730" s="250">
        <v>0.28100000000000003</v>
      </c>
      <c r="W4730" s="250">
        <v>0.22600000000000001</v>
      </c>
      <c r="X4730" s="250">
        <v>6.8000000000000005E-2</v>
      </c>
      <c r="Y4730" s="250">
        <v>1E-3</v>
      </c>
      <c r="Z4730" s="150"/>
      <c r="AA4730" s="150">
        <v>1.66</v>
      </c>
      <c r="AB4730" s="152"/>
      <c r="AC4730" s="152"/>
      <c r="AD4730" s="223"/>
      <c r="AE4730" s="223"/>
      <c r="AF4730" s="223"/>
      <c r="AG4730" s="223"/>
      <c r="AH4730" s="341" t="s">
        <v>377</v>
      </c>
      <c r="AI4730" s="218"/>
      <c r="AJ4730" s="218"/>
      <c r="AK4730" s="153"/>
      <c r="AL4730" s="152"/>
      <c r="AM4730" s="152"/>
      <c r="AN4730" s="152"/>
      <c r="AO4730" s="152"/>
      <c r="AP4730" s="152"/>
      <c r="AQ4730" s="152"/>
      <c r="AR4730" s="152"/>
      <c r="AS4730" s="152"/>
      <c r="AT4730" s="152"/>
      <c r="AU4730" s="153"/>
      <c r="AV4730" s="479"/>
      <c r="AW4730" s="479"/>
      <c r="AX4730" s="442"/>
      <c r="AY4730" s="153"/>
      <c r="AZ4730" s="152"/>
      <c r="BA4730" s="152"/>
      <c r="BB4730" s="152"/>
      <c r="BC4730" s="152"/>
      <c r="BD4730" s="152"/>
      <c r="BE4730" s="152"/>
      <c r="BF4730" s="152"/>
      <c r="BG4730" s="152"/>
      <c r="BH4730" s="152"/>
      <c r="BI4730" s="153"/>
      <c r="BJ4730" s="153"/>
      <c r="BK4730" s="153"/>
      <c r="BL4730" s="153"/>
      <c r="BM4730" s="153"/>
      <c r="BN4730" s="153"/>
      <c r="BO4730" s="153"/>
      <c r="BP4730" s="153"/>
      <c r="BQ4730" s="153"/>
      <c r="BR4730" s="153"/>
      <c r="BS4730" s="153"/>
      <c r="BT4730" s="153"/>
      <c r="BU4730" s="153"/>
      <c r="BV4730" s="153"/>
      <c r="BW4730" s="153"/>
      <c r="BX4730" s="153"/>
      <c r="BY4730" s="153"/>
      <c r="BZ4730" s="153"/>
      <c r="CA4730" s="152"/>
      <c r="CB4730" s="486" t="s">
        <v>640</v>
      </c>
    </row>
    <row r="4731" spans="1:80" s="87" customFormat="1" ht="14.25" customHeight="1" x14ac:dyDescent="0.2">
      <c r="A4731" s="152"/>
      <c r="B4731" s="683"/>
      <c r="C4731" s="683"/>
      <c r="D4731" s="698"/>
      <c r="E4731" s="215"/>
      <c r="F4731" s="215"/>
      <c r="G4731" s="153"/>
      <c r="H4731" s="153"/>
      <c r="I4731" s="306">
        <v>10</v>
      </c>
      <c r="J4731" s="306">
        <v>240</v>
      </c>
      <c r="K4731" s="150">
        <v>1</v>
      </c>
      <c r="L4731" s="656">
        <v>40</v>
      </c>
      <c r="M4731" s="663">
        <v>32979</v>
      </c>
      <c r="N4731" s="600">
        <v>1.84033</v>
      </c>
      <c r="O4731" s="604">
        <v>5.4788000000000003E-2</v>
      </c>
      <c r="P4731" s="250"/>
      <c r="Q4731" s="250"/>
      <c r="R4731" s="250">
        <v>0.01</v>
      </c>
      <c r="S4731" s="250">
        <v>1.6E-2</v>
      </c>
      <c r="T4731" s="250">
        <v>0.14000000000000001</v>
      </c>
      <c r="U4731" s="250">
        <v>0.35700000000000004</v>
      </c>
      <c r="V4731" s="250">
        <v>0.29100000000000004</v>
      </c>
      <c r="W4731" s="250">
        <v>0.14599999999999999</v>
      </c>
      <c r="X4731" s="250">
        <v>3.9E-2</v>
      </c>
      <c r="Y4731" s="250">
        <v>1E-3</v>
      </c>
      <c r="Z4731" s="150"/>
      <c r="AA4731" s="150">
        <v>2.09</v>
      </c>
      <c r="AB4731" s="152"/>
      <c r="AC4731" s="152"/>
      <c r="AD4731" s="223"/>
      <c r="AE4731" s="223"/>
      <c r="AF4731" s="223"/>
      <c r="AG4731" s="223"/>
      <c r="AH4731" s="341"/>
      <c r="AI4731" s="218"/>
      <c r="AJ4731" s="218"/>
      <c r="AK4731" s="153"/>
      <c r="AL4731" s="152"/>
      <c r="AM4731" s="152"/>
      <c r="AN4731" s="152"/>
      <c r="AO4731" s="152"/>
      <c r="AP4731" s="152"/>
      <c r="AQ4731" s="152"/>
      <c r="AR4731" s="152"/>
      <c r="AS4731" s="152"/>
      <c r="AT4731" s="152"/>
      <c r="AU4731" s="153"/>
      <c r="AV4731" s="479"/>
      <c r="AW4731" s="479"/>
      <c r="AX4731" s="442"/>
      <c r="AY4731" s="153"/>
      <c r="AZ4731" s="152"/>
      <c r="BA4731" s="152"/>
      <c r="BB4731" s="152"/>
      <c r="BC4731" s="152"/>
      <c r="BD4731" s="152"/>
      <c r="BE4731" s="152"/>
      <c r="BF4731" s="152"/>
      <c r="BG4731" s="152"/>
      <c r="BH4731" s="152"/>
      <c r="BI4731" s="153"/>
      <c r="BJ4731" s="153"/>
      <c r="BK4731" s="153"/>
      <c r="BL4731" s="153"/>
      <c r="BM4731" s="153"/>
      <c r="BN4731" s="153"/>
      <c r="BO4731" s="153"/>
      <c r="BP4731" s="153"/>
      <c r="BQ4731" s="153"/>
      <c r="BR4731" s="153"/>
      <c r="BS4731" s="153"/>
      <c r="BT4731" s="153"/>
      <c r="BU4731" s="153"/>
      <c r="BV4731" s="153"/>
      <c r="BW4731" s="153"/>
      <c r="BX4731" s="153"/>
      <c r="BY4731" s="153"/>
      <c r="BZ4731" s="153"/>
      <c r="CA4731" s="152"/>
      <c r="CB4731" s="152"/>
    </row>
    <row r="4732" spans="1:80" s="87" customFormat="1" ht="14.25" customHeight="1" x14ac:dyDescent="0.2">
      <c r="A4732" s="152"/>
      <c r="B4732" s="683"/>
      <c r="C4732" s="683"/>
      <c r="D4732" s="698"/>
      <c r="E4732" s="215"/>
      <c r="F4732" s="215"/>
      <c r="G4732" s="153"/>
      <c r="H4732" s="153"/>
      <c r="I4732" s="306">
        <v>10</v>
      </c>
      <c r="J4732" s="306">
        <v>120</v>
      </c>
      <c r="K4732" s="150">
        <v>1</v>
      </c>
      <c r="L4732" s="656">
        <v>20</v>
      </c>
      <c r="M4732" s="663">
        <v>32982</v>
      </c>
      <c r="N4732" s="600">
        <v>2.7746400000000002</v>
      </c>
      <c r="O4732" s="604">
        <v>3.3166000000000001E-2</v>
      </c>
      <c r="P4732" s="250"/>
      <c r="Q4732" s="250"/>
      <c r="R4732" s="250"/>
      <c r="S4732" s="250">
        <v>7.2999999999999995E-2</v>
      </c>
      <c r="T4732" s="250">
        <v>0.154</v>
      </c>
      <c r="U4732" s="250">
        <v>0.26600000000000001</v>
      </c>
      <c r="V4732" s="250">
        <v>0.26300000000000001</v>
      </c>
      <c r="W4732" s="250">
        <v>0.17800000000000002</v>
      </c>
      <c r="X4732" s="250">
        <v>6.5000000000000002E-2</v>
      </c>
      <c r="Y4732" s="250">
        <v>1E-3</v>
      </c>
      <c r="Z4732" s="150"/>
      <c r="AA4732" s="150">
        <v>1.96</v>
      </c>
      <c r="AB4732" s="152"/>
      <c r="AC4732" s="152"/>
      <c r="AD4732" s="223"/>
      <c r="AE4732" s="223"/>
      <c r="AF4732" s="223"/>
      <c r="AG4732" s="223"/>
      <c r="AH4732" s="341"/>
      <c r="AI4732" s="218"/>
      <c r="AJ4732" s="218"/>
      <c r="AK4732" s="153"/>
      <c r="AL4732" s="152"/>
      <c r="AM4732" s="152"/>
      <c r="AN4732" s="152"/>
      <c r="AO4732" s="152"/>
      <c r="AP4732" s="152"/>
      <c r="AQ4732" s="152"/>
      <c r="AR4732" s="152"/>
      <c r="AS4732" s="152"/>
      <c r="AT4732" s="152"/>
      <c r="AU4732" s="153"/>
      <c r="AV4732" s="479"/>
      <c r="AW4732" s="479"/>
      <c r="AX4732" s="442"/>
      <c r="AY4732" s="153"/>
      <c r="AZ4732" s="152"/>
      <c r="BA4732" s="152"/>
      <c r="BB4732" s="152"/>
      <c r="BC4732" s="152"/>
      <c r="BD4732" s="152"/>
      <c r="BE4732" s="152"/>
      <c r="BF4732" s="152"/>
      <c r="BG4732" s="152"/>
      <c r="BH4732" s="152"/>
      <c r="BI4732" s="153"/>
      <c r="BJ4732" s="153"/>
      <c r="BK4732" s="153"/>
      <c r="BL4732" s="153"/>
      <c r="BM4732" s="153"/>
      <c r="BN4732" s="153"/>
      <c r="BO4732" s="153"/>
      <c r="BP4732" s="153"/>
      <c r="BQ4732" s="153"/>
      <c r="BR4732" s="153"/>
      <c r="BS4732" s="153"/>
      <c r="BT4732" s="153"/>
      <c r="BU4732" s="153"/>
      <c r="BV4732" s="153"/>
      <c r="BW4732" s="153"/>
      <c r="BX4732" s="153"/>
      <c r="BY4732" s="153"/>
      <c r="BZ4732" s="153"/>
      <c r="CA4732" s="152"/>
      <c r="CB4732" s="152"/>
    </row>
    <row r="4733" spans="1:80" s="87" customFormat="1" ht="14.25" customHeight="1" x14ac:dyDescent="0.2">
      <c r="A4733" s="152"/>
      <c r="B4733" s="683"/>
      <c r="C4733" s="683"/>
      <c r="D4733" s="698"/>
      <c r="E4733" s="215"/>
      <c r="F4733" s="215"/>
      <c r="G4733" s="153"/>
      <c r="H4733" s="153"/>
      <c r="I4733" s="306">
        <v>10</v>
      </c>
      <c r="J4733" s="306">
        <v>120</v>
      </c>
      <c r="K4733" s="150">
        <v>1</v>
      </c>
      <c r="L4733" s="656">
        <v>20</v>
      </c>
      <c r="M4733" s="663">
        <v>32983</v>
      </c>
      <c r="N4733" s="600">
        <v>2.57646</v>
      </c>
      <c r="O4733" s="604">
        <v>3.5999999999999997E-2</v>
      </c>
      <c r="P4733" s="250"/>
      <c r="Q4733" s="250"/>
      <c r="R4733" s="250"/>
      <c r="S4733" s="250">
        <v>0.03</v>
      </c>
      <c r="T4733" s="250">
        <v>0.17800000000000002</v>
      </c>
      <c r="U4733" s="250">
        <v>0.30399999999999999</v>
      </c>
      <c r="V4733" s="250">
        <v>0.27899999999999997</v>
      </c>
      <c r="W4733" s="250">
        <v>0.16399999999999998</v>
      </c>
      <c r="X4733" s="250">
        <v>4.4999999999999998E-2</v>
      </c>
      <c r="Y4733" s="250">
        <v>1E-3</v>
      </c>
      <c r="Z4733" s="150"/>
      <c r="AA4733" s="150">
        <v>2.06</v>
      </c>
      <c r="AB4733" s="152"/>
      <c r="AC4733" s="152"/>
      <c r="AD4733" s="223"/>
      <c r="AE4733" s="223"/>
      <c r="AF4733" s="223"/>
      <c r="AG4733" s="223"/>
      <c r="AH4733" s="341"/>
      <c r="AI4733" s="218"/>
      <c r="AJ4733" s="218"/>
      <c r="AK4733" s="153"/>
      <c r="AL4733" s="152"/>
      <c r="AM4733" s="152"/>
      <c r="AN4733" s="152"/>
      <c r="AO4733" s="152"/>
      <c r="AP4733" s="152"/>
      <c r="AQ4733" s="152"/>
      <c r="AR4733" s="152"/>
      <c r="AS4733" s="152"/>
      <c r="AT4733" s="152"/>
      <c r="AU4733" s="153"/>
      <c r="AV4733" s="479"/>
      <c r="AW4733" s="479"/>
      <c r="AX4733" s="442"/>
      <c r="AY4733" s="153"/>
      <c r="AZ4733" s="152"/>
      <c r="BA4733" s="152"/>
      <c r="BB4733" s="152"/>
      <c r="BC4733" s="152"/>
      <c r="BD4733" s="152"/>
      <c r="BE4733" s="152"/>
      <c r="BF4733" s="152"/>
      <c r="BG4733" s="152"/>
      <c r="BH4733" s="152"/>
      <c r="BI4733" s="153"/>
      <c r="BJ4733" s="153"/>
      <c r="BK4733" s="153"/>
      <c r="BL4733" s="153"/>
      <c r="BM4733" s="153"/>
      <c r="BN4733" s="153"/>
      <c r="BO4733" s="153"/>
      <c r="BP4733" s="153"/>
      <c r="BQ4733" s="153"/>
      <c r="BR4733" s="153"/>
      <c r="BS4733" s="153"/>
      <c r="BT4733" s="153"/>
      <c r="BU4733" s="153"/>
      <c r="BV4733" s="153"/>
      <c r="BW4733" s="153"/>
      <c r="BX4733" s="153"/>
      <c r="BY4733" s="153"/>
      <c r="BZ4733" s="153"/>
      <c r="CA4733" s="152"/>
      <c r="CB4733" s="152"/>
    </row>
    <row r="4734" spans="1:80" s="87" customFormat="1" ht="14.25" customHeight="1" x14ac:dyDescent="0.2">
      <c r="A4734" s="152"/>
      <c r="B4734" s="683"/>
      <c r="C4734" s="683"/>
      <c r="D4734" s="698"/>
      <c r="E4734" s="215"/>
      <c r="F4734" s="215"/>
      <c r="G4734" s="153"/>
      <c r="H4734" s="153"/>
      <c r="I4734" s="306">
        <v>10</v>
      </c>
      <c r="J4734" s="306">
        <v>120</v>
      </c>
      <c r="K4734" s="150">
        <v>1</v>
      </c>
      <c r="L4734" s="656">
        <v>20</v>
      </c>
      <c r="M4734" s="663">
        <v>32987</v>
      </c>
      <c r="N4734" s="600">
        <v>3.3692099999999998</v>
      </c>
      <c r="O4734" s="604">
        <v>3.3480999999999997E-2</v>
      </c>
      <c r="P4734" s="250"/>
      <c r="Q4734" s="250"/>
      <c r="R4734" s="250"/>
      <c r="S4734" s="250">
        <v>1.3000000000000001E-2</v>
      </c>
      <c r="T4734" s="250">
        <v>0.11199999999999999</v>
      </c>
      <c r="U4734" s="250">
        <v>0.28100000000000003</v>
      </c>
      <c r="V4734" s="250">
        <v>0.32299999999999995</v>
      </c>
      <c r="W4734" s="250">
        <v>0.20899999999999999</v>
      </c>
      <c r="X4734" s="250">
        <v>6.2E-2</v>
      </c>
      <c r="Y4734" s="250">
        <v>1E-3</v>
      </c>
      <c r="Z4734" s="150"/>
      <c r="AA4734" s="150">
        <v>1.63</v>
      </c>
      <c r="AB4734" s="152"/>
      <c r="AC4734" s="152"/>
      <c r="AD4734" s="223"/>
      <c r="AE4734" s="223"/>
      <c r="AF4734" s="223"/>
      <c r="AG4734" s="223"/>
      <c r="AH4734" s="341"/>
      <c r="AI4734" s="218"/>
      <c r="AJ4734" s="218"/>
      <c r="AK4734" s="153"/>
      <c r="AL4734" s="152"/>
      <c r="AM4734" s="152"/>
      <c r="AN4734" s="152"/>
      <c r="AO4734" s="152"/>
      <c r="AP4734" s="152"/>
      <c r="AQ4734" s="152"/>
      <c r="AR4734" s="152"/>
      <c r="AS4734" s="152"/>
      <c r="AT4734" s="152"/>
      <c r="AU4734" s="153"/>
      <c r="AV4734" s="479"/>
      <c r="AW4734" s="479"/>
      <c r="AX4734" s="442"/>
      <c r="AY4734" s="153"/>
      <c r="AZ4734" s="152"/>
      <c r="BA4734" s="152"/>
      <c r="BB4734" s="152"/>
      <c r="BC4734" s="152"/>
      <c r="BD4734" s="152"/>
      <c r="BE4734" s="152"/>
      <c r="BF4734" s="152"/>
      <c r="BG4734" s="152"/>
      <c r="BH4734" s="152"/>
      <c r="BI4734" s="153"/>
      <c r="BJ4734" s="153"/>
      <c r="BK4734" s="153"/>
      <c r="BL4734" s="153"/>
      <c r="BM4734" s="153"/>
      <c r="BN4734" s="153"/>
      <c r="BO4734" s="153"/>
      <c r="BP4734" s="153"/>
      <c r="BQ4734" s="153"/>
      <c r="BR4734" s="153"/>
      <c r="BS4734" s="153"/>
      <c r="BT4734" s="153"/>
      <c r="BU4734" s="153"/>
      <c r="BV4734" s="153"/>
      <c r="BW4734" s="153"/>
      <c r="BX4734" s="153"/>
      <c r="BY4734" s="153"/>
      <c r="BZ4734" s="153"/>
      <c r="CA4734" s="152"/>
      <c r="CB4734" s="152"/>
    </row>
    <row r="4735" spans="1:80" s="87" customFormat="1" ht="14.25" customHeight="1" x14ac:dyDescent="0.2">
      <c r="A4735" s="152"/>
      <c r="B4735" s="683"/>
      <c r="C4735" s="683"/>
      <c r="D4735" s="698"/>
      <c r="E4735" s="215"/>
      <c r="F4735" s="215"/>
      <c r="G4735" s="153"/>
      <c r="H4735" s="153"/>
      <c r="I4735" s="306">
        <v>10</v>
      </c>
      <c r="J4735" s="306">
        <v>120</v>
      </c>
      <c r="K4735" s="150">
        <v>1</v>
      </c>
      <c r="L4735" s="656">
        <v>20</v>
      </c>
      <c r="M4735" s="663">
        <v>32987</v>
      </c>
      <c r="N4735" s="600">
        <v>3.1993399999999999</v>
      </c>
      <c r="O4735" s="604">
        <v>4.0513E-2</v>
      </c>
      <c r="P4735" s="250"/>
      <c r="Q4735" s="250"/>
      <c r="R4735" s="250"/>
      <c r="S4735" s="250">
        <v>8.0000000000000002E-3</v>
      </c>
      <c r="T4735" s="250">
        <v>6.7000000000000004E-2</v>
      </c>
      <c r="U4735" s="250">
        <v>0.29399999999999998</v>
      </c>
      <c r="V4735" s="250">
        <v>0.379</v>
      </c>
      <c r="W4735" s="250">
        <v>0.20199999999999999</v>
      </c>
      <c r="X4735" s="250">
        <v>4.8000000000000001E-2</v>
      </c>
      <c r="Y4735" s="250">
        <v>1E-3</v>
      </c>
      <c r="Z4735" s="150"/>
      <c r="AA4735" s="150">
        <v>1.57</v>
      </c>
      <c r="AB4735" s="152"/>
      <c r="AC4735" s="152"/>
      <c r="AD4735" s="223"/>
      <c r="AE4735" s="223"/>
      <c r="AF4735" s="223"/>
      <c r="AG4735" s="223"/>
      <c r="AH4735" s="341"/>
      <c r="AI4735" s="218"/>
      <c r="AJ4735" s="218"/>
      <c r="AK4735" s="153"/>
      <c r="AL4735" s="152"/>
      <c r="AM4735" s="152"/>
      <c r="AN4735" s="152"/>
      <c r="AO4735" s="152"/>
      <c r="AP4735" s="152"/>
      <c r="AQ4735" s="152"/>
      <c r="AR4735" s="152"/>
      <c r="AS4735" s="152"/>
      <c r="AT4735" s="152"/>
      <c r="AU4735" s="153"/>
      <c r="AV4735" s="479"/>
      <c r="AW4735" s="479"/>
      <c r="AX4735" s="442"/>
      <c r="AY4735" s="153"/>
      <c r="AZ4735" s="152"/>
      <c r="BA4735" s="152"/>
      <c r="BB4735" s="152"/>
      <c r="BC4735" s="152"/>
      <c r="BD4735" s="152"/>
      <c r="BE4735" s="152"/>
      <c r="BF4735" s="152"/>
      <c r="BG4735" s="152"/>
      <c r="BH4735" s="152"/>
      <c r="BI4735" s="153"/>
      <c r="BJ4735" s="153"/>
      <c r="BK4735" s="153"/>
      <c r="BL4735" s="153"/>
      <c r="BM4735" s="153"/>
      <c r="BN4735" s="153"/>
      <c r="BO4735" s="153"/>
      <c r="BP4735" s="153"/>
      <c r="BQ4735" s="153"/>
      <c r="BR4735" s="153"/>
      <c r="BS4735" s="153"/>
      <c r="BT4735" s="153"/>
      <c r="BU4735" s="153"/>
      <c r="BV4735" s="153"/>
      <c r="BW4735" s="153"/>
      <c r="BX4735" s="153"/>
      <c r="BY4735" s="153"/>
      <c r="BZ4735" s="153"/>
      <c r="CA4735" s="152"/>
      <c r="CB4735" s="152"/>
    </row>
    <row r="4736" spans="1:80" s="87" customFormat="1" ht="14.25" customHeight="1" x14ac:dyDescent="0.2">
      <c r="A4736" s="152"/>
      <c r="B4736" s="683"/>
      <c r="C4736" s="683"/>
      <c r="D4736" s="698"/>
      <c r="E4736" s="215"/>
      <c r="F4736" s="215"/>
      <c r="G4736" s="153"/>
      <c r="H4736" s="153"/>
      <c r="I4736" s="306">
        <v>10</v>
      </c>
      <c r="J4736" s="306">
        <v>150</v>
      </c>
      <c r="K4736" s="150">
        <v>1</v>
      </c>
      <c r="L4736" s="656">
        <v>25</v>
      </c>
      <c r="M4736" s="663">
        <v>32989</v>
      </c>
      <c r="N4736" s="600">
        <v>2.2366999999999999</v>
      </c>
      <c r="O4736" s="604">
        <v>4.5551000000000001E-2</v>
      </c>
      <c r="P4736" s="250"/>
      <c r="Q4736" s="250"/>
      <c r="R4736" s="250"/>
      <c r="S4736" s="250">
        <v>1.9E-2</v>
      </c>
      <c r="T4736" s="250">
        <v>0.17699999999999999</v>
      </c>
      <c r="U4736" s="250">
        <v>0.26600000000000001</v>
      </c>
      <c r="V4736" s="250">
        <v>0.29199999999999998</v>
      </c>
      <c r="W4736" s="250">
        <v>0.19699999999999998</v>
      </c>
      <c r="X4736" s="250">
        <v>4.9000000000000002E-2</v>
      </c>
      <c r="Y4736" s="250">
        <v>1E-3</v>
      </c>
      <c r="Z4736" s="150"/>
      <c r="AA4736" s="150">
        <v>1.83</v>
      </c>
      <c r="AB4736" s="152"/>
      <c r="AC4736" s="152"/>
      <c r="AD4736" s="223"/>
      <c r="AE4736" s="223"/>
      <c r="AF4736" s="223"/>
      <c r="AG4736" s="223"/>
      <c r="AH4736" s="341"/>
      <c r="AI4736" s="218"/>
      <c r="AJ4736" s="218"/>
      <c r="AK4736" s="153"/>
      <c r="AL4736" s="152"/>
      <c r="AM4736" s="152"/>
      <c r="AN4736" s="152"/>
      <c r="AO4736" s="152"/>
      <c r="AP4736" s="152"/>
      <c r="AQ4736" s="152"/>
      <c r="AR4736" s="152"/>
      <c r="AS4736" s="152"/>
      <c r="AT4736" s="152"/>
      <c r="AU4736" s="153"/>
      <c r="AV4736" s="479"/>
      <c r="AW4736" s="479"/>
      <c r="AX4736" s="442"/>
      <c r="AY4736" s="153"/>
      <c r="AZ4736" s="152"/>
      <c r="BA4736" s="152"/>
      <c r="BB4736" s="152"/>
      <c r="BC4736" s="152"/>
      <c r="BD4736" s="152"/>
      <c r="BE4736" s="152"/>
      <c r="BF4736" s="152"/>
      <c r="BG4736" s="152"/>
      <c r="BH4736" s="152"/>
      <c r="BI4736" s="153"/>
      <c r="BJ4736" s="153"/>
      <c r="BK4736" s="153"/>
      <c r="BL4736" s="153"/>
      <c r="BM4736" s="153"/>
      <c r="BN4736" s="153"/>
      <c r="BO4736" s="153"/>
      <c r="BP4736" s="153"/>
      <c r="BQ4736" s="153"/>
      <c r="BR4736" s="153"/>
      <c r="BS4736" s="153"/>
      <c r="BT4736" s="153"/>
      <c r="BU4736" s="153"/>
      <c r="BV4736" s="153"/>
      <c r="BW4736" s="153"/>
      <c r="BX4736" s="153"/>
      <c r="BY4736" s="153"/>
      <c r="BZ4736" s="153"/>
      <c r="CA4736" s="152"/>
      <c r="CB4736" s="152"/>
    </row>
    <row r="4737" spans="1:80" s="87" customFormat="1" ht="14.25" customHeight="1" x14ac:dyDescent="0.2">
      <c r="A4737" s="152"/>
      <c r="B4737" s="683"/>
      <c r="C4737" s="683"/>
      <c r="D4737" s="698"/>
      <c r="E4737" s="215"/>
      <c r="F4737" s="215"/>
      <c r="G4737" s="153"/>
      <c r="H4737" s="153"/>
      <c r="I4737" s="306">
        <v>10</v>
      </c>
      <c r="J4737" s="306">
        <v>240</v>
      </c>
      <c r="K4737" s="150">
        <v>1</v>
      </c>
      <c r="L4737" s="656">
        <v>40</v>
      </c>
      <c r="M4737" s="663">
        <v>32990</v>
      </c>
      <c r="N4737" s="600">
        <v>2.0102000000000002</v>
      </c>
      <c r="O4737" s="604">
        <v>3.6420000000000001E-2</v>
      </c>
      <c r="P4737" s="250"/>
      <c r="Q4737" s="250"/>
      <c r="R4737" s="250"/>
      <c r="S4737" s="250">
        <v>1.2E-2</v>
      </c>
      <c r="T4737" s="250">
        <v>0.09</v>
      </c>
      <c r="U4737" s="250">
        <v>0.32600000000000001</v>
      </c>
      <c r="V4737" s="250">
        <v>0.36200000000000004</v>
      </c>
      <c r="W4737" s="250">
        <v>0.17499999999999999</v>
      </c>
      <c r="X4737" s="250">
        <v>3.5000000000000003E-2</v>
      </c>
      <c r="Y4737" s="250">
        <v>1E-3</v>
      </c>
      <c r="Z4737" s="150"/>
      <c r="AA4737" s="150">
        <v>1.74</v>
      </c>
      <c r="AB4737" s="152"/>
      <c r="AC4737" s="152"/>
      <c r="AD4737" s="223"/>
      <c r="AE4737" s="223"/>
      <c r="AF4737" s="223"/>
      <c r="AG4737" s="223"/>
      <c r="AH4737" s="341"/>
      <c r="AI4737" s="218"/>
      <c r="AJ4737" s="218"/>
      <c r="AK4737" s="153"/>
      <c r="AL4737" s="152"/>
      <c r="AM4737" s="152"/>
      <c r="AN4737" s="152"/>
      <c r="AO4737" s="152"/>
      <c r="AP4737" s="152"/>
      <c r="AQ4737" s="152"/>
      <c r="AR4737" s="152"/>
      <c r="AS4737" s="152"/>
      <c r="AT4737" s="152"/>
      <c r="AU4737" s="153"/>
      <c r="AV4737" s="479"/>
      <c r="AW4737" s="479"/>
      <c r="AX4737" s="442"/>
      <c r="AY4737" s="153"/>
      <c r="AZ4737" s="152"/>
      <c r="BA4737" s="152"/>
      <c r="BB4737" s="152"/>
      <c r="BC4737" s="152"/>
      <c r="BD4737" s="152"/>
      <c r="BE4737" s="152"/>
      <c r="BF4737" s="152"/>
      <c r="BG4737" s="152"/>
      <c r="BH4737" s="152"/>
      <c r="BI4737" s="153"/>
      <c r="BJ4737" s="153"/>
      <c r="BK4737" s="153"/>
      <c r="BL4737" s="153"/>
      <c r="BM4737" s="153"/>
      <c r="BN4737" s="153"/>
      <c r="BO4737" s="153"/>
      <c r="BP4737" s="153"/>
      <c r="BQ4737" s="153"/>
      <c r="BR4737" s="153"/>
      <c r="BS4737" s="153"/>
      <c r="BT4737" s="153"/>
      <c r="BU4737" s="153"/>
      <c r="BV4737" s="153"/>
      <c r="BW4737" s="153"/>
      <c r="BX4737" s="153"/>
      <c r="BY4737" s="153"/>
      <c r="BZ4737" s="153"/>
      <c r="CA4737" s="152"/>
      <c r="CB4737" s="152"/>
    </row>
    <row r="4738" spans="1:80" s="87" customFormat="1" ht="14.25" customHeight="1" x14ac:dyDescent="0.2">
      <c r="A4738" s="152"/>
      <c r="B4738" s="683"/>
      <c r="C4738" s="683"/>
      <c r="D4738" s="698"/>
      <c r="E4738" s="215"/>
      <c r="F4738" s="215"/>
      <c r="G4738" s="153"/>
      <c r="H4738" s="153"/>
      <c r="I4738" s="306">
        <v>10</v>
      </c>
      <c r="J4738" s="306">
        <v>360</v>
      </c>
      <c r="K4738" s="150">
        <v>1</v>
      </c>
      <c r="L4738" s="656">
        <v>60</v>
      </c>
      <c r="M4738" s="663">
        <v>32995</v>
      </c>
      <c r="N4738" s="600">
        <v>1.4439500000000001</v>
      </c>
      <c r="O4738" s="604">
        <v>2.0362000000000002E-2</v>
      </c>
      <c r="P4738" s="250"/>
      <c r="Q4738" s="250"/>
      <c r="R4738" s="250"/>
      <c r="S4738" s="250">
        <v>9.0000000000000011E-3</v>
      </c>
      <c r="T4738" s="250">
        <v>7.400000000000001E-2</v>
      </c>
      <c r="U4738" s="250">
        <v>0.221</v>
      </c>
      <c r="V4738" s="250">
        <v>0.39100000000000001</v>
      </c>
      <c r="W4738" s="250">
        <v>0.245</v>
      </c>
      <c r="X4738" s="250">
        <v>5.9000000000000004E-2</v>
      </c>
      <c r="Y4738" s="250">
        <v>1E-3</v>
      </c>
      <c r="Z4738" s="150"/>
      <c r="AA4738" s="150">
        <v>1.41</v>
      </c>
      <c r="AB4738" s="152"/>
      <c r="AC4738" s="152"/>
      <c r="AD4738" s="223"/>
      <c r="AE4738" s="223"/>
      <c r="AF4738" s="223"/>
      <c r="AG4738" s="223"/>
      <c r="AH4738" s="341"/>
      <c r="AI4738" s="218"/>
      <c r="AJ4738" s="218"/>
      <c r="AK4738" s="153"/>
      <c r="AL4738" s="152"/>
      <c r="AM4738" s="152"/>
      <c r="AN4738" s="152"/>
      <c r="AO4738" s="152"/>
      <c r="AP4738" s="152"/>
      <c r="AQ4738" s="152"/>
      <c r="AR4738" s="152"/>
      <c r="AS4738" s="152"/>
      <c r="AT4738" s="152"/>
      <c r="AU4738" s="153"/>
      <c r="AV4738" s="479"/>
      <c r="AW4738" s="479"/>
      <c r="AX4738" s="442"/>
      <c r="AY4738" s="153"/>
      <c r="AZ4738" s="152"/>
      <c r="BA4738" s="152"/>
      <c r="BB4738" s="152"/>
      <c r="BC4738" s="152"/>
      <c r="BD4738" s="152"/>
      <c r="BE4738" s="152"/>
      <c r="BF4738" s="152"/>
      <c r="BG4738" s="152"/>
      <c r="BH4738" s="152"/>
      <c r="BI4738" s="153"/>
      <c r="BJ4738" s="153"/>
      <c r="BK4738" s="153"/>
      <c r="BL4738" s="153"/>
      <c r="BM4738" s="153"/>
      <c r="BN4738" s="153"/>
      <c r="BO4738" s="153"/>
      <c r="BP4738" s="153"/>
      <c r="BQ4738" s="153"/>
      <c r="BR4738" s="153"/>
      <c r="BS4738" s="153"/>
      <c r="BT4738" s="153"/>
      <c r="BU4738" s="153"/>
      <c r="BV4738" s="153"/>
      <c r="BW4738" s="153"/>
      <c r="BX4738" s="153"/>
      <c r="BY4738" s="153"/>
      <c r="BZ4738" s="153"/>
      <c r="CA4738" s="152"/>
      <c r="CB4738" s="152"/>
    </row>
    <row r="4739" spans="1:80" s="87" customFormat="1" ht="14.25" customHeight="1" x14ac:dyDescent="0.2">
      <c r="A4739" s="152"/>
      <c r="B4739" s="683"/>
      <c r="C4739" s="683"/>
      <c r="D4739" s="698"/>
      <c r="E4739" s="215"/>
      <c r="F4739" s="215"/>
      <c r="G4739" s="153"/>
      <c r="H4739" s="153"/>
      <c r="I4739" s="306">
        <v>11</v>
      </c>
      <c r="J4739" s="306">
        <v>300</v>
      </c>
      <c r="K4739" s="150">
        <v>1</v>
      </c>
      <c r="L4739" s="656">
        <v>55</v>
      </c>
      <c r="M4739" s="663">
        <v>32995</v>
      </c>
      <c r="N4739" s="600">
        <v>1.3873200000000001</v>
      </c>
      <c r="O4739" s="604">
        <v>5.143E-3</v>
      </c>
      <c r="P4739" s="250"/>
      <c r="Q4739" s="250"/>
      <c r="R4739" s="250"/>
      <c r="S4739" s="250"/>
      <c r="T4739" s="250">
        <v>0.20899999999999999</v>
      </c>
      <c r="U4739" s="250">
        <v>0.34100000000000003</v>
      </c>
      <c r="V4739" s="250">
        <v>0.22500000000000001</v>
      </c>
      <c r="W4739" s="250">
        <v>0.16200000000000001</v>
      </c>
      <c r="X4739" s="250">
        <v>6.0999999999999999E-2</v>
      </c>
      <c r="Y4739" s="250">
        <v>1E-3</v>
      </c>
      <c r="Z4739" s="150"/>
      <c r="AA4739" s="150">
        <v>2.21</v>
      </c>
      <c r="AB4739" s="152"/>
      <c r="AC4739" s="152"/>
      <c r="AD4739" s="223"/>
      <c r="AE4739" s="223"/>
      <c r="AF4739" s="223"/>
      <c r="AG4739" s="223"/>
      <c r="AH4739" s="341"/>
      <c r="AI4739" s="218"/>
      <c r="AJ4739" s="218"/>
      <c r="AK4739" s="153"/>
      <c r="AL4739" s="152"/>
      <c r="AM4739" s="152"/>
      <c r="AN4739" s="152"/>
      <c r="AO4739" s="152"/>
      <c r="AP4739" s="152"/>
      <c r="AQ4739" s="152"/>
      <c r="AR4739" s="152"/>
      <c r="AS4739" s="152"/>
      <c r="AT4739" s="152"/>
      <c r="AU4739" s="153"/>
      <c r="AV4739" s="479"/>
      <c r="AW4739" s="479"/>
      <c r="AX4739" s="442"/>
      <c r="AY4739" s="153"/>
      <c r="AZ4739" s="152"/>
      <c r="BA4739" s="152"/>
      <c r="BB4739" s="152"/>
      <c r="BC4739" s="152"/>
      <c r="BD4739" s="152"/>
      <c r="BE4739" s="152"/>
      <c r="BF4739" s="152"/>
      <c r="BG4739" s="152"/>
      <c r="BH4739" s="152"/>
      <c r="BI4739" s="153"/>
      <c r="BJ4739" s="153"/>
      <c r="BK4739" s="153"/>
      <c r="BL4739" s="153"/>
      <c r="BM4739" s="153"/>
      <c r="BN4739" s="153"/>
      <c r="BO4739" s="153"/>
      <c r="BP4739" s="153"/>
      <c r="BQ4739" s="153"/>
      <c r="BR4739" s="153"/>
      <c r="BS4739" s="153"/>
      <c r="BT4739" s="153"/>
      <c r="BU4739" s="153"/>
      <c r="BV4739" s="153"/>
      <c r="BW4739" s="153"/>
      <c r="BX4739" s="153"/>
      <c r="BY4739" s="153"/>
      <c r="BZ4739" s="153"/>
      <c r="CA4739" s="152"/>
      <c r="CB4739" s="152"/>
    </row>
    <row r="4740" spans="1:80" s="87" customFormat="1" ht="14.25" customHeight="1" x14ac:dyDescent="0.2">
      <c r="A4740" s="152"/>
      <c r="B4740" s="683"/>
      <c r="C4740" s="683"/>
      <c r="D4740" s="698"/>
      <c r="E4740" s="215"/>
      <c r="F4740" s="215"/>
      <c r="G4740" s="153"/>
      <c r="H4740" s="153"/>
      <c r="I4740" s="306">
        <v>10</v>
      </c>
      <c r="J4740" s="306">
        <v>360</v>
      </c>
      <c r="K4740" s="150">
        <v>1</v>
      </c>
      <c r="L4740" s="656">
        <v>60</v>
      </c>
      <c r="M4740" s="663">
        <v>32997</v>
      </c>
      <c r="N4740" s="600">
        <v>1.3873200000000001</v>
      </c>
      <c r="O4740" s="604">
        <v>2.3410000000000002E-3</v>
      </c>
      <c r="P4740" s="250"/>
      <c r="Q4740" s="250"/>
      <c r="R4740" s="250"/>
      <c r="S4740" s="250">
        <v>2.3E-2</v>
      </c>
      <c r="T4740" s="250">
        <v>0.23699999999999999</v>
      </c>
      <c r="U4740" s="250">
        <v>0.27600000000000002</v>
      </c>
      <c r="V4740" s="250">
        <v>0.19699999999999998</v>
      </c>
      <c r="W4740" s="250">
        <v>0.19699999999999998</v>
      </c>
      <c r="X4740" s="250">
        <v>6.7000000000000004E-2</v>
      </c>
      <c r="Y4740" s="250">
        <v>2E-3</v>
      </c>
      <c r="Z4740" s="150"/>
      <c r="AA4740" s="150">
        <v>2.19</v>
      </c>
      <c r="AB4740" s="152"/>
      <c r="AC4740" s="152"/>
      <c r="AD4740" s="223"/>
      <c r="AE4740" s="223"/>
      <c r="AF4740" s="223"/>
      <c r="AG4740" s="223"/>
      <c r="AH4740" s="341"/>
      <c r="AI4740" s="218"/>
      <c r="AJ4740" s="218"/>
      <c r="AK4740" s="153"/>
      <c r="AL4740" s="152"/>
      <c r="AM4740" s="152"/>
      <c r="AN4740" s="152"/>
      <c r="AO4740" s="152"/>
      <c r="AP4740" s="152"/>
      <c r="AQ4740" s="152"/>
      <c r="AR4740" s="152"/>
      <c r="AS4740" s="152"/>
      <c r="AT4740" s="152"/>
      <c r="AU4740" s="153"/>
      <c r="AV4740" s="479"/>
      <c r="AW4740" s="479"/>
      <c r="AX4740" s="442"/>
      <c r="AY4740" s="153"/>
      <c r="AZ4740" s="152"/>
      <c r="BA4740" s="152"/>
      <c r="BB4740" s="152"/>
      <c r="BC4740" s="152"/>
      <c r="BD4740" s="152"/>
      <c r="BE4740" s="152"/>
      <c r="BF4740" s="152"/>
      <c r="BG4740" s="152"/>
      <c r="BH4740" s="152"/>
      <c r="BI4740" s="153"/>
      <c r="BJ4740" s="153"/>
      <c r="BK4740" s="153"/>
      <c r="BL4740" s="153"/>
      <c r="BM4740" s="153"/>
      <c r="BN4740" s="153"/>
      <c r="BO4740" s="153"/>
      <c r="BP4740" s="153"/>
      <c r="BQ4740" s="153"/>
      <c r="BR4740" s="153"/>
      <c r="BS4740" s="153"/>
      <c r="BT4740" s="153"/>
      <c r="BU4740" s="153"/>
      <c r="BV4740" s="153"/>
      <c r="BW4740" s="153"/>
      <c r="BX4740" s="153"/>
      <c r="BY4740" s="153"/>
      <c r="BZ4740" s="153"/>
      <c r="CA4740" s="152"/>
      <c r="CB4740" s="152"/>
    </row>
    <row r="4741" spans="1:80" s="87" customFormat="1" ht="14.25" customHeight="1" x14ac:dyDescent="0.2">
      <c r="A4741" s="152"/>
      <c r="B4741" s="683"/>
      <c r="C4741" s="683"/>
      <c r="D4741" s="698"/>
      <c r="E4741" s="215"/>
      <c r="F4741" s="215"/>
      <c r="G4741" s="153"/>
      <c r="H4741" s="153"/>
      <c r="I4741" s="306">
        <v>10</v>
      </c>
      <c r="J4741" s="306">
        <v>360</v>
      </c>
      <c r="K4741" s="150">
        <v>1</v>
      </c>
      <c r="L4741" s="656">
        <v>60</v>
      </c>
      <c r="M4741" s="663">
        <v>33000</v>
      </c>
      <c r="N4741" s="600">
        <v>1.9818899999999999</v>
      </c>
      <c r="O4741" s="604">
        <v>6.2030000000000002E-3</v>
      </c>
      <c r="P4741" s="250"/>
      <c r="Q4741" s="250"/>
      <c r="R4741" s="250"/>
      <c r="S4741" s="250">
        <v>3.3000000000000002E-2</v>
      </c>
      <c r="T4741" s="250">
        <v>0.16200000000000001</v>
      </c>
      <c r="U4741" s="250">
        <v>0.36599999999999999</v>
      </c>
      <c r="V4741" s="250">
        <v>0.26</v>
      </c>
      <c r="W4741" s="250">
        <v>0.13699999999999998</v>
      </c>
      <c r="X4741" s="250">
        <v>3.9E-2</v>
      </c>
      <c r="Y4741" s="250">
        <v>2E-3</v>
      </c>
      <c r="Z4741" s="150"/>
      <c r="AA4741" s="150">
        <v>2.2400000000000002</v>
      </c>
      <c r="AB4741" s="152"/>
      <c r="AC4741" s="152"/>
      <c r="AD4741" s="223"/>
      <c r="AE4741" s="223"/>
      <c r="AF4741" s="223"/>
      <c r="AG4741" s="223"/>
      <c r="AH4741" s="341"/>
      <c r="AI4741" s="218"/>
      <c r="AJ4741" s="218"/>
      <c r="AK4741" s="153"/>
      <c r="AL4741" s="152"/>
      <c r="AM4741" s="152"/>
      <c r="AN4741" s="152"/>
      <c r="AO4741" s="152"/>
      <c r="AP4741" s="152"/>
      <c r="AQ4741" s="152"/>
      <c r="AR4741" s="152"/>
      <c r="AS4741" s="152"/>
      <c r="AT4741" s="152"/>
      <c r="AU4741" s="153"/>
      <c r="AV4741" s="479"/>
      <c r="AW4741" s="479"/>
      <c r="AX4741" s="442"/>
      <c r="AY4741" s="153"/>
      <c r="AZ4741" s="152"/>
      <c r="BA4741" s="152"/>
      <c r="BB4741" s="152"/>
      <c r="BC4741" s="152"/>
      <c r="BD4741" s="152"/>
      <c r="BE4741" s="152"/>
      <c r="BF4741" s="152"/>
      <c r="BG4741" s="152"/>
      <c r="BH4741" s="152"/>
      <c r="BI4741" s="153"/>
      <c r="BJ4741" s="153"/>
      <c r="BK4741" s="153"/>
      <c r="BL4741" s="153"/>
      <c r="BM4741" s="153"/>
      <c r="BN4741" s="153"/>
      <c r="BO4741" s="153"/>
      <c r="BP4741" s="153"/>
      <c r="BQ4741" s="153"/>
      <c r="BR4741" s="153"/>
      <c r="BS4741" s="153"/>
      <c r="BT4741" s="153"/>
      <c r="BU4741" s="153"/>
      <c r="BV4741" s="153"/>
      <c r="BW4741" s="153"/>
      <c r="BX4741" s="153"/>
      <c r="BY4741" s="153"/>
      <c r="BZ4741" s="153"/>
      <c r="CA4741" s="152"/>
      <c r="CB4741" s="152"/>
    </row>
    <row r="4742" spans="1:80" s="87" customFormat="1" ht="14.25" customHeight="1" x14ac:dyDescent="0.2">
      <c r="A4742" s="152"/>
      <c r="B4742" s="683"/>
      <c r="C4742" s="683"/>
      <c r="D4742" s="698"/>
      <c r="E4742" s="215"/>
      <c r="F4742" s="215"/>
      <c r="G4742" s="153"/>
      <c r="H4742" s="153"/>
      <c r="I4742" s="306">
        <v>11</v>
      </c>
      <c r="J4742" s="306">
        <v>360</v>
      </c>
      <c r="K4742" s="150">
        <v>1</v>
      </c>
      <c r="L4742" s="656">
        <v>66</v>
      </c>
      <c r="M4742" s="663">
        <v>33008</v>
      </c>
      <c r="N4742" s="600">
        <v>1.41564</v>
      </c>
      <c r="O4742" s="604">
        <v>2.036E-3</v>
      </c>
      <c r="P4742" s="250"/>
      <c r="Q4742" s="250"/>
      <c r="R4742" s="250"/>
      <c r="S4742" s="250" t="s">
        <v>71</v>
      </c>
      <c r="T4742" s="250">
        <v>0.06</v>
      </c>
      <c r="U4742" s="250">
        <v>0.23199999999999998</v>
      </c>
      <c r="V4742" s="250">
        <v>0.27</v>
      </c>
      <c r="W4742" s="250">
        <v>0.32299999999999995</v>
      </c>
      <c r="X4742" s="250">
        <v>0.113</v>
      </c>
      <c r="Y4742" s="250">
        <v>3.0000000000000001E-3</v>
      </c>
      <c r="Z4742" s="150"/>
      <c r="AA4742" s="150">
        <v>1.17</v>
      </c>
      <c r="AB4742" s="152"/>
      <c r="AC4742" s="152"/>
      <c r="AD4742" s="223"/>
      <c r="AE4742" s="223"/>
      <c r="AF4742" s="223"/>
      <c r="AG4742" s="223"/>
      <c r="AH4742" s="341"/>
      <c r="AI4742" s="218"/>
      <c r="AJ4742" s="218"/>
      <c r="AK4742" s="153"/>
      <c r="AL4742" s="152"/>
      <c r="AM4742" s="152"/>
      <c r="AN4742" s="152"/>
      <c r="AO4742" s="152"/>
      <c r="AP4742" s="152"/>
      <c r="AQ4742" s="152"/>
      <c r="AR4742" s="152"/>
      <c r="AS4742" s="152"/>
      <c r="AT4742" s="152"/>
      <c r="AU4742" s="153"/>
      <c r="AV4742" s="479"/>
      <c r="AW4742" s="479"/>
      <c r="AX4742" s="442"/>
      <c r="AY4742" s="153"/>
      <c r="AZ4742" s="152"/>
      <c r="BA4742" s="152"/>
      <c r="BB4742" s="152"/>
      <c r="BC4742" s="152"/>
      <c r="BD4742" s="152"/>
      <c r="BE4742" s="152"/>
      <c r="BF4742" s="152"/>
      <c r="BG4742" s="152"/>
      <c r="BH4742" s="152"/>
      <c r="BI4742" s="153"/>
      <c r="BJ4742" s="153"/>
      <c r="BK4742" s="153"/>
      <c r="BL4742" s="153"/>
      <c r="BM4742" s="153"/>
      <c r="BN4742" s="153"/>
      <c r="BO4742" s="153"/>
      <c r="BP4742" s="153"/>
      <c r="BQ4742" s="153"/>
      <c r="BR4742" s="153"/>
      <c r="BS4742" s="153"/>
      <c r="BT4742" s="153"/>
      <c r="BU4742" s="153"/>
      <c r="BV4742" s="153"/>
      <c r="BW4742" s="153"/>
      <c r="BX4742" s="153"/>
      <c r="BY4742" s="153"/>
      <c r="BZ4742" s="153"/>
      <c r="CA4742" s="152"/>
      <c r="CB4742" s="152"/>
    </row>
    <row r="4743" spans="1:80" s="87" customFormat="1" ht="14.25" customHeight="1" x14ac:dyDescent="0.2">
      <c r="A4743" s="152"/>
      <c r="B4743" s="683"/>
      <c r="C4743" s="683"/>
      <c r="D4743" s="698"/>
      <c r="E4743" s="215"/>
      <c r="F4743" s="215"/>
      <c r="G4743" s="153"/>
      <c r="H4743" s="153"/>
      <c r="I4743" s="306">
        <v>11</v>
      </c>
      <c r="J4743" s="306">
        <v>360</v>
      </c>
      <c r="K4743" s="150">
        <v>1</v>
      </c>
      <c r="L4743" s="656">
        <v>66</v>
      </c>
      <c r="M4743" s="663">
        <v>33015</v>
      </c>
      <c r="N4743" s="600">
        <v>1.41564</v>
      </c>
      <c r="O4743" s="604">
        <v>4.7019999999999996E-3</v>
      </c>
      <c r="P4743" s="250"/>
      <c r="Q4743" s="250"/>
      <c r="R4743" s="250"/>
      <c r="S4743" s="250">
        <v>1.1000000000000001E-2</v>
      </c>
      <c r="T4743" s="250">
        <v>8.4000000000000005E-2</v>
      </c>
      <c r="U4743" s="250">
        <v>0.23</v>
      </c>
      <c r="V4743" s="250">
        <v>0.34299999999999997</v>
      </c>
      <c r="W4743" s="250">
        <v>0.26200000000000001</v>
      </c>
      <c r="X4743" s="250">
        <v>6.8000000000000005E-2</v>
      </c>
      <c r="Y4743" s="250">
        <v>2E-3</v>
      </c>
      <c r="Z4743" s="150"/>
      <c r="AA4743" s="150">
        <v>1.4</v>
      </c>
      <c r="AB4743" s="152"/>
      <c r="AC4743" s="152"/>
      <c r="AD4743" s="223"/>
      <c r="AE4743" s="223"/>
      <c r="AF4743" s="223"/>
      <c r="AG4743" s="223"/>
      <c r="AH4743" s="341"/>
      <c r="AI4743" s="218"/>
      <c r="AJ4743" s="218"/>
      <c r="AK4743" s="153"/>
      <c r="AL4743" s="152"/>
      <c r="AM4743" s="152"/>
      <c r="AN4743" s="152"/>
      <c r="AO4743" s="152"/>
      <c r="AP4743" s="152"/>
      <c r="AQ4743" s="152"/>
      <c r="AR4743" s="152"/>
      <c r="AS4743" s="152"/>
      <c r="AT4743" s="152"/>
      <c r="AU4743" s="153"/>
      <c r="AV4743" s="479"/>
      <c r="AW4743" s="479"/>
      <c r="AX4743" s="442"/>
      <c r="AY4743" s="153"/>
      <c r="AZ4743" s="152"/>
      <c r="BA4743" s="152"/>
      <c r="BB4743" s="152"/>
      <c r="BC4743" s="152"/>
      <c r="BD4743" s="152"/>
      <c r="BE4743" s="152"/>
      <c r="BF4743" s="152"/>
      <c r="BG4743" s="152"/>
      <c r="BH4743" s="152"/>
      <c r="BI4743" s="153"/>
      <c r="BJ4743" s="153"/>
      <c r="BK4743" s="153"/>
      <c r="BL4743" s="153"/>
      <c r="BM4743" s="153"/>
      <c r="BN4743" s="153"/>
      <c r="BO4743" s="153"/>
      <c r="BP4743" s="153"/>
      <c r="BQ4743" s="153"/>
      <c r="BR4743" s="153"/>
      <c r="BS4743" s="153"/>
      <c r="BT4743" s="153"/>
      <c r="BU4743" s="153"/>
      <c r="BV4743" s="153"/>
      <c r="BW4743" s="153"/>
      <c r="BX4743" s="153"/>
      <c r="BY4743" s="153"/>
      <c r="BZ4743" s="153"/>
      <c r="CA4743" s="152"/>
      <c r="CB4743" s="152"/>
    </row>
    <row r="4744" spans="1:80" s="87" customFormat="1" ht="14.25" customHeight="1" x14ac:dyDescent="0.2">
      <c r="A4744" s="152"/>
      <c r="B4744" s="683"/>
      <c r="C4744" s="683"/>
      <c r="D4744" s="698"/>
      <c r="E4744" s="215"/>
      <c r="F4744" s="215"/>
      <c r="G4744" s="153"/>
      <c r="H4744" s="153"/>
      <c r="I4744" s="306">
        <v>11</v>
      </c>
      <c r="J4744" s="306">
        <v>120</v>
      </c>
      <c r="K4744" s="150">
        <v>1</v>
      </c>
      <c r="L4744" s="656">
        <v>22</v>
      </c>
      <c r="M4744" s="663">
        <v>33023</v>
      </c>
      <c r="N4744" s="600">
        <v>4.3318399999999997</v>
      </c>
      <c r="O4744" s="604">
        <v>8.2843E-2</v>
      </c>
      <c r="P4744" s="250"/>
      <c r="Q4744" s="250"/>
      <c r="R4744" s="250"/>
      <c r="S4744" s="250">
        <v>9.0000000000000011E-3</v>
      </c>
      <c r="T4744" s="250">
        <v>0.13900000000000001</v>
      </c>
      <c r="U4744" s="250">
        <v>0.38</v>
      </c>
      <c r="V4744" s="250">
        <v>0.28100000000000003</v>
      </c>
      <c r="W4744" s="250">
        <v>0.13600000000000001</v>
      </c>
      <c r="X4744" s="250">
        <v>4.9000000000000002E-2</v>
      </c>
      <c r="Y4744" s="250">
        <v>6.9999999999999993E-3</v>
      </c>
      <c r="Z4744" s="150"/>
      <c r="AA4744" s="150">
        <v>2.1</v>
      </c>
      <c r="AB4744" s="152"/>
      <c r="AC4744" s="152"/>
      <c r="AD4744" s="223"/>
      <c r="AE4744" s="223"/>
      <c r="AF4744" s="223"/>
      <c r="AG4744" s="223"/>
      <c r="AH4744" s="341"/>
      <c r="AI4744" s="218"/>
      <c r="AJ4744" s="218"/>
      <c r="AK4744" s="153"/>
      <c r="AL4744" s="152"/>
      <c r="AM4744" s="152"/>
      <c r="AN4744" s="152"/>
      <c r="AO4744" s="152"/>
      <c r="AP4744" s="152"/>
      <c r="AQ4744" s="152"/>
      <c r="AR4744" s="152"/>
      <c r="AS4744" s="152"/>
      <c r="AT4744" s="152"/>
      <c r="AU4744" s="153"/>
      <c r="AV4744" s="479"/>
      <c r="AW4744" s="479"/>
      <c r="AX4744" s="442"/>
      <c r="AY4744" s="153"/>
      <c r="AZ4744" s="152"/>
      <c r="BA4744" s="152"/>
      <c r="BB4744" s="152"/>
      <c r="BC4744" s="152"/>
      <c r="BD4744" s="152"/>
      <c r="BE4744" s="152"/>
      <c r="BF4744" s="152"/>
      <c r="BG4744" s="152"/>
      <c r="BH4744" s="152"/>
      <c r="BI4744" s="153"/>
      <c r="BJ4744" s="153"/>
      <c r="BK4744" s="153"/>
      <c r="BL4744" s="153"/>
      <c r="BM4744" s="153"/>
      <c r="BN4744" s="153"/>
      <c r="BO4744" s="153"/>
      <c r="BP4744" s="153"/>
      <c r="BQ4744" s="153"/>
      <c r="BR4744" s="153"/>
      <c r="BS4744" s="153"/>
      <c r="BT4744" s="153"/>
      <c r="BU4744" s="153"/>
      <c r="BV4744" s="153"/>
      <c r="BW4744" s="153"/>
      <c r="BX4744" s="153"/>
      <c r="BY4744" s="153"/>
      <c r="BZ4744" s="153"/>
      <c r="CA4744" s="152"/>
      <c r="CB4744" s="152"/>
    </row>
    <row r="4745" spans="1:80" s="87" customFormat="1" ht="14.25" customHeight="1" x14ac:dyDescent="0.2">
      <c r="A4745" s="152"/>
      <c r="B4745" s="683"/>
      <c r="C4745" s="683"/>
      <c r="D4745" s="698"/>
      <c r="E4745" s="215"/>
      <c r="F4745" s="215"/>
      <c r="G4745" s="153"/>
      <c r="H4745" s="153"/>
      <c r="I4745" s="306">
        <v>11</v>
      </c>
      <c r="J4745" s="306">
        <v>120</v>
      </c>
      <c r="K4745" s="150">
        <v>1</v>
      </c>
      <c r="L4745" s="656">
        <v>22</v>
      </c>
      <c r="M4745" s="663">
        <v>33025</v>
      </c>
      <c r="N4745" s="600">
        <v>3.1143999999999998</v>
      </c>
      <c r="O4745" s="604">
        <v>2.2251E-2</v>
      </c>
      <c r="P4745" s="250"/>
      <c r="Q4745" s="250"/>
      <c r="R4745" s="250"/>
      <c r="S4745" s="250">
        <v>7.0999999999999994E-2</v>
      </c>
      <c r="T4745" s="250">
        <v>0.24</v>
      </c>
      <c r="U4745" s="250">
        <v>0.26</v>
      </c>
      <c r="V4745" s="250">
        <v>0.23800000000000002</v>
      </c>
      <c r="W4745" s="250">
        <v>0.13500000000000001</v>
      </c>
      <c r="X4745" s="250">
        <v>4.9000000000000002E-2</v>
      </c>
      <c r="Y4745" s="250">
        <v>8.0000000000000002E-3</v>
      </c>
      <c r="Z4745" s="150"/>
      <c r="AA4745" s="150">
        <v>2.42</v>
      </c>
      <c r="AB4745" s="152"/>
      <c r="AC4745" s="152"/>
      <c r="AD4745" s="223"/>
      <c r="AE4745" s="223"/>
      <c r="AF4745" s="223"/>
      <c r="AG4745" s="223"/>
      <c r="AH4745" s="341"/>
      <c r="AI4745" s="218"/>
      <c r="AJ4745" s="218"/>
      <c r="AK4745" s="153"/>
      <c r="AL4745" s="152"/>
      <c r="AM4745" s="152"/>
      <c r="AN4745" s="152"/>
      <c r="AO4745" s="152"/>
      <c r="AP4745" s="152"/>
      <c r="AQ4745" s="152"/>
      <c r="AR4745" s="152"/>
      <c r="AS4745" s="152"/>
      <c r="AT4745" s="152"/>
      <c r="AU4745" s="153"/>
      <c r="AV4745" s="479"/>
      <c r="AW4745" s="479"/>
      <c r="AX4745" s="442"/>
      <c r="AY4745" s="153"/>
      <c r="AZ4745" s="152"/>
      <c r="BA4745" s="152"/>
      <c r="BB4745" s="152"/>
      <c r="BC4745" s="152"/>
      <c r="BD4745" s="152"/>
      <c r="BE4745" s="152"/>
      <c r="BF4745" s="152"/>
      <c r="BG4745" s="152"/>
      <c r="BH4745" s="152"/>
      <c r="BI4745" s="153"/>
      <c r="BJ4745" s="153"/>
      <c r="BK4745" s="153"/>
      <c r="BL4745" s="153"/>
      <c r="BM4745" s="153"/>
      <c r="BN4745" s="153"/>
      <c r="BO4745" s="153"/>
      <c r="BP4745" s="153"/>
      <c r="BQ4745" s="153"/>
      <c r="BR4745" s="153"/>
      <c r="BS4745" s="153"/>
      <c r="BT4745" s="153"/>
      <c r="BU4745" s="153"/>
      <c r="BV4745" s="153"/>
      <c r="BW4745" s="153"/>
      <c r="BX4745" s="153"/>
      <c r="BY4745" s="153"/>
      <c r="BZ4745" s="153"/>
      <c r="CA4745" s="152"/>
      <c r="CB4745" s="152"/>
    </row>
    <row r="4746" spans="1:80" s="87" customFormat="1" ht="14.25" customHeight="1" x14ac:dyDescent="0.2">
      <c r="A4746" s="152"/>
      <c r="B4746" s="683"/>
      <c r="C4746" s="683"/>
      <c r="D4746" s="698"/>
      <c r="E4746" s="215"/>
      <c r="F4746" s="215"/>
      <c r="G4746" s="153"/>
      <c r="H4746" s="153"/>
      <c r="I4746" s="306">
        <v>10</v>
      </c>
      <c r="J4746" s="306">
        <v>180</v>
      </c>
      <c r="K4746" s="150">
        <v>1</v>
      </c>
      <c r="L4746" s="656">
        <v>30</v>
      </c>
      <c r="M4746" s="663">
        <v>33030</v>
      </c>
      <c r="N4746" s="600">
        <v>2.6613899999999999</v>
      </c>
      <c r="O4746" s="604">
        <v>3.9988999999999997E-2</v>
      </c>
      <c r="P4746" s="250"/>
      <c r="Q4746" s="250"/>
      <c r="R4746" s="250"/>
      <c r="S4746" s="250">
        <v>4.7E-2</v>
      </c>
      <c r="T4746" s="250">
        <v>0.14099999999999999</v>
      </c>
      <c r="U4746" s="250">
        <v>0.29799999999999999</v>
      </c>
      <c r="V4746" s="250">
        <v>0.30199999999999999</v>
      </c>
      <c r="W4746" s="250">
        <v>0.16200000000000001</v>
      </c>
      <c r="X4746" s="250">
        <v>4.4999999999999998E-2</v>
      </c>
      <c r="Y4746" s="250">
        <v>4.0000000000000001E-3</v>
      </c>
      <c r="Z4746" s="150"/>
      <c r="AA4746" s="150">
        <v>1.94</v>
      </c>
      <c r="AB4746" s="152"/>
      <c r="AC4746" s="152"/>
      <c r="AD4746" s="223"/>
      <c r="AE4746" s="223"/>
      <c r="AF4746" s="223"/>
      <c r="AG4746" s="223"/>
      <c r="AH4746" s="341"/>
      <c r="AI4746" s="218"/>
      <c r="AJ4746" s="218"/>
      <c r="AK4746" s="153"/>
      <c r="AL4746" s="152"/>
      <c r="AM4746" s="152"/>
      <c r="AN4746" s="152"/>
      <c r="AO4746" s="152"/>
      <c r="AP4746" s="152"/>
      <c r="AQ4746" s="152"/>
      <c r="AR4746" s="152"/>
      <c r="AS4746" s="152"/>
      <c r="AT4746" s="152"/>
      <c r="AU4746" s="153"/>
      <c r="AV4746" s="479"/>
      <c r="AW4746" s="479"/>
      <c r="AX4746" s="442"/>
      <c r="AY4746" s="153"/>
      <c r="AZ4746" s="152"/>
      <c r="BA4746" s="152"/>
      <c r="BB4746" s="152"/>
      <c r="BC4746" s="152"/>
      <c r="BD4746" s="152"/>
      <c r="BE4746" s="152"/>
      <c r="BF4746" s="152"/>
      <c r="BG4746" s="152"/>
      <c r="BH4746" s="152"/>
      <c r="BI4746" s="153"/>
      <c r="BJ4746" s="153"/>
      <c r="BK4746" s="153"/>
      <c r="BL4746" s="153"/>
      <c r="BM4746" s="153"/>
      <c r="BN4746" s="153"/>
      <c r="BO4746" s="153"/>
      <c r="BP4746" s="153"/>
      <c r="BQ4746" s="153"/>
      <c r="BR4746" s="153"/>
      <c r="BS4746" s="153"/>
      <c r="BT4746" s="153"/>
      <c r="BU4746" s="153"/>
      <c r="BV4746" s="153"/>
      <c r="BW4746" s="153"/>
      <c r="BX4746" s="153"/>
      <c r="BY4746" s="153"/>
      <c r="BZ4746" s="153"/>
      <c r="CA4746" s="152"/>
      <c r="CB4746" s="152"/>
    </row>
    <row r="4747" spans="1:80" s="87" customFormat="1" ht="14.25" customHeight="1" x14ac:dyDescent="0.2">
      <c r="A4747" s="152"/>
      <c r="B4747" s="683"/>
      <c r="C4747" s="683"/>
      <c r="D4747" s="698"/>
      <c r="E4747" s="215"/>
      <c r="F4747" s="215"/>
      <c r="G4747" s="153"/>
      <c r="H4747" s="153"/>
      <c r="I4747" s="306">
        <v>10</v>
      </c>
      <c r="J4747" s="306">
        <v>360</v>
      </c>
      <c r="K4747" s="150">
        <v>1</v>
      </c>
      <c r="L4747" s="656">
        <v>60</v>
      </c>
      <c r="M4747" s="663">
        <v>33337</v>
      </c>
      <c r="N4747" s="600">
        <v>0.59457000000000004</v>
      </c>
      <c r="O4747" s="604">
        <v>5.9000000000000003E-4</v>
      </c>
      <c r="P4747" s="250"/>
      <c r="Q4747" s="250"/>
      <c r="R4747" s="250"/>
      <c r="S4747" s="250"/>
      <c r="T4747" s="250"/>
      <c r="U4747" s="250">
        <v>9.6999999999999989E-2</v>
      </c>
      <c r="V4747" s="250">
        <v>0.251</v>
      </c>
      <c r="W4747" s="250">
        <v>0.37799999999999995</v>
      </c>
      <c r="X4747" s="250">
        <v>0.26600000000000001</v>
      </c>
      <c r="Y4747" s="250">
        <v>9.0000000000000011E-3</v>
      </c>
      <c r="Z4747" s="150"/>
      <c r="AA4747" s="150">
        <v>0.76</v>
      </c>
      <c r="AB4747" s="152"/>
      <c r="AC4747" s="152"/>
      <c r="AD4747" s="223"/>
      <c r="AE4747" s="223"/>
      <c r="AF4747" s="223"/>
      <c r="AG4747" s="223"/>
      <c r="AH4747" s="341"/>
      <c r="AI4747" s="218"/>
      <c r="AJ4747" s="218"/>
      <c r="AK4747" s="153"/>
      <c r="AL4747" s="152"/>
      <c r="AM4747" s="152"/>
      <c r="AN4747" s="152"/>
      <c r="AO4747" s="152"/>
      <c r="AP4747" s="152"/>
      <c r="AQ4747" s="152"/>
      <c r="AR4747" s="152"/>
      <c r="AS4747" s="152"/>
      <c r="AT4747" s="152"/>
      <c r="AU4747" s="153"/>
      <c r="AV4747" s="479"/>
      <c r="AW4747" s="479"/>
      <c r="AX4747" s="442"/>
      <c r="AY4747" s="153"/>
      <c r="AZ4747" s="152"/>
      <c r="BA4747" s="152"/>
      <c r="BB4747" s="152"/>
      <c r="BC4747" s="152"/>
      <c r="BD4747" s="152"/>
      <c r="BE4747" s="152"/>
      <c r="BF4747" s="152"/>
      <c r="BG4747" s="152"/>
      <c r="BH4747" s="152"/>
      <c r="BI4747" s="153"/>
      <c r="BJ4747" s="153"/>
      <c r="BK4747" s="153"/>
      <c r="BL4747" s="153"/>
      <c r="BM4747" s="153"/>
      <c r="BN4747" s="153"/>
      <c r="BO4747" s="153"/>
      <c r="BP4747" s="153"/>
      <c r="BQ4747" s="153"/>
      <c r="BR4747" s="153"/>
      <c r="BS4747" s="153"/>
      <c r="BT4747" s="153"/>
      <c r="BU4747" s="153"/>
      <c r="BV4747" s="153"/>
      <c r="BW4747" s="153"/>
      <c r="BX4747" s="153"/>
      <c r="BY4747" s="153"/>
      <c r="BZ4747" s="153"/>
      <c r="CA4747" s="152"/>
      <c r="CB4747" s="152"/>
    </row>
    <row r="4748" spans="1:80" s="87" customFormat="1" ht="14.25" customHeight="1" x14ac:dyDescent="0.2">
      <c r="A4748" s="152"/>
      <c r="B4748" s="683"/>
      <c r="C4748" s="683"/>
      <c r="D4748" s="698"/>
      <c r="E4748" s="215"/>
      <c r="F4748" s="215"/>
      <c r="G4748" s="153"/>
      <c r="H4748" s="153"/>
      <c r="I4748" s="306">
        <v>11</v>
      </c>
      <c r="J4748" s="306">
        <v>360</v>
      </c>
      <c r="K4748" s="150">
        <v>1</v>
      </c>
      <c r="L4748" s="656">
        <v>66</v>
      </c>
      <c r="M4748" s="663">
        <v>33343</v>
      </c>
      <c r="N4748" s="600">
        <v>0.33975</v>
      </c>
      <c r="O4748" s="604">
        <v>4.7100000000000001E-4</v>
      </c>
      <c r="P4748" s="250"/>
      <c r="Q4748" s="250"/>
      <c r="R4748" s="250"/>
      <c r="S4748" s="250"/>
      <c r="T4748" s="250">
        <v>6.6000000000000003E-2</v>
      </c>
      <c r="U4748" s="250">
        <v>8.6999999999999994E-2</v>
      </c>
      <c r="V4748" s="250">
        <v>0.32400000000000001</v>
      </c>
      <c r="W4748" s="250">
        <v>0.374</v>
      </c>
      <c r="X4748" s="250">
        <v>0.14599999999999999</v>
      </c>
      <c r="Y4748" s="250">
        <v>3.0000000000000001E-3</v>
      </c>
      <c r="Z4748" s="150"/>
      <c r="AA4748" s="150">
        <v>0.96</v>
      </c>
      <c r="AB4748" s="152"/>
      <c r="AC4748" s="152"/>
      <c r="AD4748" s="223"/>
      <c r="AE4748" s="223"/>
      <c r="AF4748" s="223"/>
      <c r="AG4748" s="223"/>
      <c r="AH4748" s="341"/>
      <c r="AI4748" s="218"/>
      <c r="AJ4748" s="218"/>
      <c r="AK4748" s="153"/>
      <c r="AL4748" s="152"/>
      <c r="AM4748" s="152"/>
      <c r="AN4748" s="152"/>
      <c r="AO4748" s="152"/>
      <c r="AP4748" s="152"/>
      <c r="AQ4748" s="152"/>
      <c r="AR4748" s="152"/>
      <c r="AS4748" s="152"/>
      <c r="AT4748" s="152"/>
      <c r="AU4748" s="153"/>
      <c r="AV4748" s="479"/>
      <c r="AW4748" s="479"/>
      <c r="AX4748" s="442"/>
      <c r="AY4748" s="153"/>
      <c r="AZ4748" s="152"/>
      <c r="BA4748" s="152"/>
      <c r="BB4748" s="152"/>
      <c r="BC4748" s="152"/>
      <c r="BD4748" s="152"/>
      <c r="BE4748" s="152"/>
      <c r="BF4748" s="152"/>
      <c r="BG4748" s="152"/>
      <c r="BH4748" s="152"/>
      <c r="BI4748" s="153"/>
      <c r="BJ4748" s="153"/>
      <c r="BK4748" s="153"/>
      <c r="BL4748" s="153"/>
      <c r="BM4748" s="153"/>
      <c r="BN4748" s="153"/>
      <c r="BO4748" s="153"/>
      <c r="BP4748" s="153"/>
      <c r="BQ4748" s="153"/>
      <c r="BR4748" s="153"/>
      <c r="BS4748" s="153"/>
      <c r="BT4748" s="153"/>
      <c r="BU4748" s="153"/>
      <c r="BV4748" s="153"/>
      <c r="BW4748" s="153"/>
      <c r="BX4748" s="153"/>
      <c r="BY4748" s="153"/>
      <c r="BZ4748" s="153"/>
      <c r="CA4748" s="152"/>
      <c r="CB4748" s="152"/>
    </row>
    <row r="4749" spans="1:80" s="87" customFormat="1" ht="14.25" customHeight="1" x14ac:dyDescent="0.2">
      <c r="A4749" s="152"/>
      <c r="B4749" s="683"/>
      <c r="C4749" s="683"/>
      <c r="D4749" s="698"/>
      <c r="E4749" s="215"/>
      <c r="F4749" s="215"/>
      <c r="G4749" s="153"/>
      <c r="H4749" s="153"/>
      <c r="I4749" s="306">
        <v>11</v>
      </c>
      <c r="J4749" s="306">
        <v>360</v>
      </c>
      <c r="K4749" s="150">
        <v>1</v>
      </c>
      <c r="L4749" s="656">
        <v>66</v>
      </c>
      <c r="M4749" s="663">
        <v>33351</v>
      </c>
      <c r="N4749" s="600">
        <v>0.65119000000000005</v>
      </c>
      <c r="O4749" s="604">
        <v>2.2780000000000001E-3</v>
      </c>
      <c r="P4749" s="250"/>
      <c r="Q4749" s="250"/>
      <c r="R4749" s="250"/>
      <c r="S4749" s="250"/>
      <c r="T4749" s="250">
        <v>0.122</v>
      </c>
      <c r="U4749" s="250">
        <v>0.29299999999999998</v>
      </c>
      <c r="V4749" s="250">
        <v>0.32100000000000001</v>
      </c>
      <c r="W4749" s="250">
        <v>0.19699999999999998</v>
      </c>
      <c r="X4749" s="250">
        <v>6.6000000000000003E-2</v>
      </c>
      <c r="Y4749" s="250">
        <v>2E-3</v>
      </c>
      <c r="Z4749" s="150"/>
      <c r="AA4749" s="150">
        <v>1.66</v>
      </c>
      <c r="AB4749" s="152"/>
      <c r="AC4749" s="152"/>
      <c r="AD4749" s="223"/>
      <c r="AE4749" s="223"/>
      <c r="AF4749" s="223"/>
      <c r="AG4749" s="223"/>
      <c r="AH4749" s="341"/>
      <c r="AI4749" s="218"/>
      <c r="AJ4749" s="218"/>
      <c r="AK4749" s="153"/>
      <c r="AL4749" s="152"/>
      <c r="AM4749" s="152"/>
      <c r="AN4749" s="152"/>
      <c r="AO4749" s="152"/>
      <c r="AP4749" s="152"/>
      <c r="AQ4749" s="152"/>
      <c r="AR4749" s="152"/>
      <c r="AS4749" s="152"/>
      <c r="AT4749" s="152"/>
      <c r="AU4749" s="153"/>
      <c r="AV4749" s="479"/>
      <c r="AW4749" s="479"/>
      <c r="AX4749" s="442"/>
      <c r="AY4749" s="153"/>
      <c r="AZ4749" s="152"/>
      <c r="BA4749" s="152"/>
      <c r="BB4749" s="152"/>
      <c r="BC4749" s="152"/>
      <c r="BD4749" s="152"/>
      <c r="BE4749" s="152"/>
      <c r="BF4749" s="152"/>
      <c r="BG4749" s="152"/>
      <c r="BH4749" s="152"/>
      <c r="BI4749" s="153"/>
      <c r="BJ4749" s="153"/>
      <c r="BK4749" s="153"/>
      <c r="BL4749" s="153"/>
      <c r="BM4749" s="153"/>
      <c r="BN4749" s="153"/>
      <c r="BO4749" s="153"/>
      <c r="BP4749" s="153"/>
      <c r="BQ4749" s="153"/>
      <c r="BR4749" s="153"/>
      <c r="BS4749" s="153"/>
      <c r="BT4749" s="153"/>
      <c r="BU4749" s="153"/>
      <c r="BV4749" s="153"/>
      <c r="BW4749" s="153"/>
      <c r="BX4749" s="153"/>
      <c r="BY4749" s="153"/>
      <c r="BZ4749" s="153"/>
      <c r="CA4749" s="152"/>
      <c r="CB4749" s="152"/>
    </row>
    <row r="4750" spans="1:80" s="87" customFormat="1" ht="14.25" customHeight="1" x14ac:dyDescent="0.2">
      <c r="A4750" s="152"/>
      <c r="B4750" s="683"/>
      <c r="C4750" s="683"/>
      <c r="D4750" s="698"/>
      <c r="E4750" s="215"/>
      <c r="F4750" s="215"/>
      <c r="G4750" s="153"/>
      <c r="H4750" s="153"/>
      <c r="I4750" s="306">
        <v>11</v>
      </c>
      <c r="J4750" s="306">
        <v>360</v>
      </c>
      <c r="K4750" s="150">
        <v>1</v>
      </c>
      <c r="L4750" s="656">
        <v>66</v>
      </c>
      <c r="M4750" s="663">
        <v>33358</v>
      </c>
      <c r="N4750" s="600">
        <v>0.59457000000000004</v>
      </c>
      <c r="O4750" s="604">
        <v>5.7799999999999995E-4</v>
      </c>
      <c r="P4750" s="250"/>
      <c r="Q4750" s="250"/>
      <c r="R4750" s="250"/>
      <c r="S4750" s="250"/>
      <c r="T4750" s="250">
        <v>3.7999999999999999E-2</v>
      </c>
      <c r="U4750" s="250">
        <v>0.115</v>
      </c>
      <c r="V4750" s="250">
        <v>0.35</v>
      </c>
      <c r="W4750" s="250">
        <v>0.36499999999999999</v>
      </c>
      <c r="X4750" s="250">
        <v>0.127</v>
      </c>
      <c r="Y4750" s="250">
        <v>5.0000000000000001E-3</v>
      </c>
      <c r="Z4750" s="150"/>
      <c r="AA4750" s="150">
        <v>1.01</v>
      </c>
      <c r="AB4750" s="152"/>
      <c r="AC4750" s="152"/>
      <c r="AD4750" s="223"/>
      <c r="AE4750" s="223"/>
      <c r="AF4750" s="223"/>
      <c r="AG4750" s="223"/>
      <c r="AH4750" s="341"/>
      <c r="AI4750" s="218"/>
      <c r="AJ4750" s="218"/>
      <c r="AK4750" s="153"/>
      <c r="AL4750" s="152"/>
      <c r="AM4750" s="152"/>
      <c r="AN4750" s="152"/>
      <c r="AO4750" s="152"/>
      <c r="AP4750" s="152"/>
      <c r="AQ4750" s="152"/>
      <c r="AR4750" s="152"/>
      <c r="AS4750" s="152"/>
      <c r="AT4750" s="152"/>
      <c r="AU4750" s="153"/>
      <c r="AV4750" s="479"/>
      <c r="AW4750" s="479"/>
      <c r="AX4750" s="442"/>
      <c r="AY4750" s="153"/>
      <c r="AZ4750" s="152"/>
      <c r="BA4750" s="152"/>
      <c r="BB4750" s="152"/>
      <c r="BC4750" s="152"/>
      <c r="BD4750" s="152"/>
      <c r="BE4750" s="152"/>
      <c r="BF4750" s="152"/>
      <c r="BG4750" s="152"/>
      <c r="BH4750" s="152"/>
      <c r="BI4750" s="153"/>
      <c r="BJ4750" s="153"/>
      <c r="BK4750" s="153"/>
      <c r="BL4750" s="153"/>
      <c r="BM4750" s="153"/>
      <c r="BN4750" s="153"/>
      <c r="BO4750" s="153"/>
      <c r="BP4750" s="153"/>
      <c r="BQ4750" s="153"/>
      <c r="BR4750" s="153"/>
      <c r="BS4750" s="153"/>
      <c r="BT4750" s="153"/>
      <c r="BU4750" s="153"/>
      <c r="BV4750" s="153"/>
      <c r="BW4750" s="153"/>
      <c r="BX4750" s="153"/>
      <c r="BY4750" s="153"/>
      <c r="BZ4750" s="153"/>
      <c r="CA4750" s="152"/>
      <c r="CB4750" s="152"/>
    </row>
    <row r="4751" spans="1:80" s="87" customFormat="1" ht="14.25" customHeight="1" x14ac:dyDescent="0.2">
      <c r="A4751" s="152"/>
      <c r="B4751" s="683"/>
      <c r="C4751" s="683"/>
      <c r="D4751" s="698"/>
      <c r="E4751" s="215"/>
      <c r="F4751" s="215"/>
      <c r="G4751" s="153"/>
      <c r="H4751" s="153"/>
      <c r="I4751" s="306">
        <v>10</v>
      </c>
      <c r="J4751" s="306">
        <v>360</v>
      </c>
      <c r="K4751" s="150">
        <v>1</v>
      </c>
      <c r="L4751" s="656">
        <v>60</v>
      </c>
      <c r="M4751" s="663">
        <v>33366</v>
      </c>
      <c r="N4751" s="600">
        <v>1.58551</v>
      </c>
      <c r="O4751" s="604">
        <v>7.2740000000000001E-3</v>
      </c>
      <c r="P4751" s="250"/>
      <c r="Q4751" s="250"/>
      <c r="R4751" s="250">
        <v>5.0000000000000001E-3</v>
      </c>
      <c r="S4751" s="250">
        <v>5.0000000000000001E-3</v>
      </c>
      <c r="T4751" s="250">
        <v>6.2E-2</v>
      </c>
      <c r="U4751" s="250">
        <v>0.20800000000000002</v>
      </c>
      <c r="V4751" s="250">
        <v>0.28899999999999998</v>
      </c>
      <c r="W4751" s="250">
        <v>0.252</v>
      </c>
      <c r="X4751" s="250">
        <v>0.17300000000000001</v>
      </c>
      <c r="Y4751" s="250">
        <v>6.0000000000000001E-3</v>
      </c>
      <c r="Z4751" s="150"/>
      <c r="AA4751" s="150">
        <v>1.18</v>
      </c>
      <c r="AB4751" s="152"/>
      <c r="AC4751" s="152"/>
      <c r="AD4751" s="223">
        <v>8.9303469999999994</v>
      </c>
      <c r="AE4751" s="223">
        <v>0.33079597300000002</v>
      </c>
      <c r="AF4751" s="223">
        <v>2.9540291999999999</v>
      </c>
      <c r="AG4751" s="223">
        <v>0.94484900000000005</v>
      </c>
      <c r="AH4751" s="341"/>
      <c r="AI4751" s="218"/>
      <c r="AJ4751" s="218"/>
      <c r="AK4751" s="153"/>
      <c r="AL4751" s="152"/>
      <c r="AM4751" s="152"/>
      <c r="AN4751" s="152"/>
      <c r="AO4751" s="152"/>
      <c r="AP4751" s="152"/>
      <c r="AQ4751" s="152"/>
      <c r="AR4751" s="152"/>
      <c r="AS4751" s="152"/>
      <c r="AT4751" s="152"/>
      <c r="AU4751" s="153"/>
      <c r="AV4751" s="479"/>
      <c r="AW4751" s="479"/>
      <c r="AX4751" s="442"/>
      <c r="AY4751" s="153"/>
      <c r="AZ4751" s="152"/>
      <c r="BA4751" s="152"/>
      <c r="BB4751" s="152"/>
      <c r="BC4751" s="152"/>
      <c r="BD4751" s="152"/>
      <c r="BE4751" s="152"/>
      <c r="BF4751" s="152"/>
      <c r="BG4751" s="152"/>
      <c r="BH4751" s="152"/>
      <c r="BI4751" s="153"/>
      <c r="BJ4751" s="153"/>
      <c r="BK4751" s="153"/>
      <c r="BL4751" s="153"/>
      <c r="BM4751" s="153"/>
      <c r="BN4751" s="153"/>
      <c r="BO4751" s="153"/>
      <c r="BP4751" s="153"/>
      <c r="BQ4751" s="153"/>
      <c r="BR4751" s="153"/>
      <c r="BS4751" s="153"/>
      <c r="BT4751" s="153"/>
      <c r="BU4751" s="153"/>
      <c r="BV4751" s="153"/>
      <c r="BW4751" s="153"/>
      <c r="BX4751" s="153"/>
      <c r="BY4751" s="153"/>
      <c r="BZ4751" s="153"/>
      <c r="CA4751" s="152"/>
      <c r="CB4751" s="152"/>
    </row>
    <row r="4752" spans="1:80" s="87" customFormat="1" ht="14.25" customHeight="1" x14ac:dyDescent="0.2">
      <c r="A4752" s="152"/>
      <c r="B4752" s="683"/>
      <c r="C4752" s="683"/>
      <c r="D4752" s="698"/>
      <c r="E4752" s="215"/>
      <c r="F4752" s="215"/>
      <c r="G4752" s="153"/>
      <c r="H4752" s="153"/>
      <c r="I4752" s="306">
        <v>13</v>
      </c>
      <c r="J4752" s="306">
        <v>180</v>
      </c>
      <c r="K4752" s="150">
        <v>1</v>
      </c>
      <c r="L4752" s="656">
        <v>39</v>
      </c>
      <c r="M4752" s="663">
        <v>33367</v>
      </c>
      <c r="N4752" s="600">
        <v>2.3216399999999999</v>
      </c>
      <c r="O4752" s="604">
        <v>7.7879999999999998E-3</v>
      </c>
      <c r="P4752" s="250"/>
      <c r="Q4752" s="250"/>
      <c r="R4752" s="250"/>
      <c r="S4752" s="250">
        <v>5.0000000000000001E-3</v>
      </c>
      <c r="T4752" s="250">
        <v>5.5999999999999994E-2</v>
      </c>
      <c r="U4752" s="250">
        <v>0.23699999999999999</v>
      </c>
      <c r="V4752" s="250">
        <v>0.377</v>
      </c>
      <c r="W4752" s="250">
        <v>0.22800000000000001</v>
      </c>
      <c r="X4752" s="250">
        <v>9.4E-2</v>
      </c>
      <c r="Y4752" s="250">
        <v>3.0000000000000001E-3</v>
      </c>
      <c r="Z4752" s="150"/>
      <c r="AA4752" s="150">
        <v>1.38</v>
      </c>
      <c r="AB4752" s="152"/>
      <c r="AC4752" s="152"/>
      <c r="AD4752" s="223"/>
      <c r="AE4752" s="223"/>
      <c r="AF4752" s="223"/>
      <c r="AG4752" s="223"/>
      <c r="AH4752" s="341"/>
      <c r="AI4752" s="218"/>
      <c r="AJ4752" s="218"/>
      <c r="AK4752" s="153"/>
      <c r="AL4752" s="152"/>
      <c r="AM4752" s="152"/>
      <c r="AN4752" s="152"/>
      <c r="AO4752" s="152"/>
      <c r="AP4752" s="152"/>
      <c r="AQ4752" s="152"/>
      <c r="AR4752" s="152"/>
      <c r="AS4752" s="152"/>
      <c r="AT4752" s="152"/>
      <c r="AU4752" s="153"/>
      <c r="AV4752" s="479"/>
      <c r="AW4752" s="479"/>
      <c r="AX4752" s="442"/>
      <c r="AY4752" s="153"/>
      <c r="AZ4752" s="152"/>
      <c r="BA4752" s="152"/>
      <c r="BB4752" s="152"/>
      <c r="BC4752" s="152"/>
      <c r="BD4752" s="152"/>
      <c r="BE4752" s="152"/>
      <c r="BF4752" s="152"/>
      <c r="BG4752" s="152"/>
      <c r="BH4752" s="152"/>
      <c r="BI4752" s="153"/>
      <c r="BJ4752" s="153"/>
      <c r="BK4752" s="153"/>
      <c r="BL4752" s="153"/>
      <c r="BM4752" s="153"/>
      <c r="BN4752" s="153"/>
      <c r="BO4752" s="153"/>
      <c r="BP4752" s="153"/>
      <c r="BQ4752" s="153"/>
      <c r="BR4752" s="153"/>
      <c r="BS4752" s="153"/>
      <c r="BT4752" s="153"/>
      <c r="BU4752" s="153"/>
      <c r="BV4752" s="153"/>
      <c r="BW4752" s="153"/>
      <c r="BX4752" s="153"/>
      <c r="BY4752" s="153"/>
      <c r="BZ4752" s="153"/>
      <c r="CA4752" s="152"/>
      <c r="CB4752" s="152"/>
    </row>
    <row r="4753" spans="1:80" s="87" customFormat="1" ht="14.25" customHeight="1" x14ac:dyDescent="0.2">
      <c r="A4753" s="152"/>
      <c r="B4753" s="683"/>
      <c r="C4753" s="683"/>
      <c r="D4753" s="698"/>
      <c r="E4753" s="215"/>
      <c r="F4753" s="215"/>
      <c r="G4753" s="153"/>
      <c r="H4753" s="153"/>
      <c r="I4753" s="306">
        <v>10</v>
      </c>
      <c r="J4753" s="306">
        <v>300</v>
      </c>
      <c r="K4753" s="150">
        <v>1</v>
      </c>
      <c r="L4753" s="656">
        <v>50</v>
      </c>
      <c r="M4753" s="663">
        <v>33371</v>
      </c>
      <c r="N4753" s="600">
        <v>1.3873200000000001</v>
      </c>
      <c r="O4753" s="604">
        <v>1.176E-3</v>
      </c>
      <c r="P4753" s="250"/>
      <c r="Q4753" s="250"/>
      <c r="R4753" s="250"/>
      <c r="S4753" s="250"/>
      <c r="T4753" s="250"/>
      <c r="U4753" s="250">
        <v>5.2999999999999999E-2</v>
      </c>
      <c r="V4753" s="250">
        <v>0.17199999999999999</v>
      </c>
      <c r="W4753" s="250">
        <v>0.35700000000000004</v>
      </c>
      <c r="X4753" s="250">
        <v>0.40500000000000003</v>
      </c>
      <c r="Y4753" s="250">
        <v>1.3000000000000001E-2</v>
      </c>
      <c r="Z4753" s="150"/>
      <c r="AA4753" s="150">
        <v>0.59</v>
      </c>
      <c r="AB4753" s="152"/>
      <c r="AC4753" s="152"/>
      <c r="AD4753" s="223"/>
      <c r="AE4753" s="223"/>
      <c r="AF4753" s="223"/>
      <c r="AG4753" s="223"/>
      <c r="AH4753" s="341"/>
      <c r="AI4753" s="218"/>
      <c r="AJ4753" s="218"/>
      <c r="AK4753" s="153"/>
      <c r="AL4753" s="152"/>
      <c r="AM4753" s="152"/>
      <c r="AN4753" s="152"/>
      <c r="AO4753" s="152"/>
      <c r="AP4753" s="152"/>
      <c r="AQ4753" s="152"/>
      <c r="AR4753" s="152"/>
      <c r="AS4753" s="152"/>
      <c r="AT4753" s="152"/>
      <c r="AU4753" s="153"/>
      <c r="AV4753" s="479"/>
      <c r="AW4753" s="479"/>
      <c r="AX4753" s="442"/>
      <c r="AY4753" s="153"/>
      <c r="AZ4753" s="152"/>
      <c r="BA4753" s="152"/>
      <c r="BB4753" s="152"/>
      <c r="BC4753" s="152"/>
      <c r="BD4753" s="152"/>
      <c r="BE4753" s="152"/>
      <c r="BF4753" s="152"/>
      <c r="BG4753" s="152"/>
      <c r="BH4753" s="152"/>
      <c r="BI4753" s="153"/>
      <c r="BJ4753" s="153"/>
      <c r="BK4753" s="153"/>
      <c r="BL4753" s="153"/>
      <c r="BM4753" s="153"/>
      <c r="BN4753" s="153"/>
      <c r="BO4753" s="153"/>
      <c r="BP4753" s="153"/>
      <c r="BQ4753" s="153"/>
      <c r="BR4753" s="153"/>
      <c r="BS4753" s="153"/>
      <c r="BT4753" s="153"/>
      <c r="BU4753" s="153"/>
      <c r="BV4753" s="153"/>
      <c r="BW4753" s="153"/>
      <c r="BX4753" s="153"/>
      <c r="BY4753" s="153"/>
      <c r="BZ4753" s="153"/>
      <c r="CA4753" s="152"/>
      <c r="CB4753" s="152"/>
    </row>
    <row r="4754" spans="1:80" s="87" customFormat="1" ht="14.25" customHeight="1" x14ac:dyDescent="0.2">
      <c r="A4754" s="152"/>
      <c r="B4754" s="683"/>
      <c r="C4754" s="683"/>
      <c r="D4754" s="698"/>
      <c r="E4754" s="215"/>
      <c r="F4754" s="215"/>
      <c r="G4754" s="153"/>
      <c r="H4754" s="153"/>
      <c r="I4754" s="306">
        <v>11</v>
      </c>
      <c r="J4754" s="306">
        <v>360</v>
      </c>
      <c r="K4754" s="150">
        <v>1</v>
      </c>
      <c r="L4754" s="656">
        <v>66</v>
      </c>
      <c r="M4754" s="663">
        <v>33373</v>
      </c>
      <c r="N4754" s="600">
        <v>1.3873200000000001</v>
      </c>
      <c r="O4754" s="604">
        <v>6.6649999999999999E-3</v>
      </c>
      <c r="P4754" s="250"/>
      <c r="Q4754" s="250"/>
      <c r="R4754" s="250"/>
      <c r="S4754" s="250"/>
      <c r="T4754" s="250">
        <v>0.11800000000000001</v>
      </c>
      <c r="U4754" s="250">
        <v>0.35600000000000004</v>
      </c>
      <c r="V4754" s="250">
        <v>0.32899999999999996</v>
      </c>
      <c r="W4754" s="250">
        <v>0.16</v>
      </c>
      <c r="X4754" s="250">
        <v>3.5000000000000003E-2</v>
      </c>
      <c r="Y4754" s="250">
        <v>1E-3</v>
      </c>
      <c r="Z4754" s="150"/>
      <c r="AA4754" s="150">
        <v>1.89</v>
      </c>
      <c r="AB4754" s="152"/>
      <c r="AC4754" s="152"/>
      <c r="AD4754" s="223"/>
      <c r="AE4754" s="223"/>
      <c r="AF4754" s="223"/>
      <c r="AG4754" s="223"/>
      <c r="AH4754" s="341"/>
      <c r="AI4754" s="218"/>
      <c r="AJ4754" s="218"/>
      <c r="AK4754" s="153"/>
      <c r="AL4754" s="152"/>
      <c r="AM4754" s="152"/>
      <c r="AN4754" s="152"/>
      <c r="AO4754" s="152"/>
      <c r="AP4754" s="152"/>
      <c r="AQ4754" s="152"/>
      <c r="AR4754" s="152"/>
      <c r="AS4754" s="152"/>
      <c r="AT4754" s="152"/>
      <c r="AU4754" s="153"/>
      <c r="AV4754" s="479"/>
      <c r="AW4754" s="479"/>
      <c r="AX4754" s="442"/>
      <c r="AY4754" s="153"/>
      <c r="AZ4754" s="152"/>
      <c r="BA4754" s="152"/>
      <c r="BB4754" s="152"/>
      <c r="BC4754" s="152"/>
      <c r="BD4754" s="152"/>
      <c r="BE4754" s="152"/>
      <c r="BF4754" s="152"/>
      <c r="BG4754" s="152"/>
      <c r="BH4754" s="152"/>
      <c r="BI4754" s="153"/>
      <c r="BJ4754" s="153"/>
      <c r="BK4754" s="153"/>
      <c r="BL4754" s="153"/>
      <c r="BM4754" s="153"/>
      <c r="BN4754" s="153"/>
      <c r="BO4754" s="153"/>
      <c r="BP4754" s="153"/>
      <c r="BQ4754" s="153"/>
      <c r="BR4754" s="153"/>
      <c r="BS4754" s="153"/>
      <c r="BT4754" s="153"/>
      <c r="BU4754" s="153"/>
      <c r="BV4754" s="153"/>
      <c r="BW4754" s="153"/>
      <c r="BX4754" s="153"/>
      <c r="BY4754" s="153"/>
      <c r="BZ4754" s="153"/>
      <c r="CA4754" s="152"/>
      <c r="CB4754" s="152"/>
    </row>
    <row r="4755" spans="1:80" s="87" customFormat="1" ht="14.25" customHeight="1" x14ac:dyDescent="0.2">
      <c r="A4755" s="152"/>
      <c r="B4755" s="683"/>
      <c r="C4755" s="683"/>
      <c r="D4755" s="698"/>
      <c r="E4755" s="215"/>
      <c r="F4755" s="215"/>
      <c r="G4755" s="153"/>
      <c r="H4755" s="153"/>
      <c r="I4755" s="306">
        <v>10</v>
      </c>
      <c r="J4755" s="306">
        <v>300</v>
      </c>
      <c r="K4755" s="150">
        <v>1</v>
      </c>
      <c r="L4755" s="656">
        <v>50</v>
      </c>
      <c r="M4755" s="663">
        <v>33375</v>
      </c>
      <c r="N4755" s="600">
        <v>2.03851</v>
      </c>
      <c r="O4755" s="604">
        <v>5.1850000000000004E-3</v>
      </c>
      <c r="P4755" s="250"/>
      <c r="Q4755" s="250"/>
      <c r="R4755" s="250"/>
      <c r="S4755" s="250">
        <v>2E-3</v>
      </c>
      <c r="T4755" s="250">
        <v>3.9E-2</v>
      </c>
      <c r="U4755" s="250">
        <v>0.20199999999999999</v>
      </c>
      <c r="V4755" s="250">
        <v>0.36099999999999999</v>
      </c>
      <c r="W4755" s="250">
        <v>0.27500000000000002</v>
      </c>
      <c r="X4755" s="250">
        <v>0.11900000000000001</v>
      </c>
      <c r="Y4755" s="250">
        <v>3.0000000000000001E-3</v>
      </c>
      <c r="Z4755" s="150"/>
      <c r="AA4755" s="150">
        <v>1.22</v>
      </c>
      <c r="AB4755" s="152"/>
      <c r="AC4755" s="152"/>
      <c r="AD4755" s="223"/>
      <c r="AE4755" s="223"/>
      <c r="AF4755" s="223"/>
      <c r="AG4755" s="223"/>
      <c r="AH4755" s="341"/>
      <c r="AI4755" s="218"/>
      <c r="AJ4755" s="218"/>
      <c r="AK4755" s="153"/>
      <c r="AL4755" s="152"/>
      <c r="AM4755" s="152"/>
      <c r="AN4755" s="152"/>
      <c r="AO4755" s="152"/>
      <c r="AP4755" s="152"/>
      <c r="AQ4755" s="152"/>
      <c r="AR4755" s="152"/>
      <c r="AS4755" s="152"/>
      <c r="AT4755" s="152"/>
      <c r="AU4755" s="153"/>
      <c r="AV4755" s="479"/>
      <c r="AW4755" s="479"/>
      <c r="AX4755" s="442"/>
      <c r="AY4755" s="153"/>
      <c r="AZ4755" s="152"/>
      <c r="BA4755" s="152"/>
      <c r="BB4755" s="152"/>
      <c r="BC4755" s="152"/>
      <c r="BD4755" s="152"/>
      <c r="BE4755" s="152"/>
      <c r="BF4755" s="152"/>
      <c r="BG4755" s="152"/>
      <c r="BH4755" s="152"/>
      <c r="BI4755" s="153"/>
      <c r="BJ4755" s="153"/>
      <c r="BK4755" s="153"/>
      <c r="BL4755" s="153"/>
      <c r="BM4755" s="153"/>
      <c r="BN4755" s="153"/>
      <c r="BO4755" s="153"/>
      <c r="BP4755" s="153"/>
      <c r="BQ4755" s="153"/>
      <c r="BR4755" s="153"/>
      <c r="BS4755" s="153"/>
      <c r="BT4755" s="153"/>
      <c r="BU4755" s="153"/>
      <c r="BV4755" s="153"/>
      <c r="BW4755" s="153"/>
      <c r="BX4755" s="153"/>
      <c r="BY4755" s="153"/>
      <c r="BZ4755" s="153"/>
      <c r="CA4755" s="152"/>
      <c r="CB4755" s="152"/>
    </row>
    <row r="4756" spans="1:80" s="87" customFormat="1" ht="14.25" customHeight="1" x14ac:dyDescent="0.2">
      <c r="A4756" s="152"/>
      <c r="B4756" s="683"/>
      <c r="C4756" s="683"/>
      <c r="D4756" s="698"/>
      <c r="E4756" s="215"/>
      <c r="F4756" s="215"/>
      <c r="G4756" s="153"/>
      <c r="H4756" s="153"/>
      <c r="I4756" s="306">
        <v>10</v>
      </c>
      <c r="J4756" s="306">
        <v>300</v>
      </c>
      <c r="K4756" s="150">
        <v>1</v>
      </c>
      <c r="L4756" s="656">
        <v>50</v>
      </c>
      <c r="M4756" s="663">
        <v>33378</v>
      </c>
      <c r="N4756" s="600">
        <v>2.2366999999999999</v>
      </c>
      <c r="O4756" s="604">
        <v>1.9419999999999999E-3</v>
      </c>
      <c r="P4756" s="250"/>
      <c r="Q4756" s="250"/>
      <c r="R4756" s="250"/>
      <c r="S4756" s="250"/>
      <c r="T4756" s="250">
        <v>8.1000000000000003E-2</v>
      </c>
      <c r="U4756" s="250">
        <v>0.21</v>
      </c>
      <c r="V4756" s="250">
        <v>0.36799999999999999</v>
      </c>
      <c r="W4756" s="250">
        <v>0.26300000000000001</v>
      </c>
      <c r="X4756" s="250">
        <v>7.400000000000001E-2</v>
      </c>
      <c r="Y4756" s="250">
        <v>4.0000000000000001E-3</v>
      </c>
      <c r="Z4756" s="150"/>
      <c r="AA4756" s="150">
        <v>1.35</v>
      </c>
      <c r="AB4756" s="152"/>
      <c r="AC4756" s="152"/>
      <c r="AD4756" s="223"/>
      <c r="AE4756" s="223"/>
      <c r="AF4756" s="223"/>
      <c r="AG4756" s="223"/>
      <c r="AH4756" s="341"/>
      <c r="AI4756" s="218"/>
      <c r="AJ4756" s="218"/>
      <c r="AK4756" s="153"/>
      <c r="AL4756" s="152"/>
      <c r="AM4756" s="152"/>
      <c r="AN4756" s="152"/>
      <c r="AO4756" s="152"/>
      <c r="AP4756" s="152"/>
      <c r="AQ4756" s="152"/>
      <c r="AR4756" s="152"/>
      <c r="AS4756" s="152"/>
      <c r="AT4756" s="152"/>
      <c r="AU4756" s="153"/>
      <c r="AV4756" s="479"/>
      <c r="AW4756" s="479"/>
      <c r="AX4756" s="442"/>
      <c r="AY4756" s="153"/>
      <c r="AZ4756" s="152"/>
      <c r="BA4756" s="152"/>
      <c r="BB4756" s="152"/>
      <c r="BC4756" s="152"/>
      <c r="BD4756" s="152"/>
      <c r="BE4756" s="152"/>
      <c r="BF4756" s="152"/>
      <c r="BG4756" s="152"/>
      <c r="BH4756" s="152"/>
      <c r="BI4756" s="153"/>
      <c r="BJ4756" s="153"/>
      <c r="BK4756" s="153"/>
      <c r="BL4756" s="153"/>
      <c r="BM4756" s="153"/>
      <c r="BN4756" s="153"/>
      <c r="BO4756" s="153"/>
      <c r="BP4756" s="153"/>
      <c r="BQ4756" s="153"/>
      <c r="BR4756" s="153"/>
      <c r="BS4756" s="153"/>
      <c r="BT4756" s="153"/>
      <c r="BU4756" s="153"/>
      <c r="BV4756" s="153"/>
      <c r="BW4756" s="153"/>
      <c r="BX4756" s="153"/>
      <c r="BY4756" s="153"/>
      <c r="BZ4756" s="153"/>
      <c r="CA4756" s="152"/>
      <c r="CB4756" s="152"/>
    </row>
    <row r="4757" spans="1:80" s="87" customFormat="1" ht="14.25" customHeight="1" x14ac:dyDescent="0.2">
      <c r="A4757" s="152"/>
      <c r="B4757" s="683"/>
      <c r="C4757" s="683"/>
      <c r="D4757" s="698"/>
      <c r="E4757" s="215"/>
      <c r="F4757" s="215"/>
      <c r="G4757" s="153"/>
      <c r="H4757" s="153"/>
      <c r="I4757" s="306">
        <v>10</v>
      </c>
      <c r="J4757" s="306">
        <v>360</v>
      </c>
      <c r="K4757" s="150">
        <v>1</v>
      </c>
      <c r="L4757" s="656">
        <v>60</v>
      </c>
      <c r="M4757" s="663">
        <v>33379</v>
      </c>
      <c r="N4757" s="600">
        <v>2.0668299999999999</v>
      </c>
      <c r="O4757" s="604">
        <v>9.4149999999999998E-3</v>
      </c>
      <c r="P4757" s="250"/>
      <c r="Q4757" s="250"/>
      <c r="R4757" s="250"/>
      <c r="S4757" s="250">
        <v>0.01</v>
      </c>
      <c r="T4757" s="250">
        <v>0.126</v>
      </c>
      <c r="U4757" s="250">
        <v>0.315</v>
      </c>
      <c r="V4757" s="250">
        <v>0.34899999999999998</v>
      </c>
      <c r="W4757" s="250">
        <v>0.16600000000000001</v>
      </c>
      <c r="X4757" s="250">
        <v>3.4000000000000002E-2</v>
      </c>
      <c r="Y4757" s="250">
        <v>1E-3</v>
      </c>
      <c r="Z4757" s="150"/>
      <c r="AA4757" s="150">
        <v>1.81</v>
      </c>
      <c r="AB4757" s="152"/>
      <c r="AC4757" s="152"/>
      <c r="AD4757" s="223"/>
      <c r="AE4757" s="223"/>
      <c r="AF4757" s="223"/>
      <c r="AG4757" s="223"/>
      <c r="AH4757" s="341"/>
      <c r="AI4757" s="218"/>
      <c r="AJ4757" s="218"/>
      <c r="AK4757" s="153"/>
      <c r="AL4757" s="152"/>
      <c r="AM4757" s="152"/>
      <c r="AN4757" s="152"/>
      <c r="AO4757" s="152"/>
      <c r="AP4757" s="152"/>
      <c r="AQ4757" s="152"/>
      <c r="AR4757" s="152"/>
      <c r="AS4757" s="152"/>
      <c r="AT4757" s="152"/>
      <c r="AU4757" s="153"/>
      <c r="AV4757" s="479"/>
      <c r="AW4757" s="479"/>
      <c r="AX4757" s="442"/>
      <c r="AY4757" s="153"/>
      <c r="AZ4757" s="152"/>
      <c r="BA4757" s="152"/>
      <c r="BB4757" s="152"/>
      <c r="BC4757" s="152"/>
      <c r="BD4757" s="152"/>
      <c r="BE4757" s="152"/>
      <c r="BF4757" s="152"/>
      <c r="BG4757" s="152"/>
      <c r="BH4757" s="152"/>
      <c r="BI4757" s="153"/>
      <c r="BJ4757" s="153"/>
      <c r="BK4757" s="153"/>
      <c r="BL4757" s="153"/>
      <c r="BM4757" s="153"/>
      <c r="BN4757" s="153"/>
      <c r="BO4757" s="153"/>
      <c r="BP4757" s="153"/>
      <c r="BQ4757" s="153"/>
      <c r="BR4757" s="153"/>
      <c r="BS4757" s="153"/>
      <c r="BT4757" s="153"/>
      <c r="BU4757" s="153"/>
      <c r="BV4757" s="153"/>
      <c r="BW4757" s="153"/>
      <c r="BX4757" s="153"/>
      <c r="BY4757" s="153"/>
      <c r="BZ4757" s="153"/>
      <c r="CA4757" s="152"/>
      <c r="CB4757" s="152"/>
    </row>
    <row r="4758" spans="1:80" s="87" customFormat="1" ht="14.25" customHeight="1" x14ac:dyDescent="0.2">
      <c r="A4758" s="152"/>
      <c r="B4758" s="683"/>
      <c r="C4758" s="683"/>
      <c r="D4758" s="698"/>
      <c r="E4758" s="215"/>
      <c r="F4758" s="215"/>
      <c r="G4758" s="153"/>
      <c r="H4758" s="153"/>
      <c r="I4758" s="306">
        <v>10</v>
      </c>
      <c r="J4758" s="306">
        <v>270</v>
      </c>
      <c r="K4758" s="150">
        <v>1</v>
      </c>
      <c r="L4758" s="656">
        <v>45</v>
      </c>
      <c r="M4758" s="663">
        <v>33381</v>
      </c>
      <c r="N4758" s="600">
        <v>3.0294599999999998</v>
      </c>
      <c r="O4758" s="604">
        <v>7.7039999999999999E-3</v>
      </c>
      <c r="P4758" s="250"/>
      <c r="Q4758" s="250"/>
      <c r="R4758" s="250"/>
      <c r="S4758" s="250">
        <v>3.2000000000000001E-2</v>
      </c>
      <c r="T4758" s="250">
        <v>4.7E-2</v>
      </c>
      <c r="U4758" s="250">
        <v>0.19500000000000001</v>
      </c>
      <c r="V4758" s="250">
        <v>0.35</v>
      </c>
      <c r="W4758" s="250">
        <v>0.27399999999999997</v>
      </c>
      <c r="X4758" s="250">
        <v>9.8000000000000004E-2</v>
      </c>
      <c r="Y4758" s="250">
        <v>3.0000000000000001E-3</v>
      </c>
      <c r="Z4758" s="150"/>
      <c r="AA4758" s="150">
        <v>1.28</v>
      </c>
      <c r="AB4758" s="152"/>
      <c r="AC4758" s="152"/>
      <c r="AD4758" s="223">
        <v>9.0675024999999998</v>
      </c>
      <c r="AE4758" s="223">
        <v>0.323743328</v>
      </c>
      <c r="AF4758" s="223">
        <v>2.9354504000000001</v>
      </c>
      <c r="AG4758" s="223">
        <v>1.1002919</v>
      </c>
      <c r="AH4758" s="341"/>
      <c r="AI4758" s="218"/>
      <c r="AJ4758" s="218"/>
      <c r="AK4758" s="153"/>
      <c r="AL4758" s="152"/>
      <c r="AM4758" s="152"/>
      <c r="AN4758" s="152"/>
      <c r="AO4758" s="152"/>
      <c r="AP4758" s="152"/>
      <c r="AQ4758" s="152"/>
      <c r="AR4758" s="152"/>
      <c r="AS4758" s="152"/>
      <c r="AT4758" s="152"/>
      <c r="AU4758" s="153"/>
      <c r="AV4758" s="479"/>
      <c r="AW4758" s="479"/>
      <c r="AX4758" s="442"/>
      <c r="AY4758" s="153"/>
      <c r="AZ4758" s="152"/>
      <c r="BA4758" s="152"/>
      <c r="BB4758" s="152"/>
      <c r="BC4758" s="152"/>
      <c r="BD4758" s="152"/>
      <c r="BE4758" s="152"/>
      <c r="BF4758" s="152"/>
      <c r="BG4758" s="152"/>
      <c r="BH4758" s="152"/>
      <c r="BI4758" s="153"/>
      <c r="BJ4758" s="153"/>
      <c r="BK4758" s="153"/>
      <c r="BL4758" s="153"/>
      <c r="BM4758" s="153"/>
      <c r="BN4758" s="153"/>
      <c r="BO4758" s="153"/>
      <c r="BP4758" s="153"/>
      <c r="BQ4758" s="153"/>
      <c r="BR4758" s="153"/>
      <c r="BS4758" s="153"/>
      <c r="BT4758" s="153"/>
      <c r="BU4758" s="153"/>
      <c r="BV4758" s="153"/>
      <c r="BW4758" s="153"/>
      <c r="BX4758" s="153"/>
      <c r="BY4758" s="153"/>
      <c r="BZ4758" s="153"/>
      <c r="CA4758" s="152"/>
      <c r="CB4758" s="152"/>
    </row>
    <row r="4759" spans="1:80" s="87" customFormat="1" ht="14.25" customHeight="1" x14ac:dyDescent="0.2">
      <c r="A4759" s="152"/>
      <c r="B4759" s="683"/>
      <c r="C4759" s="683"/>
      <c r="D4759" s="698"/>
      <c r="E4759" s="215"/>
      <c r="F4759" s="215"/>
      <c r="G4759" s="153"/>
      <c r="H4759" s="153"/>
      <c r="I4759" s="306">
        <v>10</v>
      </c>
      <c r="J4759" s="306">
        <v>360</v>
      </c>
      <c r="K4759" s="150">
        <v>1</v>
      </c>
      <c r="L4759" s="656">
        <v>60</v>
      </c>
      <c r="M4759" s="663">
        <v>33386</v>
      </c>
      <c r="N4759" s="600">
        <v>2.6897099999999998</v>
      </c>
      <c r="O4759" s="604">
        <v>5.9090000000000002E-3</v>
      </c>
      <c r="P4759" s="250"/>
      <c r="Q4759" s="250"/>
      <c r="R4759" s="250"/>
      <c r="S4759" s="250">
        <v>8.0000000000000002E-3</v>
      </c>
      <c r="T4759" s="250">
        <v>6.9000000000000006E-2</v>
      </c>
      <c r="U4759" s="250">
        <v>0.23800000000000002</v>
      </c>
      <c r="V4759" s="250">
        <v>0.34</v>
      </c>
      <c r="W4759" s="250">
        <v>0.245</v>
      </c>
      <c r="X4759" s="250">
        <v>9.8000000000000004E-2</v>
      </c>
      <c r="Y4759" s="250">
        <v>2E-3</v>
      </c>
      <c r="Z4759" s="150"/>
      <c r="AA4759" s="150">
        <v>1.37</v>
      </c>
      <c r="AB4759" s="152"/>
      <c r="AC4759" s="152"/>
      <c r="AD4759" s="223"/>
      <c r="AE4759" s="223"/>
      <c r="AF4759" s="223"/>
      <c r="AG4759" s="223"/>
      <c r="AH4759" s="341"/>
      <c r="AI4759" s="218"/>
      <c r="AJ4759" s="218"/>
      <c r="AK4759" s="153"/>
      <c r="AL4759" s="152"/>
      <c r="AM4759" s="152"/>
      <c r="AN4759" s="152"/>
      <c r="AO4759" s="152"/>
      <c r="AP4759" s="152"/>
      <c r="AQ4759" s="152"/>
      <c r="AR4759" s="152"/>
      <c r="AS4759" s="152"/>
      <c r="AT4759" s="152"/>
      <c r="AU4759" s="153"/>
      <c r="AV4759" s="479"/>
      <c r="AW4759" s="479"/>
      <c r="AX4759" s="442"/>
      <c r="AY4759" s="153"/>
      <c r="AZ4759" s="152"/>
      <c r="BA4759" s="152"/>
      <c r="BB4759" s="152"/>
      <c r="BC4759" s="152"/>
      <c r="BD4759" s="152"/>
      <c r="BE4759" s="152"/>
      <c r="BF4759" s="152"/>
      <c r="BG4759" s="152"/>
      <c r="BH4759" s="152"/>
      <c r="BI4759" s="153"/>
      <c r="BJ4759" s="153"/>
      <c r="BK4759" s="153"/>
      <c r="BL4759" s="153"/>
      <c r="BM4759" s="153"/>
      <c r="BN4759" s="153"/>
      <c r="BO4759" s="153"/>
      <c r="BP4759" s="153"/>
      <c r="BQ4759" s="153"/>
      <c r="BR4759" s="153"/>
      <c r="BS4759" s="153"/>
      <c r="BT4759" s="153"/>
      <c r="BU4759" s="153"/>
      <c r="BV4759" s="153"/>
      <c r="BW4759" s="153"/>
      <c r="BX4759" s="153"/>
      <c r="BY4759" s="153"/>
      <c r="BZ4759" s="153"/>
      <c r="CA4759" s="152"/>
      <c r="CB4759" s="152"/>
    </row>
    <row r="4760" spans="1:80" s="87" customFormat="1" ht="14.25" customHeight="1" x14ac:dyDescent="0.2">
      <c r="A4760" s="152"/>
      <c r="B4760" s="683"/>
      <c r="C4760" s="683"/>
      <c r="D4760" s="698"/>
      <c r="E4760" s="215"/>
      <c r="F4760" s="215"/>
      <c r="G4760" s="153"/>
      <c r="H4760" s="153"/>
      <c r="I4760" s="306">
        <v>10</v>
      </c>
      <c r="J4760" s="306">
        <v>300</v>
      </c>
      <c r="K4760" s="150">
        <v>1</v>
      </c>
      <c r="L4760" s="656">
        <v>50</v>
      </c>
      <c r="M4760" s="663">
        <v>33387</v>
      </c>
      <c r="N4760" s="600">
        <v>2.57646</v>
      </c>
      <c r="O4760" s="604">
        <v>9.1839999999999995E-3</v>
      </c>
      <c r="P4760" s="250"/>
      <c r="Q4760" s="250"/>
      <c r="R4760" s="250"/>
      <c r="S4760" s="250">
        <v>3.5000000000000003E-2</v>
      </c>
      <c r="T4760" s="250">
        <v>0.128</v>
      </c>
      <c r="U4760" s="250">
        <v>0.32100000000000001</v>
      </c>
      <c r="V4760" s="250">
        <v>0.29600000000000004</v>
      </c>
      <c r="W4760" s="250">
        <v>0.16600000000000001</v>
      </c>
      <c r="X4760" s="250">
        <v>5.2000000000000005E-2</v>
      </c>
      <c r="Y4760" s="250">
        <v>2E-3</v>
      </c>
      <c r="Z4760" s="150"/>
      <c r="AA4760" s="150">
        <v>1.93</v>
      </c>
      <c r="AB4760" s="152"/>
      <c r="AC4760" s="152"/>
      <c r="AD4760" s="223"/>
      <c r="AE4760" s="223"/>
      <c r="AF4760" s="223"/>
      <c r="AG4760" s="223"/>
      <c r="AH4760" s="341"/>
      <c r="AI4760" s="218"/>
      <c r="AJ4760" s="218"/>
      <c r="AK4760" s="153"/>
      <c r="AL4760" s="152"/>
      <c r="AM4760" s="152"/>
      <c r="AN4760" s="152"/>
      <c r="AO4760" s="152"/>
      <c r="AP4760" s="152"/>
      <c r="AQ4760" s="152"/>
      <c r="AR4760" s="152"/>
      <c r="AS4760" s="152"/>
      <c r="AT4760" s="152"/>
      <c r="AU4760" s="153"/>
      <c r="AV4760" s="479"/>
      <c r="AW4760" s="479"/>
      <c r="AX4760" s="442"/>
      <c r="AY4760" s="153"/>
      <c r="AZ4760" s="152"/>
      <c r="BA4760" s="152"/>
      <c r="BB4760" s="152"/>
      <c r="BC4760" s="152"/>
      <c r="BD4760" s="152"/>
      <c r="BE4760" s="152"/>
      <c r="BF4760" s="152"/>
      <c r="BG4760" s="152"/>
      <c r="BH4760" s="152"/>
      <c r="BI4760" s="153"/>
      <c r="BJ4760" s="153"/>
      <c r="BK4760" s="153"/>
      <c r="BL4760" s="153"/>
      <c r="BM4760" s="153"/>
      <c r="BN4760" s="153"/>
      <c r="BO4760" s="153"/>
      <c r="BP4760" s="153"/>
      <c r="BQ4760" s="153"/>
      <c r="BR4760" s="153"/>
      <c r="BS4760" s="153"/>
      <c r="BT4760" s="153"/>
      <c r="BU4760" s="153"/>
      <c r="BV4760" s="153"/>
      <c r="BW4760" s="153"/>
      <c r="BX4760" s="153"/>
      <c r="BY4760" s="153"/>
      <c r="BZ4760" s="153"/>
      <c r="CA4760" s="152"/>
      <c r="CB4760" s="152"/>
    </row>
    <row r="4761" spans="1:80" s="87" customFormat="1" ht="14.25" customHeight="1" x14ac:dyDescent="0.2">
      <c r="A4761" s="152"/>
      <c r="B4761" s="683"/>
      <c r="C4761" s="683"/>
      <c r="D4761" s="698"/>
      <c r="E4761" s="215"/>
      <c r="F4761" s="215"/>
      <c r="G4761" s="153"/>
      <c r="H4761" s="153"/>
      <c r="I4761" s="306">
        <v>10</v>
      </c>
      <c r="J4761" s="306">
        <v>300</v>
      </c>
      <c r="K4761" s="150">
        <v>1</v>
      </c>
      <c r="L4761" s="656">
        <v>50</v>
      </c>
      <c r="M4761" s="663">
        <v>33388</v>
      </c>
      <c r="N4761" s="600">
        <v>2.6613899999999999</v>
      </c>
      <c r="O4761" s="604">
        <v>2.7390000000000001E-3</v>
      </c>
      <c r="P4761" s="250"/>
      <c r="Q4761" s="250"/>
      <c r="R4761" s="250"/>
      <c r="S4761" s="250">
        <v>2.8999999999999998E-2</v>
      </c>
      <c r="T4761" s="250">
        <v>9.5000000000000001E-2</v>
      </c>
      <c r="U4761" s="250">
        <v>0.245</v>
      </c>
      <c r="V4761" s="250">
        <v>0.33100000000000002</v>
      </c>
      <c r="W4761" s="250">
        <v>0.221</v>
      </c>
      <c r="X4761" s="250">
        <v>7.6999999999999999E-2</v>
      </c>
      <c r="Y4761" s="250">
        <v>2E-3</v>
      </c>
      <c r="Z4761" s="150"/>
      <c r="AA4761" s="150">
        <v>1.52</v>
      </c>
      <c r="AB4761" s="152"/>
      <c r="AC4761" s="152"/>
      <c r="AD4761" s="223"/>
      <c r="AE4761" s="223"/>
      <c r="AF4761" s="223"/>
      <c r="AG4761" s="223"/>
      <c r="AH4761" s="341"/>
      <c r="AI4761" s="218"/>
      <c r="AJ4761" s="218"/>
      <c r="AK4761" s="153"/>
      <c r="AL4761" s="152"/>
      <c r="AM4761" s="152"/>
      <c r="AN4761" s="152"/>
      <c r="AO4761" s="152"/>
      <c r="AP4761" s="152"/>
      <c r="AQ4761" s="152"/>
      <c r="AR4761" s="152"/>
      <c r="AS4761" s="152"/>
      <c r="AT4761" s="152"/>
      <c r="AU4761" s="153"/>
      <c r="AV4761" s="479"/>
      <c r="AW4761" s="479"/>
      <c r="AX4761" s="442"/>
      <c r="AY4761" s="153"/>
      <c r="AZ4761" s="152"/>
      <c r="BA4761" s="152"/>
      <c r="BB4761" s="152"/>
      <c r="BC4761" s="152"/>
      <c r="BD4761" s="152"/>
      <c r="BE4761" s="152"/>
      <c r="BF4761" s="152"/>
      <c r="BG4761" s="152"/>
      <c r="BH4761" s="152"/>
      <c r="BI4761" s="153"/>
      <c r="BJ4761" s="153"/>
      <c r="BK4761" s="153"/>
      <c r="BL4761" s="153"/>
      <c r="BM4761" s="153"/>
      <c r="BN4761" s="153"/>
      <c r="BO4761" s="153"/>
      <c r="BP4761" s="153"/>
      <c r="BQ4761" s="153"/>
      <c r="BR4761" s="153"/>
      <c r="BS4761" s="153"/>
      <c r="BT4761" s="153"/>
      <c r="BU4761" s="153"/>
      <c r="BV4761" s="153"/>
      <c r="BW4761" s="153"/>
      <c r="BX4761" s="153"/>
      <c r="BY4761" s="153"/>
      <c r="BZ4761" s="153"/>
      <c r="CA4761" s="152"/>
      <c r="CB4761" s="152"/>
    </row>
    <row r="4762" spans="1:80" s="87" customFormat="1" ht="14.25" customHeight="1" x14ac:dyDescent="0.2">
      <c r="A4762" s="152"/>
      <c r="B4762" s="683"/>
      <c r="C4762" s="683"/>
      <c r="D4762" s="698"/>
      <c r="E4762" s="215"/>
      <c r="F4762" s="215"/>
      <c r="G4762" s="153"/>
      <c r="H4762" s="153"/>
      <c r="I4762" s="306">
        <v>10</v>
      </c>
      <c r="J4762" s="306">
        <v>120</v>
      </c>
      <c r="K4762" s="150">
        <v>1</v>
      </c>
      <c r="L4762" s="656">
        <v>20</v>
      </c>
      <c r="M4762" s="663">
        <v>33393</v>
      </c>
      <c r="N4762" s="600">
        <v>3.76559</v>
      </c>
      <c r="O4762" s="604">
        <v>1.7843000000000001E-2</v>
      </c>
      <c r="P4762" s="250"/>
      <c r="Q4762" s="250"/>
      <c r="R4762" s="250"/>
      <c r="S4762" s="250"/>
      <c r="T4762" s="250">
        <v>6.8000000000000005E-2</v>
      </c>
      <c r="U4762" s="250">
        <v>0.26100000000000001</v>
      </c>
      <c r="V4762" s="250">
        <v>0.40600000000000003</v>
      </c>
      <c r="W4762" s="250">
        <v>0.20699999999999999</v>
      </c>
      <c r="X4762" s="250">
        <v>5.5999999999999994E-2</v>
      </c>
      <c r="Y4762" s="250">
        <v>1E-3</v>
      </c>
      <c r="Z4762" s="150"/>
      <c r="AA4762" s="150">
        <v>1.49</v>
      </c>
      <c r="AB4762" s="152"/>
      <c r="AC4762" s="152"/>
      <c r="AD4762" s="223"/>
      <c r="AE4762" s="223"/>
      <c r="AF4762" s="223"/>
      <c r="AG4762" s="223"/>
      <c r="AH4762" s="341"/>
      <c r="AI4762" s="218"/>
      <c r="AJ4762" s="218"/>
      <c r="AK4762" s="153"/>
      <c r="AL4762" s="152"/>
      <c r="AM4762" s="152"/>
      <c r="AN4762" s="152"/>
      <c r="AO4762" s="152"/>
      <c r="AP4762" s="152"/>
      <c r="AQ4762" s="152"/>
      <c r="AR4762" s="152"/>
      <c r="AS4762" s="152"/>
      <c r="AT4762" s="152"/>
      <c r="AU4762" s="153"/>
      <c r="AV4762" s="479"/>
      <c r="AW4762" s="479"/>
      <c r="AX4762" s="442"/>
      <c r="AY4762" s="153"/>
      <c r="AZ4762" s="152"/>
      <c r="BA4762" s="152"/>
      <c r="BB4762" s="152"/>
      <c r="BC4762" s="152"/>
      <c r="BD4762" s="152"/>
      <c r="BE4762" s="152"/>
      <c r="BF4762" s="152"/>
      <c r="BG4762" s="152"/>
      <c r="BH4762" s="152"/>
      <c r="BI4762" s="153"/>
      <c r="BJ4762" s="153"/>
      <c r="BK4762" s="153"/>
      <c r="BL4762" s="153"/>
      <c r="BM4762" s="153"/>
      <c r="BN4762" s="153"/>
      <c r="BO4762" s="153"/>
      <c r="BP4762" s="153"/>
      <c r="BQ4762" s="153"/>
      <c r="BR4762" s="153"/>
      <c r="BS4762" s="153"/>
      <c r="BT4762" s="153"/>
      <c r="BU4762" s="153"/>
      <c r="BV4762" s="153"/>
      <c r="BW4762" s="153"/>
      <c r="BX4762" s="153"/>
      <c r="BY4762" s="153"/>
      <c r="BZ4762" s="153"/>
      <c r="CA4762" s="152"/>
      <c r="CB4762" s="152"/>
    </row>
    <row r="4763" spans="1:80" s="87" customFormat="1" ht="14.25" customHeight="1" x14ac:dyDescent="0.2">
      <c r="A4763" s="152"/>
      <c r="B4763" s="683"/>
      <c r="C4763" s="683"/>
      <c r="D4763" s="698"/>
      <c r="E4763" s="215"/>
      <c r="F4763" s="215"/>
      <c r="G4763" s="153"/>
      <c r="H4763" s="153"/>
      <c r="I4763" s="306">
        <v>10</v>
      </c>
      <c r="J4763" s="306">
        <v>240</v>
      </c>
      <c r="K4763" s="150">
        <v>1</v>
      </c>
      <c r="L4763" s="656">
        <v>40</v>
      </c>
      <c r="M4763" s="663">
        <v>33400</v>
      </c>
      <c r="N4763" s="600">
        <v>3.5674000000000001</v>
      </c>
      <c r="O4763" s="604">
        <v>1.1440000000000001E-2</v>
      </c>
      <c r="P4763" s="250"/>
      <c r="Q4763" s="250"/>
      <c r="R4763" s="250"/>
      <c r="S4763" s="250">
        <v>1.3999999999999999E-2</v>
      </c>
      <c r="T4763" s="250">
        <v>0.11</v>
      </c>
      <c r="U4763" s="250">
        <v>0.28999999999999998</v>
      </c>
      <c r="V4763" s="250">
        <v>0.35299999999999998</v>
      </c>
      <c r="W4763" s="250">
        <v>0.187</v>
      </c>
      <c r="X4763" s="250">
        <v>4.4999999999999998E-2</v>
      </c>
      <c r="Y4763" s="250">
        <v>2E-3</v>
      </c>
      <c r="Z4763" s="150"/>
      <c r="AA4763" s="150">
        <v>1.69</v>
      </c>
      <c r="AB4763" s="152"/>
      <c r="AC4763" s="152"/>
      <c r="AD4763" s="223"/>
      <c r="AE4763" s="223"/>
      <c r="AF4763" s="223"/>
      <c r="AG4763" s="223"/>
      <c r="AH4763" s="341"/>
      <c r="AI4763" s="218"/>
      <c r="AJ4763" s="218"/>
      <c r="AK4763" s="153"/>
      <c r="AL4763" s="152"/>
      <c r="AM4763" s="152"/>
      <c r="AN4763" s="152"/>
      <c r="AO4763" s="152"/>
      <c r="AP4763" s="152"/>
      <c r="AQ4763" s="152"/>
      <c r="AR4763" s="152"/>
      <c r="AS4763" s="152"/>
      <c r="AT4763" s="152"/>
      <c r="AU4763" s="153"/>
      <c r="AV4763" s="479"/>
      <c r="AW4763" s="479"/>
      <c r="AX4763" s="442"/>
      <c r="AY4763" s="153"/>
      <c r="AZ4763" s="152"/>
      <c r="BA4763" s="152"/>
      <c r="BB4763" s="152"/>
      <c r="BC4763" s="152"/>
      <c r="BD4763" s="152"/>
      <c r="BE4763" s="152"/>
      <c r="BF4763" s="152"/>
      <c r="BG4763" s="152"/>
      <c r="BH4763" s="152"/>
      <c r="BI4763" s="153"/>
      <c r="BJ4763" s="153"/>
      <c r="BK4763" s="153"/>
      <c r="BL4763" s="153"/>
      <c r="BM4763" s="153"/>
      <c r="BN4763" s="153"/>
      <c r="BO4763" s="153"/>
      <c r="BP4763" s="153"/>
      <c r="BQ4763" s="153"/>
      <c r="BR4763" s="153"/>
      <c r="BS4763" s="153"/>
      <c r="BT4763" s="153"/>
      <c r="BU4763" s="153"/>
      <c r="BV4763" s="153"/>
      <c r="BW4763" s="153"/>
      <c r="BX4763" s="153"/>
      <c r="BY4763" s="153"/>
      <c r="BZ4763" s="153"/>
      <c r="CA4763" s="152"/>
      <c r="CB4763" s="152"/>
    </row>
    <row r="4764" spans="1:80" s="87" customFormat="1" ht="14.25" customHeight="1" x14ac:dyDescent="0.2">
      <c r="A4764" s="152"/>
      <c r="B4764" s="683"/>
      <c r="C4764" s="683"/>
      <c r="D4764" s="698"/>
      <c r="E4764" s="215"/>
      <c r="F4764" s="215"/>
      <c r="G4764" s="153"/>
      <c r="H4764" s="153"/>
      <c r="I4764" s="306">
        <v>11</v>
      </c>
      <c r="J4764" s="306">
        <v>120</v>
      </c>
      <c r="K4764" s="150">
        <v>1</v>
      </c>
      <c r="L4764" s="656">
        <v>22</v>
      </c>
      <c r="M4764" s="663">
        <v>33694</v>
      </c>
      <c r="N4764" s="600">
        <v>0.59457000000000004</v>
      </c>
      <c r="O4764" s="604">
        <v>2.7390000000000001E-3</v>
      </c>
      <c r="P4764" s="250"/>
      <c r="Q4764" s="250"/>
      <c r="R4764" s="250"/>
      <c r="S4764" s="250"/>
      <c r="T4764" s="250">
        <v>6.7000000000000004E-2</v>
      </c>
      <c r="U4764" s="250">
        <v>0.38</v>
      </c>
      <c r="V4764" s="250">
        <v>0.36799999999999999</v>
      </c>
      <c r="W4764" s="250">
        <v>0.11699999999999999</v>
      </c>
      <c r="X4764" s="250">
        <v>5.5999999999999994E-2</v>
      </c>
      <c r="Y4764" s="250">
        <v>1.2E-2</v>
      </c>
      <c r="Z4764" s="150"/>
      <c r="AA4764" s="150">
        <v>1.81</v>
      </c>
      <c r="AB4764" s="152"/>
      <c r="AC4764" s="152"/>
      <c r="AD4764" s="223"/>
      <c r="AE4764" s="223"/>
      <c r="AF4764" s="223"/>
      <c r="AG4764" s="223"/>
      <c r="AH4764" s="341"/>
      <c r="AI4764" s="218"/>
      <c r="AJ4764" s="218"/>
      <c r="AK4764" s="153"/>
      <c r="AL4764" s="152"/>
      <c r="AM4764" s="152"/>
      <c r="AN4764" s="152"/>
      <c r="AO4764" s="152"/>
      <c r="AP4764" s="152"/>
      <c r="AQ4764" s="152"/>
      <c r="AR4764" s="152"/>
      <c r="AS4764" s="152"/>
      <c r="AT4764" s="152"/>
      <c r="AU4764" s="153"/>
      <c r="AV4764" s="479"/>
      <c r="AW4764" s="479"/>
      <c r="AX4764" s="442"/>
      <c r="AY4764" s="153"/>
      <c r="AZ4764" s="152"/>
      <c r="BA4764" s="152"/>
      <c r="BB4764" s="152"/>
      <c r="BC4764" s="152"/>
      <c r="BD4764" s="152"/>
      <c r="BE4764" s="152"/>
      <c r="BF4764" s="152"/>
      <c r="BG4764" s="152"/>
      <c r="BH4764" s="152"/>
      <c r="BI4764" s="153"/>
      <c r="BJ4764" s="153"/>
      <c r="BK4764" s="153"/>
      <c r="BL4764" s="153"/>
      <c r="BM4764" s="153"/>
      <c r="BN4764" s="153"/>
      <c r="BO4764" s="153"/>
      <c r="BP4764" s="153"/>
      <c r="BQ4764" s="153"/>
      <c r="BR4764" s="153"/>
      <c r="BS4764" s="153"/>
      <c r="BT4764" s="153"/>
      <c r="BU4764" s="153"/>
      <c r="BV4764" s="153"/>
      <c r="BW4764" s="153"/>
      <c r="BX4764" s="153"/>
      <c r="BY4764" s="153"/>
      <c r="BZ4764" s="153"/>
      <c r="CA4764" s="152"/>
      <c r="CB4764" s="152"/>
    </row>
    <row r="4765" spans="1:80" s="87" customFormat="1" ht="14.25" customHeight="1" x14ac:dyDescent="0.2">
      <c r="A4765" s="152"/>
      <c r="B4765" s="683"/>
      <c r="C4765" s="683"/>
      <c r="D4765" s="698"/>
      <c r="E4765" s="215"/>
      <c r="F4765" s="215"/>
      <c r="G4765" s="153"/>
      <c r="H4765" s="153"/>
      <c r="I4765" s="306">
        <v>10</v>
      </c>
      <c r="J4765" s="306">
        <v>240</v>
      </c>
      <c r="K4765" s="150">
        <v>1</v>
      </c>
      <c r="L4765" s="656">
        <v>40</v>
      </c>
      <c r="M4765" s="663">
        <v>33701</v>
      </c>
      <c r="N4765" s="600">
        <v>0.96262999999999999</v>
      </c>
      <c r="O4765" s="604">
        <v>7.6410000000000002E-3</v>
      </c>
      <c r="P4765" s="250"/>
      <c r="Q4765" s="250"/>
      <c r="R4765" s="250"/>
      <c r="S4765" s="250">
        <v>6.9999999999999993E-3</v>
      </c>
      <c r="T4765" s="250">
        <v>0.12300000000000001</v>
      </c>
      <c r="U4765" s="250">
        <v>0.30299999999999999</v>
      </c>
      <c r="V4765" s="250">
        <v>0.28100000000000003</v>
      </c>
      <c r="W4765" s="250">
        <v>0.184</v>
      </c>
      <c r="X4765" s="250">
        <v>0.10099999999999999</v>
      </c>
      <c r="Y4765" s="250">
        <v>2E-3</v>
      </c>
      <c r="Z4765" s="150"/>
      <c r="AA4765" s="150">
        <v>1.7</v>
      </c>
      <c r="AB4765" s="152"/>
      <c r="AC4765" s="152"/>
      <c r="AD4765" s="223"/>
      <c r="AE4765" s="223"/>
      <c r="AF4765" s="223"/>
      <c r="AG4765" s="223"/>
      <c r="AH4765" s="341"/>
      <c r="AI4765" s="218"/>
      <c r="AJ4765" s="218"/>
      <c r="AK4765" s="153"/>
      <c r="AL4765" s="152"/>
      <c r="AM4765" s="152"/>
      <c r="AN4765" s="152"/>
      <c r="AO4765" s="152"/>
      <c r="AP4765" s="152"/>
      <c r="AQ4765" s="152"/>
      <c r="AR4765" s="152"/>
      <c r="AS4765" s="152"/>
      <c r="AT4765" s="152"/>
      <c r="AU4765" s="153"/>
      <c r="AV4765" s="479"/>
      <c r="AW4765" s="479"/>
      <c r="AX4765" s="442"/>
      <c r="AY4765" s="153"/>
      <c r="AZ4765" s="152"/>
      <c r="BA4765" s="152"/>
      <c r="BB4765" s="152"/>
      <c r="BC4765" s="152"/>
      <c r="BD4765" s="152"/>
      <c r="BE4765" s="152"/>
      <c r="BF4765" s="152"/>
      <c r="BG4765" s="152"/>
      <c r="BH4765" s="152"/>
      <c r="BI4765" s="153"/>
      <c r="BJ4765" s="153"/>
      <c r="BK4765" s="153"/>
      <c r="BL4765" s="153"/>
      <c r="BM4765" s="153"/>
      <c r="BN4765" s="153"/>
      <c r="BO4765" s="153"/>
      <c r="BP4765" s="153"/>
      <c r="BQ4765" s="153"/>
      <c r="BR4765" s="153"/>
      <c r="BS4765" s="153"/>
      <c r="BT4765" s="153"/>
      <c r="BU4765" s="153"/>
      <c r="BV4765" s="153"/>
      <c r="BW4765" s="153"/>
      <c r="BX4765" s="153"/>
      <c r="BY4765" s="153"/>
      <c r="BZ4765" s="153"/>
      <c r="CA4765" s="152"/>
      <c r="CB4765" s="152"/>
    </row>
    <row r="4766" spans="1:80" s="87" customFormat="1" ht="14.25" customHeight="1" x14ac:dyDescent="0.2">
      <c r="A4766" s="152"/>
      <c r="B4766" s="683"/>
      <c r="C4766" s="683"/>
      <c r="D4766" s="698"/>
      <c r="E4766" s="215"/>
      <c r="F4766" s="215"/>
      <c r="G4766" s="153"/>
      <c r="H4766" s="153"/>
      <c r="I4766" s="306">
        <v>10</v>
      </c>
      <c r="J4766" s="306">
        <v>180</v>
      </c>
      <c r="K4766" s="150">
        <v>1</v>
      </c>
      <c r="L4766" s="656">
        <v>30</v>
      </c>
      <c r="M4766" s="663">
        <v>33708</v>
      </c>
      <c r="N4766" s="600">
        <v>1.67045</v>
      </c>
      <c r="O4766" s="604">
        <v>1.7947999999999999E-2</v>
      </c>
      <c r="P4766" s="250"/>
      <c r="Q4766" s="250"/>
      <c r="R4766" s="250"/>
      <c r="S4766" s="250">
        <v>3.7999999999999999E-2</v>
      </c>
      <c r="T4766" s="250">
        <v>0.21299999999999999</v>
      </c>
      <c r="U4766" s="250">
        <v>0.23499999999999999</v>
      </c>
      <c r="V4766" s="250">
        <v>0.24199999999999999</v>
      </c>
      <c r="W4766" s="250">
        <v>0.18600000000000003</v>
      </c>
      <c r="X4766" s="250">
        <v>8.199999999999999E-2</v>
      </c>
      <c r="Y4766" s="250">
        <v>4.0000000000000001E-3</v>
      </c>
      <c r="Z4766" s="150"/>
      <c r="AA4766" s="150">
        <v>1.92</v>
      </c>
      <c r="AB4766" s="152"/>
      <c r="AC4766" s="152"/>
      <c r="AD4766" s="223"/>
      <c r="AE4766" s="223"/>
      <c r="AF4766" s="223"/>
      <c r="AG4766" s="223"/>
      <c r="AH4766" s="341"/>
      <c r="AI4766" s="218"/>
      <c r="AJ4766" s="218"/>
      <c r="AK4766" s="153"/>
      <c r="AL4766" s="152"/>
      <c r="AM4766" s="152"/>
      <c r="AN4766" s="152"/>
      <c r="AO4766" s="152"/>
      <c r="AP4766" s="152"/>
      <c r="AQ4766" s="152"/>
      <c r="AR4766" s="152"/>
      <c r="AS4766" s="152"/>
      <c r="AT4766" s="152"/>
      <c r="AU4766" s="153"/>
      <c r="AV4766" s="479"/>
      <c r="AW4766" s="479"/>
      <c r="AX4766" s="442"/>
      <c r="AY4766" s="153"/>
      <c r="AZ4766" s="152"/>
      <c r="BA4766" s="152"/>
      <c r="BB4766" s="152"/>
      <c r="BC4766" s="152"/>
      <c r="BD4766" s="152"/>
      <c r="BE4766" s="152"/>
      <c r="BF4766" s="152"/>
      <c r="BG4766" s="152"/>
      <c r="BH4766" s="152"/>
      <c r="BI4766" s="153"/>
      <c r="BJ4766" s="153"/>
      <c r="BK4766" s="153"/>
      <c r="BL4766" s="153"/>
      <c r="BM4766" s="153"/>
      <c r="BN4766" s="153"/>
      <c r="BO4766" s="153"/>
      <c r="BP4766" s="153"/>
      <c r="BQ4766" s="153"/>
      <c r="BR4766" s="153"/>
      <c r="BS4766" s="153"/>
      <c r="BT4766" s="153"/>
      <c r="BU4766" s="153"/>
      <c r="BV4766" s="153"/>
      <c r="BW4766" s="153"/>
      <c r="BX4766" s="153"/>
      <c r="BY4766" s="153"/>
      <c r="BZ4766" s="153"/>
      <c r="CA4766" s="152"/>
      <c r="CB4766" s="152"/>
    </row>
    <row r="4767" spans="1:80" s="87" customFormat="1" ht="14.25" customHeight="1" x14ac:dyDescent="0.2">
      <c r="A4767" s="152"/>
      <c r="B4767" s="683"/>
      <c r="C4767" s="683"/>
      <c r="D4767" s="698"/>
      <c r="E4767" s="215"/>
      <c r="F4767" s="215"/>
      <c r="G4767" s="153"/>
      <c r="H4767" s="153"/>
      <c r="I4767" s="306">
        <v>10</v>
      </c>
      <c r="J4767" s="306">
        <v>240</v>
      </c>
      <c r="K4767" s="150">
        <v>1</v>
      </c>
      <c r="L4767" s="656">
        <v>40</v>
      </c>
      <c r="M4767" s="663">
        <v>33714</v>
      </c>
      <c r="N4767" s="600">
        <v>1.69876</v>
      </c>
      <c r="O4767" s="604">
        <v>1.6268000000000001E-2</v>
      </c>
      <c r="P4767" s="250"/>
      <c r="Q4767" s="250"/>
      <c r="R4767" s="250"/>
      <c r="S4767" s="250">
        <v>4.8000000000000001E-2</v>
      </c>
      <c r="T4767" s="250">
        <v>0.20300000000000001</v>
      </c>
      <c r="U4767" s="250">
        <v>0.25800000000000001</v>
      </c>
      <c r="V4767" s="250">
        <v>0.24299999999999999</v>
      </c>
      <c r="W4767" s="250">
        <v>0.16800000000000001</v>
      </c>
      <c r="X4767" s="250">
        <v>7.4999999999999997E-2</v>
      </c>
      <c r="Y4767" s="250">
        <v>5.0000000000000001E-3</v>
      </c>
      <c r="Z4767" s="150"/>
      <c r="AA4767" s="150">
        <v>2.0499999999999998</v>
      </c>
      <c r="AB4767" s="152"/>
      <c r="AC4767" s="152"/>
      <c r="AD4767" s="223"/>
      <c r="AE4767" s="223"/>
      <c r="AF4767" s="223"/>
      <c r="AG4767" s="223"/>
      <c r="AH4767" s="341"/>
      <c r="AI4767" s="218"/>
      <c r="AJ4767" s="218"/>
      <c r="AK4767" s="153"/>
      <c r="AL4767" s="152"/>
      <c r="AM4767" s="152"/>
      <c r="AN4767" s="152"/>
      <c r="AO4767" s="152"/>
      <c r="AP4767" s="152"/>
      <c r="AQ4767" s="152"/>
      <c r="AR4767" s="152"/>
      <c r="AS4767" s="152"/>
      <c r="AT4767" s="152"/>
      <c r="AU4767" s="153"/>
      <c r="AV4767" s="479"/>
      <c r="AW4767" s="479"/>
      <c r="AX4767" s="442"/>
      <c r="AY4767" s="153"/>
      <c r="AZ4767" s="152"/>
      <c r="BA4767" s="152"/>
      <c r="BB4767" s="152"/>
      <c r="BC4767" s="152"/>
      <c r="BD4767" s="152"/>
      <c r="BE4767" s="152"/>
      <c r="BF4767" s="152"/>
      <c r="BG4767" s="152"/>
      <c r="BH4767" s="152"/>
      <c r="BI4767" s="153"/>
      <c r="BJ4767" s="153"/>
      <c r="BK4767" s="153"/>
      <c r="BL4767" s="153"/>
      <c r="BM4767" s="153"/>
      <c r="BN4767" s="153"/>
      <c r="BO4767" s="153"/>
      <c r="BP4767" s="153"/>
      <c r="BQ4767" s="153"/>
      <c r="BR4767" s="153"/>
      <c r="BS4767" s="153"/>
      <c r="BT4767" s="153"/>
      <c r="BU4767" s="153"/>
      <c r="BV4767" s="153"/>
      <c r="BW4767" s="153"/>
      <c r="BX4767" s="153"/>
      <c r="BY4767" s="153"/>
      <c r="BZ4767" s="153"/>
      <c r="CA4767" s="152"/>
      <c r="CB4767" s="152"/>
    </row>
    <row r="4768" spans="1:80" s="87" customFormat="1" ht="14.25" customHeight="1" x14ac:dyDescent="0.2">
      <c r="A4768" s="152"/>
      <c r="B4768" s="683"/>
      <c r="C4768" s="683"/>
      <c r="D4768" s="698"/>
      <c r="E4768" s="215"/>
      <c r="F4768" s="215"/>
      <c r="G4768" s="153"/>
      <c r="H4768" s="153"/>
      <c r="I4768" s="306">
        <v>10</v>
      </c>
      <c r="J4768" s="306">
        <v>240</v>
      </c>
      <c r="K4768" s="150">
        <v>1</v>
      </c>
      <c r="L4768" s="656">
        <v>40</v>
      </c>
      <c r="M4768" s="663">
        <v>33716</v>
      </c>
      <c r="N4768" s="600">
        <v>1.6421399999999999</v>
      </c>
      <c r="O4768" s="604">
        <v>6.182E-2</v>
      </c>
      <c r="P4768" s="250"/>
      <c r="Q4768" s="250"/>
      <c r="R4768" s="250"/>
      <c r="S4768" s="250">
        <v>6.0999999999999999E-2</v>
      </c>
      <c r="T4768" s="250">
        <v>0.185</v>
      </c>
      <c r="U4768" s="250">
        <v>0.214</v>
      </c>
      <c r="V4768" s="250">
        <v>0.27699999999999997</v>
      </c>
      <c r="W4768" s="250">
        <v>0.187</v>
      </c>
      <c r="X4768" s="250">
        <v>7.2000000000000008E-2</v>
      </c>
      <c r="Y4768" s="250">
        <v>4.0000000000000001E-3</v>
      </c>
      <c r="Z4768" s="150"/>
      <c r="AA4768" s="150">
        <v>1.81</v>
      </c>
      <c r="AB4768" s="152"/>
      <c r="AC4768" s="152"/>
      <c r="AD4768" s="223"/>
      <c r="AE4768" s="223"/>
      <c r="AF4768" s="223"/>
      <c r="AG4768" s="223"/>
      <c r="AH4768" s="341"/>
      <c r="AI4768" s="218"/>
      <c r="AJ4768" s="218"/>
      <c r="AK4768" s="153"/>
      <c r="AL4768" s="152"/>
      <c r="AM4768" s="152"/>
      <c r="AN4768" s="152"/>
      <c r="AO4768" s="152"/>
      <c r="AP4768" s="152"/>
      <c r="AQ4768" s="152"/>
      <c r="AR4768" s="152"/>
      <c r="AS4768" s="152"/>
      <c r="AT4768" s="152"/>
      <c r="AU4768" s="153"/>
      <c r="AV4768" s="479"/>
      <c r="AW4768" s="479"/>
      <c r="AX4768" s="442"/>
      <c r="AY4768" s="153"/>
      <c r="AZ4768" s="152"/>
      <c r="BA4768" s="152"/>
      <c r="BB4768" s="152"/>
      <c r="BC4768" s="152"/>
      <c r="BD4768" s="152"/>
      <c r="BE4768" s="152"/>
      <c r="BF4768" s="152"/>
      <c r="BG4768" s="152"/>
      <c r="BH4768" s="152"/>
      <c r="BI4768" s="153"/>
      <c r="BJ4768" s="153"/>
      <c r="BK4768" s="153"/>
      <c r="BL4768" s="153"/>
      <c r="BM4768" s="153"/>
      <c r="BN4768" s="153"/>
      <c r="BO4768" s="153"/>
      <c r="BP4768" s="153"/>
      <c r="BQ4768" s="153"/>
      <c r="BR4768" s="153"/>
      <c r="BS4768" s="153"/>
      <c r="BT4768" s="153"/>
      <c r="BU4768" s="153"/>
      <c r="BV4768" s="153"/>
      <c r="BW4768" s="153"/>
      <c r="BX4768" s="153"/>
      <c r="BY4768" s="153"/>
      <c r="BZ4768" s="153"/>
      <c r="CA4768" s="152"/>
      <c r="CB4768" s="152"/>
    </row>
    <row r="4769" spans="1:80" s="87" customFormat="1" ht="14.25" customHeight="1" x14ac:dyDescent="0.2">
      <c r="A4769" s="152"/>
      <c r="B4769" s="683"/>
      <c r="C4769" s="683"/>
      <c r="D4769" s="698"/>
      <c r="E4769" s="215"/>
      <c r="F4769" s="215"/>
      <c r="G4769" s="153"/>
      <c r="H4769" s="153"/>
      <c r="I4769" s="306">
        <v>10</v>
      </c>
      <c r="J4769" s="306">
        <v>240</v>
      </c>
      <c r="K4769" s="150">
        <v>1</v>
      </c>
      <c r="L4769" s="656">
        <v>40</v>
      </c>
      <c r="M4769" s="663">
        <v>33721</v>
      </c>
      <c r="N4769" s="600">
        <v>1.7270700000000001</v>
      </c>
      <c r="O4769" s="604">
        <v>3.516E-3</v>
      </c>
      <c r="P4769" s="250"/>
      <c r="Q4769" s="250"/>
      <c r="R4769" s="250"/>
      <c r="S4769" s="250"/>
      <c r="T4769" s="250">
        <v>1.3999999999999999E-2</v>
      </c>
      <c r="U4769" s="250">
        <v>0.251</v>
      </c>
      <c r="V4769" s="250">
        <v>0.36099999999999999</v>
      </c>
      <c r="W4769" s="250">
        <v>0.26600000000000001</v>
      </c>
      <c r="X4769" s="250">
        <v>0.107</v>
      </c>
      <c r="Y4769" s="250">
        <v>1E-3</v>
      </c>
      <c r="Z4769" s="150"/>
      <c r="AA4769" s="150">
        <v>1.27</v>
      </c>
      <c r="AB4769" s="152"/>
      <c r="AC4769" s="152"/>
      <c r="AD4769" s="223"/>
      <c r="AE4769" s="223"/>
      <c r="AF4769" s="223"/>
      <c r="AG4769" s="223"/>
      <c r="AH4769" s="341"/>
      <c r="AI4769" s="218"/>
      <c r="AJ4769" s="218"/>
      <c r="AK4769" s="153"/>
      <c r="AL4769" s="152"/>
      <c r="AM4769" s="152"/>
      <c r="AN4769" s="152"/>
      <c r="AO4769" s="152"/>
      <c r="AP4769" s="152"/>
      <c r="AQ4769" s="152"/>
      <c r="AR4769" s="152"/>
      <c r="AS4769" s="152"/>
      <c r="AT4769" s="152"/>
      <c r="AU4769" s="153"/>
      <c r="AV4769" s="479"/>
      <c r="AW4769" s="479"/>
      <c r="AX4769" s="442"/>
      <c r="AY4769" s="153"/>
      <c r="AZ4769" s="152"/>
      <c r="BA4769" s="152"/>
      <c r="BB4769" s="152"/>
      <c r="BC4769" s="152"/>
      <c r="BD4769" s="152"/>
      <c r="BE4769" s="152"/>
      <c r="BF4769" s="152"/>
      <c r="BG4769" s="152"/>
      <c r="BH4769" s="152"/>
      <c r="BI4769" s="153"/>
      <c r="BJ4769" s="153"/>
      <c r="BK4769" s="153"/>
      <c r="BL4769" s="153"/>
      <c r="BM4769" s="153"/>
      <c r="BN4769" s="153"/>
      <c r="BO4769" s="153"/>
      <c r="BP4769" s="153"/>
      <c r="BQ4769" s="153"/>
      <c r="BR4769" s="153"/>
      <c r="BS4769" s="153"/>
      <c r="BT4769" s="153"/>
      <c r="BU4769" s="153"/>
      <c r="BV4769" s="153"/>
      <c r="BW4769" s="153"/>
      <c r="BX4769" s="153"/>
      <c r="BY4769" s="153"/>
      <c r="BZ4769" s="153"/>
      <c r="CA4769" s="152"/>
      <c r="CB4769" s="152"/>
    </row>
    <row r="4770" spans="1:80" s="87" customFormat="1" ht="14.25" customHeight="1" x14ac:dyDescent="0.2">
      <c r="A4770" s="152"/>
      <c r="B4770" s="683"/>
      <c r="C4770" s="683"/>
      <c r="D4770" s="698"/>
      <c r="E4770" s="215"/>
      <c r="F4770" s="215"/>
      <c r="G4770" s="153"/>
      <c r="H4770" s="153"/>
      <c r="I4770" s="306">
        <v>10</v>
      </c>
      <c r="J4770" s="306">
        <v>120</v>
      </c>
      <c r="K4770" s="150">
        <v>1</v>
      </c>
      <c r="L4770" s="656">
        <v>20</v>
      </c>
      <c r="M4770" s="663">
        <v>33728</v>
      </c>
      <c r="N4770" s="600">
        <v>2.3216399999999999</v>
      </c>
      <c r="O4770" s="604">
        <v>2.5295000000000002E-2</v>
      </c>
      <c r="P4770" s="250"/>
      <c r="Q4770" s="250"/>
      <c r="R4770" s="250">
        <v>4.2000000000000003E-2</v>
      </c>
      <c r="S4770" s="250">
        <v>2.7000000000000003E-2</v>
      </c>
      <c r="T4770" s="250">
        <v>0.115</v>
      </c>
      <c r="U4770" s="250">
        <v>0.31</v>
      </c>
      <c r="V4770" s="250">
        <v>0.26</v>
      </c>
      <c r="W4770" s="250">
        <v>0.17</v>
      </c>
      <c r="X4770" s="250">
        <v>7.2999999999999995E-2</v>
      </c>
      <c r="Y4770" s="250">
        <v>3.0000000000000001E-3</v>
      </c>
      <c r="Z4770" s="150"/>
      <c r="AA4770" s="150">
        <v>1.97</v>
      </c>
      <c r="AB4770" s="152"/>
      <c r="AC4770" s="152"/>
      <c r="AD4770" s="223"/>
      <c r="AE4770" s="223"/>
      <c r="AF4770" s="223"/>
      <c r="AG4770" s="223"/>
      <c r="AH4770" s="341"/>
      <c r="AI4770" s="218"/>
      <c r="AJ4770" s="218"/>
      <c r="AK4770" s="153"/>
      <c r="AL4770" s="152"/>
      <c r="AM4770" s="152"/>
      <c r="AN4770" s="152"/>
      <c r="AO4770" s="152"/>
      <c r="AP4770" s="152"/>
      <c r="AQ4770" s="152"/>
      <c r="AR4770" s="152"/>
      <c r="AS4770" s="152"/>
      <c r="AT4770" s="152"/>
      <c r="AU4770" s="153"/>
      <c r="AV4770" s="479"/>
      <c r="AW4770" s="479"/>
      <c r="AX4770" s="442"/>
      <c r="AY4770" s="153"/>
      <c r="AZ4770" s="152"/>
      <c r="BA4770" s="152"/>
      <c r="BB4770" s="152"/>
      <c r="BC4770" s="152"/>
      <c r="BD4770" s="152"/>
      <c r="BE4770" s="152"/>
      <c r="BF4770" s="152"/>
      <c r="BG4770" s="152"/>
      <c r="BH4770" s="152"/>
      <c r="BI4770" s="153"/>
      <c r="BJ4770" s="153"/>
      <c r="BK4770" s="153"/>
      <c r="BL4770" s="153"/>
      <c r="BM4770" s="153"/>
      <c r="BN4770" s="153"/>
      <c r="BO4770" s="153"/>
      <c r="BP4770" s="153"/>
      <c r="BQ4770" s="153"/>
      <c r="BR4770" s="153"/>
      <c r="BS4770" s="153"/>
      <c r="BT4770" s="153"/>
      <c r="BU4770" s="153"/>
      <c r="BV4770" s="153"/>
      <c r="BW4770" s="153"/>
      <c r="BX4770" s="153"/>
      <c r="BY4770" s="153"/>
      <c r="BZ4770" s="153"/>
      <c r="CA4770" s="152"/>
      <c r="CB4770" s="152"/>
    </row>
    <row r="4771" spans="1:80" s="87" customFormat="1" ht="14.25" customHeight="1" x14ac:dyDescent="0.2">
      <c r="A4771" s="152"/>
      <c r="B4771" s="683"/>
      <c r="C4771" s="683"/>
      <c r="D4771" s="698"/>
      <c r="E4771" s="215"/>
      <c r="F4771" s="215"/>
      <c r="G4771" s="153"/>
      <c r="H4771" s="153"/>
      <c r="I4771" s="306">
        <v>10</v>
      </c>
      <c r="J4771" s="306">
        <v>120</v>
      </c>
      <c r="K4771" s="150">
        <v>1</v>
      </c>
      <c r="L4771" s="656">
        <v>20</v>
      </c>
      <c r="M4771" s="663">
        <v>33730</v>
      </c>
      <c r="N4771" s="600">
        <v>3.1993399999999999</v>
      </c>
      <c r="O4771" s="604">
        <v>3.9044000000000002E-2</v>
      </c>
      <c r="P4771" s="250"/>
      <c r="Q4771" s="250"/>
      <c r="R4771" s="250"/>
      <c r="S4771" s="250">
        <v>6.6000000000000003E-2</v>
      </c>
      <c r="T4771" s="250">
        <v>0.11900000000000001</v>
      </c>
      <c r="U4771" s="250">
        <v>0.21600000000000003</v>
      </c>
      <c r="V4771" s="250">
        <v>0.30399999999999999</v>
      </c>
      <c r="W4771" s="250">
        <v>0.215</v>
      </c>
      <c r="X4771" s="250">
        <v>7.6999999999999999E-2</v>
      </c>
      <c r="Y4771" s="250">
        <v>4.0000000000000001E-3</v>
      </c>
      <c r="Z4771" s="150"/>
      <c r="AA4771" s="150">
        <v>1.6</v>
      </c>
      <c r="AB4771" s="152"/>
      <c r="AC4771" s="152"/>
      <c r="AD4771" s="223"/>
      <c r="AE4771" s="223"/>
      <c r="AF4771" s="223"/>
      <c r="AG4771" s="223"/>
      <c r="AH4771" s="341"/>
      <c r="AI4771" s="218"/>
      <c r="AJ4771" s="218"/>
      <c r="AK4771" s="153"/>
      <c r="AL4771" s="152"/>
      <c r="AM4771" s="152"/>
      <c r="AN4771" s="152"/>
      <c r="AO4771" s="152"/>
      <c r="AP4771" s="152"/>
      <c r="AQ4771" s="152"/>
      <c r="AR4771" s="152"/>
      <c r="AS4771" s="152"/>
      <c r="AT4771" s="152"/>
      <c r="AU4771" s="153"/>
      <c r="AV4771" s="479"/>
      <c r="AW4771" s="479"/>
      <c r="AX4771" s="442"/>
      <c r="AY4771" s="153"/>
      <c r="AZ4771" s="152"/>
      <c r="BA4771" s="152"/>
      <c r="BB4771" s="152"/>
      <c r="BC4771" s="152"/>
      <c r="BD4771" s="152"/>
      <c r="BE4771" s="152"/>
      <c r="BF4771" s="152"/>
      <c r="BG4771" s="152"/>
      <c r="BH4771" s="152"/>
      <c r="BI4771" s="153"/>
      <c r="BJ4771" s="153"/>
      <c r="BK4771" s="153"/>
      <c r="BL4771" s="153"/>
      <c r="BM4771" s="153"/>
      <c r="BN4771" s="153"/>
      <c r="BO4771" s="153"/>
      <c r="BP4771" s="153"/>
      <c r="BQ4771" s="153"/>
      <c r="BR4771" s="153"/>
      <c r="BS4771" s="153"/>
      <c r="BT4771" s="153"/>
      <c r="BU4771" s="153"/>
      <c r="BV4771" s="153"/>
      <c r="BW4771" s="153"/>
      <c r="BX4771" s="153"/>
      <c r="BY4771" s="153"/>
      <c r="BZ4771" s="153"/>
      <c r="CA4771" s="152"/>
      <c r="CB4771" s="152"/>
    </row>
    <row r="4772" spans="1:80" s="87" customFormat="1" ht="14.25" customHeight="1" x14ac:dyDescent="0.2">
      <c r="A4772" s="152"/>
      <c r="B4772" s="683"/>
      <c r="C4772" s="683"/>
      <c r="D4772" s="698"/>
      <c r="E4772" s="215"/>
      <c r="F4772" s="215"/>
      <c r="G4772" s="153"/>
      <c r="H4772" s="153"/>
      <c r="I4772" s="306">
        <v>10</v>
      </c>
      <c r="J4772" s="306">
        <v>240</v>
      </c>
      <c r="K4772" s="150">
        <v>1</v>
      </c>
      <c r="L4772" s="656">
        <v>40</v>
      </c>
      <c r="M4772" s="663">
        <v>33735</v>
      </c>
      <c r="N4772" s="600">
        <v>2.2933300000000001</v>
      </c>
      <c r="O4772" s="604">
        <v>8.5649999999999997E-3</v>
      </c>
      <c r="P4772" s="250"/>
      <c r="Q4772" s="250"/>
      <c r="R4772" s="250"/>
      <c r="S4772" s="250"/>
      <c r="T4772" s="250">
        <v>5.7999999999999996E-2</v>
      </c>
      <c r="U4772" s="250">
        <v>0.187</v>
      </c>
      <c r="V4772" s="250">
        <v>0.32700000000000001</v>
      </c>
      <c r="W4772" s="250">
        <v>0.27600000000000002</v>
      </c>
      <c r="X4772" s="250">
        <v>0.14599999999999999</v>
      </c>
      <c r="Y4772" s="250">
        <v>6.0000000000000001E-3</v>
      </c>
      <c r="Z4772" s="150"/>
      <c r="AA4772" s="150">
        <v>1.1599999999999999</v>
      </c>
      <c r="AB4772" s="152"/>
      <c r="AC4772" s="152"/>
      <c r="AD4772" s="223"/>
      <c r="AE4772" s="223"/>
      <c r="AF4772" s="223"/>
      <c r="AG4772" s="223"/>
      <c r="AH4772" s="341"/>
      <c r="AI4772" s="218"/>
      <c r="AJ4772" s="218"/>
      <c r="AK4772" s="153"/>
      <c r="AL4772" s="152"/>
      <c r="AM4772" s="152"/>
      <c r="AN4772" s="152"/>
      <c r="AO4772" s="152"/>
      <c r="AP4772" s="152"/>
      <c r="AQ4772" s="152"/>
      <c r="AR4772" s="152"/>
      <c r="AS4772" s="152"/>
      <c r="AT4772" s="152"/>
      <c r="AU4772" s="153"/>
      <c r="AV4772" s="479"/>
      <c r="AW4772" s="479"/>
      <c r="AX4772" s="442"/>
      <c r="AY4772" s="153"/>
      <c r="AZ4772" s="152"/>
      <c r="BA4772" s="152"/>
      <c r="BB4772" s="152"/>
      <c r="BC4772" s="152"/>
      <c r="BD4772" s="152"/>
      <c r="BE4772" s="152"/>
      <c r="BF4772" s="152"/>
      <c r="BG4772" s="152"/>
      <c r="BH4772" s="152"/>
      <c r="BI4772" s="153"/>
      <c r="BJ4772" s="153"/>
      <c r="BK4772" s="153"/>
      <c r="BL4772" s="153"/>
      <c r="BM4772" s="153"/>
      <c r="BN4772" s="153"/>
      <c r="BO4772" s="153"/>
      <c r="BP4772" s="153"/>
      <c r="BQ4772" s="153"/>
      <c r="BR4772" s="153"/>
      <c r="BS4772" s="153"/>
      <c r="BT4772" s="153"/>
      <c r="BU4772" s="153"/>
      <c r="BV4772" s="153"/>
      <c r="BW4772" s="153"/>
      <c r="BX4772" s="153"/>
      <c r="BY4772" s="153"/>
      <c r="BZ4772" s="153"/>
      <c r="CA4772" s="152"/>
      <c r="CB4772" s="152"/>
    </row>
    <row r="4773" spans="1:80" s="87" customFormat="1" ht="14.25" customHeight="1" x14ac:dyDescent="0.2">
      <c r="A4773" s="152"/>
      <c r="B4773" s="683"/>
      <c r="C4773" s="683"/>
      <c r="D4773" s="698"/>
      <c r="E4773" s="215"/>
      <c r="F4773" s="215"/>
      <c r="G4773" s="153"/>
      <c r="H4773" s="153"/>
      <c r="I4773" s="306">
        <v>10</v>
      </c>
      <c r="J4773" s="306">
        <v>240</v>
      </c>
      <c r="K4773" s="150">
        <v>1</v>
      </c>
      <c r="L4773" s="656">
        <v>40</v>
      </c>
      <c r="M4773" s="663">
        <v>33737</v>
      </c>
      <c r="N4773" s="600">
        <v>1.7837000000000001</v>
      </c>
      <c r="O4773" s="604">
        <v>2.823E-3</v>
      </c>
      <c r="P4773" s="250"/>
      <c r="Q4773" s="250"/>
      <c r="R4773" s="250"/>
      <c r="S4773" s="250"/>
      <c r="T4773" s="250"/>
      <c r="U4773" s="250">
        <v>0.13200000000000001</v>
      </c>
      <c r="V4773" s="250">
        <v>0.33299999999999996</v>
      </c>
      <c r="W4773" s="250">
        <v>0.35</v>
      </c>
      <c r="X4773" s="250">
        <v>0.17800000000000002</v>
      </c>
      <c r="Y4773" s="250">
        <v>6.9999999999999993E-3</v>
      </c>
      <c r="Z4773" s="150"/>
      <c r="AA4773" s="150">
        <v>0.93</v>
      </c>
      <c r="AB4773" s="152"/>
      <c r="AC4773" s="152"/>
      <c r="AD4773" s="223"/>
      <c r="AE4773" s="223"/>
      <c r="AF4773" s="223"/>
      <c r="AG4773" s="223"/>
      <c r="AH4773" s="341"/>
      <c r="AI4773" s="218"/>
      <c r="AJ4773" s="218"/>
      <c r="AK4773" s="153"/>
      <c r="AL4773" s="152"/>
      <c r="AM4773" s="152"/>
      <c r="AN4773" s="152"/>
      <c r="AO4773" s="152"/>
      <c r="AP4773" s="152"/>
      <c r="AQ4773" s="152"/>
      <c r="AR4773" s="152"/>
      <c r="AS4773" s="152"/>
      <c r="AT4773" s="152"/>
      <c r="AU4773" s="153"/>
      <c r="AV4773" s="479"/>
      <c r="AW4773" s="479"/>
      <c r="AX4773" s="442"/>
      <c r="AY4773" s="153"/>
      <c r="AZ4773" s="152"/>
      <c r="BA4773" s="152"/>
      <c r="BB4773" s="152"/>
      <c r="BC4773" s="152"/>
      <c r="BD4773" s="152"/>
      <c r="BE4773" s="152"/>
      <c r="BF4773" s="152"/>
      <c r="BG4773" s="152"/>
      <c r="BH4773" s="152"/>
      <c r="BI4773" s="153"/>
      <c r="BJ4773" s="153"/>
      <c r="BK4773" s="153"/>
      <c r="BL4773" s="153"/>
      <c r="BM4773" s="153"/>
      <c r="BN4773" s="153"/>
      <c r="BO4773" s="153"/>
      <c r="BP4773" s="153"/>
      <c r="BQ4773" s="153"/>
      <c r="BR4773" s="153"/>
      <c r="BS4773" s="153"/>
      <c r="BT4773" s="153"/>
      <c r="BU4773" s="153"/>
      <c r="BV4773" s="153"/>
      <c r="BW4773" s="153"/>
      <c r="BX4773" s="153"/>
      <c r="BY4773" s="153"/>
      <c r="BZ4773" s="153"/>
      <c r="CA4773" s="152"/>
      <c r="CB4773" s="152"/>
    </row>
    <row r="4774" spans="1:80" s="87" customFormat="1" ht="14.25" customHeight="1" x14ac:dyDescent="0.2">
      <c r="A4774" s="152"/>
      <c r="B4774" s="683"/>
      <c r="C4774" s="683"/>
      <c r="D4774" s="698"/>
      <c r="E4774" s="215"/>
      <c r="F4774" s="215"/>
      <c r="G4774" s="153"/>
      <c r="H4774" s="153"/>
      <c r="I4774" s="306">
        <v>10</v>
      </c>
      <c r="J4774" s="306">
        <v>240</v>
      </c>
      <c r="K4774" s="150">
        <v>1</v>
      </c>
      <c r="L4774" s="656">
        <v>40</v>
      </c>
      <c r="M4774" s="663">
        <v>33738</v>
      </c>
      <c r="N4774" s="600">
        <v>1.7270700000000001</v>
      </c>
      <c r="O4774" s="604">
        <v>2.6970000000000002E-3</v>
      </c>
      <c r="P4774" s="250"/>
      <c r="Q4774" s="250"/>
      <c r="R4774" s="250"/>
      <c r="S4774" s="250">
        <v>2.3E-2</v>
      </c>
      <c r="T4774" s="250">
        <v>0.153</v>
      </c>
      <c r="U4774" s="250">
        <v>0.23399999999999999</v>
      </c>
      <c r="V4774" s="250">
        <v>0.26300000000000001</v>
      </c>
      <c r="W4774" s="250">
        <v>0.214</v>
      </c>
      <c r="X4774" s="250">
        <v>0.10400000000000001</v>
      </c>
      <c r="Y4774" s="250">
        <v>8.0000000000000002E-3</v>
      </c>
      <c r="Z4774" s="150"/>
      <c r="AA4774" s="150">
        <v>1.58</v>
      </c>
      <c r="AB4774" s="152"/>
      <c r="AC4774" s="152"/>
      <c r="AD4774" s="223"/>
      <c r="AE4774" s="223"/>
      <c r="AF4774" s="223"/>
      <c r="AG4774" s="223"/>
      <c r="AH4774" s="341"/>
      <c r="AI4774" s="218"/>
      <c r="AJ4774" s="218"/>
      <c r="AK4774" s="153"/>
      <c r="AL4774" s="152"/>
      <c r="AM4774" s="152"/>
      <c r="AN4774" s="152"/>
      <c r="AO4774" s="152"/>
      <c r="AP4774" s="152"/>
      <c r="AQ4774" s="152"/>
      <c r="AR4774" s="152"/>
      <c r="AS4774" s="152"/>
      <c r="AT4774" s="152"/>
      <c r="AU4774" s="153"/>
      <c r="AV4774" s="479"/>
      <c r="AW4774" s="479"/>
      <c r="AX4774" s="442"/>
      <c r="AY4774" s="153"/>
      <c r="AZ4774" s="152"/>
      <c r="BA4774" s="152"/>
      <c r="BB4774" s="152"/>
      <c r="BC4774" s="152"/>
      <c r="BD4774" s="152"/>
      <c r="BE4774" s="152"/>
      <c r="BF4774" s="152"/>
      <c r="BG4774" s="152"/>
      <c r="BH4774" s="152"/>
      <c r="BI4774" s="153"/>
      <c r="BJ4774" s="153"/>
      <c r="BK4774" s="153"/>
      <c r="BL4774" s="153"/>
      <c r="BM4774" s="153"/>
      <c r="BN4774" s="153"/>
      <c r="BO4774" s="153"/>
      <c r="BP4774" s="153"/>
      <c r="BQ4774" s="153"/>
      <c r="BR4774" s="153"/>
      <c r="BS4774" s="153"/>
      <c r="BT4774" s="153"/>
      <c r="BU4774" s="153"/>
      <c r="BV4774" s="153"/>
      <c r="BW4774" s="153"/>
      <c r="BX4774" s="153"/>
      <c r="BY4774" s="153"/>
      <c r="BZ4774" s="153"/>
      <c r="CA4774" s="152"/>
      <c r="CB4774" s="152"/>
    </row>
    <row r="4775" spans="1:80" s="87" customFormat="1" ht="14.25" customHeight="1" x14ac:dyDescent="0.2">
      <c r="A4775" s="152"/>
      <c r="B4775" s="683"/>
      <c r="C4775" s="683"/>
      <c r="D4775" s="698"/>
      <c r="E4775" s="215"/>
      <c r="F4775" s="215"/>
      <c r="G4775" s="153"/>
      <c r="H4775" s="153"/>
      <c r="I4775" s="306">
        <v>10</v>
      </c>
      <c r="J4775" s="306">
        <v>240</v>
      </c>
      <c r="K4775" s="150">
        <v>1</v>
      </c>
      <c r="L4775" s="656">
        <v>40</v>
      </c>
      <c r="M4775" s="663">
        <v>33742</v>
      </c>
      <c r="N4775" s="600">
        <v>2.1800799999999998</v>
      </c>
      <c r="O4775" s="604">
        <v>2.0569999999999998E-3</v>
      </c>
      <c r="P4775" s="250"/>
      <c r="Q4775" s="250"/>
      <c r="R4775" s="250"/>
      <c r="S4775" s="250"/>
      <c r="T4775" s="250">
        <v>0.11</v>
      </c>
      <c r="U4775" s="250">
        <v>0.184</v>
      </c>
      <c r="V4775" s="250">
        <v>0.30399999999999999</v>
      </c>
      <c r="W4775" s="250">
        <v>0.25600000000000001</v>
      </c>
      <c r="X4775" s="250">
        <v>0.13900000000000001</v>
      </c>
      <c r="Y4775" s="250">
        <v>8.0000000000000002E-3</v>
      </c>
      <c r="Z4775" s="150"/>
      <c r="AA4775" s="150">
        <v>1.25</v>
      </c>
      <c r="AB4775" s="152"/>
      <c r="AC4775" s="152"/>
      <c r="AD4775" s="223"/>
      <c r="AE4775" s="223"/>
      <c r="AF4775" s="223"/>
      <c r="AG4775" s="223"/>
      <c r="AH4775" s="341"/>
      <c r="AI4775" s="218"/>
      <c r="AJ4775" s="218"/>
      <c r="AK4775" s="153"/>
      <c r="AL4775" s="152"/>
      <c r="AM4775" s="152"/>
      <c r="AN4775" s="152"/>
      <c r="AO4775" s="152"/>
      <c r="AP4775" s="152"/>
      <c r="AQ4775" s="152"/>
      <c r="AR4775" s="152"/>
      <c r="AS4775" s="152"/>
      <c r="AT4775" s="152"/>
      <c r="AU4775" s="153"/>
      <c r="AV4775" s="479"/>
      <c r="AW4775" s="479"/>
      <c r="AX4775" s="442"/>
      <c r="AY4775" s="153"/>
      <c r="AZ4775" s="152"/>
      <c r="BA4775" s="152"/>
      <c r="BB4775" s="152"/>
      <c r="BC4775" s="152"/>
      <c r="BD4775" s="152"/>
      <c r="BE4775" s="152"/>
      <c r="BF4775" s="152"/>
      <c r="BG4775" s="152"/>
      <c r="BH4775" s="152"/>
      <c r="BI4775" s="153"/>
      <c r="BJ4775" s="153"/>
      <c r="BK4775" s="153"/>
      <c r="BL4775" s="153"/>
      <c r="BM4775" s="153"/>
      <c r="BN4775" s="153"/>
      <c r="BO4775" s="153"/>
      <c r="BP4775" s="153"/>
      <c r="BQ4775" s="153"/>
      <c r="BR4775" s="153"/>
      <c r="BS4775" s="153"/>
      <c r="BT4775" s="153"/>
      <c r="BU4775" s="153"/>
      <c r="BV4775" s="153"/>
      <c r="BW4775" s="153"/>
      <c r="BX4775" s="153"/>
      <c r="BY4775" s="153"/>
      <c r="BZ4775" s="153"/>
      <c r="CA4775" s="152"/>
      <c r="CB4775" s="152"/>
    </row>
    <row r="4776" spans="1:80" s="87" customFormat="1" ht="14.25" customHeight="1" x14ac:dyDescent="0.2">
      <c r="A4776" s="152"/>
      <c r="B4776" s="683"/>
      <c r="C4776" s="683"/>
      <c r="D4776" s="698"/>
      <c r="E4776" s="215"/>
      <c r="F4776" s="215"/>
      <c r="G4776" s="153"/>
      <c r="H4776" s="153"/>
      <c r="I4776" s="306">
        <v>10</v>
      </c>
      <c r="J4776" s="306">
        <v>240</v>
      </c>
      <c r="K4776" s="150">
        <v>1</v>
      </c>
      <c r="L4776" s="656">
        <v>40</v>
      </c>
      <c r="M4776" s="663">
        <v>33744</v>
      </c>
      <c r="N4776" s="600">
        <v>2.6330800000000001</v>
      </c>
      <c r="O4776" s="604">
        <v>4.849E-3</v>
      </c>
      <c r="P4776" s="250"/>
      <c r="Q4776" s="250"/>
      <c r="R4776" s="250"/>
      <c r="S4776" s="250"/>
      <c r="T4776" s="250">
        <v>3.1E-2</v>
      </c>
      <c r="U4776" s="250">
        <v>0.16699999999999998</v>
      </c>
      <c r="V4776" s="250">
        <v>0.35299999999999998</v>
      </c>
      <c r="W4776" s="250">
        <v>0.32400000000000001</v>
      </c>
      <c r="X4776" s="250">
        <v>0.121</v>
      </c>
      <c r="Y4776" s="250">
        <v>5.0000000000000001E-3</v>
      </c>
      <c r="Z4776" s="150"/>
      <c r="AA4776" s="150">
        <v>1.1100000000000001</v>
      </c>
      <c r="AB4776" s="152"/>
      <c r="AC4776" s="152"/>
      <c r="AD4776" s="223"/>
      <c r="AE4776" s="223"/>
      <c r="AF4776" s="223"/>
      <c r="AG4776" s="223"/>
      <c r="AH4776" s="341"/>
      <c r="AI4776" s="218"/>
      <c r="AJ4776" s="218"/>
      <c r="AK4776" s="153"/>
      <c r="AL4776" s="152"/>
      <c r="AM4776" s="152"/>
      <c r="AN4776" s="152"/>
      <c r="AO4776" s="152"/>
      <c r="AP4776" s="152"/>
      <c r="AQ4776" s="152"/>
      <c r="AR4776" s="152"/>
      <c r="AS4776" s="152"/>
      <c r="AT4776" s="152"/>
      <c r="AU4776" s="153"/>
      <c r="AV4776" s="479"/>
      <c r="AW4776" s="479"/>
      <c r="AX4776" s="442"/>
      <c r="AY4776" s="153"/>
      <c r="AZ4776" s="152"/>
      <c r="BA4776" s="152"/>
      <c r="BB4776" s="152"/>
      <c r="BC4776" s="152"/>
      <c r="BD4776" s="152"/>
      <c r="BE4776" s="152"/>
      <c r="BF4776" s="152"/>
      <c r="BG4776" s="152"/>
      <c r="BH4776" s="152"/>
      <c r="BI4776" s="153"/>
      <c r="BJ4776" s="153"/>
      <c r="BK4776" s="153"/>
      <c r="BL4776" s="153"/>
      <c r="BM4776" s="153"/>
      <c r="BN4776" s="153"/>
      <c r="BO4776" s="153"/>
      <c r="BP4776" s="153"/>
      <c r="BQ4776" s="153"/>
      <c r="BR4776" s="153"/>
      <c r="BS4776" s="153"/>
      <c r="BT4776" s="153"/>
      <c r="BU4776" s="153"/>
      <c r="BV4776" s="153"/>
      <c r="BW4776" s="153"/>
      <c r="BX4776" s="153"/>
      <c r="BY4776" s="153"/>
      <c r="BZ4776" s="153"/>
      <c r="CA4776" s="152"/>
      <c r="CB4776" s="152"/>
    </row>
    <row r="4777" spans="1:80" s="87" customFormat="1" ht="14.25" customHeight="1" x14ac:dyDescent="0.2">
      <c r="A4777" s="152"/>
      <c r="B4777" s="683"/>
      <c r="C4777" s="683"/>
      <c r="D4777" s="698"/>
      <c r="E4777" s="215"/>
      <c r="F4777" s="215"/>
      <c r="G4777" s="153"/>
      <c r="H4777" s="153"/>
      <c r="I4777" s="306">
        <v>10</v>
      </c>
      <c r="J4777" s="306">
        <v>240</v>
      </c>
      <c r="K4777" s="150">
        <v>1</v>
      </c>
      <c r="L4777" s="656">
        <v>40</v>
      </c>
      <c r="M4777" s="663">
        <v>33750</v>
      </c>
      <c r="N4777" s="600">
        <v>2.1800799999999998</v>
      </c>
      <c r="O4777" s="604">
        <v>1.024E-3</v>
      </c>
      <c r="P4777" s="250"/>
      <c r="Q4777" s="250"/>
      <c r="R4777" s="250"/>
      <c r="S4777" s="250"/>
      <c r="T4777" s="250">
        <v>9.9000000000000005E-2</v>
      </c>
      <c r="U4777" s="250">
        <v>0.28499999999999998</v>
      </c>
      <c r="V4777" s="250">
        <v>0.317</v>
      </c>
      <c r="W4777" s="250">
        <v>0.20800000000000002</v>
      </c>
      <c r="X4777" s="250">
        <v>8.900000000000001E-2</v>
      </c>
      <c r="Y4777" s="250">
        <v>2E-3</v>
      </c>
      <c r="Z4777" s="150"/>
      <c r="AA4777" s="150">
        <v>1.55</v>
      </c>
      <c r="AB4777" s="152"/>
      <c r="AC4777" s="152"/>
      <c r="AD4777" s="223"/>
      <c r="AE4777" s="223"/>
      <c r="AF4777" s="223"/>
      <c r="AG4777" s="223"/>
      <c r="AH4777" s="341"/>
      <c r="AI4777" s="218"/>
      <c r="AJ4777" s="218"/>
      <c r="AK4777" s="153"/>
      <c r="AL4777" s="152"/>
      <c r="AM4777" s="152"/>
      <c r="AN4777" s="152"/>
      <c r="AO4777" s="152"/>
      <c r="AP4777" s="152"/>
      <c r="AQ4777" s="152"/>
      <c r="AR4777" s="152"/>
      <c r="AS4777" s="152"/>
      <c r="AT4777" s="152"/>
      <c r="AU4777" s="153"/>
      <c r="AV4777" s="479"/>
      <c r="AW4777" s="479"/>
      <c r="AX4777" s="442"/>
      <c r="AY4777" s="153"/>
      <c r="AZ4777" s="152"/>
      <c r="BA4777" s="152"/>
      <c r="BB4777" s="152"/>
      <c r="BC4777" s="152"/>
      <c r="BD4777" s="152"/>
      <c r="BE4777" s="152"/>
      <c r="BF4777" s="152"/>
      <c r="BG4777" s="152"/>
      <c r="BH4777" s="152"/>
      <c r="BI4777" s="153"/>
      <c r="BJ4777" s="153"/>
      <c r="BK4777" s="153"/>
      <c r="BL4777" s="153"/>
      <c r="BM4777" s="153"/>
      <c r="BN4777" s="153"/>
      <c r="BO4777" s="153"/>
      <c r="BP4777" s="153"/>
      <c r="BQ4777" s="153"/>
      <c r="BR4777" s="153"/>
      <c r="BS4777" s="153"/>
      <c r="BT4777" s="153"/>
      <c r="BU4777" s="153"/>
      <c r="BV4777" s="153"/>
      <c r="BW4777" s="153"/>
      <c r="BX4777" s="153"/>
      <c r="BY4777" s="153"/>
      <c r="BZ4777" s="153"/>
      <c r="CA4777" s="152"/>
      <c r="CB4777" s="152"/>
    </row>
    <row r="4778" spans="1:80" s="87" customFormat="1" ht="14.25" customHeight="1" x14ac:dyDescent="0.2">
      <c r="A4778" s="152"/>
      <c r="B4778" s="683"/>
      <c r="C4778" s="683"/>
      <c r="D4778" s="698"/>
      <c r="E4778" s="215"/>
      <c r="F4778" s="215"/>
      <c r="G4778" s="153"/>
      <c r="H4778" s="153"/>
      <c r="I4778" s="306">
        <v>10</v>
      </c>
      <c r="J4778" s="306">
        <v>240</v>
      </c>
      <c r="K4778" s="150">
        <v>1</v>
      </c>
      <c r="L4778" s="656">
        <v>40</v>
      </c>
      <c r="M4778" s="663">
        <v>33752</v>
      </c>
      <c r="N4778" s="600">
        <v>1.7837000000000001</v>
      </c>
      <c r="O4778" s="604">
        <v>1.6069999999999999E-3</v>
      </c>
      <c r="P4778" s="250"/>
      <c r="Q4778" s="250"/>
      <c r="R4778" s="250"/>
      <c r="S4778" s="250"/>
      <c r="T4778" s="250">
        <v>0.02</v>
      </c>
      <c r="U4778" s="250">
        <v>0.13300000000000001</v>
      </c>
      <c r="V4778" s="250">
        <v>0.35399999999999998</v>
      </c>
      <c r="W4778" s="250">
        <v>0.33799999999999997</v>
      </c>
      <c r="X4778" s="250">
        <v>0.14499999999999999</v>
      </c>
      <c r="Y4778" s="250">
        <v>9.0000000000000011E-3</v>
      </c>
      <c r="Z4778" s="150"/>
      <c r="AA4778" s="150">
        <v>1.01</v>
      </c>
      <c r="AB4778" s="152"/>
      <c r="AC4778" s="152"/>
      <c r="AD4778" s="223"/>
      <c r="AE4778" s="223"/>
      <c r="AF4778" s="223"/>
      <c r="AG4778" s="223"/>
      <c r="AH4778" s="341"/>
      <c r="AI4778" s="218"/>
      <c r="AJ4778" s="218"/>
      <c r="AK4778" s="153"/>
      <c r="AL4778" s="152"/>
      <c r="AM4778" s="152"/>
      <c r="AN4778" s="152"/>
      <c r="AO4778" s="152"/>
      <c r="AP4778" s="152"/>
      <c r="AQ4778" s="152"/>
      <c r="AR4778" s="152"/>
      <c r="AS4778" s="152"/>
      <c r="AT4778" s="152"/>
      <c r="AU4778" s="153"/>
      <c r="AV4778" s="479"/>
      <c r="AW4778" s="479"/>
      <c r="AX4778" s="442"/>
      <c r="AY4778" s="153"/>
      <c r="AZ4778" s="152"/>
      <c r="BA4778" s="152"/>
      <c r="BB4778" s="152"/>
      <c r="BC4778" s="152"/>
      <c r="BD4778" s="152"/>
      <c r="BE4778" s="152"/>
      <c r="BF4778" s="152"/>
      <c r="BG4778" s="152"/>
      <c r="BH4778" s="152"/>
      <c r="BI4778" s="153"/>
      <c r="BJ4778" s="153"/>
      <c r="BK4778" s="153"/>
      <c r="BL4778" s="153"/>
      <c r="BM4778" s="153"/>
      <c r="BN4778" s="153"/>
      <c r="BO4778" s="153"/>
      <c r="BP4778" s="153"/>
      <c r="BQ4778" s="153"/>
      <c r="BR4778" s="153"/>
      <c r="BS4778" s="153"/>
      <c r="BT4778" s="153"/>
      <c r="BU4778" s="153"/>
      <c r="BV4778" s="153"/>
      <c r="BW4778" s="153"/>
      <c r="BX4778" s="153"/>
      <c r="BY4778" s="153"/>
      <c r="BZ4778" s="153"/>
      <c r="CA4778" s="152"/>
      <c r="CB4778" s="152"/>
    </row>
    <row r="4779" spans="1:80" s="87" customFormat="1" ht="14.25" customHeight="1" x14ac:dyDescent="0.2">
      <c r="A4779" s="152"/>
      <c r="B4779" s="683"/>
      <c r="C4779" s="683"/>
      <c r="D4779" s="698"/>
      <c r="E4779" s="215"/>
      <c r="F4779" s="215"/>
      <c r="G4779" s="153"/>
      <c r="H4779" s="153"/>
      <c r="I4779" s="306">
        <v>10</v>
      </c>
      <c r="J4779" s="306">
        <v>240</v>
      </c>
      <c r="K4779" s="150">
        <v>1</v>
      </c>
      <c r="L4779" s="656">
        <v>40</v>
      </c>
      <c r="M4779" s="663">
        <v>33755</v>
      </c>
      <c r="N4779" s="600">
        <v>1.3873200000000001</v>
      </c>
      <c r="O4779" s="604">
        <v>3.8000000000000002E-4</v>
      </c>
      <c r="P4779" s="250"/>
      <c r="Q4779" s="250"/>
      <c r="R4779" s="250"/>
      <c r="S4779" s="250"/>
      <c r="T4779" s="250"/>
      <c r="U4779" s="250"/>
      <c r="V4779" s="250">
        <v>0</v>
      </c>
      <c r="W4779" s="250">
        <v>0.22699999999999998</v>
      </c>
      <c r="X4779" s="250">
        <v>0.50600000000000001</v>
      </c>
      <c r="Y4779" s="250">
        <v>0.26800000000000002</v>
      </c>
      <c r="Z4779" s="150"/>
      <c r="AA4779" s="150">
        <v>0.34</v>
      </c>
      <c r="AB4779" s="152"/>
      <c r="AC4779" s="152"/>
      <c r="AD4779" s="223"/>
      <c r="AE4779" s="223"/>
      <c r="AF4779" s="223"/>
      <c r="AG4779" s="223"/>
      <c r="AH4779" s="341"/>
      <c r="AI4779" s="218"/>
      <c r="AJ4779" s="218"/>
      <c r="AK4779" s="153"/>
      <c r="AL4779" s="152"/>
      <c r="AM4779" s="152"/>
      <c r="AN4779" s="152"/>
      <c r="AO4779" s="152"/>
      <c r="AP4779" s="152"/>
      <c r="AQ4779" s="152"/>
      <c r="AR4779" s="152"/>
      <c r="AS4779" s="152"/>
      <c r="AT4779" s="152"/>
      <c r="AU4779" s="153"/>
      <c r="AV4779" s="479"/>
      <c r="AW4779" s="479"/>
      <c r="AX4779" s="442"/>
      <c r="AY4779" s="153"/>
      <c r="AZ4779" s="152"/>
      <c r="BA4779" s="152"/>
      <c r="BB4779" s="152"/>
      <c r="BC4779" s="152"/>
      <c r="BD4779" s="152"/>
      <c r="BE4779" s="152"/>
      <c r="BF4779" s="152"/>
      <c r="BG4779" s="152"/>
      <c r="BH4779" s="152"/>
      <c r="BI4779" s="153"/>
      <c r="BJ4779" s="153"/>
      <c r="BK4779" s="153"/>
      <c r="BL4779" s="153"/>
      <c r="BM4779" s="153"/>
      <c r="BN4779" s="153"/>
      <c r="BO4779" s="153"/>
      <c r="BP4779" s="153"/>
      <c r="BQ4779" s="153"/>
      <c r="BR4779" s="153"/>
      <c r="BS4779" s="153"/>
      <c r="BT4779" s="153"/>
      <c r="BU4779" s="153"/>
      <c r="BV4779" s="153"/>
      <c r="BW4779" s="153"/>
      <c r="BX4779" s="153"/>
      <c r="BY4779" s="153"/>
      <c r="BZ4779" s="153"/>
      <c r="CA4779" s="152"/>
      <c r="CB4779" s="152"/>
    </row>
    <row r="4780" spans="1:80" s="87" customFormat="1" ht="14.25" customHeight="1" x14ac:dyDescent="0.2">
      <c r="A4780" s="152"/>
      <c r="B4780" s="683"/>
      <c r="C4780" s="683"/>
      <c r="D4780" s="698"/>
      <c r="E4780" s="215"/>
      <c r="F4780" s="215"/>
      <c r="G4780" s="153"/>
      <c r="H4780" s="153"/>
      <c r="I4780" s="306">
        <v>10</v>
      </c>
      <c r="J4780" s="306">
        <v>240</v>
      </c>
      <c r="K4780" s="150">
        <v>1</v>
      </c>
      <c r="L4780" s="656">
        <v>40</v>
      </c>
      <c r="M4780" s="663">
        <v>34072</v>
      </c>
      <c r="N4780" s="600">
        <v>0.84938000000000002</v>
      </c>
      <c r="O4780" s="604">
        <v>1.732E-3</v>
      </c>
      <c r="P4780" s="250"/>
      <c r="Q4780" s="250"/>
      <c r="R4780" s="250"/>
      <c r="S4780" s="250"/>
      <c r="T4780" s="250">
        <v>5.0000000000000001E-3</v>
      </c>
      <c r="U4780" s="250">
        <v>0.05</v>
      </c>
      <c r="V4780" s="250">
        <v>0.151</v>
      </c>
      <c r="W4780" s="250">
        <v>0.40100000000000002</v>
      </c>
      <c r="X4780" s="250">
        <v>0.38500000000000001</v>
      </c>
      <c r="Y4780" s="250">
        <v>9.0000000000000011E-3</v>
      </c>
      <c r="Z4780" s="150"/>
      <c r="AA4780" s="150">
        <v>0.6</v>
      </c>
      <c r="AB4780" s="152"/>
      <c r="AC4780" s="152"/>
      <c r="AD4780" s="223"/>
      <c r="AE4780" s="223"/>
      <c r="AF4780" s="223"/>
      <c r="AG4780" s="223"/>
      <c r="AH4780" s="341"/>
      <c r="AI4780" s="218"/>
      <c r="AJ4780" s="218"/>
      <c r="AK4780" s="153"/>
      <c r="AL4780" s="152"/>
      <c r="AM4780" s="152"/>
      <c r="AN4780" s="152"/>
      <c r="AO4780" s="152"/>
      <c r="AP4780" s="152"/>
      <c r="AQ4780" s="152"/>
      <c r="AR4780" s="152"/>
      <c r="AS4780" s="152"/>
      <c r="AT4780" s="152"/>
      <c r="AU4780" s="153"/>
      <c r="AV4780" s="479"/>
      <c r="AW4780" s="479"/>
      <c r="AX4780" s="442"/>
      <c r="AY4780" s="153"/>
      <c r="AZ4780" s="152"/>
      <c r="BA4780" s="152"/>
      <c r="BB4780" s="152"/>
      <c r="BC4780" s="152"/>
      <c r="BD4780" s="152"/>
      <c r="BE4780" s="152"/>
      <c r="BF4780" s="152"/>
      <c r="BG4780" s="152"/>
      <c r="BH4780" s="152"/>
      <c r="BI4780" s="153"/>
      <c r="BJ4780" s="153"/>
      <c r="BK4780" s="153"/>
      <c r="BL4780" s="153"/>
      <c r="BM4780" s="153"/>
      <c r="BN4780" s="153"/>
      <c r="BO4780" s="153"/>
      <c r="BP4780" s="153"/>
      <c r="BQ4780" s="153"/>
      <c r="BR4780" s="153"/>
      <c r="BS4780" s="153"/>
      <c r="BT4780" s="153"/>
      <c r="BU4780" s="153"/>
      <c r="BV4780" s="153"/>
      <c r="BW4780" s="153"/>
      <c r="BX4780" s="153"/>
      <c r="BY4780" s="153"/>
      <c r="BZ4780" s="153"/>
      <c r="CA4780" s="152"/>
      <c r="CB4780" s="152"/>
    </row>
    <row r="4781" spans="1:80" s="87" customFormat="1" ht="14.25" customHeight="1" x14ac:dyDescent="0.2">
      <c r="A4781" s="152"/>
      <c r="B4781" s="683"/>
      <c r="C4781" s="683"/>
      <c r="D4781" s="698"/>
      <c r="E4781" s="215"/>
      <c r="F4781" s="215"/>
      <c r="G4781" s="153"/>
      <c r="H4781" s="153"/>
      <c r="I4781" s="306">
        <v>10</v>
      </c>
      <c r="J4781" s="306">
        <v>240</v>
      </c>
      <c r="K4781" s="150">
        <v>1</v>
      </c>
      <c r="L4781" s="656">
        <v>40</v>
      </c>
      <c r="M4781" s="663">
        <v>34079</v>
      </c>
      <c r="N4781" s="600">
        <v>0.93432000000000004</v>
      </c>
      <c r="O4781" s="604">
        <v>3.705E-3</v>
      </c>
      <c r="P4781" s="250"/>
      <c r="Q4781" s="250"/>
      <c r="R4781" s="250"/>
      <c r="S4781" s="250">
        <v>6.7000000000000004E-2</v>
      </c>
      <c r="T4781" s="250">
        <v>0.16500000000000001</v>
      </c>
      <c r="U4781" s="250">
        <v>0.16200000000000001</v>
      </c>
      <c r="V4781" s="250">
        <v>0.217</v>
      </c>
      <c r="W4781" s="250">
        <v>0.23800000000000002</v>
      </c>
      <c r="X4781" s="250">
        <v>0.14499999999999999</v>
      </c>
      <c r="Y4781" s="250">
        <v>1.1000000000000001E-2</v>
      </c>
      <c r="Z4781" s="150"/>
      <c r="AA4781" s="150">
        <v>1.43</v>
      </c>
      <c r="AB4781" s="152"/>
      <c r="AC4781" s="152"/>
      <c r="AD4781" s="223"/>
      <c r="AE4781" s="223"/>
      <c r="AF4781" s="223"/>
      <c r="AG4781" s="223"/>
      <c r="AH4781" s="341"/>
      <c r="AI4781" s="218"/>
      <c r="AJ4781" s="218"/>
      <c r="AK4781" s="153"/>
      <c r="AL4781" s="152"/>
      <c r="AM4781" s="152"/>
      <c r="AN4781" s="152"/>
      <c r="AO4781" s="152"/>
      <c r="AP4781" s="152"/>
      <c r="AQ4781" s="152"/>
      <c r="AR4781" s="152"/>
      <c r="AS4781" s="152"/>
      <c r="AT4781" s="152"/>
      <c r="AU4781" s="153"/>
      <c r="AV4781" s="479"/>
      <c r="AW4781" s="479"/>
      <c r="AX4781" s="442"/>
      <c r="AY4781" s="153"/>
      <c r="AZ4781" s="152"/>
      <c r="BA4781" s="152"/>
      <c r="BB4781" s="152"/>
      <c r="BC4781" s="152"/>
      <c r="BD4781" s="152"/>
      <c r="BE4781" s="152"/>
      <c r="BF4781" s="152"/>
      <c r="BG4781" s="152"/>
      <c r="BH4781" s="152"/>
      <c r="BI4781" s="153"/>
      <c r="BJ4781" s="153"/>
      <c r="BK4781" s="153"/>
      <c r="BL4781" s="153"/>
      <c r="BM4781" s="153"/>
      <c r="BN4781" s="153"/>
      <c r="BO4781" s="153"/>
      <c r="BP4781" s="153"/>
      <c r="BQ4781" s="153"/>
      <c r="BR4781" s="153"/>
      <c r="BS4781" s="153"/>
      <c r="BT4781" s="153"/>
      <c r="BU4781" s="153"/>
      <c r="BV4781" s="153"/>
      <c r="BW4781" s="153"/>
      <c r="BX4781" s="153"/>
      <c r="BY4781" s="153"/>
      <c r="BZ4781" s="153"/>
      <c r="CA4781" s="152"/>
      <c r="CB4781" s="152"/>
    </row>
    <row r="4782" spans="1:80" s="87" customFormat="1" ht="14.25" customHeight="1" x14ac:dyDescent="0.2">
      <c r="A4782" s="152"/>
      <c r="B4782" s="683"/>
      <c r="C4782" s="683"/>
      <c r="D4782" s="698"/>
      <c r="E4782" s="215"/>
      <c r="F4782" s="215"/>
      <c r="G4782" s="153"/>
      <c r="H4782" s="153"/>
      <c r="I4782" s="306">
        <v>10</v>
      </c>
      <c r="J4782" s="306">
        <v>240</v>
      </c>
      <c r="K4782" s="150">
        <v>1</v>
      </c>
      <c r="L4782" s="656">
        <v>40</v>
      </c>
      <c r="M4782" s="663">
        <v>34083</v>
      </c>
      <c r="N4782" s="600">
        <v>0.93432000000000004</v>
      </c>
      <c r="O4782" s="604">
        <v>1.0160000000000001E-2</v>
      </c>
      <c r="P4782" s="250"/>
      <c r="Q4782" s="250"/>
      <c r="R4782" s="250"/>
      <c r="S4782" s="250">
        <v>1.3999999999999999E-2</v>
      </c>
      <c r="T4782" s="250">
        <v>0.19899999999999998</v>
      </c>
      <c r="U4782" s="250">
        <v>0.28499999999999998</v>
      </c>
      <c r="V4782" s="250">
        <v>0.29299999999999998</v>
      </c>
      <c r="W4782" s="250">
        <v>0.14899999999999999</v>
      </c>
      <c r="X4782" s="250">
        <v>5.4000000000000006E-2</v>
      </c>
      <c r="Y4782" s="250">
        <v>5.0000000000000001E-3</v>
      </c>
      <c r="Z4782" s="150"/>
      <c r="AA4782" s="150">
        <v>1.99</v>
      </c>
      <c r="AB4782" s="152"/>
      <c r="AC4782" s="152"/>
      <c r="AD4782" s="223"/>
      <c r="AE4782" s="223"/>
      <c r="AF4782" s="223"/>
      <c r="AG4782" s="223"/>
      <c r="AH4782" s="341"/>
      <c r="AI4782" s="218"/>
      <c r="AJ4782" s="218"/>
      <c r="AK4782" s="153"/>
      <c r="AL4782" s="152"/>
      <c r="AM4782" s="152"/>
      <c r="AN4782" s="152"/>
      <c r="AO4782" s="152"/>
      <c r="AP4782" s="152"/>
      <c r="AQ4782" s="152"/>
      <c r="AR4782" s="152"/>
      <c r="AS4782" s="152"/>
      <c r="AT4782" s="152"/>
      <c r="AU4782" s="153"/>
      <c r="AV4782" s="479"/>
      <c r="AW4782" s="479"/>
      <c r="AX4782" s="442"/>
      <c r="AY4782" s="153"/>
      <c r="AZ4782" s="152"/>
      <c r="BA4782" s="152"/>
      <c r="BB4782" s="152"/>
      <c r="BC4782" s="152"/>
      <c r="BD4782" s="152"/>
      <c r="BE4782" s="152"/>
      <c r="BF4782" s="152"/>
      <c r="BG4782" s="152"/>
      <c r="BH4782" s="152"/>
      <c r="BI4782" s="153"/>
      <c r="BJ4782" s="153"/>
      <c r="BK4782" s="153"/>
      <c r="BL4782" s="153"/>
      <c r="BM4782" s="153"/>
      <c r="BN4782" s="153"/>
      <c r="BO4782" s="153"/>
      <c r="BP4782" s="153"/>
      <c r="BQ4782" s="153"/>
      <c r="BR4782" s="153"/>
      <c r="BS4782" s="153"/>
      <c r="BT4782" s="153"/>
      <c r="BU4782" s="153"/>
      <c r="BV4782" s="153"/>
      <c r="BW4782" s="153"/>
      <c r="BX4782" s="153"/>
      <c r="BY4782" s="153"/>
      <c r="BZ4782" s="153"/>
      <c r="CA4782" s="152"/>
      <c r="CB4782" s="152"/>
    </row>
    <row r="4783" spans="1:80" s="87" customFormat="1" ht="14.25" customHeight="1" x14ac:dyDescent="0.2">
      <c r="A4783" s="152"/>
      <c r="B4783" s="683"/>
      <c r="C4783" s="683"/>
      <c r="D4783" s="698"/>
      <c r="E4783" s="215"/>
      <c r="F4783" s="215"/>
      <c r="G4783" s="153"/>
      <c r="H4783" s="153"/>
      <c r="I4783" s="306">
        <v>10</v>
      </c>
      <c r="J4783" s="306">
        <v>240</v>
      </c>
      <c r="K4783" s="150">
        <v>1</v>
      </c>
      <c r="L4783" s="656">
        <v>40</v>
      </c>
      <c r="M4783" s="663">
        <v>34086</v>
      </c>
      <c r="N4783" s="600">
        <v>1.1325099999999999</v>
      </c>
      <c r="O4783" s="604">
        <v>3.7889999999999998E-3</v>
      </c>
      <c r="P4783" s="250"/>
      <c r="Q4783" s="250"/>
      <c r="R4783" s="250"/>
      <c r="S4783" s="250"/>
      <c r="T4783" s="250">
        <v>0.17</v>
      </c>
      <c r="U4783" s="250">
        <v>0.48499999999999999</v>
      </c>
      <c r="V4783" s="250">
        <v>0.223</v>
      </c>
      <c r="W4783" s="250">
        <v>8.6999999999999994E-2</v>
      </c>
      <c r="X4783" s="250">
        <v>3.4000000000000002E-2</v>
      </c>
      <c r="Y4783" s="250">
        <v>2E-3</v>
      </c>
      <c r="Z4783" s="150"/>
      <c r="AA4783" s="150">
        <v>2.5</v>
      </c>
      <c r="AB4783" s="152"/>
      <c r="AC4783" s="152"/>
      <c r="AD4783" s="223"/>
      <c r="AE4783" s="223"/>
      <c r="AF4783" s="223"/>
      <c r="AG4783" s="223"/>
      <c r="AH4783" s="341"/>
      <c r="AI4783" s="218"/>
      <c r="AJ4783" s="218"/>
      <c r="AK4783" s="153"/>
      <c r="AL4783" s="152"/>
      <c r="AM4783" s="152"/>
      <c r="AN4783" s="152"/>
      <c r="AO4783" s="152"/>
      <c r="AP4783" s="152"/>
      <c r="AQ4783" s="152"/>
      <c r="AR4783" s="152"/>
      <c r="AS4783" s="152"/>
      <c r="AT4783" s="152"/>
      <c r="AU4783" s="153"/>
      <c r="AV4783" s="479"/>
      <c r="AW4783" s="479"/>
      <c r="AX4783" s="442"/>
      <c r="AY4783" s="153"/>
      <c r="AZ4783" s="152"/>
      <c r="BA4783" s="152"/>
      <c r="BB4783" s="152"/>
      <c r="BC4783" s="152"/>
      <c r="BD4783" s="152"/>
      <c r="BE4783" s="152"/>
      <c r="BF4783" s="152"/>
      <c r="BG4783" s="152"/>
      <c r="BH4783" s="152"/>
      <c r="BI4783" s="153"/>
      <c r="BJ4783" s="153"/>
      <c r="BK4783" s="153"/>
      <c r="BL4783" s="153"/>
      <c r="BM4783" s="153"/>
      <c r="BN4783" s="153"/>
      <c r="BO4783" s="153"/>
      <c r="BP4783" s="153"/>
      <c r="BQ4783" s="153"/>
      <c r="BR4783" s="153"/>
      <c r="BS4783" s="153"/>
      <c r="BT4783" s="153"/>
      <c r="BU4783" s="153"/>
      <c r="BV4783" s="153"/>
      <c r="BW4783" s="153"/>
      <c r="BX4783" s="153"/>
      <c r="BY4783" s="153"/>
      <c r="BZ4783" s="153"/>
      <c r="CA4783" s="152"/>
      <c r="CB4783" s="152"/>
    </row>
    <row r="4784" spans="1:80" s="87" customFormat="1" ht="14.25" customHeight="1" x14ac:dyDescent="0.2">
      <c r="A4784" s="152"/>
      <c r="B4784" s="683"/>
      <c r="C4784" s="683"/>
      <c r="D4784" s="698"/>
      <c r="E4784" s="215"/>
      <c r="F4784" s="215"/>
      <c r="G4784" s="153"/>
      <c r="H4784" s="153"/>
      <c r="I4784" s="306">
        <v>10</v>
      </c>
      <c r="J4784" s="306">
        <v>240</v>
      </c>
      <c r="K4784" s="150">
        <v>1</v>
      </c>
      <c r="L4784" s="656">
        <v>40</v>
      </c>
      <c r="M4784" s="663">
        <v>34095</v>
      </c>
      <c r="N4784" s="600">
        <v>1.8969499999999999</v>
      </c>
      <c r="O4784" s="604">
        <v>2.036E-3</v>
      </c>
      <c r="P4784" s="250"/>
      <c r="Q4784" s="250"/>
      <c r="R4784" s="250"/>
      <c r="S4784" s="250"/>
      <c r="T4784" s="250">
        <v>4.5999999999999999E-2</v>
      </c>
      <c r="U4784" s="250">
        <v>0.17</v>
      </c>
      <c r="V4784" s="250">
        <v>0.28600000000000003</v>
      </c>
      <c r="W4784" s="250">
        <v>0.36799999999999999</v>
      </c>
      <c r="X4784" s="250">
        <v>0.13</v>
      </c>
      <c r="Y4784" s="250">
        <v>0</v>
      </c>
      <c r="Z4784" s="150"/>
      <c r="AA4784" s="150">
        <v>1</v>
      </c>
      <c r="AB4784" s="152"/>
      <c r="AC4784" s="152"/>
      <c r="AD4784" s="223"/>
      <c r="AE4784" s="223"/>
      <c r="AF4784" s="223"/>
      <c r="AG4784" s="223"/>
      <c r="AH4784" s="341"/>
      <c r="AI4784" s="218"/>
      <c r="AJ4784" s="218"/>
      <c r="AK4784" s="153"/>
      <c r="AL4784" s="152"/>
      <c r="AM4784" s="152"/>
      <c r="AN4784" s="152"/>
      <c r="AO4784" s="152"/>
      <c r="AP4784" s="152"/>
      <c r="AQ4784" s="152"/>
      <c r="AR4784" s="152"/>
      <c r="AS4784" s="152"/>
      <c r="AT4784" s="152"/>
      <c r="AU4784" s="153"/>
      <c r="AV4784" s="479"/>
      <c r="AW4784" s="479"/>
      <c r="AX4784" s="442"/>
      <c r="AY4784" s="153"/>
      <c r="AZ4784" s="152"/>
      <c r="BA4784" s="152"/>
      <c r="BB4784" s="152"/>
      <c r="BC4784" s="152"/>
      <c r="BD4784" s="152"/>
      <c r="BE4784" s="152"/>
      <c r="BF4784" s="152"/>
      <c r="BG4784" s="152"/>
      <c r="BH4784" s="152"/>
      <c r="BI4784" s="153"/>
      <c r="BJ4784" s="153"/>
      <c r="BK4784" s="153"/>
      <c r="BL4784" s="153"/>
      <c r="BM4784" s="153"/>
      <c r="BN4784" s="153"/>
      <c r="BO4784" s="153"/>
      <c r="BP4784" s="153"/>
      <c r="BQ4784" s="153"/>
      <c r="BR4784" s="153"/>
      <c r="BS4784" s="153"/>
      <c r="BT4784" s="153"/>
      <c r="BU4784" s="153"/>
      <c r="BV4784" s="153"/>
      <c r="BW4784" s="153"/>
      <c r="BX4784" s="153"/>
      <c r="BY4784" s="153"/>
      <c r="BZ4784" s="153"/>
      <c r="CA4784" s="152"/>
      <c r="CB4784" s="152"/>
    </row>
    <row r="4785" spans="1:80" s="87" customFormat="1" ht="14.25" customHeight="1" x14ac:dyDescent="0.2">
      <c r="A4785" s="152"/>
      <c r="B4785" s="683"/>
      <c r="C4785" s="683"/>
      <c r="D4785" s="698"/>
      <c r="E4785" s="215"/>
      <c r="F4785" s="215"/>
      <c r="G4785" s="153"/>
      <c r="H4785" s="153"/>
      <c r="I4785" s="306">
        <v>10</v>
      </c>
      <c r="J4785" s="306">
        <v>120</v>
      </c>
      <c r="K4785" s="150">
        <v>1</v>
      </c>
      <c r="L4785" s="656">
        <v>20</v>
      </c>
      <c r="M4785" s="663">
        <v>34101</v>
      </c>
      <c r="N4785" s="600">
        <v>3.2276500000000001</v>
      </c>
      <c r="O4785" s="604">
        <v>1.9732E-2</v>
      </c>
      <c r="P4785" s="250"/>
      <c r="Q4785" s="250"/>
      <c r="R4785" s="250"/>
      <c r="S4785" s="250">
        <v>1.7000000000000001E-2</v>
      </c>
      <c r="T4785" s="250">
        <v>9.6999999999999989E-2</v>
      </c>
      <c r="U4785" s="250">
        <v>0.22699999999999998</v>
      </c>
      <c r="V4785" s="250">
        <v>0.26200000000000001</v>
      </c>
      <c r="W4785" s="250">
        <v>0.26500000000000001</v>
      </c>
      <c r="X4785" s="250">
        <v>0.124</v>
      </c>
      <c r="Y4785" s="250">
        <v>8.0000000000000002E-3</v>
      </c>
      <c r="Z4785" s="150"/>
      <c r="AA4785" s="150">
        <v>1.31</v>
      </c>
      <c r="AB4785" s="152"/>
      <c r="AC4785" s="152"/>
      <c r="AD4785" s="223"/>
      <c r="AE4785" s="223"/>
      <c r="AF4785" s="223"/>
      <c r="AG4785" s="223"/>
      <c r="AH4785" s="341"/>
      <c r="AI4785" s="218"/>
      <c r="AJ4785" s="218"/>
      <c r="AK4785" s="153"/>
      <c r="AL4785" s="152"/>
      <c r="AM4785" s="152"/>
      <c r="AN4785" s="152"/>
      <c r="AO4785" s="152"/>
      <c r="AP4785" s="152"/>
      <c r="AQ4785" s="152"/>
      <c r="AR4785" s="152"/>
      <c r="AS4785" s="152"/>
      <c r="AT4785" s="152"/>
      <c r="AU4785" s="153"/>
      <c r="AV4785" s="479"/>
      <c r="AW4785" s="479"/>
      <c r="AX4785" s="442"/>
      <c r="AY4785" s="153"/>
      <c r="AZ4785" s="152"/>
      <c r="BA4785" s="152"/>
      <c r="BB4785" s="152"/>
      <c r="BC4785" s="152"/>
      <c r="BD4785" s="152"/>
      <c r="BE4785" s="152"/>
      <c r="BF4785" s="152"/>
      <c r="BG4785" s="152"/>
      <c r="BH4785" s="152"/>
      <c r="BI4785" s="153"/>
      <c r="BJ4785" s="153"/>
      <c r="BK4785" s="153"/>
      <c r="BL4785" s="153"/>
      <c r="BM4785" s="153"/>
      <c r="BN4785" s="153"/>
      <c r="BO4785" s="153"/>
      <c r="BP4785" s="153"/>
      <c r="BQ4785" s="153"/>
      <c r="BR4785" s="153"/>
      <c r="BS4785" s="153"/>
      <c r="BT4785" s="153"/>
      <c r="BU4785" s="153"/>
      <c r="BV4785" s="153"/>
      <c r="BW4785" s="153"/>
      <c r="BX4785" s="153"/>
      <c r="BY4785" s="153"/>
      <c r="BZ4785" s="153"/>
      <c r="CA4785" s="152"/>
      <c r="CB4785" s="152"/>
    </row>
    <row r="4786" spans="1:80" s="87" customFormat="1" ht="14.25" customHeight="1" x14ac:dyDescent="0.2">
      <c r="A4786" s="152"/>
      <c r="B4786" s="683"/>
      <c r="C4786" s="683"/>
      <c r="D4786" s="698"/>
      <c r="E4786" s="215"/>
      <c r="F4786" s="215"/>
      <c r="G4786" s="153"/>
      <c r="H4786" s="153"/>
      <c r="I4786" s="306">
        <v>10</v>
      </c>
      <c r="J4786" s="306">
        <v>120</v>
      </c>
      <c r="K4786" s="150">
        <v>1</v>
      </c>
      <c r="L4786" s="656">
        <v>20</v>
      </c>
      <c r="M4786" s="663">
        <v>34107</v>
      </c>
      <c r="N4786" s="600">
        <v>6.8516700000000004</v>
      </c>
      <c r="O4786" s="604">
        <v>3.8623999999999999E-2</v>
      </c>
      <c r="P4786" s="250"/>
      <c r="Q4786" s="250"/>
      <c r="R4786" s="250"/>
      <c r="S4786" s="250">
        <v>0.125</v>
      </c>
      <c r="T4786" s="250">
        <v>0.161</v>
      </c>
      <c r="U4786" s="250">
        <v>0.28399999999999997</v>
      </c>
      <c r="V4786" s="250">
        <v>0.253</v>
      </c>
      <c r="W4786" s="250">
        <v>0.13500000000000001</v>
      </c>
      <c r="X4786" s="250">
        <v>3.6000000000000004E-2</v>
      </c>
      <c r="Y4786" s="250">
        <v>6.0000000000000001E-3</v>
      </c>
      <c r="Z4786" s="150"/>
      <c r="AA4786" s="150">
        <v>2.37</v>
      </c>
      <c r="AB4786" s="152"/>
      <c r="AC4786" s="152"/>
      <c r="AD4786" s="223">
        <v>8.5341199999999997</v>
      </c>
      <c r="AE4786" s="223">
        <v>0.56059589300000001</v>
      </c>
      <c r="AF4786" s="223">
        <v>4.7840410000000002</v>
      </c>
      <c r="AG4786" s="223">
        <v>1.3441239</v>
      </c>
      <c r="AH4786" s="341"/>
      <c r="AI4786" s="218"/>
      <c r="AJ4786" s="218"/>
      <c r="AK4786" s="153"/>
      <c r="AL4786" s="152"/>
      <c r="AM4786" s="152"/>
      <c r="AN4786" s="152"/>
      <c r="AO4786" s="152"/>
      <c r="AP4786" s="152"/>
      <c r="AQ4786" s="152"/>
      <c r="AR4786" s="152"/>
      <c r="AS4786" s="152"/>
      <c r="AT4786" s="152"/>
      <c r="AU4786" s="153"/>
      <c r="AV4786" s="479"/>
      <c r="AW4786" s="479"/>
      <c r="AX4786" s="442"/>
      <c r="AY4786" s="153"/>
      <c r="AZ4786" s="152"/>
      <c r="BA4786" s="152"/>
      <c r="BB4786" s="152"/>
      <c r="BC4786" s="152"/>
      <c r="BD4786" s="152"/>
      <c r="BE4786" s="152"/>
      <c r="BF4786" s="152"/>
      <c r="BG4786" s="152"/>
      <c r="BH4786" s="152"/>
      <c r="BI4786" s="153"/>
      <c r="BJ4786" s="153"/>
      <c r="BK4786" s="153"/>
      <c r="BL4786" s="153"/>
      <c r="BM4786" s="153"/>
      <c r="BN4786" s="153"/>
      <c r="BO4786" s="153"/>
      <c r="BP4786" s="153"/>
      <c r="BQ4786" s="153"/>
      <c r="BR4786" s="153"/>
      <c r="BS4786" s="153"/>
      <c r="BT4786" s="153"/>
      <c r="BU4786" s="153"/>
      <c r="BV4786" s="153"/>
      <c r="BW4786" s="153"/>
      <c r="BX4786" s="153"/>
      <c r="BY4786" s="153"/>
      <c r="BZ4786" s="153"/>
      <c r="CA4786" s="152"/>
      <c r="CB4786" s="152"/>
    </row>
    <row r="4787" spans="1:80" s="87" customFormat="1" ht="14.25" customHeight="1" x14ac:dyDescent="0.2">
      <c r="A4787" s="152"/>
      <c r="B4787" s="683"/>
      <c r="C4787" s="683"/>
      <c r="D4787" s="698"/>
      <c r="E4787" s="215"/>
      <c r="F4787" s="215"/>
      <c r="G4787" s="153"/>
      <c r="H4787" s="153"/>
      <c r="I4787" s="306">
        <v>11</v>
      </c>
      <c r="J4787" s="306">
        <v>120</v>
      </c>
      <c r="K4787" s="150">
        <v>1</v>
      </c>
      <c r="L4787" s="656">
        <v>22</v>
      </c>
      <c r="M4787" s="663">
        <v>34129</v>
      </c>
      <c r="N4787" s="600">
        <v>3.7089599999999998</v>
      </c>
      <c r="O4787" s="604">
        <v>4.0720000000000001E-3</v>
      </c>
      <c r="P4787" s="250"/>
      <c r="Q4787" s="250"/>
      <c r="R4787" s="250"/>
      <c r="S4787" s="250"/>
      <c r="T4787" s="250">
        <v>7.4999999999999997E-2</v>
      </c>
      <c r="U4787" s="250">
        <v>0.317</v>
      </c>
      <c r="V4787" s="250">
        <v>0.33</v>
      </c>
      <c r="W4787" s="250">
        <v>0.20699999999999999</v>
      </c>
      <c r="X4787" s="250">
        <v>6.9000000000000006E-2</v>
      </c>
      <c r="Y4787" s="250">
        <v>2E-3</v>
      </c>
      <c r="Z4787" s="150"/>
      <c r="AA4787" s="150">
        <v>1.59</v>
      </c>
      <c r="AB4787" s="152"/>
      <c r="AC4787" s="152"/>
      <c r="AD4787" s="223"/>
      <c r="AE4787" s="223"/>
      <c r="AF4787" s="223"/>
      <c r="AG4787" s="223"/>
      <c r="AH4787" s="341"/>
      <c r="AI4787" s="218"/>
      <c r="AJ4787" s="218"/>
      <c r="AK4787" s="153"/>
      <c r="AL4787" s="152"/>
      <c r="AM4787" s="152"/>
      <c r="AN4787" s="152"/>
      <c r="AO4787" s="152"/>
      <c r="AP4787" s="152"/>
      <c r="AQ4787" s="152"/>
      <c r="AR4787" s="152"/>
      <c r="AS4787" s="152"/>
      <c r="AT4787" s="152"/>
      <c r="AU4787" s="153"/>
      <c r="AV4787" s="479"/>
      <c r="AW4787" s="479"/>
      <c r="AX4787" s="442"/>
      <c r="AY4787" s="153"/>
      <c r="AZ4787" s="152"/>
      <c r="BA4787" s="152"/>
      <c r="BB4787" s="152"/>
      <c r="BC4787" s="152"/>
      <c r="BD4787" s="152"/>
      <c r="BE4787" s="152"/>
      <c r="BF4787" s="152"/>
      <c r="BG4787" s="152"/>
      <c r="BH4787" s="152"/>
      <c r="BI4787" s="153"/>
      <c r="BJ4787" s="153"/>
      <c r="BK4787" s="153"/>
      <c r="BL4787" s="153"/>
      <c r="BM4787" s="153"/>
      <c r="BN4787" s="153"/>
      <c r="BO4787" s="153"/>
      <c r="BP4787" s="153"/>
      <c r="BQ4787" s="153"/>
      <c r="BR4787" s="153"/>
      <c r="BS4787" s="153"/>
      <c r="BT4787" s="153"/>
      <c r="BU4787" s="153"/>
      <c r="BV4787" s="153"/>
      <c r="BW4787" s="153"/>
      <c r="BX4787" s="153"/>
      <c r="BY4787" s="153"/>
      <c r="BZ4787" s="153"/>
      <c r="CA4787" s="152"/>
      <c r="CB4787" s="152"/>
    </row>
    <row r="4788" spans="1:80" s="87" customFormat="1" ht="14.25" customHeight="1" x14ac:dyDescent="0.2">
      <c r="A4788" s="152"/>
      <c r="B4788" s="683"/>
      <c r="C4788" s="683"/>
      <c r="D4788" s="698"/>
      <c r="E4788" s="215"/>
      <c r="F4788" s="215"/>
      <c r="G4788" s="153"/>
      <c r="H4788" s="153"/>
      <c r="I4788" s="306">
        <v>10</v>
      </c>
      <c r="J4788" s="306">
        <v>240</v>
      </c>
      <c r="K4788" s="150">
        <v>1</v>
      </c>
      <c r="L4788" s="656">
        <v>40</v>
      </c>
      <c r="M4788" s="663">
        <v>34135</v>
      </c>
      <c r="N4788" s="600">
        <v>3.1710199999999999</v>
      </c>
      <c r="O4788" s="604">
        <v>3.8834E-2</v>
      </c>
      <c r="P4788" s="250"/>
      <c r="Q4788" s="250"/>
      <c r="R4788" s="250"/>
      <c r="S4788" s="250">
        <v>4.0000000000000001E-3</v>
      </c>
      <c r="T4788" s="250">
        <v>0.14899999999999999</v>
      </c>
      <c r="U4788" s="250">
        <v>0.313</v>
      </c>
      <c r="V4788" s="250">
        <v>0.32299999999999995</v>
      </c>
      <c r="W4788" s="250">
        <v>0.16699999999999998</v>
      </c>
      <c r="X4788" s="250">
        <v>4.2999999999999997E-2</v>
      </c>
      <c r="Y4788" s="250">
        <v>1E-3</v>
      </c>
      <c r="Z4788" s="150"/>
      <c r="AA4788" s="150">
        <v>1.86</v>
      </c>
      <c r="AB4788" s="152"/>
      <c r="AC4788" s="152"/>
      <c r="AD4788" s="223"/>
      <c r="AE4788" s="223"/>
      <c r="AF4788" s="223"/>
      <c r="AG4788" s="223"/>
      <c r="AH4788" s="341"/>
      <c r="AI4788" s="218"/>
      <c r="AJ4788" s="218"/>
      <c r="AK4788" s="153"/>
      <c r="AL4788" s="152"/>
      <c r="AM4788" s="152"/>
      <c r="AN4788" s="152"/>
      <c r="AO4788" s="152"/>
      <c r="AP4788" s="152"/>
      <c r="AQ4788" s="152"/>
      <c r="AR4788" s="152"/>
      <c r="AS4788" s="152"/>
      <c r="AT4788" s="152"/>
      <c r="AU4788" s="153"/>
      <c r="AV4788" s="479"/>
      <c r="AW4788" s="479"/>
      <c r="AX4788" s="442"/>
      <c r="AY4788" s="153"/>
      <c r="AZ4788" s="152"/>
      <c r="BA4788" s="152"/>
      <c r="BB4788" s="152"/>
      <c r="BC4788" s="152"/>
      <c r="BD4788" s="152"/>
      <c r="BE4788" s="152"/>
      <c r="BF4788" s="152"/>
      <c r="BG4788" s="152"/>
      <c r="BH4788" s="152"/>
      <c r="BI4788" s="153"/>
      <c r="BJ4788" s="153"/>
      <c r="BK4788" s="153"/>
      <c r="BL4788" s="153"/>
      <c r="BM4788" s="153"/>
      <c r="BN4788" s="153"/>
      <c r="BO4788" s="153"/>
      <c r="BP4788" s="153"/>
      <c r="BQ4788" s="153"/>
      <c r="BR4788" s="153"/>
      <c r="BS4788" s="153"/>
      <c r="BT4788" s="153"/>
      <c r="BU4788" s="153"/>
      <c r="BV4788" s="153"/>
      <c r="BW4788" s="153"/>
      <c r="BX4788" s="153"/>
      <c r="BY4788" s="153"/>
      <c r="BZ4788" s="153"/>
      <c r="CA4788" s="152"/>
      <c r="CB4788" s="152"/>
    </row>
    <row r="4789" spans="1:80" s="87" customFormat="1" ht="14.25" customHeight="1" x14ac:dyDescent="0.2">
      <c r="A4789" s="152"/>
      <c r="B4789" s="683"/>
      <c r="C4789" s="683"/>
      <c r="D4789" s="698"/>
      <c r="E4789" s="215"/>
      <c r="F4789" s="215"/>
      <c r="G4789" s="153"/>
      <c r="H4789" s="153"/>
      <c r="I4789" s="306">
        <v>10</v>
      </c>
      <c r="J4789" s="306">
        <v>120</v>
      </c>
      <c r="K4789" s="150">
        <v>1</v>
      </c>
      <c r="L4789" s="656">
        <v>20</v>
      </c>
      <c r="M4789" s="663">
        <v>34136</v>
      </c>
      <c r="N4789" s="600">
        <v>3.59571</v>
      </c>
      <c r="O4789" s="604">
        <v>1.2784E-2</v>
      </c>
      <c r="P4789" s="250"/>
      <c r="Q4789" s="250"/>
      <c r="R4789" s="250"/>
      <c r="S4789" s="250">
        <v>1.3999999999999999E-2</v>
      </c>
      <c r="T4789" s="250">
        <v>0.13400000000000001</v>
      </c>
      <c r="U4789" s="250">
        <v>0.248</v>
      </c>
      <c r="V4789" s="250">
        <v>0.33100000000000002</v>
      </c>
      <c r="W4789" s="250">
        <v>0.19500000000000001</v>
      </c>
      <c r="X4789" s="250">
        <v>7.4999999999999997E-2</v>
      </c>
      <c r="Y4789" s="250">
        <v>3.0000000000000001E-3</v>
      </c>
      <c r="Z4789" s="150"/>
      <c r="AA4789" s="150">
        <v>1.61</v>
      </c>
      <c r="AB4789" s="152"/>
      <c r="AC4789" s="152"/>
      <c r="AD4789" s="223"/>
      <c r="AE4789" s="223"/>
      <c r="AF4789" s="223"/>
      <c r="AG4789" s="223"/>
      <c r="AH4789" s="341"/>
      <c r="AI4789" s="218"/>
      <c r="AJ4789" s="218"/>
      <c r="AK4789" s="153"/>
      <c r="AL4789" s="152"/>
      <c r="AM4789" s="152"/>
      <c r="AN4789" s="152"/>
      <c r="AO4789" s="152"/>
      <c r="AP4789" s="152"/>
      <c r="AQ4789" s="152"/>
      <c r="AR4789" s="152"/>
      <c r="AS4789" s="152"/>
      <c r="AT4789" s="152"/>
      <c r="AU4789" s="153"/>
      <c r="AV4789" s="479"/>
      <c r="AW4789" s="479"/>
      <c r="AX4789" s="442"/>
      <c r="AY4789" s="153"/>
      <c r="AZ4789" s="152"/>
      <c r="BA4789" s="152"/>
      <c r="BB4789" s="152"/>
      <c r="BC4789" s="152"/>
      <c r="BD4789" s="152"/>
      <c r="BE4789" s="152"/>
      <c r="BF4789" s="152"/>
      <c r="BG4789" s="152"/>
      <c r="BH4789" s="152"/>
      <c r="BI4789" s="153"/>
      <c r="BJ4789" s="153"/>
      <c r="BK4789" s="153"/>
      <c r="BL4789" s="153"/>
      <c r="BM4789" s="153"/>
      <c r="BN4789" s="153"/>
      <c r="BO4789" s="153"/>
      <c r="BP4789" s="153"/>
      <c r="BQ4789" s="153"/>
      <c r="BR4789" s="153"/>
      <c r="BS4789" s="153"/>
      <c r="BT4789" s="153"/>
      <c r="BU4789" s="153"/>
      <c r="BV4789" s="153"/>
      <c r="BW4789" s="153"/>
      <c r="BX4789" s="153"/>
      <c r="BY4789" s="153"/>
      <c r="BZ4789" s="153"/>
      <c r="CA4789" s="152"/>
      <c r="CB4789" s="152"/>
    </row>
    <row r="4790" spans="1:80" s="87" customFormat="1" ht="14.25" customHeight="1" x14ac:dyDescent="0.2">
      <c r="A4790" s="152"/>
      <c r="B4790" s="683"/>
      <c r="C4790" s="683"/>
      <c r="D4790" s="698"/>
      <c r="E4790" s="215"/>
      <c r="F4790" s="215"/>
      <c r="G4790" s="153"/>
      <c r="H4790" s="153"/>
      <c r="I4790" s="306">
        <v>10</v>
      </c>
      <c r="J4790" s="306">
        <v>240</v>
      </c>
      <c r="K4790" s="150">
        <v>1</v>
      </c>
      <c r="L4790" s="656">
        <v>40</v>
      </c>
      <c r="M4790" s="663">
        <v>34430</v>
      </c>
      <c r="N4790" s="600">
        <v>0.42469000000000001</v>
      </c>
      <c r="O4790" s="604">
        <v>2.6699999999999998E-4</v>
      </c>
      <c r="P4790" s="250"/>
      <c r="Q4790" s="250"/>
      <c r="R4790" s="250"/>
      <c r="S4790" s="250"/>
      <c r="T4790" s="250"/>
      <c r="U4790" s="250"/>
      <c r="V4790" s="250">
        <v>0.32299999999999995</v>
      </c>
      <c r="W4790" s="250">
        <v>0.41399999999999998</v>
      </c>
      <c r="X4790" s="250">
        <v>0.23699999999999999</v>
      </c>
      <c r="Y4790" s="250">
        <v>2.7000000000000003E-2</v>
      </c>
      <c r="Z4790" s="150"/>
      <c r="AA4790" s="150">
        <v>0.74</v>
      </c>
      <c r="AB4790" s="152"/>
      <c r="AC4790" s="152"/>
      <c r="AD4790" s="223"/>
      <c r="AE4790" s="223"/>
      <c r="AF4790" s="223"/>
      <c r="AG4790" s="223"/>
      <c r="AH4790" s="341"/>
      <c r="AI4790" s="218"/>
      <c r="AJ4790" s="218"/>
      <c r="AK4790" s="153"/>
      <c r="AL4790" s="152"/>
      <c r="AM4790" s="152"/>
      <c r="AN4790" s="152"/>
      <c r="AO4790" s="152"/>
      <c r="AP4790" s="152"/>
      <c r="AQ4790" s="152"/>
      <c r="AR4790" s="152"/>
      <c r="AS4790" s="152"/>
      <c r="AT4790" s="152"/>
      <c r="AU4790" s="153"/>
      <c r="AV4790" s="479"/>
      <c r="AW4790" s="479"/>
      <c r="AX4790" s="442"/>
      <c r="AY4790" s="153"/>
      <c r="AZ4790" s="152"/>
      <c r="BA4790" s="152"/>
      <c r="BB4790" s="152"/>
      <c r="BC4790" s="152"/>
      <c r="BD4790" s="152"/>
      <c r="BE4790" s="152"/>
      <c r="BF4790" s="152"/>
      <c r="BG4790" s="152"/>
      <c r="BH4790" s="152"/>
      <c r="BI4790" s="153"/>
      <c r="BJ4790" s="153"/>
      <c r="BK4790" s="153"/>
      <c r="BL4790" s="153"/>
      <c r="BM4790" s="153"/>
      <c r="BN4790" s="153"/>
      <c r="BO4790" s="153"/>
      <c r="BP4790" s="153"/>
      <c r="BQ4790" s="153"/>
      <c r="BR4790" s="153"/>
      <c r="BS4790" s="153"/>
      <c r="BT4790" s="153"/>
      <c r="BU4790" s="153"/>
      <c r="BV4790" s="153"/>
      <c r="BW4790" s="153"/>
      <c r="BX4790" s="153"/>
      <c r="BY4790" s="153"/>
      <c r="BZ4790" s="153"/>
      <c r="CA4790" s="152"/>
      <c r="CB4790" s="152"/>
    </row>
    <row r="4791" spans="1:80" s="87" customFormat="1" ht="14.25" customHeight="1" x14ac:dyDescent="0.2">
      <c r="A4791" s="152"/>
      <c r="B4791" s="683"/>
      <c r="C4791" s="683"/>
      <c r="D4791" s="698"/>
      <c r="E4791" s="215"/>
      <c r="F4791" s="215"/>
      <c r="G4791" s="153"/>
      <c r="H4791" s="153"/>
      <c r="I4791" s="306">
        <v>20</v>
      </c>
      <c r="J4791" s="306">
        <v>120</v>
      </c>
      <c r="K4791" s="150">
        <v>1</v>
      </c>
      <c r="L4791" s="656">
        <v>40</v>
      </c>
      <c r="M4791" s="663">
        <v>34435</v>
      </c>
      <c r="N4791" s="600">
        <v>0.39638000000000001</v>
      </c>
      <c r="O4791" s="604">
        <v>4.6400000000000003E-5</v>
      </c>
      <c r="P4791" s="250"/>
      <c r="Q4791" s="250"/>
      <c r="R4791" s="250"/>
      <c r="S4791" s="250"/>
      <c r="T4791" s="250"/>
      <c r="U4791" s="250"/>
      <c r="V4791" s="250">
        <v>0.55000000000000004</v>
      </c>
      <c r="W4791" s="250">
        <v>0.18600000000000003</v>
      </c>
      <c r="X4791" s="250">
        <v>0.255</v>
      </c>
      <c r="Y4791" s="250">
        <v>0.01</v>
      </c>
      <c r="Z4791" s="150"/>
      <c r="AA4791" s="150">
        <v>1.07</v>
      </c>
      <c r="AB4791" s="152"/>
      <c r="AC4791" s="152"/>
      <c r="AD4791" s="223"/>
      <c r="AE4791" s="223"/>
      <c r="AF4791" s="223"/>
      <c r="AG4791" s="223"/>
      <c r="AH4791" s="341"/>
      <c r="AI4791" s="218"/>
      <c r="AJ4791" s="218"/>
      <c r="AK4791" s="153"/>
      <c r="AL4791" s="152"/>
      <c r="AM4791" s="152"/>
      <c r="AN4791" s="152"/>
      <c r="AO4791" s="152"/>
      <c r="AP4791" s="152"/>
      <c r="AQ4791" s="152"/>
      <c r="AR4791" s="152"/>
      <c r="AS4791" s="152"/>
      <c r="AT4791" s="152"/>
      <c r="AU4791" s="153"/>
      <c r="AV4791" s="479"/>
      <c r="AW4791" s="479"/>
      <c r="AX4791" s="442"/>
      <c r="AY4791" s="153"/>
      <c r="AZ4791" s="152"/>
      <c r="BA4791" s="152"/>
      <c r="BB4791" s="152"/>
      <c r="BC4791" s="152"/>
      <c r="BD4791" s="152"/>
      <c r="BE4791" s="152"/>
      <c r="BF4791" s="152"/>
      <c r="BG4791" s="152"/>
      <c r="BH4791" s="152"/>
      <c r="BI4791" s="153"/>
      <c r="BJ4791" s="153"/>
      <c r="BK4791" s="153"/>
      <c r="BL4791" s="153"/>
      <c r="BM4791" s="153"/>
      <c r="BN4791" s="153"/>
      <c r="BO4791" s="153"/>
      <c r="BP4791" s="153"/>
      <c r="BQ4791" s="153"/>
      <c r="BR4791" s="153"/>
      <c r="BS4791" s="153"/>
      <c r="BT4791" s="153"/>
      <c r="BU4791" s="153"/>
      <c r="BV4791" s="153"/>
      <c r="BW4791" s="153"/>
      <c r="BX4791" s="153"/>
      <c r="BY4791" s="153"/>
      <c r="BZ4791" s="153"/>
      <c r="CA4791" s="152"/>
      <c r="CB4791" s="152"/>
    </row>
    <row r="4792" spans="1:80" s="87" customFormat="1" ht="14.25" customHeight="1" x14ac:dyDescent="0.2">
      <c r="A4792" s="152"/>
      <c r="B4792" s="683"/>
      <c r="C4792" s="683"/>
      <c r="D4792" s="698"/>
      <c r="E4792" s="215"/>
      <c r="F4792" s="215"/>
      <c r="G4792" s="153"/>
      <c r="H4792" s="153"/>
      <c r="I4792" s="306">
        <v>20</v>
      </c>
      <c r="J4792" s="306">
        <v>120</v>
      </c>
      <c r="K4792" s="150">
        <v>1</v>
      </c>
      <c r="L4792" s="656">
        <v>40</v>
      </c>
      <c r="M4792" s="663">
        <v>34437</v>
      </c>
      <c r="N4792" s="600">
        <v>0.45300000000000001</v>
      </c>
      <c r="O4792" s="604">
        <v>7.5699999999999997E-5</v>
      </c>
      <c r="P4792" s="250"/>
      <c r="Q4792" s="250"/>
      <c r="R4792" s="250"/>
      <c r="S4792" s="250"/>
      <c r="T4792" s="250"/>
      <c r="U4792" s="250">
        <v>0.23600000000000002</v>
      </c>
      <c r="V4792" s="250">
        <v>0.499</v>
      </c>
      <c r="W4792" s="250">
        <v>0.18</v>
      </c>
      <c r="X4792" s="250">
        <v>6.9000000000000006E-2</v>
      </c>
      <c r="Y4792" s="250">
        <v>1.7000000000000001E-2</v>
      </c>
      <c r="Z4792" s="150"/>
      <c r="AA4792" s="150">
        <v>1.39</v>
      </c>
      <c r="AB4792" s="152"/>
      <c r="AC4792" s="152"/>
      <c r="AD4792" s="223"/>
      <c r="AE4792" s="223"/>
      <c r="AF4792" s="223"/>
      <c r="AG4792" s="223"/>
      <c r="AH4792" s="341"/>
      <c r="AI4792" s="218"/>
      <c r="AJ4792" s="218"/>
      <c r="AK4792" s="153"/>
      <c r="AL4792" s="152"/>
      <c r="AM4792" s="152"/>
      <c r="AN4792" s="152"/>
      <c r="AO4792" s="152"/>
      <c r="AP4792" s="152"/>
      <c r="AQ4792" s="152"/>
      <c r="AR4792" s="152"/>
      <c r="AS4792" s="152"/>
      <c r="AT4792" s="152"/>
      <c r="AU4792" s="153"/>
      <c r="AV4792" s="479"/>
      <c r="AW4792" s="479"/>
      <c r="AX4792" s="442"/>
      <c r="AY4792" s="153"/>
      <c r="AZ4792" s="152"/>
      <c r="BA4792" s="152"/>
      <c r="BB4792" s="152"/>
      <c r="BC4792" s="152"/>
      <c r="BD4792" s="152"/>
      <c r="BE4792" s="152"/>
      <c r="BF4792" s="152"/>
      <c r="BG4792" s="152"/>
      <c r="BH4792" s="152"/>
      <c r="BI4792" s="153"/>
      <c r="BJ4792" s="153"/>
      <c r="BK4792" s="153"/>
      <c r="BL4792" s="153"/>
      <c r="BM4792" s="153"/>
      <c r="BN4792" s="153"/>
      <c r="BO4792" s="153"/>
      <c r="BP4792" s="153"/>
      <c r="BQ4792" s="153"/>
      <c r="BR4792" s="153"/>
      <c r="BS4792" s="153"/>
      <c r="BT4792" s="153"/>
      <c r="BU4792" s="153"/>
      <c r="BV4792" s="153"/>
      <c r="BW4792" s="153"/>
      <c r="BX4792" s="153"/>
      <c r="BY4792" s="153"/>
      <c r="BZ4792" s="153"/>
      <c r="CA4792" s="152"/>
      <c r="CB4792" s="152"/>
    </row>
    <row r="4793" spans="1:80" s="87" customFormat="1" ht="14.25" customHeight="1" x14ac:dyDescent="0.2">
      <c r="A4793" s="152"/>
      <c r="B4793" s="683"/>
      <c r="C4793" s="683"/>
      <c r="D4793" s="698"/>
      <c r="E4793" s="215"/>
      <c r="F4793" s="215"/>
      <c r="G4793" s="153"/>
      <c r="H4793" s="153"/>
      <c r="I4793" s="306">
        <v>20</v>
      </c>
      <c r="J4793" s="306">
        <v>120</v>
      </c>
      <c r="K4793" s="150">
        <v>1</v>
      </c>
      <c r="L4793" s="656">
        <v>40</v>
      </c>
      <c r="M4793" s="663">
        <v>34442</v>
      </c>
      <c r="N4793" s="600">
        <v>0.93432000000000004</v>
      </c>
      <c r="O4793" s="604">
        <v>1.83E-4</v>
      </c>
      <c r="P4793" s="250"/>
      <c r="Q4793" s="250"/>
      <c r="R4793" s="250"/>
      <c r="S4793" s="250"/>
      <c r="T4793" s="250"/>
      <c r="U4793" s="250"/>
      <c r="V4793" s="250">
        <v>0.51300000000000001</v>
      </c>
      <c r="W4793" s="250">
        <v>0.28699999999999998</v>
      </c>
      <c r="X4793" s="250">
        <v>0.17800000000000002</v>
      </c>
      <c r="Y4793" s="250">
        <v>2.2000000000000002E-2</v>
      </c>
      <c r="Z4793" s="150"/>
      <c r="AA4793" s="150">
        <v>1.02</v>
      </c>
      <c r="AB4793" s="152"/>
      <c r="AC4793" s="152"/>
      <c r="AD4793" s="223"/>
      <c r="AE4793" s="223"/>
      <c r="AF4793" s="223"/>
      <c r="AG4793" s="223"/>
      <c r="AH4793" s="341"/>
      <c r="AI4793" s="218"/>
      <c r="AJ4793" s="218"/>
      <c r="AK4793" s="153"/>
      <c r="AL4793" s="152"/>
      <c r="AM4793" s="152"/>
      <c r="AN4793" s="152"/>
      <c r="AO4793" s="152"/>
      <c r="AP4793" s="152"/>
      <c r="AQ4793" s="152"/>
      <c r="AR4793" s="152"/>
      <c r="AS4793" s="152"/>
      <c r="AT4793" s="152"/>
      <c r="AU4793" s="153"/>
      <c r="AV4793" s="479"/>
      <c r="AW4793" s="479"/>
      <c r="AX4793" s="442"/>
      <c r="AY4793" s="153"/>
      <c r="AZ4793" s="152"/>
      <c r="BA4793" s="152"/>
      <c r="BB4793" s="152"/>
      <c r="BC4793" s="152"/>
      <c r="BD4793" s="152"/>
      <c r="BE4793" s="152"/>
      <c r="BF4793" s="152"/>
      <c r="BG4793" s="152"/>
      <c r="BH4793" s="152"/>
      <c r="BI4793" s="153"/>
      <c r="BJ4793" s="153"/>
      <c r="BK4793" s="153"/>
      <c r="BL4793" s="153"/>
      <c r="BM4793" s="153"/>
      <c r="BN4793" s="153"/>
      <c r="BO4793" s="153"/>
      <c r="BP4793" s="153"/>
      <c r="BQ4793" s="153"/>
      <c r="BR4793" s="153"/>
      <c r="BS4793" s="153"/>
      <c r="BT4793" s="153"/>
      <c r="BU4793" s="153"/>
      <c r="BV4793" s="153"/>
      <c r="BW4793" s="153"/>
      <c r="BX4793" s="153"/>
      <c r="BY4793" s="153"/>
      <c r="BZ4793" s="153"/>
      <c r="CA4793" s="152"/>
      <c r="CB4793" s="152"/>
    </row>
    <row r="4794" spans="1:80" s="87" customFormat="1" ht="14.25" customHeight="1" x14ac:dyDescent="0.2">
      <c r="A4794" s="152"/>
      <c r="B4794" s="683"/>
      <c r="C4794" s="683"/>
      <c r="D4794" s="698"/>
      <c r="E4794" s="215"/>
      <c r="F4794" s="215"/>
      <c r="G4794" s="153"/>
      <c r="H4794" s="153"/>
      <c r="I4794" s="306">
        <v>20</v>
      </c>
      <c r="J4794" s="306">
        <v>120</v>
      </c>
      <c r="K4794" s="150">
        <v>1</v>
      </c>
      <c r="L4794" s="656">
        <v>40</v>
      </c>
      <c r="M4794" s="663">
        <v>34443</v>
      </c>
      <c r="N4794" s="600">
        <v>1.18913</v>
      </c>
      <c r="O4794" s="604">
        <v>8.03E-4</v>
      </c>
      <c r="P4794" s="250"/>
      <c r="Q4794" s="250"/>
      <c r="R4794" s="250"/>
      <c r="S4794" s="250"/>
      <c r="T4794" s="250">
        <v>0.05</v>
      </c>
      <c r="U4794" s="250">
        <v>0.111</v>
      </c>
      <c r="V4794" s="250">
        <v>0.23300000000000001</v>
      </c>
      <c r="W4794" s="250">
        <v>0.27699999999999997</v>
      </c>
      <c r="X4794" s="250">
        <v>0.30399999999999999</v>
      </c>
      <c r="Y4794" s="250">
        <v>2.5000000000000001E-2</v>
      </c>
      <c r="Z4794" s="150"/>
      <c r="AA4794" s="150">
        <v>0.77</v>
      </c>
      <c r="AB4794" s="152"/>
      <c r="AC4794" s="152"/>
      <c r="AD4794" s="223"/>
      <c r="AE4794" s="223"/>
      <c r="AF4794" s="223"/>
      <c r="AG4794" s="223"/>
      <c r="AH4794" s="341"/>
      <c r="AI4794" s="218"/>
      <c r="AJ4794" s="218"/>
      <c r="AK4794" s="153"/>
      <c r="AL4794" s="152"/>
      <c r="AM4794" s="152"/>
      <c r="AN4794" s="152"/>
      <c r="AO4794" s="152"/>
      <c r="AP4794" s="152"/>
      <c r="AQ4794" s="152"/>
      <c r="AR4794" s="152"/>
      <c r="AS4794" s="152"/>
      <c r="AT4794" s="152"/>
      <c r="AU4794" s="153"/>
      <c r="AV4794" s="479"/>
      <c r="AW4794" s="479"/>
      <c r="AX4794" s="442"/>
      <c r="AY4794" s="153"/>
      <c r="AZ4794" s="152"/>
      <c r="BA4794" s="152"/>
      <c r="BB4794" s="152"/>
      <c r="BC4794" s="152"/>
      <c r="BD4794" s="152"/>
      <c r="BE4794" s="152"/>
      <c r="BF4794" s="152"/>
      <c r="BG4794" s="152"/>
      <c r="BH4794" s="152"/>
      <c r="BI4794" s="153"/>
      <c r="BJ4794" s="153"/>
      <c r="BK4794" s="153"/>
      <c r="BL4794" s="153"/>
      <c r="BM4794" s="153"/>
      <c r="BN4794" s="153"/>
      <c r="BO4794" s="153"/>
      <c r="BP4794" s="153"/>
      <c r="BQ4794" s="153"/>
      <c r="BR4794" s="153"/>
      <c r="BS4794" s="153"/>
      <c r="BT4794" s="153"/>
      <c r="BU4794" s="153"/>
      <c r="BV4794" s="153"/>
      <c r="BW4794" s="153"/>
      <c r="BX4794" s="153"/>
      <c r="BY4794" s="153"/>
      <c r="BZ4794" s="153"/>
      <c r="CA4794" s="152"/>
      <c r="CB4794" s="152"/>
    </row>
    <row r="4795" spans="1:80" s="87" customFormat="1" ht="14.25" customHeight="1" x14ac:dyDescent="0.2">
      <c r="A4795" s="152"/>
      <c r="B4795" s="683"/>
      <c r="C4795" s="683"/>
      <c r="D4795" s="698"/>
      <c r="E4795" s="215"/>
      <c r="F4795" s="215"/>
      <c r="G4795" s="153"/>
      <c r="H4795" s="153"/>
      <c r="I4795" s="306">
        <v>20</v>
      </c>
      <c r="J4795" s="306">
        <v>120</v>
      </c>
      <c r="K4795" s="150">
        <v>1</v>
      </c>
      <c r="L4795" s="656">
        <v>40</v>
      </c>
      <c r="M4795" s="663">
        <v>34445</v>
      </c>
      <c r="N4795" s="600">
        <v>2.2366999999999999</v>
      </c>
      <c r="O4795" s="604">
        <v>2.1619999999999999E-3</v>
      </c>
      <c r="P4795" s="250"/>
      <c r="Q4795" s="250"/>
      <c r="R4795" s="250"/>
      <c r="S4795" s="250">
        <v>9.4E-2</v>
      </c>
      <c r="T4795" s="250">
        <v>2.4E-2</v>
      </c>
      <c r="U4795" s="250">
        <v>8.8000000000000009E-2</v>
      </c>
      <c r="V4795" s="250">
        <v>0.255</v>
      </c>
      <c r="W4795" s="250">
        <v>0.35399999999999998</v>
      </c>
      <c r="X4795" s="250">
        <v>0.17199999999999999</v>
      </c>
      <c r="Y4795" s="250">
        <v>1.3000000000000001E-2</v>
      </c>
      <c r="Z4795" s="150"/>
      <c r="AA4795" s="150">
        <v>0.93</v>
      </c>
      <c r="AB4795" s="152"/>
      <c r="AC4795" s="152"/>
      <c r="AD4795" s="223"/>
      <c r="AE4795" s="223"/>
      <c r="AF4795" s="223"/>
      <c r="AG4795" s="223"/>
      <c r="AH4795" s="341"/>
      <c r="AI4795" s="218"/>
      <c r="AJ4795" s="218"/>
      <c r="AK4795" s="153"/>
      <c r="AL4795" s="152"/>
      <c r="AM4795" s="152"/>
      <c r="AN4795" s="152"/>
      <c r="AO4795" s="152"/>
      <c r="AP4795" s="152"/>
      <c r="AQ4795" s="152"/>
      <c r="AR4795" s="152"/>
      <c r="AS4795" s="152"/>
      <c r="AT4795" s="152"/>
      <c r="AU4795" s="153"/>
      <c r="AV4795" s="479"/>
      <c r="AW4795" s="479"/>
      <c r="AX4795" s="442"/>
      <c r="AY4795" s="153"/>
      <c r="AZ4795" s="152"/>
      <c r="BA4795" s="152"/>
      <c r="BB4795" s="152"/>
      <c r="BC4795" s="152"/>
      <c r="BD4795" s="152"/>
      <c r="BE4795" s="152"/>
      <c r="BF4795" s="152"/>
      <c r="BG4795" s="152"/>
      <c r="BH4795" s="152"/>
      <c r="BI4795" s="153"/>
      <c r="BJ4795" s="153"/>
      <c r="BK4795" s="153"/>
      <c r="BL4795" s="153"/>
      <c r="BM4795" s="153"/>
      <c r="BN4795" s="153"/>
      <c r="BO4795" s="153"/>
      <c r="BP4795" s="153"/>
      <c r="BQ4795" s="153"/>
      <c r="BR4795" s="153"/>
      <c r="BS4795" s="153"/>
      <c r="BT4795" s="153"/>
      <c r="BU4795" s="153"/>
      <c r="BV4795" s="153"/>
      <c r="BW4795" s="153"/>
      <c r="BX4795" s="153"/>
      <c r="BY4795" s="153"/>
      <c r="BZ4795" s="153"/>
      <c r="CA4795" s="152"/>
      <c r="CB4795" s="152"/>
    </row>
    <row r="4796" spans="1:80" s="87" customFormat="1" ht="14.25" customHeight="1" x14ac:dyDescent="0.2">
      <c r="A4796" s="152"/>
      <c r="B4796" s="683"/>
      <c r="C4796" s="683"/>
      <c r="D4796" s="698"/>
      <c r="E4796" s="215"/>
      <c r="F4796" s="215"/>
      <c r="G4796" s="153"/>
      <c r="H4796" s="153"/>
      <c r="I4796" s="306">
        <v>20</v>
      </c>
      <c r="J4796" s="306">
        <v>240</v>
      </c>
      <c r="K4796" s="150">
        <v>1</v>
      </c>
      <c r="L4796" s="656">
        <v>80</v>
      </c>
      <c r="M4796" s="663">
        <v>34456</v>
      </c>
      <c r="N4796" s="600">
        <v>0.82106999999999997</v>
      </c>
      <c r="O4796" s="604">
        <v>2.6899999999999998E-4</v>
      </c>
      <c r="P4796" s="250"/>
      <c r="Q4796" s="250"/>
      <c r="R4796" s="250"/>
      <c r="S4796" s="250"/>
      <c r="T4796" s="250">
        <v>0.10099999999999999</v>
      </c>
      <c r="U4796" s="250">
        <v>0.28399999999999997</v>
      </c>
      <c r="V4796" s="250">
        <v>0.33399999999999996</v>
      </c>
      <c r="W4796" s="250">
        <v>0.185</v>
      </c>
      <c r="X4796" s="250">
        <v>8.6999999999999994E-2</v>
      </c>
      <c r="Y4796" s="250">
        <v>9.0000000000000011E-3</v>
      </c>
      <c r="Z4796" s="150"/>
      <c r="AA4796" s="150">
        <v>1.58</v>
      </c>
      <c r="AB4796" s="152"/>
      <c r="AC4796" s="152"/>
      <c r="AD4796" s="223"/>
      <c r="AE4796" s="223"/>
      <c r="AF4796" s="223"/>
      <c r="AG4796" s="223"/>
      <c r="AH4796" s="341"/>
      <c r="AI4796" s="218"/>
      <c r="AJ4796" s="218"/>
      <c r="AK4796" s="153"/>
      <c r="AL4796" s="152"/>
      <c r="AM4796" s="152"/>
      <c r="AN4796" s="152"/>
      <c r="AO4796" s="152"/>
      <c r="AP4796" s="152"/>
      <c r="AQ4796" s="152"/>
      <c r="AR4796" s="152"/>
      <c r="AS4796" s="152"/>
      <c r="AT4796" s="152"/>
      <c r="AU4796" s="153"/>
      <c r="AV4796" s="479"/>
      <c r="AW4796" s="479"/>
      <c r="AX4796" s="442"/>
      <c r="AY4796" s="153"/>
      <c r="AZ4796" s="152"/>
      <c r="BA4796" s="152"/>
      <c r="BB4796" s="152"/>
      <c r="BC4796" s="152"/>
      <c r="BD4796" s="152"/>
      <c r="BE4796" s="152"/>
      <c r="BF4796" s="152"/>
      <c r="BG4796" s="152"/>
      <c r="BH4796" s="152"/>
      <c r="BI4796" s="153"/>
      <c r="BJ4796" s="153"/>
      <c r="BK4796" s="153"/>
      <c r="BL4796" s="153"/>
      <c r="BM4796" s="153"/>
      <c r="BN4796" s="153"/>
      <c r="BO4796" s="153"/>
      <c r="BP4796" s="153"/>
      <c r="BQ4796" s="153"/>
      <c r="BR4796" s="153"/>
      <c r="BS4796" s="153"/>
      <c r="BT4796" s="153"/>
      <c r="BU4796" s="153"/>
      <c r="BV4796" s="153"/>
      <c r="BW4796" s="153"/>
      <c r="BX4796" s="153"/>
      <c r="BY4796" s="153"/>
      <c r="BZ4796" s="153"/>
      <c r="CA4796" s="152"/>
      <c r="CB4796" s="152"/>
    </row>
    <row r="4797" spans="1:80" s="87" customFormat="1" ht="14.25" customHeight="1" x14ac:dyDescent="0.2">
      <c r="A4797" s="152"/>
      <c r="B4797" s="683"/>
      <c r="C4797" s="683"/>
      <c r="D4797" s="698"/>
      <c r="E4797" s="215"/>
      <c r="F4797" s="215"/>
      <c r="G4797" s="153"/>
      <c r="H4797" s="153"/>
      <c r="I4797" s="306">
        <v>20</v>
      </c>
      <c r="J4797" s="306">
        <v>240</v>
      </c>
      <c r="K4797" s="150">
        <v>1</v>
      </c>
      <c r="L4797" s="656">
        <v>80</v>
      </c>
      <c r="M4797" s="663">
        <v>34458</v>
      </c>
      <c r="N4797" s="600">
        <v>1.0475699999999999</v>
      </c>
      <c r="O4797" s="604">
        <v>2.7700000000000001E-4</v>
      </c>
      <c r="P4797" s="250"/>
      <c r="Q4797" s="250"/>
      <c r="R4797" s="250"/>
      <c r="S4797" s="250"/>
      <c r="T4797" s="250">
        <v>0.155</v>
      </c>
      <c r="U4797" s="250">
        <v>0.19699999999999998</v>
      </c>
      <c r="V4797" s="250">
        <v>0.30299999999999999</v>
      </c>
      <c r="W4797" s="250">
        <v>0.24199999999999999</v>
      </c>
      <c r="X4797" s="250">
        <v>9.8000000000000004E-2</v>
      </c>
      <c r="Y4797" s="250">
        <v>6.0000000000000001E-3</v>
      </c>
      <c r="Z4797" s="150"/>
      <c r="AA4797" s="150">
        <v>1.43</v>
      </c>
      <c r="AB4797" s="152"/>
      <c r="AC4797" s="152"/>
      <c r="AD4797" s="223"/>
      <c r="AE4797" s="223"/>
      <c r="AF4797" s="223"/>
      <c r="AG4797" s="223"/>
      <c r="AH4797" s="341"/>
      <c r="AI4797" s="218"/>
      <c r="AJ4797" s="218"/>
      <c r="AK4797" s="153"/>
      <c r="AL4797" s="152"/>
      <c r="AM4797" s="152"/>
      <c r="AN4797" s="152"/>
      <c r="AO4797" s="152"/>
      <c r="AP4797" s="152"/>
      <c r="AQ4797" s="152"/>
      <c r="AR4797" s="152"/>
      <c r="AS4797" s="152"/>
      <c r="AT4797" s="152"/>
      <c r="AU4797" s="153"/>
      <c r="AV4797" s="479"/>
      <c r="AW4797" s="479"/>
      <c r="AX4797" s="442"/>
      <c r="AY4797" s="153"/>
      <c r="AZ4797" s="152"/>
      <c r="BA4797" s="152"/>
      <c r="BB4797" s="152"/>
      <c r="BC4797" s="152"/>
      <c r="BD4797" s="152"/>
      <c r="BE4797" s="152"/>
      <c r="BF4797" s="152"/>
      <c r="BG4797" s="152"/>
      <c r="BH4797" s="152"/>
      <c r="BI4797" s="153"/>
      <c r="BJ4797" s="153"/>
      <c r="BK4797" s="153"/>
      <c r="BL4797" s="153"/>
      <c r="BM4797" s="153"/>
      <c r="BN4797" s="153"/>
      <c r="BO4797" s="153"/>
      <c r="BP4797" s="153"/>
      <c r="BQ4797" s="153"/>
      <c r="BR4797" s="153"/>
      <c r="BS4797" s="153"/>
      <c r="BT4797" s="153"/>
      <c r="BU4797" s="153"/>
      <c r="BV4797" s="153"/>
      <c r="BW4797" s="153"/>
      <c r="BX4797" s="153"/>
      <c r="BY4797" s="153"/>
      <c r="BZ4797" s="153"/>
      <c r="CA4797" s="152"/>
      <c r="CB4797" s="152"/>
    </row>
    <row r="4798" spans="1:80" s="87" customFormat="1" ht="14.25" customHeight="1" x14ac:dyDescent="0.2">
      <c r="A4798" s="152"/>
      <c r="B4798" s="683"/>
      <c r="C4798" s="683"/>
      <c r="D4798" s="698"/>
      <c r="E4798" s="215"/>
      <c r="F4798" s="215"/>
      <c r="G4798" s="153"/>
      <c r="H4798" s="153"/>
      <c r="I4798" s="306">
        <v>20</v>
      </c>
      <c r="J4798" s="306">
        <v>240</v>
      </c>
      <c r="K4798" s="150">
        <v>1</v>
      </c>
      <c r="L4798" s="656">
        <v>80</v>
      </c>
      <c r="M4798" s="663">
        <v>34459</v>
      </c>
      <c r="N4798" s="600">
        <v>1.16082</v>
      </c>
      <c r="O4798" s="604">
        <v>1.6000000000000001E-4</v>
      </c>
      <c r="P4798" s="250"/>
      <c r="Q4798" s="250"/>
      <c r="R4798" s="250"/>
      <c r="S4798" s="250"/>
      <c r="T4798" s="250"/>
      <c r="U4798" s="250">
        <v>0.38200000000000001</v>
      </c>
      <c r="V4798" s="250">
        <v>0.36099999999999999</v>
      </c>
      <c r="W4798" s="250">
        <v>0.17899999999999999</v>
      </c>
      <c r="X4798" s="250">
        <v>7.6999999999999999E-2</v>
      </c>
      <c r="Y4798" s="250">
        <v>1E-3</v>
      </c>
      <c r="Z4798" s="150"/>
      <c r="AA4798" s="150">
        <v>1.59</v>
      </c>
      <c r="AB4798" s="152"/>
      <c r="AC4798" s="152"/>
      <c r="AD4798" s="223"/>
      <c r="AE4798" s="223"/>
      <c r="AF4798" s="223"/>
      <c r="AG4798" s="223"/>
      <c r="AH4798" s="341"/>
      <c r="AI4798" s="218"/>
      <c r="AJ4798" s="218"/>
      <c r="AK4798" s="153"/>
      <c r="AL4798" s="152"/>
      <c r="AM4798" s="152"/>
      <c r="AN4798" s="152"/>
      <c r="AO4798" s="152"/>
      <c r="AP4798" s="152"/>
      <c r="AQ4798" s="152"/>
      <c r="AR4798" s="152"/>
      <c r="AS4798" s="152"/>
      <c r="AT4798" s="152"/>
      <c r="AU4798" s="153"/>
      <c r="AV4798" s="479"/>
      <c r="AW4798" s="479"/>
      <c r="AX4798" s="442"/>
      <c r="AY4798" s="153"/>
      <c r="AZ4798" s="152"/>
      <c r="BA4798" s="152"/>
      <c r="BB4798" s="152"/>
      <c r="BC4798" s="152"/>
      <c r="BD4798" s="152"/>
      <c r="BE4798" s="152"/>
      <c r="BF4798" s="152"/>
      <c r="BG4798" s="152"/>
      <c r="BH4798" s="152"/>
      <c r="BI4798" s="153"/>
      <c r="BJ4798" s="153"/>
      <c r="BK4798" s="153"/>
      <c r="BL4798" s="153"/>
      <c r="BM4798" s="153"/>
      <c r="BN4798" s="153"/>
      <c r="BO4798" s="153"/>
      <c r="BP4798" s="153"/>
      <c r="BQ4798" s="153"/>
      <c r="BR4798" s="153"/>
      <c r="BS4798" s="153"/>
      <c r="BT4798" s="153"/>
      <c r="BU4798" s="153"/>
      <c r="BV4798" s="153"/>
      <c r="BW4798" s="153"/>
      <c r="BX4798" s="153"/>
      <c r="BY4798" s="153"/>
      <c r="BZ4798" s="153"/>
      <c r="CA4798" s="152"/>
      <c r="CB4798" s="152"/>
    </row>
    <row r="4799" spans="1:80" s="87" customFormat="1" ht="14.25" customHeight="1" x14ac:dyDescent="0.2">
      <c r="A4799" s="152"/>
      <c r="B4799" s="683"/>
      <c r="C4799" s="683"/>
      <c r="D4799" s="698"/>
      <c r="E4799" s="215"/>
      <c r="F4799" s="215"/>
      <c r="G4799" s="153"/>
      <c r="H4799" s="153"/>
      <c r="I4799" s="306">
        <v>20</v>
      </c>
      <c r="J4799" s="306">
        <v>120</v>
      </c>
      <c r="K4799" s="150">
        <v>1</v>
      </c>
      <c r="L4799" s="656">
        <v>40</v>
      </c>
      <c r="M4799" s="663">
        <v>34463</v>
      </c>
      <c r="N4799" s="600">
        <v>3.59571</v>
      </c>
      <c r="O4799" s="604">
        <v>5.7730000000000004E-3</v>
      </c>
      <c r="P4799" s="250"/>
      <c r="Q4799" s="250"/>
      <c r="R4799" s="250"/>
      <c r="S4799" s="250"/>
      <c r="T4799" s="250">
        <v>6.3E-2</v>
      </c>
      <c r="U4799" s="250">
        <v>0.18899999999999997</v>
      </c>
      <c r="V4799" s="250">
        <v>0.35600000000000004</v>
      </c>
      <c r="W4799" s="250">
        <v>0.27200000000000002</v>
      </c>
      <c r="X4799" s="250">
        <v>0.11599999999999999</v>
      </c>
      <c r="Y4799" s="250">
        <v>4.0000000000000001E-3</v>
      </c>
      <c r="Z4799" s="150"/>
      <c r="AA4799" s="150">
        <v>1.23</v>
      </c>
      <c r="AB4799" s="152"/>
      <c r="AC4799" s="152"/>
      <c r="AD4799" s="223"/>
      <c r="AE4799" s="223"/>
      <c r="AF4799" s="223"/>
      <c r="AG4799" s="223"/>
      <c r="AH4799" s="341"/>
      <c r="AI4799" s="218"/>
      <c r="AJ4799" s="218"/>
      <c r="AK4799" s="153"/>
      <c r="AL4799" s="152"/>
      <c r="AM4799" s="152"/>
      <c r="AN4799" s="152"/>
      <c r="AO4799" s="152"/>
      <c r="AP4799" s="152"/>
      <c r="AQ4799" s="152"/>
      <c r="AR4799" s="152"/>
      <c r="AS4799" s="152"/>
      <c r="AT4799" s="152"/>
      <c r="AU4799" s="153"/>
      <c r="AV4799" s="479"/>
      <c r="AW4799" s="479"/>
      <c r="AX4799" s="442"/>
      <c r="AY4799" s="153"/>
      <c r="AZ4799" s="152"/>
      <c r="BA4799" s="152"/>
      <c r="BB4799" s="152"/>
      <c r="BC4799" s="152"/>
      <c r="BD4799" s="152"/>
      <c r="BE4799" s="152"/>
      <c r="BF4799" s="152"/>
      <c r="BG4799" s="152"/>
      <c r="BH4799" s="152"/>
      <c r="BI4799" s="153"/>
      <c r="BJ4799" s="153"/>
      <c r="BK4799" s="153"/>
      <c r="BL4799" s="153"/>
      <c r="BM4799" s="153"/>
      <c r="BN4799" s="153"/>
      <c r="BO4799" s="153"/>
      <c r="BP4799" s="153"/>
      <c r="BQ4799" s="153"/>
      <c r="BR4799" s="153"/>
      <c r="BS4799" s="153"/>
      <c r="BT4799" s="153"/>
      <c r="BU4799" s="153"/>
      <c r="BV4799" s="153"/>
      <c r="BW4799" s="153"/>
      <c r="BX4799" s="153"/>
      <c r="BY4799" s="153"/>
      <c r="BZ4799" s="153"/>
      <c r="CA4799" s="152"/>
      <c r="CB4799" s="152"/>
    </row>
    <row r="4800" spans="1:80" s="87" customFormat="1" ht="14.25" customHeight="1" x14ac:dyDescent="0.2">
      <c r="A4800" s="152"/>
      <c r="B4800" s="683"/>
      <c r="C4800" s="683"/>
      <c r="D4800" s="698"/>
      <c r="E4800" s="215"/>
      <c r="F4800" s="215"/>
      <c r="G4800" s="153"/>
      <c r="H4800" s="153"/>
      <c r="I4800" s="306">
        <v>20</v>
      </c>
      <c r="J4800" s="306">
        <v>120</v>
      </c>
      <c r="K4800" s="150">
        <v>1</v>
      </c>
      <c r="L4800" s="656">
        <v>40</v>
      </c>
      <c r="M4800" s="663">
        <v>34464</v>
      </c>
      <c r="N4800" s="600">
        <v>4.27522</v>
      </c>
      <c r="O4800" s="604">
        <v>4.4489999999999998E-3</v>
      </c>
      <c r="P4800" s="250"/>
      <c r="Q4800" s="250"/>
      <c r="R4800" s="250"/>
      <c r="S4800" s="250"/>
      <c r="T4800" s="250">
        <v>7.0999999999999994E-2</v>
      </c>
      <c r="U4800" s="250">
        <v>0.19</v>
      </c>
      <c r="V4800" s="250">
        <v>0.36799999999999999</v>
      </c>
      <c r="W4800" s="250">
        <v>0.26300000000000001</v>
      </c>
      <c r="X4800" s="250">
        <v>0.10099999999999999</v>
      </c>
      <c r="Y4800" s="250">
        <v>6.9999999999999993E-3</v>
      </c>
      <c r="Z4800" s="150"/>
      <c r="AA4800" s="150">
        <v>1.28</v>
      </c>
      <c r="AB4800" s="152"/>
      <c r="AC4800" s="152"/>
      <c r="AD4800" s="223"/>
      <c r="AE4800" s="223"/>
      <c r="AF4800" s="223"/>
      <c r="AG4800" s="223"/>
      <c r="AH4800" s="341"/>
      <c r="AI4800" s="218"/>
      <c r="AJ4800" s="218"/>
      <c r="AK4800" s="153"/>
      <c r="AL4800" s="152"/>
      <c r="AM4800" s="152"/>
      <c r="AN4800" s="152"/>
      <c r="AO4800" s="152"/>
      <c r="AP4800" s="152"/>
      <c r="AQ4800" s="152"/>
      <c r="AR4800" s="152"/>
      <c r="AS4800" s="152"/>
      <c r="AT4800" s="152"/>
      <c r="AU4800" s="153"/>
      <c r="AV4800" s="479"/>
      <c r="AW4800" s="479"/>
      <c r="AX4800" s="442"/>
      <c r="AY4800" s="153"/>
      <c r="AZ4800" s="152"/>
      <c r="BA4800" s="152"/>
      <c r="BB4800" s="152"/>
      <c r="BC4800" s="152"/>
      <c r="BD4800" s="152"/>
      <c r="BE4800" s="152"/>
      <c r="BF4800" s="152"/>
      <c r="BG4800" s="152"/>
      <c r="BH4800" s="152"/>
      <c r="BI4800" s="153"/>
      <c r="BJ4800" s="153"/>
      <c r="BK4800" s="153"/>
      <c r="BL4800" s="153"/>
      <c r="BM4800" s="153"/>
      <c r="BN4800" s="153"/>
      <c r="BO4800" s="153"/>
      <c r="BP4800" s="153"/>
      <c r="BQ4800" s="153"/>
      <c r="BR4800" s="153"/>
      <c r="BS4800" s="153"/>
      <c r="BT4800" s="153"/>
      <c r="BU4800" s="153"/>
      <c r="BV4800" s="153"/>
      <c r="BW4800" s="153"/>
      <c r="BX4800" s="153"/>
      <c r="BY4800" s="153"/>
      <c r="BZ4800" s="153"/>
      <c r="CA4800" s="152"/>
      <c r="CB4800" s="152"/>
    </row>
    <row r="4801" spans="1:80" s="87" customFormat="1" ht="14.25" customHeight="1" x14ac:dyDescent="0.2">
      <c r="A4801" s="152"/>
      <c r="B4801" s="683"/>
      <c r="C4801" s="683"/>
      <c r="D4801" s="698"/>
      <c r="E4801" s="215"/>
      <c r="F4801" s="215"/>
      <c r="G4801" s="153"/>
      <c r="H4801" s="153"/>
      <c r="I4801" s="306">
        <v>20</v>
      </c>
      <c r="J4801" s="306">
        <v>120</v>
      </c>
      <c r="K4801" s="150">
        <v>1</v>
      </c>
      <c r="L4801" s="656">
        <v>40</v>
      </c>
      <c r="M4801" s="663">
        <v>34465</v>
      </c>
      <c r="N4801" s="600">
        <v>3.7938999999999998</v>
      </c>
      <c r="O4801" s="604">
        <v>4.7650000000000001E-3</v>
      </c>
      <c r="P4801" s="250"/>
      <c r="Q4801" s="250"/>
      <c r="R4801" s="250"/>
      <c r="S4801" s="250"/>
      <c r="T4801" s="250">
        <v>0.08</v>
      </c>
      <c r="U4801" s="250">
        <v>0.27100000000000002</v>
      </c>
      <c r="V4801" s="250">
        <v>0.375</v>
      </c>
      <c r="W4801" s="250">
        <v>0.20399999999999999</v>
      </c>
      <c r="X4801" s="250">
        <v>6.7000000000000004E-2</v>
      </c>
      <c r="Y4801" s="250">
        <v>2E-3</v>
      </c>
      <c r="Z4801" s="150"/>
      <c r="AA4801" s="150">
        <v>1.52</v>
      </c>
      <c r="AB4801" s="152"/>
      <c r="AC4801" s="152"/>
      <c r="AD4801" s="223"/>
      <c r="AE4801" s="223"/>
      <c r="AF4801" s="223"/>
      <c r="AG4801" s="223"/>
      <c r="AH4801" s="341"/>
      <c r="AI4801" s="218"/>
      <c r="AJ4801" s="218"/>
      <c r="AK4801" s="153"/>
      <c r="AL4801" s="152"/>
      <c r="AM4801" s="152"/>
      <c r="AN4801" s="152"/>
      <c r="AO4801" s="152"/>
      <c r="AP4801" s="152"/>
      <c r="AQ4801" s="152"/>
      <c r="AR4801" s="152"/>
      <c r="AS4801" s="152"/>
      <c r="AT4801" s="152"/>
      <c r="AU4801" s="153"/>
      <c r="AV4801" s="479"/>
      <c r="AW4801" s="479"/>
      <c r="AX4801" s="442"/>
      <c r="AY4801" s="153"/>
      <c r="AZ4801" s="152"/>
      <c r="BA4801" s="152"/>
      <c r="BB4801" s="152"/>
      <c r="BC4801" s="152"/>
      <c r="BD4801" s="152"/>
      <c r="BE4801" s="152"/>
      <c r="BF4801" s="152"/>
      <c r="BG4801" s="152"/>
      <c r="BH4801" s="152"/>
      <c r="BI4801" s="153"/>
      <c r="BJ4801" s="153"/>
      <c r="BK4801" s="153"/>
      <c r="BL4801" s="153"/>
      <c r="BM4801" s="153"/>
      <c r="BN4801" s="153"/>
      <c r="BO4801" s="153"/>
      <c r="BP4801" s="153"/>
      <c r="BQ4801" s="153"/>
      <c r="BR4801" s="153"/>
      <c r="BS4801" s="153"/>
      <c r="BT4801" s="153"/>
      <c r="BU4801" s="153"/>
      <c r="BV4801" s="153"/>
      <c r="BW4801" s="153"/>
      <c r="BX4801" s="153"/>
      <c r="BY4801" s="153"/>
      <c r="BZ4801" s="153"/>
      <c r="CA4801" s="152"/>
      <c r="CB4801" s="152"/>
    </row>
    <row r="4802" spans="1:80" s="87" customFormat="1" ht="14.25" customHeight="1" x14ac:dyDescent="0.2">
      <c r="A4802" s="152"/>
      <c r="B4802" s="683"/>
      <c r="C4802" s="683"/>
      <c r="D4802" s="698"/>
      <c r="E4802" s="215"/>
      <c r="F4802" s="215"/>
      <c r="G4802" s="153"/>
      <c r="H4802" s="153"/>
      <c r="I4802" s="306">
        <v>20</v>
      </c>
      <c r="J4802" s="306">
        <v>60</v>
      </c>
      <c r="K4802" s="150">
        <v>1</v>
      </c>
      <c r="L4802" s="656">
        <v>20</v>
      </c>
      <c r="M4802" s="663">
        <v>34471</v>
      </c>
      <c r="N4802" s="600">
        <v>2.2366999999999999</v>
      </c>
      <c r="O4802" s="604">
        <v>8.5540000000000008E-3</v>
      </c>
      <c r="P4802" s="250"/>
      <c r="Q4802" s="250"/>
      <c r="R4802" s="250"/>
      <c r="S4802" s="250"/>
      <c r="T4802" s="250">
        <v>0.13500000000000001</v>
      </c>
      <c r="U4802" s="250">
        <v>0.33200000000000002</v>
      </c>
      <c r="V4802" s="250">
        <v>0.30099999999999999</v>
      </c>
      <c r="W4802" s="250">
        <v>0.17499999999999999</v>
      </c>
      <c r="X4802" s="250">
        <v>5.5E-2</v>
      </c>
      <c r="Y4802" s="250">
        <v>3.0000000000000001E-3</v>
      </c>
      <c r="Z4802" s="150"/>
      <c r="AA4802" s="150">
        <v>1.85</v>
      </c>
      <c r="AB4802" s="152"/>
      <c r="AC4802" s="152"/>
      <c r="AD4802" s="223"/>
      <c r="AE4802" s="223"/>
      <c r="AF4802" s="223"/>
      <c r="AG4802" s="223"/>
      <c r="AH4802" s="341"/>
      <c r="AI4802" s="218"/>
      <c r="AJ4802" s="218"/>
      <c r="AK4802" s="153"/>
      <c r="AL4802" s="152"/>
      <c r="AM4802" s="152"/>
      <c r="AN4802" s="152"/>
      <c r="AO4802" s="152"/>
      <c r="AP4802" s="152"/>
      <c r="AQ4802" s="152"/>
      <c r="AR4802" s="152"/>
      <c r="AS4802" s="152"/>
      <c r="AT4802" s="152"/>
      <c r="AU4802" s="153"/>
      <c r="AV4802" s="479"/>
      <c r="AW4802" s="479"/>
      <c r="AX4802" s="442"/>
      <c r="AY4802" s="153"/>
      <c r="AZ4802" s="152"/>
      <c r="BA4802" s="152"/>
      <c r="BB4802" s="152"/>
      <c r="BC4802" s="152"/>
      <c r="BD4802" s="152"/>
      <c r="BE4802" s="152"/>
      <c r="BF4802" s="152"/>
      <c r="BG4802" s="152"/>
      <c r="BH4802" s="152"/>
      <c r="BI4802" s="153"/>
      <c r="BJ4802" s="153"/>
      <c r="BK4802" s="153"/>
      <c r="BL4802" s="153"/>
      <c r="BM4802" s="153"/>
      <c r="BN4802" s="153"/>
      <c r="BO4802" s="153"/>
      <c r="BP4802" s="153"/>
      <c r="BQ4802" s="153"/>
      <c r="BR4802" s="153"/>
      <c r="BS4802" s="153"/>
      <c r="BT4802" s="153"/>
      <c r="BU4802" s="153"/>
      <c r="BV4802" s="153"/>
      <c r="BW4802" s="153"/>
      <c r="BX4802" s="153"/>
      <c r="BY4802" s="153"/>
      <c r="BZ4802" s="153"/>
      <c r="CA4802" s="152"/>
      <c r="CB4802" s="152"/>
    </row>
    <row r="4803" spans="1:80" s="87" customFormat="1" ht="14.25" customHeight="1" x14ac:dyDescent="0.2">
      <c r="A4803" s="152"/>
      <c r="B4803" s="683"/>
      <c r="C4803" s="683"/>
      <c r="D4803" s="698"/>
      <c r="E4803" s="215"/>
      <c r="F4803" s="215"/>
      <c r="G4803" s="153"/>
      <c r="H4803" s="153"/>
      <c r="I4803" s="306">
        <v>20</v>
      </c>
      <c r="J4803" s="306">
        <v>60</v>
      </c>
      <c r="K4803" s="150">
        <v>1</v>
      </c>
      <c r="L4803" s="656">
        <v>20</v>
      </c>
      <c r="M4803" s="663">
        <v>34471</v>
      </c>
      <c r="N4803" s="600">
        <v>2.2366999999999999</v>
      </c>
      <c r="O4803" s="604">
        <v>7.8510000000000003E-3</v>
      </c>
      <c r="P4803" s="250"/>
      <c r="Q4803" s="250"/>
      <c r="R4803" s="250"/>
      <c r="S4803" s="250"/>
      <c r="T4803" s="250">
        <v>0.19800000000000001</v>
      </c>
      <c r="U4803" s="250">
        <v>0.29299999999999998</v>
      </c>
      <c r="V4803" s="250">
        <v>0.34100000000000003</v>
      </c>
      <c r="W4803" s="250">
        <v>0.14300000000000002</v>
      </c>
      <c r="X4803" s="250">
        <v>2.5000000000000001E-2</v>
      </c>
      <c r="Y4803" s="250">
        <v>0</v>
      </c>
      <c r="Z4803" s="150"/>
      <c r="AA4803" s="150">
        <v>1.96</v>
      </c>
      <c r="AB4803" s="152"/>
      <c r="AC4803" s="152"/>
      <c r="AD4803" s="223"/>
      <c r="AE4803" s="223"/>
      <c r="AF4803" s="223"/>
      <c r="AG4803" s="223"/>
      <c r="AH4803" s="341"/>
      <c r="AI4803" s="218"/>
      <c r="AJ4803" s="218"/>
      <c r="AK4803" s="153"/>
      <c r="AL4803" s="152"/>
      <c r="AM4803" s="152"/>
      <c r="AN4803" s="152"/>
      <c r="AO4803" s="152"/>
      <c r="AP4803" s="152"/>
      <c r="AQ4803" s="152"/>
      <c r="AR4803" s="152"/>
      <c r="AS4803" s="152"/>
      <c r="AT4803" s="152"/>
      <c r="AU4803" s="153"/>
      <c r="AV4803" s="479"/>
      <c r="AW4803" s="479"/>
      <c r="AX4803" s="442"/>
      <c r="AY4803" s="153"/>
      <c r="AZ4803" s="152"/>
      <c r="BA4803" s="152"/>
      <c r="BB4803" s="152"/>
      <c r="BC4803" s="152"/>
      <c r="BD4803" s="152"/>
      <c r="BE4803" s="152"/>
      <c r="BF4803" s="152"/>
      <c r="BG4803" s="152"/>
      <c r="BH4803" s="152"/>
      <c r="BI4803" s="153"/>
      <c r="BJ4803" s="153"/>
      <c r="BK4803" s="153"/>
      <c r="BL4803" s="153"/>
      <c r="BM4803" s="153"/>
      <c r="BN4803" s="153"/>
      <c r="BO4803" s="153"/>
      <c r="BP4803" s="153"/>
      <c r="BQ4803" s="153"/>
      <c r="BR4803" s="153"/>
      <c r="BS4803" s="153"/>
      <c r="BT4803" s="153"/>
      <c r="BU4803" s="153"/>
      <c r="BV4803" s="153"/>
      <c r="BW4803" s="153"/>
      <c r="BX4803" s="153"/>
      <c r="BY4803" s="153"/>
      <c r="BZ4803" s="153"/>
      <c r="CA4803" s="152"/>
      <c r="CB4803" s="152"/>
    </row>
    <row r="4804" spans="1:80" s="87" customFormat="1" ht="14.25" customHeight="1" x14ac:dyDescent="0.2">
      <c r="A4804" s="152"/>
      <c r="B4804" s="683"/>
      <c r="C4804" s="683"/>
      <c r="D4804" s="698"/>
      <c r="E4804" s="215"/>
      <c r="F4804" s="215"/>
      <c r="G4804" s="153"/>
      <c r="H4804" s="153"/>
      <c r="I4804" s="306">
        <v>20</v>
      </c>
      <c r="J4804" s="306">
        <v>60</v>
      </c>
      <c r="K4804" s="150">
        <v>1</v>
      </c>
      <c r="L4804" s="656">
        <v>20</v>
      </c>
      <c r="M4804" s="663">
        <v>34472</v>
      </c>
      <c r="N4804" s="600">
        <v>1.8969499999999999</v>
      </c>
      <c r="O4804" s="604">
        <v>5.594E-3</v>
      </c>
      <c r="P4804" s="250"/>
      <c r="Q4804" s="250"/>
      <c r="R4804" s="250"/>
      <c r="S4804" s="250"/>
      <c r="T4804" s="250">
        <v>0.22399999999999998</v>
      </c>
      <c r="U4804" s="250">
        <v>0.32899999999999996</v>
      </c>
      <c r="V4804" s="250">
        <v>0.28399999999999997</v>
      </c>
      <c r="W4804" s="250">
        <v>0.125</v>
      </c>
      <c r="X4804" s="250">
        <v>3.7000000000000005E-2</v>
      </c>
      <c r="Y4804" s="250">
        <v>2E-3</v>
      </c>
      <c r="Z4804" s="150"/>
      <c r="AA4804" s="150">
        <v>2.2400000000000002</v>
      </c>
      <c r="AB4804" s="152"/>
      <c r="AC4804" s="152"/>
      <c r="AD4804" s="223"/>
      <c r="AE4804" s="223"/>
      <c r="AF4804" s="223"/>
      <c r="AG4804" s="223"/>
      <c r="AH4804" s="341"/>
      <c r="AI4804" s="218"/>
      <c r="AJ4804" s="218"/>
      <c r="AK4804" s="153"/>
      <c r="AL4804" s="152"/>
      <c r="AM4804" s="152"/>
      <c r="AN4804" s="152"/>
      <c r="AO4804" s="152"/>
      <c r="AP4804" s="152"/>
      <c r="AQ4804" s="152"/>
      <c r="AR4804" s="152"/>
      <c r="AS4804" s="152"/>
      <c r="AT4804" s="152"/>
      <c r="AU4804" s="153"/>
      <c r="AV4804" s="479"/>
      <c r="AW4804" s="479"/>
      <c r="AX4804" s="442"/>
      <c r="AY4804" s="153"/>
      <c r="AZ4804" s="152"/>
      <c r="BA4804" s="152"/>
      <c r="BB4804" s="152"/>
      <c r="BC4804" s="152"/>
      <c r="BD4804" s="152"/>
      <c r="BE4804" s="152"/>
      <c r="BF4804" s="152"/>
      <c r="BG4804" s="152"/>
      <c r="BH4804" s="152"/>
      <c r="BI4804" s="153"/>
      <c r="BJ4804" s="153"/>
      <c r="BK4804" s="153"/>
      <c r="BL4804" s="153"/>
      <c r="BM4804" s="153"/>
      <c r="BN4804" s="153"/>
      <c r="BO4804" s="153"/>
      <c r="BP4804" s="153"/>
      <c r="BQ4804" s="153"/>
      <c r="BR4804" s="153"/>
      <c r="BS4804" s="153"/>
      <c r="BT4804" s="153"/>
      <c r="BU4804" s="153"/>
      <c r="BV4804" s="153"/>
      <c r="BW4804" s="153"/>
      <c r="BX4804" s="153"/>
      <c r="BY4804" s="153"/>
      <c r="BZ4804" s="153"/>
      <c r="CA4804" s="152"/>
      <c r="CB4804" s="152"/>
    </row>
    <row r="4805" spans="1:80" s="87" customFormat="1" ht="14.25" customHeight="1" x14ac:dyDescent="0.2">
      <c r="A4805" s="152"/>
      <c r="B4805" s="683"/>
      <c r="C4805" s="683"/>
      <c r="D4805" s="698"/>
      <c r="E4805" s="215"/>
      <c r="F4805" s="215"/>
      <c r="G4805" s="153"/>
      <c r="H4805" s="153"/>
      <c r="I4805" s="306">
        <v>20</v>
      </c>
      <c r="J4805" s="306">
        <v>60</v>
      </c>
      <c r="K4805" s="150">
        <v>1</v>
      </c>
      <c r="L4805" s="656">
        <v>20</v>
      </c>
      <c r="M4805" s="663">
        <v>34472</v>
      </c>
      <c r="N4805" s="600">
        <v>1.8969499999999999</v>
      </c>
      <c r="O4805" s="604">
        <v>2.183E-3</v>
      </c>
      <c r="P4805" s="250"/>
      <c r="Q4805" s="250"/>
      <c r="R4805" s="250"/>
      <c r="S4805" s="250"/>
      <c r="T4805" s="250">
        <v>6.9000000000000006E-2</v>
      </c>
      <c r="U4805" s="250">
        <v>0.48599999999999999</v>
      </c>
      <c r="V4805" s="250">
        <v>0.36</v>
      </c>
      <c r="W4805" s="250">
        <v>7.2999999999999995E-2</v>
      </c>
      <c r="X4805" s="250">
        <v>1.1000000000000001E-2</v>
      </c>
      <c r="Y4805" s="250">
        <v>1E-3</v>
      </c>
      <c r="Z4805" s="150"/>
      <c r="AA4805" s="150">
        <v>2.16</v>
      </c>
      <c r="AB4805" s="152"/>
      <c r="AC4805" s="152"/>
      <c r="AD4805" s="223"/>
      <c r="AE4805" s="223"/>
      <c r="AF4805" s="223"/>
      <c r="AG4805" s="223"/>
      <c r="AH4805" s="341"/>
      <c r="AI4805" s="218"/>
      <c r="AJ4805" s="218"/>
      <c r="AK4805" s="153"/>
      <c r="AL4805" s="152"/>
      <c r="AM4805" s="152"/>
      <c r="AN4805" s="152"/>
      <c r="AO4805" s="152"/>
      <c r="AP4805" s="152"/>
      <c r="AQ4805" s="152"/>
      <c r="AR4805" s="152"/>
      <c r="AS4805" s="152"/>
      <c r="AT4805" s="152"/>
      <c r="AU4805" s="153"/>
      <c r="AV4805" s="479"/>
      <c r="AW4805" s="479"/>
      <c r="AX4805" s="442"/>
      <c r="AY4805" s="153"/>
      <c r="AZ4805" s="152"/>
      <c r="BA4805" s="152"/>
      <c r="BB4805" s="152"/>
      <c r="BC4805" s="152"/>
      <c r="BD4805" s="152"/>
      <c r="BE4805" s="152"/>
      <c r="BF4805" s="152"/>
      <c r="BG4805" s="152"/>
      <c r="BH4805" s="152"/>
      <c r="BI4805" s="153"/>
      <c r="BJ4805" s="153"/>
      <c r="BK4805" s="153"/>
      <c r="BL4805" s="153"/>
      <c r="BM4805" s="153"/>
      <c r="BN4805" s="153"/>
      <c r="BO4805" s="153"/>
      <c r="BP4805" s="153"/>
      <c r="BQ4805" s="153"/>
      <c r="BR4805" s="153"/>
      <c r="BS4805" s="153"/>
      <c r="BT4805" s="153"/>
      <c r="BU4805" s="153"/>
      <c r="BV4805" s="153"/>
      <c r="BW4805" s="153"/>
      <c r="BX4805" s="153"/>
      <c r="BY4805" s="153"/>
      <c r="BZ4805" s="153"/>
      <c r="CA4805" s="152"/>
      <c r="CB4805" s="152"/>
    </row>
    <row r="4806" spans="1:80" s="87" customFormat="1" ht="14.25" customHeight="1" x14ac:dyDescent="0.2">
      <c r="A4806" s="152"/>
      <c r="B4806" s="683"/>
      <c r="C4806" s="683"/>
      <c r="D4806" s="698"/>
      <c r="E4806" s="215"/>
      <c r="F4806" s="215"/>
      <c r="G4806" s="153"/>
      <c r="H4806" s="153"/>
      <c r="I4806" s="306">
        <v>20</v>
      </c>
      <c r="J4806" s="306">
        <v>120</v>
      </c>
      <c r="K4806" s="150">
        <v>1</v>
      </c>
      <c r="L4806" s="656">
        <v>40</v>
      </c>
      <c r="M4806" s="663">
        <v>34473</v>
      </c>
      <c r="N4806" s="600">
        <v>1.75539</v>
      </c>
      <c r="O4806" s="604">
        <v>7.0399999999999998E-4</v>
      </c>
      <c r="P4806" s="250"/>
      <c r="Q4806" s="250"/>
      <c r="R4806" s="250"/>
      <c r="S4806" s="250"/>
      <c r="T4806" s="250">
        <v>7.0000000000000007E-2</v>
      </c>
      <c r="U4806" s="250">
        <v>0.32500000000000001</v>
      </c>
      <c r="V4806" s="250">
        <v>0.33399999999999996</v>
      </c>
      <c r="W4806" s="250">
        <v>0.21</v>
      </c>
      <c r="X4806" s="250">
        <v>5.7999999999999996E-2</v>
      </c>
      <c r="Y4806" s="250">
        <v>3.0000000000000001E-3</v>
      </c>
      <c r="Z4806" s="150"/>
      <c r="AA4806" s="150">
        <v>1.61</v>
      </c>
      <c r="AB4806" s="152"/>
      <c r="AC4806" s="152"/>
      <c r="AD4806" s="223"/>
      <c r="AE4806" s="223"/>
      <c r="AF4806" s="223"/>
      <c r="AG4806" s="223"/>
      <c r="AH4806" s="341"/>
      <c r="AI4806" s="218"/>
      <c r="AJ4806" s="218"/>
      <c r="AK4806" s="153"/>
      <c r="AL4806" s="152"/>
      <c r="AM4806" s="152"/>
      <c r="AN4806" s="152"/>
      <c r="AO4806" s="152"/>
      <c r="AP4806" s="152"/>
      <c r="AQ4806" s="152"/>
      <c r="AR4806" s="152"/>
      <c r="AS4806" s="152"/>
      <c r="AT4806" s="152"/>
      <c r="AU4806" s="153"/>
      <c r="AV4806" s="479"/>
      <c r="AW4806" s="479"/>
      <c r="AX4806" s="442"/>
      <c r="AY4806" s="153"/>
      <c r="AZ4806" s="152"/>
      <c r="BA4806" s="152"/>
      <c r="BB4806" s="152"/>
      <c r="BC4806" s="152"/>
      <c r="BD4806" s="152"/>
      <c r="BE4806" s="152"/>
      <c r="BF4806" s="152"/>
      <c r="BG4806" s="152"/>
      <c r="BH4806" s="152"/>
      <c r="BI4806" s="153"/>
      <c r="BJ4806" s="153"/>
      <c r="BK4806" s="153"/>
      <c r="BL4806" s="153"/>
      <c r="BM4806" s="153"/>
      <c r="BN4806" s="153"/>
      <c r="BO4806" s="153"/>
      <c r="BP4806" s="153"/>
      <c r="BQ4806" s="153"/>
      <c r="BR4806" s="153"/>
      <c r="BS4806" s="153"/>
      <c r="BT4806" s="153"/>
      <c r="BU4806" s="153"/>
      <c r="BV4806" s="153"/>
      <c r="BW4806" s="153"/>
      <c r="BX4806" s="153"/>
      <c r="BY4806" s="153"/>
      <c r="BZ4806" s="153"/>
      <c r="CA4806" s="152"/>
      <c r="CB4806" s="152"/>
    </row>
    <row r="4807" spans="1:80" s="87" customFormat="1" ht="14.25" customHeight="1" x14ac:dyDescent="0.2">
      <c r="A4807" s="152"/>
      <c r="B4807" s="683"/>
      <c r="C4807" s="683"/>
      <c r="D4807" s="698"/>
      <c r="E4807" s="215"/>
      <c r="F4807" s="215"/>
      <c r="G4807" s="153"/>
      <c r="H4807" s="153"/>
      <c r="I4807" s="306">
        <v>20</v>
      </c>
      <c r="J4807" s="306">
        <v>120</v>
      </c>
      <c r="K4807" s="150">
        <v>1</v>
      </c>
      <c r="L4807" s="656">
        <v>40</v>
      </c>
      <c r="M4807" s="663">
        <v>34477</v>
      </c>
      <c r="N4807" s="600">
        <v>1.4722599999999999</v>
      </c>
      <c r="O4807" s="604">
        <v>3.5100000000000002E-4</v>
      </c>
      <c r="P4807" s="250"/>
      <c r="Q4807" s="250"/>
      <c r="R4807" s="250"/>
      <c r="S4807" s="250"/>
      <c r="T4807" s="250"/>
      <c r="U4807" s="250">
        <v>0.37</v>
      </c>
      <c r="V4807" s="250">
        <v>0.36299999999999999</v>
      </c>
      <c r="W4807" s="250">
        <v>0.19</v>
      </c>
      <c r="X4807" s="250">
        <v>7.2000000000000008E-2</v>
      </c>
      <c r="Y4807" s="250">
        <v>4.0000000000000001E-3</v>
      </c>
      <c r="Z4807" s="150"/>
      <c r="AA4807" s="150">
        <v>1.56</v>
      </c>
      <c r="AB4807" s="152"/>
      <c r="AC4807" s="152"/>
      <c r="AD4807" s="223"/>
      <c r="AE4807" s="223"/>
      <c r="AF4807" s="223"/>
      <c r="AG4807" s="223"/>
      <c r="AH4807" s="341"/>
      <c r="AI4807" s="218"/>
      <c r="AJ4807" s="218"/>
      <c r="AK4807" s="153"/>
      <c r="AL4807" s="152"/>
      <c r="AM4807" s="152"/>
      <c r="AN4807" s="152"/>
      <c r="AO4807" s="152"/>
      <c r="AP4807" s="152"/>
      <c r="AQ4807" s="152"/>
      <c r="AR4807" s="152"/>
      <c r="AS4807" s="152"/>
      <c r="AT4807" s="152"/>
      <c r="AU4807" s="153"/>
      <c r="AV4807" s="479"/>
      <c r="AW4807" s="479"/>
      <c r="AX4807" s="442"/>
      <c r="AY4807" s="153"/>
      <c r="AZ4807" s="152"/>
      <c r="BA4807" s="152"/>
      <c r="BB4807" s="152"/>
      <c r="BC4807" s="152"/>
      <c r="BD4807" s="152"/>
      <c r="BE4807" s="152"/>
      <c r="BF4807" s="152"/>
      <c r="BG4807" s="152"/>
      <c r="BH4807" s="152"/>
      <c r="BI4807" s="153"/>
      <c r="BJ4807" s="153"/>
      <c r="BK4807" s="153"/>
      <c r="BL4807" s="153"/>
      <c r="BM4807" s="153"/>
      <c r="BN4807" s="153"/>
      <c r="BO4807" s="153"/>
      <c r="BP4807" s="153"/>
      <c r="BQ4807" s="153"/>
      <c r="BR4807" s="153"/>
      <c r="BS4807" s="153"/>
      <c r="BT4807" s="153"/>
      <c r="BU4807" s="153"/>
      <c r="BV4807" s="153"/>
      <c r="BW4807" s="153"/>
      <c r="BX4807" s="153"/>
      <c r="BY4807" s="153"/>
      <c r="BZ4807" s="153"/>
      <c r="CA4807" s="152"/>
      <c r="CB4807" s="152"/>
    </row>
    <row r="4808" spans="1:80" s="87" customFormat="1" ht="14.25" customHeight="1" x14ac:dyDescent="0.2">
      <c r="A4808" s="152"/>
      <c r="B4808" s="683"/>
      <c r="C4808" s="683"/>
      <c r="D4808" s="698"/>
      <c r="E4808" s="215"/>
      <c r="F4808" s="215"/>
      <c r="G4808" s="153"/>
      <c r="H4808" s="153"/>
      <c r="I4808" s="306">
        <v>20</v>
      </c>
      <c r="J4808" s="306">
        <v>120</v>
      </c>
      <c r="K4808" s="150">
        <v>1</v>
      </c>
      <c r="L4808" s="656">
        <v>40</v>
      </c>
      <c r="M4808" s="663">
        <v>34478</v>
      </c>
      <c r="N4808" s="600">
        <v>1.58551</v>
      </c>
      <c r="O4808" s="604">
        <v>2.9300000000000002E-4</v>
      </c>
      <c r="P4808" s="250"/>
      <c r="Q4808" s="250"/>
      <c r="R4808" s="250"/>
      <c r="S4808" s="250"/>
      <c r="T4808" s="250">
        <v>3.6000000000000004E-2</v>
      </c>
      <c r="U4808" s="250">
        <v>0.16899999999999998</v>
      </c>
      <c r="V4808" s="250">
        <v>0.43099999999999999</v>
      </c>
      <c r="W4808" s="250">
        <v>0.28399999999999997</v>
      </c>
      <c r="X4808" s="250">
        <v>7.9000000000000001E-2</v>
      </c>
      <c r="Y4808" s="250">
        <v>2E-3</v>
      </c>
      <c r="Z4808" s="150"/>
      <c r="AA4808" s="150">
        <v>1.24</v>
      </c>
      <c r="AB4808" s="152"/>
      <c r="AC4808" s="152"/>
      <c r="AD4808" s="223"/>
      <c r="AE4808" s="223"/>
      <c r="AF4808" s="223"/>
      <c r="AG4808" s="223"/>
      <c r="AH4808" s="341"/>
      <c r="AI4808" s="218"/>
      <c r="AJ4808" s="218"/>
      <c r="AK4808" s="153"/>
      <c r="AL4808" s="152"/>
      <c r="AM4808" s="152"/>
      <c r="AN4808" s="152"/>
      <c r="AO4808" s="152"/>
      <c r="AP4808" s="152"/>
      <c r="AQ4808" s="152"/>
      <c r="AR4808" s="152"/>
      <c r="AS4808" s="152"/>
      <c r="AT4808" s="152"/>
      <c r="AU4808" s="153"/>
      <c r="AV4808" s="479"/>
      <c r="AW4808" s="479"/>
      <c r="AX4808" s="442"/>
      <c r="AY4808" s="153"/>
      <c r="AZ4808" s="152"/>
      <c r="BA4808" s="152"/>
      <c r="BB4808" s="152"/>
      <c r="BC4808" s="152"/>
      <c r="BD4808" s="152"/>
      <c r="BE4808" s="152"/>
      <c r="BF4808" s="152"/>
      <c r="BG4808" s="152"/>
      <c r="BH4808" s="152"/>
      <c r="BI4808" s="153"/>
      <c r="BJ4808" s="153"/>
      <c r="BK4808" s="153"/>
      <c r="BL4808" s="153"/>
      <c r="BM4808" s="153"/>
      <c r="BN4808" s="153"/>
      <c r="BO4808" s="153"/>
      <c r="BP4808" s="153"/>
      <c r="BQ4808" s="153"/>
      <c r="BR4808" s="153"/>
      <c r="BS4808" s="153"/>
      <c r="BT4808" s="153"/>
      <c r="BU4808" s="153"/>
      <c r="BV4808" s="153"/>
      <c r="BW4808" s="153"/>
      <c r="BX4808" s="153"/>
      <c r="BY4808" s="153"/>
      <c r="BZ4808" s="153"/>
      <c r="CA4808" s="152"/>
      <c r="CB4808" s="152"/>
    </row>
    <row r="4809" spans="1:80" s="87" customFormat="1" ht="14.25" customHeight="1" x14ac:dyDescent="0.2">
      <c r="A4809" s="152"/>
      <c r="B4809" s="683"/>
      <c r="C4809" s="683"/>
      <c r="D4809" s="698"/>
      <c r="E4809" s="215"/>
      <c r="F4809" s="215"/>
      <c r="G4809" s="153"/>
      <c r="H4809" s="153"/>
      <c r="I4809" s="306">
        <v>20</v>
      </c>
      <c r="J4809" s="306">
        <v>60</v>
      </c>
      <c r="K4809" s="150">
        <v>1</v>
      </c>
      <c r="L4809" s="656">
        <v>20</v>
      </c>
      <c r="M4809" s="663">
        <v>34479</v>
      </c>
      <c r="N4809" s="600">
        <v>1.8120099999999999</v>
      </c>
      <c r="O4809" s="604">
        <v>4.1980000000000003E-3</v>
      </c>
      <c r="P4809" s="250"/>
      <c r="Q4809" s="250"/>
      <c r="R4809" s="250"/>
      <c r="S4809" s="250"/>
      <c r="T4809" s="250"/>
      <c r="U4809" s="250">
        <v>0.19600000000000001</v>
      </c>
      <c r="V4809" s="250">
        <v>0.441</v>
      </c>
      <c r="W4809" s="250">
        <v>0.28100000000000003</v>
      </c>
      <c r="X4809" s="250">
        <v>0.08</v>
      </c>
      <c r="Y4809" s="250">
        <v>3.0000000000000001E-3</v>
      </c>
      <c r="Z4809" s="150"/>
      <c r="AA4809" s="150">
        <v>1.24</v>
      </c>
      <c r="AB4809" s="152"/>
      <c r="AC4809" s="152"/>
      <c r="AD4809" s="223"/>
      <c r="AE4809" s="223"/>
      <c r="AF4809" s="223"/>
      <c r="AG4809" s="223"/>
      <c r="AH4809" s="341"/>
      <c r="AI4809" s="218"/>
      <c r="AJ4809" s="218"/>
      <c r="AK4809" s="153"/>
      <c r="AL4809" s="152"/>
      <c r="AM4809" s="152"/>
      <c r="AN4809" s="152"/>
      <c r="AO4809" s="152"/>
      <c r="AP4809" s="152"/>
      <c r="AQ4809" s="152"/>
      <c r="AR4809" s="152"/>
      <c r="AS4809" s="152"/>
      <c r="AT4809" s="152"/>
      <c r="AU4809" s="153"/>
      <c r="AV4809" s="479"/>
      <c r="AW4809" s="479"/>
      <c r="AX4809" s="442"/>
      <c r="AY4809" s="153"/>
      <c r="AZ4809" s="152"/>
      <c r="BA4809" s="152"/>
      <c r="BB4809" s="152"/>
      <c r="BC4809" s="152"/>
      <c r="BD4809" s="152"/>
      <c r="BE4809" s="152"/>
      <c r="BF4809" s="152"/>
      <c r="BG4809" s="152"/>
      <c r="BH4809" s="152"/>
      <c r="BI4809" s="153"/>
      <c r="BJ4809" s="153"/>
      <c r="BK4809" s="153"/>
      <c r="BL4809" s="153"/>
      <c r="BM4809" s="153"/>
      <c r="BN4809" s="153"/>
      <c r="BO4809" s="153"/>
      <c r="BP4809" s="153"/>
      <c r="BQ4809" s="153"/>
      <c r="BR4809" s="153"/>
      <c r="BS4809" s="153"/>
      <c r="BT4809" s="153"/>
      <c r="BU4809" s="153"/>
      <c r="BV4809" s="153"/>
      <c r="BW4809" s="153"/>
      <c r="BX4809" s="153"/>
      <c r="BY4809" s="153"/>
      <c r="BZ4809" s="153"/>
      <c r="CA4809" s="152"/>
      <c r="CB4809" s="152"/>
    </row>
    <row r="4810" spans="1:80" s="87" customFormat="1" ht="14.25" customHeight="1" x14ac:dyDescent="0.2">
      <c r="A4810" s="152"/>
      <c r="B4810" s="683"/>
      <c r="C4810" s="683"/>
      <c r="D4810" s="698"/>
      <c r="E4810" s="215"/>
      <c r="F4810" s="215"/>
      <c r="G4810" s="153"/>
      <c r="H4810" s="153"/>
      <c r="I4810" s="306">
        <v>20</v>
      </c>
      <c r="J4810" s="306">
        <v>60</v>
      </c>
      <c r="K4810" s="150">
        <v>1</v>
      </c>
      <c r="L4810" s="656">
        <v>20</v>
      </c>
      <c r="M4810" s="663">
        <v>34479</v>
      </c>
      <c r="N4810" s="600">
        <v>1.8120099999999999</v>
      </c>
      <c r="O4810" s="604">
        <v>8.2299999999999995E-4</v>
      </c>
      <c r="P4810" s="250"/>
      <c r="Q4810" s="250"/>
      <c r="R4810" s="250"/>
      <c r="S4810" s="250"/>
      <c r="T4810" s="250"/>
      <c r="U4810" s="250">
        <v>0.255</v>
      </c>
      <c r="V4810" s="250">
        <v>0.4</v>
      </c>
      <c r="W4810" s="250">
        <v>0.255</v>
      </c>
      <c r="X4810" s="250">
        <v>8.4000000000000005E-2</v>
      </c>
      <c r="Y4810" s="250">
        <v>6.0000000000000001E-3</v>
      </c>
      <c r="Z4810" s="150"/>
      <c r="AA4810" s="150">
        <v>1.31</v>
      </c>
      <c r="AB4810" s="152"/>
      <c r="AC4810" s="152"/>
      <c r="AD4810" s="223"/>
      <c r="AE4810" s="223"/>
      <c r="AF4810" s="223"/>
      <c r="AG4810" s="223"/>
      <c r="AH4810" s="341"/>
      <c r="AI4810" s="218"/>
      <c r="AJ4810" s="218"/>
      <c r="AK4810" s="153"/>
      <c r="AL4810" s="152"/>
      <c r="AM4810" s="152"/>
      <c r="AN4810" s="152"/>
      <c r="AO4810" s="152"/>
      <c r="AP4810" s="152"/>
      <c r="AQ4810" s="152"/>
      <c r="AR4810" s="152"/>
      <c r="AS4810" s="152"/>
      <c r="AT4810" s="152"/>
      <c r="AU4810" s="153"/>
      <c r="AV4810" s="479"/>
      <c r="AW4810" s="479"/>
      <c r="AX4810" s="442"/>
      <c r="AY4810" s="153"/>
      <c r="AZ4810" s="152"/>
      <c r="BA4810" s="152"/>
      <c r="BB4810" s="152"/>
      <c r="BC4810" s="152"/>
      <c r="BD4810" s="152"/>
      <c r="BE4810" s="152"/>
      <c r="BF4810" s="152"/>
      <c r="BG4810" s="152"/>
      <c r="BH4810" s="152"/>
      <c r="BI4810" s="153"/>
      <c r="BJ4810" s="153"/>
      <c r="BK4810" s="153"/>
      <c r="BL4810" s="153"/>
      <c r="BM4810" s="153"/>
      <c r="BN4810" s="153"/>
      <c r="BO4810" s="153"/>
      <c r="BP4810" s="153"/>
      <c r="BQ4810" s="153"/>
      <c r="BR4810" s="153"/>
      <c r="BS4810" s="153"/>
      <c r="BT4810" s="153"/>
      <c r="BU4810" s="153"/>
      <c r="BV4810" s="153"/>
      <c r="BW4810" s="153"/>
      <c r="BX4810" s="153"/>
      <c r="BY4810" s="153"/>
      <c r="BZ4810" s="153"/>
      <c r="CA4810" s="152"/>
      <c r="CB4810" s="152"/>
    </row>
    <row r="4811" spans="1:80" s="87" customFormat="1" ht="14.25" customHeight="1" x14ac:dyDescent="0.2">
      <c r="A4811" s="152"/>
      <c r="B4811" s="683"/>
      <c r="C4811" s="683"/>
      <c r="D4811" s="698"/>
      <c r="E4811" s="215"/>
      <c r="F4811" s="215"/>
      <c r="G4811" s="153"/>
      <c r="H4811" s="153"/>
      <c r="I4811" s="306">
        <v>20</v>
      </c>
      <c r="J4811" s="306">
        <v>120</v>
      </c>
      <c r="K4811" s="150">
        <v>1</v>
      </c>
      <c r="L4811" s="656">
        <v>40</v>
      </c>
      <c r="M4811" s="663">
        <v>34487</v>
      </c>
      <c r="N4811" s="600">
        <v>2.0668299999999999</v>
      </c>
      <c r="O4811" s="604">
        <v>8.4800000000000001E-4</v>
      </c>
      <c r="P4811" s="250"/>
      <c r="Q4811" s="250"/>
      <c r="R4811" s="250"/>
      <c r="S4811" s="250"/>
      <c r="T4811" s="250">
        <v>8.3000000000000004E-2</v>
      </c>
      <c r="U4811" s="250">
        <v>0.20199999999999999</v>
      </c>
      <c r="V4811" s="250">
        <v>0.34899999999999998</v>
      </c>
      <c r="W4811" s="250">
        <v>0.26</v>
      </c>
      <c r="X4811" s="250">
        <v>9.3000000000000013E-2</v>
      </c>
      <c r="Y4811" s="250">
        <v>1.2E-2</v>
      </c>
      <c r="Z4811" s="150"/>
      <c r="AA4811" s="150">
        <v>1.3</v>
      </c>
      <c r="AB4811" s="152"/>
      <c r="AC4811" s="152"/>
      <c r="AD4811" s="223"/>
      <c r="AE4811" s="223"/>
      <c r="AF4811" s="223"/>
      <c r="AG4811" s="223"/>
      <c r="AH4811" s="341"/>
      <c r="AI4811" s="218"/>
      <c r="AJ4811" s="218"/>
      <c r="AK4811" s="153"/>
      <c r="AL4811" s="152"/>
      <c r="AM4811" s="152"/>
      <c r="AN4811" s="152"/>
      <c r="AO4811" s="152"/>
      <c r="AP4811" s="152"/>
      <c r="AQ4811" s="152"/>
      <c r="AR4811" s="152"/>
      <c r="AS4811" s="152"/>
      <c r="AT4811" s="152"/>
      <c r="AU4811" s="153"/>
      <c r="AV4811" s="479"/>
      <c r="AW4811" s="479"/>
      <c r="AX4811" s="442"/>
      <c r="AY4811" s="153"/>
      <c r="AZ4811" s="152"/>
      <c r="BA4811" s="152"/>
      <c r="BB4811" s="152"/>
      <c r="BC4811" s="152"/>
      <c r="BD4811" s="152"/>
      <c r="BE4811" s="152"/>
      <c r="BF4811" s="152"/>
      <c r="BG4811" s="152"/>
      <c r="BH4811" s="152"/>
      <c r="BI4811" s="153"/>
      <c r="BJ4811" s="153"/>
      <c r="BK4811" s="153"/>
      <c r="BL4811" s="153"/>
      <c r="BM4811" s="153"/>
      <c r="BN4811" s="153"/>
      <c r="BO4811" s="153"/>
      <c r="BP4811" s="153"/>
      <c r="BQ4811" s="153"/>
      <c r="BR4811" s="153"/>
      <c r="BS4811" s="153"/>
      <c r="BT4811" s="153"/>
      <c r="BU4811" s="153"/>
      <c r="BV4811" s="153"/>
      <c r="BW4811" s="153"/>
      <c r="BX4811" s="153"/>
      <c r="BY4811" s="153"/>
      <c r="BZ4811" s="153"/>
      <c r="CA4811" s="152"/>
      <c r="CB4811" s="152"/>
    </row>
    <row r="4812" spans="1:80" s="87" customFormat="1" ht="14.25" customHeight="1" x14ac:dyDescent="0.2">
      <c r="A4812" s="152"/>
      <c r="B4812" s="683"/>
      <c r="C4812" s="683"/>
      <c r="D4812" s="698"/>
      <c r="E4812" s="215"/>
      <c r="F4812" s="215"/>
      <c r="G4812" s="153"/>
      <c r="H4812" s="153"/>
      <c r="I4812" s="306">
        <v>20</v>
      </c>
      <c r="J4812" s="306">
        <v>120</v>
      </c>
      <c r="K4812" s="150">
        <v>1</v>
      </c>
      <c r="L4812" s="656">
        <v>40</v>
      </c>
      <c r="M4812" s="663">
        <v>34494</v>
      </c>
      <c r="N4812" s="600">
        <v>1.16082</v>
      </c>
      <c r="O4812" s="604">
        <v>4.17E-4</v>
      </c>
      <c r="P4812" s="250"/>
      <c r="Q4812" s="250"/>
      <c r="R4812" s="250"/>
      <c r="S4812" s="250"/>
      <c r="T4812" s="250"/>
      <c r="U4812" s="250">
        <v>0.30199999999999999</v>
      </c>
      <c r="V4812" s="250">
        <v>0.37799999999999995</v>
      </c>
      <c r="W4812" s="250">
        <v>0.23699999999999999</v>
      </c>
      <c r="X4812" s="250">
        <v>8.1000000000000003E-2</v>
      </c>
      <c r="Y4812" s="250">
        <v>2E-3</v>
      </c>
      <c r="Z4812" s="150"/>
      <c r="AA4812" s="150">
        <v>1.39</v>
      </c>
      <c r="AB4812" s="152"/>
      <c r="AC4812" s="152"/>
      <c r="AD4812" s="223"/>
      <c r="AE4812" s="223"/>
      <c r="AF4812" s="223"/>
      <c r="AG4812" s="223"/>
      <c r="AH4812" s="341"/>
      <c r="AI4812" s="218"/>
      <c r="AJ4812" s="218"/>
      <c r="AK4812" s="153"/>
      <c r="AL4812" s="152"/>
      <c r="AM4812" s="152"/>
      <c r="AN4812" s="152"/>
      <c r="AO4812" s="152"/>
      <c r="AP4812" s="152"/>
      <c r="AQ4812" s="152"/>
      <c r="AR4812" s="152"/>
      <c r="AS4812" s="152"/>
      <c r="AT4812" s="152"/>
      <c r="AU4812" s="153"/>
      <c r="AV4812" s="479"/>
      <c r="AW4812" s="479"/>
      <c r="AX4812" s="442"/>
      <c r="AY4812" s="153"/>
      <c r="AZ4812" s="152"/>
      <c r="BA4812" s="152"/>
      <c r="BB4812" s="152"/>
      <c r="BC4812" s="152"/>
      <c r="BD4812" s="152"/>
      <c r="BE4812" s="152"/>
      <c r="BF4812" s="152"/>
      <c r="BG4812" s="152"/>
      <c r="BH4812" s="152"/>
      <c r="BI4812" s="153"/>
      <c r="BJ4812" s="153"/>
      <c r="BK4812" s="153"/>
      <c r="BL4812" s="153"/>
      <c r="BM4812" s="153"/>
      <c r="BN4812" s="153"/>
      <c r="BO4812" s="153"/>
      <c r="BP4812" s="153"/>
      <c r="BQ4812" s="153"/>
      <c r="BR4812" s="153"/>
      <c r="BS4812" s="153"/>
      <c r="BT4812" s="153"/>
      <c r="BU4812" s="153"/>
      <c r="BV4812" s="153"/>
      <c r="BW4812" s="153"/>
      <c r="BX4812" s="153"/>
      <c r="BY4812" s="153"/>
      <c r="BZ4812" s="153"/>
      <c r="CA4812" s="152"/>
      <c r="CB4812" s="152"/>
    </row>
    <row r="4813" spans="1:80" s="87" customFormat="1" ht="14.25" customHeight="1" x14ac:dyDescent="0.2">
      <c r="A4813" s="152"/>
      <c r="B4813" s="683"/>
      <c r="C4813" s="683"/>
      <c r="D4813" s="698"/>
      <c r="E4813" s="215"/>
      <c r="F4813" s="215"/>
      <c r="G4813" s="153"/>
      <c r="H4813" s="153"/>
      <c r="I4813" s="306">
        <v>20</v>
      </c>
      <c r="J4813" s="306">
        <v>120</v>
      </c>
      <c r="K4813" s="150">
        <v>1</v>
      </c>
      <c r="L4813" s="656">
        <v>40</v>
      </c>
      <c r="M4813" s="663">
        <v>34499</v>
      </c>
      <c r="N4813" s="600">
        <v>1.1325099999999999</v>
      </c>
      <c r="O4813" s="604">
        <v>2.2360000000000001E-3</v>
      </c>
      <c r="P4813" s="250"/>
      <c r="Q4813" s="250"/>
      <c r="R4813" s="250"/>
      <c r="S4813" s="250"/>
      <c r="T4813" s="250">
        <v>4.7E-2</v>
      </c>
      <c r="U4813" s="250">
        <v>0.29100000000000004</v>
      </c>
      <c r="V4813" s="250">
        <v>0.36499999999999999</v>
      </c>
      <c r="W4813" s="250">
        <v>0.222</v>
      </c>
      <c r="X4813" s="250">
        <v>7.2999999999999995E-2</v>
      </c>
      <c r="Y4813" s="250">
        <v>3.0000000000000001E-3</v>
      </c>
      <c r="Z4813" s="150"/>
      <c r="AA4813" s="150">
        <v>1.47</v>
      </c>
      <c r="AB4813" s="152"/>
      <c r="AC4813" s="152"/>
      <c r="AD4813" s="223"/>
      <c r="AE4813" s="223"/>
      <c r="AF4813" s="223"/>
      <c r="AG4813" s="223"/>
      <c r="AH4813" s="341"/>
      <c r="AI4813" s="218"/>
      <c r="AJ4813" s="218"/>
      <c r="AK4813" s="153"/>
      <c r="AL4813" s="152"/>
      <c r="AM4813" s="152"/>
      <c r="AN4813" s="152"/>
      <c r="AO4813" s="152"/>
      <c r="AP4813" s="152"/>
      <c r="AQ4813" s="152"/>
      <c r="AR4813" s="152"/>
      <c r="AS4813" s="152"/>
      <c r="AT4813" s="152"/>
      <c r="AU4813" s="153"/>
      <c r="AV4813" s="479"/>
      <c r="AW4813" s="479"/>
      <c r="AX4813" s="442"/>
      <c r="AY4813" s="153"/>
      <c r="AZ4813" s="152"/>
      <c r="BA4813" s="152"/>
      <c r="BB4813" s="152"/>
      <c r="BC4813" s="152"/>
      <c r="BD4813" s="152"/>
      <c r="BE4813" s="152"/>
      <c r="BF4813" s="152"/>
      <c r="BG4813" s="152"/>
      <c r="BH4813" s="152"/>
      <c r="BI4813" s="153"/>
      <c r="BJ4813" s="153"/>
      <c r="BK4813" s="153"/>
      <c r="BL4813" s="153"/>
      <c r="BM4813" s="153"/>
      <c r="BN4813" s="153"/>
      <c r="BO4813" s="153"/>
      <c r="BP4813" s="153"/>
      <c r="BQ4813" s="153"/>
      <c r="BR4813" s="153"/>
      <c r="BS4813" s="153"/>
      <c r="BT4813" s="153"/>
      <c r="BU4813" s="153"/>
      <c r="BV4813" s="153"/>
      <c r="BW4813" s="153"/>
      <c r="BX4813" s="153"/>
      <c r="BY4813" s="153"/>
      <c r="BZ4813" s="153"/>
      <c r="CA4813" s="152"/>
      <c r="CB4813" s="152"/>
    </row>
    <row r="4814" spans="1:80" ht="15" x14ac:dyDescent="0.25">
      <c r="A4814" s="9" t="s">
        <v>81</v>
      </c>
      <c r="B4814" s="639" t="s">
        <v>73</v>
      </c>
      <c r="C4814" s="639" t="s">
        <v>585</v>
      </c>
      <c r="D4814" s="4">
        <f>VLOOKUP(E4814,'Quality Code'!D4:E24,2,TRUE)*VLOOKUP(MROUND(F4814,10),'Quality Code'!D28:E69,2,TRUE)*VLOOKUP(COUNTA(CB4814:CB4824),'Quality Code'!D73:E93,2,TRUE)</f>
        <v>0.29166549999999997</v>
      </c>
      <c r="E4814" s="14">
        <v>0.7</v>
      </c>
      <c r="F4814" s="18">
        <v>12</v>
      </c>
      <c r="G4814" s="12">
        <v>91.417821999999987</v>
      </c>
      <c r="H4814" s="2" t="s">
        <v>72</v>
      </c>
      <c r="I4814" s="2">
        <v>10</v>
      </c>
      <c r="J4814" s="2" t="s">
        <v>290</v>
      </c>
      <c r="K4814" s="2">
        <v>4</v>
      </c>
      <c r="L4814" s="640" t="s">
        <v>284</v>
      </c>
      <c r="M4814" s="640">
        <v>1996</v>
      </c>
      <c r="N4814" s="578" t="s">
        <v>110</v>
      </c>
      <c r="O4814" s="578"/>
      <c r="P4814" s="10"/>
      <c r="Q4814" s="10"/>
      <c r="R4814" s="10"/>
      <c r="S4814" s="10"/>
      <c r="T4814" s="10"/>
      <c r="U4814" s="10"/>
      <c r="V4814" s="10"/>
      <c r="W4814" s="10"/>
      <c r="X4814" s="10"/>
      <c r="Y4814" s="10"/>
      <c r="Z4814" s="10"/>
      <c r="AA4814" s="10"/>
      <c r="AB4814" s="11" t="s">
        <v>92</v>
      </c>
      <c r="AC4814" s="116">
        <v>5.3E-3</v>
      </c>
      <c r="AD4814" s="11"/>
      <c r="AE4814" s="11"/>
      <c r="AF4814" s="10"/>
      <c r="AG4814" s="10"/>
      <c r="AH4814" s="345"/>
      <c r="AI4814" s="18">
        <v>19.399999999999999</v>
      </c>
      <c r="AJ4814" s="135">
        <v>1</v>
      </c>
      <c r="AK4814" s="135">
        <v>1</v>
      </c>
      <c r="AL4814" s="135">
        <v>0.77639999999999998</v>
      </c>
      <c r="AM4814" s="135">
        <v>0.56610000000000005</v>
      </c>
      <c r="AN4814" s="135">
        <v>0.47410000000000002</v>
      </c>
      <c r="AO4814" s="135">
        <v>0.38550000000000001</v>
      </c>
      <c r="AP4814" s="135">
        <v>0.31569999999999998</v>
      </c>
      <c r="AQ4814" s="135">
        <v>0.25590000000000002</v>
      </c>
      <c r="AR4814" s="135">
        <v>0.1993</v>
      </c>
      <c r="AS4814" s="135">
        <v>0.1351</v>
      </c>
      <c r="AT4814" s="135">
        <v>7.3700000000000002E-2</v>
      </c>
      <c r="AU4814" s="18">
        <v>83.9</v>
      </c>
      <c r="AV4814" s="135">
        <v>1</v>
      </c>
      <c r="AW4814" s="135">
        <v>1</v>
      </c>
      <c r="AX4814" s="135">
        <v>1</v>
      </c>
      <c r="AY4814" s="135">
        <v>0.72750000000000004</v>
      </c>
      <c r="AZ4814" s="135">
        <v>0.35439999999999999</v>
      </c>
      <c r="BA4814" s="135">
        <v>0.22800000000000001</v>
      </c>
      <c r="BB4814" s="135">
        <v>0.1472</v>
      </c>
      <c r="BC4814" s="135">
        <v>0.1053</v>
      </c>
      <c r="BD4814" s="135">
        <v>8.14E-2</v>
      </c>
      <c r="BE4814" s="135">
        <v>6.5299999999999997E-2</v>
      </c>
      <c r="BF4814" s="135">
        <v>5.28E-2</v>
      </c>
      <c r="BG4814" s="135">
        <v>3.9100000000000003E-2</v>
      </c>
      <c r="BH4814" s="135">
        <v>2.1999999999999999E-2</v>
      </c>
      <c r="BI4814" s="4">
        <f>AU4814/AI4814</f>
        <v>4.3247422680412377</v>
      </c>
      <c r="BJ4814" s="2" t="s">
        <v>68</v>
      </c>
      <c r="BK4814" s="2" t="s">
        <v>68</v>
      </c>
      <c r="BL4814" s="12"/>
      <c r="BM4814" s="12">
        <f>86*0.028317</f>
        <v>2.4352619999999998</v>
      </c>
      <c r="BN4814" s="12">
        <v>10.029999999999999</v>
      </c>
      <c r="BO4814" s="12">
        <v>0.39</v>
      </c>
      <c r="BP4814" s="12">
        <f>3.864766</f>
        <v>3.8647659999999999</v>
      </c>
      <c r="BQ4814" s="12"/>
      <c r="BR4814" s="12"/>
      <c r="BS4814" s="18">
        <v>2</v>
      </c>
      <c r="BT4814" s="12"/>
      <c r="BU4814" s="2"/>
      <c r="BV4814" s="2">
        <v>2.25</v>
      </c>
      <c r="BW4814" s="2"/>
      <c r="BX4814" s="2">
        <v>1.02</v>
      </c>
      <c r="BY4814" s="2" t="s">
        <v>85</v>
      </c>
      <c r="BZ4814" s="2"/>
      <c r="CA4814" s="9"/>
      <c r="CB4814" s="9" t="s">
        <v>225</v>
      </c>
    </row>
    <row r="4815" spans="1:80" s="87" customFormat="1" ht="15" x14ac:dyDescent="0.25">
      <c r="A4815" s="152"/>
      <c r="B4815" s="683"/>
      <c r="C4815" s="683"/>
      <c r="D4815" s="698"/>
      <c r="E4815" s="215"/>
      <c r="F4815" s="215"/>
      <c r="G4815" s="153"/>
      <c r="H4815" s="153"/>
      <c r="I4815" s="153"/>
      <c r="J4815" s="153"/>
      <c r="K4815" s="153"/>
      <c r="L4815" s="656">
        <v>40</v>
      </c>
      <c r="M4815" s="665">
        <v>35104</v>
      </c>
      <c r="N4815" s="597">
        <f>101.25*0.028317</f>
        <v>2.8670962499999999</v>
      </c>
      <c r="O4815" s="604">
        <v>5.0611414925246345E-2</v>
      </c>
      <c r="P4815" s="231"/>
      <c r="Q4815" s="231"/>
      <c r="R4815" s="478"/>
      <c r="S4815" s="478"/>
      <c r="T4815" s="478">
        <v>1.9588187170889648E-3</v>
      </c>
      <c r="U4815" s="478">
        <v>5.6586815997787684E-2</v>
      </c>
      <c r="V4815" s="478">
        <v>0.36056091350086994</v>
      </c>
      <c r="W4815" s="478">
        <v>0.34383029716432184</v>
      </c>
      <c r="X4815" s="478">
        <v>0.22372014241764318</v>
      </c>
      <c r="Y4815" s="478">
        <v>1.3343012202288361E-2</v>
      </c>
      <c r="Z4815" s="231"/>
      <c r="AA4815" s="231"/>
      <c r="AB4815" s="152"/>
      <c r="AC4815" s="152"/>
      <c r="AD4815" s="223">
        <f>35*0.3048</f>
        <v>10.668000000000001</v>
      </c>
      <c r="AE4815" s="152"/>
      <c r="AF4815" s="153"/>
      <c r="AG4815" s="153"/>
      <c r="AH4815" s="346"/>
      <c r="AI4815" s="218"/>
      <c r="AJ4815" s="218"/>
      <c r="AK4815" s="153"/>
      <c r="AL4815" s="152"/>
      <c r="AM4815" s="152"/>
      <c r="AN4815" s="152"/>
      <c r="AO4815" s="152"/>
      <c r="AP4815" s="152"/>
      <c r="AQ4815" s="152"/>
      <c r="AR4815" s="152"/>
      <c r="AS4815" s="152"/>
      <c r="AT4815" s="152"/>
      <c r="AU4815" s="155">
        <v>42</v>
      </c>
      <c r="AV4815" s="429"/>
      <c r="AW4815" s="429"/>
      <c r="AX4815" s="429"/>
      <c r="AY4815" s="153"/>
      <c r="AZ4815" s="152"/>
      <c r="BA4815" s="152"/>
      <c r="BB4815" s="152"/>
      <c r="BC4815" s="152"/>
      <c r="BD4815" s="152"/>
      <c r="BE4815" s="152"/>
      <c r="BF4815" s="152"/>
      <c r="BG4815" s="152"/>
      <c r="BH4815" s="152"/>
      <c r="BI4815" s="156">
        <f>AU4815/AI4814</f>
        <v>2.1649484536082477</v>
      </c>
      <c r="BJ4815" s="155" t="s">
        <v>68</v>
      </c>
      <c r="BK4815" s="155" t="s">
        <v>175</v>
      </c>
      <c r="BL4815" s="153"/>
      <c r="BM4815" s="153"/>
      <c r="BN4815" s="153"/>
      <c r="BO4815" s="153"/>
      <c r="BP4815" s="153"/>
      <c r="BQ4815" s="153"/>
      <c r="BR4815" s="153"/>
      <c r="BS4815" s="153"/>
      <c r="BT4815" s="153"/>
      <c r="BU4815" s="153"/>
      <c r="BV4815" s="153"/>
      <c r="BW4815" s="153"/>
      <c r="BX4815" s="153"/>
      <c r="BY4815" s="153"/>
      <c r="BZ4815" s="153"/>
      <c r="CA4815" s="152"/>
      <c r="CB4815" s="485" t="s">
        <v>642</v>
      </c>
    </row>
    <row r="4816" spans="1:80" s="87" customFormat="1" x14ac:dyDescent="0.2">
      <c r="A4816" s="152"/>
      <c r="B4816" s="683"/>
      <c r="C4816" s="683"/>
      <c r="D4816" s="698"/>
      <c r="E4816" s="215"/>
      <c r="F4816" s="215"/>
      <c r="G4816" s="153"/>
      <c r="H4816" s="153"/>
      <c r="I4816" s="153"/>
      <c r="J4816" s="153"/>
      <c r="K4816" s="153"/>
      <c r="L4816" s="656">
        <v>40</v>
      </c>
      <c r="M4816" s="665">
        <v>35104</v>
      </c>
      <c r="N4816" s="597">
        <f>103.09*0.028317</f>
        <v>2.9191995299999998</v>
      </c>
      <c r="O4816" s="604">
        <v>1.2311262982784007E-2</v>
      </c>
      <c r="P4816" s="231"/>
      <c r="Q4816" s="231"/>
      <c r="R4816" s="478"/>
      <c r="S4816" s="478"/>
      <c r="T4816" s="478">
        <v>1.1842167590355738E-3</v>
      </c>
      <c r="U4816" s="478">
        <v>7.5789872578276738E-3</v>
      </c>
      <c r="V4816" s="478">
        <v>0.13320070105632137</v>
      </c>
      <c r="W4816" s="478">
        <v>0.4131969115626925</v>
      </c>
      <c r="X4816" s="478">
        <v>0.42920752214485342</v>
      </c>
      <c r="Y4816" s="478">
        <v>1.5631661219269573E-2</v>
      </c>
      <c r="Z4816" s="231"/>
      <c r="AA4816" s="231"/>
      <c r="AB4816" s="152"/>
      <c r="AC4816" s="152"/>
      <c r="AD4816" s="223">
        <f>35*0.3048</f>
        <v>10.668000000000001</v>
      </c>
      <c r="AE4816" s="152"/>
      <c r="AF4816" s="153"/>
      <c r="AG4816" s="153"/>
      <c r="AH4816" s="346"/>
      <c r="AI4816" s="218"/>
      <c r="AJ4816" s="218"/>
      <c r="AK4816" s="153"/>
      <c r="AL4816" s="152"/>
      <c r="AM4816" s="152"/>
      <c r="AN4816" s="152"/>
      <c r="AO4816" s="152"/>
      <c r="AP4816" s="152"/>
      <c r="AQ4816" s="152"/>
      <c r="AR4816" s="152"/>
      <c r="AS4816" s="152"/>
      <c r="AT4816" s="152"/>
      <c r="AU4816" s="153"/>
      <c r="AV4816" s="479"/>
      <c r="AW4816" s="479"/>
      <c r="AX4816" s="442"/>
      <c r="AY4816" s="153"/>
      <c r="AZ4816" s="152"/>
      <c r="BA4816" s="152"/>
      <c r="BB4816" s="152"/>
      <c r="BC4816" s="152"/>
      <c r="BD4816" s="152"/>
      <c r="BE4816" s="152"/>
      <c r="BF4816" s="152"/>
      <c r="BG4816" s="152"/>
      <c r="BH4816" s="152"/>
      <c r="BI4816" s="153"/>
      <c r="BJ4816" s="153"/>
      <c r="BK4816" s="153"/>
      <c r="BL4816" s="153"/>
      <c r="BM4816" s="153"/>
      <c r="BN4816" s="153"/>
      <c r="BO4816" s="153"/>
      <c r="BP4816" s="153"/>
      <c r="BQ4816" s="153"/>
      <c r="BR4816" s="153"/>
      <c r="BS4816" s="153"/>
      <c r="BT4816" s="153"/>
      <c r="BU4816" s="153"/>
      <c r="BV4816" s="153"/>
      <c r="BW4816" s="153"/>
      <c r="BX4816" s="153"/>
      <c r="BY4816" s="153"/>
      <c r="BZ4816" s="153"/>
      <c r="CA4816" s="152"/>
      <c r="CB4816" s="152"/>
    </row>
    <row r="4817" spans="1:80" s="87" customFormat="1" x14ac:dyDescent="0.2">
      <c r="A4817" s="152"/>
      <c r="B4817" s="683"/>
      <c r="C4817" s="683"/>
      <c r="D4817" s="698"/>
      <c r="E4817" s="215"/>
      <c r="F4817" s="215"/>
      <c r="G4817" s="153"/>
      <c r="H4817" s="153"/>
      <c r="I4817" s="153"/>
      <c r="J4817" s="153"/>
      <c r="K4817" s="153"/>
      <c r="L4817" s="656">
        <v>40</v>
      </c>
      <c r="M4817" s="665">
        <v>35145</v>
      </c>
      <c r="N4817" s="597">
        <f>62.39*0.028317</f>
        <v>1.7666976299999999</v>
      </c>
      <c r="O4817" s="604">
        <v>1.0864282822516707E-2</v>
      </c>
      <c r="P4817" s="231"/>
      <c r="Q4817" s="231"/>
      <c r="R4817" s="478"/>
      <c r="S4817" s="478"/>
      <c r="T4817" s="478">
        <v>1.8894499982823182E-3</v>
      </c>
      <c r="U4817" s="478">
        <v>7.0356247208767042E-2</v>
      </c>
      <c r="V4817" s="478">
        <v>0.47737813047511074</v>
      </c>
      <c r="W4817" s="478">
        <v>0.29544127245868973</v>
      </c>
      <c r="X4817" s="478">
        <v>0.1431859562334673</v>
      </c>
      <c r="Y4817" s="478">
        <v>1.1748943625682778E-2</v>
      </c>
      <c r="Z4817" s="231"/>
      <c r="AA4817" s="231"/>
      <c r="AB4817" s="152"/>
      <c r="AC4817" s="152"/>
      <c r="AD4817" s="223">
        <f>22.4*0.3048</f>
        <v>6.8275199999999998</v>
      </c>
      <c r="AE4817" s="152"/>
      <c r="AF4817" s="153"/>
      <c r="AG4817" s="153"/>
      <c r="AH4817" s="346"/>
      <c r="AI4817" s="218"/>
      <c r="AJ4817" s="218"/>
      <c r="AK4817" s="153"/>
      <c r="AL4817" s="152"/>
      <c r="AM4817" s="152"/>
      <c r="AN4817" s="152"/>
      <c r="AO4817" s="152"/>
      <c r="AP4817" s="152"/>
      <c r="AQ4817" s="152"/>
      <c r="AR4817" s="152"/>
      <c r="AS4817" s="152"/>
      <c r="AT4817" s="152"/>
      <c r="AU4817" s="153"/>
      <c r="AV4817" s="479"/>
      <c r="AW4817" s="479"/>
      <c r="AX4817" s="442"/>
      <c r="AY4817" s="153"/>
      <c r="AZ4817" s="152"/>
      <c r="BA4817" s="152"/>
      <c r="BB4817" s="152"/>
      <c r="BC4817" s="152"/>
      <c r="BD4817" s="152"/>
      <c r="BE4817" s="152"/>
      <c r="BF4817" s="152"/>
      <c r="BG4817" s="152"/>
      <c r="BH4817" s="152"/>
      <c r="BI4817" s="153"/>
      <c r="BJ4817" s="153"/>
      <c r="BK4817" s="153"/>
      <c r="BL4817" s="153"/>
      <c r="BM4817" s="153"/>
      <c r="BN4817" s="153"/>
      <c r="BO4817" s="153"/>
      <c r="BP4817" s="153"/>
      <c r="BQ4817" s="153"/>
      <c r="BR4817" s="153"/>
      <c r="BS4817" s="153"/>
      <c r="BT4817" s="153"/>
      <c r="BU4817" s="153"/>
      <c r="BV4817" s="153"/>
      <c r="BW4817" s="153"/>
      <c r="BX4817" s="153"/>
      <c r="BY4817" s="153"/>
      <c r="BZ4817" s="153"/>
      <c r="CA4817" s="152"/>
      <c r="CB4817" s="152"/>
    </row>
    <row r="4818" spans="1:80" s="87" customFormat="1" x14ac:dyDescent="0.2">
      <c r="A4818" s="152"/>
      <c r="B4818" s="683"/>
      <c r="C4818" s="683"/>
      <c r="D4818" s="698"/>
      <c r="E4818" s="215"/>
      <c r="F4818" s="215"/>
      <c r="G4818" s="153"/>
      <c r="H4818" s="153"/>
      <c r="I4818" s="153"/>
      <c r="J4818" s="153"/>
      <c r="K4818" s="153"/>
      <c r="L4818" s="656">
        <v>40</v>
      </c>
      <c r="M4818" s="665">
        <v>35149</v>
      </c>
      <c r="N4818" s="597">
        <f>46.32*0.028317</f>
        <v>1.3116434399999999</v>
      </c>
      <c r="O4818" s="604">
        <v>6.4559764223015058E-3</v>
      </c>
      <c r="P4818" s="231"/>
      <c r="Q4818" s="231"/>
      <c r="R4818" s="478"/>
      <c r="S4818" s="478"/>
      <c r="T4818" s="478">
        <v>2.0064867242042768E-2</v>
      </c>
      <c r="U4818" s="478">
        <v>0.10395250398548733</v>
      </c>
      <c r="V4818" s="478">
        <v>0.31174756747842342</v>
      </c>
      <c r="W4818" s="478">
        <v>0.26474630311692593</v>
      </c>
      <c r="X4818" s="478">
        <v>0.28481117035896875</v>
      </c>
      <c r="Y4818" s="478">
        <v>1.4677587818151833E-2</v>
      </c>
      <c r="Z4818" s="231"/>
      <c r="AA4818" s="231"/>
      <c r="AB4818" s="152"/>
      <c r="AC4818" s="152"/>
      <c r="AD4818" s="223">
        <f>21.3*0.3048</f>
        <v>6.4922400000000007</v>
      </c>
      <c r="AE4818" s="152"/>
      <c r="AF4818" s="153"/>
      <c r="AG4818" s="153"/>
      <c r="AH4818" s="346"/>
      <c r="AI4818" s="218"/>
      <c r="AJ4818" s="218"/>
      <c r="AK4818" s="153"/>
      <c r="AL4818" s="152"/>
      <c r="AM4818" s="152"/>
      <c r="AN4818" s="152"/>
      <c r="AO4818" s="152"/>
      <c r="AP4818" s="152"/>
      <c r="AQ4818" s="152"/>
      <c r="AR4818" s="152"/>
      <c r="AS4818" s="152"/>
      <c r="AT4818" s="152"/>
      <c r="AU4818" s="153"/>
      <c r="AV4818" s="479"/>
      <c r="AW4818" s="479"/>
      <c r="AX4818" s="442"/>
      <c r="AY4818" s="153"/>
      <c r="AZ4818" s="152"/>
      <c r="BA4818" s="152"/>
      <c r="BB4818" s="152"/>
      <c r="BC4818" s="152"/>
      <c r="BD4818" s="152"/>
      <c r="BE4818" s="152"/>
      <c r="BF4818" s="152"/>
      <c r="BG4818" s="152"/>
      <c r="BH4818" s="152"/>
      <c r="BI4818" s="153"/>
      <c r="BJ4818" s="153"/>
      <c r="BK4818" s="153"/>
      <c r="BL4818" s="153"/>
      <c r="BM4818" s="153"/>
      <c r="BN4818" s="153"/>
      <c r="BO4818" s="153"/>
      <c r="BP4818" s="153"/>
      <c r="BQ4818" s="153"/>
      <c r="BR4818" s="153"/>
      <c r="BS4818" s="153"/>
      <c r="BT4818" s="153"/>
      <c r="BU4818" s="153"/>
      <c r="BV4818" s="153"/>
      <c r="BW4818" s="153"/>
      <c r="BX4818" s="153"/>
      <c r="BY4818" s="153"/>
      <c r="BZ4818" s="153"/>
      <c r="CA4818" s="152"/>
      <c r="CB4818" s="152"/>
    </row>
    <row r="4819" spans="1:80" s="87" customFormat="1" x14ac:dyDescent="0.2">
      <c r="A4819" s="152"/>
      <c r="B4819" s="683"/>
      <c r="C4819" s="683"/>
      <c r="D4819" s="698"/>
      <c r="E4819" s="215"/>
      <c r="F4819" s="215"/>
      <c r="G4819" s="153"/>
      <c r="H4819" s="153"/>
      <c r="I4819" s="153"/>
      <c r="J4819" s="153"/>
      <c r="K4819" s="153"/>
      <c r="L4819" s="656">
        <v>40</v>
      </c>
      <c r="M4819" s="665">
        <v>35156</v>
      </c>
      <c r="N4819" s="597">
        <f>67.44*0.028317</f>
        <v>1.9096984799999999</v>
      </c>
      <c r="O4819" s="604">
        <v>1.0954603906822211E-2</v>
      </c>
      <c r="P4819" s="231"/>
      <c r="Q4819" s="231"/>
      <c r="R4819" s="478"/>
      <c r="S4819" s="478">
        <v>2.1873190010561819E-2</v>
      </c>
      <c r="T4819" s="478">
        <v>4.9402064665599127E-2</v>
      </c>
      <c r="U4819" s="478">
        <v>0.11795168818779599</v>
      </c>
      <c r="V4819" s="478">
        <v>0.32755272392763451</v>
      </c>
      <c r="W4819" s="478">
        <v>0.2441824810057579</v>
      </c>
      <c r="X4819" s="478">
        <v>0.22636366733671764</v>
      </c>
      <c r="Y4819" s="478">
        <v>1.2674184865933018E-2</v>
      </c>
      <c r="Z4819" s="231"/>
      <c r="AA4819" s="231"/>
      <c r="AB4819" s="152"/>
      <c r="AC4819" s="152"/>
      <c r="AD4819" s="223">
        <f>0.3048*22.4</f>
        <v>6.8275199999999998</v>
      </c>
      <c r="AE4819" s="152"/>
      <c r="AF4819" s="153"/>
      <c r="AG4819" s="153"/>
      <c r="AH4819" s="346"/>
      <c r="AI4819" s="218"/>
      <c r="AJ4819" s="218"/>
      <c r="AK4819" s="153"/>
      <c r="AL4819" s="152"/>
      <c r="AM4819" s="152"/>
      <c r="AN4819" s="152"/>
      <c r="AO4819" s="152"/>
      <c r="AP4819" s="152"/>
      <c r="AQ4819" s="152"/>
      <c r="AR4819" s="152"/>
      <c r="AS4819" s="152"/>
      <c r="AT4819" s="152"/>
      <c r="AU4819" s="153"/>
      <c r="AV4819" s="479"/>
      <c r="AW4819" s="479"/>
      <c r="AX4819" s="442"/>
      <c r="AY4819" s="153"/>
      <c r="AZ4819" s="152"/>
      <c r="BA4819" s="152"/>
      <c r="BB4819" s="152"/>
      <c r="BC4819" s="152"/>
      <c r="BD4819" s="152"/>
      <c r="BE4819" s="152"/>
      <c r="BF4819" s="152"/>
      <c r="BG4819" s="152"/>
      <c r="BH4819" s="152"/>
      <c r="BI4819" s="153"/>
      <c r="BJ4819" s="153"/>
      <c r="BK4819" s="153"/>
      <c r="BL4819" s="153"/>
      <c r="BM4819" s="153"/>
      <c r="BN4819" s="153"/>
      <c r="BO4819" s="153"/>
      <c r="BP4819" s="153"/>
      <c r="BQ4819" s="153"/>
      <c r="BR4819" s="153"/>
      <c r="BS4819" s="153"/>
      <c r="BT4819" s="153"/>
      <c r="BU4819" s="153"/>
      <c r="BV4819" s="153"/>
      <c r="BW4819" s="153"/>
      <c r="BX4819" s="153"/>
      <c r="BY4819" s="153"/>
      <c r="BZ4819" s="153"/>
      <c r="CA4819" s="152"/>
      <c r="CB4819" s="152"/>
    </row>
    <row r="4820" spans="1:80" s="87" customFormat="1" x14ac:dyDescent="0.2">
      <c r="A4820" s="152"/>
      <c r="B4820" s="683"/>
      <c r="C4820" s="683"/>
      <c r="D4820" s="698"/>
      <c r="E4820" s="215"/>
      <c r="F4820" s="215"/>
      <c r="G4820" s="153"/>
      <c r="H4820" s="153"/>
      <c r="I4820" s="153"/>
      <c r="J4820" s="153"/>
      <c r="K4820" s="153"/>
      <c r="L4820" s="656">
        <v>40</v>
      </c>
      <c r="M4820" s="665">
        <v>35157</v>
      </c>
      <c r="N4820" s="597">
        <f>57.18*0.028317</f>
        <v>1.61916606</v>
      </c>
      <c r="O4820" s="604">
        <v>9.8553682521048021E-3</v>
      </c>
      <c r="P4820" s="231"/>
      <c r="Q4820" s="231"/>
      <c r="R4820" s="478"/>
      <c r="S4820" s="478">
        <v>2.6560400269435014E-3</v>
      </c>
      <c r="T4820" s="478">
        <v>2.2405060795830083E-2</v>
      </c>
      <c r="U4820" s="478">
        <v>4.9056214988605552E-2</v>
      </c>
      <c r="V4820" s="478">
        <v>0.20821813970078731</v>
      </c>
      <c r="W4820" s="478">
        <v>0.37863355090718598</v>
      </c>
      <c r="X4820" s="478">
        <v>0.33238103704210653</v>
      </c>
      <c r="Y4820" s="478">
        <v>6.6499565385412206E-3</v>
      </c>
      <c r="Z4820" s="231"/>
      <c r="AA4820" s="231"/>
      <c r="AB4820" s="152"/>
      <c r="AC4820" s="152"/>
      <c r="AD4820" s="223">
        <f>0.3048*22</f>
        <v>6.7056000000000004</v>
      </c>
      <c r="AE4820" s="152"/>
      <c r="AF4820" s="153"/>
      <c r="AG4820" s="153"/>
      <c r="AH4820" s="346"/>
      <c r="AI4820" s="218"/>
      <c r="AJ4820" s="218"/>
      <c r="AK4820" s="153"/>
      <c r="AL4820" s="152"/>
      <c r="AM4820" s="152"/>
      <c r="AN4820" s="152"/>
      <c r="AO4820" s="152"/>
      <c r="AP4820" s="152"/>
      <c r="AQ4820" s="152"/>
      <c r="AR4820" s="152"/>
      <c r="AS4820" s="152"/>
      <c r="AT4820" s="152"/>
      <c r="AU4820" s="153"/>
      <c r="AV4820" s="479"/>
      <c r="AW4820" s="479"/>
      <c r="AX4820" s="442"/>
      <c r="AY4820" s="153"/>
      <c r="AZ4820" s="152"/>
      <c r="BA4820" s="152"/>
      <c r="BB4820" s="152"/>
      <c r="BC4820" s="152"/>
      <c r="BD4820" s="152"/>
      <c r="BE4820" s="152"/>
      <c r="BF4820" s="152"/>
      <c r="BG4820" s="152"/>
      <c r="BH4820" s="152"/>
      <c r="BI4820" s="153"/>
      <c r="BJ4820" s="153"/>
      <c r="BK4820" s="153"/>
      <c r="BL4820" s="153"/>
      <c r="BM4820" s="153"/>
      <c r="BN4820" s="153"/>
      <c r="BO4820" s="153"/>
      <c r="BP4820" s="153"/>
      <c r="BQ4820" s="153"/>
      <c r="BR4820" s="153"/>
      <c r="BS4820" s="153"/>
      <c r="BT4820" s="153"/>
      <c r="BU4820" s="153"/>
      <c r="BV4820" s="153"/>
      <c r="BW4820" s="153"/>
      <c r="BX4820" s="153"/>
      <c r="BY4820" s="153"/>
      <c r="BZ4820" s="153"/>
      <c r="CA4820" s="152"/>
      <c r="CB4820" s="152"/>
    </row>
    <row r="4821" spans="1:80" s="87" customFormat="1" x14ac:dyDescent="0.2">
      <c r="A4821" s="152"/>
      <c r="B4821" s="683"/>
      <c r="C4821" s="683"/>
      <c r="D4821" s="698"/>
      <c r="E4821" s="215"/>
      <c r="F4821" s="215"/>
      <c r="G4821" s="153"/>
      <c r="H4821" s="153"/>
      <c r="I4821" s="153"/>
      <c r="J4821" s="153"/>
      <c r="K4821" s="153"/>
      <c r="L4821" s="656">
        <v>40</v>
      </c>
      <c r="M4821" s="665">
        <v>35158</v>
      </c>
      <c r="N4821" s="597">
        <f>53.89*0.028317</f>
        <v>1.5260031299999999</v>
      </c>
      <c r="O4821" s="604">
        <v>8.4876892973911738E-3</v>
      </c>
      <c r="P4821" s="231"/>
      <c r="Q4821" s="231"/>
      <c r="R4821" s="478"/>
      <c r="S4821" s="478">
        <v>1.4283313728785077E-3</v>
      </c>
      <c r="T4821" s="478">
        <v>5.7553352377751631E-2</v>
      </c>
      <c r="U4821" s="478">
        <v>0.1377079482439926</v>
      </c>
      <c r="V4821" s="478">
        <v>0.29948748109561418</v>
      </c>
      <c r="W4821" s="478">
        <v>0.2531507309695849</v>
      </c>
      <c r="X4821" s="478">
        <v>0.23895143673332211</v>
      </c>
      <c r="Y4821" s="478">
        <v>1.1720719206855988E-2</v>
      </c>
      <c r="Z4821" s="231"/>
      <c r="AA4821" s="231"/>
      <c r="AB4821" s="152"/>
      <c r="AC4821" s="152"/>
      <c r="AD4821" s="223">
        <f>0.3048*21.4</f>
        <v>6.5227199999999996</v>
      </c>
      <c r="AE4821" s="152"/>
      <c r="AF4821" s="153"/>
      <c r="AG4821" s="153"/>
      <c r="AH4821" s="346"/>
      <c r="AI4821" s="218"/>
      <c r="AJ4821" s="218"/>
      <c r="AK4821" s="153"/>
      <c r="AL4821" s="152"/>
      <c r="AM4821" s="152"/>
      <c r="AN4821" s="152"/>
      <c r="AO4821" s="152"/>
      <c r="AP4821" s="152"/>
      <c r="AQ4821" s="152"/>
      <c r="AR4821" s="152"/>
      <c r="AS4821" s="152"/>
      <c r="AT4821" s="152"/>
      <c r="AU4821" s="153"/>
      <c r="AV4821" s="479"/>
      <c r="AW4821" s="479"/>
      <c r="AX4821" s="442"/>
      <c r="AY4821" s="153"/>
      <c r="AZ4821" s="152"/>
      <c r="BA4821" s="152"/>
      <c r="BB4821" s="152"/>
      <c r="BC4821" s="152"/>
      <c r="BD4821" s="152"/>
      <c r="BE4821" s="152"/>
      <c r="BF4821" s="152"/>
      <c r="BG4821" s="152"/>
      <c r="BH4821" s="152"/>
      <c r="BI4821" s="153"/>
      <c r="BJ4821" s="153"/>
      <c r="BK4821" s="153"/>
      <c r="BL4821" s="153"/>
      <c r="BM4821" s="153"/>
      <c r="BN4821" s="153"/>
      <c r="BO4821" s="153"/>
      <c r="BP4821" s="153"/>
      <c r="BQ4821" s="153"/>
      <c r="BR4821" s="153"/>
      <c r="BS4821" s="153"/>
      <c r="BT4821" s="153"/>
      <c r="BU4821" s="153"/>
      <c r="BV4821" s="153"/>
      <c r="BW4821" s="153"/>
      <c r="BX4821" s="153"/>
      <c r="BY4821" s="153"/>
      <c r="BZ4821" s="153"/>
      <c r="CA4821" s="152"/>
      <c r="CB4821" s="152"/>
    </row>
    <row r="4822" spans="1:80" s="87" customFormat="1" x14ac:dyDescent="0.2">
      <c r="A4822" s="152"/>
      <c r="B4822" s="683"/>
      <c r="C4822" s="683"/>
      <c r="D4822" s="698"/>
      <c r="E4822" s="215"/>
      <c r="F4822" s="215"/>
      <c r="G4822" s="153"/>
      <c r="H4822" s="153"/>
      <c r="I4822" s="153"/>
      <c r="J4822" s="153"/>
      <c r="K4822" s="153"/>
      <c r="L4822" s="656">
        <v>40</v>
      </c>
      <c r="M4822" s="665">
        <v>35163</v>
      </c>
      <c r="N4822" s="597">
        <f>51.11*0.028317</f>
        <v>1.4472818699999999</v>
      </c>
      <c r="O4822" s="604">
        <v>9.3086781954902394E-3</v>
      </c>
      <c r="P4822" s="231"/>
      <c r="Q4822" s="231"/>
      <c r="R4822" s="478">
        <v>4.5180336383788086E-2</v>
      </c>
      <c r="S4822" s="478">
        <v>4.6858080117242878E-2</v>
      </c>
      <c r="T4822" s="478">
        <v>7.741676495001816E-2</v>
      </c>
      <c r="U4822" s="478">
        <v>9.6200982973965468E-2</v>
      </c>
      <c r="V4822" s="478">
        <v>0.20567452767491914</v>
      </c>
      <c r="W4822" s="478">
        <v>0.25842769365012297</v>
      </c>
      <c r="X4822" s="478">
        <v>0.25612788237714068</v>
      </c>
      <c r="Y4822" s="478">
        <v>1.4113731872802508E-2</v>
      </c>
      <c r="Z4822" s="231"/>
      <c r="AA4822" s="231"/>
      <c r="AB4822" s="152"/>
      <c r="AC4822" s="152"/>
      <c r="AD4822" s="223">
        <f>0.3048*21.4</f>
        <v>6.5227199999999996</v>
      </c>
      <c r="AE4822" s="152"/>
      <c r="AF4822" s="153"/>
      <c r="AG4822" s="153"/>
      <c r="AH4822" s="346"/>
      <c r="AI4822" s="218"/>
      <c r="AJ4822" s="218"/>
      <c r="AK4822" s="153"/>
      <c r="AL4822" s="152"/>
      <c r="AM4822" s="152"/>
      <c r="AN4822" s="152"/>
      <c r="AO4822" s="152"/>
      <c r="AP4822" s="152"/>
      <c r="AQ4822" s="152"/>
      <c r="AR4822" s="152"/>
      <c r="AS4822" s="152"/>
      <c r="AT4822" s="152"/>
      <c r="AU4822" s="153"/>
      <c r="AV4822" s="479"/>
      <c r="AW4822" s="479"/>
      <c r="AX4822" s="442"/>
      <c r="AY4822" s="153"/>
      <c r="AZ4822" s="152"/>
      <c r="BA4822" s="152"/>
      <c r="BB4822" s="152"/>
      <c r="BC4822" s="152"/>
      <c r="BD4822" s="152"/>
      <c r="BE4822" s="152"/>
      <c r="BF4822" s="152"/>
      <c r="BG4822" s="152"/>
      <c r="BH4822" s="152"/>
      <c r="BI4822" s="153"/>
      <c r="BJ4822" s="153"/>
      <c r="BK4822" s="153"/>
      <c r="BL4822" s="153"/>
      <c r="BM4822" s="153"/>
      <c r="BN4822" s="153"/>
      <c r="BO4822" s="153"/>
      <c r="BP4822" s="153"/>
      <c r="BQ4822" s="153"/>
      <c r="BR4822" s="153"/>
      <c r="BS4822" s="153"/>
      <c r="BT4822" s="153"/>
      <c r="BU4822" s="153"/>
      <c r="BV4822" s="153"/>
      <c r="BW4822" s="153"/>
      <c r="BX4822" s="153"/>
      <c r="BY4822" s="153"/>
      <c r="BZ4822" s="153"/>
      <c r="CA4822" s="152"/>
      <c r="CB4822" s="152"/>
    </row>
    <row r="4823" spans="1:80" s="87" customFormat="1" x14ac:dyDescent="0.2">
      <c r="A4823" s="152"/>
      <c r="B4823" s="683"/>
      <c r="C4823" s="683"/>
      <c r="D4823" s="698"/>
      <c r="E4823" s="215"/>
      <c r="F4823" s="215"/>
      <c r="G4823" s="153"/>
      <c r="H4823" s="153"/>
      <c r="I4823" s="153"/>
      <c r="J4823" s="153"/>
      <c r="K4823" s="153"/>
      <c r="L4823" s="656">
        <v>40</v>
      </c>
      <c r="M4823" s="665">
        <v>35164</v>
      </c>
      <c r="N4823" s="597">
        <f>52.76*0.028317</f>
        <v>1.4940049199999998</v>
      </c>
      <c r="O4823" s="604">
        <v>2.6690040366972481E-3</v>
      </c>
      <c r="P4823" s="231"/>
      <c r="Q4823" s="231"/>
      <c r="R4823" s="478"/>
      <c r="S4823" s="478"/>
      <c r="T4823" s="478">
        <v>1.3079827400215748E-2</v>
      </c>
      <c r="U4823" s="478">
        <v>5.7847896440129443E-2</v>
      </c>
      <c r="V4823" s="478">
        <v>0.22289644012944981</v>
      </c>
      <c r="W4823" s="478">
        <v>0.35099784250269683</v>
      </c>
      <c r="X4823" s="478">
        <v>0.34290722761596543</v>
      </c>
      <c r="Y4823" s="478">
        <v>1.2270765911542608E-2</v>
      </c>
      <c r="Z4823" s="231"/>
      <c r="AA4823" s="231"/>
      <c r="AB4823" s="152"/>
      <c r="AC4823" s="152"/>
      <c r="AD4823" s="223">
        <f>0.3048*21.6</f>
        <v>6.5836800000000011</v>
      </c>
      <c r="AE4823" s="152"/>
      <c r="AF4823" s="153"/>
      <c r="AG4823" s="153"/>
      <c r="AH4823" s="346"/>
      <c r="AI4823" s="218"/>
      <c r="AJ4823" s="218"/>
      <c r="AK4823" s="153"/>
      <c r="AL4823" s="152"/>
      <c r="AM4823" s="152"/>
      <c r="AN4823" s="152"/>
      <c r="AO4823" s="152"/>
      <c r="AP4823" s="152"/>
      <c r="AQ4823" s="152"/>
      <c r="AR4823" s="152"/>
      <c r="AS4823" s="152"/>
      <c r="AT4823" s="152"/>
      <c r="AU4823" s="153"/>
      <c r="AV4823" s="479"/>
      <c r="AW4823" s="479"/>
      <c r="AX4823" s="442"/>
      <c r="AY4823" s="153"/>
      <c r="AZ4823" s="152"/>
      <c r="BA4823" s="152"/>
      <c r="BB4823" s="152"/>
      <c r="BC4823" s="152"/>
      <c r="BD4823" s="152"/>
      <c r="BE4823" s="152"/>
      <c r="BF4823" s="152"/>
      <c r="BG4823" s="152"/>
      <c r="BH4823" s="152"/>
      <c r="BI4823" s="153"/>
      <c r="BJ4823" s="153"/>
      <c r="BK4823" s="153"/>
      <c r="BL4823" s="153"/>
      <c r="BM4823" s="153"/>
      <c r="BN4823" s="153"/>
      <c r="BO4823" s="153"/>
      <c r="BP4823" s="153"/>
      <c r="BQ4823" s="153"/>
      <c r="BR4823" s="153"/>
      <c r="BS4823" s="153"/>
      <c r="BT4823" s="153"/>
      <c r="BU4823" s="153"/>
      <c r="BV4823" s="153"/>
      <c r="BW4823" s="153"/>
      <c r="BX4823" s="153"/>
      <c r="BY4823" s="153"/>
      <c r="BZ4823" s="153"/>
      <c r="CA4823" s="152"/>
      <c r="CB4823" s="152"/>
    </row>
    <row r="4824" spans="1:80" s="87" customFormat="1" x14ac:dyDescent="0.2">
      <c r="A4824" s="152"/>
      <c r="B4824" s="683"/>
      <c r="C4824" s="683"/>
      <c r="D4824" s="698"/>
      <c r="E4824" s="215"/>
      <c r="F4824" s="215"/>
      <c r="G4824" s="153"/>
      <c r="H4824" s="153"/>
      <c r="I4824" s="153"/>
      <c r="J4824" s="153"/>
      <c r="K4824" s="153"/>
      <c r="L4824" s="656">
        <v>40</v>
      </c>
      <c r="M4824" s="665">
        <v>35165</v>
      </c>
      <c r="N4824" s="597">
        <f>50.63*0.028317</f>
        <v>1.4336897099999999</v>
      </c>
      <c r="O4824" s="604">
        <v>3.3624276328009964E-3</v>
      </c>
      <c r="P4824" s="231"/>
      <c r="Q4824" s="231"/>
      <c r="R4824" s="478"/>
      <c r="S4824" s="478">
        <v>2.1220716461813217E-2</v>
      </c>
      <c r="T4824" s="478">
        <v>3.6033196764366004E-2</v>
      </c>
      <c r="U4824" s="478">
        <v>6.7864271457085831E-2</v>
      </c>
      <c r="V4824" s="478">
        <v>0.20348776131946636</v>
      </c>
      <c r="W4824" s="478">
        <v>0.30791049479987392</v>
      </c>
      <c r="X4824" s="478">
        <v>0.34604475260006301</v>
      </c>
      <c r="Y4824" s="478">
        <v>1.7438806597331651E-2</v>
      </c>
      <c r="Z4824" s="231"/>
      <c r="AA4824" s="231"/>
      <c r="AB4824" s="152"/>
      <c r="AC4824" s="152"/>
      <c r="AD4824" s="223">
        <f>0.3048*21.2</f>
        <v>6.4617599999999999</v>
      </c>
      <c r="AE4824" s="152"/>
      <c r="AF4824" s="153"/>
      <c r="AG4824" s="153"/>
      <c r="AH4824" s="346"/>
      <c r="AI4824" s="218"/>
      <c r="AJ4824" s="218"/>
      <c r="AK4824" s="153"/>
      <c r="AL4824" s="152"/>
      <c r="AM4824" s="152"/>
      <c r="AN4824" s="152"/>
      <c r="AO4824" s="152"/>
      <c r="AP4824" s="152"/>
      <c r="AQ4824" s="152"/>
      <c r="AR4824" s="152"/>
      <c r="AS4824" s="152"/>
      <c r="AT4824" s="152"/>
      <c r="AU4824" s="153"/>
      <c r="AV4824" s="479"/>
      <c r="AW4824" s="479"/>
      <c r="AX4824" s="442"/>
      <c r="AY4824" s="153"/>
      <c r="AZ4824" s="152"/>
      <c r="BA4824" s="152"/>
      <c r="BB4824" s="152"/>
      <c r="BC4824" s="152"/>
      <c r="BD4824" s="152"/>
      <c r="BE4824" s="152"/>
      <c r="BF4824" s="152"/>
      <c r="BG4824" s="152"/>
      <c r="BH4824" s="152"/>
      <c r="BI4824" s="153"/>
      <c r="BJ4824" s="153"/>
      <c r="BK4824" s="153"/>
      <c r="BL4824" s="153"/>
      <c r="BM4824" s="153"/>
      <c r="BN4824" s="153"/>
      <c r="BO4824" s="153"/>
      <c r="BP4824" s="153"/>
      <c r="BQ4824" s="153"/>
      <c r="BR4824" s="153"/>
      <c r="BS4824" s="153"/>
      <c r="BT4824" s="153"/>
      <c r="BU4824" s="153"/>
      <c r="BV4824" s="153"/>
      <c r="BW4824" s="153"/>
      <c r="BX4824" s="153"/>
      <c r="BY4824" s="153"/>
      <c r="BZ4824" s="153"/>
      <c r="CA4824" s="152"/>
      <c r="CB4824" s="152"/>
    </row>
    <row r="4825" spans="1:80" s="87" customFormat="1" x14ac:dyDescent="0.2">
      <c r="A4825" s="152"/>
      <c r="B4825" s="683"/>
      <c r="C4825" s="683"/>
      <c r="D4825" s="698"/>
      <c r="E4825" s="215"/>
      <c r="F4825" s="215"/>
      <c r="G4825" s="153"/>
      <c r="H4825" s="153"/>
      <c r="I4825" s="153"/>
      <c r="J4825" s="153"/>
      <c r="K4825" s="153"/>
      <c r="L4825" s="656">
        <v>40</v>
      </c>
      <c r="M4825" s="665">
        <v>35167</v>
      </c>
      <c r="N4825" s="597">
        <f>48.27*0.028317</f>
        <v>1.3668615900000001</v>
      </c>
      <c r="O4825" s="604">
        <v>8.7975581974176001E-3</v>
      </c>
      <c r="P4825" s="231"/>
      <c r="Q4825" s="231"/>
      <c r="R4825" s="478"/>
      <c r="S4825" s="478">
        <v>5.289742671916637E-3</v>
      </c>
      <c r="T4825" s="478">
        <v>4.2994073897307403E-2</v>
      </c>
      <c r="U4825" s="478">
        <v>0.11052778109215287</v>
      </c>
      <c r="V4825" s="478">
        <v>0.27665751899136937</v>
      </c>
      <c r="W4825" s="478">
        <v>0.27789046653144017</v>
      </c>
      <c r="X4825" s="478">
        <v>0.27618024897585808</v>
      </c>
      <c r="Y4825" s="478">
        <v>1.0460167839955455E-2</v>
      </c>
      <c r="Z4825" s="231"/>
      <c r="AA4825" s="231"/>
      <c r="AB4825" s="152"/>
      <c r="AC4825" s="152"/>
      <c r="AD4825" s="223">
        <f>0.3048*21</f>
        <v>6.4008000000000003</v>
      </c>
      <c r="AE4825" s="152"/>
      <c r="AF4825" s="153"/>
      <c r="AG4825" s="153"/>
      <c r="AH4825" s="346"/>
      <c r="AI4825" s="218"/>
      <c r="AJ4825" s="218"/>
      <c r="AK4825" s="153"/>
      <c r="AL4825" s="152"/>
      <c r="AM4825" s="152"/>
      <c r="AN4825" s="152"/>
      <c r="AO4825" s="152"/>
      <c r="AP4825" s="152"/>
      <c r="AQ4825" s="152"/>
      <c r="AR4825" s="152"/>
      <c r="AS4825" s="152"/>
      <c r="AT4825" s="152"/>
      <c r="AU4825" s="153"/>
      <c r="AV4825" s="479"/>
      <c r="AW4825" s="479"/>
      <c r="AX4825" s="442"/>
      <c r="AY4825" s="153"/>
      <c r="AZ4825" s="152"/>
      <c r="BA4825" s="152"/>
      <c r="BB4825" s="152"/>
      <c r="BC4825" s="152"/>
      <c r="BD4825" s="152"/>
      <c r="BE4825" s="152"/>
      <c r="BF4825" s="152"/>
      <c r="BG4825" s="152"/>
      <c r="BH4825" s="152"/>
      <c r="BI4825" s="153"/>
      <c r="BJ4825" s="153"/>
      <c r="BK4825" s="153"/>
      <c r="BL4825" s="153"/>
      <c r="BM4825" s="153"/>
      <c r="BN4825" s="153"/>
      <c r="BO4825" s="153"/>
      <c r="BP4825" s="153"/>
      <c r="BQ4825" s="153"/>
      <c r="BR4825" s="153"/>
      <c r="BS4825" s="153"/>
      <c r="BT4825" s="153"/>
      <c r="BU4825" s="153"/>
      <c r="BV4825" s="153"/>
      <c r="BW4825" s="153"/>
      <c r="BX4825" s="153"/>
      <c r="BY4825" s="153"/>
      <c r="BZ4825" s="153"/>
      <c r="CA4825" s="152"/>
      <c r="CB4825" s="152"/>
    </row>
    <row r="4826" spans="1:80" s="87" customFormat="1" x14ac:dyDescent="0.2">
      <c r="A4826" s="152"/>
      <c r="B4826" s="683"/>
      <c r="C4826" s="683"/>
      <c r="D4826" s="698"/>
      <c r="E4826" s="215"/>
      <c r="F4826" s="215"/>
      <c r="G4826" s="153"/>
      <c r="H4826" s="153"/>
      <c r="I4826" s="153"/>
      <c r="J4826" s="153"/>
      <c r="K4826" s="153"/>
      <c r="L4826" s="656">
        <v>40</v>
      </c>
      <c r="M4826" s="665">
        <v>35193</v>
      </c>
      <c r="N4826" s="597">
        <f>24.92*0.028317</f>
        <v>0.70565964000000003</v>
      </c>
      <c r="O4826" s="604">
        <v>3.0042770746403899E-4</v>
      </c>
      <c r="P4826" s="231"/>
      <c r="Q4826" s="231"/>
      <c r="R4826" s="478"/>
      <c r="S4826" s="478"/>
      <c r="T4826" s="478"/>
      <c r="U4826" s="478">
        <v>4.0901197331139746E-3</v>
      </c>
      <c r="V4826" s="478">
        <v>0.12135545196965541</v>
      </c>
      <c r="W4826" s="478">
        <v>0.3594506900648935</v>
      </c>
      <c r="X4826" s="478">
        <v>0.49033452152454071</v>
      </c>
      <c r="Y4826" s="478">
        <v>2.476921670779636E-2</v>
      </c>
      <c r="Z4826" s="231"/>
      <c r="AA4826" s="231"/>
      <c r="AB4826" s="152"/>
      <c r="AC4826" s="152"/>
      <c r="AD4826" s="223">
        <f>0.3048*20.6</f>
        <v>6.2788800000000009</v>
      </c>
      <c r="AE4826" s="152"/>
      <c r="AF4826" s="153"/>
      <c r="AG4826" s="153"/>
      <c r="AH4826" s="346"/>
      <c r="AI4826" s="218"/>
      <c r="AJ4826" s="218"/>
      <c r="AK4826" s="153"/>
      <c r="AL4826" s="152"/>
      <c r="AM4826" s="152"/>
      <c r="AN4826" s="152"/>
      <c r="AO4826" s="152"/>
      <c r="AP4826" s="152"/>
      <c r="AQ4826" s="152"/>
      <c r="AR4826" s="152"/>
      <c r="AS4826" s="152"/>
      <c r="AT4826" s="152"/>
      <c r="AU4826" s="153"/>
      <c r="AV4826" s="479"/>
      <c r="AW4826" s="479"/>
      <c r="AX4826" s="442"/>
      <c r="AY4826" s="153"/>
      <c r="AZ4826" s="152"/>
      <c r="BA4826" s="152"/>
      <c r="BB4826" s="152"/>
      <c r="BC4826" s="152"/>
      <c r="BD4826" s="152"/>
      <c r="BE4826" s="152"/>
      <c r="BF4826" s="152"/>
      <c r="BG4826" s="152"/>
      <c r="BH4826" s="152"/>
      <c r="BI4826" s="153"/>
      <c r="BJ4826" s="153"/>
      <c r="BK4826" s="153"/>
      <c r="BL4826" s="153"/>
      <c r="BM4826" s="153"/>
      <c r="BN4826" s="153"/>
      <c r="BO4826" s="153"/>
      <c r="BP4826" s="153"/>
      <c r="BQ4826" s="153"/>
      <c r="BR4826" s="153"/>
      <c r="BS4826" s="153"/>
      <c r="BT4826" s="153"/>
      <c r="BU4826" s="153"/>
      <c r="BV4826" s="153"/>
      <c r="BW4826" s="153"/>
      <c r="BX4826" s="153"/>
      <c r="BY4826" s="153"/>
      <c r="BZ4826" s="153"/>
      <c r="CA4826" s="152"/>
      <c r="CB4826" s="152"/>
    </row>
    <row r="4827" spans="1:80" ht="15" x14ac:dyDescent="0.25">
      <c r="A4827" s="9" t="s">
        <v>74</v>
      </c>
      <c r="B4827" s="639" t="s">
        <v>73</v>
      </c>
      <c r="C4827" s="639" t="s">
        <v>586</v>
      </c>
      <c r="D4827" s="4">
        <f>VLOOKUP(E4827,'Quality Code'!D4:E24,2,TRUE)*VLOOKUP(MROUND(F4827,10),'Quality Code'!D28:E69,2,TRUE)*VLOOKUP(COUNTA(CB4827:CB4837),'Quality Code'!D73:E93,2,TRUE)</f>
        <v>0.29166549999999997</v>
      </c>
      <c r="E4827" s="14">
        <v>0.7</v>
      </c>
      <c r="F4827" s="18">
        <v>11</v>
      </c>
      <c r="G4827" s="12">
        <f>35.2*2.59</f>
        <v>91.168000000000006</v>
      </c>
      <c r="H4827" s="2" t="s">
        <v>72</v>
      </c>
      <c r="I4827" s="2">
        <v>10</v>
      </c>
      <c r="J4827" s="2" t="s">
        <v>290</v>
      </c>
      <c r="K4827" s="2">
        <v>4</v>
      </c>
      <c r="L4827" s="640" t="s">
        <v>284</v>
      </c>
      <c r="M4827" s="640" t="s">
        <v>888</v>
      </c>
      <c r="N4827" s="578" t="s">
        <v>110</v>
      </c>
      <c r="O4827" s="578"/>
      <c r="P4827" s="10"/>
      <c r="Q4827" s="10"/>
      <c r="R4827" s="10"/>
      <c r="S4827" s="10"/>
      <c r="T4827" s="10"/>
      <c r="U4827" s="10"/>
      <c r="V4827" s="10"/>
      <c r="W4827" s="10"/>
      <c r="X4827" s="10"/>
      <c r="Y4827" s="10"/>
      <c r="Z4827" s="10"/>
      <c r="AA4827" s="10"/>
      <c r="AB4827" s="11" t="s">
        <v>91</v>
      </c>
      <c r="AC4827" s="116">
        <v>5.5999999999999999E-3</v>
      </c>
      <c r="AD4827" s="11"/>
      <c r="AE4827" s="11"/>
      <c r="AF4827" s="10"/>
      <c r="AG4827" s="10"/>
      <c r="AH4827" s="345"/>
      <c r="AI4827" s="18">
        <v>16.100000000000001</v>
      </c>
      <c r="AJ4827" s="135">
        <v>1</v>
      </c>
      <c r="AK4827" s="135">
        <v>0.87180000000000002</v>
      </c>
      <c r="AL4827" s="135">
        <v>0.76480000000000004</v>
      </c>
      <c r="AM4827" s="135">
        <v>0.61129999999999995</v>
      </c>
      <c r="AN4827" s="135">
        <v>0.49859999999999999</v>
      </c>
      <c r="AO4827" s="135">
        <v>0.376</v>
      </c>
      <c r="AP4827" s="135">
        <v>0.26819999999999999</v>
      </c>
      <c r="AQ4827" s="135">
        <v>0.1774</v>
      </c>
      <c r="AR4827" s="135">
        <v>0.1089</v>
      </c>
      <c r="AS4827" s="135">
        <v>6.1199999999999997E-2</v>
      </c>
      <c r="AT4827" s="135">
        <v>2.7799999999999998E-2</v>
      </c>
      <c r="AU4827" s="18">
        <v>75.099999999999994</v>
      </c>
      <c r="AV4827" s="135">
        <v>1</v>
      </c>
      <c r="AW4827" s="135">
        <v>1</v>
      </c>
      <c r="AX4827" s="135">
        <v>1</v>
      </c>
      <c r="AY4827" s="135">
        <v>1</v>
      </c>
      <c r="AZ4827" s="135">
        <v>0.35070000000000001</v>
      </c>
      <c r="BA4827" s="135">
        <v>0.25359999999999999</v>
      </c>
      <c r="BB4827" s="135">
        <v>0.17130000000000001</v>
      </c>
      <c r="BC4827" s="135">
        <v>0.12509999999999999</v>
      </c>
      <c r="BD4827" s="135">
        <v>8.5699999999999998E-2</v>
      </c>
      <c r="BE4827" s="135">
        <v>5.8900000000000001E-2</v>
      </c>
      <c r="BF4827" s="135">
        <v>3.7699999999999997E-2</v>
      </c>
      <c r="BG4827" s="135">
        <v>2.1499999999999998E-2</v>
      </c>
      <c r="BH4827" s="135">
        <v>9.1999999999999998E-3</v>
      </c>
      <c r="BI4827" s="4">
        <f>AU4827/AI4827</f>
        <v>4.6645962732919246</v>
      </c>
      <c r="BJ4827" s="2" t="s">
        <v>68</v>
      </c>
      <c r="BK4827" s="2" t="s">
        <v>68</v>
      </c>
      <c r="BL4827" s="12"/>
      <c r="BM4827" s="12">
        <f>290*0.028317</f>
        <v>8.2119299999999988</v>
      </c>
      <c r="BN4827" s="12">
        <v>10.454599999999999</v>
      </c>
      <c r="BO4827" s="12">
        <v>0.60960000000000003</v>
      </c>
      <c r="BP4827" s="12">
        <v>6.28</v>
      </c>
      <c r="BQ4827" s="12"/>
      <c r="BR4827" s="12"/>
      <c r="BS4827" s="18">
        <v>3</v>
      </c>
      <c r="BT4827" s="12"/>
      <c r="BU4827" s="2"/>
      <c r="BV4827" s="2">
        <v>1.31</v>
      </c>
      <c r="BW4827" s="2"/>
      <c r="BX4827" s="2">
        <v>1.17</v>
      </c>
      <c r="BY4827" s="2" t="s">
        <v>86</v>
      </c>
      <c r="BZ4827" s="2"/>
      <c r="CA4827" s="9"/>
      <c r="CB4827" s="9" t="s">
        <v>225</v>
      </c>
    </row>
    <row r="4828" spans="1:80" s="87" customFormat="1" ht="15" x14ac:dyDescent="0.25">
      <c r="A4828" s="152" t="s">
        <v>163</v>
      </c>
      <c r="B4828" s="683"/>
      <c r="C4828" s="683"/>
      <c r="D4828" s="698"/>
      <c r="E4828" s="215"/>
      <c r="F4828" s="215"/>
      <c r="G4828" s="153"/>
      <c r="H4828" s="153"/>
      <c r="I4828" s="153"/>
      <c r="J4828" s="153"/>
      <c r="K4828" s="153"/>
      <c r="L4828" s="656">
        <v>36</v>
      </c>
      <c r="M4828" s="666">
        <v>34809</v>
      </c>
      <c r="N4828" s="597">
        <f>0.028317*80.45</f>
        <v>2.2781026500000001</v>
      </c>
      <c r="O4828" s="604">
        <v>1.5390544517016736E-2</v>
      </c>
      <c r="P4828" s="220"/>
      <c r="Q4828" s="220"/>
      <c r="R4828" s="478">
        <v>0.23059579119978135</v>
      </c>
      <c r="S4828" s="478">
        <v>0.25621754577753481</v>
      </c>
      <c r="T4828" s="478">
        <v>8.5405848592511602E-2</v>
      </c>
      <c r="U4828" s="478">
        <v>9.7362667395463232E-2</v>
      </c>
      <c r="V4828" s="478">
        <v>0.1301585132549877</v>
      </c>
      <c r="W4828" s="478">
        <v>0.10692812243782454</v>
      </c>
      <c r="X4828" s="478">
        <v>8.7797212353101936E-2</v>
      </c>
      <c r="Y4828" s="478">
        <v>5.5342989887947527E-3</v>
      </c>
      <c r="Z4828" s="231"/>
      <c r="AA4828" s="229"/>
      <c r="AB4828" s="252">
        <v>2160</v>
      </c>
      <c r="AC4828" s="152"/>
      <c r="AD4828" s="223">
        <f>0.3048*28.4</f>
        <v>8.6563199999999991</v>
      </c>
      <c r="AE4828" s="152"/>
      <c r="AF4828" s="153"/>
      <c r="AG4828" s="153"/>
      <c r="AH4828" s="346"/>
      <c r="AI4828" s="218"/>
      <c r="AJ4828" s="218"/>
      <c r="AK4828" s="153"/>
      <c r="AL4828" s="152"/>
      <c r="AM4828" s="152"/>
      <c r="AN4828" s="152"/>
      <c r="AO4828" s="152"/>
      <c r="AP4828" s="152"/>
      <c r="AQ4828" s="152"/>
      <c r="AR4828" s="152"/>
      <c r="AS4828" s="152"/>
      <c r="AT4828" s="152"/>
      <c r="AU4828" s="155">
        <v>76</v>
      </c>
      <c r="AV4828" s="429"/>
      <c r="AW4828" s="429"/>
      <c r="AX4828" s="429"/>
      <c r="AY4828" s="153"/>
      <c r="AZ4828" s="152"/>
      <c r="BA4828" s="152"/>
      <c r="BB4828" s="152"/>
      <c r="BC4828" s="152"/>
      <c r="BD4828" s="152"/>
      <c r="BE4828" s="152"/>
      <c r="BF4828" s="152"/>
      <c r="BG4828" s="152"/>
      <c r="BH4828" s="152"/>
      <c r="BI4828" s="156">
        <f>AU4828/AI4827</f>
        <v>4.720496894409937</v>
      </c>
      <c r="BJ4828" s="155" t="s">
        <v>68</v>
      </c>
      <c r="BK4828" s="155" t="s">
        <v>175</v>
      </c>
      <c r="BL4828" s="153"/>
      <c r="BM4828" s="153"/>
      <c r="BN4828" s="153"/>
      <c r="BO4828" s="153"/>
      <c r="BP4828" s="153"/>
      <c r="BQ4828" s="153"/>
      <c r="BR4828" s="153"/>
      <c r="BS4828" s="153"/>
      <c r="BT4828" s="153"/>
      <c r="BU4828" s="153"/>
      <c r="BV4828" s="153"/>
      <c r="BW4828" s="153"/>
      <c r="BX4828" s="153"/>
      <c r="BY4828" s="153"/>
      <c r="BZ4828" s="153"/>
      <c r="CA4828" s="152"/>
      <c r="CB4828" s="485" t="s">
        <v>642</v>
      </c>
    </row>
    <row r="4829" spans="1:80" s="87" customFormat="1" x14ac:dyDescent="0.2">
      <c r="A4829" s="152" t="s">
        <v>163</v>
      </c>
      <c r="B4829" s="683"/>
      <c r="C4829" s="683"/>
      <c r="D4829" s="698"/>
      <c r="E4829" s="215"/>
      <c r="F4829" s="215"/>
      <c r="G4829" s="153"/>
      <c r="H4829" s="153"/>
      <c r="I4829" s="153"/>
      <c r="J4829" s="153"/>
      <c r="K4829" s="153"/>
      <c r="L4829" s="656">
        <v>40</v>
      </c>
      <c r="M4829" s="666">
        <v>34834</v>
      </c>
      <c r="N4829" s="597">
        <f>0.028317*191.51</f>
        <v>5.4229886699999996</v>
      </c>
      <c r="O4829" s="604">
        <v>4.6986266704892969E-3</v>
      </c>
      <c r="P4829" s="220"/>
      <c r="Q4829" s="220"/>
      <c r="R4829" s="478"/>
      <c r="S4829" s="478">
        <v>0.11404890363370308</v>
      </c>
      <c r="T4829" s="478">
        <v>6.5134099616858246E-2</v>
      </c>
      <c r="U4829" s="478">
        <v>0.1322900260268311</v>
      </c>
      <c r="V4829" s="478">
        <v>0.2213956190029378</v>
      </c>
      <c r="W4829" s="478">
        <v>0.22522703662745888</v>
      </c>
      <c r="X4829" s="478">
        <v>0.23118081386906161</v>
      </c>
      <c r="Y4829" s="478">
        <v>1.072350122314936E-2</v>
      </c>
      <c r="Z4829" s="231"/>
      <c r="AA4829" s="229"/>
      <c r="AB4829" s="252">
        <v>2400</v>
      </c>
      <c r="AC4829" s="152"/>
      <c r="AD4829" s="223">
        <f>0.3048*31.5</f>
        <v>9.6012000000000004</v>
      </c>
      <c r="AE4829" s="152"/>
      <c r="AF4829" s="153"/>
      <c r="AG4829" s="153"/>
      <c r="AH4829" s="346"/>
      <c r="AI4829" s="218"/>
      <c r="AJ4829" s="218"/>
      <c r="AK4829" s="153"/>
      <c r="AL4829" s="152"/>
      <c r="AM4829" s="152"/>
      <c r="AN4829" s="152"/>
      <c r="AO4829" s="152"/>
      <c r="AP4829" s="152"/>
      <c r="AQ4829" s="152"/>
      <c r="AR4829" s="152"/>
      <c r="AS4829" s="152"/>
      <c r="AT4829" s="152"/>
      <c r="AU4829" s="153"/>
      <c r="AV4829" s="479"/>
      <c r="AW4829" s="479"/>
      <c r="AX4829" s="442"/>
      <c r="AY4829" s="153"/>
      <c r="AZ4829" s="152"/>
      <c r="BA4829" s="152"/>
      <c r="BB4829" s="152"/>
      <c r="BC4829" s="152"/>
      <c r="BD4829" s="152"/>
      <c r="BE4829" s="152"/>
      <c r="BF4829" s="152"/>
      <c r="BG4829" s="152"/>
      <c r="BH4829" s="152"/>
      <c r="BI4829" s="153"/>
      <c r="BJ4829" s="153"/>
      <c r="BK4829" s="153"/>
      <c r="BL4829" s="153"/>
      <c r="BM4829" s="153"/>
      <c r="BN4829" s="153"/>
      <c r="BO4829" s="153"/>
      <c r="BP4829" s="153"/>
      <c r="BQ4829" s="153"/>
      <c r="BR4829" s="153"/>
      <c r="BS4829" s="153"/>
      <c r="BT4829" s="153"/>
      <c r="BU4829" s="153"/>
      <c r="BV4829" s="153"/>
      <c r="BW4829" s="153"/>
      <c r="BX4829" s="153"/>
      <c r="BY4829" s="153"/>
      <c r="BZ4829" s="153"/>
      <c r="CA4829" s="152"/>
      <c r="CB4829" s="152"/>
    </row>
    <row r="4830" spans="1:80" s="87" customFormat="1" x14ac:dyDescent="0.2">
      <c r="A4830" s="152" t="s">
        <v>163</v>
      </c>
      <c r="B4830" s="683"/>
      <c r="C4830" s="683"/>
      <c r="D4830" s="698"/>
      <c r="E4830" s="215"/>
      <c r="F4830" s="215"/>
      <c r="G4830" s="153"/>
      <c r="H4830" s="153"/>
      <c r="I4830" s="153"/>
      <c r="J4830" s="153"/>
      <c r="K4830" s="153"/>
      <c r="L4830" s="656">
        <v>40</v>
      </c>
      <c r="M4830" s="666">
        <v>34851</v>
      </c>
      <c r="N4830" s="597">
        <f>0.028317*191.36</f>
        <v>5.41874112</v>
      </c>
      <c r="O4830" s="604">
        <v>8.5897438916543948E-3</v>
      </c>
      <c r="P4830" s="220"/>
      <c r="Q4830" s="220"/>
      <c r="R4830" s="478"/>
      <c r="S4830" s="478">
        <v>2.1227139160563131E-2</v>
      </c>
      <c r="T4830" s="478">
        <v>0.15046959093272849</v>
      </c>
      <c r="U4830" s="478">
        <v>0.26089707844894022</v>
      </c>
      <c r="V4830" s="478">
        <v>0.23879278477761001</v>
      </c>
      <c r="W4830" s="478">
        <v>0.18226017655867224</v>
      </c>
      <c r="X4830" s="478">
        <v>0.1416729842676073</v>
      </c>
      <c r="Y4830" s="478">
        <v>4.6802458538785898E-3</v>
      </c>
      <c r="Z4830" s="231"/>
      <c r="AA4830" s="229"/>
      <c r="AB4830" s="252">
        <v>2400</v>
      </c>
      <c r="AC4830" s="152"/>
      <c r="AD4830" s="223">
        <f>0.3048*32.3</f>
        <v>9.8450399999999991</v>
      </c>
      <c r="AE4830" s="152"/>
      <c r="AF4830" s="153"/>
      <c r="AG4830" s="153"/>
      <c r="AH4830" s="346"/>
      <c r="AI4830" s="218"/>
      <c r="AJ4830" s="218"/>
      <c r="AK4830" s="153"/>
      <c r="AL4830" s="152"/>
      <c r="AM4830" s="152"/>
      <c r="AN4830" s="152"/>
      <c r="AO4830" s="152"/>
      <c r="AP4830" s="152"/>
      <c r="AQ4830" s="152"/>
      <c r="AR4830" s="152"/>
      <c r="AS4830" s="152"/>
      <c r="AT4830" s="152"/>
      <c r="AU4830" s="153"/>
      <c r="AV4830" s="479"/>
      <c r="AW4830" s="479"/>
      <c r="AX4830" s="442"/>
      <c r="AY4830" s="153"/>
      <c r="AZ4830" s="152"/>
      <c r="BA4830" s="152"/>
      <c r="BB4830" s="152"/>
      <c r="BC4830" s="152"/>
      <c r="BD4830" s="152"/>
      <c r="BE4830" s="152"/>
      <c r="BF4830" s="152"/>
      <c r="BG4830" s="152"/>
      <c r="BH4830" s="152"/>
      <c r="BI4830" s="153"/>
      <c r="BJ4830" s="153"/>
      <c r="BK4830" s="153"/>
      <c r="BL4830" s="153"/>
      <c r="BM4830" s="153"/>
      <c r="BN4830" s="153"/>
      <c r="BO4830" s="153"/>
      <c r="BP4830" s="153"/>
      <c r="BQ4830" s="153"/>
      <c r="BR4830" s="153"/>
      <c r="BS4830" s="153"/>
      <c r="BT4830" s="153"/>
      <c r="BU4830" s="153"/>
      <c r="BV4830" s="153"/>
      <c r="BW4830" s="153"/>
      <c r="BX4830" s="153"/>
      <c r="BY4830" s="153"/>
      <c r="BZ4830" s="153"/>
      <c r="CA4830" s="152"/>
      <c r="CB4830" s="152"/>
    </row>
    <row r="4831" spans="1:80" s="87" customFormat="1" x14ac:dyDescent="0.2">
      <c r="A4831" s="152" t="s">
        <v>163</v>
      </c>
      <c r="B4831" s="683"/>
      <c r="C4831" s="683"/>
      <c r="D4831" s="698"/>
      <c r="E4831" s="215"/>
      <c r="F4831" s="215"/>
      <c r="G4831" s="153"/>
      <c r="H4831" s="153"/>
      <c r="I4831" s="153"/>
      <c r="J4831" s="153"/>
      <c r="K4831" s="153"/>
      <c r="L4831" s="656">
        <v>40</v>
      </c>
      <c r="M4831" s="666">
        <v>34865</v>
      </c>
      <c r="N4831" s="597">
        <f>0.028317*166.13</f>
        <v>4.70430321</v>
      </c>
      <c r="O4831" s="604">
        <v>4.1986968362706231E-3</v>
      </c>
      <c r="P4831" s="220"/>
      <c r="Q4831" s="220"/>
      <c r="R4831" s="478"/>
      <c r="S4831" s="478">
        <v>7.8331418545941195E-2</v>
      </c>
      <c r="T4831" s="478">
        <v>0.18719767334640874</v>
      </c>
      <c r="U4831" s="478">
        <v>0.22950035263655011</v>
      </c>
      <c r="V4831" s="478">
        <v>0.1615050478115351</v>
      </c>
      <c r="W4831" s="478">
        <v>0.15758243346633008</v>
      </c>
      <c r="X4831" s="478">
        <v>0.17904840466227886</v>
      </c>
      <c r="Y4831" s="478">
        <v>6.8346695309560073E-3</v>
      </c>
      <c r="Z4831" s="231"/>
      <c r="AA4831" s="229"/>
      <c r="AB4831" s="252">
        <v>2400</v>
      </c>
      <c r="AC4831" s="152"/>
      <c r="AD4831" s="223">
        <f>0.3048*31.4</f>
        <v>9.5707199999999997</v>
      </c>
      <c r="AE4831" s="152"/>
      <c r="AF4831" s="153"/>
      <c r="AG4831" s="153"/>
      <c r="AH4831" s="346"/>
      <c r="AI4831" s="218"/>
      <c r="AJ4831" s="218"/>
      <c r="AK4831" s="153"/>
      <c r="AL4831" s="152"/>
      <c r="AM4831" s="152"/>
      <c r="AN4831" s="152"/>
      <c r="AO4831" s="152"/>
      <c r="AP4831" s="152"/>
      <c r="AQ4831" s="152"/>
      <c r="AR4831" s="152"/>
      <c r="AS4831" s="152"/>
      <c r="AT4831" s="152"/>
      <c r="AU4831" s="153"/>
      <c r="AV4831" s="479"/>
      <c r="AW4831" s="479"/>
      <c r="AX4831" s="442"/>
      <c r="AY4831" s="153"/>
      <c r="AZ4831" s="152"/>
      <c r="BA4831" s="152"/>
      <c r="BB4831" s="152"/>
      <c r="BC4831" s="152"/>
      <c r="BD4831" s="152"/>
      <c r="BE4831" s="152"/>
      <c r="BF4831" s="152"/>
      <c r="BG4831" s="152"/>
      <c r="BH4831" s="152"/>
      <c r="BI4831" s="153"/>
      <c r="BJ4831" s="153"/>
      <c r="BK4831" s="153"/>
      <c r="BL4831" s="153"/>
      <c r="BM4831" s="153"/>
      <c r="BN4831" s="153"/>
      <c r="BO4831" s="153"/>
      <c r="BP4831" s="153"/>
      <c r="BQ4831" s="153"/>
      <c r="BR4831" s="153"/>
      <c r="BS4831" s="153"/>
      <c r="BT4831" s="153"/>
      <c r="BU4831" s="153"/>
      <c r="BV4831" s="153"/>
      <c r="BW4831" s="153"/>
      <c r="BX4831" s="153"/>
      <c r="BY4831" s="153"/>
      <c r="BZ4831" s="153"/>
      <c r="CA4831" s="152"/>
      <c r="CB4831" s="152"/>
    </row>
    <row r="4832" spans="1:80" s="87" customFormat="1" x14ac:dyDescent="0.2">
      <c r="A4832" s="152" t="s">
        <v>163</v>
      </c>
      <c r="B4832" s="683"/>
      <c r="C4832" s="683"/>
      <c r="D4832" s="698"/>
      <c r="E4832" s="215"/>
      <c r="F4832" s="215"/>
      <c r="G4832" s="153"/>
      <c r="H4832" s="153"/>
      <c r="I4832" s="153"/>
      <c r="J4832" s="153"/>
      <c r="K4832" s="153"/>
      <c r="L4832" s="656">
        <v>40</v>
      </c>
      <c r="M4832" s="666">
        <v>34865</v>
      </c>
      <c r="N4832" s="597">
        <f>0.028317*160.27</f>
        <v>4.5383655899999997</v>
      </c>
      <c r="O4832" s="604">
        <v>1.2019707895590285E-2</v>
      </c>
      <c r="P4832" s="220"/>
      <c r="Q4832" s="220"/>
      <c r="R4832" s="478"/>
      <c r="S4832" s="478">
        <v>3.8673985052733298E-2</v>
      </c>
      <c r="T4832" s="478">
        <v>0.20204926417139299</v>
      </c>
      <c r="U4832" s="478">
        <v>0.30744185844059185</v>
      </c>
      <c r="V4832" s="478">
        <v>0.2485494535150452</v>
      </c>
      <c r="W4832" s="478">
        <v>0.12398744673349556</v>
      </c>
      <c r="X4832" s="478">
        <v>7.5737460879860358E-2</v>
      </c>
      <c r="Y4832" s="478">
        <v>3.5605312068807925E-3</v>
      </c>
      <c r="Z4832" s="231"/>
      <c r="AA4832" s="229"/>
      <c r="AB4832" s="252">
        <v>2400</v>
      </c>
      <c r="AC4832" s="152"/>
      <c r="AD4832" s="223">
        <f>0.3048*31.4</f>
        <v>9.5707199999999997</v>
      </c>
      <c r="AE4832" s="152"/>
      <c r="AF4832" s="153"/>
      <c r="AG4832" s="153"/>
      <c r="AH4832" s="346"/>
      <c r="AI4832" s="218"/>
      <c r="AJ4832" s="218"/>
      <c r="AK4832" s="153"/>
      <c r="AL4832" s="152"/>
      <c r="AM4832" s="152"/>
      <c r="AN4832" s="152"/>
      <c r="AO4832" s="152"/>
      <c r="AP4832" s="152"/>
      <c r="AQ4832" s="152"/>
      <c r="AR4832" s="152"/>
      <c r="AS4832" s="152"/>
      <c r="AT4832" s="152"/>
      <c r="AU4832" s="153"/>
      <c r="AV4832" s="479"/>
      <c r="AW4832" s="479"/>
      <c r="AX4832" s="442"/>
      <c r="AY4832" s="153"/>
      <c r="AZ4832" s="152"/>
      <c r="BA4832" s="152"/>
      <c r="BB4832" s="152"/>
      <c r="BC4832" s="152"/>
      <c r="BD4832" s="152"/>
      <c r="BE4832" s="152"/>
      <c r="BF4832" s="152"/>
      <c r="BG4832" s="152"/>
      <c r="BH4832" s="152"/>
      <c r="BI4832" s="153"/>
      <c r="BJ4832" s="153"/>
      <c r="BK4832" s="153"/>
      <c r="BL4832" s="153"/>
      <c r="BM4832" s="153"/>
      <c r="BN4832" s="153"/>
      <c r="BO4832" s="153"/>
      <c r="BP4832" s="153"/>
      <c r="BQ4832" s="153"/>
      <c r="BR4832" s="153"/>
      <c r="BS4832" s="153"/>
      <c r="BT4832" s="153"/>
      <c r="BU4832" s="153"/>
      <c r="BV4832" s="153"/>
      <c r="BW4832" s="153"/>
      <c r="BX4832" s="153"/>
      <c r="BY4832" s="153"/>
      <c r="BZ4832" s="153"/>
      <c r="CA4832" s="152"/>
      <c r="CB4832" s="152"/>
    </row>
    <row r="4833" spans="1:80" s="87" customFormat="1" x14ac:dyDescent="0.2">
      <c r="A4833" s="152" t="s">
        <v>163</v>
      </c>
      <c r="B4833" s="683"/>
      <c r="C4833" s="683"/>
      <c r="D4833" s="698"/>
      <c r="E4833" s="215"/>
      <c r="F4833" s="215"/>
      <c r="G4833" s="153"/>
      <c r="H4833" s="153"/>
      <c r="I4833" s="153"/>
      <c r="J4833" s="153"/>
      <c r="K4833" s="153"/>
      <c r="L4833" s="656">
        <v>40</v>
      </c>
      <c r="M4833" s="666">
        <v>34879</v>
      </c>
      <c r="N4833" s="597">
        <f>0.028317*76.9</f>
        <v>2.1775772999999998</v>
      </c>
      <c r="O4833" s="604">
        <v>7.6330571783299345E-3</v>
      </c>
      <c r="P4833" s="220"/>
      <c r="Q4833" s="220"/>
      <c r="R4833" s="478"/>
      <c r="S4833" s="478">
        <v>2.0546277749386319E-2</v>
      </c>
      <c r="T4833" s="478">
        <v>0.25127679974101769</v>
      </c>
      <c r="U4833" s="478">
        <v>0.26789004478018158</v>
      </c>
      <c r="V4833" s="478">
        <v>0.18366858096884706</v>
      </c>
      <c r="W4833" s="478">
        <v>0.13722146185330297</v>
      </c>
      <c r="X4833" s="478">
        <v>0.13465252445744577</v>
      </c>
      <c r="Y4833" s="478">
        <v>4.7443104498185885E-3</v>
      </c>
      <c r="Z4833" s="231"/>
      <c r="AA4833" s="229"/>
      <c r="AB4833" s="252">
        <v>2400</v>
      </c>
      <c r="AC4833" s="152"/>
      <c r="AD4833" s="223">
        <f>0.3048*29.9</f>
        <v>9.1135199999999994</v>
      </c>
      <c r="AE4833" s="152"/>
      <c r="AF4833" s="153"/>
      <c r="AG4833" s="153"/>
      <c r="AH4833" s="346"/>
      <c r="AI4833" s="218"/>
      <c r="AJ4833" s="218"/>
      <c r="AK4833" s="153"/>
      <c r="AL4833" s="152"/>
      <c r="AM4833" s="152"/>
      <c r="AN4833" s="152"/>
      <c r="AO4833" s="152"/>
      <c r="AP4833" s="152"/>
      <c r="AQ4833" s="152"/>
      <c r="AR4833" s="152"/>
      <c r="AS4833" s="152"/>
      <c r="AT4833" s="152"/>
      <c r="AU4833" s="153"/>
      <c r="AV4833" s="479"/>
      <c r="AW4833" s="479"/>
      <c r="AX4833" s="442"/>
      <c r="AY4833" s="153"/>
      <c r="AZ4833" s="152"/>
      <c r="BA4833" s="152"/>
      <c r="BB4833" s="152"/>
      <c r="BC4833" s="152"/>
      <c r="BD4833" s="152"/>
      <c r="BE4833" s="152"/>
      <c r="BF4833" s="152"/>
      <c r="BG4833" s="152"/>
      <c r="BH4833" s="152"/>
      <c r="BI4833" s="153"/>
      <c r="BJ4833" s="153"/>
      <c r="BK4833" s="153"/>
      <c r="BL4833" s="153"/>
      <c r="BM4833" s="153"/>
      <c r="BN4833" s="153"/>
      <c r="BO4833" s="153"/>
      <c r="BP4833" s="153"/>
      <c r="BQ4833" s="153"/>
      <c r="BR4833" s="153"/>
      <c r="BS4833" s="153"/>
      <c r="BT4833" s="153"/>
      <c r="BU4833" s="153"/>
      <c r="BV4833" s="153"/>
      <c r="BW4833" s="153"/>
      <c r="BX4833" s="153"/>
      <c r="BY4833" s="153"/>
      <c r="BZ4833" s="153"/>
      <c r="CA4833" s="152"/>
      <c r="CB4833" s="152"/>
    </row>
    <row r="4834" spans="1:80" s="87" customFormat="1" x14ac:dyDescent="0.2">
      <c r="A4834" s="152" t="s">
        <v>163</v>
      </c>
      <c r="B4834" s="683"/>
      <c r="C4834" s="683"/>
      <c r="D4834" s="698"/>
      <c r="E4834" s="215"/>
      <c r="F4834" s="215"/>
      <c r="G4834" s="153"/>
      <c r="H4834" s="153"/>
      <c r="I4834" s="153"/>
      <c r="J4834" s="153"/>
      <c r="K4834" s="153"/>
      <c r="L4834" s="656">
        <v>40</v>
      </c>
      <c r="M4834" s="666">
        <v>34879</v>
      </c>
      <c r="N4834" s="597">
        <f>0.028317*78.83</f>
        <v>2.23222911</v>
      </c>
      <c r="O4834" s="604">
        <v>3.9385084648318043E-4</v>
      </c>
      <c r="P4834" s="220"/>
      <c r="Q4834" s="220"/>
      <c r="R4834" s="478"/>
      <c r="S4834" s="478"/>
      <c r="T4834" s="478"/>
      <c r="U4834" s="478">
        <v>0.16655282331511839</v>
      </c>
      <c r="V4834" s="478">
        <v>0.32506071645415907</v>
      </c>
      <c r="W4834" s="478">
        <v>0.27285721513863587</v>
      </c>
      <c r="X4834" s="478">
        <v>0.2105343047965999</v>
      </c>
      <c r="Y4834" s="478">
        <v>2.4994940295486746E-2</v>
      </c>
      <c r="Z4834" s="231"/>
      <c r="AA4834" s="229"/>
      <c r="AB4834" s="252">
        <v>2400</v>
      </c>
      <c r="AC4834" s="152"/>
      <c r="AD4834" s="223">
        <f>0.3048*29.9</f>
        <v>9.1135199999999994</v>
      </c>
      <c r="AE4834" s="152"/>
      <c r="AF4834" s="153"/>
      <c r="AG4834" s="153"/>
      <c r="AH4834" s="346"/>
      <c r="AI4834" s="218"/>
      <c r="AJ4834" s="218"/>
      <c r="AK4834" s="153"/>
      <c r="AL4834" s="152"/>
      <c r="AM4834" s="152"/>
      <c r="AN4834" s="152"/>
      <c r="AO4834" s="152"/>
      <c r="AP4834" s="152"/>
      <c r="AQ4834" s="152"/>
      <c r="AR4834" s="152"/>
      <c r="AS4834" s="152"/>
      <c r="AT4834" s="152"/>
      <c r="AU4834" s="153"/>
      <c r="AV4834" s="479"/>
      <c r="AW4834" s="479"/>
      <c r="AX4834" s="442"/>
      <c r="AY4834" s="153"/>
      <c r="AZ4834" s="152"/>
      <c r="BA4834" s="152"/>
      <c r="BB4834" s="152"/>
      <c r="BC4834" s="152"/>
      <c r="BD4834" s="152"/>
      <c r="BE4834" s="152"/>
      <c r="BF4834" s="152"/>
      <c r="BG4834" s="152"/>
      <c r="BH4834" s="152"/>
      <c r="BI4834" s="153"/>
      <c r="BJ4834" s="153"/>
      <c r="BK4834" s="153"/>
      <c r="BL4834" s="153"/>
      <c r="BM4834" s="153"/>
      <c r="BN4834" s="153"/>
      <c r="BO4834" s="153"/>
      <c r="BP4834" s="153"/>
      <c r="BQ4834" s="153"/>
      <c r="BR4834" s="153"/>
      <c r="BS4834" s="153"/>
      <c r="BT4834" s="153"/>
      <c r="BU4834" s="153"/>
      <c r="BV4834" s="153"/>
      <c r="BW4834" s="153"/>
      <c r="BX4834" s="153"/>
      <c r="BY4834" s="153"/>
      <c r="BZ4834" s="153"/>
      <c r="CA4834" s="152"/>
      <c r="CB4834" s="152"/>
    </row>
    <row r="4835" spans="1:80" s="87" customFormat="1" x14ac:dyDescent="0.2">
      <c r="A4835" s="152" t="s">
        <v>163</v>
      </c>
      <c r="B4835" s="683"/>
      <c r="C4835" s="683"/>
      <c r="D4835" s="698"/>
      <c r="E4835" s="215"/>
      <c r="F4835" s="215"/>
      <c r="G4835" s="153"/>
      <c r="H4835" s="153"/>
      <c r="I4835" s="153"/>
      <c r="J4835" s="153"/>
      <c r="K4835" s="153"/>
      <c r="L4835" s="656">
        <v>40</v>
      </c>
      <c r="M4835" s="666">
        <v>34886</v>
      </c>
      <c r="N4835" s="597">
        <f>0.028317*58.33</f>
        <v>1.6517306099999998</v>
      </c>
      <c r="O4835" s="604">
        <v>1.0611994280212934E-4</v>
      </c>
      <c r="P4835" s="220"/>
      <c r="Q4835" s="220"/>
      <c r="R4835" s="478"/>
      <c r="S4835" s="478"/>
      <c r="T4835" s="478"/>
      <c r="U4835" s="478">
        <v>1.2521588946459414E-2</v>
      </c>
      <c r="V4835" s="478">
        <v>0.13428324697754751</v>
      </c>
      <c r="W4835" s="478">
        <v>0.27806563039723664</v>
      </c>
      <c r="X4835" s="478">
        <v>0.51727115716753025</v>
      </c>
      <c r="Y4835" s="478">
        <v>5.7858376511226259E-2</v>
      </c>
      <c r="Z4835" s="231"/>
      <c r="AA4835" s="229"/>
      <c r="AB4835" s="252">
        <v>2400</v>
      </c>
      <c r="AC4835" s="152"/>
      <c r="AD4835" s="223">
        <f>0.3048*27.5</f>
        <v>8.3819999999999997</v>
      </c>
      <c r="AE4835" s="152"/>
      <c r="AF4835" s="153"/>
      <c r="AG4835" s="153"/>
      <c r="AH4835" s="346"/>
      <c r="AI4835" s="218"/>
      <c r="AJ4835" s="218"/>
      <c r="AK4835" s="153"/>
      <c r="AL4835" s="152"/>
      <c r="AM4835" s="152"/>
      <c r="AN4835" s="152"/>
      <c r="AO4835" s="152"/>
      <c r="AP4835" s="152"/>
      <c r="AQ4835" s="152"/>
      <c r="AR4835" s="152"/>
      <c r="AS4835" s="152"/>
      <c r="AT4835" s="152"/>
      <c r="AU4835" s="153"/>
      <c r="AV4835" s="479"/>
      <c r="AW4835" s="479"/>
      <c r="AX4835" s="442"/>
      <c r="AY4835" s="153"/>
      <c r="AZ4835" s="152"/>
      <c r="BA4835" s="152"/>
      <c r="BB4835" s="152"/>
      <c r="BC4835" s="152"/>
      <c r="BD4835" s="152"/>
      <c r="BE4835" s="152"/>
      <c r="BF4835" s="152"/>
      <c r="BG4835" s="152"/>
      <c r="BH4835" s="152"/>
      <c r="BI4835" s="153"/>
      <c r="BJ4835" s="153"/>
      <c r="BK4835" s="153"/>
      <c r="BL4835" s="153"/>
      <c r="BM4835" s="153"/>
      <c r="BN4835" s="153"/>
      <c r="BO4835" s="153"/>
      <c r="BP4835" s="153"/>
      <c r="BQ4835" s="153"/>
      <c r="BR4835" s="153"/>
      <c r="BS4835" s="153"/>
      <c r="BT4835" s="153"/>
      <c r="BU4835" s="153"/>
      <c r="BV4835" s="153"/>
      <c r="BW4835" s="153"/>
      <c r="BX4835" s="153"/>
      <c r="BY4835" s="153"/>
      <c r="BZ4835" s="153"/>
      <c r="CA4835" s="152"/>
      <c r="CB4835" s="152"/>
    </row>
    <row r="4836" spans="1:80" s="87" customFormat="1" x14ac:dyDescent="0.2">
      <c r="A4836" s="152" t="s">
        <v>163</v>
      </c>
      <c r="B4836" s="683"/>
      <c r="C4836" s="683"/>
      <c r="D4836" s="698"/>
      <c r="E4836" s="215"/>
      <c r="F4836" s="215"/>
      <c r="G4836" s="153"/>
      <c r="H4836" s="153"/>
      <c r="I4836" s="153"/>
      <c r="J4836" s="153"/>
      <c r="K4836" s="153"/>
      <c r="L4836" s="656">
        <v>40</v>
      </c>
      <c r="M4836" s="666">
        <v>34886</v>
      </c>
      <c r="N4836" s="597">
        <f>0.028317*57.41</f>
        <v>1.6256789699999998</v>
      </c>
      <c r="O4836" s="604">
        <v>7.8421538042247136E-5</v>
      </c>
      <c r="P4836" s="220"/>
      <c r="Q4836" s="220"/>
      <c r="R4836" s="478"/>
      <c r="S4836" s="478"/>
      <c r="T4836" s="478"/>
      <c r="U4836" s="478">
        <v>0.10476190476190475</v>
      </c>
      <c r="V4836" s="478">
        <v>0.20753724802804557</v>
      </c>
      <c r="W4836" s="478">
        <v>0.24522348816827344</v>
      </c>
      <c r="X4836" s="478">
        <v>0.32795793163891324</v>
      </c>
      <c r="Y4836" s="478">
        <v>0.11451942740286297</v>
      </c>
      <c r="Z4836" s="231"/>
      <c r="AA4836" s="229"/>
      <c r="AB4836" s="252">
        <v>2400</v>
      </c>
      <c r="AC4836" s="152"/>
      <c r="AD4836" s="223">
        <f>0.3048*27.5</f>
        <v>8.3819999999999997</v>
      </c>
      <c r="AE4836" s="152"/>
      <c r="AF4836" s="153"/>
      <c r="AG4836" s="153"/>
      <c r="AH4836" s="346"/>
      <c r="AI4836" s="218"/>
      <c r="AJ4836" s="218"/>
      <c r="AK4836" s="153"/>
      <c r="AL4836" s="152"/>
      <c r="AM4836" s="152"/>
      <c r="AN4836" s="152"/>
      <c r="AO4836" s="152"/>
      <c r="AP4836" s="152"/>
      <c r="AQ4836" s="152"/>
      <c r="AR4836" s="152"/>
      <c r="AS4836" s="152"/>
      <c r="AT4836" s="152"/>
      <c r="AU4836" s="153"/>
      <c r="AV4836" s="479"/>
      <c r="AW4836" s="479"/>
      <c r="AX4836" s="442"/>
      <c r="AY4836" s="153"/>
      <c r="AZ4836" s="152"/>
      <c r="BA4836" s="152"/>
      <c r="BB4836" s="152"/>
      <c r="BC4836" s="152"/>
      <c r="BD4836" s="152"/>
      <c r="BE4836" s="152"/>
      <c r="BF4836" s="152"/>
      <c r="BG4836" s="152"/>
      <c r="BH4836" s="152"/>
      <c r="BI4836" s="153"/>
      <c r="BJ4836" s="153"/>
      <c r="BK4836" s="153"/>
      <c r="BL4836" s="153"/>
      <c r="BM4836" s="153"/>
      <c r="BN4836" s="153"/>
      <c r="BO4836" s="153"/>
      <c r="BP4836" s="153"/>
      <c r="BQ4836" s="153"/>
      <c r="BR4836" s="153"/>
      <c r="BS4836" s="153"/>
      <c r="BT4836" s="153"/>
      <c r="BU4836" s="153"/>
      <c r="BV4836" s="153"/>
      <c r="BW4836" s="153"/>
      <c r="BX4836" s="153"/>
      <c r="BY4836" s="153"/>
      <c r="BZ4836" s="153"/>
      <c r="CA4836" s="152"/>
      <c r="CB4836" s="152"/>
    </row>
    <row r="4837" spans="1:80" s="87" customFormat="1" x14ac:dyDescent="0.2">
      <c r="A4837" s="152" t="s">
        <v>163</v>
      </c>
      <c r="B4837" s="683"/>
      <c r="C4837" s="683"/>
      <c r="D4837" s="698"/>
      <c r="E4837" s="215"/>
      <c r="F4837" s="215"/>
      <c r="G4837" s="153"/>
      <c r="H4837" s="153"/>
      <c r="I4837" s="153"/>
      <c r="J4837" s="153"/>
      <c r="K4837" s="153"/>
      <c r="L4837" s="656">
        <v>40</v>
      </c>
      <c r="M4837" s="666">
        <v>35206</v>
      </c>
      <c r="N4837" s="597">
        <f>0.028317*300.15</f>
        <v>8.4993475499999995</v>
      </c>
      <c r="O4837" s="604">
        <v>6.1690376942462335E-2</v>
      </c>
      <c r="P4837" s="220"/>
      <c r="Q4837" s="220"/>
      <c r="R4837" s="478">
        <v>3.4821744721295594E-2</v>
      </c>
      <c r="S4837" s="478">
        <v>0.28452822452897003</v>
      </c>
      <c r="T4837" s="478">
        <v>0.25693732645036255</v>
      </c>
      <c r="U4837" s="478">
        <v>0.1613988333737118</v>
      </c>
      <c r="V4837" s="478">
        <v>0.11568422818166572</v>
      </c>
      <c r="W4837" s="478">
        <v>8.7534244022437993E-2</v>
      </c>
      <c r="X4837" s="478">
        <v>5.6849736297731983E-2</v>
      </c>
      <c r="Y4837" s="478">
        <v>2.2456624238245218E-3</v>
      </c>
      <c r="Z4837" s="231"/>
      <c r="AA4837" s="229"/>
      <c r="AB4837" s="252">
        <v>2400</v>
      </c>
      <c r="AC4837" s="152"/>
      <c r="AD4837" s="223">
        <f>0.3048*34.5</f>
        <v>10.515600000000001</v>
      </c>
      <c r="AE4837" s="152"/>
      <c r="AF4837" s="153"/>
      <c r="AG4837" s="153"/>
      <c r="AH4837" s="346"/>
      <c r="AI4837" s="218"/>
      <c r="AJ4837" s="218"/>
      <c r="AK4837" s="153"/>
      <c r="AL4837" s="152"/>
      <c r="AM4837" s="152"/>
      <c r="AN4837" s="152"/>
      <c r="AO4837" s="152"/>
      <c r="AP4837" s="152"/>
      <c r="AQ4837" s="152"/>
      <c r="AR4837" s="152"/>
      <c r="AS4837" s="152"/>
      <c r="AT4837" s="152"/>
      <c r="AU4837" s="153"/>
      <c r="AV4837" s="479"/>
      <c r="AW4837" s="479"/>
      <c r="AX4837" s="442"/>
      <c r="AY4837" s="153"/>
      <c r="AZ4837" s="152"/>
      <c r="BA4837" s="152"/>
      <c r="BB4837" s="152"/>
      <c r="BC4837" s="152"/>
      <c r="BD4837" s="152"/>
      <c r="BE4837" s="152"/>
      <c r="BF4837" s="152"/>
      <c r="BG4837" s="152"/>
      <c r="BH4837" s="152"/>
      <c r="BI4837" s="153"/>
      <c r="BJ4837" s="153"/>
      <c r="BK4837" s="153"/>
      <c r="BL4837" s="153"/>
      <c r="BM4837" s="153"/>
      <c r="BN4837" s="153"/>
      <c r="BO4837" s="153"/>
      <c r="BP4837" s="153"/>
      <c r="BQ4837" s="153"/>
      <c r="BR4837" s="153"/>
      <c r="BS4837" s="153"/>
      <c r="BT4837" s="153"/>
      <c r="BU4837" s="153"/>
      <c r="BV4837" s="153"/>
      <c r="BW4837" s="153"/>
      <c r="BX4837" s="153"/>
      <c r="BY4837" s="153"/>
      <c r="BZ4837" s="153"/>
      <c r="CA4837" s="152"/>
      <c r="CB4837" s="152"/>
    </row>
    <row r="4838" spans="1:80" s="87" customFormat="1" x14ac:dyDescent="0.2">
      <c r="A4838" s="152" t="s">
        <v>163</v>
      </c>
      <c r="B4838" s="683"/>
      <c r="C4838" s="683"/>
      <c r="D4838" s="698"/>
      <c r="E4838" s="215"/>
      <c r="F4838" s="215"/>
      <c r="G4838" s="153"/>
      <c r="H4838" s="153"/>
      <c r="I4838" s="153"/>
      <c r="J4838" s="153"/>
      <c r="K4838" s="153"/>
      <c r="L4838" s="656">
        <v>40</v>
      </c>
      <c r="M4838" s="666">
        <v>35228</v>
      </c>
      <c r="N4838" s="597">
        <f>0.028317*59.89</f>
        <v>1.6959051299999999</v>
      </c>
      <c r="O4838" s="604">
        <v>5.1360652712651488E-3</v>
      </c>
      <c r="P4838" s="220"/>
      <c r="Q4838" s="220"/>
      <c r="R4838" s="478"/>
      <c r="S4838" s="478"/>
      <c r="T4838" s="478">
        <v>8.7103634957463261E-2</v>
      </c>
      <c r="U4838" s="478">
        <v>0.11523588553750967</v>
      </c>
      <c r="V4838" s="478">
        <v>0.2464230471771075</v>
      </c>
      <c r="W4838" s="478">
        <v>0.32018561484918789</v>
      </c>
      <c r="X4838" s="478">
        <v>0.227861562258314</v>
      </c>
      <c r="Y4838" s="478">
        <v>3.1902552204176333E-3</v>
      </c>
      <c r="Z4838" s="231"/>
      <c r="AA4838" s="229"/>
      <c r="AB4838" s="252">
        <v>2400</v>
      </c>
      <c r="AC4838" s="152"/>
      <c r="AD4838" s="223">
        <f>0.3048*29.8</f>
        <v>9.0830400000000004</v>
      </c>
      <c r="AE4838" s="152"/>
      <c r="AF4838" s="153"/>
      <c r="AG4838" s="153"/>
      <c r="AH4838" s="346"/>
      <c r="AI4838" s="218"/>
      <c r="AJ4838" s="218"/>
      <c r="AK4838" s="153"/>
      <c r="AL4838" s="152"/>
      <c r="AM4838" s="152"/>
      <c r="AN4838" s="152"/>
      <c r="AO4838" s="152"/>
      <c r="AP4838" s="152"/>
      <c r="AQ4838" s="152"/>
      <c r="AR4838" s="152"/>
      <c r="AS4838" s="152"/>
      <c r="AT4838" s="152"/>
      <c r="AU4838" s="153"/>
      <c r="AV4838" s="479"/>
      <c r="AW4838" s="479"/>
      <c r="AX4838" s="442"/>
      <c r="AY4838" s="153"/>
      <c r="AZ4838" s="152"/>
      <c r="BA4838" s="152"/>
      <c r="BB4838" s="152"/>
      <c r="BC4838" s="152"/>
      <c r="BD4838" s="152"/>
      <c r="BE4838" s="152"/>
      <c r="BF4838" s="152"/>
      <c r="BG4838" s="152"/>
      <c r="BH4838" s="152"/>
      <c r="BI4838" s="153"/>
      <c r="BJ4838" s="153"/>
      <c r="BK4838" s="153"/>
      <c r="BL4838" s="153"/>
      <c r="BM4838" s="153"/>
      <c r="BN4838" s="153"/>
      <c r="BO4838" s="153"/>
      <c r="BP4838" s="153"/>
      <c r="BQ4838" s="153"/>
      <c r="BR4838" s="153"/>
      <c r="BS4838" s="153"/>
      <c r="BT4838" s="153"/>
      <c r="BU4838" s="153"/>
      <c r="BV4838" s="153"/>
      <c r="BW4838" s="153"/>
      <c r="BX4838" s="153"/>
      <c r="BY4838" s="153"/>
      <c r="BZ4838" s="153"/>
      <c r="CA4838" s="152"/>
      <c r="CB4838" s="152"/>
    </row>
    <row r="4839" spans="1:80" ht="15" x14ac:dyDescent="0.25">
      <c r="A4839" s="9" t="s">
        <v>75</v>
      </c>
      <c r="B4839" s="639" t="s">
        <v>73</v>
      </c>
      <c r="C4839" s="639" t="s">
        <v>587</v>
      </c>
      <c r="D4839" s="4">
        <f>VLOOKUP(E4839,'Quality Code'!D4:E24,2,TRUE)*VLOOKUP(MROUND(F4839,10),'Quality Code'!D28:E69,2,TRUE)*VLOOKUP(COUNTA(CB4839:CB4849),'Quality Code'!D73:E93,2,TRUE)</f>
        <v>0.29166549999999997</v>
      </c>
      <c r="E4839" s="14">
        <v>0.7</v>
      </c>
      <c r="F4839" s="18">
        <v>11</v>
      </c>
      <c r="G4839" s="12">
        <f>25*2.59</f>
        <v>64.75</v>
      </c>
      <c r="H4839" s="2" t="s">
        <v>72</v>
      </c>
      <c r="I4839" s="2">
        <v>10</v>
      </c>
      <c r="J4839" s="2" t="s">
        <v>290</v>
      </c>
      <c r="K4839" s="2">
        <v>4</v>
      </c>
      <c r="L4839" s="640" t="s">
        <v>284</v>
      </c>
      <c r="M4839" s="640">
        <v>1996</v>
      </c>
      <c r="N4839" s="578" t="s">
        <v>110</v>
      </c>
      <c r="O4839" s="578"/>
      <c r="P4839" s="10"/>
      <c r="Q4839" s="10"/>
      <c r="R4839" s="10"/>
      <c r="S4839" s="10"/>
      <c r="T4839" s="10"/>
      <c r="U4839" s="10"/>
      <c r="V4839" s="10"/>
      <c r="W4839" s="10"/>
      <c r="X4839" s="10"/>
      <c r="Y4839" s="10"/>
      <c r="Z4839" s="10"/>
      <c r="AA4839" s="10"/>
      <c r="AB4839" s="11"/>
      <c r="AC4839" s="116">
        <v>2.7000000000000001E-3</v>
      </c>
      <c r="AD4839" s="11"/>
      <c r="AE4839" s="11"/>
      <c r="AF4839" s="10"/>
      <c r="AG4839" s="10"/>
      <c r="AH4839" s="345"/>
      <c r="AI4839" s="18">
        <v>7.9</v>
      </c>
      <c r="AJ4839" s="135">
        <v>1</v>
      </c>
      <c r="AK4839" s="135">
        <v>1</v>
      </c>
      <c r="AL4839" s="135">
        <v>1</v>
      </c>
      <c r="AM4839" s="135">
        <v>0.97489999999999999</v>
      </c>
      <c r="AN4839" s="135">
        <v>0.65310000000000001</v>
      </c>
      <c r="AO4839" s="135">
        <v>0.50239999999999996</v>
      </c>
      <c r="AP4839" s="135">
        <v>0.3271</v>
      </c>
      <c r="AQ4839" s="135">
        <v>0.20660000000000001</v>
      </c>
      <c r="AR4839" s="135">
        <v>0.12970000000000001</v>
      </c>
      <c r="AS4839" s="135">
        <v>9.0399999999999994E-2</v>
      </c>
      <c r="AT4839" s="135">
        <v>5.3199999999999997E-2</v>
      </c>
      <c r="AU4839" s="18">
        <v>18.2</v>
      </c>
      <c r="AV4839" s="135">
        <v>1</v>
      </c>
      <c r="AW4839" s="135">
        <v>1</v>
      </c>
      <c r="AX4839" s="135">
        <v>1</v>
      </c>
      <c r="AY4839" s="135">
        <v>1</v>
      </c>
      <c r="AZ4839" s="135">
        <v>1</v>
      </c>
      <c r="BA4839" s="135">
        <v>0.86739999999999995</v>
      </c>
      <c r="BB4839" s="135">
        <v>0.41470000000000001</v>
      </c>
      <c r="BC4839" s="135">
        <v>0.219</v>
      </c>
      <c r="BD4839" s="135">
        <v>0.1105</v>
      </c>
      <c r="BE4839" s="135">
        <v>5.96E-2</v>
      </c>
      <c r="BF4839" s="135">
        <v>3.5400000000000001E-2</v>
      </c>
      <c r="BG4839" s="135">
        <v>2.5000000000000001E-2</v>
      </c>
      <c r="BH4839" s="135">
        <v>1.49E-2</v>
      </c>
      <c r="BI4839" s="4">
        <f>AU4839/AI4839</f>
        <v>2.3037974683544302</v>
      </c>
      <c r="BJ4839" s="2" t="s">
        <v>68</v>
      </c>
      <c r="BK4839" s="2" t="s">
        <v>68</v>
      </c>
      <c r="BL4839" s="12"/>
      <c r="BM4839" s="12">
        <f>228*0.028317</f>
        <v>6.4562759999999999</v>
      </c>
      <c r="BN4839" s="12">
        <v>10.302239999999999</v>
      </c>
      <c r="BO4839" s="12">
        <v>0.42670000000000002</v>
      </c>
      <c r="BP4839" s="12">
        <v>4.2735398399999998</v>
      </c>
      <c r="BQ4839" s="12"/>
      <c r="BR4839" s="12"/>
      <c r="BS4839" s="18">
        <v>3</v>
      </c>
      <c r="BT4839" s="12"/>
      <c r="BU4839" s="2"/>
      <c r="BV4839" s="2">
        <v>1.48</v>
      </c>
      <c r="BW4839" s="2"/>
      <c r="BX4839" s="2">
        <v>1.18</v>
      </c>
      <c r="BY4839" s="2" t="s">
        <v>87</v>
      </c>
      <c r="BZ4839" s="2"/>
      <c r="CA4839" s="9"/>
      <c r="CB4839" s="9" t="s">
        <v>225</v>
      </c>
    </row>
    <row r="4840" spans="1:80" s="87" customFormat="1" ht="15" x14ac:dyDescent="0.25">
      <c r="A4840" s="152"/>
      <c r="B4840" s="683"/>
      <c r="C4840" s="683"/>
      <c r="D4840" s="698"/>
      <c r="E4840" s="215"/>
      <c r="F4840" s="215"/>
      <c r="G4840" s="153"/>
      <c r="H4840" s="153"/>
      <c r="I4840" s="153"/>
      <c r="J4840" s="153"/>
      <c r="K4840" s="153"/>
      <c r="L4840" s="656">
        <v>40</v>
      </c>
      <c r="M4840" s="666">
        <v>35165</v>
      </c>
      <c r="N4840" s="597">
        <f>0.028317*111.9</f>
        <v>3.1686722999999999</v>
      </c>
      <c r="O4840" s="604">
        <v>1.6540168529467283E-2</v>
      </c>
      <c r="P4840" s="220"/>
      <c r="Q4840" s="478"/>
      <c r="R4840" s="478">
        <v>8.0253758671377365E-2</v>
      </c>
      <c r="S4840" s="478">
        <v>0.11233463135363747</v>
      </c>
      <c r="T4840" s="478">
        <v>6.0473992315032109E-2</v>
      </c>
      <c r="U4840" s="478">
        <v>6.4625938056064161E-2</v>
      </c>
      <c r="V4840" s="478">
        <v>8.9460247053665828E-2</v>
      </c>
      <c r="W4840" s="478">
        <v>0.21102715527245533</v>
      </c>
      <c r="X4840" s="478">
        <v>0.3495370967325992</v>
      </c>
      <c r="Y4840" s="478">
        <v>3.2287180545168527E-2</v>
      </c>
      <c r="Z4840" s="231"/>
      <c r="AA4840" s="230"/>
      <c r="AB4840" s="154">
        <v>2400</v>
      </c>
      <c r="AC4840" s="152"/>
      <c r="AD4840" s="223">
        <f>0.3048*25.6</f>
        <v>7.8028800000000009</v>
      </c>
      <c r="AE4840" s="152"/>
      <c r="AF4840" s="153"/>
      <c r="AG4840" s="153"/>
      <c r="AH4840" s="346"/>
      <c r="AI4840" s="218"/>
      <c r="AJ4840" s="218"/>
      <c r="AK4840" s="153"/>
      <c r="AL4840" s="152"/>
      <c r="AM4840" s="152"/>
      <c r="AN4840" s="152"/>
      <c r="AO4840" s="152"/>
      <c r="AP4840" s="152"/>
      <c r="AQ4840" s="152"/>
      <c r="AR4840" s="152"/>
      <c r="AS4840" s="152"/>
      <c r="AT4840" s="152"/>
      <c r="AU4840" s="155">
        <v>21</v>
      </c>
      <c r="AV4840" s="429"/>
      <c r="AW4840" s="429"/>
      <c r="AX4840" s="429"/>
      <c r="AY4840" s="153"/>
      <c r="AZ4840" s="152"/>
      <c r="BA4840" s="152"/>
      <c r="BB4840" s="152"/>
      <c r="BC4840" s="152"/>
      <c r="BD4840" s="152"/>
      <c r="BE4840" s="152"/>
      <c r="BF4840" s="152"/>
      <c r="BG4840" s="152"/>
      <c r="BH4840" s="152"/>
      <c r="BI4840" s="156">
        <f>AU4840/AI4839</f>
        <v>2.6582278481012658</v>
      </c>
      <c r="BJ4840" s="155" t="s">
        <v>68</v>
      </c>
      <c r="BK4840" s="155" t="s">
        <v>175</v>
      </c>
      <c r="BL4840" s="153"/>
      <c r="BM4840" s="153"/>
      <c r="BN4840" s="153"/>
      <c r="BO4840" s="153"/>
      <c r="BP4840" s="153"/>
      <c r="BQ4840" s="153"/>
      <c r="BR4840" s="153"/>
      <c r="BS4840" s="153"/>
      <c r="BT4840" s="153"/>
      <c r="BU4840" s="153"/>
      <c r="BV4840" s="153"/>
      <c r="BW4840" s="153"/>
      <c r="BX4840" s="153"/>
      <c r="BY4840" s="153"/>
      <c r="BZ4840" s="153"/>
      <c r="CA4840" s="152"/>
      <c r="CB4840" s="485" t="s">
        <v>642</v>
      </c>
    </row>
    <row r="4841" spans="1:80" s="87" customFormat="1" x14ac:dyDescent="0.2">
      <c r="A4841" s="152"/>
      <c r="B4841" s="683"/>
      <c r="C4841" s="683"/>
      <c r="D4841" s="698"/>
      <c r="E4841" s="215"/>
      <c r="F4841" s="215"/>
      <c r="G4841" s="153"/>
      <c r="H4841" s="153"/>
      <c r="I4841" s="153"/>
      <c r="J4841" s="153"/>
      <c r="K4841" s="153"/>
      <c r="L4841" s="656">
        <v>40</v>
      </c>
      <c r="M4841" s="666">
        <v>35171</v>
      </c>
      <c r="N4841" s="597">
        <f>0.028317*103.03</f>
        <v>2.91750051</v>
      </c>
      <c r="O4841" s="604">
        <v>1.9286472338600071E-2</v>
      </c>
      <c r="P4841" s="220"/>
      <c r="Q4841" s="478">
        <v>0.30727866333781451</v>
      </c>
      <c r="R4841" s="478">
        <v>9.9950920769050225E-2</v>
      </c>
      <c r="S4841" s="478">
        <v>7.5283272517764552E-2</v>
      </c>
      <c r="T4841" s="478">
        <v>5.6569148368649042E-2</v>
      </c>
      <c r="U4841" s="478">
        <v>4.5622345987239396E-2</v>
      </c>
      <c r="V4841" s="478">
        <v>4.9164586134050316E-2</v>
      </c>
      <c r="W4841" s="478">
        <v>0.121759170347609</v>
      </c>
      <c r="X4841" s="478">
        <v>0.2276849540148945</v>
      </c>
      <c r="Y4841" s="478">
        <v>1.6686938522928536E-2</v>
      </c>
      <c r="Z4841" s="231"/>
      <c r="AA4841" s="230"/>
      <c r="AB4841" s="154">
        <v>2400</v>
      </c>
      <c r="AC4841" s="152"/>
      <c r="AD4841" s="223">
        <f>0.3048*24.7</f>
        <v>7.5285600000000006</v>
      </c>
      <c r="AE4841" s="152"/>
      <c r="AF4841" s="153"/>
      <c r="AG4841" s="153"/>
      <c r="AH4841" s="346"/>
      <c r="AI4841" s="218"/>
      <c r="AJ4841" s="218"/>
      <c r="AK4841" s="153"/>
      <c r="AL4841" s="152"/>
      <c r="AM4841" s="152"/>
      <c r="AN4841" s="152"/>
      <c r="AO4841" s="152"/>
      <c r="AP4841" s="152"/>
      <c r="AQ4841" s="152"/>
      <c r="AR4841" s="152"/>
      <c r="AS4841" s="152"/>
      <c r="AT4841" s="152"/>
      <c r="AU4841" s="153"/>
      <c r="AV4841" s="479"/>
      <c r="AW4841" s="479"/>
      <c r="AX4841" s="442"/>
      <c r="AY4841" s="153"/>
      <c r="AZ4841" s="152"/>
      <c r="BA4841" s="152"/>
      <c r="BB4841" s="152"/>
      <c r="BC4841" s="152"/>
      <c r="BD4841" s="152"/>
      <c r="BE4841" s="152"/>
      <c r="BF4841" s="152"/>
      <c r="BG4841" s="152"/>
      <c r="BH4841" s="152"/>
      <c r="BI4841" s="153"/>
      <c r="BJ4841" s="153"/>
      <c r="BK4841" s="153"/>
      <c r="BL4841" s="153"/>
      <c r="BM4841" s="153"/>
      <c r="BN4841" s="153"/>
      <c r="BO4841" s="153"/>
      <c r="BP4841" s="153"/>
      <c r="BQ4841" s="153"/>
      <c r="BR4841" s="153"/>
      <c r="BS4841" s="153"/>
      <c r="BT4841" s="153"/>
      <c r="BU4841" s="153"/>
      <c r="BV4841" s="153"/>
      <c r="BW4841" s="153"/>
      <c r="BX4841" s="153"/>
      <c r="BY4841" s="153"/>
      <c r="BZ4841" s="153"/>
      <c r="CA4841" s="152"/>
      <c r="CB4841" s="152"/>
    </row>
    <row r="4842" spans="1:80" s="87" customFormat="1" x14ac:dyDescent="0.2">
      <c r="A4842" s="152"/>
      <c r="B4842" s="683"/>
      <c r="C4842" s="683"/>
      <c r="D4842" s="698"/>
      <c r="E4842" s="215"/>
      <c r="F4842" s="215"/>
      <c r="G4842" s="153"/>
      <c r="H4842" s="153"/>
      <c r="I4842" s="153"/>
      <c r="J4842" s="153"/>
      <c r="K4842" s="153"/>
      <c r="L4842" s="656">
        <v>50</v>
      </c>
      <c r="M4842" s="666">
        <v>35180</v>
      </c>
      <c r="N4842" s="597">
        <f>0.028317*145.13</f>
        <v>4.1096462099999993</v>
      </c>
      <c r="O4842" s="604">
        <v>3.3450618847736618E-2</v>
      </c>
      <c r="P4842" s="220"/>
      <c r="Q4842" s="478">
        <v>0.13344453711426188</v>
      </c>
      <c r="R4842" s="478">
        <v>0.11496485166209937</v>
      </c>
      <c r="S4842" s="478">
        <v>0.14942213749553199</v>
      </c>
      <c r="T4842" s="478">
        <v>0.11046109853449303</v>
      </c>
      <c r="U4842" s="478">
        <v>9.2708209221970692E-2</v>
      </c>
      <c r="V4842" s="478">
        <v>8.7918503514833796E-2</v>
      </c>
      <c r="W4842" s="478">
        <v>0.12236387465745265</v>
      </c>
      <c r="X4842" s="478">
        <v>0.17177409746217084</v>
      </c>
      <c r="Y4842" s="478">
        <v>1.6942690337185751E-2</v>
      </c>
      <c r="Z4842" s="231"/>
      <c r="AA4842" s="230"/>
      <c r="AB4842" s="154">
        <v>3000</v>
      </c>
      <c r="AC4842" s="152"/>
      <c r="AD4842" s="223">
        <f>0.3048*29.9</f>
        <v>9.1135199999999994</v>
      </c>
      <c r="AE4842" s="152"/>
      <c r="AF4842" s="153"/>
      <c r="AG4842" s="153"/>
      <c r="AH4842" s="346"/>
      <c r="AI4842" s="218"/>
      <c r="AJ4842" s="218"/>
      <c r="AK4842" s="153"/>
      <c r="AL4842" s="152"/>
      <c r="AM4842" s="152"/>
      <c r="AN4842" s="152"/>
      <c r="AO4842" s="152"/>
      <c r="AP4842" s="152"/>
      <c r="AQ4842" s="152"/>
      <c r="AR4842" s="152"/>
      <c r="AS4842" s="152"/>
      <c r="AT4842" s="152"/>
      <c r="AU4842" s="153"/>
      <c r="AV4842" s="479"/>
      <c r="AW4842" s="479"/>
      <c r="AX4842" s="442"/>
      <c r="AY4842" s="153"/>
      <c r="AZ4842" s="152"/>
      <c r="BA4842" s="152"/>
      <c r="BB4842" s="152"/>
      <c r="BC4842" s="152"/>
      <c r="BD4842" s="152"/>
      <c r="BE4842" s="152"/>
      <c r="BF4842" s="152"/>
      <c r="BG4842" s="152"/>
      <c r="BH4842" s="152"/>
      <c r="BI4842" s="153"/>
      <c r="BJ4842" s="153"/>
      <c r="BK4842" s="153"/>
      <c r="BL4842" s="153"/>
      <c r="BM4842" s="153"/>
      <c r="BN4842" s="153"/>
      <c r="BO4842" s="153"/>
      <c r="BP4842" s="153"/>
      <c r="BQ4842" s="153"/>
      <c r="BR4842" s="153"/>
      <c r="BS4842" s="153"/>
      <c r="BT4842" s="153"/>
      <c r="BU4842" s="153"/>
      <c r="BV4842" s="153"/>
      <c r="BW4842" s="153"/>
      <c r="BX4842" s="153"/>
      <c r="BY4842" s="153"/>
      <c r="BZ4842" s="153"/>
      <c r="CA4842" s="152"/>
      <c r="CB4842" s="152"/>
    </row>
    <row r="4843" spans="1:80" s="87" customFormat="1" x14ac:dyDescent="0.2">
      <c r="A4843" s="152"/>
      <c r="B4843" s="683"/>
      <c r="C4843" s="683"/>
      <c r="D4843" s="698"/>
      <c r="E4843" s="215"/>
      <c r="F4843" s="215"/>
      <c r="G4843" s="153"/>
      <c r="H4843" s="153"/>
      <c r="I4843" s="153"/>
      <c r="J4843" s="153"/>
      <c r="K4843" s="153"/>
      <c r="L4843" s="656">
        <v>40</v>
      </c>
      <c r="M4843" s="666">
        <v>35181</v>
      </c>
      <c r="N4843" s="597">
        <f>0.028317*149.85</f>
        <v>4.2433024499999998</v>
      </c>
      <c r="O4843" s="604">
        <v>2.9128907920394912E-2</v>
      </c>
      <c r="P4843" s="220"/>
      <c r="Q4843" s="478">
        <v>0.26867181911757004</v>
      </c>
      <c r="R4843" s="478">
        <v>1.6207540257157309E-2</v>
      </c>
      <c r="S4843" s="478">
        <v>8.2468291491477524E-2</v>
      </c>
      <c r="T4843" s="478">
        <v>8.3863989253127227E-2</v>
      </c>
      <c r="U4843" s="478">
        <v>8.9725919852056024E-2</v>
      </c>
      <c r="V4843" s="478">
        <v>9.4314276243479475E-2</v>
      </c>
      <c r="W4843" s="478">
        <v>0.1386974650639404</v>
      </c>
      <c r="X4843" s="478">
        <v>0.20740068738114759</v>
      </c>
      <c r="Y4843" s="478">
        <v>1.8650011340044313E-2</v>
      </c>
      <c r="Z4843" s="231"/>
      <c r="AA4843" s="230"/>
      <c r="AB4843" s="88">
        <v>2400</v>
      </c>
      <c r="AC4843" s="152"/>
      <c r="AD4843" s="89">
        <f>0.3048*30.5</f>
        <v>9.2964000000000002</v>
      </c>
      <c r="AE4843" s="152"/>
      <c r="AF4843" s="153"/>
      <c r="AG4843" s="153"/>
      <c r="AH4843" s="346"/>
      <c r="AI4843" s="218"/>
      <c r="AJ4843" s="218"/>
      <c r="AK4843" s="153"/>
      <c r="AL4843" s="152"/>
      <c r="AM4843" s="152"/>
      <c r="AN4843" s="152"/>
      <c r="AO4843" s="152"/>
      <c r="AP4843" s="152"/>
      <c r="AQ4843" s="152"/>
      <c r="AR4843" s="152"/>
      <c r="AS4843" s="152"/>
      <c r="AT4843" s="152"/>
      <c r="AU4843" s="153"/>
      <c r="AV4843" s="479"/>
      <c r="AW4843" s="479"/>
      <c r="AX4843" s="442"/>
      <c r="AY4843" s="153"/>
      <c r="AZ4843" s="152"/>
      <c r="BA4843" s="152"/>
      <c r="BB4843" s="152"/>
      <c r="BC4843" s="152"/>
      <c r="BD4843" s="152"/>
      <c r="BE4843" s="152"/>
      <c r="BF4843" s="152"/>
      <c r="BG4843" s="152"/>
      <c r="BH4843" s="152"/>
      <c r="BI4843" s="153"/>
      <c r="BJ4843" s="153"/>
      <c r="BK4843" s="153"/>
      <c r="BL4843" s="153"/>
      <c r="BM4843" s="153"/>
      <c r="BN4843" s="153"/>
      <c r="BO4843" s="153"/>
      <c r="BP4843" s="153"/>
      <c r="BQ4843" s="153"/>
      <c r="BR4843" s="153"/>
      <c r="BS4843" s="153"/>
      <c r="BT4843" s="153"/>
      <c r="BU4843" s="153"/>
      <c r="BV4843" s="153"/>
      <c r="BW4843" s="153"/>
      <c r="BX4843" s="153"/>
      <c r="BY4843" s="153"/>
      <c r="BZ4843" s="153"/>
      <c r="CA4843" s="152"/>
      <c r="CB4843" s="152"/>
    </row>
    <row r="4844" spans="1:80" s="87" customFormat="1" x14ac:dyDescent="0.2">
      <c r="A4844" s="152"/>
      <c r="B4844" s="683"/>
      <c r="C4844" s="683"/>
      <c r="D4844" s="698"/>
      <c r="E4844" s="215"/>
      <c r="F4844" s="215"/>
      <c r="G4844" s="153"/>
      <c r="H4844" s="153"/>
      <c r="I4844" s="153"/>
      <c r="J4844" s="153"/>
      <c r="K4844" s="153"/>
      <c r="L4844" s="656">
        <v>40</v>
      </c>
      <c r="M4844" s="666">
        <v>35185</v>
      </c>
      <c r="N4844" s="597">
        <f>0.028317*132.98</f>
        <v>3.7655946599999996</v>
      </c>
      <c r="O4844" s="604">
        <v>1.8514387688960621E-2</v>
      </c>
      <c r="P4844" s="220"/>
      <c r="Q4844" s="478"/>
      <c r="R4844" s="478"/>
      <c r="S4844" s="478">
        <v>0.31164604695611747</v>
      </c>
      <c r="T4844" s="478">
        <v>8.9004829919673539E-2</v>
      </c>
      <c r="U4844" s="478">
        <v>6.5500942738331999E-2</v>
      </c>
      <c r="V4844" s="478">
        <v>9.7089133972156946E-2</v>
      </c>
      <c r="W4844" s="478">
        <v>0.16713588346204511</v>
      </c>
      <c r="X4844" s="478">
        <v>0.24524110855696468</v>
      </c>
      <c r="Y4844" s="478">
        <v>2.4382054394710338E-2</v>
      </c>
      <c r="Z4844" s="231"/>
      <c r="AA4844" s="230"/>
      <c r="AB4844" s="154">
        <v>2400</v>
      </c>
      <c r="AC4844" s="152"/>
      <c r="AD4844" s="223">
        <f>0.3048*28.7</f>
        <v>8.7477599999999995</v>
      </c>
      <c r="AE4844" s="152"/>
      <c r="AF4844" s="153"/>
      <c r="AG4844" s="153"/>
      <c r="AH4844" s="346"/>
      <c r="AI4844" s="218"/>
      <c r="AJ4844" s="218"/>
      <c r="AK4844" s="153"/>
      <c r="AL4844" s="152"/>
      <c r="AM4844" s="152"/>
      <c r="AN4844" s="152"/>
      <c r="AO4844" s="152"/>
      <c r="AP4844" s="152"/>
      <c r="AQ4844" s="152"/>
      <c r="AR4844" s="152"/>
      <c r="AS4844" s="152"/>
      <c r="AT4844" s="152"/>
      <c r="AU4844" s="153"/>
      <c r="AV4844" s="479"/>
      <c r="AW4844" s="479"/>
      <c r="AX4844" s="442"/>
      <c r="AY4844" s="153"/>
      <c r="AZ4844" s="152"/>
      <c r="BA4844" s="152"/>
      <c r="BB4844" s="152"/>
      <c r="BC4844" s="152"/>
      <c r="BD4844" s="152"/>
      <c r="BE4844" s="152"/>
      <c r="BF4844" s="152"/>
      <c r="BG4844" s="152"/>
      <c r="BH4844" s="152"/>
      <c r="BI4844" s="153"/>
      <c r="BJ4844" s="153"/>
      <c r="BK4844" s="153"/>
      <c r="BL4844" s="153"/>
      <c r="BM4844" s="153"/>
      <c r="BN4844" s="153"/>
      <c r="BO4844" s="153"/>
      <c r="BP4844" s="153"/>
      <c r="BQ4844" s="153"/>
      <c r="BR4844" s="153"/>
      <c r="BS4844" s="153"/>
      <c r="BT4844" s="153"/>
      <c r="BU4844" s="153"/>
      <c r="BV4844" s="153"/>
      <c r="BW4844" s="153"/>
      <c r="BX4844" s="153"/>
      <c r="BY4844" s="153"/>
      <c r="BZ4844" s="153"/>
      <c r="CA4844" s="152"/>
      <c r="CB4844" s="152"/>
    </row>
    <row r="4845" spans="1:80" s="87" customFormat="1" x14ac:dyDescent="0.2">
      <c r="A4845" s="152"/>
      <c r="B4845" s="683"/>
      <c r="C4845" s="683"/>
      <c r="D4845" s="698"/>
      <c r="E4845" s="215"/>
      <c r="F4845" s="215"/>
      <c r="G4845" s="153"/>
      <c r="H4845" s="153"/>
      <c r="I4845" s="153"/>
      <c r="J4845" s="153"/>
      <c r="K4845" s="153"/>
      <c r="L4845" s="656">
        <v>40</v>
      </c>
      <c r="M4845" s="666">
        <v>35191</v>
      </c>
      <c r="N4845" s="597">
        <f>0.028317*90.58</f>
        <v>2.5649538599999997</v>
      </c>
      <c r="O4845" s="604">
        <v>5.858690596330274E-3</v>
      </c>
      <c r="P4845" s="220"/>
      <c r="Q4845" s="478"/>
      <c r="R4845" s="478"/>
      <c r="S4845" s="478">
        <v>0.10780926053904631</v>
      </c>
      <c r="T4845" s="478">
        <v>0.10414651002073257</v>
      </c>
      <c r="U4845" s="478">
        <v>0.10069108500345543</v>
      </c>
      <c r="V4845" s="478">
        <v>0.13400138217000693</v>
      </c>
      <c r="W4845" s="478">
        <v>0.21741534208707675</v>
      </c>
      <c r="X4845" s="478">
        <v>0.31541119557705599</v>
      </c>
      <c r="Y4845" s="478">
        <v>2.0525224602626124E-2</v>
      </c>
      <c r="Z4845" s="231"/>
      <c r="AA4845" s="230"/>
      <c r="AB4845" s="154">
        <v>2400</v>
      </c>
      <c r="AC4845" s="152"/>
      <c r="AD4845" s="223">
        <f>0.3048*24.3</f>
        <v>7.4066400000000003</v>
      </c>
      <c r="AE4845" s="152"/>
      <c r="AF4845" s="153"/>
      <c r="AG4845" s="153"/>
      <c r="AH4845" s="346"/>
      <c r="AI4845" s="218"/>
      <c r="AJ4845" s="218"/>
      <c r="AK4845" s="153"/>
      <c r="AL4845" s="152"/>
      <c r="AM4845" s="152"/>
      <c r="AN4845" s="152"/>
      <c r="AO4845" s="152"/>
      <c r="AP4845" s="152"/>
      <c r="AQ4845" s="152"/>
      <c r="AR4845" s="152"/>
      <c r="AS4845" s="152"/>
      <c r="AT4845" s="152"/>
      <c r="AU4845" s="153"/>
      <c r="AV4845" s="479"/>
      <c r="AW4845" s="479"/>
      <c r="AX4845" s="442"/>
      <c r="AY4845" s="153"/>
      <c r="AZ4845" s="152"/>
      <c r="BA4845" s="152"/>
      <c r="BB4845" s="152"/>
      <c r="BC4845" s="152"/>
      <c r="BD4845" s="152"/>
      <c r="BE4845" s="152"/>
      <c r="BF4845" s="152"/>
      <c r="BG4845" s="152"/>
      <c r="BH4845" s="152"/>
      <c r="BI4845" s="153"/>
      <c r="BJ4845" s="153"/>
      <c r="BK4845" s="153"/>
      <c r="BL4845" s="153"/>
      <c r="BM4845" s="153"/>
      <c r="BN4845" s="153"/>
      <c r="BO4845" s="153"/>
      <c r="BP4845" s="153"/>
      <c r="BQ4845" s="153"/>
      <c r="BR4845" s="153"/>
      <c r="BS4845" s="153"/>
      <c r="BT4845" s="153"/>
      <c r="BU4845" s="153"/>
      <c r="BV4845" s="153"/>
      <c r="BW4845" s="153"/>
      <c r="BX4845" s="153"/>
      <c r="BY4845" s="153"/>
      <c r="BZ4845" s="153"/>
      <c r="CA4845" s="152"/>
      <c r="CB4845" s="152"/>
    </row>
    <row r="4846" spans="1:80" s="87" customFormat="1" x14ac:dyDescent="0.2">
      <c r="A4846" s="152"/>
      <c r="B4846" s="683"/>
      <c r="C4846" s="683"/>
      <c r="D4846" s="698"/>
      <c r="E4846" s="215"/>
      <c r="F4846" s="215"/>
      <c r="G4846" s="153"/>
      <c r="H4846" s="153"/>
      <c r="I4846" s="153"/>
      <c r="J4846" s="153"/>
      <c r="K4846" s="153"/>
      <c r="L4846" s="656">
        <v>40</v>
      </c>
      <c r="M4846" s="666">
        <v>35193</v>
      </c>
      <c r="N4846" s="597">
        <f>0.028317*85.67</f>
        <v>2.42591739</v>
      </c>
      <c r="O4846" s="604">
        <v>1.0475379641333481E-2</v>
      </c>
      <c r="P4846" s="220"/>
      <c r="Q4846" s="478"/>
      <c r="R4846" s="478">
        <v>5.6242969628796401E-2</v>
      </c>
      <c r="S4846" s="478">
        <v>4.7763260361685558E-2</v>
      </c>
      <c r="T4846" s="478">
        <v>5.4512416717141125E-2</v>
      </c>
      <c r="U4846" s="478">
        <v>9.2714372241931298E-2</v>
      </c>
      <c r="V4846" s="478">
        <v>0.15003893744051225</v>
      </c>
      <c r="W4846" s="478">
        <v>0.2263995846673012</v>
      </c>
      <c r="X4846" s="478">
        <v>0.34637016526780312</v>
      </c>
      <c r="Y4846" s="478">
        <v>2.595829367482911E-2</v>
      </c>
      <c r="Z4846" s="231"/>
      <c r="AA4846" s="230"/>
      <c r="AB4846" s="154">
        <v>2400</v>
      </c>
      <c r="AC4846" s="152"/>
      <c r="AD4846" s="223">
        <f>0.3048*27.2</f>
        <v>8.290560000000001</v>
      </c>
      <c r="AE4846" s="152"/>
      <c r="AF4846" s="153"/>
      <c r="AG4846" s="153"/>
      <c r="AH4846" s="346"/>
      <c r="AI4846" s="218"/>
      <c r="AJ4846" s="218"/>
      <c r="AK4846" s="153"/>
      <c r="AL4846" s="152"/>
      <c r="AM4846" s="152"/>
      <c r="AN4846" s="152"/>
      <c r="AO4846" s="152"/>
      <c r="AP4846" s="152"/>
      <c r="AQ4846" s="152"/>
      <c r="AR4846" s="152"/>
      <c r="AS4846" s="152"/>
      <c r="AT4846" s="152"/>
      <c r="AU4846" s="153"/>
      <c r="AV4846" s="479"/>
      <c r="AW4846" s="479"/>
      <c r="AX4846" s="442"/>
      <c r="AY4846" s="153"/>
      <c r="AZ4846" s="152"/>
      <c r="BA4846" s="152"/>
      <c r="BB4846" s="152"/>
      <c r="BC4846" s="152"/>
      <c r="BD4846" s="152"/>
      <c r="BE4846" s="152"/>
      <c r="BF4846" s="152"/>
      <c r="BG4846" s="152"/>
      <c r="BH4846" s="152"/>
      <c r="BI4846" s="153"/>
      <c r="BJ4846" s="153"/>
      <c r="BK4846" s="153"/>
      <c r="BL4846" s="153"/>
      <c r="BM4846" s="153"/>
      <c r="BN4846" s="153"/>
      <c r="BO4846" s="153"/>
      <c r="BP4846" s="153"/>
      <c r="BQ4846" s="153"/>
      <c r="BR4846" s="153"/>
      <c r="BS4846" s="153"/>
      <c r="BT4846" s="153"/>
      <c r="BU4846" s="153"/>
      <c r="BV4846" s="153"/>
      <c r="BW4846" s="153"/>
      <c r="BX4846" s="153"/>
      <c r="BY4846" s="153"/>
      <c r="BZ4846" s="153"/>
      <c r="CA4846" s="152"/>
      <c r="CB4846" s="152"/>
    </row>
    <row r="4847" spans="1:80" s="87" customFormat="1" x14ac:dyDescent="0.2">
      <c r="A4847" s="152"/>
      <c r="B4847" s="683"/>
      <c r="C4847" s="683"/>
      <c r="D4847" s="698"/>
      <c r="E4847" s="215"/>
      <c r="F4847" s="215"/>
      <c r="G4847" s="153"/>
      <c r="H4847" s="153"/>
      <c r="I4847" s="153"/>
      <c r="J4847" s="153"/>
      <c r="K4847" s="153"/>
      <c r="L4847" s="656">
        <v>20</v>
      </c>
      <c r="M4847" s="666">
        <v>35199</v>
      </c>
      <c r="N4847" s="597">
        <f>0.028317*140.89</f>
        <v>3.9895821299999992</v>
      </c>
      <c r="O4847" s="604">
        <v>7.6816909200739976E-3</v>
      </c>
      <c r="P4847" s="220"/>
      <c r="Q4847" s="478"/>
      <c r="R4847" s="478"/>
      <c r="S4847" s="478">
        <v>0.11457772996234535</v>
      </c>
      <c r="T4847" s="478">
        <v>5.796126949973103E-2</v>
      </c>
      <c r="U4847" s="478">
        <v>8.3109198493813874E-2</v>
      </c>
      <c r="V4847" s="478">
        <v>0.12789133942980097</v>
      </c>
      <c r="W4847" s="478">
        <v>0.24946207638515333</v>
      </c>
      <c r="X4847" s="478">
        <v>0.33512641204948901</v>
      </c>
      <c r="Y4847" s="478">
        <v>3.1871974179666487E-2</v>
      </c>
      <c r="Z4847" s="231"/>
      <c r="AA4847" s="230"/>
      <c r="AB4847" s="154">
        <v>1200</v>
      </c>
      <c r="AC4847" s="152"/>
      <c r="AD4847" s="223">
        <f>0.3048*31</f>
        <v>9.4488000000000003</v>
      </c>
      <c r="AE4847" s="152"/>
      <c r="AF4847" s="153"/>
      <c r="AG4847" s="153"/>
      <c r="AH4847" s="346"/>
      <c r="AI4847" s="218"/>
      <c r="AJ4847" s="218"/>
      <c r="AK4847" s="153"/>
      <c r="AL4847" s="152"/>
      <c r="AM4847" s="152"/>
      <c r="AN4847" s="152"/>
      <c r="AO4847" s="152"/>
      <c r="AP4847" s="152"/>
      <c r="AQ4847" s="152"/>
      <c r="AR4847" s="152"/>
      <c r="AS4847" s="152"/>
      <c r="AT4847" s="152"/>
      <c r="AU4847" s="153"/>
      <c r="AV4847" s="479"/>
      <c r="AW4847" s="479"/>
      <c r="AX4847" s="442"/>
      <c r="AY4847" s="153"/>
      <c r="AZ4847" s="152"/>
      <c r="BA4847" s="152"/>
      <c r="BB4847" s="152"/>
      <c r="BC4847" s="152"/>
      <c r="BD4847" s="152"/>
      <c r="BE4847" s="152"/>
      <c r="BF4847" s="152"/>
      <c r="BG4847" s="152"/>
      <c r="BH4847" s="152"/>
      <c r="BI4847" s="153"/>
      <c r="BJ4847" s="153"/>
      <c r="BK4847" s="153"/>
      <c r="BL4847" s="153"/>
      <c r="BM4847" s="153"/>
      <c r="BN4847" s="153"/>
      <c r="BO4847" s="153"/>
      <c r="BP4847" s="153"/>
      <c r="BQ4847" s="153"/>
      <c r="BR4847" s="153"/>
      <c r="BS4847" s="153"/>
      <c r="BT4847" s="153"/>
      <c r="BU4847" s="153"/>
      <c r="BV4847" s="153"/>
      <c r="BW4847" s="153"/>
      <c r="BX4847" s="153"/>
      <c r="BY4847" s="153"/>
      <c r="BZ4847" s="153"/>
      <c r="CA4847" s="152"/>
      <c r="CB4847" s="152"/>
    </row>
    <row r="4848" spans="1:80" s="87" customFormat="1" x14ac:dyDescent="0.2">
      <c r="A4848" s="152"/>
      <c r="B4848" s="683"/>
      <c r="C4848" s="683"/>
      <c r="D4848" s="698"/>
      <c r="E4848" s="215"/>
      <c r="F4848" s="215"/>
      <c r="G4848" s="153"/>
      <c r="H4848" s="153"/>
      <c r="I4848" s="153"/>
      <c r="J4848" s="153"/>
      <c r="K4848" s="153"/>
      <c r="L4848" s="656">
        <v>40</v>
      </c>
      <c r="M4848" s="666">
        <v>35207</v>
      </c>
      <c r="N4848" s="597">
        <f>0.028317*123.39</f>
        <v>3.4940346299999998</v>
      </c>
      <c r="O4848" s="604">
        <v>4.9774340349888625E-2</v>
      </c>
      <c r="P4848" s="220"/>
      <c r="Q4848" s="478">
        <v>0.44114659417415614</v>
      </c>
      <c r="R4848" s="478">
        <v>0.1371617634254646</v>
      </c>
      <c r="S4848" s="478">
        <v>8.8016484951677035E-2</v>
      </c>
      <c r="T4848" s="478">
        <v>5.9661207155088179E-2</v>
      </c>
      <c r="U4848" s="478">
        <v>5.7310360172975902E-2</v>
      </c>
      <c r="V4848" s="478">
        <v>5.5056255865024613E-2</v>
      </c>
      <c r="W4848" s="478">
        <v>6.9915930616154087E-2</v>
      </c>
      <c r="X4848" s="478">
        <v>8.6042934398792639E-2</v>
      </c>
      <c r="Y4848" s="478">
        <v>5.6884692406667502E-3</v>
      </c>
      <c r="Z4848" s="231"/>
      <c r="AA4848" s="230"/>
      <c r="AB4848" s="154">
        <v>2400</v>
      </c>
      <c r="AC4848" s="152"/>
      <c r="AD4848" s="223">
        <f>0.3048*28.9</f>
        <v>8.8087199999999992</v>
      </c>
      <c r="AE4848" s="152"/>
      <c r="AF4848" s="153"/>
      <c r="AG4848" s="153"/>
      <c r="AH4848" s="346"/>
      <c r="AI4848" s="218"/>
      <c r="AJ4848" s="218"/>
      <c r="AK4848" s="153"/>
      <c r="AL4848" s="152"/>
      <c r="AM4848" s="152"/>
      <c r="AN4848" s="152"/>
      <c r="AO4848" s="152"/>
      <c r="AP4848" s="152"/>
      <c r="AQ4848" s="152"/>
      <c r="AR4848" s="152"/>
      <c r="AS4848" s="152"/>
      <c r="AT4848" s="152"/>
      <c r="AU4848" s="153"/>
      <c r="AV4848" s="479"/>
      <c r="AW4848" s="479"/>
      <c r="AX4848" s="442"/>
      <c r="AY4848" s="153"/>
      <c r="AZ4848" s="152"/>
      <c r="BA4848" s="152"/>
      <c r="BB4848" s="152"/>
      <c r="BC4848" s="152"/>
      <c r="BD4848" s="152"/>
      <c r="BE4848" s="152"/>
      <c r="BF4848" s="152"/>
      <c r="BG4848" s="152"/>
      <c r="BH4848" s="152"/>
      <c r="BI4848" s="153"/>
      <c r="BJ4848" s="153"/>
      <c r="BK4848" s="153"/>
      <c r="BL4848" s="153"/>
      <c r="BM4848" s="153"/>
      <c r="BN4848" s="153"/>
      <c r="BO4848" s="153"/>
      <c r="BP4848" s="153"/>
      <c r="BQ4848" s="153"/>
      <c r="BR4848" s="153"/>
      <c r="BS4848" s="153"/>
      <c r="BT4848" s="153"/>
      <c r="BU4848" s="153"/>
      <c r="BV4848" s="153"/>
      <c r="BW4848" s="153"/>
      <c r="BX4848" s="153"/>
      <c r="BY4848" s="153"/>
      <c r="BZ4848" s="153"/>
      <c r="CA4848" s="152"/>
      <c r="CB4848" s="152"/>
    </row>
    <row r="4849" spans="1:80" s="87" customFormat="1" x14ac:dyDescent="0.2">
      <c r="A4849" s="152"/>
      <c r="B4849" s="683"/>
      <c r="C4849" s="683"/>
      <c r="D4849" s="698"/>
      <c r="E4849" s="215"/>
      <c r="F4849" s="215"/>
      <c r="G4849" s="153"/>
      <c r="H4849" s="153"/>
      <c r="I4849" s="153"/>
      <c r="J4849" s="153"/>
      <c r="K4849" s="153"/>
      <c r="L4849" s="656">
        <v>40</v>
      </c>
      <c r="M4849" s="666">
        <v>35213</v>
      </c>
      <c r="N4849" s="597">
        <f>0.028317*66.43</f>
        <v>1.8810983100000001</v>
      </c>
      <c r="O4849" s="604">
        <v>2.4614361611356517E-3</v>
      </c>
      <c r="P4849" s="223"/>
      <c r="Q4849" s="478"/>
      <c r="R4849" s="478"/>
      <c r="S4849" s="478">
        <v>5.8074298711144806E-2</v>
      </c>
      <c r="T4849" s="478">
        <v>7.5056861258529187E-2</v>
      </c>
      <c r="U4849" s="478">
        <v>8.4306292645943887E-2</v>
      </c>
      <c r="V4849" s="478">
        <v>0.11220621683093253</v>
      </c>
      <c r="W4849" s="478">
        <v>0.2089461713419257</v>
      </c>
      <c r="X4849" s="478">
        <v>0.42911296436694463</v>
      </c>
      <c r="Y4849" s="478">
        <v>3.2297194844579227E-2</v>
      </c>
      <c r="Z4849" s="231"/>
      <c r="AA4849" s="230"/>
      <c r="AB4849" s="154">
        <v>2400</v>
      </c>
      <c r="AC4849" s="152"/>
      <c r="AD4849" s="223">
        <f>0.3048*22.4</f>
        <v>6.8275199999999998</v>
      </c>
      <c r="AE4849" s="152"/>
      <c r="AF4849" s="153"/>
      <c r="AG4849" s="153"/>
      <c r="AH4849" s="346"/>
      <c r="AI4849" s="218"/>
      <c r="AJ4849" s="218"/>
      <c r="AK4849" s="153"/>
      <c r="AL4849" s="152"/>
      <c r="AM4849" s="152"/>
      <c r="AN4849" s="152"/>
      <c r="AO4849" s="152"/>
      <c r="AP4849" s="152"/>
      <c r="AQ4849" s="152"/>
      <c r="AR4849" s="152"/>
      <c r="AS4849" s="152"/>
      <c r="AT4849" s="152"/>
      <c r="AU4849" s="153"/>
      <c r="AV4849" s="479"/>
      <c r="AW4849" s="479"/>
      <c r="AX4849" s="442"/>
      <c r="AY4849" s="153"/>
      <c r="AZ4849" s="152"/>
      <c r="BA4849" s="152"/>
      <c r="BB4849" s="152"/>
      <c r="BC4849" s="152"/>
      <c r="BD4849" s="152"/>
      <c r="BE4849" s="152"/>
      <c r="BF4849" s="152"/>
      <c r="BG4849" s="152"/>
      <c r="BH4849" s="152"/>
      <c r="BI4849" s="153"/>
      <c r="BJ4849" s="153"/>
      <c r="BK4849" s="153"/>
      <c r="BL4849" s="153"/>
      <c r="BM4849" s="153"/>
      <c r="BN4849" s="153"/>
      <c r="BO4849" s="153"/>
      <c r="BP4849" s="153"/>
      <c r="BQ4849" s="153"/>
      <c r="BR4849" s="153"/>
      <c r="BS4849" s="153"/>
      <c r="BT4849" s="153"/>
      <c r="BU4849" s="153"/>
      <c r="BV4849" s="153"/>
      <c r="BW4849" s="153"/>
      <c r="BX4849" s="153"/>
      <c r="BY4849" s="153"/>
      <c r="BZ4849" s="153"/>
      <c r="CA4849" s="152"/>
      <c r="CB4849" s="152"/>
    </row>
    <row r="4850" spans="1:80" s="87" customFormat="1" x14ac:dyDescent="0.2">
      <c r="A4850" s="152"/>
      <c r="B4850" s="683"/>
      <c r="C4850" s="683"/>
      <c r="D4850" s="698"/>
      <c r="E4850" s="215"/>
      <c r="F4850" s="215"/>
      <c r="G4850" s="153"/>
      <c r="H4850" s="153"/>
      <c r="I4850" s="153"/>
      <c r="J4850" s="153"/>
      <c r="K4850" s="153"/>
      <c r="L4850" s="656">
        <v>40</v>
      </c>
      <c r="M4850" s="666">
        <v>35215</v>
      </c>
      <c r="N4850" s="597">
        <f>0.028317*55.38</f>
        <v>1.5681954599999999</v>
      </c>
      <c r="O4850" s="604">
        <v>4.6113558888888877E-4</v>
      </c>
      <c r="P4850" s="223"/>
      <c r="Q4850" s="478"/>
      <c r="R4850" s="478"/>
      <c r="S4850" s="478"/>
      <c r="T4850" s="478"/>
      <c r="U4850" s="478">
        <v>0.11255257809915403</v>
      </c>
      <c r="V4850" s="478">
        <v>9.9256423586495904E-2</v>
      </c>
      <c r="W4850" s="478">
        <v>0.26623816500464736</v>
      </c>
      <c r="X4850" s="478">
        <v>0.48706618145154945</v>
      </c>
      <c r="Y4850" s="478">
        <v>3.4886651858153345E-2</v>
      </c>
      <c r="Z4850" s="231"/>
      <c r="AA4850" s="230"/>
      <c r="AB4850" s="154">
        <v>2400</v>
      </c>
      <c r="AC4850" s="152"/>
      <c r="AD4850" s="223">
        <f>0.3048*21.8</f>
        <v>6.6446400000000008</v>
      </c>
      <c r="AE4850" s="152"/>
      <c r="AF4850" s="153"/>
      <c r="AG4850" s="153"/>
      <c r="AH4850" s="346"/>
      <c r="AI4850" s="218"/>
      <c r="AJ4850" s="218"/>
      <c r="AK4850" s="153"/>
      <c r="AL4850" s="152"/>
      <c r="AM4850" s="152"/>
      <c r="AN4850" s="152"/>
      <c r="AO4850" s="152"/>
      <c r="AP4850" s="152"/>
      <c r="AQ4850" s="152"/>
      <c r="AR4850" s="152"/>
      <c r="AS4850" s="152"/>
      <c r="AT4850" s="152"/>
      <c r="AU4850" s="153"/>
      <c r="AV4850" s="479"/>
      <c r="AW4850" s="479"/>
      <c r="AX4850" s="442"/>
      <c r="AY4850" s="153"/>
      <c r="AZ4850" s="152"/>
      <c r="BA4850" s="152"/>
      <c r="BB4850" s="152"/>
      <c r="BC4850" s="152"/>
      <c r="BD4850" s="152"/>
      <c r="BE4850" s="152"/>
      <c r="BF4850" s="152"/>
      <c r="BG4850" s="152"/>
      <c r="BH4850" s="152"/>
      <c r="BI4850" s="153"/>
      <c r="BJ4850" s="153"/>
      <c r="BK4850" s="153"/>
      <c r="BL4850" s="153"/>
      <c r="BM4850" s="153"/>
      <c r="BN4850" s="153"/>
      <c r="BO4850" s="153"/>
      <c r="BP4850" s="153"/>
      <c r="BQ4850" s="153"/>
      <c r="BR4850" s="153"/>
      <c r="BS4850" s="153"/>
      <c r="BT4850" s="153"/>
      <c r="BU4850" s="153"/>
      <c r="BV4850" s="153"/>
      <c r="BW4850" s="153"/>
      <c r="BX4850" s="153"/>
      <c r="BY4850" s="153"/>
      <c r="BZ4850" s="153"/>
      <c r="CA4850" s="152"/>
      <c r="CB4850" s="152"/>
    </row>
    <row r="4851" spans="1:80" ht="15" x14ac:dyDescent="0.25">
      <c r="A4851" s="9" t="s">
        <v>76</v>
      </c>
      <c r="B4851" s="639" t="s">
        <v>73</v>
      </c>
      <c r="C4851" s="639" t="s">
        <v>588</v>
      </c>
      <c r="D4851" s="4">
        <f>VLOOKUP(E4851,'Quality Code'!D4:E24,2,TRUE)*VLOOKUP(MROUND(F4851,10),'Quality Code'!D28:E69,2,TRUE)*VLOOKUP(COUNTA(CB4851:CB4861),'Quality Code'!D73:E93,2,TRUE)</f>
        <v>0.58333099999999993</v>
      </c>
      <c r="E4851" s="14">
        <v>0.7</v>
      </c>
      <c r="F4851" s="18">
        <v>15</v>
      </c>
      <c r="G4851" s="12">
        <f>62*2.58999804929</f>
        <v>160.57987905598</v>
      </c>
      <c r="H4851" s="2" t="s">
        <v>72</v>
      </c>
      <c r="I4851" s="2">
        <v>10</v>
      </c>
      <c r="J4851" s="2" t="s">
        <v>290</v>
      </c>
      <c r="K4851" s="2">
        <v>4</v>
      </c>
      <c r="L4851" s="640" t="s">
        <v>284</v>
      </c>
      <c r="M4851" s="640" t="s">
        <v>888</v>
      </c>
      <c r="N4851" s="578" t="s">
        <v>110</v>
      </c>
      <c r="O4851" s="578"/>
      <c r="P4851" s="10"/>
      <c r="Q4851" s="10"/>
      <c r="R4851" s="10"/>
      <c r="S4851" s="10"/>
      <c r="T4851" s="10"/>
      <c r="U4851" s="10"/>
      <c r="V4851" s="10"/>
      <c r="W4851" s="10"/>
      <c r="X4851" s="10"/>
      <c r="Y4851" s="10"/>
      <c r="Z4851" s="10"/>
      <c r="AA4851" s="10"/>
      <c r="AB4851" s="11"/>
      <c r="AC4851" s="116">
        <v>6.7000000000000002E-3</v>
      </c>
      <c r="AD4851" s="11"/>
      <c r="AE4851" s="11"/>
      <c r="AF4851" s="10"/>
      <c r="AG4851" s="10"/>
      <c r="AH4851" s="345"/>
      <c r="AI4851" s="18">
        <v>12.4</v>
      </c>
      <c r="AJ4851" s="135">
        <v>1</v>
      </c>
      <c r="AK4851" s="137">
        <v>1</v>
      </c>
      <c r="AL4851" s="137">
        <v>0.80120000000000002</v>
      </c>
      <c r="AM4851" s="137">
        <v>0.71550000000000002</v>
      </c>
      <c r="AN4851" s="137">
        <v>0.54910000000000003</v>
      </c>
      <c r="AO4851" s="137">
        <v>0.41760000000000003</v>
      </c>
      <c r="AP4851" s="137">
        <v>0.29389999999999999</v>
      </c>
      <c r="AQ4851" s="137">
        <v>0.20630000000000001</v>
      </c>
      <c r="AR4851" s="137">
        <v>0.13059999999999999</v>
      </c>
      <c r="AS4851" s="137">
        <v>7.5499999999999998E-2</v>
      </c>
      <c r="AT4851" s="137">
        <v>4.6399999999999997E-2</v>
      </c>
      <c r="AU4851" s="18">
        <v>38.9</v>
      </c>
      <c r="AV4851" s="137">
        <v>1</v>
      </c>
      <c r="AW4851" s="137">
        <v>1</v>
      </c>
      <c r="AX4851" s="137">
        <v>1</v>
      </c>
      <c r="AY4851" s="137">
        <v>1</v>
      </c>
      <c r="AZ4851" s="137">
        <v>0.6784</v>
      </c>
      <c r="BA4851" s="137">
        <v>0.42959999999999998</v>
      </c>
      <c r="BB4851" s="137">
        <v>0.22509999999999999</v>
      </c>
      <c r="BC4851" s="137">
        <v>0.14899999999999999</v>
      </c>
      <c r="BD4851" s="137">
        <v>0.1009</v>
      </c>
      <c r="BE4851" s="137">
        <v>7.2499999999999995E-2</v>
      </c>
      <c r="BF4851" s="137">
        <v>4.6800000000000001E-2</v>
      </c>
      <c r="BG4851" s="137">
        <v>2.76E-2</v>
      </c>
      <c r="BH4851" s="137">
        <v>1.7000000000000001E-2</v>
      </c>
      <c r="BI4851" s="4">
        <f>AU4851/AI4851</f>
        <v>3.137096774193548</v>
      </c>
      <c r="BJ4851" s="2" t="s">
        <v>68</v>
      </c>
      <c r="BK4851" s="2" t="s">
        <v>115</v>
      </c>
      <c r="BL4851" s="12"/>
      <c r="BM4851" s="12">
        <f>189.5*0.028317</f>
        <v>5.3660714999999994</v>
      </c>
      <c r="BN4851" s="12">
        <f>34.28278*0.3048</f>
        <v>10.449391344000002</v>
      </c>
      <c r="BO4851" s="12">
        <f>1.8156*0.3048</f>
        <v>0.55339488000000003</v>
      </c>
      <c r="BP4851" s="12">
        <f>57.549*(0.3048^2)</f>
        <v>5.3464770489600006</v>
      </c>
      <c r="BQ4851" s="12"/>
      <c r="BR4851" s="12"/>
      <c r="BS4851" s="18">
        <v>4</v>
      </c>
      <c r="BT4851" s="12"/>
      <c r="BU4851" s="2"/>
      <c r="BV4851" s="2">
        <v>1.31</v>
      </c>
      <c r="BW4851" s="2"/>
      <c r="BX4851" s="2">
        <v>1.3</v>
      </c>
      <c r="BY4851" s="2" t="s">
        <v>88</v>
      </c>
      <c r="BZ4851" s="2"/>
      <c r="CA4851" s="9"/>
      <c r="CB4851" s="9" t="s">
        <v>225</v>
      </c>
    </row>
    <row r="4852" spans="1:80" s="87" customFormat="1" ht="15" x14ac:dyDescent="0.25">
      <c r="A4852" s="253" t="s">
        <v>98</v>
      </c>
      <c r="B4852" s="683"/>
      <c r="C4852" s="683"/>
      <c r="D4852" s="698"/>
      <c r="E4852" s="215"/>
      <c r="F4852" s="215"/>
      <c r="G4852" s="153"/>
      <c r="H4852" s="153"/>
      <c r="I4852" s="153"/>
      <c r="J4852" s="153"/>
      <c r="K4852" s="153"/>
      <c r="L4852" s="656">
        <v>44</v>
      </c>
      <c r="M4852" s="666">
        <v>34786</v>
      </c>
      <c r="N4852" s="597">
        <f>0.028317*106.28</f>
        <v>3.0095307600000001</v>
      </c>
      <c r="O4852" s="604">
        <v>2.297621196118507E-3</v>
      </c>
      <c r="P4852" s="220"/>
      <c r="Q4852" s="478"/>
      <c r="R4852" s="478"/>
      <c r="S4852" s="478"/>
      <c r="T4852" s="478">
        <v>2.9400547644656612E-2</v>
      </c>
      <c r="U4852" s="478">
        <v>4.4902148155448809E-2</v>
      </c>
      <c r="V4852" s="478">
        <v>7.5433980536760342E-2</v>
      </c>
      <c r="W4852" s="478">
        <v>0.22030484695517286</v>
      </c>
      <c r="X4852" s="478">
        <v>0.55397385189597326</v>
      </c>
      <c r="Y4852" s="478">
        <v>7.59846248119882E-2</v>
      </c>
      <c r="Z4852" s="231"/>
      <c r="AA4852" s="230"/>
      <c r="AB4852" s="152">
        <v>2640</v>
      </c>
      <c r="AC4852" s="152"/>
      <c r="AD4852" s="223">
        <f>0.3048*32.5</f>
        <v>9.9060000000000006</v>
      </c>
      <c r="AE4852" s="152"/>
      <c r="AF4852" s="153"/>
      <c r="AG4852" s="153"/>
      <c r="AH4852" s="346"/>
      <c r="AI4852" s="218"/>
      <c r="AJ4852" s="218"/>
      <c r="AK4852" s="153"/>
      <c r="AL4852" s="152"/>
      <c r="AM4852" s="152"/>
      <c r="AN4852" s="152"/>
      <c r="AO4852" s="152"/>
      <c r="AP4852" s="152"/>
      <c r="AQ4852" s="152"/>
      <c r="AR4852" s="152"/>
      <c r="AS4852" s="152"/>
      <c r="AT4852" s="152"/>
      <c r="AU4852" s="155">
        <v>67</v>
      </c>
      <c r="AV4852" s="429"/>
      <c r="AW4852" s="429"/>
      <c r="AX4852" s="429"/>
      <c r="AY4852" s="153"/>
      <c r="AZ4852" s="152"/>
      <c r="BA4852" s="152"/>
      <c r="BB4852" s="152"/>
      <c r="BC4852" s="152"/>
      <c r="BD4852" s="152"/>
      <c r="BE4852" s="152"/>
      <c r="BF4852" s="152"/>
      <c r="BG4852" s="152"/>
      <c r="BH4852" s="152"/>
      <c r="BI4852" s="156">
        <f>AU4852/AI4851</f>
        <v>5.403225806451613</v>
      </c>
      <c r="BJ4852" s="155" t="s">
        <v>68</v>
      </c>
      <c r="BK4852" s="155" t="s">
        <v>175</v>
      </c>
      <c r="BL4852" s="153"/>
      <c r="BM4852" s="153"/>
      <c r="BN4852" s="153"/>
      <c r="BO4852" s="153"/>
      <c r="BP4852" s="153"/>
      <c r="BQ4852" s="153"/>
      <c r="BR4852" s="153"/>
      <c r="BS4852" s="153"/>
      <c r="BT4852" s="153"/>
      <c r="BU4852" s="153"/>
      <c r="BV4852" s="153"/>
      <c r="BW4852" s="153"/>
      <c r="BX4852" s="153"/>
      <c r="BY4852" s="153"/>
      <c r="BZ4852" s="153"/>
      <c r="CA4852" s="152"/>
      <c r="CB4852" s="485" t="s">
        <v>642</v>
      </c>
    </row>
    <row r="4853" spans="1:80" s="87" customFormat="1" x14ac:dyDescent="0.2">
      <c r="A4853" s="253" t="s">
        <v>98</v>
      </c>
      <c r="B4853" s="683"/>
      <c r="C4853" s="683"/>
      <c r="D4853" s="698"/>
      <c r="E4853" s="215"/>
      <c r="F4853" s="215"/>
      <c r="G4853" s="153"/>
      <c r="H4853" s="153"/>
      <c r="I4853" s="153"/>
      <c r="J4853" s="153"/>
      <c r="K4853" s="153"/>
      <c r="L4853" s="656">
        <v>44</v>
      </c>
      <c r="M4853" s="666">
        <v>34794</v>
      </c>
      <c r="N4853" s="597">
        <f>0.028317*129.98</f>
        <v>3.6806436599999994</v>
      </c>
      <c r="O4853" s="604">
        <v>9.1526327783269315E-3</v>
      </c>
      <c r="P4853" s="220"/>
      <c r="Q4853" s="478"/>
      <c r="R4853" s="478"/>
      <c r="S4853" s="478">
        <v>0.10305003670200852</v>
      </c>
      <c r="T4853" s="478">
        <v>7.7226126507720719E-2</v>
      </c>
      <c r="U4853" s="478">
        <v>0.12509951677536818</v>
      </c>
      <c r="V4853" s="478">
        <v>0.16452091127428042</v>
      </c>
      <c r="W4853" s="478">
        <v>0.19337079673296681</v>
      </c>
      <c r="X4853" s="478">
        <v>0.30891725748399418</v>
      </c>
      <c r="Y4853" s="478">
        <v>2.781535452366115E-2</v>
      </c>
      <c r="Z4853" s="231"/>
      <c r="AA4853" s="230"/>
      <c r="AB4853" s="152">
        <v>2640</v>
      </c>
      <c r="AC4853" s="152"/>
      <c r="AD4853" s="223">
        <f>0.3048*33.5</f>
        <v>10.210800000000001</v>
      </c>
      <c r="AE4853" s="152"/>
      <c r="AF4853" s="153"/>
      <c r="AG4853" s="153"/>
      <c r="AH4853" s="346"/>
      <c r="AI4853" s="218"/>
      <c r="AJ4853" s="218"/>
      <c r="AK4853" s="153"/>
      <c r="AL4853" s="152"/>
      <c r="AM4853" s="152"/>
      <c r="AN4853" s="152"/>
      <c r="AO4853" s="152"/>
      <c r="AP4853" s="152"/>
      <c r="AQ4853" s="152"/>
      <c r="AR4853" s="152"/>
      <c r="AS4853" s="152"/>
      <c r="AT4853" s="152"/>
      <c r="AU4853" s="153"/>
      <c r="AV4853" s="479"/>
      <c r="AW4853" s="479"/>
      <c r="AX4853" s="442"/>
      <c r="AY4853" s="153"/>
      <c r="AZ4853" s="152"/>
      <c r="BA4853" s="152"/>
      <c r="BB4853" s="152"/>
      <c r="BC4853" s="152"/>
      <c r="BD4853" s="152"/>
      <c r="BE4853" s="152"/>
      <c r="BF4853" s="152"/>
      <c r="BG4853" s="152"/>
      <c r="BH4853" s="152"/>
      <c r="BI4853" s="153"/>
      <c r="BJ4853" s="153"/>
      <c r="BK4853" s="153"/>
      <c r="BL4853" s="153"/>
      <c r="BM4853" s="153"/>
      <c r="BN4853" s="153"/>
      <c r="BO4853" s="153"/>
      <c r="BP4853" s="153"/>
      <c r="BQ4853" s="153"/>
      <c r="BR4853" s="153"/>
      <c r="BS4853" s="153"/>
      <c r="BT4853" s="153"/>
      <c r="BU4853" s="153"/>
      <c r="BV4853" s="153"/>
      <c r="BW4853" s="153"/>
      <c r="BX4853" s="153"/>
      <c r="BY4853" s="153"/>
      <c r="BZ4853" s="153"/>
      <c r="CA4853" s="152"/>
      <c r="CB4853" s="152"/>
    </row>
    <row r="4854" spans="1:80" s="87" customFormat="1" x14ac:dyDescent="0.2">
      <c r="A4854" s="253" t="s">
        <v>98</v>
      </c>
      <c r="B4854" s="683"/>
      <c r="C4854" s="683"/>
      <c r="D4854" s="698"/>
      <c r="E4854" s="215"/>
      <c r="F4854" s="215"/>
      <c r="G4854" s="153"/>
      <c r="H4854" s="153"/>
      <c r="I4854" s="153"/>
      <c r="J4854" s="153"/>
      <c r="K4854" s="153"/>
      <c r="L4854" s="656">
        <v>40</v>
      </c>
      <c r="M4854" s="666">
        <v>34801</v>
      </c>
      <c r="N4854" s="597">
        <f>0.028317*200.32</f>
        <v>5.6724614399999993</v>
      </c>
      <c r="O4854" s="604">
        <v>2.2911643885679768E-2</v>
      </c>
      <c r="P4854" s="220"/>
      <c r="Q4854" s="478"/>
      <c r="R4854" s="478">
        <v>3.9600665557404331E-2</v>
      </c>
      <c r="S4854" s="478">
        <v>7.7665429412517598E-2</v>
      </c>
      <c r="T4854" s="478">
        <v>0.10638679124536031</v>
      </c>
      <c r="U4854" s="478">
        <v>0.20875463970305902</v>
      </c>
      <c r="V4854" s="478">
        <v>0.24758735440931781</v>
      </c>
      <c r="W4854" s="478">
        <v>0.14524510431332396</v>
      </c>
      <c r="X4854" s="478">
        <v>0.16045053116600538</v>
      </c>
      <c r="Y4854" s="478">
        <v>1.4309484193011647E-2</v>
      </c>
      <c r="Z4854" s="231"/>
      <c r="AA4854" s="230"/>
      <c r="AB4854" s="152">
        <v>2400</v>
      </c>
      <c r="AC4854" s="152"/>
      <c r="AD4854" s="223">
        <f>0.3048*35.2</f>
        <v>10.728960000000001</v>
      </c>
      <c r="AE4854" s="152"/>
      <c r="AF4854" s="153"/>
      <c r="AG4854" s="153"/>
      <c r="AH4854" s="346"/>
      <c r="AI4854" s="218"/>
      <c r="AJ4854" s="218"/>
      <c r="AK4854" s="153"/>
      <c r="AL4854" s="152"/>
      <c r="AM4854" s="152"/>
      <c r="AN4854" s="152"/>
      <c r="AO4854" s="152"/>
      <c r="AP4854" s="152"/>
      <c r="AQ4854" s="152"/>
      <c r="AR4854" s="152"/>
      <c r="AS4854" s="152"/>
      <c r="AT4854" s="152"/>
      <c r="AU4854" s="153"/>
      <c r="AV4854" s="479"/>
      <c r="AW4854" s="479"/>
      <c r="AX4854" s="442"/>
      <c r="AY4854" s="153"/>
      <c r="AZ4854" s="152"/>
      <c r="BA4854" s="152"/>
      <c r="BB4854" s="152"/>
      <c r="BC4854" s="152"/>
      <c r="BD4854" s="152"/>
      <c r="BE4854" s="152"/>
      <c r="BF4854" s="152"/>
      <c r="BG4854" s="152"/>
      <c r="BH4854" s="152"/>
      <c r="BI4854" s="153"/>
      <c r="BJ4854" s="153"/>
      <c r="BK4854" s="153"/>
      <c r="BL4854" s="153"/>
      <c r="BM4854" s="153"/>
      <c r="BN4854" s="153"/>
      <c r="BO4854" s="153"/>
      <c r="BP4854" s="153"/>
      <c r="BQ4854" s="153"/>
      <c r="BR4854" s="153"/>
      <c r="BS4854" s="153"/>
      <c r="BT4854" s="153"/>
      <c r="BU4854" s="153"/>
      <c r="BV4854" s="153"/>
      <c r="BW4854" s="153"/>
      <c r="BX4854" s="153"/>
      <c r="BY4854" s="153"/>
      <c r="BZ4854" s="153"/>
      <c r="CA4854" s="152"/>
      <c r="CB4854" s="152"/>
    </row>
    <row r="4855" spans="1:80" s="87" customFormat="1" x14ac:dyDescent="0.2">
      <c r="A4855" s="253" t="s">
        <v>98</v>
      </c>
      <c r="B4855" s="683"/>
      <c r="C4855" s="683"/>
      <c r="D4855" s="698"/>
      <c r="E4855" s="215"/>
      <c r="F4855" s="215"/>
      <c r="G4855" s="153"/>
      <c r="H4855" s="153"/>
      <c r="I4855" s="153"/>
      <c r="J4855" s="153"/>
      <c r="K4855" s="153"/>
      <c r="L4855" s="656">
        <v>40</v>
      </c>
      <c r="M4855" s="666">
        <v>34815</v>
      </c>
      <c r="N4855" s="597">
        <f>0.028317*183.15</f>
        <v>5.1862585499999998</v>
      </c>
      <c r="O4855" s="604">
        <v>1.0398471424661156E-2</v>
      </c>
      <c r="P4855" s="220"/>
      <c r="Q4855" s="478"/>
      <c r="R4855" s="478">
        <v>6.5616061914643031E-2</v>
      </c>
      <c r="S4855" s="478">
        <v>1.9572654365991812E-2</v>
      </c>
      <c r="T4855" s="478">
        <v>0.11076215579608546</v>
      </c>
      <c r="U4855" s="478">
        <v>0.13998093208457182</v>
      </c>
      <c r="V4855" s="478">
        <v>0.15781504122034659</v>
      </c>
      <c r="W4855" s="478">
        <v>0.16555437160002243</v>
      </c>
      <c r="X4855" s="478">
        <v>0.31114351410464919</v>
      </c>
      <c r="Y4855" s="478">
        <v>2.955526891368964E-2</v>
      </c>
      <c r="Z4855" s="231"/>
      <c r="AA4855" s="230"/>
      <c r="AB4855" s="152">
        <v>2400</v>
      </c>
      <c r="AC4855" s="152"/>
      <c r="AD4855" s="223">
        <f>0.3048*35</f>
        <v>10.668000000000001</v>
      </c>
      <c r="AE4855" s="152"/>
      <c r="AF4855" s="153"/>
      <c r="AG4855" s="153"/>
      <c r="AH4855" s="346"/>
      <c r="AI4855" s="218"/>
      <c r="AJ4855" s="218"/>
      <c r="AK4855" s="153"/>
      <c r="AL4855" s="152"/>
      <c r="AM4855" s="152"/>
      <c r="AN4855" s="152"/>
      <c r="AO4855" s="152"/>
      <c r="AP4855" s="152"/>
      <c r="AQ4855" s="152"/>
      <c r="AR4855" s="152"/>
      <c r="AS4855" s="152"/>
      <c r="AT4855" s="152"/>
      <c r="AU4855" s="153"/>
      <c r="AV4855" s="479"/>
      <c r="AW4855" s="479"/>
      <c r="AX4855" s="442"/>
      <c r="AY4855" s="153"/>
      <c r="AZ4855" s="152"/>
      <c r="BA4855" s="152"/>
      <c r="BB4855" s="152"/>
      <c r="BC4855" s="152"/>
      <c r="BD4855" s="152"/>
      <c r="BE4855" s="152"/>
      <c r="BF4855" s="152"/>
      <c r="BG4855" s="152"/>
      <c r="BH4855" s="152"/>
      <c r="BI4855" s="153"/>
      <c r="BJ4855" s="153"/>
      <c r="BK4855" s="153"/>
      <c r="BL4855" s="153"/>
      <c r="BM4855" s="153"/>
      <c r="BN4855" s="153"/>
      <c r="BO4855" s="153"/>
      <c r="BP4855" s="153"/>
      <c r="BQ4855" s="153"/>
      <c r="BR4855" s="153"/>
      <c r="BS4855" s="153"/>
      <c r="BT4855" s="153"/>
      <c r="BU4855" s="153"/>
      <c r="BV4855" s="153"/>
      <c r="BW4855" s="153"/>
      <c r="BX4855" s="153"/>
      <c r="BY4855" s="153"/>
      <c r="BZ4855" s="153"/>
      <c r="CA4855" s="152"/>
      <c r="CB4855" s="152"/>
    </row>
    <row r="4856" spans="1:80" s="87" customFormat="1" x14ac:dyDescent="0.2">
      <c r="A4856" s="253" t="s">
        <v>98</v>
      </c>
      <c r="B4856" s="683"/>
      <c r="C4856" s="683"/>
      <c r="D4856" s="698"/>
      <c r="E4856" s="215"/>
      <c r="F4856" s="215"/>
      <c r="G4856" s="153"/>
      <c r="H4856" s="153"/>
      <c r="I4856" s="153"/>
      <c r="J4856" s="153"/>
      <c r="K4856" s="153"/>
      <c r="L4856" s="656">
        <v>40</v>
      </c>
      <c r="M4856" s="666">
        <v>34817</v>
      </c>
      <c r="N4856" s="597">
        <f>0.028317*194.77</f>
        <v>5.5153020899999996</v>
      </c>
      <c r="O4856" s="604">
        <v>1.9831259184276247E-2</v>
      </c>
      <c r="P4856" s="220"/>
      <c r="Q4856" s="478"/>
      <c r="R4856" s="478">
        <v>2.3600091892492861E-2</v>
      </c>
      <c r="S4856" s="478">
        <v>4.791061066336294E-2</v>
      </c>
      <c r="T4856" s="478">
        <v>9.8502795259928069E-2</v>
      </c>
      <c r="U4856" s="478">
        <v>0.15667227674857467</v>
      </c>
      <c r="V4856" s="478">
        <v>0.22905619391085427</v>
      </c>
      <c r="W4856" s="478">
        <v>0.18536715268043857</v>
      </c>
      <c r="X4856" s="478">
        <v>0.24188634408548246</v>
      </c>
      <c r="Y4856" s="478">
        <v>1.7004534758866256E-2</v>
      </c>
      <c r="Z4856" s="231"/>
      <c r="AA4856" s="230"/>
      <c r="AB4856" s="152">
        <v>2400</v>
      </c>
      <c r="AC4856" s="152"/>
      <c r="AD4856" s="223">
        <f>0.3048*35.1</f>
        <v>10.698480000000002</v>
      </c>
      <c r="AE4856" s="152"/>
      <c r="AF4856" s="153"/>
      <c r="AG4856" s="153"/>
      <c r="AH4856" s="346"/>
      <c r="AI4856" s="218"/>
      <c r="AJ4856" s="218"/>
      <c r="AK4856" s="153"/>
      <c r="AL4856" s="152"/>
      <c r="AM4856" s="152"/>
      <c r="AN4856" s="152"/>
      <c r="AO4856" s="152"/>
      <c r="AP4856" s="152"/>
      <c r="AQ4856" s="152"/>
      <c r="AR4856" s="152"/>
      <c r="AS4856" s="152"/>
      <c r="AT4856" s="152"/>
      <c r="AU4856" s="153"/>
      <c r="AV4856" s="479"/>
      <c r="AW4856" s="479"/>
      <c r="AX4856" s="442"/>
      <c r="AY4856" s="153"/>
      <c r="AZ4856" s="152"/>
      <c r="BA4856" s="152"/>
      <c r="BB4856" s="152"/>
      <c r="BC4856" s="152"/>
      <c r="BD4856" s="152"/>
      <c r="BE4856" s="152"/>
      <c r="BF4856" s="152"/>
      <c r="BG4856" s="152"/>
      <c r="BH4856" s="152"/>
      <c r="BI4856" s="153"/>
      <c r="BJ4856" s="153"/>
      <c r="BK4856" s="153"/>
      <c r="BL4856" s="153"/>
      <c r="BM4856" s="153"/>
      <c r="BN4856" s="153"/>
      <c r="BO4856" s="153"/>
      <c r="BP4856" s="153"/>
      <c r="BQ4856" s="153"/>
      <c r="BR4856" s="153"/>
      <c r="BS4856" s="153"/>
      <c r="BT4856" s="153"/>
      <c r="BU4856" s="153"/>
      <c r="BV4856" s="153"/>
      <c r="BW4856" s="153"/>
      <c r="BX4856" s="153"/>
      <c r="BY4856" s="153"/>
      <c r="BZ4856" s="153"/>
      <c r="CA4856" s="152"/>
      <c r="CB4856" s="152"/>
    </row>
    <row r="4857" spans="1:80" s="87" customFormat="1" x14ac:dyDescent="0.2">
      <c r="A4857" s="253" t="s">
        <v>98</v>
      </c>
      <c r="B4857" s="683"/>
      <c r="C4857" s="683"/>
      <c r="D4857" s="698"/>
      <c r="E4857" s="215"/>
      <c r="F4857" s="215"/>
      <c r="G4857" s="153"/>
      <c r="H4857" s="153"/>
      <c r="I4857" s="153"/>
      <c r="J4857" s="153"/>
      <c r="K4857" s="153"/>
      <c r="L4857" s="656">
        <v>40</v>
      </c>
      <c r="M4857" s="666">
        <v>34821</v>
      </c>
      <c r="N4857" s="597">
        <f>0.028317*321.42</f>
        <v>9.1016501400000003</v>
      </c>
      <c r="O4857" s="604">
        <v>3.3417498228753728E-2</v>
      </c>
      <c r="P4857" s="220"/>
      <c r="Q4857" s="478">
        <v>9.6054691975709414E-2</v>
      </c>
      <c r="R4857" s="478">
        <v>0.12756368636137949</v>
      </c>
      <c r="S4857" s="478">
        <v>8.7079402665851874E-2</v>
      </c>
      <c r="T4857" s="478">
        <v>0.11400527059542449</v>
      </c>
      <c r="U4857" s="478">
        <v>0.11476912500477407</v>
      </c>
      <c r="V4857" s="478">
        <v>0.1273727227590421</v>
      </c>
      <c r="W4857" s="478">
        <v>0.11572394301646105</v>
      </c>
      <c r="X4857" s="478">
        <v>0.20635526868578846</v>
      </c>
      <c r="Y4857" s="478">
        <v>1.1075888935568878E-2</v>
      </c>
      <c r="Z4857" s="231"/>
      <c r="AA4857" s="230"/>
      <c r="AB4857" s="152">
        <v>2400</v>
      </c>
      <c r="AC4857" s="152"/>
      <c r="AD4857" s="223">
        <f>0.3048*38.3</f>
        <v>11.67384</v>
      </c>
      <c r="AE4857" s="152"/>
      <c r="AF4857" s="153"/>
      <c r="AG4857" s="153"/>
      <c r="AH4857" s="346"/>
      <c r="AI4857" s="218"/>
      <c r="AJ4857" s="218"/>
      <c r="AK4857" s="153"/>
      <c r="AL4857" s="152"/>
      <c r="AM4857" s="152"/>
      <c r="AN4857" s="152"/>
      <c r="AO4857" s="152"/>
      <c r="AP4857" s="152"/>
      <c r="AQ4857" s="152"/>
      <c r="AR4857" s="152"/>
      <c r="AS4857" s="152"/>
      <c r="AT4857" s="152"/>
      <c r="AU4857" s="153"/>
      <c r="AV4857" s="479"/>
      <c r="AW4857" s="479"/>
      <c r="AX4857" s="442"/>
      <c r="AY4857" s="153"/>
      <c r="AZ4857" s="152"/>
      <c r="BA4857" s="152"/>
      <c r="BB4857" s="152"/>
      <c r="BC4857" s="152"/>
      <c r="BD4857" s="152"/>
      <c r="BE4857" s="152"/>
      <c r="BF4857" s="152"/>
      <c r="BG4857" s="152"/>
      <c r="BH4857" s="152"/>
      <c r="BI4857" s="153"/>
      <c r="BJ4857" s="153"/>
      <c r="BK4857" s="153"/>
      <c r="BL4857" s="153"/>
      <c r="BM4857" s="153"/>
      <c r="BN4857" s="153"/>
      <c r="BO4857" s="153"/>
      <c r="BP4857" s="153"/>
      <c r="BQ4857" s="153"/>
      <c r="BR4857" s="153"/>
      <c r="BS4857" s="153"/>
      <c r="BT4857" s="153"/>
      <c r="BU4857" s="153"/>
      <c r="BV4857" s="153"/>
      <c r="BW4857" s="153"/>
      <c r="BX4857" s="153"/>
      <c r="BY4857" s="153"/>
      <c r="BZ4857" s="153"/>
      <c r="CA4857" s="152"/>
      <c r="CB4857" s="152"/>
    </row>
    <row r="4858" spans="1:80" s="87" customFormat="1" x14ac:dyDescent="0.2">
      <c r="A4858" s="253" t="s">
        <v>98</v>
      </c>
      <c r="B4858" s="683"/>
      <c r="C4858" s="683"/>
      <c r="D4858" s="698"/>
      <c r="E4858" s="215"/>
      <c r="F4858" s="215"/>
      <c r="G4858" s="153"/>
      <c r="H4858" s="153"/>
      <c r="I4858" s="153"/>
      <c r="J4858" s="153"/>
      <c r="K4858" s="153"/>
      <c r="L4858" s="656">
        <v>40</v>
      </c>
      <c r="M4858" s="666">
        <v>34837</v>
      </c>
      <c r="N4858" s="597">
        <f>0.028317*257.92</f>
        <v>7.3035206400000003</v>
      </c>
      <c r="O4858" s="604">
        <v>1.8067924077743804E-2</v>
      </c>
      <c r="P4858" s="220"/>
      <c r="Q4858" s="478"/>
      <c r="R4858" s="478"/>
      <c r="S4858" s="478">
        <v>8.1332290336047608E-2</v>
      </c>
      <c r="T4858" s="478">
        <v>0.11235799217474643</v>
      </c>
      <c r="U4858" s="478">
        <v>0.15551720598780303</v>
      </c>
      <c r="V4858" s="478">
        <v>0.1694086954350838</v>
      </c>
      <c r="W4858" s="478">
        <v>0.17377694005123445</v>
      </c>
      <c r="X4858" s="478">
        <v>0.2888766142532791</v>
      </c>
      <c r="Y4858" s="478">
        <v>1.8730261761805492E-2</v>
      </c>
      <c r="Z4858" s="231"/>
      <c r="AA4858" s="230"/>
      <c r="AB4858" s="152">
        <v>2400</v>
      </c>
      <c r="AC4858" s="152"/>
      <c r="AD4858" s="223">
        <f>0.3048*37.6</f>
        <v>11.46048</v>
      </c>
      <c r="AE4858" s="152"/>
      <c r="AF4858" s="153"/>
      <c r="AG4858" s="153"/>
      <c r="AH4858" s="346"/>
      <c r="AI4858" s="218"/>
      <c r="AJ4858" s="218"/>
      <c r="AK4858" s="153"/>
      <c r="AL4858" s="152"/>
      <c r="AM4858" s="152"/>
      <c r="AN4858" s="152"/>
      <c r="AO4858" s="152"/>
      <c r="AP4858" s="152"/>
      <c r="AQ4858" s="152"/>
      <c r="AR4858" s="152"/>
      <c r="AS4858" s="152"/>
      <c r="AT4858" s="152"/>
      <c r="AU4858" s="153"/>
      <c r="AV4858" s="479"/>
      <c r="AW4858" s="479"/>
      <c r="AX4858" s="442"/>
      <c r="AY4858" s="153"/>
      <c r="AZ4858" s="152"/>
      <c r="BA4858" s="152"/>
      <c r="BB4858" s="152"/>
      <c r="BC4858" s="152"/>
      <c r="BD4858" s="152"/>
      <c r="BE4858" s="152"/>
      <c r="BF4858" s="152"/>
      <c r="BG4858" s="152"/>
      <c r="BH4858" s="152"/>
      <c r="BI4858" s="153"/>
      <c r="BJ4858" s="153"/>
      <c r="BK4858" s="153"/>
      <c r="BL4858" s="153"/>
      <c r="BM4858" s="153"/>
      <c r="BN4858" s="153"/>
      <c r="BO4858" s="153"/>
      <c r="BP4858" s="153"/>
      <c r="BQ4858" s="153"/>
      <c r="BR4858" s="153"/>
      <c r="BS4858" s="153"/>
      <c r="BT4858" s="153"/>
      <c r="BU4858" s="153"/>
      <c r="BV4858" s="153"/>
      <c r="BW4858" s="153"/>
      <c r="BX4858" s="153"/>
      <c r="BY4858" s="153"/>
      <c r="BZ4858" s="153"/>
      <c r="CA4858" s="152"/>
      <c r="CB4858" s="152"/>
    </row>
    <row r="4859" spans="1:80" s="87" customFormat="1" x14ac:dyDescent="0.2">
      <c r="A4859" s="253" t="s">
        <v>98</v>
      </c>
      <c r="B4859" s="683"/>
      <c r="C4859" s="683"/>
      <c r="D4859" s="698"/>
      <c r="E4859" s="215"/>
      <c r="F4859" s="215"/>
      <c r="G4859" s="153"/>
      <c r="H4859" s="153"/>
      <c r="I4859" s="153"/>
      <c r="J4859" s="153"/>
      <c r="K4859" s="153"/>
      <c r="L4859" s="656">
        <v>40</v>
      </c>
      <c r="M4859" s="666">
        <v>34877</v>
      </c>
      <c r="N4859" s="597">
        <f>0.028317*81.32</f>
        <v>2.3027384399999997</v>
      </c>
      <c r="O4859" s="604">
        <v>2.9600654387213535E-3</v>
      </c>
      <c r="P4859" s="220"/>
      <c r="Q4859" s="478"/>
      <c r="R4859" s="478"/>
      <c r="S4859" s="478"/>
      <c r="T4859" s="478">
        <v>7.4065441408106517E-2</v>
      </c>
      <c r="U4859" s="478">
        <v>0.18159089377834997</v>
      </c>
      <c r="V4859" s="478">
        <v>0.19716186268921979</v>
      </c>
      <c r="W4859" s="478">
        <v>0.17136988471546699</v>
      </c>
      <c r="X4859" s="478">
        <v>0.34305115239009182</v>
      </c>
      <c r="Y4859" s="478">
        <v>3.2760765018764917E-2</v>
      </c>
      <c r="Z4859" s="231"/>
      <c r="AA4859" s="230"/>
      <c r="AB4859" s="152">
        <v>2400</v>
      </c>
      <c r="AC4859" s="152"/>
      <c r="AD4859" s="223">
        <f>0.3048*32.35</f>
        <v>9.8602800000000013</v>
      </c>
      <c r="AE4859" s="152"/>
      <c r="AF4859" s="153"/>
      <c r="AG4859" s="153"/>
      <c r="AH4859" s="346"/>
      <c r="AI4859" s="218"/>
      <c r="AJ4859" s="218"/>
      <c r="AK4859" s="153"/>
      <c r="AL4859" s="152"/>
      <c r="AM4859" s="152"/>
      <c r="AN4859" s="152"/>
      <c r="AO4859" s="152"/>
      <c r="AP4859" s="152"/>
      <c r="AQ4859" s="152"/>
      <c r="AR4859" s="152"/>
      <c r="AS4859" s="152"/>
      <c r="AT4859" s="152"/>
      <c r="AU4859" s="153"/>
      <c r="AV4859" s="479"/>
      <c r="AW4859" s="479"/>
      <c r="AX4859" s="442"/>
      <c r="AY4859" s="153"/>
      <c r="AZ4859" s="152"/>
      <c r="BA4859" s="152"/>
      <c r="BB4859" s="152"/>
      <c r="BC4859" s="152"/>
      <c r="BD4859" s="152"/>
      <c r="BE4859" s="152"/>
      <c r="BF4859" s="152"/>
      <c r="BG4859" s="152"/>
      <c r="BH4859" s="152"/>
      <c r="BI4859" s="153"/>
      <c r="BJ4859" s="153"/>
      <c r="BK4859" s="153"/>
      <c r="BL4859" s="153"/>
      <c r="BM4859" s="153"/>
      <c r="BN4859" s="153"/>
      <c r="BO4859" s="153"/>
      <c r="BP4859" s="153"/>
      <c r="BQ4859" s="153"/>
      <c r="BR4859" s="153"/>
      <c r="BS4859" s="153"/>
      <c r="BT4859" s="153"/>
      <c r="BU4859" s="153"/>
      <c r="BV4859" s="153"/>
      <c r="BW4859" s="153"/>
      <c r="BX4859" s="153"/>
      <c r="BY4859" s="153"/>
      <c r="BZ4859" s="153"/>
      <c r="CA4859" s="152"/>
      <c r="CB4859" s="152"/>
    </row>
    <row r="4860" spans="1:80" s="87" customFormat="1" x14ac:dyDescent="0.2">
      <c r="A4860" s="253" t="s">
        <v>98</v>
      </c>
      <c r="B4860" s="683"/>
      <c r="C4860" s="683"/>
      <c r="D4860" s="698"/>
      <c r="E4860" s="215"/>
      <c r="F4860" s="215"/>
      <c r="G4860" s="153"/>
      <c r="H4860" s="153"/>
      <c r="I4860" s="153"/>
      <c r="J4860" s="153"/>
      <c r="K4860" s="153"/>
      <c r="L4860" s="656">
        <v>40</v>
      </c>
      <c r="M4860" s="666">
        <v>34887</v>
      </c>
      <c r="N4860" s="597">
        <f>0.028317*48.7963852200175</f>
        <v>1.3817672402752355</v>
      </c>
      <c r="O4860" s="604">
        <v>3.3954674413391468E-4</v>
      </c>
      <c r="P4860" s="220"/>
      <c r="Q4860" s="478"/>
      <c r="R4860" s="478"/>
      <c r="S4860" s="478"/>
      <c r="T4860" s="478"/>
      <c r="U4860" s="478">
        <v>7.2438823617451175E-3</v>
      </c>
      <c r="V4860" s="478">
        <v>8.8647758736810606E-2</v>
      </c>
      <c r="W4860" s="478">
        <v>0.23523160966848763</v>
      </c>
      <c r="X4860" s="478">
        <v>0.57939085534685331</v>
      </c>
      <c r="Y4860" s="478">
        <v>8.948589388610341E-2</v>
      </c>
      <c r="Z4860" s="231"/>
      <c r="AA4860" s="230"/>
      <c r="AB4860" s="152">
        <v>2400</v>
      </c>
      <c r="AC4860" s="152"/>
      <c r="AD4860" s="223">
        <f>0.3048*30.5</f>
        <v>9.2964000000000002</v>
      </c>
      <c r="AE4860" s="152"/>
      <c r="AF4860" s="153"/>
      <c r="AG4860" s="153"/>
      <c r="AH4860" s="346"/>
      <c r="AI4860" s="218"/>
      <c r="AJ4860" s="218"/>
      <c r="AK4860" s="153"/>
      <c r="AL4860" s="152"/>
      <c r="AM4860" s="152"/>
      <c r="AN4860" s="152"/>
      <c r="AO4860" s="152"/>
      <c r="AP4860" s="152"/>
      <c r="AQ4860" s="152"/>
      <c r="AR4860" s="152"/>
      <c r="AS4860" s="152"/>
      <c r="AT4860" s="152"/>
      <c r="AU4860" s="153"/>
      <c r="AV4860" s="479"/>
      <c r="AW4860" s="479"/>
      <c r="AX4860" s="442"/>
      <c r="AY4860" s="153"/>
      <c r="AZ4860" s="152"/>
      <c r="BA4860" s="152"/>
      <c r="BB4860" s="152"/>
      <c r="BC4860" s="152"/>
      <c r="BD4860" s="152"/>
      <c r="BE4860" s="152"/>
      <c r="BF4860" s="152"/>
      <c r="BG4860" s="152"/>
      <c r="BH4860" s="152"/>
      <c r="BI4860" s="153"/>
      <c r="BJ4860" s="153"/>
      <c r="BK4860" s="153"/>
      <c r="BL4860" s="153"/>
      <c r="BM4860" s="153"/>
      <c r="BN4860" s="153"/>
      <c r="BO4860" s="153"/>
      <c r="BP4860" s="153"/>
      <c r="BQ4860" s="153"/>
      <c r="BR4860" s="153"/>
      <c r="BS4860" s="153"/>
      <c r="BT4860" s="153"/>
      <c r="BU4860" s="153"/>
      <c r="BV4860" s="153"/>
      <c r="BW4860" s="153"/>
      <c r="BX4860" s="153"/>
      <c r="BY4860" s="153"/>
      <c r="BZ4860" s="153"/>
      <c r="CA4860" s="152"/>
      <c r="CB4860" s="152"/>
    </row>
    <row r="4861" spans="1:80" s="87" customFormat="1" x14ac:dyDescent="0.2">
      <c r="A4861" s="253" t="s">
        <v>98</v>
      </c>
      <c r="B4861" s="683"/>
      <c r="C4861" s="683"/>
      <c r="D4861" s="698"/>
      <c r="E4861" s="215"/>
      <c r="F4861" s="215"/>
      <c r="G4861" s="153"/>
      <c r="H4861" s="153"/>
      <c r="I4861" s="153"/>
      <c r="J4861" s="153"/>
      <c r="K4861" s="153"/>
      <c r="L4861" s="656">
        <v>40</v>
      </c>
      <c r="M4861" s="666">
        <v>34887</v>
      </c>
      <c r="N4861" s="597">
        <f>0.028317*46.31</f>
        <v>1.31136027</v>
      </c>
      <c r="O4861" s="604">
        <v>2.4125783328614038E-4</v>
      </c>
      <c r="P4861" s="220"/>
      <c r="Q4861" s="478"/>
      <c r="R4861" s="478"/>
      <c r="S4861" s="478"/>
      <c r="T4861" s="478"/>
      <c r="U4861" s="478">
        <v>0.12002359186080802</v>
      </c>
      <c r="V4861" s="478">
        <v>6.9659181867969835E-2</v>
      </c>
      <c r="W4861" s="478">
        <v>0.16183595231073852</v>
      </c>
      <c r="X4861" s="478">
        <v>0.55352403420819818</v>
      </c>
      <c r="Y4861" s="478">
        <v>9.4957239752285469E-2</v>
      </c>
      <c r="Z4861" s="231"/>
      <c r="AA4861" s="230"/>
      <c r="AB4861" s="152">
        <v>2400</v>
      </c>
      <c r="AC4861" s="152"/>
      <c r="AD4861" s="223">
        <f>0.3048*30.5</f>
        <v>9.2964000000000002</v>
      </c>
      <c r="AE4861" s="152"/>
      <c r="AF4861" s="153"/>
      <c r="AG4861" s="153"/>
      <c r="AH4861" s="346"/>
      <c r="AI4861" s="218"/>
      <c r="AJ4861" s="218"/>
      <c r="AK4861" s="153"/>
      <c r="AL4861" s="152"/>
      <c r="AM4861" s="152"/>
      <c r="AN4861" s="152"/>
      <c r="AO4861" s="152"/>
      <c r="AP4861" s="152"/>
      <c r="AQ4861" s="152"/>
      <c r="AR4861" s="152"/>
      <c r="AS4861" s="152"/>
      <c r="AT4861" s="152"/>
      <c r="AU4861" s="153"/>
      <c r="AV4861" s="479"/>
      <c r="AW4861" s="479"/>
      <c r="AX4861" s="442"/>
      <c r="AY4861" s="153"/>
      <c r="AZ4861" s="152"/>
      <c r="BA4861" s="152"/>
      <c r="BB4861" s="152"/>
      <c r="BC4861" s="152"/>
      <c r="BD4861" s="152"/>
      <c r="BE4861" s="152"/>
      <c r="BF4861" s="152"/>
      <c r="BG4861" s="152"/>
      <c r="BH4861" s="152"/>
      <c r="BI4861" s="153"/>
      <c r="BJ4861" s="153"/>
      <c r="BK4861" s="153"/>
      <c r="BL4861" s="153"/>
      <c r="BM4861" s="153"/>
      <c r="BN4861" s="153"/>
      <c r="BO4861" s="153"/>
      <c r="BP4861" s="153"/>
      <c r="BQ4861" s="153"/>
      <c r="BR4861" s="153"/>
      <c r="BS4861" s="153"/>
      <c r="BT4861" s="153"/>
      <c r="BU4861" s="153"/>
      <c r="BV4861" s="153"/>
      <c r="BW4861" s="153"/>
      <c r="BX4861" s="153"/>
      <c r="BY4861" s="153"/>
      <c r="BZ4861" s="153"/>
      <c r="CA4861" s="152"/>
      <c r="CB4861" s="152"/>
    </row>
    <row r="4862" spans="1:80" s="87" customFormat="1" x14ac:dyDescent="0.2">
      <c r="A4862" s="253" t="s">
        <v>98</v>
      </c>
      <c r="B4862" s="683"/>
      <c r="C4862" s="683"/>
      <c r="D4862" s="698"/>
      <c r="E4862" s="215"/>
      <c r="F4862" s="215"/>
      <c r="G4862" s="153"/>
      <c r="H4862" s="153"/>
      <c r="I4862" s="153"/>
      <c r="J4862" s="153"/>
      <c r="K4862" s="153"/>
      <c r="L4862" s="656">
        <v>40</v>
      </c>
      <c r="M4862" s="666">
        <v>34891</v>
      </c>
      <c r="N4862" s="597">
        <f>0.028317*40.82</f>
        <v>1.1558999399999998</v>
      </c>
      <c r="O4862" s="604">
        <v>2.1213991392003622E-4</v>
      </c>
      <c r="P4862" s="220"/>
      <c r="Q4862" s="478"/>
      <c r="R4862" s="478"/>
      <c r="S4862" s="478"/>
      <c r="T4862" s="478"/>
      <c r="U4862" s="478">
        <v>2.3562676720075403E-2</v>
      </c>
      <c r="V4862" s="478">
        <v>5.8906691800188503E-2</v>
      </c>
      <c r="W4862" s="478">
        <v>0.20263901979264845</v>
      </c>
      <c r="X4862" s="478">
        <v>0.62417530631479745</v>
      </c>
      <c r="Y4862" s="478">
        <v>9.0716305372290293E-2</v>
      </c>
      <c r="Z4862" s="231"/>
      <c r="AA4862" s="230"/>
      <c r="AB4862" s="152">
        <v>2400</v>
      </c>
      <c r="AC4862" s="152"/>
      <c r="AD4862" s="223">
        <f>0.3048*30</f>
        <v>9.1440000000000001</v>
      </c>
      <c r="AE4862" s="152"/>
      <c r="AF4862" s="153"/>
      <c r="AG4862" s="153"/>
      <c r="AH4862" s="346"/>
      <c r="AI4862" s="218"/>
      <c r="AJ4862" s="218"/>
      <c r="AK4862" s="153"/>
      <c r="AL4862" s="152"/>
      <c r="AM4862" s="152"/>
      <c r="AN4862" s="152"/>
      <c r="AO4862" s="152"/>
      <c r="AP4862" s="152"/>
      <c r="AQ4862" s="152"/>
      <c r="AR4862" s="152"/>
      <c r="AS4862" s="152"/>
      <c r="AT4862" s="152"/>
      <c r="AU4862" s="153"/>
      <c r="AV4862" s="479"/>
      <c r="AW4862" s="479"/>
      <c r="AX4862" s="442"/>
      <c r="AY4862" s="153"/>
      <c r="AZ4862" s="152"/>
      <c r="BA4862" s="152"/>
      <c r="BB4862" s="152"/>
      <c r="BC4862" s="152"/>
      <c r="BD4862" s="152"/>
      <c r="BE4862" s="152"/>
      <c r="BF4862" s="152"/>
      <c r="BG4862" s="152"/>
      <c r="BH4862" s="152"/>
      <c r="BI4862" s="153"/>
      <c r="BJ4862" s="153"/>
      <c r="BK4862" s="153"/>
      <c r="BL4862" s="153"/>
      <c r="BM4862" s="153"/>
      <c r="BN4862" s="153"/>
      <c r="BO4862" s="153"/>
      <c r="BP4862" s="153"/>
      <c r="BQ4862" s="153"/>
      <c r="BR4862" s="153"/>
      <c r="BS4862" s="153"/>
      <c r="BT4862" s="153"/>
      <c r="BU4862" s="153"/>
      <c r="BV4862" s="153"/>
      <c r="BW4862" s="153"/>
      <c r="BX4862" s="153"/>
      <c r="BY4862" s="153"/>
      <c r="BZ4862" s="153"/>
      <c r="CA4862" s="152"/>
      <c r="CB4862" s="152"/>
    </row>
    <row r="4863" spans="1:80" s="87" customFormat="1" x14ac:dyDescent="0.2">
      <c r="A4863" s="253" t="s">
        <v>98</v>
      </c>
      <c r="B4863" s="683"/>
      <c r="C4863" s="683"/>
      <c r="D4863" s="698"/>
      <c r="E4863" s="215"/>
      <c r="F4863" s="215"/>
      <c r="G4863" s="153"/>
      <c r="H4863" s="153"/>
      <c r="I4863" s="153"/>
      <c r="J4863" s="153"/>
      <c r="K4863" s="153"/>
      <c r="L4863" s="656">
        <v>40</v>
      </c>
      <c r="M4863" s="666">
        <v>35107</v>
      </c>
      <c r="N4863" s="597">
        <f>0.028317*148.89</f>
        <v>4.216118129999999</v>
      </c>
      <c r="O4863" s="604">
        <v>7.9414923977624875E-3</v>
      </c>
      <c r="P4863" s="220"/>
      <c r="Q4863" s="478"/>
      <c r="R4863" s="478">
        <v>0.29265902379734088</v>
      </c>
      <c r="S4863" s="478">
        <v>4.296737124659767E-2</v>
      </c>
      <c r="T4863" s="478">
        <v>2.5133483286093692E-2</v>
      </c>
      <c r="U4863" s="478">
        <v>6.2261465290614375E-2</v>
      </c>
      <c r="V4863" s="478">
        <v>0.11749880116004224</v>
      </c>
      <c r="W4863" s="478">
        <v>0.17057861975580618</v>
      </c>
      <c r="X4863" s="478">
        <v>0.26882932156959738</v>
      </c>
      <c r="Y4863" s="478">
        <v>2.0071913893907525E-2</v>
      </c>
      <c r="Z4863" s="231"/>
      <c r="AA4863" s="230"/>
      <c r="AB4863" s="152">
        <v>2400</v>
      </c>
      <c r="AC4863" s="152"/>
      <c r="AD4863" s="223">
        <f>0.3048*34.2</f>
        <v>10.424160000000001</v>
      </c>
      <c r="AE4863" s="152"/>
      <c r="AF4863" s="153"/>
      <c r="AG4863" s="153"/>
      <c r="AH4863" s="346"/>
      <c r="AI4863" s="218"/>
      <c r="AJ4863" s="218"/>
      <c r="AK4863" s="153"/>
      <c r="AL4863" s="152"/>
      <c r="AM4863" s="152"/>
      <c r="AN4863" s="152"/>
      <c r="AO4863" s="152"/>
      <c r="AP4863" s="152"/>
      <c r="AQ4863" s="152"/>
      <c r="AR4863" s="152"/>
      <c r="AS4863" s="152"/>
      <c r="AT4863" s="152"/>
      <c r="AU4863" s="153"/>
      <c r="AV4863" s="479"/>
      <c r="AW4863" s="479"/>
      <c r="AX4863" s="442"/>
      <c r="AY4863" s="153"/>
      <c r="AZ4863" s="152"/>
      <c r="BA4863" s="152"/>
      <c r="BB4863" s="152"/>
      <c r="BC4863" s="152"/>
      <c r="BD4863" s="152"/>
      <c r="BE4863" s="152"/>
      <c r="BF4863" s="152"/>
      <c r="BG4863" s="152"/>
      <c r="BH4863" s="152"/>
      <c r="BI4863" s="153"/>
      <c r="BJ4863" s="153"/>
      <c r="BK4863" s="153"/>
      <c r="BL4863" s="153"/>
      <c r="BM4863" s="153"/>
      <c r="BN4863" s="153"/>
      <c r="BO4863" s="153"/>
      <c r="BP4863" s="153"/>
      <c r="BQ4863" s="153"/>
      <c r="BR4863" s="153"/>
      <c r="BS4863" s="153"/>
      <c r="BT4863" s="153"/>
      <c r="BU4863" s="153"/>
      <c r="BV4863" s="153"/>
      <c r="BW4863" s="153"/>
      <c r="BX4863" s="153"/>
      <c r="BY4863" s="153"/>
      <c r="BZ4863" s="153"/>
      <c r="CA4863" s="152"/>
      <c r="CB4863" s="152"/>
    </row>
    <row r="4864" spans="1:80" s="87" customFormat="1" x14ac:dyDescent="0.2">
      <c r="A4864" s="253" t="s">
        <v>98</v>
      </c>
      <c r="B4864" s="683"/>
      <c r="C4864" s="683"/>
      <c r="D4864" s="698"/>
      <c r="E4864" s="215"/>
      <c r="F4864" s="215"/>
      <c r="G4864" s="153"/>
      <c r="H4864" s="153"/>
      <c r="I4864" s="153"/>
      <c r="J4864" s="153"/>
      <c r="K4864" s="153"/>
      <c r="L4864" s="656">
        <v>40</v>
      </c>
      <c r="M4864" s="666">
        <v>35136</v>
      </c>
      <c r="N4864" s="597">
        <f>0.028317*116.41</f>
        <v>3.2963819699999997</v>
      </c>
      <c r="O4864" s="604">
        <v>1.0545288073943821E-2</v>
      </c>
      <c r="P4864" s="220"/>
      <c r="Q4864" s="478"/>
      <c r="R4864" s="478">
        <v>5.2903287215871363E-2</v>
      </c>
      <c r="S4864" s="478">
        <v>0.11840598219524978</v>
      </c>
      <c r="T4864" s="478">
        <v>7.1047982452561984E-2</v>
      </c>
      <c r="U4864" s="478">
        <v>0.12889197803013902</v>
      </c>
      <c r="V4864" s="478">
        <v>0.19093403288784852</v>
      </c>
      <c r="W4864" s="478">
        <v>0.18750006537403888</v>
      </c>
      <c r="X4864" s="478">
        <v>0.24067792355316794</v>
      </c>
      <c r="Y4864" s="478">
        <v>9.6387482911226233E-3</v>
      </c>
      <c r="Z4864" s="231"/>
      <c r="AA4864" s="230"/>
      <c r="AB4864" s="152">
        <v>2400</v>
      </c>
      <c r="AC4864" s="152"/>
      <c r="AD4864" s="223">
        <f>0.3048*33.1</f>
        <v>10.088880000000001</v>
      </c>
      <c r="AE4864" s="152"/>
      <c r="AF4864" s="153"/>
      <c r="AG4864" s="153"/>
      <c r="AH4864" s="346"/>
      <c r="AI4864" s="218"/>
      <c r="AJ4864" s="218"/>
      <c r="AK4864" s="153"/>
      <c r="AL4864" s="152"/>
      <c r="AM4864" s="152"/>
      <c r="AN4864" s="152"/>
      <c r="AO4864" s="152"/>
      <c r="AP4864" s="152"/>
      <c r="AQ4864" s="152"/>
      <c r="AR4864" s="152"/>
      <c r="AS4864" s="152"/>
      <c r="AT4864" s="152"/>
      <c r="AU4864" s="153"/>
      <c r="AV4864" s="479"/>
      <c r="AW4864" s="479"/>
      <c r="AX4864" s="442"/>
      <c r="AY4864" s="153"/>
      <c r="AZ4864" s="152"/>
      <c r="BA4864" s="152"/>
      <c r="BB4864" s="152"/>
      <c r="BC4864" s="152"/>
      <c r="BD4864" s="152"/>
      <c r="BE4864" s="152"/>
      <c r="BF4864" s="152"/>
      <c r="BG4864" s="152"/>
      <c r="BH4864" s="152"/>
      <c r="BI4864" s="153"/>
      <c r="BJ4864" s="153"/>
      <c r="BK4864" s="153"/>
      <c r="BL4864" s="153"/>
      <c r="BM4864" s="153"/>
      <c r="BN4864" s="153"/>
      <c r="BO4864" s="153"/>
      <c r="BP4864" s="153"/>
      <c r="BQ4864" s="153"/>
      <c r="BR4864" s="153"/>
      <c r="BS4864" s="153"/>
      <c r="BT4864" s="153"/>
      <c r="BU4864" s="153"/>
      <c r="BV4864" s="153"/>
      <c r="BW4864" s="153"/>
      <c r="BX4864" s="153"/>
      <c r="BY4864" s="153"/>
      <c r="BZ4864" s="153"/>
      <c r="CA4864" s="152"/>
      <c r="CB4864" s="152"/>
    </row>
    <row r="4865" spans="1:80" ht="15" x14ac:dyDescent="0.25">
      <c r="A4865" s="9" t="s">
        <v>77</v>
      </c>
      <c r="B4865" s="639" t="s">
        <v>73</v>
      </c>
      <c r="C4865" s="639" t="s">
        <v>589</v>
      </c>
      <c r="D4865" s="4">
        <f>VLOOKUP(E4865,'Quality Code'!D4:E24,2,TRUE)*VLOOKUP(MROUND(F4865,10),'Quality Code'!D28:E69,2,TRUE)*VLOOKUP(COUNTA(CB4865:CB4875),'Quality Code'!D73:E93,2,TRUE)</f>
        <v>0.58333099999999993</v>
      </c>
      <c r="E4865" s="14">
        <v>0.7</v>
      </c>
      <c r="F4865" s="18">
        <v>17</v>
      </c>
      <c r="G4865" s="12">
        <f>99*2.59</f>
        <v>256.40999999999997</v>
      </c>
      <c r="H4865" s="2" t="s">
        <v>72</v>
      </c>
      <c r="I4865" s="2">
        <v>10</v>
      </c>
      <c r="J4865" s="2" t="s">
        <v>290</v>
      </c>
      <c r="K4865" s="2">
        <v>4</v>
      </c>
      <c r="L4865" s="640" t="s">
        <v>284</v>
      </c>
      <c r="M4865" s="640">
        <v>1996</v>
      </c>
      <c r="N4865" s="578" t="s">
        <v>110</v>
      </c>
      <c r="O4865" s="578"/>
      <c r="P4865" s="10"/>
      <c r="Q4865" s="10"/>
      <c r="R4865" s="10"/>
      <c r="S4865" s="10"/>
      <c r="T4865" s="10"/>
      <c r="U4865" s="10"/>
      <c r="V4865" s="10"/>
      <c r="W4865" s="10"/>
      <c r="X4865" s="10"/>
      <c r="Y4865" s="10"/>
      <c r="Z4865" s="10"/>
      <c r="AA4865" s="10"/>
      <c r="AB4865" s="11"/>
      <c r="AC4865" s="116">
        <v>1.1999999999999999E-3</v>
      </c>
      <c r="AD4865" s="11"/>
      <c r="AE4865" s="11"/>
      <c r="AF4865" s="10"/>
      <c r="AG4865" s="10"/>
      <c r="AH4865" s="345"/>
      <c r="AI4865" s="18">
        <v>5.9</v>
      </c>
      <c r="AJ4865" s="135">
        <v>1</v>
      </c>
      <c r="AK4865" s="135">
        <v>1</v>
      </c>
      <c r="AL4865" s="135">
        <v>1</v>
      </c>
      <c r="AM4865" s="135">
        <v>0.94699999999999995</v>
      </c>
      <c r="AN4865" s="135">
        <v>0.75519999999999998</v>
      </c>
      <c r="AO4865" s="135">
        <v>0.55779999999999996</v>
      </c>
      <c r="AP4865" s="135">
        <v>0.4274</v>
      </c>
      <c r="AQ4865" s="135">
        <v>0.31730000000000003</v>
      </c>
      <c r="AR4865" s="135">
        <v>0.21940000000000001</v>
      </c>
      <c r="AS4865" s="135">
        <v>0.14710000000000001</v>
      </c>
      <c r="AT4865" s="135">
        <v>9.0200000000000002E-2</v>
      </c>
      <c r="AU4865" s="18">
        <v>16.100000000000001</v>
      </c>
      <c r="AV4865" s="135">
        <v>1</v>
      </c>
      <c r="AW4865" s="135">
        <v>1</v>
      </c>
      <c r="AX4865" s="135">
        <v>1</v>
      </c>
      <c r="AY4865" s="135">
        <v>1</v>
      </c>
      <c r="AZ4865" s="135">
        <v>0.82289999999999996</v>
      </c>
      <c r="BA4865" s="135">
        <v>0.73219999999999996</v>
      </c>
      <c r="BB4865" s="135">
        <v>0.49690000000000001</v>
      </c>
      <c r="BC4865" s="135">
        <v>0.29780000000000001</v>
      </c>
      <c r="BD4865" s="135">
        <v>0.2102</v>
      </c>
      <c r="BE4865" s="135">
        <v>0.14779999999999999</v>
      </c>
      <c r="BF4865" s="135">
        <v>9.9400000000000002E-2</v>
      </c>
      <c r="BG4865" s="135">
        <v>6.5799999999999997E-2</v>
      </c>
      <c r="BH4865" s="135">
        <v>3.9800000000000002E-2</v>
      </c>
      <c r="BI4865" s="4">
        <f>AU4865/AI4865</f>
        <v>2.7288135593220342</v>
      </c>
      <c r="BJ4865" s="2" t="s">
        <v>68</v>
      </c>
      <c r="BK4865" s="2" t="s">
        <v>68</v>
      </c>
      <c r="BL4865" s="12"/>
      <c r="BM4865" s="12">
        <f>315*0.028317</f>
        <v>8.9198550000000001</v>
      </c>
      <c r="BN4865" s="12">
        <v>13.22832</v>
      </c>
      <c r="BO4865" s="12">
        <v>0.64007999999999998</v>
      </c>
      <c r="BP4865" s="12">
        <f>91.8*(0.3048)^2</f>
        <v>8.5284990720000007</v>
      </c>
      <c r="BQ4865" s="12"/>
      <c r="BR4865" s="12"/>
      <c r="BS4865" s="18">
        <v>4</v>
      </c>
      <c r="BT4865" s="12"/>
      <c r="BU4865" s="2"/>
      <c r="BV4865" s="2">
        <v>1.38</v>
      </c>
      <c r="BW4865" s="2"/>
      <c r="BX4865" s="2">
        <v>1.56</v>
      </c>
      <c r="BY4865" s="2" t="s">
        <v>89</v>
      </c>
      <c r="BZ4865" s="2"/>
      <c r="CA4865" s="9"/>
      <c r="CB4865" s="9" t="s">
        <v>225</v>
      </c>
    </row>
    <row r="4866" spans="1:80" s="87" customFormat="1" ht="15" x14ac:dyDescent="0.25">
      <c r="A4866" s="152"/>
      <c r="B4866" s="683"/>
      <c r="C4866" s="683"/>
      <c r="D4866" s="698"/>
      <c r="E4866" s="215"/>
      <c r="F4866" s="215"/>
      <c r="G4866" s="153"/>
      <c r="H4866" s="153"/>
      <c r="I4866" s="153"/>
      <c r="J4866" s="153"/>
      <c r="K4866" s="153"/>
      <c r="L4866" s="656">
        <v>40</v>
      </c>
      <c r="M4866" s="666">
        <v>35142</v>
      </c>
      <c r="N4866" s="597">
        <f>0.028317*117.84</f>
        <v>3.3368752800000001</v>
      </c>
      <c r="O4866" s="604">
        <v>2.3472086813625552E-2</v>
      </c>
      <c r="P4866" s="220"/>
      <c r="Q4866" s="477">
        <v>0.16225540544099445</v>
      </c>
      <c r="R4866" s="477">
        <v>4.9616812830844591E-2</v>
      </c>
      <c r="S4866" s="477">
        <v>0.11627294514234547</v>
      </c>
      <c r="T4866" s="477">
        <v>6.2231703141871431E-2</v>
      </c>
      <c r="U4866" s="477">
        <v>9.6257670327355091E-2</v>
      </c>
      <c r="V4866" s="477">
        <v>0.11435042532458983</v>
      </c>
      <c r="W4866" s="477">
        <v>0.1631771615180006</v>
      </c>
      <c r="X4866" s="477">
        <v>0.21932527455163153</v>
      </c>
      <c r="Y4866" s="477">
        <v>1.6512601722367071E-2</v>
      </c>
      <c r="Z4866" s="231"/>
      <c r="AA4866" s="231"/>
      <c r="AB4866" s="154">
        <v>2400</v>
      </c>
      <c r="AC4866" s="152"/>
      <c r="AD4866" s="223">
        <f>0.3048*37.1</f>
        <v>11.30808</v>
      </c>
      <c r="AE4866" s="152"/>
      <c r="AF4866" s="153"/>
      <c r="AG4866" s="153"/>
      <c r="AH4866" s="346"/>
      <c r="AI4866" s="218"/>
      <c r="AJ4866" s="218"/>
      <c r="AK4866" s="153"/>
      <c r="AL4866" s="152"/>
      <c r="AM4866" s="152"/>
      <c r="AN4866" s="152"/>
      <c r="AO4866" s="152"/>
      <c r="AP4866" s="152"/>
      <c r="AQ4866" s="152"/>
      <c r="AR4866" s="152"/>
      <c r="AS4866" s="152"/>
      <c r="AT4866" s="152"/>
      <c r="AU4866" s="155">
        <v>11</v>
      </c>
      <c r="AV4866" s="429"/>
      <c r="AW4866" s="429"/>
      <c r="AX4866" s="429"/>
      <c r="AY4866" s="153"/>
      <c r="AZ4866" s="152"/>
      <c r="BA4866" s="152"/>
      <c r="BB4866" s="152"/>
      <c r="BC4866" s="152"/>
      <c r="BD4866" s="152"/>
      <c r="BE4866" s="152"/>
      <c r="BF4866" s="152"/>
      <c r="BG4866" s="152"/>
      <c r="BH4866" s="152"/>
      <c r="BI4866" s="156">
        <f>AU4866/AI4865</f>
        <v>1.8644067796610169</v>
      </c>
      <c r="BJ4866" s="155" t="s">
        <v>68</v>
      </c>
      <c r="BK4866" s="155" t="s">
        <v>175</v>
      </c>
      <c r="BL4866" s="153"/>
      <c r="BM4866" s="153"/>
      <c r="BN4866" s="153"/>
      <c r="BO4866" s="153"/>
      <c r="BP4866" s="153"/>
      <c r="BQ4866" s="153"/>
      <c r="BR4866" s="153"/>
      <c r="BS4866" s="153"/>
      <c r="BT4866" s="153"/>
      <c r="BU4866" s="153"/>
      <c r="BV4866" s="153"/>
      <c r="BW4866" s="153"/>
      <c r="BX4866" s="153"/>
      <c r="BY4866" s="153"/>
      <c r="BZ4866" s="153"/>
      <c r="CA4866" s="152"/>
      <c r="CB4866" s="485" t="s">
        <v>642</v>
      </c>
    </row>
    <row r="4867" spans="1:80" s="87" customFormat="1" ht="15" x14ac:dyDescent="0.25">
      <c r="A4867" s="152"/>
      <c r="B4867" s="683"/>
      <c r="C4867" s="683"/>
      <c r="D4867" s="698"/>
      <c r="E4867" s="215"/>
      <c r="F4867" s="215"/>
      <c r="G4867" s="153"/>
      <c r="H4867" s="153"/>
      <c r="I4867" s="153"/>
      <c r="J4867" s="153"/>
      <c r="K4867" s="153"/>
      <c r="L4867" s="656">
        <v>40</v>
      </c>
      <c r="M4867" s="666">
        <v>35150</v>
      </c>
      <c r="N4867" s="597">
        <f>0.028317*75.55</f>
        <v>2.1393493499999998</v>
      </c>
      <c r="O4867" s="604">
        <v>9.3184439961112985E-3</v>
      </c>
      <c r="P4867" s="220"/>
      <c r="Q4867" s="477"/>
      <c r="R4867" s="477"/>
      <c r="S4867" s="477">
        <v>7.1719131359909885E-2</v>
      </c>
      <c r="T4867" s="477">
        <v>4.8688904186745104E-2</v>
      </c>
      <c r="U4867" s="477">
        <v>9.6063583453282433E-2</v>
      </c>
      <c r="V4867" s="477">
        <v>0.17641905000312913</v>
      </c>
      <c r="W4867" s="477">
        <v>0.267538644470868</v>
      </c>
      <c r="X4867" s="477">
        <v>0.33099693347518622</v>
      </c>
      <c r="Y4867" s="477">
        <v>8.5737530508792782E-3</v>
      </c>
      <c r="Z4867" s="231"/>
      <c r="AA4867" s="231"/>
      <c r="AB4867" s="154">
        <v>2400</v>
      </c>
      <c r="AC4867" s="152"/>
      <c r="AD4867" s="223">
        <f>0.3048*35</f>
        <v>10.668000000000001</v>
      </c>
      <c r="AE4867" s="152"/>
      <c r="AF4867" s="153"/>
      <c r="AG4867" s="153"/>
      <c r="AH4867" s="346"/>
      <c r="AI4867" s="218"/>
      <c r="AJ4867" s="218"/>
      <c r="AK4867" s="153"/>
      <c r="AL4867" s="152"/>
      <c r="AM4867" s="152"/>
      <c r="AN4867" s="152"/>
      <c r="AO4867" s="152"/>
      <c r="AP4867" s="152"/>
      <c r="AQ4867" s="152"/>
      <c r="AR4867" s="152"/>
      <c r="AS4867" s="152"/>
      <c r="AT4867" s="152"/>
      <c r="AU4867" s="153"/>
      <c r="AV4867" s="479"/>
      <c r="AW4867" s="479"/>
      <c r="AX4867" s="442"/>
      <c r="AY4867" s="153"/>
      <c r="AZ4867" s="152"/>
      <c r="BA4867" s="152"/>
      <c r="BB4867" s="152"/>
      <c r="BC4867" s="152"/>
      <c r="BD4867" s="152"/>
      <c r="BE4867" s="152"/>
      <c r="BF4867" s="152"/>
      <c r="BG4867" s="152"/>
      <c r="BH4867" s="152"/>
      <c r="BI4867" s="153"/>
      <c r="BJ4867" s="153"/>
      <c r="BK4867" s="153"/>
      <c r="BL4867" s="153"/>
      <c r="BM4867" s="153"/>
      <c r="BN4867" s="153"/>
      <c r="BO4867" s="153"/>
      <c r="BP4867" s="153"/>
      <c r="BQ4867" s="153"/>
      <c r="BR4867" s="153"/>
      <c r="BS4867" s="153"/>
      <c r="BT4867" s="153"/>
      <c r="BU4867" s="153"/>
      <c r="BV4867" s="153"/>
      <c r="BW4867" s="153"/>
      <c r="BX4867" s="153"/>
      <c r="BY4867" s="153"/>
      <c r="BZ4867" s="153"/>
      <c r="CA4867" s="152"/>
      <c r="CB4867" s="152"/>
    </row>
    <row r="4868" spans="1:80" s="87" customFormat="1" ht="15" x14ac:dyDescent="0.25">
      <c r="A4868" s="152"/>
      <c r="B4868" s="683"/>
      <c r="C4868" s="683"/>
      <c r="D4868" s="698"/>
      <c r="E4868" s="215"/>
      <c r="F4868" s="215"/>
      <c r="G4868" s="153"/>
      <c r="H4868" s="153"/>
      <c r="I4868" s="153"/>
      <c r="J4868" s="153"/>
      <c r="K4868" s="153"/>
      <c r="L4868" s="656">
        <v>40</v>
      </c>
      <c r="M4868" s="666">
        <v>35159</v>
      </c>
      <c r="N4868" s="597">
        <f>0.028317*128.09</f>
        <v>3.6271245299999997</v>
      </c>
      <c r="O4868" s="604">
        <v>3.5640465266734617E-2</v>
      </c>
      <c r="P4868" s="220"/>
      <c r="Q4868" s="477"/>
      <c r="R4868" s="477">
        <v>0.11063388625592417</v>
      </c>
      <c r="S4868" s="477">
        <v>0.13649659360189575</v>
      </c>
      <c r="T4868" s="477">
        <v>6.6795023696682471E-2</v>
      </c>
      <c r="U4868" s="477">
        <v>9.6027103080568721E-2</v>
      </c>
      <c r="V4868" s="477">
        <v>0.13679280213270142</v>
      </c>
      <c r="W4868" s="477">
        <v>0.18433427132701422</v>
      </c>
      <c r="X4868" s="477">
        <v>0.25809019549763035</v>
      </c>
      <c r="Y4868" s="477">
        <v>1.083012440758294E-2</v>
      </c>
      <c r="Z4868" s="231"/>
      <c r="AA4868" s="231"/>
      <c r="AB4868" s="154">
        <v>2400</v>
      </c>
      <c r="AC4868" s="152"/>
      <c r="AD4868" s="223">
        <f>0.3048*39.6</f>
        <v>12.070080000000001</v>
      </c>
      <c r="AE4868" s="152"/>
      <c r="AF4868" s="153"/>
      <c r="AG4868" s="153"/>
      <c r="AH4868" s="346"/>
      <c r="AI4868" s="218"/>
      <c r="AJ4868" s="218"/>
      <c r="AK4868" s="153"/>
      <c r="AL4868" s="152"/>
      <c r="AM4868" s="152"/>
      <c r="AN4868" s="152"/>
      <c r="AO4868" s="152"/>
      <c r="AP4868" s="152"/>
      <c r="AQ4868" s="152"/>
      <c r="AR4868" s="152"/>
      <c r="AS4868" s="152"/>
      <c r="AT4868" s="152"/>
      <c r="AU4868" s="153"/>
      <c r="AV4868" s="479"/>
      <c r="AW4868" s="479"/>
      <c r="AX4868" s="442"/>
      <c r="AY4868" s="153"/>
      <c r="AZ4868" s="152"/>
      <c r="BA4868" s="152"/>
      <c r="BB4868" s="152"/>
      <c r="BC4868" s="152"/>
      <c r="BD4868" s="152"/>
      <c r="BE4868" s="152"/>
      <c r="BF4868" s="152"/>
      <c r="BG4868" s="152"/>
      <c r="BH4868" s="152"/>
      <c r="BI4868" s="153"/>
      <c r="BJ4868" s="153"/>
      <c r="BK4868" s="153"/>
      <c r="BL4868" s="153"/>
      <c r="BM4868" s="153"/>
      <c r="BN4868" s="153"/>
      <c r="BO4868" s="153"/>
      <c r="BP4868" s="153"/>
      <c r="BQ4868" s="153"/>
      <c r="BR4868" s="153"/>
      <c r="BS4868" s="153"/>
      <c r="BT4868" s="153"/>
      <c r="BU4868" s="153"/>
      <c r="BV4868" s="153"/>
      <c r="BW4868" s="153"/>
      <c r="BX4868" s="153"/>
      <c r="BY4868" s="153"/>
      <c r="BZ4868" s="153"/>
      <c r="CA4868" s="152"/>
      <c r="CB4868" s="152"/>
    </row>
    <row r="4869" spans="1:80" s="87" customFormat="1" ht="15" x14ac:dyDescent="0.25">
      <c r="A4869" s="152"/>
      <c r="B4869" s="683"/>
      <c r="C4869" s="683"/>
      <c r="D4869" s="698"/>
      <c r="E4869" s="215"/>
      <c r="F4869" s="215"/>
      <c r="G4869" s="153"/>
      <c r="H4869" s="153"/>
      <c r="I4869" s="153"/>
      <c r="J4869" s="153"/>
      <c r="K4869" s="153"/>
      <c r="L4869" s="656">
        <v>40</v>
      </c>
      <c r="M4869" s="666">
        <v>35159</v>
      </c>
      <c r="N4869" s="597">
        <f>0.028317*128.16</f>
        <v>3.6291067199999998</v>
      </c>
      <c r="O4869" s="604">
        <v>3.1897345460414547E-2</v>
      </c>
      <c r="P4869" s="220"/>
      <c r="Q4869" s="477"/>
      <c r="R4869" s="477">
        <v>6.4249219121692902E-2</v>
      </c>
      <c r="S4869" s="477">
        <v>7.1716691144529721E-2</v>
      </c>
      <c r="T4869" s="477">
        <v>8.6155182756552137E-2</v>
      </c>
      <c r="U4869" s="477">
        <v>0.12175495935295699</v>
      </c>
      <c r="V4869" s="477">
        <v>0.16962124816416027</v>
      </c>
      <c r="W4869" s="477">
        <v>0.21639120451771715</v>
      </c>
      <c r="X4869" s="477">
        <v>0.25532134952319879</v>
      </c>
      <c r="Y4869" s="477">
        <v>1.4790145419192024E-2</v>
      </c>
      <c r="Z4869" s="231"/>
      <c r="AA4869" s="231"/>
      <c r="AB4869" s="154">
        <v>2400</v>
      </c>
      <c r="AC4869" s="152"/>
      <c r="AD4869" s="223">
        <f>0.3048*39.6</f>
        <v>12.070080000000001</v>
      </c>
      <c r="AE4869" s="152"/>
      <c r="AF4869" s="153"/>
      <c r="AG4869" s="153"/>
      <c r="AH4869" s="346"/>
      <c r="AI4869" s="218"/>
      <c r="AJ4869" s="218"/>
      <c r="AK4869" s="153"/>
      <c r="AL4869" s="152"/>
      <c r="AM4869" s="152"/>
      <c r="AN4869" s="152"/>
      <c r="AO4869" s="152"/>
      <c r="AP4869" s="152"/>
      <c r="AQ4869" s="152"/>
      <c r="AR4869" s="152"/>
      <c r="AS4869" s="152"/>
      <c r="AT4869" s="152"/>
      <c r="AU4869" s="153"/>
      <c r="AV4869" s="479"/>
      <c r="AW4869" s="479"/>
      <c r="AX4869" s="442"/>
      <c r="AY4869" s="153"/>
      <c r="AZ4869" s="152"/>
      <c r="BA4869" s="152"/>
      <c r="BB4869" s="152"/>
      <c r="BC4869" s="152"/>
      <c r="BD4869" s="152"/>
      <c r="BE4869" s="152"/>
      <c r="BF4869" s="152"/>
      <c r="BG4869" s="152"/>
      <c r="BH4869" s="152"/>
      <c r="BI4869" s="153"/>
      <c r="BJ4869" s="153"/>
      <c r="BK4869" s="153"/>
      <c r="BL4869" s="153"/>
      <c r="BM4869" s="153"/>
      <c r="BN4869" s="153"/>
      <c r="BO4869" s="153"/>
      <c r="BP4869" s="153"/>
      <c r="BQ4869" s="153"/>
      <c r="BR4869" s="153"/>
      <c r="BS4869" s="153"/>
      <c r="BT4869" s="153"/>
      <c r="BU4869" s="153"/>
      <c r="BV4869" s="153"/>
      <c r="BW4869" s="153"/>
      <c r="BX4869" s="153"/>
      <c r="BY4869" s="153"/>
      <c r="BZ4869" s="153"/>
      <c r="CA4869" s="152"/>
      <c r="CB4869" s="152"/>
    </row>
    <row r="4870" spans="1:80" s="87" customFormat="1" ht="15" x14ac:dyDescent="0.25">
      <c r="A4870" s="152"/>
      <c r="B4870" s="683"/>
      <c r="C4870" s="683"/>
      <c r="D4870" s="698"/>
      <c r="E4870" s="215"/>
      <c r="F4870" s="215"/>
      <c r="G4870" s="153"/>
      <c r="H4870" s="153"/>
      <c r="I4870" s="153"/>
      <c r="J4870" s="153"/>
      <c r="K4870" s="153"/>
      <c r="L4870" s="656">
        <v>20</v>
      </c>
      <c r="M4870" s="666">
        <v>35163</v>
      </c>
      <c r="N4870" s="597">
        <f>0.028317*274.63</f>
        <v>7.7766977099999997</v>
      </c>
      <c r="O4870" s="604">
        <v>0.18598577176633818</v>
      </c>
      <c r="P4870" s="220"/>
      <c r="Q4870" s="477">
        <v>0.11792544319019356</v>
      </c>
      <c r="R4870" s="477">
        <v>5.4455176694208463E-2</v>
      </c>
      <c r="S4870" s="477">
        <v>6.1864308157802854E-2</v>
      </c>
      <c r="T4870" s="477">
        <v>6.9312230885604564E-2</v>
      </c>
      <c r="U4870" s="477">
        <v>8.1593545133635897E-2</v>
      </c>
      <c r="V4870" s="477">
        <v>0.10584584351604019</v>
      </c>
      <c r="W4870" s="477">
        <v>0.16447496023895419</v>
      </c>
      <c r="X4870" s="477">
        <v>0.30640443772062531</v>
      </c>
      <c r="Y4870" s="477">
        <v>3.8124054462934945E-2</v>
      </c>
      <c r="Z4870" s="231"/>
      <c r="AA4870" s="231"/>
      <c r="AB4870" s="154">
        <v>1200</v>
      </c>
      <c r="AC4870" s="152"/>
      <c r="AD4870" s="223">
        <f>0.3048*43.3</f>
        <v>13.197839999999999</v>
      </c>
      <c r="AE4870" s="152"/>
      <c r="AF4870" s="153"/>
      <c r="AG4870" s="153"/>
      <c r="AH4870" s="346"/>
      <c r="AI4870" s="218"/>
      <c r="AJ4870" s="218"/>
      <c r="AK4870" s="153"/>
      <c r="AL4870" s="152"/>
      <c r="AM4870" s="152"/>
      <c r="AN4870" s="152"/>
      <c r="AO4870" s="152"/>
      <c r="AP4870" s="152"/>
      <c r="AQ4870" s="152"/>
      <c r="AR4870" s="152"/>
      <c r="AS4870" s="152"/>
      <c r="AT4870" s="152"/>
      <c r="AU4870" s="153"/>
      <c r="AV4870" s="479"/>
      <c r="AW4870" s="479"/>
      <c r="AX4870" s="442"/>
      <c r="AY4870" s="153"/>
      <c r="AZ4870" s="152"/>
      <c r="BA4870" s="152"/>
      <c r="BB4870" s="152"/>
      <c r="BC4870" s="152"/>
      <c r="BD4870" s="152"/>
      <c r="BE4870" s="152"/>
      <c r="BF4870" s="152"/>
      <c r="BG4870" s="152"/>
      <c r="BH4870" s="152"/>
      <c r="BI4870" s="153"/>
      <c r="BJ4870" s="153"/>
      <c r="BK4870" s="153"/>
      <c r="BL4870" s="153"/>
      <c r="BM4870" s="153"/>
      <c r="BN4870" s="153"/>
      <c r="BO4870" s="153"/>
      <c r="BP4870" s="153"/>
      <c r="BQ4870" s="153"/>
      <c r="BR4870" s="153"/>
      <c r="BS4870" s="153"/>
      <c r="BT4870" s="153"/>
      <c r="BU4870" s="153"/>
      <c r="BV4870" s="153"/>
      <c r="BW4870" s="153"/>
      <c r="BX4870" s="153"/>
      <c r="BY4870" s="153"/>
      <c r="BZ4870" s="153"/>
      <c r="CA4870" s="152"/>
      <c r="CB4870" s="152"/>
    </row>
    <row r="4871" spans="1:80" s="87" customFormat="1" ht="15" x14ac:dyDescent="0.25">
      <c r="A4871" s="152"/>
      <c r="B4871" s="683"/>
      <c r="C4871" s="683"/>
      <c r="D4871" s="698"/>
      <c r="E4871" s="215"/>
      <c r="F4871" s="215"/>
      <c r="G4871" s="153"/>
      <c r="H4871" s="153"/>
      <c r="I4871" s="153"/>
      <c r="J4871" s="153"/>
      <c r="K4871" s="153"/>
      <c r="L4871" s="656">
        <v>20</v>
      </c>
      <c r="M4871" s="666">
        <v>35163</v>
      </c>
      <c r="N4871" s="597">
        <f>0.028317*269.22</f>
        <v>7.6235027400000002</v>
      </c>
      <c r="O4871" s="604">
        <v>0.20390833874806508</v>
      </c>
      <c r="P4871" s="220"/>
      <c r="Q4871" s="477">
        <v>0.19318406974440264</v>
      </c>
      <c r="R4871" s="477">
        <v>0.21016728466698748</v>
      </c>
      <c r="S4871" s="477">
        <v>7.6587222961306586E-2</v>
      </c>
      <c r="T4871" s="477">
        <v>5.8195816468057403E-2</v>
      </c>
      <c r="U4871" s="477">
        <v>7.6056497494975811E-2</v>
      </c>
      <c r="V4871" s="477">
        <v>8.2906394180418355E-2</v>
      </c>
      <c r="W4871" s="477">
        <v>0.10214696141979678</v>
      </c>
      <c r="X4871" s="477">
        <v>0.17636361063149256</v>
      </c>
      <c r="Y4871" s="477">
        <v>2.4392142432562488E-2</v>
      </c>
      <c r="Z4871" s="231"/>
      <c r="AA4871" s="231"/>
      <c r="AB4871" s="154">
        <v>1200</v>
      </c>
      <c r="AC4871" s="152"/>
      <c r="AD4871" s="223">
        <f>0.3048*43.3</f>
        <v>13.197839999999999</v>
      </c>
      <c r="AE4871" s="152"/>
      <c r="AF4871" s="153"/>
      <c r="AG4871" s="153"/>
      <c r="AH4871" s="346"/>
      <c r="AI4871" s="218"/>
      <c r="AJ4871" s="218"/>
      <c r="AK4871" s="153"/>
      <c r="AL4871" s="152"/>
      <c r="AM4871" s="152"/>
      <c r="AN4871" s="152"/>
      <c r="AO4871" s="152"/>
      <c r="AP4871" s="152"/>
      <c r="AQ4871" s="152"/>
      <c r="AR4871" s="152"/>
      <c r="AS4871" s="152"/>
      <c r="AT4871" s="152"/>
      <c r="AU4871" s="153"/>
      <c r="AV4871" s="479"/>
      <c r="AW4871" s="479"/>
      <c r="AX4871" s="442"/>
      <c r="AY4871" s="153"/>
      <c r="AZ4871" s="152"/>
      <c r="BA4871" s="152"/>
      <c r="BB4871" s="152"/>
      <c r="BC4871" s="152"/>
      <c r="BD4871" s="152"/>
      <c r="BE4871" s="152"/>
      <c r="BF4871" s="152"/>
      <c r="BG4871" s="152"/>
      <c r="BH4871" s="152"/>
      <c r="BI4871" s="153"/>
      <c r="BJ4871" s="153"/>
      <c r="BK4871" s="153"/>
      <c r="BL4871" s="153"/>
      <c r="BM4871" s="153"/>
      <c r="BN4871" s="153"/>
      <c r="BO4871" s="153"/>
      <c r="BP4871" s="153"/>
      <c r="BQ4871" s="153"/>
      <c r="BR4871" s="153"/>
      <c r="BS4871" s="153"/>
      <c r="BT4871" s="153"/>
      <c r="BU4871" s="153"/>
      <c r="BV4871" s="153"/>
      <c r="BW4871" s="153"/>
      <c r="BX4871" s="153"/>
      <c r="BY4871" s="153"/>
      <c r="BZ4871" s="153"/>
      <c r="CA4871" s="152"/>
      <c r="CB4871" s="152"/>
    </row>
    <row r="4872" spans="1:80" s="87" customFormat="1" ht="15" x14ac:dyDescent="0.25">
      <c r="A4872" s="152"/>
      <c r="B4872" s="683"/>
      <c r="C4872" s="683"/>
      <c r="D4872" s="698"/>
      <c r="E4872" s="215"/>
      <c r="F4872" s="215"/>
      <c r="G4872" s="153"/>
      <c r="H4872" s="153"/>
      <c r="I4872" s="153"/>
      <c r="J4872" s="153"/>
      <c r="K4872" s="153"/>
      <c r="L4872" s="656">
        <v>20</v>
      </c>
      <c r="M4872" s="666">
        <v>35163</v>
      </c>
      <c r="N4872" s="597">
        <f>0.028317*274.24</f>
        <v>7.76565408</v>
      </c>
      <c r="O4872" s="604">
        <v>0.23996890136061089</v>
      </c>
      <c r="P4872" s="220"/>
      <c r="Q4872" s="477">
        <v>5.9270038056056476E-2</v>
      </c>
      <c r="R4872" s="477">
        <v>9.5602598322502993E-2</v>
      </c>
      <c r="S4872" s="477">
        <v>9.7645322845118648E-2</v>
      </c>
      <c r="T4872" s="477">
        <v>0.10843853516953256</v>
      </c>
      <c r="U4872" s="477">
        <v>0.14435283357976469</v>
      </c>
      <c r="V4872" s="477">
        <v>0.13850227861314568</v>
      </c>
      <c r="W4872" s="477">
        <v>0.12738160020636496</v>
      </c>
      <c r="X4872" s="477">
        <v>0.20834022318924067</v>
      </c>
      <c r="Y4872" s="477">
        <v>2.0466570018273404E-2</v>
      </c>
      <c r="Z4872" s="231"/>
      <c r="AA4872" s="231"/>
      <c r="AB4872" s="154">
        <v>1200</v>
      </c>
      <c r="AC4872" s="152"/>
      <c r="AD4872" s="223">
        <f>0.3048*43.3</f>
        <v>13.197839999999999</v>
      </c>
      <c r="AE4872" s="152"/>
      <c r="AF4872" s="153"/>
      <c r="AG4872" s="153"/>
      <c r="AH4872" s="346"/>
      <c r="AI4872" s="218"/>
      <c r="AJ4872" s="218"/>
      <c r="AK4872" s="153"/>
      <c r="AL4872" s="152"/>
      <c r="AM4872" s="152"/>
      <c r="AN4872" s="152"/>
      <c r="AO4872" s="152"/>
      <c r="AP4872" s="152"/>
      <c r="AQ4872" s="152"/>
      <c r="AR4872" s="152"/>
      <c r="AS4872" s="152"/>
      <c r="AT4872" s="152"/>
      <c r="AU4872" s="153"/>
      <c r="AV4872" s="479"/>
      <c r="AW4872" s="479"/>
      <c r="AX4872" s="442"/>
      <c r="AY4872" s="153"/>
      <c r="AZ4872" s="152"/>
      <c r="BA4872" s="152"/>
      <c r="BB4872" s="152"/>
      <c r="BC4872" s="152"/>
      <c r="BD4872" s="152"/>
      <c r="BE4872" s="152"/>
      <c r="BF4872" s="152"/>
      <c r="BG4872" s="152"/>
      <c r="BH4872" s="152"/>
      <c r="BI4872" s="153"/>
      <c r="BJ4872" s="153"/>
      <c r="BK4872" s="153"/>
      <c r="BL4872" s="153"/>
      <c r="BM4872" s="153"/>
      <c r="BN4872" s="153"/>
      <c r="BO4872" s="153"/>
      <c r="BP4872" s="153"/>
      <c r="BQ4872" s="153"/>
      <c r="BR4872" s="153"/>
      <c r="BS4872" s="153"/>
      <c r="BT4872" s="153"/>
      <c r="BU4872" s="153"/>
      <c r="BV4872" s="153"/>
      <c r="BW4872" s="153"/>
      <c r="BX4872" s="153"/>
      <c r="BY4872" s="153"/>
      <c r="BZ4872" s="153"/>
      <c r="CA4872" s="152"/>
      <c r="CB4872" s="152"/>
    </row>
    <row r="4873" spans="1:80" s="87" customFormat="1" ht="15" x14ac:dyDescent="0.25">
      <c r="A4873" s="152"/>
      <c r="B4873" s="683"/>
      <c r="C4873" s="683"/>
      <c r="D4873" s="698"/>
      <c r="E4873" s="215"/>
      <c r="F4873" s="215"/>
      <c r="G4873" s="153"/>
      <c r="H4873" s="153"/>
      <c r="I4873" s="153"/>
      <c r="J4873" s="153"/>
      <c r="K4873" s="153"/>
      <c r="L4873" s="656">
        <v>5</v>
      </c>
      <c r="M4873" s="666">
        <v>35164</v>
      </c>
      <c r="N4873" s="597">
        <f>0.028317*337.15</f>
        <v>9.5470765499999981</v>
      </c>
      <c r="O4873" s="604">
        <v>0.49991120616151319</v>
      </c>
      <c r="P4873" s="220"/>
      <c r="Q4873" s="477">
        <v>5.7982277071541244E-2</v>
      </c>
      <c r="R4873" s="477">
        <v>6.3746868330704268E-2</v>
      </c>
      <c r="S4873" s="477">
        <v>5.4293866567690446E-2</v>
      </c>
      <c r="T4873" s="477">
        <v>5.584810244038229E-2</v>
      </c>
      <c r="U4873" s="477">
        <v>8.8243481488354814E-2</v>
      </c>
      <c r="V4873" s="477">
        <v>9.1398348334415874E-2</v>
      </c>
      <c r="W4873" s="477">
        <v>0.15447248770529831</v>
      </c>
      <c r="X4873" s="477">
        <v>0.40216433144659924</v>
      </c>
      <c r="Y4873" s="477">
        <v>3.1850236615013454E-2</v>
      </c>
      <c r="Z4873" s="231"/>
      <c r="AA4873" s="231"/>
      <c r="AB4873" s="154">
        <v>300</v>
      </c>
      <c r="AC4873" s="152"/>
      <c r="AD4873" s="223">
        <f>0.3048*43.5</f>
        <v>13.258800000000001</v>
      </c>
      <c r="AE4873" s="152"/>
      <c r="AF4873" s="153"/>
      <c r="AG4873" s="153"/>
      <c r="AH4873" s="346"/>
      <c r="AI4873" s="218"/>
      <c r="AJ4873" s="218"/>
      <c r="AK4873" s="153"/>
      <c r="AL4873" s="152"/>
      <c r="AM4873" s="152"/>
      <c r="AN4873" s="152"/>
      <c r="AO4873" s="152"/>
      <c r="AP4873" s="152"/>
      <c r="AQ4873" s="152"/>
      <c r="AR4873" s="152"/>
      <c r="AS4873" s="152"/>
      <c r="AT4873" s="152"/>
      <c r="AU4873" s="153"/>
      <c r="AV4873" s="479"/>
      <c r="AW4873" s="479"/>
      <c r="AX4873" s="442"/>
      <c r="AY4873" s="153"/>
      <c r="AZ4873" s="152"/>
      <c r="BA4873" s="152"/>
      <c r="BB4873" s="152"/>
      <c r="BC4873" s="152"/>
      <c r="BD4873" s="152"/>
      <c r="BE4873" s="152"/>
      <c r="BF4873" s="152"/>
      <c r="BG4873" s="152"/>
      <c r="BH4873" s="152"/>
      <c r="BI4873" s="153"/>
      <c r="BJ4873" s="153"/>
      <c r="BK4873" s="153"/>
      <c r="BL4873" s="153"/>
      <c r="BM4873" s="153"/>
      <c r="BN4873" s="153"/>
      <c r="BO4873" s="153"/>
      <c r="BP4873" s="153"/>
      <c r="BQ4873" s="153"/>
      <c r="BR4873" s="153"/>
      <c r="BS4873" s="153"/>
      <c r="BT4873" s="153"/>
      <c r="BU4873" s="153"/>
      <c r="BV4873" s="153"/>
      <c r="BW4873" s="153"/>
      <c r="BX4873" s="153"/>
      <c r="BY4873" s="153"/>
      <c r="BZ4873" s="153"/>
      <c r="CA4873" s="152"/>
      <c r="CB4873" s="152"/>
    </row>
    <row r="4874" spans="1:80" s="87" customFormat="1" ht="15" x14ac:dyDescent="0.25">
      <c r="A4874" s="152"/>
      <c r="B4874" s="683"/>
      <c r="C4874" s="683"/>
      <c r="D4874" s="698"/>
      <c r="E4874" s="215"/>
      <c r="F4874" s="215"/>
      <c r="G4874" s="153"/>
      <c r="H4874" s="153"/>
      <c r="I4874" s="153"/>
      <c r="J4874" s="153"/>
      <c r="K4874" s="153"/>
      <c r="L4874" s="656">
        <v>10</v>
      </c>
      <c r="M4874" s="666">
        <v>35164</v>
      </c>
      <c r="N4874" s="597">
        <f>0.028317*317.48</f>
        <v>8.9900811600000008</v>
      </c>
      <c r="O4874" s="604">
        <v>0.16979040890814359</v>
      </c>
      <c r="P4874" s="220"/>
      <c r="Q4874" s="477">
        <v>0.17155297532656025</v>
      </c>
      <c r="R4874" s="477">
        <v>4.13899086485102E-2</v>
      </c>
      <c r="S4874" s="477">
        <v>6.0701784342183894E-2</v>
      </c>
      <c r="T4874" s="477">
        <v>4.4190215999316995E-2</v>
      </c>
      <c r="U4874" s="477">
        <v>5.8311278067104927E-2</v>
      </c>
      <c r="V4874" s="477">
        <v>8.6468026978570825E-2</v>
      </c>
      <c r="W4874" s="477">
        <v>0.13782976180312473</v>
      </c>
      <c r="X4874" s="477">
        <v>0.36402288056006149</v>
      </c>
      <c r="Y4874" s="477">
        <v>3.553316827456672E-2</v>
      </c>
      <c r="Z4874" s="231"/>
      <c r="AA4874" s="231"/>
      <c r="AB4874" s="154">
        <v>600</v>
      </c>
      <c r="AC4874" s="152"/>
      <c r="AD4874" s="223">
        <f>0.3048*43.5</f>
        <v>13.258800000000001</v>
      </c>
      <c r="AE4874" s="152"/>
      <c r="AF4874" s="153"/>
      <c r="AG4874" s="153"/>
      <c r="AH4874" s="346"/>
      <c r="AI4874" s="218"/>
      <c r="AJ4874" s="218"/>
      <c r="AK4874" s="153"/>
      <c r="AL4874" s="152"/>
      <c r="AM4874" s="152"/>
      <c r="AN4874" s="152"/>
      <c r="AO4874" s="152"/>
      <c r="AP4874" s="152"/>
      <c r="AQ4874" s="152"/>
      <c r="AR4874" s="152"/>
      <c r="AS4874" s="152"/>
      <c r="AT4874" s="152"/>
      <c r="AU4874" s="153"/>
      <c r="AV4874" s="479"/>
      <c r="AW4874" s="479"/>
      <c r="AX4874" s="442"/>
      <c r="AY4874" s="153"/>
      <c r="AZ4874" s="152"/>
      <c r="BA4874" s="152"/>
      <c r="BB4874" s="152"/>
      <c r="BC4874" s="152"/>
      <c r="BD4874" s="152"/>
      <c r="BE4874" s="152"/>
      <c r="BF4874" s="152"/>
      <c r="BG4874" s="152"/>
      <c r="BH4874" s="152"/>
      <c r="BI4874" s="153"/>
      <c r="BJ4874" s="153"/>
      <c r="BK4874" s="153"/>
      <c r="BL4874" s="153"/>
      <c r="BM4874" s="153"/>
      <c r="BN4874" s="153"/>
      <c r="BO4874" s="153"/>
      <c r="BP4874" s="153"/>
      <c r="BQ4874" s="153"/>
      <c r="BR4874" s="153"/>
      <c r="BS4874" s="153"/>
      <c r="BT4874" s="153"/>
      <c r="BU4874" s="153"/>
      <c r="BV4874" s="153"/>
      <c r="BW4874" s="153"/>
      <c r="BX4874" s="153"/>
      <c r="BY4874" s="153"/>
      <c r="BZ4874" s="153"/>
      <c r="CA4874" s="152"/>
      <c r="CB4874" s="152"/>
    </row>
    <row r="4875" spans="1:80" s="87" customFormat="1" ht="15" x14ac:dyDescent="0.25">
      <c r="A4875" s="152"/>
      <c r="B4875" s="683"/>
      <c r="C4875" s="683"/>
      <c r="D4875" s="698"/>
      <c r="E4875" s="215"/>
      <c r="F4875" s="215"/>
      <c r="G4875" s="153"/>
      <c r="H4875" s="153"/>
      <c r="I4875" s="153"/>
      <c r="J4875" s="153"/>
      <c r="K4875" s="153"/>
      <c r="L4875" s="656">
        <v>20</v>
      </c>
      <c r="M4875" s="666">
        <v>35171</v>
      </c>
      <c r="N4875" s="597">
        <f>0.028317*282.29</f>
        <v>7.9936059300000002</v>
      </c>
      <c r="O4875" s="604">
        <v>0.14207305951410126</v>
      </c>
      <c r="P4875" s="220"/>
      <c r="Q4875" s="477">
        <v>0.10121647070799612</v>
      </c>
      <c r="R4875" s="477">
        <v>0.1578867002595816</v>
      </c>
      <c r="S4875" s="477">
        <v>6.77864304982949E-2</v>
      </c>
      <c r="T4875" s="477">
        <v>6.9394818547360917E-2</v>
      </c>
      <c r="U4875" s="477">
        <v>0.12326563851987579</v>
      </c>
      <c r="V4875" s="477">
        <v>0.13039140835751004</v>
      </c>
      <c r="W4875" s="477">
        <v>0.11895963760370538</v>
      </c>
      <c r="X4875" s="477">
        <v>0.21675573878963708</v>
      </c>
      <c r="Y4875" s="477">
        <v>1.434315671603807E-2</v>
      </c>
      <c r="Z4875" s="231"/>
      <c r="AA4875" s="231"/>
      <c r="AB4875" s="154">
        <v>1200</v>
      </c>
      <c r="AC4875" s="152"/>
      <c r="AD4875" s="223">
        <f>0.3048*43.4</f>
        <v>13.22832</v>
      </c>
      <c r="AE4875" s="152"/>
      <c r="AF4875" s="153"/>
      <c r="AG4875" s="153"/>
      <c r="AH4875" s="346"/>
      <c r="AI4875" s="218"/>
      <c r="AJ4875" s="218"/>
      <c r="AK4875" s="153"/>
      <c r="AL4875" s="152"/>
      <c r="AM4875" s="152"/>
      <c r="AN4875" s="152"/>
      <c r="AO4875" s="152"/>
      <c r="AP4875" s="152"/>
      <c r="AQ4875" s="152"/>
      <c r="AR4875" s="152"/>
      <c r="AS4875" s="152"/>
      <c r="AT4875" s="152"/>
      <c r="AU4875" s="153"/>
      <c r="AV4875" s="479"/>
      <c r="AW4875" s="479"/>
      <c r="AX4875" s="442"/>
      <c r="AY4875" s="153"/>
      <c r="AZ4875" s="152"/>
      <c r="BA4875" s="152"/>
      <c r="BB4875" s="152"/>
      <c r="BC4875" s="152"/>
      <c r="BD4875" s="152"/>
      <c r="BE4875" s="152"/>
      <c r="BF4875" s="152"/>
      <c r="BG4875" s="152"/>
      <c r="BH4875" s="152"/>
      <c r="BI4875" s="153"/>
      <c r="BJ4875" s="153"/>
      <c r="BK4875" s="153"/>
      <c r="BL4875" s="153"/>
      <c r="BM4875" s="153"/>
      <c r="BN4875" s="153"/>
      <c r="BO4875" s="153"/>
      <c r="BP4875" s="153"/>
      <c r="BQ4875" s="153"/>
      <c r="BR4875" s="153"/>
      <c r="BS4875" s="153"/>
      <c r="BT4875" s="153"/>
      <c r="BU4875" s="153"/>
      <c r="BV4875" s="153"/>
      <c r="BW4875" s="153"/>
      <c r="BX4875" s="153"/>
      <c r="BY4875" s="153"/>
      <c r="BZ4875" s="153"/>
      <c r="CA4875" s="152"/>
      <c r="CB4875" s="152"/>
    </row>
    <row r="4876" spans="1:80" s="87" customFormat="1" ht="15" x14ac:dyDescent="0.25">
      <c r="A4876" s="152"/>
      <c r="B4876" s="683"/>
      <c r="C4876" s="683"/>
      <c r="D4876" s="698"/>
      <c r="E4876" s="215"/>
      <c r="F4876" s="215"/>
      <c r="G4876" s="153"/>
      <c r="H4876" s="153"/>
      <c r="I4876" s="153"/>
      <c r="J4876" s="153"/>
      <c r="K4876" s="153"/>
      <c r="L4876" s="656">
        <v>20</v>
      </c>
      <c r="M4876" s="666">
        <v>35172</v>
      </c>
      <c r="N4876" s="597">
        <f>0.028317*230.09</f>
        <v>6.5154585300000001</v>
      </c>
      <c r="O4876" s="604">
        <v>5.27991052882546E-2</v>
      </c>
      <c r="P4876" s="220"/>
      <c r="Q4876" s="477"/>
      <c r="R4876" s="477">
        <v>0.15433011588202081</v>
      </c>
      <c r="S4876" s="477">
        <v>7.26480789395854E-2</v>
      </c>
      <c r="T4876" s="477">
        <v>2.8526873336380501E-2</v>
      </c>
      <c r="U4876" s="477">
        <v>6.5980157556529445E-2</v>
      </c>
      <c r="V4876" s="477">
        <v>0.1124942865592988</v>
      </c>
      <c r="W4876" s="477">
        <v>0.20592584626139329</v>
      </c>
      <c r="X4876" s="477">
        <v>0.34455408275750815</v>
      </c>
      <c r="Y4876" s="477">
        <v>1.554055870728363E-2</v>
      </c>
      <c r="Z4876" s="231"/>
      <c r="AA4876" s="231"/>
      <c r="AB4876" s="154">
        <v>1200</v>
      </c>
      <c r="AC4876" s="152"/>
      <c r="AD4876" s="223">
        <f>0.3048*42.6</f>
        <v>12.984480000000001</v>
      </c>
      <c r="AE4876" s="152"/>
      <c r="AF4876" s="153"/>
      <c r="AG4876" s="153"/>
      <c r="AH4876" s="346"/>
      <c r="AI4876" s="218"/>
      <c r="AJ4876" s="218"/>
      <c r="AK4876" s="153"/>
      <c r="AL4876" s="152"/>
      <c r="AM4876" s="152"/>
      <c r="AN4876" s="152"/>
      <c r="AO4876" s="152"/>
      <c r="AP4876" s="152"/>
      <c r="AQ4876" s="152"/>
      <c r="AR4876" s="152"/>
      <c r="AS4876" s="152"/>
      <c r="AT4876" s="152"/>
      <c r="AU4876" s="153"/>
      <c r="AV4876" s="479"/>
      <c r="AW4876" s="479"/>
      <c r="AX4876" s="442"/>
      <c r="AY4876" s="153"/>
      <c r="AZ4876" s="152"/>
      <c r="BA4876" s="152"/>
      <c r="BB4876" s="152"/>
      <c r="BC4876" s="152"/>
      <c r="BD4876" s="152"/>
      <c r="BE4876" s="152"/>
      <c r="BF4876" s="152"/>
      <c r="BG4876" s="152"/>
      <c r="BH4876" s="152"/>
      <c r="BI4876" s="153"/>
      <c r="BJ4876" s="153"/>
      <c r="BK4876" s="153"/>
      <c r="BL4876" s="153"/>
      <c r="BM4876" s="153"/>
      <c r="BN4876" s="153"/>
      <c r="BO4876" s="153"/>
      <c r="BP4876" s="153"/>
      <c r="BQ4876" s="153"/>
      <c r="BR4876" s="153"/>
      <c r="BS4876" s="153"/>
      <c r="BT4876" s="153"/>
      <c r="BU4876" s="153"/>
      <c r="BV4876" s="153"/>
      <c r="BW4876" s="153"/>
      <c r="BX4876" s="153"/>
      <c r="BY4876" s="153"/>
      <c r="BZ4876" s="153"/>
      <c r="CA4876" s="152"/>
      <c r="CB4876" s="152"/>
    </row>
    <row r="4877" spans="1:80" s="87" customFormat="1" ht="15" x14ac:dyDescent="0.25">
      <c r="A4877" s="152"/>
      <c r="B4877" s="683"/>
      <c r="C4877" s="683"/>
      <c r="D4877" s="698"/>
      <c r="E4877" s="215"/>
      <c r="F4877" s="215"/>
      <c r="G4877" s="153"/>
      <c r="H4877" s="153"/>
      <c r="I4877" s="153"/>
      <c r="J4877" s="153"/>
      <c r="K4877" s="153"/>
      <c r="L4877" s="656">
        <v>10</v>
      </c>
      <c r="M4877" s="666">
        <v>35180</v>
      </c>
      <c r="N4877" s="597">
        <f>0.028317*400.75</f>
        <v>11.34803775</v>
      </c>
      <c r="O4877" s="604">
        <v>0.32767337045758294</v>
      </c>
      <c r="P4877" s="220"/>
      <c r="Q4877" s="477">
        <v>0.17768967703338601</v>
      </c>
      <c r="R4877" s="477">
        <v>0.20400382166742562</v>
      </c>
      <c r="S4877" s="477">
        <v>0.10722098702597482</v>
      </c>
      <c r="T4877" s="477">
        <v>0.11623047869063244</v>
      </c>
      <c r="U4877" s="477">
        <v>0.15509005027099906</v>
      </c>
      <c r="V4877" s="477">
        <v>0.10947112765976444</v>
      </c>
      <c r="W4877" s="477">
        <v>4.698507942460689E-2</v>
      </c>
      <c r="X4877" s="477">
        <v>7.8156670506192349E-2</v>
      </c>
      <c r="Y4877" s="477">
        <v>5.1521077210182776E-3</v>
      </c>
      <c r="Z4877" s="231"/>
      <c r="AA4877" s="231"/>
      <c r="AB4877" s="154">
        <v>600</v>
      </c>
      <c r="AC4877" s="152"/>
      <c r="AD4877" s="223">
        <f>0.3048*43.9</f>
        <v>13.38072</v>
      </c>
      <c r="AE4877" s="152"/>
      <c r="AF4877" s="153"/>
      <c r="AG4877" s="153"/>
      <c r="AH4877" s="346"/>
      <c r="AI4877" s="218"/>
      <c r="AJ4877" s="218"/>
      <c r="AK4877" s="153"/>
      <c r="AL4877" s="152"/>
      <c r="AM4877" s="152"/>
      <c r="AN4877" s="152"/>
      <c r="AO4877" s="152"/>
      <c r="AP4877" s="152"/>
      <c r="AQ4877" s="152"/>
      <c r="AR4877" s="152"/>
      <c r="AS4877" s="152"/>
      <c r="AT4877" s="152"/>
      <c r="AU4877" s="153"/>
      <c r="AV4877" s="479"/>
      <c r="AW4877" s="479"/>
      <c r="AX4877" s="442"/>
      <c r="AY4877" s="153"/>
      <c r="AZ4877" s="152"/>
      <c r="BA4877" s="152"/>
      <c r="BB4877" s="152"/>
      <c r="BC4877" s="152"/>
      <c r="BD4877" s="152"/>
      <c r="BE4877" s="152"/>
      <c r="BF4877" s="152"/>
      <c r="BG4877" s="152"/>
      <c r="BH4877" s="152"/>
      <c r="BI4877" s="153"/>
      <c r="BJ4877" s="153"/>
      <c r="BK4877" s="153"/>
      <c r="BL4877" s="153"/>
      <c r="BM4877" s="153"/>
      <c r="BN4877" s="153"/>
      <c r="BO4877" s="153"/>
      <c r="BP4877" s="153"/>
      <c r="BQ4877" s="153"/>
      <c r="BR4877" s="153"/>
      <c r="BS4877" s="153"/>
      <c r="BT4877" s="153"/>
      <c r="BU4877" s="153"/>
      <c r="BV4877" s="153"/>
      <c r="BW4877" s="153"/>
      <c r="BX4877" s="153"/>
      <c r="BY4877" s="153"/>
      <c r="BZ4877" s="153"/>
      <c r="CA4877" s="152"/>
      <c r="CB4877" s="152"/>
    </row>
    <row r="4878" spans="1:80" s="87" customFormat="1" ht="15" x14ac:dyDescent="0.25">
      <c r="A4878" s="152"/>
      <c r="B4878" s="683"/>
      <c r="C4878" s="683"/>
      <c r="D4878" s="698"/>
      <c r="E4878" s="215"/>
      <c r="F4878" s="215"/>
      <c r="G4878" s="153"/>
      <c r="H4878" s="153"/>
      <c r="I4878" s="153"/>
      <c r="J4878" s="153"/>
      <c r="K4878" s="153"/>
      <c r="L4878" s="656">
        <v>10</v>
      </c>
      <c r="M4878" s="666">
        <v>35180</v>
      </c>
      <c r="N4878" s="597">
        <f>0.028317*400.75</f>
        <v>11.34803775</v>
      </c>
      <c r="O4878" s="604">
        <v>0.44618443695624271</v>
      </c>
      <c r="P4878" s="220"/>
      <c r="Q4878" s="477">
        <v>0.26361001455756794</v>
      </c>
      <c r="R4878" s="477">
        <v>0.20524859342417606</v>
      </c>
      <c r="S4878" s="477">
        <v>0.10025049508846018</v>
      </c>
      <c r="T4878" s="477">
        <v>0.11002767249406549</v>
      </c>
      <c r="U4878" s="477">
        <v>0.12878857427638396</v>
      </c>
      <c r="V4878" s="477">
        <v>8.3266665792338268E-2</v>
      </c>
      <c r="W4878" s="477">
        <v>3.9554617109732584E-2</v>
      </c>
      <c r="X4878" s="477">
        <v>6.5941848417684162E-2</v>
      </c>
      <c r="Y4878" s="477">
        <v>3.3115188395913386E-3</v>
      </c>
      <c r="Z4878" s="231"/>
      <c r="AA4878" s="231"/>
      <c r="AB4878" s="154">
        <v>600</v>
      </c>
      <c r="AC4878" s="152"/>
      <c r="AD4878" s="223">
        <f>0.3048*43.9</f>
        <v>13.38072</v>
      </c>
      <c r="AE4878" s="152"/>
      <c r="AF4878" s="153"/>
      <c r="AG4878" s="153"/>
      <c r="AH4878" s="346"/>
      <c r="AI4878" s="218"/>
      <c r="AJ4878" s="218"/>
      <c r="AK4878" s="153"/>
      <c r="AL4878" s="152"/>
      <c r="AM4878" s="152"/>
      <c r="AN4878" s="152"/>
      <c r="AO4878" s="152"/>
      <c r="AP4878" s="152"/>
      <c r="AQ4878" s="152"/>
      <c r="AR4878" s="152"/>
      <c r="AS4878" s="152"/>
      <c r="AT4878" s="152"/>
      <c r="AU4878" s="153"/>
      <c r="AV4878" s="479"/>
      <c r="AW4878" s="479"/>
      <c r="AX4878" s="442"/>
      <c r="AY4878" s="153"/>
      <c r="AZ4878" s="152"/>
      <c r="BA4878" s="152"/>
      <c r="BB4878" s="152"/>
      <c r="BC4878" s="152"/>
      <c r="BD4878" s="152"/>
      <c r="BE4878" s="152"/>
      <c r="BF4878" s="152"/>
      <c r="BG4878" s="152"/>
      <c r="BH4878" s="152"/>
      <c r="BI4878" s="153"/>
      <c r="BJ4878" s="153"/>
      <c r="BK4878" s="153"/>
      <c r="BL4878" s="153"/>
      <c r="BM4878" s="153"/>
      <c r="BN4878" s="153"/>
      <c r="BO4878" s="153"/>
      <c r="BP4878" s="153"/>
      <c r="BQ4878" s="153"/>
      <c r="BR4878" s="153"/>
      <c r="BS4878" s="153"/>
      <c r="BT4878" s="153"/>
      <c r="BU4878" s="153"/>
      <c r="BV4878" s="153"/>
      <c r="BW4878" s="153"/>
      <c r="BX4878" s="153"/>
      <c r="BY4878" s="153"/>
      <c r="BZ4878" s="153"/>
      <c r="CA4878" s="152"/>
      <c r="CB4878" s="152"/>
    </row>
    <row r="4879" spans="1:80" s="87" customFormat="1" ht="15" x14ac:dyDescent="0.25">
      <c r="A4879" s="152"/>
      <c r="B4879" s="683"/>
      <c r="C4879" s="683"/>
      <c r="D4879" s="698"/>
      <c r="E4879" s="215"/>
      <c r="F4879" s="215"/>
      <c r="G4879" s="153"/>
      <c r="H4879" s="153"/>
      <c r="I4879" s="153"/>
      <c r="J4879" s="153"/>
      <c r="K4879" s="153"/>
      <c r="L4879" s="656">
        <v>10</v>
      </c>
      <c r="M4879" s="666">
        <v>35185</v>
      </c>
      <c r="N4879" s="597">
        <f>0.028317*342.97</f>
        <v>9.7118814899999997</v>
      </c>
      <c r="O4879" s="604">
        <v>0.17146519454524864</v>
      </c>
      <c r="P4879" s="220"/>
      <c r="Q4879" s="477">
        <v>0.31763826606875933</v>
      </c>
      <c r="R4879" s="477">
        <v>0.16056869139828781</v>
      </c>
      <c r="S4879" s="477">
        <v>4.7170131811387413E-2</v>
      </c>
      <c r="T4879" s="477">
        <v>7.3923087376002172E-2</v>
      </c>
      <c r="U4879" s="477">
        <v>0.12364111971735291</v>
      </c>
      <c r="V4879" s="477">
        <v>9.6803234135072705E-2</v>
      </c>
      <c r="W4879" s="477">
        <v>5.3777687185758934E-2</v>
      </c>
      <c r="X4879" s="477">
        <v>0.11981926892240793</v>
      </c>
      <c r="Y4879" s="477">
        <v>6.658513384970784E-3</v>
      </c>
      <c r="Z4879" s="231"/>
      <c r="AA4879" s="231"/>
      <c r="AB4879" s="154">
        <v>600</v>
      </c>
      <c r="AC4879" s="152"/>
      <c r="AD4879" s="223">
        <f>0.3048*43.7</f>
        <v>13.319760000000002</v>
      </c>
      <c r="AE4879" s="152"/>
      <c r="AF4879" s="153"/>
      <c r="AG4879" s="153"/>
      <c r="AH4879" s="346"/>
      <c r="AI4879" s="218"/>
      <c r="AJ4879" s="218"/>
      <c r="AK4879" s="153"/>
      <c r="AL4879" s="152"/>
      <c r="AM4879" s="152"/>
      <c r="AN4879" s="152"/>
      <c r="AO4879" s="152"/>
      <c r="AP4879" s="152"/>
      <c r="AQ4879" s="152"/>
      <c r="AR4879" s="152"/>
      <c r="AS4879" s="152"/>
      <c r="AT4879" s="152"/>
      <c r="AU4879" s="153"/>
      <c r="AV4879" s="479"/>
      <c r="AW4879" s="479"/>
      <c r="AX4879" s="442"/>
      <c r="AY4879" s="153"/>
      <c r="AZ4879" s="152"/>
      <c r="BA4879" s="152"/>
      <c r="BB4879" s="152"/>
      <c r="BC4879" s="152"/>
      <c r="BD4879" s="152"/>
      <c r="BE4879" s="152"/>
      <c r="BF4879" s="152"/>
      <c r="BG4879" s="152"/>
      <c r="BH4879" s="152"/>
      <c r="BI4879" s="153"/>
      <c r="BJ4879" s="153"/>
      <c r="BK4879" s="153"/>
      <c r="BL4879" s="153"/>
      <c r="BM4879" s="153"/>
      <c r="BN4879" s="153"/>
      <c r="BO4879" s="153"/>
      <c r="BP4879" s="153"/>
      <c r="BQ4879" s="153"/>
      <c r="BR4879" s="153"/>
      <c r="BS4879" s="153"/>
      <c r="BT4879" s="153"/>
      <c r="BU4879" s="153"/>
      <c r="BV4879" s="153"/>
      <c r="BW4879" s="153"/>
      <c r="BX4879" s="153"/>
      <c r="BY4879" s="153"/>
      <c r="BZ4879" s="153"/>
      <c r="CA4879" s="152"/>
      <c r="CB4879" s="152"/>
    </row>
    <row r="4880" spans="1:80" s="87" customFormat="1" ht="15" x14ac:dyDescent="0.25">
      <c r="A4880" s="152"/>
      <c r="B4880" s="683"/>
      <c r="C4880" s="683"/>
      <c r="D4880" s="698"/>
      <c r="E4880" s="215"/>
      <c r="F4880" s="215"/>
      <c r="G4880" s="153"/>
      <c r="H4880" s="153"/>
      <c r="I4880" s="153"/>
      <c r="J4880" s="153"/>
      <c r="K4880" s="153"/>
      <c r="L4880" s="656">
        <v>40</v>
      </c>
      <c r="M4880" s="666">
        <v>35194</v>
      </c>
      <c r="N4880" s="597">
        <f>0.028317*235.34</f>
        <v>6.6641227799999996</v>
      </c>
      <c r="O4880" s="604">
        <v>5.7760265099388371E-2</v>
      </c>
      <c r="P4880" s="220"/>
      <c r="Q4880" s="477">
        <v>8.8834945504922325E-2</v>
      </c>
      <c r="R4880" s="477">
        <v>0.17731435507006507</v>
      </c>
      <c r="S4880" s="477">
        <v>0.10078830899751123</v>
      </c>
      <c r="T4880" s="477">
        <v>7.8928978631064017E-2</v>
      </c>
      <c r="U4880" s="477">
        <v>8.0436941410129095E-2</v>
      </c>
      <c r="V4880" s="477">
        <v>9.0894601983645337E-2</v>
      </c>
      <c r="W4880" s="477">
        <v>0.15436389716429436</v>
      </c>
      <c r="X4880" s="477">
        <v>0.22050584182328636</v>
      </c>
      <c r="Y4880" s="477">
        <v>7.9321294150820794E-3</v>
      </c>
      <c r="Z4880" s="231"/>
      <c r="AA4880" s="231"/>
      <c r="AB4880" s="154">
        <v>2400</v>
      </c>
      <c r="AC4880" s="152"/>
      <c r="AD4880" s="223">
        <f>0.3048*42.5</f>
        <v>12.954000000000001</v>
      </c>
      <c r="AE4880" s="152"/>
      <c r="AF4880" s="153"/>
      <c r="AG4880" s="153"/>
      <c r="AH4880" s="346"/>
      <c r="AI4880" s="218"/>
      <c r="AJ4880" s="218"/>
      <c r="AK4880" s="153"/>
      <c r="AL4880" s="152"/>
      <c r="AM4880" s="152"/>
      <c r="AN4880" s="152"/>
      <c r="AO4880" s="152"/>
      <c r="AP4880" s="152"/>
      <c r="AQ4880" s="152"/>
      <c r="AR4880" s="152"/>
      <c r="AS4880" s="152"/>
      <c r="AT4880" s="152"/>
      <c r="AU4880" s="153"/>
      <c r="AV4880" s="479"/>
      <c r="AW4880" s="479"/>
      <c r="AX4880" s="442"/>
      <c r="AY4880" s="153"/>
      <c r="AZ4880" s="152"/>
      <c r="BA4880" s="152"/>
      <c r="BB4880" s="152"/>
      <c r="BC4880" s="152"/>
      <c r="BD4880" s="152"/>
      <c r="BE4880" s="152"/>
      <c r="BF4880" s="152"/>
      <c r="BG4880" s="152"/>
      <c r="BH4880" s="152"/>
      <c r="BI4880" s="153"/>
      <c r="BJ4880" s="153"/>
      <c r="BK4880" s="153"/>
      <c r="BL4880" s="153"/>
      <c r="BM4880" s="153"/>
      <c r="BN4880" s="153"/>
      <c r="BO4880" s="153"/>
      <c r="BP4880" s="153"/>
      <c r="BQ4880" s="153"/>
      <c r="BR4880" s="153"/>
      <c r="BS4880" s="153"/>
      <c r="BT4880" s="153"/>
      <c r="BU4880" s="153"/>
      <c r="BV4880" s="153"/>
      <c r="BW4880" s="153"/>
      <c r="BX4880" s="153"/>
      <c r="BY4880" s="153"/>
      <c r="BZ4880" s="153"/>
      <c r="CA4880" s="152"/>
      <c r="CB4880" s="152"/>
    </row>
    <row r="4881" spans="1:80" s="87" customFormat="1" ht="15" x14ac:dyDescent="0.25">
      <c r="A4881" s="152"/>
      <c r="B4881" s="683"/>
      <c r="C4881" s="683"/>
      <c r="D4881" s="698"/>
      <c r="E4881" s="215"/>
      <c r="F4881" s="215"/>
      <c r="G4881" s="153"/>
      <c r="H4881" s="153"/>
      <c r="I4881" s="153"/>
      <c r="J4881" s="153"/>
      <c r="K4881" s="153"/>
      <c r="L4881" s="656">
        <v>10</v>
      </c>
      <c r="M4881" s="666">
        <v>35207</v>
      </c>
      <c r="N4881" s="597">
        <f>0.028317*354.37</f>
        <v>10.03469529</v>
      </c>
      <c r="O4881" s="604">
        <v>0.14478661759806699</v>
      </c>
      <c r="P4881" s="220"/>
      <c r="Q4881" s="477"/>
      <c r="R4881" s="477">
        <v>1.6233504988735117E-2</v>
      </c>
      <c r="S4881" s="477">
        <v>0.19508368200836823</v>
      </c>
      <c r="T4881" s="477">
        <v>0.16476906984229162</v>
      </c>
      <c r="U4881" s="477">
        <v>0.16474895397489542</v>
      </c>
      <c r="V4881" s="477">
        <v>0.1391816865143225</v>
      </c>
      <c r="W4881" s="477">
        <v>0.10922915996137754</v>
      </c>
      <c r="X4881" s="477">
        <v>0.20047473447055039</v>
      </c>
      <c r="Y4881" s="477">
        <v>1.0279208239459287E-2</v>
      </c>
      <c r="Z4881" s="231"/>
      <c r="AA4881" s="231"/>
      <c r="AB4881" s="154">
        <v>600</v>
      </c>
      <c r="AC4881" s="152"/>
      <c r="AD4881" s="223">
        <f>0.3048*43.7</f>
        <v>13.319760000000002</v>
      </c>
      <c r="AE4881" s="152"/>
      <c r="AF4881" s="153"/>
      <c r="AG4881" s="153"/>
      <c r="AH4881" s="346"/>
      <c r="AI4881" s="218"/>
      <c r="AJ4881" s="218"/>
      <c r="AK4881" s="153"/>
      <c r="AL4881" s="152"/>
      <c r="AM4881" s="152"/>
      <c r="AN4881" s="152"/>
      <c r="AO4881" s="152"/>
      <c r="AP4881" s="152"/>
      <c r="AQ4881" s="152"/>
      <c r="AR4881" s="152"/>
      <c r="AS4881" s="152"/>
      <c r="AT4881" s="152"/>
      <c r="AU4881" s="153"/>
      <c r="AV4881" s="479"/>
      <c r="AW4881" s="479"/>
      <c r="AX4881" s="442"/>
      <c r="AY4881" s="153"/>
      <c r="AZ4881" s="152"/>
      <c r="BA4881" s="152"/>
      <c r="BB4881" s="152"/>
      <c r="BC4881" s="152"/>
      <c r="BD4881" s="152"/>
      <c r="BE4881" s="152"/>
      <c r="BF4881" s="152"/>
      <c r="BG4881" s="152"/>
      <c r="BH4881" s="152"/>
      <c r="BI4881" s="153"/>
      <c r="BJ4881" s="153"/>
      <c r="BK4881" s="153"/>
      <c r="BL4881" s="153"/>
      <c r="BM4881" s="153"/>
      <c r="BN4881" s="153"/>
      <c r="BO4881" s="153"/>
      <c r="BP4881" s="153"/>
      <c r="BQ4881" s="153"/>
      <c r="BR4881" s="153"/>
      <c r="BS4881" s="153"/>
      <c r="BT4881" s="153"/>
      <c r="BU4881" s="153"/>
      <c r="BV4881" s="153"/>
      <c r="BW4881" s="153"/>
      <c r="BX4881" s="153"/>
      <c r="BY4881" s="153"/>
      <c r="BZ4881" s="153"/>
      <c r="CA4881" s="152"/>
      <c r="CB4881" s="152"/>
    </row>
    <row r="4882" spans="1:80" s="87" customFormat="1" ht="15" x14ac:dyDescent="0.25">
      <c r="A4882" s="152"/>
      <c r="B4882" s="683"/>
      <c r="C4882" s="683"/>
      <c r="D4882" s="698"/>
      <c r="E4882" s="215"/>
      <c r="F4882" s="215"/>
      <c r="G4882" s="153"/>
      <c r="H4882" s="153"/>
      <c r="I4882" s="153"/>
      <c r="J4882" s="153"/>
      <c r="K4882" s="153"/>
      <c r="L4882" s="656">
        <v>10</v>
      </c>
      <c r="M4882" s="666">
        <v>35208</v>
      </c>
      <c r="N4882" s="597">
        <f>0.028317*300.84</f>
        <v>8.5188862799999985</v>
      </c>
      <c r="O4882" s="604">
        <v>0.3223886872805527</v>
      </c>
      <c r="P4882" s="220"/>
      <c r="Q4882" s="477">
        <v>0.17625899280575538</v>
      </c>
      <c r="R4882" s="477">
        <v>0.19514388489208634</v>
      </c>
      <c r="S4882" s="477">
        <v>0.1212410071942446</v>
      </c>
      <c r="T4882" s="477">
        <v>0.11779676258992806</v>
      </c>
      <c r="U4882" s="477">
        <v>0.12348021582733813</v>
      </c>
      <c r="V4882" s="477">
        <v>8.4721223021582734E-2</v>
      </c>
      <c r="W4882" s="477">
        <v>5.9604316546762591E-2</v>
      </c>
      <c r="X4882" s="477">
        <v>0.11630395683453239</v>
      </c>
      <c r="Y4882" s="477">
        <v>5.4496402877697841E-3</v>
      </c>
      <c r="Z4882" s="231"/>
      <c r="AA4882" s="231"/>
      <c r="AB4882" s="154">
        <v>600</v>
      </c>
      <c r="AC4882" s="152"/>
      <c r="AD4882" s="223">
        <f>0.3048*43.5</f>
        <v>13.258800000000001</v>
      </c>
      <c r="AE4882" s="152"/>
      <c r="AF4882" s="153"/>
      <c r="AG4882" s="153"/>
      <c r="AH4882" s="346"/>
      <c r="AI4882" s="218"/>
      <c r="AJ4882" s="218"/>
      <c r="AK4882" s="153"/>
      <c r="AL4882" s="152"/>
      <c r="AM4882" s="152"/>
      <c r="AN4882" s="152"/>
      <c r="AO4882" s="152"/>
      <c r="AP4882" s="152"/>
      <c r="AQ4882" s="152"/>
      <c r="AR4882" s="152"/>
      <c r="AS4882" s="152"/>
      <c r="AT4882" s="152"/>
      <c r="AU4882" s="153"/>
      <c r="AV4882" s="479"/>
      <c r="AW4882" s="479"/>
      <c r="AX4882" s="442"/>
      <c r="AY4882" s="153"/>
      <c r="AZ4882" s="152"/>
      <c r="BA4882" s="152"/>
      <c r="BB4882" s="152"/>
      <c r="BC4882" s="152"/>
      <c r="BD4882" s="152"/>
      <c r="BE4882" s="152"/>
      <c r="BF4882" s="152"/>
      <c r="BG4882" s="152"/>
      <c r="BH4882" s="152"/>
      <c r="BI4882" s="153"/>
      <c r="BJ4882" s="153"/>
      <c r="BK4882" s="153"/>
      <c r="BL4882" s="153"/>
      <c r="BM4882" s="153"/>
      <c r="BN4882" s="153"/>
      <c r="BO4882" s="153"/>
      <c r="BP4882" s="153"/>
      <c r="BQ4882" s="153"/>
      <c r="BR4882" s="153"/>
      <c r="BS4882" s="153"/>
      <c r="BT4882" s="153"/>
      <c r="BU4882" s="153"/>
      <c r="BV4882" s="153"/>
      <c r="BW4882" s="153"/>
      <c r="BX4882" s="153"/>
      <c r="BY4882" s="153"/>
      <c r="BZ4882" s="153"/>
      <c r="CA4882" s="152"/>
      <c r="CB4882" s="152"/>
    </row>
    <row r="4883" spans="1:80" ht="15" x14ac:dyDescent="0.25">
      <c r="A4883" s="9" t="s">
        <v>78</v>
      </c>
      <c r="B4883" s="639" t="s">
        <v>73</v>
      </c>
      <c r="C4883" s="639" t="s">
        <v>583</v>
      </c>
      <c r="D4883" s="4">
        <f>VLOOKUP(E4883,'Quality Code'!D4:E24,2,TRUE)*VLOOKUP(MROUND(F4883,10),'Quality Code'!D28:E69,2,TRUE)*VLOOKUP(COUNTA(CB4883:CB4893),'Quality Code'!D73:E93,2,TRUE)</f>
        <v>0.58333099999999993</v>
      </c>
      <c r="E4883" s="14">
        <v>0.7</v>
      </c>
      <c r="F4883" s="18">
        <v>20</v>
      </c>
      <c r="G4883" s="12">
        <f>28*2.58998811231</f>
        <v>72.51966714468</v>
      </c>
      <c r="H4883" s="2" t="s">
        <v>72</v>
      </c>
      <c r="I4883" s="2">
        <v>10</v>
      </c>
      <c r="J4883" s="2" t="s">
        <v>290</v>
      </c>
      <c r="K4883" s="2">
        <v>4</v>
      </c>
      <c r="L4883" s="640" t="s">
        <v>284</v>
      </c>
      <c r="M4883" s="640" t="s">
        <v>889</v>
      </c>
      <c r="N4883" s="578" t="s">
        <v>110</v>
      </c>
      <c r="O4883" s="578"/>
      <c r="P4883" s="10"/>
      <c r="Q4883" s="10"/>
      <c r="R4883" s="10"/>
      <c r="S4883" s="10"/>
      <c r="T4883" s="10"/>
      <c r="U4883" s="10"/>
      <c r="V4883" s="10"/>
      <c r="W4883" s="10"/>
      <c r="X4883" s="10"/>
      <c r="Y4883" s="10"/>
      <c r="Z4883" s="10"/>
      <c r="AA4883" s="10"/>
      <c r="AB4883" s="11" t="s">
        <v>82</v>
      </c>
      <c r="AC4883" s="116">
        <v>2.5999999999999999E-3</v>
      </c>
      <c r="AD4883" s="11"/>
      <c r="AE4883" s="11"/>
      <c r="AF4883" s="10"/>
      <c r="AG4883" s="10"/>
      <c r="AH4883" s="345"/>
      <c r="AI4883" s="18">
        <v>4.7</v>
      </c>
      <c r="AJ4883" s="135">
        <v>1</v>
      </c>
      <c r="AK4883" s="135">
        <v>1</v>
      </c>
      <c r="AL4883" s="135">
        <v>1</v>
      </c>
      <c r="AM4883" s="135">
        <v>0.98919999999999997</v>
      </c>
      <c r="AN4883" s="135">
        <v>0.88670000000000004</v>
      </c>
      <c r="AO4883" s="135">
        <v>0.63019999999999998</v>
      </c>
      <c r="AP4883" s="135">
        <v>0.46210000000000001</v>
      </c>
      <c r="AQ4883" s="135">
        <v>0.34499999999999997</v>
      </c>
      <c r="AR4883" s="135">
        <v>0.27500000000000002</v>
      </c>
      <c r="AS4883" s="135">
        <v>0.24060000000000001</v>
      </c>
      <c r="AT4883" s="135">
        <v>0.18</v>
      </c>
      <c r="AU4883" s="18">
        <v>8.8000000000000007</v>
      </c>
      <c r="AV4883" s="135">
        <v>1</v>
      </c>
      <c r="AW4883" s="135">
        <v>1</v>
      </c>
      <c r="AX4883" s="135">
        <v>1</v>
      </c>
      <c r="AY4883" s="135">
        <v>1</v>
      </c>
      <c r="AZ4883" s="135">
        <v>1</v>
      </c>
      <c r="BA4883" s="135">
        <v>0.97060000000000002</v>
      </c>
      <c r="BB4883" s="135">
        <v>0.76839999999999997</v>
      </c>
      <c r="BC4883" s="135">
        <v>0.45860000000000001</v>
      </c>
      <c r="BD4883" s="135">
        <v>0.309</v>
      </c>
      <c r="BE4883" s="135">
        <v>0.22989999999999999</v>
      </c>
      <c r="BF4883" s="135">
        <v>0.18179999999999999</v>
      </c>
      <c r="BG4883" s="135">
        <v>0.15740000000000001</v>
      </c>
      <c r="BH4883" s="135">
        <v>0.1124</v>
      </c>
      <c r="BI4883" s="4">
        <f>AU4883/AI4883</f>
        <v>1.8723404255319149</v>
      </c>
      <c r="BJ4883" s="2" t="s">
        <v>68</v>
      </c>
      <c r="BK4883" s="2" t="s">
        <v>68</v>
      </c>
      <c r="BL4883" s="12"/>
      <c r="BM4883" s="12">
        <f>157*0.028317</f>
        <v>4.4457689999999994</v>
      </c>
      <c r="BN4883" s="12">
        <f>25.8*0.3048</f>
        <v>7.8638400000000006</v>
      </c>
      <c r="BO4883" s="12">
        <f>1.7*0.3048</f>
        <v>0.51816000000000006</v>
      </c>
      <c r="BP4883" s="12">
        <f>42.8*(0.3048)^2</f>
        <v>3.9762501119999998</v>
      </c>
      <c r="BQ4883" s="12"/>
      <c r="BR4883" s="12"/>
      <c r="BS4883" s="18">
        <v>3</v>
      </c>
      <c r="BT4883" s="12"/>
      <c r="BU4883" s="2"/>
      <c r="BV4883" s="2">
        <v>7.36</v>
      </c>
      <c r="BW4883" s="2"/>
      <c r="BX4883" s="2">
        <v>1.98</v>
      </c>
      <c r="BY4883" s="2" t="s">
        <v>83</v>
      </c>
      <c r="BZ4883" s="2"/>
      <c r="CA4883" s="9"/>
      <c r="CB4883" s="9" t="s">
        <v>225</v>
      </c>
    </row>
    <row r="4884" spans="1:80" s="87" customFormat="1" ht="15" x14ac:dyDescent="0.25">
      <c r="A4884" s="152"/>
      <c r="B4884" s="683"/>
      <c r="C4884" s="683"/>
      <c r="D4884" s="698"/>
      <c r="E4884" s="215"/>
      <c r="F4884" s="215"/>
      <c r="G4884" s="153"/>
      <c r="H4884" s="153"/>
      <c r="I4884" s="153"/>
      <c r="J4884" s="153"/>
      <c r="K4884" s="153"/>
      <c r="L4884" s="656">
        <v>40</v>
      </c>
      <c r="M4884" s="666">
        <v>34094</v>
      </c>
      <c r="N4884" s="600">
        <v>1.6488989099999998</v>
      </c>
      <c r="O4884" s="604">
        <v>0.16949014341997501</v>
      </c>
      <c r="P4884" s="478"/>
      <c r="Q4884" s="478"/>
      <c r="R4884" s="478">
        <v>2.3691654240035054E-2</v>
      </c>
      <c r="S4884" s="478">
        <v>3.3599073285867892E-2</v>
      </c>
      <c r="T4884" s="478">
        <v>5.0613988603711246E-2</v>
      </c>
      <c r="U4884" s="478">
        <v>0.10661244408015774</v>
      </c>
      <c r="V4884" s="478">
        <v>0.20223116600453567</v>
      </c>
      <c r="W4884" s="478">
        <v>0.35681511699094509</v>
      </c>
      <c r="X4884" s="478">
        <v>0.21107069458255909</v>
      </c>
      <c r="Y4884" s="478">
        <v>1.616667849582442E-2</v>
      </c>
      <c r="Z4884" s="231"/>
      <c r="AA4884" s="254"/>
      <c r="AB4884" s="255"/>
      <c r="AC4884" s="152"/>
      <c r="AD4884" s="223">
        <v>6.6751199999999997</v>
      </c>
      <c r="AE4884" s="152"/>
      <c r="AF4884" s="153"/>
      <c r="AG4884" s="153"/>
      <c r="AH4884" s="346"/>
      <c r="AI4884" s="218"/>
      <c r="AJ4884" s="218"/>
      <c r="AK4884" s="153"/>
      <c r="AL4884" s="152"/>
      <c r="AM4884" s="152"/>
      <c r="AN4884" s="152"/>
      <c r="AO4884" s="152"/>
      <c r="AP4884" s="152"/>
      <c r="AQ4884" s="152"/>
      <c r="AR4884" s="152"/>
      <c r="AS4884" s="152"/>
      <c r="AT4884" s="152"/>
      <c r="AU4884" s="155">
        <v>24.6</v>
      </c>
      <c r="AV4884" s="429"/>
      <c r="AW4884" s="429"/>
      <c r="AX4884" s="429"/>
      <c r="AY4884" s="153"/>
      <c r="AZ4884" s="152"/>
      <c r="BA4884" s="152"/>
      <c r="BB4884" s="152"/>
      <c r="BC4884" s="152"/>
      <c r="BD4884" s="152"/>
      <c r="BE4884" s="152"/>
      <c r="BF4884" s="152"/>
      <c r="BG4884" s="152"/>
      <c r="BH4884" s="152"/>
      <c r="BI4884" s="156">
        <f>AU4884/AI4883</f>
        <v>5.2340425531914896</v>
      </c>
      <c r="BJ4884" s="155" t="s">
        <v>68</v>
      </c>
      <c r="BK4884" s="155" t="s">
        <v>175</v>
      </c>
      <c r="BL4884" s="153"/>
      <c r="BM4884" s="153"/>
      <c r="BN4884" s="153"/>
      <c r="BO4884" s="153"/>
      <c r="BP4884" s="153"/>
      <c r="BQ4884" s="153"/>
      <c r="BR4884" s="153"/>
      <c r="BS4884" s="153"/>
      <c r="BT4884" s="153"/>
      <c r="BU4884" s="153"/>
      <c r="BV4884" s="153"/>
      <c r="BW4884" s="153"/>
      <c r="BX4884" s="153"/>
      <c r="BY4884" s="153"/>
      <c r="BZ4884" s="153"/>
      <c r="CA4884" s="152"/>
      <c r="CB4884" s="485" t="s">
        <v>642</v>
      </c>
    </row>
    <row r="4885" spans="1:80" s="87" customFormat="1" x14ac:dyDescent="0.2">
      <c r="A4885" s="152"/>
      <c r="B4885" s="683"/>
      <c r="C4885" s="683"/>
      <c r="D4885" s="698"/>
      <c r="E4885" s="215"/>
      <c r="F4885" s="215"/>
      <c r="G4885" s="153"/>
      <c r="H4885" s="153"/>
      <c r="I4885" s="153"/>
      <c r="J4885" s="153"/>
      <c r="K4885" s="153"/>
      <c r="L4885" s="656">
        <v>40</v>
      </c>
      <c r="M4885" s="666">
        <v>34102</v>
      </c>
      <c r="N4885" s="600">
        <v>2.2956591899999998</v>
      </c>
      <c r="O4885" s="604">
        <v>0.35892040157610006</v>
      </c>
      <c r="P4885" s="478"/>
      <c r="Q4885" s="478">
        <v>1.1640061366403524E-2</v>
      </c>
      <c r="R4885" s="478">
        <v>1.2199679701326771E-2</v>
      </c>
      <c r="S4885" s="478">
        <v>7.2414612539068071E-2</v>
      </c>
      <c r="T4885" s="478">
        <v>0.1474034694187831</v>
      </c>
      <c r="U4885" s="478">
        <v>0.16128200412487959</v>
      </c>
      <c r="V4885" s="478">
        <v>0.19009468888657383</v>
      </c>
      <c r="W4885" s="478">
        <v>0.2444234597233377</v>
      </c>
      <c r="X4885" s="478">
        <v>0.14696772646976125</v>
      </c>
      <c r="Y4885" s="478">
        <v>1.4076282074978182E-2</v>
      </c>
      <c r="Z4885" s="231"/>
      <c r="AA4885" s="254"/>
      <c r="AB4885" s="255"/>
      <c r="AC4885" s="152"/>
      <c r="AD4885" s="223">
        <v>7.3456800000000007</v>
      </c>
      <c r="AE4885" s="152"/>
      <c r="AF4885" s="153"/>
      <c r="AG4885" s="153"/>
      <c r="AH4885" s="346"/>
      <c r="AI4885" s="218"/>
      <c r="AJ4885" s="218"/>
      <c r="AK4885" s="153"/>
      <c r="AL4885" s="152"/>
      <c r="AM4885" s="152"/>
      <c r="AN4885" s="152"/>
      <c r="AO4885" s="152"/>
      <c r="AP4885" s="152"/>
      <c r="AQ4885" s="152"/>
      <c r="AR4885" s="152"/>
      <c r="AS4885" s="152"/>
      <c r="AT4885" s="152"/>
      <c r="AU4885" s="153"/>
      <c r="AV4885" s="479"/>
      <c r="AW4885" s="479"/>
      <c r="AX4885" s="442"/>
      <c r="AY4885" s="153"/>
      <c r="AZ4885" s="152"/>
      <c r="BA4885" s="152"/>
      <c r="BB4885" s="152"/>
      <c r="BC4885" s="152"/>
      <c r="BD4885" s="152"/>
      <c r="BE4885" s="152"/>
      <c r="BF4885" s="152"/>
      <c r="BG4885" s="152"/>
      <c r="BH4885" s="152"/>
      <c r="BI4885" s="153"/>
      <c r="BJ4885" s="153"/>
      <c r="BK4885" s="153"/>
      <c r="BL4885" s="153"/>
      <c r="BM4885" s="153"/>
      <c r="BN4885" s="153"/>
      <c r="BO4885" s="153"/>
      <c r="BP4885" s="153"/>
      <c r="BQ4885" s="153"/>
      <c r="BR4885" s="153"/>
      <c r="BS4885" s="153"/>
      <c r="BT4885" s="153"/>
      <c r="BU4885" s="153"/>
      <c r="BV4885" s="153"/>
      <c r="BW4885" s="153"/>
      <c r="BX4885" s="153"/>
      <c r="BY4885" s="153"/>
      <c r="BZ4885" s="153"/>
      <c r="CA4885" s="152"/>
      <c r="CB4885" s="152"/>
    </row>
    <row r="4886" spans="1:80" s="87" customFormat="1" x14ac:dyDescent="0.2">
      <c r="A4886" s="152"/>
      <c r="B4886" s="683"/>
      <c r="C4886" s="683"/>
      <c r="D4886" s="698"/>
      <c r="E4886" s="215"/>
      <c r="F4886" s="215"/>
      <c r="G4886" s="153"/>
      <c r="H4886" s="153"/>
      <c r="I4886" s="153"/>
      <c r="J4886" s="153"/>
      <c r="K4886" s="153"/>
      <c r="L4886" s="656">
        <v>40</v>
      </c>
      <c r="M4886" s="666">
        <v>34122</v>
      </c>
      <c r="N4886" s="600">
        <v>3.6160809</v>
      </c>
      <c r="O4886" s="604">
        <v>0.96052506329325016</v>
      </c>
      <c r="P4886" s="478"/>
      <c r="Q4886" s="478">
        <v>1.4490538696126296E-2</v>
      </c>
      <c r="R4886" s="478">
        <v>4.8774561477212451E-2</v>
      </c>
      <c r="S4886" s="478">
        <v>8.5366762548460651E-2</v>
      </c>
      <c r="T4886" s="478">
        <v>0.10364030315740703</v>
      </c>
      <c r="U4886" s="478">
        <v>0.10206110828996721</v>
      </c>
      <c r="V4886" s="478">
        <v>0.12273810100640094</v>
      </c>
      <c r="W4886" s="478">
        <v>0.24529550550782372</v>
      </c>
      <c r="X4886" s="478">
        <v>0.25180057968703673</v>
      </c>
      <c r="Y4886" s="478">
        <v>2.6609186626575774E-2</v>
      </c>
      <c r="Z4886" s="231"/>
      <c r="AA4886" s="254"/>
      <c r="AB4886" s="255"/>
      <c r="AC4886" s="152"/>
      <c r="AD4886" s="223">
        <v>7.9248000000000003</v>
      </c>
      <c r="AE4886" s="152"/>
      <c r="AF4886" s="153"/>
      <c r="AG4886" s="153"/>
      <c r="AH4886" s="346"/>
      <c r="AI4886" s="218"/>
      <c r="AJ4886" s="218"/>
      <c r="AK4886" s="153"/>
      <c r="AL4886" s="152"/>
      <c r="AM4886" s="152"/>
      <c r="AN4886" s="152"/>
      <c r="AO4886" s="152"/>
      <c r="AP4886" s="152"/>
      <c r="AQ4886" s="152"/>
      <c r="AR4886" s="152"/>
      <c r="AS4886" s="152"/>
      <c r="AT4886" s="152"/>
      <c r="AU4886" s="153"/>
      <c r="AV4886" s="479"/>
      <c r="AW4886" s="479"/>
      <c r="AX4886" s="442"/>
      <c r="AY4886" s="153"/>
      <c r="AZ4886" s="152"/>
      <c r="BA4886" s="152"/>
      <c r="BB4886" s="152"/>
      <c r="BC4886" s="152"/>
      <c r="BD4886" s="152"/>
      <c r="BE4886" s="152"/>
      <c r="BF4886" s="152"/>
      <c r="BG4886" s="152"/>
      <c r="BH4886" s="152"/>
      <c r="BI4886" s="153"/>
      <c r="BJ4886" s="153"/>
      <c r="BK4886" s="153"/>
      <c r="BL4886" s="153"/>
      <c r="BM4886" s="153"/>
      <c r="BN4886" s="153"/>
      <c r="BO4886" s="153"/>
      <c r="BP4886" s="153"/>
      <c r="BQ4886" s="153"/>
      <c r="BR4886" s="153"/>
      <c r="BS4886" s="153"/>
      <c r="BT4886" s="153"/>
      <c r="BU4886" s="153"/>
      <c r="BV4886" s="153"/>
      <c r="BW4886" s="153"/>
      <c r="BX4886" s="153"/>
      <c r="BY4886" s="153"/>
      <c r="BZ4886" s="153"/>
      <c r="CA4886" s="152"/>
      <c r="CB4886" s="152"/>
    </row>
    <row r="4887" spans="1:80" s="87" customFormat="1" x14ac:dyDescent="0.2">
      <c r="A4887" s="152"/>
      <c r="B4887" s="683"/>
      <c r="C4887" s="683"/>
      <c r="D4887" s="698"/>
      <c r="E4887" s="215"/>
      <c r="F4887" s="215"/>
      <c r="G4887" s="153"/>
      <c r="H4887" s="153"/>
      <c r="I4887" s="153"/>
      <c r="J4887" s="153"/>
      <c r="K4887" s="153"/>
      <c r="L4887" s="656">
        <v>40</v>
      </c>
      <c r="M4887" s="666">
        <v>34129</v>
      </c>
      <c r="N4887" s="600">
        <v>3.2136963299999999</v>
      </c>
      <c r="O4887" s="604">
        <v>1.0057693219020563</v>
      </c>
      <c r="P4887" s="478"/>
      <c r="Q4887" s="478">
        <v>5.4829496849634176E-3</v>
      </c>
      <c r="R4887" s="478">
        <v>3.0121024490693468E-2</v>
      </c>
      <c r="S4887" s="478">
        <v>7.382684957727402E-2</v>
      </c>
      <c r="T4887" s="478">
        <v>0.10060920026237791</v>
      </c>
      <c r="U4887" s="478">
        <v>0.12763915357323005</v>
      </c>
      <c r="V4887" s="478">
        <v>0.15069181010960986</v>
      </c>
      <c r="W4887" s="478">
        <v>0.24386703133175688</v>
      </c>
      <c r="X4887" s="478">
        <v>0.22985310205351001</v>
      </c>
      <c r="Y4887" s="478">
        <v>3.8748021038874057E-2</v>
      </c>
      <c r="Z4887" s="231"/>
      <c r="AA4887" s="254"/>
      <c r="AB4887" s="255"/>
      <c r="AC4887" s="152"/>
      <c r="AD4887" s="223">
        <v>7.5895200000000003</v>
      </c>
      <c r="AE4887" s="152"/>
      <c r="AF4887" s="153"/>
      <c r="AG4887" s="153"/>
      <c r="AH4887" s="346"/>
      <c r="AI4887" s="218"/>
      <c r="AJ4887" s="218"/>
      <c r="AK4887" s="153"/>
      <c r="AL4887" s="152"/>
      <c r="AM4887" s="152"/>
      <c r="AN4887" s="152"/>
      <c r="AO4887" s="152"/>
      <c r="AP4887" s="152"/>
      <c r="AQ4887" s="152"/>
      <c r="AR4887" s="152"/>
      <c r="AS4887" s="152"/>
      <c r="AT4887" s="152"/>
      <c r="AU4887" s="153"/>
      <c r="AV4887" s="479"/>
      <c r="AW4887" s="479"/>
      <c r="AX4887" s="442"/>
      <c r="AY4887" s="153"/>
      <c r="AZ4887" s="152"/>
      <c r="BA4887" s="152"/>
      <c r="BB4887" s="152"/>
      <c r="BC4887" s="152"/>
      <c r="BD4887" s="152"/>
      <c r="BE4887" s="152"/>
      <c r="BF4887" s="152"/>
      <c r="BG4887" s="152"/>
      <c r="BH4887" s="152"/>
      <c r="BI4887" s="153"/>
      <c r="BJ4887" s="153"/>
      <c r="BK4887" s="153"/>
      <c r="BL4887" s="153"/>
      <c r="BM4887" s="153"/>
      <c r="BN4887" s="153"/>
      <c r="BO4887" s="153"/>
      <c r="BP4887" s="153"/>
      <c r="BQ4887" s="153"/>
      <c r="BR4887" s="153"/>
      <c r="BS4887" s="153"/>
      <c r="BT4887" s="153"/>
      <c r="BU4887" s="153"/>
      <c r="BV4887" s="153"/>
      <c r="BW4887" s="153"/>
      <c r="BX4887" s="153"/>
      <c r="BY4887" s="153"/>
      <c r="BZ4887" s="153"/>
      <c r="CA4887" s="152"/>
      <c r="CB4887" s="152"/>
    </row>
    <row r="4888" spans="1:80" s="87" customFormat="1" x14ac:dyDescent="0.2">
      <c r="A4888" s="152"/>
      <c r="B4888" s="683"/>
      <c r="C4888" s="683"/>
      <c r="D4888" s="698"/>
      <c r="E4888" s="215"/>
      <c r="F4888" s="215"/>
      <c r="G4888" s="153"/>
      <c r="H4888" s="153"/>
      <c r="I4888" s="153"/>
      <c r="J4888" s="153"/>
      <c r="K4888" s="153"/>
      <c r="L4888" s="656">
        <v>20</v>
      </c>
      <c r="M4888" s="666">
        <v>34136</v>
      </c>
      <c r="N4888" s="600">
        <v>3.6897051000000003</v>
      </c>
      <c r="O4888" s="604">
        <v>1.8299653837500003</v>
      </c>
      <c r="P4888" s="478">
        <v>2.7517620932702518E-3</v>
      </c>
      <c r="Q4888" s="478">
        <v>1.0910495317176789E-2</v>
      </c>
      <c r="R4888" s="478">
        <v>4.0938495703389012E-2</v>
      </c>
      <c r="S4888" s="478">
        <v>7.2656174567925072E-2</v>
      </c>
      <c r="T4888" s="478">
        <v>7.4780341797817895E-2</v>
      </c>
      <c r="U4888" s="478">
        <v>7.4490682630105248E-2</v>
      </c>
      <c r="V4888" s="478">
        <v>9.7662287480680066E-2</v>
      </c>
      <c r="W4888" s="478">
        <v>0.40885819165378673</v>
      </c>
      <c r="X4888" s="478">
        <v>0.20372874806800617</v>
      </c>
      <c r="Y4888" s="478">
        <v>1.357225656877898E-2</v>
      </c>
      <c r="Z4888" s="231"/>
      <c r="AA4888" s="254"/>
      <c r="AB4888" s="255"/>
      <c r="AC4888" s="152"/>
      <c r="AD4888" s="223">
        <v>8.0772000000000013</v>
      </c>
      <c r="AE4888" s="152"/>
      <c r="AF4888" s="153"/>
      <c r="AG4888" s="153"/>
      <c r="AH4888" s="346"/>
      <c r="AI4888" s="218"/>
      <c r="AJ4888" s="218"/>
      <c r="AK4888" s="153"/>
      <c r="AL4888" s="152"/>
      <c r="AM4888" s="152"/>
      <c r="AN4888" s="152"/>
      <c r="AO4888" s="152"/>
      <c r="AP4888" s="152"/>
      <c r="AQ4888" s="152"/>
      <c r="AR4888" s="152"/>
      <c r="AS4888" s="152"/>
      <c r="AT4888" s="152"/>
      <c r="AU4888" s="153"/>
      <c r="AV4888" s="479"/>
      <c r="AW4888" s="479"/>
      <c r="AX4888" s="442"/>
      <c r="AY4888" s="153"/>
      <c r="AZ4888" s="152"/>
      <c r="BA4888" s="152"/>
      <c r="BB4888" s="152"/>
      <c r="BC4888" s="152"/>
      <c r="BD4888" s="152"/>
      <c r="BE4888" s="152"/>
      <c r="BF4888" s="152"/>
      <c r="BG4888" s="152"/>
      <c r="BH4888" s="152"/>
      <c r="BI4888" s="153"/>
      <c r="BJ4888" s="153"/>
      <c r="BK4888" s="153"/>
      <c r="BL4888" s="153"/>
      <c r="BM4888" s="153"/>
      <c r="BN4888" s="153"/>
      <c r="BO4888" s="153"/>
      <c r="BP4888" s="153"/>
      <c r="BQ4888" s="153"/>
      <c r="BR4888" s="153"/>
      <c r="BS4888" s="153"/>
      <c r="BT4888" s="153"/>
      <c r="BU4888" s="153"/>
      <c r="BV4888" s="153"/>
      <c r="BW4888" s="153"/>
      <c r="BX4888" s="153"/>
      <c r="BY4888" s="153"/>
      <c r="BZ4888" s="153"/>
      <c r="CA4888" s="152"/>
      <c r="CB4888" s="152"/>
    </row>
    <row r="4889" spans="1:80" s="87" customFormat="1" x14ac:dyDescent="0.2">
      <c r="A4889" s="152"/>
      <c r="B4889" s="683"/>
      <c r="C4889" s="683"/>
      <c r="D4889" s="698"/>
      <c r="E4889" s="215"/>
      <c r="F4889" s="215"/>
      <c r="G4889" s="446"/>
      <c r="H4889" s="153"/>
      <c r="I4889" s="153"/>
      <c r="J4889" s="153"/>
      <c r="K4889" s="153"/>
      <c r="L4889" s="656">
        <v>10</v>
      </c>
      <c r="M4889" s="666">
        <v>34144</v>
      </c>
      <c r="N4889" s="600">
        <v>3.7188716100000003</v>
      </c>
      <c r="O4889" s="604">
        <v>1.2735451732500001</v>
      </c>
      <c r="P4889" s="478"/>
      <c r="Q4889" s="478">
        <v>9.2556381175857121E-3</v>
      </c>
      <c r="R4889" s="478">
        <v>3.8977968974058141E-2</v>
      </c>
      <c r="S4889" s="478">
        <v>9.7379741885021506E-2</v>
      </c>
      <c r="T4889" s="478">
        <v>0.17220701342719333</v>
      </c>
      <c r="U4889" s="478">
        <v>0.19736670577499674</v>
      </c>
      <c r="V4889" s="478">
        <v>0.16127348643006262</v>
      </c>
      <c r="W4889" s="478">
        <v>0.16231732776617955</v>
      </c>
      <c r="X4889" s="478">
        <v>0.14913883089770355</v>
      </c>
      <c r="Y4889" s="478">
        <v>1.2526096033402923E-2</v>
      </c>
      <c r="Z4889" s="231"/>
      <c r="AA4889" s="254"/>
      <c r="AB4889" s="255"/>
      <c r="AC4889" s="152"/>
      <c r="AD4889" s="223">
        <v>7.5895200000000003</v>
      </c>
      <c r="AE4889" s="152"/>
      <c r="AF4889" s="153"/>
      <c r="AG4889" s="153"/>
      <c r="AH4889" s="346"/>
      <c r="AI4889" s="218"/>
      <c r="AJ4889" s="218"/>
      <c r="AK4889" s="153"/>
      <c r="AL4889" s="152"/>
      <c r="AM4889" s="152"/>
      <c r="AN4889" s="152"/>
      <c r="AO4889" s="152"/>
      <c r="AP4889" s="152"/>
      <c r="AQ4889" s="152"/>
      <c r="AR4889" s="152"/>
      <c r="AS4889" s="152"/>
      <c r="AT4889" s="152"/>
      <c r="AU4889" s="153"/>
      <c r="AV4889" s="479"/>
      <c r="AW4889" s="479"/>
      <c r="AX4889" s="442"/>
      <c r="AY4889" s="153"/>
      <c r="AZ4889" s="152"/>
      <c r="BA4889" s="152"/>
      <c r="BB4889" s="152"/>
      <c r="BC4889" s="152"/>
      <c r="BD4889" s="152"/>
      <c r="BE4889" s="152"/>
      <c r="BF4889" s="152"/>
      <c r="BG4889" s="152"/>
      <c r="BH4889" s="152"/>
      <c r="BI4889" s="153"/>
      <c r="BJ4889" s="153"/>
      <c r="BK4889" s="153"/>
      <c r="BL4889" s="153"/>
      <c r="BM4889" s="153"/>
      <c r="BN4889" s="153"/>
      <c r="BO4889" s="153"/>
      <c r="BP4889" s="153"/>
      <c r="BQ4889" s="153"/>
      <c r="BR4889" s="153"/>
      <c r="BS4889" s="153"/>
      <c r="BT4889" s="153"/>
      <c r="BU4889" s="153"/>
      <c r="BV4889" s="153"/>
      <c r="BW4889" s="153"/>
      <c r="BX4889" s="153"/>
      <c r="BY4889" s="153"/>
      <c r="BZ4889" s="153"/>
      <c r="CA4889" s="152"/>
      <c r="CB4889" s="152"/>
    </row>
    <row r="4890" spans="1:80" s="87" customFormat="1" x14ac:dyDescent="0.2">
      <c r="A4890" s="152"/>
      <c r="B4890" s="683"/>
      <c r="C4890" s="683"/>
      <c r="D4890" s="698"/>
      <c r="E4890" s="215"/>
      <c r="F4890" s="215"/>
      <c r="G4890" s="446"/>
      <c r="H4890" s="153"/>
      <c r="I4890" s="153"/>
      <c r="J4890" s="153"/>
      <c r="K4890" s="153"/>
      <c r="L4890" s="656">
        <v>10</v>
      </c>
      <c r="M4890" s="666">
        <v>34151</v>
      </c>
      <c r="N4890" s="600">
        <v>3.7975928700000003</v>
      </c>
      <c r="O4890" s="604">
        <v>1.1148907439250002</v>
      </c>
      <c r="P4890" s="478"/>
      <c r="Q4890" s="478">
        <v>6.5784472962611504E-3</v>
      </c>
      <c r="R4890" s="478">
        <v>3.6330970295260445E-2</v>
      </c>
      <c r="S4890" s="478">
        <v>6.1897208651184463E-2</v>
      </c>
      <c r="T4890" s="478">
        <v>8.5968345348867312E-2</v>
      </c>
      <c r="U4890" s="478">
        <v>0.10062034159963078</v>
      </c>
      <c r="V4890" s="478">
        <v>0.13585857314054761</v>
      </c>
      <c r="W4890" s="478">
        <v>0.23131867188908217</v>
      </c>
      <c r="X4890" s="478">
        <v>0.32169155534380767</v>
      </c>
      <c r="Y4890" s="478">
        <v>2.0275306027046899E-2</v>
      </c>
      <c r="Z4890" s="231"/>
      <c r="AA4890" s="254"/>
      <c r="AB4890" s="255"/>
      <c r="AC4890" s="152"/>
      <c r="AD4890" s="223">
        <v>7.62</v>
      </c>
      <c r="AE4890" s="152"/>
      <c r="AF4890" s="153"/>
      <c r="AG4890" s="153"/>
      <c r="AH4890" s="346"/>
      <c r="AI4890" s="218"/>
      <c r="AJ4890" s="218"/>
      <c r="AK4890" s="153"/>
      <c r="AL4890" s="152"/>
      <c r="AM4890" s="152"/>
      <c r="AN4890" s="152"/>
      <c r="AO4890" s="152"/>
      <c r="AP4890" s="152"/>
      <c r="AQ4890" s="152"/>
      <c r="AR4890" s="152"/>
      <c r="AS4890" s="152"/>
      <c r="AT4890" s="152"/>
      <c r="AU4890" s="153"/>
      <c r="AV4890" s="479"/>
      <c r="AW4890" s="479"/>
      <c r="AX4890" s="442"/>
      <c r="AY4890" s="153"/>
      <c r="AZ4890" s="152"/>
      <c r="BA4890" s="152"/>
      <c r="BB4890" s="152"/>
      <c r="BC4890" s="152"/>
      <c r="BD4890" s="152"/>
      <c r="BE4890" s="152"/>
      <c r="BF4890" s="152"/>
      <c r="BG4890" s="152"/>
      <c r="BH4890" s="152"/>
      <c r="BI4890" s="153"/>
      <c r="BJ4890" s="153"/>
      <c r="BK4890" s="153"/>
      <c r="BL4890" s="153"/>
      <c r="BM4890" s="153"/>
      <c r="BN4890" s="153"/>
      <c r="BO4890" s="153"/>
      <c r="BP4890" s="153"/>
      <c r="BQ4890" s="153"/>
      <c r="BR4890" s="153"/>
      <c r="BS4890" s="153"/>
      <c r="BT4890" s="153"/>
      <c r="BU4890" s="153"/>
      <c r="BV4890" s="153"/>
      <c r="BW4890" s="153"/>
      <c r="BX4890" s="153"/>
      <c r="BY4890" s="153"/>
      <c r="BZ4890" s="153"/>
      <c r="CA4890" s="152"/>
      <c r="CB4890" s="152"/>
    </row>
    <row r="4891" spans="1:80" s="87" customFormat="1" x14ac:dyDescent="0.2">
      <c r="A4891" s="152"/>
      <c r="B4891" s="683"/>
      <c r="C4891" s="683"/>
      <c r="D4891" s="698"/>
      <c r="E4891" s="215"/>
      <c r="F4891" s="215"/>
      <c r="G4891" s="446"/>
      <c r="H4891" s="153"/>
      <c r="I4891" s="153"/>
      <c r="J4891" s="153"/>
      <c r="K4891" s="153"/>
      <c r="L4891" s="656">
        <v>10</v>
      </c>
      <c r="M4891" s="666">
        <v>34165</v>
      </c>
      <c r="N4891" s="600">
        <v>2.9376055799999996</v>
      </c>
      <c r="O4891" s="604">
        <v>0.85981596636285007</v>
      </c>
      <c r="P4891" s="478"/>
      <c r="Q4891" s="478">
        <v>2.0670572186722667E-2</v>
      </c>
      <c r="R4891" s="478">
        <v>1.6979398581950762E-2</v>
      </c>
      <c r="S4891" s="478">
        <v>4.8354374222511959E-2</v>
      </c>
      <c r="T4891" s="478">
        <v>6.0719805798497839E-2</v>
      </c>
      <c r="U4891" s="478">
        <v>8.9880077276195888E-2</v>
      </c>
      <c r="V4891" s="478">
        <v>0.175565988470576</v>
      </c>
      <c r="W4891" s="478">
        <v>0.32787086805861509</v>
      </c>
      <c r="X4891" s="478">
        <v>0.2451647031429284</v>
      </c>
      <c r="Y4891" s="478">
        <v>1.5014658098529515E-2</v>
      </c>
      <c r="Z4891" s="231"/>
      <c r="AA4891" s="254"/>
      <c r="AB4891" s="255"/>
      <c r="AC4891" s="152"/>
      <c r="AD4891" s="223">
        <v>7.2542400000000002</v>
      </c>
      <c r="AE4891" s="152"/>
      <c r="AF4891" s="153"/>
      <c r="AG4891" s="153"/>
      <c r="AH4891" s="346"/>
      <c r="AI4891" s="218"/>
      <c r="AJ4891" s="218"/>
      <c r="AK4891" s="153"/>
      <c r="AL4891" s="152"/>
      <c r="AM4891" s="152"/>
      <c r="AN4891" s="152"/>
      <c r="AO4891" s="152"/>
      <c r="AP4891" s="152"/>
      <c r="AQ4891" s="152"/>
      <c r="AR4891" s="152"/>
      <c r="AS4891" s="152"/>
      <c r="AT4891" s="152"/>
      <c r="AU4891" s="153"/>
      <c r="AV4891" s="479"/>
      <c r="AW4891" s="479"/>
      <c r="AX4891" s="442"/>
      <c r="AY4891" s="153"/>
      <c r="AZ4891" s="152"/>
      <c r="BA4891" s="152"/>
      <c r="BB4891" s="152"/>
      <c r="BC4891" s="152"/>
      <c r="BD4891" s="152"/>
      <c r="BE4891" s="152"/>
      <c r="BF4891" s="152"/>
      <c r="BG4891" s="152"/>
      <c r="BH4891" s="152"/>
      <c r="BI4891" s="153"/>
      <c r="BJ4891" s="153"/>
      <c r="BK4891" s="153"/>
      <c r="BL4891" s="153"/>
      <c r="BM4891" s="153"/>
      <c r="BN4891" s="153"/>
      <c r="BO4891" s="153"/>
      <c r="BP4891" s="153"/>
      <c r="BQ4891" s="153"/>
      <c r="BR4891" s="153"/>
      <c r="BS4891" s="153"/>
      <c r="BT4891" s="153"/>
      <c r="BU4891" s="153"/>
      <c r="BV4891" s="153"/>
      <c r="BW4891" s="153"/>
      <c r="BX4891" s="153"/>
      <c r="BY4891" s="153"/>
      <c r="BZ4891" s="153"/>
      <c r="CA4891" s="152"/>
      <c r="CB4891" s="152"/>
    </row>
    <row r="4892" spans="1:80" s="87" customFormat="1" x14ac:dyDescent="0.2">
      <c r="A4892" s="152"/>
      <c r="B4892" s="683"/>
      <c r="C4892" s="683"/>
      <c r="D4892" s="698"/>
      <c r="E4892" s="215"/>
      <c r="F4892" s="215"/>
      <c r="G4892" s="446"/>
      <c r="H4892" s="153"/>
      <c r="I4892" s="153"/>
      <c r="J4892" s="153"/>
      <c r="K4892" s="153"/>
      <c r="L4892" s="656">
        <v>10</v>
      </c>
      <c r="M4892" s="666">
        <v>34172</v>
      </c>
      <c r="N4892" s="600">
        <v>3.2994968399999998</v>
      </c>
      <c r="O4892" s="604">
        <v>0.74622515181900007</v>
      </c>
      <c r="P4892" s="478"/>
      <c r="Q4892" s="478">
        <v>2.123395829177753E-2</v>
      </c>
      <c r="R4892" s="478">
        <v>3.2617111190462393E-2</v>
      </c>
      <c r="S4892" s="478">
        <v>9.0189596043426218E-2</v>
      </c>
      <c r="T4892" s="478">
        <v>0.12499577509902031</v>
      </c>
      <c r="U4892" s="478">
        <v>0.11733403757105934</v>
      </c>
      <c r="V4892" s="478">
        <v>0.11567445117018837</v>
      </c>
      <c r="W4892" s="478">
        <v>0.20900270154613582</v>
      </c>
      <c r="X4892" s="478">
        <v>0.2679353291309477</v>
      </c>
      <c r="Y4892" s="478">
        <v>2.1503705208218062E-2</v>
      </c>
      <c r="Z4892" s="231"/>
      <c r="AA4892" s="254"/>
      <c r="AB4892" s="255"/>
      <c r="AC4892" s="152"/>
      <c r="AD4892" s="223">
        <v>7.4676</v>
      </c>
      <c r="AE4892" s="152"/>
      <c r="AF4892" s="153"/>
      <c r="AG4892" s="153"/>
      <c r="AH4892" s="346"/>
      <c r="AI4892" s="218"/>
      <c r="AJ4892" s="218"/>
      <c r="AK4892" s="153"/>
      <c r="AL4892" s="152"/>
      <c r="AM4892" s="152"/>
      <c r="AN4892" s="152"/>
      <c r="AO4892" s="152"/>
      <c r="AP4892" s="152"/>
      <c r="AQ4892" s="152"/>
      <c r="AR4892" s="152"/>
      <c r="AS4892" s="152"/>
      <c r="AT4892" s="152"/>
      <c r="AU4892" s="153"/>
      <c r="AV4892" s="479"/>
      <c r="AW4892" s="479"/>
      <c r="AX4892" s="442"/>
      <c r="AY4892" s="153"/>
      <c r="AZ4892" s="152"/>
      <c r="BA4892" s="152"/>
      <c r="BB4892" s="152"/>
      <c r="BC4892" s="152"/>
      <c r="BD4892" s="152"/>
      <c r="BE4892" s="152"/>
      <c r="BF4892" s="152"/>
      <c r="BG4892" s="152"/>
      <c r="BH4892" s="152"/>
      <c r="BI4892" s="153"/>
      <c r="BJ4892" s="153"/>
      <c r="BK4892" s="153"/>
      <c r="BL4892" s="153"/>
      <c r="BM4892" s="153"/>
      <c r="BN4892" s="153"/>
      <c r="BO4892" s="153"/>
      <c r="BP4892" s="153"/>
      <c r="BQ4892" s="153"/>
      <c r="BR4892" s="153"/>
      <c r="BS4892" s="153"/>
      <c r="BT4892" s="153"/>
      <c r="BU4892" s="153"/>
      <c r="BV4892" s="153"/>
      <c r="BW4892" s="153"/>
      <c r="BX4892" s="153"/>
      <c r="BY4892" s="153"/>
      <c r="BZ4892" s="153"/>
      <c r="CA4892" s="152"/>
      <c r="CB4892" s="152"/>
    </row>
    <row r="4893" spans="1:80" s="87" customFormat="1" x14ac:dyDescent="0.2">
      <c r="A4893" s="152"/>
      <c r="B4893" s="683"/>
      <c r="C4893" s="683"/>
      <c r="D4893" s="698"/>
      <c r="E4893" s="215"/>
      <c r="F4893" s="215"/>
      <c r="G4893" s="446"/>
      <c r="H4893" s="153"/>
      <c r="I4893" s="153"/>
      <c r="J4893" s="153"/>
      <c r="K4893" s="153"/>
      <c r="L4893" s="656">
        <v>10</v>
      </c>
      <c r="M4893" s="666">
        <v>34178</v>
      </c>
      <c r="N4893" s="600">
        <v>2.52814176</v>
      </c>
      <c r="O4893" s="604">
        <v>0.58111233536317497</v>
      </c>
      <c r="P4893" s="478"/>
      <c r="Q4893" s="478">
        <v>1.1131769378044987E-2</v>
      </c>
      <c r="R4893" s="478">
        <v>2.1203370243895212E-2</v>
      </c>
      <c r="S4893" s="478">
        <v>6.334506860363695E-2</v>
      </c>
      <c r="T4893" s="478">
        <v>0.11953399974995926</v>
      </c>
      <c r="U4893" s="478">
        <v>0.15451956065238637</v>
      </c>
      <c r="V4893" s="478">
        <v>0.19037237579103963</v>
      </c>
      <c r="W4893" s="478">
        <v>0.2176820620117598</v>
      </c>
      <c r="X4893" s="478">
        <v>0.20442493277840051</v>
      </c>
      <c r="Y4893" s="478">
        <v>1.8025745132857117E-2</v>
      </c>
      <c r="Z4893" s="231"/>
      <c r="AA4893" s="254"/>
      <c r="AB4893" s="255"/>
      <c r="AC4893" s="152"/>
      <c r="AD4893" s="223">
        <v>7.0408800000000005</v>
      </c>
      <c r="AE4893" s="152"/>
      <c r="AF4893" s="153"/>
      <c r="AG4893" s="153"/>
      <c r="AH4893" s="346"/>
      <c r="AI4893" s="218"/>
      <c r="AJ4893" s="218"/>
      <c r="AK4893" s="153"/>
      <c r="AL4893" s="152"/>
      <c r="AM4893" s="152"/>
      <c r="AN4893" s="152"/>
      <c r="AO4893" s="152"/>
      <c r="AP4893" s="152"/>
      <c r="AQ4893" s="152"/>
      <c r="AR4893" s="152"/>
      <c r="AS4893" s="152"/>
      <c r="AT4893" s="152"/>
      <c r="AU4893" s="153"/>
      <c r="AV4893" s="479"/>
      <c r="AW4893" s="479"/>
      <c r="AX4893" s="442"/>
      <c r="AY4893" s="153"/>
      <c r="AZ4893" s="152"/>
      <c r="BA4893" s="152"/>
      <c r="BB4893" s="152"/>
      <c r="BC4893" s="152"/>
      <c r="BD4893" s="152"/>
      <c r="BE4893" s="152"/>
      <c r="BF4893" s="152"/>
      <c r="BG4893" s="152"/>
      <c r="BH4893" s="152"/>
      <c r="BI4893" s="153"/>
      <c r="BJ4893" s="153"/>
      <c r="BK4893" s="153"/>
      <c r="BL4893" s="153"/>
      <c r="BM4893" s="153"/>
      <c r="BN4893" s="153"/>
      <c r="BO4893" s="153"/>
      <c r="BP4893" s="153"/>
      <c r="BQ4893" s="153"/>
      <c r="BR4893" s="153"/>
      <c r="BS4893" s="153"/>
      <c r="BT4893" s="153"/>
      <c r="BU4893" s="153"/>
      <c r="BV4893" s="153"/>
      <c r="BW4893" s="153"/>
      <c r="BX4893" s="153"/>
      <c r="BY4893" s="153"/>
      <c r="BZ4893" s="153"/>
      <c r="CA4893" s="152"/>
      <c r="CB4893" s="152"/>
    </row>
    <row r="4894" spans="1:80" s="87" customFormat="1" x14ac:dyDescent="0.2">
      <c r="A4894" s="152"/>
      <c r="B4894" s="683"/>
      <c r="C4894" s="683"/>
      <c r="D4894" s="698"/>
      <c r="E4894" s="215"/>
      <c r="F4894" s="215"/>
      <c r="G4894" s="446"/>
      <c r="H4894" s="153"/>
      <c r="I4894" s="153"/>
      <c r="J4894" s="153"/>
      <c r="K4894" s="153"/>
      <c r="L4894" s="656">
        <v>10</v>
      </c>
      <c r="M4894" s="666">
        <v>34193</v>
      </c>
      <c r="N4894" s="600">
        <v>2.0552478599999997</v>
      </c>
      <c r="O4894" s="604">
        <v>0.56019074109075007</v>
      </c>
      <c r="P4894" s="478"/>
      <c r="Q4894" s="478">
        <v>3.0122077646525081E-2</v>
      </c>
      <c r="R4894" s="478">
        <v>3.3821280164519386E-2</v>
      </c>
      <c r="S4894" s="478">
        <v>6.9227932836750619E-2</v>
      </c>
      <c r="T4894" s="478">
        <v>8.9573546685719319E-2</v>
      </c>
      <c r="U4894" s="478">
        <v>0.1130899055501117</v>
      </c>
      <c r="V4894" s="478">
        <v>0.1464262119200663</v>
      </c>
      <c r="W4894" s="478">
        <v>0.32615513629848703</v>
      </c>
      <c r="X4894" s="478">
        <v>0.18210768955401749</v>
      </c>
      <c r="Y4894" s="478">
        <v>9.6735128938058978E-3</v>
      </c>
      <c r="Z4894" s="231"/>
      <c r="AA4894" s="254"/>
      <c r="AB4894" s="255"/>
      <c r="AC4894" s="152"/>
      <c r="AD4894" s="223">
        <v>6.7665600000000001</v>
      </c>
      <c r="AE4894" s="152"/>
      <c r="AF4894" s="153"/>
      <c r="AG4894" s="153"/>
      <c r="AH4894" s="346"/>
      <c r="AI4894" s="218"/>
      <c r="AJ4894" s="218"/>
      <c r="AK4894" s="153"/>
      <c r="AL4894" s="152"/>
      <c r="AM4894" s="152"/>
      <c r="AN4894" s="152"/>
      <c r="AO4894" s="152"/>
      <c r="AP4894" s="152"/>
      <c r="AQ4894" s="152"/>
      <c r="AR4894" s="152"/>
      <c r="AS4894" s="152"/>
      <c r="AT4894" s="152"/>
      <c r="AU4894" s="153"/>
      <c r="AV4894" s="479"/>
      <c r="AW4894" s="479"/>
      <c r="AX4894" s="442"/>
      <c r="AY4894" s="153"/>
      <c r="AZ4894" s="152"/>
      <c r="BA4894" s="152"/>
      <c r="BB4894" s="152"/>
      <c r="BC4894" s="152"/>
      <c r="BD4894" s="152"/>
      <c r="BE4894" s="152"/>
      <c r="BF4894" s="152"/>
      <c r="BG4894" s="152"/>
      <c r="BH4894" s="152"/>
      <c r="BI4894" s="153"/>
      <c r="BJ4894" s="153"/>
      <c r="BK4894" s="153"/>
      <c r="BL4894" s="153"/>
      <c r="BM4894" s="153"/>
      <c r="BN4894" s="153"/>
      <c r="BO4894" s="153"/>
      <c r="BP4894" s="153"/>
      <c r="BQ4894" s="153"/>
      <c r="BR4894" s="153"/>
      <c r="BS4894" s="153"/>
      <c r="BT4894" s="153"/>
      <c r="BU4894" s="153"/>
      <c r="BV4894" s="153"/>
      <c r="BW4894" s="153"/>
      <c r="BX4894" s="153"/>
      <c r="BY4894" s="153"/>
      <c r="BZ4894" s="153"/>
      <c r="CA4894" s="152"/>
      <c r="CB4894" s="152"/>
    </row>
    <row r="4895" spans="1:80" s="87" customFormat="1" x14ac:dyDescent="0.2">
      <c r="A4895" s="152"/>
      <c r="B4895" s="683"/>
      <c r="C4895" s="683"/>
      <c r="D4895" s="698"/>
      <c r="E4895" s="215"/>
      <c r="F4895" s="215"/>
      <c r="G4895" s="446"/>
      <c r="H4895" s="153"/>
      <c r="I4895" s="153"/>
      <c r="J4895" s="153"/>
      <c r="K4895" s="153"/>
      <c r="L4895" s="656">
        <v>10</v>
      </c>
      <c r="M4895" s="666">
        <v>34199</v>
      </c>
      <c r="N4895" s="600">
        <v>1.9954989899999998</v>
      </c>
      <c r="O4895" s="604">
        <v>0.22788290000227501</v>
      </c>
      <c r="P4895" s="478"/>
      <c r="Q4895" s="478">
        <v>5.7668401182663573E-3</v>
      </c>
      <c r="R4895" s="478">
        <v>2.5630400525628254E-2</v>
      </c>
      <c r="S4895" s="478">
        <v>5.8309161195804281E-2</v>
      </c>
      <c r="T4895" s="478">
        <v>8.5861841760854651E-2</v>
      </c>
      <c r="U4895" s="478">
        <v>0.11469604235218643</v>
      </c>
      <c r="V4895" s="478">
        <v>0.12830016079217652</v>
      </c>
      <c r="W4895" s="478">
        <v>0.33229741645173716</v>
      </c>
      <c r="X4895" s="478">
        <v>0.23350629264176126</v>
      </c>
      <c r="Y4895" s="478">
        <v>1.6452378668943567E-2</v>
      </c>
      <c r="Z4895" s="231"/>
      <c r="AA4895" s="254"/>
      <c r="AB4895" s="255"/>
      <c r="AC4895" s="152"/>
      <c r="AD4895" s="223">
        <v>6.6751199999999997</v>
      </c>
      <c r="AE4895" s="152"/>
      <c r="AF4895" s="153"/>
      <c r="AG4895" s="153"/>
      <c r="AH4895" s="346"/>
      <c r="AI4895" s="218"/>
      <c r="AJ4895" s="218"/>
      <c r="AK4895" s="153"/>
      <c r="AL4895" s="152"/>
      <c r="AM4895" s="152"/>
      <c r="AN4895" s="152"/>
      <c r="AO4895" s="152"/>
      <c r="AP4895" s="152"/>
      <c r="AQ4895" s="152"/>
      <c r="AR4895" s="152"/>
      <c r="AS4895" s="152"/>
      <c r="AT4895" s="152"/>
      <c r="AU4895" s="153"/>
      <c r="AV4895" s="479"/>
      <c r="AW4895" s="479"/>
      <c r="AX4895" s="442"/>
      <c r="AY4895" s="153"/>
      <c r="AZ4895" s="152"/>
      <c r="BA4895" s="152"/>
      <c r="BB4895" s="152"/>
      <c r="BC4895" s="152"/>
      <c r="BD4895" s="152"/>
      <c r="BE4895" s="152"/>
      <c r="BF4895" s="152"/>
      <c r="BG4895" s="152"/>
      <c r="BH4895" s="152"/>
      <c r="BI4895" s="153"/>
      <c r="BJ4895" s="153"/>
      <c r="BK4895" s="153"/>
      <c r="BL4895" s="153"/>
      <c r="BM4895" s="153"/>
      <c r="BN4895" s="153"/>
      <c r="BO4895" s="153"/>
      <c r="BP4895" s="153"/>
      <c r="BQ4895" s="153"/>
      <c r="BR4895" s="153"/>
      <c r="BS4895" s="153"/>
      <c r="BT4895" s="153"/>
      <c r="BU4895" s="153"/>
      <c r="BV4895" s="153"/>
      <c r="BW4895" s="153"/>
      <c r="BX4895" s="153"/>
      <c r="BY4895" s="153"/>
      <c r="BZ4895" s="153"/>
      <c r="CA4895" s="152"/>
      <c r="CB4895" s="152"/>
    </row>
    <row r="4896" spans="1:80" s="87" customFormat="1" x14ac:dyDescent="0.2">
      <c r="A4896" s="152"/>
      <c r="B4896" s="683"/>
      <c r="C4896" s="683"/>
      <c r="D4896" s="698"/>
      <c r="E4896" s="215"/>
      <c r="F4896" s="215"/>
      <c r="G4896" s="446"/>
      <c r="H4896" s="153"/>
      <c r="I4896" s="153"/>
      <c r="J4896" s="153"/>
      <c r="K4896" s="153"/>
      <c r="L4896" s="656">
        <v>10</v>
      </c>
      <c r="M4896" s="666">
        <v>34206</v>
      </c>
      <c r="N4896" s="600">
        <v>1.9363164599999998</v>
      </c>
      <c r="O4896" s="604">
        <v>0.42819075048749994</v>
      </c>
      <c r="P4896" s="478"/>
      <c r="Q4896" s="478">
        <v>5.6523932318586018E-2</v>
      </c>
      <c r="R4896" s="478">
        <v>4.316373013419296E-2</v>
      </c>
      <c r="S4896" s="478">
        <v>6.7143580208744599E-2</v>
      </c>
      <c r="T4896" s="478">
        <v>0.11852897322564097</v>
      </c>
      <c r="U4896" s="478">
        <v>0.11441814178428926</v>
      </c>
      <c r="V4896" s="478">
        <v>0.11383735576944178</v>
      </c>
      <c r="W4896" s="478">
        <v>0.24070428840406061</v>
      </c>
      <c r="X4896" s="478">
        <v>0.2290462459457443</v>
      </c>
      <c r="Y4896" s="478">
        <v>1.7184468908960835E-2</v>
      </c>
      <c r="Z4896" s="231"/>
      <c r="AA4896" s="254"/>
      <c r="AB4896" s="255"/>
      <c r="AC4896" s="152"/>
      <c r="AD4896" s="223">
        <v>6.7056000000000004</v>
      </c>
      <c r="AE4896" s="152"/>
      <c r="AF4896" s="153"/>
      <c r="AG4896" s="153"/>
      <c r="AH4896" s="346"/>
      <c r="AI4896" s="218"/>
      <c r="AJ4896" s="218"/>
      <c r="AK4896" s="153"/>
      <c r="AL4896" s="152"/>
      <c r="AM4896" s="152"/>
      <c r="AN4896" s="152"/>
      <c r="AO4896" s="152"/>
      <c r="AP4896" s="152"/>
      <c r="AQ4896" s="152"/>
      <c r="AR4896" s="152"/>
      <c r="AS4896" s="152"/>
      <c r="AT4896" s="152"/>
      <c r="AU4896" s="153"/>
      <c r="AV4896" s="479"/>
      <c r="AW4896" s="479"/>
      <c r="AX4896" s="442"/>
      <c r="AY4896" s="153"/>
      <c r="AZ4896" s="152"/>
      <c r="BA4896" s="152"/>
      <c r="BB4896" s="152"/>
      <c r="BC4896" s="152"/>
      <c r="BD4896" s="152"/>
      <c r="BE4896" s="152"/>
      <c r="BF4896" s="152"/>
      <c r="BG4896" s="152"/>
      <c r="BH4896" s="152"/>
      <c r="BI4896" s="153"/>
      <c r="BJ4896" s="153"/>
      <c r="BK4896" s="153"/>
      <c r="BL4896" s="153"/>
      <c r="BM4896" s="153"/>
      <c r="BN4896" s="153"/>
      <c r="BO4896" s="153"/>
      <c r="BP4896" s="153"/>
      <c r="BQ4896" s="153"/>
      <c r="BR4896" s="153"/>
      <c r="BS4896" s="153"/>
      <c r="BT4896" s="153"/>
      <c r="BU4896" s="153"/>
      <c r="BV4896" s="153"/>
      <c r="BW4896" s="153"/>
      <c r="BX4896" s="153"/>
      <c r="BY4896" s="153"/>
      <c r="BZ4896" s="153"/>
      <c r="CA4896" s="152"/>
      <c r="CB4896" s="152"/>
    </row>
    <row r="4897" spans="1:80" s="87" customFormat="1" x14ac:dyDescent="0.2">
      <c r="A4897" s="152"/>
      <c r="B4897" s="683"/>
      <c r="C4897" s="683"/>
      <c r="D4897" s="698"/>
      <c r="E4897" s="215"/>
      <c r="F4897" s="215"/>
      <c r="G4897" s="446"/>
      <c r="H4897" s="153"/>
      <c r="I4897" s="153"/>
      <c r="J4897" s="153"/>
      <c r="K4897" s="153"/>
      <c r="L4897" s="656">
        <v>10</v>
      </c>
      <c r="M4897" s="666">
        <v>34214</v>
      </c>
      <c r="N4897" s="600">
        <v>1.7641490999999998</v>
      </c>
      <c r="O4897" s="604">
        <v>0.17884789819312499</v>
      </c>
      <c r="P4897" s="478"/>
      <c r="Q4897" s="478">
        <v>4.1638346467782333E-2</v>
      </c>
      <c r="R4897" s="478">
        <v>4.1638346467782333E-2</v>
      </c>
      <c r="S4897" s="478">
        <v>5.3068480792271597E-2</v>
      </c>
      <c r="T4897" s="478">
        <v>0.10205477075436846</v>
      </c>
      <c r="U4897" s="478">
        <v>0.14777530805232553</v>
      </c>
      <c r="V4897" s="478">
        <v>0.17241446934911986</v>
      </c>
      <c r="W4897" s="478">
        <v>0.21899088997897687</v>
      </c>
      <c r="X4897" s="478">
        <v>0.21081958811408968</v>
      </c>
      <c r="Y4897" s="478">
        <v>1.2120083491093937E-2</v>
      </c>
      <c r="Z4897" s="231"/>
      <c r="AA4897" s="254"/>
      <c r="AB4897" s="255"/>
      <c r="AC4897" s="152"/>
      <c r="AD4897" s="223">
        <v>6.6751199999999997</v>
      </c>
      <c r="AE4897" s="152"/>
      <c r="AF4897" s="153"/>
      <c r="AG4897" s="153"/>
      <c r="AH4897" s="346"/>
      <c r="AI4897" s="218"/>
      <c r="AJ4897" s="218"/>
      <c r="AK4897" s="153"/>
      <c r="AL4897" s="152"/>
      <c r="AM4897" s="152"/>
      <c r="AN4897" s="152"/>
      <c r="AO4897" s="152"/>
      <c r="AP4897" s="152"/>
      <c r="AQ4897" s="152"/>
      <c r="AR4897" s="152"/>
      <c r="AS4897" s="152"/>
      <c r="AT4897" s="152"/>
      <c r="AU4897" s="153"/>
      <c r="AV4897" s="479"/>
      <c r="AW4897" s="479"/>
      <c r="AX4897" s="442"/>
      <c r="AY4897" s="153"/>
      <c r="AZ4897" s="152"/>
      <c r="BA4897" s="152"/>
      <c r="BB4897" s="152"/>
      <c r="BC4897" s="152"/>
      <c r="BD4897" s="152"/>
      <c r="BE4897" s="152"/>
      <c r="BF4897" s="152"/>
      <c r="BG4897" s="152"/>
      <c r="BH4897" s="152"/>
      <c r="BI4897" s="153"/>
      <c r="BJ4897" s="153"/>
      <c r="BK4897" s="153"/>
      <c r="BL4897" s="153"/>
      <c r="BM4897" s="153"/>
      <c r="BN4897" s="153"/>
      <c r="BO4897" s="153"/>
      <c r="BP4897" s="153"/>
      <c r="BQ4897" s="153"/>
      <c r="BR4897" s="153"/>
      <c r="BS4897" s="153"/>
      <c r="BT4897" s="153"/>
      <c r="BU4897" s="153"/>
      <c r="BV4897" s="153"/>
      <c r="BW4897" s="153"/>
      <c r="BX4897" s="153"/>
      <c r="BY4897" s="153"/>
      <c r="BZ4897" s="153"/>
      <c r="CA4897" s="152"/>
      <c r="CB4897" s="152"/>
    </row>
    <row r="4898" spans="1:80" s="87" customFormat="1" x14ac:dyDescent="0.2">
      <c r="A4898" s="152"/>
      <c r="B4898" s="683"/>
      <c r="C4898" s="683"/>
      <c r="D4898" s="698"/>
      <c r="E4898" s="215"/>
      <c r="F4898" s="215"/>
      <c r="G4898" s="446"/>
      <c r="H4898" s="153"/>
      <c r="I4898" s="153"/>
      <c r="J4898" s="153"/>
      <c r="K4898" s="153"/>
      <c r="L4898" s="656">
        <v>10</v>
      </c>
      <c r="M4898" s="666">
        <v>34221</v>
      </c>
      <c r="N4898" s="600">
        <v>1.6808971199999998</v>
      </c>
      <c r="O4898" s="604">
        <v>0.19446147798000002</v>
      </c>
      <c r="P4898" s="478"/>
      <c r="Q4898" s="478"/>
      <c r="R4898" s="478"/>
      <c r="S4898" s="478">
        <v>2.8663929010008235E-2</v>
      </c>
      <c r="T4898" s="478">
        <v>6.3362369390544515E-2</v>
      </c>
      <c r="U4898" s="478">
        <v>9.5043554085816787E-2</v>
      </c>
      <c r="V4898" s="478">
        <v>0.14643572796257404</v>
      </c>
      <c r="W4898" s="478">
        <v>0.33740603298593091</v>
      </c>
      <c r="X4898" s="478">
        <v>0.31174203942547979</v>
      </c>
      <c r="Y4898" s="478">
        <v>1.7895351745034562E-2</v>
      </c>
      <c r="Z4898" s="231"/>
      <c r="AA4898" s="254"/>
      <c r="AB4898" s="255"/>
      <c r="AC4898" s="152"/>
      <c r="AD4898" s="223">
        <v>6.7056000000000004</v>
      </c>
      <c r="AE4898" s="152"/>
      <c r="AF4898" s="153"/>
      <c r="AG4898" s="153"/>
      <c r="AH4898" s="346"/>
      <c r="AI4898" s="218"/>
      <c r="AJ4898" s="218"/>
      <c r="AK4898" s="153"/>
      <c r="AL4898" s="152"/>
      <c r="AM4898" s="152"/>
      <c r="AN4898" s="152"/>
      <c r="AO4898" s="152"/>
      <c r="AP4898" s="152"/>
      <c r="AQ4898" s="152"/>
      <c r="AR4898" s="152"/>
      <c r="AS4898" s="152"/>
      <c r="AT4898" s="152"/>
      <c r="AU4898" s="153"/>
      <c r="AV4898" s="479"/>
      <c r="AW4898" s="479"/>
      <c r="AX4898" s="442"/>
      <c r="AY4898" s="153"/>
      <c r="AZ4898" s="152"/>
      <c r="BA4898" s="152"/>
      <c r="BB4898" s="152"/>
      <c r="BC4898" s="152"/>
      <c r="BD4898" s="152"/>
      <c r="BE4898" s="152"/>
      <c r="BF4898" s="152"/>
      <c r="BG4898" s="152"/>
      <c r="BH4898" s="152"/>
      <c r="BI4898" s="153"/>
      <c r="BJ4898" s="153"/>
      <c r="BK4898" s="153"/>
      <c r="BL4898" s="153"/>
      <c r="BM4898" s="153"/>
      <c r="BN4898" s="153"/>
      <c r="BO4898" s="153"/>
      <c r="BP4898" s="153"/>
      <c r="BQ4898" s="153"/>
      <c r="BR4898" s="153"/>
      <c r="BS4898" s="153"/>
      <c r="BT4898" s="153"/>
      <c r="BU4898" s="153"/>
      <c r="BV4898" s="153"/>
      <c r="BW4898" s="153"/>
      <c r="BX4898" s="153"/>
      <c r="BY4898" s="153"/>
      <c r="BZ4898" s="153"/>
      <c r="CA4898" s="152"/>
      <c r="CB4898" s="152"/>
    </row>
    <row r="4899" spans="1:80" s="87" customFormat="1" x14ac:dyDescent="0.2">
      <c r="A4899" s="152"/>
      <c r="B4899" s="683"/>
      <c r="C4899" s="683"/>
      <c r="D4899" s="698"/>
      <c r="E4899" s="215"/>
      <c r="F4899" s="215"/>
      <c r="G4899" s="446"/>
      <c r="H4899" s="153"/>
      <c r="I4899" s="153"/>
      <c r="J4899" s="153"/>
      <c r="K4899" s="153"/>
      <c r="L4899" s="656">
        <v>10</v>
      </c>
      <c r="M4899" s="666">
        <v>34228</v>
      </c>
      <c r="N4899" s="600">
        <v>1.7083646099999998</v>
      </c>
      <c r="O4899" s="604">
        <v>0.26878280191770004</v>
      </c>
      <c r="P4899" s="478"/>
      <c r="Q4899" s="478"/>
      <c r="R4899" s="478">
        <v>2.000874111598375E-2</v>
      </c>
      <c r="S4899" s="478">
        <v>4.0017482231967501E-2</v>
      </c>
      <c r="T4899" s="478">
        <v>3.8935928658130538E-2</v>
      </c>
      <c r="U4899" s="478">
        <v>5.8944669774114292E-2</v>
      </c>
      <c r="V4899" s="478">
        <v>9.6299830496068009E-2</v>
      </c>
      <c r="W4899" s="478">
        <v>0.32514718049515101</v>
      </c>
      <c r="X4899" s="478">
        <v>0.38033022943110006</v>
      </c>
      <c r="Y4899" s="478">
        <v>4.0679537048844083E-2</v>
      </c>
      <c r="Z4899" s="231"/>
      <c r="AA4899" s="254"/>
      <c r="AB4899" s="255"/>
      <c r="AC4899" s="152"/>
      <c r="AD4899" s="223">
        <v>6.6446400000000008</v>
      </c>
      <c r="AE4899" s="152"/>
      <c r="AF4899" s="153"/>
      <c r="AG4899" s="153"/>
      <c r="AH4899" s="346"/>
      <c r="AI4899" s="218"/>
      <c r="AJ4899" s="218"/>
      <c r="AK4899" s="153"/>
      <c r="AL4899" s="152"/>
      <c r="AM4899" s="152"/>
      <c r="AN4899" s="152"/>
      <c r="AO4899" s="152"/>
      <c r="AP4899" s="152"/>
      <c r="AQ4899" s="152"/>
      <c r="AR4899" s="152"/>
      <c r="AS4899" s="152"/>
      <c r="AT4899" s="152"/>
      <c r="AU4899" s="153"/>
      <c r="AV4899" s="479"/>
      <c r="AW4899" s="479"/>
      <c r="AX4899" s="442"/>
      <c r="AY4899" s="153"/>
      <c r="AZ4899" s="152"/>
      <c r="BA4899" s="152"/>
      <c r="BB4899" s="152"/>
      <c r="BC4899" s="152"/>
      <c r="BD4899" s="152"/>
      <c r="BE4899" s="152"/>
      <c r="BF4899" s="152"/>
      <c r="BG4899" s="152"/>
      <c r="BH4899" s="152"/>
      <c r="BI4899" s="153"/>
      <c r="BJ4899" s="153"/>
      <c r="BK4899" s="153"/>
      <c r="BL4899" s="153"/>
      <c r="BM4899" s="153"/>
      <c r="BN4899" s="153"/>
      <c r="BO4899" s="153"/>
      <c r="BP4899" s="153"/>
      <c r="BQ4899" s="153"/>
      <c r="BR4899" s="153"/>
      <c r="BS4899" s="153"/>
      <c r="BT4899" s="153"/>
      <c r="BU4899" s="153"/>
      <c r="BV4899" s="153"/>
      <c r="BW4899" s="153"/>
      <c r="BX4899" s="153"/>
      <c r="BY4899" s="153"/>
      <c r="BZ4899" s="153"/>
      <c r="CA4899" s="152"/>
      <c r="CB4899" s="152"/>
    </row>
    <row r="4900" spans="1:80" s="87" customFormat="1" x14ac:dyDescent="0.2">
      <c r="A4900" s="152"/>
      <c r="B4900" s="683"/>
      <c r="C4900" s="683"/>
      <c r="D4900" s="698"/>
      <c r="E4900" s="215"/>
      <c r="F4900" s="215"/>
      <c r="G4900" s="153"/>
      <c r="H4900" s="153"/>
      <c r="I4900" s="153"/>
      <c r="J4900" s="153"/>
      <c r="K4900" s="153"/>
      <c r="L4900" s="656">
        <v>25</v>
      </c>
      <c r="M4900" s="666">
        <v>35143</v>
      </c>
      <c r="N4900" s="600">
        <v>1.9668988199999997</v>
      </c>
      <c r="O4900" s="604">
        <v>0.22000162476600002</v>
      </c>
      <c r="P4900" s="478"/>
      <c r="Q4900" s="478"/>
      <c r="R4900" s="478">
        <v>2.674341169188163E-2</v>
      </c>
      <c r="S4900" s="478">
        <v>5.4182105148898839E-2</v>
      </c>
      <c r="T4900" s="478">
        <v>5.2668327128603656E-2</v>
      </c>
      <c r="U4900" s="478">
        <v>7.0443484153736483E-2</v>
      </c>
      <c r="V4900" s="478">
        <v>9.7582600832614039E-2</v>
      </c>
      <c r="W4900" s="478">
        <v>0.22187872489093224</v>
      </c>
      <c r="X4900" s="478">
        <v>0.45014591296893253</v>
      </c>
      <c r="Y4900" s="478">
        <v>2.6951329070443373E-2</v>
      </c>
      <c r="Z4900" s="231"/>
      <c r="AA4900" s="254"/>
      <c r="AB4900" s="255"/>
      <c r="AC4900" s="152"/>
      <c r="AD4900" s="223">
        <v>7.3761600000000005</v>
      </c>
      <c r="AE4900" s="152"/>
      <c r="AF4900" s="153"/>
      <c r="AG4900" s="153"/>
      <c r="AH4900" s="346"/>
      <c r="AI4900" s="218"/>
      <c r="AJ4900" s="218"/>
      <c r="AK4900" s="153"/>
      <c r="AL4900" s="152"/>
      <c r="AM4900" s="152"/>
      <c r="AN4900" s="152"/>
      <c r="AO4900" s="152"/>
      <c r="AP4900" s="152"/>
      <c r="AQ4900" s="152"/>
      <c r="AR4900" s="152"/>
      <c r="AS4900" s="152"/>
      <c r="AT4900" s="152"/>
      <c r="AU4900" s="153"/>
      <c r="AV4900" s="479"/>
      <c r="AW4900" s="479"/>
      <c r="AX4900" s="442"/>
      <c r="AY4900" s="153"/>
      <c r="AZ4900" s="152"/>
      <c r="BA4900" s="152"/>
      <c r="BB4900" s="152"/>
      <c r="BC4900" s="152"/>
      <c r="BD4900" s="152"/>
      <c r="BE4900" s="152"/>
      <c r="BF4900" s="152"/>
      <c r="BG4900" s="152"/>
      <c r="BH4900" s="152"/>
      <c r="BI4900" s="153"/>
      <c r="BJ4900" s="153"/>
      <c r="BK4900" s="153"/>
      <c r="BL4900" s="153"/>
      <c r="BM4900" s="153"/>
      <c r="BN4900" s="153"/>
      <c r="BO4900" s="153"/>
      <c r="BP4900" s="153"/>
      <c r="BQ4900" s="153"/>
      <c r="BR4900" s="153"/>
      <c r="BS4900" s="153"/>
      <c r="BT4900" s="153"/>
      <c r="BU4900" s="153"/>
      <c r="BV4900" s="153"/>
      <c r="BW4900" s="153"/>
      <c r="BX4900" s="153"/>
      <c r="BY4900" s="153"/>
      <c r="BZ4900" s="153"/>
      <c r="CA4900" s="152"/>
      <c r="CB4900" s="152"/>
    </row>
    <row r="4901" spans="1:80" s="87" customFormat="1" x14ac:dyDescent="0.2">
      <c r="A4901" s="152"/>
      <c r="B4901" s="683"/>
      <c r="C4901" s="683"/>
      <c r="D4901" s="698"/>
      <c r="E4901" s="215"/>
      <c r="F4901" s="215"/>
      <c r="G4901" s="153"/>
      <c r="H4901" s="153"/>
      <c r="I4901" s="153"/>
      <c r="J4901" s="153"/>
      <c r="K4901" s="153"/>
      <c r="L4901" s="656">
        <v>2.5</v>
      </c>
      <c r="M4901" s="666">
        <v>35207</v>
      </c>
      <c r="N4901" s="600">
        <v>3.9168074399999995</v>
      </c>
      <c r="O4901" s="604">
        <v>1.1680960737599999</v>
      </c>
      <c r="P4901" s="478"/>
      <c r="Q4901" s="478">
        <v>2.2893033236489009E-2</v>
      </c>
      <c r="R4901" s="478">
        <v>3.0313076394497956E-2</v>
      </c>
      <c r="S4901" s="478">
        <v>9.5731214813564627E-2</v>
      </c>
      <c r="T4901" s="478">
        <v>0.16359658111415173</v>
      </c>
      <c r="U4901" s="478">
        <v>0.17319260768405442</v>
      </c>
      <c r="V4901" s="478">
        <v>0.12196962379871543</v>
      </c>
      <c r="W4901" s="478">
        <v>0.14454653015888347</v>
      </c>
      <c r="X4901" s="478">
        <v>0.2304051769932873</v>
      </c>
      <c r="Y4901" s="478">
        <v>1.8115854541942339E-2</v>
      </c>
      <c r="Z4901" s="231"/>
      <c r="AA4901" s="254"/>
      <c r="AB4901" s="255"/>
      <c r="AC4901" s="152"/>
      <c r="AD4901" s="223">
        <v>8.0467200000000005</v>
      </c>
      <c r="AE4901" s="152"/>
      <c r="AF4901" s="153"/>
      <c r="AG4901" s="153"/>
      <c r="AH4901" s="346"/>
      <c r="AI4901" s="218"/>
      <c r="AJ4901" s="218"/>
      <c r="AK4901" s="153"/>
      <c r="AL4901" s="152"/>
      <c r="AM4901" s="152"/>
      <c r="AN4901" s="152"/>
      <c r="AO4901" s="152"/>
      <c r="AP4901" s="152"/>
      <c r="AQ4901" s="152"/>
      <c r="AR4901" s="152"/>
      <c r="AS4901" s="152"/>
      <c r="AT4901" s="152"/>
      <c r="AU4901" s="153"/>
      <c r="AV4901" s="479"/>
      <c r="AW4901" s="479"/>
      <c r="AX4901" s="442"/>
      <c r="AY4901" s="153"/>
      <c r="AZ4901" s="152"/>
      <c r="BA4901" s="152"/>
      <c r="BB4901" s="152"/>
      <c r="BC4901" s="152"/>
      <c r="BD4901" s="152"/>
      <c r="BE4901" s="152"/>
      <c r="BF4901" s="152"/>
      <c r="BG4901" s="152"/>
      <c r="BH4901" s="152"/>
      <c r="BI4901" s="153"/>
      <c r="BJ4901" s="153"/>
      <c r="BK4901" s="153"/>
      <c r="BL4901" s="153"/>
      <c r="BM4901" s="153"/>
      <c r="BN4901" s="153"/>
      <c r="BO4901" s="153"/>
      <c r="BP4901" s="153"/>
      <c r="BQ4901" s="153"/>
      <c r="BR4901" s="153"/>
      <c r="BS4901" s="153"/>
      <c r="BT4901" s="153"/>
      <c r="BU4901" s="153"/>
      <c r="BV4901" s="153"/>
      <c r="BW4901" s="153"/>
      <c r="BX4901" s="153"/>
      <c r="BY4901" s="153"/>
      <c r="BZ4901" s="153"/>
      <c r="CA4901" s="152"/>
      <c r="CB4901" s="152"/>
    </row>
    <row r="4902" spans="1:80" s="87" customFormat="1" x14ac:dyDescent="0.2">
      <c r="A4902" s="152"/>
      <c r="B4902" s="683"/>
      <c r="C4902" s="683"/>
      <c r="D4902" s="698"/>
      <c r="E4902" s="215"/>
      <c r="F4902" s="215"/>
      <c r="G4902" s="153"/>
      <c r="H4902" s="153"/>
      <c r="I4902" s="153"/>
      <c r="J4902" s="153"/>
      <c r="K4902" s="153"/>
      <c r="L4902" s="656">
        <v>5</v>
      </c>
      <c r="M4902" s="666">
        <v>35207</v>
      </c>
      <c r="N4902" s="600">
        <v>3.9173737799999997</v>
      </c>
      <c r="O4902" s="604">
        <v>0.55759193027999998</v>
      </c>
      <c r="P4902" s="478"/>
      <c r="Q4902" s="478"/>
      <c r="R4902" s="478">
        <v>6.0611034996559059E-2</v>
      </c>
      <c r="S4902" s="478">
        <v>8.4192515799907816E-2</v>
      </c>
      <c r="T4902" s="478">
        <v>0.12372858883620498</v>
      </c>
      <c r="U4902" s="478">
        <v>9.7141810880943508E-2</v>
      </c>
      <c r="V4902" s="478">
        <v>7.6050725783498307E-2</v>
      </c>
      <c r="W4902" s="478">
        <v>0.1570159071503115</v>
      </c>
      <c r="X4902" s="478">
        <v>0.36754688340027197</v>
      </c>
      <c r="Y4902" s="478">
        <v>3.4843932829448782E-2</v>
      </c>
      <c r="Z4902" s="231"/>
      <c r="AA4902" s="254"/>
      <c r="AB4902" s="255"/>
      <c r="AC4902" s="152"/>
      <c r="AD4902" s="223">
        <v>8.0467200000000005</v>
      </c>
      <c r="AE4902" s="152"/>
      <c r="AF4902" s="153"/>
      <c r="AG4902" s="153"/>
      <c r="AH4902" s="346"/>
      <c r="AI4902" s="218"/>
      <c r="AJ4902" s="218"/>
      <c r="AK4902" s="153"/>
      <c r="AL4902" s="152"/>
      <c r="AM4902" s="152"/>
      <c r="AN4902" s="152"/>
      <c r="AO4902" s="152"/>
      <c r="AP4902" s="152"/>
      <c r="AQ4902" s="152"/>
      <c r="AR4902" s="152"/>
      <c r="AS4902" s="152"/>
      <c r="AT4902" s="152"/>
      <c r="AU4902" s="153"/>
      <c r="AV4902" s="479"/>
      <c r="AW4902" s="479"/>
      <c r="AX4902" s="442"/>
      <c r="AY4902" s="153"/>
      <c r="AZ4902" s="152"/>
      <c r="BA4902" s="152"/>
      <c r="BB4902" s="152"/>
      <c r="BC4902" s="152"/>
      <c r="BD4902" s="152"/>
      <c r="BE4902" s="152"/>
      <c r="BF4902" s="152"/>
      <c r="BG4902" s="152"/>
      <c r="BH4902" s="152"/>
      <c r="BI4902" s="153"/>
      <c r="BJ4902" s="153"/>
      <c r="BK4902" s="153"/>
      <c r="BL4902" s="153"/>
      <c r="BM4902" s="153"/>
      <c r="BN4902" s="153"/>
      <c r="BO4902" s="153"/>
      <c r="BP4902" s="153"/>
      <c r="BQ4902" s="153"/>
      <c r="BR4902" s="153"/>
      <c r="BS4902" s="153"/>
      <c r="BT4902" s="153"/>
      <c r="BU4902" s="153"/>
      <c r="BV4902" s="153"/>
      <c r="BW4902" s="153"/>
      <c r="BX4902" s="153"/>
      <c r="BY4902" s="153"/>
      <c r="BZ4902" s="153"/>
      <c r="CA4902" s="152"/>
      <c r="CB4902" s="152"/>
    </row>
    <row r="4903" spans="1:80" s="87" customFormat="1" x14ac:dyDescent="0.2">
      <c r="A4903" s="152"/>
      <c r="B4903" s="683"/>
      <c r="C4903" s="683"/>
      <c r="D4903" s="698"/>
      <c r="E4903" s="215"/>
      <c r="F4903" s="215"/>
      <c r="G4903" s="153"/>
      <c r="H4903" s="153"/>
      <c r="I4903" s="153"/>
      <c r="J4903" s="153"/>
      <c r="K4903" s="153"/>
      <c r="L4903" s="656">
        <v>2.5</v>
      </c>
      <c r="M4903" s="666">
        <v>35207</v>
      </c>
      <c r="N4903" s="600">
        <v>3.9173737799999997</v>
      </c>
      <c r="O4903" s="604">
        <v>1.0130699779199999</v>
      </c>
      <c r="P4903" s="478"/>
      <c r="Q4903" s="478">
        <v>5.191682188429568E-2</v>
      </c>
      <c r="R4903" s="478">
        <v>3.7502432515081591E-2</v>
      </c>
      <c r="S4903" s="478">
        <v>0.14007116844124431</v>
      </c>
      <c r="T4903" s="478">
        <v>0.16747518834616773</v>
      </c>
      <c r="U4903" s="478">
        <v>0.14810541825359316</v>
      </c>
      <c r="V4903" s="478">
        <v>8.95196202619747E-2</v>
      </c>
      <c r="W4903" s="478">
        <v>0.11332284692158855</v>
      </c>
      <c r="X4903" s="478">
        <v>0.23594426425757598</v>
      </c>
      <c r="Y4903" s="478">
        <v>1.6794498809838666E-2</v>
      </c>
      <c r="Z4903" s="231"/>
      <c r="AA4903" s="254"/>
      <c r="AB4903" s="255"/>
      <c r="AC4903" s="152"/>
      <c r="AD4903" s="223">
        <v>8.0467200000000005</v>
      </c>
      <c r="AE4903" s="152"/>
      <c r="AF4903" s="153"/>
      <c r="AG4903" s="153"/>
      <c r="AH4903" s="346"/>
      <c r="AI4903" s="218"/>
      <c r="AJ4903" s="218"/>
      <c r="AK4903" s="153"/>
      <c r="AL4903" s="152"/>
      <c r="AM4903" s="152"/>
      <c r="AN4903" s="152"/>
      <c r="AO4903" s="152"/>
      <c r="AP4903" s="152"/>
      <c r="AQ4903" s="152"/>
      <c r="AR4903" s="152"/>
      <c r="AS4903" s="152"/>
      <c r="AT4903" s="152"/>
      <c r="AU4903" s="153"/>
      <c r="AV4903" s="479"/>
      <c r="AW4903" s="479"/>
      <c r="AX4903" s="442"/>
      <c r="AY4903" s="153"/>
      <c r="AZ4903" s="152"/>
      <c r="BA4903" s="152"/>
      <c r="BB4903" s="152"/>
      <c r="BC4903" s="152"/>
      <c r="BD4903" s="152"/>
      <c r="BE4903" s="152"/>
      <c r="BF4903" s="152"/>
      <c r="BG4903" s="152"/>
      <c r="BH4903" s="152"/>
      <c r="BI4903" s="153"/>
      <c r="BJ4903" s="153"/>
      <c r="BK4903" s="153"/>
      <c r="BL4903" s="153"/>
      <c r="BM4903" s="153"/>
      <c r="BN4903" s="153"/>
      <c r="BO4903" s="153"/>
      <c r="BP4903" s="153"/>
      <c r="BQ4903" s="153"/>
      <c r="BR4903" s="153"/>
      <c r="BS4903" s="153"/>
      <c r="BT4903" s="153"/>
      <c r="BU4903" s="153"/>
      <c r="BV4903" s="153"/>
      <c r="BW4903" s="153"/>
      <c r="BX4903" s="153"/>
      <c r="BY4903" s="153"/>
      <c r="BZ4903" s="153"/>
      <c r="CA4903" s="152"/>
      <c r="CB4903" s="152"/>
    </row>
    <row r="4904" spans="1:80" ht="15" x14ac:dyDescent="0.25">
      <c r="A4904" s="9" t="s">
        <v>79</v>
      </c>
      <c r="B4904" s="639" t="s">
        <v>73</v>
      </c>
      <c r="C4904" s="639" t="s">
        <v>584</v>
      </c>
      <c r="D4904" s="4">
        <f>VLOOKUP(E4904,'Quality Code'!D4:E24,2,TRUE)*VLOOKUP(MROUND(F4904,10),'Quality Code'!D28:E69,2,TRUE)*VLOOKUP(COUNTA(CB4904:CB4914),'Quality Code'!D73:E93,2,TRUE)</f>
        <v>0.87499649999999984</v>
      </c>
      <c r="E4904" s="14">
        <v>0.7</v>
      </c>
      <c r="F4904" s="18">
        <v>26</v>
      </c>
      <c r="G4904" s="12">
        <f>16*2.59</f>
        <v>41.44</v>
      </c>
      <c r="H4904" s="2" t="s">
        <v>72</v>
      </c>
      <c r="I4904" s="2">
        <v>10</v>
      </c>
      <c r="J4904" s="2" t="s">
        <v>290</v>
      </c>
      <c r="K4904" s="2">
        <v>4</v>
      </c>
      <c r="L4904" s="640" t="s">
        <v>284</v>
      </c>
      <c r="M4904" s="640" t="s">
        <v>889</v>
      </c>
      <c r="N4904" s="578" t="s">
        <v>110</v>
      </c>
      <c r="O4904" s="578"/>
      <c r="P4904" s="10"/>
      <c r="Q4904" s="10"/>
      <c r="R4904" s="10"/>
      <c r="S4904" s="10"/>
      <c r="T4904" s="10"/>
      <c r="U4904" s="10"/>
      <c r="V4904" s="10"/>
      <c r="W4904" s="10"/>
      <c r="X4904" s="10"/>
      <c r="Y4904" s="10"/>
      <c r="Z4904" s="10"/>
      <c r="AA4904" s="10"/>
      <c r="AB4904" s="11" t="s">
        <v>99</v>
      </c>
      <c r="AC4904" s="116">
        <v>5.1000000000000004E-3</v>
      </c>
      <c r="AD4904" s="11"/>
      <c r="AE4904" s="11"/>
      <c r="AF4904" s="10"/>
      <c r="AG4904" s="10"/>
      <c r="AH4904" s="345"/>
      <c r="AI4904" s="18">
        <v>17.100000000000001</v>
      </c>
      <c r="AJ4904" s="135">
        <v>1</v>
      </c>
      <c r="AK4904" s="135">
        <v>1</v>
      </c>
      <c r="AL4904" s="135">
        <v>0.78110000000000002</v>
      </c>
      <c r="AM4904" s="135">
        <v>0.70050000000000001</v>
      </c>
      <c r="AN4904" s="135">
        <v>0.4783</v>
      </c>
      <c r="AO4904" s="135">
        <v>0.30940000000000001</v>
      </c>
      <c r="AP4904" s="135">
        <v>0.21229999999999999</v>
      </c>
      <c r="AQ4904" s="135">
        <v>0.1361</v>
      </c>
      <c r="AR4904" s="135">
        <v>7.1999999999999995E-2</v>
      </c>
      <c r="AS4904" s="135">
        <v>2.5999999999999999E-2</v>
      </c>
      <c r="AT4904" s="135">
        <v>6.0000000000000001E-3</v>
      </c>
      <c r="AU4904" s="18">
        <v>48.4</v>
      </c>
      <c r="AV4904" s="135">
        <v>1</v>
      </c>
      <c r="AW4904" s="135">
        <v>1</v>
      </c>
      <c r="AX4904" s="135">
        <v>1</v>
      </c>
      <c r="AY4904" s="135">
        <v>1</v>
      </c>
      <c r="AZ4904" s="135">
        <v>0.5978</v>
      </c>
      <c r="BA4904" s="135">
        <v>0.35599999999999998</v>
      </c>
      <c r="BB4904" s="135">
        <v>0.22450000000000001</v>
      </c>
      <c r="BC4904" s="135">
        <v>0.16289999999999999</v>
      </c>
      <c r="BD4904" s="135">
        <v>0.11700000000000001</v>
      </c>
      <c r="BE4904" s="135">
        <v>7.9600000000000004E-2</v>
      </c>
      <c r="BF4904" s="135">
        <v>4.2200000000000001E-2</v>
      </c>
      <c r="BG4904" s="135">
        <v>1.47E-2</v>
      </c>
      <c r="BH4904" s="135">
        <v>4.1000000000000003E-3</v>
      </c>
      <c r="BI4904" s="4">
        <f>AU4904/AI4904</f>
        <v>2.8304093567251458</v>
      </c>
      <c r="BJ4904" s="2" t="s">
        <v>68</v>
      </c>
      <c r="BK4904" s="2" t="s">
        <v>68</v>
      </c>
      <c r="BL4904" s="12"/>
      <c r="BM4904" s="12">
        <f>109*0.028317</f>
        <v>3.0865529999999999</v>
      </c>
      <c r="BN4904" s="12">
        <f>26.8*0.3048</f>
        <v>8.1686399999999999</v>
      </c>
      <c r="BO4904" s="12">
        <f>1.391*0.3048</f>
        <v>0.42397680000000004</v>
      </c>
      <c r="BP4904" s="12">
        <f>36.055*(0.3048)^2</f>
        <v>3.3496191072000001</v>
      </c>
      <c r="BQ4904" s="12"/>
      <c r="BR4904" s="12"/>
      <c r="BS4904" s="18">
        <v>2</v>
      </c>
      <c r="BT4904" s="12"/>
      <c r="BU4904" s="2"/>
      <c r="BV4904" s="2">
        <v>1.7</v>
      </c>
      <c r="BW4904" s="2"/>
      <c r="BX4904" s="2">
        <v>1.1399999999999999</v>
      </c>
      <c r="BY4904" s="2" t="s">
        <v>84</v>
      </c>
      <c r="BZ4904" s="2"/>
      <c r="CA4904" s="9"/>
      <c r="CB4904" s="9" t="s">
        <v>225</v>
      </c>
    </row>
    <row r="4905" spans="1:80" s="87" customFormat="1" ht="15" x14ac:dyDescent="0.25">
      <c r="A4905" s="152"/>
      <c r="B4905" s="683"/>
      <c r="C4905" s="683"/>
      <c r="D4905" s="698"/>
      <c r="E4905" s="215"/>
      <c r="F4905" s="215"/>
      <c r="G4905" s="153"/>
      <c r="H4905" s="153"/>
      <c r="I4905" s="153"/>
      <c r="J4905" s="153"/>
      <c r="K4905" s="153"/>
      <c r="L4905" s="656">
        <v>44</v>
      </c>
      <c r="M4905" s="665">
        <v>34086</v>
      </c>
      <c r="N4905" s="597">
        <f>0.028317*40.57</f>
        <v>1.14882069</v>
      </c>
      <c r="O4905" s="604">
        <v>8.8246932390160561E-4</v>
      </c>
      <c r="P4905" s="250"/>
      <c r="Q4905" s="478"/>
      <c r="R4905" s="478"/>
      <c r="S4905" s="478">
        <v>0.16828947574396139</v>
      </c>
      <c r="T4905" s="478">
        <v>0.18408446956058933</v>
      </c>
      <c r="U4905" s="478">
        <v>0.19198196646890317</v>
      </c>
      <c r="V4905" s="478">
        <v>0.29914998199777709</v>
      </c>
      <c r="W4905" s="478">
        <v>0.12963165886570338</v>
      </c>
      <c r="X4905" s="478">
        <v>2.5324431364568484E-2</v>
      </c>
      <c r="Y4905" s="478">
        <v>1.5380159984972053E-3</v>
      </c>
      <c r="Z4905" s="150"/>
      <c r="AA4905" s="231"/>
      <c r="AB4905" s="154">
        <v>2640</v>
      </c>
      <c r="AC4905" s="152"/>
      <c r="AD4905" s="223">
        <f>0.3048*22.8</f>
        <v>6.9494400000000009</v>
      </c>
      <c r="AE4905" s="152"/>
      <c r="AF4905" s="153"/>
      <c r="AG4905" s="153"/>
      <c r="AH4905" s="346"/>
      <c r="AI4905" s="218"/>
      <c r="AJ4905" s="218"/>
      <c r="AK4905" s="153"/>
      <c r="AL4905" s="152"/>
      <c r="AM4905" s="152"/>
      <c r="AN4905" s="152"/>
      <c r="AO4905" s="152"/>
      <c r="AP4905" s="152"/>
      <c r="AQ4905" s="152"/>
      <c r="AR4905" s="152"/>
      <c r="AS4905" s="152"/>
      <c r="AT4905" s="152"/>
      <c r="AU4905" s="155">
        <v>58</v>
      </c>
      <c r="AV4905" s="429"/>
      <c r="AW4905" s="429"/>
      <c r="AX4905" s="429"/>
      <c r="AY4905" s="153"/>
      <c r="AZ4905" s="152"/>
      <c r="BA4905" s="152"/>
      <c r="BB4905" s="152"/>
      <c r="BC4905" s="152"/>
      <c r="BD4905" s="152"/>
      <c r="BE4905" s="152"/>
      <c r="BF4905" s="152"/>
      <c r="BG4905" s="152"/>
      <c r="BH4905" s="152"/>
      <c r="BI4905" s="156">
        <f>AU4905/AI4904</f>
        <v>3.3918128654970756</v>
      </c>
      <c r="BJ4905" s="155" t="s">
        <v>68</v>
      </c>
      <c r="BK4905" s="155" t="s">
        <v>175</v>
      </c>
      <c r="BL4905" s="153"/>
      <c r="BM4905" s="153"/>
      <c r="BN4905" s="153"/>
      <c r="BO4905" s="153"/>
      <c r="BP4905" s="153"/>
      <c r="BQ4905" s="153"/>
      <c r="BR4905" s="153"/>
      <c r="BS4905" s="153"/>
      <c r="BT4905" s="153"/>
      <c r="BU4905" s="153"/>
      <c r="BV4905" s="153"/>
      <c r="BW4905" s="153"/>
      <c r="BX4905" s="153"/>
      <c r="BY4905" s="153"/>
      <c r="BZ4905" s="153"/>
      <c r="CA4905" s="152"/>
      <c r="CB4905" s="485" t="s">
        <v>642</v>
      </c>
    </row>
    <row r="4906" spans="1:80" s="87" customFormat="1" x14ac:dyDescent="0.2">
      <c r="A4906" s="152"/>
      <c r="B4906" s="683"/>
      <c r="C4906" s="683"/>
      <c r="D4906" s="698"/>
      <c r="E4906" s="215"/>
      <c r="F4906" s="215"/>
      <c r="G4906" s="153"/>
      <c r="H4906" s="153"/>
      <c r="I4906" s="153"/>
      <c r="J4906" s="153"/>
      <c r="K4906" s="153"/>
      <c r="L4906" s="656">
        <v>40</v>
      </c>
      <c r="M4906" s="665">
        <v>34093</v>
      </c>
      <c r="N4906" s="597">
        <f>0.028317*98.22</f>
        <v>2.78129574</v>
      </c>
      <c r="O4906" s="604">
        <v>2.1386750293455278E-3</v>
      </c>
      <c r="P4906" s="250"/>
      <c r="Q4906" s="478"/>
      <c r="R4906" s="478">
        <v>0.26748511514933054</v>
      </c>
      <c r="S4906" s="478">
        <v>5.8422383965227809E-2</v>
      </c>
      <c r="T4906" s="478">
        <v>3.814210238430054E-2</v>
      </c>
      <c r="U4906" s="478">
        <v>0.11785909636748873</v>
      </c>
      <c r="V4906" s="478">
        <v>0.2521297753597827</v>
      </c>
      <c r="W4906" s="478">
        <v>0.18967103484553494</v>
      </c>
      <c r="X4906" s="478">
        <v>7.0847907318882589E-2</v>
      </c>
      <c r="Y4906" s="478">
        <v>5.4425846094521184E-3</v>
      </c>
      <c r="Z4906" s="150"/>
      <c r="AA4906" s="231"/>
      <c r="AB4906" s="154">
        <v>2400</v>
      </c>
      <c r="AC4906" s="152"/>
      <c r="AD4906" s="223">
        <f>0.3048*26.9</f>
        <v>8.1991200000000006</v>
      </c>
      <c r="AE4906" s="152"/>
      <c r="AF4906" s="153"/>
      <c r="AG4906" s="153"/>
      <c r="AH4906" s="346"/>
      <c r="AI4906" s="218"/>
      <c r="AJ4906" s="218"/>
      <c r="AK4906" s="153"/>
      <c r="AL4906" s="152"/>
      <c r="AM4906" s="152"/>
      <c r="AN4906" s="152"/>
      <c r="AO4906" s="152"/>
      <c r="AP4906" s="152"/>
      <c r="AQ4906" s="152"/>
      <c r="AR4906" s="152"/>
      <c r="AS4906" s="152"/>
      <c r="AT4906" s="152"/>
      <c r="AU4906" s="153"/>
      <c r="AV4906" s="479"/>
      <c r="AW4906" s="479"/>
      <c r="AX4906" s="442"/>
      <c r="AY4906" s="153"/>
      <c r="AZ4906" s="152"/>
      <c r="BA4906" s="152"/>
      <c r="BB4906" s="152"/>
      <c r="BC4906" s="152"/>
      <c r="BD4906" s="152"/>
      <c r="BE4906" s="152"/>
      <c r="BF4906" s="152"/>
      <c r="BG4906" s="152"/>
      <c r="BH4906" s="152"/>
      <c r="BI4906" s="153"/>
      <c r="BJ4906" s="153"/>
      <c r="BK4906" s="153"/>
      <c r="BL4906" s="153"/>
      <c r="BM4906" s="153"/>
      <c r="BN4906" s="153"/>
      <c r="BO4906" s="153"/>
      <c r="BP4906" s="153"/>
      <c r="BQ4906" s="153"/>
      <c r="BR4906" s="153"/>
      <c r="BS4906" s="153"/>
      <c r="BT4906" s="153"/>
      <c r="BU4906" s="153"/>
      <c r="BV4906" s="153"/>
      <c r="BW4906" s="153"/>
      <c r="BX4906" s="153"/>
      <c r="BY4906" s="153"/>
      <c r="BZ4906" s="153"/>
      <c r="CA4906" s="152"/>
      <c r="CB4906" s="152"/>
    </row>
    <row r="4907" spans="1:80" s="87" customFormat="1" x14ac:dyDescent="0.2">
      <c r="A4907" s="152"/>
      <c r="B4907" s="683"/>
      <c r="C4907" s="683"/>
      <c r="D4907" s="698"/>
      <c r="E4907" s="215"/>
      <c r="F4907" s="215"/>
      <c r="G4907" s="153"/>
      <c r="H4907" s="153"/>
      <c r="I4907" s="153"/>
      <c r="J4907" s="153"/>
      <c r="K4907" s="153"/>
      <c r="L4907" s="656">
        <v>40</v>
      </c>
      <c r="M4907" s="665">
        <v>34100</v>
      </c>
      <c r="N4907" s="597">
        <f>0.028317*116.69</f>
        <v>3.3043107299999996</v>
      </c>
      <c r="O4907" s="604">
        <v>2.6526868416798809E-2</v>
      </c>
      <c r="P4907" s="250"/>
      <c r="Q4907" s="478">
        <v>0.13598953699637409</v>
      </c>
      <c r="R4907" s="478">
        <v>5.2214963038112606E-2</v>
      </c>
      <c r="S4907" s="478">
        <v>0.18549934562573284</v>
      </c>
      <c r="T4907" s="478">
        <v>0.18620846207641381</v>
      </c>
      <c r="U4907" s="478">
        <v>0.17287005323175328</v>
      </c>
      <c r="V4907" s="478">
        <v>0.16064691815476062</v>
      </c>
      <c r="W4907" s="478">
        <v>7.9226170779897145E-2</v>
      </c>
      <c r="X4907" s="478">
        <v>2.4676239709648152E-2</v>
      </c>
      <c r="Y4907" s="478">
        <v>2.6683103873074965E-3</v>
      </c>
      <c r="Z4907" s="150"/>
      <c r="AA4907" s="231"/>
      <c r="AB4907" s="154">
        <v>2400</v>
      </c>
      <c r="AC4907" s="152"/>
      <c r="AD4907" s="223">
        <f>0.3048*27.8</f>
        <v>8.4734400000000001</v>
      </c>
      <c r="AE4907" s="152"/>
      <c r="AF4907" s="153"/>
      <c r="AG4907" s="153"/>
      <c r="AH4907" s="346"/>
      <c r="AI4907" s="218"/>
      <c r="AJ4907" s="218"/>
      <c r="AK4907" s="153"/>
      <c r="AL4907" s="152"/>
      <c r="AM4907" s="152"/>
      <c r="AN4907" s="152"/>
      <c r="AO4907" s="152"/>
      <c r="AP4907" s="152"/>
      <c r="AQ4907" s="152"/>
      <c r="AR4907" s="152"/>
      <c r="AS4907" s="152"/>
      <c r="AT4907" s="152"/>
      <c r="AU4907" s="153"/>
      <c r="AV4907" s="479"/>
      <c r="AW4907" s="479"/>
      <c r="AX4907" s="442"/>
      <c r="AY4907" s="153"/>
      <c r="AZ4907" s="152"/>
      <c r="BA4907" s="152"/>
      <c r="BB4907" s="152"/>
      <c r="BC4907" s="152"/>
      <c r="BD4907" s="152"/>
      <c r="BE4907" s="152"/>
      <c r="BF4907" s="152"/>
      <c r="BG4907" s="152"/>
      <c r="BH4907" s="152"/>
      <c r="BI4907" s="153"/>
      <c r="BJ4907" s="153"/>
      <c r="BK4907" s="153"/>
      <c r="BL4907" s="153"/>
      <c r="BM4907" s="153"/>
      <c r="BN4907" s="153"/>
      <c r="BO4907" s="153"/>
      <c r="BP4907" s="153"/>
      <c r="BQ4907" s="153"/>
      <c r="BR4907" s="153"/>
      <c r="BS4907" s="153"/>
      <c r="BT4907" s="153"/>
      <c r="BU4907" s="153"/>
      <c r="BV4907" s="153"/>
      <c r="BW4907" s="153"/>
      <c r="BX4907" s="153"/>
      <c r="BY4907" s="153"/>
      <c r="BZ4907" s="153"/>
      <c r="CA4907" s="152"/>
      <c r="CB4907" s="152"/>
    </row>
    <row r="4908" spans="1:80" s="87" customFormat="1" x14ac:dyDescent="0.2">
      <c r="A4908" s="152"/>
      <c r="B4908" s="683"/>
      <c r="C4908" s="683"/>
      <c r="D4908" s="698"/>
      <c r="E4908" s="215"/>
      <c r="F4908" s="215"/>
      <c r="G4908" s="153"/>
      <c r="H4908" s="153"/>
      <c r="I4908" s="153"/>
      <c r="J4908" s="153"/>
      <c r="K4908" s="153"/>
      <c r="L4908" s="656">
        <v>40</v>
      </c>
      <c r="M4908" s="665">
        <v>34107</v>
      </c>
      <c r="N4908" s="597">
        <f>0.028317*125.3</f>
        <v>3.5481200999999998</v>
      </c>
      <c r="O4908" s="604">
        <v>1.1366065698550226E-3</v>
      </c>
      <c r="P4908" s="250"/>
      <c r="Q4908" s="478"/>
      <c r="R4908" s="478"/>
      <c r="S4908" s="478"/>
      <c r="T4908" s="478">
        <v>7.516857920264991E-2</v>
      </c>
      <c r="U4908" s="478">
        <v>0.23839268109941242</v>
      </c>
      <c r="V4908" s="478">
        <v>0.30391971292243397</v>
      </c>
      <c r="W4908" s="478">
        <v>0.24601522142040302</v>
      </c>
      <c r="X4908" s="478">
        <v>0.12650735439094599</v>
      </c>
      <c r="Y4908" s="478">
        <v>9.9964509641547426E-3</v>
      </c>
      <c r="Z4908" s="150"/>
      <c r="AA4908" s="231"/>
      <c r="AB4908" s="154">
        <v>2400</v>
      </c>
      <c r="AC4908" s="152"/>
      <c r="AD4908" s="223">
        <f>0.3048*26.9</f>
        <v>8.1991200000000006</v>
      </c>
      <c r="AE4908" s="152"/>
      <c r="AF4908" s="153"/>
      <c r="AG4908" s="153"/>
      <c r="AH4908" s="346"/>
      <c r="AI4908" s="218"/>
      <c r="AJ4908" s="218"/>
      <c r="AK4908" s="153"/>
      <c r="AL4908" s="152"/>
      <c r="AM4908" s="152"/>
      <c r="AN4908" s="152"/>
      <c r="AO4908" s="152"/>
      <c r="AP4908" s="152"/>
      <c r="AQ4908" s="152"/>
      <c r="AR4908" s="152"/>
      <c r="AS4908" s="152"/>
      <c r="AT4908" s="152"/>
      <c r="AU4908" s="153"/>
      <c r="AV4908" s="479"/>
      <c r="AW4908" s="479"/>
      <c r="AX4908" s="442"/>
      <c r="AY4908" s="153"/>
      <c r="AZ4908" s="152"/>
      <c r="BA4908" s="152"/>
      <c r="BB4908" s="152"/>
      <c r="BC4908" s="152"/>
      <c r="BD4908" s="152"/>
      <c r="BE4908" s="152"/>
      <c r="BF4908" s="152"/>
      <c r="BG4908" s="152"/>
      <c r="BH4908" s="152"/>
      <c r="BI4908" s="153"/>
      <c r="BJ4908" s="153"/>
      <c r="BK4908" s="153"/>
      <c r="BL4908" s="153"/>
      <c r="BM4908" s="153"/>
      <c r="BN4908" s="153"/>
      <c r="BO4908" s="153"/>
      <c r="BP4908" s="153"/>
      <c r="BQ4908" s="153"/>
      <c r="BR4908" s="153"/>
      <c r="BS4908" s="153"/>
      <c r="BT4908" s="153"/>
      <c r="BU4908" s="153"/>
      <c r="BV4908" s="153"/>
      <c r="BW4908" s="153"/>
      <c r="BX4908" s="153"/>
      <c r="BY4908" s="153"/>
      <c r="BZ4908" s="153"/>
      <c r="CA4908" s="152"/>
      <c r="CB4908" s="152"/>
    </row>
    <row r="4909" spans="1:80" s="87" customFormat="1" x14ac:dyDescent="0.2">
      <c r="A4909" s="152"/>
      <c r="B4909" s="683"/>
      <c r="C4909" s="683"/>
      <c r="D4909" s="698"/>
      <c r="E4909" s="215"/>
      <c r="F4909" s="215"/>
      <c r="G4909" s="153"/>
      <c r="H4909" s="153"/>
      <c r="I4909" s="153"/>
      <c r="J4909" s="153"/>
      <c r="K4909" s="153"/>
      <c r="L4909" s="656">
        <v>40</v>
      </c>
      <c r="M4909" s="665">
        <v>34116</v>
      </c>
      <c r="N4909" s="597">
        <f>0.028317*94.64</f>
        <v>2.6799208800000001</v>
      </c>
      <c r="O4909" s="604">
        <v>4.6176363766829015E-3</v>
      </c>
      <c r="P4909" s="250"/>
      <c r="Q4909" s="478"/>
      <c r="R4909" s="478">
        <v>0.20875028527442432</v>
      </c>
      <c r="S4909" s="478">
        <v>0.3850788904662254</v>
      </c>
      <c r="T4909" s="478">
        <v>0.12308866135701663</v>
      </c>
      <c r="U4909" s="478">
        <v>8.691876544833535E-2</v>
      </c>
      <c r="V4909" s="478">
        <v>0.11087794896392199</v>
      </c>
      <c r="W4909" s="478">
        <v>5.3676075242821752E-2</v>
      </c>
      <c r="X4909" s="478">
        <v>2.7792498152969004E-2</v>
      </c>
      <c r="Y4909" s="478">
        <v>3.8168750942856149E-3</v>
      </c>
      <c r="Z4909" s="150"/>
      <c r="AA4909" s="231"/>
      <c r="AB4909" s="154">
        <v>2400</v>
      </c>
      <c r="AC4909" s="152"/>
      <c r="AD4909" s="223">
        <f>0.3048*26.8</f>
        <v>8.1686399999999999</v>
      </c>
      <c r="AE4909" s="152"/>
      <c r="AF4909" s="153"/>
      <c r="AG4909" s="153"/>
      <c r="AH4909" s="346"/>
      <c r="AI4909" s="218"/>
      <c r="AJ4909" s="218"/>
      <c r="AK4909" s="153"/>
      <c r="AL4909" s="152"/>
      <c r="AM4909" s="152"/>
      <c r="AN4909" s="152"/>
      <c r="AO4909" s="152"/>
      <c r="AP4909" s="152"/>
      <c r="AQ4909" s="152"/>
      <c r="AR4909" s="152"/>
      <c r="AS4909" s="152"/>
      <c r="AT4909" s="152"/>
      <c r="AU4909" s="153"/>
      <c r="AV4909" s="479"/>
      <c r="AW4909" s="479"/>
      <c r="AX4909" s="442"/>
      <c r="AY4909" s="153"/>
      <c r="AZ4909" s="152"/>
      <c r="BA4909" s="152"/>
      <c r="BB4909" s="152"/>
      <c r="BC4909" s="152"/>
      <c r="BD4909" s="152"/>
      <c r="BE4909" s="152"/>
      <c r="BF4909" s="152"/>
      <c r="BG4909" s="152"/>
      <c r="BH4909" s="152"/>
      <c r="BI4909" s="153"/>
      <c r="BJ4909" s="153"/>
      <c r="BK4909" s="153"/>
      <c r="BL4909" s="153"/>
      <c r="BM4909" s="153"/>
      <c r="BN4909" s="153"/>
      <c r="BO4909" s="153"/>
      <c r="BP4909" s="153"/>
      <c r="BQ4909" s="153"/>
      <c r="BR4909" s="153"/>
      <c r="BS4909" s="153"/>
      <c r="BT4909" s="153"/>
      <c r="BU4909" s="153"/>
      <c r="BV4909" s="153"/>
      <c r="BW4909" s="153"/>
      <c r="BX4909" s="153"/>
      <c r="BY4909" s="153"/>
      <c r="BZ4909" s="153"/>
      <c r="CA4909" s="152"/>
      <c r="CB4909" s="152"/>
    </row>
    <row r="4910" spans="1:80" s="87" customFormat="1" x14ac:dyDescent="0.2">
      <c r="A4910" s="152"/>
      <c r="B4910" s="683"/>
      <c r="C4910" s="683"/>
      <c r="D4910" s="698"/>
      <c r="E4910" s="215"/>
      <c r="F4910" s="215"/>
      <c r="G4910" s="153"/>
      <c r="H4910" s="153"/>
      <c r="I4910" s="153"/>
      <c r="J4910" s="153"/>
      <c r="K4910" s="153"/>
      <c r="L4910" s="656">
        <v>40</v>
      </c>
      <c r="M4910" s="665">
        <v>34121</v>
      </c>
      <c r="N4910" s="597">
        <f>0.028317*108.65</f>
        <v>3.0766420499999998</v>
      </c>
      <c r="O4910" s="604">
        <v>3.155217156010495E-3</v>
      </c>
      <c r="P4910" s="250"/>
      <c r="Q4910" s="478"/>
      <c r="R4910" s="478"/>
      <c r="S4910" s="478">
        <v>0.1577607514311522</v>
      </c>
      <c r="T4910" s="478">
        <v>8.0410278156158962E-2</v>
      </c>
      <c r="U4910" s="478">
        <v>0.18254705884061426</v>
      </c>
      <c r="V4910" s="478">
        <v>0.35836458003560828</v>
      </c>
      <c r="W4910" s="478">
        <v>0.17890927467957002</v>
      </c>
      <c r="X4910" s="478">
        <v>3.9456525211804705E-2</v>
      </c>
      <c r="Y4910" s="478">
        <v>2.5515316450916781E-3</v>
      </c>
      <c r="Z4910" s="150"/>
      <c r="AA4910" s="231"/>
      <c r="AB4910" s="154">
        <v>2400</v>
      </c>
      <c r="AC4910" s="152"/>
      <c r="AD4910" s="223">
        <f>0.3048*27.5</f>
        <v>8.3819999999999997</v>
      </c>
      <c r="AE4910" s="152"/>
      <c r="AF4910" s="153"/>
      <c r="AG4910" s="153"/>
      <c r="AH4910" s="346"/>
      <c r="AI4910" s="218"/>
      <c r="AJ4910" s="218"/>
      <c r="AK4910" s="153"/>
      <c r="AL4910" s="152"/>
      <c r="AM4910" s="152"/>
      <c r="AN4910" s="152"/>
      <c r="AO4910" s="152"/>
      <c r="AP4910" s="152"/>
      <c r="AQ4910" s="152"/>
      <c r="AR4910" s="152"/>
      <c r="AS4910" s="152"/>
      <c r="AT4910" s="152"/>
      <c r="AU4910" s="153"/>
      <c r="AV4910" s="479"/>
      <c r="AW4910" s="479"/>
      <c r="AX4910" s="442"/>
      <c r="AY4910" s="153"/>
      <c r="AZ4910" s="152"/>
      <c r="BA4910" s="152"/>
      <c r="BB4910" s="152"/>
      <c r="BC4910" s="152"/>
      <c r="BD4910" s="152"/>
      <c r="BE4910" s="152"/>
      <c r="BF4910" s="152"/>
      <c r="BG4910" s="152"/>
      <c r="BH4910" s="152"/>
      <c r="BI4910" s="153"/>
      <c r="BJ4910" s="153"/>
      <c r="BK4910" s="153"/>
      <c r="BL4910" s="153"/>
      <c r="BM4910" s="153"/>
      <c r="BN4910" s="153"/>
      <c r="BO4910" s="153"/>
      <c r="BP4910" s="153"/>
      <c r="BQ4910" s="153"/>
      <c r="BR4910" s="153"/>
      <c r="BS4910" s="153"/>
      <c r="BT4910" s="153"/>
      <c r="BU4910" s="153"/>
      <c r="BV4910" s="153"/>
      <c r="BW4910" s="153"/>
      <c r="BX4910" s="153"/>
      <c r="BY4910" s="153"/>
      <c r="BZ4910" s="153"/>
      <c r="CA4910" s="152"/>
      <c r="CB4910" s="152"/>
    </row>
    <row r="4911" spans="1:80" s="87" customFormat="1" x14ac:dyDescent="0.2">
      <c r="A4911" s="152"/>
      <c r="B4911" s="683"/>
      <c r="C4911" s="683"/>
      <c r="D4911" s="698"/>
      <c r="E4911" s="215"/>
      <c r="F4911" s="215"/>
      <c r="G4911" s="153"/>
      <c r="H4911" s="153"/>
      <c r="I4911" s="153"/>
      <c r="J4911" s="153"/>
      <c r="K4911" s="153"/>
      <c r="L4911" s="656">
        <v>40</v>
      </c>
      <c r="M4911" s="665">
        <v>34128</v>
      </c>
      <c r="N4911" s="597">
        <f>0.028317*66.17</f>
        <v>1.8737358899999998</v>
      </c>
      <c r="O4911" s="604">
        <v>5.1206006514327776E-4</v>
      </c>
      <c r="P4911" s="250"/>
      <c r="Q4911" s="478"/>
      <c r="R4911" s="478"/>
      <c r="S4911" s="478">
        <v>0.30359153654138421</v>
      </c>
      <c r="T4911" s="478">
        <v>0.3206082225004529</v>
      </c>
      <c r="U4911" s="478">
        <v>0.14728370855086503</v>
      </c>
      <c r="V4911" s="478">
        <v>0.13064499618089179</v>
      </c>
      <c r="W4911" s="478">
        <v>7.2633924704511257E-2</v>
      </c>
      <c r="X4911" s="478">
        <v>2.3009142236186251E-2</v>
      </c>
      <c r="Y4911" s="478">
        <v>2.2284692857086619E-3</v>
      </c>
      <c r="Z4911" s="150"/>
      <c r="AA4911" s="231"/>
      <c r="AB4911" s="154">
        <v>2400</v>
      </c>
      <c r="AC4911" s="152"/>
      <c r="AD4911" s="223">
        <f>0.3048*24.2</f>
        <v>7.3761600000000005</v>
      </c>
      <c r="AE4911" s="152"/>
      <c r="AF4911" s="153"/>
      <c r="AG4911" s="153"/>
      <c r="AH4911" s="346"/>
      <c r="AI4911" s="218"/>
      <c r="AJ4911" s="218"/>
      <c r="AK4911" s="153"/>
      <c r="AL4911" s="152"/>
      <c r="AM4911" s="152"/>
      <c r="AN4911" s="152"/>
      <c r="AO4911" s="152"/>
      <c r="AP4911" s="152"/>
      <c r="AQ4911" s="152"/>
      <c r="AR4911" s="152"/>
      <c r="AS4911" s="152"/>
      <c r="AT4911" s="152"/>
      <c r="AU4911" s="153"/>
      <c r="AV4911" s="479"/>
      <c r="AW4911" s="479"/>
      <c r="AX4911" s="442"/>
      <c r="AY4911" s="153"/>
      <c r="AZ4911" s="152"/>
      <c r="BA4911" s="152"/>
      <c r="BB4911" s="152"/>
      <c r="BC4911" s="152"/>
      <c r="BD4911" s="152"/>
      <c r="BE4911" s="152"/>
      <c r="BF4911" s="152"/>
      <c r="BG4911" s="152"/>
      <c r="BH4911" s="152"/>
      <c r="BI4911" s="153"/>
      <c r="BJ4911" s="153"/>
      <c r="BK4911" s="153"/>
      <c r="BL4911" s="153"/>
      <c r="BM4911" s="153"/>
      <c r="BN4911" s="153"/>
      <c r="BO4911" s="153"/>
      <c r="BP4911" s="153"/>
      <c r="BQ4911" s="153"/>
      <c r="BR4911" s="153"/>
      <c r="BS4911" s="153"/>
      <c r="BT4911" s="153"/>
      <c r="BU4911" s="153"/>
      <c r="BV4911" s="153"/>
      <c r="BW4911" s="153"/>
      <c r="BX4911" s="153"/>
      <c r="BY4911" s="153"/>
      <c r="BZ4911" s="153"/>
      <c r="CA4911" s="152"/>
      <c r="CB4911" s="152"/>
    </row>
    <row r="4912" spans="1:80" s="87" customFormat="1" x14ac:dyDescent="0.2">
      <c r="A4912" s="152"/>
      <c r="B4912" s="683"/>
      <c r="C4912" s="683"/>
      <c r="D4912" s="698"/>
      <c r="E4912" s="215"/>
      <c r="F4912" s="215"/>
      <c r="G4912" s="153"/>
      <c r="H4912" s="153"/>
      <c r="I4912" s="153"/>
      <c r="J4912" s="153"/>
      <c r="K4912" s="153"/>
      <c r="L4912" s="656">
        <v>40</v>
      </c>
      <c r="M4912" s="665">
        <v>34135</v>
      </c>
      <c r="N4912" s="597">
        <f>0.028317*58.49</f>
        <v>1.65626133</v>
      </c>
      <c r="O4912" s="604">
        <v>1.5976171674795182E-2</v>
      </c>
      <c r="P4912" s="250"/>
      <c r="Q4912" s="478"/>
      <c r="R4912" s="478">
        <v>0.10829732242254218</v>
      </c>
      <c r="S4912" s="478">
        <v>0.28304981996800799</v>
      </c>
      <c r="T4912" s="478">
        <v>0.32254954540968256</v>
      </c>
      <c r="U4912" s="478">
        <v>0.13977320079381936</v>
      </c>
      <c r="V4912" s="478">
        <v>0.1066800003642728</v>
      </c>
      <c r="W4912" s="478">
        <v>3.4261580860318865E-2</v>
      </c>
      <c r="X4912" s="478">
        <v>4.8519661748081212E-3</v>
      </c>
      <c r="Y4912" s="478">
        <v>5.3656400654804987E-4</v>
      </c>
      <c r="Z4912" s="150"/>
      <c r="AA4912" s="231"/>
      <c r="AB4912" s="154">
        <v>2400</v>
      </c>
      <c r="AC4912" s="152"/>
      <c r="AD4912" s="223">
        <f>0.3048*23.6</f>
        <v>7.1932800000000006</v>
      </c>
      <c r="AE4912" s="152"/>
      <c r="AF4912" s="153"/>
      <c r="AG4912" s="153"/>
      <c r="AH4912" s="346"/>
      <c r="AI4912" s="218"/>
      <c r="AJ4912" s="218"/>
      <c r="AK4912" s="153"/>
      <c r="AL4912" s="152"/>
      <c r="AM4912" s="152"/>
      <c r="AN4912" s="152"/>
      <c r="AO4912" s="152"/>
      <c r="AP4912" s="152"/>
      <c r="AQ4912" s="152"/>
      <c r="AR4912" s="152"/>
      <c r="AS4912" s="152"/>
      <c r="AT4912" s="152"/>
      <c r="AU4912" s="153"/>
      <c r="AV4912" s="479"/>
      <c r="AW4912" s="479"/>
      <c r="AX4912" s="442"/>
      <c r="AY4912" s="153"/>
      <c r="AZ4912" s="152"/>
      <c r="BA4912" s="152"/>
      <c r="BB4912" s="152"/>
      <c r="BC4912" s="152"/>
      <c r="BD4912" s="152"/>
      <c r="BE4912" s="152"/>
      <c r="BF4912" s="152"/>
      <c r="BG4912" s="152"/>
      <c r="BH4912" s="152"/>
      <c r="BI4912" s="153"/>
      <c r="BJ4912" s="153"/>
      <c r="BK4912" s="153"/>
      <c r="BL4912" s="153"/>
      <c r="BM4912" s="153"/>
      <c r="BN4912" s="153"/>
      <c r="BO4912" s="153"/>
      <c r="BP4912" s="153"/>
      <c r="BQ4912" s="153"/>
      <c r="BR4912" s="153"/>
      <c r="BS4912" s="153"/>
      <c r="BT4912" s="153"/>
      <c r="BU4912" s="153"/>
      <c r="BV4912" s="153"/>
      <c r="BW4912" s="153"/>
      <c r="BX4912" s="153"/>
      <c r="BY4912" s="153"/>
      <c r="BZ4912" s="153"/>
      <c r="CA4912" s="152"/>
      <c r="CB4912" s="152"/>
    </row>
    <row r="4913" spans="1:80" s="87" customFormat="1" x14ac:dyDescent="0.2">
      <c r="A4913" s="152"/>
      <c r="B4913" s="683"/>
      <c r="C4913" s="683"/>
      <c r="D4913" s="698"/>
      <c r="E4913" s="215"/>
      <c r="F4913" s="215"/>
      <c r="G4913" s="153"/>
      <c r="H4913" s="153"/>
      <c r="I4913" s="153"/>
      <c r="J4913" s="153"/>
      <c r="K4913" s="153"/>
      <c r="L4913" s="656">
        <v>40</v>
      </c>
      <c r="M4913" s="665">
        <v>34142</v>
      </c>
      <c r="N4913" s="597">
        <f>0.028317*41.59</f>
        <v>1.1777040300000001</v>
      </c>
      <c r="O4913" s="604">
        <v>7.4569349128440342E-4</v>
      </c>
      <c r="P4913" s="250"/>
      <c r="Q4913" s="478"/>
      <c r="R4913" s="478"/>
      <c r="S4913" s="478"/>
      <c r="T4913" s="478"/>
      <c r="U4913" s="478"/>
      <c r="V4913" s="478">
        <v>0</v>
      </c>
      <c r="W4913" s="478">
        <v>0.9614161835955719</v>
      </c>
      <c r="X4913" s="478">
        <v>3.3757864778168049E-2</v>
      </c>
      <c r="Y4913" s="478">
        <v>4.8259516262600301E-3</v>
      </c>
      <c r="Z4913" s="150"/>
      <c r="AA4913" s="231"/>
      <c r="AB4913" s="154">
        <v>2400</v>
      </c>
      <c r="AC4913" s="152"/>
      <c r="AD4913" s="223">
        <f>0.3048*21.3</f>
        <v>6.4922400000000007</v>
      </c>
      <c r="AE4913" s="152"/>
      <c r="AF4913" s="153"/>
      <c r="AG4913" s="153"/>
      <c r="AH4913" s="346"/>
      <c r="AI4913" s="218"/>
      <c r="AJ4913" s="218"/>
      <c r="AK4913" s="153"/>
      <c r="AL4913" s="152"/>
      <c r="AM4913" s="152"/>
      <c r="AN4913" s="152"/>
      <c r="AO4913" s="152"/>
      <c r="AP4913" s="152"/>
      <c r="AQ4913" s="152"/>
      <c r="AR4913" s="152"/>
      <c r="AS4913" s="152"/>
      <c r="AT4913" s="152"/>
      <c r="AU4913" s="153"/>
      <c r="AV4913" s="479"/>
      <c r="AW4913" s="479"/>
      <c r="AX4913" s="442"/>
      <c r="AY4913" s="153"/>
      <c r="AZ4913" s="152"/>
      <c r="BA4913" s="152"/>
      <c r="BB4913" s="152"/>
      <c r="BC4913" s="152"/>
      <c r="BD4913" s="152"/>
      <c r="BE4913" s="152"/>
      <c r="BF4913" s="152"/>
      <c r="BG4913" s="152"/>
      <c r="BH4913" s="152"/>
      <c r="BI4913" s="153"/>
      <c r="BJ4913" s="153"/>
      <c r="BK4913" s="153"/>
      <c r="BL4913" s="153"/>
      <c r="BM4913" s="153"/>
      <c r="BN4913" s="153"/>
      <c r="BO4913" s="153"/>
      <c r="BP4913" s="153"/>
      <c r="BQ4913" s="153"/>
      <c r="BR4913" s="153"/>
      <c r="BS4913" s="153"/>
      <c r="BT4913" s="153"/>
      <c r="BU4913" s="153"/>
      <c r="BV4913" s="153"/>
      <c r="BW4913" s="153"/>
      <c r="BX4913" s="153"/>
      <c r="BY4913" s="153"/>
      <c r="BZ4913" s="153"/>
      <c r="CA4913" s="152"/>
      <c r="CB4913" s="152"/>
    </row>
    <row r="4914" spans="1:80" s="87" customFormat="1" x14ac:dyDescent="0.2">
      <c r="A4914" s="152"/>
      <c r="B4914" s="683"/>
      <c r="C4914" s="683"/>
      <c r="D4914" s="698"/>
      <c r="E4914" s="215"/>
      <c r="F4914" s="215"/>
      <c r="G4914" s="153"/>
      <c r="H4914" s="153"/>
      <c r="I4914" s="153"/>
      <c r="J4914" s="153"/>
      <c r="K4914" s="153"/>
      <c r="L4914" s="656">
        <v>40</v>
      </c>
      <c r="M4914" s="665">
        <v>34150</v>
      </c>
      <c r="N4914" s="597">
        <f>0.028317*25.296</f>
        <v>0.71630683199999989</v>
      </c>
      <c r="O4914" s="604">
        <v>8.6907431181711798E-4</v>
      </c>
      <c r="P4914" s="250"/>
      <c r="Q4914" s="478"/>
      <c r="R4914" s="478"/>
      <c r="S4914" s="478">
        <v>3.3592291665053009E-2</v>
      </c>
      <c r="T4914" s="478">
        <v>9.3182399095324095E-2</v>
      </c>
      <c r="U4914" s="478">
        <v>0.20245610230274119</v>
      </c>
      <c r="V4914" s="478">
        <v>0.41208455002439842</v>
      </c>
      <c r="W4914" s="478">
        <v>0.21777672783040408</v>
      </c>
      <c r="X4914" s="478">
        <v>3.6845407297822715E-2</v>
      </c>
      <c r="Y4914" s="478">
        <v>4.0625217842564683E-3</v>
      </c>
      <c r="Z4914" s="150"/>
      <c r="AA4914" s="231"/>
      <c r="AB4914" s="154">
        <v>2400</v>
      </c>
      <c r="AC4914" s="152"/>
      <c r="AD4914" s="223">
        <f>0.3048*20.2</f>
        <v>6.1569599999999998</v>
      </c>
      <c r="AE4914" s="152"/>
      <c r="AF4914" s="153"/>
      <c r="AG4914" s="153"/>
      <c r="AH4914" s="346"/>
      <c r="AI4914" s="218"/>
      <c r="AJ4914" s="218"/>
      <c r="AK4914" s="153"/>
      <c r="AL4914" s="152"/>
      <c r="AM4914" s="152"/>
      <c r="AN4914" s="152"/>
      <c r="AO4914" s="152"/>
      <c r="AP4914" s="152"/>
      <c r="AQ4914" s="152"/>
      <c r="AR4914" s="152"/>
      <c r="AS4914" s="152"/>
      <c r="AT4914" s="152"/>
      <c r="AU4914" s="153"/>
      <c r="AV4914" s="479"/>
      <c r="AW4914" s="479"/>
      <c r="AX4914" s="442"/>
      <c r="AY4914" s="153"/>
      <c r="AZ4914" s="152"/>
      <c r="BA4914" s="152"/>
      <c r="BB4914" s="152"/>
      <c r="BC4914" s="152"/>
      <c r="BD4914" s="152"/>
      <c r="BE4914" s="152"/>
      <c r="BF4914" s="152"/>
      <c r="BG4914" s="152"/>
      <c r="BH4914" s="152"/>
      <c r="BI4914" s="153"/>
      <c r="BJ4914" s="153"/>
      <c r="BK4914" s="153"/>
      <c r="BL4914" s="153"/>
      <c r="BM4914" s="153"/>
      <c r="BN4914" s="153"/>
      <c r="BO4914" s="153"/>
      <c r="BP4914" s="153"/>
      <c r="BQ4914" s="153"/>
      <c r="BR4914" s="153"/>
      <c r="BS4914" s="153"/>
      <c r="BT4914" s="153"/>
      <c r="BU4914" s="153"/>
      <c r="BV4914" s="153"/>
      <c r="BW4914" s="153"/>
      <c r="BX4914" s="153"/>
      <c r="BY4914" s="153"/>
      <c r="BZ4914" s="153"/>
      <c r="CA4914" s="152"/>
      <c r="CB4914" s="152"/>
    </row>
    <row r="4915" spans="1:80" s="87" customFormat="1" x14ac:dyDescent="0.2">
      <c r="A4915" s="152"/>
      <c r="B4915" s="683"/>
      <c r="C4915" s="683"/>
      <c r="D4915" s="698"/>
      <c r="E4915" s="215"/>
      <c r="F4915" s="215"/>
      <c r="G4915" s="153"/>
      <c r="H4915" s="153"/>
      <c r="I4915" s="153"/>
      <c r="J4915" s="153"/>
      <c r="K4915" s="153"/>
      <c r="L4915" s="656">
        <v>40</v>
      </c>
      <c r="M4915" s="665">
        <v>34157</v>
      </c>
      <c r="N4915" s="597">
        <f>0.028317*20.74</f>
        <v>0.5872945799999999</v>
      </c>
      <c r="O4915" s="604">
        <v>2.5779341644769147E-4</v>
      </c>
      <c r="P4915" s="250"/>
      <c r="Q4915" s="478"/>
      <c r="R4915" s="478"/>
      <c r="S4915" s="478"/>
      <c r="T4915" s="478">
        <v>0.26191143140899958</v>
      </c>
      <c r="U4915" s="478">
        <v>0.41018360538847404</v>
      </c>
      <c r="V4915" s="478">
        <v>0.20225877918969193</v>
      </c>
      <c r="W4915" s="478">
        <v>8.6811479793221069E-2</v>
      </c>
      <c r="X4915" s="478">
        <v>3.1373347933484411E-2</v>
      </c>
      <c r="Y4915" s="478">
        <v>7.4613562861290039E-3</v>
      </c>
      <c r="Z4915" s="150"/>
      <c r="AA4915" s="231"/>
      <c r="AB4915" s="154">
        <v>2400</v>
      </c>
      <c r="AC4915" s="152"/>
      <c r="AD4915" s="223">
        <f>0.3048*19.7</f>
        <v>6.0045599999999997</v>
      </c>
      <c r="AE4915" s="152"/>
      <c r="AF4915" s="153"/>
      <c r="AG4915" s="153"/>
      <c r="AH4915" s="346"/>
      <c r="AI4915" s="218"/>
      <c r="AJ4915" s="218"/>
      <c r="AK4915" s="153"/>
      <c r="AL4915" s="152"/>
      <c r="AM4915" s="152"/>
      <c r="AN4915" s="152"/>
      <c r="AO4915" s="152"/>
      <c r="AP4915" s="152"/>
      <c r="AQ4915" s="152"/>
      <c r="AR4915" s="152"/>
      <c r="AS4915" s="152"/>
      <c r="AT4915" s="152"/>
      <c r="AU4915" s="153"/>
      <c r="AV4915" s="479"/>
      <c r="AW4915" s="479"/>
      <c r="AX4915" s="442"/>
      <c r="AY4915" s="153"/>
      <c r="AZ4915" s="152"/>
      <c r="BA4915" s="152"/>
      <c r="BB4915" s="152"/>
      <c r="BC4915" s="152"/>
      <c r="BD4915" s="152"/>
      <c r="BE4915" s="152"/>
      <c r="BF4915" s="152"/>
      <c r="BG4915" s="152"/>
      <c r="BH4915" s="152"/>
      <c r="BI4915" s="153"/>
      <c r="BJ4915" s="153"/>
      <c r="BK4915" s="153"/>
      <c r="BL4915" s="153"/>
      <c r="BM4915" s="153"/>
      <c r="BN4915" s="153"/>
      <c r="BO4915" s="153"/>
      <c r="BP4915" s="153"/>
      <c r="BQ4915" s="153"/>
      <c r="BR4915" s="153"/>
      <c r="BS4915" s="153"/>
      <c r="BT4915" s="153"/>
      <c r="BU4915" s="153"/>
      <c r="BV4915" s="153"/>
      <c r="BW4915" s="153"/>
      <c r="BX4915" s="153"/>
      <c r="BY4915" s="153"/>
      <c r="BZ4915" s="153"/>
      <c r="CA4915" s="152"/>
      <c r="CB4915" s="152"/>
    </row>
    <row r="4916" spans="1:80" s="87" customFormat="1" x14ac:dyDescent="0.2">
      <c r="A4916" s="152"/>
      <c r="B4916" s="683"/>
      <c r="C4916" s="683"/>
      <c r="D4916" s="698"/>
      <c r="E4916" s="215"/>
      <c r="F4916" s="215"/>
      <c r="G4916" s="153"/>
      <c r="H4916" s="153"/>
      <c r="I4916" s="153"/>
      <c r="J4916" s="153"/>
      <c r="K4916" s="153"/>
      <c r="L4916" s="656">
        <v>40</v>
      </c>
      <c r="M4916" s="665">
        <v>34163</v>
      </c>
      <c r="N4916" s="597">
        <f>0.028317*16.55</f>
        <v>0.46864634999999999</v>
      </c>
      <c r="O4916" s="604">
        <v>5.5427694105410197E-4</v>
      </c>
      <c r="P4916" s="250"/>
      <c r="Q4916" s="478"/>
      <c r="R4916" s="478"/>
      <c r="S4916" s="478"/>
      <c r="T4916" s="478">
        <v>0.25989703131446129</v>
      </c>
      <c r="U4916" s="478">
        <v>0.31628679774169666</v>
      </c>
      <c r="V4916" s="478">
        <v>0.29017728472367449</v>
      </c>
      <c r="W4916" s="478">
        <v>0.1045171718085076</v>
      </c>
      <c r="X4916" s="478">
        <v>2.6369477866253724E-2</v>
      </c>
      <c r="Y4916" s="478">
        <v>2.7522365454062522E-3</v>
      </c>
      <c r="Z4916" s="150"/>
      <c r="AA4916" s="231"/>
      <c r="AB4916" s="154">
        <v>2400</v>
      </c>
      <c r="AC4916" s="152"/>
      <c r="AD4916" s="223">
        <f>0.3048*18.8</f>
        <v>5.7302400000000002</v>
      </c>
      <c r="AE4916" s="152"/>
      <c r="AF4916" s="153"/>
      <c r="AG4916" s="153"/>
      <c r="AH4916" s="346"/>
      <c r="AI4916" s="218"/>
      <c r="AJ4916" s="218"/>
      <c r="AK4916" s="153"/>
      <c r="AL4916" s="152"/>
      <c r="AM4916" s="152"/>
      <c r="AN4916" s="152"/>
      <c r="AO4916" s="152"/>
      <c r="AP4916" s="152"/>
      <c r="AQ4916" s="152"/>
      <c r="AR4916" s="152"/>
      <c r="AS4916" s="152"/>
      <c r="AT4916" s="152"/>
      <c r="AU4916" s="153"/>
      <c r="AV4916" s="479"/>
      <c r="AW4916" s="479"/>
      <c r="AX4916" s="442"/>
      <c r="AY4916" s="153"/>
      <c r="AZ4916" s="152"/>
      <c r="BA4916" s="152"/>
      <c r="BB4916" s="152"/>
      <c r="BC4916" s="152"/>
      <c r="BD4916" s="152"/>
      <c r="BE4916" s="152"/>
      <c r="BF4916" s="152"/>
      <c r="BG4916" s="152"/>
      <c r="BH4916" s="152"/>
      <c r="BI4916" s="153"/>
      <c r="BJ4916" s="153"/>
      <c r="BK4916" s="153"/>
      <c r="BL4916" s="153"/>
      <c r="BM4916" s="153"/>
      <c r="BN4916" s="153"/>
      <c r="BO4916" s="153"/>
      <c r="BP4916" s="153"/>
      <c r="BQ4916" s="153"/>
      <c r="BR4916" s="153"/>
      <c r="BS4916" s="153"/>
      <c r="BT4916" s="153"/>
      <c r="BU4916" s="153"/>
      <c r="BV4916" s="153"/>
      <c r="BW4916" s="153"/>
      <c r="BX4916" s="153"/>
      <c r="BY4916" s="153"/>
      <c r="BZ4916" s="153"/>
      <c r="CA4916" s="152"/>
      <c r="CB4916" s="152"/>
    </row>
    <row r="4917" spans="1:80" s="87" customFormat="1" x14ac:dyDescent="0.2">
      <c r="A4917" s="152"/>
      <c r="B4917" s="683"/>
      <c r="C4917" s="683"/>
      <c r="D4917" s="698"/>
      <c r="E4917" s="215"/>
      <c r="F4917" s="215"/>
      <c r="G4917" s="153"/>
      <c r="H4917" s="153"/>
      <c r="I4917" s="153"/>
      <c r="J4917" s="153"/>
      <c r="K4917" s="153"/>
      <c r="L4917" s="656">
        <v>40</v>
      </c>
      <c r="M4917" s="665">
        <v>34170</v>
      </c>
      <c r="N4917" s="597">
        <f>0.028317*14.31</f>
        <v>0.40521626999999999</v>
      </c>
      <c r="O4917" s="604">
        <v>1.0848412650885338E-3</v>
      </c>
      <c r="P4917" s="250"/>
      <c r="Q4917" s="478"/>
      <c r="R4917" s="478"/>
      <c r="S4917" s="478"/>
      <c r="T4917" s="478">
        <v>5.0049400303294869E-2</v>
      </c>
      <c r="U4917" s="478">
        <v>0.22757168788199064</v>
      </c>
      <c r="V4917" s="478">
        <v>0.4598134276917421</v>
      </c>
      <c r="W4917" s="478">
        <v>0.22017313083038464</v>
      </c>
      <c r="X4917" s="478">
        <v>3.6246036487293798E-2</v>
      </c>
      <c r="Y4917" s="478">
        <v>6.1463168052938739E-3</v>
      </c>
      <c r="Z4917" s="150"/>
      <c r="AA4917" s="231"/>
      <c r="AB4917" s="154">
        <v>2400</v>
      </c>
      <c r="AC4917" s="152"/>
      <c r="AD4917" s="223">
        <f>0.3048*18.7</f>
        <v>5.6997600000000004</v>
      </c>
      <c r="AE4917" s="152"/>
      <c r="AF4917" s="153"/>
      <c r="AG4917" s="153"/>
      <c r="AH4917" s="346"/>
      <c r="AI4917" s="218"/>
      <c r="AJ4917" s="218"/>
      <c r="AK4917" s="153"/>
      <c r="AL4917" s="152"/>
      <c r="AM4917" s="152"/>
      <c r="AN4917" s="152"/>
      <c r="AO4917" s="152"/>
      <c r="AP4917" s="152"/>
      <c r="AQ4917" s="152"/>
      <c r="AR4917" s="152"/>
      <c r="AS4917" s="152"/>
      <c r="AT4917" s="152"/>
      <c r="AU4917" s="153"/>
      <c r="AV4917" s="479"/>
      <c r="AW4917" s="479"/>
      <c r="AX4917" s="442"/>
      <c r="AY4917" s="153"/>
      <c r="AZ4917" s="152"/>
      <c r="BA4917" s="152"/>
      <c r="BB4917" s="152"/>
      <c r="BC4917" s="152"/>
      <c r="BD4917" s="152"/>
      <c r="BE4917" s="152"/>
      <c r="BF4917" s="152"/>
      <c r="BG4917" s="152"/>
      <c r="BH4917" s="152"/>
      <c r="BI4917" s="153"/>
      <c r="BJ4917" s="153"/>
      <c r="BK4917" s="153"/>
      <c r="BL4917" s="153"/>
      <c r="BM4917" s="153"/>
      <c r="BN4917" s="153"/>
      <c r="BO4917" s="153"/>
      <c r="BP4917" s="153"/>
      <c r="BQ4917" s="153"/>
      <c r="BR4917" s="153"/>
      <c r="BS4917" s="153"/>
      <c r="BT4917" s="153"/>
      <c r="BU4917" s="153"/>
      <c r="BV4917" s="153"/>
      <c r="BW4917" s="153"/>
      <c r="BX4917" s="153"/>
      <c r="BY4917" s="153"/>
      <c r="BZ4917" s="153"/>
      <c r="CA4917" s="152"/>
      <c r="CB4917" s="152"/>
    </row>
    <row r="4918" spans="1:80" s="87" customFormat="1" x14ac:dyDescent="0.2">
      <c r="A4918" s="152"/>
      <c r="B4918" s="683"/>
      <c r="C4918" s="683"/>
      <c r="D4918" s="698"/>
      <c r="E4918" s="215"/>
      <c r="F4918" s="215"/>
      <c r="G4918" s="153"/>
      <c r="H4918" s="153"/>
      <c r="I4918" s="153"/>
      <c r="J4918" s="153"/>
      <c r="K4918" s="153"/>
      <c r="L4918" s="656">
        <v>40</v>
      </c>
      <c r="M4918" s="665">
        <v>34177</v>
      </c>
      <c r="N4918" s="597">
        <f>0.028317*15.15</f>
        <v>0.42900254999999998</v>
      </c>
      <c r="O4918" s="604">
        <v>5.8032996184920909E-4</v>
      </c>
      <c r="P4918" s="250"/>
      <c r="Q4918" s="478"/>
      <c r="R4918" s="478"/>
      <c r="S4918" s="478"/>
      <c r="T4918" s="478">
        <v>0.15898403831676797</v>
      </c>
      <c r="U4918" s="478">
        <v>0.16453189609086055</v>
      </c>
      <c r="V4918" s="478">
        <v>0.27718013899647592</v>
      </c>
      <c r="W4918" s="478">
        <v>0.18221194235028434</v>
      </c>
      <c r="X4918" s="478">
        <v>0.11395747187885259</v>
      </c>
      <c r="Y4918" s="478">
        <v>0.1031345123667587</v>
      </c>
      <c r="Z4918" s="150"/>
      <c r="AA4918" s="231"/>
      <c r="AB4918" s="154">
        <v>2400</v>
      </c>
      <c r="AC4918" s="152"/>
      <c r="AD4918" s="223">
        <f>0.3048*19</f>
        <v>5.7911999999999999</v>
      </c>
      <c r="AE4918" s="152"/>
      <c r="AF4918" s="153"/>
      <c r="AG4918" s="153"/>
      <c r="AH4918" s="346"/>
      <c r="AI4918" s="218"/>
      <c r="AJ4918" s="218"/>
      <c r="AK4918" s="153"/>
      <c r="AL4918" s="152"/>
      <c r="AM4918" s="152"/>
      <c r="AN4918" s="152"/>
      <c r="AO4918" s="152"/>
      <c r="AP4918" s="152"/>
      <c r="AQ4918" s="152"/>
      <c r="AR4918" s="152"/>
      <c r="AS4918" s="152"/>
      <c r="AT4918" s="152"/>
      <c r="AU4918" s="153"/>
      <c r="AV4918" s="479"/>
      <c r="AW4918" s="479"/>
      <c r="AX4918" s="442"/>
      <c r="AY4918" s="153"/>
      <c r="AZ4918" s="152"/>
      <c r="BA4918" s="152"/>
      <c r="BB4918" s="152"/>
      <c r="BC4918" s="152"/>
      <c r="BD4918" s="152"/>
      <c r="BE4918" s="152"/>
      <c r="BF4918" s="152"/>
      <c r="BG4918" s="152"/>
      <c r="BH4918" s="152"/>
      <c r="BI4918" s="153"/>
      <c r="BJ4918" s="153"/>
      <c r="BK4918" s="153"/>
      <c r="BL4918" s="153"/>
      <c r="BM4918" s="153"/>
      <c r="BN4918" s="153"/>
      <c r="BO4918" s="153"/>
      <c r="BP4918" s="153"/>
      <c r="BQ4918" s="153"/>
      <c r="BR4918" s="153"/>
      <c r="BS4918" s="153"/>
      <c r="BT4918" s="153"/>
      <c r="BU4918" s="153"/>
      <c r="BV4918" s="153"/>
      <c r="BW4918" s="153"/>
      <c r="BX4918" s="153"/>
      <c r="BY4918" s="153"/>
      <c r="BZ4918" s="153"/>
      <c r="CA4918" s="152"/>
      <c r="CB4918" s="152"/>
    </row>
    <row r="4919" spans="1:80" s="87" customFormat="1" x14ac:dyDescent="0.2">
      <c r="A4919" s="152"/>
      <c r="B4919" s="683"/>
      <c r="C4919" s="683"/>
      <c r="D4919" s="698"/>
      <c r="E4919" s="215"/>
      <c r="F4919" s="215"/>
      <c r="G4919" s="153"/>
      <c r="H4919" s="153"/>
      <c r="I4919" s="153"/>
      <c r="J4919" s="153"/>
      <c r="K4919" s="153"/>
      <c r="L4919" s="656">
        <v>40</v>
      </c>
      <c r="M4919" s="665">
        <v>34184</v>
      </c>
      <c r="N4919" s="597">
        <f>0.028317*13.96</f>
        <v>0.39530532000000002</v>
      </c>
      <c r="O4919" s="604">
        <v>2.0131291387095549E-4</v>
      </c>
      <c r="P4919" s="250"/>
      <c r="Q4919" s="478"/>
      <c r="R4919" s="478"/>
      <c r="S4919" s="478"/>
      <c r="T4919" s="478"/>
      <c r="U4919" s="478">
        <v>4.2338992017676005E-2</v>
      </c>
      <c r="V4919" s="478">
        <v>0.13034683430065175</v>
      </c>
      <c r="W4919" s="478">
        <v>0.45076011016540429</v>
      </c>
      <c r="X4919" s="478">
        <v>0.33194329904927872</v>
      </c>
      <c r="Y4919" s="478">
        <v>4.4610764466989299E-2</v>
      </c>
      <c r="Z4919" s="150"/>
      <c r="AA4919" s="231"/>
      <c r="AB4919" s="154">
        <v>2400</v>
      </c>
      <c r="AC4919" s="152"/>
      <c r="AD4919" s="223">
        <f>0.3048*18.8</f>
        <v>5.7302400000000002</v>
      </c>
      <c r="AE4919" s="152"/>
      <c r="AF4919" s="153"/>
      <c r="AG4919" s="153"/>
      <c r="AH4919" s="346"/>
      <c r="AI4919" s="218"/>
      <c r="AJ4919" s="218"/>
      <c r="AK4919" s="153"/>
      <c r="AL4919" s="152"/>
      <c r="AM4919" s="152"/>
      <c r="AN4919" s="152"/>
      <c r="AO4919" s="152"/>
      <c r="AP4919" s="152"/>
      <c r="AQ4919" s="152"/>
      <c r="AR4919" s="152"/>
      <c r="AS4919" s="152"/>
      <c r="AT4919" s="152"/>
      <c r="AU4919" s="153"/>
      <c r="AV4919" s="479"/>
      <c r="AW4919" s="479"/>
      <c r="AX4919" s="442"/>
      <c r="AY4919" s="153"/>
      <c r="AZ4919" s="152"/>
      <c r="BA4919" s="152"/>
      <c r="BB4919" s="152"/>
      <c r="BC4919" s="152"/>
      <c r="BD4919" s="152"/>
      <c r="BE4919" s="152"/>
      <c r="BF4919" s="152"/>
      <c r="BG4919" s="152"/>
      <c r="BH4919" s="152"/>
      <c r="BI4919" s="153"/>
      <c r="BJ4919" s="153"/>
      <c r="BK4919" s="153"/>
      <c r="BL4919" s="153"/>
      <c r="BM4919" s="153"/>
      <c r="BN4919" s="153"/>
      <c r="BO4919" s="153"/>
      <c r="BP4919" s="153"/>
      <c r="BQ4919" s="153"/>
      <c r="BR4919" s="153"/>
      <c r="BS4919" s="153"/>
      <c r="BT4919" s="153"/>
      <c r="BU4919" s="153"/>
      <c r="BV4919" s="153"/>
      <c r="BW4919" s="153"/>
      <c r="BX4919" s="153"/>
      <c r="BY4919" s="153"/>
      <c r="BZ4919" s="153"/>
      <c r="CA4919" s="152"/>
      <c r="CB4919" s="152"/>
    </row>
    <row r="4920" spans="1:80" s="87" customFormat="1" x14ac:dyDescent="0.2">
      <c r="A4920" s="152"/>
      <c r="B4920" s="683"/>
      <c r="C4920" s="683"/>
      <c r="D4920" s="698"/>
      <c r="E4920" s="215"/>
      <c r="F4920" s="215"/>
      <c r="G4920" s="153"/>
      <c r="H4920" s="153"/>
      <c r="I4920" s="153"/>
      <c r="J4920" s="153"/>
      <c r="K4920" s="153"/>
      <c r="L4920" s="656">
        <v>40</v>
      </c>
      <c r="M4920" s="665">
        <v>34191</v>
      </c>
      <c r="N4920" s="597">
        <f>0.028317*11.86</f>
        <v>0.33583961999999995</v>
      </c>
      <c r="O4920" s="604">
        <v>1.1265309236606638E-5</v>
      </c>
      <c r="P4920" s="250"/>
      <c r="Q4920" s="478"/>
      <c r="R4920" s="478"/>
      <c r="S4920" s="478"/>
      <c r="T4920" s="478"/>
      <c r="U4920" s="478"/>
      <c r="V4920" s="478">
        <v>0.1735900962861073</v>
      </c>
      <c r="W4920" s="478">
        <v>0.18624484181568088</v>
      </c>
      <c r="X4920" s="478">
        <v>0.34525447042640989</v>
      </c>
      <c r="Y4920" s="478">
        <v>0.29491059147180193</v>
      </c>
      <c r="Z4920" s="150"/>
      <c r="AA4920" s="231"/>
      <c r="AB4920" s="154">
        <v>2400</v>
      </c>
      <c r="AC4920" s="152"/>
      <c r="AD4920" s="223">
        <f>0.3048*18.6</f>
        <v>5.6692800000000005</v>
      </c>
      <c r="AE4920" s="152"/>
      <c r="AF4920" s="153"/>
      <c r="AG4920" s="153"/>
      <c r="AH4920" s="346"/>
      <c r="AI4920" s="218"/>
      <c r="AJ4920" s="218"/>
      <c r="AK4920" s="153"/>
      <c r="AL4920" s="152"/>
      <c r="AM4920" s="152"/>
      <c r="AN4920" s="152"/>
      <c r="AO4920" s="152"/>
      <c r="AP4920" s="152"/>
      <c r="AQ4920" s="152"/>
      <c r="AR4920" s="152"/>
      <c r="AS4920" s="152"/>
      <c r="AT4920" s="152"/>
      <c r="AU4920" s="153"/>
      <c r="AV4920" s="479"/>
      <c r="AW4920" s="479"/>
      <c r="AX4920" s="442"/>
      <c r="AY4920" s="153"/>
      <c r="AZ4920" s="152"/>
      <c r="BA4920" s="152"/>
      <c r="BB4920" s="152"/>
      <c r="BC4920" s="152"/>
      <c r="BD4920" s="152"/>
      <c r="BE4920" s="152"/>
      <c r="BF4920" s="152"/>
      <c r="BG4920" s="152"/>
      <c r="BH4920" s="152"/>
      <c r="BI4920" s="153"/>
      <c r="BJ4920" s="153"/>
      <c r="BK4920" s="153"/>
      <c r="BL4920" s="153"/>
      <c r="BM4920" s="153"/>
      <c r="BN4920" s="153"/>
      <c r="BO4920" s="153"/>
      <c r="BP4920" s="153"/>
      <c r="BQ4920" s="153"/>
      <c r="BR4920" s="153"/>
      <c r="BS4920" s="153"/>
      <c r="BT4920" s="153"/>
      <c r="BU4920" s="153"/>
      <c r="BV4920" s="153"/>
      <c r="BW4920" s="153"/>
      <c r="BX4920" s="153"/>
      <c r="BY4920" s="153"/>
      <c r="BZ4920" s="153"/>
      <c r="CA4920" s="152"/>
      <c r="CB4920" s="152"/>
    </row>
    <row r="4921" spans="1:80" s="87" customFormat="1" x14ac:dyDescent="0.2">
      <c r="A4921" s="152"/>
      <c r="B4921" s="683"/>
      <c r="C4921" s="683"/>
      <c r="D4921" s="698"/>
      <c r="E4921" s="215"/>
      <c r="F4921" s="215"/>
      <c r="G4921" s="153"/>
      <c r="H4921" s="153"/>
      <c r="I4921" s="153"/>
      <c r="J4921" s="153"/>
      <c r="K4921" s="153"/>
      <c r="L4921" s="656">
        <v>40</v>
      </c>
      <c r="M4921" s="665">
        <v>34198</v>
      </c>
      <c r="N4921" s="597">
        <f>0.028317*12.85</f>
        <v>0.36387344999999999</v>
      </c>
      <c r="O4921" s="604">
        <v>5.8015567787971465E-5</v>
      </c>
      <c r="P4921" s="250"/>
      <c r="Q4921" s="478"/>
      <c r="R4921" s="478"/>
      <c r="S4921" s="478"/>
      <c r="T4921" s="478"/>
      <c r="U4921" s="478">
        <v>6.8215811965811973E-2</v>
      </c>
      <c r="V4921" s="478">
        <v>0.18782051282051285</v>
      </c>
      <c r="W4921" s="478">
        <v>0.35491452991452993</v>
      </c>
      <c r="X4921" s="478">
        <v>0.32681623931623932</v>
      </c>
      <c r="Y4921" s="478">
        <v>6.2232905982905984E-2</v>
      </c>
      <c r="Z4921" s="150"/>
      <c r="AA4921" s="231"/>
      <c r="AB4921" s="154">
        <v>2400</v>
      </c>
      <c r="AC4921" s="152"/>
      <c r="AD4921" s="223">
        <f>0.3048*18.6</f>
        <v>5.6692800000000005</v>
      </c>
      <c r="AE4921" s="152"/>
      <c r="AF4921" s="153"/>
      <c r="AG4921" s="153"/>
      <c r="AH4921" s="346"/>
      <c r="AI4921" s="218"/>
      <c r="AJ4921" s="218"/>
      <c r="AK4921" s="153"/>
      <c r="AL4921" s="152"/>
      <c r="AM4921" s="152"/>
      <c r="AN4921" s="152"/>
      <c r="AO4921" s="152"/>
      <c r="AP4921" s="152"/>
      <c r="AQ4921" s="152"/>
      <c r="AR4921" s="152"/>
      <c r="AS4921" s="152"/>
      <c r="AT4921" s="152"/>
      <c r="AU4921" s="153"/>
      <c r="AV4921" s="479"/>
      <c r="AW4921" s="479"/>
      <c r="AX4921" s="442"/>
      <c r="AY4921" s="153"/>
      <c r="AZ4921" s="152"/>
      <c r="BA4921" s="152"/>
      <c r="BB4921" s="152"/>
      <c r="BC4921" s="152"/>
      <c r="BD4921" s="152"/>
      <c r="BE4921" s="152"/>
      <c r="BF4921" s="152"/>
      <c r="BG4921" s="152"/>
      <c r="BH4921" s="152"/>
      <c r="BI4921" s="153"/>
      <c r="BJ4921" s="153"/>
      <c r="BK4921" s="153"/>
      <c r="BL4921" s="153"/>
      <c r="BM4921" s="153"/>
      <c r="BN4921" s="153"/>
      <c r="BO4921" s="153"/>
      <c r="BP4921" s="153"/>
      <c r="BQ4921" s="153"/>
      <c r="BR4921" s="153"/>
      <c r="BS4921" s="153"/>
      <c r="BT4921" s="153"/>
      <c r="BU4921" s="153"/>
      <c r="BV4921" s="153"/>
      <c r="BW4921" s="153"/>
      <c r="BX4921" s="153"/>
      <c r="BY4921" s="153"/>
      <c r="BZ4921" s="153"/>
      <c r="CA4921" s="152"/>
      <c r="CB4921" s="152"/>
    </row>
    <row r="4922" spans="1:80" s="87" customFormat="1" x14ac:dyDescent="0.2">
      <c r="A4922" s="152"/>
      <c r="B4922" s="683"/>
      <c r="C4922" s="683"/>
      <c r="D4922" s="698"/>
      <c r="E4922" s="215"/>
      <c r="F4922" s="215"/>
      <c r="G4922" s="153"/>
      <c r="H4922" s="153"/>
      <c r="I4922" s="153"/>
      <c r="J4922" s="153"/>
      <c r="K4922" s="153"/>
      <c r="L4922" s="656">
        <v>40</v>
      </c>
      <c r="M4922" s="665">
        <v>34205</v>
      </c>
      <c r="N4922" s="597">
        <f>0.028317*12.1</f>
        <v>0.34263569999999999</v>
      </c>
      <c r="O4922" s="604">
        <v>6.5825938927587048E-5</v>
      </c>
      <c r="P4922" s="250"/>
      <c r="Q4922" s="478"/>
      <c r="R4922" s="478"/>
      <c r="S4922" s="478"/>
      <c r="T4922" s="478"/>
      <c r="U4922" s="478">
        <v>0.18679466167173875</v>
      </c>
      <c r="V4922" s="478">
        <v>0.3505502224303445</v>
      </c>
      <c r="W4922" s="478">
        <v>0.32058066026691667</v>
      </c>
      <c r="X4922" s="478">
        <v>0.12915008194802183</v>
      </c>
      <c r="Y4922" s="478">
        <v>1.2924373682978243E-2</v>
      </c>
      <c r="Z4922" s="150"/>
      <c r="AA4922" s="231"/>
      <c r="AB4922" s="154">
        <v>2400</v>
      </c>
      <c r="AC4922" s="152"/>
      <c r="AD4922" s="223">
        <f>0.3048*18.5</f>
        <v>5.6388000000000007</v>
      </c>
      <c r="AE4922" s="152"/>
      <c r="AF4922" s="153"/>
      <c r="AG4922" s="153"/>
      <c r="AH4922" s="346"/>
      <c r="AI4922" s="218"/>
      <c r="AJ4922" s="218"/>
      <c r="AK4922" s="153"/>
      <c r="AL4922" s="152"/>
      <c r="AM4922" s="152"/>
      <c r="AN4922" s="152"/>
      <c r="AO4922" s="152"/>
      <c r="AP4922" s="152"/>
      <c r="AQ4922" s="152"/>
      <c r="AR4922" s="152"/>
      <c r="AS4922" s="152"/>
      <c r="AT4922" s="152"/>
      <c r="AU4922" s="153"/>
      <c r="AV4922" s="479"/>
      <c r="AW4922" s="479"/>
      <c r="AX4922" s="442"/>
      <c r="AY4922" s="153"/>
      <c r="AZ4922" s="152"/>
      <c r="BA4922" s="152"/>
      <c r="BB4922" s="152"/>
      <c r="BC4922" s="152"/>
      <c r="BD4922" s="152"/>
      <c r="BE4922" s="152"/>
      <c r="BF4922" s="152"/>
      <c r="BG4922" s="152"/>
      <c r="BH4922" s="152"/>
      <c r="BI4922" s="153"/>
      <c r="BJ4922" s="153"/>
      <c r="BK4922" s="153"/>
      <c r="BL4922" s="153"/>
      <c r="BM4922" s="153"/>
      <c r="BN4922" s="153"/>
      <c r="BO4922" s="153"/>
      <c r="BP4922" s="153"/>
      <c r="BQ4922" s="153"/>
      <c r="BR4922" s="153"/>
      <c r="BS4922" s="153"/>
      <c r="BT4922" s="153"/>
      <c r="BU4922" s="153"/>
      <c r="BV4922" s="153"/>
      <c r="BW4922" s="153"/>
      <c r="BX4922" s="153"/>
      <c r="BY4922" s="153"/>
      <c r="BZ4922" s="153"/>
      <c r="CA4922" s="152"/>
      <c r="CB4922" s="152"/>
    </row>
    <row r="4923" spans="1:80" s="87" customFormat="1" x14ac:dyDescent="0.2">
      <c r="A4923" s="152"/>
      <c r="B4923" s="683"/>
      <c r="C4923" s="683"/>
      <c r="D4923" s="698"/>
      <c r="E4923" s="215"/>
      <c r="F4923" s="215"/>
      <c r="G4923" s="153"/>
      <c r="H4923" s="153"/>
      <c r="I4923" s="153"/>
      <c r="J4923" s="153"/>
      <c r="K4923" s="153"/>
      <c r="L4923" s="656">
        <v>40</v>
      </c>
      <c r="M4923" s="665">
        <v>34212</v>
      </c>
      <c r="N4923" s="597">
        <f>0.028317*11.6</f>
        <v>0.32847719999999997</v>
      </c>
      <c r="O4923" s="604">
        <v>1.1017999284177137E-4</v>
      </c>
      <c r="P4923" s="250"/>
      <c r="Q4923" s="478"/>
      <c r="R4923" s="478"/>
      <c r="S4923" s="478"/>
      <c r="T4923" s="478">
        <v>0.10111948694869494</v>
      </c>
      <c r="U4923" s="478">
        <v>8.0558055805580606E-2</v>
      </c>
      <c r="V4923" s="478">
        <v>0.26094171917191739</v>
      </c>
      <c r="W4923" s="478">
        <v>0.34417191719171875</v>
      </c>
      <c r="X4923" s="478">
        <v>0.19588208820882103</v>
      </c>
      <c r="Y4923" s="478">
        <v>1.7326732673267339E-2</v>
      </c>
      <c r="Z4923" s="150"/>
      <c r="AA4923" s="231"/>
      <c r="AB4923" s="154">
        <v>2400</v>
      </c>
      <c r="AC4923" s="152"/>
      <c r="AD4923" s="223">
        <f>0.3048*18.6</f>
        <v>5.6692800000000005</v>
      </c>
      <c r="AE4923" s="152"/>
      <c r="AF4923" s="153"/>
      <c r="AG4923" s="153"/>
      <c r="AH4923" s="346"/>
      <c r="AI4923" s="218"/>
      <c r="AJ4923" s="218"/>
      <c r="AK4923" s="153"/>
      <c r="AL4923" s="152"/>
      <c r="AM4923" s="152"/>
      <c r="AN4923" s="152"/>
      <c r="AO4923" s="152"/>
      <c r="AP4923" s="152"/>
      <c r="AQ4923" s="152"/>
      <c r="AR4923" s="152"/>
      <c r="AS4923" s="152"/>
      <c r="AT4923" s="152"/>
      <c r="AU4923" s="153"/>
      <c r="AV4923" s="479"/>
      <c r="AW4923" s="479"/>
      <c r="AX4923" s="442"/>
      <c r="AY4923" s="153"/>
      <c r="AZ4923" s="152"/>
      <c r="BA4923" s="152"/>
      <c r="BB4923" s="152"/>
      <c r="BC4923" s="152"/>
      <c r="BD4923" s="152"/>
      <c r="BE4923" s="152"/>
      <c r="BF4923" s="152"/>
      <c r="BG4923" s="152"/>
      <c r="BH4923" s="152"/>
      <c r="BI4923" s="153"/>
      <c r="BJ4923" s="153"/>
      <c r="BK4923" s="153"/>
      <c r="BL4923" s="153"/>
      <c r="BM4923" s="153"/>
      <c r="BN4923" s="153"/>
      <c r="BO4923" s="153"/>
      <c r="BP4923" s="153"/>
      <c r="BQ4923" s="153"/>
      <c r="BR4923" s="153"/>
      <c r="BS4923" s="153"/>
      <c r="BT4923" s="153"/>
      <c r="BU4923" s="153"/>
      <c r="BV4923" s="153"/>
      <c r="BW4923" s="153"/>
      <c r="BX4923" s="153"/>
      <c r="BY4923" s="153"/>
      <c r="BZ4923" s="153"/>
      <c r="CA4923" s="152"/>
      <c r="CB4923" s="152"/>
    </row>
    <row r="4924" spans="1:80" s="87" customFormat="1" x14ac:dyDescent="0.2">
      <c r="A4924" s="152"/>
      <c r="B4924" s="683"/>
      <c r="C4924" s="683"/>
      <c r="D4924" s="698"/>
      <c r="E4924" s="215"/>
      <c r="F4924" s="215"/>
      <c r="G4924" s="153"/>
      <c r="H4924" s="153"/>
      <c r="I4924" s="153"/>
      <c r="J4924" s="153"/>
      <c r="K4924" s="153"/>
      <c r="L4924" s="656">
        <v>40</v>
      </c>
      <c r="M4924" s="665">
        <v>34219</v>
      </c>
      <c r="N4924" s="597">
        <f>0.028317*10.6</f>
        <v>0.30016019999999999</v>
      </c>
      <c r="O4924" s="604">
        <v>9.3718255430966146E-5</v>
      </c>
      <c r="P4924" s="250"/>
      <c r="Q4924" s="478"/>
      <c r="R4924" s="478"/>
      <c r="S4924" s="478"/>
      <c r="T4924" s="478">
        <v>5.5049453409682439E-2</v>
      </c>
      <c r="U4924" s="478">
        <v>7.6913066111400197E-2</v>
      </c>
      <c r="V4924" s="478">
        <v>0.24817803227485677</v>
      </c>
      <c r="W4924" s="478">
        <v>0.35391723060905811</v>
      </c>
      <c r="X4924" s="478">
        <v>0.24271212909942727</v>
      </c>
      <c r="Y4924" s="478">
        <v>2.3230088495575216E-2</v>
      </c>
      <c r="Z4924" s="150"/>
      <c r="AA4924" s="231"/>
      <c r="AB4924" s="154">
        <v>2400</v>
      </c>
      <c r="AC4924" s="152"/>
      <c r="AD4924" s="223">
        <f>0.3048*18.3</f>
        <v>5.5778400000000001</v>
      </c>
      <c r="AE4924" s="152"/>
      <c r="AF4924" s="153"/>
      <c r="AG4924" s="153"/>
      <c r="AH4924" s="346"/>
      <c r="AI4924" s="218"/>
      <c r="AJ4924" s="218"/>
      <c r="AK4924" s="153"/>
      <c r="AL4924" s="152"/>
      <c r="AM4924" s="152"/>
      <c r="AN4924" s="152"/>
      <c r="AO4924" s="152"/>
      <c r="AP4924" s="152"/>
      <c r="AQ4924" s="152"/>
      <c r="AR4924" s="152"/>
      <c r="AS4924" s="152"/>
      <c r="AT4924" s="152"/>
      <c r="AU4924" s="153"/>
      <c r="AV4924" s="479"/>
      <c r="AW4924" s="479"/>
      <c r="AX4924" s="442"/>
      <c r="AY4924" s="153"/>
      <c r="AZ4924" s="152"/>
      <c r="BA4924" s="152"/>
      <c r="BB4924" s="152"/>
      <c r="BC4924" s="152"/>
      <c r="BD4924" s="152"/>
      <c r="BE4924" s="152"/>
      <c r="BF4924" s="152"/>
      <c r="BG4924" s="152"/>
      <c r="BH4924" s="152"/>
      <c r="BI4924" s="153"/>
      <c r="BJ4924" s="153"/>
      <c r="BK4924" s="153"/>
      <c r="BL4924" s="153"/>
      <c r="BM4924" s="153"/>
      <c r="BN4924" s="153"/>
      <c r="BO4924" s="153"/>
      <c r="BP4924" s="153"/>
      <c r="BQ4924" s="153"/>
      <c r="BR4924" s="153"/>
      <c r="BS4924" s="153"/>
      <c r="BT4924" s="153"/>
      <c r="BU4924" s="153"/>
      <c r="BV4924" s="153"/>
      <c r="BW4924" s="153"/>
      <c r="BX4924" s="153"/>
      <c r="BY4924" s="153"/>
      <c r="BZ4924" s="153"/>
      <c r="CA4924" s="152"/>
      <c r="CB4924" s="152"/>
    </row>
    <row r="4925" spans="1:80" s="87" customFormat="1" x14ac:dyDescent="0.2">
      <c r="A4925" s="152"/>
      <c r="B4925" s="683"/>
      <c r="C4925" s="683"/>
      <c r="D4925" s="698"/>
      <c r="E4925" s="215"/>
      <c r="F4925" s="215"/>
      <c r="G4925" s="153"/>
      <c r="H4925" s="153"/>
      <c r="I4925" s="153"/>
      <c r="J4925" s="153"/>
      <c r="K4925" s="153"/>
      <c r="L4925" s="656">
        <v>36</v>
      </c>
      <c r="M4925" s="665">
        <v>34227</v>
      </c>
      <c r="N4925" s="597">
        <f>0.028317*9.39</f>
        <v>0.26589663000000002</v>
      </c>
      <c r="O4925" s="604">
        <v>3.30610988042352E-5</v>
      </c>
      <c r="P4925" s="250"/>
      <c r="Q4925" s="478"/>
      <c r="R4925" s="478"/>
      <c r="S4925" s="478"/>
      <c r="T4925" s="478"/>
      <c r="U4925" s="478">
        <v>4.9103905521599503E-2</v>
      </c>
      <c r="V4925" s="478">
        <v>0.3464208018232674</v>
      </c>
      <c r="W4925" s="478">
        <v>0.37812079146379368</v>
      </c>
      <c r="X4925" s="478">
        <v>0.20625712213819539</v>
      </c>
      <c r="Y4925" s="478">
        <v>2.0097379053144099E-2</v>
      </c>
      <c r="Z4925" s="150"/>
      <c r="AA4925" s="231"/>
      <c r="AB4925" s="154">
        <v>2160</v>
      </c>
      <c r="AC4925" s="152"/>
      <c r="AD4925" s="223">
        <f>0.3048*18.5</f>
        <v>5.6388000000000007</v>
      </c>
      <c r="AE4925" s="152"/>
      <c r="AF4925" s="153"/>
      <c r="AG4925" s="153"/>
      <c r="AH4925" s="346"/>
      <c r="AI4925" s="218"/>
      <c r="AJ4925" s="218"/>
      <c r="AK4925" s="153"/>
      <c r="AL4925" s="152"/>
      <c r="AM4925" s="152"/>
      <c r="AN4925" s="152"/>
      <c r="AO4925" s="152"/>
      <c r="AP4925" s="152"/>
      <c r="AQ4925" s="152"/>
      <c r="AR4925" s="152"/>
      <c r="AS4925" s="152"/>
      <c r="AT4925" s="152"/>
      <c r="AU4925" s="153"/>
      <c r="AV4925" s="479"/>
      <c r="AW4925" s="479"/>
      <c r="AX4925" s="442"/>
      <c r="AY4925" s="153"/>
      <c r="AZ4925" s="152"/>
      <c r="BA4925" s="152"/>
      <c r="BB4925" s="152"/>
      <c r="BC4925" s="152"/>
      <c r="BD4925" s="152"/>
      <c r="BE4925" s="152"/>
      <c r="BF4925" s="152"/>
      <c r="BG4925" s="152"/>
      <c r="BH4925" s="152"/>
      <c r="BI4925" s="153"/>
      <c r="BJ4925" s="153"/>
      <c r="BK4925" s="153"/>
      <c r="BL4925" s="153"/>
      <c r="BM4925" s="153"/>
      <c r="BN4925" s="153"/>
      <c r="BO4925" s="153"/>
      <c r="BP4925" s="153"/>
      <c r="BQ4925" s="153"/>
      <c r="BR4925" s="153"/>
      <c r="BS4925" s="153"/>
      <c r="BT4925" s="153"/>
      <c r="BU4925" s="153"/>
      <c r="BV4925" s="153"/>
      <c r="BW4925" s="153"/>
      <c r="BX4925" s="153"/>
      <c r="BY4925" s="153"/>
      <c r="BZ4925" s="153"/>
      <c r="CA4925" s="152"/>
      <c r="CB4925" s="152"/>
    </row>
    <row r="4926" spans="1:80" s="87" customFormat="1" x14ac:dyDescent="0.2">
      <c r="A4926" s="152"/>
      <c r="B4926" s="683"/>
      <c r="C4926" s="683"/>
      <c r="D4926" s="698"/>
      <c r="E4926" s="215"/>
      <c r="F4926" s="215"/>
      <c r="G4926" s="153"/>
      <c r="H4926" s="153"/>
      <c r="I4926" s="153"/>
      <c r="J4926" s="153"/>
      <c r="K4926" s="153"/>
      <c r="L4926" s="656">
        <v>40</v>
      </c>
      <c r="M4926" s="665">
        <v>34850</v>
      </c>
      <c r="N4926" s="597">
        <f>0.028317*86.17</f>
        <v>2.4400758899999997</v>
      </c>
      <c r="O4926" s="604">
        <v>1.9803948769622835E-3</v>
      </c>
      <c r="P4926" s="250"/>
      <c r="Q4926" s="478"/>
      <c r="R4926" s="478">
        <v>0.22270937763141077</v>
      </c>
      <c r="S4926" s="478">
        <v>0.2897097788182183</v>
      </c>
      <c r="T4926" s="478">
        <v>7.0165809184973574E-2</v>
      </c>
      <c r="U4926" s="478">
        <v>0.14151313556146317</v>
      </c>
      <c r="V4926" s="478">
        <v>0.18244741587200819</v>
      </c>
      <c r="W4926" s="478">
        <v>7.1477381440481075E-2</v>
      </c>
      <c r="X4926" s="478">
        <v>1.720694626301102E-2</v>
      </c>
      <c r="Y4926" s="478">
        <v>4.770155228434006E-3</v>
      </c>
      <c r="Z4926" s="150"/>
      <c r="AA4926" s="231"/>
      <c r="AB4926" s="154">
        <v>2400</v>
      </c>
      <c r="AC4926" s="152"/>
      <c r="AD4926" s="223">
        <f>0.3048*26.2</f>
        <v>7.98576</v>
      </c>
      <c r="AE4926" s="152"/>
      <c r="AF4926" s="153"/>
      <c r="AG4926" s="153"/>
      <c r="AH4926" s="346"/>
      <c r="AI4926" s="218"/>
      <c r="AJ4926" s="218"/>
      <c r="AK4926" s="153"/>
      <c r="AL4926" s="152"/>
      <c r="AM4926" s="152"/>
      <c r="AN4926" s="152"/>
      <c r="AO4926" s="152"/>
      <c r="AP4926" s="152"/>
      <c r="AQ4926" s="152"/>
      <c r="AR4926" s="152"/>
      <c r="AS4926" s="152"/>
      <c r="AT4926" s="152"/>
      <c r="AU4926" s="153"/>
      <c r="AV4926" s="479"/>
      <c r="AW4926" s="479"/>
      <c r="AX4926" s="442"/>
      <c r="AY4926" s="153"/>
      <c r="AZ4926" s="152"/>
      <c r="BA4926" s="152"/>
      <c r="BB4926" s="152"/>
      <c r="BC4926" s="152"/>
      <c r="BD4926" s="152"/>
      <c r="BE4926" s="152"/>
      <c r="BF4926" s="152"/>
      <c r="BG4926" s="152"/>
      <c r="BH4926" s="152"/>
      <c r="BI4926" s="153"/>
      <c r="BJ4926" s="153"/>
      <c r="BK4926" s="153"/>
      <c r="BL4926" s="153"/>
      <c r="BM4926" s="153"/>
      <c r="BN4926" s="153"/>
      <c r="BO4926" s="153"/>
      <c r="BP4926" s="153"/>
      <c r="BQ4926" s="153"/>
      <c r="BR4926" s="153"/>
      <c r="BS4926" s="153"/>
      <c r="BT4926" s="153"/>
      <c r="BU4926" s="153"/>
      <c r="BV4926" s="153"/>
      <c r="BW4926" s="153"/>
      <c r="BX4926" s="153"/>
      <c r="BY4926" s="153"/>
      <c r="BZ4926" s="153"/>
      <c r="CA4926" s="152"/>
      <c r="CB4926" s="152"/>
    </row>
    <row r="4927" spans="1:80" s="87" customFormat="1" x14ac:dyDescent="0.2">
      <c r="A4927" s="152"/>
      <c r="B4927" s="683"/>
      <c r="C4927" s="683"/>
      <c r="D4927" s="698"/>
      <c r="E4927" s="215"/>
      <c r="F4927" s="215"/>
      <c r="G4927" s="153"/>
      <c r="H4927" s="153"/>
      <c r="I4927" s="153"/>
      <c r="J4927" s="153"/>
      <c r="K4927" s="153"/>
      <c r="L4927" s="656">
        <v>40</v>
      </c>
      <c r="M4927" s="665">
        <v>35164</v>
      </c>
      <c r="N4927" s="597">
        <f>0.028317*56</f>
        <v>1.5857519999999998</v>
      </c>
      <c r="O4927" s="604">
        <v>1.2582302880658435E-3</v>
      </c>
      <c r="P4927" s="250"/>
      <c r="Q4927" s="478"/>
      <c r="R4927" s="478"/>
      <c r="S4927" s="478">
        <v>0.30831408775981523</v>
      </c>
      <c r="T4927" s="478">
        <v>0.18331408775981523</v>
      </c>
      <c r="U4927" s="478">
        <v>0.15993071593533487</v>
      </c>
      <c r="V4927" s="478">
        <v>0.13596997690531176</v>
      </c>
      <c r="W4927" s="478">
        <v>0.11691685912240184</v>
      </c>
      <c r="X4927" s="478">
        <v>8.3140877598152418E-2</v>
      </c>
      <c r="Y4927" s="478">
        <v>1.2413394919168591E-2</v>
      </c>
      <c r="Z4927" s="150"/>
      <c r="AA4927" s="231"/>
      <c r="AB4927" s="154">
        <v>2400</v>
      </c>
      <c r="AC4927" s="152"/>
      <c r="AD4927" s="223">
        <f>0.3048*21.8</f>
        <v>6.6446400000000008</v>
      </c>
      <c r="AE4927" s="152"/>
      <c r="AF4927" s="153"/>
      <c r="AG4927" s="153"/>
      <c r="AH4927" s="346"/>
      <c r="AI4927" s="218"/>
      <c r="AJ4927" s="218"/>
      <c r="AK4927" s="153"/>
      <c r="AL4927" s="152"/>
      <c r="AM4927" s="152"/>
      <c r="AN4927" s="152"/>
      <c r="AO4927" s="152"/>
      <c r="AP4927" s="152"/>
      <c r="AQ4927" s="152"/>
      <c r="AR4927" s="152"/>
      <c r="AS4927" s="152"/>
      <c r="AT4927" s="152"/>
      <c r="AU4927" s="153"/>
      <c r="AV4927" s="479"/>
      <c r="AW4927" s="479"/>
      <c r="AX4927" s="442"/>
      <c r="AY4927" s="153"/>
      <c r="AZ4927" s="152"/>
      <c r="BA4927" s="152"/>
      <c r="BB4927" s="152"/>
      <c r="BC4927" s="152"/>
      <c r="BD4927" s="152"/>
      <c r="BE4927" s="152"/>
      <c r="BF4927" s="152"/>
      <c r="BG4927" s="152"/>
      <c r="BH4927" s="152"/>
      <c r="BI4927" s="153"/>
      <c r="BJ4927" s="153"/>
      <c r="BK4927" s="153"/>
      <c r="BL4927" s="153"/>
      <c r="BM4927" s="153"/>
      <c r="BN4927" s="153"/>
      <c r="BO4927" s="153"/>
      <c r="BP4927" s="153"/>
      <c r="BQ4927" s="153"/>
      <c r="BR4927" s="153"/>
      <c r="BS4927" s="153"/>
      <c r="BT4927" s="153"/>
      <c r="BU4927" s="153"/>
      <c r="BV4927" s="153"/>
      <c r="BW4927" s="153"/>
      <c r="BX4927" s="153"/>
      <c r="BY4927" s="153"/>
      <c r="BZ4927" s="153"/>
      <c r="CA4927" s="152"/>
      <c r="CB4927" s="152"/>
    </row>
    <row r="4928" spans="1:80" s="87" customFormat="1" x14ac:dyDescent="0.2">
      <c r="A4928" s="152"/>
      <c r="B4928" s="683"/>
      <c r="C4928" s="683"/>
      <c r="D4928" s="698"/>
      <c r="E4928" s="215"/>
      <c r="F4928" s="215"/>
      <c r="G4928" s="153"/>
      <c r="H4928" s="153"/>
      <c r="I4928" s="153"/>
      <c r="J4928" s="153"/>
      <c r="K4928" s="153"/>
      <c r="L4928" s="656">
        <v>40</v>
      </c>
      <c r="M4928" s="665">
        <v>35170</v>
      </c>
      <c r="N4928" s="597">
        <f>0.028317*40.91</f>
        <v>1.1584484699999997</v>
      </c>
      <c r="O4928" s="604">
        <v>8.6865196477517257E-3</v>
      </c>
      <c r="P4928" s="250"/>
      <c r="Q4928" s="478"/>
      <c r="R4928" s="478">
        <v>0.5498719834395599</v>
      </c>
      <c r="S4928" s="478">
        <v>0.15498175083074578</v>
      </c>
      <c r="T4928" s="478">
        <v>0.10415645257939751</v>
      </c>
      <c r="U4928" s="478">
        <v>5.708993844310073E-2</v>
      </c>
      <c r="V4928" s="478">
        <v>5.4202756441684367E-2</v>
      </c>
      <c r="W4928" s="478">
        <v>4.5105409380617745E-2</v>
      </c>
      <c r="X4928" s="478">
        <v>3.2140327940295262E-2</v>
      </c>
      <c r="Y4928" s="478">
        <v>2.4513809445987906E-3</v>
      </c>
      <c r="Z4928" s="150"/>
      <c r="AA4928" s="231"/>
      <c r="AB4928" s="154">
        <v>2400</v>
      </c>
      <c r="AC4928" s="152"/>
      <c r="AD4928" s="223">
        <f>0.3048*28.4</f>
        <v>8.6563199999999991</v>
      </c>
      <c r="AE4928" s="152"/>
      <c r="AF4928" s="153"/>
      <c r="AG4928" s="153"/>
      <c r="AH4928" s="346"/>
      <c r="AI4928" s="218"/>
      <c r="AJ4928" s="218"/>
      <c r="AK4928" s="153"/>
      <c r="AL4928" s="152"/>
      <c r="AM4928" s="152"/>
      <c r="AN4928" s="152"/>
      <c r="AO4928" s="152"/>
      <c r="AP4928" s="152"/>
      <c r="AQ4928" s="152"/>
      <c r="AR4928" s="152"/>
      <c r="AS4928" s="152"/>
      <c r="AT4928" s="152"/>
      <c r="AU4928" s="153"/>
      <c r="AV4928" s="479"/>
      <c r="AW4928" s="479"/>
      <c r="AX4928" s="442"/>
      <c r="AY4928" s="153"/>
      <c r="AZ4928" s="152"/>
      <c r="BA4928" s="152"/>
      <c r="BB4928" s="152"/>
      <c r="BC4928" s="152"/>
      <c r="BD4928" s="152"/>
      <c r="BE4928" s="152"/>
      <c r="BF4928" s="152"/>
      <c r="BG4928" s="152"/>
      <c r="BH4928" s="152"/>
      <c r="BI4928" s="153"/>
      <c r="BJ4928" s="153"/>
      <c r="BK4928" s="153"/>
      <c r="BL4928" s="153"/>
      <c r="BM4928" s="153"/>
      <c r="BN4928" s="153"/>
      <c r="BO4928" s="153"/>
      <c r="BP4928" s="153"/>
      <c r="BQ4928" s="153"/>
      <c r="BR4928" s="153"/>
      <c r="BS4928" s="153"/>
      <c r="BT4928" s="153"/>
      <c r="BU4928" s="153"/>
      <c r="BV4928" s="153"/>
      <c r="BW4928" s="153"/>
      <c r="BX4928" s="153"/>
      <c r="BY4928" s="153"/>
      <c r="BZ4928" s="153"/>
      <c r="CA4928" s="152"/>
      <c r="CB4928" s="152"/>
    </row>
    <row r="4929" spans="1:80" s="87" customFormat="1" x14ac:dyDescent="0.2">
      <c r="A4929" s="152"/>
      <c r="B4929" s="683"/>
      <c r="C4929" s="683"/>
      <c r="D4929" s="698"/>
      <c r="E4929" s="215"/>
      <c r="F4929" s="215"/>
      <c r="G4929" s="153"/>
      <c r="H4929" s="153"/>
      <c r="I4929" s="153"/>
      <c r="J4929" s="153"/>
      <c r="K4929" s="153"/>
      <c r="L4929" s="656">
        <v>40</v>
      </c>
      <c r="M4929" s="665">
        <v>35178</v>
      </c>
      <c r="N4929" s="597">
        <f>0.028317*36.21</f>
        <v>1.0253585699999999</v>
      </c>
      <c r="O4929" s="604">
        <v>2.8396956903386562E-3</v>
      </c>
      <c r="P4929" s="250"/>
      <c r="Q4929" s="478"/>
      <c r="R4929" s="478"/>
      <c r="S4929" s="478">
        <v>0.23327759197324416</v>
      </c>
      <c r="T4929" s="478">
        <v>0.40501672240802677</v>
      </c>
      <c r="U4929" s="478">
        <v>0.22441471571906355</v>
      </c>
      <c r="V4929" s="478">
        <v>9.7157190635451501E-2</v>
      </c>
      <c r="W4929" s="478">
        <v>2.7926421404682274E-2</v>
      </c>
      <c r="X4929" s="478">
        <v>9.8662207357859532E-3</v>
      </c>
      <c r="Y4929" s="478">
        <v>2.3411371237458192E-3</v>
      </c>
      <c r="Z4929" s="150"/>
      <c r="AA4929" s="231"/>
      <c r="AB4929" s="154">
        <v>2400</v>
      </c>
      <c r="AC4929" s="152"/>
      <c r="AD4929" s="223">
        <f>0.3048*28.5</f>
        <v>8.6867999999999999</v>
      </c>
      <c r="AE4929" s="152"/>
      <c r="AF4929" s="153"/>
      <c r="AG4929" s="153"/>
      <c r="AH4929" s="346"/>
      <c r="AI4929" s="218"/>
      <c r="AJ4929" s="218"/>
      <c r="AK4929" s="153"/>
      <c r="AL4929" s="152"/>
      <c r="AM4929" s="152"/>
      <c r="AN4929" s="152"/>
      <c r="AO4929" s="152"/>
      <c r="AP4929" s="152"/>
      <c r="AQ4929" s="152"/>
      <c r="AR4929" s="152"/>
      <c r="AS4929" s="152"/>
      <c r="AT4929" s="152"/>
      <c r="AU4929" s="153"/>
      <c r="AV4929" s="479"/>
      <c r="AW4929" s="479"/>
      <c r="AX4929" s="442"/>
      <c r="AY4929" s="153"/>
      <c r="AZ4929" s="152"/>
      <c r="BA4929" s="152"/>
      <c r="BB4929" s="152"/>
      <c r="BC4929" s="152"/>
      <c r="BD4929" s="152"/>
      <c r="BE4929" s="152"/>
      <c r="BF4929" s="152"/>
      <c r="BG4929" s="152"/>
      <c r="BH4929" s="152"/>
      <c r="BI4929" s="153"/>
      <c r="BJ4929" s="153"/>
      <c r="BK4929" s="153"/>
      <c r="BL4929" s="153"/>
      <c r="BM4929" s="153"/>
      <c r="BN4929" s="153"/>
      <c r="BO4929" s="153"/>
      <c r="BP4929" s="153"/>
      <c r="BQ4929" s="153"/>
      <c r="BR4929" s="153"/>
      <c r="BS4929" s="153"/>
      <c r="BT4929" s="153"/>
      <c r="BU4929" s="153"/>
      <c r="BV4929" s="153"/>
      <c r="BW4929" s="153"/>
      <c r="BX4929" s="153"/>
      <c r="BY4929" s="153"/>
      <c r="BZ4929" s="153"/>
      <c r="CA4929" s="152"/>
      <c r="CB4929" s="152"/>
    </row>
    <row r="4930" spans="1:80" s="87" customFormat="1" x14ac:dyDescent="0.2">
      <c r="A4930" s="152"/>
      <c r="B4930" s="683"/>
      <c r="C4930" s="683"/>
      <c r="D4930" s="698"/>
      <c r="E4930" s="215"/>
      <c r="F4930" s="215"/>
      <c r="G4930" s="153"/>
      <c r="H4930" s="153"/>
      <c r="I4930" s="153"/>
      <c r="J4930" s="153"/>
      <c r="K4930" s="153"/>
      <c r="L4930" s="656">
        <v>40</v>
      </c>
      <c r="M4930" s="665">
        <v>35188</v>
      </c>
      <c r="N4930" s="597">
        <f>0.028317*68.96</f>
        <v>1.9527403199999998</v>
      </c>
      <c r="O4930" s="604">
        <v>1.5130074588288594E-4</v>
      </c>
      <c r="P4930" s="250"/>
      <c r="Q4930" s="478"/>
      <c r="R4930" s="478"/>
      <c r="S4930" s="478"/>
      <c r="T4930" s="478">
        <v>0.12238068430599862</v>
      </c>
      <c r="U4930" s="478">
        <v>0.18152248702070434</v>
      </c>
      <c r="V4930" s="478">
        <v>0.22427597422906109</v>
      </c>
      <c r="W4930" s="478">
        <v>0.24523049978107211</v>
      </c>
      <c r="X4930" s="478">
        <v>0.20222680928254205</v>
      </c>
      <c r="Y4930" s="478">
        <v>2.4363545380621757E-2</v>
      </c>
      <c r="Z4930" s="150"/>
      <c r="AA4930" s="231"/>
      <c r="AB4930" s="154">
        <v>2400</v>
      </c>
      <c r="AC4930" s="152"/>
      <c r="AD4930" s="223">
        <f>0.3048*28.4</f>
        <v>8.6563199999999991</v>
      </c>
      <c r="AE4930" s="152"/>
      <c r="AF4930" s="153"/>
      <c r="AG4930" s="153"/>
      <c r="AH4930" s="346"/>
      <c r="AI4930" s="218"/>
      <c r="AJ4930" s="218"/>
      <c r="AK4930" s="153"/>
      <c r="AL4930" s="152"/>
      <c r="AM4930" s="152"/>
      <c r="AN4930" s="152"/>
      <c r="AO4930" s="152"/>
      <c r="AP4930" s="152"/>
      <c r="AQ4930" s="152"/>
      <c r="AR4930" s="152"/>
      <c r="AS4930" s="152"/>
      <c r="AT4930" s="152"/>
      <c r="AU4930" s="153"/>
      <c r="AV4930" s="479"/>
      <c r="AW4930" s="479"/>
      <c r="AX4930" s="442"/>
      <c r="AY4930" s="153"/>
      <c r="AZ4930" s="152"/>
      <c r="BA4930" s="152"/>
      <c r="BB4930" s="152"/>
      <c r="BC4930" s="152"/>
      <c r="BD4930" s="152"/>
      <c r="BE4930" s="152"/>
      <c r="BF4930" s="152"/>
      <c r="BG4930" s="152"/>
      <c r="BH4930" s="152"/>
      <c r="BI4930" s="153"/>
      <c r="BJ4930" s="153"/>
      <c r="BK4930" s="153"/>
      <c r="BL4930" s="153"/>
      <c r="BM4930" s="153"/>
      <c r="BN4930" s="153"/>
      <c r="BO4930" s="153"/>
      <c r="BP4930" s="153"/>
      <c r="BQ4930" s="153"/>
      <c r="BR4930" s="153"/>
      <c r="BS4930" s="153"/>
      <c r="BT4930" s="153"/>
      <c r="BU4930" s="153"/>
      <c r="BV4930" s="153"/>
      <c r="BW4930" s="153"/>
      <c r="BX4930" s="153"/>
      <c r="BY4930" s="153"/>
      <c r="BZ4930" s="153"/>
      <c r="CA4930" s="152"/>
      <c r="CB4930" s="152"/>
    </row>
    <row r="4931" spans="1:80" ht="15" x14ac:dyDescent="0.25">
      <c r="A4931" s="9" t="s">
        <v>80</v>
      </c>
      <c r="B4931" s="639" t="s">
        <v>73</v>
      </c>
      <c r="C4931" s="639" t="s">
        <v>590</v>
      </c>
      <c r="D4931" s="4">
        <f>VLOOKUP(E4931,'Quality Code'!D4:E24,2,TRUE)*VLOOKUP(MROUND(F4931,10),'Quality Code'!D28:E69,2,TRUE)*VLOOKUP(COUNTA(CB4931:CB4941),'Quality Code'!D73:E93,2,TRUE)</f>
        <v>0.58333099999999993</v>
      </c>
      <c r="E4931" s="14">
        <v>0.7</v>
      </c>
      <c r="F4931" s="18">
        <v>22</v>
      </c>
      <c r="G4931" s="12">
        <f>36*2.59</f>
        <v>93.24</v>
      </c>
      <c r="H4931" s="2" t="s">
        <v>72</v>
      </c>
      <c r="I4931" s="2">
        <v>10</v>
      </c>
      <c r="J4931" s="2" t="s">
        <v>290</v>
      </c>
      <c r="K4931" s="2">
        <v>4</v>
      </c>
      <c r="L4931" s="640" t="s">
        <v>284</v>
      </c>
      <c r="M4931" s="640" t="s">
        <v>700</v>
      </c>
      <c r="N4931" s="578" t="s">
        <v>110</v>
      </c>
      <c r="O4931" s="578"/>
      <c r="P4931" s="10"/>
      <c r="Q4931" s="10"/>
      <c r="R4931" s="10"/>
      <c r="S4931" s="10"/>
      <c r="T4931" s="10"/>
      <c r="U4931" s="10"/>
      <c r="V4931" s="10"/>
      <c r="W4931" s="10"/>
      <c r="X4931" s="10"/>
      <c r="Y4931" s="10"/>
      <c r="Z4931" s="10"/>
      <c r="AA4931" s="10"/>
      <c r="AB4931" s="11" t="s">
        <v>99</v>
      </c>
      <c r="AC4931" s="116">
        <v>1E-3</v>
      </c>
      <c r="AD4931" s="11"/>
      <c r="AE4931" s="11"/>
      <c r="AF4931" s="10"/>
      <c r="AG4931" s="10"/>
      <c r="AH4931" s="345"/>
      <c r="AI4931" s="18">
        <v>10.7</v>
      </c>
      <c r="AJ4931" s="135">
        <v>1</v>
      </c>
      <c r="AK4931" s="135">
        <v>1</v>
      </c>
      <c r="AL4931" s="135">
        <v>0.93059999999999998</v>
      </c>
      <c r="AM4931" s="135">
        <v>0.77149999999999996</v>
      </c>
      <c r="AN4931" s="135">
        <v>0.59450000000000003</v>
      </c>
      <c r="AO4931" s="135">
        <v>0.43030000000000002</v>
      </c>
      <c r="AP4931" s="135">
        <v>0.29120000000000001</v>
      </c>
      <c r="AQ4931" s="135">
        <v>0.1807</v>
      </c>
      <c r="AR4931" s="135">
        <v>9.3600000000000003E-2</v>
      </c>
      <c r="AS4931" s="135">
        <v>5.2299999999999999E-2</v>
      </c>
      <c r="AT4931" s="135">
        <v>2.7799999999999998E-2</v>
      </c>
      <c r="AU4931" s="4">
        <v>43</v>
      </c>
      <c r="AV4931" s="135">
        <v>1</v>
      </c>
      <c r="AW4931" s="135">
        <v>1</v>
      </c>
      <c r="AX4931" s="135">
        <v>1</v>
      </c>
      <c r="AY4931" s="135">
        <v>0.92779999999999996</v>
      </c>
      <c r="AZ4931" s="135">
        <v>0.68010000000000004</v>
      </c>
      <c r="BA4931" s="135">
        <v>0.35299999999999998</v>
      </c>
      <c r="BB4931" s="135">
        <v>0.216</v>
      </c>
      <c r="BC4931" s="135">
        <v>0.13689999999999999</v>
      </c>
      <c r="BD4931" s="135">
        <v>8.5400000000000004E-2</v>
      </c>
      <c r="BE4931" s="135">
        <v>5.3600000000000002E-2</v>
      </c>
      <c r="BF4931" s="135">
        <v>2.93E-2</v>
      </c>
      <c r="BG4931" s="135">
        <v>1.72E-2</v>
      </c>
      <c r="BH4931" s="135">
        <v>1.03E-2</v>
      </c>
      <c r="BI4931" s="4">
        <f>AU4931/AI4931</f>
        <v>4.018691588785047</v>
      </c>
      <c r="BJ4931" s="2" t="s">
        <v>68</v>
      </c>
      <c r="BK4931" s="2" t="s">
        <v>68</v>
      </c>
      <c r="BL4931" s="12"/>
      <c r="BM4931" s="12">
        <v>3.7095269999999996</v>
      </c>
      <c r="BN4931" s="12">
        <v>11.704320000000001</v>
      </c>
      <c r="BO4931" s="12">
        <v>0.45720000000000005</v>
      </c>
      <c r="BP4931" s="12">
        <v>5.4626987519999997</v>
      </c>
      <c r="BQ4931" s="12">
        <f>BN4931/BO4931</f>
        <v>25.599999999999998</v>
      </c>
      <c r="BR4931" s="12"/>
      <c r="BS4931" s="18">
        <v>2</v>
      </c>
      <c r="BT4931" s="12"/>
      <c r="BU4931" s="2"/>
      <c r="BV4931" s="2">
        <v>2.34</v>
      </c>
      <c r="BW4931" s="2"/>
      <c r="BX4931" s="2">
        <v>1.2</v>
      </c>
      <c r="BY4931" s="2" t="s">
        <v>83</v>
      </c>
      <c r="BZ4931" s="2"/>
      <c r="CA4931" s="9"/>
      <c r="CB4931" s="9" t="s">
        <v>225</v>
      </c>
    </row>
    <row r="4932" spans="1:80" s="87" customFormat="1" ht="15" x14ac:dyDescent="0.25">
      <c r="A4932" s="152"/>
      <c r="B4932" s="683"/>
      <c r="C4932" s="683"/>
      <c r="D4932" s="698"/>
      <c r="E4932" s="215"/>
      <c r="F4932" s="215"/>
      <c r="G4932" s="153"/>
      <c r="H4932" s="153"/>
      <c r="I4932" s="153"/>
      <c r="J4932" s="153"/>
      <c r="K4932" s="153"/>
      <c r="L4932" s="656">
        <v>36</v>
      </c>
      <c r="M4932" s="666">
        <v>34088</v>
      </c>
      <c r="N4932" s="597">
        <f>0.028317*106.42</f>
        <v>3.0134951399999999</v>
      </c>
      <c r="O4932" s="604">
        <v>4.3408519688348159E-3</v>
      </c>
      <c r="P4932" s="150"/>
      <c r="Q4932" s="150"/>
      <c r="R4932" s="478">
        <v>0.11828529549015276</v>
      </c>
      <c r="S4932" s="478">
        <v>7.597795764438782E-2</v>
      </c>
      <c r="T4932" s="478">
        <v>0.10946425724078511</v>
      </c>
      <c r="U4932" s="478">
        <v>0.22879403387688285</v>
      </c>
      <c r="V4932" s="478">
        <v>0.21234126154012697</v>
      </c>
      <c r="W4932" s="478">
        <v>9.9905938182515044E-2</v>
      </c>
      <c r="X4932" s="478">
        <v>0.13726881346064104</v>
      </c>
      <c r="Y4932" s="478">
        <v>1.796244256450839E-2</v>
      </c>
      <c r="Z4932" s="231"/>
      <c r="AA4932" s="231"/>
      <c r="AB4932" s="154">
        <v>2160</v>
      </c>
      <c r="AC4932" s="152"/>
      <c r="AD4932" s="223">
        <f>0.3048*34.3</f>
        <v>10.454639999999999</v>
      </c>
      <c r="AE4932" s="152"/>
      <c r="AF4932" s="153"/>
      <c r="AG4932" s="153"/>
      <c r="AH4932" s="346"/>
      <c r="AI4932" s="218"/>
      <c r="AJ4932" s="218"/>
      <c r="AK4932" s="153"/>
      <c r="AL4932" s="152"/>
      <c r="AM4932" s="152"/>
      <c r="AN4932" s="152"/>
      <c r="AO4932" s="152"/>
      <c r="AP4932" s="152"/>
      <c r="AQ4932" s="152"/>
      <c r="AR4932" s="152"/>
      <c r="AS4932" s="152"/>
      <c r="AT4932" s="152"/>
      <c r="AU4932" s="155">
        <v>13.5</v>
      </c>
      <c r="AV4932" s="429"/>
      <c r="AW4932" s="429"/>
      <c r="AX4932" s="429"/>
      <c r="AY4932" s="153"/>
      <c r="AZ4932" s="152"/>
      <c r="BA4932" s="152"/>
      <c r="BB4932" s="152"/>
      <c r="BC4932" s="152"/>
      <c r="BD4932" s="152"/>
      <c r="BE4932" s="152"/>
      <c r="BF4932" s="152"/>
      <c r="BG4932" s="152"/>
      <c r="BH4932" s="152"/>
      <c r="BI4932" s="156">
        <f>AU4932/AI4931</f>
        <v>1.2616822429906542</v>
      </c>
      <c r="BJ4932" s="155" t="s">
        <v>68</v>
      </c>
      <c r="BK4932" s="155" t="s">
        <v>175</v>
      </c>
      <c r="BL4932" s="153"/>
      <c r="BM4932" s="153"/>
      <c r="BN4932" s="153"/>
      <c r="BO4932" s="153"/>
      <c r="BP4932" s="153"/>
      <c r="BQ4932" s="153"/>
      <c r="BR4932" s="153"/>
      <c r="BS4932" s="153"/>
      <c r="BT4932" s="153"/>
      <c r="BU4932" s="153"/>
      <c r="BV4932" s="153"/>
      <c r="BW4932" s="153"/>
      <c r="BX4932" s="153"/>
      <c r="BY4932" s="153"/>
      <c r="BZ4932" s="153"/>
      <c r="CA4932" s="152"/>
      <c r="CB4932" s="485" t="s">
        <v>642</v>
      </c>
    </row>
    <row r="4933" spans="1:80" s="87" customFormat="1" x14ac:dyDescent="0.2">
      <c r="A4933" s="152"/>
      <c r="B4933" s="683"/>
      <c r="C4933" s="683"/>
      <c r="D4933" s="698"/>
      <c r="E4933" s="215"/>
      <c r="F4933" s="215"/>
      <c r="G4933" s="153"/>
      <c r="H4933" s="153"/>
      <c r="I4933" s="153"/>
      <c r="J4933" s="153"/>
      <c r="K4933" s="153"/>
      <c r="L4933" s="656">
        <v>40</v>
      </c>
      <c r="M4933" s="666">
        <v>34095</v>
      </c>
      <c r="N4933" s="597">
        <f>0.028317*134.95</f>
        <v>3.8213791499999994</v>
      </c>
      <c r="O4933" s="604">
        <v>1.402236833276702E-3</v>
      </c>
      <c r="P4933" s="150"/>
      <c r="Q4933" s="150"/>
      <c r="R4933" s="478"/>
      <c r="S4933" s="478"/>
      <c r="T4933" s="478"/>
      <c r="U4933" s="478">
        <v>0.13350729175726994</v>
      </c>
      <c r="V4933" s="478">
        <v>0.17913078774172983</v>
      </c>
      <c r="W4933" s="478">
        <v>0.23372473978719083</v>
      </c>
      <c r="X4933" s="478">
        <v>0.39983763880432571</v>
      </c>
      <c r="Y4933" s="478">
        <v>5.379954190948371E-2</v>
      </c>
      <c r="Z4933" s="231"/>
      <c r="AA4933" s="231"/>
      <c r="AB4933" s="154">
        <v>2400</v>
      </c>
      <c r="AC4933" s="152"/>
      <c r="AD4933" s="223">
        <f>0.3048*48.8</f>
        <v>14.87424</v>
      </c>
      <c r="AE4933" s="152"/>
      <c r="AF4933" s="153"/>
      <c r="AG4933" s="153"/>
      <c r="AH4933" s="346"/>
      <c r="AI4933" s="218"/>
      <c r="AJ4933" s="218"/>
      <c r="AK4933" s="153"/>
      <c r="AL4933" s="152"/>
      <c r="AM4933" s="152"/>
      <c r="AN4933" s="152"/>
      <c r="AO4933" s="152"/>
      <c r="AP4933" s="152"/>
      <c r="AQ4933" s="152"/>
      <c r="AR4933" s="152"/>
      <c r="AS4933" s="152"/>
      <c r="AT4933" s="152"/>
      <c r="AU4933" s="153"/>
      <c r="AV4933" s="479"/>
      <c r="AW4933" s="479"/>
      <c r="AX4933" s="442"/>
      <c r="AY4933" s="153"/>
      <c r="AZ4933" s="152"/>
      <c r="BA4933" s="152"/>
      <c r="BB4933" s="152"/>
      <c r="BC4933" s="152"/>
      <c r="BD4933" s="152"/>
      <c r="BE4933" s="152"/>
      <c r="BF4933" s="152"/>
      <c r="BG4933" s="152"/>
      <c r="BH4933" s="152"/>
      <c r="BI4933" s="153"/>
      <c r="BJ4933" s="153"/>
      <c r="BK4933" s="153"/>
      <c r="BL4933" s="153"/>
      <c r="BM4933" s="153"/>
      <c r="BN4933" s="153"/>
      <c r="BO4933" s="153"/>
      <c r="BP4933" s="153"/>
      <c r="BQ4933" s="153"/>
      <c r="BR4933" s="153"/>
      <c r="BS4933" s="153"/>
      <c r="BT4933" s="153"/>
      <c r="BU4933" s="153"/>
      <c r="BV4933" s="153"/>
      <c r="BW4933" s="153"/>
      <c r="BX4933" s="153"/>
      <c r="BY4933" s="153"/>
      <c r="BZ4933" s="153"/>
      <c r="CA4933" s="152"/>
      <c r="CB4933" s="152"/>
    </row>
    <row r="4934" spans="1:80" s="87" customFormat="1" x14ac:dyDescent="0.2">
      <c r="A4934" s="152"/>
      <c r="B4934" s="683"/>
      <c r="C4934" s="683"/>
      <c r="D4934" s="698"/>
      <c r="E4934" s="215"/>
      <c r="F4934" s="215"/>
      <c r="G4934" s="153"/>
      <c r="H4934" s="153"/>
      <c r="I4934" s="153"/>
      <c r="J4934" s="153"/>
      <c r="K4934" s="153"/>
      <c r="L4934" s="656">
        <v>40</v>
      </c>
      <c r="M4934" s="666">
        <v>34101</v>
      </c>
      <c r="N4934" s="597">
        <f>0.028317*123.75</f>
        <v>3.5042287499999998</v>
      </c>
      <c r="O4934" s="604">
        <v>3.6191782446105613E-4</v>
      </c>
      <c r="P4934" s="150"/>
      <c r="Q4934" s="150"/>
      <c r="R4934" s="478"/>
      <c r="S4934" s="478"/>
      <c r="T4934" s="478"/>
      <c r="U4934" s="478">
        <v>9.9683166967601405E-2</v>
      </c>
      <c r="V4934" s="478">
        <v>0.20285831090518858</v>
      </c>
      <c r="W4934" s="478">
        <v>0.23196947501107207</v>
      </c>
      <c r="X4934" s="478">
        <v>0.36892310837052472</v>
      </c>
      <c r="Y4934" s="478">
        <v>9.6565938745613256E-2</v>
      </c>
      <c r="Z4934" s="231"/>
      <c r="AA4934" s="231"/>
      <c r="AB4934" s="154">
        <v>2400</v>
      </c>
      <c r="AC4934" s="152"/>
      <c r="AD4934" s="223">
        <f>0.3048*37</f>
        <v>11.277600000000001</v>
      </c>
      <c r="AE4934" s="152"/>
      <c r="AF4934" s="153"/>
      <c r="AG4934" s="153"/>
      <c r="AH4934" s="346"/>
      <c r="AI4934" s="218"/>
      <c r="AJ4934" s="218"/>
      <c r="AK4934" s="153"/>
      <c r="AL4934" s="152"/>
      <c r="AM4934" s="152"/>
      <c r="AN4934" s="152"/>
      <c r="AO4934" s="152"/>
      <c r="AP4934" s="152"/>
      <c r="AQ4934" s="152"/>
      <c r="AR4934" s="152"/>
      <c r="AS4934" s="152"/>
      <c r="AT4934" s="152"/>
      <c r="AU4934" s="153"/>
      <c r="AV4934" s="479"/>
      <c r="AW4934" s="479"/>
      <c r="AX4934" s="442"/>
      <c r="AY4934" s="153"/>
      <c r="AZ4934" s="152"/>
      <c r="BA4934" s="152"/>
      <c r="BB4934" s="152"/>
      <c r="BC4934" s="152"/>
      <c r="BD4934" s="152"/>
      <c r="BE4934" s="152"/>
      <c r="BF4934" s="152"/>
      <c r="BG4934" s="152"/>
      <c r="BH4934" s="152"/>
      <c r="BI4934" s="153"/>
      <c r="BJ4934" s="153"/>
      <c r="BK4934" s="153"/>
      <c r="BL4934" s="153"/>
      <c r="BM4934" s="153"/>
      <c r="BN4934" s="153"/>
      <c r="BO4934" s="153"/>
      <c r="BP4934" s="153"/>
      <c r="BQ4934" s="153"/>
      <c r="BR4934" s="153"/>
      <c r="BS4934" s="153"/>
      <c r="BT4934" s="153"/>
      <c r="BU4934" s="153"/>
      <c r="BV4934" s="153"/>
      <c r="BW4934" s="153"/>
      <c r="BX4934" s="153"/>
      <c r="BY4934" s="153"/>
      <c r="BZ4934" s="153"/>
      <c r="CA4934" s="152"/>
      <c r="CB4934" s="152"/>
    </row>
    <row r="4935" spans="1:80" s="87" customFormat="1" x14ac:dyDescent="0.2">
      <c r="A4935" s="152"/>
      <c r="B4935" s="683"/>
      <c r="C4935" s="683"/>
      <c r="D4935" s="698"/>
      <c r="E4935" s="215"/>
      <c r="F4935" s="215"/>
      <c r="G4935" s="153"/>
      <c r="H4935" s="153"/>
      <c r="I4935" s="153"/>
      <c r="J4935" s="153"/>
      <c r="K4935" s="153"/>
      <c r="L4935" s="656">
        <v>40</v>
      </c>
      <c r="M4935" s="666">
        <v>34109</v>
      </c>
      <c r="N4935" s="597">
        <f>0.028317*86.18</f>
        <v>2.44035906</v>
      </c>
      <c r="O4935" s="604">
        <v>7.1675698720126803E-4</v>
      </c>
      <c r="P4935" s="150"/>
      <c r="Q4935" s="150"/>
      <c r="R4935" s="478"/>
      <c r="S4935" s="478">
        <v>0.1378189392248754</v>
      </c>
      <c r="T4935" s="478">
        <v>0.15056163058841049</v>
      </c>
      <c r="U4935" s="478">
        <v>0.1602916015770289</v>
      </c>
      <c r="V4935" s="478">
        <v>0.18793424086885371</v>
      </c>
      <c r="W4935" s="478">
        <v>0.15485382727069846</v>
      </c>
      <c r="X4935" s="478">
        <v>0.17110763966376566</v>
      </c>
      <c r="Y4935" s="478">
        <v>3.7432120806367361E-2</v>
      </c>
      <c r="Z4935" s="231"/>
      <c r="AA4935" s="231"/>
      <c r="AB4935" s="154">
        <v>2400</v>
      </c>
      <c r="AC4935" s="152"/>
      <c r="AD4935" s="223">
        <f>0.3048*32</f>
        <v>9.7536000000000005</v>
      </c>
      <c r="AE4935" s="152"/>
      <c r="AF4935" s="153"/>
      <c r="AG4935" s="153"/>
      <c r="AH4935" s="346"/>
      <c r="AI4935" s="218"/>
      <c r="AJ4935" s="218"/>
      <c r="AK4935" s="153"/>
      <c r="AL4935" s="152"/>
      <c r="AM4935" s="152"/>
      <c r="AN4935" s="152"/>
      <c r="AO4935" s="152"/>
      <c r="AP4935" s="152"/>
      <c r="AQ4935" s="152"/>
      <c r="AR4935" s="152"/>
      <c r="AS4935" s="152"/>
      <c r="AT4935" s="152"/>
      <c r="AU4935" s="153"/>
      <c r="AV4935" s="479"/>
      <c r="AW4935" s="479"/>
      <c r="AX4935" s="442"/>
      <c r="AY4935" s="153"/>
      <c r="AZ4935" s="152"/>
      <c r="BA4935" s="152"/>
      <c r="BB4935" s="152"/>
      <c r="BC4935" s="152"/>
      <c r="BD4935" s="152"/>
      <c r="BE4935" s="152"/>
      <c r="BF4935" s="152"/>
      <c r="BG4935" s="152"/>
      <c r="BH4935" s="152"/>
      <c r="BI4935" s="153"/>
      <c r="BJ4935" s="153"/>
      <c r="BK4935" s="153"/>
      <c r="BL4935" s="153"/>
      <c r="BM4935" s="153"/>
      <c r="BN4935" s="153"/>
      <c r="BO4935" s="153"/>
      <c r="BP4935" s="153"/>
      <c r="BQ4935" s="153"/>
      <c r="BR4935" s="153"/>
      <c r="BS4935" s="153"/>
      <c r="BT4935" s="153"/>
      <c r="BU4935" s="153"/>
      <c r="BV4935" s="153"/>
      <c r="BW4935" s="153"/>
      <c r="BX4935" s="153"/>
      <c r="BY4935" s="153"/>
      <c r="BZ4935" s="153"/>
      <c r="CA4935" s="152"/>
      <c r="CB4935" s="152"/>
    </row>
    <row r="4936" spans="1:80" s="87" customFormat="1" x14ac:dyDescent="0.2">
      <c r="A4936" s="152"/>
      <c r="B4936" s="683"/>
      <c r="C4936" s="683"/>
      <c r="D4936" s="698"/>
      <c r="E4936" s="215"/>
      <c r="F4936" s="215"/>
      <c r="G4936" s="153"/>
      <c r="H4936" s="153"/>
      <c r="I4936" s="153"/>
      <c r="J4936" s="153"/>
      <c r="K4936" s="153"/>
      <c r="L4936" s="656">
        <v>40</v>
      </c>
      <c r="M4936" s="666">
        <v>34116</v>
      </c>
      <c r="N4936" s="597">
        <f>0.028317*74.3</f>
        <v>2.1039531</v>
      </c>
      <c r="O4936" s="604">
        <v>7.5024350254842024E-4</v>
      </c>
      <c r="P4936" s="150"/>
      <c r="Q4936" s="150"/>
      <c r="R4936" s="478"/>
      <c r="S4936" s="478"/>
      <c r="T4936" s="478">
        <v>4.2163164795804266E-2</v>
      </c>
      <c r="U4936" s="478">
        <v>0.10925837091048647</v>
      </c>
      <c r="V4936" s="478">
        <v>0.29567942690843962</v>
      </c>
      <c r="W4936" s="478">
        <v>0.21957210016310075</v>
      </c>
      <c r="X4936" s="478">
        <v>0.20269276280021742</v>
      </c>
      <c r="Y4936" s="478">
        <v>0.13063417442195144</v>
      </c>
      <c r="Z4936" s="231"/>
      <c r="AA4936" s="231"/>
      <c r="AB4936" s="154">
        <v>2400</v>
      </c>
      <c r="AC4936" s="152"/>
      <c r="AD4936" s="223">
        <f>0.3048*28.8</f>
        <v>8.7782400000000003</v>
      </c>
      <c r="AE4936" s="152"/>
      <c r="AF4936" s="153"/>
      <c r="AG4936" s="153"/>
      <c r="AH4936" s="346"/>
      <c r="AI4936" s="218"/>
      <c r="AJ4936" s="218"/>
      <c r="AK4936" s="153"/>
      <c r="AL4936" s="152"/>
      <c r="AM4936" s="152"/>
      <c r="AN4936" s="152"/>
      <c r="AO4936" s="152"/>
      <c r="AP4936" s="152"/>
      <c r="AQ4936" s="152"/>
      <c r="AR4936" s="152"/>
      <c r="AS4936" s="152"/>
      <c r="AT4936" s="152"/>
      <c r="AU4936" s="153"/>
      <c r="AV4936" s="479"/>
      <c r="AW4936" s="479"/>
      <c r="AX4936" s="442"/>
      <c r="AY4936" s="153"/>
      <c r="AZ4936" s="152"/>
      <c r="BA4936" s="152"/>
      <c r="BB4936" s="152"/>
      <c r="BC4936" s="152"/>
      <c r="BD4936" s="152"/>
      <c r="BE4936" s="152"/>
      <c r="BF4936" s="152"/>
      <c r="BG4936" s="152"/>
      <c r="BH4936" s="152"/>
      <c r="BI4936" s="153"/>
      <c r="BJ4936" s="153"/>
      <c r="BK4936" s="153"/>
      <c r="BL4936" s="153"/>
      <c r="BM4936" s="153"/>
      <c r="BN4936" s="153"/>
      <c r="BO4936" s="153"/>
      <c r="BP4936" s="153"/>
      <c r="BQ4936" s="153"/>
      <c r="BR4936" s="153"/>
      <c r="BS4936" s="153"/>
      <c r="BT4936" s="153"/>
      <c r="BU4936" s="153"/>
      <c r="BV4936" s="153"/>
      <c r="BW4936" s="153"/>
      <c r="BX4936" s="153"/>
      <c r="BY4936" s="153"/>
      <c r="BZ4936" s="153"/>
      <c r="CA4936" s="152"/>
      <c r="CB4936" s="152"/>
    </row>
    <row r="4937" spans="1:80" s="87" customFormat="1" x14ac:dyDescent="0.2">
      <c r="A4937" s="152"/>
      <c r="B4937" s="683"/>
      <c r="C4937" s="683"/>
      <c r="D4937" s="698"/>
      <c r="E4937" s="215"/>
      <c r="F4937" s="215"/>
      <c r="G4937" s="153"/>
      <c r="H4937" s="153"/>
      <c r="I4937" s="153"/>
      <c r="J4937" s="153"/>
      <c r="K4937" s="153"/>
      <c r="L4937" s="656">
        <v>40</v>
      </c>
      <c r="M4937" s="666">
        <v>34123</v>
      </c>
      <c r="N4937" s="597">
        <f>0.028317*96.96</f>
        <v>2.7456163199999999</v>
      </c>
      <c r="O4937" s="604">
        <v>9.4561236666666705E-4</v>
      </c>
      <c r="P4937" s="150"/>
      <c r="Q4937" s="150"/>
      <c r="R4937" s="478"/>
      <c r="S4937" s="478"/>
      <c r="T4937" s="478">
        <v>0.10329807093963905</v>
      </c>
      <c r="U4937" s="478">
        <v>0.15780729948676386</v>
      </c>
      <c r="V4937" s="478">
        <v>0.21239645358894269</v>
      </c>
      <c r="W4937" s="478">
        <v>0.15780729948676386</v>
      </c>
      <c r="X4937" s="478">
        <v>0.29046088500425321</v>
      </c>
      <c r="Y4937" s="478">
        <v>7.8229991493637352E-2</v>
      </c>
      <c r="Z4937" s="231"/>
      <c r="AA4937" s="231"/>
      <c r="AB4937" s="154">
        <v>2400</v>
      </c>
      <c r="AC4937" s="152"/>
      <c r="AD4937" s="223">
        <f>0.3048*32.4</f>
        <v>9.8755199999999999</v>
      </c>
      <c r="AE4937" s="152"/>
      <c r="AF4937" s="153"/>
      <c r="AG4937" s="153"/>
      <c r="AH4937" s="346"/>
      <c r="AI4937" s="218"/>
      <c r="AJ4937" s="218"/>
      <c r="AK4937" s="153"/>
      <c r="AL4937" s="152"/>
      <c r="AM4937" s="152"/>
      <c r="AN4937" s="152"/>
      <c r="AO4937" s="152"/>
      <c r="AP4937" s="152"/>
      <c r="AQ4937" s="152"/>
      <c r="AR4937" s="152"/>
      <c r="AS4937" s="152"/>
      <c r="AT4937" s="152"/>
      <c r="AU4937" s="153"/>
      <c r="AV4937" s="479"/>
      <c r="AW4937" s="479"/>
      <c r="AX4937" s="442"/>
      <c r="AY4937" s="153"/>
      <c r="AZ4937" s="152"/>
      <c r="BA4937" s="152"/>
      <c r="BB4937" s="152"/>
      <c r="BC4937" s="152"/>
      <c r="BD4937" s="152"/>
      <c r="BE4937" s="152"/>
      <c r="BF4937" s="152"/>
      <c r="BG4937" s="152"/>
      <c r="BH4937" s="152"/>
      <c r="BI4937" s="153"/>
      <c r="BJ4937" s="153"/>
      <c r="BK4937" s="153"/>
      <c r="BL4937" s="153"/>
      <c r="BM4937" s="153"/>
      <c r="BN4937" s="153"/>
      <c r="BO4937" s="153"/>
      <c r="BP4937" s="153"/>
      <c r="BQ4937" s="153"/>
      <c r="BR4937" s="153"/>
      <c r="BS4937" s="153"/>
      <c r="BT4937" s="153"/>
      <c r="BU4937" s="153"/>
      <c r="BV4937" s="153"/>
      <c r="BW4937" s="153"/>
      <c r="BX4937" s="153"/>
      <c r="BY4937" s="153"/>
      <c r="BZ4937" s="153"/>
      <c r="CA4937" s="152"/>
      <c r="CB4937" s="152"/>
    </row>
    <row r="4938" spans="1:80" s="87" customFormat="1" x14ac:dyDescent="0.2">
      <c r="A4938" s="152"/>
      <c r="B4938" s="683"/>
      <c r="C4938" s="683"/>
      <c r="D4938" s="698"/>
      <c r="E4938" s="215"/>
      <c r="F4938" s="215"/>
      <c r="G4938" s="153"/>
      <c r="H4938" s="153"/>
      <c r="I4938" s="153"/>
      <c r="J4938" s="153"/>
      <c r="K4938" s="153"/>
      <c r="L4938" s="656">
        <v>40</v>
      </c>
      <c r="M4938" s="666">
        <v>34130</v>
      </c>
      <c r="N4938" s="597">
        <f>0.028317*76.36</f>
        <v>2.1622861199999996</v>
      </c>
      <c r="O4938" s="604">
        <v>1.6206441720240121E-3</v>
      </c>
      <c r="P4938" s="150"/>
      <c r="Q4938" s="150"/>
      <c r="R4938" s="478"/>
      <c r="S4938" s="478"/>
      <c r="T4938" s="478">
        <v>5.4613179469388463E-2</v>
      </c>
      <c r="U4938" s="478">
        <v>0.16871778017175801</v>
      </c>
      <c r="V4938" s="478">
        <v>0.25276169956360584</v>
      </c>
      <c r="W4938" s="478">
        <v>0.23831869556484736</v>
      </c>
      <c r="X4938" s="478">
        <v>0.27333674171185807</v>
      </c>
      <c r="Y4938" s="478">
        <v>1.2251903518542174E-2</v>
      </c>
      <c r="Z4938" s="231"/>
      <c r="AA4938" s="231"/>
      <c r="AB4938" s="154">
        <v>2400</v>
      </c>
      <c r="AC4938" s="152"/>
      <c r="AD4938" s="223">
        <f>0.3048*29.6</f>
        <v>9.0220800000000008</v>
      </c>
      <c r="AE4938" s="152"/>
      <c r="AF4938" s="153"/>
      <c r="AG4938" s="153"/>
      <c r="AH4938" s="346"/>
      <c r="AI4938" s="218"/>
      <c r="AJ4938" s="218"/>
      <c r="AK4938" s="153"/>
      <c r="AL4938" s="152"/>
      <c r="AM4938" s="152"/>
      <c r="AN4938" s="152"/>
      <c r="AO4938" s="152"/>
      <c r="AP4938" s="152"/>
      <c r="AQ4938" s="152"/>
      <c r="AR4938" s="152"/>
      <c r="AS4938" s="152"/>
      <c r="AT4938" s="152"/>
      <c r="AU4938" s="153"/>
      <c r="AV4938" s="479"/>
      <c r="AW4938" s="479"/>
      <c r="AX4938" s="442"/>
      <c r="AY4938" s="153"/>
      <c r="AZ4938" s="152"/>
      <c r="BA4938" s="152"/>
      <c r="BB4938" s="152"/>
      <c r="BC4938" s="152"/>
      <c r="BD4938" s="152"/>
      <c r="BE4938" s="152"/>
      <c r="BF4938" s="152"/>
      <c r="BG4938" s="152"/>
      <c r="BH4938" s="152"/>
      <c r="BI4938" s="153"/>
      <c r="BJ4938" s="153"/>
      <c r="BK4938" s="153"/>
      <c r="BL4938" s="153"/>
      <c r="BM4938" s="153"/>
      <c r="BN4938" s="153"/>
      <c r="BO4938" s="153"/>
      <c r="BP4938" s="153"/>
      <c r="BQ4938" s="153"/>
      <c r="BR4938" s="153"/>
      <c r="BS4938" s="153"/>
      <c r="BT4938" s="153"/>
      <c r="BU4938" s="153"/>
      <c r="BV4938" s="153"/>
      <c r="BW4938" s="153"/>
      <c r="BX4938" s="153"/>
      <c r="BY4938" s="153"/>
      <c r="BZ4938" s="153"/>
      <c r="CA4938" s="152"/>
      <c r="CB4938" s="152"/>
    </row>
    <row r="4939" spans="1:80" s="87" customFormat="1" x14ac:dyDescent="0.2">
      <c r="A4939" s="152"/>
      <c r="B4939" s="683"/>
      <c r="C4939" s="683"/>
      <c r="D4939" s="698"/>
      <c r="E4939" s="215"/>
      <c r="F4939" s="215"/>
      <c r="G4939" s="153"/>
      <c r="H4939" s="153"/>
      <c r="I4939" s="153"/>
      <c r="J4939" s="153"/>
      <c r="K4939" s="153"/>
      <c r="L4939" s="656">
        <v>40</v>
      </c>
      <c r="M4939" s="666">
        <v>34137</v>
      </c>
      <c r="N4939" s="597">
        <f>0.028317*61.19</f>
        <v>1.7327172299999998</v>
      </c>
      <c r="O4939" s="604">
        <v>4.7345040086646317E-4</v>
      </c>
      <c r="P4939" s="150"/>
      <c r="Q4939" s="150"/>
      <c r="R4939" s="478"/>
      <c r="S4939" s="478"/>
      <c r="T4939" s="478">
        <v>6.7741870774909507E-2</v>
      </c>
      <c r="U4939" s="478">
        <v>0.16217327636356338</v>
      </c>
      <c r="V4939" s="478">
        <v>0.22013600529578131</v>
      </c>
      <c r="W4939" s="478">
        <v>0.18284487773565211</v>
      </c>
      <c r="X4939" s="478">
        <v>0.28934223987482655</v>
      </c>
      <c r="Y4939" s="478">
        <v>7.7761729955267117E-2</v>
      </c>
      <c r="Z4939" s="231"/>
      <c r="AA4939" s="231"/>
      <c r="AB4939" s="154">
        <v>2400</v>
      </c>
      <c r="AC4939" s="152"/>
      <c r="AD4939" s="223">
        <f>0.3048*28.5</f>
        <v>8.6867999999999999</v>
      </c>
      <c r="AE4939" s="152"/>
      <c r="AF4939" s="153"/>
      <c r="AG4939" s="153"/>
      <c r="AH4939" s="346"/>
      <c r="AI4939" s="218"/>
      <c r="AJ4939" s="218"/>
      <c r="AK4939" s="153"/>
      <c r="AL4939" s="152"/>
      <c r="AM4939" s="152"/>
      <c r="AN4939" s="152"/>
      <c r="AO4939" s="152"/>
      <c r="AP4939" s="152"/>
      <c r="AQ4939" s="152"/>
      <c r="AR4939" s="152"/>
      <c r="AS4939" s="152"/>
      <c r="AT4939" s="152"/>
      <c r="AU4939" s="153"/>
      <c r="AV4939" s="479"/>
      <c r="AW4939" s="479"/>
      <c r="AX4939" s="442"/>
      <c r="AY4939" s="153"/>
      <c r="AZ4939" s="152"/>
      <c r="BA4939" s="152"/>
      <c r="BB4939" s="152"/>
      <c r="BC4939" s="152"/>
      <c r="BD4939" s="152"/>
      <c r="BE4939" s="152"/>
      <c r="BF4939" s="152"/>
      <c r="BG4939" s="152"/>
      <c r="BH4939" s="152"/>
      <c r="BI4939" s="153"/>
      <c r="BJ4939" s="153"/>
      <c r="BK4939" s="153"/>
      <c r="BL4939" s="153"/>
      <c r="BM4939" s="153"/>
      <c r="BN4939" s="153"/>
      <c r="BO4939" s="153"/>
      <c r="BP4939" s="153"/>
      <c r="BQ4939" s="153"/>
      <c r="BR4939" s="153"/>
      <c r="BS4939" s="153"/>
      <c r="BT4939" s="153"/>
      <c r="BU4939" s="153"/>
      <c r="BV4939" s="153"/>
      <c r="BW4939" s="153"/>
      <c r="BX4939" s="153"/>
      <c r="BY4939" s="153"/>
      <c r="BZ4939" s="153"/>
      <c r="CA4939" s="152"/>
      <c r="CB4939" s="152"/>
    </row>
    <row r="4940" spans="1:80" s="87" customFormat="1" x14ac:dyDescent="0.2">
      <c r="A4940" s="152"/>
      <c r="B4940" s="683"/>
      <c r="C4940" s="683"/>
      <c r="D4940" s="698"/>
      <c r="E4940" s="215"/>
      <c r="F4940" s="215"/>
      <c r="G4940" s="153"/>
      <c r="H4940" s="153"/>
      <c r="I4940" s="153"/>
      <c r="J4940" s="153"/>
      <c r="K4940" s="153"/>
      <c r="L4940" s="656">
        <v>40</v>
      </c>
      <c r="M4940" s="666">
        <v>34143</v>
      </c>
      <c r="N4940" s="597">
        <f>0.028317*53.79</f>
        <v>1.5231714299999999</v>
      </c>
      <c r="O4940" s="604">
        <v>2.1310057515762512E-4</v>
      </c>
      <c r="P4940" s="150"/>
      <c r="Q4940" s="150"/>
      <c r="R4940" s="478"/>
      <c r="S4940" s="478"/>
      <c r="T4940" s="478">
        <v>4.7253186481325399E-2</v>
      </c>
      <c r="U4940" s="478">
        <v>0.27652440378380705</v>
      </c>
      <c r="V4940" s="478">
        <v>0.19478616156681605</v>
      </c>
      <c r="W4940" s="478">
        <v>0.30621308344806086</v>
      </c>
      <c r="X4940" s="478">
        <v>1.5632633121642026E-2</v>
      </c>
      <c r="Y4940" s="478">
        <v>0.15959053159834866</v>
      </c>
      <c r="Z4940" s="231"/>
      <c r="AA4940" s="231"/>
      <c r="AB4940" s="154">
        <v>2400</v>
      </c>
      <c r="AC4940" s="152"/>
      <c r="AD4940" s="223">
        <f>0.3048*28.4</f>
        <v>8.6563199999999991</v>
      </c>
      <c r="AE4940" s="152"/>
      <c r="AF4940" s="153"/>
      <c r="AG4940" s="153"/>
      <c r="AH4940" s="346"/>
      <c r="AI4940" s="218"/>
      <c r="AJ4940" s="218"/>
      <c r="AK4940" s="153"/>
      <c r="AL4940" s="152"/>
      <c r="AM4940" s="152"/>
      <c r="AN4940" s="152"/>
      <c r="AO4940" s="152"/>
      <c r="AP4940" s="152"/>
      <c r="AQ4940" s="152"/>
      <c r="AR4940" s="152"/>
      <c r="AS4940" s="152"/>
      <c r="AT4940" s="152"/>
      <c r="AU4940" s="153"/>
      <c r="AV4940" s="479"/>
      <c r="AW4940" s="479"/>
      <c r="AX4940" s="442"/>
      <c r="AY4940" s="153"/>
      <c r="AZ4940" s="152"/>
      <c r="BA4940" s="152"/>
      <c r="BB4940" s="152"/>
      <c r="BC4940" s="152"/>
      <c r="BD4940" s="152"/>
      <c r="BE4940" s="152"/>
      <c r="BF4940" s="152"/>
      <c r="BG4940" s="152"/>
      <c r="BH4940" s="152"/>
      <c r="BI4940" s="153"/>
      <c r="BJ4940" s="153"/>
      <c r="BK4940" s="153"/>
      <c r="BL4940" s="153"/>
      <c r="BM4940" s="153"/>
      <c r="BN4940" s="153"/>
      <c r="BO4940" s="153"/>
      <c r="BP4940" s="153"/>
      <c r="BQ4940" s="153"/>
      <c r="BR4940" s="153"/>
      <c r="BS4940" s="153"/>
      <c r="BT4940" s="153"/>
      <c r="BU4940" s="153"/>
      <c r="BV4940" s="153"/>
      <c r="BW4940" s="153"/>
      <c r="BX4940" s="153"/>
      <c r="BY4940" s="153"/>
      <c r="BZ4940" s="153"/>
      <c r="CA4940" s="152"/>
      <c r="CB4940" s="152"/>
    </row>
    <row r="4941" spans="1:80" s="87" customFormat="1" x14ac:dyDescent="0.2">
      <c r="A4941" s="152"/>
      <c r="B4941" s="683"/>
      <c r="C4941" s="683"/>
      <c r="D4941" s="698"/>
      <c r="E4941" s="215"/>
      <c r="F4941" s="215"/>
      <c r="G4941" s="153"/>
      <c r="H4941" s="153"/>
      <c r="I4941" s="153"/>
      <c r="J4941" s="153"/>
      <c r="K4941" s="153"/>
      <c r="L4941" s="656">
        <v>40</v>
      </c>
      <c r="M4941" s="666">
        <v>34149</v>
      </c>
      <c r="N4941" s="597">
        <f>0.028317*38.96</f>
        <v>1.10323032</v>
      </c>
      <c r="O4941" s="604">
        <v>5.487625696001784E-5</v>
      </c>
      <c r="P4941" s="150"/>
      <c r="Q4941" s="150"/>
      <c r="R4941" s="478"/>
      <c r="S4941" s="478"/>
      <c r="T4941" s="478"/>
      <c r="U4941" s="478"/>
      <c r="V4941" s="478">
        <v>0</v>
      </c>
      <c r="W4941" s="478">
        <v>0.12871867929271907</v>
      </c>
      <c r="X4941" s="478">
        <v>0.52803150926003706</v>
      </c>
      <c r="Y4941" s="478">
        <v>0.34324981144724392</v>
      </c>
      <c r="Z4941" s="231"/>
      <c r="AA4941" s="231"/>
      <c r="AB4941" s="154">
        <v>2400</v>
      </c>
      <c r="AC4941" s="152"/>
      <c r="AD4941" s="223">
        <f>0.3048*27.6</f>
        <v>8.4124800000000004</v>
      </c>
      <c r="AE4941" s="152"/>
      <c r="AF4941" s="153"/>
      <c r="AG4941" s="153"/>
      <c r="AH4941" s="346"/>
      <c r="AI4941" s="218"/>
      <c r="AJ4941" s="218"/>
      <c r="AK4941" s="153"/>
      <c r="AL4941" s="152"/>
      <c r="AM4941" s="152"/>
      <c r="AN4941" s="152"/>
      <c r="AO4941" s="152"/>
      <c r="AP4941" s="152"/>
      <c r="AQ4941" s="152"/>
      <c r="AR4941" s="152"/>
      <c r="AS4941" s="152"/>
      <c r="AT4941" s="152"/>
      <c r="AU4941" s="153"/>
      <c r="AV4941" s="479"/>
      <c r="AW4941" s="479"/>
      <c r="AX4941" s="442"/>
      <c r="AY4941" s="153"/>
      <c r="AZ4941" s="152"/>
      <c r="BA4941" s="152"/>
      <c r="BB4941" s="152"/>
      <c r="BC4941" s="152"/>
      <c r="BD4941" s="152"/>
      <c r="BE4941" s="152"/>
      <c r="BF4941" s="152"/>
      <c r="BG4941" s="152"/>
      <c r="BH4941" s="152"/>
      <c r="BI4941" s="153"/>
      <c r="BJ4941" s="153"/>
      <c r="BK4941" s="153"/>
      <c r="BL4941" s="153"/>
      <c r="BM4941" s="153"/>
      <c r="BN4941" s="153"/>
      <c r="BO4941" s="153"/>
      <c r="BP4941" s="153"/>
      <c r="BQ4941" s="153"/>
      <c r="BR4941" s="153"/>
      <c r="BS4941" s="153"/>
      <c r="BT4941" s="153"/>
      <c r="BU4941" s="153"/>
      <c r="BV4941" s="153"/>
      <c r="BW4941" s="153"/>
      <c r="BX4941" s="153"/>
      <c r="BY4941" s="153"/>
      <c r="BZ4941" s="153"/>
      <c r="CA4941" s="152"/>
      <c r="CB4941" s="152"/>
    </row>
    <row r="4942" spans="1:80" s="87" customFormat="1" x14ac:dyDescent="0.2">
      <c r="A4942" s="152"/>
      <c r="B4942" s="683"/>
      <c r="C4942" s="683"/>
      <c r="D4942" s="698"/>
      <c r="E4942" s="215"/>
      <c r="F4942" s="215"/>
      <c r="G4942" s="153"/>
      <c r="H4942" s="153"/>
      <c r="I4942" s="153"/>
      <c r="J4942" s="153"/>
      <c r="K4942" s="153"/>
      <c r="L4942" s="656">
        <v>40</v>
      </c>
      <c r="M4942" s="666">
        <v>34157</v>
      </c>
      <c r="N4942" s="597">
        <f>0.028317*39.32</f>
        <v>1.11342444</v>
      </c>
      <c r="O4942" s="604">
        <v>2.6919322092347178E-3</v>
      </c>
      <c r="P4942" s="150"/>
      <c r="Q4942" s="150"/>
      <c r="R4942" s="478"/>
      <c r="S4942" s="478"/>
      <c r="T4942" s="478">
        <v>1.8996336259934847E-2</v>
      </c>
      <c r="U4942" s="478">
        <v>0.1381562756713102</v>
      </c>
      <c r="V4942" s="478">
        <v>6.9375361781332957E-3</v>
      </c>
      <c r="W4942" s="478">
        <v>0.40288142584305892</v>
      </c>
      <c r="X4942" s="478">
        <v>0.38588853495457598</v>
      </c>
      <c r="Y4942" s="478">
        <v>4.7139891092986774E-2</v>
      </c>
      <c r="Z4942" s="231"/>
      <c r="AA4942" s="231"/>
      <c r="AB4942" s="154">
        <v>2400</v>
      </c>
      <c r="AC4942" s="152"/>
      <c r="AD4942" s="223">
        <f>0.3048*28</f>
        <v>8.5343999999999998</v>
      </c>
      <c r="AE4942" s="152"/>
      <c r="AF4942" s="153"/>
      <c r="AG4942" s="153"/>
      <c r="AH4942" s="346"/>
      <c r="AI4942" s="218"/>
      <c r="AJ4942" s="218"/>
      <c r="AK4942" s="153"/>
      <c r="AL4942" s="152"/>
      <c r="AM4942" s="152"/>
      <c r="AN4942" s="152"/>
      <c r="AO4942" s="152"/>
      <c r="AP4942" s="152"/>
      <c r="AQ4942" s="152"/>
      <c r="AR4942" s="152"/>
      <c r="AS4942" s="152"/>
      <c r="AT4942" s="152"/>
      <c r="AU4942" s="153"/>
      <c r="AV4942" s="479"/>
      <c r="AW4942" s="479"/>
      <c r="AX4942" s="442"/>
      <c r="AY4942" s="153"/>
      <c r="AZ4942" s="152"/>
      <c r="BA4942" s="152"/>
      <c r="BB4942" s="152"/>
      <c r="BC4942" s="152"/>
      <c r="BD4942" s="152"/>
      <c r="BE4942" s="152"/>
      <c r="BF4942" s="152"/>
      <c r="BG4942" s="152"/>
      <c r="BH4942" s="152"/>
      <c r="BI4942" s="153"/>
      <c r="BJ4942" s="153"/>
      <c r="BK4942" s="153"/>
      <c r="BL4942" s="153"/>
      <c r="BM4942" s="153"/>
      <c r="BN4942" s="153"/>
      <c r="BO4942" s="153"/>
      <c r="BP4942" s="153"/>
      <c r="BQ4942" s="153"/>
      <c r="BR4942" s="153"/>
      <c r="BS4942" s="153"/>
      <c r="BT4942" s="153"/>
      <c r="BU4942" s="153"/>
      <c r="BV4942" s="153"/>
      <c r="BW4942" s="153"/>
      <c r="BX4942" s="153"/>
      <c r="BY4942" s="153"/>
      <c r="BZ4942" s="153"/>
      <c r="CA4942" s="152"/>
      <c r="CB4942" s="152"/>
    </row>
    <row r="4943" spans="1:80" s="87" customFormat="1" x14ac:dyDescent="0.2">
      <c r="A4943" s="152"/>
      <c r="B4943" s="683"/>
      <c r="C4943" s="683"/>
      <c r="D4943" s="698"/>
      <c r="E4943" s="215"/>
      <c r="F4943" s="215"/>
      <c r="G4943" s="153"/>
      <c r="H4943" s="153"/>
      <c r="I4943" s="153"/>
      <c r="J4943" s="153"/>
      <c r="K4943" s="153"/>
      <c r="L4943" s="656">
        <v>40</v>
      </c>
      <c r="M4943" s="666">
        <v>34164</v>
      </c>
      <c r="N4943" s="597">
        <f>0.028317*31.3</f>
        <v>0.8863221</v>
      </c>
      <c r="O4943" s="604">
        <v>2.5134297679050102E-3</v>
      </c>
      <c r="P4943" s="150"/>
      <c r="Q4943" s="150"/>
      <c r="R4943" s="478"/>
      <c r="S4943" s="478"/>
      <c r="T4943" s="478"/>
      <c r="U4943" s="478">
        <v>4.9644510883436008E-2</v>
      </c>
      <c r="V4943" s="478">
        <v>0.17525795748714776</v>
      </c>
      <c r="W4943" s="478">
        <v>0.32624056586575273</v>
      </c>
      <c r="X4943" s="478">
        <v>0.39637036496882638</v>
      </c>
      <c r="Y4943" s="478">
        <v>5.248660079483717E-2</v>
      </c>
      <c r="Z4943" s="231"/>
      <c r="AA4943" s="231"/>
      <c r="AB4943" s="154">
        <v>2400</v>
      </c>
      <c r="AC4943" s="152"/>
      <c r="AD4943" s="223">
        <f>0.3048*27.5</f>
        <v>8.3819999999999997</v>
      </c>
      <c r="AE4943" s="152"/>
      <c r="AF4943" s="153"/>
      <c r="AG4943" s="153"/>
      <c r="AH4943" s="346"/>
      <c r="AI4943" s="218"/>
      <c r="AJ4943" s="218"/>
      <c r="AK4943" s="153"/>
      <c r="AL4943" s="152"/>
      <c r="AM4943" s="152"/>
      <c r="AN4943" s="152"/>
      <c r="AO4943" s="152"/>
      <c r="AP4943" s="152"/>
      <c r="AQ4943" s="152"/>
      <c r="AR4943" s="152"/>
      <c r="AS4943" s="152"/>
      <c r="AT4943" s="152"/>
      <c r="AU4943" s="153"/>
      <c r="AV4943" s="479"/>
      <c r="AW4943" s="479"/>
      <c r="AX4943" s="442"/>
      <c r="AY4943" s="153"/>
      <c r="AZ4943" s="152"/>
      <c r="BA4943" s="152"/>
      <c r="BB4943" s="152"/>
      <c r="BC4943" s="152"/>
      <c r="BD4943" s="152"/>
      <c r="BE4943" s="152"/>
      <c r="BF4943" s="152"/>
      <c r="BG4943" s="152"/>
      <c r="BH4943" s="152"/>
      <c r="BI4943" s="153"/>
      <c r="BJ4943" s="153"/>
      <c r="BK4943" s="153"/>
      <c r="BL4943" s="153"/>
      <c r="BM4943" s="153"/>
      <c r="BN4943" s="153"/>
      <c r="BO4943" s="153"/>
      <c r="BP4943" s="153"/>
      <c r="BQ4943" s="153"/>
      <c r="BR4943" s="153"/>
      <c r="BS4943" s="153"/>
      <c r="BT4943" s="153"/>
      <c r="BU4943" s="153"/>
      <c r="BV4943" s="153"/>
      <c r="BW4943" s="153"/>
      <c r="BX4943" s="153"/>
      <c r="BY4943" s="153"/>
      <c r="BZ4943" s="153"/>
      <c r="CA4943" s="152"/>
      <c r="CB4943" s="152"/>
    </row>
    <row r="4944" spans="1:80" s="87" customFormat="1" x14ac:dyDescent="0.2">
      <c r="A4944" s="152"/>
      <c r="B4944" s="683"/>
      <c r="C4944" s="683"/>
      <c r="D4944" s="698"/>
      <c r="E4944" s="215"/>
      <c r="F4944" s="215"/>
      <c r="G4944" s="153"/>
      <c r="H4944" s="153"/>
      <c r="I4944" s="153"/>
      <c r="J4944" s="153"/>
      <c r="K4944" s="153"/>
      <c r="L4944" s="656">
        <v>40</v>
      </c>
      <c r="M4944" s="666">
        <v>34171</v>
      </c>
      <c r="N4944" s="597">
        <f>0.028317*38.66</f>
        <v>1.0947352199999998</v>
      </c>
      <c r="O4944" s="604">
        <v>3.0535555337760029E-3</v>
      </c>
      <c r="P4944" s="150"/>
      <c r="Q4944" s="150"/>
      <c r="R4944" s="478"/>
      <c r="S4944" s="478"/>
      <c r="T4944" s="478">
        <v>4.2855920974641899E-3</v>
      </c>
      <c r="U4944" s="478">
        <v>1.9264156634189594E-2</v>
      </c>
      <c r="V4944" s="478">
        <v>0.14369338209144694</v>
      </c>
      <c r="W4944" s="478">
        <v>0.33145063391049778</v>
      </c>
      <c r="X4944" s="478">
        <v>0.42729423981008952</v>
      </c>
      <c r="Y4944" s="478">
        <v>7.4011995456312055E-2</v>
      </c>
      <c r="Z4944" s="231"/>
      <c r="AA4944" s="231"/>
      <c r="AB4944" s="154">
        <v>2400</v>
      </c>
      <c r="AC4944" s="152"/>
      <c r="AD4944" s="223">
        <f>0.3048*27.5</f>
        <v>8.3819999999999997</v>
      </c>
      <c r="AE4944" s="152"/>
      <c r="AF4944" s="153"/>
      <c r="AG4944" s="153"/>
      <c r="AH4944" s="346"/>
      <c r="AI4944" s="218"/>
      <c r="AJ4944" s="218"/>
      <c r="AK4944" s="153"/>
      <c r="AL4944" s="152"/>
      <c r="AM4944" s="152"/>
      <c r="AN4944" s="152"/>
      <c r="AO4944" s="152"/>
      <c r="AP4944" s="152"/>
      <c r="AQ4944" s="152"/>
      <c r="AR4944" s="152"/>
      <c r="AS4944" s="152"/>
      <c r="AT4944" s="152"/>
      <c r="AU4944" s="153"/>
      <c r="AV4944" s="479"/>
      <c r="AW4944" s="479"/>
      <c r="AX4944" s="442"/>
      <c r="AY4944" s="153"/>
      <c r="AZ4944" s="152"/>
      <c r="BA4944" s="152"/>
      <c r="BB4944" s="152"/>
      <c r="BC4944" s="152"/>
      <c r="BD4944" s="152"/>
      <c r="BE4944" s="152"/>
      <c r="BF4944" s="152"/>
      <c r="BG4944" s="152"/>
      <c r="BH4944" s="152"/>
      <c r="BI4944" s="153"/>
      <c r="BJ4944" s="153"/>
      <c r="BK4944" s="153"/>
      <c r="BL4944" s="153"/>
      <c r="BM4944" s="153"/>
      <c r="BN4944" s="153"/>
      <c r="BO4944" s="153"/>
      <c r="BP4944" s="153"/>
      <c r="BQ4944" s="153"/>
      <c r="BR4944" s="153"/>
      <c r="BS4944" s="153"/>
      <c r="BT4944" s="153"/>
      <c r="BU4944" s="153"/>
      <c r="BV4944" s="153"/>
      <c r="BW4944" s="153"/>
      <c r="BX4944" s="153"/>
      <c r="BY4944" s="153"/>
      <c r="BZ4944" s="153"/>
      <c r="CA4944" s="152"/>
      <c r="CB4944" s="152"/>
    </row>
    <row r="4945" spans="1:80" s="87" customFormat="1" x14ac:dyDescent="0.2">
      <c r="A4945" s="152"/>
      <c r="B4945" s="683"/>
      <c r="C4945" s="683"/>
      <c r="D4945" s="698"/>
      <c r="E4945" s="215"/>
      <c r="F4945" s="215"/>
      <c r="G4945" s="153"/>
      <c r="H4945" s="153"/>
      <c r="I4945" s="153"/>
      <c r="J4945" s="153"/>
      <c r="K4945" s="153"/>
      <c r="L4945" s="656">
        <v>40</v>
      </c>
      <c r="M4945" s="666">
        <v>34179</v>
      </c>
      <c r="N4945" s="597">
        <f>0.028317*33.6</f>
        <v>0.95145119999999994</v>
      </c>
      <c r="O4945" s="604">
        <v>4.0988644625901387E-3</v>
      </c>
      <c r="P4945" s="150"/>
      <c r="Q4945" s="150"/>
      <c r="R4945" s="478"/>
      <c r="S4945" s="478"/>
      <c r="T4945" s="478">
        <v>1.0394041256451563E-2</v>
      </c>
      <c r="U4945" s="478">
        <v>1.8948053269181971E-2</v>
      </c>
      <c r="V4945" s="478">
        <v>0.13849294226936198</v>
      </c>
      <c r="W4945" s="478">
        <v>0.35242149413504653</v>
      </c>
      <c r="X4945" s="478">
        <v>0.44629763982154169</v>
      </c>
      <c r="Y4945" s="478">
        <v>3.3445829248416298E-2</v>
      </c>
      <c r="Z4945" s="231"/>
      <c r="AA4945" s="231"/>
      <c r="AB4945" s="154">
        <v>2400</v>
      </c>
      <c r="AC4945" s="152"/>
      <c r="AD4945" s="223">
        <f>0.3048*27.5</f>
        <v>8.3819999999999997</v>
      </c>
      <c r="AE4945" s="152"/>
      <c r="AF4945" s="153"/>
      <c r="AG4945" s="153"/>
      <c r="AH4945" s="346"/>
      <c r="AI4945" s="218"/>
      <c r="AJ4945" s="218"/>
      <c r="AK4945" s="153"/>
      <c r="AL4945" s="152"/>
      <c r="AM4945" s="152"/>
      <c r="AN4945" s="152"/>
      <c r="AO4945" s="152"/>
      <c r="AP4945" s="152"/>
      <c r="AQ4945" s="152"/>
      <c r="AR4945" s="152"/>
      <c r="AS4945" s="152"/>
      <c r="AT4945" s="152"/>
      <c r="AU4945" s="153"/>
      <c r="AV4945" s="479"/>
      <c r="AW4945" s="479"/>
      <c r="AX4945" s="442"/>
      <c r="AY4945" s="153"/>
      <c r="AZ4945" s="152"/>
      <c r="BA4945" s="152"/>
      <c r="BB4945" s="152"/>
      <c r="BC4945" s="152"/>
      <c r="BD4945" s="152"/>
      <c r="BE4945" s="152"/>
      <c r="BF4945" s="152"/>
      <c r="BG4945" s="152"/>
      <c r="BH4945" s="152"/>
      <c r="BI4945" s="153"/>
      <c r="BJ4945" s="153"/>
      <c r="BK4945" s="153"/>
      <c r="BL4945" s="153"/>
      <c r="BM4945" s="153"/>
      <c r="BN4945" s="153"/>
      <c r="BO4945" s="153"/>
      <c r="BP4945" s="153"/>
      <c r="BQ4945" s="153"/>
      <c r="BR4945" s="153"/>
      <c r="BS4945" s="153"/>
      <c r="BT4945" s="153"/>
      <c r="BU4945" s="153"/>
      <c r="BV4945" s="153"/>
      <c r="BW4945" s="153"/>
      <c r="BX4945" s="153"/>
      <c r="BY4945" s="153"/>
      <c r="BZ4945" s="153"/>
      <c r="CA4945" s="152"/>
      <c r="CB4945" s="152"/>
    </row>
    <row r="4946" spans="1:80" s="87" customFormat="1" x14ac:dyDescent="0.2">
      <c r="A4946" s="152"/>
      <c r="B4946" s="683"/>
      <c r="C4946" s="683"/>
      <c r="D4946" s="698"/>
      <c r="E4946" s="215"/>
      <c r="F4946" s="215"/>
      <c r="G4946" s="153"/>
      <c r="H4946" s="153"/>
      <c r="I4946" s="153"/>
      <c r="J4946" s="153"/>
      <c r="K4946" s="153"/>
      <c r="L4946" s="656">
        <v>40</v>
      </c>
      <c r="M4946" s="666">
        <v>34185</v>
      </c>
      <c r="N4946" s="597">
        <f>0.028317*32.77</f>
        <v>0.92794809</v>
      </c>
      <c r="O4946" s="604">
        <v>2.9292769841809188E-3</v>
      </c>
      <c r="P4946" s="150"/>
      <c r="Q4946" s="150"/>
      <c r="R4946" s="478"/>
      <c r="S4946" s="478">
        <v>1.9613762638902764E-2</v>
      </c>
      <c r="T4946" s="478">
        <v>2.5288755130643679E-2</v>
      </c>
      <c r="U4946" s="478">
        <v>6.2007270497547284E-2</v>
      </c>
      <c r="V4946" s="478">
        <v>0.15159175092601862</v>
      </c>
      <c r="W4946" s="478">
        <v>0.30963904044448898</v>
      </c>
      <c r="X4946" s="478">
        <v>0.37296494894383819</v>
      </c>
      <c r="Y4946" s="478">
        <v>5.8894471418560371E-2</v>
      </c>
      <c r="Z4946" s="231"/>
      <c r="AA4946" s="231"/>
      <c r="AB4946" s="154">
        <v>2400</v>
      </c>
      <c r="AC4946" s="152"/>
      <c r="AD4946" s="223">
        <f>0.3048*27.5</f>
        <v>8.3819999999999997</v>
      </c>
      <c r="AE4946" s="152"/>
      <c r="AF4946" s="153"/>
      <c r="AG4946" s="153"/>
      <c r="AH4946" s="346"/>
      <c r="AI4946" s="218"/>
      <c r="AJ4946" s="218"/>
      <c r="AK4946" s="153"/>
      <c r="AL4946" s="152"/>
      <c r="AM4946" s="152"/>
      <c r="AN4946" s="152"/>
      <c r="AO4946" s="152"/>
      <c r="AP4946" s="152"/>
      <c r="AQ4946" s="152"/>
      <c r="AR4946" s="152"/>
      <c r="AS4946" s="152"/>
      <c r="AT4946" s="152"/>
      <c r="AU4946" s="153"/>
      <c r="AV4946" s="479"/>
      <c r="AW4946" s="479"/>
      <c r="AX4946" s="442"/>
      <c r="AY4946" s="153"/>
      <c r="AZ4946" s="152"/>
      <c r="BA4946" s="152"/>
      <c r="BB4946" s="152"/>
      <c r="BC4946" s="152"/>
      <c r="BD4946" s="152"/>
      <c r="BE4946" s="152"/>
      <c r="BF4946" s="152"/>
      <c r="BG4946" s="152"/>
      <c r="BH4946" s="152"/>
      <c r="BI4946" s="153"/>
      <c r="BJ4946" s="153"/>
      <c r="BK4946" s="153"/>
      <c r="BL4946" s="153"/>
      <c r="BM4946" s="153"/>
      <c r="BN4946" s="153"/>
      <c r="BO4946" s="153"/>
      <c r="BP4946" s="153"/>
      <c r="BQ4946" s="153"/>
      <c r="BR4946" s="153"/>
      <c r="BS4946" s="153"/>
      <c r="BT4946" s="153"/>
      <c r="BU4946" s="153"/>
      <c r="BV4946" s="153"/>
      <c r="BW4946" s="153"/>
      <c r="BX4946" s="153"/>
      <c r="BY4946" s="153"/>
      <c r="BZ4946" s="153"/>
      <c r="CA4946" s="152"/>
      <c r="CB4946" s="152"/>
    </row>
    <row r="4947" spans="1:80" s="87" customFormat="1" x14ac:dyDescent="0.2">
      <c r="A4947" s="152"/>
      <c r="B4947" s="683"/>
      <c r="C4947" s="683"/>
      <c r="D4947" s="698"/>
      <c r="E4947" s="215"/>
      <c r="F4947" s="215"/>
      <c r="G4947" s="153"/>
      <c r="H4947" s="153"/>
      <c r="I4947" s="153"/>
      <c r="J4947" s="153"/>
      <c r="K4947" s="153"/>
      <c r="L4947" s="656">
        <v>40</v>
      </c>
      <c r="M4947" s="666">
        <v>34192</v>
      </c>
      <c r="N4947" s="597">
        <f>0.028317*23.21</f>
        <v>0.65723756999999994</v>
      </c>
      <c r="O4947" s="604">
        <v>1.3451623322762064E-4</v>
      </c>
      <c r="P4947" s="150"/>
      <c r="Q4947" s="150"/>
      <c r="R4947" s="478"/>
      <c r="S4947" s="478"/>
      <c r="T4947" s="478"/>
      <c r="U4947" s="478">
        <v>3.5490000322050609E-2</v>
      </c>
      <c r="V4947" s="478">
        <v>0.10901420244114551</v>
      </c>
      <c r="W4947" s="478">
        <v>0.24543492963189567</v>
      </c>
      <c r="X4947" s="478">
        <v>0.48851888828057222</v>
      </c>
      <c r="Y4947" s="478">
        <v>0.12154197932433597</v>
      </c>
      <c r="Z4947" s="231"/>
      <c r="AA4947" s="231"/>
      <c r="AB4947" s="154">
        <v>2400</v>
      </c>
      <c r="AC4947" s="152"/>
      <c r="AD4947" s="223">
        <f>0.3048*26</f>
        <v>7.9248000000000003</v>
      </c>
      <c r="AE4947" s="152"/>
      <c r="AF4947" s="153"/>
      <c r="AG4947" s="153"/>
      <c r="AH4947" s="346"/>
      <c r="AI4947" s="218"/>
      <c r="AJ4947" s="218"/>
      <c r="AK4947" s="153"/>
      <c r="AL4947" s="152"/>
      <c r="AM4947" s="152"/>
      <c r="AN4947" s="152"/>
      <c r="AO4947" s="152"/>
      <c r="AP4947" s="152"/>
      <c r="AQ4947" s="152"/>
      <c r="AR4947" s="152"/>
      <c r="AS4947" s="152"/>
      <c r="AT4947" s="152"/>
      <c r="AU4947" s="153"/>
      <c r="AV4947" s="479"/>
      <c r="AW4947" s="479"/>
      <c r="AX4947" s="442"/>
      <c r="AY4947" s="153"/>
      <c r="AZ4947" s="152"/>
      <c r="BA4947" s="152"/>
      <c r="BB4947" s="152"/>
      <c r="BC4947" s="152"/>
      <c r="BD4947" s="152"/>
      <c r="BE4947" s="152"/>
      <c r="BF4947" s="152"/>
      <c r="BG4947" s="152"/>
      <c r="BH4947" s="152"/>
      <c r="BI4947" s="153"/>
      <c r="BJ4947" s="153"/>
      <c r="BK4947" s="153"/>
      <c r="BL4947" s="153"/>
      <c r="BM4947" s="153"/>
      <c r="BN4947" s="153"/>
      <c r="BO4947" s="153"/>
      <c r="BP4947" s="153"/>
      <c r="BQ4947" s="153"/>
      <c r="BR4947" s="153"/>
      <c r="BS4947" s="153"/>
      <c r="BT4947" s="153"/>
      <c r="BU4947" s="153"/>
      <c r="BV4947" s="153"/>
      <c r="BW4947" s="153"/>
      <c r="BX4947" s="153"/>
      <c r="BY4947" s="153"/>
      <c r="BZ4947" s="153"/>
      <c r="CA4947" s="152"/>
      <c r="CB4947" s="152"/>
    </row>
    <row r="4948" spans="1:80" s="87" customFormat="1" x14ac:dyDescent="0.2">
      <c r="A4948" s="152"/>
      <c r="B4948" s="683"/>
      <c r="C4948" s="683"/>
      <c r="D4948" s="698"/>
      <c r="E4948" s="215"/>
      <c r="F4948" s="215"/>
      <c r="G4948" s="153"/>
      <c r="H4948" s="153"/>
      <c r="I4948" s="153"/>
      <c r="J4948" s="153"/>
      <c r="K4948" s="153"/>
      <c r="L4948" s="656">
        <v>40</v>
      </c>
      <c r="M4948" s="666">
        <v>34200</v>
      </c>
      <c r="N4948" s="597">
        <f>0.028317*29.09</f>
        <v>0.82374152999999994</v>
      </c>
      <c r="O4948" s="604">
        <v>1.6515228926643254E-4</v>
      </c>
      <c r="P4948" s="150"/>
      <c r="Q4948" s="150"/>
      <c r="R4948" s="478"/>
      <c r="S4948" s="478"/>
      <c r="T4948" s="478"/>
      <c r="U4948" s="478">
        <v>7.4294205052002496E-3</v>
      </c>
      <c r="V4948" s="478">
        <v>0.13219061770324794</v>
      </c>
      <c r="W4948" s="478">
        <v>0.17857142857142816</v>
      </c>
      <c r="X4948" s="478">
        <v>0.5251538951390361</v>
      </c>
      <c r="Y4948" s="478">
        <v>0.15665463808108754</v>
      </c>
      <c r="Z4948" s="231"/>
      <c r="AA4948" s="231"/>
      <c r="AB4948" s="154">
        <v>2400</v>
      </c>
      <c r="AC4948" s="152"/>
      <c r="AD4948" s="223">
        <f>0.3048*26.3</f>
        <v>8.0162399999999998</v>
      </c>
      <c r="AE4948" s="152"/>
      <c r="AF4948" s="153"/>
      <c r="AG4948" s="153"/>
      <c r="AH4948" s="346"/>
      <c r="AI4948" s="218"/>
      <c r="AJ4948" s="218"/>
      <c r="AK4948" s="153"/>
      <c r="AL4948" s="152"/>
      <c r="AM4948" s="152"/>
      <c r="AN4948" s="152"/>
      <c r="AO4948" s="152"/>
      <c r="AP4948" s="152"/>
      <c r="AQ4948" s="152"/>
      <c r="AR4948" s="152"/>
      <c r="AS4948" s="152"/>
      <c r="AT4948" s="152"/>
      <c r="AU4948" s="153"/>
      <c r="AV4948" s="479"/>
      <c r="AW4948" s="479"/>
      <c r="AX4948" s="442"/>
      <c r="AY4948" s="153"/>
      <c r="AZ4948" s="152"/>
      <c r="BA4948" s="152"/>
      <c r="BB4948" s="152"/>
      <c r="BC4948" s="152"/>
      <c r="BD4948" s="152"/>
      <c r="BE4948" s="152"/>
      <c r="BF4948" s="152"/>
      <c r="BG4948" s="152"/>
      <c r="BH4948" s="152"/>
      <c r="BI4948" s="153"/>
      <c r="BJ4948" s="153"/>
      <c r="BK4948" s="153"/>
      <c r="BL4948" s="153"/>
      <c r="BM4948" s="153"/>
      <c r="BN4948" s="153"/>
      <c r="BO4948" s="153"/>
      <c r="BP4948" s="153"/>
      <c r="BQ4948" s="153"/>
      <c r="BR4948" s="153"/>
      <c r="BS4948" s="153"/>
      <c r="BT4948" s="153"/>
      <c r="BU4948" s="153"/>
      <c r="BV4948" s="153"/>
      <c r="BW4948" s="153"/>
      <c r="BX4948" s="153"/>
      <c r="BY4948" s="153"/>
      <c r="BZ4948" s="153"/>
      <c r="CA4948" s="152"/>
      <c r="CB4948" s="152"/>
    </row>
    <row r="4949" spans="1:80" s="87" customFormat="1" x14ac:dyDescent="0.2">
      <c r="A4949" s="152"/>
      <c r="B4949" s="683"/>
      <c r="C4949" s="683"/>
      <c r="D4949" s="698"/>
      <c r="E4949" s="215"/>
      <c r="F4949" s="215"/>
      <c r="G4949" s="153"/>
      <c r="H4949" s="153"/>
      <c r="I4949" s="153"/>
      <c r="J4949" s="153"/>
      <c r="K4949" s="153"/>
      <c r="L4949" s="656">
        <v>40</v>
      </c>
      <c r="M4949" s="666">
        <v>34207</v>
      </c>
      <c r="N4949" s="597">
        <f>0.028317*30.24</f>
        <v>0.85630607999999986</v>
      </c>
      <c r="O4949" s="604">
        <v>3.8970212155963314E-4</v>
      </c>
      <c r="P4949" s="150"/>
      <c r="Q4949" s="150"/>
      <c r="R4949" s="478"/>
      <c r="S4949" s="478"/>
      <c r="T4949" s="478"/>
      <c r="U4949" s="478">
        <v>1.4285714285714405E-2</v>
      </c>
      <c r="V4949" s="478">
        <v>0.19894179894179889</v>
      </c>
      <c r="W4949" s="478">
        <v>0.33857730746619624</v>
      </c>
      <c r="X4949" s="478">
        <v>0.37477954144620801</v>
      </c>
      <c r="Y4949" s="478">
        <v>7.3415637860082456E-2</v>
      </c>
      <c r="Z4949" s="231"/>
      <c r="AA4949" s="231"/>
      <c r="AB4949" s="154">
        <v>2400</v>
      </c>
      <c r="AC4949" s="152"/>
      <c r="AD4949" s="223">
        <f>0.3048*27.5</f>
        <v>8.3819999999999997</v>
      </c>
      <c r="AE4949" s="152"/>
      <c r="AF4949" s="153"/>
      <c r="AG4949" s="153"/>
      <c r="AH4949" s="346"/>
      <c r="AI4949" s="218"/>
      <c r="AJ4949" s="218"/>
      <c r="AK4949" s="153"/>
      <c r="AL4949" s="152"/>
      <c r="AM4949" s="152"/>
      <c r="AN4949" s="152"/>
      <c r="AO4949" s="152"/>
      <c r="AP4949" s="152"/>
      <c r="AQ4949" s="152"/>
      <c r="AR4949" s="152"/>
      <c r="AS4949" s="152"/>
      <c r="AT4949" s="152"/>
      <c r="AU4949" s="153"/>
      <c r="AV4949" s="479"/>
      <c r="AW4949" s="479"/>
      <c r="AX4949" s="442"/>
      <c r="AY4949" s="153"/>
      <c r="AZ4949" s="152"/>
      <c r="BA4949" s="152"/>
      <c r="BB4949" s="152"/>
      <c r="BC4949" s="152"/>
      <c r="BD4949" s="152"/>
      <c r="BE4949" s="152"/>
      <c r="BF4949" s="152"/>
      <c r="BG4949" s="152"/>
      <c r="BH4949" s="152"/>
      <c r="BI4949" s="153"/>
      <c r="BJ4949" s="153"/>
      <c r="BK4949" s="153"/>
      <c r="BL4949" s="153"/>
      <c r="BM4949" s="153"/>
      <c r="BN4949" s="153"/>
      <c r="BO4949" s="153"/>
      <c r="BP4949" s="153"/>
      <c r="BQ4949" s="153"/>
      <c r="BR4949" s="153"/>
      <c r="BS4949" s="153"/>
      <c r="BT4949" s="153"/>
      <c r="BU4949" s="153"/>
      <c r="BV4949" s="153"/>
      <c r="BW4949" s="153"/>
      <c r="BX4949" s="153"/>
      <c r="BY4949" s="153"/>
      <c r="BZ4949" s="153"/>
      <c r="CA4949" s="152"/>
      <c r="CB4949" s="152"/>
    </row>
    <row r="4950" spans="1:80" s="87" customFormat="1" x14ac:dyDescent="0.2">
      <c r="A4950" s="152"/>
      <c r="B4950" s="683"/>
      <c r="C4950" s="683"/>
      <c r="D4950" s="698"/>
      <c r="E4950" s="215"/>
      <c r="F4950" s="215"/>
      <c r="G4950" s="153"/>
      <c r="H4950" s="153"/>
      <c r="I4950" s="153"/>
      <c r="J4950" s="153"/>
      <c r="K4950" s="153"/>
      <c r="L4950" s="656">
        <v>40</v>
      </c>
      <c r="M4950" s="666">
        <v>34213</v>
      </c>
      <c r="N4950" s="597">
        <f>0.028317*22.08</f>
        <v>0.62523935999999991</v>
      </c>
      <c r="O4950" s="604">
        <v>1.4860640902140642E-4</v>
      </c>
      <c r="P4950" s="150"/>
      <c r="Q4950" s="150"/>
      <c r="R4950" s="478"/>
      <c r="S4950" s="478">
        <v>0.24181878727333322</v>
      </c>
      <c r="T4950" s="478">
        <v>5.4067144976235826E-2</v>
      </c>
      <c r="U4950" s="478">
        <v>1.6438107347197622E-2</v>
      </c>
      <c r="V4950" s="478">
        <v>7.3623346350618651E-2</v>
      </c>
      <c r="W4950" s="478">
        <v>0.16241334423152645</v>
      </c>
      <c r="X4950" s="478">
        <v>0.37635092180546748</v>
      </c>
      <c r="Y4950" s="478">
        <v>7.5288348015620746E-2</v>
      </c>
      <c r="Z4950" s="231"/>
      <c r="AA4950" s="231"/>
      <c r="AB4950" s="154">
        <v>2400</v>
      </c>
      <c r="AC4950" s="152"/>
      <c r="AD4950" s="223">
        <f>0.3048*27</f>
        <v>8.2295999999999996</v>
      </c>
      <c r="AE4950" s="152"/>
      <c r="AF4950" s="153"/>
      <c r="AG4950" s="153"/>
      <c r="AH4950" s="346"/>
      <c r="AI4950" s="218"/>
      <c r="AJ4950" s="218"/>
      <c r="AK4950" s="153"/>
      <c r="AL4950" s="152"/>
      <c r="AM4950" s="152"/>
      <c r="AN4950" s="152"/>
      <c r="AO4950" s="152"/>
      <c r="AP4950" s="152"/>
      <c r="AQ4950" s="152"/>
      <c r="AR4950" s="152"/>
      <c r="AS4950" s="152"/>
      <c r="AT4950" s="152"/>
      <c r="AU4950" s="153"/>
      <c r="AV4950" s="479"/>
      <c r="AW4950" s="479"/>
      <c r="AX4950" s="442"/>
      <c r="AY4950" s="153"/>
      <c r="AZ4950" s="152"/>
      <c r="BA4950" s="152"/>
      <c r="BB4950" s="152"/>
      <c r="BC4950" s="152"/>
      <c r="BD4950" s="152"/>
      <c r="BE4950" s="152"/>
      <c r="BF4950" s="152"/>
      <c r="BG4950" s="152"/>
      <c r="BH4950" s="152"/>
      <c r="BI4950" s="153"/>
      <c r="BJ4950" s="153"/>
      <c r="BK4950" s="153"/>
      <c r="BL4950" s="153"/>
      <c r="BM4950" s="153"/>
      <c r="BN4950" s="153"/>
      <c r="BO4950" s="153"/>
      <c r="BP4950" s="153"/>
      <c r="BQ4950" s="153"/>
      <c r="BR4950" s="153"/>
      <c r="BS4950" s="153"/>
      <c r="BT4950" s="153"/>
      <c r="BU4950" s="153"/>
      <c r="BV4950" s="153"/>
      <c r="BW4950" s="153"/>
      <c r="BX4950" s="153"/>
      <c r="BY4950" s="153"/>
      <c r="BZ4950" s="153"/>
      <c r="CA4950" s="152"/>
      <c r="CB4950" s="152"/>
    </row>
    <row r="4951" spans="1:80" s="87" customFormat="1" x14ac:dyDescent="0.2">
      <c r="A4951" s="152"/>
      <c r="B4951" s="683"/>
      <c r="C4951" s="683"/>
      <c r="D4951" s="698"/>
      <c r="E4951" s="215"/>
      <c r="F4951" s="215"/>
      <c r="G4951" s="153"/>
      <c r="H4951" s="153"/>
      <c r="I4951" s="153"/>
      <c r="J4951" s="153"/>
      <c r="K4951" s="153"/>
      <c r="L4951" s="656">
        <v>40</v>
      </c>
      <c r="M4951" s="666">
        <v>34225</v>
      </c>
      <c r="N4951" s="597">
        <f>0.028317*23.98</f>
        <v>0.67904165999999999</v>
      </c>
      <c r="O4951" s="604">
        <v>9.0218946568127912E-5</v>
      </c>
      <c r="P4951" s="150"/>
      <c r="Q4951" s="150"/>
      <c r="R4951" s="478"/>
      <c r="S4951" s="478"/>
      <c r="T4951" s="478"/>
      <c r="U4951" s="478">
        <v>4.3938965809550298E-2</v>
      </c>
      <c r="V4951" s="478">
        <v>0.22576999152302957</v>
      </c>
      <c r="W4951" s="478">
        <v>0.35381934633135498</v>
      </c>
      <c r="X4951" s="478">
        <v>0.29890741264010434</v>
      </c>
      <c r="Y4951" s="478">
        <v>7.7564283695960787E-2</v>
      </c>
      <c r="Z4951" s="231"/>
      <c r="AA4951" s="231"/>
      <c r="AB4951" s="154">
        <v>2400</v>
      </c>
      <c r="AC4951" s="152"/>
      <c r="AD4951" s="223">
        <f>0.3048*25.5</f>
        <v>7.7724000000000002</v>
      </c>
      <c r="AE4951" s="152"/>
      <c r="AF4951" s="153"/>
      <c r="AG4951" s="153"/>
      <c r="AH4951" s="346"/>
      <c r="AI4951" s="218"/>
      <c r="AJ4951" s="218"/>
      <c r="AK4951" s="153"/>
      <c r="AL4951" s="152"/>
      <c r="AM4951" s="152"/>
      <c r="AN4951" s="152"/>
      <c r="AO4951" s="152"/>
      <c r="AP4951" s="152"/>
      <c r="AQ4951" s="152"/>
      <c r="AR4951" s="152"/>
      <c r="AS4951" s="152"/>
      <c r="AT4951" s="152"/>
      <c r="AU4951" s="153"/>
      <c r="AV4951" s="479"/>
      <c r="AW4951" s="479"/>
      <c r="AX4951" s="442"/>
      <c r="AY4951" s="153"/>
      <c r="AZ4951" s="152"/>
      <c r="BA4951" s="152"/>
      <c r="BB4951" s="152"/>
      <c r="BC4951" s="152"/>
      <c r="BD4951" s="152"/>
      <c r="BE4951" s="152"/>
      <c r="BF4951" s="152"/>
      <c r="BG4951" s="152"/>
      <c r="BH4951" s="152"/>
      <c r="BI4951" s="153"/>
      <c r="BJ4951" s="153"/>
      <c r="BK4951" s="153"/>
      <c r="BL4951" s="153"/>
      <c r="BM4951" s="153"/>
      <c r="BN4951" s="153"/>
      <c r="BO4951" s="153"/>
      <c r="BP4951" s="153"/>
      <c r="BQ4951" s="153"/>
      <c r="BR4951" s="153"/>
      <c r="BS4951" s="153"/>
      <c r="BT4951" s="153"/>
      <c r="BU4951" s="153"/>
      <c r="BV4951" s="153"/>
      <c r="BW4951" s="153"/>
      <c r="BX4951" s="153"/>
      <c r="BY4951" s="153"/>
      <c r="BZ4951" s="153"/>
      <c r="CA4951" s="152"/>
      <c r="CB4951" s="152"/>
    </row>
    <row r="4952" spans="1:80" s="87" customFormat="1" x14ac:dyDescent="0.2">
      <c r="A4952" s="152"/>
      <c r="B4952" s="683"/>
      <c r="C4952" s="683"/>
      <c r="D4952" s="698"/>
      <c r="E4952" s="215"/>
      <c r="F4952" s="215"/>
      <c r="G4952" s="153"/>
      <c r="H4952" s="153"/>
      <c r="I4952" s="153"/>
      <c r="J4952" s="153"/>
      <c r="K4952" s="153"/>
      <c r="L4952" s="656">
        <v>40</v>
      </c>
      <c r="M4952" s="666">
        <v>35213</v>
      </c>
      <c r="N4952" s="597">
        <f>0.028317*71.69</f>
        <v>2.0300457299999999</v>
      </c>
      <c r="O4952" s="604">
        <v>6.3670799344961665E-3</v>
      </c>
      <c r="P4952" s="150"/>
      <c r="Q4952" s="150"/>
      <c r="R4952" s="478"/>
      <c r="S4952" s="478">
        <v>0.22387493359641802</v>
      </c>
      <c r="T4952" s="478">
        <v>0.16733702663732264</v>
      </c>
      <c r="U4952" s="478">
        <v>0.19078697730894745</v>
      </c>
      <c r="V4952" s="478">
        <v>0.16528800182135542</v>
      </c>
      <c r="W4952" s="478">
        <v>0.11816043105410945</v>
      </c>
      <c r="X4952" s="478">
        <v>0.11383471199817866</v>
      </c>
      <c r="Y4952" s="478">
        <v>2.0717917583668515E-2</v>
      </c>
      <c r="Z4952" s="231"/>
      <c r="AA4952" s="231"/>
      <c r="AB4952" s="154">
        <v>2400</v>
      </c>
      <c r="AC4952" s="152"/>
      <c r="AD4952" s="223">
        <f>0.3048*29</f>
        <v>8.8391999999999999</v>
      </c>
      <c r="AE4952" s="152"/>
      <c r="AF4952" s="153"/>
      <c r="AG4952" s="153"/>
      <c r="AH4952" s="346"/>
      <c r="AI4952" s="218"/>
      <c r="AJ4952" s="218"/>
      <c r="AK4952" s="153"/>
      <c r="AL4952" s="152"/>
      <c r="AM4952" s="152"/>
      <c r="AN4952" s="152"/>
      <c r="AO4952" s="152"/>
      <c r="AP4952" s="152"/>
      <c r="AQ4952" s="152"/>
      <c r="AR4952" s="152"/>
      <c r="AS4952" s="152"/>
      <c r="AT4952" s="152"/>
      <c r="AU4952" s="153"/>
      <c r="AV4952" s="479"/>
      <c r="AW4952" s="479"/>
      <c r="AX4952" s="442"/>
      <c r="AY4952" s="153"/>
      <c r="AZ4952" s="152"/>
      <c r="BA4952" s="152"/>
      <c r="BB4952" s="152"/>
      <c r="BC4952" s="152"/>
      <c r="BD4952" s="152"/>
      <c r="BE4952" s="152"/>
      <c r="BF4952" s="152"/>
      <c r="BG4952" s="152"/>
      <c r="BH4952" s="152"/>
      <c r="BI4952" s="153"/>
      <c r="BJ4952" s="153"/>
      <c r="BK4952" s="153"/>
      <c r="BL4952" s="153"/>
      <c r="BM4952" s="153"/>
      <c r="BN4952" s="153"/>
      <c r="BO4952" s="153"/>
      <c r="BP4952" s="153"/>
      <c r="BQ4952" s="153"/>
      <c r="BR4952" s="153"/>
      <c r="BS4952" s="153"/>
      <c r="BT4952" s="153"/>
      <c r="BU4952" s="153"/>
      <c r="BV4952" s="153"/>
      <c r="BW4952" s="153"/>
      <c r="BX4952" s="153"/>
      <c r="BY4952" s="153"/>
      <c r="BZ4952" s="153"/>
      <c r="CA4952" s="152"/>
      <c r="CB4952" s="152"/>
    </row>
    <row r="4953" spans="1:80" s="87" customFormat="1" x14ac:dyDescent="0.2">
      <c r="A4953" s="152"/>
      <c r="B4953" s="683"/>
      <c r="C4953" s="683"/>
      <c r="D4953" s="698"/>
      <c r="E4953" s="215"/>
      <c r="F4953" s="215"/>
      <c r="G4953" s="153"/>
      <c r="H4953" s="153"/>
      <c r="I4953" s="153"/>
      <c r="J4953" s="153"/>
      <c r="K4953" s="153"/>
      <c r="L4953" s="656">
        <v>40</v>
      </c>
      <c r="M4953" s="666">
        <v>35571</v>
      </c>
      <c r="N4953" s="597">
        <f>0.028317*52.1055877427868</f>
        <v>1.4754739281124938</v>
      </c>
      <c r="O4953" s="604">
        <v>5.1057345287499538E-4</v>
      </c>
      <c r="P4953" s="150"/>
      <c r="Q4953" s="150"/>
      <c r="R4953" s="478"/>
      <c r="S4953" s="478"/>
      <c r="T4953" s="478"/>
      <c r="U4953" s="478">
        <v>3.0585498509223156E-2</v>
      </c>
      <c r="V4953" s="478">
        <v>0.14846335310114347</v>
      </c>
      <c r="W4953" s="478">
        <v>0.32915861210314212</v>
      </c>
      <c r="X4953" s="478">
        <v>0.36134956259624518</v>
      </c>
      <c r="Y4953" s="478">
        <v>0.13044297369024604</v>
      </c>
      <c r="Z4953" s="231"/>
      <c r="AA4953" s="231"/>
      <c r="AB4953" s="88">
        <v>2400</v>
      </c>
      <c r="AC4953" s="152"/>
      <c r="AD4953" s="89">
        <f>0.3048*25.1</f>
        <v>7.6504800000000008</v>
      </c>
      <c r="AE4953" s="152"/>
      <c r="AF4953" s="153"/>
      <c r="AG4953" s="153"/>
      <c r="AH4953" s="346"/>
      <c r="AI4953" s="218"/>
      <c r="AJ4953" s="218"/>
      <c r="AK4953" s="153"/>
      <c r="AL4953" s="152"/>
      <c r="AM4953" s="152"/>
      <c r="AN4953" s="152"/>
      <c r="AO4953" s="152"/>
      <c r="AP4953" s="152"/>
      <c r="AQ4953" s="152"/>
      <c r="AR4953" s="152"/>
      <c r="AS4953" s="152"/>
      <c r="AT4953" s="152"/>
      <c r="AU4953" s="153"/>
      <c r="AV4953" s="479"/>
      <c r="AW4953" s="479"/>
      <c r="AX4953" s="442"/>
      <c r="AY4953" s="153"/>
      <c r="AZ4953" s="152"/>
      <c r="BA4953" s="152"/>
      <c r="BB4953" s="152"/>
      <c r="BC4953" s="152"/>
      <c r="BD4953" s="152"/>
      <c r="BE4953" s="152"/>
      <c r="BF4953" s="152"/>
      <c r="BG4953" s="152"/>
      <c r="BH4953" s="152"/>
      <c r="BI4953" s="153"/>
      <c r="BJ4953" s="153"/>
      <c r="BK4953" s="153"/>
      <c r="BL4953" s="153"/>
      <c r="BM4953" s="153"/>
      <c r="BN4953" s="153"/>
      <c r="BO4953" s="153"/>
      <c r="BP4953" s="153"/>
      <c r="BQ4953" s="153"/>
      <c r="BR4953" s="153"/>
      <c r="BS4953" s="153"/>
      <c r="BT4953" s="153"/>
      <c r="BU4953" s="153"/>
      <c r="BV4953" s="153"/>
      <c r="BW4953" s="153"/>
      <c r="BX4953" s="153"/>
      <c r="BY4953" s="153"/>
      <c r="BZ4953" s="153"/>
      <c r="CA4953" s="152"/>
      <c r="CB4953" s="152"/>
    </row>
    <row r="4954" spans="1:80" ht="15" x14ac:dyDescent="0.25">
      <c r="A4954" s="9" t="s">
        <v>93</v>
      </c>
      <c r="B4954" s="639" t="s">
        <v>53</v>
      </c>
      <c r="C4954" s="639"/>
      <c r="D4954" s="4">
        <f>VLOOKUP(E4954,'Quality Code'!D4:E24,2,TRUE)*VLOOKUP(MROUND(F4954,10),'Quality Code'!D28:E69,2,TRUE)*VLOOKUP(COUNTA(CB4954:CB4964),'Quality Code'!D73:E93,2,TRUE)</f>
        <v>2</v>
      </c>
      <c r="E4954" s="14">
        <v>0.8</v>
      </c>
      <c r="F4954" s="18">
        <v>48</v>
      </c>
      <c r="G4954" s="12">
        <v>466</v>
      </c>
      <c r="H4954" s="10"/>
      <c r="I4954" s="2" t="s">
        <v>29</v>
      </c>
      <c r="J4954" s="2" t="s">
        <v>291</v>
      </c>
      <c r="K4954" s="2" t="s">
        <v>29</v>
      </c>
      <c r="L4954" s="640"/>
      <c r="M4954" s="640" t="s">
        <v>380</v>
      </c>
      <c r="N4954" s="578" t="s">
        <v>96</v>
      </c>
      <c r="O4954" s="578"/>
      <c r="P4954" s="10"/>
      <c r="Q4954" s="10"/>
      <c r="R4954" s="10"/>
      <c r="S4954" s="10"/>
      <c r="T4954" s="10"/>
      <c r="U4954" s="10"/>
      <c r="V4954" s="10"/>
      <c r="W4954" s="10"/>
      <c r="X4954" s="10"/>
      <c r="Y4954" s="10"/>
      <c r="Z4954" s="10"/>
      <c r="AA4954" s="10"/>
      <c r="AB4954" s="11"/>
      <c r="AC4954" s="116">
        <v>6.9999999999999999E-4</v>
      </c>
      <c r="AD4954" s="11"/>
      <c r="AE4954" s="11"/>
      <c r="AF4954" s="10"/>
      <c r="AG4954" s="10"/>
      <c r="AH4954" s="345"/>
      <c r="AI4954" s="18">
        <v>1</v>
      </c>
      <c r="AJ4954" s="17"/>
      <c r="AK4954" s="17"/>
      <c r="AL4954" s="17"/>
      <c r="AM4954" s="17"/>
      <c r="AN4954" s="17"/>
      <c r="AO4954" s="17"/>
      <c r="AP4954" s="17"/>
      <c r="AQ4954" s="17"/>
      <c r="AR4954" s="17"/>
      <c r="AS4954" s="17"/>
      <c r="AT4954" s="17"/>
      <c r="AU4954" s="18">
        <v>5</v>
      </c>
      <c r="AV4954" s="145"/>
      <c r="AW4954" s="145"/>
      <c r="AX4954" s="145"/>
      <c r="AY4954" s="145"/>
      <c r="AZ4954" s="17"/>
      <c r="BA4954" s="17"/>
      <c r="BB4954" s="17"/>
      <c r="BC4954" s="17"/>
      <c r="BD4954" s="17"/>
      <c r="BE4954" s="17"/>
      <c r="BF4954" s="17"/>
      <c r="BG4954" s="17"/>
      <c r="BH4954" s="17"/>
      <c r="BI4954" s="4">
        <f>AU4954/AI4954</f>
        <v>5</v>
      </c>
      <c r="BJ4954" s="2"/>
      <c r="BK4954" s="2"/>
      <c r="BL4954" s="12"/>
      <c r="BM4954" s="12">
        <v>20</v>
      </c>
      <c r="BN4954" s="12">
        <v>14.6</v>
      </c>
      <c r="BO4954" s="4">
        <v>1.17</v>
      </c>
      <c r="BP4954" s="4">
        <f>BO4954*BN4954</f>
        <v>17.081999999999997</v>
      </c>
      <c r="BQ4954" s="12">
        <f>BN4954/BO4954</f>
        <v>12.478632478632479</v>
      </c>
      <c r="BR4954" s="12"/>
      <c r="BS4954" s="12"/>
      <c r="BT4954" s="12"/>
      <c r="BU4954" s="2"/>
      <c r="BV4954" s="2"/>
      <c r="BW4954" s="2"/>
      <c r="BX4954" s="2"/>
      <c r="BY4954" s="2" t="s">
        <v>83</v>
      </c>
      <c r="BZ4954" s="2" t="s">
        <v>234</v>
      </c>
      <c r="CA4954" s="9"/>
      <c r="CB4954" s="9" t="s">
        <v>227</v>
      </c>
    </row>
    <row r="4955" spans="1:80" s="87" customFormat="1" ht="15" x14ac:dyDescent="0.2">
      <c r="A4955" s="152"/>
      <c r="B4955" s="683"/>
      <c r="C4955" s="683"/>
      <c r="D4955" s="698"/>
      <c r="E4955" s="215"/>
      <c r="F4955" s="215"/>
      <c r="G4955" s="153"/>
      <c r="H4955" s="256" t="s">
        <v>94</v>
      </c>
      <c r="I4955" s="257"/>
      <c r="J4955" s="257"/>
      <c r="K4955" s="257"/>
      <c r="L4955" s="667"/>
      <c r="M4955" s="668">
        <v>26810</v>
      </c>
      <c r="N4955" s="602">
        <v>16.100000000000001</v>
      </c>
      <c r="O4955" s="606">
        <v>0.17899999999999999</v>
      </c>
      <c r="P4955" s="258" t="s">
        <v>29</v>
      </c>
      <c r="Q4955" s="258" t="s">
        <v>29</v>
      </c>
      <c r="R4955" s="258">
        <f>1-0.999</f>
        <v>1.0000000000000009E-3</v>
      </c>
      <c r="S4955" s="258">
        <v>1.7000000000000001E-2</v>
      </c>
      <c r="T4955" s="258">
        <v>9.4E-2</v>
      </c>
      <c r="U4955" s="258">
        <v>0.21199999999999999</v>
      </c>
      <c r="V4955" s="258">
        <v>0.308</v>
      </c>
      <c r="W4955" s="258">
        <v>0.26899999999999996</v>
      </c>
      <c r="X4955" s="258">
        <v>8.5999999999999993E-2</v>
      </c>
      <c r="Y4955" s="258">
        <v>1.3000000000000001E-2</v>
      </c>
      <c r="Z4955" s="259">
        <v>16</v>
      </c>
      <c r="AA4955" s="150">
        <v>1.35</v>
      </c>
      <c r="AB4955" s="152"/>
      <c r="AC4955" s="230">
        <v>6.9999999999999999E-4</v>
      </c>
      <c r="AD4955" s="154">
        <v>14.6</v>
      </c>
      <c r="AE4955" s="260">
        <v>1.04</v>
      </c>
      <c r="AF4955" s="150">
        <v>15.2</v>
      </c>
      <c r="AG4955" s="150">
        <v>1.06</v>
      </c>
      <c r="AH4955" s="347"/>
      <c r="AI4955" s="218"/>
      <c r="AJ4955" s="218"/>
      <c r="AK4955" s="153"/>
      <c r="AL4955" s="152"/>
      <c r="AM4955" s="152"/>
      <c r="AN4955" s="152"/>
      <c r="AO4955" s="152"/>
      <c r="AP4955" s="152"/>
      <c r="AQ4955" s="152"/>
      <c r="AR4955" s="152"/>
      <c r="AS4955" s="152"/>
      <c r="AT4955" s="152"/>
      <c r="AU4955" s="153"/>
      <c r="AV4955" s="479"/>
      <c r="AW4955" s="479"/>
      <c r="AX4955" s="442"/>
      <c r="AY4955" s="153"/>
      <c r="AZ4955" s="152"/>
      <c r="BA4955" s="152"/>
      <c r="BB4955" s="152"/>
      <c r="BC4955" s="152"/>
      <c r="BD4955" s="152"/>
      <c r="BE4955" s="152"/>
      <c r="BF4955" s="152"/>
      <c r="BG4955" s="152"/>
      <c r="BH4955" s="152"/>
      <c r="BI4955" s="153"/>
      <c r="BJ4955" s="153"/>
      <c r="BK4955" s="153"/>
      <c r="BL4955" s="153"/>
      <c r="BM4955" s="153"/>
      <c r="BN4955" s="153"/>
      <c r="BO4955" s="153"/>
      <c r="BP4955" s="153"/>
      <c r="BQ4955" s="153"/>
      <c r="BR4955" s="153"/>
      <c r="BS4955" s="153"/>
      <c r="BT4955" s="153"/>
      <c r="BU4955" s="153"/>
      <c r="BV4955" s="153"/>
      <c r="BW4955" s="153"/>
      <c r="BX4955" s="153"/>
      <c r="BY4955" s="153"/>
      <c r="BZ4955" s="153"/>
      <c r="CA4955" s="152"/>
      <c r="CB4955" s="485" t="s">
        <v>638</v>
      </c>
    </row>
    <row r="4956" spans="1:80" s="87" customFormat="1" ht="15" x14ac:dyDescent="0.2">
      <c r="A4956" s="152"/>
      <c r="B4956" s="683"/>
      <c r="C4956" s="683"/>
      <c r="D4956" s="698"/>
      <c r="E4956" s="215"/>
      <c r="F4956" s="215"/>
      <c r="G4956" s="153"/>
      <c r="H4956" s="256" t="s">
        <v>94</v>
      </c>
      <c r="I4956" s="257"/>
      <c r="J4956" s="257"/>
      <c r="K4956" s="257"/>
      <c r="L4956" s="667"/>
      <c r="M4956" s="668">
        <v>26812</v>
      </c>
      <c r="N4956" s="607">
        <v>6.5</v>
      </c>
      <c r="O4956" s="608">
        <v>8.0000000000000002E-3</v>
      </c>
      <c r="P4956" s="258" t="s">
        <v>29</v>
      </c>
      <c r="Q4956" s="258" t="s">
        <v>29</v>
      </c>
      <c r="R4956" s="258" t="s">
        <v>29</v>
      </c>
      <c r="S4956" s="258" t="s">
        <v>29</v>
      </c>
      <c r="T4956" s="258" t="s">
        <v>29</v>
      </c>
      <c r="U4956" s="258" t="s">
        <v>29</v>
      </c>
      <c r="V4956" s="258" t="s">
        <v>29</v>
      </c>
      <c r="W4956" s="258" t="s">
        <v>29</v>
      </c>
      <c r="X4956" s="258" t="s">
        <v>29</v>
      </c>
      <c r="Y4956" s="258" t="s">
        <v>29</v>
      </c>
      <c r="Z4956" s="150">
        <v>0</v>
      </c>
      <c r="AA4956" s="150" t="s">
        <v>29</v>
      </c>
      <c r="AB4956" s="152"/>
      <c r="AC4956" s="230">
        <v>6.9999999999999999E-4</v>
      </c>
      <c r="AD4956" s="154">
        <v>14.6</v>
      </c>
      <c r="AE4956" s="260">
        <v>0.55000000000000004</v>
      </c>
      <c r="AF4956" s="150">
        <v>8.02</v>
      </c>
      <c r="AG4956" s="229">
        <v>0.81</v>
      </c>
      <c r="AH4956" s="348"/>
      <c r="AI4956" s="218"/>
      <c r="AJ4956" s="218"/>
      <c r="AK4956" s="153"/>
      <c r="AL4956" s="152"/>
      <c r="AM4956" s="152"/>
      <c r="AN4956" s="152"/>
      <c r="AO4956" s="152"/>
      <c r="AP4956" s="152"/>
      <c r="AQ4956" s="152"/>
      <c r="AR4956" s="152"/>
      <c r="AS4956" s="152"/>
      <c r="AT4956" s="152"/>
      <c r="AU4956" s="153"/>
      <c r="AV4956" s="479"/>
      <c r="AW4956" s="479"/>
      <c r="AX4956" s="442"/>
      <c r="AY4956" s="153"/>
      <c r="AZ4956" s="152"/>
      <c r="BA4956" s="152"/>
      <c r="BB4956" s="152"/>
      <c r="BC4956" s="152"/>
      <c r="BD4956" s="152"/>
      <c r="BE4956" s="152"/>
      <c r="BF4956" s="152"/>
      <c r="BG4956" s="152"/>
      <c r="BH4956" s="152"/>
      <c r="BI4956" s="153"/>
      <c r="BJ4956" s="153"/>
      <c r="BK4956" s="153"/>
      <c r="BL4956" s="153"/>
      <c r="BM4956" s="153"/>
      <c r="BN4956" s="153"/>
      <c r="BO4956" s="153"/>
      <c r="BP4956" s="153"/>
      <c r="BQ4956" s="153"/>
      <c r="BR4956" s="153"/>
      <c r="BS4956" s="153"/>
      <c r="BT4956" s="153"/>
      <c r="BU4956" s="153"/>
      <c r="BV4956" s="153"/>
      <c r="BW4956" s="153"/>
      <c r="BX4956" s="153"/>
      <c r="BY4956" s="153"/>
      <c r="BZ4956" s="153"/>
      <c r="CA4956" s="152"/>
      <c r="CB4956" s="485" t="s">
        <v>648</v>
      </c>
    </row>
    <row r="4957" spans="1:80" s="87" customFormat="1" x14ac:dyDescent="0.2">
      <c r="A4957" s="152"/>
      <c r="B4957" s="683"/>
      <c r="C4957" s="683"/>
      <c r="D4957" s="698"/>
      <c r="E4957" s="215"/>
      <c r="F4957" s="215"/>
      <c r="G4957" s="153"/>
      <c r="H4957" s="256" t="s">
        <v>94</v>
      </c>
      <c r="I4957" s="257"/>
      <c r="J4957" s="257"/>
      <c r="K4957" s="257"/>
      <c r="L4957" s="667"/>
      <c r="M4957" s="668">
        <v>26813</v>
      </c>
      <c r="N4957" s="602">
        <v>7.3</v>
      </c>
      <c r="O4957" s="608">
        <v>0.01</v>
      </c>
      <c r="P4957" s="258" t="s">
        <v>29</v>
      </c>
      <c r="Q4957" s="258" t="s">
        <v>29</v>
      </c>
      <c r="R4957" s="258" t="s">
        <v>29</v>
      </c>
      <c r="S4957" s="258" t="s">
        <v>29</v>
      </c>
      <c r="T4957" s="258" t="s">
        <v>29</v>
      </c>
      <c r="U4957" s="258" t="s">
        <v>29</v>
      </c>
      <c r="V4957" s="258" t="s">
        <v>29</v>
      </c>
      <c r="W4957" s="258" t="s">
        <v>29</v>
      </c>
      <c r="X4957" s="258" t="s">
        <v>29</v>
      </c>
      <c r="Y4957" s="258" t="s">
        <v>29</v>
      </c>
      <c r="Z4957" s="259">
        <v>0</v>
      </c>
      <c r="AA4957" s="150" t="s">
        <v>29</v>
      </c>
      <c r="AB4957" s="152"/>
      <c r="AC4957" s="230">
        <v>6.9999999999999999E-4</v>
      </c>
      <c r="AD4957" s="154">
        <v>14.6</v>
      </c>
      <c r="AE4957" s="260">
        <v>0.59</v>
      </c>
      <c r="AF4957" s="150">
        <v>8.6999999999999993</v>
      </c>
      <c r="AG4957" s="229">
        <v>0.84</v>
      </c>
      <c r="AH4957" s="348"/>
      <c r="AI4957" s="218"/>
      <c r="AJ4957" s="218"/>
      <c r="AK4957" s="153"/>
      <c r="AL4957" s="152"/>
      <c r="AM4957" s="152"/>
      <c r="AN4957" s="152"/>
      <c r="AO4957" s="152"/>
      <c r="AP4957" s="152"/>
      <c r="AQ4957" s="152"/>
      <c r="AR4957" s="152"/>
      <c r="AS4957" s="152"/>
      <c r="AT4957" s="152"/>
      <c r="AU4957" s="153"/>
      <c r="AV4957" s="479"/>
      <c r="AW4957" s="479"/>
      <c r="AX4957" s="442"/>
      <c r="AY4957" s="153"/>
      <c r="AZ4957" s="152"/>
      <c r="BA4957" s="152"/>
      <c r="BB4957" s="152"/>
      <c r="BC4957" s="152"/>
      <c r="BD4957" s="152"/>
      <c r="BE4957" s="152"/>
      <c r="BF4957" s="152"/>
      <c r="BG4957" s="152"/>
      <c r="BH4957" s="152"/>
      <c r="BI4957" s="153"/>
      <c r="BJ4957" s="153"/>
      <c r="BK4957" s="153"/>
      <c r="BL4957" s="153"/>
      <c r="BM4957" s="153"/>
      <c r="BN4957" s="153"/>
      <c r="BO4957" s="153"/>
      <c r="BP4957" s="153"/>
      <c r="BQ4957" s="153"/>
      <c r="BR4957" s="153"/>
      <c r="BS4957" s="153"/>
      <c r="BT4957" s="153"/>
      <c r="BU4957" s="153"/>
      <c r="BV4957" s="153"/>
      <c r="BW4957" s="153"/>
      <c r="BX4957" s="153"/>
      <c r="BY4957" s="153"/>
      <c r="BZ4957" s="153"/>
      <c r="CA4957" s="152"/>
      <c r="CB4957" s="152"/>
    </row>
    <row r="4958" spans="1:80" s="87" customFormat="1" x14ac:dyDescent="0.2">
      <c r="A4958" s="152"/>
      <c r="B4958" s="683"/>
      <c r="C4958" s="683"/>
      <c r="D4958" s="698"/>
      <c r="E4958" s="215"/>
      <c r="F4958" s="215"/>
      <c r="G4958" s="153"/>
      <c r="H4958" s="256" t="s">
        <v>95</v>
      </c>
      <c r="I4958" s="257"/>
      <c r="J4958" s="257"/>
      <c r="K4958" s="257"/>
      <c r="L4958" s="667"/>
      <c r="M4958" s="668">
        <v>26816</v>
      </c>
      <c r="N4958" s="602">
        <v>16.100000000000001</v>
      </c>
      <c r="O4958" s="608">
        <v>0.17299999999999999</v>
      </c>
      <c r="P4958" s="258" t="s">
        <v>29</v>
      </c>
      <c r="Q4958" s="258" t="s">
        <v>29</v>
      </c>
      <c r="R4958" s="258">
        <v>0</v>
      </c>
      <c r="S4958" s="242">
        <v>6.0000000000000001E-3</v>
      </c>
      <c r="T4958" s="242">
        <v>3.5000000000000003E-2</v>
      </c>
      <c r="U4958" s="242">
        <v>0.08</v>
      </c>
      <c r="V4958" s="242">
        <v>0.1</v>
      </c>
      <c r="W4958" s="242">
        <v>0.20200000000000004</v>
      </c>
      <c r="X4958" s="242">
        <v>0.48100000000000004</v>
      </c>
      <c r="Y4958" s="242">
        <v>9.6000000000000002E-2</v>
      </c>
      <c r="Z4958" s="150">
        <v>16</v>
      </c>
      <c r="AA4958" s="150">
        <v>0.45</v>
      </c>
      <c r="AB4958" s="152"/>
      <c r="AC4958" s="230">
        <v>6.9999999999999999E-4</v>
      </c>
      <c r="AD4958" s="154">
        <v>14.6</v>
      </c>
      <c r="AE4958" s="260">
        <v>1.04</v>
      </c>
      <c r="AF4958" s="150">
        <v>15.2</v>
      </c>
      <c r="AG4958" s="150">
        <v>1.06</v>
      </c>
      <c r="AH4958" s="347"/>
      <c r="AI4958" s="218"/>
      <c r="AJ4958" s="218"/>
      <c r="AK4958" s="153"/>
      <c r="AL4958" s="152"/>
      <c r="AM4958" s="152"/>
      <c r="AN4958" s="152"/>
      <c r="AO4958" s="152"/>
      <c r="AP4958" s="152"/>
      <c r="AQ4958" s="152"/>
      <c r="AR4958" s="152"/>
      <c r="AS4958" s="152"/>
      <c r="AT4958" s="152"/>
      <c r="AU4958" s="153"/>
      <c r="AV4958" s="479"/>
      <c r="AW4958" s="479"/>
      <c r="AX4958" s="442"/>
      <c r="AY4958" s="153"/>
      <c r="AZ4958" s="152"/>
      <c r="BA4958" s="152"/>
      <c r="BB4958" s="152"/>
      <c r="BC4958" s="152"/>
      <c r="BD4958" s="152"/>
      <c r="BE4958" s="152"/>
      <c r="BF4958" s="152"/>
      <c r="BG4958" s="152"/>
      <c r="BH4958" s="152"/>
      <c r="BI4958" s="153"/>
      <c r="BJ4958" s="153"/>
      <c r="BK4958" s="153"/>
      <c r="BL4958" s="153"/>
      <c r="BM4958" s="153"/>
      <c r="BN4958" s="153"/>
      <c r="BO4958" s="153"/>
      <c r="BP4958" s="153"/>
      <c r="BQ4958" s="153"/>
      <c r="BR4958" s="153"/>
      <c r="BS4958" s="153"/>
      <c r="BT4958" s="153"/>
      <c r="BU4958" s="153"/>
      <c r="BV4958" s="153"/>
      <c r="BW4958" s="153"/>
      <c r="BX4958" s="153"/>
      <c r="BY4958" s="153"/>
      <c r="BZ4958" s="153"/>
      <c r="CA4958" s="152"/>
      <c r="CB4958" s="152"/>
    </row>
    <row r="4959" spans="1:80" s="87" customFormat="1" x14ac:dyDescent="0.2">
      <c r="A4959" s="152"/>
      <c r="B4959" s="683"/>
      <c r="C4959" s="683"/>
      <c r="D4959" s="698"/>
      <c r="E4959" s="215"/>
      <c r="F4959" s="215"/>
      <c r="G4959" s="153"/>
      <c r="H4959" s="256" t="s">
        <v>94</v>
      </c>
      <c r="I4959" s="257"/>
      <c r="J4959" s="257"/>
      <c r="K4959" s="257"/>
      <c r="L4959" s="667"/>
      <c r="M4959" s="668">
        <v>26817</v>
      </c>
      <c r="N4959" s="602">
        <v>17.8</v>
      </c>
      <c r="O4959" s="608">
        <v>0.214</v>
      </c>
      <c r="P4959" s="258" t="s">
        <v>29</v>
      </c>
      <c r="Q4959" s="258" t="s">
        <v>29</v>
      </c>
      <c r="R4959" s="258">
        <v>0</v>
      </c>
      <c r="S4959" s="242">
        <v>3.0000000000000001E-3</v>
      </c>
      <c r="T4959" s="242">
        <v>3.5000000000000003E-2</v>
      </c>
      <c r="U4959" s="242">
        <v>0.129</v>
      </c>
      <c r="V4959" s="242">
        <v>0.20699999999999996</v>
      </c>
      <c r="W4959" s="242">
        <v>0.40500000000000003</v>
      </c>
      <c r="X4959" s="242">
        <v>0.19500000000000001</v>
      </c>
      <c r="Y4959" s="242">
        <v>2.6000000000000002E-2</v>
      </c>
      <c r="Z4959" s="150">
        <v>11.3</v>
      </c>
      <c r="AA4959" s="150">
        <v>0.74</v>
      </c>
      <c r="AB4959" s="152"/>
      <c r="AC4959" s="230">
        <v>6.9999999999999999E-4</v>
      </c>
      <c r="AD4959" s="154">
        <v>14.6</v>
      </c>
      <c r="AE4959" s="260">
        <v>1.1100000000000001</v>
      </c>
      <c r="AF4959" s="150">
        <v>16.3</v>
      </c>
      <c r="AG4959" s="229">
        <v>1.0900000000000001</v>
      </c>
      <c r="AH4959" s="348"/>
      <c r="AI4959" s="218"/>
      <c r="AJ4959" s="218"/>
      <c r="AK4959" s="153"/>
      <c r="AL4959" s="152"/>
      <c r="AM4959" s="152"/>
      <c r="AN4959" s="152"/>
      <c r="AO4959" s="152"/>
      <c r="AP4959" s="152"/>
      <c r="AQ4959" s="152"/>
      <c r="AR4959" s="152"/>
      <c r="AS4959" s="152"/>
      <c r="AT4959" s="152"/>
      <c r="AU4959" s="153"/>
      <c r="AV4959" s="479"/>
      <c r="AW4959" s="479"/>
      <c r="AX4959" s="442"/>
      <c r="AY4959" s="153"/>
      <c r="AZ4959" s="152"/>
      <c r="BA4959" s="152"/>
      <c r="BB4959" s="152"/>
      <c r="BC4959" s="152"/>
      <c r="BD4959" s="152"/>
      <c r="BE4959" s="152"/>
      <c r="BF4959" s="152"/>
      <c r="BG4959" s="152"/>
      <c r="BH4959" s="152"/>
      <c r="BI4959" s="153"/>
      <c r="BJ4959" s="153"/>
      <c r="BK4959" s="153"/>
      <c r="BL4959" s="153"/>
      <c r="BM4959" s="153"/>
      <c r="BN4959" s="153"/>
      <c r="BO4959" s="153"/>
      <c r="BP4959" s="153"/>
      <c r="BQ4959" s="153"/>
      <c r="BR4959" s="153"/>
      <c r="BS4959" s="153"/>
      <c r="BT4959" s="153"/>
      <c r="BU4959" s="153"/>
      <c r="BV4959" s="153"/>
      <c r="BW4959" s="153"/>
      <c r="BX4959" s="153"/>
      <c r="BY4959" s="153"/>
      <c r="BZ4959" s="153"/>
      <c r="CA4959" s="152"/>
      <c r="CB4959" s="152"/>
    </row>
    <row r="4960" spans="1:80" s="87" customFormat="1" x14ac:dyDescent="0.2">
      <c r="A4960" s="152"/>
      <c r="B4960" s="683"/>
      <c r="C4960" s="683"/>
      <c r="D4960" s="698"/>
      <c r="E4960" s="215"/>
      <c r="F4960" s="215"/>
      <c r="G4960" s="153"/>
      <c r="H4960" s="256" t="s">
        <v>95</v>
      </c>
      <c r="I4960" s="257"/>
      <c r="J4960" s="257"/>
      <c r="K4960" s="257"/>
      <c r="L4960" s="667"/>
      <c r="M4960" s="668">
        <v>26818</v>
      </c>
      <c r="N4960" s="602">
        <v>16.600000000000001</v>
      </c>
      <c r="O4960" s="608">
        <v>0.219</v>
      </c>
      <c r="P4960" s="258" t="s">
        <v>29</v>
      </c>
      <c r="Q4960" s="258" t="s">
        <v>29</v>
      </c>
      <c r="R4960" s="258">
        <v>0</v>
      </c>
      <c r="S4960" s="242">
        <v>2E-3</v>
      </c>
      <c r="T4960" s="242">
        <v>2.4E-2</v>
      </c>
      <c r="U4960" s="242">
        <v>0.105</v>
      </c>
      <c r="V4960" s="242">
        <v>0.215</v>
      </c>
      <c r="W4960" s="242">
        <v>0.38700000000000001</v>
      </c>
      <c r="X4960" s="242">
        <v>0.23499999999999999</v>
      </c>
      <c r="Y4960" s="242">
        <v>3.2000000000000001E-2</v>
      </c>
      <c r="Z4960" s="150">
        <v>16</v>
      </c>
      <c r="AA4960" s="150">
        <v>0.71</v>
      </c>
      <c r="AB4960" s="152"/>
      <c r="AC4960" s="230">
        <v>6.9999999999999999E-4</v>
      </c>
      <c r="AD4960" s="154">
        <v>14.6</v>
      </c>
      <c r="AE4960" s="260">
        <v>1.06</v>
      </c>
      <c r="AF4960" s="150">
        <v>15.5</v>
      </c>
      <c r="AG4960" s="150">
        <v>1.07</v>
      </c>
      <c r="AH4960" s="347"/>
      <c r="AI4960" s="218"/>
      <c r="AJ4960" s="218"/>
      <c r="AK4960" s="153"/>
      <c r="AL4960" s="152"/>
      <c r="AM4960" s="152"/>
      <c r="AN4960" s="152"/>
      <c r="AO4960" s="152"/>
      <c r="AP4960" s="152"/>
      <c r="AQ4960" s="152"/>
      <c r="AR4960" s="152"/>
      <c r="AS4960" s="152"/>
      <c r="AT4960" s="152"/>
      <c r="AU4960" s="153"/>
      <c r="AV4960" s="479"/>
      <c r="AW4960" s="479"/>
      <c r="AX4960" s="442"/>
      <c r="AY4960" s="153"/>
      <c r="AZ4960" s="152"/>
      <c r="BA4960" s="152"/>
      <c r="BB4960" s="152"/>
      <c r="BC4960" s="152"/>
      <c r="BD4960" s="152"/>
      <c r="BE4960" s="152"/>
      <c r="BF4960" s="152"/>
      <c r="BG4960" s="152"/>
      <c r="BH4960" s="152"/>
      <c r="BI4960" s="153"/>
      <c r="BJ4960" s="153"/>
      <c r="BK4960" s="153"/>
      <c r="BL4960" s="153"/>
      <c r="BM4960" s="153"/>
      <c r="BN4960" s="153"/>
      <c r="BO4960" s="153"/>
      <c r="BP4960" s="153"/>
      <c r="BQ4960" s="153"/>
      <c r="BR4960" s="153"/>
      <c r="BS4960" s="153"/>
      <c r="BT4960" s="153"/>
      <c r="BU4960" s="153"/>
      <c r="BV4960" s="153"/>
      <c r="BW4960" s="153"/>
      <c r="BX4960" s="153"/>
      <c r="BY4960" s="153"/>
      <c r="BZ4960" s="153"/>
      <c r="CA4960" s="152"/>
      <c r="CB4960" s="152"/>
    </row>
    <row r="4961" spans="1:80" s="87" customFormat="1" x14ac:dyDescent="0.2">
      <c r="A4961" s="152"/>
      <c r="B4961" s="683"/>
      <c r="C4961" s="683"/>
      <c r="D4961" s="698"/>
      <c r="E4961" s="215"/>
      <c r="F4961" s="215"/>
      <c r="G4961" s="153"/>
      <c r="H4961" s="256" t="s">
        <v>95</v>
      </c>
      <c r="I4961" s="257"/>
      <c r="J4961" s="257"/>
      <c r="K4961" s="257"/>
      <c r="L4961" s="667"/>
      <c r="M4961" s="668">
        <v>26821</v>
      </c>
      <c r="N4961" s="602">
        <v>11.3</v>
      </c>
      <c r="O4961" s="608">
        <v>0.121</v>
      </c>
      <c r="P4961" s="258" t="s">
        <v>29</v>
      </c>
      <c r="Q4961" s="258" t="s">
        <v>29</v>
      </c>
      <c r="R4961" s="258">
        <v>0</v>
      </c>
      <c r="S4961" s="242">
        <v>2.4E-2</v>
      </c>
      <c r="T4961" s="242">
        <v>4.9000000000000002E-2</v>
      </c>
      <c r="U4961" s="242">
        <v>8.5999999999999993E-2</v>
      </c>
      <c r="V4961" s="242">
        <v>0.13500000000000001</v>
      </c>
      <c r="W4961" s="242">
        <v>0.26199999999999996</v>
      </c>
      <c r="X4961" s="242">
        <v>0.36899999999999999</v>
      </c>
      <c r="Y4961" s="242">
        <v>7.4999999999999997E-2</v>
      </c>
      <c r="Z4961" s="150">
        <v>16</v>
      </c>
      <c r="AA4961" s="150">
        <v>0.56000000000000005</v>
      </c>
      <c r="AB4961" s="152"/>
      <c r="AC4961" s="230">
        <v>6.9999999999999999E-4</v>
      </c>
      <c r="AD4961" s="154">
        <v>14.6</v>
      </c>
      <c r="AE4961" s="260">
        <v>0.81</v>
      </c>
      <c r="AF4961" s="150">
        <v>11.8</v>
      </c>
      <c r="AG4961" s="150">
        <v>0.96</v>
      </c>
      <c r="AH4961" s="347"/>
      <c r="AI4961" s="218"/>
      <c r="AJ4961" s="218"/>
      <c r="AK4961" s="153"/>
      <c r="AL4961" s="152"/>
      <c r="AM4961" s="152"/>
      <c r="AN4961" s="152"/>
      <c r="AO4961" s="152"/>
      <c r="AP4961" s="152"/>
      <c r="AQ4961" s="152"/>
      <c r="AR4961" s="152"/>
      <c r="AS4961" s="152"/>
      <c r="AT4961" s="152"/>
      <c r="AU4961" s="153"/>
      <c r="AV4961" s="479"/>
      <c r="AW4961" s="479"/>
      <c r="AX4961" s="442"/>
      <c r="AY4961" s="153"/>
      <c r="AZ4961" s="152"/>
      <c r="BA4961" s="152"/>
      <c r="BB4961" s="152"/>
      <c r="BC4961" s="152"/>
      <c r="BD4961" s="152"/>
      <c r="BE4961" s="152"/>
      <c r="BF4961" s="152"/>
      <c r="BG4961" s="152"/>
      <c r="BH4961" s="152"/>
      <c r="BI4961" s="153"/>
      <c r="BJ4961" s="153"/>
      <c r="BK4961" s="153"/>
      <c r="BL4961" s="153"/>
      <c r="BM4961" s="153"/>
      <c r="BN4961" s="153"/>
      <c r="BO4961" s="153"/>
      <c r="BP4961" s="153"/>
      <c r="BQ4961" s="153"/>
      <c r="BR4961" s="153"/>
      <c r="BS4961" s="153"/>
      <c r="BT4961" s="153"/>
      <c r="BU4961" s="153"/>
      <c r="BV4961" s="153"/>
      <c r="BW4961" s="153"/>
      <c r="BX4961" s="153"/>
      <c r="BY4961" s="153"/>
      <c r="BZ4961" s="153"/>
      <c r="CA4961" s="152"/>
      <c r="CB4961" s="152"/>
    </row>
    <row r="4962" spans="1:80" s="87" customFormat="1" x14ac:dyDescent="0.2">
      <c r="A4962" s="152"/>
      <c r="B4962" s="683"/>
      <c r="C4962" s="683"/>
      <c r="D4962" s="698"/>
      <c r="E4962" s="215"/>
      <c r="F4962" s="215"/>
      <c r="G4962" s="153"/>
      <c r="H4962" s="256" t="s">
        <v>95</v>
      </c>
      <c r="I4962" s="257"/>
      <c r="J4962" s="257"/>
      <c r="K4962" s="257"/>
      <c r="L4962" s="667"/>
      <c r="M4962" s="668">
        <v>26822</v>
      </c>
      <c r="N4962" s="602">
        <v>15.9</v>
      </c>
      <c r="O4962" s="608">
        <v>0.23699999999999999</v>
      </c>
      <c r="P4962" s="258" t="s">
        <v>29</v>
      </c>
      <c r="Q4962" s="258" t="s">
        <v>29</v>
      </c>
      <c r="R4962" s="258">
        <v>0</v>
      </c>
      <c r="S4962" s="263">
        <v>2E-3</v>
      </c>
      <c r="T4962" s="242">
        <v>1.9E-2</v>
      </c>
      <c r="U4962" s="242">
        <v>0.114</v>
      </c>
      <c r="V4962" s="242">
        <v>0.19099999999999995</v>
      </c>
      <c r="W4962" s="242">
        <v>0.27300000000000002</v>
      </c>
      <c r="X4962" s="242">
        <v>0.35399999999999998</v>
      </c>
      <c r="Y4962" s="242">
        <v>4.7E-2</v>
      </c>
      <c r="Z4962" s="150">
        <v>11.3</v>
      </c>
      <c r="AA4962" s="150">
        <v>0.6</v>
      </c>
      <c r="AB4962" s="152"/>
      <c r="AC4962" s="230">
        <v>6.9999999999999999E-4</v>
      </c>
      <c r="AD4962" s="154">
        <v>14.6</v>
      </c>
      <c r="AE4962" s="260">
        <v>1.03</v>
      </c>
      <c r="AF4962" s="150">
        <v>15</v>
      </c>
      <c r="AG4962" s="150">
        <v>1.06</v>
      </c>
      <c r="AH4962" s="347"/>
      <c r="AI4962" s="218"/>
      <c r="AJ4962" s="218"/>
      <c r="AK4962" s="153"/>
      <c r="AL4962" s="152"/>
      <c r="AM4962" s="152"/>
      <c r="AN4962" s="152"/>
      <c r="AO4962" s="152"/>
      <c r="AP4962" s="152"/>
      <c r="AQ4962" s="152"/>
      <c r="AR4962" s="152"/>
      <c r="AS4962" s="152"/>
      <c r="AT4962" s="152"/>
      <c r="AU4962" s="153"/>
      <c r="AV4962" s="479"/>
      <c r="AW4962" s="479"/>
      <c r="AX4962" s="442"/>
      <c r="AY4962" s="153"/>
      <c r="AZ4962" s="152"/>
      <c r="BA4962" s="152"/>
      <c r="BB4962" s="152"/>
      <c r="BC4962" s="152"/>
      <c r="BD4962" s="152"/>
      <c r="BE4962" s="152"/>
      <c r="BF4962" s="152"/>
      <c r="BG4962" s="152"/>
      <c r="BH4962" s="152"/>
      <c r="BI4962" s="153"/>
      <c r="BJ4962" s="153"/>
      <c r="BK4962" s="153"/>
      <c r="BL4962" s="153"/>
      <c r="BM4962" s="153"/>
      <c r="BN4962" s="153"/>
      <c r="BO4962" s="153"/>
      <c r="BP4962" s="153"/>
      <c r="BQ4962" s="153"/>
      <c r="BR4962" s="153"/>
      <c r="BS4962" s="153"/>
      <c r="BT4962" s="153"/>
      <c r="BU4962" s="153"/>
      <c r="BV4962" s="153"/>
      <c r="BW4962" s="153"/>
      <c r="BX4962" s="153"/>
      <c r="BY4962" s="153"/>
      <c r="BZ4962" s="153"/>
      <c r="CA4962" s="152"/>
      <c r="CB4962" s="152"/>
    </row>
    <row r="4963" spans="1:80" s="87" customFormat="1" x14ac:dyDescent="0.2">
      <c r="A4963" s="152"/>
      <c r="B4963" s="683"/>
      <c r="C4963" s="683"/>
      <c r="D4963" s="698"/>
      <c r="E4963" s="215"/>
      <c r="F4963" s="215"/>
      <c r="G4963" s="153"/>
      <c r="H4963" s="256" t="s">
        <v>94</v>
      </c>
      <c r="I4963" s="257"/>
      <c r="J4963" s="257"/>
      <c r="K4963" s="257"/>
      <c r="L4963" s="667"/>
      <c r="M4963" s="668">
        <v>26823</v>
      </c>
      <c r="N4963" s="602">
        <v>19.2</v>
      </c>
      <c r="O4963" s="609">
        <v>0.19900000000000001</v>
      </c>
      <c r="P4963" s="258" t="s">
        <v>29</v>
      </c>
      <c r="Q4963" s="258" t="s">
        <v>29</v>
      </c>
      <c r="R4963" s="258">
        <v>0</v>
      </c>
      <c r="S4963" s="242">
        <v>5.0000000000000001E-3</v>
      </c>
      <c r="T4963" s="242">
        <v>4.5999999999999999E-2</v>
      </c>
      <c r="U4963" s="242">
        <v>0.17</v>
      </c>
      <c r="V4963" s="242">
        <v>0.26700000000000002</v>
      </c>
      <c r="W4963" s="242">
        <v>0.37400000000000005</v>
      </c>
      <c r="X4963" s="242">
        <v>0.11900000000000001</v>
      </c>
      <c r="Y4963" s="242">
        <v>1.9E-2</v>
      </c>
      <c r="Z4963" s="150">
        <v>16</v>
      </c>
      <c r="AA4963" s="150">
        <v>0.98</v>
      </c>
      <c r="AB4963" s="152"/>
      <c r="AC4963" s="230">
        <v>6.9999999999999999E-4</v>
      </c>
      <c r="AD4963" s="154">
        <v>14.6</v>
      </c>
      <c r="AE4963" s="260">
        <v>1.17</v>
      </c>
      <c r="AF4963" s="150">
        <v>17.100000000000001</v>
      </c>
      <c r="AG4963" s="150">
        <v>1.19</v>
      </c>
      <c r="AH4963" s="347"/>
      <c r="AI4963" s="218"/>
      <c r="AJ4963" s="218"/>
      <c r="AK4963" s="153"/>
      <c r="AL4963" s="152"/>
      <c r="AM4963" s="152"/>
      <c r="AN4963" s="152"/>
      <c r="AO4963" s="152"/>
      <c r="AP4963" s="152"/>
      <c r="AQ4963" s="152"/>
      <c r="AR4963" s="152"/>
      <c r="AS4963" s="152"/>
      <c r="AT4963" s="152"/>
      <c r="AU4963" s="153"/>
      <c r="AV4963" s="479"/>
      <c r="AW4963" s="479"/>
      <c r="AX4963" s="442"/>
      <c r="AY4963" s="153"/>
      <c r="AZ4963" s="152"/>
      <c r="BA4963" s="152"/>
      <c r="BB4963" s="152"/>
      <c r="BC4963" s="152"/>
      <c r="BD4963" s="152"/>
      <c r="BE4963" s="152"/>
      <c r="BF4963" s="152"/>
      <c r="BG4963" s="152"/>
      <c r="BH4963" s="152"/>
      <c r="BI4963" s="153"/>
      <c r="BJ4963" s="153"/>
      <c r="BK4963" s="153"/>
      <c r="BL4963" s="153"/>
      <c r="BM4963" s="153"/>
      <c r="BN4963" s="153"/>
      <c r="BO4963" s="153"/>
      <c r="BP4963" s="153"/>
      <c r="BQ4963" s="153"/>
      <c r="BR4963" s="153"/>
      <c r="BS4963" s="153"/>
      <c r="BT4963" s="153"/>
      <c r="BU4963" s="153"/>
      <c r="BV4963" s="153"/>
      <c r="BW4963" s="153"/>
      <c r="BX4963" s="153"/>
      <c r="BY4963" s="153"/>
      <c r="BZ4963" s="153"/>
      <c r="CA4963" s="152"/>
      <c r="CB4963" s="152"/>
    </row>
    <row r="4964" spans="1:80" s="87" customFormat="1" x14ac:dyDescent="0.2">
      <c r="A4964" s="152"/>
      <c r="B4964" s="683"/>
      <c r="C4964" s="683"/>
      <c r="D4964" s="698"/>
      <c r="E4964" s="215"/>
      <c r="F4964" s="215"/>
      <c r="G4964" s="153"/>
      <c r="H4964" s="256" t="s">
        <v>94</v>
      </c>
      <c r="I4964" s="257"/>
      <c r="J4964" s="257"/>
      <c r="K4964" s="257"/>
      <c r="L4964" s="667"/>
      <c r="M4964" s="668">
        <v>27174</v>
      </c>
      <c r="N4964" s="602">
        <v>5.34</v>
      </c>
      <c r="O4964" s="608">
        <v>5.0999999999999997E-2</v>
      </c>
      <c r="P4964" s="258" t="s">
        <v>29</v>
      </c>
      <c r="Q4964" s="258" t="s">
        <v>29</v>
      </c>
      <c r="R4964" s="258">
        <v>0</v>
      </c>
      <c r="S4964" s="242">
        <v>3.0000000000000001E-3</v>
      </c>
      <c r="T4964" s="242">
        <v>1.4999999999999999E-2</v>
      </c>
      <c r="U4964" s="242">
        <v>5.8999999999999997E-2</v>
      </c>
      <c r="V4964" s="242">
        <v>0.16399999999999992</v>
      </c>
      <c r="W4964" s="242">
        <v>0.29700000000000004</v>
      </c>
      <c r="X4964" s="242">
        <v>0.37300000000000005</v>
      </c>
      <c r="Y4964" s="242">
        <v>8.900000000000001E-2</v>
      </c>
      <c r="Z4964" s="150">
        <v>16</v>
      </c>
      <c r="AA4964" s="150">
        <v>0.54</v>
      </c>
      <c r="AB4964" s="152"/>
      <c r="AC4964" s="230">
        <v>6.9999999999999999E-4</v>
      </c>
      <c r="AD4964" s="154">
        <v>14.6</v>
      </c>
      <c r="AE4964" s="260">
        <v>0.48</v>
      </c>
      <c r="AF4964" s="150">
        <v>6.99</v>
      </c>
      <c r="AG4964" s="150">
        <v>0.76</v>
      </c>
      <c r="AH4964" s="347"/>
      <c r="AI4964" s="218"/>
      <c r="AJ4964" s="218"/>
      <c r="AK4964" s="153"/>
      <c r="AL4964" s="152"/>
      <c r="AM4964" s="152"/>
      <c r="AN4964" s="152"/>
      <c r="AO4964" s="152"/>
      <c r="AP4964" s="152"/>
      <c r="AQ4964" s="152"/>
      <c r="AR4964" s="152"/>
      <c r="AS4964" s="152"/>
      <c r="AT4964" s="152"/>
      <c r="AU4964" s="153"/>
      <c r="AV4964" s="479"/>
      <c r="AW4964" s="479"/>
      <c r="AX4964" s="442"/>
      <c r="AY4964" s="153"/>
      <c r="AZ4964" s="152"/>
      <c r="BA4964" s="152"/>
      <c r="BB4964" s="152"/>
      <c r="BC4964" s="152"/>
      <c r="BD4964" s="152"/>
      <c r="BE4964" s="152"/>
      <c r="BF4964" s="152"/>
      <c r="BG4964" s="152"/>
      <c r="BH4964" s="152"/>
      <c r="BI4964" s="153"/>
      <c r="BJ4964" s="153"/>
      <c r="BK4964" s="153"/>
      <c r="BL4964" s="153"/>
      <c r="BM4964" s="153"/>
      <c r="BN4964" s="153"/>
      <c r="BO4964" s="153"/>
      <c r="BP4964" s="153"/>
      <c r="BQ4964" s="153"/>
      <c r="BR4964" s="153"/>
      <c r="BS4964" s="153"/>
      <c r="BT4964" s="153"/>
      <c r="BU4964" s="153"/>
      <c r="BV4964" s="153"/>
      <c r="BW4964" s="153"/>
      <c r="BX4964" s="153"/>
      <c r="BY4964" s="153"/>
      <c r="BZ4964" s="153"/>
      <c r="CA4964" s="152"/>
      <c r="CB4964" s="152"/>
    </row>
    <row r="4965" spans="1:80" s="87" customFormat="1" x14ac:dyDescent="0.2">
      <c r="A4965" s="152"/>
      <c r="B4965" s="683"/>
      <c r="C4965" s="683"/>
      <c r="D4965" s="698"/>
      <c r="E4965" s="215"/>
      <c r="F4965" s="215"/>
      <c r="G4965" s="153"/>
      <c r="H4965" s="256" t="s">
        <v>94</v>
      </c>
      <c r="I4965" s="257"/>
      <c r="J4965" s="257"/>
      <c r="K4965" s="257"/>
      <c r="L4965" s="667"/>
      <c r="M4965" s="668">
        <v>27175</v>
      </c>
      <c r="N4965" s="602">
        <v>9.92</v>
      </c>
      <c r="O4965" s="595">
        <v>0.749</v>
      </c>
      <c r="P4965" s="258" t="s">
        <v>29</v>
      </c>
      <c r="Q4965" s="258" t="s">
        <v>29</v>
      </c>
      <c r="R4965" s="258">
        <v>0</v>
      </c>
      <c r="S4965" s="263">
        <v>2E-3</v>
      </c>
      <c r="T4965" s="242">
        <v>1.0999999999999999E-2</v>
      </c>
      <c r="U4965" s="242">
        <v>7.9000000000000001E-2</v>
      </c>
      <c r="V4965" s="242">
        <v>0.155</v>
      </c>
      <c r="W4965" s="242">
        <v>0.37</v>
      </c>
      <c r="X4965" s="242">
        <v>0.34</v>
      </c>
      <c r="Y4965" s="242">
        <v>4.2999999999999997E-2</v>
      </c>
      <c r="Z4965" s="150">
        <v>11.3</v>
      </c>
      <c r="AA4965" s="150">
        <v>0.59</v>
      </c>
      <c r="AB4965" s="152"/>
      <c r="AC4965" s="230">
        <v>6.9999999999999999E-4</v>
      </c>
      <c r="AD4965" s="154">
        <v>14.6</v>
      </c>
      <c r="AE4965" s="260">
        <v>0.74</v>
      </c>
      <c r="AF4965" s="150">
        <v>10.8</v>
      </c>
      <c r="AG4965" s="150">
        <v>0.92</v>
      </c>
      <c r="AH4965" s="347"/>
      <c r="AI4965" s="218"/>
      <c r="AJ4965" s="218"/>
      <c r="AK4965" s="153"/>
      <c r="AL4965" s="152"/>
      <c r="AM4965" s="152"/>
      <c r="AN4965" s="152"/>
      <c r="AO4965" s="152"/>
      <c r="AP4965" s="152"/>
      <c r="AQ4965" s="152"/>
      <c r="AR4965" s="152"/>
      <c r="AS4965" s="152"/>
      <c r="AT4965" s="152"/>
      <c r="AU4965" s="153"/>
      <c r="AV4965" s="479"/>
      <c r="AW4965" s="479"/>
      <c r="AX4965" s="442"/>
      <c r="AY4965" s="153"/>
      <c r="AZ4965" s="152"/>
      <c r="BA4965" s="152"/>
      <c r="BB4965" s="152"/>
      <c r="BC4965" s="152"/>
      <c r="BD4965" s="152"/>
      <c r="BE4965" s="152"/>
      <c r="BF4965" s="152"/>
      <c r="BG4965" s="152"/>
      <c r="BH4965" s="152"/>
      <c r="BI4965" s="153"/>
      <c r="BJ4965" s="153"/>
      <c r="BK4965" s="153"/>
      <c r="BL4965" s="153"/>
      <c r="BM4965" s="153"/>
      <c r="BN4965" s="153"/>
      <c r="BO4965" s="153"/>
      <c r="BP4965" s="153"/>
      <c r="BQ4965" s="153"/>
      <c r="BR4965" s="153"/>
      <c r="BS4965" s="153"/>
      <c r="BT4965" s="153"/>
      <c r="BU4965" s="153"/>
      <c r="BV4965" s="153"/>
      <c r="BW4965" s="153"/>
      <c r="BX4965" s="153"/>
      <c r="BY4965" s="153"/>
      <c r="BZ4965" s="153"/>
      <c r="CA4965" s="152"/>
      <c r="CB4965" s="152"/>
    </row>
    <row r="4966" spans="1:80" s="87" customFormat="1" x14ac:dyDescent="0.2">
      <c r="A4966" s="152"/>
      <c r="B4966" s="683"/>
      <c r="C4966" s="683"/>
      <c r="D4966" s="698"/>
      <c r="E4966" s="215"/>
      <c r="F4966" s="215"/>
      <c r="G4966" s="153"/>
      <c r="H4966" s="256" t="s">
        <v>94</v>
      </c>
      <c r="I4966" s="257"/>
      <c r="J4966" s="257"/>
      <c r="K4966" s="257"/>
      <c r="L4966" s="667"/>
      <c r="M4966" s="668">
        <v>27176</v>
      </c>
      <c r="N4966" s="602">
        <v>21.5</v>
      </c>
      <c r="O4966" s="595">
        <v>1.6</v>
      </c>
      <c r="P4966" s="258" t="s">
        <v>29</v>
      </c>
      <c r="Q4966" s="258" t="s">
        <v>29</v>
      </c>
      <c r="R4966" s="258">
        <f>1-0.977</f>
        <v>2.300000000000002E-2</v>
      </c>
      <c r="S4966" s="242">
        <v>1.2E-2</v>
      </c>
      <c r="T4966" s="242">
        <v>4.2999999999999997E-2</v>
      </c>
      <c r="U4966" s="242">
        <v>0.16500000000000001</v>
      </c>
      <c r="V4966" s="242">
        <v>0.26900000000000007</v>
      </c>
      <c r="W4966" s="242">
        <v>0.33199999999999996</v>
      </c>
      <c r="X4966" s="242">
        <v>0.14199999999999999</v>
      </c>
      <c r="Y4966" s="242">
        <v>1.3999999999999999E-2</v>
      </c>
      <c r="Z4966" s="150">
        <v>16</v>
      </c>
      <c r="AA4966" s="150">
        <v>1.03</v>
      </c>
      <c r="AB4966" s="152"/>
      <c r="AC4966" s="230">
        <v>6.9999999999999999E-4</v>
      </c>
      <c r="AD4966" s="154">
        <v>14.6</v>
      </c>
      <c r="AE4966" s="260">
        <v>1.27</v>
      </c>
      <c r="AF4966" s="150">
        <v>18.600000000000001</v>
      </c>
      <c r="AG4966" s="229">
        <v>1.1499999999999999</v>
      </c>
      <c r="AH4966" s="348"/>
      <c r="AI4966" s="218"/>
      <c r="AJ4966" s="218"/>
      <c r="AK4966" s="153"/>
      <c r="AL4966" s="152"/>
      <c r="AM4966" s="152"/>
      <c r="AN4966" s="152"/>
      <c r="AO4966" s="152"/>
      <c r="AP4966" s="152"/>
      <c r="AQ4966" s="152"/>
      <c r="AR4966" s="152"/>
      <c r="AS4966" s="152"/>
      <c r="AT4966" s="152"/>
      <c r="AU4966" s="153"/>
      <c r="AV4966" s="479"/>
      <c r="AW4966" s="479"/>
      <c r="AX4966" s="442"/>
      <c r="AY4966" s="153"/>
      <c r="AZ4966" s="152"/>
      <c r="BA4966" s="152"/>
      <c r="BB4966" s="152"/>
      <c r="BC4966" s="152"/>
      <c r="BD4966" s="152"/>
      <c r="BE4966" s="152"/>
      <c r="BF4966" s="152"/>
      <c r="BG4966" s="152"/>
      <c r="BH4966" s="152"/>
      <c r="BI4966" s="153"/>
      <c r="BJ4966" s="153"/>
      <c r="BK4966" s="153"/>
      <c r="BL4966" s="153"/>
      <c r="BM4966" s="153"/>
      <c r="BN4966" s="153"/>
      <c r="BO4966" s="153"/>
      <c r="BP4966" s="153"/>
      <c r="BQ4966" s="153"/>
      <c r="BR4966" s="153"/>
      <c r="BS4966" s="153"/>
      <c r="BT4966" s="153"/>
      <c r="BU4966" s="153"/>
      <c r="BV4966" s="153"/>
      <c r="BW4966" s="153"/>
      <c r="BX4966" s="153"/>
      <c r="BY4966" s="153"/>
      <c r="BZ4966" s="153"/>
      <c r="CA4966" s="152"/>
      <c r="CB4966" s="152"/>
    </row>
    <row r="4967" spans="1:80" s="87" customFormat="1" x14ac:dyDescent="0.2">
      <c r="A4967" s="152"/>
      <c r="B4967" s="683"/>
      <c r="C4967" s="683"/>
      <c r="D4967" s="698"/>
      <c r="E4967" s="215"/>
      <c r="F4967" s="215"/>
      <c r="G4967" s="153"/>
      <c r="H4967" s="256" t="s">
        <v>94</v>
      </c>
      <c r="I4967" s="257"/>
      <c r="J4967" s="257"/>
      <c r="K4967" s="257"/>
      <c r="L4967" s="667"/>
      <c r="M4967" s="668">
        <v>27177</v>
      </c>
      <c r="N4967" s="602">
        <v>29.8</v>
      </c>
      <c r="O4967" s="595">
        <v>2.0499999999999998</v>
      </c>
      <c r="P4967" s="258" t="s">
        <v>29</v>
      </c>
      <c r="Q4967" s="258" t="s">
        <v>29</v>
      </c>
      <c r="R4967" s="258">
        <f>1-0.985</f>
        <v>1.5000000000000013E-2</v>
      </c>
      <c r="S4967" s="242">
        <v>2.4E-2</v>
      </c>
      <c r="T4967" s="242">
        <v>7.9000000000000001E-2</v>
      </c>
      <c r="U4967" s="242">
        <v>0.214</v>
      </c>
      <c r="V4967" s="242">
        <v>0.32699999999999996</v>
      </c>
      <c r="W4967" s="242">
        <v>0.27200000000000002</v>
      </c>
      <c r="X4967" s="242">
        <v>6.4000000000000001E-2</v>
      </c>
      <c r="Y4967" s="242">
        <v>5.0000000000000001E-3</v>
      </c>
      <c r="Z4967" s="150">
        <v>16</v>
      </c>
      <c r="AA4967" s="150">
        <v>1.4</v>
      </c>
      <c r="AB4967" s="152"/>
      <c r="AC4967" s="230">
        <v>6.9999999999999999E-4</v>
      </c>
      <c r="AD4967" s="154">
        <v>14.6</v>
      </c>
      <c r="AE4967" s="260">
        <v>1.6</v>
      </c>
      <c r="AF4967" s="150">
        <v>23.4</v>
      </c>
      <c r="AG4967" s="150">
        <v>1.28</v>
      </c>
      <c r="AH4967" s="347"/>
      <c r="AI4967" s="218"/>
      <c r="AJ4967" s="218"/>
      <c r="AK4967" s="153"/>
      <c r="AL4967" s="152"/>
      <c r="AM4967" s="152"/>
      <c r="AN4967" s="152"/>
      <c r="AO4967" s="152"/>
      <c r="AP4967" s="152"/>
      <c r="AQ4967" s="152"/>
      <c r="AR4967" s="152"/>
      <c r="AS4967" s="152"/>
      <c r="AT4967" s="152"/>
      <c r="AU4967" s="153"/>
      <c r="AV4967" s="479"/>
      <c r="AW4967" s="479"/>
      <c r="AX4967" s="442"/>
      <c r="AY4967" s="153"/>
      <c r="AZ4967" s="152"/>
      <c r="BA4967" s="152"/>
      <c r="BB4967" s="152"/>
      <c r="BC4967" s="152"/>
      <c r="BD4967" s="152"/>
      <c r="BE4967" s="152"/>
      <c r="BF4967" s="152"/>
      <c r="BG4967" s="152"/>
      <c r="BH4967" s="152"/>
      <c r="BI4967" s="153"/>
      <c r="BJ4967" s="153"/>
      <c r="BK4967" s="153"/>
      <c r="BL4967" s="153"/>
      <c r="BM4967" s="153"/>
      <c r="BN4967" s="153"/>
      <c r="BO4967" s="153"/>
      <c r="BP4967" s="153"/>
      <c r="BQ4967" s="153"/>
      <c r="BR4967" s="153"/>
      <c r="BS4967" s="153"/>
      <c r="BT4967" s="153"/>
      <c r="BU4967" s="153"/>
      <c r="BV4967" s="153"/>
      <c r="BW4967" s="153"/>
      <c r="BX4967" s="153"/>
      <c r="BY4967" s="153"/>
      <c r="BZ4967" s="153"/>
      <c r="CA4967" s="152"/>
      <c r="CB4967" s="152"/>
    </row>
    <row r="4968" spans="1:80" s="87" customFormat="1" x14ac:dyDescent="0.2">
      <c r="A4968" s="152"/>
      <c r="B4968" s="683"/>
      <c r="C4968" s="683"/>
      <c r="D4968" s="698"/>
      <c r="E4968" s="215"/>
      <c r="F4968" s="215"/>
      <c r="G4968" s="153"/>
      <c r="H4968" s="256" t="s">
        <v>94</v>
      </c>
      <c r="I4968" s="257"/>
      <c r="J4968" s="257"/>
      <c r="K4968" s="257"/>
      <c r="L4968" s="667"/>
      <c r="M4968" s="668">
        <v>27178</v>
      </c>
      <c r="N4968" s="602">
        <v>41.5</v>
      </c>
      <c r="O4968" s="595">
        <v>2.65</v>
      </c>
      <c r="P4968" s="258" t="s">
        <v>29</v>
      </c>
      <c r="Q4968" s="258" t="s">
        <v>29</v>
      </c>
      <c r="R4968" s="258">
        <f>1-0.865</f>
        <v>0.13500000000000001</v>
      </c>
      <c r="S4968" s="242">
        <v>0.03</v>
      </c>
      <c r="T4968" s="242">
        <v>7.0000000000000007E-2</v>
      </c>
      <c r="U4968" s="242">
        <v>0.17100000000000001</v>
      </c>
      <c r="V4968" s="242">
        <v>0.25900000000000001</v>
      </c>
      <c r="W4968" s="242">
        <v>0.27899999999999997</v>
      </c>
      <c r="X4968" s="242">
        <v>5.0999999999999997E-2</v>
      </c>
      <c r="Y4968" s="242">
        <v>5.0000000000000001E-3</v>
      </c>
      <c r="Z4968" s="150">
        <v>16</v>
      </c>
      <c r="AA4968" s="150">
        <v>1.52</v>
      </c>
      <c r="AB4968" s="152"/>
      <c r="AC4968" s="230">
        <v>6.9999999999999999E-4</v>
      </c>
      <c r="AD4968" s="154">
        <v>14.6</v>
      </c>
      <c r="AE4968" s="260">
        <v>2.0099999999999998</v>
      </c>
      <c r="AF4968" s="150">
        <v>29.5</v>
      </c>
      <c r="AG4968" s="150">
        <v>1.41</v>
      </c>
      <c r="AH4968" s="347"/>
      <c r="AI4968" s="218"/>
      <c r="AJ4968" s="218"/>
      <c r="AK4968" s="153"/>
      <c r="AL4968" s="152"/>
      <c r="AM4968" s="152"/>
      <c r="AN4968" s="152"/>
      <c r="AO4968" s="152"/>
      <c r="AP4968" s="152"/>
      <c r="AQ4968" s="152"/>
      <c r="AR4968" s="152"/>
      <c r="AS4968" s="152"/>
      <c r="AT4968" s="152"/>
      <c r="AU4968" s="153"/>
      <c r="AV4968" s="479"/>
      <c r="AW4968" s="479"/>
      <c r="AX4968" s="442"/>
      <c r="AY4968" s="153"/>
      <c r="AZ4968" s="152"/>
      <c r="BA4968" s="152"/>
      <c r="BB4968" s="152"/>
      <c r="BC4968" s="152"/>
      <c r="BD4968" s="152"/>
      <c r="BE4968" s="152"/>
      <c r="BF4968" s="152"/>
      <c r="BG4968" s="152"/>
      <c r="BH4968" s="152"/>
      <c r="BI4968" s="153"/>
      <c r="BJ4968" s="153"/>
      <c r="BK4968" s="153"/>
      <c r="BL4968" s="153"/>
      <c r="BM4968" s="153"/>
      <c r="BN4968" s="153"/>
      <c r="BO4968" s="153"/>
      <c r="BP4968" s="153"/>
      <c r="BQ4968" s="153"/>
      <c r="BR4968" s="153"/>
      <c r="BS4968" s="153"/>
      <c r="BT4968" s="153"/>
      <c r="BU4968" s="153"/>
      <c r="BV4968" s="153"/>
      <c r="BW4968" s="153"/>
      <c r="BX4968" s="153"/>
      <c r="BY4968" s="153"/>
      <c r="BZ4968" s="153"/>
      <c r="CA4968" s="152"/>
      <c r="CB4968" s="152"/>
    </row>
    <row r="4969" spans="1:80" s="87" customFormat="1" x14ac:dyDescent="0.2">
      <c r="A4969" s="152"/>
      <c r="B4969" s="683"/>
      <c r="C4969" s="683"/>
      <c r="D4969" s="698"/>
      <c r="E4969" s="215"/>
      <c r="F4969" s="215"/>
      <c r="G4969" s="153"/>
      <c r="H4969" s="256" t="s">
        <v>94</v>
      </c>
      <c r="I4969" s="257"/>
      <c r="J4969" s="257"/>
      <c r="K4969" s="257"/>
      <c r="L4969" s="667"/>
      <c r="M4969" s="668">
        <v>27179</v>
      </c>
      <c r="N4969" s="602">
        <v>32.200000000000003</v>
      </c>
      <c r="O4969" s="595">
        <v>0.71599999999999997</v>
      </c>
      <c r="P4969" s="258" t="s">
        <v>29</v>
      </c>
      <c r="Q4969" s="258" t="s">
        <v>29</v>
      </c>
      <c r="R4969" s="258">
        <f>1-0.997</f>
        <v>3.0000000000000027E-3</v>
      </c>
      <c r="S4969" s="242">
        <v>3.2000000000000001E-2</v>
      </c>
      <c r="T4969" s="242">
        <v>0.10100000000000001</v>
      </c>
      <c r="U4969" s="242">
        <v>0.23400000000000001</v>
      </c>
      <c r="V4969" s="242">
        <v>0.30700000000000005</v>
      </c>
      <c r="W4969" s="242">
        <v>0.24699999999999997</v>
      </c>
      <c r="X4969" s="242">
        <v>6.4000000000000001E-2</v>
      </c>
      <c r="Y4969" s="242">
        <v>1.2E-2</v>
      </c>
      <c r="Z4969" s="150">
        <v>16</v>
      </c>
      <c r="AA4969" s="150">
        <v>1.51</v>
      </c>
      <c r="AB4969" s="152"/>
      <c r="AC4969" s="230">
        <v>6.9999999999999999E-4</v>
      </c>
      <c r="AD4969" s="154">
        <v>14.6</v>
      </c>
      <c r="AE4969" s="260">
        <v>1.68</v>
      </c>
      <c r="AF4969" s="150">
        <v>24.6</v>
      </c>
      <c r="AG4969" s="150">
        <v>1.31</v>
      </c>
      <c r="AH4969" s="347"/>
      <c r="AI4969" s="218"/>
      <c r="AJ4969" s="218"/>
      <c r="AK4969" s="153"/>
      <c r="AL4969" s="152"/>
      <c r="AM4969" s="152"/>
      <c r="AN4969" s="152"/>
      <c r="AO4969" s="152"/>
      <c r="AP4969" s="152"/>
      <c r="AQ4969" s="152"/>
      <c r="AR4969" s="152"/>
      <c r="AS4969" s="152"/>
      <c r="AT4969" s="152"/>
      <c r="AU4969" s="153"/>
      <c r="AV4969" s="479"/>
      <c r="AW4969" s="479"/>
      <c r="AX4969" s="442"/>
      <c r="AY4969" s="153"/>
      <c r="AZ4969" s="152"/>
      <c r="BA4969" s="152"/>
      <c r="BB4969" s="152"/>
      <c r="BC4969" s="152"/>
      <c r="BD4969" s="152"/>
      <c r="BE4969" s="152"/>
      <c r="BF4969" s="152"/>
      <c r="BG4969" s="152"/>
      <c r="BH4969" s="152"/>
      <c r="BI4969" s="153"/>
      <c r="BJ4969" s="153"/>
      <c r="BK4969" s="153"/>
      <c r="BL4969" s="153"/>
      <c r="BM4969" s="153"/>
      <c r="BN4969" s="153"/>
      <c r="BO4969" s="153"/>
      <c r="BP4969" s="153"/>
      <c r="BQ4969" s="153"/>
      <c r="BR4969" s="153"/>
      <c r="BS4969" s="153"/>
      <c r="BT4969" s="153"/>
      <c r="BU4969" s="153"/>
      <c r="BV4969" s="153"/>
      <c r="BW4969" s="153"/>
      <c r="BX4969" s="153"/>
      <c r="BY4969" s="153"/>
      <c r="BZ4969" s="153"/>
      <c r="CA4969" s="152"/>
      <c r="CB4969" s="152"/>
    </row>
    <row r="4970" spans="1:80" s="87" customFormat="1" x14ac:dyDescent="0.2">
      <c r="A4970" s="152"/>
      <c r="B4970" s="683"/>
      <c r="C4970" s="683"/>
      <c r="D4970" s="698"/>
      <c r="E4970" s="215"/>
      <c r="F4970" s="215"/>
      <c r="G4970" s="153"/>
      <c r="H4970" s="256" t="s">
        <v>94</v>
      </c>
      <c r="I4970" s="257"/>
      <c r="J4970" s="257"/>
      <c r="K4970" s="257"/>
      <c r="L4970" s="667"/>
      <c r="M4970" s="668">
        <v>27180</v>
      </c>
      <c r="N4970" s="602">
        <v>22.9</v>
      </c>
      <c r="O4970" s="595">
        <v>0.58899999999999997</v>
      </c>
      <c r="P4970" s="258" t="s">
        <v>29</v>
      </c>
      <c r="Q4970" s="258" t="s">
        <v>29</v>
      </c>
      <c r="R4970" s="258">
        <f>1-0.994</f>
        <v>6.0000000000000053E-3</v>
      </c>
      <c r="S4970" s="242">
        <v>2.4E-2</v>
      </c>
      <c r="T4970" s="242">
        <v>0.09</v>
      </c>
      <c r="U4970" s="242">
        <v>0.23799999999999999</v>
      </c>
      <c r="V4970" s="242">
        <v>0.27800000000000002</v>
      </c>
      <c r="W4970" s="242">
        <v>0.26400000000000001</v>
      </c>
      <c r="X4970" s="242">
        <v>8.900000000000001E-2</v>
      </c>
      <c r="Y4970" s="242">
        <v>1.1000000000000001E-2</v>
      </c>
      <c r="Z4970" s="150">
        <v>16</v>
      </c>
      <c r="AA4970" s="150">
        <v>1.4</v>
      </c>
      <c r="AB4970" s="152"/>
      <c r="AC4970" s="230">
        <v>6.9999999999999999E-4</v>
      </c>
      <c r="AD4970" s="154">
        <v>14.6</v>
      </c>
      <c r="AE4970" s="260">
        <v>1.33</v>
      </c>
      <c r="AF4970" s="150">
        <v>19.399999999999999</v>
      </c>
      <c r="AG4970" s="150">
        <v>1.18</v>
      </c>
      <c r="AH4970" s="347"/>
      <c r="AI4970" s="218"/>
      <c r="AJ4970" s="218"/>
      <c r="AK4970" s="153"/>
      <c r="AL4970" s="152"/>
      <c r="AM4970" s="152"/>
      <c r="AN4970" s="152"/>
      <c r="AO4970" s="152"/>
      <c r="AP4970" s="152"/>
      <c r="AQ4970" s="152"/>
      <c r="AR4970" s="152"/>
      <c r="AS4970" s="152"/>
      <c r="AT4970" s="152"/>
      <c r="AU4970" s="153"/>
      <c r="AV4970" s="479"/>
      <c r="AW4970" s="479"/>
      <c r="AX4970" s="442"/>
      <c r="AY4970" s="153"/>
      <c r="AZ4970" s="152"/>
      <c r="BA4970" s="152"/>
      <c r="BB4970" s="152"/>
      <c r="BC4970" s="152"/>
      <c r="BD4970" s="152"/>
      <c r="BE4970" s="152"/>
      <c r="BF4970" s="152"/>
      <c r="BG4970" s="152"/>
      <c r="BH4970" s="152"/>
      <c r="BI4970" s="153"/>
      <c r="BJ4970" s="153"/>
      <c r="BK4970" s="153"/>
      <c r="BL4970" s="153"/>
      <c r="BM4970" s="153"/>
      <c r="BN4970" s="153"/>
      <c r="BO4970" s="153"/>
      <c r="BP4970" s="153"/>
      <c r="BQ4970" s="153"/>
      <c r="BR4970" s="153"/>
      <c r="BS4970" s="153"/>
      <c r="BT4970" s="153"/>
      <c r="BU4970" s="153"/>
      <c r="BV4970" s="153"/>
      <c r="BW4970" s="153"/>
      <c r="BX4970" s="153"/>
      <c r="BY4970" s="153"/>
      <c r="BZ4970" s="153"/>
      <c r="CA4970" s="152"/>
      <c r="CB4970" s="152"/>
    </row>
    <row r="4971" spans="1:80" s="87" customFormat="1" x14ac:dyDescent="0.2">
      <c r="A4971" s="152"/>
      <c r="B4971" s="683"/>
      <c r="C4971" s="683"/>
      <c r="D4971" s="698"/>
      <c r="E4971" s="215"/>
      <c r="F4971" s="215"/>
      <c r="G4971" s="153"/>
      <c r="H4971" s="256" t="s">
        <v>94</v>
      </c>
      <c r="I4971" s="257"/>
      <c r="J4971" s="257"/>
      <c r="K4971" s="257"/>
      <c r="L4971" s="667"/>
      <c r="M4971" s="668">
        <v>27181</v>
      </c>
      <c r="N4971" s="602">
        <v>24.3</v>
      </c>
      <c r="O4971" s="595">
        <v>0.188</v>
      </c>
      <c r="P4971" s="258" t="s">
        <v>29</v>
      </c>
      <c r="Q4971" s="258" t="s">
        <v>29</v>
      </c>
      <c r="R4971" s="258">
        <v>0</v>
      </c>
      <c r="S4971" s="242">
        <v>1.7000000000000001E-2</v>
      </c>
      <c r="T4971" s="242">
        <v>5.8000000000000003E-2</v>
      </c>
      <c r="U4971" s="242">
        <v>0.152</v>
      </c>
      <c r="V4971" s="242">
        <v>0.24699999999999997</v>
      </c>
      <c r="W4971" s="242">
        <v>0.29299999999999998</v>
      </c>
      <c r="X4971" s="242">
        <v>0.20800000000000002</v>
      </c>
      <c r="Y4971" s="242">
        <v>2.5000000000000001E-2</v>
      </c>
      <c r="Z4971" s="150">
        <v>16</v>
      </c>
      <c r="AA4971" s="150">
        <v>0.94</v>
      </c>
      <c r="AB4971" s="152"/>
      <c r="AC4971" s="230">
        <v>6.9999999999999999E-4</v>
      </c>
      <c r="AD4971" s="154">
        <v>14.6</v>
      </c>
      <c r="AE4971" s="260">
        <v>1.38</v>
      </c>
      <c r="AF4971" s="150">
        <v>20.2</v>
      </c>
      <c r="AG4971" s="150">
        <v>1.2</v>
      </c>
      <c r="AH4971" s="347"/>
      <c r="AI4971" s="218"/>
      <c r="AJ4971" s="218"/>
      <c r="AK4971" s="153"/>
      <c r="AL4971" s="152"/>
      <c r="AM4971" s="152"/>
      <c r="AN4971" s="152"/>
      <c r="AO4971" s="152"/>
      <c r="AP4971" s="152"/>
      <c r="AQ4971" s="152"/>
      <c r="AR4971" s="152"/>
      <c r="AS4971" s="152"/>
      <c r="AT4971" s="152"/>
      <c r="AU4971" s="153"/>
      <c r="AV4971" s="479"/>
      <c r="AW4971" s="479"/>
      <c r="AX4971" s="442"/>
      <c r="AY4971" s="153"/>
      <c r="AZ4971" s="152"/>
      <c r="BA4971" s="152"/>
      <c r="BB4971" s="152"/>
      <c r="BC4971" s="152"/>
      <c r="BD4971" s="152"/>
      <c r="BE4971" s="152"/>
      <c r="BF4971" s="152"/>
      <c r="BG4971" s="152"/>
      <c r="BH4971" s="152"/>
      <c r="BI4971" s="153"/>
      <c r="BJ4971" s="153"/>
      <c r="BK4971" s="153"/>
      <c r="BL4971" s="153"/>
      <c r="BM4971" s="153"/>
      <c r="BN4971" s="153"/>
      <c r="BO4971" s="153"/>
      <c r="BP4971" s="153"/>
      <c r="BQ4971" s="153"/>
      <c r="BR4971" s="153"/>
      <c r="BS4971" s="153"/>
      <c r="BT4971" s="153"/>
      <c r="BU4971" s="153"/>
      <c r="BV4971" s="153"/>
      <c r="BW4971" s="153"/>
      <c r="BX4971" s="153"/>
      <c r="BY4971" s="153"/>
      <c r="BZ4971" s="153"/>
      <c r="CA4971" s="152"/>
      <c r="CB4971" s="152"/>
    </row>
    <row r="4972" spans="1:80" s="87" customFormat="1" x14ac:dyDescent="0.2">
      <c r="A4972" s="152"/>
      <c r="B4972" s="683"/>
      <c r="C4972" s="683"/>
      <c r="D4972" s="698"/>
      <c r="E4972" s="215"/>
      <c r="F4972" s="215"/>
      <c r="G4972" s="153"/>
      <c r="H4972" s="256" t="s">
        <v>94</v>
      </c>
      <c r="I4972" s="257"/>
      <c r="J4972" s="257"/>
      <c r="K4972" s="257"/>
      <c r="L4972" s="667"/>
      <c r="M4972" s="668">
        <v>27182</v>
      </c>
      <c r="N4972" s="602">
        <v>25.5</v>
      </c>
      <c r="O4972" s="595">
        <v>0.11799999999999999</v>
      </c>
      <c r="P4972" s="258" t="s">
        <v>29</v>
      </c>
      <c r="Q4972" s="258" t="s">
        <v>29</v>
      </c>
      <c r="R4972" s="258">
        <f>1-0.985</f>
        <v>1.5000000000000013E-2</v>
      </c>
      <c r="S4972" s="242">
        <v>3.1E-2</v>
      </c>
      <c r="T4972" s="242">
        <v>7.3999999999999996E-2</v>
      </c>
      <c r="U4972" s="242">
        <v>0.16900000000000001</v>
      </c>
      <c r="V4972" s="242">
        <v>0.20699999999999996</v>
      </c>
      <c r="W4972" s="242">
        <v>0.24299999999999997</v>
      </c>
      <c r="X4972" s="242">
        <v>0.22600000000000001</v>
      </c>
      <c r="Y4972" s="242">
        <v>3.5000000000000003E-2</v>
      </c>
      <c r="Z4972" s="150">
        <v>16</v>
      </c>
      <c r="AA4972" s="150">
        <v>0.99</v>
      </c>
      <c r="AB4972" s="152"/>
      <c r="AC4972" s="230">
        <v>6.9999999999999999E-4</v>
      </c>
      <c r="AD4972" s="154">
        <v>14.6</v>
      </c>
      <c r="AE4972" s="260">
        <v>1.43</v>
      </c>
      <c r="AF4972" s="150">
        <v>20.9</v>
      </c>
      <c r="AG4972" s="150">
        <v>1.22</v>
      </c>
      <c r="AH4972" s="347"/>
      <c r="AI4972" s="218"/>
      <c r="AJ4972" s="218"/>
      <c r="AK4972" s="153"/>
      <c r="AL4972" s="152"/>
      <c r="AM4972" s="152"/>
      <c r="AN4972" s="152"/>
      <c r="AO4972" s="152"/>
      <c r="AP4972" s="152"/>
      <c r="AQ4972" s="152"/>
      <c r="AR4972" s="152"/>
      <c r="AS4972" s="152"/>
      <c r="AT4972" s="152"/>
      <c r="AU4972" s="153"/>
      <c r="AV4972" s="479"/>
      <c r="AW4972" s="479"/>
      <c r="AX4972" s="442"/>
      <c r="AY4972" s="153"/>
      <c r="AZ4972" s="152"/>
      <c r="BA4972" s="152"/>
      <c r="BB4972" s="152"/>
      <c r="BC4972" s="152"/>
      <c r="BD4972" s="152"/>
      <c r="BE4972" s="152"/>
      <c r="BF4972" s="152"/>
      <c r="BG4972" s="152"/>
      <c r="BH4972" s="152"/>
      <c r="BI4972" s="153"/>
      <c r="BJ4972" s="153"/>
      <c r="BK4972" s="153"/>
      <c r="BL4972" s="153"/>
      <c r="BM4972" s="153"/>
      <c r="BN4972" s="153"/>
      <c r="BO4972" s="153"/>
      <c r="BP4972" s="153"/>
      <c r="BQ4972" s="153"/>
      <c r="BR4972" s="153"/>
      <c r="BS4972" s="153"/>
      <c r="BT4972" s="153"/>
      <c r="BU4972" s="153"/>
      <c r="BV4972" s="153"/>
      <c r="BW4972" s="153"/>
      <c r="BX4972" s="153"/>
      <c r="BY4972" s="153"/>
      <c r="BZ4972" s="153"/>
      <c r="CA4972" s="152"/>
      <c r="CB4972" s="152"/>
    </row>
    <row r="4973" spans="1:80" s="87" customFormat="1" x14ac:dyDescent="0.2">
      <c r="A4973" s="152"/>
      <c r="B4973" s="683"/>
      <c r="C4973" s="683"/>
      <c r="D4973" s="698"/>
      <c r="E4973" s="215"/>
      <c r="F4973" s="215"/>
      <c r="G4973" s="153"/>
      <c r="H4973" s="256" t="s">
        <v>94</v>
      </c>
      <c r="I4973" s="257"/>
      <c r="J4973" s="257"/>
      <c r="K4973" s="257"/>
      <c r="L4973" s="667"/>
      <c r="M4973" s="668">
        <v>27183</v>
      </c>
      <c r="N4973" s="602">
        <v>29.7</v>
      </c>
      <c r="O4973" s="595">
        <v>0.157</v>
      </c>
      <c r="P4973" s="258" t="s">
        <v>29</v>
      </c>
      <c r="Q4973" s="258" t="s">
        <v>29</v>
      </c>
      <c r="R4973" s="258">
        <v>0</v>
      </c>
      <c r="S4973" s="263">
        <v>1.4999999999999999E-2</v>
      </c>
      <c r="T4973" s="242">
        <v>8.4000000000000005E-2</v>
      </c>
      <c r="U4973" s="242">
        <v>0.16800000000000001</v>
      </c>
      <c r="V4973" s="242">
        <v>0.19099999999999995</v>
      </c>
      <c r="W4973" s="242">
        <v>0.23200000000000004</v>
      </c>
      <c r="X4973" s="242">
        <v>0.27800000000000002</v>
      </c>
      <c r="Y4973" s="242">
        <v>3.2000000000000001E-2</v>
      </c>
      <c r="Z4973" s="150">
        <v>11.3</v>
      </c>
      <c r="AA4973" s="150">
        <v>0.88</v>
      </c>
      <c r="AB4973" s="152"/>
      <c r="AC4973" s="230">
        <v>6.9999999999999999E-4</v>
      </c>
      <c r="AD4973" s="154">
        <v>14.6</v>
      </c>
      <c r="AE4973" s="260">
        <v>1.59</v>
      </c>
      <c r="AF4973" s="150">
        <v>23.3</v>
      </c>
      <c r="AG4973" s="150">
        <v>1.27</v>
      </c>
      <c r="AH4973" s="347"/>
      <c r="AI4973" s="218"/>
      <c r="AJ4973" s="218"/>
      <c r="AK4973" s="153"/>
      <c r="AL4973" s="152"/>
      <c r="AM4973" s="152"/>
      <c r="AN4973" s="152"/>
      <c r="AO4973" s="152"/>
      <c r="AP4973" s="152"/>
      <c r="AQ4973" s="152"/>
      <c r="AR4973" s="152"/>
      <c r="AS4973" s="152"/>
      <c r="AT4973" s="152"/>
      <c r="AU4973" s="153"/>
      <c r="AV4973" s="479"/>
      <c r="AW4973" s="479"/>
      <c r="AX4973" s="442"/>
      <c r="AY4973" s="153"/>
      <c r="AZ4973" s="152"/>
      <c r="BA4973" s="152"/>
      <c r="BB4973" s="152"/>
      <c r="BC4973" s="152"/>
      <c r="BD4973" s="152"/>
      <c r="BE4973" s="152"/>
      <c r="BF4973" s="152"/>
      <c r="BG4973" s="152"/>
      <c r="BH4973" s="152"/>
      <c r="BI4973" s="153"/>
      <c r="BJ4973" s="153"/>
      <c r="BK4973" s="153"/>
      <c r="BL4973" s="153"/>
      <c r="BM4973" s="153"/>
      <c r="BN4973" s="153"/>
      <c r="BO4973" s="153"/>
      <c r="BP4973" s="153"/>
      <c r="BQ4973" s="153"/>
      <c r="BR4973" s="153"/>
      <c r="BS4973" s="153"/>
      <c r="BT4973" s="153"/>
      <c r="BU4973" s="153"/>
      <c r="BV4973" s="153"/>
      <c r="BW4973" s="153"/>
      <c r="BX4973" s="153"/>
      <c r="BY4973" s="153"/>
      <c r="BZ4973" s="153"/>
      <c r="CA4973" s="152"/>
      <c r="CB4973" s="152"/>
    </row>
    <row r="4974" spans="1:80" s="87" customFormat="1" x14ac:dyDescent="0.2">
      <c r="A4974" s="152"/>
      <c r="B4974" s="683"/>
      <c r="C4974" s="683"/>
      <c r="D4974" s="698"/>
      <c r="E4974" s="215"/>
      <c r="F4974" s="215"/>
      <c r="G4974" s="153"/>
      <c r="H4974" s="256" t="s">
        <v>94</v>
      </c>
      <c r="I4974" s="257"/>
      <c r="J4974" s="257"/>
      <c r="K4974" s="257"/>
      <c r="L4974" s="667"/>
      <c r="M4974" s="668">
        <v>27184</v>
      </c>
      <c r="N4974" s="602">
        <v>27.9</v>
      </c>
      <c r="O4974" s="595">
        <v>0.26100000000000001</v>
      </c>
      <c r="P4974" s="258" t="s">
        <v>29</v>
      </c>
      <c r="Q4974" s="258" t="s">
        <v>29</v>
      </c>
      <c r="R4974" s="258">
        <v>0</v>
      </c>
      <c r="S4974" s="242">
        <v>2.1000000000000001E-2</v>
      </c>
      <c r="T4974" s="242">
        <v>0.06</v>
      </c>
      <c r="U4974" s="242">
        <v>0.14499999999999999</v>
      </c>
      <c r="V4974" s="242">
        <v>0.24000000000000007</v>
      </c>
      <c r="W4974" s="242">
        <v>0.30099999999999999</v>
      </c>
      <c r="X4974" s="242">
        <v>0.21400000000000002</v>
      </c>
      <c r="Y4974" s="242">
        <v>1.9E-2</v>
      </c>
      <c r="Z4974" s="150">
        <v>16</v>
      </c>
      <c r="AA4974" s="150">
        <v>0.92</v>
      </c>
      <c r="AB4974" s="152"/>
      <c r="AC4974" s="230">
        <v>6.9999999999999999E-4</v>
      </c>
      <c r="AD4974" s="154">
        <v>14.6</v>
      </c>
      <c r="AE4974" s="260">
        <v>1.52</v>
      </c>
      <c r="AF4974" s="150">
        <v>22.3</v>
      </c>
      <c r="AG4974" s="150">
        <v>1.25</v>
      </c>
      <c r="AH4974" s="347"/>
      <c r="AI4974" s="218"/>
      <c r="AJ4974" s="218"/>
      <c r="AK4974" s="153"/>
      <c r="AL4974" s="152"/>
      <c r="AM4974" s="152"/>
      <c r="AN4974" s="152"/>
      <c r="AO4974" s="152"/>
      <c r="AP4974" s="152"/>
      <c r="AQ4974" s="152"/>
      <c r="AR4974" s="152"/>
      <c r="AS4974" s="152"/>
      <c r="AT4974" s="152"/>
      <c r="AU4974" s="153"/>
      <c r="AV4974" s="479"/>
      <c r="AW4974" s="479"/>
      <c r="AX4974" s="442"/>
      <c r="AY4974" s="153"/>
      <c r="AZ4974" s="152"/>
      <c r="BA4974" s="152"/>
      <c r="BB4974" s="152"/>
      <c r="BC4974" s="152"/>
      <c r="BD4974" s="152"/>
      <c r="BE4974" s="152"/>
      <c r="BF4974" s="152"/>
      <c r="BG4974" s="152"/>
      <c r="BH4974" s="152"/>
      <c r="BI4974" s="153"/>
      <c r="BJ4974" s="153"/>
      <c r="BK4974" s="153"/>
      <c r="BL4974" s="153"/>
      <c r="BM4974" s="153"/>
      <c r="BN4974" s="153"/>
      <c r="BO4974" s="153"/>
      <c r="BP4974" s="153"/>
      <c r="BQ4974" s="153"/>
      <c r="BR4974" s="153"/>
      <c r="BS4974" s="153"/>
      <c r="BT4974" s="153"/>
      <c r="BU4974" s="153"/>
      <c r="BV4974" s="153"/>
      <c r="BW4974" s="153"/>
      <c r="BX4974" s="153"/>
      <c r="BY4974" s="153"/>
      <c r="BZ4974" s="153"/>
      <c r="CA4974" s="152"/>
      <c r="CB4974" s="152"/>
    </row>
    <row r="4975" spans="1:80" s="87" customFormat="1" x14ac:dyDescent="0.2">
      <c r="A4975" s="152"/>
      <c r="B4975" s="683"/>
      <c r="C4975" s="683"/>
      <c r="D4975" s="698"/>
      <c r="E4975" s="215"/>
      <c r="F4975" s="215"/>
      <c r="G4975" s="153"/>
      <c r="H4975" s="256" t="s">
        <v>94</v>
      </c>
      <c r="I4975" s="257"/>
      <c r="J4975" s="257"/>
      <c r="K4975" s="257"/>
      <c r="L4975" s="667"/>
      <c r="M4975" s="668">
        <v>27185</v>
      </c>
      <c r="N4975" s="602">
        <v>26.5</v>
      </c>
      <c r="O4975" s="595">
        <v>0.27800000000000002</v>
      </c>
      <c r="P4975" s="258" t="s">
        <v>29</v>
      </c>
      <c r="Q4975" s="258" t="s">
        <v>29</v>
      </c>
      <c r="R4975" s="258">
        <v>0</v>
      </c>
      <c r="S4975" s="242">
        <v>0.01</v>
      </c>
      <c r="T4975" s="242">
        <v>5.2999999999999999E-2</v>
      </c>
      <c r="U4975" s="242">
        <v>0.13700000000000001</v>
      </c>
      <c r="V4975" s="242">
        <v>0.21700000000000003</v>
      </c>
      <c r="W4975" s="242">
        <v>0.28199999999999997</v>
      </c>
      <c r="X4975" s="242">
        <v>0.27900000000000003</v>
      </c>
      <c r="Y4975" s="242">
        <v>2.2000000000000002E-2</v>
      </c>
      <c r="Z4975" s="150">
        <v>11.3</v>
      </c>
      <c r="AA4975" s="150">
        <v>0.81</v>
      </c>
      <c r="AB4975" s="152"/>
      <c r="AC4975" s="230">
        <v>6.9999999999999999E-4</v>
      </c>
      <c r="AD4975" s="154">
        <v>14.6</v>
      </c>
      <c r="AE4975" s="260">
        <v>1.47</v>
      </c>
      <c r="AF4975" s="150">
        <v>21.5</v>
      </c>
      <c r="AG4975" s="150">
        <v>1.23</v>
      </c>
      <c r="AH4975" s="347"/>
      <c r="AI4975" s="218"/>
      <c r="AJ4975" s="218"/>
      <c r="AK4975" s="153"/>
      <c r="AL4975" s="152"/>
      <c r="AM4975" s="152"/>
      <c r="AN4975" s="152"/>
      <c r="AO4975" s="152"/>
      <c r="AP4975" s="152"/>
      <c r="AQ4975" s="152"/>
      <c r="AR4975" s="152"/>
      <c r="AS4975" s="152"/>
      <c r="AT4975" s="152"/>
      <c r="AU4975" s="153"/>
      <c r="AV4975" s="479"/>
      <c r="AW4975" s="479"/>
      <c r="AX4975" s="442"/>
      <c r="AY4975" s="153"/>
      <c r="AZ4975" s="152"/>
      <c r="BA4975" s="152"/>
      <c r="BB4975" s="152"/>
      <c r="BC4975" s="152"/>
      <c r="BD4975" s="152"/>
      <c r="BE4975" s="152"/>
      <c r="BF4975" s="152"/>
      <c r="BG4975" s="152"/>
      <c r="BH4975" s="152"/>
      <c r="BI4975" s="153"/>
      <c r="BJ4975" s="153"/>
      <c r="BK4975" s="153"/>
      <c r="BL4975" s="153"/>
      <c r="BM4975" s="153"/>
      <c r="BN4975" s="153"/>
      <c r="BO4975" s="153"/>
      <c r="BP4975" s="153"/>
      <c r="BQ4975" s="153"/>
      <c r="BR4975" s="153"/>
      <c r="BS4975" s="153"/>
      <c r="BT4975" s="153"/>
      <c r="BU4975" s="153"/>
      <c r="BV4975" s="153"/>
      <c r="BW4975" s="153"/>
      <c r="BX4975" s="153"/>
      <c r="BY4975" s="153"/>
      <c r="BZ4975" s="153"/>
      <c r="CA4975" s="152"/>
      <c r="CB4975" s="152"/>
    </row>
    <row r="4976" spans="1:80" s="87" customFormat="1" x14ac:dyDescent="0.2">
      <c r="A4976" s="152"/>
      <c r="B4976" s="683"/>
      <c r="C4976" s="683"/>
      <c r="D4976" s="698"/>
      <c r="E4976" s="215"/>
      <c r="F4976" s="215"/>
      <c r="G4976" s="153"/>
      <c r="H4976" s="256" t="s">
        <v>95</v>
      </c>
      <c r="I4976" s="257"/>
      <c r="J4976" s="257"/>
      <c r="K4976" s="257"/>
      <c r="L4976" s="667"/>
      <c r="M4976" s="668">
        <v>27541</v>
      </c>
      <c r="N4976" s="602">
        <v>2.44</v>
      </c>
      <c r="O4976" s="595">
        <v>1.9E-2</v>
      </c>
      <c r="P4976" s="258" t="s">
        <v>29</v>
      </c>
      <c r="Q4976" s="258" t="s">
        <v>29</v>
      </c>
      <c r="R4976" s="258">
        <v>0</v>
      </c>
      <c r="S4976" s="242">
        <v>0</v>
      </c>
      <c r="T4976" s="242">
        <v>0</v>
      </c>
      <c r="U4976" s="242">
        <v>1.0999999999999999E-2</v>
      </c>
      <c r="V4976" s="242">
        <v>0.26100000000000007</v>
      </c>
      <c r="W4976" s="242">
        <v>0.45099999999999996</v>
      </c>
      <c r="X4976" s="242">
        <v>0.23899999999999999</v>
      </c>
      <c r="Y4976" s="242">
        <v>3.7999999999999999E-2</v>
      </c>
      <c r="Z4976" s="150">
        <v>4</v>
      </c>
      <c r="AA4976" s="150">
        <v>0.7</v>
      </c>
      <c r="AB4976" s="152"/>
      <c r="AC4976" s="230">
        <v>6.9999999999999999E-4</v>
      </c>
      <c r="AD4976" s="154">
        <v>14.6</v>
      </c>
      <c r="AE4976" s="260">
        <v>0.28000000000000003</v>
      </c>
      <c r="AF4976" s="150">
        <v>4.03</v>
      </c>
      <c r="AG4976" s="150">
        <v>0.61</v>
      </c>
      <c r="AH4976" s="347"/>
      <c r="AI4976" s="218"/>
      <c r="AJ4976" s="218"/>
      <c r="AK4976" s="153"/>
      <c r="AL4976" s="152"/>
      <c r="AM4976" s="152"/>
      <c r="AN4976" s="152"/>
      <c r="AO4976" s="152"/>
      <c r="AP4976" s="152"/>
      <c r="AQ4976" s="152"/>
      <c r="AR4976" s="152"/>
      <c r="AS4976" s="152"/>
      <c r="AT4976" s="152"/>
      <c r="AU4976" s="153"/>
      <c r="AV4976" s="479"/>
      <c r="AW4976" s="479"/>
      <c r="AX4976" s="442"/>
      <c r="AY4976" s="153"/>
      <c r="AZ4976" s="152"/>
      <c r="BA4976" s="152"/>
      <c r="BB4976" s="152"/>
      <c r="BC4976" s="152"/>
      <c r="BD4976" s="152"/>
      <c r="BE4976" s="152"/>
      <c r="BF4976" s="152"/>
      <c r="BG4976" s="152"/>
      <c r="BH4976" s="152"/>
      <c r="BI4976" s="153"/>
      <c r="BJ4976" s="153"/>
      <c r="BK4976" s="153"/>
      <c r="BL4976" s="153"/>
      <c r="BM4976" s="153"/>
      <c r="BN4976" s="153"/>
      <c r="BO4976" s="153"/>
      <c r="BP4976" s="153"/>
      <c r="BQ4976" s="153"/>
      <c r="BR4976" s="153"/>
      <c r="BS4976" s="153"/>
      <c r="BT4976" s="153"/>
      <c r="BU4976" s="153"/>
      <c r="BV4976" s="153"/>
      <c r="BW4976" s="153"/>
      <c r="BX4976" s="153"/>
      <c r="BY4976" s="153"/>
      <c r="BZ4976" s="153"/>
      <c r="CA4976" s="152"/>
      <c r="CB4976" s="152"/>
    </row>
    <row r="4977" spans="1:80" s="87" customFormat="1" x14ac:dyDescent="0.2">
      <c r="A4977" s="152"/>
      <c r="B4977" s="683"/>
      <c r="C4977" s="683"/>
      <c r="D4977" s="698"/>
      <c r="E4977" s="215"/>
      <c r="F4977" s="215"/>
      <c r="G4977" s="153"/>
      <c r="H4977" s="256" t="s">
        <v>94</v>
      </c>
      <c r="I4977" s="257"/>
      <c r="J4977" s="257"/>
      <c r="K4977" s="257"/>
      <c r="L4977" s="667"/>
      <c r="M4977" s="668">
        <v>27544</v>
      </c>
      <c r="N4977" s="602">
        <v>2.04</v>
      </c>
      <c r="O4977" s="595">
        <v>1.4999999999999999E-2</v>
      </c>
      <c r="P4977" s="258" t="s">
        <v>29</v>
      </c>
      <c r="Q4977" s="258" t="s">
        <v>29</v>
      </c>
      <c r="R4977" s="258" t="s">
        <v>29</v>
      </c>
      <c r="S4977" s="258" t="s">
        <v>29</v>
      </c>
      <c r="T4977" s="258" t="s">
        <v>29</v>
      </c>
      <c r="U4977" s="258" t="s">
        <v>29</v>
      </c>
      <c r="V4977" s="258" t="s">
        <v>29</v>
      </c>
      <c r="W4977" s="258" t="s">
        <v>29</v>
      </c>
      <c r="X4977" s="258" t="s">
        <v>29</v>
      </c>
      <c r="Y4977" s="258" t="s">
        <v>29</v>
      </c>
      <c r="Z4977" s="150"/>
      <c r="AA4977" s="150"/>
      <c r="AB4977" s="152"/>
      <c r="AC4977" s="230">
        <v>6.9999999999999999E-4</v>
      </c>
      <c r="AD4977" s="154">
        <v>14.6</v>
      </c>
      <c r="AE4977" s="260">
        <v>0.24</v>
      </c>
      <c r="AF4977" s="150">
        <v>3.56</v>
      </c>
      <c r="AG4977" s="150">
        <v>0.56999999999999995</v>
      </c>
      <c r="AH4977" s="347"/>
      <c r="AI4977" s="218"/>
      <c r="AJ4977" s="218"/>
      <c r="AK4977" s="153"/>
      <c r="AL4977" s="152"/>
      <c r="AM4977" s="152"/>
      <c r="AN4977" s="152"/>
      <c r="AO4977" s="152"/>
      <c r="AP4977" s="152"/>
      <c r="AQ4977" s="152"/>
      <c r="AR4977" s="152"/>
      <c r="AS4977" s="152"/>
      <c r="AT4977" s="152"/>
      <c r="AU4977" s="153"/>
      <c r="AV4977" s="479"/>
      <c r="AW4977" s="479"/>
      <c r="AX4977" s="442"/>
      <c r="AY4977" s="153"/>
      <c r="AZ4977" s="152"/>
      <c r="BA4977" s="152"/>
      <c r="BB4977" s="152"/>
      <c r="BC4977" s="152"/>
      <c r="BD4977" s="152"/>
      <c r="BE4977" s="152"/>
      <c r="BF4977" s="152"/>
      <c r="BG4977" s="152"/>
      <c r="BH4977" s="152"/>
      <c r="BI4977" s="153"/>
      <c r="BJ4977" s="153"/>
      <c r="BK4977" s="153"/>
      <c r="BL4977" s="153"/>
      <c r="BM4977" s="153"/>
      <c r="BN4977" s="153"/>
      <c r="BO4977" s="153"/>
      <c r="BP4977" s="153"/>
      <c r="BQ4977" s="153"/>
      <c r="BR4977" s="153"/>
      <c r="BS4977" s="153"/>
      <c r="BT4977" s="153"/>
      <c r="BU4977" s="153"/>
      <c r="BV4977" s="153"/>
      <c r="BW4977" s="153"/>
      <c r="BX4977" s="153"/>
      <c r="BY4977" s="153"/>
      <c r="BZ4977" s="153"/>
      <c r="CA4977" s="152"/>
      <c r="CB4977" s="152"/>
    </row>
    <row r="4978" spans="1:80" s="87" customFormat="1" x14ac:dyDescent="0.2">
      <c r="A4978" s="152"/>
      <c r="B4978" s="683"/>
      <c r="C4978" s="683"/>
      <c r="D4978" s="698"/>
      <c r="E4978" s="215"/>
      <c r="F4978" s="215"/>
      <c r="G4978" s="153"/>
      <c r="H4978" s="256" t="s">
        <v>94</v>
      </c>
      <c r="I4978" s="257"/>
      <c r="J4978" s="257"/>
      <c r="K4978" s="257"/>
      <c r="L4978" s="667"/>
      <c r="M4978" s="668">
        <v>27547</v>
      </c>
      <c r="N4978" s="602">
        <v>5.82</v>
      </c>
      <c r="O4978" s="595">
        <v>0.441</v>
      </c>
      <c r="P4978" s="258" t="s">
        <v>29</v>
      </c>
      <c r="Q4978" s="258" t="s">
        <v>29</v>
      </c>
      <c r="R4978" s="258">
        <v>0</v>
      </c>
      <c r="S4978" s="242">
        <v>2E-3</v>
      </c>
      <c r="T4978" s="242">
        <v>3.3000000000000002E-2</v>
      </c>
      <c r="U4978" s="242">
        <v>0.108</v>
      </c>
      <c r="V4978" s="242">
        <v>0.24900000000000005</v>
      </c>
      <c r="W4978" s="242">
        <v>0.3</v>
      </c>
      <c r="X4978" s="242">
        <v>0.26500000000000001</v>
      </c>
      <c r="Y4978" s="242">
        <v>4.2999999999999997E-2</v>
      </c>
      <c r="Z4978" s="150">
        <v>11.3</v>
      </c>
      <c r="AA4978" s="150">
        <v>0.74</v>
      </c>
      <c r="AB4978" s="152"/>
      <c r="AC4978" s="230">
        <v>6.9999999999999999E-4</v>
      </c>
      <c r="AD4978" s="154">
        <v>14.6</v>
      </c>
      <c r="AE4978" s="260">
        <v>0.51</v>
      </c>
      <c r="AF4978" s="150">
        <v>7.42</v>
      </c>
      <c r="AG4978" s="150">
        <v>0.78</v>
      </c>
      <c r="AH4978" s="347"/>
      <c r="AI4978" s="218"/>
      <c r="AJ4978" s="218"/>
      <c r="AK4978" s="153"/>
      <c r="AL4978" s="152"/>
      <c r="AM4978" s="152"/>
      <c r="AN4978" s="152"/>
      <c r="AO4978" s="152"/>
      <c r="AP4978" s="152"/>
      <c r="AQ4978" s="152"/>
      <c r="AR4978" s="152"/>
      <c r="AS4978" s="152"/>
      <c r="AT4978" s="152"/>
      <c r="AU4978" s="153"/>
      <c r="AV4978" s="479"/>
      <c r="AW4978" s="479"/>
      <c r="AX4978" s="442"/>
      <c r="AY4978" s="153"/>
      <c r="AZ4978" s="152"/>
      <c r="BA4978" s="152"/>
      <c r="BB4978" s="152"/>
      <c r="BC4978" s="152"/>
      <c r="BD4978" s="152"/>
      <c r="BE4978" s="152"/>
      <c r="BF4978" s="152"/>
      <c r="BG4978" s="152"/>
      <c r="BH4978" s="152"/>
      <c r="BI4978" s="153"/>
      <c r="BJ4978" s="153"/>
      <c r="BK4978" s="153"/>
      <c r="BL4978" s="153"/>
      <c r="BM4978" s="153"/>
      <c r="BN4978" s="153"/>
      <c r="BO4978" s="153"/>
      <c r="BP4978" s="153"/>
      <c r="BQ4978" s="153"/>
      <c r="BR4978" s="153"/>
      <c r="BS4978" s="153"/>
      <c r="BT4978" s="153"/>
      <c r="BU4978" s="153"/>
      <c r="BV4978" s="153"/>
      <c r="BW4978" s="153"/>
      <c r="BX4978" s="153"/>
      <c r="BY4978" s="153"/>
      <c r="BZ4978" s="153"/>
      <c r="CA4978" s="152"/>
      <c r="CB4978" s="152"/>
    </row>
    <row r="4979" spans="1:80" s="87" customFormat="1" x14ac:dyDescent="0.2">
      <c r="A4979" s="152"/>
      <c r="B4979" s="683"/>
      <c r="C4979" s="683"/>
      <c r="D4979" s="698"/>
      <c r="E4979" s="215"/>
      <c r="F4979" s="215"/>
      <c r="G4979" s="153"/>
      <c r="H4979" s="256" t="s">
        <v>95</v>
      </c>
      <c r="I4979" s="257"/>
      <c r="J4979" s="257"/>
      <c r="K4979" s="257"/>
      <c r="L4979" s="667"/>
      <c r="M4979" s="668">
        <v>27548</v>
      </c>
      <c r="N4979" s="602">
        <v>9.1300000000000008</v>
      </c>
      <c r="O4979" s="595">
        <v>0.72</v>
      </c>
      <c r="P4979" s="258" t="s">
        <v>29</v>
      </c>
      <c r="Q4979" s="258" t="s">
        <v>29</v>
      </c>
      <c r="R4979" s="258">
        <v>0</v>
      </c>
      <c r="S4979" s="242">
        <v>5.0000000000000001E-3</v>
      </c>
      <c r="T4979" s="242">
        <v>2.1999999999999999E-2</v>
      </c>
      <c r="U4979" s="242">
        <v>0.14899999999999999</v>
      </c>
      <c r="V4979" s="242">
        <v>0.2360000000000001</v>
      </c>
      <c r="W4979" s="242">
        <v>0.26199999999999996</v>
      </c>
      <c r="X4979" s="242">
        <v>0.26200000000000001</v>
      </c>
      <c r="Y4979" s="242">
        <v>6.4000000000000001E-2</v>
      </c>
      <c r="Z4979" s="150">
        <v>16</v>
      </c>
      <c r="AA4979" s="150">
        <v>0.78</v>
      </c>
      <c r="AB4979" s="152"/>
      <c r="AC4979" s="230">
        <v>6.9999999999999999E-4</v>
      </c>
      <c r="AD4979" s="154">
        <v>14.6</v>
      </c>
      <c r="AE4979" s="260">
        <v>0.7</v>
      </c>
      <c r="AF4979" s="150">
        <v>10.199999999999999</v>
      </c>
      <c r="AG4979" s="150">
        <v>0.9</v>
      </c>
      <c r="AH4979" s="347"/>
      <c r="AI4979" s="218"/>
      <c r="AJ4979" s="218"/>
      <c r="AK4979" s="153"/>
      <c r="AL4979" s="152"/>
      <c r="AM4979" s="152"/>
      <c r="AN4979" s="152"/>
      <c r="AO4979" s="152"/>
      <c r="AP4979" s="152"/>
      <c r="AQ4979" s="152"/>
      <c r="AR4979" s="152"/>
      <c r="AS4979" s="152"/>
      <c r="AT4979" s="152"/>
      <c r="AU4979" s="153"/>
      <c r="AV4979" s="479"/>
      <c r="AW4979" s="479"/>
      <c r="AX4979" s="442"/>
      <c r="AY4979" s="153"/>
      <c r="AZ4979" s="152"/>
      <c r="BA4979" s="152"/>
      <c r="BB4979" s="152"/>
      <c r="BC4979" s="152"/>
      <c r="BD4979" s="152"/>
      <c r="BE4979" s="152"/>
      <c r="BF4979" s="152"/>
      <c r="BG4979" s="152"/>
      <c r="BH4979" s="152"/>
      <c r="BI4979" s="153"/>
      <c r="BJ4979" s="153"/>
      <c r="BK4979" s="153"/>
      <c r="BL4979" s="153"/>
      <c r="BM4979" s="153"/>
      <c r="BN4979" s="153"/>
      <c r="BO4979" s="153"/>
      <c r="BP4979" s="153"/>
      <c r="BQ4979" s="153"/>
      <c r="BR4979" s="153"/>
      <c r="BS4979" s="153"/>
      <c r="BT4979" s="153"/>
      <c r="BU4979" s="153"/>
      <c r="BV4979" s="153"/>
      <c r="BW4979" s="153"/>
      <c r="BX4979" s="153"/>
      <c r="BY4979" s="153"/>
      <c r="BZ4979" s="153"/>
      <c r="CA4979" s="152"/>
      <c r="CB4979" s="152"/>
    </row>
    <row r="4980" spans="1:80" s="87" customFormat="1" x14ac:dyDescent="0.2">
      <c r="A4980" s="152"/>
      <c r="B4980" s="683"/>
      <c r="C4980" s="683"/>
      <c r="D4980" s="698"/>
      <c r="E4980" s="215"/>
      <c r="F4980" s="215"/>
      <c r="G4980" s="153"/>
      <c r="H4980" s="256" t="s">
        <v>94</v>
      </c>
      <c r="I4980" s="257"/>
      <c r="J4980" s="257"/>
      <c r="K4980" s="257"/>
      <c r="L4980" s="667"/>
      <c r="M4980" s="668">
        <v>27549</v>
      </c>
      <c r="N4980" s="602">
        <v>10</v>
      </c>
      <c r="O4980" s="595">
        <v>0.74</v>
      </c>
      <c r="P4980" s="258" t="s">
        <v>29</v>
      </c>
      <c r="Q4980" s="258" t="s">
        <v>29</v>
      </c>
      <c r="R4980" s="258">
        <v>0</v>
      </c>
      <c r="S4980" s="242">
        <v>3.0000000000000001E-3</v>
      </c>
      <c r="T4980" s="242">
        <v>3.2000000000000001E-2</v>
      </c>
      <c r="U4980" s="242">
        <v>0.19800000000000001</v>
      </c>
      <c r="V4980" s="242">
        <v>0.33600000000000002</v>
      </c>
      <c r="W4980" s="242">
        <v>0.28700000000000003</v>
      </c>
      <c r="X4980" s="242">
        <v>0.128</v>
      </c>
      <c r="Y4980" s="242">
        <v>1.6E-2</v>
      </c>
      <c r="Z4980" s="150">
        <v>16</v>
      </c>
      <c r="AA4980" s="150">
        <v>1.1599999999999999</v>
      </c>
      <c r="AB4980" s="152"/>
      <c r="AC4980" s="230">
        <v>6.9999999999999999E-4</v>
      </c>
      <c r="AD4980" s="154">
        <v>14.6</v>
      </c>
      <c r="AE4980" s="260">
        <v>0.74</v>
      </c>
      <c r="AF4980" s="150">
        <v>10.9</v>
      </c>
      <c r="AG4980" s="150">
        <v>0.92</v>
      </c>
      <c r="AH4980" s="347"/>
      <c r="AI4980" s="218"/>
      <c r="AJ4980" s="218"/>
      <c r="AK4980" s="153"/>
      <c r="AL4980" s="152"/>
      <c r="AM4980" s="152"/>
      <c r="AN4980" s="152"/>
      <c r="AO4980" s="152"/>
      <c r="AP4980" s="152"/>
      <c r="AQ4980" s="152"/>
      <c r="AR4980" s="152"/>
      <c r="AS4980" s="152"/>
      <c r="AT4980" s="152"/>
      <c r="AU4980" s="153"/>
      <c r="AV4980" s="479"/>
      <c r="AW4980" s="479"/>
      <c r="AX4980" s="442"/>
      <c r="AY4980" s="153"/>
      <c r="AZ4980" s="152"/>
      <c r="BA4980" s="152"/>
      <c r="BB4980" s="152"/>
      <c r="BC4980" s="152"/>
      <c r="BD4980" s="152"/>
      <c r="BE4980" s="152"/>
      <c r="BF4980" s="152"/>
      <c r="BG4980" s="152"/>
      <c r="BH4980" s="152"/>
      <c r="BI4980" s="153"/>
      <c r="BJ4980" s="153"/>
      <c r="BK4980" s="153"/>
      <c r="BL4980" s="153"/>
      <c r="BM4980" s="153"/>
      <c r="BN4980" s="153"/>
      <c r="BO4980" s="153"/>
      <c r="BP4980" s="153"/>
      <c r="BQ4980" s="153"/>
      <c r="BR4980" s="153"/>
      <c r="BS4980" s="153"/>
      <c r="BT4980" s="153"/>
      <c r="BU4980" s="153"/>
      <c r="BV4980" s="153"/>
      <c r="BW4980" s="153"/>
      <c r="BX4980" s="153"/>
      <c r="BY4980" s="153"/>
      <c r="BZ4980" s="153"/>
      <c r="CA4980" s="152"/>
      <c r="CB4980" s="152"/>
    </row>
    <row r="4981" spans="1:80" s="87" customFormat="1" x14ac:dyDescent="0.2">
      <c r="A4981" s="152"/>
      <c r="B4981" s="683"/>
      <c r="C4981" s="683"/>
      <c r="D4981" s="698"/>
      <c r="E4981" s="215"/>
      <c r="F4981" s="215"/>
      <c r="G4981" s="153"/>
      <c r="H4981" s="256" t="s">
        <v>94</v>
      </c>
      <c r="I4981" s="257"/>
      <c r="J4981" s="257"/>
      <c r="K4981" s="257"/>
      <c r="L4981" s="667"/>
      <c r="M4981" s="668">
        <v>27550</v>
      </c>
      <c r="N4981" s="602">
        <v>10.7</v>
      </c>
      <c r="O4981" s="595">
        <v>0.88500000000000001</v>
      </c>
      <c r="P4981" s="258" t="s">
        <v>29</v>
      </c>
      <c r="Q4981" s="258" t="s">
        <v>29</v>
      </c>
      <c r="R4981" s="258">
        <v>0</v>
      </c>
      <c r="S4981" s="242">
        <v>5.0000000000000001E-3</v>
      </c>
      <c r="T4981" s="242">
        <v>4.1000000000000002E-2</v>
      </c>
      <c r="U4981" s="242">
        <v>0.219</v>
      </c>
      <c r="V4981" s="242">
        <v>0.34899999999999998</v>
      </c>
      <c r="W4981" s="242">
        <v>0.28200000000000003</v>
      </c>
      <c r="X4981" s="242">
        <v>9.4E-2</v>
      </c>
      <c r="Y4981" s="242">
        <v>0.01</v>
      </c>
      <c r="Z4981" s="150">
        <v>16</v>
      </c>
      <c r="AA4981" s="150">
        <v>1.26</v>
      </c>
      <c r="AB4981" s="152"/>
      <c r="AC4981" s="230">
        <v>6.9999999999999999E-4</v>
      </c>
      <c r="AD4981" s="154">
        <v>14.6</v>
      </c>
      <c r="AE4981" s="260">
        <v>0.78</v>
      </c>
      <c r="AF4981" s="150">
        <v>11.4</v>
      </c>
      <c r="AG4981" s="150">
        <v>0.94</v>
      </c>
      <c r="AH4981" s="347"/>
      <c r="AI4981" s="218"/>
      <c r="AJ4981" s="218"/>
      <c r="AK4981" s="153"/>
      <c r="AL4981" s="152"/>
      <c r="AM4981" s="152"/>
      <c r="AN4981" s="152"/>
      <c r="AO4981" s="152"/>
      <c r="AP4981" s="152"/>
      <c r="AQ4981" s="152"/>
      <c r="AR4981" s="152"/>
      <c r="AS4981" s="152"/>
      <c r="AT4981" s="152"/>
      <c r="AU4981" s="153"/>
      <c r="AV4981" s="479"/>
      <c r="AW4981" s="479"/>
      <c r="AX4981" s="442"/>
      <c r="AY4981" s="153"/>
      <c r="AZ4981" s="152"/>
      <c r="BA4981" s="152"/>
      <c r="BB4981" s="152"/>
      <c r="BC4981" s="152"/>
      <c r="BD4981" s="152"/>
      <c r="BE4981" s="152"/>
      <c r="BF4981" s="152"/>
      <c r="BG4981" s="152"/>
      <c r="BH4981" s="152"/>
      <c r="BI4981" s="153"/>
      <c r="BJ4981" s="153"/>
      <c r="BK4981" s="153"/>
      <c r="BL4981" s="153"/>
      <c r="BM4981" s="153"/>
      <c r="BN4981" s="153"/>
      <c r="BO4981" s="153"/>
      <c r="BP4981" s="153"/>
      <c r="BQ4981" s="153"/>
      <c r="BR4981" s="153"/>
      <c r="BS4981" s="153"/>
      <c r="BT4981" s="153"/>
      <c r="BU4981" s="153"/>
      <c r="BV4981" s="153"/>
      <c r="BW4981" s="153"/>
      <c r="BX4981" s="153"/>
      <c r="BY4981" s="153"/>
      <c r="BZ4981" s="153"/>
      <c r="CA4981" s="152"/>
      <c r="CB4981" s="152"/>
    </row>
    <row r="4982" spans="1:80" s="87" customFormat="1" x14ac:dyDescent="0.2">
      <c r="A4982" s="152"/>
      <c r="B4982" s="683"/>
      <c r="C4982" s="683"/>
      <c r="D4982" s="698"/>
      <c r="E4982" s="215"/>
      <c r="F4982" s="215"/>
      <c r="G4982" s="153"/>
      <c r="H4982" s="256" t="s">
        <v>94</v>
      </c>
      <c r="I4982" s="257"/>
      <c r="J4982" s="257"/>
      <c r="K4982" s="257"/>
      <c r="L4982" s="667"/>
      <c r="M4982" s="668">
        <v>27551</v>
      </c>
      <c r="N4982" s="602">
        <v>20</v>
      </c>
      <c r="O4982" s="595">
        <v>2.84</v>
      </c>
      <c r="P4982" s="258" t="s">
        <v>29</v>
      </c>
      <c r="Q4982" s="258" t="s">
        <v>29</v>
      </c>
      <c r="R4982" s="258">
        <f>1-0.996</f>
        <v>4.0000000000000036E-3</v>
      </c>
      <c r="S4982" s="242">
        <v>1.7000000000000001E-2</v>
      </c>
      <c r="T4982" s="242">
        <v>6.3E-2</v>
      </c>
      <c r="U4982" s="242">
        <v>0.223</v>
      </c>
      <c r="V4982" s="242">
        <v>0.33199999999999996</v>
      </c>
      <c r="W4982" s="242">
        <v>0.27900000000000003</v>
      </c>
      <c r="X4982" s="242">
        <v>7.3999999999999996E-2</v>
      </c>
      <c r="Y4982" s="242">
        <v>8.0000000000000002E-3</v>
      </c>
      <c r="Z4982" s="150">
        <v>16</v>
      </c>
      <c r="AA4982" s="150">
        <v>1.36</v>
      </c>
      <c r="AB4982" s="152"/>
      <c r="AC4982" s="230">
        <v>6.9999999999999999E-4</v>
      </c>
      <c r="AD4982" s="154">
        <v>14.6</v>
      </c>
      <c r="AE4982" s="260">
        <v>1.21</v>
      </c>
      <c r="AF4982" s="150">
        <v>17.7</v>
      </c>
      <c r="AG4982" s="150">
        <v>1.1299999999999999</v>
      </c>
      <c r="AH4982" s="347"/>
      <c r="AI4982" s="218"/>
      <c r="AJ4982" s="218"/>
      <c r="AK4982" s="153"/>
      <c r="AL4982" s="152"/>
      <c r="AM4982" s="152"/>
      <c r="AN4982" s="152"/>
      <c r="AO4982" s="152"/>
      <c r="AP4982" s="152"/>
      <c r="AQ4982" s="152"/>
      <c r="AR4982" s="152"/>
      <c r="AS4982" s="152"/>
      <c r="AT4982" s="152"/>
      <c r="AU4982" s="153"/>
      <c r="AV4982" s="479"/>
      <c r="AW4982" s="479"/>
      <c r="AX4982" s="442"/>
      <c r="AY4982" s="153"/>
      <c r="AZ4982" s="152"/>
      <c r="BA4982" s="152"/>
      <c r="BB4982" s="152"/>
      <c r="BC4982" s="152"/>
      <c r="BD4982" s="152"/>
      <c r="BE4982" s="152"/>
      <c r="BF4982" s="152"/>
      <c r="BG4982" s="152"/>
      <c r="BH4982" s="152"/>
      <c r="BI4982" s="153"/>
      <c r="BJ4982" s="153"/>
      <c r="BK4982" s="153"/>
      <c r="BL4982" s="153"/>
      <c r="BM4982" s="153"/>
      <c r="BN4982" s="153"/>
      <c r="BO4982" s="153"/>
      <c r="BP4982" s="153"/>
      <c r="BQ4982" s="153"/>
      <c r="BR4982" s="153"/>
      <c r="BS4982" s="153"/>
      <c r="BT4982" s="153"/>
      <c r="BU4982" s="153"/>
      <c r="BV4982" s="153"/>
      <c r="BW4982" s="153"/>
      <c r="BX4982" s="153"/>
      <c r="BY4982" s="153"/>
      <c r="BZ4982" s="153"/>
      <c r="CA4982" s="152"/>
      <c r="CB4982" s="152"/>
    </row>
    <row r="4983" spans="1:80" s="87" customFormat="1" x14ac:dyDescent="0.2">
      <c r="A4983" s="152"/>
      <c r="B4983" s="683"/>
      <c r="C4983" s="683"/>
      <c r="D4983" s="698"/>
      <c r="E4983" s="215"/>
      <c r="F4983" s="215"/>
      <c r="G4983" s="153"/>
      <c r="H4983" s="256" t="s">
        <v>94</v>
      </c>
      <c r="I4983" s="257"/>
      <c r="J4983" s="257"/>
      <c r="K4983" s="257"/>
      <c r="L4983" s="667"/>
      <c r="M4983" s="668">
        <v>27552</v>
      </c>
      <c r="N4983" s="602">
        <v>24.8</v>
      </c>
      <c r="O4983" s="595">
        <v>1.89</v>
      </c>
      <c r="P4983" s="258" t="s">
        <v>29</v>
      </c>
      <c r="Q4983" s="258" t="s">
        <v>29</v>
      </c>
      <c r="R4983" s="258">
        <f>1-0.996</f>
        <v>4.0000000000000036E-3</v>
      </c>
      <c r="S4983" s="242">
        <v>2.5000000000000001E-2</v>
      </c>
      <c r="T4983" s="242">
        <v>6.7000000000000004E-2</v>
      </c>
      <c r="U4983" s="242">
        <v>0.19600000000000001</v>
      </c>
      <c r="V4983" s="242">
        <v>0.32</v>
      </c>
      <c r="W4983" s="242">
        <v>0.30699999999999994</v>
      </c>
      <c r="X4983" s="242">
        <v>7.1999999999999995E-2</v>
      </c>
      <c r="Y4983" s="242">
        <v>9.0000000000000011E-3</v>
      </c>
      <c r="Z4983" s="150">
        <v>16</v>
      </c>
      <c r="AA4983" s="150">
        <v>1.28</v>
      </c>
      <c r="AB4983" s="152"/>
      <c r="AC4983" s="230">
        <v>6.9999999999999999E-4</v>
      </c>
      <c r="AD4983" s="154">
        <v>14.6</v>
      </c>
      <c r="AE4983" s="260">
        <v>1.4</v>
      </c>
      <c r="AF4983" s="150">
        <v>20.5</v>
      </c>
      <c r="AG4983" s="150">
        <v>1.21</v>
      </c>
      <c r="AH4983" s="347"/>
      <c r="AI4983" s="218"/>
      <c r="AJ4983" s="218"/>
      <c r="AK4983" s="153"/>
      <c r="AL4983" s="152"/>
      <c r="AM4983" s="152"/>
      <c r="AN4983" s="152"/>
      <c r="AO4983" s="152"/>
      <c r="AP4983" s="152"/>
      <c r="AQ4983" s="152"/>
      <c r="AR4983" s="152"/>
      <c r="AS4983" s="152"/>
      <c r="AT4983" s="152"/>
      <c r="AU4983" s="153"/>
      <c r="AV4983" s="479"/>
      <c r="AW4983" s="479"/>
      <c r="AX4983" s="442"/>
      <c r="AY4983" s="153"/>
      <c r="AZ4983" s="152"/>
      <c r="BA4983" s="152"/>
      <c r="BB4983" s="152"/>
      <c r="BC4983" s="152"/>
      <c r="BD4983" s="152"/>
      <c r="BE4983" s="152"/>
      <c r="BF4983" s="152"/>
      <c r="BG4983" s="152"/>
      <c r="BH4983" s="152"/>
      <c r="BI4983" s="153"/>
      <c r="BJ4983" s="153"/>
      <c r="BK4983" s="153"/>
      <c r="BL4983" s="153"/>
      <c r="BM4983" s="153"/>
      <c r="BN4983" s="153"/>
      <c r="BO4983" s="153"/>
      <c r="BP4983" s="153"/>
      <c r="BQ4983" s="153"/>
      <c r="BR4983" s="153"/>
      <c r="BS4983" s="153"/>
      <c r="BT4983" s="153"/>
      <c r="BU4983" s="153"/>
      <c r="BV4983" s="153"/>
      <c r="BW4983" s="153"/>
      <c r="BX4983" s="153"/>
      <c r="BY4983" s="153"/>
      <c r="BZ4983" s="153"/>
      <c r="CA4983" s="152"/>
      <c r="CB4983" s="152"/>
    </row>
    <row r="4984" spans="1:80" s="87" customFormat="1" x14ac:dyDescent="0.2">
      <c r="A4984" s="152"/>
      <c r="B4984" s="683"/>
      <c r="C4984" s="683"/>
      <c r="D4984" s="698"/>
      <c r="E4984" s="215"/>
      <c r="F4984" s="215"/>
      <c r="G4984" s="153"/>
      <c r="H4984" s="256" t="s">
        <v>94</v>
      </c>
      <c r="I4984" s="257"/>
      <c r="J4984" s="257"/>
      <c r="K4984" s="257"/>
      <c r="L4984" s="667"/>
      <c r="M4984" s="668">
        <v>27553</v>
      </c>
      <c r="N4984" s="602">
        <v>25.6</v>
      </c>
      <c r="O4984" s="595">
        <v>1.58</v>
      </c>
      <c r="P4984" s="258" t="s">
        <v>29</v>
      </c>
      <c r="Q4984" s="258" t="s">
        <v>29</v>
      </c>
      <c r="R4984" s="258">
        <f>1-0.997</f>
        <v>3.0000000000000027E-3</v>
      </c>
      <c r="S4984" s="242">
        <v>1.7000000000000001E-2</v>
      </c>
      <c r="T4984" s="242">
        <v>7.0000000000000007E-2</v>
      </c>
      <c r="U4984" s="242">
        <v>0.23</v>
      </c>
      <c r="V4984" s="242">
        <v>0.35100000000000003</v>
      </c>
      <c r="W4984" s="242">
        <v>0.245</v>
      </c>
      <c r="X4984" s="242">
        <v>6.6000000000000003E-2</v>
      </c>
      <c r="Y4984" s="242">
        <v>1.8000000000000002E-2</v>
      </c>
      <c r="Z4984" s="150">
        <v>16</v>
      </c>
      <c r="AA4984" s="150">
        <v>1.41</v>
      </c>
      <c r="AB4984" s="152"/>
      <c r="AC4984" s="230">
        <v>6.9999999999999999E-4</v>
      </c>
      <c r="AD4984" s="154">
        <v>14.6</v>
      </c>
      <c r="AE4984" s="260">
        <v>1.44</v>
      </c>
      <c r="AF4984" s="150">
        <v>21</v>
      </c>
      <c r="AG4984" s="150">
        <v>1.22</v>
      </c>
      <c r="AH4984" s="347"/>
      <c r="AI4984" s="218"/>
      <c r="AJ4984" s="218"/>
      <c r="AK4984" s="153"/>
      <c r="AL4984" s="152"/>
      <c r="AM4984" s="152"/>
      <c r="AN4984" s="152"/>
      <c r="AO4984" s="152"/>
      <c r="AP4984" s="152"/>
      <c r="AQ4984" s="152"/>
      <c r="AR4984" s="152"/>
      <c r="AS4984" s="152"/>
      <c r="AT4984" s="152"/>
      <c r="AU4984" s="153"/>
      <c r="AV4984" s="479"/>
      <c r="AW4984" s="479"/>
      <c r="AX4984" s="442"/>
      <c r="AY4984" s="153"/>
      <c r="AZ4984" s="152"/>
      <c r="BA4984" s="152"/>
      <c r="BB4984" s="152"/>
      <c r="BC4984" s="152"/>
      <c r="BD4984" s="152"/>
      <c r="BE4984" s="152"/>
      <c r="BF4984" s="152"/>
      <c r="BG4984" s="152"/>
      <c r="BH4984" s="152"/>
      <c r="BI4984" s="153"/>
      <c r="BJ4984" s="153"/>
      <c r="BK4984" s="153"/>
      <c r="BL4984" s="153"/>
      <c r="BM4984" s="153"/>
      <c r="BN4984" s="153"/>
      <c r="BO4984" s="153"/>
      <c r="BP4984" s="153"/>
      <c r="BQ4984" s="153"/>
      <c r="BR4984" s="153"/>
      <c r="BS4984" s="153"/>
      <c r="BT4984" s="153"/>
      <c r="BU4984" s="153"/>
      <c r="BV4984" s="153"/>
      <c r="BW4984" s="153"/>
      <c r="BX4984" s="153"/>
      <c r="BY4984" s="153"/>
      <c r="BZ4984" s="153"/>
      <c r="CA4984" s="152"/>
      <c r="CB4984" s="152"/>
    </row>
    <row r="4985" spans="1:80" s="87" customFormat="1" x14ac:dyDescent="0.2">
      <c r="A4985" s="152"/>
      <c r="B4985" s="683"/>
      <c r="C4985" s="683"/>
      <c r="D4985" s="698"/>
      <c r="E4985" s="215"/>
      <c r="F4985" s="215"/>
      <c r="G4985" s="153"/>
      <c r="H4985" s="256" t="s">
        <v>94</v>
      </c>
      <c r="I4985" s="257"/>
      <c r="J4985" s="257"/>
      <c r="K4985" s="257"/>
      <c r="L4985" s="667"/>
      <c r="M4985" s="668">
        <v>27554</v>
      </c>
      <c r="N4985" s="602">
        <v>24.3</v>
      </c>
      <c r="O4985" s="595">
        <v>0.76300000000000001</v>
      </c>
      <c r="P4985" s="258" t="s">
        <v>29</v>
      </c>
      <c r="Q4985" s="258" t="s">
        <v>29</v>
      </c>
      <c r="R4985" s="258">
        <f>1-0.998</f>
        <v>2.0000000000000018E-3</v>
      </c>
      <c r="S4985" s="242">
        <v>2.5000000000000001E-2</v>
      </c>
      <c r="T4985" s="242">
        <v>7.6999999999999999E-2</v>
      </c>
      <c r="U4985" s="242">
        <v>0.214</v>
      </c>
      <c r="V4985" s="242">
        <v>0.32200000000000001</v>
      </c>
      <c r="W4985" s="242">
        <v>0.26200000000000001</v>
      </c>
      <c r="X4985" s="242">
        <v>8.3000000000000004E-2</v>
      </c>
      <c r="Y4985" s="242">
        <v>1.4999999999999999E-2</v>
      </c>
      <c r="Z4985" s="150">
        <v>16</v>
      </c>
      <c r="AA4985" s="150">
        <v>1.35</v>
      </c>
      <c r="AB4985" s="152"/>
      <c r="AC4985" s="230">
        <v>6.9999999999999999E-4</v>
      </c>
      <c r="AD4985" s="154">
        <v>14.6</v>
      </c>
      <c r="AE4985" s="260">
        <v>1.38</v>
      </c>
      <c r="AF4985" s="150">
        <v>20.2</v>
      </c>
      <c r="AG4985" s="150">
        <v>1.2</v>
      </c>
      <c r="AH4985" s="347"/>
      <c r="AI4985" s="218"/>
      <c r="AJ4985" s="218"/>
      <c r="AK4985" s="153"/>
      <c r="AL4985" s="152"/>
      <c r="AM4985" s="152"/>
      <c r="AN4985" s="152"/>
      <c r="AO4985" s="152"/>
      <c r="AP4985" s="152"/>
      <c r="AQ4985" s="152"/>
      <c r="AR4985" s="152"/>
      <c r="AS4985" s="152"/>
      <c r="AT4985" s="152"/>
      <c r="AU4985" s="153"/>
      <c r="AV4985" s="479"/>
      <c r="AW4985" s="479"/>
      <c r="AX4985" s="442"/>
      <c r="AY4985" s="153"/>
      <c r="AZ4985" s="152"/>
      <c r="BA4985" s="152"/>
      <c r="BB4985" s="152"/>
      <c r="BC4985" s="152"/>
      <c r="BD4985" s="152"/>
      <c r="BE4985" s="152"/>
      <c r="BF4985" s="152"/>
      <c r="BG4985" s="152"/>
      <c r="BH4985" s="152"/>
      <c r="BI4985" s="153"/>
      <c r="BJ4985" s="153"/>
      <c r="BK4985" s="153"/>
      <c r="BL4985" s="153"/>
      <c r="BM4985" s="153"/>
      <c r="BN4985" s="153"/>
      <c r="BO4985" s="153"/>
      <c r="BP4985" s="153"/>
      <c r="BQ4985" s="153"/>
      <c r="BR4985" s="153"/>
      <c r="BS4985" s="153"/>
      <c r="BT4985" s="153"/>
      <c r="BU4985" s="153"/>
      <c r="BV4985" s="153"/>
      <c r="BW4985" s="153"/>
      <c r="BX4985" s="153"/>
      <c r="BY4985" s="153"/>
      <c r="BZ4985" s="153"/>
      <c r="CA4985" s="152"/>
      <c r="CB4985" s="152"/>
    </row>
    <row r="4986" spans="1:80" s="87" customFormat="1" x14ac:dyDescent="0.2">
      <c r="A4986" s="152"/>
      <c r="B4986" s="683"/>
      <c r="C4986" s="683"/>
      <c r="D4986" s="698"/>
      <c r="E4986" s="215"/>
      <c r="F4986" s="215"/>
      <c r="G4986" s="153"/>
      <c r="H4986" s="256" t="s">
        <v>95</v>
      </c>
      <c r="I4986" s="257"/>
      <c r="J4986" s="257"/>
      <c r="K4986" s="257"/>
      <c r="L4986" s="667"/>
      <c r="M4986" s="668">
        <v>27555</v>
      </c>
      <c r="N4986" s="602">
        <v>14.4</v>
      </c>
      <c r="O4986" s="595">
        <v>0.317</v>
      </c>
      <c r="P4986" s="258" t="s">
        <v>29</v>
      </c>
      <c r="Q4986" s="258" t="s">
        <v>29</v>
      </c>
      <c r="R4986" s="258">
        <v>0</v>
      </c>
      <c r="S4986" s="258">
        <v>2E-3</v>
      </c>
      <c r="T4986" s="242">
        <v>2.5999999999999999E-2</v>
      </c>
      <c r="U4986" s="242">
        <v>0.17100000000000001</v>
      </c>
      <c r="V4986" s="242">
        <v>0.35999999999999993</v>
      </c>
      <c r="W4986" s="242">
        <v>0.29100000000000004</v>
      </c>
      <c r="X4986" s="242">
        <v>0.125</v>
      </c>
      <c r="Y4986" s="242">
        <v>2.5000000000000001E-2</v>
      </c>
      <c r="Z4986" s="150">
        <v>11.3</v>
      </c>
      <c r="AA4986" s="150">
        <v>1.1100000000000001</v>
      </c>
      <c r="AB4986" s="152"/>
      <c r="AC4986" s="230">
        <v>6.9999999999999999E-4</v>
      </c>
      <c r="AD4986" s="154">
        <v>14.6</v>
      </c>
      <c r="AE4986" s="260">
        <v>0.96</v>
      </c>
      <c r="AF4986" s="150">
        <v>14</v>
      </c>
      <c r="AG4986" s="150">
        <v>1.03</v>
      </c>
      <c r="AH4986" s="347"/>
      <c r="AI4986" s="218"/>
      <c r="AJ4986" s="218"/>
      <c r="AK4986" s="153"/>
      <c r="AL4986" s="152"/>
      <c r="AM4986" s="152"/>
      <c r="AN4986" s="152"/>
      <c r="AO4986" s="152"/>
      <c r="AP4986" s="152"/>
      <c r="AQ4986" s="152"/>
      <c r="AR4986" s="152"/>
      <c r="AS4986" s="152"/>
      <c r="AT4986" s="152"/>
      <c r="AU4986" s="153"/>
      <c r="AV4986" s="479"/>
      <c r="AW4986" s="479"/>
      <c r="AX4986" s="442"/>
      <c r="AY4986" s="153"/>
      <c r="AZ4986" s="152"/>
      <c r="BA4986" s="152"/>
      <c r="BB4986" s="152"/>
      <c r="BC4986" s="152"/>
      <c r="BD4986" s="152"/>
      <c r="BE4986" s="152"/>
      <c r="BF4986" s="152"/>
      <c r="BG4986" s="152"/>
      <c r="BH4986" s="152"/>
      <c r="BI4986" s="153"/>
      <c r="BJ4986" s="153"/>
      <c r="BK4986" s="153"/>
      <c r="BL4986" s="153"/>
      <c r="BM4986" s="153"/>
      <c r="BN4986" s="153"/>
      <c r="BO4986" s="153"/>
      <c r="BP4986" s="153"/>
      <c r="BQ4986" s="153"/>
      <c r="BR4986" s="153"/>
      <c r="BS4986" s="153"/>
      <c r="BT4986" s="153"/>
      <c r="BU4986" s="153"/>
      <c r="BV4986" s="153"/>
      <c r="BW4986" s="153"/>
      <c r="BX4986" s="153"/>
      <c r="BY4986" s="153"/>
      <c r="BZ4986" s="153"/>
      <c r="CA4986" s="152"/>
      <c r="CB4986" s="152"/>
    </row>
    <row r="4987" spans="1:80" s="87" customFormat="1" x14ac:dyDescent="0.2">
      <c r="A4987" s="152"/>
      <c r="B4987" s="683"/>
      <c r="C4987" s="683"/>
      <c r="D4987" s="698"/>
      <c r="E4987" s="215"/>
      <c r="F4987" s="215"/>
      <c r="G4987" s="153"/>
      <c r="H4987" s="256" t="s">
        <v>95</v>
      </c>
      <c r="I4987" s="257"/>
      <c r="J4987" s="257"/>
      <c r="K4987" s="257"/>
      <c r="L4987" s="667"/>
      <c r="M4987" s="668">
        <v>27556</v>
      </c>
      <c r="N4987" s="602">
        <v>10.1</v>
      </c>
      <c r="O4987" s="595">
        <v>0.1</v>
      </c>
      <c r="P4987" s="258" t="s">
        <v>29</v>
      </c>
      <c r="Q4987" s="258" t="s">
        <v>29</v>
      </c>
      <c r="R4987" s="258">
        <v>0</v>
      </c>
      <c r="S4987" s="242">
        <v>3.0000000000000001E-3</v>
      </c>
      <c r="T4987" s="242">
        <v>2.9000000000000001E-2</v>
      </c>
      <c r="U4987" s="263">
        <v>0.17599999999999999</v>
      </c>
      <c r="V4987" s="242">
        <v>0.30200000000000005</v>
      </c>
      <c r="W4987" s="242">
        <v>0.24</v>
      </c>
      <c r="X4987" s="242">
        <v>0.19899999999999998</v>
      </c>
      <c r="Y4987" s="242">
        <v>5.0999999999999997E-2</v>
      </c>
      <c r="Z4987" s="150">
        <v>16</v>
      </c>
      <c r="AA4987" s="150">
        <v>1.02</v>
      </c>
      <c r="AB4987" s="152"/>
      <c r="AC4987" s="230">
        <v>6.9999999999999999E-4</v>
      </c>
      <c r="AD4987" s="154">
        <v>14.6</v>
      </c>
      <c r="AE4987" s="260">
        <v>0.75</v>
      </c>
      <c r="AF4987" s="150">
        <v>10.9</v>
      </c>
      <c r="AG4987" s="150">
        <v>0.92</v>
      </c>
      <c r="AH4987" s="347"/>
      <c r="AI4987" s="218"/>
      <c r="AJ4987" s="218"/>
      <c r="AK4987" s="153"/>
      <c r="AL4987" s="152"/>
      <c r="AM4987" s="152"/>
      <c r="AN4987" s="152"/>
      <c r="AO4987" s="152"/>
      <c r="AP4987" s="152"/>
      <c r="AQ4987" s="152"/>
      <c r="AR4987" s="152"/>
      <c r="AS4987" s="152"/>
      <c r="AT4987" s="152"/>
      <c r="AU4987" s="153"/>
      <c r="AV4987" s="479"/>
      <c r="AW4987" s="479"/>
      <c r="AX4987" s="442"/>
      <c r="AY4987" s="153"/>
      <c r="AZ4987" s="152"/>
      <c r="BA4987" s="152"/>
      <c r="BB4987" s="152"/>
      <c r="BC4987" s="152"/>
      <c r="BD4987" s="152"/>
      <c r="BE4987" s="152"/>
      <c r="BF4987" s="152"/>
      <c r="BG4987" s="152"/>
      <c r="BH4987" s="152"/>
      <c r="BI4987" s="153"/>
      <c r="BJ4987" s="153"/>
      <c r="BK4987" s="153"/>
      <c r="BL4987" s="153"/>
      <c r="BM4987" s="153"/>
      <c r="BN4987" s="153"/>
      <c r="BO4987" s="153"/>
      <c r="BP4987" s="153"/>
      <c r="BQ4987" s="153"/>
      <c r="BR4987" s="153"/>
      <c r="BS4987" s="153"/>
      <c r="BT4987" s="153"/>
      <c r="BU4987" s="153"/>
      <c r="BV4987" s="153"/>
      <c r="BW4987" s="153"/>
      <c r="BX4987" s="153"/>
      <c r="BY4987" s="153"/>
      <c r="BZ4987" s="153"/>
      <c r="CA4987" s="152"/>
      <c r="CB4987" s="152"/>
    </row>
    <row r="4988" spans="1:80" s="87" customFormat="1" x14ac:dyDescent="0.2">
      <c r="A4988" s="152"/>
      <c r="B4988" s="683"/>
      <c r="C4988" s="683"/>
      <c r="D4988" s="698"/>
      <c r="E4988" s="215"/>
      <c r="F4988" s="215"/>
      <c r="G4988" s="153"/>
      <c r="H4988" s="256" t="s">
        <v>94</v>
      </c>
      <c r="I4988" s="257"/>
      <c r="J4988" s="257"/>
      <c r="K4988" s="257"/>
      <c r="L4988" s="667"/>
      <c r="M4988" s="668">
        <v>27558</v>
      </c>
      <c r="N4988" s="602">
        <v>15.8</v>
      </c>
      <c r="O4988" s="595">
        <v>0.252</v>
      </c>
      <c r="P4988" s="258" t="s">
        <v>29</v>
      </c>
      <c r="Q4988" s="258" t="s">
        <v>29</v>
      </c>
      <c r="R4988" s="258">
        <v>0</v>
      </c>
      <c r="S4988" s="258">
        <v>1E-3</v>
      </c>
      <c r="T4988" s="242">
        <v>1.2999999999999999E-2</v>
      </c>
      <c r="U4988" s="242">
        <v>7.8E-2</v>
      </c>
      <c r="V4988" s="242">
        <v>0.13099999999999995</v>
      </c>
      <c r="W4988" s="242">
        <v>0.27500000000000002</v>
      </c>
      <c r="X4988" s="242">
        <v>0.44300000000000006</v>
      </c>
      <c r="Y4988" s="242">
        <v>5.9000000000000004E-2</v>
      </c>
      <c r="Z4988" s="150">
        <v>11.3</v>
      </c>
      <c r="AA4988" s="150">
        <v>0.5</v>
      </c>
      <c r="AB4988" s="152"/>
      <c r="AC4988" s="230">
        <v>6.9999999999999999E-4</v>
      </c>
      <c r="AD4988" s="154">
        <v>14.6</v>
      </c>
      <c r="AE4988" s="260">
        <v>1.02</v>
      </c>
      <c r="AF4988" s="150">
        <v>15</v>
      </c>
      <c r="AG4988" s="150">
        <v>1.06</v>
      </c>
      <c r="AH4988" s="347"/>
      <c r="AI4988" s="218"/>
      <c r="AJ4988" s="218"/>
      <c r="AK4988" s="153"/>
      <c r="AL4988" s="152"/>
      <c r="AM4988" s="152"/>
      <c r="AN4988" s="152"/>
      <c r="AO4988" s="152"/>
      <c r="AP4988" s="152"/>
      <c r="AQ4988" s="152"/>
      <c r="AR4988" s="152"/>
      <c r="AS4988" s="152"/>
      <c r="AT4988" s="152"/>
      <c r="AU4988" s="153"/>
      <c r="AV4988" s="479"/>
      <c r="AW4988" s="479"/>
      <c r="AX4988" s="442"/>
      <c r="AY4988" s="153"/>
      <c r="AZ4988" s="152"/>
      <c r="BA4988" s="152"/>
      <c r="BB4988" s="152"/>
      <c r="BC4988" s="152"/>
      <c r="BD4988" s="152"/>
      <c r="BE4988" s="152"/>
      <c r="BF4988" s="152"/>
      <c r="BG4988" s="152"/>
      <c r="BH4988" s="152"/>
      <c r="BI4988" s="153"/>
      <c r="BJ4988" s="153"/>
      <c r="BK4988" s="153"/>
      <c r="BL4988" s="153"/>
      <c r="BM4988" s="153"/>
      <c r="BN4988" s="153"/>
      <c r="BO4988" s="153"/>
      <c r="BP4988" s="153"/>
      <c r="BQ4988" s="153"/>
      <c r="BR4988" s="153"/>
      <c r="BS4988" s="153"/>
      <c r="BT4988" s="153"/>
      <c r="BU4988" s="153"/>
      <c r="BV4988" s="153"/>
      <c r="BW4988" s="153"/>
      <c r="BX4988" s="153"/>
      <c r="BY4988" s="153"/>
      <c r="BZ4988" s="153"/>
      <c r="CA4988" s="152"/>
      <c r="CB4988" s="152"/>
    </row>
    <row r="4989" spans="1:80" s="87" customFormat="1" x14ac:dyDescent="0.2">
      <c r="A4989" s="152"/>
      <c r="B4989" s="683"/>
      <c r="C4989" s="683"/>
      <c r="D4989" s="698"/>
      <c r="E4989" s="215"/>
      <c r="F4989" s="215"/>
      <c r="G4989" s="153"/>
      <c r="H4989" s="256" t="s">
        <v>94</v>
      </c>
      <c r="I4989" s="257"/>
      <c r="J4989" s="257"/>
      <c r="K4989" s="257"/>
      <c r="L4989" s="667"/>
      <c r="M4989" s="668">
        <v>27559</v>
      </c>
      <c r="N4989" s="602">
        <v>25.7</v>
      </c>
      <c r="O4989" s="595">
        <v>0.84299999999999997</v>
      </c>
      <c r="P4989" s="258" t="s">
        <v>29</v>
      </c>
      <c r="Q4989" s="258" t="s">
        <v>29</v>
      </c>
      <c r="R4989" s="258">
        <f>1-0.997</f>
        <v>3.0000000000000027E-3</v>
      </c>
      <c r="S4989" s="242">
        <v>2.9000000000000001E-2</v>
      </c>
      <c r="T4989" s="242">
        <v>7.9000000000000001E-2</v>
      </c>
      <c r="U4989" s="242">
        <v>0.20899999999999999</v>
      </c>
      <c r="V4989" s="242">
        <v>0.27200000000000002</v>
      </c>
      <c r="W4989" s="242">
        <v>0.26400000000000001</v>
      </c>
      <c r="X4989" s="242">
        <v>0.124</v>
      </c>
      <c r="Y4989" s="242">
        <v>0.02</v>
      </c>
      <c r="Z4989" s="150">
        <v>16</v>
      </c>
      <c r="AA4989" s="150">
        <v>1.27</v>
      </c>
      <c r="AB4989" s="152"/>
      <c r="AC4989" s="230">
        <v>6.9999999999999999E-4</v>
      </c>
      <c r="AD4989" s="154">
        <v>14.6</v>
      </c>
      <c r="AE4989" s="260">
        <v>1.44</v>
      </c>
      <c r="AF4989" s="150">
        <v>21.1</v>
      </c>
      <c r="AG4989" s="150">
        <v>1.22</v>
      </c>
      <c r="AH4989" s="347"/>
      <c r="AI4989" s="218"/>
      <c r="AJ4989" s="218"/>
      <c r="AK4989" s="153"/>
      <c r="AL4989" s="152"/>
      <c r="AM4989" s="152"/>
      <c r="AN4989" s="152"/>
      <c r="AO4989" s="152"/>
      <c r="AP4989" s="152"/>
      <c r="AQ4989" s="152"/>
      <c r="AR4989" s="152"/>
      <c r="AS4989" s="152"/>
      <c r="AT4989" s="152"/>
      <c r="AU4989" s="153"/>
      <c r="AV4989" s="479"/>
      <c r="AW4989" s="479"/>
      <c r="AX4989" s="442"/>
      <c r="AY4989" s="153"/>
      <c r="AZ4989" s="152"/>
      <c r="BA4989" s="152"/>
      <c r="BB4989" s="152"/>
      <c r="BC4989" s="152"/>
      <c r="BD4989" s="152"/>
      <c r="BE4989" s="152"/>
      <c r="BF4989" s="152"/>
      <c r="BG4989" s="152"/>
      <c r="BH4989" s="152"/>
      <c r="BI4989" s="153"/>
      <c r="BJ4989" s="153"/>
      <c r="BK4989" s="153"/>
      <c r="BL4989" s="153"/>
      <c r="BM4989" s="153"/>
      <c r="BN4989" s="153"/>
      <c r="BO4989" s="153"/>
      <c r="BP4989" s="153"/>
      <c r="BQ4989" s="153"/>
      <c r="BR4989" s="153"/>
      <c r="BS4989" s="153"/>
      <c r="BT4989" s="153"/>
      <c r="BU4989" s="153"/>
      <c r="BV4989" s="153"/>
      <c r="BW4989" s="153"/>
      <c r="BX4989" s="153"/>
      <c r="BY4989" s="153"/>
      <c r="BZ4989" s="153"/>
      <c r="CA4989" s="152"/>
      <c r="CB4989" s="152"/>
    </row>
    <row r="4990" spans="1:80" s="87" customFormat="1" x14ac:dyDescent="0.2">
      <c r="A4990" s="152"/>
      <c r="B4990" s="683"/>
      <c r="C4990" s="683"/>
      <c r="D4990" s="698"/>
      <c r="E4990" s="215"/>
      <c r="F4990" s="215"/>
      <c r="G4990" s="153"/>
      <c r="H4990" s="256" t="s">
        <v>94</v>
      </c>
      <c r="I4990" s="257"/>
      <c r="J4990" s="257"/>
      <c r="K4990" s="257"/>
      <c r="L4990" s="667"/>
      <c r="M4990" s="668">
        <v>27560</v>
      </c>
      <c r="N4990" s="602">
        <v>29</v>
      </c>
      <c r="O4990" s="595">
        <v>1.08</v>
      </c>
      <c r="P4990" s="258" t="s">
        <v>29</v>
      </c>
      <c r="Q4990" s="258" t="s">
        <v>29</v>
      </c>
      <c r="R4990" s="258">
        <f>1-0.995</f>
        <v>5.0000000000000044E-3</v>
      </c>
      <c r="S4990" s="242">
        <v>2.1999999999999999E-2</v>
      </c>
      <c r="T4990" s="242">
        <v>5.5E-2</v>
      </c>
      <c r="U4990" s="242">
        <v>0.17100000000000001</v>
      </c>
      <c r="V4990" s="242">
        <v>0.26900000000000007</v>
      </c>
      <c r="W4990" s="242">
        <v>0.34</v>
      </c>
      <c r="X4990" s="242">
        <v>0.125</v>
      </c>
      <c r="Y4990" s="242">
        <v>1.3000000000000001E-2</v>
      </c>
      <c r="Z4990" s="150">
        <v>16</v>
      </c>
      <c r="AA4990" s="150">
        <v>1.05</v>
      </c>
      <c r="AB4990" s="152"/>
      <c r="AC4990" s="230">
        <v>6.9999999999999999E-4</v>
      </c>
      <c r="AD4990" s="154">
        <v>14.6</v>
      </c>
      <c r="AE4990" s="260">
        <v>1.57</v>
      </c>
      <c r="AF4990" s="150">
        <v>22.9</v>
      </c>
      <c r="AG4990" s="150">
        <v>1.27</v>
      </c>
      <c r="AH4990" s="347"/>
      <c r="AI4990" s="218"/>
      <c r="AJ4990" s="218"/>
      <c r="AK4990" s="153"/>
      <c r="AL4990" s="152"/>
      <c r="AM4990" s="152"/>
      <c r="AN4990" s="152"/>
      <c r="AO4990" s="152"/>
      <c r="AP4990" s="152"/>
      <c r="AQ4990" s="152"/>
      <c r="AR4990" s="152"/>
      <c r="AS4990" s="152"/>
      <c r="AT4990" s="152"/>
      <c r="AU4990" s="153"/>
      <c r="AV4990" s="479"/>
      <c r="AW4990" s="479"/>
      <c r="AX4990" s="442"/>
      <c r="AY4990" s="153"/>
      <c r="AZ4990" s="152"/>
      <c r="BA4990" s="152"/>
      <c r="BB4990" s="152"/>
      <c r="BC4990" s="152"/>
      <c r="BD4990" s="152"/>
      <c r="BE4990" s="152"/>
      <c r="BF4990" s="152"/>
      <c r="BG4990" s="152"/>
      <c r="BH4990" s="152"/>
      <c r="BI4990" s="153"/>
      <c r="BJ4990" s="153"/>
      <c r="BK4990" s="153"/>
      <c r="BL4990" s="153"/>
      <c r="BM4990" s="153"/>
      <c r="BN4990" s="153"/>
      <c r="BO4990" s="153"/>
      <c r="BP4990" s="153"/>
      <c r="BQ4990" s="153"/>
      <c r="BR4990" s="153"/>
      <c r="BS4990" s="153"/>
      <c r="BT4990" s="153"/>
      <c r="BU4990" s="153"/>
      <c r="BV4990" s="153"/>
      <c r="BW4990" s="153"/>
      <c r="BX4990" s="153"/>
      <c r="BY4990" s="153"/>
      <c r="BZ4990" s="153"/>
      <c r="CA4990" s="152"/>
      <c r="CB4990" s="152"/>
    </row>
    <row r="4991" spans="1:80" s="87" customFormat="1" x14ac:dyDescent="0.2">
      <c r="A4991" s="152"/>
      <c r="B4991" s="683"/>
      <c r="C4991" s="683"/>
      <c r="D4991" s="698"/>
      <c r="E4991" s="215"/>
      <c r="F4991" s="215"/>
      <c r="G4991" s="153"/>
      <c r="H4991" s="256" t="s">
        <v>94</v>
      </c>
      <c r="I4991" s="257"/>
      <c r="J4991" s="257"/>
      <c r="K4991" s="257"/>
      <c r="L4991" s="667"/>
      <c r="M4991" s="668">
        <v>27561</v>
      </c>
      <c r="N4991" s="602">
        <v>30.3</v>
      </c>
      <c r="O4991" s="595">
        <v>1.08</v>
      </c>
      <c r="P4991" s="258" t="s">
        <v>29</v>
      </c>
      <c r="Q4991" s="258" t="s">
        <v>29</v>
      </c>
      <c r="R4991" s="258">
        <f>1-0.993</f>
        <v>7.0000000000000062E-3</v>
      </c>
      <c r="S4991" s="242">
        <v>2.1999999999999999E-2</v>
      </c>
      <c r="T4991" s="242">
        <v>7.3999999999999996E-2</v>
      </c>
      <c r="U4991" s="242">
        <v>0.20399999999999999</v>
      </c>
      <c r="V4991" s="242">
        <v>0.254</v>
      </c>
      <c r="W4991" s="242">
        <v>0.29899999999999999</v>
      </c>
      <c r="X4991" s="242">
        <v>0.126</v>
      </c>
      <c r="Y4991" s="242">
        <v>1.3999999999999999E-2</v>
      </c>
      <c r="Z4991" s="150">
        <v>16</v>
      </c>
      <c r="AA4991" s="150">
        <v>1.19</v>
      </c>
      <c r="AB4991" s="152"/>
      <c r="AC4991" s="230">
        <v>6.9999999999999999E-4</v>
      </c>
      <c r="AD4991" s="154">
        <v>14.6</v>
      </c>
      <c r="AE4991" s="260">
        <v>1.62</v>
      </c>
      <c r="AF4991" s="150">
        <v>23.6</v>
      </c>
      <c r="AG4991" s="150">
        <v>1.28</v>
      </c>
      <c r="AH4991" s="347"/>
      <c r="AI4991" s="218"/>
      <c r="AJ4991" s="218"/>
      <c r="AK4991" s="153"/>
      <c r="AL4991" s="152"/>
      <c r="AM4991" s="152"/>
      <c r="AN4991" s="152"/>
      <c r="AO4991" s="152"/>
      <c r="AP4991" s="152"/>
      <c r="AQ4991" s="152"/>
      <c r="AR4991" s="152"/>
      <c r="AS4991" s="152"/>
      <c r="AT4991" s="152"/>
      <c r="AU4991" s="153"/>
      <c r="AV4991" s="479"/>
      <c r="AW4991" s="479"/>
      <c r="AX4991" s="442"/>
      <c r="AY4991" s="153"/>
      <c r="AZ4991" s="152"/>
      <c r="BA4991" s="152"/>
      <c r="BB4991" s="152"/>
      <c r="BC4991" s="152"/>
      <c r="BD4991" s="152"/>
      <c r="BE4991" s="152"/>
      <c r="BF4991" s="152"/>
      <c r="BG4991" s="152"/>
      <c r="BH4991" s="152"/>
      <c r="BI4991" s="153"/>
      <c r="BJ4991" s="153"/>
      <c r="BK4991" s="153"/>
      <c r="BL4991" s="153"/>
      <c r="BM4991" s="153"/>
      <c r="BN4991" s="153"/>
      <c r="BO4991" s="153"/>
      <c r="BP4991" s="153"/>
      <c r="BQ4991" s="153"/>
      <c r="BR4991" s="153"/>
      <c r="BS4991" s="153"/>
      <c r="BT4991" s="153"/>
      <c r="BU4991" s="153"/>
      <c r="BV4991" s="153"/>
      <c r="BW4991" s="153"/>
      <c r="BX4991" s="153"/>
      <c r="BY4991" s="153"/>
      <c r="BZ4991" s="153"/>
      <c r="CA4991" s="152"/>
      <c r="CB4991" s="152"/>
    </row>
    <row r="4992" spans="1:80" s="87" customFormat="1" x14ac:dyDescent="0.2">
      <c r="A4992" s="152"/>
      <c r="B4992" s="683"/>
      <c r="C4992" s="683"/>
      <c r="D4992" s="698"/>
      <c r="E4992" s="215"/>
      <c r="F4992" s="215"/>
      <c r="G4992" s="153"/>
      <c r="H4992" s="256" t="s">
        <v>94</v>
      </c>
      <c r="I4992" s="257"/>
      <c r="J4992" s="257"/>
      <c r="K4992" s="257"/>
      <c r="L4992" s="667"/>
      <c r="M4992" s="668">
        <v>27562</v>
      </c>
      <c r="N4992" s="595">
        <v>22.2</v>
      </c>
      <c r="O4992" s="595">
        <v>0.72499999999999998</v>
      </c>
      <c r="P4992" s="258" t="s">
        <v>29</v>
      </c>
      <c r="Q4992" s="258" t="s">
        <v>29</v>
      </c>
      <c r="R4992" s="258">
        <f>1-0.999</f>
        <v>1.0000000000000009E-3</v>
      </c>
      <c r="S4992" s="242">
        <v>1.7000000000000001E-2</v>
      </c>
      <c r="T4992" s="242">
        <v>7.4999999999999997E-2</v>
      </c>
      <c r="U4992" s="242">
        <v>0.223</v>
      </c>
      <c r="V4992" s="242">
        <v>0.31500000000000006</v>
      </c>
      <c r="W4992" s="242">
        <v>0.251</v>
      </c>
      <c r="X4992" s="242">
        <v>0.109</v>
      </c>
      <c r="Y4992" s="242">
        <v>9.0000000000000011E-3</v>
      </c>
      <c r="Z4992" s="150">
        <v>16</v>
      </c>
      <c r="AA4992" s="150">
        <v>1.36</v>
      </c>
      <c r="AB4992" s="152"/>
      <c r="AC4992" s="230">
        <v>6.9999999999999999E-4</v>
      </c>
      <c r="AD4992" s="154">
        <v>14.6</v>
      </c>
      <c r="AE4992" s="260">
        <v>1.3</v>
      </c>
      <c r="AF4992" s="150">
        <v>19</v>
      </c>
      <c r="AG4992" s="150">
        <v>1.17</v>
      </c>
      <c r="AH4992" s="347"/>
      <c r="AI4992" s="218"/>
      <c r="AJ4992" s="218"/>
      <c r="AK4992" s="153"/>
      <c r="AL4992" s="152"/>
      <c r="AM4992" s="152"/>
      <c r="AN4992" s="152"/>
      <c r="AO4992" s="152"/>
      <c r="AP4992" s="152"/>
      <c r="AQ4992" s="152"/>
      <c r="AR4992" s="152"/>
      <c r="AS4992" s="152"/>
      <c r="AT4992" s="152"/>
      <c r="AU4992" s="153"/>
      <c r="AV4992" s="479"/>
      <c r="AW4992" s="479"/>
      <c r="AX4992" s="442"/>
      <c r="AY4992" s="153"/>
      <c r="AZ4992" s="152"/>
      <c r="BA4992" s="152"/>
      <c r="BB4992" s="152"/>
      <c r="BC4992" s="152"/>
      <c r="BD4992" s="152"/>
      <c r="BE4992" s="152"/>
      <c r="BF4992" s="152"/>
      <c r="BG4992" s="152"/>
      <c r="BH4992" s="152"/>
      <c r="BI4992" s="153"/>
      <c r="BJ4992" s="153"/>
      <c r="BK4992" s="153"/>
      <c r="BL4992" s="153"/>
      <c r="BM4992" s="153"/>
      <c r="BN4992" s="153"/>
      <c r="BO4992" s="153"/>
      <c r="BP4992" s="153"/>
      <c r="BQ4992" s="153"/>
      <c r="BR4992" s="153"/>
      <c r="BS4992" s="153"/>
      <c r="BT4992" s="153"/>
      <c r="BU4992" s="153"/>
      <c r="BV4992" s="153"/>
      <c r="BW4992" s="153"/>
      <c r="BX4992" s="153"/>
      <c r="BY4992" s="153"/>
      <c r="BZ4992" s="153"/>
      <c r="CA4992" s="152"/>
      <c r="CB4992" s="152"/>
    </row>
    <row r="4993" spans="1:80" s="87" customFormat="1" x14ac:dyDescent="0.2">
      <c r="A4993" s="152"/>
      <c r="B4993" s="683"/>
      <c r="C4993" s="683"/>
      <c r="D4993" s="698"/>
      <c r="E4993" s="215"/>
      <c r="F4993" s="215"/>
      <c r="G4993" s="153"/>
      <c r="H4993" s="256" t="s">
        <v>95</v>
      </c>
      <c r="I4993" s="257"/>
      <c r="J4993" s="257"/>
      <c r="K4993" s="257"/>
      <c r="L4993" s="667"/>
      <c r="M4993" s="668">
        <v>27563</v>
      </c>
      <c r="N4993" s="595">
        <v>12.8</v>
      </c>
      <c r="O4993" s="595">
        <v>9.7000000000000003E-2</v>
      </c>
      <c r="P4993" s="258" t="s">
        <v>29</v>
      </c>
      <c r="Q4993" s="258" t="s">
        <v>29</v>
      </c>
      <c r="R4993" s="258">
        <v>0</v>
      </c>
      <c r="S4993" s="258">
        <v>1E-3</v>
      </c>
      <c r="T4993" s="242">
        <v>8.9999999999999993E-3</v>
      </c>
      <c r="U4993" s="242">
        <v>5.5E-2</v>
      </c>
      <c r="V4993" s="242">
        <v>0.19200000000000003</v>
      </c>
      <c r="W4993" s="242">
        <v>0.32</v>
      </c>
      <c r="X4993" s="242">
        <v>0.374</v>
      </c>
      <c r="Y4993" s="242">
        <v>4.9000000000000002E-2</v>
      </c>
      <c r="Z4993" s="220">
        <v>11.3</v>
      </c>
      <c r="AA4993" s="150">
        <v>0.59</v>
      </c>
      <c r="AB4993" s="152"/>
      <c r="AC4993" s="230">
        <v>6.9999999999999999E-4</v>
      </c>
      <c r="AD4993" s="154">
        <v>14.6</v>
      </c>
      <c r="AE4993" s="260">
        <v>0.88</v>
      </c>
      <c r="AF4993" s="150">
        <v>12.9</v>
      </c>
      <c r="AG4993" s="150">
        <v>0.99</v>
      </c>
      <c r="AH4993" s="347"/>
      <c r="AI4993" s="218"/>
      <c r="AJ4993" s="218"/>
      <c r="AK4993" s="153"/>
      <c r="AL4993" s="152"/>
      <c r="AM4993" s="152"/>
      <c r="AN4993" s="152"/>
      <c r="AO4993" s="152"/>
      <c r="AP4993" s="152"/>
      <c r="AQ4993" s="152"/>
      <c r="AR4993" s="152"/>
      <c r="AS4993" s="152"/>
      <c r="AT4993" s="152"/>
      <c r="AU4993" s="153"/>
      <c r="AV4993" s="479"/>
      <c r="AW4993" s="479"/>
      <c r="AX4993" s="442"/>
      <c r="AY4993" s="153"/>
      <c r="AZ4993" s="152"/>
      <c r="BA4993" s="152"/>
      <c r="BB4993" s="152"/>
      <c r="BC4993" s="152"/>
      <c r="BD4993" s="152"/>
      <c r="BE4993" s="152"/>
      <c r="BF4993" s="152"/>
      <c r="BG4993" s="152"/>
      <c r="BH4993" s="152"/>
      <c r="BI4993" s="153"/>
      <c r="BJ4993" s="153"/>
      <c r="BK4993" s="153"/>
      <c r="BL4993" s="153"/>
      <c r="BM4993" s="153"/>
      <c r="BN4993" s="153"/>
      <c r="BO4993" s="153"/>
      <c r="BP4993" s="153"/>
      <c r="BQ4993" s="153"/>
      <c r="BR4993" s="153"/>
      <c r="BS4993" s="153"/>
      <c r="BT4993" s="153"/>
      <c r="BU4993" s="153"/>
      <c r="BV4993" s="153"/>
      <c r="BW4993" s="153"/>
      <c r="BX4993" s="153"/>
      <c r="BY4993" s="153"/>
      <c r="BZ4993" s="153"/>
      <c r="CA4993" s="152"/>
      <c r="CB4993" s="152"/>
    </row>
    <row r="4994" spans="1:80" s="87" customFormat="1" x14ac:dyDescent="0.2">
      <c r="A4994" s="152"/>
      <c r="B4994" s="683"/>
      <c r="C4994" s="683"/>
      <c r="D4994" s="698"/>
      <c r="E4994" s="215"/>
      <c r="F4994" s="215"/>
      <c r="G4994" s="153"/>
      <c r="H4994" s="256" t="s">
        <v>94</v>
      </c>
      <c r="I4994" s="257"/>
      <c r="J4994" s="257"/>
      <c r="K4994" s="257"/>
      <c r="L4994" s="667"/>
      <c r="M4994" s="668">
        <v>27564</v>
      </c>
      <c r="N4994" s="595">
        <v>10.1</v>
      </c>
      <c r="O4994" s="595">
        <v>8.7999999999999995E-2</v>
      </c>
      <c r="P4994" s="258" t="s">
        <v>29</v>
      </c>
      <c r="Q4994" s="258" t="s">
        <v>29</v>
      </c>
      <c r="R4994" s="258">
        <v>0</v>
      </c>
      <c r="S4994" s="242">
        <v>4.0000000000000001E-3</v>
      </c>
      <c r="T4994" s="242">
        <v>2.3E-2</v>
      </c>
      <c r="U4994" s="242">
        <v>9.9000000000000005E-2</v>
      </c>
      <c r="V4994" s="242">
        <v>0.24300000000000005</v>
      </c>
      <c r="W4994" s="242">
        <v>0.33100000000000002</v>
      </c>
      <c r="X4994" s="242">
        <v>0.26500000000000001</v>
      </c>
      <c r="Y4994" s="242">
        <v>3.5000000000000003E-2</v>
      </c>
      <c r="Z4994" s="220">
        <v>16</v>
      </c>
      <c r="AA4994" s="150">
        <v>0.73</v>
      </c>
      <c r="AB4994" s="152"/>
      <c r="AC4994" s="230">
        <v>6.9999999999999999E-4</v>
      </c>
      <c r="AD4994" s="154">
        <v>14.6</v>
      </c>
      <c r="AE4994" s="260">
        <v>0.75</v>
      </c>
      <c r="AF4994" s="150">
        <v>10.9</v>
      </c>
      <c r="AG4994" s="150">
        <v>0.92</v>
      </c>
      <c r="AH4994" s="347"/>
      <c r="AI4994" s="218"/>
      <c r="AJ4994" s="218"/>
      <c r="AK4994" s="153"/>
      <c r="AL4994" s="152"/>
      <c r="AM4994" s="152"/>
      <c r="AN4994" s="152"/>
      <c r="AO4994" s="152"/>
      <c r="AP4994" s="152"/>
      <c r="AQ4994" s="152"/>
      <c r="AR4994" s="152"/>
      <c r="AS4994" s="152"/>
      <c r="AT4994" s="152"/>
      <c r="AU4994" s="153"/>
      <c r="AV4994" s="479"/>
      <c r="AW4994" s="479"/>
      <c r="AX4994" s="442"/>
      <c r="AY4994" s="153"/>
      <c r="AZ4994" s="152"/>
      <c r="BA4994" s="152"/>
      <c r="BB4994" s="152"/>
      <c r="BC4994" s="152"/>
      <c r="BD4994" s="152"/>
      <c r="BE4994" s="152"/>
      <c r="BF4994" s="152"/>
      <c r="BG4994" s="152"/>
      <c r="BH4994" s="152"/>
      <c r="BI4994" s="153"/>
      <c r="BJ4994" s="153"/>
      <c r="BK4994" s="153"/>
      <c r="BL4994" s="153"/>
      <c r="BM4994" s="153"/>
      <c r="BN4994" s="153"/>
      <c r="BO4994" s="153"/>
      <c r="BP4994" s="153"/>
      <c r="BQ4994" s="153"/>
      <c r="BR4994" s="153"/>
      <c r="BS4994" s="153"/>
      <c r="BT4994" s="153"/>
      <c r="BU4994" s="153"/>
      <c r="BV4994" s="153"/>
      <c r="BW4994" s="153"/>
      <c r="BX4994" s="153"/>
      <c r="BY4994" s="153"/>
      <c r="BZ4994" s="153"/>
      <c r="CA4994" s="152"/>
      <c r="CB4994" s="152"/>
    </row>
    <row r="4995" spans="1:80" s="87" customFormat="1" x14ac:dyDescent="0.2">
      <c r="A4995" s="152"/>
      <c r="B4995" s="683"/>
      <c r="C4995" s="683"/>
      <c r="D4995" s="698"/>
      <c r="E4995" s="215"/>
      <c r="F4995" s="215"/>
      <c r="G4995" s="153"/>
      <c r="H4995" s="256" t="s">
        <v>94</v>
      </c>
      <c r="I4995" s="257"/>
      <c r="J4995" s="257"/>
      <c r="K4995" s="257"/>
      <c r="L4995" s="667"/>
      <c r="M4995" s="668">
        <v>27566</v>
      </c>
      <c r="N4995" s="595">
        <v>7.23</v>
      </c>
      <c r="O4995" s="595">
        <v>2.9000000000000001E-2</v>
      </c>
      <c r="P4995" s="258" t="s">
        <v>29</v>
      </c>
      <c r="Q4995" s="258" t="s">
        <v>29</v>
      </c>
      <c r="R4995" s="258">
        <v>0</v>
      </c>
      <c r="S4995" s="258">
        <v>0.01</v>
      </c>
      <c r="T4995" s="242">
        <v>3.5999999999999997E-2</v>
      </c>
      <c r="U4995" s="242">
        <v>0.11700000000000001</v>
      </c>
      <c r="V4995" s="242">
        <v>0.19900000000000007</v>
      </c>
      <c r="W4995" s="242">
        <v>0.28799999999999998</v>
      </c>
      <c r="X4995" s="242">
        <v>0.28000000000000003</v>
      </c>
      <c r="Y4995" s="242">
        <v>7.0000000000000007E-2</v>
      </c>
      <c r="Z4995" s="220">
        <v>11.3</v>
      </c>
      <c r="AA4995" s="150">
        <v>0.7</v>
      </c>
      <c r="AB4995" s="152"/>
      <c r="AC4995" s="230">
        <v>6.9999999999999999E-4</v>
      </c>
      <c r="AD4995" s="154">
        <v>14.6</v>
      </c>
      <c r="AE4995" s="260">
        <v>0.59</v>
      </c>
      <c r="AF4995" s="150">
        <v>8.64</v>
      </c>
      <c r="AG4995" s="150">
        <v>0.84</v>
      </c>
      <c r="AH4995" s="347"/>
      <c r="AI4995" s="218"/>
      <c r="AJ4995" s="218"/>
      <c r="AK4995" s="153"/>
      <c r="AL4995" s="152"/>
      <c r="AM4995" s="152"/>
      <c r="AN4995" s="152"/>
      <c r="AO4995" s="152"/>
      <c r="AP4995" s="152"/>
      <c r="AQ4995" s="152"/>
      <c r="AR4995" s="152"/>
      <c r="AS4995" s="152"/>
      <c r="AT4995" s="152"/>
      <c r="AU4995" s="153"/>
      <c r="AV4995" s="479"/>
      <c r="AW4995" s="479"/>
      <c r="AX4995" s="442"/>
      <c r="AY4995" s="153"/>
      <c r="AZ4995" s="152"/>
      <c r="BA4995" s="152"/>
      <c r="BB4995" s="152"/>
      <c r="BC4995" s="152"/>
      <c r="BD4995" s="152"/>
      <c r="BE4995" s="152"/>
      <c r="BF4995" s="152"/>
      <c r="BG4995" s="152"/>
      <c r="BH4995" s="152"/>
      <c r="BI4995" s="153"/>
      <c r="BJ4995" s="153"/>
      <c r="BK4995" s="153"/>
      <c r="BL4995" s="153"/>
      <c r="BM4995" s="153"/>
      <c r="BN4995" s="153"/>
      <c r="BO4995" s="153"/>
      <c r="BP4995" s="153"/>
      <c r="BQ4995" s="153"/>
      <c r="BR4995" s="153"/>
      <c r="BS4995" s="153"/>
      <c r="BT4995" s="153"/>
      <c r="BU4995" s="153"/>
      <c r="BV4995" s="153"/>
      <c r="BW4995" s="153"/>
      <c r="BX4995" s="153"/>
      <c r="BY4995" s="153"/>
      <c r="BZ4995" s="153"/>
      <c r="CA4995" s="152"/>
      <c r="CB4995" s="152"/>
    </row>
    <row r="4996" spans="1:80" s="87" customFormat="1" x14ac:dyDescent="0.2">
      <c r="A4996" s="152"/>
      <c r="B4996" s="683"/>
      <c r="C4996" s="683"/>
      <c r="D4996" s="698"/>
      <c r="E4996" s="215"/>
      <c r="F4996" s="215"/>
      <c r="G4996" s="153"/>
      <c r="H4996" s="256" t="s">
        <v>94</v>
      </c>
      <c r="I4996" s="257"/>
      <c r="J4996" s="257"/>
      <c r="K4996" s="257"/>
      <c r="L4996" s="667"/>
      <c r="M4996" s="668">
        <v>27567</v>
      </c>
      <c r="N4996" s="600">
        <v>7.01</v>
      </c>
      <c r="O4996" s="595">
        <v>4.2999999999999997E-2</v>
      </c>
      <c r="P4996" s="258" t="s">
        <v>29</v>
      </c>
      <c r="Q4996" s="258" t="s">
        <v>29</v>
      </c>
      <c r="R4996" s="258">
        <v>0</v>
      </c>
      <c r="S4996" s="242">
        <v>0.01</v>
      </c>
      <c r="T4996" s="242">
        <v>2.8000000000000001E-2</v>
      </c>
      <c r="U4996" s="242">
        <v>9.5000000000000001E-2</v>
      </c>
      <c r="V4996" s="242">
        <v>0.18100000000000008</v>
      </c>
      <c r="W4996" s="242">
        <v>0.29599999999999993</v>
      </c>
      <c r="X4996" s="242">
        <v>0.32</v>
      </c>
      <c r="Y4996" s="242">
        <v>7.0000000000000007E-2</v>
      </c>
      <c r="Z4996" s="220">
        <v>16</v>
      </c>
      <c r="AA4996" s="150">
        <v>0.64</v>
      </c>
      <c r="AB4996" s="152"/>
      <c r="AC4996" s="230">
        <v>6.9999999999999999E-4</v>
      </c>
      <c r="AD4996" s="154">
        <v>14.6</v>
      </c>
      <c r="AE4996" s="260">
        <v>0.57999999999999996</v>
      </c>
      <c r="AF4996" s="150">
        <v>8.4499999999999993</v>
      </c>
      <c r="AG4996" s="150">
        <v>0.83</v>
      </c>
      <c r="AH4996" s="347"/>
      <c r="AI4996" s="218"/>
      <c r="AJ4996" s="218"/>
      <c r="AK4996" s="153"/>
      <c r="AL4996" s="152"/>
      <c r="AM4996" s="152"/>
      <c r="AN4996" s="152"/>
      <c r="AO4996" s="152"/>
      <c r="AP4996" s="152"/>
      <c r="AQ4996" s="152"/>
      <c r="AR4996" s="152"/>
      <c r="AS4996" s="152"/>
      <c r="AT4996" s="152"/>
      <c r="AU4996" s="153"/>
      <c r="AV4996" s="479"/>
      <c r="AW4996" s="479"/>
      <c r="AX4996" s="442"/>
      <c r="AY4996" s="153"/>
      <c r="AZ4996" s="152"/>
      <c r="BA4996" s="152"/>
      <c r="BB4996" s="152"/>
      <c r="BC4996" s="152"/>
      <c r="BD4996" s="152"/>
      <c r="BE4996" s="152"/>
      <c r="BF4996" s="152"/>
      <c r="BG4996" s="152"/>
      <c r="BH4996" s="152"/>
      <c r="BI4996" s="153"/>
      <c r="BJ4996" s="153"/>
      <c r="BK4996" s="153"/>
      <c r="BL4996" s="153"/>
      <c r="BM4996" s="153"/>
      <c r="BN4996" s="153"/>
      <c r="BO4996" s="153"/>
      <c r="BP4996" s="153"/>
      <c r="BQ4996" s="153"/>
      <c r="BR4996" s="153"/>
      <c r="BS4996" s="153"/>
      <c r="BT4996" s="153"/>
      <c r="BU4996" s="153"/>
      <c r="BV4996" s="153"/>
      <c r="BW4996" s="153"/>
      <c r="BX4996" s="153"/>
      <c r="BY4996" s="153"/>
      <c r="BZ4996" s="153"/>
      <c r="CA4996" s="152"/>
      <c r="CB4996" s="152"/>
    </row>
    <row r="4997" spans="1:80" s="87" customFormat="1" x14ac:dyDescent="0.2">
      <c r="A4997" s="152"/>
      <c r="B4997" s="683"/>
      <c r="C4997" s="683"/>
      <c r="D4997" s="698"/>
      <c r="E4997" s="215"/>
      <c r="F4997" s="215"/>
      <c r="G4997" s="153"/>
      <c r="H4997" s="256" t="s">
        <v>94</v>
      </c>
      <c r="I4997" s="257"/>
      <c r="J4997" s="257"/>
      <c r="K4997" s="257"/>
      <c r="L4997" s="667"/>
      <c r="M4997" s="668">
        <v>27568</v>
      </c>
      <c r="N4997" s="595">
        <v>8.24</v>
      </c>
      <c r="O4997" s="595">
        <v>5.6000000000000001E-2</v>
      </c>
      <c r="P4997" s="258" t="s">
        <v>29</v>
      </c>
      <c r="Q4997" s="258" t="s">
        <v>29</v>
      </c>
      <c r="R4997" s="258">
        <v>0</v>
      </c>
      <c r="S4997" s="242">
        <v>7.0000000000000001E-3</v>
      </c>
      <c r="T4997" s="242">
        <v>2.7E-2</v>
      </c>
      <c r="U4997" s="242">
        <v>0.115</v>
      </c>
      <c r="V4997" s="242">
        <v>0.23199999999999996</v>
      </c>
      <c r="W4997" s="242">
        <v>0.32099999999999995</v>
      </c>
      <c r="X4997" s="242">
        <v>0.25700000000000001</v>
      </c>
      <c r="Y4997" s="242">
        <v>4.0999999999999995E-2</v>
      </c>
      <c r="Z4997" s="220">
        <v>16</v>
      </c>
      <c r="AA4997" s="150">
        <v>0.77</v>
      </c>
      <c r="AB4997" s="152"/>
      <c r="AC4997" s="230">
        <v>6.9999999999999999E-4</v>
      </c>
      <c r="AD4997" s="154">
        <v>14.6</v>
      </c>
      <c r="AE4997" s="260">
        <v>0.65</v>
      </c>
      <c r="AF4997" s="150">
        <v>9.4700000000000006</v>
      </c>
      <c r="AG4997" s="150">
        <v>0.87</v>
      </c>
      <c r="AH4997" s="347"/>
      <c r="AI4997" s="218"/>
      <c r="AJ4997" s="218"/>
      <c r="AK4997" s="153"/>
      <c r="AL4997" s="152"/>
      <c r="AM4997" s="152"/>
      <c r="AN4997" s="152"/>
      <c r="AO4997" s="152"/>
      <c r="AP4997" s="152"/>
      <c r="AQ4997" s="152"/>
      <c r="AR4997" s="152"/>
      <c r="AS4997" s="152"/>
      <c r="AT4997" s="152"/>
      <c r="AU4997" s="153"/>
      <c r="AV4997" s="479"/>
      <c r="AW4997" s="479"/>
      <c r="AX4997" s="442"/>
      <c r="AY4997" s="153"/>
      <c r="AZ4997" s="152"/>
      <c r="BA4997" s="152"/>
      <c r="BB4997" s="152"/>
      <c r="BC4997" s="152"/>
      <c r="BD4997" s="152"/>
      <c r="BE4997" s="152"/>
      <c r="BF4997" s="152"/>
      <c r="BG4997" s="152"/>
      <c r="BH4997" s="152"/>
      <c r="BI4997" s="153"/>
      <c r="BJ4997" s="153"/>
      <c r="BK4997" s="153"/>
      <c r="BL4997" s="153"/>
      <c r="BM4997" s="153"/>
      <c r="BN4997" s="153"/>
      <c r="BO4997" s="153"/>
      <c r="BP4997" s="153"/>
      <c r="BQ4997" s="153"/>
      <c r="BR4997" s="153"/>
      <c r="BS4997" s="153"/>
      <c r="BT4997" s="153"/>
      <c r="BU4997" s="153"/>
      <c r="BV4997" s="153"/>
      <c r="BW4997" s="153"/>
      <c r="BX4997" s="153"/>
      <c r="BY4997" s="153"/>
      <c r="BZ4997" s="153"/>
      <c r="CA4997" s="152"/>
      <c r="CB4997" s="152"/>
    </row>
    <row r="4998" spans="1:80" s="87" customFormat="1" x14ac:dyDescent="0.2">
      <c r="A4998" s="152"/>
      <c r="B4998" s="683"/>
      <c r="C4998" s="683"/>
      <c r="D4998" s="698"/>
      <c r="E4998" s="215"/>
      <c r="F4998" s="215"/>
      <c r="G4998" s="153"/>
      <c r="H4998" s="256" t="s">
        <v>94</v>
      </c>
      <c r="I4998" s="257"/>
      <c r="J4998" s="257"/>
      <c r="K4998" s="257"/>
      <c r="L4998" s="667"/>
      <c r="M4998" s="668">
        <v>27569</v>
      </c>
      <c r="N4998" s="595">
        <v>10.8</v>
      </c>
      <c r="O4998" s="595">
        <v>0.17699999999999999</v>
      </c>
      <c r="P4998" s="258" t="s">
        <v>29</v>
      </c>
      <c r="Q4998" s="258" t="s">
        <v>29</v>
      </c>
      <c r="R4998" s="258">
        <v>0</v>
      </c>
      <c r="S4998" s="258">
        <v>2E-3</v>
      </c>
      <c r="T4998" s="242">
        <v>4.9000000000000002E-2</v>
      </c>
      <c r="U4998" s="242">
        <v>0.17299999999999999</v>
      </c>
      <c r="V4998" s="242">
        <v>0.26899999999999991</v>
      </c>
      <c r="W4998" s="242">
        <v>0.26500000000000001</v>
      </c>
      <c r="X4998" s="242">
        <v>0.21</v>
      </c>
      <c r="Y4998" s="242">
        <v>3.2000000000000001E-2</v>
      </c>
      <c r="Z4998" s="220">
        <v>11.3</v>
      </c>
      <c r="AA4998" s="150">
        <v>0.98</v>
      </c>
      <c r="AB4998" s="152"/>
      <c r="AC4998" s="230">
        <v>6.9999999999999999E-4</v>
      </c>
      <c r="AD4998" s="154">
        <v>14.6</v>
      </c>
      <c r="AE4998" s="260">
        <v>0.78</v>
      </c>
      <c r="AF4998" s="150">
        <v>11.5</v>
      </c>
      <c r="AG4998" s="150">
        <v>0.94</v>
      </c>
      <c r="AH4998" s="347"/>
      <c r="AI4998" s="218"/>
      <c r="AJ4998" s="218"/>
      <c r="AK4998" s="153"/>
      <c r="AL4998" s="152"/>
      <c r="AM4998" s="152"/>
      <c r="AN4998" s="152"/>
      <c r="AO4998" s="152"/>
      <c r="AP4998" s="152"/>
      <c r="AQ4998" s="152"/>
      <c r="AR4998" s="152"/>
      <c r="AS4998" s="152"/>
      <c r="AT4998" s="152"/>
      <c r="AU4998" s="153"/>
      <c r="AV4998" s="479"/>
      <c r="AW4998" s="479"/>
      <c r="AX4998" s="442"/>
      <c r="AY4998" s="153"/>
      <c r="AZ4998" s="152"/>
      <c r="BA4998" s="152"/>
      <c r="BB4998" s="152"/>
      <c r="BC4998" s="152"/>
      <c r="BD4998" s="152"/>
      <c r="BE4998" s="152"/>
      <c r="BF4998" s="152"/>
      <c r="BG4998" s="152"/>
      <c r="BH4998" s="152"/>
      <c r="BI4998" s="153"/>
      <c r="BJ4998" s="153"/>
      <c r="BK4998" s="153"/>
      <c r="BL4998" s="153"/>
      <c r="BM4998" s="153"/>
      <c r="BN4998" s="153"/>
      <c r="BO4998" s="153"/>
      <c r="BP4998" s="153"/>
      <c r="BQ4998" s="153"/>
      <c r="BR4998" s="153"/>
      <c r="BS4998" s="153"/>
      <c r="BT4998" s="153"/>
      <c r="BU4998" s="153"/>
      <c r="BV4998" s="153"/>
      <c r="BW4998" s="153"/>
      <c r="BX4998" s="153"/>
      <c r="BY4998" s="153"/>
      <c r="BZ4998" s="153"/>
      <c r="CA4998" s="152"/>
      <c r="CB4998" s="152"/>
    </row>
    <row r="4999" spans="1:80" s="87" customFormat="1" x14ac:dyDescent="0.2">
      <c r="A4999" s="152"/>
      <c r="B4999" s="683"/>
      <c r="C4999" s="683"/>
      <c r="D4999" s="698"/>
      <c r="E4999" s="215"/>
      <c r="F4999" s="215"/>
      <c r="G4999" s="153"/>
      <c r="H4999" s="256" t="s">
        <v>94</v>
      </c>
      <c r="I4999" s="257"/>
      <c r="J4999" s="257"/>
      <c r="K4999" s="257"/>
      <c r="L4999" s="667"/>
      <c r="M4999" s="668">
        <v>27570</v>
      </c>
      <c r="N4999" s="595">
        <v>21.7</v>
      </c>
      <c r="O4999" s="595">
        <v>0.76300000000000001</v>
      </c>
      <c r="P4999" s="258" t="s">
        <v>29</v>
      </c>
      <c r="Q4999" s="258" t="s">
        <v>29</v>
      </c>
      <c r="R4999" s="258">
        <f>1-0.998</f>
        <v>2.0000000000000018E-3</v>
      </c>
      <c r="S4999" s="242">
        <v>2.9000000000000001E-2</v>
      </c>
      <c r="T4999" s="242">
        <v>7.9000000000000001E-2</v>
      </c>
      <c r="U4999" s="242">
        <v>0.184</v>
      </c>
      <c r="V4999" s="242">
        <v>0.24099999999999994</v>
      </c>
      <c r="W4999" s="242">
        <v>0.28699999999999998</v>
      </c>
      <c r="X4999" s="242">
        <v>0.16300000000000001</v>
      </c>
      <c r="Y4999" s="242">
        <v>1.4999999999999999E-2</v>
      </c>
      <c r="Z4999" s="220">
        <v>16</v>
      </c>
      <c r="AA4999" s="150">
        <v>1.1000000000000001</v>
      </c>
      <c r="AB4999" s="152"/>
      <c r="AC4999" s="230">
        <v>6.9999999999999999E-4</v>
      </c>
      <c r="AD4999" s="154">
        <v>14.6</v>
      </c>
      <c r="AE4999" s="260">
        <v>1.28</v>
      </c>
      <c r="AF4999" s="150">
        <v>18.7</v>
      </c>
      <c r="AG4999" s="150">
        <v>1.1599999999999999</v>
      </c>
      <c r="AH4999" s="347"/>
      <c r="AI4999" s="218"/>
      <c r="AJ4999" s="218"/>
      <c r="AK4999" s="153"/>
      <c r="AL4999" s="152"/>
      <c r="AM4999" s="152"/>
      <c r="AN4999" s="152"/>
      <c r="AO4999" s="152"/>
      <c r="AP4999" s="152"/>
      <c r="AQ4999" s="152"/>
      <c r="AR4999" s="152"/>
      <c r="AS4999" s="152"/>
      <c r="AT4999" s="152"/>
      <c r="AU4999" s="153"/>
      <c r="AV4999" s="479"/>
      <c r="AW4999" s="479"/>
      <c r="AX4999" s="442"/>
      <c r="AY4999" s="153"/>
      <c r="AZ4999" s="152"/>
      <c r="BA4999" s="152"/>
      <c r="BB4999" s="152"/>
      <c r="BC4999" s="152"/>
      <c r="BD4999" s="152"/>
      <c r="BE4999" s="152"/>
      <c r="BF4999" s="152"/>
      <c r="BG4999" s="152"/>
      <c r="BH4999" s="152"/>
      <c r="BI4999" s="153"/>
      <c r="BJ4999" s="153"/>
      <c r="BK4999" s="153"/>
      <c r="BL4999" s="153"/>
      <c r="BM4999" s="153"/>
      <c r="BN4999" s="153"/>
      <c r="BO4999" s="153"/>
      <c r="BP4999" s="153"/>
      <c r="BQ4999" s="153"/>
      <c r="BR4999" s="153"/>
      <c r="BS4999" s="153"/>
      <c r="BT4999" s="153"/>
      <c r="BU4999" s="153"/>
      <c r="BV4999" s="153"/>
      <c r="BW4999" s="153"/>
      <c r="BX4999" s="153"/>
      <c r="BY4999" s="153"/>
      <c r="BZ4999" s="153"/>
      <c r="CA4999" s="152"/>
      <c r="CB4999" s="152"/>
    </row>
    <row r="5000" spans="1:80" s="87" customFormat="1" x14ac:dyDescent="0.2">
      <c r="A5000" s="152"/>
      <c r="B5000" s="683"/>
      <c r="C5000" s="683"/>
      <c r="D5000" s="698"/>
      <c r="E5000" s="215"/>
      <c r="F5000" s="215"/>
      <c r="G5000" s="153"/>
      <c r="H5000" s="256" t="s">
        <v>94</v>
      </c>
      <c r="I5000" s="257"/>
      <c r="J5000" s="257"/>
      <c r="K5000" s="257"/>
      <c r="L5000" s="667"/>
      <c r="M5000" s="668">
        <v>27571</v>
      </c>
      <c r="N5000" s="595">
        <v>13.1</v>
      </c>
      <c r="O5000" s="595">
        <v>0.36099999999999999</v>
      </c>
      <c r="P5000" s="258" t="s">
        <v>29</v>
      </c>
      <c r="Q5000" s="258" t="s">
        <v>29</v>
      </c>
      <c r="R5000" s="258">
        <v>0</v>
      </c>
      <c r="S5000" s="242">
        <v>3.0000000000000001E-3</v>
      </c>
      <c r="T5000" s="242">
        <v>2.1000000000000001E-2</v>
      </c>
      <c r="U5000" s="242">
        <v>0.151</v>
      </c>
      <c r="V5000" s="242">
        <v>0.33100000000000002</v>
      </c>
      <c r="W5000" s="242">
        <v>0.33799999999999997</v>
      </c>
      <c r="X5000" s="242">
        <v>0.13799999999999998</v>
      </c>
      <c r="Y5000" s="242">
        <v>1.8000000000000002E-2</v>
      </c>
      <c r="Z5000" s="220">
        <v>16</v>
      </c>
      <c r="AA5000" s="150">
        <v>0.99</v>
      </c>
      <c r="AB5000" s="152"/>
      <c r="AC5000" s="230">
        <v>6.9999999999999999E-4</v>
      </c>
      <c r="AD5000" s="154">
        <v>14.6</v>
      </c>
      <c r="AE5000" s="260">
        <v>0.9</v>
      </c>
      <c r="AF5000" s="150">
        <v>13.1</v>
      </c>
      <c r="AG5000" s="150">
        <v>1</v>
      </c>
      <c r="AH5000" s="347"/>
      <c r="AI5000" s="218"/>
      <c r="AJ5000" s="218"/>
      <c r="AK5000" s="153"/>
      <c r="AL5000" s="152"/>
      <c r="AM5000" s="152"/>
      <c r="AN5000" s="152"/>
      <c r="AO5000" s="152"/>
      <c r="AP5000" s="152"/>
      <c r="AQ5000" s="152"/>
      <c r="AR5000" s="152"/>
      <c r="AS5000" s="152"/>
      <c r="AT5000" s="152"/>
      <c r="AU5000" s="153"/>
      <c r="AV5000" s="479"/>
      <c r="AW5000" s="479"/>
      <c r="AX5000" s="442"/>
      <c r="AY5000" s="153"/>
      <c r="AZ5000" s="152"/>
      <c r="BA5000" s="152"/>
      <c r="BB5000" s="152"/>
      <c r="BC5000" s="152"/>
      <c r="BD5000" s="152"/>
      <c r="BE5000" s="152"/>
      <c r="BF5000" s="152"/>
      <c r="BG5000" s="152"/>
      <c r="BH5000" s="152"/>
      <c r="BI5000" s="153"/>
      <c r="BJ5000" s="153"/>
      <c r="BK5000" s="153"/>
      <c r="BL5000" s="153"/>
      <c r="BM5000" s="153"/>
      <c r="BN5000" s="153"/>
      <c r="BO5000" s="153"/>
      <c r="BP5000" s="153"/>
      <c r="BQ5000" s="153"/>
      <c r="BR5000" s="153"/>
      <c r="BS5000" s="153"/>
      <c r="BT5000" s="153"/>
      <c r="BU5000" s="153"/>
      <c r="BV5000" s="153"/>
      <c r="BW5000" s="153"/>
      <c r="BX5000" s="153"/>
      <c r="BY5000" s="153"/>
      <c r="BZ5000" s="153"/>
      <c r="CA5000" s="152"/>
      <c r="CB5000" s="152"/>
    </row>
    <row r="5001" spans="1:80" s="87" customFormat="1" x14ac:dyDescent="0.2">
      <c r="A5001" s="152"/>
      <c r="B5001" s="683"/>
      <c r="C5001" s="683"/>
      <c r="D5001" s="698"/>
      <c r="E5001" s="215"/>
      <c r="F5001" s="215"/>
      <c r="G5001" s="153"/>
      <c r="H5001" s="256" t="s">
        <v>94</v>
      </c>
      <c r="I5001" s="257"/>
      <c r="J5001" s="257"/>
      <c r="K5001" s="257"/>
      <c r="L5001" s="667"/>
      <c r="M5001" s="668">
        <v>27576</v>
      </c>
      <c r="N5001" s="595">
        <v>23.1</v>
      </c>
      <c r="O5001" s="595">
        <v>1.97</v>
      </c>
      <c r="P5001" s="258" t="s">
        <v>29</v>
      </c>
      <c r="Q5001" s="258" t="s">
        <v>29</v>
      </c>
      <c r="R5001" s="258">
        <f>1-0.99</f>
        <v>1.0000000000000009E-2</v>
      </c>
      <c r="S5001" s="242">
        <v>2.5000000000000001E-2</v>
      </c>
      <c r="T5001" s="242">
        <v>0.111</v>
      </c>
      <c r="U5001" s="242">
        <v>0.26300000000000001</v>
      </c>
      <c r="V5001" s="242">
        <v>0.28400000000000003</v>
      </c>
      <c r="W5001" s="242">
        <v>0.19</v>
      </c>
      <c r="X5001" s="242">
        <v>0.1</v>
      </c>
      <c r="Y5001" s="242">
        <v>1.7000000000000001E-2</v>
      </c>
      <c r="Z5001" s="220">
        <v>16</v>
      </c>
      <c r="AA5001" s="150">
        <v>1.63</v>
      </c>
      <c r="AB5001" s="152"/>
      <c r="AC5001" s="230">
        <v>6.9999999999999999E-4</v>
      </c>
      <c r="AD5001" s="154">
        <v>14.6</v>
      </c>
      <c r="AE5001" s="260">
        <v>1.34</v>
      </c>
      <c r="AF5001" s="150">
        <v>19.5</v>
      </c>
      <c r="AG5001" s="150">
        <v>1.18</v>
      </c>
      <c r="AH5001" s="347"/>
      <c r="AI5001" s="218"/>
      <c r="AJ5001" s="218"/>
      <c r="AK5001" s="153"/>
      <c r="AL5001" s="152"/>
      <c r="AM5001" s="152"/>
      <c r="AN5001" s="152"/>
      <c r="AO5001" s="152"/>
      <c r="AP5001" s="152"/>
      <c r="AQ5001" s="152"/>
      <c r="AR5001" s="152"/>
      <c r="AS5001" s="152"/>
      <c r="AT5001" s="152"/>
      <c r="AU5001" s="153"/>
      <c r="AV5001" s="479"/>
      <c r="AW5001" s="479"/>
      <c r="AX5001" s="442"/>
      <c r="AY5001" s="153"/>
      <c r="AZ5001" s="152"/>
      <c r="BA5001" s="152"/>
      <c r="BB5001" s="152"/>
      <c r="BC5001" s="152"/>
      <c r="BD5001" s="152"/>
      <c r="BE5001" s="152"/>
      <c r="BF5001" s="152"/>
      <c r="BG5001" s="152"/>
      <c r="BH5001" s="152"/>
      <c r="BI5001" s="153"/>
      <c r="BJ5001" s="153"/>
      <c r="BK5001" s="153"/>
      <c r="BL5001" s="153"/>
      <c r="BM5001" s="153"/>
      <c r="BN5001" s="153"/>
      <c r="BO5001" s="153"/>
      <c r="BP5001" s="153"/>
      <c r="BQ5001" s="153"/>
      <c r="BR5001" s="153"/>
      <c r="BS5001" s="153"/>
      <c r="BT5001" s="153"/>
      <c r="BU5001" s="153"/>
      <c r="BV5001" s="153"/>
      <c r="BW5001" s="153"/>
      <c r="BX5001" s="153"/>
      <c r="BY5001" s="153"/>
      <c r="BZ5001" s="153"/>
      <c r="CA5001" s="152"/>
      <c r="CB5001" s="152"/>
    </row>
    <row r="5002" spans="1:80" s="87" customFormat="1" x14ac:dyDescent="0.2">
      <c r="A5002" s="152"/>
      <c r="B5002" s="683"/>
      <c r="C5002" s="683"/>
      <c r="D5002" s="698"/>
      <c r="E5002" s="215"/>
      <c r="F5002" s="215"/>
      <c r="G5002" s="153"/>
      <c r="H5002" s="256" t="s">
        <v>94</v>
      </c>
      <c r="I5002" s="257"/>
      <c r="J5002" s="257"/>
      <c r="K5002" s="257"/>
      <c r="L5002" s="667"/>
      <c r="M5002" s="668">
        <v>27583</v>
      </c>
      <c r="N5002" s="600">
        <v>21.5</v>
      </c>
      <c r="O5002" s="595">
        <v>0.28899999999999998</v>
      </c>
      <c r="P5002" s="258" t="s">
        <v>29</v>
      </c>
      <c r="Q5002" s="258" t="s">
        <v>29</v>
      </c>
      <c r="R5002" s="258">
        <f>1-0.986</f>
        <v>1.4000000000000012E-2</v>
      </c>
      <c r="S5002" s="242">
        <v>2.1000000000000001E-2</v>
      </c>
      <c r="T5002" s="242">
        <v>5.5E-2</v>
      </c>
      <c r="U5002" s="242">
        <v>0.14299999999999999</v>
      </c>
      <c r="V5002" s="242">
        <v>0.23200000000000004</v>
      </c>
      <c r="W5002" s="242">
        <v>0.29399999999999998</v>
      </c>
      <c r="X5002" s="242">
        <v>0.21900000000000003</v>
      </c>
      <c r="Y5002" s="242">
        <v>2.2000000000000002E-2</v>
      </c>
      <c r="Z5002" s="220">
        <v>16</v>
      </c>
      <c r="AA5002" s="150">
        <v>0.91</v>
      </c>
      <c r="AB5002" s="152"/>
      <c r="AC5002" s="230">
        <v>6.9999999999999999E-4</v>
      </c>
      <c r="AD5002" s="154">
        <v>14.6</v>
      </c>
      <c r="AE5002" s="260">
        <v>1.27</v>
      </c>
      <c r="AF5002" s="150">
        <v>18.600000000000001</v>
      </c>
      <c r="AG5002" s="150">
        <v>1.1599999999999999</v>
      </c>
      <c r="AH5002" s="347"/>
      <c r="AI5002" s="218"/>
      <c r="AJ5002" s="218"/>
      <c r="AK5002" s="153"/>
      <c r="AL5002" s="152"/>
      <c r="AM5002" s="152"/>
      <c r="AN5002" s="152"/>
      <c r="AO5002" s="152"/>
      <c r="AP5002" s="152"/>
      <c r="AQ5002" s="152"/>
      <c r="AR5002" s="152"/>
      <c r="AS5002" s="152"/>
      <c r="AT5002" s="152"/>
      <c r="AU5002" s="153"/>
      <c r="AV5002" s="479"/>
      <c r="AW5002" s="479"/>
      <c r="AX5002" s="442"/>
      <c r="AY5002" s="153"/>
      <c r="AZ5002" s="152"/>
      <c r="BA5002" s="152"/>
      <c r="BB5002" s="152"/>
      <c r="BC5002" s="152"/>
      <c r="BD5002" s="152"/>
      <c r="BE5002" s="152"/>
      <c r="BF5002" s="152"/>
      <c r="BG5002" s="152"/>
      <c r="BH5002" s="152"/>
      <c r="BI5002" s="153"/>
      <c r="BJ5002" s="153"/>
      <c r="BK5002" s="153"/>
      <c r="BL5002" s="153"/>
      <c r="BM5002" s="153"/>
      <c r="BN5002" s="153"/>
      <c r="BO5002" s="153"/>
      <c r="BP5002" s="153"/>
      <c r="BQ5002" s="153"/>
      <c r="BR5002" s="153"/>
      <c r="BS5002" s="153"/>
      <c r="BT5002" s="153"/>
      <c r="BU5002" s="153"/>
      <c r="BV5002" s="153"/>
      <c r="BW5002" s="153"/>
      <c r="BX5002" s="153"/>
      <c r="BY5002" s="153"/>
      <c r="BZ5002" s="153"/>
      <c r="CA5002" s="152"/>
      <c r="CB5002" s="152"/>
    </row>
    <row r="5003" spans="1:80" ht="15" x14ac:dyDescent="0.25">
      <c r="A5003" s="9" t="s">
        <v>100</v>
      </c>
      <c r="B5003" s="639" t="s">
        <v>101</v>
      </c>
      <c r="C5003" s="639"/>
      <c r="D5003" s="4">
        <f>VLOOKUP(E5003,'Quality Code'!D4:E24,2,TRUE)*VLOOKUP(MROUND(F5003,10),'Quality Code'!D28:E69,2,TRUE)*VLOOKUP(COUNTA(CB5003:CB5013),'Quality Code'!D73:E93,2,TRUE)</f>
        <v>2.6249894999999999</v>
      </c>
      <c r="E5003" s="14">
        <v>0.7</v>
      </c>
      <c r="F5003" s="18">
        <v>85</v>
      </c>
      <c r="G5003" s="12">
        <v>18</v>
      </c>
      <c r="H5003" s="2" t="s">
        <v>105</v>
      </c>
      <c r="I5003" s="2"/>
      <c r="J5003" s="2"/>
      <c r="K5003" s="2"/>
      <c r="L5003" s="639"/>
      <c r="M5003" s="640">
        <v>1986</v>
      </c>
      <c r="N5003" s="578" t="s">
        <v>96</v>
      </c>
      <c r="O5003" s="578"/>
      <c r="P5003" s="10"/>
      <c r="Q5003" s="10"/>
      <c r="R5003" s="10"/>
      <c r="S5003" s="10"/>
      <c r="T5003" s="10"/>
      <c r="U5003" s="10"/>
      <c r="V5003" s="10"/>
      <c r="W5003" s="141"/>
      <c r="X5003" s="141"/>
      <c r="Y5003" s="141"/>
      <c r="Z5003" s="10"/>
      <c r="AA5003" s="10"/>
      <c r="AB5003" s="11"/>
      <c r="AC5003" s="3">
        <v>6.0000000000000001E-3</v>
      </c>
      <c r="AD5003" s="11"/>
      <c r="AE5003" s="11"/>
      <c r="AF5003" s="10"/>
      <c r="AG5003" s="10"/>
      <c r="AH5003" s="345"/>
      <c r="AI5003" s="18">
        <v>11.08</v>
      </c>
      <c r="AJ5003" s="10"/>
      <c r="AK5003" s="10"/>
      <c r="AL5003" s="17"/>
      <c r="AM5003" s="17"/>
      <c r="AN5003" s="17"/>
      <c r="AO5003" s="17"/>
      <c r="AP5003" s="17"/>
      <c r="AQ5003" s="17"/>
      <c r="AR5003" s="17"/>
      <c r="AS5003" s="17"/>
      <c r="AT5003" s="17"/>
      <c r="AU5003" s="18">
        <v>14.5</v>
      </c>
      <c r="AV5003" s="17"/>
      <c r="AW5003" s="17"/>
      <c r="AX5003" s="17"/>
      <c r="AY5003" s="145"/>
      <c r="AZ5003" s="17"/>
      <c r="BA5003" s="17"/>
      <c r="BB5003" s="17"/>
      <c r="BC5003" s="17"/>
      <c r="BD5003" s="17"/>
      <c r="BE5003" s="17"/>
      <c r="BF5003" s="17"/>
      <c r="BG5003" s="17"/>
      <c r="BH5003" s="17"/>
      <c r="BI5003" s="4">
        <f>AU5003/AI5003</f>
        <v>1.3086642599277978</v>
      </c>
      <c r="BJ5003" s="2" t="s">
        <v>106</v>
      </c>
      <c r="BK5003" s="24" t="s">
        <v>107</v>
      </c>
      <c r="BL5003" s="12"/>
      <c r="BM5003" s="12">
        <v>3.64</v>
      </c>
      <c r="BN5003" s="12"/>
      <c r="BO5003" s="12" t="s">
        <v>273</v>
      </c>
      <c r="BP5003" s="12"/>
      <c r="BQ5003" s="12"/>
      <c r="BR5003" s="12"/>
      <c r="BS5003" s="12" t="s">
        <v>598</v>
      </c>
      <c r="BT5003" s="12"/>
      <c r="BU5003" s="2"/>
      <c r="BV5003" s="2"/>
      <c r="BW5003" s="2"/>
      <c r="BX5003" s="2"/>
      <c r="BY5003" s="2"/>
      <c r="BZ5003" s="2"/>
      <c r="CA5003" s="9"/>
      <c r="CB5003" s="487" t="s">
        <v>643</v>
      </c>
    </row>
    <row r="5004" spans="1:80" s="87" customFormat="1" x14ac:dyDescent="0.2">
      <c r="A5004" s="150" t="s">
        <v>102</v>
      </c>
      <c r="B5004" s="683"/>
      <c r="C5004" s="683"/>
      <c r="D5004" s="292"/>
      <c r="E5004" s="215"/>
      <c r="F5004" s="215"/>
      <c r="G5004" s="153"/>
      <c r="H5004" s="153"/>
      <c r="I5004" s="153"/>
      <c r="J5004" s="153"/>
      <c r="K5004" s="153"/>
      <c r="L5004" s="653"/>
      <c r="M5004" s="669">
        <v>31428</v>
      </c>
      <c r="N5004" s="611">
        <v>1.85</v>
      </c>
      <c r="O5004" s="612">
        <f>6.9/3600</f>
        <v>1.9166666666666668E-3</v>
      </c>
      <c r="P5004" s="150"/>
      <c r="Q5004" s="150"/>
      <c r="R5004" s="150"/>
      <c r="S5004" s="150"/>
      <c r="T5004" s="150"/>
      <c r="U5004" s="265">
        <f>0.72-V5004</f>
        <v>0.17999999999999994</v>
      </c>
      <c r="V5004" s="750">
        <v>0.54</v>
      </c>
      <c r="W5004" s="753"/>
      <c r="X5004" s="754"/>
      <c r="Y5004" s="755"/>
      <c r="Z5004" s="245"/>
      <c r="AA5004" s="150">
        <v>0.9</v>
      </c>
      <c r="AB5004" s="152"/>
      <c r="AC5004" s="152"/>
      <c r="AD5004" s="154">
        <v>10</v>
      </c>
      <c r="AE5004" s="152"/>
      <c r="AF5004" s="153"/>
      <c r="AG5004" s="153"/>
      <c r="AH5004" s="346"/>
      <c r="AI5004" s="153"/>
      <c r="AJ5004" s="480"/>
      <c r="AK5004" s="153"/>
      <c r="AL5004" s="152"/>
      <c r="AM5004" s="152"/>
      <c r="AN5004" s="152"/>
      <c r="AO5004" s="152"/>
      <c r="AP5004" s="152"/>
      <c r="AQ5004" s="152"/>
      <c r="AR5004" s="152"/>
      <c r="AS5004" s="152"/>
      <c r="AT5004" s="152"/>
      <c r="AU5004" s="218"/>
      <c r="AV5004" s="218"/>
      <c r="AW5004" s="218"/>
      <c r="AX5004" s="218"/>
      <c r="AY5004" s="218"/>
      <c r="AZ5004" s="152"/>
      <c r="BA5004" s="152"/>
      <c r="BB5004" s="152"/>
      <c r="BC5004" s="152"/>
      <c r="BD5004" s="152"/>
      <c r="BE5004" s="152"/>
      <c r="BF5004" s="152"/>
      <c r="BG5004" s="152"/>
      <c r="BH5004" s="152"/>
      <c r="BI5004" s="153"/>
      <c r="BJ5004" s="153"/>
      <c r="BK5004" s="153"/>
      <c r="BL5004" s="153"/>
      <c r="BM5004" s="138" t="s">
        <v>270</v>
      </c>
      <c r="BN5004" s="150">
        <v>10</v>
      </c>
      <c r="BO5004" s="150">
        <v>0.71</v>
      </c>
      <c r="BP5004" s="150"/>
      <c r="BQ5004" s="223">
        <f>BN5004/BO5004</f>
        <v>14.084507042253522</v>
      </c>
      <c r="BR5004" s="152"/>
      <c r="BS5004" s="224"/>
      <c r="BT5004" s="153"/>
      <c r="BU5004" s="153"/>
      <c r="BV5004" s="153"/>
      <c r="BW5004" s="153"/>
      <c r="BX5004" s="153"/>
      <c r="BY5004" s="153"/>
      <c r="BZ5004" s="153"/>
      <c r="CA5004" s="152"/>
      <c r="CB5004" s="152" t="s">
        <v>641</v>
      </c>
    </row>
    <row r="5005" spans="1:80" s="87" customFormat="1" x14ac:dyDescent="0.2">
      <c r="A5005" s="150" t="s">
        <v>103</v>
      </c>
      <c r="B5005" s="683"/>
      <c r="C5005" s="683"/>
      <c r="D5005" s="292"/>
      <c r="E5005" s="215"/>
      <c r="F5005" s="215"/>
      <c r="G5005" s="153"/>
      <c r="H5005" s="153"/>
      <c r="I5005" s="153"/>
      <c r="J5005" s="153"/>
      <c r="K5005" s="153"/>
      <c r="L5005" s="653"/>
      <c r="M5005" s="669">
        <v>31428</v>
      </c>
      <c r="N5005" s="600">
        <v>1.75</v>
      </c>
      <c r="O5005" s="612">
        <f>6.8/3600</f>
        <v>1.8888888888888887E-3</v>
      </c>
      <c r="P5005" s="150"/>
      <c r="Q5005" s="150"/>
      <c r="R5005" s="150"/>
      <c r="S5005" s="150"/>
      <c r="T5005" s="150"/>
      <c r="U5005" s="265">
        <f>0.99-V5005</f>
        <v>0.37</v>
      </c>
      <c r="V5005" s="750">
        <v>0.62</v>
      </c>
      <c r="W5005" s="756"/>
      <c r="X5005" s="752"/>
      <c r="Y5005" s="757"/>
      <c r="Z5005" s="245"/>
      <c r="AA5005" s="150">
        <v>0.9</v>
      </c>
      <c r="AB5005" s="152"/>
      <c r="AC5005" s="152"/>
      <c r="AD5005" s="154">
        <v>10</v>
      </c>
      <c r="AE5005" s="152"/>
      <c r="AF5005" s="153"/>
      <c r="AG5005" s="153"/>
      <c r="AH5005" s="346"/>
      <c r="AI5005" s="153"/>
      <c r="AJ5005" s="480"/>
      <c r="AK5005" s="153"/>
      <c r="AL5005" s="152"/>
      <c r="AM5005" s="152"/>
      <c r="AN5005" s="152"/>
      <c r="AO5005" s="152"/>
      <c r="AP5005" s="152"/>
      <c r="AQ5005" s="152"/>
      <c r="AR5005" s="152"/>
      <c r="AS5005" s="152"/>
      <c r="AT5005" s="152"/>
      <c r="AU5005" s="218"/>
      <c r="AV5005" s="218"/>
      <c r="AW5005" s="218"/>
      <c r="AX5005" s="218"/>
      <c r="AY5005" s="218"/>
      <c r="AZ5005" s="152"/>
      <c r="BA5005" s="152"/>
      <c r="BB5005" s="152"/>
      <c r="BC5005" s="152"/>
      <c r="BD5005" s="152"/>
      <c r="BE5005" s="152"/>
      <c r="BF5005" s="152"/>
      <c r="BG5005" s="152"/>
      <c r="BH5005" s="152"/>
      <c r="BI5005" s="153"/>
      <c r="BJ5005" s="153"/>
      <c r="BK5005" s="153"/>
      <c r="BL5005" s="153"/>
      <c r="BM5005" s="138" t="s">
        <v>271</v>
      </c>
      <c r="BN5005" s="150">
        <v>10</v>
      </c>
      <c r="BO5005" s="150">
        <v>1.46</v>
      </c>
      <c r="BP5005" s="150"/>
      <c r="BQ5005" s="223">
        <f>BN5005/BO5005</f>
        <v>6.8493150684931505</v>
      </c>
      <c r="BR5005" s="152"/>
      <c r="BS5005" s="224"/>
      <c r="BT5005" s="153"/>
      <c r="BU5005" s="153"/>
      <c r="BV5005" s="153"/>
      <c r="BW5005" s="153"/>
      <c r="BX5005" s="153"/>
      <c r="BY5005" s="153"/>
      <c r="BZ5005" s="153"/>
      <c r="CA5005" s="152"/>
      <c r="CB5005" s="152"/>
    </row>
    <row r="5006" spans="1:80" s="87" customFormat="1" x14ac:dyDescent="0.2">
      <c r="A5006" s="150" t="s">
        <v>104</v>
      </c>
      <c r="B5006" s="683"/>
      <c r="C5006" s="683"/>
      <c r="D5006" s="292"/>
      <c r="E5006" s="215"/>
      <c r="F5006" s="215"/>
      <c r="G5006" s="153"/>
      <c r="H5006" s="153"/>
      <c r="I5006" s="153"/>
      <c r="J5006" s="153"/>
      <c r="K5006" s="153"/>
      <c r="L5006" s="653"/>
      <c r="M5006" s="669">
        <v>31428</v>
      </c>
      <c r="N5006" s="600">
        <v>1.78</v>
      </c>
      <c r="O5006" s="612">
        <f>5.9/3600</f>
        <v>1.6388888888888889E-3</v>
      </c>
      <c r="P5006" s="150"/>
      <c r="Q5006" s="150"/>
      <c r="R5006" s="150"/>
      <c r="S5006" s="150"/>
      <c r="T5006" s="150"/>
      <c r="U5006" s="265">
        <f>0.88-V5006</f>
        <v>0.30000000000000004</v>
      </c>
      <c r="V5006" s="750">
        <v>0.57999999999999996</v>
      </c>
      <c r="W5006" s="756"/>
      <c r="X5006" s="752"/>
      <c r="Y5006" s="757"/>
      <c r="Z5006" s="245"/>
      <c r="AA5006" s="150">
        <v>0.7</v>
      </c>
      <c r="AB5006" s="152"/>
      <c r="AC5006" s="152"/>
      <c r="AD5006" s="154">
        <v>10</v>
      </c>
      <c r="AE5006" s="152"/>
      <c r="AF5006" s="153"/>
      <c r="AG5006" s="153"/>
      <c r="AH5006" s="346"/>
      <c r="AI5006" s="153"/>
      <c r="AJ5006" s="480"/>
      <c r="AK5006" s="153"/>
      <c r="AL5006" s="152"/>
      <c r="AM5006" s="152"/>
      <c r="AN5006" s="152"/>
      <c r="AO5006" s="152"/>
      <c r="AP5006" s="152"/>
      <c r="AQ5006" s="152"/>
      <c r="AR5006" s="152"/>
      <c r="AS5006" s="152"/>
      <c r="AT5006" s="152"/>
      <c r="AU5006" s="218"/>
      <c r="AV5006" s="218"/>
      <c r="AW5006" s="218"/>
      <c r="AX5006" s="218"/>
      <c r="AY5006" s="218"/>
      <c r="AZ5006" s="152"/>
      <c r="BA5006" s="152"/>
      <c r="BB5006" s="152"/>
      <c r="BC5006" s="152"/>
      <c r="BD5006" s="152"/>
      <c r="BE5006" s="152"/>
      <c r="BF5006" s="152"/>
      <c r="BG5006" s="152"/>
      <c r="BH5006" s="152"/>
      <c r="BI5006" s="153"/>
      <c r="BJ5006" s="153"/>
      <c r="BK5006" s="153"/>
      <c r="BL5006" s="153"/>
      <c r="BM5006" s="138" t="s">
        <v>272</v>
      </c>
      <c r="BN5006" s="150">
        <v>10</v>
      </c>
      <c r="BO5006" s="150">
        <v>0.59</v>
      </c>
      <c r="BP5006" s="150"/>
      <c r="BQ5006" s="223">
        <f>BN5006/BO5006</f>
        <v>16.949152542372882</v>
      </c>
      <c r="BR5006" s="152"/>
      <c r="BS5006" s="224"/>
      <c r="BT5006" s="153"/>
      <c r="BU5006" s="153"/>
      <c r="BV5006" s="153"/>
      <c r="BW5006" s="153"/>
      <c r="BX5006" s="153"/>
      <c r="BY5006" s="153"/>
      <c r="BZ5006" s="153"/>
      <c r="CA5006" s="152"/>
      <c r="CB5006" s="152"/>
    </row>
    <row r="5007" spans="1:80" s="87" customFormat="1" x14ac:dyDescent="0.2">
      <c r="A5007" s="150" t="s">
        <v>102</v>
      </c>
      <c r="B5007" s="683"/>
      <c r="C5007" s="683"/>
      <c r="D5007" s="292"/>
      <c r="E5007" s="215"/>
      <c r="F5007" s="215"/>
      <c r="G5007" s="153"/>
      <c r="H5007" s="153"/>
      <c r="I5007" s="153"/>
      <c r="J5007" s="153"/>
      <c r="K5007" s="153"/>
      <c r="L5007" s="653"/>
      <c r="M5007" s="669">
        <v>31431</v>
      </c>
      <c r="N5007" s="600">
        <v>1.8</v>
      </c>
      <c r="O5007" s="612">
        <f>4.9/3600</f>
        <v>1.3611111111111111E-3</v>
      </c>
      <c r="P5007" s="150"/>
      <c r="Q5007" s="150"/>
      <c r="R5007" s="150"/>
      <c r="S5007" s="150"/>
      <c r="T5007" s="150"/>
      <c r="U5007" s="265">
        <f>0.98-V5007</f>
        <v>0.4</v>
      </c>
      <c r="V5007" s="750">
        <v>0.57999999999999996</v>
      </c>
      <c r="W5007" s="756"/>
      <c r="X5007" s="752"/>
      <c r="Y5007" s="757"/>
      <c r="Z5007" s="245"/>
      <c r="AA5007" s="150">
        <v>0.9</v>
      </c>
      <c r="AB5007" s="152"/>
      <c r="AC5007" s="152"/>
      <c r="AD5007" s="154">
        <v>10</v>
      </c>
      <c r="AE5007" s="152"/>
      <c r="AF5007" s="153"/>
      <c r="AG5007" s="153"/>
      <c r="AH5007" s="346"/>
      <c r="AI5007" s="153"/>
      <c r="AJ5007" s="480"/>
      <c r="AK5007" s="153"/>
      <c r="AL5007" s="152"/>
      <c r="AM5007" s="152"/>
      <c r="AN5007" s="152"/>
      <c r="AO5007" s="152"/>
      <c r="AP5007" s="152"/>
      <c r="AQ5007" s="152"/>
      <c r="AR5007" s="152"/>
      <c r="AS5007" s="152"/>
      <c r="AT5007" s="152"/>
      <c r="AU5007" s="218"/>
      <c r="AV5007" s="218"/>
      <c r="AW5007" s="218"/>
      <c r="AX5007" s="218"/>
      <c r="AY5007" s="218"/>
      <c r="AZ5007" s="152"/>
      <c r="BA5007" s="152"/>
      <c r="BB5007" s="152"/>
      <c r="BC5007" s="152"/>
      <c r="BD5007" s="152"/>
      <c r="BE5007" s="152"/>
      <c r="BF5007" s="152"/>
      <c r="BG5007" s="152"/>
      <c r="BH5007" s="152"/>
      <c r="BI5007" s="153"/>
      <c r="BJ5007" s="153"/>
      <c r="BK5007" s="153"/>
      <c r="BL5007" s="153"/>
      <c r="BM5007" s="153"/>
      <c r="BN5007" s="153"/>
      <c r="BO5007" s="153"/>
      <c r="BP5007" s="153"/>
      <c r="BQ5007" s="153"/>
      <c r="BR5007" s="153"/>
      <c r="BS5007" s="153"/>
      <c r="BT5007" s="153"/>
      <c r="BU5007" s="153"/>
      <c r="BV5007" s="153"/>
      <c r="BW5007" s="153"/>
      <c r="BX5007" s="153"/>
      <c r="BY5007" s="153"/>
      <c r="BZ5007" s="153"/>
      <c r="CA5007" s="152"/>
      <c r="CB5007" s="152"/>
    </row>
    <row r="5008" spans="1:80" s="87" customFormat="1" x14ac:dyDescent="0.2">
      <c r="A5008" s="150" t="s">
        <v>103</v>
      </c>
      <c r="B5008" s="683"/>
      <c r="C5008" s="683"/>
      <c r="D5008" s="292"/>
      <c r="E5008" s="215"/>
      <c r="F5008" s="215"/>
      <c r="G5008" s="153"/>
      <c r="H5008" s="153"/>
      <c r="I5008" s="153"/>
      <c r="J5008" s="153"/>
      <c r="K5008" s="153"/>
      <c r="L5008" s="653"/>
      <c r="M5008" s="669">
        <v>31431</v>
      </c>
      <c r="N5008" s="600">
        <v>1.76</v>
      </c>
      <c r="O5008" s="612">
        <f>52/3600</f>
        <v>1.4444444444444444E-2</v>
      </c>
      <c r="P5008" s="150"/>
      <c r="Q5008" s="150"/>
      <c r="R5008" s="150"/>
      <c r="S5008" s="150"/>
      <c r="T5008" s="150"/>
      <c r="U5008" s="265">
        <f>0.89-V5008</f>
        <v>0.75</v>
      </c>
      <c r="V5008" s="750">
        <v>0.14000000000000001</v>
      </c>
      <c r="W5008" s="756"/>
      <c r="X5008" s="752"/>
      <c r="Y5008" s="757"/>
      <c r="Z5008" s="245"/>
      <c r="AA5008" s="150">
        <v>1.8</v>
      </c>
      <c r="AB5008" s="152"/>
      <c r="AC5008" s="152"/>
      <c r="AD5008" s="154">
        <v>10</v>
      </c>
      <c r="AE5008" s="152"/>
      <c r="AF5008" s="153"/>
      <c r="AG5008" s="153"/>
      <c r="AH5008" s="346"/>
      <c r="AI5008" s="153"/>
      <c r="AJ5008" s="480"/>
      <c r="AK5008" s="153"/>
      <c r="AL5008" s="152"/>
      <c r="AM5008" s="152"/>
      <c r="AN5008" s="152"/>
      <c r="AO5008" s="152"/>
      <c r="AP5008" s="152"/>
      <c r="AQ5008" s="152"/>
      <c r="AR5008" s="152"/>
      <c r="AS5008" s="152"/>
      <c r="AT5008" s="152"/>
      <c r="AU5008" s="218"/>
      <c r="AV5008" s="218"/>
      <c r="AW5008" s="218"/>
      <c r="AX5008" s="218"/>
      <c r="AY5008" s="218"/>
      <c r="AZ5008" s="152"/>
      <c r="BA5008" s="152"/>
      <c r="BB5008" s="152"/>
      <c r="BC5008" s="152"/>
      <c r="BD5008" s="152"/>
      <c r="BE5008" s="152"/>
      <c r="BF5008" s="152"/>
      <c r="BG5008" s="152"/>
      <c r="BH5008" s="152"/>
      <c r="BI5008" s="153"/>
      <c r="BJ5008" s="153"/>
      <c r="BK5008" s="153"/>
      <c r="BL5008" s="153"/>
      <c r="BM5008" s="153"/>
      <c r="BN5008" s="153"/>
      <c r="BO5008" s="153"/>
      <c r="BP5008" s="153"/>
      <c r="BQ5008" s="153"/>
      <c r="BR5008" s="153"/>
      <c r="BS5008" s="153"/>
      <c r="BT5008" s="153"/>
      <c r="BU5008" s="153"/>
      <c r="BV5008" s="153"/>
      <c r="BW5008" s="153"/>
      <c r="BX5008" s="153"/>
      <c r="BY5008" s="153"/>
      <c r="BZ5008" s="153"/>
      <c r="CA5008" s="152"/>
      <c r="CB5008" s="152"/>
    </row>
    <row r="5009" spans="1:80" s="87" customFormat="1" x14ac:dyDescent="0.2">
      <c r="A5009" s="150" t="s">
        <v>103</v>
      </c>
      <c r="B5009" s="683"/>
      <c r="C5009" s="683"/>
      <c r="D5009" s="292"/>
      <c r="E5009" s="215"/>
      <c r="F5009" s="215"/>
      <c r="G5009" s="153"/>
      <c r="H5009" s="153"/>
      <c r="I5009" s="153"/>
      <c r="J5009" s="153"/>
      <c r="K5009" s="153"/>
      <c r="L5009" s="653"/>
      <c r="M5009" s="669">
        <v>31432</v>
      </c>
      <c r="N5009" s="600">
        <v>1.32</v>
      </c>
      <c r="O5009" s="612">
        <f>3.7/3600</f>
        <v>1.0277777777777778E-3</v>
      </c>
      <c r="P5009" s="150"/>
      <c r="Q5009" s="150"/>
      <c r="R5009" s="150"/>
      <c r="S5009" s="150"/>
      <c r="T5009" s="150"/>
      <c r="U5009" s="265">
        <f>0.9-V5009</f>
        <v>0.7</v>
      </c>
      <c r="V5009" s="750">
        <v>0.2</v>
      </c>
      <c r="W5009" s="756"/>
      <c r="X5009" s="752"/>
      <c r="Y5009" s="757"/>
      <c r="Z5009" s="245"/>
      <c r="AA5009" s="150">
        <v>1.8</v>
      </c>
      <c r="AB5009" s="152"/>
      <c r="AC5009" s="152"/>
      <c r="AD5009" s="154">
        <v>10</v>
      </c>
      <c r="AE5009" s="152"/>
      <c r="AF5009" s="153"/>
      <c r="AG5009" s="153"/>
      <c r="AH5009" s="346"/>
      <c r="AI5009" s="153"/>
      <c r="AJ5009" s="480"/>
      <c r="AK5009" s="153"/>
      <c r="AL5009" s="152"/>
      <c r="AM5009" s="152"/>
      <c r="AN5009" s="152"/>
      <c r="AO5009" s="152"/>
      <c r="AP5009" s="152"/>
      <c r="AQ5009" s="152"/>
      <c r="AR5009" s="152"/>
      <c r="AS5009" s="152"/>
      <c r="AT5009" s="152"/>
      <c r="AU5009" s="218"/>
      <c r="AV5009" s="218"/>
      <c r="AW5009" s="218"/>
      <c r="AX5009" s="218"/>
      <c r="AY5009" s="218"/>
      <c r="AZ5009" s="152"/>
      <c r="BA5009" s="152"/>
      <c r="BB5009" s="152"/>
      <c r="BC5009" s="152"/>
      <c r="BD5009" s="152"/>
      <c r="BE5009" s="152"/>
      <c r="BF5009" s="152"/>
      <c r="BG5009" s="152"/>
      <c r="BH5009" s="152"/>
      <c r="BI5009" s="153"/>
      <c r="BJ5009" s="153"/>
      <c r="BK5009" s="153"/>
      <c r="BL5009" s="153"/>
      <c r="BM5009" s="153"/>
      <c r="BN5009" s="153"/>
      <c r="BO5009" s="153"/>
      <c r="BP5009" s="153"/>
      <c r="BQ5009" s="153"/>
      <c r="BR5009" s="153"/>
      <c r="BS5009" s="153"/>
      <c r="BT5009" s="153"/>
      <c r="BU5009" s="153"/>
      <c r="BV5009" s="153"/>
      <c r="BW5009" s="153"/>
      <c r="BX5009" s="153"/>
      <c r="BY5009" s="153"/>
      <c r="BZ5009" s="153"/>
      <c r="CA5009" s="152"/>
      <c r="CB5009" s="152"/>
    </row>
    <row r="5010" spans="1:80" s="87" customFormat="1" x14ac:dyDescent="0.2">
      <c r="A5010" s="150" t="s">
        <v>104</v>
      </c>
      <c r="B5010" s="683"/>
      <c r="C5010" s="683"/>
      <c r="D5010" s="292"/>
      <c r="E5010" s="215"/>
      <c r="F5010" s="215"/>
      <c r="G5010" s="153"/>
      <c r="H5010" s="153"/>
      <c r="I5010" s="153"/>
      <c r="J5010" s="153"/>
      <c r="K5010" s="153"/>
      <c r="L5010" s="653"/>
      <c r="M5010" s="669">
        <v>31432</v>
      </c>
      <c r="N5010" s="600">
        <v>1.32</v>
      </c>
      <c r="O5010" s="612">
        <f>4.8/3600</f>
        <v>1.3333333333333333E-3</v>
      </c>
      <c r="P5010" s="150"/>
      <c r="Q5010" s="150"/>
      <c r="R5010" s="150"/>
      <c r="S5010" s="150"/>
      <c r="T5010" s="150"/>
      <c r="U5010" s="265">
        <f>0.88-V5010</f>
        <v>0.67</v>
      </c>
      <c r="V5010" s="750">
        <v>0.21</v>
      </c>
      <c r="W5010" s="756"/>
      <c r="X5010" s="752"/>
      <c r="Y5010" s="757"/>
      <c r="Z5010" s="245"/>
      <c r="AA5010" s="150">
        <v>1.7</v>
      </c>
      <c r="AB5010" s="152"/>
      <c r="AC5010" s="152"/>
      <c r="AD5010" s="154">
        <v>10</v>
      </c>
      <c r="AE5010" s="152"/>
      <c r="AF5010" s="153"/>
      <c r="AG5010" s="153"/>
      <c r="AH5010" s="346"/>
      <c r="AI5010" s="153"/>
      <c r="AJ5010" s="480"/>
      <c r="AK5010" s="153"/>
      <c r="AL5010" s="152"/>
      <c r="AM5010" s="152"/>
      <c r="AN5010" s="152"/>
      <c r="AO5010" s="152"/>
      <c r="AP5010" s="152"/>
      <c r="AQ5010" s="152"/>
      <c r="AR5010" s="152"/>
      <c r="AS5010" s="152"/>
      <c r="AT5010" s="152"/>
      <c r="AU5010" s="218"/>
      <c r="AV5010" s="218"/>
      <c r="AW5010" s="218"/>
      <c r="AX5010" s="218"/>
      <c r="AY5010" s="218"/>
      <c r="AZ5010" s="152"/>
      <c r="BA5010" s="152"/>
      <c r="BB5010" s="152"/>
      <c r="BC5010" s="152"/>
      <c r="BD5010" s="152"/>
      <c r="BE5010" s="152"/>
      <c r="BF5010" s="152"/>
      <c r="BG5010" s="152"/>
      <c r="BH5010" s="152"/>
      <c r="BI5010" s="153"/>
      <c r="BJ5010" s="153"/>
      <c r="BK5010" s="153"/>
      <c r="BL5010" s="153"/>
      <c r="BM5010" s="153"/>
      <c r="BN5010" s="153"/>
      <c r="BO5010" s="153"/>
      <c r="BP5010" s="153"/>
      <c r="BQ5010" s="153"/>
      <c r="BR5010" s="153"/>
      <c r="BS5010" s="153"/>
      <c r="BT5010" s="153"/>
      <c r="BU5010" s="153"/>
      <c r="BV5010" s="153"/>
      <c r="BW5010" s="153"/>
      <c r="BX5010" s="153"/>
      <c r="BY5010" s="153"/>
      <c r="BZ5010" s="153"/>
      <c r="CA5010" s="152"/>
      <c r="CB5010" s="152"/>
    </row>
    <row r="5011" spans="1:80" s="87" customFormat="1" x14ac:dyDescent="0.2">
      <c r="A5011" s="150" t="s">
        <v>102</v>
      </c>
      <c r="B5011" s="683"/>
      <c r="C5011" s="683"/>
      <c r="D5011" s="292"/>
      <c r="E5011" s="215"/>
      <c r="F5011" s="215"/>
      <c r="G5011" s="153"/>
      <c r="H5011" s="153"/>
      <c r="I5011" s="153"/>
      <c r="J5011" s="153"/>
      <c r="K5011" s="153"/>
      <c r="L5011" s="653"/>
      <c r="M5011" s="669">
        <v>31432</v>
      </c>
      <c r="N5011" s="600">
        <v>1.32</v>
      </c>
      <c r="O5011" s="612">
        <f>5/3600</f>
        <v>1.3888888888888889E-3</v>
      </c>
      <c r="P5011" s="150"/>
      <c r="Q5011" s="150"/>
      <c r="R5011" s="150"/>
      <c r="S5011" s="150"/>
      <c r="T5011" s="150"/>
      <c r="U5011" s="265">
        <f>0.9-V5011</f>
        <v>0.7</v>
      </c>
      <c r="V5011" s="750">
        <v>0.2</v>
      </c>
      <c r="W5011" s="756"/>
      <c r="X5011" s="752"/>
      <c r="Y5011" s="757"/>
      <c r="Z5011" s="245"/>
      <c r="AA5011" s="150">
        <v>1.8</v>
      </c>
      <c r="AB5011" s="152"/>
      <c r="AC5011" s="152"/>
      <c r="AD5011" s="154">
        <v>10</v>
      </c>
      <c r="AE5011" s="152"/>
      <c r="AF5011" s="153"/>
      <c r="AG5011" s="153"/>
      <c r="AH5011" s="346"/>
      <c r="AI5011" s="153"/>
      <c r="AJ5011" s="480"/>
      <c r="AK5011" s="153"/>
      <c r="AL5011" s="152"/>
      <c r="AM5011" s="152"/>
      <c r="AN5011" s="152"/>
      <c r="AO5011" s="152"/>
      <c r="AP5011" s="152"/>
      <c r="AQ5011" s="152"/>
      <c r="AR5011" s="152"/>
      <c r="AS5011" s="152"/>
      <c r="AT5011" s="152"/>
      <c r="AU5011" s="218"/>
      <c r="AV5011" s="218"/>
      <c r="AW5011" s="218"/>
      <c r="AX5011" s="218"/>
      <c r="AY5011" s="218"/>
      <c r="AZ5011" s="152"/>
      <c r="BA5011" s="152"/>
      <c r="BB5011" s="152"/>
      <c r="BC5011" s="152"/>
      <c r="BD5011" s="152"/>
      <c r="BE5011" s="152"/>
      <c r="BF5011" s="152"/>
      <c r="BG5011" s="152"/>
      <c r="BH5011" s="152"/>
      <c r="BI5011" s="153"/>
      <c r="BJ5011" s="153"/>
      <c r="BK5011" s="153"/>
      <c r="BL5011" s="153"/>
      <c r="BM5011" s="153"/>
      <c r="BN5011" s="153"/>
      <c r="BO5011" s="153"/>
      <c r="BP5011" s="153"/>
      <c r="BQ5011" s="153"/>
      <c r="BR5011" s="153"/>
      <c r="BS5011" s="153"/>
      <c r="BT5011" s="153"/>
      <c r="BU5011" s="153"/>
      <c r="BV5011" s="153"/>
      <c r="BW5011" s="153"/>
      <c r="BX5011" s="153"/>
      <c r="BY5011" s="153"/>
      <c r="BZ5011" s="153"/>
      <c r="CA5011" s="152"/>
      <c r="CB5011" s="152"/>
    </row>
    <row r="5012" spans="1:80" s="87" customFormat="1" x14ac:dyDescent="0.2">
      <c r="A5012" s="150" t="s">
        <v>102</v>
      </c>
      <c r="B5012" s="683"/>
      <c r="C5012" s="683"/>
      <c r="D5012" s="292"/>
      <c r="E5012" s="215"/>
      <c r="F5012" s="215"/>
      <c r="G5012" s="153"/>
      <c r="H5012" s="153"/>
      <c r="I5012" s="153"/>
      <c r="J5012" s="153"/>
      <c r="K5012" s="153"/>
      <c r="L5012" s="653"/>
      <c r="M5012" s="669">
        <v>31434</v>
      </c>
      <c r="N5012" s="600">
        <v>1.38</v>
      </c>
      <c r="O5012" s="612">
        <f>6.4/3600</f>
        <v>1.7777777777777779E-3</v>
      </c>
      <c r="P5012" s="150"/>
      <c r="Q5012" s="150"/>
      <c r="R5012" s="150"/>
      <c r="S5012" s="150"/>
      <c r="T5012" s="150"/>
      <c r="U5012" s="265">
        <f>0.7-V5012</f>
        <v>0.36999999999999994</v>
      </c>
      <c r="V5012" s="750">
        <v>0.33</v>
      </c>
      <c r="W5012" s="756"/>
      <c r="X5012" s="752"/>
      <c r="Y5012" s="757"/>
      <c r="Z5012" s="245"/>
      <c r="AA5012" s="150">
        <v>1.8</v>
      </c>
      <c r="AB5012" s="152"/>
      <c r="AC5012" s="152"/>
      <c r="AD5012" s="154">
        <v>10</v>
      </c>
      <c r="AE5012" s="152"/>
      <c r="AF5012" s="153"/>
      <c r="AG5012" s="153"/>
      <c r="AH5012" s="346"/>
      <c r="AI5012" s="153"/>
      <c r="AJ5012" s="480"/>
      <c r="AK5012" s="153"/>
      <c r="AL5012" s="152"/>
      <c r="AM5012" s="152"/>
      <c r="AN5012" s="152"/>
      <c r="AO5012" s="152"/>
      <c r="AP5012" s="152"/>
      <c r="AQ5012" s="152"/>
      <c r="AR5012" s="152"/>
      <c r="AS5012" s="152"/>
      <c r="AT5012" s="152"/>
      <c r="AU5012" s="218"/>
      <c r="AV5012" s="218"/>
      <c r="AW5012" s="218"/>
      <c r="AX5012" s="218"/>
      <c r="AY5012" s="218"/>
      <c r="AZ5012" s="152"/>
      <c r="BA5012" s="152"/>
      <c r="BB5012" s="152"/>
      <c r="BC5012" s="152"/>
      <c r="BD5012" s="152"/>
      <c r="BE5012" s="152"/>
      <c r="BF5012" s="152"/>
      <c r="BG5012" s="152"/>
      <c r="BH5012" s="152"/>
      <c r="BI5012" s="153"/>
      <c r="BJ5012" s="153"/>
      <c r="BK5012" s="153"/>
      <c r="BL5012" s="153"/>
      <c r="BM5012" s="153"/>
      <c r="BN5012" s="153"/>
      <c r="BO5012" s="153"/>
      <c r="BP5012" s="153"/>
      <c r="BQ5012" s="153"/>
      <c r="BR5012" s="153"/>
      <c r="BS5012" s="153"/>
      <c r="BT5012" s="153"/>
      <c r="BU5012" s="153"/>
      <c r="BV5012" s="153"/>
      <c r="BW5012" s="153"/>
      <c r="BX5012" s="153"/>
      <c r="BY5012" s="153"/>
      <c r="BZ5012" s="153"/>
      <c r="CA5012" s="152"/>
      <c r="CB5012" s="152"/>
    </row>
    <row r="5013" spans="1:80" s="87" customFormat="1" x14ac:dyDescent="0.2">
      <c r="A5013" s="150" t="s">
        <v>103</v>
      </c>
      <c r="B5013" s="683"/>
      <c r="C5013" s="683"/>
      <c r="D5013" s="292"/>
      <c r="E5013" s="215"/>
      <c r="F5013" s="215"/>
      <c r="G5013" s="153"/>
      <c r="H5013" s="153"/>
      <c r="I5013" s="153"/>
      <c r="J5013" s="153"/>
      <c r="K5013" s="153"/>
      <c r="L5013" s="653"/>
      <c r="M5013" s="669">
        <v>31434</v>
      </c>
      <c r="N5013" s="600">
        <v>1.63</v>
      </c>
      <c r="O5013" s="612">
        <f>5.2/3600</f>
        <v>1.4444444444444446E-3</v>
      </c>
      <c r="P5013" s="150"/>
      <c r="Q5013" s="150"/>
      <c r="R5013" s="150"/>
      <c r="S5013" s="150"/>
      <c r="T5013" s="150"/>
      <c r="U5013" s="265">
        <f>0.94-V5013</f>
        <v>0.64999999999999991</v>
      </c>
      <c r="V5013" s="750">
        <v>0.28999999999999998</v>
      </c>
      <c r="W5013" s="756"/>
      <c r="X5013" s="752"/>
      <c r="Y5013" s="757"/>
      <c r="Z5013" s="245"/>
      <c r="AA5013" s="150">
        <v>1.6</v>
      </c>
      <c r="AB5013" s="152"/>
      <c r="AC5013" s="152"/>
      <c r="AD5013" s="154">
        <v>10</v>
      </c>
      <c r="AE5013" s="152"/>
      <c r="AF5013" s="153"/>
      <c r="AG5013" s="153"/>
      <c r="AH5013" s="346"/>
      <c r="AI5013" s="153"/>
      <c r="AJ5013" s="480"/>
      <c r="AK5013" s="153"/>
      <c r="AL5013" s="152"/>
      <c r="AM5013" s="152"/>
      <c r="AN5013" s="152"/>
      <c r="AO5013" s="152"/>
      <c r="AP5013" s="152"/>
      <c r="AQ5013" s="152"/>
      <c r="AR5013" s="152"/>
      <c r="AS5013" s="152"/>
      <c r="AT5013" s="152"/>
      <c r="AU5013" s="218"/>
      <c r="AV5013" s="218"/>
      <c r="AW5013" s="218"/>
      <c r="AX5013" s="218"/>
      <c r="AY5013" s="218"/>
      <c r="AZ5013" s="152"/>
      <c r="BA5013" s="152"/>
      <c r="BB5013" s="152"/>
      <c r="BC5013" s="152"/>
      <c r="BD5013" s="152"/>
      <c r="BE5013" s="152"/>
      <c r="BF5013" s="152"/>
      <c r="BG5013" s="152"/>
      <c r="BH5013" s="152"/>
      <c r="BI5013" s="153"/>
      <c r="BJ5013" s="153"/>
      <c r="BK5013" s="153"/>
      <c r="BL5013" s="153"/>
      <c r="BM5013" s="153"/>
      <c r="BN5013" s="153"/>
      <c r="BO5013" s="153"/>
      <c r="BP5013" s="153"/>
      <c r="BQ5013" s="153"/>
      <c r="BR5013" s="153"/>
      <c r="BS5013" s="153"/>
      <c r="BT5013" s="153"/>
      <c r="BU5013" s="153"/>
      <c r="BV5013" s="153"/>
      <c r="BW5013" s="153"/>
      <c r="BX5013" s="153"/>
      <c r="BY5013" s="153"/>
      <c r="BZ5013" s="153"/>
      <c r="CA5013" s="152"/>
      <c r="CB5013" s="152"/>
    </row>
    <row r="5014" spans="1:80" s="87" customFormat="1" x14ac:dyDescent="0.2">
      <c r="A5014" s="150" t="s">
        <v>104</v>
      </c>
      <c r="B5014" s="683"/>
      <c r="C5014" s="683"/>
      <c r="D5014" s="292"/>
      <c r="E5014" s="215"/>
      <c r="F5014" s="215"/>
      <c r="G5014" s="153"/>
      <c r="H5014" s="153"/>
      <c r="I5014" s="153"/>
      <c r="J5014" s="153"/>
      <c r="K5014" s="153"/>
      <c r="L5014" s="653"/>
      <c r="M5014" s="669">
        <v>31434</v>
      </c>
      <c r="N5014" s="600">
        <v>1.82</v>
      </c>
      <c r="O5014" s="612">
        <f>7.1/3600</f>
        <v>1.972222222222222E-3</v>
      </c>
      <c r="P5014" s="150"/>
      <c r="Q5014" s="150"/>
      <c r="R5014" s="150"/>
      <c r="S5014" s="150"/>
      <c r="T5014" s="150"/>
      <c r="U5014" s="265">
        <f>0.78-V5014</f>
        <v>0.20000000000000007</v>
      </c>
      <c r="V5014" s="750">
        <v>0.57999999999999996</v>
      </c>
      <c r="W5014" s="756"/>
      <c r="X5014" s="752"/>
      <c r="Y5014" s="757"/>
      <c r="Z5014" s="245"/>
      <c r="AA5014" s="150">
        <v>0.8</v>
      </c>
      <c r="AB5014" s="152"/>
      <c r="AC5014" s="152"/>
      <c r="AD5014" s="154">
        <v>10</v>
      </c>
      <c r="AE5014" s="152"/>
      <c r="AF5014" s="153"/>
      <c r="AG5014" s="153"/>
      <c r="AH5014" s="346"/>
      <c r="AI5014" s="153"/>
      <c r="AJ5014" s="480"/>
      <c r="AK5014" s="153"/>
      <c r="AL5014" s="152"/>
      <c r="AM5014" s="152"/>
      <c r="AN5014" s="152"/>
      <c r="AO5014" s="152"/>
      <c r="AP5014" s="152"/>
      <c r="AQ5014" s="152"/>
      <c r="AR5014" s="152"/>
      <c r="AS5014" s="152"/>
      <c r="AT5014" s="152"/>
      <c r="AU5014" s="218"/>
      <c r="AV5014" s="218"/>
      <c r="AW5014" s="218"/>
      <c r="AX5014" s="218"/>
      <c r="AY5014" s="218"/>
      <c r="AZ5014" s="152"/>
      <c r="BA5014" s="152"/>
      <c r="BB5014" s="152"/>
      <c r="BC5014" s="152"/>
      <c r="BD5014" s="152"/>
      <c r="BE5014" s="152"/>
      <c r="BF5014" s="152"/>
      <c r="BG5014" s="152"/>
      <c r="BH5014" s="152"/>
      <c r="BI5014" s="153"/>
      <c r="BJ5014" s="153"/>
      <c r="BK5014" s="153"/>
      <c r="BL5014" s="153"/>
      <c r="BM5014" s="153"/>
      <c r="BN5014" s="153"/>
      <c r="BO5014" s="153"/>
      <c r="BP5014" s="153"/>
      <c r="BQ5014" s="153"/>
      <c r="BR5014" s="153"/>
      <c r="BS5014" s="153"/>
      <c r="BT5014" s="153"/>
      <c r="BU5014" s="153"/>
      <c r="BV5014" s="153"/>
      <c r="BW5014" s="153"/>
      <c r="BX5014" s="153"/>
      <c r="BY5014" s="153"/>
      <c r="BZ5014" s="153"/>
      <c r="CA5014" s="152"/>
      <c r="CB5014" s="152"/>
    </row>
    <row r="5015" spans="1:80" s="87" customFormat="1" x14ac:dyDescent="0.2">
      <c r="A5015" s="150" t="s">
        <v>102</v>
      </c>
      <c r="B5015" s="683"/>
      <c r="C5015" s="683"/>
      <c r="D5015" s="292"/>
      <c r="E5015" s="215"/>
      <c r="F5015" s="215"/>
      <c r="G5015" s="153"/>
      <c r="H5015" s="153"/>
      <c r="I5015" s="153"/>
      <c r="J5015" s="153"/>
      <c r="K5015" s="153"/>
      <c r="L5015" s="653"/>
      <c r="M5015" s="669">
        <v>31445</v>
      </c>
      <c r="N5015" s="600">
        <v>2.4</v>
      </c>
      <c r="O5015" s="612">
        <f>34/3600</f>
        <v>9.4444444444444445E-3</v>
      </c>
      <c r="P5015" s="150"/>
      <c r="Q5015" s="150"/>
      <c r="R5015" s="150"/>
      <c r="S5015" s="150"/>
      <c r="T5015" s="150"/>
      <c r="U5015" s="265">
        <f>0.69-V5015</f>
        <v>0.43999999999999995</v>
      </c>
      <c r="V5015" s="750">
        <v>0.25</v>
      </c>
      <c r="W5015" s="756"/>
      <c r="X5015" s="752"/>
      <c r="Y5015" s="757"/>
      <c r="Z5015" s="245"/>
      <c r="AA5015" s="150">
        <v>2.4</v>
      </c>
      <c r="AB5015" s="152"/>
      <c r="AC5015" s="152"/>
      <c r="AD5015" s="154">
        <v>10</v>
      </c>
      <c r="AE5015" s="152"/>
      <c r="AF5015" s="153"/>
      <c r="AG5015" s="153"/>
      <c r="AH5015" s="346"/>
      <c r="AI5015" s="153"/>
      <c r="AJ5015" s="480"/>
      <c r="AK5015" s="153"/>
      <c r="AL5015" s="152"/>
      <c r="AM5015" s="152"/>
      <c r="AN5015" s="152"/>
      <c r="AO5015" s="152"/>
      <c r="AP5015" s="152"/>
      <c r="AQ5015" s="152"/>
      <c r="AR5015" s="152"/>
      <c r="AS5015" s="152"/>
      <c r="AT5015" s="152"/>
      <c r="AU5015" s="218"/>
      <c r="AV5015" s="218"/>
      <c r="AW5015" s="218"/>
      <c r="AX5015" s="218"/>
      <c r="AY5015" s="218"/>
      <c r="AZ5015" s="152"/>
      <c r="BA5015" s="152"/>
      <c r="BB5015" s="152"/>
      <c r="BC5015" s="152"/>
      <c r="BD5015" s="152"/>
      <c r="BE5015" s="152"/>
      <c r="BF5015" s="152"/>
      <c r="BG5015" s="152"/>
      <c r="BH5015" s="152"/>
      <c r="BI5015" s="153"/>
      <c r="BJ5015" s="153"/>
      <c r="BK5015" s="153"/>
      <c r="BL5015" s="153"/>
      <c r="BM5015" s="153"/>
      <c r="BN5015" s="153"/>
      <c r="BO5015" s="153"/>
      <c r="BP5015" s="153"/>
      <c r="BQ5015" s="153"/>
      <c r="BR5015" s="153"/>
      <c r="BS5015" s="153"/>
      <c r="BT5015" s="153"/>
      <c r="BU5015" s="153"/>
      <c r="BV5015" s="153"/>
      <c r="BW5015" s="153"/>
      <c r="BX5015" s="153"/>
      <c r="BY5015" s="153"/>
      <c r="BZ5015" s="153"/>
      <c r="CA5015" s="152"/>
      <c r="CB5015" s="152"/>
    </row>
    <row r="5016" spans="1:80" s="87" customFormat="1" x14ac:dyDescent="0.2">
      <c r="A5016" s="150" t="s">
        <v>104</v>
      </c>
      <c r="B5016" s="683"/>
      <c r="C5016" s="683"/>
      <c r="D5016" s="292"/>
      <c r="E5016" s="215"/>
      <c r="F5016" s="215"/>
      <c r="G5016" s="153"/>
      <c r="H5016" s="153"/>
      <c r="I5016" s="153"/>
      <c r="J5016" s="153"/>
      <c r="K5016" s="153"/>
      <c r="L5016" s="653"/>
      <c r="M5016" s="669">
        <v>31445</v>
      </c>
      <c r="N5016" s="600">
        <v>2.4300000000000002</v>
      </c>
      <c r="O5016" s="612">
        <f>100/3600</f>
        <v>2.7777777777777776E-2</v>
      </c>
      <c r="P5016" s="150"/>
      <c r="Q5016" s="150"/>
      <c r="R5016" s="150"/>
      <c r="S5016" s="150"/>
      <c r="T5016" s="150"/>
      <c r="U5016" s="265">
        <f>0.83-V5016</f>
        <v>0.42</v>
      </c>
      <c r="V5016" s="750">
        <v>0.41</v>
      </c>
      <c r="W5016" s="756"/>
      <c r="X5016" s="752"/>
      <c r="Y5016" s="757"/>
      <c r="Z5016" s="245"/>
      <c r="AA5016" s="150">
        <v>1.7</v>
      </c>
      <c r="AB5016" s="152"/>
      <c r="AC5016" s="152"/>
      <c r="AD5016" s="154">
        <v>10</v>
      </c>
      <c r="AE5016" s="152"/>
      <c r="AF5016" s="153"/>
      <c r="AG5016" s="153"/>
      <c r="AH5016" s="346"/>
      <c r="AI5016" s="153"/>
      <c r="AJ5016" s="480"/>
      <c r="AK5016" s="153"/>
      <c r="AL5016" s="152"/>
      <c r="AM5016" s="152"/>
      <c r="AN5016" s="152"/>
      <c r="AO5016" s="152"/>
      <c r="AP5016" s="152"/>
      <c r="AQ5016" s="152"/>
      <c r="AR5016" s="152"/>
      <c r="AS5016" s="152"/>
      <c r="AT5016" s="152"/>
      <c r="AU5016" s="218"/>
      <c r="AV5016" s="218"/>
      <c r="AW5016" s="218"/>
      <c r="AX5016" s="218"/>
      <c r="AY5016" s="218"/>
      <c r="AZ5016" s="152"/>
      <c r="BA5016" s="152"/>
      <c r="BB5016" s="152"/>
      <c r="BC5016" s="152"/>
      <c r="BD5016" s="152"/>
      <c r="BE5016" s="152"/>
      <c r="BF5016" s="152"/>
      <c r="BG5016" s="152"/>
      <c r="BH5016" s="152"/>
      <c r="BI5016" s="153"/>
      <c r="BJ5016" s="153"/>
      <c r="BK5016" s="153"/>
      <c r="BL5016" s="153"/>
      <c r="BM5016" s="153"/>
      <c r="BN5016" s="153"/>
      <c r="BO5016" s="153"/>
      <c r="BP5016" s="153"/>
      <c r="BQ5016" s="153"/>
      <c r="BR5016" s="153"/>
      <c r="BS5016" s="153"/>
      <c r="BT5016" s="153"/>
      <c r="BU5016" s="153"/>
      <c r="BV5016" s="153"/>
      <c r="BW5016" s="153"/>
      <c r="BX5016" s="153"/>
      <c r="BY5016" s="153"/>
      <c r="BZ5016" s="153"/>
      <c r="CA5016" s="152"/>
      <c r="CB5016" s="152"/>
    </row>
    <row r="5017" spans="1:80" s="87" customFormat="1" x14ac:dyDescent="0.2">
      <c r="A5017" s="150" t="s">
        <v>103</v>
      </c>
      <c r="B5017" s="683"/>
      <c r="C5017" s="683"/>
      <c r="D5017" s="292"/>
      <c r="E5017" s="215"/>
      <c r="F5017" s="215"/>
      <c r="G5017" s="153"/>
      <c r="H5017" s="153"/>
      <c r="I5017" s="153"/>
      <c r="J5017" s="153"/>
      <c r="K5017" s="153"/>
      <c r="L5017" s="653"/>
      <c r="M5017" s="669">
        <v>31445</v>
      </c>
      <c r="N5017" s="600">
        <v>2.56</v>
      </c>
      <c r="O5017" s="612">
        <f>17/3600</f>
        <v>4.7222222222222223E-3</v>
      </c>
      <c r="P5017" s="150"/>
      <c r="Q5017" s="150"/>
      <c r="R5017" s="150"/>
      <c r="S5017" s="150"/>
      <c r="T5017" s="150"/>
      <c r="U5017" s="265">
        <f>0.94-V5017</f>
        <v>0.37</v>
      </c>
      <c r="V5017" s="750">
        <v>0.56999999999999995</v>
      </c>
      <c r="W5017" s="756"/>
      <c r="X5017" s="752"/>
      <c r="Y5017" s="757"/>
      <c r="Z5017" s="245"/>
      <c r="AA5017" s="150">
        <v>0.9</v>
      </c>
      <c r="AB5017" s="152"/>
      <c r="AC5017" s="152"/>
      <c r="AD5017" s="154">
        <v>10</v>
      </c>
      <c r="AE5017" s="152"/>
      <c r="AF5017" s="153"/>
      <c r="AG5017" s="153"/>
      <c r="AH5017" s="346"/>
      <c r="AI5017" s="153"/>
      <c r="AJ5017" s="480"/>
      <c r="AK5017" s="153"/>
      <c r="AL5017" s="152"/>
      <c r="AM5017" s="152"/>
      <c r="AN5017" s="152"/>
      <c r="AO5017" s="152"/>
      <c r="AP5017" s="152"/>
      <c r="AQ5017" s="152"/>
      <c r="AR5017" s="152"/>
      <c r="AS5017" s="152"/>
      <c r="AT5017" s="152"/>
      <c r="AU5017" s="218"/>
      <c r="AV5017" s="218"/>
      <c r="AW5017" s="218"/>
      <c r="AX5017" s="218"/>
      <c r="AY5017" s="218"/>
      <c r="AZ5017" s="152"/>
      <c r="BA5017" s="152"/>
      <c r="BB5017" s="152"/>
      <c r="BC5017" s="152"/>
      <c r="BD5017" s="152"/>
      <c r="BE5017" s="152"/>
      <c r="BF5017" s="152"/>
      <c r="BG5017" s="152"/>
      <c r="BH5017" s="152"/>
      <c r="BI5017" s="153"/>
      <c r="BJ5017" s="153"/>
      <c r="BK5017" s="153"/>
      <c r="BL5017" s="153"/>
      <c r="BM5017" s="153"/>
      <c r="BN5017" s="153"/>
      <c r="BO5017" s="153"/>
      <c r="BP5017" s="153"/>
      <c r="BQ5017" s="153"/>
      <c r="BR5017" s="153"/>
      <c r="BS5017" s="153"/>
      <c r="BT5017" s="153"/>
      <c r="BU5017" s="153"/>
      <c r="BV5017" s="153"/>
      <c r="BW5017" s="153"/>
      <c r="BX5017" s="153"/>
      <c r="BY5017" s="153"/>
      <c r="BZ5017" s="153"/>
      <c r="CA5017" s="152"/>
      <c r="CB5017" s="152"/>
    </row>
    <row r="5018" spans="1:80" s="87" customFormat="1" x14ac:dyDescent="0.2">
      <c r="A5018" s="150" t="s">
        <v>102</v>
      </c>
      <c r="B5018" s="683"/>
      <c r="C5018" s="683"/>
      <c r="D5018" s="292"/>
      <c r="E5018" s="215"/>
      <c r="F5018" s="215"/>
      <c r="G5018" s="153"/>
      <c r="H5018" s="153"/>
      <c r="I5018" s="153"/>
      <c r="J5018" s="153"/>
      <c r="K5018" s="153"/>
      <c r="L5018" s="653"/>
      <c r="M5018" s="669">
        <v>31446</v>
      </c>
      <c r="N5018" s="600">
        <v>3.23</v>
      </c>
      <c r="O5018" s="612">
        <f>46/3600</f>
        <v>1.2777777777777779E-2</v>
      </c>
      <c r="P5018" s="150"/>
      <c r="Q5018" s="150"/>
      <c r="R5018" s="150"/>
      <c r="S5018" s="150"/>
      <c r="T5018" s="150"/>
      <c r="U5018" s="265">
        <f>0.66-V5018</f>
        <v>0.22000000000000003</v>
      </c>
      <c r="V5018" s="750">
        <v>0.44</v>
      </c>
      <c r="W5018" s="756"/>
      <c r="X5018" s="752"/>
      <c r="Y5018" s="757"/>
      <c r="Z5018" s="245"/>
      <c r="AA5018" s="150">
        <v>1.5</v>
      </c>
      <c r="AB5018" s="152"/>
      <c r="AC5018" s="152"/>
      <c r="AD5018" s="154">
        <v>10</v>
      </c>
      <c r="AE5018" s="152"/>
      <c r="AF5018" s="153"/>
      <c r="AG5018" s="153"/>
      <c r="AH5018" s="346"/>
      <c r="AI5018" s="153"/>
      <c r="AJ5018" s="480"/>
      <c r="AK5018" s="153"/>
      <c r="AL5018" s="152"/>
      <c r="AM5018" s="152"/>
      <c r="AN5018" s="152"/>
      <c r="AO5018" s="152"/>
      <c r="AP5018" s="152"/>
      <c r="AQ5018" s="152"/>
      <c r="AR5018" s="152"/>
      <c r="AS5018" s="152"/>
      <c r="AT5018" s="152"/>
      <c r="AU5018" s="218"/>
      <c r="AV5018" s="218"/>
      <c r="AW5018" s="218"/>
      <c r="AX5018" s="218"/>
      <c r="AY5018" s="218"/>
      <c r="AZ5018" s="152"/>
      <c r="BA5018" s="152"/>
      <c r="BB5018" s="152"/>
      <c r="BC5018" s="152"/>
      <c r="BD5018" s="152"/>
      <c r="BE5018" s="152"/>
      <c r="BF5018" s="152"/>
      <c r="BG5018" s="152"/>
      <c r="BH5018" s="152"/>
      <c r="BI5018" s="153"/>
      <c r="BJ5018" s="153"/>
      <c r="BK5018" s="153"/>
      <c r="BL5018" s="153"/>
      <c r="BM5018" s="153"/>
      <c r="BN5018" s="153"/>
      <c r="BO5018" s="153"/>
      <c r="BP5018" s="153"/>
      <c r="BQ5018" s="153"/>
      <c r="BR5018" s="153"/>
      <c r="BS5018" s="153"/>
      <c r="BT5018" s="153"/>
      <c r="BU5018" s="153"/>
      <c r="BV5018" s="153"/>
      <c r="BW5018" s="153"/>
      <c r="BX5018" s="153"/>
      <c r="BY5018" s="153"/>
      <c r="BZ5018" s="153"/>
      <c r="CA5018" s="152"/>
      <c r="CB5018" s="152"/>
    </row>
    <row r="5019" spans="1:80" s="87" customFormat="1" x14ac:dyDescent="0.2">
      <c r="A5019" s="150" t="s">
        <v>104</v>
      </c>
      <c r="B5019" s="683"/>
      <c r="C5019" s="683"/>
      <c r="D5019" s="292"/>
      <c r="E5019" s="215"/>
      <c r="F5019" s="215"/>
      <c r="G5019" s="153"/>
      <c r="H5019" s="153"/>
      <c r="I5019" s="153"/>
      <c r="J5019" s="153"/>
      <c r="K5019" s="153"/>
      <c r="L5019" s="653"/>
      <c r="M5019" s="669">
        <v>31446</v>
      </c>
      <c r="N5019" s="600">
        <v>3.23</v>
      </c>
      <c r="O5019" s="612">
        <f>170/3600</f>
        <v>4.7222222222222221E-2</v>
      </c>
      <c r="P5019" s="150"/>
      <c r="Q5019" s="150"/>
      <c r="R5019" s="150"/>
      <c r="S5019" s="150"/>
      <c r="T5019" s="150"/>
      <c r="U5019" s="265">
        <f>0.69-V5019</f>
        <v>0.38999999999999996</v>
      </c>
      <c r="V5019" s="750">
        <v>0.3</v>
      </c>
      <c r="W5019" s="756"/>
      <c r="X5019" s="752"/>
      <c r="Y5019" s="757"/>
      <c r="Z5019" s="245"/>
      <c r="AA5019" s="150">
        <v>2.4</v>
      </c>
      <c r="AB5019" s="152"/>
      <c r="AC5019" s="152"/>
      <c r="AD5019" s="154">
        <v>10</v>
      </c>
      <c r="AE5019" s="152"/>
      <c r="AF5019" s="153"/>
      <c r="AG5019" s="153"/>
      <c r="AH5019" s="346"/>
      <c r="AI5019" s="153"/>
      <c r="AJ5019" s="480"/>
      <c r="AK5019" s="153"/>
      <c r="AL5019" s="152"/>
      <c r="AM5019" s="152"/>
      <c r="AN5019" s="152"/>
      <c r="AO5019" s="152"/>
      <c r="AP5019" s="152"/>
      <c r="AQ5019" s="152"/>
      <c r="AR5019" s="152"/>
      <c r="AS5019" s="152"/>
      <c r="AT5019" s="152"/>
      <c r="AU5019" s="218"/>
      <c r="AV5019" s="218"/>
      <c r="AW5019" s="218"/>
      <c r="AX5019" s="218"/>
      <c r="AY5019" s="218"/>
      <c r="AZ5019" s="152"/>
      <c r="BA5019" s="152"/>
      <c r="BB5019" s="152"/>
      <c r="BC5019" s="152"/>
      <c r="BD5019" s="152"/>
      <c r="BE5019" s="152"/>
      <c r="BF5019" s="152"/>
      <c r="BG5019" s="152"/>
      <c r="BH5019" s="152"/>
      <c r="BI5019" s="153"/>
      <c r="BJ5019" s="153"/>
      <c r="BK5019" s="153"/>
      <c r="BL5019" s="153"/>
      <c r="BM5019" s="153"/>
      <c r="BN5019" s="153"/>
      <c r="BO5019" s="153"/>
      <c r="BP5019" s="153"/>
      <c r="BQ5019" s="153"/>
      <c r="BR5019" s="153"/>
      <c r="BS5019" s="153"/>
      <c r="BT5019" s="153"/>
      <c r="BU5019" s="153"/>
      <c r="BV5019" s="153"/>
      <c r="BW5019" s="153"/>
      <c r="BX5019" s="153"/>
      <c r="BY5019" s="153"/>
      <c r="BZ5019" s="153"/>
      <c r="CA5019" s="152"/>
      <c r="CB5019" s="152"/>
    </row>
    <row r="5020" spans="1:80" s="87" customFormat="1" x14ac:dyDescent="0.2">
      <c r="A5020" s="150" t="s">
        <v>103</v>
      </c>
      <c r="B5020" s="683"/>
      <c r="C5020" s="683"/>
      <c r="D5020" s="292"/>
      <c r="E5020" s="215"/>
      <c r="F5020" s="215"/>
      <c r="G5020" s="153"/>
      <c r="H5020" s="153"/>
      <c r="I5020" s="153"/>
      <c r="J5020" s="153"/>
      <c r="K5020" s="153"/>
      <c r="L5020" s="653"/>
      <c r="M5020" s="669">
        <v>31446</v>
      </c>
      <c r="N5020" s="600">
        <v>3.22</v>
      </c>
      <c r="O5020" s="612">
        <f>580/3600</f>
        <v>0.16111111111111112</v>
      </c>
      <c r="P5020" s="150"/>
      <c r="Q5020" s="150"/>
      <c r="R5020" s="150"/>
      <c r="S5020" s="150"/>
      <c r="T5020" s="150"/>
      <c r="U5020" s="265">
        <f>0.53-V5020</f>
        <v>0.4</v>
      </c>
      <c r="V5020" s="750">
        <v>0.13</v>
      </c>
      <c r="W5020" s="756"/>
      <c r="X5020" s="752"/>
      <c r="Y5020" s="757"/>
      <c r="Z5020" s="245"/>
      <c r="AA5020" s="150">
        <v>4.2</v>
      </c>
      <c r="AB5020" s="152"/>
      <c r="AC5020" s="152"/>
      <c r="AD5020" s="154">
        <v>10</v>
      </c>
      <c r="AE5020" s="152"/>
      <c r="AF5020" s="153"/>
      <c r="AG5020" s="153"/>
      <c r="AH5020" s="346"/>
      <c r="AI5020" s="153"/>
      <c r="AJ5020" s="480"/>
      <c r="AK5020" s="153"/>
      <c r="AL5020" s="152"/>
      <c r="AM5020" s="152"/>
      <c r="AN5020" s="152"/>
      <c r="AO5020" s="152"/>
      <c r="AP5020" s="152"/>
      <c r="AQ5020" s="152"/>
      <c r="AR5020" s="152"/>
      <c r="AS5020" s="152"/>
      <c r="AT5020" s="152"/>
      <c r="AU5020" s="218"/>
      <c r="AV5020" s="218"/>
      <c r="AW5020" s="218"/>
      <c r="AX5020" s="218"/>
      <c r="AY5020" s="218"/>
      <c r="AZ5020" s="152"/>
      <c r="BA5020" s="152"/>
      <c r="BB5020" s="152"/>
      <c r="BC5020" s="152"/>
      <c r="BD5020" s="152"/>
      <c r="BE5020" s="152"/>
      <c r="BF5020" s="152"/>
      <c r="BG5020" s="152"/>
      <c r="BH5020" s="152"/>
      <c r="BI5020" s="153"/>
      <c r="BJ5020" s="153"/>
      <c r="BK5020" s="153"/>
      <c r="BL5020" s="153"/>
      <c r="BM5020" s="153"/>
      <c r="BN5020" s="153"/>
      <c r="BO5020" s="153"/>
      <c r="BP5020" s="153"/>
      <c r="BQ5020" s="153"/>
      <c r="BR5020" s="153"/>
      <c r="BS5020" s="153"/>
      <c r="BT5020" s="153"/>
      <c r="BU5020" s="153"/>
      <c r="BV5020" s="153"/>
      <c r="BW5020" s="153"/>
      <c r="BX5020" s="153"/>
      <c r="BY5020" s="153"/>
      <c r="BZ5020" s="153"/>
      <c r="CA5020" s="152"/>
      <c r="CB5020" s="152"/>
    </row>
    <row r="5021" spans="1:80" s="87" customFormat="1" x14ac:dyDescent="0.2">
      <c r="A5021" s="150" t="s">
        <v>102</v>
      </c>
      <c r="B5021" s="683"/>
      <c r="C5021" s="683"/>
      <c r="D5021" s="292"/>
      <c r="E5021" s="215"/>
      <c r="F5021" s="215"/>
      <c r="G5021" s="153"/>
      <c r="H5021" s="153"/>
      <c r="I5021" s="153"/>
      <c r="J5021" s="153"/>
      <c r="K5021" s="153"/>
      <c r="L5021" s="653"/>
      <c r="M5021" s="669">
        <v>31447</v>
      </c>
      <c r="N5021" s="600">
        <v>2.87</v>
      </c>
      <c r="O5021" s="612">
        <f>9.6/3600</f>
        <v>2.6666666666666666E-3</v>
      </c>
      <c r="P5021" s="150"/>
      <c r="Q5021" s="150"/>
      <c r="R5021" s="150"/>
      <c r="S5021" s="150"/>
      <c r="T5021" s="150"/>
      <c r="U5021" s="265">
        <f>0.69-V5021</f>
        <v>0.27999999999999997</v>
      </c>
      <c r="V5021" s="750">
        <v>0.41</v>
      </c>
      <c r="W5021" s="756"/>
      <c r="X5021" s="752"/>
      <c r="Y5021" s="757"/>
      <c r="Z5021" s="245"/>
      <c r="AA5021" s="150">
        <v>1.6</v>
      </c>
      <c r="AB5021" s="152"/>
      <c r="AC5021" s="152"/>
      <c r="AD5021" s="154">
        <v>10</v>
      </c>
      <c r="AE5021" s="152"/>
      <c r="AF5021" s="153"/>
      <c r="AG5021" s="153"/>
      <c r="AH5021" s="346"/>
      <c r="AI5021" s="153"/>
      <c r="AJ5021" s="480"/>
      <c r="AK5021" s="153"/>
      <c r="AL5021" s="152"/>
      <c r="AM5021" s="152"/>
      <c r="AN5021" s="152"/>
      <c r="AO5021" s="152"/>
      <c r="AP5021" s="152"/>
      <c r="AQ5021" s="152"/>
      <c r="AR5021" s="152"/>
      <c r="AS5021" s="152"/>
      <c r="AT5021" s="152"/>
      <c r="AU5021" s="218"/>
      <c r="AV5021" s="218"/>
      <c r="AW5021" s="218"/>
      <c r="AX5021" s="218"/>
      <c r="AY5021" s="218"/>
      <c r="AZ5021" s="152"/>
      <c r="BA5021" s="152"/>
      <c r="BB5021" s="152"/>
      <c r="BC5021" s="152"/>
      <c r="BD5021" s="152"/>
      <c r="BE5021" s="152"/>
      <c r="BF5021" s="152"/>
      <c r="BG5021" s="152"/>
      <c r="BH5021" s="152"/>
      <c r="BI5021" s="153"/>
      <c r="BJ5021" s="153"/>
      <c r="BK5021" s="153"/>
      <c r="BL5021" s="153"/>
      <c r="BM5021" s="153"/>
      <c r="BN5021" s="153"/>
      <c r="BO5021" s="153"/>
      <c r="BP5021" s="153"/>
      <c r="BQ5021" s="153"/>
      <c r="BR5021" s="153"/>
      <c r="BS5021" s="153"/>
      <c r="BT5021" s="153"/>
      <c r="BU5021" s="153"/>
      <c r="BV5021" s="153"/>
      <c r="BW5021" s="153"/>
      <c r="BX5021" s="153"/>
      <c r="BY5021" s="153"/>
      <c r="BZ5021" s="153"/>
      <c r="CA5021" s="152"/>
      <c r="CB5021" s="152"/>
    </row>
    <row r="5022" spans="1:80" s="87" customFormat="1" x14ac:dyDescent="0.2">
      <c r="A5022" s="150" t="s">
        <v>103</v>
      </c>
      <c r="B5022" s="683"/>
      <c r="C5022" s="683"/>
      <c r="D5022" s="292"/>
      <c r="E5022" s="215"/>
      <c r="F5022" s="215"/>
      <c r="G5022" s="153"/>
      <c r="H5022" s="153"/>
      <c r="I5022" s="153"/>
      <c r="J5022" s="153"/>
      <c r="K5022" s="153"/>
      <c r="L5022" s="653"/>
      <c r="M5022" s="669">
        <v>31447</v>
      </c>
      <c r="N5022" s="600">
        <v>2.86</v>
      </c>
      <c r="O5022" s="612">
        <f>16/3600</f>
        <v>4.4444444444444444E-3</v>
      </c>
      <c r="P5022" s="150"/>
      <c r="Q5022" s="150"/>
      <c r="R5022" s="150"/>
      <c r="S5022" s="150"/>
      <c r="T5022" s="150"/>
      <c r="U5022" s="265">
        <f>0.45-V5022</f>
        <v>0.15000000000000002</v>
      </c>
      <c r="V5022" s="750">
        <v>0.3</v>
      </c>
      <c r="W5022" s="756"/>
      <c r="X5022" s="752"/>
      <c r="Y5022" s="757"/>
      <c r="Z5022" s="245"/>
      <c r="AA5022" s="150">
        <v>5.9</v>
      </c>
      <c r="AB5022" s="152"/>
      <c r="AC5022" s="152"/>
      <c r="AD5022" s="154">
        <v>10</v>
      </c>
      <c r="AE5022" s="152"/>
      <c r="AF5022" s="153"/>
      <c r="AG5022" s="153"/>
      <c r="AH5022" s="346"/>
      <c r="AI5022" s="153"/>
      <c r="AJ5022" s="480"/>
      <c r="AK5022" s="153"/>
      <c r="AL5022" s="152"/>
      <c r="AM5022" s="152"/>
      <c r="AN5022" s="152"/>
      <c r="AO5022" s="152"/>
      <c r="AP5022" s="152"/>
      <c r="AQ5022" s="152"/>
      <c r="AR5022" s="152"/>
      <c r="AS5022" s="152"/>
      <c r="AT5022" s="152"/>
      <c r="AU5022" s="218"/>
      <c r="AV5022" s="218"/>
      <c r="AW5022" s="218"/>
      <c r="AX5022" s="218"/>
      <c r="AY5022" s="218"/>
      <c r="AZ5022" s="152"/>
      <c r="BA5022" s="152"/>
      <c r="BB5022" s="152"/>
      <c r="BC5022" s="152"/>
      <c r="BD5022" s="152"/>
      <c r="BE5022" s="152"/>
      <c r="BF5022" s="152"/>
      <c r="BG5022" s="152"/>
      <c r="BH5022" s="152"/>
      <c r="BI5022" s="153"/>
      <c r="BJ5022" s="153"/>
      <c r="BK5022" s="153"/>
      <c r="BL5022" s="153"/>
      <c r="BM5022" s="153"/>
      <c r="BN5022" s="153"/>
      <c r="BO5022" s="153"/>
      <c r="BP5022" s="153"/>
      <c r="BQ5022" s="153"/>
      <c r="BR5022" s="153"/>
      <c r="BS5022" s="153"/>
      <c r="BT5022" s="153"/>
      <c r="BU5022" s="153"/>
      <c r="BV5022" s="153"/>
      <c r="BW5022" s="153"/>
      <c r="BX5022" s="153"/>
      <c r="BY5022" s="153"/>
      <c r="BZ5022" s="153"/>
      <c r="CA5022" s="152"/>
      <c r="CB5022" s="152"/>
    </row>
    <row r="5023" spans="1:80" s="87" customFormat="1" x14ac:dyDescent="0.2">
      <c r="A5023" s="150" t="s">
        <v>104</v>
      </c>
      <c r="B5023" s="683"/>
      <c r="C5023" s="683"/>
      <c r="D5023" s="292"/>
      <c r="E5023" s="215"/>
      <c r="F5023" s="215"/>
      <c r="G5023" s="153"/>
      <c r="H5023" s="153"/>
      <c r="I5023" s="153"/>
      <c r="J5023" s="153"/>
      <c r="K5023" s="153"/>
      <c r="L5023" s="653"/>
      <c r="M5023" s="669">
        <v>31447</v>
      </c>
      <c r="N5023" s="600">
        <v>2.85</v>
      </c>
      <c r="O5023" s="612">
        <f>30/3600</f>
        <v>8.3333333333333332E-3</v>
      </c>
      <c r="P5023" s="150"/>
      <c r="Q5023" s="150"/>
      <c r="R5023" s="150"/>
      <c r="S5023" s="150"/>
      <c r="T5023" s="150"/>
      <c r="U5023" s="265">
        <f>0.68-V5023</f>
        <v>0.33000000000000007</v>
      </c>
      <c r="V5023" s="750">
        <v>0.35</v>
      </c>
      <c r="W5023" s="756"/>
      <c r="X5023" s="752"/>
      <c r="Y5023" s="757"/>
      <c r="Z5023" s="245"/>
      <c r="AA5023" s="150">
        <v>1.9</v>
      </c>
      <c r="AB5023" s="152"/>
      <c r="AC5023" s="152"/>
      <c r="AD5023" s="154">
        <v>10</v>
      </c>
      <c r="AE5023" s="152"/>
      <c r="AF5023" s="153"/>
      <c r="AG5023" s="153"/>
      <c r="AH5023" s="346"/>
      <c r="AI5023" s="153"/>
      <c r="AJ5023" s="480"/>
      <c r="AK5023" s="153"/>
      <c r="AL5023" s="152"/>
      <c r="AM5023" s="152"/>
      <c r="AN5023" s="152"/>
      <c r="AO5023" s="152"/>
      <c r="AP5023" s="152"/>
      <c r="AQ5023" s="152"/>
      <c r="AR5023" s="152"/>
      <c r="AS5023" s="152"/>
      <c r="AT5023" s="152"/>
      <c r="AU5023" s="218"/>
      <c r="AV5023" s="218"/>
      <c r="AW5023" s="218"/>
      <c r="AX5023" s="218"/>
      <c r="AY5023" s="218"/>
      <c r="AZ5023" s="152"/>
      <c r="BA5023" s="152"/>
      <c r="BB5023" s="152"/>
      <c r="BC5023" s="152"/>
      <c r="BD5023" s="152"/>
      <c r="BE5023" s="152"/>
      <c r="BF5023" s="152"/>
      <c r="BG5023" s="152"/>
      <c r="BH5023" s="152"/>
      <c r="BI5023" s="153"/>
      <c r="BJ5023" s="153"/>
      <c r="BK5023" s="153"/>
      <c r="BL5023" s="153"/>
      <c r="BM5023" s="153"/>
      <c r="BN5023" s="153"/>
      <c r="BO5023" s="153"/>
      <c r="BP5023" s="153"/>
      <c r="BQ5023" s="153"/>
      <c r="BR5023" s="153"/>
      <c r="BS5023" s="153"/>
      <c r="BT5023" s="153"/>
      <c r="BU5023" s="153"/>
      <c r="BV5023" s="153"/>
      <c r="BW5023" s="153"/>
      <c r="BX5023" s="153"/>
      <c r="BY5023" s="153"/>
      <c r="BZ5023" s="153"/>
      <c r="CA5023" s="152"/>
      <c r="CB5023" s="152"/>
    </row>
    <row r="5024" spans="1:80" s="87" customFormat="1" x14ac:dyDescent="0.2">
      <c r="A5024" s="150" t="s">
        <v>102</v>
      </c>
      <c r="B5024" s="683"/>
      <c r="C5024" s="683"/>
      <c r="D5024" s="292"/>
      <c r="E5024" s="215"/>
      <c r="F5024" s="215"/>
      <c r="G5024" s="153"/>
      <c r="H5024" s="153"/>
      <c r="I5024" s="153"/>
      <c r="J5024" s="153"/>
      <c r="K5024" s="153"/>
      <c r="L5024" s="653"/>
      <c r="M5024" s="669">
        <v>31448</v>
      </c>
      <c r="N5024" s="600">
        <v>2.59</v>
      </c>
      <c r="O5024" s="612">
        <f>6.2/3600</f>
        <v>1.7222222222222222E-3</v>
      </c>
      <c r="P5024" s="150"/>
      <c r="Q5024" s="150"/>
      <c r="R5024" s="150"/>
      <c r="S5024" s="150"/>
      <c r="T5024" s="150"/>
      <c r="U5024" s="265">
        <f>0.89-V5024</f>
        <v>0.35</v>
      </c>
      <c r="V5024" s="750">
        <v>0.54</v>
      </c>
      <c r="W5024" s="756"/>
      <c r="X5024" s="752"/>
      <c r="Y5024" s="757"/>
      <c r="Z5024" s="245"/>
      <c r="AA5024" s="150">
        <v>0.9</v>
      </c>
      <c r="AB5024" s="152"/>
      <c r="AC5024" s="152"/>
      <c r="AD5024" s="154">
        <v>10</v>
      </c>
      <c r="AE5024" s="152"/>
      <c r="AF5024" s="153"/>
      <c r="AG5024" s="153"/>
      <c r="AH5024" s="346"/>
      <c r="AI5024" s="153"/>
      <c r="AJ5024" s="480"/>
      <c r="AK5024" s="153"/>
      <c r="AL5024" s="152"/>
      <c r="AM5024" s="152"/>
      <c r="AN5024" s="152"/>
      <c r="AO5024" s="152"/>
      <c r="AP5024" s="152"/>
      <c r="AQ5024" s="152"/>
      <c r="AR5024" s="152"/>
      <c r="AS5024" s="152"/>
      <c r="AT5024" s="152"/>
      <c r="AU5024" s="218"/>
      <c r="AV5024" s="218"/>
      <c r="AW5024" s="218"/>
      <c r="AX5024" s="218"/>
      <c r="AY5024" s="218"/>
      <c r="AZ5024" s="152"/>
      <c r="BA5024" s="152"/>
      <c r="BB5024" s="152"/>
      <c r="BC5024" s="152"/>
      <c r="BD5024" s="152"/>
      <c r="BE5024" s="152"/>
      <c r="BF5024" s="152"/>
      <c r="BG5024" s="152"/>
      <c r="BH5024" s="152"/>
      <c r="BI5024" s="153"/>
      <c r="BJ5024" s="153"/>
      <c r="BK5024" s="153"/>
      <c r="BL5024" s="153"/>
      <c r="BM5024" s="153"/>
      <c r="BN5024" s="153"/>
      <c r="BO5024" s="153"/>
      <c r="BP5024" s="153"/>
      <c r="BQ5024" s="153"/>
      <c r="BR5024" s="153"/>
      <c r="BS5024" s="153"/>
      <c r="BT5024" s="153"/>
      <c r="BU5024" s="153"/>
      <c r="BV5024" s="153"/>
      <c r="BW5024" s="153"/>
      <c r="BX5024" s="153"/>
      <c r="BY5024" s="153"/>
      <c r="BZ5024" s="153"/>
      <c r="CA5024" s="152"/>
      <c r="CB5024" s="152"/>
    </row>
    <row r="5025" spans="1:80" s="87" customFormat="1" x14ac:dyDescent="0.2">
      <c r="A5025" s="150" t="s">
        <v>103</v>
      </c>
      <c r="B5025" s="683"/>
      <c r="C5025" s="683"/>
      <c r="D5025" s="292"/>
      <c r="E5025" s="215"/>
      <c r="F5025" s="215"/>
      <c r="G5025" s="153"/>
      <c r="H5025" s="153"/>
      <c r="I5025" s="153"/>
      <c r="J5025" s="153"/>
      <c r="K5025" s="153"/>
      <c r="L5025" s="653"/>
      <c r="M5025" s="669">
        <v>31448</v>
      </c>
      <c r="N5025" s="600">
        <v>2.59</v>
      </c>
      <c r="O5025" s="612">
        <f>43/3600</f>
        <v>1.1944444444444445E-2</v>
      </c>
      <c r="P5025" s="150"/>
      <c r="Q5025" s="150"/>
      <c r="R5025" s="150"/>
      <c r="S5025" s="150"/>
      <c r="T5025" s="150"/>
      <c r="U5025" s="265">
        <f>0.72-V5025</f>
        <v>0.54999999999999993</v>
      </c>
      <c r="V5025" s="750">
        <v>0.17</v>
      </c>
      <c r="W5025" s="756"/>
      <c r="X5025" s="752"/>
      <c r="Y5025" s="757"/>
      <c r="Z5025" s="245"/>
      <c r="AA5025" s="150">
        <v>2.8</v>
      </c>
      <c r="AB5025" s="152"/>
      <c r="AC5025" s="152"/>
      <c r="AD5025" s="154">
        <v>10</v>
      </c>
      <c r="AE5025" s="152"/>
      <c r="AF5025" s="153"/>
      <c r="AG5025" s="153"/>
      <c r="AH5025" s="346"/>
      <c r="AI5025" s="153"/>
      <c r="AJ5025" s="480"/>
      <c r="AK5025" s="153"/>
      <c r="AL5025" s="152"/>
      <c r="AM5025" s="152"/>
      <c r="AN5025" s="152"/>
      <c r="AO5025" s="152"/>
      <c r="AP5025" s="152"/>
      <c r="AQ5025" s="152"/>
      <c r="AR5025" s="152"/>
      <c r="AS5025" s="152"/>
      <c r="AT5025" s="152"/>
      <c r="AU5025" s="218"/>
      <c r="AV5025" s="218"/>
      <c r="AW5025" s="218"/>
      <c r="AX5025" s="218"/>
      <c r="AY5025" s="218"/>
      <c r="AZ5025" s="152"/>
      <c r="BA5025" s="152"/>
      <c r="BB5025" s="152"/>
      <c r="BC5025" s="152"/>
      <c r="BD5025" s="152"/>
      <c r="BE5025" s="152"/>
      <c r="BF5025" s="152"/>
      <c r="BG5025" s="152"/>
      <c r="BH5025" s="152"/>
      <c r="BI5025" s="153"/>
      <c r="BJ5025" s="153"/>
      <c r="BK5025" s="153"/>
      <c r="BL5025" s="153"/>
      <c r="BM5025" s="153"/>
      <c r="BN5025" s="153"/>
      <c r="BO5025" s="153"/>
      <c r="BP5025" s="153"/>
      <c r="BQ5025" s="153"/>
      <c r="BR5025" s="153"/>
      <c r="BS5025" s="153"/>
      <c r="BT5025" s="153"/>
      <c r="BU5025" s="153"/>
      <c r="BV5025" s="153"/>
      <c r="BW5025" s="153"/>
      <c r="BX5025" s="153"/>
      <c r="BY5025" s="153"/>
      <c r="BZ5025" s="153"/>
      <c r="CA5025" s="152"/>
      <c r="CB5025" s="152"/>
    </row>
    <row r="5026" spans="1:80" s="87" customFormat="1" x14ac:dyDescent="0.2">
      <c r="A5026" s="150" t="s">
        <v>104</v>
      </c>
      <c r="B5026" s="683"/>
      <c r="C5026" s="683"/>
      <c r="D5026" s="292"/>
      <c r="E5026" s="215"/>
      <c r="F5026" s="215"/>
      <c r="G5026" s="153"/>
      <c r="H5026" s="153"/>
      <c r="I5026" s="153"/>
      <c r="J5026" s="153"/>
      <c r="K5026" s="153"/>
      <c r="L5026" s="653"/>
      <c r="M5026" s="669">
        <v>31448</v>
      </c>
      <c r="N5026" s="600">
        <v>2.59</v>
      </c>
      <c r="O5026" s="612">
        <f>32/3600</f>
        <v>8.8888888888888889E-3</v>
      </c>
      <c r="P5026" s="150"/>
      <c r="Q5026" s="150"/>
      <c r="R5026" s="150"/>
      <c r="S5026" s="150"/>
      <c r="T5026" s="150"/>
      <c r="U5026" s="265">
        <f>0.73-V5026</f>
        <v>0.52</v>
      </c>
      <c r="V5026" s="750">
        <v>0.21</v>
      </c>
      <c r="W5026" s="756"/>
      <c r="X5026" s="752"/>
      <c r="Y5026" s="757"/>
      <c r="Z5026" s="245"/>
      <c r="AA5026" s="150">
        <v>2.2000000000000002</v>
      </c>
      <c r="AB5026" s="152"/>
      <c r="AC5026" s="152"/>
      <c r="AD5026" s="154">
        <v>10</v>
      </c>
      <c r="AE5026" s="152"/>
      <c r="AF5026" s="153"/>
      <c r="AG5026" s="153"/>
      <c r="AH5026" s="346"/>
      <c r="AI5026" s="153"/>
      <c r="AJ5026" s="480"/>
      <c r="AK5026" s="153"/>
      <c r="AL5026" s="152"/>
      <c r="AM5026" s="152"/>
      <c r="AN5026" s="152"/>
      <c r="AO5026" s="152"/>
      <c r="AP5026" s="152"/>
      <c r="AQ5026" s="152"/>
      <c r="AR5026" s="152"/>
      <c r="AS5026" s="152"/>
      <c r="AT5026" s="152"/>
      <c r="AU5026" s="218"/>
      <c r="AV5026" s="218"/>
      <c r="AW5026" s="218"/>
      <c r="AX5026" s="218"/>
      <c r="AY5026" s="218"/>
      <c r="AZ5026" s="152"/>
      <c r="BA5026" s="152"/>
      <c r="BB5026" s="152"/>
      <c r="BC5026" s="152"/>
      <c r="BD5026" s="152"/>
      <c r="BE5026" s="152"/>
      <c r="BF5026" s="152"/>
      <c r="BG5026" s="152"/>
      <c r="BH5026" s="152"/>
      <c r="BI5026" s="153"/>
      <c r="BJ5026" s="153"/>
      <c r="BK5026" s="153"/>
      <c r="BL5026" s="153"/>
      <c r="BM5026" s="153"/>
      <c r="BN5026" s="153"/>
      <c r="BO5026" s="153"/>
      <c r="BP5026" s="153"/>
      <c r="BQ5026" s="153"/>
      <c r="BR5026" s="153"/>
      <c r="BS5026" s="153"/>
      <c r="BT5026" s="153"/>
      <c r="BU5026" s="153"/>
      <c r="BV5026" s="153"/>
      <c r="BW5026" s="153"/>
      <c r="BX5026" s="153"/>
      <c r="BY5026" s="153"/>
      <c r="BZ5026" s="153"/>
      <c r="CA5026" s="152"/>
      <c r="CB5026" s="152"/>
    </row>
    <row r="5027" spans="1:80" s="87" customFormat="1" x14ac:dyDescent="0.2">
      <c r="A5027" s="150" t="s">
        <v>102</v>
      </c>
      <c r="B5027" s="683"/>
      <c r="C5027" s="683"/>
      <c r="D5027" s="292"/>
      <c r="E5027" s="215"/>
      <c r="F5027" s="215"/>
      <c r="G5027" s="153"/>
      <c r="H5027" s="153"/>
      <c r="I5027" s="153"/>
      <c r="J5027" s="153"/>
      <c r="K5027" s="153"/>
      <c r="L5027" s="653"/>
      <c r="M5027" s="669">
        <v>31449</v>
      </c>
      <c r="N5027" s="600">
        <v>2.23</v>
      </c>
      <c r="O5027" s="612">
        <f>11/3600</f>
        <v>3.0555555555555557E-3</v>
      </c>
      <c r="P5027" s="150"/>
      <c r="Q5027" s="150"/>
      <c r="R5027" s="150"/>
      <c r="S5027" s="150"/>
      <c r="T5027" s="150"/>
      <c r="U5027" s="265">
        <f>0.4-V5027</f>
        <v>0.2</v>
      </c>
      <c r="V5027" s="750">
        <v>0.2</v>
      </c>
      <c r="W5027" s="756"/>
      <c r="X5027" s="752"/>
      <c r="Y5027" s="757"/>
      <c r="Z5027" s="245"/>
      <c r="AA5027" s="150">
        <v>5.0999999999999996</v>
      </c>
      <c r="AB5027" s="152"/>
      <c r="AC5027" s="152"/>
      <c r="AD5027" s="154">
        <v>10</v>
      </c>
      <c r="AE5027" s="152"/>
      <c r="AF5027" s="153"/>
      <c r="AG5027" s="153"/>
      <c r="AH5027" s="346"/>
      <c r="AI5027" s="153"/>
      <c r="AJ5027" s="480"/>
      <c r="AK5027" s="153"/>
      <c r="AL5027" s="152"/>
      <c r="AM5027" s="152"/>
      <c r="AN5027" s="152"/>
      <c r="AO5027" s="152"/>
      <c r="AP5027" s="152"/>
      <c r="AQ5027" s="152"/>
      <c r="AR5027" s="152"/>
      <c r="AS5027" s="152"/>
      <c r="AT5027" s="152"/>
      <c r="AU5027" s="218"/>
      <c r="AV5027" s="218"/>
      <c r="AW5027" s="218"/>
      <c r="AX5027" s="218"/>
      <c r="AY5027" s="218"/>
      <c r="AZ5027" s="152"/>
      <c r="BA5027" s="152"/>
      <c r="BB5027" s="152"/>
      <c r="BC5027" s="152"/>
      <c r="BD5027" s="152"/>
      <c r="BE5027" s="152"/>
      <c r="BF5027" s="152"/>
      <c r="BG5027" s="152"/>
      <c r="BH5027" s="152"/>
      <c r="BI5027" s="153"/>
      <c r="BJ5027" s="153"/>
      <c r="BK5027" s="153"/>
      <c r="BL5027" s="153"/>
      <c r="BM5027" s="153"/>
      <c r="BN5027" s="153"/>
      <c r="BO5027" s="153"/>
      <c r="BP5027" s="153"/>
      <c r="BQ5027" s="153"/>
      <c r="BR5027" s="153"/>
      <c r="BS5027" s="153"/>
      <c r="BT5027" s="153"/>
      <c r="BU5027" s="153"/>
      <c r="BV5027" s="153"/>
      <c r="BW5027" s="153"/>
      <c r="BX5027" s="153"/>
      <c r="BY5027" s="153"/>
      <c r="BZ5027" s="153"/>
      <c r="CA5027" s="152"/>
      <c r="CB5027" s="152"/>
    </row>
    <row r="5028" spans="1:80" s="87" customFormat="1" x14ac:dyDescent="0.2">
      <c r="A5028" s="150" t="s">
        <v>103</v>
      </c>
      <c r="B5028" s="683"/>
      <c r="C5028" s="683"/>
      <c r="D5028" s="292"/>
      <c r="E5028" s="215"/>
      <c r="F5028" s="215"/>
      <c r="G5028" s="153"/>
      <c r="H5028" s="153"/>
      <c r="I5028" s="153"/>
      <c r="J5028" s="153"/>
      <c r="K5028" s="153"/>
      <c r="L5028" s="653"/>
      <c r="M5028" s="669">
        <v>31449</v>
      </c>
      <c r="N5028" s="600">
        <v>2.1800000000000002</v>
      </c>
      <c r="O5028" s="612">
        <f>25/3600</f>
        <v>6.9444444444444441E-3</v>
      </c>
      <c r="P5028" s="150"/>
      <c r="Q5028" s="150"/>
      <c r="R5028" s="150"/>
      <c r="S5028" s="150"/>
      <c r="T5028" s="150"/>
      <c r="U5028" s="265">
        <f>0.54-V5028</f>
        <v>0.46400000000000002</v>
      </c>
      <c r="V5028" s="750">
        <v>7.5999999999999998E-2</v>
      </c>
      <c r="W5028" s="756"/>
      <c r="X5028" s="752"/>
      <c r="Y5028" s="757"/>
      <c r="Z5028" s="245"/>
      <c r="AA5028" s="150">
        <v>3.8</v>
      </c>
      <c r="AB5028" s="152"/>
      <c r="AC5028" s="152"/>
      <c r="AD5028" s="154">
        <v>10</v>
      </c>
      <c r="AE5028" s="152"/>
      <c r="AF5028" s="153"/>
      <c r="AG5028" s="153"/>
      <c r="AH5028" s="346"/>
      <c r="AI5028" s="153"/>
      <c r="AJ5028" s="480"/>
      <c r="AK5028" s="153"/>
      <c r="AL5028" s="152"/>
      <c r="AM5028" s="152"/>
      <c r="AN5028" s="152"/>
      <c r="AO5028" s="152"/>
      <c r="AP5028" s="152"/>
      <c r="AQ5028" s="152"/>
      <c r="AR5028" s="152"/>
      <c r="AS5028" s="152"/>
      <c r="AT5028" s="152"/>
      <c r="AU5028" s="218"/>
      <c r="AV5028" s="218"/>
      <c r="AW5028" s="218"/>
      <c r="AX5028" s="218"/>
      <c r="AY5028" s="218"/>
      <c r="AZ5028" s="152"/>
      <c r="BA5028" s="152"/>
      <c r="BB5028" s="152"/>
      <c r="BC5028" s="152"/>
      <c r="BD5028" s="152"/>
      <c r="BE5028" s="152"/>
      <c r="BF5028" s="152"/>
      <c r="BG5028" s="152"/>
      <c r="BH5028" s="152"/>
      <c r="BI5028" s="153"/>
      <c r="BJ5028" s="153"/>
      <c r="BK5028" s="153"/>
      <c r="BL5028" s="153"/>
      <c r="BM5028" s="153"/>
      <c r="BN5028" s="153"/>
      <c r="BO5028" s="153"/>
      <c r="BP5028" s="153"/>
      <c r="BQ5028" s="153"/>
      <c r="BR5028" s="153"/>
      <c r="BS5028" s="153"/>
      <c r="BT5028" s="153"/>
      <c r="BU5028" s="153"/>
      <c r="BV5028" s="153"/>
      <c r="BW5028" s="153"/>
      <c r="BX5028" s="153"/>
      <c r="BY5028" s="153"/>
      <c r="BZ5028" s="153"/>
      <c r="CA5028" s="152"/>
      <c r="CB5028" s="152"/>
    </row>
    <row r="5029" spans="1:80" s="87" customFormat="1" x14ac:dyDescent="0.2">
      <c r="A5029" s="150" t="s">
        <v>104</v>
      </c>
      <c r="B5029" s="683"/>
      <c r="C5029" s="683"/>
      <c r="D5029" s="292"/>
      <c r="E5029" s="215"/>
      <c r="F5029" s="215"/>
      <c r="G5029" s="153"/>
      <c r="H5029" s="153"/>
      <c r="I5029" s="153"/>
      <c r="J5029" s="153"/>
      <c r="K5029" s="153"/>
      <c r="L5029" s="653"/>
      <c r="M5029" s="669">
        <v>31449</v>
      </c>
      <c r="N5029" s="600">
        <v>2.1800000000000002</v>
      </c>
      <c r="O5029" s="612">
        <f>9.2/3600</f>
        <v>2.5555555555555553E-3</v>
      </c>
      <c r="P5029" s="150"/>
      <c r="Q5029" s="150"/>
      <c r="R5029" s="150"/>
      <c r="S5029" s="150"/>
      <c r="T5029" s="150"/>
      <c r="U5029" s="265">
        <f>0.82-V5029</f>
        <v>0.41999999999999993</v>
      </c>
      <c r="V5029" s="750">
        <v>0.4</v>
      </c>
      <c r="W5029" s="756"/>
      <c r="X5029" s="752"/>
      <c r="Y5029" s="757"/>
      <c r="Z5029" s="245"/>
      <c r="AA5029" s="150">
        <v>1.4</v>
      </c>
      <c r="AB5029" s="152"/>
      <c r="AC5029" s="152"/>
      <c r="AD5029" s="154">
        <v>10</v>
      </c>
      <c r="AE5029" s="152"/>
      <c r="AF5029" s="153"/>
      <c r="AG5029" s="153"/>
      <c r="AH5029" s="346"/>
      <c r="AI5029" s="153"/>
      <c r="AJ5029" s="480"/>
      <c r="AK5029" s="153"/>
      <c r="AL5029" s="152"/>
      <c r="AM5029" s="152"/>
      <c r="AN5029" s="152"/>
      <c r="AO5029" s="152"/>
      <c r="AP5029" s="152"/>
      <c r="AQ5029" s="152"/>
      <c r="AR5029" s="152"/>
      <c r="AS5029" s="152"/>
      <c r="AT5029" s="152"/>
      <c r="AU5029" s="218"/>
      <c r="AV5029" s="218"/>
      <c r="AW5029" s="218"/>
      <c r="AX5029" s="218"/>
      <c r="AY5029" s="218"/>
      <c r="AZ5029" s="152"/>
      <c r="BA5029" s="152"/>
      <c r="BB5029" s="152"/>
      <c r="BC5029" s="152"/>
      <c r="BD5029" s="152"/>
      <c r="BE5029" s="152"/>
      <c r="BF5029" s="152"/>
      <c r="BG5029" s="152"/>
      <c r="BH5029" s="152"/>
      <c r="BI5029" s="153"/>
      <c r="BJ5029" s="153"/>
      <c r="BK5029" s="153"/>
      <c r="BL5029" s="153"/>
      <c r="BM5029" s="153"/>
      <c r="BN5029" s="153"/>
      <c r="BO5029" s="153"/>
      <c r="BP5029" s="153"/>
      <c r="BQ5029" s="153"/>
      <c r="BR5029" s="153"/>
      <c r="BS5029" s="153"/>
      <c r="BT5029" s="153"/>
      <c r="BU5029" s="153"/>
      <c r="BV5029" s="153"/>
      <c r="BW5029" s="153"/>
      <c r="BX5029" s="153"/>
      <c r="BY5029" s="153"/>
      <c r="BZ5029" s="153"/>
      <c r="CA5029" s="152"/>
      <c r="CB5029" s="152"/>
    </row>
    <row r="5030" spans="1:80" s="87" customFormat="1" x14ac:dyDescent="0.2">
      <c r="A5030" s="150" t="s">
        <v>102</v>
      </c>
      <c r="B5030" s="683"/>
      <c r="C5030" s="683"/>
      <c r="D5030" s="292"/>
      <c r="E5030" s="215"/>
      <c r="F5030" s="215"/>
      <c r="G5030" s="153"/>
      <c r="H5030" s="153"/>
      <c r="I5030" s="153"/>
      <c r="J5030" s="153"/>
      <c r="K5030" s="153"/>
      <c r="L5030" s="653"/>
      <c r="M5030" s="669">
        <v>31457</v>
      </c>
      <c r="N5030" s="600">
        <v>2.14</v>
      </c>
      <c r="O5030" s="612">
        <f>17/3600</f>
        <v>4.7222222222222223E-3</v>
      </c>
      <c r="P5030" s="150"/>
      <c r="Q5030" s="150"/>
      <c r="R5030" s="150"/>
      <c r="S5030" s="150"/>
      <c r="T5030" s="150"/>
      <c r="U5030" s="265">
        <f>0.74-V5030</f>
        <v>0.47</v>
      </c>
      <c r="V5030" s="750">
        <v>0.27</v>
      </c>
      <c r="W5030" s="756"/>
      <c r="X5030" s="752"/>
      <c r="Y5030" s="757"/>
      <c r="Z5030" s="245"/>
      <c r="AA5030" s="150">
        <v>1.9</v>
      </c>
      <c r="AB5030" s="152"/>
      <c r="AC5030" s="152"/>
      <c r="AD5030" s="154">
        <v>10</v>
      </c>
      <c r="AE5030" s="152"/>
      <c r="AF5030" s="153"/>
      <c r="AG5030" s="153"/>
      <c r="AH5030" s="346"/>
      <c r="AI5030" s="153"/>
      <c r="AJ5030" s="480"/>
      <c r="AK5030" s="153"/>
      <c r="AL5030" s="152"/>
      <c r="AM5030" s="152"/>
      <c r="AN5030" s="152"/>
      <c r="AO5030" s="152"/>
      <c r="AP5030" s="152"/>
      <c r="AQ5030" s="152"/>
      <c r="AR5030" s="152"/>
      <c r="AS5030" s="152"/>
      <c r="AT5030" s="152"/>
      <c r="AU5030" s="218"/>
      <c r="AV5030" s="218"/>
      <c r="AW5030" s="218"/>
      <c r="AX5030" s="218"/>
      <c r="AY5030" s="218"/>
      <c r="AZ5030" s="152"/>
      <c r="BA5030" s="152"/>
      <c r="BB5030" s="152"/>
      <c r="BC5030" s="152"/>
      <c r="BD5030" s="152"/>
      <c r="BE5030" s="152"/>
      <c r="BF5030" s="152"/>
      <c r="BG5030" s="152"/>
      <c r="BH5030" s="152"/>
      <c r="BI5030" s="153"/>
      <c r="BJ5030" s="153"/>
      <c r="BK5030" s="153"/>
      <c r="BL5030" s="153"/>
      <c r="BM5030" s="153"/>
      <c r="BN5030" s="153"/>
      <c r="BO5030" s="153"/>
      <c r="BP5030" s="153"/>
      <c r="BQ5030" s="153"/>
      <c r="BR5030" s="153"/>
      <c r="BS5030" s="153"/>
      <c r="BT5030" s="153"/>
      <c r="BU5030" s="153"/>
      <c r="BV5030" s="153"/>
      <c r="BW5030" s="153"/>
      <c r="BX5030" s="153"/>
      <c r="BY5030" s="153"/>
      <c r="BZ5030" s="153"/>
      <c r="CA5030" s="152"/>
      <c r="CB5030" s="152"/>
    </row>
    <row r="5031" spans="1:80" s="87" customFormat="1" x14ac:dyDescent="0.2">
      <c r="A5031" s="150" t="s">
        <v>103</v>
      </c>
      <c r="B5031" s="683"/>
      <c r="C5031" s="683"/>
      <c r="D5031" s="292"/>
      <c r="E5031" s="215"/>
      <c r="F5031" s="215"/>
      <c r="G5031" s="153"/>
      <c r="H5031" s="153"/>
      <c r="I5031" s="153"/>
      <c r="J5031" s="153"/>
      <c r="K5031" s="153"/>
      <c r="L5031" s="653"/>
      <c r="M5031" s="669">
        <v>31457</v>
      </c>
      <c r="N5031" s="600">
        <v>2.12</v>
      </c>
      <c r="O5031" s="612">
        <f>32/3600</f>
        <v>8.8888888888888889E-3</v>
      </c>
      <c r="P5031" s="150"/>
      <c r="Q5031" s="150" t="s">
        <v>71</v>
      </c>
      <c r="R5031" s="150"/>
      <c r="S5031" s="150"/>
      <c r="T5031" s="150"/>
      <c r="U5031" s="265">
        <f>0.78-V5031</f>
        <v>0.64</v>
      </c>
      <c r="V5031" s="750">
        <v>0.14000000000000001</v>
      </c>
      <c r="W5031" s="756"/>
      <c r="X5031" s="752"/>
      <c r="Y5031" s="757"/>
      <c r="Z5031" s="245"/>
      <c r="AA5031" s="150">
        <v>2.5</v>
      </c>
      <c r="AB5031" s="152"/>
      <c r="AC5031" s="152"/>
      <c r="AD5031" s="154">
        <v>10</v>
      </c>
      <c r="AE5031" s="152"/>
      <c r="AF5031" s="153"/>
      <c r="AG5031" s="153"/>
      <c r="AH5031" s="346"/>
      <c r="AI5031" s="153"/>
      <c r="AJ5031" s="480"/>
      <c r="AK5031" s="153"/>
      <c r="AL5031" s="152"/>
      <c r="AM5031" s="152"/>
      <c r="AN5031" s="152"/>
      <c r="AO5031" s="152"/>
      <c r="AP5031" s="152"/>
      <c r="AQ5031" s="152"/>
      <c r="AR5031" s="152"/>
      <c r="AS5031" s="152"/>
      <c r="AT5031" s="152"/>
      <c r="AU5031" s="218"/>
      <c r="AV5031" s="218"/>
      <c r="AW5031" s="218"/>
      <c r="AX5031" s="218"/>
      <c r="AY5031" s="218"/>
      <c r="AZ5031" s="152"/>
      <c r="BA5031" s="152"/>
      <c r="BB5031" s="152"/>
      <c r="BC5031" s="152"/>
      <c r="BD5031" s="152"/>
      <c r="BE5031" s="152"/>
      <c r="BF5031" s="152"/>
      <c r="BG5031" s="152"/>
      <c r="BH5031" s="152"/>
      <c r="BI5031" s="153"/>
      <c r="BJ5031" s="153"/>
      <c r="BK5031" s="153"/>
      <c r="BL5031" s="153"/>
      <c r="BM5031" s="153"/>
      <c r="BN5031" s="153"/>
      <c r="BO5031" s="153"/>
      <c r="BP5031" s="153"/>
      <c r="BQ5031" s="153"/>
      <c r="BR5031" s="153"/>
      <c r="BS5031" s="153"/>
      <c r="BT5031" s="153"/>
      <c r="BU5031" s="153"/>
      <c r="BV5031" s="153"/>
      <c r="BW5031" s="153"/>
      <c r="BX5031" s="153"/>
      <c r="BY5031" s="153"/>
      <c r="BZ5031" s="153"/>
      <c r="CA5031" s="152"/>
      <c r="CB5031" s="152"/>
    </row>
    <row r="5032" spans="1:80" s="87" customFormat="1" x14ac:dyDescent="0.2">
      <c r="A5032" s="150" t="s">
        <v>104</v>
      </c>
      <c r="B5032" s="683"/>
      <c r="C5032" s="683"/>
      <c r="D5032" s="292"/>
      <c r="E5032" s="215"/>
      <c r="F5032" s="215"/>
      <c r="G5032" s="153"/>
      <c r="H5032" s="153"/>
      <c r="I5032" s="153"/>
      <c r="J5032" s="153"/>
      <c r="K5032" s="153"/>
      <c r="L5032" s="653"/>
      <c r="M5032" s="669">
        <v>31457</v>
      </c>
      <c r="N5032" s="600">
        <v>2.06</v>
      </c>
      <c r="O5032" s="612">
        <f>9.1/3600</f>
        <v>2.5277777777777777E-3</v>
      </c>
      <c r="P5032" s="150"/>
      <c r="Q5032" s="150"/>
      <c r="R5032" s="150"/>
      <c r="S5032" s="150"/>
      <c r="T5032" s="150"/>
      <c r="U5032" s="265">
        <f>0.71-V5032</f>
        <v>0.3</v>
      </c>
      <c r="V5032" s="750">
        <v>0.41</v>
      </c>
      <c r="W5032" s="756"/>
      <c r="X5032" s="752"/>
      <c r="Y5032" s="757"/>
      <c r="Z5032" s="245"/>
      <c r="AA5032" s="150">
        <v>1.5</v>
      </c>
      <c r="AB5032" s="152"/>
      <c r="AC5032" s="152"/>
      <c r="AD5032" s="154">
        <v>10</v>
      </c>
      <c r="AE5032" s="152"/>
      <c r="AF5032" s="153"/>
      <c r="AG5032" s="153"/>
      <c r="AH5032" s="346"/>
      <c r="AI5032" s="153"/>
      <c r="AJ5032" s="480"/>
      <c r="AK5032" s="153"/>
      <c r="AL5032" s="152"/>
      <c r="AM5032" s="152"/>
      <c r="AN5032" s="152"/>
      <c r="AO5032" s="152"/>
      <c r="AP5032" s="152"/>
      <c r="AQ5032" s="152"/>
      <c r="AR5032" s="152"/>
      <c r="AS5032" s="152"/>
      <c r="AT5032" s="152"/>
      <c r="AU5032" s="218"/>
      <c r="AV5032" s="218"/>
      <c r="AW5032" s="218"/>
      <c r="AX5032" s="218"/>
      <c r="AY5032" s="218"/>
      <c r="AZ5032" s="152"/>
      <c r="BA5032" s="152"/>
      <c r="BB5032" s="152"/>
      <c r="BC5032" s="152"/>
      <c r="BD5032" s="152"/>
      <c r="BE5032" s="152"/>
      <c r="BF5032" s="152"/>
      <c r="BG5032" s="152"/>
      <c r="BH5032" s="152"/>
      <c r="BI5032" s="153"/>
      <c r="BJ5032" s="153"/>
      <c r="BK5032" s="153"/>
      <c r="BL5032" s="153"/>
      <c r="BM5032" s="153"/>
      <c r="BN5032" s="153"/>
      <c r="BO5032" s="153"/>
      <c r="BP5032" s="153"/>
      <c r="BQ5032" s="153"/>
      <c r="BR5032" s="153"/>
      <c r="BS5032" s="153"/>
      <c r="BT5032" s="153"/>
      <c r="BU5032" s="153"/>
      <c r="BV5032" s="153"/>
      <c r="BW5032" s="153"/>
      <c r="BX5032" s="153"/>
      <c r="BY5032" s="153"/>
      <c r="BZ5032" s="153"/>
      <c r="CA5032" s="152"/>
      <c r="CB5032" s="152"/>
    </row>
    <row r="5033" spans="1:80" s="87" customFormat="1" x14ac:dyDescent="0.2">
      <c r="A5033" s="150" t="s">
        <v>102</v>
      </c>
      <c r="B5033" s="683"/>
      <c r="C5033" s="683"/>
      <c r="D5033" s="292"/>
      <c r="E5033" s="215"/>
      <c r="F5033" s="215"/>
      <c r="G5033" s="153"/>
      <c r="H5033" s="153"/>
      <c r="I5033" s="153"/>
      <c r="J5033" s="153"/>
      <c r="K5033" s="153"/>
      <c r="L5033" s="653"/>
      <c r="M5033" s="669">
        <v>31459</v>
      </c>
      <c r="N5033" s="600">
        <v>5.29</v>
      </c>
      <c r="O5033" s="612">
        <f>720/3600</f>
        <v>0.2</v>
      </c>
      <c r="P5033" s="150"/>
      <c r="Q5033" s="150"/>
      <c r="R5033" s="150"/>
      <c r="S5033" s="150"/>
      <c r="T5033" s="150"/>
      <c r="U5033" s="265">
        <f>0.5-V5033</f>
        <v>0.31</v>
      </c>
      <c r="V5033" s="750">
        <v>0.19</v>
      </c>
      <c r="W5033" s="756"/>
      <c r="X5033" s="752"/>
      <c r="Y5033" s="757"/>
      <c r="Z5033" s="245"/>
      <c r="AA5033" s="150">
        <v>4.4000000000000004</v>
      </c>
      <c r="AB5033" s="152"/>
      <c r="AC5033" s="152"/>
      <c r="AD5033" s="154">
        <v>10</v>
      </c>
      <c r="AE5033" s="152"/>
      <c r="AF5033" s="153"/>
      <c r="AG5033" s="153"/>
      <c r="AH5033" s="346"/>
      <c r="AI5033" s="153"/>
      <c r="AJ5033" s="480"/>
      <c r="AK5033" s="153"/>
      <c r="AL5033" s="152"/>
      <c r="AM5033" s="152"/>
      <c r="AN5033" s="152"/>
      <c r="AO5033" s="152"/>
      <c r="AP5033" s="152"/>
      <c r="AQ5033" s="152"/>
      <c r="AR5033" s="152"/>
      <c r="AS5033" s="152"/>
      <c r="AT5033" s="152"/>
      <c r="AU5033" s="218"/>
      <c r="AV5033" s="218"/>
      <c r="AW5033" s="218"/>
      <c r="AX5033" s="218"/>
      <c r="AY5033" s="218"/>
      <c r="AZ5033" s="152"/>
      <c r="BA5033" s="152"/>
      <c r="BB5033" s="152"/>
      <c r="BC5033" s="152"/>
      <c r="BD5033" s="152"/>
      <c r="BE5033" s="152"/>
      <c r="BF5033" s="152"/>
      <c r="BG5033" s="152"/>
      <c r="BH5033" s="152"/>
      <c r="BI5033" s="153"/>
      <c r="BJ5033" s="153"/>
      <c r="BK5033" s="153"/>
      <c r="BL5033" s="153"/>
      <c r="BM5033" s="153"/>
      <c r="BN5033" s="153"/>
      <c r="BO5033" s="153"/>
      <c r="BP5033" s="153"/>
      <c r="BQ5033" s="153"/>
      <c r="BR5033" s="153"/>
      <c r="BS5033" s="153"/>
      <c r="BT5033" s="153"/>
      <c r="BU5033" s="153"/>
      <c r="BV5033" s="153"/>
      <c r="BW5033" s="153"/>
      <c r="BX5033" s="153"/>
      <c r="BY5033" s="153"/>
      <c r="BZ5033" s="153"/>
      <c r="CA5033" s="152"/>
      <c r="CB5033" s="152"/>
    </row>
    <row r="5034" spans="1:80" s="87" customFormat="1" x14ac:dyDescent="0.2">
      <c r="A5034" s="150" t="s">
        <v>103</v>
      </c>
      <c r="B5034" s="683"/>
      <c r="C5034" s="683"/>
      <c r="D5034" s="292"/>
      <c r="E5034" s="215"/>
      <c r="F5034" s="215"/>
      <c r="G5034" s="153"/>
      <c r="H5034" s="153"/>
      <c r="I5034" s="153"/>
      <c r="J5034" s="153"/>
      <c r="K5034" s="153"/>
      <c r="L5034" s="653"/>
      <c r="M5034" s="669">
        <v>31459</v>
      </c>
      <c r="N5034" s="600">
        <v>5.38</v>
      </c>
      <c r="O5034" s="612">
        <f>1700/3600</f>
        <v>0.47222222222222221</v>
      </c>
      <c r="P5034" s="150"/>
      <c r="Q5034" s="150"/>
      <c r="R5034" s="150"/>
      <c r="S5034" s="150"/>
      <c r="T5034" s="150"/>
      <c r="U5034" s="265">
        <f>0.71-V5034</f>
        <v>0.39999999999999997</v>
      </c>
      <c r="V5034" s="750">
        <v>0.31</v>
      </c>
      <c r="W5034" s="756"/>
      <c r="X5034" s="752"/>
      <c r="Y5034" s="757"/>
      <c r="Z5034" s="245"/>
      <c r="AA5034" s="150">
        <v>2</v>
      </c>
      <c r="AB5034" s="152"/>
      <c r="AC5034" s="152"/>
      <c r="AD5034" s="154">
        <v>10</v>
      </c>
      <c r="AE5034" s="152"/>
      <c r="AF5034" s="153"/>
      <c r="AG5034" s="153"/>
      <c r="AH5034" s="346"/>
      <c r="AI5034" s="153"/>
      <c r="AJ5034" s="480"/>
      <c r="AK5034" s="153"/>
      <c r="AL5034" s="152"/>
      <c r="AM5034" s="152"/>
      <c r="AN5034" s="152"/>
      <c r="AO5034" s="152"/>
      <c r="AP5034" s="152"/>
      <c r="AQ5034" s="152"/>
      <c r="AR5034" s="152"/>
      <c r="AS5034" s="152"/>
      <c r="AT5034" s="152"/>
      <c r="AU5034" s="218"/>
      <c r="AV5034" s="218"/>
      <c r="AW5034" s="218"/>
      <c r="AX5034" s="218"/>
      <c r="AY5034" s="218"/>
      <c r="AZ5034" s="152"/>
      <c r="BA5034" s="152"/>
      <c r="BB5034" s="152"/>
      <c r="BC5034" s="152"/>
      <c r="BD5034" s="152"/>
      <c r="BE5034" s="152"/>
      <c r="BF5034" s="152"/>
      <c r="BG5034" s="152"/>
      <c r="BH5034" s="152"/>
      <c r="BI5034" s="153"/>
      <c r="BJ5034" s="153"/>
      <c r="BK5034" s="153"/>
      <c r="BL5034" s="153"/>
      <c r="BM5034" s="153"/>
      <c r="BN5034" s="153"/>
      <c r="BO5034" s="153"/>
      <c r="BP5034" s="153"/>
      <c r="BQ5034" s="153"/>
      <c r="BR5034" s="153"/>
      <c r="BS5034" s="153"/>
      <c r="BT5034" s="153"/>
      <c r="BU5034" s="153"/>
      <c r="BV5034" s="153"/>
      <c r="BW5034" s="153"/>
      <c r="BX5034" s="153"/>
      <c r="BY5034" s="153"/>
      <c r="BZ5034" s="153"/>
      <c r="CA5034" s="152"/>
      <c r="CB5034" s="152"/>
    </row>
    <row r="5035" spans="1:80" s="87" customFormat="1" x14ac:dyDescent="0.2">
      <c r="A5035" s="150" t="s">
        <v>104</v>
      </c>
      <c r="B5035" s="683"/>
      <c r="C5035" s="683"/>
      <c r="D5035" s="292"/>
      <c r="E5035" s="215"/>
      <c r="F5035" s="215"/>
      <c r="G5035" s="153"/>
      <c r="H5035" s="153"/>
      <c r="I5035" s="153"/>
      <c r="J5035" s="153"/>
      <c r="K5035" s="153"/>
      <c r="L5035" s="653"/>
      <c r="M5035" s="669">
        <v>31459</v>
      </c>
      <c r="N5035" s="600">
        <v>5.55</v>
      </c>
      <c r="O5035" s="612">
        <f>3200/3600</f>
        <v>0.88888888888888884</v>
      </c>
      <c r="P5035" s="150"/>
      <c r="Q5035" s="150"/>
      <c r="R5035" s="150"/>
      <c r="S5035" s="150"/>
      <c r="T5035" s="150"/>
      <c r="U5035" s="265">
        <f>0.5-V5035</f>
        <v>0.32999999999999996</v>
      </c>
      <c r="V5035" s="750">
        <v>0.17</v>
      </c>
      <c r="W5035" s="756"/>
      <c r="X5035" s="752"/>
      <c r="Y5035" s="757"/>
      <c r="Z5035" s="245"/>
      <c r="AA5035" s="150">
        <v>5.8</v>
      </c>
      <c r="AB5035" s="152"/>
      <c r="AC5035" s="152"/>
      <c r="AD5035" s="154">
        <v>10</v>
      </c>
      <c r="AE5035" s="152"/>
      <c r="AF5035" s="153"/>
      <c r="AG5035" s="153"/>
      <c r="AH5035" s="346"/>
      <c r="AI5035" s="153"/>
      <c r="AJ5035" s="480"/>
      <c r="AK5035" s="153"/>
      <c r="AL5035" s="152"/>
      <c r="AM5035" s="152"/>
      <c r="AN5035" s="152"/>
      <c r="AO5035" s="152"/>
      <c r="AP5035" s="152"/>
      <c r="AQ5035" s="152"/>
      <c r="AR5035" s="152"/>
      <c r="AS5035" s="152"/>
      <c r="AT5035" s="152"/>
      <c r="AU5035" s="218"/>
      <c r="AV5035" s="218"/>
      <c r="AW5035" s="218"/>
      <c r="AX5035" s="218"/>
      <c r="AY5035" s="218"/>
      <c r="AZ5035" s="152"/>
      <c r="BA5035" s="152"/>
      <c r="BB5035" s="152"/>
      <c r="BC5035" s="152"/>
      <c r="BD5035" s="152"/>
      <c r="BE5035" s="152"/>
      <c r="BF5035" s="152"/>
      <c r="BG5035" s="152"/>
      <c r="BH5035" s="152"/>
      <c r="BI5035" s="153"/>
      <c r="BJ5035" s="153"/>
      <c r="BK5035" s="153"/>
      <c r="BL5035" s="153"/>
      <c r="BM5035" s="153"/>
      <c r="BN5035" s="153"/>
      <c r="BO5035" s="153"/>
      <c r="BP5035" s="153"/>
      <c r="BQ5035" s="153"/>
      <c r="BR5035" s="153"/>
      <c r="BS5035" s="153"/>
      <c r="BT5035" s="153"/>
      <c r="BU5035" s="153"/>
      <c r="BV5035" s="153"/>
      <c r="BW5035" s="153"/>
      <c r="BX5035" s="153"/>
      <c r="BY5035" s="153"/>
      <c r="BZ5035" s="153"/>
      <c r="CA5035" s="152"/>
      <c r="CB5035" s="152"/>
    </row>
    <row r="5036" spans="1:80" s="87" customFormat="1" x14ac:dyDescent="0.2">
      <c r="A5036" s="150" t="s">
        <v>102</v>
      </c>
      <c r="B5036" s="683"/>
      <c r="C5036" s="683"/>
      <c r="D5036" s="292"/>
      <c r="E5036" s="215"/>
      <c r="F5036" s="215"/>
      <c r="G5036" s="153"/>
      <c r="H5036" s="153"/>
      <c r="I5036" s="153"/>
      <c r="J5036" s="153"/>
      <c r="K5036" s="153"/>
      <c r="L5036" s="653"/>
      <c r="M5036" s="669">
        <v>31459</v>
      </c>
      <c r="N5036" s="600">
        <v>7.42</v>
      </c>
      <c r="O5036" s="612">
        <f>2500/3600</f>
        <v>0.69444444444444442</v>
      </c>
      <c r="P5036" s="150"/>
      <c r="Q5036" s="150"/>
      <c r="R5036" s="150"/>
      <c r="S5036" s="150"/>
      <c r="T5036" s="150"/>
      <c r="U5036" s="265">
        <f>0.67-V5036</f>
        <v>0.37000000000000005</v>
      </c>
      <c r="V5036" s="750">
        <v>0.3</v>
      </c>
      <c r="W5036" s="756"/>
      <c r="X5036" s="752"/>
      <c r="Y5036" s="757"/>
      <c r="Z5036" s="245"/>
      <c r="AA5036" s="150">
        <v>3.2</v>
      </c>
      <c r="AB5036" s="152"/>
      <c r="AC5036" s="152"/>
      <c r="AD5036" s="154">
        <v>10</v>
      </c>
      <c r="AE5036" s="152"/>
      <c r="AF5036" s="153"/>
      <c r="AG5036" s="153"/>
      <c r="AH5036" s="346"/>
      <c r="AI5036" s="153"/>
      <c r="AJ5036" s="480"/>
      <c r="AK5036" s="153"/>
      <c r="AL5036" s="152"/>
      <c r="AM5036" s="152"/>
      <c r="AN5036" s="152"/>
      <c r="AO5036" s="152"/>
      <c r="AP5036" s="152"/>
      <c r="AQ5036" s="152"/>
      <c r="AR5036" s="152"/>
      <c r="AS5036" s="152"/>
      <c r="AT5036" s="152"/>
      <c r="AU5036" s="218"/>
      <c r="AV5036" s="218"/>
      <c r="AW5036" s="218"/>
      <c r="AX5036" s="218"/>
      <c r="AY5036" s="218"/>
      <c r="AZ5036" s="152"/>
      <c r="BA5036" s="152"/>
      <c r="BB5036" s="152"/>
      <c r="BC5036" s="152"/>
      <c r="BD5036" s="152"/>
      <c r="BE5036" s="152"/>
      <c r="BF5036" s="152"/>
      <c r="BG5036" s="152"/>
      <c r="BH5036" s="152"/>
      <c r="BI5036" s="153"/>
      <c r="BJ5036" s="153"/>
      <c r="BK5036" s="153"/>
      <c r="BL5036" s="153"/>
      <c r="BM5036" s="153"/>
      <c r="BN5036" s="153"/>
      <c r="BO5036" s="153"/>
      <c r="BP5036" s="153"/>
      <c r="BQ5036" s="153"/>
      <c r="BR5036" s="153"/>
      <c r="BS5036" s="153"/>
      <c r="BT5036" s="153"/>
      <c r="BU5036" s="153"/>
      <c r="BV5036" s="153"/>
      <c r="BW5036" s="153"/>
      <c r="BX5036" s="153"/>
      <c r="BY5036" s="153"/>
      <c r="BZ5036" s="153"/>
      <c r="CA5036" s="152"/>
      <c r="CB5036" s="152"/>
    </row>
    <row r="5037" spans="1:80" s="87" customFormat="1" x14ac:dyDescent="0.2">
      <c r="A5037" s="150" t="s">
        <v>103</v>
      </c>
      <c r="B5037" s="683"/>
      <c r="C5037" s="683"/>
      <c r="D5037" s="292"/>
      <c r="E5037" s="215"/>
      <c r="F5037" s="215"/>
      <c r="G5037" s="153"/>
      <c r="H5037" s="153"/>
      <c r="I5037" s="153"/>
      <c r="J5037" s="153"/>
      <c r="K5037" s="153"/>
      <c r="L5037" s="653"/>
      <c r="M5037" s="669">
        <v>31459</v>
      </c>
      <c r="N5037" s="600">
        <v>7.41</v>
      </c>
      <c r="O5037" s="612">
        <f>2500/3600</f>
        <v>0.69444444444444442</v>
      </c>
      <c r="P5037" s="150"/>
      <c r="Q5037" s="150"/>
      <c r="R5037" s="150"/>
      <c r="S5037" s="150"/>
      <c r="T5037" s="150"/>
      <c r="U5037" s="265">
        <f>0.76-V5037</f>
        <v>0.39</v>
      </c>
      <c r="V5037" s="750">
        <v>0.37</v>
      </c>
      <c r="W5037" s="756"/>
      <c r="X5037" s="752"/>
      <c r="Y5037" s="757"/>
      <c r="Z5037" s="245"/>
      <c r="AA5037" s="150">
        <v>2.4</v>
      </c>
      <c r="AB5037" s="152"/>
      <c r="AC5037" s="152"/>
      <c r="AD5037" s="154">
        <v>10</v>
      </c>
      <c r="AE5037" s="152"/>
      <c r="AF5037" s="153"/>
      <c r="AG5037" s="153"/>
      <c r="AH5037" s="346"/>
      <c r="AI5037" s="153"/>
      <c r="AJ5037" s="480"/>
      <c r="AK5037" s="153"/>
      <c r="AL5037" s="152"/>
      <c r="AM5037" s="152"/>
      <c r="AN5037" s="152"/>
      <c r="AO5037" s="152"/>
      <c r="AP5037" s="152"/>
      <c r="AQ5037" s="152"/>
      <c r="AR5037" s="152"/>
      <c r="AS5037" s="152"/>
      <c r="AT5037" s="152"/>
      <c r="AU5037" s="218"/>
      <c r="AV5037" s="218"/>
      <c r="AW5037" s="218"/>
      <c r="AX5037" s="218"/>
      <c r="AY5037" s="218"/>
      <c r="AZ5037" s="152"/>
      <c r="BA5037" s="152"/>
      <c r="BB5037" s="152"/>
      <c r="BC5037" s="152"/>
      <c r="BD5037" s="152"/>
      <c r="BE5037" s="152"/>
      <c r="BF5037" s="152"/>
      <c r="BG5037" s="152"/>
      <c r="BH5037" s="152"/>
      <c r="BI5037" s="153"/>
      <c r="BJ5037" s="153"/>
      <c r="BK5037" s="153"/>
      <c r="BL5037" s="153"/>
      <c r="BM5037" s="153"/>
      <c r="BN5037" s="153"/>
      <c r="BO5037" s="153"/>
      <c r="BP5037" s="153"/>
      <c r="BQ5037" s="153"/>
      <c r="BR5037" s="153"/>
      <c r="BS5037" s="153"/>
      <c r="BT5037" s="153"/>
      <c r="BU5037" s="153"/>
      <c r="BV5037" s="153"/>
      <c r="BW5037" s="153"/>
      <c r="BX5037" s="153"/>
      <c r="BY5037" s="153"/>
      <c r="BZ5037" s="153"/>
      <c r="CA5037" s="152"/>
      <c r="CB5037" s="152"/>
    </row>
    <row r="5038" spans="1:80" s="87" customFormat="1" x14ac:dyDescent="0.2">
      <c r="A5038" s="150" t="s">
        <v>104</v>
      </c>
      <c r="B5038" s="683"/>
      <c r="C5038" s="683"/>
      <c r="D5038" s="292"/>
      <c r="E5038" s="215"/>
      <c r="F5038" s="215"/>
      <c r="G5038" s="153"/>
      <c r="H5038" s="153"/>
      <c r="I5038" s="153"/>
      <c r="J5038" s="153"/>
      <c r="K5038" s="153"/>
      <c r="L5038" s="653"/>
      <c r="M5038" s="669">
        <v>31459</v>
      </c>
      <c r="N5038" s="600">
        <v>7.41</v>
      </c>
      <c r="O5038" s="612">
        <f>900/3600</f>
        <v>0.25</v>
      </c>
      <c r="P5038" s="150"/>
      <c r="Q5038" s="150"/>
      <c r="R5038" s="150"/>
      <c r="S5038" s="150"/>
      <c r="T5038" s="150"/>
      <c r="U5038" s="265">
        <f>0.59-V5038</f>
        <v>0.3</v>
      </c>
      <c r="V5038" s="750">
        <v>0.28999999999999998</v>
      </c>
      <c r="W5038" s="756"/>
      <c r="X5038" s="752"/>
      <c r="Y5038" s="757"/>
      <c r="Z5038" s="245"/>
      <c r="AA5038" s="150">
        <v>3.8</v>
      </c>
      <c r="AB5038" s="152"/>
      <c r="AC5038" s="152"/>
      <c r="AD5038" s="154">
        <v>10</v>
      </c>
      <c r="AE5038" s="152"/>
      <c r="AF5038" s="153"/>
      <c r="AG5038" s="153"/>
      <c r="AH5038" s="346"/>
      <c r="AI5038" s="153"/>
      <c r="AJ5038" s="480"/>
      <c r="AK5038" s="153"/>
      <c r="AL5038" s="152"/>
      <c r="AM5038" s="152"/>
      <c r="AN5038" s="152"/>
      <c r="AO5038" s="152"/>
      <c r="AP5038" s="152"/>
      <c r="AQ5038" s="152"/>
      <c r="AR5038" s="152"/>
      <c r="AS5038" s="152"/>
      <c r="AT5038" s="152"/>
      <c r="AU5038" s="218"/>
      <c r="AV5038" s="218"/>
      <c r="AW5038" s="218"/>
      <c r="AX5038" s="218"/>
      <c r="AY5038" s="218"/>
      <c r="AZ5038" s="152"/>
      <c r="BA5038" s="152"/>
      <c r="BB5038" s="152"/>
      <c r="BC5038" s="152"/>
      <c r="BD5038" s="152"/>
      <c r="BE5038" s="152"/>
      <c r="BF5038" s="152"/>
      <c r="BG5038" s="152"/>
      <c r="BH5038" s="152"/>
      <c r="BI5038" s="153"/>
      <c r="BJ5038" s="153"/>
      <c r="BK5038" s="153"/>
      <c r="BL5038" s="153"/>
      <c r="BM5038" s="153"/>
      <c r="BN5038" s="153"/>
      <c r="BO5038" s="153"/>
      <c r="BP5038" s="153"/>
      <c r="BQ5038" s="153"/>
      <c r="BR5038" s="153"/>
      <c r="BS5038" s="153"/>
      <c r="BT5038" s="153"/>
      <c r="BU5038" s="153"/>
      <c r="BV5038" s="153"/>
      <c r="BW5038" s="153"/>
      <c r="BX5038" s="153"/>
      <c r="BY5038" s="153"/>
      <c r="BZ5038" s="153"/>
      <c r="CA5038" s="152"/>
      <c r="CB5038" s="152"/>
    </row>
    <row r="5039" spans="1:80" s="87" customFormat="1" x14ac:dyDescent="0.2">
      <c r="A5039" s="150" t="s">
        <v>102</v>
      </c>
      <c r="B5039" s="683"/>
      <c r="C5039" s="683"/>
      <c r="D5039" s="292"/>
      <c r="E5039" s="215"/>
      <c r="F5039" s="215"/>
      <c r="G5039" s="153"/>
      <c r="H5039" s="153"/>
      <c r="I5039" s="153"/>
      <c r="J5039" s="153"/>
      <c r="K5039" s="153"/>
      <c r="L5039" s="653"/>
      <c r="M5039" s="669">
        <v>31460</v>
      </c>
      <c r="N5039" s="600">
        <v>10.4</v>
      </c>
      <c r="O5039" s="613">
        <f>3200/3600</f>
        <v>0.88888888888888884</v>
      </c>
      <c r="P5039" s="150"/>
      <c r="Q5039" s="150"/>
      <c r="R5039" s="150"/>
      <c r="S5039" s="150"/>
      <c r="T5039" s="150"/>
      <c r="U5039" s="265">
        <f>0.73-V5039</f>
        <v>0.35</v>
      </c>
      <c r="V5039" s="750">
        <v>0.38</v>
      </c>
      <c r="W5039" s="756"/>
      <c r="X5039" s="752"/>
      <c r="Y5039" s="757"/>
      <c r="Z5039" s="245"/>
      <c r="AA5039" s="150">
        <v>2.2999999999999998</v>
      </c>
      <c r="AB5039" s="152"/>
      <c r="AC5039" s="152"/>
      <c r="AD5039" s="154">
        <v>10</v>
      </c>
      <c r="AE5039" s="152"/>
      <c r="AF5039" s="153"/>
      <c r="AG5039" s="153"/>
      <c r="AH5039" s="346"/>
      <c r="AI5039" s="153"/>
      <c r="AJ5039" s="480"/>
      <c r="AK5039" s="153"/>
      <c r="AL5039" s="152"/>
      <c r="AM5039" s="152"/>
      <c r="AN5039" s="152"/>
      <c r="AO5039" s="152"/>
      <c r="AP5039" s="152"/>
      <c r="AQ5039" s="152"/>
      <c r="AR5039" s="152"/>
      <c r="AS5039" s="152"/>
      <c r="AT5039" s="152"/>
      <c r="AU5039" s="218"/>
      <c r="AV5039" s="218"/>
      <c r="AW5039" s="218"/>
      <c r="AX5039" s="218"/>
      <c r="AY5039" s="218"/>
      <c r="AZ5039" s="152"/>
      <c r="BA5039" s="152"/>
      <c r="BB5039" s="152"/>
      <c r="BC5039" s="152"/>
      <c r="BD5039" s="152"/>
      <c r="BE5039" s="152"/>
      <c r="BF5039" s="152"/>
      <c r="BG5039" s="152"/>
      <c r="BH5039" s="152"/>
      <c r="BI5039" s="153"/>
      <c r="BJ5039" s="153"/>
      <c r="BK5039" s="153"/>
      <c r="BL5039" s="153"/>
      <c r="BM5039" s="153"/>
      <c r="BN5039" s="153"/>
      <c r="BO5039" s="153"/>
      <c r="BP5039" s="153"/>
      <c r="BQ5039" s="153"/>
      <c r="BR5039" s="153"/>
      <c r="BS5039" s="153"/>
      <c r="BT5039" s="153"/>
      <c r="BU5039" s="153"/>
      <c r="BV5039" s="153"/>
      <c r="BW5039" s="153"/>
      <c r="BX5039" s="153"/>
      <c r="BY5039" s="153"/>
      <c r="BZ5039" s="153"/>
      <c r="CA5039" s="152"/>
      <c r="CB5039" s="152"/>
    </row>
    <row r="5040" spans="1:80" s="87" customFormat="1" x14ac:dyDescent="0.2">
      <c r="A5040" s="150" t="s">
        <v>103</v>
      </c>
      <c r="B5040" s="683"/>
      <c r="C5040" s="683"/>
      <c r="D5040" s="292"/>
      <c r="E5040" s="215"/>
      <c r="F5040" s="215"/>
      <c r="G5040" s="153"/>
      <c r="H5040" s="153"/>
      <c r="I5040" s="153"/>
      <c r="J5040" s="153"/>
      <c r="K5040" s="153"/>
      <c r="L5040" s="653"/>
      <c r="M5040" s="669">
        <v>31460</v>
      </c>
      <c r="N5040" s="600">
        <v>10.6</v>
      </c>
      <c r="O5040" s="614">
        <f>2500/3600</f>
        <v>0.69444444444444442</v>
      </c>
      <c r="P5040" s="150"/>
      <c r="Q5040" s="150"/>
      <c r="R5040" s="150"/>
      <c r="S5040" s="150"/>
      <c r="T5040" s="150"/>
      <c r="U5040" s="265">
        <f>0.79-V5040</f>
        <v>0.39</v>
      </c>
      <c r="V5040" s="750">
        <v>0.4</v>
      </c>
      <c r="W5040" s="756"/>
      <c r="X5040" s="752"/>
      <c r="Y5040" s="757"/>
      <c r="Z5040" s="751"/>
      <c r="AA5040" s="220">
        <v>2.1</v>
      </c>
      <c r="AB5040" s="152"/>
      <c r="AC5040" s="152"/>
      <c r="AD5040" s="154">
        <v>10</v>
      </c>
      <c r="AE5040" s="152"/>
      <c r="AF5040" s="153"/>
      <c r="AG5040" s="153"/>
      <c r="AH5040" s="346"/>
      <c r="AI5040" s="153"/>
      <c r="AJ5040" s="480"/>
      <c r="AK5040" s="153"/>
      <c r="AL5040" s="152"/>
      <c r="AM5040" s="152"/>
      <c r="AN5040" s="152"/>
      <c r="AO5040" s="152"/>
      <c r="AP5040" s="152"/>
      <c r="AQ5040" s="152"/>
      <c r="AR5040" s="152"/>
      <c r="AS5040" s="152"/>
      <c r="AT5040" s="152"/>
      <c r="AU5040" s="218"/>
      <c r="AV5040" s="218"/>
      <c r="AW5040" s="218"/>
      <c r="AX5040" s="218"/>
      <c r="AY5040" s="218"/>
      <c r="AZ5040" s="152"/>
      <c r="BA5040" s="152"/>
      <c r="BB5040" s="152"/>
      <c r="BC5040" s="152"/>
      <c r="BD5040" s="152"/>
      <c r="BE5040" s="152"/>
      <c r="BF5040" s="152"/>
      <c r="BG5040" s="152"/>
      <c r="BH5040" s="152"/>
      <c r="BI5040" s="153"/>
      <c r="BJ5040" s="153"/>
      <c r="BK5040" s="153"/>
      <c r="BL5040" s="153"/>
      <c r="BM5040" s="153"/>
      <c r="BN5040" s="153"/>
      <c r="BO5040" s="153"/>
      <c r="BP5040" s="153"/>
      <c r="BQ5040" s="153"/>
      <c r="BR5040" s="153"/>
      <c r="BS5040" s="153"/>
      <c r="BT5040" s="153"/>
      <c r="BU5040" s="153"/>
      <c r="BV5040" s="153"/>
      <c r="BW5040" s="153"/>
      <c r="BX5040" s="153"/>
      <c r="BY5040" s="153"/>
      <c r="BZ5040" s="153"/>
      <c r="CA5040" s="152"/>
      <c r="CB5040" s="152"/>
    </row>
    <row r="5041" spans="1:80" s="87" customFormat="1" x14ac:dyDescent="0.2">
      <c r="A5041" s="150" t="s">
        <v>104</v>
      </c>
      <c r="B5041" s="683"/>
      <c r="C5041" s="683"/>
      <c r="D5041" s="292"/>
      <c r="E5041" s="215"/>
      <c r="F5041" s="215"/>
      <c r="G5041" s="153"/>
      <c r="H5041" s="153"/>
      <c r="I5041" s="153"/>
      <c r="J5041" s="153"/>
      <c r="K5041" s="153"/>
      <c r="L5041" s="653"/>
      <c r="M5041" s="669">
        <v>31460</v>
      </c>
      <c r="N5041" s="600">
        <v>10.6</v>
      </c>
      <c r="O5041" s="614">
        <f>1900/3600</f>
        <v>0.52777777777777779</v>
      </c>
      <c r="P5041" s="150"/>
      <c r="Q5041" s="150"/>
      <c r="R5041" s="150"/>
      <c r="S5041" s="150"/>
      <c r="T5041" s="150"/>
      <c r="U5041" s="265">
        <f>0.83-V5041</f>
        <v>0.51</v>
      </c>
      <c r="V5041" s="750">
        <v>0.32</v>
      </c>
      <c r="W5041" s="756"/>
      <c r="X5041" s="752"/>
      <c r="Y5041" s="757"/>
      <c r="Z5041" s="751"/>
      <c r="AA5041" s="220">
        <v>2</v>
      </c>
      <c r="AB5041" s="152"/>
      <c r="AC5041" s="152"/>
      <c r="AD5041" s="154">
        <v>10</v>
      </c>
      <c r="AE5041" s="152"/>
      <c r="AF5041" s="153"/>
      <c r="AG5041" s="153"/>
      <c r="AH5041" s="346"/>
      <c r="AI5041" s="153"/>
      <c r="AJ5041" s="480"/>
      <c r="AK5041" s="153"/>
      <c r="AL5041" s="152"/>
      <c r="AM5041" s="152"/>
      <c r="AN5041" s="152"/>
      <c r="AO5041" s="152"/>
      <c r="AP5041" s="152"/>
      <c r="AQ5041" s="152"/>
      <c r="AR5041" s="152"/>
      <c r="AS5041" s="152"/>
      <c r="AT5041" s="152"/>
      <c r="AU5041" s="218"/>
      <c r="AV5041" s="218"/>
      <c r="AW5041" s="218"/>
      <c r="AX5041" s="218"/>
      <c r="AY5041" s="218"/>
      <c r="AZ5041" s="152"/>
      <c r="BA5041" s="152"/>
      <c r="BB5041" s="152"/>
      <c r="BC5041" s="152"/>
      <c r="BD5041" s="152"/>
      <c r="BE5041" s="152"/>
      <c r="BF5041" s="152"/>
      <c r="BG5041" s="152"/>
      <c r="BH5041" s="152"/>
      <c r="BI5041" s="153"/>
      <c r="BJ5041" s="153"/>
      <c r="BK5041" s="153"/>
      <c r="BL5041" s="153"/>
      <c r="BM5041" s="153"/>
      <c r="BN5041" s="153"/>
      <c r="BO5041" s="153"/>
      <c r="BP5041" s="153"/>
      <c r="BQ5041" s="153"/>
      <c r="BR5041" s="153"/>
      <c r="BS5041" s="153"/>
      <c r="BT5041" s="153"/>
      <c r="BU5041" s="153"/>
      <c r="BV5041" s="153"/>
      <c r="BW5041" s="153"/>
      <c r="BX5041" s="153"/>
      <c r="BY5041" s="153"/>
      <c r="BZ5041" s="153"/>
      <c r="CA5041" s="152"/>
      <c r="CB5041" s="152"/>
    </row>
    <row r="5042" spans="1:80" s="87" customFormat="1" x14ac:dyDescent="0.2">
      <c r="A5042" s="150" t="s">
        <v>102</v>
      </c>
      <c r="B5042" s="683"/>
      <c r="C5042" s="683"/>
      <c r="D5042" s="292"/>
      <c r="E5042" s="215"/>
      <c r="F5042" s="215"/>
      <c r="G5042" s="153"/>
      <c r="H5042" s="153"/>
      <c r="I5042" s="153"/>
      <c r="J5042" s="153"/>
      <c r="K5042" s="153"/>
      <c r="L5042" s="653"/>
      <c r="M5042" s="669">
        <v>31460</v>
      </c>
      <c r="N5042" s="600">
        <v>17.399999999999999</v>
      </c>
      <c r="O5042" s="614">
        <f>12000/3600</f>
        <v>3.3333333333333335</v>
      </c>
      <c r="P5042" s="220"/>
      <c r="Q5042" s="220"/>
      <c r="R5042" s="220"/>
      <c r="S5042" s="220"/>
      <c r="T5042" s="220"/>
      <c r="U5042" s="265">
        <f>0.9-V5042</f>
        <v>0.36</v>
      </c>
      <c r="V5042" s="750">
        <v>0.54</v>
      </c>
      <c r="W5042" s="756"/>
      <c r="X5042" s="752"/>
      <c r="Y5042" s="757"/>
      <c r="Z5042" s="751"/>
      <c r="AA5042" s="220">
        <v>1.2</v>
      </c>
      <c r="AB5042" s="152"/>
      <c r="AC5042" s="152"/>
      <c r="AD5042" s="154">
        <v>10</v>
      </c>
      <c r="AE5042" s="152"/>
      <c r="AF5042" s="153"/>
      <c r="AG5042" s="153"/>
      <c r="AH5042" s="346"/>
      <c r="AI5042" s="153"/>
      <c r="AJ5042" s="480"/>
      <c r="AK5042" s="153"/>
      <c r="AL5042" s="152"/>
      <c r="AM5042" s="152"/>
      <c r="AN5042" s="152"/>
      <c r="AO5042" s="152"/>
      <c r="AP5042" s="152"/>
      <c r="AQ5042" s="152"/>
      <c r="AR5042" s="152"/>
      <c r="AS5042" s="152"/>
      <c r="AT5042" s="152"/>
      <c r="AU5042" s="218"/>
      <c r="AV5042" s="218"/>
      <c r="AW5042" s="218"/>
      <c r="AX5042" s="218"/>
      <c r="AY5042" s="218"/>
      <c r="AZ5042" s="152"/>
      <c r="BA5042" s="152"/>
      <c r="BB5042" s="152"/>
      <c r="BC5042" s="152"/>
      <c r="BD5042" s="152"/>
      <c r="BE5042" s="152"/>
      <c r="BF5042" s="152"/>
      <c r="BG5042" s="152"/>
      <c r="BH5042" s="152"/>
      <c r="BI5042" s="153"/>
      <c r="BJ5042" s="153"/>
      <c r="BK5042" s="153"/>
      <c r="BL5042" s="153"/>
      <c r="BM5042" s="153"/>
      <c r="BN5042" s="153"/>
      <c r="BO5042" s="153"/>
      <c r="BP5042" s="153"/>
      <c r="BQ5042" s="153"/>
      <c r="BR5042" s="153"/>
      <c r="BS5042" s="153"/>
      <c r="BT5042" s="153"/>
      <c r="BU5042" s="153"/>
      <c r="BV5042" s="153"/>
      <c r="BW5042" s="153"/>
      <c r="BX5042" s="153"/>
      <c r="BY5042" s="153"/>
      <c r="BZ5042" s="153"/>
      <c r="CA5042" s="152"/>
      <c r="CB5042" s="152"/>
    </row>
    <row r="5043" spans="1:80" s="87" customFormat="1" x14ac:dyDescent="0.2">
      <c r="A5043" s="150" t="s">
        <v>104</v>
      </c>
      <c r="B5043" s="683"/>
      <c r="C5043" s="683"/>
      <c r="D5043" s="292"/>
      <c r="E5043" s="215"/>
      <c r="F5043" s="215"/>
      <c r="G5043" s="153"/>
      <c r="H5043" s="153"/>
      <c r="I5043" s="153"/>
      <c r="J5043" s="153"/>
      <c r="K5043" s="153"/>
      <c r="L5043" s="653"/>
      <c r="M5043" s="669">
        <v>31460</v>
      </c>
      <c r="N5043" s="600">
        <v>18.899999999999999</v>
      </c>
      <c r="O5043" s="614">
        <f>2700/3600</f>
        <v>0.75</v>
      </c>
      <c r="P5043" s="220"/>
      <c r="Q5043" s="220"/>
      <c r="R5043" s="220"/>
      <c r="S5043" s="220"/>
      <c r="T5043" s="220"/>
      <c r="U5043" s="265">
        <f>0.9-V5043</f>
        <v>0.28000000000000003</v>
      </c>
      <c r="V5043" s="750">
        <v>0.62</v>
      </c>
      <c r="W5043" s="756"/>
      <c r="X5043" s="752"/>
      <c r="Y5043" s="757"/>
      <c r="Z5043" s="751"/>
      <c r="AA5043" s="220">
        <v>1</v>
      </c>
      <c r="AB5043" s="152"/>
      <c r="AC5043" s="152"/>
      <c r="AD5043" s="154">
        <v>10</v>
      </c>
      <c r="AE5043" s="152"/>
      <c r="AF5043" s="153"/>
      <c r="AG5043" s="153"/>
      <c r="AH5043" s="346"/>
      <c r="AI5043" s="153"/>
      <c r="AJ5043" s="480"/>
      <c r="AK5043" s="153"/>
      <c r="AL5043" s="152"/>
      <c r="AM5043" s="152"/>
      <c r="AN5043" s="152"/>
      <c r="AO5043" s="152"/>
      <c r="AP5043" s="152"/>
      <c r="AQ5043" s="152"/>
      <c r="AR5043" s="152"/>
      <c r="AS5043" s="152"/>
      <c r="AT5043" s="152"/>
      <c r="AU5043" s="218"/>
      <c r="AV5043" s="218"/>
      <c r="AW5043" s="218"/>
      <c r="AX5043" s="218"/>
      <c r="AY5043" s="218"/>
      <c r="AZ5043" s="152"/>
      <c r="BA5043" s="152"/>
      <c r="BB5043" s="152"/>
      <c r="BC5043" s="152"/>
      <c r="BD5043" s="152"/>
      <c r="BE5043" s="152"/>
      <c r="BF5043" s="152"/>
      <c r="BG5043" s="152"/>
      <c r="BH5043" s="152"/>
      <c r="BI5043" s="153"/>
      <c r="BJ5043" s="153"/>
      <c r="BK5043" s="153"/>
      <c r="BL5043" s="153"/>
      <c r="BM5043" s="153"/>
      <c r="BN5043" s="153"/>
      <c r="BO5043" s="153"/>
      <c r="BP5043" s="153"/>
      <c r="BQ5043" s="153"/>
      <c r="BR5043" s="153"/>
      <c r="BS5043" s="153"/>
      <c r="BT5043" s="153"/>
      <c r="BU5043" s="153"/>
      <c r="BV5043" s="153"/>
      <c r="BW5043" s="153"/>
      <c r="BX5043" s="153"/>
      <c r="BY5043" s="153"/>
      <c r="BZ5043" s="153"/>
      <c r="CA5043" s="152"/>
      <c r="CB5043" s="152"/>
    </row>
    <row r="5044" spans="1:80" s="87" customFormat="1" x14ac:dyDescent="0.2">
      <c r="A5044" s="150" t="s">
        <v>102</v>
      </c>
      <c r="B5044" s="683"/>
      <c r="C5044" s="683"/>
      <c r="D5044" s="292"/>
      <c r="E5044" s="215"/>
      <c r="F5044" s="215"/>
      <c r="G5044" s="153"/>
      <c r="H5044" s="153"/>
      <c r="I5044" s="153"/>
      <c r="J5044" s="153"/>
      <c r="K5044" s="153"/>
      <c r="L5044" s="653"/>
      <c r="M5044" s="669">
        <v>31462</v>
      </c>
      <c r="N5044" s="600">
        <v>11.7</v>
      </c>
      <c r="O5044" s="614">
        <f>19000/3600</f>
        <v>5.2777777777777777</v>
      </c>
      <c r="P5044" s="220"/>
      <c r="Q5044" s="220"/>
      <c r="R5044" s="220"/>
      <c r="S5044" s="220"/>
      <c r="T5044" s="220"/>
      <c r="U5044" s="265">
        <f>0.46-V5044</f>
        <v>0.30000000000000004</v>
      </c>
      <c r="V5044" s="750">
        <v>0.16</v>
      </c>
      <c r="W5044" s="756"/>
      <c r="X5044" s="752"/>
      <c r="Y5044" s="757"/>
      <c r="Z5044" s="751"/>
      <c r="AA5044" s="220">
        <v>5.3</v>
      </c>
      <c r="AB5044" s="152"/>
      <c r="AC5044" s="152"/>
      <c r="AD5044" s="154">
        <v>10</v>
      </c>
      <c r="AE5044" s="152"/>
      <c r="AF5044" s="153"/>
      <c r="AG5044" s="153"/>
      <c r="AH5044" s="346"/>
      <c r="AI5044" s="153"/>
      <c r="AJ5044" s="480"/>
      <c r="AK5044" s="153"/>
      <c r="AL5044" s="152"/>
      <c r="AM5044" s="152"/>
      <c r="AN5044" s="152"/>
      <c r="AO5044" s="152"/>
      <c r="AP5044" s="152"/>
      <c r="AQ5044" s="152"/>
      <c r="AR5044" s="152"/>
      <c r="AS5044" s="152"/>
      <c r="AT5044" s="152"/>
      <c r="AU5044" s="218"/>
      <c r="AV5044" s="218"/>
      <c r="AW5044" s="218"/>
      <c r="AX5044" s="218"/>
      <c r="AY5044" s="218"/>
      <c r="AZ5044" s="152"/>
      <c r="BA5044" s="152"/>
      <c r="BB5044" s="152"/>
      <c r="BC5044" s="152"/>
      <c r="BD5044" s="152"/>
      <c r="BE5044" s="152"/>
      <c r="BF5044" s="152"/>
      <c r="BG5044" s="152"/>
      <c r="BH5044" s="152"/>
      <c r="BI5044" s="153"/>
      <c r="BJ5044" s="153"/>
      <c r="BK5044" s="153"/>
      <c r="BL5044" s="153"/>
      <c r="BM5044" s="153"/>
      <c r="BN5044" s="153"/>
      <c r="BO5044" s="153"/>
      <c r="BP5044" s="153"/>
      <c r="BQ5044" s="153"/>
      <c r="BR5044" s="153"/>
      <c r="BS5044" s="153"/>
      <c r="BT5044" s="153"/>
      <c r="BU5044" s="153"/>
      <c r="BV5044" s="153"/>
      <c r="BW5044" s="153"/>
      <c r="BX5044" s="153"/>
      <c r="BY5044" s="153"/>
      <c r="BZ5044" s="153"/>
      <c r="CA5044" s="152"/>
      <c r="CB5044" s="152"/>
    </row>
    <row r="5045" spans="1:80" s="87" customFormat="1" x14ac:dyDescent="0.2">
      <c r="A5045" s="150" t="s">
        <v>104</v>
      </c>
      <c r="B5045" s="683"/>
      <c r="C5045" s="683"/>
      <c r="D5045" s="292"/>
      <c r="E5045" s="215"/>
      <c r="F5045" s="215"/>
      <c r="G5045" s="153"/>
      <c r="H5045" s="153"/>
      <c r="I5045" s="153"/>
      <c r="J5045" s="153"/>
      <c r="K5045" s="153"/>
      <c r="L5045" s="653"/>
      <c r="M5045" s="669">
        <v>31462</v>
      </c>
      <c r="N5045" s="600">
        <v>12.1</v>
      </c>
      <c r="O5045" s="614">
        <f>8900/3600</f>
        <v>2.4722222222222223</v>
      </c>
      <c r="P5045" s="220"/>
      <c r="Q5045" s="220"/>
      <c r="R5045" s="220"/>
      <c r="S5045" s="220"/>
      <c r="T5045" s="220"/>
      <c r="U5045" s="265">
        <f>0.55-V5045</f>
        <v>0.37000000000000005</v>
      </c>
      <c r="V5045" s="750">
        <v>0.18</v>
      </c>
      <c r="W5045" s="756"/>
      <c r="X5045" s="752"/>
      <c r="Y5045" s="757"/>
      <c r="Z5045" s="751"/>
      <c r="AA5045" s="220">
        <v>4.0999999999999996</v>
      </c>
      <c r="AB5045" s="152"/>
      <c r="AC5045" s="152"/>
      <c r="AD5045" s="154">
        <v>10</v>
      </c>
      <c r="AE5045" s="152"/>
      <c r="AF5045" s="153"/>
      <c r="AG5045" s="153"/>
      <c r="AH5045" s="346"/>
      <c r="AI5045" s="153"/>
      <c r="AJ5045" s="480"/>
      <c r="AK5045" s="153"/>
      <c r="AL5045" s="152"/>
      <c r="AM5045" s="152"/>
      <c r="AN5045" s="152"/>
      <c r="AO5045" s="152"/>
      <c r="AP5045" s="152"/>
      <c r="AQ5045" s="152"/>
      <c r="AR5045" s="152"/>
      <c r="AS5045" s="152"/>
      <c r="AT5045" s="152"/>
      <c r="AU5045" s="218"/>
      <c r="AV5045" s="218"/>
      <c r="AW5045" s="218"/>
      <c r="AX5045" s="218"/>
      <c r="AY5045" s="218"/>
      <c r="AZ5045" s="152"/>
      <c r="BA5045" s="152"/>
      <c r="BB5045" s="152"/>
      <c r="BC5045" s="152"/>
      <c r="BD5045" s="152"/>
      <c r="BE5045" s="152"/>
      <c r="BF5045" s="152"/>
      <c r="BG5045" s="152"/>
      <c r="BH5045" s="152"/>
      <c r="BI5045" s="153"/>
      <c r="BJ5045" s="153"/>
      <c r="BK5045" s="153"/>
      <c r="BL5045" s="153"/>
      <c r="BM5045" s="153"/>
      <c r="BN5045" s="153"/>
      <c r="BO5045" s="153"/>
      <c r="BP5045" s="153"/>
      <c r="BQ5045" s="153"/>
      <c r="BR5045" s="153"/>
      <c r="BS5045" s="153"/>
      <c r="BT5045" s="153"/>
      <c r="BU5045" s="153"/>
      <c r="BV5045" s="153"/>
      <c r="BW5045" s="153"/>
      <c r="BX5045" s="153"/>
      <c r="BY5045" s="153"/>
      <c r="BZ5045" s="153"/>
      <c r="CA5045" s="152"/>
      <c r="CB5045" s="152"/>
    </row>
    <row r="5046" spans="1:80" s="87" customFormat="1" x14ac:dyDescent="0.2">
      <c r="A5046" s="150" t="s">
        <v>102</v>
      </c>
      <c r="B5046" s="683"/>
      <c r="C5046" s="683"/>
      <c r="D5046" s="292"/>
      <c r="E5046" s="215"/>
      <c r="F5046" s="215"/>
      <c r="G5046" s="153"/>
      <c r="H5046" s="153"/>
      <c r="I5046" s="153"/>
      <c r="J5046" s="153"/>
      <c r="K5046" s="153"/>
      <c r="L5046" s="653"/>
      <c r="M5046" s="669">
        <v>31462</v>
      </c>
      <c r="N5046" s="600">
        <v>12.8</v>
      </c>
      <c r="O5046" s="614">
        <f>25000/3600</f>
        <v>6.9444444444444446</v>
      </c>
      <c r="P5046" s="220"/>
      <c r="Q5046" s="220"/>
      <c r="R5046" s="220"/>
      <c r="S5046" s="220"/>
      <c r="T5046" s="220"/>
      <c r="U5046" s="265">
        <f>0.53-V5046</f>
        <v>0.35000000000000003</v>
      </c>
      <c r="V5046" s="750">
        <v>0.18</v>
      </c>
      <c r="W5046" s="756"/>
      <c r="X5046" s="752"/>
      <c r="Y5046" s="757"/>
      <c r="Z5046" s="751"/>
      <c r="AA5046" s="220">
        <v>4.5999999999999996</v>
      </c>
      <c r="AB5046" s="152"/>
      <c r="AC5046" s="152"/>
      <c r="AD5046" s="154">
        <v>10</v>
      </c>
      <c r="AE5046" s="152"/>
      <c r="AF5046" s="153"/>
      <c r="AG5046" s="153"/>
      <c r="AH5046" s="346"/>
      <c r="AI5046" s="153"/>
      <c r="AJ5046" s="480"/>
      <c r="AK5046" s="153"/>
      <c r="AL5046" s="152"/>
      <c r="AM5046" s="152"/>
      <c r="AN5046" s="152"/>
      <c r="AO5046" s="152"/>
      <c r="AP5046" s="152"/>
      <c r="AQ5046" s="152"/>
      <c r="AR5046" s="152"/>
      <c r="AS5046" s="152"/>
      <c r="AT5046" s="152"/>
      <c r="AU5046" s="218"/>
      <c r="AV5046" s="218"/>
      <c r="AW5046" s="218"/>
      <c r="AX5046" s="218"/>
      <c r="AY5046" s="218"/>
      <c r="AZ5046" s="152"/>
      <c r="BA5046" s="152"/>
      <c r="BB5046" s="152"/>
      <c r="BC5046" s="152"/>
      <c r="BD5046" s="152"/>
      <c r="BE5046" s="152"/>
      <c r="BF5046" s="152"/>
      <c r="BG5046" s="152"/>
      <c r="BH5046" s="152"/>
      <c r="BI5046" s="153"/>
      <c r="BJ5046" s="153"/>
      <c r="BK5046" s="153"/>
      <c r="BL5046" s="153"/>
      <c r="BM5046" s="153"/>
      <c r="BN5046" s="153"/>
      <c r="BO5046" s="153"/>
      <c r="BP5046" s="153"/>
      <c r="BQ5046" s="153"/>
      <c r="BR5046" s="153"/>
      <c r="BS5046" s="153"/>
      <c r="BT5046" s="153"/>
      <c r="BU5046" s="153"/>
      <c r="BV5046" s="153"/>
      <c r="BW5046" s="153"/>
      <c r="BX5046" s="153"/>
      <c r="BY5046" s="153"/>
      <c r="BZ5046" s="153"/>
      <c r="CA5046" s="152"/>
      <c r="CB5046" s="152"/>
    </row>
    <row r="5047" spans="1:80" s="87" customFormat="1" x14ac:dyDescent="0.2">
      <c r="A5047" s="150" t="s">
        <v>104</v>
      </c>
      <c r="B5047" s="683"/>
      <c r="C5047" s="683"/>
      <c r="D5047" s="292"/>
      <c r="E5047" s="215"/>
      <c r="F5047" s="215"/>
      <c r="G5047" s="153"/>
      <c r="H5047" s="153"/>
      <c r="I5047" s="153"/>
      <c r="J5047" s="153"/>
      <c r="K5047" s="153"/>
      <c r="L5047" s="653"/>
      <c r="M5047" s="669">
        <v>31462</v>
      </c>
      <c r="N5047" s="600">
        <v>12.9</v>
      </c>
      <c r="O5047" s="614">
        <f>56000/3600</f>
        <v>15.555555555555555</v>
      </c>
      <c r="P5047" s="220"/>
      <c r="Q5047" s="220"/>
      <c r="R5047" s="220"/>
      <c r="S5047" s="220"/>
      <c r="T5047" s="220"/>
      <c r="U5047" s="265">
        <f>0.42-V5047</f>
        <v>0.3</v>
      </c>
      <c r="V5047" s="750">
        <v>0.12</v>
      </c>
      <c r="W5047" s="756"/>
      <c r="X5047" s="752"/>
      <c r="Y5047" s="757"/>
      <c r="Z5047" s="751"/>
      <c r="AA5047" s="220">
        <v>6.6</v>
      </c>
      <c r="AB5047" s="152"/>
      <c r="AC5047" s="152"/>
      <c r="AD5047" s="154">
        <v>10</v>
      </c>
      <c r="AE5047" s="152"/>
      <c r="AF5047" s="153"/>
      <c r="AG5047" s="153"/>
      <c r="AH5047" s="346"/>
      <c r="AI5047" s="153"/>
      <c r="AJ5047" s="480"/>
      <c r="AK5047" s="153"/>
      <c r="AL5047" s="152"/>
      <c r="AM5047" s="152"/>
      <c r="AN5047" s="152"/>
      <c r="AO5047" s="152"/>
      <c r="AP5047" s="152"/>
      <c r="AQ5047" s="152"/>
      <c r="AR5047" s="152"/>
      <c r="AS5047" s="152"/>
      <c r="AT5047" s="152"/>
      <c r="AU5047" s="218"/>
      <c r="AV5047" s="218"/>
      <c r="AW5047" s="218"/>
      <c r="AX5047" s="218"/>
      <c r="AY5047" s="218"/>
      <c r="AZ5047" s="152"/>
      <c r="BA5047" s="152"/>
      <c r="BB5047" s="152"/>
      <c r="BC5047" s="152"/>
      <c r="BD5047" s="152"/>
      <c r="BE5047" s="152"/>
      <c r="BF5047" s="152"/>
      <c r="BG5047" s="152"/>
      <c r="BH5047" s="152"/>
      <c r="BI5047" s="153"/>
      <c r="BJ5047" s="153"/>
      <c r="BK5047" s="153"/>
      <c r="BL5047" s="153"/>
      <c r="BM5047" s="153"/>
      <c r="BN5047" s="153"/>
      <c r="BO5047" s="153"/>
      <c r="BP5047" s="153"/>
      <c r="BQ5047" s="153"/>
      <c r="BR5047" s="153"/>
      <c r="BS5047" s="153"/>
      <c r="BT5047" s="153"/>
      <c r="BU5047" s="153"/>
      <c r="BV5047" s="153"/>
      <c r="BW5047" s="153"/>
      <c r="BX5047" s="153"/>
      <c r="BY5047" s="153"/>
      <c r="BZ5047" s="153"/>
      <c r="CA5047" s="152"/>
      <c r="CB5047" s="152"/>
    </row>
    <row r="5048" spans="1:80" s="87" customFormat="1" x14ac:dyDescent="0.2">
      <c r="A5048" s="150" t="s">
        <v>102</v>
      </c>
      <c r="B5048" s="683"/>
      <c r="C5048" s="683"/>
      <c r="D5048" s="292"/>
      <c r="E5048" s="215"/>
      <c r="F5048" s="215"/>
      <c r="G5048" s="153"/>
      <c r="H5048" s="153"/>
      <c r="I5048" s="153"/>
      <c r="J5048" s="153"/>
      <c r="K5048" s="153"/>
      <c r="L5048" s="653"/>
      <c r="M5048" s="669">
        <v>31464</v>
      </c>
      <c r="N5048" s="600">
        <v>7.87</v>
      </c>
      <c r="O5048" s="614">
        <f>2400/3600</f>
        <v>0.66666666666666663</v>
      </c>
      <c r="P5048" s="220"/>
      <c r="Q5048" s="220"/>
      <c r="R5048" s="220"/>
      <c r="S5048" s="220"/>
      <c r="T5048" s="220"/>
      <c r="U5048" s="265">
        <f>0.45-V5048</f>
        <v>0.30000000000000004</v>
      </c>
      <c r="V5048" s="750">
        <v>0.15</v>
      </c>
      <c r="W5048" s="756"/>
      <c r="X5048" s="752"/>
      <c r="Y5048" s="757"/>
      <c r="Z5048" s="751"/>
      <c r="AA5048" s="220">
        <v>4.8</v>
      </c>
      <c r="AB5048" s="152"/>
      <c r="AC5048" s="152"/>
      <c r="AD5048" s="154">
        <v>10</v>
      </c>
      <c r="AE5048" s="152"/>
      <c r="AF5048" s="153"/>
      <c r="AG5048" s="153"/>
      <c r="AH5048" s="346"/>
      <c r="AI5048" s="153"/>
      <c r="AJ5048" s="480"/>
      <c r="AK5048" s="153"/>
      <c r="AL5048" s="152"/>
      <c r="AM5048" s="152"/>
      <c r="AN5048" s="152"/>
      <c r="AO5048" s="152"/>
      <c r="AP5048" s="152"/>
      <c r="AQ5048" s="152"/>
      <c r="AR5048" s="152"/>
      <c r="AS5048" s="152"/>
      <c r="AT5048" s="152"/>
      <c r="AU5048" s="218"/>
      <c r="AV5048" s="218"/>
      <c r="AW5048" s="218"/>
      <c r="AX5048" s="218"/>
      <c r="AY5048" s="218"/>
      <c r="AZ5048" s="152"/>
      <c r="BA5048" s="152"/>
      <c r="BB5048" s="152"/>
      <c r="BC5048" s="152"/>
      <c r="BD5048" s="152"/>
      <c r="BE5048" s="152"/>
      <c r="BF5048" s="152"/>
      <c r="BG5048" s="152"/>
      <c r="BH5048" s="152"/>
      <c r="BI5048" s="153"/>
      <c r="BJ5048" s="153"/>
      <c r="BK5048" s="153"/>
      <c r="BL5048" s="153"/>
      <c r="BM5048" s="153"/>
      <c r="BN5048" s="153"/>
      <c r="BO5048" s="153"/>
      <c r="BP5048" s="153"/>
      <c r="BQ5048" s="153"/>
      <c r="BR5048" s="153"/>
      <c r="BS5048" s="153"/>
      <c r="BT5048" s="153"/>
      <c r="BU5048" s="153"/>
      <c r="BV5048" s="153"/>
      <c r="BW5048" s="153"/>
      <c r="BX5048" s="153"/>
      <c r="BY5048" s="153"/>
      <c r="BZ5048" s="153"/>
      <c r="CA5048" s="152"/>
      <c r="CB5048" s="152"/>
    </row>
    <row r="5049" spans="1:80" s="87" customFormat="1" x14ac:dyDescent="0.2">
      <c r="A5049" s="150" t="s">
        <v>104</v>
      </c>
      <c r="B5049" s="683"/>
      <c r="C5049" s="683"/>
      <c r="D5049" s="292"/>
      <c r="E5049" s="215"/>
      <c r="F5049" s="215"/>
      <c r="G5049" s="153"/>
      <c r="H5049" s="153"/>
      <c r="I5049" s="153"/>
      <c r="J5049" s="153"/>
      <c r="K5049" s="153"/>
      <c r="L5049" s="653"/>
      <c r="M5049" s="669">
        <v>31464</v>
      </c>
      <c r="N5049" s="600">
        <v>7.78</v>
      </c>
      <c r="O5049" s="614">
        <f>41000/3600</f>
        <v>11.388888888888889</v>
      </c>
      <c r="P5049" s="220"/>
      <c r="Q5049" s="220"/>
      <c r="R5049" s="220"/>
      <c r="S5049" s="220"/>
      <c r="T5049" s="220"/>
      <c r="U5049" s="265">
        <f>0.52-V5049</f>
        <v>0.42000000000000004</v>
      </c>
      <c r="V5049" s="750">
        <v>0.1</v>
      </c>
      <c r="W5049" s="756"/>
      <c r="X5049" s="752"/>
      <c r="Y5049" s="757"/>
      <c r="Z5049" s="751"/>
      <c r="AA5049" s="220">
        <v>4.4000000000000004</v>
      </c>
      <c r="AB5049" s="152"/>
      <c r="AC5049" s="152"/>
      <c r="AD5049" s="154">
        <v>10</v>
      </c>
      <c r="AE5049" s="152"/>
      <c r="AF5049" s="153"/>
      <c r="AG5049" s="153"/>
      <c r="AH5049" s="346"/>
      <c r="AI5049" s="153"/>
      <c r="AJ5049" s="480"/>
      <c r="AK5049" s="153"/>
      <c r="AL5049" s="152"/>
      <c r="AM5049" s="152"/>
      <c r="AN5049" s="152"/>
      <c r="AO5049" s="152"/>
      <c r="AP5049" s="152"/>
      <c r="AQ5049" s="152"/>
      <c r="AR5049" s="152"/>
      <c r="AS5049" s="152"/>
      <c r="AT5049" s="152"/>
      <c r="AU5049" s="218"/>
      <c r="AV5049" s="218"/>
      <c r="AW5049" s="218"/>
      <c r="AX5049" s="218"/>
      <c r="AY5049" s="218"/>
      <c r="AZ5049" s="152"/>
      <c r="BA5049" s="152"/>
      <c r="BB5049" s="152"/>
      <c r="BC5049" s="152"/>
      <c r="BD5049" s="152"/>
      <c r="BE5049" s="152"/>
      <c r="BF5049" s="152"/>
      <c r="BG5049" s="152"/>
      <c r="BH5049" s="152"/>
      <c r="BI5049" s="153"/>
      <c r="BJ5049" s="153"/>
      <c r="BK5049" s="153"/>
      <c r="BL5049" s="153"/>
      <c r="BM5049" s="153"/>
      <c r="BN5049" s="153"/>
      <c r="BO5049" s="153"/>
      <c r="BP5049" s="153"/>
      <c r="BQ5049" s="153"/>
      <c r="BR5049" s="153"/>
      <c r="BS5049" s="153"/>
      <c r="BT5049" s="153"/>
      <c r="BU5049" s="153"/>
      <c r="BV5049" s="153"/>
      <c r="BW5049" s="153"/>
      <c r="BX5049" s="153"/>
      <c r="BY5049" s="153"/>
      <c r="BZ5049" s="153"/>
      <c r="CA5049" s="152"/>
      <c r="CB5049" s="152"/>
    </row>
    <row r="5050" spans="1:80" s="87" customFormat="1" x14ac:dyDescent="0.2">
      <c r="A5050" s="150" t="s">
        <v>103</v>
      </c>
      <c r="B5050" s="683"/>
      <c r="C5050" s="683"/>
      <c r="D5050" s="292"/>
      <c r="E5050" s="215"/>
      <c r="F5050" s="215"/>
      <c r="G5050" s="153"/>
      <c r="H5050" s="153"/>
      <c r="I5050" s="153"/>
      <c r="J5050" s="153"/>
      <c r="K5050" s="153"/>
      <c r="L5050" s="653"/>
      <c r="M5050" s="669">
        <v>31467</v>
      </c>
      <c r="N5050" s="600">
        <v>6.03</v>
      </c>
      <c r="O5050" s="614">
        <f>11000/3600</f>
        <v>3.0555555555555554</v>
      </c>
      <c r="P5050" s="220"/>
      <c r="Q5050" s="220"/>
      <c r="R5050" s="220"/>
      <c r="S5050" s="220"/>
      <c r="T5050" s="220"/>
      <c r="U5050" s="265">
        <f>0.51-V5050</f>
        <v>0.42200000000000004</v>
      </c>
      <c r="V5050" s="750">
        <v>8.7999999999999995E-2</v>
      </c>
      <c r="W5050" s="756"/>
      <c r="X5050" s="752"/>
      <c r="Y5050" s="757"/>
      <c r="Z5050" s="751"/>
      <c r="AA5050" s="220">
        <v>4.8</v>
      </c>
      <c r="AB5050" s="152"/>
      <c r="AC5050" s="152"/>
      <c r="AD5050" s="154">
        <v>10</v>
      </c>
      <c r="AE5050" s="152"/>
      <c r="AF5050" s="153"/>
      <c r="AG5050" s="153"/>
      <c r="AH5050" s="346"/>
      <c r="AI5050" s="153"/>
      <c r="AJ5050" s="480"/>
      <c r="AK5050" s="153"/>
      <c r="AL5050" s="152"/>
      <c r="AM5050" s="152"/>
      <c r="AN5050" s="152"/>
      <c r="AO5050" s="152"/>
      <c r="AP5050" s="152"/>
      <c r="AQ5050" s="152"/>
      <c r="AR5050" s="152"/>
      <c r="AS5050" s="152"/>
      <c r="AT5050" s="152"/>
      <c r="AU5050" s="218"/>
      <c r="AV5050" s="218"/>
      <c r="AW5050" s="218"/>
      <c r="AX5050" s="218"/>
      <c r="AY5050" s="218"/>
      <c r="AZ5050" s="152"/>
      <c r="BA5050" s="152"/>
      <c r="BB5050" s="152"/>
      <c r="BC5050" s="152"/>
      <c r="BD5050" s="152"/>
      <c r="BE5050" s="152"/>
      <c r="BF5050" s="152"/>
      <c r="BG5050" s="152"/>
      <c r="BH5050" s="152"/>
      <c r="BI5050" s="153"/>
      <c r="BJ5050" s="153"/>
      <c r="BK5050" s="153"/>
      <c r="BL5050" s="153"/>
      <c r="BM5050" s="153"/>
      <c r="BN5050" s="153"/>
      <c r="BO5050" s="153"/>
      <c r="BP5050" s="153"/>
      <c r="BQ5050" s="153"/>
      <c r="BR5050" s="153"/>
      <c r="BS5050" s="153"/>
      <c r="BT5050" s="153"/>
      <c r="BU5050" s="153"/>
      <c r="BV5050" s="153"/>
      <c r="BW5050" s="153"/>
      <c r="BX5050" s="153"/>
      <c r="BY5050" s="153"/>
      <c r="BZ5050" s="153"/>
      <c r="CA5050" s="152"/>
      <c r="CB5050" s="152"/>
    </row>
    <row r="5051" spans="1:80" s="87" customFormat="1" x14ac:dyDescent="0.2">
      <c r="A5051" s="150" t="s">
        <v>102</v>
      </c>
      <c r="B5051" s="683"/>
      <c r="C5051" s="683"/>
      <c r="D5051" s="292"/>
      <c r="E5051" s="215"/>
      <c r="F5051" s="215"/>
      <c r="G5051" s="153"/>
      <c r="H5051" s="153"/>
      <c r="I5051" s="153"/>
      <c r="J5051" s="153"/>
      <c r="K5051" s="153"/>
      <c r="L5051" s="653"/>
      <c r="M5051" s="669">
        <v>31467</v>
      </c>
      <c r="N5051" s="600">
        <v>5.92</v>
      </c>
      <c r="O5051" s="614">
        <f>4000/3600</f>
        <v>1.1111111111111112</v>
      </c>
      <c r="P5051" s="220"/>
      <c r="Q5051" s="220"/>
      <c r="R5051" s="220"/>
      <c r="S5051" s="220"/>
      <c r="T5051" s="220"/>
      <c r="U5051" s="265">
        <f>0.66-V5051</f>
        <v>0.48000000000000004</v>
      </c>
      <c r="V5051" s="750">
        <v>0.18</v>
      </c>
      <c r="W5051" s="756"/>
      <c r="X5051" s="752"/>
      <c r="Y5051" s="757"/>
      <c r="Z5051" s="751"/>
      <c r="AA5051" s="220">
        <v>3.5</v>
      </c>
      <c r="AB5051" s="152"/>
      <c r="AC5051" s="152"/>
      <c r="AD5051" s="154">
        <v>10</v>
      </c>
      <c r="AE5051" s="152"/>
      <c r="AF5051" s="153"/>
      <c r="AG5051" s="153"/>
      <c r="AH5051" s="346"/>
      <c r="AI5051" s="153"/>
      <c r="AJ5051" s="480"/>
      <c r="AK5051" s="153"/>
      <c r="AL5051" s="152"/>
      <c r="AM5051" s="152"/>
      <c r="AN5051" s="152"/>
      <c r="AO5051" s="152"/>
      <c r="AP5051" s="152"/>
      <c r="AQ5051" s="152"/>
      <c r="AR5051" s="152"/>
      <c r="AS5051" s="152"/>
      <c r="AT5051" s="152"/>
      <c r="AU5051" s="218"/>
      <c r="AV5051" s="218"/>
      <c r="AW5051" s="218"/>
      <c r="AX5051" s="218"/>
      <c r="AY5051" s="218"/>
      <c r="AZ5051" s="152"/>
      <c r="BA5051" s="152"/>
      <c r="BB5051" s="152"/>
      <c r="BC5051" s="152"/>
      <c r="BD5051" s="152"/>
      <c r="BE5051" s="152"/>
      <c r="BF5051" s="152"/>
      <c r="BG5051" s="152"/>
      <c r="BH5051" s="152"/>
      <c r="BI5051" s="153"/>
      <c r="BJ5051" s="153"/>
      <c r="BK5051" s="153"/>
      <c r="BL5051" s="153"/>
      <c r="BM5051" s="153"/>
      <c r="BN5051" s="153"/>
      <c r="BO5051" s="153"/>
      <c r="BP5051" s="153"/>
      <c r="BQ5051" s="153"/>
      <c r="BR5051" s="153"/>
      <c r="BS5051" s="153"/>
      <c r="BT5051" s="153"/>
      <c r="BU5051" s="153"/>
      <c r="BV5051" s="153"/>
      <c r="BW5051" s="153"/>
      <c r="BX5051" s="153"/>
      <c r="BY5051" s="153"/>
      <c r="BZ5051" s="153"/>
      <c r="CA5051" s="152"/>
      <c r="CB5051" s="152"/>
    </row>
    <row r="5052" spans="1:80" s="87" customFormat="1" x14ac:dyDescent="0.2">
      <c r="A5052" s="150" t="s">
        <v>104</v>
      </c>
      <c r="B5052" s="683"/>
      <c r="C5052" s="683"/>
      <c r="D5052" s="292"/>
      <c r="E5052" s="215"/>
      <c r="F5052" s="215"/>
      <c r="G5052" s="153"/>
      <c r="H5052" s="153"/>
      <c r="I5052" s="153"/>
      <c r="J5052" s="153"/>
      <c r="K5052" s="153"/>
      <c r="L5052" s="653"/>
      <c r="M5052" s="669">
        <v>31467</v>
      </c>
      <c r="N5052" s="600">
        <v>5.86</v>
      </c>
      <c r="O5052" s="614">
        <f>4100/3600</f>
        <v>1.1388888888888888</v>
      </c>
      <c r="P5052" s="220"/>
      <c r="Q5052" s="220"/>
      <c r="R5052" s="220"/>
      <c r="S5052" s="220"/>
      <c r="T5052" s="220"/>
      <c r="U5052" s="265">
        <f>0.4-V5052</f>
        <v>0.30900000000000005</v>
      </c>
      <c r="V5052" s="750">
        <v>9.0999999999999998E-2</v>
      </c>
      <c r="W5052" s="756"/>
      <c r="X5052" s="752"/>
      <c r="Y5052" s="757"/>
      <c r="Z5052" s="751"/>
      <c r="AA5052" s="220">
        <v>6.5</v>
      </c>
      <c r="AB5052" s="152"/>
      <c r="AC5052" s="152"/>
      <c r="AD5052" s="154">
        <v>10</v>
      </c>
      <c r="AE5052" s="152"/>
      <c r="AF5052" s="153"/>
      <c r="AG5052" s="153"/>
      <c r="AH5052" s="346"/>
      <c r="AI5052" s="153"/>
      <c r="AJ5052" s="480"/>
      <c r="AK5052" s="153"/>
      <c r="AL5052" s="152"/>
      <c r="AM5052" s="152"/>
      <c r="AN5052" s="152"/>
      <c r="AO5052" s="152"/>
      <c r="AP5052" s="152"/>
      <c r="AQ5052" s="152"/>
      <c r="AR5052" s="152"/>
      <c r="AS5052" s="152"/>
      <c r="AT5052" s="152"/>
      <c r="AU5052" s="218"/>
      <c r="AV5052" s="218"/>
      <c r="AW5052" s="218"/>
      <c r="AX5052" s="218"/>
      <c r="AY5052" s="218"/>
      <c r="AZ5052" s="152"/>
      <c r="BA5052" s="152"/>
      <c r="BB5052" s="152"/>
      <c r="BC5052" s="152"/>
      <c r="BD5052" s="152"/>
      <c r="BE5052" s="152"/>
      <c r="BF5052" s="152"/>
      <c r="BG5052" s="152"/>
      <c r="BH5052" s="152"/>
      <c r="BI5052" s="153"/>
      <c r="BJ5052" s="153"/>
      <c r="BK5052" s="153"/>
      <c r="BL5052" s="153"/>
      <c r="BM5052" s="153"/>
      <c r="BN5052" s="153"/>
      <c r="BO5052" s="153"/>
      <c r="BP5052" s="153"/>
      <c r="BQ5052" s="153"/>
      <c r="BR5052" s="153"/>
      <c r="BS5052" s="153"/>
      <c r="BT5052" s="153"/>
      <c r="BU5052" s="153"/>
      <c r="BV5052" s="153"/>
      <c r="BW5052" s="153"/>
      <c r="BX5052" s="153"/>
      <c r="BY5052" s="153"/>
      <c r="BZ5052" s="153"/>
      <c r="CA5052" s="152"/>
      <c r="CB5052" s="152"/>
    </row>
    <row r="5053" spans="1:80" s="87" customFormat="1" x14ac:dyDescent="0.2">
      <c r="A5053" s="150" t="s">
        <v>102</v>
      </c>
      <c r="B5053" s="683"/>
      <c r="C5053" s="683"/>
      <c r="D5053" s="292"/>
      <c r="E5053" s="215"/>
      <c r="F5053" s="215"/>
      <c r="G5053" s="153"/>
      <c r="H5053" s="153"/>
      <c r="I5053" s="153"/>
      <c r="J5053" s="153"/>
      <c r="K5053" s="153"/>
      <c r="L5053" s="653"/>
      <c r="M5053" s="669">
        <v>31469</v>
      </c>
      <c r="N5053" s="600">
        <v>3.31</v>
      </c>
      <c r="O5053" s="614">
        <f>2500/3600</f>
        <v>0.69444444444444442</v>
      </c>
      <c r="P5053" s="220"/>
      <c r="Q5053" s="220"/>
      <c r="R5053" s="220"/>
      <c r="S5053" s="220"/>
      <c r="T5053" s="220"/>
      <c r="U5053" s="265">
        <f>0.68-V5053</f>
        <v>0.5</v>
      </c>
      <c r="V5053" s="750">
        <v>0.18</v>
      </c>
      <c r="W5053" s="756"/>
      <c r="X5053" s="752"/>
      <c r="Y5053" s="757"/>
      <c r="Z5053" s="751"/>
      <c r="AA5053" s="220">
        <v>2.7</v>
      </c>
      <c r="AB5053" s="152"/>
      <c r="AC5053" s="152"/>
      <c r="AD5053" s="154">
        <v>10</v>
      </c>
      <c r="AE5053" s="152"/>
      <c r="AF5053" s="153"/>
      <c r="AG5053" s="153"/>
      <c r="AH5053" s="346"/>
      <c r="AI5053" s="153"/>
      <c r="AJ5053" s="480"/>
      <c r="AK5053" s="153"/>
      <c r="AL5053" s="152"/>
      <c r="AM5053" s="152"/>
      <c r="AN5053" s="152"/>
      <c r="AO5053" s="152"/>
      <c r="AP5053" s="152"/>
      <c r="AQ5053" s="152"/>
      <c r="AR5053" s="152"/>
      <c r="AS5053" s="152"/>
      <c r="AT5053" s="152"/>
      <c r="AU5053" s="218"/>
      <c r="AV5053" s="218"/>
      <c r="AW5053" s="218"/>
      <c r="AX5053" s="218"/>
      <c r="AY5053" s="218"/>
      <c r="AZ5053" s="152"/>
      <c r="BA5053" s="152"/>
      <c r="BB5053" s="152"/>
      <c r="BC5053" s="152"/>
      <c r="BD5053" s="152"/>
      <c r="BE5053" s="152"/>
      <c r="BF5053" s="152"/>
      <c r="BG5053" s="152"/>
      <c r="BH5053" s="152"/>
      <c r="BI5053" s="153"/>
      <c r="BJ5053" s="153"/>
      <c r="BK5053" s="153"/>
      <c r="BL5053" s="153"/>
      <c r="BM5053" s="153"/>
      <c r="BN5053" s="153"/>
      <c r="BO5053" s="153"/>
      <c r="BP5053" s="153"/>
      <c r="BQ5053" s="153"/>
      <c r="BR5053" s="153"/>
      <c r="BS5053" s="153"/>
      <c r="BT5053" s="153"/>
      <c r="BU5053" s="153"/>
      <c r="BV5053" s="153"/>
      <c r="BW5053" s="153"/>
      <c r="BX5053" s="153"/>
      <c r="BY5053" s="153"/>
      <c r="BZ5053" s="153"/>
      <c r="CA5053" s="152"/>
      <c r="CB5053" s="152"/>
    </row>
    <row r="5054" spans="1:80" s="87" customFormat="1" x14ac:dyDescent="0.2">
      <c r="A5054" s="150" t="s">
        <v>103</v>
      </c>
      <c r="B5054" s="683"/>
      <c r="C5054" s="683"/>
      <c r="D5054" s="292"/>
      <c r="E5054" s="215"/>
      <c r="F5054" s="215"/>
      <c r="G5054" s="153"/>
      <c r="H5054" s="153"/>
      <c r="I5054" s="153"/>
      <c r="J5054" s="153"/>
      <c r="K5054" s="153"/>
      <c r="L5054" s="653"/>
      <c r="M5054" s="669">
        <v>31469</v>
      </c>
      <c r="N5054" s="600">
        <v>3.29</v>
      </c>
      <c r="O5054" s="614">
        <f>520/3600</f>
        <v>0.14444444444444443</v>
      </c>
      <c r="P5054" s="220"/>
      <c r="Q5054" s="220"/>
      <c r="R5054" s="220"/>
      <c r="S5054" s="220"/>
      <c r="T5054" s="220"/>
      <c r="U5054" s="265">
        <f>0.66-V5054</f>
        <v>0.48000000000000004</v>
      </c>
      <c r="V5054" s="750">
        <v>0.18</v>
      </c>
      <c r="W5054" s="756"/>
      <c r="X5054" s="752"/>
      <c r="Y5054" s="757"/>
      <c r="Z5054" s="751"/>
      <c r="AA5054" s="220">
        <v>3</v>
      </c>
      <c r="AB5054" s="152"/>
      <c r="AC5054" s="152"/>
      <c r="AD5054" s="154">
        <v>10</v>
      </c>
      <c r="AE5054" s="152"/>
      <c r="AF5054" s="153"/>
      <c r="AG5054" s="153"/>
      <c r="AH5054" s="346"/>
      <c r="AI5054" s="153"/>
      <c r="AJ5054" s="480"/>
      <c r="AK5054" s="153"/>
      <c r="AL5054" s="152"/>
      <c r="AM5054" s="152"/>
      <c r="AN5054" s="152"/>
      <c r="AO5054" s="152"/>
      <c r="AP5054" s="152"/>
      <c r="AQ5054" s="152"/>
      <c r="AR5054" s="152"/>
      <c r="AS5054" s="152"/>
      <c r="AT5054" s="152"/>
      <c r="AU5054" s="218"/>
      <c r="AV5054" s="218"/>
      <c r="AW5054" s="218"/>
      <c r="AX5054" s="218"/>
      <c r="AY5054" s="218"/>
      <c r="AZ5054" s="152"/>
      <c r="BA5054" s="152"/>
      <c r="BB5054" s="152"/>
      <c r="BC5054" s="152"/>
      <c r="BD5054" s="152"/>
      <c r="BE5054" s="152"/>
      <c r="BF5054" s="152"/>
      <c r="BG5054" s="152"/>
      <c r="BH5054" s="152"/>
      <c r="BI5054" s="153"/>
      <c r="BJ5054" s="153"/>
      <c r="BK5054" s="153"/>
      <c r="BL5054" s="153"/>
      <c r="BM5054" s="153"/>
      <c r="BN5054" s="153"/>
      <c r="BO5054" s="153"/>
      <c r="BP5054" s="153"/>
      <c r="BQ5054" s="153"/>
      <c r="BR5054" s="153"/>
      <c r="BS5054" s="153"/>
      <c r="BT5054" s="153"/>
      <c r="BU5054" s="153"/>
      <c r="BV5054" s="153"/>
      <c r="BW5054" s="153"/>
      <c r="BX5054" s="153"/>
      <c r="BY5054" s="153"/>
      <c r="BZ5054" s="153"/>
      <c r="CA5054" s="152"/>
      <c r="CB5054" s="152"/>
    </row>
    <row r="5055" spans="1:80" s="87" customFormat="1" x14ac:dyDescent="0.2">
      <c r="A5055" s="150" t="s">
        <v>104</v>
      </c>
      <c r="B5055" s="683"/>
      <c r="C5055" s="683"/>
      <c r="D5055" s="292"/>
      <c r="E5055" s="215"/>
      <c r="F5055" s="215"/>
      <c r="G5055" s="153"/>
      <c r="H5055" s="153"/>
      <c r="I5055" s="153"/>
      <c r="J5055" s="153"/>
      <c r="K5055" s="153"/>
      <c r="L5055" s="653"/>
      <c r="M5055" s="669">
        <v>31469</v>
      </c>
      <c r="N5055" s="600">
        <v>3.29</v>
      </c>
      <c r="O5055" s="614">
        <f>1300/3600</f>
        <v>0.3611111111111111</v>
      </c>
      <c r="P5055" s="220"/>
      <c r="Q5055" s="220"/>
      <c r="R5055" s="220"/>
      <c r="S5055" s="220"/>
      <c r="T5055" s="220"/>
      <c r="U5055" s="265">
        <f>0.68-V5055</f>
        <v>0.52</v>
      </c>
      <c r="V5055" s="750">
        <v>0.16</v>
      </c>
      <c r="W5055" s="756"/>
      <c r="X5055" s="752"/>
      <c r="Y5055" s="757"/>
      <c r="Z5055" s="751"/>
      <c r="AA5055" s="220">
        <v>2.9</v>
      </c>
      <c r="AB5055" s="152"/>
      <c r="AC5055" s="152"/>
      <c r="AD5055" s="154">
        <v>10</v>
      </c>
      <c r="AE5055" s="152"/>
      <c r="AF5055" s="153"/>
      <c r="AG5055" s="153"/>
      <c r="AH5055" s="346"/>
      <c r="AI5055" s="153"/>
      <c r="AJ5055" s="480"/>
      <c r="AK5055" s="153"/>
      <c r="AL5055" s="152"/>
      <c r="AM5055" s="152"/>
      <c r="AN5055" s="152"/>
      <c r="AO5055" s="152"/>
      <c r="AP5055" s="152"/>
      <c r="AQ5055" s="152"/>
      <c r="AR5055" s="152"/>
      <c r="AS5055" s="152"/>
      <c r="AT5055" s="152"/>
      <c r="AU5055" s="218"/>
      <c r="AV5055" s="218"/>
      <c r="AW5055" s="218"/>
      <c r="AX5055" s="218"/>
      <c r="AY5055" s="218"/>
      <c r="AZ5055" s="152"/>
      <c r="BA5055" s="152"/>
      <c r="BB5055" s="152"/>
      <c r="BC5055" s="152"/>
      <c r="BD5055" s="152"/>
      <c r="BE5055" s="152"/>
      <c r="BF5055" s="152"/>
      <c r="BG5055" s="152"/>
      <c r="BH5055" s="152"/>
      <c r="BI5055" s="153"/>
      <c r="BJ5055" s="153"/>
      <c r="BK5055" s="153"/>
      <c r="BL5055" s="153"/>
      <c r="BM5055" s="153"/>
      <c r="BN5055" s="153"/>
      <c r="BO5055" s="153"/>
      <c r="BP5055" s="153"/>
      <c r="BQ5055" s="153"/>
      <c r="BR5055" s="153"/>
      <c r="BS5055" s="153"/>
      <c r="BT5055" s="153"/>
      <c r="BU5055" s="153"/>
      <c r="BV5055" s="153"/>
      <c r="BW5055" s="153"/>
      <c r="BX5055" s="153"/>
      <c r="BY5055" s="153"/>
      <c r="BZ5055" s="153"/>
      <c r="CA5055" s="152"/>
      <c r="CB5055" s="152"/>
    </row>
    <row r="5056" spans="1:80" s="87" customFormat="1" x14ac:dyDescent="0.2">
      <c r="A5056" s="150" t="s">
        <v>103</v>
      </c>
      <c r="B5056" s="683"/>
      <c r="C5056" s="683"/>
      <c r="D5056" s="292"/>
      <c r="E5056" s="215"/>
      <c r="F5056" s="215"/>
      <c r="G5056" s="153"/>
      <c r="H5056" s="153"/>
      <c r="I5056" s="153"/>
      <c r="J5056" s="153"/>
      <c r="K5056" s="153"/>
      <c r="L5056" s="653"/>
      <c r="M5056" s="669">
        <v>31475</v>
      </c>
      <c r="N5056" s="600">
        <v>1.26</v>
      </c>
      <c r="O5056" s="614">
        <f>1/3600</f>
        <v>2.7777777777777778E-4</v>
      </c>
      <c r="P5056" s="220"/>
      <c r="Q5056" s="220"/>
      <c r="R5056" s="220"/>
      <c r="S5056" s="220"/>
      <c r="T5056" s="220"/>
      <c r="U5056" s="265">
        <f>0.99-V5056</f>
        <v>0.10999999999999999</v>
      </c>
      <c r="V5056" s="750">
        <v>0.88</v>
      </c>
      <c r="W5056" s="756"/>
      <c r="X5056" s="752"/>
      <c r="Y5056" s="757"/>
      <c r="Z5056" s="751"/>
      <c r="AA5056" s="220">
        <v>0.5</v>
      </c>
      <c r="AB5056" s="152"/>
      <c r="AC5056" s="152"/>
      <c r="AD5056" s="154">
        <v>10</v>
      </c>
      <c r="AE5056" s="152"/>
      <c r="AF5056" s="153"/>
      <c r="AG5056" s="153"/>
      <c r="AH5056" s="346"/>
      <c r="AI5056" s="153"/>
      <c r="AJ5056" s="480"/>
      <c r="AK5056" s="153"/>
      <c r="AL5056" s="152"/>
      <c r="AM5056" s="152"/>
      <c r="AN5056" s="152"/>
      <c r="AO5056" s="152"/>
      <c r="AP5056" s="152"/>
      <c r="AQ5056" s="152"/>
      <c r="AR5056" s="152"/>
      <c r="AS5056" s="152"/>
      <c r="AT5056" s="152"/>
      <c r="AU5056" s="218"/>
      <c r="AV5056" s="218"/>
      <c r="AW5056" s="218"/>
      <c r="AX5056" s="218"/>
      <c r="AY5056" s="218"/>
      <c r="AZ5056" s="152"/>
      <c r="BA5056" s="152"/>
      <c r="BB5056" s="152"/>
      <c r="BC5056" s="152"/>
      <c r="BD5056" s="152"/>
      <c r="BE5056" s="152"/>
      <c r="BF5056" s="152"/>
      <c r="BG5056" s="152"/>
      <c r="BH5056" s="152"/>
      <c r="BI5056" s="153"/>
      <c r="BJ5056" s="153"/>
      <c r="BK5056" s="153"/>
      <c r="BL5056" s="153"/>
      <c r="BM5056" s="153"/>
      <c r="BN5056" s="153"/>
      <c r="BO5056" s="153"/>
      <c r="BP5056" s="153"/>
      <c r="BQ5056" s="153"/>
      <c r="BR5056" s="153"/>
      <c r="BS5056" s="153"/>
      <c r="BT5056" s="153"/>
      <c r="BU5056" s="153"/>
      <c r="BV5056" s="153"/>
      <c r="BW5056" s="153"/>
      <c r="BX5056" s="153"/>
      <c r="BY5056" s="153"/>
      <c r="BZ5056" s="153"/>
      <c r="CA5056" s="152"/>
      <c r="CB5056" s="152"/>
    </row>
    <row r="5057" spans="1:80" s="87" customFormat="1" x14ac:dyDescent="0.2">
      <c r="A5057" s="150" t="s">
        <v>102</v>
      </c>
      <c r="B5057" s="683"/>
      <c r="C5057" s="683"/>
      <c r="D5057" s="292"/>
      <c r="E5057" s="215"/>
      <c r="F5057" s="215"/>
      <c r="G5057" s="153"/>
      <c r="H5057" s="153"/>
      <c r="I5057" s="153"/>
      <c r="J5057" s="153"/>
      <c r="K5057" s="153"/>
      <c r="L5057" s="653"/>
      <c r="M5057" s="669">
        <v>31475</v>
      </c>
      <c r="N5057" s="600">
        <v>1.26</v>
      </c>
      <c r="O5057" s="614">
        <f>0.97/3600</f>
        <v>2.6944444444444444E-4</v>
      </c>
      <c r="P5057" s="220"/>
      <c r="Q5057" s="220"/>
      <c r="R5057" s="220"/>
      <c r="S5057" s="220"/>
      <c r="T5057" s="220"/>
      <c r="U5057" s="265">
        <f>0.96-V5057</f>
        <v>0.14000000000000001</v>
      </c>
      <c r="V5057" s="750">
        <v>0.82</v>
      </c>
      <c r="W5057" s="756"/>
      <c r="X5057" s="752"/>
      <c r="Y5057" s="757"/>
      <c r="Z5057" s="751"/>
      <c r="AA5057" s="220">
        <v>0.5</v>
      </c>
      <c r="AB5057" s="152"/>
      <c r="AC5057" s="152"/>
      <c r="AD5057" s="154">
        <v>10</v>
      </c>
      <c r="AE5057" s="152"/>
      <c r="AF5057" s="153"/>
      <c r="AG5057" s="153"/>
      <c r="AH5057" s="346"/>
      <c r="AI5057" s="153"/>
      <c r="AJ5057" s="480"/>
      <c r="AK5057" s="153"/>
      <c r="AL5057" s="152"/>
      <c r="AM5057" s="152"/>
      <c r="AN5057" s="152"/>
      <c r="AO5057" s="152"/>
      <c r="AP5057" s="152"/>
      <c r="AQ5057" s="152"/>
      <c r="AR5057" s="152"/>
      <c r="AS5057" s="152"/>
      <c r="AT5057" s="152"/>
      <c r="AU5057" s="218"/>
      <c r="AV5057" s="218"/>
      <c r="AW5057" s="218"/>
      <c r="AX5057" s="218"/>
      <c r="AY5057" s="218"/>
      <c r="AZ5057" s="152"/>
      <c r="BA5057" s="152"/>
      <c r="BB5057" s="152"/>
      <c r="BC5057" s="152"/>
      <c r="BD5057" s="152"/>
      <c r="BE5057" s="152"/>
      <c r="BF5057" s="152"/>
      <c r="BG5057" s="152"/>
      <c r="BH5057" s="152"/>
      <c r="BI5057" s="153"/>
      <c r="BJ5057" s="153"/>
      <c r="BK5057" s="153"/>
      <c r="BL5057" s="153"/>
      <c r="BM5057" s="153"/>
      <c r="BN5057" s="153"/>
      <c r="BO5057" s="153"/>
      <c r="BP5057" s="153"/>
      <c r="BQ5057" s="153"/>
      <c r="BR5057" s="153"/>
      <c r="BS5057" s="153"/>
      <c r="BT5057" s="153"/>
      <c r="BU5057" s="153"/>
      <c r="BV5057" s="153"/>
      <c r="BW5057" s="153"/>
      <c r="BX5057" s="153"/>
      <c r="BY5057" s="153"/>
      <c r="BZ5057" s="153"/>
      <c r="CA5057" s="152"/>
      <c r="CB5057" s="152"/>
    </row>
    <row r="5058" spans="1:80" s="87" customFormat="1" x14ac:dyDescent="0.2">
      <c r="A5058" s="150" t="s">
        <v>104</v>
      </c>
      <c r="B5058" s="683"/>
      <c r="C5058" s="683"/>
      <c r="D5058" s="292"/>
      <c r="E5058" s="215"/>
      <c r="F5058" s="215"/>
      <c r="G5058" s="153"/>
      <c r="H5058" s="153"/>
      <c r="I5058" s="153"/>
      <c r="J5058" s="153"/>
      <c r="K5058" s="153"/>
      <c r="L5058" s="653"/>
      <c r="M5058" s="669">
        <v>31475</v>
      </c>
      <c r="N5058" s="600">
        <v>1.26</v>
      </c>
      <c r="O5058" s="614">
        <f>7.7/3600</f>
        <v>2.138888888888889E-3</v>
      </c>
      <c r="P5058" s="150"/>
      <c r="Q5058" s="150"/>
      <c r="R5058" s="150"/>
      <c r="S5058" s="150"/>
      <c r="T5058" s="150"/>
      <c r="U5058" s="265">
        <f>0.94-V5058</f>
        <v>0.41999999999999993</v>
      </c>
      <c r="V5058" s="750">
        <v>0.52</v>
      </c>
      <c r="W5058" s="756"/>
      <c r="X5058" s="752"/>
      <c r="Y5058" s="757"/>
      <c r="Z5058" s="245"/>
      <c r="AA5058" s="150">
        <v>1</v>
      </c>
      <c r="AB5058" s="152"/>
      <c r="AC5058" s="152"/>
      <c r="AD5058" s="154">
        <v>10</v>
      </c>
      <c r="AE5058" s="152"/>
      <c r="AF5058" s="153"/>
      <c r="AG5058" s="153"/>
      <c r="AH5058" s="346"/>
      <c r="AI5058" s="153"/>
      <c r="AJ5058" s="480"/>
      <c r="AK5058" s="153"/>
      <c r="AL5058" s="152"/>
      <c r="AM5058" s="152"/>
      <c r="AN5058" s="152"/>
      <c r="AO5058" s="152"/>
      <c r="AP5058" s="152"/>
      <c r="AQ5058" s="152"/>
      <c r="AR5058" s="152"/>
      <c r="AS5058" s="152"/>
      <c r="AT5058" s="152"/>
      <c r="AU5058" s="218"/>
      <c r="AV5058" s="218"/>
      <c r="AW5058" s="218"/>
      <c r="AX5058" s="218"/>
      <c r="AY5058" s="218"/>
      <c r="AZ5058" s="152"/>
      <c r="BA5058" s="152"/>
      <c r="BB5058" s="152"/>
      <c r="BC5058" s="152"/>
      <c r="BD5058" s="152"/>
      <c r="BE5058" s="152"/>
      <c r="BF5058" s="152"/>
      <c r="BG5058" s="152"/>
      <c r="BH5058" s="152"/>
      <c r="BI5058" s="153"/>
      <c r="BJ5058" s="153"/>
      <c r="BK5058" s="153"/>
      <c r="BL5058" s="153"/>
      <c r="BM5058" s="153"/>
      <c r="BN5058" s="153"/>
      <c r="BO5058" s="153"/>
      <c r="BP5058" s="153"/>
      <c r="BQ5058" s="153"/>
      <c r="BR5058" s="153"/>
      <c r="BS5058" s="153"/>
      <c r="BT5058" s="153"/>
      <c r="BU5058" s="153"/>
      <c r="BV5058" s="153"/>
      <c r="BW5058" s="153"/>
      <c r="BX5058" s="153"/>
      <c r="BY5058" s="153"/>
      <c r="BZ5058" s="153"/>
      <c r="CA5058" s="152"/>
      <c r="CB5058" s="152"/>
    </row>
    <row r="5059" spans="1:80" s="87" customFormat="1" x14ac:dyDescent="0.2">
      <c r="A5059" s="150" t="s">
        <v>102</v>
      </c>
      <c r="B5059" s="683"/>
      <c r="C5059" s="683"/>
      <c r="D5059" s="292"/>
      <c r="E5059" s="215"/>
      <c r="F5059" s="215"/>
      <c r="G5059" s="153"/>
      <c r="H5059" s="153"/>
      <c r="I5059" s="153"/>
      <c r="J5059" s="153"/>
      <c r="K5059" s="153"/>
      <c r="L5059" s="653"/>
      <c r="M5059" s="669">
        <v>31478</v>
      </c>
      <c r="N5059" s="600">
        <v>2.61</v>
      </c>
      <c r="O5059" s="614">
        <f>260/3600</f>
        <v>7.2222222222222215E-2</v>
      </c>
      <c r="P5059" s="150"/>
      <c r="Q5059" s="150"/>
      <c r="R5059" s="150"/>
      <c r="S5059" s="150"/>
      <c r="T5059" s="150"/>
      <c r="U5059" s="265">
        <f>0.76-V5059</f>
        <v>0.27</v>
      </c>
      <c r="V5059" s="750">
        <v>0.49</v>
      </c>
      <c r="W5059" s="756"/>
      <c r="X5059" s="752"/>
      <c r="Y5059" s="757"/>
      <c r="Z5059" s="245"/>
      <c r="AA5059" s="150">
        <v>1.3</v>
      </c>
      <c r="AB5059" s="152"/>
      <c r="AC5059" s="152"/>
      <c r="AD5059" s="154">
        <v>10</v>
      </c>
      <c r="AE5059" s="152"/>
      <c r="AF5059" s="153"/>
      <c r="AG5059" s="153"/>
      <c r="AH5059" s="346"/>
      <c r="AI5059" s="153"/>
      <c r="AJ5059" s="480"/>
      <c r="AK5059" s="153"/>
      <c r="AL5059" s="152"/>
      <c r="AM5059" s="152"/>
      <c r="AN5059" s="152"/>
      <c r="AO5059" s="152"/>
      <c r="AP5059" s="152"/>
      <c r="AQ5059" s="152"/>
      <c r="AR5059" s="152"/>
      <c r="AS5059" s="152"/>
      <c r="AT5059" s="152"/>
      <c r="AU5059" s="218"/>
      <c r="AV5059" s="218"/>
      <c r="AW5059" s="218"/>
      <c r="AX5059" s="218"/>
      <c r="AY5059" s="218"/>
      <c r="AZ5059" s="152"/>
      <c r="BA5059" s="152"/>
      <c r="BB5059" s="152"/>
      <c r="BC5059" s="152"/>
      <c r="BD5059" s="152"/>
      <c r="BE5059" s="152"/>
      <c r="BF5059" s="152"/>
      <c r="BG5059" s="152"/>
      <c r="BH5059" s="152"/>
      <c r="BI5059" s="153"/>
      <c r="BJ5059" s="153"/>
      <c r="BK5059" s="153"/>
      <c r="BL5059" s="153"/>
      <c r="BM5059" s="153"/>
      <c r="BN5059" s="153"/>
      <c r="BO5059" s="153"/>
      <c r="BP5059" s="153"/>
      <c r="BQ5059" s="153"/>
      <c r="BR5059" s="153"/>
      <c r="BS5059" s="153"/>
      <c r="BT5059" s="153"/>
      <c r="BU5059" s="153"/>
      <c r="BV5059" s="153"/>
      <c r="BW5059" s="153"/>
      <c r="BX5059" s="153"/>
      <c r="BY5059" s="153"/>
      <c r="BZ5059" s="153"/>
      <c r="CA5059" s="152"/>
      <c r="CB5059" s="152"/>
    </row>
    <row r="5060" spans="1:80" s="87" customFormat="1" x14ac:dyDescent="0.2">
      <c r="A5060" s="150" t="s">
        <v>103</v>
      </c>
      <c r="B5060" s="683"/>
      <c r="C5060" s="683"/>
      <c r="D5060" s="292"/>
      <c r="E5060" s="215"/>
      <c r="F5060" s="215"/>
      <c r="G5060" s="153"/>
      <c r="H5060" s="153"/>
      <c r="I5060" s="153"/>
      <c r="J5060" s="153"/>
      <c r="K5060" s="153"/>
      <c r="L5060" s="653"/>
      <c r="M5060" s="669">
        <v>31478</v>
      </c>
      <c r="N5060" s="600">
        <v>2.57</v>
      </c>
      <c r="O5060" s="614">
        <f>320/3600</f>
        <v>8.8888888888888892E-2</v>
      </c>
      <c r="P5060" s="150"/>
      <c r="Q5060" s="150"/>
      <c r="R5060" s="150"/>
      <c r="S5060" s="150"/>
      <c r="T5060" s="150"/>
      <c r="U5060" s="265">
        <f>0.79-V5060</f>
        <v>0.31000000000000005</v>
      </c>
      <c r="V5060" s="750">
        <v>0.48</v>
      </c>
      <c r="W5060" s="756"/>
      <c r="X5060" s="752"/>
      <c r="Y5060" s="757"/>
      <c r="Z5060" s="245"/>
      <c r="AA5060" s="150">
        <v>2.1</v>
      </c>
      <c r="AB5060" s="152"/>
      <c r="AC5060" s="152"/>
      <c r="AD5060" s="154">
        <v>10</v>
      </c>
      <c r="AE5060" s="152"/>
      <c r="AF5060" s="153"/>
      <c r="AG5060" s="153"/>
      <c r="AH5060" s="346"/>
      <c r="AI5060" s="153"/>
      <c r="AJ5060" s="480"/>
      <c r="AK5060" s="153"/>
      <c r="AL5060" s="152"/>
      <c r="AM5060" s="152"/>
      <c r="AN5060" s="152"/>
      <c r="AO5060" s="152"/>
      <c r="AP5060" s="152"/>
      <c r="AQ5060" s="152"/>
      <c r="AR5060" s="152"/>
      <c r="AS5060" s="152"/>
      <c r="AT5060" s="152"/>
      <c r="AU5060" s="218"/>
      <c r="AV5060" s="218"/>
      <c r="AW5060" s="218"/>
      <c r="AX5060" s="218"/>
      <c r="AY5060" s="218"/>
      <c r="AZ5060" s="152"/>
      <c r="BA5060" s="152"/>
      <c r="BB5060" s="152"/>
      <c r="BC5060" s="152"/>
      <c r="BD5060" s="152"/>
      <c r="BE5060" s="152"/>
      <c r="BF5060" s="152"/>
      <c r="BG5060" s="152"/>
      <c r="BH5060" s="152"/>
      <c r="BI5060" s="153"/>
      <c r="BJ5060" s="153"/>
      <c r="BK5060" s="153"/>
      <c r="BL5060" s="153"/>
      <c r="BM5060" s="153"/>
      <c r="BN5060" s="153"/>
      <c r="BO5060" s="153"/>
      <c r="BP5060" s="153"/>
      <c r="BQ5060" s="153"/>
      <c r="BR5060" s="153"/>
      <c r="BS5060" s="153"/>
      <c r="BT5060" s="153"/>
      <c r="BU5060" s="153"/>
      <c r="BV5060" s="153"/>
      <c r="BW5060" s="153"/>
      <c r="BX5060" s="153"/>
      <c r="BY5060" s="153"/>
      <c r="BZ5060" s="153"/>
      <c r="CA5060" s="152"/>
      <c r="CB5060" s="152"/>
    </row>
    <row r="5061" spans="1:80" s="87" customFormat="1" x14ac:dyDescent="0.2">
      <c r="A5061" s="150" t="s">
        <v>104</v>
      </c>
      <c r="B5061" s="683"/>
      <c r="C5061" s="683"/>
      <c r="D5061" s="292"/>
      <c r="E5061" s="215"/>
      <c r="F5061" s="215"/>
      <c r="G5061" s="153"/>
      <c r="H5061" s="153"/>
      <c r="I5061" s="153"/>
      <c r="J5061" s="153"/>
      <c r="K5061" s="153"/>
      <c r="L5061" s="653"/>
      <c r="M5061" s="669">
        <v>31478</v>
      </c>
      <c r="N5061" s="600">
        <v>2.4900000000000002</v>
      </c>
      <c r="O5061" s="614">
        <f>1300/3600</f>
        <v>0.3611111111111111</v>
      </c>
      <c r="P5061" s="150"/>
      <c r="Q5061" s="150"/>
      <c r="R5061" s="150"/>
      <c r="S5061" s="150"/>
      <c r="T5061" s="150"/>
      <c r="U5061" s="265">
        <f>0.78-V5061</f>
        <v>0.36000000000000004</v>
      </c>
      <c r="V5061" s="750">
        <v>0.42</v>
      </c>
      <c r="W5061" s="756"/>
      <c r="X5061" s="752"/>
      <c r="Y5061" s="757"/>
      <c r="Z5061" s="245"/>
      <c r="AA5061" s="150">
        <v>1.9</v>
      </c>
      <c r="AB5061" s="152"/>
      <c r="AC5061" s="152"/>
      <c r="AD5061" s="154">
        <v>10</v>
      </c>
      <c r="AE5061" s="152"/>
      <c r="AF5061" s="153"/>
      <c r="AG5061" s="153"/>
      <c r="AH5061" s="346"/>
      <c r="AI5061" s="153"/>
      <c r="AJ5061" s="480"/>
      <c r="AK5061" s="153"/>
      <c r="AL5061" s="152"/>
      <c r="AM5061" s="152"/>
      <c r="AN5061" s="152"/>
      <c r="AO5061" s="152"/>
      <c r="AP5061" s="152"/>
      <c r="AQ5061" s="152"/>
      <c r="AR5061" s="152"/>
      <c r="AS5061" s="152"/>
      <c r="AT5061" s="152"/>
      <c r="AU5061" s="218"/>
      <c r="AV5061" s="218"/>
      <c r="AW5061" s="218"/>
      <c r="AX5061" s="218"/>
      <c r="AY5061" s="218"/>
      <c r="AZ5061" s="152"/>
      <c r="BA5061" s="152"/>
      <c r="BB5061" s="152"/>
      <c r="BC5061" s="152"/>
      <c r="BD5061" s="152"/>
      <c r="BE5061" s="152"/>
      <c r="BF5061" s="152"/>
      <c r="BG5061" s="152"/>
      <c r="BH5061" s="152"/>
      <c r="BI5061" s="153"/>
      <c r="BJ5061" s="153"/>
      <c r="BK5061" s="153"/>
      <c r="BL5061" s="153"/>
      <c r="BM5061" s="153"/>
      <c r="BN5061" s="153"/>
      <c r="BO5061" s="153"/>
      <c r="BP5061" s="153"/>
      <c r="BQ5061" s="153"/>
      <c r="BR5061" s="153"/>
      <c r="BS5061" s="153"/>
      <c r="BT5061" s="153"/>
      <c r="BU5061" s="153"/>
      <c r="BV5061" s="153"/>
      <c r="BW5061" s="153"/>
      <c r="BX5061" s="153"/>
      <c r="BY5061" s="153"/>
      <c r="BZ5061" s="153"/>
      <c r="CA5061" s="152"/>
      <c r="CB5061" s="152"/>
    </row>
    <row r="5062" spans="1:80" s="87" customFormat="1" x14ac:dyDescent="0.2">
      <c r="A5062" s="150" t="s">
        <v>102</v>
      </c>
      <c r="B5062" s="683"/>
      <c r="C5062" s="683"/>
      <c r="D5062" s="292"/>
      <c r="E5062" s="215"/>
      <c r="F5062" s="215"/>
      <c r="G5062" s="153"/>
      <c r="H5062" s="153"/>
      <c r="I5062" s="153"/>
      <c r="J5062" s="153"/>
      <c r="K5062" s="153"/>
      <c r="L5062" s="653"/>
      <c r="M5062" s="669">
        <v>31479</v>
      </c>
      <c r="N5062" s="600">
        <v>2</v>
      </c>
      <c r="O5062" s="614">
        <f>350/3600</f>
        <v>9.7222222222222224E-2</v>
      </c>
      <c r="P5062" s="150"/>
      <c r="Q5062" s="150"/>
      <c r="R5062" s="150"/>
      <c r="S5062" s="150"/>
      <c r="T5062" s="150"/>
      <c r="U5062" s="265">
        <f>0.75-V5062</f>
        <v>0.5</v>
      </c>
      <c r="V5062" s="750">
        <v>0.25</v>
      </c>
      <c r="W5062" s="756"/>
      <c r="X5062" s="752"/>
      <c r="Y5062" s="757"/>
      <c r="Z5062" s="245"/>
      <c r="AA5062" s="150">
        <v>2.2000000000000002</v>
      </c>
      <c r="AB5062" s="152"/>
      <c r="AC5062" s="152"/>
      <c r="AD5062" s="154">
        <v>10</v>
      </c>
      <c r="AE5062" s="152"/>
      <c r="AF5062" s="153"/>
      <c r="AG5062" s="153"/>
      <c r="AH5062" s="346"/>
      <c r="AI5062" s="153"/>
      <c r="AJ5062" s="480"/>
      <c r="AK5062" s="153"/>
      <c r="AL5062" s="152"/>
      <c r="AM5062" s="152"/>
      <c r="AN5062" s="152"/>
      <c r="AO5062" s="152"/>
      <c r="AP5062" s="152"/>
      <c r="AQ5062" s="152"/>
      <c r="AR5062" s="152"/>
      <c r="AS5062" s="152"/>
      <c r="AT5062" s="152"/>
      <c r="AU5062" s="218"/>
      <c r="AV5062" s="218"/>
      <c r="AW5062" s="218"/>
      <c r="AX5062" s="218"/>
      <c r="AY5062" s="218"/>
      <c r="AZ5062" s="152"/>
      <c r="BA5062" s="152"/>
      <c r="BB5062" s="152"/>
      <c r="BC5062" s="152"/>
      <c r="BD5062" s="152"/>
      <c r="BE5062" s="152"/>
      <c r="BF5062" s="152"/>
      <c r="BG5062" s="152"/>
      <c r="BH5062" s="152"/>
      <c r="BI5062" s="153"/>
      <c r="BJ5062" s="153"/>
      <c r="BK5062" s="153"/>
      <c r="BL5062" s="153"/>
      <c r="BM5062" s="153"/>
      <c r="BN5062" s="153"/>
      <c r="BO5062" s="153"/>
      <c r="BP5062" s="153"/>
      <c r="BQ5062" s="153"/>
      <c r="BR5062" s="153"/>
      <c r="BS5062" s="153"/>
      <c r="BT5062" s="153"/>
      <c r="BU5062" s="153"/>
      <c r="BV5062" s="153"/>
      <c r="BW5062" s="153"/>
      <c r="BX5062" s="153"/>
      <c r="BY5062" s="153"/>
      <c r="BZ5062" s="153"/>
      <c r="CA5062" s="152"/>
      <c r="CB5062" s="152"/>
    </row>
    <row r="5063" spans="1:80" s="87" customFormat="1" x14ac:dyDescent="0.2">
      <c r="A5063" s="150" t="s">
        <v>103</v>
      </c>
      <c r="B5063" s="683"/>
      <c r="C5063" s="683"/>
      <c r="D5063" s="292"/>
      <c r="E5063" s="215"/>
      <c r="F5063" s="215"/>
      <c r="G5063" s="153"/>
      <c r="H5063" s="153"/>
      <c r="I5063" s="153"/>
      <c r="J5063" s="153"/>
      <c r="K5063" s="153"/>
      <c r="L5063" s="653"/>
      <c r="M5063" s="669">
        <v>31479</v>
      </c>
      <c r="N5063" s="600">
        <v>2.0499999999999998</v>
      </c>
      <c r="O5063" s="614">
        <f>85/3600</f>
        <v>2.361111111111111E-2</v>
      </c>
      <c r="P5063" s="150"/>
      <c r="Q5063" s="150"/>
      <c r="R5063" s="150"/>
      <c r="S5063" s="150"/>
      <c r="T5063" s="150"/>
      <c r="U5063" s="265">
        <f>0.8-V5063</f>
        <v>0.57000000000000006</v>
      </c>
      <c r="V5063" s="750">
        <v>0.23</v>
      </c>
      <c r="W5063" s="756"/>
      <c r="X5063" s="752"/>
      <c r="Y5063" s="757"/>
      <c r="Z5063" s="245"/>
      <c r="AA5063" s="150">
        <v>1.9</v>
      </c>
      <c r="AB5063" s="152"/>
      <c r="AC5063" s="152"/>
      <c r="AD5063" s="154">
        <v>10</v>
      </c>
      <c r="AE5063" s="152"/>
      <c r="AF5063" s="153"/>
      <c r="AG5063" s="153"/>
      <c r="AH5063" s="346"/>
      <c r="AI5063" s="153"/>
      <c r="AJ5063" s="480"/>
      <c r="AK5063" s="153"/>
      <c r="AL5063" s="152"/>
      <c r="AM5063" s="152"/>
      <c r="AN5063" s="152"/>
      <c r="AO5063" s="152"/>
      <c r="AP5063" s="152"/>
      <c r="AQ5063" s="152"/>
      <c r="AR5063" s="152"/>
      <c r="AS5063" s="152"/>
      <c r="AT5063" s="152"/>
      <c r="AU5063" s="218"/>
      <c r="AV5063" s="218"/>
      <c r="AW5063" s="218"/>
      <c r="AX5063" s="218"/>
      <c r="AY5063" s="218"/>
      <c r="AZ5063" s="152"/>
      <c r="BA5063" s="152"/>
      <c r="BB5063" s="152"/>
      <c r="BC5063" s="152"/>
      <c r="BD5063" s="152"/>
      <c r="BE5063" s="152"/>
      <c r="BF5063" s="152"/>
      <c r="BG5063" s="152"/>
      <c r="BH5063" s="152"/>
      <c r="BI5063" s="153"/>
      <c r="BJ5063" s="153"/>
      <c r="BK5063" s="153"/>
      <c r="BL5063" s="153"/>
      <c r="BM5063" s="153"/>
      <c r="BN5063" s="153"/>
      <c r="BO5063" s="153"/>
      <c r="BP5063" s="153"/>
      <c r="BQ5063" s="153"/>
      <c r="BR5063" s="153"/>
      <c r="BS5063" s="153"/>
      <c r="BT5063" s="153"/>
      <c r="BU5063" s="153"/>
      <c r="BV5063" s="153"/>
      <c r="BW5063" s="153"/>
      <c r="BX5063" s="153"/>
      <c r="BY5063" s="153"/>
      <c r="BZ5063" s="153"/>
      <c r="CA5063" s="152"/>
      <c r="CB5063" s="152"/>
    </row>
    <row r="5064" spans="1:80" s="87" customFormat="1" x14ac:dyDescent="0.2">
      <c r="A5064" s="150" t="s">
        <v>104</v>
      </c>
      <c r="B5064" s="683"/>
      <c r="C5064" s="683"/>
      <c r="D5064" s="292"/>
      <c r="E5064" s="215"/>
      <c r="F5064" s="215"/>
      <c r="G5064" s="153"/>
      <c r="H5064" s="153"/>
      <c r="I5064" s="153"/>
      <c r="J5064" s="153"/>
      <c r="K5064" s="153"/>
      <c r="L5064" s="653"/>
      <c r="M5064" s="669">
        <v>31479</v>
      </c>
      <c r="N5064" s="600">
        <v>2.06</v>
      </c>
      <c r="O5064" s="614">
        <f>310/3600</f>
        <v>8.611111111111111E-2</v>
      </c>
      <c r="P5064" s="150"/>
      <c r="Q5064" s="150"/>
      <c r="R5064" s="150"/>
      <c r="S5064" s="150"/>
      <c r="T5064" s="150"/>
      <c r="U5064" s="265">
        <f>0.85-V5064</f>
        <v>0.56000000000000005</v>
      </c>
      <c r="V5064" s="750">
        <v>0.28999999999999998</v>
      </c>
      <c r="W5064" s="756"/>
      <c r="X5064" s="752"/>
      <c r="Y5064" s="757"/>
      <c r="Z5064" s="245"/>
      <c r="AA5064" s="150">
        <v>1.9</v>
      </c>
      <c r="AB5064" s="152"/>
      <c r="AC5064" s="152"/>
      <c r="AD5064" s="154">
        <v>10</v>
      </c>
      <c r="AE5064" s="152"/>
      <c r="AF5064" s="153"/>
      <c r="AG5064" s="153"/>
      <c r="AH5064" s="346"/>
      <c r="AI5064" s="153"/>
      <c r="AJ5064" s="480"/>
      <c r="AK5064" s="153"/>
      <c r="AL5064" s="152"/>
      <c r="AM5064" s="152"/>
      <c r="AN5064" s="152"/>
      <c r="AO5064" s="152"/>
      <c r="AP5064" s="152"/>
      <c r="AQ5064" s="152"/>
      <c r="AR5064" s="152"/>
      <c r="AS5064" s="152"/>
      <c r="AT5064" s="152"/>
      <c r="AU5064" s="218"/>
      <c r="AV5064" s="218"/>
      <c r="AW5064" s="218"/>
      <c r="AX5064" s="218"/>
      <c r="AY5064" s="218"/>
      <c r="AZ5064" s="152"/>
      <c r="BA5064" s="152"/>
      <c r="BB5064" s="152"/>
      <c r="BC5064" s="152"/>
      <c r="BD5064" s="152"/>
      <c r="BE5064" s="152"/>
      <c r="BF5064" s="152"/>
      <c r="BG5064" s="152"/>
      <c r="BH5064" s="152"/>
      <c r="BI5064" s="153"/>
      <c r="BJ5064" s="153"/>
      <c r="BK5064" s="153"/>
      <c r="BL5064" s="153"/>
      <c r="BM5064" s="153"/>
      <c r="BN5064" s="153"/>
      <c r="BO5064" s="153"/>
      <c r="BP5064" s="153"/>
      <c r="BQ5064" s="153"/>
      <c r="BR5064" s="153"/>
      <c r="BS5064" s="153"/>
      <c r="BT5064" s="153"/>
      <c r="BU5064" s="153"/>
      <c r="BV5064" s="153"/>
      <c r="BW5064" s="153"/>
      <c r="BX5064" s="153"/>
      <c r="BY5064" s="153"/>
      <c r="BZ5064" s="153"/>
      <c r="CA5064" s="152"/>
      <c r="CB5064" s="152"/>
    </row>
    <row r="5065" spans="1:80" s="87" customFormat="1" x14ac:dyDescent="0.2">
      <c r="A5065" s="150" t="s">
        <v>102</v>
      </c>
      <c r="B5065" s="683"/>
      <c r="C5065" s="683"/>
      <c r="D5065" s="292"/>
      <c r="E5065" s="215"/>
      <c r="F5065" s="215"/>
      <c r="G5065" s="153"/>
      <c r="H5065" s="153"/>
      <c r="I5065" s="153"/>
      <c r="J5065" s="153"/>
      <c r="K5065" s="153"/>
      <c r="L5065" s="653"/>
      <c r="M5065" s="669">
        <v>31480</v>
      </c>
      <c r="N5065" s="600">
        <v>1.98</v>
      </c>
      <c r="O5065" s="614">
        <f>68/3600</f>
        <v>1.8888888888888889E-2</v>
      </c>
      <c r="P5065" s="150"/>
      <c r="Q5065" s="150"/>
      <c r="R5065" s="150"/>
      <c r="S5065" s="150"/>
      <c r="T5065" s="150"/>
      <c r="U5065" s="265">
        <f>0.71-V5065</f>
        <v>0.39999999999999997</v>
      </c>
      <c r="V5065" s="750">
        <v>0.31</v>
      </c>
      <c r="W5065" s="756"/>
      <c r="X5065" s="752"/>
      <c r="Y5065" s="757"/>
      <c r="Z5065" s="245"/>
      <c r="AA5065" s="150">
        <v>1.9</v>
      </c>
      <c r="AB5065" s="152"/>
      <c r="AC5065" s="152"/>
      <c r="AD5065" s="154">
        <v>10</v>
      </c>
      <c r="AE5065" s="152"/>
      <c r="AF5065" s="153"/>
      <c r="AG5065" s="153"/>
      <c r="AH5065" s="346"/>
      <c r="AI5065" s="153"/>
      <c r="AJ5065" s="480"/>
      <c r="AK5065" s="153"/>
      <c r="AL5065" s="152"/>
      <c r="AM5065" s="152"/>
      <c r="AN5065" s="152"/>
      <c r="AO5065" s="152"/>
      <c r="AP5065" s="152"/>
      <c r="AQ5065" s="152"/>
      <c r="AR5065" s="152"/>
      <c r="AS5065" s="152"/>
      <c r="AT5065" s="152"/>
      <c r="AU5065" s="218"/>
      <c r="AV5065" s="218"/>
      <c r="AW5065" s="218"/>
      <c r="AX5065" s="218"/>
      <c r="AY5065" s="218"/>
      <c r="AZ5065" s="152"/>
      <c r="BA5065" s="152"/>
      <c r="BB5065" s="152"/>
      <c r="BC5065" s="152"/>
      <c r="BD5065" s="152"/>
      <c r="BE5065" s="152"/>
      <c r="BF5065" s="152"/>
      <c r="BG5065" s="152"/>
      <c r="BH5065" s="152"/>
      <c r="BI5065" s="153"/>
      <c r="BJ5065" s="153"/>
      <c r="BK5065" s="153"/>
      <c r="BL5065" s="153"/>
      <c r="BM5065" s="153"/>
      <c r="BN5065" s="153"/>
      <c r="BO5065" s="153"/>
      <c r="BP5065" s="153"/>
      <c r="BQ5065" s="153"/>
      <c r="BR5065" s="153"/>
      <c r="BS5065" s="153"/>
      <c r="BT5065" s="153"/>
      <c r="BU5065" s="153"/>
      <c r="BV5065" s="153"/>
      <c r="BW5065" s="153"/>
      <c r="BX5065" s="153"/>
      <c r="BY5065" s="153"/>
      <c r="BZ5065" s="153"/>
      <c r="CA5065" s="152"/>
      <c r="CB5065" s="152"/>
    </row>
    <row r="5066" spans="1:80" s="87" customFormat="1" x14ac:dyDescent="0.2">
      <c r="A5066" s="150" t="s">
        <v>103</v>
      </c>
      <c r="B5066" s="683"/>
      <c r="C5066" s="683"/>
      <c r="D5066" s="292"/>
      <c r="E5066" s="215"/>
      <c r="F5066" s="215"/>
      <c r="G5066" s="153"/>
      <c r="H5066" s="153"/>
      <c r="I5066" s="153"/>
      <c r="J5066" s="153"/>
      <c r="K5066" s="153"/>
      <c r="L5066" s="653"/>
      <c r="M5066" s="669">
        <v>31480</v>
      </c>
      <c r="N5066" s="600">
        <v>1.98</v>
      </c>
      <c r="O5066" s="614">
        <f>95/3600</f>
        <v>2.6388888888888889E-2</v>
      </c>
      <c r="P5066" s="150"/>
      <c r="Q5066" s="150"/>
      <c r="R5066" s="150"/>
      <c r="S5066" s="150"/>
      <c r="T5066" s="150"/>
      <c r="U5066" s="265">
        <f>0.85-V5066</f>
        <v>0.69</v>
      </c>
      <c r="V5066" s="750">
        <v>0.16</v>
      </c>
      <c r="W5066" s="756"/>
      <c r="X5066" s="752"/>
      <c r="Y5066" s="757"/>
      <c r="Z5066" s="245"/>
      <c r="AA5066" s="150">
        <v>1.9</v>
      </c>
      <c r="AB5066" s="152"/>
      <c r="AC5066" s="152"/>
      <c r="AD5066" s="154">
        <v>10</v>
      </c>
      <c r="AE5066" s="152"/>
      <c r="AF5066" s="153"/>
      <c r="AG5066" s="153"/>
      <c r="AH5066" s="346"/>
      <c r="AI5066" s="153"/>
      <c r="AJ5066" s="480"/>
      <c r="AK5066" s="153"/>
      <c r="AL5066" s="152"/>
      <c r="AM5066" s="152"/>
      <c r="AN5066" s="152"/>
      <c r="AO5066" s="152"/>
      <c r="AP5066" s="152"/>
      <c r="AQ5066" s="152"/>
      <c r="AR5066" s="152"/>
      <c r="AS5066" s="152"/>
      <c r="AT5066" s="152"/>
      <c r="AU5066" s="218"/>
      <c r="AV5066" s="218"/>
      <c r="AW5066" s="218"/>
      <c r="AX5066" s="218"/>
      <c r="AY5066" s="218"/>
      <c r="AZ5066" s="152"/>
      <c r="BA5066" s="152"/>
      <c r="BB5066" s="152"/>
      <c r="BC5066" s="152"/>
      <c r="BD5066" s="152"/>
      <c r="BE5066" s="152"/>
      <c r="BF5066" s="152"/>
      <c r="BG5066" s="152"/>
      <c r="BH5066" s="152"/>
      <c r="BI5066" s="153"/>
      <c r="BJ5066" s="153"/>
      <c r="BK5066" s="153"/>
      <c r="BL5066" s="153"/>
      <c r="BM5066" s="153"/>
      <c r="BN5066" s="153"/>
      <c r="BO5066" s="153"/>
      <c r="BP5066" s="153"/>
      <c r="BQ5066" s="153"/>
      <c r="BR5066" s="153"/>
      <c r="BS5066" s="153"/>
      <c r="BT5066" s="153"/>
      <c r="BU5066" s="153"/>
      <c r="BV5066" s="153"/>
      <c r="BW5066" s="153"/>
      <c r="BX5066" s="153"/>
      <c r="BY5066" s="153"/>
      <c r="BZ5066" s="153"/>
      <c r="CA5066" s="152"/>
      <c r="CB5066" s="152"/>
    </row>
    <row r="5067" spans="1:80" s="87" customFormat="1" x14ac:dyDescent="0.2">
      <c r="A5067" s="150" t="s">
        <v>104</v>
      </c>
      <c r="B5067" s="683"/>
      <c r="C5067" s="683"/>
      <c r="D5067" s="292"/>
      <c r="E5067" s="215"/>
      <c r="F5067" s="215"/>
      <c r="G5067" s="153"/>
      <c r="H5067" s="153"/>
      <c r="I5067" s="153"/>
      <c r="J5067" s="153"/>
      <c r="K5067" s="153"/>
      <c r="L5067" s="653"/>
      <c r="M5067" s="669">
        <v>31480</v>
      </c>
      <c r="N5067" s="600">
        <v>1.98</v>
      </c>
      <c r="O5067" s="614">
        <f>27/3600</f>
        <v>7.4999999999999997E-3</v>
      </c>
      <c r="P5067" s="150"/>
      <c r="Q5067" s="150"/>
      <c r="R5067" s="150"/>
      <c r="S5067" s="150"/>
      <c r="T5067" s="150"/>
      <c r="U5067" s="265">
        <f>0.65-V5067</f>
        <v>0.33</v>
      </c>
      <c r="V5067" s="750">
        <v>0.32</v>
      </c>
      <c r="W5067" s="756"/>
      <c r="X5067" s="752"/>
      <c r="Y5067" s="757"/>
      <c r="Z5067" s="245"/>
      <c r="AA5067" s="150">
        <v>2.2999999999999998</v>
      </c>
      <c r="AB5067" s="152"/>
      <c r="AC5067" s="152"/>
      <c r="AD5067" s="154">
        <v>10</v>
      </c>
      <c r="AE5067" s="152"/>
      <c r="AF5067" s="153"/>
      <c r="AG5067" s="153"/>
      <c r="AH5067" s="346"/>
      <c r="AI5067" s="153"/>
      <c r="AJ5067" s="480"/>
      <c r="AK5067" s="153"/>
      <c r="AL5067" s="152"/>
      <c r="AM5067" s="152"/>
      <c r="AN5067" s="152"/>
      <c r="AO5067" s="152"/>
      <c r="AP5067" s="152"/>
      <c r="AQ5067" s="152"/>
      <c r="AR5067" s="152"/>
      <c r="AS5067" s="152"/>
      <c r="AT5067" s="152"/>
      <c r="AU5067" s="218"/>
      <c r="AV5067" s="218"/>
      <c r="AW5067" s="218"/>
      <c r="AX5067" s="218"/>
      <c r="AY5067" s="218"/>
      <c r="AZ5067" s="152"/>
      <c r="BA5067" s="152"/>
      <c r="BB5067" s="152"/>
      <c r="BC5067" s="152"/>
      <c r="BD5067" s="152"/>
      <c r="BE5067" s="152"/>
      <c r="BF5067" s="152"/>
      <c r="BG5067" s="152"/>
      <c r="BH5067" s="152"/>
      <c r="BI5067" s="153"/>
      <c r="BJ5067" s="153"/>
      <c r="BK5067" s="153"/>
      <c r="BL5067" s="153"/>
      <c r="BM5067" s="153"/>
      <c r="BN5067" s="153"/>
      <c r="BO5067" s="153"/>
      <c r="BP5067" s="153"/>
      <c r="BQ5067" s="153"/>
      <c r="BR5067" s="153"/>
      <c r="BS5067" s="153"/>
      <c r="BT5067" s="153"/>
      <c r="BU5067" s="153"/>
      <c r="BV5067" s="153"/>
      <c r="BW5067" s="153"/>
      <c r="BX5067" s="153"/>
      <c r="BY5067" s="153"/>
      <c r="BZ5067" s="153"/>
      <c r="CA5067" s="152"/>
      <c r="CB5067" s="152"/>
    </row>
    <row r="5068" spans="1:80" s="87" customFormat="1" x14ac:dyDescent="0.2">
      <c r="A5068" s="150" t="s">
        <v>102</v>
      </c>
      <c r="B5068" s="683"/>
      <c r="C5068" s="683"/>
      <c r="D5068" s="292"/>
      <c r="E5068" s="215"/>
      <c r="F5068" s="215"/>
      <c r="G5068" s="153"/>
      <c r="H5068" s="153"/>
      <c r="I5068" s="153"/>
      <c r="J5068" s="153"/>
      <c r="K5068" s="153"/>
      <c r="L5068" s="653"/>
      <c r="M5068" s="669">
        <v>31482</v>
      </c>
      <c r="N5068" s="600">
        <v>2.2000000000000002</v>
      </c>
      <c r="O5068" s="614">
        <f>37/3600</f>
        <v>1.0277777777777778E-2</v>
      </c>
      <c r="P5068" s="150"/>
      <c r="Q5068" s="150"/>
      <c r="R5068" s="150"/>
      <c r="S5068" s="150"/>
      <c r="T5068" s="150"/>
      <c r="U5068" s="265">
        <f>0.85-V5068</f>
        <v>0.36</v>
      </c>
      <c r="V5068" s="750">
        <v>0.49</v>
      </c>
      <c r="W5068" s="756"/>
      <c r="X5068" s="752"/>
      <c r="Y5068" s="757"/>
      <c r="Z5068" s="245"/>
      <c r="AA5068" s="150">
        <v>1</v>
      </c>
      <c r="AB5068" s="152"/>
      <c r="AC5068" s="152"/>
      <c r="AD5068" s="154">
        <v>10</v>
      </c>
      <c r="AE5068" s="152"/>
      <c r="AF5068" s="153"/>
      <c r="AG5068" s="153"/>
      <c r="AH5068" s="346"/>
      <c r="AI5068" s="153"/>
      <c r="AJ5068" s="480"/>
      <c r="AK5068" s="153"/>
      <c r="AL5068" s="152"/>
      <c r="AM5068" s="152"/>
      <c r="AN5068" s="152"/>
      <c r="AO5068" s="152"/>
      <c r="AP5068" s="152"/>
      <c r="AQ5068" s="152"/>
      <c r="AR5068" s="152"/>
      <c r="AS5068" s="152"/>
      <c r="AT5068" s="152"/>
      <c r="AU5068" s="218"/>
      <c r="AV5068" s="218"/>
      <c r="AW5068" s="218"/>
      <c r="AX5068" s="218"/>
      <c r="AY5068" s="218"/>
      <c r="AZ5068" s="152"/>
      <c r="BA5068" s="152"/>
      <c r="BB5068" s="152"/>
      <c r="BC5068" s="152"/>
      <c r="BD5068" s="152"/>
      <c r="BE5068" s="152"/>
      <c r="BF5068" s="152"/>
      <c r="BG5068" s="152"/>
      <c r="BH5068" s="152"/>
      <c r="BI5068" s="153"/>
      <c r="BJ5068" s="153"/>
      <c r="BK5068" s="153"/>
      <c r="BL5068" s="153"/>
      <c r="BM5068" s="153"/>
      <c r="BN5068" s="153"/>
      <c r="BO5068" s="153"/>
      <c r="BP5068" s="153"/>
      <c r="BQ5068" s="153"/>
      <c r="BR5068" s="153"/>
      <c r="BS5068" s="153"/>
      <c r="BT5068" s="153"/>
      <c r="BU5068" s="153"/>
      <c r="BV5068" s="153"/>
      <c r="BW5068" s="153"/>
      <c r="BX5068" s="153"/>
      <c r="BY5068" s="153"/>
      <c r="BZ5068" s="153"/>
      <c r="CA5068" s="152"/>
      <c r="CB5068" s="152"/>
    </row>
    <row r="5069" spans="1:80" s="87" customFormat="1" x14ac:dyDescent="0.2">
      <c r="A5069" s="150" t="s">
        <v>103</v>
      </c>
      <c r="B5069" s="683"/>
      <c r="C5069" s="683"/>
      <c r="D5069" s="292"/>
      <c r="E5069" s="215"/>
      <c r="F5069" s="215"/>
      <c r="G5069" s="153"/>
      <c r="H5069" s="153"/>
      <c r="I5069" s="153"/>
      <c r="J5069" s="153"/>
      <c r="K5069" s="153"/>
      <c r="L5069" s="653"/>
      <c r="M5069" s="669">
        <v>31482</v>
      </c>
      <c r="N5069" s="600">
        <v>2.2000000000000002</v>
      </c>
      <c r="O5069" s="614">
        <f>20/3600</f>
        <v>5.5555555555555558E-3</v>
      </c>
      <c r="P5069" s="150"/>
      <c r="Q5069" s="150"/>
      <c r="R5069" s="150"/>
      <c r="S5069" s="150"/>
      <c r="T5069" s="150"/>
      <c r="U5069" s="265">
        <f>0.72-V5069</f>
        <v>0.21999999999999997</v>
      </c>
      <c r="V5069" s="750">
        <v>0.5</v>
      </c>
      <c r="W5069" s="756"/>
      <c r="X5069" s="752"/>
      <c r="Y5069" s="757"/>
      <c r="Z5069" s="245"/>
      <c r="AA5069" s="150">
        <v>1</v>
      </c>
      <c r="AB5069" s="152"/>
      <c r="AC5069" s="152"/>
      <c r="AD5069" s="154">
        <v>10</v>
      </c>
      <c r="AE5069" s="152"/>
      <c r="AF5069" s="153"/>
      <c r="AG5069" s="153"/>
      <c r="AH5069" s="346"/>
      <c r="AI5069" s="153"/>
      <c r="AJ5069" s="480"/>
      <c r="AK5069" s="153"/>
      <c r="AL5069" s="152"/>
      <c r="AM5069" s="152"/>
      <c r="AN5069" s="152"/>
      <c r="AO5069" s="152"/>
      <c r="AP5069" s="152"/>
      <c r="AQ5069" s="152"/>
      <c r="AR5069" s="152"/>
      <c r="AS5069" s="152"/>
      <c r="AT5069" s="152"/>
      <c r="AU5069" s="218"/>
      <c r="AV5069" s="218"/>
      <c r="AW5069" s="218"/>
      <c r="AX5069" s="218"/>
      <c r="AY5069" s="218"/>
      <c r="AZ5069" s="152"/>
      <c r="BA5069" s="152"/>
      <c r="BB5069" s="152"/>
      <c r="BC5069" s="152"/>
      <c r="BD5069" s="152"/>
      <c r="BE5069" s="152"/>
      <c r="BF5069" s="152"/>
      <c r="BG5069" s="152"/>
      <c r="BH5069" s="152"/>
      <c r="BI5069" s="153"/>
      <c r="BJ5069" s="153"/>
      <c r="BK5069" s="153"/>
      <c r="BL5069" s="153"/>
      <c r="BM5069" s="153"/>
      <c r="BN5069" s="153"/>
      <c r="BO5069" s="153"/>
      <c r="BP5069" s="153"/>
      <c r="BQ5069" s="153"/>
      <c r="BR5069" s="153"/>
      <c r="BS5069" s="153"/>
      <c r="BT5069" s="153"/>
      <c r="BU5069" s="153"/>
      <c r="BV5069" s="153"/>
      <c r="BW5069" s="153"/>
      <c r="BX5069" s="153"/>
      <c r="BY5069" s="153"/>
      <c r="BZ5069" s="153"/>
      <c r="CA5069" s="152"/>
      <c r="CB5069" s="152"/>
    </row>
    <row r="5070" spans="1:80" s="87" customFormat="1" x14ac:dyDescent="0.2">
      <c r="A5070" s="150" t="s">
        <v>104</v>
      </c>
      <c r="B5070" s="683"/>
      <c r="C5070" s="683"/>
      <c r="D5070" s="292"/>
      <c r="E5070" s="215"/>
      <c r="F5070" s="215"/>
      <c r="G5070" s="153"/>
      <c r="H5070" s="153"/>
      <c r="I5070" s="153"/>
      <c r="J5070" s="153"/>
      <c r="K5070" s="153"/>
      <c r="L5070" s="653"/>
      <c r="M5070" s="669">
        <v>31482</v>
      </c>
      <c r="N5070" s="600">
        <v>2.2000000000000002</v>
      </c>
      <c r="O5070" s="614">
        <f>58/3600</f>
        <v>1.6111111111111111E-2</v>
      </c>
      <c r="P5070" s="150"/>
      <c r="Q5070" s="150"/>
      <c r="R5070" s="150"/>
      <c r="S5070" s="150"/>
      <c r="T5070" s="150"/>
      <c r="U5070" s="265">
        <f>0.84-V5070</f>
        <v>0.32999999999999996</v>
      </c>
      <c r="V5070" s="750">
        <v>0.51</v>
      </c>
      <c r="W5070" s="756"/>
      <c r="X5070" s="752"/>
      <c r="Y5070" s="757"/>
      <c r="Z5070" s="245"/>
      <c r="AA5070" s="150">
        <v>1</v>
      </c>
      <c r="AB5070" s="152"/>
      <c r="AC5070" s="152"/>
      <c r="AD5070" s="154">
        <v>10</v>
      </c>
      <c r="AE5070" s="152"/>
      <c r="AF5070" s="153"/>
      <c r="AG5070" s="153"/>
      <c r="AH5070" s="346"/>
      <c r="AI5070" s="153"/>
      <c r="AJ5070" s="480"/>
      <c r="AK5070" s="153"/>
      <c r="AL5070" s="152"/>
      <c r="AM5070" s="152"/>
      <c r="AN5070" s="152"/>
      <c r="AO5070" s="152"/>
      <c r="AP5070" s="152"/>
      <c r="AQ5070" s="152"/>
      <c r="AR5070" s="152"/>
      <c r="AS5070" s="152"/>
      <c r="AT5070" s="152"/>
      <c r="AU5070" s="218"/>
      <c r="AV5070" s="218"/>
      <c r="AW5070" s="218"/>
      <c r="AX5070" s="218"/>
      <c r="AY5070" s="218"/>
      <c r="AZ5070" s="152"/>
      <c r="BA5070" s="152"/>
      <c r="BB5070" s="152"/>
      <c r="BC5070" s="152"/>
      <c r="BD5070" s="152"/>
      <c r="BE5070" s="152"/>
      <c r="BF5070" s="152"/>
      <c r="BG5070" s="152"/>
      <c r="BH5070" s="152"/>
      <c r="BI5070" s="153"/>
      <c r="BJ5070" s="153"/>
      <c r="BK5070" s="153"/>
      <c r="BL5070" s="153"/>
      <c r="BM5070" s="153"/>
      <c r="BN5070" s="153"/>
      <c r="BO5070" s="153"/>
      <c r="BP5070" s="153"/>
      <c r="BQ5070" s="153"/>
      <c r="BR5070" s="153"/>
      <c r="BS5070" s="153"/>
      <c r="BT5070" s="153"/>
      <c r="BU5070" s="153"/>
      <c r="BV5070" s="153"/>
      <c r="BW5070" s="153"/>
      <c r="BX5070" s="153"/>
      <c r="BY5070" s="153"/>
      <c r="BZ5070" s="153"/>
      <c r="CA5070" s="152"/>
      <c r="CB5070" s="152"/>
    </row>
    <row r="5071" spans="1:80" s="87" customFormat="1" x14ac:dyDescent="0.2">
      <c r="A5071" s="150" t="s">
        <v>102</v>
      </c>
      <c r="B5071" s="683"/>
      <c r="C5071" s="683"/>
      <c r="D5071" s="292"/>
      <c r="E5071" s="215"/>
      <c r="F5071" s="215"/>
      <c r="G5071" s="153"/>
      <c r="H5071" s="153"/>
      <c r="I5071" s="153"/>
      <c r="J5071" s="153"/>
      <c r="K5071" s="153"/>
      <c r="L5071" s="653"/>
      <c r="M5071" s="669">
        <v>31482</v>
      </c>
      <c r="N5071" s="600">
        <v>2.48</v>
      </c>
      <c r="O5071" s="614">
        <f>32/3600</f>
        <v>8.8888888888888889E-3</v>
      </c>
      <c r="P5071" s="150"/>
      <c r="Q5071" s="150"/>
      <c r="R5071" s="150"/>
      <c r="S5071" s="150"/>
      <c r="T5071" s="150"/>
      <c r="U5071" s="265">
        <f>0.72-V5071</f>
        <v>0.31</v>
      </c>
      <c r="V5071" s="750">
        <v>0.41</v>
      </c>
      <c r="W5071" s="756"/>
      <c r="X5071" s="752"/>
      <c r="Y5071" s="757"/>
      <c r="Z5071" s="245"/>
      <c r="AA5071" s="150">
        <v>1.5</v>
      </c>
      <c r="AB5071" s="152"/>
      <c r="AC5071" s="152"/>
      <c r="AD5071" s="154">
        <v>10</v>
      </c>
      <c r="AE5071" s="152"/>
      <c r="AF5071" s="153"/>
      <c r="AG5071" s="153"/>
      <c r="AH5071" s="346"/>
      <c r="AI5071" s="153"/>
      <c r="AJ5071" s="480"/>
      <c r="AK5071" s="153"/>
      <c r="AL5071" s="152"/>
      <c r="AM5071" s="152"/>
      <c r="AN5071" s="152"/>
      <c r="AO5071" s="152"/>
      <c r="AP5071" s="152"/>
      <c r="AQ5071" s="152"/>
      <c r="AR5071" s="152"/>
      <c r="AS5071" s="152"/>
      <c r="AT5071" s="152"/>
      <c r="AU5071" s="218"/>
      <c r="AV5071" s="218"/>
      <c r="AW5071" s="218"/>
      <c r="AX5071" s="218"/>
      <c r="AY5071" s="218"/>
      <c r="AZ5071" s="152"/>
      <c r="BA5071" s="152"/>
      <c r="BB5071" s="152"/>
      <c r="BC5071" s="152"/>
      <c r="BD5071" s="152"/>
      <c r="BE5071" s="152"/>
      <c r="BF5071" s="152"/>
      <c r="BG5071" s="152"/>
      <c r="BH5071" s="152"/>
      <c r="BI5071" s="153"/>
      <c r="BJ5071" s="153"/>
      <c r="BK5071" s="153"/>
      <c r="BL5071" s="153"/>
      <c r="BM5071" s="153"/>
      <c r="BN5071" s="153"/>
      <c r="BO5071" s="153"/>
      <c r="BP5071" s="153"/>
      <c r="BQ5071" s="153"/>
      <c r="BR5071" s="153"/>
      <c r="BS5071" s="153"/>
      <c r="BT5071" s="153"/>
      <c r="BU5071" s="153"/>
      <c r="BV5071" s="153"/>
      <c r="BW5071" s="153"/>
      <c r="BX5071" s="153"/>
      <c r="BY5071" s="153"/>
      <c r="BZ5071" s="153"/>
      <c r="CA5071" s="152"/>
      <c r="CB5071" s="152"/>
    </row>
    <row r="5072" spans="1:80" s="87" customFormat="1" x14ac:dyDescent="0.2">
      <c r="A5072" s="150" t="s">
        <v>103</v>
      </c>
      <c r="B5072" s="683"/>
      <c r="C5072" s="683"/>
      <c r="D5072" s="292"/>
      <c r="E5072" s="215"/>
      <c r="F5072" s="215"/>
      <c r="G5072" s="153"/>
      <c r="H5072" s="153"/>
      <c r="I5072" s="153"/>
      <c r="J5072" s="153"/>
      <c r="K5072" s="153"/>
      <c r="L5072" s="653"/>
      <c r="M5072" s="669">
        <v>31482</v>
      </c>
      <c r="N5072" s="600">
        <v>2.48</v>
      </c>
      <c r="O5072" s="614">
        <f>15/3600</f>
        <v>4.1666666666666666E-3</v>
      </c>
      <c r="P5072" s="150"/>
      <c r="Q5072" s="150"/>
      <c r="R5072" s="150"/>
      <c r="S5072" s="150"/>
      <c r="T5072" s="150"/>
      <c r="U5072" s="265">
        <f>0.88-V5072</f>
        <v>0.29000000000000004</v>
      </c>
      <c r="V5072" s="750">
        <v>0.59</v>
      </c>
      <c r="W5072" s="756"/>
      <c r="X5072" s="752"/>
      <c r="Y5072" s="757"/>
      <c r="Z5072" s="245"/>
      <c r="AA5072" s="150">
        <v>0.9</v>
      </c>
      <c r="AB5072" s="152"/>
      <c r="AC5072" s="152"/>
      <c r="AD5072" s="154">
        <v>10</v>
      </c>
      <c r="AE5072" s="152"/>
      <c r="AF5072" s="153"/>
      <c r="AG5072" s="153"/>
      <c r="AH5072" s="346"/>
      <c r="AI5072" s="153"/>
      <c r="AJ5072" s="480"/>
      <c r="AK5072" s="153"/>
      <c r="AL5072" s="152"/>
      <c r="AM5072" s="152"/>
      <c r="AN5072" s="152"/>
      <c r="AO5072" s="152"/>
      <c r="AP5072" s="152"/>
      <c r="AQ5072" s="152"/>
      <c r="AR5072" s="152"/>
      <c r="AS5072" s="152"/>
      <c r="AT5072" s="152"/>
      <c r="AU5072" s="218"/>
      <c r="AV5072" s="218"/>
      <c r="AW5072" s="218"/>
      <c r="AX5072" s="218"/>
      <c r="AY5072" s="218"/>
      <c r="AZ5072" s="152"/>
      <c r="BA5072" s="152"/>
      <c r="BB5072" s="152"/>
      <c r="BC5072" s="152"/>
      <c r="BD5072" s="152"/>
      <c r="BE5072" s="152"/>
      <c r="BF5072" s="152"/>
      <c r="BG5072" s="152"/>
      <c r="BH5072" s="152"/>
      <c r="BI5072" s="153"/>
      <c r="BJ5072" s="153"/>
      <c r="BK5072" s="153"/>
      <c r="BL5072" s="153"/>
      <c r="BM5072" s="153"/>
      <c r="BN5072" s="153"/>
      <c r="BO5072" s="153"/>
      <c r="BP5072" s="153"/>
      <c r="BQ5072" s="153"/>
      <c r="BR5072" s="153"/>
      <c r="BS5072" s="153"/>
      <c r="BT5072" s="153"/>
      <c r="BU5072" s="153"/>
      <c r="BV5072" s="153"/>
      <c r="BW5072" s="153"/>
      <c r="BX5072" s="153"/>
      <c r="BY5072" s="153"/>
      <c r="BZ5072" s="153"/>
      <c r="CA5072" s="152"/>
      <c r="CB5072" s="152"/>
    </row>
    <row r="5073" spans="1:80" s="87" customFormat="1" x14ac:dyDescent="0.2">
      <c r="A5073" s="150" t="s">
        <v>104</v>
      </c>
      <c r="B5073" s="683"/>
      <c r="C5073" s="683"/>
      <c r="D5073" s="292"/>
      <c r="E5073" s="215"/>
      <c r="F5073" s="215"/>
      <c r="G5073" s="153"/>
      <c r="H5073" s="153"/>
      <c r="I5073" s="153"/>
      <c r="J5073" s="153"/>
      <c r="K5073" s="153"/>
      <c r="L5073" s="653"/>
      <c r="M5073" s="669">
        <v>31482</v>
      </c>
      <c r="N5073" s="600">
        <v>2.48</v>
      </c>
      <c r="O5073" s="614">
        <f>69/3600</f>
        <v>1.9166666666666665E-2</v>
      </c>
      <c r="P5073" s="150"/>
      <c r="Q5073" s="150"/>
      <c r="R5073" s="150"/>
      <c r="S5073" s="150"/>
      <c r="T5073" s="150"/>
      <c r="U5073" s="265">
        <f>0.68-V5073</f>
        <v>0.35000000000000003</v>
      </c>
      <c r="V5073" s="750">
        <v>0.33</v>
      </c>
      <c r="W5073" s="756"/>
      <c r="X5073" s="752"/>
      <c r="Y5073" s="757"/>
      <c r="Z5073" s="245"/>
      <c r="AA5073" s="150">
        <v>1.9</v>
      </c>
      <c r="AB5073" s="152"/>
      <c r="AC5073" s="152"/>
      <c r="AD5073" s="154">
        <v>10</v>
      </c>
      <c r="AE5073" s="152"/>
      <c r="AF5073" s="153"/>
      <c r="AG5073" s="153"/>
      <c r="AH5073" s="346"/>
      <c r="AI5073" s="153"/>
      <c r="AJ5073" s="480"/>
      <c r="AK5073" s="153"/>
      <c r="AL5073" s="152"/>
      <c r="AM5073" s="152"/>
      <c r="AN5073" s="152"/>
      <c r="AO5073" s="152"/>
      <c r="AP5073" s="152"/>
      <c r="AQ5073" s="152"/>
      <c r="AR5073" s="152"/>
      <c r="AS5073" s="152"/>
      <c r="AT5073" s="152"/>
      <c r="AU5073" s="218"/>
      <c r="AV5073" s="218"/>
      <c r="AW5073" s="218"/>
      <c r="AX5073" s="218"/>
      <c r="AY5073" s="218"/>
      <c r="AZ5073" s="152"/>
      <c r="BA5073" s="152"/>
      <c r="BB5073" s="152"/>
      <c r="BC5073" s="152"/>
      <c r="BD5073" s="152"/>
      <c r="BE5073" s="152"/>
      <c r="BF5073" s="152"/>
      <c r="BG5073" s="152"/>
      <c r="BH5073" s="152"/>
      <c r="BI5073" s="153"/>
      <c r="BJ5073" s="153"/>
      <c r="BK5073" s="153"/>
      <c r="BL5073" s="153"/>
      <c r="BM5073" s="153"/>
      <c r="BN5073" s="153"/>
      <c r="BO5073" s="153"/>
      <c r="BP5073" s="153"/>
      <c r="BQ5073" s="153"/>
      <c r="BR5073" s="153"/>
      <c r="BS5073" s="153"/>
      <c r="BT5073" s="153"/>
      <c r="BU5073" s="153"/>
      <c r="BV5073" s="153"/>
      <c r="BW5073" s="153"/>
      <c r="BX5073" s="153"/>
      <c r="BY5073" s="153"/>
      <c r="BZ5073" s="153"/>
      <c r="CA5073" s="152"/>
      <c r="CB5073" s="152"/>
    </row>
    <row r="5074" spans="1:80" s="87" customFormat="1" x14ac:dyDescent="0.2">
      <c r="A5074" s="150" t="s">
        <v>102</v>
      </c>
      <c r="B5074" s="683"/>
      <c r="C5074" s="683"/>
      <c r="D5074" s="292"/>
      <c r="E5074" s="215"/>
      <c r="F5074" s="215"/>
      <c r="G5074" s="153"/>
      <c r="H5074" s="153"/>
      <c r="I5074" s="153"/>
      <c r="J5074" s="153"/>
      <c r="K5074" s="153"/>
      <c r="L5074" s="653"/>
      <c r="M5074" s="669">
        <v>31484</v>
      </c>
      <c r="N5074" s="600">
        <v>3.94</v>
      </c>
      <c r="O5074" s="614">
        <f>1900/3600</f>
        <v>0.52777777777777779</v>
      </c>
      <c r="P5074" s="150"/>
      <c r="Q5074" s="150"/>
      <c r="R5074" s="150"/>
      <c r="S5074" s="150"/>
      <c r="T5074" s="150"/>
      <c r="U5074" s="265">
        <f>0.71-V5074</f>
        <v>0.42</v>
      </c>
      <c r="V5074" s="750">
        <v>0.28999999999999998</v>
      </c>
      <c r="W5074" s="756"/>
      <c r="X5074" s="752"/>
      <c r="Y5074" s="757"/>
      <c r="Z5074" s="245"/>
      <c r="AA5074" s="150">
        <v>3.1</v>
      </c>
      <c r="AB5074" s="152"/>
      <c r="AC5074" s="152"/>
      <c r="AD5074" s="154">
        <v>10</v>
      </c>
      <c r="AE5074" s="152"/>
      <c r="AF5074" s="153"/>
      <c r="AG5074" s="153"/>
      <c r="AH5074" s="346"/>
      <c r="AI5074" s="153"/>
      <c r="AJ5074" s="480"/>
      <c r="AK5074" s="153"/>
      <c r="AL5074" s="152"/>
      <c r="AM5074" s="152"/>
      <c r="AN5074" s="152"/>
      <c r="AO5074" s="152"/>
      <c r="AP5074" s="152"/>
      <c r="AQ5074" s="152"/>
      <c r="AR5074" s="152"/>
      <c r="AS5074" s="152"/>
      <c r="AT5074" s="152"/>
      <c r="AU5074" s="218"/>
      <c r="AV5074" s="218"/>
      <c r="AW5074" s="218"/>
      <c r="AX5074" s="218"/>
      <c r="AY5074" s="218"/>
      <c r="AZ5074" s="152"/>
      <c r="BA5074" s="152"/>
      <c r="BB5074" s="152"/>
      <c r="BC5074" s="152"/>
      <c r="BD5074" s="152"/>
      <c r="BE5074" s="152"/>
      <c r="BF5074" s="152"/>
      <c r="BG5074" s="152"/>
      <c r="BH5074" s="152"/>
      <c r="BI5074" s="153"/>
      <c r="BJ5074" s="153"/>
      <c r="BK5074" s="153"/>
      <c r="BL5074" s="153"/>
      <c r="BM5074" s="153"/>
      <c r="BN5074" s="153"/>
      <c r="BO5074" s="153"/>
      <c r="BP5074" s="153"/>
      <c r="BQ5074" s="153"/>
      <c r="BR5074" s="153"/>
      <c r="BS5074" s="153"/>
      <c r="BT5074" s="153"/>
      <c r="BU5074" s="153"/>
      <c r="BV5074" s="153"/>
      <c r="BW5074" s="153"/>
      <c r="BX5074" s="153"/>
      <c r="BY5074" s="153"/>
      <c r="BZ5074" s="153"/>
      <c r="CA5074" s="152"/>
      <c r="CB5074" s="152"/>
    </row>
    <row r="5075" spans="1:80" s="87" customFormat="1" x14ac:dyDescent="0.2">
      <c r="A5075" s="150" t="s">
        <v>103</v>
      </c>
      <c r="B5075" s="683"/>
      <c r="C5075" s="683"/>
      <c r="D5075" s="292"/>
      <c r="E5075" s="215"/>
      <c r="F5075" s="215"/>
      <c r="G5075" s="153"/>
      <c r="H5075" s="153"/>
      <c r="I5075" s="153"/>
      <c r="J5075" s="153"/>
      <c r="K5075" s="153"/>
      <c r="L5075" s="653"/>
      <c r="M5075" s="669">
        <v>31484</v>
      </c>
      <c r="N5075" s="600">
        <v>3.96</v>
      </c>
      <c r="O5075" s="614">
        <f>1200/3600</f>
        <v>0.33333333333333331</v>
      </c>
      <c r="P5075" s="150"/>
      <c r="Q5075" s="150"/>
      <c r="R5075" s="150"/>
      <c r="S5075" s="150"/>
      <c r="T5075" s="150"/>
      <c r="U5075" s="265">
        <f>0.63-V5075</f>
        <v>0.44</v>
      </c>
      <c r="V5075" s="750">
        <v>0.19</v>
      </c>
      <c r="W5075" s="756"/>
      <c r="X5075" s="752"/>
      <c r="Y5075" s="757"/>
      <c r="Z5075" s="245"/>
      <c r="AA5075" s="150">
        <v>3.2</v>
      </c>
      <c r="AB5075" s="152"/>
      <c r="AC5075" s="152"/>
      <c r="AD5075" s="154">
        <v>10</v>
      </c>
      <c r="AE5075" s="152"/>
      <c r="AF5075" s="153"/>
      <c r="AG5075" s="153"/>
      <c r="AH5075" s="346"/>
      <c r="AI5075" s="153"/>
      <c r="AJ5075" s="480"/>
      <c r="AK5075" s="153"/>
      <c r="AL5075" s="152"/>
      <c r="AM5075" s="152"/>
      <c r="AN5075" s="152"/>
      <c r="AO5075" s="152"/>
      <c r="AP5075" s="152"/>
      <c r="AQ5075" s="152"/>
      <c r="AR5075" s="152"/>
      <c r="AS5075" s="152"/>
      <c r="AT5075" s="152"/>
      <c r="AU5075" s="218"/>
      <c r="AV5075" s="218"/>
      <c r="AW5075" s="218"/>
      <c r="AX5075" s="218"/>
      <c r="AY5075" s="218"/>
      <c r="AZ5075" s="152"/>
      <c r="BA5075" s="152"/>
      <c r="BB5075" s="152"/>
      <c r="BC5075" s="152"/>
      <c r="BD5075" s="152"/>
      <c r="BE5075" s="152"/>
      <c r="BF5075" s="152"/>
      <c r="BG5075" s="152"/>
      <c r="BH5075" s="152"/>
      <c r="BI5075" s="153"/>
      <c r="BJ5075" s="153"/>
      <c r="BK5075" s="153"/>
      <c r="BL5075" s="153"/>
      <c r="BM5075" s="153"/>
      <c r="BN5075" s="153"/>
      <c r="BO5075" s="153"/>
      <c r="BP5075" s="153"/>
      <c r="BQ5075" s="153"/>
      <c r="BR5075" s="153"/>
      <c r="BS5075" s="153"/>
      <c r="BT5075" s="153"/>
      <c r="BU5075" s="153"/>
      <c r="BV5075" s="153"/>
      <c r="BW5075" s="153"/>
      <c r="BX5075" s="153"/>
      <c r="BY5075" s="153"/>
      <c r="BZ5075" s="153"/>
      <c r="CA5075" s="152"/>
      <c r="CB5075" s="152"/>
    </row>
    <row r="5076" spans="1:80" s="87" customFormat="1" x14ac:dyDescent="0.2">
      <c r="A5076" s="150" t="s">
        <v>104</v>
      </c>
      <c r="B5076" s="683"/>
      <c r="C5076" s="683"/>
      <c r="D5076" s="292"/>
      <c r="E5076" s="215"/>
      <c r="F5076" s="215"/>
      <c r="G5076" s="153"/>
      <c r="H5076" s="153"/>
      <c r="I5076" s="153"/>
      <c r="J5076" s="153"/>
      <c r="K5076" s="153"/>
      <c r="L5076" s="653"/>
      <c r="M5076" s="669">
        <v>31484</v>
      </c>
      <c r="N5076" s="600">
        <v>3.99</v>
      </c>
      <c r="O5076" s="614">
        <f>1100/3600</f>
        <v>0.30555555555555558</v>
      </c>
      <c r="P5076" s="150"/>
      <c r="Q5076" s="150"/>
      <c r="R5076" s="150"/>
      <c r="S5076" s="150"/>
      <c r="T5076" s="150"/>
      <c r="U5076" s="265">
        <f>0.69-V5076</f>
        <v>0.48</v>
      </c>
      <c r="V5076" s="750">
        <v>0.21</v>
      </c>
      <c r="W5076" s="756"/>
      <c r="X5076" s="752"/>
      <c r="Y5076" s="757"/>
      <c r="Z5076" s="245"/>
      <c r="AA5076" s="150">
        <v>2.6</v>
      </c>
      <c r="AB5076" s="152"/>
      <c r="AC5076" s="152"/>
      <c r="AD5076" s="154">
        <v>10</v>
      </c>
      <c r="AE5076" s="152"/>
      <c r="AF5076" s="153"/>
      <c r="AG5076" s="153"/>
      <c r="AH5076" s="346"/>
      <c r="AI5076" s="153"/>
      <c r="AJ5076" s="480"/>
      <c r="AK5076" s="153"/>
      <c r="AL5076" s="152"/>
      <c r="AM5076" s="152"/>
      <c r="AN5076" s="152"/>
      <c r="AO5076" s="152"/>
      <c r="AP5076" s="152"/>
      <c r="AQ5076" s="152"/>
      <c r="AR5076" s="152"/>
      <c r="AS5076" s="152"/>
      <c r="AT5076" s="152"/>
      <c r="AU5076" s="218"/>
      <c r="AV5076" s="218"/>
      <c r="AW5076" s="218"/>
      <c r="AX5076" s="218"/>
      <c r="AY5076" s="218"/>
      <c r="AZ5076" s="152"/>
      <c r="BA5076" s="152"/>
      <c r="BB5076" s="152"/>
      <c r="BC5076" s="152"/>
      <c r="BD5076" s="152"/>
      <c r="BE5076" s="152"/>
      <c r="BF5076" s="152"/>
      <c r="BG5076" s="152"/>
      <c r="BH5076" s="152"/>
      <c r="BI5076" s="153"/>
      <c r="BJ5076" s="153"/>
      <c r="BK5076" s="153"/>
      <c r="BL5076" s="153"/>
      <c r="BM5076" s="153"/>
      <c r="BN5076" s="153"/>
      <c r="BO5076" s="153"/>
      <c r="BP5076" s="153"/>
      <c r="BQ5076" s="153"/>
      <c r="BR5076" s="153"/>
      <c r="BS5076" s="153"/>
      <c r="BT5076" s="153"/>
      <c r="BU5076" s="153"/>
      <c r="BV5076" s="153"/>
      <c r="BW5076" s="153"/>
      <c r="BX5076" s="153"/>
      <c r="BY5076" s="153"/>
      <c r="BZ5076" s="153"/>
      <c r="CA5076" s="152"/>
      <c r="CB5076" s="152"/>
    </row>
    <row r="5077" spans="1:80" s="87" customFormat="1" x14ac:dyDescent="0.2">
      <c r="A5077" s="150" t="s">
        <v>102</v>
      </c>
      <c r="B5077" s="683"/>
      <c r="C5077" s="683"/>
      <c r="D5077" s="292"/>
      <c r="E5077" s="215"/>
      <c r="F5077" s="215"/>
      <c r="G5077" s="153"/>
      <c r="H5077" s="153"/>
      <c r="I5077" s="153"/>
      <c r="J5077" s="153"/>
      <c r="K5077" s="153"/>
      <c r="L5077" s="653"/>
      <c r="M5077" s="669">
        <v>31486</v>
      </c>
      <c r="N5077" s="600">
        <v>2.85</v>
      </c>
      <c r="O5077" s="614">
        <f>66/3600</f>
        <v>1.8333333333333333E-2</v>
      </c>
      <c r="P5077" s="150"/>
      <c r="Q5077" s="150"/>
      <c r="R5077" s="150"/>
      <c r="S5077" s="150"/>
      <c r="T5077" s="150"/>
      <c r="U5077" s="265">
        <f>0.59-V5077</f>
        <v>0.38</v>
      </c>
      <c r="V5077" s="750">
        <v>0.21</v>
      </c>
      <c r="W5077" s="756"/>
      <c r="X5077" s="752"/>
      <c r="Y5077" s="757"/>
      <c r="Z5077" s="245"/>
      <c r="AA5077" s="150">
        <v>3.2</v>
      </c>
      <c r="AB5077" s="152"/>
      <c r="AC5077" s="152"/>
      <c r="AD5077" s="154">
        <v>10</v>
      </c>
      <c r="AE5077" s="152"/>
      <c r="AF5077" s="153"/>
      <c r="AG5077" s="153"/>
      <c r="AH5077" s="346"/>
      <c r="AI5077" s="153"/>
      <c r="AJ5077" s="480"/>
      <c r="AK5077" s="153"/>
      <c r="AL5077" s="152"/>
      <c r="AM5077" s="152"/>
      <c r="AN5077" s="152"/>
      <c r="AO5077" s="152"/>
      <c r="AP5077" s="152"/>
      <c r="AQ5077" s="152"/>
      <c r="AR5077" s="152"/>
      <c r="AS5077" s="152"/>
      <c r="AT5077" s="152"/>
      <c r="AU5077" s="218"/>
      <c r="AV5077" s="218"/>
      <c r="AW5077" s="218"/>
      <c r="AX5077" s="218"/>
      <c r="AY5077" s="218"/>
      <c r="AZ5077" s="152"/>
      <c r="BA5077" s="152"/>
      <c r="BB5077" s="152"/>
      <c r="BC5077" s="152"/>
      <c r="BD5077" s="152"/>
      <c r="BE5077" s="152"/>
      <c r="BF5077" s="152"/>
      <c r="BG5077" s="152"/>
      <c r="BH5077" s="152"/>
      <c r="BI5077" s="153"/>
      <c r="BJ5077" s="153"/>
      <c r="BK5077" s="153"/>
      <c r="BL5077" s="153"/>
      <c r="BM5077" s="153"/>
      <c r="BN5077" s="153"/>
      <c r="BO5077" s="153"/>
      <c r="BP5077" s="153"/>
      <c r="BQ5077" s="153"/>
      <c r="BR5077" s="153"/>
      <c r="BS5077" s="153"/>
      <c r="BT5077" s="153"/>
      <c r="BU5077" s="153"/>
      <c r="BV5077" s="153"/>
      <c r="BW5077" s="153"/>
      <c r="BX5077" s="153"/>
      <c r="BY5077" s="153"/>
      <c r="BZ5077" s="153"/>
      <c r="CA5077" s="152"/>
      <c r="CB5077" s="152"/>
    </row>
    <row r="5078" spans="1:80" s="87" customFormat="1" x14ac:dyDescent="0.2">
      <c r="A5078" s="150" t="s">
        <v>103</v>
      </c>
      <c r="B5078" s="683"/>
      <c r="C5078" s="683"/>
      <c r="D5078" s="292"/>
      <c r="E5078" s="215"/>
      <c r="F5078" s="215"/>
      <c r="G5078" s="153"/>
      <c r="H5078" s="153"/>
      <c r="I5078" s="153"/>
      <c r="J5078" s="153"/>
      <c r="K5078" s="153"/>
      <c r="L5078" s="653"/>
      <c r="M5078" s="669">
        <v>31486</v>
      </c>
      <c r="N5078" s="600">
        <v>2.85</v>
      </c>
      <c r="O5078" s="614">
        <f>830/3600</f>
        <v>0.23055555555555557</v>
      </c>
      <c r="P5078" s="150"/>
      <c r="Q5078" s="150"/>
      <c r="R5078" s="150"/>
      <c r="S5078" s="150"/>
      <c r="T5078" s="150"/>
      <c r="U5078" s="265">
        <f>0.79-V5078</f>
        <v>0.47000000000000003</v>
      </c>
      <c r="V5078" s="750">
        <v>0.32</v>
      </c>
      <c r="W5078" s="756"/>
      <c r="X5078" s="752"/>
      <c r="Y5078" s="757"/>
      <c r="Z5078" s="245"/>
      <c r="AA5078" s="150">
        <v>1.8</v>
      </c>
      <c r="AB5078" s="152"/>
      <c r="AC5078" s="152"/>
      <c r="AD5078" s="154">
        <v>10</v>
      </c>
      <c r="AE5078" s="152"/>
      <c r="AF5078" s="153"/>
      <c r="AG5078" s="153"/>
      <c r="AH5078" s="346"/>
      <c r="AI5078" s="153"/>
      <c r="AJ5078" s="480"/>
      <c r="AK5078" s="153"/>
      <c r="AL5078" s="152"/>
      <c r="AM5078" s="152"/>
      <c r="AN5078" s="152"/>
      <c r="AO5078" s="152"/>
      <c r="AP5078" s="152"/>
      <c r="AQ5078" s="152"/>
      <c r="AR5078" s="152"/>
      <c r="AS5078" s="152"/>
      <c r="AT5078" s="152"/>
      <c r="AU5078" s="218"/>
      <c r="AV5078" s="218"/>
      <c r="AW5078" s="218"/>
      <c r="AX5078" s="218"/>
      <c r="AY5078" s="218"/>
      <c r="AZ5078" s="152"/>
      <c r="BA5078" s="152"/>
      <c r="BB5078" s="152"/>
      <c r="BC5078" s="152"/>
      <c r="BD5078" s="152"/>
      <c r="BE5078" s="152"/>
      <c r="BF5078" s="152"/>
      <c r="BG5078" s="152"/>
      <c r="BH5078" s="152"/>
      <c r="BI5078" s="153"/>
      <c r="BJ5078" s="153"/>
      <c r="BK5078" s="153"/>
      <c r="BL5078" s="153"/>
      <c r="BM5078" s="153"/>
      <c r="BN5078" s="153"/>
      <c r="BO5078" s="153"/>
      <c r="BP5078" s="153"/>
      <c r="BQ5078" s="153"/>
      <c r="BR5078" s="153"/>
      <c r="BS5078" s="153"/>
      <c r="BT5078" s="153"/>
      <c r="BU5078" s="153"/>
      <c r="BV5078" s="153"/>
      <c r="BW5078" s="153"/>
      <c r="BX5078" s="153"/>
      <c r="BY5078" s="153"/>
      <c r="BZ5078" s="153"/>
      <c r="CA5078" s="152"/>
      <c r="CB5078" s="152"/>
    </row>
    <row r="5079" spans="1:80" s="87" customFormat="1" x14ac:dyDescent="0.2">
      <c r="A5079" s="150" t="s">
        <v>104</v>
      </c>
      <c r="B5079" s="683"/>
      <c r="C5079" s="683"/>
      <c r="D5079" s="292"/>
      <c r="E5079" s="215"/>
      <c r="F5079" s="215"/>
      <c r="G5079" s="153"/>
      <c r="H5079" s="153"/>
      <c r="I5079" s="153"/>
      <c r="J5079" s="153"/>
      <c r="K5079" s="153"/>
      <c r="L5079" s="653"/>
      <c r="M5079" s="669">
        <v>31486</v>
      </c>
      <c r="N5079" s="600">
        <v>2.88</v>
      </c>
      <c r="O5079" s="614">
        <f>3200/3600</f>
        <v>0.88888888888888884</v>
      </c>
      <c r="P5079" s="150"/>
      <c r="Q5079" s="150"/>
      <c r="R5079" s="150"/>
      <c r="S5079" s="150"/>
      <c r="T5079" s="150"/>
      <c r="U5079" s="265">
        <f>0.75-V5079</f>
        <v>0.57999999999999996</v>
      </c>
      <c r="V5079" s="750">
        <v>0.17</v>
      </c>
      <c r="W5079" s="756"/>
      <c r="X5079" s="752"/>
      <c r="Y5079" s="757"/>
      <c r="Z5079" s="245"/>
      <c r="AA5079" s="150">
        <v>2.6</v>
      </c>
      <c r="AB5079" s="152"/>
      <c r="AC5079" s="152"/>
      <c r="AD5079" s="154">
        <v>10</v>
      </c>
      <c r="AE5079" s="152"/>
      <c r="AF5079" s="153"/>
      <c r="AG5079" s="153"/>
      <c r="AH5079" s="346"/>
      <c r="AI5079" s="153"/>
      <c r="AJ5079" s="480"/>
      <c r="AK5079" s="153"/>
      <c r="AL5079" s="152"/>
      <c r="AM5079" s="152"/>
      <c r="AN5079" s="152"/>
      <c r="AO5079" s="152"/>
      <c r="AP5079" s="152"/>
      <c r="AQ5079" s="152"/>
      <c r="AR5079" s="152"/>
      <c r="AS5079" s="152"/>
      <c r="AT5079" s="152"/>
      <c r="AU5079" s="218"/>
      <c r="AV5079" s="218"/>
      <c r="AW5079" s="218"/>
      <c r="AX5079" s="218"/>
      <c r="AY5079" s="218"/>
      <c r="AZ5079" s="152"/>
      <c r="BA5079" s="152"/>
      <c r="BB5079" s="152"/>
      <c r="BC5079" s="152"/>
      <c r="BD5079" s="152"/>
      <c r="BE5079" s="152"/>
      <c r="BF5079" s="152"/>
      <c r="BG5079" s="152"/>
      <c r="BH5079" s="152"/>
      <c r="BI5079" s="153"/>
      <c r="BJ5079" s="153"/>
      <c r="BK5079" s="153"/>
      <c r="BL5079" s="153"/>
      <c r="BM5079" s="153"/>
      <c r="BN5079" s="153"/>
      <c r="BO5079" s="153"/>
      <c r="BP5079" s="153"/>
      <c r="BQ5079" s="153"/>
      <c r="BR5079" s="153"/>
      <c r="BS5079" s="153"/>
      <c r="BT5079" s="153"/>
      <c r="BU5079" s="153"/>
      <c r="BV5079" s="153"/>
      <c r="BW5079" s="153"/>
      <c r="BX5079" s="153"/>
      <c r="BY5079" s="153"/>
      <c r="BZ5079" s="153"/>
      <c r="CA5079" s="152"/>
      <c r="CB5079" s="152"/>
    </row>
    <row r="5080" spans="1:80" s="87" customFormat="1" x14ac:dyDescent="0.2">
      <c r="A5080" s="150" t="s">
        <v>102</v>
      </c>
      <c r="B5080" s="683"/>
      <c r="C5080" s="683"/>
      <c r="D5080" s="292"/>
      <c r="E5080" s="215"/>
      <c r="F5080" s="215"/>
      <c r="G5080" s="153"/>
      <c r="H5080" s="153"/>
      <c r="I5080" s="153"/>
      <c r="J5080" s="153"/>
      <c r="K5080" s="153"/>
      <c r="L5080" s="653"/>
      <c r="M5080" s="669">
        <v>31487</v>
      </c>
      <c r="N5080" s="600">
        <v>2.39</v>
      </c>
      <c r="O5080" s="614">
        <f>34/3600</f>
        <v>9.4444444444444445E-3</v>
      </c>
      <c r="P5080" s="150"/>
      <c r="Q5080" s="150"/>
      <c r="R5080" s="150"/>
      <c r="S5080" s="150"/>
      <c r="T5080" s="150"/>
      <c r="U5080" s="265">
        <f>0.67-V5080</f>
        <v>0.26000000000000006</v>
      </c>
      <c r="V5080" s="750">
        <v>0.41</v>
      </c>
      <c r="W5080" s="756"/>
      <c r="X5080" s="752"/>
      <c r="Y5080" s="757"/>
      <c r="Z5080" s="245"/>
      <c r="AA5080" s="150">
        <v>1.6</v>
      </c>
      <c r="AB5080" s="152"/>
      <c r="AC5080" s="152"/>
      <c r="AD5080" s="154">
        <v>10</v>
      </c>
      <c r="AE5080" s="152"/>
      <c r="AF5080" s="153"/>
      <c r="AG5080" s="153"/>
      <c r="AH5080" s="346"/>
      <c r="AI5080" s="153"/>
      <c r="AJ5080" s="480"/>
      <c r="AK5080" s="153"/>
      <c r="AL5080" s="152"/>
      <c r="AM5080" s="152"/>
      <c r="AN5080" s="152"/>
      <c r="AO5080" s="152"/>
      <c r="AP5080" s="152"/>
      <c r="AQ5080" s="152"/>
      <c r="AR5080" s="152"/>
      <c r="AS5080" s="152"/>
      <c r="AT5080" s="152"/>
      <c r="AU5080" s="218"/>
      <c r="AV5080" s="218"/>
      <c r="AW5080" s="218"/>
      <c r="AX5080" s="218"/>
      <c r="AY5080" s="218"/>
      <c r="AZ5080" s="152"/>
      <c r="BA5080" s="152"/>
      <c r="BB5080" s="152"/>
      <c r="BC5080" s="152"/>
      <c r="BD5080" s="152"/>
      <c r="BE5080" s="152"/>
      <c r="BF5080" s="152"/>
      <c r="BG5080" s="152"/>
      <c r="BH5080" s="152"/>
      <c r="BI5080" s="153"/>
      <c r="BJ5080" s="153"/>
      <c r="BK5080" s="153"/>
      <c r="BL5080" s="153"/>
      <c r="BM5080" s="153"/>
      <c r="BN5080" s="153"/>
      <c r="BO5080" s="153"/>
      <c r="BP5080" s="153"/>
      <c r="BQ5080" s="153"/>
      <c r="BR5080" s="153"/>
      <c r="BS5080" s="153"/>
      <c r="BT5080" s="153"/>
      <c r="BU5080" s="153"/>
      <c r="BV5080" s="153"/>
      <c r="BW5080" s="153"/>
      <c r="BX5080" s="153"/>
      <c r="BY5080" s="153"/>
      <c r="BZ5080" s="153"/>
      <c r="CA5080" s="152"/>
      <c r="CB5080" s="152"/>
    </row>
    <row r="5081" spans="1:80" s="87" customFormat="1" x14ac:dyDescent="0.2">
      <c r="A5081" s="150" t="s">
        <v>103</v>
      </c>
      <c r="B5081" s="683"/>
      <c r="C5081" s="683"/>
      <c r="D5081" s="292"/>
      <c r="E5081" s="215"/>
      <c r="F5081" s="215"/>
      <c r="G5081" s="153"/>
      <c r="H5081" s="153"/>
      <c r="I5081" s="153"/>
      <c r="J5081" s="153"/>
      <c r="K5081" s="153"/>
      <c r="L5081" s="653"/>
      <c r="M5081" s="669">
        <v>31487</v>
      </c>
      <c r="N5081" s="600">
        <v>2.39</v>
      </c>
      <c r="O5081" s="614">
        <f>38/3600</f>
        <v>1.0555555555555556E-2</v>
      </c>
      <c r="P5081" s="150"/>
      <c r="Q5081" s="150"/>
      <c r="R5081" s="150"/>
      <c r="S5081" s="150"/>
      <c r="T5081" s="150"/>
      <c r="U5081" s="265">
        <f>0.82-V5081</f>
        <v>0.37999999999999995</v>
      </c>
      <c r="V5081" s="750">
        <v>0.44</v>
      </c>
      <c r="W5081" s="756"/>
      <c r="X5081" s="752"/>
      <c r="Y5081" s="757"/>
      <c r="Z5081" s="245"/>
      <c r="AA5081" s="150">
        <v>1.2</v>
      </c>
      <c r="AB5081" s="152"/>
      <c r="AC5081" s="152"/>
      <c r="AD5081" s="154">
        <v>10</v>
      </c>
      <c r="AE5081" s="152"/>
      <c r="AF5081" s="153"/>
      <c r="AG5081" s="153"/>
      <c r="AH5081" s="346"/>
      <c r="AI5081" s="153"/>
      <c r="AJ5081" s="480"/>
      <c r="AK5081" s="153"/>
      <c r="AL5081" s="152"/>
      <c r="AM5081" s="152"/>
      <c r="AN5081" s="152"/>
      <c r="AO5081" s="152"/>
      <c r="AP5081" s="152"/>
      <c r="AQ5081" s="152"/>
      <c r="AR5081" s="152"/>
      <c r="AS5081" s="152"/>
      <c r="AT5081" s="152"/>
      <c r="AU5081" s="218"/>
      <c r="AV5081" s="218"/>
      <c r="AW5081" s="218"/>
      <c r="AX5081" s="218"/>
      <c r="AY5081" s="218"/>
      <c r="AZ5081" s="152"/>
      <c r="BA5081" s="152"/>
      <c r="BB5081" s="152"/>
      <c r="BC5081" s="152"/>
      <c r="BD5081" s="152"/>
      <c r="BE5081" s="152"/>
      <c r="BF5081" s="152"/>
      <c r="BG5081" s="152"/>
      <c r="BH5081" s="152"/>
      <c r="BI5081" s="153"/>
      <c r="BJ5081" s="153"/>
      <c r="BK5081" s="153"/>
      <c r="BL5081" s="153"/>
      <c r="BM5081" s="153"/>
      <c r="BN5081" s="153"/>
      <c r="BO5081" s="153"/>
      <c r="BP5081" s="153"/>
      <c r="BQ5081" s="153"/>
      <c r="BR5081" s="153"/>
      <c r="BS5081" s="153"/>
      <c r="BT5081" s="153"/>
      <c r="BU5081" s="153"/>
      <c r="BV5081" s="153"/>
      <c r="BW5081" s="153"/>
      <c r="BX5081" s="153"/>
      <c r="BY5081" s="153"/>
      <c r="BZ5081" s="153"/>
      <c r="CA5081" s="152"/>
      <c r="CB5081" s="152"/>
    </row>
    <row r="5082" spans="1:80" s="87" customFormat="1" x14ac:dyDescent="0.2">
      <c r="A5082" s="150" t="s">
        <v>104</v>
      </c>
      <c r="B5082" s="683"/>
      <c r="C5082" s="683"/>
      <c r="D5082" s="292"/>
      <c r="E5082" s="215"/>
      <c r="F5082" s="215"/>
      <c r="G5082" s="153"/>
      <c r="H5082" s="153"/>
      <c r="I5082" s="153"/>
      <c r="J5082" s="153"/>
      <c r="K5082" s="153"/>
      <c r="L5082" s="653"/>
      <c r="M5082" s="669">
        <v>31487</v>
      </c>
      <c r="N5082" s="600">
        <v>2.39</v>
      </c>
      <c r="O5082" s="614">
        <f>46/3600</f>
        <v>1.2777777777777779E-2</v>
      </c>
      <c r="P5082" s="150"/>
      <c r="Q5082" s="150"/>
      <c r="R5082" s="150"/>
      <c r="S5082" s="150"/>
      <c r="T5082" s="150"/>
      <c r="U5082" s="265">
        <f>0.73-V5082</f>
        <v>0.42</v>
      </c>
      <c r="V5082" s="750">
        <v>0.31</v>
      </c>
      <c r="W5082" s="756"/>
      <c r="X5082" s="752"/>
      <c r="Y5082" s="757"/>
      <c r="Z5082" s="245"/>
      <c r="AA5082" s="150">
        <v>1.8</v>
      </c>
      <c r="AB5082" s="152"/>
      <c r="AC5082" s="152"/>
      <c r="AD5082" s="154">
        <v>10</v>
      </c>
      <c r="AE5082" s="152"/>
      <c r="AF5082" s="153"/>
      <c r="AG5082" s="153"/>
      <c r="AH5082" s="346"/>
      <c r="AI5082" s="153"/>
      <c r="AJ5082" s="480"/>
      <c r="AK5082" s="153"/>
      <c r="AL5082" s="152"/>
      <c r="AM5082" s="152"/>
      <c r="AN5082" s="152"/>
      <c r="AO5082" s="152"/>
      <c r="AP5082" s="152"/>
      <c r="AQ5082" s="152"/>
      <c r="AR5082" s="152"/>
      <c r="AS5082" s="152"/>
      <c r="AT5082" s="152"/>
      <c r="AU5082" s="218"/>
      <c r="AV5082" s="218"/>
      <c r="AW5082" s="218"/>
      <c r="AX5082" s="218"/>
      <c r="AY5082" s="218"/>
      <c r="AZ5082" s="152"/>
      <c r="BA5082" s="152"/>
      <c r="BB5082" s="152"/>
      <c r="BC5082" s="152"/>
      <c r="BD5082" s="152"/>
      <c r="BE5082" s="152"/>
      <c r="BF5082" s="152"/>
      <c r="BG5082" s="152"/>
      <c r="BH5082" s="152"/>
      <c r="BI5082" s="153"/>
      <c r="BJ5082" s="153"/>
      <c r="BK5082" s="153"/>
      <c r="BL5082" s="153"/>
      <c r="BM5082" s="153"/>
      <c r="BN5082" s="153"/>
      <c r="BO5082" s="153"/>
      <c r="BP5082" s="153"/>
      <c r="BQ5082" s="153"/>
      <c r="BR5082" s="153"/>
      <c r="BS5082" s="153"/>
      <c r="BT5082" s="153"/>
      <c r="BU5082" s="153"/>
      <c r="BV5082" s="153"/>
      <c r="BW5082" s="153"/>
      <c r="BX5082" s="153"/>
      <c r="BY5082" s="153"/>
      <c r="BZ5082" s="153"/>
      <c r="CA5082" s="152"/>
      <c r="CB5082" s="152"/>
    </row>
    <row r="5083" spans="1:80" s="87" customFormat="1" x14ac:dyDescent="0.2">
      <c r="A5083" s="150" t="s">
        <v>102</v>
      </c>
      <c r="B5083" s="683"/>
      <c r="C5083" s="683"/>
      <c r="D5083" s="292"/>
      <c r="E5083" s="215"/>
      <c r="F5083" s="215"/>
      <c r="G5083" s="153"/>
      <c r="H5083" s="153"/>
      <c r="I5083" s="153"/>
      <c r="J5083" s="153"/>
      <c r="K5083" s="153"/>
      <c r="L5083" s="653"/>
      <c r="M5083" s="669">
        <v>31489</v>
      </c>
      <c r="N5083" s="600">
        <v>1.84</v>
      </c>
      <c r="O5083" s="614">
        <f>14/3600</f>
        <v>3.8888888888888888E-3</v>
      </c>
      <c r="P5083" s="150"/>
      <c r="Q5083" s="150"/>
      <c r="R5083" s="150"/>
      <c r="S5083" s="150"/>
      <c r="T5083" s="150"/>
      <c r="U5083" s="265">
        <f>0.87-V5083</f>
        <v>0.41</v>
      </c>
      <c r="V5083" s="750">
        <v>0.46</v>
      </c>
      <c r="W5083" s="756"/>
      <c r="X5083" s="752"/>
      <c r="Y5083" s="757"/>
      <c r="Z5083" s="245"/>
      <c r="AA5083" s="150">
        <v>1.1000000000000001</v>
      </c>
      <c r="AB5083" s="152"/>
      <c r="AC5083" s="152"/>
      <c r="AD5083" s="154">
        <v>10</v>
      </c>
      <c r="AE5083" s="152"/>
      <c r="AF5083" s="153"/>
      <c r="AG5083" s="153"/>
      <c r="AH5083" s="346"/>
      <c r="AI5083" s="153"/>
      <c r="AJ5083" s="480"/>
      <c r="AK5083" s="153"/>
      <c r="AL5083" s="152"/>
      <c r="AM5083" s="152"/>
      <c r="AN5083" s="152"/>
      <c r="AO5083" s="152"/>
      <c r="AP5083" s="152"/>
      <c r="AQ5083" s="152"/>
      <c r="AR5083" s="152"/>
      <c r="AS5083" s="152"/>
      <c r="AT5083" s="152"/>
      <c r="AU5083" s="218"/>
      <c r="AV5083" s="218"/>
      <c r="AW5083" s="218"/>
      <c r="AX5083" s="218"/>
      <c r="AY5083" s="218"/>
      <c r="AZ5083" s="152"/>
      <c r="BA5083" s="152"/>
      <c r="BB5083" s="152"/>
      <c r="BC5083" s="152"/>
      <c r="BD5083" s="152"/>
      <c r="BE5083" s="152"/>
      <c r="BF5083" s="152"/>
      <c r="BG5083" s="152"/>
      <c r="BH5083" s="152"/>
      <c r="BI5083" s="153"/>
      <c r="BJ5083" s="153"/>
      <c r="BK5083" s="153"/>
      <c r="BL5083" s="153"/>
      <c r="BM5083" s="153"/>
      <c r="BN5083" s="153"/>
      <c r="BO5083" s="153"/>
      <c r="BP5083" s="153"/>
      <c r="BQ5083" s="153"/>
      <c r="BR5083" s="153"/>
      <c r="BS5083" s="153"/>
      <c r="BT5083" s="153"/>
      <c r="BU5083" s="153"/>
      <c r="BV5083" s="153"/>
      <c r="BW5083" s="153"/>
      <c r="BX5083" s="153"/>
      <c r="BY5083" s="153"/>
      <c r="BZ5083" s="153"/>
      <c r="CA5083" s="152"/>
      <c r="CB5083" s="152"/>
    </row>
    <row r="5084" spans="1:80" s="87" customFormat="1" x14ac:dyDescent="0.2">
      <c r="A5084" s="150" t="s">
        <v>103</v>
      </c>
      <c r="B5084" s="683"/>
      <c r="C5084" s="683"/>
      <c r="D5084" s="292"/>
      <c r="E5084" s="215"/>
      <c r="F5084" s="215"/>
      <c r="G5084" s="153"/>
      <c r="H5084" s="153"/>
      <c r="I5084" s="153"/>
      <c r="J5084" s="153"/>
      <c r="K5084" s="153"/>
      <c r="L5084" s="653"/>
      <c r="M5084" s="669">
        <v>31489</v>
      </c>
      <c r="N5084" s="600">
        <v>1.84</v>
      </c>
      <c r="O5084" s="614">
        <f>17/3600</f>
        <v>4.7222222222222223E-3</v>
      </c>
      <c r="P5084" s="150"/>
      <c r="Q5084" s="150"/>
      <c r="R5084" s="150"/>
      <c r="S5084" s="150"/>
      <c r="T5084" s="150"/>
      <c r="U5084" s="265">
        <f>0.95-V5084</f>
        <v>0.28999999999999992</v>
      </c>
      <c r="V5084" s="750">
        <v>0.66</v>
      </c>
      <c r="W5084" s="756"/>
      <c r="X5084" s="752"/>
      <c r="Y5084" s="757"/>
      <c r="Z5084" s="245"/>
      <c r="AA5084" s="150">
        <v>0.8</v>
      </c>
      <c r="AB5084" s="152"/>
      <c r="AC5084" s="152"/>
      <c r="AD5084" s="154">
        <v>10</v>
      </c>
      <c r="AE5084" s="152"/>
      <c r="AF5084" s="153"/>
      <c r="AG5084" s="153"/>
      <c r="AH5084" s="346"/>
      <c r="AI5084" s="153"/>
      <c r="AJ5084" s="480"/>
      <c r="AK5084" s="153"/>
      <c r="AL5084" s="152"/>
      <c r="AM5084" s="152"/>
      <c r="AN5084" s="152"/>
      <c r="AO5084" s="152"/>
      <c r="AP5084" s="152"/>
      <c r="AQ5084" s="152"/>
      <c r="AR5084" s="152"/>
      <c r="AS5084" s="152"/>
      <c r="AT5084" s="152"/>
      <c r="AU5084" s="218"/>
      <c r="AV5084" s="218"/>
      <c r="AW5084" s="218"/>
      <c r="AX5084" s="218"/>
      <c r="AY5084" s="218"/>
      <c r="AZ5084" s="152"/>
      <c r="BA5084" s="152"/>
      <c r="BB5084" s="152"/>
      <c r="BC5084" s="152"/>
      <c r="BD5084" s="152"/>
      <c r="BE5084" s="152"/>
      <c r="BF5084" s="152"/>
      <c r="BG5084" s="152"/>
      <c r="BH5084" s="152"/>
      <c r="BI5084" s="153"/>
      <c r="BJ5084" s="153"/>
      <c r="BK5084" s="153"/>
      <c r="BL5084" s="153"/>
      <c r="BM5084" s="153"/>
      <c r="BN5084" s="153"/>
      <c r="BO5084" s="153"/>
      <c r="BP5084" s="153"/>
      <c r="BQ5084" s="153"/>
      <c r="BR5084" s="153"/>
      <c r="BS5084" s="153"/>
      <c r="BT5084" s="153"/>
      <c r="BU5084" s="153"/>
      <c r="BV5084" s="153"/>
      <c r="BW5084" s="153"/>
      <c r="BX5084" s="153"/>
      <c r="BY5084" s="153"/>
      <c r="BZ5084" s="153"/>
      <c r="CA5084" s="152"/>
      <c r="CB5084" s="152"/>
    </row>
    <row r="5085" spans="1:80" s="87" customFormat="1" x14ac:dyDescent="0.2">
      <c r="A5085" s="150" t="s">
        <v>104</v>
      </c>
      <c r="B5085" s="683"/>
      <c r="C5085" s="683"/>
      <c r="D5085" s="292"/>
      <c r="E5085" s="215"/>
      <c r="F5085" s="215"/>
      <c r="G5085" s="153"/>
      <c r="H5085" s="153"/>
      <c r="I5085" s="153"/>
      <c r="J5085" s="153"/>
      <c r="K5085" s="153"/>
      <c r="L5085" s="653"/>
      <c r="M5085" s="669">
        <v>31489</v>
      </c>
      <c r="N5085" s="600">
        <v>1.83</v>
      </c>
      <c r="O5085" s="614">
        <f>21/3600</f>
        <v>5.8333333333333336E-3</v>
      </c>
      <c r="P5085" s="150"/>
      <c r="Q5085" s="150"/>
      <c r="R5085" s="150"/>
      <c r="S5085" s="150"/>
      <c r="T5085" s="150"/>
      <c r="U5085" s="265">
        <f>0.85-V5085</f>
        <v>0.42</v>
      </c>
      <c r="V5085" s="750">
        <v>0.43</v>
      </c>
      <c r="W5085" s="756"/>
      <c r="X5085" s="752"/>
      <c r="Y5085" s="757"/>
      <c r="Z5085" s="245"/>
      <c r="AA5085" s="150">
        <v>1.3</v>
      </c>
      <c r="AB5085" s="152"/>
      <c r="AC5085" s="152"/>
      <c r="AD5085" s="154">
        <v>10</v>
      </c>
      <c r="AE5085" s="152"/>
      <c r="AF5085" s="153"/>
      <c r="AG5085" s="153"/>
      <c r="AH5085" s="346"/>
      <c r="AI5085" s="153"/>
      <c r="AJ5085" s="480"/>
      <c r="AK5085" s="153"/>
      <c r="AL5085" s="152"/>
      <c r="AM5085" s="152"/>
      <c r="AN5085" s="152"/>
      <c r="AO5085" s="152"/>
      <c r="AP5085" s="152"/>
      <c r="AQ5085" s="152"/>
      <c r="AR5085" s="152"/>
      <c r="AS5085" s="152"/>
      <c r="AT5085" s="152"/>
      <c r="AU5085" s="218"/>
      <c r="AV5085" s="218"/>
      <c r="AW5085" s="218"/>
      <c r="AX5085" s="218"/>
      <c r="AY5085" s="218"/>
      <c r="AZ5085" s="152"/>
      <c r="BA5085" s="152"/>
      <c r="BB5085" s="152"/>
      <c r="BC5085" s="152"/>
      <c r="BD5085" s="152"/>
      <c r="BE5085" s="152"/>
      <c r="BF5085" s="152"/>
      <c r="BG5085" s="152"/>
      <c r="BH5085" s="152"/>
      <c r="BI5085" s="153"/>
      <c r="BJ5085" s="153"/>
      <c r="BK5085" s="153"/>
      <c r="BL5085" s="153"/>
      <c r="BM5085" s="153"/>
      <c r="BN5085" s="153"/>
      <c r="BO5085" s="153"/>
      <c r="BP5085" s="153"/>
      <c r="BQ5085" s="153"/>
      <c r="BR5085" s="153"/>
      <c r="BS5085" s="153"/>
      <c r="BT5085" s="153"/>
      <c r="BU5085" s="153"/>
      <c r="BV5085" s="153"/>
      <c r="BW5085" s="153"/>
      <c r="BX5085" s="153"/>
      <c r="BY5085" s="153"/>
      <c r="BZ5085" s="153"/>
      <c r="CA5085" s="152"/>
      <c r="CB5085" s="152"/>
    </row>
    <row r="5086" spans="1:80" s="87" customFormat="1" x14ac:dyDescent="0.2">
      <c r="A5086" s="150" t="s">
        <v>102</v>
      </c>
      <c r="B5086" s="683"/>
      <c r="C5086" s="683"/>
      <c r="D5086" s="292"/>
      <c r="E5086" s="215"/>
      <c r="F5086" s="215"/>
      <c r="G5086" s="153"/>
      <c r="H5086" s="153"/>
      <c r="I5086" s="153"/>
      <c r="J5086" s="153"/>
      <c r="K5086" s="153"/>
      <c r="L5086" s="653"/>
      <c r="M5086" s="669">
        <v>31491</v>
      </c>
      <c r="N5086" s="600">
        <v>1.45</v>
      </c>
      <c r="O5086" s="614">
        <f>5.3/3600</f>
        <v>1.4722222222222222E-3</v>
      </c>
      <c r="P5086" s="150"/>
      <c r="Q5086" s="150"/>
      <c r="R5086" s="150"/>
      <c r="S5086" s="150"/>
      <c r="T5086" s="150"/>
      <c r="U5086" s="265">
        <f>0.99-V5086</f>
        <v>0.21999999999999997</v>
      </c>
      <c r="V5086" s="750">
        <v>0.77</v>
      </c>
      <c r="W5086" s="756"/>
      <c r="X5086" s="752"/>
      <c r="Y5086" s="757"/>
      <c r="Z5086" s="245"/>
      <c r="AA5086" s="150">
        <v>0.7</v>
      </c>
      <c r="AB5086" s="152"/>
      <c r="AC5086" s="152"/>
      <c r="AD5086" s="154">
        <v>10</v>
      </c>
      <c r="AE5086" s="152"/>
      <c r="AF5086" s="153"/>
      <c r="AG5086" s="153"/>
      <c r="AH5086" s="346"/>
      <c r="AI5086" s="153"/>
      <c r="AJ5086" s="480"/>
      <c r="AK5086" s="153"/>
      <c r="AL5086" s="152"/>
      <c r="AM5086" s="152"/>
      <c r="AN5086" s="152"/>
      <c r="AO5086" s="152"/>
      <c r="AP5086" s="152"/>
      <c r="AQ5086" s="152"/>
      <c r="AR5086" s="152"/>
      <c r="AS5086" s="152"/>
      <c r="AT5086" s="152"/>
      <c r="AU5086" s="218"/>
      <c r="AV5086" s="218"/>
      <c r="AW5086" s="218"/>
      <c r="AX5086" s="218"/>
      <c r="AY5086" s="218"/>
      <c r="AZ5086" s="152"/>
      <c r="BA5086" s="152"/>
      <c r="BB5086" s="152"/>
      <c r="BC5086" s="152"/>
      <c r="BD5086" s="152"/>
      <c r="BE5086" s="152"/>
      <c r="BF5086" s="152"/>
      <c r="BG5086" s="152"/>
      <c r="BH5086" s="152"/>
      <c r="BI5086" s="153"/>
      <c r="BJ5086" s="153"/>
      <c r="BK5086" s="153"/>
      <c r="BL5086" s="153"/>
      <c r="BM5086" s="153"/>
      <c r="BN5086" s="153"/>
      <c r="BO5086" s="153"/>
      <c r="BP5086" s="153"/>
      <c r="BQ5086" s="153"/>
      <c r="BR5086" s="153"/>
      <c r="BS5086" s="153"/>
      <c r="BT5086" s="153"/>
      <c r="BU5086" s="153"/>
      <c r="BV5086" s="153"/>
      <c r="BW5086" s="153"/>
      <c r="BX5086" s="153"/>
      <c r="BY5086" s="153"/>
      <c r="BZ5086" s="153"/>
      <c r="CA5086" s="152"/>
      <c r="CB5086" s="152"/>
    </row>
    <row r="5087" spans="1:80" s="87" customFormat="1" x14ac:dyDescent="0.2">
      <c r="A5087" s="150" t="s">
        <v>103</v>
      </c>
      <c r="B5087" s="683"/>
      <c r="C5087" s="683"/>
      <c r="D5087" s="292"/>
      <c r="E5087" s="215"/>
      <c r="F5087" s="215"/>
      <c r="G5087" s="153"/>
      <c r="H5087" s="153"/>
      <c r="I5087" s="153"/>
      <c r="J5087" s="153"/>
      <c r="K5087" s="153"/>
      <c r="L5087" s="653"/>
      <c r="M5087" s="669">
        <v>31491</v>
      </c>
      <c r="N5087" s="600">
        <v>1.45</v>
      </c>
      <c r="O5087" s="614">
        <f>8.2/3600</f>
        <v>2.2777777777777774E-3</v>
      </c>
      <c r="P5087" s="150"/>
      <c r="Q5087" s="150"/>
      <c r="R5087" s="150"/>
      <c r="S5087" s="150"/>
      <c r="T5087" s="150"/>
      <c r="U5087" s="265">
        <f>0.95-V5087</f>
        <v>0.47</v>
      </c>
      <c r="V5087" s="750">
        <v>0.48</v>
      </c>
      <c r="W5087" s="756"/>
      <c r="X5087" s="752"/>
      <c r="Y5087" s="757"/>
      <c r="Z5087" s="245"/>
      <c r="AA5087" s="150">
        <v>1.1000000000000001</v>
      </c>
      <c r="AB5087" s="152"/>
      <c r="AC5087" s="152"/>
      <c r="AD5087" s="154">
        <v>10</v>
      </c>
      <c r="AE5087" s="152"/>
      <c r="AF5087" s="153"/>
      <c r="AG5087" s="153"/>
      <c r="AH5087" s="346"/>
      <c r="AI5087" s="153"/>
      <c r="AJ5087" s="480"/>
      <c r="AK5087" s="153"/>
      <c r="AL5087" s="152"/>
      <c r="AM5087" s="152"/>
      <c r="AN5087" s="152"/>
      <c r="AO5087" s="152"/>
      <c r="AP5087" s="152"/>
      <c r="AQ5087" s="152"/>
      <c r="AR5087" s="152"/>
      <c r="AS5087" s="152"/>
      <c r="AT5087" s="152"/>
      <c r="AU5087" s="218"/>
      <c r="AV5087" s="218"/>
      <c r="AW5087" s="218"/>
      <c r="AX5087" s="218"/>
      <c r="AY5087" s="218"/>
      <c r="AZ5087" s="152"/>
      <c r="BA5087" s="152"/>
      <c r="BB5087" s="152"/>
      <c r="BC5087" s="152"/>
      <c r="BD5087" s="152"/>
      <c r="BE5087" s="152"/>
      <c r="BF5087" s="152"/>
      <c r="BG5087" s="152"/>
      <c r="BH5087" s="152"/>
      <c r="BI5087" s="153"/>
      <c r="BJ5087" s="153"/>
      <c r="BK5087" s="153"/>
      <c r="BL5087" s="153"/>
      <c r="BM5087" s="153"/>
      <c r="BN5087" s="153"/>
      <c r="BO5087" s="153"/>
      <c r="BP5087" s="153"/>
      <c r="BQ5087" s="153"/>
      <c r="BR5087" s="153"/>
      <c r="BS5087" s="153"/>
      <c r="BT5087" s="153"/>
      <c r="BU5087" s="153"/>
      <c r="BV5087" s="153"/>
      <c r="BW5087" s="153"/>
      <c r="BX5087" s="153"/>
      <c r="BY5087" s="153"/>
      <c r="BZ5087" s="153"/>
      <c r="CA5087" s="152"/>
      <c r="CB5087" s="152"/>
    </row>
    <row r="5088" spans="1:80" s="87" customFormat="1" x14ac:dyDescent="0.2">
      <c r="A5088" s="150" t="s">
        <v>104</v>
      </c>
      <c r="B5088" s="683"/>
      <c r="C5088" s="683"/>
      <c r="D5088" s="292"/>
      <c r="E5088" s="215"/>
      <c r="F5088" s="215"/>
      <c r="G5088" s="153"/>
      <c r="H5088" s="153"/>
      <c r="I5088" s="153"/>
      <c r="J5088" s="153"/>
      <c r="K5088" s="153"/>
      <c r="L5088" s="653"/>
      <c r="M5088" s="669">
        <v>31491</v>
      </c>
      <c r="N5088" s="600">
        <v>1.45</v>
      </c>
      <c r="O5088" s="614">
        <f>7.5/3600</f>
        <v>2.0833333333333333E-3</v>
      </c>
      <c r="P5088" s="150"/>
      <c r="Q5088" s="150"/>
      <c r="R5088" s="150"/>
      <c r="S5088" s="150"/>
      <c r="T5088" s="150"/>
      <c r="U5088" s="265">
        <f>0.86-V5088</f>
        <v>0.39</v>
      </c>
      <c r="V5088" s="750">
        <v>0.47</v>
      </c>
      <c r="W5088" s="758"/>
      <c r="X5088" s="759"/>
      <c r="Y5088" s="760"/>
      <c r="Z5088" s="245"/>
      <c r="AA5088" s="150">
        <v>1.1000000000000001</v>
      </c>
      <c r="AB5088" s="152"/>
      <c r="AC5088" s="152"/>
      <c r="AD5088" s="154">
        <v>10</v>
      </c>
      <c r="AE5088" s="152"/>
      <c r="AF5088" s="153"/>
      <c r="AG5088" s="153"/>
      <c r="AH5088" s="346"/>
      <c r="AI5088" s="153"/>
      <c r="AJ5088" s="480"/>
      <c r="AK5088" s="153"/>
      <c r="AL5088" s="152"/>
      <c r="AM5088" s="152"/>
      <c r="AN5088" s="152"/>
      <c r="AO5088" s="152"/>
      <c r="AP5088" s="152"/>
      <c r="AQ5088" s="152"/>
      <c r="AR5088" s="152"/>
      <c r="AS5088" s="152"/>
      <c r="AT5088" s="152"/>
      <c r="AU5088" s="218"/>
      <c r="AV5088" s="218"/>
      <c r="AW5088" s="218"/>
      <c r="AX5088" s="218"/>
      <c r="AY5088" s="218"/>
      <c r="AZ5088" s="152"/>
      <c r="BA5088" s="152"/>
      <c r="BB5088" s="152"/>
      <c r="BC5088" s="152"/>
      <c r="BD5088" s="152"/>
      <c r="BE5088" s="152"/>
      <c r="BF5088" s="152"/>
      <c r="BG5088" s="152"/>
      <c r="BH5088" s="152"/>
      <c r="BI5088" s="153"/>
      <c r="BJ5088" s="153"/>
      <c r="BK5088" s="153"/>
      <c r="BL5088" s="153"/>
      <c r="BM5088" s="153"/>
      <c r="BN5088" s="153"/>
      <c r="BO5088" s="153"/>
      <c r="BP5088" s="153"/>
      <c r="BQ5088" s="153"/>
      <c r="BR5088" s="153"/>
      <c r="BS5088" s="153"/>
      <c r="BT5088" s="153"/>
      <c r="BU5088" s="153"/>
      <c r="BV5088" s="153"/>
      <c r="BW5088" s="153"/>
      <c r="BX5088" s="153"/>
      <c r="BY5088" s="153"/>
      <c r="BZ5088" s="153"/>
      <c r="CA5088" s="152"/>
      <c r="CB5088" s="152"/>
    </row>
    <row r="5089" spans="1:80" ht="15" x14ac:dyDescent="0.25">
      <c r="A5089" s="9" t="s">
        <v>108</v>
      </c>
      <c r="B5089" s="639" t="s">
        <v>109</v>
      </c>
      <c r="C5089" s="639"/>
      <c r="D5089" s="4">
        <f>VLOOKUP(E5089,'Quality Code'!D4:E24,2,TRUE)*VLOOKUP(MROUND(F5089,10),'Quality Code'!D28:E69,2,TRUE)*VLOOKUP(COUNTA(CB5089:CB5099),'Quality Code'!D73:E93,2,TRUE)</f>
        <v>0.83333000000000002</v>
      </c>
      <c r="E5089" s="14">
        <v>0.5</v>
      </c>
      <c r="F5089" s="18">
        <v>37</v>
      </c>
      <c r="G5089" s="25">
        <v>13360</v>
      </c>
      <c r="H5089" s="2" t="s">
        <v>231</v>
      </c>
      <c r="I5089" s="2"/>
      <c r="J5089" s="2"/>
      <c r="K5089" s="2"/>
      <c r="L5089" s="639"/>
      <c r="M5089" s="640" t="s">
        <v>890</v>
      </c>
      <c r="N5089" s="578" t="s">
        <v>285</v>
      </c>
      <c r="O5089" s="578"/>
      <c r="P5089" s="10"/>
      <c r="Q5089" s="10"/>
      <c r="R5089" s="10"/>
      <c r="S5089" s="10"/>
      <c r="T5089" s="10"/>
      <c r="U5089" s="10"/>
      <c r="V5089" s="10"/>
      <c r="W5089" s="142" t="s">
        <v>669</v>
      </c>
      <c r="X5089" s="763"/>
      <c r="Y5089" s="763"/>
      <c r="Z5089" s="10"/>
      <c r="AA5089" s="10"/>
      <c r="AB5089" s="11"/>
      <c r="AC5089" s="3">
        <v>4.0000000000000001E-3</v>
      </c>
      <c r="AD5089" s="10">
        <v>7.8</v>
      </c>
      <c r="AE5089" s="11"/>
      <c r="AF5089" s="10"/>
      <c r="AG5089" s="10"/>
      <c r="AH5089" s="345"/>
      <c r="AI5089" s="2">
        <v>14</v>
      </c>
      <c r="AJ5089" s="17"/>
      <c r="AK5089" s="17"/>
      <c r="AL5089" s="17"/>
      <c r="AM5089" s="17"/>
      <c r="AN5089" s="17"/>
      <c r="AO5089" s="17"/>
      <c r="AP5089" s="17"/>
      <c r="AQ5089" s="17"/>
      <c r="AR5089" s="17"/>
      <c r="AS5089" s="17"/>
      <c r="AT5089" s="17"/>
      <c r="AU5089" s="18">
        <v>25</v>
      </c>
      <c r="AV5089" s="145"/>
      <c r="AW5089" s="145"/>
      <c r="AX5089" s="145"/>
      <c r="AY5089" s="145"/>
      <c r="AZ5089" s="17">
        <v>0.2</v>
      </c>
      <c r="BA5089" s="845">
        <v>0.65</v>
      </c>
      <c r="BB5089" s="846"/>
      <c r="BC5089" s="846"/>
      <c r="BD5089" s="846"/>
      <c r="BE5089" s="17">
        <v>0.15</v>
      </c>
      <c r="BF5089" s="17"/>
      <c r="BG5089" s="17"/>
      <c r="BH5089" s="17"/>
      <c r="BI5089" s="4">
        <f>AU5089/AI5089</f>
        <v>1.7857142857142858</v>
      </c>
      <c r="BJ5089" s="2"/>
      <c r="BK5089" s="2" t="s">
        <v>55</v>
      </c>
      <c r="BL5089" s="12"/>
      <c r="BM5089" s="12">
        <v>7.1</v>
      </c>
      <c r="BN5089" s="12">
        <f>25.59*0.3048</f>
        <v>7.7998320000000003</v>
      </c>
      <c r="BO5089" s="12">
        <f>1.9*0.3048</f>
        <v>0.57911999999999997</v>
      </c>
      <c r="BP5089" s="12">
        <f>BN5089*BO5089</f>
        <v>4.5170387078400003</v>
      </c>
      <c r="BQ5089" s="12">
        <f>BN5089/BO5089</f>
        <v>13.46842105263158</v>
      </c>
      <c r="BR5089" s="12"/>
      <c r="BS5089" s="12"/>
      <c r="BT5089" s="12"/>
      <c r="BU5089" s="2"/>
      <c r="BV5089" s="2"/>
      <c r="BW5089" s="2"/>
      <c r="BX5089" s="2"/>
      <c r="BY5089" s="2"/>
      <c r="BZ5089" s="2"/>
      <c r="CA5089" s="9"/>
      <c r="CB5089" s="9" t="s">
        <v>228</v>
      </c>
    </row>
    <row r="5090" spans="1:80" s="87" customFormat="1" ht="15" x14ac:dyDescent="0.2">
      <c r="A5090" s="152"/>
      <c r="B5090" s="683"/>
      <c r="C5090" s="683"/>
      <c r="D5090" s="698"/>
      <c r="E5090" s="215"/>
      <c r="F5090" s="215"/>
      <c r="G5090" s="153"/>
      <c r="H5090" s="153"/>
      <c r="I5090" s="153"/>
      <c r="J5090" s="153"/>
      <c r="K5090" s="153"/>
      <c r="L5090" s="653"/>
      <c r="M5090" s="666">
        <v>33700</v>
      </c>
      <c r="N5090" s="600">
        <v>1.96</v>
      </c>
      <c r="O5090" s="595">
        <f>(6138/1000)/660</f>
        <v>9.2999999999999992E-3</v>
      </c>
      <c r="P5090" s="266">
        <v>0</v>
      </c>
      <c r="Q5090" s="267">
        <v>0</v>
      </c>
      <c r="R5090" s="242">
        <v>0</v>
      </c>
      <c r="S5090" s="242">
        <v>1.4999999999999999E-2</v>
      </c>
      <c r="T5090" s="242">
        <v>1.4E-2</v>
      </c>
      <c r="U5090" s="242">
        <v>1.6E-2</v>
      </c>
      <c r="V5090" s="242">
        <v>2.2999999999999972E-2</v>
      </c>
      <c r="W5090" s="761">
        <v>0.93200000000000005</v>
      </c>
      <c r="X5090" s="765"/>
      <c r="Y5090" s="766"/>
      <c r="Z5090" s="762">
        <v>16</v>
      </c>
      <c r="AA5090" s="153"/>
      <c r="AB5090" s="152"/>
      <c r="AC5090" s="152"/>
      <c r="AD5090" s="150">
        <v>7.8</v>
      </c>
      <c r="AE5090" s="152"/>
      <c r="AF5090" s="153"/>
      <c r="AG5090" s="153"/>
      <c r="AH5090" s="346"/>
      <c r="AI5090" s="153"/>
      <c r="AJ5090" s="480"/>
      <c r="AK5090" s="153"/>
      <c r="AL5090" s="152"/>
      <c r="AM5090" s="152"/>
      <c r="AN5090" s="152"/>
      <c r="AO5090" s="152"/>
      <c r="AP5090" s="152"/>
      <c r="AQ5090" s="152"/>
      <c r="AR5090" s="152"/>
      <c r="AS5090" s="152"/>
      <c r="AT5090" s="152"/>
      <c r="AU5090" s="218"/>
      <c r="AV5090" s="218"/>
      <c r="AW5090" s="218"/>
      <c r="AX5090" s="218"/>
      <c r="AY5090" s="218"/>
      <c r="AZ5090" s="152"/>
      <c r="BA5090" s="152"/>
      <c r="BB5090" s="152"/>
      <c r="BC5090" s="152"/>
      <c r="BD5090" s="152"/>
      <c r="BE5090" s="152"/>
      <c r="BF5090" s="152"/>
      <c r="BG5090" s="152"/>
      <c r="BH5090" s="152"/>
      <c r="BI5090" s="153"/>
      <c r="BJ5090" s="153"/>
      <c r="BK5090" s="153"/>
      <c r="BL5090" s="153"/>
      <c r="BM5090" s="153"/>
      <c r="BN5090" s="153"/>
      <c r="BO5090" s="153"/>
      <c r="BP5090" s="153"/>
      <c r="BQ5090" s="153"/>
      <c r="BR5090" s="153"/>
      <c r="BS5090" s="153"/>
      <c r="BT5090" s="153"/>
      <c r="BU5090" s="153"/>
      <c r="BV5090" s="153"/>
      <c r="BW5090" s="153"/>
      <c r="BX5090" s="153"/>
      <c r="BY5090" s="153"/>
      <c r="BZ5090" s="153"/>
      <c r="CA5090" s="152"/>
      <c r="CB5090" s="485" t="s">
        <v>640</v>
      </c>
    </row>
    <row r="5091" spans="1:80" s="87" customFormat="1" x14ac:dyDescent="0.2">
      <c r="A5091" s="152"/>
      <c r="B5091" s="683"/>
      <c r="C5091" s="683"/>
      <c r="D5091" s="698"/>
      <c r="E5091" s="215"/>
      <c r="F5091" s="215"/>
      <c r="G5091" s="153"/>
      <c r="H5091" s="153"/>
      <c r="I5091" s="153"/>
      <c r="J5091" s="153"/>
      <c r="K5091" s="153"/>
      <c r="L5091" s="653"/>
      <c r="M5091" s="666">
        <v>33702</v>
      </c>
      <c r="N5091" s="600">
        <v>1.85</v>
      </c>
      <c r="O5091" s="595">
        <f>(8595.6/1000)/780</f>
        <v>1.1020000000000002E-2</v>
      </c>
      <c r="P5091" s="266">
        <v>0</v>
      </c>
      <c r="Q5091" s="242">
        <f>1-0.993</f>
        <v>7.0000000000000062E-3</v>
      </c>
      <c r="R5091" s="242">
        <v>1.7000000000000001E-2</v>
      </c>
      <c r="S5091" s="242">
        <v>8.9999999999999993E-3</v>
      </c>
      <c r="T5091" s="242">
        <v>1.4E-2</v>
      </c>
      <c r="U5091" s="242">
        <v>8.9999999999999993E-3</v>
      </c>
      <c r="V5091" s="242">
        <v>2.5000000000000001E-2</v>
      </c>
      <c r="W5091" s="761">
        <v>0.91900000000000004</v>
      </c>
      <c r="X5091" s="767"/>
      <c r="Y5091" s="768"/>
      <c r="Z5091" s="762">
        <v>45</v>
      </c>
      <c r="AA5091" s="153"/>
      <c r="AB5091" s="152"/>
      <c r="AC5091" s="152"/>
      <c r="AD5091" s="150">
        <v>7.8</v>
      </c>
      <c r="AE5091" s="152"/>
      <c r="AF5091" s="153"/>
      <c r="AG5091" s="153"/>
      <c r="AH5091" s="346"/>
      <c r="AI5091" s="153"/>
      <c r="AJ5091" s="480"/>
      <c r="AK5091" s="153"/>
      <c r="AL5091" s="152"/>
      <c r="AM5091" s="152"/>
      <c r="AN5091" s="152"/>
      <c r="AO5091" s="152"/>
      <c r="AP5091" s="152"/>
      <c r="AQ5091" s="152"/>
      <c r="AR5091" s="152"/>
      <c r="AS5091" s="152"/>
      <c r="AT5091" s="152"/>
      <c r="AU5091" s="218"/>
      <c r="AV5091" s="218"/>
      <c r="AW5091" s="218"/>
      <c r="AX5091" s="218"/>
      <c r="AY5091" s="218"/>
      <c r="AZ5091" s="152"/>
      <c r="BA5091" s="152"/>
      <c r="BB5091" s="152"/>
      <c r="BC5091" s="152"/>
      <c r="BD5091" s="152"/>
      <c r="BE5091" s="152"/>
      <c r="BF5091" s="152"/>
      <c r="BG5091" s="152"/>
      <c r="BH5091" s="152"/>
      <c r="BI5091" s="153"/>
      <c r="BJ5091" s="153"/>
      <c r="BK5091" s="153"/>
      <c r="BL5091" s="153"/>
      <c r="BM5091" s="153"/>
      <c r="BN5091" s="153"/>
      <c r="BO5091" s="153"/>
      <c r="BP5091" s="153"/>
      <c r="BQ5091" s="153"/>
      <c r="BR5091" s="153"/>
      <c r="BS5091" s="153"/>
      <c r="BT5091" s="153"/>
      <c r="BU5091" s="153"/>
      <c r="BV5091" s="153"/>
      <c r="BW5091" s="153"/>
      <c r="BX5091" s="153"/>
      <c r="BY5091" s="153"/>
      <c r="BZ5091" s="153"/>
      <c r="CA5091" s="152"/>
      <c r="CB5091" s="152"/>
    </row>
    <row r="5092" spans="1:80" s="87" customFormat="1" x14ac:dyDescent="0.2">
      <c r="A5092" s="152"/>
      <c r="B5092" s="683"/>
      <c r="C5092" s="683"/>
      <c r="D5092" s="698"/>
      <c r="E5092" s="215"/>
      <c r="F5092" s="215"/>
      <c r="G5092" s="153"/>
      <c r="H5092" s="153"/>
      <c r="I5092" s="153"/>
      <c r="J5092" s="153"/>
      <c r="K5092" s="153"/>
      <c r="L5092" s="653"/>
      <c r="M5092" s="666">
        <v>33710</v>
      </c>
      <c r="N5092" s="600">
        <v>1.68</v>
      </c>
      <c r="O5092" s="595">
        <f>(5366.1/1000)/390</f>
        <v>1.375923076923077E-2</v>
      </c>
      <c r="P5092" s="266">
        <v>0</v>
      </c>
      <c r="Q5092" s="242">
        <v>0</v>
      </c>
      <c r="R5092" s="242">
        <v>2E-3</v>
      </c>
      <c r="S5092" s="242">
        <v>8.9999999999999993E-3</v>
      </c>
      <c r="T5092" s="242">
        <v>1.2E-2</v>
      </c>
      <c r="U5092" s="242">
        <v>0.01</v>
      </c>
      <c r="V5092" s="242">
        <v>2.2999999999999972E-2</v>
      </c>
      <c r="W5092" s="761">
        <v>0.94400000000000006</v>
      </c>
      <c r="X5092" s="767"/>
      <c r="Y5092" s="768"/>
      <c r="Z5092" s="762">
        <v>22</v>
      </c>
      <c r="AA5092" s="153"/>
      <c r="AB5092" s="152"/>
      <c r="AC5092" s="152"/>
      <c r="AD5092" s="150">
        <v>7.8</v>
      </c>
      <c r="AE5092" s="152"/>
      <c r="AF5092" s="153"/>
      <c r="AG5092" s="153"/>
      <c r="AH5092" s="346"/>
      <c r="AI5092" s="153"/>
      <c r="AJ5092" s="480"/>
      <c r="AK5092" s="153"/>
      <c r="AL5092" s="152"/>
      <c r="AM5092" s="152"/>
      <c r="AN5092" s="152"/>
      <c r="AO5092" s="152"/>
      <c r="AP5092" s="152"/>
      <c r="AQ5092" s="152"/>
      <c r="AR5092" s="152"/>
      <c r="AS5092" s="152"/>
      <c r="AT5092" s="152"/>
      <c r="AU5092" s="218"/>
      <c r="AV5092" s="218"/>
      <c r="AW5092" s="218"/>
      <c r="AX5092" s="218"/>
      <c r="AY5092" s="218"/>
      <c r="AZ5092" s="152"/>
      <c r="BA5092" s="152"/>
      <c r="BB5092" s="152"/>
      <c r="BC5092" s="152"/>
      <c r="BD5092" s="152"/>
      <c r="BE5092" s="152"/>
      <c r="BF5092" s="152"/>
      <c r="BG5092" s="152"/>
      <c r="BH5092" s="152"/>
      <c r="BI5092" s="153"/>
      <c r="BJ5092" s="153"/>
      <c r="BK5092" s="153"/>
      <c r="BL5092" s="153"/>
      <c r="BM5092" s="153"/>
      <c r="BN5092" s="153"/>
      <c r="BO5092" s="153"/>
      <c r="BP5092" s="153"/>
      <c r="BQ5092" s="153"/>
      <c r="BR5092" s="153"/>
      <c r="BS5092" s="153"/>
      <c r="BT5092" s="153"/>
      <c r="BU5092" s="153"/>
      <c r="BV5092" s="153"/>
      <c r="BW5092" s="153"/>
      <c r="BX5092" s="153"/>
      <c r="BY5092" s="153"/>
      <c r="BZ5092" s="153"/>
      <c r="CA5092" s="152"/>
      <c r="CB5092" s="152"/>
    </row>
    <row r="5093" spans="1:80" s="87" customFormat="1" x14ac:dyDescent="0.2">
      <c r="A5093" s="152"/>
      <c r="B5093" s="683"/>
      <c r="C5093" s="683"/>
      <c r="D5093" s="698"/>
      <c r="E5093" s="215"/>
      <c r="F5093" s="215"/>
      <c r="G5093" s="153"/>
      <c r="H5093" s="153"/>
      <c r="I5093" s="153"/>
      <c r="J5093" s="153"/>
      <c r="K5093" s="153"/>
      <c r="L5093" s="653"/>
      <c r="M5093" s="666">
        <v>33718</v>
      </c>
      <c r="N5093" s="600">
        <v>1.44</v>
      </c>
      <c r="O5093" s="595">
        <f>(3517.7/1000)/720</f>
        <v>4.8856944444444442E-3</v>
      </c>
      <c r="P5093" s="266">
        <v>0</v>
      </c>
      <c r="Q5093" s="242">
        <f>1-0.972</f>
        <v>2.8000000000000025E-2</v>
      </c>
      <c r="R5093" s="242">
        <v>1.0999999999999999E-2</v>
      </c>
      <c r="S5093" s="242">
        <v>7.0000000000000001E-3</v>
      </c>
      <c r="T5093" s="242">
        <v>1.7999999999999999E-2</v>
      </c>
      <c r="U5093" s="242">
        <v>1.4E-2</v>
      </c>
      <c r="V5093" s="242">
        <v>2.9000000000000057E-2</v>
      </c>
      <c r="W5093" s="761">
        <v>0.89300000000000002</v>
      </c>
      <c r="X5093" s="767"/>
      <c r="Y5093" s="768"/>
      <c r="Z5093" s="762">
        <v>45</v>
      </c>
      <c r="AA5093" s="153"/>
      <c r="AB5093" s="152"/>
      <c r="AC5093" s="152"/>
      <c r="AD5093" s="150">
        <v>7.8</v>
      </c>
      <c r="AE5093" s="152"/>
      <c r="AF5093" s="153"/>
      <c r="AG5093" s="153"/>
      <c r="AH5093" s="346"/>
      <c r="AI5093" s="153"/>
      <c r="AJ5093" s="480"/>
      <c r="AK5093" s="153"/>
      <c r="AL5093" s="152"/>
      <c r="AM5093" s="152"/>
      <c r="AN5093" s="152"/>
      <c r="AO5093" s="152"/>
      <c r="AP5093" s="152"/>
      <c r="AQ5093" s="152"/>
      <c r="AR5093" s="152"/>
      <c r="AS5093" s="152"/>
      <c r="AT5093" s="152"/>
      <c r="AU5093" s="218"/>
      <c r="AV5093" s="218"/>
      <c r="AW5093" s="218"/>
      <c r="AX5093" s="218"/>
      <c r="AY5093" s="218"/>
      <c r="AZ5093" s="152"/>
      <c r="BA5093" s="152"/>
      <c r="BB5093" s="152"/>
      <c r="BC5093" s="152"/>
      <c r="BD5093" s="152"/>
      <c r="BE5093" s="152"/>
      <c r="BF5093" s="152"/>
      <c r="BG5093" s="152"/>
      <c r="BH5093" s="152"/>
      <c r="BI5093" s="153"/>
      <c r="BJ5093" s="153"/>
      <c r="BK5093" s="153"/>
      <c r="BL5093" s="153"/>
      <c r="BM5093" s="153"/>
      <c r="BN5093" s="153"/>
      <c r="BO5093" s="153"/>
      <c r="BP5093" s="153"/>
      <c r="BQ5093" s="153"/>
      <c r="BR5093" s="153"/>
      <c r="BS5093" s="153"/>
      <c r="BT5093" s="153"/>
      <c r="BU5093" s="153"/>
      <c r="BV5093" s="153"/>
      <c r="BW5093" s="153"/>
      <c r="BX5093" s="153"/>
      <c r="BY5093" s="153"/>
      <c r="BZ5093" s="153"/>
      <c r="CA5093" s="152"/>
      <c r="CB5093" s="152"/>
    </row>
    <row r="5094" spans="1:80" s="87" customFormat="1" x14ac:dyDescent="0.2">
      <c r="A5094" s="152"/>
      <c r="B5094" s="683"/>
      <c r="C5094" s="683"/>
      <c r="D5094" s="698"/>
      <c r="E5094" s="215"/>
      <c r="F5094" s="215"/>
      <c r="G5094" s="153"/>
      <c r="H5094" s="153"/>
      <c r="I5094" s="153"/>
      <c r="J5094" s="153"/>
      <c r="K5094" s="153"/>
      <c r="L5094" s="653"/>
      <c r="M5094" s="666">
        <v>33722</v>
      </c>
      <c r="N5094" s="600">
        <v>1.32</v>
      </c>
      <c r="O5094" s="595">
        <f>(2059.6/1000)/720</f>
        <v>2.8605555555555559E-3</v>
      </c>
      <c r="P5094" s="266">
        <v>0</v>
      </c>
      <c r="Q5094" s="242">
        <v>0</v>
      </c>
      <c r="R5094" s="242">
        <v>6.0000000000000001E-3</v>
      </c>
      <c r="S5094" s="242">
        <v>8.0000000000000002E-3</v>
      </c>
      <c r="T5094" s="242">
        <v>8.9999999999999993E-3</v>
      </c>
      <c r="U5094" s="242">
        <v>0.01</v>
      </c>
      <c r="V5094" s="242">
        <v>2.4000000000000056E-2</v>
      </c>
      <c r="W5094" s="761">
        <v>0.94299999999999995</v>
      </c>
      <c r="X5094" s="767"/>
      <c r="Y5094" s="768"/>
      <c r="Z5094" s="762">
        <v>22</v>
      </c>
      <c r="AA5094" s="153"/>
      <c r="AB5094" s="152"/>
      <c r="AC5094" s="152"/>
      <c r="AD5094" s="150">
        <v>7.8</v>
      </c>
      <c r="AE5094" s="152"/>
      <c r="AF5094" s="153"/>
      <c r="AG5094" s="153"/>
      <c r="AH5094" s="346"/>
      <c r="AI5094" s="153"/>
      <c r="AJ5094" s="480"/>
      <c r="AK5094" s="153"/>
      <c r="AL5094" s="152"/>
      <c r="AM5094" s="152"/>
      <c r="AN5094" s="152"/>
      <c r="AO5094" s="152"/>
      <c r="AP5094" s="152"/>
      <c r="AQ5094" s="152"/>
      <c r="AR5094" s="152"/>
      <c r="AS5094" s="152"/>
      <c r="AT5094" s="152"/>
      <c r="AU5094" s="218"/>
      <c r="AV5094" s="218"/>
      <c r="AW5094" s="218"/>
      <c r="AX5094" s="218"/>
      <c r="AY5094" s="218"/>
      <c r="AZ5094" s="152"/>
      <c r="BA5094" s="152"/>
      <c r="BB5094" s="152"/>
      <c r="BC5094" s="152"/>
      <c r="BD5094" s="152"/>
      <c r="BE5094" s="152"/>
      <c r="BF5094" s="152"/>
      <c r="BG5094" s="152"/>
      <c r="BH5094" s="152"/>
      <c r="BI5094" s="153"/>
      <c r="BJ5094" s="153"/>
      <c r="BK5094" s="153"/>
      <c r="BL5094" s="153"/>
      <c r="BM5094" s="153"/>
      <c r="BN5094" s="153"/>
      <c r="BO5094" s="153"/>
      <c r="BP5094" s="153"/>
      <c r="BQ5094" s="153"/>
      <c r="BR5094" s="153"/>
      <c r="BS5094" s="153"/>
      <c r="BT5094" s="153"/>
      <c r="BU5094" s="153"/>
      <c r="BV5094" s="153"/>
      <c r="BW5094" s="153"/>
      <c r="BX5094" s="153"/>
      <c r="BY5094" s="153"/>
      <c r="BZ5094" s="153"/>
      <c r="CA5094" s="152"/>
      <c r="CB5094" s="152"/>
    </row>
    <row r="5095" spans="1:80" s="87" customFormat="1" x14ac:dyDescent="0.2">
      <c r="A5095" s="152"/>
      <c r="B5095" s="683"/>
      <c r="C5095" s="683"/>
      <c r="D5095" s="698"/>
      <c r="E5095" s="215"/>
      <c r="F5095" s="215"/>
      <c r="G5095" s="153"/>
      <c r="H5095" s="153"/>
      <c r="I5095" s="153"/>
      <c r="J5095" s="153"/>
      <c r="K5095" s="153"/>
      <c r="L5095" s="653"/>
      <c r="M5095" s="666">
        <v>33737</v>
      </c>
      <c r="N5095" s="600">
        <v>1.2</v>
      </c>
      <c r="O5095" s="595">
        <f>(1548.3/1000)/600</f>
        <v>2.5804999999999999E-3</v>
      </c>
      <c r="P5095" s="266">
        <v>0</v>
      </c>
      <c r="Q5095" s="242">
        <v>0</v>
      </c>
      <c r="R5095" s="242">
        <v>0</v>
      </c>
      <c r="S5095" s="242">
        <v>1.4999999999999999E-2</v>
      </c>
      <c r="T5095" s="242">
        <v>8.0000000000000002E-3</v>
      </c>
      <c r="U5095" s="242">
        <v>1.0999999999999999E-2</v>
      </c>
      <c r="V5095" s="242">
        <v>2.7999999999999973E-2</v>
      </c>
      <c r="W5095" s="761">
        <v>0.93799999999999994</v>
      </c>
      <c r="X5095" s="767"/>
      <c r="Y5095" s="768"/>
      <c r="Z5095" s="762">
        <v>16</v>
      </c>
      <c r="AA5095" s="153"/>
      <c r="AB5095" s="152"/>
      <c r="AC5095" s="152"/>
      <c r="AD5095" s="150">
        <v>7.8</v>
      </c>
      <c r="AE5095" s="152"/>
      <c r="AF5095" s="153"/>
      <c r="AG5095" s="153"/>
      <c r="AH5095" s="346"/>
      <c r="AI5095" s="153"/>
      <c r="AJ5095" s="480"/>
      <c r="AK5095" s="153"/>
      <c r="AL5095" s="152"/>
      <c r="AM5095" s="152"/>
      <c r="AN5095" s="152"/>
      <c r="AO5095" s="152"/>
      <c r="AP5095" s="152"/>
      <c r="AQ5095" s="152"/>
      <c r="AR5095" s="152"/>
      <c r="AS5095" s="152"/>
      <c r="AT5095" s="152"/>
      <c r="AU5095" s="218"/>
      <c r="AV5095" s="218"/>
      <c r="AW5095" s="218"/>
      <c r="AX5095" s="218"/>
      <c r="AY5095" s="218"/>
      <c r="AZ5095" s="152"/>
      <c r="BA5095" s="152"/>
      <c r="BB5095" s="152"/>
      <c r="BC5095" s="152"/>
      <c r="BD5095" s="152"/>
      <c r="BE5095" s="152"/>
      <c r="BF5095" s="152"/>
      <c r="BG5095" s="152"/>
      <c r="BH5095" s="152"/>
      <c r="BI5095" s="153"/>
      <c r="BJ5095" s="153"/>
      <c r="BK5095" s="153"/>
      <c r="BL5095" s="153"/>
      <c r="BM5095" s="153"/>
      <c r="BN5095" s="153"/>
      <c r="BO5095" s="153"/>
      <c r="BP5095" s="153"/>
      <c r="BQ5095" s="153"/>
      <c r="BR5095" s="153"/>
      <c r="BS5095" s="153"/>
      <c r="BT5095" s="153"/>
      <c r="BU5095" s="153"/>
      <c r="BV5095" s="153"/>
      <c r="BW5095" s="153"/>
      <c r="BX5095" s="153"/>
      <c r="BY5095" s="153"/>
      <c r="BZ5095" s="153"/>
      <c r="CA5095" s="152"/>
      <c r="CB5095" s="152"/>
    </row>
    <row r="5096" spans="1:80" s="87" customFormat="1" x14ac:dyDescent="0.2">
      <c r="A5096" s="152"/>
      <c r="B5096" s="683"/>
      <c r="C5096" s="683"/>
      <c r="D5096" s="698"/>
      <c r="E5096" s="215"/>
      <c r="F5096" s="215"/>
      <c r="G5096" s="153"/>
      <c r="H5096" s="153"/>
      <c r="I5096" s="153"/>
      <c r="J5096" s="153"/>
      <c r="K5096" s="153"/>
      <c r="L5096" s="653"/>
      <c r="M5096" s="666">
        <v>33744</v>
      </c>
      <c r="N5096" s="600">
        <v>1.17</v>
      </c>
      <c r="O5096" s="595">
        <f>(1169.6/1000)/540</f>
        <v>2.1659259259259257E-3</v>
      </c>
      <c r="P5096" s="266">
        <v>0</v>
      </c>
      <c r="Q5096" s="242">
        <v>0</v>
      </c>
      <c r="R5096" s="242">
        <v>0</v>
      </c>
      <c r="S5096" s="242">
        <v>1.0999999999999999E-2</v>
      </c>
      <c r="T5096" s="242">
        <v>1.2E-2</v>
      </c>
      <c r="U5096" s="242">
        <v>1.4E-2</v>
      </c>
      <c r="V5096" s="242">
        <v>4.7999999999999973E-2</v>
      </c>
      <c r="W5096" s="761">
        <v>0.91500000000000004</v>
      </c>
      <c r="X5096" s="767"/>
      <c r="Y5096" s="768"/>
      <c r="Z5096" s="762">
        <v>16</v>
      </c>
      <c r="AA5096" s="153"/>
      <c r="AB5096" s="152"/>
      <c r="AC5096" s="152"/>
      <c r="AD5096" s="150">
        <v>7.8</v>
      </c>
      <c r="AE5096" s="152"/>
      <c r="AF5096" s="153"/>
      <c r="AG5096" s="153"/>
      <c r="AH5096" s="346"/>
      <c r="AI5096" s="153"/>
      <c r="AJ5096" s="480"/>
      <c r="AK5096" s="153"/>
      <c r="AL5096" s="152"/>
      <c r="AM5096" s="152"/>
      <c r="AN5096" s="152"/>
      <c r="AO5096" s="152"/>
      <c r="AP5096" s="152"/>
      <c r="AQ5096" s="152"/>
      <c r="AR5096" s="152"/>
      <c r="AS5096" s="152"/>
      <c r="AT5096" s="152"/>
      <c r="AU5096" s="218"/>
      <c r="AV5096" s="218"/>
      <c r="AW5096" s="218"/>
      <c r="AX5096" s="218"/>
      <c r="AY5096" s="218"/>
      <c r="AZ5096" s="152"/>
      <c r="BA5096" s="152"/>
      <c r="BB5096" s="152"/>
      <c r="BC5096" s="152"/>
      <c r="BD5096" s="152"/>
      <c r="BE5096" s="152"/>
      <c r="BF5096" s="152"/>
      <c r="BG5096" s="152"/>
      <c r="BH5096" s="152"/>
      <c r="BI5096" s="153"/>
      <c r="BJ5096" s="153"/>
      <c r="BK5096" s="153"/>
      <c r="BL5096" s="153"/>
      <c r="BM5096" s="153"/>
      <c r="BN5096" s="153"/>
      <c r="BO5096" s="153"/>
      <c r="BP5096" s="153"/>
      <c r="BQ5096" s="153"/>
      <c r="BR5096" s="153"/>
      <c r="BS5096" s="153"/>
      <c r="BT5096" s="153"/>
      <c r="BU5096" s="153"/>
      <c r="BV5096" s="153"/>
      <c r="BW5096" s="153"/>
      <c r="BX5096" s="153"/>
      <c r="BY5096" s="153"/>
      <c r="BZ5096" s="153"/>
      <c r="CA5096" s="152"/>
      <c r="CB5096" s="152"/>
    </row>
    <row r="5097" spans="1:80" s="87" customFormat="1" x14ac:dyDescent="0.2">
      <c r="A5097" s="152"/>
      <c r="B5097" s="683"/>
      <c r="C5097" s="683"/>
      <c r="D5097" s="698"/>
      <c r="E5097" s="215"/>
      <c r="F5097" s="215"/>
      <c r="G5097" s="153"/>
      <c r="H5097" s="153"/>
      <c r="I5097" s="153"/>
      <c r="J5097" s="153"/>
      <c r="K5097" s="153"/>
      <c r="L5097" s="653"/>
      <c r="M5097" s="666">
        <v>33751</v>
      </c>
      <c r="N5097" s="600">
        <v>1.38</v>
      </c>
      <c r="O5097" s="595">
        <f>(1020.3/1000)/300</f>
        <v>3.4009999999999999E-3</v>
      </c>
      <c r="P5097" s="266">
        <v>0</v>
      </c>
      <c r="Q5097" s="242">
        <f>1-0.926</f>
        <v>7.3999999999999955E-2</v>
      </c>
      <c r="R5097" s="242">
        <v>7.0000000000000001E-3</v>
      </c>
      <c r="S5097" s="242">
        <v>2.1000000000000001E-2</v>
      </c>
      <c r="T5097" s="242">
        <v>2.1999999999999999E-2</v>
      </c>
      <c r="U5097" s="242">
        <v>1.7999999999999999E-2</v>
      </c>
      <c r="V5097" s="242">
        <v>3.2000000000000028E-2</v>
      </c>
      <c r="W5097" s="761">
        <v>0.82599999999999996</v>
      </c>
      <c r="X5097" s="767"/>
      <c r="Y5097" s="768"/>
      <c r="Z5097" s="762">
        <v>45</v>
      </c>
      <c r="AA5097" s="153"/>
      <c r="AB5097" s="152"/>
      <c r="AC5097" s="152"/>
      <c r="AD5097" s="150">
        <v>7.8</v>
      </c>
      <c r="AE5097" s="152"/>
      <c r="AF5097" s="153"/>
      <c r="AG5097" s="153"/>
      <c r="AH5097" s="346"/>
      <c r="AI5097" s="153"/>
      <c r="AJ5097" s="480"/>
      <c r="AK5097" s="153"/>
      <c r="AL5097" s="152"/>
      <c r="AM5097" s="152"/>
      <c r="AN5097" s="152"/>
      <c r="AO5097" s="152"/>
      <c r="AP5097" s="152"/>
      <c r="AQ5097" s="152"/>
      <c r="AR5097" s="152"/>
      <c r="AS5097" s="152"/>
      <c r="AT5097" s="152"/>
      <c r="AU5097" s="218"/>
      <c r="AV5097" s="218"/>
      <c r="AW5097" s="218"/>
      <c r="AX5097" s="218"/>
      <c r="AY5097" s="218"/>
      <c r="AZ5097" s="152"/>
      <c r="BA5097" s="152"/>
      <c r="BB5097" s="152"/>
      <c r="BC5097" s="152"/>
      <c r="BD5097" s="152"/>
      <c r="BE5097" s="152"/>
      <c r="BF5097" s="152"/>
      <c r="BG5097" s="152"/>
      <c r="BH5097" s="152"/>
      <c r="BI5097" s="153"/>
      <c r="BJ5097" s="153"/>
      <c r="BK5097" s="153"/>
      <c r="BL5097" s="153"/>
      <c r="BM5097" s="153"/>
      <c r="BN5097" s="153"/>
      <c r="BO5097" s="153"/>
      <c r="BP5097" s="153"/>
      <c r="BQ5097" s="153"/>
      <c r="BR5097" s="153"/>
      <c r="BS5097" s="153"/>
      <c r="BT5097" s="153"/>
      <c r="BU5097" s="153"/>
      <c r="BV5097" s="153"/>
      <c r="BW5097" s="153"/>
      <c r="BX5097" s="153"/>
      <c r="BY5097" s="153"/>
      <c r="BZ5097" s="153"/>
      <c r="CA5097" s="152"/>
      <c r="CB5097" s="152"/>
    </row>
    <row r="5098" spans="1:80" s="87" customFormat="1" x14ac:dyDescent="0.2">
      <c r="A5098" s="152"/>
      <c r="B5098" s="683"/>
      <c r="C5098" s="683"/>
      <c r="D5098" s="698"/>
      <c r="E5098" s="215"/>
      <c r="F5098" s="215"/>
      <c r="G5098" s="153"/>
      <c r="H5098" s="153"/>
      <c r="I5098" s="153"/>
      <c r="J5098" s="153"/>
      <c r="K5098" s="153"/>
      <c r="L5098" s="653"/>
      <c r="M5098" s="666">
        <v>33758</v>
      </c>
      <c r="N5098" s="600">
        <v>1.2</v>
      </c>
      <c r="O5098" s="595">
        <f>(3217.7/1000)/540</f>
        <v>5.958703703703703E-3</v>
      </c>
      <c r="P5098" s="266">
        <v>0</v>
      </c>
      <c r="Q5098" s="242">
        <f>1-0.98</f>
        <v>2.0000000000000018E-2</v>
      </c>
      <c r="R5098" s="242">
        <v>5.6000000000000001E-2</v>
      </c>
      <c r="S5098" s="242">
        <v>3.2000000000000001E-2</v>
      </c>
      <c r="T5098" s="242">
        <v>3.1E-2</v>
      </c>
      <c r="U5098" s="242">
        <v>2.4E-2</v>
      </c>
      <c r="V5098" s="242">
        <v>3.5000000000000003E-2</v>
      </c>
      <c r="W5098" s="761">
        <v>0.80200000000000005</v>
      </c>
      <c r="X5098" s="767"/>
      <c r="Y5098" s="768"/>
      <c r="Z5098" s="762">
        <v>45</v>
      </c>
      <c r="AA5098" s="153"/>
      <c r="AB5098" s="152"/>
      <c r="AC5098" s="152"/>
      <c r="AD5098" s="150">
        <v>7.8</v>
      </c>
      <c r="AE5098" s="152"/>
      <c r="AF5098" s="153"/>
      <c r="AG5098" s="153"/>
      <c r="AH5098" s="346"/>
      <c r="AI5098" s="153"/>
      <c r="AJ5098" s="480"/>
      <c r="AK5098" s="153"/>
      <c r="AL5098" s="152"/>
      <c r="AM5098" s="152"/>
      <c r="AN5098" s="152"/>
      <c r="AO5098" s="152"/>
      <c r="AP5098" s="152"/>
      <c r="AQ5098" s="152"/>
      <c r="AR5098" s="152"/>
      <c r="AS5098" s="152"/>
      <c r="AT5098" s="152"/>
      <c r="AU5098" s="218"/>
      <c r="AV5098" s="218"/>
      <c r="AW5098" s="218"/>
      <c r="AX5098" s="218"/>
      <c r="AY5098" s="218"/>
      <c r="AZ5098" s="152"/>
      <c r="BA5098" s="152"/>
      <c r="BB5098" s="152"/>
      <c r="BC5098" s="152"/>
      <c r="BD5098" s="152"/>
      <c r="BE5098" s="152"/>
      <c r="BF5098" s="152"/>
      <c r="BG5098" s="152"/>
      <c r="BH5098" s="152"/>
      <c r="BI5098" s="153"/>
      <c r="BJ5098" s="153"/>
      <c r="BK5098" s="153"/>
      <c r="BL5098" s="153"/>
      <c r="BM5098" s="153"/>
      <c r="BN5098" s="153"/>
      <c r="BO5098" s="153"/>
      <c r="BP5098" s="153"/>
      <c r="BQ5098" s="153"/>
      <c r="BR5098" s="153"/>
      <c r="BS5098" s="153"/>
      <c r="BT5098" s="153"/>
      <c r="BU5098" s="153"/>
      <c r="BV5098" s="153"/>
      <c r="BW5098" s="153"/>
      <c r="BX5098" s="153"/>
      <c r="BY5098" s="153"/>
      <c r="BZ5098" s="153"/>
      <c r="CA5098" s="152"/>
      <c r="CB5098" s="152"/>
    </row>
    <row r="5099" spans="1:80" s="87" customFormat="1" x14ac:dyDescent="0.2">
      <c r="A5099" s="152"/>
      <c r="B5099" s="683"/>
      <c r="C5099" s="683"/>
      <c r="D5099" s="698"/>
      <c r="E5099" s="215"/>
      <c r="F5099" s="215"/>
      <c r="G5099" s="153"/>
      <c r="H5099" s="153"/>
      <c r="I5099" s="153"/>
      <c r="J5099" s="153"/>
      <c r="K5099" s="153"/>
      <c r="L5099" s="653"/>
      <c r="M5099" s="666">
        <v>33765</v>
      </c>
      <c r="N5099" s="600">
        <v>1.17</v>
      </c>
      <c r="O5099" s="595">
        <f>(2564.5/1000)/540</f>
        <v>4.749074074074074E-3</v>
      </c>
      <c r="P5099" s="266">
        <v>0</v>
      </c>
      <c r="Q5099" s="242">
        <v>0</v>
      </c>
      <c r="R5099" s="242">
        <v>5.3999999999999999E-2</v>
      </c>
      <c r="S5099" s="242">
        <v>0</v>
      </c>
      <c r="T5099" s="242">
        <v>2E-3</v>
      </c>
      <c r="U5099" s="242">
        <v>2E-3</v>
      </c>
      <c r="V5099" s="242">
        <v>7.9999999999999724E-3</v>
      </c>
      <c r="W5099" s="761">
        <v>0.93400000000000005</v>
      </c>
      <c r="X5099" s="767"/>
      <c r="Y5099" s="768"/>
      <c r="Z5099" s="762">
        <v>32</v>
      </c>
      <c r="AA5099" s="153"/>
      <c r="AB5099" s="152"/>
      <c r="AC5099" s="152"/>
      <c r="AD5099" s="150">
        <v>7.8</v>
      </c>
      <c r="AE5099" s="152"/>
      <c r="AF5099" s="153"/>
      <c r="AG5099" s="153"/>
      <c r="AH5099" s="346"/>
      <c r="AI5099" s="153"/>
      <c r="AJ5099" s="480"/>
      <c r="AK5099" s="153"/>
      <c r="AL5099" s="152"/>
      <c r="AM5099" s="152"/>
      <c r="AN5099" s="152"/>
      <c r="AO5099" s="152"/>
      <c r="AP5099" s="152"/>
      <c r="AQ5099" s="152"/>
      <c r="AR5099" s="152"/>
      <c r="AS5099" s="152"/>
      <c r="AT5099" s="152"/>
      <c r="AU5099" s="218"/>
      <c r="AV5099" s="218"/>
      <c r="AW5099" s="218"/>
      <c r="AX5099" s="218"/>
      <c r="AY5099" s="218"/>
      <c r="AZ5099" s="152"/>
      <c r="BA5099" s="152"/>
      <c r="BB5099" s="152"/>
      <c r="BC5099" s="152"/>
      <c r="BD5099" s="152"/>
      <c r="BE5099" s="152"/>
      <c r="BF5099" s="152"/>
      <c r="BG5099" s="152"/>
      <c r="BH5099" s="152"/>
      <c r="BI5099" s="153"/>
      <c r="BJ5099" s="153"/>
      <c r="BK5099" s="153"/>
      <c r="BL5099" s="153"/>
      <c r="BM5099" s="153"/>
      <c r="BN5099" s="153"/>
      <c r="BO5099" s="153"/>
      <c r="BP5099" s="153"/>
      <c r="BQ5099" s="153"/>
      <c r="BR5099" s="153"/>
      <c r="BS5099" s="153"/>
      <c r="BT5099" s="153"/>
      <c r="BU5099" s="153"/>
      <c r="BV5099" s="153"/>
      <c r="BW5099" s="153"/>
      <c r="BX5099" s="153"/>
      <c r="BY5099" s="153"/>
      <c r="BZ5099" s="153"/>
      <c r="CA5099" s="152"/>
      <c r="CB5099" s="152"/>
    </row>
    <row r="5100" spans="1:80" s="87" customFormat="1" x14ac:dyDescent="0.2">
      <c r="A5100" s="152"/>
      <c r="B5100" s="683"/>
      <c r="C5100" s="683"/>
      <c r="D5100" s="698"/>
      <c r="E5100" s="215"/>
      <c r="F5100" s="215"/>
      <c r="G5100" s="153"/>
      <c r="H5100" s="153"/>
      <c r="I5100" s="153"/>
      <c r="J5100" s="153"/>
      <c r="K5100" s="153"/>
      <c r="L5100" s="653"/>
      <c r="M5100" s="666">
        <v>33772</v>
      </c>
      <c r="N5100" s="600">
        <v>1.2</v>
      </c>
      <c r="O5100" s="595">
        <f>(2592.4/1000)/540</f>
        <v>4.8007407407407408E-3</v>
      </c>
      <c r="P5100" s="266">
        <v>0</v>
      </c>
      <c r="Q5100" s="242">
        <v>0</v>
      </c>
      <c r="R5100" s="242">
        <v>4.4999999999999998E-2</v>
      </c>
      <c r="S5100" s="242">
        <v>4.7E-2</v>
      </c>
      <c r="T5100" s="242">
        <v>2.5000000000000001E-2</v>
      </c>
      <c r="U5100" s="242">
        <v>1.7999999999999999E-2</v>
      </c>
      <c r="V5100" s="242">
        <v>0.02</v>
      </c>
      <c r="W5100" s="761">
        <v>0.84499999999999997</v>
      </c>
      <c r="X5100" s="767"/>
      <c r="Y5100" s="768"/>
      <c r="Z5100" s="762">
        <v>32</v>
      </c>
      <c r="AA5100" s="153"/>
      <c r="AB5100" s="152"/>
      <c r="AC5100" s="152"/>
      <c r="AD5100" s="150">
        <v>7.8</v>
      </c>
      <c r="AE5100" s="152"/>
      <c r="AF5100" s="153"/>
      <c r="AG5100" s="153"/>
      <c r="AH5100" s="346"/>
      <c r="AI5100" s="153"/>
      <c r="AJ5100" s="480"/>
      <c r="AK5100" s="153"/>
      <c r="AL5100" s="152"/>
      <c r="AM5100" s="152"/>
      <c r="AN5100" s="152"/>
      <c r="AO5100" s="152"/>
      <c r="AP5100" s="152"/>
      <c r="AQ5100" s="152"/>
      <c r="AR5100" s="152"/>
      <c r="AS5100" s="152"/>
      <c r="AT5100" s="152"/>
      <c r="AU5100" s="218"/>
      <c r="AV5100" s="218"/>
      <c r="AW5100" s="218"/>
      <c r="AX5100" s="218"/>
      <c r="AY5100" s="218"/>
      <c r="AZ5100" s="152"/>
      <c r="BA5100" s="152"/>
      <c r="BB5100" s="152"/>
      <c r="BC5100" s="152"/>
      <c r="BD5100" s="152"/>
      <c r="BE5100" s="152"/>
      <c r="BF5100" s="152"/>
      <c r="BG5100" s="152"/>
      <c r="BH5100" s="152"/>
      <c r="BI5100" s="153"/>
      <c r="BJ5100" s="153"/>
      <c r="BK5100" s="153"/>
      <c r="BL5100" s="153"/>
      <c r="BM5100" s="153"/>
      <c r="BN5100" s="153"/>
      <c r="BO5100" s="153"/>
      <c r="BP5100" s="153"/>
      <c r="BQ5100" s="153"/>
      <c r="BR5100" s="153"/>
      <c r="BS5100" s="153"/>
      <c r="BT5100" s="153"/>
      <c r="BU5100" s="153"/>
      <c r="BV5100" s="153"/>
      <c r="BW5100" s="153"/>
      <c r="BX5100" s="153"/>
      <c r="BY5100" s="153"/>
      <c r="BZ5100" s="153"/>
      <c r="CA5100" s="152"/>
      <c r="CB5100" s="152"/>
    </row>
    <row r="5101" spans="1:80" s="87" customFormat="1" x14ac:dyDescent="0.2">
      <c r="A5101" s="152"/>
      <c r="B5101" s="683"/>
      <c r="C5101" s="683"/>
      <c r="D5101" s="698"/>
      <c r="E5101" s="215"/>
      <c r="F5101" s="215"/>
      <c r="G5101" s="153"/>
      <c r="H5101" s="153"/>
      <c r="I5101" s="153"/>
      <c r="J5101" s="153"/>
      <c r="K5101" s="153"/>
      <c r="L5101" s="653"/>
      <c r="M5101" s="666">
        <v>33791</v>
      </c>
      <c r="N5101" s="600">
        <v>1.26</v>
      </c>
      <c r="O5101" s="595">
        <f>(1729.7/1000)/600</f>
        <v>2.8828333333333332E-3</v>
      </c>
      <c r="P5101" s="266">
        <v>0</v>
      </c>
      <c r="Q5101" s="242">
        <v>0</v>
      </c>
      <c r="R5101" s="242">
        <v>3.9E-2</v>
      </c>
      <c r="S5101" s="242">
        <v>3.4000000000000002E-2</v>
      </c>
      <c r="T5101" s="242">
        <v>2.3E-2</v>
      </c>
      <c r="U5101" s="242">
        <v>1.4E-2</v>
      </c>
      <c r="V5101" s="242">
        <v>2.200000000000003E-2</v>
      </c>
      <c r="W5101" s="761">
        <v>0.86799999999999999</v>
      </c>
      <c r="X5101" s="767"/>
      <c r="Y5101" s="768"/>
      <c r="Z5101" s="762">
        <v>32</v>
      </c>
      <c r="AA5101" s="153"/>
      <c r="AB5101" s="152"/>
      <c r="AC5101" s="152"/>
      <c r="AD5101" s="150">
        <v>7.8</v>
      </c>
      <c r="AE5101" s="152"/>
      <c r="AF5101" s="153"/>
      <c r="AG5101" s="153"/>
      <c r="AH5101" s="346"/>
      <c r="AI5101" s="153"/>
      <c r="AJ5101" s="480"/>
      <c r="AK5101" s="153"/>
      <c r="AL5101" s="152"/>
      <c r="AM5101" s="152"/>
      <c r="AN5101" s="152"/>
      <c r="AO5101" s="152"/>
      <c r="AP5101" s="152"/>
      <c r="AQ5101" s="152"/>
      <c r="AR5101" s="152"/>
      <c r="AS5101" s="152"/>
      <c r="AT5101" s="152"/>
      <c r="AU5101" s="218"/>
      <c r="AV5101" s="218"/>
      <c r="AW5101" s="218"/>
      <c r="AX5101" s="218"/>
      <c r="AY5101" s="218"/>
      <c r="AZ5101" s="152"/>
      <c r="BA5101" s="152"/>
      <c r="BB5101" s="152"/>
      <c r="BC5101" s="152"/>
      <c r="BD5101" s="152"/>
      <c r="BE5101" s="152"/>
      <c r="BF5101" s="152"/>
      <c r="BG5101" s="152"/>
      <c r="BH5101" s="152"/>
      <c r="BI5101" s="153"/>
      <c r="BJ5101" s="153"/>
      <c r="BK5101" s="153"/>
      <c r="BL5101" s="153"/>
      <c r="BM5101" s="153"/>
      <c r="BN5101" s="153"/>
      <c r="BO5101" s="153"/>
      <c r="BP5101" s="153"/>
      <c r="BQ5101" s="153"/>
      <c r="BR5101" s="153"/>
      <c r="BS5101" s="153"/>
      <c r="BT5101" s="153"/>
      <c r="BU5101" s="153"/>
      <c r="BV5101" s="153"/>
      <c r="BW5101" s="153"/>
      <c r="BX5101" s="153"/>
      <c r="BY5101" s="153"/>
      <c r="BZ5101" s="153"/>
      <c r="CA5101" s="152"/>
      <c r="CB5101" s="152"/>
    </row>
    <row r="5102" spans="1:80" s="87" customFormat="1" x14ac:dyDescent="0.2">
      <c r="A5102" s="152"/>
      <c r="B5102" s="683"/>
      <c r="C5102" s="683"/>
      <c r="D5102" s="698"/>
      <c r="E5102" s="215"/>
      <c r="F5102" s="215"/>
      <c r="G5102" s="153"/>
      <c r="H5102" s="153"/>
      <c r="I5102" s="153"/>
      <c r="J5102" s="153"/>
      <c r="K5102" s="153"/>
      <c r="L5102" s="653"/>
      <c r="M5102" s="666">
        <v>33840</v>
      </c>
      <c r="N5102" s="600">
        <v>1.35</v>
      </c>
      <c r="O5102" s="595">
        <f>(1046.9/1000)/240</f>
        <v>4.3620833333333341E-3</v>
      </c>
      <c r="P5102" s="266">
        <v>0</v>
      </c>
      <c r="Q5102" s="242">
        <v>0</v>
      </c>
      <c r="R5102" s="242">
        <v>0</v>
      </c>
      <c r="S5102" s="242">
        <v>6.0000000000000001E-3</v>
      </c>
      <c r="T5102" s="242">
        <v>0.01</v>
      </c>
      <c r="U5102" s="242">
        <v>1.0999999999999999E-2</v>
      </c>
      <c r="V5102" s="242">
        <v>0.02</v>
      </c>
      <c r="W5102" s="761">
        <v>0.95299999999999996</v>
      </c>
      <c r="X5102" s="767"/>
      <c r="Y5102" s="768"/>
      <c r="Z5102" s="762">
        <v>16</v>
      </c>
      <c r="AA5102" s="153"/>
      <c r="AB5102" s="152"/>
      <c r="AC5102" s="152"/>
      <c r="AD5102" s="150">
        <v>7.8</v>
      </c>
      <c r="AE5102" s="152"/>
      <c r="AF5102" s="153"/>
      <c r="AG5102" s="153"/>
      <c r="AH5102" s="346"/>
      <c r="AI5102" s="153"/>
      <c r="AJ5102" s="480"/>
      <c r="AK5102" s="153"/>
      <c r="AL5102" s="152"/>
      <c r="AM5102" s="152"/>
      <c r="AN5102" s="152"/>
      <c r="AO5102" s="152"/>
      <c r="AP5102" s="152"/>
      <c r="AQ5102" s="152"/>
      <c r="AR5102" s="152"/>
      <c r="AS5102" s="152"/>
      <c r="AT5102" s="152"/>
      <c r="AU5102" s="218"/>
      <c r="AV5102" s="218"/>
      <c r="AW5102" s="218"/>
      <c r="AX5102" s="218"/>
      <c r="AY5102" s="218"/>
      <c r="AZ5102" s="152"/>
      <c r="BA5102" s="152"/>
      <c r="BB5102" s="152"/>
      <c r="BC5102" s="152"/>
      <c r="BD5102" s="152"/>
      <c r="BE5102" s="152"/>
      <c r="BF5102" s="152"/>
      <c r="BG5102" s="152"/>
      <c r="BH5102" s="152"/>
      <c r="BI5102" s="153"/>
      <c r="BJ5102" s="153"/>
      <c r="BK5102" s="153"/>
      <c r="BL5102" s="153"/>
      <c r="BM5102" s="153"/>
      <c r="BN5102" s="153"/>
      <c r="BO5102" s="153"/>
      <c r="BP5102" s="153"/>
      <c r="BQ5102" s="153"/>
      <c r="BR5102" s="153"/>
      <c r="BS5102" s="153"/>
      <c r="BT5102" s="153"/>
      <c r="BU5102" s="153"/>
      <c r="BV5102" s="153"/>
      <c r="BW5102" s="153"/>
      <c r="BX5102" s="153"/>
      <c r="BY5102" s="153"/>
      <c r="BZ5102" s="153"/>
      <c r="CA5102" s="152"/>
      <c r="CB5102" s="152"/>
    </row>
    <row r="5103" spans="1:80" s="87" customFormat="1" x14ac:dyDescent="0.2">
      <c r="A5103" s="152"/>
      <c r="B5103" s="683"/>
      <c r="C5103" s="683"/>
      <c r="D5103" s="698"/>
      <c r="E5103" s="215"/>
      <c r="F5103" s="215"/>
      <c r="G5103" s="153"/>
      <c r="H5103" s="153"/>
      <c r="I5103" s="153"/>
      <c r="J5103" s="153"/>
      <c r="K5103" s="153"/>
      <c r="L5103" s="653"/>
      <c r="M5103" s="666">
        <v>33848</v>
      </c>
      <c r="N5103" s="600">
        <v>1.2</v>
      </c>
      <c r="O5103" s="595">
        <f>(2089.3/1000)/300</f>
        <v>6.9643333333333337E-3</v>
      </c>
      <c r="P5103" s="266">
        <v>0</v>
      </c>
      <c r="Q5103" s="242">
        <v>0</v>
      </c>
      <c r="R5103" s="242">
        <v>0</v>
      </c>
      <c r="S5103" s="242">
        <v>2E-3</v>
      </c>
      <c r="T5103" s="242">
        <v>3.0000000000000001E-3</v>
      </c>
      <c r="U5103" s="242">
        <v>1E-3</v>
      </c>
      <c r="V5103" s="242">
        <v>3.0000000000001137E-3</v>
      </c>
      <c r="W5103" s="761">
        <v>0.99099999999999999</v>
      </c>
      <c r="X5103" s="767"/>
      <c r="Y5103" s="768"/>
      <c r="Z5103" s="762">
        <v>16</v>
      </c>
      <c r="AA5103" s="153"/>
      <c r="AB5103" s="152"/>
      <c r="AC5103" s="152"/>
      <c r="AD5103" s="150">
        <v>7.8</v>
      </c>
      <c r="AE5103" s="152"/>
      <c r="AF5103" s="153"/>
      <c r="AG5103" s="153"/>
      <c r="AH5103" s="346"/>
      <c r="AI5103" s="153"/>
      <c r="AJ5103" s="480"/>
      <c r="AK5103" s="153"/>
      <c r="AL5103" s="152"/>
      <c r="AM5103" s="152"/>
      <c r="AN5103" s="152"/>
      <c r="AO5103" s="152"/>
      <c r="AP5103" s="152"/>
      <c r="AQ5103" s="152"/>
      <c r="AR5103" s="152"/>
      <c r="AS5103" s="152"/>
      <c r="AT5103" s="152"/>
      <c r="AU5103" s="218"/>
      <c r="AV5103" s="218"/>
      <c r="AW5103" s="218"/>
      <c r="AX5103" s="218"/>
      <c r="AY5103" s="218"/>
      <c r="AZ5103" s="152"/>
      <c r="BA5103" s="152"/>
      <c r="BB5103" s="152"/>
      <c r="BC5103" s="152"/>
      <c r="BD5103" s="152"/>
      <c r="BE5103" s="152"/>
      <c r="BF5103" s="152"/>
      <c r="BG5103" s="152"/>
      <c r="BH5103" s="152"/>
      <c r="BI5103" s="153"/>
      <c r="BJ5103" s="153"/>
      <c r="BK5103" s="153"/>
      <c r="BL5103" s="153"/>
      <c r="BM5103" s="153"/>
      <c r="BN5103" s="153"/>
      <c r="BO5103" s="153"/>
      <c r="BP5103" s="153"/>
      <c r="BQ5103" s="153"/>
      <c r="BR5103" s="153"/>
      <c r="BS5103" s="153"/>
      <c r="BT5103" s="153"/>
      <c r="BU5103" s="153"/>
      <c r="BV5103" s="153"/>
      <c r="BW5103" s="153"/>
      <c r="BX5103" s="153"/>
      <c r="BY5103" s="153"/>
      <c r="BZ5103" s="153"/>
      <c r="CA5103" s="152"/>
      <c r="CB5103" s="152"/>
    </row>
    <row r="5104" spans="1:80" s="87" customFormat="1" x14ac:dyDescent="0.2">
      <c r="A5104" s="152"/>
      <c r="B5104" s="683"/>
      <c r="C5104" s="683"/>
      <c r="D5104" s="698"/>
      <c r="E5104" s="215"/>
      <c r="F5104" s="215"/>
      <c r="G5104" s="153"/>
      <c r="H5104" s="153"/>
      <c r="I5104" s="153"/>
      <c r="J5104" s="153"/>
      <c r="K5104" s="153"/>
      <c r="L5104" s="653"/>
      <c r="M5104" s="666">
        <v>34052</v>
      </c>
      <c r="N5104" s="600">
        <v>5.01</v>
      </c>
      <c r="O5104" s="595">
        <f>(2303.2/1000)/270</f>
        <v>8.5303703703703705E-3</v>
      </c>
      <c r="P5104" s="266">
        <v>0</v>
      </c>
      <c r="Q5104" s="242">
        <f>1-0.95</f>
        <v>5.0000000000000044E-2</v>
      </c>
      <c r="R5104" s="242">
        <v>3.6999999999999998E-2</v>
      </c>
      <c r="S5104" s="242">
        <v>1.2E-2</v>
      </c>
      <c r="T5104" s="242">
        <v>1.7999999999999999E-2</v>
      </c>
      <c r="U5104" s="242">
        <v>1.7999999999999999E-2</v>
      </c>
      <c r="V5104" s="242">
        <v>2.0999999999999942E-2</v>
      </c>
      <c r="W5104" s="761">
        <v>0.84400000000000008</v>
      </c>
      <c r="X5104" s="767"/>
      <c r="Y5104" s="768"/>
      <c r="Z5104" s="762">
        <v>45</v>
      </c>
      <c r="AA5104" s="153"/>
      <c r="AB5104" s="152"/>
      <c r="AC5104" s="152"/>
      <c r="AD5104" s="150">
        <v>7.8</v>
      </c>
      <c r="AE5104" s="152"/>
      <c r="AF5104" s="153"/>
      <c r="AG5104" s="153"/>
      <c r="AH5104" s="346"/>
      <c r="AI5104" s="153"/>
      <c r="AJ5104" s="480"/>
      <c r="AK5104" s="153"/>
      <c r="AL5104" s="152"/>
      <c r="AM5104" s="152"/>
      <c r="AN5104" s="152"/>
      <c r="AO5104" s="152"/>
      <c r="AP5104" s="152"/>
      <c r="AQ5104" s="152"/>
      <c r="AR5104" s="152"/>
      <c r="AS5104" s="152"/>
      <c r="AT5104" s="152"/>
      <c r="AU5104" s="218"/>
      <c r="AV5104" s="218"/>
      <c r="AW5104" s="218"/>
      <c r="AX5104" s="218"/>
      <c r="AY5104" s="218"/>
      <c r="AZ5104" s="152"/>
      <c r="BA5104" s="152"/>
      <c r="BB5104" s="152"/>
      <c r="BC5104" s="152"/>
      <c r="BD5104" s="152"/>
      <c r="BE5104" s="152"/>
      <c r="BF5104" s="152"/>
      <c r="BG5104" s="152"/>
      <c r="BH5104" s="152"/>
      <c r="BI5104" s="153"/>
      <c r="BJ5104" s="153"/>
      <c r="BK5104" s="153"/>
      <c r="BL5104" s="153"/>
      <c r="BM5104" s="153"/>
      <c r="BN5104" s="153"/>
      <c r="BO5104" s="153"/>
      <c r="BP5104" s="153"/>
      <c r="BQ5104" s="153"/>
      <c r="BR5104" s="153"/>
      <c r="BS5104" s="153"/>
      <c r="BT5104" s="153"/>
      <c r="BU5104" s="153"/>
      <c r="BV5104" s="153"/>
      <c r="BW5104" s="153"/>
      <c r="BX5104" s="153"/>
      <c r="BY5104" s="153"/>
      <c r="BZ5104" s="153"/>
      <c r="CA5104" s="152"/>
      <c r="CB5104" s="152"/>
    </row>
    <row r="5105" spans="1:80" s="87" customFormat="1" x14ac:dyDescent="0.2">
      <c r="A5105" s="152"/>
      <c r="B5105" s="683"/>
      <c r="C5105" s="683"/>
      <c r="D5105" s="698"/>
      <c r="E5105" s="215"/>
      <c r="F5105" s="215"/>
      <c r="G5105" s="153"/>
      <c r="H5105" s="153"/>
      <c r="I5105" s="153"/>
      <c r="J5105" s="153"/>
      <c r="K5105" s="153"/>
      <c r="L5105" s="653"/>
      <c r="M5105" s="666">
        <v>34052</v>
      </c>
      <c r="N5105" s="600">
        <v>5.01</v>
      </c>
      <c r="O5105" s="595">
        <f>(3605.5/1000)/270</f>
        <v>1.3353703703703704E-2</v>
      </c>
      <c r="P5105" s="266">
        <v>0</v>
      </c>
      <c r="Q5105" s="242">
        <v>0</v>
      </c>
      <c r="R5105" s="242">
        <v>3.5999999999999997E-2</v>
      </c>
      <c r="S5105" s="242">
        <v>2.7E-2</v>
      </c>
      <c r="T5105" s="242">
        <v>2.5000000000000001E-2</v>
      </c>
      <c r="U5105" s="242">
        <v>1.9E-2</v>
      </c>
      <c r="V5105" s="242">
        <v>2.0999999999999942E-2</v>
      </c>
      <c r="W5105" s="761">
        <v>0.872</v>
      </c>
      <c r="X5105" s="767"/>
      <c r="Y5105" s="768"/>
      <c r="Z5105" s="762">
        <v>32</v>
      </c>
      <c r="AA5105" s="153"/>
      <c r="AB5105" s="152"/>
      <c r="AC5105" s="152"/>
      <c r="AD5105" s="150">
        <v>7.8</v>
      </c>
      <c r="AE5105" s="152"/>
      <c r="AF5105" s="153"/>
      <c r="AG5105" s="153"/>
      <c r="AH5105" s="346"/>
      <c r="AI5105" s="153"/>
      <c r="AJ5105" s="480"/>
      <c r="AK5105" s="153"/>
      <c r="AL5105" s="152"/>
      <c r="AM5105" s="152"/>
      <c r="AN5105" s="152"/>
      <c r="AO5105" s="152"/>
      <c r="AP5105" s="152"/>
      <c r="AQ5105" s="152"/>
      <c r="AR5105" s="152"/>
      <c r="AS5105" s="152"/>
      <c r="AT5105" s="152"/>
      <c r="AU5105" s="218"/>
      <c r="AV5105" s="218"/>
      <c r="AW5105" s="218"/>
      <c r="AX5105" s="218"/>
      <c r="AY5105" s="218"/>
      <c r="AZ5105" s="152"/>
      <c r="BA5105" s="152"/>
      <c r="BB5105" s="152"/>
      <c r="BC5105" s="152"/>
      <c r="BD5105" s="152"/>
      <c r="BE5105" s="152"/>
      <c r="BF5105" s="152"/>
      <c r="BG5105" s="152"/>
      <c r="BH5105" s="152"/>
      <c r="BI5105" s="153"/>
      <c r="BJ5105" s="153"/>
      <c r="BK5105" s="153"/>
      <c r="BL5105" s="153"/>
      <c r="BM5105" s="153"/>
      <c r="BN5105" s="153"/>
      <c r="BO5105" s="153"/>
      <c r="BP5105" s="153"/>
      <c r="BQ5105" s="153"/>
      <c r="BR5105" s="153"/>
      <c r="BS5105" s="153"/>
      <c r="BT5105" s="153"/>
      <c r="BU5105" s="153"/>
      <c r="BV5105" s="153"/>
      <c r="BW5105" s="153"/>
      <c r="BX5105" s="153"/>
      <c r="BY5105" s="153"/>
      <c r="BZ5105" s="153"/>
      <c r="CA5105" s="152"/>
      <c r="CB5105" s="152"/>
    </row>
    <row r="5106" spans="1:80" s="87" customFormat="1" x14ac:dyDescent="0.2">
      <c r="A5106" s="152"/>
      <c r="B5106" s="683"/>
      <c r="C5106" s="683"/>
      <c r="D5106" s="698"/>
      <c r="E5106" s="215"/>
      <c r="F5106" s="215"/>
      <c r="G5106" s="153"/>
      <c r="H5106" s="153"/>
      <c r="I5106" s="153"/>
      <c r="J5106" s="153"/>
      <c r="K5106" s="153"/>
      <c r="L5106" s="653"/>
      <c r="M5106" s="666">
        <v>34052</v>
      </c>
      <c r="N5106" s="600">
        <v>5.51</v>
      </c>
      <c r="O5106" s="595">
        <f>(6701.7/1000)/270</f>
        <v>2.482111111111111E-2</v>
      </c>
      <c r="P5106" s="266">
        <v>0</v>
      </c>
      <c r="Q5106" s="242">
        <v>0</v>
      </c>
      <c r="R5106" s="242">
        <v>0.02</v>
      </c>
      <c r="S5106" s="242">
        <v>1.0999999999999999E-2</v>
      </c>
      <c r="T5106" s="242">
        <v>1.2E-2</v>
      </c>
      <c r="U5106" s="242">
        <v>8.0000000000000002E-3</v>
      </c>
      <c r="V5106" s="242">
        <v>1.4000000000000058E-2</v>
      </c>
      <c r="W5106" s="761">
        <v>0.93500000000000005</v>
      </c>
      <c r="X5106" s="767"/>
      <c r="Y5106" s="768"/>
      <c r="Z5106" s="762">
        <v>32</v>
      </c>
      <c r="AA5106" s="153"/>
      <c r="AB5106" s="152"/>
      <c r="AC5106" s="152"/>
      <c r="AD5106" s="150">
        <v>7.8</v>
      </c>
      <c r="AE5106" s="152"/>
      <c r="AF5106" s="153"/>
      <c r="AG5106" s="153"/>
      <c r="AH5106" s="346"/>
      <c r="AI5106" s="153"/>
      <c r="AJ5106" s="480"/>
      <c r="AK5106" s="153"/>
      <c r="AL5106" s="152"/>
      <c r="AM5106" s="152"/>
      <c r="AN5106" s="152"/>
      <c r="AO5106" s="152"/>
      <c r="AP5106" s="152"/>
      <c r="AQ5106" s="152"/>
      <c r="AR5106" s="152"/>
      <c r="AS5106" s="152"/>
      <c r="AT5106" s="152"/>
      <c r="AU5106" s="218"/>
      <c r="AV5106" s="218"/>
      <c r="AW5106" s="218"/>
      <c r="AX5106" s="218"/>
      <c r="AY5106" s="218"/>
      <c r="AZ5106" s="152"/>
      <c r="BA5106" s="152"/>
      <c r="BB5106" s="152"/>
      <c r="BC5106" s="152"/>
      <c r="BD5106" s="152"/>
      <c r="BE5106" s="152"/>
      <c r="BF5106" s="152"/>
      <c r="BG5106" s="152"/>
      <c r="BH5106" s="152"/>
      <c r="BI5106" s="153"/>
      <c r="BJ5106" s="153"/>
      <c r="BK5106" s="153"/>
      <c r="BL5106" s="153"/>
      <c r="BM5106" s="153"/>
      <c r="BN5106" s="153"/>
      <c r="BO5106" s="153"/>
      <c r="BP5106" s="153"/>
      <c r="BQ5106" s="153"/>
      <c r="BR5106" s="153"/>
      <c r="BS5106" s="153"/>
      <c r="BT5106" s="153"/>
      <c r="BU5106" s="153"/>
      <c r="BV5106" s="153"/>
      <c r="BW5106" s="153"/>
      <c r="BX5106" s="153"/>
      <c r="BY5106" s="153"/>
      <c r="BZ5106" s="153"/>
      <c r="CA5106" s="152"/>
      <c r="CB5106" s="152"/>
    </row>
    <row r="5107" spans="1:80" s="87" customFormat="1" x14ac:dyDescent="0.2">
      <c r="A5107" s="152"/>
      <c r="B5107" s="683"/>
      <c r="C5107" s="683"/>
      <c r="D5107" s="698"/>
      <c r="E5107" s="215"/>
      <c r="F5107" s="215"/>
      <c r="G5107" s="153"/>
      <c r="H5107" s="153"/>
      <c r="I5107" s="153"/>
      <c r="J5107" s="153"/>
      <c r="K5107" s="153"/>
      <c r="L5107" s="653"/>
      <c r="M5107" s="666">
        <v>34054</v>
      </c>
      <c r="N5107" s="600">
        <v>5.91</v>
      </c>
      <c r="O5107" s="595">
        <f>(3190.1/1000)/270</f>
        <v>1.1815185185185184E-2</v>
      </c>
      <c r="P5107" s="266">
        <v>0</v>
      </c>
      <c r="Q5107" s="242">
        <v>0</v>
      </c>
      <c r="R5107" s="242">
        <v>5.0000000000000001E-3</v>
      </c>
      <c r="S5107" s="242">
        <v>3.5000000000000003E-2</v>
      </c>
      <c r="T5107" s="242">
        <v>1.9E-2</v>
      </c>
      <c r="U5107" s="242">
        <v>8.9999999999999993E-3</v>
      </c>
      <c r="V5107" s="242">
        <v>1.2999999999999972E-2</v>
      </c>
      <c r="W5107" s="761">
        <v>0.91900000000000004</v>
      </c>
      <c r="X5107" s="767"/>
      <c r="Y5107" s="768"/>
      <c r="Z5107" s="762">
        <v>22</v>
      </c>
      <c r="AA5107" s="153"/>
      <c r="AB5107" s="152"/>
      <c r="AC5107" s="152"/>
      <c r="AD5107" s="150">
        <v>7.8</v>
      </c>
      <c r="AE5107" s="152"/>
      <c r="AF5107" s="153"/>
      <c r="AG5107" s="153"/>
      <c r="AH5107" s="346"/>
      <c r="AI5107" s="153"/>
      <c r="AJ5107" s="480"/>
      <c r="AK5107" s="153"/>
      <c r="AL5107" s="152"/>
      <c r="AM5107" s="152"/>
      <c r="AN5107" s="152"/>
      <c r="AO5107" s="152"/>
      <c r="AP5107" s="152"/>
      <c r="AQ5107" s="152"/>
      <c r="AR5107" s="152"/>
      <c r="AS5107" s="152"/>
      <c r="AT5107" s="152"/>
      <c r="AU5107" s="218"/>
      <c r="AV5107" s="218"/>
      <c r="AW5107" s="218"/>
      <c r="AX5107" s="218"/>
      <c r="AY5107" s="218"/>
      <c r="AZ5107" s="152"/>
      <c r="BA5107" s="152"/>
      <c r="BB5107" s="152"/>
      <c r="BC5107" s="152"/>
      <c r="BD5107" s="152"/>
      <c r="BE5107" s="152"/>
      <c r="BF5107" s="152"/>
      <c r="BG5107" s="152"/>
      <c r="BH5107" s="152"/>
      <c r="BI5107" s="153"/>
      <c r="BJ5107" s="153"/>
      <c r="BK5107" s="153"/>
      <c r="BL5107" s="153"/>
      <c r="BM5107" s="153"/>
      <c r="BN5107" s="153"/>
      <c r="BO5107" s="153"/>
      <c r="BP5107" s="153"/>
      <c r="BQ5107" s="153"/>
      <c r="BR5107" s="153"/>
      <c r="BS5107" s="153"/>
      <c r="BT5107" s="153"/>
      <c r="BU5107" s="153"/>
      <c r="BV5107" s="153"/>
      <c r="BW5107" s="153"/>
      <c r="BX5107" s="153"/>
      <c r="BY5107" s="153"/>
      <c r="BZ5107" s="153"/>
      <c r="CA5107" s="152"/>
      <c r="CB5107" s="152"/>
    </row>
    <row r="5108" spans="1:80" s="87" customFormat="1" x14ac:dyDescent="0.2">
      <c r="A5108" s="152"/>
      <c r="B5108" s="683"/>
      <c r="C5108" s="683"/>
      <c r="D5108" s="698"/>
      <c r="E5108" s="215"/>
      <c r="F5108" s="215"/>
      <c r="G5108" s="153"/>
      <c r="H5108" s="153"/>
      <c r="I5108" s="153"/>
      <c r="J5108" s="153"/>
      <c r="K5108" s="153"/>
      <c r="L5108" s="653"/>
      <c r="M5108" s="666">
        <v>34054</v>
      </c>
      <c r="N5108" s="600">
        <v>5.91</v>
      </c>
      <c r="O5108" s="595">
        <f>(3685.8/1000)/270</f>
        <v>1.365111111111111E-2</v>
      </c>
      <c r="P5108" s="266">
        <v>0</v>
      </c>
      <c r="Q5108" s="242">
        <f>1-0.983</f>
        <v>1.7000000000000015E-2</v>
      </c>
      <c r="R5108" s="242">
        <v>3.3000000000000002E-2</v>
      </c>
      <c r="S5108" s="242">
        <v>4.2000000000000003E-2</v>
      </c>
      <c r="T5108" s="242">
        <v>2.1999999999999999E-2</v>
      </c>
      <c r="U5108" s="242">
        <v>7.0000000000000001E-3</v>
      </c>
      <c r="V5108" s="242">
        <v>9.0000000000000566E-3</v>
      </c>
      <c r="W5108" s="761">
        <v>0.87</v>
      </c>
      <c r="X5108" s="767"/>
      <c r="Y5108" s="768"/>
      <c r="Z5108" s="762">
        <v>45</v>
      </c>
      <c r="AA5108" s="153"/>
      <c r="AB5108" s="152"/>
      <c r="AC5108" s="152"/>
      <c r="AD5108" s="150">
        <v>7.8</v>
      </c>
      <c r="AE5108" s="152"/>
      <c r="AF5108" s="153"/>
      <c r="AG5108" s="153"/>
      <c r="AH5108" s="346"/>
      <c r="AI5108" s="153"/>
      <c r="AJ5108" s="480"/>
      <c r="AK5108" s="153"/>
      <c r="AL5108" s="152"/>
      <c r="AM5108" s="152"/>
      <c r="AN5108" s="152"/>
      <c r="AO5108" s="152"/>
      <c r="AP5108" s="152"/>
      <c r="AQ5108" s="152"/>
      <c r="AR5108" s="152"/>
      <c r="AS5108" s="152"/>
      <c r="AT5108" s="152"/>
      <c r="AU5108" s="218"/>
      <c r="AV5108" s="218"/>
      <c r="AW5108" s="218"/>
      <c r="AX5108" s="218"/>
      <c r="AY5108" s="218"/>
      <c r="AZ5108" s="152"/>
      <c r="BA5108" s="152"/>
      <c r="BB5108" s="152"/>
      <c r="BC5108" s="152"/>
      <c r="BD5108" s="152"/>
      <c r="BE5108" s="152"/>
      <c r="BF5108" s="152"/>
      <c r="BG5108" s="152"/>
      <c r="BH5108" s="152"/>
      <c r="BI5108" s="153"/>
      <c r="BJ5108" s="153"/>
      <c r="BK5108" s="153"/>
      <c r="BL5108" s="153"/>
      <c r="BM5108" s="153"/>
      <c r="BN5108" s="153"/>
      <c r="BO5108" s="153"/>
      <c r="BP5108" s="153"/>
      <c r="BQ5108" s="153"/>
      <c r="BR5108" s="153"/>
      <c r="BS5108" s="153"/>
      <c r="BT5108" s="153"/>
      <c r="BU5108" s="153"/>
      <c r="BV5108" s="153"/>
      <c r="BW5108" s="153"/>
      <c r="BX5108" s="153"/>
      <c r="BY5108" s="153"/>
      <c r="BZ5108" s="153"/>
      <c r="CA5108" s="152"/>
      <c r="CB5108" s="152"/>
    </row>
    <row r="5109" spans="1:80" s="87" customFormat="1" x14ac:dyDescent="0.2">
      <c r="A5109" s="152"/>
      <c r="B5109" s="683"/>
      <c r="C5109" s="683"/>
      <c r="D5109" s="698"/>
      <c r="E5109" s="215"/>
      <c r="F5109" s="215"/>
      <c r="G5109" s="153"/>
      <c r="H5109" s="153"/>
      <c r="I5109" s="153"/>
      <c r="J5109" s="153"/>
      <c r="K5109" s="153"/>
      <c r="L5109" s="653"/>
      <c r="M5109" s="666">
        <v>34054</v>
      </c>
      <c r="N5109" s="600">
        <v>5.79</v>
      </c>
      <c r="O5109" s="595">
        <f>(3933.8/1000)/270</f>
        <v>1.456962962962963E-2</v>
      </c>
      <c r="P5109" s="266">
        <v>0</v>
      </c>
      <c r="Q5109" s="242">
        <f>1-0.942</f>
        <v>5.8000000000000052E-2</v>
      </c>
      <c r="R5109" s="242">
        <v>2.3E-2</v>
      </c>
      <c r="S5109" s="242">
        <v>5.7000000000000002E-2</v>
      </c>
      <c r="T5109" s="242">
        <v>3.5999999999999997E-2</v>
      </c>
      <c r="U5109" s="242">
        <v>1.1299999999999999E-2</v>
      </c>
      <c r="V5109" s="242">
        <v>7.9999999999999724E-3</v>
      </c>
      <c r="W5109" s="761">
        <v>0.80500000000000005</v>
      </c>
      <c r="X5109" s="767"/>
      <c r="Y5109" s="768"/>
      <c r="Z5109" s="762">
        <v>45</v>
      </c>
      <c r="AA5109" s="153"/>
      <c r="AB5109" s="152"/>
      <c r="AC5109" s="152"/>
      <c r="AD5109" s="150">
        <v>7.8</v>
      </c>
      <c r="AE5109" s="152"/>
      <c r="AF5109" s="153"/>
      <c r="AG5109" s="153"/>
      <c r="AH5109" s="346"/>
      <c r="AI5109" s="153"/>
      <c r="AJ5109" s="480"/>
      <c r="AK5109" s="153"/>
      <c r="AL5109" s="152"/>
      <c r="AM5109" s="152"/>
      <c r="AN5109" s="152"/>
      <c r="AO5109" s="152"/>
      <c r="AP5109" s="152"/>
      <c r="AQ5109" s="152"/>
      <c r="AR5109" s="152"/>
      <c r="AS5109" s="152"/>
      <c r="AT5109" s="152"/>
      <c r="AU5109" s="218"/>
      <c r="AV5109" s="218"/>
      <c r="AW5109" s="218"/>
      <c r="AX5109" s="218"/>
      <c r="AY5109" s="218"/>
      <c r="AZ5109" s="152"/>
      <c r="BA5109" s="152"/>
      <c r="BB5109" s="152"/>
      <c r="BC5109" s="152"/>
      <c r="BD5109" s="152"/>
      <c r="BE5109" s="152"/>
      <c r="BF5109" s="152"/>
      <c r="BG5109" s="152"/>
      <c r="BH5109" s="152"/>
      <c r="BI5109" s="153"/>
      <c r="BJ5109" s="153"/>
      <c r="BK5109" s="153"/>
      <c r="BL5109" s="153"/>
      <c r="BM5109" s="153"/>
      <c r="BN5109" s="153"/>
      <c r="BO5109" s="153"/>
      <c r="BP5109" s="153"/>
      <c r="BQ5109" s="153"/>
      <c r="BR5109" s="153"/>
      <c r="BS5109" s="153"/>
      <c r="BT5109" s="153"/>
      <c r="BU5109" s="153"/>
      <c r="BV5109" s="153"/>
      <c r="BW5109" s="153"/>
      <c r="BX5109" s="153"/>
      <c r="BY5109" s="153"/>
      <c r="BZ5109" s="153"/>
      <c r="CA5109" s="152"/>
      <c r="CB5109" s="152"/>
    </row>
    <row r="5110" spans="1:80" s="87" customFormat="1" x14ac:dyDescent="0.2">
      <c r="A5110" s="152"/>
      <c r="B5110" s="683"/>
      <c r="C5110" s="683"/>
      <c r="D5110" s="698"/>
      <c r="E5110" s="215"/>
      <c r="F5110" s="215"/>
      <c r="G5110" s="153"/>
      <c r="H5110" s="153"/>
      <c r="I5110" s="153"/>
      <c r="J5110" s="153"/>
      <c r="K5110" s="153"/>
      <c r="L5110" s="653"/>
      <c r="M5110" s="666">
        <v>34054</v>
      </c>
      <c r="N5110" s="600">
        <v>5.79</v>
      </c>
      <c r="O5110" s="595">
        <f>(4060.9/1000)/270</f>
        <v>1.5040370370370371E-2</v>
      </c>
      <c r="P5110" s="266">
        <v>0</v>
      </c>
      <c r="Q5110" s="242">
        <v>0</v>
      </c>
      <c r="R5110" s="242">
        <v>6.6000000000000003E-2</v>
      </c>
      <c r="S5110" s="242">
        <v>9.9000000000000005E-2</v>
      </c>
      <c r="T5110" s="242">
        <v>7.1999999999999995E-2</v>
      </c>
      <c r="U5110" s="242">
        <v>3.1E-2</v>
      </c>
      <c r="V5110" s="242">
        <v>1.4000000000000058E-2</v>
      </c>
      <c r="W5110" s="761">
        <v>0.71799999999999997</v>
      </c>
      <c r="X5110" s="767"/>
      <c r="Y5110" s="768"/>
      <c r="Z5110" s="762">
        <v>32</v>
      </c>
      <c r="AA5110" s="153"/>
      <c r="AB5110" s="152"/>
      <c r="AC5110" s="152"/>
      <c r="AD5110" s="150">
        <v>7.8</v>
      </c>
      <c r="AE5110" s="152"/>
      <c r="AF5110" s="153"/>
      <c r="AG5110" s="153"/>
      <c r="AH5110" s="346"/>
      <c r="AI5110" s="153"/>
      <c r="AJ5110" s="480"/>
      <c r="AK5110" s="153"/>
      <c r="AL5110" s="152"/>
      <c r="AM5110" s="152"/>
      <c r="AN5110" s="152"/>
      <c r="AO5110" s="152"/>
      <c r="AP5110" s="152"/>
      <c r="AQ5110" s="152"/>
      <c r="AR5110" s="152"/>
      <c r="AS5110" s="152"/>
      <c r="AT5110" s="152"/>
      <c r="AU5110" s="218"/>
      <c r="AV5110" s="218"/>
      <c r="AW5110" s="218"/>
      <c r="AX5110" s="218"/>
      <c r="AY5110" s="218"/>
      <c r="AZ5110" s="152"/>
      <c r="BA5110" s="152"/>
      <c r="BB5110" s="152"/>
      <c r="BC5110" s="152"/>
      <c r="BD5110" s="152"/>
      <c r="BE5110" s="152"/>
      <c r="BF5110" s="152"/>
      <c r="BG5110" s="152"/>
      <c r="BH5110" s="152"/>
      <c r="BI5110" s="153"/>
      <c r="BJ5110" s="153"/>
      <c r="BK5110" s="153"/>
      <c r="BL5110" s="153"/>
      <c r="BM5110" s="153"/>
      <c r="BN5110" s="153"/>
      <c r="BO5110" s="153"/>
      <c r="BP5110" s="153"/>
      <c r="BQ5110" s="153"/>
      <c r="BR5110" s="153"/>
      <c r="BS5110" s="153"/>
      <c r="BT5110" s="153"/>
      <c r="BU5110" s="153"/>
      <c r="BV5110" s="153"/>
      <c r="BW5110" s="153"/>
      <c r="BX5110" s="153"/>
      <c r="BY5110" s="153"/>
      <c r="BZ5110" s="153"/>
      <c r="CA5110" s="152"/>
      <c r="CB5110" s="152"/>
    </row>
    <row r="5111" spans="1:80" s="87" customFormat="1" x14ac:dyDescent="0.2">
      <c r="A5111" s="152"/>
      <c r="B5111" s="683"/>
      <c r="C5111" s="683"/>
      <c r="D5111" s="698"/>
      <c r="E5111" s="215"/>
      <c r="F5111" s="215"/>
      <c r="G5111" s="153"/>
      <c r="H5111" s="153"/>
      <c r="I5111" s="153"/>
      <c r="J5111" s="153"/>
      <c r="K5111" s="153"/>
      <c r="L5111" s="653"/>
      <c r="M5111" s="666">
        <v>34065</v>
      </c>
      <c r="N5111" s="600">
        <v>5.56</v>
      </c>
      <c r="O5111" s="595">
        <f>(7643.9/1000)/270</f>
        <v>2.831074074074074E-2</v>
      </c>
      <c r="P5111" s="266">
        <v>0</v>
      </c>
      <c r="Q5111" s="242">
        <v>0</v>
      </c>
      <c r="R5111" s="242">
        <v>0.26300000000000001</v>
      </c>
      <c r="S5111" s="242">
        <v>0.104</v>
      </c>
      <c r="T5111" s="242">
        <v>6.5000000000000002E-2</v>
      </c>
      <c r="U5111" s="242">
        <v>2.8000000000000001E-2</v>
      </c>
      <c r="V5111" s="242">
        <v>2.6000000000000013E-2</v>
      </c>
      <c r="W5111" s="761">
        <v>0.51</v>
      </c>
      <c r="X5111" s="767"/>
      <c r="Y5111" s="768"/>
      <c r="Z5111" s="762">
        <v>32</v>
      </c>
      <c r="AA5111" s="153"/>
      <c r="AB5111" s="152"/>
      <c r="AC5111" s="152"/>
      <c r="AD5111" s="150">
        <v>7.8</v>
      </c>
      <c r="AE5111" s="152"/>
      <c r="AF5111" s="153"/>
      <c r="AG5111" s="153"/>
      <c r="AH5111" s="346"/>
      <c r="AI5111" s="153"/>
      <c r="AJ5111" s="480"/>
      <c r="AK5111" s="153"/>
      <c r="AL5111" s="152"/>
      <c r="AM5111" s="152"/>
      <c r="AN5111" s="152"/>
      <c r="AO5111" s="152"/>
      <c r="AP5111" s="152"/>
      <c r="AQ5111" s="152"/>
      <c r="AR5111" s="152"/>
      <c r="AS5111" s="152"/>
      <c r="AT5111" s="152"/>
      <c r="AU5111" s="218"/>
      <c r="AV5111" s="218"/>
      <c r="AW5111" s="218"/>
      <c r="AX5111" s="218"/>
      <c r="AY5111" s="218"/>
      <c r="AZ5111" s="152"/>
      <c r="BA5111" s="152"/>
      <c r="BB5111" s="152"/>
      <c r="BC5111" s="152"/>
      <c r="BD5111" s="152"/>
      <c r="BE5111" s="152"/>
      <c r="BF5111" s="152"/>
      <c r="BG5111" s="152"/>
      <c r="BH5111" s="152"/>
      <c r="BI5111" s="153"/>
      <c r="BJ5111" s="153"/>
      <c r="BK5111" s="153"/>
      <c r="BL5111" s="153"/>
      <c r="BM5111" s="153"/>
      <c r="BN5111" s="153"/>
      <c r="BO5111" s="153"/>
      <c r="BP5111" s="153"/>
      <c r="BQ5111" s="153"/>
      <c r="BR5111" s="153"/>
      <c r="BS5111" s="153"/>
      <c r="BT5111" s="153"/>
      <c r="BU5111" s="153"/>
      <c r="BV5111" s="153"/>
      <c r="BW5111" s="153"/>
      <c r="BX5111" s="153"/>
      <c r="BY5111" s="153"/>
      <c r="BZ5111" s="153"/>
      <c r="CA5111" s="152"/>
      <c r="CB5111" s="152"/>
    </row>
    <row r="5112" spans="1:80" s="87" customFormat="1" x14ac:dyDescent="0.2">
      <c r="A5112" s="152"/>
      <c r="B5112" s="683"/>
      <c r="C5112" s="683"/>
      <c r="D5112" s="698"/>
      <c r="E5112" s="215"/>
      <c r="F5112" s="215"/>
      <c r="G5112" s="153"/>
      <c r="H5112" s="153"/>
      <c r="I5112" s="153"/>
      <c r="J5112" s="153"/>
      <c r="K5112" s="153"/>
      <c r="L5112" s="653"/>
      <c r="M5112" s="666">
        <v>34066</v>
      </c>
      <c r="N5112" s="600">
        <v>5.23</v>
      </c>
      <c r="O5112" s="595">
        <f>(10013.4/1000)/540</f>
        <v>1.8543333333333332E-2</v>
      </c>
      <c r="P5112" s="266">
        <v>0</v>
      </c>
      <c r="Q5112" s="242">
        <f>1-0.979</f>
        <v>2.1000000000000019E-2</v>
      </c>
      <c r="R5112" s="242">
        <v>3.5999999999999997E-2</v>
      </c>
      <c r="S5112" s="242">
        <v>0.11799999999999999</v>
      </c>
      <c r="T5112" s="242">
        <v>7.0999999999999994E-2</v>
      </c>
      <c r="U5112" s="242">
        <v>3.1E-2</v>
      </c>
      <c r="V5112" s="242">
        <v>3.2000000000000028E-2</v>
      </c>
      <c r="W5112" s="761">
        <v>0.69099999999999995</v>
      </c>
      <c r="X5112" s="767"/>
      <c r="Y5112" s="768"/>
      <c r="Z5112" s="762">
        <v>45</v>
      </c>
      <c r="AA5112" s="153"/>
      <c r="AB5112" s="152"/>
      <c r="AC5112" s="152"/>
      <c r="AD5112" s="150">
        <v>7.8</v>
      </c>
      <c r="AE5112" s="152"/>
      <c r="AF5112" s="153"/>
      <c r="AG5112" s="153"/>
      <c r="AH5112" s="346"/>
      <c r="AI5112" s="153"/>
      <c r="AJ5112" s="480"/>
      <c r="AK5112" s="153"/>
      <c r="AL5112" s="152"/>
      <c r="AM5112" s="152"/>
      <c r="AN5112" s="152"/>
      <c r="AO5112" s="152"/>
      <c r="AP5112" s="152"/>
      <c r="AQ5112" s="152"/>
      <c r="AR5112" s="152"/>
      <c r="AS5112" s="152"/>
      <c r="AT5112" s="152"/>
      <c r="AU5112" s="218"/>
      <c r="AV5112" s="218"/>
      <c r="AW5112" s="218"/>
      <c r="AX5112" s="218"/>
      <c r="AY5112" s="218"/>
      <c r="AZ5112" s="152"/>
      <c r="BA5112" s="152"/>
      <c r="BB5112" s="152"/>
      <c r="BC5112" s="152"/>
      <c r="BD5112" s="152"/>
      <c r="BE5112" s="152"/>
      <c r="BF5112" s="152"/>
      <c r="BG5112" s="152"/>
      <c r="BH5112" s="152"/>
      <c r="BI5112" s="153"/>
      <c r="BJ5112" s="153"/>
      <c r="BK5112" s="153"/>
      <c r="BL5112" s="153"/>
      <c r="BM5112" s="153"/>
      <c r="BN5112" s="153"/>
      <c r="BO5112" s="153"/>
      <c r="BP5112" s="153"/>
      <c r="BQ5112" s="153"/>
      <c r="BR5112" s="153"/>
      <c r="BS5112" s="153"/>
      <c r="BT5112" s="153"/>
      <c r="BU5112" s="153"/>
      <c r="BV5112" s="153"/>
      <c r="BW5112" s="153"/>
      <c r="BX5112" s="153"/>
      <c r="BY5112" s="153"/>
      <c r="BZ5112" s="153"/>
      <c r="CA5112" s="152"/>
      <c r="CB5112" s="152"/>
    </row>
    <row r="5113" spans="1:80" s="87" customFormat="1" x14ac:dyDescent="0.2">
      <c r="A5113" s="152"/>
      <c r="B5113" s="683"/>
      <c r="C5113" s="683"/>
      <c r="D5113" s="698"/>
      <c r="E5113" s="215"/>
      <c r="F5113" s="215"/>
      <c r="G5113" s="153"/>
      <c r="H5113" s="153"/>
      <c r="I5113" s="153"/>
      <c r="J5113" s="153"/>
      <c r="K5113" s="153"/>
      <c r="L5113" s="653"/>
      <c r="M5113" s="666">
        <v>34074</v>
      </c>
      <c r="N5113" s="600">
        <v>4.96</v>
      </c>
      <c r="O5113" s="595">
        <f>(6340.3/1000)/600</f>
        <v>1.0567166666666667E-2</v>
      </c>
      <c r="P5113" s="266">
        <v>0</v>
      </c>
      <c r="Q5113" s="242">
        <v>0</v>
      </c>
      <c r="R5113" s="242">
        <v>2.4E-2</v>
      </c>
      <c r="S5113" s="242">
        <v>4.3999999999999997E-2</v>
      </c>
      <c r="T5113" s="242">
        <v>0.04</v>
      </c>
      <c r="U5113" s="242">
        <v>2.5999999999999999E-2</v>
      </c>
      <c r="V5113" s="242">
        <v>4.7999999999999973E-2</v>
      </c>
      <c r="W5113" s="761">
        <v>0.81799999999999995</v>
      </c>
      <c r="X5113" s="767"/>
      <c r="Y5113" s="768"/>
      <c r="Z5113" s="762">
        <v>32</v>
      </c>
      <c r="AA5113" s="153"/>
      <c r="AB5113" s="152"/>
      <c r="AC5113" s="152"/>
      <c r="AD5113" s="150">
        <v>7.8</v>
      </c>
      <c r="AE5113" s="152"/>
      <c r="AF5113" s="153"/>
      <c r="AG5113" s="153"/>
      <c r="AH5113" s="346"/>
      <c r="AI5113" s="153"/>
      <c r="AJ5113" s="480"/>
      <c r="AK5113" s="153"/>
      <c r="AL5113" s="152"/>
      <c r="AM5113" s="152"/>
      <c r="AN5113" s="152"/>
      <c r="AO5113" s="152"/>
      <c r="AP5113" s="152"/>
      <c r="AQ5113" s="152"/>
      <c r="AR5113" s="152"/>
      <c r="AS5113" s="152"/>
      <c r="AT5113" s="152"/>
      <c r="AU5113" s="218"/>
      <c r="AV5113" s="218"/>
      <c r="AW5113" s="218"/>
      <c r="AX5113" s="218"/>
      <c r="AY5113" s="218"/>
      <c r="AZ5113" s="152"/>
      <c r="BA5113" s="152"/>
      <c r="BB5113" s="152"/>
      <c r="BC5113" s="152"/>
      <c r="BD5113" s="152"/>
      <c r="BE5113" s="152"/>
      <c r="BF5113" s="152"/>
      <c r="BG5113" s="152"/>
      <c r="BH5113" s="152"/>
      <c r="BI5113" s="153"/>
      <c r="BJ5113" s="153"/>
      <c r="BK5113" s="153"/>
      <c r="BL5113" s="153"/>
      <c r="BM5113" s="153"/>
      <c r="BN5113" s="153"/>
      <c r="BO5113" s="153"/>
      <c r="BP5113" s="153"/>
      <c r="BQ5113" s="153"/>
      <c r="BR5113" s="153"/>
      <c r="BS5113" s="153"/>
      <c r="BT5113" s="153"/>
      <c r="BU5113" s="153"/>
      <c r="BV5113" s="153"/>
      <c r="BW5113" s="153"/>
      <c r="BX5113" s="153"/>
      <c r="BY5113" s="153"/>
      <c r="BZ5113" s="153"/>
      <c r="CA5113" s="152"/>
      <c r="CB5113" s="152"/>
    </row>
    <row r="5114" spans="1:80" s="87" customFormat="1" x14ac:dyDescent="0.2">
      <c r="A5114" s="152"/>
      <c r="B5114" s="683"/>
      <c r="C5114" s="683"/>
      <c r="D5114" s="698"/>
      <c r="E5114" s="215"/>
      <c r="F5114" s="215"/>
      <c r="G5114" s="153"/>
      <c r="H5114" s="153"/>
      <c r="I5114" s="153"/>
      <c r="J5114" s="153"/>
      <c r="K5114" s="153"/>
      <c r="L5114" s="653"/>
      <c r="M5114" s="666">
        <v>34081</v>
      </c>
      <c r="N5114" s="600">
        <v>5.68</v>
      </c>
      <c r="O5114" s="595">
        <f>(10430.1/1000)/600</f>
        <v>1.73835E-2</v>
      </c>
      <c r="P5114" s="266">
        <v>0</v>
      </c>
      <c r="Q5114" s="242">
        <v>0</v>
      </c>
      <c r="R5114" s="242">
        <v>2.5000000000000001E-2</v>
      </c>
      <c r="S5114" s="242">
        <v>0.115</v>
      </c>
      <c r="T5114" s="242">
        <v>0.126</v>
      </c>
      <c r="U5114" s="242">
        <v>8.2000000000000003E-2</v>
      </c>
      <c r="V5114" s="242">
        <v>8.3000000000000046E-2</v>
      </c>
      <c r="W5114" s="761">
        <v>0.56899999999999995</v>
      </c>
      <c r="X5114" s="767"/>
      <c r="Y5114" s="768"/>
      <c r="Z5114" s="762">
        <v>32</v>
      </c>
      <c r="AA5114" s="153"/>
      <c r="AB5114" s="152"/>
      <c r="AC5114" s="152"/>
      <c r="AD5114" s="150">
        <v>7.8</v>
      </c>
      <c r="AE5114" s="152"/>
      <c r="AF5114" s="153"/>
      <c r="AG5114" s="153"/>
      <c r="AH5114" s="346"/>
      <c r="AI5114" s="153"/>
      <c r="AJ5114" s="480"/>
      <c r="AK5114" s="153"/>
      <c r="AL5114" s="152"/>
      <c r="AM5114" s="152"/>
      <c r="AN5114" s="152"/>
      <c r="AO5114" s="152"/>
      <c r="AP5114" s="152"/>
      <c r="AQ5114" s="152"/>
      <c r="AR5114" s="152"/>
      <c r="AS5114" s="152"/>
      <c r="AT5114" s="152"/>
      <c r="AU5114" s="218"/>
      <c r="AV5114" s="218"/>
      <c r="AW5114" s="218"/>
      <c r="AX5114" s="218"/>
      <c r="AY5114" s="218"/>
      <c r="AZ5114" s="152"/>
      <c r="BA5114" s="152"/>
      <c r="BB5114" s="152"/>
      <c r="BC5114" s="152"/>
      <c r="BD5114" s="152"/>
      <c r="BE5114" s="152"/>
      <c r="BF5114" s="152"/>
      <c r="BG5114" s="152"/>
      <c r="BH5114" s="152"/>
      <c r="BI5114" s="153"/>
      <c r="BJ5114" s="153"/>
      <c r="BK5114" s="153"/>
      <c r="BL5114" s="153"/>
      <c r="BM5114" s="153"/>
      <c r="BN5114" s="153"/>
      <c r="BO5114" s="153"/>
      <c r="BP5114" s="153"/>
      <c r="BQ5114" s="153"/>
      <c r="BR5114" s="153"/>
      <c r="BS5114" s="153"/>
      <c r="BT5114" s="153"/>
      <c r="BU5114" s="153"/>
      <c r="BV5114" s="153"/>
      <c r="BW5114" s="153"/>
      <c r="BX5114" s="153"/>
      <c r="BY5114" s="153"/>
      <c r="BZ5114" s="153"/>
      <c r="CA5114" s="152"/>
      <c r="CB5114" s="152"/>
    </row>
    <row r="5115" spans="1:80" s="87" customFormat="1" x14ac:dyDescent="0.2">
      <c r="A5115" s="152"/>
      <c r="B5115" s="683"/>
      <c r="C5115" s="683"/>
      <c r="D5115" s="698"/>
      <c r="E5115" s="215"/>
      <c r="F5115" s="215"/>
      <c r="G5115" s="153"/>
      <c r="H5115" s="153"/>
      <c r="I5115" s="153"/>
      <c r="J5115" s="153"/>
      <c r="K5115" s="153"/>
      <c r="L5115" s="653"/>
      <c r="M5115" s="666">
        <v>34100</v>
      </c>
      <c r="N5115" s="600">
        <v>2.79</v>
      </c>
      <c r="O5115" s="595">
        <f>(1132.3/1000)/600</f>
        <v>1.8871666666666663E-3</v>
      </c>
      <c r="P5115" s="266">
        <v>0</v>
      </c>
      <c r="Q5115" s="242">
        <v>0</v>
      </c>
      <c r="R5115" s="242">
        <v>4.0000000000000001E-3</v>
      </c>
      <c r="S5115" s="242">
        <v>0.127</v>
      </c>
      <c r="T5115" s="242">
        <v>0.123</v>
      </c>
      <c r="U5115" s="242">
        <v>6.9000000000000006E-2</v>
      </c>
      <c r="V5115" s="242">
        <v>0.39800000000000002</v>
      </c>
      <c r="W5115" s="761">
        <v>0.57899999999999996</v>
      </c>
      <c r="X5115" s="767"/>
      <c r="Y5115" s="768"/>
      <c r="Z5115" s="762">
        <v>22</v>
      </c>
      <c r="AA5115" s="153"/>
      <c r="AB5115" s="152"/>
      <c r="AC5115" s="152"/>
      <c r="AD5115" s="150">
        <v>7.8</v>
      </c>
      <c r="AE5115" s="152"/>
      <c r="AF5115" s="153"/>
      <c r="AG5115" s="153"/>
      <c r="AH5115" s="346"/>
      <c r="AI5115" s="153"/>
      <c r="AJ5115" s="480"/>
      <c r="AK5115" s="153"/>
      <c r="AL5115" s="152"/>
      <c r="AM5115" s="152"/>
      <c r="AN5115" s="152"/>
      <c r="AO5115" s="152"/>
      <c r="AP5115" s="152"/>
      <c r="AQ5115" s="152"/>
      <c r="AR5115" s="152"/>
      <c r="AS5115" s="152"/>
      <c r="AT5115" s="152"/>
      <c r="AU5115" s="218"/>
      <c r="AV5115" s="218"/>
      <c r="AW5115" s="218"/>
      <c r="AX5115" s="218"/>
      <c r="AY5115" s="218"/>
      <c r="AZ5115" s="152"/>
      <c r="BA5115" s="152"/>
      <c r="BB5115" s="152"/>
      <c r="BC5115" s="152"/>
      <c r="BD5115" s="152"/>
      <c r="BE5115" s="152"/>
      <c r="BF5115" s="152"/>
      <c r="BG5115" s="152"/>
      <c r="BH5115" s="152"/>
      <c r="BI5115" s="153"/>
      <c r="BJ5115" s="153"/>
      <c r="BK5115" s="153"/>
      <c r="BL5115" s="153"/>
      <c r="BM5115" s="153"/>
      <c r="BN5115" s="153"/>
      <c r="BO5115" s="153"/>
      <c r="BP5115" s="153"/>
      <c r="BQ5115" s="153"/>
      <c r="BR5115" s="153"/>
      <c r="BS5115" s="153"/>
      <c r="BT5115" s="153"/>
      <c r="BU5115" s="153"/>
      <c r="BV5115" s="153"/>
      <c r="BW5115" s="153"/>
      <c r="BX5115" s="153"/>
      <c r="BY5115" s="153"/>
      <c r="BZ5115" s="153"/>
      <c r="CA5115" s="152"/>
      <c r="CB5115" s="152"/>
    </row>
    <row r="5116" spans="1:80" s="87" customFormat="1" x14ac:dyDescent="0.2">
      <c r="A5116" s="152"/>
      <c r="B5116" s="683"/>
      <c r="C5116" s="683"/>
      <c r="D5116" s="698"/>
      <c r="E5116" s="215"/>
      <c r="F5116" s="215"/>
      <c r="G5116" s="153"/>
      <c r="H5116" s="153"/>
      <c r="I5116" s="153"/>
      <c r="J5116" s="153"/>
      <c r="K5116" s="153"/>
      <c r="L5116" s="653"/>
      <c r="M5116" s="666">
        <v>34106</v>
      </c>
      <c r="N5116" s="600">
        <v>4.6900000000000004</v>
      </c>
      <c r="O5116" s="595">
        <f>(4870.9/1000)/600</f>
        <v>8.1181666666666659E-3</v>
      </c>
      <c r="P5116" s="266">
        <v>0</v>
      </c>
      <c r="Q5116" s="242">
        <v>0</v>
      </c>
      <c r="R5116" s="242">
        <v>7.6999999999999999E-2</v>
      </c>
      <c r="S5116" s="242">
        <v>0.183</v>
      </c>
      <c r="T5116" s="242">
        <v>0.17599999999999999</v>
      </c>
      <c r="U5116" s="242">
        <v>8.6999999999999994E-2</v>
      </c>
      <c r="V5116" s="242">
        <v>7.3000000000000037E-2</v>
      </c>
      <c r="W5116" s="761">
        <v>0.40399999999999997</v>
      </c>
      <c r="X5116" s="767"/>
      <c r="Y5116" s="768"/>
      <c r="Z5116" s="762">
        <v>32</v>
      </c>
      <c r="AA5116" s="153"/>
      <c r="AB5116" s="152"/>
      <c r="AC5116" s="152"/>
      <c r="AD5116" s="150">
        <v>7.8</v>
      </c>
      <c r="AE5116" s="152"/>
      <c r="AF5116" s="153"/>
      <c r="AG5116" s="153"/>
      <c r="AH5116" s="346"/>
      <c r="AI5116" s="153"/>
      <c r="AJ5116" s="480"/>
      <c r="AK5116" s="153"/>
      <c r="AL5116" s="152"/>
      <c r="AM5116" s="152"/>
      <c r="AN5116" s="152"/>
      <c r="AO5116" s="152"/>
      <c r="AP5116" s="152"/>
      <c r="AQ5116" s="152"/>
      <c r="AR5116" s="152"/>
      <c r="AS5116" s="152"/>
      <c r="AT5116" s="152"/>
      <c r="AU5116" s="218"/>
      <c r="AV5116" s="218"/>
      <c r="AW5116" s="218"/>
      <c r="AX5116" s="218"/>
      <c r="AY5116" s="218"/>
      <c r="AZ5116" s="152"/>
      <c r="BA5116" s="152"/>
      <c r="BB5116" s="152"/>
      <c r="BC5116" s="152"/>
      <c r="BD5116" s="152"/>
      <c r="BE5116" s="152"/>
      <c r="BF5116" s="152"/>
      <c r="BG5116" s="152"/>
      <c r="BH5116" s="152"/>
      <c r="BI5116" s="153"/>
      <c r="BJ5116" s="153"/>
      <c r="BK5116" s="153"/>
      <c r="BL5116" s="153"/>
      <c r="BM5116" s="153"/>
      <c r="BN5116" s="153"/>
      <c r="BO5116" s="153"/>
      <c r="BP5116" s="153"/>
      <c r="BQ5116" s="153"/>
      <c r="BR5116" s="153"/>
      <c r="BS5116" s="153"/>
      <c r="BT5116" s="153"/>
      <c r="BU5116" s="153"/>
      <c r="BV5116" s="153"/>
      <c r="BW5116" s="153"/>
      <c r="BX5116" s="153"/>
      <c r="BY5116" s="153"/>
      <c r="BZ5116" s="153"/>
      <c r="CA5116" s="152"/>
      <c r="CB5116" s="152"/>
    </row>
    <row r="5117" spans="1:80" s="87" customFormat="1" x14ac:dyDescent="0.2">
      <c r="A5117" s="152"/>
      <c r="B5117" s="683"/>
      <c r="C5117" s="683"/>
      <c r="D5117" s="698"/>
      <c r="E5117" s="215"/>
      <c r="F5117" s="215"/>
      <c r="G5117" s="153"/>
      <c r="H5117" s="153"/>
      <c r="I5117" s="153"/>
      <c r="J5117" s="153"/>
      <c r="K5117" s="153"/>
      <c r="L5117" s="653"/>
      <c r="M5117" s="666">
        <v>34116</v>
      </c>
      <c r="N5117" s="600">
        <v>2.3420000000000001</v>
      </c>
      <c r="O5117" s="595">
        <f>(1630.5/1000)/600</f>
        <v>2.7175000000000003E-3</v>
      </c>
      <c r="P5117" s="266">
        <v>0</v>
      </c>
      <c r="Q5117" s="242">
        <v>0</v>
      </c>
      <c r="R5117" s="242">
        <v>5.0000000000000001E-3</v>
      </c>
      <c r="S5117" s="242">
        <v>2.3E-2</v>
      </c>
      <c r="T5117" s="242">
        <v>4.3999999999999997E-2</v>
      </c>
      <c r="U5117" s="242">
        <v>4.2000000000000003E-2</v>
      </c>
      <c r="V5117" s="242">
        <v>8.6999999999999883E-2</v>
      </c>
      <c r="W5117" s="761">
        <v>0.79900000000000004</v>
      </c>
      <c r="X5117" s="767"/>
      <c r="Y5117" s="768"/>
      <c r="Z5117" s="762">
        <v>22</v>
      </c>
      <c r="AA5117" s="153"/>
      <c r="AB5117" s="152"/>
      <c r="AC5117" s="152"/>
      <c r="AD5117" s="150">
        <v>7.8</v>
      </c>
      <c r="AE5117" s="152"/>
      <c r="AF5117" s="153"/>
      <c r="AG5117" s="153"/>
      <c r="AH5117" s="346"/>
      <c r="AI5117" s="153"/>
      <c r="AJ5117" s="480"/>
      <c r="AK5117" s="153"/>
      <c r="AL5117" s="152"/>
      <c r="AM5117" s="152"/>
      <c r="AN5117" s="152"/>
      <c r="AO5117" s="152"/>
      <c r="AP5117" s="152"/>
      <c r="AQ5117" s="152"/>
      <c r="AR5117" s="152"/>
      <c r="AS5117" s="152"/>
      <c r="AT5117" s="152"/>
      <c r="AU5117" s="218"/>
      <c r="AV5117" s="218"/>
      <c r="AW5117" s="218"/>
      <c r="AX5117" s="218"/>
      <c r="AY5117" s="218"/>
      <c r="AZ5117" s="152"/>
      <c r="BA5117" s="152"/>
      <c r="BB5117" s="152"/>
      <c r="BC5117" s="152"/>
      <c r="BD5117" s="152"/>
      <c r="BE5117" s="152"/>
      <c r="BF5117" s="152"/>
      <c r="BG5117" s="152"/>
      <c r="BH5117" s="152"/>
      <c r="BI5117" s="153"/>
      <c r="BJ5117" s="153"/>
      <c r="BK5117" s="153"/>
      <c r="BL5117" s="153"/>
      <c r="BM5117" s="153"/>
      <c r="BN5117" s="153"/>
      <c r="BO5117" s="153"/>
      <c r="BP5117" s="153"/>
      <c r="BQ5117" s="153"/>
      <c r="BR5117" s="153"/>
      <c r="BS5117" s="153"/>
      <c r="BT5117" s="153"/>
      <c r="BU5117" s="153"/>
      <c r="BV5117" s="153"/>
      <c r="BW5117" s="153"/>
      <c r="BX5117" s="153"/>
      <c r="BY5117" s="153"/>
      <c r="BZ5117" s="153"/>
      <c r="CA5117" s="152"/>
      <c r="CB5117" s="152"/>
    </row>
    <row r="5118" spans="1:80" s="87" customFormat="1" x14ac:dyDescent="0.2">
      <c r="A5118" s="152"/>
      <c r="B5118" s="683"/>
      <c r="C5118" s="683"/>
      <c r="D5118" s="698"/>
      <c r="E5118" s="215"/>
      <c r="F5118" s="215"/>
      <c r="G5118" s="153"/>
      <c r="H5118" s="153"/>
      <c r="I5118" s="153"/>
      <c r="J5118" s="153"/>
      <c r="K5118" s="153"/>
      <c r="L5118" s="653"/>
      <c r="M5118" s="663">
        <v>34376</v>
      </c>
      <c r="N5118" s="600">
        <v>1.671</v>
      </c>
      <c r="O5118" s="595">
        <f>(805.7/1000)/600</f>
        <v>1.3428333333333335E-3</v>
      </c>
      <c r="P5118" s="266">
        <v>0</v>
      </c>
      <c r="Q5118" s="242">
        <v>0</v>
      </c>
      <c r="R5118" s="242">
        <v>0</v>
      </c>
      <c r="S5118" s="242">
        <v>0.01</v>
      </c>
      <c r="T5118" s="242">
        <v>1.2999999999999999E-2</v>
      </c>
      <c r="U5118" s="242">
        <v>1.6E-2</v>
      </c>
      <c r="V5118" s="242">
        <v>4.3999999999999914E-2</v>
      </c>
      <c r="W5118" s="761">
        <v>0.91700000000000004</v>
      </c>
      <c r="X5118" s="767"/>
      <c r="Y5118" s="768"/>
      <c r="Z5118" s="762">
        <v>16</v>
      </c>
      <c r="AA5118" s="153"/>
      <c r="AB5118" s="152"/>
      <c r="AC5118" s="152"/>
      <c r="AD5118" s="150">
        <v>7.8</v>
      </c>
      <c r="AE5118" s="152"/>
      <c r="AF5118" s="153"/>
      <c r="AG5118" s="153"/>
      <c r="AH5118" s="346"/>
      <c r="AI5118" s="153"/>
      <c r="AJ5118" s="480"/>
      <c r="AK5118" s="153"/>
      <c r="AL5118" s="152"/>
      <c r="AM5118" s="152"/>
      <c r="AN5118" s="152"/>
      <c r="AO5118" s="152"/>
      <c r="AP5118" s="152"/>
      <c r="AQ5118" s="152"/>
      <c r="AR5118" s="152"/>
      <c r="AS5118" s="152"/>
      <c r="AT5118" s="152"/>
      <c r="AU5118" s="218"/>
      <c r="AV5118" s="218"/>
      <c r="AW5118" s="218"/>
      <c r="AX5118" s="218"/>
      <c r="AY5118" s="218"/>
      <c r="AZ5118" s="152"/>
      <c r="BA5118" s="152"/>
      <c r="BB5118" s="152"/>
      <c r="BC5118" s="152"/>
      <c r="BD5118" s="152"/>
      <c r="BE5118" s="152"/>
      <c r="BF5118" s="152"/>
      <c r="BG5118" s="152"/>
      <c r="BH5118" s="152"/>
      <c r="BI5118" s="153"/>
      <c r="BJ5118" s="153"/>
      <c r="BK5118" s="153"/>
      <c r="BL5118" s="153"/>
      <c r="BM5118" s="153"/>
      <c r="BN5118" s="153"/>
      <c r="BO5118" s="153"/>
      <c r="BP5118" s="153"/>
      <c r="BQ5118" s="153"/>
      <c r="BR5118" s="153"/>
      <c r="BS5118" s="153"/>
      <c r="BT5118" s="153"/>
      <c r="BU5118" s="153"/>
      <c r="BV5118" s="153"/>
      <c r="BW5118" s="153"/>
      <c r="BX5118" s="153"/>
      <c r="BY5118" s="153"/>
      <c r="BZ5118" s="153"/>
      <c r="CA5118" s="152"/>
      <c r="CB5118" s="152"/>
    </row>
    <row r="5119" spans="1:80" s="87" customFormat="1" x14ac:dyDescent="0.2">
      <c r="A5119" s="152"/>
      <c r="B5119" s="683"/>
      <c r="C5119" s="683"/>
      <c r="D5119" s="698"/>
      <c r="E5119" s="215"/>
      <c r="F5119" s="215"/>
      <c r="G5119" s="153"/>
      <c r="H5119" s="153"/>
      <c r="I5119" s="153"/>
      <c r="J5119" s="153"/>
      <c r="K5119" s="153"/>
      <c r="L5119" s="653"/>
      <c r="M5119" s="663">
        <v>34377</v>
      </c>
      <c r="N5119" s="600">
        <v>1.875</v>
      </c>
      <c r="O5119" s="595">
        <f>(779.1/1000)/600</f>
        <v>1.2985E-3</v>
      </c>
      <c r="P5119" s="266">
        <v>0</v>
      </c>
      <c r="Q5119" s="242">
        <v>0</v>
      </c>
      <c r="R5119" s="242">
        <v>8.6999999999999994E-2</v>
      </c>
      <c r="S5119" s="242">
        <v>5.0000000000000001E-3</v>
      </c>
      <c r="T5119" s="242">
        <v>7.0000000000000001E-3</v>
      </c>
      <c r="U5119" s="242">
        <v>0.02</v>
      </c>
      <c r="V5119" s="242">
        <v>3.199999999999989E-2</v>
      </c>
      <c r="W5119" s="761">
        <v>0.84900000000000009</v>
      </c>
      <c r="X5119" s="767"/>
      <c r="Y5119" s="768"/>
      <c r="Z5119" s="762">
        <v>32</v>
      </c>
      <c r="AA5119" s="153"/>
      <c r="AB5119" s="152"/>
      <c r="AC5119" s="152"/>
      <c r="AD5119" s="150">
        <v>7.8</v>
      </c>
      <c r="AE5119" s="152"/>
      <c r="AF5119" s="153"/>
      <c r="AG5119" s="153"/>
      <c r="AH5119" s="346"/>
      <c r="AI5119" s="153"/>
      <c r="AJ5119" s="480"/>
      <c r="AK5119" s="153"/>
      <c r="AL5119" s="152"/>
      <c r="AM5119" s="152"/>
      <c r="AN5119" s="152"/>
      <c r="AO5119" s="152"/>
      <c r="AP5119" s="152"/>
      <c r="AQ5119" s="152"/>
      <c r="AR5119" s="152"/>
      <c r="AS5119" s="152"/>
      <c r="AT5119" s="152"/>
      <c r="AU5119" s="218"/>
      <c r="AV5119" s="218"/>
      <c r="AW5119" s="218"/>
      <c r="AX5119" s="218"/>
      <c r="AY5119" s="218"/>
      <c r="AZ5119" s="152"/>
      <c r="BA5119" s="152"/>
      <c r="BB5119" s="152"/>
      <c r="BC5119" s="152"/>
      <c r="BD5119" s="152"/>
      <c r="BE5119" s="152"/>
      <c r="BF5119" s="152"/>
      <c r="BG5119" s="152"/>
      <c r="BH5119" s="152"/>
      <c r="BI5119" s="153"/>
      <c r="BJ5119" s="153"/>
      <c r="BK5119" s="153"/>
      <c r="BL5119" s="153"/>
      <c r="BM5119" s="153"/>
      <c r="BN5119" s="153"/>
      <c r="BO5119" s="153"/>
      <c r="BP5119" s="153"/>
      <c r="BQ5119" s="153"/>
      <c r="BR5119" s="153"/>
      <c r="BS5119" s="153"/>
      <c r="BT5119" s="153"/>
      <c r="BU5119" s="153"/>
      <c r="BV5119" s="153"/>
      <c r="BW5119" s="153"/>
      <c r="BX5119" s="153"/>
      <c r="BY5119" s="153"/>
      <c r="BZ5119" s="153"/>
      <c r="CA5119" s="152"/>
      <c r="CB5119" s="152"/>
    </row>
    <row r="5120" spans="1:80" s="87" customFormat="1" x14ac:dyDescent="0.2">
      <c r="A5120" s="152"/>
      <c r="B5120" s="683"/>
      <c r="C5120" s="683"/>
      <c r="D5120" s="698"/>
      <c r="E5120" s="215"/>
      <c r="F5120" s="215"/>
      <c r="G5120" s="153"/>
      <c r="H5120" s="153"/>
      <c r="I5120" s="153"/>
      <c r="J5120" s="153"/>
      <c r="K5120" s="153"/>
      <c r="L5120" s="653"/>
      <c r="M5120" s="663">
        <v>34378</v>
      </c>
      <c r="N5120" s="600">
        <v>1.5940000000000001</v>
      </c>
      <c r="O5120" s="595">
        <f>(535.3/1000)/600</f>
        <v>8.9216666666666665E-4</v>
      </c>
      <c r="P5120" s="266">
        <v>0</v>
      </c>
      <c r="Q5120" s="242">
        <v>0</v>
      </c>
      <c r="R5120" s="242">
        <v>2.3E-2</v>
      </c>
      <c r="S5120" s="242">
        <v>4.1000000000000002E-2</v>
      </c>
      <c r="T5120" s="242">
        <v>2.9000000000000001E-2</v>
      </c>
      <c r="U5120" s="242">
        <v>2.1999999999999999E-2</v>
      </c>
      <c r="V5120" s="242">
        <v>4.200000000000003E-2</v>
      </c>
      <c r="W5120" s="761">
        <v>0.84299999999999997</v>
      </c>
      <c r="X5120" s="767"/>
      <c r="Y5120" s="768"/>
      <c r="Z5120" s="762">
        <v>22</v>
      </c>
      <c r="AA5120" s="153"/>
      <c r="AB5120" s="152"/>
      <c r="AC5120" s="152"/>
      <c r="AD5120" s="150">
        <v>7.8</v>
      </c>
      <c r="AE5120" s="152"/>
      <c r="AF5120" s="153"/>
      <c r="AG5120" s="153"/>
      <c r="AH5120" s="346"/>
      <c r="AI5120" s="153"/>
      <c r="AJ5120" s="480"/>
      <c r="AK5120" s="153"/>
      <c r="AL5120" s="152"/>
      <c r="AM5120" s="152"/>
      <c r="AN5120" s="152"/>
      <c r="AO5120" s="152"/>
      <c r="AP5120" s="152"/>
      <c r="AQ5120" s="152"/>
      <c r="AR5120" s="152"/>
      <c r="AS5120" s="152"/>
      <c r="AT5120" s="152"/>
      <c r="AU5120" s="218"/>
      <c r="AV5120" s="218"/>
      <c r="AW5120" s="218"/>
      <c r="AX5120" s="218"/>
      <c r="AY5120" s="218"/>
      <c r="AZ5120" s="152"/>
      <c r="BA5120" s="152"/>
      <c r="BB5120" s="152"/>
      <c r="BC5120" s="152"/>
      <c r="BD5120" s="152"/>
      <c r="BE5120" s="152"/>
      <c r="BF5120" s="152"/>
      <c r="BG5120" s="152"/>
      <c r="BH5120" s="152"/>
      <c r="BI5120" s="153"/>
      <c r="BJ5120" s="153"/>
      <c r="BK5120" s="153"/>
      <c r="BL5120" s="153"/>
      <c r="BM5120" s="153"/>
      <c r="BN5120" s="153"/>
      <c r="BO5120" s="153"/>
      <c r="BP5120" s="153"/>
      <c r="BQ5120" s="153"/>
      <c r="BR5120" s="153"/>
      <c r="BS5120" s="153"/>
      <c r="BT5120" s="153"/>
      <c r="BU5120" s="153"/>
      <c r="BV5120" s="153"/>
      <c r="BW5120" s="153"/>
      <c r="BX5120" s="153"/>
      <c r="BY5120" s="153"/>
      <c r="BZ5120" s="153"/>
      <c r="CA5120" s="152"/>
      <c r="CB5120" s="152"/>
    </row>
    <row r="5121" spans="1:80" s="87" customFormat="1" x14ac:dyDescent="0.2">
      <c r="A5121" s="152"/>
      <c r="B5121" s="683"/>
      <c r="C5121" s="683"/>
      <c r="D5121" s="698"/>
      <c r="E5121" s="215"/>
      <c r="F5121" s="215"/>
      <c r="G5121" s="153"/>
      <c r="H5121" s="153"/>
      <c r="I5121" s="153"/>
      <c r="J5121" s="153"/>
      <c r="K5121" s="153"/>
      <c r="L5121" s="653"/>
      <c r="M5121" s="666">
        <v>34403</v>
      </c>
      <c r="N5121" s="600">
        <v>2.1469999999999998</v>
      </c>
      <c r="O5121" s="595">
        <f>(1594/1000)/600</f>
        <v>2.656666666666667E-3</v>
      </c>
      <c r="P5121" s="266">
        <v>0</v>
      </c>
      <c r="Q5121" s="242">
        <v>0</v>
      </c>
      <c r="R5121" s="242">
        <v>0.03</v>
      </c>
      <c r="S5121" s="242">
        <v>0.01</v>
      </c>
      <c r="T5121" s="242">
        <v>5.0000000000000001E-3</v>
      </c>
      <c r="U5121" s="242">
        <v>8.9999999999999993E-3</v>
      </c>
      <c r="V5121" s="242">
        <v>8.9999999999999143E-3</v>
      </c>
      <c r="W5121" s="761">
        <v>0.93700000000000006</v>
      </c>
      <c r="X5121" s="767"/>
      <c r="Y5121" s="768"/>
      <c r="Z5121" s="762">
        <v>32</v>
      </c>
      <c r="AA5121" s="153"/>
      <c r="AB5121" s="152"/>
      <c r="AC5121" s="152"/>
      <c r="AD5121" s="150">
        <v>7.8</v>
      </c>
      <c r="AE5121" s="152"/>
      <c r="AF5121" s="153"/>
      <c r="AG5121" s="153"/>
      <c r="AH5121" s="346"/>
      <c r="AI5121" s="153"/>
      <c r="AJ5121" s="480"/>
      <c r="AK5121" s="153"/>
      <c r="AL5121" s="152"/>
      <c r="AM5121" s="152"/>
      <c r="AN5121" s="152"/>
      <c r="AO5121" s="152"/>
      <c r="AP5121" s="152"/>
      <c r="AQ5121" s="152"/>
      <c r="AR5121" s="152"/>
      <c r="AS5121" s="152"/>
      <c r="AT5121" s="152"/>
      <c r="AU5121" s="218"/>
      <c r="AV5121" s="218"/>
      <c r="AW5121" s="218"/>
      <c r="AX5121" s="218"/>
      <c r="AY5121" s="218"/>
      <c r="AZ5121" s="152"/>
      <c r="BA5121" s="152"/>
      <c r="BB5121" s="152"/>
      <c r="BC5121" s="152"/>
      <c r="BD5121" s="152"/>
      <c r="BE5121" s="152"/>
      <c r="BF5121" s="152"/>
      <c r="BG5121" s="152"/>
      <c r="BH5121" s="152"/>
      <c r="BI5121" s="153"/>
      <c r="BJ5121" s="153"/>
      <c r="BK5121" s="153"/>
      <c r="BL5121" s="153"/>
      <c r="BM5121" s="153"/>
      <c r="BN5121" s="153"/>
      <c r="BO5121" s="153"/>
      <c r="BP5121" s="153"/>
      <c r="BQ5121" s="153"/>
      <c r="BR5121" s="153"/>
      <c r="BS5121" s="153"/>
      <c r="BT5121" s="153"/>
      <c r="BU5121" s="153"/>
      <c r="BV5121" s="153"/>
      <c r="BW5121" s="153"/>
      <c r="BX5121" s="153"/>
      <c r="BY5121" s="153"/>
      <c r="BZ5121" s="153"/>
      <c r="CA5121" s="152"/>
      <c r="CB5121" s="152"/>
    </row>
    <row r="5122" spans="1:80" s="87" customFormat="1" x14ac:dyDescent="0.2">
      <c r="A5122" s="152"/>
      <c r="B5122" s="683"/>
      <c r="C5122" s="683"/>
      <c r="D5122" s="698"/>
      <c r="E5122" s="215"/>
      <c r="F5122" s="215"/>
      <c r="G5122" s="153"/>
      <c r="H5122" s="153"/>
      <c r="I5122" s="153"/>
      <c r="J5122" s="153"/>
      <c r="K5122" s="153"/>
      <c r="L5122" s="653"/>
      <c r="M5122" s="666">
        <v>34404</v>
      </c>
      <c r="N5122" s="600">
        <v>2.0960000000000001</v>
      </c>
      <c r="O5122" s="595">
        <f>(2270/1000)/600</f>
        <v>3.7833333333333334E-3</v>
      </c>
      <c r="P5122" s="266">
        <v>0</v>
      </c>
      <c r="Q5122" s="242">
        <v>0</v>
      </c>
      <c r="R5122" s="242">
        <v>2.3E-2</v>
      </c>
      <c r="S5122" s="242">
        <v>1.6E-2</v>
      </c>
      <c r="T5122" s="242">
        <v>2.1999999999999999E-2</v>
      </c>
      <c r="U5122" s="242">
        <v>2.7E-2</v>
      </c>
      <c r="V5122" s="242">
        <v>2.9000000000000057E-2</v>
      </c>
      <c r="W5122" s="761">
        <v>0.88300000000000001</v>
      </c>
      <c r="X5122" s="767"/>
      <c r="Y5122" s="768"/>
      <c r="Z5122" s="762">
        <v>32</v>
      </c>
      <c r="AA5122" s="153"/>
      <c r="AB5122" s="152"/>
      <c r="AC5122" s="152"/>
      <c r="AD5122" s="150">
        <v>7.8</v>
      </c>
      <c r="AE5122" s="152"/>
      <c r="AF5122" s="153"/>
      <c r="AG5122" s="153"/>
      <c r="AH5122" s="346"/>
      <c r="AI5122" s="153"/>
      <c r="AJ5122" s="480"/>
      <c r="AK5122" s="153"/>
      <c r="AL5122" s="152"/>
      <c r="AM5122" s="152"/>
      <c r="AN5122" s="152"/>
      <c r="AO5122" s="152"/>
      <c r="AP5122" s="152"/>
      <c r="AQ5122" s="152"/>
      <c r="AR5122" s="152"/>
      <c r="AS5122" s="152"/>
      <c r="AT5122" s="152"/>
      <c r="AU5122" s="218"/>
      <c r="AV5122" s="218"/>
      <c r="AW5122" s="218"/>
      <c r="AX5122" s="218"/>
      <c r="AY5122" s="218"/>
      <c r="AZ5122" s="152"/>
      <c r="BA5122" s="152"/>
      <c r="BB5122" s="152"/>
      <c r="BC5122" s="152"/>
      <c r="BD5122" s="152"/>
      <c r="BE5122" s="152"/>
      <c r="BF5122" s="152"/>
      <c r="BG5122" s="152"/>
      <c r="BH5122" s="152"/>
      <c r="BI5122" s="153"/>
      <c r="BJ5122" s="153"/>
      <c r="BK5122" s="153"/>
      <c r="BL5122" s="153"/>
      <c r="BM5122" s="153"/>
      <c r="BN5122" s="153"/>
      <c r="BO5122" s="153"/>
      <c r="BP5122" s="153"/>
      <c r="BQ5122" s="153"/>
      <c r="BR5122" s="153"/>
      <c r="BS5122" s="153"/>
      <c r="BT5122" s="153"/>
      <c r="BU5122" s="153"/>
      <c r="BV5122" s="153"/>
      <c r="BW5122" s="153"/>
      <c r="BX5122" s="153"/>
      <c r="BY5122" s="153"/>
      <c r="BZ5122" s="153"/>
      <c r="CA5122" s="152"/>
      <c r="CB5122" s="152"/>
    </row>
    <row r="5123" spans="1:80" s="87" customFormat="1" x14ac:dyDescent="0.2">
      <c r="A5123" s="152"/>
      <c r="B5123" s="683"/>
      <c r="C5123" s="683"/>
      <c r="D5123" s="698"/>
      <c r="E5123" s="215"/>
      <c r="F5123" s="215"/>
      <c r="G5123" s="153"/>
      <c r="H5123" s="153"/>
      <c r="I5123" s="153"/>
      <c r="J5123" s="153"/>
      <c r="K5123" s="153"/>
      <c r="L5123" s="653"/>
      <c r="M5123" s="666">
        <v>34404</v>
      </c>
      <c r="N5123" s="600">
        <v>2.0649999999999999</v>
      </c>
      <c r="O5123" s="595">
        <f>(2096/1000)/600</f>
        <v>3.4933333333333335E-3</v>
      </c>
      <c r="P5123" s="266">
        <v>0</v>
      </c>
      <c r="Q5123" s="242">
        <v>0</v>
      </c>
      <c r="R5123" s="242">
        <v>3.0000000000000001E-3</v>
      </c>
      <c r="S5123" s="242">
        <v>1.4E-2</v>
      </c>
      <c r="T5123" s="242">
        <v>2.7E-2</v>
      </c>
      <c r="U5123" s="242">
        <v>0.03</v>
      </c>
      <c r="V5123" s="242">
        <v>2.5999999999999943E-2</v>
      </c>
      <c r="W5123" s="761">
        <v>0.9</v>
      </c>
      <c r="X5123" s="767"/>
      <c r="Y5123" s="768"/>
      <c r="Z5123" s="762">
        <v>22</v>
      </c>
      <c r="AA5123" s="153"/>
      <c r="AB5123" s="152"/>
      <c r="AC5123" s="152"/>
      <c r="AD5123" s="150">
        <v>7.8</v>
      </c>
      <c r="AE5123" s="152"/>
      <c r="AF5123" s="153"/>
      <c r="AG5123" s="153"/>
      <c r="AH5123" s="346"/>
      <c r="AI5123" s="153"/>
      <c r="AJ5123" s="480"/>
      <c r="AK5123" s="153"/>
      <c r="AL5123" s="152"/>
      <c r="AM5123" s="152"/>
      <c r="AN5123" s="152"/>
      <c r="AO5123" s="152"/>
      <c r="AP5123" s="152"/>
      <c r="AQ5123" s="152"/>
      <c r="AR5123" s="152"/>
      <c r="AS5123" s="152"/>
      <c r="AT5123" s="152"/>
      <c r="AU5123" s="218"/>
      <c r="AV5123" s="218"/>
      <c r="AW5123" s="218"/>
      <c r="AX5123" s="218"/>
      <c r="AY5123" s="218"/>
      <c r="AZ5123" s="152"/>
      <c r="BA5123" s="152"/>
      <c r="BB5123" s="152"/>
      <c r="BC5123" s="152"/>
      <c r="BD5123" s="152"/>
      <c r="BE5123" s="152"/>
      <c r="BF5123" s="152"/>
      <c r="BG5123" s="152"/>
      <c r="BH5123" s="152"/>
      <c r="BI5123" s="153"/>
      <c r="BJ5123" s="153"/>
      <c r="BK5123" s="153"/>
      <c r="BL5123" s="153"/>
      <c r="BM5123" s="153"/>
      <c r="BN5123" s="153"/>
      <c r="BO5123" s="153"/>
      <c r="BP5123" s="153"/>
      <c r="BQ5123" s="153"/>
      <c r="BR5123" s="153"/>
      <c r="BS5123" s="153"/>
      <c r="BT5123" s="153"/>
      <c r="BU5123" s="153"/>
      <c r="BV5123" s="153"/>
      <c r="BW5123" s="153"/>
      <c r="BX5123" s="153"/>
      <c r="BY5123" s="153"/>
      <c r="BZ5123" s="153"/>
      <c r="CA5123" s="152"/>
      <c r="CB5123" s="152"/>
    </row>
    <row r="5124" spans="1:80" s="87" customFormat="1" x14ac:dyDescent="0.2">
      <c r="A5124" s="152"/>
      <c r="B5124" s="683"/>
      <c r="C5124" s="683"/>
      <c r="D5124" s="698"/>
      <c r="E5124" s="215"/>
      <c r="F5124" s="215"/>
      <c r="G5124" s="153"/>
      <c r="H5124" s="153"/>
      <c r="I5124" s="153"/>
      <c r="J5124" s="153"/>
      <c r="K5124" s="153"/>
      <c r="L5124" s="653"/>
      <c r="M5124" s="666">
        <v>34405</v>
      </c>
      <c r="N5124" s="600">
        <v>2.1520000000000001</v>
      </c>
      <c r="O5124" s="595">
        <f>(1566/1000)/600</f>
        <v>2.6099999999999999E-3</v>
      </c>
      <c r="P5124" s="266">
        <v>0</v>
      </c>
      <c r="Q5124" s="242">
        <v>0</v>
      </c>
      <c r="R5124" s="242">
        <v>2.3E-2</v>
      </c>
      <c r="S5124" s="242">
        <v>5.0000000000000001E-3</v>
      </c>
      <c r="T5124" s="242">
        <v>6.0000000000000001E-3</v>
      </c>
      <c r="U5124" s="242">
        <v>8.9999999999999993E-3</v>
      </c>
      <c r="V5124" s="242">
        <v>1.1000000000000086E-2</v>
      </c>
      <c r="W5124" s="761">
        <v>0.94599999999999995</v>
      </c>
      <c r="X5124" s="767"/>
      <c r="Y5124" s="768"/>
      <c r="Z5124" s="762">
        <v>32</v>
      </c>
      <c r="AA5124" s="153"/>
      <c r="AB5124" s="152"/>
      <c r="AC5124" s="152"/>
      <c r="AD5124" s="150">
        <v>7.8</v>
      </c>
      <c r="AE5124" s="152"/>
      <c r="AF5124" s="153"/>
      <c r="AG5124" s="153"/>
      <c r="AH5124" s="346"/>
      <c r="AI5124" s="153"/>
      <c r="AJ5124" s="480"/>
      <c r="AK5124" s="153"/>
      <c r="AL5124" s="152"/>
      <c r="AM5124" s="152"/>
      <c r="AN5124" s="152"/>
      <c r="AO5124" s="152"/>
      <c r="AP5124" s="152"/>
      <c r="AQ5124" s="152"/>
      <c r="AR5124" s="152"/>
      <c r="AS5124" s="152"/>
      <c r="AT5124" s="152"/>
      <c r="AU5124" s="218"/>
      <c r="AV5124" s="218"/>
      <c r="AW5124" s="218"/>
      <c r="AX5124" s="218"/>
      <c r="AY5124" s="218"/>
      <c r="AZ5124" s="152"/>
      <c r="BA5124" s="152"/>
      <c r="BB5124" s="152"/>
      <c r="BC5124" s="152"/>
      <c r="BD5124" s="152"/>
      <c r="BE5124" s="152"/>
      <c r="BF5124" s="152"/>
      <c r="BG5124" s="152"/>
      <c r="BH5124" s="152"/>
      <c r="BI5124" s="153"/>
      <c r="BJ5124" s="153"/>
      <c r="BK5124" s="153"/>
      <c r="BL5124" s="153"/>
      <c r="BM5124" s="153"/>
      <c r="BN5124" s="153"/>
      <c r="BO5124" s="153"/>
      <c r="BP5124" s="153"/>
      <c r="BQ5124" s="153"/>
      <c r="BR5124" s="153"/>
      <c r="BS5124" s="153"/>
      <c r="BT5124" s="153"/>
      <c r="BU5124" s="153"/>
      <c r="BV5124" s="153"/>
      <c r="BW5124" s="153"/>
      <c r="BX5124" s="153"/>
      <c r="BY5124" s="153"/>
      <c r="BZ5124" s="153"/>
      <c r="CA5124" s="152"/>
      <c r="CB5124" s="152"/>
    </row>
    <row r="5125" spans="1:80" s="87" customFormat="1" x14ac:dyDescent="0.2">
      <c r="A5125" s="152"/>
      <c r="B5125" s="683"/>
      <c r="C5125" s="683"/>
      <c r="D5125" s="698"/>
      <c r="E5125" s="215"/>
      <c r="F5125" s="215"/>
      <c r="G5125" s="153"/>
      <c r="H5125" s="153"/>
      <c r="I5125" s="153"/>
      <c r="J5125" s="153"/>
      <c r="K5125" s="153"/>
      <c r="L5125" s="653"/>
      <c r="M5125" s="666">
        <v>34406</v>
      </c>
      <c r="N5125" s="600">
        <v>2.379</v>
      </c>
      <c r="O5125" s="595">
        <f>(2253/1000)/600</f>
        <v>3.7550000000000001E-3</v>
      </c>
      <c r="P5125" s="266">
        <v>0</v>
      </c>
      <c r="Q5125" s="242">
        <f>1-0.978</f>
        <v>2.200000000000002E-2</v>
      </c>
      <c r="R5125" s="242">
        <v>0</v>
      </c>
      <c r="S5125" s="242">
        <v>1.6E-2</v>
      </c>
      <c r="T5125" s="242">
        <v>1.6E-2</v>
      </c>
      <c r="U5125" s="242">
        <v>2.1999999999999999E-2</v>
      </c>
      <c r="V5125" s="242">
        <v>2.3000000000000114E-2</v>
      </c>
      <c r="W5125" s="761">
        <v>0.90099999999999991</v>
      </c>
      <c r="X5125" s="767"/>
      <c r="Y5125" s="768"/>
      <c r="Z5125" s="762">
        <v>45</v>
      </c>
      <c r="AA5125" s="153"/>
      <c r="AB5125" s="152"/>
      <c r="AC5125" s="152"/>
      <c r="AD5125" s="150">
        <v>7.8</v>
      </c>
      <c r="AE5125" s="152"/>
      <c r="AF5125" s="153"/>
      <c r="AG5125" s="153"/>
      <c r="AH5125" s="346"/>
      <c r="AI5125" s="153"/>
      <c r="AJ5125" s="480"/>
      <c r="AK5125" s="153"/>
      <c r="AL5125" s="152"/>
      <c r="AM5125" s="152"/>
      <c r="AN5125" s="152"/>
      <c r="AO5125" s="152"/>
      <c r="AP5125" s="152"/>
      <c r="AQ5125" s="152"/>
      <c r="AR5125" s="152"/>
      <c r="AS5125" s="152"/>
      <c r="AT5125" s="152"/>
      <c r="AU5125" s="218"/>
      <c r="AV5125" s="218"/>
      <c r="AW5125" s="218"/>
      <c r="AX5125" s="218"/>
      <c r="AY5125" s="218"/>
      <c r="AZ5125" s="152"/>
      <c r="BA5125" s="152"/>
      <c r="BB5125" s="152"/>
      <c r="BC5125" s="152"/>
      <c r="BD5125" s="152"/>
      <c r="BE5125" s="152"/>
      <c r="BF5125" s="152"/>
      <c r="BG5125" s="152"/>
      <c r="BH5125" s="152"/>
      <c r="BI5125" s="153"/>
      <c r="BJ5125" s="153"/>
      <c r="BK5125" s="153"/>
      <c r="BL5125" s="153"/>
      <c r="BM5125" s="153"/>
      <c r="BN5125" s="153"/>
      <c r="BO5125" s="153"/>
      <c r="BP5125" s="153"/>
      <c r="BQ5125" s="153"/>
      <c r="BR5125" s="153"/>
      <c r="BS5125" s="153"/>
      <c r="BT5125" s="153"/>
      <c r="BU5125" s="153"/>
      <c r="BV5125" s="153"/>
      <c r="BW5125" s="153"/>
      <c r="BX5125" s="153"/>
      <c r="BY5125" s="153"/>
      <c r="BZ5125" s="153"/>
      <c r="CA5125" s="152"/>
      <c r="CB5125" s="152"/>
    </row>
    <row r="5126" spans="1:80" s="87" customFormat="1" x14ac:dyDescent="0.2">
      <c r="A5126" s="152"/>
      <c r="B5126" s="683"/>
      <c r="C5126" s="683"/>
      <c r="D5126" s="698"/>
      <c r="E5126" s="215"/>
      <c r="F5126" s="215"/>
      <c r="G5126" s="153"/>
      <c r="H5126" s="153"/>
      <c r="I5126" s="153"/>
      <c r="J5126" s="153"/>
      <c r="K5126" s="153"/>
      <c r="L5126" s="653"/>
      <c r="M5126" s="666">
        <v>34409</v>
      </c>
      <c r="N5126" s="600">
        <v>2.6339999999999999</v>
      </c>
      <c r="O5126" s="595">
        <f>(2344/1000)/600</f>
        <v>3.9066666666666668E-3</v>
      </c>
      <c r="P5126" s="266">
        <v>0</v>
      </c>
      <c r="Q5126" s="242">
        <f>1-0.965</f>
        <v>3.5000000000000031E-2</v>
      </c>
      <c r="R5126" s="242">
        <v>0</v>
      </c>
      <c r="S5126" s="242">
        <v>1.2E-2</v>
      </c>
      <c r="T5126" s="242">
        <v>1.6E-2</v>
      </c>
      <c r="U5126" s="242">
        <v>0.02</v>
      </c>
      <c r="V5126" s="242">
        <v>2.2999999999999972E-2</v>
      </c>
      <c r="W5126" s="761">
        <v>0.89400000000000002</v>
      </c>
      <c r="X5126" s="769"/>
      <c r="Y5126" s="770"/>
      <c r="Z5126" s="762">
        <v>45</v>
      </c>
      <c r="AA5126" s="153"/>
      <c r="AB5126" s="152"/>
      <c r="AC5126" s="152"/>
      <c r="AD5126" s="150">
        <v>7.8</v>
      </c>
      <c r="AE5126" s="152"/>
      <c r="AF5126" s="153"/>
      <c r="AG5126" s="153"/>
      <c r="AH5126" s="346"/>
      <c r="AI5126" s="153"/>
      <c r="AJ5126" s="480"/>
      <c r="AK5126" s="153"/>
      <c r="AL5126" s="152"/>
      <c r="AM5126" s="152"/>
      <c r="AN5126" s="152"/>
      <c r="AO5126" s="152"/>
      <c r="AP5126" s="152"/>
      <c r="AQ5126" s="152"/>
      <c r="AR5126" s="152"/>
      <c r="AS5126" s="152"/>
      <c r="AT5126" s="152"/>
      <c r="AU5126" s="218"/>
      <c r="AV5126" s="218"/>
      <c r="AW5126" s="218"/>
      <c r="AX5126" s="218"/>
      <c r="AY5126" s="218"/>
      <c r="AZ5126" s="152"/>
      <c r="BA5126" s="152"/>
      <c r="BB5126" s="152"/>
      <c r="BC5126" s="152"/>
      <c r="BD5126" s="152"/>
      <c r="BE5126" s="152"/>
      <c r="BF5126" s="152"/>
      <c r="BG5126" s="152"/>
      <c r="BH5126" s="152"/>
      <c r="BI5126" s="153"/>
      <c r="BJ5126" s="153"/>
      <c r="BK5126" s="153"/>
      <c r="BL5126" s="153"/>
      <c r="BM5126" s="153"/>
      <c r="BN5126" s="153"/>
      <c r="BO5126" s="153"/>
      <c r="BP5126" s="153"/>
      <c r="BQ5126" s="153"/>
      <c r="BR5126" s="153"/>
      <c r="BS5126" s="153"/>
      <c r="BT5126" s="153"/>
      <c r="BU5126" s="153"/>
      <c r="BV5126" s="153"/>
      <c r="BW5126" s="153"/>
      <c r="BX5126" s="153"/>
      <c r="BY5126" s="153"/>
      <c r="BZ5126" s="153"/>
      <c r="CA5126" s="152"/>
      <c r="CB5126" s="152"/>
    </row>
    <row r="5127" spans="1:80" ht="15" x14ac:dyDescent="0.25">
      <c r="A5127" s="9" t="s">
        <v>111</v>
      </c>
      <c r="B5127" s="639" t="s">
        <v>53</v>
      </c>
      <c r="C5127" s="639"/>
      <c r="D5127" s="4">
        <f>VLOOKUP(E5127,'Quality Code'!D4:E24,2,TRUE)*VLOOKUP(MROUND(F5127,10),'Quality Code'!D28:E69,2,TRUE)*VLOOKUP(COUNTA(CB5127:CB5137),'Quality Code'!D73:E93,2,TRUE)</f>
        <v>0.87499649999999984</v>
      </c>
      <c r="E5127" s="14">
        <v>0.7</v>
      </c>
      <c r="F5127" s="18">
        <v>25</v>
      </c>
      <c r="G5127" s="25">
        <f>2309*2.59</f>
        <v>5980.3099999999995</v>
      </c>
      <c r="H5127" s="2" t="s">
        <v>105</v>
      </c>
      <c r="I5127" s="2">
        <v>20</v>
      </c>
      <c r="J5127" s="2"/>
      <c r="K5127" s="2"/>
      <c r="L5127" s="639"/>
      <c r="M5127" s="640">
        <v>1986</v>
      </c>
      <c r="N5127" s="578" t="s">
        <v>285</v>
      </c>
      <c r="O5127" s="578"/>
      <c r="P5127" s="10"/>
      <c r="Q5127" s="10"/>
      <c r="R5127" s="10"/>
      <c r="S5127" s="10"/>
      <c r="T5127" s="10"/>
      <c r="U5127" s="10"/>
      <c r="V5127" s="10"/>
      <c r="W5127" s="10"/>
      <c r="X5127" s="142"/>
      <c r="Y5127" s="142"/>
      <c r="Z5127" s="10"/>
      <c r="AA5127" s="10"/>
      <c r="AB5127" s="11"/>
      <c r="AC5127" s="3">
        <v>1E-3</v>
      </c>
      <c r="AD5127" s="11"/>
      <c r="AE5127" s="11"/>
      <c r="AF5127" s="10"/>
      <c r="AG5127" s="10"/>
      <c r="AH5127" s="345"/>
      <c r="AI5127" s="2"/>
      <c r="AJ5127" s="17"/>
      <c r="AK5127" s="17"/>
      <c r="AL5127" s="17"/>
      <c r="AM5127" s="17"/>
      <c r="AN5127" s="17"/>
      <c r="AO5127" s="17"/>
      <c r="AP5127" s="17"/>
      <c r="AQ5127" s="17"/>
      <c r="AR5127" s="17"/>
      <c r="AS5127" s="17"/>
      <c r="AT5127" s="17"/>
      <c r="AU5127" s="18">
        <v>22</v>
      </c>
      <c r="AV5127" s="145"/>
      <c r="AW5127" s="145"/>
      <c r="AX5127" s="145"/>
      <c r="AY5127" s="145"/>
      <c r="AZ5127" s="17"/>
      <c r="BA5127" s="845"/>
      <c r="BB5127" s="846"/>
      <c r="BC5127" s="846"/>
      <c r="BD5127" s="846"/>
      <c r="BE5127" s="847"/>
      <c r="BF5127" s="505"/>
      <c r="BG5127" s="505"/>
      <c r="BH5127" s="505"/>
      <c r="BI5127" s="4"/>
      <c r="BJ5127" s="2"/>
      <c r="BK5127" s="2"/>
      <c r="BL5127" s="12">
        <v>141.58500000000001</v>
      </c>
      <c r="BM5127" s="12"/>
      <c r="BN5127" s="12">
        <f>136*0.3048</f>
        <v>41.452800000000003</v>
      </c>
      <c r="BO5127" s="12">
        <f>5.5*0.3048</f>
        <v>1.6764000000000001</v>
      </c>
      <c r="BP5127" s="12">
        <f>BN5127*BO5127</f>
        <v>69.491473920000004</v>
      </c>
      <c r="BQ5127" s="12">
        <f>BN5127/BO5127</f>
        <v>24.727272727272727</v>
      </c>
      <c r="BR5127" s="12"/>
      <c r="BS5127" s="12"/>
      <c r="BT5127" s="12"/>
      <c r="BU5127" s="2"/>
      <c r="BV5127" s="2"/>
      <c r="BW5127" s="2"/>
      <c r="BX5127" s="2"/>
      <c r="BY5127" s="2"/>
      <c r="BZ5127" s="2"/>
      <c r="CA5127" s="9"/>
      <c r="CB5127" s="9" t="s">
        <v>229</v>
      </c>
    </row>
    <row r="5128" spans="1:80" s="87" customFormat="1" x14ac:dyDescent="0.2">
      <c r="A5128" s="152"/>
      <c r="B5128" s="683"/>
      <c r="C5128" s="683"/>
      <c r="D5128" s="698"/>
      <c r="E5128" s="215"/>
      <c r="F5128" s="215"/>
      <c r="G5128" s="153"/>
      <c r="H5128" s="153"/>
      <c r="I5128" s="153"/>
      <c r="J5128" s="153"/>
      <c r="K5128" s="153"/>
      <c r="L5128" s="653"/>
      <c r="M5128" s="668">
        <v>31560</v>
      </c>
      <c r="N5128" s="602">
        <v>85.243200000000002</v>
      </c>
      <c r="O5128" s="605">
        <v>3.4859413688000003</v>
      </c>
      <c r="P5128" s="265">
        <v>0</v>
      </c>
      <c r="Q5128" s="265">
        <f>1-0.86</f>
        <v>0.14000000000000001</v>
      </c>
      <c r="R5128" s="265">
        <v>0.02</v>
      </c>
      <c r="S5128" s="265">
        <f>0.84-0.81</f>
        <v>2.9999999999999916E-2</v>
      </c>
      <c r="T5128" s="265">
        <v>0.02</v>
      </c>
      <c r="U5128" s="265">
        <v>0.01</v>
      </c>
      <c r="V5128" s="268">
        <v>3.0000000000000027E-2</v>
      </c>
      <c r="W5128" s="268">
        <v>0.25</v>
      </c>
      <c r="X5128" s="268">
        <v>0.3</v>
      </c>
      <c r="Y5128" s="268">
        <v>0.2</v>
      </c>
      <c r="Z5128" s="269"/>
      <c r="AA5128" s="270">
        <v>0.5</v>
      </c>
      <c r="AB5128" s="152"/>
      <c r="AC5128" s="152"/>
      <c r="AD5128" s="229">
        <v>40.538400000000003</v>
      </c>
      <c r="AE5128" s="229">
        <v>1.335024</v>
      </c>
      <c r="AF5128" s="150">
        <v>54.067799999999998</v>
      </c>
      <c r="AG5128" s="229">
        <v>1.5758160000000001</v>
      </c>
      <c r="AH5128" s="348"/>
      <c r="AI5128" s="153"/>
      <c r="AJ5128" s="480"/>
      <c r="AK5128" s="153"/>
      <c r="AL5128" s="152"/>
      <c r="AM5128" s="152"/>
      <c r="AN5128" s="152"/>
      <c r="AO5128" s="152"/>
      <c r="AP5128" s="152"/>
      <c r="AQ5128" s="152"/>
      <c r="AR5128" s="152"/>
      <c r="AS5128" s="152"/>
      <c r="AT5128" s="152"/>
      <c r="AU5128" s="218"/>
      <c r="AV5128" s="218"/>
      <c r="AW5128" s="218"/>
      <c r="AX5128" s="218"/>
      <c r="AY5128" s="218"/>
      <c r="AZ5128" s="152"/>
      <c r="BA5128" s="152"/>
      <c r="BB5128" s="152"/>
      <c r="BC5128" s="152"/>
      <c r="BD5128" s="152"/>
      <c r="BE5128" s="152"/>
      <c r="BF5128" s="152"/>
      <c r="BG5128" s="152"/>
      <c r="BH5128" s="152"/>
      <c r="BI5128" s="153"/>
      <c r="BJ5128" s="153"/>
      <c r="BK5128" s="153"/>
      <c r="BL5128" s="153"/>
      <c r="BM5128" s="153"/>
      <c r="BN5128" s="153"/>
      <c r="BO5128" s="153"/>
      <c r="BP5128" s="153"/>
      <c r="BQ5128" s="153"/>
      <c r="BR5128" s="153"/>
      <c r="BS5128" s="153"/>
      <c r="BT5128" s="153"/>
      <c r="BU5128" s="153"/>
      <c r="BV5128" s="153"/>
      <c r="BW5128" s="153"/>
      <c r="BX5128" s="153"/>
      <c r="BY5128" s="153"/>
      <c r="BZ5128" s="153"/>
      <c r="CA5128" s="152"/>
      <c r="CB5128" s="152" t="s">
        <v>575</v>
      </c>
    </row>
    <row r="5129" spans="1:80" s="87" customFormat="1" x14ac:dyDescent="0.2">
      <c r="A5129" s="152"/>
      <c r="B5129" s="683"/>
      <c r="C5129" s="683"/>
      <c r="D5129" s="698"/>
      <c r="E5129" s="215"/>
      <c r="F5129" s="215"/>
      <c r="G5129" s="153"/>
      <c r="H5129" s="153"/>
      <c r="I5129" s="153"/>
      <c r="J5129" s="153"/>
      <c r="K5129" s="153"/>
      <c r="L5129" s="653"/>
      <c r="M5129" s="668">
        <v>31560</v>
      </c>
      <c r="N5129" s="602">
        <v>89.491200000000006</v>
      </c>
      <c r="O5129" s="605">
        <v>7.0138820312000005</v>
      </c>
      <c r="P5129" s="265">
        <v>0</v>
      </c>
      <c r="Q5129" s="265">
        <f>1-0.86</f>
        <v>0.14000000000000001</v>
      </c>
      <c r="R5129" s="265">
        <f>0.86-0.72</f>
        <v>0.14000000000000001</v>
      </c>
      <c r="S5129" s="265">
        <f>0.72-0.64</f>
        <v>7.999999999999996E-2</v>
      </c>
      <c r="T5129" s="265">
        <v>0.02</v>
      </c>
      <c r="U5129" s="265">
        <v>0.01</v>
      </c>
      <c r="V5129" s="268">
        <v>2.0000000000000018E-2</v>
      </c>
      <c r="W5129" s="268">
        <v>0.14999999999999997</v>
      </c>
      <c r="X5129" s="268">
        <v>0.31</v>
      </c>
      <c r="Y5129" s="268">
        <v>0.13</v>
      </c>
      <c r="Z5129" s="269"/>
      <c r="AA5129" s="270">
        <v>0.6</v>
      </c>
      <c r="AB5129" s="152"/>
      <c r="AC5129" s="152"/>
      <c r="AD5129" s="229">
        <v>40.538400000000003</v>
      </c>
      <c r="AE5129" s="229">
        <v>1.3624559999999999</v>
      </c>
      <c r="AF5129" s="150">
        <v>55.368400000000001</v>
      </c>
      <c r="AG5129" s="229">
        <v>1.61544</v>
      </c>
      <c r="AH5129" s="348"/>
      <c r="AI5129" s="153"/>
      <c r="AJ5129" s="480"/>
      <c r="AK5129" s="153"/>
      <c r="AL5129" s="152"/>
      <c r="AM5129" s="152"/>
      <c r="AN5129" s="152"/>
      <c r="AO5129" s="152"/>
      <c r="AP5129" s="152"/>
      <c r="AQ5129" s="152"/>
      <c r="AR5129" s="152"/>
      <c r="AS5129" s="152"/>
      <c r="AT5129" s="152"/>
      <c r="AU5129" s="218"/>
      <c r="AV5129" s="218"/>
      <c r="AW5129" s="218"/>
      <c r="AX5129" s="218"/>
      <c r="AY5129" s="218"/>
      <c r="AZ5129" s="152"/>
      <c r="BA5129" s="152"/>
      <c r="BB5129" s="152"/>
      <c r="BC5129" s="152"/>
      <c r="BD5129" s="152"/>
      <c r="BE5129" s="152"/>
      <c r="BF5129" s="152"/>
      <c r="BG5129" s="152"/>
      <c r="BH5129" s="152"/>
      <c r="BI5129" s="153"/>
      <c r="BJ5129" s="153"/>
      <c r="BK5129" s="153"/>
      <c r="BL5129" s="153"/>
      <c r="BM5129" s="153"/>
      <c r="BN5129" s="153"/>
      <c r="BO5129" s="153"/>
      <c r="BP5129" s="153"/>
      <c r="BQ5129" s="153"/>
      <c r="BR5129" s="153"/>
      <c r="BS5129" s="153"/>
      <c r="BT5129" s="153"/>
      <c r="BU5129" s="153"/>
      <c r="BV5129" s="153"/>
      <c r="BW5129" s="153"/>
      <c r="BX5129" s="153"/>
      <c r="BY5129" s="153"/>
      <c r="BZ5129" s="153"/>
      <c r="CA5129" s="152"/>
      <c r="CB5129" s="152"/>
    </row>
    <row r="5130" spans="1:80" s="87" customFormat="1" x14ac:dyDescent="0.2">
      <c r="A5130" s="152"/>
      <c r="B5130" s="683"/>
      <c r="C5130" s="683"/>
      <c r="D5130" s="698"/>
      <c r="E5130" s="215"/>
      <c r="F5130" s="215"/>
      <c r="G5130" s="153"/>
      <c r="H5130" s="153"/>
      <c r="I5130" s="153"/>
      <c r="J5130" s="153"/>
      <c r="K5130" s="153"/>
      <c r="L5130" s="653"/>
      <c r="M5130" s="668">
        <v>31561</v>
      </c>
      <c r="N5130" s="602">
        <v>62.870400000000004</v>
      </c>
      <c r="O5130" s="605">
        <v>0.69298834440000001</v>
      </c>
      <c r="P5130" s="265">
        <v>0</v>
      </c>
      <c r="Q5130" s="265">
        <v>0</v>
      </c>
      <c r="R5130" s="265">
        <f>1-0.98</f>
        <v>2.0000000000000018E-2</v>
      </c>
      <c r="S5130" s="265">
        <f>0.98-0.98</f>
        <v>0</v>
      </c>
      <c r="T5130" s="265">
        <v>0.01</v>
      </c>
      <c r="U5130" s="265">
        <v>0</v>
      </c>
      <c r="V5130" s="268">
        <v>3.0000000000000027E-2</v>
      </c>
      <c r="W5130" s="268">
        <v>0.39999999999999991</v>
      </c>
      <c r="X5130" s="268">
        <v>0.4</v>
      </c>
      <c r="Y5130" s="268">
        <v>0.14000000000000001</v>
      </c>
      <c r="Z5130" s="269"/>
      <c r="AA5130" s="270">
        <v>0.5</v>
      </c>
      <c r="AB5130" s="152"/>
      <c r="AC5130" s="152"/>
      <c r="AD5130" s="229">
        <v>39.928800000000003</v>
      </c>
      <c r="AE5130" s="229">
        <v>1.167384</v>
      </c>
      <c r="AF5130" s="150">
        <v>46.542899999999996</v>
      </c>
      <c r="AG5130" s="229">
        <v>1.3502639999999999</v>
      </c>
      <c r="AH5130" s="348"/>
      <c r="AI5130" s="153"/>
      <c r="AJ5130" s="480"/>
      <c r="AK5130" s="153"/>
      <c r="AL5130" s="152"/>
      <c r="AM5130" s="152"/>
      <c r="AN5130" s="152"/>
      <c r="AO5130" s="152"/>
      <c r="AP5130" s="152"/>
      <c r="AQ5130" s="152"/>
      <c r="AR5130" s="152"/>
      <c r="AS5130" s="152"/>
      <c r="AT5130" s="152"/>
      <c r="AU5130" s="218"/>
      <c r="AV5130" s="218"/>
      <c r="AW5130" s="218"/>
      <c r="AX5130" s="218"/>
      <c r="AY5130" s="218"/>
      <c r="AZ5130" s="152"/>
      <c r="BA5130" s="152"/>
      <c r="BB5130" s="152"/>
      <c r="BC5130" s="152"/>
      <c r="BD5130" s="152"/>
      <c r="BE5130" s="152"/>
      <c r="BF5130" s="152"/>
      <c r="BG5130" s="152"/>
      <c r="BH5130" s="152"/>
      <c r="BI5130" s="153"/>
      <c r="BJ5130" s="153"/>
      <c r="BK5130" s="153"/>
      <c r="BL5130" s="153"/>
      <c r="BM5130" s="153"/>
      <c r="BN5130" s="153"/>
      <c r="BO5130" s="153"/>
      <c r="BP5130" s="153"/>
      <c r="BQ5130" s="153"/>
      <c r="BR5130" s="153"/>
      <c r="BS5130" s="153"/>
      <c r="BT5130" s="153"/>
      <c r="BU5130" s="153"/>
      <c r="BV5130" s="153"/>
      <c r="BW5130" s="153"/>
      <c r="BX5130" s="153"/>
      <c r="BY5130" s="153"/>
      <c r="BZ5130" s="153"/>
      <c r="CA5130" s="152"/>
      <c r="CB5130" s="152"/>
    </row>
    <row r="5131" spans="1:80" s="87" customFormat="1" x14ac:dyDescent="0.2">
      <c r="A5131" s="152"/>
      <c r="B5131" s="683"/>
      <c r="C5131" s="683"/>
      <c r="D5131" s="698"/>
      <c r="E5131" s="215"/>
      <c r="F5131" s="215"/>
      <c r="G5131" s="153"/>
      <c r="H5131" s="153"/>
      <c r="I5131" s="153"/>
      <c r="J5131" s="153"/>
      <c r="K5131" s="153"/>
      <c r="L5131" s="653"/>
      <c r="M5131" s="668">
        <v>31561</v>
      </c>
      <c r="N5131" s="602">
        <v>68.817599999999999</v>
      </c>
      <c r="O5131" s="605">
        <v>0.88198516560000007</v>
      </c>
      <c r="P5131" s="265">
        <v>0</v>
      </c>
      <c r="Q5131" s="265">
        <f>1-0.99</f>
        <v>1.0000000000000009E-2</v>
      </c>
      <c r="R5131" s="265">
        <f>0.99-0.97</f>
        <v>2.0000000000000018E-2</v>
      </c>
      <c r="S5131" s="265">
        <f>0.97-0.96</f>
        <v>1.0000000000000009E-2</v>
      </c>
      <c r="T5131" s="265">
        <v>0</v>
      </c>
      <c r="U5131" s="265">
        <v>0</v>
      </c>
      <c r="V5131" s="268">
        <v>2.9999999999999916E-2</v>
      </c>
      <c r="W5131" s="268">
        <v>0.41000000000000003</v>
      </c>
      <c r="X5131" s="268">
        <v>0.42000000000000004</v>
      </c>
      <c r="Y5131" s="268">
        <v>0.1</v>
      </c>
      <c r="Z5131" s="269"/>
      <c r="AA5131" s="270">
        <v>0.5</v>
      </c>
      <c r="AB5131" s="152"/>
      <c r="AC5131" s="152"/>
      <c r="AD5131" s="229">
        <v>40.233600000000003</v>
      </c>
      <c r="AE5131" s="229">
        <v>1.213104</v>
      </c>
      <c r="AF5131" s="150">
        <v>48.679600000000001</v>
      </c>
      <c r="AG5131" s="229">
        <v>1.414272</v>
      </c>
      <c r="AH5131" s="348"/>
      <c r="AI5131" s="153"/>
      <c r="AJ5131" s="480"/>
      <c r="AK5131" s="153"/>
      <c r="AL5131" s="152"/>
      <c r="AM5131" s="152"/>
      <c r="AN5131" s="152"/>
      <c r="AO5131" s="152"/>
      <c r="AP5131" s="152"/>
      <c r="AQ5131" s="152"/>
      <c r="AR5131" s="152"/>
      <c r="AS5131" s="152"/>
      <c r="AT5131" s="152"/>
      <c r="AU5131" s="218"/>
      <c r="AV5131" s="218"/>
      <c r="AW5131" s="218"/>
      <c r="AX5131" s="218"/>
      <c r="AY5131" s="218"/>
      <c r="AZ5131" s="152"/>
      <c r="BA5131" s="152"/>
      <c r="BB5131" s="152"/>
      <c r="BC5131" s="152"/>
      <c r="BD5131" s="152"/>
      <c r="BE5131" s="152"/>
      <c r="BF5131" s="152"/>
      <c r="BG5131" s="152"/>
      <c r="BH5131" s="152"/>
      <c r="BI5131" s="153"/>
      <c r="BJ5131" s="153"/>
      <c r="BK5131" s="153"/>
      <c r="BL5131" s="153"/>
      <c r="BM5131" s="153"/>
      <c r="BN5131" s="153"/>
      <c r="BO5131" s="153"/>
      <c r="BP5131" s="153"/>
      <c r="BQ5131" s="153"/>
      <c r="BR5131" s="153"/>
      <c r="BS5131" s="153"/>
      <c r="BT5131" s="153"/>
      <c r="BU5131" s="153"/>
      <c r="BV5131" s="153"/>
      <c r="BW5131" s="153"/>
      <c r="BX5131" s="153"/>
      <c r="BY5131" s="153"/>
      <c r="BZ5131" s="153"/>
      <c r="CA5131" s="152"/>
      <c r="CB5131" s="152"/>
    </row>
    <row r="5132" spans="1:80" s="87" customFormat="1" x14ac:dyDescent="0.2">
      <c r="A5132" s="152"/>
      <c r="B5132" s="683"/>
      <c r="C5132" s="683"/>
      <c r="D5132" s="698"/>
      <c r="E5132" s="215"/>
      <c r="F5132" s="215"/>
      <c r="G5132" s="153"/>
      <c r="H5132" s="153"/>
      <c r="I5132" s="153"/>
      <c r="J5132" s="153"/>
      <c r="K5132" s="153"/>
      <c r="L5132" s="653"/>
      <c r="M5132" s="668">
        <v>31562</v>
      </c>
      <c r="N5132" s="602">
        <v>117.8112</v>
      </c>
      <c r="O5132" s="605">
        <v>3.2969445475999999</v>
      </c>
      <c r="P5132" s="265">
        <v>0</v>
      </c>
      <c r="Q5132" s="265">
        <f>1-0.95</f>
        <v>5.0000000000000044E-2</v>
      </c>
      <c r="R5132" s="265">
        <f>0.95-0.89</f>
        <v>5.9999999999999942E-2</v>
      </c>
      <c r="S5132" s="265">
        <v>0.02</v>
      </c>
      <c r="T5132" s="265">
        <v>0.01</v>
      </c>
      <c r="U5132" s="265">
        <v>0.01</v>
      </c>
      <c r="V5132" s="268">
        <v>2.0000000000000018E-2</v>
      </c>
      <c r="W5132" s="268">
        <v>0.16999999999999993</v>
      </c>
      <c r="X5132" s="268">
        <v>0.43000000000000005</v>
      </c>
      <c r="Y5132" s="268">
        <v>0.23</v>
      </c>
      <c r="Z5132" s="269"/>
      <c r="AA5132" s="270">
        <v>0.4</v>
      </c>
      <c r="AB5132" s="152"/>
      <c r="AC5132" s="152"/>
      <c r="AD5132" s="229">
        <v>41.148000000000003</v>
      </c>
      <c r="AE5132" s="229">
        <v>1.5392399999999999</v>
      </c>
      <c r="AF5132" s="150">
        <v>63.357799999999997</v>
      </c>
      <c r="AG5132" s="229">
        <v>1.85928</v>
      </c>
      <c r="AH5132" s="348"/>
      <c r="AI5132" s="153"/>
      <c r="AJ5132" s="480"/>
      <c r="AK5132" s="153"/>
      <c r="AL5132" s="152"/>
      <c r="AM5132" s="152"/>
      <c r="AN5132" s="152"/>
      <c r="AO5132" s="152"/>
      <c r="AP5132" s="152"/>
      <c r="AQ5132" s="152"/>
      <c r="AR5132" s="152"/>
      <c r="AS5132" s="152"/>
      <c r="AT5132" s="152"/>
      <c r="AU5132" s="218"/>
      <c r="AV5132" s="218"/>
      <c r="AW5132" s="218"/>
      <c r="AX5132" s="218"/>
      <c r="AY5132" s="218"/>
      <c r="AZ5132" s="152"/>
      <c r="BA5132" s="152"/>
      <c r="BB5132" s="152"/>
      <c r="BC5132" s="152"/>
      <c r="BD5132" s="152"/>
      <c r="BE5132" s="152"/>
      <c r="BF5132" s="152"/>
      <c r="BG5132" s="152"/>
      <c r="BH5132" s="152"/>
      <c r="BI5132" s="153"/>
      <c r="BJ5132" s="153"/>
      <c r="BK5132" s="153"/>
      <c r="BL5132" s="153"/>
      <c r="BM5132" s="153"/>
      <c r="BN5132" s="153"/>
      <c r="BO5132" s="153"/>
      <c r="BP5132" s="153"/>
      <c r="BQ5132" s="153"/>
      <c r="BR5132" s="153"/>
      <c r="BS5132" s="153"/>
      <c r="BT5132" s="153"/>
      <c r="BU5132" s="153"/>
      <c r="BV5132" s="153"/>
      <c r="BW5132" s="153"/>
      <c r="BX5132" s="153"/>
      <c r="BY5132" s="153"/>
      <c r="BZ5132" s="153"/>
      <c r="CA5132" s="152"/>
      <c r="CB5132" s="152"/>
    </row>
    <row r="5133" spans="1:80" s="87" customFormat="1" x14ac:dyDescent="0.2">
      <c r="A5133" s="152"/>
      <c r="B5133" s="683"/>
      <c r="C5133" s="683"/>
      <c r="D5133" s="698"/>
      <c r="E5133" s="215"/>
      <c r="F5133" s="215"/>
      <c r="G5133" s="153"/>
      <c r="H5133" s="153"/>
      <c r="I5133" s="153"/>
      <c r="J5133" s="153"/>
      <c r="K5133" s="153"/>
      <c r="L5133" s="653"/>
      <c r="M5133" s="668">
        <v>31562</v>
      </c>
      <c r="N5133" s="602">
        <v>118.66080000000001</v>
      </c>
      <c r="O5133" s="605">
        <v>1.8269692716000001</v>
      </c>
      <c r="P5133" s="265">
        <v>0</v>
      </c>
      <c r="Q5133" s="265">
        <f>1-0.99</f>
        <v>1.0000000000000009E-2</v>
      </c>
      <c r="R5133" s="265">
        <f>0.99-0.97</f>
        <v>2.0000000000000018E-2</v>
      </c>
      <c r="S5133" s="265">
        <v>0.02</v>
      </c>
      <c r="T5133" s="265">
        <v>0.01</v>
      </c>
      <c r="U5133" s="265">
        <v>0.01</v>
      </c>
      <c r="V5133" s="268">
        <v>2.0000000000000018E-2</v>
      </c>
      <c r="W5133" s="268">
        <v>0.21000000000000008</v>
      </c>
      <c r="X5133" s="268">
        <v>0.45999999999999996</v>
      </c>
      <c r="Y5133" s="268">
        <v>0.24</v>
      </c>
      <c r="Z5133" s="269"/>
      <c r="AA5133" s="270">
        <v>0.4</v>
      </c>
      <c r="AB5133" s="152"/>
      <c r="AC5133" s="152"/>
      <c r="AD5133" s="229">
        <v>41.148000000000003</v>
      </c>
      <c r="AE5133" s="229">
        <v>1.5422879999999999</v>
      </c>
      <c r="AF5133" s="150">
        <v>63.543599999999998</v>
      </c>
      <c r="AG5133" s="229">
        <v>1.8653760000000001</v>
      </c>
      <c r="AH5133" s="348"/>
      <c r="AI5133" s="153"/>
      <c r="AJ5133" s="480"/>
      <c r="AK5133" s="153"/>
      <c r="AL5133" s="152"/>
      <c r="AM5133" s="152"/>
      <c r="AN5133" s="152"/>
      <c r="AO5133" s="152"/>
      <c r="AP5133" s="152"/>
      <c r="AQ5133" s="152"/>
      <c r="AR5133" s="152"/>
      <c r="AS5133" s="152"/>
      <c r="AT5133" s="152"/>
      <c r="AU5133" s="218"/>
      <c r="AV5133" s="218"/>
      <c r="AW5133" s="218"/>
      <c r="AX5133" s="218"/>
      <c r="AY5133" s="218"/>
      <c r="AZ5133" s="152"/>
      <c r="BA5133" s="152"/>
      <c r="BB5133" s="152"/>
      <c r="BC5133" s="152"/>
      <c r="BD5133" s="152"/>
      <c r="BE5133" s="152"/>
      <c r="BF5133" s="152"/>
      <c r="BG5133" s="152"/>
      <c r="BH5133" s="152"/>
      <c r="BI5133" s="153"/>
      <c r="BJ5133" s="153"/>
      <c r="BK5133" s="153"/>
      <c r="BL5133" s="153"/>
      <c r="BM5133" s="153"/>
      <c r="BN5133" s="153"/>
      <c r="BO5133" s="153"/>
      <c r="BP5133" s="153"/>
      <c r="BQ5133" s="153"/>
      <c r="BR5133" s="153"/>
      <c r="BS5133" s="153"/>
      <c r="BT5133" s="153"/>
      <c r="BU5133" s="153"/>
      <c r="BV5133" s="153"/>
      <c r="BW5133" s="153"/>
      <c r="BX5133" s="153"/>
      <c r="BY5133" s="153"/>
      <c r="BZ5133" s="153"/>
      <c r="CA5133" s="152"/>
      <c r="CB5133" s="152"/>
    </row>
    <row r="5134" spans="1:80" s="87" customFormat="1" x14ac:dyDescent="0.2">
      <c r="A5134" s="152"/>
      <c r="B5134" s="683"/>
      <c r="C5134" s="683"/>
      <c r="D5134" s="698"/>
      <c r="E5134" s="215"/>
      <c r="F5134" s="215"/>
      <c r="G5134" s="153"/>
      <c r="H5134" s="153"/>
      <c r="I5134" s="153"/>
      <c r="J5134" s="153"/>
      <c r="K5134" s="153"/>
      <c r="L5134" s="653"/>
      <c r="M5134" s="668">
        <v>31562</v>
      </c>
      <c r="N5134" s="602">
        <v>120.9264</v>
      </c>
      <c r="O5134" s="605">
        <v>2.1629636204000002</v>
      </c>
      <c r="P5134" s="265">
        <v>0.08</v>
      </c>
      <c r="Q5134" s="265">
        <f>0.92-0.75</f>
        <v>0.17000000000000004</v>
      </c>
      <c r="R5134" s="265">
        <f>0.75-0.54</f>
        <v>0.20999999999999996</v>
      </c>
      <c r="S5134" s="265">
        <v>0.02</v>
      </c>
      <c r="T5134" s="265">
        <v>0.01</v>
      </c>
      <c r="U5134" s="265">
        <v>0</v>
      </c>
      <c r="V5134" s="268">
        <v>1.0000000000000009E-2</v>
      </c>
      <c r="W5134" s="268">
        <v>0.10999999999999999</v>
      </c>
      <c r="X5134" s="268">
        <v>0.27</v>
      </c>
      <c r="Y5134" s="268">
        <v>0.12</v>
      </c>
      <c r="Z5134" s="269"/>
      <c r="AA5134" s="270">
        <v>1</v>
      </c>
      <c r="AB5134" s="152"/>
      <c r="AC5134" s="152"/>
      <c r="AD5134" s="229">
        <v>41.148000000000003</v>
      </c>
      <c r="AE5134" s="229">
        <v>1.5544799999999999</v>
      </c>
      <c r="AF5134" s="150">
        <v>64.193899999999999</v>
      </c>
      <c r="AG5134" s="229">
        <v>1.883664</v>
      </c>
      <c r="AH5134" s="348"/>
      <c r="AI5134" s="153"/>
      <c r="AJ5134" s="480"/>
      <c r="AK5134" s="153"/>
      <c r="AL5134" s="152"/>
      <c r="AM5134" s="152"/>
      <c r="AN5134" s="152"/>
      <c r="AO5134" s="152"/>
      <c r="AP5134" s="152"/>
      <c r="AQ5134" s="152"/>
      <c r="AR5134" s="152"/>
      <c r="AS5134" s="152"/>
      <c r="AT5134" s="152"/>
      <c r="AU5134" s="218"/>
      <c r="AV5134" s="218"/>
      <c r="AW5134" s="218"/>
      <c r="AX5134" s="218"/>
      <c r="AY5134" s="218"/>
      <c r="AZ5134" s="152"/>
      <c r="BA5134" s="152"/>
      <c r="BB5134" s="152"/>
      <c r="BC5134" s="152"/>
      <c r="BD5134" s="152"/>
      <c r="BE5134" s="152"/>
      <c r="BF5134" s="152"/>
      <c r="BG5134" s="152"/>
      <c r="BH5134" s="152"/>
      <c r="BI5134" s="153"/>
      <c r="BJ5134" s="153"/>
      <c r="BK5134" s="153"/>
      <c r="BL5134" s="153"/>
      <c r="BM5134" s="153"/>
      <c r="BN5134" s="153"/>
      <c r="BO5134" s="153"/>
      <c r="BP5134" s="153"/>
      <c r="BQ5134" s="153"/>
      <c r="BR5134" s="153"/>
      <c r="BS5134" s="153"/>
      <c r="BT5134" s="153"/>
      <c r="BU5134" s="153"/>
      <c r="BV5134" s="153"/>
      <c r="BW5134" s="153"/>
      <c r="BX5134" s="153"/>
      <c r="BY5134" s="153"/>
      <c r="BZ5134" s="153"/>
      <c r="CA5134" s="152"/>
      <c r="CB5134" s="152"/>
    </row>
    <row r="5135" spans="1:80" s="87" customFormat="1" x14ac:dyDescent="0.2">
      <c r="A5135" s="152"/>
      <c r="B5135" s="683"/>
      <c r="C5135" s="683"/>
      <c r="D5135" s="698"/>
      <c r="E5135" s="215"/>
      <c r="F5135" s="215"/>
      <c r="G5135" s="153"/>
      <c r="H5135" s="153"/>
      <c r="I5135" s="153"/>
      <c r="J5135" s="153"/>
      <c r="K5135" s="153"/>
      <c r="L5135" s="653"/>
      <c r="M5135" s="668">
        <v>31562</v>
      </c>
      <c r="N5135" s="602">
        <v>120.9264</v>
      </c>
      <c r="O5135" s="605">
        <v>3.1079477263999999</v>
      </c>
      <c r="P5135" s="265">
        <v>0.1</v>
      </c>
      <c r="Q5135" s="265">
        <f>0.9-0.64</f>
        <v>0.26</v>
      </c>
      <c r="R5135" s="265">
        <f>0.64-0.49</f>
        <v>0.15000000000000002</v>
      </c>
      <c r="S5135" s="265">
        <v>0.02</v>
      </c>
      <c r="T5135" s="265">
        <v>0.01</v>
      </c>
      <c r="U5135" s="265">
        <v>0</v>
      </c>
      <c r="V5135" s="268">
        <v>0</v>
      </c>
      <c r="W5135" s="268">
        <v>0.11000000000000004</v>
      </c>
      <c r="X5135" s="268">
        <v>0.22999999999999998</v>
      </c>
      <c r="Y5135" s="268">
        <v>0.12</v>
      </c>
      <c r="Z5135" s="269"/>
      <c r="AA5135" s="270">
        <v>18</v>
      </c>
      <c r="AB5135" s="152"/>
      <c r="AC5135" s="152"/>
      <c r="AD5135" s="229">
        <v>41.148000000000003</v>
      </c>
      <c r="AE5135" s="229">
        <v>1.5544799999999999</v>
      </c>
      <c r="AF5135" s="150">
        <v>64.193899999999999</v>
      </c>
      <c r="AG5135" s="229">
        <v>1.883664</v>
      </c>
      <c r="AH5135" s="348"/>
      <c r="AI5135" s="153"/>
      <c r="AJ5135" s="480"/>
      <c r="AK5135" s="153"/>
      <c r="AL5135" s="152"/>
      <c r="AM5135" s="152"/>
      <c r="AN5135" s="152"/>
      <c r="AO5135" s="152"/>
      <c r="AP5135" s="152"/>
      <c r="AQ5135" s="152"/>
      <c r="AR5135" s="152"/>
      <c r="AS5135" s="152"/>
      <c r="AT5135" s="152"/>
      <c r="AU5135" s="218"/>
      <c r="AV5135" s="218"/>
      <c r="AW5135" s="218"/>
      <c r="AX5135" s="218"/>
      <c r="AY5135" s="218"/>
      <c r="AZ5135" s="152"/>
      <c r="BA5135" s="152"/>
      <c r="BB5135" s="152"/>
      <c r="BC5135" s="152"/>
      <c r="BD5135" s="152"/>
      <c r="BE5135" s="152"/>
      <c r="BF5135" s="152"/>
      <c r="BG5135" s="152"/>
      <c r="BH5135" s="152"/>
      <c r="BI5135" s="153"/>
      <c r="BJ5135" s="153"/>
      <c r="BK5135" s="153"/>
      <c r="BL5135" s="153"/>
      <c r="BM5135" s="153"/>
      <c r="BN5135" s="153"/>
      <c r="BO5135" s="153"/>
      <c r="BP5135" s="153"/>
      <c r="BQ5135" s="153"/>
      <c r="BR5135" s="153"/>
      <c r="BS5135" s="153"/>
      <c r="BT5135" s="153"/>
      <c r="BU5135" s="153"/>
      <c r="BV5135" s="153"/>
      <c r="BW5135" s="153"/>
      <c r="BX5135" s="153"/>
      <c r="BY5135" s="153"/>
      <c r="BZ5135" s="153"/>
      <c r="CA5135" s="152"/>
      <c r="CB5135" s="152"/>
    </row>
    <row r="5136" spans="1:80" s="87" customFormat="1" x14ac:dyDescent="0.2">
      <c r="A5136" s="152"/>
      <c r="B5136" s="683"/>
      <c r="C5136" s="683"/>
      <c r="D5136" s="698"/>
      <c r="E5136" s="215"/>
      <c r="F5136" s="215"/>
      <c r="G5136" s="153"/>
      <c r="H5136" s="153"/>
      <c r="I5136" s="153"/>
      <c r="J5136" s="153"/>
      <c r="K5136" s="153"/>
      <c r="L5136" s="653"/>
      <c r="M5136" s="668">
        <v>31563</v>
      </c>
      <c r="N5136" s="602">
        <v>90.907200000000003</v>
      </c>
      <c r="O5136" s="605">
        <v>0.89248498900000006</v>
      </c>
      <c r="P5136" s="265">
        <v>0</v>
      </c>
      <c r="Q5136" s="265">
        <f>1-0.94</f>
        <v>6.0000000000000053E-2</v>
      </c>
      <c r="R5136" s="265">
        <f>0.94-0.79</f>
        <v>0.14999999999999991</v>
      </c>
      <c r="S5136" s="265">
        <f>0.79-0.74</f>
        <v>5.0000000000000044E-2</v>
      </c>
      <c r="T5136" s="265">
        <v>0.01</v>
      </c>
      <c r="U5136" s="265">
        <v>0</v>
      </c>
      <c r="V5136" s="268">
        <v>1.0000000000000009E-2</v>
      </c>
      <c r="W5136" s="268">
        <v>0.15000000000000002</v>
      </c>
      <c r="X5136" s="268">
        <v>0.36</v>
      </c>
      <c r="Y5136" s="268">
        <v>0.21</v>
      </c>
      <c r="Z5136" s="269"/>
      <c r="AA5136" s="270">
        <v>0.4</v>
      </c>
      <c r="AB5136" s="152"/>
      <c r="AC5136" s="152"/>
      <c r="AD5136" s="229">
        <v>40.538400000000003</v>
      </c>
      <c r="AE5136" s="229">
        <v>1.3716000000000002</v>
      </c>
      <c r="AF5136" s="150">
        <v>55.739999999999995</v>
      </c>
      <c r="AG5136" s="229">
        <v>1.627632</v>
      </c>
      <c r="AH5136" s="348"/>
      <c r="AI5136" s="153"/>
      <c r="AJ5136" s="480"/>
      <c r="AK5136" s="153"/>
      <c r="AL5136" s="152"/>
      <c r="AM5136" s="152"/>
      <c r="AN5136" s="152"/>
      <c r="AO5136" s="152"/>
      <c r="AP5136" s="152"/>
      <c r="AQ5136" s="152"/>
      <c r="AR5136" s="152"/>
      <c r="AS5136" s="152"/>
      <c r="AT5136" s="152"/>
      <c r="AU5136" s="218"/>
      <c r="AV5136" s="218"/>
      <c r="AW5136" s="218"/>
      <c r="AX5136" s="218"/>
      <c r="AY5136" s="218"/>
      <c r="AZ5136" s="152"/>
      <c r="BA5136" s="152"/>
      <c r="BB5136" s="152"/>
      <c r="BC5136" s="152"/>
      <c r="BD5136" s="152"/>
      <c r="BE5136" s="152"/>
      <c r="BF5136" s="152"/>
      <c r="BG5136" s="152"/>
      <c r="BH5136" s="152"/>
      <c r="BI5136" s="153"/>
      <c r="BJ5136" s="153"/>
      <c r="BK5136" s="153"/>
      <c r="BL5136" s="153"/>
      <c r="BM5136" s="153"/>
      <c r="BN5136" s="153"/>
      <c r="BO5136" s="153"/>
      <c r="BP5136" s="153"/>
      <c r="BQ5136" s="153"/>
      <c r="BR5136" s="153"/>
      <c r="BS5136" s="153"/>
      <c r="BT5136" s="153"/>
      <c r="BU5136" s="153"/>
      <c r="BV5136" s="153"/>
      <c r="BW5136" s="153"/>
      <c r="BX5136" s="153"/>
      <c r="BY5136" s="153"/>
      <c r="BZ5136" s="153"/>
      <c r="CA5136" s="152"/>
      <c r="CB5136" s="152"/>
    </row>
    <row r="5137" spans="1:80" s="87" customFormat="1" x14ac:dyDescent="0.2">
      <c r="A5137" s="152"/>
      <c r="B5137" s="683"/>
      <c r="C5137" s="683"/>
      <c r="D5137" s="698"/>
      <c r="E5137" s="215"/>
      <c r="F5137" s="215"/>
      <c r="G5137" s="153"/>
      <c r="H5137" s="153"/>
      <c r="I5137" s="153"/>
      <c r="J5137" s="153"/>
      <c r="K5137" s="153"/>
      <c r="L5137" s="653"/>
      <c r="M5137" s="668">
        <v>31563</v>
      </c>
      <c r="N5137" s="602">
        <v>90.907200000000003</v>
      </c>
      <c r="O5137" s="605">
        <v>1.1444807506000001</v>
      </c>
      <c r="P5137" s="265">
        <v>0</v>
      </c>
      <c r="Q5137" s="265">
        <v>0</v>
      </c>
      <c r="R5137" s="265">
        <f>1-0.94</f>
        <v>6.0000000000000053E-2</v>
      </c>
      <c r="S5137" s="265">
        <v>0.04</v>
      </c>
      <c r="T5137" s="265">
        <v>0.01</v>
      </c>
      <c r="U5137" s="265">
        <v>0</v>
      </c>
      <c r="V5137" s="268">
        <v>4.0000000000000036E-2</v>
      </c>
      <c r="W5137" s="268">
        <v>0.33999999999999997</v>
      </c>
      <c r="X5137" s="268">
        <v>0.4</v>
      </c>
      <c r="Y5137" s="268">
        <v>0.11</v>
      </c>
      <c r="Z5137" s="269"/>
      <c r="AA5137" s="270">
        <v>0.5</v>
      </c>
      <c r="AB5137" s="152"/>
      <c r="AC5137" s="152"/>
      <c r="AD5137" s="229">
        <v>40.538400000000003</v>
      </c>
      <c r="AE5137" s="229">
        <v>1.3716000000000002</v>
      </c>
      <c r="AF5137" s="150">
        <v>55.739999999999995</v>
      </c>
      <c r="AG5137" s="229">
        <v>1.627632</v>
      </c>
      <c r="AH5137" s="348"/>
      <c r="AI5137" s="153"/>
      <c r="AJ5137" s="480"/>
      <c r="AK5137" s="153"/>
      <c r="AL5137" s="152"/>
      <c r="AM5137" s="152"/>
      <c r="AN5137" s="152"/>
      <c r="AO5137" s="152"/>
      <c r="AP5137" s="152"/>
      <c r="AQ5137" s="152"/>
      <c r="AR5137" s="152"/>
      <c r="AS5137" s="152"/>
      <c r="AT5137" s="152"/>
      <c r="AU5137" s="218"/>
      <c r="AV5137" s="218"/>
      <c r="AW5137" s="218"/>
      <c r="AX5137" s="218"/>
      <c r="AY5137" s="218"/>
      <c r="AZ5137" s="152"/>
      <c r="BA5137" s="152"/>
      <c r="BB5137" s="152"/>
      <c r="BC5137" s="152"/>
      <c r="BD5137" s="152"/>
      <c r="BE5137" s="152"/>
      <c r="BF5137" s="152"/>
      <c r="BG5137" s="152"/>
      <c r="BH5137" s="152"/>
      <c r="BI5137" s="153"/>
      <c r="BJ5137" s="153"/>
      <c r="BK5137" s="153"/>
      <c r="BL5137" s="153"/>
      <c r="BM5137" s="153"/>
      <c r="BN5137" s="153"/>
      <c r="BO5137" s="153"/>
      <c r="BP5137" s="153"/>
      <c r="BQ5137" s="153"/>
      <c r="BR5137" s="153"/>
      <c r="BS5137" s="153"/>
      <c r="BT5137" s="153"/>
      <c r="BU5137" s="153"/>
      <c r="BV5137" s="153"/>
      <c r="BW5137" s="153"/>
      <c r="BX5137" s="153"/>
      <c r="BY5137" s="153"/>
      <c r="BZ5137" s="153"/>
      <c r="CA5137" s="152"/>
      <c r="CB5137" s="152"/>
    </row>
    <row r="5138" spans="1:80" s="87" customFormat="1" x14ac:dyDescent="0.2">
      <c r="A5138" s="152"/>
      <c r="B5138" s="683"/>
      <c r="C5138" s="683"/>
      <c r="D5138" s="698"/>
      <c r="E5138" s="215"/>
      <c r="F5138" s="215"/>
      <c r="G5138" s="153"/>
      <c r="H5138" s="153"/>
      <c r="I5138" s="153"/>
      <c r="J5138" s="153"/>
      <c r="K5138" s="153"/>
      <c r="L5138" s="653"/>
      <c r="M5138" s="668">
        <v>31565</v>
      </c>
      <c r="N5138" s="602">
        <v>139.9008</v>
      </c>
      <c r="O5138" s="605">
        <v>4.2524284770000005</v>
      </c>
      <c r="P5138" s="265">
        <v>0</v>
      </c>
      <c r="Q5138" s="265">
        <f>1-0.95</f>
        <v>5.0000000000000044E-2</v>
      </c>
      <c r="R5138" s="265">
        <v>0.05</v>
      </c>
      <c r="S5138" s="265">
        <v>0.05</v>
      </c>
      <c r="T5138" s="265">
        <v>0.04</v>
      </c>
      <c r="U5138" s="265">
        <v>0.01</v>
      </c>
      <c r="V5138" s="268">
        <v>6.0000000000000053E-2</v>
      </c>
      <c r="W5138" s="268">
        <v>0.19999999999999996</v>
      </c>
      <c r="X5138" s="268">
        <v>0.41000000000000003</v>
      </c>
      <c r="Y5138" s="268">
        <v>0.13</v>
      </c>
      <c r="Z5138" s="269"/>
      <c r="AA5138" s="270">
        <v>0.5</v>
      </c>
      <c r="AB5138" s="152"/>
      <c r="AC5138" s="152"/>
      <c r="AD5138" s="229">
        <v>41.452800000000003</v>
      </c>
      <c r="AE5138" s="229">
        <v>1.6581120000000003</v>
      </c>
      <c r="AF5138" s="150">
        <v>68.931799999999996</v>
      </c>
      <c r="AG5138" s="229">
        <v>2.0299680000000002</v>
      </c>
      <c r="AH5138" s="348"/>
      <c r="AI5138" s="153"/>
      <c r="AJ5138" s="480"/>
      <c r="AK5138" s="153"/>
      <c r="AL5138" s="152"/>
      <c r="AM5138" s="152"/>
      <c r="AN5138" s="152"/>
      <c r="AO5138" s="152"/>
      <c r="AP5138" s="152"/>
      <c r="AQ5138" s="152"/>
      <c r="AR5138" s="152"/>
      <c r="AS5138" s="152"/>
      <c r="AT5138" s="152"/>
      <c r="AU5138" s="218"/>
      <c r="AV5138" s="218"/>
      <c r="AW5138" s="218"/>
      <c r="AX5138" s="218"/>
      <c r="AY5138" s="218"/>
      <c r="AZ5138" s="152"/>
      <c r="BA5138" s="152"/>
      <c r="BB5138" s="152"/>
      <c r="BC5138" s="152"/>
      <c r="BD5138" s="152"/>
      <c r="BE5138" s="152"/>
      <c r="BF5138" s="152"/>
      <c r="BG5138" s="152"/>
      <c r="BH5138" s="152"/>
      <c r="BI5138" s="153"/>
      <c r="BJ5138" s="153"/>
      <c r="BK5138" s="153"/>
      <c r="BL5138" s="153"/>
      <c r="BM5138" s="153"/>
      <c r="BN5138" s="153"/>
      <c r="BO5138" s="153"/>
      <c r="BP5138" s="153"/>
      <c r="BQ5138" s="153"/>
      <c r="BR5138" s="153"/>
      <c r="BS5138" s="153"/>
      <c r="BT5138" s="153"/>
      <c r="BU5138" s="153"/>
      <c r="BV5138" s="153"/>
      <c r="BW5138" s="153"/>
      <c r="BX5138" s="153"/>
      <c r="BY5138" s="153"/>
      <c r="BZ5138" s="153"/>
      <c r="CA5138" s="152"/>
      <c r="CB5138" s="152"/>
    </row>
    <row r="5139" spans="1:80" s="87" customFormat="1" x14ac:dyDescent="0.2">
      <c r="A5139" s="152"/>
      <c r="B5139" s="683"/>
      <c r="C5139" s="683"/>
      <c r="D5139" s="698"/>
      <c r="E5139" s="215"/>
      <c r="F5139" s="215"/>
      <c r="G5139" s="153"/>
      <c r="H5139" s="153"/>
      <c r="I5139" s="153"/>
      <c r="J5139" s="153"/>
      <c r="K5139" s="153"/>
      <c r="L5139" s="653"/>
      <c r="M5139" s="668">
        <v>31565</v>
      </c>
      <c r="N5139" s="602">
        <v>157.45920000000001</v>
      </c>
      <c r="O5139" s="605">
        <v>2.3309607948000002</v>
      </c>
      <c r="P5139" s="265">
        <v>0</v>
      </c>
      <c r="Q5139" s="265">
        <f>1-0.99</f>
        <v>1.0000000000000009E-2</v>
      </c>
      <c r="R5139" s="265">
        <f>0.99-0.92</f>
        <v>6.9999999999999951E-2</v>
      </c>
      <c r="S5139" s="265">
        <v>0.04</v>
      </c>
      <c r="T5139" s="265">
        <v>0.02</v>
      </c>
      <c r="U5139" s="265">
        <v>0.02</v>
      </c>
      <c r="V5139" s="268">
        <v>4.9999999999999933E-2</v>
      </c>
      <c r="W5139" s="268">
        <v>0.29000000000000004</v>
      </c>
      <c r="X5139" s="268">
        <v>0.37</v>
      </c>
      <c r="Y5139" s="268">
        <v>0.13</v>
      </c>
      <c r="Z5139" s="269"/>
      <c r="AA5139" s="270">
        <v>0.5</v>
      </c>
      <c r="AB5139" s="152"/>
      <c r="AC5139" s="152"/>
      <c r="AD5139" s="229">
        <v>41.757600000000004</v>
      </c>
      <c r="AE5139" s="229">
        <v>1.7465040000000003</v>
      </c>
      <c r="AF5139" s="150">
        <v>73.01939999999999</v>
      </c>
      <c r="AG5139" s="229">
        <v>2.1549360000000002</v>
      </c>
      <c r="AH5139" s="348"/>
      <c r="AI5139" s="153"/>
      <c r="AJ5139" s="480"/>
      <c r="AK5139" s="153"/>
      <c r="AL5139" s="152"/>
      <c r="AM5139" s="152"/>
      <c r="AN5139" s="152"/>
      <c r="AO5139" s="152"/>
      <c r="AP5139" s="152"/>
      <c r="AQ5139" s="152"/>
      <c r="AR5139" s="152"/>
      <c r="AS5139" s="152"/>
      <c r="AT5139" s="152"/>
      <c r="AU5139" s="218"/>
      <c r="AV5139" s="218"/>
      <c r="AW5139" s="218"/>
      <c r="AX5139" s="218"/>
      <c r="AY5139" s="218"/>
      <c r="AZ5139" s="152"/>
      <c r="BA5139" s="152"/>
      <c r="BB5139" s="152"/>
      <c r="BC5139" s="152"/>
      <c r="BD5139" s="152"/>
      <c r="BE5139" s="152"/>
      <c r="BF5139" s="152"/>
      <c r="BG5139" s="152"/>
      <c r="BH5139" s="152"/>
      <c r="BI5139" s="153"/>
      <c r="BJ5139" s="153"/>
      <c r="BK5139" s="153"/>
      <c r="BL5139" s="153"/>
      <c r="BM5139" s="153"/>
      <c r="BN5139" s="153"/>
      <c r="BO5139" s="153"/>
      <c r="BP5139" s="153"/>
      <c r="BQ5139" s="153"/>
      <c r="BR5139" s="153"/>
      <c r="BS5139" s="153"/>
      <c r="BT5139" s="153"/>
      <c r="BU5139" s="153"/>
      <c r="BV5139" s="153"/>
      <c r="BW5139" s="153"/>
      <c r="BX5139" s="153"/>
      <c r="BY5139" s="153"/>
      <c r="BZ5139" s="153"/>
      <c r="CA5139" s="152"/>
      <c r="CB5139" s="152"/>
    </row>
    <row r="5140" spans="1:80" s="87" customFormat="1" x14ac:dyDescent="0.2">
      <c r="A5140" s="152"/>
      <c r="B5140" s="683"/>
      <c r="C5140" s="683"/>
      <c r="D5140" s="698"/>
      <c r="E5140" s="215"/>
      <c r="F5140" s="215"/>
      <c r="G5140" s="153"/>
      <c r="H5140" s="153"/>
      <c r="I5140" s="153"/>
      <c r="J5140" s="153"/>
      <c r="K5140" s="153"/>
      <c r="L5140" s="653"/>
      <c r="M5140" s="668">
        <v>31566</v>
      </c>
      <c r="N5140" s="602">
        <v>157.7424</v>
      </c>
      <c r="O5140" s="605">
        <v>1.1654803974000001</v>
      </c>
      <c r="P5140" s="265">
        <v>0</v>
      </c>
      <c r="Q5140" s="265">
        <v>0</v>
      </c>
      <c r="R5140" s="265">
        <v>7.0000000000000007E-2</v>
      </c>
      <c r="S5140" s="265">
        <f>0.93-0.86</f>
        <v>7.0000000000000062E-2</v>
      </c>
      <c r="T5140" s="265">
        <f>0.86-0.81</f>
        <v>4.9999999999999933E-2</v>
      </c>
      <c r="U5140" s="265">
        <f>0.81-0.76</f>
        <v>5.0000000000000044E-2</v>
      </c>
      <c r="V5140" s="268">
        <v>6.0000000000000053E-2</v>
      </c>
      <c r="W5140" s="268">
        <v>0.19999999999999996</v>
      </c>
      <c r="X5140" s="268">
        <v>0.33999999999999997</v>
      </c>
      <c r="Y5140" s="268">
        <v>0.16</v>
      </c>
      <c r="Z5140" s="269"/>
      <c r="AA5140" s="270">
        <v>0.5</v>
      </c>
      <c r="AB5140" s="152"/>
      <c r="AC5140" s="152"/>
      <c r="AD5140" s="229">
        <v>41.757600000000004</v>
      </c>
      <c r="AE5140" s="229">
        <v>1.7495520000000002</v>
      </c>
      <c r="AF5140" s="150">
        <v>73.112299999999991</v>
      </c>
      <c r="AG5140" s="229">
        <v>2.1579840000000003</v>
      </c>
      <c r="AH5140" s="348"/>
      <c r="AI5140" s="153"/>
      <c r="AJ5140" s="480"/>
      <c r="AK5140" s="153"/>
      <c r="AL5140" s="152"/>
      <c r="AM5140" s="152"/>
      <c r="AN5140" s="152"/>
      <c r="AO5140" s="152"/>
      <c r="AP5140" s="152"/>
      <c r="AQ5140" s="152"/>
      <c r="AR5140" s="152"/>
      <c r="AS5140" s="152"/>
      <c r="AT5140" s="152"/>
      <c r="AU5140" s="218"/>
      <c r="AV5140" s="218"/>
      <c r="AW5140" s="218"/>
      <c r="AX5140" s="218"/>
      <c r="AY5140" s="218"/>
      <c r="AZ5140" s="152"/>
      <c r="BA5140" s="152"/>
      <c r="BB5140" s="152"/>
      <c r="BC5140" s="152"/>
      <c r="BD5140" s="152"/>
      <c r="BE5140" s="152"/>
      <c r="BF5140" s="152"/>
      <c r="BG5140" s="152"/>
      <c r="BH5140" s="152"/>
      <c r="BI5140" s="153"/>
      <c r="BJ5140" s="153"/>
      <c r="BK5140" s="153"/>
      <c r="BL5140" s="153"/>
      <c r="BM5140" s="153"/>
      <c r="BN5140" s="153"/>
      <c r="BO5140" s="153"/>
      <c r="BP5140" s="153"/>
      <c r="BQ5140" s="153"/>
      <c r="BR5140" s="153"/>
      <c r="BS5140" s="153"/>
      <c r="BT5140" s="153"/>
      <c r="BU5140" s="153"/>
      <c r="BV5140" s="153"/>
      <c r="BW5140" s="153"/>
      <c r="BX5140" s="153"/>
      <c r="BY5140" s="153"/>
      <c r="BZ5140" s="153"/>
      <c r="CA5140" s="152"/>
      <c r="CB5140" s="152"/>
    </row>
    <row r="5141" spans="1:80" s="87" customFormat="1" x14ac:dyDescent="0.2">
      <c r="A5141" s="152"/>
      <c r="B5141" s="683"/>
      <c r="C5141" s="683"/>
      <c r="D5141" s="698"/>
      <c r="E5141" s="215"/>
      <c r="F5141" s="215"/>
      <c r="G5141" s="153"/>
      <c r="H5141" s="153"/>
      <c r="I5141" s="153"/>
      <c r="J5141" s="153"/>
      <c r="K5141" s="153"/>
      <c r="L5141" s="653"/>
      <c r="M5141" s="668">
        <v>31567</v>
      </c>
      <c r="N5141" s="602">
        <v>189.17760000000001</v>
      </c>
      <c r="O5141" s="605">
        <v>1.0289826932000001</v>
      </c>
      <c r="P5141" s="265">
        <v>0</v>
      </c>
      <c r="Q5141" s="265">
        <v>0</v>
      </c>
      <c r="R5141" s="265">
        <v>0.05</v>
      </c>
      <c r="S5141" s="265">
        <v>0.05</v>
      </c>
      <c r="T5141" s="265">
        <v>0.03</v>
      </c>
      <c r="U5141" s="265">
        <v>0.03</v>
      </c>
      <c r="V5141" s="268">
        <v>7.999999999999996E-2</v>
      </c>
      <c r="W5141" s="268">
        <v>0.26</v>
      </c>
      <c r="X5141" s="268">
        <v>0.36</v>
      </c>
      <c r="Y5141" s="268">
        <v>0.14000000000000001</v>
      </c>
      <c r="Z5141" s="269"/>
      <c r="AA5141" s="270">
        <v>0.5</v>
      </c>
      <c r="AB5141" s="152"/>
      <c r="AC5141" s="152"/>
      <c r="AD5141" s="229">
        <v>42.062400000000004</v>
      </c>
      <c r="AE5141" s="229">
        <v>1.895856</v>
      </c>
      <c r="AF5141" s="150">
        <v>79.893999999999991</v>
      </c>
      <c r="AG5141" s="229">
        <v>2.368296</v>
      </c>
      <c r="AH5141" s="348"/>
      <c r="AI5141" s="153"/>
      <c r="AJ5141" s="480"/>
      <c r="AK5141" s="153"/>
      <c r="AL5141" s="152"/>
      <c r="AM5141" s="152"/>
      <c r="AN5141" s="152"/>
      <c r="AO5141" s="152"/>
      <c r="AP5141" s="152"/>
      <c r="AQ5141" s="152"/>
      <c r="AR5141" s="152"/>
      <c r="AS5141" s="152"/>
      <c r="AT5141" s="152"/>
      <c r="AU5141" s="218"/>
      <c r="AV5141" s="218"/>
      <c r="AW5141" s="218"/>
      <c r="AX5141" s="218"/>
      <c r="AY5141" s="218"/>
      <c r="AZ5141" s="152"/>
      <c r="BA5141" s="152"/>
      <c r="BB5141" s="152"/>
      <c r="BC5141" s="152"/>
      <c r="BD5141" s="152"/>
      <c r="BE5141" s="152"/>
      <c r="BF5141" s="152"/>
      <c r="BG5141" s="152"/>
      <c r="BH5141" s="152"/>
      <c r="BI5141" s="153"/>
      <c r="BJ5141" s="153"/>
      <c r="BK5141" s="153"/>
      <c r="BL5141" s="153"/>
      <c r="BM5141" s="153"/>
      <c r="BN5141" s="153"/>
      <c r="BO5141" s="153"/>
      <c r="BP5141" s="153"/>
      <c r="BQ5141" s="153"/>
      <c r="BR5141" s="153"/>
      <c r="BS5141" s="153"/>
      <c r="BT5141" s="153"/>
      <c r="BU5141" s="153"/>
      <c r="BV5141" s="153"/>
      <c r="BW5141" s="153"/>
      <c r="BX5141" s="153"/>
      <c r="BY5141" s="153"/>
      <c r="BZ5141" s="153"/>
      <c r="CA5141" s="152"/>
      <c r="CB5141" s="152"/>
    </row>
    <row r="5142" spans="1:80" s="87" customFormat="1" x14ac:dyDescent="0.2">
      <c r="A5142" s="152"/>
      <c r="B5142" s="683"/>
      <c r="C5142" s="683"/>
      <c r="D5142" s="698"/>
      <c r="E5142" s="215"/>
      <c r="F5142" s="215"/>
      <c r="G5142" s="153"/>
      <c r="H5142" s="153"/>
      <c r="I5142" s="153"/>
      <c r="J5142" s="153"/>
      <c r="K5142" s="153"/>
      <c r="L5142" s="653"/>
      <c r="M5142" s="668">
        <v>31568</v>
      </c>
      <c r="N5142" s="602">
        <v>204.75360000000001</v>
      </c>
      <c r="O5142" s="605">
        <v>5.5754062254000001</v>
      </c>
      <c r="P5142" s="265">
        <v>0.09</v>
      </c>
      <c r="Q5142" s="265">
        <f>0.91-0.66</f>
        <v>0.25</v>
      </c>
      <c r="R5142" s="265">
        <f>0.66-0.51</f>
        <v>0.15000000000000002</v>
      </c>
      <c r="S5142" s="265">
        <f>0.51-0.47</f>
        <v>4.0000000000000036E-2</v>
      </c>
      <c r="T5142" s="265">
        <v>0.01</v>
      </c>
      <c r="U5142" s="265">
        <v>0.01</v>
      </c>
      <c r="V5142" s="268">
        <v>2.0000000000000018E-2</v>
      </c>
      <c r="W5142" s="268">
        <v>9.9999999999999978E-2</v>
      </c>
      <c r="X5142" s="268">
        <v>0.27</v>
      </c>
      <c r="Y5142" s="268">
        <v>0.06</v>
      </c>
      <c r="Z5142" s="269"/>
      <c r="AA5142" s="270">
        <v>15</v>
      </c>
      <c r="AB5142" s="152"/>
      <c r="AC5142" s="152"/>
      <c r="AD5142" s="229">
        <v>42.367200000000004</v>
      </c>
      <c r="AE5142" s="229">
        <v>1.9629120000000002</v>
      </c>
      <c r="AF5142" s="150">
        <v>83.052599999999998</v>
      </c>
      <c r="AG5142" s="229">
        <v>2.4627840000000001</v>
      </c>
      <c r="AH5142" s="348"/>
      <c r="AI5142" s="153"/>
      <c r="AJ5142" s="480"/>
      <c r="AK5142" s="153"/>
      <c r="AL5142" s="152"/>
      <c r="AM5142" s="152"/>
      <c r="AN5142" s="152"/>
      <c r="AO5142" s="152"/>
      <c r="AP5142" s="152"/>
      <c r="AQ5142" s="152"/>
      <c r="AR5142" s="152"/>
      <c r="AS5142" s="152"/>
      <c r="AT5142" s="152"/>
      <c r="AU5142" s="218"/>
      <c r="AV5142" s="218"/>
      <c r="AW5142" s="218"/>
      <c r="AX5142" s="218"/>
      <c r="AY5142" s="218"/>
      <c r="AZ5142" s="152"/>
      <c r="BA5142" s="152"/>
      <c r="BB5142" s="152"/>
      <c r="BC5142" s="152"/>
      <c r="BD5142" s="152"/>
      <c r="BE5142" s="152"/>
      <c r="BF5142" s="152"/>
      <c r="BG5142" s="152"/>
      <c r="BH5142" s="152"/>
      <c r="BI5142" s="153"/>
      <c r="BJ5142" s="153"/>
      <c r="BK5142" s="153"/>
      <c r="BL5142" s="153"/>
      <c r="BM5142" s="153"/>
      <c r="BN5142" s="153"/>
      <c r="BO5142" s="153"/>
      <c r="BP5142" s="153"/>
      <c r="BQ5142" s="153"/>
      <c r="BR5142" s="153"/>
      <c r="BS5142" s="153"/>
      <c r="BT5142" s="153"/>
      <c r="BU5142" s="153"/>
      <c r="BV5142" s="153"/>
      <c r="BW5142" s="153"/>
      <c r="BX5142" s="153"/>
      <c r="BY5142" s="153"/>
      <c r="BZ5142" s="153"/>
      <c r="CA5142" s="152"/>
      <c r="CB5142" s="152"/>
    </row>
    <row r="5143" spans="1:80" s="87" customFormat="1" x14ac:dyDescent="0.2">
      <c r="A5143" s="152"/>
      <c r="B5143" s="683"/>
      <c r="C5143" s="683"/>
      <c r="D5143" s="698"/>
      <c r="E5143" s="215"/>
      <c r="F5143" s="215"/>
      <c r="G5143" s="153"/>
      <c r="H5143" s="153"/>
      <c r="I5143" s="153"/>
      <c r="J5143" s="153"/>
      <c r="K5143" s="153"/>
      <c r="L5143" s="653"/>
      <c r="M5143" s="668">
        <v>31568</v>
      </c>
      <c r="N5143" s="602">
        <v>195.69120000000001</v>
      </c>
      <c r="O5143" s="605">
        <v>5.5754062254000001</v>
      </c>
      <c r="P5143" s="265">
        <v>0.05</v>
      </c>
      <c r="Q5143" s="265">
        <f>0.95-0.83</f>
        <v>0.12</v>
      </c>
      <c r="R5143" s="265">
        <f>0.83-0.72</f>
        <v>0.10999999999999999</v>
      </c>
      <c r="S5143" s="265">
        <f>0.72-0.67</f>
        <v>4.9999999999999933E-2</v>
      </c>
      <c r="T5143" s="265">
        <v>0.02</v>
      </c>
      <c r="U5143" s="265">
        <v>0.01</v>
      </c>
      <c r="V5143" s="268">
        <v>3.0000000000000027E-2</v>
      </c>
      <c r="W5143" s="268">
        <v>0.22999999999999998</v>
      </c>
      <c r="X5143" s="268">
        <v>0.31</v>
      </c>
      <c r="Y5143" s="268">
        <v>7.0000000000000007E-2</v>
      </c>
      <c r="Z5143" s="269"/>
      <c r="AA5143" s="270">
        <v>0.6</v>
      </c>
      <c r="AB5143" s="152"/>
      <c r="AC5143" s="152"/>
      <c r="AD5143" s="229">
        <v>42.367200000000004</v>
      </c>
      <c r="AE5143" s="229">
        <v>1.9232879999999999</v>
      </c>
      <c r="AF5143" s="150">
        <v>81.194599999999994</v>
      </c>
      <c r="AG5143" s="229">
        <v>2.4079200000000003</v>
      </c>
      <c r="AH5143" s="348"/>
      <c r="AI5143" s="153"/>
      <c r="AJ5143" s="480"/>
      <c r="AK5143" s="153"/>
      <c r="AL5143" s="152"/>
      <c r="AM5143" s="152"/>
      <c r="AN5143" s="152"/>
      <c r="AO5143" s="152"/>
      <c r="AP5143" s="152"/>
      <c r="AQ5143" s="152"/>
      <c r="AR5143" s="152"/>
      <c r="AS5143" s="152"/>
      <c r="AT5143" s="152"/>
      <c r="AU5143" s="218"/>
      <c r="AV5143" s="218"/>
      <c r="AW5143" s="218"/>
      <c r="AX5143" s="218"/>
      <c r="AY5143" s="218"/>
      <c r="AZ5143" s="152"/>
      <c r="BA5143" s="152"/>
      <c r="BB5143" s="152"/>
      <c r="BC5143" s="152"/>
      <c r="BD5143" s="152"/>
      <c r="BE5143" s="152"/>
      <c r="BF5143" s="152"/>
      <c r="BG5143" s="152"/>
      <c r="BH5143" s="152"/>
      <c r="BI5143" s="153"/>
      <c r="BJ5143" s="153"/>
      <c r="BK5143" s="153"/>
      <c r="BL5143" s="153"/>
      <c r="BM5143" s="153"/>
      <c r="BN5143" s="153"/>
      <c r="BO5143" s="153"/>
      <c r="BP5143" s="153"/>
      <c r="BQ5143" s="153"/>
      <c r="BR5143" s="153"/>
      <c r="BS5143" s="153"/>
      <c r="BT5143" s="153"/>
      <c r="BU5143" s="153"/>
      <c r="BV5143" s="153"/>
      <c r="BW5143" s="153"/>
      <c r="BX5143" s="153"/>
      <c r="BY5143" s="153"/>
      <c r="BZ5143" s="153"/>
      <c r="CA5143" s="152"/>
      <c r="CB5143" s="152"/>
    </row>
    <row r="5144" spans="1:80" s="87" customFormat="1" x14ac:dyDescent="0.2">
      <c r="A5144" s="152"/>
      <c r="B5144" s="683"/>
      <c r="C5144" s="683"/>
      <c r="D5144" s="698"/>
      <c r="E5144" s="215"/>
      <c r="F5144" s="215"/>
      <c r="G5144" s="153"/>
      <c r="H5144" s="153"/>
      <c r="I5144" s="153"/>
      <c r="J5144" s="153"/>
      <c r="K5144" s="153"/>
      <c r="L5144" s="653"/>
      <c r="M5144" s="668">
        <v>31575</v>
      </c>
      <c r="N5144" s="602">
        <v>123.4752</v>
      </c>
      <c r="O5144" s="605">
        <v>4.1369304196000005</v>
      </c>
      <c r="P5144" s="265">
        <v>0</v>
      </c>
      <c r="Q5144" s="265">
        <f>1-0.97</f>
        <v>3.0000000000000027E-2</v>
      </c>
      <c r="R5144" s="265">
        <f>0.97-0.93</f>
        <v>3.9999999999999925E-2</v>
      </c>
      <c r="S5144" s="265">
        <v>0.02</v>
      </c>
      <c r="T5144" s="265">
        <v>0.01</v>
      </c>
      <c r="U5144" s="265">
        <v>0</v>
      </c>
      <c r="V5144" s="268">
        <v>3.0000000000000027E-2</v>
      </c>
      <c r="W5144" s="268">
        <v>0.20999999999999996</v>
      </c>
      <c r="X5144" s="268">
        <v>0.5</v>
      </c>
      <c r="Y5144" s="268">
        <v>0.16</v>
      </c>
      <c r="Z5144" s="269"/>
      <c r="AA5144" s="270">
        <v>0.4</v>
      </c>
      <c r="AB5144" s="152"/>
      <c r="AC5144" s="152"/>
      <c r="AD5144" s="229">
        <v>41.148000000000003</v>
      </c>
      <c r="AE5144" s="229">
        <v>1.5697200000000002</v>
      </c>
      <c r="AF5144" s="150">
        <v>64.844200000000001</v>
      </c>
      <c r="AG5144" s="229">
        <v>1.905</v>
      </c>
      <c r="AH5144" s="348"/>
      <c r="AI5144" s="153"/>
      <c r="AJ5144" s="480"/>
      <c r="AK5144" s="153"/>
      <c r="AL5144" s="152"/>
      <c r="AM5144" s="152"/>
      <c r="AN5144" s="152"/>
      <c r="AO5144" s="152"/>
      <c r="AP5144" s="152"/>
      <c r="AQ5144" s="152"/>
      <c r="AR5144" s="152"/>
      <c r="AS5144" s="152"/>
      <c r="AT5144" s="152"/>
      <c r="AU5144" s="218"/>
      <c r="AV5144" s="218"/>
      <c r="AW5144" s="218"/>
      <c r="AX5144" s="218"/>
      <c r="AY5144" s="218"/>
      <c r="AZ5144" s="152"/>
      <c r="BA5144" s="152"/>
      <c r="BB5144" s="152"/>
      <c r="BC5144" s="152"/>
      <c r="BD5144" s="152"/>
      <c r="BE5144" s="152"/>
      <c r="BF5144" s="152"/>
      <c r="BG5144" s="152"/>
      <c r="BH5144" s="152"/>
      <c r="BI5144" s="153"/>
      <c r="BJ5144" s="153"/>
      <c r="BK5144" s="153"/>
      <c r="BL5144" s="153"/>
      <c r="BM5144" s="153"/>
      <c r="BN5144" s="153"/>
      <c r="BO5144" s="153"/>
      <c r="BP5144" s="153"/>
      <c r="BQ5144" s="153"/>
      <c r="BR5144" s="153"/>
      <c r="BS5144" s="153"/>
      <c r="BT5144" s="153"/>
      <c r="BU5144" s="153"/>
      <c r="BV5144" s="153"/>
      <c r="BW5144" s="153"/>
      <c r="BX5144" s="153"/>
      <c r="BY5144" s="153"/>
      <c r="BZ5144" s="153"/>
      <c r="CA5144" s="152"/>
      <c r="CB5144" s="152"/>
    </row>
    <row r="5145" spans="1:80" s="87" customFormat="1" x14ac:dyDescent="0.2">
      <c r="A5145" s="152"/>
      <c r="B5145" s="683"/>
      <c r="C5145" s="683"/>
      <c r="D5145" s="698"/>
      <c r="E5145" s="215"/>
      <c r="F5145" s="215"/>
      <c r="G5145" s="153"/>
      <c r="H5145" s="153"/>
      <c r="I5145" s="153"/>
      <c r="J5145" s="153"/>
      <c r="K5145" s="153"/>
      <c r="L5145" s="653"/>
      <c r="M5145" s="668">
        <v>31575</v>
      </c>
      <c r="N5145" s="602">
        <v>129.42240000000001</v>
      </c>
      <c r="O5145" s="605">
        <v>3.0239491392</v>
      </c>
      <c r="P5145" s="265">
        <v>0</v>
      </c>
      <c r="Q5145" s="265">
        <f>1-0.95</f>
        <v>5.0000000000000044E-2</v>
      </c>
      <c r="R5145" s="265">
        <v>0.05</v>
      </c>
      <c r="S5145" s="265">
        <v>0.02</v>
      </c>
      <c r="T5145" s="265">
        <v>0</v>
      </c>
      <c r="U5145" s="265">
        <v>0.01</v>
      </c>
      <c r="V5145" s="268">
        <v>1.0000000000000009E-2</v>
      </c>
      <c r="W5145" s="268">
        <v>0.18999999999999995</v>
      </c>
      <c r="X5145" s="268">
        <v>0.49000000000000005</v>
      </c>
      <c r="Y5145" s="268">
        <v>0.18</v>
      </c>
      <c r="Z5145" s="269"/>
      <c r="AA5145" s="270">
        <v>0.4</v>
      </c>
      <c r="AB5145" s="152"/>
      <c r="AC5145" s="152"/>
      <c r="AD5145" s="229">
        <v>41.452800000000003</v>
      </c>
      <c r="AE5145" s="229">
        <v>1.603248</v>
      </c>
      <c r="AF5145" s="150">
        <v>66.330600000000004</v>
      </c>
      <c r="AG5145" s="229">
        <v>1.9507200000000002</v>
      </c>
      <c r="AH5145" s="348"/>
      <c r="AI5145" s="153"/>
      <c r="AJ5145" s="480"/>
      <c r="AK5145" s="153"/>
      <c r="AL5145" s="152"/>
      <c r="AM5145" s="152"/>
      <c r="AN5145" s="152"/>
      <c r="AO5145" s="152"/>
      <c r="AP5145" s="152"/>
      <c r="AQ5145" s="152"/>
      <c r="AR5145" s="152"/>
      <c r="AS5145" s="152"/>
      <c r="AT5145" s="152"/>
      <c r="AU5145" s="218"/>
      <c r="AV5145" s="218"/>
      <c r="AW5145" s="218"/>
      <c r="AX5145" s="218"/>
      <c r="AY5145" s="218"/>
      <c r="AZ5145" s="152"/>
      <c r="BA5145" s="152"/>
      <c r="BB5145" s="152"/>
      <c r="BC5145" s="152"/>
      <c r="BD5145" s="152"/>
      <c r="BE5145" s="152"/>
      <c r="BF5145" s="152"/>
      <c r="BG5145" s="152"/>
      <c r="BH5145" s="152"/>
      <c r="BI5145" s="153"/>
      <c r="BJ5145" s="153"/>
      <c r="BK5145" s="153"/>
      <c r="BL5145" s="153"/>
      <c r="BM5145" s="153"/>
      <c r="BN5145" s="153"/>
      <c r="BO5145" s="153"/>
      <c r="BP5145" s="153"/>
      <c r="BQ5145" s="153"/>
      <c r="BR5145" s="153"/>
      <c r="BS5145" s="153"/>
      <c r="BT5145" s="153"/>
      <c r="BU5145" s="153"/>
      <c r="BV5145" s="153"/>
      <c r="BW5145" s="153"/>
      <c r="BX5145" s="153"/>
      <c r="BY5145" s="153"/>
      <c r="BZ5145" s="153"/>
      <c r="CA5145" s="152"/>
      <c r="CB5145" s="152"/>
    </row>
    <row r="5146" spans="1:80" s="87" customFormat="1" x14ac:dyDescent="0.2">
      <c r="A5146" s="152"/>
      <c r="B5146" s="683"/>
      <c r="C5146" s="683"/>
      <c r="D5146" s="698"/>
      <c r="E5146" s="215"/>
      <c r="F5146" s="215"/>
      <c r="G5146" s="153"/>
      <c r="H5146" s="153"/>
      <c r="I5146" s="153"/>
      <c r="J5146" s="153"/>
      <c r="K5146" s="153"/>
      <c r="L5146" s="653"/>
      <c r="M5146" s="668">
        <v>31576</v>
      </c>
      <c r="N5146" s="602">
        <v>101.952</v>
      </c>
      <c r="O5146" s="605">
        <v>2.6669551436000001</v>
      </c>
      <c r="P5146" s="265">
        <v>0</v>
      </c>
      <c r="Q5146" s="265">
        <v>0</v>
      </c>
      <c r="R5146" s="265">
        <v>0</v>
      </c>
      <c r="S5146" s="265">
        <v>0.01</v>
      </c>
      <c r="T5146" s="265">
        <v>0</v>
      </c>
      <c r="U5146" s="265">
        <v>0.01</v>
      </c>
      <c r="V5146" s="268">
        <v>2.0000000000000018E-2</v>
      </c>
      <c r="W5146" s="268">
        <v>0.26</v>
      </c>
      <c r="X5146" s="268">
        <v>0.54999999999999993</v>
      </c>
      <c r="Y5146" s="268">
        <v>0.15</v>
      </c>
      <c r="Z5146" s="269"/>
      <c r="AA5146" s="270">
        <v>0.4</v>
      </c>
      <c r="AB5146" s="152"/>
      <c r="AC5146" s="152"/>
      <c r="AD5146" s="229">
        <v>40.843200000000003</v>
      </c>
      <c r="AE5146" s="229">
        <v>1.444752</v>
      </c>
      <c r="AF5146" s="150">
        <v>58.991499999999995</v>
      </c>
      <c r="AG5146" s="229">
        <v>1.728216</v>
      </c>
      <c r="AH5146" s="348"/>
      <c r="AI5146" s="153"/>
      <c r="AJ5146" s="480"/>
      <c r="AK5146" s="153"/>
      <c r="AL5146" s="152"/>
      <c r="AM5146" s="152"/>
      <c r="AN5146" s="152"/>
      <c r="AO5146" s="152"/>
      <c r="AP5146" s="152"/>
      <c r="AQ5146" s="152"/>
      <c r="AR5146" s="152"/>
      <c r="AS5146" s="152"/>
      <c r="AT5146" s="152"/>
      <c r="AU5146" s="218"/>
      <c r="AV5146" s="218"/>
      <c r="AW5146" s="218"/>
      <c r="AX5146" s="218"/>
      <c r="AY5146" s="218"/>
      <c r="AZ5146" s="152"/>
      <c r="BA5146" s="152"/>
      <c r="BB5146" s="152"/>
      <c r="BC5146" s="152"/>
      <c r="BD5146" s="152"/>
      <c r="BE5146" s="152"/>
      <c r="BF5146" s="152"/>
      <c r="BG5146" s="152"/>
      <c r="BH5146" s="152"/>
      <c r="BI5146" s="153"/>
      <c r="BJ5146" s="153"/>
      <c r="BK5146" s="153"/>
      <c r="BL5146" s="153"/>
      <c r="BM5146" s="153"/>
      <c r="BN5146" s="153"/>
      <c r="BO5146" s="153"/>
      <c r="BP5146" s="153"/>
      <c r="BQ5146" s="153"/>
      <c r="BR5146" s="153"/>
      <c r="BS5146" s="153"/>
      <c r="BT5146" s="153"/>
      <c r="BU5146" s="153"/>
      <c r="BV5146" s="153"/>
      <c r="BW5146" s="153"/>
      <c r="BX5146" s="153"/>
      <c r="BY5146" s="153"/>
      <c r="BZ5146" s="153"/>
      <c r="CA5146" s="152"/>
      <c r="CB5146" s="152"/>
    </row>
    <row r="5147" spans="1:80" s="87" customFormat="1" x14ac:dyDescent="0.2">
      <c r="A5147" s="152"/>
      <c r="B5147" s="683"/>
      <c r="C5147" s="683"/>
      <c r="D5147" s="698"/>
      <c r="E5147" s="215"/>
      <c r="F5147" s="215"/>
      <c r="G5147" s="153"/>
      <c r="H5147" s="153"/>
      <c r="I5147" s="153"/>
      <c r="J5147" s="153"/>
      <c r="K5147" s="153"/>
      <c r="L5147" s="653"/>
      <c r="M5147" s="668">
        <v>31587</v>
      </c>
      <c r="N5147" s="602">
        <v>87.508800000000008</v>
      </c>
      <c r="O5147" s="605">
        <v>1.7954698014000001</v>
      </c>
      <c r="P5147" s="265">
        <v>0</v>
      </c>
      <c r="Q5147" s="265">
        <v>0</v>
      </c>
      <c r="R5147" s="265">
        <v>0.05</v>
      </c>
      <c r="S5147" s="265">
        <v>0.02</v>
      </c>
      <c r="T5147" s="265">
        <v>0.01</v>
      </c>
      <c r="U5147" s="265">
        <v>0.01</v>
      </c>
      <c r="V5147" s="268">
        <v>3.0000000000000027E-2</v>
      </c>
      <c r="W5147" s="268">
        <v>0.30000000000000004</v>
      </c>
      <c r="X5147" s="268">
        <v>0.30999999999999994</v>
      </c>
      <c r="Y5147" s="268">
        <v>0.27</v>
      </c>
      <c r="Z5147" s="269"/>
      <c r="AA5147" s="270">
        <v>0.4</v>
      </c>
      <c r="AB5147" s="152"/>
      <c r="AC5147" s="152"/>
      <c r="AD5147" s="229">
        <v>40.538400000000003</v>
      </c>
      <c r="AE5147" s="229">
        <v>1.3502639999999999</v>
      </c>
      <c r="AF5147" s="150">
        <v>54.7181</v>
      </c>
      <c r="AG5147" s="229">
        <v>1.5971520000000001</v>
      </c>
      <c r="AH5147" s="348"/>
      <c r="AI5147" s="153"/>
      <c r="AJ5147" s="480"/>
      <c r="AK5147" s="153"/>
      <c r="AL5147" s="152"/>
      <c r="AM5147" s="152"/>
      <c r="AN5147" s="152"/>
      <c r="AO5147" s="152"/>
      <c r="AP5147" s="152"/>
      <c r="AQ5147" s="152"/>
      <c r="AR5147" s="152"/>
      <c r="AS5147" s="152"/>
      <c r="AT5147" s="152"/>
      <c r="AU5147" s="218"/>
      <c r="AV5147" s="218"/>
      <c r="AW5147" s="218"/>
      <c r="AX5147" s="218"/>
      <c r="AY5147" s="218"/>
      <c r="AZ5147" s="152"/>
      <c r="BA5147" s="152"/>
      <c r="BB5147" s="152"/>
      <c r="BC5147" s="152"/>
      <c r="BD5147" s="152"/>
      <c r="BE5147" s="152"/>
      <c r="BF5147" s="152"/>
      <c r="BG5147" s="152"/>
      <c r="BH5147" s="152"/>
      <c r="BI5147" s="153"/>
      <c r="BJ5147" s="153"/>
      <c r="BK5147" s="153"/>
      <c r="BL5147" s="153"/>
      <c r="BM5147" s="153"/>
      <c r="BN5147" s="153"/>
      <c r="BO5147" s="153"/>
      <c r="BP5147" s="153"/>
      <c r="BQ5147" s="153"/>
      <c r="BR5147" s="153"/>
      <c r="BS5147" s="153"/>
      <c r="BT5147" s="153"/>
      <c r="BU5147" s="153"/>
      <c r="BV5147" s="153"/>
      <c r="BW5147" s="153"/>
      <c r="BX5147" s="153"/>
      <c r="BY5147" s="153"/>
      <c r="BZ5147" s="153"/>
      <c r="CA5147" s="152"/>
      <c r="CB5147" s="152"/>
    </row>
    <row r="5148" spans="1:80" s="87" customFormat="1" x14ac:dyDescent="0.2">
      <c r="A5148" s="152"/>
      <c r="B5148" s="683"/>
      <c r="C5148" s="683"/>
      <c r="D5148" s="698"/>
      <c r="E5148" s="215"/>
      <c r="F5148" s="215"/>
      <c r="G5148" s="153"/>
      <c r="H5148" s="153"/>
      <c r="I5148" s="153"/>
      <c r="J5148" s="153"/>
      <c r="K5148" s="153"/>
      <c r="L5148" s="653"/>
      <c r="M5148" s="668">
        <v>31587</v>
      </c>
      <c r="N5148" s="602">
        <v>90.340800000000002</v>
      </c>
      <c r="O5148" s="605">
        <v>1.6589720971999999</v>
      </c>
      <c r="P5148" s="265">
        <v>0</v>
      </c>
      <c r="Q5148" s="265">
        <v>0.1</v>
      </c>
      <c r="R5148" s="265">
        <f>0.9-0.86</f>
        <v>4.0000000000000036E-2</v>
      </c>
      <c r="S5148" s="265">
        <v>0.02</v>
      </c>
      <c r="T5148" s="265">
        <v>0.01</v>
      </c>
      <c r="U5148" s="265">
        <v>0</v>
      </c>
      <c r="V5148" s="268">
        <v>3.9999999999999925E-2</v>
      </c>
      <c r="W5148" s="268">
        <v>0.28000000000000003</v>
      </c>
      <c r="X5148" s="268">
        <v>0.43</v>
      </c>
      <c r="Y5148" s="268">
        <v>0.08</v>
      </c>
      <c r="Z5148" s="269"/>
      <c r="AA5148" s="270">
        <v>0.5</v>
      </c>
      <c r="AB5148" s="152"/>
      <c r="AC5148" s="152"/>
      <c r="AD5148" s="229">
        <v>40.538400000000003</v>
      </c>
      <c r="AE5148" s="229">
        <v>1.3685520000000002</v>
      </c>
      <c r="AF5148" s="150">
        <v>55.647099999999995</v>
      </c>
      <c r="AG5148" s="229">
        <v>1.624584</v>
      </c>
      <c r="AH5148" s="348"/>
      <c r="AI5148" s="153"/>
      <c r="AJ5148" s="480"/>
      <c r="AK5148" s="153"/>
      <c r="AL5148" s="152"/>
      <c r="AM5148" s="152"/>
      <c r="AN5148" s="152"/>
      <c r="AO5148" s="152"/>
      <c r="AP5148" s="152"/>
      <c r="AQ5148" s="152"/>
      <c r="AR5148" s="152"/>
      <c r="AS5148" s="152"/>
      <c r="AT5148" s="152"/>
      <c r="AU5148" s="218"/>
      <c r="AV5148" s="218"/>
      <c r="AW5148" s="218"/>
      <c r="AX5148" s="218"/>
      <c r="AY5148" s="218"/>
      <c r="AZ5148" s="152"/>
      <c r="BA5148" s="152"/>
      <c r="BB5148" s="152"/>
      <c r="BC5148" s="152"/>
      <c r="BD5148" s="152"/>
      <c r="BE5148" s="152"/>
      <c r="BF5148" s="152"/>
      <c r="BG5148" s="152"/>
      <c r="BH5148" s="152"/>
      <c r="BI5148" s="153"/>
      <c r="BJ5148" s="153"/>
      <c r="BK5148" s="153"/>
      <c r="BL5148" s="153"/>
      <c r="BM5148" s="153"/>
      <c r="BN5148" s="153"/>
      <c r="BO5148" s="153"/>
      <c r="BP5148" s="153"/>
      <c r="BQ5148" s="153"/>
      <c r="BR5148" s="153"/>
      <c r="BS5148" s="153"/>
      <c r="BT5148" s="153"/>
      <c r="BU5148" s="153"/>
      <c r="BV5148" s="153"/>
      <c r="BW5148" s="153"/>
      <c r="BX5148" s="153"/>
      <c r="BY5148" s="153"/>
      <c r="BZ5148" s="153"/>
      <c r="CA5148" s="152"/>
      <c r="CB5148" s="152"/>
    </row>
    <row r="5149" spans="1:80" s="87" customFormat="1" x14ac:dyDescent="0.2">
      <c r="A5149" s="152"/>
      <c r="B5149" s="683"/>
      <c r="C5149" s="683"/>
      <c r="D5149" s="698"/>
      <c r="E5149" s="215"/>
      <c r="F5149" s="215"/>
      <c r="G5149" s="153"/>
      <c r="H5149" s="153"/>
      <c r="I5149" s="153"/>
      <c r="J5149" s="153"/>
      <c r="K5149" s="153"/>
      <c r="L5149" s="653"/>
      <c r="M5149" s="668">
        <v>31588</v>
      </c>
      <c r="N5149" s="602">
        <v>72.216000000000008</v>
      </c>
      <c r="O5149" s="605">
        <v>0.83998587199999997</v>
      </c>
      <c r="P5149" s="265">
        <v>0</v>
      </c>
      <c r="Q5149" s="265">
        <v>0</v>
      </c>
      <c r="R5149" s="265">
        <v>0</v>
      </c>
      <c r="S5149" s="265">
        <v>0.01</v>
      </c>
      <c r="T5149" s="265">
        <v>0</v>
      </c>
      <c r="U5149" s="265">
        <v>0</v>
      </c>
      <c r="V5149" s="268">
        <v>5.0000000000000044E-2</v>
      </c>
      <c r="W5149" s="268">
        <v>0.3899999999999999</v>
      </c>
      <c r="X5149" s="268">
        <v>0.46000000000000008</v>
      </c>
      <c r="Y5149" s="268">
        <v>0.09</v>
      </c>
      <c r="Z5149" s="269"/>
      <c r="AA5149" s="270">
        <v>0.5</v>
      </c>
      <c r="AB5149" s="152"/>
      <c r="AC5149" s="152"/>
      <c r="AD5149" s="229">
        <v>40.233600000000003</v>
      </c>
      <c r="AE5149" s="229">
        <v>1.2405360000000001</v>
      </c>
      <c r="AF5149" s="150">
        <v>49.794399999999996</v>
      </c>
      <c r="AG5149" s="229">
        <v>1.4478</v>
      </c>
      <c r="AH5149" s="348"/>
      <c r="AI5149" s="153"/>
      <c r="AJ5149" s="480"/>
      <c r="AK5149" s="153"/>
      <c r="AL5149" s="152"/>
      <c r="AM5149" s="152"/>
      <c r="AN5149" s="152"/>
      <c r="AO5149" s="152"/>
      <c r="AP5149" s="152"/>
      <c r="AQ5149" s="152"/>
      <c r="AR5149" s="152"/>
      <c r="AS5149" s="152"/>
      <c r="AT5149" s="152"/>
      <c r="AU5149" s="218"/>
      <c r="AV5149" s="218"/>
      <c r="AW5149" s="218"/>
      <c r="AX5149" s="218"/>
      <c r="AY5149" s="218"/>
      <c r="AZ5149" s="152"/>
      <c r="BA5149" s="152"/>
      <c r="BB5149" s="152"/>
      <c r="BC5149" s="152"/>
      <c r="BD5149" s="152"/>
      <c r="BE5149" s="152"/>
      <c r="BF5149" s="152"/>
      <c r="BG5149" s="152"/>
      <c r="BH5149" s="152"/>
      <c r="BI5149" s="153"/>
      <c r="BJ5149" s="153"/>
      <c r="BK5149" s="153"/>
      <c r="BL5149" s="153"/>
      <c r="BM5149" s="153"/>
      <c r="BN5149" s="153"/>
      <c r="BO5149" s="153"/>
      <c r="BP5149" s="153"/>
      <c r="BQ5149" s="153"/>
      <c r="BR5149" s="153"/>
      <c r="BS5149" s="153"/>
      <c r="BT5149" s="153"/>
      <c r="BU5149" s="153"/>
      <c r="BV5149" s="153"/>
      <c r="BW5149" s="153"/>
      <c r="BX5149" s="153"/>
      <c r="BY5149" s="153"/>
      <c r="BZ5149" s="153"/>
      <c r="CA5149" s="152"/>
      <c r="CB5149" s="152"/>
    </row>
    <row r="5150" spans="1:80" s="87" customFormat="1" x14ac:dyDescent="0.2">
      <c r="A5150" s="152"/>
      <c r="B5150" s="683"/>
      <c r="C5150" s="683"/>
      <c r="D5150" s="698"/>
      <c r="E5150" s="215"/>
      <c r="F5150" s="215"/>
      <c r="G5150" s="153"/>
      <c r="H5150" s="153"/>
      <c r="I5150" s="153"/>
      <c r="J5150" s="153"/>
      <c r="K5150" s="153"/>
      <c r="L5150" s="653"/>
      <c r="M5150" s="668">
        <v>31589</v>
      </c>
      <c r="N5150" s="602">
        <v>80.145600000000002</v>
      </c>
      <c r="O5150" s="605">
        <v>3.3074443709999999</v>
      </c>
      <c r="P5150" s="265">
        <v>0</v>
      </c>
      <c r="Q5150" s="265">
        <v>0</v>
      </c>
      <c r="R5150" s="265">
        <v>0</v>
      </c>
      <c r="S5150" s="265">
        <v>0.01</v>
      </c>
      <c r="T5150" s="265">
        <v>0</v>
      </c>
      <c r="U5150" s="265">
        <v>0</v>
      </c>
      <c r="V5150" s="268">
        <v>1.0000000000000009E-2</v>
      </c>
      <c r="W5150" s="268">
        <v>0.22999999999999998</v>
      </c>
      <c r="X5150" s="268">
        <v>0.62</v>
      </c>
      <c r="Y5150" s="268">
        <v>0.13</v>
      </c>
      <c r="Z5150" s="269"/>
      <c r="AA5150" s="270">
        <v>0.4</v>
      </c>
      <c r="AB5150" s="152"/>
      <c r="AC5150" s="152"/>
      <c r="AD5150" s="229">
        <v>40.538400000000003</v>
      </c>
      <c r="AE5150" s="229">
        <v>1.298448</v>
      </c>
      <c r="AF5150" s="150">
        <v>52.488499999999995</v>
      </c>
      <c r="AG5150" s="229">
        <v>1.527048</v>
      </c>
      <c r="AH5150" s="348"/>
      <c r="AI5150" s="153"/>
      <c r="AJ5150" s="480"/>
      <c r="AK5150" s="153"/>
      <c r="AL5150" s="152"/>
      <c r="AM5150" s="152"/>
      <c r="AN5150" s="152"/>
      <c r="AO5150" s="152"/>
      <c r="AP5150" s="152"/>
      <c r="AQ5150" s="152"/>
      <c r="AR5150" s="152"/>
      <c r="AS5150" s="152"/>
      <c r="AT5150" s="152"/>
      <c r="AU5150" s="218"/>
      <c r="AV5150" s="218"/>
      <c r="AW5150" s="218"/>
      <c r="AX5150" s="218"/>
      <c r="AY5150" s="218"/>
      <c r="AZ5150" s="152"/>
      <c r="BA5150" s="152"/>
      <c r="BB5150" s="152"/>
      <c r="BC5150" s="152"/>
      <c r="BD5150" s="152"/>
      <c r="BE5150" s="152"/>
      <c r="BF5150" s="152"/>
      <c r="BG5150" s="152"/>
      <c r="BH5150" s="152"/>
      <c r="BI5150" s="153"/>
      <c r="BJ5150" s="153"/>
      <c r="BK5150" s="153"/>
      <c r="BL5150" s="153"/>
      <c r="BM5150" s="153"/>
      <c r="BN5150" s="153"/>
      <c r="BO5150" s="153"/>
      <c r="BP5150" s="153"/>
      <c r="BQ5150" s="153"/>
      <c r="BR5150" s="153"/>
      <c r="BS5150" s="153"/>
      <c r="BT5150" s="153"/>
      <c r="BU5150" s="153"/>
      <c r="BV5150" s="153"/>
      <c r="BW5150" s="153"/>
      <c r="BX5150" s="153"/>
      <c r="BY5150" s="153"/>
      <c r="BZ5150" s="153"/>
      <c r="CA5150" s="152"/>
      <c r="CB5150" s="152"/>
    </row>
    <row r="5151" spans="1:80" s="87" customFormat="1" x14ac:dyDescent="0.2">
      <c r="A5151" s="152"/>
      <c r="B5151" s="683"/>
      <c r="C5151" s="683"/>
      <c r="D5151" s="698"/>
      <c r="E5151" s="215"/>
      <c r="F5151" s="215"/>
      <c r="G5151" s="153"/>
      <c r="H5151" s="153"/>
      <c r="I5151" s="153"/>
      <c r="J5151" s="153"/>
      <c r="K5151" s="153"/>
      <c r="L5151" s="653"/>
      <c r="M5151" s="668">
        <v>31589</v>
      </c>
      <c r="N5151" s="602">
        <v>81.844800000000006</v>
      </c>
      <c r="O5151" s="605">
        <v>0.98698339960000003</v>
      </c>
      <c r="P5151" s="265">
        <v>0</v>
      </c>
      <c r="Q5151" s="265">
        <v>0</v>
      </c>
      <c r="R5151" s="265">
        <v>0</v>
      </c>
      <c r="S5151" s="265">
        <v>0</v>
      </c>
      <c r="T5151" s="265">
        <v>0.01</v>
      </c>
      <c r="U5151" s="265">
        <v>0.01</v>
      </c>
      <c r="V5151" s="268">
        <v>2.0000000000000018E-2</v>
      </c>
      <c r="W5151" s="268">
        <v>0.43999999999999995</v>
      </c>
      <c r="X5151" s="268">
        <v>0.41000000000000003</v>
      </c>
      <c r="Y5151" s="268">
        <v>0.11</v>
      </c>
      <c r="Z5151" s="269"/>
      <c r="AA5151" s="270">
        <v>0.5</v>
      </c>
      <c r="AB5151" s="152"/>
      <c r="AC5151" s="152"/>
      <c r="AD5151" s="229">
        <v>40.538400000000003</v>
      </c>
      <c r="AE5151" s="229">
        <v>1.31064</v>
      </c>
      <c r="AF5151" s="150">
        <v>52.952999999999996</v>
      </c>
      <c r="AG5151" s="229">
        <v>1.5422879999999999</v>
      </c>
      <c r="AH5151" s="348"/>
      <c r="AI5151" s="153"/>
      <c r="AJ5151" s="480"/>
      <c r="AK5151" s="153"/>
      <c r="AL5151" s="152"/>
      <c r="AM5151" s="152"/>
      <c r="AN5151" s="152"/>
      <c r="AO5151" s="152"/>
      <c r="AP5151" s="152"/>
      <c r="AQ5151" s="152"/>
      <c r="AR5151" s="152"/>
      <c r="AS5151" s="152"/>
      <c r="AT5151" s="152"/>
      <c r="AU5151" s="218"/>
      <c r="AV5151" s="218"/>
      <c r="AW5151" s="218"/>
      <c r="AX5151" s="218"/>
      <c r="AY5151" s="218"/>
      <c r="AZ5151" s="152"/>
      <c r="BA5151" s="152"/>
      <c r="BB5151" s="152"/>
      <c r="BC5151" s="152"/>
      <c r="BD5151" s="152"/>
      <c r="BE5151" s="152"/>
      <c r="BF5151" s="152"/>
      <c r="BG5151" s="152"/>
      <c r="BH5151" s="152"/>
      <c r="BI5151" s="153"/>
      <c r="BJ5151" s="153"/>
      <c r="BK5151" s="153"/>
      <c r="BL5151" s="153"/>
      <c r="BM5151" s="153"/>
      <c r="BN5151" s="153"/>
      <c r="BO5151" s="153"/>
      <c r="BP5151" s="153"/>
      <c r="BQ5151" s="153"/>
      <c r="BR5151" s="153"/>
      <c r="BS5151" s="153"/>
      <c r="BT5151" s="153"/>
      <c r="BU5151" s="153"/>
      <c r="BV5151" s="153"/>
      <c r="BW5151" s="153"/>
      <c r="BX5151" s="153"/>
      <c r="BY5151" s="153"/>
      <c r="BZ5151" s="153"/>
      <c r="CA5151" s="152"/>
      <c r="CB5151" s="152"/>
    </row>
    <row r="5152" spans="1:80" s="87" customFormat="1" x14ac:dyDescent="0.2">
      <c r="A5152" s="152"/>
      <c r="B5152" s="683"/>
      <c r="C5152" s="683"/>
      <c r="D5152" s="698"/>
      <c r="E5152" s="215"/>
      <c r="F5152" s="215"/>
      <c r="G5152" s="153"/>
      <c r="H5152" s="153"/>
      <c r="I5152" s="153"/>
      <c r="J5152" s="153"/>
      <c r="K5152" s="153"/>
      <c r="L5152" s="653"/>
      <c r="M5152" s="668">
        <v>31590</v>
      </c>
      <c r="N5152" s="602">
        <v>67.401600000000002</v>
      </c>
      <c r="O5152" s="605">
        <v>1.6064729802</v>
      </c>
      <c r="P5152" s="265">
        <v>0</v>
      </c>
      <c r="Q5152" s="265">
        <v>0</v>
      </c>
      <c r="R5152" s="265">
        <v>0</v>
      </c>
      <c r="S5152" s="265">
        <v>0</v>
      </c>
      <c r="T5152" s="265">
        <v>0</v>
      </c>
      <c r="U5152" s="265">
        <v>0</v>
      </c>
      <c r="V5152" s="268">
        <v>3.0000000000000027E-2</v>
      </c>
      <c r="W5152" s="268">
        <v>0.39</v>
      </c>
      <c r="X5152" s="268">
        <v>0.51</v>
      </c>
      <c r="Y5152" s="268">
        <v>7.0000000000000007E-2</v>
      </c>
      <c r="Z5152" s="269"/>
      <c r="AA5152" s="270">
        <v>0.5</v>
      </c>
      <c r="AB5152" s="152"/>
      <c r="AC5152" s="152"/>
      <c r="AD5152" s="229">
        <v>39.928800000000003</v>
      </c>
      <c r="AE5152" s="229">
        <v>1.2039600000000001</v>
      </c>
      <c r="AF5152" s="150">
        <v>48.2151</v>
      </c>
      <c r="AG5152" s="229">
        <v>1.3990320000000001</v>
      </c>
      <c r="AH5152" s="348"/>
      <c r="AI5152" s="153"/>
      <c r="AJ5152" s="480"/>
      <c r="AK5152" s="153"/>
      <c r="AL5152" s="152"/>
      <c r="AM5152" s="152"/>
      <c r="AN5152" s="152"/>
      <c r="AO5152" s="152"/>
      <c r="AP5152" s="152"/>
      <c r="AQ5152" s="152"/>
      <c r="AR5152" s="152"/>
      <c r="AS5152" s="152"/>
      <c r="AT5152" s="152"/>
      <c r="AU5152" s="218"/>
      <c r="AV5152" s="218"/>
      <c r="AW5152" s="218"/>
      <c r="AX5152" s="218"/>
      <c r="AY5152" s="218"/>
      <c r="AZ5152" s="152"/>
      <c r="BA5152" s="152"/>
      <c r="BB5152" s="152"/>
      <c r="BC5152" s="152"/>
      <c r="BD5152" s="152"/>
      <c r="BE5152" s="152"/>
      <c r="BF5152" s="152"/>
      <c r="BG5152" s="152"/>
      <c r="BH5152" s="152"/>
      <c r="BI5152" s="153"/>
      <c r="BJ5152" s="153"/>
      <c r="BK5152" s="153"/>
      <c r="BL5152" s="153"/>
      <c r="BM5152" s="153"/>
      <c r="BN5152" s="153"/>
      <c r="BO5152" s="153"/>
      <c r="BP5152" s="153"/>
      <c r="BQ5152" s="153"/>
      <c r="BR5152" s="153"/>
      <c r="BS5152" s="153"/>
      <c r="BT5152" s="153"/>
      <c r="BU5152" s="153"/>
      <c r="BV5152" s="153"/>
      <c r="BW5152" s="153"/>
      <c r="BX5152" s="153"/>
      <c r="BY5152" s="153"/>
      <c r="BZ5152" s="153"/>
      <c r="CA5152" s="152"/>
      <c r="CB5152" s="152"/>
    </row>
    <row r="5153" spans="1:80" ht="15" x14ac:dyDescent="0.25">
      <c r="A5153" s="9" t="s">
        <v>112</v>
      </c>
      <c r="B5153" s="639" t="s">
        <v>53</v>
      </c>
      <c r="C5153" s="639"/>
      <c r="D5153" s="4">
        <f>VLOOKUP(E5153,'Quality Code'!D4:E24,2,TRUE)*VLOOKUP(MROUND(F5153,10),'Quality Code'!D28:E69,2,TRUE)*VLOOKUP(COUNTA(CB5153:CB5163),'Quality Code'!D73:E93,2,TRUE)</f>
        <v>0.83333000000000002</v>
      </c>
      <c r="E5153" s="14">
        <v>0.5</v>
      </c>
      <c r="F5153" s="18">
        <v>35</v>
      </c>
      <c r="G5153" s="25"/>
      <c r="H5153" s="2" t="s">
        <v>231</v>
      </c>
      <c r="I5153" s="2">
        <v>20</v>
      </c>
      <c r="J5153" s="2">
        <v>60</v>
      </c>
      <c r="K5153" s="2">
        <v>2</v>
      </c>
      <c r="L5153" s="639">
        <v>40</v>
      </c>
      <c r="M5153" s="640" t="s">
        <v>891</v>
      </c>
      <c r="N5153" s="578" t="s">
        <v>285</v>
      </c>
      <c r="O5153" s="578"/>
      <c r="P5153" s="10"/>
      <c r="Q5153" s="10"/>
      <c r="R5153" s="10"/>
      <c r="S5153" s="10"/>
      <c r="T5153" s="10"/>
      <c r="U5153" s="10"/>
      <c r="V5153" s="10"/>
      <c r="W5153" s="10"/>
      <c r="X5153" s="10"/>
      <c r="Y5153" s="10"/>
      <c r="Z5153" s="10"/>
      <c r="AA5153" s="10">
        <v>8.6</v>
      </c>
      <c r="AB5153" s="11"/>
      <c r="AC5153" s="3">
        <v>2.06E-2</v>
      </c>
      <c r="AD5153" s="26"/>
      <c r="AE5153" s="26"/>
      <c r="AF5153" s="26"/>
      <c r="AG5153" s="10"/>
      <c r="AH5153" s="345"/>
      <c r="AI5153" s="2">
        <v>14</v>
      </c>
      <c r="AJ5153" s="10"/>
      <c r="AK5153" s="10"/>
      <c r="AL5153" s="17"/>
      <c r="AM5153" s="17"/>
      <c r="AN5153" s="17"/>
      <c r="AO5153" s="17"/>
      <c r="AP5153" s="17"/>
      <c r="AQ5153" s="17"/>
      <c r="AR5153" s="17"/>
      <c r="AS5153" s="17"/>
      <c r="AT5153" s="17"/>
      <c r="AU5153" s="18">
        <v>80</v>
      </c>
      <c r="AV5153" s="10"/>
      <c r="AW5153" s="10"/>
      <c r="AX5153" s="10"/>
      <c r="AY5153" s="146"/>
      <c r="AZ5153" s="151"/>
      <c r="BA5153" s="845"/>
      <c r="BB5153" s="846"/>
      <c r="BC5153" s="846"/>
      <c r="BD5153" s="846"/>
      <c r="BE5153" s="847"/>
      <c r="BF5153" s="505"/>
      <c r="BG5153" s="505"/>
      <c r="BH5153" s="505"/>
      <c r="BI5153" s="4">
        <f>AU5153/AI5153</f>
        <v>5.7142857142857144</v>
      </c>
      <c r="BJ5153" s="2"/>
      <c r="BK5153" s="2" t="s">
        <v>115</v>
      </c>
      <c r="BL5153" s="12"/>
      <c r="BM5153" s="12">
        <v>7.8</v>
      </c>
      <c r="BN5153" s="12">
        <v>9.4</v>
      </c>
      <c r="BO5153" s="12">
        <v>0.51</v>
      </c>
      <c r="BP5153" s="12">
        <f>BO5153*BN5153</f>
        <v>4.7940000000000005</v>
      </c>
      <c r="BQ5153" s="12">
        <f>BN5153/BO5153</f>
        <v>18.43137254901961</v>
      </c>
      <c r="BR5153" s="12"/>
      <c r="BS5153" s="12"/>
      <c r="BT5153" s="12"/>
      <c r="BU5153" s="2"/>
      <c r="BV5153" s="2"/>
      <c r="BW5153" s="2"/>
      <c r="BX5153" s="2"/>
      <c r="BY5153" s="2"/>
      <c r="BZ5153" s="2"/>
      <c r="CA5153" s="9"/>
      <c r="CB5153" s="9" t="s">
        <v>287</v>
      </c>
    </row>
    <row r="5154" spans="1:80" s="87" customFormat="1" ht="15" x14ac:dyDescent="0.25">
      <c r="A5154" s="257"/>
      <c r="B5154" s="667"/>
      <c r="C5154" s="667"/>
      <c r="D5154" s="292"/>
      <c r="E5154" s="215"/>
      <c r="F5154" s="215"/>
      <c r="G5154" s="153"/>
      <c r="H5154" s="257"/>
      <c r="I5154" s="257"/>
      <c r="J5154" s="257"/>
      <c r="K5154" s="257"/>
      <c r="L5154" s="667"/>
      <c r="M5154" s="670">
        <v>31532</v>
      </c>
      <c r="N5154" s="602">
        <f>0.0283168466*17</f>
        <v>0.48138639220000001</v>
      </c>
      <c r="O5154" s="604">
        <f t="shared" ref="O5154:O5185" si="21">SUM(P5154:U5154)</f>
        <v>4.9664164682000002E-5</v>
      </c>
      <c r="P5154" s="150"/>
      <c r="Q5154" s="231"/>
      <c r="R5154" s="231"/>
      <c r="S5154" s="231"/>
      <c r="T5154" s="231">
        <v>1.364977042E-5</v>
      </c>
      <c r="U5154" s="231">
        <v>3.6014394261999998E-5</v>
      </c>
      <c r="V5154" s="511">
        <v>5.1239138192E-5</v>
      </c>
      <c r="W5154" s="511">
        <v>2.62495585E-5</v>
      </c>
      <c r="X5154" s="511">
        <v>8.39985872E-6</v>
      </c>
      <c r="Y5154" s="231" t="s">
        <v>29</v>
      </c>
      <c r="Z5154" s="231"/>
      <c r="AA5154" s="150"/>
      <c r="AB5154" s="152"/>
      <c r="AC5154" s="271"/>
      <c r="AD5154" s="257"/>
      <c r="AE5154" s="272"/>
      <c r="AF5154" s="224"/>
      <c r="AG5154" s="153"/>
      <c r="AH5154" s="346"/>
      <c r="AI5154" s="153"/>
      <c r="AJ5154" s="480"/>
      <c r="AK5154" s="153"/>
      <c r="AL5154" s="152"/>
      <c r="AM5154" s="152"/>
      <c r="AN5154" s="152"/>
      <c r="AO5154" s="152"/>
      <c r="AP5154" s="152"/>
      <c r="AQ5154" s="152"/>
      <c r="AR5154" s="152"/>
      <c r="AS5154" s="152"/>
      <c r="AT5154" s="152"/>
      <c r="AU5154" s="226"/>
      <c r="AV5154" s="226"/>
      <c r="AW5154" s="226"/>
      <c r="AX5154" s="226"/>
      <c r="AY5154" s="226"/>
      <c r="AZ5154" s="152"/>
      <c r="BA5154" s="152"/>
      <c r="BB5154" s="152"/>
      <c r="BC5154" s="152"/>
      <c r="BD5154" s="152"/>
      <c r="BE5154" s="152"/>
      <c r="BF5154" s="152"/>
      <c r="BG5154" s="152"/>
      <c r="BH5154" s="152"/>
      <c r="BI5154" s="153"/>
      <c r="BJ5154" s="153"/>
      <c r="BK5154" s="227"/>
      <c r="BL5154" s="153"/>
      <c r="BM5154" s="153"/>
      <c r="BN5154" s="153"/>
      <c r="BO5154" s="153"/>
      <c r="BP5154" s="153"/>
      <c r="BQ5154" s="153"/>
      <c r="BR5154" s="153"/>
      <c r="BS5154" s="153"/>
      <c r="BT5154" s="153"/>
      <c r="BU5154" s="153"/>
      <c r="BV5154" s="153"/>
      <c r="BW5154" s="153"/>
      <c r="BX5154" s="153"/>
      <c r="BY5154" s="153"/>
      <c r="BZ5154" s="153"/>
      <c r="CA5154" s="152"/>
      <c r="CB5154" s="152" t="s">
        <v>575</v>
      </c>
    </row>
    <row r="5155" spans="1:80" s="87" customFormat="1" ht="15" x14ac:dyDescent="0.25">
      <c r="A5155" s="257"/>
      <c r="B5155" s="667"/>
      <c r="C5155" s="667"/>
      <c r="D5155" s="292"/>
      <c r="E5155" s="215"/>
      <c r="F5155" s="215"/>
      <c r="G5155" s="153"/>
      <c r="H5155" s="257"/>
      <c r="I5155" s="257"/>
      <c r="J5155" s="257"/>
      <c r="K5155" s="257"/>
      <c r="L5155" s="667"/>
      <c r="M5155" s="670">
        <v>31544</v>
      </c>
      <c r="N5155" s="602">
        <f>0.0283168466*38</f>
        <v>1.0760401708</v>
      </c>
      <c r="O5155" s="604">
        <f t="shared" si="21"/>
        <v>3.8954344814000005E-5</v>
      </c>
      <c r="P5155" s="150"/>
      <c r="Q5155" s="231"/>
      <c r="R5155" s="231"/>
      <c r="S5155" s="231"/>
      <c r="T5155" s="231">
        <v>1.994966446E-5</v>
      </c>
      <c r="U5155" s="231">
        <v>1.9004680354000002E-5</v>
      </c>
      <c r="V5155" s="511">
        <v>4.3574267109999998E-5</v>
      </c>
      <c r="W5155" s="511">
        <v>4.8404185874000009E-5</v>
      </c>
      <c r="X5155" s="511">
        <v>1.4384758058E-5</v>
      </c>
      <c r="Y5155" s="231" t="s">
        <v>29</v>
      </c>
      <c r="Z5155" s="231"/>
      <c r="AA5155" s="150"/>
      <c r="AB5155" s="152"/>
      <c r="AC5155" s="271"/>
      <c r="AD5155" s="257"/>
      <c r="AE5155" s="272"/>
      <c r="AF5155" s="224"/>
      <c r="AG5155" s="153"/>
      <c r="AH5155" s="346"/>
      <c r="AI5155" s="153"/>
      <c r="AJ5155" s="480"/>
      <c r="AK5155" s="153"/>
      <c r="AL5155" s="152"/>
      <c r="AM5155" s="152"/>
      <c r="AN5155" s="152"/>
      <c r="AO5155" s="152"/>
      <c r="AP5155" s="152"/>
      <c r="AQ5155" s="152"/>
      <c r="AR5155" s="152"/>
      <c r="AS5155" s="152"/>
      <c r="AT5155" s="152"/>
      <c r="AU5155" s="226"/>
      <c r="AV5155" s="226"/>
      <c r="AW5155" s="226"/>
      <c r="AX5155" s="226"/>
      <c r="AY5155" s="226"/>
      <c r="AZ5155" s="152"/>
      <c r="BA5155" s="152"/>
      <c r="BB5155" s="152"/>
      <c r="BC5155" s="152"/>
      <c r="BD5155" s="152"/>
      <c r="BE5155" s="152"/>
      <c r="BF5155" s="152"/>
      <c r="BG5155" s="152"/>
      <c r="BH5155" s="152"/>
      <c r="BI5155" s="153"/>
      <c r="BJ5155" s="153"/>
      <c r="BK5155" s="227"/>
      <c r="BL5155" s="153"/>
      <c r="BM5155" s="153"/>
      <c r="BN5155" s="153"/>
      <c r="BO5155" s="153"/>
      <c r="BP5155" s="153"/>
      <c r="BQ5155" s="153"/>
      <c r="BR5155" s="153"/>
      <c r="BS5155" s="153"/>
      <c r="BT5155" s="153"/>
      <c r="BU5155" s="153"/>
      <c r="BV5155" s="153"/>
      <c r="BW5155" s="153"/>
      <c r="BX5155" s="153"/>
      <c r="BY5155" s="153"/>
      <c r="BZ5155" s="153"/>
      <c r="CA5155" s="152"/>
      <c r="CB5155" s="152"/>
    </row>
    <row r="5156" spans="1:80" s="87" customFormat="1" ht="15" x14ac:dyDescent="0.25">
      <c r="A5156" s="257"/>
      <c r="B5156" s="667"/>
      <c r="C5156" s="667"/>
      <c r="D5156" s="292"/>
      <c r="E5156" s="215"/>
      <c r="F5156" s="215"/>
      <c r="G5156" s="153"/>
      <c r="H5156" s="257"/>
      <c r="I5156" s="257"/>
      <c r="J5156" s="257"/>
      <c r="K5156" s="257"/>
      <c r="L5156" s="667"/>
      <c r="M5156" s="670">
        <v>31553</v>
      </c>
      <c r="N5156" s="602">
        <f>0.0283168466*129</f>
        <v>3.6528732114000002</v>
      </c>
      <c r="O5156" s="604">
        <f t="shared" si="21"/>
        <v>4.1848096143039994E-3</v>
      </c>
      <c r="P5156" s="150"/>
      <c r="Q5156" s="231"/>
      <c r="R5156" s="231"/>
      <c r="S5156" s="231">
        <v>7.4863740841999999E-4</v>
      </c>
      <c r="T5156" s="231">
        <v>1.5025247285400001E-3</v>
      </c>
      <c r="U5156" s="231">
        <v>1.933647477344E-3</v>
      </c>
      <c r="V5156" s="511">
        <v>2.5411672592680003E-3</v>
      </c>
      <c r="W5156" s="511">
        <v>1.7854949691700002E-3</v>
      </c>
      <c r="X5156" s="511">
        <v>6.7051872232400003E-4</v>
      </c>
      <c r="Y5156" s="231" t="s">
        <v>29</v>
      </c>
      <c r="Z5156" s="231"/>
      <c r="AA5156" s="150"/>
      <c r="AB5156" s="152"/>
      <c r="AC5156" s="271"/>
      <c r="AD5156" s="257"/>
      <c r="AE5156" s="272"/>
      <c r="AF5156" s="224"/>
      <c r="AG5156" s="153"/>
      <c r="AH5156" s="346"/>
      <c r="AI5156" s="153"/>
      <c r="AJ5156" s="480"/>
      <c r="AK5156" s="153"/>
      <c r="AL5156" s="152"/>
      <c r="AM5156" s="152"/>
      <c r="AN5156" s="152"/>
      <c r="AO5156" s="152"/>
      <c r="AP5156" s="152"/>
      <c r="AQ5156" s="152"/>
      <c r="AR5156" s="152"/>
      <c r="AS5156" s="152"/>
      <c r="AT5156" s="152"/>
      <c r="AU5156" s="226"/>
      <c r="AV5156" s="226"/>
      <c r="AW5156" s="226"/>
      <c r="AX5156" s="226"/>
      <c r="AY5156" s="226"/>
      <c r="AZ5156" s="152"/>
      <c r="BA5156" s="152"/>
      <c r="BB5156" s="152"/>
      <c r="BC5156" s="152"/>
      <c r="BD5156" s="152"/>
      <c r="BE5156" s="152"/>
      <c r="BF5156" s="152"/>
      <c r="BG5156" s="152"/>
      <c r="BH5156" s="152"/>
      <c r="BI5156" s="153"/>
      <c r="BJ5156" s="153"/>
      <c r="BK5156" s="227"/>
      <c r="BL5156" s="153"/>
      <c r="BM5156" s="153"/>
      <c r="BN5156" s="153"/>
      <c r="BO5156" s="153"/>
      <c r="BP5156" s="153"/>
      <c r="BQ5156" s="153"/>
      <c r="BR5156" s="153"/>
      <c r="BS5156" s="153"/>
      <c r="BT5156" s="153"/>
      <c r="BU5156" s="153"/>
      <c r="BV5156" s="153"/>
      <c r="BW5156" s="153"/>
      <c r="BX5156" s="153"/>
      <c r="BY5156" s="153"/>
      <c r="BZ5156" s="153"/>
      <c r="CA5156" s="152"/>
      <c r="CB5156" s="152"/>
    </row>
    <row r="5157" spans="1:80" s="87" customFormat="1" ht="15" x14ac:dyDescent="0.25">
      <c r="A5157" s="257"/>
      <c r="B5157" s="667"/>
      <c r="C5157" s="667"/>
      <c r="D5157" s="292"/>
      <c r="E5157" s="215"/>
      <c r="F5157" s="215"/>
      <c r="G5157" s="153"/>
      <c r="H5157" s="257"/>
      <c r="I5157" s="257"/>
      <c r="J5157" s="257"/>
      <c r="K5157" s="257"/>
      <c r="L5157" s="667"/>
      <c r="M5157" s="670">
        <v>31565</v>
      </c>
      <c r="N5157" s="602">
        <f>0.0283168466*300</f>
        <v>8.4950539799999998</v>
      </c>
      <c r="O5157" s="604">
        <f t="shared" si="21"/>
        <v>0.1197819853472</v>
      </c>
      <c r="P5157" s="150"/>
      <c r="Q5157" s="231"/>
      <c r="R5157" s="231">
        <v>2.8341123321279998E-2</v>
      </c>
      <c r="S5157" s="231">
        <v>4.0184924116480003E-2</v>
      </c>
      <c r="T5157" s="231">
        <v>2.8542719930560002E-2</v>
      </c>
      <c r="U5157" s="231">
        <v>2.2713217978879999E-2</v>
      </c>
      <c r="V5157" s="511">
        <v>2.2998813175360001E-2</v>
      </c>
      <c r="W5157" s="511">
        <v>1.4985347956480001E-2</v>
      </c>
      <c r="X5157" s="511">
        <v>8.5342564595200007E-3</v>
      </c>
      <c r="Y5157" s="231" t="s">
        <v>29</v>
      </c>
      <c r="Z5157" s="231"/>
      <c r="AA5157" s="150"/>
      <c r="AB5157" s="152"/>
      <c r="AC5157" s="271"/>
      <c r="AD5157" s="257"/>
      <c r="AE5157" s="272"/>
      <c r="AF5157" s="224"/>
      <c r="AG5157" s="153"/>
      <c r="AH5157" s="346"/>
      <c r="AI5157" s="153"/>
      <c r="AJ5157" s="480"/>
      <c r="AK5157" s="153"/>
      <c r="AL5157" s="152"/>
      <c r="AM5157" s="152"/>
      <c r="AN5157" s="152"/>
      <c r="AO5157" s="152"/>
      <c r="AP5157" s="152"/>
      <c r="AQ5157" s="152"/>
      <c r="AR5157" s="152"/>
      <c r="AS5157" s="152"/>
      <c r="AT5157" s="152"/>
      <c r="AU5157" s="226"/>
      <c r="AV5157" s="226"/>
      <c r="AW5157" s="226"/>
      <c r="AX5157" s="226"/>
      <c r="AY5157" s="226"/>
      <c r="AZ5157" s="152"/>
      <c r="BA5157" s="152"/>
      <c r="BB5157" s="152"/>
      <c r="BC5157" s="152"/>
      <c r="BD5157" s="152"/>
      <c r="BE5157" s="152"/>
      <c r="BF5157" s="152"/>
      <c r="BG5157" s="152"/>
      <c r="BH5157" s="152"/>
      <c r="BI5157" s="153"/>
      <c r="BJ5157" s="153"/>
      <c r="BK5157" s="227"/>
      <c r="BL5157" s="153"/>
      <c r="BM5157" s="153"/>
      <c r="BN5157" s="153"/>
      <c r="BO5157" s="153"/>
      <c r="BP5157" s="153"/>
      <c r="BQ5157" s="153"/>
      <c r="BR5157" s="153"/>
      <c r="BS5157" s="153"/>
      <c r="BT5157" s="153"/>
      <c r="BU5157" s="153"/>
      <c r="BV5157" s="153"/>
      <c r="BW5157" s="153"/>
      <c r="BX5157" s="153"/>
      <c r="BY5157" s="153"/>
      <c r="BZ5157" s="153"/>
      <c r="CA5157" s="152"/>
      <c r="CB5157" s="152"/>
    </row>
    <row r="5158" spans="1:80" s="87" customFormat="1" ht="15" x14ac:dyDescent="0.25">
      <c r="A5158" s="257"/>
      <c r="B5158" s="667"/>
      <c r="C5158" s="667"/>
      <c r="D5158" s="292"/>
      <c r="E5158" s="215"/>
      <c r="F5158" s="215"/>
      <c r="G5158" s="153"/>
      <c r="H5158" s="257"/>
      <c r="I5158" s="257"/>
      <c r="J5158" s="257"/>
      <c r="K5158" s="257"/>
      <c r="L5158" s="667"/>
      <c r="M5158" s="670">
        <v>31565</v>
      </c>
      <c r="N5158" s="602">
        <f>0.0283168466*300</f>
        <v>8.4950539799999998</v>
      </c>
      <c r="O5158" s="604">
        <f t="shared" si="21"/>
        <v>0.17600927464183799</v>
      </c>
      <c r="P5158" s="150"/>
      <c r="Q5158" s="231"/>
      <c r="R5158" s="231">
        <v>9.4691607350559995E-2</v>
      </c>
      <c r="S5158" s="231">
        <v>3.0594385422920003E-2</v>
      </c>
      <c r="T5158" s="231">
        <v>2.5249975312319997E-2</v>
      </c>
      <c r="U5158" s="231">
        <v>2.5473306556038001E-2</v>
      </c>
      <c r="V5158" s="511">
        <v>2.2990833309575999E-2</v>
      </c>
      <c r="W5158" s="511">
        <v>1.5006662597982001E-2</v>
      </c>
      <c r="X5158" s="511">
        <v>7.9841707115940012E-3</v>
      </c>
      <c r="Y5158" s="231" t="s">
        <v>29</v>
      </c>
      <c r="Z5158" s="231"/>
      <c r="AA5158" s="150"/>
      <c r="AB5158" s="152"/>
      <c r="AC5158" s="271"/>
      <c r="AD5158" s="257"/>
      <c r="AE5158" s="272"/>
      <c r="AF5158" s="224"/>
      <c r="AG5158" s="153"/>
      <c r="AH5158" s="346"/>
      <c r="AI5158" s="153"/>
      <c r="AJ5158" s="480"/>
      <c r="AK5158" s="153"/>
      <c r="AL5158" s="152"/>
      <c r="AM5158" s="152"/>
      <c r="AN5158" s="152"/>
      <c r="AO5158" s="152"/>
      <c r="AP5158" s="152"/>
      <c r="AQ5158" s="152"/>
      <c r="AR5158" s="152"/>
      <c r="AS5158" s="152"/>
      <c r="AT5158" s="152"/>
      <c r="AU5158" s="226"/>
      <c r="AV5158" s="226"/>
      <c r="AW5158" s="226"/>
      <c r="AX5158" s="226"/>
      <c r="AY5158" s="226"/>
      <c r="AZ5158" s="152"/>
      <c r="BA5158" s="152"/>
      <c r="BB5158" s="152"/>
      <c r="BC5158" s="152"/>
      <c r="BD5158" s="152"/>
      <c r="BE5158" s="152"/>
      <c r="BF5158" s="152"/>
      <c r="BG5158" s="152"/>
      <c r="BH5158" s="152"/>
      <c r="BI5158" s="153"/>
      <c r="BJ5158" s="153"/>
      <c r="BK5158" s="227"/>
      <c r="BL5158" s="153"/>
      <c r="BM5158" s="153"/>
      <c r="BN5158" s="153"/>
      <c r="BO5158" s="153"/>
      <c r="BP5158" s="153"/>
      <c r="BQ5158" s="153"/>
      <c r="BR5158" s="153"/>
      <c r="BS5158" s="153"/>
      <c r="BT5158" s="153"/>
      <c r="BU5158" s="153"/>
      <c r="BV5158" s="153"/>
      <c r="BW5158" s="153"/>
      <c r="BX5158" s="153"/>
      <c r="BY5158" s="153"/>
      <c r="BZ5158" s="153"/>
      <c r="CA5158" s="152"/>
      <c r="CB5158" s="152"/>
    </row>
    <row r="5159" spans="1:80" s="87" customFormat="1" ht="15" x14ac:dyDescent="0.25">
      <c r="A5159" s="257"/>
      <c r="B5159" s="667"/>
      <c r="C5159" s="667"/>
      <c r="D5159" s="292"/>
      <c r="E5159" s="215"/>
      <c r="F5159" s="215"/>
      <c r="G5159" s="153"/>
      <c r="H5159" s="257"/>
      <c r="I5159" s="257"/>
      <c r="J5159" s="257"/>
      <c r="K5159" s="257"/>
      <c r="L5159" s="667"/>
      <c r="M5159" s="670">
        <v>31565</v>
      </c>
      <c r="N5159" s="602">
        <f>0.0283168466*342</f>
        <v>9.6843615372000009</v>
      </c>
      <c r="O5159" s="604">
        <f t="shared" si="21"/>
        <v>0.41537721363336</v>
      </c>
      <c r="P5159" s="150"/>
      <c r="Q5159" s="231">
        <v>0.10699740037536001</v>
      </c>
      <c r="R5159" s="231">
        <v>0.10173068895792001</v>
      </c>
      <c r="S5159" s="231">
        <v>0.10099150139056</v>
      </c>
      <c r="T5159" s="231">
        <v>5.8719212382159998E-2</v>
      </c>
      <c r="U5159" s="231">
        <v>4.6938410527359996E-2</v>
      </c>
      <c r="V5159" s="511">
        <v>2.605636174944E-2</v>
      </c>
      <c r="W5159" s="511">
        <v>1.1780801854800002E-2</v>
      </c>
      <c r="X5159" s="511">
        <v>5.6363052011200003E-3</v>
      </c>
      <c r="Y5159" s="231" t="s">
        <v>29</v>
      </c>
      <c r="Z5159" s="231"/>
      <c r="AA5159" s="150"/>
      <c r="AB5159" s="152"/>
      <c r="AC5159" s="271"/>
      <c r="AD5159" s="257"/>
      <c r="AE5159" s="272"/>
      <c r="AF5159" s="224"/>
      <c r="AG5159" s="153"/>
      <c r="AH5159" s="346"/>
      <c r="AI5159" s="153"/>
      <c r="AJ5159" s="480"/>
      <c r="AK5159" s="153"/>
      <c r="AL5159" s="152"/>
      <c r="AM5159" s="152"/>
      <c r="AN5159" s="152"/>
      <c r="AO5159" s="152"/>
      <c r="AP5159" s="152"/>
      <c r="AQ5159" s="152"/>
      <c r="AR5159" s="152"/>
      <c r="AS5159" s="152"/>
      <c r="AT5159" s="152"/>
      <c r="AU5159" s="226"/>
      <c r="AV5159" s="226"/>
      <c r="AW5159" s="226"/>
      <c r="AX5159" s="226"/>
      <c r="AY5159" s="226"/>
      <c r="AZ5159" s="152"/>
      <c r="BA5159" s="152"/>
      <c r="BB5159" s="152"/>
      <c r="BC5159" s="152"/>
      <c r="BD5159" s="152"/>
      <c r="BE5159" s="152"/>
      <c r="BF5159" s="152"/>
      <c r="BG5159" s="152"/>
      <c r="BH5159" s="152"/>
      <c r="BI5159" s="153"/>
      <c r="BJ5159" s="153"/>
      <c r="BK5159" s="227"/>
      <c r="BL5159" s="153"/>
      <c r="BM5159" s="153"/>
      <c r="BN5159" s="153"/>
      <c r="BO5159" s="153"/>
      <c r="BP5159" s="153"/>
      <c r="BQ5159" s="153"/>
      <c r="BR5159" s="153"/>
      <c r="BS5159" s="153"/>
      <c r="BT5159" s="153"/>
      <c r="BU5159" s="153"/>
      <c r="BV5159" s="153"/>
      <c r="BW5159" s="153"/>
      <c r="BX5159" s="153"/>
      <c r="BY5159" s="153"/>
      <c r="BZ5159" s="153"/>
      <c r="CA5159" s="152"/>
      <c r="CB5159" s="152"/>
    </row>
    <row r="5160" spans="1:80" s="87" customFormat="1" ht="15" x14ac:dyDescent="0.25">
      <c r="A5160" s="257"/>
      <c r="B5160" s="667"/>
      <c r="C5160" s="667"/>
      <c r="D5160" s="292"/>
      <c r="E5160" s="215"/>
      <c r="F5160" s="215"/>
      <c r="G5160" s="153"/>
      <c r="H5160" s="257"/>
      <c r="I5160" s="257"/>
      <c r="J5160" s="257"/>
      <c r="K5160" s="257"/>
      <c r="L5160" s="667"/>
      <c r="M5160" s="670">
        <v>31565</v>
      </c>
      <c r="N5160" s="602">
        <f>0.0283168466*342</f>
        <v>9.6843615372000009</v>
      </c>
      <c r="O5160" s="604">
        <f t="shared" si="21"/>
        <v>0.391932367959968</v>
      </c>
      <c r="P5160" s="150"/>
      <c r="Q5160" s="231"/>
      <c r="R5160" s="231">
        <v>7.6047070939180006E-2</v>
      </c>
      <c r="S5160" s="231">
        <v>9.9638074154299996E-2</v>
      </c>
      <c r="T5160" s="231">
        <v>0.11431997721452</v>
      </c>
      <c r="U5160" s="231">
        <v>0.10192724565196801</v>
      </c>
      <c r="V5160" s="511">
        <v>6.2310991970832001E-2</v>
      </c>
      <c r="W5160" s="511">
        <v>2.8219115373372003E-2</v>
      </c>
      <c r="X5160" s="511">
        <v>1.1496676633596001E-2</v>
      </c>
      <c r="Y5160" s="231" t="s">
        <v>29</v>
      </c>
      <c r="Z5160" s="231"/>
      <c r="AA5160" s="150"/>
      <c r="AB5160" s="152"/>
      <c r="AC5160" s="271"/>
      <c r="AD5160" s="257"/>
      <c r="AE5160" s="272"/>
      <c r="AF5160" s="224"/>
      <c r="AG5160" s="153"/>
      <c r="AH5160" s="346"/>
      <c r="AI5160" s="153"/>
      <c r="AJ5160" s="480"/>
      <c r="AK5160" s="153"/>
      <c r="AL5160" s="152"/>
      <c r="AM5160" s="152"/>
      <c r="AN5160" s="152"/>
      <c r="AO5160" s="152"/>
      <c r="AP5160" s="152"/>
      <c r="AQ5160" s="152"/>
      <c r="AR5160" s="152"/>
      <c r="AS5160" s="152"/>
      <c r="AT5160" s="152"/>
      <c r="AU5160" s="226"/>
      <c r="AV5160" s="226"/>
      <c r="AW5160" s="226"/>
      <c r="AX5160" s="226"/>
      <c r="AY5160" s="226"/>
      <c r="AZ5160" s="152"/>
      <c r="BA5160" s="152"/>
      <c r="BB5160" s="152"/>
      <c r="BC5160" s="152"/>
      <c r="BD5160" s="152"/>
      <c r="BE5160" s="152"/>
      <c r="BF5160" s="152"/>
      <c r="BG5160" s="152"/>
      <c r="BH5160" s="152"/>
      <c r="BI5160" s="153"/>
      <c r="BJ5160" s="153"/>
      <c r="BK5160" s="227"/>
      <c r="BL5160" s="153"/>
      <c r="BM5160" s="153"/>
      <c r="BN5160" s="153"/>
      <c r="BO5160" s="153"/>
      <c r="BP5160" s="153"/>
      <c r="BQ5160" s="153"/>
      <c r="BR5160" s="153"/>
      <c r="BS5160" s="153"/>
      <c r="BT5160" s="153"/>
      <c r="BU5160" s="153"/>
      <c r="BV5160" s="153"/>
      <c r="BW5160" s="153"/>
      <c r="BX5160" s="153"/>
      <c r="BY5160" s="153"/>
      <c r="BZ5160" s="153"/>
      <c r="CA5160" s="152"/>
      <c r="CB5160" s="152"/>
    </row>
    <row r="5161" spans="1:80" s="87" customFormat="1" ht="15" x14ac:dyDescent="0.25">
      <c r="A5161" s="257"/>
      <c r="B5161" s="667"/>
      <c r="C5161" s="667"/>
      <c r="D5161" s="292"/>
      <c r="E5161" s="215"/>
      <c r="F5161" s="215"/>
      <c r="G5161" s="153"/>
      <c r="H5161" s="257"/>
      <c r="I5161" s="257"/>
      <c r="J5161" s="257"/>
      <c r="K5161" s="257"/>
      <c r="L5161" s="667"/>
      <c r="M5161" s="670">
        <v>31566</v>
      </c>
      <c r="N5161" s="602">
        <f>0.0283168466*357</f>
        <v>10.1091142362</v>
      </c>
      <c r="O5161" s="604">
        <f t="shared" si="21"/>
        <v>1.8764864387544E-2</v>
      </c>
      <c r="P5161" s="150"/>
      <c r="Q5161" s="231"/>
      <c r="R5161" s="231">
        <v>9.5023401770000012E-3</v>
      </c>
      <c r="S5161" s="231">
        <v>1.1129812804E-3</v>
      </c>
      <c r="T5161" s="231">
        <v>3.0449487859999999E-3</v>
      </c>
      <c r="U5161" s="231">
        <v>5.1045941441440002E-3</v>
      </c>
      <c r="V5161" s="511">
        <v>7.2547479799959999E-3</v>
      </c>
      <c r="W5161" s="511">
        <v>6.4014273322780006E-3</v>
      </c>
      <c r="X5161" s="511">
        <v>4.8038792019680001E-3</v>
      </c>
      <c r="Y5161" s="231" t="s">
        <v>29</v>
      </c>
      <c r="Z5161" s="231"/>
      <c r="AA5161" s="150"/>
      <c r="AB5161" s="152"/>
      <c r="AC5161" s="271"/>
      <c r="AD5161" s="257"/>
      <c r="AE5161" s="272"/>
      <c r="AF5161" s="224"/>
      <c r="AG5161" s="153"/>
      <c r="AH5161" s="346"/>
      <c r="AI5161" s="153"/>
      <c r="AJ5161" s="480"/>
      <c r="AK5161" s="153"/>
      <c r="AL5161" s="152"/>
      <c r="AM5161" s="152"/>
      <c r="AN5161" s="152"/>
      <c r="AO5161" s="152"/>
      <c r="AP5161" s="152"/>
      <c r="AQ5161" s="152"/>
      <c r="AR5161" s="152"/>
      <c r="AS5161" s="152"/>
      <c r="AT5161" s="152"/>
      <c r="AU5161" s="226"/>
      <c r="AV5161" s="226"/>
      <c r="AW5161" s="226"/>
      <c r="AX5161" s="226"/>
      <c r="AY5161" s="226"/>
      <c r="AZ5161" s="152"/>
      <c r="BA5161" s="152"/>
      <c r="BB5161" s="152"/>
      <c r="BC5161" s="152"/>
      <c r="BD5161" s="152"/>
      <c r="BE5161" s="152"/>
      <c r="BF5161" s="152"/>
      <c r="BG5161" s="152"/>
      <c r="BH5161" s="152"/>
      <c r="BI5161" s="153"/>
      <c r="BJ5161" s="153"/>
      <c r="BK5161" s="227"/>
      <c r="BL5161" s="153"/>
      <c r="BM5161" s="153"/>
      <c r="BN5161" s="153"/>
      <c r="BO5161" s="153"/>
      <c r="BP5161" s="153"/>
      <c r="BQ5161" s="153"/>
      <c r="BR5161" s="153"/>
      <c r="BS5161" s="153"/>
      <c r="BT5161" s="153"/>
      <c r="BU5161" s="153"/>
      <c r="BV5161" s="153"/>
      <c r="BW5161" s="153"/>
      <c r="BX5161" s="153"/>
      <c r="BY5161" s="153"/>
      <c r="BZ5161" s="153"/>
      <c r="CA5161" s="152"/>
      <c r="CB5161" s="152"/>
    </row>
    <row r="5162" spans="1:80" s="87" customFormat="1" ht="15" x14ac:dyDescent="0.25">
      <c r="A5162" s="257"/>
      <c r="B5162" s="667"/>
      <c r="C5162" s="667"/>
      <c r="D5162" s="292"/>
      <c r="E5162" s="215"/>
      <c r="F5162" s="215"/>
      <c r="G5162" s="153"/>
      <c r="H5162" s="257"/>
      <c r="I5162" s="257"/>
      <c r="J5162" s="257"/>
      <c r="K5162" s="257"/>
      <c r="L5162" s="667"/>
      <c r="M5162" s="670">
        <v>31566</v>
      </c>
      <c r="N5162" s="602">
        <f>0.0283168466*352</f>
        <v>9.9675300032000003</v>
      </c>
      <c r="O5162" s="604">
        <f t="shared" si="21"/>
        <v>2.6326837200224003E-2</v>
      </c>
      <c r="P5162" s="150"/>
      <c r="Q5162" s="231">
        <v>8.1247633469200015E-3</v>
      </c>
      <c r="R5162" s="231">
        <v>4.1736798015000005E-3</v>
      </c>
      <c r="S5162" s="231">
        <v>4.7364703357400005E-3</v>
      </c>
      <c r="T5162" s="231">
        <v>4.4624249449999997E-3</v>
      </c>
      <c r="U5162" s="231">
        <v>4.8294987710639998E-3</v>
      </c>
      <c r="V5162" s="511">
        <v>4.9703014028580003E-3</v>
      </c>
      <c r="W5162" s="511">
        <v>3.480376462398E-3</v>
      </c>
      <c r="X5162" s="511">
        <v>2.0459955877240002E-3</v>
      </c>
      <c r="Y5162" s="231" t="s">
        <v>29</v>
      </c>
      <c r="Z5162" s="231"/>
      <c r="AA5162" s="150"/>
      <c r="AB5162" s="152"/>
      <c r="AC5162" s="271"/>
      <c r="AD5162" s="257"/>
      <c r="AE5162" s="272"/>
      <c r="AF5162" s="224"/>
      <c r="AG5162" s="153"/>
      <c r="AH5162" s="346"/>
      <c r="AI5162" s="153"/>
      <c r="AJ5162" s="480"/>
      <c r="AK5162" s="153"/>
      <c r="AL5162" s="152"/>
      <c r="AM5162" s="152"/>
      <c r="AN5162" s="152"/>
      <c r="AO5162" s="152"/>
      <c r="AP5162" s="152"/>
      <c r="AQ5162" s="152"/>
      <c r="AR5162" s="152"/>
      <c r="AS5162" s="152"/>
      <c r="AT5162" s="152"/>
      <c r="AU5162" s="226"/>
      <c r="AV5162" s="226"/>
      <c r="AW5162" s="226"/>
      <c r="AX5162" s="226"/>
      <c r="AY5162" s="226"/>
      <c r="AZ5162" s="152"/>
      <c r="BA5162" s="152"/>
      <c r="BB5162" s="152"/>
      <c r="BC5162" s="152"/>
      <c r="BD5162" s="152"/>
      <c r="BE5162" s="152"/>
      <c r="BF5162" s="152"/>
      <c r="BG5162" s="152"/>
      <c r="BH5162" s="152"/>
      <c r="BI5162" s="153"/>
      <c r="BJ5162" s="153"/>
      <c r="BK5162" s="227"/>
      <c r="BL5162" s="153"/>
      <c r="BM5162" s="153"/>
      <c r="BN5162" s="153"/>
      <c r="BO5162" s="153"/>
      <c r="BP5162" s="153"/>
      <c r="BQ5162" s="153"/>
      <c r="BR5162" s="153"/>
      <c r="BS5162" s="153"/>
      <c r="BT5162" s="153"/>
      <c r="BU5162" s="153"/>
      <c r="BV5162" s="153"/>
      <c r="BW5162" s="153"/>
      <c r="BX5162" s="153"/>
      <c r="BY5162" s="153"/>
      <c r="BZ5162" s="153"/>
      <c r="CA5162" s="152"/>
      <c r="CB5162" s="152"/>
    </row>
    <row r="5163" spans="1:80" s="87" customFormat="1" ht="15" x14ac:dyDescent="0.25">
      <c r="A5163" s="257"/>
      <c r="B5163" s="667"/>
      <c r="C5163" s="667"/>
      <c r="D5163" s="292"/>
      <c r="E5163" s="215"/>
      <c r="F5163" s="215"/>
      <c r="G5163" s="153"/>
      <c r="H5163" s="257"/>
      <c r="I5163" s="257"/>
      <c r="J5163" s="257"/>
      <c r="K5163" s="257"/>
      <c r="L5163" s="667"/>
      <c r="M5163" s="670">
        <v>31566</v>
      </c>
      <c r="N5163" s="602">
        <f>0.0283168466*300</f>
        <v>8.4950539799999998</v>
      </c>
      <c r="O5163" s="604">
        <f t="shared" si="21"/>
        <v>3.3776881895459999E-2</v>
      </c>
      <c r="P5163" s="150"/>
      <c r="Q5163" s="231"/>
      <c r="R5163" s="231">
        <v>3.1089977087399999E-3</v>
      </c>
      <c r="S5163" s="231">
        <v>8.0155651835599993E-3</v>
      </c>
      <c r="T5163" s="231">
        <v>1.07780687201E-2</v>
      </c>
      <c r="U5163" s="231">
        <v>1.187425028306E-2</v>
      </c>
      <c r="V5163" s="511">
        <v>7.299267231212E-3</v>
      </c>
      <c r="W5163" s="511">
        <v>3.9296639056839999E-3</v>
      </c>
      <c r="X5163" s="511">
        <v>2.1499438393839999E-3</v>
      </c>
      <c r="Y5163" s="231" t="s">
        <v>29</v>
      </c>
      <c r="Z5163" s="231"/>
      <c r="AA5163" s="150"/>
      <c r="AB5163" s="152"/>
      <c r="AC5163" s="271"/>
      <c r="AD5163" s="257"/>
      <c r="AE5163" s="272"/>
      <c r="AF5163" s="224"/>
      <c r="AG5163" s="153"/>
      <c r="AH5163" s="346"/>
      <c r="AI5163" s="153"/>
      <c r="AJ5163" s="480"/>
      <c r="AK5163" s="153"/>
      <c r="AL5163" s="152"/>
      <c r="AM5163" s="152"/>
      <c r="AN5163" s="152"/>
      <c r="AO5163" s="152"/>
      <c r="AP5163" s="152"/>
      <c r="AQ5163" s="152"/>
      <c r="AR5163" s="152"/>
      <c r="AS5163" s="152"/>
      <c r="AT5163" s="152"/>
      <c r="AU5163" s="226"/>
      <c r="AV5163" s="226"/>
      <c r="AW5163" s="226"/>
      <c r="AX5163" s="226"/>
      <c r="AY5163" s="226"/>
      <c r="AZ5163" s="152"/>
      <c r="BA5163" s="152"/>
      <c r="BB5163" s="152"/>
      <c r="BC5163" s="152"/>
      <c r="BD5163" s="152"/>
      <c r="BE5163" s="152"/>
      <c r="BF5163" s="152"/>
      <c r="BG5163" s="152"/>
      <c r="BH5163" s="152"/>
      <c r="BI5163" s="153"/>
      <c r="BJ5163" s="153"/>
      <c r="BK5163" s="227"/>
      <c r="BL5163" s="153"/>
      <c r="BM5163" s="153"/>
      <c r="BN5163" s="153"/>
      <c r="BO5163" s="153"/>
      <c r="BP5163" s="153"/>
      <c r="BQ5163" s="153"/>
      <c r="BR5163" s="153"/>
      <c r="BS5163" s="153"/>
      <c r="BT5163" s="153"/>
      <c r="BU5163" s="153"/>
      <c r="BV5163" s="153"/>
      <c r="BW5163" s="153"/>
      <c r="BX5163" s="153"/>
      <c r="BY5163" s="153"/>
      <c r="BZ5163" s="153"/>
      <c r="CA5163" s="152"/>
      <c r="CB5163" s="152"/>
    </row>
    <row r="5164" spans="1:80" s="87" customFormat="1" ht="15" x14ac:dyDescent="0.25">
      <c r="A5164" s="257"/>
      <c r="B5164" s="667"/>
      <c r="C5164" s="667"/>
      <c r="D5164" s="292"/>
      <c r="E5164" s="215"/>
      <c r="F5164" s="215"/>
      <c r="G5164" s="153"/>
      <c r="H5164" s="257"/>
      <c r="I5164" s="257"/>
      <c r="J5164" s="257"/>
      <c r="K5164" s="257"/>
      <c r="L5164" s="667"/>
      <c r="M5164" s="670">
        <v>31566</v>
      </c>
      <c r="N5164" s="602">
        <f>0.0283168466*304</f>
        <v>8.6083213664000002</v>
      </c>
      <c r="O5164" s="604">
        <f t="shared" si="21"/>
        <v>2.5191911288918001E-2</v>
      </c>
      <c r="P5164" s="150"/>
      <c r="Q5164" s="231"/>
      <c r="R5164" s="231">
        <v>3.52059078602E-3</v>
      </c>
      <c r="S5164" s="231">
        <v>6.7429865874799998E-3</v>
      </c>
      <c r="T5164" s="231">
        <v>6.6736877530400003E-3</v>
      </c>
      <c r="U5164" s="231">
        <v>8.2546461623780008E-3</v>
      </c>
      <c r="V5164" s="511">
        <v>7.6991005062840004E-3</v>
      </c>
      <c r="W5164" s="511">
        <v>4.7461301732680001E-3</v>
      </c>
      <c r="X5164" s="511">
        <v>2.83862725619E-3</v>
      </c>
      <c r="Y5164" s="231" t="s">
        <v>29</v>
      </c>
      <c r="Z5164" s="231"/>
      <c r="AA5164" s="150"/>
      <c r="AB5164" s="152"/>
      <c r="AC5164" s="271"/>
      <c r="AD5164" s="257"/>
      <c r="AE5164" s="272"/>
      <c r="AF5164" s="224"/>
      <c r="AG5164" s="153"/>
      <c r="AH5164" s="346"/>
      <c r="AI5164" s="153"/>
      <c r="AJ5164" s="480"/>
      <c r="AK5164" s="153"/>
      <c r="AL5164" s="152"/>
      <c r="AM5164" s="152"/>
      <c r="AN5164" s="152"/>
      <c r="AO5164" s="152"/>
      <c r="AP5164" s="152"/>
      <c r="AQ5164" s="152"/>
      <c r="AR5164" s="152"/>
      <c r="AS5164" s="152"/>
      <c r="AT5164" s="152"/>
      <c r="AU5164" s="226"/>
      <c r="AV5164" s="226"/>
      <c r="AW5164" s="226"/>
      <c r="AX5164" s="226"/>
      <c r="AY5164" s="226"/>
      <c r="AZ5164" s="152"/>
      <c r="BA5164" s="152"/>
      <c r="BB5164" s="152"/>
      <c r="BC5164" s="152"/>
      <c r="BD5164" s="152"/>
      <c r="BE5164" s="152"/>
      <c r="BF5164" s="152"/>
      <c r="BG5164" s="152"/>
      <c r="BH5164" s="152"/>
      <c r="BI5164" s="153"/>
      <c r="BJ5164" s="153"/>
      <c r="BK5164" s="227"/>
      <c r="BL5164" s="153"/>
      <c r="BM5164" s="153"/>
      <c r="BN5164" s="153"/>
      <c r="BO5164" s="153"/>
      <c r="BP5164" s="153"/>
      <c r="BQ5164" s="153"/>
      <c r="BR5164" s="153"/>
      <c r="BS5164" s="153"/>
      <c r="BT5164" s="153"/>
      <c r="BU5164" s="153"/>
      <c r="BV5164" s="153"/>
      <c r="BW5164" s="153"/>
      <c r="BX5164" s="153"/>
      <c r="BY5164" s="153"/>
      <c r="BZ5164" s="153"/>
      <c r="CA5164" s="152"/>
      <c r="CB5164" s="152"/>
    </row>
    <row r="5165" spans="1:80" s="87" customFormat="1" ht="15" x14ac:dyDescent="0.25">
      <c r="A5165" s="257"/>
      <c r="B5165" s="667"/>
      <c r="C5165" s="667"/>
      <c r="D5165" s="292"/>
      <c r="E5165" s="215"/>
      <c r="F5165" s="215"/>
      <c r="G5165" s="153"/>
      <c r="H5165" s="257"/>
      <c r="I5165" s="257"/>
      <c r="J5165" s="257"/>
      <c r="K5165" s="257"/>
      <c r="L5165" s="667"/>
      <c r="M5165" s="670">
        <v>31574</v>
      </c>
      <c r="N5165" s="602">
        <f>0.0283168466*266</f>
        <v>7.5322811956000004</v>
      </c>
      <c r="O5165" s="604">
        <f t="shared" si="21"/>
        <v>3.4251158918438003E-2</v>
      </c>
      <c r="P5165" s="150"/>
      <c r="Q5165" s="231">
        <v>2.2822416142239999E-2</v>
      </c>
      <c r="R5165" s="231">
        <v>3.3504936469400002E-3</v>
      </c>
      <c r="S5165" s="231">
        <v>2.9808998632599999E-3</v>
      </c>
      <c r="T5165" s="231">
        <v>1.8143694835200002E-3</v>
      </c>
      <c r="U5165" s="231">
        <v>3.282979782478E-3</v>
      </c>
      <c r="V5165" s="511">
        <v>2.9248308063039999E-3</v>
      </c>
      <c r="W5165" s="511">
        <v>1.6275776252340001E-3</v>
      </c>
      <c r="X5165" s="511">
        <v>8.1972121283800008E-4</v>
      </c>
      <c r="Y5165" s="231" t="s">
        <v>29</v>
      </c>
      <c r="Z5165" s="231"/>
      <c r="AA5165" s="150"/>
      <c r="AB5165" s="152"/>
      <c r="AC5165" s="271"/>
      <c r="AD5165" s="257"/>
      <c r="AE5165" s="272"/>
      <c r="AF5165" s="224"/>
      <c r="AG5165" s="153"/>
      <c r="AH5165" s="346"/>
      <c r="AI5165" s="153"/>
      <c r="AJ5165" s="480"/>
      <c r="AK5165" s="153"/>
      <c r="AL5165" s="152"/>
      <c r="AM5165" s="152"/>
      <c r="AN5165" s="152"/>
      <c r="AO5165" s="152"/>
      <c r="AP5165" s="152"/>
      <c r="AQ5165" s="152"/>
      <c r="AR5165" s="152"/>
      <c r="AS5165" s="152"/>
      <c r="AT5165" s="152"/>
      <c r="AU5165" s="226"/>
      <c r="AV5165" s="226"/>
      <c r="AW5165" s="226"/>
      <c r="AX5165" s="226"/>
      <c r="AY5165" s="226"/>
      <c r="AZ5165" s="152"/>
      <c r="BA5165" s="152"/>
      <c r="BB5165" s="152"/>
      <c r="BC5165" s="152"/>
      <c r="BD5165" s="152"/>
      <c r="BE5165" s="152"/>
      <c r="BF5165" s="152"/>
      <c r="BG5165" s="152"/>
      <c r="BH5165" s="152"/>
      <c r="BI5165" s="153"/>
      <c r="BJ5165" s="153"/>
      <c r="BK5165" s="227"/>
      <c r="BL5165" s="153"/>
      <c r="BM5165" s="153"/>
      <c r="BN5165" s="153"/>
      <c r="BO5165" s="153"/>
      <c r="BP5165" s="153"/>
      <c r="BQ5165" s="153"/>
      <c r="BR5165" s="153"/>
      <c r="BS5165" s="153"/>
      <c r="BT5165" s="153"/>
      <c r="BU5165" s="153"/>
      <c r="BV5165" s="153"/>
      <c r="BW5165" s="153"/>
      <c r="BX5165" s="153"/>
      <c r="BY5165" s="153"/>
      <c r="BZ5165" s="153"/>
      <c r="CA5165" s="152"/>
      <c r="CB5165" s="152"/>
    </row>
    <row r="5166" spans="1:80" s="87" customFormat="1" ht="15" x14ac:dyDescent="0.25">
      <c r="A5166" s="257"/>
      <c r="B5166" s="667"/>
      <c r="C5166" s="667"/>
      <c r="D5166" s="292"/>
      <c r="E5166" s="215"/>
      <c r="F5166" s="215"/>
      <c r="G5166" s="153"/>
      <c r="H5166" s="257"/>
      <c r="I5166" s="257"/>
      <c r="J5166" s="257"/>
      <c r="K5166" s="257"/>
      <c r="L5166" s="667"/>
      <c r="M5166" s="670">
        <v>31574</v>
      </c>
      <c r="N5166" s="602">
        <f>0.0283168466*266</f>
        <v>7.5322811956000004</v>
      </c>
      <c r="O5166" s="604">
        <f t="shared" si="21"/>
        <v>4.8504039194533999E-2</v>
      </c>
      <c r="P5166" s="150"/>
      <c r="Q5166" s="231"/>
      <c r="R5166" s="231">
        <v>1.450760599178E-2</v>
      </c>
      <c r="S5166" s="231">
        <v>1.084526758986E-2</v>
      </c>
      <c r="T5166" s="231">
        <v>1.2054847245539999E-2</v>
      </c>
      <c r="U5166" s="231">
        <v>1.1096318367354E-2</v>
      </c>
      <c r="V5166" s="511">
        <v>9.2233598692620013E-3</v>
      </c>
      <c r="W5166" s="511">
        <v>4.4732397631020004E-3</v>
      </c>
      <c r="X5166" s="511">
        <v>1.8279142557059999E-3</v>
      </c>
      <c r="Y5166" s="231" t="s">
        <v>29</v>
      </c>
      <c r="Z5166" s="231"/>
      <c r="AA5166" s="150"/>
      <c r="AB5166" s="152"/>
      <c r="AC5166" s="271"/>
      <c r="AD5166" s="257"/>
      <c r="AE5166" s="272"/>
      <c r="AF5166" s="224"/>
      <c r="AG5166" s="153"/>
      <c r="AH5166" s="346"/>
      <c r="AI5166" s="153"/>
      <c r="AJ5166" s="480"/>
      <c r="AK5166" s="153"/>
      <c r="AL5166" s="152"/>
      <c r="AM5166" s="152"/>
      <c r="AN5166" s="152"/>
      <c r="AO5166" s="152"/>
      <c r="AP5166" s="152"/>
      <c r="AQ5166" s="152"/>
      <c r="AR5166" s="152"/>
      <c r="AS5166" s="152"/>
      <c r="AT5166" s="152"/>
      <c r="AU5166" s="226"/>
      <c r="AV5166" s="226"/>
      <c r="AW5166" s="226"/>
      <c r="AX5166" s="226"/>
      <c r="AY5166" s="226"/>
      <c r="AZ5166" s="152"/>
      <c r="BA5166" s="152"/>
      <c r="BB5166" s="152"/>
      <c r="BC5166" s="152"/>
      <c r="BD5166" s="152"/>
      <c r="BE5166" s="152"/>
      <c r="BF5166" s="152"/>
      <c r="BG5166" s="152"/>
      <c r="BH5166" s="152"/>
      <c r="BI5166" s="153"/>
      <c r="BJ5166" s="153"/>
      <c r="BK5166" s="227"/>
      <c r="BL5166" s="153"/>
      <c r="BM5166" s="153"/>
      <c r="BN5166" s="153"/>
      <c r="BO5166" s="153"/>
      <c r="BP5166" s="153"/>
      <c r="BQ5166" s="153"/>
      <c r="BR5166" s="153"/>
      <c r="BS5166" s="153"/>
      <c r="BT5166" s="153"/>
      <c r="BU5166" s="153"/>
      <c r="BV5166" s="153"/>
      <c r="BW5166" s="153"/>
      <c r="BX5166" s="153"/>
      <c r="BY5166" s="153"/>
      <c r="BZ5166" s="153"/>
      <c r="CA5166" s="152"/>
      <c r="CB5166" s="152"/>
    </row>
    <row r="5167" spans="1:80" s="87" customFormat="1" x14ac:dyDescent="0.2">
      <c r="A5167" s="257"/>
      <c r="B5167" s="667"/>
      <c r="C5167" s="667"/>
      <c r="D5167" s="292"/>
      <c r="E5167" s="215"/>
      <c r="F5167" s="215"/>
      <c r="G5167" s="153"/>
      <c r="H5167" s="257"/>
      <c r="I5167" s="257"/>
      <c r="J5167" s="257"/>
      <c r="K5167" s="257"/>
      <c r="L5167" s="667"/>
      <c r="M5167" s="670">
        <v>31574</v>
      </c>
      <c r="N5167" s="602">
        <f>0.0283168466*266</f>
        <v>7.5322811956000004</v>
      </c>
      <c r="O5167" s="604">
        <f t="shared" si="21"/>
        <v>4.5757285393094004E-2</v>
      </c>
      <c r="P5167" s="150"/>
      <c r="Q5167" s="231"/>
      <c r="R5167" s="231">
        <v>7.8528179208600009E-3</v>
      </c>
      <c r="S5167" s="231">
        <v>1.3882866499480001E-2</v>
      </c>
      <c r="T5167" s="231">
        <v>1.2460140428780001E-2</v>
      </c>
      <c r="U5167" s="231">
        <v>1.1561460543974E-2</v>
      </c>
      <c r="V5167" s="231">
        <v>8.5490612105140005E-3</v>
      </c>
      <c r="W5167" s="231">
        <v>3.58988962046E-3</v>
      </c>
      <c r="X5167" s="231">
        <v>1.339462471138E-3</v>
      </c>
      <c r="Y5167" s="231" t="s">
        <v>29</v>
      </c>
      <c r="Z5167" s="231"/>
      <c r="AA5167" s="150"/>
      <c r="AB5167" s="152"/>
      <c r="AC5167" s="271"/>
      <c r="AD5167" s="257"/>
      <c r="AE5167" s="272"/>
      <c r="AF5167" s="224"/>
      <c r="AG5167" s="153"/>
      <c r="AH5167" s="346"/>
      <c r="AI5167" s="153"/>
      <c r="AJ5167" s="480"/>
      <c r="AK5167" s="153"/>
      <c r="AL5167" s="152"/>
      <c r="AM5167" s="152"/>
      <c r="AN5167" s="152"/>
      <c r="AO5167" s="152"/>
      <c r="AP5167" s="152"/>
      <c r="AQ5167" s="152"/>
      <c r="AR5167" s="152"/>
      <c r="AS5167" s="152"/>
      <c r="AT5167" s="152"/>
      <c r="AU5167" s="226"/>
      <c r="AV5167" s="226"/>
      <c r="AW5167" s="226"/>
      <c r="AX5167" s="226"/>
      <c r="AY5167" s="226"/>
      <c r="AZ5167" s="152"/>
      <c r="BA5167" s="152"/>
      <c r="BB5167" s="152"/>
      <c r="BC5167" s="152"/>
      <c r="BD5167" s="152"/>
      <c r="BE5167" s="152"/>
      <c r="BF5167" s="152"/>
      <c r="BG5167" s="152"/>
      <c r="BH5167" s="152"/>
      <c r="BI5167" s="153"/>
      <c r="BJ5167" s="153"/>
      <c r="BK5167" s="227"/>
      <c r="BL5167" s="153"/>
      <c r="BM5167" s="153"/>
      <c r="BN5167" s="153"/>
      <c r="BO5167" s="153"/>
      <c r="BP5167" s="153"/>
      <c r="BQ5167" s="153"/>
      <c r="BR5167" s="153"/>
      <c r="BS5167" s="153"/>
      <c r="BT5167" s="153"/>
      <c r="BU5167" s="153"/>
      <c r="BV5167" s="153"/>
      <c r="BW5167" s="153"/>
      <c r="BX5167" s="153"/>
      <c r="BY5167" s="153"/>
      <c r="BZ5167" s="153"/>
      <c r="CA5167" s="152"/>
      <c r="CB5167" s="152"/>
    </row>
    <row r="5168" spans="1:80" s="87" customFormat="1" x14ac:dyDescent="0.2">
      <c r="A5168" s="257"/>
      <c r="B5168" s="667"/>
      <c r="C5168" s="667"/>
      <c r="D5168" s="292"/>
      <c r="E5168" s="215"/>
      <c r="F5168" s="215"/>
      <c r="G5168" s="153"/>
      <c r="H5168" s="257"/>
      <c r="I5168" s="257"/>
      <c r="J5168" s="257"/>
      <c r="K5168" s="257"/>
      <c r="L5168" s="667"/>
      <c r="M5168" s="670">
        <v>31575</v>
      </c>
      <c r="N5168" s="602">
        <f>0.0283168466*221</f>
        <v>6.2580230985999998</v>
      </c>
      <c r="O5168" s="604">
        <f t="shared" si="21"/>
        <v>3.4674826792628004E-2</v>
      </c>
      <c r="P5168" s="150"/>
      <c r="Q5168" s="231"/>
      <c r="R5168" s="231">
        <v>1.3015581086640001E-2</v>
      </c>
      <c r="S5168" s="231">
        <v>7.2774275985400009E-3</v>
      </c>
      <c r="T5168" s="231">
        <v>7.8097686449200001E-3</v>
      </c>
      <c r="U5168" s="231">
        <v>6.5720494625280002E-3</v>
      </c>
      <c r="V5168" s="231">
        <v>3.6690582888959998E-3</v>
      </c>
      <c r="W5168" s="231">
        <v>1.3546872150679999E-3</v>
      </c>
      <c r="X5168" s="231">
        <v>4.8782179516400001E-4</v>
      </c>
      <c r="Y5168" s="231" t="s">
        <v>29</v>
      </c>
      <c r="Z5168" s="231"/>
      <c r="AA5168" s="150"/>
      <c r="AB5168" s="152"/>
      <c r="AC5168" s="271"/>
      <c r="AD5168" s="257"/>
      <c r="AE5168" s="272"/>
      <c r="AF5168" s="224"/>
      <c r="AG5168" s="153"/>
      <c r="AH5168" s="346"/>
      <c r="AI5168" s="153"/>
      <c r="AJ5168" s="480"/>
      <c r="AK5168" s="153"/>
      <c r="AL5168" s="152"/>
      <c r="AM5168" s="152"/>
      <c r="AN5168" s="152"/>
      <c r="AO5168" s="152"/>
      <c r="AP5168" s="152"/>
      <c r="AQ5168" s="152"/>
      <c r="AR5168" s="152"/>
      <c r="AS5168" s="152"/>
      <c r="AT5168" s="152"/>
      <c r="AU5168" s="226"/>
      <c r="AV5168" s="226"/>
      <c r="AW5168" s="226"/>
      <c r="AX5168" s="226"/>
      <c r="AY5168" s="226"/>
      <c r="AZ5168" s="152"/>
      <c r="BA5168" s="152"/>
      <c r="BB5168" s="152"/>
      <c r="BC5168" s="152"/>
      <c r="BD5168" s="152"/>
      <c r="BE5168" s="152"/>
      <c r="BF5168" s="152"/>
      <c r="BG5168" s="152"/>
      <c r="BH5168" s="152"/>
      <c r="BI5168" s="153"/>
      <c r="BJ5168" s="153"/>
      <c r="BK5168" s="227"/>
      <c r="BL5168" s="153"/>
      <c r="BM5168" s="153"/>
      <c r="BN5168" s="153"/>
      <c r="BO5168" s="153"/>
      <c r="BP5168" s="153"/>
      <c r="BQ5168" s="153"/>
      <c r="BR5168" s="153"/>
      <c r="BS5168" s="153"/>
      <c r="BT5168" s="153"/>
      <c r="BU5168" s="153"/>
      <c r="BV5168" s="153"/>
      <c r="BW5168" s="153"/>
      <c r="BX5168" s="153"/>
      <c r="BY5168" s="153"/>
      <c r="BZ5168" s="153"/>
      <c r="CA5168" s="152"/>
      <c r="CB5168" s="152"/>
    </row>
    <row r="5169" spans="1:80" s="87" customFormat="1" x14ac:dyDescent="0.2">
      <c r="A5169" s="257"/>
      <c r="B5169" s="667"/>
      <c r="C5169" s="667"/>
      <c r="D5169" s="292"/>
      <c r="E5169" s="215"/>
      <c r="F5169" s="215"/>
      <c r="G5169" s="153"/>
      <c r="H5169" s="257"/>
      <c r="I5169" s="257"/>
      <c r="J5169" s="257"/>
      <c r="K5169" s="257"/>
      <c r="L5169" s="667"/>
      <c r="M5169" s="670">
        <v>31575</v>
      </c>
      <c r="N5169" s="602">
        <f>0.0283168466*214</f>
        <v>6.0598051723999999</v>
      </c>
      <c r="O5169" s="604">
        <f t="shared" si="21"/>
        <v>3.4863613617359998E-2</v>
      </c>
      <c r="P5169" s="150"/>
      <c r="Q5169" s="231"/>
      <c r="R5169" s="231">
        <v>1.0295076843700001E-2</v>
      </c>
      <c r="S5169" s="231">
        <v>9.5296397178400005E-3</v>
      </c>
      <c r="T5169" s="231">
        <v>9.1138467112E-3</v>
      </c>
      <c r="U5169" s="231">
        <v>5.9250503446200004E-3</v>
      </c>
      <c r="V5169" s="231">
        <v>4.1829196460920004E-3</v>
      </c>
      <c r="W5169" s="231">
        <v>1.629887586382E-3</v>
      </c>
      <c r="X5169" s="231">
        <v>7.0264818192799995E-4</v>
      </c>
      <c r="Y5169" s="231" t="s">
        <v>29</v>
      </c>
      <c r="Z5169" s="231"/>
      <c r="AA5169" s="150"/>
      <c r="AB5169" s="152"/>
      <c r="AC5169" s="271"/>
      <c r="AD5169" s="257"/>
      <c r="AE5169" s="272"/>
      <c r="AF5169" s="224"/>
      <c r="AG5169" s="153"/>
      <c r="AH5169" s="346"/>
      <c r="AI5169" s="153"/>
      <c r="AJ5169" s="480"/>
      <c r="AK5169" s="153"/>
      <c r="AL5169" s="152"/>
      <c r="AM5169" s="152"/>
      <c r="AN5169" s="152"/>
      <c r="AO5169" s="152"/>
      <c r="AP5169" s="152"/>
      <c r="AQ5169" s="152"/>
      <c r="AR5169" s="152"/>
      <c r="AS5169" s="152"/>
      <c r="AT5169" s="152"/>
      <c r="AU5169" s="226"/>
      <c r="AV5169" s="226"/>
      <c r="AW5169" s="226"/>
      <c r="AX5169" s="226"/>
      <c r="AY5169" s="226"/>
      <c r="AZ5169" s="152"/>
      <c r="BA5169" s="152"/>
      <c r="BB5169" s="152"/>
      <c r="BC5169" s="152"/>
      <c r="BD5169" s="152"/>
      <c r="BE5169" s="152"/>
      <c r="BF5169" s="152"/>
      <c r="BG5169" s="152"/>
      <c r="BH5169" s="152"/>
      <c r="BI5169" s="153"/>
      <c r="BJ5169" s="153"/>
      <c r="BK5169" s="227"/>
      <c r="BL5169" s="153"/>
      <c r="BM5169" s="153"/>
      <c r="BN5169" s="153"/>
      <c r="BO5169" s="153"/>
      <c r="BP5169" s="153"/>
      <c r="BQ5169" s="153"/>
      <c r="BR5169" s="153"/>
      <c r="BS5169" s="153"/>
      <c r="BT5169" s="153"/>
      <c r="BU5169" s="153"/>
      <c r="BV5169" s="153"/>
      <c r="BW5169" s="153"/>
      <c r="BX5169" s="153"/>
      <c r="BY5169" s="153"/>
      <c r="BZ5169" s="153"/>
      <c r="CA5169" s="152"/>
      <c r="CB5169" s="152"/>
    </row>
    <row r="5170" spans="1:80" s="87" customFormat="1" x14ac:dyDescent="0.2">
      <c r="A5170" s="257"/>
      <c r="B5170" s="667"/>
      <c r="C5170" s="667"/>
      <c r="D5170" s="292"/>
      <c r="E5170" s="215"/>
      <c r="F5170" s="215"/>
      <c r="G5170" s="153"/>
      <c r="H5170" s="257"/>
      <c r="I5170" s="257"/>
      <c r="J5170" s="257"/>
      <c r="K5170" s="257"/>
      <c r="L5170" s="667"/>
      <c r="M5170" s="670">
        <v>31575</v>
      </c>
      <c r="N5170" s="602">
        <f>0.0283168466*201</f>
        <v>5.6916861666000003</v>
      </c>
      <c r="O5170" s="604">
        <f t="shared" si="21"/>
        <v>3.7526578828068001E-2</v>
      </c>
      <c r="P5170" s="150"/>
      <c r="Q5170" s="231">
        <v>1.7733151740260002E-2</v>
      </c>
      <c r="R5170" s="231">
        <v>8.2287115985799995E-3</v>
      </c>
      <c r="S5170" s="231">
        <v>2.9976995806999997E-3</v>
      </c>
      <c r="T5170" s="231">
        <v>3.8796847463000001E-3</v>
      </c>
      <c r="U5170" s="231">
        <v>4.6873311622279996E-3</v>
      </c>
      <c r="V5170" s="231">
        <v>5.0307803856420004E-3</v>
      </c>
      <c r="W5170" s="231">
        <v>2.4736533948060001E-3</v>
      </c>
      <c r="X5170" s="231">
        <v>1.1788151731179999E-3</v>
      </c>
      <c r="Y5170" s="231" t="s">
        <v>29</v>
      </c>
      <c r="Z5170" s="231"/>
      <c r="AA5170" s="150"/>
      <c r="AB5170" s="152"/>
      <c r="AC5170" s="271"/>
      <c r="AD5170" s="257"/>
      <c r="AE5170" s="272"/>
      <c r="AF5170" s="224"/>
      <c r="AG5170" s="153"/>
      <c r="AH5170" s="346"/>
      <c r="AI5170" s="153"/>
      <c r="AJ5170" s="480"/>
      <c r="AK5170" s="153"/>
      <c r="AL5170" s="152"/>
      <c r="AM5170" s="152"/>
      <c r="AN5170" s="152"/>
      <c r="AO5170" s="152"/>
      <c r="AP5170" s="152"/>
      <c r="AQ5170" s="152"/>
      <c r="AR5170" s="152"/>
      <c r="AS5170" s="152"/>
      <c r="AT5170" s="152"/>
      <c r="AU5170" s="226"/>
      <c r="AV5170" s="226"/>
      <c r="AW5170" s="226"/>
      <c r="AX5170" s="226"/>
      <c r="AY5170" s="226"/>
      <c r="AZ5170" s="152"/>
      <c r="BA5170" s="152"/>
      <c r="BB5170" s="152"/>
      <c r="BC5170" s="152"/>
      <c r="BD5170" s="152"/>
      <c r="BE5170" s="152"/>
      <c r="BF5170" s="152"/>
      <c r="BG5170" s="152"/>
      <c r="BH5170" s="152"/>
      <c r="BI5170" s="153"/>
      <c r="BJ5170" s="153"/>
      <c r="BK5170" s="227"/>
      <c r="BL5170" s="153"/>
      <c r="BM5170" s="153"/>
      <c r="BN5170" s="153"/>
      <c r="BO5170" s="153"/>
      <c r="BP5170" s="153"/>
      <c r="BQ5170" s="153"/>
      <c r="BR5170" s="153"/>
      <c r="BS5170" s="153"/>
      <c r="BT5170" s="153"/>
      <c r="BU5170" s="153"/>
      <c r="BV5170" s="153"/>
      <c r="BW5170" s="153"/>
      <c r="BX5170" s="153"/>
      <c r="BY5170" s="153"/>
      <c r="BZ5170" s="153"/>
      <c r="CA5170" s="152"/>
      <c r="CB5170" s="152"/>
    </row>
    <row r="5171" spans="1:80" s="87" customFormat="1" x14ac:dyDescent="0.2">
      <c r="A5171" s="257"/>
      <c r="B5171" s="667"/>
      <c r="C5171" s="667"/>
      <c r="D5171" s="292"/>
      <c r="E5171" s="215"/>
      <c r="F5171" s="215"/>
      <c r="G5171" s="153"/>
      <c r="H5171" s="257"/>
      <c r="I5171" s="257"/>
      <c r="J5171" s="257"/>
      <c r="K5171" s="257"/>
      <c r="L5171" s="667"/>
      <c r="M5171" s="670">
        <v>31575</v>
      </c>
      <c r="N5171" s="602">
        <f>0.0283168466*201</f>
        <v>5.6916861666000003</v>
      </c>
      <c r="O5171" s="604">
        <f t="shared" si="21"/>
        <v>1.3859451893298E-2</v>
      </c>
      <c r="P5171" s="150"/>
      <c r="Q5171" s="231"/>
      <c r="R5171" s="231"/>
      <c r="S5171" s="231">
        <v>3.5972394968400005E-3</v>
      </c>
      <c r="T5171" s="231">
        <v>5.1953126183199999E-3</v>
      </c>
      <c r="U5171" s="231">
        <v>5.0668997781379999E-3</v>
      </c>
      <c r="V5171" s="231">
        <v>5.0556649670999996E-3</v>
      </c>
      <c r="W5171" s="231">
        <v>2.3593103179800003E-3</v>
      </c>
      <c r="X5171" s="231">
        <v>1.0178528803960001E-3</v>
      </c>
      <c r="Y5171" s="231" t="s">
        <v>29</v>
      </c>
      <c r="Z5171" s="231"/>
      <c r="AA5171" s="150"/>
      <c r="AB5171" s="152"/>
      <c r="AC5171" s="271"/>
      <c r="AD5171" s="257"/>
      <c r="AE5171" s="272"/>
      <c r="AF5171" s="224"/>
      <c r="AG5171" s="153"/>
      <c r="AH5171" s="346"/>
      <c r="AI5171" s="153"/>
      <c r="AJ5171" s="480"/>
      <c r="AK5171" s="153"/>
      <c r="AL5171" s="152"/>
      <c r="AM5171" s="152"/>
      <c r="AN5171" s="152"/>
      <c r="AO5171" s="152"/>
      <c r="AP5171" s="152"/>
      <c r="AQ5171" s="152"/>
      <c r="AR5171" s="152"/>
      <c r="AS5171" s="152"/>
      <c r="AT5171" s="152"/>
      <c r="AU5171" s="226"/>
      <c r="AV5171" s="226"/>
      <c r="AW5171" s="226"/>
      <c r="AX5171" s="226"/>
      <c r="AY5171" s="226"/>
      <c r="AZ5171" s="152"/>
      <c r="BA5171" s="152"/>
      <c r="BB5171" s="152"/>
      <c r="BC5171" s="152"/>
      <c r="BD5171" s="152"/>
      <c r="BE5171" s="152"/>
      <c r="BF5171" s="152"/>
      <c r="BG5171" s="152"/>
      <c r="BH5171" s="152"/>
      <c r="BI5171" s="153"/>
      <c r="BJ5171" s="153"/>
      <c r="BK5171" s="227"/>
      <c r="BL5171" s="153"/>
      <c r="BM5171" s="153"/>
      <c r="BN5171" s="153"/>
      <c r="BO5171" s="153"/>
      <c r="BP5171" s="153"/>
      <c r="BQ5171" s="153"/>
      <c r="BR5171" s="153"/>
      <c r="BS5171" s="153"/>
      <c r="BT5171" s="153"/>
      <c r="BU5171" s="153"/>
      <c r="BV5171" s="153"/>
      <c r="BW5171" s="153"/>
      <c r="BX5171" s="153"/>
      <c r="BY5171" s="153"/>
      <c r="BZ5171" s="153"/>
      <c r="CA5171" s="152"/>
      <c r="CB5171" s="152"/>
    </row>
    <row r="5172" spans="1:80" s="87" customFormat="1" x14ac:dyDescent="0.2">
      <c r="A5172" s="257"/>
      <c r="B5172" s="667"/>
      <c r="C5172" s="667"/>
      <c r="D5172" s="292"/>
      <c r="E5172" s="215"/>
      <c r="F5172" s="215"/>
      <c r="G5172" s="153"/>
      <c r="H5172" s="257"/>
      <c r="I5172" s="257"/>
      <c r="J5172" s="257"/>
      <c r="K5172" s="257"/>
      <c r="L5172" s="667"/>
      <c r="M5172" s="670">
        <v>31575</v>
      </c>
      <c r="N5172" s="602">
        <f>0.0283168466*201</f>
        <v>5.6916861666000003</v>
      </c>
      <c r="O5172" s="604">
        <f t="shared" si="21"/>
        <v>1.1768202066719999E-2</v>
      </c>
      <c r="P5172" s="150"/>
      <c r="Q5172" s="231"/>
      <c r="R5172" s="231">
        <v>7.02123190758E-3</v>
      </c>
      <c r="S5172" s="231">
        <v>1.25052896694E-3</v>
      </c>
      <c r="T5172" s="231">
        <v>1.5781234570199998E-3</v>
      </c>
      <c r="U5172" s="231">
        <v>1.9183177351800001E-3</v>
      </c>
      <c r="V5172" s="231">
        <v>1.87579345041E-3</v>
      </c>
      <c r="W5172" s="231">
        <v>1.29305325171E-3</v>
      </c>
      <c r="X5172" s="231">
        <v>7.1031305301E-4</v>
      </c>
      <c r="Y5172" s="231" t="s">
        <v>29</v>
      </c>
      <c r="Z5172" s="231"/>
      <c r="AA5172" s="150"/>
      <c r="AB5172" s="152"/>
      <c r="AC5172" s="271"/>
      <c r="AD5172" s="257"/>
      <c r="AE5172" s="272"/>
      <c r="AF5172" s="224"/>
      <c r="AG5172" s="153"/>
      <c r="AH5172" s="346"/>
      <c r="AI5172" s="153"/>
      <c r="AJ5172" s="480"/>
      <c r="AK5172" s="153"/>
      <c r="AL5172" s="152"/>
      <c r="AM5172" s="152"/>
      <c r="AN5172" s="152"/>
      <c r="AO5172" s="152"/>
      <c r="AP5172" s="152"/>
      <c r="AQ5172" s="152"/>
      <c r="AR5172" s="152"/>
      <c r="AS5172" s="152"/>
      <c r="AT5172" s="152"/>
      <c r="AU5172" s="226"/>
      <c r="AV5172" s="226"/>
      <c r="AW5172" s="226"/>
      <c r="AX5172" s="226"/>
      <c r="AY5172" s="226"/>
      <c r="AZ5172" s="152"/>
      <c r="BA5172" s="152"/>
      <c r="BB5172" s="152"/>
      <c r="BC5172" s="152"/>
      <c r="BD5172" s="152"/>
      <c r="BE5172" s="152"/>
      <c r="BF5172" s="152"/>
      <c r="BG5172" s="152"/>
      <c r="BH5172" s="152"/>
      <c r="BI5172" s="153"/>
      <c r="BJ5172" s="153"/>
      <c r="BK5172" s="227"/>
      <c r="BL5172" s="153"/>
      <c r="BM5172" s="153"/>
      <c r="BN5172" s="153"/>
      <c r="BO5172" s="153"/>
      <c r="BP5172" s="153"/>
      <c r="BQ5172" s="153"/>
      <c r="BR5172" s="153"/>
      <c r="BS5172" s="153"/>
      <c r="BT5172" s="153"/>
      <c r="BU5172" s="153"/>
      <c r="BV5172" s="153"/>
      <c r="BW5172" s="153"/>
      <c r="BX5172" s="153"/>
      <c r="BY5172" s="153"/>
      <c r="BZ5172" s="153"/>
      <c r="CA5172" s="152"/>
      <c r="CB5172" s="152"/>
    </row>
    <row r="5173" spans="1:80" s="87" customFormat="1" x14ac:dyDescent="0.2">
      <c r="A5173" s="257"/>
      <c r="B5173" s="667"/>
      <c r="C5173" s="667"/>
      <c r="D5173" s="292"/>
      <c r="E5173" s="215"/>
      <c r="F5173" s="215"/>
      <c r="G5173" s="153"/>
      <c r="H5173" s="257"/>
      <c r="I5173" s="257"/>
      <c r="J5173" s="257"/>
      <c r="K5173" s="257"/>
      <c r="L5173" s="667"/>
      <c r="M5173" s="670">
        <v>31575</v>
      </c>
      <c r="N5173" s="602">
        <f>0.0283168466*201</f>
        <v>5.6916861666000003</v>
      </c>
      <c r="O5173" s="604">
        <f t="shared" si="21"/>
        <v>7.0764609786640002E-3</v>
      </c>
      <c r="P5173" s="150"/>
      <c r="Q5173" s="231"/>
      <c r="R5173" s="231"/>
      <c r="S5173" s="231">
        <v>1.7776201016200001E-3</v>
      </c>
      <c r="T5173" s="231">
        <v>1.9277675762400001E-3</v>
      </c>
      <c r="U5173" s="231">
        <v>3.3710733008040002E-3</v>
      </c>
      <c r="V5173" s="231">
        <v>3.5790748023580001E-3</v>
      </c>
      <c r="W5173" s="231">
        <v>1.7321558662980001E-3</v>
      </c>
      <c r="X5173" s="231">
        <v>8.2003620754000006E-4</v>
      </c>
      <c r="Y5173" s="231" t="s">
        <v>29</v>
      </c>
      <c r="Z5173" s="231"/>
      <c r="AA5173" s="150"/>
      <c r="AB5173" s="152"/>
      <c r="AC5173" s="271"/>
      <c r="AD5173" s="257"/>
      <c r="AE5173" s="272"/>
      <c r="AF5173" s="224"/>
      <c r="AG5173" s="153"/>
      <c r="AH5173" s="346"/>
      <c r="AI5173" s="153"/>
      <c r="AJ5173" s="480"/>
      <c r="AK5173" s="153"/>
      <c r="AL5173" s="152"/>
      <c r="AM5173" s="152"/>
      <c r="AN5173" s="152"/>
      <c r="AO5173" s="152"/>
      <c r="AP5173" s="152"/>
      <c r="AQ5173" s="152"/>
      <c r="AR5173" s="152"/>
      <c r="AS5173" s="152"/>
      <c r="AT5173" s="152"/>
      <c r="AU5173" s="226"/>
      <c r="AV5173" s="226"/>
      <c r="AW5173" s="226"/>
      <c r="AX5173" s="226"/>
      <c r="AY5173" s="226"/>
      <c r="AZ5173" s="152"/>
      <c r="BA5173" s="152"/>
      <c r="BB5173" s="152"/>
      <c r="BC5173" s="152"/>
      <c r="BD5173" s="152"/>
      <c r="BE5173" s="152"/>
      <c r="BF5173" s="152"/>
      <c r="BG5173" s="152"/>
      <c r="BH5173" s="152"/>
      <c r="BI5173" s="153"/>
      <c r="BJ5173" s="153"/>
      <c r="BK5173" s="227"/>
      <c r="BL5173" s="153"/>
      <c r="BM5173" s="153"/>
      <c r="BN5173" s="153"/>
      <c r="BO5173" s="153"/>
      <c r="BP5173" s="153"/>
      <c r="BQ5173" s="153"/>
      <c r="BR5173" s="153"/>
      <c r="BS5173" s="153"/>
      <c r="BT5173" s="153"/>
      <c r="BU5173" s="153"/>
      <c r="BV5173" s="153"/>
      <c r="BW5173" s="153"/>
      <c r="BX5173" s="153"/>
      <c r="BY5173" s="153"/>
      <c r="BZ5173" s="153"/>
      <c r="CA5173" s="152"/>
      <c r="CB5173" s="152"/>
    </row>
    <row r="5174" spans="1:80" s="87" customFormat="1" x14ac:dyDescent="0.2">
      <c r="A5174" s="257"/>
      <c r="B5174" s="667"/>
      <c r="C5174" s="667"/>
      <c r="D5174" s="292"/>
      <c r="E5174" s="215"/>
      <c r="F5174" s="215"/>
      <c r="G5174" s="153"/>
      <c r="H5174" s="257"/>
      <c r="I5174" s="257"/>
      <c r="J5174" s="257"/>
      <c r="K5174" s="257"/>
      <c r="L5174" s="667"/>
      <c r="M5174" s="670">
        <v>31583</v>
      </c>
      <c r="N5174" s="602">
        <f>0.0283168466*204</f>
        <v>5.7766367063999997</v>
      </c>
      <c r="O5174" s="604">
        <f t="shared" si="21"/>
        <v>3.4447295619549997E-2</v>
      </c>
      <c r="P5174" s="150"/>
      <c r="Q5174" s="231"/>
      <c r="R5174" s="231">
        <v>1.7775151033860001E-2</v>
      </c>
      <c r="S5174" s="231">
        <v>1.034862594304E-2</v>
      </c>
      <c r="T5174" s="231">
        <v>4.1222306668400001E-3</v>
      </c>
      <c r="U5174" s="231">
        <v>2.2012879758100002E-3</v>
      </c>
      <c r="V5174" s="231">
        <v>7.7919189451400002E-4</v>
      </c>
      <c r="W5174" s="231">
        <v>3.5909396028000005E-4</v>
      </c>
      <c r="X5174" s="231">
        <v>2.0107161811000002E-4</v>
      </c>
      <c r="Y5174" s="231" t="s">
        <v>29</v>
      </c>
      <c r="Z5174" s="231"/>
      <c r="AA5174" s="150"/>
      <c r="AB5174" s="152"/>
      <c r="AC5174" s="271"/>
      <c r="AD5174" s="257"/>
      <c r="AE5174" s="272"/>
      <c r="AF5174" s="224"/>
      <c r="AG5174" s="153"/>
      <c r="AH5174" s="346"/>
      <c r="AI5174" s="153"/>
      <c r="AJ5174" s="480"/>
      <c r="AK5174" s="153"/>
      <c r="AL5174" s="152"/>
      <c r="AM5174" s="152"/>
      <c r="AN5174" s="152"/>
      <c r="AO5174" s="152"/>
      <c r="AP5174" s="152"/>
      <c r="AQ5174" s="152"/>
      <c r="AR5174" s="152"/>
      <c r="AS5174" s="152"/>
      <c r="AT5174" s="152"/>
      <c r="AU5174" s="226"/>
      <c r="AV5174" s="226"/>
      <c r="AW5174" s="226"/>
      <c r="AX5174" s="226"/>
      <c r="AY5174" s="226"/>
      <c r="AZ5174" s="152"/>
      <c r="BA5174" s="152"/>
      <c r="BB5174" s="152"/>
      <c r="BC5174" s="152"/>
      <c r="BD5174" s="152"/>
      <c r="BE5174" s="152"/>
      <c r="BF5174" s="152"/>
      <c r="BG5174" s="152"/>
      <c r="BH5174" s="152"/>
      <c r="BI5174" s="153"/>
      <c r="BJ5174" s="153"/>
      <c r="BK5174" s="227"/>
      <c r="BL5174" s="153"/>
      <c r="BM5174" s="153"/>
      <c r="BN5174" s="153"/>
      <c r="BO5174" s="153"/>
      <c r="BP5174" s="153"/>
      <c r="BQ5174" s="153"/>
      <c r="BR5174" s="153"/>
      <c r="BS5174" s="153"/>
      <c r="BT5174" s="153"/>
      <c r="BU5174" s="153"/>
      <c r="BV5174" s="153"/>
      <c r="BW5174" s="153"/>
      <c r="BX5174" s="153"/>
      <c r="BY5174" s="153"/>
      <c r="BZ5174" s="153"/>
      <c r="CA5174" s="152"/>
      <c r="CB5174" s="152"/>
    </row>
    <row r="5175" spans="1:80" s="87" customFormat="1" x14ac:dyDescent="0.2">
      <c r="A5175" s="257"/>
      <c r="B5175" s="667"/>
      <c r="C5175" s="667"/>
      <c r="D5175" s="292"/>
      <c r="E5175" s="215"/>
      <c r="F5175" s="215"/>
      <c r="G5175" s="153"/>
      <c r="H5175" s="257"/>
      <c r="I5175" s="257"/>
      <c r="J5175" s="257"/>
      <c r="K5175" s="257"/>
      <c r="L5175" s="667"/>
      <c r="M5175" s="670">
        <v>31594</v>
      </c>
      <c r="N5175" s="602">
        <f>0.0283168466*105</f>
        <v>2.9732688930000002</v>
      </c>
      <c r="O5175" s="604">
        <f t="shared" si="21"/>
        <v>4.1474302429999998E-5</v>
      </c>
      <c r="P5175" s="150"/>
      <c r="Q5175" s="231"/>
      <c r="R5175" s="231"/>
      <c r="S5175" s="231"/>
      <c r="T5175" s="231">
        <v>3.044948786E-5</v>
      </c>
      <c r="U5175" s="231">
        <v>1.102481457E-5</v>
      </c>
      <c r="V5175" s="231">
        <v>1.6589720972E-5</v>
      </c>
      <c r="W5175" s="231">
        <v>7.979865784E-6</v>
      </c>
      <c r="X5175" s="231">
        <v>5.039915232E-6</v>
      </c>
      <c r="Y5175" s="231" t="s">
        <v>29</v>
      </c>
      <c r="Z5175" s="231"/>
      <c r="AA5175" s="150"/>
      <c r="AB5175" s="152"/>
      <c r="AC5175" s="271"/>
      <c r="AD5175" s="257"/>
      <c r="AE5175" s="272"/>
      <c r="AF5175" s="224"/>
      <c r="AG5175" s="153"/>
      <c r="AH5175" s="346"/>
      <c r="AI5175" s="153"/>
      <c r="AJ5175" s="480"/>
      <c r="AK5175" s="153"/>
      <c r="AL5175" s="152"/>
      <c r="AM5175" s="152"/>
      <c r="AN5175" s="152"/>
      <c r="AO5175" s="152"/>
      <c r="AP5175" s="152"/>
      <c r="AQ5175" s="152"/>
      <c r="AR5175" s="152"/>
      <c r="AS5175" s="152"/>
      <c r="AT5175" s="152"/>
      <c r="AU5175" s="226"/>
      <c r="AV5175" s="226"/>
      <c r="AW5175" s="226"/>
      <c r="AX5175" s="226"/>
      <c r="AY5175" s="226"/>
      <c r="AZ5175" s="152"/>
      <c r="BA5175" s="152"/>
      <c r="BB5175" s="152"/>
      <c r="BC5175" s="152"/>
      <c r="BD5175" s="152"/>
      <c r="BE5175" s="152"/>
      <c r="BF5175" s="152"/>
      <c r="BG5175" s="152"/>
      <c r="BH5175" s="152"/>
      <c r="BI5175" s="153"/>
      <c r="BJ5175" s="153"/>
      <c r="BK5175" s="227"/>
      <c r="BL5175" s="153"/>
      <c r="BM5175" s="153"/>
      <c r="BN5175" s="153"/>
      <c r="BO5175" s="153"/>
      <c r="BP5175" s="153"/>
      <c r="BQ5175" s="153"/>
      <c r="BR5175" s="153"/>
      <c r="BS5175" s="153"/>
      <c r="BT5175" s="153"/>
      <c r="BU5175" s="153"/>
      <c r="BV5175" s="153"/>
      <c r="BW5175" s="153"/>
      <c r="BX5175" s="153"/>
      <c r="BY5175" s="153"/>
      <c r="BZ5175" s="153"/>
      <c r="CA5175" s="152"/>
      <c r="CB5175" s="152"/>
    </row>
    <row r="5176" spans="1:80" s="87" customFormat="1" x14ac:dyDescent="0.2">
      <c r="A5176" s="257"/>
      <c r="B5176" s="667"/>
      <c r="C5176" s="667"/>
      <c r="D5176" s="292"/>
      <c r="E5176" s="215"/>
      <c r="F5176" s="215"/>
      <c r="G5176" s="153"/>
      <c r="H5176" s="257"/>
      <c r="I5176" s="257"/>
      <c r="J5176" s="257"/>
      <c r="K5176" s="257"/>
      <c r="L5176" s="667"/>
      <c r="M5176" s="670">
        <v>31896</v>
      </c>
      <c r="N5176" s="602">
        <f>0.0283168466*53</f>
        <v>1.5007928698000002</v>
      </c>
      <c r="O5176" s="604">
        <f t="shared" si="21"/>
        <v>3.9422636937639999E-3</v>
      </c>
      <c r="P5176" s="150"/>
      <c r="Q5176" s="231"/>
      <c r="R5176" s="231">
        <v>8.0218650775999993E-4</v>
      </c>
      <c r="S5176" s="231">
        <v>6.1633963358000002E-4</v>
      </c>
      <c r="T5176" s="231">
        <v>9.9538325832000001E-4</v>
      </c>
      <c r="U5176" s="231">
        <v>1.528354294104E-3</v>
      </c>
      <c r="V5176" s="231">
        <v>9.8750839076999991E-4</v>
      </c>
      <c r="W5176" s="231">
        <v>2.9494003930600002E-4</v>
      </c>
      <c r="X5176" s="231">
        <v>7.559872848E-5</v>
      </c>
      <c r="Y5176" s="231" t="s">
        <v>29</v>
      </c>
      <c r="Z5176" s="231"/>
      <c r="AA5176" s="150"/>
      <c r="AB5176" s="152"/>
      <c r="AC5176" s="271"/>
      <c r="AD5176" s="257"/>
      <c r="AE5176" s="272"/>
      <c r="AF5176" s="224"/>
      <c r="AG5176" s="153"/>
      <c r="AH5176" s="346"/>
      <c r="AI5176" s="153"/>
      <c r="AJ5176" s="480"/>
      <c r="AK5176" s="153"/>
      <c r="AL5176" s="152"/>
      <c r="AM5176" s="152"/>
      <c r="AN5176" s="152"/>
      <c r="AO5176" s="152"/>
      <c r="AP5176" s="152"/>
      <c r="AQ5176" s="152"/>
      <c r="AR5176" s="152"/>
      <c r="AS5176" s="152"/>
      <c r="AT5176" s="152"/>
      <c r="AU5176" s="226"/>
      <c r="AV5176" s="226"/>
      <c r="AW5176" s="226"/>
      <c r="AX5176" s="226"/>
      <c r="AY5176" s="226"/>
      <c r="AZ5176" s="152"/>
      <c r="BA5176" s="152"/>
      <c r="BB5176" s="152"/>
      <c r="BC5176" s="152"/>
      <c r="BD5176" s="152"/>
      <c r="BE5176" s="152"/>
      <c r="BF5176" s="152"/>
      <c r="BG5176" s="152"/>
      <c r="BH5176" s="152"/>
      <c r="BI5176" s="153"/>
      <c r="BJ5176" s="153"/>
      <c r="BK5176" s="227"/>
      <c r="BL5176" s="153"/>
      <c r="BM5176" s="153"/>
      <c r="BN5176" s="153"/>
      <c r="BO5176" s="153"/>
      <c r="BP5176" s="153"/>
      <c r="BQ5176" s="153"/>
      <c r="BR5176" s="153"/>
      <c r="BS5176" s="153"/>
      <c r="BT5176" s="153"/>
      <c r="BU5176" s="153"/>
      <c r="BV5176" s="153"/>
      <c r="BW5176" s="153"/>
      <c r="BX5176" s="153"/>
      <c r="BY5176" s="153"/>
      <c r="BZ5176" s="153"/>
      <c r="CA5176" s="152"/>
      <c r="CB5176" s="152"/>
    </row>
    <row r="5177" spans="1:80" s="87" customFormat="1" x14ac:dyDescent="0.2">
      <c r="A5177" s="257"/>
      <c r="B5177" s="667"/>
      <c r="C5177" s="667"/>
      <c r="D5177" s="292"/>
      <c r="E5177" s="215"/>
      <c r="F5177" s="215"/>
      <c r="G5177" s="153"/>
      <c r="H5177" s="257"/>
      <c r="I5177" s="257"/>
      <c r="J5177" s="257"/>
      <c r="K5177" s="257"/>
      <c r="L5177" s="667"/>
      <c r="M5177" s="670">
        <v>31905</v>
      </c>
      <c r="N5177" s="602">
        <f>0.0283168466*126</f>
        <v>3.5679226715999999</v>
      </c>
      <c r="O5177" s="604">
        <f t="shared" si="21"/>
        <v>3.0134493157999998E-4</v>
      </c>
      <c r="P5177" s="150"/>
      <c r="Q5177" s="231"/>
      <c r="R5177" s="231"/>
      <c r="S5177" s="231"/>
      <c r="T5177" s="231">
        <v>1.3754768654E-4</v>
      </c>
      <c r="U5177" s="231">
        <v>1.6379724503999999E-4</v>
      </c>
      <c r="V5177" s="231">
        <v>1.59282320978E-4</v>
      </c>
      <c r="W5177" s="231">
        <v>1.2883283311799999E-4</v>
      </c>
      <c r="X5177" s="231">
        <v>8.5153567773999992E-5</v>
      </c>
      <c r="Y5177" s="231" t="s">
        <v>29</v>
      </c>
      <c r="Z5177" s="231"/>
      <c r="AA5177" s="150"/>
      <c r="AB5177" s="152"/>
      <c r="AC5177" s="271"/>
      <c r="AD5177" s="257"/>
      <c r="AE5177" s="272"/>
      <c r="AF5177" s="224"/>
      <c r="AG5177" s="153"/>
      <c r="AH5177" s="346"/>
      <c r="AI5177" s="153"/>
      <c r="AJ5177" s="480"/>
      <c r="AK5177" s="153"/>
      <c r="AL5177" s="152"/>
      <c r="AM5177" s="152"/>
      <c r="AN5177" s="152"/>
      <c r="AO5177" s="152"/>
      <c r="AP5177" s="152"/>
      <c r="AQ5177" s="152"/>
      <c r="AR5177" s="152"/>
      <c r="AS5177" s="152"/>
      <c r="AT5177" s="152"/>
      <c r="AU5177" s="226"/>
      <c r="AV5177" s="226"/>
      <c r="AW5177" s="226"/>
      <c r="AX5177" s="226"/>
      <c r="AY5177" s="226"/>
      <c r="AZ5177" s="152"/>
      <c r="BA5177" s="152"/>
      <c r="BB5177" s="152"/>
      <c r="BC5177" s="152"/>
      <c r="BD5177" s="152"/>
      <c r="BE5177" s="152"/>
      <c r="BF5177" s="152"/>
      <c r="BG5177" s="152"/>
      <c r="BH5177" s="152"/>
      <c r="BI5177" s="153"/>
      <c r="BJ5177" s="153"/>
      <c r="BK5177" s="227"/>
      <c r="BL5177" s="153"/>
      <c r="BM5177" s="153"/>
      <c r="BN5177" s="153"/>
      <c r="BO5177" s="153"/>
      <c r="BP5177" s="153"/>
      <c r="BQ5177" s="153"/>
      <c r="BR5177" s="153"/>
      <c r="BS5177" s="153"/>
      <c r="BT5177" s="153"/>
      <c r="BU5177" s="153"/>
      <c r="BV5177" s="153"/>
      <c r="BW5177" s="153"/>
      <c r="BX5177" s="153"/>
      <c r="BY5177" s="153"/>
      <c r="BZ5177" s="153"/>
      <c r="CA5177" s="152"/>
      <c r="CB5177" s="152"/>
    </row>
    <row r="5178" spans="1:80" s="87" customFormat="1" x14ac:dyDescent="0.2">
      <c r="A5178" s="257"/>
      <c r="B5178" s="667"/>
      <c r="C5178" s="667"/>
      <c r="D5178" s="292"/>
      <c r="E5178" s="215"/>
      <c r="F5178" s="215"/>
      <c r="G5178" s="153"/>
      <c r="H5178" s="257"/>
      <c r="I5178" s="257"/>
      <c r="J5178" s="257"/>
      <c r="K5178" s="257"/>
      <c r="L5178" s="667"/>
      <c r="M5178" s="670">
        <v>31905</v>
      </c>
      <c r="N5178" s="602">
        <f>0.0283168466*131</f>
        <v>3.7095069046</v>
      </c>
      <c r="O5178" s="604">
        <f t="shared" si="21"/>
        <v>2.3803099647800002E-4</v>
      </c>
      <c r="P5178" s="150"/>
      <c r="Q5178" s="231"/>
      <c r="R5178" s="231"/>
      <c r="S5178" s="231"/>
      <c r="T5178" s="231">
        <v>1.5014747462000001E-4</v>
      </c>
      <c r="U5178" s="231">
        <v>8.7883521858000009E-5</v>
      </c>
      <c r="V5178" s="231">
        <v>9.4603408834000009E-5</v>
      </c>
      <c r="W5178" s="231">
        <v>1.5119745696E-4</v>
      </c>
      <c r="X5178" s="231">
        <v>1.3345275541400001E-4</v>
      </c>
      <c r="Y5178" s="231" t="s">
        <v>29</v>
      </c>
      <c r="Z5178" s="231"/>
      <c r="AA5178" s="150"/>
      <c r="AB5178" s="152"/>
      <c r="AC5178" s="271"/>
      <c r="AD5178" s="257"/>
      <c r="AE5178" s="272"/>
      <c r="AF5178" s="224"/>
      <c r="AG5178" s="153"/>
      <c r="AH5178" s="346"/>
      <c r="AI5178" s="153"/>
      <c r="AJ5178" s="480"/>
      <c r="AK5178" s="153"/>
      <c r="AL5178" s="152"/>
      <c r="AM5178" s="152"/>
      <c r="AN5178" s="152"/>
      <c r="AO5178" s="152"/>
      <c r="AP5178" s="152"/>
      <c r="AQ5178" s="152"/>
      <c r="AR5178" s="152"/>
      <c r="AS5178" s="152"/>
      <c r="AT5178" s="152"/>
      <c r="AU5178" s="226"/>
      <c r="AV5178" s="226"/>
      <c r="AW5178" s="226"/>
      <c r="AX5178" s="226"/>
      <c r="AY5178" s="226"/>
      <c r="AZ5178" s="152"/>
      <c r="BA5178" s="152"/>
      <c r="BB5178" s="152"/>
      <c r="BC5178" s="152"/>
      <c r="BD5178" s="152"/>
      <c r="BE5178" s="152"/>
      <c r="BF5178" s="152"/>
      <c r="BG5178" s="152"/>
      <c r="BH5178" s="152"/>
      <c r="BI5178" s="153"/>
      <c r="BJ5178" s="153"/>
      <c r="BK5178" s="227"/>
      <c r="BL5178" s="153"/>
      <c r="BM5178" s="153"/>
      <c r="BN5178" s="153"/>
      <c r="BO5178" s="153"/>
      <c r="BP5178" s="153"/>
      <c r="BQ5178" s="153"/>
      <c r="BR5178" s="153"/>
      <c r="BS5178" s="153"/>
      <c r="BT5178" s="153"/>
      <c r="BU5178" s="153"/>
      <c r="BV5178" s="153"/>
      <c r="BW5178" s="153"/>
      <c r="BX5178" s="153"/>
      <c r="BY5178" s="153"/>
      <c r="BZ5178" s="153"/>
      <c r="CA5178" s="152"/>
      <c r="CB5178" s="152"/>
    </row>
    <row r="5179" spans="1:80" s="87" customFormat="1" x14ac:dyDescent="0.2">
      <c r="A5179" s="257"/>
      <c r="B5179" s="667"/>
      <c r="C5179" s="667"/>
      <c r="D5179" s="292"/>
      <c r="E5179" s="215"/>
      <c r="F5179" s="215"/>
      <c r="G5179" s="153"/>
      <c r="H5179" s="257"/>
      <c r="I5179" s="257"/>
      <c r="J5179" s="257"/>
      <c r="K5179" s="257"/>
      <c r="L5179" s="667"/>
      <c r="M5179" s="670">
        <v>31906</v>
      </c>
      <c r="N5179" s="602">
        <f>0.0283168466*101</f>
        <v>2.8600015066000002</v>
      </c>
      <c r="O5179" s="604">
        <f t="shared" si="21"/>
        <v>1.0142829404400001E-4</v>
      </c>
      <c r="P5179" s="150"/>
      <c r="Q5179" s="231"/>
      <c r="R5179" s="231"/>
      <c r="S5179" s="231"/>
      <c r="T5179" s="231">
        <v>1.469975276E-5</v>
      </c>
      <c r="U5179" s="231">
        <v>8.6728541284000003E-5</v>
      </c>
      <c r="V5179" s="231">
        <v>1.5182744636400001E-4</v>
      </c>
      <c r="W5179" s="231">
        <v>1.1570805386800001E-4</v>
      </c>
      <c r="X5179" s="231">
        <v>5.7854026934000005E-5</v>
      </c>
      <c r="Y5179" s="231" t="s">
        <v>29</v>
      </c>
      <c r="Z5179" s="231"/>
      <c r="AA5179" s="150"/>
      <c r="AB5179" s="152"/>
      <c r="AC5179" s="271"/>
      <c r="AD5179" s="257"/>
      <c r="AE5179" s="272"/>
      <c r="AF5179" s="224"/>
      <c r="AG5179" s="153"/>
      <c r="AH5179" s="346"/>
      <c r="AI5179" s="153"/>
      <c r="AJ5179" s="480"/>
      <c r="AK5179" s="153"/>
      <c r="AL5179" s="152"/>
      <c r="AM5179" s="152"/>
      <c r="AN5179" s="152"/>
      <c r="AO5179" s="152"/>
      <c r="AP5179" s="152"/>
      <c r="AQ5179" s="152"/>
      <c r="AR5179" s="152"/>
      <c r="AS5179" s="152"/>
      <c r="AT5179" s="152"/>
      <c r="AU5179" s="226"/>
      <c r="AV5179" s="226"/>
      <c r="AW5179" s="226"/>
      <c r="AX5179" s="226"/>
      <c r="AY5179" s="226"/>
      <c r="AZ5179" s="152"/>
      <c r="BA5179" s="152"/>
      <c r="BB5179" s="152"/>
      <c r="BC5179" s="152"/>
      <c r="BD5179" s="152"/>
      <c r="BE5179" s="152"/>
      <c r="BF5179" s="152"/>
      <c r="BG5179" s="152"/>
      <c r="BH5179" s="152"/>
      <c r="BI5179" s="153"/>
      <c r="BJ5179" s="153"/>
      <c r="BK5179" s="227"/>
      <c r="BL5179" s="153"/>
      <c r="BM5179" s="153"/>
      <c r="BN5179" s="153"/>
      <c r="BO5179" s="153"/>
      <c r="BP5179" s="153"/>
      <c r="BQ5179" s="153"/>
      <c r="BR5179" s="153"/>
      <c r="BS5179" s="153"/>
      <c r="BT5179" s="153"/>
      <c r="BU5179" s="153"/>
      <c r="BV5179" s="153"/>
      <c r="BW5179" s="153"/>
      <c r="BX5179" s="153"/>
      <c r="BY5179" s="153"/>
      <c r="BZ5179" s="153"/>
      <c r="CA5179" s="152"/>
      <c r="CB5179" s="152"/>
    </row>
    <row r="5180" spans="1:80" s="87" customFormat="1" x14ac:dyDescent="0.2">
      <c r="A5180" s="257"/>
      <c r="B5180" s="667"/>
      <c r="C5180" s="667"/>
      <c r="D5180" s="292"/>
      <c r="E5180" s="215"/>
      <c r="F5180" s="215"/>
      <c r="G5180" s="153"/>
      <c r="H5180" s="257"/>
      <c r="I5180" s="257"/>
      <c r="J5180" s="257"/>
      <c r="K5180" s="257"/>
      <c r="L5180" s="667"/>
      <c r="M5180" s="670">
        <v>31906</v>
      </c>
      <c r="N5180" s="602">
        <f>0.0283168466*95</f>
        <v>2.690100427</v>
      </c>
      <c r="O5180" s="604">
        <f t="shared" si="21"/>
        <v>2.0611153334199999E-4</v>
      </c>
      <c r="P5180" s="150"/>
      <c r="Q5180" s="231"/>
      <c r="R5180" s="231"/>
      <c r="S5180" s="231"/>
      <c r="T5180" s="231">
        <v>1.259978808E-4</v>
      </c>
      <c r="U5180" s="231">
        <v>8.0113652541999992E-5</v>
      </c>
      <c r="V5180" s="231">
        <v>1.00063317002E-4</v>
      </c>
      <c r="W5180" s="231">
        <v>7.4968739076000003E-5</v>
      </c>
      <c r="X5180" s="231">
        <v>4.9244171746000002E-5</v>
      </c>
      <c r="Y5180" s="231" t="s">
        <v>29</v>
      </c>
      <c r="Z5180" s="231"/>
      <c r="AA5180" s="150"/>
      <c r="AB5180" s="152"/>
      <c r="AC5180" s="271"/>
      <c r="AD5180" s="257"/>
      <c r="AE5180" s="272"/>
      <c r="AF5180" s="224"/>
      <c r="AG5180" s="153"/>
      <c r="AH5180" s="346"/>
      <c r="AI5180" s="153"/>
      <c r="AJ5180" s="480"/>
      <c r="AK5180" s="153"/>
      <c r="AL5180" s="152"/>
      <c r="AM5180" s="152"/>
      <c r="AN5180" s="152"/>
      <c r="AO5180" s="152"/>
      <c r="AP5180" s="152"/>
      <c r="AQ5180" s="152"/>
      <c r="AR5180" s="152"/>
      <c r="AS5180" s="152"/>
      <c r="AT5180" s="152"/>
      <c r="AU5180" s="226"/>
      <c r="AV5180" s="226"/>
      <c r="AW5180" s="226"/>
      <c r="AX5180" s="226"/>
      <c r="AY5180" s="226"/>
      <c r="AZ5180" s="152"/>
      <c r="BA5180" s="152"/>
      <c r="BB5180" s="152"/>
      <c r="BC5180" s="152"/>
      <c r="BD5180" s="152"/>
      <c r="BE5180" s="152"/>
      <c r="BF5180" s="152"/>
      <c r="BG5180" s="152"/>
      <c r="BH5180" s="152"/>
      <c r="BI5180" s="153"/>
      <c r="BJ5180" s="153"/>
      <c r="BK5180" s="227"/>
      <c r="BL5180" s="153"/>
      <c r="BM5180" s="153"/>
      <c r="BN5180" s="153"/>
      <c r="BO5180" s="153"/>
      <c r="BP5180" s="153"/>
      <c r="BQ5180" s="153"/>
      <c r="BR5180" s="153"/>
      <c r="BS5180" s="153"/>
      <c r="BT5180" s="153"/>
      <c r="BU5180" s="153"/>
      <c r="BV5180" s="153"/>
      <c r="BW5180" s="153"/>
      <c r="BX5180" s="153"/>
      <c r="BY5180" s="153"/>
      <c r="BZ5180" s="153"/>
      <c r="CA5180" s="152"/>
      <c r="CB5180" s="152"/>
    </row>
    <row r="5181" spans="1:80" s="87" customFormat="1" x14ac:dyDescent="0.2">
      <c r="A5181" s="257"/>
      <c r="B5181" s="667"/>
      <c r="C5181" s="667"/>
      <c r="D5181" s="292"/>
      <c r="E5181" s="215"/>
      <c r="F5181" s="215"/>
      <c r="G5181" s="153"/>
      <c r="H5181" s="257"/>
      <c r="I5181" s="257"/>
      <c r="J5181" s="257"/>
      <c r="K5181" s="257"/>
      <c r="L5181" s="667"/>
      <c r="M5181" s="670">
        <v>31906</v>
      </c>
      <c r="N5181" s="602">
        <f>0.0283168466*126</f>
        <v>3.5679226715999999</v>
      </c>
      <c r="O5181" s="604">
        <f t="shared" si="21"/>
        <v>3.2150459250800004E-4</v>
      </c>
      <c r="P5181" s="150"/>
      <c r="Q5181" s="231"/>
      <c r="R5181" s="231"/>
      <c r="S5181" s="231"/>
      <c r="T5181" s="231">
        <v>2.2049629140000001E-4</v>
      </c>
      <c r="U5181" s="231">
        <v>1.01008301108E-4</v>
      </c>
      <c r="V5181" s="231">
        <v>1.22742935546E-4</v>
      </c>
      <c r="W5181" s="231">
        <v>1.6600220795400002E-4</v>
      </c>
      <c r="X5181" s="231">
        <v>1.5161744989600001E-4</v>
      </c>
      <c r="Y5181" s="231" t="s">
        <v>29</v>
      </c>
      <c r="Z5181" s="231"/>
      <c r="AA5181" s="150"/>
      <c r="AB5181" s="152"/>
      <c r="AC5181" s="271"/>
      <c r="AD5181" s="257"/>
      <c r="AE5181" s="272"/>
      <c r="AF5181" s="224"/>
      <c r="AG5181" s="153"/>
      <c r="AH5181" s="346"/>
      <c r="AI5181" s="153"/>
      <c r="AJ5181" s="480"/>
      <c r="AK5181" s="153"/>
      <c r="AL5181" s="152"/>
      <c r="AM5181" s="152"/>
      <c r="AN5181" s="152"/>
      <c r="AO5181" s="152"/>
      <c r="AP5181" s="152"/>
      <c r="AQ5181" s="152"/>
      <c r="AR5181" s="152"/>
      <c r="AS5181" s="152"/>
      <c r="AT5181" s="152"/>
      <c r="AU5181" s="226"/>
      <c r="AV5181" s="226"/>
      <c r="AW5181" s="226"/>
      <c r="AX5181" s="226"/>
      <c r="AY5181" s="226"/>
      <c r="AZ5181" s="152"/>
      <c r="BA5181" s="152"/>
      <c r="BB5181" s="152"/>
      <c r="BC5181" s="152"/>
      <c r="BD5181" s="152"/>
      <c r="BE5181" s="152"/>
      <c r="BF5181" s="152"/>
      <c r="BG5181" s="152"/>
      <c r="BH5181" s="152"/>
      <c r="BI5181" s="153"/>
      <c r="BJ5181" s="153"/>
      <c r="BK5181" s="227"/>
      <c r="BL5181" s="153"/>
      <c r="BM5181" s="153"/>
      <c r="BN5181" s="153"/>
      <c r="BO5181" s="153"/>
      <c r="BP5181" s="153"/>
      <c r="BQ5181" s="153"/>
      <c r="BR5181" s="153"/>
      <c r="BS5181" s="153"/>
      <c r="BT5181" s="153"/>
      <c r="BU5181" s="153"/>
      <c r="BV5181" s="153"/>
      <c r="BW5181" s="153"/>
      <c r="BX5181" s="153"/>
      <c r="BY5181" s="153"/>
      <c r="BZ5181" s="153"/>
      <c r="CA5181" s="152"/>
      <c r="CB5181" s="152"/>
    </row>
    <row r="5182" spans="1:80" s="87" customFormat="1" x14ac:dyDescent="0.2">
      <c r="A5182" s="257"/>
      <c r="B5182" s="667"/>
      <c r="C5182" s="667"/>
      <c r="D5182" s="292"/>
      <c r="E5182" s="215"/>
      <c r="F5182" s="215"/>
      <c r="G5182" s="153"/>
      <c r="H5182" s="257"/>
      <c r="I5182" s="257"/>
      <c r="J5182" s="257"/>
      <c r="K5182" s="257"/>
      <c r="L5182" s="667"/>
      <c r="M5182" s="670">
        <v>31906</v>
      </c>
      <c r="N5182" s="602">
        <f>0.0283168466*124</f>
        <v>3.5112889784000001</v>
      </c>
      <c r="O5182" s="604">
        <f t="shared" si="21"/>
        <v>1.4419407475220001E-3</v>
      </c>
      <c r="P5182" s="150"/>
      <c r="Q5182" s="231"/>
      <c r="R5182" s="231">
        <v>1.0132329581000001E-3</v>
      </c>
      <c r="S5182" s="231">
        <v>8.39985872E-5</v>
      </c>
      <c r="T5182" s="231">
        <v>2.0159660928E-4</v>
      </c>
      <c r="U5182" s="231">
        <v>1.4311259294200001E-4</v>
      </c>
      <c r="V5182" s="231">
        <v>1.40907630028E-4</v>
      </c>
      <c r="W5182" s="231">
        <v>1.4017264239000001E-4</v>
      </c>
      <c r="X5182" s="231">
        <v>9.2188449451999997E-5</v>
      </c>
      <c r="Y5182" s="231" t="s">
        <v>29</v>
      </c>
      <c r="Z5182" s="231"/>
      <c r="AA5182" s="150"/>
      <c r="AB5182" s="152"/>
      <c r="AC5182" s="271"/>
      <c r="AD5182" s="257"/>
      <c r="AE5182" s="272"/>
      <c r="AF5182" s="224"/>
      <c r="AG5182" s="153"/>
      <c r="AH5182" s="346"/>
      <c r="AI5182" s="153"/>
      <c r="AJ5182" s="480"/>
      <c r="AK5182" s="153"/>
      <c r="AL5182" s="152"/>
      <c r="AM5182" s="152"/>
      <c r="AN5182" s="152"/>
      <c r="AO5182" s="152"/>
      <c r="AP5182" s="152"/>
      <c r="AQ5182" s="152"/>
      <c r="AR5182" s="152"/>
      <c r="AS5182" s="152"/>
      <c r="AT5182" s="152"/>
      <c r="AU5182" s="226"/>
      <c r="AV5182" s="226"/>
      <c r="AW5182" s="226"/>
      <c r="AX5182" s="226"/>
      <c r="AY5182" s="226"/>
      <c r="AZ5182" s="152"/>
      <c r="BA5182" s="152"/>
      <c r="BB5182" s="152"/>
      <c r="BC5182" s="152"/>
      <c r="BD5182" s="152"/>
      <c r="BE5182" s="152"/>
      <c r="BF5182" s="152"/>
      <c r="BG5182" s="152"/>
      <c r="BH5182" s="152"/>
      <c r="BI5182" s="153"/>
      <c r="BJ5182" s="153"/>
      <c r="BK5182" s="227"/>
      <c r="BL5182" s="153"/>
      <c r="BM5182" s="153"/>
      <c r="BN5182" s="153"/>
      <c r="BO5182" s="153"/>
      <c r="BP5182" s="153"/>
      <c r="BQ5182" s="153"/>
      <c r="BR5182" s="153"/>
      <c r="BS5182" s="153"/>
      <c r="BT5182" s="153"/>
      <c r="BU5182" s="153"/>
      <c r="BV5182" s="153"/>
      <c r="BW5182" s="153"/>
      <c r="BX5182" s="153"/>
      <c r="BY5182" s="153"/>
      <c r="BZ5182" s="153"/>
      <c r="CA5182" s="152"/>
      <c r="CB5182" s="152"/>
    </row>
    <row r="5183" spans="1:80" s="87" customFormat="1" x14ac:dyDescent="0.2">
      <c r="A5183" s="257"/>
      <c r="B5183" s="667"/>
      <c r="C5183" s="667"/>
      <c r="D5183" s="292"/>
      <c r="E5183" s="215"/>
      <c r="F5183" s="215"/>
      <c r="G5183" s="153"/>
      <c r="H5183" s="257"/>
      <c r="I5183" s="257"/>
      <c r="J5183" s="257"/>
      <c r="K5183" s="257"/>
      <c r="L5183" s="667"/>
      <c r="M5183" s="670">
        <v>31907</v>
      </c>
      <c r="N5183" s="602">
        <f>0.0283168466*111</f>
        <v>3.1431699726</v>
      </c>
      <c r="O5183" s="604">
        <f t="shared" si="21"/>
        <v>5.5544065786000002E-5</v>
      </c>
      <c r="P5183" s="150"/>
      <c r="Q5183" s="231"/>
      <c r="R5183" s="231"/>
      <c r="S5183" s="231"/>
      <c r="T5183" s="231">
        <v>2.62495585E-5</v>
      </c>
      <c r="U5183" s="231">
        <v>2.9294507286000002E-5</v>
      </c>
      <c r="V5183" s="231">
        <v>5.6279053424E-5</v>
      </c>
      <c r="W5183" s="231">
        <v>8.798852009200001E-5</v>
      </c>
      <c r="X5183" s="231">
        <v>6.9088837972000003E-5</v>
      </c>
      <c r="Y5183" s="231" t="s">
        <v>29</v>
      </c>
      <c r="Z5183" s="231"/>
      <c r="AA5183" s="150"/>
      <c r="AB5183" s="152"/>
      <c r="AC5183" s="271"/>
      <c r="AD5183" s="257"/>
      <c r="AE5183" s="272"/>
      <c r="AF5183" s="224"/>
      <c r="AG5183" s="153"/>
      <c r="AH5183" s="346"/>
      <c r="AI5183" s="153"/>
      <c r="AJ5183" s="480"/>
      <c r="AK5183" s="153"/>
      <c r="AL5183" s="152"/>
      <c r="AM5183" s="152"/>
      <c r="AN5183" s="152"/>
      <c r="AO5183" s="152"/>
      <c r="AP5183" s="152"/>
      <c r="AQ5183" s="152"/>
      <c r="AR5183" s="152"/>
      <c r="AS5183" s="152"/>
      <c r="AT5183" s="152"/>
      <c r="AU5183" s="226"/>
      <c r="AV5183" s="226"/>
      <c r="AW5183" s="226"/>
      <c r="AX5183" s="226"/>
      <c r="AY5183" s="226"/>
      <c r="AZ5183" s="152"/>
      <c r="BA5183" s="152"/>
      <c r="BB5183" s="152"/>
      <c r="BC5183" s="152"/>
      <c r="BD5183" s="152"/>
      <c r="BE5183" s="152"/>
      <c r="BF5183" s="152"/>
      <c r="BG5183" s="152"/>
      <c r="BH5183" s="152"/>
      <c r="BI5183" s="153"/>
      <c r="BJ5183" s="153"/>
      <c r="BK5183" s="227"/>
      <c r="BL5183" s="153"/>
      <c r="BM5183" s="153"/>
      <c r="BN5183" s="153"/>
      <c r="BO5183" s="153"/>
      <c r="BP5183" s="153"/>
      <c r="BQ5183" s="153"/>
      <c r="BR5183" s="153"/>
      <c r="BS5183" s="153"/>
      <c r="BT5183" s="153"/>
      <c r="BU5183" s="153"/>
      <c r="BV5183" s="153"/>
      <c r="BW5183" s="153"/>
      <c r="BX5183" s="153"/>
      <c r="BY5183" s="153"/>
      <c r="BZ5183" s="153"/>
      <c r="CA5183" s="152"/>
      <c r="CB5183" s="152"/>
    </row>
    <row r="5184" spans="1:80" s="87" customFormat="1" x14ac:dyDescent="0.2">
      <c r="A5184" s="257"/>
      <c r="B5184" s="667"/>
      <c r="C5184" s="667"/>
      <c r="D5184" s="292"/>
      <c r="E5184" s="215"/>
      <c r="F5184" s="215"/>
      <c r="G5184" s="153"/>
      <c r="H5184" s="257"/>
      <c r="I5184" s="257"/>
      <c r="J5184" s="257"/>
      <c r="K5184" s="257"/>
      <c r="L5184" s="667"/>
      <c r="M5184" s="670">
        <v>31907</v>
      </c>
      <c r="N5184" s="602">
        <f>0.0283168466*105</f>
        <v>2.9732688930000002</v>
      </c>
      <c r="O5184" s="604">
        <f t="shared" si="21"/>
        <v>1.6438523515039999E-3</v>
      </c>
      <c r="P5184" s="150"/>
      <c r="Q5184" s="231"/>
      <c r="R5184" s="231">
        <v>1.39542652986E-3</v>
      </c>
      <c r="S5184" s="231">
        <v>8.294860486000001E-5</v>
      </c>
      <c r="T5184" s="231">
        <v>7.559872848E-5</v>
      </c>
      <c r="U5184" s="231">
        <v>8.9878488304E-5</v>
      </c>
      <c r="V5184" s="231">
        <v>9.6808371748000017E-5</v>
      </c>
      <c r="W5184" s="231">
        <v>8.2843606625999995E-5</v>
      </c>
      <c r="X5184" s="231">
        <v>4.1579300664E-5</v>
      </c>
      <c r="Y5184" s="231" t="s">
        <v>29</v>
      </c>
      <c r="Z5184" s="231"/>
      <c r="AA5184" s="150"/>
      <c r="AB5184" s="152"/>
      <c r="AC5184" s="271"/>
      <c r="AD5184" s="257"/>
      <c r="AE5184" s="272"/>
      <c r="AF5184" s="224"/>
      <c r="AG5184" s="153"/>
      <c r="AH5184" s="346"/>
      <c r="AI5184" s="153"/>
      <c r="AJ5184" s="480"/>
      <c r="AK5184" s="153"/>
      <c r="AL5184" s="152"/>
      <c r="AM5184" s="152"/>
      <c r="AN5184" s="152"/>
      <c r="AO5184" s="152"/>
      <c r="AP5184" s="152"/>
      <c r="AQ5184" s="152"/>
      <c r="AR5184" s="152"/>
      <c r="AS5184" s="152"/>
      <c r="AT5184" s="152"/>
      <c r="AU5184" s="226"/>
      <c r="AV5184" s="226"/>
      <c r="AW5184" s="226"/>
      <c r="AX5184" s="226"/>
      <c r="AY5184" s="226"/>
      <c r="AZ5184" s="152"/>
      <c r="BA5184" s="152"/>
      <c r="BB5184" s="152"/>
      <c r="BC5184" s="152"/>
      <c r="BD5184" s="152"/>
      <c r="BE5184" s="152"/>
      <c r="BF5184" s="152"/>
      <c r="BG5184" s="152"/>
      <c r="BH5184" s="152"/>
      <c r="BI5184" s="153"/>
      <c r="BJ5184" s="153"/>
      <c r="BK5184" s="227"/>
      <c r="BL5184" s="153"/>
      <c r="BM5184" s="153"/>
      <c r="BN5184" s="153"/>
      <c r="BO5184" s="153"/>
      <c r="BP5184" s="153"/>
      <c r="BQ5184" s="153"/>
      <c r="BR5184" s="153"/>
      <c r="BS5184" s="153"/>
      <c r="BT5184" s="153"/>
      <c r="BU5184" s="153"/>
      <c r="BV5184" s="153"/>
      <c r="BW5184" s="153"/>
      <c r="BX5184" s="153"/>
      <c r="BY5184" s="153"/>
      <c r="BZ5184" s="153"/>
      <c r="CA5184" s="152"/>
      <c r="CB5184" s="152"/>
    </row>
    <row r="5185" spans="1:80" s="87" customFormat="1" x14ac:dyDescent="0.2">
      <c r="A5185" s="257"/>
      <c r="B5185" s="667"/>
      <c r="C5185" s="667"/>
      <c r="D5185" s="292"/>
      <c r="E5185" s="215"/>
      <c r="F5185" s="215"/>
      <c r="G5185" s="153"/>
      <c r="H5185" s="257"/>
      <c r="I5185" s="257"/>
      <c r="J5185" s="257"/>
      <c r="K5185" s="257"/>
      <c r="L5185" s="667"/>
      <c r="M5185" s="670">
        <v>31916</v>
      </c>
      <c r="N5185" s="602">
        <f>0.0283168466*151</f>
        <v>4.2758438366</v>
      </c>
      <c r="O5185" s="604">
        <f t="shared" si="21"/>
        <v>2.5648968601520001E-3</v>
      </c>
      <c r="P5185" s="150"/>
      <c r="Q5185" s="231"/>
      <c r="R5185" s="231">
        <v>4.1054309494000006E-4</v>
      </c>
      <c r="S5185" s="231">
        <v>9.533839647200001E-4</v>
      </c>
      <c r="T5185" s="231">
        <v>6.4783910377999999E-4</v>
      </c>
      <c r="U5185" s="231">
        <v>5.5313069671200003E-4</v>
      </c>
      <c r="V5185" s="231">
        <v>3.59723949684E-4</v>
      </c>
      <c r="W5185" s="231">
        <v>1.9697668698400001E-4</v>
      </c>
      <c r="X5185" s="231">
        <v>8.4733574838000012E-5</v>
      </c>
      <c r="Y5185" s="231" t="s">
        <v>29</v>
      </c>
      <c r="Z5185" s="231"/>
      <c r="AA5185" s="150"/>
      <c r="AB5185" s="152"/>
      <c r="AC5185" s="271"/>
      <c r="AD5185" s="257"/>
      <c r="AE5185" s="272"/>
      <c r="AF5185" s="224"/>
      <c r="AG5185" s="153"/>
      <c r="AH5185" s="346"/>
      <c r="AI5185" s="153"/>
      <c r="AJ5185" s="480"/>
      <c r="AK5185" s="153"/>
      <c r="AL5185" s="152"/>
      <c r="AM5185" s="152"/>
      <c r="AN5185" s="152"/>
      <c r="AO5185" s="152"/>
      <c r="AP5185" s="152"/>
      <c r="AQ5185" s="152"/>
      <c r="AR5185" s="152"/>
      <c r="AS5185" s="152"/>
      <c r="AT5185" s="152"/>
      <c r="AU5185" s="226"/>
      <c r="AV5185" s="226"/>
      <c r="AW5185" s="226"/>
      <c r="AX5185" s="226"/>
      <c r="AY5185" s="226"/>
      <c r="AZ5185" s="152"/>
      <c r="BA5185" s="152"/>
      <c r="BB5185" s="152"/>
      <c r="BC5185" s="152"/>
      <c r="BD5185" s="152"/>
      <c r="BE5185" s="152"/>
      <c r="BF5185" s="152"/>
      <c r="BG5185" s="152"/>
      <c r="BH5185" s="152"/>
      <c r="BI5185" s="153"/>
      <c r="BJ5185" s="153"/>
      <c r="BK5185" s="227"/>
      <c r="BL5185" s="153"/>
      <c r="BM5185" s="153"/>
      <c r="BN5185" s="153"/>
      <c r="BO5185" s="153"/>
      <c r="BP5185" s="153"/>
      <c r="BQ5185" s="153"/>
      <c r="BR5185" s="153"/>
      <c r="BS5185" s="153"/>
      <c r="BT5185" s="153"/>
      <c r="BU5185" s="153"/>
      <c r="BV5185" s="153"/>
      <c r="BW5185" s="153"/>
      <c r="BX5185" s="153"/>
      <c r="BY5185" s="153"/>
      <c r="BZ5185" s="153"/>
      <c r="CA5185" s="152"/>
      <c r="CB5185" s="152"/>
    </row>
    <row r="5186" spans="1:80" s="87" customFormat="1" x14ac:dyDescent="0.2">
      <c r="A5186" s="257"/>
      <c r="B5186" s="667"/>
      <c r="C5186" s="667"/>
      <c r="D5186" s="292"/>
      <c r="E5186" s="215"/>
      <c r="F5186" s="215"/>
      <c r="G5186" s="153"/>
      <c r="H5186" s="257"/>
      <c r="I5186" s="257"/>
      <c r="J5186" s="257"/>
      <c r="K5186" s="257"/>
      <c r="L5186" s="667"/>
      <c r="M5186" s="670">
        <v>31925</v>
      </c>
      <c r="N5186" s="602">
        <f>0.0283168466*65</f>
        <v>1.8405950290000002</v>
      </c>
      <c r="O5186" s="604">
        <f t="shared" ref="O5186:O5208" si="22">SUM(P5186:U5186)</f>
        <v>1.0919816336E-5</v>
      </c>
      <c r="P5186" s="150"/>
      <c r="Q5186" s="231"/>
      <c r="R5186" s="231"/>
      <c r="S5186" s="231"/>
      <c r="T5186" s="231"/>
      <c r="U5186" s="231">
        <v>1.0919816336E-5</v>
      </c>
      <c r="V5186" s="231">
        <v>2.3099611480000003E-5</v>
      </c>
      <c r="W5186" s="231">
        <v>1.154980574E-6</v>
      </c>
      <c r="X5186" s="231">
        <v>3.2234457837999998E-5</v>
      </c>
      <c r="Y5186" s="231" t="s">
        <v>29</v>
      </c>
      <c r="Z5186" s="231"/>
      <c r="AA5186" s="150"/>
      <c r="AB5186" s="152"/>
      <c r="AC5186" s="271"/>
      <c r="AD5186" s="257"/>
      <c r="AE5186" s="272"/>
      <c r="AF5186" s="224"/>
      <c r="AG5186" s="153"/>
      <c r="AH5186" s="346"/>
      <c r="AI5186" s="153"/>
      <c r="AJ5186" s="480"/>
      <c r="AK5186" s="153"/>
      <c r="AL5186" s="152"/>
      <c r="AM5186" s="152"/>
      <c r="AN5186" s="152"/>
      <c r="AO5186" s="152"/>
      <c r="AP5186" s="152"/>
      <c r="AQ5186" s="152"/>
      <c r="AR5186" s="152"/>
      <c r="AS5186" s="152"/>
      <c r="AT5186" s="152"/>
      <c r="AU5186" s="226"/>
      <c r="AV5186" s="226"/>
      <c r="AW5186" s="226"/>
      <c r="AX5186" s="226"/>
      <c r="AY5186" s="226"/>
      <c r="AZ5186" s="152"/>
      <c r="BA5186" s="152"/>
      <c r="BB5186" s="152"/>
      <c r="BC5186" s="152"/>
      <c r="BD5186" s="152"/>
      <c r="BE5186" s="152"/>
      <c r="BF5186" s="152"/>
      <c r="BG5186" s="152"/>
      <c r="BH5186" s="152"/>
      <c r="BI5186" s="153"/>
      <c r="BJ5186" s="153"/>
      <c r="BK5186" s="227"/>
      <c r="BL5186" s="153"/>
      <c r="BM5186" s="153"/>
      <c r="BN5186" s="153"/>
      <c r="BO5186" s="153"/>
      <c r="BP5186" s="153"/>
      <c r="BQ5186" s="153"/>
      <c r="BR5186" s="153"/>
      <c r="BS5186" s="153"/>
      <c r="BT5186" s="153"/>
      <c r="BU5186" s="153"/>
      <c r="BV5186" s="153"/>
      <c r="BW5186" s="153"/>
      <c r="BX5186" s="153"/>
      <c r="BY5186" s="153"/>
      <c r="BZ5186" s="153"/>
      <c r="CA5186" s="152"/>
      <c r="CB5186" s="152"/>
    </row>
    <row r="5187" spans="1:80" s="87" customFormat="1" x14ac:dyDescent="0.2">
      <c r="A5187" s="257"/>
      <c r="B5187" s="667"/>
      <c r="C5187" s="667"/>
      <c r="D5187" s="292"/>
      <c r="E5187" s="215"/>
      <c r="F5187" s="215"/>
      <c r="G5187" s="153"/>
      <c r="H5187" s="257"/>
      <c r="I5187" s="257"/>
      <c r="J5187" s="257"/>
      <c r="K5187" s="257"/>
      <c r="L5187" s="667"/>
      <c r="M5187" s="670">
        <v>31938</v>
      </c>
      <c r="N5187" s="602">
        <f>0.0283168466*57</f>
        <v>1.6140602562000002</v>
      </c>
      <c r="O5187" s="604">
        <f t="shared" si="22"/>
        <v>1.7849699780000002E-6</v>
      </c>
      <c r="P5187" s="150"/>
      <c r="Q5187" s="231"/>
      <c r="R5187" s="231"/>
      <c r="S5187" s="231"/>
      <c r="T5187" s="231"/>
      <c r="U5187" s="231">
        <v>1.7849699780000002E-6</v>
      </c>
      <c r="V5187" s="231">
        <v>4.304927594E-6</v>
      </c>
      <c r="W5187" s="231">
        <v>5.3549099340000009E-6</v>
      </c>
      <c r="X5187" s="231">
        <v>6.089897572E-6</v>
      </c>
      <c r="Y5187" s="231" t="s">
        <v>29</v>
      </c>
      <c r="Z5187" s="231"/>
      <c r="AA5187" s="150"/>
      <c r="AB5187" s="152"/>
      <c r="AC5187" s="271"/>
      <c r="AD5187" s="257"/>
      <c r="AE5187" s="272"/>
      <c r="AF5187" s="224"/>
      <c r="AG5187" s="153"/>
      <c r="AH5187" s="346"/>
      <c r="AI5187" s="153"/>
      <c r="AJ5187" s="480"/>
      <c r="AK5187" s="153"/>
      <c r="AL5187" s="152"/>
      <c r="AM5187" s="152"/>
      <c r="AN5187" s="152"/>
      <c r="AO5187" s="152"/>
      <c r="AP5187" s="152"/>
      <c r="AQ5187" s="152"/>
      <c r="AR5187" s="152"/>
      <c r="AS5187" s="152"/>
      <c r="AT5187" s="152"/>
      <c r="AU5187" s="226"/>
      <c r="AV5187" s="226"/>
      <c r="AW5187" s="226"/>
      <c r="AX5187" s="226"/>
      <c r="AY5187" s="226"/>
      <c r="AZ5187" s="152"/>
      <c r="BA5187" s="152"/>
      <c r="BB5187" s="152"/>
      <c r="BC5187" s="152"/>
      <c r="BD5187" s="152"/>
      <c r="BE5187" s="152"/>
      <c r="BF5187" s="152"/>
      <c r="BG5187" s="152"/>
      <c r="BH5187" s="152"/>
      <c r="BI5187" s="153"/>
      <c r="BJ5187" s="153"/>
      <c r="BK5187" s="227"/>
      <c r="BL5187" s="153"/>
      <c r="BM5187" s="153"/>
      <c r="BN5187" s="153"/>
      <c r="BO5187" s="153"/>
      <c r="BP5187" s="153"/>
      <c r="BQ5187" s="153"/>
      <c r="BR5187" s="153"/>
      <c r="BS5187" s="153"/>
      <c r="BT5187" s="153"/>
      <c r="BU5187" s="153"/>
      <c r="BV5187" s="153"/>
      <c r="BW5187" s="153"/>
      <c r="BX5187" s="153"/>
      <c r="BY5187" s="153"/>
      <c r="BZ5187" s="153"/>
      <c r="CA5187" s="152"/>
      <c r="CB5187" s="152"/>
    </row>
    <row r="5188" spans="1:80" s="87" customFormat="1" x14ac:dyDescent="0.2">
      <c r="A5188" s="257"/>
      <c r="B5188" s="667"/>
      <c r="C5188" s="667"/>
      <c r="D5188" s="292"/>
      <c r="E5188" s="215"/>
      <c r="F5188" s="215"/>
      <c r="G5188" s="153"/>
      <c r="H5188" s="257"/>
      <c r="I5188" s="257"/>
      <c r="J5188" s="257"/>
      <c r="K5188" s="257"/>
      <c r="L5188" s="667"/>
      <c r="M5188" s="670">
        <v>32276</v>
      </c>
      <c r="N5188" s="602">
        <f>0.0283168466*32</f>
        <v>0.90613909120000002</v>
      </c>
      <c r="O5188" s="604">
        <f t="shared" si="22"/>
        <v>2.0002163577E-4</v>
      </c>
      <c r="P5188" s="150"/>
      <c r="Q5188" s="231"/>
      <c r="R5188" s="231"/>
      <c r="S5188" s="231"/>
      <c r="T5188" s="231"/>
      <c r="U5188" s="231">
        <v>2.0002163577E-4</v>
      </c>
      <c r="V5188" s="231">
        <v>5.4074090510000005E-5</v>
      </c>
      <c r="W5188" s="231">
        <v>4.19992936E-6</v>
      </c>
      <c r="X5188" s="231">
        <v>4.19992936E-6</v>
      </c>
      <c r="Y5188" s="231" t="s">
        <v>29</v>
      </c>
      <c r="Z5188" s="231"/>
      <c r="AA5188" s="150"/>
      <c r="AB5188" s="152"/>
      <c r="AC5188" s="271"/>
      <c r="AD5188" s="257"/>
      <c r="AE5188" s="272"/>
      <c r="AF5188" s="224"/>
      <c r="AG5188" s="153"/>
      <c r="AH5188" s="346"/>
      <c r="AI5188" s="153"/>
      <c r="AJ5188" s="480"/>
      <c r="AK5188" s="153"/>
      <c r="AL5188" s="152"/>
      <c r="AM5188" s="152"/>
      <c r="AN5188" s="152"/>
      <c r="AO5188" s="152"/>
      <c r="AP5188" s="152"/>
      <c r="AQ5188" s="152"/>
      <c r="AR5188" s="152"/>
      <c r="AS5188" s="152"/>
      <c r="AT5188" s="152"/>
      <c r="AU5188" s="226"/>
      <c r="AV5188" s="226"/>
      <c r="AW5188" s="226"/>
      <c r="AX5188" s="226"/>
      <c r="AY5188" s="226"/>
      <c r="AZ5188" s="152"/>
      <c r="BA5188" s="152"/>
      <c r="BB5188" s="152"/>
      <c r="BC5188" s="152"/>
      <c r="BD5188" s="152"/>
      <c r="BE5188" s="152"/>
      <c r="BF5188" s="152"/>
      <c r="BG5188" s="152"/>
      <c r="BH5188" s="152"/>
      <c r="BI5188" s="153"/>
      <c r="BJ5188" s="153"/>
      <c r="BK5188" s="227"/>
      <c r="BL5188" s="153"/>
      <c r="BM5188" s="153"/>
      <c r="BN5188" s="153"/>
      <c r="BO5188" s="153"/>
      <c r="BP5188" s="153"/>
      <c r="BQ5188" s="153"/>
      <c r="BR5188" s="153"/>
      <c r="BS5188" s="153"/>
      <c r="BT5188" s="153"/>
      <c r="BU5188" s="153"/>
      <c r="BV5188" s="153"/>
      <c r="BW5188" s="153"/>
      <c r="BX5188" s="153"/>
      <c r="BY5188" s="153"/>
      <c r="BZ5188" s="153"/>
      <c r="CA5188" s="152"/>
      <c r="CB5188" s="152"/>
    </row>
    <row r="5189" spans="1:80" s="87" customFormat="1" x14ac:dyDescent="0.2">
      <c r="A5189" s="257"/>
      <c r="B5189" s="667"/>
      <c r="C5189" s="667"/>
      <c r="D5189" s="292"/>
      <c r="E5189" s="215"/>
      <c r="F5189" s="215"/>
      <c r="G5189" s="153"/>
      <c r="H5189" s="257"/>
      <c r="I5189" s="257"/>
      <c r="J5189" s="257"/>
      <c r="K5189" s="257"/>
      <c r="L5189" s="667"/>
      <c r="M5189" s="670">
        <v>32280</v>
      </c>
      <c r="N5189" s="602">
        <f>0.0283168466*89</f>
        <v>2.5201993474000002</v>
      </c>
      <c r="O5189" s="604">
        <f t="shared" si="22"/>
        <v>1.2103146433180001E-3</v>
      </c>
      <c r="P5189" s="150"/>
      <c r="Q5189" s="231"/>
      <c r="R5189" s="231"/>
      <c r="S5189" s="231">
        <v>2.8664517882000002E-4</v>
      </c>
      <c r="T5189" s="231">
        <v>1.7954698014000002E-4</v>
      </c>
      <c r="U5189" s="231">
        <v>7.4412248435800005E-4</v>
      </c>
      <c r="V5189" s="231">
        <v>3.8954344814E-4</v>
      </c>
      <c r="W5189" s="231">
        <v>1.7272209493E-4</v>
      </c>
      <c r="X5189" s="231">
        <v>5.879901104E-5</v>
      </c>
      <c r="Y5189" s="231" t="s">
        <v>29</v>
      </c>
      <c r="Z5189" s="231"/>
      <c r="AA5189" s="150"/>
      <c r="AB5189" s="152"/>
      <c r="AC5189" s="271"/>
      <c r="AD5189" s="257"/>
      <c r="AE5189" s="272"/>
      <c r="AF5189" s="224"/>
      <c r="AG5189" s="153"/>
      <c r="AH5189" s="346"/>
      <c r="AI5189" s="153"/>
      <c r="AJ5189" s="480"/>
      <c r="AK5189" s="153"/>
      <c r="AL5189" s="152"/>
      <c r="AM5189" s="152"/>
      <c r="AN5189" s="152"/>
      <c r="AO5189" s="152"/>
      <c r="AP5189" s="152"/>
      <c r="AQ5189" s="152"/>
      <c r="AR5189" s="152"/>
      <c r="AS5189" s="152"/>
      <c r="AT5189" s="152"/>
      <c r="AU5189" s="226"/>
      <c r="AV5189" s="226"/>
      <c r="AW5189" s="226"/>
      <c r="AX5189" s="226"/>
      <c r="AY5189" s="226"/>
      <c r="AZ5189" s="152"/>
      <c r="BA5189" s="152"/>
      <c r="BB5189" s="152"/>
      <c r="BC5189" s="152"/>
      <c r="BD5189" s="152"/>
      <c r="BE5189" s="152"/>
      <c r="BF5189" s="152"/>
      <c r="BG5189" s="152"/>
      <c r="BH5189" s="152"/>
      <c r="BI5189" s="153"/>
      <c r="BJ5189" s="153"/>
      <c r="BK5189" s="227"/>
      <c r="BL5189" s="153"/>
      <c r="BM5189" s="153"/>
      <c r="BN5189" s="153"/>
      <c r="BO5189" s="153"/>
      <c r="BP5189" s="153"/>
      <c r="BQ5189" s="153"/>
      <c r="BR5189" s="153"/>
      <c r="BS5189" s="153"/>
      <c r="BT5189" s="153"/>
      <c r="BU5189" s="153"/>
      <c r="BV5189" s="153"/>
      <c r="BW5189" s="153"/>
      <c r="BX5189" s="153"/>
      <c r="BY5189" s="153"/>
      <c r="BZ5189" s="153"/>
      <c r="CA5189" s="152"/>
      <c r="CB5189" s="152"/>
    </row>
    <row r="5190" spans="1:80" s="87" customFormat="1" x14ac:dyDescent="0.2">
      <c r="A5190" s="257"/>
      <c r="B5190" s="667"/>
      <c r="C5190" s="667"/>
      <c r="D5190" s="292"/>
      <c r="E5190" s="215"/>
      <c r="F5190" s="215"/>
      <c r="G5190" s="153"/>
      <c r="H5190" s="257"/>
      <c r="I5190" s="257"/>
      <c r="J5190" s="257"/>
      <c r="K5190" s="257"/>
      <c r="L5190" s="667"/>
      <c r="M5190" s="670">
        <v>32288</v>
      </c>
      <c r="N5190" s="602">
        <f>0.0283168466*99</f>
        <v>2.8033678134</v>
      </c>
      <c r="O5190" s="604">
        <f t="shared" si="22"/>
        <v>6.7251368876999999E-3</v>
      </c>
      <c r="P5190" s="150"/>
      <c r="Q5190" s="231"/>
      <c r="R5190" s="231"/>
      <c r="S5190" s="231">
        <v>1.7870699426799999E-3</v>
      </c>
      <c r="T5190" s="231">
        <v>2.2816116248199998E-3</v>
      </c>
      <c r="U5190" s="231">
        <v>2.6564553202E-3</v>
      </c>
      <c r="V5190" s="231">
        <v>3.0669984151400005E-3</v>
      </c>
      <c r="W5190" s="231">
        <v>1.6663219735800002E-3</v>
      </c>
      <c r="X5190" s="231">
        <v>5.7959025168000003E-4</v>
      </c>
      <c r="Y5190" s="231" t="s">
        <v>29</v>
      </c>
      <c r="Z5190" s="231"/>
      <c r="AA5190" s="150"/>
      <c r="AB5190" s="152"/>
      <c r="AC5190" s="271"/>
      <c r="AD5190" s="257"/>
      <c r="AE5190" s="272"/>
      <c r="AF5190" s="224"/>
      <c r="AG5190" s="153"/>
      <c r="AH5190" s="346"/>
      <c r="AI5190" s="153"/>
      <c r="AJ5190" s="480"/>
      <c r="AK5190" s="153"/>
      <c r="AL5190" s="152"/>
      <c r="AM5190" s="152"/>
      <c r="AN5190" s="152"/>
      <c r="AO5190" s="152"/>
      <c r="AP5190" s="152"/>
      <c r="AQ5190" s="152"/>
      <c r="AR5190" s="152"/>
      <c r="AS5190" s="152"/>
      <c r="AT5190" s="152"/>
      <c r="AU5190" s="226"/>
      <c r="AV5190" s="226"/>
      <c r="AW5190" s="226"/>
      <c r="AX5190" s="226"/>
      <c r="AY5190" s="226"/>
      <c r="AZ5190" s="152"/>
      <c r="BA5190" s="152"/>
      <c r="BB5190" s="152"/>
      <c r="BC5190" s="152"/>
      <c r="BD5190" s="152"/>
      <c r="BE5190" s="152"/>
      <c r="BF5190" s="152"/>
      <c r="BG5190" s="152"/>
      <c r="BH5190" s="152"/>
      <c r="BI5190" s="153"/>
      <c r="BJ5190" s="153"/>
      <c r="BK5190" s="227"/>
      <c r="BL5190" s="153"/>
      <c r="BM5190" s="153"/>
      <c r="BN5190" s="153"/>
      <c r="BO5190" s="153"/>
      <c r="BP5190" s="153"/>
      <c r="BQ5190" s="153"/>
      <c r="BR5190" s="153"/>
      <c r="BS5190" s="153"/>
      <c r="BT5190" s="153"/>
      <c r="BU5190" s="153"/>
      <c r="BV5190" s="153"/>
      <c r="BW5190" s="153"/>
      <c r="BX5190" s="153"/>
      <c r="BY5190" s="153"/>
      <c r="BZ5190" s="153"/>
      <c r="CA5190" s="152"/>
      <c r="CB5190" s="152"/>
    </row>
    <row r="5191" spans="1:80" s="87" customFormat="1" x14ac:dyDescent="0.2">
      <c r="A5191" s="257"/>
      <c r="B5191" s="667"/>
      <c r="C5191" s="667"/>
      <c r="D5191" s="292"/>
      <c r="E5191" s="215"/>
      <c r="F5191" s="215"/>
      <c r="G5191" s="153"/>
      <c r="H5191" s="257"/>
      <c r="I5191" s="257"/>
      <c r="J5191" s="257"/>
      <c r="K5191" s="257"/>
      <c r="L5191" s="667"/>
      <c r="M5191" s="670">
        <v>32288</v>
      </c>
      <c r="N5191" s="602">
        <f>0.0283168466*99</f>
        <v>2.8033678134</v>
      </c>
      <c r="O5191" s="604">
        <f t="shared" si="22"/>
        <v>3.9579084306300008E-3</v>
      </c>
      <c r="P5191" s="150"/>
      <c r="Q5191" s="231"/>
      <c r="R5191" s="231"/>
      <c r="S5191" s="231">
        <v>1.9760667638800003E-3</v>
      </c>
      <c r="T5191" s="231">
        <v>1.0216328168200001E-3</v>
      </c>
      <c r="U5191" s="231">
        <v>9.6020884993000002E-4</v>
      </c>
      <c r="V5191" s="231">
        <v>1.164640411528E-3</v>
      </c>
      <c r="W5191" s="231">
        <v>7.7436197575E-4</v>
      </c>
      <c r="X5191" s="231">
        <v>2.7877031127000003E-4</v>
      </c>
      <c r="Y5191" s="231" t="s">
        <v>29</v>
      </c>
      <c r="Z5191" s="231"/>
      <c r="AA5191" s="150"/>
      <c r="AB5191" s="152"/>
      <c r="AC5191" s="271"/>
      <c r="AD5191" s="257"/>
      <c r="AE5191" s="272"/>
      <c r="AF5191" s="224"/>
      <c r="AG5191" s="153"/>
      <c r="AH5191" s="346"/>
      <c r="AI5191" s="153"/>
      <c r="AJ5191" s="480"/>
      <c r="AK5191" s="153"/>
      <c r="AL5191" s="152"/>
      <c r="AM5191" s="152"/>
      <c r="AN5191" s="152"/>
      <c r="AO5191" s="152"/>
      <c r="AP5191" s="152"/>
      <c r="AQ5191" s="152"/>
      <c r="AR5191" s="152"/>
      <c r="AS5191" s="152"/>
      <c r="AT5191" s="152"/>
      <c r="AU5191" s="226"/>
      <c r="AV5191" s="226"/>
      <c r="AW5191" s="226"/>
      <c r="AX5191" s="226"/>
      <c r="AY5191" s="226"/>
      <c r="AZ5191" s="152"/>
      <c r="BA5191" s="152"/>
      <c r="BB5191" s="152"/>
      <c r="BC5191" s="152"/>
      <c r="BD5191" s="152"/>
      <c r="BE5191" s="152"/>
      <c r="BF5191" s="152"/>
      <c r="BG5191" s="152"/>
      <c r="BH5191" s="152"/>
      <c r="BI5191" s="153"/>
      <c r="BJ5191" s="153"/>
      <c r="BK5191" s="227"/>
      <c r="BL5191" s="153"/>
      <c r="BM5191" s="153"/>
      <c r="BN5191" s="153"/>
      <c r="BO5191" s="153"/>
      <c r="BP5191" s="153"/>
      <c r="BQ5191" s="153"/>
      <c r="BR5191" s="153"/>
      <c r="BS5191" s="153"/>
      <c r="BT5191" s="153"/>
      <c r="BU5191" s="153"/>
      <c r="BV5191" s="153"/>
      <c r="BW5191" s="153"/>
      <c r="BX5191" s="153"/>
      <c r="BY5191" s="153"/>
      <c r="BZ5191" s="153"/>
      <c r="CA5191" s="152"/>
      <c r="CB5191" s="152"/>
    </row>
    <row r="5192" spans="1:80" s="87" customFormat="1" x14ac:dyDescent="0.2">
      <c r="A5192" s="257"/>
      <c r="B5192" s="667"/>
      <c r="C5192" s="667"/>
      <c r="D5192" s="292"/>
      <c r="E5192" s="215"/>
      <c r="F5192" s="215"/>
      <c r="G5192" s="153"/>
      <c r="H5192" s="257"/>
      <c r="I5192" s="257"/>
      <c r="J5192" s="257"/>
      <c r="K5192" s="257"/>
      <c r="L5192" s="667"/>
      <c r="M5192" s="670">
        <v>32291</v>
      </c>
      <c r="N5192" s="602">
        <f>0.0283168466*233</f>
        <v>6.5978252578000003</v>
      </c>
      <c r="O5192" s="604">
        <f t="shared" si="22"/>
        <v>2.2517921263639998E-3</v>
      </c>
      <c r="P5192" s="150"/>
      <c r="Q5192" s="231"/>
      <c r="R5192" s="231"/>
      <c r="S5192" s="231"/>
      <c r="T5192" s="231">
        <v>3.3704433113999996E-4</v>
      </c>
      <c r="U5192" s="231">
        <v>1.914747795224E-3</v>
      </c>
      <c r="V5192" s="231">
        <v>1.8932231572540001E-3</v>
      </c>
      <c r="W5192" s="231">
        <v>1.7426556896980002E-3</v>
      </c>
      <c r="X5192" s="231">
        <v>1.2335192530320001E-3</v>
      </c>
      <c r="Y5192" s="231" t="s">
        <v>29</v>
      </c>
      <c r="Z5192" s="231"/>
      <c r="AA5192" s="150"/>
      <c r="AB5192" s="152"/>
      <c r="AC5192" s="271"/>
      <c r="AD5192" s="257"/>
      <c r="AE5192" s="272"/>
      <c r="AF5192" s="224"/>
      <c r="AG5192" s="153"/>
      <c r="AH5192" s="346"/>
      <c r="AI5192" s="153"/>
      <c r="AJ5192" s="480"/>
      <c r="AK5192" s="153"/>
      <c r="AL5192" s="152"/>
      <c r="AM5192" s="152"/>
      <c r="AN5192" s="152"/>
      <c r="AO5192" s="152"/>
      <c r="AP5192" s="152"/>
      <c r="AQ5192" s="152"/>
      <c r="AR5192" s="152"/>
      <c r="AS5192" s="152"/>
      <c r="AT5192" s="152"/>
      <c r="AU5192" s="226"/>
      <c r="AV5192" s="226"/>
      <c r="AW5192" s="226"/>
      <c r="AX5192" s="226"/>
      <c r="AY5192" s="226"/>
      <c r="AZ5192" s="152"/>
      <c r="BA5192" s="152"/>
      <c r="BB5192" s="152"/>
      <c r="BC5192" s="152"/>
      <c r="BD5192" s="152"/>
      <c r="BE5192" s="152"/>
      <c r="BF5192" s="152"/>
      <c r="BG5192" s="152"/>
      <c r="BH5192" s="152"/>
      <c r="BI5192" s="153"/>
      <c r="BJ5192" s="153"/>
      <c r="BK5192" s="227"/>
      <c r="BL5192" s="153"/>
      <c r="BM5192" s="153"/>
      <c r="BN5192" s="153"/>
      <c r="BO5192" s="153"/>
      <c r="BP5192" s="153"/>
      <c r="BQ5192" s="153"/>
      <c r="BR5192" s="153"/>
      <c r="BS5192" s="153"/>
      <c r="BT5192" s="153"/>
      <c r="BU5192" s="153"/>
      <c r="BV5192" s="153"/>
      <c r="BW5192" s="153"/>
      <c r="BX5192" s="153"/>
      <c r="BY5192" s="153"/>
      <c r="BZ5192" s="153"/>
      <c r="CA5192" s="152"/>
      <c r="CB5192" s="152"/>
    </row>
    <row r="5193" spans="1:80" s="87" customFormat="1" x14ac:dyDescent="0.2">
      <c r="A5193" s="257"/>
      <c r="B5193" s="667"/>
      <c r="C5193" s="667"/>
      <c r="D5193" s="292"/>
      <c r="E5193" s="215"/>
      <c r="F5193" s="215"/>
      <c r="G5193" s="153"/>
      <c r="H5193" s="257"/>
      <c r="I5193" s="257"/>
      <c r="J5193" s="257"/>
      <c r="K5193" s="257"/>
      <c r="L5193" s="667"/>
      <c r="M5193" s="670">
        <v>32291</v>
      </c>
      <c r="N5193" s="603">
        <v>7.9287170480000002</v>
      </c>
      <c r="O5193" s="604">
        <f t="shared" si="22"/>
        <v>0.11466647138672001</v>
      </c>
      <c r="P5193" s="150"/>
      <c r="Q5193" s="231"/>
      <c r="R5193" s="231">
        <v>3.3414637988160002E-2</v>
      </c>
      <c r="S5193" s="231">
        <v>3.5984994756480003E-2</v>
      </c>
      <c r="T5193" s="231">
        <v>2.4846782093760001E-2</v>
      </c>
      <c r="U5193" s="231">
        <v>2.0420056548320003E-2</v>
      </c>
      <c r="V5193" s="231">
        <v>1.5850533404640002E-2</v>
      </c>
      <c r="W5193" s="231">
        <v>8.4250582961600002E-3</v>
      </c>
      <c r="X5193" s="231">
        <v>3.2843447595200005E-3</v>
      </c>
      <c r="Y5193" s="231" t="s">
        <v>29</v>
      </c>
      <c r="Z5193" s="220"/>
      <c r="AA5193" s="150"/>
      <c r="AB5193" s="152"/>
      <c r="AC5193" s="271"/>
      <c r="AD5193" s="257"/>
      <c r="AE5193" s="272"/>
      <c r="AF5193" s="224"/>
      <c r="AG5193" s="153"/>
      <c r="AH5193" s="346"/>
      <c r="AI5193" s="153"/>
      <c r="AJ5193" s="480"/>
      <c r="AK5193" s="153"/>
      <c r="AL5193" s="152"/>
      <c r="AM5193" s="152"/>
      <c r="AN5193" s="152"/>
      <c r="AO5193" s="152"/>
      <c r="AP5193" s="152"/>
      <c r="AQ5193" s="152"/>
      <c r="AR5193" s="152"/>
      <c r="AS5193" s="152"/>
      <c r="AT5193" s="152"/>
      <c r="AU5193" s="226"/>
      <c r="AV5193" s="226"/>
      <c r="AW5193" s="226"/>
      <c r="AX5193" s="226"/>
      <c r="AY5193" s="226"/>
      <c r="AZ5193" s="152"/>
      <c r="BA5193" s="152"/>
      <c r="BB5193" s="152"/>
      <c r="BC5193" s="152"/>
      <c r="BD5193" s="152"/>
      <c r="BE5193" s="152"/>
      <c r="BF5193" s="152"/>
      <c r="BG5193" s="152"/>
      <c r="BH5193" s="152"/>
      <c r="BI5193" s="153"/>
      <c r="BJ5193" s="153"/>
      <c r="BK5193" s="227"/>
      <c r="BL5193" s="153"/>
      <c r="BM5193" s="153"/>
      <c r="BN5193" s="153"/>
      <c r="BO5193" s="153"/>
      <c r="BP5193" s="153"/>
      <c r="BQ5193" s="153"/>
      <c r="BR5193" s="153"/>
      <c r="BS5193" s="153"/>
      <c r="BT5193" s="153"/>
      <c r="BU5193" s="153"/>
      <c r="BV5193" s="153"/>
      <c r="BW5193" s="153"/>
      <c r="BX5193" s="153"/>
      <c r="BY5193" s="153"/>
      <c r="BZ5193" s="153"/>
      <c r="CA5193" s="152"/>
      <c r="CB5193" s="152"/>
    </row>
    <row r="5194" spans="1:80" s="87" customFormat="1" x14ac:dyDescent="0.2">
      <c r="A5194" s="257"/>
      <c r="B5194" s="667"/>
      <c r="C5194" s="667"/>
      <c r="D5194" s="292"/>
      <c r="E5194" s="215"/>
      <c r="F5194" s="215"/>
      <c r="G5194" s="153"/>
      <c r="H5194" s="257"/>
      <c r="I5194" s="257"/>
      <c r="J5194" s="257"/>
      <c r="K5194" s="257"/>
      <c r="L5194" s="667"/>
      <c r="M5194" s="670">
        <v>32291</v>
      </c>
      <c r="N5194" s="603">
        <v>8.0419844343999998</v>
      </c>
      <c r="O5194" s="604">
        <f t="shared" si="22"/>
        <v>0.12492269888384001</v>
      </c>
      <c r="P5194" s="150"/>
      <c r="Q5194" s="231">
        <v>5.0299403997699998E-2</v>
      </c>
      <c r="R5194" s="231">
        <v>8.7085535279600012E-3</v>
      </c>
      <c r="S5194" s="231">
        <v>2.1471088870660002E-2</v>
      </c>
      <c r="T5194" s="231">
        <v>2.3573153515339999E-2</v>
      </c>
      <c r="U5194" s="231">
        <v>2.0870498972180001E-2</v>
      </c>
      <c r="V5194" s="231">
        <v>1.4264010088900001E-2</v>
      </c>
      <c r="W5194" s="231">
        <v>7.3572262563800003E-3</v>
      </c>
      <c r="X5194" s="231">
        <v>3.1530969670200003E-3</v>
      </c>
      <c r="Y5194" s="231" t="s">
        <v>29</v>
      </c>
      <c r="Z5194" s="220"/>
      <c r="AA5194" s="150"/>
      <c r="AB5194" s="152"/>
      <c r="AC5194" s="271"/>
      <c r="AD5194" s="257"/>
      <c r="AE5194" s="272"/>
      <c r="AF5194" s="224"/>
      <c r="AG5194" s="153"/>
      <c r="AH5194" s="346"/>
      <c r="AI5194" s="153"/>
      <c r="AJ5194" s="480"/>
      <c r="AK5194" s="153"/>
      <c r="AL5194" s="152"/>
      <c r="AM5194" s="152"/>
      <c r="AN5194" s="152"/>
      <c r="AO5194" s="152"/>
      <c r="AP5194" s="152"/>
      <c r="AQ5194" s="152"/>
      <c r="AR5194" s="152"/>
      <c r="AS5194" s="152"/>
      <c r="AT5194" s="152"/>
      <c r="AU5194" s="226"/>
      <c r="AV5194" s="226"/>
      <c r="AW5194" s="226"/>
      <c r="AX5194" s="226"/>
      <c r="AY5194" s="226"/>
      <c r="AZ5194" s="152"/>
      <c r="BA5194" s="152"/>
      <c r="BB5194" s="152"/>
      <c r="BC5194" s="152"/>
      <c r="BD5194" s="152"/>
      <c r="BE5194" s="152"/>
      <c r="BF5194" s="152"/>
      <c r="BG5194" s="152"/>
      <c r="BH5194" s="152"/>
      <c r="BI5194" s="153"/>
      <c r="BJ5194" s="153"/>
      <c r="BK5194" s="227"/>
      <c r="BL5194" s="153"/>
      <c r="BM5194" s="153"/>
      <c r="BN5194" s="153"/>
      <c r="BO5194" s="153"/>
      <c r="BP5194" s="153"/>
      <c r="BQ5194" s="153"/>
      <c r="BR5194" s="153"/>
      <c r="BS5194" s="153"/>
      <c r="BT5194" s="153"/>
      <c r="BU5194" s="153"/>
      <c r="BV5194" s="153"/>
      <c r="BW5194" s="153"/>
      <c r="BX5194" s="153"/>
      <c r="BY5194" s="153"/>
      <c r="BZ5194" s="153"/>
      <c r="CA5194" s="152"/>
      <c r="CB5194" s="152"/>
    </row>
    <row r="5195" spans="1:80" s="87" customFormat="1" x14ac:dyDescent="0.2">
      <c r="A5195" s="257"/>
      <c r="B5195" s="667"/>
      <c r="C5195" s="667"/>
      <c r="D5195" s="292"/>
      <c r="E5195" s="215"/>
      <c r="F5195" s="215"/>
      <c r="G5195" s="153"/>
      <c r="H5195" s="257"/>
      <c r="I5195" s="257"/>
      <c r="J5195" s="257"/>
      <c r="K5195" s="257"/>
      <c r="L5195" s="667"/>
      <c r="M5195" s="670">
        <v>32291</v>
      </c>
      <c r="N5195" s="603">
        <v>8.0419844343999998</v>
      </c>
      <c r="O5195" s="604">
        <f t="shared" si="22"/>
        <v>1.4665103342779999E-2</v>
      </c>
      <c r="P5195" s="150"/>
      <c r="Q5195" s="231"/>
      <c r="R5195" s="231">
        <v>4.4844745741399999E-3</v>
      </c>
      <c r="S5195" s="231">
        <v>4.2240789538200004E-3</v>
      </c>
      <c r="T5195" s="231">
        <v>2.7530536954800001E-3</v>
      </c>
      <c r="U5195" s="231">
        <v>3.2034961193399998E-3</v>
      </c>
      <c r="V5195" s="231">
        <v>3.7255473387880003E-3</v>
      </c>
      <c r="W5195" s="231">
        <v>3.08484811492E-3</v>
      </c>
      <c r="X5195" s="231">
        <v>2.1119344786760001E-3</v>
      </c>
      <c r="Y5195" s="231" t="s">
        <v>29</v>
      </c>
      <c r="Z5195" s="220"/>
      <c r="AA5195" s="150"/>
      <c r="AB5195" s="152"/>
      <c r="AC5195" s="271"/>
      <c r="AD5195" s="257"/>
      <c r="AE5195" s="272"/>
      <c r="AF5195" s="224"/>
      <c r="AG5195" s="153"/>
      <c r="AH5195" s="346"/>
      <c r="AI5195" s="153"/>
      <c r="AJ5195" s="480"/>
      <c r="AK5195" s="153"/>
      <c r="AL5195" s="152"/>
      <c r="AM5195" s="152"/>
      <c r="AN5195" s="152"/>
      <c r="AO5195" s="152"/>
      <c r="AP5195" s="152"/>
      <c r="AQ5195" s="152"/>
      <c r="AR5195" s="152"/>
      <c r="AS5195" s="152"/>
      <c r="AT5195" s="152"/>
      <c r="AU5195" s="226"/>
      <c r="AV5195" s="226"/>
      <c r="AW5195" s="226"/>
      <c r="AX5195" s="226"/>
      <c r="AY5195" s="226"/>
      <c r="AZ5195" s="152"/>
      <c r="BA5195" s="152"/>
      <c r="BB5195" s="152"/>
      <c r="BC5195" s="152"/>
      <c r="BD5195" s="152"/>
      <c r="BE5195" s="152"/>
      <c r="BF5195" s="152"/>
      <c r="BG5195" s="152"/>
      <c r="BH5195" s="152"/>
      <c r="BI5195" s="153"/>
      <c r="BJ5195" s="153"/>
      <c r="BK5195" s="227"/>
      <c r="BL5195" s="153"/>
      <c r="BM5195" s="153"/>
      <c r="BN5195" s="153"/>
      <c r="BO5195" s="153"/>
      <c r="BP5195" s="153"/>
      <c r="BQ5195" s="153"/>
      <c r="BR5195" s="153"/>
      <c r="BS5195" s="153"/>
      <c r="BT5195" s="153"/>
      <c r="BU5195" s="153"/>
      <c r="BV5195" s="153"/>
      <c r="BW5195" s="153"/>
      <c r="BX5195" s="153"/>
      <c r="BY5195" s="153"/>
      <c r="BZ5195" s="153"/>
      <c r="CA5195" s="152"/>
      <c r="CB5195" s="152"/>
    </row>
    <row r="5196" spans="1:80" s="87" customFormat="1" x14ac:dyDescent="0.2">
      <c r="A5196" s="257"/>
      <c r="B5196" s="667"/>
      <c r="C5196" s="667"/>
      <c r="D5196" s="292"/>
      <c r="E5196" s="215"/>
      <c r="F5196" s="215"/>
      <c r="G5196" s="153"/>
      <c r="H5196" s="257"/>
      <c r="I5196" s="257"/>
      <c r="J5196" s="257"/>
      <c r="K5196" s="257"/>
      <c r="L5196" s="667"/>
      <c r="M5196" s="670">
        <v>32291</v>
      </c>
      <c r="N5196" s="603">
        <v>7.5605980422000005</v>
      </c>
      <c r="O5196" s="604">
        <f t="shared" si="22"/>
        <v>3.8163498115512E-2</v>
      </c>
      <c r="P5196" s="150"/>
      <c r="Q5196" s="231"/>
      <c r="R5196" s="231">
        <v>2.088204877792E-2</v>
      </c>
      <c r="S5196" s="231">
        <v>1.05208230468E-2</v>
      </c>
      <c r="T5196" s="231">
        <v>4.8404185874000001E-3</v>
      </c>
      <c r="U5196" s="231">
        <v>1.920207703392E-3</v>
      </c>
      <c r="V5196" s="231">
        <v>1.0401125060039999E-3</v>
      </c>
      <c r="W5196" s="231">
        <v>4.0004327154E-4</v>
      </c>
      <c r="X5196" s="231">
        <v>3.6003894438600004E-4</v>
      </c>
      <c r="Y5196" s="231" t="s">
        <v>29</v>
      </c>
      <c r="Z5196" s="220"/>
      <c r="AA5196" s="150"/>
      <c r="AB5196" s="152"/>
      <c r="AC5196" s="271"/>
      <c r="AD5196" s="257"/>
      <c r="AE5196" s="272"/>
      <c r="AF5196" s="224"/>
      <c r="AG5196" s="153"/>
      <c r="AH5196" s="346"/>
      <c r="AI5196" s="153"/>
      <c r="AJ5196" s="480"/>
      <c r="AK5196" s="153"/>
      <c r="AL5196" s="152"/>
      <c r="AM5196" s="152"/>
      <c r="AN5196" s="152"/>
      <c r="AO5196" s="152"/>
      <c r="AP5196" s="152"/>
      <c r="AQ5196" s="152"/>
      <c r="AR5196" s="152"/>
      <c r="AS5196" s="152"/>
      <c r="AT5196" s="152"/>
      <c r="AU5196" s="226"/>
      <c r="AV5196" s="226"/>
      <c r="AW5196" s="226"/>
      <c r="AX5196" s="226"/>
      <c r="AY5196" s="226"/>
      <c r="AZ5196" s="152"/>
      <c r="BA5196" s="152"/>
      <c r="BB5196" s="152"/>
      <c r="BC5196" s="152"/>
      <c r="BD5196" s="152"/>
      <c r="BE5196" s="152"/>
      <c r="BF5196" s="152"/>
      <c r="BG5196" s="152"/>
      <c r="BH5196" s="152"/>
      <c r="BI5196" s="153"/>
      <c r="BJ5196" s="153"/>
      <c r="BK5196" s="227"/>
      <c r="BL5196" s="153"/>
      <c r="BM5196" s="153"/>
      <c r="BN5196" s="153"/>
      <c r="BO5196" s="153"/>
      <c r="BP5196" s="153"/>
      <c r="BQ5196" s="153"/>
      <c r="BR5196" s="153"/>
      <c r="BS5196" s="153"/>
      <c r="BT5196" s="153"/>
      <c r="BU5196" s="153"/>
      <c r="BV5196" s="153"/>
      <c r="BW5196" s="153"/>
      <c r="BX5196" s="153"/>
      <c r="BY5196" s="153"/>
      <c r="BZ5196" s="153"/>
      <c r="CA5196" s="152"/>
      <c r="CB5196" s="152"/>
    </row>
    <row r="5197" spans="1:80" s="87" customFormat="1" x14ac:dyDescent="0.2">
      <c r="A5197" s="257"/>
      <c r="B5197" s="667"/>
      <c r="C5197" s="667"/>
      <c r="D5197" s="292"/>
      <c r="E5197" s="215"/>
      <c r="F5197" s="215"/>
      <c r="G5197" s="153"/>
      <c r="H5197" s="257"/>
      <c r="I5197" s="257"/>
      <c r="J5197" s="257"/>
      <c r="K5197" s="257"/>
      <c r="L5197" s="667"/>
      <c r="M5197" s="670">
        <v>32291</v>
      </c>
      <c r="N5197" s="603">
        <v>6.7960431840000002</v>
      </c>
      <c r="O5197" s="604">
        <f t="shared" si="22"/>
        <v>2.7881231056359999E-3</v>
      </c>
      <c r="P5197" s="150"/>
      <c r="Q5197" s="231"/>
      <c r="R5197" s="231"/>
      <c r="S5197" s="231"/>
      <c r="T5197" s="231">
        <v>1.0195328521400001E-3</v>
      </c>
      <c r="U5197" s="231">
        <v>1.768590253496E-3</v>
      </c>
      <c r="V5197" s="231">
        <v>1.4329108993980002E-3</v>
      </c>
      <c r="W5197" s="231">
        <v>1.0311876561140002E-3</v>
      </c>
      <c r="X5197" s="231">
        <v>7.2543279870600002E-4</v>
      </c>
      <c r="Y5197" s="231" t="s">
        <v>29</v>
      </c>
      <c r="Z5197" s="150"/>
      <c r="AA5197" s="150"/>
      <c r="AB5197" s="152"/>
      <c r="AC5197" s="271"/>
      <c r="AD5197" s="257"/>
      <c r="AE5197" s="272"/>
      <c r="AF5197" s="224"/>
      <c r="AG5197" s="153"/>
      <c r="AH5197" s="346"/>
      <c r="AI5197" s="153"/>
      <c r="AJ5197" s="480"/>
      <c r="AK5197" s="153"/>
      <c r="AL5197" s="152"/>
      <c r="AM5197" s="152"/>
      <c r="AN5197" s="152"/>
      <c r="AO5197" s="152"/>
      <c r="AP5197" s="152"/>
      <c r="AQ5197" s="152"/>
      <c r="AR5197" s="152"/>
      <c r="AS5197" s="152"/>
      <c r="AT5197" s="152"/>
      <c r="AU5197" s="226"/>
      <c r="AV5197" s="226"/>
      <c r="AW5197" s="226"/>
      <c r="AX5197" s="226"/>
      <c r="AY5197" s="226"/>
      <c r="AZ5197" s="152"/>
      <c r="BA5197" s="152"/>
      <c r="BB5197" s="152"/>
      <c r="BC5197" s="152"/>
      <c r="BD5197" s="152"/>
      <c r="BE5197" s="152"/>
      <c r="BF5197" s="152"/>
      <c r="BG5197" s="152"/>
      <c r="BH5197" s="152"/>
      <c r="BI5197" s="153"/>
      <c r="BJ5197" s="153"/>
      <c r="BK5197" s="227"/>
      <c r="BL5197" s="153"/>
      <c r="BM5197" s="153"/>
      <c r="BN5197" s="153"/>
      <c r="BO5197" s="153"/>
      <c r="BP5197" s="153"/>
      <c r="BQ5197" s="153"/>
      <c r="BR5197" s="153"/>
      <c r="BS5197" s="153"/>
      <c r="BT5197" s="153"/>
      <c r="BU5197" s="153"/>
      <c r="BV5197" s="153"/>
      <c r="BW5197" s="153"/>
      <c r="BX5197" s="153"/>
      <c r="BY5197" s="153"/>
      <c r="BZ5197" s="153"/>
      <c r="CA5197" s="152"/>
      <c r="CB5197" s="152"/>
    </row>
    <row r="5198" spans="1:80" s="87" customFormat="1" x14ac:dyDescent="0.2">
      <c r="A5198" s="257"/>
      <c r="B5198" s="667"/>
      <c r="C5198" s="667"/>
      <c r="D5198" s="292"/>
      <c r="E5198" s="215"/>
      <c r="F5198" s="215"/>
      <c r="G5198" s="153"/>
      <c r="H5198" s="257"/>
      <c r="I5198" s="257"/>
      <c r="J5198" s="257"/>
      <c r="K5198" s="257"/>
      <c r="L5198" s="667"/>
      <c r="M5198" s="670">
        <v>32292</v>
      </c>
      <c r="N5198" s="603">
        <v>5.7200030132000004</v>
      </c>
      <c r="O5198" s="604">
        <f t="shared" si="22"/>
        <v>3.4140175785100004E-3</v>
      </c>
      <c r="P5198" s="150"/>
      <c r="Q5198" s="231"/>
      <c r="R5198" s="231"/>
      <c r="S5198" s="231"/>
      <c r="T5198" s="231">
        <v>1.01428294044E-3</v>
      </c>
      <c r="U5198" s="231">
        <v>2.3997346380700002E-3</v>
      </c>
      <c r="V5198" s="231">
        <v>1.556388822582E-3</v>
      </c>
      <c r="W5198" s="231">
        <v>1.0558622411039999E-3</v>
      </c>
      <c r="X5198" s="231">
        <v>7.8843173910600006E-4</v>
      </c>
      <c r="Y5198" s="231" t="s">
        <v>29</v>
      </c>
      <c r="Z5198" s="150"/>
      <c r="AA5198" s="150"/>
      <c r="AB5198" s="152"/>
      <c r="AC5198" s="271"/>
      <c r="AD5198" s="257"/>
      <c r="AE5198" s="272"/>
      <c r="AF5198" s="224"/>
      <c r="AG5198" s="153"/>
      <c r="AH5198" s="346"/>
      <c r="AI5198" s="153"/>
      <c r="AJ5198" s="480"/>
      <c r="AK5198" s="153"/>
      <c r="AL5198" s="152"/>
      <c r="AM5198" s="152"/>
      <c r="AN5198" s="152"/>
      <c r="AO5198" s="152"/>
      <c r="AP5198" s="152"/>
      <c r="AQ5198" s="152"/>
      <c r="AR5198" s="152"/>
      <c r="AS5198" s="152"/>
      <c r="AT5198" s="152"/>
      <c r="AU5198" s="226"/>
      <c r="AV5198" s="226"/>
      <c r="AW5198" s="226"/>
      <c r="AX5198" s="226"/>
      <c r="AY5198" s="226"/>
      <c r="AZ5198" s="152"/>
      <c r="BA5198" s="152"/>
      <c r="BB5198" s="152"/>
      <c r="BC5198" s="152"/>
      <c r="BD5198" s="152"/>
      <c r="BE5198" s="152"/>
      <c r="BF5198" s="152"/>
      <c r="BG5198" s="152"/>
      <c r="BH5198" s="152"/>
      <c r="BI5198" s="153"/>
      <c r="BJ5198" s="153"/>
      <c r="BK5198" s="227"/>
      <c r="BL5198" s="153"/>
      <c r="BM5198" s="153"/>
      <c r="BN5198" s="153"/>
      <c r="BO5198" s="153"/>
      <c r="BP5198" s="153"/>
      <c r="BQ5198" s="153"/>
      <c r="BR5198" s="153"/>
      <c r="BS5198" s="153"/>
      <c r="BT5198" s="153"/>
      <c r="BU5198" s="153"/>
      <c r="BV5198" s="153"/>
      <c r="BW5198" s="153"/>
      <c r="BX5198" s="153"/>
      <c r="BY5198" s="153"/>
      <c r="BZ5198" s="153"/>
      <c r="CA5198" s="152"/>
      <c r="CB5198" s="152"/>
    </row>
    <row r="5199" spans="1:80" s="87" customFormat="1" x14ac:dyDescent="0.2">
      <c r="A5199" s="257"/>
      <c r="B5199" s="667"/>
      <c r="C5199" s="667"/>
      <c r="D5199" s="292"/>
      <c r="E5199" s="215"/>
      <c r="F5199" s="215"/>
      <c r="G5199" s="153"/>
      <c r="H5199" s="257"/>
      <c r="I5199" s="257"/>
      <c r="J5199" s="257"/>
      <c r="K5199" s="257"/>
      <c r="L5199" s="667"/>
      <c r="M5199" s="670">
        <v>32300</v>
      </c>
      <c r="N5199" s="603">
        <v>6.0881220190000001</v>
      </c>
      <c r="O5199" s="604">
        <f t="shared" si="22"/>
        <v>1.7930548420180001E-3</v>
      </c>
      <c r="P5199" s="150"/>
      <c r="Q5199" s="231"/>
      <c r="R5199" s="231">
        <v>2.4674584990000002E-4</v>
      </c>
      <c r="S5199" s="231">
        <v>6.352393157E-4</v>
      </c>
      <c r="T5199" s="231">
        <v>5.0924143490000003E-4</v>
      </c>
      <c r="U5199" s="231">
        <v>4.0182824151800001E-4</v>
      </c>
      <c r="V5199" s="231">
        <v>2.53360738642E-4</v>
      </c>
      <c r="W5199" s="231">
        <v>9.8278347024E-5</v>
      </c>
      <c r="X5199" s="231">
        <v>3.4964411922000002E-5</v>
      </c>
      <c r="Y5199" s="231" t="s">
        <v>29</v>
      </c>
      <c r="Z5199" s="150"/>
      <c r="AA5199" s="150"/>
      <c r="AB5199" s="152"/>
      <c r="AC5199" s="271"/>
      <c r="AD5199" s="257"/>
      <c r="AE5199" s="272"/>
      <c r="AF5199" s="224"/>
      <c r="AG5199" s="153"/>
      <c r="AH5199" s="346"/>
      <c r="AI5199" s="153"/>
      <c r="AJ5199" s="480"/>
      <c r="AK5199" s="153"/>
      <c r="AL5199" s="152"/>
      <c r="AM5199" s="152"/>
      <c r="AN5199" s="152"/>
      <c r="AO5199" s="152"/>
      <c r="AP5199" s="152"/>
      <c r="AQ5199" s="152"/>
      <c r="AR5199" s="152"/>
      <c r="AS5199" s="152"/>
      <c r="AT5199" s="152"/>
      <c r="AU5199" s="226"/>
      <c r="AV5199" s="226"/>
      <c r="AW5199" s="226"/>
      <c r="AX5199" s="226"/>
      <c r="AY5199" s="226"/>
      <c r="AZ5199" s="152"/>
      <c r="BA5199" s="152"/>
      <c r="BB5199" s="152"/>
      <c r="BC5199" s="152"/>
      <c r="BD5199" s="152"/>
      <c r="BE5199" s="152"/>
      <c r="BF5199" s="152"/>
      <c r="BG5199" s="152"/>
      <c r="BH5199" s="152"/>
      <c r="BI5199" s="153"/>
      <c r="BJ5199" s="153"/>
      <c r="BK5199" s="227"/>
      <c r="BL5199" s="153"/>
      <c r="BM5199" s="153"/>
      <c r="BN5199" s="153"/>
      <c r="BO5199" s="153"/>
      <c r="BP5199" s="153"/>
      <c r="BQ5199" s="153"/>
      <c r="BR5199" s="153"/>
      <c r="BS5199" s="153"/>
      <c r="BT5199" s="153"/>
      <c r="BU5199" s="153"/>
      <c r="BV5199" s="153"/>
      <c r="BW5199" s="153"/>
      <c r="BX5199" s="153"/>
      <c r="BY5199" s="153"/>
      <c r="BZ5199" s="153"/>
      <c r="CA5199" s="152"/>
      <c r="CB5199" s="152"/>
    </row>
    <row r="5200" spans="1:80" s="87" customFormat="1" x14ac:dyDescent="0.2">
      <c r="A5200" s="257"/>
      <c r="B5200" s="667"/>
      <c r="C5200" s="667"/>
      <c r="D5200" s="292"/>
      <c r="E5200" s="215"/>
      <c r="F5200" s="215"/>
      <c r="G5200" s="153"/>
      <c r="H5200" s="257"/>
      <c r="I5200" s="257"/>
      <c r="J5200" s="257"/>
      <c r="K5200" s="257"/>
      <c r="L5200" s="667"/>
      <c r="M5200" s="670">
        <v>32300</v>
      </c>
      <c r="N5200" s="603">
        <v>6.0881220190000001</v>
      </c>
      <c r="O5200" s="604">
        <f t="shared" si="22"/>
        <v>4.9658914770299996E-2</v>
      </c>
      <c r="P5200" s="150"/>
      <c r="Q5200" s="231">
        <v>1.5886232804199998E-2</v>
      </c>
      <c r="R5200" s="231">
        <v>5.2310120178799997E-3</v>
      </c>
      <c r="S5200" s="231">
        <v>1.2398191470720001E-2</v>
      </c>
      <c r="T5200" s="231">
        <v>7.8780174970199991E-3</v>
      </c>
      <c r="U5200" s="231">
        <v>8.2654609804799998E-3</v>
      </c>
      <c r="V5200" s="231">
        <v>8.1363131526600001E-3</v>
      </c>
      <c r="W5200" s="231">
        <v>4.7784696293399999E-3</v>
      </c>
      <c r="X5200" s="231">
        <v>1.80806958948E-3</v>
      </c>
      <c r="Y5200" s="231" t="s">
        <v>29</v>
      </c>
      <c r="Z5200" s="150"/>
      <c r="AA5200" s="150"/>
      <c r="AB5200" s="152"/>
      <c r="AC5200" s="271"/>
      <c r="AD5200" s="257"/>
      <c r="AE5200" s="272"/>
      <c r="AF5200" s="224"/>
      <c r="AG5200" s="153"/>
      <c r="AH5200" s="346"/>
      <c r="AI5200" s="153"/>
      <c r="AJ5200" s="480"/>
      <c r="AK5200" s="153"/>
      <c r="AL5200" s="152"/>
      <c r="AM5200" s="152"/>
      <c r="AN5200" s="152"/>
      <c r="AO5200" s="152"/>
      <c r="AP5200" s="152"/>
      <c r="AQ5200" s="152"/>
      <c r="AR5200" s="152"/>
      <c r="AS5200" s="152"/>
      <c r="AT5200" s="152"/>
      <c r="AU5200" s="226"/>
      <c r="AV5200" s="226"/>
      <c r="AW5200" s="226"/>
      <c r="AX5200" s="226"/>
      <c r="AY5200" s="226"/>
      <c r="AZ5200" s="152"/>
      <c r="BA5200" s="152"/>
      <c r="BB5200" s="152"/>
      <c r="BC5200" s="152"/>
      <c r="BD5200" s="152"/>
      <c r="BE5200" s="152"/>
      <c r="BF5200" s="152"/>
      <c r="BG5200" s="152"/>
      <c r="BH5200" s="152"/>
      <c r="BI5200" s="153"/>
      <c r="BJ5200" s="153"/>
      <c r="BK5200" s="227"/>
      <c r="BL5200" s="153"/>
      <c r="BM5200" s="153"/>
      <c r="BN5200" s="153"/>
      <c r="BO5200" s="153"/>
      <c r="BP5200" s="153"/>
      <c r="BQ5200" s="153"/>
      <c r="BR5200" s="153"/>
      <c r="BS5200" s="153"/>
      <c r="BT5200" s="153"/>
      <c r="BU5200" s="153"/>
      <c r="BV5200" s="153"/>
      <c r="BW5200" s="153"/>
      <c r="BX5200" s="153"/>
      <c r="BY5200" s="153"/>
      <c r="BZ5200" s="153"/>
      <c r="CA5200" s="152"/>
      <c r="CB5200" s="152"/>
    </row>
    <row r="5201" spans="1:80" s="87" customFormat="1" x14ac:dyDescent="0.2">
      <c r="A5201" s="257"/>
      <c r="B5201" s="667"/>
      <c r="C5201" s="667"/>
      <c r="D5201" s="292"/>
      <c r="E5201" s="215"/>
      <c r="F5201" s="215"/>
      <c r="G5201" s="153"/>
      <c r="H5201" s="257"/>
      <c r="I5201" s="257"/>
      <c r="J5201" s="257"/>
      <c r="K5201" s="257"/>
      <c r="L5201" s="667"/>
      <c r="M5201" s="670">
        <v>32300</v>
      </c>
      <c r="N5201" s="603">
        <v>7.7021822752000002</v>
      </c>
      <c r="O5201" s="604">
        <f t="shared" si="22"/>
        <v>9.5306897001800006E-2</v>
      </c>
      <c r="P5201" s="150"/>
      <c r="Q5201" s="231">
        <v>1.2652287197000001E-2</v>
      </c>
      <c r="R5201" s="231">
        <v>2.1696835073759999E-2</v>
      </c>
      <c r="S5201" s="231">
        <v>2.0921948106840001E-2</v>
      </c>
      <c r="T5201" s="231">
        <v>2.014706113992E-2</v>
      </c>
      <c r="U5201" s="231">
        <v>1.9888765484280001E-2</v>
      </c>
      <c r="V5201" s="231">
        <v>1.8338991550439998E-2</v>
      </c>
      <c r="W5201" s="231">
        <v>1.0977565364700001E-2</v>
      </c>
      <c r="X5201" s="231">
        <v>4.0035826624199994E-3</v>
      </c>
      <c r="Y5201" s="231" t="s">
        <v>29</v>
      </c>
      <c r="Z5201" s="150"/>
      <c r="AA5201" s="150"/>
      <c r="AB5201" s="152"/>
      <c r="AC5201" s="271"/>
      <c r="AD5201" s="257"/>
      <c r="AE5201" s="272"/>
      <c r="AF5201" s="224"/>
      <c r="AG5201" s="153"/>
      <c r="AH5201" s="346"/>
      <c r="AI5201" s="153"/>
      <c r="AJ5201" s="480"/>
      <c r="AK5201" s="153"/>
      <c r="AL5201" s="152"/>
      <c r="AM5201" s="152"/>
      <c r="AN5201" s="152"/>
      <c r="AO5201" s="152"/>
      <c r="AP5201" s="152"/>
      <c r="AQ5201" s="152"/>
      <c r="AR5201" s="152"/>
      <c r="AS5201" s="152"/>
      <c r="AT5201" s="152"/>
      <c r="AU5201" s="226"/>
      <c r="AV5201" s="226"/>
      <c r="AW5201" s="226"/>
      <c r="AX5201" s="226"/>
      <c r="AY5201" s="226"/>
      <c r="AZ5201" s="152"/>
      <c r="BA5201" s="152"/>
      <c r="BB5201" s="152"/>
      <c r="BC5201" s="152"/>
      <c r="BD5201" s="152"/>
      <c r="BE5201" s="152"/>
      <c r="BF5201" s="152"/>
      <c r="BG5201" s="152"/>
      <c r="BH5201" s="152"/>
      <c r="BI5201" s="153"/>
      <c r="BJ5201" s="153"/>
      <c r="BK5201" s="227"/>
      <c r="BL5201" s="153"/>
      <c r="BM5201" s="153"/>
      <c r="BN5201" s="153"/>
      <c r="BO5201" s="153"/>
      <c r="BP5201" s="153"/>
      <c r="BQ5201" s="153"/>
      <c r="BR5201" s="153"/>
      <c r="BS5201" s="153"/>
      <c r="BT5201" s="153"/>
      <c r="BU5201" s="153"/>
      <c r="BV5201" s="153"/>
      <c r="BW5201" s="153"/>
      <c r="BX5201" s="153"/>
      <c r="BY5201" s="153"/>
      <c r="BZ5201" s="153"/>
      <c r="CA5201" s="152"/>
      <c r="CB5201" s="152"/>
    </row>
    <row r="5202" spans="1:80" s="87" customFormat="1" x14ac:dyDescent="0.2">
      <c r="A5202" s="257"/>
      <c r="B5202" s="667"/>
      <c r="C5202" s="667"/>
      <c r="D5202" s="292"/>
      <c r="E5202" s="215"/>
      <c r="F5202" s="215"/>
      <c r="G5202" s="153"/>
      <c r="H5202" s="257"/>
      <c r="I5202" s="257"/>
      <c r="J5202" s="257"/>
      <c r="K5202" s="257"/>
      <c r="L5202" s="667"/>
      <c r="M5202" s="670">
        <v>32300</v>
      </c>
      <c r="N5202" s="603">
        <v>8.5516876732</v>
      </c>
      <c r="O5202" s="604">
        <f t="shared" si="22"/>
        <v>0.17095287468710002</v>
      </c>
      <c r="P5202" s="150"/>
      <c r="Q5202" s="231">
        <v>1.62432267998E-2</v>
      </c>
      <c r="R5202" s="231">
        <v>4.7400402756960003E-2</v>
      </c>
      <c r="S5202" s="231">
        <v>3.8622550394560001E-2</v>
      </c>
      <c r="T5202" s="231">
        <v>3.5111409449599999E-2</v>
      </c>
      <c r="U5202" s="231">
        <v>3.357528528618E-2</v>
      </c>
      <c r="V5202" s="231">
        <v>2.830857386874E-2</v>
      </c>
      <c r="W5202" s="231">
        <v>1.492234901608E-2</v>
      </c>
      <c r="X5202" s="231">
        <v>4.8278187993200002E-3</v>
      </c>
      <c r="Y5202" s="231" t="s">
        <v>29</v>
      </c>
      <c r="Z5202" s="150"/>
      <c r="AA5202" s="150"/>
      <c r="AB5202" s="152"/>
      <c r="AC5202" s="271"/>
      <c r="AD5202" s="257"/>
      <c r="AE5202" s="272"/>
      <c r="AF5202" s="224"/>
      <c r="AG5202" s="153"/>
      <c r="AH5202" s="346"/>
      <c r="AI5202" s="153"/>
      <c r="AJ5202" s="480"/>
      <c r="AK5202" s="153"/>
      <c r="AL5202" s="152"/>
      <c r="AM5202" s="152"/>
      <c r="AN5202" s="152"/>
      <c r="AO5202" s="152"/>
      <c r="AP5202" s="152"/>
      <c r="AQ5202" s="152"/>
      <c r="AR5202" s="152"/>
      <c r="AS5202" s="152"/>
      <c r="AT5202" s="152"/>
      <c r="AU5202" s="226"/>
      <c r="AV5202" s="226"/>
      <c r="AW5202" s="226"/>
      <c r="AX5202" s="226"/>
      <c r="AY5202" s="226"/>
      <c r="AZ5202" s="152"/>
      <c r="BA5202" s="152"/>
      <c r="BB5202" s="152"/>
      <c r="BC5202" s="152"/>
      <c r="BD5202" s="152"/>
      <c r="BE5202" s="152"/>
      <c r="BF5202" s="152"/>
      <c r="BG5202" s="152"/>
      <c r="BH5202" s="152"/>
      <c r="BI5202" s="153"/>
      <c r="BJ5202" s="153"/>
      <c r="BK5202" s="227"/>
      <c r="BL5202" s="153"/>
      <c r="BM5202" s="153"/>
      <c r="BN5202" s="153"/>
      <c r="BO5202" s="153"/>
      <c r="BP5202" s="153"/>
      <c r="BQ5202" s="153"/>
      <c r="BR5202" s="153"/>
      <c r="BS5202" s="153"/>
      <c r="BT5202" s="153"/>
      <c r="BU5202" s="153"/>
      <c r="BV5202" s="153"/>
      <c r="BW5202" s="153"/>
      <c r="BX5202" s="153"/>
      <c r="BY5202" s="153"/>
      <c r="BZ5202" s="153"/>
      <c r="CA5202" s="152"/>
      <c r="CB5202" s="152"/>
    </row>
    <row r="5203" spans="1:80" s="87" customFormat="1" x14ac:dyDescent="0.2">
      <c r="A5203" s="257"/>
      <c r="B5203" s="667"/>
      <c r="C5203" s="667"/>
      <c r="D5203" s="292"/>
      <c r="E5203" s="215"/>
      <c r="F5203" s="215"/>
      <c r="G5203" s="153"/>
      <c r="H5203" s="257"/>
      <c r="I5203" s="257"/>
      <c r="J5203" s="257"/>
      <c r="K5203" s="257"/>
      <c r="L5203" s="667"/>
      <c r="M5203" s="670">
        <v>32300</v>
      </c>
      <c r="N5203" s="603">
        <v>9.4578267644</v>
      </c>
      <c r="O5203" s="604">
        <f t="shared" si="22"/>
        <v>0.25404532712768002</v>
      </c>
      <c r="P5203" s="150"/>
      <c r="Q5203" s="231">
        <v>0.11380758583260001</v>
      </c>
      <c r="R5203" s="231">
        <v>3.6635983807279997E-2</v>
      </c>
      <c r="S5203" s="231">
        <v>3.9939228248920003E-2</v>
      </c>
      <c r="T5203" s="231">
        <v>3.3633034314879996E-2</v>
      </c>
      <c r="U5203" s="231">
        <v>3.0029494923999998E-2</v>
      </c>
      <c r="V5203" s="231">
        <v>2.342300604072E-2</v>
      </c>
      <c r="W5203" s="231">
        <v>1.4714452512760001E-2</v>
      </c>
      <c r="X5203" s="231">
        <v>6.9067838325200005E-3</v>
      </c>
      <c r="Y5203" s="231" t="s">
        <v>29</v>
      </c>
      <c r="Z5203" s="150"/>
      <c r="AA5203" s="150"/>
      <c r="AB5203" s="152"/>
      <c r="AC5203" s="271"/>
      <c r="AD5203" s="257"/>
      <c r="AE5203" s="272"/>
      <c r="AF5203" s="224"/>
      <c r="AG5203" s="153"/>
      <c r="AH5203" s="346"/>
      <c r="AI5203" s="153"/>
      <c r="AJ5203" s="480"/>
      <c r="AK5203" s="153"/>
      <c r="AL5203" s="152"/>
      <c r="AM5203" s="152"/>
      <c r="AN5203" s="152"/>
      <c r="AO5203" s="152"/>
      <c r="AP5203" s="152"/>
      <c r="AQ5203" s="152"/>
      <c r="AR5203" s="152"/>
      <c r="AS5203" s="152"/>
      <c r="AT5203" s="152"/>
      <c r="AU5203" s="226"/>
      <c r="AV5203" s="226"/>
      <c r="AW5203" s="226"/>
      <c r="AX5203" s="226"/>
      <c r="AY5203" s="226"/>
      <c r="AZ5203" s="152"/>
      <c r="BA5203" s="152"/>
      <c r="BB5203" s="152"/>
      <c r="BC5203" s="152"/>
      <c r="BD5203" s="152"/>
      <c r="BE5203" s="152"/>
      <c r="BF5203" s="152"/>
      <c r="BG5203" s="152"/>
      <c r="BH5203" s="152"/>
      <c r="BI5203" s="153"/>
      <c r="BJ5203" s="153"/>
      <c r="BK5203" s="227"/>
      <c r="BL5203" s="153"/>
      <c r="BM5203" s="153"/>
      <c r="BN5203" s="153"/>
      <c r="BO5203" s="153"/>
      <c r="BP5203" s="153"/>
      <c r="BQ5203" s="153"/>
      <c r="BR5203" s="153"/>
      <c r="BS5203" s="153"/>
      <c r="BT5203" s="153"/>
      <c r="BU5203" s="153"/>
      <c r="BV5203" s="153"/>
      <c r="BW5203" s="153"/>
      <c r="BX5203" s="153"/>
      <c r="BY5203" s="153"/>
      <c r="BZ5203" s="153"/>
      <c r="CA5203" s="152"/>
      <c r="CB5203" s="152"/>
    </row>
    <row r="5204" spans="1:80" s="87" customFormat="1" x14ac:dyDescent="0.2">
      <c r="A5204" s="257"/>
      <c r="B5204" s="667"/>
      <c r="C5204" s="667"/>
      <c r="D5204" s="292"/>
      <c r="E5204" s="215"/>
      <c r="F5204" s="215"/>
      <c r="G5204" s="153"/>
      <c r="H5204" s="257"/>
      <c r="I5204" s="257"/>
      <c r="J5204" s="257"/>
      <c r="K5204" s="257"/>
      <c r="L5204" s="667"/>
      <c r="M5204" s="670">
        <v>32300</v>
      </c>
      <c r="N5204" s="603">
        <v>9.4578267644</v>
      </c>
      <c r="O5204" s="604">
        <f t="shared" si="22"/>
        <v>0.33445927461892</v>
      </c>
      <c r="P5204" s="150"/>
      <c r="Q5204" s="231">
        <v>7.7541195808999999E-2</v>
      </c>
      <c r="R5204" s="231">
        <v>9.5952636140900008E-2</v>
      </c>
      <c r="S5204" s="231">
        <v>6.8537597243500004E-2</v>
      </c>
      <c r="T5204" s="231">
        <v>5.0130356840960004E-2</v>
      </c>
      <c r="U5204" s="231">
        <v>4.2297488584560006E-2</v>
      </c>
      <c r="V5204" s="231">
        <v>3.0939829612779999E-2</v>
      </c>
      <c r="W5204" s="231">
        <v>1.6449023338440002E-2</v>
      </c>
      <c r="X5204" s="231">
        <v>8.2245116692200009E-3</v>
      </c>
      <c r="Y5204" s="231" t="s">
        <v>29</v>
      </c>
      <c r="Z5204" s="150"/>
      <c r="AA5204" s="150"/>
      <c r="AB5204" s="152"/>
      <c r="AC5204" s="271"/>
      <c r="AD5204" s="257"/>
      <c r="AE5204" s="272"/>
      <c r="AF5204" s="224"/>
      <c r="AG5204" s="153"/>
      <c r="AH5204" s="346"/>
      <c r="AI5204" s="153"/>
      <c r="AJ5204" s="480"/>
      <c r="AK5204" s="153"/>
      <c r="AL5204" s="152"/>
      <c r="AM5204" s="152"/>
      <c r="AN5204" s="152"/>
      <c r="AO5204" s="152"/>
      <c r="AP5204" s="152"/>
      <c r="AQ5204" s="152"/>
      <c r="AR5204" s="152"/>
      <c r="AS5204" s="152"/>
      <c r="AT5204" s="152"/>
      <c r="AU5204" s="226"/>
      <c r="AV5204" s="226"/>
      <c r="AW5204" s="226"/>
      <c r="AX5204" s="226"/>
      <c r="AY5204" s="226"/>
      <c r="AZ5204" s="152"/>
      <c r="BA5204" s="152"/>
      <c r="BB5204" s="152"/>
      <c r="BC5204" s="152"/>
      <c r="BD5204" s="152"/>
      <c r="BE5204" s="152"/>
      <c r="BF5204" s="152"/>
      <c r="BG5204" s="152"/>
      <c r="BH5204" s="152"/>
      <c r="BI5204" s="153"/>
      <c r="BJ5204" s="153"/>
      <c r="BK5204" s="227"/>
      <c r="BL5204" s="153"/>
      <c r="BM5204" s="153"/>
      <c r="BN5204" s="153"/>
      <c r="BO5204" s="153"/>
      <c r="BP5204" s="153"/>
      <c r="BQ5204" s="153"/>
      <c r="BR5204" s="153"/>
      <c r="BS5204" s="153"/>
      <c r="BT5204" s="153"/>
      <c r="BU5204" s="153"/>
      <c r="BV5204" s="153"/>
      <c r="BW5204" s="153"/>
      <c r="BX5204" s="153"/>
      <c r="BY5204" s="153"/>
      <c r="BZ5204" s="153"/>
      <c r="CA5204" s="152"/>
      <c r="CB5204" s="152"/>
    </row>
    <row r="5205" spans="1:80" s="87" customFormat="1" x14ac:dyDescent="0.2">
      <c r="A5205" s="257"/>
      <c r="B5205" s="667"/>
      <c r="C5205" s="667"/>
      <c r="D5205" s="292"/>
      <c r="E5205" s="215"/>
      <c r="F5205" s="215"/>
      <c r="G5205" s="153"/>
      <c r="H5205" s="257"/>
      <c r="I5205" s="257"/>
      <c r="J5205" s="257"/>
      <c r="K5205" s="257"/>
      <c r="L5205" s="667"/>
      <c r="M5205" s="670">
        <v>32300</v>
      </c>
      <c r="N5205" s="603">
        <v>9.4578267644</v>
      </c>
      <c r="O5205" s="604">
        <f t="shared" si="22"/>
        <v>0.14310419308328001</v>
      </c>
      <c r="P5205" s="150"/>
      <c r="Q5205" s="231">
        <v>7.308927068740001E-2</v>
      </c>
      <c r="R5205" s="231">
        <v>2.4254592054000001E-2</v>
      </c>
      <c r="S5205" s="231">
        <v>2.0050462764639999E-2</v>
      </c>
      <c r="T5205" s="231">
        <v>1.503784707348E-2</v>
      </c>
      <c r="U5205" s="231">
        <v>1.067202050376E-2</v>
      </c>
      <c r="V5205" s="231">
        <v>8.5699558590800005E-3</v>
      </c>
      <c r="W5205" s="231">
        <v>5.8211020929599998E-3</v>
      </c>
      <c r="X5205" s="231">
        <v>3.5573401679199999E-3</v>
      </c>
      <c r="Y5205" s="231" t="s">
        <v>29</v>
      </c>
      <c r="Z5205" s="150"/>
      <c r="AA5205" s="150"/>
      <c r="AB5205" s="152"/>
      <c r="AC5205" s="271"/>
      <c r="AD5205" s="257"/>
      <c r="AE5205" s="272"/>
      <c r="AF5205" s="224"/>
      <c r="AG5205" s="153"/>
      <c r="AH5205" s="346"/>
      <c r="AI5205" s="153"/>
      <c r="AJ5205" s="480"/>
      <c r="AK5205" s="153"/>
      <c r="AL5205" s="152"/>
      <c r="AM5205" s="152"/>
      <c r="AN5205" s="152"/>
      <c r="AO5205" s="152"/>
      <c r="AP5205" s="152"/>
      <c r="AQ5205" s="152"/>
      <c r="AR5205" s="152"/>
      <c r="AS5205" s="152"/>
      <c r="AT5205" s="152"/>
      <c r="AU5205" s="226"/>
      <c r="AV5205" s="226"/>
      <c r="AW5205" s="226"/>
      <c r="AX5205" s="226"/>
      <c r="AY5205" s="226"/>
      <c r="AZ5205" s="152"/>
      <c r="BA5205" s="152"/>
      <c r="BB5205" s="152"/>
      <c r="BC5205" s="152"/>
      <c r="BD5205" s="152"/>
      <c r="BE5205" s="152"/>
      <c r="BF5205" s="152"/>
      <c r="BG5205" s="152"/>
      <c r="BH5205" s="152"/>
      <c r="BI5205" s="153"/>
      <c r="BJ5205" s="153"/>
      <c r="BK5205" s="227"/>
      <c r="BL5205" s="153"/>
      <c r="BM5205" s="153"/>
      <c r="BN5205" s="153"/>
      <c r="BO5205" s="153"/>
      <c r="BP5205" s="153"/>
      <c r="BQ5205" s="153"/>
      <c r="BR5205" s="153"/>
      <c r="BS5205" s="153"/>
      <c r="BT5205" s="153"/>
      <c r="BU5205" s="153"/>
      <c r="BV5205" s="153"/>
      <c r="BW5205" s="153"/>
      <c r="BX5205" s="153"/>
      <c r="BY5205" s="153"/>
      <c r="BZ5205" s="153"/>
      <c r="CA5205" s="152"/>
      <c r="CB5205" s="152"/>
    </row>
    <row r="5206" spans="1:80" s="87" customFormat="1" x14ac:dyDescent="0.2">
      <c r="A5206" s="257"/>
      <c r="B5206" s="667"/>
      <c r="C5206" s="667"/>
      <c r="D5206" s="292"/>
      <c r="E5206" s="215"/>
      <c r="F5206" s="215"/>
      <c r="G5206" s="153"/>
      <c r="H5206" s="257"/>
      <c r="I5206" s="257"/>
      <c r="J5206" s="257"/>
      <c r="K5206" s="257"/>
      <c r="L5206" s="667"/>
      <c r="M5206" s="670">
        <v>32301</v>
      </c>
      <c r="N5206" s="615">
        <v>7.9287170480000002</v>
      </c>
      <c r="O5206" s="604">
        <f t="shared" si="22"/>
        <v>8.4156714540403993E-2</v>
      </c>
      <c r="P5206" s="150"/>
      <c r="Q5206" s="274">
        <v>3.0921979913000001E-2</v>
      </c>
      <c r="R5206" s="274">
        <v>7.5052737663200003E-3</v>
      </c>
      <c r="S5206" s="274">
        <v>2.1213843197359999E-2</v>
      </c>
      <c r="T5206" s="231">
        <v>1.3308526159500001E-2</v>
      </c>
      <c r="U5206" s="274">
        <v>1.1207091504224002E-2</v>
      </c>
      <c r="V5206" s="231">
        <v>9.1057618471820003E-3</v>
      </c>
      <c r="W5206" s="231">
        <v>4.8030392160959999E-3</v>
      </c>
      <c r="X5206" s="231">
        <v>1.8011397060360001E-3</v>
      </c>
      <c r="Y5206" s="231" t="s">
        <v>29</v>
      </c>
      <c r="Z5206" s="275"/>
      <c r="AA5206" s="150"/>
      <c r="AB5206" s="152"/>
      <c r="AC5206" s="271"/>
      <c r="AD5206" s="257"/>
      <c r="AE5206" s="272"/>
      <c r="AF5206" s="224"/>
      <c r="AG5206" s="153"/>
      <c r="AH5206" s="346"/>
      <c r="AI5206" s="153"/>
      <c r="AJ5206" s="480"/>
      <c r="AK5206" s="153"/>
      <c r="AL5206" s="152"/>
      <c r="AM5206" s="152"/>
      <c r="AN5206" s="152"/>
      <c r="AO5206" s="152"/>
      <c r="AP5206" s="152"/>
      <c r="AQ5206" s="152"/>
      <c r="AR5206" s="152"/>
      <c r="AS5206" s="152"/>
      <c r="AT5206" s="152"/>
      <c r="AU5206" s="226"/>
      <c r="AV5206" s="226"/>
      <c r="AW5206" s="226"/>
      <c r="AX5206" s="226"/>
      <c r="AY5206" s="226"/>
      <c r="AZ5206" s="152"/>
      <c r="BA5206" s="152"/>
      <c r="BB5206" s="152"/>
      <c r="BC5206" s="152"/>
      <c r="BD5206" s="152"/>
      <c r="BE5206" s="152"/>
      <c r="BF5206" s="152"/>
      <c r="BG5206" s="152"/>
      <c r="BH5206" s="152"/>
      <c r="BI5206" s="153"/>
      <c r="BJ5206" s="153"/>
      <c r="BK5206" s="227"/>
      <c r="BL5206" s="153"/>
      <c r="BM5206" s="153"/>
      <c r="BN5206" s="153"/>
      <c r="BO5206" s="153"/>
      <c r="BP5206" s="153"/>
      <c r="BQ5206" s="153"/>
      <c r="BR5206" s="153"/>
      <c r="BS5206" s="153"/>
      <c r="BT5206" s="153"/>
      <c r="BU5206" s="153"/>
      <c r="BV5206" s="153"/>
      <c r="BW5206" s="153"/>
      <c r="BX5206" s="153"/>
      <c r="BY5206" s="153"/>
      <c r="BZ5206" s="153"/>
      <c r="CA5206" s="152"/>
      <c r="CB5206" s="152"/>
    </row>
    <row r="5207" spans="1:80" s="87" customFormat="1" x14ac:dyDescent="0.2">
      <c r="A5207" s="257"/>
      <c r="B5207" s="667"/>
      <c r="C5207" s="667"/>
      <c r="D5207" s="292"/>
      <c r="E5207" s="215"/>
      <c r="F5207" s="215"/>
      <c r="G5207" s="153"/>
      <c r="H5207" s="257"/>
      <c r="I5207" s="257"/>
      <c r="J5207" s="257"/>
      <c r="K5207" s="257"/>
      <c r="L5207" s="667"/>
      <c r="M5207" s="670">
        <v>32301</v>
      </c>
      <c r="N5207" s="603">
        <v>6.9093105704000006</v>
      </c>
      <c r="O5207" s="604">
        <f t="shared" si="22"/>
        <v>2.7706094002048001E-2</v>
      </c>
      <c r="P5207" s="150"/>
      <c r="Q5207" s="231"/>
      <c r="R5207" s="231">
        <v>6.8595346272200004E-3</v>
      </c>
      <c r="S5207" s="231">
        <v>3.9300838986200005E-3</v>
      </c>
      <c r="T5207" s="231">
        <v>8.5930554705600012E-3</v>
      </c>
      <c r="U5207" s="231">
        <v>8.3234200056479992E-3</v>
      </c>
      <c r="V5207" s="231">
        <v>6.3196337079919999E-3</v>
      </c>
      <c r="W5207" s="231">
        <v>3.2754199096300001E-3</v>
      </c>
      <c r="X5207" s="231">
        <v>1.117496204462E-3</v>
      </c>
      <c r="Y5207" s="231" t="s">
        <v>29</v>
      </c>
      <c r="Z5207" s="150"/>
      <c r="AA5207" s="150"/>
      <c r="AB5207" s="152"/>
      <c r="AC5207" s="271"/>
      <c r="AD5207" s="257"/>
      <c r="AE5207" s="272"/>
      <c r="AF5207" s="224"/>
      <c r="AG5207" s="153"/>
      <c r="AH5207" s="346"/>
      <c r="AI5207" s="153"/>
      <c r="AJ5207" s="480"/>
      <c r="AK5207" s="153"/>
      <c r="AL5207" s="152"/>
      <c r="AM5207" s="152"/>
      <c r="AN5207" s="152"/>
      <c r="AO5207" s="152"/>
      <c r="AP5207" s="152"/>
      <c r="AQ5207" s="152"/>
      <c r="AR5207" s="152"/>
      <c r="AS5207" s="152"/>
      <c r="AT5207" s="152"/>
      <c r="AU5207" s="226"/>
      <c r="AV5207" s="226"/>
      <c r="AW5207" s="226"/>
      <c r="AX5207" s="226"/>
      <c r="AY5207" s="226"/>
      <c r="AZ5207" s="152"/>
      <c r="BA5207" s="152"/>
      <c r="BB5207" s="152"/>
      <c r="BC5207" s="152"/>
      <c r="BD5207" s="152"/>
      <c r="BE5207" s="152"/>
      <c r="BF5207" s="152"/>
      <c r="BG5207" s="152"/>
      <c r="BH5207" s="152"/>
      <c r="BI5207" s="153"/>
      <c r="BJ5207" s="153"/>
      <c r="BK5207" s="227"/>
      <c r="BL5207" s="153"/>
      <c r="BM5207" s="153"/>
      <c r="BN5207" s="153"/>
      <c r="BO5207" s="153"/>
      <c r="BP5207" s="153"/>
      <c r="BQ5207" s="153"/>
      <c r="BR5207" s="153"/>
      <c r="BS5207" s="153"/>
      <c r="BT5207" s="153"/>
      <c r="BU5207" s="153"/>
      <c r="BV5207" s="153"/>
      <c r="BW5207" s="153"/>
      <c r="BX5207" s="153"/>
      <c r="BY5207" s="153"/>
      <c r="BZ5207" s="153"/>
      <c r="CA5207" s="152"/>
      <c r="CB5207" s="152"/>
    </row>
    <row r="5208" spans="1:80" s="87" customFormat="1" x14ac:dyDescent="0.2">
      <c r="A5208" s="257"/>
      <c r="B5208" s="667"/>
      <c r="C5208" s="667"/>
      <c r="D5208" s="292"/>
      <c r="E5208" s="215"/>
      <c r="F5208" s="215"/>
      <c r="G5208" s="153"/>
      <c r="H5208" s="257"/>
      <c r="I5208" s="257"/>
      <c r="J5208" s="257"/>
      <c r="K5208" s="257"/>
      <c r="L5208" s="667"/>
      <c r="M5208" s="670">
        <v>32316</v>
      </c>
      <c r="N5208" s="603">
        <v>2.9166351998</v>
      </c>
      <c r="O5208" s="604">
        <f t="shared" si="22"/>
        <v>1.5542048593148002E-2</v>
      </c>
      <c r="P5208" s="150"/>
      <c r="Q5208" s="231"/>
      <c r="R5208" s="231">
        <v>4.3616266403599998E-3</v>
      </c>
      <c r="S5208" s="231">
        <v>3.622439073E-3</v>
      </c>
      <c r="T5208" s="231">
        <v>4.3794763401400006E-3</v>
      </c>
      <c r="U5208" s="231">
        <v>3.1785065396480001E-3</v>
      </c>
      <c r="V5208" s="231">
        <v>1.9034079859519999E-3</v>
      </c>
      <c r="W5208" s="231">
        <v>7.7614694572800005E-4</v>
      </c>
      <c r="X5208" s="231">
        <v>2.03276581024E-4</v>
      </c>
      <c r="Y5208" s="231" t="s">
        <v>29</v>
      </c>
      <c r="Z5208" s="150"/>
      <c r="AA5208" s="150"/>
      <c r="AB5208" s="152"/>
      <c r="AC5208" s="271"/>
      <c r="AD5208" s="257"/>
      <c r="AE5208" s="272"/>
      <c r="AF5208" s="224"/>
      <c r="AG5208" s="153"/>
      <c r="AH5208" s="346"/>
      <c r="AI5208" s="153"/>
      <c r="AJ5208" s="480"/>
      <c r="AK5208" s="153"/>
      <c r="AL5208" s="152"/>
      <c r="AM5208" s="152"/>
      <c r="AN5208" s="152"/>
      <c r="AO5208" s="152"/>
      <c r="AP5208" s="152"/>
      <c r="AQ5208" s="152"/>
      <c r="AR5208" s="152"/>
      <c r="AS5208" s="152"/>
      <c r="AT5208" s="152"/>
      <c r="AU5208" s="226"/>
      <c r="AV5208" s="226"/>
      <c r="AW5208" s="226"/>
      <c r="AX5208" s="226"/>
      <c r="AY5208" s="226"/>
      <c r="AZ5208" s="152"/>
      <c r="BA5208" s="152"/>
      <c r="BB5208" s="152"/>
      <c r="BC5208" s="152"/>
      <c r="BD5208" s="152"/>
      <c r="BE5208" s="152"/>
      <c r="BF5208" s="152"/>
      <c r="BG5208" s="152"/>
      <c r="BH5208" s="152"/>
      <c r="BI5208" s="153"/>
      <c r="BJ5208" s="153"/>
      <c r="BK5208" s="227"/>
      <c r="BL5208" s="153"/>
      <c r="BM5208" s="153"/>
      <c r="BN5208" s="153"/>
      <c r="BO5208" s="153"/>
      <c r="BP5208" s="153"/>
      <c r="BQ5208" s="153"/>
      <c r="BR5208" s="153"/>
      <c r="BS5208" s="153"/>
      <c r="BT5208" s="153"/>
      <c r="BU5208" s="153"/>
      <c r="BV5208" s="153"/>
      <c r="BW5208" s="153"/>
      <c r="BX5208" s="153"/>
      <c r="BY5208" s="153"/>
      <c r="BZ5208" s="153"/>
      <c r="CA5208" s="152"/>
      <c r="CB5208" s="152"/>
    </row>
    <row r="5209" spans="1:80" ht="15" x14ac:dyDescent="0.25">
      <c r="A5209" s="9" t="s">
        <v>578</v>
      </c>
      <c r="B5209" s="639" t="s">
        <v>53</v>
      </c>
      <c r="C5209" s="639"/>
      <c r="D5209" s="4">
        <f>VLOOKUP(E5209,'Quality Code'!D4:E24,2,TRUE)*VLOOKUP(MROUND(F5209,10),'Quality Code'!D28:E69,2,TRUE)*VLOOKUP(COUNTA(CB5209:CB5219),'Quality Code'!D73:E93,2,TRUE)</f>
        <v>0.72916375</v>
      </c>
      <c r="E5209" s="14">
        <v>0.35</v>
      </c>
      <c r="F5209" s="18">
        <v>47</v>
      </c>
      <c r="G5209" s="25"/>
      <c r="H5209" s="2" t="s">
        <v>231</v>
      </c>
      <c r="I5209" s="2">
        <v>20</v>
      </c>
      <c r="J5209" s="2">
        <v>60</v>
      </c>
      <c r="K5209" s="2">
        <v>2</v>
      </c>
      <c r="L5209" s="639">
        <v>40</v>
      </c>
      <c r="M5209" s="640" t="s">
        <v>891</v>
      </c>
      <c r="N5209" s="578" t="s">
        <v>285</v>
      </c>
      <c r="O5209" s="578"/>
      <c r="P5209" s="10"/>
      <c r="Q5209" s="10"/>
      <c r="R5209" s="10"/>
      <c r="S5209" s="10"/>
      <c r="T5209" s="10"/>
      <c r="U5209" s="10"/>
      <c r="V5209" s="10"/>
      <c r="W5209" s="10"/>
      <c r="X5209" s="10"/>
      <c r="Y5209" s="10"/>
      <c r="Z5209" s="10"/>
      <c r="AA5209" s="10">
        <v>2.2000000000000002</v>
      </c>
      <c r="AB5209" s="11"/>
      <c r="AC5209" s="3">
        <v>4.0000000000000001E-3</v>
      </c>
      <c r="AD5209" s="26"/>
      <c r="AE5209" s="26"/>
      <c r="AF5209" s="26"/>
      <c r="AG5209" s="10"/>
      <c r="AH5209" s="345"/>
      <c r="AI5209" s="2">
        <v>3</v>
      </c>
      <c r="AJ5209" s="17"/>
      <c r="AK5209" s="10"/>
      <c r="AL5209" s="17"/>
      <c r="AM5209" s="17"/>
      <c r="AN5209" s="17"/>
      <c r="AO5209" s="17"/>
      <c r="AP5209" s="17"/>
      <c r="AQ5209" s="17"/>
      <c r="AR5209" s="17"/>
      <c r="AS5209" s="17"/>
      <c r="AT5209" s="17"/>
      <c r="AU5209" s="18">
        <v>45</v>
      </c>
      <c r="AV5209" s="481"/>
      <c r="AW5209" s="481"/>
      <c r="AX5209" s="481"/>
      <c r="AY5209" s="146"/>
      <c r="AZ5209" s="151"/>
      <c r="BA5209" s="845"/>
      <c r="BB5209" s="846"/>
      <c r="BC5209" s="846"/>
      <c r="BD5209" s="846"/>
      <c r="BE5209" s="847"/>
      <c r="BF5209" s="505"/>
      <c r="BG5209" s="505"/>
      <c r="BH5209" s="505"/>
      <c r="BI5209" s="4">
        <f>AU5209/AI5209</f>
        <v>15</v>
      </c>
      <c r="BJ5209" s="2"/>
      <c r="BK5209" s="2" t="s">
        <v>115</v>
      </c>
      <c r="BL5209" s="12"/>
      <c r="BM5209" s="12">
        <v>1.4</v>
      </c>
      <c r="BN5209" s="12">
        <v>5.0999999999999996</v>
      </c>
      <c r="BO5209" s="12">
        <v>0.4</v>
      </c>
      <c r="BP5209" s="12">
        <f>BO5209*BN5209</f>
        <v>2.04</v>
      </c>
      <c r="BQ5209" s="12">
        <f>BN5209/BO5209</f>
        <v>12.749999999999998</v>
      </c>
      <c r="BR5209" s="12"/>
      <c r="BS5209" s="12"/>
      <c r="BT5209" s="12"/>
      <c r="BU5209" s="2"/>
      <c r="BV5209" s="2"/>
      <c r="BW5209" s="2"/>
      <c r="BX5209" s="2"/>
      <c r="BY5209" s="2"/>
      <c r="BZ5209" s="2"/>
      <c r="CA5209" s="9"/>
      <c r="CB5209" s="9" t="s">
        <v>288</v>
      </c>
    </row>
    <row r="5210" spans="1:80" s="87" customFormat="1" x14ac:dyDescent="0.2">
      <c r="A5210" s="257"/>
      <c r="B5210" s="667"/>
      <c r="C5210" s="667"/>
      <c r="D5210" s="292"/>
      <c r="E5210" s="215"/>
      <c r="F5210" s="215"/>
      <c r="G5210" s="153"/>
      <c r="H5210" s="257"/>
      <c r="I5210" s="257"/>
      <c r="J5210" s="257"/>
      <c r="K5210" s="257"/>
      <c r="L5210" s="667"/>
      <c r="M5210" s="670">
        <v>31532</v>
      </c>
      <c r="N5210" s="616">
        <v>0.24355199999999999</v>
      </c>
      <c r="O5210" s="617">
        <f t="shared" ref="O5210:O5256" si="23">SUM(P5210:U5210)</f>
        <v>7.664871082E-6</v>
      </c>
      <c r="P5210" s="150"/>
      <c r="Q5210" s="274"/>
      <c r="R5210" s="274"/>
      <c r="S5210" s="274"/>
      <c r="T5210" s="274"/>
      <c r="U5210" s="274">
        <v>7.664871082E-6</v>
      </c>
      <c r="V5210" s="274">
        <v>1.1339809272E-5</v>
      </c>
      <c r="W5210" s="274">
        <v>1.6694719206000002E-5</v>
      </c>
      <c r="X5210" s="274">
        <v>1.3334775718000002E-5</v>
      </c>
      <c r="Y5210" s="274" t="s">
        <v>29</v>
      </c>
      <c r="Z5210" s="150"/>
      <c r="AA5210" s="150"/>
      <c r="AB5210" s="152"/>
      <c r="AC5210" s="271"/>
      <c r="AD5210" s="257"/>
      <c r="AE5210" s="272"/>
      <c r="AF5210" s="224"/>
      <c r="AG5210" s="153"/>
      <c r="AH5210" s="346"/>
      <c r="AI5210" s="153"/>
      <c r="AJ5210" s="480"/>
      <c r="AK5210" s="153"/>
      <c r="AL5210" s="152"/>
      <c r="AM5210" s="152"/>
      <c r="AN5210" s="152"/>
      <c r="AO5210" s="152"/>
      <c r="AP5210" s="152"/>
      <c r="AQ5210" s="152"/>
      <c r="AR5210" s="152"/>
      <c r="AS5210" s="152"/>
      <c r="AT5210" s="152"/>
      <c r="AU5210" s="226"/>
      <c r="AV5210" s="226"/>
      <c r="AW5210" s="226"/>
      <c r="AX5210" s="226"/>
      <c r="AY5210" s="226"/>
      <c r="AZ5210" s="152"/>
      <c r="BA5210" s="152"/>
      <c r="BB5210" s="152"/>
      <c r="BC5210" s="152"/>
      <c r="BD5210" s="152"/>
      <c r="BE5210" s="152"/>
      <c r="BF5210" s="152"/>
      <c r="BG5210" s="152"/>
      <c r="BH5210" s="152"/>
      <c r="BI5210" s="153"/>
      <c r="BJ5210" s="153"/>
      <c r="BK5210" s="150" t="s">
        <v>114</v>
      </c>
      <c r="BL5210" s="153"/>
      <c r="BM5210" s="153"/>
      <c r="BN5210" s="153"/>
      <c r="BO5210" s="153"/>
      <c r="BP5210" s="153"/>
      <c r="BQ5210" s="153"/>
      <c r="BR5210" s="153"/>
      <c r="BS5210" s="153"/>
      <c r="BT5210" s="153"/>
      <c r="BU5210" s="153"/>
      <c r="BV5210" s="153"/>
      <c r="BW5210" s="153"/>
      <c r="BX5210" s="153"/>
      <c r="BY5210" s="153"/>
      <c r="BZ5210" s="153"/>
      <c r="CA5210" s="152"/>
      <c r="CB5210" s="152" t="s">
        <v>575</v>
      </c>
    </row>
    <row r="5211" spans="1:80" s="87" customFormat="1" x14ac:dyDescent="0.2">
      <c r="A5211" s="257"/>
      <c r="B5211" s="667"/>
      <c r="C5211" s="667"/>
      <c r="D5211" s="292"/>
      <c r="E5211" s="215"/>
      <c r="F5211" s="215"/>
      <c r="G5211" s="153"/>
      <c r="H5211" s="257"/>
      <c r="I5211" s="257"/>
      <c r="J5211" s="257"/>
      <c r="K5211" s="257"/>
      <c r="L5211" s="667"/>
      <c r="M5211" s="670">
        <v>31544</v>
      </c>
      <c r="N5211" s="600">
        <v>0.39648</v>
      </c>
      <c r="O5211" s="617">
        <f t="shared" si="23"/>
        <v>4.5569233556000003E-5</v>
      </c>
      <c r="P5211" s="150"/>
      <c r="Q5211" s="274"/>
      <c r="R5211" s="231"/>
      <c r="S5211" s="231"/>
      <c r="T5211" s="231">
        <v>1.889968212E-5</v>
      </c>
      <c r="U5211" s="231">
        <v>2.6669551436000003E-5</v>
      </c>
      <c r="V5211" s="231">
        <v>4.3259272408000007E-5</v>
      </c>
      <c r="W5211" s="231">
        <v>5.5019074616E-5</v>
      </c>
      <c r="X5211" s="231">
        <v>5.3339102872000007E-5</v>
      </c>
      <c r="Y5211" s="274" t="s">
        <v>29</v>
      </c>
      <c r="Z5211" s="150"/>
      <c r="AA5211" s="150"/>
      <c r="AB5211" s="152"/>
      <c r="AC5211" s="271"/>
      <c r="AD5211" s="257"/>
      <c r="AE5211" s="272"/>
      <c r="AF5211" s="224"/>
      <c r="AG5211" s="153"/>
      <c r="AH5211" s="346"/>
      <c r="AI5211" s="153"/>
      <c r="AJ5211" s="480"/>
      <c r="AK5211" s="153"/>
      <c r="AL5211" s="152"/>
      <c r="AM5211" s="152"/>
      <c r="AN5211" s="152"/>
      <c r="AO5211" s="152"/>
      <c r="AP5211" s="152"/>
      <c r="AQ5211" s="152"/>
      <c r="AR5211" s="152"/>
      <c r="AS5211" s="152"/>
      <c r="AT5211" s="152"/>
      <c r="AU5211" s="226"/>
      <c r="AV5211" s="226"/>
      <c r="AW5211" s="226"/>
      <c r="AX5211" s="226"/>
      <c r="AY5211" s="226"/>
      <c r="AZ5211" s="152"/>
      <c r="BA5211" s="152"/>
      <c r="BB5211" s="152"/>
      <c r="BC5211" s="152"/>
      <c r="BD5211" s="152"/>
      <c r="BE5211" s="152"/>
      <c r="BF5211" s="152"/>
      <c r="BG5211" s="152"/>
      <c r="BH5211" s="152"/>
      <c r="BI5211" s="153"/>
      <c r="BJ5211" s="153"/>
      <c r="BK5211" s="150" t="s">
        <v>114</v>
      </c>
      <c r="BL5211" s="153"/>
      <c r="BM5211" s="153"/>
      <c r="BN5211" s="153"/>
      <c r="BO5211" s="153"/>
      <c r="BP5211" s="153"/>
      <c r="BQ5211" s="153"/>
      <c r="BR5211" s="153"/>
      <c r="BS5211" s="153"/>
      <c r="BT5211" s="153"/>
      <c r="BU5211" s="153"/>
      <c r="BV5211" s="153"/>
      <c r="BW5211" s="153"/>
      <c r="BX5211" s="153"/>
      <c r="BY5211" s="153"/>
      <c r="BZ5211" s="153"/>
      <c r="CA5211" s="152"/>
      <c r="CB5211" s="152"/>
    </row>
    <row r="5212" spans="1:80" s="87" customFormat="1" x14ac:dyDescent="0.2">
      <c r="A5212" s="257"/>
      <c r="B5212" s="667"/>
      <c r="C5212" s="667"/>
      <c r="D5212" s="292"/>
      <c r="E5212" s="215"/>
      <c r="F5212" s="215"/>
      <c r="G5212" s="153"/>
      <c r="H5212" s="257"/>
      <c r="I5212" s="257"/>
      <c r="J5212" s="257"/>
      <c r="K5212" s="257"/>
      <c r="L5212" s="667"/>
      <c r="M5212" s="670">
        <v>31553</v>
      </c>
      <c r="N5212" s="618">
        <v>1.1044800000000001</v>
      </c>
      <c r="O5212" s="617">
        <f t="shared" si="23"/>
        <v>6.7362667005039997E-3</v>
      </c>
      <c r="P5212" s="150"/>
      <c r="Q5212" s="274"/>
      <c r="R5212" s="278">
        <v>3.1950962606200001E-3</v>
      </c>
      <c r="S5212" s="278">
        <v>1.09828152764E-3</v>
      </c>
      <c r="T5212" s="278">
        <v>1.1864800442000002E-3</v>
      </c>
      <c r="U5212" s="278">
        <v>1.2564088680440001E-3</v>
      </c>
      <c r="V5212" s="278">
        <v>1.3304326230139999E-3</v>
      </c>
      <c r="W5212" s="278">
        <v>1.1822801148400001E-3</v>
      </c>
      <c r="X5212" s="278">
        <v>7.5220734837599999E-4</v>
      </c>
      <c r="Y5212" s="274" t="s">
        <v>29</v>
      </c>
      <c r="Z5212" s="150"/>
      <c r="AA5212" s="150"/>
      <c r="AB5212" s="152"/>
      <c r="AC5212" s="271"/>
      <c r="AD5212" s="257"/>
      <c r="AE5212" s="272"/>
      <c r="AF5212" s="224"/>
      <c r="AG5212" s="153"/>
      <c r="AH5212" s="346"/>
      <c r="AI5212" s="153"/>
      <c r="AJ5212" s="480"/>
      <c r="AK5212" s="153"/>
      <c r="AL5212" s="152"/>
      <c r="AM5212" s="152"/>
      <c r="AN5212" s="152"/>
      <c r="AO5212" s="152"/>
      <c r="AP5212" s="152"/>
      <c r="AQ5212" s="152"/>
      <c r="AR5212" s="152"/>
      <c r="AS5212" s="152"/>
      <c r="AT5212" s="152"/>
      <c r="AU5212" s="226"/>
      <c r="AV5212" s="226"/>
      <c r="AW5212" s="226"/>
      <c r="AX5212" s="226"/>
      <c r="AY5212" s="226"/>
      <c r="AZ5212" s="152"/>
      <c r="BA5212" s="152"/>
      <c r="BB5212" s="152"/>
      <c r="BC5212" s="152"/>
      <c r="BD5212" s="152"/>
      <c r="BE5212" s="152"/>
      <c r="BF5212" s="152"/>
      <c r="BG5212" s="152"/>
      <c r="BH5212" s="152"/>
      <c r="BI5212" s="153"/>
      <c r="BJ5212" s="153"/>
      <c r="BK5212" s="150" t="s">
        <v>114</v>
      </c>
      <c r="BL5212" s="153"/>
      <c r="BM5212" s="153"/>
      <c r="BN5212" s="153"/>
      <c r="BO5212" s="153"/>
      <c r="BP5212" s="153"/>
      <c r="BQ5212" s="153"/>
      <c r="BR5212" s="153"/>
      <c r="BS5212" s="153"/>
      <c r="BT5212" s="153"/>
      <c r="BU5212" s="153"/>
      <c r="BV5212" s="153"/>
      <c r="BW5212" s="153"/>
      <c r="BX5212" s="153"/>
      <c r="BY5212" s="153"/>
      <c r="BZ5212" s="153"/>
      <c r="CA5212" s="152"/>
      <c r="CB5212" s="152"/>
    </row>
    <row r="5213" spans="1:80" s="87" customFormat="1" x14ac:dyDescent="0.2">
      <c r="A5213" s="257"/>
      <c r="B5213" s="667"/>
      <c r="C5213" s="667"/>
      <c r="D5213" s="292"/>
      <c r="E5213" s="215"/>
      <c r="F5213" s="215"/>
      <c r="G5213" s="153"/>
      <c r="H5213" s="257"/>
      <c r="I5213" s="257"/>
      <c r="J5213" s="257"/>
      <c r="K5213" s="257"/>
      <c r="L5213" s="667"/>
      <c r="M5213" s="670">
        <v>31553</v>
      </c>
      <c r="N5213" s="600">
        <v>1.07616</v>
      </c>
      <c r="O5213" s="617">
        <f t="shared" si="23"/>
        <v>3.3558485568739999E-3</v>
      </c>
      <c r="P5213" s="150"/>
      <c r="Q5213" s="274"/>
      <c r="R5213" s="231"/>
      <c r="S5213" s="231"/>
      <c r="T5213" s="231">
        <v>2.43805899348E-3</v>
      </c>
      <c r="U5213" s="231">
        <v>9.1778956339400009E-4</v>
      </c>
      <c r="V5213" s="231">
        <v>1.185535060094E-3</v>
      </c>
      <c r="W5213" s="231">
        <v>1.1041614287440001E-3</v>
      </c>
      <c r="X5213" s="231">
        <v>5.9114005742000005E-4</v>
      </c>
      <c r="Y5213" s="274" t="s">
        <v>29</v>
      </c>
      <c r="Z5213" s="150"/>
      <c r="AA5213" s="150"/>
      <c r="AB5213" s="152"/>
      <c r="AC5213" s="271"/>
      <c r="AD5213" s="257"/>
      <c r="AE5213" s="272"/>
      <c r="AF5213" s="224"/>
      <c r="AG5213" s="153"/>
      <c r="AH5213" s="346"/>
      <c r="AI5213" s="153"/>
      <c r="AJ5213" s="480"/>
      <c r="AK5213" s="153"/>
      <c r="AL5213" s="152"/>
      <c r="AM5213" s="152"/>
      <c r="AN5213" s="152"/>
      <c r="AO5213" s="152"/>
      <c r="AP5213" s="152"/>
      <c r="AQ5213" s="152"/>
      <c r="AR5213" s="152"/>
      <c r="AS5213" s="152"/>
      <c r="AT5213" s="152"/>
      <c r="AU5213" s="226"/>
      <c r="AV5213" s="226"/>
      <c r="AW5213" s="226"/>
      <c r="AX5213" s="226"/>
      <c r="AY5213" s="226"/>
      <c r="AZ5213" s="152"/>
      <c r="BA5213" s="152"/>
      <c r="BB5213" s="152"/>
      <c r="BC5213" s="152"/>
      <c r="BD5213" s="152"/>
      <c r="BE5213" s="152"/>
      <c r="BF5213" s="152"/>
      <c r="BG5213" s="152"/>
      <c r="BH5213" s="152"/>
      <c r="BI5213" s="153"/>
      <c r="BJ5213" s="153"/>
      <c r="BK5213" s="150" t="s">
        <v>114</v>
      </c>
      <c r="BL5213" s="153"/>
      <c r="BM5213" s="153"/>
      <c r="BN5213" s="153"/>
      <c r="BO5213" s="153"/>
      <c r="BP5213" s="153"/>
      <c r="BQ5213" s="153"/>
      <c r="BR5213" s="153"/>
      <c r="BS5213" s="153"/>
      <c r="BT5213" s="153"/>
      <c r="BU5213" s="153"/>
      <c r="BV5213" s="153"/>
      <c r="BW5213" s="153"/>
      <c r="BX5213" s="153"/>
      <c r="BY5213" s="153"/>
      <c r="BZ5213" s="153"/>
      <c r="CA5213" s="152"/>
      <c r="CB5213" s="152"/>
    </row>
    <row r="5214" spans="1:80" s="87" customFormat="1" x14ac:dyDescent="0.2">
      <c r="A5214" s="257"/>
      <c r="B5214" s="667"/>
      <c r="C5214" s="667"/>
      <c r="D5214" s="292"/>
      <c r="E5214" s="215"/>
      <c r="F5214" s="215"/>
      <c r="G5214" s="153"/>
      <c r="H5214" s="257"/>
      <c r="I5214" s="257"/>
      <c r="J5214" s="257"/>
      <c r="K5214" s="257"/>
      <c r="L5214" s="667"/>
      <c r="M5214" s="670">
        <v>31564</v>
      </c>
      <c r="N5214" s="600">
        <v>1.52928</v>
      </c>
      <c r="O5214" s="617">
        <f t="shared" si="23"/>
        <v>4.4619839524172006E-2</v>
      </c>
      <c r="P5214" s="150"/>
      <c r="Q5214" s="274"/>
      <c r="R5214" s="231">
        <v>1.0594321810599999E-2</v>
      </c>
      <c r="S5214" s="231">
        <v>1.007773049932E-2</v>
      </c>
      <c r="T5214" s="231">
        <v>1.2101046468500002E-2</v>
      </c>
      <c r="U5214" s="231">
        <v>1.1846740745752E-2</v>
      </c>
      <c r="V5214" s="231">
        <v>9.3344480008339999E-3</v>
      </c>
      <c r="W5214" s="231">
        <v>8.6337947853520006E-3</v>
      </c>
      <c r="X5214" s="231">
        <v>5.2227171573940006E-3</v>
      </c>
      <c r="Y5214" s="274" t="s">
        <v>29</v>
      </c>
      <c r="Z5214" s="150"/>
      <c r="AA5214" s="150"/>
      <c r="AB5214" s="152"/>
      <c r="AC5214" s="271"/>
      <c r="AD5214" s="257"/>
      <c r="AE5214" s="272"/>
      <c r="AF5214" s="224"/>
      <c r="AG5214" s="153"/>
      <c r="AH5214" s="346"/>
      <c r="AI5214" s="153"/>
      <c r="AJ5214" s="480"/>
      <c r="AK5214" s="153"/>
      <c r="AL5214" s="152"/>
      <c r="AM5214" s="152"/>
      <c r="AN5214" s="152"/>
      <c r="AO5214" s="152"/>
      <c r="AP5214" s="152"/>
      <c r="AQ5214" s="152"/>
      <c r="AR5214" s="152"/>
      <c r="AS5214" s="152"/>
      <c r="AT5214" s="152"/>
      <c r="AU5214" s="226"/>
      <c r="AV5214" s="226"/>
      <c r="AW5214" s="226"/>
      <c r="AX5214" s="226"/>
      <c r="AY5214" s="226"/>
      <c r="AZ5214" s="152"/>
      <c r="BA5214" s="152"/>
      <c r="BB5214" s="152"/>
      <c r="BC5214" s="152"/>
      <c r="BD5214" s="152"/>
      <c r="BE5214" s="152"/>
      <c r="BF5214" s="152"/>
      <c r="BG5214" s="152"/>
      <c r="BH5214" s="152"/>
      <c r="BI5214" s="153"/>
      <c r="BJ5214" s="153"/>
      <c r="BK5214" s="150" t="s">
        <v>114</v>
      </c>
      <c r="BL5214" s="153"/>
      <c r="BM5214" s="153"/>
      <c r="BN5214" s="153"/>
      <c r="BO5214" s="153"/>
      <c r="BP5214" s="153"/>
      <c r="BQ5214" s="153"/>
      <c r="BR5214" s="153"/>
      <c r="BS5214" s="153"/>
      <c r="BT5214" s="153"/>
      <c r="BU5214" s="153"/>
      <c r="BV5214" s="153"/>
      <c r="BW5214" s="153"/>
      <c r="BX5214" s="153"/>
      <c r="BY5214" s="153"/>
      <c r="BZ5214" s="153"/>
      <c r="CA5214" s="152"/>
      <c r="CB5214" s="152"/>
    </row>
    <row r="5215" spans="1:80" s="87" customFormat="1" x14ac:dyDescent="0.2">
      <c r="A5215" s="257"/>
      <c r="B5215" s="667"/>
      <c r="C5215" s="667"/>
      <c r="D5215" s="292"/>
      <c r="E5215" s="215"/>
      <c r="F5215" s="215"/>
      <c r="G5215" s="153"/>
      <c r="H5215" s="257"/>
      <c r="I5215" s="257"/>
      <c r="J5215" s="257"/>
      <c r="K5215" s="257"/>
      <c r="L5215" s="667"/>
      <c r="M5215" s="670">
        <v>31564</v>
      </c>
      <c r="N5215" s="600">
        <v>1.6142400000000001</v>
      </c>
      <c r="O5215" s="617">
        <f t="shared" si="23"/>
        <v>5.1982420690485996E-2</v>
      </c>
      <c r="P5215" s="150"/>
      <c r="Q5215" s="274"/>
      <c r="R5215" s="231">
        <v>1.4666153325120002E-2</v>
      </c>
      <c r="S5215" s="231">
        <v>1.6045830119879999E-2</v>
      </c>
      <c r="T5215" s="231">
        <v>1.0619521386760001E-2</v>
      </c>
      <c r="U5215" s="231">
        <v>1.0650915858725999E-2</v>
      </c>
      <c r="V5215" s="231">
        <v>9.0324730798499991E-3</v>
      </c>
      <c r="W5215" s="231">
        <v>7.3138619857380004E-3</v>
      </c>
      <c r="X5215" s="231">
        <v>5.703084077944E-3</v>
      </c>
      <c r="Y5215" s="274" t="s">
        <v>29</v>
      </c>
      <c r="Z5215" s="150"/>
      <c r="AA5215" s="150"/>
      <c r="AB5215" s="152"/>
      <c r="AC5215" s="271"/>
      <c r="AD5215" s="257"/>
      <c r="AE5215" s="272"/>
      <c r="AF5215" s="224"/>
      <c r="AG5215" s="153"/>
      <c r="AH5215" s="346"/>
      <c r="AI5215" s="153"/>
      <c r="AJ5215" s="480"/>
      <c r="AK5215" s="153"/>
      <c r="AL5215" s="152"/>
      <c r="AM5215" s="152"/>
      <c r="AN5215" s="152"/>
      <c r="AO5215" s="152"/>
      <c r="AP5215" s="152"/>
      <c r="AQ5215" s="152"/>
      <c r="AR5215" s="152"/>
      <c r="AS5215" s="152"/>
      <c r="AT5215" s="152"/>
      <c r="AU5215" s="226"/>
      <c r="AV5215" s="226"/>
      <c r="AW5215" s="226"/>
      <c r="AX5215" s="226"/>
      <c r="AY5215" s="226"/>
      <c r="AZ5215" s="152"/>
      <c r="BA5215" s="152"/>
      <c r="BB5215" s="152"/>
      <c r="BC5215" s="152"/>
      <c r="BD5215" s="152"/>
      <c r="BE5215" s="152"/>
      <c r="BF5215" s="152"/>
      <c r="BG5215" s="152"/>
      <c r="BH5215" s="152"/>
      <c r="BI5215" s="153"/>
      <c r="BJ5215" s="153"/>
      <c r="BK5215" s="150" t="s">
        <v>114</v>
      </c>
      <c r="BL5215" s="153"/>
      <c r="BM5215" s="153"/>
      <c r="BN5215" s="153"/>
      <c r="BO5215" s="153"/>
      <c r="BP5215" s="153"/>
      <c r="BQ5215" s="153"/>
      <c r="BR5215" s="153"/>
      <c r="BS5215" s="153"/>
      <c r="BT5215" s="153"/>
      <c r="BU5215" s="153"/>
      <c r="BV5215" s="153"/>
      <c r="BW5215" s="153"/>
      <c r="BX5215" s="153"/>
      <c r="BY5215" s="153"/>
      <c r="BZ5215" s="153"/>
      <c r="CA5215" s="152"/>
      <c r="CB5215" s="152"/>
    </row>
    <row r="5216" spans="1:80" s="87" customFormat="1" x14ac:dyDescent="0.2">
      <c r="A5216" s="257"/>
      <c r="B5216" s="667"/>
      <c r="C5216" s="667"/>
      <c r="D5216" s="292"/>
      <c r="E5216" s="215"/>
      <c r="F5216" s="215"/>
      <c r="G5216" s="153"/>
      <c r="H5216" s="257"/>
      <c r="I5216" s="257"/>
      <c r="J5216" s="257"/>
      <c r="K5216" s="257"/>
      <c r="L5216" s="667"/>
      <c r="M5216" s="670">
        <v>31564</v>
      </c>
      <c r="N5216" s="600">
        <v>1.8124800000000001</v>
      </c>
      <c r="O5216" s="617">
        <f t="shared" si="23"/>
        <v>4.8818823900066005E-2</v>
      </c>
      <c r="P5216" s="150"/>
      <c r="Q5216" s="274">
        <v>9.8971335368400002E-3</v>
      </c>
      <c r="R5216" s="231">
        <v>1.3950065369240001E-2</v>
      </c>
      <c r="S5216" s="231">
        <v>8.9395496427600012E-3</v>
      </c>
      <c r="T5216" s="231">
        <v>7.0789809362800001E-3</v>
      </c>
      <c r="U5216" s="231">
        <v>8.9530944149459994E-3</v>
      </c>
      <c r="V5216" s="231">
        <v>7.1624545323100003E-3</v>
      </c>
      <c r="W5216" s="231">
        <v>6.0519932095260002E-3</v>
      </c>
      <c r="X5216" s="231">
        <v>4.4071958739160004E-3</v>
      </c>
      <c r="Y5216" s="274" t="s">
        <v>29</v>
      </c>
      <c r="Z5216" s="150"/>
      <c r="AA5216" s="150"/>
      <c r="AB5216" s="152"/>
      <c r="AC5216" s="271"/>
      <c r="AD5216" s="257"/>
      <c r="AE5216" s="272"/>
      <c r="AF5216" s="224"/>
      <c r="AG5216" s="153"/>
      <c r="AH5216" s="346"/>
      <c r="AI5216" s="153"/>
      <c r="AJ5216" s="480"/>
      <c r="AK5216" s="153"/>
      <c r="AL5216" s="152"/>
      <c r="AM5216" s="152"/>
      <c r="AN5216" s="152"/>
      <c r="AO5216" s="152"/>
      <c r="AP5216" s="152"/>
      <c r="AQ5216" s="152"/>
      <c r="AR5216" s="152"/>
      <c r="AS5216" s="152"/>
      <c r="AT5216" s="152"/>
      <c r="AU5216" s="226"/>
      <c r="AV5216" s="226"/>
      <c r="AW5216" s="226"/>
      <c r="AX5216" s="226"/>
      <c r="AY5216" s="226"/>
      <c r="AZ5216" s="152"/>
      <c r="BA5216" s="152"/>
      <c r="BB5216" s="152"/>
      <c r="BC5216" s="152"/>
      <c r="BD5216" s="152"/>
      <c r="BE5216" s="152"/>
      <c r="BF5216" s="152"/>
      <c r="BG5216" s="152"/>
      <c r="BH5216" s="152"/>
      <c r="BI5216" s="153"/>
      <c r="BJ5216" s="153"/>
      <c r="BK5216" s="150" t="s">
        <v>114</v>
      </c>
      <c r="BL5216" s="153"/>
      <c r="BM5216" s="153"/>
      <c r="BN5216" s="153"/>
      <c r="BO5216" s="153"/>
      <c r="BP5216" s="153"/>
      <c r="BQ5216" s="153"/>
      <c r="BR5216" s="153"/>
      <c r="BS5216" s="153"/>
      <c r="BT5216" s="153"/>
      <c r="BU5216" s="153"/>
      <c r="BV5216" s="153"/>
      <c r="BW5216" s="153"/>
      <c r="BX5216" s="153"/>
      <c r="BY5216" s="153"/>
      <c r="BZ5216" s="153"/>
      <c r="CA5216" s="152"/>
      <c r="CB5216" s="152"/>
    </row>
    <row r="5217" spans="1:80" s="87" customFormat="1" x14ac:dyDescent="0.2">
      <c r="A5217" s="257"/>
      <c r="B5217" s="667"/>
      <c r="C5217" s="667"/>
      <c r="D5217" s="292"/>
      <c r="E5217" s="215"/>
      <c r="F5217" s="215"/>
      <c r="G5217" s="153"/>
      <c r="H5217" s="257"/>
      <c r="I5217" s="257"/>
      <c r="J5217" s="257"/>
      <c r="K5217" s="257"/>
      <c r="L5217" s="667"/>
      <c r="M5217" s="670">
        <v>31564</v>
      </c>
      <c r="N5217" s="600">
        <v>1.8124800000000001</v>
      </c>
      <c r="O5217" s="617">
        <f t="shared" si="23"/>
        <v>4.8791209364524003E-2</v>
      </c>
      <c r="P5217" s="150"/>
      <c r="Q5217" s="274"/>
      <c r="R5217" s="231">
        <v>1.1018514675960002E-2</v>
      </c>
      <c r="S5217" s="231">
        <v>1.3376775011600001E-2</v>
      </c>
      <c r="T5217" s="231">
        <v>1.0436824459599999E-2</v>
      </c>
      <c r="U5217" s="231">
        <v>1.3959095217364001E-2</v>
      </c>
      <c r="V5217" s="231">
        <v>1.184852571573E-2</v>
      </c>
      <c r="W5217" s="231">
        <v>8.2093919235240002E-3</v>
      </c>
      <c r="X5217" s="231">
        <v>5.8429417256319997E-3</v>
      </c>
      <c r="Y5217" s="274" t="s">
        <v>29</v>
      </c>
      <c r="Z5217" s="150"/>
      <c r="AA5217" s="150"/>
      <c r="AB5217" s="152"/>
      <c r="AC5217" s="271"/>
      <c r="AD5217" s="257"/>
      <c r="AE5217" s="272"/>
      <c r="AF5217" s="224"/>
      <c r="AG5217" s="153"/>
      <c r="AH5217" s="346"/>
      <c r="AI5217" s="153"/>
      <c r="AJ5217" s="480"/>
      <c r="AK5217" s="153"/>
      <c r="AL5217" s="152"/>
      <c r="AM5217" s="152"/>
      <c r="AN5217" s="152"/>
      <c r="AO5217" s="152"/>
      <c r="AP5217" s="152"/>
      <c r="AQ5217" s="152"/>
      <c r="AR5217" s="152"/>
      <c r="AS5217" s="152"/>
      <c r="AT5217" s="152"/>
      <c r="AU5217" s="226"/>
      <c r="AV5217" s="226"/>
      <c r="AW5217" s="226"/>
      <c r="AX5217" s="226"/>
      <c r="AY5217" s="226"/>
      <c r="AZ5217" s="152"/>
      <c r="BA5217" s="152"/>
      <c r="BB5217" s="152"/>
      <c r="BC5217" s="152"/>
      <c r="BD5217" s="152"/>
      <c r="BE5217" s="152"/>
      <c r="BF5217" s="152"/>
      <c r="BG5217" s="152"/>
      <c r="BH5217" s="152"/>
      <c r="BI5217" s="153"/>
      <c r="BJ5217" s="153"/>
      <c r="BK5217" s="150" t="s">
        <v>114</v>
      </c>
      <c r="BL5217" s="153"/>
      <c r="BM5217" s="153"/>
      <c r="BN5217" s="153"/>
      <c r="BO5217" s="153"/>
      <c r="BP5217" s="153"/>
      <c r="BQ5217" s="153"/>
      <c r="BR5217" s="153"/>
      <c r="BS5217" s="153"/>
      <c r="BT5217" s="153"/>
      <c r="BU5217" s="153"/>
      <c r="BV5217" s="153"/>
      <c r="BW5217" s="153"/>
      <c r="BX5217" s="153"/>
      <c r="BY5217" s="153"/>
      <c r="BZ5217" s="153"/>
      <c r="CA5217" s="152"/>
      <c r="CB5217" s="152"/>
    </row>
    <row r="5218" spans="1:80" s="87" customFormat="1" x14ac:dyDescent="0.2">
      <c r="A5218" s="257"/>
      <c r="B5218" s="667"/>
      <c r="C5218" s="667"/>
      <c r="D5218" s="292"/>
      <c r="E5218" s="215"/>
      <c r="F5218" s="215"/>
      <c r="G5218" s="153"/>
      <c r="H5218" s="257"/>
      <c r="I5218" s="257"/>
      <c r="J5218" s="257"/>
      <c r="K5218" s="257"/>
      <c r="L5218" s="667"/>
      <c r="M5218" s="670">
        <v>31564</v>
      </c>
      <c r="N5218" s="600">
        <v>1.6992</v>
      </c>
      <c r="O5218" s="617">
        <f t="shared" si="23"/>
        <v>1.0005386716094002E-2</v>
      </c>
      <c r="P5218" s="150"/>
      <c r="Q5218" s="274"/>
      <c r="R5218" s="231">
        <v>3.9773331039200006E-3</v>
      </c>
      <c r="S5218" s="231">
        <v>1.8028196777799999E-3</v>
      </c>
      <c r="T5218" s="231">
        <v>2.3320107771400002E-3</v>
      </c>
      <c r="U5218" s="231">
        <v>1.8932231572540001E-3</v>
      </c>
      <c r="V5218" s="231">
        <v>2.309961148E-3</v>
      </c>
      <c r="W5218" s="231">
        <v>2.500427944476E-3</v>
      </c>
      <c r="X5218" s="231">
        <v>1.6567671342860003E-3</v>
      </c>
      <c r="Y5218" s="274" t="s">
        <v>29</v>
      </c>
      <c r="Z5218" s="150"/>
      <c r="AA5218" s="150"/>
      <c r="AB5218" s="152"/>
      <c r="AC5218" s="271"/>
      <c r="AD5218" s="257"/>
      <c r="AE5218" s="272"/>
      <c r="AF5218" s="224"/>
      <c r="AG5218" s="153"/>
      <c r="AH5218" s="346"/>
      <c r="AI5218" s="153"/>
      <c r="AJ5218" s="480"/>
      <c r="AK5218" s="153"/>
      <c r="AL5218" s="152"/>
      <c r="AM5218" s="152"/>
      <c r="AN5218" s="152"/>
      <c r="AO5218" s="152"/>
      <c r="AP5218" s="152"/>
      <c r="AQ5218" s="152"/>
      <c r="AR5218" s="152"/>
      <c r="AS5218" s="152"/>
      <c r="AT5218" s="152"/>
      <c r="AU5218" s="226"/>
      <c r="AV5218" s="226"/>
      <c r="AW5218" s="226"/>
      <c r="AX5218" s="226"/>
      <c r="AY5218" s="226"/>
      <c r="AZ5218" s="152"/>
      <c r="BA5218" s="152"/>
      <c r="BB5218" s="152"/>
      <c r="BC5218" s="152"/>
      <c r="BD5218" s="152"/>
      <c r="BE5218" s="152"/>
      <c r="BF5218" s="152"/>
      <c r="BG5218" s="152"/>
      <c r="BH5218" s="152"/>
      <c r="BI5218" s="153"/>
      <c r="BJ5218" s="153"/>
      <c r="BK5218" s="150" t="s">
        <v>114</v>
      </c>
      <c r="BL5218" s="153"/>
      <c r="BM5218" s="153"/>
      <c r="BN5218" s="153"/>
      <c r="BO5218" s="153"/>
      <c r="BP5218" s="153"/>
      <c r="BQ5218" s="153"/>
      <c r="BR5218" s="153"/>
      <c r="BS5218" s="153"/>
      <c r="BT5218" s="153"/>
      <c r="BU5218" s="153"/>
      <c r="BV5218" s="153"/>
      <c r="BW5218" s="153"/>
      <c r="BX5218" s="153"/>
      <c r="BY5218" s="153"/>
      <c r="BZ5218" s="153"/>
      <c r="CA5218" s="152"/>
      <c r="CB5218" s="152"/>
    </row>
    <row r="5219" spans="1:80" s="87" customFormat="1" x14ac:dyDescent="0.2">
      <c r="A5219" s="257"/>
      <c r="B5219" s="667"/>
      <c r="C5219" s="667"/>
      <c r="D5219" s="292"/>
      <c r="E5219" s="215"/>
      <c r="F5219" s="215"/>
      <c r="G5219" s="153"/>
      <c r="H5219" s="257"/>
      <c r="I5219" s="257"/>
      <c r="J5219" s="257"/>
      <c r="K5219" s="257"/>
      <c r="L5219" s="667"/>
      <c r="M5219" s="670">
        <v>31565</v>
      </c>
      <c r="N5219" s="600">
        <v>1.6992</v>
      </c>
      <c r="O5219" s="617">
        <f t="shared" si="23"/>
        <v>2.6888787748592002E-2</v>
      </c>
      <c r="P5219" s="150"/>
      <c r="Q5219" s="274"/>
      <c r="R5219" s="231">
        <v>9.2198949275400007E-3</v>
      </c>
      <c r="S5219" s="231">
        <v>7.1913290466599994E-3</v>
      </c>
      <c r="T5219" s="231">
        <v>5.5481066845599995E-3</v>
      </c>
      <c r="U5219" s="231">
        <v>4.9294570898320003E-3</v>
      </c>
      <c r="V5219" s="231">
        <v>5.6358852081840006E-3</v>
      </c>
      <c r="W5219" s="231">
        <v>3.9332338456400003E-3</v>
      </c>
      <c r="X5219" s="231">
        <v>2.0955547541719999E-3</v>
      </c>
      <c r="Y5219" s="274" t="s">
        <v>29</v>
      </c>
      <c r="Z5219" s="150"/>
      <c r="AA5219" s="150"/>
      <c r="AB5219" s="152"/>
      <c r="AC5219" s="271"/>
      <c r="AD5219" s="257"/>
      <c r="AE5219" s="272"/>
      <c r="AF5219" s="224"/>
      <c r="AG5219" s="153"/>
      <c r="AH5219" s="346"/>
      <c r="AI5219" s="153"/>
      <c r="AJ5219" s="480"/>
      <c r="AK5219" s="153"/>
      <c r="AL5219" s="152"/>
      <c r="AM5219" s="152"/>
      <c r="AN5219" s="152"/>
      <c r="AO5219" s="152"/>
      <c r="AP5219" s="152"/>
      <c r="AQ5219" s="152"/>
      <c r="AR5219" s="152"/>
      <c r="AS5219" s="152"/>
      <c r="AT5219" s="152"/>
      <c r="AU5219" s="226"/>
      <c r="AV5219" s="226"/>
      <c r="AW5219" s="226"/>
      <c r="AX5219" s="226"/>
      <c r="AY5219" s="226"/>
      <c r="AZ5219" s="152"/>
      <c r="BA5219" s="152"/>
      <c r="BB5219" s="152"/>
      <c r="BC5219" s="152"/>
      <c r="BD5219" s="152"/>
      <c r="BE5219" s="152"/>
      <c r="BF5219" s="152"/>
      <c r="BG5219" s="152"/>
      <c r="BH5219" s="152"/>
      <c r="BI5219" s="153"/>
      <c r="BJ5219" s="153"/>
      <c r="BK5219" s="150" t="s">
        <v>114</v>
      </c>
      <c r="BL5219" s="153"/>
      <c r="BM5219" s="153"/>
      <c r="BN5219" s="153"/>
      <c r="BO5219" s="153"/>
      <c r="BP5219" s="153"/>
      <c r="BQ5219" s="153"/>
      <c r="BR5219" s="153"/>
      <c r="BS5219" s="153"/>
      <c r="BT5219" s="153"/>
      <c r="BU5219" s="153"/>
      <c r="BV5219" s="153"/>
      <c r="BW5219" s="153"/>
      <c r="BX5219" s="153"/>
      <c r="BY5219" s="153"/>
      <c r="BZ5219" s="153"/>
      <c r="CA5219" s="152"/>
      <c r="CB5219" s="152"/>
    </row>
    <row r="5220" spans="1:80" s="87" customFormat="1" x14ac:dyDescent="0.2">
      <c r="A5220" s="257"/>
      <c r="B5220" s="667"/>
      <c r="C5220" s="667"/>
      <c r="D5220" s="292"/>
      <c r="E5220" s="215"/>
      <c r="F5220" s="215"/>
      <c r="G5220" s="153"/>
      <c r="H5220" s="257"/>
      <c r="I5220" s="257"/>
      <c r="J5220" s="257"/>
      <c r="K5220" s="257"/>
      <c r="L5220" s="667"/>
      <c r="M5220" s="670">
        <v>31565</v>
      </c>
      <c r="N5220" s="600">
        <v>1.6992</v>
      </c>
      <c r="O5220" s="617">
        <f t="shared" si="23"/>
        <v>2.5154426919380003E-2</v>
      </c>
      <c r="P5220" s="150"/>
      <c r="Q5220" s="274"/>
      <c r="R5220" s="231">
        <v>4.2629283004E-3</v>
      </c>
      <c r="S5220" s="231">
        <v>9.3437928436600013E-3</v>
      </c>
      <c r="T5220" s="231">
        <v>5.3297103578400003E-3</v>
      </c>
      <c r="U5220" s="231">
        <v>6.2179954174799998E-3</v>
      </c>
      <c r="V5220" s="231">
        <v>4.6254872024019998E-3</v>
      </c>
      <c r="W5220" s="231">
        <v>2.4561186897280002E-3</v>
      </c>
      <c r="X5220" s="231">
        <v>1.2194494896759999E-3</v>
      </c>
      <c r="Y5220" s="274" t="s">
        <v>29</v>
      </c>
      <c r="Z5220" s="150"/>
      <c r="AA5220" s="150"/>
      <c r="AB5220" s="152"/>
      <c r="AC5220" s="271"/>
      <c r="AD5220" s="257"/>
      <c r="AE5220" s="272"/>
      <c r="AF5220" s="224"/>
      <c r="AG5220" s="153"/>
      <c r="AH5220" s="346"/>
      <c r="AI5220" s="153"/>
      <c r="AJ5220" s="480"/>
      <c r="AK5220" s="153"/>
      <c r="AL5220" s="152"/>
      <c r="AM5220" s="152"/>
      <c r="AN5220" s="152"/>
      <c r="AO5220" s="152"/>
      <c r="AP5220" s="152"/>
      <c r="AQ5220" s="152"/>
      <c r="AR5220" s="152"/>
      <c r="AS5220" s="152"/>
      <c r="AT5220" s="152"/>
      <c r="AU5220" s="226"/>
      <c r="AV5220" s="226"/>
      <c r="AW5220" s="226"/>
      <c r="AX5220" s="226"/>
      <c r="AY5220" s="226"/>
      <c r="AZ5220" s="152"/>
      <c r="BA5220" s="152"/>
      <c r="BB5220" s="152"/>
      <c r="BC5220" s="152"/>
      <c r="BD5220" s="152"/>
      <c r="BE5220" s="152"/>
      <c r="BF5220" s="152"/>
      <c r="BG5220" s="152"/>
      <c r="BH5220" s="152"/>
      <c r="BI5220" s="153"/>
      <c r="BJ5220" s="153"/>
      <c r="BK5220" s="150" t="s">
        <v>114</v>
      </c>
      <c r="BL5220" s="153"/>
      <c r="BM5220" s="153"/>
      <c r="BN5220" s="153"/>
      <c r="BO5220" s="153"/>
      <c r="BP5220" s="153"/>
      <c r="BQ5220" s="153"/>
      <c r="BR5220" s="153"/>
      <c r="BS5220" s="153"/>
      <c r="BT5220" s="153"/>
      <c r="BU5220" s="153"/>
      <c r="BV5220" s="153"/>
      <c r="BW5220" s="153"/>
      <c r="BX5220" s="153"/>
      <c r="BY5220" s="153"/>
      <c r="BZ5220" s="153"/>
      <c r="CA5220" s="152"/>
      <c r="CB5220" s="152"/>
    </row>
    <row r="5221" spans="1:80" s="87" customFormat="1" x14ac:dyDescent="0.2">
      <c r="A5221" s="257"/>
      <c r="B5221" s="667"/>
      <c r="C5221" s="667"/>
      <c r="D5221" s="292"/>
      <c r="E5221" s="215"/>
      <c r="F5221" s="215"/>
      <c r="G5221" s="153"/>
      <c r="H5221" s="257"/>
      <c r="I5221" s="257"/>
      <c r="J5221" s="257"/>
      <c r="K5221" s="257"/>
      <c r="L5221" s="667"/>
      <c r="M5221" s="670">
        <v>31565</v>
      </c>
      <c r="N5221" s="600">
        <v>1.6708800000000001</v>
      </c>
      <c r="O5221" s="617">
        <f t="shared" si="23"/>
        <v>1.6518742165816003E-2</v>
      </c>
      <c r="P5221" s="150"/>
      <c r="Q5221" s="274"/>
      <c r="R5221" s="231">
        <v>2.9515003577400001E-3</v>
      </c>
      <c r="S5221" s="231">
        <v>4.8603682518600002E-3</v>
      </c>
      <c r="T5221" s="231">
        <v>4.3122774703800004E-3</v>
      </c>
      <c r="U5221" s="231">
        <v>4.3945960858360004E-3</v>
      </c>
      <c r="V5221" s="231">
        <v>3.862045042988E-3</v>
      </c>
      <c r="W5221" s="231">
        <v>2.6452205091620001E-3</v>
      </c>
      <c r="X5221" s="231">
        <v>1.154665579298E-3</v>
      </c>
      <c r="Y5221" s="274" t="s">
        <v>29</v>
      </c>
      <c r="Z5221" s="150"/>
      <c r="AA5221" s="150"/>
      <c r="AB5221" s="152"/>
      <c r="AC5221" s="271"/>
      <c r="AD5221" s="257"/>
      <c r="AE5221" s="272"/>
      <c r="AF5221" s="224"/>
      <c r="AG5221" s="153"/>
      <c r="AH5221" s="346"/>
      <c r="AI5221" s="153"/>
      <c r="AJ5221" s="480"/>
      <c r="AK5221" s="153"/>
      <c r="AL5221" s="152"/>
      <c r="AM5221" s="152"/>
      <c r="AN5221" s="152"/>
      <c r="AO5221" s="152"/>
      <c r="AP5221" s="152"/>
      <c r="AQ5221" s="152"/>
      <c r="AR5221" s="152"/>
      <c r="AS5221" s="152"/>
      <c r="AT5221" s="152"/>
      <c r="AU5221" s="226"/>
      <c r="AV5221" s="226"/>
      <c r="AW5221" s="226"/>
      <c r="AX5221" s="226"/>
      <c r="AY5221" s="226"/>
      <c r="AZ5221" s="152"/>
      <c r="BA5221" s="152"/>
      <c r="BB5221" s="152"/>
      <c r="BC5221" s="152"/>
      <c r="BD5221" s="152"/>
      <c r="BE5221" s="152"/>
      <c r="BF5221" s="152"/>
      <c r="BG5221" s="152"/>
      <c r="BH5221" s="152"/>
      <c r="BI5221" s="153"/>
      <c r="BJ5221" s="153"/>
      <c r="BK5221" s="150" t="s">
        <v>114</v>
      </c>
      <c r="BL5221" s="153"/>
      <c r="BM5221" s="153"/>
      <c r="BN5221" s="153"/>
      <c r="BO5221" s="153"/>
      <c r="BP5221" s="153"/>
      <c r="BQ5221" s="153"/>
      <c r="BR5221" s="153"/>
      <c r="BS5221" s="153"/>
      <c r="BT5221" s="153"/>
      <c r="BU5221" s="153"/>
      <c r="BV5221" s="153"/>
      <c r="BW5221" s="153"/>
      <c r="BX5221" s="153"/>
      <c r="BY5221" s="153"/>
      <c r="BZ5221" s="153"/>
      <c r="CA5221" s="152"/>
      <c r="CB5221" s="152"/>
    </row>
    <row r="5222" spans="1:80" s="87" customFormat="1" x14ac:dyDescent="0.2">
      <c r="A5222" s="257"/>
      <c r="B5222" s="667"/>
      <c r="C5222" s="667"/>
      <c r="D5222" s="292"/>
      <c r="E5222" s="215"/>
      <c r="F5222" s="215"/>
      <c r="G5222" s="153"/>
      <c r="H5222" s="257"/>
      <c r="I5222" s="257"/>
      <c r="J5222" s="257"/>
      <c r="K5222" s="257"/>
      <c r="L5222" s="667"/>
      <c r="M5222" s="670">
        <v>31565</v>
      </c>
      <c r="N5222" s="600">
        <v>1.64256</v>
      </c>
      <c r="O5222" s="617">
        <f t="shared" si="23"/>
        <v>1.6569036319902E-2</v>
      </c>
      <c r="P5222" s="150"/>
      <c r="Q5222" s="274">
        <v>3.1205475144800003E-3</v>
      </c>
      <c r="R5222" s="231">
        <v>2.9725000045400002E-3</v>
      </c>
      <c r="S5222" s="231">
        <v>4.0235323268800003E-3</v>
      </c>
      <c r="T5222" s="231">
        <v>3.1898463489200002E-3</v>
      </c>
      <c r="U5222" s="231">
        <v>3.2626101250820003E-3</v>
      </c>
      <c r="V5222" s="231">
        <v>3.3543785815979997E-3</v>
      </c>
      <c r="W5222" s="231">
        <v>2.4874081634599999E-3</v>
      </c>
      <c r="X5222" s="231">
        <v>1.067412046844E-3</v>
      </c>
      <c r="Y5222" s="274" t="s">
        <v>29</v>
      </c>
      <c r="Z5222" s="150"/>
      <c r="AA5222" s="150"/>
      <c r="AB5222" s="152"/>
      <c r="AC5222" s="271"/>
      <c r="AD5222" s="257"/>
      <c r="AE5222" s="272"/>
      <c r="AF5222" s="224"/>
      <c r="AG5222" s="153"/>
      <c r="AH5222" s="346"/>
      <c r="AI5222" s="153"/>
      <c r="AJ5222" s="480"/>
      <c r="AK5222" s="153"/>
      <c r="AL5222" s="152"/>
      <c r="AM5222" s="152"/>
      <c r="AN5222" s="152"/>
      <c r="AO5222" s="152"/>
      <c r="AP5222" s="152"/>
      <c r="AQ5222" s="152"/>
      <c r="AR5222" s="152"/>
      <c r="AS5222" s="152"/>
      <c r="AT5222" s="152"/>
      <c r="AU5222" s="226"/>
      <c r="AV5222" s="226"/>
      <c r="AW5222" s="226"/>
      <c r="AX5222" s="226"/>
      <c r="AY5222" s="226"/>
      <c r="AZ5222" s="152"/>
      <c r="BA5222" s="152"/>
      <c r="BB5222" s="152"/>
      <c r="BC5222" s="152"/>
      <c r="BD5222" s="152"/>
      <c r="BE5222" s="152"/>
      <c r="BF5222" s="152"/>
      <c r="BG5222" s="152"/>
      <c r="BH5222" s="152"/>
      <c r="BI5222" s="153"/>
      <c r="BJ5222" s="153"/>
      <c r="BK5222" s="150" t="s">
        <v>114</v>
      </c>
      <c r="BL5222" s="153"/>
      <c r="BM5222" s="153"/>
      <c r="BN5222" s="153"/>
      <c r="BO5222" s="153"/>
      <c r="BP5222" s="153"/>
      <c r="BQ5222" s="153"/>
      <c r="BR5222" s="153"/>
      <c r="BS5222" s="153"/>
      <c r="BT5222" s="153"/>
      <c r="BU5222" s="153"/>
      <c r="BV5222" s="153"/>
      <c r="BW5222" s="153"/>
      <c r="BX5222" s="153"/>
      <c r="BY5222" s="153"/>
      <c r="BZ5222" s="153"/>
      <c r="CA5222" s="152"/>
      <c r="CB5222" s="152"/>
    </row>
    <row r="5223" spans="1:80" s="87" customFormat="1" x14ac:dyDescent="0.2">
      <c r="A5223" s="257"/>
      <c r="B5223" s="667"/>
      <c r="C5223" s="667"/>
      <c r="D5223" s="292"/>
      <c r="E5223" s="215"/>
      <c r="F5223" s="215"/>
      <c r="G5223" s="153"/>
      <c r="H5223" s="257"/>
      <c r="I5223" s="257"/>
      <c r="J5223" s="257"/>
      <c r="K5223" s="257"/>
      <c r="L5223" s="667"/>
      <c r="M5223" s="670">
        <v>31565</v>
      </c>
      <c r="N5223" s="600">
        <v>1.58592</v>
      </c>
      <c r="O5223" s="617">
        <f t="shared" si="23"/>
        <v>2.5833450498657998E-2</v>
      </c>
      <c r="P5223" s="150"/>
      <c r="Q5223" s="274">
        <v>6.5928391128600005E-3</v>
      </c>
      <c r="R5223" s="231">
        <v>3.9521335277600007E-3</v>
      </c>
      <c r="S5223" s="231">
        <v>7.1346300002999999E-3</v>
      </c>
      <c r="T5223" s="231">
        <v>4.0319321856E-3</v>
      </c>
      <c r="U5223" s="231">
        <v>4.1219156721380001E-3</v>
      </c>
      <c r="V5223" s="231">
        <v>3.5658450248740002E-3</v>
      </c>
      <c r="W5223" s="231">
        <v>2.5787566270400004E-3</v>
      </c>
      <c r="X5223" s="231">
        <v>1.848913902506E-3</v>
      </c>
      <c r="Y5223" s="274" t="s">
        <v>29</v>
      </c>
      <c r="Z5223" s="150"/>
      <c r="AA5223" s="150"/>
      <c r="AB5223" s="152"/>
      <c r="AC5223" s="271"/>
      <c r="AD5223" s="257"/>
      <c r="AE5223" s="272"/>
      <c r="AF5223" s="224"/>
      <c r="AG5223" s="153"/>
      <c r="AH5223" s="346"/>
      <c r="AI5223" s="153"/>
      <c r="AJ5223" s="480"/>
      <c r="AK5223" s="153"/>
      <c r="AL5223" s="152"/>
      <c r="AM5223" s="152"/>
      <c r="AN5223" s="152"/>
      <c r="AO5223" s="152"/>
      <c r="AP5223" s="152"/>
      <c r="AQ5223" s="152"/>
      <c r="AR5223" s="152"/>
      <c r="AS5223" s="152"/>
      <c r="AT5223" s="152"/>
      <c r="AU5223" s="226"/>
      <c r="AV5223" s="226"/>
      <c r="AW5223" s="226"/>
      <c r="AX5223" s="226"/>
      <c r="AY5223" s="226"/>
      <c r="AZ5223" s="152"/>
      <c r="BA5223" s="152"/>
      <c r="BB5223" s="152"/>
      <c r="BC5223" s="152"/>
      <c r="BD5223" s="152"/>
      <c r="BE5223" s="152"/>
      <c r="BF5223" s="152"/>
      <c r="BG5223" s="152"/>
      <c r="BH5223" s="152"/>
      <c r="BI5223" s="153"/>
      <c r="BJ5223" s="153"/>
      <c r="BK5223" s="150" t="s">
        <v>114</v>
      </c>
      <c r="BL5223" s="153"/>
      <c r="BM5223" s="153"/>
      <c r="BN5223" s="153"/>
      <c r="BO5223" s="153"/>
      <c r="BP5223" s="153"/>
      <c r="BQ5223" s="153"/>
      <c r="BR5223" s="153"/>
      <c r="BS5223" s="153"/>
      <c r="BT5223" s="153"/>
      <c r="BU5223" s="153"/>
      <c r="BV5223" s="153"/>
      <c r="BW5223" s="153"/>
      <c r="BX5223" s="153"/>
      <c r="BY5223" s="153"/>
      <c r="BZ5223" s="153"/>
      <c r="CA5223" s="152"/>
      <c r="CB5223" s="152"/>
    </row>
    <row r="5224" spans="1:80" s="87" customFormat="1" x14ac:dyDescent="0.2">
      <c r="A5224" s="257"/>
      <c r="B5224" s="667"/>
      <c r="C5224" s="667"/>
      <c r="D5224" s="292"/>
      <c r="E5224" s="215"/>
      <c r="F5224" s="215"/>
      <c r="G5224" s="153"/>
      <c r="H5224" s="257"/>
      <c r="I5224" s="257"/>
      <c r="J5224" s="257"/>
      <c r="K5224" s="257"/>
      <c r="L5224" s="667"/>
      <c r="M5224" s="670">
        <v>31575</v>
      </c>
      <c r="N5224" s="600">
        <v>1.3593600000000001</v>
      </c>
      <c r="O5224" s="617">
        <f t="shared" si="23"/>
        <v>3.0888380478120005E-3</v>
      </c>
      <c r="P5224" s="150"/>
      <c r="Q5224" s="274"/>
      <c r="R5224" s="231">
        <v>1.65687213252E-3</v>
      </c>
      <c r="S5224" s="231">
        <v>5.2604115233999998E-4</v>
      </c>
      <c r="T5224" s="231">
        <v>3.2339456072000001E-4</v>
      </c>
      <c r="U5224" s="231">
        <v>5.8253020223200007E-4</v>
      </c>
      <c r="V5224" s="231">
        <v>4.70602084788E-4</v>
      </c>
      <c r="W5224" s="231">
        <v>4.0025326800800001E-4</v>
      </c>
      <c r="X5224" s="231">
        <v>5.4053090863199994E-4</v>
      </c>
      <c r="Y5224" s="274" t="s">
        <v>29</v>
      </c>
      <c r="Z5224" s="150"/>
      <c r="AA5224" s="150"/>
      <c r="AB5224" s="152"/>
      <c r="AC5224" s="271"/>
      <c r="AD5224" s="257"/>
      <c r="AE5224" s="272"/>
      <c r="AF5224" s="224"/>
      <c r="AG5224" s="153"/>
      <c r="AH5224" s="346"/>
      <c r="AI5224" s="153"/>
      <c r="AJ5224" s="480"/>
      <c r="AK5224" s="153"/>
      <c r="AL5224" s="152"/>
      <c r="AM5224" s="152"/>
      <c r="AN5224" s="152"/>
      <c r="AO5224" s="152"/>
      <c r="AP5224" s="152"/>
      <c r="AQ5224" s="152"/>
      <c r="AR5224" s="152"/>
      <c r="AS5224" s="152"/>
      <c r="AT5224" s="152"/>
      <c r="AU5224" s="226"/>
      <c r="AV5224" s="226"/>
      <c r="AW5224" s="226"/>
      <c r="AX5224" s="226"/>
      <c r="AY5224" s="226"/>
      <c r="AZ5224" s="152"/>
      <c r="BA5224" s="152"/>
      <c r="BB5224" s="152"/>
      <c r="BC5224" s="152"/>
      <c r="BD5224" s="152"/>
      <c r="BE5224" s="152"/>
      <c r="BF5224" s="152"/>
      <c r="BG5224" s="152"/>
      <c r="BH5224" s="152"/>
      <c r="BI5224" s="153"/>
      <c r="BJ5224" s="153"/>
      <c r="BK5224" s="150" t="s">
        <v>114</v>
      </c>
      <c r="BL5224" s="153"/>
      <c r="BM5224" s="153"/>
      <c r="BN5224" s="153"/>
      <c r="BO5224" s="153"/>
      <c r="BP5224" s="153"/>
      <c r="BQ5224" s="153"/>
      <c r="BR5224" s="153"/>
      <c r="BS5224" s="153"/>
      <c r="BT5224" s="153"/>
      <c r="BU5224" s="153"/>
      <c r="BV5224" s="153"/>
      <c r="BW5224" s="153"/>
      <c r="BX5224" s="153"/>
      <c r="BY5224" s="153"/>
      <c r="BZ5224" s="153"/>
      <c r="CA5224" s="152"/>
      <c r="CB5224" s="152"/>
    </row>
    <row r="5225" spans="1:80" s="87" customFormat="1" x14ac:dyDescent="0.2">
      <c r="A5225" s="257"/>
      <c r="B5225" s="667"/>
      <c r="C5225" s="667"/>
      <c r="D5225" s="292"/>
      <c r="E5225" s="215"/>
      <c r="F5225" s="215"/>
      <c r="G5225" s="153"/>
      <c r="H5225" s="257"/>
      <c r="I5225" s="257"/>
      <c r="J5225" s="257"/>
      <c r="K5225" s="257"/>
      <c r="L5225" s="667"/>
      <c r="M5225" s="670">
        <v>31575</v>
      </c>
      <c r="N5225" s="600">
        <v>1.3593600000000001</v>
      </c>
      <c r="O5225" s="617">
        <f t="shared" si="23"/>
        <v>5.0343503255979999E-3</v>
      </c>
      <c r="P5225" s="150"/>
      <c r="Q5225" s="274"/>
      <c r="R5225" s="231">
        <v>1.71567114356E-3</v>
      </c>
      <c r="S5225" s="231">
        <v>1.23582921418E-3</v>
      </c>
      <c r="T5225" s="231">
        <v>8.1898622519999999E-4</v>
      </c>
      <c r="U5225" s="231">
        <v>1.263863742658E-3</v>
      </c>
      <c r="V5225" s="231">
        <v>1.059117186358E-3</v>
      </c>
      <c r="W5225" s="231">
        <v>8.1898622519999999E-4</v>
      </c>
      <c r="X5225" s="231">
        <v>6.6379883534800003E-4</v>
      </c>
      <c r="Y5225" s="274" t="s">
        <v>29</v>
      </c>
      <c r="Z5225" s="150"/>
      <c r="AA5225" s="150"/>
      <c r="AB5225" s="152"/>
      <c r="AC5225" s="271"/>
      <c r="AD5225" s="257"/>
      <c r="AE5225" s="272"/>
      <c r="AF5225" s="224"/>
      <c r="AG5225" s="153"/>
      <c r="AH5225" s="346"/>
      <c r="AI5225" s="153"/>
      <c r="AJ5225" s="480"/>
      <c r="AK5225" s="153"/>
      <c r="AL5225" s="152"/>
      <c r="AM5225" s="152"/>
      <c r="AN5225" s="152"/>
      <c r="AO5225" s="152"/>
      <c r="AP5225" s="152"/>
      <c r="AQ5225" s="152"/>
      <c r="AR5225" s="152"/>
      <c r="AS5225" s="152"/>
      <c r="AT5225" s="152"/>
      <c r="AU5225" s="226"/>
      <c r="AV5225" s="226"/>
      <c r="AW5225" s="226"/>
      <c r="AX5225" s="226"/>
      <c r="AY5225" s="226"/>
      <c r="AZ5225" s="152"/>
      <c r="BA5225" s="152"/>
      <c r="BB5225" s="152"/>
      <c r="BC5225" s="152"/>
      <c r="BD5225" s="152"/>
      <c r="BE5225" s="152"/>
      <c r="BF5225" s="152"/>
      <c r="BG5225" s="152"/>
      <c r="BH5225" s="152"/>
      <c r="BI5225" s="153"/>
      <c r="BJ5225" s="153"/>
      <c r="BK5225" s="150" t="s">
        <v>114</v>
      </c>
      <c r="BL5225" s="153"/>
      <c r="BM5225" s="153"/>
      <c r="BN5225" s="153"/>
      <c r="BO5225" s="153"/>
      <c r="BP5225" s="153"/>
      <c r="BQ5225" s="153"/>
      <c r="BR5225" s="153"/>
      <c r="BS5225" s="153"/>
      <c r="BT5225" s="153"/>
      <c r="BU5225" s="153"/>
      <c r="BV5225" s="153"/>
      <c r="BW5225" s="153"/>
      <c r="BX5225" s="153"/>
      <c r="BY5225" s="153"/>
      <c r="BZ5225" s="153"/>
      <c r="CA5225" s="152"/>
      <c r="CB5225" s="152"/>
    </row>
    <row r="5226" spans="1:80" s="87" customFormat="1" x14ac:dyDescent="0.2">
      <c r="A5226" s="257"/>
      <c r="B5226" s="667"/>
      <c r="C5226" s="667"/>
      <c r="D5226" s="292"/>
      <c r="E5226" s="215"/>
      <c r="F5226" s="215"/>
      <c r="G5226" s="153"/>
      <c r="H5226" s="257"/>
      <c r="I5226" s="257"/>
      <c r="J5226" s="257"/>
      <c r="K5226" s="257"/>
      <c r="L5226" s="667"/>
      <c r="M5226" s="670">
        <v>31582</v>
      </c>
      <c r="N5226" s="600">
        <v>1.1044800000000001</v>
      </c>
      <c r="O5226" s="617">
        <f t="shared" si="23"/>
        <v>3.5332955723340002E-3</v>
      </c>
      <c r="P5226" s="150"/>
      <c r="Q5226" s="274"/>
      <c r="R5226" s="231">
        <v>7.8223684329999999E-4</v>
      </c>
      <c r="S5226" s="231">
        <v>7.3918756736000011E-4</v>
      </c>
      <c r="T5226" s="231">
        <v>1.04053249894E-3</v>
      </c>
      <c r="U5226" s="231">
        <v>9.7133866273399992E-4</v>
      </c>
      <c r="V5226" s="274">
        <v>1.4905549298640001E-3</v>
      </c>
      <c r="W5226" s="274">
        <v>1.789484902062E-3</v>
      </c>
      <c r="X5226" s="274">
        <v>8.9185499959600002E-4</v>
      </c>
      <c r="Y5226" s="274" t="s">
        <v>29</v>
      </c>
      <c r="Z5226" s="150"/>
      <c r="AA5226" s="150"/>
      <c r="AB5226" s="152"/>
      <c r="AC5226" s="271"/>
      <c r="AD5226" s="257"/>
      <c r="AE5226" s="272"/>
      <c r="AF5226" s="224"/>
      <c r="AG5226" s="153"/>
      <c r="AH5226" s="346"/>
      <c r="AI5226" s="153"/>
      <c r="AJ5226" s="480"/>
      <c r="AK5226" s="153"/>
      <c r="AL5226" s="152"/>
      <c r="AM5226" s="152"/>
      <c r="AN5226" s="152"/>
      <c r="AO5226" s="152"/>
      <c r="AP5226" s="152"/>
      <c r="AQ5226" s="152"/>
      <c r="AR5226" s="152"/>
      <c r="AS5226" s="152"/>
      <c r="AT5226" s="152"/>
      <c r="AU5226" s="226"/>
      <c r="AV5226" s="226"/>
      <c r="AW5226" s="226"/>
      <c r="AX5226" s="226"/>
      <c r="AY5226" s="226"/>
      <c r="AZ5226" s="152"/>
      <c r="BA5226" s="152"/>
      <c r="BB5226" s="152"/>
      <c r="BC5226" s="152"/>
      <c r="BD5226" s="152"/>
      <c r="BE5226" s="152"/>
      <c r="BF5226" s="152"/>
      <c r="BG5226" s="152"/>
      <c r="BH5226" s="152"/>
      <c r="BI5226" s="153"/>
      <c r="BJ5226" s="153"/>
      <c r="BK5226" s="150" t="s">
        <v>114</v>
      </c>
      <c r="BL5226" s="153"/>
      <c r="BM5226" s="153"/>
      <c r="BN5226" s="153"/>
      <c r="BO5226" s="153"/>
      <c r="BP5226" s="153"/>
      <c r="BQ5226" s="153"/>
      <c r="BR5226" s="153"/>
      <c r="BS5226" s="153"/>
      <c r="BT5226" s="153"/>
      <c r="BU5226" s="153"/>
      <c r="BV5226" s="153"/>
      <c r="BW5226" s="153"/>
      <c r="BX5226" s="153"/>
      <c r="BY5226" s="153"/>
      <c r="BZ5226" s="153"/>
      <c r="CA5226" s="152"/>
      <c r="CB5226" s="152"/>
    </row>
    <row r="5227" spans="1:80" s="87" customFormat="1" x14ac:dyDescent="0.2">
      <c r="A5227" s="257"/>
      <c r="B5227" s="667"/>
      <c r="C5227" s="667"/>
      <c r="D5227" s="292"/>
      <c r="E5227" s="215"/>
      <c r="F5227" s="215"/>
      <c r="G5227" s="153"/>
      <c r="H5227" s="257"/>
      <c r="I5227" s="257"/>
      <c r="J5227" s="257"/>
      <c r="K5227" s="257"/>
      <c r="L5227" s="667"/>
      <c r="M5227" s="670">
        <v>31582</v>
      </c>
      <c r="N5227" s="600">
        <v>1.1044800000000001</v>
      </c>
      <c r="O5227" s="617">
        <f t="shared" si="23"/>
        <v>9.1138467111999996E-4</v>
      </c>
      <c r="P5227" s="150"/>
      <c r="Q5227" s="274"/>
      <c r="R5227" s="231"/>
      <c r="S5227" s="231">
        <v>1.6694719206000001E-4</v>
      </c>
      <c r="T5227" s="231">
        <v>3.0029494924000002E-4</v>
      </c>
      <c r="U5227" s="231">
        <v>4.4414252982000001E-4</v>
      </c>
      <c r="V5227" s="231">
        <v>9.2849938326199999E-4</v>
      </c>
      <c r="W5227" s="231">
        <v>1.1456357311739999E-3</v>
      </c>
      <c r="X5227" s="231">
        <v>4.5086241679600001E-4</v>
      </c>
      <c r="Y5227" s="274" t="s">
        <v>29</v>
      </c>
      <c r="Z5227" s="150"/>
      <c r="AA5227" s="150"/>
      <c r="AB5227" s="152"/>
      <c r="AC5227" s="271"/>
      <c r="AD5227" s="257"/>
      <c r="AE5227" s="272"/>
      <c r="AF5227" s="224"/>
      <c r="AG5227" s="153"/>
      <c r="AH5227" s="346"/>
      <c r="AI5227" s="153"/>
      <c r="AJ5227" s="480"/>
      <c r="AK5227" s="153"/>
      <c r="AL5227" s="152"/>
      <c r="AM5227" s="152"/>
      <c r="AN5227" s="152"/>
      <c r="AO5227" s="152"/>
      <c r="AP5227" s="152"/>
      <c r="AQ5227" s="152"/>
      <c r="AR5227" s="152"/>
      <c r="AS5227" s="152"/>
      <c r="AT5227" s="152"/>
      <c r="AU5227" s="226"/>
      <c r="AV5227" s="226"/>
      <c r="AW5227" s="226"/>
      <c r="AX5227" s="226"/>
      <c r="AY5227" s="226"/>
      <c r="AZ5227" s="152"/>
      <c r="BA5227" s="152"/>
      <c r="BB5227" s="152"/>
      <c r="BC5227" s="152"/>
      <c r="BD5227" s="152"/>
      <c r="BE5227" s="152"/>
      <c r="BF5227" s="152"/>
      <c r="BG5227" s="152"/>
      <c r="BH5227" s="152"/>
      <c r="BI5227" s="153"/>
      <c r="BJ5227" s="153"/>
      <c r="BK5227" s="150" t="s">
        <v>114</v>
      </c>
      <c r="BL5227" s="153"/>
      <c r="BM5227" s="153"/>
      <c r="BN5227" s="153"/>
      <c r="BO5227" s="153"/>
      <c r="BP5227" s="153"/>
      <c r="BQ5227" s="153"/>
      <c r="BR5227" s="153"/>
      <c r="BS5227" s="153"/>
      <c r="BT5227" s="153"/>
      <c r="BU5227" s="153"/>
      <c r="BV5227" s="153"/>
      <c r="BW5227" s="153"/>
      <c r="BX5227" s="153"/>
      <c r="BY5227" s="153"/>
      <c r="BZ5227" s="153"/>
      <c r="CA5227" s="152"/>
      <c r="CB5227" s="152"/>
    </row>
    <row r="5228" spans="1:80" s="87" customFormat="1" x14ac:dyDescent="0.2">
      <c r="A5228" s="257"/>
      <c r="B5228" s="667"/>
      <c r="C5228" s="667"/>
      <c r="D5228" s="292"/>
      <c r="E5228" s="215"/>
      <c r="F5228" s="215"/>
      <c r="G5228" s="153"/>
      <c r="H5228" s="257"/>
      <c r="I5228" s="257"/>
      <c r="J5228" s="257"/>
      <c r="K5228" s="257"/>
      <c r="L5228" s="667"/>
      <c r="M5228" s="670">
        <v>31595</v>
      </c>
      <c r="N5228" s="600">
        <v>0.39648</v>
      </c>
      <c r="O5228" s="617">
        <f t="shared" si="23"/>
        <v>7.034881678E-6</v>
      </c>
      <c r="P5228" s="150"/>
      <c r="Q5228" s="274"/>
      <c r="R5228" s="231"/>
      <c r="S5228" s="231"/>
      <c r="T5228" s="231"/>
      <c r="U5228" s="231">
        <v>7.034881678E-6</v>
      </c>
      <c r="V5228" s="231">
        <v>7.034881678E-6</v>
      </c>
      <c r="W5228" s="231">
        <v>2.4464588522000002E-5</v>
      </c>
      <c r="X5228" s="231">
        <v>2.8034528478000002E-5</v>
      </c>
      <c r="Y5228" s="274" t="s">
        <v>29</v>
      </c>
      <c r="Z5228" s="150"/>
      <c r="AA5228" s="150"/>
      <c r="AB5228" s="152"/>
      <c r="AC5228" s="271"/>
      <c r="AD5228" s="257"/>
      <c r="AE5228" s="272"/>
      <c r="AF5228" s="224"/>
      <c r="AG5228" s="153"/>
      <c r="AH5228" s="346"/>
      <c r="AI5228" s="153"/>
      <c r="AJ5228" s="480"/>
      <c r="AK5228" s="153"/>
      <c r="AL5228" s="152"/>
      <c r="AM5228" s="152"/>
      <c r="AN5228" s="152"/>
      <c r="AO5228" s="152"/>
      <c r="AP5228" s="152"/>
      <c r="AQ5228" s="152"/>
      <c r="AR5228" s="152"/>
      <c r="AS5228" s="152"/>
      <c r="AT5228" s="152"/>
      <c r="AU5228" s="226"/>
      <c r="AV5228" s="226"/>
      <c r="AW5228" s="226"/>
      <c r="AX5228" s="226"/>
      <c r="AY5228" s="226"/>
      <c r="AZ5228" s="152"/>
      <c r="BA5228" s="152"/>
      <c r="BB5228" s="152"/>
      <c r="BC5228" s="152"/>
      <c r="BD5228" s="152"/>
      <c r="BE5228" s="152"/>
      <c r="BF5228" s="152"/>
      <c r="BG5228" s="152"/>
      <c r="BH5228" s="152"/>
      <c r="BI5228" s="153"/>
      <c r="BJ5228" s="153"/>
      <c r="BK5228" s="150" t="s">
        <v>114</v>
      </c>
      <c r="BL5228" s="153"/>
      <c r="BM5228" s="153"/>
      <c r="BN5228" s="153"/>
      <c r="BO5228" s="153"/>
      <c r="BP5228" s="153"/>
      <c r="BQ5228" s="153"/>
      <c r="BR5228" s="153"/>
      <c r="BS5228" s="153"/>
      <c r="BT5228" s="153"/>
      <c r="BU5228" s="153"/>
      <c r="BV5228" s="153"/>
      <c r="BW5228" s="153"/>
      <c r="BX5228" s="153"/>
      <c r="BY5228" s="153"/>
      <c r="BZ5228" s="153"/>
      <c r="CA5228" s="152"/>
      <c r="CB5228" s="152"/>
    </row>
    <row r="5229" spans="1:80" s="87" customFormat="1" x14ac:dyDescent="0.2">
      <c r="A5229" s="257"/>
      <c r="B5229" s="667"/>
      <c r="C5229" s="667"/>
      <c r="D5229" s="292"/>
      <c r="E5229" s="215"/>
      <c r="F5229" s="215"/>
      <c r="G5229" s="153"/>
      <c r="H5229" s="257"/>
      <c r="I5229" s="257"/>
      <c r="J5229" s="257"/>
      <c r="K5229" s="257"/>
      <c r="L5229" s="667"/>
      <c r="M5229" s="670">
        <v>31896</v>
      </c>
      <c r="N5229" s="600">
        <v>0.42480000000000001</v>
      </c>
      <c r="O5229" s="617">
        <f t="shared" si="23"/>
        <v>2.2469622076E-5</v>
      </c>
      <c r="P5229" s="150"/>
      <c r="Q5229" s="274"/>
      <c r="R5229" s="231"/>
      <c r="S5229" s="231"/>
      <c r="T5229" s="231"/>
      <c r="U5229" s="231">
        <v>2.2469622076E-5</v>
      </c>
      <c r="V5229" s="231">
        <v>9.3238431792000014E-5</v>
      </c>
      <c r="W5229" s="231">
        <v>2.92105086988E-4</v>
      </c>
      <c r="X5229" s="231">
        <v>7.4622244903799998E-4</v>
      </c>
      <c r="Y5229" s="274" t="s">
        <v>29</v>
      </c>
      <c r="Z5229" s="150"/>
      <c r="AA5229" s="150"/>
      <c r="AB5229" s="152"/>
      <c r="AC5229" s="271"/>
      <c r="AD5229" s="257"/>
      <c r="AE5229" s="272"/>
      <c r="AF5229" s="224"/>
      <c r="AG5229" s="153"/>
      <c r="AH5229" s="346"/>
      <c r="AI5229" s="153"/>
      <c r="AJ5229" s="480"/>
      <c r="AK5229" s="153"/>
      <c r="AL5229" s="152"/>
      <c r="AM5229" s="152"/>
      <c r="AN5229" s="152"/>
      <c r="AO5229" s="152"/>
      <c r="AP5229" s="152"/>
      <c r="AQ5229" s="152"/>
      <c r="AR5229" s="152"/>
      <c r="AS5229" s="152"/>
      <c r="AT5229" s="152"/>
      <c r="AU5229" s="226"/>
      <c r="AV5229" s="226"/>
      <c r="AW5229" s="226"/>
      <c r="AX5229" s="226"/>
      <c r="AY5229" s="226"/>
      <c r="AZ5229" s="152"/>
      <c r="BA5229" s="152"/>
      <c r="BB5229" s="152"/>
      <c r="BC5229" s="152"/>
      <c r="BD5229" s="152"/>
      <c r="BE5229" s="152"/>
      <c r="BF5229" s="152"/>
      <c r="BG5229" s="152"/>
      <c r="BH5229" s="152"/>
      <c r="BI5229" s="153"/>
      <c r="BJ5229" s="153"/>
      <c r="BK5229" s="150" t="s">
        <v>114</v>
      </c>
      <c r="BL5229" s="153"/>
      <c r="BM5229" s="153"/>
      <c r="BN5229" s="153"/>
      <c r="BO5229" s="153"/>
      <c r="BP5229" s="153"/>
      <c r="BQ5229" s="153"/>
      <c r="BR5229" s="153"/>
      <c r="BS5229" s="153"/>
      <c r="BT5229" s="153"/>
      <c r="BU5229" s="153"/>
      <c r="BV5229" s="153"/>
      <c r="BW5229" s="153"/>
      <c r="BX5229" s="153"/>
      <c r="BY5229" s="153"/>
      <c r="BZ5229" s="153"/>
      <c r="CA5229" s="152"/>
      <c r="CB5229" s="152"/>
    </row>
    <row r="5230" spans="1:80" s="87" customFormat="1" x14ac:dyDescent="0.2">
      <c r="A5230" s="257"/>
      <c r="B5230" s="667"/>
      <c r="C5230" s="667"/>
      <c r="D5230" s="292"/>
      <c r="E5230" s="215"/>
      <c r="F5230" s="215"/>
      <c r="G5230" s="153"/>
      <c r="H5230" s="257"/>
      <c r="I5230" s="257"/>
      <c r="J5230" s="257"/>
      <c r="K5230" s="257"/>
      <c r="L5230" s="667"/>
      <c r="M5230" s="670">
        <v>31896</v>
      </c>
      <c r="N5230" s="600">
        <v>0.45312000000000002</v>
      </c>
      <c r="O5230" s="617">
        <f t="shared" si="23"/>
        <v>4.3248772584600001E-4</v>
      </c>
      <c r="P5230" s="150"/>
      <c r="Q5230" s="274"/>
      <c r="R5230" s="231"/>
      <c r="S5230" s="231">
        <v>1.5224743930000002E-4</v>
      </c>
      <c r="T5230" s="231">
        <v>1.7639703312E-4</v>
      </c>
      <c r="U5230" s="231">
        <v>1.0384325342599999E-4</v>
      </c>
      <c r="V5230" s="231">
        <v>3.5594401326E-4</v>
      </c>
      <c r="W5230" s="231">
        <v>9.0508477707999997E-4</v>
      </c>
      <c r="X5230" s="231">
        <v>1.7793000733640001E-3</v>
      </c>
      <c r="Y5230" s="274" t="s">
        <v>29</v>
      </c>
      <c r="Z5230" s="150"/>
      <c r="AA5230" s="150"/>
      <c r="AB5230" s="152"/>
      <c r="AC5230" s="271"/>
      <c r="AD5230" s="257"/>
      <c r="AE5230" s="272"/>
      <c r="AF5230" s="224"/>
      <c r="AG5230" s="153"/>
      <c r="AH5230" s="346"/>
      <c r="AI5230" s="153"/>
      <c r="AJ5230" s="480"/>
      <c r="AK5230" s="153"/>
      <c r="AL5230" s="152"/>
      <c r="AM5230" s="152"/>
      <c r="AN5230" s="152"/>
      <c r="AO5230" s="152"/>
      <c r="AP5230" s="152"/>
      <c r="AQ5230" s="152"/>
      <c r="AR5230" s="152"/>
      <c r="AS5230" s="152"/>
      <c r="AT5230" s="152"/>
      <c r="AU5230" s="226"/>
      <c r="AV5230" s="226"/>
      <c r="AW5230" s="226"/>
      <c r="AX5230" s="226"/>
      <c r="AY5230" s="226"/>
      <c r="AZ5230" s="152"/>
      <c r="BA5230" s="152"/>
      <c r="BB5230" s="152"/>
      <c r="BC5230" s="152"/>
      <c r="BD5230" s="152"/>
      <c r="BE5230" s="152"/>
      <c r="BF5230" s="152"/>
      <c r="BG5230" s="152"/>
      <c r="BH5230" s="152"/>
      <c r="BI5230" s="153"/>
      <c r="BJ5230" s="153"/>
      <c r="BK5230" s="150" t="s">
        <v>114</v>
      </c>
      <c r="BL5230" s="153"/>
      <c r="BM5230" s="153"/>
      <c r="BN5230" s="153"/>
      <c r="BO5230" s="153"/>
      <c r="BP5230" s="153"/>
      <c r="BQ5230" s="153"/>
      <c r="BR5230" s="153"/>
      <c r="BS5230" s="153"/>
      <c r="BT5230" s="153"/>
      <c r="BU5230" s="153"/>
      <c r="BV5230" s="153"/>
      <c r="BW5230" s="153"/>
      <c r="BX5230" s="153"/>
      <c r="BY5230" s="153"/>
      <c r="BZ5230" s="153"/>
      <c r="CA5230" s="152"/>
      <c r="CB5230" s="152"/>
    </row>
    <row r="5231" spans="1:80" s="87" customFormat="1" x14ac:dyDescent="0.2">
      <c r="A5231" s="257"/>
      <c r="B5231" s="667"/>
      <c r="C5231" s="667"/>
      <c r="D5231" s="292"/>
      <c r="E5231" s="215"/>
      <c r="F5231" s="215"/>
      <c r="G5231" s="153"/>
      <c r="H5231" s="257"/>
      <c r="I5231" s="257"/>
      <c r="J5231" s="257"/>
      <c r="K5231" s="257"/>
      <c r="L5231" s="667"/>
      <c r="M5231" s="670">
        <v>31905</v>
      </c>
      <c r="N5231" s="600">
        <v>0.48144000000000003</v>
      </c>
      <c r="O5231" s="617">
        <f t="shared" si="23"/>
        <v>5.8064023402000002E-5</v>
      </c>
      <c r="P5231" s="150"/>
      <c r="Q5231" s="274"/>
      <c r="R5231" s="231"/>
      <c r="S5231" s="231"/>
      <c r="T5231" s="231">
        <v>4.19992936E-6</v>
      </c>
      <c r="U5231" s="231">
        <v>5.3864094042000002E-5</v>
      </c>
      <c r="V5231" s="231">
        <v>1.6369224680600001E-4</v>
      </c>
      <c r="W5231" s="231">
        <v>3.9689332452000001E-4</v>
      </c>
      <c r="X5231" s="231">
        <v>9.03614801804E-4</v>
      </c>
      <c r="Y5231" s="274" t="s">
        <v>29</v>
      </c>
      <c r="Z5231" s="150"/>
      <c r="AA5231" s="150"/>
      <c r="AB5231" s="152"/>
      <c r="AC5231" s="271"/>
      <c r="AD5231" s="257"/>
      <c r="AE5231" s="272"/>
      <c r="AF5231" s="224"/>
      <c r="AG5231" s="153"/>
      <c r="AH5231" s="346"/>
      <c r="AI5231" s="153"/>
      <c r="AJ5231" s="480"/>
      <c r="AK5231" s="153"/>
      <c r="AL5231" s="152"/>
      <c r="AM5231" s="152"/>
      <c r="AN5231" s="152"/>
      <c r="AO5231" s="152"/>
      <c r="AP5231" s="152"/>
      <c r="AQ5231" s="152"/>
      <c r="AR5231" s="152"/>
      <c r="AS5231" s="152"/>
      <c r="AT5231" s="152"/>
      <c r="AU5231" s="226"/>
      <c r="AV5231" s="226"/>
      <c r="AW5231" s="226"/>
      <c r="AX5231" s="226"/>
      <c r="AY5231" s="226"/>
      <c r="AZ5231" s="152"/>
      <c r="BA5231" s="152"/>
      <c r="BB5231" s="152"/>
      <c r="BC5231" s="152"/>
      <c r="BD5231" s="152"/>
      <c r="BE5231" s="152"/>
      <c r="BF5231" s="152"/>
      <c r="BG5231" s="152"/>
      <c r="BH5231" s="152"/>
      <c r="BI5231" s="153"/>
      <c r="BJ5231" s="153"/>
      <c r="BK5231" s="150" t="s">
        <v>114</v>
      </c>
      <c r="BL5231" s="153"/>
      <c r="BM5231" s="153"/>
      <c r="BN5231" s="153"/>
      <c r="BO5231" s="153"/>
      <c r="BP5231" s="153"/>
      <c r="BQ5231" s="153"/>
      <c r="BR5231" s="153"/>
      <c r="BS5231" s="153"/>
      <c r="BT5231" s="153"/>
      <c r="BU5231" s="153"/>
      <c r="BV5231" s="153"/>
      <c r="BW5231" s="153"/>
      <c r="BX5231" s="153"/>
      <c r="BY5231" s="153"/>
      <c r="BZ5231" s="153"/>
      <c r="CA5231" s="152"/>
      <c r="CB5231" s="152"/>
    </row>
    <row r="5232" spans="1:80" s="87" customFormat="1" x14ac:dyDescent="0.2">
      <c r="A5232" s="257"/>
      <c r="B5232" s="667"/>
      <c r="C5232" s="667"/>
      <c r="D5232" s="292"/>
      <c r="E5232" s="215"/>
      <c r="F5232" s="215"/>
      <c r="G5232" s="153"/>
      <c r="H5232" s="257"/>
      <c r="I5232" s="257"/>
      <c r="J5232" s="257"/>
      <c r="K5232" s="257"/>
      <c r="L5232" s="667"/>
      <c r="M5232" s="670">
        <v>31905</v>
      </c>
      <c r="N5232" s="600">
        <v>0.50975999999999999</v>
      </c>
      <c r="O5232" s="617">
        <f t="shared" si="23"/>
        <v>3.7568368125200004E-4</v>
      </c>
      <c r="P5232" s="150"/>
      <c r="Q5232" s="274"/>
      <c r="R5232" s="231"/>
      <c r="S5232" s="231">
        <v>5.1449134659999997E-5</v>
      </c>
      <c r="T5232" s="231">
        <v>1.1444807506E-4</v>
      </c>
      <c r="U5232" s="231">
        <v>2.0978647153200002E-4</v>
      </c>
      <c r="V5232" s="231">
        <v>5.5880060134800007E-4</v>
      </c>
      <c r="W5232" s="231">
        <v>1.5031547179440001E-3</v>
      </c>
      <c r="X5232" s="231">
        <v>2.4512887709639999E-3</v>
      </c>
      <c r="Y5232" s="274" t="s">
        <v>29</v>
      </c>
      <c r="Z5232" s="150"/>
      <c r="AA5232" s="150"/>
      <c r="AB5232" s="152"/>
      <c r="AC5232" s="271"/>
      <c r="AD5232" s="257"/>
      <c r="AE5232" s="272"/>
      <c r="AF5232" s="224"/>
      <c r="AG5232" s="153"/>
      <c r="AH5232" s="346"/>
      <c r="AI5232" s="153"/>
      <c r="AJ5232" s="480"/>
      <c r="AK5232" s="153"/>
      <c r="AL5232" s="152"/>
      <c r="AM5232" s="152"/>
      <c r="AN5232" s="152"/>
      <c r="AO5232" s="152"/>
      <c r="AP5232" s="152"/>
      <c r="AQ5232" s="152"/>
      <c r="AR5232" s="152"/>
      <c r="AS5232" s="152"/>
      <c r="AT5232" s="152"/>
      <c r="AU5232" s="226"/>
      <c r="AV5232" s="226"/>
      <c r="AW5232" s="226"/>
      <c r="AX5232" s="226"/>
      <c r="AY5232" s="226"/>
      <c r="AZ5232" s="152"/>
      <c r="BA5232" s="152"/>
      <c r="BB5232" s="152"/>
      <c r="BC5232" s="152"/>
      <c r="BD5232" s="152"/>
      <c r="BE5232" s="152"/>
      <c r="BF5232" s="152"/>
      <c r="BG5232" s="152"/>
      <c r="BH5232" s="152"/>
      <c r="BI5232" s="153"/>
      <c r="BJ5232" s="153"/>
      <c r="BK5232" s="150" t="s">
        <v>114</v>
      </c>
      <c r="BL5232" s="153"/>
      <c r="BM5232" s="153"/>
      <c r="BN5232" s="153"/>
      <c r="BO5232" s="153"/>
      <c r="BP5232" s="153"/>
      <c r="BQ5232" s="153"/>
      <c r="BR5232" s="153"/>
      <c r="BS5232" s="153"/>
      <c r="BT5232" s="153"/>
      <c r="BU5232" s="153"/>
      <c r="BV5232" s="153"/>
      <c r="BW5232" s="153"/>
      <c r="BX5232" s="153"/>
      <c r="BY5232" s="153"/>
      <c r="BZ5232" s="153"/>
      <c r="CA5232" s="152"/>
      <c r="CB5232" s="152"/>
    </row>
    <row r="5233" spans="1:80" s="87" customFormat="1" x14ac:dyDescent="0.2">
      <c r="A5233" s="257"/>
      <c r="B5233" s="667"/>
      <c r="C5233" s="667"/>
      <c r="D5233" s="292"/>
      <c r="E5233" s="215"/>
      <c r="F5233" s="215"/>
      <c r="G5233" s="153"/>
      <c r="H5233" s="257"/>
      <c r="I5233" s="257"/>
      <c r="J5233" s="257"/>
      <c r="K5233" s="257"/>
      <c r="L5233" s="667"/>
      <c r="M5233" s="670">
        <v>31905</v>
      </c>
      <c r="N5233" s="600">
        <v>0.56640000000000001</v>
      </c>
      <c r="O5233" s="617">
        <f t="shared" si="23"/>
        <v>1.11613122742E-4</v>
      </c>
      <c r="P5233" s="150"/>
      <c r="Q5233" s="274"/>
      <c r="R5233" s="231"/>
      <c r="S5233" s="231">
        <v>4.3049275940000003E-5</v>
      </c>
      <c r="T5233" s="231">
        <v>3.14994702E-6</v>
      </c>
      <c r="U5233" s="231">
        <v>6.5413899781999998E-5</v>
      </c>
      <c r="V5233" s="231">
        <v>4.9790162562799996E-4</v>
      </c>
      <c r="W5233" s="231">
        <v>1.0190078609700001E-3</v>
      </c>
      <c r="X5233" s="231">
        <v>1.3840867205879999E-3</v>
      </c>
      <c r="Y5233" s="274" t="s">
        <v>29</v>
      </c>
      <c r="Z5233" s="150"/>
      <c r="AA5233" s="150"/>
      <c r="AB5233" s="152"/>
      <c r="AC5233" s="271"/>
      <c r="AD5233" s="257"/>
      <c r="AE5233" s="272"/>
      <c r="AF5233" s="224"/>
      <c r="AG5233" s="153"/>
      <c r="AH5233" s="346"/>
      <c r="AI5233" s="153"/>
      <c r="AJ5233" s="480"/>
      <c r="AK5233" s="153"/>
      <c r="AL5233" s="152"/>
      <c r="AM5233" s="152"/>
      <c r="AN5233" s="152"/>
      <c r="AO5233" s="152"/>
      <c r="AP5233" s="152"/>
      <c r="AQ5233" s="152"/>
      <c r="AR5233" s="152"/>
      <c r="AS5233" s="152"/>
      <c r="AT5233" s="152"/>
      <c r="AU5233" s="226"/>
      <c r="AV5233" s="226"/>
      <c r="AW5233" s="226"/>
      <c r="AX5233" s="226"/>
      <c r="AY5233" s="226"/>
      <c r="AZ5233" s="152"/>
      <c r="BA5233" s="152"/>
      <c r="BB5233" s="152"/>
      <c r="BC5233" s="152"/>
      <c r="BD5233" s="152"/>
      <c r="BE5233" s="152"/>
      <c r="BF5233" s="152"/>
      <c r="BG5233" s="152"/>
      <c r="BH5233" s="152"/>
      <c r="BI5233" s="153"/>
      <c r="BJ5233" s="153"/>
      <c r="BK5233" s="150" t="s">
        <v>114</v>
      </c>
      <c r="BL5233" s="153"/>
      <c r="BM5233" s="153"/>
      <c r="BN5233" s="153"/>
      <c r="BO5233" s="153"/>
      <c r="BP5233" s="153"/>
      <c r="BQ5233" s="153"/>
      <c r="BR5233" s="153"/>
      <c r="BS5233" s="153"/>
      <c r="BT5233" s="153"/>
      <c r="BU5233" s="153"/>
      <c r="BV5233" s="153"/>
      <c r="BW5233" s="153"/>
      <c r="BX5233" s="153"/>
      <c r="BY5233" s="153"/>
      <c r="BZ5233" s="153"/>
      <c r="CA5233" s="152"/>
      <c r="CB5233" s="152"/>
    </row>
    <row r="5234" spans="1:80" s="87" customFormat="1" x14ac:dyDescent="0.2">
      <c r="A5234" s="257"/>
      <c r="B5234" s="667"/>
      <c r="C5234" s="667"/>
      <c r="D5234" s="292"/>
      <c r="E5234" s="215"/>
      <c r="F5234" s="215"/>
      <c r="G5234" s="153"/>
      <c r="H5234" s="257"/>
      <c r="I5234" s="257"/>
      <c r="J5234" s="257"/>
      <c r="K5234" s="257"/>
      <c r="L5234" s="667"/>
      <c r="M5234" s="670">
        <v>31906</v>
      </c>
      <c r="N5234" s="600">
        <v>0.53808</v>
      </c>
      <c r="O5234" s="617">
        <f t="shared" si="23"/>
        <v>3.17409661382E-4</v>
      </c>
      <c r="P5234" s="150"/>
      <c r="Q5234" s="274"/>
      <c r="R5234" s="231"/>
      <c r="S5234" s="231"/>
      <c r="T5234" s="231">
        <v>5.6699046360000007E-5</v>
      </c>
      <c r="U5234" s="231">
        <v>2.6071061502200001E-4</v>
      </c>
      <c r="V5234" s="231">
        <v>5.2488617176599999E-4</v>
      </c>
      <c r="W5234" s="231">
        <v>1.0516623117440001E-3</v>
      </c>
      <c r="X5234" s="231">
        <v>1.3496472998359998E-3</v>
      </c>
      <c r="Y5234" s="274" t="s">
        <v>29</v>
      </c>
      <c r="Z5234" s="150"/>
      <c r="AA5234" s="150"/>
      <c r="AB5234" s="152"/>
      <c r="AC5234" s="271"/>
      <c r="AD5234" s="257"/>
      <c r="AE5234" s="272"/>
      <c r="AF5234" s="224"/>
      <c r="AG5234" s="153"/>
      <c r="AH5234" s="346"/>
      <c r="AI5234" s="153"/>
      <c r="AJ5234" s="480"/>
      <c r="AK5234" s="153"/>
      <c r="AL5234" s="152"/>
      <c r="AM5234" s="152"/>
      <c r="AN5234" s="152"/>
      <c r="AO5234" s="152"/>
      <c r="AP5234" s="152"/>
      <c r="AQ5234" s="152"/>
      <c r="AR5234" s="152"/>
      <c r="AS5234" s="152"/>
      <c r="AT5234" s="152"/>
      <c r="AU5234" s="226"/>
      <c r="AV5234" s="226"/>
      <c r="AW5234" s="226"/>
      <c r="AX5234" s="226"/>
      <c r="AY5234" s="226"/>
      <c r="AZ5234" s="152"/>
      <c r="BA5234" s="152"/>
      <c r="BB5234" s="152"/>
      <c r="BC5234" s="152"/>
      <c r="BD5234" s="152"/>
      <c r="BE5234" s="152"/>
      <c r="BF5234" s="152"/>
      <c r="BG5234" s="152"/>
      <c r="BH5234" s="152"/>
      <c r="BI5234" s="153"/>
      <c r="BJ5234" s="153"/>
      <c r="BK5234" s="150" t="s">
        <v>114</v>
      </c>
      <c r="BL5234" s="153"/>
      <c r="BM5234" s="153"/>
      <c r="BN5234" s="153"/>
      <c r="BO5234" s="153"/>
      <c r="BP5234" s="153"/>
      <c r="BQ5234" s="153"/>
      <c r="BR5234" s="153"/>
      <c r="BS5234" s="153"/>
      <c r="BT5234" s="153"/>
      <c r="BU5234" s="153"/>
      <c r="BV5234" s="153"/>
      <c r="BW5234" s="153"/>
      <c r="BX5234" s="153"/>
      <c r="BY5234" s="153"/>
      <c r="BZ5234" s="153"/>
      <c r="CA5234" s="152"/>
      <c r="CB5234" s="152"/>
    </row>
    <row r="5235" spans="1:80" s="87" customFormat="1" x14ac:dyDescent="0.2">
      <c r="A5235" s="257"/>
      <c r="B5235" s="667"/>
      <c r="C5235" s="667"/>
      <c r="D5235" s="292"/>
      <c r="E5235" s="215"/>
      <c r="F5235" s="215"/>
      <c r="G5235" s="153"/>
      <c r="H5235" s="257"/>
      <c r="I5235" s="257"/>
      <c r="J5235" s="257"/>
      <c r="K5235" s="257"/>
      <c r="L5235" s="667"/>
      <c r="M5235" s="670">
        <v>31906</v>
      </c>
      <c r="N5235" s="600">
        <v>0.50975999999999999</v>
      </c>
      <c r="O5235" s="617">
        <f t="shared" si="23"/>
        <v>1.7419207020600002E-4</v>
      </c>
      <c r="P5235" s="150"/>
      <c r="Q5235" s="274"/>
      <c r="R5235" s="231"/>
      <c r="S5235" s="231"/>
      <c r="T5235" s="231">
        <v>1.259978808E-5</v>
      </c>
      <c r="U5235" s="231">
        <v>1.6159228212600001E-4</v>
      </c>
      <c r="V5235" s="231">
        <v>3.5667900089800004E-4</v>
      </c>
      <c r="W5235" s="231">
        <v>7.2448781460000009E-4</v>
      </c>
      <c r="X5235" s="231">
        <v>8.3221600268400004E-4</v>
      </c>
      <c r="Y5235" s="274" t="s">
        <v>29</v>
      </c>
      <c r="Z5235" s="150"/>
      <c r="AA5235" s="150"/>
      <c r="AB5235" s="152"/>
      <c r="AC5235" s="271"/>
      <c r="AD5235" s="257"/>
      <c r="AE5235" s="272"/>
      <c r="AF5235" s="224"/>
      <c r="AG5235" s="153"/>
      <c r="AH5235" s="346"/>
      <c r="AI5235" s="153"/>
      <c r="AJ5235" s="480"/>
      <c r="AK5235" s="153"/>
      <c r="AL5235" s="152"/>
      <c r="AM5235" s="152"/>
      <c r="AN5235" s="152"/>
      <c r="AO5235" s="152"/>
      <c r="AP5235" s="152"/>
      <c r="AQ5235" s="152"/>
      <c r="AR5235" s="152"/>
      <c r="AS5235" s="152"/>
      <c r="AT5235" s="152"/>
      <c r="AU5235" s="226"/>
      <c r="AV5235" s="226"/>
      <c r="AW5235" s="226"/>
      <c r="AX5235" s="226"/>
      <c r="AY5235" s="226"/>
      <c r="AZ5235" s="152"/>
      <c r="BA5235" s="152"/>
      <c r="BB5235" s="152"/>
      <c r="BC5235" s="152"/>
      <c r="BD5235" s="152"/>
      <c r="BE5235" s="152"/>
      <c r="BF5235" s="152"/>
      <c r="BG5235" s="152"/>
      <c r="BH5235" s="152"/>
      <c r="BI5235" s="153"/>
      <c r="BJ5235" s="153"/>
      <c r="BK5235" s="150" t="s">
        <v>114</v>
      </c>
      <c r="BL5235" s="153"/>
      <c r="BM5235" s="153"/>
      <c r="BN5235" s="153"/>
      <c r="BO5235" s="153"/>
      <c r="BP5235" s="153"/>
      <c r="BQ5235" s="153"/>
      <c r="BR5235" s="153"/>
      <c r="BS5235" s="153"/>
      <c r="BT5235" s="153"/>
      <c r="BU5235" s="153"/>
      <c r="BV5235" s="153"/>
      <c r="BW5235" s="153"/>
      <c r="BX5235" s="153"/>
      <c r="BY5235" s="153"/>
      <c r="BZ5235" s="153"/>
      <c r="CA5235" s="152"/>
      <c r="CB5235" s="152"/>
    </row>
    <row r="5236" spans="1:80" s="87" customFormat="1" x14ac:dyDescent="0.2">
      <c r="A5236" s="257"/>
      <c r="B5236" s="667"/>
      <c r="C5236" s="667"/>
      <c r="D5236" s="292"/>
      <c r="E5236" s="215"/>
      <c r="F5236" s="215"/>
      <c r="G5236" s="153"/>
      <c r="H5236" s="257"/>
      <c r="I5236" s="257"/>
      <c r="J5236" s="257"/>
      <c r="K5236" s="257"/>
      <c r="L5236" s="667"/>
      <c r="M5236" s="670">
        <v>31906</v>
      </c>
      <c r="N5236" s="600">
        <v>0.50975999999999999</v>
      </c>
      <c r="O5236" s="617">
        <f t="shared" si="23"/>
        <v>5.2184122297999995E-5</v>
      </c>
      <c r="P5236" s="150"/>
      <c r="Q5236" s="274"/>
      <c r="R5236" s="231"/>
      <c r="S5236" s="231"/>
      <c r="T5236" s="231">
        <v>1.04998234E-5</v>
      </c>
      <c r="U5236" s="231">
        <v>4.1684298897999995E-5</v>
      </c>
      <c r="V5236" s="231">
        <v>9.7228364683999997E-5</v>
      </c>
      <c r="W5236" s="231">
        <v>2.1692635144400003E-4</v>
      </c>
      <c r="X5236" s="231">
        <v>3.3662433820400001E-4</v>
      </c>
      <c r="Y5236" s="274" t="s">
        <v>29</v>
      </c>
      <c r="Z5236" s="150"/>
      <c r="AA5236" s="150"/>
      <c r="AB5236" s="152"/>
      <c r="AC5236" s="271"/>
      <c r="AD5236" s="257"/>
      <c r="AE5236" s="272"/>
      <c r="AF5236" s="224"/>
      <c r="AG5236" s="153"/>
      <c r="AH5236" s="346"/>
      <c r="AI5236" s="153"/>
      <c r="AJ5236" s="480"/>
      <c r="AK5236" s="153"/>
      <c r="AL5236" s="152"/>
      <c r="AM5236" s="152"/>
      <c r="AN5236" s="152"/>
      <c r="AO5236" s="152"/>
      <c r="AP5236" s="152"/>
      <c r="AQ5236" s="152"/>
      <c r="AR5236" s="152"/>
      <c r="AS5236" s="152"/>
      <c r="AT5236" s="152"/>
      <c r="AU5236" s="226"/>
      <c r="AV5236" s="226"/>
      <c r="AW5236" s="226"/>
      <c r="AX5236" s="226"/>
      <c r="AY5236" s="226"/>
      <c r="AZ5236" s="152"/>
      <c r="BA5236" s="152"/>
      <c r="BB5236" s="152"/>
      <c r="BC5236" s="152"/>
      <c r="BD5236" s="152"/>
      <c r="BE5236" s="152"/>
      <c r="BF5236" s="152"/>
      <c r="BG5236" s="152"/>
      <c r="BH5236" s="152"/>
      <c r="BI5236" s="153"/>
      <c r="BJ5236" s="153"/>
      <c r="BK5236" s="150" t="s">
        <v>114</v>
      </c>
      <c r="BL5236" s="153"/>
      <c r="BM5236" s="153"/>
      <c r="BN5236" s="153"/>
      <c r="BO5236" s="153"/>
      <c r="BP5236" s="153"/>
      <c r="BQ5236" s="153"/>
      <c r="BR5236" s="153"/>
      <c r="BS5236" s="153"/>
      <c r="BT5236" s="153"/>
      <c r="BU5236" s="153"/>
      <c r="BV5236" s="153"/>
      <c r="BW5236" s="153"/>
      <c r="BX5236" s="153"/>
      <c r="BY5236" s="153"/>
      <c r="BZ5236" s="153"/>
      <c r="CA5236" s="152"/>
      <c r="CB5236" s="152"/>
    </row>
    <row r="5237" spans="1:80" s="87" customFormat="1" x14ac:dyDescent="0.2">
      <c r="A5237" s="257"/>
      <c r="B5237" s="667"/>
      <c r="C5237" s="667"/>
      <c r="D5237" s="292"/>
      <c r="E5237" s="215"/>
      <c r="F5237" s="215"/>
      <c r="G5237" s="153"/>
      <c r="H5237" s="257"/>
      <c r="I5237" s="257"/>
      <c r="J5237" s="257"/>
      <c r="K5237" s="257"/>
      <c r="L5237" s="667"/>
      <c r="M5237" s="670">
        <v>31906</v>
      </c>
      <c r="N5237" s="600">
        <v>0.56640000000000001</v>
      </c>
      <c r="O5237" s="617">
        <f t="shared" si="23"/>
        <v>2.5294074570599999E-4</v>
      </c>
      <c r="P5237" s="150"/>
      <c r="Q5237" s="274"/>
      <c r="R5237" s="231"/>
      <c r="S5237" s="231">
        <v>4.6199222960000007E-5</v>
      </c>
      <c r="T5237" s="231">
        <v>6.1948958059999997E-5</v>
      </c>
      <c r="U5237" s="231">
        <v>1.4479256468600001E-4</v>
      </c>
      <c r="V5237" s="231">
        <v>3.9416337043599996E-4</v>
      </c>
      <c r="W5237" s="231">
        <v>1.0241527744360001E-3</v>
      </c>
      <c r="X5237" s="231">
        <v>1.1894199947520001E-3</v>
      </c>
      <c r="Y5237" s="274" t="s">
        <v>29</v>
      </c>
      <c r="Z5237" s="150"/>
      <c r="AA5237" s="150"/>
      <c r="AB5237" s="152"/>
      <c r="AC5237" s="271"/>
      <c r="AD5237" s="257"/>
      <c r="AE5237" s="272"/>
      <c r="AF5237" s="224"/>
      <c r="AG5237" s="153"/>
      <c r="AH5237" s="346"/>
      <c r="AI5237" s="153"/>
      <c r="AJ5237" s="480"/>
      <c r="AK5237" s="153"/>
      <c r="AL5237" s="152"/>
      <c r="AM5237" s="152"/>
      <c r="AN5237" s="152"/>
      <c r="AO5237" s="152"/>
      <c r="AP5237" s="152"/>
      <c r="AQ5237" s="152"/>
      <c r="AR5237" s="152"/>
      <c r="AS5237" s="152"/>
      <c r="AT5237" s="152"/>
      <c r="AU5237" s="226"/>
      <c r="AV5237" s="226"/>
      <c r="AW5237" s="226"/>
      <c r="AX5237" s="226"/>
      <c r="AY5237" s="226"/>
      <c r="AZ5237" s="152"/>
      <c r="BA5237" s="152"/>
      <c r="BB5237" s="152"/>
      <c r="BC5237" s="152"/>
      <c r="BD5237" s="152"/>
      <c r="BE5237" s="152"/>
      <c r="BF5237" s="152"/>
      <c r="BG5237" s="152"/>
      <c r="BH5237" s="152"/>
      <c r="BI5237" s="153"/>
      <c r="BJ5237" s="153"/>
      <c r="BK5237" s="150" t="s">
        <v>114</v>
      </c>
      <c r="BL5237" s="153"/>
      <c r="BM5237" s="153"/>
      <c r="BN5237" s="153"/>
      <c r="BO5237" s="153"/>
      <c r="BP5237" s="153"/>
      <c r="BQ5237" s="153"/>
      <c r="BR5237" s="153"/>
      <c r="BS5237" s="153"/>
      <c r="BT5237" s="153"/>
      <c r="BU5237" s="153"/>
      <c r="BV5237" s="153"/>
      <c r="BW5237" s="153"/>
      <c r="BX5237" s="153"/>
      <c r="BY5237" s="153"/>
      <c r="BZ5237" s="153"/>
      <c r="CA5237" s="152"/>
      <c r="CB5237" s="152"/>
    </row>
    <row r="5238" spans="1:80" s="87" customFormat="1" x14ac:dyDescent="0.2">
      <c r="A5238" s="257"/>
      <c r="B5238" s="667"/>
      <c r="C5238" s="667"/>
      <c r="D5238" s="292"/>
      <c r="E5238" s="215"/>
      <c r="F5238" s="215"/>
      <c r="G5238" s="153"/>
      <c r="H5238" s="257"/>
      <c r="I5238" s="257"/>
      <c r="J5238" s="257"/>
      <c r="K5238" s="257"/>
      <c r="L5238" s="667"/>
      <c r="M5238" s="670">
        <v>31906</v>
      </c>
      <c r="N5238" s="600">
        <v>0.59472000000000003</v>
      </c>
      <c r="O5238" s="617">
        <f t="shared" si="23"/>
        <v>3.5394904681400005E-4</v>
      </c>
      <c r="P5238" s="150"/>
      <c r="Q5238" s="274"/>
      <c r="R5238" s="231"/>
      <c r="S5238" s="231">
        <v>4.5149240620000003E-5</v>
      </c>
      <c r="T5238" s="231">
        <v>3.989932892E-5</v>
      </c>
      <c r="U5238" s="231">
        <v>2.6890047727400003E-4</v>
      </c>
      <c r="V5238" s="231">
        <v>7.9168668435999998E-4</v>
      </c>
      <c r="W5238" s="231">
        <v>1.7822400239160001E-3</v>
      </c>
      <c r="X5238" s="231">
        <v>2.09261480362E-3</v>
      </c>
      <c r="Y5238" s="274" t="s">
        <v>29</v>
      </c>
      <c r="Z5238" s="150"/>
      <c r="AA5238" s="150"/>
      <c r="AB5238" s="152"/>
      <c r="AC5238" s="271"/>
      <c r="AD5238" s="257"/>
      <c r="AE5238" s="272"/>
      <c r="AF5238" s="224"/>
      <c r="AG5238" s="153"/>
      <c r="AH5238" s="346"/>
      <c r="AI5238" s="153"/>
      <c r="AJ5238" s="480"/>
      <c r="AK5238" s="153"/>
      <c r="AL5238" s="152"/>
      <c r="AM5238" s="152"/>
      <c r="AN5238" s="152"/>
      <c r="AO5238" s="152"/>
      <c r="AP5238" s="152"/>
      <c r="AQ5238" s="152"/>
      <c r="AR5238" s="152"/>
      <c r="AS5238" s="152"/>
      <c r="AT5238" s="152"/>
      <c r="AU5238" s="226"/>
      <c r="AV5238" s="226"/>
      <c r="AW5238" s="226"/>
      <c r="AX5238" s="226"/>
      <c r="AY5238" s="226"/>
      <c r="AZ5238" s="152"/>
      <c r="BA5238" s="152"/>
      <c r="BB5238" s="152"/>
      <c r="BC5238" s="152"/>
      <c r="BD5238" s="152"/>
      <c r="BE5238" s="152"/>
      <c r="BF5238" s="152"/>
      <c r="BG5238" s="152"/>
      <c r="BH5238" s="152"/>
      <c r="BI5238" s="153"/>
      <c r="BJ5238" s="153"/>
      <c r="BK5238" s="150" t="s">
        <v>114</v>
      </c>
      <c r="BL5238" s="153"/>
      <c r="BM5238" s="153"/>
      <c r="BN5238" s="153"/>
      <c r="BO5238" s="153"/>
      <c r="BP5238" s="153"/>
      <c r="BQ5238" s="153"/>
      <c r="BR5238" s="153"/>
      <c r="BS5238" s="153"/>
      <c r="BT5238" s="153"/>
      <c r="BU5238" s="153"/>
      <c r="BV5238" s="153"/>
      <c r="BW5238" s="153"/>
      <c r="BX5238" s="153"/>
      <c r="BY5238" s="153"/>
      <c r="BZ5238" s="153"/>
      <c r="CA5238" s="152"/>
      <c r="CB5238" s="152"/>
    </row>
    <row r="5239" spans="1:80" s="87" customFormat="1" x14ac:dyDescent="0.2">
      <c r="A5239" s="257"/>
      <c r="B5239" s="667"/>
      <c r="C5239" s="667"/>
      <c r="D5239" s="292"/>
      <c r="E5239" s="215"/>
      <c r="F5239" s="215"/>
      <c r="G5239" s="153"/>
      <c r="H5239" s="257"/>
      <c r="I5239" s="257"/>
      <c r="J5239" s="257"/>
      <c r="K5239" s="257"/>
      <c r="L5239" s="667"/>
      <c r="M5239" s="670">
        <v>31906</v>
      </c>
      <c r="N5239" s="600">
        <v>0.59472000000000003</v>
      </c>
      <c r="O5239" s="617">
        <f t="shared" si="23"/>
        <v>7.7730192630199994E-4</v>
      </c>
      <c r="P5239" s="150"/>
      <c r="Q5239" s="274"/>
      <c r="R5239" s="231">
        <v>3.4859413687999999E-4</v>
      </c>
      <c r="S5239" s="231">
        <v>0</v>
      </c>
      <c r="T5239" s="231">
        <v>7.979865784E-5</v>
      </c>
      <c r="U5239" s="231">
        <v>3.4890913158200002E-4</v>
      </c>
      <c r="V5239" s="231">
        <v>8.0554645124799999E-4</v>
      </c>
      <c r="W5239" s="231">
        <v>1.5811684058060001E-3</v>
      </c>
      <c r="X5239" s="231">
        <v>2.052820472934E-3</v>
      </c>
      <c r="Y5239" s="274" t="s">
        <v>29</v>
      </c>
      <c r="Z5239" s="150"/>
      <c r="AA5239" s="150"/>
      <c r="AB5239" s="152"/>
      <c r="AC5239" s="271"/>
      <c r="AD5239" s="257"/>
      <c r="AE5239" s="272"/>
      <c r="AF5239" s="224"/>
      <c r="AG5239" s="153"/>
      <c r="AH5239" s="346"/>
      <c r="AI5239" s="153"/>
      <c r="AJ5239" s="480"/>
      <c r="AK5239" s="153"/>
      <c r="AL5239" s="152"/>
      <c r="AM5239" s="152"/>
      <c r="AN5239" s="152"/>
      <c r="AO5239" s="152"/>
      <c r="AP5239" s="152"/>
      <c r="AQ5239" s="152"/>
      <c r="AR5239" s="152"/>
      <c r="AS5239" s="152"/>
      <c r="AT5239" s="152"/>
      <c r="AU5239" s="226"/>
      <c r="AV5239" s="226"/>
      <c r="AW5239" s="226"/>
      <c r="AX5239" s="226"/>
      <c r="AY5239" s="226"/>
      <c r="AZ5239" s="152"/>
      <c r="BA5239" s="152"/>
      <c r="BB5239" s="152"/>
      <c r="BC5239" s="152"/>
      <c r="BD5239" s="152"/>
      <c r="BE5239" s="152"/>
      <c r="BF5239" s="152"/>
      <c r="BG5239" s="152"/>
      <c r="BH5239" s="152"/>
      <c r="BI5239" s="153"/>
      <c r="BJ5239" s="153"/>
      <c r="BK5239" s="150" t="s">
        <v>114</v>
      </c>
      <c r="BL5239" s="153"/>
      <c r="BM5239" s="153"/>
      <c r="BN5239" s="153"/>
      <c r="BO5239" s="153"/>
      <c r="BP5239" s="153"/>
      <c r="BQ5239" s="153"/>
      <c r="BR5239" s="153"/>
      <c r="BS5239" s="153"/>
      <c r="BT5239" s="153"/>
      <c r="BU5239" s="153"/>
      <c r="BV5239" s="153"/>
      <c r="BW5239" s="153"/>
      <c r="BX5239" s="153"/>
      <c r="BY5239" s="153"/>
      <c r="BZ5239" s="153"/>
      <c r="CA5239" s="152"/>
      <c r="CB5239" s="152"/>
    </row>
    <row r="5240" spans="1:80" s="87" customFormat="1" x14ac:dyDescent="0.2">
      <c r="A5240" s="257"/>
      <c r="B5240" s="667"/>
      <c r="C5240" s="667"/>
      <c r="D5240" s="292"/>
      <c r="E5240" s="215"/>
      <c r="F5240" s="215"/>
      <c r="G5240" s="153"/>
      <c r="H5240" s="257"/>
      <c r="I5240" s="257"/>
      <c r="J5240" s="257"/>
      <c r="K5240" s="257"/>
      <c r="L5240" s="667"/>
      <c r="M5240" s="670">
        <v>31907</v>
      </c>
      <c r="N5240" s="600">
        <v>0.56640000000000001</v>
      </c>
      <c r="O5240" s="617">
        <f t="shared" si="23"/>
        <v>2.7824532009999999E-4</v>
      </c>
      <c r="P5240" s="150"/>
      <c r="Q5240" s="274"/>
      <c r="R5240" s="231"/>
      <c r="S5240" s="231">
        <v>1.994966446E-5</v>
      </c>
      <c r="T5240" s="231">
        <v>2.3099611480000003E-5</v>
      </c>
      <c r="U5240" s="231">
        <v>2.3519604416E-4</v>
      </c>
      <c r="V5240" s="231">
        <v>5.5743562430600002E-4</v>
      </c>
      <c r="W5240" s="231">
        <v>1.1167612168239999E-3</v>
      </c>
      <c r="X5240" s="231">
        <v>1.3152078790840001E-3</v>
      </c>
      <c r="Y5240" s="274" t="s">
        <v>29</v>
      </c>
      <c r="Z5240" s="150"/>
      <c r="AA5240" s="150"/>
      <c r="AB5240" s="152"/>
      <c r="AC5240" s="271"/>
      <c r="AD5240" s="257"/>
      <c r="AE5240" s="272"/>
      <c r="AF5240" s="224"/>
      <c r="AG5240" s="153"/>
      <c r="AH5240" s="346"/>
      <c r="AI5240" s="153"/>
      <c r="AJ5240" s="480"/>
      <c r="AK5240" s="153"/>
      <c r="AL5240" s="152"/>
      <c r="AM5240" s="152"/>
      <c r="AN5240" s="152"/>
      <c r="AO5240" s="152"/>
      <c r="AP5240" s="152"/>
      <c r="AQ5240" s="152"/>
      <c r="AR5240" s="152"/>
      <c r="AS5240" s="152"/>
      <c r="AT5240" s="152"/>
      <c r="AU5240" s="226"/>
      <c r="AV5240" s="226"/>
      <c r="AW5240" s="226"/>
      <c r="AX5240" s="226"/>
      <c r="AY5240" s="226"/>
      <c r="AZ5240" s="152"/>
      <c r="BA5240" s="152"/>
      <c r="BB5240" s="152"/>
      <c r="BC5240" s="152"/>
      <c r="BD5240" s="152"/>
      <c r="BE5240" s="152"/>
      <c r="BF5240" s="152"/>
      <c r="BG5240" s="152"/>
      <c r="BH5240" s="152"/>
      <c r="BI5240" s="153"/>
      <c r="BJ5240" s="153"/>
      <c r="BK5240" s="150" t="s">
        <v>114</v>
      </c>
      <c r="BL5240" s="153"/>
      <c r="BM5240" s="153"/>
      <c r="BN5240" s="153"/>
      <c r="BO5240" s="153"/>
      <c r="BP5240" s="153"/>
      <c r="BQ5240" s="153"/>
      <c r="BR5240" s="153"/>
      <c r="BS5240" s="153"/>
      <c r="BT5240" s="153"/>
      <c r="BU5240" s="153"/>
      <c r="BV5240" s="153"/>
      <c r="BW5240" s="153"/>
      <c r="BX5240" s="153"/>
      <c r="BY5240" s="153"/>
      <c r="BZ5240" s="153"/>
      <c r="CA5240" s="152"/>
      <c r="CB5240" s="152"/>
    </row>
    <row r="5241" spans="1:80" s="87" customFormat="1" x14ac:dyDescent="0.2">
      <c r="A5241" s="257"/>
      <c r="B5241" s="667"/>
      <c r="C5241" s="667"/>
      <c r="D5241" s="292"/>
      <c r="E5241" s="215"/>
      <c r="F5241" s="215"/>
      <c r="G5241" s="153"/>
      <c r="H5241" s="257"/>
      <c r="I5241" s="257"/>
      <c r="J5241" s="257"/>
      <c r="K5241" s="257"/>
      <c r="L5241" s="667"/>
      <c r="M5241" s="670">
        <v>31917</v>
      </c>
      <c r="N5241" s="600">
        <v>0.53808</v>
      </c>
      <c r="O5241" s="617">
        <f t="shared" si="23"/>
        <v>2.5388572981200003E-4</v>
      </c>
      <c r="P5241" s="150"/>
      <c r="Q5241" s="274"/>
      <c r="R5241" s="231"/>
      <c r="S5241" s="231">
        <v>2.519957616E-5</v>
      </c>
      <c r="T5241" s="231">
        <v>4.5149240620000003E-5</v>
      </c>
      <c r="U5241" s="231">
        <v>1.8353691303200001E-4</v>
      </c>
      <c r="V5241" s="231">
        <v>4.8929177044000009E-4</v>
      </c>
      <c r="W5241" s="231">
        <v>5.82635200466E-4</v>
      </c>
      <c r="X5241" s="231">
        <v>3.79883610612E-4</v>
      </c>
      <c r="Y5241" s="274" t="s">
        <v>29</v>
      </c>
      <c r="Z5241" s="150"/>
      <c r="AA5241" s="150"/>
      <c r="AB5241" s="152"/>
      <c r="AC5241" s="271"/>
      <c r="AD5241" s="257"/>
      <c r="AE5241" s="272"/>
      <c r="AF5241" s="224"/>
      <c r="AG5241" s="153"/>
      <c r="AH5241" s="346"/>
      <c r="AI5241" s="153"/>
      <c r="AJ5241" s="480"/>
      <c r="AK5241" s="153"/>
      <c r="AL5241" s="152"/>
      <c r="AM5241" s="152"/>
      <c r="AN5241" s="152"/>
      <c r="AO5241" s="152"/>
      <c r="AP5241" s="152"/>
      <c r="AQ5241" s="152"/>
      <c r="AR5241" s="152"/>
      <c r="AS5241" s="152"/>
      <c r="AT5241" s="152"/>
      <c r="AU5241" s="226"/>
      <c r="AV5241" s="226"/>
      <c r="AW5241" s="226"/>
      <c r="AX5241" s="226"/>
      <c r="AY5241" s="226"/>
      <c r="AZ5241" s="152"/>
      <c r="BA5241" s="152"/>
      <c r="BB5241" s="152"/>
      <c r="BC5241" s="152"/>
      <c r="BD5241" s="152"/>
      <c r="BE5241" s="152"/>
      <c r="BF5241" s="152"/>
      <c r="BG5241" s="152"/>
      <c r="BH5241" s="152"/>
      <c r="BI5241" s="153"/>
      <c r="BJ5241" s="153"/>
      <c r="BK5241" s="150" t="s">
        <v>114</v>
      </c>
      <c r="BL5241" s="153"/>
      <c r="BM5241" s="153"/>
      <c r="BN5241" s="153"/>
      <c r="BO5241" s="153"/>
      <c r="BP5241" s="153"/>
      <c r="BQ5241" s="153"/>
      <c r="BR5241" s="153"/>
      <c r="BS5241" s="153"/>
      <c r="BT5241" s="153"/>
      <c r="BU5241" s="153"/>
      <c r="BV5241" s="153"/>
      <c r="BW5241" s="153"/>
      <c r="BX5241" s="153"/>
      <c r="BY5241" s="153"/>
      <c r="BZ5241" s="153"/>
      <c r="CA5241" s="152"/>
      <c r="CB5241" s="152"/>
    </row>
    <row r="5242" spans="1:80" s="87" customFormat="1" x14ac:dyDescent="0.2">
      <c r="A5242" s="257"/>
      <c r="B5242" s="667"/>
      <c r="C5242" s="667"/>
      <c r="D5242" s="292"/>
      <c r="E5242" s="215"/>
      <c r="F5242" s="215"/>
      <c r="G5242" s="153"/>
      <c r="H5242" s="257"/>
      <c r="I5242" s="257"/>
      <c r="J5242" s="257"/>
      <c r="K5242" s="257"/>
      <c r="L5242" s="667"/>
      <c r="M5242" s="670">
        <v>31926</v>
      </c>
      <c r="N5242" s="600">
        <v>0.39648</v>
      </c>
      <c r="O5242" s="617">
        <f t="shared" si="23"/>
        <v>4.9979159384000007E-5</v>
      </c>
      <c r="P5242" s="150"/>
      <c r="Q5242" s="274"/>
      <c r="R5242" s="231"/>
      <c r="S5242" s="231"/>
      <c r="T5242" s="231">
        <v>7.34987638E-6</v>
      </c>
      <c r="U5242" s="231">
        <v>4.2629283004000003E-5</v>
      </c>
      <c r="V5242" s="231">
        <v>1.68102172634E-4</v>
      </c>
      <c r="W5242" s="231">
        <v>2.33411074182E-4</v>
      </c>
      <c r="X5242" s="231">
        <v>1.3051280486199999E-4</v>
      </c>
      <c r="Y5242" s="274" t="s">
        <v>29</v>
      </c>
      <c r="Z5242" s="150"/>
      <c r="AA5242" s="150"/>
      <c r="AB5242" s="152"/>
      <c r="AC5242" s="271"/>
      <c r="AD5242" s="257"/>
      <c r="AE5242" s="272"/>
      <c r="AF5242" s="224"/>
      <c r="AG5242" s="153"/>
      <c r="AH5242" s="346"/>
      <c r="AI5242" s="153"/>
      <c r="AJ5242" s="480"/>
      <c r="AK5242" s="153"/>
      <c r="AL5242" s="152"/>
      <c r="AM5242" s="152"/>
      <c r="AN5242" s="152"/>
      <c r="AO5242" s="152"/>
      <c r="AP5242" s="152"/>
      <c r="AQ5242" s="152"/>
      <c r="AR5242" s="152"/>
      <c r="AS5242" s="152"/>
      <c r="AT5242" s="152"/>
      <c r="AU5242" s="226"/>
      <c r="AV5242" s="226"/>
      <c r="AW5242" s="226"/>
      <c r="AX5242" s="226"/>
      <c r="AY5242" s="226"/>
      <c r="AZ5242" s="152"/>
      <c r="BA5242" s="152"/>
      <c r="BB5242" s="152"/>
      <c r="BC5242" s="152"/>
      <c r="BD5242" s="152"/>
      <c r="BE5242" s="152"/>
      <c r="BF5242" s="152"/>
      <c r="BG5242" s="152"/>
      <c r="BH5242" s="152"/>
      <c r="BI5242" s="153"/>
      <c r="BJ5242" s="153"/>
      <c r="BK5242" s="150" t="s">
        <v>114</v>
      </c>
      <c r="BL5242" s="153"/>
      <c r="BM5242" s="153"/>
      <c r="BN5242" s="153"/>
      <c r="BO5242" s="153"/>
      <c r="BP5242" s="153"/>
      <c r="BQ5242" s="153"/>
      <c r="BR5242" s="153"/>
      <c r="BS5242" s="153"/>
      <c r="BT5242" s="153"/>
      <c r="BU5242" s="153"/>
      <c r="BV5242" s="153"/>
      <c r="BW5242" s="153"/>
      <c r="BX5242" s="153"/>
      <c r="BY5242" s="153"/>
      <c r="BZ5242" s="153"/>
      <c r="CA5242" s="152"/>
      <c r="CB5242" s="152"/>
    </row>
    <row r="5243" spans="1:80" s="87" customFormat="1" x14ac:dyDescent="0.2">
      <c r="A5243" s="257"/>
      <c r="B5243" s="667"/>
      <c r="C5243" s="667"/>
      <c r="D5243" s="292"/>
      <c r="E5243" s="215"/>
      <c r="F5243" s="215"/>
      <c r="G5243" s="153"/>
      <c r="H5243" s="257"/>
      <c r="I5243" s="257"/>
      <c r="J5243" s="257"/>
      <c r="K5243" s="257"/>
      <c r="L5243" s="667"/>
      <c r="M5243" s="670">
        <v>31939</v>
      </c>
      <c r="N5243" s="600">
        <v>0.21523200000000001</v>
      </c>
      <c r="O5243" s="617">
        <f t="shared" si="23"/>
        <v>1.04998234E-6</v>
      </c>
      <c r="P5243" s="150"/>
      <c r="Q5243" s="274"/>
      <c r="R5243" s="231"/>
      <c r="S5243" s="231"/>
      <c r="T5243" s="231"/>
      <c r="U5243" s="231">
        <v>1.04998234E-6</v>
      </c>
      <c r="V5243" s="231">
        <v>3.254945254E-6</v>
      </c>
      <c r="W5243" s="231">
        <v>5.459908168E-6</v>
      </c>
      <c r="X5243" s="231">
        <v>1.3964765122E-5</v>
      </c>
      <c r="Y5243" s="274" t="s">
        <v>29</v>
      </c>
      <c r="Z5243" s="150"/>
      <c r="AA5243" s="150"/>
      <c r="AB5243" s="152"/>
      <c r="AC5243" s="271"/>
      <c r="AD5243" s="257"/>
      <c r="AE5243" s="272"/>
      <c r="AF5243" s="224"/>
      <c r="AG5243" s="153"/>
      <c r="AH5243" s="346"/>
      <c r="AI5243" s="153"/>
      <c r="AJ5243" s="480"/>
      <c r="AK5243" s="153"/>
      <c r="AL5243" s="152"/>
      <c r="AM5243" s="152"/>
      <c r="AN5243" s="152"/>
      <c r="AO5243" s="152"/>
      <c r="AP5243" s="152"/>
      <c r="AQ5243" s="152"/>
      <c r="AR5243" s="152"/>
      <c r="AS5243" s="152"/>
      <c r="AT5243" s="152"/>
      <c r="AU5243" s="226"/>
      <c r="AV5243" s="226"/>
      <c r="AW5243" s="226"/>
      <c r="AX5243" s="226"/>
      <c r="AY5243" s="226"/>
      <c r="AZ5243" s="152"/>
      <c r="BA5243" s="152"/>
      <c r="BB5243" s="152"/>
      <c r="BC5243" s="152"/>
      <c r="BD5243" s="152"/>
      <c r="BE5243" s="152"/>
      <c r="BF5243" s="152"/>
      <c r="BG5243" s="152"/>
      <c r="BH5243" s="152"/>
      <c r="BI5243" s="153"/>
      <c r="BJ5243" s="153"/>
      <c r="BK5243" s="150" t="s">
        <v>114</v>
      </c>
      <c r="BL5243" s="153"/>
      <c r="BM5243" s="153"/>
      <c r="BN5243" s="153"/>
      <c r="BO5243" s="153"/>
      <c r="BP5243" s="153"/>
      <c r="BQ5243" s="153"/>
      <c r="BR5243" s="153"/>
      <c r="BS5243" s="153"/>
      <c r="BT5243" s="153"/>
      <c r="BU5243" s="153"/>
      <c r="BV5243" s="153"/>
      <c r="BW5243" s="153"/>
      <c r="BX5243" s="153"/>
      <c r="BY5243" s="153"/>
      <c r="BZ5243" s="153"/>
      <c r="CA5243" s="152"/>
      <c r="CB5243" s="152"/>
    </row>
    <row r="5244" spans="1:80" s="87" customFormat="1" x14ac:dyDescent="0.2">
      <c r="A5244" s="257"/>
      <c r="B5244" s="667"/>
      <c r="C5244" s="667"/>
      <c r="D5244" s="292"/>
      <c r="E5244" s="215"/>
      <c r="F5244" s="215"/>
      <c r="G5244" s="153"/>
      <c r="H5244" s="257"/>
      <c r="I5244" s="257"/>
      <c r="J5244" s="257"/>
      <c r="K5244" s="257"/>
      <c r="L5244" s="667"/>
      <c r="M5244" s="670">
        <v>32276</v>
      </c>
      <c r="N5244" s="600">
        <v>0.48144000000000003</v>
      </c>
      <c r="O5244" s="617">
        <f t="shared" si="23"/>
        <v>2.44435888752E-3</v>
      </c>
      <c r="P5244" s="150"/>
      <c r="Q5244" s="274"/>
      <c r="R5244" s="231"/>
      <c r="S5244" s="231">
        <v>2.2679618544000003E-4</v>
      </c>
      <c r="T5244" s="231">
        <v>9.0718474176000011E-4</v>
      </c>
      <c r="U5244" s="231">
        <v>1.3103779603199999E-3</v>
      </c>
      <c r="V5244" s="231">
        <v>2.9231508345599999E-3</v>
      </c>
      <c r="W5244" s="231">
        <v>5.5943059075200009E-3</v>
      </c>
      <c r="X5244" s="231">
        <v>1.0331826225599999E-2</v>
      </c>
      <c r="Y5244" s="274" t="s">
        <v>29</v>
      </c>
      <c r="Z5244" s="150"/>
      <c r="AA5244" s="150"/>
      <c r="AB5244" s="152"/>
      <c r="AC5244" s="271"/>
      <c r="AD5244" s="257"/>
      <c r="AE5244" s="272"/>
      <c r="AF5244" s="224"/>
      <c r="AG5244" s="153"/>
      <c r="AH5244" s="346"/>
      <c r="AI5244" s="153"/>
      <c r="AJ5244" s="480"/>
      <c r="AK5244" s="153"/>
      <c r="AL5244" s="152"/>
      <c r="AM5244" s="152"/>
      <c r="AN5244" s="152"/>
      <c r="AO5244" s="152"/>
      <c r="AP5244" s="152"/>
      <c r="AQ5244" s="152"/>
      <c r="AR5244" s="152"/>
      <c r="AS5244" s="152"/>
      <c r="AT5244" s="152"/>
      <c r="AU5244" s="226"/>
      <c r="AV5244" s="226"/>
      <c r="AW5244" s="226"/>
      <c r="AX5244" s="226"/>
      <c r="AY5244" s="226"/>
      <c r="AZ5244" s="152"/>
      <c r="BA5244" s="152"/>
      <c r="BB5244" s="152"/>
      <c r="BC5244" s="152"/>
      <c r="BD5244" s="152"/>
      <c r="BE5244" s="152"/>
      <c r="BF5244" s="152"/>
      <c r="BG5244" s="152"/>
      <c r="BH5244" s="152"/>
      <c r="BI5244" s="153"/>
      <c r="BJ5244" s="153"/>
      <c r="BK5244" s="150" t="s">
        <v>114</v>
      </c>
      <c r="BL5244" s="153"/>
      <c r="BM5244" s="153"/>
      <c r="BN5244" s="153"/>
      <c r="BO5244" s="153"/>
      <c r="BP5244" s="153"/>
      <c r="BQ5244" s="153"/>
      <c r="BR5244" s="153"/>
      <c r="BS5244" s="153"/>
      <c r="BT5244" s="153"/>
      <c r="BU5244" s="153"/>
      <c r="BV5244" s="153"/>
      <c r="BW5244" s="153"/>
      <c r="BX5244" s="153"/>
      <c r="BY5244" s="153"/>
      <c r="BZ5244" s="153"/>
      <c r="CA5244" s="152"/>
      <c r="CB5244" s="152"/>
    </row>
    <row r="5245" spans="1:80" s="87" customFormat="1" x14ac:dyDescent="0.2">
      <c r="A5245" s="257"/>
      <c r="B5245" s="667"/>
      <c r="C5245" s="667"/>
      <c r="D5245" s="292"/>
      <c r="E5245" s="215"/>
      <c r="F5245" s="215"/>
      <c r="G5245" s="153"/>
      <c r="H5245" s="257"/>
      <c r="I5245" s="257"/>
      <c r="J5245" s="257"/>
      <c r="K5245" s="257"/>
      <c r="L5245" s="667"/>
      <c r="M5245" s="670">
        <v>32276</v>
      </c>
      <c r="N5245" s="600">
        <v>0.50975999999999999</v>
      </c>
      <c r="O5245" s="617">
        <f t="shared" si="23"/>
        <v>1.157290535148E-3</v>
      </c>
      <c r="P5245" s="150"/>
      <c r="Q5245" s="274"/>
      <c r="R5245" s="231"/>
      <c r="S5245" s="231">
        <v>3.2549452539999997E-5</v>
      </c>
      <c r="T5245" s="231">
        <v>3.2759449007999997E-4</v>
      </c>
      <c r="U5245" s="231">
        <v>7.9714659252800007E-4</v>
      </c>
      <c r="V5245" s="231">
        <v>1.6052130013919999E-3</v>
      </c>
      <c r="W5245" s="231">
        <v>2.5770766552959999E-3</v>
      </c>
      <c r="X5245" s="231">
        <v>4.3242472690559995E-3</v>
      </c>
      <c r="Y5245" s="274" t="s">
        <v>29</v>
      </c>
      <c r="Z5245" s="150"/>
      <c r="AA5245" s="150"/>
      <c r="AB5245" s="152"/>
      <c r="AC5245" s="271"/>
      <c r="AD5245" s="257"/>
      <c r="AE5245" s="272"/>
      <c r="AF5245" s="224"/>
      <c r="AG5245" s="153"/>
      <c r="AH5245" s="346"/>
      <c r="AI5245" s="153"/>
      <c r="AJ5245" s="480"/>
      <c r="AK5245" s="153"/>
      <c r="AL5245" s="152"/>
      <c r="AM5245" s="152"/>
      <c r="AN5245" s="152"/>
      <c r="AO5245" s="152"/>
      <c r="AP5245" s="152"/>
      <c r="AQ5245" s="152"/>
      <c r="AR5245" s="152"/>
      <c r="AS5245" s="152"/>
      <c r="AT5245" s="152"/>
      <c r="AU5245" s="226"/>
      <c r="AV5245" s="226"/>
      <c r="AW5245" s="226"/>
      <c r="AX5245" s="226"/>
      <c r="AY5245" s="226"/>
      <c r="AZ5245" s="152"/>
      <c r="BA5245" s="152"/>
      <c r="BB5245" s="152"/>
      <c r="BC5245" s="152"/>
      <c r="BD5245" s="152"/>
      <c r="BE5245" s="152"/>
      <c r="BF5245" s="152"/>
      <c r="BG5245" s="152"/>
      <c r="BH5245" s="152"/>
      <c r="BI5245" s="153"/>
      <c r="BJ5245" s="153"/>
      <c r="BK5245" s="150" t="s">
        <v>114</v>
      </c>
      <c r="BL5245" s="153"/>
      <c r="BM5245" s="153"/>
      <c r="BN5245" s="153"/>
      <c r="BO5245" s="153"/>
      <c r="BP5245" s="153"/>
      <c r="BQ5245" s="153"/>
      <c r="BR5245" s="153"/>
      <c r="BS5245" s="153"/>
      <c r="BT5245" s="153"/>
      <c r="BU5245" s="153"/>
      <c r="BV5245" s="153"/>
      <c r="BW5245" s="153"/>
      <c r="BX5245" s="153"/>
      <c r="BY5245" s="153"/>
      <c r="BZ5245" s="153"/>
      <c r="CA5245" s="152"/>
      <c r="CB5245" s="152"/>
    </row>
    <row r="5246" spans="1:80" s="87" customFormat="1" x14ac:dyDescent="0.2">
      <c r="A5246" s="257"/>
      <c r="B5246" s="667"/>
      <c r="C5246" s="667"/>
      <c r="D5246" s="292"/>
      <c r="E5246" s="215"/>
      <c r="F5246" s="215"/>
      <c r="G5246" s="153"/>
      <c r="H5246" s="257"/>
      <c r="I5246" s="257"/>
      <c r="J5246" s="257"/>
      <c r="K5246" s="257"/>
      <c r="L5246" s="667"/>
      <c r="M5246" s="670">
        <v>32280</v>
      </c>
      <c r="N5246" s="600">
        <v>1.0478400000000001</v>
      </c>
      <c r="O5246" s="617">
        <f t="shared" si="23"/>
        <v>2.2469622076E-3</v>
      </c>
      <c r="P5246" s="150"/>
      <c r="Q5246" s="274"/>
      <c r="R5246" s="231"/>
      <c r="S5246" s="231">
        <v>1.8899682119999999E-4</v>
      </c>
      <c r="T5246" s="231">
        <v>9.6598375279999997E-4</v>
      </c>
      <c r="U5246" s="231">
        <v>1.0919816336000001E-3</v>
      </c>
      <c r="V5246" s="231">
        <v>1.7954698014000002E-3</v>
      </c>
      <c r="W5246" s="231">
        <v>2.3204609714000003E-3</v>
      </c>
      <c r="X5246" s="231">
        <v>2.9504503754000004E-3</v>
      </c>
      <c r="Y5246" s="274" t="s">
        <v>29</v>
      </c>
      <c r="Z5246" s="150"/>
      <c r="AA5246" s="150"/>
      <c r="AB5246" s="152"/>
      <c r="AC5246" s="271"/>
      <c r="AD5246" s="257"/>
      <c r="AE5246" s="272"/>
      <c r="AF5246" s="224"/>
      <c r="AG5246" s="153"/>
      <c r="AH5246" s="346"/>
      <c r="AI5246" s="153"/>
      <c r="AJ5246" s="480"/>
      <c r="AK5246" s="153"/>
      <c r="AL5246" s="152"/>
      <c r="AM5246" s="152"/>
      <c r="AN5246" s="152"/>
      <c r="AO5246" s="152"/>
      <c r="AP5246" s="152"/>
      <c r="AQ5246" s="152"/>
      <c r="AR5246" s="152"/>
      <c r="AS5246" s="152"/>
      <c r="AT5246" s="152"/>
      <c r="AU5246" s="226"/>
      <c r="AV5246" s="226"/>
      <c r="AW5246" s="226"/>
      <c r="AX5246" s="226"/>
      <c r="AY5246" s="226"/>
      <c r="AZ5246" s="152"/>
      <c r="BA5246" s="152"/>
      <c r="BB5246" s="152"/>
      <c r="BC5246" s="152"/>
      <c r="BD5246" s="152"/>
      <c r="BE5246" s="152"/>
      <c r="BF5246" s="152"/>
      <c r="BG5246" s="152"/>
      <c r="BH5246" s="152"/>
      <c r="BI5246" s="153"/>
      <c r="BJ5246" s="153"/>
      <c r="BK5246" s="150" t="s">
        <v>114</v>
      </c>
      <c r="BL5246" s="153"/>
      <c r="BM5246" s="153"/>
      <c r="BN5246" s="153"/>
      <c r="BO5246" s="153"/>
      <c r="BP5246" s="153"/>
      <c r="BQ5246" s="153"/>
      <c r="BR5246" s="153"/>
      <c r="BS5246" s="153"/>
      <c r="BT5246" s="153"/>
      <c r="BU5246" s="153"/>
      <c r="BV5246" s="153"/>
      <c r="BW5246" s="153"/>
      <c r="BX5246" s="153"/>
      <c r="BY5246" s="153"/>
      <c r="BZ5246" s="153"/>
      <c r="CA5246" s="152"/>
      <c r="CB5246" s="152"/>
    </row>
    <row r="5247" spans="1:80" s="87" customFormat="1" x14ac:dyDescent="0.2">
      <c r="A5247" s="257"/>
      <c r="B5247" s="667"/>
      <c r="C5247" s="667"/>
      <c r="D5247" s="292"/>
      <c r="E5247" s="215"/>
      <c r="F5247" s="215"/>
      <c r="G5247" s="153"/>
      <c r="H5247" s="257"/>
      <c r="I5247" s="257"/>
      <c r="J5247" s="257"/>
      <c r="K5247" s="257"/>
      <c r="L5247" s="667"/>
      <c r="M5247" s="670">
        <v>32280</v>
      </c>
      <c r="N5247" s="600">
        <v>1.07616</v>
      </c>
      <c r="O5247" s="617">
        <f t="shared" si="23"/>
        <v>4.7946393573760002E-3</v>
      </c>
      <c r="P5247" s="150"/>
      <c r="Q5247" s="274">
        <v>1.3439773952E-3</v>
      </c>
      <c r="R5247" s="231">
        <v>4.6409219428000006E-4</v>
      </c>
      <c r="S5247" s="231">
        <v>1.8269692715999999E-4</v>
      </c>
      <c r="T5247" s="231">
        <v>1.0121829757600001E-3</v>
      </c>
      <c r="U5247" s="231">
        <v>1.7916898649759999E-3</v>
      </c>
      <c r="V5247" s="231">
        <v>2.6377656345479999E-3</v>
      </c>
      <c r="W5247" s="231">
        <v>3.3345339153719998E-3</v>
      </c>
      <c r="X5247" s="231">
        <v>4.429455499524E-3</v>
      </c>
      <c r="Y5247" s="274" t="s">
        <v>29</v>
      </c>
      <c r="Z5247" s="150"/>
      <c r="AA5247" s="150"/>
      <c r="AB5247" s="152"/>
      <c r="AC5247" s="271"/>
      <c r="AD5247" s="257"/>
      <c r="AE5247" s="272"/>
      <c r="AF5247" s="224"/>
      <c r="AG5247" s="153"/>
      <c r="AH5247" s="346"/>
      <c r="AI5247" s="153"/>
      <c r="AJ5247" s="480"/>
      <c r="AK5247" s="153"/>
      <c r="AL5247" s="152"/>
      <c r="AM5247" s="152"/>
      <c r="AN5247" s="152"/>
      <c r="AO5247" s="152"/>
      <c r="AP5247" s="152"/>
      <c r="AQ5247" s="152"/>
      <c r="AR5247" s="152"/>
      <c r="AS5247" s="152"/>
      <c r="AT5247" s="152"/>
      <c r="AU5247" s="226"/>
      <c r="AV5247" s="226"/>
      <c r="AW5247" s="226"/>
      <c r="AX5247" s="226"/>
      <c r="AY5247" s="226"/>
      <c r="AZ5247" s="152"/>
      <c r="BA5247" s="152"/>
      <c r="BB5247" s="152"/>
      <c r="BC5247" s="152"/>
      <c r="BD5247" s="152"/>
      <c r="BE5247" s="152"/>
      <c r="BF5247" s="152"/>
      <c r="BG5247" s="152"/>
      <c r="BH5247" s="152"/>
      <c r="BI5247" s="153"/>
      <c r="BJ5247" s="153"/>
      <c r="BK5247" s="150" t="s">
        <v>114</v>
      </c>
      <c r="BL5247" s="153"/>
      <c r="BM5247" s="153"/>
      <c r="BN5247" s="153"/>
      <c r="BO5247" s="153"/>
      <c r="BP5247" s="153"/>
      <c r="BQ5247" s="153"/>
      <c r="BR5247" s="153"/>
      <c r="BS5247" s="153"/>
      <c r="BT5247" s="153"/>
      <c r="BU5247" s="153"/>
      <c r="BV5247" s="153"/>
      <c r="BW5247" s="153"/>
      <c r="BX5247" s="153"/>
      <c r="BY5247" s="153"/>
      <c r="BZ5247" s="153"/>
      <c r="CA5247" s="152"/>
      <c r="CB5247" s="152"/>
    </row>
    <row r="5248" spans="1:80" s="87" customFormat="1" x14ac:dyDescent="0.2">
      <c r="A5248" s="257"/>
      <c r="B5248" s="667"/>
      <c r="C5248" s="667"/>
      <c r="D5248" s="292"/>
      <c r="E5248" s="215"/>
      <c r="F5248" s="215"/>
      <c r="G5248" s="153"/>
      <c r="H5248" s="257"/>
      <c r="I5248" s="257"/>
      <c r="J5248" s="257"/>
      <c r="K5248" s="257"/>
      <c r="L5248" s="667"/>
      <c r="M5248" s="670">
        <v>32288</v>
      </c>
      <c r="N5248" s="600">
        <v>1.0478400000000001</v>
      </c>
      <c r="O5248" s="617">
        <f t="shared" si="23"/>
        <v>1.7440206667400002E-3</v>
      </c>
      <c r="P5248" s="150"/>
      <c r="Q5248" s="274"/>
      <c r="R5248" s="231"/>
      <c r="S5248" s="231">
        <v>5.6594048126000008E-4</v>
      </c>
      <c r="T5248" s="231">
        <v>4.8509184107999997E-4</v>
      </c>
      <c r="U5248" s="231">
        <v>6.9298834440000001E-4</v>
      </c>
      <c r="V5248" s="231">
        <v>1.3975264945399999E-3</v>
      </c>
      <c r="W5248" s="231">
        <v>2.9798498809199998E-3</v>
      </c>
      <c r="X5248" s="231">
        <v>4.1463802606599995E-3</v>
      </c>
      <c r="Y5248" s="274" t="s">
        <v>29</v>
      </c>
      <c r="Z5248" s="150"/>
      <c r="AA5248" s="150"/>
      <c r="AB5248" s="152"/>
      <c r="AC5248" s="271"/>
      <c r="AD5248" s="257"/>
      <c r="AE5248" s="272"/>
      <c r="AF5248" s="224"/>
      <c r="AG5248" s="153"/>
      <c r="AH5248" s="346"/>
      <c r="AI5248" s="153"/>
      <c r="AJ5248" s="480"/>
      <c r="AK5248" s="153"/>
      <c r="AL5248" s="152"/>
      <c r="AM5248" s="152"/>
      <c r="AN5248" s="152"/>
      <c r="AO5248" s="152"/>
      <c r="AP5248" s="152"/>
      <c r="AQ5248" s="152"/>
      <c r="AR5248" s="152"/>
      <c r="AS5248" s="152"/>
      <c r="AT5248" s="152"/>
      <c r="AU5248" s="226"/>
      <c r="AV5248" s="226"/>
      <c r="AW5248" s="226"/>
      <c r="AX5248" s="226"/>
      <c r="AY5248" s="226"/>
      <c r="AZ5248" s="152"/>
      <c r="BA5248" s="152"/>
      <c r="BB5248" s="152"/>
      <c r="BC5248" s="152"/>
      <c r="BD5248" s="152"/>
      <c r="BE5248" s="152"/>
      <c r="BF5248" s="152"/>
      <c r="BG5248" s="152"/>
      <c r="BH5248" s="152"/>
      <c r="BI5248" s="153"/>
      <c r="BJ5248" s="153"/>
      <c r="BK5248" s="150" t="s">
        <v>114</v>
      </c>
      <c r="BL5248" s="153"/>
      <c r="BM5248" s="153"/>
      <c r="BN5248" s="153"/>
      <c r="BO5248" s="153"/>
      <c r="BP5248" s="153"/>
      <c r="BQ5248" s="153"/>
      <c r="BR5248" s="153"/>
      <c r="BS5248" s="153"/>
      <c r="BT5248" s="153"/>
      <c r="BU5248" s="153"/>
      <c r="BV5248" s="153"/>
      <c r="BW5248" s="153"/>
      <c r="BX5248" s="153"/>
      <c r="BY5248" s="153"/>
      <c r="BZ5248" s="153"/>
      <c r="CA5248" s="152"/>
      <c r="CB5248" s="152"/>
    </row>
    <row r="5249" spans="1:80" s="87" customFormat="1" x14ac:dyDescent="0.2">
      <c r="A5249" s="257"/>
      <c r="B5249" s="667"/>
      <c r="C5249" s="667"/>
      <c r="D5249" s="292"/>
      <c r="E5249" s="215"/>
      <c r="F5249" s="215"/>
      <c r="G5249" s="153"/>
      <c r="H5249" s="257"/>
      <c r="I5249" s="257"/>
      <c r="J5249" s="257"/>
      <c r="K5249" s="257"/>
      <c r="L5249" s="667"/>
      <c r="M5249" s="670">
        <v>32288</v>
      </c>
      <c r="N5249" s="600">
        <v>1.07616</v>
      </c>
      <c r="O5249" s="617">
        <f t="shared" si="23"/>
        <v>3.5163908566600002E-3</v>
      </c>
      <c r="P5249" s="150"/>
      <c r="Q5249" s="274"/>
      <c r="R5249" s="231">
        <v>3.3914429582000005E-4</v>
      </c>
      <c r="S5249" s="231">
        <v>9.1033468878E-4</v>
      </c>
      <c r="T5249" s="231">
        <v>9.9958318768000008E-4</v>
      </c>
      <c r="U5249" s="231">
        <v>1.26732868438E-3</v>
      </c>
      <c r="V5249" s="231">
        <v>2.5525070685400004E-3</v>
      </c>
      <c r="W5249" s="231">
        <v>4.8908177397200001E-3</v>
      </c>
      <c r="X5249" s="231">
        <v>5.6583548302600005E-3</v>
      </c>
      <c r="Y5249" s="274" t="s">
        <v>29</v>
      </c>
      <c r="Z5249" s="150"/>
      <c r="AA5249" s="150"/>
      <c r="AB5249" s="152"/>
      <c r="AC5249" s="271"/>
      <c r="AD5249" s="257"/>
      <c r="AE5249" s="272"/>
      <c r="AF5249" s="224"/>
      <c r="AG5249" s="153"/>
      <c r="AH5249" s="346"/>
      <c r="AI5249" s="153"/>
      <c r="AJ5249" s="480"/>
      <c r="AK5249" s="153"/>
      <c r="AL5249" s="152"/>
      <c r="AM5249" s="152"/>
      <c r="AN5249" s="152"/>
      <c r="AO5249" s="152"/>
      <c r="AP5249" s="152"/>
      <c r="AQ5249" s="152"/>
      <c r="AR5249" s="152"/>
      <c r="AS5249" s="152"/>
      <c r="AT5249" s="152"/>
      <c r="AU5249" s="226"/>
      <c r="AV5249" s="226"/>
      <c r="AW5249" s="226"/>
      <c r="AX5249" s="226"/>
      <c r="AY5249" s="226"/>
      <c r="AZ5249" s="152"/>
      <c r="BA5249" s="152"/>
      <c r="BB5249" s="152"/>
      <c r="BC5249" s="152"/>
      <c r="BD5249" s="152"/>
      <c r="BE5249" s="152"/>
      <c r="BF5249" s="152"/>
      <c r="BG5249" s="152"/>
      <c r="BH5249" s="152"/>
      <c r="BI5249" s="153"/>
      <c r="BJ5249" s="153"/>
      <c r="BK5249" s="150" t="s">
        <v>114</v>
      </c>
      <c r="BL5249" s="153"/>
      <c r="BM5249" s="153"/>
      <c r="BN5249" s="153"/>
      <c r="BO5249" s="153"/>
      <c r="BP5249" s="153"/>
      <c r="BQ5249" s="153"/>
      <c r="BR5249" s="153"/>
      <c r="BS5249" s="153"/>
      <c r="BT5249" s="153"/>
      <c r="BU5249" s="153"/>
      <c r="BV5249" s="153"/>
      <c r="BW5249" s="153"/>
      <c r="BX5249" s="153"/>
      <c r="BY5249" s="153"/>
      <c r="BZ5249" s="153"/>
      <c r="CA5249" s="152"/>
      <c r="CB5249" s="152"/>
    </row>
    <row r="5250" spans="1:80" s="87" customFormat="1" x14ac:dyDescent="0.2">
      <c r="A5250" s="257"/>
      <c r="B5250" s="667"/>
      <c r="C5250" s="667"/>
      <c r="D5250" s="292"/>
      <c r="E5250" s="215"/>
      <c r="F5250" s="215"/>
      <c r="G5250" s="153"/>
      <c r="H5250" s="257"/>
      <c r="I5250" s="257"/>
      <c r="J5250" s="257"/>
      <c r="K5250" s="257"/>
      <c r="L5250" s="667"/>
      <c r="M5250" s="670">
        <v>32288</v>
      </c>
      <c r="N5250" s="600">
        <v>1.1894400000000001</v>
      </c>
      <c r="O5250" s="617">
        <f t="shared" si="23"/>
        <v>6.3384283918780007E-3</v>
      </c>
      <c r="P5250" s="150"/>
      <c r="Q5250" s="274"/>
      <c r="R5250" s="231">
        <v>2.1902631612400001E-3</v>
      </c>
      <c r="S5250" s="231">
        <v>1.52667432236E-3</v>
      </c>
      <c r="T5250" s="231">
        <v>1.2389791612E-3</v>
      </c>
      <c r="U5250" s="231">
        <v>1.3825117470780001E-3</v>
      </c>
      <c r="V5250" s="231">
        <v>2.4597936279180002E-3</v>
      </c>
      <c r="W5250" s="231">
        <v>4.0757164491780004E-3</v>
      </c>
      <c r="X5250" s="231">
        <v>4.2732181273320005E-3</v>
      </c>
      <c r="Y5250" s="274" t="s">
        <v>29</v>
      </c>
      <c r="Z5250" s="150"/>
      <c r="AA5250" s="150"/>
      <c r="AB5250" s="152"/>
      <c r="AC5250" s="271"/>
      <c r="AD5250" s="257"/>
      <c r="AE5250" s="272"/>
      <c r="AF5250" s="224"/>
      <c r="AG5250" s="153"/>
      <c r="AH5250" s="346"/>
      <c r="AI5250" s="153"/>
      <c r="AJ5250" s="480"/>
      <c r="AK5250" s="153"/>
      <c r="AL5250" s="152"/>
      <c r="AM5250" s="152"/>
      <c r="AN5250" s="152"/>
      <c r="AO5250" s="152"/>
      <c r="AP5250" s="152"/>
      <c r="AQ5250" s="152"/>
      <c r="AR5250" s="152"/>
      <c r="AS5250" s="152"/>
      <c r="AT5250" s="152"/>
      <c r="AU5250" s="226"/>
      <c r="AV5250" s="226"/>
      <c r="AW5250" s="226"/>
      <c r="AX5250" s="226"/>
      <c r="AY5250" s="226"/>
      <c r="AZ5250" s="152"/>
      <c r="BA5250" s="152"/>
      <c r="BB5250" s="152"/>
      <c r="BC5250" s="152"/>
      <c r="BD5250" s="152"/>
      <c r="BE5250" s="152"/>
      <c r="BF5250" s="152"/>
      <c r="BG5250" s="152"/>
      <c r="BH5250" s="152"/>
      <c r="BI5250" s="153"/>
      <c r="BJ5250" s="153"/>
      <c r="BK5250" s="150" t="s">
        <v>114</v>
      </c>
      <c r="BL5250" s="153"/>
      <c r="BM5250" s="153"/>
      <c r="BN5250" s="153"/>
      <c r="BO5250" s="153"/>
      <c r="BP5250" s="153"/>
      <c r="BQ5250" s="153"/>
      <c r="BR5250" s="153"/>
      <c r="BS5250" s="153"/>
      <c r="BT5250" s="153"/>
      <c r="BU5250" s="153"/>
      <c r="BV5250" s="153"/>
      <c r="BW5250" s="153"/>
      <c r="BX5250" s="153"/>
      <c r="BY5250" s="153"/>
      <c r="BZ5250" s="153"/>
      <c r="CA5250" s="152"/>
      <c r="CB5250" s="152"/>
    </row>
    <row r="5251" spans="1:80" s="87" customFormat="1" x14ac:dyDescent="0.2">
      <c r="A5251" s="257"/>
      <c r="B5251" s="667"/>
      <c r="C5251" s="667"/>
      <c r="D5251" s="292"/>
      <c r="E5251" s="215"/>
      <c r="F5251" s="215"/>
      <c r="G5251" s="153"/>
      <c r="H5251" s="257"/>
      <c r="I5251" s="257"/>
      <c r="J5251" s="257"/>
      <c r="K5251" s="257"/>
      <c r="L5251" s="667"/>
      <c r="M5251" s="670">
        <v>32288</v>
      </c>
      <c r="N5251" s="600">
        <v>1.1894400000000001</v>
      </c>
      <c r="O5251" s="617">
        <f t="shared" si="23"/>
        <v>2.9798498809199998E-3</v>
      </c>
      <c r="P5251" s="150"/>
      <c r="Q5251" s="274"/>
      <c r="R5251" s="231">
        <v>8.7778523623999996E-4</v>
      </c>
      <c r="S5251" s="231">
        <v>4.5044242386E-4</v>
      </c>
      <c r="T5251" s="231">
        <v>6.9298834440000001E-4</v>
      </c>
      <c r="U5251" s="231">
        <v>9.5863387642000013E-4</v>
      </c>
      <c r="V5251" s="231">
        <v>1.80176969544E-3</v>
      </c>
      <c r="W5251" s="231">
        <v>2.7488537661199998E-3</v>
      </c>
      <c r="X5251" s="231">
        <v>3.25704521868E-3</v>
      </c>
      <c r="Y5251" s="274" t="s">
        <v>29</v>
      </c>
      <c r="Z5251" s="150"/>
      <c r="AA5251" s="150"/>
      <c r="AB5251" s="152"/>
      <c r="AC5251" s="271"/>
      <c r="AD5251" s="257"/>
      <c r="AE5251" s="272"/>
      <c r="AF5251" s="224"/>
      <c r="AG5251" s="153"/>
      <c r="AH5251" s="346"/>
      <c r="AI5251" s="153"/>
      <c r="AJ5251" s="480"/>
      <c r="AK5251" s="153"/>
      <c r="AL5251" s="152"/>
      <c r="AM5251" s="152"/>
      <c r="AN5251" s="152"/>
      <c r="AO5251" s="152"/>
      <c r="AP5251" s="152"/>
      <c r="AQ5251" s="152"/>
      <c r="AR5251" s="152"/>
      <c r="AS5251" s="152"/>
      <c r="AT5251" s="152"/>
      <c r="AU5251" s="226"/>
      <c r="AV5251" s="226"/>
      <c r="AW5251" s="226"/>
      <c r="AX5251" s="226"/>
      <c r="AY5251" s="226"/>
      <c r="AZ5251" s="152"/>
      <c r="BA5251" s="152"/>
      <c r="BB5251" s="152"/>
      <c r="BC5251" s="152"/>
      <c r="BD5251" s="152"/>
      <c r="BE5251" s="152"/>
      <c r="BF5251" s="152"/>
      <c r="BG5251" s="152"/>
      <c r="BH5251" s="152"/>
      <c r="BI5251" s="153"/>
      <c r="BJ5251" s="153"/>
      <c r="BK5251" s="150" t="s">
        <v>114</v>
      </c>
      <c r="BL5251" s="153"/>
      <c r="BM5251" s="153"/>
      <c r="BN5251" s="153"/>
      <c r="BO5251" s="153"/>
      <c r="BP5251" s="153"/>
      <c r="BQ5251" s="153"/>
      <c r="BR5251" s="153"/>
      <c r="BS5251" s="153"/>
      <c r="BT5251" s="153"/>
      <c r="BU5251" s="153"/>
      <c r="BV5251" s="153"/>
      <c r="BW5251" s="153"/>
      <c r="BX5251" s="153"/>
      <c r="BY5251" s="153"/>
      <c r="BZ5251" s="153"/>
      <c r="CA5251" s="152"/>
      <c r="CB5251" s="152"/>
    </row>
    <row r="5252" spans="1:80" s="87" customFormat="1" x14ac:dyDescent="0.2">
      <c r="A5252" s="257"/>
      <c r="B5252" s="667"/>
      <c r="C5252" s="667"/>
      <c r="D5252" s="292"/>
      <c r="E5252" s="215"/>
      <c r="F5252" s="215"/>
      <c r="G5252" s="153"/>
      <c r="H5252" s="257"/>
      <c r="I5252" s="257"/>
      <c r="J5252" s="257"/>
      <c r="K5252" s="257"/>
      <c r="L5252" s="667"/>
      <c r="M5252" s="670">
        <v>32288</v>
      </c>
      <c r="N5252" s="600">
        <v>1.1044800000000001</v>
      </c>
      <c r="O5252" s="617">
        <f t="shared" si="23"/>
        <v>7.30892706874E-4</v>
      </c>
      <c r="P5252" s="150"/>
      <c r="Q5252" s="274"/>
      <c r="R5252" s="231"/>
      <c r="S5252" s="231">
        <v>5.2499117E-5</v>
      </c>
      <c r="T5252" s="231">
        <v>2.4359590288E-4</v>
      </c>
      <c r="U5252" s="231">
        <v>4.3479768699400005E-4</v>
      </c>
      <c r="V5252" s="231">
        <v>1.0710869850340001E-3</v>
      </c>
      <c r="W5252" s="231">
        <v>3.0223741656899999E-3</v>
      </c>
      <c r="X5252" s="231">
        <v>5.1327336708560005E-3</v>
      </c>
      <c r="Y5252" s="274" t="s">
        <v>29</v>
      </c>
      <c r="Z5252" s="150"/>
      <c r="AA5252" s="150"/>
      <c r="AB5252" s="152"/>
      <c r="AC5252" s="271"/>
      <c r="AD5252" s="257"/>
      <c r="AE5252" s="272"/>
      <c r="AF5252" s="224"/>
      <c r="AG5252" s="153"/>
      <c r="AH5252" s="346"/>
      <c r="AI5252" s="153"/>
      <c r="AJ5252" s="480"/>
      <c r="AK5252" s="153"/>
      <c r="AL5252" s="152"/>
      <c r="AM5252" s="152"/>
      <c r="AN5252" s="152"/>
      <c r="AO5252" s="152"/>
      <c r="AP5252" s="152"/>
      <c r="AQ5252" s="152"/>
      <c r="AR5252" s="152"/>
      <c r="AS5252" s="152"/>
      <c r="AT5252" s="152"/>
      <c r="AU5252" s="226"/>
      <c r="AV5252" s="226"/>
      <c r="AW5252" s="226"/>
      <c r="AX5252" s="226"/>
      <c r="AY5252" s="226"/>
      <c r="AZ5252" s="152"/>
      <c r="BA5252" s="152"/>
      <c r="BB5252" s="152"/>
      <c r="BC5252" s="152"/>
      <c r="BD5252" s="152"/>
      <c r="BE5252" s="152"/>
      <c r="BF5252" s="152"/>
      <c r="BG5252" s="152"/>
      <c r="BH5252" s="152"/>
      <c r="BI5252" s="153"/>
      <c r="BJ5252" s="153"/>
      <c r="BK5252" s="150" t="s">
        <v>114</v>
      </c>
      <c r="BL5252" s="153"/>
      <c r="BM5252" s="153"/>
      <c r="BN5252" s="153"/>
      <c r="BO5252" s="153"/>
      <c r="BP5252" s="153"/>
      <c r="BQ5252" s="153"/>
      <c r="BR5252" s="153"/>
      <c r="BS5252" s="153"/>
      <c r="BT5252" s="153"/>
      <c r="BU5252" s="153"/>
      <c r="BV5252" s="153"/>
      <c r="BW5252" s="153"/>
      <c r="BX5252" s="153"/>
      <c r="BY5252" s="153"/>
      <c r="BZ5252" s="153"/>
      <c r="CA5252" s="152"/>
      <c r="CB5252" s="152"/>
    </row>
    <row r="5253" spans="1:80" s="87" customFormat="1" x14ac:dyDescent="0.2">
      <c r="A5253" s="257"/>
      <c r="B5253" s="667"/>
      <c r="C5253" s="667"/>
      <c r="D5253" s="292"/>
      <c r="E5253" s="215"/>
      <c r="F5253" s="215"/>
      <c r="G5253" s="153"/>
      <c r="H5253" s="257"/>
      <c r="I5253" s="257"/>
      <c r="J5253" s="257"/>
      <c r="K5253" s="257"/>
      <c r="L5253" s="667"/>
      <c r="M5253" s="670">
        <v>32288</v>
      </c>
      <c r="N5253" s="600">
        <v>1.07616</v>
      </c>
      <c r="O5253" s="617">
        <f t="shared" si="23"/>
        <v>9.8467343845200011E-4</v>
      </c>
      <c r="P5253" s="150"/>
      <c r="Q5253" s="274"/>
      <c r="R5253" s="231"/>
      <c r="S5253" s="231">
        <v>7.2448781460000003E-5</v>
      </c>
      <c r="T5253" s="231">
        <v>3.4334422518000001E-4</v>
      </c>
      <c r="U5253" s="231">
        <v>5.6888043181200002E-4</v>
      </c>
      <c r="V5253" s="231">
        <v>1.1829101042440001E-3</v>
      </c>
      <c r="W5253" s="231">
        <v>2.781193222192E-3</v>
      </c>
      <c r="X5253" s="231">
        <v>3.512610920236E-3</v>
      </c>
      <c r="Y5253" s="274" t="s">
        <v>29</v>
      </c>
      <c r="Z5253" s="150"/>
      <c r="AA5253" s="150"/>
      <c r="AB5253" s="152"/>
      <c r="AC5253" s="271"/>
      <c r="AD5253" s="257"/>
      <c r="AE5253" s="272"/>
      <c r="AF5253" s="224"/>
      <c r="AG5253" s="153"/>
      <c r="AH5253" s="346"/>
      <c r="AI5253" s="153"/>
      <c r="AJ5253" s="480"/>
      <c r="AK5253" s="153"/>
      <c r="AL5253" s="152"/>
      <c r="AM5253" s="152"/>
      <c r="AN5253" s="152"/>
      <c r="AO5253" s="152"/>
      <c r="AP5253" s="152"/>
      <c r="AQ5253" s="152"/>
      <c r="AR5253" s="152"/>
      <c r="AS5253" s="152"/>
      <c r="AT5253" s="152"/>
      <c r="AU5253" s="226"/>
      <c r="AV5253" s="226"/>
      <c r="AW5253" s="226"/>
      <c r="AX5253" s="226"/>
      <c r="AY5253" s="226"/>
      <c r="AZ5253" s="152"/>
      <c r="BA5253" s="152"/>
      <c r="BB5253" s="152"/>
      <c r="BC5253" s="152"/>
      <c r="BD5253" s="152"/>
      <c r="BE5253" s="152"/>
      <c r="BF5253" s="152"/>
      <c r="BG5253" s="152"/>
      <c r="BH5253" s="152"/>
      <c r="BI5253" s="153"/>
      <c r="BJ5253" s="153"/>
      <c r="BK5253" s="150" t="s">
        <v>114</v>
      </c>
      <c r="BL5253" s="153"/>
      <c r="BM5253" s="153"/>
      <c r="BN5253" s="153"/>
      <c r="BO5253" s="153"/>
      <c r="BP5253" s="153"/>
      <c r="BQ5253" s="153"/>
      <c r="BR5253" s="153"/>
      <c r="BS5253" s="153"/>
      <c r="BT5253" s="153"/>
      <c r="BU5253" s="153"/>
      <c r="BV5253" s="153"/>
      <c r="BW5253" s="153"/>
      <c r="BX5253" s="153"/>
      <c r="BY5253" s="153"/>
      <c r="BZ5253" s="153"/>
      <c r="CA5253" s="152"/>
      <c r="CB5253" s="152"/>
    </row>
    <row r="5254" spans="1:80" s="87" customFormat="1" x14ac:dyDescent="0.2">
      <c r="A5254" s="257"/>
      <c r="B5254" s="667"/>
      <c r="C5254" s="667"/>
      <c r="D5254" s="292"/>
      <c r="E5254" s="215"/>
      <c r="F5254" s="215"/>
      <c r="G5254" s="153"/>
      <c r="H5254" s="257"/>
      <c r="I5254" s="257"/>
      <c r="J5254" s="257"/>
      <c r="K5254" s="257"/>
      <c r="L5254" s="667"/>
      <c r="M5254" s="670">
        <v>32289</v>
      </c>
      <c r="N5254" s="600">
        <v>1.01952</v>
      </c>
      <c r="O5254" s="617">
        <f t="shared" si="23"/>
        <v>2.7573586230739996E-3</v>
      </c>
      <c r="P5254" s="150"/>
      <c r="Q5254" s="274"/>
      <c r="R5254" s="231">
        <v>7.4653744373999996E-4</v>
      </c>
      <c r="S5254" s="231">
        <v>7.6753709053999997E-4</v>
      </c>
      <c r="T5254" s="231">
        <v>6.2683945698000009E-4</v>
      </c>
      <c r="U5254" s="231">
        <v>6.1644463181399994E-4</v>
      </c>
      <c r="V5254" s="231">
        <v>1.13555590071E-3</v>
      </c>
      <c r="W5254" s="231">
        <v>2.9091860694379999E-3</v>
      </c>
      <c r="X5254" s="231">
        <v>3.4391121564360002E-3</v>
      </c>
      <c r="Y5254" s="274" t="s">
        <v>29</v>
      </c>
      <c r="Z5254" s="150"/>
      <c r="AA5254" s="150"/>
      <c r="AB5254" s="152"/>
      <c r="AC5254" s="271"/>
      <c r="AD5254" s="257"/>
      <c r="AE5254" s="272"/>
      <c r="AF5254" s="224"/>
      <c r="AG5254" s="153"/>
      <c r="AH5254" s="346"/>
      <c r="AI5254" s="153"/>
      <c r="AJ5254" s="480"/>
      <c r="AK5254" s="153"/>
      <c r="AL5254" s="152"/>
      <c r="AM5254" s="152"/>
      <c r="AN5254" s="152"/>
      <c r="AO5254" s="152"/>
      <c r="AP5254" s="152"/>
      <c r="AQ5254" s="152"/>
      <c r="AR5254" s="152"/>
      <c r="AS5254" s="152"/>
      <c r="AT5254" s="152"/>
      <c r="AU5254" s="226"/>
      <c r="AV5254" s="226"/>
      <c r="AW5254" s="226"/>
      <c r="AX5254" s="226"/>
      <c r="AY5254" s="226"/>
      <c r="AZ5254" s="152"/>
      <c r="BA5254" s="152"/>
      <c r="BB5254" s="152"/>
      <c r="BC5254" s="152"/>
      <c r="BD5254" s="152"/>
      <c r="BE5254" s="152"/>
      <c r="BF5254" s="152"/>
      <c r="BG5254" s="152"/>
      <c r="BH5254" s="152"/>
      <c r="BI5254" s="153"/>
      <c r="BJ5254" s="153"/>
      <c r="BK5254" s="150" t="s">
        <v>114</v>
      </c>
      <c r="BL5254" s="153"/>
      <c r="BM5254" s="153"/>
      <c r="BN5254" s="153"/>
      <c r="BO5254" s="153"/>
      <c r="BP5254" s="153"/>
      <c r="BQ5254" s="153"/>
      <c r="BR5254" s="153"/>
      <c r="BS5254" s="153"/>
      <c r="BT5254" s="153"/>
      <c r="BU5254" s="153"/>
      <c r="BV5254" s="153"/>
      <c r="BW5254" s="153"/>
      <c r="BX5254" s="153"/>
      <c r="BY5254" s="153"/>
      <c r="BZ5254" s="153"/>
      <c r="CA5254" s="152"/>
      <c r="CB5254" s="152"/>
    </row>
    <row r="5255" spans="1:80" s="87" customFormat="1" x14ac:dyDescent="0.2">
      <c r="A5255" s="257"/>
      <c r="B5255" s="667"/>
      <c r="C5255" s="667"/>
      <c r="D5255" s="292"/>
      <c r="E5255" s="215"/>
      <c r="F5255" s="215"/>
      <c r="G5255" s="153"/>
      <c r="H5255" s="257"/>
      <c r="I5255" s="257"/>
      <c r="J5255" s="257"/>
      <c r="K5255" s="257"/>
      <c r="L5255" s="667"/>
      <c r="M5255" s="670">
        <v>32289</v>
      </c>
      <c r="N5255" s="600">
        <v>1.01952</v>
      </c>
      <c r="O5255" s="617">
        <f t="shared" si="23"/>
        <v>1.921257685732E-3</v>
      </c>
      <c r="P5255" s="150"/>
      <c r="Q5255" s="274"/>
      <c r="R5255" s="231">
        <v>2.8454521413999998E-4</v>
      </c>
      <c r="S5255" s="231">
        <v>8.0113652542000008E-4</v>
      </c>
      <c r="T5255" s="231">
        <v>3.7064376601999996E-4</v>
      </c>
      <c r="U5255" s="231">
        <v>4.6493218015200002E-4</v>
      </c>
      <c r="V5255" s="231">
        <v>1.007353056996E-3</v>
      </c>
      <c r="W5255" s="231">
        <v>2.4021495974520003E-3</v>
      </c>
      <c r="X5255" s="231">
        <v>2.8326423568520004E-3</v>
      </c>
      <c r="Y5255" s="274" t="s">
        <v>29</v>
      </c>
      <c r="Z5255" s="150"/>
      <c r="AA5255" s="150"/>
      <c r="AB5255" s="152"/>
      <c r="AC5255" s="271"/>
      <c r="AD5255" s="257"/>
      <c r="AE5255" s="272"/>
      <c r="AF5255" s="224"/>
      <c r="AG5255" s="153"/>
      <c r="AH5255" s="346"/>
      <c r="AI5255" s="153"/>
      <c r="AJ5255" s="480"/>
      <c r="AK5255" s="153"/>
      <c r="AL5255" s="152"/>
      <c r="AM5255" s="152"/>
      <c r="AN5255" s="152"/>
      <c r="AO5255" s="152"/>
      <c r="AP5255" s="152"/>
      <c r="AQ5255" s="152"/>
      <c r="AR5255" s="152"/>
      <c r="AS5255" s="152"/>
      <c r="AT5255" s="152"/>
      <c r="AU5255" s="226"/>
      <c r="AV5255" s="226"/>
      <c r="AW5255" s="226"/>
      <c r="AX5255" s="226"/>
      <c r="AY5255" s="226"/>
      <c r="AZ5255" s="152"/>
      <c r="BA5255" s="152"/>
      <c r="BB5255" s="152"/>
      <c r="BC5255" s="152"/>
      <c r="BD5255" s="152"/>
      <c r="BE5255" s="152"/>
      <c r="BF5255" s="152"/>
      <c r="BG5255" s="152"/>
      <c r="BH5255" s="152"/>
      <c r="BI5255" s="153"/>
      <c r="BJ5255" s="153"/>
      <c r="BK5255" s="150" t="s">
        <v>114</v>
      </c>
      <c r="BL5255" s="153"/>
      <c r="BM5255" s="153"/>
      <c r="BN5255" s="153"/>
      <c r="BO5255" s="153"/>
      <c r="BP5255" s="153"/>
      <c r="BQ5255" s="153"/>
      <c r="BR5255" s="153"/>
      <c r="BS5255" s="153"/>
      <c r="BT5255" s="153"/>
      <c r="BU5255" s="153"/>
      <c r="BV5255" s="153"/>
      <c r="BW5255" s="153"/>
      <c r="BX5255" s="153"/>
      <c r="BY5255" s="153"/>
      <c r="BZ5255" s="153"/>
      <c r="CA5255" s="152"/>
      <c r="CB5255" s="152"/>
    </row>
    <row r="5256" spans="1:80" s="87" customFormat="1" x14ac:dyDescent="0.2">
      <c r="A5256" s="257"/>
      <c r="B5256" s="667"/>
      <c r="C5256" s="667"/>
      <c r="D5256" s="292"/>
      <c r="E5256" s="215"/>
      <c r="F5256" s="215"/>
      <c r="G5256" s="153"/>
      <c r="H5256" s="257"/>
      <c r="I5256" s="257"/>
      <c r="J5256" s="257"/>
      <c r="K5256" s="257"/>
      <c r="L5256" s="667"/>
      <c r="M5256" s="670">
        <v>32315</v>
      </c>
      <c r="N5256" s="600">
        <v>0.33984000000000003</v>
      </c>
      <c r="O5256" s="617">
        <f t="shared" si="23"/>
        <v>3.8849346580000003E-5</v>
      </c>
      <c r="P5256" s="150"/>
      <c r="Q5256" s="274"/>
      <c r="R5256" s="231"/>
      <c r="S5256" s="231"/>
      <c r="T5256" s="231"/>
      <c r="U5256" s="231">
        <v>3.8849346580000003E-5</v>
      </c>
      <c r="V5256" s="231">
        <v>4.6724214130000002E-5</v>
      </c>
      <c r="W5256" s="231">
        <v>1.1297809978400001E-4</v>
      </c>
      <c r="X5256" s="231">
        <v>1.94876722304E-4</v>
      </c>
      <c r="Y5256" s="274" t="s">
        <v>29</v>
      </c>
      <c r="Z5256" s="150"/>
      <c r="AA5256" s="150"/>
      <c r="AB5256" s="152"/>
      <c r="AC5256" s="271"/>
      <c r="AD5256" s="257"/>
      <c r="AE5256" s="272"/>
      <c r="AF5256" s="224"/>
      <c r="AG5256" s="153"/>
      <c r="AH5256" s="346"/>
      <c r="AI5256" s="153"/>
      <c r="AJ5256" s="480"/>
      <c r="AK5256" s="153"/>
      <c r="AL5256" s="152"/>
      <c r="AM5256" s="152"/>
      <c r="AN5256" s="152"/>
      <c r="AO5256" s="152"/>
      <c r="AP5256" s="152"/>
      <c r="AQ5256" s="152"/>
      <c r="AR5256" s="152"/>
      <c r="AS5256" s="152"/>
      <c r="AT5256" s="152"/>
      <c r="AU5256" s="226"/>
      <c r="AV5256" s="226"/>
      <c r="AW5256" s="226"/>
      <c r="AX5256" s="226"/>
      <c r="AY5256" s="226"/>
      <c r="AZ5256" s="152"/>
      <c r="BA5256" s="152"/>
      <c r="BB5256" s="152"/>
      <c r="BC5256" s="152"/>
      <c r="BD5256" s="152"/>
      <c r="BE5256" s="152"/>
      <c r="BF5256" s="152"/>
      <c r="BG5256" s="152"/>
      <c r="BH5256" s="152"/>
      <c r="BI5256" s="153"/>
      <c r="BJ5256" s="153"/>
      <c r="BK5256" s="150" t="s">
        <v>114</v>
      </c>
      <c r="BL5256" s="153"/>
      <c r="BM5256" s="153"/>
      <c r="BN5256" s="153"/>
      <c r="BO5256" s="153"/>
      <c r="BP5256" s="153"/>
      <c r="BQ5256" s="153"/>
      <c r="BR5256" s="153"/>
      <c r="BS5256" s="153"/>
      <c r="BT5256" s="153"/>
      <c r="BU5256" s="153"/>
      <c r="BV5256" s="153"/>
      <c r="BW5256" s="153"/>
      <c r="BX5256" s="153"/>
      <c r="BY5256" s="153"/>
      <c r="BZ5256" s="153"/>
      <c r="CA5256" s="152"/>
      <c r="CB5256" s="152"/>
    </row>
    <row r="5257" spans="1:80" ht="15" x14ac:dyDescent="0.25">
      <c r="A5257" s="9" t="s">
        <v>113</v>
      </c>
      <c r="B5257" s="639" t="s">
        <v>53</v>
      </c>
      <c r="C5257" s="639"/>
      <c r="D5257" s="4">
        <f>VLOOKUP(E5257,'Quality Code'!D4:E24,2,TRUE)*VLOOKUP(MROUND(F5257,10),'Quality Code'!D28:E69,2,TRUE)*VLOOKUP(COUNTA(CB5257:CB5257),'Quality Code'!D73:E93,2,TRUE)</f>
        <v>0.46666549999999996</v>
      </c>
      <c r="E5257" s="14">
        <v>0.35</v>
      </c>
      <c r="F5257" s="18">
        <v>39</v>
      </c>
      <c r="G5257" s="25"/>
      <c r="H5257" s="2" t="s">
        <v>231</v>
      </c>
      <c r="I5257" s="2">
        <v>20</v>
      </c>
      <c r="J5257" s="2">
        <v>60</v>
      </c>
      <c r="K5257" s="2">
        <v>2</v>
      </c>
      <c r="L5257" s="639">
        <v>40</v>
      </c>
      <c r="M5257" s="640" t="s">
        <v>891</v>
      </c>
      <c r="N5257" s="578" t="s">
        <v>285</v>
      </c>
      <c r="O5257" s="578"/>
      <c r="P5257" s="10"/>
      <c r="Q5257" s="10"/>
      <c r="R5257" s="10"/>
      <c r="S5257" s="10"/>
      <c r="T5257" s="10"/>
      <c r="U5257" s="10"/>
      <c r="V5257" s="10"/>
      <c r="W5257" s="10"/>
      <c r="X5257" s="10"/>
      <c r="Y5257" s="10"/>
      <c r="Z5257" s="10"/>
      <c r="AA5257" s="10">
        <v>7</v>
      </c>
      <c r="AB5257" s="11"/>
      <c r="AC5257" s="3">
        <v>1.44E-2</v>
      </c>
      <c r="AD5257" s="26"/>
      <c r="AE5257" s="26"/>
      <c r="AF5257" s="26"/>
      <c r="AG5257" s="10"/>
      <c r="AH5257" s="345"/>
      <c r="AI5257" s="2">
        <v>44</v>
      </c>
      <c r="AJ5257" s="17"/>
      <c r="AK5257" s="10"/>
      <c r="AL5257" s="17"/>
      <c r="AM5257" s="17"/>
      <c r="AN5257" s="17"/>
      <c r="AO5257" s="17"/>
      <c r="AP5257" s="17"/>
      <c r="AQ5257" s="17"/>
      <c r="AR5257" s="17"/>
      <c r="AS5257" s="17"/>
      <c r="AT5257" s="17"/>
      <c r="AU5257" s="18">
        <v>60</v>
      </c>
      <c r="AV5257" s="17"/>
      <c r="AW5257" s="17"/>
      <c r="AX5257" s="17"/>
      <c r="AY5257" s="146"/>
      <c r="AZ5257" s="151"/>
      <c r="BA5257" s="845"/>
      <c r="BB5257" s="846"/>
      <c r="BC5257" s="846"/>
      <c r="BD5257" s="846"/>
      <c r="BE5257" s="847"/>
      <c r="BF5257" s="505"/>
      <c r="BG5257" s="505"/>
      <c r="BH5257" s="505"/>
      <c r="BI5257" s="4">
        <f>AU5257/AI5257</f>
        <v>1.3636363636363635</v>
      </c>
      <c r="BJ5257" s="2"/>
      <c r="BK5257" s="2" t="s">
        <v>115</v>
      </c>
      <c r="BL5257" s="12"/>
      <c r="BM5257" s="12">
        <f>7.1</f>
        <v>7.1</v>
      </c>
      <c r="BN5257" s="12">
        <v>12.2</v>
      </c>
      <c r="BO5257" s="12">
        <v>0.4</v>
      </c>
      <c r="BP5257" s="12">
        <f>BO5257*BN5257</f>
        <v>4.88</v>
      </c>
      <c r="BQ5257" s="12">
        <f>BN5257/BO5257</f>
        <v>30.499999999999996</v>
      </c>
      <c r="BR5257" s="12"/>
      <c r="BS5257" s="12"/>
      <c r="BT5257" s="12"/>
      <c r="BU5257" s="2"/>
      <c r="BV5257" s="2"/>
      <c r="BW5257" s="2"/>
      <c r="BX5257" s="2"/>
      <c r="BY5257" s="2"/>
      <c r="BZ5257" s="2"/>
      <c r="CA5257" s="9"/>
      <c r="CB5257" s="9" t="s">
        <v>288</v>
      </c>
    </row>
    <row r="5258" spans="1:80" s="87" customFormat="1" x14ac:dyDescent="0.2">
      <c r="A5258" s="257"/>
      <c r="B5258" s="667"/>
      <c r="C5258" s="667"/>
      <c r="D5258" s="292"/>
      <c r="E5258" s="279"/>
      <c r="F5258" s="279"/>
      <c r="G5258" s="227"/>
      <c r="H5258" s="257"/>
      <c r="I5258" s="257"/>
      <c r="J5258" s="257"/>
      <c r="K5258" s="257"/>
      <c r="L5258" s="667"/>
      <c r="M5258" s="670">
        <v>31553</v>
      </c>
      <c r="N5258" s="595">
        <v>2.8036799999999999</v>
      </c>
      <c r="O5258" s="614">
        <f t="shared" ref="O5258:O5296" si="24">SUM(P5258:U5258)</f>
        <v>1.8239243228140001E-3</v>
      </c>
      <c r="P5258" s="150"/>
      <c r="Q5258" s="231"/>
      <c r="R5258" s="231"/>
      <c r="S5258" s="231">
        <v>1.3376775011600002E-3</v>
      </c>
      <c r="T5258" s="231">
        <v>2.1734634438000001E-4</v>
      </c>
      <c r="U5258" s="231">
        <v>2.6890047727400003E-4</v>
      </c>
      <c r="V5258" s="231">
        <v>2.5063078455800001E-4</v>
      </c>
      <c r="W5258" s="231">
        <v>1.6589720972000002E-4</v>
      </c>
      <c r="X5258" s="231">
        <v>4.6776713246999996E-5</v>
      </c>
      <c r="Y5258" s="231" t="s">
        <v>29</v>
      </c>
      <c r="Z5258" s="150"/>
      <c r="AA5258" s="150"/>
      <c r="AB5258" s="152"/>
      <c r="AC5258" s="271"/>
      <c r="AD5258" s="257"/>
      <c r="AE5258" s="272"/>
      <c r="AF5258" s="224"/>
      <c r="AG5258" s="153"/>
      <c r="AH5258" s="346"/>
      <c r="AI5258" s="153"/>
      <c r="AJ5258" s="480"/>
      <c r="AK5258" s="153"/>
      <c r="AL5258" s="152"/>
      <c r="AM5258" s="152"/>
      <c r="AN5258" s="152"/>
      <c r="AO5258" s="152"/>
      <c r="AP5258" s="152"/>
      <c r="AQ5258" s="152"/>
      <c r="AR5258" s="152"/>
      <c r="AS5258" s="152"/>
      <c r="AT5258" s="152"/>
      <c r="AU5258" s="227"/>
      <c r="AV5258" s="227"/>
      <c r="AW5258" s="227"/>
      <c r="AX5258" s="227"/>
      <c r="AY5258" s="227"/>
      <c r="AZ5258" s="152"/>
      <c r="BA5258" s="152"/>
      <c r="BB5258" s="152"/>
      <c r="BC5258" s="152"/>
      <c r="BD5258" s="152"/>
      <c r="BE5258" s="152"/>
      <c r="BF5258" s="152"/>
      <c r="BG5258" s="152"/>
      <c r="BH5258" s="152"/>
      <c r="BI5258" s="153"/>
      <c r="BJ5258" s="153"/>
      <c r="BK5258" s="227"/>
      <c r="BL5258" s="153"/>
      <c r="BM5258" s="153"/>
      <c r="BN5258" s="153"/>
      <c r="BO5258" s="153"/>
      <c r="BP5258" s="153"/>
      <c r="BQ5258" s="153"/>
      <c r="BR5258" s="153"/>
      <c r="BS5258" s="153"/>
      <c r="BT5258" s="153"/>
      <c r="BU5258" s="153"/>
      <c r="BV5258" s="153"/>
      <c r="BW5258" s="153"/>
      <c r="BX5258" s="153"/>
      <c r="BY5258" s="153"/>
      <c r="BZ5258" s="153"/>
      <c r="CA5258" s="152"/>
      <c r="CB5258" s="152" t="s">
        <v>575</v>
      </c>
    </row>
    <row r="5259" spans="1:80" s="87" customFormat="1" x14ac:dyDescent="0.2">
      <c r="A5259" s="257"/>
      <c r="B5259" s="667"/>
      <c r="C5259" s="667"/>
      <c r="D5259" s="292"/>
      <c r="E5259" s="279"/>
      <c r="F5259" s="279"/>
      <c r="G5259" s="227"/>
      <c r="H5259" s="257"/>
      <c r="I5259" s="257"/>
      <c r="J5259" s="257"/>
      <c r="K5259" s="257"/>
      <c r="L5259" s="667"/>
      <c r="M5259" s="670">
        <v>31553</v>
      </c>
      <c r="N5259" s="595">
        <v>3.0585599999999999</v>
      </c>
      <c r="O5259" s="614">
        <f t="shared" si="24"/>
        <v>1.1820701183719998E-3</v>
      </c>
      <c r="P5259" s="150"/>
      <c r="Q5259" s="231"/>
      <c r="R5259" s="231">
        <v>5.7959025168000003E-4</v>
      </c>
      <c r="S5259" s="231">
        <v>1.1969798676000001E-4</v>
      </c>
      <c r="T5259" s="231">
        <v>2.8454521413999998E-4</v>
      </c>
      <c r="U5259" s="231">
        <v>1.9823666579200003E-4</v>
      </c>
      <c r="V5259" s="231">
        <v>1.1969798676000001E-4</v>
      </c>
      <c r="W5259" s="231">
        <v>1.30827799564E-4</v>
      </c>
      <c r="X5259" s="231">
        <v>1.1969798676000001E-4</v>
      </c>
      <c r="Y5259" s="231" t="s">
        <v>29</v>
      </c>
      <c r="Z5259" s="150"/>
      <c r="AA5259" s="150"/>
      <c r="AB5259" s="152"/>
      <c r="AC5259" s="271"/>
      <c r="AD5259" s="257"/>
      <c r="AE5259" s="272"/>
      <c r="AF5259" s="224"/>
      <c r="AG5259" s="153"/>
      <c r="AH5259" s="346"/>
      <c r="AI5259" s="153"/>
      <c r="AJ5259" s="480"/>
      <c r="AK5259" s="153"/>
      <c r="AL5259" s="152"/>
      <c r="AM5259" s="152"/>
      <c r="AN5259" s="152"/>
      <c r="AO5259" s="152"/>
      <c r="AP5259" s="152"/>
      <c r="AQ5259" s="152"/>
      <c r="AR5259" s="152"/>
      <c r="AS5259" s="152"/>
      <c r="AT5259" s="152"/>
      <c r="AU5259" s="227"/>
      <c r="AV5259" s="227"/>
      <c r="AW5259" s="227"/>
      <c r="AX5259" s="227"/>
      <c r="AY5259" s="227"/>
      <c r="AZ5259" s="152"/>
      <c r="BA5259" s="152"/>
      <c r="BB5259" s="152"/>
      <c r="BC5259" s="152"/>
      <c r="BD5259" s="152"/>
      <c r="BE5259" s="152"/>
      <c r="BF5259" s="152"/>
      <c r="BG5259" s="152"/>
      <c r="BH5259" s="152"/>
      <c r="BI5259" s="153"/>
      <c r="BJ5259" s="153"/>
      <c r="BK5259" s="227"/>
      <c r="BL5259" s="153"/>
      <c r="BM5259" s="153"/>
      <c r="BN5259" s="153"/>
      <c r="BO5259" s="153"/>
      <c r="BP5259" s="153"/>
      <c r="BQ5259" s="153"/>
      <c r="BR5259" s="153"/>
      <c r="BS5259" s="153"/>
      <c r="BT5259" s="153"/>
      <c r="BU5259" s="153"/>
      <c r="BV5259" s="153"/>
      <c r="BW5259" s="153"/>
      <c r="BX5259" s="153"/>
      <c r="BY5259" s="153"/>
      <c r="BZ5259" s="153"/>
      <c r="CA5259" s="152"/>
      <c r="CB5259" s="152"/>
    </row>
    <row r="5260" spans="1:80" s="87" customFormat="1" x14ac:dyDescent="0.2">
      <c r="A5260" s="257"/>
      <c r="B5260" s="667"/>
      <c r="C5260" s="667"/>
      <c r="D5260" s="292"/>
      <c r="E5260" s="279"/>
      <c r="F5260" s="279"/>
      <c r="G5260" s="227"/>
      <c r="H5260" s="257"/>
      <c r="I5260" s="257"/>
      <c r="J5260" s="257"/>
      <c r="K5260" s="257"/>
      <c r="L5260" s="667"/>
      <c r="M5260" s="670">
        <v>31565</v>
      </c>
      <c r="N5260" s="595">
        <v>6.0038400000000003</v>
      </c>
      <c r="O5260" s="614">
        <f t="shared" si="24"/>
        <v>1.4463611731734001E-2</v>
      </c>
      <c r="P5260" s="150"/>
      <c r="Q5260" s="231"/>
      <c r="R5260" s="231"/>
      <c r="S5260" s="231">
        <v>3.94163370436E-3</v>
      </c>
      <c r="T5260" s="231">
        <v>6.3513431746599998E-3</v>
      </c>
      <c r="U5260" s="231">
        <v>4.1706348527140004E-3</v>
      </c>
      <c r="V5260" s="231">
        <v>3.5427454133939999E-3</v>
      </c>
      <c r="W5260" s="231">
        <v>3.4799564694620003E-3</v>
      </c>
      <c r="X5260" s="231">
        <v>2.2000279970019999E-3</v>
      </c>
      <c r="Y5260" s="231" t="s">
        <v>29</v>
      </c>
      <c r="Z5260" s="150"/>
      <c r="AA5260" s="150"/>
      <c r="AB5260" s="152"/>
      <c r="AC5260" s="271"/>
      <c r="AD5260" s="257"/>
      <c r="AE5260" s="272"/>
      <c r="AF5260" s="224"/>
      <c r="AG5260" s="153"/>
      <c r="AH5260" s="346"/>
      <c r="AI5260" s="153"/>
      <c r="AJ5260" s="480"/>
      <c r="AK5260" s="153"/>
      <c r="AL5260" s="152"/>
      <c r="AM5260" s="152"/>
      <c r="AN5260" s="152"/>
      <c r="AO5260" s="152"/>
      <c r="AP5260" s="152"/>
      <c r="AQ5260" s="152"/>
      <c r="AR5260" s="152"/>
      <c r="AS5260" s="152"/>
      <c r="AT5260" s="152"/>
      <c r="AU5260" s="227"/>
      <c r="AV5260" s="227"/>
      <c r="AW5260" s="227"/>
      <c r="AX5260" s="227"/>
      <c r="AY5260" s="227"/>
      <c r="AZ5260" s="152"/>
      <c r="BA5260" s="152"/>
      <c r="BB5260" s="152"/>
      <c r="BC5260" s="152"/>
      <c r="BD5260" s="152"/>
      <c r="BE5260" s="152"/>
      <c r="BF5260" s="152"/>
      <c r="BG5260" s="152"/>
      <c r="BH5260" s="152"/>
      <c r="BI5260" s="153"/>
      <c r="BJ5260" s="153"/>
      <c r="BK5260" s="227"/>
      <c r="BL5260" s="153"/>
      <c r="BM5260" s="153"/>
      <c r="BN5260" s="153"/>
      <c r="BO5260" s="153"/>
      <c r="BP5260" s="153"/>
      <c r="BQ5260" s="153"/>
      <c r="BR5260" s="153"/>
      <c r="BS5260" s="153"/>
      <c r="BT5260" s="153"/>
      <c r="BU5260" s="153"/>
      <c r="BV5260" s="153"/>
      <c r="BW5260" s="153"/>
      <c r="BX5260" s="153"/>
      <c r="BY5260" s="153"/>
      <c r="BZ5260" s="153"/>
      <c r="CA5260" s="152"/>
      <c r="CB5260" s="152"/>
    </row>
    <row r="5261" spans="1:80" s="87" customFormat="1" x14ac:dyDescent="0.2">
      <c r="A5261" s="257"/>
      <c r="B5261" s="667"/>
      <c r="C5261" s="667"/>
      <c r="D5261" s="292"/>
      <c r="E5261" s="279"/>
      <c r="F5261" s="279"/>
      <c r="G5261" s="227"/>
      <c r="H5261" s="257"/>
      <c r="I5261" s="257"/>
      <c r="J5261" s="257"/>
      <c r="K5261" s="257"/>
      <c r="L5261" s="667"/>
      <c r="M5261" s="670">
        <v>31565</v>
      </c>
      <c r="N5261" s="595">
        <v>6.1171199999999999</v>
      </c>
      <c r="O5261" s="614">
        <f t="shared" si="24"/>
        <v>1.5003407652728E-2</v>
      </c>
      <c r="P5261" s="150"/>
      <c r="Q5261" s="231"/>
      <c r="R5261" s="231"/>
      <c r="S5261" s="231">
        <v>7.5304733424799994E-3</v>
      </c>
      <c r="T5261" s="231">
        <v>4.1841796249000003E-3</v>
      </c>
      <c r="U5261" s="231">
        <v>3.2887546853480002E-3</v>
      </c>
      <c r="V5261" s="231">
        <v>2.9398455537660005E-3</v>
      </c>
      <c r="W5261" s="231">
        <v>3.9111842165000001E-3</v>
      </c>
      <c r="X5261" s="231">
        <v>3.5023210933040005E-3</v>
      </c>
      <c r="Y5261" s="231" t="s">
        <v>29</v>
      </c>
      <c r="Z5261" s="150"/>
      <c r="AA5261" s="150"/>
      <c r="AB5261" s="152"/>
      <c r="AC5261" s="271"/>
      <c r="AD5261" s="257"/>
      <c r="AE5261" s="272"/>
      <c r="AF5261" s="224"/>
      <c r="AG5261" s="153"/>
      <c r="AH5261" s="346"/>
      <c r="AI5261" s="153"/>
      <c r="AJ5261" s="480"/>
      <c r="AK5261" s="153"/>
      <c r="AL5261" s="152"/>
      <c r="AM5261" s="152"/>
      <c r="AN5261" s="152"/>
      <c r="AO5261" s="152"/>
      <c r="AP5261" s="152"/>
      <c r="AQ5261" s="152"/>
      <c r="AR5261" s="152"/>
      <c r="AS5261" s="152"/>
      <c r="AT5261" s="152"/>
      <c r="AU5261" s="227"/>
      <c r="AV5261" s="227"/>
      <c r="AW5261" s="227"/>
      <c r="AX5261" s="227"/>
      <c r="AY5261" s="227"/>
      <c r="AZ5261" s="152"/>
      <c r="BA5261" s="152"/>
      <c r="BB5261" s="152"/>
      <c r="BC5261" s="152"/>
      <c r="BD5261" s="152"/>
      <c r="BE5261" s="152"/>
      <c r="BF5261" s="152"/>
      <c r="BG5261" s="152"/>
      <c r="BH5261" s="152"/>
      <c r="BI5261" s="153"/>
      <c r="BJ5261" s="153"/>
      <c r="BK5261" s="227"/>
      <c r="BL5261" s="153"/>
      <c r="BM5261" s="153"/>
      <c r="BN5261" s="153"/>
      <c r="BO5261" s="153"/>
      <c r="BP5261" s="153"/>
      <c r="BQ5261" s="153"/>
      <c r="BR5261" s="153"/>
      <c r="BS5261" s="153"/>
      <c r="BT5261" s="153"/>
      <c r="BU5261" s="153"/>
      <c r="BV5261" s="153"/>
      <c r="BW5261" s="153"/>
      <c r="BX5261" s="153"/>
      <c r="BY5261" s="153"/>
      <c r="BZ5261" s="153"/>
      <c r="CA5261" s="152"/>
      <c r="CB5261" s="152"/>
    </row>
    <row r="5262" spans="1:80" s="87" customFormat="1" x14ac:dyDescent="0.2">
      <c r="A5262" s="257"/>
      <c r="B5262" s="667"/>
      <c r="C5262" s="667"/>
      <c r="D5262" s="292"/>
      <c r="E5262" s="279"/>
      <c r="F5262" s="279"/>
      <c r="G5262" s="227"/>
      <c r="H5262" s="257"/>
      <c r="I5262" s="257"/>
      <c r="J5262" s="257"/>
      <c r="K5262" s="257"/>
      <c r="L5262" s="667"/>
      <c r="M5262" s="670">
        <v>31565</v>
      </c>
      <c r="N5262" s="595">
        <v>7.1366400000000008</v>
      </c>
      <c r="O5262" s="614">
        <f t="shared" si="24"/>
        <v>3.9011148858593997E-2</v>
      </c>
      <c r="P5262" s="150"/>
      <c r="Q5262" s="231">
        <v>1.244859062304E-2</v>
      </c>
      <c r="R5262" s="231">
        <v>1.096391559428E-2</v>
      </c>
      <c r="S5262" s="231">
        <v>5.9995990907600006E-3</v>
      </c>
      <c r="T5262" s="231">
        <v>5.2394118766000003E-3</v>
      </c>
      <c r="U5262" s="231">
        <v>4.3596316739140002E-3</v>
      </c>
      <c r="V5262" s="231">
        <v>5.1953126183199999E-3</v>
      </c>
      <c r="W5262" s="231">
        <v>8.4198083844599994E-3</v>
      </c>
      <c r="X5262" s="231">
        <v>8.5008670211079995E-3</v>
      </c>
      <c r="Y5262" s="231" t="s">
        <v>29</v>
      </c>
      <c r="Z5262" s="150"/>
      <c r="AA5262" s="150"/>
      <c r="AB5262" s="152"/>
      <c r="AC5262" s="271"/>
      <c r="AD5262" s="257"/>
      <c r="AE5262" s="272"/>
      <c r="AF5262" s="224"/>
      <c r="AG5262" s="153"/>
      <c r="AH5262" s="346"/>
      <c r="AI5262" s="153"/>
      <c r="AJ5262" s="480"/>
      <c r="AK5262" s="153"/>
      <c r="AL5262" s="152"/>
      <c r="AM5262" s="152"/>
      <c r="AN5262" s="152"/>
      <c r="AO5262" s="152"/>
      <c r="AP5262" s="152"/>
      <c r="AQ5262" s="152"/>
      <c r="AR5262" s="152"/>
      <c r="AS5262" s="152"/>
      <c r="AT5262" s="152"/>
      <c r="AU5262" s="227"/>
      <c r="AV5262" s="227"/>
      <c r="AW5262" s="227"/>
      <c r="AX5262" s="227"/>
      <c r="AY5262" s="227"/>
      <c r="AZ5262" s="152"/>
      <c r="BA5262" s="152"/>
      <c r="BB5262" s="152"/>
      <c r="BC5262" s="152"/>
      <c r="BD5262" s="152"/>
      <c r="BE5262" s="152"/>
      <c r="BF5262" s="152"/>
      <c r="BG5262" s="152"/>
      <c r="BH5262" s="152"/>
      <c r="BI5262" s="153"/>
      <c r="BJ5262" s="153"/>
      <c r="BK5262" s="227"/>
      <c r="BL5262" s="153"/>
      <c r="BM5262" s="153"/>
      <c r="BN5262" s="153"/>
      <c r="BO5262" s="153"/>
      <c r="BP5262" s="153"/>
      <c r="BQ5262" s="153"/>
      <c r="BR5262" s="153"/>
      <c r="BS5262" s="153"/>
      <c r="BT5262" s="153"/>
      <c r="BU5262" s="153"/>
      <c r="BV5262" s="153"/>
      <c r="BW5262" s="153"/>
      <c r="BX5262" s="153"/>
      <c r="BY5262" s="153"/>
      <c r="BZ5262" s="153"/>
      <c r="CA5262" s="152"/>
      <c r="CB5262" s="152"/>
    </row>
    <row r="5263" spans="1:80" s="87" customFormat="1" x14ac:dyDescent="0.2">
      <c r="A5263" s="257"/>
      <c r="B5263" s="667"/>
      <c r="C5263" s="667"/>
      <c r="D5263" s="292"/>
      <c r="E5263" s="279"/>
      <c r="F5263" s="279"/>
      <c r="G5263" s="227"/>
      <c r="H5263" s="257"/>
      <c r="I5263" s="257"/>
      <c r="J5263" s="257"/>
      <c r="K5263" s="257"/>
      <c r="L5263" s="667"/>
      <c r="M5263" s="670">
        <v>31565</v>
      </c>
      <c r="N5263" s="595">
        <v>7.3348800000000001</v>
      </c>
      <c r="O5263" s="614">
        <f t="shared" si="24"/>
        <v>2.8690872438734E-2</v>
      </c>
      <c r="P5263" s="150"/>
      <c r="Q5263" s="231"/>
      <c r="R5263" s="231">
        <v>1.1389158441980001E-2</v>
      </c>
      <c r="S5263" s="231">
        <v>1.1081513616359999E-2</v>
      </c>
      <c r="T5263" s="231">
        <v>3.5069410156000004E-3</v>
      </c>
      <c r="U5263" s="231">
        <v>2.7132593647939997E-3</v>
      </c>
      <c r="V5263" s="231">
        <v>1.6843816698280001E-3</v>
      </c>
      <c r="W5263" s="231">
        <v>2.1879532000920001E-3</v>
      </c>
      <c r="X5263" s="231">
        <v>3.2529502875539998E-3</v>
      </c>
      <c r="Y5263" s="231" t="s">
        <v>29</v>
      </c>
      <c r="Z5263" s="150"/>
      <c r="AA5263" s="150"/>
      <c r="AB5263" s="152"/>
      <c r="AC5263" s="271"/>
      <c r="AD5263" s="257"/>
      <c r="AE5263" s="272"/>
      <c r="AF5263" s="224"/>
      <c r="AG5263" s="153"/>
      <c r="AH5263" s="346"/>
      <c r="AI5263" s="153"/>
      <c r="AJ5263" s="480"/>
      <c r="AK5263" s="153"/>
      <c r="AL5263" s="152"/>
      <c r="AM5263" s="152"/>
      <c r="AN5263" s="152"/>
      <c r="AO5263" s="152"/>
      <c r="AP5263" s="152"/>
      <c r="AQ5263" s="152"/>
      <c r="AR5263" s="152"/>
      <c r="AS5263" s="152"/>
      <c r="AT5263" s="152"/>
      <c r="AU5263" s="227"/>
      <c r="AV5263" s="227"/>
      <c r="AW5263" s="227"/>
      <c r="AX5263" s="227"/>
      <c r="AY5263" s="227"/>
      <c r="AZ5263" s="152"/>
      <c r="BA5263" s="152"/>
      <c r="BB5263" s="152"/>
      <c r="BC5263" s="152"/>
      <c r="BD5263" s="152"/>
      <c r="BE5263" s="152"/>
      <c r="BF5263" s="152"/>
      <c r="BG5263" s="152"/>
      <c r="BH5263" s="152"/>
      <c r="BI5263" s="153"/>
      <c r="BJ5263" s="153"/>
      <c r="BK5263" s="227"/>
      <c r="BL5263" s="153"/>
      <c r="BM5263" s="153"/>
      <c r="BN5263" s="153"/>
      <c r="BO5263" s="153"/>
      <c r="BP5263" s="153"/>
      <c r="BQ5263" s="153"/>
      <c r="BR5263" s="153"/>
      <c r="BS5263" s="153"/>
      <c r="BT5263" s="153"/>
      <c r="BU5263" s="153"/>
      <c r="BV5263" s="153"/>
      <c r="BW5263" s="153"/>
      <c r="BX5263" s="153"/>
      <c r="BY5263" s="153"/>
      <c r="BZ5263" s="153"/>
      <c r="CA5263" s="152"/>
      <c r="CB5263" s="152"/>
    </row>
    <row r="5264" spans="1:80" s="87" customFormat="1" x14ac:dyDescent="0.2">
      <c r="A5264" s="257"/>
      <c r="B5264" s="667"/>
      <c r="C5264" s="667"/>
      <c r="D5264" s="292"/>
      <c r="E5264" s="279"/>
      <c r="F5264" s="279"/>
      <c r="G5264" s="227"/>
      <c r="H5264" s="257"/>
      <c r="I5264" s="257"/>
      <c r="J5264" s="257"/>
      <c r="K5264" s="257"/>
      <c r="L5264" s="667"/>
      <c r="M5264" s="670">
        <v>31565</v>
      </c>
      <c r="N5264" s="595">
        <v>7.3348800000000001</v>
      </c>
      <c r="O5264" s="614">
        <f t="shared" si="24"/>
        <v>4.4582565151101997E-2</v>
      </c>
      <c r="P5264" s="150"/>
      <c r="Q5264" s="231">
        <v>1.6247426729160002E-2</v>
      </c>
      <c r="R5264" s="231">
        <v>1.1151862433140002E-2</v>
      </c>
      <c r="S5264" s="231">
        <v>7.2637778281199996E-3</v>
      </c>
      <c r="T5264" s="231">
        <v>6.0121988788399998E-3</v>
      </c>
      <c r="U5264" s="231">
        <v>3.9072992818420006E-3</v>
      </c>
      <c r="V5264" s="231">
        <v>2.323925913122E-3</v>
      </c>
      <c r="W5264" s="231">
        <v>1.1107763174859999E-3</v>
      </c>
      <c r="X5264" s="231">
        <v>4.48237460946E-4</v>
      </c>
      <c r="Y5264" s="231" t="s">
        <v>29</v>
      </c>
      <c r="Z5264" s="150"/>
      <c r="AA5264" s="150"/>
      <c r="AB5264" s="152"/>
      <c r="AC5264" s="271"/>
      <c r="AD5264" s="257"/>
      <c r="AE5264" s="272"/>
      <c r="AF5264" s="224"/>
      <c r="AG5264" s="153"/>
      <c r="AH5264" s="346"/>
      <c r="AI5264" s="153"/>
      <c r="AJ5264" s="480"/>
      <c r="AK5264" s="153"/>
      <c r="AL5264" s="152"/>
      <c r="AM5264" s="152"/>
      <c r="AN5264" s="152"/>
      <c r="AO5264" s="152"/>
      <c r="AP5264" s="152"/>
      <c r="AQ5264" s="152"/>
      <c r="AR5264" s="152"/>
      <c r="AS5264" s="152"/>
      <c r="AT5264" s="152"/>
      <c r="AU5264" s="227"/>
      <c r="AV5264" s="227"/>
      <c r="AW5264" s="227"/>
      <c r="AX5264" s="227"/>
      <c r="AY5264" s="227"/>
      <c r="AZ5264" s="152"/>
      <c r="BA5264" s="152"/>
      <c r="BB5264" s="152"/>
      <c r="BC5264" s="152"/>
      <c r="BD5264" s="152"/>
      <c r="BE5264" s="152"/>
      <c r="BF5264" s="152"/>
      <c r="BG5264" s="152"/>
      <c r="BH5264" s="152"/>
      <c r="BI5264" s="153"/>
      <c r="BJ5264" s="153"/>
      <c r="BK5264" s="227"/>
      <c r="BL5264" s="153"/>
      <c r="BM5264" s="153"/>
      <c r="BN5264" s="153"/>
      <c r="BO5264" s="153"/>
      <c r="BP5264" s="153"/>
      <c r="BQ5264" s="153"/>
      <c r="BR5264" s="153"/>
      <c r="BS5264" s="153"/>
      <c r="BT5264" s="153"/>
      <c r="BU5264" s="153"/>
      <c r="BV5264" s="153"/>
      <c r="BW5264" s="153"/>
      <c r="BX5264" s="153"/>
      <c r="BY5264" s="153"/>
      <c r="BZ5264" s="153"/>
      <c r="CA5264" s="152"/>
      <c r="CB5264" s="152"/>
    </row>
    <row r="5265" spans="1:80" s="87" customFormat="1" x14ac:dyDescent="0.2">
      <c r="A5265" s="257"/>
      <c r="B5265" s="667"/>
      <c r="C5265" s="667"/>
      <c r="D5265" s="292"/>
      <c r="E5265" s="279"/>
      <c r="F5265" s="279"/>
      <c r="G5265" s="227"/>
      <c r="H5265" s="257"/>
      <c r="I5265" s="257"/>
      <c r="J5265" s="257"/>
      <c r="K5265" s="257"/>
      <c r="L5265" s="667"/>
      <c r="M5265" s="670">
        <v>31565</v>
      </c>
      <c r="N5265" s="595">
        <v>7.08</v>
      </c>
      <c r="O5265" s="614">
        <f t="shared" si="24"/>
        <v>4.0321946811850001E-2</v>
      </c>
      <c r="P5265" s="150"/>
      <c r="Q5265" s="231"/>
      <c r="R5265" s="231">
        <v>1.0540772711260001E-2</v>
      </c>
      <c r="S5265" s="231">
        <v>1.468505300724E-2</v>
      </c>
      <c r="T5265" s="231">
        <v>1.0621621351440002E-2</v>
      </c>
      <c r="U5265" s="231">
        <v>4.4744997419099994E-3</v>
      </c>
      <c r="V5265" s="231">
        <v>3.0522986623800004E-3</v>
      </c>
      <c r="W5265" s="231">
        <v>2.15928868221E-3</v>
      </c>
      <c r="X5265" s="231">
        <v>1.2851783841599999E-3</v>
      </c>
      <c r="Y5265" s="231" t="s">
        <v>29</v>
      </c>
      <c r="Z5265" s="150"/>
      <c r="AA5265" s="150"/>
      <c r="AB5265" s="152"/>
      <c r="AC5265" s="271"/>
      <c r="AD5265" s="257"/>
      <c r="AE5265" s="272"/>
      <c r="AF5265" s="224"/>
      <c r="AG5265" s="153"/>
      <c r="AH5265" s="346"/>
      <c r="AI5265" s="153"/>
      <c r="AJ5265" s="480"/>
      <c r="AK5265" s="153"/>
      <c r="AL5265" s="152"/>
      <c r="AM5265" s="152"/>
      <c r="AN5265" s="152"/>
      <c r="AO5265" s="152"/>
      <c r="AP5265" s="152"/>
      <c r="AQ5265" s="152"/>
      <c r="AR5265" s="152"/>
      <c r="AS5265" s="152"/>
      <c r="AT5265" s="152"/>
      <c r="AU5265" s="227"/>
      <c r="AV5265" s="227"/>
      <c r="AW5265" s="227"/>
      <c r="AX5265" s="227"/>
      <c r="AY5265" s="227"/>
      <c r="AZ5265" s="152"/>
      <c r="BA5265" s="152"/>
      <c r="BB5265" s="152"/>
      <c r="BC5265" s="152"/>
      <c r="BD5265" s="152"/>
      <c r="BE5265" s="152"/>
      <c r="BF5265" s="152"/>
      <c r="BG5265" s="152"/>
      <c r="BH5265" s="152"/>
      <c r="BI5265" s="153"/>
      <c r="BJ5265" s="153"/>
      <c r="BK5265" s="227"/>
      <c r="BL5265" s="153"/>
      <c r="BM5265" s="153"/>
      <c r="BN5265" s="153"/>
      <c r="BO5265" s="153"/>
      <c r="BP5265" s="153"/>
      <c r="BQ5265" s="153"/>
      <c r="BR5265" s="153"/>
      <c r="BS5265" s="153"/>
      <c r="BT5265" s="153"/>
      <c r="BU5265" s="153"/>
      <c r="BV5265" s="153"/>
      <c r="BW5265" s="153"/>
      <c r="BX5265" s="153"/>
      <c r="BY5265" s="153"/>
      <c r="BZ5265" s="153"/>
      <c r="CA5265" s="152"/>
      <c r="CB5265" s="152"/>
    </row>
    <row r="5266" spans="1:80" s="87" customFormat="1" x14ac:dyDescent="0.2">
      <c r="A5266" s="257"/>
      <c r="B5266" s="667"/>
      <c r="C5266" s="667"/>
      <c r="D5266" s="292"/>
      <c r="E5266" s="279"/>
      <c r="F5266" s="279"/>
      <c r="G5266" s="227"/>
      <c r="H5266" s="257"/>
      <c r="I5266" s="257"/>
      <c r="J5266" s="257"/>
      <c r="K5266" s="257"/>
      <c r="L5266" s="667"/>
      <c r="M5266" s="670">
        <v>31566</v>
      </c>
      <c r="N5266" s="595">
        <v>6.4286400000000006</v>
      </c>
      <c r="O5266" s="614">
        <f t="shared" si="24"/>
        <v>2.4669230080065999E-2</v>
      </c>
      <c r="P5266" s="150"/>
      <c r="Q5266" s="231"/>
      <c r="R5266" s="231">
        <v>1.1207511497159999E-2</v>
      </c>
      <c r="S5266" s="231">
        <v>7.8759175323399998E-3</v>
      </c>
      <c r="T5266" s="231">
        <v>3.43029230478E-3</v>
      </c>
      <c r="U5266" s="231">
        <v>2.1555087457860002E-3</v>
      </c>
      <c r="V5266" s="231">
        <v>1.5870483069100002E-3</v>
      </c>
      <c r="W5266" s="231">
        <v>1.255043891002E-3</v>
      </c>
      <c r="X5266" s="231">
        <v>5.0934643313399995E-4</v>
      </c>
      <c r="Y5266" s="231" t="s">
        <v>29</v>
      </c>
      <c r="Z5266" s="150"/>
      <c r="AA5266" s="150"/>
      <c r="AB5266" s="152"/>
      <c r="AC5266" s="271"/>
      <c r="AD5266" s="257"/>
      <c r="AE5266" s="272"/>
      <c r="AF5266" s="224"/>
      <c r="AG5266" s="153"/>
      <c r="AH5266" s="346"/>
      <c r="AI5266" s="153"/>
      <c r="AJ5266" s="480"/>
      <c r="AK5266" s="153"/>
      <c r="AL5266" s="152"/>
      <c r="AM5266" s="152"/>
      <c r="AN5266" s="152"/>
      <c r="AO5266" s="152"/>
      <c r="AP5266" s="152"/>
      <c r="AQ5266" s="152"/>
      <c r="AR5266" s="152"/>
      <c r="AS5266" s="152"/>
      <c r="AT5266" s="152"/>
      <c r="AU5266" s="227"/>
      <c r="AV5266" s="227"/>
      <c r="AW5266" s="227"/>
      <c r="AX5266" s="227"/>
      <c r="AY5266" s="227"/>
      <c r="AZ5266" s="152"/>
      <c r="BA5266" s="152"/>
      <c r="BB5266" s="152"/>
      <c r="BC5266" s="152"/>
      <c r="BD5266" s="152"/>
      <c r="BE5266" s="152"/>
      <c r="BF5266" s="152"/>
      <c r="BG5266" s="152"/>
      <c r="BH5266" s="152"/>
      <c r="BI5266" s="153"/>
      <c r="BJ5266" s="153"/>
      <c r="BK5266" s="227"/>
      <c r="BL5266" s="153"/>
      <c r="BM5266" s="153"/>
      <c r="BN5266" s="153"/>
      <c r="BO5266" s="153"/>
      <c r="BP5266" s="153"/>
      <c r="BQ5266" s="153"/>
      <c r="BR5266" s="153"/>
      <c r="BS5266" s="153"/>
      <c r="BT5266" s="153"/>
      <c r="BU5266" s="153"/>
      <c r="BV5266" s="153"/>
      <c r="BW5266" s="153"/>
      <c r="BX5266" s="153"/>
      <c r="BY5266" s="153"/>
      <c r="BZ5266" s="153"/>
      <c r="CA5266" s="152"/>
      <c r="CB5266" s="152"/>
    </row>
    <row r="5267" spans="1:80" s="87" customFormat="1" x14ac:dyDescent="0.2">
      <c r="A5267" s="257"/>
      <c r="B5267" s="667"/>
      <c r="C5267" s="667"/>
      <c r="D5267" s="292"/>
      <c r="E5267" s="279"/>
      <c r="F5267" s="279"/>
      <c r="G5267" s="227"/>
      <c r="H5267" s="257"/>
      <c r="I5267" s="257"/>
      <c r="J5267" s="257"/>
      <c r="K5267" s="257"/>
      <c r="L5267" s="667"/>
      <c r="M5267" s="670">
        <v>31566</v>
      </c>
      <c r="N5267" s="595">
        <v>6.3719999999999999</v>
      </c>
      <c r="O5267" s="614">
        <f t="shared" si="24"/>
        <v>4.6789943024483999E-2</v>
      </c>
      <c r="P5267" s="150"/>
      <c r="Q5267" s="231"/>
      <c r="R5267" s="231">
        <v>3.0467337559780001E-2</v>
      </c>
      <c r="S5267" s="231">
        <v>8.0911639120399993E-3</v>
      </c>
      <c r="T5267" s="231">
        <v>5.70245408854E-3</v>
      </c>
      <c r="U5267" s="231">
        <v>2.528987464124E-3</v>
      </c>
      <c r="V5267" s="231">
        <v>1.64427234444E-3</v>
      </c>
      <c r="W5267" s="231">
        <v>9.1957453337200004E-4</v>
      </c>
      <c r="X5267" s="231">
        <v>4.4981243445600005E-4</v>
      </c>
      <c r="Y5267" s="231" t="s">
        <v>29</v>
      </c>
      <c r="Z5267" s="150"/>
      <c r="AA5267" s="150"/>
      <c r="AB5267" s="152"/>
      <c r="AC5267" s="271"/>
      <c r="AD5267" s="257"/>
      <c r="AE5267" s="272"/>
      <c r="AF5267" s="224"/>
      <c r="AG5267" s="153"/>
      <c r="AH5267" s="346"/>
      <c r="AI5267" s="153"/>
      <c r="AJ5267" s="480"/>
      <c r="AK5267" s="153"/>
      <c r="AL5267" s="152"/>
      <c r="AM5267" s="152"/>
      <c r="AN5267" s="152"/>
      <c r="AO5267" s="152"/>
      <c r="AP5267" s="152"/>
      <c r="AQ5267" s="152"/>
      <c r="AR5267" s="152"/>
      <c r="AS5267" s="152"/>
      <c r="AT5267" s="152"/>
      <c r="AU5267" s="227"/>
      <c r="AV5267" s="227"/>
      <c r="AW5267" s="227"/>
      <c r="AX5267" s="227"/>
      <c r="AY5267" s="227"/>
      <c r="AZ5267" s="152"/>
      <c r="BA5267" s="152"/>
      <c r="BB5267" s="152"/>
      <c r="BC5267" s="152"/>
      <c r="BD5267" s="152"/>
      <c r="BE5267" s="152"/>
      <c r="BF5267" s="152"/>
      <c r="BG5267" s="152"/>
      <c r="BH5267" s="152"/>
      <c r="BI5267" s="153"/>
      <c r="BJ5267" s="153"/>
      <c r="BK5267" s="227"/>
      <c r="BL5267" s="153"/>
      <c r="BM5267" s="153"/>
      <c r="BN5267" s="153"/>
      <c r="BO5267" s="153"/>
      <c r="BP5267" s="153"/>
      <c r="BQ5267" s="153"/>
      <c r="BR5267" s="153"/>
      <c r="BS5267" s="153"/>
      <c r="BT5267" s="153"/>
      <c r="BU5267" s="153"/>
      <c r="BV5267" s="153"/>
      <c r="BW5267" s="153"/>
      <c r="BX5267" s="153"/>
      <c r="BY5267" s="153"/>
      <c r="BZ5267" s="153"/>
      <c r="CA5267" s="152"/>
      <c r="CB5267" s="152"/>
    </row>
    <row r="5268" spans="1:80" s="87" customFormat="1" x14ac:dyDescent="0.2">
      <c r="A5268" s="257"/>
      <c r="B5268" s="667"/>
      <c r="C5268" s="667"/>
      <c r="D5268" s="292"/>
      <c r="E5268" s="279"/>
      <c r="F5268" s="279"/>
      <c r="G5268" s="227"/>
      <c r="H5268" s="257"/>
      <c r="I5268" s="257"/>
      <c r="J5268" s="257"/>
      <c r="K5268" s="257"/>
      <c r="L5268" s="667"/>
      <c r="M5268" s="670">
        <v>31566</v>
      </c>
      <c r="N5268" s="595">
        <v>6.1737600000000006</v>
      </c>
      <c r="O5268" s="614">
        <f t="shared" si="24"/>
        <v>2.34881049458E-3</v>
      </c>
      <c r="P5268" s="150"/>
      <c r="Q5268" s="231"/>
      <c r="R5268" s="231"/>
      <c r="S5268" s="231">
        <v>2.3309607948000002E-4</v>
      </c>
      <c r="T5268" s="231">
        <v>9.1243465346000003E-4</v>
      </c>
      <c r="U5268" s="231">
        <v>1.20327976164E-3</v>
      </c>
      <c r="V5268" s="231">
        <v>2.1934131082599999E-3</v>
      </c>
      <c r="W5268" s="231">
        <v>3.3378938588600002E-3</v>
      </c>
      <c r="X5268" s="231">
        <v>2.4265091877400001E-3</v>
      </c>
      <c r="Y5268" s="231" t="s">
        <v>29</v>
      </c>
      <c r="Z5268" s="150"/>
      <c r="AA5268" s="150"/>
      <c r="AB5268" s="152"/>
      <c r="AC5268" s="271"/>
      <c r="AD5268" s="257"/>
      <c r="AE5268" s="272"/>
      <c r="AF5268" s="224"/>
      <c r="AG5268" s="153"/>
      <c r="AH5268" s="346"/>
      <c r="AI5268" s="153"/>
      <c r="AJ5268" s="480"/>
      <c r="AK5268" s="153"/>
      <c r="AL5268" s="152"/>
      <c r="AM5268" s="152"/>
      <c r="AN5268" s="152"/>
      <c r="AO5268" s="152"/>
      <c r="AP5268" s="152"/>
      <c r="AQ5268" s="152"/>
      <c r="AR5268" s="152"/>
      <c r="AS5268" s="152"/>
      <c r="AT5268" s="152"/>
      <c r="AU5268" s="227"/>
      <c r="AV5268" s="227"/>
      <c r="AW5268" s="227"/>
      <c r="AX5268" s="227"/>
      <c r="AY5268" s="227"/>
      <c r="AZ5268" s="152"/>
      <c r="BA5268" s="152"/>
      <c r="BB5268" s="152"/>
      <c r="BC5268" s="152"/>
      <c r="BD5268" s="152"/>
      <c r="BE5268" s="152"/>
      <c r="BF5268" s="152"/>
      <c r="BG5268" s="152"/>
      <c r="BH5268" s="152"/>
      <c r="BI5268" s="153"/>
      <c r="BJ5268" s="153"/>
      <c r="BK5268" s="227"/>
      <c r="BL5268" s="153"/>
      <c r="BM5268" s="153"/>
      <c r="BN5268" s="153"/>
      <c r="BO5268" s="153"/>
      <c r="BP5268" s="153"/>
      <c r="BQ5268" s="153"/>
      <c r="BR5268" s="153"/>
      <c r="BS5268" s="153"/>
      <c r="BT5268" s="153"/>
      <c r="BU5268" s="153"/>
      <c r="BV5268" s="153"/>
      <c r="BW5268" s="153"/>
      <c r="BX5268" s="153"/>
      <c r="BY5268" s="153"/>
      <c r="BZ5268" s="153"/>
      <c r="CA5268" s="152"/>
      <c r="CB5268" s="152"/>
    </row>
    <row r="5269" spans="1:80" s="87" customFormat="1" x14ac:dyDescent="0.2">
      <c r="A5269" s="257"/>
      <c r="B5269" s="667"/>
      <c r="C5269" s="667"/>
      <c r="D5269" s="292"/>
      <c r="E5269" s="279"/>
      <c r="F5269" s="279"/>
      <c r="G5269" s="227"/>
      <c r="H5269" s="257"/>
      <c r="I5269" s="257"/>
      <c r="J5269" s="257"/>
      <c r="K5269" s="257"/>
      <c r="L5269" s="667"/>
      <c r="M5269" s="670">
        <v>31566</v>
      </c>
      <c r="N5269" s="595">
        <v>6.1737600000000006</v>
      </c>
      <c r="O5269" s="614">
        <f t="shared" si="24"/>
        <v>1.0447324283000001E-3</v>
      </c>
      <c r="P5269" s="150"/>
      <c r="Q5269" s="231"/>
      <c r="R5269" s="231"/>
      <c r="S5269" s="231"/>
      <c r="T5269" s="231">
        <v>6.3838926272E-4</v>
      </c>
      <c r="U5269" s="231">
        <v>4.0634316558E-4</v>
      </c>
      <c r="V5269" s="231">
        <v>6.9613829142000001E-4</v>
      </c>
      <c r="W5269" s="231">
        <v>6.5770893777599999E-4</v>
      </c>
      <c r="X5269" s="231">
        <v>4.6419719251399998E-4</v>
      </c>
      <c r="Y5269" s="231" t="s">
        <v>29</v>
      </c>
      <c r="Z5269" s="150"/>
      <c r="AA5269" s="150"/>
      <c r="AB5269" s="152"/>
      <c r="AC5269" s="271"/>
      <c r="AD5269" s="257"/>
      <c r="AE5269" s="272"/>
      <c r="AF5269" s="224"/>
      <c r="AG5269" s="153"/>
      <c r="AH5269" s="346"/>
      <c r="AI5269" s="153"/>
      <c r="AJ5269" s="480"/>
      <c r="AK5269" s="153"/>
      <c r="AL5269" s="152"/>
      <c r="AM5269" s="152"/>
      <c r="AN5269" s="152"/>
      <c r="AO5269" s="152"/>
      <c r="AP5269" s="152"/>
      <c r="AQ5269" s="152"/>
      <c r="AR5269" s="152"/>
      <c r="AS5269" s="152"/>
      <c r="AT5269" s="152"/>
      <c r="AU5269" s="227"/>
      <c r="AV5269" s="227"/>
      <c r="AW5269" s="227"/>
      <c r="AX5269" s="227"/>
      <c r="AY5269" s="227"/>
      <c r="AZ5269" s="152"/>
      <c r="BA5269" s="152"/>
      <c r="BB5269" s="152"/>
      <c r="BC5269" s="152"/>
      <c r="BD5269" s="152"/>
      <c r="BE5269" s="152"/>
      <c r="BF5269" s="152"/>
      <c r="BG5269" s="152"/>
      <c r="BH5269" s="152"/>
      <c r="BI5269" s="153"/>
      <c r="BJ5269" s="153"/>
      <c r="BK5269" s="227"/>
      <c r="BL5269" s="153"/>
      <c r="BM5269" s="153"/>
      <c r="BN5269" s="153"/>
      <c r="BO5269" s="153"/>
      <c r="BP5269" s="153"/>
      <c r="BQ5269" s="153"/>
      <c r="BR5269" s="153"/>
      <c r="BS5269" s="153"/>
      <c r="BT5269" s="153"/>
      <c r="BU5269" s="153"/>
      <c r="BV5269" s="153"/>
      <c r="BW5269" s="153"/>
      <c r="BX5269" s="153"/>
      <c r="BY5269" s="153"/>
      <c r="BZ5269" s="153"/>
      <c r="CA5269" s="152"/>
      <c r="CB5269" s="152"/>
    </row>
    <row r="5270" spans="1:80" s="87" customFormat="1" x14ac:dyDescent="0.2">
      <c r="A5270" s="257"/>
      <c r="B5270" s="667"/>
      <c r="C5270" s="667"/>
      <c r="D5270" s="292"/>
      <c r="E5270" s="279"/>
      <c r="F5270" s="279"/>
      <c r="G5270" s="227"/>
      <c r="H5270" s="257"/>
      <c r="I5270" s="257"/>
      <c r="J5270" s="257"/>
      <c r="K5270" s="257"/>
      <c r="L5270" s="667"/>
      <c r="M5270" s="670">
        <v>31566</v>
      </c>
      <c r="N5270" s="595">
        <v>6.0038400000000003</v>
      </c>
      <c r="O5270" s="614">
        <f t="shared" si="24"/>
        <v>5.6310552894199995E-3</v>
      </c>
      <c r="P5270" s="150"/>
      <c r="Q5270" s="231"/>
      <c r="R5270" s="231">
        <v>7.8223684329999999E-4</v>
      </c>
      <c r="S5270" s="231">
        <v>8.9878488303999997E-4</v>
      </c>
      <c r="T5270" s="231">
        <v>1.74087071972E-3</v>
      </c>
      <c r="U5270" s="231">
        <v>2.2091628433600001E-3</v>
      </c>
      <c r="V5270" s="231">
        <v>2.3077561850860001E-3</v>
      </c>
      <c r="W5270" s="231">
        <v>1.192989934708E-3</v>
      </c>
      <c r="X5270" s="231">
        <v>4.6944710421400001E-4</v>
      </c>
      <c r="Y5270" s="231" t="s">
        <v>29</v>
      </c>
      <c r="Z5270" s="150"/>
      <c r="AA5270" s="150"/>
      <c r="AB5270" s="152"/>
      <c r="AC5270" s="271"/>
      <c r="AD5270" s="257"/>
      <c r="AE5270" s="272"/>
      <c r="AF5270" s="224"/>
      <c r="AG5270" s="153"/>
      <c r="AH5270" s="346"/>
      <c r="AI5270" s="153"/>
      <c r="AJ5270" s="480"/>
      <c r="AK5270" s="153"/>
      <c r="AL5270" s="152"/>
      <c r="AM5270" s="152"/>
      <c r="AN5270" s="152"/>
      <c r="AO5270" s="152"/>
      <c r="AP5270" s="152"/>
      <c r="AQ5270" s="152"/>
      <c r="AR5270" s="152"/>
      <c r="AS5270" s="152"/>
      <c r="AT5270" s="152"/>
      <c r="AU5270" s="227"/>
      <c r="AV5270" s="227"/>
      <c r="AW5270" s="227"/>
      <c r="AX5270" s="227"/>
      <c r="AY5270" s="227"/>
      <c r="AZ5270" s="152"/>
      <c r="BA5270" s="152"/>
      <c r="BB5270" s="152"/>
      <c r="BC5270" s="152"/>
      <c r="BD5270" s="152"/>
      <c r="BE5270" s="152"/>
      <c r="BF5270" s="152"/>
      <c r="BG5270" s="152"/>
      <c r="BH5270" s="152"/>
      <c r="BI5270" s="153"/>
      <c r="BJ5270" s="153"/>
      <c r="BK5270" s="227"/>
      <c r="BL5270" s="153"/>
      <c r="BM5270" s="153"/>
      <c r="BN5270" s="153"/>
      <c r="BO5270" s="153"/>
      <c r="BP5270" s="153"/>
      <c r="BQ5270" s="153"/>
      <c r="BR5270" s="153"/>
      <c r="BS5270" s="153"/>
      <c r="BT5270" s="153"/>
      <c r="BU5270" s="153"/>
      <c r="BV5270" s="153"/>
      <c r="BW5270" s="153"/>
      <c r="BX5270" s="153"/>
      <c r="BY5270" s="153"/>
      <c r="BZ5270" s="153"/>
      <c r="CA5270" s="152"/>
      <c r="CB5270" s="152"/>
    </row>
    <row r="5271" spans="1:80" s="87" customFormat="1" x14ac:dyDescent="0.2">
      <c r="A5271" s="257"/>
      <c r="B5271" s="667"/>
      <c r="C5271" s="667"/>
      <c r="D5271" s="292"/>
      <c r="E5271" s="279"/>
      <c r="F5271" s="279"/>
      <c r="G5271" s="227"/>
      <c r="H5271" s="257"/>
      <c r="I5271" s="257"/>
      <c r="J5271" s="257"/>
      <c r="K5271" s="257"/>
      <c r="L5271" s="667"/>
      <c r="M5271" s="670">
        <v>31566</v>
      </c>
      <c r="N5271" s="595">
        <v>5.8622399999999999</v>
      </c>
      <c r="O5271" s="614">
        <f t="shared" si="24"/>
        <v>6.9109837618800004E-4</v>
      </c>
      <c r="P5271" s="150"/>
      <c r="Q5271" s="231"/>
      <c r="R5271" s="231"/>
      <c r="S5271" s="231"/>
      <c r="T5271" s="231">
        <v>3.1604468434E-4</v>
      </c>
      <c r="U5271" s="231">
        <v>3.7505369184800003E-4</v>
      </c>
      <c r="V5271" s="231">
        <v>9.2776439562400001E-4</v>
      </c>
      <c r="W5271" s="231">
        <v>1.7963097872720003E-3</v>
      </c>
      <c r="X5271" s="231">
        <v>1.4212560954240002E-3</v>
      </c>
      <c r="Y5271" s="231" t="s">
        <v>29</v>
      </c>
      <c r="Z5271" s="150"/>
      <c r="AA5271" s="150"/>
      <c r="AB5271" s="152"/>
      <c r="AC5271" s="271"/>
      <c r="AD5271" s="257"/>
      <c r="AE5271" s="272"/>
      <c r="AF5271" s="224"/>
      <c r="AG5271" s="153"/>
      <c r="AH5271" s="346"/>
      <c r="AI5271" s="153"/>
      <c r="AJ5271" s="480"/>
      <c r="AK5271" s="153"/>
      <c r="AL5271" s="152"/>
      <c r="AM5271" s="152"/>
      <c r="AN5271" s="152"/>
      <c r="AO5271" s="152"/>
      <c r="AP5271" s="152"/>
      <c r="AQ5271" s="152"/>
      <c r="AR5271" s="152"/>
      <c r="AS5271" s="152"/>
      <c r="AT5271" s="152"/>
      <c r="AU5271" s="227"/>
      <c r="AV5271" s="227"/>
      <c r="AW5271" s="227"/>
      <c r="AX5271" s="227"/>
      <c r="AY5271" s="227"/>
      <c r="AZ5271" s="152"/>
      <c r="BA5271" s="152"/>
      <c r="BB5271" s="152"/>
      <c r="BC5271" s="152"/>
      <c r="BD5271" s="152"/>
      <c r="BE5271" s="152"/>
      <c r="BF5271" s="152"/>
      <c r="BG5271" s="152"/>
      <c r="BH5271" s="152"/>
      <c r="BI5271" s="153"/>
      <c r="BJ5271" s="153"/>
      <c r="BK5271" s="227"/>
      <c r="BL5271" s="153"/>
      <c r="BM5271" s="153"/>
      <c r="BN5271" s="153"/>
      <c r="BO5271" s="153"/>
      <c r="BP5271" s="153"/>
      <c r="BQ5271" s="153"/>
      <c r="BR5271" s="153"/>
      <c r="BS5271" s="153"/>
      <c r="BT5271" s="153"/>
      <c r="BU5271" s="153"/>
      <c r="BV5271" s="153"/>
      <c r="BW5271" s="153"/>
      <c r="BX5271" s="153"/>
      <c r="BY5271" s="153"/>
      <c r="BZ5271" s="153"/>
      <c r="CA5271" s="152"/>
      <c r="CB5271" s="152"/>
    </row>
    <row r="5272" spans="1:80" s="87" customFormat="1" x14ac:dyDescent="0.2">
      <c r="A5272" s="257"/>
      <c r="B5272" s="667"/>
      <c r="C5272" s="667"/>
      <c r="D5272" s="292"/>
      <c r="E5272" s="279"/>
      <c r="F5272" s="279"/>
      <c r="G5272" s="227"/>
      <c r="H5272" s="257"/>
      <c r="I5272" s="257"/>
      <c r="J5272" s="257"/>
      <c r="K5272" s="257"/>
      <c r="L5272" s="667"/>
      <c r="M5272" s="670">
        <v>31574</v>
      </c>
      <c r="N5272" s="595">
        <v>4.3896000000000006</v>
      </c>
      <c r="O5272" s="614">
        <f t="shared" si="24"/>
        <v>9.5595642145299992E-3</v>
      </c>
      <c r="P5272" s="150"/>
      <c r="Q5272" s="231"/>
      <c r="R5272" s="231">
        <v>3.5625900796199999E-3</v>
      </c>
      <c r="S5272" s="231">
        <v>2.2522121193E-3</v>
      </c>
      <c r="T5272" s="231">
        <v>2.1535137793400002E-3</v>
      </c>
      <c r="U5272" s="231">
        <v>1.5912482362699998E-3</v>
      </c>
      <c r="V5272" s="231">
        <v>2.2674368632299999E-3</v>
      </c>
      <c r="W5272" s="231">
        <v>3.1255874297119999E-3</v>
      </c>
      <c r="X5272" s="231">
        <v>2.9712400257320003E-3</v>
      </c>
      <c r="Y5272" s="231" t="s">
        <v>29</v>
      </c>
      <c r="Z5272" s="150"/>
      <c r="AA5272" s="150"/>
      <c r="AB5272" s="152"/>
      <c r="AC5272" s="271"/>
      <c r="AD5272" s="257"/>
      <c r="AE5272" s="272"/>
      <c r="AF5272" s="224"/>
      <c r="AG5272" s="153"/>
      <c r="AH5272" s="346"/>
      <c r="AI5272" s="153"/>
      <c r="AJ5272" s="480"/>
      <c r="AK5272" s="153"/>
      <c r="AL5272" s="152"/>
      <c r="AM5272" s="152"/>
      <c r="AN5272" s="152"/>
      <c r="AO5272" s="152"/>
      <c r="AP5272" s="152"/>
      <c r="AQ5272" s="152"/>
      <c r="AR5272" s="152"/>
      <c r="AS5272" s="152"/>
      <c r="AT5272" s="152"/>
      <c r="AU5272" s="227"/>
      <c r="AV5272" s="227"/>
      <c r="AW5272" s="227"/>
      <c r="AX5272" s="227"/>
      <c r="AY5272" s="227"/>
      <c r="AZ5272" s="152"/>
      <c r="BA5272" s="152"/>
      <c r="BB5272" s="152"/>
      <c r="BC5272" s="152"/>
      <c r="BD5272" s="152"/>
      <c r="BE5272" s="152"/>
      <c r="BF5272" s="152"/>
      <c r="BG5272" s="152"/>
      <c r="BH5272" s="152"/>
      <c r="BI5272" s="153"/>
      <c r="BJ5272" s="153"/>
      <c r="BK5272" s="227"/>
      <c r="BL5272" s="153"/>
      <c r="BM5272" s="153"/>
      <c r="BN5272" s="153"/>
      <c r="BO5272" s="153"/>
      <c r="BP5272" s="153"/>
      <c r="BQ5272" s="153"/>
      <c r="BR5272" s="153"/>
      <c r="BS5272" s="153"/>
      <c r="BT5272" s="153"/>
      <c r="BU5272" s="153"/>
      <c r="BV5272" s="153"/>
      <c r="BW5272" s="153"/>
      <c r="BX5272" s="153"/>
      <c r="BY5272" s="153"/>
      <c r="BZ5272" s="153"/>
      <c r="CA5272" s="152"/>
      <c r="CB5272" s="152"/>
    </row>
    <row r="5273" spans="1:80" s="87" customFormat="1" x14ac:dyDescent="0.2">
      <c r="A5273" s="257"/>
      <c r="B5273" s="667"/>
      <c r="C5273" s="667"/>
      <c r="D5273" s="292"/>
      <c r="E5273" s="279"/>
      <c r="F5273" s="279"/>
      <c r="G5273" s="227"/>
      <c r="H5273" s="257"/>
      <c r="I5273" s="257"/>
      <c r="J5273" s="257"/>
      <c r="K5273" s="257"/>
      <c r="L5273" s="667"/>
      <c r="M5273" s="670">
        <v>31574</v>
      </c>
      <c r="N5273" s="595">
        <v>4.4462400000000004</v>
      </c>
      <c r="O5273" s="614">
        <f t="shared" si="24"/>
        <v>1.665376989474E-2</v>
      </c>
      <c r="P5273" s="150"/>
      <c r="Q5273" s="231"/>
      <c r="R5273" s="231">
        <v>8.5941054528999999E-3</v>
      </c>
      <c r="S5273" s="231">
        <v>3.48174143944E-3</v>
      </c>
      <c r="T5273" s="231">
        <v>2.6827048787000001E-3</v>
      </c>
      <c r="U5273" s="231">
        <v>1.8952181237000001E-3</v>
      </c>
      <c r="V5273" s="231">
        <v>1.48782497578E-3</v>
      </c>
      <c r="W5273" s="231">
        <v>1.4182111466380001E-3</v>
      </c>
      <c r="X5273" s="231">
        <v>1.3063880274280001E-3</v>
      </c>
      <c r="Y5273" s="231" t="s">
        <v>29</v>
      </c>
      <c r="Z5273" s="150"/>
      <c r="AA5273" s="150"/>
      <c r="AB5273" s="152"/>
      <c r="AC5273" s="271"/>
      <c r="AD5273" s="257"/>
      <c r="AE5273" s="272"/>
      <c r="AF5273" s="224"/>
      <c r="AG5273" s="153"/>
      <c r="AH5273" s="346"/>
      <c r="AI5273" s="153"/>
      <c r="AJ5273" s="480"/>
      <c r="AK5273" s="153"/>
      <c r="AL5273" s="152"/>
      <c r="AM5273" s="152"/>
      <c r="AN5273" s="152"/>
      <c r="AO5273" s="152"/>
      <c r="AP5273" s="152"/>
      <c r="AQ5273" s="152"/>
      <c r="AR5273" s="152"/>
      <c r="AS5273" s="152"/>
      <c r="AT5273" s="152"/>
      <c r="AU5273" s="227"/>
      <c r="AV5273" s="227"/>
      <c r="AW5273" s="227"/>
      <c r="AX5273" s="227"/>
      <c r="AY5273" s="227"/>
      <c r="AZ5273" s="152"/>
      <c r="BA5273" s="152"/>
      <c r="BB5273" s="152"/>
      <c r="BC5273" s="152"/>
      <c r="BD5273" s="152"/>
      <c r="BE5273" s="152"/>
      <c r="BF5273" s="152"/>
      <c r="BG5273" s="152"/>
      <c r="BH5273" s="152"/>
      <c r="BI5273" s="153"/>
      <c r="BJ5273" s="153"/>
      <c r="BK5273" s="227"/>
      <c r="BL5273" s="153"/>
      <c r="BM5273" s="153"/>
      <c r="BN5273" s="153"/>
      <c r="BO5273" s="153"/>
      <c r="BP5273" s="153"/>
      <c r="BQ5273" s="153"/>
      <c r="BR5273" s="153"/>
      <c r="BS5273" s="153"/>
      <c r="BT5273" s="153"/>
      <c r="BU5273" s="153"/>
      <c r="BV5273" s="153"/>
      <c r="BW5273" s="153"/>
      <c r="BX5273" s="153"/>
      <c r="BY5273" s="153"/>
      <c r="BZ5273" s="153"/>
      <c r="CA5273" s="152"/>
      <c r="CB5273" s="152"/>
    </row>
    <row r="5274" spans="1:80" s="87" customFormat="1" x14ac:dyDescent="0.2">
      <c r="A5274" s="257"/>
      <c r="B5274" s="667"/>
      <c r="C5274" s="667"/>
      <c r="D5274" s="292"/>
      <c r="E5274" s="279"/>
      <c r="F5274" s="279"/>
      <c r="G5274" s="227"/>
      <c r="H5274" s="257"/>
      <c r="I5274" s="257"/>
      <c r="J5274" s="257"/>
      <c r="K5274" s="257"/>
      <c r="L5274" s="667"/>
      <c r="M5274" s="670">
        <v>31582</v>
      </c>
      <c r="N5274" s="595">
        <v>4.0780799999999999</v>
      </c>
      <c r="O5274" s="614">
        <f t="shared" si="24"/>
        <v>1.1767467079082002E-2</v>
      </c>
      <c r="P5274" s="150"/>
      <c r="Q5274" s="231"/>
      <c r="R5274" s="231">
        <v>3.097447903E-3</v>
      </c>
      <c r="S5274" s="231">
        <v>3.1740966138200004E-3</v>
      </c>
      <c r="T5274" s="231">
        <v>2.88010155862E-3</v>
      </c>
      <c r="U5274" s="231">
        <v>2.6158210036419998E-3</v>
      </c>
      <c r="V5274" s="231">
        <v>1.7021263713740001E-3</v>
      </c>
      <c r="W5274" s="231">
        <v>1.3422974234560002E-3</v>
      </c>
      <c r="X5274" s="231">
        <v>6.3985923799600008E-4</v>
      </c>
      <c r="Y5274" s="231" t="s">
        <v>29</v>
      </c>
      <c r="Z5274" s="150"/>
      <c r="AA5274" s="150"/>
      <c r="AB5274" s="152"/>
      <c r="AC5274" s="271"/>
      <c r="AD5274" s="257"/>
      <c r="AE5274" s="272"/>
      <c r="AF5274" s="224"/>
      <c r="AG5274" s="153"/>
      <c r="AH5274" s="346"/>
      <c r="AI5274" s="153"/>
      <c r="AJ5274" s="480"/>
      <c r="AK5274" s="153"/>
      <c r="AL5274" s="152"/>
      <c r="AM5274" s="152"/>
      <c r="AN5274" s="152"/>
      <c r="AO5274" s="152"/>
      <c r="AP5274" s="152"/>
      <c r="AQ5274" s="152"/>
      <c r="AR5274" s="152"/>
      <c r="AS5274" s="152"/>
      <c r="AT5274" s="152"/>
      <c r="AU5274" s="227"/>
      <c r="AV5274" s="227"/>
      <c r="AW5274" s="227"/>
      <c r="AX5274" s="227"/>
      <c r="AY5274" s="227"/>
      <c r="AZ5274" s="152"/>
      <c r="BA5274" s="152"/>
      <c r="BB5274" s="152"/>
      <c r="BC5274" s="152"/>
      <c r="BD5274" s="152"/>
      <c r="BE5274" s="152"/>
      <c r="BF5274" s="152"/>
      <c r="BG5274" s="152"/>
      <c r="BH5274" s="152"/>
      <c r="BI5274" s="153"/>
      <c r="BJ5274" s="153"/>
      <c r="BK5274" s="227"/>
      <c r="BL5274" s="153"/>
      <c r="BM5274" s="153"/>
      <c r="BN5274" s="153"/>
      <c r="BO5274" s="153"/>
      <c r="BP5274" s="153"/>
      <c r="BQ5274" s="153"/>
      <c r="BR5274" s="153"/>
      <c r="BS5274" s="153"/>
      <c r="BT5274" s="153"/>
      <c r="BU5274" s="153"/>
      <c r="BV5274" s="153"/>
      <c r="BW5274" s="153"/>
      <c r="BX5274" s="153"/>
      <c r="BY5274" s="153"/>
      <c r="BZ5274" s="153"/>
      <c r="CA5274" s="152"/>
      <c r="CB5274" s="152"/>
    </row>
    <row r="5275" spans="1:80" s="87" customFormat="1" x14ac:dyDescent="0.2">
      <c r="A5275" s="257"/>
      <c r="B5275" s="667"/>
      <c r="C5275" s="667"/>
      <c r="D5275" s="292"/>
      <c r="E5275" s="279"/>
      <c r="F5275" s="279"/>
      <c r="G5275" s="227"/>
      <c r="H5275" s="257"/>
      <c r="I5275" s="257"/>
      <c r="J5275" s="257"/>
      <c r="K5275" s="257"/>
      <c r="L5275" s="667"/>
      <c r="M5275" s="670">
        <v>31582</v>
      </c>
      <c r="N5275" s="595">
        <v>4.1913600000000004</v>
      </c>
      <c r="O5275" s="614">
        <f t="shared" si="24"/>
        <v>2.8637218341160003E-3</v>
      </c>
      <c r="P5275" s="150"/>
      <c r="Q5275" s="231"/>
      <c r="R5275" s="231">
        <v>3.6854380133999998E-4</v>
      </c>
      <c r="S5275" s="231">
        <v>1.1854300618600001E-3</v>
      </c>
      <c r="T5275" s="231">
        <v>7.0768809716000003E-4</v>
      </c>
      <c r="U5275" s="231">
        <v>6.0205987375600001E-4</v>
      </c>
      <c r="V5275" s="231">
        <v>7.6438714352000008E-4</v>
      </c>
      <c r="W5275" s="231">
        <v>7.7530695985600004E-4</v>
      </c>
      <c r="X5275" s="231">
        <v>4.4613749626600002E-4</v>
      </c>
      <c r="Y5275" s="231" t="s">
        <v>29</v>
      </c>
      <c r="Z5275" s="150"/>
      <c r="AA5275" s="150"/>
      <c r="AB5275" s="152"/>
      <c r="AC5275" s="271"/>
      <c r="AD5275" s="257"/>
      <c r="AE5275" s="272"/>
      <c r="AF5275" s="224"/>
      <c r="AG5275" s="153"/>
      <c r="AH5275" s="346"/>
      <c r="AI5275" s="153"/>
      <c r="AJ5275" s="480"/>
      <c r="AK5275" s="153"/>
      <c r="AL5275" s="152"/>
      <c r="AM5275" s="152"/>
      <c r="AN5275" s="152"/>
      <c r="AO5275" s="152"/>
      <c r="AP5275" s="152"/>
      <c r="AQ5275" s="152"/>
      <c r="AR5275" s="152"/>
      <c r="AS5275" s="152"/>
      <c r="AT5275" s="152"/>
      <c r="AU5275" s="227"/>
      <c r="AV5275" s="227"/>
      <c r="AW5275" s="227"/>
      <c r="AX5275" s="227"/>
      <c r="AY5275" s="227"/>
      <c r="AZ5275" s="152"/>
      <c r="BA5275" s="152"/>
      <c r="BB5275" s="152"/>
      <c r="BC5275" s="152"/>
      <c r="BD5275" s="152"/>
      <c r="BE5275" s="152"/>
      <c r="BF5275" s="152"/>
      <c r="BG5275" s="152"/>
      <c r="BH5275" s="152"/>
      <c r="BI5275" s="153"/>
      <c r="BJ5275" s="153"/>
      <c r="BK5275" s="227"/>
      <c r="BL5275" s="153"/>
      <c r="BM5275" s="153"/>
      <c r="BN5275" s="153"/>
      <c r="BO5275" s="153"/>
      <c r="BP5275" s="153"/>
      <c r="BQ5275" s="153"/>
      <c r="BR5275" s="153"/>
      <c r="BS5275" s="153"/>
      <c r="BT5275" s="153"/>
      <c r="BU5275" s="153"/>
      <c r="BV5275" s="153"/>
      <c r="BW5275" s="153"/>
      <c r="BX5275" s="153"/>
      <c r="BY5275" s="153"/>
      <c r="BZ5275" s="153"/>
      <c r="CA5275" s="152"/>
      <c r="CB5275" s="152"/>
    </row>
    <row r="5276" spans="1:80" s="87" customFormat="1" x14ac:dyDescent="0.2">
      <c r="A5276" s="257"/>
      <c r="B5276" s="667"/>
      <c r="C5276" s="667"/>
      <c r="D5276" s="292"/>
      <c r="E5276" s="279"/>
      <c r="F5276" s="279"/>
      <c r="G5276" s="227"/>
      <c r="H5276" s="257"/>
      <c r="I5276" s="257"/>
      <c r="J5276" s="257"/>
      <c r="K5276" s="257"/>
      <c r="L5276" s="667"/>
      <c r="M5276" s="670">
        <v>31595</v>
      </c>
      <c r="N5276" s="595">
        <v>1.01952</v>
      </c>
      <c r="O5276" s="614">
        <f t="shared" si="24"/>
        <v>2.6984546138000002E-5</v>
      </c>
      <c r="P5276" s="150"/>
      <c r="Q5276" s="231"/>
      <c r="R5276" s="231"/>
      <c r="S5276" s="231"/>
      <c r="T5276" s="231">
        <v>1.784969978E-5</v>
      </c>
      <c r="U5276" s="231">
        <v>9.134846358E-6</v>
      </c>
      <c r="V5276" s="231">
        <v>3.0344489626000002E-5</v>
      </c>
      <c r="W5276" s="231">
        <v>4.5464235321999995E-5</v>
      </c>
      <c r="X5276" s="231">
        <v>2.729954084E-5</v>
      </c>
      <c r="Y5276" s="231" t="s">
        <v>29</v>
      </c>
      <c r="Z5276" s="150"/>
      <c r="AA5276" s="150"/>
      <c r="AB5276" s="152"/>
      <c r="AC5276" s="271"/>
      <c r="AD5276" s="257"/>
      <c r="AE5276" s="272"/>
      <c r="AF5276" s="224"/>
      <c r="AG5276" s="153"/>
      <c r="AH5276" s="346"/>
      <c r="AI5276" s="153"/>
      <c r="AJ5276" s="480"/>
      <c r="AK5276" s="153"/>
      <c r="AL5276" s="152"/>
      <c r="AM5276" s="152"/>
      <c r="AN5276" s="152"/>
      <c r="AO5276" s="152"/>
      <c r="AP5276" s="152"/>
      <c r="AQ5276" s="152"/>
      <c r="AR5276" s="152"/>
      <c r="AS5276" s="152"/>
      <c r="AT5276" s="152"/>
      <c r="AU5276" s="227"/>
      <c r="AV5276" s="227"/>
      <c r="AW5276" s="227"/>
      <c r="AX5276" s="227"/>
      <c r="AY5276" s="227"/>
      <c r="AZ5276" s="152"/>
      <c r="BA5276" s="152"/>
      <c r="BB5276" s="152"/>
      <c r="BC5276" s="152"/>
      <c r="BD5276" s="152"/>
      <c r="BE5276" s="152"/>
      <c r="BF5276" s="152"/>
      <c r="BG5276" s="152"/>
      <c r="BH5276" s="152"/>
      <c r="BI5276" s="153"/>
      <c r="BJ5276" s="153"/>
      <c r="BK5276" s="227"/>
      <c r="BL5276" s="153"/>
      <c r="BM5276" s="153"/>
      <c r="BN5276" s="153"/>
      <c r="BO5276" s="153"/>
      <c r="BP5276" s="153"/>
      <c r="BQ5276" s="153"/>
      <c r="BR5276" s="153"/>
      <c r="BS5276" s="153"/>
      <c r="BT5276" s="153"/>
      <c r="BU5276" s="153"/>
      <c r="BV5276" s="153"/>
      <c r="BW5276" s="153"/>
      <c r="BX5276" s="153"/>
      <c r="BY5276" s="153"/>
      <c r="BZ5276" s="153"/>
      <c r="CA5276" s="152"/>
      <c r="CB5276" s="152"/>
    </row>
    <row r="5277" spans="1:80" s="87" customFormat="1" x14ac:dyDescent="0.2">
      <c r="A5277" s="257"/>
      <c r="B5277" s="667"/>
      <c r="C5277" s="667"/>
      <c r="D5277" s="292"/>
      <c r="E5277" s="279"/>
      <c r="F5277" s="279"/>
      <c r="G5277" s="227"/>
      <c r="H5277" s="257"/>
      <c r="I5277" s="257"/>
      <c r="J5277" s="257"/>
      <c r="K5277" s="257"/>
      <c r="L5277" s="667"/>
      <c r="M5277" s="670">
        <v>31889</v>
      </c>
      <c r="N5277" s="595">
        <v>0.36816000000000004</v>
      </c>
      <c r="O5277" s="614">
        <f t="shared" si="24"/>
        <v>1.04368244596E-4</v>
      </c>
      <c r="P5277" s="150"/>
      <c r="Q5277" s="231"/>
      <c r="R5277" s="231"/>
      <c r="S5277" s="231"/>
      <c r="T5277" s="231">
        <v>1.04998234E-5</v>
      </c>
      <c r="U5277" s="231">
        <v>9.3868421195999997E-5</v>
      </c>
      <c r="V5277" s="231">
        <v>9.638837881200001E-5</v>
      </c>
      <c r="W5277" s="231">
        <v>4.1264305962000002E-5</v>
      </c>
      <c r="X5277" s="231">
        <v>2.8769516116E-5</v>
      </c>
      <c r="Y5277" s="231" t="s">
        <v>29</v>
      </c>
      <c r="Z5277" s="150"/>
      <c r="AA5277" s="150"/>
      <c r="AB5277" s="152"/>
      <c r="AC5277" s="271"/>
      <c r="AD5277" s="257"/>
      <c r="AE5277" s="272"/>
      <c r="AF5277" s="224"/>
      <c r="AG5277" s="153"/>
      <c r="AH5277" s="346"/>
      <c r="AI5277" s="153"/>
      <c r="AJ5277" s="480"/>
      <c r="AK5277" s="153"/>
      <c r="AL5277" s="152"/>
      <c r="AM5277" s="152"/>
      <c r="AN5277" s="152"/>
      <c r="AO5277" s="152"/>
      <c r="AP5277" s="152"/>
      <c r="AQ5277" s="152"/>
      <c r="AR5277" s="152"/>
      <c r="AS5277" s="152"/>
      <c r="AT5277" s="152"/>
      <c r="AU5277" s="227"/>
      <c r="AV5277" s="227"/>
      <c r="AW5277" s="227"/>
      <c r="AX5277" s="227"/>
      <c r="AY5277" s="227"/>
      <c r="AZ5277" s="152"/>
      <c r="BA5277" s="152"/>
      <c r="BB5277" s="152"/>
      <c r="BC5277" s="152"/>
      <c r="BD5277" s="152"/>
      <c r="BE5277" s="152"/>
      <c r="BF5277" s="152"/>
      <c r="BG5277" s="152"/>
      <c r="BH5277" s="152"/>
      <c r="BI5277" s="153"/>
      <c r="BJ5277" s="153"/>
      <c r="BK5277" s="227"/>
      <c r="BL5277" s="153"/>
      <c r="BM5277" s="153"/>
      <c r="BN5277" s="153"/>
      <c r="BO5277" s="153"/>
      <c r="BP5277" s="153"/>
      <c r="BQ5277" s="153"/>
      <c r="BR5277" s="153"/>
      <c r="BS5277" s="153"/>
      <c r="BT5277" s="153"/>
      <c r="BU5277" s="153"/>
      <c r="BV5277" s="153"/>
      <c r="BW5277" s="153"/>
      <c r="BX5277" s="153"/>
      <c r="BY5277" s="153"/>
      <c r="BZ5277" s="153"/>
      <c r="CA5277" s="152"/>
      <c r="CB5277" s="152"/>
    </row>
    <row r="5278" spans="1:80" s="87" customFormat="1" x14ac:dyDescent="0.2">
      <c r="A5278" s="257"/>
      <c r="B5278" s="667"/>
      <c r="C5278" s="667"/>
      <c r="D5278" s="292"/>
      <c r="E5278" s="279"/>
      <c r="F5278" s="279"/>
      <c r="G5278" s="227"/>
      <c r="H5278" s="257"/>
      <c r="I5278" s="257"/>
      <c r="J5278" s="257"/>
      <c r="K5278" s="257"/>
      <c r="L5278" s="667"/>
      <c r="M5278" s="670">
        <v>31896</v>
      </c>
      <c r="N5278" s="595">
        <v>0.93456000000000006</v>
      </c>
      <c r="O5278" s="614">
        <f t="shared" si="24"/>
        <v>1.889968212E-5</v>
      </c>
      <c r="P5278" s="150"/>
      <c r="Q5278" s="231"/>
      <c r="R5278" s="231"/>
      <c r="S5278" s="231"/>
      <c r="T5278" s="231">
        <v>1.364977042E-5</v>
      </c>
      <c r="U5278" s="231">
        <v>5.2499117E-6</v>
      </c>
      <c r="V5278" s="231">
        <v>3.0974479029999998E-5</v>
      </c>
      <c r="W5278" s="231">
        <v>1.16758036208E-4</v>
      </c>
      <c r="X5278" s="231">
        <v>1.6222227153000002E-4</v>
      </c>
      <c r="Y5278" s="231" t="s">
        <v>29</v>
      </c>
      <c r="Z5278" s="150"/>
      <c r="AA5278" s="150"/>
      <c r="AB5278" s="152"/>
      <c r="AC5278" s="271"/>
      <c r="AD5278" s="257"/>
      <c r="AE5278" s="272"/>
      <c r="AF5278" s="224"/>
      <c r="AG5278" s="153"/>
      <c r="AH5278" s="346"/>
      <c r="AI5278" s="153"/>
      <c r="AJ5278" s="480"/>
      <c r="AK5278" s="153"/>
      <c r="AL5278" s="152"/>
      <c r="AM5278" s="152"/>
      <c r="AN5278" s="152"/>
      <c r="AO5278" s="152"/>
      <c r="AP5278" s="152"/>
      <c r="AQ5278" s="152"/>
      <c r="AR5278" s="152"/>
      <c r="AS5278" s="152"/>
      <c r="AT5278" s="152"/>
      <c r="AU5278" s="227"/>
      <c r="AV5278" s="227"/>
      <c r="AW5278" s="227"/>
      <c r="AX5278" s="227"/>
      <c r="AY5278" s="227"/>
      <c r="AZ5278" s="152"/>
      <c r="BA5278" s="152"/>
      <c r="BB5278" s="152"/>
      <c r="BC5278" s="152"/>
      <c r="BD5278" s="152"/>
      <c r="BE5278" s="152"/>
      <c r="BF5278" s="152"/>
      <c r="BG5278" s="152"/>
      <c r="BH5278" s="152"/>
      <c r="BI5278" s="153"/>
      <c r="BJ5278" s="153"/>
      <c r="BK5278" s="227"/>
      <c r="BL5278" s="153"/>
      <c r="BM5278" s="153"/>
      <c r="BN5278" s="153"/>
      <c r="BO5278" s="153"/>
      <c r="BP5278" s="153"/>
      <c r="BQ5278" s="153"/>
      <c r="BR5278" s="153"/>
      <c r="BS5278" s="153"/>
      <c r="BT5278" s="153"/>
      <c r="BU5278" s="153"/>
      <c r="BV5278" s="153"/>
      <c r="BW5278" s="153"/>
      <c r="BX5278" s="153"/>
      <c r="BY5278" s="153"/>
      <c r="BZ5278" s="153"/>
      <c r="CA5278" s="152"/>
      <c r="CB5278" s="152"/>
    </row>
    <row r="5279" spans="1:80" s="87" customFormat="1" x14ac:dyDescent="0.2">
      <c r="A5279" s="257"/>
      <c r="B5279" s="667"/>
      <c r="C5279" s="667"/>
      <c r="D5279" s="292"/>
      <c r="E5279" s="279"/>
      <c r="F5279" s="279"/>
      <c r="G5279" s="227"/>
      <c r="H5279" s="257"/>
      <c r="I5279" s="257"/>
      <c r="J5279" s="257"/>
      <c r="K5279" s="257"/>
      <c r="L5279" s="667"/>
      <c r="M5279" s="670">
        <v>31896</v>
      </c>
      <c r="N5279" s="595">
        <v>1.0478400000000001</v>
      </c>
      <c r="O5279" s="614">
        <f t="shared" si="24"/>
        <v>4.6619215895999993E-5</v>
      </c>
      <c r="P5279" s="150"/>
      <c r="Q5279" s="231"/>
      <c r="R5279" s="231"/>
      <c r="S5279" s="231"/>
      <c r="T5279" s="231">
        <v>3.2549452539999997E-5</v>
      </c>
      <c r="U5279" s="231">
        <v>1.4069763356E-5</v>
      </c>
      <c r="V5279" s="231">
        <v>2.6564553202000002E-5</v>
      </c>
      <c r="W5279" s="231">
        <v>1.1980298499400001E-4</v>
      </c>
      <c r="X5279" s="231">
        <v>1.74612063142E-4</v>
      </c>
      <c r="Y5279" s="231" t="s">
        <v>29</v>
      </c>
      <c r="Z5279" s="150"/>
      <c r="AA5279" s="150"/>
      <c r="AB5279" s="152"/>
      <c r="AC5279" s="271"/>
      <c r="AD5279" s="257"/>
      <c r="AE5279" s="272"/>
      <c r="AF5279" s="224"/>
      <c r="AG5279" s="153"/>
      <c r="AH5279" s="346"/>
      <c r="AI5279" s="153"/>
      <c r="AJ5279" s="480"/>
      <c r="AK5279" s="153"/>
      <c r="AL5279" s="152"/>
      <c r="AM5279" s="152"/>
      <c r="AN5279" s="152"/>
      <c r="AO5279" s="152"/>
      <c r="AP5279" s="152"/>
      <c r="AQ5279" s="152"/>
      <c r="AR5279" s="152"/>
      <c r="AS5279" s="152"/>
      <c r="AT5279" s="152"/>
      <c r="AU5279" s="227"/>
      <c r="AV5279" s="227"/>
      <c r="AW5279" s="227"/>
      <c r="AX5279" s="227"/>
      <c r="AY5279" s="227"/>
      <c r="AZ5279" s="152"/>
      <c r="BA5279" s="152"/>
      <c r="BB5279" s="152"/>
      <c r="BC5279" s="152"/>
      <c r="BD5279" s="152"/>
      <c r="BE5279" s="152"/>
      <c r="BF5279" s="152"/>
      <c r="BG5279" s="152"/>
      <c r="BH5279" s="152"/>
      <c r="BI5279" s="153"/>
      <c r="BJ5279" s="153"/>
      <c r="BK5279" s="227"/>
      <c r="BL5279" s="153"/>
      <c r="BM5279" s="153"/>
      <c r="BN5279" s="153"/>
      <c r="BO5279" s="153"/>
      <c r="BP5279" s="153"/>
      <c r="BQ5279" s="153"/>
      <c r="BR5279" s="153"/>
      <c r="BS5279" s="153"/>
      <c r="BT5279" s="153"/>
      <c r="BU5279" s="153"/>
      <c r="BV5279" s="153"/>
      <c r="BW5279" s="153"/>
      <c r="BX5279" s="153"/>
      <c r="BY5279" s="153"/>
      <c r="BZ5279" s="153"/>
      <c r="CA5279" s="152"/>
      <c r="CB5279" s="152"/>
    </row>
    <row r="5280" spans="1:80" s="87" customFormat="1" x14ac:dyDescent="0.2">
      <c r="A5280" s="257"/>
      <c r="B5280" s="667"/>
      <c r="C5280" s="667"/>
      <c r="D5280" s="292"/>
      <c r="E5280" s="279"/>
      <c r="F5280" s="279"/>
      <c r="G5280" s="227"/>
      <c r="H5280" s="257"/>
      <c r="I5280" s="257"/>
      <c r="J5280" s="257"/>
      <c r="K5280" s="257"/>
      <c r="L5280" s="667"/>
      <c r="M5280" s="670">
        <v>31904</v>
      </c>
      <c r="N5280" s="595">
        <v>1.6708800000000001</v>
      </c>
      <c r="O5280" s="614">
        <f t="shared" si="24"/>
        <v>1.03528258724E-4</v>
      </c>
      <c r="P5280" s="150"/>
      <c r="Q5280" s="231"/>
      <c r="R5280" s="231"/>
      <c r="S5280" s="231"/>
      <c r="T5280" s="231">
        <v>4.829918764E-5</v>
      </c>
      <c r="U5280" s="231">
        <v>5.5229071084000003E-5</v>
      </c>
      <c r="V5280" s="231">
        <v>1.1780801854800002E-4</v>
      </c>
      <c r="W5280" s="231">
        <v>2.9084510817999998E-4</v>
      </c>
      <c r="X5280" s="231">
        <v>2.83810226502E-4</v>
      </c>
      <c r="Y5280" s="231" t="s">
        <v>29</v>
      </c>
      <c r="Z5280" s="150"/>
      <c r="AA5280" s="150"/>
      <c r="AB5280" s="152"/>
      <c r="AC5280" s="271"/>
      <c r="AD5280" s="257"/>
      <c r="AE5280" s="272"/>
      <c r="AF5280" s="224"/>
      <c r="AG5280" s="153"/>
      <c r="AH5280" s="346"/>
      <c r="AI5280" s="153"/>
      <c r="AJ5280" s="480"/>
      <c r="AK5280" s="153"/>
      <c r="AL5280" s="152"/>
      <c r="AM5280" s="152"/>
      <c r="AN5280" s="152"/>
      <c r="AO5280" s="152"/>
      <c r="AP5280" s="152"/>
      <c r="AQ5280" s="152"/>
      <c r="AR5280" s="152"/>
      <c r="AS5280" s="152"/>
      <c r="AT5280" s="152"/>
      <c r="AU5280" s="227"/>
      <c r="AV5280" s="227"/>
      <c r="AW5280" s="227"/>
      <c r="AX5280" s="227"/>
      <c r="AY5280" s="227"/>
      <c r="AZ5280" s="152"/>
      <c r="BA5280" s="152"/>
      <c r="BB5280" s="152"/>
      <c r="BC5280" s="152"/>
      <c r="BD5280" s="152"/>
      <c r="BE5280" s="152"/>
      <c r="BF5280" s="152"/>
      <c r="BG5280" s="152"/>
      <c r="BH5280" s="152"/>
      <c r="BI5280" s="153"/>
      <c r="BJ5280" s="153"/>
      <c r="BK5280" s="227"/>
      <c r="BL5280" s="153"/>
      <c r="BM5280" s="153"/>
      <c r="BN5280" s="153"/>
      <c r="BO5280" s="153"/>
      <c r="BP5280" s="153"/>
      <c r="BQ5280" s="153"/>
      <c r="BR5280" s="153"/>
      <c r="BS5280" s="153"/>
      <c r="BT5280" s="153"/>
      <c r="BU5280" s="153"/>
      <c r="BV5280" s="153"/>
      <c r="BW5280" s="153"/>
      <c r="BX5280" s="153"/>
      <c r="BY5280" s="153"/>
      <c r="BZ5280" s="153"/>
      <c r="CA5280" s="152"/>
      <c r="CB5280" s="152"/>
    </row>
    <row r="5281" spans="1:80" s="87" customFormat="1" x14ac:dyDescent="0.2">
      <c r="A5281" s="257"/>
      <c r="B5281" s="667"/>
      <c r="C5281" s="667"/>
      <c r="D5281" s="292"/>
      <c r="E5281" s="279"/>
      <c r="F5281" s="279"/>
      <c r="G5281" s="227"/>
      <c r="H5281" s="257"/>
      <c r="I5281" s="257"/>
      <c r="J5281" s="257"/>
      <c r="K5281" s="257"/>
      <c r="L5281" s="667"/>
      <c r="M5281" s="670">
        <v>31905</v>
      </c>
      <c r="N5281" s="595">
        <v>1.4726400000000002</v>
      </c>
      <c r="O5281" s="614">
        <f t="shared" si="24"/>
        <v>6.0373984549999998E-5</v>
      </c>
      <c r="P5281" s="150"/>
      <c r="Q5281" s="231"/>
      <c r="R5281" s="231"/>
      <c r="S5281" s="231"/>
      <c r="T5281" s="231"/>
      <c r="U5281" s="231">
        <v>6.0373984549999998E-5</v>
      </c>
      <c r="V5281" s="231">
        <v>1.6694719206000001E-4</v>
      </c>
      <c r="W5281" s="231">
        <v>2.77090339526E-4</v>
      </c>
      <c r="X5281" s="231">
        <v>1.7051713201600001E-4</v>
      </c>
      <c r="Y5281" s="231" t="s">
        <v>29</v>
      </c>
      <c r="Z5281" s="150"/>
      <c r="AA5281" s="150"/>
      <c r="AB5281" s="152"/>
      <c r="AC5281" s="271"/>
      <c r="AD5281" s="257"/>
      <c r="AE5281" s="272"/>
      <c r="AF5281" s="224"/>
      <c r="AG5281" s="153"/>
      <c r="AH5281" s="346"/>
      <c r="AI5281" s="153"/>
      <c r="AJ5281" s="480"/>
      <c r="AK5281" s="153"/>
      <c r="AL5281" s="152"/>
      <c r="AM5281" s="152"/>
      <c r="AN5281" s="152"/>
      <c r="AO5281" s="152"/>
      <c r="AP5281" s="152"/>
      <c r="AQ5281" s="152"/>
      <c r="AR5281" s="152"/>
      <c r="AS5281" s="152"/>
      <c r="AT5281" s="152"/>
      <c r="AU5281" s="227"/>
      <c r="AV5281" s="227"/>
      <c r="AW5281" s="227"/>
      <c r="AX5281" s="227"/>
      <c r="AY5281" s="227"/>
      <c r="AZ5281" s="152"/>
      <c r="BA5281" s="152"/>
      <c r="BB5281" s="152"/>
      <c r="BC5281" s="152"/>
      <c r="BD5281" s="152"/>
      <c r="BE5281" s="152"/>
      <c r="BF5281" s="152"/>
      <c r="BG5281" s="152"/>
      <c r="BH5281" s="152"/>
      <c r="BI5281" s="153"/>
      <c r="BJ5281" s="153"/>
      <c r="BK5281" s="227"/>
      <c r="BL5281" s="153"/>
      <c r="BM5281" s="153"/>
      <c r="BN5281" s="153"/>
      <c r="BO5281" s="153"/>
      <c r="BP5281" s="153"/>
      <c r="BQ5281" s="153"/>
      <c r="BR5281" s="153"/>
      <c r="BS5281" s="153"/>
      <c r="BT5281" s="153"/>
      <c r="BU5281" s="153"/>
      <c r="BV5281" s="153"/>
      <c r="BW5281" s="153"/>
      <c r="BX5281" s="153"/>
      <c r="BY5281" s="153"/>
      <c r="BZ5281" s="153"/>
      <c r="CA5281" s="152"/>
      <c r="CB5281" s="152"/>
    </row>
    <row r="5282" spans="1:80" s="87" customFormat="1" x14ac:dyDescent="0.2">
      <c r="A5282" s="257"/>
      <c r="B5282" s="667"/>
      <c r="C5282" s="667"/>
      <c r="D5282" s="292"/>
      <c r="E5282" s="279"/>
      <c r="F5282" s="279"/>
      <c r="G5282" s="227"/>
      <c r="H5282" s="257"/>
      <c r="I5282" s="257"/>
      <c r="J5282" s="257"/>
      <c r="K5282" s="257"/>
      <c r="L5282" s="667"/>
      <c r="M5282" s="670">
        <v>31905</v>
      </c>
      <c r="N5282" s="595">
        <v>1.8408</v>
      </c>
      <c r="O5282" s="614">
        <f t="shared" si="24"/>
        <v>1.8584687418000002E-5</v>
      </c>
      <c r="P5282" s="150"/>
      <c r="Q5282" s="231"/>
      <c r="R5282" s="231"/>
      <c r="S5282" s="231"/>
      <c r="T5282" s="231"/>
      <c r="U5282" s="231">
        <v>1.8584687418000002E-5</v>
      </c>
      <c r="V5282" s="231">
        <v>1.7776201016200002E-4</v>
      </c>
      <c r="W5282" s="231">
        <v>5.1375635896200008E-4</v>
      </c>
      <c r="X5282" s="231">
        <v>3.8313855586600003E-4</v>
      </c>
      <c r="Y5282" s="231" t="s">
        <v>29</v>
      </c>
      <c r="Z5282" s="150"/>
      <c r="AA5282" s="150"/>
      <c r="AB5282" s="152"/>
      <c r="AC5282" s="271"/>
      <c r="AD5282" s="257"/>
      <c r="AE5282" s="272"/>
      <c r="AF5282" s="224"/>
      <c r="AG5282" s="153"/>
      <c r="AH5282" s="346"/>
      <c r="AI5282" s="153"/>
      <c r="AJ5282" s="480"/>
      <c r="AK5282" s="153"/>
      <c r="AL5282" s="152"/>
      <c r="AM5282" s="152"/>
      <c r="AN5282" s="152"/>
      <c r="AO5282" s="152"/>
      <c r="AP5282" s="152"/>
      <c r="AQ5282" s="152"/>
      <c r="AR5282" s="152"/>
      <c r="AS5282" s="152"/>
      <c r="AT5282" s="152"/>
      <c r="AU5282" s="227"/>
      <c r="AV5282" s="227"/>
      <c r="AW5282" s="227"/>
      <c r="AX5282" s="227"/>
      <c r="AY5282" s="227"/>
      <c r="AZ5282" s="152"/>
      <c r="BA5282" s="152"/>
      <c r="BB5282" s="152"/>
      <c r="BC5282" s="152"/>
      <c r="BD5282" s="152"/>
      <c r="BE5282" s="152"/>
      <c r="BF5282" s="152"/>
      <c r="BG5282" s="152"/>
      <c r="BH5282" s="152"/>
      <c r="BI5282" s="153"/>
      <c r="BJ5282" s="153"/>
      <c r="BK5282" s="227"/>
      <c r="BL5282" s="153"/>
      <c r="BM5282" s="153"/>
      <c r="BN5282" s="153"/>
      <c r="BO5282" s="153"/>
      <c r="BP5282" s="153"/>
      <c r="BQ5282" s="153"/>
      <c r="BR5282" s="153"/>
      <c r="BS5282" s="153"/>
      <c r="BT5282" s="153"/>
      <c r="BU5282" s="153"/>
      <c r="BV5282" s="153"/>
      <c r="BW5282" s="153"/>
      <c r="BX5282" s="153"/>
      <c r="BY5282" s="153"/>
      <c r="BZ5282" s="153"/>
      <c r="CA5282" s="152"/>
      <c r="CB5282" s="152"/>
    </row>
    <row r="5283" spans="1:80" s="87" customFormat="1" x14ac:dyDescent="0.2">
      <c r="A5283" s="257"/>
      <c r="B5283" s="667"/>
      <c r="C5283" s="667"/>
      <c r="D5283" s="292"/>
      <c r="E5283" s="279"/>
      <c r="F5283" s="279"/>
      <c r="G5283" s="227"/>
      <c r="H5283" s="257"/>
      <c r="I5283" s="257"/>
      <c r="J5283" s="257"/>
      <c r="K5283" s="257"/>
      <c r="L5283" s="667"/>
      <c r="M5283" s="670">
        <v>31906</v>
      </c>
      <c r="N5283" s="595">
        <v>1.6708800000000001</v>
      </c>
      <c r="O5283" s="614">
        <f t="shared" si="24"/>
        <v>9.176845651599999E-5</v>
      </c>
      <c r="P5283" s="150"/>
      <c r="Q5283" s="231"/>
      <c r="R5283" s="231"/>
      <c r="S5283" s="231">
        <v>4.0949311259999997E-5</v>
      </c>
      <c r="T5283" s="231">
        <v>8.39985872E-6</v>
      </c>
      <c r="U5283" s="231">
        <v>4.2419286536E-5</v>
      </c>
      <c r="V5283" s="231">
        <v>1.9792167109E-4</v>
      </c>
      <c r="W5283" s="231">
        <v>4.3815763048200005E-4</v>
      </c>
      <c r="X5283" s="231">
        <v>2.7289041016599998E-4</v>
      </c>
      <c r="Y5283" s="231" t="s">
        <v>29</v>
      </c>
      <c r="Z5283" s="150"/>
      <c r="AA5283" s="150"/>
      <c r="AB5283" s="152"/>
      <c r="AC5283" s="271"/>
      <c r="AD5283" s="257"/>
      <c r="AE5283" s="272"/>
      <c r="AF5283" s="224"/>
      <c r="AG5283" s="153"/>
      <c r="AH5283" s="346"/>
      <c r="AI5283" s="153"/>
      <c r="AJ5283" s="480"/>
      <c r="AK5283" s="153"/>
      <c r="AL5283" s="152"/>
      <c r="AM5283" s="152"/>
      <c r="AN5283" s="152"/>
      <c r="AO5283" s="152"/>
      <c r="AP5283" s="152"/>
      <c r="AQ5283" s="152"/>
      <c r="AR5283" s="152"/>
      <c r="AS5283" s="152"/>
      <c r="AT5283" s="152"/>
      <c r="AU5283" s="227"/>
      <c r="AV5283" s="227"/>
      <c r="AW5283" s="227"/>
      <c r="AX5283" s="227"/>
      <c r="AY5283" s="227"/>
      <c r="AZ5283" s="152"/>
      <c r="BA5283" s="152"/>
      <c r="BB5283" s="152"/>
      <c r="BC5283" s="152"/>
      <c r="BD5283" s="152"/>
      <c r="BE5283" s="152"/>
      <c r="BF5283" s="152"/>
      <c r="BG5283" s="152"/>
      <c r="BH5283" s="152"/>
      <c r="BI5283" s="153"/>
      <c r="BJ5283" s="153"/>
      <c r="BK5283" s="227"/>
      <c r="BL5283" s="153"/>
      <c r="BM5283" s="153"/>
      <c r="BN5283" s="153"/>
      <c r="BO5283" s="153"/>
      <c r="BP5283" s="153"/>
      <c r="BQ5283" s="153"/>
      <c r="BR5283" s="153"/>
      <c r="BS5283" s="153"/>
      <c r="BT5283" s="153"/>
      <c r="BU5283" s="153"/>
      <c r="BV5283" s="153"/>
      <c r="BW5283" s="153"/>
      <c r="BX5283" s="153"/>
      <c r="BY5283" s="153"/>
      <c r="BZ5283" s="153"/>
      <c r="CA5283" s="152"/>
      <c r="CB5283" s="152"/>
    </row>
    <row r="5284" spans="1:80" s="87" customFormat="1" x14ac:dyDescent="0.2">
      <c r="A5284" s="257"/>
      <c r="B5284" s="667"/>
      <c r="C5284" s="667"/>
      <c r="D5284" s="292"/>
      <c r="E5284" s="279"/>
      <c r="F5284" s="279"/>
      <c r="G5284" s="227"/>
      <c r="H5284" s="257"/>
      <c r="I5284" s="257"/>
      <c r="J5284" s="257"/>
      <c r="K5284" s="257"/>
      <c r="L5284" s="667"/>
      <c r="M5284" s="670">
        <v>31906</v>
      </c>
      <c r="N5284" s="595">
        <v>1.6992</v>
      </c>
      <c r="O5284" s="614">
        <f t="shared" si="24"/>
        <v>4.1474302430000005E-5</v>
      </c>
      <c r="P5284" s="150"/>
      <c r="Q5284" s="231"/>
      <c r="R5284" s="231"/>
      <c r="S5284" s="231"/>
      <c r="T5284" s="231">
        <v>3.4649417220000003E-5</v>
      </c>
      <c r="U5284" s="231">
        <v>6.82488521E-6</v>
      </c>
      <c r="V5284" s="231">
        <v>6.0268986316000003E-5</v>
      </c>
      <c r="W5284" s="231">
        <v>1.4237760530399999E-4</v>
      </c>
      <c r="X5284" s="231">
        <v>1.0667820574400001E-4</v>
      </c>
      <c r="Y5284" s="231" t="s">
        <v>29</v>
      </c>
      <c r="Z5284" s="150"/>
      <c r="AA5284" s="150"/>
      <c r="AB5284" s="152"/>
      <c r="AC5284" s="271"/>
      <c r="AD5284" s="257"/>
      <c r="AE5284" s="272"/>
      <c r="AF5284" s="224"/>
      <c r="AG5284" s="153"/>
      <c r="AH5284" s="346"/>
      <c r="AI5284" s="153"/>
      <c r="AJ5284" s="480"/>
      <c r="AK5284" s="153"/>
      <c r="AL5284" s="152"/>
      <c r="AM5284" s="152"/>
      <c r="AN5284" s="152"/>
      <c r="AO5284" s="152"/>
      <c r="AP5284" s="152"/>
      <c r="AQ5284" s="152"/>
      <c r="AR5284" s="152"/>
      <c r="AS5284" s="152"/>
      <c r="AT5284" s="152"/>
      <c r="AU5284" s="227"/>
      <c r="AV5284" s="227"/>
      <c r="AW5284" s="227"/>
      <c r="AX5284" s="227"/>
      <c r="AY5284" s="227"/>
      <c r="AZ5284" s="152"/>
      <c r="BA5284" s="152"/>
      <c r="BB5284" s="152"/>
      <c r="BC5284" s="152"/>
      <c r="BD5284" s="152"/>
      <c r="BE5284" s="152"/>
      <c r="BF5284" s="152"/>
      <c r="BG5284" s="152"/>
      <c r="BH5284" s="152"/>
      <c r="BI5284" s="153"/>
      <c r="BJ5284" s="153"/>
      <c r="BK5284" s="227"/>
      <c r="BL5284" s="153"/>
      <c r="BM5284" s="153"/>
      <c r="BN5284" s="153"/>
      <c r="BO5284" s="153"/>
      <c r="BP5284" s="153"/>
      <c r="BQ5284" s="153"/>
      <c r="BR5284" s="153"/>
      <c r="BS5284" s="153"/>
      <c r="BT5284" s="153"/>
      <c r="BU5284" s="153"/>
      <c r="BV5284" s="153"/>
      <c r="BW5284" s="153"/>
      <c r="BX5284" s="153"/>
      <c r="BY5284" s="153"/>
      <c r="BZ5284" s="153"/>
      <c r="CA5284" s="152"/>
      <c r="CB5284" s="152"/>
    </row>
    <row r="5285" spans="1:80" s="87" customFormat="1" x14ac:dyDescent="0.2">
      <c r="A5285" s="257"/>
      <c r="B5285" s="667"/>
      <c r="C5285" s="667"/>
      <c r="D5285" s="292"/>
      <c r="E5285" s="279"/>
      <c r="F5285" s="279"/>
      <c r="G5285" s="227"/>
      <c r="H5285" s="257"/>
      <c r="I5285" s="257"/>
      <c r="J5285" s="257"/>
      <c r="K5285" s="257"/>
      <c r="L5285" s="667"/>
      <c r="M5285" s="670">
        <v>31906</v>
      </c>
      <c r="N5285" s="595">
        <v>1.95408</v>
      </c>
      <c r="O5285" s="614">
        <f t="shared" si="24"/>
        <v>2.4244092230600001E-4</v>
      </c>
      <c r="P5285" s="150"/>
      <c r="Q5285" s="231"/>
      <c r="R5285" s="231"/>
      <c r="S5285" s="231">
        <v>3.569939956E-5</v>
      </c>
      <c r="T5285" s="231">
        <v>1.0709819868000001E-4</v>
      </c>
      <c r="U5285" s="231">
        <v>9.9643324066000009E-5</v>
      </c>
      <c r="V5285" s="231">
        <v>2.8507020531000002E-4</v>
      </c>
      <c r="W5285" s="231">
        <v>7.7320699517600001E-4</v>
      </c>
      <c r="X5285" s="231">
        <v>5.8788511216600003E-4</v>
      </c>
      <c r="Y5285" s="231" t="s">
        <v>29</v>
      </c>
      <c r="Z5285" s="150"/>
      <c r="AA5285" s="150"/>
      <c r="AB5285" s="152"/>
      <c r="AC5285" s="271"/>
      <c r="AD5285" s="257"/>
      <c r="AE5285" s="272"/>
      <c r="AF5285" s="224"/>
      <c r="AG5285" s="153"/>
      <c r="AH5285" s="346"/>
      <c r="AI5285" s="153"/>
      <c r="AJ5285" s="480"/>
      <c r="AK5285" s="153"/>
      <c r="AL5285" s="152"/>
      <c r="AM5285" s="152"/>
      <c r="AN5285" s="152"/>
      <c r="AO5285" s="152"/>
      <c r="AP5285" s="152"/>
      <c r="AQ5285" s="152"/>
      <c r="AR5285" s="152"/>
      <c r="AS5285" s="152"/>
      <c r="AT5285" s="152"/>
      <c r="AU5285" s="227"/>
      <c r="AV5285" s="227"/>
      <c r="AW5285" s="227"/>
      <c r="AX5285" s="227"/>
      <c r="AY5285" s="227"/>
      <c r="AZ5285" s="152"/>
      <c r="BA5285" s="152"/>
      <c r="BB5285" s="152"/>
      <c r="BC5285" s="152"/>
      <c r="BD5285" s="152"/>
      <c r="BE5285" s="152"/>
      <c r="BF5285" s="152"/>
      <c r="BG5285" s="152"/>
      <c r="BH5285" s="152"/>
      <c r="BI5285" s="153"/>
      <c r="BJ5285" s="153"/>
      <c r="BK5285" s="227"/>
      <c r="BL5285" s="153"/>
      <c r="BM5285" s="153"/>
      <c r="BN5285" s="153"/>
      <c r="BO5285" s="153"/>
      <c r="BP5285" s="153"/>
      <c r="BQ5285" s="153"/>
      <c r="BR5285" s="153"/>
      <c r="BS5285" s="153"/>
      <c r="BT5285" s="153"/>
      <c r="BU5285" s="153"/>
      <c r="BV5285" s="153"/>
      <c r="BW5285" s="153"/>
      <c r="BX5285" s="153"/>
      <c r="BY5285" s="153"/>
      <c r="BZ5285" s="153"/>
      <c r="CA5285" s="152"/>
      <c r="CB5285" s="152"/>
    </row>
    <row r="5286" spans="1:80" s="87" customFormat="1" x14ac:dyDescent="0.2">
      <c r="A5286" s="257"/>
      <c r="B5286" s="667"/>
      <c r="C5286" s="667"/>
      <c r="D5286" s="292"/>
      <c r="E5286" s="279"/>
      <c r="F5286" s="279"/>
      <c r="G5286" s="227"/>
      <c r="H5286" s="257"/>
      <c r="I5286" s="257"/>
      <c r="J5286" s="257"/>
      <c r="K5286" s="257"/>
      <c r="L5286" s="667"/>
      <c r="M5286" s="670">
        <v>31906</v>
      </c>
      <c r="N5286" s="595">
        <v>1.8408</v>
      </c>
      <c r="O5286" s="614">
        <f t="shared" si="24"/>
        <v>1.7639703312E-5</v>
      </c>
      <c r="P5286" s="150"/>
      <c r="Q5286" s="231"/>
      <c r="R5286" s="231"/>
      <c r="S5286" s="231"/>
      <c r="T5286" s="231"/>
      <c r="U5286" s="231">
        <v>1.7639703312E-5</v>
      </c>
      <c r="V5286" s="231">
        <v>5.9953991613999998E-5</v>
      </c>
      <c r="W5286" s="231">
        <v>1.79756976608E-4</v>
      </c>
      <c r="X5286" s="231">
        <v>1.8679185828600001E-4</v>
      </c>
      <c r="Y5286" s="231" t="s">
        <v>29</v>
      </c>
      <c r="Z5286" s="150"/>
      <c r="AA5286" s="150"/>
      <c r="AB5286" s="152"/>
      <c r="AC5286" s="271"/>
      <c r="AD5286" s="257"/>
      <c r="AE5286" s="272"/>
      <c r="AF5286" s="224"/>
      <c r="AG5286" s="153"/>
      <c r="AH5286" s="346"/>
      <c r="AI5286" s="153"/>
      <c r="AJ5286" s="480"/>
      <c r="AK5286" s="153"/>
      <c r="AL5286" s="152"/>
      <c r="AM5286" s="152"/>
      <c r="AN5286" s="152"/>
      <c r="AO5286" s="152"/>
      <c r="AP5286" s="152"/>
      <c r="AQ5286" s="152"/>
      <c r="AR5286" s="152"/>
      <c r="AS5286" s="152"/>
      <c r="AT5286" s="152"/>
      <c r="AU5286" s="227"/>
      <c r="AV5286" s="227"/>
      <c r="AW5286" s="227"/>
      <c r="AX5286" s="227"/>
      <c r="AY5286" s="227"/>
      <c r="AZ5286" s="152"/>
      <c r="BA5286" s="152"/>
      <c r="BB5286" s="152"/>
      <c r="BC5286" s="152"/>
      <c r="BD5286" s="152"/>
      <c r="BE5286" s="152"/>
      <c r="BF5286" s="152"/>
      <c r="BG5286" s="152"/>
      <c r="BH5286" s="152"/>
      <c r="BI5286" s="153"/>
      <c r="BJ5286" s="153"/>
      <c r="BK5286" s="227"/>
      <c r="BL5286" s="153"/>
      <c r="BM5286" s="153"/>
      <c r="BN5286" s="153"/>
      <c r="BO5286" s="153"/>
      <c r="BP5286" s="153"/>
      <c r="BQ5286" s="153"/>
      <c r="BR5286" s="153"/>
      <c r="BS5286" s="153"/>
      <c r="BT5286" s="153"/>
      <c r="BU5286" s="153"/>
      <c r="BV5286" s="153"/>
      <c r="BW5286" s="153"/>
      <c r="BX5286" s="153"/>
      <c r="BY5286" s="153"/>
      <c r="BZ5286" s="153"/>
      <c r="CA5286" s="152"/>
      <c r="CB5286" s="152"/>
    </row>
    <row r="5287" spans="1:80" s="87" customFormat="1" x14ac:dyDescent="0.2">
      <c r="A5287" s="257"/>
      <c r="B5287" s="667"/>
      <c r="C5287" s="667"/>
      <c r="D5287" s="292"/>
      <c r="E5287" s="279"/>
      <c r="F5287" s="279"/>
      <c r="G5287" s="227"/>
      <c r="H5287" s="257"/>
      <c r="I5287" s="257"/>
      <c r="J5287" s="257"/>
      <c r="K5287" s="257"/>
      <c r="L5287" s="667"/>
      <c r="M5287" s="670">
        <v>31907</v>
      </c>
      <c r="N5287" s="595">
        <v>1.6708800000000001</v>
      </c>
      <c r="O5287" s="614">
        <f t="shared" si="24"/>
        <v>3.464941722E-6</v>
      </c>
      <c r="P5287" s="150"/>
      <c r="Q5287" s="231"/>
      <c r="R5287" s="231"/>
      <c r="S5287" s="231"/>
      <c r="T5287" s="231"/>
      <c r="U5287" s="231">
        <v>3.464941722E-6</v>
      </c>
      <c r="V5287" s="231">
        <v>2.8034528478000002E-5</v>
      </c>
      <c r="W5287" s="231">
        <v>9.7963352321999995E-5</v>
      </c>
      <c r="X5287" s="231">
        <v>9.4498410599999993E-5</v>
      </c>
      <c r="Y5287" s="231" t="s">
        <v>29</v>
      </c>
      <c r="Z5287" s="150"/>
      <c r="AA5287" s="150"/>
      <c r="AB5287" s="152"/>
      <c r="AC5287" s="271"/>
      <c r="AD5287" s="257"/>
      <c r="AE5287" s="272"/>
      <c r="AF5287" s="224"/>
      <c r="AG5287" s="153"/>
      <c r="AH5287" s="346"/>
      <c r="AI5287" s="153"/>
      <c r="AJ5287" s="480"/>
      <c r="AK5287" s="153"/>
      <c r="AL5287" s="152"/>
      <c r="AM5287" s="152"/>
      <c r="AN5287" s="152"/>
      <c r="AO5287" s="152"/>
      <c r="AP5287" s="152"/>
      <c r="AQ5287" s="152"/>
      <c r="AR5287" s="152"/>
      <c r="AS5287" s="152"/>
      <c r="AT5287" s="152"/>
      <c r="AU5287" s="227"/>
      <c r="AV5287" s="227"/>
      <c r="AW5287" s="227"/>
      <c r="AX5287" s="227"/>
      <c r="AY5287" s="227"/>
      <c r="AZ5287" s="152"/>
      <c r="BA5287" s="152"/>
      <c r="BB5287" s="152"/>
      <c r="BC5287" s="152"/>
      <c r="BD5287" s="152"/>
      <c r="BE5287" s="152"/>
      <c r="BF5287" s="152"/>
      <c r="BG5287" s="152"/>
      <c r="BH5287" s="152"/>
      <c r="BI5287" s="153"/>
      <c r="BJ5287" s="153"/>
      <c r="BK5287" s="227"/>
      <c r="BL5287" s="153"/>
      <c r="BM5287" s="153"/>
      <c r="BN5287" s="153"/>
      <c r="BO5287" s="153"/>
      <c r="BP5287" s="153"/>
      <c r="BQ5287" s="153"/>
      <c r="BR5287" s="153"/>
      <c r="BS5287" s="153"/>
      <c r="BT5287" s="153"/>
      <c r="BU5287" s="153"/>
      <c r="BV5287" s="153"/>
      <c r="BW5287" s="153"/>
      <c r="BX5287" s="153"/>
      <c r="BY5287" s="153"/>
      <c r="BZ5287" s="153"/>
      <c r="CA5287" s="152"/>
      <c r="CB5287" s="152"/>
    </row>
    <row r="5288" spans="1:80" s="87" customFormat="1" x14ac:dyDescent="0.2">
      <c r="A5288" s="257"/>
      <c r="B5288" s="667"/>
      <c r="C5288" s="667"/>
      <c r="D5288" s="292"/>
      <c r="E5288" s="279"/>
      <c r="F5288" s="279"/>
      <c r="G5288" s="227"/>
      <c r="H5288" s="257"/>
      <c r="I5288" s="257"/>
      <c r="J5288" s="257"/>
      <c r="K5288" s="257"/>
      <c r="L5288" s="667"/>
      <c r="M5288" s="670">
        <v>31916</v>
      </c>
      <c r="N5288" s="595">
        <v>2.4072</v>
      </c>
      <c r="O5288" s="614">
        <f t="shared" si="24"/>
        <v>3.9689332452000003E-5</v>
      </c>
      <c r="P5288" s="150"/>
      <c r="Q5288" s="231"/>
      <c r="R5288" s="231"/>
      <c r="S5288" s="231"/>
      <c r="T5288" s="231">
        <v>2.519957616E-5</v>
      </c>
      <c r="U5288" s="231">
        <v>1.4489756292E-5</v>
      </c>
      <c r="V5288" s="231">
        <v>4.1474302430000005E-5</v>
      </c>
      <c r="W5288" s="231">
        <v>1.1980298499400001E-4</v>
      </c>
      <c r="X5288" s="231">
        <v>1.4731252230200002E-4</v>
      </c>
      <c r="Y5288" s="231" t="s">
        <v>29</v>
      </c>
      <c r="Z5288" s="150"/>
      <c r="AA5288" s="150"/>
      <c r="AB5288" s="152"/>
      <c r="AC5288" s="271"/>
      <c r="AD5288" s="257"/>
      <c r="AE5288" s="272"/>
      <c r="AF5288" s="224"/>
      <c r="AG5288" s="153"/>
      <c r="AH5288" s="346"/>
      <c r="AI5288" s="153"/>
      <c r="AJ5288" s="480"/>
      <c r="AK5288" s="153"/>
      <c r="AL5288" s="152"/>
      <c r="AM5288" s="152"/>
      <c r="AN5288" s="152"/>
      <c r="AO5288" s="152"/>
      <c r="AP5288" s="152"/>
      <c r="AQ5288" s="152"/>
      <c r="AR5288" s="152"/>
      <c r="AS5288" s="152"/>
      <c r="AT5288" s="152"/>
      <c r="AU5288" s="227"/>
      <c r="AV5288" s="227"/>
      <c r="AW5288" s="227"/>
      <c r="AX5288" s="227"/>
      <c r="AY5288" s="227"/>
      <c r="AZ5288" s="152"/>
      <c r="BA5288" s="152"/>
      <c r="BB5288" s="152"/>
      <c r="BC5288" s="152"/>
      <c r="BD5288" s="152"/>
      <c r="BE5288" s="152"/>
      <c r="BF5288" s="152"/>
      <c r="BG5288" s="152"/>
      <c r="BH5288" s="152"/>
      <c r="BI5288" s="153"/>
      <c r="BJ5288" s="153"/>
      <c r="BK5288" s="227"/>
      <c r="BL5288" s="153"/>
      <c r="BM5288" s="153"/>
      <c r="BN5288" s="153"/>
      <c r="BO5288" s="153"/>
      <c r="BP5288" s="153"/>
      <c r="BQ5288" s="153"/>
      <c r="BR5288" s="153"/>
      <c r="BS5288" s="153"/>
      <c r="BT5288" s="153"/>
      <c r="BU5288" s="153"/>
      <c r="BV5288" s="153"/>
      <c r="BW5288" s="153"/>
      <c r="BX5288" s="153"/>
      <c r="BY5288" s="153"/>
      <c r="BZ5288" s="153"/>
      <c r="CA5288" s="152"/>
      <c r="CB5288" s="152"/>
    </row>
    <row r="5289" spans="1:80" s="87" customFormat="1" x14ac:dyDescent="0.2">
      <c r="A5289" s="257"/>
      <c r="B5289" s="667"/>
      <c r="C5289" s="667"/>
      <c r="D5289" s="292"/>
      <c r="E5289" s="279"/>
      <c r="F5289" s="279"/>
      <c r="G5289" s="227"/>
      <c r="H5289" s="257"/>
      <c r="I5289" s="257"/>
      <c r="J5289" s="257"/>
      <c r="K5289" s="257"/>
      <c r="L5289" s="667"/>
      <c r="M5289" s="670">
        <v>31926</v>
      </c>
      <c r="N5289" s="595">
        <v>1.07616</v>
      </c>
      <c r="O5289" s="614">
        <f t="shared" si="24"/>
        <v>3.14994702E-6</v>
      </c>
      <c r="P5289" s="150"/>
      <c r="Q5289" s="231"/>
      <c r="R5289" s="231"/>
      <c r="S5289" s="231"/>
      <c r="T5289" s="231">
        <v>3.14994702E-6</v>
      </c>
      <c r="U5289" s="231">
        <v>0</v>
      </c>
      <c r="V5289" s="231">
        <v>1.57497351E-6</v>
      </c>
      <c r="W5289" s="231">
        <v>5.459908168E-6</v>
      </c>
      <c r="X5289" s="231">
        <v>1.3964765122E-5</v>
      </c>
      <c r="Y5289" s="231" t="s">
        <v>29</v>
      </c>
      <c r="Z5289" s="150"/>
      <c r="AA5289" s="150"/>
      <c r="AB5289" s="152"/>
      <c r="AC5289" s="271"/>
      <c r="AD5289" s="257"/>
      <c r="AE5289" s="272"/>
      <c r="AF5289" s="224"/>
      <c r="AG5289" s="153"/>
      <c r="AH5289" s="346"/>
      <c r="AI5289" s="153"/>
      <c r="AJ5289" s="480"/>
      <c r="AK5289" s="153"/>
      <c r="AL5289" s="152"/>
      <c r="AM5289" s="152"/>
      <c r="AN5289" s="152"/>
      <c r="AO5289" s="152"/>
      <c r="AP5289" s="152"/>
      <c r="AQ5289" s="152"/>
      <c r="AR5289" s="152"/>
      <c r="AS5289" s="152"/>
      <c r="AT5289" s="152"/>
      <c r="AU5289" s="227"/>
      <c r="AV5289" s="227"/>
      <c r="AW5289" s="227"/>
      <c r="AX5289" s="227"/>
      <c r="AY5289" s="227"/>
      <c r="AZ5289" s="152"/>
      <c r="BA5289" s="152"/>
      <c r="BB5289" s="152"/>
      <c r="BC5289" s="152"/>
      <c r="BD5289" s="152"/>
      <c r="BE5289" s="152"/>
      <c r="BF5289" s="152"/>
      <c r="BG5289" s="152"/>
      <c r="BH5289" s="152"/>
      <c r="BI5289" s="153"/>
      <c r="BJ5289" s="153"/>
      <c r="BK5289" s="227"/>
      <c r="BL5289" s="153"/>
      <c r="BM5289" s="153"/>
      <c r="BN5289" s="153"/>
      <c r="BO5289" s="153"/>
      <c r="BP5289" s="153"/>
      <c r="BQ5289" s="153"/>
      <c r="BR5289" s="153"/>
      <c r="BS5289" s="153"/>
      <c r="BT5289" s="153"/>
      <c r="BU5289" s="153"/>
      <c r="BV5289" s="153"/>
      <c r="BW5289" s="153"/>
      <c r="BX5289" s="153"/>
      <c r="BY5289" s="153"/>
      <c r="BZ5289" s="153"/>
      <c r="CA5289" s="152"/>
      <c r="CB5289" s="152"/>
    </row>
    <row r="5290" spans="1:80" s="87" customFormat="1" x14ac:dyDescent="0.2">
      <c r="A5290" s="257"/>
      <c r="B5290" s="667"/>
      <c r="C5290" s="667"/>
      <c r="D5290" s="292"/>
      <c r="E5290" s="279"/>
      <c r="F5290" s="279"/>
      <c r="G5290" s="227"/>
      <c r="H5290" s="257"/>
      <c r="I5290" s="257"/>
      <c r="J5290" s="257"/>
      <c r="K5290" s="257"/>
      <c r="L5290" s="667"/>
      <c r="M5290" s="670">
        <v>31938</v>
      </c>
      <c r="N5290" s="595">
        <v>0.79296</v>
      </c>
      <c r="O5290" s="614">
        <f t="shared" si="24"/>
        <v>0</v>
      </c>
      <c r="P5290" s="150"/>
      <c r="Q5290" s="231"/>
      <c r="R5290" s="231"/>
      <c r="S5290" s="231"/>
      <c r="T5290" s="231"/>
      <c r="U5290" s="231"/>
      <c r="V5290" s="231">
        <v>9.4498410600000011E-7</v>
      </c>
      <c r="W5290" s="231">
        <v>3.884934658E-6</v>
      </c>
      <c r="X5290" s="231">
        <v>3.5699399560000004E-6</v>
      </c>
      <c r="Y5290" s="231" t="s">
        <v>29</v>
      </c>
      <c r="Z5290" s="150"/>
      <c r="AA5290" s="150"/>
      <c r="AB5290" s="152"/>
      <c r="AC5290" s="271"/>
      <c r="AD5290" s="257"/>
      <c r="AE5290" s="272"/>
      <c r="AF5290" s="224"/>
      <c r="AG5290" s="153"/>
      <c r="AH5290" s="346"/>
      <c r="AI5290" s="153"/>
      <c r="AJ5290" s="480"/>
      <c r="AK5290" s="153"/>
      <c r="AL5290" s="152"/>
      <c r="AM5290" s="152"/>
      <c r="AN5290" s="152"/>
      <c r="AO5290" s="152"/>
      <c r="AP5290" s="152"/>
      <c r="AQ5290" s="152"/>
      <c r="AR5290" s="152"/>
      <c r="AS5290" s="152"/>
      <c r="AT5290" s="152"/>
      <c r="AU5290" s="227"/>
      <c r="AV5290" s="227"/>
      <c r="AW5290" s="227"/>
      <c r="AX5290" s="227"/>
      <c r="AY5290" s="227"/>
      <c r="AZ5290" s="152"/>
      <c r="BA5290" s="152"/>
      <c r="BB5290" s="152"/>
      <c r="BC5290" s="152"/>
      <c r="BD5290" s="152"/>
      <c r="BE5290" s="152"/>
      <c r="BF5290" s="152"/>
      <c r="BG5290" s="152"/>
      <c r="BH5290" s="152"/>
      <c r="BI5290" s="153"/>
      <c r="BJ5290" s="153"/>
      <c r="BK5290" s="227"/>
      <c r="BL5290" s="153"/>
      <c r="BM5290" s="153"/>
      <c r="BN5290" s="153"/>
      <c r="BO5290" s="153"/>
      <c r="BP5290" s="153"/>
      <c r="BQ5290" s="153"/>
      <c r="BR5290" s="153"/>
      <c r="BS5290" s="153"/>
      <c r="BT5290" s="153"/>
      <c r="BU5290" s="153"/>
      <c r="BV5290" s="153"/>
      <c r="BW5290" s="153"/>
      <c r="BX5290" s="153"/>
      <c r="BY5290" s="153"/>
      <c r="BZ5290" s="153"/>
      <c r="CA5290" s="152"/>
      <c r="CB5290" s="152"/>
    </row>
    <row r="5291" spans="1:80" s="87" customFormat="1" x14ac:dyDescent="0.2">
      <c r="A5291" s="257"/>
      <c r="B5291" s="667"/>
      <c r="C5291" s="667"/>
      <c r="D5291" s="292"/>
      <c r="E5291" s="279"/>
      <c r="F5291" s="279"/>
      <c r="G5291" s="227"/>
      <c r="H5291" s="257"/>
      <c r="I5291" s="257"/>
      <c r="J5291" s="257"/>
      <c r="K5291" s="257"/>
      <c r="L5291" s="667"/>
      <c r="M5291" s="670">
        <v>32276</v>
      </c>
      <c r="N5291" s="595">
        <v>0.70800000000000007</v>
      </c>
      <c r="O5291" s="614">
        <f t="shared" si="24"/>
        <v>1.0258327461799999E-4</v>
      </c>
      <c r="P5291" s="150"/>
      <c r="Q5291" s="231"/>
      <c r="R5291" s="231"/>
      <c r="S5291" s="231"/>
      <c r="T5291" s="231"/>
      <c r="U5291" s="231">
        <v>1.0258327461799999E-4</v>
      </c>
      <c r="V5291" s="231">
        <v>2.3656102120200002E-4</v>
      </c>
      <c r="W5291" s="231">
        <v>3.3998428169200001E-4</v>
      </c>
      <c r="X5291" s="231">
        <v>1.8941681413600002E-4</v>
      </c>
      <c r="Y5291" s="231" t="s">
        <v>29</v>
      </c>
      <c r="Z5291" s="150"/>
      <c r="AA5291" s="150"/>
      <c r="AB5291" s="152"/>
      <c r="AC5291" s="271"/>
      <c r="AD5291" s="257"/>
      <c r="AE5291" s="272"/>
      <c r="AF5291" s="224"/>
      <c r="AG5291" s="153"/>
      <c r="AH5291" s="346"/>
      <c r="AI5291" s="153"/>
      <c r="AJ5291" s="480"/>
      <c r="AK5291" s="153"/>
      <c r="AL5291" s="152"/>
      <c r="AM5291" s="152"/>
      <c r="AN5291" s="152"/>
      <c r="AO5291" s="152"/>
      <c r="AP5291" s="152"/>
      <c r="AQ5291" s="152"/>
      <c r="AR5291" s="152"/>
      <c r="AS5291" s="152"/>
      <c r="AT5291" s="152"/>
      <c r="AU5291" s="227"/>
      <c r="AV5291" s="227"/>
      <c r="AW5291" s="227"/>
      <c r="AX5291" s="227"/>
      <c r="AY5291" s="227"/>
      <c r="AZ5291" s="152"/>
      <c r="BA5291" s="152"/>
      <c r="BB5291" s="152"/>
      <c r="BC5291" s="152"/>
      <c r="BD5291" s="152"/>
      <c r="BE5291" s="152"/>
      <c r="BF5291" s="152"/>
      <c r="BG5291" s="152"/>
      <c r="BH5291" s="152"/>
      <c r="BI5291" s="153"/>
      <c r="BJ5291" s="153"/>
      <c r="BK5291" s="227"/>
      <c r="BL5291" s="153"/>
      <c r="BM5291" s="153"/>
      <c r="BN5291" s="153"/>
      <c r="BO5291" s="153"/>
      <c r="BP5291" s="153"/>
      <c r="BQ5291" s="153"/>
      <c r="BR5291" s="153"/>
      <c r="BS5291" s="153"/>
      <c r="BT5291" s="153"/>
      <c r="BU5291" s="153"/>
      <c r="BV5291" s="153"/>
      <c r="BW5291" s="153"/>
      <c r="BX5291" s="153"/>
      <c r="BY5291" s="153"/>
      <c r="BZ5291" s="153"/>
      <c r="CA5291" s="152"/>
      <c r="CB5291" s="152"/>
    </row>
    <row r="5292" spans="1:80" s="87" customFormat="1" x14ac:dyDescent="0.2">
      <c r="A5292" s="257"/>
      <c r="B5292" s="667"/>
      <c r="C5292" s="667"/>
      <c r="D5292" s="292"/>
      <c r="E5292" s="279"/>
      <c r="F5292" s="279"/>
      <c r="G5292" s="227"/>
      <c r="H5292" s="257"/>
      <c r="I5292" s="257"/>
      <c r="J5292" s="257"/>
      <c r="K5292" s="257"/>
      <c r="L5292" s="667"/>
      <c r="M5292" s="670">
        <v>32276</v>
      </c>
      <c r="N5292" s="595">
        <v>0.73632000000000009</v>
      </c>
      <c r="O5292" s="614">
        <f t="shared" si="24"/>
        <v>8.7358530688E-5</v>
      </c>
      <c r="P5292" s="150"/>
      <c r="Q5292" s="231"/>
      <c r="R5292" s="231"/>
      <c r="S5292" s="231"/>
      <c r="T5292" s="231"/>
      <c r="U5292" s="231">
        <v>8.7358530688E-5</v>
      </c>
      <c r="V5292" s="231">
        <v>1.3481773245600001E-4</v>
      </c>
      <c r="W5292" s="231">
        <v>8.7358530688E-5</v>
      </c>
      <c r="X5292" s="231">
        <v>7.139879912E-5</v>
      </c>
      <c r="Y5292" s="231" t="s">
        <v>29</v>
      </c>
      <c r="Z5292" s="150"/>
      <c r="AA5292" s="150"/>
      <c r="AB5292" s="152"/>
      <c r="AC5292" s="271"/>
      <c r="AD5292" s="257"/>
      <c r="AE5292" s="272"/>
      <c r="AF5292" s="224"/>
      <c r="AG5292" s="153"/>
      <c r="AH5292" s="346"/>
      <c r="AI5292" s="153"/>
      <c r="AJ5292" s="480"/>
      <c r="AK5292" s="153"/>
      <c r="AL5292" s="152"/>
      <c r="AM5292" s="152"/>
      <c r="AN5292" s="152"/>
      <c r="AO5292" s="152"/>
      <c r="AP5292" s="152"/>
      <c r="AQ5292" s="152"/>
      <c r="AR5292" s="152"/>
      <c r="AS5292" s="152"/>
      <c r="AT5292" s="152"/>
      <c r="AU5292" s="227"/>
      <c r="AV5292" s="227"/>
      <c r="AW5292" s="227"/>
      <c r="AX5292" s="227"/>
      <c r="AY5292" s="227"/>
      <c r="AZ5292" s="152"/>
      <c r="BA5292" s="152"/>
      <c r="BB5292" s="152"/>
      <c r="BC5292" s="152"/>
      <c r="BD5292" s="152"/>
      <c r="BE5292" s="152"/>
      <c r="BF5292" s="152"/>
      <c r="BG5292" s="152"/>
      <c r="BH5292" s="152"/>
      <c r="BI5292" s="153"/>
      <c r="BJ5292" s="153"/>
      <c r="BK5292" s="227"/>
      <c r="BL5292" s="153"/>
      <c r="BM5292" s="153"/>
      <c r="BN5292" s="153"/>
      <c r="BO5292" s="153"/>
      <c r="BP5292" s="153"/>
      <c r="BQ5292" s="153"/>
      <c r="BR5292" s="153"/>
      <c r="BS5292" s="153"/>
      <c r="BT5292" s="153"/>
      <c r="BU5292" s="153"/>
      <c r="BV5292" s="153"/>
      <c r="BW5292" s="153"/>
      <c r="BX5292" s="153"/>
      <c r="BY5292" s="153"/>
      <c r="BZ5292" s="153"/>
      <c r="CA5292" s="152"/>
      <c r="CB5292" s="152"/>
    </row>
    <row r="5293" spans="1:80" s="87" customFormat="1" x14ac:dyDescent="0.2">
      <c r="A5293" s="257"/>
      <c r="B5293" s="667"/>
      <c r="C5293" s="667"/>
      <c r="D5293" s="292"/>
      <c r="E5293" s="279"/>
      <c r="F5293" s="279"/>
      <c r="G5293" s="227"/>
      <c r="H5293" s="257"/>
      <c r="I5293" s="257"/>
      <c r="J5293" s="257"/>
      <c r="K5293" s="257"/>
      <c r="L5293" s="667"/>
      <c r="M5293" s="670">
        <v>32280</v>
      </c>
      <c r="N5293" s="595">
        <v>1.8691200000000001</v>
      </c>
      <c r="O5293" s="614">
        <f t="shared" si="24"/>
        <v>1.4143262119800001E-4</v>
      </c>
      <c r="P5293" s="150"/>
      <c r="Q5293" s="231"/>
      <c r="R5293" s="231"/>
      <c r="S5293" s="231"/>
      <c r="T5293" s="231"/>
      <c r="U5293" s="231">
        <v>1.4143262119800001E-4</v>
      </c>
      <c r="V5293" s="231">
        <v>3.4344922341400004E-4</v>
      </c>
      <c r="W5293" s="231">
        <v>5.8116522519000003E-4</v>
      </c>
      <c r="X5293" s="231">
        <v>4.2419286536000001E-4</v>
      </c>
      <c r="Y5293" s="231" t="s">
        <v>29</v>
      </c>
      <c r="Z5293" s="150"/>
      <c r="AA5293" s="150"/>
      <c r="AB5293" s="152"/>
      <c r="AC5293" s="271"/>
      <c r="AD5293" s="257"/>
      <c r="AE5293" s="272"/>
      <c r="AF5293" s="224"/>
      <c r="AG5293" s="153"/>
      <c r="AH5293" s="346"/>
      <c r="AI5293" s="153"/>
      <c r="AJ5293" s="480"/>
      <c r="AK5293" s="153"/>
      <c r="AL5293" s="152"/>
      <c r="AM5293" s="152"/>
      <c r="AN5293" s="152"/>
      <c r="AO5293" s="152"/>
      <c r="AP5293" s="152"/>
      <c r="AQ5293" s="152"/>
      <c r="AR5293" s="152"/>
      <c r="AS5293" s="152"/>
      <c r="AT5293" s="152"/>
      <c r="AU5293" s="227"/>
      <c r="AV5293" s="227"/>
      <c r="AW5293" s="227"/>
      <c r="AX5293" s="227"/>
      <c r="AY5293" s="227"/>
      <c r="AZ5293" s="152"/>
      <c r="BA5293" s="152"/>
      <c r="BB5293" s="152"/>
      <c r="BC5293" s="152"/>
      <c r="BD5293" s="152"/>
      <c r="BE5293" s="152"/>
      <c r="BF5293" s="152"/>
      <c r="BG5293" s="152"/>
      <c r="BH5293" s="152"/>
      <c r="BI5293" s="153"/>
      <c r="BJ5293" s="153"/>
      <c r="BK5293" s="227"/>
      <c r="BL5293" s="153"/>
      <c r="BM5293" s="153"/>
      <c r="BN5293" s="153"/>
      <c r="BO5293" s="153"/>
      <c r="BP5293" s="153"/>
      <c r="BQ5293" s="153"/>
      <c r="BR5293" s="153"/>
      <c r="BS5293" s="153"/>
      <c r="BT5293" s="153"/>
      <c r="BU5293" s="153"/>
      <c r="BV5293" s="153"/>
      <c r="BW5293" s="153"/>
      <c r="BX5293" s="153"/>
      <c r="BY5293" s="153"/>
      <c r="BZ5293" s="153"/>
      <c r="CA5293" s="152"/>
      <c r="CB5293" s="152"/>
    </row>
    <row r="5294" spans="1:80" s="87" customFormat="1" x14ac:dyDescent="0.2">
      <c r="A5294" s="257"/>
      <c r="B5294" s="667"/>
      <c r="C5294" s="667"/>
      <c r="D5294" s="292"/>
      <c r="E5294" s="279"/>
      <c r="F5294" s="279"/>
      <c r="G5294" s="227"/>
      <c r="H5294" s="257"/>
      <c r="I5294" s="257"/>
      <c r="J5294" s="257"/>
      <c r="K5294" s="257"/>
      <c r="L5294" s="667"/>
      <c r="M5294" s="670">
        <v>32288</v>
      </c>
      <c r="N5294" s="595">
        <v>3.0585599999999999</v>
      </c>
      <c r="O5294" s="614">
        <f t="shared" si="24"/>
        <v>4.5527234262400003E-4</v>
      </c>
      <c r="P5294" s="150"/>
      <c r="Q5294" s="231"/>
      <c r="R5294" s="231"/>
      <c r="S5294" s="231"/>
      <c r="T5294" s="231"/>
      <c r="U5294" s="231">
        <v>4.5527234262400003E-4</v>
      </c>
      <c r="V5294" s="231">
        <v>6.3670929097599997E-4</v>
      </c>
      <c r="W5294" s="231">
        <v>1.050822325872E-3</v>
      </c>
      <c r="X5294" s="231">
        <v>9.7207365037200002E-4</v>
      </c>
      <c r="Y5294" s="231" t="s">
        <v>29</v>
      </c>
      <c r="Z5294" s="150"/>
      <c r="AA5294" s="150"/>
      <c r="AB5294" s="152"/>
      <c r="AC5294" s="271"/>
      <c r="AD5294" s="257"/>
      <c r="AE5294" s="272"/>
      <c r="AF5294" s="224"/>
      <c r="AG5294" s="153"/>
      <c r="AH5294" s="346"/>
      <c r="AI5294" s="153"/>
      <c r="AJ5294" s="480"/>
      <c r="AK5294" s="153"/>
      <c r="AL5294" s="152"/>
      <c r="AM5294" s="152"/>
      <c r="AN5294" s="152"/>
      <c r="AO5294" s="152"/>
      <c r="AP5294" s="152"/>
      <c r="AQ5294" s="152"/>
      <c r="AR5294" s="152"/>
      <c r="AS5294" s="152"/>
      <c r="AT5294" s="152"/>
      <c r="AU5294" s="227"/>
      <c r="AV5294" s="227"/>
      <c r="AW5294" s="227"/>
      <c r="AX5294" s="227"/>
      <c r="AY5294" s="227"/>
      <c r="AZ5294" s="152"/>
      <c r="BA5294" s="152"/>
      <c r="BB5294" s="152"/>
      <c r="BC5294" s="152"/>
      <c r="BD5294" s="152"/>
      <c r="BE5294" s="152"/>
      <c r="BF5294" s="152"/>
      <c r="BG5294" s="152"/>
      <c r="BH5294" s="152"/>
      <c r="BI5294" s="153"/>
      <c r="BJ5294" s="153"/>
      <c r="BK5294" s="227"/>
      <c r="BL5294" s="153"/>
      <c r="BM5294" s="153"/>
      <c r="BN5294" s="153"/>
      <c r="BO5294" s="153"/>
      <c r="BP5294" s="153"/>
      <c r="BQ5294" s="153"/>
      <c r="BR5294" s="153"/>
      <c r="BS5294" s="153"/>
      <c r="BT5294" s="153"/>
      <c r="BU5294" s="153"/>
      <c r="BV5294" s="153"/>
      <c r="BW5294" s="153"/>
      <c r="BX5294" s="153"/>
      <c r="BY5294" s="153"/>
      <c r="BZ5294" s="153"/>
      <c r="CA5294" s="152"/>
      <c r="CB5294" s="152"/>
    </row>
    <row r="5295" spans="1:80" s="87" customFormat="1" x14ac:dyDescent="0.2">
      <c r="A5295" s="257"/>
      <c r="B5295" s="667"/>
      <c r="C5295" s="667"/>
      <c r="D5295" s="292"/>
      <c r="E5295" s="279"/>
      <c r="F5295" s="279"/>
      <c r="G5295" s="227"/>
      <c r="H5295" s="257"/>
      <c r="I5295" s="257"/>
      <c r="J5295" s="257"/>
      <c r="K5295" s="257"/>
      <c r="L5295" s="667"/>
      <c r="M5295" s="670">
        <v>32292</v>
      </c>
      <c r="N5295" s="595">
        <v>4.7294400000000003</v>
      </c>
      <c r="O5295" s="614">
        <f t="shared" si="24"/>
        <v>4.8299187640000003E-3</v>
      </c>
      <c r="P5295" s="150"/>
      <c r="Q5295" s="231"/>
      <c r="R5295" s="231">
        <v>1.8731684945600001E-3</v>
      </c>
      <c r="S5295" s="231">
        <v>9.4813405302000007E-4</v>
      </c>
      <c r="T5295" s="231">
        <v>6.0898975720000007E-4</v>
      </c>
      <c r="U5295" s="231">
        <v>1.3996264592200001E-3</v>
      </c>
      <c r="V5295" s="231">
        <v>3.7022377308400002E-3</v>
      </c>
      <c r="W5295" s="231">
        <v>7.5624978038499992E-3</v>
      </c>
      <c r="X5295" s="231">
        <v>5.4404834947099998E-3</v>
      </c>
      <c r="Y5295" s="231" t="s">
        <v>29</v>
      </c>
      <c r="Z5295" s="150"/>
      <c r="AA5295" s="150"/>
      <c r="AB5295" s="152"/>
      <c r="AC5295" s="271"/>
      <c r="AD5295" s="257"/>
      <c r="AE5295" s="272"/>
      <c r="AF5295" s="224"/>
      <c r="AG5295" s="153"/>
      <c r="AH5295" s="346"/>
      <c r="AI5295" s="153"/>
      <c r="AJ5295" s="480"/>
      <c r="AK5295" s="153"/>
      <c r="AL5295" s="152"/>
      <c r="AM5295" s="152"/>
      <c r="AN5295" s="152"/>
      <c r="AO5295" s="152"/>
      <c r="AP5295" s="152"/>
      <c r="AQ5295" s="152"/>
      <c r="AR5295" s="152"/>
      <c r="AS5295" s="152"/>
      <c r="AT5295" s="152"/>
      <c r="AU5295" s="227"/>
      <c r="AV5295" s="227"/>
      <c r="AW5295" s="227"/>
      <c r="AX5295" s="227"/>
      <c r="AY5295" s="227"/>
      <c r="AZ5295" s="152"/>
      <c r="BA5295" s="152"/>
      <c r="BB5295" s="152"/>
      <c r="BC5295" s="152"/>
      <c r="BD5295" s="152"/>
      <c r="BE5295" s="152"/>
      <c r="BF5295" s="152"/>
      <c r="BG5295" s="152"/>
      <c r="BH5295" s="152"/>
      <c r="BI5295" s="153"/>
      <c r="BJ5295" s="153"/>
      <c r="BK5295" s="227"/>
      <c r="BL5295" s="153"/>
      <c r="BM5295" s="153"/>
      <c r="BN5295" s="153"/>
      <c r="BO5295" s="153"/>
      <c r="BP5295" s="153"/>
      <c r="BQ5295" s="153"/>
      <c r="BR5295" s="153"/>
      <c r="BS5295" s="153"/>
      <c r="BT5295" s="153"/>
      <c r="BU5295" s="153"/>
      <c r="BV5295" s="153"/>
      <c r="BW5295" s="153"/>
      <c r="BX5295" s="153"/>
      <c r="BY5295" s="153"/>
      <c r="BZ5295" s="153"/>
      <c r="CA5295" s="152"/>
      <c r="CB5295" s="152"/>
    </row>
    <row r="5296" spans="1:80" s="87" customFormat="1" x14ac:dyDescent="0.2">
      <c r="A5296" s="257"/>
      <c r="B5296" s="667"/>
      <c r="C5296" s="667"/>
      <c r="D5296" s="292"/>
      <c r="E5296" s="279"/>
      <c r="F5296" s="279"/>
      <c r="G5296" s="227"/>
      <c r="H5296" s="257"/>
      <c r="I5296" s="257"/>
      <c r="J5296" s="257"/>
      <c r="K5296" s="257"/>
      <c r="L5296" s="667"/>
      <c r="M5296" s="670">
        <v>32316</v>
      </c>
      <c r="N5296" s="595">
        <v>0.90624000000000005</v>
      </c>
      <c r="O5296" s="614">
        <f t="shared" si="24"/>
        <v>1.4489756292E-5</v>
      </c>
      <c r="P5296" s="150"/>
      <c r="Q5296" s="231"/>
      <c r="R5296" s="231"/>
      <c r="S5296" s="231"/>
      <c r="T5296" s="231"/>
      <c r="U5296" s="231">
        <v>1.4489756292E-5</v>
      </c>
      <c r="V5296" s="231">
        <v>2.1734634437999998E-5</v>
      </c>
      <c r="W5296" s="231">
        <v>4.3259272408000007E-5</v>
      </c>
      <c r="X5296" s="231">
        <v>3.9300838986199999E-5</v>
      </c>
      <c r="Y5296" s="231" t="s">
        <v>29</v>
      </c>
      <c r="Z5296" s="150"/>
      <c r="AA5296" s="150"/>
      <c r="AB5296" s="152"/>
      <c r="AC5296" s="271"/>
      <c r="AD5296" s="257"/>
      <c r="AE5296" s="272"/>
      <c r="AF5296" s="224"/>
      <c r="AG5296" s="153"/>
      <c r="AH5296" s="346"/>
      <c r="AI5296" s="153"/>
      <c r="AJ5296" s="480"/>
      <c r="AK5296" s="153"/>
      <c r="AL5296" s="152"/>
      <c r="AM5296" s="152"/>
      <c r="AN5296" s="152"/>
      <c r="AO5296" s="152"/>
      <c r="AP5296" s="152"/>
      <c r="AQ5296" s="152"/>
      <c r="AR5296" s="152"/>
      <c r="AS5296" s="152"/>
      <c r="AT5296" s="152"/>
      <c r="AU5296" s="227"/>
      <c r="AV5296" s="227"/>
      <c r="AW5296" s="227"/>
      <c r="AX5296" s="227"/>
      <c r="AY5296" s="227"/>
      <c r="AZ5296" s="152"/>
      <c r="BA5296" s="152"/>
      <c r="BB5296" s="152"/>
      <c r="BC5296" s="152"/>
      <c r="BD5296" s="152"/>
      <c r="BE5296" s="152"/>
      <c r="BF5296" s="152"/>
      <c r="BG5296" s="152"/>
      <c r="BH5296" s="152"/>
      <c r="BI5296" s="153"/>
      <c r="BJ5296" s="153"/>
      <c r="BK5296" s="227"/>
      <c r="BL5296" s="153"/>
      <c r="BM5296" s="153"/>
      <c r="BN5296" s="153"/>
      <c r="BO5296" s="153"/>
      <c r="BP5296" s="153"/>
      <c r="BQ5296" s="153"/>
      <c r="BR5296" s="153"/>
      <c r="BS5296" s="153"/>
      <c r="BT5296" s="153"/>
      <c r="BU5296" s="153"/>
      <c r="BV5296" s="153"/>
      <c r="BW5296" s="153"/>
      <c r="BX5296" s="153"/>
      <c r="BY5296" s="153"/>
      <c r="BZ5296" s="153"/>
      <c r="CA5296" s="152"/>
      <c r="CB5296" s="152"/>
    </row>
    <row r="5297" spans="1:80" ht="15" x14ac:dyDescent="0.25">
      <c r="A5297" s="9" t="s">
        <v>213</v>
      </c>
      <c r="B5297" s="639" t="s">
        <v>101</v>
      </c>
      <c r="C5297" s="639"/>
      <c r="D5297" s="4">
        <f>VLOOKUP(E5297,'Quality Code'!D4:E24,2,TRUE)*VLOOKUP(MROUND(F5297,10),'Quality Code'!D28:E69,2,TRUE)*VLOOKUP(COUNTA(CB5297:CB5307),'Quality Code'!D73:E93,2,TRUE)</f>
        <v>1.7499929999999997</v>
      </c>
      <c r="E5297" s="14">
        <v>0.7</v>
      </c>
      <c r="F5297" s="18">
        <v>55</v>
      </c>
      <c r="G5297" s="25">
        <v>27.2</v>
      </c>
      <c r="H5297" s="2" t="s">
        <v>292</v>
      </c>
      <c r="I5297" s="2">
        <v>4</v>
      </c>
      <c r="J5297" s="2">
        <v>240</v>
      </c>
      <c r="K5297" s="2">
        <v>3</v>
      </c>
      <c r="L5297" s="639">
        <v>48</v>
      </c>
      <c r="M5297" s="640" t="s">
        <v>381</v>
      </c>
      <c r="N5297" s="578" t="s">
        <v>285</v>
      </c>
      <c r="O5297" s="578"/>
      <c r="P5297" s="10"/>
      <c r="Q5297" s="10"/>
      <c r="R5297" s="10"/>
      <c r="S5297" s="10"/>
      <c r="T5297" s="10" t="s">
        <v>939</v>
      </c>
      <c r="U5297" s="141"/>
      <c r="V5297" s="141"/>
      <c r="W5297" s="141"/>
      <c r="X5297" s="141"/>
      <c r="Y5297" s="141"/>
      <c r="Z5297" s="10"/>
      <c r="AA5297" s="10"/>
      <c r="AB5297" s="11"/>
      <c r="AC5297" s="3"/>
      <c r="AD5297" s="26"/>
      <c r="AE5297" s="26"/>
      <c r="AF5297" s="26"/>
      <c r="AG5297" s="10"/>
      <c r="AH5297" s="345"/>
      <c r="AI5297" s="18">
        <v>30</v>
      </c>
      <c r="AJ5297" s="17"/>
      <c r="AK5297" s="144"/>
      <c r="AL5297" s="17"/>
      <c r="AM5297" s="17"/>
      <c r="AN5297" s="17"/>
      <c r="AO5297" s="17"/>
      <c r="AP5297" s="17"/>
      <c r="AQ5297" s="17"/>
      <c r="AR5297" s="17"/>
      <c r="AS5297" s="17"/>
      <c r="AT5297" s="17"/>
      <c r="AU5297" s="18">
        <v>58</v>
      </c>
      <c r="AV5297" s="17"/>
      <c r="AW5297" s="17"/>
      <c r="AX5297" s="17"/>
      <c r="AY5297" s="146"/>
      <c r="AZ5297" s="151"/>
      <c r="BA5297" s="845"/>
      <c r="BB5297" s="846"/>
      <c r="BC5297" s="846"/>
      <c r="BD5297" s="846"/>
      <c r="BE5297" s="847"/>
      <c r="BF5297" s="505"/>
      <c r="BG5297" s="505"/>
      <c r="BH5297" s="505"/>
      <c r="BI5297" s="4">
        <f>AU5297/AI5297</f>
        <v>1.9333333333333333</v>
      </c>
      <c r="BJ5297" s="2"/>
      <c r="BK5297" s="2"/>
      <c r="BL5297" s="12"/>
      <c r="BM5297" s="12">
        <v>2</v>
      </c>
      <c r="BN5297" s="12">
        <f>0.3048*15.9120735</f>
        <v>4.8500000027999999</v>
      </c>
      <c r="BO5297" s="12">
        <f>0.3048*1.34514436</f>
        <v>0.41000000092799999</v>
      </c>
      <c r="BP5297" s="12">
        <f>BN5297*BO5297</f>
        <v>1.9885000056487998</v>
      </c>
      <c r="BQ5297" s="12">
        <f>BN5297/BO5297</f>
        <v>11.829268272737655</v>
      </c>
      <c r="BR5297" s="12"/>
      <c r="BS5297" s="12"/>
      <c r="BT5297" s="12"/>
      <c r="BU5297" s="2"/>
      <c r="BV5297" s="2"/>
      <c r="BW5297" s="2"/>
      <c r="BX5297" s="2"/>
      <c r="BY5297" s="2"/>
      <c r="BZ5297" s="2"/>
      <c r="CA5297" s="9"/>
      <c r="CB5297" s="9" t="s">
        <v>289</v>
      </c>
    </row>
    <row r="5298" spans="1:80" ht="15" x14ac:dyDescent="0.2">
      <c r="A5298" s="257"/>
      <c r="B5298" s="667"/>
      <c r="C5298" s="667"/>
      <c r="D5298" s="292"/>
      <c r="E5298" s="257"/>
      <c r="F5298" s="257"/>
      <c r="G5298" s="227"/>
      <c r="H5298" s="227"/>
      <c r="I5298" s="227"/>
      <c r="J5298" s="227"/>
      <c r="K5298" s="227"/>
      <c r="L5298" s="660"/>
      <c r="M5298" s="671">
        <v>30080</v>
      </c>
      <c r="N5298" s="581">
        <v>2.1800000000000002</v>
      </c>
      <c r="O5298" s="619">
        <f>24.5/(1000)*AD5298</f>
        <v>6.3063063063063071E-2</v>
      </c>
      <c r="P5298" s="280">
        <v>0</v>
      </c>
      <c r="Q5298" s="280">
        <v>0.26200000000000001</v>
      </c>
      <c r="R5298" s="280">
        <v>0.36699999999999999</v>
      </c>
      <c r="S5298" s="280">
        <v>0.255</v>
      </c>
      <c r="T5298" s="771">
        <v>0.11600000000000001</v>
      </c>
      <c r="U5298" s="694"/>
      <c r="V5298" s="773"/>
      <c r="W5298" s="773"/>
      <c r="X5298" s="773"/>
      <c r="Y5298" s="774"/>
      <c r="Z5298" s="772"/>
      <c r="AA5298" s="281"/>
      <c r="AB5298" s="281"/>
      <c r="AC5298" s="174">
        <v>1.0200000000000001E-2</v>
      </c>
      <c r="AD5298" s="282">
        <f t="shared" ref="AD5298:AD5313" si="25">AF5298/AE5298</f>
        <v>2.574002574002574</v>
      </c>
      <c r="AE5298" s="282">
        <v>0.51800000000000002</v>
      </c>
      <c r="AF5298" s="173">
        <f t="shared" ref="AF5298:AF5329" si="26">N5298/AG5298</f>
        <v>1.3333333333333335</v>
      </c>
      <c r="AG5298" s="177">
        <v>1.635</v>
      </c>
      <c r="AH5298" s="349"/>
      <c r="AI5298" s="283"/>
      <c r="AJ5298" s="240"/>
      <c r="AK5298" s="240"/>
      <c r="AL5298" s="284"/>
      <c r="AM5298" s="167"/>
      <c r="AN5298" s="167"/>
      <c r="AO5298" s="167"/>
      <c r="AP5298" s="167"/>
      <c r="AQ5298" s="167"/>
      <c r="AR5298" s="551"/>
      <c r="AS5298" s="551"/>
      <c r="AT5298" s="551"/>
      <c r="AU5298" s="283"/>
      <c r="AV5298" s="283"/>
      <c r="AW5298" s="283"/>
      <c r="AX5298" s="283"/>
      <c r="AY5298" s="283"/>
      <c r="AZ5298" s="167"/>
      <c r="BA5298" s="167"/>
      <c r="BB5298" s="285"/>
      <c r="BC5298" s="154"/>
      <c r="BD5298" s="154"/>
      <c r="BE5298" s="150"/>
      <c r="BF5298" s="227"/>
      <c r="BG5298" s="227"/>
      <c r="BH5298" s="227"/>
      <c r="BI5298" s="224"/>
      <c r="BJ5298" s="227"/>
      <c r="BK5298" s="227"/>
      <c r="BL5298" s="224"/>
      <c r="BM5298" s="224"/>
      <c r="BN5298" s="224"/>
      <c r="BO5298" s="227"/>
      <c r="BP5298" s="227"/>
      <c r="BQ5298" s="262"/>
      <c r="BR5298" s="262"/>
      <c r="BS5298" s="262"/>
      <c r="BT5298" s="227"/>
      <c r="BU5298" s="227"/>
      <c r="BV5298" s="227"/>
      <c r="BW5298" s="286"/>
      <c r="BX5298" s="286"/>
      <c r="BY5298" s="227"/>
      <c r="BZ5298" s="227"/>
      <c r="CA5298" s="227"/>
      <c r="CB5298" s="485" t="s">
        <v>640</v>
      </c>
    </row>
    <row r="5299" spans="1:80" x14ac:dyDescent="0.2">
      <c r="A5299" s="257"/>
      <c r="B5299" s="667"/>
      <c r="C5299" s="667"/>
      <c r="D5299" s="292"/>
      <c r="E5299" s="257"/>
      <c r="F5299" s="257"/>
      <c r="G5299" s="227"/>
      <c r="H5299" s="227"/>
      <c r="I5299" s="227"/>
      <c r="J5299" s="227"/>
      <c r="K5299" s="227"/>
      <c r="L5299" s="660"/>
      <c r="M5299" s="671">
        <v>30081</v>
      </c>
      <c r="N5299" s="586">
        <v>2.04</v>
      </c>
      <c r="O5299" s="604">
        <f>5.529/(1000)*AD5299</f>
        <v>1.4248919881755476E-2</v>
      </c>
      <c r="P5299" s="280">
        <v>0</v>
      </c>
      <c r="Q5299" s="280">
        <v>0.17399999999999999</v>
      </c>
      <c r="R5299" s="280">
        <v>0.36799999999999999</v>
      </c>
      <c r="S5299" s="280">
        <v>0.30599999999999999</v>
      </c>
      <c r="T5299" s="771">
        <v>0.152</v>
      </c>
      <c r="U5299" s="775"/>
      <c r="V5299" s="699"/>
      <c r="W5299" s="699"/>
      <c r="X5299" s="699"/>
      <c r="Y5299" s="776"/>
      <c r="Z5299" s="772"/>
      <c r="AA5299" s="281"/>
      <c r="AB5299" s="281"/>
      <c r="AC5299" s="174">
        <v>1.04E-2</v>
      </c>
      <c r="AD5299" s="282">
        <f t="shared" si="25"/>
        <v>2.577124232547563</v>
      </c>
      <c r="AE5299" s="282">
        <v>0.501</v>
      </c>
      <c r="AF5299" s="173">
        <f t="shared" si="26"/>
        <v>1.2911392405063291</v>
      </c>
      <c r="AG5299" s="287">
        <v>1.58</v>
      </c>
      <c r="AH5299" s="350"/>
      <c r="AI5299" s="283"/>
      <c r="AJ5299" s="240"/>
      <c r="AK5299" s="240"/>
      <c r="AL5299" s="284"/>
      <c r="AM5299" s="167"/>
      <c r="AN5299" s="167"/>
      <c r="AO5299" s="167"/>
      <c r="AP5299" s="167"/>
      <c r="AQ5299" s="167"/>
      <c r="AR5299" s="551"/>
      <c r="AS5299" s="551"/>
      <c r="AT5299" s="551"/>
      <c r="AU5299" s="283"/>
      <c r="AV5299" s="283"/>
      <c r="AW5299" s="283"/>
      <c r="AX5299" s="283"/>
      <c r="AY5299" s="283"/>
      <c r="AZ5299" s="167"/>
      <c r="BA5299" s="167"/>
      <c r="BB5299" s="285"/>
      <c r="BC5299" s="154"/>
      <c r="BD5299" s="154"/>
      <c r="BE5299" s="150"/>
      <c r="BF5299" s="227"/>
      <c r="BG5299" s="227"/>
      <c r="BH5299" s="227"/>
      <c r="BI5299" s="224"/>
      <c r="BJ5299" s="227"/>
      <c r="BK5299" s="227"/>
      <c r="BL5299" s="224"/>
      <c r="BM5299" s="224"/>
      <c r="BN5299" s="224"/>
      <c r="BO5299" s="262"/>
      <c r="BP5299" s="262"/>
      <c r="BQ5299" s="262"/>
      <c r="BR5299" s="262"/>
      <c r="BS5299" s="262"/>
      <c r="BT5299" s="227"/>
      <c r="BU5299" s="227"/>
      <c r="BV5299" s="227"/>
      <c r="BW5299" s="286"/>
      <c r="BX5299" s="286"/>
      <c r="BY5299" s="227"/>
      <c r="BZ5299" s="227"/>
      <c r="CA5299" s="227"/>
      <c r="CB5299" s="190"/>
    </row>
    <row r="5300" spans="1:80" x14ac:dyDescent="0.2">
      <c r="A5300" s="257"/>
      <c r="B5300" s="667"/>
      <c r="C5300" s="667"/>
      <c r="D5300" s="292"/>
      <c r="E5300" s="257"/>
      <c r="F5300" s="257"/>
      <c r="G5300" s="227"/>
      <c r="H5300" s="227"/>
      <c r="I5300" s="227"/>
      <c r="J5300" s="227"/>
      <c r="K5300" s="227"/>
      <c r="L5300" s="660"/>
      <c r="M5300" s="642" t="s">
        <v>892</v>
      </c>
      <c r="N5300" s="581">
        <v>2.04</v>
      </c>
      <c r="O5300" s="604">
        <f>7.586/(1000)*AD5300</f>
        <v>1.9550064428105814E-2</v>
      </c>
      <c r="P5300" s="280">
        <v>0</v>
      </c>
      <c r="Q5300" s="280">
        <v>0.124</v>
      </c>
      <c r="R5300" s="280">
        <v>0.45600000000000002</v>
      </c>
      <c r="S5300" s="280">
        <v>0.255</v>
      </c>
      <c r="T5300" s="771">
        <v>0.16500000000000001</v>
      </c>
      <c r="U5300" s="775"/>
      <c r="V5300" s="699"/>
      <c r="W5300" s="699"/>
      <c r="X5300" s="699"/>
      <c r="Y5300" s="776"/>
      <c r="Z5300" s="772"/>
      <c r="AA5300" s="281"/>
      <c r="AB5300" s="281"/>
      <c r="AC5300" s="174">
        <v>1.04E-2</v>
      </c>
      <c r="AD5300" s="282">
        <f t="shared" si="25"/>
        <v>2.577124232547563</v>
      </c>
      <c r="AE5300" s="282">
        <v>0.501</v>
      </c>
      <c r="AF5300" s="173">
        <f t="shared" si="26"/>
        <v>1.2911392405063291</v>
      </c>
      <c r="AG5300" s="287">
        <v>1.58</v>
      </c>
      <c r="AH5300" s="350"/>
      <c r="AI5300" s="283"/>
      <c r="AJ5300" s="240"/>
      <c r="AK5300" s="240"/>
      <c r="AL5300" s="284"/>
      <c r="AM5300" s="167"/>
      <c r="AN5300" s="167"/>
      <c r="AO5300" s="167"/>
      <c r="AP5300" s="167"/>
      <c r="AQ5300" s="167"/>
      <c r="AR5300" s="551"/>
      <c r="AS5300" s="551"/>
      <c r="AT5300" s="551"/>
      <c r="AU5300" s="283"/>
      <c r="AV5300" s="283"/>
      <c r="AW5300" s="283"/>
      <c r="AX5300" s="283"/>
      <c r="AY5300" s="283"/>
      <c r="AZ5300" s="167"/>
      <c r="BA5300" s="167"/>
      <c r="BB5300" s="285"/>
      <c r="BC5300" s="154"/>
      <c r="BD5300" s="154"/>
      <c r="BE5300" s="150"/>
      <c r="BF5300" s="227"/>
      <c r="BG5300" s="227"/>
      <c r="BH5300" s="227"/>
      <c r="BI5300" s="224"/>
      <c r="BJ5300" s="227"/>
      <c r="BK5300" s="227"/>
      <c r="BL5300" s="224"/>
      <c r="BM5300" s="224"/>
      <c r="BN5300" s="224"/>
      <c r="BO5300" s="262"/>
      <c r="BP5300" s="262"/>
      <c r="BQ5300" s="262"/>
      <c r="BR5300" s="262"/>
      <c r="BS5300" s="262"/>
      <c r="BT5300" s="227"/>
      <c r="BU5300" s="227"/>
      <c r="BV5300" s="227"/>
      <c r="BW5300" s="286"/>
      <c r="BX5300" s="286"/>
      <c r="BY5300" s="227"/>
      <c r="BZ5300" s="227"/>
      <c r="CA5300" s="227"/>
      <c r="CB5300" s="190"/>
    </row>
    <row r="5301" spans="1:80" x14ac:dyDescent="0.2">
      <c r="A5301" s="257"/>
      <c r="B5301" s="667"/>
      <c r="C5301" s="667"/>
      <c r="D5301" s="292"/>
      <c r="E5301" s="257"/>
      <c r="F5301" s="257"/>
      <c r="G5301" s="227"/>
      <c r="H5301" s="227"/>
      <c r="I5301" s="227"/>
      <c r="J5301" s="227"/>
      <c r="K5301" s="227"/>
      <c r="L5301" s="660"/>
      <c r="M5301" s="671">
        <v>30083</v>
      </c>
      <c r="N5301" s="582">
        <v>2.2000000000000002</v>
      </c>
      <c r="O5301" s="604">
        <f>9.266/(1000)*AD5301</f>
        <v>2.3814402519617337E-2</v>
      </c>
      <c r="P5301" s="280">
        <v>0</v>
      </c>
      <c r="Q5301" s="280">
        <v>0.23699999999999999</v>
      </c>
      <c r="R5301" s="280">
        <v>0.45200000000000001</v>
      </c>
      <c r="S5301" s="280">
        <v>0.191</v>
      </c>
      <c r="T5301" s="771">
        <v>0.12</v>
      </c>
      <c r="U5301" s="775"/>
      <c r="V5301" s="699"/>
      <c r="W5301" s="699"/>
      <c r="X5301" s="699"/>
      <c r="Y5301" s="776"/>
      <c r="Z5301" s="772"/>
      <c r="AA5301" s="281"/>
      <c r="AB5301" s="281"/>
      <c r="AC5301" s="288">
        <v>1.01E-2</v>
      </c>
      <c r="AD5301" s="282">
        <f t="shared" si="25"/>
        <v>2.5700844506386074</v>
      </c>
      <c r="AE5301" s="282">
        <v>0.52100000000000002</v>
      </c>
      <c r="AF5301" s="173">
        <f t="shared" si="26"/>
        <v>1.3390139987827145</v>
      </c>
      <c r="AG5301" s="177">
        <v>1.643</v>
      </c>
      <c r="AH5301" s="349"/>
      <c r="AI5301" s="283"/>
      <c r="AJ5301" s="240"/>
      <c r="AK5301" s="240"/>
      <c r="AL5301" s="284"/>
      <c r="AM5301" s="167"/>
      <c r="AN5301" s="167"/>
      <c r="AO5301" s="167"/>
      <c r="AP5301" s="167"/>
      <c r="AQ5301" s="167"/>
      <c r="AR5301" s="551"/>
      <c r="AS5301" s="551"/>
      <c r="AT5301" s="551"/>
      <c r="AU5301" s="283"/>
      <c r="AV5301" s="283"/>
      <c r="AW5301" s="283"/>
      <c r="AX5301" s="283"/>
      <c r="AY5301" s="283"/>
      <c r="AZ5301" s="167"/>
      <c r="BA5301" s="167"/>
      <c r="BB5301" s="285"/>
      <c r="BC5301" s="154"/>
      <c r="BD5301" s="154"/>
      <c r="BE5301" s="150"/>
      <c r="BF5301" s="227"/>
      <c r="BG5301" s="227"/>
      <c r="BH5301" s="227"/>
      <c r="BI5301" s="224"/>
      <c r="BJ5301" s="227"/>
      <c r="BK5301" s="227"/>
      <c r="BL5301" s="289"/>
      <c r="BM5301" s="224"/>
      <c r="BN5301" s="224"/>
      <c r="BO5301" s="262"/>
      <c r="BP5301" s="262"/>
      <c r="BQ5301" s="262"/>
      <c r="BR5301" s="262"/>
      <c r="BS5301" s="262"/>
      <c r="BT5301" s="227"/>
      <c r="BU5301" s="227"/>
      <c r="BV5301" s="227"/>
      <c r="BW5301" s="286"/>
      <c r="BX5301" s="286"/>
      <c r="BY5301" s="227"/>
      <c r="BZ5301" s="227"/>
      <c r="CA5301" s="227"/>
      <c r="CB5301" s="190"/>
    </row>
    <row r="5302" spans="1:80" x14ac:dyDescent="0.2">
      <c r="A5302" s="257"/>
      <c r="B5302" s="667"/>
      <c r="C5302" s="667"/>
      <c r="D5302" s="292"/>
      <c r="E5302" s="257"/>
      <c r="F5302" s="257"/>
      <c r="G5302" s="227"/>
      <c r="H5302" s="227"/>
      <c r="I5302" s="227"/>
      <c r="J5302" s="227"/>
      <c r="K5302" s="227"/>
      <c r="L5302" s="660"/>
      <c r="M5302" s="671">
        <v>30084</v>
      </c>
      <c r="N5302" s="581">
        <v>2.33</v>
      </c>
      <c r="O5302" s="604">
        <f>5.696/(1000)*AD5302</f>
        <v>1.4651240837233948E-2</v>
      </c>
      <c r="P5302" s="280">
        <v>0</v>
      </c>
      <c r="Q5302" s="280">
        <v>0.27900000000000003</v>
      </c>
      <c r="R5302" s="280">
        <v>0.38</v>
      </c>
      <c r="S5302" s="280">
        <v>0.22800000000000001</v>
      </c>
      <c r="T5302" s="771">
        <v>0.113</v>
      </c>
      <c r="U5302" s="775"/>
      <c r="V5302" s="699"/>
      <c r="W5302" s="699"/>
      <c r="X5302" s="699"/>
      <c r="Y5302" s="776"/>
      <c r="Z5302" s="772"/>
      <c r="AA5302" s="281"/>
      <c r="AB5302" s="281"/>
      <c r="AC5302" s="174">
        <v>9.9000000000000008E-3</v>
      </c>
      <c r="AD5302" s="282">
        <f t="shared" si="25"/>
        <v>2.5721981806941625</v>
      </c>
      <c r="AE5302" s="282">
        <v>0.53600000000000003</v>
      </c>
      <c r="AF5302" s="173">
        <f t="shared" si="26"/>
        <v>1.3786982248520712</v>
      </c>
      <c r="AG5302" s="287">
        <v>1.69</v>
      </c>
      <c r="AH5302" s="350"/>
      <c r="AI5302" s="283"/>
      <c r="AJ5302" s="240"/>
      <c r="AK5302" s="240"/>
      <c r="AL5302" s="284"/>
      <c r="AM5302" s="167"/>
      <c r="AN5302" s="167"/>
      <c r="AO5302" s="167"/>
      <c r="AP5302" s="167"/>
      <c r="AQ5302" s="167"/>
      <c r="AR5302" s="551"/>
      <c r="AS5302" s="551"/>
      <c r="AT5302" s="551"/>
      <c r="AU5302" s="283"/>
      <c r="AV5302" s="283"/>
      <c r="AW5302" s="283"/>
      <c r="AX5302" s="283"/>
      <c r="AY5302" s="283"/>
      <c r="AZ5302" s="167"/>
      <c r="BA5302" s="167"/>
      <c r="BB5302" s="285"/>
      <c r="BC5302" s="154"/>
      <c r="BD5302" s="154"/>
      <c r="BE5302" s="150"/>
      <c r="BF5302" s="227"/>
      <c r="BG5302" s="227"/>
      <c r="BH5302" s="227"/>
      <c r="BI5302" s="224"/>
      <c r="BJ5302" s="290"/>
      <c r="BK5302" s="290"/>
      <c r="BL5302" s="224"/>
      <c r="BM5302" s="224"/>
      <c r="BN5302" s="224"/>
      <c r="BO5302" s="262"/>
      <c r="BP5302" s="262"/>
      <c r="BQ5302" s="262"/>
      <c r="BR5302" s="262"/>
      <c r="BS5302" s="262"/>
      <c r="BT5302" s="227"/>
      <c r="BU5302" s="227"/>
      <c r="BV5302" s="227"/>
      <c r="BW5302" s="286"/>
      <c r="BX5302" s="286"/>
      <c r="BY5302" s="227"/>
      <c r="BZ5302" s="227"/>
      <c r="CA5302" s="227"/>
      <c r="CB5302" s="190"/>
    </row>
    <row r="5303" spans="1:80" x14ac:dyDescent="0.2">
      <c r="A5303" s="257"/>
      <c r="B5303" s="667"/>
      <c r="C5303" s="667"/>
      <c r="D5303" s="292"/>
      <c r="E5303" s="257"/>
      <c r="F5303" s="257"/>
      <c r="G5303" s="227"/>
      <c r="H5303" s="227"/>
      <c r="I5303" s="227"/>
      <c r="J5303" s="227"/>
      <c r="K5303" s="227"/>
      <c r="L5303" s="660"/>
      <c r="M5303" s="671">
        <v>30110</v>
      </c>
      <c r="N5303" s="581">
        <v>1.34</v>
      </c>
      <c r="O5303" s="604">
        <f>2.727/(1000)*AD5303</f>
        <v>6.9979183463205292E-3</v>
      </c>
      <c r="P5303" s="280">
        <v>0</v>
      </c>
      <c r="Q5303" s="280">
        <v>0.14799999999999999</v>
      </c>
      <c r="R5303" s="280">
        <v>0.59299999999999997</v>
      </c>
      <c r="S5303" s="280">
        <v>0.184</v>
      </c>
      <c r="T5303" s="771">
        <v>7.4999999999999997E-2</v>
      </c>
      <c r="U5303" s="775"/>
      <c r="V5303" s="699"/>
      <c r="W5303" s="699"/>
      <c r="X5303" s="699"/>
      <c r="Y5303" s="776"/>
      <c r="Z5303" s="772"/>
      <c r="AA5303" s="281"/>
      <c r="AB5303" s="281"/>
      <c r="AC5303" s="174">
        <v>1.0999999999999999E-2</v>
      </c>
      <c r="AD5303" s="282">
        <f t="shared" si="25"/>
        <v>2.566160009651826</v>
      </c>
      <c r="AE5303" s="282">
        <v>0.40699999999999997</v>
      </c>
      <c r="AF5303" s="173">
        <f t="shared" si="26"/>
        <v>1.0444271239282932</v>
      </c>
      <c r="AG5303" s="177">
        <v>1.2829999999999999</v>
      </c>
      <c r="AH5303" s="349"/>
      <c r="AI5303" s="283"/>
      <c r="AJ5303" s="240"/>
      <c r="AK5303" s="240"/>
      <c r="AL5303" s="284"/>
      <c r="AM5303" s="167"/>
      <c r="AN5303" s="167"/>
      <c r="AO5303" s="167"/>
      <c r="AP5303" s="167"/>
      <c r="AQ5303" s="167"/>
      <c r="AR5303" s="551"/>
      <c r="AS5303" s="551"/>
      <c r="AT5303" s="551"/>
      <c r="AU5303" s="283"/>
      <c r="AV5303" s="283"/>
      <c r="AW5303" s="283"/>
      <c r="AX5303" s="283"/>
      <c r="AY5303" s="283"/>
      <c r="AZ5303" s="167"/>
      <c r="BA5303" s="167"/>
      <c r="BB5303" s="285"/>
      <c r="BC5303" s="154"/>
      <c r="BD5303" s="154"/>
      <c r="BE5303" s="150"/>
      <c r="BF5303" s="227"/>
      <c r="BG5303" s="227"/>
      <c r="BH5303" s="227"/>
      <c r="BI5303" s="224"/>
      <c r="BJ5303" s="290"/>
      <c r="BK5303" s="290"/>
      <c r="BL5303" s="224"/>
      <c r="BM5303" s="224"/>
      <c r="BN5303" s="224"/>
      <c r="BO5303" s="262"/>
      <c r="BP5303" s="262"/>
      <c r="BQ5303" s="262"/>
      <c r="BR5303" s="262"/>
      <c r="BS5303" s="262"/>
      <c r="BT5303" s="227"/>
      <c r="BU5303" s="227"/>
      <c r="BV5303" s="227"/>
      <c r="BW5303" s="286"/>
      <c r="BX5303" s="286"/>
      <c r="BY5303" s="227"/>
      <c r="BZ5303" s="227"/>
      <c r="CA5303" s="227"/>
      <c r="CB5303" s="190"/>
    </row>
    <row r="5304" spans="1:80" x14ac:dyDescent="0.2">
      <c r="A5304" s="257"/>
      <c r="B5304" s="667"/>
      <c r="C5304" s="667"/>
      <c r="D5304" s="292"/>
      <c r="E5304" s="257"/>
      <c r="F5304" s="257"/>
      <c r="G5304" s="227"/>
      <c r="H5304" s="227"/>
      <c r="I5304" s="227"/>
      <c r="J5304" s="227"/>
      <c r="K5304" s="227"/>
      <c r="L5304" s="660"/>
      <c r="M5304" s="671">
        <v>30453</v>
      </c>
      <c r="N5304" s="581">
        <v>2.02</v>
      </c>
      <c r="O5304" s="604">
        <f>22.28/(1000)*AD5304</f>
        <v>5.7488989035020491E-2</v>
      </c>
      <c r="P5304" s="280">
        <v>0.52800000000000002</v>
      </c>
      <c r="Q5304" s="280">
        <v>0.187</v>
      </c>
      <c r="R5304" s="280">
        <v>0.14000000000000001</v>
      </c>
      <c r="S5304" s="280">
        <v>9.5000000000000001E-2</v>
      </c>
      <c r="T5304" s="771">
        <v>0.05</v>
      </c>
      <c r="U5304" s="775"/>
      <c r="V5304" s="699"/>
      <c r="W5304" s="699"/>
      <c r="X5304" s="699"/>
      <c r="Y5304" s="776"/>
      <c r="Z5304" s="772"/>
      <c r="AA5304" s="281"/>
      <c r="AB5304" s="281"/>
      <c r="AC5304" s="174">
        <v>1.0500000000000001E-2</v>
      </c>
      <c r="AD5304" s="282">
        <f t="shared" si="25"/>
        <v>2.5802957376580111</v>
      </c>
      <c r="AE5304" s="282">
        <v>0.498</v>
      </c>
      <c r="AF5304" s="173">
        <f t="shared" si="26"/>
        <v>1.2849872773536894</v>
      </c>
      <c r="AG5304" s="177">
        <v>1.5720000000000001</v>
      </c>
      <c r="AH5304" s="349"/>
      <c r="AI5304" s="283"/>
      <c r="AJ5304" s="240"/>
      <c r="AK5304" s="240"/>
      <c r="AL5304" s="284"/>
      <c r="AM5304" s="167"/>
      <c r="AN5304" s="167"/>
      <c r="AO5304" s="167"/>
      <c r="AP5304" s="167"/>
      <c r="AQ5304" s="167"/>
      <c r="AR5304" s="551"/>
      <c r="AS5304" s="551"/>
      <c r="AT5304" s="551"/>
      <c r="AU5304" s="283"/>
      <c r="AV5304" s="283"/>
      <c r="AW5304" s="283"/>
      <c r="AX5304" s="283"/>
      <c r="AY5304" s="283"/>
      <c r="AZ5304" s="167"/>
      <c r="BA5304" s="167"/>
      <c r="BB5304" s="285"/>
      <c r="BC5304" s="154"/>
      <c r="BD5304" s="154"/>
      <c r="BE5304" s="150"/>
      <c r="BF5304" s="227"/>
      <c r="BG5304" s="227"/>
      <c r="BH5304" s="227"/>
      <c r="BI5304" s="224"/>
      <c r="BJ5304" s="290"/>
      <c r="BK5304" s="290"/>
      <c r="BL5304" s="224"/>
      <c r="BM5304" s="224"/>
      <c r="BN5304" s="224"/>
      <c r="BO5304" s="262"/>
      <c r="BP5304" s="262"/>
      <c r="BQ5304" s="262"/>
      <c r="BR5304" s="262"/>
      <c r="BS5304" s="262"/>
      <c r="BT5304" s="227"/>
      <c r="BU5304" s="227"/>
      <c r="BV5304" s="227"/>
      <c r="BW5304" s="286"/>
      <c r="BX5304" s="286"/>
      <c r="BY5304" s="227"/>
      <c r="BZ5304" s="227"/>
      <c r="CA5304" s="227"/>
      <c r="CB5304" s="190"/>
    </row>
    <row r="5305" spans="1:80" x14ac:dyDescent="0.2">
      <c r="A5305" s="257"/>
      <c r="B5305" s="667"/>
      <c r="C5305" s="667"/>
      <c r="D5305" s="292"/>
      <c r="E5305" s="257"/>
      <c r="F5305" s="257"/>
      <c r="G5305" s="227"/>
      <c r="H5305" s="227"/>
      <c r="I5305" s="227"/>
      <c r="J5305" s="227"/>
      <c r="K5305" s="227"/>
      <c r="L5305" s="660"/>
      <c r="M5305" s="671">
        <v>30454</v>
      </c>
      <c r="N5305" s="581">
        <v>2.35</v>
      </c>
      <c r="O5305" s="604">
        <f>15.48/(1000)*AD5305</f>
        <v>3.9821613882065503E-2</v>
      </c>
      <c r="P5305" s="280">
        <v>0</v>
      </c>
      <c r="Q5305" s="280">
        <v>0.307</v>
      </c>
      <c r="R5305" s="280">
        <v>0.32800000000000001</v>
      </c>
      <c r="S5305" s="280">
        <v>0.24199999999999999</v>
      </c>
      <c r="T5305" s="771">
        <v>0.123</v>
      </c>
      <c r="U5305" s="775"/>
      <c r="V5305" s="699"/>
      <c r="W5305" s="699"/>
      <c r="X5305" s="699"/>
      <c r="Y5305" s="776"/>
      <c r="Z5305" s="772"/>
      <c r="AA5305" s="281"/>
      <c r="AB5305" s="281"/>
      <c r="AC5305" s="174">
        <v>9.7999999999999997E-3</v>
      </c>
      <c r="AD5305" s="282">
        <f t="shared" si="25"/>
        <v>2.5724556771360141</v>
      </c>
      <c r="AE5305" s="282">
        <v>0.53800000000000003</v>
      </c>
      <c r="AF5305" s="173">
        <f t="shared" si="26"/>
        <v>1.3839811542991756</v>
      </c>
      <c r="AG5305" s="177">
        <v>1.698</v>
      </c>
      <c r="AH5305" s="349"/>
      <c r="AI5305" s="283"/>
      <c r="AJ5305" s="240"/>
      <c r="AK5305" s="240"/>
      <c r="AL5305" s="284"/>
      <c r="AM5305" s="167"/>
      <c r="AN5305" s="167"/>
      <c r="AO5305" s="167"/>
      <c r="AP5305" s="167"/>
      <c r="AQ5305" s="167"/>
      <c r="AR5305" s="551"/>
      <c r="AS5305" s="551"/>
      <c r="AT5305" s="551"/>
      <c r="AU5305" s="283"/>
      <c r="AV5305" s="283"/>
      <c r="AW5305" s="283"/>
      <c r="AX5305" s="283"/>
      <c r="AY5305" s="283"/>
      <c r="AZ5305" s="167"/>
      <c r="BA5305" s="167"/>
      <c r="BB5305" s="285"/>
      <c r="BC5305" s="154"/>
      <c r="BD5305" s="154"/>
      <c r="BE5305" s="150"/>
      <c r="BF5305" s="227"/>
      <c r="BG5305" s="227"/>
      <c r="BH5305" s="227"/>
      <c r="BI5305" s="224"/>
      <c r="BJ5305" s="227"/>
      <c r="BK5305" s="227"/>
      <c r="BL5305" s="224"/>
      <c r="BM5305" s="224"/>
      <c r="BN5305" s="224"/>
      <c r="BO5305" s="262"/>
      <c r="BP5305" s="262"/>
      <c r="BQ5305" s="262"/>
      <c r="BR5305" s="262"/>
      <c r="BS5305" s="262"/>
      <c r="BT5305" s="227"/>
      <c r="BU5305" s="227"/>
      <c r="BV5305" s="227"/>
      <c r="BW5305" s="286"/>
      <c r="BX5305" s="286"/>
      <c r="BY5305" s="227"/>
      <c r="BZ5305" s="227"/>
      <c r="CA5305" s="227"/>
      <c r="CB5305" s="190"/>
    </row>
    <row r="5306" spans="1:80" x14ac:dyDescent="0.2">
      <c r="A5306" s="257"/>
      <c r="B5306" s="667"/>
      <c r="C5306" s="667"/>
      <c r="D5306" s="292"/>
      <c r="E5306" s="257"/>
      <c r="F5306" s="257"/>
      <c r="G5306" s="227"/>
      <c r="H5306" s="227"/>
      <c r="I5306" s="227"/>
      <c r="J5306" s="227"/>
      <c r="K5306" s="227"/>
      <c r="L5306" s="660"/>
      <c r="M5306" s="671">
        <v>30455</v>
      </c>
      <c r="N5306" s="581">
        <v>2.5099999999999998</v>
      </c>
      <c r="O5306" s="604">
        <f>8.37/(1000)*AD5306</f>
        <v>2.1491506697969887E-2</v>
      </c>
      <c r="P5306" s="280">
        <v>0</v>
      </c>
      <c r="Q5306" s="280">
        <v>0.187</v>
      </c>
      <c r="R5306" s="280">
        <v>0.433</v>
      </c>
      <c r="S5306" s="280">
        <v>0.25900000000000001</v>
      </c>
      <c r="T5306" s="771">
        <v>0.121</v>
      </c>
      <c r="U5306" s="775"/>
      <c r="V5306" s="699"/>
      <c r="W5306" s="699"/>
      <c r="X5306" s="699"/>
      <c r="Y5306" s="776"/>
      <c r="Z5306" s="772"/>
      <c r="AA5306" s="281"/>
      <c r="AB5306" s="281"/>
      <c r="AC5306" s="174">
        <v>9.5999999999999992E-3</v>
      </c>
      <c r="AD5306" s="282">
        <f t="shared" si="25"/>
        <v>2.5676829985627108</v>
      </c>
      <c r="AE5306" s="282">
        <v>0.55700000000000005</v>
      </c>
      <c r="AF5306" s="173">
        <f t="shared" si="26"/>
        <v>1.4301994301994301</v>
      </c>
      <c r="AG5306" s="177">
        <v>1.7549999999999999</v>
      </c>
      <c r="AH5306" s="349"/>
      <c r="AI5306" s="283"/>
      <c r="AJ5306" s="240"/>
      <c r="AK5306" s="240"/>
      <c r="AL5306" s="284"/>
      <c r="AM5306" s="167"/>
      <c r="AN5306" s="167"/>
      <c r="AO5306" s="167"/>
      <c r="AP5306" s="167"/>
      <c r="AQ5306" s="167"/>
      <c r="AR5306" s="551"/>
      <c r="AS5306" s="551"/>
      <c r="AT5306" s="551"/>
      <c r="AU5306" s="283"/>
      <c r="AV5306" s="283"/>
      <c r="AW5306" s="283"/>
      <c r="AX5306" s="283"/>
      <c r="AY5306" s="283"/>
      <c r="AZ5306" s="167"/>
      <c r="BA5306" s="167"/>
      <c r="BB5306" s="285"/>
      <c r="BC5306" s="154"/>
      <c r="BD5306" s="154"/>
      <c r="BE5306" s="150"/>
      <c r="BF5306" s="227"/>
      <c r="BG5306" s="227"/>
      <c r="BH5306" s="227"/>
      <c r="BI5306" s="224"/>
      <c r="BJ5306" s="290"/>
      <c r="BK5306" s="290"/>
      <c r="BL5306" s="224"/>
      <c r="BM5306" s="224"/>
      <c r="BN5306" s="224"/>
      <c r="BO5306" s="262"/>
      <c r="BP5306" s="262"/>
      <c r="BQ5306" s="262"/>
      <c r="BR5306" s="262"/>
      <c r="BS5306" s="262"/>
      <c r="BT5306" s="227"/>
      <c r="BU5306" s="227"/>
      <c r="BV5306" s="227"/>
      <c r="BW5306" s="286"/>
      <c r="BX5306" s="286"/>
      <c r="BY5306" s="227"/>
      <c r="BZ5306" s="227"/>
      <c r="CA5306" s="227"/>
      <c r="CB5306" s="190"/>
    </row>
    <row r="5307" spans="1:80" x14ac:dyDescent="0.2">
      <c r="A5307" s="257"/>
      <c r="B5307" s="667"/>
      <c r="C5307" s="667"/>
      <c r="D5307" s="292"/>
      <c r="E5307" s="257"/>
      <c r="F5307" s="257"/>
      <c r="G5307" s="227"/>
      <c r="H5307" s="227"/>
      <c r="I5307" s="227"/>
      <c r="J5307" s="227"/>
      <c r="K5307" s="227"/>
      <c r="L5307" s="660"/>
      <c r="M5307" s="671">
        <v>30458</v>
      </c>
      <c r="N5307" s="581">
        <v>3.09</v>
      </c>
      <c r="O5307" s="604">
        <f>11.55/(1000)*AD5307</f>
        <v>2.9709089910172237E-2</v>
      </c>
      <c r="P5307" s="291">
        <v>0.14499999999999999</v>
      </c>
      <c r="Q5307" s="280">
        <v>0.34200000000000003</v>
      </c>
      <c r="R5307" s="280">
        <v>0.29299999999999998</v>
      </c>
      <c r="S5307" s="280">
        <v>0.156</v>
      </c>
      <c r="T5307" s="771">
        <v>6.4000000000000001E-2</v>
      </c>
      <c r="U5307" s="775"/>
      <c r="V5307" s="699"/>
      <c r="W5307" s="699"/>
      <c r="X5307" s="699"/>
      <c r="Y5307" s="776"/>
      <c r="Z5307" s="772"/>
      <c r="AA5307" s="281"/>
      <c r="AB5307" s="281"/>
      <c r="AC5307" s="174">
        <v>9.4999999999999998E-3</v>
      </c>
      <c r="AD5307" s="282">
        <f t="shared" si="25"/>
        <v>2.5722155766382886</v>
      </c>
      <c r="AE5307" s="282">
        <v>0.61699999999999999</v>
      </c>
      <c r="AF5307" s="173">
        <f t="shared" si="26"/>
        <v>1.5870570107858242</v>
      </c>
      <c r="AG5307" s="177">
        <v>1.9470000000000001</v>
      </c>
      <c r="AH5307" s="349"/>
      <c r="AI5307" s="283"/>
      <c r="AJ5307" s="240"/>
      <c r="AK5307" s="240"/>
      <c r="AL5307" s="284"/>
      <c r="AM5307" s="167"/>
      <c r="AN5307" s="167"/>
      <c r="AO5307" s="167"/>
      <c r="AP5307" s="167"/>
      <c r="AQ5307" s="167"/>
      <c r="AR5307" s="551"/>
      <c r="AS5307" s="551"/>
      <c r="AT5307" s="551"/>
      <c r="AU5307" s="283"/>
      <c r="AV5307" s="283"/>
      <c r="AW5307" s="283"/>
      <c r="AX5307" s="283"/>
      <c r="AY5307" s="283"/>
      <c r="AZ5307" s="167"/>
      <c r="BA5307" s="167"/>
      <c r="BB5307" s="285"/>
      <c r="BC5307" s="154"/>
      <c r="BD5307" s="154"/>
      <c r="BE5307" s="150"/>
      <c r="BF5307" s="227"/>
      <c r="BG5307" s="227"/>
      <c r="BH5307" s="227"/>
      <c r="BI5307" s="224"/>
      <c r="BJ5307" s="227"/>
      <c r="BK5307" s="227"/>
      <c r="BL5307" s="224"/>
      <c r="BM5307" s="224"/>
      <c r="BN5307" s="224"/>
      <c r="BO5307" s="262"/>
      <c r="BP5307" s="262"/>
      <c r="BQ5307" s="262"/>
      <c r="BR5307" s="262"/>
      <c r="BS5307" s="262"/>
      <c r="BT5307" s="227"/>
      <c r="BU5307" s="227"/>
      <c r="BV5307" s="227"/>
      <c r="BW5307" s="286"/>
      <c r="BX5307" s="286"/>
      <c r="BY5307" s="227"/>
      <c r="BZ5307" s="227"/>
      <c r="CA5307" s="227"/>
      <c r="CB5307" s="190"/>
    </row>
    <row r="5308" spans="1:80" x14ac:dyDescent="0.2">
      <c r="A5308" s="257"/>
      <c r="B5308" s="667"/>
      <c r="C5308" s="667"/>
      <c r="D5308" s="292"/>
      <c r="E5308" s="257"/>
      <c r="F5308" s="257"/>
      <c r="G5308" s="227"/>
      <c r="H5308" s="227"/>
      <c r="I5308" s="227"/>
      <c r="J5308" s="227"/>
      <c r="K5308" s="227"/>
      <c r="L5308" s="660"/>
      <c r="M5308" s="671">
        <v>30459</v>
      </c>
      <c r="N5308" s="581">
        <v>3.09</v>
      </c>
      <c r="O5308" s="604">
        <f>5.817/(1000)*AD5308</f>
        <v>1.4962578009304926E-2</v>
      </c>
      <c r="P5308" s="280">
        <v>0</v>
      </c>
      <c r="Q5308" s="280">
        <v>0.27</v>
      </c>
      <c r="R5308" s="280">
        <v>0.36899999999999999</v>
      </c>
      <c r="S5308" s="280">
        <v>0.24299999999999999</v>
      </c>
      <c r="T5308" s="771">
        <v>0.11799999999999999</v>
      </c>
      <c r="U5308" s="775"/>
      <c r="V5308" s="699"/>
      <c r="W5308" s="699"/>
      <c r="X5308" s="699"/>
      <c r="Y5308" s="776"/>
      <c r="Z5308" s="772"/>
      <c r="AA5308" s="281"/>
      <c r="AB5308" s="281"/>
      <c r="AC5308" s="174">
        <v>9.4999999999999998E-3</v>
      </c>
      <c r="AD5308" s="282">
        <f t="shared" si="25"/>
        <v>2.5722155766382886</v>
      </c>
      <c r="AE5308" s="282">
        <v>0.61699999999999999</v>
      </c>
      <c r="AF5308" s="173">
        <f t="shared" si="26"/>
        <v>1.5870570107858242</v>
      </c>
      <c r="AG5308" s="177">
        <v>1.9470000000000001</v>
      </c>
      <c r="AH5308" s="349"/>
      <c r="AI5308" s="283"/>
      <c r="AJ5308" s="240"/>
      <c r="AK5308" s="240"/>
      <c r="AL5308" s="284"/>
      <c r="AM5308" s="167"/>
      <c r="AN5308" s="167"/>
      <c r="AO5308" s="167"/>
      <c r="AP5308" s="167"/>
      <c r="AQ5308" s="167"/>
      <c r="AR5308" s="551"/>
      <c r="AS5308" s="551"/>
      <c r="AT5308" s="551"/>
      <c r="AU5308" s="283"/>
      <c r="AV5308" s="283"/>
      <c r="AW5308" s="283"/>
      <c r="AX5308" s="283"/>
      <c r="AY5308" s="283"/>
      <c r="AZ5308" s="167"/>
      <c r="BA5308" s="167"/>
      <c r="BB5308" s="285"/>
      <c r="BC5308" s="154"/>
      <c r="BD5308" s="154"/>
      <c r="BE5308" s="150"/>
      <c r="BF5308" s="227"/>
      <c r="BG5308" s="227"/>
      <c r="BH5308" s="227"/>
      <c r="BI5308" s="224"/>
      <c r="BJ5308" s="227"/>
      <c r="BK5308" s="227"/>
      <c r="BL5308" s="224"/>
      <c r="BM5308" s="224"/>
      <c r="BN5308" s="224"/>
      <c r="BO5308" s="262"/>
      <c r="BP5308" s="262"/>
      <c r="BQ5308" s="262"/>
      <c r="BR5308" s="262"/>
      <c r="BS5308" s="262"/>
      <c r="BT5308" s="227"/>
      <c r="BU5308" s="227"/>
      <c r="BV5308" s="227"/>
      <c r="BW5308" s="286"/>
      <c r="BX5308" s="286"/>
      <c r="BY5308" s="227"/>
      <c r="BZ5308" s="227"/>
      <c r="CA5308" s="227"/>
      <c r="CB5308" s="190"/>
    </row>
    <row r="5309" spans="1:80" x14ac:dyDescent="0.2">
      <c r="A5309" s="257"/>
      <c r="B5309" s="667"/>
      <c r="C5309" s="667"/>
      <c r="D5309" s="292"/>
      <c r="E5309" s="257"/>
      <c r="F5309" s="257"/>
      <c r="G5309" s="227"/>
      <c r="H5309" s="227"/>
      <c r="I5309" s="227"/>
      <c r="J5309" s="227"/>
      <c r="K5309" s="227"/>
      <c r="L5309" s="660"/>
      <c r="M5309" s="671">
        <v>30460</v>
      </c>
      <c r="N5309" s="582">
        <v>3.1</v>
      </c>
      <c r="O5309" s="604">
        <f>12.94/(1000)*AD5309</f>
        <v>3.3286864160650576E-2</v>
      </c>
      <c r="P5309" s="291">
        <v>0.23599999999999999</v>
      </c>
      <c r="Q5309" s="280">
        <v>0.36099999999999999</v>
      </c>
      <c r="R5309" s="280">
        <v>0.216</v>
      </c>
      <c r="S5309" s="280">
        <v>0.128</v>
      </c>
      <c r="T5309" s="771">
        <v>5.8999999999999997E-2</v>
      </c>
      <c r="U5309" s="775"/>
      <c r="V5309" s="699"/>
      <c r="W5309" s="699"/>
      <c r="X5309" s="699"/>
      <c r="Y5309" s="776"/>
      <c r="Z5309" s="772"/>
      <c r="AA5309" s="281"/>
      <c r="AB5309" s="281"/>
      <c r="AC5309" s="174">
        <v>9.4999999999999998E-3</v>
      </c>
      <c r="AD5309" s="282">
        <f t="shared" si="25"/>
        <v>2.5724006306530582</v>
      </c>
      <c r="AE5309" s="282">
        <v>0.61799999999999999</v>
      </c>
      <c r="AF5309" s="173">
        <f t="shared" si="26"/>
        <v>1.5897435897435899</v>
      </c>
      <c r="AG5309" s="287">
        <v>1.95</v>
      </c>
      <c r="AH5309" s="350"/>
      <c r="AI5309" s="283"/>
      <c r="AJ5309" s="240"/>
      <c r="AK5309" s="240"/>
      <c r="AL5309" s="284"/>
      <c r="AM5309" s="167"/>
      <c r="AN5309" s="167"/>
      <c r="AO5309" s="167"/>
      <c r="AP5309" s="167"/>
      <c r="AQ5309" s="167"/>
      <c r="AR5309" s="551"/>
      <c r="AS5309" s="551"/>
      <c r="AT5309" s="551"/>
      <c r="AU5309" s="283"/>
      <c r="AV5309" s="283"/>
      <c r="AW5309" s="283"/>
      <c r="AX5309" s="283"/>
      <c r="AY5309" s="283"/>
      <c r="AZ5309" s="167"/>
      <c r="BA5309" s="167"/>
      <c r="BB5309" s="285"/>
      <c r="BC5309" s="154"/>
      <c r="BD5309" s="154"/>
      <c r="BE5309" s="150"/>
      <c r="BF5309" s="227"/>
      <c r="BG5309" s="227"/>
      <c r="BH5309" s="227"/>
      <c r="BI5309" s="224"/>
      <c r="BJ5309" s="227"/>
      <c r="BK5309" s="227"/>
      <c r="BL5309" s="224"/>
      <c r="BM5309" s="224"/>
      <c r="BN5309" s="224"/>
      <c r="BO5309" s="262"/>
      <c r="BP5309" s="262"/>
      <c r="BQ5309" s="262"/>
      <c r="BR5309" s="262"/>
      <c r="BS5309" s="262"/>
      <c r="BT5309" s="227"/>
      <c r="BU5309" s="227"/>
      <c r="BV5309" s="227"/>
      <c r="BW5309" s="286"/>
      <c r="BX5309" s="286"/>
      <c r="BY5309" s="227"/>
      <c r="BZ5309" s="227"/>
      <c r="CA5309" s="227"/>
      <c r="CB5309" s="190"/>
    </row>
    <row r="5310" spans="1:80" x14ac:dyDescent="0.2">
      <c r="A5310" s="257"/>
      <c r="B5310" s="667"/>
      <c r="C5310" s="667"/>
      <c r="D5310" s="292"/>
      <c r="E5310" s="257"/>
      <c r="F5310" s="257"/>
      <c r="G5310" s="227"/>
      <c r="H5310" s="227"/>
      <c r="I5310" s="227"/>
      <c r="J5310" s="227"/>
      <c r="K5310" s="227"/>
      <c r="L5310" s="660"/>
      <c r="M5310" s="671">
        <v>30461</v>
      </c>
      <c r="N5310" s="581">
        <v>3.11</v>
      </c>
      <c r="O5310" s="604">
        <f>4.245/(1000)*AD5310</f>
        <v>1.092056709076877E-2</v>
      </c>
      <c r="P5310" s="280">
        <v>0</v>
      </c>
      <c r="Q5310" s="280">
        <v>0.30299999999999999</v>
      </c>
      <c r="R5310" s="280">
        <v>0.30299999999999999</v>
      </c>
      <c r="S5310" s="280">
        <v>0.26400000000000001</v>
      </c>
      <c r="T5310" s="771">
        <v>0.13</v>
      </c>
      <c r="U5310" s="775"/>
      <c r="V5310" s="699"/>
      <c r="W5310" s="699"/>
      <c r="X5310" s="699"/>
      <c r="Y5310" s="776"/>
      <c r="Z5310" s="772"/>
      <c r="AA5310" s="281"/>
      <c r="AB5310" s="281"/>
      <c r="AC5310" s="174">
        <v>9.4999999999999998E-3</v>
      </c>
      <c r="AD5310" s="282">
        <f t="shared" si="25"/>
        <v>2.5725717528312764</v>
      </c>
      <c r="AE5310" s="282">
        <v>0.61899999999999999</v>
      </c>
      <c r="AF5310" s="173">
        <f t="shared" si="26"/>
        <v>1.59242191500256</v>
      </c>
      <c r="AG5310" s="177">
        <v>1.9530000000000001</v>
      </c>
      <c r="AH5310" s="349"/>
      <c r="AI5310" s="283"/>
      <c r="AJ5310" s="240"/>
      <c r="AK5310" s="240"/>
      <c r="AL5310" s="284"/>
      <c r="AM5310" s="167"/>
      <c r="AN5310" s="167"/>
      <c r="AO5310" s="167"/>
      <c r="AP5310" s="167"/>
      <c r="AQ5310" s="167"/>
      <c r="AR5310" s="551"/>
      <c r="AS5310" s="551"/>
      <c r="AT5310" s="551"/>
      <c r="AU5310" s="283"/>
      <c r="AV5310" s="283"/>
      <c r="AW5310" s="283"/>
      <c r="AX5310" s="283"/>
      <c r="AY5310" s="283"/>
      <c r="AZ5310" s="167"/>
      <c r="BA5310" s="167"/>
      <c r="BB5310" s="285"/>
      <c r="BC5310" s="154"/>
      <c r="BD5310" s="154"/>
      <c r="BE5310" s="150"/>
      <c r="BF5310" s="227"/>
      <c r="BG5310" s="227"/>
      <c r="BH5310" s="227"/>
      <c r="BI5310" s="224"/>
      <c r="BJ5310" s="227"/>
      <c r="BK5310" s="227"/>
      <c r="BL5310" s="224"/>
      <c r="BM5310" s="224"/>
      <c r="BN5310" s="224"/>
      <c r="BO5310" s="262"/>
      <c r="BP5310" s="262"/>
      <c r="BQ5310" s="262"/>
      <c r="BR5310" s="262"/>
      <c r="BS5310" s="262"/>
      <c r="BT5310" s="227"/>
      <c r="BU5310" s="227"/>
      <c r="BV5310" s="227"/>
      <c r="BW5310" s="286"/>
      <c r="BX5310" s="286"/>
      <c r="BY5310" s="227"/>
      <c r="BZ5310" s="227"/>
      <c r="CA5310" s="227"/>
      <c r="CB5310" s="190"/>
    </row>
    <row r="5311" spans="1:80" x14ac:dyDescent="0.2">
      <c r="A5311" s="257"/>
      <c r="B5311" s="667"/>
      <c r="C5311" s="667"/>
      <c r="D5311" s="292"/>
      <c r="E5311" s="257"/>
      <c r="F5311" s="257"/>
      <c r="G5311" s="227"/>
      <c r="H5311" s="227"/>
      <c r="I5311" s="227"/>
      <c r="J5311" s="227"/>
      <c r="K5311" s="227"/>
      <c r="L5311" s="660"/>
      <c r="M5311" s="671">
        <v>30462</v>
      </c>
      <c r="N5311" s="581">
        <v>3.12</v>
      </c>
      <c r="O5311" s="604">
        <f>4.365/(1000)*AD5311</f>
        <v>1.1235706624865935E-2</v>
      </c>
      <c r="P5311" s="280">
        <v>0</v>
      </c>
      <c r="Q5311" s="280">
        <v>0.35699999999999998</v>
      </c>
      <c r="R5311" s="280">
        <v>0.249</v>
      </c>
      <c r="S5311" s="280">
        <v>0.24399999999999999</v>
      </c>
      <c r="T5311" s="771">
        <v>0.15</v>
      </c>
      <c r="U5311" s="775"/>
      <c r="V5311" s="699"/>
      <c r="W5311" s="699"/>
      <c r="X5311" s="699"/>
      <c r="Y5311" s="776"/>
      <c r="Z5311" s="772"/>
      <c r="AA5311" s="281"/>
      <c r="AB5311" s="281"/>
      <c r="AC5311" s="174">
        <v>9.4999999999999998E-3</v>
      </c>
      <c r="AD5311" s="282">
        <f t="shared" si="25"/>
        <v>2.5740450457883011</v>
      </c>
      <c r="AE5311" s="282">
        <v>0.62</v>
      </c>
      <c r="AF5311" s="173">
        <f t="shared" si="26"/>
        <v>1.5959079283887467</v>
      </c>
      <c r="AG5311" s="177">
        <v>1.9550000000000001</v>
      </c>
      <c r="AH5311" s="349"/>
      <c r="AI5311" s="283"/>
      <c r="AJ5311" s="240"/>
      <c r="AK5311" s="240"/>
      <c r="AL5311" s="284"/>
      <c r="AM5311" s="167"/>
      <c r="AN5311" s="167"/>
      <c r="AO5311" s="167"/>
      <c r="AP5311" s="167"/>
      <c r="AQ5311" s="167"/>
      <c r="AR5311" s="551"/>
      <c r="AS5311" s="551"/>
      <c r="AT5311" s="551"/>
      <c r="AU5311" s="283"/>
      <c r="AV5311" s="283"/>
      <c r="AW5311" s="283"/>
      <c r="AX5311" s="283"/>
      <c r="AY5311" s="283"/>
      <c r="AZ5311" s="167"/>
      <c r="BA5311" s="167"/>
      <c r="BB5311" s="285"/>
      <c r="BC5311" s="154"/>
      <c r="BD5311" s="154"/>
      <c r="BE5311" s="150"/>
      <c r="BF5311" s="227"/>
      <c r="BG5311" s="227"/>
      <c r="BH5311" s="227"/>
      <c r="BI5311" s="224"/>
      <c r="BJ5311" s="290"/>
      <c r="BK5311" s="290"/>
      <c r="BL5311" s="224"/>
      <c r="BM5311" s="224"/>
      <c r="BN5311" s="224"/>
      <c r="BO5311" s="262"/>
      <c r="BP5311" s="262"/>
      <c r="BQ5311" s="262"/>
      <c r="BR5311" s="262"/>
      <c r="BS5311" s="262"/>
      <c r="BT5311" s="227"/>
      <c r="BU5311" s="227"/>
      <c r="BV5311" s="227"/>
      <c r="BW5311" s="286"/>
      <c r="BX5311" s="286"/>
      <c r="BY5311" s="227"/>
      <c r="BZ5311" s="227"/>
      <c r="CA5311" s="227"/>
      <c r="CB5311" s="190"/>
    </row>
    <row r="5312" spans="1:80" x14ac:dyDescent="0.2">
      <c r="A5312" s="257"/>
      <c r="B5312" s="667"/>
      <c r="C5312" s="667"/>
      <c r="D5312" s="292"/>
      <c r="E5312" s="257"/>
      <c r="F5312" s="257"/>
      <c r="G5312" s="227"/>
      <c r="H5312" s="227"/>
      <c r="I5312" s="227"/>
      <c r="J5312" s="227"/>
      <c r="K5312" s="227"/>
      <c r="L5312" s="660"/>
      <c r="M5312" s="671">
        <v>30463</v>
      </c>
      <c r="N5312" s="581">
        <v>3.12</v>
      </c>
      <c r="O5312" s="604">
        <f>0.4988/(1000)*AD5312</f>
        <v>1.2826215240575602E-3</v>
      </c>
      <c r="P5312" s="280">
        <v>0</v>
      </c>
      <c r="Q5312" s="280">
        <v>0</v>
      </c>
      <c r="R5312" s="280">
        <v>0.64400000000000002</v>
      </c>
      <c r="S5312" s="280">
        <v>0.27600000000000002</v>
      </c>
      <c r="T5312" s="771">
        <v>0.08</v>
      </c>
      <c r="U5312" s="775"/>
      <c r="V5312" s="699"/>
      <c r="W5312" s="699"/>
      <c r="X5312" s="699"/>
      <c r="Y5312" s="776"/>
      <c r="Z5312" s="772"/>
      <c r="AA5312" s="281"/>
      <c r="AB5312" s="281"/>
      <c r="AC5312" s="174">
        <v>9.4999999999999998E-3</v>
      </c>
      <c r="AD5312" s="282">
        <f t="shared" si="25"/>
        <v>2.5714144427777872</v>
      </c>
      <c r="AE5312" s="282">
        <v>0.62</v>
      </c>
      <c r="AF5312" s="173">
        <f t="shared" si="26"/>
        <v>1.594276954522228</v>
      </c>
      <c r="AG5312" s="177">
        <v>1.9570000000000001</v>
      </c>
      <c r="AH5312" s="349"/>
      <c r="AI5312" s="283"/>
      <c r="AJ5312" s="240"/>
      <c r="AK5312" s="240"/>
      <c r="AL5312" s="284"/>
      <c r="AM5312" s="167"/>
      <c r="AN5312" s="167"/>
      <c r="AO5312" s="167"/>
      <c r="AP5312" s="167"/>
      <c r="AQ5312" s="167"/>
      <c r="AR5312" s="551"/>
      <c r="AS5312" s="551"/>
      <c r="AT5312" s="551"/>
      <c r="AU5312" s="283"/>
      <c r="AV5312" s="283"/>
      <c r="AW5312" s="283"/>
      <c r="AX5312" s="283"/>
      <c r="AY5312" s="283"/>
      <c r="AZ5312" s="167"/>
      <c r="BA5312" s="167"/>
      <c r="BB5312" s="285"/>
      <c r="BC5312" s="154"/>
      <c r="BD5312" s="154"/>
      <c r="BE5312" s="150"/>
      <c r="BF5312" s="227"/>
      <c r="BG5312" s="227"/>
      <c r="BH5312" s="227"/>
      <c r="BI5312" s="224"/>
      <c r="BJ5312" s="290"/>
      <c r="BK5312" s="290"/>
      <c r="BL5312" s="224"/>
      <c r="BM5312" s="224"/>
      <c r="BN5312" s="224"/>
      <c r="BO5312" s="262"/>
      <c r="BP5312" s="262"/>
      <c r="BQ5312" s="262"/>
      <c r="BR5312" s="262"/>
      <c r="BS5312" s="262"/>
      <c r="BT5312" s="227"/>
      <c r="BU5312" s="227"/>
      <c r="BV5312" s="227"/>
      <c r="BW5312" s="286"/>
      <c r="BX5312" s="286"/>
      <c r="BY5312" s="227"/>
      <c r="BZ5312" s="227"/>
      <c r="CA5312" s="227"/>
      <c r="CB5312" s="190"/>
    </row>
    <row r="5313" spans="1:80" x14ac:dyDescent="0.2">
      <c r="A5313" s="257"/>
      <c r="B5313" s="667"/>
      <c r="C5313" s="667"/>
      <c r="D5313" s="292"/>
      <c r="E5313" s="257"/>
      <c r="F5313" s="257"/>
      <c r="G5313" s="227"/>
      <c r="H5313" s="227"/>
      <c r="I5313" s="227"/>
      <c r="J5313" s="227"/>
      <c r="K5313" s="227"/>
      <c r="L5313" s="660"/>
      <c r="M5313" s="671">
        <v>30464</v>
      </c>
      <c r="N5313" s="581">
        <v>3.12</v>
      </c>
      <c r="O5313" s="604">
        <f>3.694/(1000)*AD5313</f>
        <v>9.498804951621146E-3</v>
      </c>
      <c r="P5313" s="291">
        <v>0.31900000000000001</v>
      </c>
      <c r="Q5313" s="280">
        <v>7.1999999999999995E-2</v>
      </c>
      <c r="R5313" s="280">
        <v>0.26</v>
      </c>
      <c r="S5313" s="280">
        <v>0.23100000000000001</v>
      </c>
      <c r="T5313" s="771">
        <v>0.11799999999999999</v>
      </c>
      <c r="U5313" s="775"/>
      <c r="V5313" s="699"/>
      <c r="W5313" s="699"/>
      <c r="X5313" s="699"/>
      <c r="Y5313" s="776"/>
      <c r="Z5313" s="772"/>
      <c r="AA5313" s="281"/>
      <c r="AB5313" s="281"/>
      <c r="AC5313" s="174">
        <v>9.4999999999999998E-3</v>
      </c>
      <c r="AD5313" s="282">
        <f t="shared" si="25"/>
        <v>2.5714144427777872</v>
      </c>
      <c r="AE5313" s="282">
        <v>0.62</v>
      </c>
      <c r="AF5313" s="173">
        <f t="shared" si="26"/>
        <v>1.594276954522228</v>
      </c>
      <c r="AG5313" s="177">
        <v>1.9570000000000001</v>
      </c>
      <c r="AH5313" s="349"/>
      <c r="AI5313" s="283"/>
      <c r="AJ5313" s="240"/>
      <c r="AK5313" s="240"/>
      <c r="AL5313" s="284"/>
      <c r="AM5313" s="167"/>
      <c r="AN5313" s="167"/>
      <c r="AO5313" s="167"/>
      <c r="AP5313" s="167"/>
      <c r="AQ5313" s="167"/>
      <c r="AR5313" s="551"/>
      <c r="AS5313" s="551"/>
      <c r="AT5313" s="551"/>
      <c r="AU5313" s="283"/>
      <c r="AV5313" s="283"/>
      <c r="AW5313" s="283"/>
      <c r="AX5313" s="283"/>
      <c r="AY5313" s="283"/>
      <c r="AZ5313" s="167"/>
      <c r="BA5313" s="167"/>
      <c r="BB5313" s="285"/>
      <c r="BC5313" s="154"/>
      <c r="BD5313" s="154"/>
      <c r="BE5313" s="150"/>
      <c r="BF5313" s="227"/>
      <c r="BG5313" s="227"/>
      <c r="BH5313" s="227"/>
      <c r="BI5313" s="224"/>
      <c r="BJ5313" s="290"/>
      <c r="BK5313" s="290"/>
      <c r="BL5313" s="224"/>
      <c r="BM5313" s="224"/>
      <c r="BN5313" s="224"/>
      <c r="BO5313" s="262"/>
      <c r="BP5313" s="262"/>
      <c r="BQ5313" s="262"/>
      <c r="BR5313" s="262"/>
      <c r="BS5313" s="262"/>
      <c r="BT5313" s="227"/>
      <c r="BU5313" s="227"/>
      <c r="BV5313" s="227"/>
      <c r="BW5313" s="286"/>
      <c r="BX5313" s="286"/>
      <c r="BY5313" s="227"/>
      <c r="BZ5313" s="227"/>
      <c r="CA5313" s="227"/>
      <c r="CB5313" s="190"/>
    </row>
    <row r="5314" spans="1:80" x14ac:dyDescent="0.2">
      <c r="A5314" s="257"/>
      <c r="B5314" s="667"/>
      <c r="C5314" s="667"/>
      <c r="D5314" s="292"/>
      <c r="E5314" s="257"/>
      <c r="F5314" s="257"/>
      <c r="G5314" s="227"/>
      <c r="H5314" s="227"/>
      <c r="I5314" s="227"/>
      <c r="J5314" s="227"/>
      <c r="K5314" s="227"/>
      <c r="L5314" s="660"/>
      <c r="M5314" s="671">
        <v>30466</v>
      </c>
      <c r="N5314" s="581">
        <v>3.08</v>
      </c>
      <c r="O5314" s="604">
        <f>25.54/(1000)*AD5314</f>
        <v>6.5756951596292482E-2</v>
      </c>
      <c r="P5314" s="291">
        <v>6.8000000000000005E-2</v>
      </c>
      <c r="Q5314" s="280">
        <v>0.189</v>
      </c>
      <c r="R5314" s="280">
        <v>0.35799999999999998</v>
      </c>
      <c r="S5314" s="280">
        <v>0.27700000000000002</v>
      </c>
      <c r="T5314" s="771">
        <v>0.108</v>
      </c>
      <c r="U5314" s="775"/>
      <c r="V5314" s="699"/>
      <c r="W5314" s="699"/>
      <c r="X5314" s="699"/>
      <c r="Y5314" s="776"/>
      <c r="Z5314" s="772"/>
      <c r="AA5314" s="281"/>
      <c r="AB5314" s="281"/>
      <c r="AC5314" s="174">
        <v>9.4999999999999998E-3</v>
      </c>
      <c r="AD5314" s="282">
        <f>AF5314/AE5314</f>
        <v>2.5746652935118433</v>
      </c>
      <c r="AE5314" s="282">
        <v>0.61599999999999999</v>
      </c>
      <c r="AF5314" s="173">
        <f t="shared" si="26"/>
        <v>1.5859938208032955</v>
      </c>
      <c r="AG5314" s="177">
        <v>1.9419999999999999</v>
      </c>
      <c r="AH5314" s="349"/>
      <c r="AI5314" s="283"/>
      <c r="AJ5314" s="240"/>
      <c r="AK5314" s="240"/>
      <c r="AL5314" s="284"/>
      <c r="AM5314" s="167"/>
      <c r="AN5314" s="167"/>
      <c r="AO5314" s="167"/>
      <c r="AP5314" s="167"/>
      <c r="AQ5314" s="167"/>
      <c r="AR5314" s="551"/>
      <c r="AS5314" s="551"/>
      <c r="AT5314" s="551"/>
      <c r="AU5314" s="283"/>
      <c r="AV5314" s="283"/>
      <c r="AW5314" s="283"/>
      <c r="AX5314" s="283"/>
      <c r="AY5314" s="283"/>
      <c r="AZ5314" s="167"/>
      <c r="BA5314" s="167"/>
      <c r="BB5314" s="285"/>
      <c r="BC5314" s="154"/>
      <c r="BD5314" s="154"/>
      <c r="BE5314" s="150"/>
      <c r="BF5314" s="227"/>
      <c r="BG5314" s="227"/>
      <c r="BH5314" s="227"/>
      <c r="BI5314" s="224"/>
      <c r="BJ5314" s="290"/>
      <c r="BK5314" s="290"/>
      <c r="BL5314" s="224"/>
      <c r="BM5314" s="224"/>
      <c r="BN5314" s="224"/>
      <c r="BO5314" s="262"/>
      <c r="BP5314" s="262"/>
      <c r="BQ5314" s="262"/>
      <c r="BR5314" s="262"/>
      <c r="BS5314" s="262"/>
      <c r="BT5314" s="227"/>
      <c r="BU5314" s="227"/>
      <c r="BV5314" s="227"/>
      <c r="BW5314" s="286"/>
      <c r="BX5314" s="286"/>
      <c r="BY5314" s="227"/>
      <c r="BZ5314" s="227"/>
      <c r="CA5314" s="227"/>
      <c r="CB5314" s="190"/>
    </row>
    <row r="5315" spans="1:80" x14ac:dyDescent="0.2">
      <c r="A5315" s="257"/>
      <c r="B5315" s="667"/>
      <c r="C5315" s="667"/>
      <c r="D5315" s="292"/>
      <c r="E5315" s="257"/>
      <c r="F5315" s="257"/>
      <c r="G5315" s="227"/>
      <c r="H5315" s="227"/>
      <c r="I5315" s="227"/>
      <c r="J5315" s="227"/>
      <c r="K5315" s="227"/>
      <c r="L5315" s="660"/>
      <c r="M5315" s="671">
        <v>30467</v>
      </c>
      <c r="N5315" s="581">
        <v>3.06</v>
      </c>
      <c r="O5315" s="604">
        <f>34.9/(1000)*AD5315</f>
        <v>8.9747985599177099E-2</v>
      </c>
      <c r="P5315" s="291">
        <v>3.5000000000000003E-2</v>
      </c>
      <c r="Q5315" s="280">
        <v>0.19400000000000001</v>
      </c>
      <c r="R5315" s="280">
        <v>0.374</v>
      </c>
      <c r="S5315" s="280">
        <v>0.28899999999999998</v>
      </c>
      <c r="T5315" s="771">
        <v>0.108</v>
      </c>
      <c r="U5315" s="775"/>
      <c r="V5315" s="699"/>
      <c r="W5315" s="699"/>
      <c r="X5315" s="699"/>
      <c r="Y5315" s="776"/>
      <c r="Z5315" s="772"/>
      <c r="AA5315" s="281"/>
      <c r="AB5315" s="281"/>
      <c r="AC5315" s="174">
        <v>9.4999999999999998E-3</v>
      </c>
      <c r="AD5315" s="282">
        <f t="shared" ref="AD5315:AD5352" si="27">AF5315/AE5315</f>
        <v>2.5715755186010631</v>
      </c>
      <c r="AE5315" s="282">
        <v>0.61399999999999999</v>
      </c>
      <c r="AF5315" s="173">
        <f t="shared" si="26"/>
        <v>1.5789473684210527</v>
      </c>
      <c r="AG5315" s="177">
        <v>1.9379999999999999</v>
      </c>
      <c r="AH5315" s="349"/>
      <c r="AI5315" s="283"/>
      <c r="AJ5315" s="240"/>
      <c r="AK5315" s="240"/>
      <c r="AL5315" s="284"/>
      <c r="AM5315" s="167"/>
      <c r="AN5315" s="167"/>
      <c r="AO5315" s="167"/>
      <c r="AP5315" s="167"/>
      <c r="AQ5315" s="167"/>
      <c r="AR5315" s="551"/>
      <c r="AS5315" s="551"/>
      <c r="AT5315" s="551"/>
      <c r="AU5315" s="283"/>
      <c r="AV5315" s="283"/>
      <c r="AW5315" s="283"/>
      <c r="AX5315" s="283"/>
      <c r="AY5315" s="283"/>
      <c r="AZ5315" s="167"/>
      <c r="BA5315" s="167"/>
      <c r="BB5315" s="285"/>
      <c r="BC5315" s="154"/>
      <c r="BD5315" s="154"/>
      <c r="BE5315" s="150"/>
      <c r="BF5315" s="227"/>
      <c r="BG5315" s="227"/>
      <c r="BH5315" s="227"/>
      <c r="BI5315" s="224"/>
      <c r="BJ5315" s="290"/>
      <c r="BK5315" s="290"/>
      <c r="BL5315" s="224"/>
      <c r="BM5315" s="224"/>
      <c r="BN5315" s="224"/>
      <c r="BO5315" s="262"/>
      <c r="BP5315" s="262"/>
      <c r="BQ5315" s="262"/>
      <c r="BR5315" s="262"/>
      <c r="BS5315" s="262"/>
      <c r="BT5315" s="227"/>
      <c r="BU5315" s="227"/>
      <c r="BV5315" s="227"/>
      <c r="BW5315" s="286"/>
      <c r="BX5315" s="286"/>
      <c r="BY5315" s="227"/>
      <c r="BZ5315" s="227"/>
      <c r="CA5315" s="227"/>
      <c r="CB5315" s="190"/>
    </row>
    <row r="5316" spans="1:80" x14ac:dyDescent="0.2">
      <c r="A5316" s="257"/>
      <c r="B5316" s="667"/>
      <c r="C5316" s="667"/>
      <c r="D5316" s="292"/>
      <c r="E5316" s="257"/>
      <c r="F5316" s="257"/>
      <c r="G5316" s="227"/>
      <c r="H5316" s="227"/>
      <c r="I5316" s="227"/>
      <c r="J5316" s="227"/>
      <c r="K5316" s="227"/>
      <c r="L5316" s="660"/>
      <c r="M5316" s="671">
        <v>30468</v>
      </c>
      <c r="N5316" s="581">
        <v>2.97</v>
      </c>
      <c r="O5316" s="604">
        <f>26.31/(1000)*AD5316</f>
        <v>6.7657507500357164E-2</v>
      </c>
      <c r="P5316" s="280">
        <v>0</v>
      </c>
      <c r="Q5316" s="280">
        <v>0.252</v>
      </c>
      <c r="R5316" s="280">
        <v>0.35499999999999998</v>
      </c>
      <c r="S5316" s="280">
        <v>0.27400000000000002</v>
      </c>
      <c r="T5316" s="771">
        <v>0.11899999999999999</v>
      </c>
      <c r="U5316" s="775"/>
      <c r="V5316" s="699"/>
      <c r="W5316" s="699"/>
      <c r="X5316" s="699"/>
      <c r="Y5316" s="776"/>
      <c r="Z5316" s="772"/>
      <c r="AA5316" s="281"/>
      <c r="AB5316" s="281"/>
      <c r="AC5316" s="174">
        <v>9.4999999999999998E-3</v>
      </c>
      <c r="AD5316" s="282">
        <f t="shared" si="27"/>
        <v>2.5715510262393448</v>
      </c>
      <c r="AE5316" s="282">
        <v>0.60499999999999998</v>
      </c>
      <c r="AF5316" s="173">
        <f t="shared" si="26"/>
        <v>1.5557883708748037</v>
      </c>
      <c r="AG5316" s="177">
        <v>1.909</v>
      </c>
      <c r="AH5316" s="349"/>
      <c r="AI5316" s="283"/>
      <c r="AJ5316" s="240"/>
      <c r="AK5316" s="240"/>
      <c r="AL5316" s="284"/>
      <c r="AM5316" s="167"/>
      <c r="AN5316" s="167"/>
      <c r="AO5316" s="167"/>
      <c r="AP5316" s="167"/>
      <c r="AQ5316" s="167"/>
      <c r="AR5316" s="551"/>
      <c r="AS5316" s="551"/>
      <c r="AT5316" s="551"/>
      <c r="AU5316" s="283"/>
      <c r="AV5316" s="283"/>
      <c r="AW5316" s="283"/>
      <c r="AX5316" s="283"/>
      <c r="AY5316" s="283"/>
      <c r="AZ5316" s="167"/>
      <c r="BA5316" s="167"/>
      <c r="BB5316" s="285"/>
      <c r="BC5316" s="154"/>
      <c r="BD5316" s="154"/>
      <c r="BE5316" s="150"/>
      <c r="BF5316" s="227"/>
      <c r="BG5316" s="227"/>
      <c r="BH5316" s="227"/>
      <c r="BI5316" s="224"/>
      <c r="BJ5316" s="290"/>
      <c r="BK5316" s="290"/>
      <c r="BL5316" s="224"/>
      <c r="BM5316" s="224"/>
      <c r="BN5316" s="224"/>
      <c r="BO5316" s="262"/>
      <c r="BP5316" s="262"/>
      <c r="BQ5316" s="262"/>
      <c r="BR5316" s="262"/>
      <c r="BS5316" s="262"/>
      <c r="BT5316" s="227"/>
      <c r="BU5316" s="227"/>
      <c r="BV5316" s="227"/>
      <c r="BW5316" s="286"/>
      <c r="BX5316" s="286"/>
      <c r="BY5316" s="227"/>
      <c r="BZ5316" s="227"/>
      <c r="CA5316" s="227"/>
      <c r="CB5316" s="190"/>
    </row>
    <row r="5317" spans="1:80" x14ac:dyDescent="0.2">
      <c r="A5317" s="257"/>
      <c r="B5317" s="667"/>
      <c r="C5317" s="667"/>
      <c r="D5317" s="292"/>
      <c r="E5317" s="257"/>
      <c r="F5317" s="257"/>
      <c r="G5317" s="227"/>
      <c r="H5317" s="227"/>
      <c r="I5317" s="227"/>
      <c r="J5317" s="227"/>
      <c r="K5317" s="227"/>
      <c r="L5317" s="660"/>
      <c r="M5317" s="671">
        <v>30469</v>
      </c>
      <c r="N5317" s="581">
        <v>2.91</v>
      </c>
      <c r="O5317" s="604">
        <f>14.94/(1000)*AD5317</f>
        <v>3.8527471008289425E-2</v>
      </c>
      <c r="P5317" s="280">
        <v>0</v>
      </c>
      <c r="Q5317" s="280">
        <v>0.255</v>
      </c>
      <c r="R5317" s="280">
        <v>0.38300000000000001</v>
      </c>
      <c r="S5317" s="280">
        <v>0.253</v>
      </c>
      <c r="T5317" s="771">
        <v>0.109</v>
      </c>
      <c r="U5317" s="775"/>
      <c r="V5317" s="699"/>
      <c r="W5317" s="699"/>
      <c r="X5317" s="699"/>
      <c r="Y5317" s="776"/>
      <c r="Z5317" s="772"/>
      <c r="AA5317" s="281"/>
      <c r="AB5317" s="281"/>
      <c r="AC5317" s="174">
        <v>9.4999999999999998E-3</v>
      </c>
      <c r="AD5317" s="282">
        <f t="shared" si="27"/>
        <v>2.5788133205013004</v>
      </c>
      <c r="AE5317" s="282">
        <v>0.59799999999999998</v>
      </c>
      <c r="AF5317" s="173">
        <f t="shared" si="26"/>
        <v>1.5421303656597776</v>
      </c>
      <c r="AG5317" s="177">
        <v>1.887</v>
      </c>
      <c r="AH5317" s="349"/>
      <c r="AI5317" s="283"/>
      <c r="AJ5317" s="240"/>
      <c r="AK5317" s="240"/>
      <c r="AL5317" s="284"/>
      <c r="AM5317" s="167"/>
      <c r="AN5317" s="167"/>
      <c r="AO5317" s="167"/>
      <c r="AP5317" s="167"/>
      <c r="AQ5317" s="167"/>
      <c r="AR5317" s="551"/>
      <c r="AS5317" s="551"/>
      <c r="AT5317" s="551"/>
      <c r="AU5317" s="283"/>
      <c r="AV5317" s="283"/>
      <c r="AW5317" s="283"/>
      <c r="AX5317" s="283"/>
      <c r="AY5317" s="283"/>
      <c r="AZ5317" s="167"/>
      <c r="BA5317" s="167"/>
      <c r="BB5317" s="285"/>
      <c r="BC5317" s="154"/>
      <c r="BD5317" s="154"/>
      <c r="BE5317" s="150"/>
      <c r="BF5317" s="227"/>
      <c r="BG5317" s="227"/>
      <c r="BH5317" s="227"/>
      <c r="BI5317" s="224"/>
      <c r="BJ5317" s="290"/>
      <c r="BK5317" s="290"/>
      <c r="BL5317" s="224"/>
      <c r="BM5317" s="224"/>
      <c r="BN5317" s="224"/>
      <c r="BO5317" s="262"/>
      <c r="BP5317" s="262"/>
      <c r="BQ5317" s="262"/>
      <c r="BR5317" s="262"/>
      <c r="BS5317" s="262"/>
      <c r="BT5317" s="227"/>
      <c r="BU5317" s="227"/>
      <c r="BV5317" s="227"/>
      <c r="BW5317" s="286"/>
      <c r="BX5317" s="286"/>
      <c r="BY5317" s="227"/>
      <c r="BZ5317" s="227"/>
      <c r="CA5317" s="227"/>
      <c r="CB5317" s="190"/>
    </row>
    <row r="5318" spans="1:80" x14ac:dyDescent="0.2">
      <c r="A5318" s="257"/>
      <c r="B5318" s="667"/>
      <c r="C5318" s="667"/>
      <c r="D5318" s="292"/>
      <c r="E5318" s="257"/>
      <c r="F5318" s="257"/>
      <c r="G5318" s="227"/>
      <c r="H5318" s="227"/>
      <c r="I5318" s="227"/>
      <c r="J5318" s="227"/>
      <c r="K5318" s="227"/>
      <c r="L5318" s="660"/>
      <c r="M5318" s="671">
        <v>30470</v>
      </c>
      <c r="N5318" s="581">
        <v>2.87</v>
      </c>
      <c r="O5318" s="604">
        <f>8.984/(1000)*AD5318</f>
        <v>8.6170401908950561E-3</v>
      </c>
      <c r="P5318" s="280">
        <v>0</v>
      </c>
      <c r="Q5318" s="280">
        <v>0.251</v>
      </c>
      <c r="R5318" s="280">
        <v>0.35199999999999998</v>
      </c>
      <c r="S5318" s="280">
        <v>0.28299999999999997</v>
      </c>
      <c r="T5318" s="771">
        <v>0.114</v>
      </c>
      <c r="U5318" s="775"/>
      <c r="V5318" s="699"/>
      <c r="W5318" s="699"/>
      <c r="X5318" s="699"/>
      <c r="Y5318" s="776"/>
      <c r="Z5318" s="772"/>
      <c r="AA5318" s="281"/>
      <c r="AB5318" s="281"/>
      <c r="AC5318" s="174">
        <v>9.4999999999999998E-3</v>
      </c>
      <c r="AD5318" s="282">
        <f t="shared" si="27"/>
        <v>0.95915407289570964</v>
      </c>
      <c r="AE5318" s="282">
        <v>1.595</v>
      </c>
      <c r="AF5318" s="173">
        <f t="shared" si="26"/>
        <v>1.5298507462686568</v>
      </c>
      <c r="AG5318" s="177">
        <v>1.8759999999999999</v>
      </c>
      <c r="AH5318" s="349"/>
      <c r="AI5318" s="283"/>
      <c r="AJ5318" s="240"/>
      <c r="AK5318" s="240"/>
      <c r="AL5318" s="284"/>
      <c r="AM5318" s="167"/>
      <c r="AN5318" s="167"/>
      <c r="AO5318" s="167"/>
      <c r="AP5318" s="167"/>
      <c r="AQ5318" s="167"/>
      <c r="AR5318" s="551"/>
      <c r="AS5318" s="551"/>
      <c r="AT5318" s="551"/>
      <c r="AU5318" s="283"/>
      <c r="AV5318" s="283"/>
      <c r="AW5318" s="283"/>
      <c r="AX5318" s="283"/>
      <c r="AY5318" s="283"/>
      <c r="AZ5318" s="167"/>
      <c r="BA5318" s="167"/>
      <c r="BB5318" s="285"/>
      <c r="BC5318" s="154"/>
      <c r="BD5318" s="154"/>
      <c r="BE5318" s="150"/>
      <c r="BF5318" s="227"/>
      <c r="BG5318" s="227"/>
      <c r="BH5318" s="227"/>
      <c r="BI5318" s="224"/>
      <c r="BJ5318" s="227"/>
      <c r="BK5318" s="227"/>
      <c r="BL5318" s="224"/>
      <c r="BM5318" s="224"/>
      <c r="BN5318" s="224"/>
      <c r="BO5318" s="262"/>
      <c r="BP5318" s="262"/>
      <c r="BQ5318" s="262"/>
      <c r="BR5318" s="262"/>
      <c r="BS5318" s="262"/>
      <c r="BT5318" s="227"/>
      <c r="BU5318" s="227"/>
      <c r="BV5318" s="227"/>
      <c r="BW5318" s="286"/>
      <c r="BX5318" s="286"/>
      <c r="BY5318" s="227"/>
      <c r="BZ5318" s="227"/>
      <c r="CA5318" s="227"/>
      <c r="CB5318" s="190"/>
    </row>
    <row r="5319" spans="1:80" x14ac:dyDescent="0.2">
      <c r="A5319" s="257"/>
      <c r="B5319" s="667"/>
      <c r="C5319" s="667"/>
      <c r="D5319" s="292"/>
      <c r="E5319" s="257"/>
      <c r="F5319" s="257"/>
      <c r="G5319" s="227"/>
      <c r="H5319" s="227"/>
      <c r="I5319" s="227"/>
      <c r="J5319" s="227"/>
      <c r="K5319" s="227"/>
      <c r="L5319" s="660"/>
      <c r="M5319" s="671">
        <v>30471</v>
      </c>
      <c r="N5319" s="581">
        <v>2.85</v>
      </c>
      <c r="O5319" s="604">
        <f>8.445/(1000)*AD5319</f>
        <v>2.1776019123033053E-2</v>
      </c>
      <c r="P5319" s="291">
        <v>0.108</v>
      </c>
      <c r="Q5319" s="280">
        <v>0.11799999999999999</v>
      </c>
      <c r="R5319" s="280">
        <v>0.34799999999999998</v>
      </c>
      <c r="S5319" s="280">
        <v>0.314</v>
      </c>
      <c r="T5319" s="771">
        <v>0.112</v>
      </c>
      <c r="U5319" s="775"/>
      <c r="V5319" s="699"/>
      <c r="W5319" s="699"/>
      <c r="X5319" s="699"/>
      <c r="Y5319" s="776"/>
      <c r="Z5319" s="772"/>
      <c r="AA5319" s="281"/>
      <c r="AB5319" s="281"/>
      <c r="AC5319" s="174">
        <v>9.4999999999999998E-3</v>
      </c>
      <c r="AD5319" s="282">
        <f t="shared" si="27"/>
        <v>2.5785694639470753</v>
      </c>
      <c r="AE5319" s="282">
        <v>0.59199999999999997</v>
      </c>
      <c r="AF5319" s="173">
        <f t="shared" si="26"/>
        <v>1.5265131226566686</v>
      </c>
      <c r="AG5319" s="177">
        <v>1.867</v>
      </c>
      <c r="AH5319" s="349"/>
      <c r="AI5319" s="283"/>
      <c r="AJ5319" s="240"/>
      <c r="AK5319" s="240"/>
      <c r="AL5319" s="284"/>
      <c r="AM5319" s="167"/>
      <c r="AN5319" s="167"/>
      <c r="AO5319" s="167"/>
      <c r="AP5319" s="167"/>
      <c r="AQ5319" s="167"/>
      <c r="AR5319" s="551"/>
      <c r="AS5319" s="551"/>
      <c r="AT5319" s="551"/>
      <c r="AU5319" s="283"/>
      <c r="AV5319" s="283"/>
      <c r="AW5319" s="283"/>
      <c r="AX5319" s="283"/>
      <c r="AY5319" s="283"/>
      <c r="AZ5319" s="167"/>
      <c r="BA5319" s="167"/>
      <c r="BB5319" s="285"/>
      <c r="BC5319" s="154"/>
      <c r="BD5319" s="154"/>
      <c r="BE5319" s="150"/>
      <c r="BF5319" s="227"/>
      <c r="BG5319" s="227"/>
      <c r="BH5319" s="227"/>
      <c r="BI5319" s="224"/>
      <c r="BJ5319" s="290"/>
      <c r="BK5319" s="290"/>
      <c r="BL5319" s="224"/>
      <c r="BM5319" s="224"/>
      <c r="BN5319" s="224"/>
      <c r="BO5319" s="262"/>
      <c r="BP5319" s="262"/>
      <c r="BQ5319" s="262"/>
      <c r="BR5319" s="262"/>
      <c r="BS5319" s="262"/>
      <c r="BT5319" s="227"/>
      <c r="BU5319" s="227"/>
      <c r="BV5319" s="227"/>
      <c r="BW5319" s="286"/>
      <c r="BX5319" s="286"/>
      <c r="BY5319" s="227"/>
      <c r="BZ5319" s="227"/>
      <c r="CA5319" s="227"/>
      <c r="CB5319" s="190"/>
    </row>
    <row r="5320" spans="1:80" x14ac:dyDescent="0.2">
      <c r="A5320" s="257"/>
      <c r="B5320" s="667"/>
      <c r="C5320" s="667"/>
      <c r="D5320" s="292"/>
      <c r="E5320" s="257"/>
      <c r="F5320" s="257"/>
      <c r="G5320" s="227"/>
      <c r="H5320" s="227"/>
      <c r="I5320" s="227"/>
      <c r="J5320" s="227"/>
      <c r="K5320" s="227"/>
      <c r="L5320" s="660"/>
      <c r="M5320" s="671">
        <v>30472</v>
      </c>
      <c r="N5320" s="581">
        <v>2.83</v>
      </c>
      <c r="O5320" s="604">
        <f>16.5/(1000)*AD5320</f>
        <v>4.2410172992090163E-2</v>
      </c>
      <c r="P5320" s="291">
        <v>0.114</v>
      </c>
      <c r="Q5320" s="280">
        <v>0.19400000000000001</v>
      </c>
      <c r="R5320" s="280">
        <v>0.33900000000000002</v>
      </c>
      <c r="S5320" s="280">
        <v>0.245</v>
      </c>
      <c r="T5320" s="771">
        <v>0.108</v>
      </c>
      <c r="U5320" s="775"/>
      <c r="V5320" s="699"/>
      <c r="W5320" s="699"/>
      <c r="X5320" s="699"/>
      <c r="Y5320" s="776"/>
      <c r="Z5320" s="772"/>
      <c r="AA5320" s="281"/>
      <c r="AB5320" s="281"/>
      <c r="AC5320" s="174">
        <v>9.4999999999999998E-3</v>
      </c>
      <c r="AD5320" s="282">
        <f t="shared" si="27"/>
        <v>2.5703135146721308</v>
      </c>
      <c r="AE5320" s="282">
        <v>0.59099999999999997</v>
      </c>
      <c r="AF5320" s="173">
        <f t="shared" si="26"/>
        <v>1.5190552871712293</v>
      </c>
      <c r="AG5320" s="177">
        <v>1.863</v>
      </c>
      <c r="AH5320" s="349"/>
      <c r="AI5320" s="283"/>
      <c r="AJ5320" s="240"/>
      <c r="AK5320" s="240"/>
      <c r="AL5320" s="284"/>
      <c r="AM5320" s="167"/>
      <c r="AN5320" s="167"/>
      <c r="AO5320" s="167"/>
      <c r="AP5320" s="167"/>
      <c r="AQ5320" s="167"/>
      <c r="AR5320" s="551"/>
      <c r="AS5320" s="551"/>
      <c r="AT5320" s="551"/>
      <c r="AU5320" s="283"/>
      <c r="AV5320" s="283"/>
      <c r="AW5320" s="283"/>
      <c r="AX5320" s="283"/>
      <c r="AY5320" s="283"/>
      <c r="AZ5320" s="167"/>
      <c r="BA5320" s="167"/>
      <c r="BB5320" s="285"/>
      <c r="BC5320" s="154"/>
      <c r="BD5320" s="154"/>
      <c r="BE5320" s="150"/>
      <c r="BF5320" s="227"/>
      <c r="BG5320" s="227"/>
      <c r="BH5320" s="227"/>
      <c r="BI5320" s="224"/>
      <c r="BJ5320" s="227"/>
      <c r="BK5320" s="227"/>
      <c r="BL5320" s="224"/>
      <c r="BM5320" s="224"/>
      <c r="BN5320" s="224"/>
      <c r="BO5320" s="262"/>
      <c r="BP5320" s="262"/>
      <c r="BQ5320" s="262"/>
      <c r="BR5320" s="262"/>
      <c r="BS5320" s="262"/>
      <c r="BT5320" s="227"/>
      <c r="BU5320" s="227"/>
      <c r="BV5320" s="227"/>
      <c r="BW5320" s="286"/>
      <c r="BX5320" s="286"/>
      <c r="BY5320" s="227"/>
      <c r="BZ5320" s="227"/>
      <c r="CA5320" s="227"/>
      <c r="CB5320" s="190"/>
    </row>
    <row r="5321" spans="1:80" x14ac:dyDescent="0.2">
      <c r="A5321" s="257"/>
      <c r="B5321" s="667"/>
      <c r="C5321" s="667"/>
      <c r="D5321" s="292"/>
      <c r="E5321" s="257"/>
      <c r="F5321" s="257"/>
      <c r="G5321" s="227"/>
      <c r="H5321" s="227"/>
      <c r="I5321" s="227"/>
      <c r="J5321" s="227"/>
      <c r="K5321" s="227"/>
      <c r="L5321" s="660"/>
      <c r="M5321" s="671">
        <v>30473</v>
      </c>
      <c r="N5321" s="582">
        <v>2.8</v>
      </c>
      <c r="O5321" s="604">
        <f>12.56/(1000)*AD5321</f>
        <v>3.2332117630510311E-2</v>
      </c>
      <c r="P5321" s="280">
        <v>0</v>
      </c>
      <c r="Q5321" s="280">
        <v>0.19800000000000001</v>
      </c>
      <c r="R5321" s="280">
        <v>0.33800000000000002</v>
      </c>
      <c r="S5321" s="280">
        <v>0.30499999999999999</v>
      </c>
      <c r="T5321" s="771">
        <v>0.159</v>
      </c>
      <c r="U5321" s="775"/>
      <c r="V5321" s="699"/>
      <c r="W5321" s="699"/>
      <c r="X5321" s="699"/>
      <c r="Y5321" s="776"/>
      <c r="Z5321" s="772"/>
      <c r="AA5321" s="281"/>
      <c r="AB5321" s="281"/>
      <c r="AC5321" s="174">
        <v>9.4999999999999998E-3</v>
      </c>
      <c r="AD5321" s="282">
        <f t="shared" si="27"/>
        <v>2.5742131871425409</v>
      </c>
      <c r="AE5321" s="282">
        <v>0.58699999999999997</v>
      </c>
      <c r="AF5321" s="173">
        <f t="shared" si="26"/>
        <v>1.5110631408526713</v>
      </c>
      <c r="AG5321" s="177">
        <v>1.853</v>
      </c>
      <c r="AH5321" s="349"/>
      <c r="AI5321" s="283"/>
      <c r="AJ5321" s="240"/>
      <c r="AK5321" s="240"/>
      <c r="AL5321" s="284"/>
      <c r="AM5321" s="167"/>
      <c r="AN5321" s="167"/>
      <c r="AO5321" s="167"/>
      <c r="AP5321" s="167"/>
      <c r="AQ5321" s="167"/>
      <c r="AR5321" s="551"/>
      <c r="AS5321" s="551"/>
      <c r="AT5321" s="551"/>
      <c r="AU5321" s="283"/>
      <c r="AV5321" s="283"/>
      <c r="AW5321" s="283"/>
      <c r="AX5321" s="283"/>
      <c r="AY5321" s="283"/>
      <c r="AZ5321" s="167"/>
      <c r="BA5321" s="167"/>
      <c r="BB5321" s="285"/>
      <c r="BC5321" s="154"/>
      <c r="BD5321" s="154"/>
      <c r="BE5321" s="150"/>
      <c r="BF5321" s="227"/>
      <c r="BG5321" s="227"/>
      <c r="BH5321" s="227"/>
      <c r="BI5321" s="224"/>
      <c r="BJ5321" s="290"/>
      <c r="BK5321" s="290"/>
      <c r="BL5321" s="224"/>
      <c r="BM5321" s="224"/>
      <c r="BN5321" s="224"/>
      <c r="BO5321" s="262"/>
      <c r="BP5321" s="262"/>
      <c r="BQ5321" s="262"/>
      <c r="BR5321" s="262"/>
      <c r="BS5321" s="262"/>
      <c r="BT5321" s="227"/>
      <c r="BU5321" s="227"/>
      <c r="BV5321" s="227"/>
      <c r="BW5321" s="286"/>
      <c r="BX5321" s="286"/>
      <c r="BY5321" s="227"/>
      <c r="BZ5321" s="227"/>
      <c r="CA5321" s="227"/>
      <c r="CB5321" s="190"/>
    </row>
    <row r="5322" spans="1:80" x14ac:dyDescent="0.2">
      <c r="A5322" s="257"/>
      <c r="B5322" s="667"/>
      <c r="C5322" s="667"/>
      <c r="D5322" s="292"/>
      <c r="E5322" s="257"/>
      <c r="F5322" s="257"/>
      <c r="G5322" s="227"/>
      <c r="H5322" s="227"/>
      <c r="I5322" s="227"/>
      <c r="J5322" s="227"/>
      <c r="K5322" s="227"/>
      <c r="L5322" s="660"/>
      <c r="M5322" s="671">
        <v>30474</v>
      </c>
      <c r="N5322" s="581">
        <v>2.83</v>
      </c>
      <c r="O5322" s="604">
        <f>11.74/(1000)*AD5322</f>
        <v>3.0175480662250818E-2</v>
      </c>
      <c r="P5322" s="280">
        <v>0</v>
      </c>
      <c r="Q5322" s="280">
        <v>0.214</v>
      </c>
      <c r="R5322" s="280">
        <v>0.38400000000000001</v>
      </c>
      <c r="S5322" s="280">
        <v>0.29099999999999998</v>
      </c>
      <c r="T5322" s="771">
        <v>0.111</v>
      </c>
      <c r="U5322" s="775"/>
      <c r="V5322" s="699"/>
      <c r="W5322" s="699"/>
      <c r="X5322" s="699"/>
      <c r="Y5322" s="776"/>
      <c r="Z5322" s="772"/>
      <c r="AA5322" s="281"/>
      <c r="AB5322" s="281"/>
      <c r="AC5322" s="174">
        <v>9.4999999999999998E-3</v>
      </c>
      <c r="AD5322" s="282">
        <f t="shared" si="27"/>
        <v>2.5703135146721308</v>
      </c>
      <c r="AE5322" s="282">
        <v>0.59099999999999997</v>
      </c>
      <c r="AF5322" s="173">
        <f t="shared" si="26"/>
        <v>1.5190552871712293</v>
      </c>
      <c r="AG5322" s="177">
        <v>1.863</v>
      </c>
      <c r="AH5322" s="349"/>
      <c r="AI5322" s="283"/>
      <c r="AJ5322" s="240"/>
      <c r="AK5322" s="240"/>
      <c r="AL5322" s="284"/>
      <c r="AM5322" s="167"/>
      <c r="AN5322" s="167"/>
      <c r="AO5322" s="167"/>
      <c r="AP5322" s="167"/>
      <c r="AQ5322" s="167"/>
      <c r="AR5322" s="551"/>
      <c r="AS5322" s="551"/>
      <c r="AT5322" s="551"/>
      <c r="AU5322" s="283"/>
      <c r="AV5322" s="283"/>
      <c r="AW5322" s="283"/>
      <c r="AX5322" s="283"/>
      <c r="AY5322" s="283"/>
      <c r="AZ5322" s="167"/>
      <c r="BA5322" s="167"/>
      <c r="BB5322" s="285"/>
      <c r="BC5322" s="154"/>
      <c r="BD5322" s="154"/>
      <c r="BE5322" s="150"/>
      <c r="BF5322" s="227"/>
      <c r="BG5322" s="227"/>
      <c r="BH5322" s="227"/>
      <c r="BI5322" s="224"/>
      <c r="BJ5322" s="290"/>
      <c r="BK5322" s="290"/>
      <c r="BL5322" s="224"/>
      <c r="BM5322" s="224"/>
      <c r="BN5322" s="224"/>
      <c r="BO5322" s="262"/>
      <c r="BP5322" s="262"/>
      <c r="BQ5322" s="262"/>
      <c r="BR5322" s="262"/>
      <c r="BS5322" s="262"/>
      <c r="BT5322" s="227"/>
      <c r="BU5322" s="227"/>
      <c r="BV5322" s="227"/>
      <c r="BW5322" s="286"/>
      <c r="BX5322" s="286"/>
      <c r="BY5322" s="227"/>
      <c r="BZ5322" s="227"/>
      <c r="CA5322" s="227"/>
      <c r="CB5322" s="190"/>
    </row>
    <row r="5323" spans="1:80" x14ac:dyDescent="0.2">
      <c r="A5323" s="257"/>
      <c r="B5323" s="667"/>
      <c r="C5323" s="667"/>
      <c r="D5323" s="292"/>
      <c r="E5323" s="257"/>
      <c r="F5323" s="257"/>
      <c r="G5323" s="227"/>
      <c r="H5323" s="227"/>
      <c r="I5323" s="227"/>
      <c r="J5323" s="227"/>
      <c r="K5323" s="227"/>
      <c r="L5323" s="660"/>
      <c r="M5323" s="671">
        <v>30475</v>
      </c>
      <c r="N5323" s="581">
        <v>2.86</v>
      </c>
      <c r="O5323" s="604">
        <f>17.77/(1000)*AD5323</f>
        <v>4.5704732510288074E-2</v>
      </c>
      <c r="P5323" s="280">
        <v>0</v>
      </c>
      <c r="Q5323" s="280">
        <v>0.21</v>
      </c>
      <c r="R5323" s="280">
        <v>0.34499999999999997</v>
      </c>
      <c r="S5323" s="280">
        <v>0.30599999999999999</v>
      </c>
      <c r="T5323" s="771">
        <v>0.13900000000000001</v>
      </c>
      <c r="U5323" s="775"/>
      <c r="V5323" s="699"/>
      <c r="W5323" s="699"/>
      <c r="X5323" s="699"/>
      <c r="Y5323" s="776"/>
      <c r="Z5323" s="772"/>
      <c r="AA5323" s="281"/>
      <c r="AB5323" s="281"/>
      <c r="AC5323" s="174">
        <v>9.4999999999999998E-3</v>
      </c>
      <c r="AD5323" s="282">
        <f t="shared" si="27"/>
        <v>2.57201646090535</v>
      </c>
      <c r="AE5323" s="282">
        <v>0.59399999999999997</v>
      </c>
      <c r="AF5323" s="173">
        <f t="shared" si="26"/>
        <v>1.5277777777777777</v>
      </c>
      <c r="AG5323" s="177">
        <v>1.8720000000000001</v>
      </c>
      <c r="AH5323" s="349"/>
      <c r="AI5323" s="283"/>
      <c r="AJ5323" s="240"/>
      <c r="AK5323" s="240"/>
      <c r="AL5323" s="284"/>
      <c r="AM5323" s="167"/>
      <c r="AN5323" s="167"/>
      <c r="AO5323" s="167"/>
      <c r="AP5323" s="167"/>
      <c r="AQ5323" s="167"/>
      <c r="AR5323" s="551"/>
      <c r="AS5323" s="551"/>
      <c r="AT5323" s="551"/>
      <c r="AU5323" s="283"/>
      <c r="AV5323" s="283"/>
      <c r="AW5323" s="283"/>
      <c r="AX5323" s="283"/>
      <c r="AY5323" s="283"/>
      <c r="AZ5323" s="167"/>
      <c r="BA5323" s="167"/>
      <c r="BB5323" s="285"/>
      <c r="BC5323" s="154"/>
      <c r="BD5323" s="154"/>
      <c r="BE5323" s="150"/>
      <c r="BF5323" s="227"/>
      <c r="BG5323" s="227"/>
      <c r="BH5323" s="227"/>
      <c r="BI5323" s="224"/>
      <c r="BJ5323" s="290"/>
      <c r="BK5323" s="290"/>
      <c r="BL5323" s="224"/>
      <c r="BM5323" s="224"/>
      <c r="BN5323" s="224"/>
      <c r="BO5323" s="262"/>
      <c r="BP5323" s="262"/>
      <c r="BQ5323" s="262"/>
      <c r="BR5323" s="262"/>
      <c r="BS5323" s="262"/>
      <c r="BT5323" s="227"/>
      <c r="BU5323" s="227"/>
      <c r="BV5323" s="227"/>
      <c r="BW5323" s="286"/>
      <c r="BX5323" s="286"/>
      <c r="BY5323" s="227"/>
      <c r="BZ5323" s="227"/>
      <c r="CA5323" s="227"/>
      <c r="CB5323" s="190"/>
    </row>
    <row r="5324" spans="1:80" x14ac:dyDescent="0.2">
      <c r="A5324" s="257"/>
      <c r="B5324" s="667"/>
      <c r="C5324" s="667"/>
      <c r="D5324" s="292"/>
      <c r="E5324" s="257"/>
      <c r="F5324" s="257"/>
      <c r="G5324" s="227"/>
      <c r="H5324" s="227"/>
      <c r="I5324" s="227"/>
      <c r="J5324" s="227"/>
      <c r="K5324" s="227"/>
      <c r="L5324" s="660"/>
      <c r="M5324" s="671">
        <v>30476</v>
      </c>
      <c r="N5324" s="582">
        <v>2.8</v>
      </c>
      <c r="O5324" s="604">
        <f>6.758/(1000)*AD5324</f>
        <v>1.7396532718709293E-2</v>
      </c>
      <c r="P5324" s="280">
        <v>0</v>
      </c>
      <c r="Q5324" s="280">
        <v>0.25</v>
      </c>
      <c r="R5324" s="280">
        <v>0.41499999999999998</v>
      </c>
      <c r="S5324" s="280">
        <v>0.22800000000000001</v>
      </c>
      <c r="T5324" s="771">
        <v>0.107</v>
      </c>
      <c r="U5324" s="775"/>
      <c r="V5324" s="699"/>
      <c r="W5324" s="699"/>
      <c r="X5324" s="699"/>
      <c r="Y5324" s="776"/>
      <c r="Z5324" s="772"/>
      <c r="AA5324" s="281"/>
      <c r="AB5324" s="281"/>
      <c r="AC5324" s="174">
        <v>9.4999999999999998E-3</v>
      </c>
      <c r="AD5324" s="282">
        <f t="shared" si="27"/>
        <v>2.5742131871425409</v>
      </c>
      <c r="AE5324" s="282">
        <v>0.58699999999999997</v>
      </c>
      <c r="AF5324" s="173">
        <f t="shared" si="26"/>
        <v>1.5110631408526713</v>
      </c>
      <c r="AG5324" s="177">
        <v>1.853</v>
      </c>
      <c r="AH5324" s="349"/>
      <c r="AI5324" s="283"/>
      <c r="AJ5324" s="240"/>
      <c r="AK5324" s="240"/>
      <c r="AL5324" s="284"/>
      <c r="AM5324" s="167"/>
      <c r="AN5324" s="167"/>
      <c r="AO5324" s="167"/>
      <c r="AP5324" s="167"/>
      <c r="AQ5324" s="167"/>
      <c r="AR5324" s="551"/>
      <c r="AS5324" s="551"/>
      <c r="AT5324" s="551"/>
      <c r="AU5324" s="283"/>
      <c r="AV5324" s="283"/>
      <c r="AW5324" s="283"/>
      <c r="AX5324" s="283"/>
      <c r="AY5324" s="283"/>
      <c r="AZ5324" s="167"/>
      <c r="BA5324" s="167"/>
      <c r="BB5324" s="285"/>
      <c r="BC5324" s="154"/>
      <c r="BD5324" s="154"/>
      <c r="BE5324" s="150"/>
      <c r="BF5324" s="227"/>
      <c r="BG5324" s="227"/>
      <c r="BH5324" s="227"/>
      <c r="BI5324" s="224"/>
      <c r="BJ5324" s="290"/>
      <c r="BK5324" s="290"/>
      <c r="BL5324" s="224"/>
      <c r="BM5324" s="224"/>
      <c r="BN5324" s="224"/>
      <c r="BO5324" s="262"/>
      <c r="BP5324" s="262"/>
      <c r="BQ5324" s="262"/>
      <c r="BR5324" s="262"/>
      <c r="BS5324" s="262"/>
      <c r="BT5324" s="227"/>
      <c r="BU5324" s="227"/>
      <c r="BV5324" s="227"/>
      <c r="BW5324" s="286"/>
      <c r="BX5324" s="286"/>
      <c r="BY5324" s="227"/>
      <c r="BZ5324" s="227"/>
      <c r="CA5324" s="227"/>
      <c r="CB5324" s="190"/>
    </row>
    <row r="5325" spans="1:80" x14ac:dyDescent="0.2">
      <c r="A5325" s="257"/>
      <c r="B5325" s="667"/>
      <c r="C5325" s="667"/>
      <c r="D5325" s="292"/>
      <c r="E5325" s="257"/>
      <c r="F5325" s="257"/>
      <c r="G5325" s="227"/>
      <c r="H5325" s="227"/>
      <c r="I5325" s="227"/>
      <c r="J5325" s="227"/>
      <c r="K5325" s="227"/>
      <c r="L5325" s="660"/>
      <c r="M5325" s="671">
        <v>30477</v>
      </c>
      <c r="N5325" s="581">
        <v>2.86</v>
      </c>
      <c r="O5325" s="604">
        <f>9.991/(1000)*AD5325</f>
        <v>2.5697016460905352E-2</v>
      </c>
      <c r="P5325" s="291">
        <v>0.112</v>
      </c>
      <c r="Q5325" s="280">
        <v>0.161</v>
      </c>
      <c r="R5325" s="280">
        <v>0.32800000000000001</v>
      </c>
      <c r="S5325" s="280">
        <v>0.25700000000000001</v>
      </c>
      <c r="T5325" s="771">
        <v>0.14199999999999999</v>
      </c>
      <c r="U5325" s="775"/>
      <c r="V5325" s="699"/>
      <c r="W5325" s="699"/>
      <c r="X5325" s="699"/>
      <c r="Y5325" s="776"/>
      <c r="Z5325" s="772"/>
      <c r="AA5325" s="281"/>
      <c r="AB5325" s="281"/>
      <c r="AC5325" s="174">
        <v>9.4999999999999998E-3</v>
      </c>
      <c r="AD5325" s="282">
        <f t="shared" si="27"/>
        <v>2.57201646090535</v>
      </c>
      <c r="AE5325" s="282">
        <v>0.59399999999999997</v>
      </c>
      <c r="AF5325" s="173">
        <f t="shared" si="26"/>
        <v>1.5277777777777777</v>
      </c>
      <c r="AG5325" s="177">
        <v>1.8720000000000001</v>
      </c>
      <c r="AH5325" s="349"/>
      <c r="AI5325" s="283"/>
      <c r="AJ5325" s="240"/>
      <c r="AK5325" s="240"/>
      <c r="AL5325" s="284"/>
      <c r="AM5325" s="167"/>
      <c r="AN5325" s="167"/>
      <c r="AO5325" s="167"/>
      <c r="AP5325" s="167"/>
      <c r="AQ5325" s="167"/>
      <c r="AR5325" s="551"/>
      <c r="AS5325" s="551"/>
      <c r="AT5325" s="551"/>
      <c r="AU5325" s="283"/>
      <c r="AV5325" s="283"/>
      <c r="AW5325" s="283"/>
      <c r="AX5325" s="283"/>
      <c r="AY5325" s="283"/>
      <c r="AZ5325" s="167"/>
      <c r="BA5325" s="167"/>
      <c r="BB5325" s="285"/>
      <c r="BC5325" s="154"/>
      <c r="BD5325" s="154"/>
      <c r="BE5325" s="150"/>
      <c r="BF5325" s="227"/>
      <c r="BG5325" s="227"/>
      <c r="BH5325" s="227"/>
      <c r="BI5325" s="224"/>
      <c r="BJ5325" s="290"/>
      <c r="BK5325" s="290"/>
      <c r="BL5325" s="224"/>
      <c r="BM5325" s="224"/>
      <c r="BN5325" s="224"/>
      <c r="BO5325" s="262"/>
      <c r="BP5325" s="262"/>
      <c r="BQ5325" s="262"/>
      <c r="BR5325" s="262"/>
      <c r="BS5325" s="262"/>
      <c r="BT5325" s="227"/>
      <c r="BU5325" s="227"/>
      <c r="BV5325" s="227"/>
      <c r="BW5325" s="286"/>
      <c r="BX5325" s="286"/>
      <c r="BY5325" s="227"/>
      <c r="BZ5325" s="227"/>
      <c r="CA5325" s="227"/>
      <c r="CB5325" s="190"/>
    </row>
    <row r="5326" spans="1:80" x14ac:dyDescent="0.2">
      <c r="A5326" s="257"/>
      <c r="B5326" s="667"/>
      <c r="C5326" s="667"/>
      <c r="D5326" s="292"/>
      <c r="E5326" s="257"/>
      <c r="F5326" s="257"/>
      <c r="G5326" s="227"/>
      <c r="H5326" s="227"/>
      <c r="I5326" s="227"/>
      <c r="J5326" s="227"/>
      <c r="K5326" s="227"/>
      <c r="L5326" s="660"/>
      <c r="M5326" s="671">
        <v>30478</v>
      </c>
      <c r="N5326" s="581">
        <v>2.92</v>
      </c>
      <c r="O5326" s="604">
        <f>15.11/(1000)*AD5326</f>
        <v>3.8951928518269036E-2</v>
      </c>
      <c r="P5326" s="291">
        <v>0.109</v>
      </c>
      <c r="Q5326" s="280">
        <v>0.16800000000000001</v>
      </c>
      <c r="R5326" s="280">
        <v>0.377</v>
      </c>
      <c r="S5326" s="280">
        <v>0.251</v>
      </c>
      <c r="T5326" s="771">
        <v>9.5000000000000001E-2</v>
      </c>
      <c r="U5326" s="775"/>
      <c r="V5326" s="699"/>
      <c r="W5326" s="699"/>
      <c r="X5326" s="699"/>
      <c r="Y5326" s="776"/>
      <c r="Z5326" s="772"/>
      <c r="AA5326" s="281"/>
      <c r="AB5326" s="281"/>
      <c r="AC5326" s="174">
        <v>9.4999999999999998E-3</v>
      </c>
      <c r="AD5326" s="282">
        <f t="shared" si="27"/>
        <v>2.5778907027312399</v>
      </c>
      <c r="AE5326" s="282">
        <v>0.59899999999999998</v>
      </c>
      <c r="AF5326" s="173">
        <f t="shared" si="26"/>
        <v>1.5441565309360126</v>
      </c>
      <c r="AG5326" s="177">
        <v>1.891</v>
      </c>
      <c r="AH5326" s="349"/>
      <c r="AI5326" s="283"/>
      <c r="AJ5326" s="240"/>
      <c r="AK5326" s="240"/>
      <c r="AL5326" s="284"/>
      <c r="AM5326" s="167"/>
      <c r="AN5326" s="167"/>
      <c r="AO5326" s="167"/>
      <c r="AP5326" s="167"/>
      <c r="AQ5326" s="167"/>
      <c r="AR5326" s="551"/>
      <c r="AS5326" s="551"/>
      <c r="AT5326" s="551"/>
      <c r="AU5326" s="283"/>
      <c r="AV5326" s="283"/>
      <c r="AW5326" s="283"/>
      <c r="AX5326" s="283"/>
      <c r="AY5326" s="283"/>
      <c r="AZ5326" s="167"/>
      <c r="BA5326" s="167"/>
      <c r="BB5326" s="285"/>
      <c r="BC5326" s="154"/>
      <c r="BD5326" s="154"/>
      <c r="BE5326" s="150"/>
      <c r="BF5326" s="227"/>
      <c r="BG5326" s="227"/>
      <c r="BH5326" s="227"/>
      <c r="BI5326" s="224"/>
      <c r="BJ5326" s="290"/>
      <c r="BK5326" s="290"/>
      <c r="BL5326" s="224"/>
      <c r="BM5326" s="224"/>
      <c r="BN5326" s="224"/>
      <c r="BO5326" s="262"/>
      <c r="BP5326" s="262"/>
      <c r="BQ5326" s="262"/>
      <c r="BR5326" s="262"/>
      <c r="BS5326" s="262"/>
      <c r="BT5326" s="227"/>
      <c r="BU5326" s="227"/>
      <c r="BV5326" s="227"/>
      <c r="BW5326" s="286"/>
      <c r="BX5326" s="286"/>
      <c r="BY5326" s="227"/>
      <c r="BZ5326" s="227"/>
      <c r="CA5326" s="227"/>
      <c r="CB5326" s="190"/>
    </row>
    <row r="5327" spans="1:80" x14ac:dyDescent="0.2">
      <c r="A5327" s="257"/>
      <c r="B5327" s="667"/>
      <c r="C5327" s="667"/>
      <c r="D5327" s="292"/>
      <c r="E5327" s="257"/>
      <c r="F5327" s="257"/>
      <c r="G5327" s="227"/>
      <c r="H5327" s="227"/>
      <c r="I5327" s="227"/>
      <c r="J5327" s="227"/>
      <c r="K5327" s="227"/>
      <c r="L5327" s="660"/>
      <c r="M5327" s="671">
        <v>30479</v>
      </c>
      <c r="N5327" s="581">
        <v>2.86</v>
      </c>
      <c r="O5327" s="604">
        <f>12.91/(1000)*AD5327</f>
        <v>3.3204732510288069E-2</v>
      </c>
      <c r="P5327" s="280">
        <v>0</v>
      </c>
      <c r="Q5327" s="280">
        <v>0.18</v>
      </c>
      <c r="R5327" s="280">
        <v>0.38100000000000001</v>
      </c>
      <c r="S5327" s="280">
        <v>0.30399999999999999</v>
      </c>
      <c r="T5327" s="771">
        <v>0.13500000000000001</v>
      </c>
      <c r="U5327" s="775"/>
      <c r="V5327" s="699"/>
      <c r="W5327" s="699"/>
      <c r="X5327" s="699"/>
      <c r="Y5327" s="776"/>
      <c r="Z5327" s="772"/>
      <c r="AA5327" s="281"/>
      <c r="AB5327" s="281"/>
      <c r="AC5327" s="174">
        <v>9.4999999999999998E-3</v>
      </c>
      <c r="AD5327" s="282">
        <f t="shared" si="27"/>
        <v>2.57201646090535</v>
      </c>
      <c r="AE5327" s="282">
        <v>0.59399999999999997</v>
      </c>
      <c r="AF5327" s="173">
        <f t="shared" si="26"/>
        <v>1.5277777777777777</v>
      </c>
      <c r="AG5327" s="177">
        <v>1.8720000000000001</v>
      </c>
      <c r="AH5327" s="349"/>
      <c r="AI5327" s="283"/>
      <c r="AJ5327" s="240"/>
      <c r="AK5327" s="240"/>
      <c r="AL5327" s="284"/>
      <c r="AM5327" s="167"/>
      <c r="AN5327" s="167"/>
      <c r="AO5327" s="167"/>
      <c r="AP5327" s="167"/>
      <c r="AQ5327" s="167"/>
      <c r="AR5327" s="551"/>
      <c r="AS5327" s="551"/>
      <c r="AT5327" s="551"/>
      <c r="AU5327" s="283"/>
      <c r="AV5327" s="283"/>
      <c r="AW5327" s="283"/>
      <c r="AX5327" s="283"/>
      <c r="AY5327" s="283"/>
      <c r="AZ5327" s="167"/>
      <c r="BA5327" s="167"/>
      <c r="BB5327" s="285"/>
      <c r="BC5327" s="154"/>
      <c r="BD5327" s="154"/>
      <c r="BE5327" s="150"/>
      <c r="BF5327" s="227"/>
      <c r="BG5327" s="227"/>
      <c r="BH5327" s="227"/>
      <c r="BI5327" s="224"/>
      <c r="BJ5327" s="290"/>
      <c r="BK5327" s="290"/>
      <c r="BL5327" s="224"/>
      <c r="BM5327" s="224"/>
      <c r="BN5327" s="224"/>
      <c r="BO5327" s="262"/>
      <c r="BP5327" s="262"/>
      <c r="BQ5327" s="262"/>
      <c r="BR5327" s="262"/>
      <c r="BS5327" s="262"/>
      <c r="BT5327" s="227"/>
      <c r="BU5327" s="227"/>
      <c r="BV5327" s="227"/>
      <c r="BW5327" s="286"/>
      <c r="BX5327" s="286"/>
      <c r="BY5327" s="227"/>
      <c r="BZ5327" s="227"/>
      <c r="CA5327" s="227"/>
      <c r="CB5327" s="190"/>
    </row>
    <row r="5328" spans="1:80" x14ac:dyDescent="0.2">
      <c r="A5328" s="257"/>
      <c r="B5328" s="667"/>
      <c r="C5328" s="667"/>
      <c r="D5328" s="292"/>
      <c r="E5328" s="257"/>
      <c r="F5328" s="257"/>
      <c r="G5328" s="227"/>
      <c r="H5328" s="227"/>
      <c r="I5328" s="227"/>
      <c r="J5328" s="227"/>
      <c r="K5328" s="227"/>
      <c r="L5328" s="660"/>
      <c r="M5328" s="671">
        <v>30480</v>
      </c>
      <c r="N5328" s="582">
        <v>2.8</v>
      </c>
      <c r="O5328" s="604">
        <f>12.71/(1000)*AD5328</f>
        <v>3.2718249608581697E-2</v>
      </c>
      <c r="P5328" s="280">
        <v>0</v>
      </c>
      <c r="Q5328" s="280">
        <v>0.154</v>
      </c>
      <c r="R5328" s="280">
        <v>0.36299999999999999</v>
      </c>
      <c r="S5328" s="280">
        <v>0.315</v>
      </c>
      <c r="T5328" s="771">
        <v>0.16800000000000001</v>
      </c>
      <c r="U5328" s="775"/>
      <c r="V5328" s="699"/>
      <c r="W5328" s="699"/>
      <c r="X5328" s="699"/>
      <c r="Y5328" s="776"/>
      <c r="Z5328" s="772"/>
      <c r="AA5328" s="281"/>
      <c r="AB5328" s="281"/>
      <c r="AC5328" s="174">
        <v>9.4999999999999998E-3</v>
      </c>
      <c r="AD5328" s="282">
        <f t="shared" si="27"/>
        <v>2.5742131871425409</v>
      </c>
      <c r="AE5328" s="282">
        <v>0.58699999999999997</v>
      </c>
      <c r="AF5328" s="173">
        <f t="shared" si="26"/>
        <v>1.5110631408526713</v>
      </c>
      <c r="AG5328" s="177">
        <v>1.853</v>
      </c>
      <c r="AH5328" s="349"/>
      <c r="AI5328" s="283"/>
      <c r="AJ5328" s="240"/>
      <c r="AK5328" s="240"/>
      <c r="AL5328" s="284"/>
      <c r="AM5328" s="167"/>
      <c r="AN5328" s="167"/>
      <c r="AO5328" s="167"/>
      <c r="AP5328" s="167"/>
      <c r="AQ5328" s="167"/>
      <c r="AR5328" s="551"/>
      <c r="AS5328" s="551"/>
      <c r="AT5328" s="551"/>
      <c r="AU5328" s="283"/>
      <c r="AV5328" s="283"/>
      <c r="AW5328" s="283"/>
      <c r="AX5328" s="283"/>
      <c r="AY5328" s="283"/>
      <c r="AZ5328" s="167"/>
      <c r="BA5328" s="167"/>
      <c r="BB5328" s="285"/>
      <c r="BC5328" s="154"/>
      <c r="BD5328" s="154"/>
      <c r="BE5328" s="150"/>
      <c r="BF5328" s="227"/>
      <c r="BG5328" s="227"/>
      <c r="BH5328" s="227"/>
      <c r="BI5328" s="224"/>
      <c r="BJ5328" s="290"/>
      <c r="BK5328" s="290"/>
      <c r="BL5328" s="224"/>
      <c r="BM5328" s="224"/>
      <c r="BN5328" s="224"/>
      <c r="BO5328" s="262"/>
      <c r="BP5328" s="262"/>
      <c r="BQ5328" s="262"/>
      <c r="BR5328" s="262"/>
      <c r="BS5328" s="262"/>
      <c r="BT5328" s="227"/>
      <c r="BU5328" s="227"/>
      <c r="BV5328" s="227"/>
      <c r="BW5328" s="286"/>
      <c r="BX5328" s="286"/>
      <c r="BY5328" s="227"/>
      <c r="BZ5328" s="227"/>
      <c r="CA5328" s="227"/>
      <c r="CB5328" s="190"/>
    </row>
    <row r="5329" spans="1:80" x14ac:dyDescent="0.2">
      <c r="A5329" s="257"/>
      <c r="B5329" s="667"/>
      <c r="C5329" s="667"/>
      <c r="D5329" s="292"/>
      <c r="E5329" s="257"/>
      <c r="F5329" s="257"/>
      <c r="G5329" s="227"/>
      <c r="H5329" s="227"/>
      <c r="I5329" s="227"/>
      <c r="J5329" s="227"/>
      <c r="K5329" s="227"/>
      <c r="L5329" s="660"/>
      <c r="M5329" s="671">
        <v>30481</v>
      </c>
      <c r="N5329" s="581">
        <v>2.77</v>
      </c>
      <c r="O5329" s="604">
        <f>18.88/(1000)*AD5329</f>
        <v>4.8589628286221834E-2</v>
      </c>
      <c r="P5329" s="291">
        <v>4.3999999999999997E-2</v>
      </c>
      <c r="Q5329" s="280">
        <v>0.29699999999999999</v>
      </c>
      <c r="R5329" s="280">
        <v>0.27600000000000002</v>
      </c>
      <c r="S5329" s="280">
        <v>0.26600000000000001</v>
      </c>
      <c r="T5329" s="771">
        <v>0.11700000000000001</v>
      </c>
      <c r="U5329" s="775"/>
      <c r="V5329" s="699"/>
      <c r="W5329" s="699"/>
      <c r="X5329" s="699"/>
      <c r="Y5329" s="776"/>
      <c r="Z5329" s="772"/>
      <c r="AA5329" s="281"/>
      <c r="AB5329" s="281"/>
      <c r="AC5329" s="174">
        <v>9.4999999999999998E-3</v>
      </c>
      <c r="AD5329" s="282">
        <f t="shared" si="27"/>
        <v>2.5736031931261567</v>
      </c>
      <c r="AE5329" s="282">
        <v>0.58399999999999996</v>
      </c>
      <c r="AF5329" s="173">
        <f t="shared" si="26"/>
        <v>1.5029842647856755</v>
      </c>
      <c r="AG5329" s="177">
        <v>1.843</v>
      </c>
      <c r="AH5329" s="349"/>
      <c r="AI5329" s="283"/>
      <c r="AJ5329" s="240"/>
      <c r="AK5329" s="240"/>
      <c r="AL5329" s="284"/>
      <c r="AM5329" s="167"/>
      <c r="AN5329" s="167"/>
      <c r="AO5329" s="167"/>
      <c r="AP5329" s="167"/>
      <c r="AQ5329" s="167"/>
      <c r="AR5329" s="551"/>
      <c r="AS5329" s="551"/>
      <c r="AT5329" s="551"/>
      <c r="AU5329" s="283"/>
      <c r="AV5329" s="283"/>
      <c r="AW5329" s="283"/>
      <c r="AX5329" s="283"/>
      <c r="AY5329" s="283"/>
      <c r="AZ5329" s="167"/>
      <c r="BA5329" s="167"/>
      <c r="BB5329" s="285"/>
      <c r="BC5329" s="154"/>
      <c r="BD5329" s="154"/>
      <c r="BE5329" s="150"/>
      <c r="BF5329" s="227"/>
      <c r="BG5329" s="227"/>
      <c r="BH5329" s="227"/>
      <c r="BI5329" s="224"/>
      <c r="BJ5329" s="227"/>
      <c r="BK5329" s="227"/>
      <c r="BL5329" s="224"/>
      <c r="BM5329" s="224"/>
      <c r="BN5329" s="224"/>
      <c r="BO5329" s="262"/>
      <c r="BP5329" s="262"/>
      <c r="BQ5329" s="262"/>
      <c r="BR5329" s="262"/>
      <c r="BS5329" s="262"/>
      <c r="BT5329" s="227"/>
      <c r="BU5329" s="227"/>
      <c r="BV5329" s="227"/>
      <c r="BW5329" s="286"/>
      <c r="BX5329" s="286"/>
      <c r="BY5329" s="227"/>
      <c r="BZ5329" s="227"/>
      <c r="CA5329" s="227"/>
      <c r="CB5329" s="190"/>
    </row>
    <row r="5330" spans="1:80" x14ac:dyDescent="0.2">
      <c r="A5330" s="257"/>
      <c r="B5330" s="667"/>
      <c r="C5330" s="667"/>
      <c r="D5330" s="292"/>
      <c r="E5330" s="257"/>
      <c r="F5330" s="257"/>
      <c r="G5330" s="227"/>
      <c r="H5330" s="227"/>
      <c r="I5330" s="227"/>
      <c r="J5330" s="227"/>
      <c r="K5330" s="227"/>
      <c r="L5330" s="660"/>
      <c r="M5330" s="671">
        <v>30788</v>
      </c>
      <c r="N5330" s="582">
        <v>1.6</v>
      </c>
      <c r="O5330" s="604">
        <f>20.21/(1000)*AD5330</f>
        <v>5.221260943560134E-2</v>
      </c>
      <c r="P5330" s="291">
        <v>0.28499999999999998</v>
      </c>
      <c r="Q5330" s="280">
        <v>0.29799999999999999</v>
      </c>
      <c r="R5330" s="280">
        <v>0.19800000000000001</v>
      </c>
      <c r="S5330" s="280">
        <v>0.155</v>
      </c>
      <c r="T5330" s="771">
        <v>6.4000000000000001E-2</v>
      </c>
      <c r="U5330" s="775"/>
      <c r="V5330" s="699"/>
      <c r="W5330" s="699"/>
      <c r="X5330" s="699"/>
      <c r="Y5330" s="776"/>
      <c r="Z5330" s="772"/>
      <c r="AA5330" s="281"/>
      <c r="AB5330" s="281"/>
      <c r="AC5330" s="174">
        <v>1.0999999999999999E-2</v>
      </c>
      <c r="AD5330" s="282">
        <f t="shared" si="27"/>
        <v>2.5835036831074385</v>
      </c>
      <c r="AE5330" s="282">
        <v>0.443</v>
      </c>
      <c r="AF5330" s="173">
        <f t="shared" ref="AF5330:AF5352" si="28">N5330/AG5330</f>
        <v>1.1444921316165952</v>
      </c>
      <c r="AG5330" s="177">
        <v>1.3979999999999999</v>
      </c>
      <c r="AH5330" s="349"/>
      <c r="AI5330" s="283"/>
      <c r="AJ5330" s="240"/>
      <c r="AK5330" s="240"/>
      <c r="AL5330" s="284"/>
      <c r="AM5330" s="167"/>
      <c r="AN5330" s="167"/>
      <c r="AO5330" s="167"/>
      <c r="AP5330" s="167"/>
      <c r="AQ5330" s="167"/>
      <c r="AR5330" s="551"/>
      <c r="AS5330" s="551"/>
      <c r="AT5330" s="551"/>
      <c r="AU5330" s="283"/>
      <c r="AV5330" s="283"/>
      <c r="AW5330" s="283"/>
      <c r="AX5330" s="283"/>
      <c r="AY5330" s="283"/>
      <c r="AZ5330" s="167"/>
      <c r="BA5330" s="167"/>
      <c r="BB5330" s="285"/>
      <c r="BC5330" s="154"/>
      <c r="BD5330" s="154"/>
      <c r="BE5330" s="150"/>
      <c r="BF5330" s="227"/>
      <c r="BG5330" s="227"/>
      <c r="BH5330" s="227"/>
      <c r="BI5330" s="224"/>
      <c r="BJ5330" s="227"/>
      <c r="BK5330" s="227"/>
      <c r="BL5330" s="224"/>
      <c r="BM5330" s="224"/>
      <c r="BN5330" s="224"/>
      <c r="BO5330" s="262"/>
      <c r="BP5330" s="262"/>
      <c r="BQ5330" s="262"/>
      <c r="BR5330" s="262"/>
      <c r="BS5330" s="262"/>
      <c r="BT5330" s="227"/>
      <c r="BU5330" s="227"/>
      <c r="BV5330" s="227"/>
      <c r="BW5330" s="286"/>
      <c r="BX5330" s="286"/>
      <c r="BY5330" s="227"/>
      <c r="BZ5330" s="227"/>
      <c r="CA5330" s="227"/>
      <c r="CB5330" s="190"/>
    </row>
    <row r="5331" spans="1:80" x14ac:dyDescent="0.2">
      <c r="A5331" s="257"/>
      <c r="B5331" s="667"/>
      <c r="C5331" s="667"/>
      <c r="D5331" s="292"/>
      <c r="E5331" s="257"/>
      <c r="F5331" s="257"/>
      <c r="G5331" s="227"/>
      <c r="H5331" s="227"/>
      <c r="I5331" s="227"/>
      <c r="J5331" s="227"/>
      <c r="K5331" s="227"/>
      <c r="L5331" s="660"/>
      <c r="M5331" s="671">
        <v>30789</v>
      </c>
      <c r="N5331" s="581">
        <v>1.48</v>
      </c>
      <c r="O5331" s="604">
        <f>22.47/(1000)*AD5331</f>
        <v>5.764094955489614E-2</v>
      </c>
      <c r="P5331" s="291">
        <v>0.17399999999999999</v>
      </c>
      <c r="Q5331" s="280">
        <v>0.22500000000000001</v>
      </c>
      <c r="R5331" s="280">
        <v>0.251</v>
      </c>
      <c r="S5331" s="280">
        <v>0.23599999999999999</v>
      </c>
      <c r="T5331" s="771">
        <v>0.114</v>
      </c>
      <c r="U5331" s="775"/>
      <c r="V5331" s="699"/>
      <c r="W5331" s="699"/>
      <c r="X5331" s="699"/>
      <c r="Y5331" s="776"/>
      <c r="Z5331" s="772"/>
      <c r="AA5331" s="281"/>
      <c r="AB5331" s="281"/>
      <c r="AC5331" s="174">
        <v>1.0999999999999999E-2</v>
      </c>
      <c r="AD5331" s="282">
        <f t="shared" si="27"/>
        <v>2.5652403006184308</v>
      </c>
      <c r="AE5331" s="282">
        <v>0.42799999999999999</v>
      </c>
      <c r="AF5331" s="173">
        <f t="shared" si="28"/>
        <v>1.0979228486646884</v>
      </c>
      <c r="AG5331" s="177">
        <v>1.3480000000000001</v>
      </c>
      <c r="AH5331" s="349"/>
      <c r="AI5331" s="283"/>
      <c r="AJ5331" s="240"/>
      <c r="AK5331" s="240"/>
      <c r="AL5331" s="284"/>
      <c r="AM5331" s="167"/>
      <c r="AN5331" s="167"/>
      <c r="AO5331" s="167"/>
      <c r="AP5331" s="167"/>
      <c r="AQ5331" s="167"/>
      <c r="AR5331" s="551"/>
      <c r="AS5331" s="551"/>
      <c r="AT5331" s="551"/>
      <c r="AU5331" s="283"/>
      <c r="AV5331" s="283"/>
      <c r="AW5331" s="283"/>
      <c r="AX5331" s="283"/>
      <c r="AY5331" s="283"/>
      <c r="AZ5331" s="167"/>
      <c r="BA5331" s="167"/>
      <c r="BB5331" s="285"/>
      <c r="BC5331" s="154"/>
      <c r="BD5331" s="154"/>
      <c r="BE5331" s="150"/>
      <c r="BF5331" s="227"/>
      <c r="BG5331" s="227"/>
      <c r="BH5331" s="227"/>
      <c r="BI5331" s="224"/>
      <c r="BJ5331" s="290"/>
      <c r="BK5331" s="290"/>
      <c r="BL5331" s="224"/>
      <c r="BM5331" s="224"/>
      <c r="BN5331" s="224"/>
      <c r="BO5331" s="262"/>
      <c r="BP5331" s="262"/>
      <c r="BQ5331" s="262"/>
      <c r="BR5331" s="262"/>
      <c r="BS5331" s="262"/>
      <c r="BT5331" s="227"/>
      <c r="BU5331" s="227"/>
      <c r="BV5331" s="227"/>
      <c r="BW5331" s="286"/>
      <c r="BX5331" s="286"/>
      <c r="BY5331" s="227"/>
      <c r="BZ5331" s="227"/>
      <c r="CA5331" s="227"/>
      <c r="CB5331" s="190"/>
    </row>
    <row r="5332" spans="1:80" x14ac:dyDescent="0.2">
      <c r="A5332" s="257"/>
      <c r="B5332" s="667"/>
      <c r="C5332" s="667"/>
      <c r="D5332" s="292"/>
      <c r="E5332" s="257"/>
      <c r="F5332" s="257"/>
      <c r="G5332" s="227"/>
      <c r="H5332" s="227"/>
      <c r="I5332" s="227"/>
      <c r="J5332" s="227"/>
      <c r="K5332" s="227"/>
      <c r="L5332" s="660"/>
      <c r="M5332" s="671">
        <v>30791</v>
      </c>
      <c r="N5332" s="582">
        <v>1.1000000000000001</v>
      </c>
      <c r="O5332" s="604">
        <f>2.128/(1000)*AD5332</f>
        <v>5.5031938178407109E-3</v>
      </c>
      <c r="P5332" s="280">
        <v>0</v>
      </c>
      <c r="Q5332" s="280">
        <v>0</v>
      </c>
      <c r="R5332" s="280">
        <v>0.47599999999999998</v>
      </c>
      <c r="S5332" s="280">
        <v>0.318</v>
      </c>
      <c r="T5332" s="771">
        <v>0.20599999999999999</v>
      </c>
      <c r="U5332" s="775"/>
      <c r="V5332" s="699"/>
      <c r="W5332" s="699"/>
      <c r="X5332" s="699"/>
      <c r="Y5332" s="776"/>
      <c r="Z5332" s="772"/>
      <c r="AA5332" s="281"/>
      <c r="AB5332" s="281"/>
      <c r="AC5332" s="174">
        <v>1.0999999999999999E-2</v>
      </c>
      <c r="AD5332" s="282">
        <f t="shared" si="27"/>
        <v>2.5860873204138679</v>
      </c>
      <c r="AE5332" s="282">
        <v>0.36699999999999999</v>
      </c>
      <c r="AF5332" s="173">
        <f t="shared" si="28"/>
        <v>0.94909404659188956</v>
      </c>
      <c r="AG5332" s="177">
        <v>1.159</v>
      </c>
      <c r="AH5332" s="349"/>
      <c r="AI5332" s="283"/>
      <c r="AJ5332" s="240"/>
      <c r="AK5332" s="240"/>
      <c r="AL5332" s="284"/>
      <c r="AM5332" s="167"/>
      <c r="AN5332" s="167"/>
      <c r="AO5332" s="167"/>
      <c r="AP5332" s="167"/>
      <c r="AQ5332" s="167"/>
      <c r="AR5332" s="551"/>
      <c r="AS5332" s="551"/>
      <c r="AT5332" s="551"/>
      <c r="AU5332" s="283"/>
      <c r="AV5332" s="283"/>
      <c r="AW5332" s="283"/>
      <c r="AX5332" s="283"/>
      <c r="AY5332" s="283"/>
      <c r="AZ5332" s="167"/>
      <c r="BA5332" s="167"/>
      <c r="BB5332" s="285"/>
      <c r="BC5332" s="154"/>
      <c r="BD5332" s="154"/>
      <c r="BE5332" s="150"/>
      <c r="BF5332" s="227"/>
      <c r="BG5332" s="227"/>
      <c r="BH5332" s="227"/>
      <c r="BI5332" s="224"/>
      <c r="BJ5332" s="290"/>
      <c r="BK5332" s="290"/>
      <c r="BL5332" s="224"/>
      <c r="BM5332" s="224"/>
      <c r="BN5332" s="224"/>
      <c r="BO5332" s="262"/>
      <c r="BP5332" s="262"/>
      <c r="BQ5332" s="262"/>
      <c r="BR5332" s="262"/>
      <c r="BS5332" s="262"/>
      <c r="BT5332" s="227"/>
      <c r="BU5332" s="227"/>
      <c r="BV5332" s="227"/>
      <c r="BW5332" s="286"/>
      <c r="BX5332" s="286"/>
      <c r="BY5332" s="227"/>
      <c r="BZ5332" s="227"/>
      <c r="CA5332" s="227"/>
      <c r="CB5332" s="190"/>
    </row>
    <row r="5333" spans="1:80" x14ac:dyDescent="0.2">
      <c r="A5333" s="257"/>
      <c r="B5333" s="667"/>
      <c r="C5333" s="667"/>
      <c r="D5333" s="292"/>
      <c r="E5333" s="257"/>
      <c r="F5333" s="257"/>
      <c r="G5333" s="227"/>
      <c r="H5333" s="227"/>
      <c r="I5333" s="227"/>
      <c r="J5333" s="227"/>
      <c r="K5333" s="227"/>
      <c r="L5333" s="660"/>
      <c r="M5333" s="671">
        <v>30792</v>
      </c>
      <c r="N5333" s="581">
        <v>1.05</v>
      </c>
      <c r="O5333" s="604">
        <f>1.378/(1000)*AD5333</f>
        <v>3.5411160058737155E-3</v>
      </c>
      <c r="P5333" s="280">
        <v>0</v>
      </c>
      <c r="Q5333" s="280">
        <v>0.16900000000000001</v>
      </c>
      <c r="R5333" s="280">
        <v>0.23499999999999999</v>
      </c>
      <c r="S5333" s="280">
        <v>0.32300000000000001</v>
      </c>
      <c r="T5333" s="771">
        <v>0.27300000000000002</v>
      </c>
      <c r="U5333" s="775"/>
      <c r="V5333" s="699"/>
      <c r="W5333" s="699"/>
      <c r="X5333" s="699"/>
      <c r="Y5333" s="776"/>
      <c r="Z5333" s="772"/>
      <c r="AA5333" s="281"/>
      <c r="AB5333" s="281"/>
      <c r="AC5333" s="174">
        <v>1.0999999999999999E-2</v>
      </c>
      <c r="AD5333" s="282">
        <f t="shared" si="27"/>
        <v>2.5697503671071957</v>
      </c>
      <c r="AE5333" s="282">
        <v>0.36</v>
      </c>
      <c r="AF5333" s="173">
        <f t="shared" si="28"/>
        <v>0.92511013215859039</v>
      </c>
      <c r="AG5333" s="177">
        <v>1.135</v>
      </c>
      <c r="AH5333" s="349"/>
      <c r="AI5333" s="283"/>
      <c r="AJ5333" s="240"/>
      <c r="AK5333" s="240"/>
      <c r="AL5333" s="284"/>
      <c r="AM5333" s="167"/>
      <c r="AN5333" s="167"/>
      <c r="AO5333" s="167"/>
      <c r="AP5333" s="167"/>
      <c r="AQ5333" s="167"/>
      <c r="AR5333" s="551"/>
      <c r="AS5333" s="551"/>
      <c r="AT5333" s="551"/>
      <c r="AU5333" s="283"/>
      <c r="AV5333" s="283"/>
      <c r="AW5333" s="283"/>
      <c r="AX5333" s="283"/>
      <c r="AY5333" s="283"/>
      <c r="AZ5333" s="167"/>
      <c r="BA5333" s="167"/>
      <c r="BB5333" s="285"/>
      <c r="BC5333" s="154"/>
      <c r="BD5333" s="154"/>
      <c r="BE5333" s="150"/>
      <c r="BF5333" s="227"/>
      <c r="BG5333" s="227"/>
      <c r="BH5333" s="227"/>
      <c r="BI5333" s="224"/>
      <c r="BJ5333" s="290"/>
      <c r="BK5333" s="290"/>
      <c r="BL5333" s="224"/>
      <c r="BM5333" s="224"/>
      <c r="BN5333" s="224"/>
      <c r="BO5333" s="262"/>
      <c r="BP5333" s="262"/>
      <c r="BQ5333" s="262"/>
      <c r="BR5333" s="262"/>
      <c r="BS5333" s="262"/>
      <c r="BT5333" s="227"/>
      <c r="BU5333" s="227"/>
      <c r="BV5333" s="227"/>
      <c r="BW5333" s="286"/>
      <c r="BX5333" s="286"/>
      <c r="BY5333" s="227"/>
      <c r="BZ5333" s="227"/>
      <c r="CA5333" s="227"/>
      <c r="CB5333" s="190"/>
    </row>
    <row r="5334" spans="1:80" x14ac:dyDescent="0.2">
      <c r="A5334" s="257"/>
      <c r="B5334" s="667"/>
      <c r="C5334" s="667"/>
      <c r="D5334" s="292"/>
      <c r="E5334" s="257"/>
      <c r="F5334" s="257"/>
      <c r="G5334" s="227"/>
      <c r="H5334" s="227"/>
      <c r="I5334" s="227"/>
      <c r="J5334" s="227"/>
      <c r="K5334" s="227"/>
      <c r="L5334" s="660"/>
      <c r="M5334" s="671">
        <v>30793</v>
      </c>
      <c r="N5334" s="581">
        <v>1.21</v>
      </c>
      <c r="O5334" s="604">
        <f>1.715/(1000)*AD5334</f>
        <v>4.4210824584128717E-3</v>
      </c>
      <c r="P5334" s="280">
        <v>0</v>
      </c>
      <c r="Q5334" s="280">
        <v>0.183</v>
      </c>
      <c r="R5334" s="280">
        <v>0.35399999999999998</v>
      </c>
      <c r="S5334" s="280">
        <v>0.31900000000000001</v>
      </c>
      <c r="T5334" s="771">
        <v>0.14399999999999999</v>
      </c>
      <c r="U5334" s="775"/>
      <c r="V5334" s="699"/>
      <c r="W5334" s="699"/>
      <c r="X5334" s="699"/>
      <c r="Y5334" s="776"/>
      <c r="Z5334" s="772"/>
      <c r="AA5334" s="281"/>
      <c r="AB5334" s="281"/>
      <c r="AC5334" s="174">
        <v>1.0999999999999999E-2</v>
      </c>
      <c r="AD5334" s="282">
        <f t="shared" si="27"/>
        <v>2.5778906463048812</v>
      </c>
      <c r="AE5334" s="282">
        <v>0.38600000000000001</v>
      </c>
      <c r="AF5334" s="173">
        <f t="shared" si="28"/>
        <v>0.99506578947368418</v>
      </c>
      <c r="AG5334" s="177">
        <v>1.216</v>
      </c>
      <c r="AH5334" s="349"/>
      <c r="AI5334" s="283"/>
      <c r="AJ5334" s="240"/>
      <c r="AK5334" s="240"/>
      <c r="AL5334" s="284"/>
      <c r="AM5334" s="167"/>
      <c r="AN5334" s="167"/>
      <c r="AO5334" s="167"/>
      <c r="AP5334" s="167"/>
      <c r="AQ5334" s="167"/>
      <c r="AR5334" s="551"/>
      <c r="AS5334" s="551"/>
      <c r="AT5334" s="551"/>
      <c r="AU5334" s="283"/>
      <c r="AV5334" s="283"/>
      <c r="AW5334" s="283"/>
      <c r="AX5334" s="283"/>
      <c r="AY5334" s="283"/>
      <c r="AZ5334" s="167"/>
      <c r="BA5334" s="167"/>
      <c r="BB5334" s="285"/>
      <c r="BC5334" s="154"/>
      <c r="BD5334" s="154"/>
      <c r="BE5334" s="150"/>
      <c r="BF5334" s="227"/>
      <c r="BG5334" s="227"/>
      <c r="BH5334" s="227"/>
      <c r="BI5334" s="224"/>
      <c r="BJ5334" s="227"/>
      <c r="BK5334" s="227"/>
      <c r="BL5334" s="224"/>
      <c r="BM5334" s="224"/>
      <c r="BN5334" s="224"/>
      <c r="BO5334" s="262"/>
      <c r="BP5334" s="262"/>
      <c r="BQ5334" s="262"/>
      <c r="BR5334" s="262"/>
      <c r="BS5334" s="262"/>
      <c r="BT5334" s="227"/>
      <c r="BU5334" s="227"/>
      <c r="BV5334" s="227"/>
      <c r="BW5334" s="286"/>
      <c r="BX5334" s="286"/>
      <c r="BY5334" s="227"/>
      <c r="BZ5334" s="227"/>
      <c r="CA5334" s="227"/>
      <c r="CB5334" s="190"/>
    </row>
    <row r="5335" spans="1:80" x14ac:dyDescent="0.2">
      <c r="A5335" s="257"/>
      <c r="B5335" s="667"/>
      <c r="C5335" s="667"/>
      <c r="D5335" s="292"/>
      <c r="E5335" s="257"/>
      <c r="F5335" s="257"/>
      <c r="G5335" s="227"/>
      <c r="H5335" s="227"/>
      <c r="I5335" s="227"/>
      <c r="J5335" s="227"/>
      <c r="K5335" s="227"/>
      <c r="L5335" s="660"/>
      <c r="M5335" s="671">
        <v>30794</v>
      </c>
      <c r="N5335" s="581">
        <v>1.46</v>
      </c>
      <c r="O5335" s="604">
        <f>4.81/(1000)*AD5335</f>
        <v>1.2378726344586399E-2</v>
      </c>
      <c r="P5335" s="280">
        <v>0</v>
      </c>
      <c r="Q5335" s="280">
        <v>0.193</v>
      </c>
      <c r="R5335" s="280">
        <v>0.437</v>
      </c>
      <c r="S5335" s="280">
        <v>0.25700000000000001</v>
      </c>
      <c r="T5335" s="771">
        <v>0.113</v>
      </c>
      <c r="U5335" s="775"/>
      <c r="V5335" s="699"/>
      <c r="W5335" s="699"/>
      <c r="X5335" s="699"/>
      <c r="Y5335" s="776"/>
      <c r="Z5335" s="772"/>
      <c r="AA5335" s="281"/>
      <c r="AB5335" s="281"/>
      <c r="AC5335" s="174">
        <v>1.0999999999999999E-2</v>
      </c>
      <c r="AD5335" s="282">
        <f t="shared" si="27"/>
        <v>2.573539780579293</v>
      </c>
      <c r="AE5335" s="282">
        <v>0.42399999999999999</v>
      </c>
      <c r="AF5335" s="173">
        <f t="shared" si="28"/>
        <v>1.0911808669656202</v>
      </c>
      <c r="AG5335" s="177">
        <v>1.3380000000000001</v>
      </c>
      <c r="AH5335" s="349"/>
      <c r="AI5335" s="283"/>
      <c r="AJ5335" s="240"/>
      <c r="AK5335" s="240"/>
      <c r="AL5335" s="284"/>
      <c r="AM5335" s="167"/>
      <c r="AN5335" s="167"/>
      <c r="AO5335" s="167"/>
      <c r="AP5335" s="167"/>
      <c r="AQ5335" s="167"/>
      <c r="AR5335" s="551"/>
      <c r="AS5335" s="551"/>
      <c r="AT5335" s="551"/>
      <c r="AU5335" s="283"/>
      <c r="AV5335" s="283"/>
      <c r="AW5335" s="283"/>
      <c r="AX5335" s="283"/>
      <c r="AY5335" s="283"/>
      <c r="AZ5335" s="167"/>
      <c r="BA5335" s="167"/>
      <c r="BB5335" s="285"/>
      <c r="BC5335" s="154"/>
      <c r="BD5335" s="154"/>
      <c r="BE5335" s="150"/>
      <c r="BF5335" s="227"/>
      <c r="BG5335" s="227"/>
      <c r="BH5335" s="227"/>
      <c r="BI5335" s="224"/>
      <c r="BJ5335" s="227"/>
      <c r="BK5335" s="227"/>
      <c r="BL5335" s="224"/>
      <c r="BM5335" s="224"/>
      <c r="BN5335" s="224"/>
      <c r="BO5335" s="262"/>
      <c r="BP5335" s="262"/>
      <c r="BQ5335" s="262"/>
      <c r="BR5335" s="262"/>
      <c r="BS5335" s="262"/>
      <c r="BT5335" s="227"/>
      <c r="BU5335" s="227"/>
      <c r="BV5335" s="227"/>
      <c r="BW5335" s="286"/>
      <c r="BX5335" s="286"/>
      <c r="BY5335" s="227"/>
      <c r="BZ5335" s="227"/>
      <c r="CA5335" s="227"/>
      <c r="CB5335" s="190"/>
    </row>
    <row r="5336" spans="1:80" x14ac:dyDescent="0.2">
      <c r="A5336" s="257"/>
      <c r="B5336" s="667"/>
      <c r="C5336" s="667"/>
      <c r="D5336" s="292"/>
      <c r="E5336" s="257"/>
      <c r="F5336" s="257"/>
      <c r="G5336" s="227"/>
      <c r="H5336" s="227"/>
      <c r="I5336" s="227"/>
      <c r="J5336" s="227"/>
      <c r="K5336" s="227"/>
      <c r="L5336" s="660"/>
      <c r="M5336" s="671">
        <v>30795</v>
      </c>
      <c r="N5336" s="581">
        <v>1.62</v>
      </c>
      <c r="O5336" s="604">
        <f>8.541/(1000)*AD5336</f>
        <v>2.2033638656746842E-2</v>
      </c>
      <c r="P5336" s="291">
        <v>7.5999999999999998E-2</v>
      </c>
      <c r="Q5336" s="280">
        <v>0.127</v>
      </c>
      <c r="R5336" s="280">
        <v>0.25800000000000001</v>
      </c>
      <c r="S5336" s="280">
        <v>0.36899999999999999</v>
      </c>
      <c r="T5336" s="771">
        <v>0.17</v>
      </c>
      <c r="U5336" s="775"/>
      <c r="V5336" s="699"/>
      <c r="W5336" s="699"/>
      <c r="X5336" s="699"/>
      <c r="Y5336" s="776"/>
      <c r="Z5336" s="772"/>
      <c r="AA5336" s="281"/>
      <c r="AB5336" s="281"/>
      <c r="AC5336" s="174">
        <v>1.0999999999999999E-2</v>
      </c>
      <c r="AD5336" s="282">
        <f t="shared" si="27"/>
        <v>2.5797492865878517</v>
      </c>
      <c r="AE5336" s="282">
        <v>0.44600000000000001</v>
      </c>
      <c r="AF5336" s="173">
        <f t="shared" si="28"/>
        <v>1.1505681818181819</v>
      </c>
      <c r="AG5336" s="177">
        <v>1.4079999999999999</v>
      </c>
      <c r="AH5336" s="349"/>
      <c r="AI5336" s="283"/>
      <c r="AJ5336" s="240"/>
      <c r="AK5336" s="240"/>
      <c r="AL5336" s="284"/>
      <c r="AM5336" s="167"/>
      <c r="AN5336" s="167"/>
      <c r="AO5336" s="167"/>
      <c r="AP5336" s="167"/>
      <c r="AQ5336" s="167"/>
      <c r="AR5336" s="551"/>
      <c r="AS5336" s="551"/>
      <c r="AT5336" s="551"/>
      <c r="AU5336" s="283"/>
      <c r="AV5336" s="283"/>
      <c r="AW5336" s="283"/>
      <c r="AX5336" s="283"/>
      <c r="AY5336" s="283"/>
      <c r="AZ5336" s="167"/>
      <c r="BA5336" s="167"/>
      <c r="BB5336" s="285"/>
      <c r="BC5336" s="154"/>
      <c r="BD5336" s="154"/>
      <c r="BE5336" s="150"/>
      <c r="BF5336" s="227"/>
      <c r="BG5336" s="227"/>
      <c r="BH5336" s="227"/>
      <c r="BI5336" s="224"/>
      <c r="BJ5336" s="227"/>
      <c r="BK5336" s="227"/>
      <c r="BL5336" s="224"/>
      <c r="BM5336" s="224"/>
      <c r="BN5336" s="224"/>
      <c r="BO5336" s="262"/>
      <c r="BP5336" s="262"/>
      <c r="BQ5336" s="262"/>
      <c r="BR5336" s="262"/>
      <c r="BS5336" s="262"/>
      <c r="BT5336" s="292"/>
      <c r="BU5336" s="227"/>
      <c r="BV5336" s="227"/>
      <c r="BW5336" s="286"/>
      <c r="BX5336" s="286"/>
      <c r="BY5336" s="227"/>
      <c r="BZ5336" s="227"/>
      <c r="CA5336" s="227"/>
      <c r="CB5336" s="190"/>
    </row>
    <row r="5337" spans="1:80" x14ac:dyDescent="0.2">
      <c r="A5337" s="257"/>
      <c r="B5337" s="667"/>
      <c r="C5337" s="667"/>
      <c r="D5337" s="292"/>
      <c r="E5337" s="257"/>
      <c r="F5337" s="257"/>
      <c r="G5337" s="227"/>
      <c r="H5337" s="227"/>
      <c r="I5337" s="227"/>
      <c r="J5337" s="227"/>
      <c r="K5337" s="227"/>
      <c r="L5337" s="660"/>
      <c r="M5337" s="671">
        <v>30796</v>
      </c>
      <c r="N5337" s="581">
        <v>1.51</v>
      </c>
      <c r="O5337" s="604">
        <f>6.428/(1000)*AD5337</f>
        <v>1.6571281258056202E-2</v>
      </c>
      <c r="P5337" s="291">
        <v>0.13600000000000001</v>
      </c>
      <c r="Q5337" s="280">
        <v>0.18</v>
      </c>
      <c r="R5337" s="280">
        <v>0.28399999999999997</v>
      </c>
      <c r="S5337" s="280">
        <v>0.28299999999999997</v>
      </c>
      <c r="T5337" s="771">
        <v>0.11700000000000001</v>
      </c>
      <c r="U5337" s="775"/>
      <c r="V5337" s="699"/>
      <c r="W5337" s="699"/>
      <c r="X5337" s="699"/>
      <c r="Y5337" s="776"/>
      <c r="Z5337" s="772"/>
      <c r="AA5337" s="281"/>
      <c r="AB5337" s="281"/>
      <c r="AC5337" s="174">
        <v>1.0999999999999999E-2</v>
      </c>
      <c r="AD5337" s="282">
        <f t="shared" si="27"/>
        <v>2.5779840164990979</v>
      </c>
      <c r="AE5337" s="282">
        <v>0.43099999999999999</v>
      </c>
      <c r="AF5337" s="173">
        <f t="shared" si="28"/>
        <v>1.1111111111111112</v>
      </c>
      <c r="AG5337" s="177">
        <v>1.359</v>
      </c>
      <c r="AH5337" s="349"/>
      <c r="AI5337" s="283"/>
      <c r="AJ5337" s="240"/>
      <c r="AK5337" s="240"/>
      <c r="AL5337" s="284"/>
      <c r="AM5337" s="167"/>
      <c r="AN5337" s="167"/>
      <c r="AO5337" s="167"/>
      <c r="AP5337" s="167"/>
      <c r="AQ5337" s="167"/>
      <c r="AR5337" s="551"/>
      <c r="AS5337" s="551"/>
      <c r="AT5337" s="551"/>
      <c r="AU5337" s="283"/>
      <c r="AV5337" s="283"/>
      <c r="AW5337" s="283"/>
      <c r="AX5337" s="283"/>
      <c r="AY5337" s="283"/>
      <c r="AZ5337" s="167"/>
      <c r="BA5337" s="167"/>
      <c r="BB5337" s="285"/>
      <c r="BC5337" s="154"/>
      <c r="BD5337" s="154"/>
      <c r="BE5337" s="150"/>
      <c r="BF5337" s="227"/>
      <c r="BG5337" s="227"/>
      <c r="BH5337" s="227"/>
      <c r="BI5337" s="224"/>
      <c r="BJ5337" s="227"/>
      <c r="BK5337" s="227"/>
      <c r="BL5337" s="224"/>
      <c r="BM5337" s="224"/>
      <c r="BN5337" s="224"/>
      <c r="BO5337" s="262"/>
      <c r="BP5337" s="262"/>
      <c r="BQ5337" s="262"/>
      <c r="BR5337" s="262"/>
      <c r="BS5337" s="262"/>
      <c r="BT5337" s="227"/>
      <c r="BU5337" s="227"/>
      <c r="BV5337" s="227"/>
      <c r="BW5337" s="286"/>
      <c r="BX5337" s="286"/>
      <c r="BY5337" s="227"/>
      <c r="BZ5337" s="227"/>
      <c r="CA5337" s="227"/>
      <c r="CB5337" s="190"/>
    </row>
    <row r="5338" spans="1:80" x14ac:dyDescent="0.2">
      <c r="A5338" s="257"/>
      <c r="B5338" s="667"/>
      <c r="C5338" s="667"/>
      <c r="D5338" s="292"/>
      <c r="E5338" s="257"/>
      <c r="F5338" s="257"/>
      <c r="G5338" s="227"/>
      <c r="H5338" s="227"/>
      <c r="I5338" s="227"/>
      <c r="J5338" s="227"/>
      <c r="K5338" s="227"/>
      <c r="L5338" s="660"/>
      <c r="M5338" s="671">
        <v>30797</v>
      </c>
      <c r="N5338" s="581">
        <v>1.21</v>
      </c>
      <c r="O5338" s="604">
        <f>2.575/(1000)*AD5338</f>
        <v>6.6380684142350694E-3</v>
      </c>
      <c r="P5338" s="280">
        <v>0</v>
      </c>
      <c r="Q5338" s="280">
        <v>0.19</v>
      </c>
      <c r="R5338" s="280">
        <v>0.26400000000000001</v>
      </c>
      <c r="S5338" s="280">
        <v>0.38800000000000001</v>
      </c>
      <c r="T5338" s="771">
        <v>0.158</v>
      </c>
      <c r="U5338" s="775"/>
      <c r="V5338" s="699"/>
      <c r="W5338" s="699"/>
      <c r="X5338" s="699"/>
      <c r="Y5338" s="776"/>
      <c r="Z5338" s="772"/>
      <c r="AA5338" s="281"/>
      <c r="AB5338" s="281"/>
      <c r="AC5338" s="174">
        <v>1.0999999999999999E-2</v>
      </c>
      <c r="AD5338" s="282">
        <f t="shared" si="27"/>
        <v>2.5778906463048812</v>
      </c>
      <c r="AE5338" s="282">
        <v>0.38600000000000001</v>
      </c>
      <c r="AF5338" s="173">
        <f t="shared" si="28"/>
        <v>0.99506578947368418</v>
      </c>
      <c r="AG5338" s="177">
        <v>1.216</v>
      </c>
      <c r="AH5338" s="349"/>
      <c r="AI5338" s="283"/>
      <c r="AJ5338" s="240"/>
      <c r="AK5338" s="240"/>
      <c r="AL5338" s="284"/>
      <c r="AM5338" s="167"/>
      <c r="AN5338" s="167"/>
      <c r="AO5338" s="167"/>
      <c r="AP5338" s="167"/>
      <c r="AQ5338" s="167"/>
      <c r="AR5338" s="551"/>
      <c r="AS5338" s="551"/>
      <c r="AT5338" s="551"/>
      <c r="AU5338" s="283"/>
      <c r="AV5338" s="283"/>
      <c r="AW5338" s="283"/>
      <c r="AX5338" s="283"/>
      <c r="AY5338" s="283"/>
      <c r="AZ5338" s="167"/>
      <c r="BA5338" s="167"/>
      <c r="BB5338" s="285"/>
      <c r="BC5338" s="154"/>
      <c r="BD5338" s="154"/>
      <c r="BE5338" s="150"/>
      <c r="BF5338" s="227"/>
      <c r="BG5338" s="227"/>
      <c r="BH5338" s="227"/>
      <c r="BI5338" s="224"/>
      <c r="BJ5338" s="227"/>
      <c r="BK5338" s="227"/>
      <c r="BL5338" s="224"/>
      <c r="BM5338" s="224"/>
      <c r="BN5338" s="224"/>
      <c r="BO5338" s="262"/>
      <c r="BP5338" s="262"/>
      <c r="BQ5338" s="262"/>
      <c r="BR5338" s="262"/>
      <c r="BS5338" s="262"/>
      <c r="BT5338" s="227"/>
      <c r="BU5338" s="227"/>
      <c r="BV5338" s="227"/>
      <c r="BW5338" s="286"/>
      <c r="BX5338" s="286"/>
      <c r="BY5338" s="227"/>
      <c r="BZ5338" s="227"/>
      <c r="CA5338" s="227"/>
      <c r="CB5338" s="190"/>
    </row>
    <row r="5339" spans="1:80" x14ac:dyDescent="0.2">
      <c r="A5339" s="257"/>
      <c r="B5339" s="667"/>
      <c r="C5339" s="667"/>
      <c r="D5339" s="292"/>
      <c r="E5339" s="257"/>
      <c r="F5339" s="257"/>
      <c r="G5339" s="227"/>
      <c r="H5339" s="227"/>
      <c r="I5339" s="227"/>
      <c r="J5339" s="227"/>
      <c r="K5339" s="227"/>
      <c r="L5339" s="660"/>
      <c r="M5339" s="671">
        <v>30798</v>
      </c>
      <c r="N5339" s="582">
        <v>1.1000000000000001</v>
      </c>
      <c r="O5339" s="604">
        <f>1.624/(1000)*AD5339</f>
        <v>4.1998058083521214E-3</v>
      </c>
      <c r="P5339" s="280">
        <v>0</v>
      </c>
      <c r="Q5339" s="280">
        <v>0</v>
      </c>
      <c r="R5339" s="280">
        <v>0.48499999999999999</v>
      </c>
      <c r="S5339" s="280">
        <v>0.34300000000000003</v>
      </c>
      <c r="T5339" s="771">
        <v>0.17199999999999999</v>
      </c>
      <c r="U5339" s="775"/>
      <c r="V5339" s="699"/>
      <c r="W5339" s="699"/>
      <c r="X5339" s="699"/>
      <c r="Y5339" s="776"/>
      <c r="Z5339" s="772"/>
      <c r="AA5339" s="281"/>
      <c r="AB5339" s="281"/>
      <c r="AC5339" s="174">
        <v>1.0999999999999999E-2</v>
      </c>
      <c r="AD5339" s="282">
        <f t="shared" si="27"/>
        <v>2.5860873204138679</v>
      </c>
      <c r="AE5339" s="282">
        <v>0.36699999999999999</v>
      </c>
      <c r="AF5339" s="173">
        <f t="shared" si="28"/>
        <v>0.94909404659188956</v>
      </c>
      <c r="AG5339" s="177">
        <v>1.159</v>
      </c>
      <c r="AH5339" s="349"/>
      <c r="AI5339" s="283"/>
      <c r="AJ5339" s="240"/>
      <c r="AK5339" s="240"/>
      <c r="AL5339" s="284"/>
      <c r="AM5339" s="167"/>
      <c r="AN5339" s="167"/>
      <c r="AO5339" s="167"/>
      <c r="AP5339" s="167"/>
      <c r="AQ5339" s="167"/>
      <c r="AR5339" s="551"/>
      <c r="AS5339" s="551"/>
      <c r="AT5339" s="551"/>
      <c r="AU5339" s="283"/>
      <c r="AV5339" s="283"/>
      <c r="AW5339" s="283"/>
      <c r="AX5339" s="283"/>
      <c r="AY5339" s="283"/>
      <c r="AZ5339" s="167"/>
      <c r="BA5339" s="167"/>
      <c r="BB5339" s="285"/>
      <c r="BC5339" s="154"/>
      <c r="BD5339" s="154"/>
      <c r="BE5339" s="150"/>
      <c r="BF5339" s="227"/>
      <c r="BG5339" s="227"/>
      <c r="BH5339" s="227"/>
      <c r="BI5339" s="224"/>
      <c r="BJ5339" s="227"/>
      <c r="BK5339" s="227"/>
      <c r="BL5339" s="224"/>
      <c r="BM5339" s="224"/>
      <c r="BN5339" s="224"/>
      <c r="BO5339" s="262"/>
      <c r="BP5339" s="262"/>
      <c r="BQ5339" s="262"/>
      <c r="BR5339" s="262"/>
      <c r="BS5339" s="262"/>
      <c r="BT5339" s="227"/>
      <c r="BU5339" s="227"/>
      <c r="BV5339" s="227"/>
      <c r="BW5339" s="286"/>
      <c r="BX5339" s="286"/>
      <c r="BY5339" s="227"/>
      <c r="BZ5339" s="227"/>
      <c r="CA5339" s="227"/>
      <c r="CB5339" s="190"/>
    </row>
    <row r="5340" spans="1:80" x14ac:dyDescent="0.2">
      <c r="A5340" s="257"/>
      <c r="B5340" s="667"/>
      <c r="C5340" s="667"/>
      <c r="D5340" s="292"/>
      <c r="E5340" s="257"/>
      <c r="F5340" s="257"/>
      <c r="G5340" s="227"/>
      <c r="H5340" s="227"/>
      <c r="I5340" s="227"/>
      <c r="J5340" s="227"/>
      <c r="K5340" s="227"/>
      <c r="L5340" s="660"/>
      <c r="M5340" s="671">
        <v>30799</v>
      </c>
      <c r="N5340" s="581">
        <v>1.03</v>
      </c>
      <c r="O5340" s="604">
        <f>1.512/(1000)*AC5340</f>
        <v>1.6631999999999999E-5</v>
      </c>
      <c r="P5340" s="280">
        <v>0</v>
      </c>
      <c r="Q5340" s="280">
        <v>0.191</v>
      </c>
      <c r="R5340" s="280">
        <v>0.153</v>
      </c>
      <c r="S5340" s="280">
        <v>0.45200000000000001</v>
      </c>
      <c r="T5340" s="771">
        <v>0.20399999999999999</v>
      </c>
      <c r="U5340" s="775"/>
      <c r="V5340" s="699"/>
      <c r="W5340" s="699"/>
      <c r="X5340" s="699"/>
      <c r="Y5340" s="776"/>
      <c r="Z5340" s="772"/>
      <c r="AA5340" s="281"/>
      <c r="AB5340" s="281"/>
      <c r="AC5340" s="174">
        <v>1.0999999999999999E-2</v>
      </c>
      <c r="AD5340" s="282">
        <f t="shared" si="27"/>
        <v>2.574073333599904</v>
      </c>
      <c r="AE5340" s="282">
        <v>0.35599999999999998</v>
      </c>
      <c r="AF5340" s="173">
        <f t="shared" si="28"/>
        <v>0.91637010676156572</v>
      </c>
      <c r="AG5340" s="177">
        <v>1.1240000000000001</v>
      </c>
      <c r="AH5340" s="349"/>
      <c r="AI5340" s="283"/>
      <c r="AJ5340" s="240"/>
      <c r="AK5340" s="240"/>
      <c r="AL5340" s="284"/>
      <c r="AM5340" s="167"/>
      <c r="AN5340" s="167"/>
      <c r="AO5340" s="167"/>
      <c r="AP5340" s="167"/>
      <c r="AQ5340" s="167"/>
      <c r="AR5340" s="551"/>
      <c r="AS5340" s="551"/>
      <c r="AT5340" s="551"/>
      <c r="AU5340" s="283"/>
      <c r="AV5340" s="283"/>
      <c r="AW5340" s="283"/>
      <c r="AX5340" s="283"/>
      <c r="AY5340" s="283"/>
      <c r="AZ5340" s="167"/>
      <c r="BA5340" s="167"/>
      <c r="BB5340" s="285"/>
      <c r="BC5340" s="154"/>
      <c r="BD5340" s="154"/>
      <c r="BE5340" s="150"/>
      <c r="BF5340" s="227"/>
      <c r="BG5340" s="227"/>
      <c r="BH5340" s="227"/>
      <c r="BI5340" s="224"/>
      <c r="BJ5340" s="227"/>
      <c r="BK5340" s="227"/>
      <c r="BL5340" s="224"/>
      <c r="BM5340" s="224"/>
      <c r="BN5340" s="224"/>
      <c r="BO5340" s="262"/>
      <c r="BP5340" s="262"/>
      <c r="BQ5340" s="262"/>
      <c r="BR5340" s="262"/>
      <c r="BS5340" s="262"/>
      <c r="BT5340" s="227"/>
      <c r="BU5340" s="227"/>
      <c r="BV5340" s="227"/>
      <c r="BW5340" s="286"/>
      <c r="BX5340" s="286"/>
      <c r="BY5340" s="227"/>
      <c r="BZ5340" s="227"/>
      <c r="CA5340" s="227"/>
      <c r="CB5340" s="190"/>
    </row>
    <row r="5341" spans="1:80" x14ac:dyDescent="0.2">
      <c r="A5341" s="257"/>
      <c r="B5341" s="667"/>
      <c r="C5341" s="667"/>
      <c r="D5341" s="292"/>
      <c r="E5341" s="257"/>
      <c r="F5341" s="257"/>
      <c r="G5341" s="227"/>
      <c r="H5341" s="227"/>
      <c r="I5341" s="227"/>
      <c r="J5341" s="227"/>
      <c r="K5341" s="227"/>
      <c r="L5341" s="660"/>
      <c r="M5341" s="671">
        <v>30800</v>
      </c>
      <c r="N5341" s="581">
        <v>1.05</v>
      </c>
      <c r="O5341" s="604">
        <f>1.152/(1000)*AD5341</f>
        <v>2.9603524229074888E-3</v>
      </c>
      <c r="P5341" s="280">
        <v>0</v>
      </c>
      <c r="Q5341" s="280">
        <v>0</v>
      </c>
      <c r="R5341" s="280">
        <v>0.39900000000000002</v>
      </c>
      <c r="S5341" s="280">
        <v>0.41399999999999998</v>
      </c>
      <c r="T5341" s="771">
        <v>0.187</v>
      </c>
      <c r="U5341" s="775"/>
      <c r="V5341" s="699"/>
      <c r="W5341" s="699"/>
      <c r="X5341" s="699"/>
      <c r="Y5341" s="776"/>
      <c r="Z5341" s="772"/>
      <c r="AA5341" s="281"/>
      <c r="AB5341" s="281"/>
      <c r="AC5341" s="174">
        <v>1.0999999999999999E-2</v>
      </c>
      <c r="AD5341" s="282">
        <f t="shared" si="27"/>
        <v>2.5697503671071957</v>
      </c>
      <c r="AE5341" s="282">
        <v>0.36</v>
      </c>
      <c r="AF5341" s="173">
        <f t="shared" si="28"/>
        <v>0.92511013215859039</v>
      </c>
      <c r="AG5341" s="177">
        <v>1.135</v>
      </c>
      <c r="AH5341" s="349"/>
      <c r="AI5341" s="283"/>
      <c r="AJ5341" s="240"/>
      <c r="AK5341" s="240"/>
      <c r="AL5341" s="284"/>
      <c r="AM5341" s="167"/>
      <c r="AN5341" s="167"/>
      <c r="AO5341" s="167"/>
      <c r="AP5341" s="167"/>
      <c r="AQ5341" s="167"/>
      <c r="AR5341" s="551"/>
      <c r="AS5341" s="551"/>
      <c r="AT5341" s="551"/>
      <c r="AU5341" s="283"/>
      <c r="AV5341" s="283"/>
      <c r="AW5341" s="283"/>
      <c r="AX5341" s="283"/>
      <c r="AY5341" s="283"/>
      <c r="AZ5341" s="167"/>
      <c r="BA5341" s="167"/>
      <c r="BB5341" s="285"/>
      <c r="BC5341" s="154"/>
      <c r="BD5341" s="154"/>
      <c r="BE5341" s="150"/>
      <c r="BF5341" s="227"/>
      <c r="BG5341" s="227"/>
      <c r="BH5341" s="227"/>
      <c r="BI5341" s="224"/>
      <c r="BJ5341" s="227"/>
      <c r="BK5341" s="227"/>
      <c r="BL5341" s="224"/>
      <c r="BM5341" s="224"/>
      <c r="BN5341" s="224"/>
      <c r="BO5341" s="262"/>
      <c r="BP5341" s="262"/>
      <c r="BQ5341" s="262"/>
      <c r="BR5341" s="262"/>
      <c r="BS5341" s="262"/>
      <c r="BT5341" s="227"/>
      <c r="BU5341" s="227"/>
      <c r="BV5341" s="227"/>
      <c r="BW5341" s="286"/>
      <c r="BX5341" s="286"/>
      <c r="BY5341" s="227"/>
      <c r="BZ5341" s="227"/>
      <c r="CA5341" s="227"/>
      <c r="CB5341" s="190"/>
    </row>
    <row r="5342" spans="1:80" x14ac:dyDescent="0.2">
      <c r="A5342" s="257"/>
      <c r="B5342" s="667"/>
      <c r="C5342" s="667"/>
      <c r="D5342" s="292"/>
      <c r="E5342" s="257"/>
      <c r="F5342" s="257"/>
      <c r="G5342" s="227"/>
      <c r="H5342" s="227"/>
      <c r="I5342" s="227"/>
      <c r="J5342" s="227"/>
      <c r="K5342" s="227"/>
      <c r="L5342" s="660"/>
      <c r="M5342" s="671">
        <v>30801</v>
      </c>
      <c r="N5342" s="581">
        <v>0.99</v>
      </c>
      <c r="O5342" s="604">
        <f>1.601/(1000)*AD5342</f>
        <v>4.1056598886154644E-3</v>
      </c>
      <c r="P5342" s="280">
        <v>0</v>
      </c>
      <c r="Q5342" s="280">
        <v>0.16200000000000001</v>
      </c>
      <c r="R5342" s="280">
        <v>0.315</v>
      </c>
      <c r="S5342" s="280">
        <v>0.32200000000000001</v>
      </c>
      <c r="T5342" s="771">
        <v>0.20100000000000001</v>
      </c>
      <c r="U5342" s="775"/>
      <c r="V5342" s="699"/>
      <c r="W5342" s="699"/>
      <c r="X5342" s="699"/>
      <c r="Y5342" s="776"/>
      <c r="Z5342" s="772"/>
      <c r="AA5342" s="281"/>
      <c r="AB5342" s="281"/>
      <c r="AC5342" s="174">
        <v>1.0999999999999999E-2</v>
      </c>
      <c r="AD5342" s="282">
        <f t="shared" si="27"/>
        <v>2.5644346587229636</v>
      </c>
      <c r="AE5342" s="282">
        <v>0.35</v>
      </c>
      <c r="AF5342" s="173">
        <f t="shared" si="28"/>
        <v>0.89755213055303718</v>
      </c>
      <c r="AG5342" s="177">
        <v>1.103</v>
      </c>
      <c r="AH5342" s="349"/>
      <c r="AI5342" s="283"/>
      <c r="AJ5342" s="240"/>
      <c r="AK5342" s="240"/>
      <c r="AL5342" s="284"/>
      <c r="AM5342" s="167"/>
      <c r="AN5342" s="167"/>
      <c r="AO5342" s="167"/>
      <c r="AP5342" s="167"/>
      <c r="AQ5342" s="167"/>
      <c r="AR5342" s="551"/>
      <c r="AS5342" s="551"/>
      <c r="AT5342" s="551"/>
      <c r="AU5342" s="283"/>
      <c r="AV5342" s="283"/>
      <c r="AW5342" s="283"/>
      <c r="AX5342" s="283"/>
      <c r="AY5342" s="283"/>
      <c r="AZ5342" s="167"/>
      <c r="BA5342" s="167"/>
      <c r="BB5342" s="285"/>
      <c r="BC5342" s="154"/>
      <c r="BD5342" s="154"/>
      <c r="BE5342" s="150"/>
      <c r="BF5342" s="227"/>
      <c r="BG5342" s="227"/>
      <c r="BH5342" s="227"/>
      <c r="BI5342" s="224"/>
      <c r="BJ5342" s="227"/>
      <c r="BK5342" s="227"/>
      <c r="BL5342" s="224"/>
      <c r="BM5342" s="224"/>
      <c r="BN5342" s="224"/>
      <c r="BO5342" s="262"/>
      <c r="BP5342" s="262"/>
      <c r="BQ5342" s="262"/>
      <c r="BR5342" s="262"/>
      <c r="BS5342" s="262"/>
      <c r="BT5342" s="227"/>
      <c r="BU5342" s="227"/>
      <c r="BV5342" s="227"/>
      <c r="BW5342" s="286"/>
      <c r="BX5342" s="286"/>
      <c r="BY5342" s="227"/>
      <c r="BZ5342" s="227"/>
      <c r="CA5342" s="227"/>
      <c r="CB5342" s="190"/>
    </row>
    <row r="5343" spans="1:80" x14ac:dyDescent="0.2">
      <c r="A5343" s="257"/>
      <c r="B5343" s="667"/>
      <c r="C5343" s="667"/>
      <c r="D5343" s="292"/>
      <c r="E5343" s="257"/>
      <c r="F5343" s="257"/>
      <c r="G5343" s="227"/>
      <c r="H5343" s="227"/>
      <c r="I5343" s="227"/>
      <c r="J5343" s="227"/>
      <c r="K5343" s="227"/>
      <c r="L5343" s="660"/>
      <c r="M5343" s="671">
        <v>30802</v>
      </c>
      <c r="N5343" s="581">
        <v>1.05</v>
      </c>
      <c r="O5343" s="604">
        <f>0.5868/(1000)*AD5343</f>
        <v>1.5079295154185022E-3</v>
      </c>
      <c r="P5343" s="280">
        <v>0</v>
      </c>
      <c r="Q5343" s="280">
        <v>0</v>
      </c>
      <c r="R5343" s="280">
        <v>0.60099999999999998</v>
      </c>
      <c r="S5343" s="280">
        <v>0.28999999999999998</v>
      </c>
      <c r="T5343" s="771">
        <v>0.109</v>
      </c>
      <c r="U5343" s="775"/>
      <c r="V5343" s="699"/>
      <c r="W5343" s="699"/>
      <c r="X5343" s="699"/>
      <c r="Y5343" s="776"/>
      <c r="Z5343" s="772"/>
      <c r="AA5343" s="281"/>
      <c r="AB5343" s="281"/>
      <c r="AC5343" s="174">
        <v>1.0999999999999999E-2</v>
      </c>
      <c r="AD5343" s="282">
        <f t="shared" si="27"/>
        <v>2.5697503671071957</v>
      </c>
      <c r="AE5343" s="282">
        <v>0.36</v>
      </c>
      <c r="AF5343" s="173">
        <f t="shared" si="28"/>
        <v>0.92511013215859039</v>
      </c>
      <c r="AG5343" s="177">
        <v>1.135</v>
      </c>
      <c r="AH5343" s="349"/>
      <c r="AI5343" s="283"/>
      <c r="AJ5343" s="240"/>
      <c r="AK5343" s="240"/>
      <c r="AL5343" s="284"/>
      <c r="AM5343" s="167"/>
      <c r="AN5343" s="167"/>
      <c r="AO5343" s="167"/>
      <c r="AP5343" s="167"/>
      <c r="AQ5343" s="167"/>
      <c r="AR5343" s="551"/>
      <c r="AS5343" s="551"/>
      <c r="AT5343" s="551"/>
      <c r="AU5343" s="283"/>
      <c r="AV5343" s="283"/>
      <c r="AW5343" s="283"/>
      <c r="AX5343" s="283"/>
      <c r="AY5343" s="283"/>
      <c r="AZ5343" s="167"/>
      <c r="BA5343" s="167"/>
      <c r="BB5343" s="285"/>
      <c r="BC5343" s="154"/>
      <c r="BD5343" s="154"/>
      <c r="BE5343" s="150"/>
      <c r="BF5343" s="227"/>
      <c r="BG5343" s="227"/>
      <c r="BH5343" s="227"/>
      <c r="BI5343" s="224"/>
      <c r="BJ5343" s="227"/>
      <c r="BK5343" s="227"/>
      <c r="BL5343" s="224"/>
      <c r="BM5343" s="224"/>
      <c r="BN5343" s="224"/>
      <c r="BO5343" s="262"/>
      <c r="BP5343" s="262"/>
      <c r="BQ5343" s="262"/>
      <c r="BR5343" s="262"/>
      <c r="BS5343" s="262"/>
      <c r="BT5343" s="227"/>
      <c r="BU5343" s="227"/>
      <c r="BV5343" s="227"/>
      <c r="BW5343" s="286"/>
      <c r="BX5343" s="286"/>
      <c r="BY5343" s="227"/>
      <c r="BZ5343" s="227"/>
      <c r="CA5343" s="227"/>
      <c r="CB5343" s="190"/>
    </row>
    <row r="5344" spans="1:80" x14ac:dyDescent="0.2">
      <c r="A5344" s="257"/>
      <c r="B5344" s="667"/>
      <c r="C5344" s="667"/>
      <c r="D5344" s="292"/>
      <c r="E5344" s="257"/>
      <c r="F5344" s="257"/>
      <c r="G5344" s="227"/>
      <c r="H5344" s="227"/>
      <c r="I5344" s="227"/>
      <c r="J5344" s="227"/>
      <c r="K5344" s="227"/>
      <c r="L5344" s="660"/>
      <c r="M5344" s="671">
        <v>30803</v>
      </c>
      <c r="N5344" s="581">
        <v>1.23</v>
      </c>
      <c r="O5344" s="604">
        <f>1.416/(1000)*AD5344</f>
        <v>3.6460313339976387E-3</v>
      </c>
      <c r="P5344" s="280">
        <v>0</v>
      </c>
      <c r="Q5344" s="280">
        <v>0</v>
      </c>
      <c r="R5344" s="280">
        <v>0.55400000000000005</v>
      </c>
      <c r="S5344" s="280">
        <v>0.33200000000000002</v>
      </c>
      <c r="T5344" s="771">
        <v>0.114</v>
      </c>
      <c r="U5344" s="775"/>
      <c r="V5344" s="699"/>
      <c r="W5344" s="699"/>
      <c r="X5344" s="699"/>
      <c r="Y5344" s="776"/>
      <c r="Z5344" s="772"/>
      <c r="AA5344" s="281"/>
      <c r="AB5344" s="281"/>
      <c r="AC5344" s="174">
        <v>1.0999999999999999E-2</v>
      </c>
      <c r="AD5344" s="282">
        <f t="shared" si="27"/>
        <v>2.5748808855915528</v>
      </c>
      <c r="AE5344" s="282">
        <v>0.38900000000000001</v>
      </c>
      <c r="AF5344" s="173">
        <f t="shared" si="28"/>
        <v>1.001628664495114</v>
      </c>
      <c r="AG5344" s="177">
        <v>1.228</v>
      </c>
      <c r="AH5344" s="349"/>
      <c r="AI5344" s="283"/>
      <c r="AJ5344" s="240"/>
      <c r="AK5344" s="240"/>
      <c r="AL5344" s="284"/>
      <c r="AM5344" s="167"/>
      <c r="AN5344" s="167"/>
      <c r="AO5344" s="167"/>
      <c r="AP5344" s="167"/>
      <c r="AQ5344" s="167"/>
      <c r="AR5344" s="551"/>
      <c r="AS5344" s="551"/>
      <c r="AT5344" s="551"/>
      <c r="AU5344" s="283"/>
      <c r="AV5344" s="283"/>
      <c r="AW5344" s="283"/>
      <c r="AX5344" s="283"/>
      <c r="AY5344" s="283"/>
      <c r="AZ5344" s="167"/>
      <c r="BA5344" s="167"/>
      <c r="BB5344" s="285"/>
      <c r="BC5344" s="154"/>
      <c r="BD5344" s="154"/>
      <c r="BE5344" s="150"/>
      <c r="BF5344" s="227"/>
      <c r="BG5344" s="227"/>
      <c r="BH5344" s="227"/>
      <c r="BI5344" s="224"/>
      <c r="BJ5344" s="227"/>
      <c r="BK5344" s="227"/>
      <c r="BL5344" s="224"/>
      <c r="BM5344" s="224"/>
      <c r="BN5344" s="224"/>
      <c r="BO5344" s="262"/>
      <c r="BP5344" s="262"/>
      <c r="BQ5344" s="262"/>
      <c r="BR5344" s="262"/>
      <c r="BS5344" s="262"/>
      <c r="BT5344" s="227"/>
      <c r="BU5344" s="227"/>
      <c r="BV5344" s="227"/>
      <c r="BW5344" s="286"/>
      <c r="BX5344" s="286"/>
      <c r="BY5344" s="227"/>
      <c r="BZ5344" s="227"/>
      <c r="CA5344" s="227"/>
      <c r="CB5344" s="190"/>
    </row>
    <row r="5345" spans="1:80" x14ac:dyDescent="0.2">
      <c r="A5345" s="257"/>
      <c r="B5345" s="667"/>
      <c r="C5345" s="667"/>
      <c r="D5345" s="292"/>
      <c r="E5345" s="257"/>
      <c r="F5345" s="257"/>
      <c r="G5345" s="227"/>
      <c r="H5345" s="227"/>
      <c r="I5345" s="227"/>
      <c r="J5345" s="227"/>
      <c r="K5345" s="227"/>
      <c r="L5345" s="660"/>
      <c r="M5345" s="671">
        <v>30804</v>
      </c>
      <c r="N5345" s="582">
        <v>1.3</v>
      </c>
      <c r="O5345" s="604">
        <f>6.03/(1000)*AD5345</f>
        <v>1.5541237113402065E-2</v>
      </c>
      <c r="P5345" s="280">
        <v>0</v>
      </c>
      <c r="Q5345" s="280">
        <v>0.36299999999999999</v>
      </c>
      <c r="R5345" s="280">
        <v>0.316</v>
      </c>
      <c r="S5345" s="280">
        <v>0.22500000000000001</v>
      </c>
      <c r="T5345" s="771">
        <v>9.6000000000000002E-2</v>
      </c>
      <c r="U5345" s="775"/>
      <c r="V5345" s="699"/>
      <c r="W5345" s="699"/>
      <c r="X5345" s="699"/>
      <c r="Y5345" s="776"/>
      <c r="Z5345" s="772"/>
      <c r="AA5345" s="281"/>
      <c r="AB5345" s="281"/>
      <c r="AC5345" s="174">
        <v>1.0999999999999999E-2</v>
      </c>
      <c r="AD5345" s="282">
        <f t="shared" si="27"/>
        <v>2.5773195876288661</v>
      </c>
      <c r="AE5345" s="282">
        <v>0.4</v>
      </c>
      <c r="AF5345" s="173">
        <f t="shared" si="28"/>
        <v>1.0309278350515465</v>
      </c>
      <c r="AG5345" s="177">
        <v>1.2609999999999999</v>
      </c>
      <c r="AH5345" s="349"/>
      <c r="AI5345" s="283"/>
      <c r="AJ5345" s="240"/>
      <c r="AK5345" s="240"/>
      <c r="AL5345" s="284"/>
      <c r="AM5345" s="167"/>
      <c r="AN5345" s="167"/>
      <c r="AO5345" s="167"/>
      <c r="AP5345" s="167"/>
      <c r="AQ5345" s="167"/>
      <c r="AR5345" s="551"/>
      <c r="AS5345" s="551"/>
      <c r="AT5345" s="551"/>
      <c r="AU5345" s="283"/>
      <c r="AV5345" s="283"/>
      <c r="AW5345" s="283"/>
      <c r="AX5345" s="283"/>
      <c r="AY5345" s="283"/>
      <c r="AZ5345" s="167"/>
      <c r="BA5345" s="167"/>
      <c r="BB5345" s="285"/>
      <c r="BC5345" s="154"/>
      <c r="BD5345" s="154"/>
      <c r="BE5345" s="150"/>
      <c r="BF5345" s="227"/>
      <c r="BG5345" s="227"/>
      <c r="BH5345" s="227"/>
      <c r="BI5345" s="224"/>
      <c r="BJ5345" s="227"/>
      <c r="BK5345" s="227"/>
      <c r="BL5345" s="224"/>
      <c r="BM5345" s="224"/>
      <c r="BN5345" s="224"/>
      <c r="BO5345" s="262"/>
      <c r="BP5345" s="262"/>
      <c r="BQ5345" s="262"/>
      <c r="BR5345" s="262"/>
      <c r="BS5345" s="262"/>
      <c r="BT5345" s="227"/>
      <c r="BU5345" s="227"/>
      <c r="BV5345" s="227"/>
      <c r="BW5345" s="286"/>
      <c r="BX5345" s="286"/>
      <c r="BY5345" s="227"/>
      <c r="BZ5345" s="227"/>
      <c r="CA5345" s="227"/>
      <c r="CB5345" s="190"/>
    </row>
    <row r="5346" spans="1:80" x14ac:dyDescent="0.2">
      <c r="A5346" s="257"/>
      <c r="B5346" s="667"/>
      <c r="C5346" s="667"/>
      <c r="D5346" s="292"/>
      <c r="E5346" s="257"/>
      <c r="F5346" s="257"/>
      <c r="G5346" s="227"/>
      <c r="H5346" s="227"/>
      <c r="I5346" s="227"/>
      <c r="J5346" s="227"/>
      <c r="K5346" s="227"/>
      <c r="L5346" s="660"/>
      <c r="M5346" s="671">
        <v>30805</v>
      </c>
      <c r="N5346" s="581">
        <v>1.64</v>
      </c>
      <c r="O5346" s="604">
        <f>8.724/(1000)*AD5346</f>
        <v>2.2487610670933446E-2</v>
      </c>
      <c r="P5346" s="280">
        <v>0</v>
      </c>
      <c r="Q5346" s="280">
        <v>0.216</v>
      </c>
      <c r="R5346" s="280">
        <v>0.34200000000000003</v>
      </c>
      <c r="S5346" s="280">
        <v>0.32700000000000001</v>
      </c>
      <c r="T5346" s="771">
        <v>0.115</v>
      </c>
      <c r="U5346" s="775"/>
      <c r="V5346" s="699"/>
      <c r="W5346" s="699"/>
      <c r="X5346" s="699"/>
      <c r="Y5346" s="776"/>
      <c r="Z5346" s="772"/>
      <c r="AA5346" s="281"/>
      <c r="AB5346" s="281"/>
      <c r="AC5346" s="174">
        <v>1.0999999999999999E-2</v>
      </c>
      <c r="AD5346" s="282">
        <f t="shared" si="27"/>
        <v>2.5776720163839344</v>
      </c>
      <c r="AE5346" s="282">
        <v>0.44900000000000001</v>
      </c>
      <c r="AF5346" s="173">
        <f t="shared" si="28"/>
        <v>1.1573747353563866</v>
      </c>
      <c r="AG5346" s="177">
        <v>1.417</v>
      </c>
      <c r="AH5346" s="349"/>
      <c r="AI5346" s="283"/>
      <c r="AJ5346" s="240"/>
      <c r="AK5346" s="240"/>
      <c r="AL5346" s="284"/>
      <c r="AM5346" s="167"/>
      <c r="AN5346" s="167"/>
      <c r="AO5346" s="167"/>
      <c r="AP5346" s="167"/>
      <c r="AQ5346" s="167"/>
      <c r="AR5346" s="551"/>
      <c r="AS5346" s="551"/>
      <c r="AT5346" s="551"/>
      <c r="AU5346" s="283"/>
      <c r="AV5346" s="283"/>
      <c r="AW5346" s="283"/>
      <c r="AX5346" s="283"/>
      <c r="AY5346" s="283"/>
      <c r="AZ5346" s="167"/>
      <c r="BA5346" s="167"/>
      <c r="BB5346" s="285"/>
      <c r="BC5346" s="154"/>
      <c r="BD5346" s="154"/>
      <c r="BE5346" s="150"/>
      <c r="BF5346" s="227"/>
      <c r="BG5346" s="227"/>
      <c r="BH5346" s="227"/>
      <c r="BI5346" s="224"/>
      <c r="BJ5346" s="227"/>
      <c r="BK5346" s="227"/>
      <c r="BL5346" s="224"/>
      <c r="BM5346" s="224"/>
      <c r="BN5346" s="224"/>
      <c r="BO5346" s="262"/>
      <c r="BP5346" s="262"/>
      <c r="BQ5346" s="262"/>
      <c r="BR5346" s="262"/>
      <c r="BS5346" s="262"/>
      <c r="BT5346" s="227"/>
      <c r="BU5346" s="227"/>
      <c r="BV5346" s="227"/>
      <c r="BW5346" s="286"/>
      <c r="BX5346" s="286"/>
      <c r="BY5346" s="227"/>
      <c r="BZ5346" s="227"/>
      <c r="CA5346" s="227"/>
      <c r="CB5346" s="190"/>
    </row>
    <row r="5347" spans="1:80" x14ac:dyDescent="0.2">
      <c r="A5347" s="257"/>
      <c r="B5347" s="667"/>
      <c r="C5347" s="667"/>
      <c r="D5347" s="292"/>
      <c r="E5347" s="257"/>
      <c r="F5347" s="257"/>
      <c r="G5347" s="227"/>
      <c r="H5347" s="227"/>
      <c r="I5347" s="227"/>
      <c r="J5347" s="227"/>
      <c r="K5347" s="227"/>
      <c r="L5347" s="660"/>
      <c r="M5347" s="671">
        <v>30806</v>
      </c>
      <c r="N5347" s="582">
        <v>1.3</v>
      </c>
      <c r="O5347" s="604">
        <f>8.968/(1000)*AD5347</f>
        <v>2.3113402061855672E-2</v>
      </c>
      <c r="P5347" s="291">
        <v>0.14799999999999999</v>
      </c>
      <c r="Q5347" s="280">
        <v>0.158</v>
      </c>
      <c r="R5347" s="280">
        <v>0.29099999999999998</v>
      </c>
      <c r="S5347" s="280">
        <v>0.29399999999999998</v>
      </c>
      <c r="T5347" s="771">
        <v>0.109</v>
      </c>
      <c r="U5347" s="775"/>
      <c r="V5347" s="699"/>
      <c r="W5347" s="699"/>
      <c r="X5347" s="699"/>
      <c r="Y5347" s="776"/>
      <c r="Z5347" s="772"/>
      <c r="AA5347" s="281"/>
      <c r="AB5347" s="281"/>
      <c r="AC5347" s="174">
        <v>1.0999999999999999E-2</v>
      </c>
      <c r="AD5347" s="282">
        <f t="shared" si="27"/>
        <v>2.5773195876288661</v>
      </c>
      <c r="AE5347" s="282">
        <v>0.4</v>
      </c>
      <c r="AF5347" s="173">
        <f t="shared" si="28"/>
        <v>1.0309278350515465</v>
      </c>
      <c r="AG5347" s="177">
        <v>1.2609999999999999</v>
      </c>
      <c r="AH5347" s="349"/>
      <c r="AI5347" s="283"/>
      <c r="AJ5347" s="240"/>
      <c r="AK5347" s="240"/>
      <c r="AL5347" s="284"/>
      <c r="AM5347" s="167"/>
      <c r="AN5347" s="167"/>
      <c r="AO5347" s="167"/>
      <c r="AP5347" s="167"/>
      <c r="AQ5347" s="167"/>
      <c r="AR5347" s="551"/>
      <c r="AS5347" s="551"/>
      <c r="AT5347" s="551"/>
      <c r="AU5347" s="283"/>
      <c r="AV5347" s="283"/>
      <c r="AW5347" s="283"/>
      <c r="AX5347" s="283"/>
      <c r="AY5347" s="283"/>
      <c r="AZ5347" s="167"/>
      <c r="BA5347" s="167"/>
      <c r="BB5347" s="285"/>
      <c r="BC5347" s="154"/>
      <c r="BD5347" s="154"/>
      <c r="BE5347" s="150"/>
      <c r="BF5347" s="227"/>
      <c r="BG5347" s="227"/>
      <c r="BH5347" s="227"/>
      <c r="BI5347" s="224"/>
      <c r="BJ5347" s="227"/>
      <c r="BK5347" s="227"/>
      <c r="BL5347" s="227"/>
      <c r="BM5347" s="224"/>
      <c r="BN5347" s="224"/>
      <c r="BO5347" s="262"/>
      <c r="BP5347" s="262"/>
      <c r="BQ5347" s="262"/>
      <c r="BR5347" s="262"/>
      <c r="BS5347" s="262"/>
      <c r="BT5347" s="227"/>
      <c r="BU5347" s="227"/>
      <c r="BV5347" s="227"/>
      <c r="BW5347" s="286"/>
      <c r="BX5347" s="286"/>
      <c r="BY5347" s="227"/>
      <c r="BZ5347" s="227"/>
      <c r="CA5347" s="227"/>
      <c r="CB5347" s="190"/>
    </row>
    <row r="5348" spans="1:80" x14ac:dyDescent="0.2">
      <c r="A5348" s="257"/>
      <c r="B5348" s="667"/>
      <c r="C5348" s="667"/>
      <c r="D5348" s="292"/>
      <c r="E5348" s="257"/>
      <c r="F5348" s="257"/>
      <c r="G5348" s="227"/>
      <c r="H5348" s="227"/>
      <c r="I5348" s="227"/>
      <c r="J5348" s="227"/>
      <c r="K5348" s="227"/>
      <c r="L5348" s="660"/>
      <c r="M5348" s="671">
        <v>30807</v>
      </c>
      <c r="N5348" s="581">
        <v>1.34</v>
      </c>
      <c r="O5348" s="604">
        <f>5.393/(1000)*AD5348</f>
        <v>1.3839300932052299E-2</v>
      </c>
      <c r="P5348" s="291">
        <v>0.112</v>
      </c>
      <c r="Q5348" s="280">
        <v>0.215</v>
      </c>
      <c r="R5348" s="280">
        <v>0.249</v>
      </c>
      <c r="S5348" s="280">
        <v>0.29899999999999999</v>
      </c>
      <c r="T5348" s="771">
        <v>0.125</v>
      </c>
      <c r="U5348" s="775"/>
      <c r="V5348" s="699"/>
      <c r="W5348" s="699"/>
      <c r="X5348" s="699"/>
      <c r="Y5348" s="776"/>
      <c r="Z5348" s="772"/>
      <c r="AA5348" s="281"/>
      <c r="AB5348" s="281"/>
      <c r="AC5348" s="174">
        <v>1.0999999999999999E-2</v>
      </c>
      <c r="AD5348" s="282">
        <f t="shared" si="27"/>
        <v>2.566160009651826</v>
      </c>
      <c r="AE5348" s="282">
        <v>0.40699999999999997</v>
      </c>
      <c r="AF5348" s="173">
        <f t="shared" si="28"/>
        <v>1.0444271239282932</v>
      </c>
      <c r="AG5348" s="177">
        <v>1.2829999999999999</v>
      </c>
      <c r="AH5348" s="349"/>
      <c r="AI5348" s="283"/>
      <c r="AJ5348" s="240"/>
      <c r="AK5348" s="240"/>
      <c r="AL5348" s="284"/>
      <c r="AM5348" s="167"/>
      <c r="AN5348" s="167"/>
      <c r="AO5348" s="167"/>
      <c r="AP5348" s="167"/>
      <c r="AQ5348" s="167"/>
      <c r="AR5348" s="551"/>
      <c r="AS5348" s="551"/>
      <c r="AT5348" s="551"/>
      <c r="AU5348" s="283"/>
      <c r="AV5348" s="283"/>
      <c r="AW5348" s="283"/>
      <c r="AX5348" s="283"/>
      <c r="AY5348" s="283"/>
      <c r="AZ5348" s="167"/>
      <c r="BA5348" s="167"/>
      <c r="BB5348" s="285"/>
      <c r="BC5348" s="154"/>
      <c r="BD5348" s="154"/>
      <c r="BE5348" s="150"/>
      <c r="BF5348" s="227"/>
      <c r="BG5348" s="227"/>
      <c r="BH5348" s="227"/>
      <c r="BI5348" s="224"/>
      <c r="BJ5348" s="227"/>
      <c r="BK5348" s="227"/>
      <c r="BL5348" s="227"/>
      <c r="BM5348" s="224"/>
      <c r="BN5348" s="224"/>
      <c r="BO5348" s="262"/>
      <c r="BP5348" s="262"/>
      <c r="BQ5348" s="262"/>
      <c r="BR5348" s="262"/>
      <c r="BS5348" s="262"/>
      <c r="BT5348" s="227"/>
      <c r="BU5348" s="227"/>
      <c r="BV5348" s="227"/>
      <c r="BW5348" s="286"/>
      <c r="BX5348" s="286"/>
      <c r="BY5348" s="227"/>
      <c r="BZ5348" s="227"/>
      <c r="CA5348" s="227"/>
      <c r="CB5348" s="190"/>
    </row>
    <row r="5349" spans="1:80" x14ac:dyDescent="0.2">
      <c r="A5349" s="257"/>
      <c r="B5349" s="667"/>
      <c r="C5349" s="667"/>
      <c r="D5349" s="292"/>
      <c r="E5349" s="257"/>
      <c r="F5349" s="257"/>
      <c r="G5349" s="227"/>
      <c r="H5349" s="227"/>
      <c r="I5349" s="227"/>
      <c r="J5349" s="227"/>
      <c r="K5349" s="227"/>
      <c r="L5349" s="660"/>
      <c r="M5349" s="671">
        <v>30808</v>
      </c>
      <c r="N5349" s="581">
        <v>1.37</v>
      </c>
      <c r="O5349" s="604">
        <f>5.076/(1000)*AD5349</f>
        <v>1.3107626192181553E-2</v>
      </c>
      <c r="P5349" s="280">
        <v>0</v>
      </c>
      <c r="Q5349" s="280">
        <v>0.192</v>
      </c>
      <c r="R5349" s="280">
        <v>0.41</v>
      </c>
      <c r="S5349" s="280">
        <v>0.27500000000000002</v>
      </c>
      <c r="T5349" s="771">
        <v>0.123</v>
      </c>
      <c r="U5349" s="775"/>
      <c r="V5349" s="699"/>
      <c r="W5349" s="699"/>
      <c r="X5349" s="699"/>
      <c r="Y5349" s="776"/>
      <c r="Z5349" s="772"/>
      <c r="AA5349" s="281"/>
      <c r="AB5349" s="281"/>
      <c r="AC5349" s="174">
        <v>1.0999999999999999E-2</v>
      </c>
      <c r="AD5349" s="282">
        <f t="shared" si="27"/>
        <v>2.5822746635503453</v>
      </c>
      <c r="AE5349" s="282">
        <v>0.41</v>
      </c>
      <c r="AF5349" s="173">
        <f t="shared" si="28"/>
        <v>1.0587326120556415</v>
      </c>
      <c r="AG5349" s="177">
        <v>1.294</v>
      </c>
      <c r="AH5349" s="349"/>
      <c r="AI5349" s="283"/>
      <c r="AJ5349" s="240"/>
      <c r="AK5349" s="240"/>
      <c r="AL5349" s="284"/>
      <c r="AM5349" s="167"/>
      <c r="AN5349" s="167"/>
      <c r="AO5349" s="167"/>
      <c r="AP5349" s="167"/>
      <c r="AQ5349" s="167"/>
      <c r="AR5349" s="551"/>
      <c r="AS5349" s="551"/>
      <c r="AT5349" s="551"/>
      <c r="AU5349" s="283"/>
      <c r="AV5349" s="283"/>
      <c r="AW5349" s="283"/>
      <c r="AX5349" s="283"/>
      <c r="AY5349" s="283"/>
      <c r="AZ5349" s="167"/>
      <c r="BA5349" s="167"/>
      <c r="BB5349" s="285"/>
      <c r="BC5349" s="154"/>
      <c r="BD5349" s="154"/>
      <c r="BE5349" s="150"/>
      <c r="BF5349" s="227"/>
      <c r="BG5349" s="227"/>
      <c r="BH5349" s="227"/>
      <c r="BI5349" s="224"/>
      <c r="BJ5349" s="227"/>
      <c r="BK5349" s="227"/>
      <c r="BL5349" s="227"/>
      <c r="BM5349" s="224"/>
      <c r="BN5349" s="224"/>
      <c r="BO5349" s="262"/>
      <c r="BP5349" s="262"/>
      <c r="BQ5349" s="262"/>
      <c r="BR5349" s="262"/>
      <c r="BS5349" s="262"/>
      <c r="BT5349" s="227"/>
      <c r="BU5349" s="227"/>
      <c r="BV5349" s="227"/>
      <c r="BW5349" s="286"/>
      <c r="BX5349" s="286"/>
      <c r="BY5349" s="227"/>
      <c r="BZ5349" s="227"/>
      <c r="CA5349" s="227"/>
      <c r="CB5349" s="190"/>
    </row>
    <row r="5350" spans="1:80" x14ac:dyDescent="0.2">
      <c r="A5350" s="257"/>
      <c r="B5350" s="667"/>
      <c r="C5350" s="667"/>
      <c r="D5350" s="292"/>
      <c r="E5350" s="257"/>
      <c r="F5350" s="257"/>
      <c r="G5350" s="227"/>
      <c r="H5350" s="227"/>
      <c r="I5350" s="227"/>
      <c r="J5350" s="227"/>
      <c r="K5350" s="227"/>
      <c r="L5350" s="660"/>
      <c r="M5350" s="671">
        <v>30809</v>
      </c>
      <c r="N5350" s="581">
        <v>1.39</v>
      </c>
      <c r="O5350" s="604">
        <f>7.325/(1000)*AD5350</f>
        <v>1.8845669757713734E-2</v>
      </c>
      <c r="P5350" s="280">
        <v>0</v>
      </c>
      <c r="Q5350" s="280">
        <v>0.33700000000000002</v>
      </c>
      <c r="R5350" s="280">
        <v>0.29299999999999998</v>
      </c>
      <c r="S5350" s="293">
        <v>0.26400000000000001</v>
      </c>
      <c r="T5350" s="771">
        <v>0.106</v>
      </c>
      <c r="U5350" s="775"/>
      <c r="V5350" s="699"/>
      <c r="W5350" s="699"/>
      <c r="X5350" s="699"/>
      <c r="Y5350" s="776"/>
      <c r="Z5350" s="772"/>
      <c r="AA5350" s="281"/>
      <c r="AB5350" s="281"/>
      <c r="AC5350" s="174">
        <v>1.0999999999999999E-2</v>
      </c>
      <c r="AD5350" s="282">
        <f t="shared" si="27"/>
        <v>2.5727876802339571</v>
      </c>
      <c r="AE5350" s="282">
        <v>0.41399999999999998</v>
      </c>
      <c r="AF5350" s="173">
        <f t="shared" si="28"/>
        <v>1.0651340996168581</v>
      </c>
      <c r="AG5350" s="177">
        <v>1.3049999999999999</v>
      </c>
      <c r="AH5350" s="349"/>
      <c r="AI5350" s="283"/>
      <c r="AJ5350" s="240"/>
      <c r="AK5350" s="240"/>
      <c r="AL5350" s="284"/>
      <c r="AM5350" s="167"/>
      <c r="AN5350" s="167"/>
      <c r="AO5350" s="167"/>
      <c r="AP5350" s="167"/>
      <c r="AQ5350" s="167"/>
      <c r="AR5350" s="551"/>
      <c r="AS5350" s="551"/>
      <c r="AT5350" s="551"/>
      <c r="AU5350" s="283"/>
      <c r="AV5350" s="283"/>
      <c r="AW5350" s="283"/>
      <c r="AX5350" s="283"/>
      <c r="AY5350" s="283"/>
      <c r="AZ5350" s="167"/>
      <c r="BA5350" s="167"/>
      <c r="BB5350" s="285"/>
      <c r="BC5350" s="154"/>
      <c r="BD5350" s="154"/>
      <c r="BE5350" s="150"/>
      <c r="BF5350" s="227"/>
      <c r="BG5350" s="227"/>
      <c r="BH5350" s="227"/>
      <c r="BI5350" s="224"/>
      <c r="BJ5350" s="227"/>
      <c r="BK5350" s="227"/>
      <c r="BL5350" s="227"/>
      <c r="BM5350" s="224"/>
      <c r="BN5350" s="224"/>
      <c r="BO5350" s="262"/>
      <c r="BP5350" s="262"/>
      <c r="BQ5350" s="262"/>
      <c r="BR5350" s="262"/>
      <c r="BS5350" s="262"/>
      <c r="BT5350" s="227"/>
      <c r="BU5350" s="227"/>
      <c r="BV5350" s="227"/>
      <c r="BW5350" s="286"/>
      <c r="BX5350" s="286"/>
      <c r="BY5350" s="227"/>
      <c r="BZ5350" s="227"/>
      <c r="CA5350" s="227"/>
      <c r="CB5350" s="190"/>
    </row>
    <row r="5351" spans="1:80" x14ac:dyDescent="0.2">
      <c r="A5351" s="257"/>
      <c r="B5351" s="667"/>
      <c r="C5351" s="667"/>
      <c r="D5351" s="292"/>
      <c r="E5351" s="257"/>
      <c r="F5351" s="257"/>
      <c r="G5351" s="227"/>
      <c r="H5351" s="227"/>
      <c r="I5351" s="227"/>
      <c r="J5351" s="227"/>
      <c r="K5351" s="227"/>
      <c r="L5351" s="660"/>
      <c r="M5351" s="671">
        <v>30810</v>
      </c>
      <c r="N5351" s="582">
        <v>1.6</v>
      </c>
      <c r="O5351" s="604">
        <f>8.143/(1000)*AD5351</f>
        <v>2.1037470491543874E-2</v>
      </c>
      <c r="P5351" s="291">
        <v>0.191</v>
      </c>
      <c r="Q5351" s="280">
        <v>5.0999999999999997E-2</v>
      </c>
      <c r="R5351" s="280">
        <v>0.34599999999999997</v>
      </c>
      <c r="S5351" s="280">
        <v>0.29199999999999998</v>
      </c>
      <c r="T5351" s="771">
        <v>0.12</v>
      </c>
      <c r="U5351" s="775"/>
      <c r="V5351" s="699"/>
      <c r="W5351" s="699"/>
      <c r="X5351" s="699"/>
      <c r="Y5351" s="776"/>
      <c r="Z5351" s="772"/>
      <c r="AA5351" s="281"/>
      <c r="AB5351" s="281"/>
      <c r="AC5351" s="174">
        <v>1.0999999999999999E-2</v>
      </c>
      <c r="AD5351" s="282">
        <f t="shared" si="27"/>
        <v>2.5835036831074385</v>
      </c>
      <c r="AE5351" s="282">
        <v>0.443</v>
      </c>
      <c r="AF5351" s="173">
        <f t="shared" si="28"/>
        <v>1.1444921316165952</v>
      </c>
      <c r="AG5351" s="177">
        <v>1.3979999999999999</v>
      </c>
      <c r="AH5351" s="349"/>
      <c r="AI5351" s="283"/>
      <c r="AJ5351" s="240"/>
      <c r="AK5351" s="240"/>
      <c r="AL5351" s="284"/>
      <c r="AM5351" s="167"/>
      <c r="AN5351" s="167"/>
      <c r="AO5351" s="167"/>
      <c r="AP5351" s="167"/>
      <c r="AQ5351" s="167"/>
      <c r="AR5351" s="551"/>
      <c r="AS5351" s="551"/>
      <c r="AT5351" s="551"/>
      <c r="AU5351" s="283"/>
      <c r="AV5351" s="283"/>
      <c r="AW5351" s="283"/>
      <c r="AX5351" s="283"/>
      <c r="AY5351" s="283"/>
      <c r="AZ5351" s="167"/>
      <c r="BA5351" s="167"/>
      <c r="BB5351" s="285"/>
      <c r="BC5351" s="154"/>
      <c r="BD5351" s="154"/>
      <c r="BE5351" s="150"/>
      <c r="BF5351" s="227"/>
      <c r="BG5351" s="227"/>
      <c r="BH5351" s="227"/>
      <c r="BI5351" s="224"/>
      <c r="BJ5351" s="227"/>
      <c r="BK5351" s="227"/>
      <c r="BL5351" s="227"/>
      <c r="BM5351" s="224"/>
      <c r="BN5351" s="224"/>
      <c r="BO5351" s="262"/>
      <c r="BP5351" s="262"/>
      <c r="BQ5351" s="262"/>
      <c r="BR5351" s="262"/>
      <c r="BS5351" s="262"/>
      <c r="BT5351" s="227"/>
      <c r="BU5351" s="227"/>
      <c r="BV5351" s="227"/>
      <c r="BW5351" s="286"/>
      <c r="BX5351" s="286"/>
      <c r="BY5351" s="227"/>
      <c r="BZ5351" s="227"/>
      <c r="CA5351" s="227"/>
      <c r="CB5351" s="190"/>
    </row>
    <row r="5352" spans="1:80" ht="15" thickBot="1" x14ac:dyDescent="0.25">
      <c r="A5352" s="257"/>
      <c r="B5352" s="667"/>
      <c r="C5352" s="667"/>
      <c r="D5352" s="292"/>
      <c r="E5352" s="257"/>
      <c r="F5352" s="257"/>
      <c r="G5352" s="227"/>
      <c r="H5352" s="227"/>
      <c r="I5352" s="227"/>
      <c r="J5352" s="227"/>
      <c r="K5352" s="227"/>
      <c r="L5352" s="660"/>
      <c r="M5352" s="671">
        <v>30811</v>
      </c>
      <c r="N5352" s="581">
        <v>1.68</v>
      </c>
      <c r="O5352" s="604">
        <f>13.42/(1000)*AD5352</f>
        <v>3.4506106706663812E-2</v>
      </c>
      <c r="P5352" s="280">
        <v>0</v>
      </c>
      <c r="Q5352" s="280">
        <v>0.29899999999999999</v>
      </c>
      <c r="R5352" s="280">
        <v>0.32600000000000001</v>
      </c>
      <c r="S5352" s="280">
        <v>0.26200000000000001</v>
      </c>
      <c r="T5352" s="771">
        <v>0.113</v>
      </c>
      <c r="U5352" s="777"/>
      <c r="V5352" s="778"/>
      <c r="W5352" s="778"/>
      <c r="X5352" s="778"/>
      <c r="Y5352" s="779"/>
      <c r="Z5352" s="772"/>
      <c r="AA5352" s="281"/>
      <c r="AB5352" s="281"/>
      <c r="AC5352" s="174">
        <v>1.0999999999999999E-2</v>
      </c>
      <c r="AD5352" s="282">
        <f t="shared" si="27"/>
        <v>2.5712449110777804</v>
      </c>
      <c r="AE5352" s="282">
        <v>0.45500000000000002</v>
      </c>
      <c r="AF5352" s="173">
        <f t="shared" si="28"/>
        <v>1.1699164345403901</v>
      </c>
      <c r="AG5352" s="177">
        <v>1.4359999999999999</v>
      </c>
      <c r="AH5352" s="349"/>
      <c r="AI5352" s="283"/>
      <c r="AJ5352" s="240"/>
      <c r="AK5352" s="240"/>
      <c r="AL5352" s="284"/>
      <c r="AM5352" s="167"/>
      <c r="AN5352" s="167"/>
      <c r="AO5352" s="167"/>
      <c r="AP5352" s="167"/>
      <c r="AQ5352" s="167"/>
      <c r="AR5352" s="551"/>
      <c r="AS5352" s="551"/>
      <c r="AT5352" s="551"/>
      <c r="AU5352" s="283"/>
      <c r="AV5352" s="283"/>
      <c r="AW5352" s="283"/>
      <c r="AX5352" s="283"/>
      <c r="AY5352" s="283"/>
      <c r="AZ5352" s="167"/>
      <c r="BA5352" s="167"/>
      <c r="BB5352" s="285"/>
      <c r="BC5352" s="154"/>
      <c r="BD5352" s="154"/>
      <c r="BE5352" s="150"/>
      <c r="BF5352" s="227"/>
      <c r="BG5352" s="227"/>
      <c r="BH5352" s="227"/>
      <c r="BI5352" s="224"/>
      <c r="BJ5352" s="227"/>
      <c r="BK5352" s="227"/>
      <c r="BL5352" s="227"/>
      <c r="BM5352" s="224"/>
      <c r="BN5352" s="224"/>
      <c r="BO5352" s="262"/>
      <c r="BP5352" s="262"/>
      <c r="BQ5352" s="262"/>
      <c r="BR5352" s="262"/>
      <c r="BS5352" s="262"/>
      <c r="BT5352" s="292"/>
      <c r="BU5352" s="227"/>
      <c r="BV5352" s="227"/>
      <c r="BW5352" s="286"/>
      <c r="BX5352" s="286"/>
      <c r="BY5352" s="227"/>
      <c r="BZ5352" s="227"/>
      <c r="CA5352" s="227"/>
      <c r="CB5352" s="190"/>
    </row>
    <row r="5353" spans="1:80" s="189" customFormat="1" ht="15.75" thickTop="1" x14ac:dyDescent="0.25">
      <c r="A5353" s="9" t="s">
        <v>516</v>
      </c>
      <c r="B5353" s="639" t="s">
        <v>545</v>
      </c>
      <c r="C5353" s="639"/>
      <c r="D5353" s="4">
        <f>VLOOKUP(E5353,'Quality Code'!D4:E24,2,TRUE)*VLOOKUP(MROUND(F5353,10),'Quality Code'!D28:E69,2,TRUE)*VLOOKUP(COUNTA(CB5353:CB5363),'Quality Code'!D73:E93,2,TRUE)</f>
        <v>2.5</v>
      </c>
      <c r="E5353" s="14">
        <v>0.5</v>
      </c>
      <c r="F5353" s="18">
        <v>358</v>
      </c>
      <c r="G5353" s="12">
        <v>17.899999999999999</v>
      </c>
      <c r="H5353" s="2" t="s">
        <v>548</v>
      </c>
      <c r="I5353" s="2"/>
      <c r="J5353" s="2"/>
      <c r="K5353" s="2"/>
      <c r="L5353" s="639"/>
      <c r="M5353" s="640"/>
      <c r="N5353" s="579"/>
      <c r="O5353" s="579"/>
      <c r="P5353" s="711"/>
      <c r="Q5353" s="711"/>
      <c r="R5353" s="711"/>
      <c r="S5353" s="711"/>
      <c r="T5353" s="711"/>
      <c r="U5353" s="722"/>
      <c r="V5353" s="722"/>
      <c r="W5353" s="722"/>
      <c r="X5353" s="722"/>
      <c r="Y5353" s="722"/>
      <c r="Z5353" s="11"/>
      <c r="AA5353" s="11"/>
      <c r="AB5353" s="11"/>
      <c r="AC5353" s="85">
        <v>2.0999999999999999E-3</v>
      </c>
      <c r="AD5353" s="26"/>
      <c r="AE5353" s="26"/>
      <c r="AF5353" s="26"/>
      <c r="AG5353" s="26"/>
      <c r="AH5353" s="330"/>
      <c r="AI5353" s="123">
        <v>8.3000000000000007</v>
      </c>
      <c r="AJ5353" s="17"/>
      <c r="AK5353" s="161"/>
      <c r="AL5353" s="17"/>
      <c r="AM5353" s="17"/>
      <c r="AN5353" s="17"/>
      <c r="AO5353" s="17"/>
      <c r="AP5353" s="17"/>
      <c r="AQ5353" s="17"/>
      <c r="AR5353" s="17"/>
      <c r="AS5353" s="17"/>
      <c r="AT5353" s="17"/>
      <c r="AU5353" s="18">
        <v>11.7</v>
      </c>
      <c r="AV5353" s="17"/>
      <c r="AW5353" s="17"/>
      <c r="AX5353" s="17"/>
      <c r="AY5353" s="125" t="s">
        <v>517</v>
      </c>
      <c r="AZ5353" s="125" t="s">
        <v>404</v>
      </c>
      <c r="BA5353" s="125" t="s">
        <v>405</v>
      </c>
      <c r="BB5353" s="125" t="s">
        <v>518</v>
      </c>
      <c r="BC5353" s="125"/>
      <c r="BD5353" s="125"/>
      <c r="BE5353" s="125"/>
      <c r="BF5353" s="125"/>
      <c r="BG5353" s="125"/>
      <c r="BH5353" s="125"/>
      <c r="BI5353" s="4">
        <f>AU5353/AI5353</f>
        <v>1.4096385542168672</v>
      </c>
      <c r="BJ5353" s="2"/>
      <c r="BK5353" s="2"/>
      <c r="BL5353" s="12"/>
      <c r="BM5353" s="12">
        <v>90</v>
      </c>
      <c r="BN5353" s="12"/>
      <c r="BO5353" s="12"/>
      <c r="BP5353" s="12"/>
      <c r="BQ5353" s="12"/>
      <c r="BR5353" s="12"/>
      <c r="BS5353" s="12"/>
      <c r="BT5353" s="12"/>
      <c r="BU5353" s="2"/>
      <c r="BV5353" s="2"/>
      <c r="BW5353" s="2"/>
      <c r="BX5353" s="2"/>
      <c r="BY5353" s="2"/>
      <c r="BZ5353" s="2"/>
      <c r="CA5353" s="9" t="s">
        <v>546</v>
      </c>
      <c r="CB5353" s="122" t="s">
        <v>644</v>
      </c>
    </row>
    <row r="5354" spans="1:80" s="152" customFormat="1" ht="15" x14ac:dyDescent="0.25">
      <c r="B5354" s="683"/>
      <c r="C5354" s="683"/>
      <c r="D5354" s="698"/>
      <c r="E5354" s="215"/>
      <c r="F5354" s="215"/>
      <c r="G5354" s="427"/>
      <c r="H5354" s="427"/>
      <c r="I5354" s="427"/>
      <c r="J5354" s="427"/>
      <c r="K5354" s="427"/>
      <c r="L5354" s="653"/>
      <c r="M5354" s="666"/>
      <c r="N5354" s="600">
        <v>1.37</v>
      </c>
      <c r="O5354" s="608">
        <v>1.5582E-2</v>
      </c>
      <c r="P5354" s="780"/>
      <c r="Q5354" s="781"/>
      <c r="R5354" s="781"/>
      <c r="S5354" s="781"/>
      <c r="T5354" s="781"/>
      <c r="U5354" s="781"/>
      <c r="V5354" s="781"/>
      <c r="W5354" s="781"/>
      <c r="X5354" s="781"/>
      <c r="Y5354" s="766"/>
      <c r="Z5354" s="762"/>
      <c r="AA5354" s="150"/>
      <c r="AB5354" s="150">
        <v>1</v>
      </c>
      <c r="AC5354" s="150">
        <v>2.0999999999999999E-3</v>
      </c>
      <c r="AD5354" s="150">
        <v>11.13</v>
      </c>
      <c r="AE5354" s="150">
        <v>0.36599999999999999</v>
      </c>
      <c r="AF5354" s="223">
        <f>AE5354*AD5354</f>
        <v>4.0735799999999998</v>
      </c>
      <c r="AG5354" s="223">
        <f t="shared" ref="AG5354:AG5417" si="29">N5354/AF5354</f>
        <v>0.336313512929659</v>
      </c>
      <c r="AH5354" s="346"/>
      <c r="AI5354" s="427"/>
      <c r="AJ5354" s="480"/>
      <c r="AK5354" s="427"/>
      <c r="AU5354" s="218"/>
      <c r="AV5354" s="218"/>
      <c r="AW5354" s="218"/>
      <c r="AX5354" s="218"/>
      <c r="AY5354" s="157">
        <v>1</v>
      </c>
      <c r="AZ5354" s="155">
        <v>11.700000000000001</v>
      </c>
      <c r="BA5354" s="155">
        <v>30</v>
      </c>
      <c r="BB5354" s="155">
        <v>34</v>
      </c>
      <c r="BI5354" s="427"/>
      <c r="BJ5354" s="427"/>
      <c r="BK5354" s="427"/>
      <c r="BL5354" s="427"/>
      <c r="BM5354" s="427"/>
      <c r="BN5354" s="427"/>
      <c r="BO5354" s="427"/>
      <c r="BP5354" s="427"/>
      <c r="BQ5354" s="427"/>
      <c r="BR5354" s="427"/>
      <c r="BS5354" s="427"/>
      <c r="BT5354" s="427"/>
      <c r="BU5354" s="427"/>
      <c r="BV5354" s="427"/>
      <c r="BW5354" s="427"/>
      <c r="BX5354" s="427"/>
      <c r="BY5354" s="427"/>
      <c r="BZ5354" s="427"/>
      <c r="CB5354" s="152" t="s">
        <v>645</v>
      </c>
    </row>
    <row r="5355" spans="1:80" s="152" customFormat="1" x14ac:dyDescent="0.2">
      <c r="B5355" s="683"/>
      <c r="C5355" s="683"/>
      <c r="D5355" s="698"/>
      <c r="E5355" s="215"/>
      <c r="F5355" s="215"/>
      <c r="G5355" s="427"/>
      <c r="H5355" s="427"/>
      <c r="I5355" s="427"/>
      <c r="J5355" s="427"/>
      <c r="K5355" s="427"/>
      <c r="L5355" s="653"/>
      <c r="M5355" s="666"/>
      <c r="N5355" s="600">
        <v>1.99</v>
      </c>
      <c r="O5355" s="608">
        <v>5.6050000000000006E-3</v>
      </c>
      <c r="P5355" s="782"/>
      <c r="Q5355" s="764"/>
      <c r="R5355" s="764"/>
      <c r="S5355" s="764"/>
      <c r="T5355" s="764"/>
      <c r="U5355" s="764"/>
      <c r="V5355" s="764"/>
      <c r="W5355" s="764"/>
      <c r="X5355" s="764"/>
      <c r="Y5355" s="768"/>
      <c r="Z5355" s="762"/>
      <c r="AA5355" s="150"/>
      <c r="AB5355" s="150">
        <v>2</v>
      </c>
      <c r="AC5355" s="150">
        <v>2.2000000000000001E-3</v>
      </c>
      <c r="AD5355" s="150">
        <v>11.21</v>
      </c>
      <c r="AE5355" s="150">
        <v>0.43</v>
      </c>
      <c r="AF5355" s="223">
        <f t="shared" ref="AF5355:AF5418" si="30">AE5355*AD5355</f>
        <v>4.8203000000000005</v>
      </c>
      <c r="AG5355" s="223">
        <f t="shared" si="29"/>
        <v>0.41283737526709952</v>
      </c>
      <c r="AH5355" s="346"/>
      <c r="AI5355" s="427"/>
      <c r="AJ5355" s="480"/>
      <c r="AK5355" s="427"/>
      <c r="AU5355" s="218"/>
      <c r="AV5355" s="218"/>
      <c r="AW5355" s="218"/>
      <c r="AX5355" s="218"/>
      <c r="AY5355" s="218"/>
      <c r="AZ5355" s="427"/>
      <c r="BA5355" s="427"/>
      <c r="BB5355" s="427"/>
      <c r="BI5355" s="427"/>
      <c r="BJ5355" s="427"/>
      <c r="BK5355" s="427"/>
      <c r="BL5355" s="427"/>
      <c r="BM5355" s="427"/>
      <c r="BN5355" s="427"/>
      <c r="BO5355" s="427"/>
      <c r="BP5355" s="427"/>
      <c r="BQ5355" s="427"/>
      <c r="BR5355" s="427"/>
      <c r="BS5355" s="427"/>
      <c r="BT5355" s="427"/>
      <c r="BU5355" s="427"/>
      <c r="BV5355" s="427"/>
      <c r="BW5355" s="427"/>
      <c r="BX5355" s="427"/>
      <c r="BY5355" s="427"/>
      <c r="BZ5355" s="427"/>
      <c r="CB5355" s="152" t="s">
        <v>641</v>
      </c>
    </row>
    <row r="5356" spans="1:80" s="152" customFormat="1" ht="15" x14ac:dyDescent="0.2">
      <c r="B5356" s="683"/>
      <c r="C5356" s="683"/>
      <c r="D5356" s="698"/>
      <c r="E5356" s="215"/>
      <c r="F5356" s="215"/>
      <c r="G5356" s="427"/>
      <c r="H5356" s="427"/>
      <c r="I5356" s="427"/>
      <c r="J5356" s="427"/>
      <c r="K5356" s="427"/>
      <c r="L5356" s="653"/>
      <c r="M5356" s="666"/>
      <c r="N5356" s="600">
        <v>2.29</v>
      </c>
      <c r="O5356" s="608">
        <v>5.6699999999999997E-3</v>
      </c>
      <c r="P5356" s="782"/>
      <c r="Q5356" s="764"/>
      <c r="R5356" s="764"/>
      <c r="S5356" s="764"/>
      <c r="T5356" s="764"/>
      <c r="U5356" s="764"/>
      <c r="V5356" s="764"/>
      <c r="W5356" s="764"/>
      <c r="X5356" s="764"/>
      <c r="Y5356" s="768"/>
      <c r="Z5356" s="762"/>
      <c r="AA5356" s="150"/>
      <c r="AB5356" s="150">
        <v>3</v>
      </c>
      <c r="AC5356" s="150">
        <v>2.0999999999999999E-3</v>
      </c>
      <c r="AD5356" s="150">
        <v>11.34</v>
      </c>
      <c r="AE5356" s="150">
        <v>0.45700000000000002</v>
      </c>
      <c r="AF5356" s="223">
        <f t="shared" si="30"/>
        <v>5.1823800000000002</v>
      </c>
      <c r="AG5356" s="223">
        <f t="shared" si="29"/>
        <v>0.44188191525901227</v>
      </c>
      <c r="AH5356" s="346"/>
      <c r="AI5356" s="427"/>
      <c r="AJ5356" s="480"/>
      <c r="AK5356" s="427"/>
      <c r="AU5356" s="218"/>
      <c r="AV5356" s="218"/>
      <c r="AW5356" s="218"/>
      <c r="AX5356" s="218"/>
      <c r="AY5356" s="218"/>
      <c r="AZ5356" s="427"/>
      <c r="BA5356" s="427"/>
      <c r="BB5356" s="427"/>
      <c r="BI5356" s="427"/>
      <c r="BJ5356" s="427"/>
      <c r="BK5356" s="427"/>
      <c r="BL5356" s="427"/>
      <c r="BM5356" s="427"/>
      <c r="BN5356" s="427"/>
      <c r="BO5356" s="427"/>
      <c r="BP5356" s="427"/>
      <c r="BQ5356" s="427"/>
      <c r="BR5356" s="427"/>
      <c r="BS5356" s="427"/>
      <c r="BT5356" s="427"/>
      <c r="BU5356" s="427"/>
      <c r="BV5356" s="427"/>
      <c r="BW5356" s="427"/>
      <c r="BX5356" s="427"/>
      <c r="BY5356" s="427"/>
      <c r="BZ5356" s="427"/>
      <c r="CB5356" s="485" t="s">
        <v>646</v>
      </c>
    </row>
    <row r="5357" spans="1:80" s="152" customFormat="1" x14ac:dyDescent="0.2">
      <c r="B5357" s="683"/>
      <c r="C5357" s="683"/>
      <c r="D5357" s="698"/>
      <c r="E5357" s="215"/>
      <c r="F5357" s="215"/>
      <c r="G5357" s="427"/>
      <c r="H5357" s="427"/>
      <c r="I5357" s="427"/>
      <c r="J5357" s="427"/>
      <c r="K5357" s="427"/>
      <c r="L5357" s="653"/>
      <c r="M5357" s="666"/>
      <c r="N5357" s="600">
        <v>2.66</v>
      </c>
      <c r="O5357" s="608">
        <v>4.5799999999999999E-3</v>
      </c>
      <c r="P5357" s="782"/>
      <c r="Q5357" s="764"/>
      <c r="R5357" s="764"/>
      <c r="S5357" s="764"/>
      <c r="T5357" s="764"/>
      <c r="U5357" s="764"/>
      <c r="V5357" s="764"/>
      <c r="W5357" s="764"/>
      <c r="X5357" s="764"/>
      <c r="Y5357" s="768"/>
      <c r="Z5357" s="762"/>
      <c r="AA5357" s="150"/>
      <c r="AB5357" s="150">
        <v>4</v>
      </c>
      <c r="AC5357" s="150">
        <v>2.2000000000000001E-3</v>
      </c>
      <c r="AD5357" s="150">
        <v>11.45</v>
      </c>
      <c r="AE5357" s="150">
        <v>0.48799999999999999</v>
      </c>
      <c r="AF5357" s="223">
        <f t="shared" si="30"/>
        <v>5.5875999999999992</v>
      </c>
      <c r="AG5357" s="223">
        <f t="shared" si="29"/>
        <v>0.47605411983678153</v>
      </c>
      <c r="AH5357" s="346"/>
      <c r="AI5357" s="427"/>
      <c r="AJ5357" s="480"/>
      <c r="AK5357" s="427"/>
      <c r="AU5357" s="218"/>
      <c r="AV5357" s="218"/>
      <c r="AW5357" s="218"/>
      <c r="AX5357" s="218"/>
      <c r="AY5357" s="218"/>
      <c r="AZ5357" s="427"/>
      <c r="BA5357" s="427"/>
      <c r="BB5357" s="427"/>
      <c r="BI5357" s="427"/>
      <c r="BJ5357" s="427"/>
      <c r="BK5357" s="427"/>
      <c r="BL5357" s="427"/>
      <c r="BM5357" s="427"/>
      <c r="BN5357" s="427"/>
      <c r="BO5357" s="427"/>
      <c r="BP5357" s="427"/>
      <c r="BQ5357" s="427"/>
      <c r="BR5357" s="427"/>
      <c r="BS5357" s="427"/>
      <c r="BT5357" s="427"/>
      <c r="BU5357" s="427"/>
      <c r="BV5357" s="427"/>
      <c r="BW5357" s="427"/>
      <c r="BX5357" s="427"/>
      <c r="BY5357" s="427"/>
      <c r="BZ5357" s="427"/>
    </row>
    <row r="5358" spans="1:80" s="152" customFormat="1" x14ac:dyDescent="0.2">
      <c r="B5358" s="683"/>
      <c r="C5358" s="683"/>
      <c r="D5358" s="698"/>
      <c r="E5358" s="215"/>
      <c r="F5358" s="215"/>
      <c r="G5358" s="427"/>
      <c r="H5358" s="427"/>
      <c r="I5358" s="427"/>
      <c r="J5358" s="427"/>
      <c r="K5358" s="427"/>
      <c r="L5358" s="653"/>
      <c r="M5358" s="666"/>
      <c r="N5358" s="600">
        <v>3.02</v>
      </c>
      <c r="O5358" s="608">
        <v>5.7800000000000004E-3</v>
      </c>
      <c r="P5358" s="782"/>
      <c r="Q5358" s="764"/>
      <c r="R5358" s="764"/>
      <c r="S5358" s="764"/>
      <c r="T5358" s="764"/>
      <c r="U5358" s="764"/>
      <c r="V5358" s="764"/>
      <c r="W5358" s="764"/>
      <c r="X5358" s="764"/>
      <c r="Y5358" s="768"/>
      <c r="Z5358" s="762"/>
      <c r="AA5358" s="150"/>
      <c r="AB5358" s="150">
        <v>5</v>
      </c>
      <c r="AC5358" s="150">
        <v>2.2000000000000001E-3</v>
      </c>
      <c r="AD5358" s="150">
        <v>11.56</v>
      </c>
      <c r="AE5358" s="150">
        <v>0.51500000000000001</v>
      </c>
      <c r="AF5358" s="223">
        <f t="shared" si="30"/>
        <v>5.9534000000000002</v>
      </c>
      <c r="AG5358" s="223">
        <f t="shared" si="29"/>
        <v>0.50727315483589208</v>
      </c>
      <c r="AH5358" s="346"/>
      <c r="AI5358" s="427"/>
      <c r="AJ5358" s="480"/>
      <c r="AK5358" s="427"/>
      <c r="AU5358" s="218"/>
      <c r="AV5358" s="218"/>
      <c r="AW5358" s="218"/>
      <c r="AX5358" s="218"/>
      <c r="AY5358" s="218"/>
      <c r="AZ5358" s="427"/>
      <c r="BA5358" s="427"/>
      <c r="BB5358" s="427"/>
      <c r="BI5358" s="427"/>
      <c r="BJ5358" s="427"/>
      <c r="BK5358" s="427"/>
      <c r="BL5358" s="427"/>
      <c r="BM5358" s="427"/>
      <c r="BN5358" s="427"/>
      <c r="BO5358" s="427"/>
      <c r="BP5358" s="427"/>
      <c r="BQ5358" s="427"/>
      <c r="BR5358" s="427"/>
      <c r="BS5358" s="427"/>
      <c r="BT5358" s="427"/>
      <c r="BU5358" s="427"/>
      <c r="BV5358" s="427"/>
      <c r="BW5358" s="427"/>
      <c r="BX5358" s="427"/>
      <c r="BY5358" s="427"/>
      <c r="BZ5358" s="427"/>
    </row>
    <row r="5359" spans="1:80" s="152" customFormat="1" x14ac:dyDescent="0.2">
      <c r="B5359" s="683"/>
      <c r="C5359" s="683"/>
      <c r="D5359" s="698"/>
      <c r="E5359" s="215"/>
      <c r="F5359" s="215"/>
      <c r="G5359" s="427"/>
      <c r="H5359" s="427"/>
      <c r="I5359" s="427"/>
      <c r="J5359" s="427"/>
      <c r="K5359" s="427"/>
      <c r="L5359" s="653"/>
      <c r="M5359" s="666"/>
      <c r="N5359" s="600">
        <v>3.14</v>
      </c>
      <c r="O5359" s="608">
        <v>1.3919999999999998E-2</v>
      </c>
      <c r="P5359" s="782"/>
      <c r="Q5359" s="764"/>
      <c r="R5359" s="764"/>
      <c r="S5359" s="764"/>
      <c r="T5359" s="764"/>
      <c r="U5359" s="764"/>
      <c r="V5359" s="764"/>
      <c r="W5359" s="764"/>
      <c r="X5359" s="764"/>
      <c r="Y5359" s="768"/>
      <c r="Z5359" s="762"/>
      <c r="AA5359" s="150"/>
      <c r="AB5359" s="150">
        <v>6</v>
      </c>
      <c r="AC5359" s="150">
        <v>2.0999999999999999E-3</v>
      </c>
      <c r="AD5359" s="150">
        <v>11.6</v>
      </c>
      <c r="AE5359" s="150">
        <v>0.52400000000000002</v>
      </c>
      <c r="AF5359" s="223">
        <f t="shared" si="30"/>
        <v>6.0784000000000002</v>
      </c>
      <c r="AG5359" s="223">
        <f t="shared" si="29"/>
        <v>0.51658331139773628</v>
      </c>
      <c r="AH5359" s="346"/>
      <c r="AI5359" s="427"/>
      <c r="AJ5359" s="480"/>
      <c r="AK5359" s="427"/>
      <c r="AU5359" s="218"/>
      <c r="AV5359" s="218"/>
      <c r="AW5359" s="218"/>
      <c r="AX5359" s="218"/>
      <c r="AY5359" s="218"/>
      <c r="AZ5359" s="427"/>
      <c r="BA5359" s="427"/>
      <c r="BB5359" s="427"/>
      <c r="BI5359" s="427"/>
      <c r="BJ5359" s="427"/>
      <c r="BK5359" s="427"/>
      <c r="BL5359" s="427"/>
      <c r="BM5359" s="427"/>
      <c r="BN5359" s="427"/>
      <c r="BO5359" s="427"/>
      <c r="BP5359" s="427"/>
      <c r="BQ5359" s="427"/>
      <c r="BR5359" s="427"/>
      <c r="BS5359" s="427"/>
      <c r="BT5359" s="427"/>
      <c r="BU5359" s="427"/>
      <c r="BV5359" s="427"/>
      <c r="BW5359" s="427"/>
      <c r="BX5359" s="427"/>
      <c r="BY5359" s="427"/>
      <c r="BZ5359" s="427"/>
    </row>
    <row r="5360" spans="1:80" s="152" customFormat="1" x14ac:dyDescent="0.2">
      <c r="B5360" s="683"/>
      <c r="C5360" s="683"/>
      <c r="D5360" s="698"/>
      <c r="E5360" s="215"/>
      <c r="F5360" s="215"/>
      <c r="G5360" s="427"/>
      <c r="H5360" s="427"/>
      <c r="I5360" s="427"/>
      <c r="J5360" s="427"/>
      <c r="K5360" s="427"/>
      <c r="L5360" s="653"/>
      <c r="M5360" s="666"/>
      <c r="N5360" s="600">
        <v>3.14</v>
      </c>
      <c r="O5360" s="608">
        <v>2.3219999999999998E-3</v>
      </c>
      <c r="P5360" s="782"/>
      <c r="Q5360" s="764"/>
      <c r="R5360" s="764"/>
      <c r="S5360" s="764"/>
      <c r="T5360" s="764"/>
      <c r="U5360" s="764"/>
      <c r="V5360" s="764"/>
      <c r="W5360" s="764"/>
      <c r="X5360" s="764"/>
      <c r="Y5360" s="768"/>
      <c r="Z5360" s="762"/>
      <c r="AA5360" s="150"/>
      <c r="AB5360" s="150">
        <v>7</v>
      </c>
      <c r="AC5360" s="150">
        <v>2.2000000000000001E-3</v>
      </c>
      <c r="AD5360" s="150">
        <v>11.61</v>
      </c>
      <c r="AE5360" s="150">
        <v>0.52400000000000002</v>
      </c>
      <c r="AF5360" s="223">
        <f t="shared" si="30"/>
        <v>6.0836399999999999</v>
      </c>
      <c r="AG5360" s="223">
        <f t="shared" si="29"/>
        <v>0.51613836453176065</v>
      </c>
      <c r="AH5360" s="346"/>
      <c r="AI5360" s="427"/>
      <c r="AJ5360" s="480"/>
      <c r="AK5360" s="427"/>
      <c r="AU5360" s="218"/>
      <c r="AV5360" s="218"/>
      <c r="AW5360" s="218"/>
      <c r="AX5360" s="218"/>
      <c r="AY5360" s="218"/>
      <c r="AZ5360" s="427"/>
      <c r="BA5360" s="427"/>
      <c r="BB5360" s="427"/>
      <c r="BI5360" s="427"/>
      <c r="BJ5360" s="427"/>
      <c r="BK5360" s="427"/>
      <c r="BL5360" s="427"/>
      <c r="BM5360" s="427"/>
      <c r="BN5360" s="427"/>
      <c r="BO5360" s="427"/>
      <c r="BP5360" s="427"/>
      <c r="BQ5360" s="427"/>
      <c r="BR5360" s="427"/>
      <c r="BS5360" s="427"/>
      <c r="BT5360" s="427"/>
      <c r="BU5360" s="427"/>
      <c r="BV5360" s="427"/>
      <c r="BW5360" s="427"/>
      <c r="BX5360" s="427"/>
      <c r="BY5360" s="427"/>
      <c r="BZ5360" s="427"/>
    </row>
    <row r="5361" spans="2:78" s="152" customFormat="1" x14ac:dyDescent="0.2">
      <c r="B5361" s="683"/>
      <c r="C5361" s="683"/>
      <c r="D5361" s="698"/>
      <c r="E5361" s="215"/>
      <c r="F5361" s="215"/>
      <c r="G5361" s="427"/>
      <c r="H5361" s="427"/>
      <c r="I5361" s="427"/>
      <c r="J5361" s="427"/>
      <c r="K5361" s="427"/>
      <c r="L5361" s="653"/>
      <c r="M5361" s="666"/>
      <c r="N5361" s="600">
        <v>3.18</v>
      </c>
      <c r="O5361" s="608">
        <v>5.7999999999999996E-3</v>
      </c>
      <c r="P5361" s="782"/>
      <c r="Q5361" s="764"/>
      <c r="R5361" s="764"/>
      <c r="S5361" s="764"/>
      <c r="T5361" s="764"/>
      <c r="U5361" s="764"/>
      <c r="V5361" s="764"/>
      <c r="W5361" s="764"/>
      <c r="X5361" s="764"/>
      <c r="Y5361" s="768"/>
      <c r="Z5361" s="762"/>
      <c r="AA5361" s="150"/>
      <c r="AB5361" s="150">
        <v>8</v>
      </c>
      <c r="AC5361" s="150">
        <v>2.2000000000000001E-3</v>
      </c>
      <c r="AD5361" s="150">
        <v>11.6</v>
      </c>
      <c r="AE5361" s="150">
        <v>0.52700000000000002</v>
      </c>
      <c r="AF5361" s="223">
        <f t="shared" si="30"/>
        <v>6.1132</v>
      </c>
      <c r="AG5361" s="223">
        <f t="shared" si="29"/>
        <v>0.52018582738991037</v>
      </c>
      <c r="AH5361" s="346"/>
      <c r="AI5361" s="427"/>
      <c r="AJ5361" s="480"/>
      <c r="AK5361" s="427"/>
      <c r="AU5361" s="218"/>
      <c r="AV5361" s="218"/>
      <c r="AW5361" s="218"/>
      <c r="AX5361" s="218"/>
      <c r="AY5361" s="218"/>
      <c r="AZ5361" s="427"/>
      <c r="BA5361" s="427"/>
      <c r="BB5361" s="427"/>
      <c r="BI5361" s="427"/>
      <c r="BJ5361" s="427"/>
      <c r="BK5361" s="427"/>
      <c r="BL5361" s="427"/>
      <c r="BM5361" s="427"/>
      <c r="BN5361" s="427"/>
      <c r="BO5361" s="427"/>
      <c r="BP5361" s="427"/>
      <c r="BQ5361" s="427"/>
      <c r="BR5361" s="427"/>
      <c r="BS5361" s="427"/>
      <c r="BT5361" s="427"/>
      <c r="BU5361" s="427"/>
      <c r="BV5361" s="427"/>
      <c r="BW5361" s="427"/>
      <c r="BX5361" s="427"/>
      <c r="BY5361" s="427"/>
      <c r="BZ5361" s="427"/>
    </row>
    <row r="5362" spans="2:78" s="152" customFormat="1" x14ac:dyDescent="0.2">
      <c r="B5362" s="683"/>
      <c r="C5362" s="683"/>
      <c r="D5362" s="698"/>
      <c r="E5362" s="215"/>
      <c r="F5362" s="215"/>
      <c r="G5362" s="427"/>
      <c r="H5362" s="427"/>
      <c r="I5362" s="427"/>
      <c r="J5362" s="427"/>
      <c r="K5362" s="427"/>
      <c r="L5362" s="653"/>
      <c r="M5362" s="666"/>
      <c r="N5362" s="600">
        <v>3.06</v>
      </c>
      <c r="O5362" s="608">
        <v>5.79E-3</v>
      </c>
      <c r="P5362" s="782"/>
      <c r="Q5362" s="764"/>
      <c r="R5362" s="764"/>
      <c r="S5362" s="764"/>
      <c r="T5362" s="764"/>
      <c r="U5362" s="764"/>
      <c r="V5362" s="764"/>
      <c r="W5362" s="764"/>
      <c r="X5362" s="764"/>
      <c r="Y5362" s="768"/>
      <c r="Z5362" s="762"/>
      <c r="AA5362" s="150"/>
      <c r="AB5362" s="150">
        <v>9</v>
      </c>
      <c r="AC5362" s="150">
        <v>2.2000000000000001E-3</v>
      </c>
      <c r="AD5362" s="150">
        <v>11.58</v>
      </c>
      <c r="AE5362" s="150">
        <v>0.51800000000000002</v>
      </c>
      <c r="AF5362" s="223">
        <f t="shared" si="30"/>
        <v>5.9984400000000004</v>
      </c>
      <c r="AG5362" s="223">
        <f t="shared" si="29"/>
        <v>0.51013263448496604</v>
      </c>
      <c r="AH5362" s="346"/>
      <c r="AI5362" s="427"/>
      <c r="AJ5362" s="480"/>
      <c r="AK5362" s="427"/>
      <c r="AU5362" s="218"/>
      <c r="AV5362" s="218"/>
      <c r="AW5362" s="218"/>
      <c r="AX5362" s="218"/>
      <c r="AY5362" s="218"/>
      <c r="AZ5362" s="427"/>
      <c r="BA5362" s="427"/>
      <c r="BB5362" s="427"/>
      <c r="BI5362" s="427"/>
      <c r="BJ5362" s="427"/>
      <c r="BK5362" s="427"/>
      <c r="BL5362" s="427"/>
      <c r="BM5362" s="427"/>
      <c r="BN5362" s="427"/>
      <c r="BO5362" s="427"/>
      <c r="BP5362" s="427"/>
      <c r="BQ5362" s="427"/>
      <c r="BR5362" s="427"/>
      <c r="BS5362" s="427"/>
      <c r="BT5362" s="427"/>
      <c r="BU5362" s="427"/>
      <c r="BV5362" s="427"/>
      <c r="BW5362" s="427"/>
      <c r="BX5362" s="427"/>
      <c r="BY5362" s="427"/>
      <c r="BZ5362" s="427"/>
    </row>
    <row r="5363" spans="2:78" s="152" customFormat="1" x14ac:dyDescent="0.2">
      <c r="B5363" s="683"/>
      <c r="C5363" s="683"/>
      <c r="D5363" s="698"/>
      <c r="E5363" s="215"/>
      <c r="F5363" s="215"/>
      <c r="G5363" s="427"/>
      <c r="H5363" s="427"/>
      <c r="I5363" s="427"/>
      <c r="J5363" s="427"/>
      <c r="K5363" s="427"/>
      <c r="L5363" s="653"/>
      <c r="M5363" s="666"/>
      <c r="N5363" s="600">
        <v>2.94</v>
      </c>
      <c r="O5363" s="608">
        <v>5.7750000000000006E-3</v>
      </c>
      <c r="P5363" s="782"/>
      <c r="Q5363" s="764"/>
      <c r="R5363" s="764"/>
      <c r="S5363" s="764"/>
      <c r="T5363" s="764"/>
      <c r="U5363" s="764"/>
      <c r="V5363" s="764"/>
      <c r="W5363" s="764"/>
      <c r="X5363" s="764"/>
      <c r="Y5363" s="768"/>
      <c r="Z5363" s="762"/>
      <c r="AA5363" s="150"/>
      <c r="AB5363" s="150">
        <v>10</v>
      </c>
      <c r="AC5363" s="150">
        <v>2.0999999999999999E-3</v>
      </c>
      <c r="AD5363" s="150">
        <v>11.55</v>
      </c>
      <c r="AE5363" s="150">
        <v>0.50900000000000001</v>
      </c>
      <c r="AF5363" s="223">
        <f t="shared" si="30"/>
        <v>5.8789500000000006</v>
      </c>
      <c r="AG5363" s="223">
        <f t="shared" si="29"/>
        <v>0.50008930166101084</v>
      </c>
      <c r="AH5363" s="346"/>
      <c r="AI5363" s="427"/>
      <c r="AJ5363" s="480"/>
      <c r="AK5363" s="427"/>
      <c r="AU5363" s="218"/>
      <c r="AV5363" s="218"/>
      <c r="AW5363" s="218"/>
      <c r="AX5363" s="218"/>
      <c r="AY5363" s="218"/>
      <c r="AZ5363" s="427"/>
      <c r="BA5363" s="427"/>
      <c r="BB5363" s="427"/>
      <c r="BI5363" s="427"/>
      <c r="BJ5363" s="427"/>
      <c r="BK5363" s="427"/>
      <c r="BL5363" s="427"/>
      <c r="BM5363" s="427"/>
      <c r="BN5363" s="427"/>
      <c r="BO5363" s="427"/>
      <c r="BP5363" s="427"/>
      <c r="BQ5363" s="427"/>
      <c r="BR5363" s="427"/>
      <c r="BS5363" s="427"/>
      <c r="BT5363" s="427"/>
      <c r="BU5363" s="427"/>
      <c r="BV5363" s="427"/>
      <c r="BW5363" s="427"/>
      <c r="BX5363" s="427"/>
      <c r="BY5363" s="427"/>
      <c r="BZ5363" s="427"/>
    </row>
    <row r="5364" spans="2:78" s="152" customFormat="1" x14ac:dyDescent="0.2">
      <c r="B5364" s="683"/>
      <c r="C5364" s="683"/>
      <c r="D5364" s="698"/>
      <c r="E5364" s="215"/>
      <c r="F5364" s="215"/>
      <c r="G5364" s="427"/>
      <c r="H5364" s="427"/>
      <c r="I5364" s="427"/>
      <c r="J5364" s="427"/>
      <c r="K5364" s="427"/>
      <c r="L5364" s="653"/>
      <c r="M5364" s="666"/>
      <c r="N5364" s="600">
        <v>2.7</v>
      </c>
      <c r="O5364" s="608">
        <v>5.7450000000000001E-3</v>
      </c>
      <c r="P5364" s="782"/>
      <c r="Q5364" s="764"/>
      <c r="R5364" s="764"/>
      <c r="S5364" s="764"/>
      <c r="T5364" s="764"/>
      <c r="U5364" s="764"/>
      <c r="V5364" s="764"/>
      <c r="W5364" s="764"/>
      <c r="X5364" s="764"/>
      <c r="Y5364" s="768"/>
      <c r="Z5364" s="762"/>
      <c r="AA5364" s="150"/>
      <c r="AB5364" s="150">
        <v>11</v>
      </c>
      <c r="AC5364" s="150">
        <v>2.0999999999999999E-3</v>
      </c>
      <c r="AD5364" s="150">
        <v>11.49</v>
      </c>
      <c r="AE5364" s="150">
        <v>0.49099999999999999</v>
      </c>
      <c r="AF5364" s="223">
        <f t="shared" si="30"/>
        <v>5.6415899999999999</v>
      </c>
      <c r="AG5364" s="223">
        <f t="shared" si="29"/>
        <v>0.47858848303403834</v>
      </c>
      <c r="AH5364" s="346"/>
      <c r="AI5364" s="427"/>
      <c r="AJ5364" s="480"/>
      <c r="AK5364" s="427"/>
      <c r="AU5364" s="218"/>
      <c r="AV5364" s="218"/>
      <c r="AW5364" s="218"/>
      <c r="AX5364" s="218"/>
      <c r="AY5364" s="218"/>
      <c r="AZ5364" s="427"/>
      <c r="BA5364" s="427"/>
      <c r="BB5364" s="427"/>
      <c r="BI5364" s="427"/>
      <c r="BJ5364" s="427"/>
      <c r="BK5364" s="427"/>
      <c r="BL5364" s="427"/>
      <c r="BM5364" s="427"/>
      <c r="BN5364" s="427"/>
      <c r="BO5364" s="427"/>
      <c r="BP5364" s="427"/>
      <c r="BQ5364" s="427"/>
      <c r="BR5364" s="427"/>
      <c r="BS5364" s="427"/>
      <c r="BT5364" s="427"/>
      <c r="BU5364" s="427"/>
      <c r="BV5364" s="427"/>
      <c r="BW5364" s="427"/>
      <c r="BX5364" s="427"/>
      <c r="BY5364" s="427"/>
      <c r="BZ5364" s="427"/>
    </row>
    <row r="5365" spans="2:78" s="152" customFormat="1" x14ac:dyDescent="0.2">
      <c r="B5365" s="683"/>
      <c r="C5365" s="683"/>
      <c r="D5365" s="698"/>
      <c r="E5365" s="215"/>
      <c r="F5365" s="215"/>
      <c r="G5365" s="427"/>
      <c r="H5365" s="427"/>
      <c r="I5365" s="427"/>
      <c r="J5365" s="427"/>
      <c r="K5365" s="427"/>
      <c r="L5365" s="653"/>
      <c r="M5365" s="666"/>
      <c r="N5365" s="600">
        <v>2.5099999999999998</v>
      </c>
      <c r="O5365" s="608">
        <v>5.7250000000000001E-3</v>
      </c>
      <c r="P5365" s="782"/>
      <c r="Q5365" s="764"/>
      <c r="R5365" s="764"/>
      <c r="S5365" s="764"/>
      <c r="T5365" s="764"/>
      <c r="U5365" s="764"/>
      <c r="V5365" s="764"/>
      <c r="W5365" s="764"/>
      <c r="X5365" s="764"/>
      <c r="Y5365" s="768"/>
      <c r="Z5365" s="762"/>
      <c r="AA5365" s="150"/>
      <c r="AB5365" s="150">
        <v>12</v>
      </c>
      <c r="AC5365" s="150">
        <v>2.2000000000000001E-3</v>
      </c>
      <c r="AD5365" s="150">
        <v>11.45</v>
      </c>
      <c r="AE5365" s="150">
        <v>0.47499999999999998</v>
      </c>
      <c r="AF5365" s="223">
        <f t="shared" si="30"/>
        <v>5.4387499999999998</v>
      </c>
      <c r="AG5365" s="223">
        <f t="shared" si="29"/>
        <v>0.46150310273500345</v>
      </c>
      <c r="AH5365" s="346"/>
      <c r="AI5365" s="427"/>
      <c r="AJ5365" s="480"/>
      <c r="AK5365" s="427"/>
      <c r="AU5365" s="218"/>
      <c r="AV5365" s="218"/>
      <c r="AW5365" s="218"/>
      <c r="AX5365" s="218"/>
      <c r="AY5365" s="218"/>
      <c r="AZ5365" s="427"/>
      <c r="BA5365" s="427"/>
      <c r="BB5365" s="427"/>
      <c r="BI5365" s="427"/>
      <c r="BJ5365" s="427"/>
      <c r="BK5365" s="427"/>
      <c r="BL5365" s="427"/>
      <c r="BM5365" s="427"/>
      <c r="BN5365" s="427"/>
      <c r="BO5365" s="427"/>
      <c r="BP5365" s="427"/>
      <c r="BQ5365" s="427"/>
      <c r="BR5365" s="427"/>
      <c r="BS5365" s="427"/>
      <c r="BT5365" s="427"/>
      <c r="BU5365" s="427"/>
      <c r="BV5365" s="427"/>
      <c r="BW5365" s="427"/>
      <c r="BX5365" s="427"/>
      <c r="BY5365" s="427"/>
      <c r="BZ5365" s="427"/>
    </row>
    <row r="5366" spans="2:78" s="152" customFormat="1" x14ac:dyDescent="0.2">
      <c r="B5366" s="683"/>
      <c r="C5366" s="683"/>
      <c r="D5366" s="698"/>
      <c r="E5366" s="215"/>
      <c r="F5366" s="215"/>
      <c r="G5366" s="427"/>
      <c r="H5366" s="427"/>
      <c r="I5366" s="427"/>
      <c r="J5366" s="427"/>
      <c r="K5366" s="427"/>
      <c r="L5366" s="653"/>
      <c r="M5366" s="666"/>
      <c r="N5366" s="600">
        <v>2.36</v>
      </c>
      <c r="O5366" s="608">
        <v>2.284E-3</v>
      </c>
      <c r="P5366" s="782"/>
      <c r="Q5366" s="764"/>
      <c r="R5366" s="764"/>
      <c r="S5366" s="764"/>
      <c r="T5366" s="764"/>
      <c r="U5366" s="764"/>
      <c r="V5366" s="764"/>
      <c r="W5366" s="764"/>
      <c r="X5366" s="764"/>
      <c r="Y5366" s="768"/>
      <c r="Z5366" s="762"/>
      <c r="AA5366" s="150"/>
      <c r="AB5366" s="150">
        <v>13</v>
      </c>
      <c r="AC5366" s="150">
        <v>2.2000000000000001E-3</v>
      </c>
      <c r="AD5366" s="150">
        <v>11.42</v>
      </c>
      <c r="AE5366" s="150">
        <v>0.46300000000000002</v>
      </c>
      <c r="AF5366" s="223">
        <f t="shared" si="30"/>
        <v>5.2874600000000003</v>
      </c>
      <c r="AG5366" s="223">
        <f t="shared" si="29"/>
        <v>0.44633907395989753</v>
      </c>
      <c r="AH5366" s="346"/>
      <c r="AI5366" s="427"/>
      <c r="AJ5366" s="480"/>
      <c r="AK5366" s="427"/>
      <c r="AU5366" s="218"/>
      <c r="AV5366" s="218"/>
      <c r="AW5366" s="218"/>
      <c r="AX5366" s="218"/>
      <c r="AY5366" s="218"/>
      <c r="AZ5366" s="427"/>
      <c r="BA5366" s="427"/>
      <c r="BB5366" s="427"/>
      <c r="BI5366" s="427"/>
      <c r="BJ5366" s="427"/>
      <c r="BK5366" s="427"/>
      <c r="BL5366" s="427"/>
      <c r="BM5366" s="427"/>
      <c r="BN5366" s="427"/>
      <c r="BO5366" s="427"/>
      <c r="BP5366" s="427"/>
      <c r="BQ5366" s="427"/>
      <c r="BR5366" s="427"/>
      <c r="BS5366" s="427"/>
      <c r="BT5366" s="427"/>
      <c r="BU5366" s="427"/>
      <c r="BV5366" s="427"/>
      <c r="BW5366" s="427"/>
      <c r="BX5366" s="427"/>
      <c r="BY5366" s="427"/>
      <c r="BZ5366" s="427"/>
    </row>
    <row r="5367" spans="2:78" s="152" customFormat="1" x14ac:dyDescent="0.2">
      <c r="B5367" s="683"/>
      <c r="C5367" s="683"/>
      <c r="D5367" s="698"/>
      <c r="E5367" s="215"/>
      <c r="F5367" s="215"/>
      <c r="G5367" s="427"/>
      <c r="H5367" s="427"/>
      <c r="I5367" s="427"/>
      <c r="J5367" s="427"/>
      <c r="K5367" s="427"/>
      <c r="L5367" s="653"/>
      <c r="M5367" s="666"/>
      <c r="N5367" s="600">
        <v>2.16</v>
      </c>
      <c r="O5367" s="608">
        <v>6.8159999999999991E-3</v>
      </c>
      <c r="P5367" s="782"/>
      <c r="Q5367" s="764"/>
      <c r="R5367" s="764"/>
      <c r="S5367" s="764"/>
      <c r="T5367" s="764"/>
      <c r="U5367" s="764"/>
      <c r="V5367" s="764"/>
      <c r="W5367" s="764"/>
      <c r="X5367" s="764"/>
      <c r="Y5367" s="768"/>
      <c r="Z5367" s="762"/>
      <c r="AA5367" s="150"/>
      <c r="AB5367" s="150">
        <v>14</v>
      </c>
      <c r="AC5367" s="150">
        <v>2.2000000000000001E-3</v>
      </c>
      <c r="AD5367" s="150">
        <v>11.36</v>
      </c>
      <c r="AE5367" s="150">
        <v>0.44500000000000001</v>
      </c>
      <c r="AF5367" s="223">
        <f t="shared" si="30"/>
        <v>5.0552000000000001</v>
      </c>
      <c r="AG5367" s="223">
        <f t="shared" si="29"/>
        <v>0.42728279791106188</v>
      </c>
      <c r="AH5367" s="346"/>
      <c r="AI5367" s="427"/>
      <c r="AJ5367" s="480"/>
      <c r="AK5367" s="427"/>
      <c r="AU5367" s="218"/>
      <c r="AV5367" s="218"/>
      <c r="AW5367" s="218"/>
      <c r="AX5367" s="218"/>
      <c r="AY5367" s="218"/>
      <c r="AZ5367" s="427"/>
      <c r="BA5367" s="427"/>
      <c r="BB5367" s="427"/>
      <c r="BI5367" s="427"/>
      <c r="BJ5367" s="427"/>
      <c r="BK5367" s="427"/>
      <c r="BL5367" s="427"/>
      <c r="BM5367" s="427"/>
      <c r="BN5367" s="427"/>
      <c r="BO5367" s="427"/>
      <c r="BP5367" s="427"/>
      <c r="BQ5367" s="427"/>
      <c r="BR5367" s="427"/>
      <c r="BS5367" s="427"/>
      <c r="BT5367" s="427"/>
      <c r="BU5367" s="427"/>
      <c r="BV5367" s="427"/>
      <c r="BW5367" s="427"/>
      <c r="BX5367" s="427"/>
      <c r="BY5367" s="427"/>
      <c r="BZ5367" s="427"/>
    </row>
    <row r="5368" spans="2:78" s="152" customFormat="1" x14ac:dyDescent="0.2">
      <c r="B5368" s="683"/>
      <c r="C5368" s="683"/>
      <c r="D5368" s="698"/>
      <c r="E5368" s="215"/>
      <c r="F5368" s="215"/>
      <c r="G5368" s="427"/>
      <c r="H5368" s="427"/>
      <c r="I5368" s="427"/>
      <c r="J5368" s="427"/>
      <c r="K5368" s="427"/>
      <c r="L5368" s="653"/>
      <c r="M5368" s="666"/>
      <c r="N5368" s="600">
        <v>1.96</v>
      </c>
      <c r="O5368" s="608">
        <v>7.9240000000000005E-3</v>
      </c>
      <c r="P5368" s="782"/>
      <c r="Q5368" s="764"/>
      <c r="R5368" s="764"/>
      <c r="S5368" s="764"/>
      <c r="T5368" s="764"/>
      <c r="U5368" s="764"/>
      <c r="V5368" s="764"/>
      <c r="W5368" s="764"/>
      <c r="X5368" s="764"/>
      <c r="Y5368" s="768"/>
      <c r="Z5368" s="762"/>
      <c r="AA5368" s="150"/>
      <c r="AB5368" s="150">
        <v>15</v>
      </c>
      <c r="AC5368" s="150">
        <v>2.0999999999999999E-3</v>
      </c>
      <c r="AD5368" s="150">
        <v>11.32</v>
      </c>
      <c r="AE5368" s="150">
        <v>0.42699999999999999</v>
      </c>
      <c r="AF5368" s="223">
        <f t="shared" si="30"/>
        <v>4.8336399999999999</v>
      </c>
      <c r="AG5368" s="223">
        <f t="shared" si="29"/>
        <v>0.40549151364189306</v>
      </c>
      <c r="AH5368" s="346"/>
      <c r="AI5368" s="427"/>
      <c r="AJ5368" s="480"/>
      <c r="AK5368" s="427"/>
      <c r="AU5368" s="218"/>
      <c r="AV5368" s="218"/>
      <c r="AW5368" s="218"/>
      <c r="AX5368" s="218"/>
      <c r="AY5368" s="218"/>
      <c r="AZ5368" s="427"/>
      <c r="BA5368" s="427"/>
      <c r="BB5368" s="427"/>
      <c r="BI5368" s="427"/>
      <c r="BJ5368" s="427"/>
      <c r="BK5368" s="427"/>
      <c r="BL5368" s="427"/>
      <c r="BM5368" s="427"/>
      <c r="BN5368" s="427"/>
      <c r="BO5368" s="427"/>
      <c r="BP5368" s="427"/>
      <c r="BQ5368" s="427"/>
      <c r="BR5368" s="427"/>
      <c r="BS5368" s="427"/>
      <c r="BT5368" s="427"/>
      <c r="BU5368" s="427"/>
      <c r="BV5368" s="427"/>
      <c r="BW5368" s="427"/>
      <c r="BX5368" s="427"/>
      <c r="BY5368" s="427"/>
      <c r="BZ5368" s="427"/>
    </row>
    <row r="5369" spans="2:78" s="152" customFormat="1" x14ac:dyDescent="0.2">
      <c r="B5369" s="683"/>
      <c r="C5369" s="683"/>
      <c r="D5369" s="698"/>
      <c r="E5369" s="215"/>
      <c r="F5369" s="215"/>
      <c r="G5369" s="427"/>
      <c r="H5369" s="427"/>
      <c r="I5369" s="427"/>
      <c r="J5369" s="427"/>
      <c r="K5369" s="427"/>
      <c r="L5369" s="653"/>
      <c r="M5369" s="666"/>
      <c r="N5369" s="600">
        <v>1.83</v>
      </c>
      <c r="O5369" s="608">
        <v>9.0320000000000001E-3</v>
      </c>
      <c r="P5369" s="782"/>
      <c r="Q5369" s="764"/>
      <c r="R5369" s="764"/>
      <c r="S5369" s="764"/>
      <c r="T5369" s="764"/>
      <c r="U5369" s="764"/>
      <c r="V5369" s="764"/>
      <c r="W5369" s="764"/>
      <c r="X5369" s="764"/>
      <c r="Y5369" s="768"/>
      <c r="Z5369" s="762"/>
      <c r="AA5369" s="150"/>
      <c r="AB5369" s="150">
        <v>16</v>
      </c>
      <c r="AC5369" s="150">
        <v>2.2000000000000001E-3</v>
      </c>
      <c r="AD5369" s="150">
        <v>11.29</v>
      </c>
      <c r="AE5369" s="150">
        <v>0.41499999999999998</v>
      </c>
      <c r="AF5369" s="223">
        <f t="shared" si="30"/>
        <v>4.6853499999999997</v>
      </c>
      <c r="AG5369" s="223">
        <f t="shared" si="29"/>
        <v>0.39057914563479784</v>
      </c>
      <c r="AH5369" s="346"/>
      <c r="AI5369" s="427"/>
      <c r="AJ5369" s="480"/>
      <c r="AK5369" s="427"/>
      <c r="AU5369" s="218"/>
      <c r="AV5369" s="218"/>
      <c r="AW5369" s="218"/>
      <c r="AX5369" s="218"/>
      <c r="AY5369" s="218"/>
      <c r="AZ5369" s="427"/>
      <c r="BA5369" s="427"/>
      <c r="BB5369" s="427"/>
      <c r="BI5369" s="427"/>
      <c r="BJ5369" s="427"/>
      <c r="BK5369" s="427"/>
      <c r="BL5369" s="427"/>
      <c r="BM5369" s="427"/>
      <c r="BN5369" s="427"/>
      <c r="BO5369" s="427"/>
      <c r="BP5369" s="427"/>
      <c r="BQ5369" s="427"/>
      <c r="BR5369" s="427"/>
      <c r="BS5369" s="427"/>
      <c r="BT5369" s="427"/>
      <c r="BU5369" s="427"/>
      <c r="BV5369" s="427"/>
      <c r="BW5369" s="427"/>
      <c r="BX5369" s="427"/>
      <c r="BY5369" s="427"/>
      <c r="BZ5369" s="427"/>
    </row>
    <row r="5370" spans="2:78" s="152" customFormat="1" x14ac:dyDescent="0.2">
      <c r="B5370" s="683"/>
      <c r="C5370" s="683"/>
      <c r="D5370" s="698"/>
      <c r="E5370" s="215"/>
      <c r="F5370" s="215"/>
      <c r="G5370" s="427"/>
      <c r="H5370" s="427"/>
      <c r="I5370" s="427"/>
      <c r="J5370" s="427"/>
      <c r="K5370" s="427"/>
      <c r="L5370" s="653"/>
      <c r="M5370" s="666"/>
      <c r="N5370" s="600">
        <v>1.8</v>
      </c>
      <c r="O5370" s="608">
        <v>9.0240000000000008E-3</v>
      </c>
      <c r="P5370" s="782"/>
      <c r="Q5370" s="764"/>
      <c r="R5370" s="764"/>
      <c r="S5370" s="764"/>
      <c r="T5370" s="764"/>
      <c r="U5370" s="764"/>
      <c r="V5370" s="764"/>
      <c r="W5370" s="764"/>
      <c r="X5370" s="764"/>
      <c r="Y5370" s="768"/>
      <c r="Z5370" s="762"/>
      <c r="AA5370" s="150"/>
      <c r="AB5370" s="150">
        <v>17</v>
      </c>
      <c r="AC5370" s="150">
        <v>2.0999999999999999E-3</v>
      </c>
      <c r="AD5370" s="150">
        <v>11.28</v>
      </c>
      <c r="AE5370" s="150">
        <v>0.41099999999999998</v>
      </c>
      <c r="AF5370" s="223">
        <f t="shared" si="30"/>
        <v>4.6360799999999998</v>
      </c>
      <c r="AG5370" s="223">
        <f t="shared" si="29"/>
        <v>0.38825904643578196</v>
      </c>
      <c r="AH5370" s="346"/>
      <c r="AI5370" s="427"/>
      <c r="AJ5370" s="480"/>
      <c r="AK5370" s="427"/>
      <c r="AU5370" s="218"/>
      <c r="AV5370" s="218"/>
      <c r="AW5370" s="218"/>
      <c r="AX5370" s="218"/>
      <c r="AY5370" s="218"/>
      <c r="AZ5370" s="427"/>
      <c r="BA5370" s="427"/>
      <c r="BB5370" s="427"/>
      <c r="BI5370" s="427"/>
      <c r="BJ5370" s="427"/>
      <c r="BK5370" s="427"/>
      <c r="BL5370" s="427"/>
      <c r="BM5370" s="427"/>
      <c r="BN5370" s="427"/>
      <c r="BO5370" s="427"/>
      <c r="BP5370" s="427"/>
      <c r="BQ5370" s="427"/>
      <c r="BR5370" s="427"/>
      <c r="BS5370" s="427"/>
      <c r="BT5370" s="427"/>
      <c r="BU5370" s="427"/>
      <c r="BV5370" s="427"/>
      <c r="BW5370" s="427"/>
      <c r="BX5370" s="427"/>
      <c r="BY5370" s="427"/>
      <c r="BZ5370" s="427"/>
    </row>
    <row r="5371" spans="2:78" s="152" customFormat="1" x14ac:dyDescent="0.2">
      <c r="B5371" s="683"/>
      <c r="C5371" s="683"/>
      <c r="D5371" s="698"/>
      <c r="E5371" s="215"/>
      <c r="F5371" s="215"/>
      <c r="G5371" s="427"/>
      <c r="H5371" s="427"/>
      <c r="I5371" s="427"/>
      <c r="J5371" s="427"/>
      <c r="K5371" s="427"/>
      <c r="L5371" s="653"/>
      <c r="M5371" s="666"/>
      <c r="N5371" s="600">
        <v>1.86</v>
      </c>
      <c r="O5371" s="608">
        <v>1.129E-2</v>
      </c>
      <c r="P5371" s="782"/>
      <c r="Q5371" s="764"/>
      <c r="R5371" s="764"/>
      <c r="S5371" s="764"/>
      <c r="T5371" s="764"/>
      <c r="U5371" s="764"/>
      <c r="V5371" s="764"/>
      <c r="W5371" s="764"/>
      <c r="X5371" s="764"/>
      <c r="Y5371" s="768"/>
      <c r="Z5371" s="762"/>
      <c r="AA5371" s="150"/>
      <c r="AB5371" s="150">
        <v>18</v>
      </c>
      <c r="AC5371" s="150">
        <v>2.2000000000000001E-3</v>
      </c>
      <c r="AD5371" s="150">
        <v>11.29</v>
      </c>
      <c r="AE5371" s="150">
        <v>0.41799999999999998</v>
      </c>
      <c r="AF5371" s="223">
        <f t="shared" si="30"/>
        <v>4.7192199999999991</v>
      </c>
      <c r="AG5371" s="223">
        <f t="shared" si="29"/>
        <v>0.39413292874669975</v>
      </c>
      <c r="AH5371" s="346"/>
      <c r="AI5371" s="427"/>
      <c r="AJ5371" s="480"/>
      <c r="AK5371" s="427"/>
      <c r="AU5371" s="218"/>
      <c r="AV5371" s="218"/>
      <c r="AW5371" s="218"/>
      <c r="AX5371" s="218"/>
      <c r="AY5371" s="218"/>
      <c r="AZ5371" s="427"/>
      <c r="BA5371" s="427"/>
      <c r="BB5371" s="427"/>
      <c r="BI5371" s="427"/>
      <c r="BJ5371" s="427"/>
      <c r="BK5371" s="427"/>
      <c r="BL5371" s="427"/>
      <c r="BM5371" s="427"/>
      <c r="BN5371" s="427"/>
      <c r="BO5371" s="427"/>
      <c r="BP5371" s="427"/>
      <c r="BQ5371" s="427"/>
      <c r="BR5371" s="427"/>
      <c r="BS5371" s="427"/>
      <c r="BT5371" s="427"/>
      <c r="BU5371" s="427"/>
      <c r="BV5371" s="427"/>
      <c r="BW5371" s="427"/>
      <c r="BX5371" s="427"/>
      <c r="BY5371" s="427"/>
      <c r="BZ5371" s="427"/>
    </row>
    <row r="5372" spans="2:78" s="152" customFormat="1" x14ac:dyDescent="0.2">
      <c r="B5372" s="683"/>
      <c r="C5372" s="683"/>
      <c r="D5372" s="698"/>
      <c r="E5372" s="215"/>
      <c r="F5372" s="215"/>
      <c r="G5372" s="427"/>
      <c r="H5372" s="427"/>
      <c r="I5372" s="427"/>
      <c r="J5372" s="427"/>
      <c r="K5372" s="427"/>
      <c r="L5372" s="653"/>
      <c r="M5372" s="666"/>
      <c r="N5372" s="600">
        <v>2.09</v>
      </c>
      <c r="O5372" s="608">
        <v>1.0206E-2</v>
      </c>
      <c r="P5372" s="782"/>
      <c r="Q5372" s="764"/>
      <c r="R5372" s="764"/>
      <c r="S5372" s="764"/>
      <c r="T5372" s="764"/>
      <c r="U5372" s="764"/>
      <c r="V5372" s="764"/>
      <c r="W5372" s="764"/>
      <c r="X5372" s="764"/>
      <c r="Y5372" s="768"/>
      <c r="Z5372" s="762"/>
      <c r="AA5372" s="150"/>
      <c r="AB5372" s="150">
        <v>19</v>
      </c>
      <c r="AC5372" s="150">
        <v>2.0999999999999999E-3</v>
      </c>
      <c r="AD5372" s="150">
        <v>11.34</v>
      </c>
      <c r="AE5372" s="150">
        <v>0.439</v>
      </c>
      <c r="AF5372" s="223">
        <f t="shared" si="30"/>
        <v>4.9782599999999997</v>
      </c>
      <c r="AG5372" s="223">
        <f t="shared" si="29"/>
        <v>0.41982540084286479</v>
      </c>
      <c r="AH5372" s="346"/>
      <c r="AI5372" s="427"/>
      <c r="AJ5372" s="480"/>
      <c r="AK5372" s="427"/>
      <c r="AU5372" s="218"/>
      <c r="AV5372" s="218"/>
      <c r="AW5372" s="218"/>
      <c r="AX5372" s="218"/>
      <c r="AY5372" s="218"/>
      <c r="AZ5372" s="427"/>
      <c r="BA5372" s="427"/>
      <c r="BB5372" s="427"/>
      <c r="BI5372" s="427"/>
      <c r="BJ5372" s="427"/>
      <c r="BK5372" s="427"/>
      <c r="BL5372" s="427"/>
      <c r="BM5372" s="427"/>
      <c r="BN5372" s="427"/>
      <c r="BO5372" s="427"/>
      <c r="BP5372" s="427"/>
      <c r="BQ5372" s="427"/>
      <c r="BR5372" s="427"/>
      <c r="BS5372" s="427"/>
      <c r="BT5372" s="427"/>
      <c r="BU5372" s="427"/>
      <c r="BV5372" s="427"/>
      <c r="BW5372" s="427"/>
      <c r="BX5372" s="427"/>
      <c r="BY5372" s="427"/>
      <c r="BZ5372" s="427"/>
    </row>
    <row r="5373" spans="2:78" s="152" customFormat="1" x14ac:dyDescent="0.2">
      <c r="B5373" s="683"/>
      <c r="C5373" s="683"/>
      <c r="D5373" s="698"/>
      <c r="E5373" s="215"/>
      <c r="F5373" s="215"/>
      <c r="G5373" s="427"/>
      <c r="H5373" s="427"/>
      <c r="I5373" s="427"/>
      <c r="J5373" s="427"/>
      <c r="K5373" s="427"/>
      <c r="L5373" s="653"/>
      <c r="M5373" s="666"/>
      <c r="N5373" s="600">
        <v>2.62</v>
      </c>
      <c r="O5373" s="608">
        <v>1.1480000000000001E-2</v>
      </c>
      <c r="P5373" s="782"/>
      <c r="Q5373" s="764"/>
      <c r="R5373" s="764"/>
      <c r="S5373" s="764"/>
      <c r="T5373" s="764"/>
      <c r="U5373" s="764"/>
      <c r="V5373" s="764"/>
      <c r="W5373" s="764"/>
      <c r="X5373" s="764"/>
      <c r="Y5373" s="768"/>
      <c r="Z5373" s="762"/>
      <c r="AA5373" s="150"/>
      <c r="AB5373" s="150">
        <v>20</v>
      </c>
      <c r="AC5373" s="150">
        <v>2.0999999999999999E-3</v>
      </c>
      <c r="AD5373" s="150">
        <v>11.48</v>
      </c>
      <c r="AE5373" s="150">
        <v>0.48499999999999999</v>
      </c>
      <c r="AF5373" s="223">
        <f t="shared" si="30"/>
        <v>5.5678000000000001</v>
      </c>
      <c r="AG5373" s="223">
        <f t="shared" si="29"/>
        <v>0.47056287941377206</v>
      </c>
      <c r="AH5373" s="346"/>
      <c r="AI5373" s="427"/>
      <c r="AJ5373" s="480"/>
      <c r="AK5373" s="427"/>
      <c r="AU5373" s="218"/>
      <c r="AV5373" s="218"/>
      <c r="AW5373" s="218"/>
      <c r="AX5373" s="218"/>
      <c r="AY5373" s="218"/>
      <c r="AZ5373" s="427"/>
      <c r="BA5373" s="427"/>
      <c r="BB5373" s="427"/>
      <c r="BI5373" s="427"/>
      <c r="BJ5373" s="427"/>
      <c r="BK5373" s="427"/>
      <c r="BL5373" s="427"/>
      <c r="BM5373" s="427"/>
      <c r="BN5373" s="427"/>
      <c r="BO5373" s="427"/>
      <c r="BP5373" s="427"/>
      <c r="BQ5373" s="427"/>
      <c r="BR5373" s="427"/>
      <c r="BS5373" s="427"/>
      <c r="BT5373" s="427"/>
      <c r="BU5373" s="427"/>
      <c r="BV5373" s="427"/>
      <c r="BW5373" s="427"/>
      <c r="BX5373" s="427"/>
      <c r="BY5373" s="427"/>
      <c r="BZ5373" s="427"/>
    </row>
    <row r="5374" spans="2:78" s="152" customFormat="1" x14ac:dyDescent="0.2">
      <c r="B5374" s="683"/>
      <c r="C5374" s="683"/>
      <c r="D5374" s="698"/>
      <c r="E5374" s="215"/>
      <c r="F5374" s="215"/>
      <c r="G5374" s="427"/>
      <c r="H5374" s="427"/>
      <c r="I5374" s="427"/>
      <c r="J5374" s="427"/>
      <c r="K5374" s="427"/>
      <c r="L5374" s="653"/>
      <c r="M5374" s="666"/>
      <c r="N5374" s="600">
        <v>2.9</v>
      </c>
      <c r="O5374" s="608">
        <v>1.0385999999999999E-2</v>
      </c>
      <c r="P5374" s="782"/>
      <c r="Q5374" s="764"/>
      <c r="R5374" s="764"/>
      <c r="S5374" s="764"/>
      <c r="T5374" s="764"/>
      <c r="U5374" s="764"/>
      <c r="V5374" s="764"/>
      <c r="W5374" s="764"/>
      <c r="X5374" s="764"/>
      <c r="Y5374" s="768"/>
      <c r="Z5374" s="762"/>
      <c r="AA5374" s="150"/>
      <c r="AB5374" s="150">
        <v>21</v>
      </c>
      <c r="AC5374" s="150">
        <v>2.3E-3</v>
      </c>
      <c r="AD5374" s="150">
        <v>11.54</v>
      </c>
      <c r="AE5374" s="150">
        <v>0.50600000000000001</v>
      </c>
      <c r="AF5374" s="223">
        <f t="shared" si="30"/>
        <v>5.8392399999999993</v>
      </c>
      <c r="AG5374" s="223">
        <f t="shared" si="29"/>
        <v>0.49663997369520696</v>
      </c>
      <c r="AH5374" s="346"/>
      <c r="AI5374" s="427"/>
      <c r="AJ5374" s="480"/>
      <c r="AK5374" s="427"/>
      <c r="AU5374" s="218"/>
      <c r="AV5374" s="218"/>
      <c r="AW5374" s="218"/>
      <c r="AX5374" s="218"/>
      <c r="AY5374" s="218"/>
      <c r="AZ5374" s="427"/>
      <c r="BA5374" s="427"/>
      <c r="BB5374" s="427"/>
      <c r="BI5374" s="427"/>
      <c r="BJ5374" s="427"/>
      <c r="BK5374" s="427"/>
      <c r="BL5374" s="427"/>
      <c r="BM5374" s="427"/>
      <c r="BN5374" s="427"/>
      <c r="BO5374" s="427"/>
      <c r="BP5374" s="427"/>
      <c r="BQ5374" s="427"/>
      <c r="BR5374" s="427"/>
      <c r="BS5374" s="427"/>
      <c r="BT5374" s="427"/>
      <c r="BU5374" s="427"/>
      <c r="BV5374" s="427"/>
      <c r="BW5374" s="427"/>
      <c r="BX5374" s="427"/>
      <c r="BY5374" s="427"/>
      <c r="BZ5374" s="427"/>
    </row>
    <row r="5375" spans="2:78" s="152" customFormat="1" x14ac:dyDescent="0.2">
      <c r="B5375" s="683"/>
      <c r="C5375" s="683"/>
      <c r="D5375" s="698"/>
      <c r="E5375" s="215"/>
      <c r="F5375" s="215"/>
      <c r="G5375" s="427"/>
      <c r="H5375" s="427"/>
      <c r="I5375" s="427"/>
      <c r="J5375" s="427"/>
      <c r="K5375" s="427"/>
      <c r="L5375" s="653"/>
      <c r="M5375" s="666"/>
      <c r="N5375" s="600">
        <v>3.14</v>
      </c>
      <c r="O5375" s="608">
        <v>1.5066999999999999E-2</v>
      </c>
      <c r="P5375" s="782"/>
      <c r="Q5375" s="764"/>
      <c r="R5375" s="764"/>
      <c r="S5375" s="764"/>
      <c r="T5375" s="764"/>
      <c r="U5375" s="764"/>
      <c r="V5375" s="764"/>
      <c r="W5375" s="764"/>
      <c r="X5375" s="764"/>
      <c r="Y5375" s="768"/>
      <c r="Z5375" s="762"/>
      <c r="AA5375" s="150"/>
      <c r="AB5375" s="150">
        <v>22</v>
      </c>
      <c r="AC5375" s="150">
        <v>2.0999999999999999E-3</v>
      </c>
      <c r="AD5375" s="150">
        <v>11.59</v>
      </c>
      <c r="AE5375" s="150">
        <v>0.52400000000000002</v>
      </c>
      <c r="AF5375" s="223">
        <f t="shared" si="30"/>
        <v>6.0731600000000006</v>
      </c>
      <c r="AG5375" s="223">
        <f t="shared" si="29"/>
        <v>0.51702902607538737</v>
      </c>
      <c r="AH5375" s="346"/>
      <c r="AI5375" s="427"/>
      <c r="AJ5375" s="480"/>
      <c r="AK5375" s="427"/>
      <c r="AU5375" s="218"/>
      <c r="AV5375" s="218"/>
      <c r="AW5375" s="218"/>
      <c r="AX5375" s="218"/>
      <c r="AY5375" s="218"/>
      <c r="AZ5375" s="427"/>
      <c r="BA5375" s="427"/>
      <c r="BB5375" s="427"/>
      <c r="BI5375" s="427"/>
      <c r="BJ5375" s="427"/>
      <c r="BK5375" s="427"/>
      <c r="BL5375" s="427"/>
      <c r="BM5375" s="427"/>
      <c r="BN5375" s="427"/>
      <c r="BO5375" s="427"/>
      <c r="BP5375" s="427"/>
      <c r="BQ5375" s="427"/>
      <c r="BR5375" s="427"/>
      <c r="BS5375" s="427"/>
      <c r="BT5375" s="427"/>
      <c r="BU5375" s="427"/>
      <c r="BV5375" s="427"/>
      <c r="BW5375" s="427"/>
      <c r="BX5375" s="427"/>
      <c r="BY5375" s="427"/>
      <c r="BZ5375" s="427"/>
    </row>
    <row r="5376" spans="2:78" s="152" customFormat="1" x14ac:dyDescent="0.2">
      <c r="B5376" s="683"/>
      <c r="C5376" s="683"/>
      <c r="D5376" s="698"/>
      <c r="E5376" s="215"/>
      <c r="F5376" s="215"/>
      <c r="G5376" s="427"/>
      <c r="H5376" s="427"/>
      <c r="I5376" s="427"/>
      <c r="J5376" s="427"/>
      <c r="K5376" s="427"/>
      <c r="L5376" s="653"/>
      <c r="M5376" s="666"/>
      <c r="N5376" s="600">
        <v>3.4</v>
      </c>
      <c r="O5376" s="608">
        <v>1.3968E-2</v>
      </c>
      <c r="P5376" s="782"/>
      <c r="Q5376" s="764"/>
      <c r="R5376" s="764"/>
      <c r="S5376" s="764"/>
      <c r="T5376" s="764"/>
      <c r="U5376" s="764"/>
      <c r="V5376" s="764"/>
      <c r="W5376" s="764"/>
      <c r="X5376" s="764"/>
      <c r="Y5376" s="768"/>
      <c r="Z5376" s="762"/>
      <c r="AA5376" s="150"/>
      <c r="AB5376" s="150">
        <v>23</v>
      </c>
      <c r="AC5376" s="150">
        <v>2.0999999999999999E-3</v>
      </c>
      <c r="AD5376" s="150">
        <v>11.64</v>
      </c>
      <c r="AE5376" s="150">
        <v>0.54300000000000004</v>
      </c>
      <c r="AF5376" s="223">
        <f t="shared" si="30"/>
        <v>6.320520000000001</v>
      </c>
      <c r="AG5376" s="223">
        <f t="shared" si="29"/>
        <v>0.53793042344617203</v>
      </c>
      <c r="AH5376" s="346"/>
      <c r="AI5376" s="427"/>
      <c r="AJ5376" s="480"/>
      <c r="AK5376" s="427"/>
      <c r="AU5376" s="218"/>
      <c r="AV5376" s="218"/>
      <c r="AW5376" s="218"/>
      <c r="AX5376" s="218"/>
      <c r="AY5376" s="218"/>
      <c r="AZ5376" s="427"/>
      <c r="BA5376" s="427"/>
      <c r="BB5376" s="427"/>
      <c r="BI5376" s="427"/>
      <c r="BJ5376" s="427"/>
      <c r="BK5376" s="427"/>
      <c r="BL5376" s="427"/>
      <c r="BM5376" s="427"/>
      <c r="BN5376" s="427"/>
      <c r="BO5376" s="427"/>
      <c r="BP5376" s="427"/>
      <c r="BQ5376" s="427"/>
      <c r="BR5376" s="427"/>
      <c r="BS5376" s="427"/>
      <c r="BT5376" s="427"/>
      <c r="BU5376" s="427"/>
      <c r="BV5376" s="427"/>
      <c r="BW5376" s="427"/>
      <c r="BX5376" s="427"/>
      <c r="BY5376" s="427"/>
      <c r="BZ5376" s="427"/>
    </row>
    <row r="5377" spans="2:78" s="152" customFormat="1" x14ac:dyDescent="0.2">
      <c r="B5377" s="683"/>
      <c r="C5377" s="683"/>
      <c r="D5377" s="698"/>
      <c r="E5377" s="215"/>
      <c r="F5377" s="215"/>
      <c r="G5377" s="427"/>
      <c r="H5377" s="427"/>
      <c r="I5377" s="427"/>
      <c r="J5377" s="427"/>
      <c r="K5377" s="427"/>
      <c r="L5377" s="653"/>
      <c r="M5377" s="666"/>
      <c r="N5377" s="600">
        <v>3.66</v>
      </c>
      <c r="O5377" s="608">
        <v>7.9696000000000003E-2</v>
      </c>
      <c r="P5377" s="782"/>
      <c r="Q5377" s="764"/>
      <c r="R5377" s="764"/>
      <c r="S5377" s="764"/>
      <c r="T5377" s="764"/>
      <c r="U5377" s="764"/>
      <c r="V5377" s="764"/>
      <c r="W5377" s="764"/>
      <c r="X5377" s="764"/>
      <c r="Y5377" s="768"/>
      <c r="Z5377" s="762"/>
      <c r="AA5377" s="150"/>
      <c r="AB5377" s="150">
        <v>24</v>
      </c>
      <c r="AC5377" s="150">
        <v>2.2000000000000001E-3</v>
      </c>
      <c r="AD5377" s="150">
        <v>11.72</v>
      </c>
      <c r="AE5377" s="150">
        <v>0.56000000000000005</v>
      </c>
      <c r="AF5377" s="223">
        <f t="shared" si="30"/>
        <v>6.563200000000001</v>
      </c>
      <c r="AG5377" s="223">
        <f t="shared" si="29"/>
        <v>0.55765480253534849</v>
      </c>
      <c r="AH5377" s="346"/>
      <c r="AI5377" s="427"/>
      <c r="AJ5377" s="480"/>
      <c r="AK5377" s="427"/>
      <c r="AU5377" s="218"/>
      <c r="AV5377" s="218"/>
      <c r="AW5377" s="218"/>
      <c r="AX5377" s="218"/>
      <c r="AY5377" s="218"/>
      <c r="AZ5377" s="427"/>
      <c r="BA5377" s="427"/>
      <c r="BB5377" s="427"/>
      <c r="BI5377" s="427"/>
      <c r="BJ5377" s="427"/>
      <c r="BK5377" s="427"/>
      <c r="BL5377" s="427"/>
      <c r="BM5377" s="427"/>
      <c r="BN5377" s="427"/>
      <c r="BO5377" s="427"/>
      <c r="BP5377" s="427"/>
      <c r="BQ5377" s="427"/>
      <c r="BR5377" s="427"/>
      <c r="BS5377" s="427"/>
      <c r="BT5377" s="427"/>
      <c r="BU5377" s="427"/>
      <c r="BV5377" s="427"/>
      <c r="BW5377" s="427"/>
      <c r="BX5377" s="427"/>
      <c r="BY5377" s="427"/>
      <c r="BZ5377" s="427"/>
    </row>
    <row r="5378" spans="2:78" s="152" customFormat="1" x14ac:dyDescent="0.2">
      <c r="B5378" s="683"/>
      <c r="C5378" s="683"/>
      <c r="D5378" s="698"/>
      <c r="E5378" s="215"/>
      <c r="F5378" s="215"/>
      <c r="G5378" s="427"/>
      <c r="H5378" s="427"/>
      <c r="I5378" s="427"/>
      <c r="J5378" s="427"/>
      <c r="K5378" s="427"/>
      <c r="L5378" s="653"/>
      <c r="M5378" s="666"/>
      <c r="N5378" s="600">
        <v>3.76</v>
      </c>
      <c r="O5378" s="608">
        <v>2.5828000000000004E-2</v>
      </c>
      <c r="P5378" s="782"/>
      <c r="Q5378" s="764"/>
      <c r="R5378" s="764"/>
      <c r="S5378" s="764"/>
      <c r="T5378" s="764"/>
      <c r="U5378" s="764"/>
      <c r="V5378" s="764"/>
      <c r="W5378" s="764"/>
      <c r="X5378" s="764"/>
      <c r="Y5378" s="768"/>
      <c r="Z5378" s="762"/>
      <c r="AA5378" s="150"/>
      <c r="AB5378" s="150">
        <v>25</v>
      </c>
      <c r="AC5378" s="150">
        <v>2.2000000000000001E-3</v>
      </c>
      <c r="AD5378" s="150">
        <v>11.74</v>
      </c>
      <c r="AE5378" s="150">
        <v>0.56699999999999995</v>
      </c>
      <c r="AF5378" s="223">
        <f t="shared" si="30"/>
        <v>6.6565799999999999</v>
      </c>
      <c r="AG5378" s="223">
        <f t="shared" si="29"/>
        <v>0.56485462504769712</v>
      </c>
      <c r="AH5378" s="346"/>
      <c r="AI5378" s="427"/>
      <c r="AJ5378" s="480"/>
      <c r="AK5378" s="427"/>
      <c r="AU5378" s="218"/>
      <c r="AV5378" s="218"/>
      <c r="AW5378" s="218"/>
      <c r="AX5378" s="218"/>
      <c r="AY5378" s="218"/>
      <c r="AZ5378" s="427"/>
      <c r="BA5378" s="427"/>
      <c r="BB5378" s="427"/>
      <c r="BI5378" s="427"/>
      <c r="BJ5378" s="427"/>
      <c r="BK5378" s="427"/>
      <c r="BL5378" s="427"/>
      <c r="BM5378" s="427"/>
      <c r="BN5378" s="427"/>
      <c r="BO5378" s="427"/>
      <c r="BP5378" s="427"/>
      <c r="BQ5378" s="427"/>
      <c r="BR5378" s="427"/>
      <c r="BS5378" s="427"/>
      <c r="BT5378" s="427"/>
      <c r="BU5378" s="427"/>
      <c r="BV5378" s="427"/>
      <c r="BW5378" s="427"/>
      <c r="BX5378" s="427"/>
      <c r="BY5378" s="427"/>
      <c r="BZ5378" s="427"/>
    </row>
    <row r="5379" spans="2:78" s="152" customFormat="1" x14ac:dyDescent="0.2">
      <c r="B5379" s="683"/>
      <c r="C5379" s="683"/>
      <c r="D5379" s="698"/>
      <c r="E5379" s="215"/>
      <c r="F5379" s="215"/>
      <c r="G5379" s="427"/>
      <c r="H5379" s="427"/>
      <c r="I5379" s="427"/>
      <c r="J5379" s="427"/>
      <c r="K5379" s="427"/>
      <c r="L5379" s="653"/>
      <c r="M5379" s="666"/>
      <c r="N5379" s="600">
        <v>3.9</v>
      </c>
      <c r="O5379" s="608">
        <v>2.5894E-2</v>
      </c>
      <c r="P5379" s="782"/>
      <c r="Q5379" s="764"/>
      <c r="R5379" s="764"/>
      <c r="S5379" s="764"/>
      <c r="T5379" s="764"/>
      <c r="U5379" s="764"/>
      <c r="V5379" s="764"/>
      <c r="W5379" s="764"/>
      <c r="X5379" s="764"/>
      <c r="Y5379" s="768"/>
      <c r="Z5379" s="762"/>
      <c r="AA5379" s="150"/>
      <c r="AB5379" s="150">
        <v>26</v>
      </c>
      <c r="AC5379" s="150">
        <v>2.2000000000000001E-3</v>
      </c>
      <c r="AD5379" s="150">
        <v>11.77</v>
      </c>
      <c r="AE5379" s="150">
        <v>0.57599999999999996</v>
      </c>
      <c r="AF5379" s="223">
        <f t="shared" si="30"/>
        <v>6.7795199999999989</v>
      </c>
      <c r="AG5379" s="223">
        <f t="shared" si="29"/>
        <v>0.57526196544888142</v>
      </c>
      <c r="AH5379" s="346"/>
      <c r="AI5379" s="427"/>
      <c r="AJ5379" s="480"/>
      <c r="AK5379" s="427"/>
      <c r="AU5379" s="218"/>
      <c r="AV5379" s="218"/>
      <c r="AW5379" s="218"/>
      <c r="AX5379" s="218"/>
      <c r="AY5379" s="218"/>
      <c r="AZ5379" s="427"/>
      <c r="BA5379" s="427"/>
      <c r="BB5379" s="427"/>
      <c r="BI5379" s="427"/>
      <c r="BJ5379" s="427"/>
      <c r="BK5379" s="427"/>
      <c r="BL5379" s="427"/>
      <c r="BM5379" s="427"/>
      <c r="BN5379" s="427"/>
      <c r="BO5379" s="427"/>
      <c r="BP5379" s="427"/>
      <c r="BQ5379" s="427"/>
      <c r="BR5379" s="427"/>
      <c r="BS5379" s="427"/>
      <c r="BT5379" s="427"/>
      <c r="BU5379" s="427"/>
      <c r="BV5379" s="427"/>
      <c r="BW5379" s="427"/>
      <c r="BX5379" s="427"/>
      <c r="BY5379" s="427"/>
      <c r="BZ5379" s="427"/>
    </row>
    <row r="5380" spans="2:78" s="152" customFormat="1" x14ac:dyDescent="0.2">
      <c r="B5380" s="683"/>
      <c r="C5380" s="683"/>
      <c r="D5380" s="698"/>
      <c r="E5380" s="215"/>
      <c r="F5380" s="215"/>
      <c r="G5380" s="427"/>
      <c r="H5380" s="427"/>
      <c r="I5380" s="427"/>
      <c r="J5380" s="427"/>
      <c r="K5380" s="427"/>
      <c r="L5380" s="653"/>
      <c r="M5380" s="666"/>
      <c r="N5380" s="600">
        <v>3.95</v>
      </c>
      <c r="O5380" s="608">
        <v>2.3559999999999998E-2</v>
      </c>
      <c r="P5380" s="782"/>
      <c r="Q5380" s="764"/>
      <c r="R5380" s="764"/>
      <c r="S5380" s="764"/>
      <c r="T5380" s="764"/>
      <c r="U5380" s="764"/>
      <c r="V5380" s="764"/>
      <c r="W5380" s="764"/>
      <c r="X5380" s="764"/>
      <c r="Y5380" s="768"/>
      <c r="Z5380" s="762"/>
      <c r="AA5380" s="150"/>
      <c r="AB5380" s="150">
        <v>27</v>
      </c>
      <c r="AC5380" s="150">
        <v>2.2000000000000001E-3</v>
      </c>
      <c r="AD5380" s="150">
        <v>11.78</v>
      </c>
      <c r="AE5380" s="150">
        <v>0.57899999999999996</v>
      </c>
      <c r="AF5380" s="223">
        <f t="shared" si="30"/>
        <v>6.820619999999999</v>
      </c>
      <c r="AG5380" s="223">
        <f t="shared" si="29"/>
        <v>0.57912623779069949</v>
      </c>
      <c r="AH5380" s="346"/>
      <c r="AI5380" s="427"/>
      <c r="AJ5380" s="480"/>
      <c r="AK5380" s="427"/>
      <c r="AU5380" s="218"/>
      <c r="AV5380" s="218"/>
      <c r="AW5380" s="218"/>
      <c r="AX5380" s="218"/>
      <c r="AY5380" s="218"/>
      <c r="AZ5380" s="427"/>
      <c r="BA5380" s="427"/>
      <c r="BB5380" s="427"/>
      <c r="BI5380" s="427"/>
      <c r="BJ5380" s="427"/>
      <c r="BK5380" s="427"/>
      <c r="BL5380" s="427"/>
      <c r="BM5380" s="427"/>
      <c r="BN5380" s="427"/>
      <c r="BO5380" s="427"/>
      <c r="BP5380" s="427"/>
      <c r="BQ5380" s="427"/>
      <c r="BR5380" s="427"/>
      <c r="BS5380" s="427"/>
      <c r="BT5380" s="427"/>
      <c r="BU5380" s="427"/>
      <c r="BV5380" s="427"/>
      <c r="BW5380" s="427"/>
      <c r="BX5380" s="427"/>
      <c r="BY5380" s="427"/>
      <c r="BZ5380" s="427"/>
    </row>
    <row r="5381" spans="2:78" s="152" customFormat="1" x14ac:dyDescent="0.2">
      <c r="B5381" s="683"/>
      <c r="C5381" s="683"/>
      <c r="D5381" s="698"/>
      <c r="E5381" s="215"/>
      <c r="F5381" s="215"/>
      <c r="G5381" s="427"/>
      <c r="H5381" s="427"/>
      <c r="I5381" s="427"/>
      <c r="J5381" s="427"/>
      <c r="K5381" s="427"/>
      <c r="L5381" s="653"/>
      <c r="M5381" s="666"/>
      <c r="N5381" s="600">
        <v>4.09</v>
      </c>
      <c r="O5381" s="608">
        <v>2.1240000000000002E-2</v>
      </c>
      <c r="P5381" s="782"/>
      <c r="Q5381" s="764"/>
      <c r="R5381" s="764"/>
      <c r="S5381" s="764"/>
      <c r="T5381" s="764"/>
      <c r="U5381" s="764"/>
      <c r="V5381" s="764"/>
      <c r="W5381" s="764"/>
      <c r="X5381" s="764"/>
      <c r="Y5381" s="768"/>
      <c r="Z5381" s="762"/>
      <c r="AA5381" s="150"/>
      <c r="AB5381" s="150">
        <v>28</v>
      </c>
      <c r="AC5381" s="150">
        <v>2.2000000000000001E-3</v>
      </c>
      <c r="AD5381" s="150">
        <v>11.8</v>
      </c>
      <c r="AE5381" s="150">
        <v>0.58799999999999997</v>
      </c>
      <c r="AF5381" s="223">
        <f t="shared" si="30"/>
        <v>6.9383999999999997</v>
      </c>
      <c r="AG5381" s="223">
        <f t="shared" si="29"/>
        <v>0.58947307736653987</v>
      </c>
      <c r="AH5381" s="346"/>
      <c r="AI5381" s="427"/>
      <c r="AJ5381" s="480"/>
      <c r="AK5381" s="427"/>
      <c r="AU5381" s="218"/>
      <c r="AV5381" s="218"/>
      <c r="AW5381" s="218"/>
      <c r="AX5381" s="218"/>
      <c r="AY5381" s="218"/>
      <c r="AZ5381" s="427"/>
      <c r="BA5381" s="427"/>
      <c r="BB5381" s="427"/>
      <c r="BI5381" s="427"/>
      <c r="BJ5381" s="427"/>
      <c r="BK5381" s="427"/>
      <c r="BL5381" s="427"/>
      <c r="BM5381" s="427"/>
      <c r="BN5381" s="427"/>
      <c r="BO5381" s="427"/>
      <c r="BP5381" s="427"/>
      <c r="BQ5381" s="427"/>
      <c r="BR5381" s="427"/>
      <c r="BS5381" s="427"/>
      <c r="BT5381" s="427"/>
      <c r="BU5381" s="427"/>
      <c r="BV5381" s="427"/>
      <c r="BW5381" s="427"/>
      <c r="BX5381" s="427"/>
      <c r="BY5381" s="427"/>
      <c r="BZ5381" s="427"/>
    </row>
    <row r="5382" spans="2:78" s="152" customFormat="1" x14ac:dyDescent="0.2">
      <c r="B5382" s="683"/>
      <c r="C5382" s="683"/>
      <c r="D5382" s="698"/>
      <c r="E5382" s="215"/>
      <c r="F5382" s="215"/>
      <c r="G5382" s="427"/>
      <c r="H5382" s="427"/>
      <c r="I5382" s="427"/>
      <c r="J5382" s="427"/>
      <c r="K5382" s="427"/>
      <c r="L5382" s="653"/>
      <c r="M5382" s="666"/>
      <c r="N5382" s="600">
        <v>4.0599999999999996</v>
      </c>
      <c r="O5382" s="608">
        <v>1.5326999999999999E-2</v>
      </c>
      <c r="P5382" s="782"/>
      <c r="Q5382" s="764"/>
      <c r="R5382" s="764"/>
      <c r="S5382" s="764"/>
      <c r="T5382" s="764"/>
      <c r="U5382" s="764"/>
      <c r="V5382" s="764"/>
      <c r="W5382" s="764"/>
      <c r="X5382" s="764"/>
      <c r="Y5382" s="768"/>
      <c r="Z5382" s="762"/>
      <c r="AA5382" s="150"/>
      <c r="AB5382" s="150">
        <v>29</v>
      </c>
      <c r="AC5382" s="150">
        <v>2.2000000000000001E-3</v>
      </c>
      <c r="AD5382" s="150">
        <v>11.79</v>
      </c>
      <c r="AE5382" s="150">
        <v>0.58599999999999997</v>
      </c>
      <c r="AF5382" s="223">
        <f t="shared" si="30"/>
        <v>6.9089399999999994</v>
      </c>
      <c r="AG5382" s="223">
        <f t="shared" si="29"/>
        <v>0.58764441433852366</v>
      </c>
      <c r="AH5382" s="346"/>
      <c r="AI5382" s="427"/>
      <c r="AJ5382" s="480"/>
      <c r="AK5382" s="427"/>
      <c r="AU5382" s="218"/>
      <c r="AV5382" s="218"/>
      <c r="AW5382" s="218"/>
      <c r="AX5382" s="218"/>
      <c r="AY5382" s="218"/>
      <c r="AZ5382" s="427"/>
      <c r="BA5382" s="427"/>
      <c r="BB5382" s="427"/>
      <c r="BI5382" s="427"/>
      <c r="BJ5382" s="427"/>
      <c r="BK5382" s="427"/>
      <c r="BL5382" s="427"/>
      <c r="BM5382" s="427"/>
      <c r="BN5382" s="427"/>
      <c r="BO5382" s="427"/>
      <c r="BP5382" s="427"/>
      <c r="BQ5382" s="427"/>
      <c r="BR5382" s="427"/>
      <c r="BS5382" s="427"/>
      <c r="BT5382" s="427"/>
      <c r="BU5382" s="427"/>
      <c r="BV5382" s="427"/>
      <c r="BW5382" s="427"/>
      <c r="BX5382" s="427"/>
      <c r="BY5382" s="427"/>
      <c r="BZ5382" s="427"/>
    </row>
    <row r="5383" spans="2:78" s="152" customFormat="1" x14ac:dyDescent="0.2">
      <c r="B5383" s="683"/>
      <c r="C5383" s="683"/>
      <c r="D5383" s="698"/>
      <c r="E5383" s="215"/>
      <c r="F5383" s="215"/>
      <c r="G5383" s="427"/>
      <c r="H5383" s="427"/>
      <c r="I5383" s="427"/>
      <c r="J5383" s="427"/>
      <c r="K5383" s="427"/>
      <c r="L5383" s="653"/>
      <c r="M5383" s="666"/>
      <c r="N5383" s="600">
        <v>4</v>
      </c>
      <c r="O5383" s="608">
        <v>7.0679999999999988E-3</v>
      </c>
      <c r="P5383" s="782"/>
      <c r="Q5383" s="764"/>
      <c r="R5383" s="764"/>
      <c r="S5383" s="764"/>
      <c r="T5383" s="764"/>
      <c r="U5383" s="764"/>
      <c r="V5383" s="764"/>
      <c r="W5383" s="764"/>
      <c r="X5383" s="764"/>
      <c r="Y5383" s="768"/>
      <c r="Z5383" s="762"/>
      <c r="AA5383" s="150"/>
      <c r="AB5383" s="150">
        <v>30</v>
      </c>
      <c r="AC5383" s="150">
        <v>2.2000000000000001E-3</v>
      </c>
      <c r="AD5383" s="150">
        <v>11.78</v>
      </c>
      <c r="AE5383" s="150">
        <v>0.58199999999999996</v>
      </c>
      <c r="AF5383" s="223">
        <f t="shared" si="30"/>
        <v>6.8559599999999996</v>
      </c>
      <c r="AG5383" s="223">
        <f t="shared" si="29"/>
        <v>0.58343397569414057</v>
      </c>
      <c r="AH5383" s="346"/>
      <c r="AI5383" s="427"/>
      <c r="AJ5383" s="480"/>
      <c r="AK5383" s="427"/>
      <c r="AU5383" s="218"/>
      <c r="AV5383" s="218"/>
      <c r="AW5383" s="218"/>
      <c r="AX5383" s="218"/>
      <c r="AY5383" s="218"/>
      <c r="AZ5383" s="427"/>
      <c r="BA5383" s="427"/>
      <c r="BB5383" s="427"/>
      <c r="BI5383" s="427"/>
      <c r="BJ5383" s="427"/>
      <c r="BK5383" s="427"/>
      <c r="BL5383" s="427"/>
      <c r="BM5383" s="427"/>
      <c r="BN5383" s="427"/>
      <c r="BO5383" s="427"/>
      <c r="BP5383" s="427"/>
      <c r="BQ5383" s="427"/>
      <c r="BR5383" s="427"/>
      <c r="BS5383" s="427"/>
      <c r="BT5383" s="427"/>
      <c r="BU5383" s="427"/>
      <c r="BV5383" s="427"/>
      <c r="BW5383" s="427"/>
      <c r="BX5383" s="427"/>
      <c r="BY5383" s="427"/>
      <c r="BZ5383" s="427"/>
    </row>
    <row r="5384" spans="2:78" s="152" customFormat="1" x14ac:dyDescent="0.2">
      <c r="B5384" s="683"/>
      <c r="C5384" s="683"/>
      <c r="D5384" s="698"/>
      <c r="E5384" s="215"/>
      <c r="F5384" s="215"/>
      <c r="G5384" s="427"/>
      <c r="H5384" s="427"/>
      <c r="I5384" s="427"/>
      <c r="J5384" s="427"/>
      <c r="K5384" s="427"/>
      <c r="L5384" s="653"/>
      <c r="M5384" s="666"/>
      <c r="N5384" s="600">
        <v>3.76</v>
      </c>
      <c r="O5384" s="608">
        <v>1.1730000000000001E-2</v>
      </c>
      <c r="P5384" s="782"/>
      <c r="Q5384" s="764"/>
      <c r="R5384" s="764"/>
      <c r="S5384" s="764"/>
      <c r="T5384" s="764"/>
      <c r="U5384" s="764"/>
      <c r="V5384" s="764"/>
      <c r="W5384" s="764"/>
      <c r="X5384" s="764"/>
      <c r="Y5384" s="768"/>
      <c r="Z5384" s="762"/>
      <c r="AA5384" s="150"/>
      <c r="AB5384" s="150">
        <v>31</v>
      </c>
      <c r="AC5384" s="150">
        <v>2.2000000000000001E-3</v>
      </c>
      <c r="AD5384" s="150">
        <v>11.73</v>
      </c>
      <c r="AE5384" s="150">
        <v>0.56699999999999995</v>
      </c>
      <c r="AF5384" s="223">
        <f t="shared" si="30"/>
        <v>6.6509099999999997</v>
      </c>
      <c r="AG5384" s="223">
        <f t="shared" si="29"/>
        <v>0.56533617204262276</v>
      </c>
      <c r="AH5384" s="346"/>
      <c r="AI5384" s="427"/>
      <c r="AJ5384" s="480"/>
      <c r="AK5384" s="427"/>
      <c r="AU5384" s="218"/>
      <c r="AV5384" s="218"/>
      <c r="AW5384" s="218"/>
      <c r="AX5384" s="218"/>
      <c r="AY5384" s="218"/>
      <c r="AZ5384" s="427"/>
      <c r="BA5384" s="427"/>
      <c r="BB5384" s="427"/>
      <c r="BI5384" s="427"/>
      <c r="BJ5384" s="427"/>
      <c r="BK5384" s="427"/>
      <c r="BL5384" s="427"/>
      <c r="BM5384" s="427"/>
      <c r="BN5384" s="427"/>
      <c r="BO5384" s="427"/>
      <c r="BP5384" s="427"/>
      <c r="BQ5384" s="427"/>
      <c r="BR5384" s="427"/>
      <c r="BS5384" s="427"/>
      <c r="BT5384" s="427"/>
      <c r="BU5384" s="427"/>
      <c r="BV5384" s="427"/>
      <c r="BW5384" s="427"/>
      <c r="BX5384" s="427"/>
      <c r="BY5384" s="427"/>
      <c r="BZ5384" s="427"/>
    </row>
    <row r="5385" spans="2:78" s="152" customFormat="1" x14ac:dyDescent="0.2">
      <c r="B5385" s="683"/>
      <c r="C5385" s="683"/>
      <c r="D5385" s="698"/>
      <c r="E5385" s="215"/>
      <c r="F5385" s="215"/>
      <c r="G5385" s="427"/>
      <c r="H5385" s="427"/>
      <c r="I5385" s="427"/>
      <c r="J5385" s="427"/>
      <c r="K5385" s="427"/>
      <c r="L5385" s="653"/>
      <c r="M5385" s="666"/>
      <c r="N5385" s="600">
        <v>3.39</v>
      </c>
      <c r="O5385" s="608">
        <v>5.8300000000000001E-3</v>
      </c>
      <c r="P5385" s="782"/>
      <c r="Q5385" s="764"/>
      <c r="R5385" s="764"/>
      <c r="S5385" s="764"/>
      <c r="T5385" s="764"/>
      <c r="U5385" s="764"/>
      <c r="V5385" s="764"/>
      <c r="W5385" s="764"/>
      <c r="X5385" s="764"/>
      <c r="Y5385" s="768"/>
      <c r="Z5385" s="762"/>
      <c r="AA5385" s="150"/>
      <c r="AB5385" s="150">
        <v>32</v>
      </c>
      <c r="AC5385" s="150">
        <v>2.2000000000000001E-3</v>
      </c>
      <c r="AD5385" s="150">
        <v>11.66</v>
      </c>
      <c r="AE5385" s="150">
        <v>0.54200000000000004</v>
      </c>
      <c r="AF5385" s="223">
        <f t="shared" si="30"/>
        <v>6.3197200000000002</v>
      </c>
      <c r="AG5385" s="223">
        <f t="shared" si="29"/>
        <v>0.53641617033666045</v>
      </c>
      <c r="AH5385" s="346"/>
      <c r="AI5385" s="427"/>
      <c r="AJ5385" s="480"/>
      <c r="AK5385" s="427"/>
      <c r="AU5385" s="218"/>
      <c r="AV5385" s="218"/>
      <c r="AW5385" s="218"/>
      <c r="AX5385" s="218"/>
      <c r="AY5385" s="218"/>
      <c r="AZ5385" s="427"/>
      <c r="BA5385" s="427"/>
      <c r="BB5385" s="427"/>
      <c r="BI5385" s="427"/>
      <c r="BJ5385" s="427"/>
      <c r="BK5385" s="427"/>
      <c r="BL5385" s="427"/>
      <c r="BM5385" s="427"/>
      <c r="BN5385" s="427"/>
      <c r="BO5385" s="427"/>
      <c r="BP5385" s="427"/>
      <c r="BQ5385" s="427"/>
      <c r="BR5385" s="427"/>
      <c r="BS5385" s="427"/>
      <c r="BT5385" s="427"/>
      <c r="BU5385" s="427"/>
      <c r="BV5385" s="427"/>
      <c r="BW5385" s="427"/>
      <c r="BX5385" s="427"/>
      <c r="BY5385" s="427"/>
      <c r="BZ5385" s="427"/>
    </row>
    <row r="5386" spans="2:78" s="152" customFormat="1" x14ac:dyDescent="0.2">
      <c r="B5386" s="683"/>
      <c r="C5386" s="683"/>
      <c r="D5386" s="698"/>
      <c r="E5386" s="215"/>
      <c r="F5386" s="215"/>
      <c r="G5386" s="427"/>
      <c r="H5386" s="427"/>
      <c r="I5386" s="427"/>
      <c r="J5386" s="427"/>
      <c r="K5386" s="427"/>
      <c r="L5386" s="653"/>
      <c r="M5386" s="666"/>
      <c r="N5386" s="600">
        <v>3.18</v>
      </c>
      <c r="O5386" s="608">
        <v>1.0449E-2</v>
      </c>
      <c r="P5386" s="782"/>
      <c r="Q5386" s="764"/>
      <c r="R5386" s="764"/>
      <c r="S5386" s="764"/>
      <c r="T5386" s="764"/>
      <c r="U5386" s="764"/>
      <c r="V5386" s="764"/>
      <c r="W5386" s="764"/>
      <c r="X5386" s="764"/>
      <c r="Y5386" s="768"/>
      <c r="Z5386" s="762"/>
      <c r="AA5386" s="150"/>
      <c r="AB5386" s="150">
        <v>33</v>
      </c>
      <c r="AC5386" s="150">
        <v>2.2000000000000001E-3</v>
      </c>
      <c r="AD5386" s="150">
        <v>11.61</v>
      </c>
      <c r="AE5386" s="150">
        <v>0.52700000000000002</v>
      </c>
      <c r="AF5386" s="223">
        <f t="shared" si="30"/>
        <v>6.1184700000000003</v>
      </c>
      <c r="AG5386" s="223">
        <f t="shared" si="29"/>
        <v>0.5197377775816503</v>
      </c>
      <c r="AH5386" s="346"/>
      <c r="AI5386" s="427"/>
      <c r="AJ5386" s="480"/>
      <c r="AK5386" s="427"/>
      <c r="AU5386" s="218"/>
      <c r="AV5386" s="218"/>
      <c r="AW5386" s="218"/>
      <c r="AX5386" s="218"/>
      <c r="AY5386" s="218"/>
      <c r="AZ5386" s="427"/>
      <c r="BA5386" s="427"/>
      <c r="BB5386" s="427"/>
      <c r="BI5386" s="427"/>
      <c r="BJ5386" s="427"/>
      <c r="BK5386" s="427"/>
      <c r="BL5386" s="427"/>
      <c r="BM5386" s="427"/>
      <c r="BN5386" s="427"/>
      <c r="BO5386" s="427"/>
      <c r="BP5386" s="427"/>
      <c r="BQ5386" s="427"/>
      <c r="BR5386" s="427"/>
      <c r="BS5386" s="427"/>
      <c r="BT5386" s="427"/>
      <c r="BU5386" s="427"/>
      <c r="BV5386" s="427"/>
      <c r="BW5386" s="427"/>
      <c r="BX5386" s="427"/>
      <c r="BY5386" s="427"/>
      <c r="BZ5386" s="427"/>
    </row>
    <row r="5387" spans="2:78" s="152" customFormat="1" x14ac:dyDescent="0.2">
      <c r="B5387" s="683"/>
      <c r="C5387" s="683"/>
      <c r="D5387" s="698"/>
      <c r="E5387" s="215"/>
      <c r="F5387" s="215"/>
      <c r="G5387" s="427"/>
      <c r="H5387" s="427"/>
      <c r="I5387" s="427"/>
      <c r="J5387" s="427"/>
      <c r="K5387" s="427"/>
      <c r="L5387" s="653"/>
      <c r="M5387" s="666"/>
      <c r="N5387" s="600">
        <v>2.9</v>
      </c>
      <c r="O5387" s="608">
        <v>6.9239999999999987E-3</v>
      </c>
      <c r="P5387" s="782"/>
      <c r="Q5387" s="764"/>
      <c r="R5387" s="764"/>
      <c r="S5387" s="764"/>
      <c r="T5387" s="764"/>
      <c r="U5387" s="764"/>
      <c r="V5387" s="764"/>
      <c r="W5387" s="764"/>
      <c r="X5387" s="764"/>
      <c r="Y5387" s="768"/>
      <c r="Z5387" s="762"/>
      <c r="AA5387" s="150"/>
      <c r="AB5387" s="150">
        <v>34</v>
      </c>
      <c r="AC5387" s="150">
        <v>2.3E-3</v>
      </c>
      <c r="AD5387" s="150">
        <v>11.54</v>
      </c>
      <c r="AE5387" s="150">
        <v>0.50600000000000001</v>
      </c>
      <c r="AF5387" s="223">
        <f t="shared" si="30"/>
        <v>5.8392399999999993</v>
      </c>
      <c r="AG5387" s="223">
        <f t="shared" si="29"/>
        <v>0.49663997369520696</v>
      </c>
      <c r="AH5387" s="346"/>
      <c r="AI5387" s="427"/>
      <c r="AJ5387" s="480"/>
      <c r="AK5387" s="427"/>
      <c r="AU5387" s="218"/>
      <c r="AV5387" s="218"/>
      <c r="AW5387" s="218"/>
      <c r="AX5387" s="218"/>
      <c r="AY5387" s="218"/>
      <c r="AZ5387" s="427"/>
      <c r="BA5387" s="427"/>
      <c r="BB5387" s="427"/>
      <c r="BI5387" s="427"/>
      <c r="BJ5387" s="427"/>
      <c r="BK5387" s="427"/>
      <c r="BL5387" s="427"/>
      <c r="BM5387" s="427"/>
      <c r="BN5387" s="427"/>
      <c r="BO5387" s="427"/>
      <c r="BP5387" s="427"/>
      <c r="BQ5387" s="427"/>
      <c r="BR5387" s="427"/>
      <c r="BS5387" s="427"/>
      <c r="BT5387" s="427"/>
      <c r="BU5387" s="427"/>
      <c r="BV5387" s="427"/>
      <c r="BW5387" s="427"/>
      <c r="BX5387" s="427"/>
      <c r="BY5387" s="427"/>
      <c r="BZ5387" s="427"/>
    </row>
    <row r="5388" spans="2:78" s="152" customFormat="1" x14ac:dyDescent="0.2">
      <c r="B5388" s="683"/>
      <c r="C5388" s="683"/>
      <c r="D5388" s="698"/>
      <c r="E5388" s="215"/>
      <c r="F5388" s="215"/>
      <c r="G5388" s="427"/>
      <c r="H5388" s="427"/>
      <c r="I5388" s="427"/>
      <c r="J5388" s="427"/>
      <c r="K5388" s="427"/>
      <c r="L5388" s="653"/>
      <c r="M5388" s="666"/>
      <c r="N5388" s="600">
        <v>2.62</v>
      </c>
      <c r="O5388" s="608">
        <v>1.1460000000000001E-2</v>
      </c>
      <c r="P5388" s="782"/>
      <c r="Q5388" s="764"/>
      <c r="R5388" s="764"/>
      <c r="S5388" s="764"/>
      <c r="T5388" s="764"/>
      <c r="U5388" s="764"/>
      <c r="V5388" s="764"/>
      <c r="W5388" s="764"/>
      <c r="X5388" s="764"/>
      <c r="Y5388" s="768"/>
      <c r="Z5388" s="762"/>
      <c r="AA5388" s="150"/>
      <c r="AB5388" s="150">
        <v>35</v>
      </c>
      <c r="AC5388" s="150">
        <v>2.0999999999999999E-3</v>
      </c>
      <c r="AD5388" s="150">
        <v>11.46</v>
      </c>
      <c r="AE5388" s="150">
        <v>0.48499999999999999</v>
      </c>
      <c r="AF5388" s="223">
        <f t="shared" si="30"/>
        <v>5.5581000000000005</v>
      </c>
      <c r="AG5388" s="223">
        <f t="shared" si="29"/>
        <v>0.47138410607941561</v>
      </c>
      <c r="AH5388" s="346"/>
      <c r="AI5388" s="427"/>
      <c r="AJ5388" s="480"/>
      <c r="AK5388" s="427"/>
      <c r="AU5388" s="218"/>
      <c r="AV5388" s="218"/>
      <c r="AW5388" s="218"/>
      <c r="AX5388" s="218"/>
      <c r="AY5388" s="218"/>
      <c r="AZ5388" s="427"/>
      <c r="BA5388" s="427"/>
      <c r="BB5388" s="427"/>
      <c r="BI5388" s="427"/>
      <c r="BJ5388" s="427"/>
      <c r="BK5388" s="427"/>
      <c r="BL5388" s="427"/>
      <c r="BM5388" s="427"/>
      <c r="BN5388" s="427"/>
      <c r="BO5388" s="427"/>
      <c r="BP5388" s="427"/>
      <c r="BQ5388" s="427"/>
      <c r="BR5388" s="427"/>
      <c r="BS5388" s="427"/>
      <c r="BT5388" s="427"/>
      <c r="BU5388" s="427"/>
      <c r="BV5388" s="427"/>
      <c r="BW5388" s="427"/>
      <c r="BX5388" s="427"/>
      <c r="BY5388" s="427"/>
      <c r="BZ5388" s="427"/>
    </row>
    <row r="5389" spans="2:78" s="152" customFormat="1" x14ac:dyDescent="0.2">
      <c r="B5389" s="683"/>
      <c r="C5389" s="683"/>
      <c r="D5389" s="698"/>
      <c r="E5389" s="215"/>
      <c r="F5389" s="215"/>
      <c r="G5389" s="427"/>
      <c r="H5389" s="427"/>
      <c r="I5389" s="427"/>
      <c r="J5389" s="427"/>
      <c r="K5389" s="427"/>
      <c r="L5389" s="653"/>
      <c r="M5389" s="666"/>
      <c r="N5389" s="600">
        <v>2.33</v>
      </c>
      <c r="O5389" s="608">
        <v>1.026E-2</v>
      </c>
      <c r="P5389" s="782"/>
      <c r="Q5389" s="764"/>
      <c r="R5389" s="764"/>
      <c r="S5389" s="764"/>
      <c r="T5389" s="764"/>
      <c r="U5389" s="764"/>
      <c r="V5389" s="764"/>
      <c r="W5389" s="764"/>
      <c r="X5389" s="764"/>
      <c r="Y5389" s="768"/>
      <c r="Z5389" s="762"/>
      <c r="AA5389" s="150"/>
      <c r="AB5389" s="150">
        <v>36</v>
      </c>
      <c r="AC5389" s="150">
        <v>2.2000000000000001E-3</v>
      </c>
      <c r="AD5389" s="150">
        <v>11.4</v>
      </c>
      <c r="AE5389" s="150">
        <v>0.46</v>
      </c>
      <c r="AF5389" s="223">
        <f t="shared" si="30"/>
        <v>5.2440000000000007</v>
      </c>
      <c r="AG5389" s="223">
        <f t="shared" si="29"/>
        <v>0.44431731502669713</v>
      </c>
      <c r="AH5389" s="346"/>
      <c r="AI5389" s="427"/>
      <c r="AJ5389" s="480"/>
      <c r="AK5389" s="427"/>
      <c r="AU5389" s="218"/>
      <c r="AV5389" s="218"/>
      <c r="AW5389" s="218"/>
      <c r="AX5389" s="218"/>
      <c r="AY5389" s="218"/>
      <c r="AZ5389" s="427"/>
      <c r="BA5389" s="427"/>
      <c r="BB5389" s="427"/>
      <c r="BI5389" s="427"/>
      <c r="BJ5389" s="427"/>
      <c r="BK5389" s="427"/>
      <c r="BL5389" s="427"/>
      <c r="BM5389" s="427"/>
      <c r="BN5389" s="427"/>
      <c r="BO5389" s="427"/>
      <c r="BP5389" s="427"/>
      <c r="BQ5389" s="427"/>
      <c r="BR5389" s="427"/>
      <c r="BS5389" s="427"/>
      <c r="BT5389" s="427"/>
      <c r="BU5389" s="427"/>
      <c r="BV5389" s="427"/>
      <c r="BW5389" s="427"/>
      <c r="BX5389" s="427"/>
      <c r="BY5389" s="427"/>
      <c r="BZ5389" s="427"/>
    </row>
    <row r="5390" spans="2:78" s="152" customFormat="1" x14ac:dyDescent="0.2">
      <c r="B5390" s="683"/>
      <c r="C5390" s="683"/>
      <c r="D5390" s="698"/>
      <c r="E5390" s="215"/>
      <c r="F5390" s="215"/>
      <c r="G5390" s="427"/>
      <c r="H5390" s="427"/>
      <c r="I5390" s="427"/>
      <c r="J5390" s="427"/>
      <c r="K5390" s="427"/>
      <c r="L5390" s="653"/>
      <c r="M5390" s="666"/>
      <c r="N5390" s="600">
        <v>2.16</v>
      </c>
      <c r="O5390" s="608">
        <v>5.6800000000000002E-3</v>
      </c>
      <c r="P5390" s="782"/>
      <c r="Q5390" s="764"/>
      <c r="R5390" s="764"/>
      <c r="S5390" s="764"/>
      <c r="T5390" s="764"/>
      <c r="U5390" s="764"/>
      <c r="V5390" s="764"/>
      <c r="W5390" s="764"/>
      <c r="X5390" s="764"/>
      <c r="Y5390" s="768"/>
      <c r="Z5390" s="762"/>
      <c r="AA5390" s="150"/>
      <c r="AB5390" s="150">
        <v>37</v>
      </c>
      <c r="AC5390" s="150">
        <v>2.0999999999999999E-3</v>
      </c>
      <c r="AD5390" s="150">
        <v>11.36</v>
      </c>
      <c r="AE5390" s="150">
        <v>0.44500000000000001</v>
      </c>
      <c r="AF5390" s="223">
        <f t="shared" si="30"/>
        <v>5.0552000000000001</v>
      </c>
      <c r="AG5390" s="223">
        <f t="shared" si="29"/>
        <v>0.42728279791106188</v>
      </c>
      <c r="AH5390" s="346"/>
      <c r="AI5390" s="427"/>
      <c r="AJ5390" s="480"/>
      <c r="AK5390" s="427"/>
      <c r="AU5390" s="218"/>
      <c r="AV5390" s="218"/>
      <c r="AW5390" s="218"/>
      <c r="AX5390" s="218"/>
      <c r="AY5390" s="218"/>
      <c r="AZ5390" s="427"/>
      <c r="BA5390" s="427"/>
      <c r="BB5390" s="427"/>
      <c r="BI5390" s="427"/>
      <c r="BJ5390" s="427"/>
      <c r="BK5390" s="427"/>
      <c r="BL5390" s="427"/>
      <c r="BM5390" s="427"/>
      <c r="BN5390" s="427"/>
      <c r="BO5390" s="427"/>
      <c r="BP5390" s="427"/>
      <c r="BQ5390" s="427"/>
      <c r="BR5390" s="427"/>
      <c r="BS5390" s="427"/>
      <c r="BT5390" s="427"/>
      <c r="BU5390" s="427"/>
      <c r="BV5390" s="427"/>
      <c r="BW5390" s="427"/>
      <c r="BX5390" s="427"/>
      <c r="BY5390" s="427"/>
      <c r="BZ5390" s="427"/>
    </row>
    <row r="5391" spans="2:78" s="152" customFormat="1" x14ac:dyDescent="0.2">
      <c r="B5391" s="683"/>
      <c r="C5391" s="683"/>
      <c r="D5391" s="698"/>
      <c r="E5391" s="215"/>
      <c r="F5391" s="215"/>
      <c r="G5391" s="427"/>
      <c r="H5391" s="427"/>
      <c r="I5391" s="427"/>
      <c r="J5391" s="427"/>
      <c r="K5391" s="427"/>
      <c r="L5391" s="653"/>
      <c r="M5391" s="666"/>
      <c r="N5391" s="600">
        <v>11.62</v>
      </c>
      <c r="O5391" s="608">
        <v>6.3357000000000011E-2</v>
      </c>
      <c r="P5391" s="782"/>
      <c r="Q5391" s="764"/>
      <c r="R5391" s="764"/>
      <c r="S5391" s="764"/>
      <c r="T5391" s="764"/>
      <c r="U5391" s="764"/>
      <c r="V5391" s="764"/>
      <c r="W5391" s="764"/>
      <c r="X5391" s="764"/>
      <c r="Y5391" s="768"/>
      <c r="Z5391" s="762"/>
      <c r="AA5391" s="150"/>
      <c r="AB5391" s="150">
        <v>38</v>
      </c>
      <c r="AC5391" s="150">
        <v>2.3999999999999998E-3</v>
      </c>
      <c r="AD5391" s="150">
        <v>12.93</v>
      </c>
      <c r="AE5391" s="150">
        <v>0.92700000000000005</v>
      </c>
      <c r="AF5391" s="223">
        <f t="shared" si="30"/>
        <v>11.98611</v>
      </c>
      <c r="AG5391" s="223">
        <f t="shared" si="29"/>
        <v>0.9694554780491752</v>
      </c>
      <c r="AH5391" s="346"/>
      <c r="AI5391" s="427"/>
      <c r="AJ5391" s="480"/>
      <c r="AK5391" s="427"/>
      <c r="AU5391" s="218"/>
      <c r="AV5391" s="218"/>
      <c r="AW5391" s="218"/>
      <c r="AX5391" s="218"/>
      <c r="AY5391" s="218"/>
      <c r="AZ5391" s="427"/>
      <c r="BA5391" s="427"/>
      <c r="BB5391" s="427"/>
      <c r="BI5391" s="427"/>
      <c r="BJ5391" s="427"/>
      <c r="BK5391" s="427"/>
      <c r="BL5391" s="427"/>
      <c r="BM5391" s="427"/>
      <c r="BN5391" s="427"/>
      <c r="BO5391" s="427"/>
      <c r="BP5391" s="427"/>
      <c r="BQ5391" s="427"/>
      <c r="BR5391" s="427"/>
      <c r="BS5391" s="427"/>
      <c r="BT5391" s="427"/>
      <c r="BU5391" s="427"/>
      <c r="BV5391" s="427"/>
      <c r="BW5391" s="427"/>
      <c r="BX5391" s="427"/>
      <c r="BY5391" s="427"/>
      <c r="BZ5391" s="427"/>
    </row>
    <row r="5392" spans="2:78" s="152" customFormat="1" x14ac:dyDescent="0.2">
      <c r="B5392" s="683"/>
      <c r="C5392" s="683"/>
      <c r="D5392" s="698"/>
      <c r="E5392" s="215"/>
      <c r="F5392" s="215"/>
      <c r="G5392" s="427"/>
      <c r="H5392" s="427"/>
      <c r="I5392" s="427"/>
      <c r="J5392" s="427"/>
      <c r="K5392" s="427"/>
      <c r="L5392" s="653"/>
      <c r="M5392" s="666"/>
      <c r="N5392" s="600">
        <v>12.27</v>
      </c>
      <c r="O5392" s="608">
        <v>0.18133200000000002</v>
      </c>
      <c r="P5392" s="782"/>
      <c r="Q5392" s="764"/>
      <c r="R5392" s="764"/>
      <c r="S5392" s="764"/>
      <c r="T5392" s="764"/>
      <c r="U5392" s="764"/>
      <c r="V5392" s="764"/>
      <c r="W5392" s="764"/>
      <c r="X5392" s="764"/>
      <c r="Y5392" s="768"/>
      <c r="Z5392" s="762"/>
      <c r="AA5392" s="150"/>
      <c r="AB5392" s="150">
        <v>39</v>
      </c>
      <c r="AC5392" s="150">
        <v>2.5000000000000001E-3</v>
      </c>
      <c r="AD5392" s="150">
        <v>13.14</v>
      </c>
      <c r="AE5392" s="150">
        <v>0.94899999999999995</v>
      </c>
      <c r="AF5392" s="223">
        <f t="shared" si="30"/>
        <v>12.469860000000001</v>
      </c>
      <c r="AG5392" s="223">
        <f t="shared" si="29"/>
        <v>0.98397255462370858</v>
      </c>
      <c r="AH5392" s="346"/>
      <c r="AI5392" s="427"/>
      <c r="AJ5392" s="480"/>
      <c r="AK5392" s="427"/>
      <c r="AU5392" s="218"/>
      <c r="AV5392" s="218"/>
      <c r="AW5392" s="218"/>
      <c r="AX5392" s="218"/>
      <c r="AY5392" s="218"/>
      <c r="AZ5392" s="427"/>
      <c r="BA5392" s="427"/>
      <c r="BB5392" s="427"/>
      <c r="BI5392" s="427"/>
      <c r="BJ5392" s="427"/>
      <c r="BK5392" s="427"/>
      <c r="BL5392" s="427"/>
      <c r="BM5392" s="427"/>
      <c r="BN5392" s="427"/>
      <c r="BO5392" s="427"/>
      <c r="BP5392" s="427"/>
      <c r="BQ5392" s="427"/>
      <c r="BR5392" s="427"/>
      <c r="BS5392" s="427"/>
      <c r="BT5392" s="427"/>
      <c r="BU5392" s="427"/>
      <c r="BV5392" s="427"/>
      <c r="BW5392" s="427"/>
      <c r="BX5392" s="427"/>
      <c r="BY5392" s="427"/>
      <c r="BZ5392" s="427"/>
    </row>
    <row r="5393" spans="2:78" s="152" customFormat="1" x14ac:dyDescent="0.2">
      <c r="B5393" s="683"/>
      <c r="C5393" s="683"/>
      <c r="D5393" s="698"/>
      <c r="E5393" s="215"/>
      <c r="F5393" s="215"/>
      <c r="G5393" s="427"/>
      <c r="H5393" s="427"/>
      <c r="I5393" s="427"/>
      <c r="J5393" s="427"/>
      <c r="K5393" s="427"/>
      <c r="L5393" s="653"/>
      <c r="M5393" s="666"/>
      <c r="N5393" s="600">
        <v>12.52</v>
      </c>
      <c r="O5393" s="608">
        <v>0.25475999999999999</v>
      </c>
      <c r="P5393" s="782"/>
      <c r="Q5393" s="764"/>
      <c r="R5393" s="764"/>
      <c r="S5393" s="764"/>
      <c r="T5393" s="764"/>
      <c r="U5393" s="764"/>
      <c r="V5393" s="764"/>
      <c r="W5393" s="764"/>
      <c r="X5393" s="764"/>
      <c r="Y5393" s="768"/>
      <c r="Z5393" s="762"/>
      <c r="AA5393" s="150"/>
      <c r="AB5393" s="150">
        <v>40</v>
      </c>
      <c r="AC5393" s="150">
        <v>2.5999999999999999E-3</v>
      </c>
      <c r="AD5393" s="150">
        <v>13.2</v>
      </c>
      <c r="AE5393" s="150">
        <v>0.95699999999999996</v>
      </c>
      <c r="AF5393" s="223">
        <f t="shared" si="30"/>
        <v>12.632399999999999</v>
      </c>
      <c r="AG5393" s="223">
        <f t="shared" si="29"/>
        <v>0.9911022450207404</v>
      </c>
      <c r="AH5393" s="346"/>
      <c r="AI5393" s="427"/>
      <c r="AJ5393" s="480"/>
      <c r="AK5393" s="427"/>
      <c r="AU5393" s="218"/>
      <c r="AV5393" s="218"/>
      <c r="AW5393" s="218"/>
      <c r="AX5393" s="218"/>
      <c r="AY5393" s="218"/>
      <c r="AZ5393" s="427"/>
      <c r="BA5393" s="427"/>
      <c r="BB5393" s="427"/>
      <c r="BI5393" s="427"/>
      <c r="BJ5393" s="427"/>
      <c r="BK5393" s="427"/>
      <c r="BL5393" s="427"/>
      <c r="BM5393" s="427"/>
      <c r="BN5393" s="427"/>
      <c r="BO5393" s="427"/>
      <c r="BP5393" s="427"/>
      <c r="BQ5393" s="427"/>
      <c r="BR5393" s="427"/>
      <c r="BS5393" s="427"/>
      <c r="BT5393" s="427"/>
      <c r="BU5393" s="427"/>
      <c r="BV5393" s="427"/>
      <c r="BW5393" s="427"/>
      <c r="BX5393" s="427"/>
      <c r="BY5393" s="427"/>
      <c r="BZ5393" s="427"/>
    </row>
    <row r="5394" spans="2:78" s="152" customFormat="1" x14ac:dyDescent="0.2">
      <c r="B5394" s="683"/>
      <c r="C5394" s="683"/>
      <c r="D5394" s="698"/>
      <c r="E5394" s="215"/>
      <c r="F5394" s="215"/>
      <c r="G5394" s="427"/>
      <c r="H5394" s="427"/>
      <c r="I5394" s="427"/>
      <c r="J5394" s="427"/>
      <c r="K5394" s="427"/>
      <c r="L5394" s="653"/>
      <c r="M5394" s="666"/>
      <c r="N5394" s="600">
        <v>12.13</v>
      </c>
      <c r="O5394" s="608">
        <v>9.4823999999999992E-2</v>
      </c>
      <c r="P5394" s="782"/>
      <c r="Q5394" s="764"/>
      <c r="R5394" s="764"/>
      <c r="S5394" s="764"/>
      <c r="T5394" s="764"/>
      <c r="U5394" s="764"/>
      <c r="V5394" s="764"/>
      <c r="W5394" s="764"/>
      <c r="X5394" s="764"/>
      <c r="Y5394" s="768"/>
      <c r="Z5394" s="762"/>
      <c r="AA5394" s="150"/>
      <c r="AB5394" s="150">
        <v>41</v>
      </c>
      <c r="AC5394" s="150">
        <v>2.5999999999999999E-3</v>
      </c>
      <c r="AD5394" s="150">
        <v>13.17</v>
      </c>
      <c r="AE5394" s="150">
        <v>0.94399999999999995</v>
      </c>
      <c r="AF5394" s="223">
        <f t="shared" si="30"/>
        <v>12.43248</v>
      </c>
      <c r="AG5394" s="223">
        <f t="shared" si="29"/>
        <v>0.97567018004452855</v>
      </c>
      <c r="AH5394" s="346"/>
      <c r="AI5394" s="427"/>
      <c r="AJ5394" s="480"/>
      <c r="AK5394" s="427"/>
      <c r="AU5394" s="218"/>
      <c r="AV5394" s="218"/>
      <c r="AW5394" s="218"/>
      <c r="AX5394" s="218"/>
      <c r="AY5394" s="218"/>
      <c r="AZ5394" s="427"/>
      <c r="BA5394" s="427"/>
      <c r="BB5394" s="427"/>
      <c r="BI5394" s="427"/>
      <c r="BJ5394" s="427"/>
      <c r="BK5394" s="427"/>
      <c r="BL5394" s="427"/>
      <c r="BM5394" s="427"/>
      <c r="BN5394" s="427"/>
      <c r="BO5394" s="427"/>
      <c r="BP5394" s="427"/>
      <c r="BQ5394" s="427"/>
      <c r="BR5394" s="427"/>
      <c r="BS5394" s="427"/>
      <c r="BT5394" s="427"/>
      <c r="BU5394" s="427"/>
      <c r="BV5394" s="427"/>
      <c r="BW5394" s="427"/>
      <c r="BX5394" s="427"/>
      <c r="BY5394" s="427"/>
      <c r="BZ5394" s="427"/>
    </row>
    <row r="5395" spans="2:78" s="152" customFormat="1" x14ac:dyDescent="0.2">
      <c r="B5395" s="683"/>
      <c r="C5395" s="683"/>
      <c r="D5395" s="698"/>
      <c r="E5395" s="215"/>
      <c r="F5395" s="215"/>
      <c r="G5395" s="427"/>
      <c r="H5395" s="427"/>
      <c r="I5395" s="427"/>
      <c r="J5395" s="427"/>
      <c r="K5395" s="427"/>
      <c r="L5395" s="653"/>
      <c r="M5395" s="666"/>
      <c r="N5395" s="600">
        <v>11.12</v>
      </c>
      <c r="O5395" s="608">
        <v>0.11708999999999999</v>
      </c>
      <c r="P5395" s="782"/>
      <c r="Q5395" s="764"/>
      <c r="R5395" s="764"/>
      <c r="S5395" s="764"/>
      <c r="T5395" s="764"/>
      <c r="U5395" s="764"/>
      <c r="V5395" s="764"/>
      <c r="W5395" s="764"/>
      <c r="X5395" s="764"/>
      <c r="Y5395" s="768"/>
      <c r="Z5395" s="762"/>
      <c r="AA5395" s="150"/>
      <c r="AB5395" s="150">
        <v>42</v>
      </c>
      <c r="AC5395" s="150">
        <v>2.5000000000000001E-3</v>
      </c>
      <c r="AD5395" s="150">
        <v>13.01</v>
      </c>
      <c r="AE5395" s="150">
        <v>0.90900000000000003</v>
      </c>
      <c r="AF5395" s="223">
        <f t="shared" si="30"/>
        <v>11.826090000000001</v>
      </c>
      <c r="AG5395" s="223">
        <f t="shared" si="29"/>
        <v>0.94029387565966427</v>
      </c>
      <c r="AH5395" s="346"/>
      <c r="AI5395" s="427"/>
      <c r="AJ5395" s="480"/>
      <c r="AK5395" s="427"/>
      <c r="AU5395" s="218"/>
      <c r="AV5395" s="218"/>
      <c r="AW5395" s="218"/>
      <c r="AX5395" s="218"/>
      <c r="AY5395" s="218"/>
      <c r="AZ5395" s="427"/>
      <c r="BA5395" s="427"/>
      <c r="BB5395" s="427"/>
      <c r="BI5395" s="427"/>
      <c r="BJ5395" s="427"/>
      <c r="BK5395" s="427"/>
      <c r="BL5395" s="427"/>
      <c r="BM5395" s="427"/>
      <c r="BN5395" s="427"/>
      <c r="BO5395" s="427"/>
      <c r="BP5395" s="427"/>
      <c r="BQ5395" s="427"/>
      <c r="BR5395" s="427"/>
      <c r="BS5395" s="427"/>
      <c r="BT5395" s="427"/>
      <c r="BU5395" s="427"/>
      <c r="BV5395" s="427"/>
      <c r="BW5395" s="427"/>
      <c r="BX5395" s="427"/>
      <c r="BY5395" s="427"/>
      <c r="BZ5395" s="427"/>
    </row>
    <row r="5396" spans="2:78" s="152" customFormat="1" x14ac:dyDescent="0.2">
      <c r="B5396" s="683"/>
      <c r="C5396" s="683"/>
      <c r="D5396" s="698"/>
      <c r="E5396" s="215"/>
      <c r="F5396" s="215"/>
      <c r="G5396" s="427"/>
      <c r="H5396" s="427"/>
      <c r="I5396" s="427"/>
      <c r="J5396" s="427"/>
      <c r="K5396" s="427"/>
      <c r="L5396" s="653"/>
      <c r="M5396" s="666"/>
      <c r="N5396" s="600">
        <v>9.76</v>
      </c>
      <c r="O5396" s="608">
        <v>0.19808999999999999</v>
      </c>
      <c r="P5396" s="782"/>
      <c r="Q5396" s="764"/>
      <c r="R5396" s="764"/>
      <c r="S5396" s="764"/>
      <c r="T5396" s="764"/>
      <c r="U5396" s="764"/>
      <c r="V5396" s="764"/>
      <c r="W5396" s="764"/>
      <c r="X5396" s="764"/>
      <c r="Y5396" s="768"/>
      <c r="Z5396" s="762"/>
      <c r="AA5396" s="150"/>
      <c r="AB5396" s="150">
        <v>43</v>
      </c>
      <c r="AC5396" s="150">
        <v>2.3999999999999998E-3</v>
      </c>
      <c r="AD5396" s="150">
        <v>12.78</v>
      </c>
      <c r="AE5396" s="150">
        <v>0.85899999999999999</v>
      </c>
      <c r="AF5396" s="223">
        <f t="shared" si="30"/>
        <v>10.978019999999999</v>
      </c>
      <c r="AG5396" s="223">
        <f t="shared" si="29"/>
        <v>0.88904920923809583</v>
      </c>
      <c r="AH5396" s="346"/>
      <c r="AI5396" s="427"/>
      <c r="AJ5396" s="480"/>
      <c r="AK5396" s="427"/>
      <c r="AU5396" s="218"/>
      <c r="AV5396" s="218"/>
      <c r="AW5396" s="218"/>
      <c r="AX5396" s="218"/>
      <c r="AY5396" s="218"/>
      <c r="AZ5396" s="427"/>
      <c r="BA5396" s="427"/>
      <c r="BB5396" s="427"/>
      <c r="BI5396" s="427"/>
      <c r="BJ5396" s="427"/>
      <c r="BK5396" s="427"/>
      <c r="BL5396" s="427"/>
      <c r="BM5396" s="427"/>
      <c r="BN5396" s="427"/>
      <c r="BO5396" s="427"/>
      <c r="BP5396" s="427"/>
      <c r="BQ5396" s="427"/>
      <c r="BR5396" s="427"/>
      <c r="BS5396" s="427"/>
      <c r="BT5396" s="427"/>
      <c r="BU5396" s="427"/>
      <c r="BV5396" s="427"/>
      <c r="BW5396" s="427"/>
      <c r="BX5396" s="427"/>
      <c r="BY5396" s="427"/>
      <c r="BZ5396" s="427"/>
    </row>
    <row r="5397" spans="2:78" s="152" customFormat="1" x14ac:dyDescent="0.2">
      <c r="B5397" s="683"/>
      <c r="C5397" s="683"/>
      <c r="D5397" s="698"/>
      <c r="E5397" s="215"/>
      <c r="F5397" s="215"/>
      <c r="G5397" s="427"/>
      <c r="H5397" s="427"/>
      <c r="I5397" s="427"/>
      <c r="J5397" s="427"/>
      <c r="K5397" s="427"/>
      <c r="L5397" s="653"/>
      <c r="M5397" s="666"/>
      <c r="N5397" s="600">
        <v>8.5299999999999994</v>
      </c>
      <c r="O5397" s="608">
        <v>3.2733999999999999E-2</v>
      </c>
      <c r="P5397" s="782"/>
      <c r="Q5397" s="764"/>
      <c r="R5397" s="764"/>
      <c r="S5397" s="764"/>
      <c r="T5397" s="764"/>
      <c r="U5397" s="764"/>
      <c r="V5397" s="764"/>
      <c r="W5397" s="764"/>
      <c r="X5397" s="764"/>
      <c r="Y5397" s="768"/>
      <c r="Z5397" s="762"/>
      <c r="AA5397" s="150"/>
      <c r="AB5397" s="150">
        <v>44</v>
      </c>
      <c r="AC5397" s="150">
        <v>2.3E-3</v>
      </c>
      <c r="AD5397" s="150">
        <v>12.59</v>
      </c>
      <c r="AE5397" s="150">
        <v>0.81</v>
      </c>
      <c r="AF5397" s="223">
        <f t="shared" si="30"/>
        <v>10.197900000000001</v>
      </c>
      <c r="AG5397" s="223">
        <f t="shared" si="29"/>
        <v>0.83644671942262616</v>
      </c>
      <c r="AH5397" s="346"/>
      <c r="AI5397" s="427"/>
      <c r="AJ5397" s="480"/>
      <c r="AK5397" s="427"/>
      <c r="AU5397" s="218"/>
      <c r="AV5397" s="218"/>
      <c r="AW5397" s="218"/>
      <c r="AX5397" s="218"/>
      <c r="AY5397" s="218"/>
      <c r="AZ5397" s="427"/>
      <c r="BA5397" s="427"/>
      <c r="BB5397" s="427"/>
      <c r="BI5397" s="427"/>
      <c r="BJ5397" s="427"/>
      <c r="BK5397" s="427"/>
      <c r="BL5397" s="427"/>
      <c r="BM5397" s="427"/>
      <c r="BN5397" s="427"/>
      <c r="BO5397" s="427"/>
      <c r="BP5397" s="427"/>
      <c r="BQ5397" s="427"/>
      <c r="BR5397" s="427"/>
      <c r="BS5397" s="427"/>
      <c r="BT5397" s="427"/>
      <c r="BU5397" s="427"/>
      <c r="BV5397" s="427"/>
      <c r="BW5397" s="427"/>
      <c r="BX5397" s="427"/>
      <c r="BY5397" s="427"/>
      <c r="BZ5397" s="427"/>
    </row>
    <row r="5398" spans="2:78" s="152" customFormat="1" x14ac:dyDescent="0.2">
      <c r="B5398" s="683"/>
      <c r="C5398" s="683"/>
      <c r="D5398" s="698"/>
      <c r="E5398" s="215"/>
      <c r="F5398" s="215"/>
      <c r="G5398" s="427"/>
      <c r="H5398" s="427"/>
      <c r="I5398" s="427"/>
      <c r="J5398" s="427"/>
      <c r="K5398" s="427"/>
      <c r="L5398" s="653"/>
      <c r="M5398" s="666"/>
      <c r="N5398" s="600">
        <v>7.35</v>
      </c>
      <c r="O5398" s="608">
        <v>5.0552999999999994E-2</v>
      </c>
      <c r="P5398" s="782"/>
      <c r="Q5398" s="764"/>
      <c r="R5398" s="764"/>
      <c r="S5398" s="764"/>
      <c r="T5398" s="764"/>
      <c r="U5398" s="764"/>
      <c r="V5398" s="764"/>
      <c r="W5398" s="764"/>
      <c r="X5398" s="764"/>
      <c r="Y5398" s="768"/>
      <c r="Z5398" s="762"/>
      <c r="AA5398" s="150"/>
      <c r="AB5398" s="150">
        <v>45</v>
      </c>
      <c r="AC5398" s="150">
        <v>2.3999999999999998E-3</v>
      </c>
      <c r="AD5398" s="150">
        <v>12.33</v>
      </c>
      <c r="AE5398" s="150">
        <v>0.75900000000000001</v>
      </c>
      <c r="AF5398" s="223">
        <f t="shared" si="30"/>
        <v>9.3584700000000005</v>
      </c>
      <c r="AG5398" s="223">
        <f t="shared" si="29"/>
        <v>0.7853847904625435</v>
      </c>
      <c r="AH5398" s="346"/>
      <c r="AI5398" s="427"/>
      <c r="AJ5398" s="480"/>
      <c r="AK5398" s="427"/>
      <c r="AU5398" s="218"/>
      <c r="AV5398" s="218"/>
      <c r="AW5398" s="218"/>
      <c r="AX5398" s="218"/>
      <c r="AY5398" s="218"/>
      <c r="AZ5398" s="427"/>
      <c r="BA5398" s="427"/>
      <c r="BB5398" s="427"/>
      <c r="BI5398" s="427"/>
      <c r="BJ5398" s="427"/>
      <c r="BK5398" s="427"/>
      <c r="BL5398" s="427"/>
      <c r="BM5398" s="427"/>
      <c r="BN5398" s="427"/>
      <c r="BO5398" s="427"/>
      <c r="BP5398" s="427"/>
      <c r="BQ5398" s="427"/>
      <c r="BR5398" s="427"/>
      <c r="BS5398" s="427"/>
      <c r="BT5398" s="427"/>
      <c r="BU5398" s="427"/>
      <c r="BV5398" s="427"/>
      <c r="BW5398" s="427"/>
      <c r="BX5398" s="427"/>
      <c r="BY5398" s="427"/>
      <c r="BZ5398" s="427"/>
    </row>
    <row r="5399" spans="2:78" s="152" customFormat="1" x14ac:dyDescent="0.2">
      <c r="B5399" s="683"/>
      <c r="C5399" s="683"/>
      <c r="D5399" s="698"/>
      <c r="E5399" s="215"/>
      <c r="F5399" s="215"/>
      <c r="G5399" s="427"/>
      <c r="H5399" s="427"/>
      <c r="I5399" s="427"/>
      <c r="J5399" s="427"/>
      <c r="K5399" s="427"/>
      <c r="L5399" s="653"/>
      <c r="M5399" s="666"/>
      <c r="N5399" s="600">
        <v>6.37</v>
      </c>
      <c r="O5399" s="608">
        <v>0.20567299999999997</v>
      </c>
      <c r="P5399" s="782"/>
      <c r="Q5399" s="764"/>
      <c r="R5399" s="764"/>
      <c r="S5399" s="764"/>
      <c r="T5399" s="764"/>
      <c r="U5399" s="764"/>
      <c r="V5399" s="764"/>
      <c r="W5399" s="764"/>
      <c r="X5399" s="764"/>
      <c r="Y5399" s="768"/>
      <c r="Z5399" s="762"/>
      <c r="AA5399" s="150"/>
      <c r="AB5399" s="150">
        <v>46</v>
      </c>
      <c r="AC5399" s="150">
        <v>2.2000000000000001E-3</v>
      </c>
      <c r="AD5399" s="150">
        <v>12.17</v>
      </c>
      <c r="AE5399" s="150">
        <v>0.71299999999999997</v>
      </c>
      <c r="AF5399" s="223">
        <f t="shared" si="30"/>
        <v>8.6772099999999988</v>
      </c>
      <c r="AG5399" s="223">
        <f t="shared" si="29"/>
        <v>0.73410693068394117</v>
      </c>
      <c r="AH5399" s="346"/>
      <c r="AI5399" s="427"/>
      <c r="AJ5399" s="480"/>
      <c r="AK5399" s="427"/>
      <c r="AU5399" s="218"/>
      <c r="AV5399" s="218"/>
      <c r="AW5399" s="218"/>
      <c r="AX5399" s="218"/>
      <c r="AY5399" s="218"/>
      <c r="AZ5399" s="427"/>
      <c r="BA5399" s="427"/>
      <c r="BB5399" s="427"/>
      <c r="BI5399" s="427"/>
      <c r="BJ5399" s="427"/>
      <c r="BK5399" s="427"/>
      <c r="BL5399" s="427"/>
      <c r="BM5399" s="427"/>
      <c r="BN5399" s="427"/>
      <c r="BO5399" s="427"/>
      <c r="BP5399" s="427"/>
      <c r="BQ5399" s="427"/>
      <c r="BR5399" s="427"/>
      <c r="BS5399" s="427"/>
      <c r="BT5399" s="427"/>
      <c r="BU5399" s="427"/>
      <c r="BV5399" s="427"/>
      <c r="BW5399" s="427"/>
      <c r="BX5399" s="427"/>
      <c r="BY5399" s="427"/>
      <c r="BZ5399" s="427"/>
    </row>
    <row r="5400" spans="2:78" s="152" customFormat="1" x14ac:dyDescent="0.2">
      <c r="B5400" s="683"/>
      <c r="C5400" s="683"/>
      <c r="D5400" s="698"/>
      <c r="E5400" s="215"/>
      <c r="F5400" s="215"/>
      <c r="G5400" s="427"/>
      <c r="H5400" s="427"/>
      <c r="I5400" s="427"/>
      <c r="J5400" s="427"/>
      <c r="K5400" s="427"/>
      <c r="L5400" s="653"/>
      <c r="M5400" s="666"/>
      <c r="N5400" s="600">
        <v>6.88</v>
      </c>
      <c r="O5400" s="608">
        <v>1.1079E-2</v>
      </c>
      <c r="P5400" s="782"/>
      <c r="Q5400" s="764"/>
      <c r="R5400" s="764"/>
      <c r="S5400" s="764"/>
      <c r="T5400" s="764"/>
      <c r="U5400" s="764"/>
      <c r="V5400" s="764"/>
      <c r="W5400" s="764"/>
      <c r="X5400" s="764"/>
      <c r="Y5400" s="768"/>
      <c r="Z5400" s="762"/>
      <c r="AA5400" s="150"/>
      <c r="AB5400" s="150">
        <v>47</v>
      </c>
      <c r="AC5400" s="150">
        <v>2.3999999999999998E-3</v>
      </c>
      <c r="AD5400" s="150">
        <v>12.31</v>
      </c>
      <c r="AE5400" s="150">
        <v>0.73799999999999999</v>
      </c>
      <c r="AF5400" s="223">
        <f t="shared" si="30"/>
        <v>9.0847800000000003</v>
      </c>
      <c r="AG5400" s="223">
        <f t="shared" si="29"/>
        <v>0.75731057879222163</v>
      </c>
      <c r="AH5400" s="346"/>
      <c r="AI5400" s="427"/>
      <c r="AJ5400" s="480"/>
      <c r="AK5400" s="427"/>
      <c r="AU5400" s="218"/>
      <c r="AV5400" s="218"/>
      <c r="AW5400" s="218"/>
      <c r="AX5400" s="218"/>
      <c r="AY5400" s="218"/>
      <c r="AZ5400" s="427"/>
      <c r="BA5400" s="427"/>
      <c r="BB5400" s="427"/>
      <c r="BI5400" s="427"/>
      <c r="BJ5400" s="427"/>
      <c r="BK5400" s="427"/>
      <c r="BL5400" s="427"/>
      <c r="BM5400" s="427"/>
      <c r="BN5400" s="427"/>
      <c r="BO5400" s="427"/>
      <c r="BP5400" s="427"/>
      <c r="BQ5400" s="427"/>
      <c r="BR5400" s="427"/>
      <c r="BS5400" s="427"/>
      <c r="BT5400" s="427"/>
      <c r="BU5400" s="427"/>
      <c r="BV5400" s="427"/>
      <c r="BW5400" s="427"/>
      <c r="BX5400" s="427"/>
      <c r="BY5400" s="427"/>
      <c r="BZ5400" s="427"/>
    </row>
    <row r="5401" spans="2:78" s="152" customFormat="1" x14ac:dyDescent="0.2">
      <c r="B5401" s="683"/>
      <c r="C5401" s="683"/>
      <c r="D5401" s="698"/>
      <c r="E5401" s="215"/>
      <c r="F5401" s="215"/>
      <c r="G5401" s="427"/>
      <c r="H5401" s="427"/>
      <c r="I5401" s="427"/>
      <c r="J5401" s="427"/>
      <c r="K5401" s="427"/>
      <c r="L5401" s="653"/>
      <c r="M5401" s="666"/>
      <c r="N5401" s="600">
        <v>6</v>
      </c>
      <c r="O5401" s="608">
        <v>1.2160000000000001E-2</v>
      </c>
      <c r="P5401" s="782"/>
      <c r="Q5401" s="764"/>
      <c r="R5401" s="764"/>
      <c r="S5401" s="764"/>
      <c r="T5401" s="764"/>
      <c r="U5401" s="764"/>
      <c r="V5401" s="764"/>
      <c r="W5401" s="764"/>
      <c r="X5401" s="764"/>
      <c r="Y5401" s="768"/>
      <c r="Z5401" s="762"/>
      <c r="AA5401" s="150"/>
      <c r="AB5401" s="150">
        <v>48</v>
      </c>
      <c r="AC5401" s="150">
        <v>2.3E-3</v>
      </c>
      <c r="AD5401" s="150">
        <v>12.16</v>
      </c>
      <c r="AE5401" s="150">
        <v>0.69499999999999995</v>
      </c>
      <c r="AF5401" s="223">
        <f t="shared" si="30"/>
        <v>8.4512</v>
      </c>
      <c r="AG5401" s="223">
        <f t="shared" si="29"/>
        <v>0.70995834911018552</v>
      </c>
      <c r="AH5401" s="346"/>
      <c r="AI5401" s="427"/>
      <c r="AJ5401" s="480"/>
      <c r="AK5401" s="427"/>
      <c r="AU5401" s="218"/>
      <c r="AV5401" s="218"/>
      <c r="AW5401" s="218"/>
      <c r="AX5401" s="218"/>
      <c r="AY5401" s="218"/>
      <c r="AZ5401" s="427"/>
      <c r="BA5401" s="427"/>
      <c r="BB5401" s="427"/>
      <c r="BI5401" s="427"/>
      <c r="BJ5401" s="427"/>
      <c r="BK5401" s="427"/>
      <c r="BL5401" s="427"/>
      <c r="BM5401" s="427"/>
      <c r="BN5401" s="427"/>
      <c r="BO5401" s="427"/>
      <c r="BP5401" s="427"/>
      <c r="BQ5401" s="427"/>
      <c r="BR5401" s="427"/>
      <c r="BS5401" s="427"/>
      <c r="BT5401" s="427"/>
      <c r="BU5401" s="427"/>
      <c r="BV5401" s="427"/>
      <c r="BW5401" s="427"/>
      <c r="BX5401" s="427"/>
      <c r="BY5401" s="427"/>
      <c r="BZ5401" s="427"/>
    </row>
    <row r="5402" spans="2:78" s="152" customFormat="1" x14ac:dyDescent="0.2">
      <c r="B5402" s="683"/>
      <c r="C5402" s="683"/>
      <c r="D5402" s="698"/>
      <c r="E5402" s="215"/>
      <c r="F5402" s="215"/>
      <c r="G5402" s="427"/>
      <c r="H5402" s="427"/>
      <c r="I5402" s="427"/>
      <c r="J5402" s="427"/>
      <c r="K5402" s="427"/>
      <c r="L5402" s="653"/>
      <c r="M5402" s="666"/>
      <c r="N5402" s="600">
        <v>5.53</v>
      </c>
      <c r="O5402" s="608">
        <v>1.8075000000000001E-2</v>
      </c>
      <c r="P5402" s="782"/>
      <c r="Q5402" s="764"/>
      <c r="R5402" s="764"/>
      <c r="S5402" s="764"/>
      <c r="T5402" s="764"/>
      <c r="U5402" s="764"/>
      <c r="V5402" s="764"/>
      <c r="W5402" s="764"/>
      <c r="X5402" s="764"/>
      <c r="Y5402" s="768"/>
      <c r="Z5402" s="762"/>
      <c r="AA5402" s="150"/>
      <c r="AB5402" s="150">
        <v>49</v>
      </c>
      <c r="AC5402" s="150">
        <v>2.2000000000000001E-3</v>
      </c>
      <c r="AD5402" s="150">
        <v>12.05</v>
      </c>
      <c r="AE5402" s="150">
        <v>0.67100000000000004</v>
      </c>
      <c r="AF5402" s="223">
        <f t="shared" si="30"/>
        <v>8.0855500000000013</v>
      </c>
      <c r="AG5402" s="223">
        <f t="shared" si="29"/>
        <v>0.68393615771345173</v>
      </c>
      <c r="AH5402" s="346"/>
      <c r="AI5402" s="427"/>
      <c r="AJ5402" s="480"/>
      <c r="AK5402" s="427"/>
      <c r="AU5402" s="218"/>
      <c r="AV5402" s="218"/>
      <c r="AW5402" s="218"/>
      <c r="AX5402" s="218"/>
      <c r="AY5402" s="218"/>
      <c r="AZ5402" s="427"/>
      <c r="BA5402" s="427"/>
      <c r="BB5402" s="427"/>
      <c r="BI5402" s="427"/>
      <c r="BJ5402" s="427"/>
      <c r="BK5402" s="427"/>
      <c r="BL5402" s="427"/>
      <c r="BM5402" s="427"/>
      <c r="BN5402" s="427"/>
      <c r="BO5402" s="427"/>
      <c r="BP5402" s="427"/>
      <c r="BQ5402" s="427"/>
      <c r="BR5402" s="427"/>
      <c r="BS5402" s="427"/>
      <c r="BT5402" s="427"/>
      <c r="BU5402" s="427"/>
      <c r="BV5402" s="427"/>
      <c r="BW5402" s="427"/>
      <c r="BX5402" s="427"/>
      <c r="BY5402" s="427"/>
      <c r="BZ5402" s="427"/>
    </row>
    <row r="5403" spans="2:78" s="152" customFormat="1" x14ac:dyDescent="0.2">
      <c r="B5403" s="683"/>
      <c r="C5403" s="683"/>
      <c r="D5403" s="698"/>
      <c r="E5403" s="215"/>
      <c r="F5403" s="215"/>
      <c r="G5403" s="427"/>
      <c r="H5403" s="427"/>
      <c r="I5403" s="427"/>
      <c r="J5403" s="427"/>
      <c r="K5403" s="427"/>
      <c r="L5403" s="653"/>
      <c r="M5403" s="666"/>
      <c r="N5403" s="600">
        <v>4.91</v>
      </c>
      <c r="O5403" s="608">
        <v>1.1949999999999999E-2</v>
      </c>
      <c r="P5403" s="782"/>
      <c r="Q5403" s="764"/>
      <c r="R5403" s="764"/>
      <c r="S5403" s="764"/>
      <c r="T5403" s="764"/>
      <c r="U5403" s="764"/>
      <c r="V5403" s="764"/>
      <c r="W5403" s="764"/>
      <c r="X5403" s="764"/>
      <c r="Y5403" s="768"/>
      <c r="Z5403" s="762"/>
      <c r="AA5403" s="150"/>
      <c r="AB5403" s="150">
        <v>50</v>
      </c>
      <c r="AC5403" s="150">
        <v>2.3E-3</v>
      </c>
      <c r="AD5403" s="150">
        <v>11.95</v>
      </c>
      <c r="AE5403" s="150">
        <v>0.63700000000000001</v>
      </c>
      <c r="AF5403" s="223">
        <f t="shared" si="30"/>
        <v>7.6121499999999997</v>
      </c>
      <c r="AG5403" s="223">
        <f t="shared" si="29"/>
        <v>0.64502144597781186</v>
      </c>
      <c r="AH5403" s="346"/>
      <c r="AI5403" s="427"/>
      <c r="AJ5403" s="480"/>
      <c r="AK5403" s="427"/>
      <c r="AU5403" s="218"/>
      <c r="AV5403" s="218"/>
      <c r="AW5403" s="218"/>
      <c r="AX5403" s="218"/>
      <c r="AY5403" s="218"/>
      <c r="AZ5403" s="427"/>
      <c r="BA5403" s="427"/>
      <c r="BB5403" s="427"/>
      <c r="BI5403" s="427"/>
      <c r="BJ5403" s="427"/>
      <c r="BK5403" s="427"/>
      <c r="BL5403" s="427"/>
      <c r="BM5403" s="427"/>
      <c r="BN5403" s="427"/>
      <c r="BO5403" s="427"/>
      <c r="BP5403" s="427"/>
      <c r="BQ5403" s="427"/>
      <c r="BR5403" s="427"/>
      <c r="BS5403" s="427"/>
      <c r="BT5403" s="427"/>
      <c r="BU5403" s="427"/>
      <c r="BV5403" s="427"/>
      <c r="BW5403" s="427"/>
      <c r="BX5403" s="427"/>
      <c r="BY5403" s="427"/>
      <c r="BZ5403" s="427"/>
    </row>
    <row r="5404" spans="2:78" s="152" customFormat="1" x14ac:dyDescent="0.2">
      <c r="B5404" s="683"/>
      <c r="C5404" s="683"/>
      <c r="D5404" s="698"/>
      <c r="E5404" s="215"/>
      <c r="F5404" s="215"/>
      <c r="G5404" s="427"/>
      <c r="H5404" s="427"/>
      <c r="I5404" s="427"/>
      <c r="J5404" s="427"/>
      <c r="K5404" s="427"/>
      <c r="L5404" s="653"/>
      <c r="M5404" s="666"/>
      <c r="N5404" s="600">
        <v>4.9800000000000004</v>
      </c>
      <c r="O5404" s="608">
        <v>1.3002000000000001E-2</v>
      </c>
      <c r="P5404" s="782"/>
      <c r="Q5404" s="764"/>
      <c r="R5404" s="764"/>
      <c r="S5404" s="764"/>
      <c r="T5404" s="764"/>
      <c r="U5404" s="764"/>
      <c r="V5404" s="764"/>
      <c r="W5404" s="764"/>
      <c r="X5404" s="764"/>
      <c r="Y5404" s="768"/>
      <c r="Z5404" s="762"/>
      <c r="AA5404" s="150"/>
      <c r="AB5404" s="150">
        <v>51</v>
      </c>
      <c r="AC5404" s="150">
        <v>1.6000000000000001E-3</v>
      </c>
      <c r="AD5404" s="150">
        <v>11.82</v>
      </c>
      <c r="AE5404" s="150">
        <v>0.64100000000000001</v>
      </c>
      <c r="AF5404" s="223">
        <f t="shared" si="30"/>
        <v>7.5766200000000001</v>
      </c>
      <c r="AG5404" s="223">
        <f t="shared" si="29"/>
        <v>0.65728517465571723</v>
      </c>
      <c r="AH5404" s="346"/>
      <c r="AI5404" s="427"/>
      <c r="AJ5404" s="480"/>
      <c r="AK5404" s="427"/>
      <c r="AU5404" s="218"/>
      <c r="AV5404" s="218"/>
      <c r="AW5404" s="218"/>
      <c r="AX5404" s="218"/>
      <c r="AY5404" s="218"/>
      <c r="AZ5404" s="427"/>
      <c r="BA5404" s="427"/>
      <c r="BB5404" s="427"/>
      <c r="BI5404" s="427"/>
      <c r="BJ5404" s="427"/>
      <c r="BK5404" s="427"/>
      <c r="BL5404" s="427"/>
      <c r="BM5404" s="427"/>
      <c r="BN5404" s="427"/>
      <c r="BO5404" s="427"/>
      <c r="BP5404" s="427"/>
      <c r="BQ5404" s="427"/>
      <c r="BR5404" s="427"/>
      <c r="BS5404" s="427"/>
      <c r="BT5404" s="427"/>
      <c r="BU5404" s="427"/>
      <c r="BV5404" s="427"/>
      <c r="BW5404" s="427"/>
      <c r="BX5404" s="427"/>
      <c r="BY5404" s="427"/>
      <c r="BZ5404" s="427"/>
    </row>
    <row r="5405" spans="2:78" s="152" customFormat="1" x14ac:dyDescent="0.2">
      <c r="B5405" s="683"/>
      <c r="C5405" s="683"/>
      <c r="D5405" s="698"/>
      <c r="E5405" s="215"/>
      <c r="F5405" s="215"/>
      <c r="G5405" s="427"/>
      <c r="H5405" s="427"/>
      <c r="I5405" s="427"/>
      <c r="J5405" s="427"/>
      <c r="K5405" s="427"/>
      <c r="L5405" s="653"/>
      <c r="M5405" s="666"/>
      <c r="N5405" s="600">
        <v>5.24</v>
      </c>
      <c r="O5405" s="608">
        <v>9.5919999999999998E-3</v>
      </c>
      <c r="P5405" s="782"/>
      <c r="Q5405" s="764"/>
      <c r="R5405" s="764"/>
      <c r="S5405" s="764"/>
      <c r="T5405" s="764"/>
      <c r="U5405" s="764"/>
      <c r="V5405" s="764"/>
      <c r="W5405" s="764"/>
      <c r="X5405" s="764"/>
      <c r="Y5405" s="768"/>
      <c r="Z5405" s="762"/>
      <c r="AA5405" s="150"/>
      <c r="AB5405" s="150">
        <v>52</v>
      </c>
      <c r="AC5405" s="150">
        <v>2.2000000000000001E-3</v>
      </c>
      <c r="AD5405" s="150">
        <v>11.99</v>
      </c>
      <c r="AE5405" s="150">
        <v>0.65500000000000003</v>
      </c>
      <c r="AF5405" s="223">
        <f t="shared" si="30"/>
        <v>7.8534500000000005</v>
      </c>
      <c r="AG5405" s="223">
        <f t="shared" si="29"/>
        <v>0.66722268557130937</v>
      </c>
      <c r="AH5405" s="346"/>
      <c r="AI5405" s="427"/>
      <c r="AJ5405" s="480"/>
      <c r="AK5405" s="427"/>
      <c r="AU5405" s="218"/>
      <c r="AV5405" s="218"/>
      <c r="AW5405" s="218"/>
      <c r="AX5405" s="218"/>
      <c r="AY5405" s="218"/>
      <c r="AZ5405" s="427"/>
      <c r="BA5405" s="427"/>
      <c r="BB5405" s="427"/>
      <c r="BI5405" s="427"/>
      <c r="BJ5405" s="427"/>
      <c r="BK5405" s="427"/>
      <c r="BL5405" s="427"/>
      <c r="BM5405" s="427"/>
      <c r="BN5405" s="427"/>
      <c r="BO5405" s="427"/>
      <c r="BP5405" s="427"/>
      <c r="BQ5405" s="427"/>
      <c r="BR5405" s="427"/>
      <c r="BS5405" s="427"/>
      <c r="BT5405" s="427"/>
      <c r="BU5405" s="427"/>
      <c r="BV5405" s="427"/>
      <c r="BW5405" s="427"/>
      <c r="BX5405" s="427"/>
      <c r="BY5405" s="427"/>
      <c r="BZ5405" s="427"/>
    </row>
    <row r="5406" spans="2:78" s="152" customFormat="1" x14ac:dyDescent="0.2">
      <c r="B5406" s="683"/>
      <c r="C5406" s="683"/>
      <c r="D5406" s="698"/>
      <c r="E5406" s="215"/>
      <c r="F5406" s="215"/>
      <c r="G5406" s="427"/>
      <c r="H5406" s="427"/>
      <c r="I5406" s="427"/>
      <c r="J5406" s="427"/>
      <c r="K5406" s="427"/>
      <c r="L5406" s="653"/>
      <c r="M5406" s="666"/>
      <c r="N5406" s="600">
        <v>5.3</v>
      </c>
      <c r="O5406" s="608">
        <v>1.191E-2</v>
      </c>
      <c r="P5406" s="782"/>
      <c r="Q5406" s="764"/>
      <c r="R5406" s="764"/>
      <c r="S5406" s="764"/>
      <c r="T5406" s="764"/>
      <c r="U5406" s="764"/>
      <c r="V5406" s="764"/>
      <c r="W5406" s="764"/>
      <c r="X5406" s="764"/>
      <c r="Y5406" s="768"/>
      <c r="Z5406" s="762"/>
      <c r="AA5406" s="150"/>
      <c r="AB5406" s="150">
        <v>53</v>
      </c>
      <c r="AC5406" s="150">
        <v>1.5E-3</v>
      </c>
      <c r="AD5406" s="150">
        <v>11.91</v>
      </c>
      <c r="AE5406" s="150">
        <v>0.65800000000000003</v>
      </c>
      <c r="AF5406" s="223">
        <f t="shared" si="30"/>
        <v>7.8367800000000001</v>
      </c>
      <c r="AG5406" s="223">
        <f t="shared" si="29"/>
        <v>0.67629817348451782</v>
      </c>
      <c r="AH5406" s="346"/>
      <c r="AI5406" s="427"/>
      <c r="AJ5406" s="480"/>
      <c r="AK5406" s="427"/>
      <c r="AU5406" s="218"/>
      <c r="AV5406" s="218"/>
      <c r="AW5406" s="218"/>
      <c r="AX5406" s="218"/>
      <c r="AY5406" s="218"/>
      <c r="AZ5406" s="427"/>
      <c r="BA5406" s="427"/>
      <c r="BB5406" s="427"/>
      <c r="BI5406" s="427"/>
      <c r="BJ5406" s="427"/>
      <c r="BK5406" s="427"/>
      <c r="BL5406" s="427"/>
      <c r="BM5406" s="427"/>
      <c r="BN5406" s="427"/>
      <c r="BO5406" s="427"/>
      <c r="BP5406" s="427"/>
      <c r="BQ5406" s="427"/>
      <c r="BR5406" s="427"/>
      <c r="BS5406" s="427"/>
      <c r="BT5406" s="427"/>
      <c r="BU5406" s="427"/>
      <c r="BV5406" s="427"/>
      <c r="BW5406" s="427"/>
      <c r="BX5406" s="427"/>
      <c r="BY5406" s="427"/>
      <c r="BZ5406" s="427"/>
    </row>
    <row r="5407" spans="2:78" s="152" customFormat="1" x14ac:dyDescent="0.2">
      <c r="B5407" s="683"/>
      <c r="C5407" s="683"/>
      <c r="D5407" s="698"/>
      <c r="E5407" s="215"/>
      <c r="F5407" s="215"/>
      <c r="G5407" s="427"/>
      <c r="H5407" s="427"/>
      <c r="I5407" s="427"/>
      <c r="J5407" s="427"/>
      <c r="K5407" s="427"/>
      <c r="L5407" s="653"/>
      <c r="M5407" s="666"/>
      <c r="N5407" s="600">
        <v>5.13</v>
      </c>
      <c r="O5407" s="608">
        <v>1.5534999999999998E-2</v>
      </c>
      <c r="P5407" s="782"/>
      <c r="Q5407" s="764"/>
      <c r="R5407" s="764"/>
      <c r="S5407" s="764"/>
      <c r="T5407" s="764"/>
      <c r="U5407" s="764"/>
      <c r="V5407" s="764"/>
      <c r="W5407" s="764"/>
      <c r="X5407" s="764"/>
      <c r="Y5407" s="768"/>
      <c r="Z5407" s="762"/>
      <c r="AA5407" s="150"/>
      <c r="AB5407" s="150">
        <v>54</v>
      </c>
      <c r="AC5407" s="150">
        <v>2.3E-3</v>
      </c>
      <c r="AD5407" s="150">
        <v>11.95</v>
      </c>
      <c r="AE5407" s="150">
        <v>0.64900000000000002</v>
      </c>
      <c r="AF5407" s="223">
        <f t="shared" si="30"/>
        <v>7.7555499999999995</v>
      </c>
      <c r="AG5407" s="223">
        <f t="shared" si="29"/>
        <v>0.66146179187807441</v>
      </c>
      <c r="AH5407" s="346"/>
      <c r="AI5407" s="427"/>
      <c r="AJ5407" s="480"/>
      <c r="AK5407" s="427"/>
      <c r="AU5407" s="218"/>
      <c r="AV5407" s="218"/>
      <c r="AW5407" s="218"/>
      <c r="AX5407" s="218"/>
      <c r="AY5407" s="218"/>
      <c r="AZ5407" s="427"/>
      <c r="BA5407" s="427"/>
      <c r="BB5407" s="427"/>
      <c r="BI5407" s="427"/>
      <c r="BJ5407" s="427"/>
      <c r="BK5407" s="427"/>
      <c r="BL5407" s="427"/>
      <c r="BM5407" s="427"/>
      <c r="BN5407" s="427"/>
      <c r="BO5407" s="427"/>
      <c r="BP5407" s="427"/>
      <c r="BQ5407" s="427"/>
      <c r="BR5407" s="427"/>
      <c r="BS5407" s="427"/>
      <c r="BT5407" s="427"/>
      <c r="BU5407" s="427"/>
      <c r="BV5407" s="427"/>
      <c r="BW5407" s="427"/>
      <c r="BX5407" s="427"/>
      <c r="BY5407" s="427"/>
      <c r="BZ5407" s="427"/>
    </row>
    <row r="5408" spans="2:78" s="152" customFormat="1" x14ac:dyDescent="0.2">
      <c r="B5408" s="683"/>
      <c r="C5408" s="683"/>
      <c r="D5408" s="698"/>
      <c r="E5408" s="215"/>
      <c r="F5408" s="215"/>
      <c r="G5408" s="427"/>
      <c r="H5408" s="427"/>
      <c r="I5408" s="427"/>
      <c r="J5408" s="427"/>
      <c r="K5408" s="427"/>
      <c r="L5408" s="653"/>
      <c r="M5408" s="666"/>
      <c r="N5408" s="600">
        <v>4.54</v>
      </c>
      <c r="O5408" s="608">
        <v>2.0025999999999999E-2</v>
      </c>
      <c r="P5408" s="782"/>
      <c r="Q5408" s="764"/>
      <c r="R5408" s="764"/>
      <c r="S5408" s="764"/>
      <c r="T5408" s="764"/>
      <c r="U5408" s="764"/>
      <c r="V5408" s="764"/>
      <c r="W5408" s="764"/>
      <c r="X5408" s="764"/>
      <c r="Y5408" s="768"/>
      <c r="Z5408" s="762"/>
      <c r="AA5408" s="150"/>
      <c r="AB5408" s="150">
        <v>55</v>
      </c>
      <c r="AC5408" s="150">
        <v>1.6999999999999999E-3</v>
      </c>
      <c r="AD5408" s="150">
        <v>11.78</v>
      </c>
      <c r="AE5408" s="150">
        <v>0.61599999999999999</v>
      </c>
      <c r="AF5408" s="223">
        <f t="shared" si="30"/>
        <v>7.2564799999999998</v>
      </c>
      <c r="AG5408" s="223">
        <f t="shared" si="29"/>
        <v>0.62564769695499745</v>
      </c>
      <c r="AH5408" s="346"/>
      <c r="AI5408" s="427"/>
      <c r="AJ5408" s="480"/>
      <c r="AK5408" s="427"/>
      <c r="AU5408" s="218"/>
      <c r="AV5408" s="218"/>
      <c r="AW5408" s="218"/>
      <c r="AX5408" s="218"/>
      <c r="AY5408" s="218"/>
      <c r="AZ5408" s="427"/>
      <c r="BA5408" s="427"/>
      <c r="BB5408" s="427"/>
      <c r="BI5408" s="427"/>
      <c r="BJ5408" s="427"/>
      <c r="BK5408" s="427"/>
      <c r="BL5408" s="427"/>
      <c r="BM5408" s="427"/>
      <c r="BN5408" s="427"/>
      <c r="BO5408" s="427"/>
      <c r="BP5408" s="427"/>
      <c r="BQ5408" s="427"/>
      <c r="BR5408" s="427"/>
      <c r="BS5408" s="427"/>
      <c r="BT5408" s="427"/>
      <c r="BU5408" s="427"/>
      <c r="BV5408" s="427"/>
      <c r="BW5408" s="427"/>
      <c r="BX5408" s="427"/>
      <c r="BY5408" s="427"/>
      <c r="BZ5408" s="427"/>
    </row>
    <row r="5409" spans="2:78" s="152" customFormat="1" x14ac:dyDescent="0.2">
      <c r="B5409" s="683"/>
      <c r="C5409" s="683"/>
      <c r="D5409" s="698"/>
      <c r="E5409" s="215"/>
      <c r="F5409" s="215"/>
      <c r="G5409" s="427"/>
      <c r="H5409" s="427"/>
      <c r="I5409" s="427"/>
      <c r="J5409" s="427"/>
      <c r="K5409" s="427"/>
      <c r="L5409" s="653"/>
      <c r="M5409" s="666"/>
      <c r="N5409" s="600">
        <v>9.6199999999999992</v>
      </c>
      <c r="O5409" s="608">
        <v>0.224824</v>
      </c>
      <c r="P5409" s="782"/>
      <c r="Q5409" s="764"/>
      <c r="R5409" s="764"/>
      <c r="S5409" s="764"/>
      <c r="T5409" s="764"/>
      <c r="U5409" s="764"/>
      <c r="V5409" s="764"/>
      <c r="W5409" s="764"/>
      <c r="X5409" s="764"/>
      <c r="Y5409" s="768"/>
      <c r="Z5409" s="762"/>
      <c r="AA5409" s="150"/>
      <c r="AB5409" s="150">
        <v>56</v>
      </c>
      <c r="AC5409" s="150">
        <v>1.9E-3</v>
      </c>
      <c r="AD5409" s="150">
        <v>12.56</v>
      </c>
      <c r="AE5409" s="150">
        <v>0.85299999999999998</v>
      </c>
      <c r="AF5409" s="223">
        <f t="shared" si="30"/>
        <v>10.71368</v>
      </c>
      <c r="AG5409" s="223">
        <f t="shared" si="29"/>
        <v>0.89791742893198223</v>
      </c>
      <c r="AH5409" s="346"/>
      <c r="AI5409" s="427"/>
      <c r="AJ5409" s="480"/>
      <c r="AK5409" s="427"/>
      <c r="AU5409" s="218"/>
      <c r="AV5409" s="218"/>
      <c r="AW5409" s="218"/>
      <c r="AX5409" s="218"/>
      <c r="AY5409" s="218"/>
      <c r="AZ5409" s="427"/>
      <c r="BA5409" s="427"/>
      <c r="BB5409" s="427"/>
      <c r="BI5409" s="427"/>
      <c r="BJ5409" s="427"/>
      <c r="BK5409" s="427"/>
      <c r="BL5409" s="427"/>
      <c r="BM5409" s="427"/>
      <c r="BN5409" s="427"/>
      <c r="BO5409" s="427"/>
      <c r="BP5409" s="427"/>
      <c r="BQ5409" s="427"/>
      <c r="BR5409" s="427"/>
      <c r="BS5409" s="427"/>
      <c r="BT5409" s="427"/>
      <c r="BU5409" s="427"/>
      <c r="BV5409" s="427"/>
      <c r="BW5409" s="427"/>
      <c r="BX5409" s="427"/>
      <c r="BY5409" s="427"/>
      <c r="BZ5409" s="427"/>
    </row>
    <row r="5410" spans="2:78" s="152" customFormat="1" x14ac:dyDescent="0.2">
      <c r="B5410" s="683"/>
      <c r="C5410" s="683"/>
      <c r="D5410" s="698"/>
      <c r="E5410" s="215"/>
      <c r="F5410" s="215"/>
      <c r="G5410" s="427"/>
      <c r="H5410" s="427"/>
      <c r="I5410" s="427"/>
      <c r="J5410" s="427"/>
      <c r="K5410" s="427"/>
      <c r="L5410" s="653"/>
      <c r="M5410" s="666"/>
      <c r="N5410" s="600">
        <v>11.86</v>
      </c>
      <c r="O5410" s="608">
        <v>0.18893499999999999</v>
      </c>
      <c r="P5410" s="782"/>
      <c r="Q5410" s="764"/>
      <c r="R5410" s="764"/>
      <c r="S5410" s="764"/>
      <c r="T5410" s="764"/>
      <c r="U5410" s="764"/>
      <c r="V5410" s="764"/>
      <c r="W5410" s="764"/>
      <c r="X5410" s="764"/>
      <c r="Y5410" s="768"/>
      <c r="Z5410" s="762"/>
      <c r="AA5410" s="150"/>
      <c r="AB5410" s="150">
        <v>57</v>
      </c>
      <c r="AC5410" s="150">
        <v>1.9E-3</v>
      </c>
      <c r="AD5410" s="150">
        <v>13.03</v>
      </c>
      <c r="AE5410" s="150">
        <v>0.93500000000000005</v>
      </c>
      <c r="AF5410" s="223">
        <f t="shared" si="30"/>
        <v>12.18305</v>
      </c>
      <c r="AG5410" s="223">
        <f t="shared" si="29"/>
        <v>0.97348365146658677</v>
      </c>
      <c r="AH5410" s="346"/>
      <c r="AI5410" s="427"/>
      <c r="AJ5410" s="480"/>
      <c r="AK5410" s="427"/>
      <c r="AU5410" s="218"/>
      <c r="AV5410" s="218"/>
      <c r="AW5410" s="218"/>
      <c r="AX5410" s="218"/>
      <c r="AY5410" s="218"/>
      <c r="AZ5410" s="427"/>
      <c r="BA5410" s="427"/>
      <c r="BB5410" s="427"/>
      <c r="BI5410" s="427"/>
      <c r="BJ5410" s="427"/>
      <c r="BK5410" s="427"/>
      <c r="BL5410" s="427"/>
      <c r="BM5410" s="427"/>
      <c r="BN5410" s="427"/>
      <c r="BO5410" s="427"/>
      <c r="BP5410" s="427"/>
      <c r="BQ5410" s="427"/>
      <c r="BR5410" s="427"/>
      <c r="BS5410" s="427"/>
      <c r="BT5410" s="427"/>
      <c r="BU5410" s="427"/>
      <c r="BV5410" s="427"/>
      <c r="BW5410" s="427"/>
      <c r="BX5410" s="427"/>
      <c r="BY5410" s="427"/>
      <c r="BZ5410" s="427"/>
    </row>
    <row r="5411" spans="2:78" s="152" customFormat="1" x14ac:dyDescent="0.2">
      <c r="B5411" s="683"/>
      <c r="C5411" s="683"/>
      <c r="D5411" s="698"/>
      <c r="E5411" s="215"/>
      <c r="F5411" s="215"/>
      <c r="G5411" s="427"/>
      <c r="H5411" s="427"/>
      <c r="I5411" s="427"/>
      <c r="J5411" s="427"/>
      <c r="K5411" s="427"/>
      <c r="L5411" s="653"/>
      <c r="M5411" s="666"/>
      <c r="N5411" s="600">
        <v>14.85</v>
      </c>
      <c r="O5411" s="608">
        <v>0.29203200000000001</v>
      </c>
      <c r="P5411" s="782"/>
      <c r="Q5411" s="764"/>
      <c r="R5411" s="764"/>
      <c r="S5411" s="764"/>
      <c r="T5411" s="764"/>
      <c r="U5411" s="764"/>
      <c r="V5411" s="764"/>
      <c r="W5411" s="764"/>
      <c r="X5411" s="764"/>
      <c r="Y5411" s="768"/>
      <c r="Z5411" s="762"/>
      <c r="AA5411" s="150"/>
      <c r="AB5411" s="150">
        <v>58</v>
      </c>
      <c r="AC5411" s="150">
        <v>2.0999999999999999E-3</v>
      </c>
      <c r="AD5411" s="150">
        <v>13.52</v>
      </c>
      <c r="AE5411" s="150">
        <v>1.0309999999999999</v>
      </c>
      <c r="AF5411" s="223">
        <f t="shared" si="30"/>
        <v>13.939119999999999</v>
      </c>
      <c r="AG5411" s="223">
        <f t="shared" si="29"/>
        <v>1.0653470233415023</v>
      </c>
      <c r="AH5411" s="346"/>
      <c r="AI5411" s="427"/>
      <c r="AJ5411" s="480"/>
      <c r="AK5411" s="427"/>
      <c r="AU5411" s="218"/>
      <c r="AV5411" s="218"/>
      <c r="AW5411" s="218"/>
      <c r="AX5411" s="218"/>
      <c r="AY5411" s="218"/>
      <c r="AZ5411" s="427"/>
      <c r="BA5411" s="427"/>
      <c r="BB5411" s="427"/>
      <c r="BI5411" s="427"/>
      <c r="BJ5411" s="427"/>
      <c r="BK5411" s="427"/>
      <c r="BL5411" s="427"/>
      <c r="BM5411" s="427"/>
      <c r="BN5411" s="427"/>
      <c r="BO5411" s="427"/>
      <c r="BP5411" s="427"/>
      <c r="BQ5411" s="427"/>
      <c r="BR5411" s="427"/>
      <c r="BS5411" s="427"/>
      <c r="BT5411" s="427"/>
      <c r="BU5411" s="427"/>
      <c r="BV5411" s="427"/>
      <c r="BW5411" s="427"/>
      <c r="BX5411" s="427"/>
      <c r="BY5411" s="427"/>
      <c r="BZ5411" s="427"/>
    </row>
    <row r="5412" spans="2:78" s="152" customFormat="1" x14ac:dyDescent="0.2">
      <c r="B5412" s="683"/>
      <c r="C5412" s="683"/>
      <c r="D5412" s="698"/>
      <c r="E5412" s="215"/>
      <c r="F5412" s="215"/>
      <c r="G5412" s="427"/>
      <c r="H5412" s="427"/>
      <c r="I5412" s="427"/>
      <c r="J5412" s="427"/>
      <c r="K5412" s="427"/>
      <c r="L5412" s="653"/>
      <c r="M5412" s="666"/>
      <c r="N5412" s="600">
        <v>16.7</v>
      </c>
      <c r="O5412" s="608">
        <v>0.61686000000000007</v>
      </c>
      <c r="P5412" s="782"/>
      <c r="Q5412" s="764"/>
      <c r="R5412" s="764"/>
      <c r="S5412" s="764"/>
      <c r="T5412" s="764"/>
      <c r="U5412" s="764"/>
      <c r="V5412" s="764"/>
      <c r="W5412" s="764"/>
      <c r="X5412" s="764"/>
      <c r="Y5412" s="768"/>
      <c r="Z5412" s="762"/>
      <c r="AA5412" s="150"/>
      <c r="AB5412" s="150">
        <v>59</v>
      </c>
      <c r="AC5412" s="150">
        <v>2.2000000000000001E-3</v>
      </c>
      <c r="AD5412" s="150">
        <v>13.8</v>
      </c>
      <c r="AE5412" s="150">
        <v>1.085</v>
      </c>
      <c r="AF5412" s="223">
        <f t="shared" si="30"/>
        <v>14.973000000000001</v>
      </c>
      <c r="AG5412" s="223">
        <f t="shared" si="29"/>
        <v>1.1153409470380016</v>
      </c>
      <c r="AH5412" s="346"/>
      <c r="AI5412" s="427"/>
      <c r="AJ5412" s="480"/>
      <c r="AK5412" s="427"/>
      <c r="AU5412" s="218"/>
      <c r="AV5412" s="218"/>
      <c r="AW5412" s="218"/>
      <c r="AX5412" s="218"/>
      <c r="AY5412" s="218"/>
      <c r="AZ5412" s="427"/>
      <c r="BA5412" s="427"/>
      <c r="BB5412" s="427"/>
      <c r="BI5412" s="427"/>
      <c r="BJ5412" s="427"/>
      <c r="BK5412" s="427"/>
      <c r="BL5412" s="427"/>
      <c r="BM5412" s="427"/>
      <c r="BN5412" s="427"/>
      <c r="BO5412" s="427"/>
      <c r="BP5412" s="427"/>
      <c r="BQ5412" s="427"/>
      <c r="BR5412" s="427"/>
      <c r="BS5412" s="427"/>
      <c r="BT5412" s="427"/>
      <c r="BU5412" s="427"/>
      <c r="BV5412" s="427"/>
      <c r="BW5412" s="427"/>
      <c r="BX5412" s="427"/>
      <c r="BY5412" s="427"/>
      <c r="BZ5412" s="427"/>
    </row>
    <row r="5413" spans="2:78" s="152" customFormat="1" x14ac:dyDescent="0.2">
      <c r="B5413" s="683"/>
      <c r="C5413" s="683"/>
      <c r="D5413" s="698"/>
      <c r="E5413" s="215"/>
      <c r="F5413" s="215"/>
      <c r="G5413" s="427"/>
      <c r="H5413" s="427"/>
      <c r="I5413" s="427"/>
      <c r="J5413" s="427"/>
      <c r="K5413" s="427"/>
      <c r="L5413" s="653"/>
      <c r="M5413" s="666"/>
      <c r="N5413" s="600">
        <v>17.14</v>
      </c>
      <c r="O5413" s="608">
        <v>0.94035299999999999</v>
      </c>
      <c r="P5413" s="782"/>
      <c r="Q5413" s="764"/>
      <c r="R5413" s="764"/>
      <c r="S5413" s="764"/>
      <c r="T5413" s="764"/>
      <c r="U5413" s="764"/>
      <c r="V5413" s="764"/>
      <c r="W5413" s="764"/>
      <c r="X5413" s="764"/>
      <c r="Y5413" s="768"/>
      <c r="Z5413" s="762"/>
      <c r="AA5413" s="150"/>
      <c r="AB5413" s="150">
        <v>60</v>
      </c>
      <c r="AC5413" s="150">
        <v>2.2000000000000001E-3</v>
      </c>
      <c r="AD5413" s="150">
        <v>13.89</v>
      </c>
      <c r="AE5413" s="150">
        <v>1.097</v>
      </c>
      <c r="AF5413" s="223">
        <f t="shared" si="30"/>
        <v>15.23733</v>
      </c>
      <c r="AG5413" s="223">
        <f t="shared" si="29"/>
        <v>1.1248689895145672</v>
      </c>
      <c r="AH5413" s="346"/>
      <c r="AI5413" s="427"/>
      <c r="AJ5413" s="480"/>
      <c r="AK5413" s="427"/>
      <c r="AU5413" s="218"/>
      <c r="AV5413" s="218"/>
      <c r="AW5413" s="218"/>
      <c r="AX5413" s="218"/>
      <c r="AY5413" s="218"/>
      <c r="AZ5413" s="427"/>
      <c r="BA5413" s="427"/>
      <c r="BB5413" s="427"/>
      <c r="BI5413" s="427"/>
      <c r="BJ5413" s="427"/>
      <c r="BK5413" s="427"/>
      <c r="BL5413" s="427"/>
      <c r="BM5413" s="427"/>
      <c r="BN5413" s="427"/>
      <c r="BO5413" s="427"/>
      <c r="BP5413" s="427"/>
      <c r="BQ5413" s="427"/>
      <c r="BR5413" s="427"/>
      <c r="BS5413" s="427"/>
      <c r="BT5413" s="427"/>
      <c r="BU5413" s="427"/>
      <c r="BV5413" s="427"/>
      <c r="BW5413" s="427"/>
      <c r="BX5413" s="427"/>
      <c r="BY5413" s="427"/>
      <c r="BZ5413" s="427"/>
    </row>
    <row r="5414" spans="2:78" s="152" customFormat="1" x14ac:dyDescent="0.2">
      <c r="B5414" s="683"/>
      <c r="C5414" s="683"/>
      <c r="D5414" s="698"/>
      <c r="E5414" s="215"/>
      <c r="F5414" s="215"/>
      <c r="G5414" s="427"/>
      <c r="H5414" s="427"/>
      <c r="I5414" s="427"/>
      <c r="J5414" s="427"/>
      <c r="K5414" s="427"/>
      <c r="L5414" s="653"/>
      <c r="M5414" s="666"/>
      <c r="N5414" s="600">
        <v>17</v>
      </c>
      <c r="O5414" s="608">
        <v>0.80642800000000003</v>
      </c>
      <c r="P5414" s="782"/>
      <c r="Q5414" s="764"/>
      <c r="R5414" s="764"/>
      <c r="S5414" s="764"/>
      <c r="T5414" s="764"/>
      <c r="U5414" s="764"/>
      <c r="V5414" s="764"/>
      <c r="W5414" s="764"/>
      <c r="X5414" s="764"/>
      <c r="Y5414" s="768"/>
      <c r="Z5414" s="762"/>
      <c r="AA5414" s="150"/>
      <c r="AB5414" s="150">
        <v>61</v>
      </c>
      <c r="AC5414" s="150">
        <v>2.2000000000000001E-3</v>
      </c>
      <c r="AD5414" s="150">
        <v>13.88</v>
      </c>
      <c r="AE5414" s="150">
        <v>1.093</v>
      </c>
      <c r="AF5414" s="223">
        <f t="shared" si="30"/>
        <v>15.17084</v>
      </c>
      <c r="AG5414" s="223">
        <f t="shared" si="29"/>
        <v>1.1205707792053703</v>
      </c>
      <c r="AH5414" s="346"/>
      <c r="AI5414" s="427"/>
      <c r="AJ5414" s="480"/>
      <c r="AK5414" s="427"/>
      <c r="AU5414" s="218"/>
      <c r="AV5414" s="218"/>
      <c r="AW5414" s="218"/>
      <c r="AX5414" s="218"/>
      <c r="AY5414" s="218"/>
      <c r="AZ5414" s="427"/>
      <c r="BA5414" s="427"/>
      <c r="BB5414" s="427"/>
      <c r="BI5414" s="427"/>
      <c r="BJ5414" s="427"/>
      <c r="BK5414" s="427"/>
      <c r="BL5414" s="427"/>
      <c r="BM5414" s="427"/>
      <c r="BN5414" s="427"/>
      <c r="BO5414" s="427"/>
      <c r="BP5414" s="427"/>
      <c r="BQ5414" s="427"/>
      <c r="BR5414" s="427"/>
      <c r="BS5414" s="427"/>
      <c r="BT5414" s="427"/>
      <c r="BU5414" s="427"/>
      <c r="BV5414" s="427"/>
      <c r="BW5414" s="427"/>
      <c r="BX5414" s="427"/>
      <c r="BY5414" s="427"/>
      <c r="BZ5414" s="427"/>
    </row>
    <row r="5415" spans="2:78" s="152" customFormat="1" x14ac:dyDescent="0.2">
      <c r="B5415" s="683"/>
      <c r="C5415" s="683"/>
      <c r="D5415" s="698"/>
      <c r="E5415" s="215"/>
      <c r="F5415" s="215"/>
      <c r="G5415" s="427"/>
      <c r="H5415" s="427"/>
      <c r="I5415" s="427"/>
      <c r="J5415" s="427"/>
      <c r="K5415" s="427"/>
      <c r="L5415" s="653"/>
      <c r="M5415" s="666"/>
      <c r="N5415" s="600">
        <v>16.09</v>
      </c>
      <c r="O5415" s="608">
        <v>0.205322</v>
      </c>
      <c r="P5415" s="782"/>
      <c r="Q5415" s="764"/>
      <c r="R5415" s="764"/>
      <c r="S5415" s="764"/>
      <c r="T5415" s="764"/>
      <c r="U5415" s="764"/>
      <c r="V5415" s="764"/>
      <c r="W5415" s="764"/>
      <c r="X5415" s="764"/>
      <c r="Y5415" s="768"/>
      <c r="Z5415" s="762"/>
      <c r="AA5415" s="150"/>
      <c r="AB5415" s="150">
        <v>62</v>
      </c>
      <c r="AC5415" s="150">
        <v>2.2000000000000001E-3</v>
      </c>
      <c r="AD5415" s="150">
        <v>13.78</v>
      </c>
      <c r="AE5415" s="150">
        <v>1.0680000000000001</v>
      </c>
      <c r="AF5415" s="223">
        <f t="shared" si="30"/>
        <v>14.717040000000001</v>
      </c>
      <c r="AG5415" s="223">
        <f t="shared" si="29"/>
        <v>1.0932904986328773</v>
      </c>
      <c r="AH5415" s="346"/>
      <c r="AI5415" s="427"/>
      <c r="AJ5415" s="480"/>
      <c r="AK5415" s="427"/>
      <c r="AU5415" s="218"/>
      <c r="AV5415" s="218"/>
      <c r="AW5415" s="218"/>
      <c r="AX5415" s="218"/>
      <c r="AY5415" s="218"/>
      <c r="AZ5415" s="427"/>
      <c r="BA5415" s="427"/>
      <c r="BB5415" s="427"/>
      <c r="BI5415" s="427"/>
      <c r="BJ5415" s="427"/>
      <c r="BK5415" s="427"/>
      <c r="BL5415" s="427"/>
      <c r="BM5415" s="427"/>
      <c r="BN5415" s="427"/>
      <c r="BO5415" s="427"/>
      <c r="BP5415" s="427"/>
      <c r="BQ5415" s="427"/>
      <c r="BR5415" s="427"/>
      <c r="BS5415" s="427"/>
      <c r="BT5415" s="427"/>
      <c r="BU5415" s="427"/>
      <c r="BV5415" s="427"/>
      <c r="BW5415" s="427"/>
      <c r="BX5415" s="427"/>
      <c r="BY5415" s="427"/>
      <c r="BZ5415" s="427"/>
    </row>
    <row r="5416" spans="2:78" s="152" customFormat="1" x14ac:dyDescent="0.2">
      <c r="B5416" s="683"/>
      <c r="C5416" s="683"/>
      <c r="D5416" s="698"/>
      <c r="E5416" s="215"/>
      <c r="F5416" s="215"/>
      <c r="G5416" s="427"/>
      <c r="H5416" s="427"/>
      <c r="I5416" s="427"/>
      <c r="J5416" s="427"/>
      <c r="K5416" s="427"/>
      <c r="L5416" s="653"/>
      <c r="M5416" s="666"/>
      <c r="N5416" s="600">
        <v>14.33</v>
      </c>
      <c r="O5416" s="608">
        <v>0.22172799999999995</v>
      </c>
      <c r="P5416" s="782"/>
      <c r="Q5416" s="764"/>
      <c r="R5416" s="764"/>
      <c r="S5416" s="764"/>
      <c r="T5416" s="764"/>
      <c r="U5416" s="764"/>
      <c r="V5416" s="764"/>
      <c r="W5416" s="764"/>
      <c r="X5416" s="764"/>
      <c r="Y5416" s="768"/>
      <c r="Z5416" s="762"/>
      <c r="AA5416" s="150"/>
      <c r="AB5416" s="150">
        <v>63</v>
      </c>
      <c r="AC5416" s="150">
        <v>2.2000000000000001E-3</v>
      </c>
      <c r="AD5416" s="150">
        <v>13.52</v>
      </c>
      <c r="AE5416" s="150">
        <v>1.0149999999999999</v>
      </c>
      <c r="AF5416" s="223">
        <f t="shared" si="30"/>
        <v>13.722799999999998</v>
      </c>
      <c r="AG5416" s="223">
        <f t="shared" si="29"/>
        <v>1.0442475296586704</v>
      </c>
      <c r="AH5416" s="346"/>
      <c r="AI5416" s="427"/>
      <c r="AJ5416" s="480"/>
      <c r="AK5416" s="427"/>
      <c r="AU5416" s="218"/>
      <c r="AV5416" s="218"/>
      <c r="AW5416" s="218"/>
      <c r="AX5416" s="218"/>
      <c r="AY5416" s="218"/>
      <c r="AZ5416" s="427"/>
      <c r="BA5416" s="427"/>
      <c r="BB5416" s="427"/>
      <c r="BI5416" s="427"/>
      <c r="BJ5416" s="427"/>
      <c r="BK5416" s="427"/>
      <c r="BL5416" s="427"/>
      <c r="BM5416" s="427"/>
      <c r="BN5416" s="427"/>
      <c r="BO5416" s="427"/>
      <c r="BP5416" s="427"/>
      <c r="BQ5416" s="427"/>
      <c r="BR5416" s="427"/>
      <c r="BS5416" s="427"/>
      <c r="BT5416" s="427"/>
      <c r="BU5416" s="427"/>
      <c r="BV5416" s="427"/>
      <c r="BW5416" s="427"/>
      <c r="BX5416" s="427"/>
      <c r="BY5416" s="427"/>
      <c r="BZ5416" s="427"/>
    </row>
    <row r="5417" spans="2:78" s="152" customFormat="1" x14ac:dyDescent="0.2">
      <c r="B5417" s="683"/>
      <c r="C5417" s="683"/>
      <c r="D5417" s="698"/>
      <c r="E5417" s="215"/>
      <c r="F5417" s="215"/>
      <c r="G5417" s="427"/>
      <c r="H5417" s="427"/>
      <c r="I5417" s="427"/>
      <c r="J5417" s="427"/>
      <c r="K5417" s="427"/>
      <c r="L5417" s="653"/>
      <c r="M5417" s="666"/>
      <c r="N5417" s="600">
        <v>11.95</v>
      </c>
      <c r="O5417" s="608">
        <v>0.33664000000000005</v>
      </c>
      <c r="P5417" s="782"/>
      <c r="Q5417" s="764"/>
      <c r="R5417" s="764"/>
      <c r="S5417" s="764"/>
      <c r="T5417" s="764"/>
      <c r="U5417" s="764"/>
      <c r="V5417" s="764"/>
      <c r="W5417" s="764"/>
      <c r="X5417" s="764"/>
      <c r="Y5417" s="768"/>
      <c r="Z5417" s="762"/>
      <c r="AA5417" s="150"/>
      <c r="AB5417" s="150">
        <v>64</v>
      </c>
      <c r="AC5417" s="150">
        <v>2.0999999999999999E-3</v>
      </c>
      <c r="AD5417" s="150">
        <v>13.15</v>
      </c>
      <c r="AE5417" s="150">
        <v>0.93799999999999994</v>
      </c>
      <c r="AF5417" s="223">
        <f t="shared" si="30"/>
        <v>12.3347</v>
      </c>
      <c r="AG5417" s="223">
        <f t="shared" si="29"/>
        <v>0.9688115641239754</v>
      </c>
      <c r="AH5417" s="346"/>
      <c r="AI5417" s="427"/>
      <c r="AJ5417" s="480"/>
      <c r="AK5417" s="427"/>
      <c r="AU5417" s="218"/>
      <c r="AV5417" s="218"/>
      <c r="AW5417" s="218"/>
      <c r="AX5417" s="218"/>
      <c r="AY5417" s="218"/>
      <c r="AZ5417" s="427"/>
      <c r="BA5417" s="427"/>
      <c r="BB5417" s="427"/>
      <c r="BI5417" s="427"/>
      <c r="BJ5417" s="427"/>
      <c r="BK5417" s="427"/>
      <c r="BL5417" s="427"/>
      <c r="BM5417" s="427"/>
      <c r="BN5417" s="427"/>
      <c r="BO5417" s="427"/>
      <c r="BP5417" s="427"/>
      <c r="BQ5417" s="427"/>
      <c r="BR5417" s="427"/>
      <c r="BS5417" s="427"/>
      <c r="BT5417" s="427"/>
      <c r="BU5417" s="427"/>
      <c r="BV5417" s="427"/>
      <c r="BW5417" s="427"/>
      <c r="BX5417" s="427"/>
      <c r="BY5417" s="427"/>
      <c r="BZ5417" s="427"/>
    </row>
    <row r="5418" spans="2:78" s="152" customFormat="1" x14ac:dyDescent="0.2">
      <c r="B5418" s="683"/>
      <c r="C5418" s="683"/>
      <c r="D5418" s="698"/>
      <c r="E5418" s="215"/>
      <c r="F5418" s="215"/>
      <c r="G5418" s="427"/>
      <c r="H5418" s="427"/>
      <c r="I5418" s="427"/>
      <c r="J5418" s="427"/>
      <c r="K5418" s="427"/>
      <c r="L5418" s="653"/>
      <c r="M5418" s="666"/>
      <c r="N5418" s="600">
        <v>9.15</v>
      </c>
      <c r="O5418" s="608">
        <v>6.7204E-2</v>
      </c>
      <c r="P5418" s="782"/>
      <c r="Q5418" s="764"/>
      <c r="R5418" s="764"/>
      <c r="S5418" s="764"/>
      <c r="T5418" s="764"/>
      <c r="U5418" s="764"/>
      <c r="V5418" s="764"/>
      <c r="W5418" s="764"/>
      <c r="X5418" s="764"/>
      <c r="Y5418" s="768"/>
      <c r="Z5418" s="762"/>
      <c r="AA5418" s="150"/>
      <c r="AB5418" s="150">
        <v>65</v>
      </c>
      <c r="AC5418" s="150">
        <v>2E-3</v>
      </c>
      <c r="AD5418" s="150">
        <v>12.68</v>
      </c>
      <c r="AE5418" s="150">
        <v>0.83499999999999996</v>
      </c>
      <c r="AF5418" s="223">
        <f t="shared" si="30"/>
        <v>10.5878</v>
      </c>
      <c r="AG5418" s="223">
        <f t="shared" ref="AG5418:AG5481" si="31">N5418/AF5418</f>
        <v>0.86420219497912698</v>
      </c>
      <c r="AH5418" s="346"/>
      <c r="AI5418" s="427"/>
      <c r="AJ5418" s="480"/>
      <c r="AK5418" s="427"/>
      <c r="AU5418" s="218"/>
      <c r="AV5418" s="218"/>
      <c r="AW5418" s="218"/>
      <c r="AX5418" s="218"/>
      <c r="AY5418" s="218"/>
      <c r="AZ5418" s="427"/>
      <c r="BA5418" s="427"/>
      <c r="BB5418" s="427"/>
      <c r="BI5418" s="427"/>
      <c r="BJ5418" s="427"/>
      <c r="BK5418" s="427"/>
      <c r="BL5418" s="427"/>
      <c r="BM5418" s="427"/>
      <c r="BN5418" s="427"/>
      <c r="BO5418" s="427"/>
      <c r="BP5418" s="427"/>
      <c r="BQ5418" s="427"/>
      <c r="BR5418" s="427"/>
      <c r="BS5418" s="427"/>
      <c r="BT5418" s="427"/>
      <c r="BU5418" s="427"/>
      <c r="BV5418" s="427"/>
      <c r="BW5418" s="427"/>
      <c r="BX5418" s="427"/>
      <c r="BY5418" s="427"/>
      <c r="BZ5418" s="427"/>
    </row>
    <row r="5419" spans="2:78" s="152" customFormat="1" x14ac:dyDescent="0.2">
      <c r="B5419" s="683"/>
      <c r="C5419" s="683"/>
      <c r="D5419" s="698"/>
      <c r="E5419" s="215"/>
      <c r="F5419" s="215"/>
      <c r="G5419" s="427"/>
      <c r="H5419" s="427"/>
      <c r="I5419" s="427"/>
      <c r="J5419" s="427"/>
      <c r="K5419" s="427"/>
      <c r="L5419" s="653"/>
      <c r="M5419" s="666"/>
      <c r="N5419" s="600">
        <v>7.69</v>
      </c>
      <c r="O5419" s="608">
        <v>3.1300000000000001E-2</v>
      </c>
      <c r="P5419" s="782"/>
      <c r="Q5419" s="764"/>
      <c r="R5419" s="764"/>
      <c r="S5419" s="764"/>
      <c r="T5419" s="764"/>
      <c r="U5419" s="764"/>
      <c r="V5419" s="764"/>
      <c r="W5419" s="764"/>
      <c r="X5419" s="764"/>
      <c r="Y5419" s="768"/>
      <c r="Z5419" s="762"/>
      <c r="AA5419" s="150"/>
      <c r="AB5419" s="150">
        <v>66</v>
      </c>
      <c r="AC5419" s="150">
        <v>2.5999999999999999E-3</v>
      </c>
      <c r="AD5419" s="150">
        <v>12.52</v>
      </c>
      <c r="AE5419" s="150">
        <v>0.77400000000000002</v>
      </c>
      <c r="AF5419" s="223">
        <f t="shared" ref="AF5419:AF5482" si="32">AE5419*AD5419</f>
        <v>9.6904799999999991</v>
      </c>
      <c r="AG5419" s="223">
        <f t="shared" si="31"/>
        <v>0.79356234159711403</v>
      </c>
      <c r="AH5419" s="346"/>
      <c r="AI5419" s="427"/>
      <c r="AJ5419" s="480"/>
      <c r="AK5419" s="427"/>
      <c r="AU5419" s="218"/>
      <c r="AV5419" s="218"/>
      <c r="AW5419" s="218"/>
      <c r="AX5419" s="218"/>
      <c r="AY5419" s="218"/>
      <c r="AZ5419" s="427"/>
      <c r="BA5419" s="427"/>
      <c r="BB5419" s="427"/>
      <c r="BI5419" s="427"/>
      <c r="BJ5419" s="427"/>
      <c r="BK5419" s="427"/>
      <c r="BL5419" s="427"/>
      <c r="BM5419" s="427"/>
      <c r="BN5419" s="427"/>
      <c r="BO5419" s="427"/>
      <c r="BP5419" s="427"/>
      <c r="BQ5419" s="427"/>
      <c r="BR5419" s="427"/>
      <c r="BS5419" s="427"/>
      <c r="BT5419" s="427"/>
      <c r="BU5419" s="427"/>
      <c r="BV5419" s="427"/>
      <c r="BW5419" s="427"/>
      <c r="BX5419" s="427"/>
      <c r="BY5419" s="427"/>
      <c r="BZ5419" s="427"/>
    </row>
    <row r="5420" spans="2:78" s="152" customFormat="1" x14ac:dyDescent="0.2">
      <c r="B5420" s="683"/>
      <c r="C5420" s="683"/>
      <c r="D5420" s="698"/>
      <c r="E5420" s="215"/>
      <c r="F5420" s="215"/>
      <c r="G5420" s="427"/>
      <c r="H5420" s="427"/>
      <c r="I5420" s="427"/>
      <c r="J5420" s="427"/>
      <c r="K5420" s="427"/>
      <c r="L5420" s="653"/>
      <c r="M5420" s="666"/>
      <c r="N5420" s="600">
        <v>7.47</v>
      </c>
      <c r="O5420" s="608">
        <v>9.5864999999999992E-2</v>
      </c>
      <c r="P5420" s="782"/>
      <c r="Q5420" s="764"/>
      <c r="R5420" s="764"/>
      <c r="S5420" s="764"/>
      <c r="T5420" s="764"/>
      <c r="U5420" s="764"/>
      <c r="V5420" s="764"/>
      <c r="W5420" s="764"/>
      <c r="X5420" s="764"/>
      <c r="Y5420" s="768"/>
      <c r="Z5420" s="762"/>
      <c r="AA5420" s="150"/>
      <c r="AB5420" s="150">
        <v>67</v>
      </c>
      <c r="AC5420" s="150">
        <v>2.5000000000000001E-3</v>
      </c>
      <c r="AD5420" s="150">
        <v>12.45</v>
      </c>
      <c r="AE5420" s="150">
        <v>0.76400000000000001</v>
      </c>
      <c r="AF5420" s="223">
        <f t="shared" si="32"/>
        <v>9.5117999999999991</v>
      </c>
      <c r="AG5420" s="223">
        <f t="shared" si="31"/>
        <v>0.78534031413612571</v>
      </c>
      <c r="AH5420" s="346"/>
      <c r="AI5420" s="427"/>
      <c r="AJ5420" s="480"/>
      <c r="AK5420" s="427"/>
      <c r="AU5420" s="218"/>
      <c r="AV5420" s="218"/>
      <c r="AW5420" s="218"/>
      <c r="AX5420" s="218"/>
      <c r="AY5420" s="218"/>
      <c r="AZ5420" s="427"/>
      <c r="BA5420" s="427"/>
      <c r="BB5420" s="427"/>
      <c r="BI5420" s="427"/>
      <c r="BJ5420" s="427"/>
      <c r="BK5420" s="427"/>
      <c r="BL5420" s="427"/>
      <c r="BM5420" s="427"/>
      <c r="BN5420" s="427"/>
      <c r="BO5420" s="427"/>
      <c r="BP5420" s="427"/>
      <c r="BQ5420" s="427"/>
      <c r="BR5420" s="427"/>
      <c r="BS5420" s="427"/>
      <c r="BT5420" s="427"/>
      <c r="BU5420" s="427"/>
      <c r="BV5420" s="427"/>
      <c r="BW5420" s="427"/>
      <c r="BX5420" s="427"/>
      <c r="BY5420" s="427"/>
      <c r="BZ5420" s="427"/>
    </row>
    <row r="5421" spans="2:78" s="152" customFormat="1" x14ac:dyDescent="0.2">
      <c r="B5421" s="683"/>
      <c r="C5421" s="683"/>
      <c r="D5421" s="698"/>
      <c r="E5421" s="215"/>
      <c r="F5421" s="215"/>
      <c r="G5421" s="427"/>
      <c r="H5421" s="427"/>
      <c r="I5421" s="427"/>
      <c r="J5421" s="427"/>
      <c r="K5421" s="427"/>
      <c r="L5421" s="653"/>
      <c r="M5421" s="666"/>
      <c r="N5421" s="600">
        <v>7.47</v>
      </c>
      <c r="O5421" s="608">
        <v>0.23760400000000001</v>
      </c>
      <c r="P5421" s="782"/>
      <c r="Q5421" s="764"/>
      <c r="R5421" s="764"/>
      <c r="S5421" s="764"/>
      <c r="T5421" s="764"/>
      <c r="U5421" s="764"/>
      <c r="V5421" s="764"/>
      <c r="W5421" s="764"/>
      <c r="X5421" s="764"/>
      <c r="Y5421" s="768"/>
      <c r="Z5421" s="762"/>
      <c r="AA5421" s="150"/>
      <c r="AB5421" s="150">
        <v>68</v>
      </c>
      <c r="AC5421" s="150">
        <v>2.5000000000000001E-3</v>
      </c>
      <c r="AD5421" s="150">
        <v>12.44</v>
      </c>
      <c r="AE5421" s="150">
        <v>0.76400000000000001</v>
      </c>
      <c r="AF5421" s="223">
        <f t="shared" si="32"/>
        <v>9.5041600000000006</v>
      </c>
      <c r="AG5421" s="223">
        <f t="shared" si="31"/>
        <v>0.78597161663945048</v>
      </c>
      <c r="AH5421" s="346"/>
      <c r="AI5421" s="427"/>
      <c r="AJ5421" s="480"/>
      <c r="AK5421" s="427"/>
      <c r="AU5421" s="218"/>
      <c r="AV5421" s="218"/>
      <c r="AW5421" s="218"/>
      <c r="AX5421" s="218"/>
      <c r="AY5421" s="218"/>
      <c r="AZ5421" s="427"/>
      <c r="BA5421" s="427"/>
      <c r="BB5421" s="427"/>
      <c r="BI5421" s="427"/>
      <c r="BJ5421" s="427"/>
      <c r="BK5421" s="427"/>
      <c r="BL5421" s="427"/>
      <c r="BM5421" s="427"/>
      <c r="BN5421" s="427"/>
      <c r="BO5421" s="427"/>
      <c r="BP5421" s="427"/>
      <c r="BQ5421" s="427"/>
      <c r="BR5421" s="427"/>
      <c r="BS5421" s="427"/>
      <c r="BT5421" s="427"/>
      <c r="BU5421" s="427"/>
      <c r="BV5421" s="427"/>
      <c r="BW5421" s="427"/>
      <c r="BX5421" s="427"/>
      <c r="BY5421" s="427"/>
      <c r="BZ5421" s="427"/>
    </row>
    <row r="5422" spans="2:78" s="152" customFormat="1" x14ac:dyDescent="0.2">
      <c r="B5422" s="683"/>
      <c r="C5422" s="683"/>
      <c r="D5422" s="698"/>
      <c r="E5422" s="215"/>
      <c r="F5422" s="215"/>
      <c r="G5422" s="427"/>
      <c r="H5422" s="427"/>
      <c r="I5422" s="427"/>
      <c r="J5422" s="427"/>
      <c r="K5422" s="427"/>
      <c r="L5422" s="653"/>
      <c r="M5422" s="666"/>
      <c r="N5422" s="600">
        <v>7.15</v>
      </c>
      <c r="O5422" s="608">
        <v>5.5484999999999993E-2</v>
      </c>
      <c r="P5422" s="782"/>
      <c r="Q5422" s="764"/>
      <c r="R5422" s="764"/>
      <c r="S5422" s="764"/>
      <c r="T5422" s="764"/>
      <c r="U5422" s="764"/>
      <c r="V5422" s="764"/>
      <c r="W5422" s="764"/>
      <c r="X5422" s="764"/>
      <c r="Y5422" s="768"/>
      <c r="Z5422" s="762"/>
      <c r="AA5422" s="150"/>
      <c r="AB5422" s="150">
        <v>69</v>
      </c>
      <c r="AC5422" s="150">
        <v>2.0999999999999999E-3</v>
      </c>
      <c r="AD5422" s="150">
        <v>12.33</v>
      </c>
      <c r="AE5422" s="150">
        <v>0.75</v>
      </c>
      <c r="AF5422" s="223">
        <f t="shared" si="32"/>
        <v>9.2475000000000005</v>
      </c>
      <c r="AG5422" s="223">
        <f t="shared" si="31"/>
        <v>0.7731819410651527</v>
      </c>
      <c r="AH5422" s="346"/>
      <c r="AI5422" s="427"/>
      <c r="AJ5422" s="480"/>
      <c r="AK5422" s="427"/>
      <c r="AU5422" s="218"/>
      <c r="AV5422" s="218"/>
      <c r="AW5422" s="218"/>
      <c r="AX5422" s="218"/>
      <c r="AY5422" s="218"/>
      <c r="AZ5422" s="427"/>
      <c r="BA5422" s="427"/>
      <c r="BB5422" s="427"/>
      <c r="BI5422" s="427"/>
      <c r="BJ5422" s="427"/>
      <c r="BK5422" s="427"/>
      <c r="BL5422" s="427"/>
      <c r="BM5422" s="427"/>
      <c r="BN5422" s="427"/>
      <c r="BO5422" s="427"/>
      <c r="BP5422" s="427"/>
      <c r="BQ5422" s="427"/>
      <c r="BR5422" s="427"/>
      <c r="BS5422" s="427"/>
      <c r="BT5422" s="427"/>
      <c r="BU5422" s="427"/>
      <c r="BV5422" s="427"/>
      <c r="BW5422" s="427"/>
      <c r="BX5422" s="427"/>
      <c r="BY5422" s="427"/>
      <c r="BZ5422" s="427"/>
    </row>
    <row r="5423" spans="2:78" s="152" customFormat="1" x14ac:dyDescent="0.2">
      <c r="B5423" s="683"/>
      <c r="C5423" s="683"/>
      <c r="D5423" s="698"/>
      <c r="E5423" s="215"/>
      <c r="F5423" s="215"/>
      <c r="G5423" s="427"/>
      <c r="H5423" s="427"/>
      <c r="I5423" s="427"/>
      <c r="J5423" s="427"/>
      <c r="K5423" s="427"/>
      <c r="L5423" s="653"/>
      <c r="M5423" s="666"/>
      <c r="N5423" s="600">
        <v>6.88</v>
      </c>
      <c r="O5423" s="608">
        <v>9.4325000000000006E-2</v>
      </c>
      <c r="P5423" s="782"/>
      <c r="Q5423" s="764"/>
      <c r="R5423" s="764"/>
      <c r="S5423" s="764"/>
      <c r="T5423" s="764"/>
      <c r="U5423" s="764"/>
      <c r="V5423" s="764"/>
      <c r="W5423" s="764"/>
      <c r="X5423" s="764"/>
      <c r="Y5423" s="768"/>
      <c r="Z5423" s="762"/>
      <c r="AA5423" s="150"/>
      <c r="AB5423" s="150">
        <v>70</v>
      </c>
      <c r="AC5423" s="150">
        <v>1.9E-3</v>
      </c>
      <c r="AD5423" s="150">
        <v>12.25</v>
      </c>
      <c r="AE5423" s="150">
        <v>0.73799999999999999</v>
      </c>
      <c r="AF5423" s="223">
        <f t="shared" si="32"/>
        <v>9.0404999999999998</v>
      </c>
      <c r="AG5423" s="223">
        <f t="shared" si="31"/>
        <v>0.76101985509651016</v>
      </c>
      <c r="AH5423" s="346"/>
      <c r="AI5423" s="427"/>
      <c r="AJ5423" s="480"/>
      <c r="AK5423" s="427"/>
      <c r="AU5423" s="218"/>
      <c r="AV5423" s="218"/>
      <c r="AW5423" s="218"/>
      <c r="AX5423" s="218"/>
      <c r="AY5423" s="218"/>
      <c r="AZ5423" s="427"/>
      <c r="BA5423" s="427"/>
      <c r="BB5423" s="427"/>
      <c r="BI5423" s="427"/>
      <c r="BJ5423" s="427"/>
      <c r="BK5423" s="427"/>
      <c r="BL5423" s="427"/>
      <c r="BM5423" s="427"/>
      <c r="BN5423" s="427"/>
      <c r="BO5423" s="427"/>
      <c r="BP5423" s="427"/>
      <c r="BQ5423" s="427"/>
      <c r="BR5423" s="427"/>
      <c r="BS5423" s="427"/>
      <c r="BT5423" s="427"/>
      <c r="BU5423" s="427"/>
      <c r="BV5423" s="427"/>
      <c r="BW5423" s="427"/>
      <c r="BX5423" s="427"/>
      <c r="BY5423" s="427"/>
      <c r="BZ5423" s="427"/>
    </row>
    <row r="5424" spans="2:78" s="152" customFormat="1" x14ac:dyDescent="0.2">
      <c r="B5424" s="683"/>
      <c r="C5424" s="683"/>
      <c r="D5424" s="698"/>
      <c r="E5424" s="215"/>
      <c r="F5424" s="215"/>
      <c r="G5424" s="427"/>
      <c r="H5424" s="427"/>
      <c r="I5424" s="427"/>
      <c r="J5424" s="427"/>
      <c r="K5424" s="427"/>
      <c r="L5424" s="653"/>
      <c r="M5424" s="666"/>
      <c r="N5424" s="600">
        <v>6.88</v>
      </c>
      <c r="O5424" s="608">
        <v>6.2423999999999993E-2</v>
      </c>
      <c r="P5424" s="782"/>
      <c r="Q5424" s="764"/>
      <c r="R5424" s="764"/>
      <c r="S5424" s="764"/>
      <c r="T5424" s="764"/>
      <c r="U5424" s="764"/>
      <c r="V5424" s="764"/>
      <c r="W5424" s="764"/>
      <c r="X5424" s="764"/>
      <c r="Y5424" s="768"/>
      <c r="Z5424" s="762"/>
      <c r="AA5424" s="150"/>
      <c r="AB5424" s="150">
        <v>71</v>
      </c>
      <c r="AC5424" s="150">
        <v>1.8E-3</v>
      </c>
      <c r="AD5424" s="150">
        <v>12.24</v>
      </c>
      <c r="AE5424" s="150">
        <v>0.73799999999999999</v>
      </c>
      <c r="AF5424" s="223">
        <f t="shared" si="32"/>
        <v>9.0331200000000003</v>
      </c>
      <c r="AG5424" s="223">
        <f t="shared" si="31"/>
        <v>0.761641603344138</v>
      </c>
      <c r="AH5424" s="346"/>
      <c r="AI5424" s="427"/>
      <c r="AJ5424" s="480"/>
      <c r="AK5424" s="427"/>
      <c r="AU5424" s="218"/>
      <c r="AV5424" s="218"/>
      <c r="AW5424" s="218"/>
      <c r="AX5424" s="218"/>
      <c r="AY5424" s="218"/>
      <c r="AZ5424" s="427"/>
      <c r="BA5424" s="427"/>
      <c r="BB5424" s="427"/>
      <c r="BI5424" s="427"/>
      <c r="BJ5424" s="427"/>
      <c r="BK5424" s="427"/>
      <c r="BL5424" s="427"/>
      <c r="BM5424" s="427"/>
      <c r="BN5424" s="427"/>
      <c r="BO5424" s="427"/>
      <c r="BP5424" s="427"/>
      <c r="BQ5424" s="427"/>
      <c r="BR5424" s="427"/>
      <c r="BS5424" s="427"/>
      <c r="BT5424" s="427"/>
      <c r="BU5424" s="427"/>
      <c r="BV5424" s="427"/>
      <c r="BW5424" s="427"/>
      <c r="BX5424" s="427"/>
      <c r="BY5424" s="427"/>
      <c r="BZ5424" s="427"/>
    </row>
    <row r="5425" spans="2:78" s="152" customFormat="1" x14ac:dyDescent="0.2">
      <c r="B5425" s="683"/>
      <c r="C5425" s="683"/>
      <c r="D5425" s="698"/>
      <c r="E5425" s="215"/>
      <c r="F5425" s="215"/>
      <c r="G5425" s="427"/>
      <c r="H5425" s="427"/>
      <c r="I5425" s="427"/>
      <c r="J5425" s="427"/>
      <c r="K5425" s="427"/>
      <c r="L5425" s="653"/>
      <c r="M5425" s="666"/>
      <c r="N5425" s="600">
        <v>7.01</v>
      </c>
      <c r="O5425" s="608">
        <v>2.8197999999999997E-2</v>
      </c>
      <c r="P5425" s="782"/>
      <c r="Q5425" s="764"/>
      <c r="R5425" s="764"/>
      <c r="S5425" s="764"/>
      <c r="T5425" s="764"/>
      <c r="U5425" s="764"/>
      <c r="V5425" s="764"/>
      <c r="W5425" s="764"/>
      <c r="X5425" s="764"/>
      <c r="Y5425" s="768"/>
      <c r="Z5425" s="762"/>
      <c r="AA5425" s="150"/>
      <c r="AB5425" s="150">
        <v>72</v>
      </c>
      <c r="AC5425" s="150">
        <v>1.8E-3</v>
      </c>
      <c r="AD5425" s="150">
        <v>12.26</v>
      </c>
      <c r="AE5425" s="150">
        <v>0.74399999999999999</v>
      </c>
      <c r="AF5425" s="223">
        <f t="shared" si="32"/>
        <v>9.1214399999999998</v>
      </c>
      <c r="AG5425" s="223">
        <f t="shared" si="31"/>
        <v>0.76851900577101862</v>
      </c>
      <c r="AH5425" s="346"/>
      <c r="AI5425" s="427"/>
      <c r="AJ5425" s="480"/>
      <c r="AK5425" s="427"/>
      <c r="AU5425" s="218"/>
      <c r="AV5425" s="218"/>
      <c r="AW5425" s="218"/>
      <c r="AX5425" s="218"/>
      <c r="AY5425" s="218"/>
      <c r="AZ5425" s="427"/>
      <c r="BA5425" s="427"/>
      <c r="BB5425" s="427"/>
      <c r="BI5425" s="427"/>
      <c r="BJ5425" s="427"/>
      <c r="BK5425" s="427"/>
      <c r="BL5425" s="427"/>
      <c r="BM5425" s="427"/>
      <c r="BN5425" s="427"/>
      <c r="BO5425" s="427"/>
      <c r="BP5425" s="427"/>
      <c r="BQ5425" s="427"/>
      <c r="BR5425" s="427"/>
      <c r="BS5425" s="427"/>
      <c r="BT5425" s="427"/>
      <c r="BU5425" s="427"/>
      <c r="BV5425" s="427"/>
      <c r="BW5425" s="427"/>
      <c r="BX5425" s="427"/>
      <c r="BY5425" s="427"/>
      <c r="BZ5425" s="427"/>
    </row>
    <row r="5426" spans="2:78" s="152" customFormat="1" x14ac:dyDescent="0.2">
      <c r="B5426" s="683"/>
      <c r="C5426" s="683"/>
      <c r="D5426" s="698"/>
      <c r="E5426" s="215"/>
      <c r="F5426" s="215"/>
      <c r="G5426" s="427"/>
      <c r="H5426" s="427"/>
      <c r="I5426" s="427"/>
      <c r="J5426" s="427"/>
      <c r="K5426" s="427"/>
      <c r="L5426" s="653"/>
      <c r="M5426" s="666"/>
      <c r="N5426" s="600">
        <v>11.42</v>
      </c>
      <c r="O5426" s="608">
        <v>0.13572000000000001</v>
      </c>
      <c r="P5426" s="782"/>
      <c r="Q5426" s="764"/>
      <c r="R5426" s="764"/>
      <c r="S5426" s="764"/>
      <c r="T5426" s="764"/>
      <c r="U5426" s="764"/>
      <c r="V5426" s="764"/>
      <c r="W5426" s="764"/>
      <c r="X5426" s="764"/>
      <c r="Y5426" s="768"/>
      <c r="Z5426" s="762"/>
      <c r="AA5426" s="150"/>
      <c r="AB5426" s="150">
        <v>73</v>
      </c>
      <c r="AC5426" s="150">
        <v>1.9E-3</v>
      </c>
      <c r="AD5426" s="150">
        <v>13.05</v>
      </c>
      <c r="AE5426" s="150">
        <v>0.92</v>
      </c>
      <c r="AF5426" s="223">
        <f t="shared" si="32"/>
        <v>12.006000000000002</v>
      </c>
      <c r="AG5426" s="223">
        <f t="shared" si="31"/>
        <v>0.95119107113110091</v>
      </c>
      <c r="AH5426" s="346"/>
      <c r="AI5426" s="427"/>
      <c r="AJ5426" s="480"/>
      <c r="AK5426" s="427"/>
      <c r="AU5426" s="218"/>
      <c r="AV5426" s="218"/>
      <c r="AW5426" s="218"/>
      <c r="AX5426" s="218"/>
      <c r="AY5426" s="218"/>
      <c r="AZ5426" s="427"/>
      <c r="BA5426" s="427"/>
      <c r="BB5426" s="427"/>
      <c r="BI5426" s="427"/>
      <c r="BJ5426" s="427"/>
      <c r="BK5426" s="427"/>
      <c r="BL5426" s="427"/>
      <c r="BM5426" s="427"/>
      <c r="BN5426" s="427"/>
      <c r="BO5426" s="427"/>
      <c r="BP5426" s="427"/>
      <c r="BQ5426" s="427"/>
      <c r="BR5426" s="427"/>
      <c r="BS5426" s="427"/>
      <c r="BT5426" s="427"/>
      <c r="BU5426" s="427"/>
      <c r="BV5426" s="427"/>
      <c r="BW5426" s="427"/>
      <c r="BX5426" s="427"/>
      <c r="BY5426" s="427"/>
      <c r="BZ5426" s="427"/>
    </row>
    <row r="5427" spans="2:78" s="152" customFormat="1" x14ac:dyDescent="0.2">
      <c r="B5427" s="683"/>
      <c r="C5427" s="683"/>
      <c r="D5427" s="698"/>
      <c r="E5427" s="215"/>
      <c r="F5427" s="215"/>
      <c r="G5427" s="427"/>
      <c r="H5427" s="427"/>
      <c r="I5427" s="427"/>
      <c r="J5427" s="427"/>
      <c r="K5427" s="427"/>
      <c r="L5427" s="653"/>
      <c r="M5427" s="666"/>
      <c r="N5427" s="600">
        <v>14.73</v>
      </c>
      <c r="O5427" s="608">
        <v>0.31842500000000001</v>
      </c>
      <c r="P5427" s="782"/>
      <c r="Q5427" s="764"/>
      <c r="R5427" s="764"/>
      <c r="S5427" s="764"/>
      <c r="T5427" s="764"/>
      <c r="U5427" s="764"/>
      <c r="V5427" s="764"/>
      <c r="W5427" s="764"/>
      <c r="X5427" s="764"/>
      <c r="Y5427" s="768"/>
      <c r="Z5427" s="762"/>
      <c r="AA5427" s="150"/>
      <c r="AB5427" s="150">
        <v>74</v>
      </c>
      <c r="AC5427" s="150">
        <v>2.2000000000000001E-3</v>
      </c>
      <c r="AD5427" s="150">
        <v>13.55</v>
      </c>
      <c r="AE5427" s="150">
        <v>1.0269999999999999</v>
      </c>
      <c r="AF5427" s="223">
        <f t="shared" si="32"/>
        <v>13.915849999999999</v>
      </c>
      <c r="AG5427" s="223">
        <f t="shared" si="31"/>
        <v>1.0585052296482069</v>
      </c>
      <c r="AH5427" s="346"/>
      <c r="AI5427" s="427"/>
      <c r="AJ5427" s="480"/>
      <c r="AK5427" s="427"/>
      <c r="AU5427" s="218"/>
      <c r="AV5427" s="218"/>
      <c r="AW5427" s="218"/>
      <c r="AX5427" s="218"/>
      <c r="AY5427" s="218"/>
      <c r="AZ5427" s="427"/>
      <c r="BA5427" s="427"/>
      <c r="BB5427" s="427"/>
      <c r="BI5427" s="427"/>
      <c r="BJ5427" s="427"/>
      <c r="BK5427" s="427"/>
      <c r="BL5427" s="427"/>
      <c r="BM5427" s="427"/>
      <c r="BN5427" s="427"/>
      <c r="BO5427" s="427"/>
      <c r="BP5427" s="427"/>
      <c r="BQ5427" s="427"/>
      <c r="BR5427" s="427"/>
      <c r="BS5427" s="427"/>
      <c r="BT5427" s="427"/>
      <c r="BU5427" s="427"/>
      <c r="BV5427" s="427"/>
      <c r="BW5427" s="427"/>
      <c r="BX5427" s="427"/>
      <c r="BY5427" s="427"/>
      <c r="BZ5427" s="427"/>
    </row>
    <row r="5428" spans="2:78" s="152" customFormat="1" x14ac:dyDescent="0.2">
      <c r="B5428" s="683"/>
      <c r="C5428" s="683"/>
      <c r="D5428" s="698"/>
      <c r="E5428" s="215"/>
      <c r="F5428" s="215"/>
      <c r="G5428" s="427"/>
      <c r="H5428" s="427"/>
      <c r="I5428" s="427"/>
      <c r="J5428" s="427"/>
      <c r="K5428" s="427"/>
      <c r="L5428" s="653"/>
      <c r="M5428" s="666"/>
      <c r="N5428" s="600">
        <v>17.11</v>
      </c>
      <c r="O5428" s="608">
        <v>0.40281000000000006</v>
      </c>
      <c r="P5428" s="782"/>
      <c r="Q5428" s="764"/>
      <c r="R5428" s="764"/>
      <c r="S5428" s="764"/>
      <c r="T5428" s="764"/>
      <c r="U5428" s="764"/>
      <c r="V5428" s="764"/>
      <c r="W5428" s="764"/>
      <c r="X5428" s="764"/>
      <c r="Y5428" s="768"/>
      <c r="Z5428" s="762"/>
      <c r="AA5428" s="150"/>
      <c r="AB5428" s="150">
        <v>75</v>
      </c>
      <c r="AC5428" s="150">
        <v>2.3999999999999998E-3</v>
      </c>
      <c r="AD5428" s="150">
        <v>13.89</v>
      </c>
      <c r="AE5428" s="150">
        <v>1.097</v>
      </c>
      <c r="AF5428" s="223">
        <f t="shared" si="32"/>
        <v>15.23733</v>
      </c>
      <c r="AG5428" s="223">
        <f t="shared" si="31"/>
        <v>1.1229001406414378</v>
      </c>
      <c r="AH5428" s="346"/>
      <c r="AI5428" s="427"/>
      <c r="AJ5428" s="480"/>
      <c r="AK5428" s="427"/>
      <c r="AU5428" s="218"/>
      <c r="AV5428" s="218"/>
      <c r="AW5428" s="218"/>
      <c r="AX5428" s="218"/>
      <c r="AY5428" s="218"/>
      <c r="AZ5428" s="427"/>
      <c r="BA5428" s="427"/>
      <c r="BB5428" s="427"/>
      <c r="BI5428" s="427"/>
      <c r="BJ5428" s="427"/>
      <c r="BK5428" s="427"/>
      <c r="BL5428" s="427"/>
      <c r="BM5428" s="427"/>
      <c r="BN5428" s="427"/>
      <c r="BO5428" s="427"/>
      <c r="BP5428" s="427"/>
      <c r="BQ5428" s="427"/>
      <c r="BR5428" s="427"/>
      <c r="BS5428" s="427"/>
      <c r="BT5428" s="427"/>
      <c r="BU5428" s="427"/>
      <c r="BV5428" s="427"/>
      <c r="BW5428" s="427"/>
      <c r="BX5428" s="427"/>
      <c r="BY5428" s="427"/>
      <c r="BZ5428" s="427"/>
    </row>
    <row r="5429" spans="2:78" s="152" customFormat="1" x14ac:dyDescent="0.2">
      <c r="B5429" s="683"/>
      <c r="C5429" s="683"/>
      <c r="D5429" s="698"/>
      <c r="E5429" s="215"/>
      <c r="F5429" s="215"/>
      <c r="G5429" s="427"/>
      <c r="H5429" s="427"/>
      <c r="I5429" s="427"/>
      <c r="J5429" s="427"/>
      <c r="K5429" s="427"/>
      <c r="L5429" s="653"/>
      <c r="M5429" s="666"/>
      <c r="N5429" s="600">
        <v>18.82</v>
      </c>
      <c r="O5429" s="608">
        <v>0.94505399999999984</v>
      </c>
      <c r="P5429" s="782"/>
      <c r="Q5429" s="764"/>
      <c r="R5429" s="764"/>
      <c r="S5429" s="764"/>
      <c r="T5429" s="764"/>
      <c r="U5429" s="764"/>
      <c r="V5429" s="764"/>
      <c r="W5429" s="764"/>
      <c r="X5429" s="764"/>
      <c r="Y5429" s="768"/>
      <c r="Z5429" s="762"/>
      <c r="AA5429" s="150"/>
      <c r="AB5429" s="150">
        <v>76</v>
      </c>
      <c r="AC5429" s="150">
        <v>2.7000000000000001E-3</v>
      </c>
      <c r="AD5429" s="150">
        <v>14.19</v>
      </c>
      <c r="AE5429" s="150">
        <v>1.143</v>
      </c>
      <c r="AF5429" s="223">
        <f t="shared" si="32"/>
        <v>16.219169999999998</v>
      </c>
      <c r="AG5429" s="223">
        <f t="shared" si="31"/>
        <v>1.1603553079473241</v>
      </c>
      <c r="AH5429" s="346"/>
      <c r="AI5429" s="427"/>
      <c r="AJ5429" s="480"/>
      <c r="AK5429" s="427"/>
      <c r="AU5429" s="218"/>
      <c r="AV5429" s="218"/>
      <c r="AW5429" s="218"/>
      <c r="AX5429" s="218"/>
      <c r="AY5429" s="218"/>
      <c r="AZ5429" s="427"/>
      <c r="BA5429" s="427"/>
      <c r="BB5429" s="427"/>
      <c r="BI5429" s="427"/>
      <c r="BJ5429" s="427"/>
      <c r="BK5429" s="427"/>
      <c r="BL5429" s="427"/>
      <c r="BM5429" s="427"/>
      <c r="BN5429" s="427"/>
      <c r="BO5429" s="427"/>
      <c r="BP5429" s="427"/>
      <c r="BQ5429" s="427"/>
      <c r="BR5429" s="427"/>
      <c r="BS5429" s="427"/>
      <c r="BT5429" s="427"/>
      <c r="BU5429" s="427"/>
      <c r="BV5429" s="427"/>
      <c r="BW5429" s="427"/>
      <c r="BX5429" s="427"/>
      <c r="BY5429" s="427"/>
      <c r="BZ5429" s="427"/>
    </row>
    <row r="5430" spans="2:78" s="152" customFormat="1" x14ac:dyDescent="0.2">
      <c r="B5430" s="683"/>
      <c r="C5430" s="683"/>
      <c r="D5430" s="698"/>
      <c r="E5430" s="215"/>
      <c r="F5430" s="215"/>
      <c r="G5430" s="427"/>
      <c r="H5430" s="427"/>
      <c r="I5430" s="427"/>
      <c r="J5430" s="427"/>
      <c r="K5430" s="427"/>
      <c r="L5430" s="653"/>
      <c r="M5430" s="666"/>
      <c r="N5430" s="600">
        <v>19.399999999999999</v>
      </c>
      <c r="O5430" s="608">
        <v>0.76148399999999994</v>
      </c>
      <c r="P5430" s="782"/>
      <c r="Q5430" s="764"/>
      <c r="R5430" s="764"/>
      <c r="S5430" s="764"/>
      <c r="T5430" s="764"/>
      <c r="U5430" s="764"/>
      <c r="V5430" s="764"/>
      <c r="W5430" s="764"/>
      <c r="X5430" s="764"/>
      <c r="Y5430" s="768"/>
      <c r="Z5430" s="762"/>
      <c r="AA5430" s="150"/>
      <c r="AB5430" s="150">
        <v>77</v>
      </c>
      <c r="AC5430" s="150">
        <v>3.0000000000000001E-3</v>
      </c>
      <c r="AD5430" s="150">
        <v>14.26</v>
      </c>
      <c r="AE5430" s="150">
        <v>1.1579999999999999</v>
      </c>
      <c r="AF5430" s="223">
        <f t="shared" si="32"/>
        <v>16.513079999999999</v>
      </c>
      <c r="AG5430" s="223">
        <f t="shared" si="31"/>
        <v>1.1748262589413967</v>
      </c>
      <c r="AH5430" s="346"/>
      <c r="AI5430" s="427"/>
      <c r="AJ5430" s="480"/>
      <c r="AK5430" s="427"/>
      <c r="AU5430" s="218"/>
      <c r="AV5430" s="218"/>
      <c r="AW5430" s="218"/>
      <c r="AX5430" s="218"/>
      <c r="AY5430" s="218"/>
      <c r="AZ5430" s="427"/>
      <c r="BA5430" s="427"/>
      <c r="BB5430" s="427"/>
      <c r="BI5430" s="427"/>
      <c r="BJ5430" s="427"/>
      <c r="BK5430" s="427"/>
      <c r="BL5430" s="427"/>
      <c r="BM5430" s="427"/>
      <c r="BN5430" s="427"/>
      <c r="BO5430" s="427"/>
      <c r="BP5430" s="427"/>
      <c r="BQ5430" s="427"/>
      <c r="BR5430" s="427"/>
      <c r="BS5430" s="427"/>
      <c r="BT5430" s="427"/>
      <c r="BU5430" s="427"/>
      <c r="BV5430" s="427"/>
      <c r="BW5430" s="427"/>
      <c r="BX5430" s="427"/>
      <c r="BY5430" s="427"/>
      <c r="BZ5430" s="427"/>
    </row>
    <row r="5431" spans="2:78" s="152" customFormat="1" x14ac:dyDescent="0.2">
      <c r="B5431" s="683"/>
      <c r="C5431" s="683"/>
      <c r="D5431" s="698"/>
      <c r="E5431" s="215"/>
      <c r="F5431" s="215"/>
      <c r="G5431" s="427"/>
      <c r="H5431" s="427"/>
      <c r="I5431" s="427"/>
      <c r="J5431" s="427"/>
      <c r="K5431" s="427"/>
      <c r="L5431" s="653"/>
      <c r="M5431" s="666"/>
      <c r="N5431" s="600">
        <v>18.82</v>
      </c>
      <c r="O5431" s="608">
        <v>0.847638</v>
      </c>
      <c r="P5431" s="782"/>
      <c r="Q5431" s="764"/>
      <c r="R5431" s="764"/>
      <c r="S5431" s="764"/>
      <c r="T5431" s="764"/>
      <c r="U5431" s="764"/>
      <c r="V5431" s="764"/>
      <c r="W5431" s="764"/>
      <c r="X5431" s="764"/>
      <c r="Y5431" s="768"/>
      <c r="Z5431" s="762"/>
      <c r="AA5431" s="150"/>
      <c r="AB5431" s="150">
        <v>78</v>
      </c>
      <c r="AC5431" s="150">
        <v>3.0999999999999999E-3</v>
      </c>
      <c r="AD5431" s="150">
        <v>14.27</v>
      </c>
      <c r="AE5431" s="150">
        <v>1.143</v>
      </c>
      <c r="AF5431" s="223">
        <f t="shared" si="32"/>
        <v>16.31061</v>
      </c>
      <c r="AG5431" s="223">
        <f t="shared" si="31"/>
        <v>1.1538501625628961</v>
      </c>
      <c r="AH5431" s="346"/>
      <c r="AI5431" s="427"/>
      <c r="AJ5431" s="480"/>
      <c r="AK5431" s="427"/>
      <c r="AU5431" s="218"/>
      <c r="AV5431" s="218"/>
      <c r="AW5431" s="218"/>
      <c r="AX5431" s="218"/>
      <c r="AY5431" s="218"/>
      <c r="AZ5431" s="427"/>
      <c r="BA5431" s="427"/>
      <c r="BB5431" s="427"/>
      <c r="BI5431" s="427"/>
      <c r="BJ5431" s="427"/>
      <c r="BK5431" s="427"/>
      <c r="BL5431" s="427"/>
      <c r="BM5431" s="427"/>
      <c r="BN5431" s="427"/>
      <c r="BO5431" s="427"/>
      <c r="BP5431" s="427"/>
      <c r="BQ5431" s="427"/>
      <c r="BR5431" s="427"/>
      <c r="BS5431" s="427"/>
      <c r="BT5431" s="427"/>
      <c r="BU5431" s="427"/>
      <c r="BV5431" s="427"/>
      <c r="BW5431" s="427"/>
      <c r="BX5431" s="427"/>
      <c r="BY5431" s="427"/>
      <c r="BZ5431" s="427"/>
    </row>
    <row r="5432" spans="2:78" s="152" customFormat="1" x14ac:dyDescent="0.2">
      <c r="B5432" s="683"/>
      <c r="C5432" s="683"/>
      <c r="D5432" s="698"/>
      <c r="E5432" s="215"/>
      <c r="F5432" s="215"/>
      <c r="G5432" s="427"/>
      <c r="H5432" s="427"/>
      <c r="I5432" s="427"/>
      <c r="J5432" s="427"/>
      <c r="K5432" s="427"/>
      <c r="L5432" s="653"/>
      <c r="M5432" s="666"/>
      <c r="N5432" s="600">
        <v>17.14</v>
      </c>
      <c r="O5432" s="608">
        <v>0.99608799999999997</v>
      </c>
      <c r="P5432" s="782"/>
      <c r="Q5432" s="764"/>
      <c r="R5432" s="764"/>
      <c r="S5432" s="764"/>
      <c r="T5432" s="764"/>
      <c r="U5432" s="764"/>
      <c r="V5432" s="764"/>
      <c r="W5432" s="764"/>
      <c r="X5432" s="764"/>
      <c r="Y5432" s="768"/>
      <c r="Z5432" s="762"/>
      <c r="AA5432" s="150"/>
      <c r="AB5432" s="150">
        <v>79</v>
      </c>
      <c r="AC5432" s="150">
        <v>2.8E-3</v>
      </c>
      <c r="AD5432" s="150">
        <v>13.99</v>
      </c>
      <c r="AE5432" s="150">
        <v>1.097</v>
      </c>
      <c r="AF5432" s="223">
        <f t="shared" si="32"/>
        <v>15.34703</v>
      </c>
      <c r="AG5432" s="223">
        <f t="shared" si="31"/>
        <v>1.1168284677882301</v>
      </c>
      <c r="AH5432" s="346"/>
      <c r="AI5432" s="427"/>
      <c r="AJ5432" s="480"/>
      <c r="AK5432" s="427"/>
      <c r="AU5432" s="218"/>
      <c r="AV5432" s="218"/>
      <c r="AW5432" s="218"/>
      <c r="AX5432" s="218"/>
      <c r="AY5432" s="218"/>
      <c r="AZ5432" s="427"/>
      <c r="BA5432" s="427"/>
      <c r="BB5432" s="427"/>
      <c r="BI5432" s="427"/>
      <c r="BJ5432" s="427"/>
      <c r="BK5432" s="427"/>
      <c r="BL5432" s="427"/>
      <c r="BM5432" s="427"/>
      <c r="BN5432" s="427"/>
      <c r="BO5432" s="427"/>
      <c r="BP5432" s="427"/>
      <c r="BQ5432" s="427"/>
      <c r="BR5432" s="427"/>
      <c r="BS5432" s="427"/>
      <c r="BT5432" s="427"/>
      <c r="BU5432" s="427"/>
      <c r="BV5432" s="427"/>
      <c r="BW5432" s="427"/>
      <c r="BX5432" s="427"/>
      <c r="BY5432" s="427"/>
      <c r="BZ5432" s="427"/>
    </row>
    <row r="5433" spans="2:78" s="152" customFormat="1" x14ac:dyDescent="0.2">
      <c r="B5433" s="683"/>
      <c r="C5433" s="683"/>
      <c r="D5433" s="698"/>
      <c r="E5433" s="215"/>
      <c r="F5433" s="215"/>
      <c r="G5433" s="427"/>
      <c r="H5433" s="427"/>
      <c r="I5433" s="427"/>
      <c r="J5433" s="427"/>
      <c r="K5433" s="427"/>
      <c r="L5433" s="653"/>
      <c r="M5433" s="666"/>
      <c r="N5433" s="600">
        <v>14.06</v>
      </c>
      <c r="O5433" s="608">
        <v>0.90853399999999984</v>
      </c>
      <c r="P5433" s="782"/>
      <c r="Q5433" s="764"/>
      <c r="R5433" s="764"/>
      <c r="S5433" s="764"/>
      <c r="T5433" s="764"/>
      <c r="U5433" s="764"/>
      <c r="V5433" s="764"/>
      <c r="W5433" s="764"/>
      <c r="X5433" s="764"/>
      <c r="Y5433" s="768"/>
      <c r="Z5433" s="762"/>
      <c r="AA5433" s="150"/>
      <c r="AB5433" s="150">
        <v>80</v>
      </c>
      <c r="AC5433" s="150">
        <v>2.5000000000000001E-3</v>
      </c>
      <c r="AD5433" s="150">
        <v>13.54</v>
      </c>
      <c r="AE5433" s="150">
        <v>1.0069999999999999</v>
      </c>
      <c r="AF5433" s="223">
        <f t="shared" si="32"/>
        <v>13.634779999999997</v>
      </c>
      <c r="AG5433" s="223">
        <f t="shared" si="31"/>
        <v>1.0311864217831166</v>
      </c>
      <c r="AH5433" s="346"/>
      <c r="AI5433" s="427"/>
      <c r="AJ5433" s="480"/>
      <c r="AK5433" s="427"/>
      <c r="AU5433" s="218"/>
      <c r="AV5433" s="218"/>
      <c r="AW5433" s="218"/>
      <c r="AX5433" s="218"/>
      <c r="AY5433" s="218"/>
      <c r="AZ5433" s="427"/>
      <c r="BA5433" s="427"/>
      <c r="BB5433" s="427"/>
      <c r="BI5433" s="427"/>
      <c r="BJ5433" s="427"/>
      <c r="BK5433" s="427"/>
      <c r="BL5433" s="427"/>
      <c r="BM5433" s="427"/>
      <c r="BN5433" s="427"/>
      <c r="BO5433" s="427"/>
      <c r="BP5433" s="427"/>
      <c r="BQ5433" s="427"/>
      <c r="BR5433" s="427"/>
      <c r="BS5433" s="427"/>
      <c r="BT5433" s="427"/>
      <c r="BU5433" s="427"/>
      <c r="BV5433" s="427"/>
      <c r="BW5433" s="427"/>
      <c r="BX5433" s="427"/>
      <c r="BY5433" s="427"/>
      <c r="BZ5433" s="427"/>
    </row>
    <row r="5434" spans="2:78" s="152" customFormat="1" x14ac:dyDescent="0.2">
      <c r="B5434" s="683"/>
      <c r="C5434" s="683"/>
      <c r="D5434" s="698"/>
      <c r="E5434" s="215"/>
      <c r="F5434" s="215"/>
      <c r="G5434" s="427"/>
      <c r="H5434" s="427"/>
      <c r="I5434" s="427"/>
      <c r="J5434" s="427"/>
      <c r="K5434" s="427"/>
      <c r="L5434" s="653"/>
      <c r="M5434" s="666"/>
      <c r="N5434" s="600">
        <v>11.17</v>
      </c>
      <c r="O5434" s="608">
        <v>0.19605</v>
      </c>
      <c r="P5434" s="782"/>
      <c r="Q5434" s="764"/>
      <c r="R5434" s="764"/>
      <c r="S5434" s="764"/>
      <c r="T5434" s="764"/>
      <c r="U5434" s="764"/>
      <c r="V5434" s="764"/>
      <c r="W5434" s="764"/>
      <c r="X5434" s="764"/>
      <c r="Y5434" s="768"/>
      <c r="Z5434" s="762"/>
      <c r="AA5434" s="150"/>
      <c r="AB5434" s="150">
        <v>81</v>
      </c>
      <c r="AC5434" s="150">
        <v>2.3E-3</v>
      </c>
      <c r="AD5434" s="150">
        <v>13.07</v>
      </c>
      <c r="AE5434" s="150">
        <v>0.91100000000000003</v>
      </c>
      <c r="AF5434" s="223">
        <f t="shared" si="32"/>
        <v>11.90677</v>
      </c>
      <c r="AG5434" s="223">
        <f t="shared" si="31"/>
        <v>0.93812175762192429</v>
      </c>
      <c r="AH5434" s="346"/>
      <c r="AI5434" s="427"/>
      <c r="AJ5434" s="480"/>
      <c r="AK5434" s="427"/>
      <c r="AU5434" s="218"/>
      <c r="AV5434" s="218"/>
      <c r="AW5434" s="218"/>
      <c r="AX5434" s="218"/>
      <c r="AY5434" s="218"/>
      <c r="AZ5434" s="427"/>
      <c r="BA5434" s="427"/>
      <c r="BB5434" s="427"/>
      <c r="BI5434" s="427"/>
      <c r="BJ5434" s="427"/>
      <c r="BK5434" s="427"/>
      <c r="BL5434" s="427"/>
      <c r="BM5434" s="427"/>
      <c r="BN5434" s="427"/>
      <c r="BO5434" s="427"/>
      <c r="BP5434" s="427"/>
      <c r="BQ5434" s="427"/>
      <c r="BR5434" s="427"/>
      <c r="BS5434" s="427"/>
      <c r="BT5434" s="427"/>
      <c r="BU5434" s="427"/>
      <c r="BV5434" s="427"/>
      <c r="BW5434" s="427"/>
      <c r="BX5434" s="427"/>
      <c r="BY5434" s="427"/>
      <c r="BZ5434" s="427"/>
    </row>
    <row r="5435" spans="2:78" s="152" customFormat="1" x14ac:dyDescent="0.2">
      <c r="B5435" s="683"/>
      <c r="C5435" s="683"/>
      <c r="D5435" s="698"/>
      <c r="E5435" s="215"/>
      <c r="F5435" s="215"/>
      <c r="G5435" s="427"/>
      <c r="H5435" s="427"/>
      <c r="I5435" s="427"/>
      <c r="J5435" s="427"/>
      <c r="K5435" s="427"/>
      <c r="L5435" s="653"/>
      <c r="M5435" s="666"/>
      <c r="N5435" s="600">
        <v>9.6999999999999993</v>
      </c>
      <c r="O5435" s="608">
        <v>0.1605</v>
      </c>
      <c r="P5435" s="782"/>
      <c r="Q5435" s="764"/>
      <c r="R5435" s="764"/>
      <c r="S5435" s="764"/>
      <c r="T5435" s="764"/>
      <c r="U5435" s="764"/>
      <c r="V5435" s="764"/>
      <c r="W5435" s="764"/>
      <c r="X5435" s="764"/>
      <c r="Y5435" s="768"/>
      <c r="Z5435" s="762"/>
      <c r="AA5435" s="150"/>
      <c r="AB5435" s="150">
        <v>82</v>
      </c>
      <c r="AC5435" s="150">
        <v>2.2000000000000001E-3</v>
      </c>
      <c r="AD5435" s="150">
        <v>12.84</v>
      </c>
      <c r="AE5435" s="150">
        <v>0.85599999999999998</v>
      </c>
      <c r="AF5435" s="223">
        <f t="shared" si="32"/>
        <v>10.99104</v>
      </c>
      <c r="AG5435" s="223">
        <f t="shared" si="31"/>
        <v>0.88253704835939084</v>
      </c>
      <c r="AH5435" s="346"/>
      <c r="AI5435" s="427"/>
      <c r="AJ5435" s="480"/>
      <c r="AK5435" s="427"/>
      <c r="AU5435" s="218"/>
      <c r="AV5435" s="218"/>
      <c r="AW5435" s="218"/>
      <c r="AX5435" s="218"/>
      <c r="AY5435" s="218"/>
      <c r="AZ5435" s="427"/>
      <c r="BA5435" s="427"/>
      <c r="BB5435" s="427"/>
      <c r="BI5435" s="427"/>
      <c r="BJ5435" s="427"/>
      <c r="BK5435" s="427"/>
      <c r="BL5435" s="427"/>
      <c r="BM5435" s="427"/>
      <c r="BN5435" s="427"/>
      <c r="BO5435" s="427"/>
      <c r="BP5435" s="427"/>
      <c r="BQ5435" s="427"/>
      <c r="BR5435" s="427"/>
      <c r="BS5435" s="427"/>
      <c r="BT5435" s="427"/>
      <c r="BU5435" s="427"/>
      <c r="BV5435" s="427"/>
      <c r="BW5435" s="427"/>
      <c r="BX5435" s="427"/>
      <c r="BY5435" s="427"/>
      <c r="BZ5435" s="427"/>
    </row>
    <row r="5436" spans="2:78" s="152" customFormat="1" x14ac:dyDescent="0.2">
      <c r="B5436" s="683"/>
      <c r="C5436" s="683"/>
      <c r="D5436" s="698"/>
      <c r="E5436" s="215"/>
      <c r="F5436" s="215"/>
      <c r="G5436" s="427"/>
      <c r="H5436" s="427"/>
      <c r="I5436" s="427"/>
      <c r="J5436" s="427"/>
      <c r="K5436" s="427"/>
      <c r="L5436" s="653"/>
      <c r="M5436" s="666"/>
      <c r="N5436" s="600">
        <v>8.94</v>
      </c>
      <c r="O5436" s="608">
        <v>9.7251000000000004E-2</v>
      </c>
      <c r="P5436" s="782"/>
      <c r="Q5436" s="764"/>
      <c r="R5436" s="764"/>
      <c r="S5436" s="764"/>
      <c r="T5436" s="764"/>
      <c r="U5436" s="764"/>
      <c r="V5436" s="764"/>
      <c r="W5436" s="764"/>
      <c r="X5436" s="764"/>
      <c r="Y5436" s="768"/>
      <c r="Z5436" s="762"/>
      <c r="AA5436" s="150"/>
      <c r="AB5436" s="150">
        <v>83</v>
      </c>
      <c r="AC5436" s="150">
        <v>2E-3</v>
      </c>
      <c r="AD5436" s="150">
        <v>12.63</v>
      </c>
      <c r="AE5436" s="150">
        <v>0.82699999999999996</v>
      </c>
      <c r="AF5436" s="223">
        <f t="shared" si="32"/>
        <v>10.44501</v>
      </c>
      <c r="AG5436" s="223">
        <f t="shared" si="31"/>
        <v>0.85591110013298211</v>
      </c>
      <c r="AH5436" s="346"/>
      <c r="AI5436" s="427"/>
      <c r="AJ5436" s="480"/>
      <c r="AK5436" s="427"/>
      <c r="AU5436" s="218"/>
      <c r="AV5436" s="218"/>
      <c r="AW5436" s="218"/>
      <c r="AX5436" s="218"/>
      <c r="AY5436" s="218"/>
      <c r="AZ5436" s="427"/>
      <c r="BA5436" s="427"/>
      <c r="BB5436" s="427"/>
      <c r="BI5436" s="427"/>
      <c r="BJ5436" s="427"/>
      <c r="BK5436" s="427"/>
      <c r="BL5436" s="427"/>
      <c r="BM5436" s="427"/>
      <c r="BN5436" s="427"/>
      <c r="BO5436" s="427"/>
      <c r="BP5436" s="427"/>
      <c r="BQ5436" s="427"/>
      <c r="BR5436" s="427"/>
      <c r="BS5436" s="427"/>
      <c r="BT5436" s="427"/>
      <c r="BU5436" s="427"/>
      <c r="BV5436" s="427"/>
      <c r="BW5436" s="427"/>
      <c r="BX5436" s="427"/>
      <c r="BY5436" s="427"/>
      <c r="BZ5436" s="427"/>
    </row>
    <row r="5437" spans="2:78" s="152" customFormat="1" x14ac:dyDescent="0.2">
      <c r="B5437" s="683"/>
      <c r="C5437" s="683"/>
      <c r="D5437" s="698"/>
      <c r="E5437" s="215"/>
      <c r="F5437" s="215"/>
      <c r="G5437" s="427"/>
      <c r="H5437" s="427"/>
      <c r="I5437" s="427"/>
      <c r="J5437" s="427"/>
      <c r="K5437" s="427"/>
      <c r="L5437" s="653"/>
      <c r="M5437" s="666"/>
      <c r="N5437" s="600">
        <v>9.84</v>
      </c>
      <c r="O5437" s="608">
        <v>0.40927999999999998</v>
      </c>
      <c r="P5437" s="782"/>
      <c r="Q5437" s="764"/>
      <c r="R5437" s="764"/>
      <c r="S5437" s="764"/>
      <c r="T5437" s="764"/>
      <c r="U5437" s="764"/>
      <c r="V5437" s="764"/>
      <c r="W5437" s="764"/>
      <c r="X5437" s="764"/>
      <c r="Y5437" s="768"/>
      <c r="Z5437" s="762"/>
      <c r="AA5437" s="150"/>
      <c r="AB5437" s="150">
        <v>84</v>
      </c>
      <c r="AC5437" s="150">
        <v>2E-3</v>
      </c>
      <c r="AD5437" s="150">
        <v>12.79</v>
      </c>
      <c r="AE5437" s="150">
        <v>0.86199999999999999</v>
      </c>
      <c r="AF5437" s="223">
        <f t="shared" si="32"/>
        <v>11.024979999999999</v>
      </c>
      <c r="AG5437" s="223">
        <f t="shared" si="31"/>
        <v>0.89251862588412867</v>
      </c>
      <c r="AH5437" s="346"/>
      <c r="AI5437" s="427"/>
      <c r="AJ5437" s="480"/>
      <c r="AK5437" s="427"/>
      <c r="AU5437" s="218"/>
      <c r="AV5437" s="218"/>
      <c r="AW5437" s="218"/>
      <c r="AX5437" s="218"/>
      <c r="AY5437" s="218"/>
      <c r="AZ5437" s="427"/>
      <c r="BA5437" s="427"/>
      <c r="BB5437" s="427"/>
      <c r="BI5437" s="427"/>
      <c r="BJ5437" s="427"/>
      <c r="BK5437" s="427"/>
      <c r="BL5437" s="427"/>
      <c r="BM5437" s="427"/>
      <c r="BN5437" s="427"/>
      <c r="BO5437" s="427"/>
      <c r="BP5437" s="427"/>
      <c r="BQ5437" s="427"/>
      <c r="BR5437" s="427"/>
      <c r="BS5437" s="427"/>
      <c r="BT5437" s="427"/>
      <c r="BU5437" s="427"/>
      <c r="BV5437" s="427"/>
      <c r="BW5437" s="427"/>
      <c r="BX5437" s="427"/>
      <c r="BY5437" s="427"/>
      <c r="BZ5437" s="427"/>
    </row>
    <row r="5438" spans="2:78" s="152" customFormat="1" x14ac:dyDescent="0.2">
      <c r="B5438" s="683"/>
      <c r="C5438" s="683"/>
      <c r="D5438" s="698"/>
      <c r="E5438" s="215"/>
      <c r="F5438" s="215"/>
      <c r="G5438" s="427"/>
      <c r="H5438" s="427"/>
      <c r="I5438" s="427"/>
      <c r="J5438" s="427"/>
      <c r="K5438" s="427"/>
      <c r="L5438" s="653"/>
      <c r="M5438" s="666"/>
      <c r="N5438" s="600">
        <v>10.41</v>
      </c>
      <c r="O5438" s="608">
        <v>0.176867</v>
      </c>
      <c r="P5438" s="782"/>
      <c r="Q5438" s="764"/>
      <c r="R5438" s="764"/>
      <c r="S5438" s="764"/>
      <c r="T5438" s="764"/>
      <c r="U5438" s="764"/>
      <c r="V5438" s="764"/>
      <c r="W5438" s="764"/>
      <c r="X5438" s="764"/>
      <c r="Y5438" s="768"/>
      <c r="Z5438" s="762"/>
      <c r="AA5438" s="150"/>
      <c r="AB5438" s="150">
        <v>85</v>
      </c>
      <c r="AC5438" s="150">
        <v>2.0999999999999999E-3</v>
      </c>
      <c r="AD5438" s="150">
        <v>12.91</v>
      </c>
      <c r="AE5438" s="150">
        <v>0.88300000000000001</v>
      </c>
      <c r="AF5438" s="223">
        <f t="shared" si="32"/>
        <v>11.39953</v>
      </c>
      <c r="AG5438" s="223">
        <f t="shared" si="31"/>
        <v>0.91319554402681513</v>
      </c>
      <c r="AH5438" s="346"/>
      <c r="AI5438" s="427"/>
      <c r="AJ5438" s="480"/>
      <c r="AK5438" s="427"/>
      <c r="AU5438" s="218"/>
      <c r="AV5438" s="218"/>
      <c r="AW5438" s="218"/>
      <c r="AX5438" s="218"/>
      <c r="AY5438" s="218"/>
      <c r="AZ5438" s="427"/>
      <c r="BA5438" s="427"/>
      <c r="BB5438" s="427"/>
      <c r="BI5438" s="427"/>
      <c r="BJ5438" s="427"/>
      <c r="BK5438" s="427"/>
      <c r="BL5438" s="427"/>
      <c r="BM5438" s="427"/>
      <c r="BN5438" s="427"/>
      <c r="BO5438" s="427"/>
      <c r="BP5438" s="427"/>
      <c r="BQ5438" s="427"/>
      <c r="BR5438" s="427"/>
      <c r="BS5438" s="427"/>
      <c r="BT5438" s="427"/>
      <c r="BU5438" s="427"/>
      <c r="BV5438" s="427"/>
      <c r="BW5438" s="427"/>
      <c r="BX5438" s="427"/>
      <c r="BY5438" s="427"/>
      <c r="BZ5438" s="427"/>
    </row>
    <row r="5439" spans="2:78" s="152" customFormat="1" x14ac:dyDescent="0.2">
      <c r="B5439" s="683"/>
      <c r="C5439" s="683"/>
      <c r="D5439" s="698"/>
      <c r="E5439" s="215"/>
      <c r="F5439" s="215"/>
      <c r="G5439" s="427"/>
      <c r="H5439" s="427"/>
      <c r="I5439" s="427"/>
      <c r="J5439" s="427"/>
      <c r="K5439" s="427"/>
      <c r="L5439" s="653"/>
      <c r="M5439" s="666"/>
      <c r="N5439" s="600">
        <v>10.199999999999999</v>
      </c>
      <c r="O5439" s="608">
        <v>0.36008000000000001</v>
      </c>
      <c r="P5439" s="782"/>
      <c r="Q5439" s="764"/>
      <c r="R5439" s="764"/>
      <c r="S5439" s="764"/>
      <c r="T5439" s="764"/>
      <c r="U5439" s="764"/>
      <c r="V5439" s="764"/>
      <c r="W5439" s="764"/>
      <c r="X5439" s="764"/>
      <c r="Y5439" s="768"/>
      <c r="Z5439" s="762"/>
      <c r="AA5439" s="150"/>
      <c r="AB5439" s="150">
        <v>86</v>
      </c>
      <c r="AC5439" s="150">
        <v>2.0999999999999999E-3</v>
      </c>
      <c r="AD5439" s="150">
        <v>12.86</v>
      </c>
      <c r="AE5439" s="150">
        <v>0.876</v>
      </c>
      <c r="AF5439" s="223">
        <f t="shared" si="32"/>
        <v>11.265359999999999</v>
      </c>
      <c r="AG5439" s="223">
        <f t="shared" si="31"/>
        <v>0.90543045228914121</v>
      </c>
      <c r="AH5439" s="346"/>
      <c r="AI5439" s="427"/>
      <c r="AJ5439" s="480"/>
      <c r="AK5439" s="427"/>
      <c r="AU5439" s="218"/>
      <c r="AV5439" s="218"/>
      <c r="AW5439" s="218"/>
      <c r="AX5439" s="218"/>
      <c r="AY5439" s="218"/>
      <c r="AZ5439" s="427"/>
      <c r="BA5439" s="427"/>
      <c r="BB5439" s="427"/>
      <c r="BI5439" s="427"/>
      <c r="BJ5439" s="427"/>
      <c r="BK5439" s="427"/>
      <c r="BL5439" s="427"/>
      <c r="BM5439" s="427"/>
      <c r="BN5439" s="427"/>
      <c r="BO5439" s="427"/>
      <c r="BP5439" s="427"/>
      <c r="BQ5439" s="427"/>
      <c r="BR5439" s="427"/>
      <c r="BS5439" s="427"/>
      <c r="BT5439" s="427"/>
      <c r="BU5439" s="427"/>
      <c r="BV5439" s="427"/>
      <c r="BW5439" s="427"/>
      <c r="BX5439" s="427"/>
      <c r="BY5439" s="427"/>
      <c r="BZ5439" s="427"/>
    </row>
    <row r="5440" spans="2:78" s="152" customFormat="1" x14ac:dyDescent="0.2">
      <c r="B5440" s="683"/>
      <c r="C5440" s="683"/>
      <c r="D5440" s="698"/>
      <c r="E5440" s="215"/>
      <c r="F5440" s="215"/>
      <c r="G5440" s="427"/>
      <c r="H5440" s="427"/>
      <c r="I5440" s="427"/>
      <c r="J5440" s="427"/>
      <c r="K5440" s="427"/>
      <c r="L5440" s="653"/>
      <c r="M5440" s="666"/>
      <c r="N5440" s="600">
        <v>9.41</v>
      </c>
      <c r="O5440" s="608">
        <v>0.149058</v>
      </c>
      <c r="P5440" s="782"/>
      <c r="Q5440" s="764"/>
      <c r="R5440" s="764"/>
      <c r="S5440" s="764"/>
      <c r="T5440" s="764"/>
      <c r="U5440" s="764"/>
      <c r="V5440" s="764"/>
      <c r="W5440" s="764"/>
      <c r="X5440" s="764"/>
      <c r="Y5440" s="768"/>
      <c r="Z5440" s="762"/>
      <c r="AA5440" s="150"/>
      <c r="AB5440" s="150">
        <v>87</v>
      </c>
      <c r="AC5440" s="150">
        <v>2.0999999999999999E-3</v>
      </c>
      <c r="AD5440" s="150">
        <v>12.74</v>
      </c>
      <c r="AE5440" s="150">
        <v>0.84499999999999997</v>
      </c>
      <c r="AF5440" s="223">
        <f t="shared" si="32"/>
        <v>10.7653</v>
      </c>
      <c r="AG5440" s="223">
        <f t="shared" si="31"/>
        <v>0.87410476252403557</v>
      </c>
      <c r="AH5440" s="346"/>
      <c r="AI5440" s="427"/>
      <c r="AJ5440" s="480"/>
      <c r="AK5440" s="427"/>
      <c r="AU5440" s="218"/>
      <c r="AV5440" s="218"/>
      <c r="AW5440" s="218"/>
      <c r="AX5440" s="218"/>
      <c r="AY5440" s="218"/>
      <c r="AZ5440" s="427"/>
      <c r="BA5440" s="427"/>
      <c r="BB5440" s="427"/>
      <c r="BI5440" s="427"/>
      <c r="BJ5440" s="427"/>
      <c r="BK5440" s="427"/>
      <c r="BL5440" s="427"/>
      <c r="BM5440" s="427"/>
      <c r="BN5440" s="427"/>
      <c r="BO5440" s="427"/>
      <c r="BP5440" s="427"/>
      <c r="BQ5440" s="427"/>
      <c r="BR5440" s="427"/>
      <c r="BS5440" s="427"/>
      <c r="BT5440" s="427"/>
      <c r="BU5440" s="427"/>
      <c r="BV5440" s="427"/>
      <c r="BW5440" s="427"/>
      <c r="BX5440" s="427"/>
      <c r="BY5440" s="427"/>
      <c r="BZ5440" s="427"/>
    </row>
    <row r="5441" spans="2:78" s="152" customFormat="1" x14ac:dyDescent="0.2">
      <c r="B5441" s="683"/>
      <c r="C5441" s="683"/>
      <c r="D5441" s="698"/>
      <c r="E5441" s="215"/>
      <c r="F5441" s="215"/>
      <c r="G5441" s="427"/>
      <c r="H5441" s="427"/>
      <c r="I5441" s="427"/>
      <c r="J5441" s="427"/>
      <c r="K5441" s="427"/>
      <c r="L5441" s="653"/>
      <c r="M5441" s="666"/>
      <c r="N5441" s="600">
        <v>9.2100000000000009</v>
      </c>
      <c r="O5441" s="608">
        <v>0.13335</v>
      </c>
      <c r="P5441" s="782"/>
      <c r="Q5441" s="764"/>
      <c r="R5441" s="764"/>
      <c r="S5441" s="764"/>
      <c r="T5441" s="764"/>
      <c r="U5441" s="764"/>
      <c r="V5441" s="764"/>
      <c r="W5441" s="764"/>
      <c r="X5441" s="764"/>
      <c r="Y5441" s="768"/>
      <c r="Z5441" s="762"/>
      <c r="AA5441" s="150"/>
      <c r="AB5441" s="150">
        <v>88</v>
      </c>
      <c r="AC5441" s="150">
        <v>2.0999999999999999E-3</v>
      </c>
      <c r="AD5441" s="150">
        <v>12.7</v>
      </c>
      <c r="AE5441" s="150">
        <v>0.83699999999999997</v>
      </c>
      <c r="AF5441" s="223">
        <f t="shared" si="32"/>
        <v>10.629899999999999</v>
      </c>
      <c r="AG5441" s="223">
        <f t="shared" si="31"/>
        <v>0.86642395507013248</v>
      </c>
      <c r="AH5441" s="346"/>
      <c r="AI5441" s="427"/>
      <c r="AJ5441" s="480"/>
      <c r="AK5441" s="427"/>
      <c r="AU5441" s="218"/>
      <c r="AV5441" s="218"/>
      <c r="AW5441" s="218"/>
      <c r="AX5441" s="218"/>
      <c r="AY5441" s="218"/>
      <c r="AZ5441" s="427"/>
      <c r="BA5441" s="427"/>
      <c r="BB5441" s="427"/>
      <c r="BI5441" s="427"/>
      <c r="BJ5441" s="427"/>
      <c r="BK5441" s="427"/>
      <c r="BL5441" s="427"/>
      <c r="BM5441" s="427"/>
      <c r="BN5441" s="427"/>
      <c r="BO5441" s="427"/>
      <c r="BP5441" s="427"/>
      <c r="BQ5441" s="427"/>
      <c r="BR5441" s="427"/>
      <c r="BS5441" s="427"/>
      <c r="BT5441" s="427"/>
      <c r="BU5441" s="427"/>
      <c r="BV5441" s="427"/>
      <c r="BW5441" s="427"/>
      <c r="BX5441" s="427"/>
      <c r="BY5441" s="427"/>
      <c r="BZ5441" s="427"/>
    </row>
    <row r="5442" spans="2:78" s="152" customFormat="1" x14ac:dyDescent="0.2">
      <c r="B5442" s="683"/>
      <c r="C5442" s="683"/>
      <c r="D5442" s="698"/>
      <c r="E5442" s="215"/>
      <c r="F5442" s="215"/>
      <c r="G5442" s="427"/>
      <c r="H5442" s="427"/>
      <c r="I5442" s="427"/>
      <c r="J5442" s="427"/>
      <c r="K5442" s="427"/>
      <c r="L5442" s="653"/>
      <c r="M5442" s="666"/>
      <c r="N5442" s="600">
        <v>9.08</v>
      </c>
      <c r="O5442" s="608">
        <v>0.12837100000000001</v>
      </c>
      <c r="P5442" s="782"/>
      <c r="Q5442" s="764"/>
      <c r="R5442" s="764"/>
      <c r="S5442" s="764"/>
      <c r="T5442" s="764"/>
      <c r="U5442" s="764"/>
      <c r="V5442" s="764"/>
      <c r="W5442" s="764"/>
      <c r="X5442" s="764"/>
      <c r="Y5442" s="768"/>
      <c r="Z5442" s="762"/>
      <c r="AA5442" s="150"/>
      <c r="AB5442" s="150">
        <v>89</v>
      </c>
      <c r="AC5442" s="150">
        <v>2.0999999999999999E-3</v>
      </c>
      <c r="AD5442" s="150">
        <v>12.71</v>
      </c>
      <c r="AE5442" s="150">
        <v>0.83199999999999996</v>
      </c>
      <c r="AF5442" s="223">
        <f t="shared" si="32"/>
        <v>10.574720000000001</v>
      </c>
      <c r="AG5442" s="223">
        <f t="shared" si="31"/>
        <v>0.85865157659020752</v>
      </c>
      <c r="AH5442" s="346"/>
      <c r="AI5442" s="427"/>
      <c r="AJ5442" s="480"/>
      <c r="AK5442" s="427"/>
      <c r="AU5442" s="218"/>
      <c r="AV5442" s="218"/>
      <c r="AW5442" s="218"/>
      <c r="AX5442" s="218"/>
      <c r="AY5442" s="218"/>
      <c r="AZ5442" s="427"/>
      <c r="BA5442" s="427"/>
      <c r="BB5442" s="427"/>
      <c r="BI5442" s="427"/>
      <c r="BJ5442" s="427"/>
      <c r="BK5442" s="427"/>
      <c r="BL5442" s="427"/>
      <c r="BM5442" s="427"/>
      <c r="BN5442" s="427"/>
      <c r="BO5442" s="427"/>
      <c r="BP5442" s="427"/>
      <c r="BQ5442" s="427"/>
      <c r="BR5442" s="427"/>
      <c r="BS5442" s="427"/>
      <c r="BT5442" s="427"/>
      <c r="BU5442" s="427"/>
      <c r="BV5442" s="427"/>
      <c r="BW5442" s="427"/>
      <c r="BX5442" s="427"/>
      <c r="BY5442" s="427"/>
      <c r="BZ5442" s="427"/>
    </row>
    <row r="5443" spans="2:78" s="152" customFormat="1" x14ac:dyDescent="0.2">
      <c r="B5443" s="683"/>
      <c r="C5443" s="683"/>
      <c r="D5443" s="698"/>
      <c r="E5443" s="215"/>
      <c r="F5443" s="215"/>
      <c r="G5443" s="427"/>
      <c r="H5443" s="427"/>
      <c r="I5443" s="427"/>
      <c r="J5443" s="427"/>
      <c r="K5443" s="427"/>
      <c r="L5443" s="653"/>
      <c r="M5443" s="666"/>
      <c r="N5443" s="600">
        <v>7.99</v>
      </c>
      <c r="O5443" s="608">
        <v>8.8962999999999987E-2</v>
      </c>
      <c r="P5443" s="782"/>
      <c r="Q5443" s="764"/>
      <c r="R5443" s="764"/>
      <c r="S5443" s="764"/>
      <c r="T5443" s="764"/>
      <c r="U5443" s="764"/>
      <c r="V5443" s="764"/>
      <c r="W5443" s="764"/>
      <c r="X5443" s="764"/>
      <c r="Y5443" s="768"/>
      <c r="Z5443" s="762"/>
      <c r="AA5443" s="150"/>
      <c r="AB5443" s="150">
        <v>90</v>
      </c>
      <c r="AC5443" s="150">
        <v>2E-3</v>
      </c>
      <c r="AD5443" s="150">
        <v>12.53</v>
      </c>
      <c r="AE5443" s="150">
        <v>0.78700000000000003</v>
      </c>
      <c r="AF5443" s="223">
        <f t="shared" si="32"/>
        <v>9.86111</v>
      </c>
      <c r="AG5443" s="223">
        <f t="shared" si="31"/>
        <v>0.81025361242294225</v>
      </c>
      <c r="AH5443" s="346"/>
      <c r="AI5443" s="427"/>
      <c r="AJ5443" s="480"/>
      <c r="AK5443" s="427"/>
      <c r="AU5443" s="218"/>
      <c r="AV5443" s="218"/>
      <c r="AW5443" s="218"/>
      <c r="AX5443" s="218"/>
      <c r="AY5443" s="218"/>
      <c r="AZ5443" s="427"/>
      <c r="BA5443" s="427"/>
      <c r="BB5443" s="427"/>
      <c r="BI5443" s="427"/>
      <c r="BJ5443" s="427"/>
      <c r="BK5443" s="427"/>
      <c r="BL5443" s="427"/>
      <c r="BM5443" s="427"/>
      <c r="BN5443" s="427"/>
      <c r="BO5443" s="427"/>
      <c r="BP5443" s="427"/>
      <c r="BQ5443" s="427"/>
      <c r="BR5443" s="427"/>
      <c r="BS5443" s="427"/>
      <c r="BT5443" s="427"/>
      <c r="BU5443" s="427"/>
      <c r="BV5443" s="427"/>
      <c r="BW5443" s="427"/>
      <c r="BX5443" s="427"/>
      <c r="BY5443" s="427"/>
      <c r="BZ5443" s="427"/>
    </row>
    <row r="5444" spans="2:78" s="152" customFormat="1" x14ac:dyDescent="0.2">
      <c r="B5444" s="683"/>
      <c r="C5444" s="683"/>
      <c r="D5444" s="698"/>
      <c r="E5444" s="215"/>
      <c r="F5444" s="215"/>
      <c r="G5444" s="427"/>
      <c r="H5444" s="427"/>
      <c r="I5444" s="427"/>
      <c r="J5444" s="427"/>
      <c r="K5444" s="427"/>
      <c r="L5444" s="653"/>
      <c r="M5444" s="666"/>
      <c r="N5444" s="600">
        <v>6.69</v>
      </c>
      <c r="O5444" s="608">
        <v>0.13048600000000002</v>
      </c>
      <c r="P5444" s="782"/>
      <c r="Q5444" s="764"/>
      <c r="R5444" s="764"/>
      <c r="S5444" s="764"/>
      <c r="T5444" s="764"/>
      <c r="U5444" s="764"/>
      <c r="V5444" s="764"/>
      <c r="W5444" s="764"/>
      <c r="X5444" s="764"/>
      <c r="Y5444" s="768"/>
      <c r="Z5444" s="762"/>
      <c r="AA5444" s="150"/>
      <c r="AB5444" s="150">
        <v>91</v>
      </c>
      <c r="AC5444" s="150">
        <v>1.9E-3</v>
      </c>
      <c r="AD5444" s="150">
        <v>12.31</v>
      </c>
      <c r="AE5444" s="150">
        <v>0.72799999999999998</v>
      </c>
      <c r="AF5444" s="223">
        <f t="shared" si="32"/>
        <v>8.9616799999999994</v>
      </c>
      <c r="AG5444" s="223">
        <f t="shared" si="31"/>
        <v>0.7465118147490204</v>
      </c>
      <c r="AH5444" s="346"/>
      <c r="AI5444" s="427"/>
      <c r="AJ5444" s="480"/>
      <c r="AK5444" s="427"/>
      <c r="AU5444" s="218"/>
      <c r="AV5444" s="218"/>
      <c r="AW5444" s="218"/>
      <c r="AX5444" s="218"/>
      <c r="AY5444" s="218"/>
      <c r="AZ5444" s="427"/>
      <c r="BA5444" s="427"/>
      <c r="BB5444" s="427"/>
      <c r="BI5444" s="427"/>
      <c r="BJ5444" s="427"/>
      <c r="BK5444" s="427"/>
      <c r="BL5444" s="427"/>
      <c r="BM5444" s="427"/>
      <c r="BN5444" s="427"/>
      <c r="BO5444" s="427"/>
      <c r="BP5444" s="427"/>
      <c r="BQ5444" s="427"/>
      <c r="BR5444" s="427"/>
      <c r="BS5444" s="427"/>
      <c r="BT5444" s="427"/>
      <c r="BU5444" s="427"/>
      <c r="BV5444" s="427"/>
      <c r="BW5444" s="427"/>
      <c r="BX5444" s="427"/>
      <c r="BY5444" s="427"/>
      <c r="BZ5444" s="427"/>
    </row>
    <row r="5445" spans="2:78" s="152" customFormat="1" x14ac:dyDescent="0.2">
      <c r="B5445" s="683"/>
      <c r="C5445" s="683"/>
      <c r="D5445" s="698"/>
      <c r="E5445" s="215"/>
      <c r="F5445" s="215"/>
      <c r="G5445" s="427"/>
      <c r="H5445" s="427"/>
      <c r="I5445" s="427"/>
      <c r="J5445" s="427"/>
      <c r="K5445" s="427"/>
      <c r="L5445" s="653"/>
      <c r="M5445" s="666"/>
      <c r="N5445" s="600">
        <v>5.59</v>
      </c>
      <c r="O5445" s="608">
        <v>8.8622000000000006E-2</v>
      </c>
      <c r="P5445" s="782"/>
      <c r="Q5445" s="764"/>
      <c r="R5445" s="764"/>
      <c r="S5445" s="764"/>
      <c r="T5445" s="764"/>
      <c r="U5445" s="764"/>
      <c r="V5445" s="764"/>
      <c r="W5445" s="764"/>
      <c r="X5445" s="764"/>
      <c r="Y5445" s="768"/>
      <c r="Z5445" s="762"/>
      <c r="AA5445" s="150"/>
      <c r="AB5445" s="150">
        <v>92</v>
      </c>
      <c r="AC5445" s="150">
        <v>1.6999999999999999E-3</v>
      </c>
      <c r="AD5445" s="150">
        <v>12.14</v>
      </c>
      <c r="AE5445" s="150">
        <v>0.67400000000000004</v>
      </c>
      <c r="AF5445" s="223">
        <f t="shared" si="32"/>
        <v>8.182360000000001</v>
      </c>
      <c r="AG5445" s="223">
        <f t="shared" si="31"/>
        <v>0.68317698072438748</v>
      </c>
      <c r="AH5445" s="346"/>
      <c r="AI5445" s="427"/>
      <c r="AJ5445" s="480"/>
      <c r="AK5445" s="427"/>
      <c r="AU5445" s="218"/>
      <c r="AV5445" s="218"/>
      <c r="AW5445" s="218"/>
      <c r="AX5445" s="218"/>
      <c r="AY5445" s="218"/>
      <c r="AZ5445" s="427"/>
      <c r="BA5445" s="427"/>
      <c r="BB5445" s="427"/>
      <c r="BI5445" s="427"/>
      <c r="BJ5445" s="427"/>
      <c r="BK5445" s="427"/>
      <c r="BL5445" s="427"/>
      <c r="BM5445" s="427"/>
      <c r="BN5445" s="427"/>
      <c r="BO5445" s="427"/>
      <c r="BP5445" s="427"/>
      <c r="BQ5445" s="427"/>
      <c r="BR5445" s="427"/>
      <c r="BS5445" s="427"/>
      <c r="BT5445" s="427"/>
      <c r="BU5445" s="427"/>
      <c r="BV5445" s="427"/>
      <c r="BW5445" s="427"/>
      <c r="BX5445" s="427"/>
      <c r="BY5445" s="427"/>
      <c r="BZ5445" s="427"/>
    </row>
    <row r="5446" spans="2:78" s="152" customFormat="1" x14ac:dyDescent="0.2">
      <c r="B5446" s="683"/>
      <c r="C5446" s="683"/>
      <c r="D5446" s="698"/>
      <c r="E5446" s="215"/>
      <c r="F5446" s="215"/>
      <c r="G5446" s="427"/>
      <c r="H5446" s="427"/>
      <c r="I5446" s="427"/>
      <c r="J5446" s="427"/>
      <c r="K5446" s="427"/>
      <c r="L5446" s="653"/>
      <c r="M5446" s="666"/>
      <c r="N5446" s="600">
        <v>5.13</v>
      </c>
      <c r="O5446" s="608">
        <v>0.104835</v>
      </c>
      <c r="P5446" s="782"/>
      <c r="Q5446" s="764"/>
      <c r="R5446" s="764"/>
      <c r="S5446" s="764"/>
      <c r="T5446" s="764"/>
      <c r="U5446" s="764"/>
      <c r="V5446" s="764"/>
      <c r="W5446" s="764"/>
      <c r="X5446" s="764"/>
      <c r="Y5446" s="768"/>
      <c r="Z5446" s="762"/>
      <c r="AA5446" s="150"/>
      <c r="AB5446" s="150">
        <v>93</v>
      </c>
      <c r="AC5446" s="150">
        <v>1.8E-3</v>
      </c>
      <c r="AD5446" s="150">
        <v>12.05</v>
      </c>
      <c r="AE5446" s="150">
        <v>0.64900000000000002</v>
      </c>
      <c r="AF5446" s="223">
        <f t="shared" si="32"/>
        <v>7.820450000000001</v>
      </c>
      <c r="AG5446" s="223">
        <f t="shared" si="31"/>
        <v>0.65597248240190775</v>
      </c>
      <c r="AH5446" s="346"/>
      <c r="AI5446" s="427"/>
      <c r="AJ5446" s="480"/>
      <c r="AK5446" s="427"/>
      <c r="AU5446" s="218"/>
      <c r="AV5446" s="218"/>
      <c r="AW5446" s="218"/>
      <c r="AX5446" s="218"/>
      <c r="AY5446" s="218"/>
      <c r="AZ5446" s="427"/>
      <c r="BA5446" s="427"/>
      <c r="BB5446" s="427"/>
      <c r="BI5446" s="427"/>
      <c r="BJ5446" s="427"/>
      <c r="BK5446" s="427"/>
      <c r="BL5446" s="427"/>
      <c r="BM5446" s="427"/>
      <c r="BN5446" s="427"/>
      <c r="BO5446" s="427"/>
      <c r="BP5446" s="427"/>
      <c r="BQ5446" s="427"/>
      <c r="BR5446" s="427"/>
      <c r="BS5446" s="427"/>
      <c r="BT5446" s="427"/>
      <c r="BU5446" s="427"/>
      <c r="BV5446" s="427"/>
      <c r="BW5446" s="427"/>
      <c r="BX5446" s="427"/>
      <c r="BY5446" s="427"/>
      <c r="BZ5446" s="427"/>
    </row>
    <row r="5447" spans="2:78" s="152" customFormat="1" x14ac:dyDescent="0.2">
      <c r="B5447" s="683"/>
      <c r="C5447" s="683"/>
      <c r="D5447" s="698"/>
      <c r="E5447" s="215"/>
      <c r="F5447" s="215"/>
      <c r="G5447" s="427"/>
      <c r="H5447" s="427"/>
      <c r="I5447" s="427"/>
      <c r="J5447" s="427"/>
      <c r="K5447" s="427"/>
      <c r="L5447" s="653"/>
      <c r="M5447" s="666"/>
      <c r="N5447" s="600">
        <v>4.5999999999999996</v>
      </c>
      <c r="O5447" s="608">
        <v>6.2035999999999994E-2</v>
      </c>
      <c r="P5447" s="782"/>
      <c r="Q5447" s="764"/>
      <c r="R5447" s="764"/>
      <c r="S5447" s="764"/>
      <c r="T5447" s="764"/>
      <c r="U5447" s="764"/>
      <c r="V5447" s="764"/>
      <c r="W5447" s="764"/>
      <c r="X5447" s="764"/>
      <c r="Y5447" s="768"/>
      <c r="Z5447" s="762"/>
      <c r="AA5447" s="150"/>
      <c r="AB5447" s="150">
        <v>94</v>
      </c>
      <c r="AC5447" s="150">
        <v>1.8E-3</v>
      </c>
      <c r="AD5447" s="150">
        <v>11.93</v>
      </c>
      <c r="AE5447" s="150">
        <v>0.61899999999999999</v>
      </c>
      <c r="AF5447" s="223">
        <f t="shared" si="32"/>
        <v>7.3846699999999998</v>
      </c>
      <c r="AG5447" s="223">
        <f t="shared" si="31"/>
        <v>0.62291205971289165</v>
      </c>
      <c r="AH5447" s="346"/>
      <c r="AI5447" s="427"/>
      <c r="AJ5447" s="480"/>
      <c r="AK5447" s="427"/>
      <c r="AU5447" s="218"/>
      <c r="AV5447" s="218"/>
      <c r="AW5447" s="218"/>
      <c r="AX5447" s="218"/>
      <c r="AY5447" s="218"/>
      <c r="AZ5447" s="427"/>
      <c r="BA5447" s="427"/>
      <c r="BB5447" s="427"/>
      <c r="BI5447" s="427"/>
      <c r="BJ5447" s="427"/>
      <c r="BK5447" s="427"/>
      <c r="BL5447" s="427"/>
      <c r="BM5447" s="427"/>
      <c r="BN5447" s="427"/>
      <c r="BO5447" s="427"/>
      <c r="BP5447" s="427"/>
      <c r="BQ5447" s="427"/>
      <c r="BR5447" s="427"/>
      <c r="BS5447" s="427"/>
      <c r="BT5447" s="427"/>
      <c r="BU5447" s="427"/>
      <c r="BV5447" s="427"/>
      <c r="BW5447" s="427"/>
      <c r="BX5447" s="427"/>
      <c r="BY5447" s="427"/>
      <c r="BZ5447" s="427"/>
    </row>
    <row r="5448" spans="2:78" s="152" customFormat="1" x14ac:dyDescent="0.2">
      <c r="B5448" s="683"/>
      <c r="C5448" s="683"/>
      <c r="D5448" s="698"/>
      <c r="E5448" s="215"/>
      <c r="F5448" s="215"/>
      <c r="G5448" s="427"/>
      <c r="H5448" s="427"/>
      <c r="I5448" s="427"/>
      <c r="J5448" s="427"/>
      <c r="K5448" s="427"/>
      <c r="L5448" s="653"/>
      <c r="M5448" s="666"/>
      <c r="N5448" s="600">
        <v>4.09</v>
      </c>
      <c r="O5448" s="608">
        <v>7.4592000000000006E-2</v>
      </c>
      <c r="P5448" s="782"/>
      <c r="Q5448" s="764"/>
      <c r="R5448" s="764"/>
      <c r="S5448" s="764"/>
      <c r="T5448" s="764"/>
      <c r="U5448" s="764"/>
      <c r="V5448" s="764"/>
      <c r="W5448" s="764"/>
      <c r="X5448" s="764"/>
      <c r="Y5448" s="768"/>
      <c r="Z5448" s="762"/>
      <c r="AA5448" s="150"/>
      <c r="AB5448" s="150">
        <v>95</v>
      </c>
      <c r="AC5448" s="150">
        <v>1.9E-3</v>
      </c>
      <c r="AD5448" s="150">
        <v>11.84</v>
      </c>
      <c r="AE5448" s="150">
        <v>0.58799999999999997</v>
      </c>
      <c r="AF5448" s="223">
        <f t="shared" si="32"/>
        <v>6.9619199999999992</v>
      </c>
      <c r="AG5448" s="223">
        <f t="shared" si="31"/>
        <v>0.58748161426732859</v>
      </c>
      <c r="AH5448" s="346"/>
      <c r="AI5448" s="427"/>
      <c r="AJ5448" s="480"/>
      <c r="AK5448" s="427"/>
      <c r="AU5448" s="218"/>
      <c r="AV5448" s="218"/>
      <c r="AW5448" s="218"/>
      <c r="AX5448" s="218"/>
      <c r="AY5448" s="218"/>
      <c r="AZ5448" s="427"/>
      <c r="BA5448" s="427"/>
      <c r="BB5448" s="427"/>
      <c r="BI5448" s="427"/>
      <c r="BJ5448" s="427"/>
      <c r="BK5448" s="427"/>
      <c r="BL5448" s="427"/>
      <c r="BM5448" s="427"/>
      <c r="BN5448" s="427"/>
      <c r="BO5448" s="427"/>
      <c r="BP5448" s="427"/>
      <c r="BQ5448" s="427"/>
      <c r="BR5448" s="427"/>
      <c r="BS5448" s="427"/>
      <c r="BT5448" s="427"/>
      <c r="BU5448" s="427"/>
      <c r="BV5448" s="427"/>
      <c r="BW5448" s="427"/>
      <c r="BX5448" s="427"/>
      <c r="BY5448" s="427"/>
      <c r="BZ5448" s="427"/>
    </row>
    <row r="5449" spans="2:78" s="152" customFormat="1" x14ac:dyDescent="0.2">
      <c r="B5449" s="683"/>
      <c r="C5449" s="683"/>
      <c r="D5449" s="698"/>
      <c r="E5449" s="215"/>
      <c r="F5449" s="215"/>
      <c r="G5449" s="427"/>
      <c r="H5449" s="427"/>
      <c r="I5449" s="427"/>
      <c r="J5449" s="427"/>
      <c r="K5449" s="427"/>
      <c r="L5449" s="653"/>
      <c r="M5449" s="666"/>
      <c r="N5449" s="600">
        <v>14.98</v>
      </c>
      <c r="O5449" s="608">
        <v>0.40178999999999998</v>
      </c>
      <c r="P5449" s="782"/>
      <c r="Q5449" s="764"/>
      <c r="R5449" s="764"/>
      <c r="S5449" s="764"/>
      <c r="T5449" s="764"/>
      <c r="U5449" s="764"/>
      <c r="V5449" s="764"/>
      <c r="W5449" s="764"/>
      <c r="X5449" s="764"/>
      <c r="Y5449" s="768"/>
      <c r="Z5449" s="762"/>
      <c r="AA5449" s="150"/>
      <c r="AB5449" s="150">
        <v>96</v>
      </c>
      <c r="AC5449" s="150">
        <v>2.7000000000000001E-3</v>
      </c>
      <c r="AD5449" s="150">
        <v>13.62</v>
      </c>
      <c r="AE5449" s="150">
        <v>1.0349999999999999</v>
      </c>
      <c r="AF5449" s="223">
        <f t="shared" si="32"/>
        <v>14.096699999999998</v>
      </c>
      <c r="AG5449" s="223">
        <f t="shared" si="31"/>
        <v>1.0626600551902219</v>
      </c>
      <c r="AH5449" s="346"/>
      <c r="AI5449" s="427"/>
      <c r="AJ5449" s="480"/>
      <c r="AK5449" s="427"/>
      <c r="AU5449" s="218"/>
      <c r="AV5449" s="218"/>
      <c r="AW5449" s="218"/>
      <c r="AX5449" s="218"/>
      <c r="AY5449" s="218"/>
      <c r="AZ5449" s="427"/>
      <c r="BA5449" s="427"/>
      <c r="BB5449" s="427"/>
      <c r="BI5449" s="427"/>
      <c r="BJ5449" s="427"/>
      <c r="BK5449" s="427"/>
      <c r="BL5449" s="427"/>
      <c r="BM5449" s="427"/>
      <c r="BN5449" s="427"/>
      <c r="BO5449" s="427"/>
      <c r="BP5449" s="427"/>
      <c r="BQ5449" s="427"/>
      <c r="BR5449" s="427"/>
      <c r="BS5449" s="427"/>
      <c r="BT5449" s="427"/>
      <c r="BU5449" s="427"/>
      <c r="BV5449" s="427"/>
      <c r="BW5449" s="427"/>
      <c r="BX5449" s="427"/>
      <c r="BY5449" s="427"/>
      <c r="BZ5449" s="427"/>
    </row>
    <row r="5450" spans="2:78" s="152" customFormat="1" x14ac:dyDescent="0.2">
      <c r="B5450" s="683"/>
      <c r="C5450" s="683"/>
      <c r="D5450" s="698"/>
      <c r="E5450" s="215"/>
      <c r="F5450" s="215"/>
      <c r="G5450" s="427"/>
      <c r="H5450" s="427"/>
      <c r="I5450" s="427"/>
      <c r="J5450" s="427"/>
      <c r="K5450" s="427"/>
      <c r="L5450" s="653"/>
      <c r="M5450" s="666"/>
      <c r="N5450" s="600">
        <v>14.25</v>
      </c>
      <c r="O5450" s="608">
        <v>0.69614100000000001</v>
      </c>
      <c r="P5450" s="782"/>
      <c r="Q5450" s="764"/>
      <c r="R5450" s="764"/>
      <c r="S5450" s="764"/>
      <c r="T5450" s="764"/>
      <c r="U5450" s="764"/>
      <c r="V5450" s="764"/>
      <c r="W5450" s="764"/>
      <c r="X5450" s="764"/>
      <c r="Y5450" s="768"/>
      <c r="Z5450" s="762"/>
      <c r="AA5450" s="150"/>
      <c r="AB5450" s="150">
        <v>97</v>
      </c>
      <c r="AC5450" s="150">
        <v>2.8999999999999998E-3</v>
      </c>
      <c r="AD5450" s="150">
        <v>13.57</v>
      </c>
      <c r="AE5450" s="150">
        <v>1.0129999999999999</v>
      </c>
      <c r="AF5450" s="223">
        <f t="shared" si="32"/>
        <v>13.746409999999999</v>
      </c>
      <c r="AG5450" s="223">
        <f t="shared" si="31"/>
        <v>1.0366342921533696</v>
      </c>
      <c r="AH5450" s="346"/>
      <c r="AI5450" s="427"/>
      <c r="AJ5450" s="480"/>
      <c r="AK5450" s="427"/>
      <c r="AU5450" s="218"/>
      <c r="AV5450" s="218"/>
      <c r="AW5450" s="218"/>
      <c r="AX5450" s="218"/>
      <c r="AY5450" s="218"/>
      <c r="AZ5450" s="427"/>
      <c r="BA5450" s="427"/>
      <c r="BB5450" s="427"/>
      <c r="BI5450" s="427"/>
      <c r="BJ5450" s="427"/>
      <c r="BK5450" s="427"/>
      <c r="BL5450" s="427"/>
      <c r="BM5450" s="427"/>
      <c r="BN5450" s="427"/>
      <c r="BO5450" s="427"/>
      <c r="BP5450" s="427"/>
      <c r="BQ5450" s="427"/>
      <c r="BR5450" s="427"/>
      <c r="BS5450" s="427"/>
      <c r="BT5450" s="427"/>
      <c r="BU5450" s="427"/>
      <c r="BV5450" s="427"/>
      <c r="BW5450" s="427"/>
      <c r="BX5450" s="427"/>
      <c r="BY5450" s="427"/>
      <c r="BZ5450" s="427"/>
    </row>
    <row r="5451" spans="2:78" s="152" customFormat="1" x14ac:dyDescent="0.2">
      <c r="B5451" s="683"/>
      <c r="C5451" s="683"/>
      <c r="D5451" s="698"/>
      <c r="E5451" s="215"/>
      <c r="F5451" s="215"/>
      <c r="G5451" s="427"/>
      <c r="H5451" s="427"/>
      <c r="I5451" s="427"/>
      <c r="J5451" s="427"/>
      <c r="K5451" s="427"/>
      <c r="L5451" s="653"/>
      <c r="M5451" s="666"/>
      <c r="N5451" s="600">
        <v>13.48</v>
      </c>
      <c r="O5451" s="608">
        <v>0.45966799999999997</v>
      </c>
      <c r="P5451" s="782"/>
      <c r="Q5451" s="764"/>
      <c r="R5451" s="764"/>
      <c r="S5451" s="764"/>
      <c r="T5451" s="764"/>
      <c r="U5451" s="764"/>
      <c r="V5451" s="764"/>
      <c r="W5451" s="764"/>
      <c r="X5451" s="764"/>
      <c r="Y5451" s="768"/>
      <c r="Z5451" s="762"/>
      <c r="AA5451" s="150"/>
      <c r="AB5451" s="150">
        <v>98</v>
      </c>
      <c r="AC5451" s="150">
        <v>2.7000000000000001E-3</v>
      </c>
      <c r="AD5451" s="150">
        <v>13.48</v>
      </c>
      <c r="AE5451" s="150">
        <v>0.98799999999999999</v>
      </c>
      <c r="AF5451" s="223">
        <f t="shared" si="32"/>
        <v>13.318239999999999</v>
      </c>
      <c r="AG5451" s="223">
        <f t="shared" si="31"/>
        <v>1.0121457489878543</v>
      </c>
      <c r="AH5451" s="346"/>
      <c r="AI5451" s="427"/>
      <c r="AJ5451" s="480"/>
      <c r="AK5451" s="427"/>
      <c r="AU5451" s="218"/>
      <c r="AV5451" s="218"/>
      <c r="AW5451" s="218"/>
      <c r="AX5451" s="218"/>
      <c r="AY5451" s="218"/>
      <c r="AZ5451" s="427"/>
      <c r="BA5451" s="427"/>
      <c r="BB5451" s="427"/>
      <c r="BI5451" s="427"/>
      <c r="BJ5451" s="427"/>
      <c r="BK5451" s="427"/>
      <c r="BL5451" s="427"/>
      <c r="BM5451" s="427"/>
      <c r="BN5451" s="427"/>
      <c r="BO5451" s="427"/>
      <c r="BP5451" s="427"/>
      <c r="BQ5451" s="427"/>
      <c r="BR5451" s="427"/>
      <c r="BS5451" s="427"/>
      <c r="BT5451" s="427"/>
      <c r="BU5451" s="427"/>
      <c r="BV5451" s="427"/>
      <c r="BW5451" s="427"/>
      <c r="BX5451" s="427"/>
      <c r="BY5451" s="427"/>
      <c r="BZ5451" s="427"/>
    </row>
    <row r="5452" spans="2:78" s="152" customFormat="1" x14ac:dyDescent="0.2">
      <c r="B5452" s="683"/>
      <c r="C5452" s="683"/>
      <c r="D5452" s="698"/>
      <c r="E5452" s="215"/>
      <c r="F5452" s="215"/>
      <c r="G5452" s="427"/>
      <c r="H5452" s="427"/>
      <c r="I5452" s="427"/>
      <c r="J5452" s="427"/>
      <c r="K5452" s="427"/>
      <c r="L5452" s="653"/>
      <c r="M5452" s="666"/>
      <c r="N5452" s="600">
        <v>12.54</v>
      </c>
      <c r="O5452" s="608">
        <v>0.46220400000000006</v>
      </c>
      <c r="P5452" s="782"/>
      <c r="Q5452" s="764"/>
      <c r="R5452" s="764"/>
      <c r="S5452" s="764"/>
      <c r="T5452" s="764"/>
      <c r="U5452" s="764"/>
      <c r="V5452" s="764"/>
      <c r="W5452" s="764"/>
      <c r="X5452" s="764"/>
      <c r="Y5452" s="768"/>
      <c r="Z5452" s="762"/>
      <c r="AA5452" s="150"/>
      <c r="AB5452" s="150">
        <v>99</v>
      </c>
      <c r="AC5452" s="150">
        <v>2.5999999999999999E-3</v>
      </c>
      <c r="AD5452" s="150">
        <v>13.32</v>
      </c>
      <c r="AE5452" s="150">
        <v>0.95799999999999996</v>
      </c>
      <c r="AF5452" s="223">
        <f t="shared" si="32"/>
        <v>12.76056</v>
      </c>
      <c r="AG5452" s="223">
        <f t="shared" si="31"/>
        <v>0.98271549211006404</v>
      </c>
      <c r="AH5452" s="346"/>
      <c r="AI5452" s="427"/>
      <c r="AJ5452" s="480"/>
      <c r="AK5452" s="427"/>
      <c r="AU5452" s="218"/>
      <c r="AV5452" s="218"/>
      <c r="AW5452" s="218"/>
      <c r="AX5452" s="218"/>
      <c r="AY5452" s="218"/>
      <c r="AZ5452" s="427"/>
      <c r="BA5452" s="427"/>
      <c r="BB5452" s="427"/>
      <c r="BI5452" s="427"/>
      <c r="BJ5452" s="427"/>
      <c r="BK5452" s="427"/>
      <c r="BL5452" s="427"/>
      <c r="BM5452" s="427"/>
      <c r="BN5452" s="427"/>
      <c r="BO5452" s="427"/>
      <c r="BP5452" s="427"/>
      <c r="BQ5452" s="427"/>
      <c r="BR5452" s="427"/>
      <c r="BS5452" s="427"/>
      <c r="BT5452" s="427"/>
      <c r="BU5452" s="427"/>
      <c r="BV5452" s="427"/>
      <c r="BW5452" s="427"/>
      <c r="BX5452" s="427"/>
      <c r="BY5452" s="427"/>
      <c r="BZ5452" s="427"/>
    </row>
    <row r="5453" spans="2:78" s="152" customFormat="1" x14ac:dyDescent="0.2">
      <c r="B5453" s="683"/>
      <c r="C5453" s="683"/>
      <c r="D5453" s="698"/>
      <c r="E5453" s="215"/>
      <c r="F5453" s="215"/>
      <c r="G5453" s="427"/>
      <c r="H5453" s="427"/>
      <c r="I5453" s="427"/>
      <c r="J5453" s="427"/>
      <c r="K5453" s="427"/>
      <c r="L5453" s="653"/>
      <c r="M5453" s="666"/>
      <c r="N5453" s="600">
        <v>11.47</v>
      </c>
      <c r="O5453" s="608">
        <v>0.47866000000000003</v>
      </c>
      <c r="P5453" s="782"/>
      <c r="Q5453" s="764"/>
      <c r="R5453" s="764"/>
      <c r="S5453" s="764"/>
      <c r="T5453" s="764"/>
      <c r="U5453" s="764"/>
      <c r="V5453" s="764"/>
      <c r="W5453" s="764"/>
      <c r="X5453" s="764"/>
      <c r="Y5453" s="768"/>
      <c r="Z5453" s="762"/>
      <c r="AA5453" s="150"/>
      <c r="AB5453" s="150">
        <v>100</v>
      </c>
      <c r="AC5453" s="150">
        <v>2.5000000000000001E-3</v>
      </c>
      <c r="AD5453" s="150">
        <v>13.15</v>
      </c>
      <c r="AE5453" s="150">
        <v>0.92100000000000004</v>
      </c>
      <c r="AF5453" s="223">
        <f t="shared" si="32"/>
        <v>12.11115</v>
      </c>
      <c r="AG5453" s="223">
        <f t="shared" si="31"/>
        <v>0.94706117916135135</v>
      </c>
      <c r="AH5453" s="346"/>
      <c r="AI5453" s="427"/>
      <c r="AJ5453" s="480"/>
      <c r="AK5453" s="427"/>
      <c r="AU5453" s="218"/>
      <c r="AV5453" s="218"/>
      <c r="AW5453" s="218"/>
      <c r="AX5453" s="218"/>
      <c r="AY5453" s="218"/>
      <c r="AZ5453" s="427"/>
      <c r="BA5453" s="427"/>
      <c r="BB5453" s="427"/>
      <c r="BI5453" s="427"/>
      <c r="BJ5453" s="427"/>
      <c r="BK5453" s="427"/>
      <c r="BL5453" s="427"/>
      <c r="BM5453" s="427"/>
      <c r="BN5453" s="427"/>
      <c r="BO5453" s="427"/>
      <c r="BP5453" s="427"/>
      <c r="BQ5453" s="427"/>
      <c r="BR5453" s="427"/>
      <c r="BS5453" s="427"/>
      <c r="BT5453" s="427"/>
      <c r="BU5453" s="427"/>
      <c r="BV5453" s="427"/>
      <c r="BW5453" s="427"/>
      <c r="BX5453" s="427"/>
      <c r="BY5453" s="427"/>
      <c r="BZ5453" s="427"/>
    </row>
    <row r="5454" spans="2:78" s="152" customFormat="1" x14ac:dyDescent="0.2">
      <c r="B5454" s="683"/>
      <c r="C5454" s="683"/>
      <c r="D5454" s="698"/>
      <c r="E5454" s="215"/>
      <c r="F5454" s="215"/>
      <c r="G5454" s="427"/>
      <c r="H5454" s="427"/>
      <c r="I5454" s="427"/>
      <c r="J5454" s="427"/>
      <c r="K5454" s="427"/>
      <c r="L5454" s="653"/>
      <c r="M5454" s="666"/>
      <c r="N5454" s="600">
        <v>10.66</v>
      </c>
      <c r="O5454" s="608">
        <v>0.26410300000000003</v>
      </c>
      <c r="P5454" s="782"/>
      <c r="Q5454" s="764"/>
      <c r="R5454" s="764"/>
      <c r="S5454" s="764"/>
      <c r="T5454" s="764"/>
      <c r="U5454" s="764"/>
      <c r="V5454" s="764"/>
      <c r="W5454" s="764"/>
      <c r="X5454" s="764"/>
      <c r="Y5454" s="768"/>
      <c r="Z5454" s="762"/>
      <c r="AA5454" s="150"/>
      <c r="AB5454" s="150">
        <v>101</v>
      </c>
      <c r="AC5454" s="150">
        <v>2.5000000000000001E-3</v>
      </c>
      <c r="AD5454" s="150">
        <v>13.01</v>
      </c>
      <c r="AE5454" s="150">
        <v>0.89200000000000002</v>
      </c>
      <c r="AF5454" s="223">
        <f t="shared" si="32"/>
        <v>11.60492</v>
      </c>
      <c r="AG5454" s="223">
        <f t="shared" si="31"/>
        <v>0.91857591435356734</v>
      </c>
      <c r="AH5454" s="346"/>
      <c r="AI5454" s="427"/>
      <c r="AJ5454" s="480"/>
      <c r="AK5454" s="427"/>
      <c r="AU5454" s="218"/>
      <c r="AV5454" s="218"/>
      <c r="AW5454" s="218"/>
      <c r="AX5454" s="218"/>
      <c r="AY5454" s="218"/>
      <c r="AZ5454" s="427"/>
      <c r="BA5454" s="427"/>
      <c r="BB5454" s="427"/>
      <c r="BI5454" s="427"/>
      <c r="BJ5454" s="427"/>
      <c r="BK5454" s="427"/>
      <c r="BL5454" s="427"/>
      <c r="BM5454" s="427"/>
      <c r="BN5454" s="427"/>
      <c r="BO5454" s="427"/>
      <c r="BP5454" s="427"/>
      <c r="BQ5454" s="427"/>
      <c r="BR5454" s="427"/>
      <c r="BS5454" s="427"/>
      <c r="BT5454" s="427"/>
      <c r="BU5454" s="427"/>
      <c r="BV5454" s="427"/>
      <c r="BW5454" s="427"/>
      <c r="BX5454" s="427"/>
      <c r="BY5454" s="427"/>
      <c r="BZ5454" s="427"/>
    </row>
    <row r="5455" spans="2:78" s="152" customFormat="1" x14ac:dyDescent="0.2">
      <c r="B5455" s="683"/>
      <c r="C5455" s="683"/>
      <c r="D5455" s="698"/>
      <c r="E5455" s="215"/>
      <c r="F5455" s="215"/>
      <c r="G5455" s="427"/>
      <c r="H5455" s="427"/>
      <c r="I5455" s="427"/>
      <c r="J5455" s="427"/>
      <c r="K5455" s="427"/>
      <c r="L5455" s="653"/>
      <c r="M5455" s="666"/>
      <c r="N5455" s="600">
        <v>9.86</v>
      </c>
      <c r="O5455" s="608">
        <v>0.55169400000000002</v>
      </c>
      <c r="P5455" s="782"/>
      <c r="Q5455" s="764"/>
      <c r="R5455" s="764"/>
      <c r="S5455" s="764"/>
      <c r="T5455" s="764"/>
      <c r="U5455" s="764"/>
      <c r="V5455" s="764"/>
      <c r="W5455" s="764"/>
      <c r="X5455" s="764"/>
      <c r="Y5455" s="768"/>
      <c r="Z5455" s="762"/>
      <c r="AA5455" s="150"/>
      <c r="AB5455" s="150">
        <v>102</v>
      </c>
      <c r="AC5455" s="150">
        <v>2.3999999999999998E-3</v>
      </c>
      <c r="AD5455" s="150">
        <v>12.86</v>
      </c>
      <c r="AE5455" s="150">
        <v>0.86299999999999999</v>
      </c>
      <c r="AF5455" s="223">
        <f t="shared" si="32"/>
        <v>11.098179999999999</v>
      </c>
      <c r="AG5455" s="223">
        <f t="shared" si="31"/>
        <v>0.88843395944199866</v>
      </c>
      <c r="AH5455" s="346"/>
      <c r="AI5455" s="427"/>
      <c r="AJ5455" s="480"/>
      <c r="AK5455" s="427"/>
      <c r="AU5455" s="218"/>
      <c r="AV5455" s="218"/>
      <c r="AW5455" s="218"/>
      <c r="AX5455" s="218"/>
      <c r="AY5455" s="218"/>
      <c r="AZ5455" s="427"/>
      <c r="BA5455" s="427"/>
      <c r="BB5455" s="427"/>
      <c r="BI5455" s="427"/>
      <c r="BJ5455" s="427"/>
      <c r="BK5455" s="427"/>
      <c r="BL5455" s="427"/>
      <c r="BM5455" s="427"/>
      <c r="BN5455" s="427"/>
      <c r="BO5455" s="427"/>
      <c r="BP5455" s="427"/>
      <c r="BQ5455" s="427"/>
      <c r="BR5455" s="427"/>
      <c r="BS5455" s="427"/>
      <c r="BT5455" s="427"/>
      <c r="BU5455" s="427"/>
      <c r="BV5455" s="427"/>
      <c r="BW5455" s="427"/>
      <c r="BX5455" s="427"/>
      <c r="BY5455" s="427"/>
      <c r="BZ5455" s="427"/>
    </row>
    <row r="5456" spans="2:78" s="152" customFormat="1" x14ac:dyDescent="0.2">
      <c r="B5456" s="683"/>
      <c r="C5456" s="683"/>
      <c r="D5456" s="698"/>
      <c r="E5456" s="215"/>
      <c r="F5456" s="215"/>
      <c r="G5456" s="427"/>
      <c r="H5456" s="427"/>
      <c r="I5456" s="427"/>
      <c r="J5456" s="427"/>
      <c r="K5456" s="427"/>
      <c r="L5456" s="653"/>
      <c r="M5456" s="666"/>
      <c r="N5456" s="600">
        <v>9.15</v>
      </c>
      <c r="O5456" s="608">
        <v>0.26478400000000002</v>
      </c>
      <c r="P5456" s="782"/>
      <c r="Q5456" s="764"/>
      <c r="R5456" s="764"/>
      <c r="S5456" s="764"/>
      <c r="T5456" s="764"/>
      <c r="U5456" s="764"/>
      <c r="V5456" s="764"/>
      <c r="W5456" s="764"/>
      <c r="X5456" s="764"/>
      <c r="Y5456" s="768"/>
      <c r="Z5456" s="762"/>
      <c r="AA5456" s="150"/>
      <c r="AB5456" s="150">
        <v>103</v>
      </c>
      <c r="AC5456" s="150">
        <v>2.3E-3</v>
      </c>
      <c r="AD5456" s="150">
        <v>12.73</v>
      </c>
      <c r="AE5456" s="150">
        <v>0.83499999999999996</v>
      </c>
      <c r="AF5456" s="223">
        <f t="shared" si="32"/>
        <v>10.62955</v>
      </c>
      <c r="AG5456" s="223">
        <f t="shared" si="31"/>
        <v>0.86080784228871399</v>
      </c>
      <c r="AH5456" s="346"/>
      <c r="AI5456" s="427"/>
      <c r="AJ5456" s="480"/>
      <c r="AK5456" s="427"/>
      <c r="AU5456" s="218"/>
      <c r="AV5456" s="218"/>
      <c r="AW5456" s="218"/>
      <c r="AX5456" s="218"/>
      <c r="AY5456" s="218"/>
      <c r="AZ5456" s="427"/>
      <c r="BA5456" s="427"/>
      <c r="BB5456" s="427"/>
      <c r="BI5456" s="427"/>
      <c r="BJ5456" s="427"/>
      <c r="BK5456" s="427"/>
      <c r="BL5456" s="427"/>
      <c r="BM5456" s="427"/>
      <c r="BN5456" s="427"/>
      <c r="BO5456" s="427"/>
      <c r="BP5456" s="427"/>
      <c r="BQ5456" s="427"/>
      <c r="BR5456" s="427"/>
      <c r="BS5456" s="427"/>
      <c r="BT5456" s="427"/>
      <c r="BU5456" s="427"/>
      <c r="BV5456" s="427"/>
      <c r="BW5456" s="427"/>
      <c r="BX5456" s="427"/>
      <c r="BY5456" s="427"/>
      <c r="BZ5456" s="427"/>
    </row>
    <row r="5457" spans="2:78" s="152" customFormat="1" x14ac:dyDescent="0.2">
      <c r="B5457" s="683"/>
      <c r="C5457" s="683"/>
      <c r="D5457" s="698"/>
      <c r="E5457" s="215"/>
      <c r="F5457" s="215"/>
      <c r="G5457" s="427"/>
      <c r="H5457" s="427"/>
      <c r="I5457" s="427"/>
      <c r="J5457" s="427"/>
      <c r="K5457" s="427"/>
      <c r="L5457" s="653"/>
      <c r="M5457" s="666"/>
      <c r="N5457" s="600">
        <v>8.57</v>
      </c>
      <c r="O5457" s="608">
        <v>0.64058799999999994</v>
      </c>
      <c r="P5457" s="782"/>
      <c r="Q5457" s="764"/>
      <c r="R5457" s="764"/>
      <c r="S5457" s="764"/>
      <c r="T5457" s="764"/>
      <c r="U5457" s="764"/>
      <c r="V5457" s="764"/>
      <c r="W5457" s="764"/>
      <c r="X5457" s="764"/>
      <c r="Y5457" s="768"/>
      <c r="Z5457" s="762"/>
      <c r="AA5457" s="150"/>
      <c r="AB5457" s="150">
        <v>104</v>
      </c>
      <c r="AC5457" s="150">
        <v>2.3E-3</v>
      </c>
      <c r="AD5457" s="150">
        <v>12.61</v>
      </c>
      <c r="AE5457" s="150">
        <v>0.81200000000000006</v>
      </c>
      <c r="AF5457" s="223">
        <f t="shared" si="32"/>
        <v>10.239320000000001</v>
      </c>
      <c r="AG5457" s="223">
        <f t="shared" si="31"/>
        <v>0.83696964251532324</v>
      </c>
      <c r="AH5457" s="346"/>
      <c r="AI5457" s="427"/>
      <c r="AJ5457" s="480"/>
      <c r="AK5457" s="427"/>
      <c r="AU5457" s="218"/>
      <c r="AV5457" s="218"/>
      <c r="AW5457" s="218"/>
      <c r="AX5457" s="218"/>
      <c r="AY5457" s="218"/>
      <c r="AZ5457" s="427"/>
      <c r="BA5457" s="427"/>
      <c r="BB5457" s="427"/>
      <c r="BI5457" s="427"/>
      <c r="BJ5457" s="427"/>
      <c r="BK5457" s="427"/>
      <c r="BL5457" s="427"/>
      <c r="BM5457" s="427"/>
      <c r="BN5457" s="427"/>
      <c r="BO5457" s="427"/>
      <c r="BP5457" s="427"/>
      <c r="BQ5457" s="427"/>
      <c r="BR5457" s="427"/>
      <c r="BS5457" s="427"/>
      <c r="BT5457" s="427"/>
      <c r="BU5457" s="427"/>
      <c r="BV5457" s="427"/>
      <c r="BW5457" s="427"/>
      <c r="BX5457" s="427"/>
      <c r="BY5457" s="427"/>
      <c r="BZ5457" s="427"/>
    </row>
    <row r="5458" spans="2:78" s="152" customFormat="1" x14ac:dyDescent="0.2">
      <c r="B5458" s="683"/>
      <c r="C5458" s="683"/>
      <c r="D5458" s="698"/>
      <c r="E5458" s="215"/>
      <c r="F5458" s="215"/>
      <c r="G5458" s="427"/>
      <c r="H5458" s="427"/>
      <c r="I5458" s="427"/>
      <c r="J5458" s="427"/>
      <c r="K5458" s="427"/>
      <c r="L5458" s="653"/>
      <c r="M5458" s="666"/>
      <c r="N5458" s="600">
        <v>7.9</v>
      </c>
      <c r="O5458" s="608">
        <v>0.31925999999999999</v>
      </c>
      <c r="P5458" s="782"/>
      <c r="Q5458" s="764"/>
      <c r="R5458" s="764"/>
      <c r="S5458" s="764"/>
      <c r="T5458" s="764"/>
      <c r="U5458" s="764"/>
      <c r="V5458" s="764"/>
      <c r="W5458" s="764"/>
      <c r="X5458" s="764"/>
      <c r="Y5458" s="768"/>
      <c r="Z5458" s="762"/>
      <c r="AA5458" s="150"/>
      <c r="AB5458" s="150">
        <v>105</v>
      </c>
      <c r="AC5458" s="150">
        <v>2.2000000000000001E-3</v>
      </c>
      <c r="AD5458" s="150">
        <v>12.52</v>
      </c>
      <c r="AE5458" s="150">
        <v>0.78300000000000003</v>
      </c>
      <c r="AF5458" s="223">
        <f t="shared" si="32"/>
        <v>9.8031600000000001</v>
      </c>
      <c r="AG5458" s="223">
        <f t="shared" si="31"/>
        <v>0.80586259940672189</v>
      </c>
      <c r="AH5458" s="346"/>
      <c r="AI5458" s="427"/>
      <c r="AJ5458" s="480"/>
      <c r="AK5458" s="427"/>
      <c r="AU5458" s="218"/>
      <c r="AV5458" s="218"/>
      <c r="AW5458" s="218"/>
      <c r="AX5458" s="218"/>
      <c r="AY5458" s="218"/>
      <c r="AZ5458" s="427"/>
      <c r="BA5458" s="427"/>
      <c r="BB5458" s="427"/>
      <c r="BI5458" s="427"/>
      <c r="BJ5458" s="427"/>
      <c r="BK5458" s="427"/>
      <c r="BL5458" s="427"/>
      <c r="BM5458" s="427"/>
      <c r="BN5458" s="427"/>
      <c r="BO5458" s="427"/>
      <c r="BP5458" s="427"/>
      <c r="BQ5458" s="427"/>
      <c r="BR5458" s="427"/>
      <c r="BS5458" s="427"/>
      <c r="BT5458" s="427"/>
      <c r="BU5458" s="427"/>
      <c r="BV5458" s="427"/>
      <c r="BW5458" s="427"/>
      <c r="BX5458" s="427"/>
      <c r="BY5458" s="427"/>
      <c r="BZ5458" s="427"/>
    </row>
    <row r="5459" spans="2:78" s="152" customFormat="1" x14ac:dyDescent="0.2">
      <c r="B5459" s="683"/>
      <c r="C5459" s="683"/>
      <c r="D5459" s="698"/>
      <c r="E5459" s="215"/>
      <c r="F5459" s="215"/>
      <c r="G5459" s="427"/>
      <c r="H5459" s="427"/>
      <c r="I5459" s="427"/>
      <c r="J5459" s="427"/>
      <c r="K5459" s="427"/>
      <c r="L5459" s="653"/>
      <c r="M5459" s="666"/>
      <c r="N5459" s="600">
        <v>7.5</v>
      </c>
      <c r="O5459" s="608">
        <v>0.44375100000000001</v>
      </c>
      <c r="P5459" s="782"/>
      <c r="Q5459" s="764"/>
      <c r="R5459" s="764"/>
      <c r="S5459" s="764"/>
      <c r="T5459" s="764"/>
      <c r="U5459" s="764"/>
      <c r="V5459" s="764"/>
      <c r="W5459" s="764"/>
      <c r="X5459" s="764"/>
      <c r="Y5459" s="768"/>
      <c r="Z5459" s="762"/>
      <c r="AA5459" s="150"/>
      <c r="AB5459" s="150">
        <v>106</v>
      </c>
      <c r="AC5459" s="150">
        <v>2.2000000000000001E-3</v>
      </c>
      <c r="AD5459" s="150">
        <v>12.43</v>
      </c>
      <c r="AE5459" s="150">
        <v>0.76600000000000001</v>
      </c>
      <c r="AF5459" s="223">
        <f t="shared" si="32"/>
        <v>9.5213800000000006</v>
      </c>
      <c r="AG5459" s="223">
        <f t="shared" si="31"/>
        <v>0.78770094251043432</v>
      </c>
      <c r="AH5459" s="346"/>
      <c r="AI5459" s="427"/>
      <c r="AJ5459" s="480"/>
      <c r="AK5459" s="427"/>
      <c r="AU5459" s="218"/>
      <c r="AV5459" s="218"/>
      <c r="AW5459" s="218"/>
      <c r="AX5459" s="218"/>
      <c r="AY5459" s="218"/>
      <c r="AZ5459" s="427"/>
      <c r="BA5459" s="427"/>
      <c r="BB5459" s="427"/>
      <c r="BI5459" s="427"/>
      <c r="BJ5459" s="427"/>
      <c r="BK5459" s="427"/>
      <c r="BL5459" s="427"/>
      <c r="BM5459" s="427"/>
      <c r="BN5459" s="427"/>
      <c r="BO5459" s="427"/>
      <c r="BP5459" s="427"/>
      <c r="BQ5459" s="427"/>
      <c r="BR5459" s="427"/>
      <c r="BS5459" s="427"/>
      <c r="BT5459" s="427"/>
      <c r="BU5459" s="427"/>
      <c r="BV5459" s="427"/>
      <c r="BW5459" s="427"/>
      <c r="BX5459" s="427"/>
      <c r="BY5459" s="427"/>
      <c r="BZ5459" s="427"/>
    </row>
    <row r="5460" spans="2:78" s="152" customFormat="1" x14ac:dyDescent="0.2">
      <c r="B5460" s="683"/>
      <c r="C5460" s="683"/>
      <c r="D5460" s="698"/>
      <c r="E5460" s="215"/>
      <c r="F5460" s="215"/>
      <c r="G5460" s="427"/>
      <c r="H5460" s="427"/>
      <c r="I5460" s="427"/>
      <c r="J5460" s="427"/>
      <c r="K5460" s="427"/>
      <c r="L5460" s="653"/>
      <c r="M5460" s="666"/>
      <c r="N5460" s="600">
        <v>7.03</v>
      </c>
      <c r="O5460" s="608">
        <v>0.39579300000000006</v>
      </c>
      <c r="P5460" s="782"/>
      <c r="Q5460" s="764"/>
      <c r="R5460" s="764"/>
      <c r="S5460" s="764"/>
      <c r="T5460" s="764"/>
      <c r="U5460" s="764"/>
      <c r="V5460" s="764"/>
      <c r="W5460" s="764"/>
      <c r="X5460" s="764"/>
      <c r="Y5460" s="768"/>
      <c r="Z5460" s="762"/>
      <c r="AA5460" s="150"/>
      <c r="AB5460" s="150">
        <v>107</v>
      </c>
      <c r="AC5460" s="150">
        <v>2.2000000000000001E-3</v>
      </c>
      <c r="AD5460" s="150">
        <v>12.33</v>
      </c>
      <c r="AE5460" s="150">
        <v>0.74399999999999999</v>
      </c>
      <c r="AF5460" s="223">
        <f t="shared" si="32"/>
        <v>9.1735199999999999</v>
      </c>
      <c r="AG5460" s="223">
        <f t="shared" si="31"/>
        <v>0.76633615013647982</v>
      </c>
      <c r="AH5460" s="346"/>
      <c r="AI5460" s="427"/>
      <c r="AJ5460" s="480"/>
      <c r="AK5460" s="427"/>
      <c r="AU5460" s="218"/>
      <c r="AV5460" s="218"/>
      <c r="AW5460" s="218"/>
      <c r="AX5460" s="218"/>
      <c r="AY5460" s="218"/>
      <c r="AZ5460" s="427"/>
      <c r="BA5460" s="427"/>
      <c r="BB5460" s="427"/>
      <c r="BI5460" s="427"/>
      <c r="BJ5460" s="427"/>
      <c r="BK5460" s="427"/>
      <c r="BL5460" s="427"/>
      <c r="BM5460" s="427"/>
      <c r="BN5460" s="427"/>
      <c r="BO5460" s="427"/>
      <c r="BP5460" s="427"/>
      <c r="BQ5460" s="427"/>
      <c r="BR5460" s="427"/>
      <c r="BS5460" s="427"/>
      <c r="BT5460" s="427"/>
      <c r="BU5460" s="427"/>
      <c r="BV5460" s="427"/>
      <c r="BW5460" s="427"/>
      <c r="BX5460" s="427"/>
      <c r="BY5460" s="427"/>
      <c r="BZ5460" s="427"/>
    </row>
    <row r="5461" spans="2:78" s="152" customFormat="1" x14ac:dyDescent="0.2">
      <c r="B5461" s="683"/>
      <c r="C5461" s="683"/>
      <c r="D5461" s="698"/>
      <c r="E5461" s="215"/>
      <c r="F5461" s="215"/>
      <c r="G5461" s="427"/>
      <c r="H5461" s="427"/>
      <c r="I5461" s="427"/>
      <c r="J5461" s="427"/>
      <c r="K5461" s="427"/>
      <c r="L5461" s="653"/>
      <c r="M5461" s="666"/>
      <c r="N5461" s="600">
        <v>6.51</v>
      </c>
      <c r="O5461" s="608">
        <v>0.45777599999999996</v>
      </c>
      <c r="P5461" s="782"/>
      <c r="Q5461" s="764"/>
      <c r="R5461" s="764"/>
      <c r="S5461" s="764"/>
      <c r="T5461" s="764"/>
      <c r="U5461" s="764"/>
      <c r="V5461" s="764"/>
      <c r="W5461" s="764"/>
      <c r="X5461" s="764"/>
      <c r="Y5461" s="768"/>
      <c r="Z5461" s="762"/>
      <c r="AA5461" s="150"/>
      <c r="AB5461" s="150">
        <v>108</v>
      </c>
      <c r="AC5461" s="150">
        <v>2.0999999999999999E-3</v>
      </c>
      <c r="AD5461" s="150">
        <v>12.24</v>
      </c>
      <c r="AE5461" s="150">
        <v>0.72</v>
      </c>
      <c r="AF5461" s="223">
        <f t="shared" si="32"/>
        <v>8.8127999999999993</v>
      </c>
      <c r="AG5461" s="223">
        <f t="shared" si="31"/>
        <v>0.7386982570806101</v>
      </c>
      <c r="AH5461" s="346"/>
      <c r="AI5461" s="427"/>
      <c r="AJ5461" s="480"/>
      <c r="AK5461" s="427"/>
      <c r="AU5461" s="218"/>
      <c r="AV5461" s="218"/>
      <c r="AW5461" s="218"/>
      <c r="AX5461" s="218"/>
      <c r="AY5461" s="218"/>
      <c r="AZ5461" s="427"/>
      <c r="BA5461" s="427"/>
      <c r="BB5461" s="427"/>
      <c r="BI5461" s="427"/>
      <c r="BJ5461" s="427"/>
      <c r="BK5461" s="427"/>
      <c r="BL5461" s="427"/>
      <c r="BM5461" s="427"/>
      <c r="BN5461" s="427"/>
      <c r="BO5461" s="427"/>
      <c r="BP5461" s="427"/>
      <c r="BQ5461" s="427"/>
      <c r="BR5461" s="427"/>
      <c r="BS5461" s="427"/>
      <c r="BT5461" s="427"/>
      <c r="BU5461" s="427"/>
      <c r="BV5461" s="427"/>
      <c r="BW5461" s="427"/>
      <c r="BX5461" s="427"/>
      <c r="BY5461" s="427"/>
      <c r="BZ5461" s="427"/>
    </row>
    <row r="5462" spans="2:78" s="152" customFormat="1" x14ac:dyDescent="0.2">
      <c r="B5462" s="683"/>
      <c r="C5462" s="683"/>
      <c r="D5462" s="698"/>
      <c r="E5462" s="215"/>
      <c r="F5462" s="215"/>
      <c r="G5462" s="427"/>
      <c r="H5462" s="427"/>
      <c r="I5462" s="427"/>
      <c r="J5462" s="427"/>
      <c r="K5462" s="427"/>
      <c r="L5462" s="653"/>
      <c r="M5462" s="666"/>
      <c r="N5462" s="600">
        <v>6.12</v>
      </c>
      <c r="O5462" s="608">
        <v>6.3388E-2</v>
      </c>
      <c r="P5462" s="782"/>
      <c r="Q5462" s="764"/>
      <c r="R5462" s="764"/>
      <c r="S5462" s="764"/>
      <c r="T5462" s="764"/>
      <c r="U5462" s="764"/>
      <c r="V5462" s="764"/>
      <c r="W5462" s="764"/>
      <c r="X5462" s="764"/>
      <c r="Y5462" s="768"/>
      <c r="Z5462" s="762"/>
      <c r="AA5462" s="150"/>
      <c r="AB5462" s="150">
        <v>109</v>
      </c>
      <c r="AC5462" s="150">
        <v>2.2000000000000001E-3</v>
      </c>
      <c r="AD5462" s="150">
        <v>12.19</v>
      </c>
      <c r="AE5462" s="150">
        <v>0.70099999999999996</v>
      </c>
      <c r="AF5462" s="223">
        <f t="shared" si="32"/>
        <v>8.5451899999999998</v>
      </c>
      <c r="AG5462" s="223">
        <f t="shared" si="31"/>
        <v>0.71619238425359766</v>
      </c>
      <c r="AH5462" s="346"/>
      <c r="AI5462" s="427"/>
      <c r="AJ5462" s="480"/>
      <c r="AK5462" s="427"/>
      <c r="AU5462" s="218"/>
      <c r="AV5462" s="218"/>
      <c r="AW5462" s="218"/>
      <c r="AX5462" s="218"/>
      <c r="AY5462" s="218"/>
      <c r="AZ5462" s="427"/>
      <c r="BA5462" s="427"/>
      <c r="BB5462" s="427"/>
      <c r="BI5462" s="427"/>
      <c r="BJ5462" s="427"/>
      <c r="BK5462" s="427"/>
      <c r="BL5462" s="427"/>
      <c r="BM5462" s="427"/>
      <c r="BN5462" s="427"/>
      <c r="BO5462" s="427"/>
      <c r="BP5462" s="427"/>
      <c r="BQ5462" s="427"/>
      <c r="BR5462" s="427"/>
      <c r="BS5462" s="427"/>
      <c r="BT5462" s="427"/>
      <c r="BU5462" s="427"/>
      <c r="BV5462" s="427"/>
      <c r="BW5462" s="427"/>
      <c r="BX5462" s="427"/>
      <c r="BY5462" s="427"/>
      <c r="BZ5462" s="427"/>
    </row>
    <row r="5463" spans="2:78" s="152" customFormat="1" x14ac:dyDescent="0.2">
      <c r="B5463" s="683"/>
      <c r="C5463" s="683"/>
      <c r="D5463" s="698"/>
      <c r="E5463" s="215"/>
      <c r="F5463" s="215"/>
      <c r="G5463" s="427"/>
      <c r="H5463" s="427"/>
      <c r="I5463" s="427"/>
      <c r="J5463" s="427"/>
      <c r="K5463" s="427"/>
      <c r="L5463" s="653"/>
      <c r="M5463" s="666"/>
      <c r="N5463" s="600">
        <v>12.43</v>
      </c>
      <c r="O5463" s="608">
        <v>6.5949999999999995E-2</v>
      </c>
      <c r="P5463" s="782"/>
      <c r="Q5463" s="764"/>
      <c r="R5463" s="764"/>
      <c r="S5463" s="764"/>
      <c r="T5463" s="764"/>
      <c r="U5463" s="764"/>
      <c r="V5463" s="764"/>
      <c r="W5463" s="764"/>
      <c r="X5463" s="764"/>
      <c r="Y5463" s="768"/>
      <c r="Z5463" s="762"/>
      <c r="AA5463" s="150"/>
      <c r="AB5463" s="150">
        <v>110</v>
      </c>
      <c r="AC5463" s="150">
        <v>1.8E-3</v>
      </c>
      <c r="AD5463" s="150">
        <v>13.19</v>
      </c>
      <c r="AE5463" s="150">
        <v>0.95399999999999996</v>
      </c>
      <c r="AF5463" s="223">
        <f t="shared" si="32"/>
        <v>12.583259999999999</v>
      </c>
      <c r="AG5463" s="223">
        <f t="shared" si="31"/>
        <v>0.98782032637011397</v>
      </c>
      <c r="AH5463" s="346"/>
      <c r="AI5463" s="427"/>
      <c r="AJ5463" s="480"/>
      <c r="AK5463" s="427"/>
      <c r="AU5463" s="218"/>
      <c r="AV5463" s="218"/>
      <c r="AW5463" s="218"/>
      <c r="AX5463" s="218"/>
      <c r="AY5463" s="218"/>
      <c r="AZ5463" s="427"/>
      <c r="BA5463" s="427"/>
      <c r="BB5463" s="427"/>
      <c r="BI5463" s="427"/>
      <c r="BJ5463" s="427"/>
      <c r="BK5463" s="427"/>
      <c r="BL5463" s="427"/>
      <c r="BM5463" s="427"/>
      <c r="BN5463" s="427"/>
      <c r="BO5463" s="427"/>
      <c r="BP5463" s="427"/>
      <c r="BQ5463" s="427"/>
      <c r="BR5463" s="427"/>
      <c r="BS5463" s="427"/>
      <c r="BT5463" s="427"/>
      <c r="BU5463" s="427"/>
      <c r="BV5463" s="427"/>
      <c r="BW5463" s="427"/>
      <c r="BX5463" s="427"/>
      <c r="BY5463" s="427"/>
      <c r="BZ5463" s="427"/>
    </row>
    <row r="5464" spans="2:78" s="152" customFormat="1" x14ac:dyDescent="0.2">
      <c r="B5464" s="683"/>
      <c r="C5464" s="683"/>
      <c r="D5464" s="698"/>
      <c r="E5464" s="215"/>
      <c r="F5464" s="215"/>
      <c r="G5464" s="427"/>
      <c r="H5464" s="427"/>
      <c r="I5464" s="427"/>
      <c r="J5464" s="427"/>
      <c r="K5464" s="427"/>
      <c r="L5464" s="653"/>
      <c r="M5464" s="666"/>
      <c r="N5464" s="600">
        <v>12.89</v>
      </c>
      <c r="O5464" s="608">
        <v>6.3503999999999991E-2</v>
      </c>
      <c r="P5464" s="782"/>
      <c r="Q5464" s="764"/>
      <c r="R5464" s="764"/>
      <c r="S5464" s="764"/>
      <c r="T5464" s="764"/>
      <c r="U5464" s="764"/>
      <c r="V5464" s="764"/>
      <c r="W5464" s="764"/>
      <c r="X5464" s="764"/>
      <c r="Y5464" s="768"/>
      <c r="Z5464" s="762"/>
      <c r="AA5464" s="150"/>
      <c r="AB5464" s="150">
        <v>111</v>
      </c>
      <c r="AC5464" s="150">
        <v>1.8E-3</v>
      </c>
      <c r="AD5464" s="150">
        <v>13.23</v>
      </c>
      <c r="AE5464" s="150">
        <v>0.96899999999999997</v>
      </c>
      <c r="AF5464" s="223">
        <f t="shared" si="32"/>
        <v>12.81987</v>
      </c>
      <c r="AG5464" s="223">
        <f t="shared" si="31"/>
        <v>1.0054704142865725</v>
      </c>
      <c r="AH5464" s="346"/>
      <c r="AI5464" s="427"/>
      <c r="AJ5464" s="480"/>
      <c r="AK5464" s="427"/>
      <c r="AU5464" s="218"/>
      <c r="AV5464" s="218"/>
      <c r="AW5464" s="218"/>
      <c r="AX5464" s="218"/>
      <c r="AY5464" s="218"/>
      <c r="AZ5464" s="427"/>
      <c r="BA5464" s="427"/>
      <c r="BB5464" s="427"/>
      <c r="BI5464" s="427"/>
      <c r="BJ5464" s="427"/>
      <c r="BK5464" s="427"/>
      <c r="BL5464" s="427"/>
      <c r="BM5464" s="427"/>
      <c r="BN5464" s="427"/>
      <c r="BO5464" s="427"/>
      <c r="BP5464" s="427"/>
      <c r="BQ5464" s="427"/>
      <c r="BR5464" s="427"/>
      <c r="BS5464" s="427"/>
      <c r="BT5464" s="427"/>
      <c r="BU5464" s="427"/>
      <c r="BV5464" s="427"/>
      <c r="BW5464" s="427"/>
      <c r="BX5464" s="427"/>
      <c r="BY5464" s="427"/>
      <c r="BZ5464" s="427"/>
    </row>
    <row r="5465" spans="2:78" s="152" customFormat="1" x14ac:dyDescent="0.2">
      <c r="B5465" s="683"/>
      <c r="C5465" s="683"/>
      <c r="D5465" s="698"/>
      <c r="E5465" s="215"/>
      <c r="F5465" s="215"/>
      <c r="G5465" s="427"/>
      <c r="H5465" s="427"/>
      <c r="I5465" s="427"/>
      <c r="J5465" s="427"/>
      <c r="K5465" s="427"/>
      <c r="L5465" s="653"/>
      <c r="M5465" s="666"/>
      <c r="N5465" s="600">
        <v>13.45</v>
      </c>
      <c r="O5465" s="608">
        <v>3.1919999999999997E-2</v>
      </c>
      <c r="P5465" s="782"/>
      <c r="Q5465" s="764"/>
      <c r="R5465" s="764"/>
      <c r="S5465" s="764"/>
      <c r="T5465" s="764"/>
      <c r="U5465" s="764"/>
      <c r="V5465" s="764"/>
      <c r="W5465" s="764"/>
      <c r="X5465" s="764"/>
      <c r="Y5465" s="768"/>
      <c r="Z5465" s="762"/>
      <c r="AA5465" s="150"/>
      <c r="AB5465" s="150">
        <v>112</v>
      </c>
      <c r="AC5465" s="150">
        <v>1.6999999999999999E-3</v>
      </c>
      <c r="AD5465" s="150">
        <v>13.3</v>
      </c>
      <c r="AE5465" s="150">
        <v>0.98799999999999999</v>
      </c>
      <c r="AF5465" s="223">
        <f t="shared" si="32"/>
        <v>13.140400000000001</v>
      </c>
      <c r="AG5465" s="223">
        <f t="shared" si="31"/>
        <v>1.0235609266080179</v>
      </c>
      <c r="AH5465" s="346"/>
      <c r="AI5465" s="427"/>
      <c r="AJ5465" s="480"/>
      <c r="AK5465" s="427"/>
      <c r="AU5465" s="218"/>
      <c r="AV5465" s="218"/>
      <c r="AW5465" s="218"/>
      <c r="AX5465" s="218"/>
      <c r="AY5465" s="218"/>
      <c r="AZ5465" s="427"/>
      <c r="BA5465" s="427"/>
      <c r="BB5465" s="427"/>
      <c r="BI5465" s="427"/>
      <c r="BJ5465" s="427"/>
      <c r="BK5465" s="427"/>
      <c r="BL5465" s="427"/>
      <c r="BM5465" s="427"/>
      <c r="BN5465" s="427"/>
      <c r="BO5465" s="427"/>
      <c r="BP5465" s="427"/>
      <c r="BQ5465" s="427"/>
      <c r="BR5465" s="427"/>
      <c r="BS5465" s="427"/>
      <c r="BT5465" s="427"/>
      <c r="BU5465" s="427"/>
      <c r="BV5465" s="427"/>
      <c r="BW5465" s="427"/>
      <c r="BX5465" s="427"/>
      <c r="BY5465" s="427"/>
      <c r="BZ5465" s="427"/>
    </row>
    <row r="5466" spans="2:78" s="152" customFormat="1" x14ac:dyDescent="0.2">
      <c r="B5466" s="683"/>
      <c r="C5466" s="683"/>
      <c r="D5466" s="698"/>
      <c r="E5466" s="215"/>
      <c r="F5466" s="215"/>
      <c r="G5466" s="427"/>
      <c r="H5466" s="427"/>
      <c r="I5466" s="427"/>
      <c r="J5466" s="427"/>
      <c r="K5466" s="427"/>
      <c r="L5466" s="653"/>
      <c r="M5466" s="666"/>
      <c r="N5466" s="600">
        <v>13.55</v>
      </c>
      <c r="O5466" s="608">
        <v>2.1312000000000001E-2</v>
      </c>
      <c r="P5466" s="782"/>
      <c r="Q5466" s="764"/>
      <c r="R5466" s="764"/>
      <c r="S5466" s="764"/>
      <c r="T5466" s="764"/>
      <c r="U5466" s="764"/>
      <c r="V5466" s="764"/>
      <c r="W5466" s="764"/>
      <c r="X5466" s="764"/>
      <c r="Y5466" s="768"/>
      <c r="Z5466" s="762"/>
      <c r="AA5466" s="150"/>
      <c r="AB5466" s="150">
        <v>113</v>
      </c>
      <c r="AC5466" s="150">
        <v>1.9E-3</v>
      </c>
      <c r="AD5466" s="150">
        <v>13.32</v>
      </c>
      <c r="AE5466" s="150">
        <v>0.99099999999999999</v>
      </c>
      <c r="AF5466" s="223">
        <f t="shared" si="32"/>
        <v>13.20012</v>
      </c>
      <c r="AG5466" s="223">
        <f t="shared" si="31"/>
        <v>1.026505819644064</v>
      </c>
      <c r="AH5466" s="346"/>
      <c r="AI5466" s="427"/>
      <c r="AJ5466" s="480"/>
      <c r="AK5466" s="427"/>
      <c r="AU5466" s="218"/>
      <c r="AV5466" s="218"/>
      <c r="AW5466" s="218"/>
      <c r="AX5466" s="218"/>
      <c r="AY5466" s="218"/>
      <c r="AZ5466" s="427"/>
      <c r="BA5466" s="427"/>
      <c r="BB5466" s="427"/>
      <c r="BI5466" s="427"/>
      <c r="BJ5466" s="427"/>
      <c r="BK5466" s="427"/>
      <c r="BL5466" s="427"/>
      <c r="BM5466" s="427"/>
      <c r="BN5466" s="427"/>
      <c r="BO5466" s="427"/>
      <c r="BP5466" s="427"/>
      <c r="BQ5466" s="427"/>
      <c r="BR5466" s="427"/>
      <c r="BS5466" s="427"/>
      <c r="BT5466" s="427"/>
      <c r="BU5466" s="427"/>
      <c r="BV5466" s="427"/>
      <c r="BW5466" s="427"/>
      <c r="BX5466" s="427"/>
      <c r="BY5466" s="427"/>
      <c r="BZ5466" s="427"/>
    </row>
    <row r="5467" spans="2:78" s="152" customFormat="1" x14ac:dyDescent="0.2">
      <c r="B5467" s="683"/>
      <c r="C5467" s="683"/>
      <c r="D5467" s="698"/>
      <c r="E5467" s="215"/>
      <c r="F5467" s="215"/>
      <c r="G5467" s="427"/>
      <c r="H5467" s="427"/>
      <c r="I5467" s="427"/>
      <c r="J5467" s="427"/>
      <c r="K5467" s="427"/>
      <c r="L5467" s="653"/>
      <c r="M5467" s="666"/>
      <c r="N5467" s="600">
        <v>13.74</v>
      </c>
      <c r="O5467" s="608">
        <v>4.6725000000000003E-2</v>
      </c>
      <c r="P5467" s="782"/>
      <c r="Q5467" s="764"/>
      <c r="R5467" s="764"/>
      <c r="S5467" s="764"/>
      <c r="T5467" s="764"/>
      <c r="U5467" s="764"/>
      <c r="V5467" s="764"/>
      <c r="W5467" s="764"/>
      <c r="X5467" s="764"/>
      <c r="Y5467" s="768"/>
      <c r="Z5467" s="762"/>
      <c r="AA5467" s="150"/>
      <c r="AB5467" s="150">
        <v>114</v>
      </c>
      <c r="AC5467" s="150">
        <v>1.9E-3</v>
      </c>
      <c r="AD5467" s="150">
        <v>13.35</v>
      </c>
      <c r="AE5467" s="150">
        <v>0.997</v>
      </c>
      <c r="AF5467" s="223">
        <f t="shared" si="32"/>
        <v>13.309949999999999</v>
      </c>
      <c r="AG5467" s="223">
        <f t="shared" si="31"/>
        <v>1.0323104143892352</v>
      </c>
      <c r="AH5467" s="346"/>
      <c r="AI5467" s="427"/>
      <c r="AJ5467" s="480"/>
      <c r="AK5467" s="427"/>
      <c r="AU5467" s="218"/>
      <c r="AV5467" s="218"/>
      <c r="AW5467" s="218"/>
      <c r="AX5467" s="218"/>
      <c r="AY5467" s="218"/>
      <c r="AZ5467" s="427"/>
      <c r="BA5467" s="427"/>
      <c r="BB5467" s="427"/>
      <c r="BI5467" s="427"/>
      <c r="BJ5467" s="427"/>
      <c r="BK5467" s="427"/>
      <c r="BL5467" s="427"/>
      <c r="BM5467" s="427"/>
      <c r="BN5467" s="427"/>
      <c r="BO5467" s="427"/>
      <c r="BP5467" s="427"/>
      <c r="BQ5467" s="427"/>
      <c r="BR5467" s="427"/>
      <c r="BS5467" s="427"/>
      <c r="BT5467" s="427"/>
      <c r="BU5467" s="427"/>
      <c r="BV5467" s="427"/>
      <c r="BW5467" s="427"/>
      <c r="BX5467" s="427"/>
      <c r="BY5467" s="427"/>
      <c r="BZ5467" s="427"/>
    </row>
    <row r="5468" spans="2:78" s="152" customFormat="1" x14ac:dyDescent="0.2">
      <c r="B5468" s="683"/>
      <c r="C5468" s="683"/>
      <c r="D5468" s="698"/>
      <c r="E5468" s="215"/>
      <c r="F5468" s="215"/>
      <c r="G5468" s="427"/>
      <c r="H5468" s="427"/>
      <c r="I5468" s="427"/>
      <c r="J5468" s="427"/>
      <c r="K5468" s="427"/>
      <c r="L5468" s="653"/>
      <c r="M5468" s="666"/>
      <c r="N5468" s="600">
        <v>13.93</v>
      </c>
      <c r="O5468" s="608">
        <v>1.8759999999999999E-2</v>
      </c>
      <c r="P5468" s="782"/>
      <c r="Q5468" s="764"/>
      <c r="R5468" s="764"/>
      <c r="S5468" s="764"/>
      <c r="T5468" s="764"/>
      <c r="U5468" s="764"/>
      <c r="V5468" s="764"/>
      <c r="W5468" s="764"/>
      <c r="X5468" s="764"/>
      <c r="Y5468" s="768"/>
      <c r="Z5468" s="762"/>
      <c r="AA5468" s="150"/>
      <c r="AB5468" s="150">
        <v>115</v>
      </c>
      <c r="AC5468" s="150">
        <v>2E-3</v>
      </c>
      <c r="AD5468" s="150">
        <v>13.4</v>
      </c>
      <c r="AE5468" s="150">
        <v>1.0029999999999999</v>
      </c>
      <c r="AF5468" s="223">
        <f t="shared" si="32"/>
        <v>13.440199999999999</v>
      </c>
      <c r="AG5468" s="223">
        <f t="shared" si="31"/>
        <v>1.0364429100757431</v>
      </c>
      <c r="AH5468" s="346"/>
      <c r="AI5468" s="427"/>
      <c r="AJ5468" s="480"/>
      <c r="AK5468" s="427"/>
      <c r="AU5468" s="218"/>
      <c r="AV5468" s="218"/>
      <c r="AW5468" s="218"/>
      <c r="AX5468" s="218"/>
      <c r="AY5468" s="218"/>
      <c r="AZ5468" s="427"/>
      <c r="BA5468" s="427"/>
      <c r="BB5468" s="427"/>
      <c r="BI5468" s="427"/>
      <c r="BJ5468" s="427"/>
      <c r="BK5468" s="427"/>
      <c r="BL5468" s="427"/>
      <c r="BM5468" s="427"/>
      <c r="BN5468" s="427"/>
      <c r="BO5468" s="427"/>
      <c r="BP5468" s="427"/>
      <c r="BQ5468" s="427"/>
      <c r="BR5468" s="427"/>
      <c r="BS5468" s="427"/>
      <c r="BT5468" s="427"/>
      <c r="BU5468" s="427"/>
      <c r="BV5468" s="427"/>
      <c r="BW5468" s="427"/>
      <c r="BX5468" s="427"/>
      <c r="BY5468" s="427"/>
      <c r="BZ5468" s="427"/>
    </row>
    <row r="5469" spans="2:78" s="152" customFormat="1" x14ac:dyDescent="0.2">
      <c r="B5469" s="683"/>
      <c r="C5469" s="683"/>
      <c r="D5469" s="698"/>
      <c r="E5469" s="215"/>
      <c r="F5469" s="215"/>
      <c r="G5469" s="427"/>
      <c r="H5469" s="427"/>
      <c r="I5469" s="427"/>
      <c r="J5469" s="427"/>
      <c r="K5469" s="427"/>
      <c r="L5469" s="653"/>
      <c r="M5469" s="666"/>
      <c r="N5469" s="600">
        <v>14.33</v>
      </c>
      <c r="O5469" s="608">
        <v>1.0744E-2</v>
      </c>
      <c r="P5469" s="782"/>
      <c r="Q5469" s="764"/>
      <c r="R5469" s="764"/>
      <c r="S5469" s="764"/>
      <c r="T5469" s="764"/>
      <c r="U5469" s="764"/>
      <c r="V5469" s="764"/>
      <c r="W5469" s="764"/>
      <c r="X5469" s="764"/>
      <c r="Y5469" s="768"/>
      <c r="Z5469" s="762"/>
      <c r="AA5469" s="150"/>
      <c r="AB5469" s="150">
        <v>116</v>
      </c>
      <c r="AC5469" s="150">
        <v>1.9E-3</v>
      </c>
      <c r="AD5469" s="150">
        <v>13.43</v>
      </c>
      <c r="AE5469" s="150">
        <v>1.0149999999999999</v>
      </c>
      <c r="AF5469" s="223">
        <f t="shared" si="32"/>
        <v>13.631449999999999</v>
      </c>
      <c r="AG5469" s="223">
        <f t="shared" si="31"/>
        <v>1.0512454654493837</v>
      </c>
      <c r="AH5469" s="346"/>
      <c r="AI5469" s="427"/>
      <c r="AJ5469" s="480"/>
      <c r="AK5469" s="427"/>
      <c r="AU5469" s="218"/>
      <c r="AV5469" s="218"/>
      <c r="AW5469" s="218"/>
      <c r="AX5469" s="218"/>
      <c r="AY5469" s="218"/>
      <c r="AZ5469" s="427"/>
      <c r="BA5469" s="427"/>
      <c r="BB5469" s="427"/>
      <c r="BI5469" s="427"/>
      <c r="BJ5469" s="427"/>
      <c r="BK5469" s="427"/>
      <c r="BL5469" s="427"/>
      <c r="BM5469" s="427"/>
      <c r="BN5469" s="427"/>
      <c r="BO5469" s="427"/>
      <c r="BP5469" s="427"/>
      <c r="BQ5469" s="427"/>
      <c r="BR5469" s="427"/>
      <c r="BS5469" s="427"/>
      <c r="BT5469" s="427"/>
      <c r="BU5469" s="427"/>
      <c r="BV5469" s="427"/>
      <c r="BW5469" s="427"/>
      <c r="BX5469" s="427"/>
      <c r="BY5469" s="427"/>
      <c r="BZ5469" s="427"/>
    </row>
    <row r="5470" spans="2:78" s="152" customFormat="1" x14ac:dyDescent="0.2">
      <c r="B5470" s="683"/>
      <c r="C5470" s="683"/>
      <c r="D5470" s="698"/>
      <c r="E5470" s="215"/>
      <c r="F5470" s="215"/>
      <c r="G5470" s="427"/>
      <c r="H5470" s="427"/>
      <c r="I5470" s="427"/>
      <c r="J5470" s="427"/>
      <c r="K5470" s="427"/>
      <c r="L5470" s="653"/>
      <c r="M5470" s="666"/>
      <c r="N5470" s="600">
        <v>14.62</v>
      </c>
      <c r="O5470" s="608">
        <v>1.4817000000000002E-2</v>
      </c>
      <c r="P5470" s="782"/>
      <c r="Q5470" s="764"/>
      <c r="R5470" s="764"/>
      <c r="S5470" s="764"/>
      <c r="T5470" s="764"/>
      <c r="U5470" s="764"/>
      <c r="V5470" s="764"/>
      <c r="W5470" s="764"/>
      <c r="X5470" s="764"/>
      <c r="Y5470" s="768"/>
      <c r="Z5470" s="762"/>
      <c r="AA5470" s="150"/>
      <c r="AB5470" s="150">
        <v>117</v>
      </c>
      <c r="AC5470" s="150">
        <v>2E-3</v>
      </c>
      <c r="AD5470" s="150">
        <v>13.47</v>
      </c>
      <c r="AE5470" s="150">
        <v>1.024</v>
      </c>
      <c r="AF5470" s="223">
        <f t="shared" si="32"/>
        <v>13.793280000000001</v>
      </c>
      <c r="AG5470" s="223">
        <f t="shared" si="31"/>
        <v>1.0599364328136598</v>
      </c>
      <c r="AH5470" s="346"/>
      <c r="AI5470" s="427"/>
      <c r="AJ5470" s="480"/>
      <c r="AK5470" s="427"/>
      <c r="AU5470" s="218"/>
      <c r="AV5470" s="218"/>
      <c r="AW5470" s="218"/>
      <c r="AX5470" s="218"/>
      <c r="AY5470" s="218"/>
      <c r="AZ5470" s="427"/>
      <c r="BA5470" s="427"/>
      <c r="BB5470" s="427"/>
      <c r="BI5470" s="427"/>
      <c r="BJ5470" s="427"/>
      <c r="BK5470" s="427"/>
      <c r="BL5470" s="427"/>
      <c r="BM5470" s="427"/>
      <c r="BN5470" s="427"/>
      <c r="BO5470" s="427"/>
      <c r="BP5470" s="427"/>
      <c r="BQ5470" s="427"/>
      <c r="BR5470" s="427"/>
      <c r="BS5470" s="427"/>
      <c r="BT5470" s="427"/>
      <c r="BU5470" s="427"/>
      <c r="BV5470" s="427"/>
      <c r="BW5470" s="427"/>
      <c r="BX5470" s="427"/>
      <c r="BY5470" s="427"/>
      <c r="BZ5470" s="427"/>
    </row>
    <row r="5471" spans="2:78" s="152" customFormat="1" x14ac:dyDescent="0.2">
      <c r="B5471" s="683"/>
      <c r="C5471" s="683"/>
      <c r="D5471" s="698"/>
      <c r="E5471" s="215"/>
      <c r="F5471" s="215"/>
      <c r="G5471" s="427"/>
      <c r="H5471" s="427"/>
      <c r="I5471" s="427"/>
      <c r="J5471" s="427"/>
      <c r="K5471" s="427"/>
      <c r="L5471" s="653"/>
      <c r="M5471" s="666"/>
      <c r="N5471" s="600">
        <v>14.53</v>
      </c>
      <c r="O5471" s="608">
        <v>1.2104999999999999E-2</v>
      </c>
      <c r="P5471" s="782"/>
      <c r="Q5471" s="764"/>
      <c r="R5471" s="764"/>
      <c r="S5471" s="764"/>
      <c r="T5471" s="764"/>
      <c r="U5471" s="764"/>
      <c r="V5471" s="764"/>
      <c r="W5471" s="764"/>
      <c r="X5471" s="764"/>
      <c r="Y5471" s="768"/>
      <c r="Z5471" s="762"/>
      <c r="AA5471" s="150"/>
      <c r="AB5471" s="150">
        <v>118</v>
      </c>
      <c r="AC5471" s="150">
        <v>2.0999999999999999E-3</v>
      </c>
      <c r="AD5471" s="150">
        <v>13.45</v>
      </c>
      <c r="AE5471" s="150">
        <v>1.0209999999999999</v>
      </c>
      <c r="AF5471" s="223">
        <f t="shared" si="32"/>
        <v>13.732449999999998</v>
      </c>
      <c r="AG5471" s="223">
        <f t="shared" si="31"/>
        <v>1.0580777647105943</v>
      </c>
      <c r="AH5471" s="346"/>
      <c r="AI5471" s="427"/>
      <c r="AJ5471" s="480"/>
      <c r="AK5471" s="427"/>
      <c r="AU5471" s="218"/>
      <c r="AV5471" s="218"/>
      <c r="AW5471" s="218"/>
      <c r="AX5471" s="218"/>
      <c r="AY5471" s="218"/>
      <c r="AZ5471" s="427"/>
      <c r="BA5471" s="427"/>
      <c r="BB5471" s="427"/>
      <c r="BI5471" s="427"/>
      <c r="BJ5471" s="427"/>
      <c r="BK5471" s="427"/>
      <c r="BL5471" s="427"/>
      <c r="BM5471" s="427"/>
      <c r="BN5471" s="427"/>
      <c r="BO5471" s="427"/>
      <c r="BP5471" s="427"/>
      <c r="BQ5471" s="427"/>
      <c r="BR5471" s="427"/>
      <c r="BS5471" s="427"/>
      <c r="BT5471" s="427"/>
      <c r="BU5471" s="427"/>
      <c r="BV5471" s="427"/>
      <c r="BW5471" s="427"/>
      <c r="BX5471" s="427"/>
      <c r="BY5471" s="427"/>
      <c r="BZ5471" s="427"/>
    </row>
    <row r="5472" spans="2:78" s="152" customFormat="1" x14ac:dyDescent="0.2">
      <c r="B5472" s="683"/>
      <c r="C5472" s="683"/>
      <c r="D5472" s="698"/>
      <c r="E5472" s="215"/>
      <c r="F5472" s="215"/>
      <c r="G5472" s="427"/>
      <c r="H5472" s="427"/>
      <c r="I5472" s="427"/>
      <c r="J5472" s="427"/>
      <c r="K5472" s="427"/>
      <c r="L5472" s="653"/>
      <c r="M5472" s="666"/>
      <c r="N5472" s="600">
        <v>14.23</v>
      </c>
      <c r="O5472" s="608">
        <v>1.0712000000000001E-2</v>
      </c>
      <c r="P5472" s="782"/>
      <c r="Q5472" s="764"/>
      <c r="R5472" s="764"/>
      <c r="S5472" s="764"/>
      <c r="T5472" s="764"/>
      <c r="U5472" s="764"/>
      <c r="V5472" s="764"/>
      <c r="W5472" s="764"/>
      <c r="X5472" s="764"/>
      <c r="Y5472" s="768"/>
      <c r="Z5472" s="762"/>
      <c r="AA5472" s="150"/>
      <c r="AB5472" s="150">
        <v>119</v>
      </c>
      <c r="AC5472" s="150">
        <v>1.9E-3</v>
      </c>
      <c r="AD5472" s="150">
        <v>13.39</v>
      </c>
      <c r="AE5472" s="150">
        <v>1.012</v>
      </c>
      <c r="AF5472" s="223">
        <f t="shared" si="32"/>
        <v>13.55068</v>
      </c>
      <c r="AG5472" s="223">
        <f t="shared" si="31"/>
        <v>1.0501318015036885</v>
      </c>
      <c r="AH5472" s="346"/>
      <c r="AI5472" s="427"/>
      <c r="AJ5472" s="480"/>
      <c r="AK5472" s="427"/>
      <c r="AU5472" s="218"/>
      <c r="AV5472" s="218"/>
      <c r="AW5472" s="218"/>
      <c r="AX5472" s="218"/>
      <c r="AY5472" s="218"/>
      <c r="AZ5472" s="427"/>
      <c r="BA5472" s="427"/>
      <c r="BB5472" s="427"/>
      <c r="BI5472" s="427"/>
      <c r="BJ5472" s="427"/>
      <c r="BK5472" s="427"/>
      <c r="BL5472" s="427"/>
      <c r="BM5472" s="427"/>
      <c r="BN5472" s="427"/>
      <c r="BO5472" s="427"/>
      <c r="BP5472" s="427"/>
      <c r="BQ5472" s="427"/>
      <c r="BR5472" s="427"/>
      <c r="BS5472" s="427"/>
      <c r="BT5472" s="427"/>
      <c r="BU5472" s="427"/>
      <c r="BV5472" s="427"/>
      <c r="BW5472" s="427"/>
      <c r="BX5472" s="427"/>
      <c r="BY5472" s="427"/>
      <c r="BZ5472" s="427"/>
    </row>
    <row r="5473" spans="2:78" s="152" customFormat="1" x14ac:dyDescent="0.2">
      <c r="B5473" s="683"/>
      <c r="C5473" s="683"/>
      <c r="D5473" s="698"/>
      <c r="E5473" s="215"/>
      <c r="F5473" s="215"/>
      <c r="G5473" s="427"/>
      <c r="H5473" s="427"/>
      <c r="I5473" s="427"/>
      <c r="J5473" s="427"/>
      <c r="K5473" s="427"/>
      <c r="L5473" s="653"/>
      <c r="M5473" s="666"/>
      <c r="N5473" s="600">
        <v>13.55</v>
      </c>
      <c r="O5473" s="608">
        <v>7.9679999999999994E-3</v>
      </c>
      <c r="P5473" s="782"/>
      <c r="Q5473" s="764"/>
      <c r="R5473" s="764"/>
      <c r="S5473" s="764"/>
      <c r="T5473" s="764"/>
      <c r="U5473" s="764"/>
      <c r="V5473" s="764"/>
      <c r="W5473" s="764"/>
      <c r="X5473" s="764"/>
      <c r="Y5473" s="768"/>
      <c r="Z5473" s="762"/>
      <c r="AA5473" s="150"/>
      <c r="AB5473" s="150">
        <v>120</v>
      </c>
      <c r="AC5473" s="150">
        <v>1.9E-3</v>
      </c>
      <c r="AD5473" s="150">
        <v>13.28</v>
      </c>
      <c r="AE5473" s="150">
        <v>0.99099999999999999</v>
      </c>
      <c r="AF5473" s="223">
        <f t="shared" si="32"/>
        <v>13.16048</v>
      </c>
      <c r="AG5473" s="223">
        <f t="shared" si="31"/>
        <v>1.0295977046429918</v>
      </c>
      <c r="AH5473" s="346"/>
      <c r="AI5473" s="427"/>
      <c r="AJ5473" s="480"/>
      <c r="AK5473" s="427"/>
      <c r="AU5473" s="218"/>
      <c r="AV5473" s="218"/>
      <c r="AW5473" s="218"/>
      <c r="AX5473" s="218"/>
      <c r="AY5473" s="218"/>
      <c r="AZ5473" s="427"/>
      <c r="BA5473" s="427"/>
      <c r="BB5473" s="427"/>
      <c r="BI5473" s="427"/>
      <c r="BJ5473" s="427"/>
      <c r="BK5473" s="427"/>
      <c r="BL5473" s="427"/>
      <c r="BM5473" s="427"/>
      <c r="BN5473" s="427"/>
      <c r="BO5473" s="427"/>
      <c r="BP5473" s="427"/>
      <c r="BQ5473" s="427"/>
      <c r="BR5473" s="427"/>
      <c r="BS5473" s="427"/>
      <c r="BT5473" s="427"/>
      <c r="BU5473" s="427"/>
      <c r="BV5473" s="427"/>
      <c r="BW5473" s="427"/>
      <c r="BX5473" s="427"/>
      <c r="BY5473" s="427"/>
      <c r="BZ5473" s="427"/>
    </row>
    <row r="5474" spans="2:78" s="152" customFormat="1" x14ac:dyDescent="0.2">
      <c r="B5474" s="683"/>
      <c r="C5474" s="683"/>
      <c r="D5474" s="698"/>
      <c r="E5474" s="215"/>
      <c r="F5474" s="215"/>
      <c r="G5474" s="427"/>
      <c r="H5474" s="427"/>
      <c r="I5474" s="427"/>
      <c r="J5474" s="427"/>
      <c r="K5474" s="427"/>
      <c r="L5474" s="653"/>
      <c r="M5474" s="666"/>
      <c r="N5474" s="600">
        <v>12.7</v>
      </c>
      <c r="O5474" s="608">
        <v>1.1844E-2</v>
      </c>
      <c r="P5474" s="782"/>
      <c r="Q5474" s="764"/>
      <c r="R5474" s="764"/>
      <c r="S5474" s="764"/>
      <c r="T5474" s="764"/>
      <c r="U5474" s="764"/>
      <c r="V5474" s="764"/>
      <c r="W5474" s="764"/>
      <c r="X5474" s="764"/>
      <c r="Y5474" s="768"/>
      <c r="Z5474" s="762"/>
      <c r="AA5474" s="150"/>
      <c r="AB5474" s="150">
        <v>121</v>
      </c>
      <c r="AC5474" s="150">
        <v>1.9E-3</v>
      </c>
      <c r="AD5474" s="150">
        <v>13.16</v>
      </c>
      <c r="AE5474" s="150">
        <v>0.96299999999999997</v>
      </c>
      <c r="AF5474" s="223">
        <f t="shared" si="32"/>
        <v>12.673080000000001</v>
      </c>
      <c r="AG5474" s="223">
        <f t="shared" si="31"/>
        <v>1.0021241876481486</v>
      </c>
      <c r="AH5474" s="346"/>
      <c r="AI5474" s="427"/>
      <c r="AJ5474" s="480"/>
      <c r="AK5474" s="427"/>
      <c r="AU5474" s="218"/>
      <c r="AV5474" s="218"/>
      <c r="AW5474" s="218"/>
      <c r="AX5474" s="218"/>
      <c r="AY5474" s="218"/>
      <c r="AZ5474" s="427"/>
      <c r="BA5474" s="427"/>
      <c r="BB5474" s="427"/>
      <c r="BI5474" s="427"/>
      <c r="BJ5474" s="427"/>
      <c r="BK5474" s="427"/>
      <c r="BL5474" s="427"/>
      <c r="BM5474" s="427"/>
      <c r="BN5474" s="427"/>
      <c r="BO5474" s="427"/>
      <c r="BP5474" s="427"/>
      <c r="BQ5474" s="427"/>
      <c r="BR5474" s="427"/>
      <c r="BS5474" s="427"/>
      <c r="BT5474" s="427"/>
      <c r="BU5474" s="427"/>
      <c r="BV5474" s="427"/>
      <c r="BW5474" s="427"/>
      <c r="BX5474" s="427"/>
      <c r="BY5474" s="427"/>
      <c r="BZ5474" s="427"/>
    </row>
    <row r="5475" spans="2:78" s="152" customFormat="1" x14ac:dyDescent="0.2">
      <c r="B5475" s="683"/>
      <c r="C5475" s="683"/>
      <c r="D5475" s="698"/>
      <c r="E5475" s="215"/>
      <c r="F5475" s="215"/>
      <c r="G5475" s="427"/>
      <c r="H5475" s="427"/>
      <c r="I5475" s="427"/>
      <c r="J5475" s="427"/>
      <c r="K5475" s="427"/>
      <c r="L5475" s="653"/>
      <c r="M5475" s="666"/>
      <c r="N5475" s="600">
        <v>11.89</v>
      </c>
      <c r="O5475" s="608">
        <v>9.1139999999999988E-3</v>
      </c>
      <c r="P5475" s="782"/>
      <c r="Q5475" s="764"/>
      <c r="R5475" s="764"/>
      <c r="S5475" s="764"/>
      <c r="T5475" s="764"/>
      <c r="U5475" s="764"/>
      <c r="V5475" s="764"/>
      <c r="W5475" s="764"/>
      <c r="X5475" s="764"/>
      <c r="Y5475" s="768"/>
      <c r="Z5475" s="762"/>
      <c r="AA5475" s="150"/>
      <c r="AB5475" s="150">
        <v>122</v>
      </c>
      <c r="AC5475" s="150">
        <v>1.9E-3</v>
      </c>
      <c r="AD5475" s="150">
        <v>13.02</v>
      </c>
      <c r="AE5475" s="150">
        <v>0.93600000000000005</v>
      </c>
      <c r="AF5475" s="223">
        <f t="shared" si="32"/>
        <v>12.186720000000001</v>
      </c>
      <c r="AG5475" s="223">
        <f t="shared" si="31"/>
        <v>0.97565218532960463</v>
      </c>
      <c r="AH5475" s="346"/>
      <c r="AI5475" s="427"/>
      <c r="AJ5475" s="480"/>
      <c r="AK5475" s="427"/>
      <c r="AU5475" s="218"/>
      <c r="AV5475" s="218"/>
      <c r="AW5475" s="218"/>
      <c r="AX5475" s="218"/>
      <c r="AY5475" s="218"/>
      <c r="AZ5475" s="427"/>
      <c r="BA5475" s="427"/>
      <c r="BB5475" s="427"/>
      <c r="BI5475" s="427"/>
      <c r="BJ5475" s="427"/>
      <c r="BK5475" s="427"/>
      <c r="BL5475" s="427"/>
      <c r="BM5475" s="427"/>
      <c r="BN5475" s="427"/>
      <c r="BO5475" s="427"/>
      <c r="BP5475" s="427"/>
      <c r="BQ5475" s="427"/>
      <c r="BR5475" s="427"/>
      <c r="BS5475" s="427"/>
      <c r="BT5475" s="427"/>
      <c r="BU5475" s="427"/>
      <c r="BV5475" s="427"/>
      <c r="BW5475" s="427"/>
      <c r="BX5475" s="427"/>
      <c r="BY5475" s="427"/>
      <c r="BZ5475" s="427"/>
    </row>
    <row r="5476" spans="2:78" s="152" customFormat="1" x14ac:dyDescent="0.2">
      <c r="B5476" s="683"/>
      <c r="C5476" s="683"/>
      <c r="D5476" s="698"/>
      <c r="E5476" s="215"/>
      <c r="F5476" s="215"/>
      <c r="G5476" s="427"/>
      <c r="H5476" s="427"/>
      <c r="I5476" s="427"/>
      <c r="J5476" s="427"/>
      <c r="K5476" s="427"/>
      <c r="L5476" s="653"/>
      <c r="M5476" s="666"/>
      <c r="N5476" s="600">
        <v>11.02</v>
      </c>
      <c r="O5476" s="608">
        <v>1.0320000000000001E-2</v>
      </c>
      <c r="P5476" s="782"/>
      <c r="Q5476" s="764"/>
      <c r="R5476" s="764"/>
      <c r="S5476" s="764"/>
      <c r="T5476" s="764"/>
      <c r="U5476" s="764"/>
      <c r="V5476" s="764"/>
      <c r="W5476" s="764"/>
      <c r="X5476" s="764"/>
      <c r="Y5476" s="768"/>
      <c r="Z5476" s="762"/>
      <c r="AA5476" s="150"/>
      <c r="AB5476" s="150">
        <v>123</v>
      </c>
      <c r="AC5476" s="150">
        <v>2E-3</v>
      </c>
      <c r="AD5476" s="150">
        <v>12.9</v>
      </c>
      <c r="AE5476" s="150">
        <v>0.90500000000000003</v>
      </c>
      <c r="AF5476" s="223">
        <f t="shared" si="32"/>
        <v>11.6745</v>
      </c>
      <c r="AG5476" s="223">
        <f t="shared" si="31"/>
        <v>0.94393764186903073</v>
      </c>
      <c r="AH5476" s="346"/>
      <c r="AI5476" s="427"/>
      <c r="AJ5476" s="480"/>
      <c r="AK5476" s="427"/>
      <c r="AU5476" s="218"/>
      <c r="AV5476" s="218"/>
      <c r="AW5476" s="218"/>
      <c r="AX5476" s="218"/>
      <c r="AY5476" s="218"/>
      <c r="AZ5476" s="427"/>
      <c r="BA5476" s="427"/>
      <c r="BB5476" s="427"/>
      <c r="BI5476" s="427"/>
      <c r="BJ5476" s="427"/>
      <c r="BK5476" s="427"/>
      <c r="BL5476" s="427"/>
      <c r="BM5476" s="427"/>
      <c r="BN5476" s="427"/>
      <c r="BO5476" s="427"/>
      <c r="BP5476" s="427"/>
      <c r="BQ5476" s="427"/>
      <c r="BR5476" s="427"/>
      <c r="BS5476" s="427"/>
      <c r="BT5476" s="427"/>
      <c r="BU5476" s="427"/>
      <c r="BV5476" s="427"/>
      <c r="BW5476" s="427"/>
      <c r="BX5476" s="427"/>
      <c r="BY5476" s="427"/>
      <c r="BZ5476" s="427"/>
    </row>
    <row r="5477" spans="2:78" s="152" customFormat="1" x14ac:dyDescent="0.2">
      <c r="B5477" s="683"/>
      <c r="C5477" s="683"/>
      <c r="D5477" s="698"/>
      <c r="E5477" s="215"/>
      <c r="F5477" s="215"/>
      <c r="G5477" s="427"/>
      <c r="H5477" s="427"/>
      <c r="I5477" s="427"/>
      <c r="J5477" s="427"/>
      <c r="K5477" s="427"/>
      <c r="L5477" s="653"/>
      <c r="M5477" s="666"/>
      <c r="N5477" s="600">
        <v>10.1</v>
      </c>
      <c r="O5477" s="608">
        <v>3.8279999999999998E-3</v>
      </c>
      <c r="P5477" s="782"/>
      <c r="Q5477" s="764"/>
      <c r="R5477" s="764"/>
      <c r="S5477" s="764"/>
      <c r="T5477" s="764"/>
      <c r="U5477" s="764"/>
      <c r="V5477" s="764"/>
      <c r="W5477" s="764"/>
      <c r="X5477" s="764"/>
      <c r="Y5477" s="768"/>
      <c r="Z5477" s="762"/>
      <c r="AA5477" s="150"/>
      <c r="AB5477" s="150">
        <v>124</v>
      </c>
      <c r="AC5477" s="150">
        <v>1.8E-3</v>
      </c>
      <c r="AD5477" s="150">
        <v>12.76</v>
      </c>
      <c r="AE5477" s="150">
        <v>0.872</v>
      </c>
      <c r="AF5477" s="223">
        <f t="shared" si="32"/>
        <v>11.126720000000001</v>
      </c>
      <c r="AG5477" s="223">
        <f t="shared" si="31"/>
        <v>0.90772482816139877</v>
      </c>
      <c r="AH5477" s="346"/>
      <c r="AI5477" s="427"/>
      <c r="AJ5477" s="480"/>
      <c r="AK5477" s="427"/>
      <c r="AU5477" s="218"/>
      <c r="AV5477" s="218"/>
      <c r="AW5477" s="218"/>
      <c r="AX5477" s="218"/>
      <c r="AY5477" s="218"/>
      <c r="AZ5477" s="427"/>
      <c r="BA5477" s="427"/>
      <c r="BB5477" s="427"/>
      <c r="BI5477" s="427"/>
      <c r="BJ5477" s="427"/>
      <c r="BK5477" s="427"/>
      <c r="BL5477" s="427"/>
      <c r="BM5477" s="427"/>
      <c r="BN5477" s="427"/>
      <c r="BO5477" s="427"/>
      <c r="BP5477" s="427"/>
      <c r="BQ5477" s="427"/>
      <c r="BR5477" s="427"/>
      <c r="BS5477" s="427"/>
      <c r="BT5477" s="427"/>
      <c r="BU5477" s="427"/>
      <c r="BV5477" s="427"/>
      <c r="BW5477" s="427"/>
      <c r="BX5477" s="427"/>
      <c r="BY5477" s="427"/>
      <c r="BZ5477" s="427"/>
    </row>
    <row r="5478" spans="2:78" s="152" customFormat="1" x14ac:dyDescent="0.2">
      <c r="B5478" s="683"/>
      <c r="C5478" s="683"/>
      <c r="D5478" s="698"/>
      <c r="E5478" s="215"/>
      <c r="F5478" s="215"/>
      <c r="G5478" s="427"/>
      <c r="H5478" s="427"/>
      <c r="I5478" s="427"/>
      <c r="J5478" s="427"/>
      <c r="K5478" s="427"/>
      <c r="L5478" s="653"/>
      <c r="M5478" s="666"/>
      <c r="N5478" s="600">
        <v>9</v>
      </c>
      <c r="O5478" s="608">
        <v>3.7439999999999999E-3</v>
      </c>
      <c r="P5478" s="782"/>
      <c r="Q5478" s="764"/>
      <c r="R5478" s="764"/>
      <c r="S5478" s="764"/>
      <c r="T5478" s="764"/>
      <c r="U5478" s="764"/>
      <c r="V5478" s="764"/>
      <c r="W5478" s="764"/>
      <c r="X5478" s="764"/>
      <c r="Y5478" s="768"/>
      <c r="Z5478" s="762"/>
      <c r="AA5478" s="150"/>
      <c r="AB5478" s="150">
        <v>125</v>
      </c>
      <c r="AC5478" s="150">
        <v>1.6000000000000001E-3</v>
      </c>
      <c r="AD5478" s="150">
        <v>12.48</v>
      </c>
      <c r="AE5478" s="150">
        <v>0.82899999999999996</v>
      </c>
      <c r="AF5478" s="223">
        <f t="shared" si="32"/>
        <v>10.34592</v>
      </c>
      <c r="AG5478" s="223">
        <f t="shared" si="31"/>
        <v>0.86990813770065889</v>
      </c>
      <c r="AH5478" s="346"/>
      <c r="AI5478" s="427"/>
      <c r="AJ5478" s="480"/>
      <c r="AK5478" s="427"/>
      <c r="AU5478" s="218"/>
      <c r="AV5478" s="218"/>
      <c r="AW5478" s="218"/>
      <c r="AX5478" s="218"/>
      <c r="AY5478" s="218"/>
      <c r="AZ5478" s="427"/>
      <c r="BA5478" s="427"/>
      <c r="BB5478" s="427"/>
      <c r="BI5478" s="427"/>
      <c r="BJ5478" s="427"/>
      <c r="BK5478" s="427"/>
      <c r="BL5478" s="427"/>
      <c r="BM5478" s="427"/>
      <c r="BN5478" s="427"/>
      <c r="BO5478" s="427"/>
      <c r="BP5478" s="427"/>
      <c r="BQ5478" s="427"/>
      <c r="BR5478" s="427"/>
      <c r="BS5478" s="427"/>
      <c r="BT5478" s="427"/>
      <c r="BU5478" s="427"/>
      <c r="BV5478" s="427"/>
      <c r="BW5478" s="427"/>
      <c r="BX5478" s="427"/>
      <c r="BY5478" s="427"/>
      <c r="BZ5478" s="427"/>
    </row>
    <row r="5479" spans="2:78" s="152" customFormat="1" x14ac:dyDescent="0.2">
      <c r="B5479" s="683"/>
      <c r="C5479" s="683"/>
      <c r="D5479" s="698"/>
      <c r="E5479" s="215"/>
      <c r="F5479" s="215"/>
      <c r="G5479" s="427"/>
      <c r="H5479" s="427"/>
      <c r="I5479" s="427"/>
      <c r="J5479" s="427"/>
      <c r="K5479" s="427"/>
      <c r="L5479" s="653"/>
      <c r="M5479" s="666"/>
      <c r="N5479" s="600">
        <v>5.3</v>
      </c>
      <c r="O5479" s="608">
        <v>4.7280000000000004E-3</v>
      </c>
      <c r="P5479" s="782"/>
      <c r="Q5479" s="764"/>
      <c r="R5479" s="764"/>
      <c r="S5479" s="764"/>
      <c r="T5479" s="764"/>
      <c r="U5479" s="764"/>
      <c r="V5479" s="764"/>
      <c r="W5479" s="764"/>
      <c r="X5479" s="764"/>
      <c r="Y5479" s="768"/>
      <c r="Z5479" s="762"/>
      <c r="AA5479" s="150"/>
      <c r="AB5479" s="150">
        <v>126</v>
      </c>
      <c r="AC5479" s="150">
        <v>1.6000000000000001E-3</v>
      </c>
      <c r="AD5479" s="150">
        <v>11.82</v>
      </c>
      <c r="AE5479" s="150">
        <v>0.65800000000000003</v>
      </c>
      <c r="AF5479" s="223">
        <f t="shared" si="32"/>
        <v>7.7775600000000003</v>
      </c>
      <c r="AG5479" s="223">
        <f t="shared" si="31"/>
        <v>0.68144765196282631</v>
      </c>
      <c r="AH5479" s="346"/>
      <c r="AI5479" s="427"/>
      <c r="AJ5479" s="480"/>
      <c r="AK5479" s="427"/>
      <c r="AU5479" s="218"/>
      <c r="AV5479" s="218"/>
      <c r="AW5479" s="218"/>
      <c r="AX5479" s="218"/>
      <c r="AY5479" s="218"/>
      <c r="AZ5479" s="427"/>
      <c r="BA5479" s="427"/>
      <c r="BB5479" s="427"/>
      <c r="BI5479" s="427"/>
      <c r="BJ5479" s="427"/>
      <c r="BK5479" s="427"/>
      <c r="BL5479" s="427"/>
      <c r="BM5479" s="427"/>
      <c r="BN5479" s="427"/>
      <c r="BO5479" s="427"/>
      <c r="BP5479" s="427"/>
      <c r="BQ5479" s="427"/>
      <c r="BR5479" s="427"/>
      <c r="BS5479" s="427"/>
      <c r="BT5479" s="427"/>
      <c r="BU5479" s="427"/>
      <c r="BV5479" s="427"/>
      <c r="BW5479" s="427"/>
      <c r="BX5479" s="427"/>
      <c r="BY5479" s="427"/>
      <c r="BZ5479" s="427"/>
    </row>
    <row r="5480" spans="2:78" s="152" customFormat="1" x14ac:dyDescent="0.2">
      <c r="B5480" s="683"/>
      <c r="C5480" s="683"/>
      <c r="D5480" s="698"/>
      <c r="E5480" s="215"/>
      <c r="F5480" s="215"/>
      <c r="G5480" s="427"/>
      <c r="H5480" s="427"/>
      <c r="I5480" s="427"/>
      <c r="J5480" s="427"/>
      <c r="K5480" s="427"/>
      <c r="L5480" s="653"/>
      <c r="M5480" s="666"/>
      <c r="N5480" s="600">
        <v>4.09</v>
      </c>
      <c r="O5480" s="608">
        <v>9.2320000000000006E-3</v>
      </c>
      <c r="P5480" s="782"/>
      <c r="Q5480" s="764"/>
      <c r="R5480" s="764"/>
      <c r="S5480" s="764"/>
      <c r="T5480" s="764"/>
      <c r="U5480" s="764"/>
      <c r="V5480" s="764"/>
      <c r="W5480" s="764"/>
      <c r="X5480" s="764"/>
      <c r="Y5480" s="768"/>
      <c r="Z5480" s="762"/>
      <c r="AA5480" s="150"/>
      <c r="AB5480" s="150">
        <v>127</v>
      </c>
      <c r="AC5480" s="150">
        <v>1.5E-3</v>
      </c>
      <c r="AD5480" s="150">
        <v>11.54</v>
      </c>
      <c r="AE5480" s="150">
        <v>0.58799999999999997</v>
      </c>
      <c r="AF5480" s="223">
        <f t="shared" si="32"/>
        <v>6.7855199999999991</v>
      </c>
      <c r="AG5480" s="223">
        <f t="shared" si="31"/>
        <v>0.60275409990686057</v>
      </c>
      <c r="AH5480" s="346"/>
      <c r="AI5480" s="427"/>
      <c r="AJ5480" s="480"/>
      <c r="AK5480" s="427"/>
      <c r="AU5480" s="218"/>
      <c r="AV5480" s="218"/>
      <c r="AW5480" s="218"/>
      <c r="AX5480" s="218"/>
      <c r="AY5480" s="218"/>
      <c r="AZ5480" s="427"/>
      <c r="BA5480" s="427"/>
      <c r="BB5480" s="427"/>
      <c r="BI5480" s="427"/>
      <c r="BJ5480" s="427"/>
      <c r="BK5480" s="427"/>
      <c r="BL5480" s="427"/>
      <c r="BM5480" s="427"/>
      <c r="BN5480" s="427"/>
      <c r="BO5480" s="427"/>
      <c r="BP5480" s="427"/>
      <c r="BQ5480" s="427"/>
      <c r="BR5480" s="427"/>
      <c r="BS5480" s="427"/>
      <c r="BT5480" s="427"/>
      <c r="BU5480" s="427"/>
      <c r="BV5480" s="427"/>
      <c r="BW5480" s="427"/>
      <c r="BX5480" s="427"/>
      <c r="BY5480" s="427"/>
      <c r="BZ5480" s="427"/>
    </row>
    <row r="5481" spans="2:78" s="152" customFormat="1" x14ac:dyDescent="0.2">
      <c r="B5481" s="683"/>
      <c r="C5481" s="683"/>
      <c r="D5481" s="698"/>
      <c r="E5481" s="215"/>
      <c r="F5481" s="215"/>
      <c r="G5481" s="427"/>
      <c r="H5481" s="427"/>
      <c r="I5481" s="427"/>
      <c r="J5481" s="427"/>
      <c r="K5481" s="427"/>
      <c r="L5481" s="653"/>
      <c r="M5481" s="666"/>
      <c r="N5481" s="600">
        <v>19.82</v>
      </c>
      <c r="O5481" s="608">
        <v>1.0403579999999999</v>
      </c>
      <c r="P5481" s="782"/>
      <c r="Q5481" s="764"/>
      <c r="R5481" s="764"/>
      <c r="S5481" s="764"/>
      <c r="T5481" s="764"/>
      <c r="U5481" s="764"/>
      <c r="V5481" s="764"/>
      <c r="W5481" s="764"/>
      <c r="X5481" s="764"/>
      <c r="Y5481" s="768"/>
      <c r="Z5481" s="762"/>
      <c r="AA5481" s="150"/>
      <c r="AB5481" s="150">
        <v>128</v>
      </c>
      <c r="AC5481" s="150">
        <v>3.2000000000000002E-3</v>
      </c>
      <c r="AD5481" s="150">
        <v>14.33</v>
      </c>
      <c r="AE5481" s="150">
        <v>1.169</v>
      </c>
      <c r="AF5481" s="223">
        <f t="shared" si="32"/>
        <v>16.75177</v>
      </c>
      <c r="AG5481" s="223">
        <f t="shared" si="31"/>
        <v>1.1831585557824635</v>
      </c>
      <c r="AH5481" s="346"/>
      <c r="AI5481" s="427"/>
      <c r="AJ5481" s="480"/>
      <c r="AK5481" s="427"/>
      <c r="AU5481" s="218"/>
      <c r="AV5481" s="218"/>
      <c r="AW5481" s="218"/>
      <c r="AX5481" s="218"/>
      <c r="AY5481" s="218"/>
      <c r="AZ5481" s="427"/>
      <c r="BA5481" s="427"/>
      <c r="BB5481" s="427"/>
      <c r="BI5481" s="427"/>
      <c r="BJ5481" s="427"/>
      <c r="BK5481" s="427"/>
      <c r="BL5481" s="427"/>
      <c r="BM5481" s="427"/>
      <c r="BN5481" s="427"/>
      <c r="BO5481" s="427"/>
      <c r="BP5481" s="427"/>
      <c r="BQ5481" s="427"/>
      <c r="BR5481" s="427"/>
      <c r="BS5481" s="427"/>
      <c r="BT5481" s="427"/>
      <c r="BU5481" s="427"/>
      <c r="BV5481" s="427"/>
      <c r="BW5481" s="427"/>
      <c r="BX5481" s="427"/>
      <c r="BY5481" s="427"/>
      <c r="BZ5481" s="427"/>
    </row>
    <row r="5482" spans="2:78" s="152" customFormat="1" x14ac:dyDescent="0.2">
      <c r="B5482" s="683"/>
      <c r="C5482" s="683"/>
      <c r="D5482" s="698"/>
      <c r="E5482" s="215"/>
      <c r="F5482" s="215"/>
      <c r="G5482" s="427"/>
      <c r="H5482" s="427"/>
      <c r="I5482" s="427"/>
      <c r="J5482" s="427"/>
      <c r="K5482" s="427"/>
      <c r="L5482" s="653"/>
      <c r="M5482" s="666"/>
      <c r="N5482" s="600">
        <v>18.02</v>
      </c>
      <c r="O5482" s="608">
        <v>0.930508</v>
      </c>
      <c r="P5482" s="782"/>
      <c r="Q5482" s="764"/>
      <c r="R5482" s="764"/>
      <c r="S5482" s="764"/>
      <c r="T5482" s="764"/>
      <c r="U5482" s="764"/>
      <c r="V5482" s="764"/>
      <c r="W5482" s="764"/>
      <c r="X5482" s="764"/>
      <c r="Y5482" s="768"/>
      <c r="Z5482" s="762"/>
      <c r="AA5482" s="150"/>
      <c r="AB5482" s="150">
        <v>129</v>
      </c>
      <c r="AC5482" s="150">
        <v>3.0000000000000001E-3</v>
      </c>
      <c r="AD5482" s="150">
        <v>14.12</v>
      </c>
      <c r="AE5482" s="150">
        <v>1.1220000000000001</v>
      </c>
      <c r="AF5482" s="223">
        <f t="shared" si="32"/>
        <v>15.842640000000001</v>
      </c>
      <c r="AG5482" s="223">
        <f t="shared" ref="AG5482:AG5545" si="33">N5482/AF5482</f>
        <v>1.1374366898446218</v>
      </c>
      <c r="AH5482" s="346"/>
      <c r="AI5482" s="427"/>
      <c r="AJ5482" s="480"/>
      <c r="AK5482" s="427"/>
      <c r="AU5482" s="218"/>
      <c r="AV5482" s="218"/>
      <c r="AW5482" s="218"/>
      <c r="AX5482" s="218"/>
      <c r="AY5482" s="218"/>
      <c r="AZ5482" s="427"/>
      <c r="BA5482" s="427"/>
      <c r="BB5482" s="427"/>
      <c r="BI5482" s="427"/>
      <c r="BJ5482" s="427"/>
      <c r="BK5482" s="427"/>
      <c r="BL5482" s="427"/>
      <c r="BM5482" s="427"/>
      <c r="BN5482" s="427"/>
      <c r="BO5482" s="427"/>
      <c r="BP5482" s="427"/>
      <c r="BQ5482" s="427"/>
      <c r="BR5482" s="427"/>
      <c r="BS5482" s="427"/>
      <c r="BT5482" s="427"/>
      <c r="BU5482" s="427"/>
      <c r="BV5482" s="427"/>
      <c r="BW5482" s="427"/>
      <c r="BX5482" s="427"/>
      <c r="BY5482" s="427"/>
      <c r="BZ5482" s="427"/>
    </row>
    <row r="5483" spans="2:78" s="152" customFormat="1" x14ac:dyDescent="0.2">
      <c r="B5483" s="683"/>
      <c r="C5483" s="683"/>
      <c r="D5483" s="698"/>
      <c r="E5483" s="215"/>
      <c r="F5483" s="215"/>
      <c r="G5483" s="427"/>
      <c r="H5483" s="427"/>
      <c r="I5483" s="427"/>
      <c r="J5483" s="427"/>
      <c r="K5483" s="427"/>
      <c r="L5483" s="653"/>
      <c r="M5483" s="666"/>
      <c r="N5483" s="600">
        <v>15.1</v>
      </c>
      <c r="O5483" s="608">
        <v>0.74141999999999997</v>
      </c>
      <c r="P5483" s="782"/>
      <c r="Q5483" s="764"/>
      <c r="R5483" s="764"/>
      <c r="S5483" s="764"/>
      <c r="T5483" s="764"/>
      <c r="U5483" s="764"/>
      <c r="V5483" s="764"/>
      <c r="W5483" s="764"/>
      <c r="X5483" s="764"/>
      <c r="Y5483" s="768"/>
      <c r="Z5483" s="762"/>
      <c r="AA5483" s="150"/>
      <c r="AB5483" s="150">
        <v>130</v>
      </c>
      <c r="AC5483" s="150">
        <v>2.8999999999999998E-3</v>
      </c>
      <c r="AD5483" s="150">
        <v>13.73</v>
      </c>
      <c r="AE5483" s="150">
        <v>1.0389999999999999</v>
      </c>
      <c r="AF5483" s="223">
        <f t="shared" ref="AF5483:AF5546" si="34">AE5483*AD5483</f>
        <v>14.265469999999999</v>
      </c>
      <c r="AG5483" s="223">
        <f t="shared" si="33"/>
        <v>1.0585000003504967</v>
      </c>
      <c r="AH5483" s="346"/>
      <c r="AI5483" s="427"/>
      <c r="AJ5483" s="480"/>
      <c r="AK5483" s="427"/>
      <c r="AU5483" s="218"/>
      <c r="AV5483" s="218"/>
      <c r="AW5483" s="218"/>
      <c r="AX5483" s="218"/>
      <c r="AY5483" s="218"/>
      <c r="AZ5483" s="427"/>
      <c r="BA5483" s="427"/>
      <c r="BB5483" s="427"/>
      <c r="BI5483" s="427"/>
      <c r="BJ5483" s="427"/>
      <c r="BK5483" s="427"/>
      <c r="BL5483" s="427"/>
      <c r="BM5483" s="427"/>
      <c r="BN5483" s="427"/>
      <c r="BO5483" s="427"/>
      <c r="BP5483" s="427"/>
      <c r="BQ5483" s="427"/>
      <c r="BR5483" s="427"/>
      <c r="BS5483" s="427"/>
      <c r="BT5483" s="427"/>
      <c r="BU5483" s="427"/>
      <c r="BV5483" s="427"/>
      <c r="BW5483" s="427"/>
      <c r="BX5483" s="427"/>
      <c r="BY5483" s="427"/>
      <c r="BZ5483" s="427"/>
    </row>
    <row r="5484" spans="2:78" s="152" customFormat="1" x14ac:dyDescent="0.2">
      <c r="B5484" s="683"/>
      <c r="C5484" s="683"/>
      <c r="D5484" s="698"/>
      <c r="E5484" s="215"/>
      <c r="F5484" s="215"/>
      <c r="G5484" s="427"/>
      <c r="H5484" s="427"/>
      <c r="I5484" s="427"/>
      <c r="J5484" s="427"/>
      <c r="K5484" s="427"/>
      <c r="L5484" s="653"/>
      <c r="M5484" s="666"/>
      <c r="N5484" s="600">
        <v>12.34</v>
      </c>
      <c r="O5484" s="608">
        <v>0.82388899999999998</v>
      </c>
      <c r="P5484" s="782"/>
      <c r="Q5484" s="764"/>
      <c r="R5484" s="764"/>
      <c r="S5484" s="764"/>
      <c r="T5484" s="764"/>
      <c r="U5484" s="764"/>
      <c r="V5484" s="764"/>
      <c r="W5484" s="764"/>
      <c r="X5484" s="764"/>
      <c r="Y5484" s="768"/>
      <c r="Z5484" s="762"/>
      <c r="AA5484" s="150"/>
      <c r="AB5484" s="150">
        <v>131</v>
      </c>
      <c r="AC5484" s="150">
        <v>2.8E-3</v>
      </c>
      <c r="AD5484" s="150">
        <v>13.31</v>
      </c>
      <c r="AE5484" s="150">
        <v>0.95099999999999996</v>
      </c>
      <c r="AF5484" s="223">
        <f t="shared" si="34"/>
        <v>12.65781</v>
      </c>
      <c r="AG5484" s="223">
        <f t="shared" si="33"/>
        <v>0.97489218119090115</v>
      </c>
      <c r="AH5484" s="346"/>
      <c r="AI5484" s="427"/>
      <c r="AJ5484" s="480"/>
      <c r="AK5484" s="427"/>
      <c r="AU5484" s="218"/>
      <c r="AV5484" s="218"/>
      <c r="AW5484" s="218"/>
      <c r="AX5484" s="218"/>
      <c r="AY5484" s="218"/>
      <c r="AZ5484" s="427"/>
      <c r="BA5484" s="427"/>
      <c r="BB5484" s="427"/>
      <c r="BI5484" s="427"/>
      <c r="BJ5484" s="427"/>
      <c r="BK5484" s="427"/>
      <c r="BL5484" s="427"/>
      <c r="BM5484" s="427"/>
      <c r="BN5484" s="427"/>
      <c r="BO5484" s="427"/>
      <c r="BP5484" s="427"/>
      <c r="BQ5484" s="427"/>
      <c r="BR5484" s="427"/>
      <c r="BS5484" s="427"/>
      <c r="BT5484" s="427"/>
      <c r="BU5484" s="427"/>
      <c r="BV5484" s="427"/>
      <c r="BW5484" s="427"/>
      <c r="BX5484" s="427"/>
      <c r="BY5484" s="427"/>
      <c r="BZ5484" s="427"/>
    </row>
    <row r="5485" spans="2:78" s="152" customFormat="1" x14ac:dyDescent="0.2">
      <c r="B5485" s="683"/>
      <c r="C5485" s="683"/>
      <c r="D5485" s="698"/>
      <c r="E5485" s="215"/>
      <c r="F5485" s="215"/>
      <c r="G5485" s="427"/>
      <c r="H5485" s="427"/>
      <c r="I5485" s="427"/>
      <c r="J5485" s="427"/>
      <c r="K5485" s="427"/>
      <c r="L5485" s="653"/>
      <c r="M5485" s="666"/>
      <c r="N5485" s="600">
        <v>10.24</v>
      </c>
      <c r="O5485" s="608">
        <v>0.160828</v>
      </c>
      <c r="P5485" s="782"/>
      <c r="Q5485" s="764"/>
      <c r="R5485" s="764"/>
      <c r="S5485" s="764"/>
      <c r="T5485" s="764"/>
      <c r="U5485" s="764"/>
      <c r="V5485" s="764"/>
      <c r="W5485" s="764"/>
      <c r="X5485" s="764"/>
      <c r="Y5485" s="768"/>
      <c r="Z5485" s="762"/>
      <c r="AA5485" s="150"/>
      <c r="AB5485" s="150">
        <v>132</v>
      </c>
      <c r="AC5485" s="150">
        <v>2.5000000000000001E-3</v>
      </c>
      <c r="AD5485" s="150">
        <v>12.97</v>
      </c>
      <c r="AE5485" s="150">
        <v>0.877</v>
      </c>
      <c r="AF5485" s="223">
        <f t="shared" si="34"/>
        <v>11.374690000000001</v>
      </c>
      <c r="AG5485" s="223">
        <f t="shared" si="33"/>
        <v>0.90024431435054486</v>
      </c>
      <c r="AH5485" s="346"/>
      <c r="AI5485" s="427"/>
      <c r="AJ5485" s="480"/>
      <c r="AK5485" s="427"/>
      <c r="AU5485" s="218"/>
      <c r="AV5485" s="218"/>
      <c r="AW5485" s="218"/>
      <c r="AX5485" s="218"/>
      <c r="AY5485" s="218"/>
      <c r="AZ5485" s="427"/>
      <c r="BA5485" s="427"/>
      <c r="BB5485" s="427"/>
      <c r="BI5485" s="427"/>
      <c r="BJ5485" s="427"/>
      <c r="BK5485" s="427"/>
      <c r="BL5485" s="427"/>
      <c r="BM5485" s="427"/>
      <c r="BN5485" s="427"/>
      <c r="BO5485" s="427"/>
      <c r="BP5485" s="427"/>
      <c r="BQ5485" s="427"/>
      <c r="BR5485" s="427"/>
      <c r="BS5485" s="427"/>
      <c r="BT5485" s="427"/>
      <c r="BU5485" s="427"/>
      <c r="BV5485" s="427"/>
      <c r="BW5485" s="427"/>
      <c r="BX5485" s="427"/>
      <c r="BY5485" s="427"/>
      <c r="BZ5485" s="427"/>
    </row>
    <row r="5486" spans="2:78" s="152" customFormat="1" x14ac:dyDescent="0.2">
      <c r="B5486" s="683"/>
      <c r="C5486" s="683"/>
      <c r="D5486" s="698"/>
      <c r="E5486" s="215"/>
      <c r="F5486" s="215"/>
      <c r="G5486" s="427"/>
      <c r="H5486" s="427"/>
      <c r="I5486" s="427"/>
      <c r="J5486" s="427"/>
      <c r="K5486" s="427"/>
      <c r="L5486" s="653"/>
      <c r="M5486" s="666"/>
      <c r="N5486" s="600">
        <v>8.42</v>
      </c>
      <c r="O5486" s="608">
        <v>0.25953000000000004</v>
      </c>
      <c r="P5486" s="782"/>
      <c r="Q5486" s="764"/>
      <c r="R5486" s="764"/>
      <c r="S5486" s="764"/>
      <c r="T5486" s="764"/>
      <c r="U5486" s="764"/>
      <c r="V5486" s="764"/>
      <c r="W5486" s="764"/>
      <c r="X5486" s="764"/>
      <c r="Y5486" s="768"/>
      <c r="Z5486" s="762"/>
      <c r="AA5486" s="150"/>
      <c r="AB5486" s="150">
        <v>133</v>
      </c>
      <c r="AC5486" s="150">
        <v>2.5000000000000001E-3</v>
      </c>
      <c r="AD5486" s="150">
        <v>12.66</v>
      </c>
      <c r="AE5486" s="150">
        <v>0.80500000000000005</v>
      </c>
      <c r="AF5486" s="223">
        <f t="shared" si="34"/>
        <v>10.1913</v>
      </c>
      <c r="AG5486" s="223">
        <f t="shared" si="33"/>
        <v>0.82619489172137017</v>
      </c>
      <c r="AH5486" s="346"/>
      <c r="AI5486" s="427"/>
      <c r="AJ5486" s="480"/>
      <c r="AK5486" s="427"/>
      <c r="AU5486" s="218"/>
      <c r="AV5486" s="218"/>
      <c r="AW5486" s="218"/>
      <c r="AX5486" s="218"/>
      <c r="AY5486" s="218"/>
      <c r="AZ5486" s="427"/>
      <c r="BA5486" s="427"/>
      <c r="BB5486" s="427"/>
      <c r="BI5486" s="427"/>
      <c r="BJ5486" s="427"/>
      <c r="BK5486" s="427"/>
      <c r="BL5486" s="427"/>
      <c r="BM5486" s="427"/>
      <c r="BN5486" s="427"/>
      <c r="BO5486" s="427"/>
      <c r="BP5486" s="427"/>
      <c r="BQ5486" s="427"/>
      <c r="BR5486" s="427"/>
      <c r="BS5486" s="427"/>
      <c r="BT5486" s="427"/>
      <c r="BU5486" s="427"/>
      <c r="BV5486" s="427"/>
      <c r="BW5486" s="427"/>
      <c r="BX5486" s="427"/>
      <c r="BY5486" s="427"/>
      <c r="BZ5486" s="427"/>
    </row>
    <row r="5487" spans="2:78" s="152" customFormat="1" x14ac:dyDescent="0.2">
      <c r="B5487" s="683"/>
      <c r="C5487" s="683"/>
      <c r="D5487" s="698"/>
      <c r="E5487" s="215"/>
      <c r="F5487" s="215"/>
      <c r="G5487" s="427"/>
      <c r="H5487" s="427"/>
      <c r="I5487" s="427"/>
      <c r="J5487" s="427"/>
      <c r="K5487" s="427"/>
      <c r="L5487" s="653"/>
      <c r="M5487" s="666"/>
      <c r="N5487" s="600">
        <v>6.88</v>
      </c>
      <c r="O5487" s="608">
        <v>0.14696500000000001</v>
      </c>
      <c r="P5487" s="782"/>
      <c r="Q5487" s="764"/>
      <c r="R5487" s="764"/>
      <c r="S5487" s="764"/>
      <c r="T5487" s="764"/>
      <c r="U5487" s="764"/>
      <c r="V5487" s="764"/>
      <c r="W5487" s="764"/>
      <c r="X5487" s="764"/>
      <c r="Y5487" s="768"/>
      <c r="Z5487" s="762"/>
      <c r="AA5487" s="150"/>
      <c r="AB5487" s="150">
        <v>134</v>
      </c>
      <c r="AC5487" s="150">
        <v>2.3999999999999998E-3</v>
      </c>
      <c r="AD5487" s="150">
        <v>12.35</v>
      </c>
      <c r="AE5487" s="150">
        <v>0.73799999999999999</v>
      </c>
      <c r="AF5487" s="223">
        <f t="shared" si="34"/>
        <v>9.1143000000000001</v>
      </c>
      <c r="AG5487" s="223">
        <f t="shared" si="33"/>
        <v>0.75485775100665986</v>
      </c>
      <c r="AH5487" s="346"/>
      <c r="AI5487" s="427"/>
      <c r="AJ5487" s="480"/>
      <c r="AK5487" s="427"/>
      <c r="AU5487" s="218"/>
      <c r="AV5487" s="218"/>
      <c r="AW5487" s="218"/>
      <c r="AX5487" s="218"/>
      <c r="AY5487" s="218"/>
      <c r="AZ5487" s="427"/>
      <c r="BA5487" s="427"/>
      <c r="BB5487" s="427"/>
      <c r="BI5487" s="427"/>
      <c r="BJ5487" s="427"/>
      <c r="BK5487" s="427"/>
      <c r="BL5487" s="427"/>
      <c r="BM5487" s="427"/>
      <c r="BN5487" s="427"/>
      <c r="BO5487" s="427"/>
      <c r="BP5487" s="427"/>
      <c r="BQ5487" s="427"/>
      <c r="BR5487" s="427"/>
      <c r="BS5487" s="427"/>
      <c r="BT5487" s="427"/>
      <c r="BU5487" s="427"/>
      <c r="BV5487" s="427"/>
      <c r="BW5487" s="427"/>
      <c r="BX5487" s="427"/>
      <c r="BY5487" s="427"/>
      <c r="BZ5487" s="427"/>
    </row>
    <row r="5488" spans="2:78" s="152" customFormat="1" x14ac:dyDescent="0.2">
      <c r="B5488" s="683"/>
      <c r="C5488" s="683"/>
      <c r="D5488" s="698"/>
      <c r="E5488" s="215"/>
      <c r="F5488" s="215"/>
      <c r="G5488" s="427"/>
      <c r="H5488" s="427"/>
      <c r="I5488" s="427"/>
      <c r="J5488" s="427"/>
      <c r="K5488" s="427"/>
      <c r="L5488" s="653"/>
      <c r="M5488" s="666"/>
      <c r="N5488" s="600">
        <v>6</v>
      </c>
      <c r="O5488" s="608">
        <v>0.183</v>
      </c>
      <c r="P5488" s="782"/>
      <c r="Q5488" s="764"/>
      <c r="R5488" s="764"/>
      <c r="S5488" s="764"/>
      <c r="T5488" s="764"/>
      <c r="U5488" s="764"/>
      <c r="V5488" s="764"/>
      <c r="W5488" s="764"/>
      <c r="X5488" s="764"/>
      <c r="Y5488" s="768"/>
      <c r="Z5488" s="762"/>
      <c r="AA5488" s="150"/>
      <c r="AB5488" s="150">
        <v>135</v>
      </c>
      <c r="AC5488" s="150">
        <v>2.2000000000000001E-3</v>
      </c>
      <c r="AD5488" s="150">
        <v>12.2</v>
      </c>
      <c r="AE5488" s="150">
        <v>0.69499999999999995</v>
      </c>
      <c r="AF5488" s="223">
        <f t="shared" si="34"/>
        <v>8.4789999999999992</v>
      </c>
      <c r="AG5488" s="223">
        <f t="shared" si="33"/>
        <v>0.70763061681802109</v>
      </c>
      <c r="AH5488" s="346"/>
      <c r="AI5488" s="427"/>
      <c r="AJ5488" s="480"/>
      <c r="AK5488" s="427"/>
      <c r="AU5488" s="218"/>
      <c r="AV5488" s="218"/>
      <c r="AW5488" s="218"/>
      <c r="AX5488" s="218"/>
      <c r="AY5488" s="218"/>
      <c r="AZ5488" s="427"/>
      <c r="BA5488" s="427"/>
      <c r="BB5488" s="427"/>
      <c r="BI5488" s="427"/>
      <c r="BJ5488" s="427"/>
      <c r="BK5488" s="427"/>
      <c r="BL5488" s="427"/>
      <c r="BM5488" s="427"/>
      <c r="BN5488" s="427"/>
      <c r="BO5488" s="427"/>
      <c r="BP5488" s="427"/>
      <c r="BQ5488" s="427"/>
      <c r="BR5488" s="427"/>
      <c r="BS5488" s="427"/>
      <c r="BT5488" s="427"/>
      <c r="BU5488" s="427"/>
      <c r="BV5488" s="427"/>
      <c r="BW5488" s="427"/>
      <c r="BX5488" s="427"/>
      <c r="BY5488" s="427"/>
      <c r="BZ5488" s="427"/>
    </row>
    <row r="5489" spans="2:78" s="152" customFormat="1" x14ac:dyDescent="0.2">
      <c r="B5489" s="683"/>
      <c r="C5489" s="683"/>
      <c r="D5489" s="698"/>
      <c r="E5489" s="215"/>
      <c r="F5489" s="215"/>
      <c r="G5489" s="427"/>
      <c r="H5489" s="427"/>
      <c r="I5489" s="427"/>
      <c r="J5489" s="427"/>
      <c r="K5489" s="427"/>
      <c r="L5489" s="653"/>
      <c r="M5489" s="666"/>
      <c r="N5489" s="600">
        <v>7.9</v>
      </c>
      <c r="O5489" s="608">
        <v>2.9879999999999997E-2</v>
      </c>
      <c r="P5489" s="782"/>
      <c r="Q5489" s="764"/>
      <c r="R5489" s="764"/>
      <c r="S5489" s="764"/>
      <c r="T5489" s="764"/>
      <c r="U5489" s="764"/>
      <c r="V5489" s="764"/>
      <c r="W5489" s="764"/>
      <c r="X5489" s="764"/>
      <c r="Y5489" s="768"/>
      <c r="Z5489" s="762"/>
      <c r="AA5489" s="150"/>
      <c r="AB5489" s="150">
        <v>136</v>
      </c>
      <c r="AC5489" s="150">
        <v>1.6999999999999999E-3</v>
      </c>
      <c r="AD5489" s="150">
        <v>12.45</v>
      </c>
      <c r="AE5489" s="150">
        <v>0.78300000000000003</v>
      </c>
      <c r="AF5489" s="223">
        <f t="shared" si="34"/>
        <v>9.7483500000000003</v>
      </c>
      <c r="AG5489" s="223">
        <f t="shared" si="33"/>
        <v>0.81039355378089628</v>
      </c>
      <c r="AH5489" s="346"/>
      <c r="AI5489" s="427"/>
      <c r="AJ5489" s="480"/>
      <c r="AK5489" s="427"/>
      <c r="AU5489" s="218"/>
      <c r="AV5489" s="218"/>
      <c r="AW5489" s="218"/>
      <c r="AX5489" s="218"/>
      <c r="AY5489" s="218"/>
      <c r="AZ5489" s="427"/>
      <c r="BA5489" s="427"/>
      <c r="BB5489" s="427"/>
      <c r="BI5489" s="427"/>
      <c r="BJ5489" s="427"/>
      <c r="BK5489" s="427"/>
      <c r="BL5489" s="427"/>
      <c r="BM5489" s="427"/>
      <c r="BN5489" s="427"/>
      <c r="BO5489" s="427"/>
      <c r="BP5489" s="427"/>
      <c r="BQ5489" s="427"/>
      <c r="BR5489" s="427"/>
      <c r="BS5489" s="427"/>
      <c r="BT5489" s="427"/>
      <c r="BU5489" s="427"/>
      <c r="BV5489" s="427"/>
      <c r="BW5489" s="427"/>
      <c r="BX5489" s="427"/>
      <c r="BY5489" s="427"/>
      <c r="BZ5489" s="427"/>
    </row>
    <row r="5490" spans="2:78" s="152" customFormat="1" x14ac:dyDescent="0.2">
      <c r="B5490" s="683"/>
      <c r="C5490" s="683"/>
      <c r="D5490" s="698"/>
      <c r="E5490" s="215"/>
      <c r="F5490" s="215"/>
      <c r="G5490" s="427"/>
      <c r="H5490" s="427"/>
      <c r="I5490" s="427"/>
      <c r="J5490" s="427"/>
      <c r="K5490" s="427"/>
      <c r="L5490" s="653"/>
      <c r="M5490" s="666"/>
      <c r="N5490" s="600">
        <v>9.08</v>
      </c>
      <c r="O5490" s="608">
        <v>2.0224000000000002E-2</v>
      </c>
      <c r="P5490" s="782"/>
      <c r="Q5490" s="764"/>
      <c r="R5490" s="764"/>
      <c r="S5490" s="764"/>
      <c r="T5490" s="764"/>
      <c r="U5490" s="764"/>
      <c r="V5490" s="764"/>
      <c r="W5490" s="764"/>
      <c r="X5490" s="764"/>
      <c r="Y5490" s="768"/>
      <c r="Z5490" s="762"/>
      <c r="AA5490" s="150"/>
      <c r="AB5490" s="150">
        <v>137</v>
      </c>
      <c r="AC5490" s="150">
        <v>1.5E-3</v>
      </c>
      <c r="AD5490" s="150">
        <v>12.64</v>
      </c>
      <c r="AE5490" s="150">
        <v>0.83199999999999996</v>
      </c>
      <c r="AF5490" s="223">
        <f t="shared" si="34"/>
        <v>10.51648</v>
      </c>
      <c r="AG5490" s="223">
        <f t="shared" si="33"/>
        <v>0.86340676728334964</v>
      </c>
      <c r="AH5490" s="346"/>
      <c r="AI5490" s="427"/>
      <c r="AJ5490" s="480"/>
      <c r="AK5490" s="427"/>
      <c r="AU5490" s="218"/>
      <c r="AV5490" s="218"/>
      <c r="AW5490" s="218"/>
      <c r="AX5490" s="218"/>
      <c r="AY5490" s="218"/>
      <c r="AZ5490" s="427"/>
      <c r="BA5490" s="427"/>
      <c r="BB5490" s="427"/>
      <c r="BI5490" s="427"/>
      <c r="BJ5490" s="427"/>
      <c r="BK5490" s="427"/>
      <c r="BL5490" s="427"/>
      <c r="BM5490" s="427"/>
      <c r="BN5490" s="427"/>
      <c r="BO5490" s="427"/>
      <c r="BP5490" s="427"/>
      <c r="BQ5490" s="427"/>
      <c r="BR5490" s="427"/>
      <c r="BS5490" s="427"/>
      <c r="BT5490" s="427"/>
      <c r="BU5490" s="427"/>
      <c r="BV5490" s="427"/>
      <c r="BW5490" s="427"/>
      <c r="BX5490" s="427"/>
      <c r="BY5490" s="427"/>
      <c r="BZ5490" s="427"/>
    </row>
    <row r="5491" spans="2:78" s="152" customFormat="1" x14ac:dyDescent="0.2">
      <c r="B5491" s="683"/>
      <c r="C5491" s="683"/>
      <c r="D5491" s="698"/>
      <c r="E5491" s="215"/>
      <c r="F5491" s="215"/>
      <c r="G5491" s="427"/>
      <c r="H5491" s="427"/>
      <c r="I5491" s="427"/>
      <c r="J5491" s="427"/>
      <c r="K5491" s="427"/>
      <c r="L5491" s="653"/>
      <c r="M5491" s="666"/>
      <c r="N5491" s="600">
        <v>11.19</v>
      </c>
      <c r="O5491" s="608">
        <v>1.6899999999999998E-2</v>
      </c>
      <c r="P5491" s="782"/>
      <c r="Q5491" s="764"/>
      <c r="R5491" s="764"/>
      <c r="S5491" s="764"/>
      <c r="T5491" s="764"/>
      <c r="U5491" s="764"/>
      <c r="V5491" s="764"/>
      <c r="W5491" s="764"/>
      <c r="X5491" s="764"/>
      <c r="Y5491" s="768"/>
      <c r="Z5491" s="762"/>
      <c r="AA5491" s="150"/>
      <c r="AB5491" s="150">
        <v>138</v>
      </c>
      <c r="AC5491" s="150">
        <v>1.6000000000000001E-3</v>
      </c>
      <c r="AD5491" s="150">
        <v>13</v>
      </c>
      <c r="AE5491" s="150">
        <v>0.91100000000000003</v>
      </c>
      <c r="AF5491" s="223">
        <f t="shared" si="34"/>
        <v>11.843</v>
      </c>
      <c r="AG5491" s="223">
        <f t="shared" si="33"/>
        <v>0.94486194376424892</v>
      </c>
      <c r="AH5491" s="346"/>
      <c r="AI5491" s="427"/>
      <c r="AJ5491" s="480"/>
      <c r="AK5491" s="427"/>
      <c r="AU5491" s="218"/>
      <c r="AV5491" s="218"/>
      <c r="AW5491" s="218"/>
      <c r="AX5491" s="218"/>
      <c r="AY5491" s="218"/>
      <c r="AZ5491" s="427"/>
      <c r="BA5491" s="427"/>
      <c r="BB5491" s="427"/>
      <c r="BI5491" s="427"/>
      <c r="BJ5491" s="427"/>
      <c r="BK5491" s="427"/>
      <c r="BL5491" s="427"/>
      <c r="BM5491" s="427"/>
      <c r="BN5491" s="427"/>
      <c r="BO5491" s="427"/>
      <c r="BP5491" s="427"/>
      <c r="BQ5491" s="427"/>
      <c r="BR5491" s="427"/>
      <c r="BS5491" s="427"/>
      <c r="BT5491" s="427"/>
      <c r="BU5491" s="427"/>
      <c r="BV5491" s="427"/>
      <c r="BW5491" s="427"/>
      <c r="BX5491" s="427"/>
      <c r="BY5491" s="427"/>
      <c r="BZ5491" s="427"/>
    </row>
    <row r="5492" spans="2:78" s="152" customFormat="1" x14ac:dyDescent="0.2">
      <c r="B5492" s="683"/>
      <c r="C5492" s="683"/>
      <c r="D5492" s="698"/>
      <c r="E5492" s="215"/>
      <c r="F5492" s="215"/>
      <c r="G5492" s="427"/>
      <c r="H5492" s="427"/>
      <c r="I5492" s="427"/>
      <c r="J5492" s="427"/>
      <c r="K5492" s="427"/>
      <c r="L5492" s="653"/>
      <c r="M5492" s="666"/>
      <c r="N5492" s="600">
        <v>12.43</v>
      </c>
      <c r="O5492" s="608">
        <v>2.5041999999999998E-2</v>
      </c>
      <c r="P5492" s="782"/>
      <c r="Q5492" s="764"/>
      <c r="R5492" s="764"/>
      <c r="S5492" s="764"/>
      <c r="T5492" s="764"/>
      <c r="U5492" s="764"/>
      <c r="V5492" s="764"/>
      <c r="W5492" s="764"/>
      <c r="X5492" s="764"/>
      <c r="Y5492" s="768"/>
      <c r="Z5492" s="762"/>
      <c r="AA5492" s="150"/>
      <c r="AB5492" s="150">
        <v>139</v>
      </c>
      <c r="AC5492" s="150">
        <v>1.6000000000000001E-3</v>
      </c>
      <c r="AD5492" s="150">
        <v>13.18</v>
      </c>
      <c r="AE5492" s="150">
        <v>0.95399999999999996</v>
      </c>
      <c r="AF5492" s="223">
        <f t="shared" si="34"/>
        <v>12.57372</v>
      </c>
      <c r="AG5492" s="223">
        <f t="shared" si="33"/>
        <v>0.988569810684507</v>
      </c>
      <c r="AH5492" s="346"/>
      <c r="AI5492" s="427"/>
      <c r="AJ5492" s="480"/>
      <c r="AK5492" s="427"/>
      <c r="AU5492" s="218"/>
      <c r="AV5492" s="218"/>
      <c r="AW5492" s="218"/>
      <c r="AX5492" s="218"/>
      <c r="AY5492" s="218"/>
      <c r="AZ5492" s="427"/>
      <c r="BA5492" s="427"/>
      <c r="BB5492" s="427"/>
      <c r="BI5492" s="427"/>
      <c r="BJ5492" s="427"/>
      <c r="BK5492" s="427"/>
      <c r="BL5492" s="427"/>
      <c r="BM5492" s="427"/>
      <c r="BN5492" s="427"/>
      <c r="BO5492" s="427"/>
      <c r="BP5492" s="427"/>
      <c r="BQ5492" s="427"/>
      <c r="BR5492" s="427"/>
      <c r="BS5492" s="427"/>
      <c r="BT5492" s="427"/>
      <c r="BU5492" s="427"/>
      <c r="BV5492" s="427"/>
      <c r="BW5492" s="427"/>
      <c r="BX5492" s="427"/>
      <c r="BY5492" s="427"/>
      <c r="BZ5492" s="427"/>
    </row>
    <row r="5493" spans="2:78" s="152" customFormat="1" x14ac:dyDescent="0.2">
      <c r="B5493" s="683"/>
      <c r="C5493" s="683"/>
      <c r="D5493" s="698"/>
      <c r="E5493" s="215"/>
      <c r="F5493" s="215"/>
      <c r="G5493" s="427"/>
      <c r="H5493" s="427"/>
      <c r="I5493" s="427"/>
      <c r="J5493" s="427"/>
      <c r="K5493" s="427"/>
      <c r="L5493" s="653"/>
      <c r="M5493" s="666"/>
      <c r="N5493" s="600">
        <v>16.27</v>
      </c>
      <c r="O5493" s="608">
        <v>6.032400000000001E-2</v>
      </c>
      <c r="P5493" s="782"/>
      <c r="Q5493" s="764"/>
      <c r="R5493" s="764"/>
      <c r="S5493" s="764"/>
      <c r="T5493" s="764"/>
      <c r="U5493" s="764"/>
      <c r="V5493" s="764"/>
      <c r="W5493" s="764"/>
      <c r="X5493" s="764"/>
      <c r="Y5493" s="768"/>
      <c r="Z5493" s="762"/>
      <c r="AA5493" s="150"/>
      <c r="AB5493" s="150">
        <v>140</v>
      </c>
      <c r="AC5493" s="150">
        <v>2.0999999999999999E-3</v>
      </c>
      <c r="AD5493" s="150">
        <v>13.71</v>
      </c>
      <c r="AE5493" s="150">
        <v>1.073</v>
      </c>
      <c r="AF5493" s="223">
        <f t="shared" si="34"/>
        <v>14.71083</v>
      </c>
      <c r="AG5493" s="223">
        <f t="shared" si="33"/>
        <v>1.1059879014304428</v>
      </c>
      <c r="AH5493" s="346"/>
      <c r="AI5493" s="427"/>
      <c r="AJ5493" s="480"/>
      <c r="AK5493" s="427"/>
      <c r="AU5493" s="218"/>
      <c r="AV5493" s="218"/>
      <c r="AW5493" s="218"/>
      <c r="AX5493" s="218"/>
      <c r="AY5493" s="218"/>
      <c r="AZ5493" s="427"/>
      <c r="BA5493" s="427"/>
      <c r="BB5493" s="427"/>
      <c r="BI5493" s="427"/>
      <c r="BJ5493" s="427"/>
      <c r="BK5493" s="427"/>
      <c r="BL5493" s="427"/>
      <c r="BM5493" s="427"/>
      <c r="BN5493" s="427"/>
      <c r="BO5493" s="427"/>
      <c r="BP5493" s="427"/>
      <c r="BQ5493" s="427"/>
      <c r="BR5493" s="427"/>
      <c r="BS5493" s="427"/>
      <c r="BT5493" s="427"/>
      <c r="BU5493" s="427"/>
      <c r="BV5493" s="427"/>
      <c r="BW5493" s="427"/>
      <c r="BX5493" s="427"/>
      <c r="BY5493" s="427"/>
      <c r="BZ5493" s="427"/>
    </row>
    <row r="5494" spans="2:78" s="152" customFormat="1" x14ac:dyDescent="0.2">
      <c r="B5494" s="683"/>
      <c r="C5494" s="683"/>
      <c r="D5494" s="698"/>
      <c r="E5494" s="215"/>
      <c r="F5494" s="215"/>
      <c r="G5494" s="427"/>
      <c r="H5494" s="427"/>
      <c r="I5494" s="427"/>
      <c r="J5494" s="427"/>
      <c r="K5494" s="427"/>
      <c r="L5494" s="653"/>
      <c r="M5494" s="666"/>
      <c r="N5494" s="600">
        <v>17.14</v>
      </c>
      <c r="O5494" s="608">
        <v>0.10795199999999999</v>
      </c>
      <c r="P5494" s="782"/>
      <c r="Q5494" s="764"/>
      <c r="R5494" s="764"/>
      <c r="S5494" s="764"/>
      <c r="T5494" s="764"/>
      <c r="U5494" s="764"/>
      <c r="V5494" s="764"/>
      <c r="W5494" s="764"/>
      <c r="X5494" s="764"/>
      <c r="Y5494" s="768"/>
      <c r="Z5494" s="762"/>
      <c r="AA5494" s="150"/>
      <c r="AB5494" s="150">
        <v>141</v>
      </c>
      <c r="AC5494" s="150">
        <v>1.9E-3</v>
      </c>
      <c r="AD5494" s="150">
        <v>13.84</v>
      </c>
      <c r="AE5494" s="150">
        <v>1.097</v>
      </c>
      <c r="AF5494" s="223">
        <f t="shared" si="34"/>
        <v>15.18248</v>
      </c>
      <c r="AG5494" s="223">
        <f t="shared" si="33"/>
        <v>1.1289328225691719</v>
      </c>
      <c r="AH5494" s="346"/>
      <c r="AI5494" s="427"/>
      <c r="AJ5494" s="480"/>
      <c r="AK5494" s="427"/>
      <c r="AU5494" s="218"/>
      <c r="AV5494" s="218"/>
      <c r="AW5494" s="218"/>
      <c r="AX5494" s="218"/>
      <c r="AY5494" s="218"/>
      <c r="AZ5494" s="427"/>
      <c r="BA5494" s="427"/>
      <c r="BB5494" s="427"/>
      <c r="BI5494" s="427"/>
      <c r="BJ5494" s="427"/>
      <c r="BK5494" s="427"/>
      <c r="BL5494" s="427"/>
      <c r="BM5494" s="427"/>
      <c r="BN5494" s="427"/>
      <c r="BO5494" s="427"/>
      <c r="BP5494" s="427"/>
      <c r="BQ5494" s="427"/>
      <c r="BR5494" s="427"/>
      <c r="BS5494" s="427"/>
      <c r="BT5494" s="427"/>
      <c r="BU5494" s="427"/>
      <c r="BV5494" s="427"/>
      <c r="BW5494" s="427"/>
      <c r="BX5494" s="427"/>
      <c r="BY5494" s="427"/>
      <c r="BZ5494" s="427"/>
    </row>
    <row r="5495" spans="2:78" s="152" customFormat="1" x14ac:dyDescent="0.2">
      <c r="B5495" s="683"/>
      <c r="C5495" s="683"/>
      <c r="D5495" s="698"/>
      <c r="E5495" s="215"/>
      <c r="F5495" s="215"/>
      <c r="G5495" s="427"/>
      <c r="H5495" s="427"/>
      <c r="I5495" s="427"/>
      <c r="J5495" s="427"/>
      <c r="K5495" s="427"/>
      <c r="L5495" s="653"/>
      <c r="M5495" s="666"/>
      <c r="N5495" s="600">
        <v>19.87</v>
      </c>
      <c r="O5495" s="608">
        <v>0.12940200000000002</v>
      </c>
      <c r="P5495" s="782"/>
      <c r="Q5495" s="764"/>
      <c r="R5495" s="764"/>
      <c r="S5495" s="764"/>
      <c r="T5495" s="764"/>
      <c r="U5495" s="764"/>
      <c r="V5495" s="764"/>
      <c r="W5495" s="764"/>
      <c r="X5495" s="764"/>
      <c r="Y5495" s="768"/>
      <c r="Z5495" s="762"/>
      <c r="AA5495" s="150"/>
      <c r="AB5495" s="150">
        <v>142</v>
      </c>
      <c r="AC5495" s="150">
        <v>2.2000000000000001E-3</v>
      </c>
      <c r="AD5495" s="150">
        <v>14.22</v>
      </c>
      <c r="AE5495" s="150">
        <v>1.17</v>
      </c>
      <c r="AF5495" s="223">
        <f t="shared" si="34"/>
        <v>16.6374</v>
      </c>
      <c r="AG5495" s="223">
        <f t="shared" si="33"/>
        <v>1.1942971858583673</v>
      </c>
      <c r="AH5495" s="346"/>
      <c r="AI5495" s="427"/>
      <c r="AJ5495" s="480"/>
      <c r="AK5495" s="427"/>
      <c r="AU5495" s="218"/>
      <c r="AV5495" s="218"/>
      <c r="AW5495" s="218"/>
      <c r="AX5495" s="218"/>
      <c r="AY5495" s="218"/>
      <c r="AZ5495" s="427"/>
      <c r="BA5495" s="427"/>
      <c r="BB5495" s="427"/>
      <c r="BI5495" s="427"/>
      <c r="BJ5495" s="427"/>
      <c r="BK5495" s="427"/>
      <c r="BL5495" s="427"/>
      <c r="BM5495" s="427"/>
      <c r="BN5495" s="427"/>
      <c r="BO5495" s="427"/>
      <c r="BP5495" s="427"/>
      <c r="BQ5495" s="427"/>
      <c r="BR5495" s="427"/>
      <c r="BS5495" s="427"/>
      <c r="BT5495" s="427"/>
      <c r="BU5495" s="427"/>
      <c r="BV5495" s="427"/>
      <c r="BW5495" s="427"/>
      <c r="BX5495" s="427"/>
      <c r="BY5495" s="427"/>
      <c r="BZ5495" s="427"/>
    </row>
    <row r="5496" spans="2:78" s="152" customFormat="1" x14ac:dyDescent="0.2">
      <c r="B5496" s="683"/>
      <c r="C5496" s="683"/>
      <c r="D5496" s="698"/>
      <c r="E5496" s="215"/>
      <c r="F5496" s="215"/>
      <c r="G5496" s="427"/>
      <c r="H5496" s="427"/>
      <c r="I5496" s="427"/>
      <c r="J5496" s="427"/>
      <c r="K5496" s="427"/>
      <c r="L5496" s="653"/>
      <c r="M5496" s="666"/>
      <c r="N5496" s="600">
        <v>20.72</v>
      </c>
      <c r="O5496" s="608">
        <v>0.52693199999999996</v>
      </c>
      <c r="P5496" s="782"/>
      <c r="Q5496" s="764"/>
      <c r="R5496" s="764"/>
      <c r="S5496" s="764"/>
      <c r="T5496" s="764"/>
      <c r="U5496" s="764"/>
      <c r="V5496" s="764"/>
      <c r="W5496" s="764"/>
      <c r="X5496" s="764"/>
      <c r="Y5496" s="768"/>
      <c r="Z5496" s="762"/>
      <c r="AA5496" s="150"/>
      <c r="AB5496" s="150">
        <v>143</v>
      </c>
      <c r="AC5496" s="150">
        <v>2.0999999999999999E-3</v>
      </c>
      <c r="AD5496" s="150">
        <v>14.28</v>
      </c>
      <c r="AE5496" s="150">
        <v>1.1919999999999999</v>
      </c>
      <c r="AF5496" s="223">
        <f t="shared" si="34"/>
        <v>17.021759999999997</v>
      </c>
      <c r="AG5496" s="223">
        <f t="shared" si="33"/>
        <v>1.2172654296617977</v>
      </c>
      <c r="AH5496" s="346"/>
      <c r="AI5496" s="427"/>
      <c r="AJ5496" s="480"/>
      <c r="AK5496" s="427"/>
      <c r="AU5496" s="218"/>
      <c r="AV5496" s="218"/>
      <c r="AW5496" s="218"/>
      <c r="AX5496" s="218"/>
      <c r="AY5496" s="218"/>
      <c r="AZ5496" s="427"/>
      <c r="BA5496" s="427"/>
      <c r="BB5496" s="427"/>
      <c r="BI5496" s="427"/>
      <c r="BJ5496" s="427"/>
      <c r="BK5496" s="427"/>
      <c r="BL5496" s="427"/>
      <c r="BM5496" s="427"/>
      <c r="BN5496" s="427"/>
      <c r="BO5496" s="427"/>
      <c r="BP5496" s="427"/>
      <c r="BQ5496" s="427"/>
      <c r="BR5496" s="427"/>
      <c r="BS5496" s="427"/>
      <c r="BT5496" s="427"/>
      <c r="BU5496" s="427"/>
      <c r="BV5496" s="427"/>
      <c r="BW5496" s="427"/>
      <c r="BX5496" s="427"/>
      <c r="BY5496" s="427"/>
      <c r="BZ5496" s="427"/>
    </row>
    <row r="5497" spans="2:78" s="152" customFormat="1" x14ac:dyDescent="0.2">
      <c r="B5497" s="683"/>
      <c r="C5497" s="683"/>
      <c r="D5497" s="698"/>
      <c r="E5497" s="215"/>
      <c r="F5497" s="215"/>
      <c r="G5497" s="427"/>
      <c r="H5497" s="427"/>
      <c r="I5497" s="427"/>
      <c r="J5497" s="427"/>
      <c r="K5497" s="427"/>
      <c r="L5497" s="653"/>
      <c r="M5497" s="666"/>
      <c r="N5497" s="600">
        <v>20.47</v>
      </c>
      <c r="O5497" s="608">
        <v>0.27761399999999997</v>
      </c>
      <c r="P5497" s="782"/>
      <c r="Q5497" s="764"/>
      <c r="R5497" s="764"/>
      <c r="S5497" s="764"/>
      <c r="T5497" s="764"/>
      <c r="U5497" s="764"/>
      <c r="V5497" s="764"/>
      <c r="W5497" s="764"/>
      <c r="X5497" s="764"/>
      <c r="Y5497" s="768"/>
      <c r="Z5497" s="762"/>
      <c r="AA5497" s="150"/>
      <c r="AB5497" s="150">
        <v>144</v>
      </c>
      <c r="AC5497" s="150">
        <v>2.3E-3</v>
      </c>
      <c r="AD5497" s="150">
        <v>14.31</v>
      </c>
      <c r="AE5497" s="150">
        <v>1.1859999999999999</v>
      </c>
      <c r="AF5497" s="223">
        <f t="shared" si="34"/>
        <v>16.97166</v>
      </c>
      <c r="AG5497" s="223">
        <f t="shared" si="33"/>
        <v>1.2061283339402273</v>
      </c>
      <c r="AH5497" s="346"/>
      <c r="AI5497" s="427"/>
      <c r="AJ5497" s="480"/>
      <c r="AK5497" s="427"/>
      <c r="AU5497" s="218"/>
      <c r="AV5497" s="218"/>
      <c r="AW5497" s="218"/>
      <c r="AX5497" s="218"/>
      <c r="AY5497" s="218"/>
      <c r="AZ5497" s="427"/>
      <c r="BA5497" s="427"/>
      <c r="BB5497" s="427"/>
      <c r="BI5497" s="427"/>
      <c r="BJ5497" s="427"/>
      <c r="BK5497" s="427"/>
      <c r="BL5497" s="427"/>
      <c r="BM5497" s="427"/>
      <c r="BN5497" s="427"/>
      <c r="BO5497" s="427"/>
      <c r="BP5497" s="427"/>
      <c r="BQ5497" s="427"/>
      <c r="BR5497" s="427"/>
      <c r="BS5497" s="427"/>
      <c r="BT5497" s="427"/>
      <c r="BU5497" s="427"/>
      <c r="BV5497" s="427"/>
      <c r="BW5497" s="427"/>
      <c r="BX5497" s="427"/>
      <c r="BY5497" s="427"/>
      <c r="BZ5497" s="427"/>
    </row>
    <row r="5498" spans="2:78" s="152" customFormat="1" x14ac:dyDescent="0.2">
      <c r="B5498" s="683"/>
      <c r="C5498" s="683"/>
      <c r="D5498" s="698"/>
      <c r="E5498" s="215"/>
      <c r="F5498" s="215"/>
      <c r="G5498" s="427"/>
      <c r="H5498" s="427"/>
      <c r="I5498" s="427"/>
      <c r="J5498" s="427"/>
      <c r="K5498" s="427"/>
      <c r="L5498" s="653"/>
      <c r="M5498" s="666"/>
      <c r="N5498" s="600">
        <v>20.96</v>
      </c>
      <c r="O5498" s="608">
        <v>0.38484800000000002</v>
      </c>
      <c r="P5498" s="782"/>
      <c r="Q5498" s="764"/>
      <c r="R5498" s="764"/>
      <c r="S5498" s="764"/>
      <c r="T5498" s="764"/>
      <c r="U5498" s="764"/>
      <c r="V5498" s="764"/>
      <c r="W5498" s="764"/>
      <c r="X5498" s="764"/>
      <c r="Y5498" s="768"/>
      <c r="Z5498" s="762"/>
      <c r="AA5498" s="150"/>
      <c r="AB5498" s="150">
        <v>145</v>
      </c>
      <c r="AC5498" s="150">
        <v>2.5999999999999999E-3</v>
      </c>
      <c r="AD5498" s="150">
        <v>14.36</v>
      </c>
      <c r="AE5498" s="150">
        <v>1.198</v>
      </c>
      <c r="AF5498" s="223">
        <f t="shared" si="34"/>
        <v>17.203279999999999</v>
      </c>
      <c r="AG5498" s="223">
        <f t="shared" si="33"/>
        <v>1.2183723103966222</v>
      </c>
      <c r="AH5498" s="346"/>
      <c r="AI5498" s="427"/>
      <c r="AJ5498" s="480"/>
      <c r="AK5498" s="427"/>
      <c r="AU5498" s="218"/>
      <c r="AV5498" s="218"/>
      <c r="AW5498" s="218"/>
      <c r="AX5498" s="218"/>
      <c r="AY5498" s="218"/>
      <c r="AZ5498" s="427"/>
      <c r="BA5498" s="427"/>
      <c r="BB5498" s="427"/>
      <c r="BI5498" s="427"/>
      <c r="BJ5498" s="427"/>
      <c r="BK5498" s="427"/>
      <c r="BL5498" s="427"/>
      <c r="BM5498" s="427"/>
      <c r="BN5498" s="427"/>
      <c r="BO5498" s="427"/>
      <c r="BP5498" s="427"/>
      <c r="BQ5498" s="427"/>
      <c r="BR5498" s="427"/>
      <c r="BS5498" s="427"/>
      <c r="BT5498" s="427"/>
      <c r="BU5498" s="427"/>
      <c r="BV5498" s="427"/>
      <c r="BW5498" s="427"/>
      <c r="BX5498" s="427"/>
      <c r="BY5498" s="427"/>
      <c r="BZ5498" s="427"/>
    </row>
    <row r="5499" spans="2:78" s="152" customFormat="1" x14ac:dyDescent="0.2">
      <c r="B5499" s="683"/>
      <c r="C5499" s="683"/>
      <c r="D5499" s="698"/>
      <c r="E5499" s="215"/>
      <c r="F5499" s="215"/>
      <c r="G5499" s="427"/>
      <c r="H5499" s="427"/>
      <c r="I5499" s="427"/>
      <c r="J5499" s="427"/>
      <c r="K5499" s="427"/>
      <c r="L5499" s="653"/>
      <c r="M5499" s="666"/>
      <c r="N5499" s="600">
        <v>20.96</v>
      </c>
      <c r="O5499" s="608">
        <v>0.32884399999999997</v>
      </c>
      <c r="P5499" s="782"/>
      <c r="Q5499" s="764"/>
      <c r="R5499" s="764"/>
      <c r="S5499" s="764"/>
      <c r="T5499" s="764"/>
      <c r="U5499" s="764"/>
      <c r="V5499" s="764"/>
      <c r="W5499" s="764"/>
      <c r="X5499" s="764"/>
      <c r="Y5499" s="768"/>
      <c r="Z5499" s="762"/>
      <c r="AA5499" s="150"/>
      <c r="AB5499" s="150">
        <v>146</v>
      </c>
      <c r="AC5499" s="150">
        <v>2.5000000000000001E-3</v>
      </c>
      <c r="AD5499" s="150">
        <v>14.36</v>
      </c>
      <c r="AE5499" s="150">
        <v>1.198</v>
      </c>
      <c r="AF5499" s="223">
        <f t="shared" si="34"/>
        <v>17.203279999999999</v>
      </c>
      <c r="AG5499" s="223">
        <f t="shared" si="33"/>
        <v>1.2183723103966222</v>
      </c>
      <c r="AH5499" s="346"/>
      <c r="AI5499" s="427"/>
      <c r="AJ5499" s="480"/>
      <c r="AK5499" s="427"/>
      <c r="AU5499" s="218"/>
      <c r="AV5499" s="218"/>
      <c r="AW5499" s="218"/>
      <c r="AX5499" s="218"/>
      <c r="AY5499" s="218"/>
      <c r="AZ5499" s="427"/>
      <c r="BA5499" s="427"/>
      <c r="BB5499" s="427"/>
      <c r="BI5499" s="427"/>
      <c r="BJ5499" s="427"/>
      <c r="BK5499" s="427"/>
      <c r="BL5499" s="427"/>
      <c r="BM5499" s="427"/>
      <c r="BN5499" s="427"/>
      <c r="BO5499" s="427"/>
      <c r="BP5499" s="427"/>
      <c r="BQ5499" s="427"/>
      <c r="BR5499" s="427"/>
      <c r="BS5499" s="427"/>
      <c r="BT5499" s="427"/>
      <c r="BU5499" s="427"/>
      <c r="BV5499" s="427"/>
      <c r="BW5499" s="427"/>
      <c r="BX5499" s="427"/>
      <c r="BY5499" s="427"/>
      <c r="BZ5499" s="427"/>
    </row>
    <row r="5500" spans="2:78" s="152" customFormat="1" x14ac:dyDescent="0.2">
      <c r="B5500" s="683"/>
      <c r="C5500" s="683"/>
      <c r="D5500" s="698"/>
      <c r="E5500" s="215"/>
      <c r="F5500" s="215"/>
      <c r="G5500" s="427"/>
      <c r="H5500" s="427"/>
      <c r="I5500" s="427"/>
      <c r="J5500" s="427"/>
      <c r="K5500" s="427"/>
      <c r="L5500" s="653"/>
      <c r="M5500" s="666"/>
      <c r="N5500" s="600">
        <v>18.36</v>
      </c>
      <c r="O5500" s="608">
        <v>0.45139499999999999</v>
      </c>
      <c r="P5500" s="782"/>
      <c r="Q5500" s="764"/>
      <c r="R5500" s="764"/>
      <c r="S5500" s="764"/>
      <c r="T5500" s="764"/>
      <c r="U5500" s="764"/>
      <c r="V5500" s="764"/>
      <c r="W5500" s="764"/>
      <c r="X5500" s="764"/>
      <c r="Y5500" s="768"/>
      <c r="Z5500" s="762"/>
      <c r="AA5500" s="150"/>
      <c r="AB5500" s="150">
        <v>147</v>
      </c>
      <c r="AC5500" s="150">
        <v>2.5000000000000001E-3</v>
      </c>
      <c r="AD5500" s="150">
        <v>14.33</v>
      </c>
      <c r="AE5500" s="150">
        <v>1.131</v>
      </c>
      <c r="AF5500" s="223">
        <f t="shared" si="34"/>
        <v>16.207229999999999</v>
      </c>
      <c r="AG5500" s="223">
        <f t="shared" si="33"/>
        <v>1.1328277565012652</v>
      </c>
      <c r="AH5500" s="346"/>
      <c r="AI5500" s="427"/>
      <c r="AJ5500" s="480"/>
      <c r="AK5500" s="427"/>
      <c r="AU5500" s="218"/>
      <c r="AV5500" s="218"/>
      <c r="AW5500" s="218"/>
      <c r="AX5500" s="218"/>
      <c r="AY5500" s="218"/>
      <c r="AZ5500" s="427"/>
      <c r="BA5500" s="427"/>
      <c r="BB5500" s="427"/>
      <c r="BI5500" s="427"/>
      <c r="BJ5500" s="427"/>
      <c r="BK5500" s="427"/>
      <c r="BL5500" s="427"/>
      <c r="BM5500" s="427"/>
      <c r="BN5500" s="427"/>
      <c r="BO5500" s="427"/>
      <c r="BP5500" s="427"/>
      <c r="BQ5500" s="427"/>
      <c r="BR5500" s="427"/>
      <c r="BS5500" s="427"/>
      <c r="BT5500" s="427"/>
      <c r="BU5500" s="427"/>
      <c r="BV5500" s="427"/>
      <c r="BW5500" s="427"/>
      <c r="BX5500" s="427"/>
      <c r="BY5500" s="427"/>
      <c r="BZ5500" s="427"/>
    </row>
    <row r="5501" spans="2:78" s="152" customFormat="1" x14ac:dyDescent="0.2">
      <c r="B5501" s="683"/>
      <c r="C5501" s="683"/>
      <c r="D5501" s="698"/>
      <c r="E5501" s="215"/>
      <c r="F5501" s="215"/>
      <c r="G5501" s="427"/>
      <c r="H5501" s="427"/>
      <c r="I5501" s="427"/>
      <c r="J5501" s="427"/>
      <c r="K5501" s="427"/>
      <c r="L5501" s="653"/>
      <c r="M5501" s="666"/>
      <c r="N5501" s="600">
        <v>20.23</v>
      </c>
      <c r="O5501" s="608">
        <v>0.26921600000000001</v>
      </c>
      <c r="P5501" s="782"/>
      <c r="Q5501" s="764"/>
      <c r="R5501" s="764"/>
      <c r="S5501" s="764"/>
      <c r="T5501" s="764"/>
      <c r="U5501" s="764"/>
      <c r="V5501" s="764"/>
      <c r="W5501" s="764"/>
      <c r="X5501" s="764"/>
      <c r="Y5501" s="768"/>
      <c r="Z5501" s="762"/>
      <c r="AA5501" s="150"/>
      <c r="AB5501" s="150">
        <v>148</v>
      </c>
      <c r="AC5501" s="150">
        <v>2.3999999999999998E-3</v>
      </c>
      <c r="AD5501" s="150">
        <v>14.32</v>
      </c>
      <c r="AE5501" s="150">
        <v>1.18</v>
      </c>
      <c r="AF5501" s="223">
        <f t="shared" si="34"/>
        <v>16.897600000000001</v>
      </c>
      <c r="AG5501" s="223">
        <f t="shared" si="33"/>
        <v>1.1972114383107659</v>
      </c>
      <c r="AH5501" s="346"/>
      <c r="AI5501" s="427"/>
      <c r="AJ5501" s="480"/>
      <c r="AK5501" s="427"/>
      <c r="AU5501" s="218"/>
      <c r="AV5501" s="218"/>
      <c r="AW5501" s="218"/>
      <c r="AX5501" s="218"/>
      <c r="AY5501" s="218"/>
      <c r="AZ5501" s="427"/>
      <c r="BA5501" s="427"/>
      <c r="BB5501" s="427"/>
      <c r="BI5501" s="427"/>
      <c r="BJ5501" s="427"/>
      <c r="BK5501" s="427"/>
      <c r="BL5501" s="427"/>
      <c r="BM5501" s="427"/>
      <c r="BN5501" s="427"/>
      <c r="BO5501" s="427"/>
      <c r="BP5501" s="427"/>
      <c r="BQ5501" s="427"/>
      <c r="BR5501" s="427"/>
      <c r="BS5501" s="427"/>
      <c r="BT5501" s="427"/>
      <c r="BU5501" s="427"/>
      <c r="BV5501" s="427"/>
      <c r="BW5501" s="427"/>
      <c r="BX5501" s="427"/>
      <c r="BY5501" s="427"/>
      <c r="BZ5501" s="427"/>
    </row>
    <row r="5502" spans="2:78" s="152" customFormat="1" x14ac:dyDescent="0.2">
      <c r="B5502" s="683"/>
      <c r="C5502" s="683"/>
      <c r="D5502" s="698"/>
      <c r="E5502" s="215"/>
      <c r="F5502" s="215"/>
      <c r="G5502" s="427"/>
      <c r="H5502" s="427"/>
      <c r="I5502" s="427"/>
      <c r="J5502" s="427"/>
      <c r="K5502" s="427"/>
      <c r="L5502" s="653"/>
      <c r="M5502" s="666"/>
      <c r="N5502" s="600">
        <v>19.760000000000002</v>
      </c>
      <c r="O5502" s="608">
        <v>0.49805000000000005</v>
      </c>
      <c r="P5502" s="782"/>
      <c r="Q5502" s="764"/>
      <c r="R5502" s="764"/>
      <c r="S5502" s="764"/>
      <c r="T5502" s="764"/>
      <c r="U5502" s="764"/>
      <c r="V5502" s="764"/>
      <c r="W5502" s="764"/>
      <c r="X5502" s="764"/>
      <c r="Y5502" s="768"/>
      <c r="Z5502" s="762"/>
      <c r="AA5502" s="150"/>
      <c r="AB5502" s="150">
        <v>149</v>
      </c>
      <c r="AC5502" s="150">
        <v>2.3E-3</v>
      </c>
      <c r="AD5502" s="150">
        <v>14.23</v>
      </c>
      <c r="AE5502" s="150">
        <v>1.167</v>
      </c>
      <c r="AF5502" s="223">
        <f t="shared" si="34"/>
        <v>16.60641</v>
      </c>
      <c r="AG5502" s="223">
        <f t="shared" si="33"/>
        <v>1.1899019715880796</v>
      </c>
      <c r="AH5502" s="346"/>
      <c r="AI5502" s="427"/>
      <c r="AJ5502" s="480"/>
      <c r="AK5502" s="427"/>
      <c r="AU5502" s="218"/>
      <c r="AV5502" s="218"/>
      <c r="AW5502" s="218"/>
      <c r="AX5502" s="218"/>
      <c r="AY5502" s="218"/>
      <c r="AZ5502" s="427"/>
      <c r="BA5502" s="427"/>
      <c r="BB5502" s="427"/>
      <c r="BI5502" s="427"/>
      <c r="BJ5502" s="427"/>
      <c r="BK5502" s="427"/>
      <c r="BL5502" s="427"/>
      <c r="BM5502" s="427"/>
      <c r="BN5502" s="427"/>
      <c r="BO5502" s="427"/>
      <c r="BP5502" s="427"/>
      <c r="BQ5502" s="427"/>
      <c r="BR5502" s="427"/>
      <c r="BS5502" s="427"/>
      <c r="BT5502" s="427"/>
      <c r="BU5502" s="427"/>
      <c r="BV5502" s="427"/>
      <c r="BW5502" s="427"/>
      <c r="BX5502" s="427"/>
      <c r="BY5502" s="427"/>
      <c r="BZ5502" s="427"/>
    </row>
    <row r="5503" spans="2:78" s="152" customFormat="1" x14ac:dyDescent="0.2">
      <c r="B5503" s="683"/>
      <c r="C5503" s="683"/>
      <c r="D5503" s="698"/>
      <c r="E5503" s="215"/>
      <c r="F5503" s="215"/>
      <c r="G5503" s="427"/>
      <c r="H5503" s="427"/>
      <c r="I5503" s="427"/>
      <c r="J5503" s="427"/>
      <c r="K5503" s="427"/>
      <c r="L5503" s="653"/>
      <c r="M5503" s="666"/>
      <c r="N5503" s="600">
        <v>19.399999999999999</v>
      </c>
      <c r="O5503" s="608">
        <v>0.27367400000000003</v>
      </c>
      <c r="P5503" s="782"/>
      <c r="Q5503" s="764"/>
      <c r="R5503" s="764"/>
      <c r="S5503" s="764"/>
      <c r="T5503" s="764"/>
      <c r="U5503" s="764"/>
      <c r="V5503" s="764"/>
      <c r="W5503" s="764"/>
      <c r="X5503" s="764"/>
      <c r="Y5503" s="768"/>
      <c r="Z5503" s="762"/>
      <c r="AA5503" s="150"/>
      <c r="AB5503" s="150">
        <v>150</v>
      </c>
      <c r="AC5503" s="150">
        <v>2.2000000000000001E-3</v>
      </c>
      <c r="AD5503" s="150">
        <v>14.18</v>
      </c>
      <c r="AE5503" s="150">
        <v>1.1579999999999999</v>
      </c>
      <c r="AF5503" s="223">
        <f t="shared" si="34"/>
        <v>16.420439999999999</v>
      </c>
      <c r="AG5503" s="223">
        <f t="shared" si="33"/>
        <v>1.1814543337450154</v>
      </c>
      <c r="AH5503" s="346"/>
      <c r="AI5503" s="427"/>
      <c r="AJ5503" s="480"/>
      <c r="AK5503" s="427"/>
      <c r="AU5503" s="218"/>
      <c r="AV5503" s="218"/>
      <c r="AW5503" s="218"/>
      <c r="AX5503" s="218"/>
      <c r="AY5503" s="218"/>
      <c r="AZ5503" s="427"/>
      <c r="BA5503" s="427"/>
      <c r="BB5503" s="427"/>
      <c r="BI5503" s="427"/>
      <c r="BJ5503" s="427"/>
      <c r="BK5503" s="427"/>
      <c r="BL5503" s="427"/>
      <c r="BM5503" s="427"/>
      <c r="BN5503" s="427"/>
      <c r="BO5503" s="427"/>
      <c r="BP5503" s="427"/>
      <c r="BQ5503" s="427"/>
      <c r="BR5503" s="427"/>
      <c r="BS5503" s="427"/>
      <c r="BT5503" s="427"/>
      <c r="BU5503" s="427"/>
      <c r="BV5503" s="427"/>
      <c r="BW5503" s="427"/>
      <c r="BX5503" s="427"/>
      <c r="BY5503" s="427"/>
      <c r="BZ5503" s="427"/>
    </row>
    <row r="5504" spans="2:78" s="152" customFormat="1" x14ac:dyDescent="0.2">
      <c r="B5504" s="683"/>
      <c r="C5504" s="683"/>
      <c r="D5504" s="698"/>
      <c r="E5504" s="215"/>
      <c r="F5504" s="215"/>
      <c r="G5504" s="427"/>
      <c r="H5504" s="427"/>
      <c r="I5504" s="427"/>
      <c r="J5504" s="427"/>
      <c r="K5504" s="427"/>
      <c r="L5504" s="653"/>
      <c r="M5504" s="666"/>
      <c r="N5504" s="600">
        <v>18.940000000000001</v>
      </c>
      <c r="O5504" s="608">
        <v>0.23970000000000002</v>
      </c>
      <c r="P5504" s="782"/>
      <c r="Q5504" s="764"/>
      <c r="R5504" s="764"/>
      <c r="S5504" s="764"/>
      <c r="T5504" s="764"/>
      <c r="U5504" s="764"/>
      <c r="V5504" s="764"/>
      <c r="W5504" s="764"/>
      <c r="X5504" s="764"/>
      <c r="Y5504" s="768"/>
      <c r="Z5504" s="762"/>
      <c r="AA5504" s="150"/>
      <c r="AB5504" s="150">
        <v>151</v>
      </c>
      <c r="AC5504" s="150">
        <v>2E-3</v>
      </c>
      <c r="AD5504" s="150">
        <v>14.1</v>
      </c>
      <c r="AE5504" s="150">
        <v>1.1459999999999999</v>
      </c>
      <c r="AF5504" s="223">
        <f t="shared" si="34"/>
        <v>16.1586</v>
      </c>
      <c r="AG5504" s="223">
        <f t="shared" si="33"/>
        <v>1.1721312489943436</v>
      </c>
      <c r="AH5504" s="346"/>
      <c r="AI5504" s="427"/>
      <c r="AJ5504" s="480"/>
      <c r="AK5504" s="427"/>
      <c r="AU5504" s="218"/>
      <c r="AV5504" s="218"/>
      <c r="AW5504" s="218"/>
      <c r="AX5504" s="218"/>
      <c r="AY5504" s="218"/>
      <c r="AZ5504" s="427"/>
      <c r="BA5504" s="427"/>
      <c r="BB5504" s="427"/>
      <c r="BI5504" s="427"/>
      <c r="BJ5504" s="427"/>
      <c r="BK5504" s="427"/>
      <c r="BL5504" s="427"/>
      <c r="BM5504" s="427"/>
      <c r="BN5504" s="427"/>
      <c r="BO5504" s="427"/>
      <c r="BP5504" s="427"/>
      <c r="BQ5504" s="427"/>
      <c r="BR5504" s="427"/>
      <c r="BS5504" s="427"/>
      <c r="BT5504" s="427"/>
      <c r="BU5504" s="427"/>
      <c r="BV5504" s="427"/>
      <c r="BW5504" s="427"/>
      <c r="BX5504" s="427"/>
      <c r="BY5504" s="427"/>
      <c r="BZ5504" s="427"/>
    </row>
    <row r="5505" spans="2:78" s="152" customFormat="1" x14ac:dyDescent="0.2">
      <c r="B5505" s="683"/>
      <c r="C5505" s="683"/>
      <c r="D5505" s="698"/>
      <c r="E5505" s="215"/>
      <c r="F5505" s="215"/>
      <c r="G5505" s="427"/>
      <c r="H5505" s="427"/>
      <c r="I5505" s="427"/>
      <c r="J5505" s="427"/>
      <c r="K5505" s="427"/>
      <c r="L5505" s="653"/>
      <c r="M5505" s="666"/>
      <c r="N5505" s="600">
        <v>17.690000000000001</v>
      </c>
      <c r="O5505" s="608">
        <v>0.33995700000000001</v>
      </c>
      <c r="P5505" s="782"/>
      <c r="Q5505" s="764"/>
      <c r="R5505" s="764"/>
      <c r="S5505" s="764"/>
      <c r="T5505" s="764"/>
      <c r="U5505" s="764"/>
      <c r="V5505" s="764"/>
      <c r="W5505" s="764"/>
      <c r="X5505" s="764"/>
      <c r="Y5505" s="768"/>
      <c r="Z5505" s="762"/>
      <c r="AA5505" s="150"/>
      <c r="AB5505" s="150">
        <v>152</v>
      </c>
      <c r="AC5505" s="150">
        <v>2E-3</v>
      </c>
      <c r="AD5505" s="150">
        <v>13.99</v>
      </c>
      <c r="AE5505" s="150">
        <v>1.113</v>
      </c>
      <c r="AF5505" s="223">
        <f t="shared" si="34"/>
        <v>15.570869999999999</v>
      </c>
      <c r="AG5505" s="223">
        <f t="shared" si="33"/>
        <v>1.1360957993997767</v>
      </c>
      <c r="AH5505" s="346"/>
      <c r="AI5505" s="427"/>
      <c r="AJ5505" s="480"/>
      <c r="AK5505" s="427"/>
      <c r="AU5505" s="218"/>
      <c r="AV5505" s="218"/>
      <c r="AW5505" s="218"/>
      <c r="AX5505" s="218"/>
      <c r="AY5505" s="218"/>
      <c r="AZ5505" s="427"/>
      <c r="BA5505" s="427"/>
      <c r="BB5505" s="427"/>
      <c r="BI5505" s="427"/>
      <c r="BJ5505" s="427"/>
      <c r="BK5505" s="427"/>
      <c r="BL5505" s="427"/>
      <c r="BM5505" s="427"/>
      <c r="BN5505" s="427"/>
      <c r="BO5505" s="427"/>
      <c r="BP5505" s="427"/>
      <c r="BQ5505" s="427"/>
      <c r="BR5505" s="427"/>
      <c r="BS5505" s="427"/>
      <c r="BT5505" s="427"/>
      <c r="BU5505" s="427"/>
      <c r="BV5505" s="427"/>
      <c r="BW5505" s="427"/>
      <c r="BX5505" s="427"/>
      <c r="BY5505" s="427"/>
      <c r="BZ5505" s="427"/>
    </row>
    <row r="5506" spans="2:78" s="152" customFormat="1" x14ac:dyDescent="0.2">
      <c r="B5506" s="683"/>
      <c r="C5506" s="683"/>
      <c r="D5506" s="698"/>
      <c r="E5506" s="215"/>
      <c r="F5506" s="215"/>
      <c r="G5506" s="427"/>
      <c r="H5506" s="427"/>
      <c r="I5506" s="427"/>
      <c r="J5506" s="427"/>
      <c r="K5506" s="427"/>
      <c r="L5506" s="653"/>
      <c r="M5506" s="666"/>
      <c r="N5506" s="600">
        <v>16.809999999999999</v>
      </c>
      <c r="O5506" s="608">
        <v>0.238736</v>
      </c>
      <c r="P5506" s="782"/>
      <c r="Q5506" s="764"/>
      <c r="R5506" s="764"/>
      <c r="S5506" s="764"/>
      <c r="T5506" s="764"/>
      <c r="U5506" s="764"/>
      <c r="V5506" s="764"/>
      <c r="W5506" s="764"/>
      <c r="X5506" s="764"/>
      <c r="Y5506" s="768"/>
      <c r="Z5506" s="762"/>
      <c r="AA5506" s="150"/>
      <c r="AB5506" s="150">
        <v>153</v>
      </c>
      <c r="AC5506" s="150">
        <v>2E-3</v>
      </c>
      <c r="AD5506" s="150">
        <v>13.88</v>
      </c>
      <c r="AE5506" s="150">
        <v>1.0880000000000001</v>
      </c>
      <c r="AF5506" s="223">
        <f t="shared" si="34"/>
        <v>15.101440000000002</v>
      </c>
      <c r="AG5506" s="223">
        <f t="shared" si="33"/>
        <v>1.1131388794710966</v>
      </c>
      <c r="AH5506" s="346"/>
      <c r="AI5506" s="427"/>
      <c r="AJ5506" s="480"/>
      <c r="AK5506" s="427"/>
      <c r="AU5506" s="218"/>
      <c r="AV5506" s="218"/>
      <c r="AW5506" s="218"/>
      <c r="AX5506" s="218"/>
      <c r="AY5506" s="218"/>
      <c r="AZ5506" s="427"/>
      <c r="BA5506" s="427"/>
      <c r="BB5506" s="427"/>
      <c r="BI5506" s="427"/>
      <c r="BJ5506" s="427"/>
      <c r="BK5506" s="427"/>
      <c r="BL5506" s="427"/>
      <c r="BM5506" s="427"/>
      <c r="BN5506" s="427"/>
      <c r="BO5506" s="427"/>
      <c r="BP5506" s="427"/>
      <c r="BQ5506" s="427"/>
      <c r="BR5506" s="427"/>
      <c r="BS5506" s="427"/>
      <c r="BT5506" s="427"/>
      <c r="BU5506" s="427"/>
      <c r="BV5506" s="427"/>
      <c r="BW5506" s="427"/>
      <c r="BX5506" s="427"/>
      <c r="BY5506" s="427"/>
      <c r="BZ5506" s="427"/>
    </row>
    <row r="5507" spans="2:78" s="152" customFormat="1" x14ac:dyDescent="0.2">
      <c r="B5507" s="683"/>
      <c r="C5507" s="683"/>
      <c r="D5507" s="698"/>
      <c r="E5507" s="215"/>
      <c r="F5507" s="215"/>
      <c r="G5507" s="427"/>
      <c r="H5507" s="427"/>
      <c r="I5507" s="427"/>
      <c r="J5507" s="427"/>
      <c r="K5507" s="427"/>
      <c r="L5507" s="653"/>
      <c r="M5507" s="666"/>
      <c r="N5507" s="600">
        <v>13.84</v>
      </c>
      <c r="O5507" s="608">
        <v>9.9900000000000003E-2</v>
      </c>
      <c r="P5507" s="782"/>
      <c r="Q5507" s="764"/>
      <c r="R5507" s="764"/>
      <c r="S5507" s="764"/>
      <c r="T5507" s="764"/>
      <c r="U5507" s="764"/>
      <c r="V5507" s="764"/>
      <c r="W5507" s="764"/>
      <c r="X5507" s="764"/>
      <c r="Y5507" s="768"/>
      <c r="Z5507" s="762"/>
      <c r="AA5507" s="150"/>
      <c r="AB5507" s="150">
        <v>154</v>
      </c>
      <c r="AC5507" s="150">
        <v>1.6000000000000001E-3</v>
      </c>
      <c r="AD5507" s="150">
        <v>13.32</v>
      </c>
      <c r="AE5507" s="150">
        <v>1</v>
      </c>
      <c r="AF5507" s="223">
        <f t="shared" si="34"/>
        <v>13.32</v>
      </c>
      <c r="AG5507" s="223">
        <f t="shared" si="33"/>
        <v>1.0390390390390389</v>
      </c>
      <c r="AH5507" s="346"/>
      <c r="AI5507" s="427"/>
      <c r="AJ5507" s="480"/>
      <c r="AK5507" s="427"/>
      <c r="AU5507" s="218"/>
      <c r="AV5507" s="218"/>
      <c r="AW5507" s="218"/>
      <c r="AX5507" s="218"/>
      <c r="AY5507" s="218"/>
      <c r="AZ5507" s="427"/>
      <c r="BA5507" s="427"/>
      <c r="BB5507" s="427"/>
      <c r="BI5507" s="427"/>
      <c r="BJ5507" s="427"/>
      <c r="BK5507" s="427"/>
      <c r="BL5507" s="427"/>
      <c r="BM5507" s="427"/>
      <c r="BN5507" s="427"/>
      <c r="BO5507" s="427"/>
      <c r="BP5507" s="427"/>
      <c r="BQ5507" s="427"/>
      <c r="BR5507" s="427"/>
      <c r="BS5507" s="427"/>
      <c r="BT5507" s="427"/>
      <c r="BU5507" s="427"/>
      <c r="BV5507" s="427"/>
      <c r="BW5507" s="427"/>
      <c r="BX5507" s="427"/>
      <c r="BY5507" s="427"/>
      <c r="BZ5507" s="427"/>
    </row>
    <row r="5508" spans="2:78" s="152" customFormat="1" x14ac:dyDescent="0.2">
      <c r="B5508" s="683"/>
      <c r="C5508" s="683"/>
      <c r="D5508" s="698"/>
      <c r="E5508" s="215"/>
      <c r="F5508" s="215"/>
      <c r="G5508" s="427"/>
      <c r="H5508" s="427"/>
      <c r="I5508" s="427"/>
      <c r="J5508" s="427"/>
      <c r="K5508" s="427"/>
      <c r="L5508" s="653"/>
      <c r="M5508" s="666"/>
      <c r="N5508" s="600">
        <v>12.61</v>
      </c>
      <c r="O5508" s="608">
        <v>4.7447999999999997E-2</v>
      </c>
      <c r="P5508" s="782"/>
      <c r="Q5508" s="764"/>
      <c r="R5508" s="764"/>
      <c r="S5508" s="764"/>
      <c r="T5508" s="764"/>
      <c r="U5508" s="764"/>
      <c r="V5508" s="764"/>
      <c r="W5508" s="764"/>
      <c r="X5508" s="764"/>
      <c r="Y5508" s="768"/>
      <c r="Z5508" s="762"/>
      <c r="AA5508" s="150"/>
      <c r="AB5508" s="150">
        <v>155</v>
      </c>
      <c r="AC5508" s="150">
        <v>1.6000000000000001E-3</v>
      </c>
      <c r="AD5508" s="150">
        <v>13.18</v>
      </c>
      <c r="AE5508" s="150">
        <v>0.96</v>
      </c>
      <c r="AF5508" s="223">
        <f t="shared" si="34"/>
        <v>12.652799999999999</v>
      </c>
      <c r="AG5508" s="223">
        <f t="shared" si="33"/>
        <v>0.99661734951947401</v>
      </c>
      <c r="AH5508" s="346"/>
      <c r="AI5508" s="427"/>
      <c r="AJ5508" s="480"/>
      <c r="AK5508" s="427"/>
      <c r="AU5508" s="218"/>
      <c r="AV5508" s="218"/>
      <c r="AW5508" s="218"/>
      <c r="AX5508" s="218"/>
      <c r="AY5508" s="218"/>
      <c r="AZ5508" s="427"/>
      <c r="BA5508" s="427"/>
      <c r="BB5508" s="427"/>
      <c r="BI5508" s="427"/>
      <c r="BJ5508" s="427"/>
      <c r="BK5508" s="427"/>
      <c r="BL5508" s="427"/>
      <c r="BM5508" s="427"/>
      <c r="BN5508" s="427"/>
      <c r="BO5508" s="427"/>
      <c r="BP5508" s="427"/>
      <c r="BQ5508" s="427"/>
      <c r="BR5508" s="427"/>
      <c r="BS5508" s="427"/>
      <c r="BT5508" s="427"/>
      <c r="BU5508" s="427"/>
      <c r="BV5508" s="427"/>
      <c r="BW5508" s="427"/>
      <c r="BX5508" s="427"/>
      <c r="BY5508" s="427"/>
      <c r="BZ5508" s="427"/>
    </row>
    <row r="5509" spans="2:78" s="152" customFormat="1" x14ac:dyDescent="0.2">
      <c r="B5509" s="683"/>
      <c r="C5509" s="683"/>
      <c r="D5509" s="698"/>
      <c r="E5509" s="215"/>
      <c r="F5509" s="215"/>
      <c r="G5509" s="427"/>
      <c r="H5509" s="427"/>
      <c r="I5509" s="427"/>
      <c r="J5509" s="427"/>
      <c r="K5509" s="427"/>
      <c r="L5509" s="653"/>
      <c r="M5509" s="666"/>
      <c r="N5509" s="600">
        <v>10.68</v>
      </c>
      <c r="O5509" s="608">
        <v>7.8567999999999999E-2</v>
      </c>
      <c r="P5509" s="782"/>
      <c r="Q5509" s="764"/>
      <c r="R5509" s="764"/>
      <c r="S5509" s="764"/>
      <c r="T5509" s="764"/>
      <c r="U5509" s="764"/>
      <c r="V5509" s="764"/>
      <c r="W5509" s="764"/>
      <c r="X5509" s="764"/>
      <c r="Y5509" s="768"/>
      <c r="Z5509" s="762"/>
      <c r="AA5509" s="150"/>
      <c r="AB5509" s="150">
        <v>156</v>
      </c>
      <c r="AC5509" s="150">
        <v>1.5E-3</v>
      </c>
      <c r="AD5509" s="150">
        <v>12.88</v>
      </c>
      <c r="AE5509" s="150">
        <v>0.89300000000000002</v>
      </c>
      <c r="AF5509" s="223">
        <f t="shared" si="34"/>
        <v>11.501840000000001</v>
      </c>
      <c r="AG5509" s="223">
        <f t="shared" si="33"/>
        <v>0.9285470846403705</v>
      </c>
      <c r="AH5509" s="346"/>
      <c r="AI5509" s="427"/>
      <c r="AJ5509" s="480"/>
      <c r="AK5509" s="427"/>
      <c r="AU5509" s="218"/>
      <c r="AV5509" s="218"/>
      <c r="AW5509" s="218"/>
      <c r="AX5509" s="218"/>
      <c r="AY5509" s="218"/>
      <c r="AZ5509" s="427"/>
      <c r="BA5509" s="427"/>
      <c r="BB5509" s="427"/>
      <c r="BI5509" s="427"/>
      <c r="BJ5509" s="427"/>
      <c r="BK5509" s="427"/>
      <c r="BL5509" s="427"/>
      <c r="BM5509" s="427"/>
      <c r="BN5509" s="427"/>
      <c r="BO5509" s="427"/>
      <c r="BP5509" s="427"/>
      <c r="BQ5509" s="427"/>
      <c r="BR5509" s="427"/>
      <c r="BS5509" s="427"/>
      <c r="BT5509" s="427"/>
      <c r="BU5509" s="427"/>
      <c r="BV5509" s="427"/>
      <c r="BW5509" s="427"/>
      <c r="BX5509" s="427"/>
      <c r="BY5509" s="427"/>
      <c r="BZ5509" s="427"/>
    </row>
    <row r="5510" spans="2:78" s="152" customFormat="1" x14ac:dyDescent="0.2">
      <c r="B5510" s="683"/>
      <c r="C5510" s="683"/>
      <c r="D5510" s="698"/>
      <c r="E5510" s="215"/>
      <c r="F5510" s="215"/>
      <c r="G5510" s="427"/>
      <c r="H5510" s="427"/>
      <c r="I5510" s="427"/>
      <c r="J5510" s="427"/>
      <c r="K5510" s="427"/>
      <c r="L5510" s="653"/>
      <c r="M5510" s="666"/>
      <c r="N5510" s="600">
        <v>7.42</v>
      </c>
      <c r="O5510" s="608">
        <v>3.5756999999999997E-2</v>
      </c>
      <c r="P5510" s="782"/>
      <c r="Q5510" s="764"/>
      <c r="R5510" s="764"/>
      <c r="S5510" s="764"/>
      <c r="T5510" s="764"/>
      <c r="U5510" s="764"/>
      <c r="V5510" s="764"/>
      <c r="W5510" s="764"/>
      <c r="X5510" s="764"/>
      <c r="Y5510" s="768"/>
      <c r="Z5510" s="762"/>
      <c r="AA5510" s="150"/>
      <c r="AB5510" s="150">
        <v>157</v>
      </c>
      <c r="AC5510" s="150">
        <v>1.2999999999999999E-3</v>
      </c>
      <c r="AD5510" s="150">
        <v>12.33</v>
      </c>
      <c r="AE5510" s="150">
        <v>0.76200000000000001</v>
      </c>
      <c r="AF5510" s="223">
        <f t="shared" si="34"/>
        <v>9.3954599999999999</v>
      </c>
      <c r="AG5510" s="223">
        <f t="shared" si="33"/>
        <v>0.78974313125701134</v>
      </c>
      <c r="AH5510" s="346"/>
      <c r="AI5510" s="427"/>
      <c r="AJ5510" s="480"/>
      <c r="AK5510" s="427"/>
      <c r="AU5510" s="218"/>
      <c r="AV5510" s="218"/>
      <c r="AW5510" s="218"/>
      <c r="AX5510" s="218"/>
      <c r="AY5510" s="218"/>
      <c r="AZ5510" s="427"/>
      <c r="BA5510" s="427"/>
      <c r="BB5510" s="427"/>
      <c r="BI5510" s="427"/>
      <c r="BJ5510" s="427"/>
      <c r="BK5510" s="427"/>
      <c r="BL5510" s="427"/>
      <c r="BM5510" s="427"/>
      <c r="BN5510" s="427"/>
      <c r="BO5510" s="427"/>
      <c r="BP5510" s="427"/>
      <c r="BQ5510" s="427"/>
      <c r="BR5510" s="427"/>
      <c r="BS5510" s="427"/>
      <c r="BT5510" s="427"/>
      <c r="BU5510" s="427"/>
      <c r="BV5510" s="427"/>
      <c r="BW5510" s="427"/>
      <c r="BX5510" s="427"/>
      <c r="BY5510" s="427"/>
      <c r="BZ5510" s="427"/>
    </row>
    <row r="5511" spans="2:78" s="152" customFormat="1" x14ac:dyDescent="0.2">
      <c r="B5511" s="683"/>
      <c r="C5511" s="683"/>
      <c r="D5511" s="698"/>
      <c r="E5511" s="215"/>
      <c r="F5511" s="215"/>
      <c r="G5511" s="427"/>
      <c r="H5511" s="427"/>
      <c r="I5511" s="427"/>
      <c r="J5511" s="427"/>
      <c r="K5511" s="427"/>
      <c r="L5511" s="653"/>
      <c r="M5511" s="666"/>
      <c r="N5511" s="600">
        <v>10.85</v>
      </c>
      <c r="O5511" s="608">
        <v>9.7275E-2</v>
      </c>
      <c r="P5511" s="782"/>
      <c r="Q5511" s="764"/>
      <c r="R5511" s="764"/>
      <c r="S5511" s="764"/>
      <c r="T5511" s="764"/>
      <c r="U5511" s="764"/>
      <c r="V5511" s="764"/>
      <c r="W5511" s="764"/>
      <c r="X5511" s="764"/>
      <c r="Y5511" s="768"/>
      <c r="Z5511" s="762"/>
      <c r="AA5511" s="150"/>
      <c r="AB5511" s="150">
        <v>158</v>
      </c>
      <c r="AC5511" s="150">
        <v>2.3999999999999998E-3</v>
      </c>
      <c r="AD5511" s="150">
        <v>12.97</v>
      </c>
      <c r="AE5511" s="150">
        <v>0.89900000000000002</v>
      </c>
      <c r="AF5511" s="223">
        <f t="shared" si="34"/>
        <v>11.660030000000001</v>
      </c>
      <c r="AG5511" s="223">
        <f t="shared" si="33"/>
        <v>0.93052933826070761</v>
      </c>
      <c r="AH5511" s="346"/>
      <c r="AI5511" s="427"/>
      <c r="AJ5511" s="480"/>
      <c r="AK5511" s="427"/>
      <c r="AU5511" s="218"/>
      <c r="AV5511" s="218"/>
      <c r="AW5511" s="218"/>
      <c r="AX5511" s="218"/>
      <c r="AY5511" s="218"/>
      <c r="AZ5511" s="427"/>
      <c r="BA5511" s="427"/>
      <c r="BB5511" s="427"/>
      <c r="BI5511" s="427"/>
      <c r="BJ5511" s="427"/>
      <c r="BK5511" s="427"/>
      <c r="BL5511" s="427"/>
      <c r="BM5511" s="427"/>
      <c r="BN5511" s="427"/>
      <c r="BO5511" s="427"/>
      <c r="BP5511" s="427"/>
      <c r="BQ5511" s="427"/>
      <c r="BR5511" s="427"/>
      <c r="BS5511" s="427"/>
      <c r="BT5511" s="427"/>
      <c r="BU5511" s="427"/>
      <c r="BV5511" s="427"/>
      <c r="BW5511" s="427"/>
      <c r="BX5511" s="427"/>
      <c r="BY5511" s="427"/>
      <c r="BZ5511" s="427"/>
    </row>
    <row r="5512" spans="2:78" s="152" customFormat="1" x14ac:dyDescent="0.2">
      <c r="B5512" s="683"/>
      <c r="C5512" s="683"/>
      <c r="D5512" s="698"/>
      <c r="E5512" s="215"/>
      <c r="F5512" s="215"/>
      <c r="G5512" s="427"/>
      <c r="H5512" s="427"/>
      <c r="I5512" s="427"/>
      <c r="J5512" s="427"/>
      <c r="K5512" s="427"/>
      <c r="L5512" s="653"/>
      <c r="M5512" s="666"/>
      <c r="N5512" s="600">
        <v>11.19</v>
      </c>
      <c r="O5512" s="608">
        <v>0.28188299999999999</v>
      </c>
      <c r="P5512" s="782"/>
      <c r="Q5512" s="764"/>
      <c r="R5512" s="764"/>
      <c r="S5512" s="764"/>
      <c r="T5512" s="764"/>
      <c r="U5512" s="764"/>
      <c r="V5512" s="764"/>
      <c r="W5512" s="764"/>
      <c r="X5512" s="764"/>
      <c r="Y5512" s="768"/>
      <c r="Z5512" s="762"/>
      <c r="AA5512" s="150"/>
      <c r="AB5512" s="150">
        <v>159</v>
      </c>
      <c r="AC5512" s="150">
        <v>2.3E-3</v>
      </c>
      <c r="AD5512" s="150">
        <v>12.99</v>
      </c>
      <c r="AE5512" s="150">
        <v>0.91100000000000003</v>
      </c>
      <c r="AF5512" s="223">
        <f t="shared" si="34"/>
        <v>11.83389</v>
      </c>
      <c r="AG5512" s="223">
        <f t="shared" si="33"/>
        <v>0.94558932016437536</v>
      </c>
      <c r="AH5512" s="346"/>
      <c r="AI5512" s="427"/>
      <c r="AJ5512" s="480"/>
      <c r="AK5512" s="427"/>
      <c r="AU5512" s="218"/>
      <c r="AV5512" s="218"/>
      <c r="AW5512" s="218"/>
      <c r="AX5512" s="218"/>
      <c r="AY5512" s="218"/>
      <c r="AZ5512" s="427"/>
      <c r="BA5512" s="427"/>
      <c r="BB5512" s="427"/>
      <c r="BI5512" s="427"/>
      <c r="BJ5512" s="427"/>
      <c r="BK5512" s="427"/>
      <c r="BL5512" s="427"/>
      <c r="BM5512" s="427"/>
      <c r="BN5512" s="427"/>
      <c r="BO5512" s="427"/>
      <c r="BP5512" s="427"/>
      <c r="BQ5512" s="427"/>
      <c r="BR5512" s="427"/>
      <c r="BS5512" s="427"/>
      <c r="BT5512" s="427"/>
      <c r="BU5512" s="427"/>
      <c r="BV5512" s="427"/>
      <c r="BW5512" s="427"/>
      <c r="BX5512" s="427"/>
      <c r="BY5512" s="427"/>
      <c r="BZ5512" s="427"/>
    </row>
    <row r="5513" spans="2:78" s="152" customFormat="1" x14ac:dyDescent="0.2">
      <c r="B5513" s="683"/>
      <c r="C5513" s="683"/>
      <c r="D5513" s="698"/>
      <c r="E5513" s="215"/>
      <c r="F5513" s="215"/>
      <c r="G5513" s="427"/>
      <c r="H5513" s="427"/>
      <c r="I5513" s="427"/>
      <c r="J5513" s="427"/>
      <c r="K5513" s="427"/>
      <c r="L5513" s="653"/>
      <c r="M5513" s="666"/>
      <c r="N5513" s="600">
        <v>11.19</v>
      </c>
      <c r="O5513" s="608">
        <v>8.5997999999999991E-2</v>
      </c>
      <c r="P5513" s="782"/>
      <c r="Q5513" s="764"/>
      <c r="R5513" s="764"/>
      <c r="S5513" s="764"/>
      <c r="T5513" s="764"/>
      <c r="U5513" s="764"/>
      <c r="V5513" s="764"/>
      <c r="W5513" s="764"/>
      <c r="X5513" s="764"/>
      <c r="Y5513" s="768"/>
      <c r="Z5513" s="762"/>
      <c r="AA5513" s="150"/>
      <c r="AB5513" s="150">
        <v>160</v>
      </c>
      <c r="AC5513" s="150">
        <v>2.2000000000000001E-3</v>
      </c>
      <c r="AD5513" s="150">
        <v>13.03</v>
      </c>
      <c r="AE5513" s="150">
        <v>0.91100000000000003</v>
      </c>
      <c r="AF5513" s="223">
        <f t="shared" si="34"/>
        <v>11.870329999999999</v>
      </c>
      <c r="AG5513" s="223">
        <f t="shared" si="33"/>
        <v>0.94268651334882858</v>
      </c>
      <c r="AH5513" s="346"/>
      <c r="AI5513" s="427"/>
      <c r="AJ5513" s="480"/>
      <c r="AK5513" s="427"/>
      <c r="AU5513" s="218"/>
      <c r="AV5513" s="218"/>
      <c r="AW5513" s="218"/>
      <c r="AX5513" s="218"/>
      <c r="AY5513" s="218"/>
      <c r="AZ5513" s="427"/>
      <c r="BA5513" s="427"/>
      <c r="BB5513" s="427"/>
      <c r="BI5513" s="427"/>
      <c r="BJ5513" s="427"/>
      <c r="BK5513" s="427"/>
      <c r="BL5513" s="427"/>
      <c r="BM5513" s="427"/>
      <c r="BN5513" s="427"/>
      <c r="BO5513" s="427"/>
      <c r="BP5513" s="427"/>
      <c r="BQ5513" s="427"/>
      <c r="BR5513" s="427"/>
      <c r="BS5513" s="427"/>
      <c r="BT5513" s="427"/>
      <c r="BU5513" s="427"/>
      <c r="BV5513" s="427"/>
      <c r="BW5513" s="427"/>
      <c r="BX5513" s="427"/>
      <c r="BY5513" s="427"/>
      <c r="BZ5513" s="427"/>
    </row>
    <row r="5514" spans="2:78" s="152" customFormat="1" x14ac:dyDescent="0.2">
      <c r="B5514" s="683"/>
      <c r="C5514" s="683"/>
      <c r="D5514" s="698"/>
      <c r="E5514" s="215"/>
      <c r="F5514" s="215"/>
      <c r="G5514" s="427"/>
      <c r="H5514" s="427"/>
      <c r="I5514" s="427"/>
      <c r="J5514" s="427"/>
      <c r="K5514" s="427"/>
      <c r="L5514" s="653"/>
      <c r="M5514" s="666"/>
      <c r="N5514" s="600">
        <v>11.02</v>
      </c>
      <c r="O5514" s="608">
        <v>0.24551100000000001</v>
      </c>
      <c r="P5514" s="782"/>
      <c r="Q5514" s="764"/>
      <c r="R5514" s="764"/>
      <c r="S5514" s="764"/>
      <c r="T5514" s="764"/>
      <c r="U5514" s="764"/>
      <c r="V5514" s="764"/>
      <c r="W5514" s="764"/>
      <c r="X5514" s="764"/>
      <c r="Y5514" s="768"/>
      <c r="Z5514" s="762"/>
      <c r="AA5514" s="150"/>
      <c r="AB5514" s="150">
        <v>161</v>
      </c>
      <c r="AC5514" s="150">
        <v>2.0999999999999999E-3</v>
      </c>
      <c r="AD5514" s="150">
        <v>12.99</v>
      </c>
      <c r="AE5514" s="150">
        <v>0.90500000000000003</v>
      </c>
      <c r="AF5514" s="223">
        <f t="shared" si="34"/>
        <v>11.75595</v>
      </c>
      <c r="AG5514" s="223">
        <f t="shared" si="33"/>
        <v>0.93739765820712062</v>
      </c>
      <c r="AH5514" s="346"/>
      <c r="AI5514" s="427"/>
      <c r="AJ5514" s="480"/>
      <c r="AK5514" s="427"/>
      <c r="AU5514" s="218"/>
      <c r="AV5514" s="218"/>
      <c r="AW5514" s="218"/>
      <c r="AX5514" s="218"/>
      <c r="AY5514" s="218"/>
      <c r="AZ5514" s="427"/>
      <c r="BA5514" s="427"/>
      <c r="BB5514" s="427"/>
      <c r="BI5514" s="427"/>
      <c r="BJ5514" s="427"/>
      <c r="BK5514" s="427"/>
      <c r="BL5514" s="427"/>
      <c r="BM5514" s="427"/>
      <c r="BN5514" s="427"/>
      <c r="BO5514" s="427"/>
      <c r="BP5514" s="427"/>
      <c r="BQ5514" s="427"/>
      <c r="BR5514" s="427"/>
      <c r="BS5514" s="427"/>
      <c r="BT5514" s="427"/>
      <c r="BU5514" s="427"/>
      <c r="BV5514" s="427"/>
      <c r="BW5514" s="427"/>
      <c r="BX5514" s="427"/>
      <c r="BY5514" s="427"/>
      <c r="BZ5514" s="427"/>
    </row>
    <row r="5515" spans="2:78" s="152" customFormat="1" x14ac:dyDescent="0.2">
      <c r="B5515" s="683"/>
      <c r="C5515" s="683"/>
      <c r="D5515" s="698"/>
      <c r="E5515" s="215"/>
      <c r="F5515" s="215"/>
      <c r="G5515" s="427"/>
      <c r="H5515" s="427"/>
      <c r="I5515" s="427"/>
      <c r="J5515" s="427"/>
      <c r="K5515" s="427"/>
      <c r="L5515" s="653"/>
      <c r="M5515" s="666"/>
      <c r="N5515" s="600">
        <v>10.93</v>
      </c>
      <c r="O5515" s="608">
        <v>0.26288500000000004</v>
      </c>
      <c r="P5515" s="782"/>
      <c r="Q5515" s="764"/>
      <c r="R5515" s="764"/>
      <c r="S5515" s="764"/>
      <c r="T5515" s="764"/>
      <c r="U5515" s="764"/>
      <c r="V5515" s="764"/>
      <c r="W5515" s="764"/>
      <c r="X5515" s="764"/>
      <c r="Y5515" s="768"/>
      <c r="Z5515" s="762"/>
      <c r="AA5515" s="150"/>
      <c r="AB5515" s="150">
        <v>162</v>
      </c>
      <c r="AC5515" s="150">
        <v>2.2000000000000001E-3</v>
      </c>
      <c r="AD5515" s="150">
        <v>12.95</v>
      </c>
      <c r="AE5515" s="150">
        <v>0.90200000000000002</v>
      </c>
      <c r="AF5515" s="223">
        <f t="shared" si="34"/>
        <v>11.680899999999999</v>
      </c>
      <c r="AG5515" s="223">
        <f t="shared" si="33"/>
        <v>0.9357155698619114</v>
      </c>
      <c r="AH5515" s="346"/>
      <c r="AI5515" s="427"/>
      <c r="AJ5515" s="480"/>
      <c r="AK5515" s="427"/>
      <c r="AU5515" s="218"/>
      <c r="AV5515" s="218"/>
      <c r="AW5515" s="218"/>
      <c r="AX5515" s="218"/>
      <c r="AY5515" s="218"/>
      <c r="AZ5515" s="427"/>
      <c r="BA5515" s="427"/>
      <c r="BB5515" s="427"/>
      <c r="BI5515" s="427"/>
      <c r="BJ5515" s="427"/>
      <c r="BK5515" s="427"/>
      <c r="BL5515" s="427"/>
      <c r="BM5515" s="427"/>
      <c r="BN5515" s="427"/>
      <c r="BO5515" s="427"/>
      <c r="BP5515" s="427"/>
      <c r="BQ5515" s="427"/>
      <c r="BR5515" s="427"/>
      <c r="BS5515" s="427"/>
      <c r="BT5515" s="427"/>
      <c r="BU5515" s="427"/>
      <c r="BV5515" s="427"/>
      <c r="BW5515" s="427"/>
      <c r="BX5515" s="427"/>
      <c r="BY5515" s="427"/>
      <c r="BZ5515" s="427"/>
    </row>
    <row r="5516" spans="2:78" s="152" customFormat="1" x14ac:dyDescent="0.2">
      <c r="B5516" s="683"/>
      <c r="C5516" s="683"/>
      <c r="D5516" s="698"/>
      <c r="E5516" s="215"/>
      <c r="F5516" s="215"/>
      <c r="G5516" s="427"/>
      <c r="H5516" s="427"/>
      <c r="I5516" s="427"/>
      <c r="J5516" s="427"/>
      <c r="K5516" s="427"/>
      <c r="L5516" s="653"/>
      <c r="M5516" s="666"/>
      <c r="N5516" s="600">
        <v>10.59</v>
      </c>
      <c r="O5516" s="608">
        <v>0.25969199999999998</v>
      </c>
      <c r="P5516" s="782"/>
      <c r="Q5516" s="764"/>
      <c r="R5516" s="764"/>
      <c r="S5516" s="764"/>
      <c r="T5516" s="764"/>
      <c r="U5516" s="764"/>
      <c r="V5516" s="764"/>
      <c r="W5516" s="764"/>
      <c r="X5516" s="764"/>
      <c r="Y5516" s="768"/>
      <c r="Z5516" s="762"/>
      <c r="AA5516" s="150"/>
      <c r="AB5516" s="150">
        <v>163</v>
      </c>
      <c r="AC5516" s="150">
        <v>2.0999999999999999E-3</v>
      </c>
      <c r="AD5516" s="150">
        <v>12.92</v>
      </c>
      <c r="AE5516" s="150">
        <v>0.89</v>
      </c>
      <c r="AF5516" s="223">
        <f t="shared" si="34"/>
        <v>11.498799999999999</v>
      </c>
      <c r="AG5516" s="223">
        <f t="shared" si="33"/>
        <v>0.92096566598253737</v>
      </c>
      <c r="AH5516" s="346"/>
      <c r="AI5516" s="427"/>
      <c r="AJ5516" s="480"/>
      <c r="AK5516" s="427"/>
      <c r="AU5516" s="218"/>
      <c r="AV5516" s="218"/>
      <c r="AW5516" s="218"/>
      <c r="AX5516" s="218"/>
      <c r="AY5516" s="218"/>
      <c r="AZ5516" s="427"/>
      <c r="BA5516" s="427"/>
      <c r="BB5516" s="427"/>
      <c r="BI5516" s="427"/>
      <c r="BJ5516" s="427"/>
      <c r="BK5516" s="427"/>
      <c r="BL5516" s="427"/>
      <c r="BM5516" s="427"/>
      <c r="BN5516" s="427"/>
      <c r="BO5516" s="427"/>
      <c r="BP5516" s="427"/>
      <c r="BQ5516" s="427"/>
      <c r="BR5516" s="427"/>
      <c r="BS5516" s="427"/>
      <c r="BT5516" s="427"/>
      <c r="BU5516" s="427"/>
      <c r="BV5516" s="427"/>
      <c r="BW5516" s="427"/>
      <c r="BX5516" s="427"/>
      <c r="BY5516" s="427"/>
      <c r="BZ5516" s="427"/>
    </row>
    <row r="5517" spans="2:78" s="152" customFormat="1" x14ac:dyDescent="0.2">
      <c r="B5517" s="683"/>
      <c r="C5517" s="683"/>
      <c r="D5517" s="698"/>
      <c r="E5517" s="215"/>
      <c r="F5517" s="215"/>
      <c r="G5517" s="427"/>
      <c r="H5517" s="427"/>
      <c r="I5517" s="427"/>
      <c r="J5517" s="427"/>
      <c r="K5517" s="427"/>
      <c r="L5517" s="653"/>
      <c r="M5517" s="666"/>
      <c r="N5517" s="600">
        <v>10.35</v>
      </c>
      <c r="O5517" s="608">
        <v>0.42890399999999995</v>
      </c>
      <c r="P5517" s="782"/>
      <c r="Q5517" s="764"/>
      <c r="R5517" s="764"/>
      <c r="S5517" s="764"/>
      <c r="T5517" s="764"/>
      <c r="U5517" s="764"/>
      <c r="V5517" s="764"/>
      <c r="W5517" s="764"/>
      <c r="X5517" s="764"/>
      <c r="Y5517" s="768"/>
      <c r="Z5517" s="762"/>
      <c r="AA5517" s="150"/>
      <c r="AB5517" s="150">
        <v>164</v>
      </c>
      <c r="AC5517" s="150">
        <v>2.0999999999999999E-3</v>
      </c>
      <c r="AD5517" s="150">
        <v>12.88</v>
      </c>
      <c r="AE5517" s="150">
        <v>0.88100000000000001</v>
      </c>
      <c r="AF5517" s="223">
        <f t="shared" si="34"/>
        <v>11.347280000000001</v>
      </c>
      <c r="AG5517" s="223">
        <f t="shared" si="33"/>
        <v>0.91211285876439097</v>
      </c>
      <c r="AH5517" s="346"/>
      <c r="AI5517" s="427"/>
      <c r="AJ5517" s="480"/>
      <c r="AK5517" s="427"/>
      <c r="AU5517" s="218"/>
      <c r="AV5517" s="218"/>
      <c r="AW5517" s="218"/>
      <c r="AX5517" s="218"/>
      <c r="AY5517" s="218"/>
      <c r="AZ5517" s="427"/>
      <c r="BA5517" s="427"/>
      <c r="BB5517" s="427"/>
      <c r="BI5517" s="427"/>
      <c r="BJ5517" s="427"/>
      <c r="BK5517" s="427"/>
      <c r="BL5517" s="427"/>
      <c r="BM5517" s="427"/>
      <c r="BN5517" s="427"/>
      <c r="BO5517" s="427"/>
      <c r="BP5517" s="427"/>
      <c r="BQ5517" s="427"/>
      <c r="BR5517" s="427"/>
      <c r="BS5517" s="427"/>
      <c r="BT5517" s="427"/>
      <c r="BU5517" s="427"/>
      <c r="BV5517" s="427"/>
      <c r="BW5517" s="427"/>
      <c r="BX5517" s="427"/>
      <c r="BY5517" s="427"/>
      <c r="BZ5517" s="427"/>
    </row>
    <row r="5518" spans="2:78" s="152" customFormat="1" x14ac:dyDescent="0.2">
      <c r="B5518" s="683"/>
      <c r="C5518" s="683"/>
      <c r="D5518" s="698"/>
      <c r="E5518" s="215"/>
      <c r="F5518" s="215"/>
      <c r="G5518" s="427"/>
      <c r="H5518" s="427"/>
      <c r="I5518" s="427"/>
      <c r="J5518" s="427"/>
      <c r="K5518" s="427"/>
      <c r="L5518" s="653"/>
      <c r="M5518" s="666"/>
      <c r="N5518" s="600">
        <v>9.94</v>
      </c>
      <c r="O5518" s="608">
        <v>0.32125000000000004</v>
      </c>
      <c r="P5518" s="782"/>
      <c r="Q5518" s="764"/>
      <c r="R5518" s="764"/>
      <c r="S5518" s="764"/>
      <c r="T5518" s="764"/>
      <c r="U5518" s="764"/>
      <c r="V5518" s="764"/>
      <c r="W5518" s="764"/>
      <c r="X5518" s="764"/>
      <c r="Y5518" s="768"/>
      <c r="Z5518" s="762"/>
      <c r="AA5518" s="150"/>
      <c r="AB5518" s="150">
        <v>165</v>
      </c>
      <c r="AC5518" s="150">
        <v>2.0999999999999999E-3</v>
      </c>
      <c r="AD5518" s="150">
        <v>12.85</v>
      </c>
      <c r="AE5518" s="150">
        <v>0.86599999999999999</v>
      </c>
      <c r="AF5518" s="223">
        <f t="shared" si="34"/>
        <v>11.1281</v>
      </c>
      <c r="AG5518" s="223">
        <f t="shared" si="33"/>
        <v>0.8932342448396402</v>
      </c>
      <c r="AH5518" s="346"/>
      <c r="AI5518" s="427"/>
      <c r="AJ5518" s="480"/>
      <c r="AK5518" s="427"/>
      <c r="AU5518" s="218"/>
      <c r="AV5518" s="218"/>
      <c r="AW5518" s="218"/>
      <c r="AX5518" s="218"/>
      <c r="AY5518" s="218"/>
      <c r="AZ5518" s="427"/>
      <c r="BA5518" s="427"/>
      <c r="BB5518" s="427"/>
      <c r="BI5518" s="427"/>
      <c r="BJ5518" s="427"/>
      <c r="BK5518" s="427"/>
      <c r="BL5518" s="427"/>
      <c r="BM5518" s="427"/>
      <c r="BN5518" s="427"/>
      <c r="BO5518" s="427"/>
      <c r="BP5518" s="427"/>
      <c r="BQ5518" s="427"/>
      <c r="BR5518" s="427"/>
      <c r="BS5518" s="427"/>
      <c r="BT5518" s="427"/>
      <c r="BU5518" s="427"/>
      <c r="BV5518" s="427"/>
      <c r="BW5518" s="427"/>
      <c r="BX5518" s="427"/>
      <c r="BY5518" s="427"/>
      <c r="BZ5518" s="427"/>
    </row>
    <row r="5519" spans="2:78" s="152" customFormat="1" x14ac:dyDescent="0.2">
      <c r="B5519" s="683"/>
      <c r="C5519" s="683"/>
      <c r="D5519" s="698"/>
      <c r="E5519" s="215"/>
      <c r="F5519" s="215"/>
      <c r="G5519" s="427"/>
      <c r="H5519" s="427"/>
      <c r="I5519" s="427"/>
      <c r="J5519" s="427"/>
      <c r="K5519" s="427"/>
      <c r="L5519" s="653"/>
      <c r="M5519" s="666"/>
      <c r="N5519" s="600">
        <v>11.25</v>
      </c>
      <c r="O5519" s="608">
        <v>8.7719999999999992E-2</v>
      </c>
      <c r="P5519" s="782"/>
      <c r="Q5519" s="764"/>
      <c r="R5519" s="764"/>
      <c r="S5519" s="764"/>
      <c r="T5519" s="764"/>
      <c r="U5519" s="764"/>
      <c r="V5519" s="764"/>
      <c r="W5519" s="764"/>
      <c r="X5519" s="764"/>
      <c r="Y5519" s="768"/>
      <c r="Z5519" s="762"/>
      <c r="AA5519" s="150"/>
      <c r="AB5519" s="150">
        <v>166</v>
      </c>
      <c r="AC5519" s="150">
        <v>1.8E-3</v>
      </c>
      <c r="AD5519" s="150">
        <v>12.9</v>
      </c>
      <c r="AE5519" s="150">
        <v>0.91400000000000003</v>
      </c>
      <c r="AF5519" s="223">
        <f t="shared" si="34"/>
        <v>11.790600000000001</v>
      </c>
      <c r="AG5519" s="223">
        <f t="shared" si="33"/>
        <v>0.95414991603480726</v>
      </c>
      <c r="AH5519" s="346"/>
      <c r="AI5519" s="427"/>
      <c r="AJ5519" s="480"/>
      <c r="AK5519" s="427"/>
      <c r="AU5519" s="218"/>
      <c r="AV5519" s="218"/>
      <c r="AW5519" s="218"/>
      <c r="AX5519" s="218"/>
      <c r="AY5519" s="218"/>
      <c r="AZ5519" s="427"/>
      <c r="BA5519" s="427"/>
      <c r="BB5519" s="427"/>
      <c r="BI5519" s="427"/>
      <c r="BJ5519" s="427"/>
      <c r="BK5519" s="427"/>
      <c r="BL5519" s="427"/>
      <c r="BM5519" s="427"/>
      <c r="BN5519" s="427"/>
      <c r="BO5519" s="427"/>
      <c r="BP5519" s="427"/>
      <c r="BQ5519" s="427"/>
      <c r="BR5519" s="427"/>
      <c r="BS5519" s="427"/>
      <c r="BT5519" s="427"/>
      <c r="BU5519" s="427"/>
      <c r="BV5519" s="427"/>
      <c r="BW5519" s="427"/>
      <c r="BX5519" s="427"/>
      <c r="BY5519" s="427"/>
      <c r="BZ5519" s="427"/>
    </row>
    <row r="5520" spans="2:78" s="152" customFormat="1" x14ac:dyDescent="0.2">
      <c r="B5520" s="683"/>
      <c r="C5520" s="683"/>
      <c r="D5520" s="698"/>
      <c r="E5520" s="215"/>
      <c r="F5520" s="215"/>
      <c r="G5520" s="427"/>
      <c r="H5520" s="427"/>
      <c r="I5520" s="427"/>
      <c r="J5520" s="427"/>
      <c r="K5520" s="427"/>
      <c r="L5520" s="653"/>
      <c r="M5520" s="666"/>
      <c r="N5520" s="600">
        <v>10.45</v>
      </c>
      <c r="O5520" s="608">
        <v>1.7905999999999998E-2</v>
      </c>
      <c r="P5520" s="782"/>
      <c r="Q5520" s="764"/>
      <c r="R5520" s="764"/>
      <c r="S5520" s="764"/>
      <c r="T5520" s="764"/>
      <c r="U5520" s="764"/>
      <c r="V5520" s="764"/>
      <c r="W5520" s="764"/>
      <c r="X5520" s="764"/>
      <c r="Y5520" s="768"/>
      <c r="Z5520" s="762"/>
      <c r="AA5520" s="150"/>
      <c r="AB5520" s="150">
        <v>167</v>
      </c>
      <c r="AC5520" s="150">
        <v>1.8E-3</v>
      </c>
      <c r="AD5520" s="150">
        <v>12.79</v>
      </c>
      <c r="AE5520" s="150">
        <v>0.88500000000000001</v>
      </c>
      <c r="AF5520" s="223">
        <f t="shared" si="34"/>
        <v>11.319149999999999</v>
      </c>
      <c r="AG5520" s="223">
        <f t="shared" si="33"/>
        <v>0.92321419894603396</v>
      </c>
      <c r="AH5520" s="346"/>
      <c r="AI5520" s="427"/>
      <c r="AJ5520" s="480"/>
      <c r="AK5520" s="427"/>
      <c r="AU5520" s="218"/>
      <c r="AV5520" s="218"/>
      <c r="AW5520" s="218"/>
      <c r="AX5520" s="218"/>
      <c r="AY5520" s="218"/>
      <c r="AZ5520" s="427"/>
      <c r="BA5520" s="427"/>
      <c r="BB5520" s="427"/>
      <c r="BI5520" s="427"/>
      <c r="BJ5520" s="427"/>
      <c r="BK5520" s="427"/>
      <c r="BL5520" s="427"/>
      <c r="BM5520" s="427"/>
      <c r="BN5520" s="427"/>
      <c r="BO5520" s="427"/>
      <c r="BP5520" s="427"/>
      <c r="BQ5520" s="427"/>
      <c r="BR5520" s="427"/>
      <c r="BS5520" s="427"/>
      <c r="BT5520" s="427"/>
      <c r="BU5520" s="427"/>
      <c r="BV5520" s="427"/>
      <c r="BW5520" s="427"/>
      <c r="BX5520" s="427"/>
      <c r="BY5520" s="427"/>
      <c r="BZ5520" s="427"/>
    </row>
    <row r="5521" spans="2:78" s="152" customFormat="1" x14ac:dyDescent="0.2">
      <c r="B5521" s="683"/>
      <c r="C5521" s="683"/>
      <c r="D5521" s="698"/>
      <c r="E5521" s="215"/>
      <c r="F5521" s="215"/>
      <c r="G5521" s="427"/>
      <c r="H5521" s="427"/>
      <c r="I5521" s="427"/>
      <c r="J5521" s="427"/>
      <c r="K5521" s="427"/>
      <c r="L5521" s="653"/>
      <c r="M5521" s="666"/>
      <c r="N5521" s="600">
        <v>9.23</v>
      </c>
      <c r="O5521" s="608">
        <v>1.0064E-2</v>
      </c>
      <c r="P5521" s="782"/>
      <c r="Q5521" s="764"/>
      <c r="R5521" s="764"/>
      <c r="S5521" s="764"/>
      <c r="T5521" s="764"/>
      <c r="U5521" s="764"/>
      <c r="V5521" s="764"/>
      <c r="W5521" s="764"/>
      <c r="X5521" s="764"/>
      <c r="Y5521" s="768"/>
      <c r="Z5521" s="762"/>
      <c r="AA5521" s="150"/>
      <c r="AB5521" s="150">
        <v>168</v>
      </c>
      <c r="AC5521" s="150">
        <v>1.9E-3</v>
      </c>
      <c r="AD5521" s="150">
        <v>12.58</v>
      </c>
      <c r="AE5521" s="150">
        <v>0.83799999999999997</v>
      </c>
      <c r="AF5521" s="223">
        <f t="shared" si="34"/>
        <v>10.54204</v>
      </c>
      <c r="AG5521" s="223">
        <f t="shared" si="33"/>
        <v>0.87554211518833169</v>
      </c>
      <c r="AH5521" s="346"/>
      <c r="AI5521" s="427"/>
      <c r="AJ5521" s="480"/>
      <c r="AK5521" s="427"/>
      <c r="AU5521" s="218"/>
      <c r="AV5521" s="218"/>
      <c r="AW5521" s="218"/>
      <c r="AX5521" s="218"/>
      <c r="AY5521" s="218"/>
      <c r="AZ5521" s="427"/>
      <c r="BA5521" s="427"/>
      <c r="BB5521" s="427"/>
      <c r="BI5521" s="427"/>
      <c r="BJ5521" s="427"/>
      <c r="BK5521" s="427"/>
      <c r="BL5521" s="427"/>
      <c r="BM5521" s="427"/>
      <c r="BN5521" s="427"/>
      <c r="BO5521" s="427"/>
      <c r="BP5521" s="427"/>
      <c r="BQ5521" s="427"/>
      <c r="BR5521" s="427"/>
      <c r="BS5521" s="427"/>
      <c r="BT5521" s="427"/>
      <c r="BU5521" s="427"/>
      <c r="BV5521" s="427"/>
      <c r="BW5521" s="427"/>
      <c r="BX5521" s="427"/>
      <c r="BY5521" s="427"/>
      <c r="BZ5521" s="427"/>
    </row>
    <row r="5522" spans="2:78" s="152" customFormat="1" x14ac:dyDescent="0.2">
      <c r="B5522" s="683"/>
      <c r="C5522" s="683"/>
      <c r="D5522" s="698"/>
      <c r="E5522" s="215"/>
      <c r="F5522" s="215"/>
      <c r="G5522" s="427"/>
      <c r="H5522" s="427"/>
      <c r="I5522" s="427"/>
      <c r="J5522" s="427"/>
      <c r="K5522" s="427"/>
      <c r="L5522" s="653"/>
      <c r="M5522" s="666"/>
      <c r="N5522" s="600">
        <v>7.62</v>
      </c>
      <c r="O5522" s="608">
        <v>3.6839999999999993E-3</v>
      </c>
      <c r="P5522" s="782"/>
      <c r="Q5522" s="764"/>
      <c r="R5522" s="764"/>
      <c r="S5522" s="764"/>
      <c r="T5522" s="764"/>
      <c r="U5522" s="764"/>
      <c r="V5522" s="764"/>
      <c r="W5522" s="764"/>
      <c r="X5522" s="764"/>
      <c r="Y5522" s="768"/>
      <c r="Z5522" s="762"/>
      <c r="AA5522" s="150"/>
      <c r="AB5522" s="150">
        <v>169</v>
      </c>
      <c r="AC5522" s="150">
        <v>1.6999999999999999E-3</v>
      </c>
      <c r="AD5522" s="150">
        <v>12.28</v>
      </c>
      <c r="AE5522" s="150">
        <v>0.77100000000000002</v>
      </c>
      <c r="AF5522" s="223">
        <f t="shared" si="34"/>
        <v>9.4678799999999992</v>
      </c>
      <c r="AG5522" s="223">
        <f t="shared" si="33"/>
        <v>0.80482642365555968</v>
      </c>
      <c r="AH5522" s="346"/>
      <c r="AI5522" s="427"/>
      <c r="AJ5522" s="480"/>
      <c r="AK5522" s="427"/>
      <c r="AU5522" s="218"/>
      <c r="AV5522" s="218"/>
      <c r="AW5522" s="218"/>
      <c r="AX5522" s="218"/>
      <c r="AY5522" s="218"/>
      <c r="AZ5522" s="427"/>
      <c r="BA5522" s="427"/>
      <c r="BB5522" s="427"/>
      <c r="BI5522" s="427"/>
      <c r="BJ5522" s="427"/>
      <c r="BK5522" s="427"/>
      <c r="BL5522" s="427"/>
      <c r="BM5522" s="427"/>
      <c r="BN5522" s="427"/>
      <c r="BO5522" s="427"/>
      <c r="BP5522" s="427"/>
      <c r="BQ5522" s="427"/>
      <c r="BR5522" s="427"/>
      <c r="BS5522" s="427"/>
      <c r="BT5522" s="427"/>
      <c r="BU5522" s="427"/>
      <c r="BV5522" s="427"/>
      <c r="BW5522" s="427"/>
      <c r="BX5522" s="427"/>
      <c r="BY5522" s="427"/>
      <c r="BZ5522" s="427"/>
    </row>
    <row r="5523" spans="2:78" s="152" customFormat="1" x14ac:dyDescent="0.2">
      <c r="B5523" s="683"/>
      <c r="C5523" s="683"/>
      <c r="D5523" s="698"/>
      <c r="E5523" s="215"/>
      <c r="F5523" s="215"/>
      <c r="G5523" s="427"/>
      <c r="H5523" s="427"/>
      <c r="I5523" s="427"/>
      <c r="J5523" s="427"/>
      <c r="K5523" s="427"/>
      <c r="L5523" s="653"/>
      <c r="M5523" s="666"/>
      <c r="N5523" s="600">
        <v>19.64</v>
      </c>
      <c r="O5523" s="608">
        <v>4.5282799999999996</v>
      </c>
      <c r="P5523" s="782"/>
      <c r="Q5523" s="764"/>
      <c r="R5523" s="764"/>
      <c r="S5523" s="764"/>
      <c r="T5523" s="764"/>
      <c r="U5523" s="764"/>
      <c r="V5523" s="764"/>
      <c r="W5523" s="764"/>
      <c r="X5523" s="764"/>
      <c r="Y5523" s="768"/>
      <c r="Z5523" s="762"/>
      <c r="AA5523" s="150"/>
      <c r="AB5523" s="150">
        <v>170</v>
      </c>
      <c r="AC5523" s="150">
        <v>3.0000000000000001E-3</v>
      </c>
      <c r="AD5523" s="150">
        <v>14.33</v>
      </c>
      <c r="AE5523" s="150">
        <v>1.1639999999999999</v>
      </c>
      <c r="AF5523" s="223">
        <f t="shared" si="34"/>
        <v>16.680119999999999</v>
      </c>
      <c r="AG5523" s="223">
        <f t="shared" si="33"/>
        <v>1.1774495627129782</v>
      </c>
      <c r="AH5523" s="346"/>
      <c r="AI5523" s="427"/>
      <c r="AJ5523" s="480"/>
      <c r="AK5523" s="427"/>
      <c r="AU5523" s="218"/>
      <c r="AV5523" s="218"/>
      <c r="AW5523" s="218"/>
      <c r="AX5523" s="218"/>
      <c r="AY5523" s="218"/>
      <c r="AZ5523" s="427"/>
      <c r="BA5523" s="427"/>
      <c r="BB5523" s="427"/>
      <c r="BI5523" s="427"/>
      <c r="BJ5523" s="427"/>
      <c r="BK5523" s="427"/>
      <c r="BL5523" s="427"/>
      <c r="BM5523" s="427"/>
      <c r="BN5523" s="427"/>
      <c r="BO5523" s="427"/>
      <c r="BP5523" s="427"/>
      <c r="BQ5523" s="427"/>
      <c r="BR5523" s="427"/>
      <c r="BS5523" s="427"/>
      <c r="BT5523" s="427"/>
      <c r="BU5523" s="427"/>
      <c r="BV5523" s="427"/>
      <c r="BW5523" s="427"/>
      <c r="BX5523" s="427"/>
      <c r="BY5523" s="427"/>
      <c r="BZ5523" s="427"/>
    </row>
    <row r="5524" spans="2:78" s="152" customFormat="1" x14ac:dyDescent="0.2">
      <c r="B5524" s="683"/>
      <c r="C5524" s="683"/>
      <c r="D5524" s="698"/>
      <c r="E5524" s="215"/>
      <c r="F5524" s="215"/>
      <c r="G5524" s="427"/>
      <c r="H5524" s="427"/>
      <c r="I5524" s="427"/>
      <c r="J5524" s="427"/>
      <c r="K5524" s="427"/>
      <c r="L5524" s="653"/>
      <c r="M5524" s="666"/>
      <c r="N5524" s="600">
        <v>19.989999999999998</v>
      </c>
      <c r="O5524" s="608">
        <v>7.8227200000000012</v>
      </c>
      <c r="P5524" s="782"/>
      <c r="Q5524" s="764"/>
      <c r="R5524" s="764"/>
      <c r="S5524" s="764"/>
      <c r="T5524" s="764"/>
      <c r="U5524" s="764"/>
      <c r="V5524" s="764"/>
      <c r="W5524" s="764"/>
      <c r="X5524" s="764"/>
      <c r="Y5524" s="768"/>
      <c r="Z5524" s="762"/>
      <c r="AA5524" s="150"/>
      <c r="AB5524" s="150">
        <v>171</v>
      </c>
      <c r="AC5524" s="150">
        <v>3.0000000000000001E-3</v>
      </c>
      <c r="AD5524" s="150">
        <v>14.38</v>
      </c>
      <c r="AE5524" s="150">
        <v>1.173</v>
      </c>
      <c r="AF5524" s="223">
        <f t="shared" si="34"/>
        <v>16.867740000000001</v>
      </c>
      <c r="AG5524" s="223">
        <f t="shared" si="33"/>
        <v>1.1851024500021934</v>
      </c>
      <c r="AH5524" s="346"/>
      <c r="AI5524" s="427"/>
      <c r="AJ5524" s="480"/>
      <c r="AK5524" s="427"/>
      <c r="AU5524" s="218"/>
      <c r="AV5524" s="218"/>
      <c r="AW5524" s="218"/>
      <c r="AX5524" s="218"/>
      <c r="AY5524" s="218"/>
      <c r="AZ5524" s="427"/>
      <c r="BA5524" s="427"/>
      <c r="BB5524" s="427"/>
      <c r="BI5524" s="427"/>
      <c r="BJ5524" s="427"/>
      <c r="BK5524" s="427"/>
      <c r="BL5524" s="427"/>
      <c r="BM5524" s="427"/>
      <c r="BN5524" s="427"/>
      <c r="BO5524" s="427"/>
      <c r="BP5524" s="427"/>
      <c r="BQ5524" s="427"/>
      <c r="BR5524" s="427"/>
      <c r="BS5524" s="427"/>
      <c r="BT5524" s="427"/>
      <c r="BU5524" s="427"/>
      <c r="BV5524" s="427"/>
      <c r="BW5524" s="427"/>
      <c r="BX5524" s="427"/>
      <c r="BY5524" s="427"/>
      <c r="BZ5524" s="427"/>
    </row>
    <row r="5525" spans="2:78" s="152" customFormat="1" x14ac:dyDescent="0.2">
      <c r="B5525" s="683"/>
      <c r="C5525" s="683"/>
      <c r="D5525" s="698"/>
      <c r="E5525" s="215"/>
      <c r="F5525" s="215"/>
      <c r="G5525" s="427"/>
      <c r="H5525" s="427"/>
      <c r="I5525" s="427"/>
      <c r="J5525" s="427"/>
      <c r="K5525" s="427"/>
      <c r="L5525" s="653"/>
      <c r="M5525" s="666"/>
      <c r="N5525" s="600">
        <v>21.58</v>
      </c>
      <c r="O5525" s="608">
        <v>21.373799999999999</v>
      </c>
      <c r="P5525" s="782"/>
      <c r="Q5525" s="764"/>
      <c r="R5525" s="764"/>
      <c r="S5525" s="764"/>
      <c r="T5525" s="764"/>
      <c r="U5525" s="764"/>
      <c r="V5525" s="764"/>
      <c r="W5525" s="764"/>
      <c r="X5525" s="764"/>
      <c r="Y5525" s="768"/>
      <c r="Z5525" s="762"/>
      <c r="AA5525" s="150"/>
      <c r="AB5525" s="150">
        <v>172</v>
      </c>
      <c r="AC5525" s="150">
        <v>3.0999999999999999E-3</v>
      </c>
      <c r="AD5525" s="150">
        <v>14.54</v>
      </c>
      <c r="AE5525" s="150">
        <v>1.2130000000000001</v>
      </c>
      <c r="AF5525" s="223">
        <f t="shared" si="34"/>
        <v>17.63702</v>
      </c>
      <c r="AG5525" s="223">
        <f t="shared" si="33"/>
        <v>1.2235627107073643</v>
      </c>
      <c r="AH5525" s="346"/>
      <c r="AI5525" s="427"/>
      <c r="AJ5525" s="480"/>
      <c r="AK5525" s="427"/>
      <c r="AU5525" s="218"/>
      <c r="AV5525" s="218"/>
      <c r="AW5525" s="218"/>
      <c r="AX5525" s="218"/>
      <c r="AY5525" s="218"/>
      <c r="AZ5525" s="427"/>
      <c r="BA5525" s="427"/>
      <c r="BB5525" s="427"/>
      <c r="BI5525" s="427"/>
      <c r="BJ5525" s="427"/>
      <c r="BK5525" s="427"/>
      <c r="BL5525" s="427"/>
      <c r="BM5525" s="427"/>
      <c r="BN5525" s="427"/>
      <c r="BO5525" s="427"/>
      <c r="BP5525" s="427"/>
      <c r="BQ5525" s="427"/>
      <c r="BR5525" s="427"/>
      <c r="BS5525" s="427"/>
      <c r="BT5525" s="427"/>
      <c r="BU5525" s="427"/>
      <c r="BV5525" s="427"/>
      <c r="BW5525" s="427"/>
      <c r="BX5525" s="427"/>
      <c r="BY5525" s="427"/>
      <c r="BZ5525" s="427"/>
    </row>
    <row r="5526" spans="2:78" s="152" customFormat="1" x14ac:dyDescent="0.2">
      <c r="B5526" s="683"/>
      <c r="C5526" s="683"/>
      <c r="D5526" s="698"/>
      <c r="E5526" s="215"/>
      <c r="F5526" s="215"/>
      <c r="G5526" s="427"/>
      <c r="H5526" s="427"/>
      <c r="I5526" s="427"/>
      <c r="J5526" s="427"/>
      <c r="K5526" s="427"/>
      <c r="L5526" s="653"/>
      <c r="M5526" s="666"/>
      <c r="N5526" s="600">
        <v>19.87</v>
      </c>
      <c r="O5526" s="608">
        <v>1.4769600000000001</v>
      </c>
      <c r="P5526" s="782"/>
      <c r="Q5526" s="764"/>
      <c r="R5526" s="764"/>
      <c r="S5526" s="764"/>
      <c r="T5526" s="764"/>
      <c r="U5526" s="764"/>
      <c r="V5526" s="764"/>
      <c r="W5526" s="764"/>
      <c r="X5526" s="764"/>
      <c r="Y5526" s="768"/>
      <c r="Z5526" s="762"/>
      <c r="AA5526" s="150"/>
      <c r="AB5526" s="150">
        <v>173</v>
      </c>
      <c r="AC5526" s="150">
        <v>3.0000000000000001E-3</v>
      </c>
      <c r="AD5526" s="150">
        <v>14.48</v>
      </c>
      <c r="AE5526" s="150">
        <v>1.17</v>
      </c>
      <c r="AF5526" s="223">
        <f t="shared" si="34"/>
        <v>16.941600000000001</v>
      </c>
      <c r="AG5526" s="223">
        <f t="shared" si="33"/>
        <v>1.1728526231288663</v>
      </c>
      <c r="AH5526" s="346"/>
      <c r="AI5526" s="427"/>
      <c r="AJ5526" s="480"/>
      <c r="AK5526" s="427"/>
      <c r="AU5526" s="218"/>
      <c r="AV5526" s="218"/>
      <c r="AW5526" s="218"/>
      <c r="AX5526" s="218"/>
      <c r="AY5526" s="218"/>
      <c r="AZ5526" s="427"/>
      <c r="BA5526" s="427"/>
      <c r="BB5526" s="427"/>
      <c r="BI5526" s="427"/>
      <c r="BJ5526" s="427"/>
      <c r="BK5526" s="427"/>
      <c r="BL5526" s="427"/>
      <c r="BM5526" s="427"/>
      <c r="BN5526" s="427"/>
      <c r="BO5526" s="427"/>
      <c r="BP5526" s="427"/>
      <c r="BQ5526" s="427"/>
      <c r="BR5526" s="427"/>
      <c r="BS5526" s="427"/>
      <c r="BT5526" s="427"/>
      <c r="BU5526" s="427"/>
      <c r="BV5526" s="427"/>
      <c r="BW5526" s="427"/>
      <c r="BX5526" s="427"/>
      <c r="BY5526" s="427"/>
      <c r="BZ5526" s="427"/>
    </row>
    <row r="5527" spans="2:78" s="152" customFormat="1" x14ac:dyDescent="0.2">
      <c r="B5527" s="683"/>
      <c r="C5527" s="683"/>
      <c r="D5527" s="698"/>
      <c r="E5527" s="215"/>
      <c r="F5527" s="215"/>
      <c r="G5527" s="427"/>
      <c r="H5527" s="427"/>
      <c r="I5527" s="427"/>
      <c r="J5527" s="427"/>
      <c r="K5527" s="427"/>
      <c r="L5527" s="653"/>
      <c r="M5527" s="666"/>
      <c r="N5527" s="600">
        <v>19.399999999999999</v>
      </c>
      <c r="O5527" s="608">
        <v>5.4796000000000005</v>
      </c>
      <c r="P5527" s="782"/>
      <c r="Q5527" s="764"/>
      <c r="R5527" s="764"/>
      <c r="S5527" s="764"/>
      <c r="T5527" s="764"/>
      <c r="U5527" s="764"/>
      <c r="V5527" s="764"/>
      <c r="W5527" s="764"/>
      <c r="X5527" s="764"/>
      <c r="Y5527" s="768"/>
      <c r="Z5527" s="762"/>
      <c r="AA5527" s="150"/>
      <c r="AB5527" s="150">
        <v>174</v>
      </c>
      <c r="AC5527" s="150">
        <v>3.0000000000000001E-3</v>
      </c>
      <c r="AD5527" s="150">
        <v>14.42</v>
      </c>
      <c r="AE5527" s="150">
        <v>1.1579999999999999</v>
      </c>
      <c r="AF5527" s="223">
        <f t="shared" si="34"/>
        <v>16.698359999999997</v>
      </c>
      <c r="AG5527" s="223">
        <f t="shared" si="33"/>
        <v>1.1617907387312287</v>
      </c>
      <c r="AH5527" s="346"/>
      <c r="AI5527" s="427"/>
      <c r="AJ5527" s="480"/>
      <c r="AK5527" s="427"/>
      <c r="AU5527" s="218"/>
      <c r="AV5527" s="218"/>
      <c r="AW5527" s="218"/>
      <c r="AX5527" s="218"/>
      <c r="AY5527" s="218"/>
      <c r="AZ5527" s="427"/>
      <c r="BA5527" s="427"/>
      <c r="BB5527" s="427"/>
      <c r="BI5527" s="427"/>
      <c r="BJ5527" s="427"/>
      <c r="BK5527" s="427"/>
      <c r="BL5527" s="427"/>
      <c r="BM5527" s="427"/>
      <c r="BN5527" s="427"/>
      <c r="BO5527" s="427"/>
      <c r="BP5527" s="427"/>
      <c r="BQ5527" s="427"/>
      <c r="BR5527" s="427"/>
      <c r="BS5527" s="427"/>
      <c r="BT5527" s="427"/>
      <c r="BU5527" s="427"/>
      <c r="BV5527" s="427"/>
      <c r="BW5527" s="427"/>
      <c r="BX5527" s="427"/>
      <c r="BY5527" s="427"/>
      <c r="BZ5527" s="427"/>
    </row>
    <row r="5528" spans="2:78" s="152" customFormat="1" x14ac:dyDescent="0.2">
      <c r="B5528" s="683"/>
      <c r="C5528" s="683"/>
      <c r="D5528" s="698"/>
      <c r="E5528" s="215"/>
      <c r="F5528" s="215"/>
      <c r="G5528" s="427"/>
      <c r="H5528" s="427"/>
      <c r="I5528" s="427"/>
      <c r="J5528" s="427"/>
      <c r="K5528" s="427"/>
      <c r="L5528" s="653"/>
      <c r="M5528" s="666"/>
      <c r="N5528" s="600">
        <v>19.29</v>
      </c>
      <c r="O5528" s="608">
        <v>15.274600000000001</v>
      </c>
      <c r="P5528" s="782"/>
      <c r="Q5528" s="764"/>
      <c r="R5528" s="764"/>
      <c r="S5528" s="764"/>
      <c r="T5528" s="764"/>
      <c r="U5528" s="764"/>
      <c r="V5528" s="764"/>
      <c r="W5528" s="764"/>
      <c r="X5528" s="764"/>
      <c r="Y5528" s="768"/>
      <c r="Z5528" s="762"/>
      <c r="AA5528" s="150"/>
      <c r="AB5528" s="150">
        <v>175</v>
      </c>
      <c r="AC5528" s="150">
        <v>3.0999999999999999E-3</v>
      </c>
      <c r="AD5528" s="150">
        <v>14.41</v>
      </c>
      <c r="AE5528" s="150">
        <v>1.155</v>
      </c>
      <c r="AF5528" s="223">
        <f t="shared" si="34"/>
        <v>16.643550000000001</v>
      </c>
      <c r="AG5528" s="223">
        <f t="shared" si="33"/>
        <v>1.1590075434627827</v>
      </c>
      <c r="AH5528" s="346"/>
      <c r="AI5528" s="427"/>
      <c r="AJ5528" s="480"/>
      <c r="AK5528" s="427"/>
      <c r="AU5528" s="218"/>
      <c r="AV5528" s="218"/>
      <c r="AW5528" s="218"/>
      <c r="AX5528" s="218"/>
      <c r="AY5528" s="218"/>
      <c r="AZ5528" s="427"/>
      <c r="BA5528" s="427"/>
      <c r="BB5528" s="427"/>
      <c r="BI5528" s="427"/>
      <c r="BJ5528" s="427"/>
      <c r="BK5528" s="427"/>
      <c r="BL5528" s="427"/>
      <c r="BM5528" s="427"/>
      <c r="BN5528" s="427"/>
      <c r="BO5528" s="427"/>
      <c r="BP5528" s="427"/>
      <c r="BQ5528" s="427"/>
      <c r="BR5528" s="427"/>
      <c r="BS5528" s="427"/>
      <c r="BT5528" s="427"/>
      <c r="BU5528" s="427"/>
      <c r="BV5528" s="427"/>
      <c r="BW5528" s="427"/>
      <c r="BX5528" s="427"/>
      <c r="BY5528" s="427"/>
      <c r="BZ5528" s="427"/>
    </row>
    <row r="5529" spans="2:78" s="152" customFormat="1" x14ac:dyDescent="0.2">
      <c r="B5529" s="683"/>
      <c r="C5529" s="683"/>
      <c r="D5529" s="698"/>
      <c r="E5529" s="215"/>
      <c r="F5529" s="215"/>
      <c r="G5529" s="427"/>
      <c r="H5529" s="427"/>
      <c r="I5529" s="427"/>
      <c r="J5529" s="427"/>
      <c r="K5529" s="427"/>
      <c r="L5529" s="653"/>
      <c r="M5529" s="666"/>
      <c r="N5529" s="600">
        <v>19.170000000000002</v>
      </c>
      <c r="O5529" s="608">
        <v>18.106199999999998</v>
      </c>
      <c r="P5529" s="782"/>
      <c r="Q5529" s="764"/>
      <c r="R5529" s="764"/>
      <c r="S5529" s="764"/>
      <c r="T5529" s="764"/>
      <c r="U5529" s="764"/>
      <c r="V5529" s="764"/>
      <c r="W5529" s="764"/>
      <c r="X5529" s="764"/>
      <c r="Y5529" s="768"/>
      <c r="Z5529" s="762"/>
      <c r="AA5529" s="150"/>
      <c r="AB5529" s="150">
        <v>176</v>
      </c>
      <c r="AC5529" s="150">
        <v>3.0000000000000001E-3</v>
      </c>
      <c r="AD5529" s="150">
        <v>14.37</v>
      </c>
      <c r="AE5529" s="150">
        <v>1.1519999999999999</v>
      </c>
      <c r="AF5529" s="223">
        <f t="shared" si="34"/>
        <v>16.554239999999997</v>
      </c>
      <c r="AG5529" s="223">
        <f t="shared" si="33"/>
        <v>1.1580114822546976</v>
      </c>
      <c r="AH5529" s="346"/>
      <c r="AI5529" s="427"/>
      <c r="AJ5529" s="480"/>
      <c r="AK5529" s="427"/>
      <c r="AU5529" s="218"/>
      <c r="AV5529" s="218"/>
      <c r="AW5529" s="218"/>
      <c r="AX5529" s="218"/>
      <c r="AY5529" s="218"/>
      <c r="AZ5529" s="427"/>
      <c r="BA5529" s="427"/>
      <c r="BB5529" s="427"/>
      <c r="BI5529" s="427"/>
      <c r="BJ5529" s="427"/>
      <c r="BK5529" s="427"/>
      <c r="BL5529" s="427"/>
      <c r="BM5529" s="427"/>
      <c r="BN5529" s="427"/>
      <c r="BO5529" s="427"/>
      <c r="BP5529" s="427"/>
      <c r="BQ5529" s="427"/>
      <c r="BR5529" s="427"/>
      <c r="BS5529" s="427"/>
      <c r="BT5529" s="427"/>
      <c r="BU5529" s="427"/>
      <c r="BV5529" s="427"/>
      <c r="BW5529" s="427"/>
      <c r="BX5529" s="427"/>
      <c r="BY5529" s="427"/>
      <c r="BZ5529" s="427"/>
    </row>
    <row r="5530" spans="2:78" s="152" customFormat="1" x14ac:dyDescent="0.2">
      <c r="B5530" s="683"/>
      <c r="C5530" s="683"/>
      <c r="D5530" s="698"/>
      <c r="E5530" s="215"/>
      <c r="F5530" s="215"/>
      <c r="G5530" s="427"/>
      <c r="H5530" s="427"/>
      <c r="I5530" s="427"/>
      <c r="J5530" s="427"/>
      <c r="K5530" s="427"/>
      <c r="L5530" s="653"/>
      <c r="M5530" s="666"/>
      <c r="N5530" s="600">
        <v>18.940000000000001</v>
      </c>
      <c r="O5530" s="608">
        <v>19.502400000000002</v>
      </c>
      <c r="P5530" s="782"/>
      <c r="Q5530" s="764"/>
      <c r="R5530" s="764"/>
      <c r="S5530" s="764"/>
      <c r="T5530" s="764"/>
      <c r="U5530" s="764"/>
      <c r="V5530" s="764"/>
      <c r="W5530" s="764"/>
      <c r="X5530" s="764"/>
      <c r="Y5530" s="768"/>
      <c r="Z5530" s="762"/>
      <c r="AA5530" s="150"/>
      <c r="AB5530" s="150">
        <v>177</v>
      </c>
      <c r="AC5530" s="150">
        <v>3.0000000000000001E-3</v>
      </c>
      <c r="AD5530" s="150">
        <v>14.34</v>
      </c>
      <c r="AE5530" s="150">
        <v>1.1459999999999999</v>
      </c>
      <c r="AF5530" s="223">
        <f t="shared" si="34"/>
        <v>16.433639999999997</v>
      </c>
      <c r="AG5530" s="223">
        <f t="shared" si="33"/>
        <v>1.152513989596949</v>
      </c>
      <c r="AH5530" s="346"/>
      <c r="AI5530" s="427"/>
      <c r="AJ5530" s="480"/>
      <c r="AK5530" s="427"/>
      <c r="AU5530" s="218"/>
      <c r="AV5530" s="218"/>
      <c r="AW5530" s="218"/>
      <c r="AX5530" s="218"/>
      <c r="AY5530" s="218"/>
      <c r="AZ5530" s="427"/>
      <c r="BA5530" s="427"/>
      <c r="BB5530" s="427"/>
      <c r="BI5530" s="427"/>
      <c r="BJ5530" s="427"/>
      <c r="BK5530" s="427"/>
      <c r="BL5530" s="427"/>
      <c r="BM5530" s="427"/>
      <c r="BN5530" s="427"/>
      <c r="BO5530" s="427"/>
      <c r="BP5530" s="427"/>
      <c r="BQ5530" s="427"/>
      <c r="BR5530" s="427"/>
      <c r="BS5530" s="427"/>
      <c r="BT5530" s="427"/>
      <c r="BU5530" s="427"/>
      <c r="BV5530" s="427"/>
      <c r="BW5530" s="427"/>
      <c r="BX5530" s="427"/>
      <c r="BY5530" s="427"/>
      <c r="BZ5530" s="427"/>
    </row>
    <row r="5531" spans="2:78" s="152" customFormat="1" x14ac:dyDescent="0.2">
      <c r="B5531" s="683"/>
      <c r="C5531" s="683"/>
      <c r="D5531" s="698"/>
      <c r="E5531" s="215"/>
      <c r="F5531" s="215"/>
      <c r="G5531" s="427"/>
      <c r="H5531" s="427"/>
      <c r="I5531" s="427"/>
      <c r="J5531" s="427"/>
      <c r="K5531" s="427"/>
      <c r="L5531" s="653"/>
      <c r="M5531" s="666"/>
      <c r="N5531" s="600">
        <v>18.940000000000001</v>
      </c>
      <c r="O5531" s="608">
        <v>22.6572</v>
      </c>
      <c r="P5531" s="782"/>
      <c r="Q5531" s="764"/>
      <c r="R5531" s="764"/>
      <c r="S5531" s="764"/>
      <c r="T5531" s="764"/>
      <c r="U5531" s="764"/>
      <c r="V5531" s="764"/>
      <c r="W5531" s="764"/>
      <c r="X5531" s="764"/>
      <c r="Y5531" s="768"/>
      <c r="Z5531" s="762"/>
      <c r="AA5531" s="150"/>
      <c r="AB5531" s="150">
        <v>178</v>
      </c>
      <c r="AC5531" s="150">
        <v>3.0000000000000001E-3</v>
      </c>
      <c r="AD5531" s="150">
        <v>14.34</v>
      </c>
      <c r="AE5531" s="150">
        <v>1.1459999999999999</v>
      </c>
      <c r="AF5531" s="223">
        <f t="shared" si="34"/>
        <v>16.433639999999997</v>
      </c>
      <c r="AG5531" s="223">
        <f t="shared" si="33"/>
        <v>1.152513989596949</v>
      </c>
      <c r="AH5531" s="346"/>
      <c r="AI5531" s="427"/>
      <c r="AJ5531" s="480"/>
      <c r="AK5531" s="427"/>
      <c r="AU5531" s="218"/>
      <c r="AV5531" s="218"/>
      <c r="AW5531" s="218"/>
      <c r="AX5531" s="218"/>
      <c r="AY5531" s="218"/>
      <c r="AZ5531" s="427"/>
      <c r="BA5531" s="427"/>
      <c r="BB5531" s="427"/>
      <c r="BI5531" s="427"/>
      <c r="BJ5531" s="427"/>
      <c r="BK5531" s="427"/>
      <c r="BL5531" s="427"/>
      <c r="BM5531" s="427"/>
      <c r="BN5531" s="427"/>
      <c r="BO5531" s="427"/>
      <c r="BP5531" s="427"/>
      <c r="BQ5531" s="427"/>
      <c r="BR5531" s="427"/>
      <c r="BS5531" s="427"/>
      <c r="BT5531" s="427"/>
      <c r="BU5531" s="427"/>
      <c r="BV5531" s="427"/>
      <c r="BW5531" s="427"/>
      <c r="BX5531" s="427"/>
      <c r="BY5531" s="427"/>
      <c r="BZ5531" s="427"/>
    </row>
    <row r="5532" spans="2:78" s="152" customFormat="1" x14ac:dyDescent="0.2">
      <c r="B5532" s="683"/>
      <c r="C5532" s="683"/>
      <c r="D5532" s="698"/>
      <c r="E5532" s="215"/>
      <c r="F5532" s="215"/>
      <c r="G5532" s="427"/>
      <c r="H5532" s="427"/>
      <c r="I5532" s="427"/>
      <c r="J5532" s="427"/>
      <c r="K5532" s="427"/>
      <c r="L5532" s="653"/>
      <c r="M5532" s="666"/>
      <c r="N5532" s="600">
        <v>18.71</v>
      </c>
      <c r="O5532" s="608">
        <v>9.6592500000000001</v>
      </c>
      <c r="P5532" s="782"/>
      <c r="Q5532" s="764"/>
      <c r="R5532" s="764"/>
      <c r="S5532" s="764"/>
      <c r="T5532" s="764"/>
      <c r="U5532" s="764"/>
      <c r="V5532" s="764"/>
      <c r="W5532" s="764"/>
      <c r="X5532" s="764"/>
      <c r="Y5532" s="768"/>
      <c r="Z5532" s="762"/>
      <c r="AA5532" s="150"/>
      <c r="AB5532" s="150">
        <v>179</v>
      </c>
      <c r="AC5532" s="150">
        <v>3.2000000000000002E-3</v>
      </c>
      <c r="AD5532" s="150">
        <v>14.31</v>
      </c>
      <c r="AE5532" s="150">
        <v>1.1399999999999999</v>
      </c>
      <c r="AF5532" s="223">
        <f t="shared" si="34"/>
        <v>16.313399999999998</v>
      </c>
      <c r="AG5532" s="223">
        <f t="shared" si="33"/>
        <v>1.146909902288916</v>
      </c>
      <c r="AH5532" s="346"/>
      <c r="AI5532" s="427"/>
      <c r="AJ5532" s="480"/>
      <c r="AK5532" s="427"/>
      <c r="AU5532" s="218"/>
      <c r="AV5532" s="218"/>
      <c r="AW5532" s="218"/>
      <c r="AX5532" s="218"/>
      <c r="AY5532" s="218"/>
      <c r="AZ5532" s="427"/>
      <c r="BA5532" s="427"/>
      <c r="BB5532" s="427"/>
      <c r="BI5532" s="427"/>
      <c r="BJ5532" s="427"/>
      <c r="BK5532" s="427"/>
      <c r="BL5532" s="427"/>
      <c r="BM5532" s="427"/>
      <c r="BN5532" s="427"/>
      <c r="BO5532" s="427"/>
      <c r="BP5532" s="427"/>
      <c r="BQ5532" s="427"/>
      <c r="BR5532" s="427"/>
      <c r="BS5532" s="427"/>
      <c r="BT5532" s="427"/>
      <c r="BU5532" s="427"/>
      <c r="BV5532" s="427"/>
      <c r="BW5532" s="427"/>
      <c r="BX5532" s="427"/>
      <c r="BY5532" s="427"/>
      <c r="BZ5532" s="427"/>
    </row>
    <row r="5533" spans="2:78" s="152" customFormat="1" x14ac:dyDescent="0.2">
      <c r="B5533" s="683"/>
      <c r="C5533" s="683"/>
      <c r="D5533" s="698"/>
      <c r="E5533" s="215"/>
      <c r="F5533" s="215"/>
      <c r="G5533" s="427"/>
      <c r="H5533" s="427"/>
      <c r="I5533" s="427"/>
      <c r="J5533" s="427"/>
      <c r="K5533" s="427"/>
      <c r="L5533" s="653"/>
      <c r="M5533" s="666"/>
      <c r="N5533" s="600">
        <v>18.48</v>
      </c>
      <c r="O5533" s="608">
        <v>2.1975799999999999</v>
      </c>
      <c r="P5533" s="782"/>
      <c r="Q5533" s="764"/>
      <c r="R5533" s="764"/>
      <c r="S5533" s="764"/>
      <c r="T5533" s="764"/>
      <c r="U5533" s="764"/>
      <c r="V5533" s="764"/>
      <c r="W5533" s="764"/>
      <c r="X5533" s="764"/>
      <c r="Y5533" s="768"/>
      <c r="Z5533" s="762"/>
      <c r="AA5533" s="150"/>
      <c r="AB5533" s="150">
        <v>180</v>
      </c>
      <c r="AC5533" s="150">
        <v>3.0999999999999999E-3</v>
      </c>
      <c r="AD5533" s="150">
        <v>14.27</v>
      </c>
      <c r="AE5533" s="150">
        <v>1.1339999999999999</v>
      </c>
      <c r="AF5533" s="223">
        <f t="shared" si="34"/>
        <v>16.182179999999999</v>
      </c>
      <c r="AG5533" s="223">
        <f t="shared" si="33"/>
        <v>1.1419969373718499</v>
      </c>
      <c r="AH5533" s="346"/>
      <c r="AI5533" s="427"/>
      <c r="AJ5533" s="480"/>
      <c r="AK5533" s="427"/>
      <c r="AU5533" s="218"/>
      <c r="AV5533" s="218"/>
      <c r="AW5533" s="218"/>
      <c r="AX5533" s="218"/>
      <c r="AY5533" s="218"/>
      <c r="AZ5533" s="427"/>
      <c r="BA5533" s="427"/>
      <c r="BB5533" s="427"/>
      <c r="BI5533" s="427"/>
      <c r="BJ5533" s="427"/>
      <c r="BK5533" s="427"/>
      <c r="BL5533" s="427"/>
      <c r="BM5533" s="427"/>
      <c r="BN5533" s="427"/>
      <c r="BO5533" s="427"/>
      <c r="BP5533" s="427"/>
      <c r="BQ5533" s="427"/>
      <c r="BR5533" s="427"/>
      <c r="BS5533" s="427"/>
      <c r="BT5533" s="427"/>
      <c r="BU5533" s="427"/>
      <c r="BV5533" s="427"/>
      <c r="BW5533" s="427"/>
      <c r="BX5533" s="427"/>
      <c r="BY5533" s="427"/>
      <c r="BZ5533" s="427"/>
    </row>
    <row r="5534" spans="2:78" s="152" customFormat="1" x14ac:dyDescent="0.2">
      <c r="B5534" s="683"/>
      <c r="C5534" s="683"/>
      <c r="D5534" s="698"/>
      <c r="E5534" s="215"/>
      <c r="F5534" s="215"/>
      <c r="G5534" s="427"/>
      <c r="H5534" s="427"/>
      <c r="I5534" s="427"/>
      <c r="J5534" s="427"/>
      <c r="K5534" s="427"/>
      <c r="L5534" s="653"/>
      <c r="M5534" s="666"/>
      <c r="N5534" s="600">
        <v>18.14</v>
      </c>
      <c r="O5534" s="608">
        <v>4.7343200000000003</v>
      </c>
      <c r="P5534" s="782"/>
      <c r="Q5534" s="764"/>
      <c r="R5534" s="764"/>
      <c r="S5534" s="764"/>
      <c r="T5534" s="764"/>
      <c r="U5534" s="764"/>
      <c r="V5534" s="764"/>
      <c r="W5534" s="764"/>
      <c r="X5534" s="764"/>
      <c r="Y5534" s="768"/>
      <c r="Z5534" s="762"/>
      <c r="AA5534" s="150"/>
      <c r="AB5534" s="150">
        <v>181</v>
      </c>
      <c r="AC5534" s="150">
        <v>3.0000000000000001E-3</v>
      </c>
      <c r="AD5534" s="150">
        <v>14.26</v>
      </c>
      <c r="AE5534" s="150">
        <v>1.125</v>
      </c>
      <c r="AF5534" s="223">
        <f t="shared" si="34"/>
        <v>16.0425</v>
      </c>
      <c r="AG5534" s="223">
        <f t="shared" si="33"/>
        <v>1.1307464547296244</v>
      </c>
      <c r="AH5534" s="346"/>
      <c r="AI5534" s="427"/>
      <c r="AJ5534" s="480"/>
      <c r="AK5534" s="427"/>
      <c r="AU5534" s="218"/>
      <c r="AV5534" s="218"/>
      <c r="AW5534" s="218"/>
      <c r="AX5534" s="218"/>
      <c r="AY5534" s="218"/>
      <c r="AZ5534" s="427"/>
      <c r="BA5534" s="427"/>
      <c r="BB5534" s="427"/>
      <c r="BI5534" s="427"/>
      <c r="BJ5534" s="427"/>
      <c r="BK5534" s="427"/>
      <c r="BL5534" s="427"/>
      <c r="BM5534" s="427"/>
      <c r="BN5534" s="427"/>
      <c r="BO5534" s="427"/>
      <c r="BP5534" s="427"/>
      <c r="BQ5534" s="427"/>
      <c r="BR5534" s="427"/>
      <c r="BS5534" s="427"/>
      <c r="BT5534" s="427"/>
      <c r="BU5534" s="427"/>
      <c r="BV5534" s="427"/>
      <c r="BW5534" s="427"/>
      <c r="BX5534" s="427"/>
      <c r="BY5534" s="427"/>
      <c r="BZ5534" s="427"/>
    </row>
    <row r="5535" spans="2:78" s="152" customFormat="1" x14ac:dyDescent="0.2">
      <c r="B5535" s="683"/>
      <c r="C5535" s="683"/>
      <c r="D5535" s="698"/>
      <c r="E5535" s="215"/>
      <c r="F5535" s="215"/>
      <c r="G5535" s="427"/>
      <c r="H5535" s="427"/>
      <c r="I5535" s="427"/>
      <c r="J5535" s="427"/>
      <c r="K5535" s="427"/>
      <c r="L5535" s="653"/>
      <c r="M5535" s="666"/>
      <c r="N5535" s="600">
        <v>18.02</v>
      </c>
      <c r="O5535" s="608">
        <v>5.2366400000000004</v>
      </c>
      <c r="P5535" s="782"/>
      <c r="Q5535" s="764"/>
      <c r="R5535" s="764"/>
      <c r="S5535" s="764"/>
      <c r="T5535" s="764"/>
      <c r="U5535" s="764"/>
      <c r="V5535" s="764"/>
      <c r="W5535" s="764"/>
      <c r="X5535" s="764"/>
      <c r="Y5535" s="768"/>
      <c r="Z5535" s="762"/>
      <c r="AA5535" s="150"/>
      <c r="AB5535" s="150">
        <v>182</v>
      </c>
      <c r="AC5535" s="150">
        <v>3.0999999999999999E-3</v>
      </c>
      <c r="AD5535" s="150">
        <v>14.23</v>
      </c>
      <c r="AE5535" s="150">
        <v>1.1220000000000001</v>
      </c>
      <c r="AF5535" s="223">
        <f t="shared" si="34"/>
        <v>15.966060000000002</v>
      </c>
      <c r="AG5535" s="223">
        <f t="shared" si="33"/>
        <v>1.1286441363742838</v>
      </c>
      <c r="AH5535" s="346"/>
      <c r="AI5535" s="427"/>
      <c r="AJ5535" s="480"/>
      <c r="AK5535" s="427"/>
      <c r="AU5535" s="218"/>
      <c r="AV5535" s="218"/>
      <c r="AW5535" s="218"/>
      <c r="AX5535" s="218"/>
      <c r="AY5535" s="218"/>
      <c r="AZ5535" s="427"/>
      <c r="BA5535" s="427"/>
      <c r="BB5535" s="427"/>
      <c r="BI5535" s="427"/>
      <c r="BJ5535" s="427"/>
      <c r="BK5535" s="427"/>
      <c r="BL5535" s="427"/>
      <c r="BM5535" s="427"/>
      <c r="BN5535" s="427"/>
      <c r="BO5535" s="427"/>
      <c r="BP5535" s="427"/>
      <c r="BQ5535" s="427"/>
      <c r="BR5535" s="427"/>
      <c r="BS5535" s="427"/>
      <c r="BT5535" s="427"/>
      <c r="BU5535" s="427"/>
      <c r="BV5535" s="427"/>
      <c r="BW5535" s="427"/>
      <c r="BX5535" s="427"/>
      <c r="BY5535" s="427"/>
      <c r="BZ5535" s="427"/>
    </row>
    <row r="5536" spans="2:78" s="152" customFormat="1" x14ac:dyDescent="0.2">
      <c r="B5536" s="683"/>
      <c r="C5536" s="683"/>
      <c r="D5536" s="698"/>
      <c r="E5536" s="215"/>
      <c r="F5536" s="215"/>
      <c r="G5536" s="427"/>
      <c r="H5536" s="427"/>
      <c r="I5536" s="427"/>
      <c r="J5536" s="427"/>
      <c r="K5536" s="427"/>
      <c r="L5536" s="653"/>
      <c r="M5536" s="666"/>
      <c r="N5536" s="600">
        <v>17.8</v>
      </c>
      <c r="O5536" s="608">
        <v>7.5028800000000011</v>
      </c>
      <c r="P5536" s="782"/>
      <c r="Q5536" s="764"/>
      <c r="R5536" s="764"/>
      <c r="S5536" s="764"/>
      <c r="T5536" s="764"/>
      <c r="U5536" s="764"/>
      <c r="V5536" s="764"/>
      <c r="W5536" s="764"/>
      <c r="X5536" s="764"/>
      <c r="Y5536" s="768"/>
      <c r="Z5536" s="762"/>
      <c r="AA5536" s="150"/>
      <c r="AB5536" s="150">
        <v>183</v>
      </c>
      <c r="AC5536" s="150">
        <v>3.0000000000000001E-3</v>
      </c>
      <c r="AD5536" s="150">
        <v>14.21</v>
      </c>
      <c r="AE5536" s="150">
        <v>1.1160000000000001</v>
      </c>
      <c r="AF5536" s="223">
        <f t="shared" si="34"/>
        <v>15.858360000000003</v>
      </c>
      <c r="AG5536" s="223">
        <f t="shared" si="33"/>
        <v>1.1224363679472529</v>
      </c>
      <c r="AH5536" s="346"/>
      <c r="AI5536" s="427"/>
      <c r="AJ5536" s="480"/>
      <c r="AK5536" s="427"/>
      <c r="AU5536" s="218"/>
      <c r="AV5536" s="218"/>
      <c r="AW5536" s="218"/>
      <c r="AX5536" s="218"/>
      <c r="AY5536" s="218"/>
      <c r="AZ5536" s="427"/>
      <c r="BA5536" s="427"/>
      <c r="BB5536" s="427"/>
      <c r="BI5536" s="427"/>
      <c r="BJ5536" s="427"/>
      <c r="BK5536" s="427"/>
      <c r="BL5536" s="427"/>
      <c r="BM5536" s="427"/>
      <c r="BN5536" s="427"/>
      <c r="BO5536" s="427"/>
      <c r="BP5536" s="427"/>
      <c r="BQ5536" s="427"/>
      <c r="BR5536" s="427"/>
      <c r="BS5536" s="427"/>
      <c r="BT5536" s="427"/>
      <c r="BU5536" s="427"/>
      <c r="BV5536" s="427"/>
      <c r="BW5536" s="427"/>
      <c r="BX5536" s="427"/>
      <c r="BY5536" s="427"/>
      <c r="BZ5536" s="427"/>
    </row>
    <row r="5537" spans="2:78" s="152" customFormat="1" x14ac:dyDescent="0.2">
      <c r="B5537" s="683"/>
      <c r="C5537" s="683"/>
      <c r="D5537" s="698"/>
      <c r="E5537" s="215"/>
      <c r="F5537" s="215"/>
      <c r="G5537" s="427"/>
      <c r="H5537" s="427"/>
      <c r="I5537" s="427"/>
      <c r="J5537" s="427"/>
      <c r="K5537" s="427"/>
      <c r="L5537" s="653"/>
      <c r="M5537" s="666"/>
      <c r="N5537" s="600">
        <v>17.690000000000001</v>
      </c>
      <c r="O5537" s="608">
        <v>10.188419999999999</v>
      </c>
      <c r="P5537" s="782"/>
      <c r="Q5537" s="764"/>
      <c r="R5537" s="764"/>
      <c r="S5537" s="764"/>
      <c r="T5537" s="764"/>
      <c r="U5537" s="764"/>
      <c r="V5537" s="764"/>
      <c r="W5537" s="764"/>
      <c r="X5537" s="764"/>
      <c r="Y5537" s="768"/>
      <c r="Z5537" s="762"/>
      <c r="AA5537" s="150"/>
      <c r="AB5537" s="150">
        <v>184</v>
      </c>
      <c r="AC5537" s="150">
        <v>3.0000000000000001E-3</v>
      </c>
      <c r="AD5537" s="150">
        <v>14.19</v>
      </c>
      <c r="AE5537" s="150">
        <v>1.113</v>
      </c>
      <c r="AF5537" s="223">
        <f t="shared" si="34"/>
        <v>15.793469999999999</v>
      </c>
      <c r="AG5537" s="223">
        <f t="shared" si="33"/>
        <v>1.1200831736154246</v>
      </c>
      <c r="AH5537" s="346"/>
      <c r="AI5537" s="427"/>
      <c r="AJ5537" s="480"/>
      <c r="AK5537" s="427"/>
      <c r="AU5537" s="218"/>
      <c r="AV5537" s="218"/>
      <c r="AW5537" s="218"/>
      <c r="AX5537" s="218"/>
      <c r="AY5537" s="218"/>
      <c r="AZ5537" s="427"/>
      <c r="BA5537" s="427"/>
      <c r="BB5537" s="427"/>
      <c r="BI5537" s="427"/>
      <c r="BJ5537" s="427"/>
      <c r="BK5537" s="427"/>
      <c r="BL5537" s="427"/>
      <c r="BM5537" s="427"/>
      <c r="BN5537" s="427"/>
      <c r="BO5537" s="427"/>
      <c r="BP5537" s="427"/>
      <c r="BQ5537" s="427"/>
      <c r="BR5537" s="427"/>
      <c r="BS5537" s="427"/>
      <c r="BT5537" s="427"/>
      <c r="BU5537" s="427"/>
      <c r="BV5537" s="427"/>
      <c r="BW5537" s="427"/>
      <c r="BX5537" s="427"/>
      <c r="BY5537" s="427"/>
      <c r="BZ5537" s="427"/>
    </row>
    <row r="5538" spans="2:78" s="152" customFormat="1" x14ac:dyDescent="0.2">
      <c r="B5538" s="683"/>
      <c r="C5538" s="683"/>
      <c r="D5538" s="698"/>
      <c r="E5538" s="215"/>
      <c r="F5538" s="215"/>
      <c r="G5538" s="427"/>
      <c r="H5538" s="427"/>
      <c r="I5538" s="427"/>
      <c r="J5538" s="427"/>
      <c r="K5538" s="427"/>
      <c r="L5538" s="653"/>
      <c r="M5538" s="666"/>
      <c r="N5538" s="600">
        <v>17.579999999999998</v>
      </c>
      <c r="O5538" s="608">
        <v>22.089600000000001</v>
      </c>
      <c r="P5538" s="782"/>
      <c r="Q5538" s="764"/>
      <c r="R5538" s="764"/>
      <c r="S5538" s="764"/>
      <c r="T5538" s="764"/>
      <c r="U5538" s="764"/>
      <c r="V5538" s="764"/>
      <c r="W5538" s="764"/>
      <c r="X5538" s="764"/>
      <c r="Y5538" s="768"/>
      <c r="Z5538" s="762"/>
      <c r="AA5538" s="150"/>
      <c r="AB5538" s="150">
        <v>185</v>
      </c>
      <c r="AC5538" s="150">
        <v>3.0000000000000001E-3</v>
      </c>
      <c r="AD5538" s="150">
        <v>14.16</v>
      </c>
      <c r="AE5538" s="150">
        <v>1.109</v>
      </c>
      <c r="AF5538" s="223">
        <f t="shared" si="34"/>
        <v>15.703440000000001</v>
      </c>
      <c r="AG5538" s="223">
        <f t="shared" si="33"/>
        <v>1.11949993122526</v>
      </c>
      <c r="AH5538" s="346"/>
      <c r="AI5538" s="427"/>
      <c r="AJ5538" s="480"/>
      <c r="AK5538" s="427"/>
      <c r="AU5538" s="218"/>
      <c r="AV5538" s="218"/>
      <c r="AW5538" s="218"/>
      <c r="AX5538" s="218"/>
      <c r="AY5538" s="218"/>
      <c r="AZ5538" s="427"/>
      <c r="BA5538" s="427"/>
      <c r="BB5538" s="427"/>
      <c r="BI5538" s="427"/>
      <c r="BJ5538" s="427"/>
      <c r="BK5538" s="427"/>
      <c r="BL5538" s="427"/>
      <c r="BM5538" s="427"/>
      <c r="BN5538" s="427"/>
      <c r="BO5538" s="427"/>
      <c r="BP5538" s="427"/>
      <c r="BQ5538" s="427"/>
      <c r="BR5538" s="427"/>
      <c r="BS5538" s="427"/>
      <c r="BT5538" s="427"/>
      <c r="BU5538" s="427"/>
      <c r="BV5538" s="427"/>
      <c r="BW5538" s="427"/>
      <c r="BX5538" s="427"/>
      <c r="BY5538" s="427"/>
      <c r="BZ5538" s="427"/>
    </row>
    <row r="5539" spans="2:78" s="152" customFormat="1" x14ac:dyDescent="0.2">
      <c r="B5539" s="683"/>
      <c r="C5539" s="683"/>
      <c r="D5539" s="698"/>
      <c r="E5539" s="215"/>
      <c r="F5539" s="215"/>
      <c r="G5539" s="427"/>
      <c r="H5539" s="427"/>
      <c r="I5539" s="427"/>
      <c r="J5539" s="427"/>
      <c r="K5539" s="427"/>
      <c r="L5539" s="653"/>
      <c r="M5539" s="666"/>
      <c r="N5539" s="600">
        <v>17.36</v>
      </c>
      <c r="O5539" s="608">
        <v>23.064499999999999</v>
      </c>
      <c r="P5539" s="782"/>
      <c r="Q5539" s="764"/>
      <c r="R5539" s="764"/>
      <c r="S5539" s="764"/>
      <c r="T5539" s="764"/>
      <c r="U5539" s="764"/>
      <c r="V5539" s="764"/>
      <c r="W5539" s="764"/>
      <c r="X5539" s="764"/>
      <c r="Y5539" s="768"/>
      <c r="Z5539" s="762"/>
      <c r="AA5539" s="150"/>
      <c r="AB5539" s="150">
        <v>186</v>
      </c>
      <c r="AC5539" s="150">
        <v>3.0000000000000001E-3</v>
      </c>
      <c r="AD5539" s="150">
        <v>14.15</v>
      </c>
      <c r="AE5539" s="150">
        <v>1.103</v>
      </c>
      <c r="AF5539" s="223">
        <f t="shared" si="34"/>
        <v>15.60745</v>
      </c>
      <c r="AG5539" s="223">
        <f t="shared" si="33"/>
        <v>1.1122893233680069</v>
      </c>
      <c r="AH5539" s="346"/>
      <c r="AI5539" s="427"/>
      <c r="AJ5539" s="480"/>
      <c r="AK5539" s="427"/>
      <c r="AU5539" s="218"/>
      <c r="AV5539" s="218"/>
      <c r="AW5539" s="218"/>
      <c r="AX5539" s="218"/>
      <c r="AY5539" s="218"/>
      <c r="AZ5539" s="427"/>
      <c r="BA5539" s="427"/>
      <c r="BB5539" s="427"/>
      <c r="BI5539" s="427"/>
      <c r="BJ5539" s="427"/>
      <c r="BK5539" s="427"/>
      <c r="BL5539" s="427"/>
      <c r="BM5539" s="427"/>
      <c r="BN5539" s="427"/>
      <c r="BO5539" s="427"/>
      <c r="BP5539" s="427"/>
      <c r="BQ5539" s="427"/>
      <c r="BR5539" s="427"/>
      <c r="BS5539" s="427"/>
      <c r="BT5539" s="427"/>
      <c r="BU5539" s="427"/>
      <c r="BV5539" s="427"/>
      <c r="BW5539" s="427"/>
      <c r="BX5539" s="427"/>
      <c r="BY5539" s="427"/>
      <c r="BZ5539" s="427"/>
    </row>
    <row r="5540" spans="2:78" s="152" customFormat="1" x14ac:dyDescent="0.2">
      <c r="B5540" s="683"/>
      <c r="C5540" s="683"/>
      <c r="D5540" s="698"/>
      <c r="E5540" s="215"/>
      <c r="F5540" s="215"/>
      <c r="G5540" s="427"/>
      <c r="H5540" s="427"/>
      <c r="I5540" s="427"/>
      <c r="J5540" s="427"/>
      <c r="K5540" s="427"/>
      <c r="L5540" s="653"/>
      <c r="M5540" s="666"/>
      <c r="N5540" s="600">
        <v>17.36</v>
      </c>
      <c r="O5540" s="608">
        <v>20.220199999999998</v>
      </c>
      <c r="P5540" s="782"/>
      <c r="Q5540" s="764"/>
      <c r="R5540" s="764"/>
      <c r="S5540" s="764"/>
      <c r="T5540" s="764"/>
      <c r="U5540" s="764"/>
      <c r="V5540" s="764"/>
      <c r="W5540" s="764"/>
      <c r="X5540" s="764"/>
      <c r="Y5540" s="768"/>
      <c r="Z5540" s="762"/>
      <c r="AA5540" s="150"/>
      <c r="AB5540" s="150">
        <v>187</v>
      </c>
      <c r="AC5540" s="150">
        <v>3.0000000000000001E-3</v>
      </c>
      <c r="AD5540" s="150">
        <v>14.14</v>
      </c>
      <c r="AE5540" s="150">
        <v>1.103</v>
      </c>
      <c r="AF5540" s="223">
        <f t="shared" si="34"/>
        <v>15.59642</v>
      </c>
      <c r="AG5540" s="223">
        <f t="shared" si="33"/>
        <v>1.1130759494807141</v>
      </c>
      <c r="AH5540" s="346"/>
      <c r="AI5540" s="427"/>
      <c r="AJ5540" s="480"/>
      <c r="AK5540" s="427"/>
      <c r="AU5540" s="218"/>
      <c r="AV5540" s="218"/>
      <c r="AW5540" s="218"/>
      <c r="AX5540" s="218"/>
      <c r="AY5540" s="218"/>
      <c r="AZ5540" s="427"/>
      <c r="BA5540" s="427"/>
      <c r="BB5540" s="427"/>
      <c r="BI5540" s="427"/>
      <c r="BJ5540" s="427"/>
      <c r="BK5540" s="427"/>
      <c r="BL5540" s="427"/>
      <c r="BM5540" s="427"/>
      <c r="BN5540" s="427"/>
      <c r="BO5540" s="427"/>
      <c r="BP5540" s="427"/>
      <c r="BQ5540" s="427"/>
      <c r="BR5540" s="427"/>
      <c r="BS5540" s="427"/>
      <c r="BT5540" s="427"/>
      <c r="BU5540" s="427"/>
      <c r="BV5540" s="427"/>
      <c r="BW5540" s="427"/>
      <c r="BX5540" s="427"/>
      <c r="BY5540" s="427"/>
      <c r="BZ5540" s="427"/>
    </row>
    <row r="5541" spans="2:78" s="152" customFormat="1" x14ac:dyDescent="0.2">
      <c r="B5541" s="683"/>
      <c r="C5541" s="683"/>
      <c r="D5541" s="698"/>
      <c r="E5541" s="215"/>
      <c r="F5541" s="215"/>
      <c r="G5541" s="427"/>
      <c r="H5541" s="427"/>
      <c r="I5541" s="427"/>
      <c r="J5541" s="427"/>
      <c r="K5541" s="427"/>
      <c r="L5541" s="653"/>
      <c r="M5541" s="666"/>
      <c r="N5541" s="600">
        <v>17.36</v>
      </c>
      <c r="O5541" s="608">
        <v>28.7042</v>
      </c>
      <c r="P5541" s="782"/>
      <c r="Q5541" s="764"/>
      <c r="R5541" s="764"/>
      <c r="S5541" s="764"/>
      <c r="T5541" s="764"/>
      <c r="U5541" s="764"/>
      <c r="V5541" s="764"/>
      <c r="W5541" s="764"/>
      <c r="X5541" s="764"/>
      <c r="Y5541" s="768"/>
      <c r="Z5541" s="762"/>
      <c r="AA5541" s="150"/>
      <c r="AB5541" s="150">
        <v>188</v>
      </c>
      <c r="AC5541" s="150">
        <v>3.0000000000000001E-3</v>
      </c>
      <c r="AD5541" s="150">
        <v>14.14</v>
      </c>
      <c r="AE5541" s="150">
        <v>1.103</v>
      </c>
      <c r="AF5541" s="223">
        <f t="shared" si="34"/>
        <v>15.59642</v>
      </c>
      <c r="AG5541" s="223">
        <f t="shared" si="33"/>
        <v>1.1130759494807141</v>
      </c>
      <c r="AH5541" s="346"/>
      <c r="AI5541" s="427"/>
      <c r="AJ5541" s="480"/>
      <c r="AK5541" s="427"/>
      <c r="AU5541" s="218"/>
      <c r="AV5541" s="218"/>
      <c r="AW5541" s="218"/>
      <c r="AX5541" s="218"/>
      <c r="AY5541" s="218"/>
      <c r="AZ5541" s="427"/>
      <c r="BA5541" s="427"/>
      <c r="BB5541" s="427"/>
      <c r="BI5541" s="427"/>
      <c r="BJ5541" s="427"/>
      <c r="BK5541" s="427"/>
      <c r="BL5541" s="427"/>
      <c r="BM5541" s="427"/>
      <c r="BN5541" s="427"/>
      <c r="BO5541" s="427"/>
      <c r="BP5541" s="427"/>
      <c r="BQ5541" s="427"/>
      <c r="BR5541" s="427"/>
      <c r="BS5541" s="427"/>
      <c r="BT5541" s="427"/>
      <c r="BU5541" s="427"/>
      <c r="BV5541" s="427"/>
      <c r="BW5541" s="427"/>
      <c r="BX5541" s="427"/>
      <c r="BY5541" s="427"/>
      <c r="BZ5541" s="427"/>
    </row>
    <row r="5542" spans="2:78" s="152" customFormat="1" x14ac:dyDescent="0.2">
      <c r="B5542" s="683"/>
      <c r="C5542" s="683"/>
      <c r="D5542" s="698"/>
      <c r="E5542" s="215"/>
      <c r="F5542" s="215"/>
      <c r="G5542" s="427"/>
      <c r="H5542" s="427"/>
      <c r="I5542" s="427"/>
      <c r="J5542" s="427"/>
      <c r="K5542" s="427"/>
      <c r="L5542" s="653"/>
      <c r="M5542" s="666"/>
      <c r="N5542" s="600">
        <v>17.36</v>
      </c>
      <c r="O5542" s="608">
        <v>23.189599999999999</v>
      </c>
      <c r="P5542" s="782"/>
      <c r="Q5542" s="764"/>
      <c r="R5542" s="764"/>
      <c r="S5542" s="764"/>
      <c r="T5542" s="764"/>
      <c r="U5542" s="764"/>
      <c r="V5542" s="764"/>
      <c r="W5542" s="764"/>
      <c r="X5542" s="764"/>
      <c r="Y5542" s="768"/>
      <c r="Z5542" s="762"/>
      <c r="AA5542" s="150"/>
      <c r="AB5542" s="150">
        <v>189</v>
      </c>
      <c r="AC5542" s="150">
        <v>3.0000000000000001E-3</v>
      </c>
      <c r="AD5542" s="150">
        <v>14.14</v>
      </c>
      <c r="AE5542" s="150">
        <v>1.103</v>
      </c>
      <c r="AF5542" s="223">
        <f t="shared" si="34"/>
        <v>15.59642</v>
      </c>
      <c r="AG5542" s="223">
        <f t="shared" si="33"/>
        <v>1.1130759494807141</v>
      </c>
      <c r="AH5542" s="346"/>
      <c r="AI5542" s="427"/>
      <c r="AJ5542" s="480"/>
      <c r="AK5542" s="427"/>
      <c r="AU5542" s="218"/>
      <c r="AV5542" s="218"/>
      <c r="AW5542" s="218"/>
      <c r="AX5542" s="218"/>
      <c r="AY5542" s="218"/>
      <c r="AZ5542" s="427"/>
      <c r="BA5542" s="427"/>
      <c r="BB5542" s="427"/>
      <c r="BI5542" s="427"/>
      <c r="BJ5542" s="427"/>
      <c r="BK5542" s="427"/>
      <c r="BL5542" s="427"/>
      <c r="BM5542" s="427"/>
      <c r="BN5542" s="427"/>
      <c r="BO5542" s="427"/>
      <c r="BP5542" s="427"/>
      <c r="BQ5542" s="427"/>
      <c r="BR5542" s="427"/>
      <c r="BS5542" s="427"/>
      <c r="BT5542" s="427"/>
      <c r="BU5542" s="427"/>
      <c r="BV5542" s="427"/>
      <c r="BW5542" s="427"/>
      <c r="BX5542" s="427"/>
      <c r="BY5542" s="427"/>
      <c r="BZ5542" s="427"/>
    </row>
    <row r="5543" spans="2:78" s="152" customFormat="1" x14ac:dyDescent="0.2">
      <c r="B5543" s="683"/>
      <c r="C5543" s="683"/>
      <c r="D5543" s="698"/>
      <c r="E5543" s="215"/>
      <c r="F5543" s="215"/>
      <c r="G5543" s="427"/>
      <c r="H5543" s="427"/>
      <c r="I5543" s="427"/>
      <c r="J5543" s="427"/>
      <c r="K5543" s="427"/>
      <c r="L5543" s="653"/>
      <c r="M5543" s="666"/>
      <c r="N5543" s="600">
        <v>17.36</v>
      </c>
      <c r="O5543" s="608">
        <v>31.064</v>
      </c>
      <c r="P5543" s="782"/>
      <c r="Q5543" s="764"/>
      <c r="R5543" s="764"/>
      <c r="S5543" s="764"/>
      <c r="T5543" s="764"/>
      <c r="U5543" s="764"/>
      <c r="V5543" s="764"/>
      <c r="W5543" s="764"/>
      <c r="X5543" s="764"/>
      <c r="Y5543" s="768"/>
      <c r="Z5543" s="762"/>
      <c r="AA5543" s="150"/>
      <c r="AB5543" s="150">
        <v>190</v>
      </c>
      <c r="AC5543" s="150">
        <v>3.0999999999999999E-3</v>
      </c>
      <c r="AD5543" s="150">
        <v>14.12</v>
      </c>
      <c r="AE5543" s="150">
        <v>1.103</v>
      </c>
      <c r="AF5543" s="223">
        <f t="shared" si="34"/>
        <v>15.574359999999999</v>
      </c>
      <c r="AG5543" s="223">
        <f t="shared" si="33"/>
        <v>1.114652544310007</v>
      </c>
      <c r="AH5543" s="346"/>
      <c r="AI5543" s="427"/>
      <c r="AJ5543" s="480"/>
      <c r="AK5543" s="427"/>
      <c r="AU5543" s="218"/>
      <c r="AV5543" s="218"/>
      <c r="AW5543" s="218"/>
      <c r="AX5543" s="218"/>
      <c r="AY5543" s="218"/>
      <c r="AZ5543" s="427"/>
      <c r="BA5543" s="427"/>
      <c r="BB5543" s="427"/>
      <c r="BI5543" s="427"/>
      <c r="BJ5543" s="427"/>
      <c r="BK5543" s="427"/>
      <c r="BL5543" s="427"/>
      <c r="BM5543" s="427"/>
      <c r="BN5543" s="427"/>
      <c r="BO5543" s="427"/>
      <c r="BP5543" s="427"/>
      <c r="BQ5543" s="427"/>
      <c r="BR5543" s="427"/>
      <c r="BS5543" s="427"/>
      <c r="BT5543" s="427"/>
      <c r="BU5543" s="427"/>
      <c r="BV5543" s="427"/>
      <c r="BW5543" s="427"/>
      <c r="BX5543" s="427"/>
      <c r="BY5543" s="427"/>
      <c r="BZ5543" s="427"/>
    </row>
    <row r="5544" spans="2:78" s="152" customFormat="1" x14ac:dyDescent="0.2">
      <c r="B5544" s="683"/>
      <c r="C5544" s="683"/>
      <c r="D5544" s="698"/>
      <c r="E5544" s="215"/>
      <c r="F5544" s="215"/>
      <c r="G5544" s="427"/>
      <c r="H5544" s="427"/>
      <c r="I5544" s="427"/>
      <c r="J5544" s="427"/>
      <c r="K5544" s="427"/>
      <c r="L5544" s="653"/>
      <c r="M5544" s="666"/>
      <c r="N5544" s="600">
        <v>17.36</v>
      </c>
      <c r="O5544" s="608">
        <v>42.077599999999997</v>
      </c>
      <c r="P5544" s="782"/>
      <c r="Q5544" s="764"/>
      <c r="R5544" s="764"/>
      <c r="S5544" s="764"/>
      <c r="T5544" s="764"/>
      <c r="U5544" s="764"/>
      <c r="V5544" s="764"/>
      <c r="W5544" s="764"/>
      <c r="X5544" s="764"/>
      <c r="Y5544" s="768"/>
      <c r="Z5544" s="762"/>
      <c r="AA5544" s="150"/>
      <c r="AB5544" s="150">
        <v>191</v>
      </c>
      <c r="AC5544" s="150">
        <v>3.0999999999999999E-3</v>
      </c>
      <c r="AD5544" s="150">
        <v>14.12</v>
      </c>
      <c r="AE5544" s="150">
        <v>1.103</v>
      </c>
      <c r="AF5544" s="223">
        <f t="shared" si="34"/>
        <v>15.574359999999999</v>
      </c>
      <c r="AG5544" s="223">
        <f t="shared" si="33"/>
        <v>1.114652544310007</v>
      </c>
      <c r="AH5544" s="346"/>
      <c r="AI5544" s="427"/>
      <c r="AJ5544" s="480"/>
      <c r="AK5544" s="427"/>
      <c r="AU5544" s="218"/>
      <c r="AV5544" s="218"/>
      <c r="AW5544" s="218"/>
      <c r="AX5544" s="218"/>
      <c r="AY5544" s="218"/>
      <c r="AZ5544" s="427"/>
      <c r="BA5544" s="427"/>
      <c r="BB5544" s="427"/>
      <c r="BI5544" s="427"/>
      <c r="BJ5544" s="427"/>
      <c r="BK5544" s="427"/>
      <c r="BL5544" s="427"/>
      <c r="BM5544" s="427"/>
      <c r="BN5544" s="427"/>
      <c r="BO5544" s="427"/>
      <c r="BP5544" s="427"/>
      <c r="BQ5544" s="427"/>
      <c r="BR5544" s="427"/>
      <c r="BS5544" s="427"/>
      <c r="BT5544" s="427"/>
      <c r="BU5544" s="427"/>
      <c r="BV5544" s="427"/>
      <c r="BW5544" s="427"/>
      <c r="BX5544" s="427"/>
      <c r="BY5544" s="427"/>
      <c r="BZ5544" s="427"/>
    </row>
    <row r="5545" spans="2:78" s="152" customFormat="1" x14ac:dyDescent="0.2">
      <c r="B5545" s="683"/>
      <c r="C5545" s="683"/>
      <c r="D5545" s="698"/>
      <c r="E5545" s="215"/>
      <c r="F5545" s="215"/>
      <c r="G5545" s="427"/>
      <c r="H5545" s="427"/>
      <c r="I5545" s="427"/>
      <c r="J5545" s="427"/>
      <c r="K5545" s="427"/>
      <c r="L5545" s="653"/>
      <c r="M5545" s="666"/>
      <c r="N5545" s="600">
        <v>17.47</v>
      </c>
      <c r="O5545" s="608">
        <v>35.748899999999999</v>
      </c>
      <c r="P5545" s="782"/>
      <c r="Q5545" s="764"/>
      <c r="R5545" s="764"/>
      <c r="S5545" s="764"/>
      <c r="T5545" s="764"/>
      <c r="U5545" s="764"/>
      <c r="V5545" s="764"/>
      <c r="W5545" s="764"/>
      <c r="X5545" s="764"/>
      <c r="Y5545" s="768"/>
      <c r="Z5545" s="762"/>
      <c r="AA5545" s="150"/>
      <c r="AB5545" s="150">
        <v>192</v>
      </c>
      <c r="AC5545" s="150">
        <v>3.0000000000000001E-3</v>
      </c>
      <c r="AD5545" s="150">
        <v>14.13</v>
      </c>
      <c r="AE5545" s="150">
        <v>1.1060000000000001</v>
      </c>
      <c r="AF5545" s="223">
        <f t="shared" si="34"/>
        <v>15.627780000000001</v>
      </c>
      <c r="AG5545" s="223">
        <f t="shared" si="33"/>
        <v>1.1178811065935148</v>
      </c>
      <c r="AH5545" s="346"/>
      <c r="AI5545" s="427"/>
      <c r="AJ5545" s="480"/>
      <c r="AK5545" s="427"/>
      <c r="AU5545" s="218"/>
      <c r="AV5545" s="218"/>
      <c r="AW5545" s="218"/>
      <c r="AX5545" s="218"/>
      <c r="AY5545" s="218"/>
      <c r="AZ5545" s="427"/>
      <c r="BA5545" s="427"/>
      <c r="BB5545" s="427"/>
      <c r="BI5545" s="427"/>
      <c r="BJ5545" s="427"/>
      <c r="BK5545" s="427"/>
      <c r="BL5545" s="427"/>
      <c r="BM5545" s="427"/>
      <c r="BN5545" s="427"/>
      <c r="BO5545" s="427"/>
      <c r="BP5545" s="427"/>
      <c r="BQ5545" s="427"/>
      <c r="BR5545" s="427"/>
      <c r="BS5545" s="427"/>
      <c r="BT5545" s="427"/>
      <c r="BU5545" s="427"/>
      <c r="BV5545" s="427"/>
      <c r="BW5545" s="427"/>
      <c r="BX5545" s="427"/>
      <c r="BY5545" s="427"/>
      <c r="BZ5545" s="427"/>
    </row>
    <row r="5546" spans="2:78" s="152" customFormat="1" x14ac:dyDescent="0.2">
      <c r="B5546" s="683"/>
      <c r="C5546" s="683"/>
      <c r="D5546" s="698"/>
      <c r="E5546" s="215"/>
      <c r="F5546" s="215"/>
      <c r="G5546" s="427"/>
      <c r="H5546" s="427"/>
      <c r="I5546" s="427"/>
      <c r="J5546" s="427"/>
      <c r="K5546" s="427"/>
      <c r="L5546" s="653"/>
      <c r="M5546" s="666"/>
      <c r="N5546" s="600">
        <v>17.47</v>
      </c>
      <c r="O5546" s="608">
        <v>32.1205</v>
      </c>
      <c r="P5546" s="782"/>
      <c r="Q5546" s="764"/>
      <c r="R5546" s="764"/>
      <c r="S5546" s="764"/>
      <c r="T5546" s="764"/>
      <c r="U5546" s="764"/>
      <c r="V5546" s="764"/>
      <c r="W5546" s="764"/>
      <c r="X5546" s="764"/>
      <c r="Y5546" s="768"/>
      <c r="Z5546" s="762"/>
      <c r="AA5546" s="150"/>
      <c r="AB5546" s="150">
        <v>193</v>
      </c>
      <c r="AC5546" s="150">
        <v>3.0000000000000001E-3</v>
      </c>
      <c r="AD5546" s="150">
        <v>14.15</v>
      </c>
      <c r="AE5546" s="150">
        <v>1.1060000000000001</v>
      </c>
      <c r="AF5546" s="223">
        <f t="shared" si="34"/>
        <v>15.649900000000002</v>
      </c>
      <c r="AG5546" s="223">
        <f t="shared" ref="AG5546:AG5609" si="35">N5546/AF5546</f>
        <v>1.1163010626265981</v>
      </c>
      <c r="AH5546" s="346"/>
      <c r="AI5546" s="427"/>
      <c r="AJ5546" s="480"/>
      <c r="AK5546" s="427"/>
      <c r="AU5546" s="218"/>
      <c r="AV5546" s="218"/>
      <c r="AW5546" s="218"/>
      <c r="AX5546" s="218"/>
      <c r="AY5546" s="218"/>
      <c r="AZ5546" s="427"/>
      <c r="BA5546" s="427"/>
      <c r="BB5546" s="427"/>
      <c r="BI5546" s="427"/>
      <c r="BJ5546" s="427"/>
      <c r="BK5546" s="427"/>
      <c r="BL5546" s="427"/>
      <c r="BM5546" s="427"/>
      <c r="BN5546" s="427"/>
      <c r="BO5546" s="427"/>
      <c r="BP5546" s="427"/>
      <c r="BQ5546" s="427"/>
      <c r="BR5546" s="427"/>
      <c r="BS5546" s="427"/>
      <c r="BT5546" s="427"/>
      <c r="BU5546" s="427"/>
      <c r="BV5546" s="427"/>
      <c r="BW5546" s="427"/>
      <c r="BX5546" s="427"/>
      <c r="BY5546" s="427"/>
      <c r="BZ5546" s="427"/>
    </row>
    <row r="5547" spans="2:78" s="152" customFormat="1" x14ac:dyDescent="0.2">
      <c r="B5547" s="683"/>
      <c r="C5547" s="683"/>
      <c r="D5547" s="698"/>
      <c r="E5547" s="215"/>
      <c r="F5547" s="215"/>
      <c r="G5547" s="427"/>
      <c r="H5547" s="427"/>
      <c r="I5547" s="427"/>
      <c r="J5547" s="427"/>
      <c r="K5547" s="427"/>
      <c r="L5547" s="653"/>
      <c r="M5547" s="666"/>
      <c r="N5547" s="600">
        <v>17.690000000000001</v>
      </c>
      <c r="O5547" s="608">
        <v>24.745000000000001</v>
      </c>
      <c r="P5547" s="782"/>
      <c r="Q5547" s="764"/>
      <c r="R5547" s="764"/>
      <c r="S5547" s="764"/>
      <c r="T5547" s="764"/>
      <c r="U5547" s="764"/>
      <c r="V5547" s="764"/>
      <c r="W5547" s="764"/>
      <c r="X5547" s="764"/>
      <c r="Y5547" s="768"/>
      <c r="Z5547" s="762"/>
      <c r="AA5547" s="150"/>
      <c r="AB5547" s="150">
        <v>194</v>
      </c>
      <c r="AC5547" s="150">
        <v>3.0000000000000001E-3</v>
      </c>
      <c r="AD5547" s="150">
        <v>14.14</v>
      </c>
      <c r="AE5547" s="150">
        <v>1.113</v>
      </c>
      <c r="AF5547" s="223">
        <f t="shared" ref="AF5547:AF5610" si="36">AE5547*AD5547</f>
        <v>15.737820000000001</v>
      </c>
      <c r="AG5547" s="223">
        <f t="shared" si="35"/>
        <v>1.1240438637625796</v>
      </c>
      <c r="AH5547" s="346"/>
      <c r="AI5547" s="427"/>
      <c r="AJ5547" s="480"/>
      <c r="AK5547" s="427"/>
      <c r="AU5547" s="218"/>
      <c r="AV5547" s="218"/>
      <c r="AW5547" s="218"/>
      <c r="AX5547" s="218"/>
      <c r="AY5547" s="218"/>
      <c r="AZ5547" s="427"/>
      <c r="BA5547" s="427"/>
      <c r="BB5547" s="427"/>
      <c r="BI5547" s="427"/>
      <c r="BJ5547" s="427"/>
      <c r="BK5547" s="427"/>
      <c r="BL5547" s="427"/>
      <c r="BM5547" s="427"/>
      <c r="BN5547" s="427"/>
      <c r="BO5547" s="427"/>
      <c r="BP5547" s="427"/>
      <c r="BQ5547" s="427"/>
      <c r="BR5547" s="427"/>
      <c r="BS5547" s="427"/>
      <c r="BT5547" s="427"/>
      <c r="BU5547" s="427"/>
      <c r="BV5547" s="427"/>
      <c r="BW5547" s="427"/>
      <c r="BX5547" s="427"/>
      <c r="BY5547" s="427"/>
      <c r="BZ5547" s="427"/>
    </row>
    <row r="5548" spans="2:78" s="152" customFormat="1" x14ac:dyDescent="0.2">
      <c r="B5548" s="683"/>
      <c r="C5548" s="683"/>
      <c r="D5548" s="698"/>
      <c r="E5548" s="215"/>
      <c r="F5548" s="215"/>
      <c r="G5548" s="427"/>
      <c r="H5548" s="427"/>
      <c r="I5548" s="427"/>
      <c r="J5548" s="427"/>
      <c r="K5548" s="427"/>
      <c r="L5548" s="653"/>
      <c r="M5548" s="666"/>
      <c r="N5548" s="600">
        <v>17.47</v>
      </c>
      <c r="O5548" s="608">
        <v>18.664800000000003</v>
      </c>
      <c r="P5548" s="782"/>
      <c r="Q5548" s="764"/>
      <c r="R5548" s="764"/>
      <c r="S5548" s="764"/>
      <c r="T5548" s="764"/>
      <c r="U5548" s="764"/>
      <c r="V5548" s="764"/>
      <c r="W5548" s="764"/>
      <c r="X5548" s="764"/>
      <c r="Y5548" s="768"/>
      <c r="Z5548" s="762"/>
      <c r="AA5548" s="150"/>
      <c r="AB5548" s="150">
        <v>195</v>
      </c>
      <c r="AC5548" s="150">
        <v>3.0999999999999999E-3</v>
      </c>
      <c r="AD5548" s="150">
        <v>14.14</v>
      </c>
      <c r="AE5548" s="150">
        <v>1.1060000000000001</v>
      </c>
      <c r="AF5548" s="223">
        <f t="shared" si="36"/>
        <v>15.638840000000002</v>
      </c>
      <c r="AG5548" s="223">
        <f t="shared" si="35"/>
        <v>1.1170905258957824</v>
      </c>
      <c r="AH5548" s="346"/>
      <c r="AI5548" s="427"/>
      <c r="AJ5548" s="480"/>
      <c r="AK5548" s="427"/>
      <c r="AU5548" s="218"/>
      <c r="AV5548" s="218"/>
      <c r="AW5548" s="218"/>
      <c r="AX5548" s="218"/>
      <c r="AY5548" s="218"/>
      <c r="AZ5548" s="427"/>
      <c r="BA5548" s="427"/>
      <c r="BB5548" s="427"/>
      <c r="BI5548" s="427"/>
      <c r="BJ5548" s="427"/>
      <c r="BK5548" s="427"/>
      <c r="BL5548" s="427"/>
      <c r="BM5548" s="427"/>
      <c r="BN5548" s="427"/>
      <c r="BO5548" s="427"/>
      <c r="BP5548" s="427"/>
      <c r="BQ5548" s="427"/>
      <c r="BR5548" s="427"/>
      <c r="BS5548" s="427"/>
      <c r="BT5548" s="427"/>
      <c r="BU5548" s="427"/>
      <c r="BV5548" s="427"/>
      <c r="BW5548" s="427"/>
      <c r="BX5548" s="427"/>
      <c r="BY5548" s="427"/>
      <c r="BZ5548" s="427"/>
    </row>
    <row r="5549" spans="2:78" s="152" customFormat="1" x14ac:dyDescent="0.2">
      <c r="B5549" s="683"/>
      <c r="C5549" s="683"/>
      <c r="D5549" s="698"/>
      <c r="E5549" s="215"/>
      <c r="F5549" s="215"/>
      <c r="G5549" s="427"/>
      <c r="H5549" s="427"/>
      <c r="I5549" s="427"/>
      <c r="J5549" s="427"/>
      <c r="K5549" s="427"/>
      <c r="L5549" s="653"/>
      <c r="M5549" s="666"/>
      <c r="N5549" s="600">
        <v>17.579999999999998</v>
      </c>
      <c r="O5549" s="608">
        <v>18.961000000000002</v>
      </c>
      <c r="P5549" s="782"/>
      <c r="Q5549" s="764"/>
      <c r="R5549" s="764"/>
      <c r="S5549" s="764"/>
      <c r="T5549" s="764"/>
      <c r="U5549" s="764"/>
      <c r="V5549" s="764"/>
      <c r="W5549" s="764"/>
      <c r="X5549" s="764"/>
      <c r="Y5549" s="768"/>
      <c r="Z5549" s="762"/>
      <c r="AA5549" s="150"/>
      <c r="AB5549" s="150">
        <v>196</v>
      </c>
      <c r="AC5549" s="150">
        <v>3.0999999999999999E-3</v>
      </c>
      <c r="AD5549" s="150">
        <v>14.15</v>
      </c>
      <c r="AE5549" s="150">
        <v>1.109</v>
      </c>
      <c r="AF5549" s="223">
        <f t="shared" si="36"/>
        <v>15.692349999999999</v>
      </c>
      <c r="AG5549" s="223">
        <f t="shared" si="35"/>
        <v>1.1202910972543947</v>
      </c>
      <c r="AH5549" s="346"/>
      <c r="AI5549" s="427"/>
      <c r="AJ5549" s="480"/>
      <c r="AK5549" s="427"/>
      <c r="AU5549" s="218"/>
      <c r="AV5549" s="218"/>
      <c r="AW5549" s="218"/>
      <c r="AX5549" s="218"/>
      <c r="AY5549" s="218"/>
      <c r="AZ5549" s="427"/>
      <c r="BA5549" s="427"/>
      <c r="BB5549" s="427"/>
      <c r="BI5549" s="427"/>
      <c r="BJ5549" s="427"/>
      <c r="BK5549" s="427"/>
      <c r="BL5549" s="427"/>
      <c r="BM5549" s="427"/>
      <c r="BN5549" s="427"/>
      <c r="BO5549" s="427"/>
      <c r="BP5549" s="427"/>
      <c r="BQ5549" s="427"/>
      <c r="BR5549" s="427"/>
      <c r="BS5549" s="427"/>
      <c r="BT5549" s="427"/>
      <c r="BU5549" s="427"/>
      <c r="BV5549" s="427"/>
      <c r="BW5549" s="427"/>
      <c r="BX5549" s="427"/>
      <c r="BY5549" s="427"/>
      <c r="BZ5549" s="427"/>
    </row>
    <row r="5550" spans="2:78" s="152" customFormat="1" x14ac:dyDescent="0.2">
      <c r="B5550" s="683"/>
      <c r="C5550" s="683"/>
      <c r="D5550" s="698"/>
      <c r="E5550" s="215"/>
      <c r="F5550" s="215"/>
      <c r="G5550" s="427"/>
      <c r="H5550" s="427"/>
      <c r="I5550" s="427"/>
      <c r="J5550" s="427"/>
      <c r="K5550" s="427"/>
      <c r="L5550" s="653"/>
      <c r="M5550" s="666"/>
      <c r="N5550" s="600">
        <v>17.579999999999998</v>
      </c>
      <c r="O5550" s="608">
        <v>12.268050000000001</v>
      </c>
      <c r="P5550" s="782"/>
      <c r="Q5550" s="764"/>
      <c r="R5550" s="764"/>
      <c r="S5550" s="764"/>
      <c r="T5550" s="764"/>
      <c r="U5550" s="764"/>
      <c r="V5550" s="764"/>
      <c r="W5550" s="764"/>
      <c r="X5550" s="764"/>
      <c r="Y5550" s="768"/>
      <c r="Z5550" s="762"/>
      <c r="AA5550" s="150"/>
      <c r="AB5550" s="150">
        <v>197</v>
      </c>
      <c r="AC5550" s="150">
        <v>3.0999999999999999E-3</v>
      </c>
      <c r="AD5550" s="150">
        <v>14.15</v>
      </c>
      <c r="AE5550" s="150">
        <v>1.109</v>
      </c>
      <c r="AF5550" s="223">
        <f t="shared" si="36"/>
        <v>15.692349999999999</v>
      </c>
      <c r="AG5550" s="223">
        <f t="shared" si="35"/>
        <v>1.1202910972543947</v>
      </c>
      <c r="AH5550" s="346"/>
      <c r="AI5550" s="427"/>
      <c r="AJ5550" s="480"/>
      <c r="AK5550" s="427"/>
      <c r="AU5550" s="218"/>
      <c r="AV5550" s="218"/>
      <c r="AW5550" s="218"/>
      <c r="AX5550" s="218"/>
      <c r="AY5550" s="218"/>
      <c r="AZ5550" s="427"/>
      <c r="BA5550" s="427"/>
      <c r="BB5550" s="427"/>
      <c r="BI5550" s="427"/>
      <c r="BJ5550" s="427"/>
      <c r="BK5550" s="427"/>
      <c r="BL5550" s="427"/>
      <c r="BM5550" s="427"/>
      <c r="BN5550" s="427"/>
      <c r="BO5550" s="427"/>
      <c r="BP5550" s="427"/>
      <c r="BQ5550" s="427"/>
      <c r="BR5550" s="427"/>
      <c r="BS5550" s="427"/>
      <c r="BT5550" s="427"/>
      <c r="BU5550" s="427"/>
      <c r="BV5550" s="427"/>
      <c r="BW5550" s="427"/>
      <c r="BX5550" s="427"/>
      <c r="BY5550" s="427"/>
      <c r="BZ5550" s="427"/>
    </row>
    <row r="5551" spans="2:78" s="152" customFormat="1" x14ac:dyDescent="0.2">
      <c r="B5551" s="683"/>
      <c r="C5551" s="683"/>
      <c r="D5551" s="698"/>
      <c r="E5551" s="215"/>
      <c r="F5551" s="215"/>
      <c r="G5551" s="427"/>
      <c r="H5551" s="427"/>
      <c r="I5551" s="427"/>
      <c r="J5551" s="427"/>
      <c r="K5551" s="427"/>
      <c r="L5551" s="653"/>
      <c r="M5551" s="666"/>
      <c r="N5551" s="600">
        <v>17.579999999999998</v>
      </c>
      <c r="O5551" s="608">
        <v>2.6214499999999998</v>
      </c>
      <c r="P5551" s="782"/>
      <c r="Q5551" s="764"/>
      <c r="R5551" s="764"/>
      <c r="S5551" s="764"/>
      <c r="T5551" s="764"/>
      <c r="U5551" s="764"/>
      <c r="V5551" s="764"/>
      <c r="W5551" s="764"/>
      <c r="X5551" s="764"/>
      <c r="Y5551" s="768"/>
      <c r="Z5551" s="762"/>
      <c r="AA5551" s="150"/>
      <c r="AB5551" s="150">
        <v>198</v>
      </c>
      <c r="AC5551" s="150">
        <v>3.2000000000000002E-3</v>
      </c>
      <c r="AD5551" s="150">
        <v>14.17</v>
      </c>
      <c r="AE5551" s="150">
        <v>1.109</v>
      </c>
      <c r="AF5551" s="223">
        <f t="shared" si="36"/>
        <v>15.71453</v>
      </c>
      <c r="AG5551" s="223">
        <f t="shared" si="35"/>
        <v>1.1187098818736545</v>
      </c>
      <c r="AH5551" s="346"/>
      <c r="AI5551" s="427"/>
      <c r="AJ5551" s="480"/>
      <c r="AK5551" s="427"/>
      <c r="AU5551" s="218"/>
      <c r="AV5551" s="218"/>
      <c r="AW5551" s="218"/>
      <c r="AX5551" s="218"/>
      <c r="AY5551" s="218"/>
      <c r="AZ5551" s="427"/>
      <c r="BA5551" s="427"/>
      <c r="BB5551" s="427"/>
      <c r="BI5551" s="427"/>
      <c r="BJ5551" s="427"/>
      <c r="BK5551" s="427"/>
      <c r="BL5551" s="427"/>
      <c r="BM5551" s="427"/>
      <c r="BN5551" s="427"/>
      <c r="BO5551" s="427"/>
      <c r="BP5551" s="427"/>
      <c r="BQ5551" s="427"/>
      <c r="BR5551" s="427"/>
      <c r="BS5551" s="427"/>
      <c r="BT5551" s="427"/>
      <c r="BU5551" s="427"/>
      <c r="BV5551" s="427"/>
      <c r="BW5551" s="427"/>
      <c r="BX5551" s="427"/>
      <c r="BY5551" s="427"/>
      <c r="BZ5551" s="427"/>
    </row>
    <row r="5552" spans="2:78" s="152" customFormat="1" x14ac:dyDescent="0.2">
      <c r="B5552" s="683"/>
      <c r="C5552" s="683"/>
      <c r="D5552" s="698"/>
      <c r="E5552" s="215"/>
      <c r="F5552" s="215"/>
      <c r="G5552" s="427"/>
      <c r="H5552" s="427"/>
      <c r="I5552" s="427"/>
      <c r="J5552" s="427"/>
      <c r="K5552" s="427"/>
      <c r="L5552" s="653"/>
      <c r="M5552" s="666"/>
      <c r="N5552" s="600">
        <v>17.579999999999998</v>
      </c>
      <c r="O5552" s="608">
        <v>3.28512</v>
      </c>
      <c r="P5552" s="782"/>
      <c r="Q5552" s="764"/>
      <c r="R5552" s="764"/>
      <c r="S5552" s="764"/>
      <c r="T5552" s="764"/>
      <c r="U5552" s="764"/>
      <c r="V5552" s="764"/>
      <c r="W5552" s="764"/>
      <c r="X5552" s="764"/>
      <c r="Y5552" s="768"/>
      <c r="Z5552" s="762"/>
      <c r="AA5552" s="150"/>
      <c r="AB5552" s="150">
        <v>199</v>
      </c>
      <c r="AC5552" s="150">
        <v>3.0999999999999999E-3</v>
      </c>
      <c r="AD5552" s="150">
        <v>14.16</v>
      </c>
      <c r="AE5552" s="150">
        <v>1.109</v>
      </c>
      <c r="AF5552" s="223">
        <f t="shared" si="36"/>
        <v>15.703440000000001</v>
      </c>
      <c r="AG5552" s="223">
        <f t="shared" si="35"/>
        <v>1.11949993122526</v>
      </c>
      <c r="AH5552" s="346"/>
      <c r="AI5552" s="427"/>
      <c r="AJ5552" s="480"/>
      <c r="AK5552" s="427"/>
      <c r="AU5552" s="218"/>
      <c r="AV5552" s="218"/>
      <c r="AW5552" s="218"/>
      <c r="AX5552" s="218"/>
      <c r="AY5552" s="218"/>
      <c r="AZ5552" s="427"/>
      <c r="BA5552" s="427"/>
      <c r="BB5552" s="427"/>
      <c r="BI5552" s="427"/>
      <c r="BJ5552" s="427"/>
      <c r="BK5552" s="427"/>
      <c r="BL5552" s="427"/>
      <c r="BM5552" s="427"/>
      <c r="BN5552" s="427"/>
      <c r="BO5552" s="427"/>
      <c r="BP5552" s="427"/>
      <c r="BQ5552" s="427"/>
      <c r="BR5552" s="427"/>
      <c r="BS5552" s="427"/>
      <c r="BT5552" s="427"/>
      <c r="BU5552" s="427"/>
      <c r="BV5552" s="427"/>
      <c r="BW5552" s="427"/>
      <c r="BX5552" s="427"/>
      <c r="BY5552" s="427"/>
      <c r="BZ5552" s="427"/>
    </row>
    <row r="5553" spans="2:78" s="152" customFormat="1" x14ac:dyDescent="0.2">
      <c r="B5553" s="683"/>
      <c r="C5553" s="683"/>
      <c r="D5553" s="698"/>
      <c r="E5553" s="215"/>
      <c r="F5553" s="215"/>
      <c r="G5553" s="427"/>
      <c r="H5553" s="427"/>
      <c r="I5553" s="427"/>
      <c r="J5553" s="427"/>
      <c r="K5553" s="427"/>
      <c r="L5553" s="653"/>
      <c r="M5553" s="666"/>
      <c r="N5553" s="600">
        <v>17.579999999999998</v>
      </c>
      <c r="O5553" s="608">
        <v>3.09124</v>
      </c>
      <c r="P5553" s="782"/>
      <c r="Q5553" s="764"/>
      <c r="R5553" s="764"/>
      <c r="S5553" s="764"/>
      <c r="T5553" s="764"/>
      <c r="U5553" s="764"/>
      <c r="V5553" s="764"/>
      <c r="W5553" s="764"/>
      <c r="X5553" s="764"/>
      <c r="Y5553" s="768"/>
      <c r="Z5553" s="762"/>
      <c r="AA5553" s="150"/>
      <c r="AB5553" s="150">
        <v>200</v>
      </c>
      <c r="AC5553" s="150">
        <v>3.0999999999999999E-3</v>
      </c>
      <c r="AD5553" s="150">
        <v>14.18</v>
      </c>
      <c r="AE5553" s="150">
        <v>1.109</v>
      </c>
      <c r="AF5553" s="223">
        <f t="shared" si="36"/>
        <v>15.725619999999999</v>
      </c>
      <c r="AG5553" s="223">
        <f t="shared" si="35"/>
        <v>1.1179209468370721</v>
      </c>
      <c r="AH5553" s="346"/>
      <c r="AI5553" s="427"/>
      <c r="AJ5553" s="480"/>
      <c r="AK5553" s="427"/>
      <c r="AU5553" s="218"/>
      <c r="AV5553" s="218"/>
      <c r="AW5553" s="218"/>
      <c r="AX5553" s="218"/>
      <c r="AY5553" s="218"/>
      <c r="AZ5553" s="427"/>
      <c r="BA5553" s="427"/>
      <c r="BB5553" s="427"/>
      <c r="BI5553" s="427"/>
      <c r="BJ5553" s="427"/>
      <c r="BK5553" s="427"/>
      <c r="BL5553" s="427"/>
      <c r="BM5553" s="427"/>
      <c r="BN5553" s="427"/>
      <c r="BO5553" s="427"/>
      <c r="BP5553" s="427"/>
      <c r="BQ5553" s="427"/>
      <c r="BR5553" s="427"/>
      <c r="BS5553" s="427"/>
      <c r="BT5553" s="427"/>
      <c r="BU5553" s="427"/>
      <c r="BV5553" s="427"/>
      <c r="BW5553" s="427"/>
      <c r="BX5553" s="427"/>
      <c r="BY5553" s="427"/>
      <c r="BZ5553" s="427"/>
    </row>
    <row r="5554" spans="2:78" s="152" customFormat="1" x14ac:dyDescent="0.2">
      <c r="B5554" s="683"/>
      <c r="C5554" s="683"/>
      <c r="D5554" s="698"/>
      <c r="E5554" s="215"/>
      <c r="F5554" s="215"/>
      <c r="G5554" s="427"/>
      <c r="H5554" s="427"/>
      <c r="I5554" s="427"/>
      <c r="J5554" s="427"/>
      <c r="K5554" s="427"/>
      <c r="L5554" s="653"/>
      <c r="M5554" s="666"/>
      <c r="N5554" s="600">
        <v>17.690000000000001</v>
      </c>
      <c r="O5554" s="608">
        <v>1.169025</v>
      </c>
      <c r="P5554" s="782"/>
      <c r="Q5554" s="764"/>
      <c r="R5554" s="764"/>
      <c r="S5554" s="764"/>
      <c r="T5554" s="764"/>
      <c r="U5554" s="764"/>
      <c r="V5554" s="764"/>
      <c r="W5554" s="764"/>
      <c r="X5554" s="764"/>
      <c r="Y5554" s="768"/>
      <c r="Z5554" s="762"/>
      <c r="AA5554" s="150"/>
      <c r="AB5554" s="150">
        <v>201</v>
      </c>
      <c r="AC5554" s="150">
        <v>3.0999999999999999E-3</v>
      </c>
      <c r="AD5554" s="150">
        <v>14.17</v>
      </c>
      <c r="AE5554" s="150">
        <v>1.113</v>
      </c>
      <c r="AF5554" s="223">
        <f t="shared" si="36"/>
        <v>15.77121</v>
      </c>
      <c r="AG5554" s="223">
        <f t="shared" si="35"/>
        <v>1.1216640955259616</v>
      </c>
      <c r="AH5554" s="346"/>
      <c r="AI5554" s="427"/>
      <c r="AJ5554" s="480"/>
      <c r="AK5554" s="427"/>
      <c r="AU5554" s="218"/>
      <c r="AV5554" s="218"/>
      <c r="AW5554" s="218"/>
      <c r="AX5554" s="218"/>
      <c r="AY5554" s="218"/>
      <c r="AZ5554" s="427"/>
      <c r="BA5554" s="427"/>
      <c r="BB5554" s="427"/>
      <c r="BI5554" s="427"/>
      <c r="BJ5554" s="427"/>
      <c r="BK5554" s="427"/>
      <c r="BL5554" s="427"/>
      <c r="BM5554" s="427"/>
      <c r="BN5554" s="427"/>
      <c r="BO5554" s="427"/>
      <c r="BP5554" s="427"/>
      <c r="BQ5554" s="427"/>
      <c r="BR5554" s="427"/>
      <c r="BS5554" s="427"/>
      <c r="BT5554" s="427"/>
      <c r="BU5554" s="427"/>
      <c r="BV5554" s="427"/>
      <c r="BW5554" s="427"/>
      <c r="BX5554" s="427"/>
      <c r="BY5554" s="427"/>
      <c r="BZ5554" s="427"/>
    </row>
    <row r="5555" spans="2:78" s="152" customFormat="1" x14ac:dyDescent="0.2">
      <c r="B5555" s="683"/>
      <c r="C5555" s="683"/>
      <c r="D5555" s="698"/>
      <c r="E5555" s="215"/>
      <c r="F5555" s="215"/>
      <c r="G5555" s="427"/>
      <c r="H5555" s="427"/>
      <c r="I5555" s="427"/>
      <c r="J5555" s="427"/>
      <c r="K5555" s="427"/>
      <c r="L5555" s="653"/>
      <c r="M5555" s="666"/>
      <c r="N5555" s="600">
        <v>17.47</v>
      </c>
      <c r="O5555" s="608">
        <v>2.1821799999999998</v>
      </c>
      <c r="P5555" s="782"/>
      <c r="Q5555" s="764"/>
      <c r="R5555" s="764"/>
      <c r="S5555" s="764"/>
      <c r="T5555" s="764"/>
      <c r="U5555" s="764"/>
      <c r="V5555" s="764"/>
      <c r="W5555" s="764"/>
      <c r="X5555" s="764"/>
      <c r="Y5555" s="768"/>
      <c r="Z5555" s="762"/>
      <c r="AA5555" s="150"/>
      <c r="AB5555" s="150">
        <v>202</v>
      </c>
      <c r="AC5555" s="150">
        <v>3.2000000000000002E-3</v>
      </c>
      <c r="AD5555" s="150">
        <v>14.17</v>
      </c>
      <c r="AE5555" s="150">
        <v>1.1060000000000001</v>
      </c>
      <c r="AF5555" s="223">
        <f t="shared" si="36"/>
        <v>15.672020000000002</v>
      </c>
      <c r="AG5555" s="223">
        <f t="shared" si="35"/>
        <v>1.114725478910823</v>
      </c>
      <c r="AH5555" s="346"/>
      <c r="AI5555" s="427"/>
      <c r="AJ5555" s="480"/>
      <c r="AK5555" s="427"/>
      <c r="AU5555" s="218"/>
      <c r="AV5555" s="218"/>
      <c r="AW5555" s="218"/>
      <c r="AX5555" s="218"/>
      <c r="AY5555" s="218"/>
      <c r="AZ5555" s="427"/>
      <c r="BA5555" s="427"/>
      <c r="BB5555" s="427"/>
      <c r="BI5555" s="427"/>
      <c r="BJ5555" s="427"/>
      <c r="BK5555" s="427"/>
      <c r="BL5555" s="427"/>
      <c r="BM5555" s="427"/>
      <c r="BN5555" s="427"/>
      <c r="BO5555" s="427"/>
      <c r="BP5555" s="427"/>
      <c r="BQ5555" s="427"/>
      <c r="BR5555" s="427"/>
      <c r="BS5555" s="427"/>
      <c r="BT5555" s="427"/>
      <c r="BU5555" s="427"/>
      <c r="BV5555" s="427"/>
      <c r="BW5555" s="427"/>
      <c r="BX5555" s="427"/>
      <c r="BY5555" s="427"/>
      <c r="BZ5555" s="427"/>
    </row>
    <row r="5556" spans="2:78" s="152" customFormat="1" x14ac:dyDescent="0.2">
      <c r="B5556" s="683"/>
      <c r="C5556" s="683"/>
      <c r="D5556" s="698"/>
      <c r="E5556" s="215"/>
      <c r="F5556" s="215"/>
      <c r="G5556" s="427"/>
      <c r="H5556" s="427"/>
      <c r="I5556" s="427"/>
      <c r="J5556" s="427"/>
      <c r="K5556" s="427"/>
      <c r="L5556" s="653"/>
      <c r="M5556" s="666"/>
      <c r="N5556" s="600">
        <v>17.47</v>
      </c>
      <c r="O5556" s="608">
        <v>8.720699999999999</v>
      </c>
      <c r="P5556" s="782"/>
      <c r="Q5556" s="764"/>
      <c r="R5556" s="764"/>
      <c r="S5556" s="764"/>
      <c r="T5556" s="764"/>
      <c r="U5556" s="764"/>
      <c r="V5556" s="764"/>
      <c r="W5556" s="764"/>
      <c r="X5556" s="764"/>
      <c r="Y5556" s="768"/>
      <c r="Z5556" s="762"/>
      <c r="AA5556" s="150"/>
      <c r="AB5556" s="150">
        <v>203</v>
      </c>
      <c r="AC5556" s="150">
        <v>3.2000000000000002E-3</v>
      </c>
      <c r="AD5556" s="150">
        <v>14.18</v>
      </c>
      <c r="AE5556" s="150">
        <v>1.1060000000000001</v>
      </c>
      <c r="AF5556" s="223">
        <f t="shared" si="36"/>
        <v>15.68308</v>
      </c>
      <c r="AG5556" s="223">
        <f t="shared" si="35"/>
        <v>1.1139393537493909</v>
      </c>
      <c r="AH5556" s="346"/>
      <c r="AI5556" s="427"/>
      <c r="AJ5556" s="480"/>
      <c r="AK5556" s="427"/>
      <c r="AU5556" s="218"/>
      <c r="AV5556" s="218"/>
      <c r="AW5556" s="218"/>
      <c r="AX5556" s="218"/>
      <c r="AY5556" s="218"/>
      <c r="AZ5556" s="427"/>
      <c r="BA5556" s="427"/>
      <c r="BB5556" s="427"/>
      <c r="BI5556" s="427"/>
      <c r="BJ5556" s="427"/>
      <c r="BK5556" s="427"/>
      <c r="BL5556" s="427"/>
      <c r="BM5556" s="427"/>
      <c r="BN5556" s="427"/>
      <c r="BO5556" s="427"/>
      <c r="BP5556" s="427"/>
      <c r="BQ5556" s="427"/>
      <c r="BR5556" s="427"/>
      <c r="BS5556" s="427"/>
      <c r="BT5556" s="427"/>
      <c r="BU5556" s="427"/>
      <c r="BV5556" s="427"/>
      <c r="BW5556" s="427"/>
      <c r="BX5556" s="427"/>
      <c r="BY5556" s="427"/>
      <c r="BZ5556" s="427"/>
    </row>
    <row r="5557" spans="2:78" s="152" customFormat="1" x14ac:dyDescent="0.2">
      <c r="B5557" s="683"/>
      <c r="C5557" s="683"/>
      <c r="D5557" s="698"/>
      <c r="E5557" s="215"/>
      <c r="F5557" s="215"/>
      <c r="G5557" s="427"/>
      <c r="H5557" s="427"/>
      <c r="I5557" s="427"/>
      <c r="J5557" s="427"/>
      <c r="K5557" s="427"/>
      <c r="L5557" s="653"/>
      <c r="M5557" s="666"/>
      <c r="N5557" s="600">
        <v>17.47</v>
      </c>
      <c r="O5557" s="608">
        <v>18.549600000000002</v>
      </c>
      <c r="P5557" s="782"/>
      <c r="Q5557" s="764"/>
      <c r="R5557" s="764"/>
      <c r="S5557" s="764"/>
      <c r="T5557" s="764"/>
      <c r="U5557" s="764"/>
      <c r="V5557" s="764"/>
      <c r="W5557" s="764"/>
      <c r="X5557" s="764"/>
      <c r="Y5557" s="768"/>
      <c r="Z5557" s="762"/>
      <c r="AA5557" s="150"/>
      <c r="AB5557" s="150">
        <v>204</v>
      </c>
      <c r="AC5557" s="150">
        <v>3.0000000000000001E-3</v>
      </c>
      <c r="AD5557" s="150">
        <v>14.16</v>
      </c>
      <c r="AE5557" s="150">
        <v>1.1060000000000001</v>
      </c>
      <c r="AF5557" s="223">
        <f t="shared" si="36"/>
        <v>15.660960000000001</v>
      </c>
      <c r="AG5557" s="223">
        <f t="shared" si="35"/>
        <v>1.1155127144185284</v>
      </c>
      <c r="AH5557" s="346"/>
      <c r="AI5557" s="427"/>
      <c r="AJ5557" s="480"/>
      <c r="AK5557" s="427"/>
      <c r="AU5557" s="218"/>
      <c r="AV5557" s="218"/>
      <c r="AW5557" s="218"/>
      <c r="AX5557" s="218"/>
      <c r="AY5557" s="218"/>
      <c r="AZ5557" s="427"/>
      <c r="BA5557" s="427"/>
      <c r="BB5557" s="427"/>
      <c r="BI5557" s="427"/>
      <c r="BJ5557" s="427"/>
      <c r="BK5557" s="427"/>
      <c r="BL5557" s="427"/>
      <c r="BM5557" s="427"/>
      <c r="BN5557" s="427"/>
      <c r="BO5557" s="427"/>
      <c r="BP5557" s="427"/>
      <c r="BQ5557" s="427"/>
      <c r="BR5557" s="427"/>
      <c r="BS5557" s="427"/>
      <c r="BT5557" s="427"/>
      <c r="BU5557" s="427"/>
      <c r="BV5557" s="427"/>
      <c r="BW5557" s="427"/>
      <c r="BX5557" s="427"/>
      <c r="BY5557" s="427"/>
      <c r="BZ5557" s="427"/>
    </row>
    <row r="5558" spans="2:78" s="152" customFormat="1" x14ac:dyDescent="0.2">
      <c r="B5558" s="683"/>
      <c r="C5558" s="683"/>
      <c r="D5558" s="698"/>
      <c r="E5558" s="215"/>
      <c r="F5558" s="215"/>
      <c r="G5558" s="427"/>
      <c r="H5558" s="427"/>
      <c r="I5558" s="427"/>
      <c r="J5558" s="427"/>
      <c r="K5558" s="427"/>
      <c r="L5558" s="653"/>
      <c r="M5558" s="666"/>
      <c r="N5558" s="600">
        <v>17.579999999999998</v>
      </c>
      <c r="O5558" s="608">
        <v>33.016100000000002</v>
      </c>
      <c r="P5558" s="782"/>
      <c r="Q5558" s="764"/>
      <c r="R5558" s="764"/>
      <c r="S5558" s="764"/>
      <c r="T5558" s="764"/>
      <c r="U5558" s="764"/>
      <c r="V5558" s="764"/>
      <c r="W5558" s="764"/>
      <c r="X5558" s="764"/>
      <c r="Y5558" s="768"/>
      <c r="Z5558" s="762"/>
      <c r="AA5558" s="150"/>
      <c r="AB5558" s="150">
        <v>205</v>
      </c>
      <c r="AC5558" s="150">
        <v>3.0000000000000001E-3</v>
      </c>
      <c r="AD5558" s="150">
        <v>14.17</v>
      </c>
      <c r="AE5558" s="150">
        <v>1.109</v>
      </c>
      <c r="AF5558" s="223">
        <f t="shared" si="36"/>
        <v>15.71453</v>
      </c>
      <c r="AG5558" s="223">
        <f t="shared" si="35"/>
        <v>1.1187098818736545</v>
      </c>
      <c r="AH5558" s="346"/>
      <c r="AI5558" s="427"/>
      <c r="AJ5558" s="480"/>
      <c r="AK5558" s="427"/>
      <c r="AU5558" s="218"/>
      <c r="AV5558" s="218"/>
      <c r="AW5558" s="218"/>
      <c r="AX5558" s="218"/>
      <c r="AY5558" s="218"/>
      <c r="AZ5558" s="427"/>
      <c r="BA5558" s="427"/>
      <c r="BB5558" s="427"/>
      <c r="BI5558" s="427"/>
      <c r="BJ5558" s="427"/>
      <c r="BK5558" s="427"/>
      <c r="BL5558" s="427"/>
      <c r="BM5558" s="427"/>
      <c r="BN5558" s="427"/>
      <c r="BO5558" s="427"/>
      <c r="BP5558" s="427"/>
      <c r="BQ5558" s="427"/>
      <c r="BR5558" s="427"/>
      <c r="BS5558" s="427"/>
      <c r="BT5558" s="427"/>
      <c r="BU5558" s="427"/>
      <c r="BV5558" s="427"/>
      <c r="BW5558" s="427"/>
      <c r="BX5558" s="427"/>
      <c r="BY5558" s="427"/>
      <c r="BZ5558" s="427"/>
    </row>
    <row r="5559" spans="2:78" s="152" customFormat="1" x14ac:dyDescent="0.2">
      <c r="B5559" s="683"/>
      <c r="C5559" s="683"/>
      <c r="D5559" s="698"/>
      <c r="E5559" s="215"/>
      <c r="F5559" s="215"/>
      <c r="G5559" s="427"/>
      <c r="H5559" s="427"/>
      <c r="I5559" s="427"/>
      <c r="J5559" s="427"/>
      <c r="K5559" s="427"/>
      <c r="L5559" s="653"/>
      <c r="M5559" s="666"/>
      <c r="N5559" s="600">
        <v>17.25</v>
      </c>
      <c r="O5559" s="608">
        <v>9.381450000000001</v>
      </c>
      <c r="P5559" s="782"/>
      <c r="Q5559" s="764"/>
      <c r="R5559" s="764"/>
      <c r="S5559" s="764"/>
      <c r="T5559" s="764"/>
      <c r="U5559" s="764"/>
      <c r="V5559" s="764"/>
      <c r="W5559" s="764"/>
      <c r="X5559" s="764"/>
      <c r="Y5559" s="768"/>
      <c r="Z5559" s="762"/>
      <c r="AA5559" s="150"/>
      <c r="AB5559" s="150">
        <v>206</v>
      </c>
      <c r="AC5559" s="150">
        <v>3.2000000000000002E-3</v>
      </c>
      <c r="AD5559" s="150">
        <v>14.15</v>
      </c>
      <c r="AE5559" s="150">
        <v>1.1000000000000001</v>
      </c>
      <c r="AF5559" s="223">
        <f t="shared" si="36"/>
        <v>15.565000000000001</v>
      </c>
      <c r="AG5559" s="223">
        <f t="shared" si="35"/>
        <v>1.1082557018952777</v>
      </c>
      <c r="AH5559" s="346"/>
      <c r="AI5559" s="427"/>
      <c r="AJ5559" s="480"/>
      <c r="AK5559" s="427"/>
      <c r="AU5559" s="218"/>
      <c r="AV5559" s="218"/>
      <c r="AW5559" s="218"/>
      <c r="AX5559" s="218"/>
      <c r="AY5559" s="218"/>
      <c r="AZ5559" s="427"/>
      <c r="BA5559" s="427"/>
      <c r="BB5559" s="427"/>
      <c r="BI5559" s="427"/>
      <c r="BJ5559" s="427"/>
      <c r="BK5559" s="427"/>
      <c r="BL5559" s="427"/>
      <c r="BM5559" s="427"/>
      <c r="BN5559" s="427"/>
      <c r="BO5559" s="427"/>
      <c r="BP5559" s="427"/>
      <c r="BQ5559" s="427"/>
      <c r="BR5559" s="427"/>
      <c r="BS5559" s="427"/>
      <c r="BT5559" s="427"/>
      <c r="BU5559" s="427"/>
      <c r="BV5559" s="427"/>
      <c r="BW5559" s="427"/>
      <c r="BX5559" s="427"/>
      <c r="BY5559" s="427"/>
      <c r="BZ5559" s="427"/>
    </row>
    <row r="5560" spans="2:78" s="152" customFormat="1" x14ac:dyDescent="0.2">
      <c r="B5560" s="683"/>
      <c r="C5560" s="683"/>
      <c r="D5560" s="698"/>
      <c r="E5560" s="215"/>
      <c r="F5560" s="215"/>
      <c r="G5560" s="427"/>
      <c r="H5560" s="427"/>
      <c r="I5560" s="427"/>
      <c r="J5560" s="427"/>
      <c r="K5560" s="427"/>
      <c r="L5560" s="653"/>
      <c r="M5560" s="666"/>
      <c r="N5560" s="600">
        <v>17.25</v>
      </c>
      <c r="O5560" s="608">
        <v>9.4313800000000008</v>
      </c>
      <c r="P5560" s="782"/>
      <c r="Q5560" s="764"/>
      <c r="R5560" s="764"/>
      <c r="S5560" s="764"/>
      <c r="T5560" s="764"/>
      <c r="U5560" s="764"/>
      <c r="V5560" s="764"/>
      <c r="W5560" s="764"/>
      <c r="X5560" s="764"/>
      <c r="Y5560" s="768"/>
      <c r="Z5560" s="762"/>
      <c r="AA5560" s="150"/>
      <c r="AB5560" s="150">
        <v>207</v>
      </c>
      <c r="AC5560" s="150">
        <v>3.0999999999999999E-3</v>
      </c>
      <c r="AD5560" s="150">
        <v>14.14</v>
      </c>
      <c r="AE5560" s="150">
        <v>1.1000000000000001</v>
      </c>
      <c r="AF5560" s="223">
        <f t="shared" si="36"/>
        <v>15.554000000000002</v>
      </c>
      <c r="AG5560" s="223">
        <f t="shared" si="35"/>
        <v>1.1090394753761088</v>
      </c>
      <c r="AH5560" s="346"/>
      <c r="AI5560" s="427"/>
      <c r="AJ5560" s="480"/>
      <c r="AK5560" s="427"/>
      <c r="AU5560" s="218"/>
      <c r="AV5560" s="218"/>
      <c r="AW5560" s="218"/>
      <c r="AX5560" s="218"/>
      <c r="AY5560" s="218"/>
      <c r="AZ5560" s="427"/>
      <c r="BA5560" s="427"/>
      <c r="BB5560" s="427"/>
      <c r="BI5560" s="427"/>
      <c r="BJ5560" s="427"/>
      <c r="BK5560" s="427"/>
      <c r="BL5560" s="427"/>
      <c r="BM5560" s="427"/>
      <c r="BN5560" s="427"/>
      <c r="BO5560" s="427"/>
      <c r="BP5560" s="427"/>
      <c r="BQ5560" s="427"/>
      <c r="BR5560" s="427"/>
      <c r="BS5560" s="427"/>
      <c r="BT5560" s="427"/>
      <c r="BU5560" s="427"/>
      <c r="BV5560" s="427"/>
      <c r="BW5560" s="427"/>
      <c r="BX5560" s="427"/>
      <c r="BY5560" s="427"/>
      <c r="BZ5560" s="427"/>
    </row>
    <row r="5561" spans="2:78" s="152" customFormat="1" x14ac:dyDescent="0.2">
      <c r="B5561" s="683"/>
      <c r="C5561" s="683"/>
      <c r="D5561" s="698"/>
      <c r="E5561" s="215"/>
      <c r="F5561" s="215"/>
      <c r="G5561" s="427"/>
      <c r="H5561" s="427"/>
      <c r="I5561" s="427"/>
      <c r="J5561" s="427"/>
      <c r="K5561" s="427"/>
      <c r="L5561" s="653"/>
      <c r="M5561" s="666"/>
      <c r="N5561" s="600">
        <v>17.03</v>
      </c>
      <c r="O5561" s="608">
        <v>27.392799999999998</v>
      </c>
      <c r="P5561" s="782"/>
      <c r="Q5561" s="764"/>
      <c r="R5561" s="764"/>
      <c r="S5561" s="764"/>
      <c r="T5561" s="764"/>
      <c r="U5561" s="764"/>
      <c r="V5561" s="764"/>
      <c r="W5561" s="764"/>
      <c r="X5561" s="764"/>
      <c r="Y5561" s="768"/>
      <c r="Z5561" s="762"/>
      <c r="AA5561" s="150"/>
      <c r="AB5561" s="150">
        <v>208</v>
      </c>
      <c r="AC5561" s="150">
        <v>3.2000000000000002E-3</v>
      </c>
      <c r="AD5561" s="150">
        <v>14.12</v>
      </c>
      <c r="AE5561" s="150">
        <v>1.0940000000000001</v>
      </c>
      <c r="AF5561" s="223">
        <f t="shared" si="36"/>
        <v>15.447280000000001</v>
      </c>
      <c r="AG5561" s="223">
        <f t="shared" si="35"/>
        <v>1.1024594621188972</v>
      </c>
      <c r="AH5561" s="346"/>
      <c r="AI5561" s="427"/>
      <c r="AJ5561" s="480"/>
      <c r="AK5561" s="427"/>
      <c r="AU5561" s="218"/>
      <c r="AV5561" s="218"/>
      <c r="AW5561" s="218"/>
      <c r="AX5561" s="218"/>
      <c r="AY5561" s="218"/>
      <c r="AZ5561" s="427"/>
      <c r="BA5561" s="427"/>
      <c r="BB5561" s="427"/>
      <c r="BI5561" s="427"/>
      <c r="BJ5561" s="427"/>
      <c r="BK5561" s="427"/>
      <c r="BL5561" s="427"/>
      <c r="BM5561" s="427"/>
      <c r="BN5561" s="427"/>
      <c r="BO5561" s="427"/>
      <c r="BP5561" s="427"/>
      <c r="BQ5561" s="427"/>
      <c r="BR5561" s="427"/>
      <c r="BS5561" s="427"/>
      <c r="BT5561" s="427"/>
      <c r="BU5561" s="427"/>
      <c r="BV5561" s="427"/>
      <c r="BW5561" s="427"/>
      <c r="BX5561" s="427"/>
      <c r="BY5561" s="427"/>
      <c r="BZ5561" s="427"/>
    </row>
    <row r="5562" spans="2:78" s="152" customFormat="1" x14ac:dyDescent="0.2">
      <c r="B5562" s="683"/>
      <c r="C5562" s="683"/>
      <c r="D5562" s="698"/>
      <c r="E5562" s="215"/>
      <c r="F5562" s="215"/>
      <c r="G5562" s="427"/>
      <c r="H5562" s="427"/>
      <c r="I5562" s="427"/>
      <c r="J5562" s="427"/>
      <c r="K5562" s="427"/>
      <c r="L5562" s="653"/>
      <c r="M5562" s="666"/>
      <c r="N5562" s="600">
        <v>16.920000000000002</v>
      </c>
      <c r="O5562" s="608">
        <v>28.622999999999998</v>
      </c>
      <c r="P5562" s="782"/>
      <c r="Q5562" s="764"/>
      <c r="R5562" s="764"/>
      <c r="S5562" s="764"/>
      <c r="T5562" s="764"/>
      <c r="U5562" s="764"/>
      <c r="V5562" s="764"/>
      <c r="W5562" s="764"/>
      <c r="X5562" s="764"/>
      <c r="Y5562" s="768"/>
      <c r="Z5562" s="762"/>
      <c r="AA5562" s="150"/>
      <c r="AB5562" s="150">
        <v>209</v>
      </c>
      <c r="AC5562" s="150">
        <v>3.0999999999999999E-3</v>
      </c>
      <c r="AD5562" s="150">
        <v>14.1</v>
      </c>
      <c r="AE5562" s="150">
        <v>1.091</v>
      </c>
      <c r="AF5562" s="223">
        <f t="shared" si="36"/>
        <v>15.383099999999999</v>
      </c>
      <c r="AG5562" s="223">
        <f t="shared" si="35"/>
        <v>1.099908340971586</v>
      </c>
      <c r="AH5562" s="346"/>
      <c r="AI5562" s="427"/>
      <c r="AJ5562" s="480"/>
      <c r="AK5562" s="427"/>
      <c r="AU5562" s="218"/>
      <c r="AV5562" s="218"/>
      <c r="AW5562" s="218"/>
      <c r="AX5562" s="218"/>
      <c r="AY5562" s="218"/>
      <c r="AZ5562" s="427"/>
      <c r="BA5562" s="427"/>
      <c r="BB5562" s="427"/>
      <c r="BI5562" s="427"/>
      <c r="BJ5562" s="427"/>
      <c r="BK5562" s="427"/>
      <c r="BL5562" s="427"/>
      <c r="BM5562" s="427"/>
      <c r="BN5562" s="427"/>
      <c r="BO5562" s="427"/>
      <c r="BP5562" s="427"/>
      <c r="BQ5562" s="427"/>
      <c r="BR5562" s="427"/>
      <c r="BS5562" s="427"/>
      <c r="BT5562" s="427"/>
      <c r="BU5562" s="427"/>
      <c r="BV5562" s="427"/>
      <c r="BW5562" s="427"/>
      <c r="BX5562" s="427"/>
      <c r="BY5562" s="427"/>
      <c r="BZ5562" s="427"/>
    </row>
    <row r="5563" spans="2:78" s="152" customFormat="1" x14ac:dyDescent="0.2">
      <c r="B5563" s="683"/>
      <c r="C5563" s="683"/>
      <c r="D5563" s="698"/>
      <c r="E5563" s="215"/>
      <c r="F5563" s="215"/>
      <c r="G5563" s="427"/>
      <c r="H5563" s="427"/>
      <c r="I5563" s="427"/>
      <c r="J5563" s="427"/>
      <c r="K5563" s="427"/>
      <c r="L5563" s="653"/>
      <c r="M5563" s="666"/>
      <c r="N5563" s="600">
        <v>16.7</v>
      </c>
      <c r="O5563" s="608">
        <v>24.341100000000001</v>
      </c>
      <c r="P5563" s="782"/>
      <c r="Q5563" s="764"/>
      <c r="R5563" s="764"/>
      <c r="S5563" s="764"/>
      <c r="T5563" s="764"/>
      <c r="U5563" s="764"/>
      <c r="V5563" s="764"/>
      <c r="W5563" s="764"/>
      <c r="X5563" s="764"/>
      <c r="Y5563" s="768"/>
      <c r="Z5563" s="762"/>
      <c r="AA5563" s="150"/>
      <c r="AB5563" s="150">
        <v>210</v>
      </c>
      <c r="AC5563" s="150">
        <v>3.0000000000000001E-3</v>
      </c>
      <c r="AD5563" s="150">
        <v>14.07</v>
      </c>
      <c r="AE5563" s="150">
        <v>1.085</v>
      </c>
      <c r="AF5563" s="223">
        <f t="shared" si="36"/>
        <v>15.26595</v>
      </c>
      <c r="AG5563" s="223">
        <f t="shared" si="35"/>
        <v>1.0939378158581679</v>
      </c>
      <c r="AH5563" s="346"/>
      <c r="AI5563" s="427"/>
      <c r="AJ5563" s="480"/>
      <c r="AK5563" s="427"/>
      <c r="AU5563" s="218"/>
      <c r="AV5563" s="218"/>
      <c r="AW5563" s="218"/>
      <c r="AX5563" s="218"/>
      <c r="AY5563" s="218"/>
      <c r="AZ5563" s="427"/>
      <c r="BA5563" s="427"/>
      <c r="BB5563" s="427"/>
      <c r="BI5563" s="427"/>
      <c r="BJ5563" s="427"/>
      <c r="BK5563" s="427"/>
      <c r="BL5563" s="427"/>
      <c r="BM5563" s="427"/>
      <c r="BN5563" s="427"/>
      <c r="BO5563" s="427"/>
      <c r="BP5563" s="427"/>
      <c r="BQ5563" s="427"/>
      <c r="BR5563" s="427"/>
      <c r="BS5563" s="427"/>
      <c r="BT5563" s="427"/>
      <c r="BU5563" s="427"/>
      <c r="BV5563" s="427"/>
      <c r="BW5563" s="427"/>
      <c r="BX5563" s="427"/>
      <c r="BY5563" s="427"/>
      <c r="BZ5563" s="427"/>
    </row>
    <row r="5564" spans="2:78" s="152" customFormat="1" x14ac:dyDescent="0.2">
      <c r="B5564" s="683"/>
      <c r="C5564" s="683"/>
      <c r="D5564" s="698"/>
      <c r="E5564" s="215"/>
      <c r="F5564" s="215"/>
      <c r="G5564" s="427"/>
      <c r="H5564" s="427"/>
      <c r="I5564" s="427"/>
      <c r="J5564" s="427"/>
      <c r="K5564" s="427"/>
      <c r="L5564" s="653"/>
      <c r="M5564" s="666"/>
      <c r="N5564" s="600">
        <v>16.38</v>
      </c>
      <c r="O5564" s="608">
        <v>40.827300000000001</v>
      </c>
      <c r="P5564" s="782"/>
      <c r="Q5564" s="764"/>
      <c r="R5564" s="764"/>
      <c r="S5564" s="764"/>
      <c r="T5564" s="764"/>
      <c r="U5564" s="764"/>
      <c r="V5564" s="764"/>
      <c r="W5564" s="764"/>
      <c r="X5564" s="764"/>
      <c r="Y5564" s="768"/>
      <c r="Z5564" s="762"/>
      <c r="AA5564" s="150"/>
      <c r="AB5564" s="150">
        <v>211</v>
      </c>
      <c r="AC5564" s="150">
        <v>3.0999999999999999E-3</v>
      </c>
      <c r="AD5564" s="150">
        <v>14.03</v>
      </c>
      <c r="AE5564" s="150">
        <v>1.0760000000000001</v>
      </c>
      <c r="AF5564" s="223">
        <f t="shared" si="36"/>
        <v>15.09628</v>
      </c>
      <c r="AG5564" s="223">
        <f t="shared" si="35"/>
        <v>1.085035518684073</v>
      </c>
      <c r="AH5564" s="346"/>
      <c r="AI5564" s="427"/>
      <c r="AJ5564" s="480"/>
      <c r="AK5564" s="427"/>
      <c r="AU5564" s="218"/>
      <c r="AV5564" s="218"/>
      <c r="AW5564" s="218"/>
      <c r="AX5564" s="218"/>
      <c r="AY5564" s="218"/>
      <c r="AZ5564" s="427"/>
      <c r="BA5564" s="427"/>
      <c r="BB5564" s="427"/>
      <c r="BI5564" s="427"/>
      <c r="BJ5564" s="427"/>
      <c r="BK5564" s="427"/>
      <c r="BL5564" s="427"/>
      <c r="BM5564" s="427"/>
      <c r="BN5564" s="427"/>
      <c r="BO5564" s="427"/>
      <c r="BP5564" s="427"/>
      <c r="BQ5564" s="427"/>
      <c r="BR5564" s="427"/>
      <c r="BS5564" s="427"/>
      <c r="BT5564" s="427"/>
      <c r="BU5564" s="427"/>
      <c r="BV5564" s="427"/>
      <c r="BW5564" s="427"/>
      <c r="BX5564" s="427"/>
      <c r="BY5564" s="427"/>
      <c r="BZ5564" s="427"/>
    </row>
    <row r="5565" spans="2:78" s="152" customFormat="1" x14ac:dyDescent="0.2">
      <c r="B5565" s="683"/>
      <c r="C5565" s="683"/>
      <c r="D5565" s="698"/>
      <c r="E5565" s="215"/>
      <c r="F5565" s="215"/>
      <c r="G5565" s="427"/>
      <c r="H5565" s="427"/>
      <c r="I5565" s="427"/>
      <c r="J5565" s="427"/>
      <c r="K5565" s="427"/>
      <c r="L5565" s="653"/>
      <c r="M5565" s="666"/>
      <c r="N5565" s="600">
        <v>15.96</v>
      </c>
      <c r="O5565" s="608">
        <v>25.4436</v>
      </c>
      <c r="P5565" s="782"/>
      <c r="Q5565" s="764"/>
      <c r="R5565" s="764"/>
      <c r="S5565" s="764"/>
      <c r="T5565" s="764"/>
      <c r="U5565" s="764"/>
      <c r="V5565" s="764"/>
      <c r="W5565" s="764"/>
      <c r="X5565" s="764"/>
      <c r="Y5565" s="768"/>
      <c r="Z5565" s="762"/>
      <c r="AA5565" s="150"/>
      <c r="AB5565" s="150">
        <v>212</v>
      </c>
      <c r="AC5565" s="150">
        <v>2.8999999999999998E-3</v>
      </c>
      <c r="AD5565" s="150">
        <v>13.98</v>
      </c>
      <c r="AE5565" s="150">
        <v>1.0640000000000001</v>
      </c>
      <c r="AF5565" s="223">
        <f t="shared" si="36"/>
        <v>14.874720000000002</v>
      </c>
      <c r="AG5565" s="223">
        <f t="shared" si="35"/>
        <v>1.0729613733905579</v>
      </c>
      <c r="AH5565" s="346"/>
      <c r="AI5565" s="427"/>
      <c r="AJ5565" s="480"/>
      <c r="AK5565" s="427"/>
      <c r="AU5565" s="218"/>
      <c r="AV5565" s="218"/>
      <c r="AW5565" s="218"/>
      <c r="AX5565" s="218"/>
      <c r="AY5565" s="218"/>
      <c r="AZ5565" s="427"/>
      <c r="BA5565" s="427"/>
      <c r="BB5565" s="427"/>
      <c r="BI5565" s="427"/>
      <c r="BJ5565" s="427"/>
      <c r="BK5565" s="427"/>
      <c r="BL5565" s="427"/>
      <c r="BM5565" s="427"/>
      <c r="BN5565" s="427"/>
      <c r="BO5565" s="427"/>
      <c r="BP5565" s="427"/>
      <c r="BQ5565" s="427"/>
      <c r="BR5565" s="427"/>
      <c r="BS5565" s="427"/>
      <c r="BT5565" s="427"/>
      <c r="BU5565" s="427"/>
      <c r="BV5565" s="427"/>
      <c r="BW5565" s="427"/>
      <c r="BX5565" s="427"/>
      <c r="BY5565" s="427"/>
      <c r="BZ5565" s="427"/>
    </row>
    <row r="5566" spans="2:78" s="152" customFormat="1" x14ac:dyDescent="0.2">
      <c r="B5566" s="683"/>
      <c r="C5566" s="683"/>
      <c r="D5566" s="698"/>
      <c r="E5566" s="215"/>
      <c r="F5566" s="215"/>
      <c r="G5566" s="427"/>
      <c r="H5566" s="427"/>
      <c r="I5566" s="427"/>
      <c r="J5566" s="427"/>
      <c r="K5566" s="427"/>
      <c r="L5566" s="653"/>
      <c r="M5566" s="666"/>
      <c r="N5566" s="600">
        <v>15.75</v>
      </c>
      <c r="O5566" s="608">
        <v>15.902999999999999</v>
      </c>
      <c r="P5566" s="782"/>
      <c r="Q5566" s="764"/>
      <c r="R5566" s="764"/>
      <c r="S5566" s="764"/>
      <c r="T5566" s="764"/>
      <c r="U5566" s="764"/>
      <c r="V5566" s="764"/>
      <c r="W5566" s="764"/>
      <c r="X5566" s="764"/>
      <c r="Y5566" s="768"/>
      <c r="Z5566" s="762"/>
      <c r="AA5566" s="150"/>
      <c r="AB5566" s="150">
        <v>213</v>
      </c>
      <c r="AC5566" s="150">
        <v>3.0000000000000001E-3</v>
      </c>
      <c r="AD5566" s="150">
        <v>13.95</v>
      </c>
      <c r="AE5566" s="150">
        <v>1.0580000000000001</v>
      </c>
      <c r="AF5566" s="223">
        <f t="shared" si="36"/>
        <v>14.7591</v>
      </c>
      <c r="AG5566" s="223">
        <f t="shared" si="35"/>
        <v>1.0671382401365936</v>
      </c>
      <c r="AH5566" s="346"/>
      <c r="AI5566" s="427"/>
      <c r="AJ5566" s="480"/>
      <c r="AK5566" s="427"/>
      <c r="AU5566" s="218"/>
      <c r="AV5566" s="218"/>
      <c r="AW5566" s="218"/>
      <c r="AX5566" s="218"/>
      <c r="AY5566" s="218"/>
      <c r="AZ5566" s="427"/>
      <c r="BA5566" s="427"/>
      <c r="BB5566" s="427"/>
      <c r="BI5566" s="427"/>
      <c r="BJ5566" s="427"/>
      <c r="BK5566" s="427"/>
      <c r="BL5566" s="427"/>
      <c r="BM5566" s="427"/>
      <c r="BN5566" s="427"/>
      <c r="BO5566" s="427"/>
      <c r="BP5566" s="427"/>
      <c r="BQ5566" s="427"/>
      <c r="BR5566" s="427"/>
      <c r="BS5566" s="427"/>
      <c r="BT5566" s="427"/>
      <c r="BU5566" s="427"/>
      <c r="BV5566" s="427"/>
      <c r="BW5566" s="427"/>
      <c r="BX5566" s="427"/>
      <c r="BY5566" s="427"/>
      <c r="BZ5566" s="427"/>
    </row>
    <row r="5567" spans="2:78" s="152" customFormat="1" x14ac:dyDescent="0.2">
      <c r="B5567" s="683"/>
      <c r="C5567" s="683"/>
      <c r="D5567" s="698"/>
      <c r="E5567" s="215"/>
      <c r="F5567" s="215"/>
      <c r="G5567" s="427"/>
      <c r="H5567" s="427"/>
      <c r="I5567" s="427"/>
      <c r="J5567" s="427"/>
      <c r="K5567" s="427"/>
      <c r="L5567" s="653"/>
      <c r="M5567" s="666"/>
      <c r="N5567" s="600">
        <v>15.44</v>
      </c>
      <c r="O5567" s="608">
        <v>6.1716000000000006</v>
      </c>
      <c r="P5567" s="782"/>
      <c r="Q5567" s="764"/>
      <c r="R5567" s="764"/>
      <c r="S5567" s="764"/>
      <c r="T5567" s="764"/>
      <c r="U5567" s="764"/>
      <c r="V5567" s="764"/>
      <c r="W5567" s="764"/>
      <c r="X5567" s="764"/>
      <c r="Y5567" s="768"/>
      <c r="Z5567" s="762"/>
      <c r="AA5567" s="150"/>
      <c r="AB5567" s="150">
        <v>214</v>
      </c>
      <c r="AC5567" s="150">
        <v>2.8999999999999998E-3</v>
      </c>
      <c r="AD5567" s="150">
        <v>13.9</v>
      </c>
      <c r="AE5567" s="150">
        <v>1.0489999999999999</v>
      </c>
      <c r="AF5567" s="223">
        <f t="shared" si="36"/>
        <v>14.581099999999999</v>
      </c>
      <c r="AG5567" s="223">
        <f t="shared" si="35"/>
        <v>1.058905020883198</v>
      </c>
      <c r="AH5567" s="346"/>
      <c r="AI5567" s="427"/>
      <c r="AJ5567" s="480"/>
      <c r="AK5567" s="427"/>
      <c r="AU5567" s="218"/>
      <c r="AV5567" s="218"/>
      <c r="AW5567" s="218"/>
      <c r="AX5567" s="218"/>
      <c r="AY5567" s="218"/>
      <c r="AZ5567" s="427"/>
      <c r="BA5567" s="427"/>
      <c r="BB5567" s="427"/>
      <c r="BI5567" s="427"/>
      <c r="BJ5567" s="427"/>
      <c r="BK5567" s="427"/>
      <c r="BL5567" s="427"/>
      <c r="BM5567" s="427"/>
      <c r="BN5567" s="427"/>
      <c r="BO5567" s="427"/>
      <c r="BP5567" s="427"/>
      <c r="BQ5567" s="427"/>
      <c r="BR5567" s="427"/>
      <c r="BS5567" s="427"/>
      <c r="BT5567" s="427"/>
      <c r="BU5567" s="427"/>
      <c r="BV5567" s="427"/>
      <c r="BW5567" s="427"/>
      <c r="BX5567" s="427"/>
      <c r="BY5567" s="427"/>
      <c r="BZ5567" s="427"/>
    </row>
    <row r="5568" spans="2:78" s="152" customFormat="1" x14ac:dyDescent="0.2">
      <c r="B5568" s="683"/>
      <c r="C5568" s="683"/>
      <c r="D5568" s="698"/>
      <c r="E5568" s="215"/>
      <c r="F5568" s="215"/>
      <c r="G5568" s="427"/>
      <c r="H5568" s="427"/>
      <c r="I5568" s="427"/>
      <c r="J5568" s="427"/>
      <c r="K5568" s="427"/>
      <c r="L5568" s="653"/>
      <c r="M5568" s="666"/>
      <c r="N5568" s="600">
        <v>15.23</v>
      </c>
      <c r="O5568" s="608">
        <v>5.8531399999999998</v>
      </c>
      <c r="P5568" s="782"/>
      <c r="Q5568" s="764"/>
      <c r="R5568" s="764"/>
      <c r="S5568" s="764"/>
      <c r="T5568" s="764"/>
      <c r="U5568" s="764"/>
      <c r="V5568" s="764"/>
      <c r="W5568" s="764"/>
      <c r="X5568" s="764"/>
      <c r="Y5568" s="768"/>
      <c r="Z5568" s="762"/>
      <c r="AA5568" s="150"/>
      <c r="AB5568" s="150">
        <v>215</v>
      </c>
      <c r="AC5568" s="150">
        <v>3.0000000000000001E-3</v>
      </c>
      <c r="AD5568" s="150">
        <v>13.87</v>
      </c>
      <c r="AE5568" s="150">
        <v>1.042</v>
      </c>
      <c r="AF5568" s="223">
        <f t="shared" si="36"/>
        <v>14.452539999999999</v>
      </c>
      <c r="AG5568" s="223">
        <f t="shared" si="35"/>
        <v>1.0537940043757015</v>
      </c>
      <c r="AH5568" s="346"/>
      <c r="AI5568" s="427"/>
      <c r="AJ5568" s="480"/>
      <c r="AK5568" s="427"/>
      <c r="AU5568" s="218"/>
      <c r="AV5568" s="218"/>
      <c r="AW5568" s="218"/>
      <c r="AX5568" s="218"/>
      <c r="AY5568" s="218"/>
      <c r="AZ5568" s="427"/>
      <c r="BA5568" s="427"/>
      <c r="BB5568" s="427"/>
      <c r="BI5568" s="427"/>
      <c r="BJ5568" s="427"/>
      <c r="BK5568" s="427"/>
      <c r="BL5568" s="427"/>
      <c r="BM5568" s="427"/>
      <c r="BN5568" s="427"/>
      <c r="BO5568" s="427"/>
      <c r="BP5568" s="427"/>
      <c r="BQ5568" s="427"/>
      <c r="BR5568" s="427"/>
      <c r="BS5568" s="427"/>
      <c r="BT5568" s="427"/>
      <c r="BU5568" s="427"/>
      <c r="BV5568" s="427"/>
      <c r="BW5568" s="427"/>
      <c r="BX5568" s="427"/>
      <c r="BY5568" s="427"/>
      <c r="BZ5568" s="427"/>
    </row>
    <row r="5569" spans="2:78" s="152" customFormat="1" x14ac:dyDescent="0.2">
      <c r="B5569" s="683"/>
      <c r="C5569" s="683"/>
      <c r="D5569" s="698"/>
      <c r="E5569" s="215"/>
      <c r="F5569" s="215"/>
      <c r="G5569" s="427"/>
      <c r="H5569" s="427"/>
      <c r="I5569" s="427"/>
      <c r="J5569" s="427"/>
      <c r="K5569" s="427"/>
      <c r="L5569" s="653"/>
      <c r="M5569" s="666"/>
      <c r="N5569" s="600">
        <v>14.93</v>
      </c>
      <c r="O5569" s="608">
        <v>1.42449</v>
      </c>
      <c r="P5569" s="782"/>
      <c r="Q5569" s="764"/>
      <c r="R5569" s="764"/>
      <c r="S5569" s="764"/>
      <c r="T5569" s="764"/>
      <c r="U5569" s="764"/>
      <c r="V5569" s="764"/>
      <c r="W5569" s="764"/>
      <c r="X5569" s="764"/>
      <c r="Y5569" s="768"/>
      <c r="Z5569" s="762"/>
      <c r="AA5569" s="150"/>
      <c r="AB5569" s="150">
        <v>216</v>
      </c>
      <c r="AC5569" s="150">
        <v>2.8999999999999998E-3</v>
      </c>
      <c r="AD5569" s="150">
        <v>13.83</v>
      </c>
      <c r="AE5569" s="150">
        <v>1.0329999999999999</v>
      </c>
      <c r="AF5569" s="223">
        <f t="shared" si="36"/>
        <v>14.286389999999999</v>
      </c>
      <c r="AG5569" s="223">
        <f t="shared" si="35"/>
        <v>1.0450505691080811</v>
      </c>
      <c r="AH5569" s="346"/>
      <c r="AI5569" s="427"/>
      <c r="AJ5569" s="480"/>
      <c r="AK5569" s="427"/>
      <c r="AU5569" s="218"/>
      <c r="AV5569" s="218"/>
      <c r="AW5569" s="218"/>
      <c r="AX5569" s="218"/>
      <c r="AY5569" s="218"/>
      <c r="AZ5569" s="427"/>
      <c r="BA5569" s="427"/>
      <c r="BB5569" s="427"/>
      <c r="BI5569" s="427"/>
      <c r="BJ5569" s="427"/>
      <c r="BK5569" s="427"/>
      <c r="BL5569" s="427"/>
      <c r="BM5569" s="427"/>
      <c r="BN5569" s="427"/>
      <c r="BO5569" s="427"/>
      <c r="BP5569" s="427"/>
      <c r="BQ5569" s="427"/>
      <c r="BR5569" s="427"/>
      <c r="BS5569" s="427"/>
      <c r="BT5569" s="427"/>
      <c r="BU5569" s="427"/>
      <c r="BV5569" s="427"/>
      <c r="BW5569" s="427"/>
      <c r="BX5569" s="427"/>
      <c r="BY5569" s="427"/>
      <c r="BZ5569" s="427"/>
    </row>
    <row r="5570" spans="2:78" s="152" customFormat="1" x14ac:dyDescent="0.2">
      <c r="B5570" s="683"/>
      <c r="C5570" s="683"/>
      <c r="D5570" s="698"/>
      <c r="E5570" s="215"/>
      <c r="F5570" s="215"/>
      <c r="G5570" s="427"/>
      <c r="H5570" s="427"/>
      <c r="I5570" s="427"/>
      <c r="J5570" s="427"/>
      <c r="K5570" s="427"/>
      <c r="L5570" s="653"/>
      <c r="M5570" s="666"/>
      <c r="N5570" s="600">
        <v>14.62</v>
      </c>
      <c r="O5570" s="608">
        <v>1.1431909999999998</v>
      </c>
      <c r="P5570" s="782"/>
      <c r="Q5570" s="764"/>
      <c r="R5570" s="764"/>
      <c r="S5570" s="764"/>
      <c r="T5570" s="764"/>
      <c r="U5570" s="764"/>
      <c r="V5570" s="764"/>
      <c r="W5570" s="764"/>
      <c r="X5570" s="764"/>
      <c r="Y5570" s="768"/>
      <c r="Z5570" s="762"/>
      <c r="AA5570" s="150"/>
      <c r="AB5570" s="150">
        <v>217</v>
      </c>
      <c r="AC5570" s="150">
        <v>2.8999999999999998E-3</v>
      </c>
      <c r="AD5570" s="150">
        <v>13.79</v>
      </c>
      <c r="AE5570" s="150">
        <v>1.024</v>
      </c>
      <c r="AF5570" s="223">
        <f t="shared" si="36"/>
        <v>14.12096</v>
      </c>
      <c r="AG5570" s="223">
        <f t="shared" si="35"/>
        <v>1.0353403734590283</v>
      </c>
      <c r="AH5570" s="346"/>
      <c r="AI5570" s="427"/>
      <c r="AJ5570" s="480"/>
      <c r="AK5570" s="427"/>
      <c r="AU5570" s="218"/>
      <c r="AV5570" s="218"/>
      <c r="AW5570" s="218"/>
      <c r="AX5570" s="218"/>
      <c r="AY5570" s="218"/>
      <c r="AZ5570" s="427"/>
      <c r="BA5570" s="427"/>
      <c r="BB5570" s="427"/>
      <c r="BI5570" s="427"/>
      <c r="BJ5570" s="427"/>
      <c r="BK5570" s="427"/>
      <c r="BL5570" s="427"/>
      <c r="BM5570" s="427"/>
      <c r="BN5570" s="427"/>
      <c r="BO5570" s="427"/>
      <c r="BP5570" s="427"/>
      <c r="BQ5570" s="427"/>
      <c r="BR5570" s="427"/>
      <c r="BS5570" s="427"/>
      <c r="BT5570" s="427"/>
      <c r="BU5570" s="427"/>
      <c r="BV5570" s="427"/>
      <c r="BW5570" s="427"/>
      <c r="BX5570" s="427"/>
      <c r="BY5570" s="427"/>
      <c r="BZ5570" s="427"/>
    </row>
    <row r="5571" spans="2:78" s="152" customFormat="1" x14ac:dyDescent="0.2">
      <c r="B5571" s="683"/>
      <c r="C5571" s="683"/>
      <c r="D5571" s="698"/>
      <c r="E5571" s="215"/>
      <c r="F5571" s="215"/>
      <c r="G5571" s="427"/>
      <c r="H5571" s="427"/>
      <c r="I5571" s="427"/>
      <c r="J5571" s="427"/>
      <c r="K5571" s="427"/>
      <c r="L5571" s="653"/>
      <c r="M5571" s="666"/>
      <c r="N5571" s="600">
        <v>14.23</v>
      </c>
      <c r="O5571" s="608">
        <v>1.8384800000000001</v>
      </c>
      <c r="P5571" s="782"/>
      <c r="Q5571" s="764"/>
      <c r="R5571" s="764"/>
      <c r="S5571" s="764"/>
      <c r="T5571" s="764"/>
      <c r="U5571" s="764"/>
      <c r="V5571" s="764"/>
      <c r="W5571" s="764"/>
      <c r="X5571" s="764"/>
      <c r="Y5571" s="768"/>
      <c r="Z5571" s="762"/>
      <c r="AA5571" s="150"/>
      <c r="AB5571" s="150">
        <v>218</v>
      </c>
      <c r="AC5571" s="150">
        <v>2.8E-3</v>
      </c>
      <c r="AD5571" s="150">
        <v>13.72</v>
      </c>
      <c r="AE5571" s="150">
        <v>1.012</v>
      </c>
      <c r="AF5571" s="223">
        <f t="shared" si="36"/>
        <v>13.884640000000001</v>
      </c>
      <c r="AG5571" s="223">
        <f t="shared" si="35"/>
        <v>1.0248735293100866</v>
      </c>
      <c r="AH5571" s="346"/>
      <c r="AI5571" s="427"/>
      <c r="AJ5571" s="480"/>
      <c r="AK5571" s="427"/>
      <c r="AU5571" s="218"/>
      <c r="AV5571" s="218"/>
      <c r="AW5571" s="218"/>
      <c r="AX5571" s="218"/>
      <c r="AY5571" s="218"/>
      <c r="AZ5571" s="427"/>
      <c r="BA5571" s="427"/>
      <c r="BB5571" s="427"/>
      <c r="BI5571" s="427"/>
      <c r="BJ5571" s="427"/>
      <c r="BK5571" s="427"/>
      <c r="BL5571" s="427"/>
      <c r="BM5571" s="427"/>
      <c r="BN5571" s="427"/>
      <c r="BO5571" s="427"/>
      <c r="BP5571" s="427"/>
      <c r="BQ5571" s="427"/>
      <c r="BR5571" s="427"/>
      <c r="BS5571" s="427"/>
      <c r="BT5571" s="427"/>
      <c r="BU5571" s="427"/>
      <c r="BV5571" s="427"/>
      <c r="BW5571" s="427"/>
      <c r="BX5571" s="427"/>
      <c r="BY5571" s="427"/>
      <c r="BZ5571" s="427"/>
    </row>
    <row r="5572" spans="2:78" s="152" customFormat="1" x14ac:dyDescent="0.2">
      <c r="B5572" s="683"/>
      <c r="C5572" s="683"/>
      <c r="D5572" s="698"/>
      <c r="E5572" s="215"/>
      <c r="F5572" s="215"/>
      <c r="G5572" s="427"/>
      <c r="H5572" s="427"/>
      <c r="I5572" s="427"/>
      <c r="J5572" s="427"/>
      <c r="K5572" s="427"/>
      <c r="L5572" s="653"/>
      <c r="M5572" s="666"/>
      <c r="N5572" s="600">
        <v>13.84</v>
      </c>
      <c r="O5572" s="608">
        <v>6.0284700000000004</v>
      </c>
      <c r="P5572" s="782"/>
      <c r="Q5572" s="764"/>
      <c r="R5572" s="764"/>
      <c r="S5572" s="764"/>
      <c r="T5572" s="764"/>
      <c r="U5572" s="764"/>
      <c r="V5572" s="764"/>
      <c r="W5572" s="764"/>
      <c r="X5572" s="764"/>
      <c r="Y5572" s="768"/>
      <c r="Z5572" s="762"/>
      <c r="AA5572" s="150"/>
      <c r="AB5572" s="150">
        <v>219</v>
      </c>
      <c r="AC5572" s="150">
        <v>2.8999999999999998E-3</v>
      </c>
      <c r="AD5572" s="150">
        <v>13.67</v>
      </c>
      <c r="AE5572" s="150">
        <v>1</v>
      </c>
      <c r="AF5572" s="223">
        <f t="shared" si="36"/>
        <v>13.67</v>
      </c>
      <c r="AG5572" s="223">
        <f t="shared" si="35"/>
        <v>1.0124359912216532</v>
      </c>
      <c r="AH5572" s="346"/>
      <c r="AI5572" s="427"/>
      <c r="AJ5572" s="480"/>
      <c r="AK5572" s="427"/>
      <c r="AU5572" s="218"/>
      <c r="AV5572" s="218"/>
      <c r="AW5572" s="218"/>
      <c r="AX5572" s="218"/>
      <c r="AY5572" s="218"/>
      <c r="AZ5572" s="427"/>
      <c r="BA5572" s="427"/>
      <c r="BB5572" s="427"/>
      <c r="BI5572" s="427"/>
      <c r="BJ5572" s="427"/>
      <c r="BK5572" s="427"/>
      <c r="BL5572" s="427"/>
      <c r="BM5572" s="427"/>
      <c r="BN5572" s="427"/>
      <c r="BO5572" s="427"/>
      <c r="BP5572" s="427"/>
      <c r="BQ5572" s="427"/>
      <c r="BR5572" s="427"/>
      <c r="BS5572" s="427"/>
      <c r="BT5572" s="427"/>
      <c r="BU5572" s="427"/>
      <c r="BV5572" s="427"/>
      <c r="BW5572" s="427"/>
      <c r="BX5572" s="427"/>
      <c r="BY5572" s="427"/>
      <c r="BZ5572" s="427"/>
    </row>
    <row r="5573" spans="2:78" s="152" customFormat="1" x14ac:dyDescent="0.2">
      <c r="B5573" s="683"/>
      <c r="C5573" s="683"/>
      <c r="D5573" s="698"/>
      <c r="E5573" s="215"/>
      <c r="F5573" s="215"/>
      <c r="G5573" s="427"/>
      <c r="H5573" s="427"/>
      <c r="I5573" s="427"/>
      <c r="J5573" s="427"/>
      <c r="K5573" s="427"/>
      <c r="L5573" s="653"/>
      <c r="M5573" s="666"/>
      <c r="N5573" s="600">
        <v>13.45</v>
      </c>
      <c r="O5573" s="608">
        <v>7.4365199999999998</v>
      </c>
      <c r="P5573" s="782"/>
      <c r="Q5573" s="764"/>
      <c r="R5573" s="764"/>
      <c r="S5573" s="764"/>
      <c r="T5573" s="764"/>
      <c r="U5573" s="764"/>
      <c r="V5573" s="764"/>
      <c r="W5573" s="764"/>
      <c r="X5573" s="764"/>
      <c r="Y5573" s="768"/>
      <c r="Z5573" s="762"/>
      <c r="AA5573" s="150"/>
      <c r="AB5573" s="150">
        <v>220</v>
      </c>
      <c r="AC5573" s="150">
        <v>2.8E-3</v>
      </c>
      <c r="AD5573" s="150">
        <v>13.62</v>
      </c>
      <c r="AE5573" s="150">
        <v>0.98799999999999999</v>
      </c>
      <c r="AF5573" s="223">
        <f t="shared" si="36"/>
        <v>13.45656</v>
      </c>
      <c r="AG5573" s="223">
        <f t="shared" si="35"/>
        <v>0.99951250542486336</v>
      </c>
      <c r="AH5573" s="346"/>
      <c r="AI5573" s="427"/>
      <c r="AJ5573" s="480"/>
      <c r="AK5573" s="427"/>
      <c r="AU5573" s="218"/>
      <c r="AV5573" s="218"/>
      <c r="AW5573" s="218"/>
      <c r="AX5573" s="218"/>
      <c r="AY5573" s="218"/>
      <c r="AZ5573" s="427"/>
      <c r="BA5573" s="427"/>
      <c r="BB5573" s="427"/>
      <c r="BI5573" s="427"/>
      <c r="BJ5573" s="427"/>
      <c r="BK5573" s="427"/>
      <c r="BL5573" s="427"/>
      <c r="BM5573" s="427"/>
      <c r="BN5573" s="427"/>
      <c r="BO5573" s="427"/>
      <c r="BP5573" s="427"/>
      <c r="BQ5573" s="427"/>
      <c r="BR5573" s="427"/>
      <c r="BS5573" s="427"/>
      <c r="BT5573" s="427"/>
      <c r="BU5573" s="427"/>
      <c r="BV5573" s="427"/>
      <c r="BW5573" s="427"/>
      <c r="BX5573" s="427"/>
      <c r="BY5573" s="427"/>
      <c r="BZ5573" s="427"/>
    </row>
    <row r="5574" spans="2:78" s="152" customFormat="1" x14ac:dyDescent="0.2">
      <c r="B5574" s="683"/>
      <c r="C5574" s="683"/>
      <c r="D5574" s="698"/>
      <c r="E5574" s="215"/>
      <c r="F5574" s="215"/>
      <c r="G5574" s="427"/>
      <c r="H5574" s="427"/>
      <c r="I5574" s="427"/>
      <c r="J5574" s="427"/>
      <c r="K5574" s="427"/>
      <c r="L5574" s="653"/>
      <c r="M5574" s="666"/>
      <c r="N5574" s="600">
        <v>13.26</v>
      </c>
      <c r="O5574" s="608">
        <v>5.0344699999999998</v>
      </c>
      <c r="P5574" s="782"/>
      <c r="Q5574" s="764"/>
      <c r="R5574" s="764"/>
      <c r="S5574" s="764"/>
      <c r="T5574" s="764"/>
      <c r="U5574" s="764"/>
      <c r="V5574" s="764"/>
      <c r="W5574" s="764"/>
      <c r="X5574" s="764"/>
      <c r="Y5574" s="768"/>
      <c r="Z5574" s="762"/>
      <c r="AA5574" s="150"/>
      <c r="AB5574" s="150">
        <v>221</v>
      </c>
      <c r="AC5574" s="150">
        <v>2.8999999999999998E-3</v>
      </c>
      <c r="AD5574" s="150">
        <v>13.57</v>
      </c>
      <c r="AE5574" s="150">
        <v>0.98099999999999998</v>
      </c>
      <c r="AF5574" s="223">
        <f t="shared" si="36"/>
        <v>13.31217</v>
      </c>
      <c r="AG5574" s="223">
        <f t="shared" si="35"/>
        <v>0.99608102961425515</v>
      </c>
      <c r="AH5574" s="346"/>
      <c r="AI5574" s="427"/>
      <c r="AJ5574" s="480"/>
      <c r="AK5574" s="427"/>
      <c r="AU5574" s="218"/>
      <c r="AV5574" s="218"/>
      <c r="AW5574" s="218"/>
      <c r="AX5574" s="218"/>
      <c r="AY5574" s="218"/>
      <c r="AZ5574" s="427"/>
      <c r="BA5574" s="427"/>
      <c r="BB5574" s="427"/>
      <c r="BI5574" s="427"/>
      <c r="BJ5574" s="427"/>
      <c r="BK5574" s="427"/>
      <c r="BL5574" s="427"/>
      <c r="BM5574" s="427"/>
      <c r="BN5574" s="427"/>
      <c r="BO5574" s="427"/>
      <c r="BP5574" s="427"/>
      <c r="BQ5574" s="427"/>
      <c r="BR5574" s="427"/>
      <c r="BS5574" s="427"/>
      <c r="BT5574" s="427"/>
      <c r="BU5574" s="427"/>
      <c r="BV5574" s="427"/>
      <c r="BW5574" s="427"/>
      <c r="BX5574" s="427"/>
      <c r="BY5574" s="427"/>
      <c r="BZ5574" s="427"/>
    </row>
    <row r="5575" spans="2:78" s="152" customFormat="1" x14ac:dyDescent="0.2">
      <c r="B5575" s="683"/>
      <c r="C5575" s="683"/>
      <c r="D5575" s="698"/>
      <c r="E5575" s="215"/>
      <c r="F5575" s="215"/>
      <c r="G5575" s="427"/>
      <c r="H5575" s="427"/>
      <c r="I5575" s="427"/>
      <c r="J5575" s="427"/>
      <c r="K5575" s="427"/>
      <c r="L5575" s="653"/>
      <c r="M5575" s="666"/>
      <c r="N5575" s="600">
        <v>12.98</v>
      </c>
      <c r="O5575" s="608">
        <v>9.7812400000000004</v>
      </c>
      <c r="P5575" s="782"/>
      <c r="Q5575" s="764"/>
      <c r="R5575" s="764"/>
      <c r="S5575" s="764"/>
      <c r="T5575" s="764"/>
      <c r="U5575" s="764"/>
      <c r="V5575" s="764"/>
      <c r="W5575" s="764"/>
      <c r="X5575" s="764"/>
      <c r="Y5575" s="768"/>
      <c r="Z5575" s="762"/>
      <c r="AA5575" s="150"/>
      <c r="AB5575" s="150">
        <v>222</v>
      </c>
      <c r="AC5575" s="150">
        <v>2.7000000000000001E-3</v>
      </c>
      <c r="AD5575" s="150">
        <v>13.51</v>
      </c>
      <c r="AE5575" s="150">
        <v>0.97199999999999998</v>
      </c>
      <c r="AF5575" s="223">
        <f t="shared" si="36"/>
        <v>13.13172</v>
      </c>
      <c r="AG5575" s="223">
        <f t="shared" si="35"/>
        <v>0.98844629644859938</v>
      </c>
      <c r="AH5575" s="346"/>
      <c r="AI5575" s="427"/>
      <c r="AJ5575" s="480"/>
      <c r="AK5575" s="427"/>
      <c r="AU5575" s="218"/>
      <c r="AV5575" s="218"/>
      <c r="AW5575" s="218"/>
      <c r="AX5575" s="218"/>
      <c r="AY5575" s="218"/>
      <c r="AZ5575" s="427"/>
      <c r="BA5575" s="427"/>
      <c r="BB5575" s="427"/>
      <c r="BI5575" s="427"/>
      <c r="BJ5575" s="427"/>
      <c r="BK5575" s="427"/>
      <c r="BL5575" s="427"/>
      <c r="BM5575" s="427"/>
      <c r="BN5575" s="427"/>
      <c r="BO5575" s="427"/>
      <c r="BP5575" s="427"/>
      <c r="BQ5575" s="427"/>
      <c r="BR5575" s="427"/>
      <c r="BS5575" s="427"/>
      <c r="BT5575" s="427"/>
      <c r="BU5575" s="427"/>
      <c r="BV5575" s="427"/>
      <c r="BW5575" s="427"/>
      <c r="BX5575" s="427"/>
      <c r="BY5575" s="427"/>
      <c r="BZ5575" s="427"/>
    </row>
    <row r="5576" spans="2:78" s="152" customFormat="1" x14ac:dyDescent="0.2">
      <c r="B5576" s="683"/>
      <c r="C5576" s="683"/>
      <c r="D5576" s="698"/>
      <c r="E5576" s="215"/>
      <c r="F5576" s="215"/>
      <c r="G5576" s="427"/>
      <c r="H5576" s="427"/>
      <c r="I5576" s="427"/>
      <c r="J5576" s="427"/>
      <c r="K5576" s="427"/>
      <c r="L5576" s="653"/>
      <c r="M5576" s="666"/>
      <c r="N5576" s="600">
        <v>12.52</v>
      </c>
      <c r="O5576" s="608">
        <v>9.4963499999999996</v>
      </c>
      <c r="P5576" s="782"/>
      <c r="Q5576" s="764"/>
      <c r="R5576" s="764"/>
      <c r="S5576" s="764"/>
      <c r="T5576" s="764"/>
      <c r="U5576" s="764"/>
      <c r="V5576" s="764"/>
      <c r="W5576" s="764"/>
      <c r="X5576" s="764"/>
      <c r="Y5576" s="768"/>
      <c r="Z5576" s="762"/>
      <c r="AA5576" s="150"/>
      <c r="AB5576" s="150">
        <v>223</v>
      </c>
      <c r="AC5576" s="150">
        <v>2.8E-3</v>
      </c>
      <c r="AD5576" s="150">
        <v>13.47</v>
      </c>
      <c r="AE5576" s="150">
        <v>0.95699999999999996</v>
      </c>
      <c r="AF5576" s="223">
        <f t="shared" si="36"/>
        <v>12.890790000000001</v>
      </c>
      <c r="AG5576" s="223">
        <f t="shared" si="35"/>
        <v>0.971236053027006</v>
      </c>
      <c r="AH5576" s="346"/>
      <c r="AI5576" s="427"/>
      <c r="AJ5576" s="480"/>
      <c r="AK5576" s="427"/>
      <c r="AU5576" s="218"/>
      <c r="AV5576" s="218"/>
      <c r="AW5576" s="218"/>
      <c r="AX5576" s="218"/>
      <c r="AY5576" s="218"/>
      <c r="AZ5576" s="427"/>
      <c r="BA5576" s="427"/>
      <c r="BB5576" s="427"/>
      <c r="BI5576" s="427"/>
      <c r="BJ5576" s="427"/>
      <c r="BK5576" s="427"/>
      <c r="BL5576" s="427"/>
      <c r="BM5576" s="427"/>
      <c r="BN5576" s="427"/>
      <c r="BO5576" s="427"/>
      <c r="BP5576" s="427"/>
      <c r="BQ5576" s="427"/>
      <c r="BR5576" s="427"/>
      <c r="BS5576" s="427"/>
      <c r="BT5576" s="427"/>
      <c r="BU5576" s="427"/>
      <c r="BV5576" s="427"/>
      <c r="BW5576" s="427"/>
      <c r="BX5576" s="427"/>
      <c r="BY5576" s="427"/>
      <c r="BZ5576" s="427"/>
    </row>
    <row r="5577" spans="2:78" s="152" customFormat="1" x14ac:dyDescent="0.2">
      <c r="B5577" s="683"/>
      <c r="C5577" s="683"/>
      <c r="D5577" s="698"/>
      <c r="E5577" s="215"/>
      <c r="F5577" s="215"/>
      <c r="G5577" s="427"/>
      <c r="H5577" s="427"/>
      <c r="I5577" s="427"/>
      <c r="J5577" s="427"/>
      <c r="K5577" s="427"/>
      <c r="L5577" s="653"/>
      <c r="M5577" s="666"/>
      <c r="N5577" s="600">
        <v>12.34</v>
      </c>
      <c r="O5577" s="608">
        <v>7.6225599999999991</v>
      </c>
      <c r="P5577" s="782"/>
      <c r="Q5577" s="764"/>
      <c r="R5577" s="764"/>
      <c r="S5577" s="764"/>
      <c r="T5577" s="764"/>
      <c r="U5577" s="764"/>
      <c r="V5577" s="764"/>
      <c r="W5577" s="764"/>
      <c r="X5577" s="764"/>
      <c r="Y5577" s="768"/>
      <c r="Z5577" s="762"/>
      <c r="AA5577" s="150"/>
      <c r="AB5577" s="150">
        <v>224</v>
      </c>
      <c r="AC5577" s="150">
        <v>2.8999999999999998E-3</v>
      </c>
      <c r="AD5577" s="150">
        <v>13.42</v>
      </c>
      <c r="AE5577" s="150">
        <v>0.95099999999999996</v>
      </c>
      <c r="AF5577" s="223">
        <f t="shared" si="36"/>
        <v>12.762419999999999</v>
      </c>
      <c r="AG5577" s="223">
        <f t="shared" si="35"/>
        <v>0.96690126167294299</v>
      </c>
      <c r="AH5577" s="346"/>
      <c r="AI5577" s="427"/>
      <c r="AJ5577" s="480"/>
      <c r="AK5577" s="427"/>
      <c r="AU5577" s="218"/>
      <c r="AV5577" s="218"/>
      <c r="AW5577" s="218"/>
      <c r="AX5577" s="218"/>
      <c r="AY5577" s="218"/>
      <c r="AZ5577" s="427"/>
      <c r="BA5577" s="427"/>
      <c r="BB5577" s="427"/>
      <c r="BI5577" s="427"/>
      <c r="BJ5577" s="427"/>
      <c r="BK5577" s="427"/>
      <c r="BL5577" s="427"/>
      <c r="BM5577" s="427"/>
      <c r="BN5577" s="427"/>
      <c r="BO5577" s="427"/>
      <c r="BP5577" s="427"/>
      <c r="BQ5577" s="427"/>
      <c r="BR5577" s="427"/>
      <c r="BS5577" s="427"/>
      <c r="BT5577" s="427"/>
      <c r="BU5577" s="427"/>
      <c r="BV5577" s="427"/>
      <c r="BW5577" s="427"/>
      <c r="BX5577" s="427"/>
      <c r="BY5577" s="427"/>
      <c r="BZ5577" s="427"/>
    </row>
    <row r="5578" spans="2:78" s="152" customFormat="1" x14ac:dyDescent="0.2">
      <c r="B5578" s="683"/>
      <c r="C5578" s="683"/>
      <c r="D5578" s="698"/>
      <c r="E5578" s="215"/>
      <c r="F5578" s="215"/>
      <c r="G5578" s="427"/>
      <c r="H5578" s="427"/>
      <c r="I5578" s="427"/>
      <c r="J5578" s="427"/>
      <c r="K5578" s="427"/>
      <c r="L5578" s="653"/>
      <c r="M5578" s="666"/>
      <c r="N5578" s="600">
        <v>11.98</v>
      </c>
      <c r="O5578" s="608">
        <v>4.3719900000000003</v>
      </c>
      <c r="P5578" s="782"/>
      <c r="Q5578" s="764"/>
      <c r="R5578" s="764"/>
      <c r="S5578" s="764"/>
      <c r="T5578" s="764"/>
      <c r="U5578" s="764"/>
      <c r="V5578" s="764"/>
      <c r="W5578" s="764"/>
      <c r="X5578" s="764"/>
      <c r="Y5578" s="768"/>
      <c r="Z5578" s="762"/>
      <c r="AA5578" s="150"/>
      <c r="AB5578" s="150">
        <v>225</v>
      </c>
      <c r="AC5578" s="150">
        <v>2.7000000000000001E-3</v>
      </c>
      <c r="AD5578" s="150">
        <v>13.37</v>
      </c>
      <c r="AE5578" s="150">
        <v>0.93899999999999995</v>
      </c>
      <c r="AF5578" s="223">
        <f t="shared" si="36"/>
        <v>12.554429999999998</v>
      </c>
      <c r="AG5578" s="223">
        <f t="shared" si="35"/>
        <v>0.95424483628488133</v>
      </c>
      <c r="AH5578" s="346"/>
      <c r="AI5578" s="427"/>
      <c r="AJ5578" s="480"/>
      <c r="AK5578" s="427"/>
      <c r="AU5578" s="218"/>
      <c r="AV5578" s="218"/>
      <c r="AW5578" s="218"/>
      <c r="AX5578" s="218"/>
      <c r="AY5578" s="218"/>
      <c r="AZ5578" s="427"/>
      <c r="BA5578" s="427"/>
      <c r="BB5578" s="427"/>
      <c r="BI5578" s="427"/>
      <c r="BJ5578" s="427"/>
      <c r="BK5578" s="427"/>
      <c r="BL5578" s="427"/>
      <c r="BM5578" s="427"/>
      <c r="BN5578" s="427"/>
      <c r="BO5578" s="427"/>
      <c r="BP5578" s="427"/>
      <c r="BQ5578" s="427"/>
      <c r="BR5578" s="427"/>
      <c r="BS5578" s="427"/>
      <c r="BT5578" s="427"/>
      <c r="BU5578" s="427"/>
      <c r="BV5578" s="427"/>
      <c r="BW5578" s="427"/>
      <c r="BX5578" s="427"/>
      <c r="BY5578" s="427"/>
      <c r="BZ5578" s="427"/>
    </row>
    <row r="5579" spans="2:78" s="152" customFormat="1" x14ac:dyDescent="0.2">
      <c r="B5579" s="683"/>
      <c r="C5579" s="683"/>
      <c r="D5579" s="698"/>
      <c r="E5579" s="215"/>
      <c r="F5579" s="215"/>
      <c r="G5579" s="427"/>
      <c r="H5579" s="427"/>
      <c r="I5579" s="427"/>
      <c r="J5579" s="427"/>
      <c r="K5579" s="427"/>
      <c r="L5579" s="653"/>
      <c r="M5579" s="666"/>
      <c r="N5579" s="600">
        <v>11.71</v>
      </c>
      <c r="O5579" s="608">
        <v>13.832000000000001</v>
      </c>
      <c r="P5579" s="782"/>
      <c r="Q5579" s="764"/>
      <c r="R5579" s="764"/>
      <c r="S5579" s="764"/>
      <c r="T5579" s="764"/>
      <c r="U5579" s="764"/>
      <c r="V5579" s="764"/>
      <c r="W5579" s="764"/>
      <c r="X5579" s="764"/>
      <c r="Y5579" s="768"/>
      <c r="Z5579" s="762"/>
      <c r="AA5579" s="150"/>
      <c r="AB5579" s="150">
        <v>226</v>
      </c>
      <c r="AC5579" s="150">
        <v>2.7000000000000001E-3</v>
      </c>
      <c r="AD5579" s="150">
        <v>13.3</v>
      </c>
      <c r="AE5579" s="150">
        <v>0.93</v>
      </c>
      <c r="AF5579" s="223">
        <f t="shared" si="36"/>
        <v>12.369000000000002</v>
      </c>
      <c r="AG5579" s="223">
        <f t="shared" si="35"/>
        <v>0.94672164281671922</v>
      </c>
      <c r="AH5579" s="346"/>
      <c r="AI5579" s="427"/>
      <c r="AJ5579" s="480"/>
      <c r="AK5579" s="427"/>
      <c r="AU5579" s="218"/>
      <c r="AV5579" s="218"/>
      <c r="AW5579" s="218"/>
      <c r="AX5579" s="218"/>
      <c r="AY5579" s="218"/>
      <c r="AZ5579" s="427"/>
      <c r="BA5579" s="427"/>
      <c r="BB5579" s="427"/>
      <c r="BI5579" s="427"/>
      <c r="BJ5579" s="427"/>
      <c r="BK5579" s="427"/>
      <c r="BL5579" s="427"/>
      <c r="BM5579" s="427"/>
      <c r="BN5579" s="427"/>
      <c r="BO5579" s="427"/>
      <c r="BP5579" s="427"/>
      <c r="BQ5579" s="427"/>
      <c r="BR5579" s="427"/>
      <c r="BS5579" s="427"/>
      <c r="BT5579" s="427"/>
      <c r="BU5579" s="427"/>
      <c r="BV5579" s="427"/>
      <c r="BW5579" s="427"/>
      <c r="BX5579" s="427"/>
      <c r="BY5579" s="427"/>
      <c r="BZ5579" s="427"/>
    </row>
    <row r="5580" spans="2:78" s="152" customFormat="1" x14ac:dyDescent="0.2">
      <c r="B5580" s="683"/>
      <c r="C5580" s="683"/>
      <c r="D5580" s="698"/>
      <c r="E5580" s="215"/>
      <c r="F5580" s="215"/>
      <c r="G5580" s="427"/>
      <c r="H5580" s="427"/>
      <c r="I5580" s="427"/>
      <c r="J5580" s="427"/>
      <c r="K5580" s="427"/>
      <c r="L5580" s="653"/>
      <c r="M5580" s="666"/>
      <c r="N5580" s="600">
        <v>11.27</v>
      </c>
      <c r="O5580" s="608">
        <v>10.9809</v>
      </c>
      <c r="P5580" s="782"/>
      <c r="Q5580" s="764"/>
      <c r="R5580" s="764"/>
      <c r="S5580" s="764"/>
      <c r="T5580" s="764"/>
      <c r="U5580" s="764"/>
      <c r="V5580" s="764"/>
      <c r="W5580" s="764"/>
      <c r="X5580" s="764"/>
      <c r="Y5580" s="768"/>
      <c r="Z5580" s="762"/>
      <c r="AA5580" s="150"/>
      <c r="AB5580" s="150">
        <v>227</v>
      </c>
      <c r="AC5580" s="150">
        <v>2.5999999999999999E-3</v>
      </c>
      <c r="AD5580" s="150">
        <v>13.23</v>
      </c>
      <c r="AE5580" s="150">
        <v>0.91400000000000003</v>
      </c>
      <c r="AF5580" s="223">
        <f t="shared" si="36"/>
        <v>12.092220000000001</v>
      </c>
      <c r="AG5580" s="223">
        <f t="shared" si="35"/>
        <v>0.9320042142799253</v>
      </c>
      <c r="AH5580" s="346"/>
      <c r="AI5580" s="427"/>
      <c r="AJ5580" s="480"/>
      <c r="AK5580" s="427"/>
      <c r="AU5580" s="218"/>
      <c r="AV5580" s="218"/>
      <c r="AW5580" s="218"/>
      <c r="AX5580" s="218"/>
      <c r="AY5580" s="218"/>
      <c r="AZ5580" s="427"/>
      <c r="BA5580" s="427"/>
      <c r="BB5580" s="427"/>
      <c r="BI5580" s="427"/>
      <c r="BJ5580" s="427"/>
      <c r="BK5580" s="427"/>
      <c r="BL5580" s="427"/>
      <c r="BM5580" s="427"/>
      <c r="BN5580" s="427"/>
      <c r="BO5580" s="427"/>
      <c r="BP5580" s="427"/>
      <c r="BQ5580" s="427"/>
      <c r="BR5580" s="427"/>
      <c r="BS5580" s="427"/>
      <c r="BT5580" s="427"/>
      <c r="BU5580" s="427"/>
      <c r="BV5580" s="427"/>
      <c r="BW5580" s="427"/>
      <c r="BX5580" s="427"/>
      <c r="BY5580" s="427"/>
      <c r="BZ5580" s="427"/>
    </row>
    <row r="5581" spans="2:78" s="152" customFormat="1" x14ac:dyDescent="0.2">
      <c r="B5581" s="683"/>
      <c r="C5581" s="683"/>
      <c r="D5581" s="698"/>
      <c r="E5581" s="215"/>
      <c r="F5581" s="215"/>
      <c r="G5581" s="427"/>
      <c r="H5581" s="427"/>
      <c r="I5581" s="427"/>
      <c r="J5581" s="427"/>
      <c r="K5581" s="427"/>
      <c r="L5581" s="653"/>
      <c r="M5581" s="666"/>
      <c r="N5581" s="600">
        <v>11.02</v>
      </c>
      <c r="O5581" s="608">
        <v>5.9795999999999996</v>
      </c>
      <c r="P5581" s="782"/>
      <c r="Q5581" s="764"/>
      <c r="R5581" s="764"/>
      <c r="S5581" s="764"/>
      <c r="T5581" s="764"/>
      <c r="U5581" s="764"/>
      <c r="V5581" s="764"/>
      <c r="W5581" s="764"/>
      <c r="X5581" s="764"/>
      <c r="Y5581" s="768"/>
      <c r="Z5581" s="762"/>
      <c r="AA5581" s="150"/>
      <c r="AB5581" s="150">
        <v>228</v>
      </c>
      <c r="AC5581" s="150">
        <v>2.7000000000000001E-3</v>
      </c>
      <c r="AD5581" s="150">
        <v>13.2</v>
      </c>
      <c r="AE5581" s="150">
        <v>0.90500000000000003</v>
      </c>
      <c r="AF5581" s="223">
        <f t="shared" si="36"/>
        <v>11.946</v>
      </c>
      <c r="AG5581" s="223">
        <f t="shared" si="35"/>
        <v>0.92248451364473461</v>
      </c>
      <c r="AH5581" s="346"/>
      <c r="AI5581" s="427"/>
      <c r="AJ5581" s="480"/>
      <c r="AK5581" s="427"/>
      <c r="AU5581" s="218"/>
      <c r="AV5581" s="218"/>
      <c r="AW5581" s="218"/>
      <c r="AX5581" s="218"/>
      <c r="AY5581" s="218"/>
      <c r="AZ5581" s="427"/>
      <c r="BA5581" s="427"/>
      <c r="BB5581" s="427"/>
      <c r="BI5581" s="427"/>
      <c r="BJ5581" s="427"/>
      <c r="BK5581" s="427"/>
      <c r="BL5581" s="427"/>
      <c r="BM5581" s="427"/>
      <c r="BN5581" s="427"/>
      <c r="BO5581" s="427"/>
      <c r="BP5581" s="427"/>
      <c r="BQ5581" s="427"/>
      <c r="BR5581" s="427"/>
      <c r="BS5581" s="427"/>
      <c r="BT5581" s="427"/>
      <c r="BU5581" s="427"/>
      <c r="BV5581" s="427"/>
      <c r="BW5581" s="427"/>
      <c r="BX5581" s="427"/>
      <c r="BY5581" s="427"/>
      <c r="BZ5581" s="427"/>
    </row>
    <row r="5582" spans="2:78" s="152" customFormat="1" x14ac:dyDescent="0.2">
      <c r="B5582" s="683"/>
      <c r="C5582" s="683"/>
      <c r="D5582" s="698"/>
      <c r="E5582" s="215"/>
      <c r="F5582" s="215"/>
      <c r="G5582" s="427"/>
      <c r="H5582" s="427"/>
      <c r="I5582" s="427"/>
      <c r="J5582" s="427"/>
      <c r="K5582" s="427"/>
      <c r="L5582" s="653"/>
      <c r="M5582" s="666"/>
      <c r="N5582" s="600">
        <v>10.76</v>
      </c>
      <c r="O5582" s="608">
        <v>4.1490800000000005</v>
      </c>
      <c r="P5582" s="782"/>
      <c r="Q5582" s="764"/>
      <c r="R5582" s="764"/>
      <c r="S5582" s="764"/>
      <c r="T5582" s="764"/>
      <c r="U5582" s="764"/>
      <c r="V5582" s="764"/>
      <c r="W5582" s="764"/>
      <c r="X5582" s="764"/>
      <c r="Y5582" s="768"/>
      <c r="Z5582" s="762"/>
      <c r="AA5582" s="150"/>
      <c r="AB5582" s="150">
        <v>229</v>
      </c>
      <c r="AC5582" s="150">
        <v>2.5000000000000001E-3</v>
      </c>
      <c r="AD5582" s="150">
        <v>13.13</v>
      </c>
      <c r="AE5582" s="150">
        <v>0.89600000000000002</v>
      </c>
      <c r="AF5582" s="223">
        <f t="shared" si="36"/>
        <v>11.764480000000001</v>
      </c>
      <c r="AG5582" s="223">
        <f t="shared" si="35"/>
        <v>0.9146175606571646</v>
      </c>
      <c r="AH5582" s="346"/>
      <c r="AI5582" s="427"/>
      <c r="AJ5582" s="480"/>
      <c r="AK5582" s="427"/>
      <c r="AU5582" s="218"/>
      <c r="AV5582" s="218"/>
      <c r="AW5582" s="218"/>
      <c r="AX5582" s="218"/>
      <c r="AY5582" s="218"/>
      <c r="AZ5582" s="427"/>
      <c r="BA5582" s="427"/>
      <c r="BB5582" s="427"/>
      <c r="BI5582" s="427"/>
      <c r="BJ5582" s="427"/>
      <c r="BK5582" s="427"/>
      <c r="BL5582" s="427"/>
      <c r="BM5582" s="427"/>
      <c r="BN5582" s="427"/>
      <c r="BO5582" s="427"/>
      <c r="BP5582" s="427"/>
      <c r="BQ5582" s="427"/>
      <c r="BR5582" s="427"/>
      <c r="BS5582" s="427"/>
      <c r="BT5582" s="427"/>
      <c r="BU5582" s="427"/>
      <c r="BV5582" s="427"/>
      <c r="BW5582" s="427"/>
      <c r="BX5582" s="427"/>
      <c r="BY5582" s="427"/>
      <c r="BZ5582" s="427"/>
    </row>
    <row r="5583" spans="2:78" s="152" customFormat="1" x14ac:dyDescent="0.2">
      <c r="B5583" s="683"/>
      <c r="C5583" s="683"/>
      <c r="D5583" s="698"/>
      <c r="E5583" s="215"/>
      <c r="F5583" s="215"/>
      <c r="G5583" s="427"/>
      <c r="H5583" s="427"/>
      <c r="I5583" s="427"/>
      <c r="J5583" s="427"/>
      <c r="K5583" s="427"/>
      <c r="L5583" s="653"/>
      <c r="M5583" s="666"/>
      <c r="N5583" s="600">
        <v>10.26</v>
      </c>
      <c r="O5583" s="608">
        <v>3.8687199999999997</v>
      </c>
      <c r="P5583" s="782"/>
      <c r="Q5583" s="764"/>
      <c r="R5583" s="764"/>
      <c r="S5583" s="764"/>
      <c r="T5583" s="764"/>
      <c r="U5583" s="764"/>
      <c r="V5583" s="764"/>
      <c r="W5583" s="764"/>
      <c r="X5583" s="764"/>
      <c r="Y5583" s="768"/>
      <c r="Z5583" s="762"/>
      <c r="AA5583" s="150"/>
      <c r="AB5583" s="150">
        <v>230</v>
      </c>
      <c r="AC5583" s="150">
        <v>2.5999999999999999E-3</v>
      </c>
      <c r="AD5583" s="150">
        <v>13.07</v>
      </c>
      <c r="AE5583" s="150">
        <v>0.878</v>
      </c>
      <c r="AF5583" s="223">
        <f t="shared" si="36"/>
        <v>11.47546</v>
      </c>
      <c r="AG5583" s="223">
        <f t="shared" si="35"/>
        <v>0.89408180587096286</v>
      </c>
      <c r="AH5583" s="346"/>
      <c r="AI5583" s="427"/>
      <c r="AJ5583" s="480"/>
      <c r="AK5583" s="427"/>
      <c r="AU5583" s="218"/>
      <c r="AV5583" s="218"/>
      <c r="AW5583" s="218"/>
      <c r="AX5583" s="218"/>
      <c r="AY5583" s="218"/>
      <c r="AZ5583" s="427"/>
      <c r="BA5583" s="427"/>
      <c r="BB5583" s="427"/>
      <c r="BI5583" s="427"/>
      <c r="BJ5583" s="427"/>
      <c r="BK5583" s="427"/>
      <c r="BL5583" s="427"/>
      <c r="BM5583" s="427"/>
      <c r="BN5583" s="427"/>
      <c r="BO5583" s="427"/>
      <c r="BP5583" s="427"/>
      <c r="BQ5583" s="427"/>
      <c r="BR5583" s="427"/>
      <c r="BS5583" s="427"/>
      <c r="BT5583" s="427"/>
      <c r="BU5583" s="427"/>
      <c r="BV5583" s="427"/>
      <c r="BW5583" s="427"/>
      <c r="BX5583" s="427"/>
      <c r="BY5583" s="427"/>
      <c r="BZ5583" s="427"/>
    </row>
    <row r="5584" spans="2:78" s="152" customFormat="1" x14ac:dyDescent="0.2">
      <c r="B5584" s="683"/>
      <c r="C5584" s="683"/>
      <c r="D5584" s="698"/>
      <c r="E5584" s="215"/>
      <c r="F5584" s="215"/>
      <c r="G5584" s="427"/>
      <c r="H5584" s="427"/>
      <c r="I5584" s="427"/>
      <c r="J5584" s="427"/>
      <c r="K5584" s="427"/>
      <c r="L5584" s="653"/>
      <c r="M5584" s="666"/>
      <c r="N5584" s="600">
        <v>10.18</v>
      </c>
      <c r="O5584" s="608">
        <v>4.6386799999999999</v>
      </c>
      <c r="P5584" s="782"/>
      <c r="Q5584" s="764"/>
      <c r="R5584" s="764"/>
      <c r="S5584" s="764"/>
      <c r="T5584" s="764"/>
      <c r="U5584" s="764"/>
      <c r="V5584" s="764"/>
      <c r="W5584" s="764"/>
      <c r="X5584" s="764"/>
      <c r="Y5584" s="768"/>
      <c r="Z5584" s="762"/>
      <c r="AA5584" s="150"/>
      <c r="AB5584" s="150">
        <v>231</v>
      </c>
      <c r="AC5584" s="150">
        <v>2.5000000000000001E-3</v>
      </c>
      <c r="AD5584" s="150">
        <v>13.03</v>
      </c>
      <c r="AE5584" s="150">
        <v>0.875</v>
      </c>
      <c r="AF5584" s="223">
        <f t="shared" si="36"/>
        <v>11.401249999999999</v>
      </c>
      <c r="AG5584" s="223">
        <f t="shared" si="35"/>
        <v>0.89288455213244167</v>
      </c>
      <c r="AH5584" s="346"/>
      <c r="AI5584" s="427"/>
      <c r="AJ5584" s="480"/>
      <c r="AK5584" s="427"/>
      <c r="AU5584" s="218"/>
      <c r="AV5584" s="218"/>
      <c r="AW5584" s="218"/>
      <c r="AX5584" s="218"/>
      <c r="AY5584" s="218"/>
      <c r="AZ5584" s="427"/>
      <c r="BA5584" s="427"/>
      <c r="BB5584" s="427"/>
      <c r="BI5584" s="427"/>
      <c r="BJ5584" s="427"/>
      <c r="BK5584" s="427"/>
      <c r="BL5584" s="427"/>
      <c r="BM5584" s="427"/>
      <c r="BN5584" s="427"/>
      <c r="BO5584" s="427"/>
      <c r="BP5584" s="427"/>
      <c r="BQ5584" s="427"/>
      <c r="BR5584" s="427"/>
      <c r="BS5584" s="427"/>
      <c r="BT5584" s="427"/>
      <c r="BU5584" s="427"/>
      <c r="BV5584" s="427"/>
      <c r="BW5584" s="427"/>
      <c r="BX5584" s="427"/>
      <c r="BY5584" s="427"/>
      <c r="BZ5584" s="427"/>
    </row>
    <row r="5585" spans="2:78" s="152" customFormat="1" x14ac:dyDescent="0.2">
      <c r="B5585" s="683"/>
      <c r="C5585" s="683"/>
      <c r="D5585" s="698"/>
      <c r="E5585" s="215"/>
      <c r="F5585" s="215"/>
      <c r="G5585" s="427"/>
      <c r="H5585" s="427"/>
      <c r="I5585" s="427"/>
      <c r="J5585" s="427"/>
      <c r="K5585" s="427"/>
      <c r="L5585" s="653"/>
      <c r="M5585" s="666"/>
      <c r="N5585" s="600">
        <v>10.02</v>
      </c>
      <c r="O5585" s="608">
        <v>2.327</v>
      </c>
      <c r="P5585" s="782"/>
      <c r="Q5585" s="764"/>
      <c r="R5585" s="764"/>
      <c r="S5585" s="764"/>
      <c r="T5585" s="764"/>
      <c r="U5585" s="764"/>
      <c r="V5585" s="764"/>
      <c r="W5585" s="764"/>
      <c r="X5585" s="764"/>
      <c r="Y5585" s="768"/>
      <c r="Z5585" s="762"/>
      <c r="AA5585" s="150"/>
      <c r="AB5585" s="150">
        <v>232</v>
      </c>
      <c r="AC5585" s="150">
        <v>2.5000000000000001E-3</v>
      </c>
      <c r="AD5585" s="150">
        <v>13</v>
      </c>
      <c r="AE5585" s="150">
        <v>0.86899999999999999</v>
      </c>
      <c r="AF5585" s="223">
        <f t="shared" si="36"/>
        <v>11.297000000000001</v>
      </c>
      <c r="AG5585" s="223">
        <f t="shared" si="35"/>
        <v>0.88696114012569705</v>
      </c>
      <c r="AH5585" s="346"/>
      <c r="AI5585" s="427"/>
      <c r="AJ5585" s="480"/>
      <c r="AK5585" s="427"/>
      <c r="AU5585" s="218"/>
      <c r="AV5585" s="218"/>
      <c r="AW5585" s="218"/>
      <c r="AX5585" s="218"/>
      <c r="AY5585" s="218"/>
      <c r="AZ5585" s="427"/>
      <c r="BA5585" s="427"/>
      <c r="BB5585" s="427"/>
      <c r="BI5585" s="427"/>
      <c r="BJ5585" s="427"/>
      <c r="BK5585" s="427"/>
      <c r="BL5585" s="427"/>
      <c r="BM5585" s="427"/>
      <c r="BN5585" s="427"/>
      <c r="BO5585" s="427"/>
      <c r="BP5585" s="427"/>
      <c r="BQ5585" s="427"/>
      <c r="BR5585" s="427"/>
      <c r="BS5585" s="427"/>
      <c r="BT5585" s="427"/>
      <c r="BU5585" s="427"/>
      <c r="BV5585" s="427"/>
      <c r="BW5585" s="427"/>
      <c r="BX5585" s="427"/>
      <c r="BY5585" s="427"/>
      <c r="BZ5585" s="427"/>
    </row>
    <row r="5586" spans="2:78" s="152" customFormat="1" x14ac:dyDescent="0.2">
      <c r="B5586" s="683"/>
      <c r="C5586" s="683"/>
      <c r="D5586" s="698"/>
      <c r="E5586" s="215"/>
      <c r="F5586" s="215"/>
      <c r="G5586" s="427"/>
      <c r="H5586" s="427"/>
      <c r="I5586" s="427"/>
      <c r="J5586" s="427"/>
      <c r="K5586" s="427"/>
      <c r="L5586" s="653"/>
      <c r="M5586" s="666"/>
      <c r="N5586" s="600">
        <v>9.86</v>
      </c>
      <c r="O5586" s="608">
        <v>2.6479200000000001</v>
      </c>
      <c r="P5586" s="782"/>
      <c r="Q5586" s="764"/>
      <c r="R5586" s="764"/>
      <c r="S5586" s="764"/>
      <c r="T5586" s="764"/>
      <c r="U5586" s="764"/>
      <c r="V5586" s="764"/>
      <c r="W5586" s="764"/>
      <c r="X5586" s="764"/>
      <c r="Y5586" s="768"/>
      <c r="Z5586" s="762"/>
      <c r="AA5586" s="150"/>
      <c r="AB5586" s="150">
        <v>233</v>
      </c>
      <c r="AC5586" s="150">
        <v>2.5000000000000001E-3</v>
      </c>
      <c r="AD5586" s="150">
        <v>12.98</v>
      </c>
      <c r="AE5586" s="150">
        <v>0.86299999999999999</v>
      </c>
      <c r="AF5586" s="223">
        <f t="shared" si="36"/>
        <v>11.201740000000001</v>
      </c>
      <c r="AG5586" s="223">
        <f t="shared" si="35"/>
        <v>0.88022039433159482</v>
      </c>
      <c r="AH5586" s="346"/>
      <c r="AI5586" s="427"/>
      <c r="AJ5586" s="480"/>
      <c r="AK5586" s="427"/>
      <c r="AU5586" s="218"/>
      <c r="AV5586" s="218"/>
      <c r="AW5586" s="218"/>
      <c r="AX5586" s="218"/>
      <c r="AY5586" s="218"/>
      <c r="AZ5586" s="427"/>
      <c r="BA5586" s="427"/>
      <c r="BB5586" s="427"/>
      <c r="BI5586" s="427"/>
      <c r="BJ5586" s="427"/>
      <c r="BK5586" s="427"/>
      <c r="BL5586" s="427"/>
      <c r="BM5586" s="427"/>
      <c r="BN5586" s="427"/>
      <c r="BO5586" s="427"/>
      <c r="BP5586" s="427"/>
      <c r="BQ5586" s="427"/>
      <c r="BR5586" s="427"/>
      <c r="BS5586" s="427"/>
      <c r="BT5586" s="427"/>
      <c r="BU5586" s="427"/>
      <c r="BV5586" s="427"/>
      <c r="BW5586" s="427"/>
      <c r="BX5586" s="427"/>
      <c r="BY5586" s="427"/>
      <c r="BZ5586" s="427"/>
    </row>
    <row r="5587" spans="2:78" s="152" customFormat="1" x14ac:dyDescent="0.2">
      <c r="B5587" s="683"/>
      <c r="C5587" s="683"/>
      <c r="D5587" s="698"/>
      <c r="E5587" s="215"/>
      <c r="F5587" s="215"/>
      <c r="G5587" s="427"/>
      <c r="H5587" s="427"/>
      <c r="I5587" s="427"/>
      <c r="J5587" s="427"/>
      <c r="K5587" s="427"/>
      <c r="L5587" s="653"/>
      <c r="M5587" s="666"/>
      <c r="N5587" s="600">
        <v>9.6199999999999992</v>
      </c>
      <c r="O5587" s="608">
        <v>2.3514399999999998</v>
      </c>
      <c r="P5587" s="782"/>
      <c r="Q5587" s="764"/>
      <c r="R5587" s="764"/>
      <c r="S5587" s="764"/>
      <c r="T5587" s="764"/>
      <c r="U5587" s="764"/>
      <c r="V5587" s="764"/>
      <c r="W5587" s="764"/>
      <c r="X5587" s="764"/>
      <c r="Y5587" s="768"/>
      <c r="Z5587" s="762"/>
      <c r="AA5587" s="150"/>
      <c r="AB5587" s="150">
        <v>234</v>
      </c>
      <c r="AC5587" s="150">
        <v>2.3999999999999998E-3</v>
      </c>
      <c r="AD5587" s="150">
        <v>12.92</v>
      </c>
      <c r="AE5587" s="150">
        <v>0.85299999999999998</v>
      </c>
      <c r="AF5587" s="223">
        <f t="shared" si="36"/>
        <v>11.020759999999999</v>
      </c>
      <c r="AG5587" s="223">
        <f t="shared" si="35"/>
        <v>0.87289805784719021</v>
      </c>
      <c r="AH5587" s="346"/>
      <c r="AI5587" s="427"/>
      <c r="AJ5587" s="480"/>
      <c r="AK5587" s="427"/>
      <c r="AU5587" s="218"/>
      <c r="AV5587" s="218"/>
      <c r="AW5587" s="218"/>
      <c r="AX5587" s="218"/>
      <c r="AY5587" s="218"/>
      <c r="AZ5587" s="427"/>
      <c r="BA5587" s="427"/>
      <c r="BB5587" s="427"/>
      <c r="BI5587" s="427"/>
      <c r="BJ5587" s="427"/>
      <c r="BK5587" s="427"/>
      <c r="BL5587" s="427"/>
      <c r="BM5587" s="427"/>
      <c r="BN5587" s="427"/>
      <c r="BO5587" s="427"/>
      <c r="BP5587" s="427"/>
      <c r="BQ5587" s="427"/>
      <c r="BR5587" s="427"/>
      <c r="BS5587" s="427"/>
      <c r="BT5587" s="427"/>
      <c r="BU5587" s="427"/>
      <c r="BV5587" s="427"/>
      <c r="BW5587" s="427"/>
      <c r="BX5587" s="427"/>
      <c r="BY5587" s="427"/>
      <c r="BZ5587" s="427"/>
    </row>
    <row r="5588" spans="2:78" s="152" customFormat="1" x14ac:dyDescent="0.2">
      <c r="B5588" s="683"/>
      <c r="C5588" s="683"/>
      <c r="D5588" s="698"/>
      <c r="E5588" s="215"/>
      <c r="F5588" s="215"/>
      <c r="G5588" s="427"/>
      <c r="H5588" s="427"/>
      <c r="I5588" s="427"/>
      <c r="J5588" s="427"/>
      <c r="K5588" s="427"/>
      <c r="L5588" s="653"/>
      <c r="M5588" s="666"/>
      <c r="N5588" s="600">
        <v>9.4600000000000009</v>
      </c>
      <c r="O5588" s="608">
        <v>2.3220000000000001</v>
      </c>
      <c r="P5588" s="782"/>
      <c r="Q5588" s="764"/>
      <c r="R5588" s="764"/>
      <c r="S5588" s="764"/>
      <c r="T5588" s="764"/>
      <c r="U5588" s="764"/>
      <c r="V5588" s="764"/>
      <c r="W5588" s="764"/>
      <c r="X5588" s="764"/>
      <c r="Y5588" s="768"/>
      <c r="Z5588" s="762"/>
      <c r="AA5588" s="150"/>
      <c r="AB5588" s="150">
        <v>235</v>
      </c>
      <c r="AC5588" s="150">
        <v>2.3999999999999998E-3</v>
      </c>
      <c r="AD5588" s="150">
        <v>12.9</v>
      </c>
      <c r="AE5588" s="150">
        <v>0.84699999999999998</v>
      </c>
      <c r="AF5588" s="223">
        <f t="shared" si="36"/>
        <v>10.926299999999999</v>
      </c>
      <c r="AG5588" s="223">
        <f t="shared" si="35"/>
        <v>0.8658008658008659</v>
      </c>
      <c r="AH5588" s="346"/>
      <c r="AI5588" s="427"/>
      <c r="AJ5588" s="480"/>
      <c r="AK5588" s="427"/>
      <c r="AU5588" s="218"/>
      <c r="AV5588" s="218"/>
      <c r="AW5588" s="218"/>
      <c r="AX5588" s="218"/>
      <c r="AY5588" s="218"/>
      <c r="AZ5588" s="427"/>
      <c r="BA5588" s="427"/>
      <c r="BB5588" s="427"/>
      <c r="BI5588" s="427"/>
      <c r="BJ5588" s="427"/>
      <c r="BK5588" s="427"/>
      <c r="BL5588" s="427"/>
      <c r="BM5588" s="427"/>
      <c r="BN5588" s="427"/>
      <c r="BO5588" s="427"/>
      <c r="BP5588" s="427"/>
      <c r="BQ5588" s="427"/>
      <c r="BR5588" s="427"/>
      <c r="BS5588" s="427"/>
      <c r="BT5588" s="427"/>
      <c r="BU5588" s="427"/>
      <c r="BV5588" s="427"/>
      <c r="BW5588" s="427"/>
      <c r="BX5588" s="427"/>
      <c r="BY5588" s="427"/>
      <c r="BZ5588" s="427"/>
    </row>
    <row r="5589" spans="2:78" s="152" customFormat="1" x14ac:dyDescent="0.2">
      <c r="B5589" s="683"/>
      <c r="C5589" s="683"/>
      <c r="D5589" s="698"/>
      <c r="E5589" s="215"/>
      <c r="F5589" s="215"/>
      <c r="G5589" s="427"/>
      <c r="H5589" s="427"/>
      <c r="I5589" s="427"/>
      <c r="J5589" s="427"/>
      <c r="K5589" s="427"/>
      <c r="L5589" s="653"/>
      <c r="M5589" s="666"/>
      <c r="N5589" s="600">
        <v>9.23</v>
      </c>
      <c r="O5589" s="608">
        <v>2.7391799999999997</v>
      </c>
      <c r="P5589" s="782"/>
      <c r="Q5589" s="764"/>
      <c r="R5589" s="764"/>
      <c r="S5589" s="764"/>
      <c r="T5589" s="764"/>
      <c r="U5589" s="764"/>
      <c r="V5589" s="764"/>
      <c r="W5589" s="764"/>
      <c r="X5589" s="764"/>
      <c r="Y5589" s="768"/>
      <c r="Z5589" s="762"/>
      <c r="AA5589" s="150"/>
      <c r="AB5589" s="150">
        <v>236</v>
      </c>
      <c r="AC5589" s="150">
        <v>2.5000000000000001E-3</v>
      </c>
      <c r="AD5589" s="150">
        <v>12.86</v>
      </c>
      <c r="AE5589" s="150">
        <v>0.83799999999999997</v>
      </c>
      <c r="AF5589" s="223">
        <f t="shared" si="36"/>
        <v>10.776679999999999</v>
      </c>
      <c r="AG5589" s="223">
        <f t="shared" si="35"/>
        <v>0.85647898981875692</v>
      </c>
      <c r="AH5589" s="346"/>
      <c r="AI5589" s="427"/>
      <c r="AJ5589" s="480"/>
      <c r="AK5589" s="427"/>
      <c r="AU5589" s="218"/>
      <c r="AV5589" s="218"/>
      <c r="AW5589" s="218"/>
      <c r="AX5589" s="218"/>
      <c r="AY5589" s="218"/>
      <c r="AZ5589" s="427"/>
      <c r="BA5589" s="427"/>
      <c r="BB5589" s="427"/>
      <c r="BI5589" s="427"/>
      <c r="BJ5589" s="427"/>
      <c r="BK5589" s="427"/>
      <c r="BL5589" s="427"/>
      <c r="BM5589" s="427"/>
      <c r="BN5589" s="427"/>
      <c r="BO5589" s="427"/>
      <c r="BP5589" s="427"/>
      <c r="BQ5589" s="427"/>
      <c r="BR5589" s="427"/>
      <c r="BS5589" s="427"/>
      <c r="BT5589" s="427"/>
      <c r="BU5589" s="427"/>
      <c r="BV5589" s="427"/>
      <c r="BW5589" s="427"/>
      <c r="BX5589" s="427"/>
      <c r="BY5589" s="427"/>
      <c r="BZ5589" s="427"/>
    </row>
    <row r="5590" spans="2:78" s="152" customFormat="1" x14ac:dyDescent="0.2">
      <c r="B5590" s="683"/>
      <c r="C5590" s="683"/>
      <c r="D5590" s="698"/>
      <c r="E5590" s="215"/>
      <c r="F5590" s="215"/>
      <c r="G5590" s="427"/>
      <c r="H5590" s="427"/>
      <c r="I5590" s="427"/>
      <c r="J5590" s="427"/>
      <c r="K5590" s="427"/>
      <c r="L5590" s="653"/>
      <c r="M5590" s="666"/>
      <c r="N5590" s="600">
        <v>9.08</v>
      </c>
      <c r="O5590" s="608">
        <v>1.7691600000000003</v>
      </c>
      <c r="P5590" s="782"/>
      <c r="Q5590" s="764"/>
      <c r="R5590" s="764"/>
      <c r="S5590" s="764"/>
      <c r="T5590" s="764"/>
      <c r="U5590" s="764"/>
      <c r="V5590" s="764"/>
      <c r="W5590" s="764"/>
      <c r="X5590" s="764"/>
      <c r="Y5590" s="768"/>
      <c r="Z5590" s="762"/>
      <c r="AA5590" s="150"/>
      <c r="AB5590" s="150">
        <v>237</v>
      </c>
      <c r="AC5590" s="150">
        <v>2.5000000000000001E-3</v>
      </c>
      <c r="AD5590" s="150">
        <v>12.82</v>
      </c>
      <c r="AE5590" s="150">
        <v>0.83199999999999996</v>
      </c>
      <c r="AF5590" s="223">
        <f t="shared" si="36"/>
        <v>10.66624</v>
      </c>
      <c r="AG5590" s="223">
        <f t="shared" si="35"/>
        <v>0.85128405136205443</v>
      </c>
      <c r="AH5590" s="346"/>
      <c r="AI5590" s="427"/>
      <c r="AJ5590" s="480"/>
      <c r="AK5590" s="427"/>
      <c r="AU5590" s="218"/>
      <c r="AV5590" s="218"/>
      <c r="AW5590" s="218"/>
      <c r="AX5590" s="218"/>
      <c r="AY5590" s="218"/>
      <c r="AZ5590" s="427"/>
      <c r="BA5590" s="427"/>
      <c r="BB5590" s="427"/>
      <c r="BI5590" s="427"/>
      <c r="BJ5590" s="427"/>
      <c r="BK5590" s="427"/>
      <c r="BL5590" s="427"/>
      <c r="BM5590" s="427"/>
      <c r="BN5590" s="427"/>
      <c r="BO5590" s="427"/>
      <c r="BP5590" s="427"/>
      <c r="BQ5590" s="427"/>
      <c r="BR5590" s="427"/>
      <c r="BS5590" s="427"/>
      <c r="BT5590" s="427"/>
      <c r="BU5590" s="427"/>
      <c r="BV5590" s="427"/>
      <c r="BW5590" s="427"/>
      <c r="BX5590" s="427"/>
      <c r="BY5590" s="427"/>
      <c r="BZ5590" s="427"/>
    </row>
    <row r="5591" spans="2:78" s="152" customFormat="1" x14ac:dyDescent="0.2">
      <c r="B5591" s="683"/>
      <c r="C5591" s="683"/>
      <c r="D5591" s="698"/>
      <c r="E5591" s="215"/>
      <c r="F5591" s="215"/>
      <c r="G5591" s="427"/>
      <c r="H5591" s="427"/>
      <c r="I5591" s="427"/>
      <c r="J5591" s="427"/>
      <c r="K5591" s="427"/>
      <c r="L5591" s="653"/>
      <c r="M5591" s="666"/>
      <c r="N5591" s="600">
        <v>8.85</v>
      </c>
      <c r="O5591" s="608">
        <v>1.3824000000000001</v>
      </c>
      <c r="P5591" s="782"/>
      <c r="Q5591" s="764"/>
      <c r="R5591" s="764"/>
      <c r="S5591" s="764"/>
      <c r="T5591" s="764"/>
      <c r="U5591" s="764"/>
      <c r="V5591" s="764"/>
      <c r="W5591" s="764"/>
      <c r="X5591" s="764"/>
      <c r="Y5591" s="768"/>
      <c r="Z5591" s="762"/>
      <c r="AA5591" s="150"/>
      <c r="AB5591" s="150">
        <v>238</v>
      </c>
      <c r="AC5591" s="150">
        <v>2.5000000000000001E-3</v>
      </c>
      <c r="AD5591" s="150">
        <v>12.8</v>
      </c>
      <c r="AE5591" s="150">
        <v>0.82299999999999995</v>
      </c>
      <c r="AF5591" s="223">
        <f t="shared" si="36"/>
        <v>10.5344</v>
      </c>
      <c r="AG5591" s="223">
        <f t="shared" si="35"/>
        <v>0.84010479951397321</v>
      </c>
      <c r="AH5591" s="346"/>
      <c r="AI5591" s="427"/>
      <c r="AJ5591" s="480"/>
      <c r="AK5591" s="427"/>
      <c r="AU5591" s="218"/>
      <c r="AV5591" s="218"/>
      <c r="AW5591" s="218"/>
      <c r="AX5591" s="218"/>
      <c r="AY5591" s="218"/>
      <c r="AZ5591" s="427"/>
      <c r="BA5591" s="427"/>
      <c r="BB5591" s="427"/>
      <c r="BI5591" s="427"/>
      <c r="BJ5591" s="427"/>
      <c r="BK5591" s="427"/>
      <c r="BL5591" s="427"/>
      <c r="BM5591" s="427"/>
      <c r="BN5591" s="427"/>
      <c r="BO5591" s="427"/>
      <c r="BP5591" s="427"/>
      <c r="BQ5591" s="427"/>
      <c r="BR5591" s="427"/>
      <c r="BS5591" s="427"/>
      <c r="BT5591" s="427"/>
      <c r="BU5591" s="427"/>
      <c r="BV5591" s="427"/>
      <c r="BW5591" s="427"/>
      <c r="BX5591" s="427"/>
      <c r="BY5591" s="427"/>
      <c r="BZ5591" s="427"/>
    </row>
    <row r="5592" spans="2:78" s="152" customFormat="1" x14ac:dyDescent="0.2">
      <c r="B5592" s="683"/>
      <c r="C5592" s="683"/>
      <c r="D5592" s="698"/>
      <c r="E5592" s="215"/>
      <c r="F5592" s="215"/>
      <c r="G5592" s="427"/>
      <c r="H5592" s="427"/>
      <c r="I5592" s="427"/>
      <c r="J5592" s="427"/>
      <c r="K5592" s="427"/>
      <c r="L5592" s="653"/>
      <c r="M5592" s="666"/>
      <c r="N5592" s="600">
        <v>8.6300000000000008</v>
      </c>
      <c r="O5592" s="608">
        <v>1.158066</v>
      </c>
      <c r="P5592" s="782"/>
      <c r="Q5592" s="764"/>
      <c r="R5592" s="764"/>
      <c r="S5592" s="764"/>
      <c r="T5592" s="764"/>
      <c r="U5592" s="764"/>
      <c r="V5592" s="764"/>
      <c r="W5592" s="764"/>
      <c r="X5592" s="764"/>
      <c r="Y5592" s="768"/>
      <c r="Z5592" s="762"/>
      <c r="AA5592" s="150"/>
      <c r="AB5592" s="150">
        <v>239</v>
      </c>
      <c r="AC5592" s="150">
        <v>2.3999999999999998E-3</v>
      </c>
      <c r="AD5592" s="150">
        <v>12.74</v>
      </c>
      <c r="AE5592" s="150">
        <v>0.81399999999999995</v>
      </c>
      <c r="AF5592" s="223">
        <f t="shared" si="36"/>
        <v>10.37036</v>
      </c>
      <c r="AG5592" s="223">
        <f t="shared" si="35"/>
        <v>0.83217940360797515</v>
      </c>
      <c r="AH5592" s="346"/>
      <c r="AI5592" s="427"/>
      <c r="AJ5592" s="480"/>
      <c r="AK5592" s="427"/>
      <c r="AU5592" s="218"/>
      <c r="AV5592" s="218"/>
      <c r="AW5592" s="218"/>
      <c r="AX5592" s="218"/>
      <c r="AY5592" s="218"/>
      <c r="AZ5592" s="427"/>
      <c r="BA5592" s="427"/>
      <c r="BB5592" s="427"/>
      <c r="BI5592" s="427"/>
      <c r="BJ5592" s="427"/>
      <c r="BK5592" s="427"/>
      <c r="BL5592" s="427"/>
      <c r="BM5592" s="427"/>
      <c r="BN5592" s="427"/>
      <c r="BO5592" s="427"/>
      <c r="BP5592" s="427"/>
      <c r="BQ5592" s="427"/>
      <c r="BR5592" s="427"/>
      <c r="BS5592" s="427"/>
      <c r="BT5592" s="427"/>
      <c r="BU5592" s="427"/>
      <c r="BV5592" s="427"/>
      <c r="BW5592" s="427"/>
      <c r="BX5592" s="427"/>
      <c r="BY5592" s="427"/>
      <c r="BZ5592" s="427"/>
    </row>
    <row r="5593" spans="2:78" s="152" customFormat="1" x14ac:dyDescent="0.2">
      <c r="B5593" s="683"/>
      <c r="C5593" s="683"/>
      <c r="D5593" s="698"/>
      <c r="E5593" s="215"/>
      <c r="F5593" s="215"/>
      <c r="G5593" s="427"/>
      <c r="H5593" s="427"/>
      <c r="I5593" s="427"/>
      <c r="J5593" s="427"/>
      <c r="K5593" s="427"/>
      <c r="L5593" s="653"/>
      <c r="M5593" s="666"/>
      <c r="N5593" s="600">
        <v>8.4</v>
      </c>
      <c r="O5593" s="608">
        <v>3.64777</v>
      </c>
      <c r="P5593" s="782"/>
      <c r="Q5593" s="764"/>
      <c r="R5593" s="764"/>
      <c r="S5593" s="764"/>
      <c r="T5593" s="764"/>
      <c r="U5593" s="764"/>
      <c r="V5593" s="764"/>
      <c r="W5593" s="764"/>
      <c r="X5593" s="764"/>
      <c r="Y5593" s="768"/>
      <c r="Z5593" s="762"/>
      <c r="AA5593" s="150"/>
      <c r="AB5593" s="150">
        <v>240</v>
      </c>
      <c r="AC5593" s="150">
        <v>2.5000000000000001E-3</v>
      </c>
      <c r="AD5593" s="150">
        <v>12.71</v>
      </c>
      <c r="AE5593" s="150">
        <v>0.80500000000000005</v>
      </c>
      <c r="AF5593" s="223">
        <f t="shared" si="36"/>
        <v>10.231550000000002</v>
      </c>
      <c r="AG5593" s="223">
        <f t="shared" si="35"/>
        <v>0.82098997708069632</v>
      </c>
      <c r="AH5593" s="346"/>
      <c r="AI5593" s="427"/>
      <c r="AJ5593" s="480"/>
      <c r="AK5593" s="427"/>
      <c r="AU5593" s="218"/>
      <c r="AV5593" s="218"/>
      <c r="AW5593" s="218"/>
      <c r="AX5593" s="218"/>
      <c r="AY5593" s="218"/>
      <c r="AZ5593" s="427"/>
      <c r="BA5593" s="427"/>
      <c r="BB5593" s="427"/>
      <c r="BI5593" s="427"/>
      <c r="BJ5593" s="427"/>
      <c r="BK5593" s="427"/>
      <c r="BL5593" s="427"/>
      <c r="BM5593" s="427"/>
      <c r="BN5593" s="427"/>
      <c r="BO5593" s="427"/>
      <c r="BP5593" s="427"/>
      <c r="BQ5593" s="427"/>
      <c r="BR5593" s="427"/>
      <c r="BS5593" s="427"/>
      <c r="BT5593" s="427"/>
      <c r="BU5593" s="427"/>
      <c r="BV5593" s="427"/>
      <c r="BW5593" s="427"/>
      <c r="BX5593" s="427"/>
      <c r="BY5593" s="427"/>
      <c r="BZ5593" s="427"/>
    </row>
    <row r="5594" spans="2:78" s="152" customFormat="1" x14ac:dyDescent="0.2">
      <c r="B5594" s="683"/>
      <c r="C5594" s="683"/>
      <c r="D5594" s="698"/>
      <c r="E5594" s="215"/>
      <c r="F5594" s="215"/>
      <c r="G5594" s="427"/>
      <c r="H5594" s="427"/>
      <c r="I5594" s="427"/>
      <c r="J5594" s="427"/>
      <c r="K5594" s="427"/>
      <c r="L5594" s="653"/>
      <c r="M5594" s="666"/>
      <c r="N5594" s="600">
        <v>8.1199999999999992</v>
      </c>
      <c r="O5594" s="608">
        <v>1.4685600000000001</v>
      </c>
      <c r="P5594" s="782"/>
      <c r="Q5594" s="764"/>
      <c r="R5594" s="764"/>
      <c r="S5594" s="764"/>
      <c r="T5594" s="764"/>
      <c r="U5594" s="764"/>
      <c r="V5594" s="764"/>
      <c r="W5594" s="764"/>
      <c r="X5594" s="764"/>
      <c r="Y5594" s="768"/>
      <c r="Z5594" s="762"/>
      <c r="AA5594" s="150"/>
      <c r="AB5594" s="150">
        <v>241</v>
      </c>
      <c r="AC5594" s="150">
        <v>2.2000000000000001E-3</v>
      </c>
      <c r="AD5594" s="150">
        <v>12.66</v>
      </c>
      <c r="AE5594" s="150">
        <v>0.79200000000000004</v>
      </c>
      <c r="AF5594" s="223">
        <f t="shared" si="36"/>
        <v>10.026720000000001</v>
      </c>
      <c r="AG5594" s="223">
        <f t="shared" si="35"/>
        <v>0.80983611789298982</v>
      </c>
      <c r="AH5594" s="346"/>
      <c r="AI5594" s="427"/>
      <c r="AJ5594" s="480"/>
      <c r="AK5594" s="427"/>
      <c r="AU5594" s="218"/>
      <c r="AV5594" s="218"/>
      <c r="AW5594" s="218"/>
      <c r="AX5594" s="218"/>
      <c r="AY5594" s="218"/>
      <c r="AZ5594" s="427"/>
      <c r="BA5594" s="427"/>
      <c r="BB5594" s="427"/>
      <c r="BI5594" s="427"/>
      <c r="BJ5594" s="427"/>
      <c r="BK5594" s="427"/>
      <c r="BL5594" s="427"/>
      <c r="BM5594" s="427"/>
      <c r="BN5594" s="427"/>
      <c r="BO5594" s="427"/>
      <c r="BP5594" s="427"/>
      <c r="BQ5594" s="427"/>
      <c r="BR5594" s="427"/>
      <c r="BS5594" s="427"/>
      <c r="BT5594" s="427"/>
      <c r="BU5594" s="427"/>
      <c r="BV5594" s="427"/>
      <c r="BW5594" s="427"/>
      <c r="BX5594" s="427"/>
      <c r="BY5594" s="427"/>
      <c r="BZ5594" s="427"/>
    </row>
    <row r="5595" spans="2:78" s="152" customFormat="1" x14ac:dyDescent="0.2">
      <c r="B5595" s="683"/>
      <c r="C5595" s="683"/>
      <c r="D5595" s="698"/>
      <c r="E5595" s="215"/>
      <c r="F5595" s="215"/>
      <c r="G5595" s="427"/>
      <c r="H5595" s="427"/>
      <c r="I5595" s="427"/>
      <c r="J5595" s="427"/>
      <c r="K5595" s="427"/>
      <c r="L5595" s="653"/>
      <c r="M5595" s="666"/>
      <c r="N5595" s="600">
        <v>7.97</v>
      </c>
      <c r="O5595" s="608">
        <v>0.46731</v>
      </c>
      <c r="P5595" s="782"/>
      <c r="Q5595" s="764"/>
      <c r="R5595" s="764"/>
      <c r="S5595" s="764"/>
      <c r="T5595" s="764"/>
      <c r="U5595" s="764"/>
      <c r="V5595" s="764"/>
      <c r="W5595" s="764"/>
      <c r="X5595" s="764"/>
      <c r="Y5595" s="768"/>
      <c r="Z5595" s="762"/>
      <c r="AA5595" s="150"/>
      <c r="AB5595" s="150">
        <v>242</v>
      </c>
      <c r="AC5595" s="150">
        <v>2.3E-3</v>
      </c>
      <c r="AD5595" s="150">
        <v>12.63</v>
      </c>
      <c r="AE5595" s="150">
        <v>0.78600000000000003</v>
      </c>
      <c r="AF5595" s="223">
        <f t="shared" si="36"/>
        <v>9.9271800000000017</v>
      </c>
      <c r="AG5595" s="223">
        <f t="shared" si="35"/>
        <v>0.80284632695287061</v>
      </c>
      <c r="AH5595" s="346"/>
      <c r="AI5595" s="427"/>
      <c r="AJ5595" s="480"/>
      <c r="AK5595" s="427"/>
      <c r="AU5595" s="218"/>
      <c r="AV5595" s="218"/>
      <c r="AW5595" s="218"/>
      <c r="AX5595" s="218"/>
      <c r="AY5595" s="218"/>
      <c r="AZ5595" s="427"/>
      <c r="BA5595" s="427"/>
      <c r="BB5595" s="427"/>
      <c r="BI5595" s="427"/>
      <c r="BJ5595" s="427"/>
      <c r="BK5595" s="427"/>
      <c r="BL5595" s="427"/>
      <c r="BM5595" s="427"/>
      <c r="BN5595" s="427"/>
      <c r="BO5595" s="427"/>
      <c r="BP5595" s="427"/>
      <c r="BQ5595" s="427"/>
      <c r="BR5595" s="427"/>
      <c r="BS5595" s="427"/>
      <c r="BT5595" s="427"/>
      <c r="BU5595" s="427"/>
      <c r="BV5595" s="427"/>
      <c r="BW5595" s="427"/>
      <c r="BX5595" s="427"/>
      <c r="BY5595" s="427"/>
      <c r="BZ5595" s="427"/>
    </row>
    <row r="5596" spans="2:78" s="152" customFormat="1" x14ac:dyDescent="0.2">
      <c r="B5596" s="683"/>
      <c r="C5596" s="683"/>
      <c r="D5596" s="698"/>
      <c r="E5596" s="215"/>
      <c r="F5596" s="215"/>
      <c r="G5596" s="427"/>
      <c r="H5596" s="427"/>
      <c r="I5596" s="427"/>
      <c r="J5596" s="427"/>
      <c r="K5596" s="427"/>
      <c r="L5596" s="653"/>
      <c r="M5596" s="666"/>
      <c r="N5596" s="600">
        <v>7.69</v>
      </c>
      <c r="O5596" s="608">
        <v>0.17054399999999997</v>
      </c>
      <c r="P5596" s="782"/>
      <c r="Q5596" s="764"/>
      <c r="R5596" s="764"/>
      <c r="S5596" s="764"/>
      <c r="T5596" s="764"/>
      <c r="U5596" s="764"/>
      <c r="V5596" s="764"/>
      <c r="W5596" s="764"/>
      <c r="X5596" s="764"/>
      <c r="Y5596" s="768"/>
      <c r="Z5596" s="762"/>
      <c r="AA5596" s="150"/>
      <c r="AB5596" s="150">
        <v>243</v>
      </c>
      <c r="AC5596" s="150">
        <v>2.3999999999999998E-3</v>
      </c>
      <c r="AD5596" s="150">
        <v>12.54</v>
      </c>
      <c r="AE5596" s="150">
        <v>0.77400000000000002</v>
      </c>
      <c r="AF5596" s="223">
        <f t="shared" si="36"/>
        <v>9.7059599999999993</v>
      </c>
      <c r="AG5596" s="223">
        <f t="shared" si="35"/>
        <v>0.79229669192949492</v>
      </c>
      <c r="AH5596" s="346"/>
      <c r="AI5596" s="427"/>
      <c r="AJ5596" s="480"/>
      <c r="AK5596" s="427"/>
      <c r="AU5596" s="218"/>
      <c r="AV5596" s="218"/>
      <c r="AW5596" s="218"/>
      <c r="AX5596" s="218"/>
      <c r="AY5596" s="218"/>
      <c r="AZ5596" s="427"/>
      <c r="BA5596" s="427"/>
      <c r="BB5596" s="427"/>
      <c r="BI5596" s="427"/>
      <c r="BJ5596" s="427"/>
      <c r="BK5596" s="427"/>
      <c r="BL5596" s="427"/>
      <c r="BM5596" s="427"/>
      <c r="BN5596" s="427"/>
      <c r="BO5596" s="427"/>
      <c r="BP5596" s="427"/>
      <c r="BQ5596" s="427"/>
      <c r="BR5596" s="427"/>
      <c r="BS5596" s="427"/>
      <c r="BT5596" s="427"/>
      <c r="BU5596" s="427"/>
      <c r="BV5596" s="427"/>
      <c r="BW5596" s="427"/>
      <c r="BX5596" s="427"/>
      <c r="BY5596" s="427"/>
      <c r="BZ5596" s="427"/>
    </row>
    <row r="5597" spans="2:78" s="152" customFormat="1" x14ac:dyDescent="0.2">
      <c r="B5597" s="683"/>
      <c r="C5597" s="683"/>
      <c r="D5597" s="698"/>
      <c r="E5597" s="215"/>
      <c r="F5597" s="215"/>
      <c r="G5597" s="427"/>
      <c r="H5597" s="427"/>
      <c r="I5597" s="427"/>
      <c r="J5597" s="427"/>
      <c r="K5597" s="427"/>
      <c r="L5597" s="653"/>
      <c r="M5597" s="666"/>
      <c r="N5597" s="600">
        <v>7.55</v>
      </c>
      <c r="O5597" s="608">
        <v>0.29171600000000003</v>
      </c>
      <c r="P5597" s="782"/>
      <c r="Q5597" s="764"/>
      <c r="R5597" s="764"/>
      <c r="S5597" s="764"/>
      <c r="T5597" s="764"/>
      <c r="U5597" s="764"/>
      <c r="V5597" s="764"/>
      <c r="W5597" s="764"/>
      <c r="X5597" s="764"/>
      <c r="Y5597" s="768"/>
      <c r="Z5597" s="762"/>
      <c r="AA5597" s="150"/>
      <c r="AB5597" s="150">
        <v>244</v>
      </c>
      <c r="AC5597" s="150">
        <v>2.3E-3</v>
      </c>
      <c r="AD5597" s="150">
        <v>12.52</v>
      </c>
      <c r="AE5597" s="150">
        <v>0.76800000000000002</v>
      </c>
      <c r="AF5597" s="223">
        <f t="shared" si="36"/>
        <v>9.615359999999999</v>
      </c>
      <c r="AG5597" s="223">
        <f t="shared" si="35"/>
        <v>0.78520201011714597</v>
      </c>
      <c r="AH5597" s="346"/>
      <c r="AI5597" s="427"/>
      <c r="AJ5597" s="480"/>
      <c r="AK5597" s="427"/>
      <c r="AU5597" s="218"/>
      <c r="AV5597" s="218"/>
      <c r="AW5597" s="218"/>
      <c r="AX5597" s="218"/>
      <c r="AY5597" s="218"/>
      <c r="AZ5597" s="427"/>
      <c r="BA5597" s="427"/>
      <c r="BB5597" s="427"/>
      <c r="BI5597" s="427"/>
      <c r="BJ5597" s="427"/>
      <c r="BK5597" s="427"/>
      <c r="BL5597" s="427"/>
      <c r="BM5597" s="427"/>
      <c r="BN5597" s="427"/>
      <c r="BO5597" s="427"/>
      <c r="BP5597" s="427"/>
      <c r="BQ5597" s="427"/>
      <c r="BR5597" s="427"/>
      <c r="BS5597" s="427"/>
      <c r="BT5597" s="427"/>
      <c r="BU5597" s="427"/>
      <c r="BV5597" s="427"/>
      <c r="BW5597" s="427"/>
      <c r="BX5597" s="427"/>
      <c r="BY5597" s="427"/>
      <c r="BZ5597" s="427"/>
    </row>
    <row r="5598" spans="2:78" s="152" customFormat="1" x14ac:dyDescent="0.2">
      <c r="B5598" s="683"/>
      <c r="C5598" s="683"/>
      <c r="D5598" s="698"/>
      <c r="E5598" s="215"/>
      <c r="F5598" s="215"/>
      <c r="G5598" s="427"/>
      <c r="H5598" s="427"/>
      <c r="I5598" s="427"/>
      <c r="J5598" s="427"/>
      <c r="K5598" s="427"/>
      <c r="L5598" s="653"/>
      <c r="M5598" s="666"/>
      <c r="N5598" s="600">
        <v>7.28</v>
      </c>
      <c r="O5598" s="608">
        <v>1.005082</v>
      </c>
      <c r="P5598" s="782"/>
      <c r="Q5598" s="764"/>
      <c r="R5598" s="764"/>
      <c r="S5598" s="764"/>
      <c r="T5598" s="764"/>
      <c r="U5598" s="764"/>
      <c r="V5598" s="764"/>
      <c r="W5598" s="764"/>
      <c r="X5598" s="764"/>
      <c r="Y5598" s="768"/>
      <c r="Z5598" s="762"/>
      <c r="AA5598" s="150"/>
      <c r="AB5598" s="150">
        <v>245</v>
      </c>
      <c r="AC5598" s="150">
        <v>2E-3</v>
      </c>
      <c r="AD5598" s="150">
        <v>12.47</v>
      </c>
      <c r="AE5598" s="150">
        <v>0.75600000000000001</v>
      </c>
      <c r="AF5598" s="223">
        <f t="shared" si="36"/>
        <v>9.4273199999999999</v>
      </c>
      <c r="AG5598" s="223">
        <f t="shared" si="35"/>
        <v>0.7722237072678132</v>
      </c>
      <c r="AH5598" s="346"/>
      <c r="AI5598" s="427"/>
      <c r="AJ5598" s="480"/>
      <c r="AK5598" s="427"/>
      <c r="AU5598" s="218"/>
      <c r="AV5598" s="218"/>
      <c r="AW5598" s="218"/>
      <c r="AX5598" s="218"/>
      <c r="AY5598" s="218"/>
      <c r="AZ5598" s="427"/>
      <c r="BA5598" s="427"/>
      <c r="BB5598" s="427"/>
      <c r="BI5598" s="427"/>
      <c r="BJ5598" s="427"/>
      <c r="BK5598" s="427"/>
      <c r="BL5598" s="427"/>
      <c r="BM5598" s="427"/>
      <c r="BN5598" s="427"/>
      <c r="BO5598" s="427"/>
      <c r="BP5598" s="427"/>
      <c r="BQ5598" s="427"/>
      <c r="BR5598" s="427"/>
      <c r="BS5598" s="427"/>
      <c r="BT5598" s="427"/>
      <c r="BU5598" s="427"/>
      <c r="BV5598" s="427"/>
      <c r="BW5598" s="427"/>
      <c r="BX5598" s="427"/>
      <c r="BY5598" s="427"/>
      <c r="BZ5598" s="427"/>
    </row>
    <row r="5599" spans="2:78" s="152" customFormat="1" x14ac:dyDescent="0.2">
      <c r="B5599" s="683"/>
      <c r="C5599" s="683"/>
      <c r="D5599" s="698"/>
      <c r="E5599" s="215"/>
      <c r="F5599" s="215"/>
      <c r="G5599" s="427"/>
      <c r="H5599" s="427"/>
      <c r="I5599" s="427"/>
      <c r="J5599" s="427"/>
      <c r="K5599" s="427"/>
      <c r="L5599" s="653"/>
      <c r="M5599" s="666"/>
      <c r="N5599" s="600">
        <v>7.15</v>
      </c>
      <c r="O5599" s="608">
        <v>0.98897999999999997</v>
      </c>
      <c r="P5599" s="782"/>
      <c r="Q5599" s="764"/>
      <c r="R5599" s="764"/>
      <c r="S5599" s="764"/>
      <c r="T5599" s="764"/>
      <c r="U5599" s="764"/>
      <c r="V5599" s="764"/>
      <c r="W5599" s="764"/>
      <c r="X5599" s="764"/>
      <c r="Y5599" s="768"/>
      <c r="Z5599" s="762"/>
      <c r="AA5599" s="150"/>
      <c r="AB5599" s="150">
        <v>246</v>
      </c>
      <c r="AC5599" s="150">
        <v>2.3E-3</v>
      </c>
      <c r="AD5599" s="150">
        <v>12.44</v>
      </c>
      <c r="AE5599" s="150">
        <v>0.75</v>
      </c>
      <c r="AF5599" s="223">
        <f t="shared" si="36"/>
        <v>9.33</v>
      </c>
      <c r="AG5599" s="223">
        <f t="shared" si="35"/>
        <v>0.76634512325830662</v>
      </c>
      <c r="AH5599" s="346"/>
      <c r="AI5599" s="427"/>
      <c r="AJ5599" s="480"/>
      <c r="AK5599" s="427"/>
      <c r="AU5599" s="218"/>
      <c r="AV5599" s="218"/>
      <c r="AW5599" s="218"/>
      <c r="AX5599" s="218"/>
      <c r="AY5599" s="218"/>
      <c r="AZ5599" s="427"/>
      <c r="BA5599" s="427"/>
      <c r="BB5599" s="427"/>
      <c r="BI5599" s="427"/>
      <c r="BJ5599" s="427"/>
      <c r="BK5599" s="427"/>
      <c r="BL5599" s="427"/>
      <c r="BM5599" s="427"/>
      <c r="BN5599" s="427"/>
      <c r="BO5599" s="427"/>
      <c r="BP5599" s="427"/>
      <c r="BQ5599" s="427"/>
      <c r="BR5599" s="427"/>
      <c r="BS5599" s="427"/>
      <c r="BT5599" s="427"/>
      <c r="BU5599" s="427"/>
      <c r="BV5599" s="427"/>
      <c r="BW5599" s="427"/>
      <c r="BX5599" s="427"/>
      <c r="BY5599" s="427"/>
      <c r="BZ5599" s="427"/>
    </row>
    <row r="5600" spans="2:78" s="152" customFormat="1" x14ac:dyDescent="0.2">
      <c r="B5600" s="683"/>
      <c r="C5600" s="683"/>
      <c r="D5600" s="698"/>
      <c r="E5600" s="215"/>
      <c r="F5600" s="215"/>
      <c r="G5600" s="427"/>
      <c r="H5600" s="427"/>
      <c r="I5600" s="427"/>
      <c r="J5600" s="427"/>
      <c r="K5600" s="427"/>
      <c r="L5600" s="653"/>
      <c r="M5600" s="666"/>
      <c r="N5600" s="600">
        <v>6.88</v>
      </c>
      <c r="O5600" s="608">
        <v>0.40606399999999998</v>
      </c>
      <c r="P5600" s="782"/>
      <c r="Q5600" s="764"/>
      <c r="R5600" s="764"/>
      <c r="S5600" s="764"/>
      <c r="T5600" s="764"/>
      <c r="U5600" s="764"/>
      <c r="V5600" s="764"/>
      <c r="W5600" s="764"/>
      <c r="X5600" s="764"/>
      <c r="Y5600" s="768"/>
      <c r="Z5600" s="762"/>
      <c r="AA5600" s="150"/>
      <c r="AB5600" s="150">
        <v>247</v>
      </c>
      <c r="AC5600" s="150">
        <v>2.3E-3</v>
      </c>
      <c r="AD5600" s="150">
        <v>12.38</v>
      </c>
      <c r="AE5600" s="150">
        <v>0.73799999999999999</v>
      </c>
      <c r="AF5600" s="223">
        <f t="shared" si="36"/>
        <v>9.1364400000000003</v>
      </c>
      <c r="AG5600" s="223">
        <f t="shared" si="35"/>
        <v>0.75302853190082786</v>
      </c>
      <c r="AH5600" s="346"/>
      <c r="AI5600" s="427"/>
      <c r="AJ5600" s="480"/>
      <c r="AK5600" s="427"/>
      <c r="AU5600" s="218"/>
      <c r="AV5600" s="218"/>
      <c r="AW5600" s="218"/>
      <c r="AX5600" s="218"/>
      <c r="AY5600" s="218"/>
      <c r="AZ5600" s="427"/>
      <c r="BA5600" s="427"/>
      <c r="BB5600" s="427"/>
      <c r="BI5600" s="427"/>
      <c r="BJ5600" s="427"/>
      <c r="BK5600" s="427"/>
      <c r="BL5600" s="427"/>
      <c r="BM5600" s="427"/>
      <c r="BN5600" s="427"/>
      <c r="BO5600" s="427"/>
      <c r="BP5600" s="427"/>
      <c r="BQ5600" s="427"/>
      <c r="BR5600" s="427"/>
      <c r="BS5600" s="427"/>
      <c r="BT5600" s="427"/>
      <c r="BU5600" s="427"/>
      <c r="BV5600" s="427"/>
      <c r="BW5600" s="427"/>
      <c r="BX5600" s="427"/>
      <c r="BY5600" s="427"/>
      <c r="BZ5600" s="427"/>
    </row>
    <row r="5601" spans="2:78" s="152" customFormat="1" x14ac:dyDescent="0.2">
      <c r="B5601" s="683"/>
      <c r="C5601" s="683"/>
      <c r="D5601" s="698"/>
      <c r="E5601" s="215"/>
      <c r="F5601" s="215"/>
      <c r="G5601" s="427"/>
      <c r="H5601" s="427"/>
      <c r="I5601" s="427"/>
      <c r="J5601" s="427"/>
      <c r="K5601" s="427"/>
      <c r="L5601" s="653"/>
      <c r="M5601" s="666"/>
      <c r="N5601" s="600">
        <v>6.62</v>
      </c>
      <c r="O5601" s="608">
        <v>0.21630000000000002</v>
      </c>
      <c r="P5601" s="782"/>
      <c r="Q5601" s="764"/>
      <c r="R5601" s="764"/>
      <c r="S5601" s="764"/>
      <c r="T5601" s="764"/>
      <c r="U5601" s="764"/>
      <c r="V5601" s="764"/>
      <c r="W5601" s="764"/>
      <c r="X5601" s="764"/>
      <c r="Y5601" s="768"/>
      <c r="Z5601" s="762"/>
      <c r="AA5601" s="150"/>
      <c r="AB5601" s="150">
        <v>248</v>
      </c>
      <c r="AC5601" s="150">
        <v>2.2000000000000001E-3</v>
      </c>
      <c r="AD5601" s="150">
        <v>12.36</v>
      </c>
      <c r="AE5601" s="150">
        <v>0.72499999999999998</v>
      </c>
      <c r="AF5601" s="223">
        <f t="shared" si="36"/>
        <v>8.9609999999999985</v>
      </c>
      <c r="AG5601" s="223">
        <f t="shared" si="35"/>
        <v>0.73875683517464585</v>
      </c>
      <c r="AH5601" s="346"/>
      <c r="AI5601" s="427"/>
      <c r="AJ5601" s="480"/>
      <c r="AK5601" s="427"/>
      <c r="AU5601" s="218"/>
      <c r="AV5601" s="218"/>
      <c r="AW5601" s="218"/>
      <c r="AX5601" s="218"/>
      <c r="AY5601" s="218"/>
      <c r="AZ5601" s="427"/>
      <c r="BA5601" s="427"/>
      <c r="BB5601" s="427"/>
      <c r="BI5601" s="427"/>
      <c r="BJ5601" s="427"/>
      <c r="BK5601" s="427"/>
      <c r="BL5601" s="427"/>
      <c r="BM5601" s="427"/>
      <c r="BN5601" s="427"/>
      <c r="BO5601" s="427"/>
      <c r="BP5601" s="427"/>
      <c r="BQ5601" s="427"/>
      <c r="BR5601" s="427"/>
      <c r="BS5601" s="427"/>
      <c r="BT5601" s="427"/>
      <c r="BU5601" s="427"/>
      <c r="BV5601" s="427"/>
      <c r="BW5601" s="427"/>
      <c r="BX5601" s="427"/>
      <c r="BY5601" s="427"/>
      <c r="BZ5601" s="427"/>
    </row>
    <row r="5602" spans="2:78" s="152" customFormat="1" x14ac:dyDescent="0.2">
      <c r="B5602" s="683"/>
      <c r="C5602" s="683"/>
      <c r="D5602" s="698"/>
      <c r="E5602" s="215"/>
      <c r="F5602" s="215"/>
      <c r="G5602" s="427"/>
      <c r="H5602" s="427"/>
      <c r="I5602" s="427"/>
      <c r="J5602" s="427"/>
      <c r="K5602" s="427"/>
      <c r="L5602" s="653"/>
      <c r="M5602" s="666"/>
      <c r="N5602" s="600">
        <v>6.43</v>
      </c>
      <c r="O5602" s="608">
        <v>3.687E-2</v>
      </c>
      <c r="P5602" s="782"/>
      <c r="Q5602" s="764"/>
      <c r="R5602" s="764"/>
      <c r="S5602" s="764"/>
      <c r="T5602" s="764"/>
      <c r="U5602" s="764"/>
      <c r="V5602" s="764"/>
      <c r="W5602" s="764"/>
      <c r="X5602" s="764"/>
      <c r="Y5602" s="768"/>
      <c r="Z5602" s="762"/>
      <c r="AA5602" s="150"/>
      <c r="AB5602" s="150">
        <v>249</v>
      </c>
      <c r="AC5602" s="150">
        <v>2.2000000000000001E-3</v>
      </c>
      <c r="AD5602" s="150">
        <v>12.29</v>
      </c>
      <c r="AE5602" s="150">
        <v>0.71599999999999997</v>
      </c>
      <c r="AF5602" s="223">
        <f t="shared" si="36"/>
        <v>8.7996399999999984</v>
      </c>
      <c r="AG5602" s="223">
        <f t="shared" si="35"/>
        <v>0.73071171093362919</v>
      </c>
      <c r="AH5602" s="346"/>
      <c r="AI5602" s="427"/>
      <c r="AJ5602" s="480"/>
      <c r="AK5602" s="427"/>
      <c r="AU5602" s="218"/>
      <c r="AV5602" s="218"/>
      <c r="AW5602" s="218"/>
      <c r="AX5602" s="218"/>
      <c r="AY5602" s="218"/>
      <c r="AZ5602" s="427"/>
      <c r="BA5602" s="427"/>
      <c r="BB5602" s="427"/>
      <c r="BI5602" s="427"/>
      <c r="BJ5602" s="427"/>
      <c r="BK5602" s="427"/>
      <c r="BL5602" s="427"/>
      <c r="BM5602" s="427"/>
      <c r="BN5602" s="427"/>
      <c r="BO5602" s="427"/>
      <c r="BP5602" s="427"/>
      <c r="BQ5602" s="427"/>
      <c r="BR5602" s="427"/>
      <c r="BS5602" s="427"/>
      <c r="BT5602" s="427"/>
      <c r="BU5602" s="427"/>
      <c r="BV5602" s="427"/>
      <c r="BW5602" s="427"/>
      <c r="BX5602" s="427"/>
      <c r="BY5602" s="427"/>
      <c r="BZ5602" s="427"/>
    </row>
    <row r="5603" spans="2:78" s="152" customFormat="1" x14ac:dyDescent="0.2">
      <c r="B5603" s="683"/>
      <c r="C5603" s="683"/>
      <c r="D5603" s="698"/>
      <c r="E5603" s="215"/>
      <c r="F5603" s="215"/>
      <c r="G5603" s="427"/>
      <c r="H5603" s="427"/>
      <c r="I5603" s="427"/>
      <c r="J5603" s="427"/>
      <c r="K5603" s="427"/>
      <c r="L5603" s="653"/>
      <c r="M5603" s="666"/>
      <c r="N5603" s="600">
        <v>5.94</v>
      </c>
      <c r="O5603" s="608">
        <v>7.6733999999999997E-2</v>
      </c>
      <c r="P5603" s="782"/>
      <c r="Q5603" s="764"/>
      <c r="R5603" s="764"/>
      <c r="S5603" s="764"/>
      <c r="T5603" s="764"/>
      <c r="U5603" s="764"/>
      <c r="V5603" s="764"/>
      <c r="W5603" s="764"/>
      <c r="X5603" s="764"/>
      <c r="Y5603" s="768"/>
      <c r="Z5603" s="762"/>
      <c r="AA5603" s="150"/>
      <c r="AB5603" s="150">
        <v>250</v>
      </c>
      <c r="AC5603" s="150">
        <v>2.2000000000000001E-3</v>
      </c>
      <c r="AD5603" s="150">
        <v>12.18</v>
      </c>
      <c r="AE5603" s="150">
        <v>0.69199999999999995</v>
      </c>
      <c r="AF5603" s="223">
        <f t="shared" si="36"/>
        <v>8.4285599999999992</v>
      </c>
      <c r="AG5603" s="223">
        <f t="shared" si="35"/>
        <v>0.70474671830063507</v>
      </c>
      <c r="AH5603" s="346"/>
      <c r="AI5603" s="427"/>
      <c r="AJ5603" s="480"/>
      <c r="AK5603" s="427"/>
      <c r="AU5603" s="218"/>
      <c r="AV5603" s="218"/>
      <c r="AW5603" s="218"/>
      <c r="AX5603" s="218"/>
      <c r="AY5603" s="218"/>
      <c r="AZ5603" s="427"/>
      <c r="BA5603" s="427"/>
      <c r="BB5603" s="427"/>
      <c r="BI5603" s="427"/>
      <c r="BJ5603" s="427"/>
      <c r="BK5603" s="427"/>
      <c r="BL5603" s="427"/>
      <c r="BM5603" s="427"/>
      <c r="BN5603" s="427"/>
      <c r="BO5603" s="427"/>
      <c r="BP5603" s="427"/>
      <c r="BQ5603" s="427"/>
      <c r="BR5603" s="427"/>
      <c r="BS5603" s="427"/>
      <c r="BT5603" s="427"/>
      <c r="BU5603" s="427"/>
      <c r="BV5603" s="427"/>
      <c r="BW5603" s="427"/>
      <c r="BX5603" s="427"/>
      <c r="BY5603" s="427"/>
      <c r="BZ5603" s="427"/>
    </row>
    <row r="5604" spans="2:78" s="152" customFormat="1" x14ac:dyDescent="0.2">
      <c r="B5604" s="683"/>
      <c r="C5604" s="683"/>
      <c r="D5604" s="698"/>
      <c r="E5604" s="215"/>
      <c r="F5604" s="215"/>
      <c r="G5604" s="427"/>
      <c r="H5604" s="427"/>
      <c r="I5604" s="427"/>
      <c r="J5604" s="427"/>
      <c r="K5604" s="427"/>
      <c r="L5604" s="653"/>
      <c r="M5604" s="666"/>
      <c r="N5604" s="600">
        <v>5.53</v>
      </c>
      <c r="O5604" s="608">
        <v>5.3283999999999998E-2</v>
      </c>
      <c r="P5604" s="782"/>
      <c r="Q5604" s="764"/>
      <c r="R5604" s="764"/>
      <c r="S5604" s="764"/>
      <c r="T5604" s="764"/>
      <c r="U5604" s="764"/>
      <c r="V5604" s="764"/>
      <c r="W5604" s="764"/>
      <c r="X5604" s="764"/>
      <c r="Y5604" s="768"/>
      <c r="Z5604" s="762"/>
      <c r="AA5604" s="150"/>
      <c r="AB5604" s="150">
        <v>251</v>
      </c>
      <c r="AC5604" s="150">
        <v>2.0999999999999999E-3</v>
      </c>
      <c r="AD5604" s="150">
        <v>12.11</v>
      </c>
      <c r="AE5604" s="150">
        <v>0.67100000000000004</v>
      </c>
      <c r="AF5604" s="223">
        <f t="shared" si="36"/>
        <v>8.1258099999999995</v>
      </c>
      <c r="AG5604" s="223">
        <f t="shared" si="35"/>
        <v>0.68054753926070144</v>
      </c>
      <c r="AH5604" s="346"/>
      <c r="AI5604" s="427"/>
      <c r="AJ5604" s="480"/>
      <c r="AK5604" s="427"/>
      <c r="AU5604" s="218"/>
      <c r="AV5604" s="218"/>
      <c r="AW5604" s="218"/>
      <c r="AX5604" s="218"/>
      <c r="AY5604" s="218"/>
      <c r="AZ5604" s="427"/>
      <c r="BA5604" s="427"/>
      <c r="BB5604" s="427"/>
      <c r="BI5604" s="427"/>
      <c r="BJ5604" s="427"/>
      <c r="BK5604" s="427"/>
      <c r="BL5604" s="427"/>
      <c r="BM5604" s="427"/>
      <c r="BN5604" s="427"/>
      <c r="BO5604" s="427"/>
      <c r="BP5604" s="427"/>
      <c r="BQ5604" s="427"/>
      <c r="BR5604" s="427"/>
      <c r="BS5604" s="427"/>
      <c r="BT5604" s="427"/>
      <c r="BU5604" s="427"/>
      <c r="BV5604" s="427"/>
      <c r="BW5604" s="427"/>
      <c r="BX5604" s="427"/>
      <c r="BY5604" s="427"/>
      <c r="BZ5604" s="427"/>
    </row>
    <row r="5605" spans="2:78" s="152" customFormat="1" x14ac:dyDescent="0.2">
      <c r="B5605" s="683"/>
      <c r="C5605" s="683"/>
      <c r="D5605" s="698"/>
      <c r="E5605" s="215"/>
      <c r="F5605" s="215"/>
      <c r="G5605" s="427"/>
      <c r="H5605" s="427"/>
      <c r="I5605" s="427"/>
      <c r="J5605" s="427"/>
      <c r="K5605" s="427"/>
      <c r="L5605" s="653"/>
      <c r="M5605" s="666"/>
      <c r="N5605" s="600">
        <v>5.08</v>
      </c>
      <c r="O5605" s="608">
        <v>2.1635999999999999E-2</v>
      </c>
      <c r="P5605" s="782"/>
      <c r="Q5605" s="764"/>
      <c r="R5605" s="764"/>
      <c r="S5605" s="764"/>
      <c r="T5605" s="764"/>
      <c r="U5605" s="764"/>
      <c r="V5605" s="764"/>
      <c r="W5605" s="764"/>
      <c r="X5605" s="764"/>
      <c r="Y5605" s="768"/>
      <c r="Z5605" s="762"/>
      <c r="AA5605" s="150"/>
      <c r="AB5605" s="150">
        <v>252</v>
      </c>
      <c r="AC5605" s="150">
        <v>2.2000000000000001E-3</v>
      </c>
      <c r="AD5605" s="150">
        <v>12.02</v>
      </c>
      <c r="AE5605" s="150">
        <v>0.64600000000000002</v>
      </c>
      <c r="AF5605" s="223">
        <f t="shared" si="36"/>
        <v>7.76492</v>
      </c>
      <c r="AG5605" s="223">
        <f t="shared" si="35"/>
        <v>0.65422438350942447</v>
      </c>
      <c r="AH5605" s="346"/>
      <c r="AI5605" s="427"/>
      <c r="AJ5605" s="480"/>
      <c r="AK5605" s="427"/>
      <c r="AU5605" s="218"/>
      <c r="AV5605" s="218"/>
      <c r="AW5605" s="218"/>
      <c r="AX5605" s="218"/>
      <c r="AY5605" s="218"/>
      <c r="AZ5605" s="427"/>
      <c r="BA5605" s="427"/>
      <c r="BB5605" s="427"/>
      <c r="BI5605" s="427"/>
      <c r="BJ5605" s="427"/>
      <c r="BK5605" s="427"/>
      <c r="BL5605" s="427"/>
      <c r="BM5605" s="427"/>
      <c r="BN5605" s="427"/>
      <c r="BO5605" s="427"/>
      <c r="BP5605" s="427"/>
      <c r="BQ5605" s="427"/>
      <c r="BR5605" s="427"/>
      <c r="BS5605" s="427"/>
      <c r="BT5605" s="427"/>
      <c r="BU5605" s="427"/>
      <c r="BV5605" s="427"/>
      <c r="BW5605" s="427"/>
      <c r="BX5605" s="427"/>
      <c r="BY5605" s="427"/>
      <c r="BZ5605" s="427"/>
    </row>
    <row r="5606" spans="2:78" s="152" customFormat="1" x14ac:dyDescent="0.2">
      <c r="B5606" s="683"/>
      <c r="C5606" s="683"/>
      <c r="D5606" s="698"/>
      <c r="E5606" s="215"/>
      <c r="F5606" s="215"/>
      <c r="G5606" s="427"/>
      <c r="H5606" s="427"/>
      <c r="I5606" s="427"/>
      <c r="J5606" s="427"/>
      <c r="K5606" s="427"/>
      <c r="L5606" s="653"/>
      <c r="M5606" s="666"/>
      <c r="N5606" s="600">
        <v>4.8099999999999996</v>
      </c>
      <c r="O5606" s="608">
        <v>1.0745999999999999E-2</v>
      </c>
      <c r="P5606" s="782"/>
      <c r="Q5606" s="764"/>
      <c r="R5606" s="764"/>
      <c r="S5606" s="764"/>
      <c r="T5606" s="764"/>
      <c r="U5606" s="764"/>
      <c r="V5606" s="764"/>
      <c r="W5606" s="764"/>
      <c r="X5606" s="764"/>
      <c r="Y5606" s="768"/>
      <c r="Z5606" s="762"/>
      <c r="AA5606" s="150"/>
      <c r="AB5606" s="150">
        <v>253</v>
      </c>
      <c r="AC5606" s="150">
        <v>2.3E-3</v>
      </c>
      <c r="AD5606" s="150">
        <v>11.94</v>
      </c>
      <c r="AE5606" s="150">
        <v>0.63100000000000001</v>
      </c>
      <c r="AF5606" s="223">
        <f t="shared" si="36"/>
        <v>7.5341399999999998</v>
      </c>
      <c r="AG5606" s="223">
        <f t="shared" si="35"/>
        <v>0.63842721266129909</v>
      </c>
      <c r="AH5606" s="346"/>
      <c r="AI5606" s="427"/>
      <c r="AJ5606" s="480"/>
      <c r="AK5606" s="427"/>
      <c r="AU5606" s="218"/>
      <c r="AV5606" s="218"/>
      <c r="AW5606" s="218"/>
      <c r="AX5606" s="218"/>
      <c r="AY5606" s="218"/>
      <c r="AZ5606" s="427"/>
      <c r="BA5606" s="427"/>
      <c r="BB5606" s="427"/>
      <c r="BI5606" s="427"/>
      <c r="BJ5606" s="427"/>
      <c r="BK5606" s="427"/>
      <c r="BL5606" s="427"/>
      <c r="BM5606" s="427"/>
      <c r="BN5606" s="427"/>
      <c r="BO5606" s="427"/>
      <c r="BP5606" s="427"/>
      <c r="BQ5606" s="427"/>
      <c r="BR5606" s="427"/>
      <c r="BS5606" s="427"/>
      <c r="BT5606" s="427"/>
      <c r="BU5606" s="427"/>
      <c r="BV5606" s="427"/>
      <c r="BW5606" s="427"/>
      <c r="BX5606" s="427"/>
      <c r="BY5606" s="427"/>
      <c r="BZ5606" s="427"/>
    </row>
    <row r="5607" spans="2:78" s="152" customFormat="1" x14ac:dyDescent="0.2">
      <c r="B5607" s="683"/>
      <c r="C5607" s="683"/>
      <c r="D5607" s="698"/>
      <c r="E5607" s="215"/>
      <c r="F5607" s="215"/>
      <c r="G5607" s="427"/>
      <c r="H5607" s="427"/>
      <c r="I5607" s="427"/>
      <c r="J5607" s="427"/>
      <c r="K5607" s="427"/>
      <c r="L5607" s="653"/>
      <c r="M5607" s="666"/>
      <c r="N5607" s="600">
        <v>4.4400000000000004</v>
      </c>
      <c r="O5607" s="608">
        <v>2.2477E-2</v>
      </c>
      <c r="P5607" s="782"/>
      <c r="Q5607" s="764"/>
      <c r="R5607" s="764"/>
      <c r="S5607" s="764"/>
      <c r="T5607" s="764"/>
      <c r="U5607" s="764"/>
      <c r="V5607" s="764"/>
      <c r="W5607" s="764"/>
      <c r="X5607" s="764"/>
      <c r="Y5607" s="768"/>
      <c r="Z5607" s="762"/>
      <c r="AA5607" s="150"/>
      <c r="AB5607" s="150">
        <v>254</v>
      </c>
      <c r="AC5607" s="150">
        <v>2.3E-3</v>
      </c>
      <c r="AD5607" s="150">
        <v>11.83</v>
      </c>
      <c r="AE5607" s="150">
        <v>0.61</v>
      </c>
      <c r="AF5607" s="223">
        <f t="shared" si="36"/>
        <v>7.2162999999999995</v>
      </c>
      <c r="AG5607" s="223">
        <f t="shared" si="35"/>
        <v>0.61527375524853467</v>
      </c>
      <c r="AH5607" s="346"/>
      <c r="AI5607" s="427"/>
      <c r="AJ5607" s="480"/>
      <c r="AK5607" s="427"/>
      <c r="AU5607" s="218"/>
      <c r="AV5607" s="218"/>
      <c r="AW5607" s="218"/>
      <c r="AX5607" s="218"/>
      <c r="AY5607" s="218"/>
      <c r="AZ5607" s="427"/>
      <c r="BA5607" s="427"/>
      <c r="BB5607" s="427"/>
      <c r="BI5607" s="427"/>
      <c r="BJ5607" s="427"/>
      <c r="BK5607" s="427"/>
      <c r="BL5607" s="427"/>
      <c r="BM5607" s="427"/>
      <c r="BN5607" s="427"/>
      <c r="BO5607" s="427"/>
      <c r="BP5607" s="427"/>
      <c r="BQ5607" s="427"/>
      <c r="BR5607" s="427"/>
      <c r="BS5607" s="427"/>
      <c r="BT5607" s="427"/>
      <c r="BU5607" s="427"/>
      <c r="BV5607" s="427"/>
      <c r="BW5607" s="427"/>
      <c r="BX5607" s="427"/>
      <c r="BY5607" s="427"/>
      <c r="BZ5607" s="427"/>
    </row>
    <row r="5608" spans="2:78" s="152" customFormat="1" x14ac:dyDescent="0.2">
      <c r="B5608" s="683"/>
      <c r="C5608" s="683"/>
      <c r="D5608" s="698"/>
      <c r="E5608" s="215"/>
      <c r="F5608" s="215"/>
      <c r="G5608" s="427"/>
      <c r="H5608" s="427"/>
      <c r="I5608" s="427"/>
      <c r="J5608" s="427"/>
      <c r="K5608" s="427"/>
      <c r="L5608" s="653"/>
      <c r="M5608" s="666"/>
      <c r="N5608" s="600">
        <v>3.85</v>
      </c>
      <c r="O5608" s="608">
        <v>1.0557E-2</v>
      </c>
      <c r="P5608" s="782"/>
      <c r="Q5608" s="764"/>
      <c r="R5608" s="764"/>
      <c r="S5608" s="764"/>
      <c r="T5608" s="764"/>
      <c r="U5608" s="764"/>
      <c r="V5608" s="764"/>
      <c r="W5608" s="764"/>
      <c r="X5608" s="764"/>
      <c r="Y5608" s="768"/>
      <c r="Z5608" s="762"/>
      <c r="AA5608" s="150"/>
      <c r="AB5608" s="150">
        <v>255</v>
      </c>
      <c r="AC5608" s="150">
        <v>2.3E-3</v>
      </c>
      <c r="AD5608" s="150">
        <v>11.73</v>
      </c>
      <c r="AE5608" s="150">
        <v>0.57299999999999995</v>
      </c>
      <c r="AF5608" s="223">
        <f t="shared" si="36"/>
        <v>6.7212899999999998</v>
      </c>
      <c r="AG5608" s="223">
        <f t="shared" si="35"/>
        <v>0.57280670823606783</v>
      </c>
      <c r="AH5608" s="346"/>
      <c r="AI5608" s="427"/>
      <c r="AJ5608" s="480"/>
      <c r="AK5608" s="427"/>
      <c r="AU5608" s="218"/>
      <c r="AV5608" s="218"/>
      <c r="AW5608" s="218"/>
      <c r="AX5608" s="218"/>
      <c r="AY5608" s="218"/>
      <c r="AZ5608" s="427"/>
      <c r="BA5608" s="427"/>
      <c r="BB5608" s="427"/>
      <c r="BI5608" s="427"/>
      <c r="BJ5608" s="427"/>
      <c r="BK5608" s="427"/>
      <c r="BL5608" s="427"/>
      <c r="BM5608" s="427"/>
      <c r="BN5608" s="427"/>
      <c r="BO5608" s="427"/>
      <c r="BP5608" s="427"/>
      <c r="BQ5608" s="427"/>
      <c r="BR5608" s="427"/>
      <c r="BS5608" s="427"/>
      <c r="BT5608" s="427"/>
      <c r="BU5608" s="427"/>
      <c r="BV5608" s="427"/>
      <c r="BW5608" s="427"/>
      <c r="BX5608" s="427"/>
      <c r="BY5608" s="427"/>
      <c r="BZ5608" s="427"/>
    </row>
    <row r="5609" spans="2:78" s="152" customFormat="1" x14ac:dyDescent="0.2">
      <c r="B5609" s="683"/>
      <c r="C5609" s="683"/>
      <c r="D5609" s="698"/>
      <c r="E5609" s="215"/>
      <c r="F5609" s="215"/>
      <c r="G5609" s="427"/>
      <c r="H5609" s="427"/>
      <c r="I5609" s="427"/>
      <c r="J5609" s="427"/>
      <c r="K5609" s="427"/>
      <c r="L5609" s="653"/>
      <c r="M5609" s="666"/>
      <c r="N5609" s="600">
        <v>3.44</v>
      </c>
      <c r="O5609" s="608">
        <v>6.9899999999999997E-3</v>
      </c>
      <c r="P5609" s="782"/>
      <c r="Q5609" s="764"/>
      <c r="R5609" s="764"/>
      <c r="S5609" s="764"/>
      <c r="T5609" s="764"/>
      <c r="U5609" s="764"/>
      <c r="V5609" s="764"/>
      <c r="W5609" s="764"/>
      <c r="X5609" s="764"/>
      <c r="Y5609" s="768"/>
      <c r="Z5609" s="762"/>
      <c r="AA5609" s="150"/>
      <c r="AB5609" s="150">
        <v>256</v>
      </c>
      <c r="AC5609" s="150">
        <v>2.3999999999999998E-3</v>
      </c>
      <c r="AD5609" s="150">
        <v>11.65</v>
      </c>
      <c r="AE5609" s="150">
        <v>0.54600000000000004</v>
      </c>
      <c r="AF5609" s="223">
        <f t="shared" si="36"/>
        <v>6.3609000000000009</v>
      </c>
      <c r="AG5609" s="223">
        <f t="shared" si="35"/>
        <v>0.54080397428036908</v>
      </c>
      <c r="AH5609" s="346"/>
      <c r="AI5609" s="427"/>
      <c r="AJ5609" s="480"/>
      <c r="AK5609" s="427"/>
      <c r="AU5609" s="218"/>
      <c r="AV5609" s="218"/>
      <c r="AW5609" s="218"/>
      <c r="AX5609" s="218"/>
      <c r="AY5609" s="218"/>
      <c r="AZ5609" s="427"/>
      <c r="BA5609" s="427"/>
      <c r="BB5609" s="427"/>
      <c r="BI5609" s="427"/>
      <c r="BJ5609" s="427"/>
      <c r="BK5609" s="427"/>
      <c r="BL5609" s="427"/>
      <c r="BM5609" s="427"/>
      <c r="BN5609" s="427"/>
      <c r="BO5609" s="427"/>
      <c r="BP5609" s="427"/>
      <c r="BQ5609" s="427"/>
      <c r="BR5609" s="427"/>
      <c r="BS5609" s="427"/>
      <c r="BT5609" s="427"/>
      <c r="BU5609" s="427"/>
      <c r="BV5609" s="427"/>
      <c r="BW5609" s="427"/>
      <c r="BX5609" s="427"/>
      <c r="BY5609" s="427"/>
      <c r="BZ5609" s="427"/>
    </row>
    <row r="5610" spans="2:78" s="152" customFormat="1" x14ac:dyDescent="0.2">
      <c r="B5610" s="683"/>
      <c r="C5610" s="683"/>
      <c r="D5610" s="698"/>
      <c r="E5610" s="215"/>
      <c r="F5610" s="215"/>
      <c r="G5610" s="427"/>
      <c r="H5610" s="427"/>
      <c r="I5610" s="427"/>
      <c r="J5610" s="427"/>
      <c r="K5610" s="427"/>
      <c r="L5610" s="653"/>
      <c r="M5610" s="666"/>
      <c r="N5610" s="600">
        <v>3.1</v>
      </c>
      <c r="O5610" s="608">
        <v>6.9479999999999993E-3</v>
      </c>
      <c r="P5610" s="782"/>
      <c r="Q5610" s="764"/>
      <c r="R5610" s="764"/>
      <c r="S5610" s="764"/>
      <c r="T5610" s="764"/>
      <c r="U5610" s="764"/>
      <c r="V5610" s="764"/>
      <c r="W5610" s="764"/>
      <c r="X5610" s="764"/>
      <c r="Y5610" s="768"/>
      <c r="Z5610" s="762"/>
      <c r="AA5610" s="150"/>
      <c r="AB5610" s="150">
        <v>257</v>
      </c>
      <c r="AC5610" s="150">
        <v>2.3E-3</v>
      </c>
      <c r="AD5610" s="150">
        <v>11.58</v>
      </c>
      <c r="AE5610" s="150">
        <v>0.52100000000000002</v>
      </c>
      <c r="AF5610" s="223">
        <f t="shared" si="36"/>
        <v>6.0331800000000007</v>
      </c>
      <c r="AG5610" s="223">
        <f t="shared" ref="AG5610:AG5673" si="37">N5610/AF5610</f>
        <v>0.51382521323746344</v>
      </c>
      <c r="AH5610" s="346"/>
      <c r="AI5610" s="427"/>
      <c r="AJ5610" s="480"/>
      <c r="AK5610" s="427"/>
      <c r="AU5610" s="218"/>
      <c r="AV5610" s="218"/>
      <c r="AW5610" s="218"/>
      <c r="AX5610" s="218"/>
      <c r="AY5610" s="218"/>
      <c r="AZ5610" s="427"/>
      <c r="BA5610" s="427"/>
      <c r="BB5610" s="427"/>
      <c r="BI5610" s="427"/>
      <c r="BJ5610" s="427"/>
      <c r="BK5610" s="427"/>
      <c r="BL5610" s="427"/>
      <c r="BM5610" s="427"/>
      <c r="BN5610" s="427"/>
      <c r="BO5610" s="427"/>
      <c r="BP5610" s="427"/>
      <c r="BQ5610" s="427"/>
      <c r="BR5610" s="427"/>
      <c r="BS5610" s="427"/>
      <c r="BT5610" s="427"/>
      <c r="BU5610" s="427"/>
      <c r="BV5610" s="427"/>
      <c r="BW5610" s="427"/>
      <c r="BX5610" s="427"/>
      <c r="BY5610" s="427"/>
      <c r="BZ5610" s="427"/>
    </row>
    <row r="5611" spans="2:78" s="152" customFormat="1" x14ac:dyDescent="0.2">
      <c r="B5611" s="683"/>
      <c r="C5611" s="683"/>
      <c r="D5611" s="698"/>
      <c r="E5611" s="215"/>
      <c r="F5611" s="215"/>
      <c r="G5611" s="427"/>
      <c r="H5611" s="427"/>
      <c r="I5611" s="427"/>
      <c r="J5611" s="427"/>
      <c r="K5611" s="427"/>
      <c r="L5611" s="653"/>
      <c r="M5611" s="666"/>
      <c r="N5611" s="600">
        <v>2.82</v>
      </c>
      <c r="O5611" s="608">
        <v>2.3E-3</v>
      </c>
      <c r="P5611" s="782"/>
      <c r="Q5611" s="764"/>
      <c r="R5611" s="764"/>
      <c r="S5611" s="764"/>
      <c r="T5611" s="764"/>
      <c r="U5611" s="764"/>
      <c r="V5611" s="764"/>
      <c r="W5611" s="764"/>
      <c r="X5611" s="764"/>
      <c r="Y5611" s="768"/>
      <c r="Z5611" s="762"/>
      <c r="AA5611" s="150"/>
      <c r="AB5611" s="150">
        <v>258</v>
      </c>
      <c r="AC5611" s="150">
        <v>2.3999999999999998E-3</v>
      </c>
      <c r="AD5611" s="150">
        <v>11.5</v>
      </c>
      <c r="AE5611" s="150">
        <v>0.5</v>
      </c>
      <c r="AF5611" s="223">
        <f t="shared" ref="AF5611:AF5674" si="38">AE5611*AD5611</f>
        <v>5.75</v>
      </c>
      <c r="AG5611" s="223">
        <f t="shared" si="37"/>
        <v>0.49043478260869561</v>
      </c>
      <c r="AH5611" s="346"/>
      <c r="AI5611" s="427"/>
      <c r="AJ5611" s="480"/>
      <c r="AK5611" s="427"/>
      <c r="AU5611" s="218"/>
      <c r="AV5611" s="218"/>
      <c r="AW5611" s="218"/>
      <c r="AX5611" s="218"/>
      <c r="AY5611" s="218"/>
      <c r="AZ5611" s="427"/>
      <c r="BA5611" s="427"/>
      <c r="BB5611" s="427"/>
      <c r="BI5611" s="427"/>
      <c r="BJ5611" s="427"/>
      <c r="BK5611" s="427"/>
      <c r="BL5611" s="427"/>
      <c r="BM5611" s="427"/>
      <c r="BN5611" s="427"/>
      <c r="BO5611" s="427"/>
      <c r="BP5611" s="427"/>
      <c r="BQ5611" s="427"/>
      <c r="BR5611" s="427"/>
      <c r="BS5611" s="427"/>
      <c r="BT5611" s="427"/>
      <c r="BU5611" s="427"/>
      <c r="BV5611" s="427"/>
      <c r="BW5611" s="427"/>
      <c r="BX5611" s="427"/>
      <c r="BY5611" s="427"/>
      <c r="BZ5611" s="427"/>
    </row>
    <row r="5612" spans="2:78" s="152" customFormat="1" x14ac:dyDescent="0.2">
      <c r="B5612" s="683"/>
      <c r="C5612" s="683"/>
      <c r="D5612" s="698"/>
      <c r="E5612" s="215"/>
      <c r="F5612" s="215"/>
      <c r="G5612" s="427"/>
      <c r="H5612" s="427"/>
      <c r="I5612" s="427"/>
      <c r="J5612" s="427"/>
      <c r="K5612" s="427"/>
      <c r="L5612" s="653"/>
      <c r="M5612" s="666"/>
      <c r="N5612" s="600">
        <v>2.5099999999999998</v>
      </c>
      <c r="O5612" s="608">
        <v>4.5760000000000002E-3</v>
      </c>
      <c r="P5612" s="782"/>
      <c r="Q5612" s="764"/>
      <c r="R5612" s="764"/>
      <c r="S5612" s="764"/>
      <c r="T5612" s="764"/>
      <c r="U5612" s="764"/>
      <c r="V5612" s="764"/>
      <c r="W5612" s="764"/>
      <c r="X5612" s="764"/>
      <c r="Y5612" s="768"/>
      <c r="Z5612" s="762"/>
      <c r="AA5612" s="150"/>
      <c r="AB5612" s="150">
        <v>259</v>
      </c>
      <c r="AC5612" s="150">
        <v>2.5000000000000001E-3</v>
      </c>
      <c r="AD5612" s="150">
        <v>11.44</v>
      </c>
      <c r="AE5612" s="150">
        <v>0.47499999999999998</v>
      </c>
      <c r="AF5612" s="223">
        <f t="shared" si="38"/>
        <v>5.4339999999999993</v>
      </c>
      <c r="AG5612" s="223">
        <f t="shared" si="37"/>
        <v>0.4619065145380935</v>
      </c>
      <c r="AH5612" s="346"/>
      <c r="AI5612" s="427"/>
      <c r="AJ5612" s="480"/>
      <c r="AK5612" s="427"/>
      <c r="AU5612" s="218"/>
      <c r="AV5612" s="218"/>
      <c r="AW5612" s="218"/>
      <c r="AX5612" s="218"/>
      <c r="AY5612" s="218"/>
      <c r="AZ5612" s="427"/>
      <c r="BA5612" s="427"/>
      <c r="BB5612" s="427"/>
      <c r="BI5612" s="427"/>
      <c r="BJ5612" s="427"/>
      <c r="BK5612" s="427"/>
      <c r="BL5612" s="427"/>
      <c r="BM5612" s="427"/>
      <c r="BN5612" s="427"/>
      <c r="BO5612" s="427"/>
      <c r="BP5612" s="427"/>
      <c r="BQ5612" s="427"/>
      <c r="BR5612" s="427"/>
      <c r="BS5612" s="427"/>
      <c r="BT5612" s="427"/>
      <c r="BU5612" s="427"/>
      <c r="BV5612" s="427"/>
      <c r="BW5612" s="427"/>
      <c r="BX5612" s="427"/>
      <c r="BY5612" s="427"/>
      <c r="BZ5612" s="427"/>
    </row>
    <row r="5613" spans="2:78" s="152" customFormat="1" x14ac:dyDescent="0.2">
      <c r="B5613" s="683"/>
      <c r="C5613" s="683"/>
      <c r="D5613" s="698"/>
      <c r="E5613" s="215"/>
      <c r="F5613" s="215"/>
      <c r="G5613" s="427"/>
      <c r="H5613" s="427"/>
      <c r="I5613" s="427"/>
      <c r="J5613" s="427"/>
      <c r="K5613" s="427"/>
      <c r="L5613" s="653"/>
      <c r="M5613" s="666"/>
      <c r="N5613" s="600">
        <v>8.33</v>
      </c>
      <c r="O5613" s="608">
        <v>1.4927999999999999E-2</v>
      </c>
      <c r="P5613" s="782"/>
      <c r="Q5613" s="764"/>
      <c r="R5613" s="764"/>
      <c r="S5613" s="764"/>
      <c r="T5613" s="764"/>
      <c r="U5613" s="764"/>
      <c r="V5613" s="764"/>
      <c r="W5613" s="764"/>
      <c r="X5613" s="764"/>
      <c r="Y5613" s="768"/>
      <c r="Z5613" s="762"/>
      <c r="AA5613" s="150"/>
      <c r="AB5613" s="150">
        <v>260</v>
      </c>
      <c r="AC5613" s="150">
        <v>1.9E-3</v>
      </c>
      <c r="AD5613" s="150">
        <v>12.44</v>
      </c>
      <c r="AE5613" s="150">
        <v>0.80200000000000005</v>
      </c>
      <c r="AF5613" s="223">
        <f t="shared" si="38"/>
        <v>9.9768799999999995</v>
      </c>
      <c r="AG5613" s="223">
        <f t="shared" si="37"/>
        <v>0.83493035898998491</v>
      </c>
      <c r="AH5613" s="346"/>
      <c r="AI5613" s="427"/>
      <c r="AJ5613" s="480"/>
      <c r="AK5613" s="427"/>
      <c r="AU5613" s="218"/>
      <c r="AV5613" s="218"/>
      <c r="AW5613" s="218"/>
      <c r="AX5613" s="218"/>
      <c r="AY5613" s="218"/>
      <c r="AZ5613" s="427"/>
      <c r="BA5613" s="427"/>
      <c r="BB5613" s="427"/>
      <c r="BI5613" s="427"/>
      <c r="BJ5613" s="427"/>
      <c r="BK5613" s="427"/>
      <c r="BL5613" s="427"/>
      <c r="BM5613" s="427"/>
      <c r="BN5613" s="427"/>
      <c r="BO5613" s="427"/>
      <c r="BP5613" s="427"/>
      <c r="BQ5613" s="427"/>
      <c r="BR5613" s="427"/>
      <c r="BS5613" s="427"/>
      <c r="BT5613" s="427"/>
      <c r="BU5613" s="427"/>
      <c r="BV5613" s="427"/>
      <c r="BW5613" s="427"/>
      <c r="BX5613" s="427"/>
      <c r="BY5613" s="427"/>
      <c r="BZ5613" s="427"/>
    </row>
    <row r="5614" spans="2:78" s="152" customFormat="1" x14ac:dyDescent="0.2">
      <c r="B5614" s="683"/>
      <c r="C5614" s="683"/>
      <c r="D5614" s="698"/>
      <c r="E5614" s="215"/>
      <c r="F5614" s="215"/>
      <c r="G5614" s="427"/>
      <c r="H5614" s="427"/>
      <c r="I5614" s="427"/>
      <c r="J5614" s="427"/>
      <c r="K5614" s="427"/>
      <c r="L5614" s="653"/>
      <c r="M5614" s="666"/>
      <c r="N5614" s="600">
        <v>10.68</v>
      </c>
      <c r="O5614" s="608">
        <v>1.5479999999999999E-2</v>
      </c>
      <c r="P5614" s="782"/>
      <c r="Q5614" s="764"/>
      <c r="R5614" s="764"/>
      <c r="S5614" s="764"/>
      <c r="T5614" s="764"/>
      <c r="U5614" s="764"/>
      <c r="V5614" s="764"/>
      <c r="W5614" s="764"/>
      <c r="X5614" s="764"/>
      <c r="Y5614" s="768"/>
      <c r="Z5614" s="762"/>
      <c r="AA5614" s="150"/>
      <c r="AB5614" s="150">
        <v>261</v>
      </c>
      <c r="AC5614" s="150">
        <v>1.8E-3</v>
      </c>
      <c r="AD5614" s="150">
        <v>12.9</v>
      </c>
      <c r="AE5614" s="150">
        <v>0.89300000000000002</v>
      </c>
      <c r="AF5614" s="223">
        <f t="shared" si="38"/>
        <v>11.5197</v>
      </c>
      <c r="AG5614" s="223">
        <f t="shared" si="37"/>
        <v>0.92710747675720717</v>
      </c>
      <c r="AH5614" s="346"/>
      <c r="AI5614" s="427"/>
      <c r="AJ5614" s="480"/>
      <c r="AK5614" s="427"/>
      <c r="AU5614" s="218"/>
      <c r="AV5614" s="218"/>
      <c r="AW5614" s="218"/>
      <c r="AX5614" s="218"/>
      <c r="AY5614" s="218"/>
      <c r="AZ5614" s="427"/>
      <c r="BA5614" s="427"/>
      <c r="BB5614" s="427"/>
      <c r="BI5614" s="427"/>
      <c r="BJ5614" s="427"/>
      <c r="BK5614" s="427"/>
      <c r="BL5614" s="427"/>
      <c r="BM5614" s="427"/>
      <c r="BN5614" s="427"/>
      <c r="BO5614" s="427"/>
      <c r="BP5614" s="427"/>
      <c r="BQ5614" s="427"/>
      <c r="BR5614" s="427"/>
      <c r="BS5614" s="427"/>
      <c r="BT5614" s="427"/>
      <c r="BU5614" s="427"/>
      <c r="BV5614" s="427"/>
      <c r="BW5614" s="427"/>
      <c r="BX5614" s="427"/>
      <c r="BY5614" s="427"/>
      <c r="BZ5614" s="427"/>
    </row>
    <row r="5615" spans="2:78" s="152" customFormat="1" x14ac:dyDescent="0.2">
      <c r="B5615" s="683"/>
      <c r="C5615" s="683"/>
      <c r="D5615" s="698"/>
      <c r="E5615" s="215"/>
      <c r="F5615" s="215"/>
      <c r="G5615" s="427"/>
      <c r="H5615" s="427"/>
      <c r="I5615" s="427"/>
      <c r="J5615" s="427"/>
      <c r="K5615" s="427"/>
      <c r="L5615" s="653"/>
      <c r="M5615" s="666"/>
      <c r="N5615" s="600">
        <v>11.89</v>
      </c>
      <c r="O5615" s="608">
        <v>2.3615999999999998E-2</v>
      </c>
      <c r="P5615" s="782"/>
      <c r="Q5615" s="764"/>
      <c r="R5615" s="764"/>
      <c r="S5615" s="764"/>
      <c r="T5615" s="764"/>
      <c r="U5615" s="764"/>
      <c r="V5615" s="764"/>
      <c r="W5615" s="764"/>
      <c r="X5615" s="764"/>
      <c r="Y5615" s="768"/>
      <c r="Z5615" s="762"/>
      <c r="AA5615" s="150"/>
      <c r="AB5615" s="150">
        <v>262</v>
      </c>
      <c r="AC5615" s="150">
        <v>1.9E-3</v>
      </c>
      <c r="AD5615" s="150">
        <v>13.12</v>
      </c>
      <c r="AE5615" s="150">
        <v>0.93600000000000005</v>
      </c>
      <c r="AF5615" s="223">
        <f t="shared" si="38"/>
        <v>12.28032</v>
      </c>
      <c r="AG5615" s="223">
        <f t="shared" si="37"/>
        <v>0.96821581196581208</v>
      </c>
      <c r="AH5615" s="346"/>
      <c r="AI5615" s="427"/>
      <c r="AJ5615" s="480"/>
      <c r="AK5615" s="427"/>
      <c r="AU5615" s="218"/>
      <c r="AV5615" s="218"/>
      <c r="AW5615" s="218"/>
      <c r="AX5615" s="218"/>
      <c r="AY5615" s="218"/>
      <c r="AZ5615" s="427"/>
      <c r="BA5615" s="427"/>
      <c r="BB5615" s="427"/>
      <c r="BI5615" s="427"/>
      <c r="BJ5615" s="427"/>
      <c r="BK5615" s="427"/>
      <c r="BL5615" s="427"/>
      <c r="BM5615" s="427"/>
      <c r="BN5615" s="427"/>
      <c r="BO5615" s="427"/>
      <c r="BP5615" s="427"/>
      <c r="BQ5615" s="427"/>
      <c r="BR5615" s="427"/>
      <c r="BS5615" s="427"/>
      <c r="BT5615" s="427"/>
      <c r="BU5615" s="427"/>
      <c r="BV5615" s="427"/>
      <c r="BW5615" s="427"/>
      <c r="BX5615" s="427"/>
      <c r="BY5615" s="427"/>
      <c r="BZ5615" s="427"/>
    </row>
    <row r="5616" spans="2:78" s="152" customFormat="1" x14ac:dyDescent="0.2">
      <c r="B5616" s="683"/>
      <c r="C5616" s="683"/>
      <c r="D5616" s="698"/>
      <c r="E5616" s="215"/>
      <c r="F5616" s="215"/>
      <c r="G5616" s="427"/>
      <c r="H5616" s="427"/>
      <c r="I5616" s="427"/>
      <c r="J5616" s="427"/>
      <c r="K5616" s="427"/>
      <c r="L5616" s="653"/>
      <c r="M5616" s="666"/>
      <c r="N5616" s="600">
        <v>12.89</v>
      </c>
      <c r="O5616" s="608">
        <v>9.8271999999999998E-2</v>
      </c>
      <c r="P5616" s="782"/>
      <c r="Q5616" s="764"/>
      <c r="R5616" s="764"/>
      <c r="S5616" s="764"/>
      <c r="T5616" s="764"/>
      <c r="U5616" s="764"/>
      <c r="V5616" s="764"/>
      <c r="W5616" s="764"/>
      <c r="X5616" s="764"/>
      <c r="Y5616" s="768"/>
      <c r="Z5616" s="762"/>
      <c r="AA5616" s="150"/>
      <c r="AB5616" s="150">
        <v>263</v>
      </c>
      <c r="AC5616" s="150">
        <v>2.2000000000000001E-3</v>
      </c>
      <c r="AD5616" s="150">
        <v>13.28</v>
      </c>
      <c r="AE5616" s="150">
        <v>0.96899999999999997</v>
      </c>
      <c r="AF5616" s="223">
        <f t="shared" si="38"/>
        <v>12.868319999999999</v>
      </c>
      <c r="AG5616" s="223">
        <f t="shared" si="37"/>
        <v>1.0016847576062766</v>
      </c>
      <c r="AH5616" s="346"/>
      <c r="AI5616" s="427"/>
      <c r="AJ5616" s="480"/>
      <c r="AK5616" s="427"/>
      <c r="AU5616" s="218"/>
      <c r="AV5616" s="218"/>
      <c r="AW5616" s="218"/>
      <c r="AX5616" s="218"/>
      <c r="AY5616" s="218"/>
      <c r="AZ5616" s="427"/>
      <c r="BA5616" s="427"/>
      <c r="BB5616" s="427"/>
      <c r="BI5616" s="427"/>
      <c r="BJ5616" s="427"/>
      <c r="BK5616" s="427"/>
      <c r="BL5616" s="427"/>
      <c r="BM5616" s="427"/>
      <c r="BN5616" s="427"/>
      <c r="BO5616" s="427"/>
      <c r="BP5616" s="427"/>
      <c r="BQ5616" s="427"/>
      <c r="BR5616" s="427"/>
      <c r="BS5616" s="427"/>
      <c r="BT5616" s="427"/>
      <c r="BU5616" s="427"/>
      <c r="BV5616" s="427"/>
      <c r="BW5616" s="427"/>
      <c r="BX5616" s="427"/>
      <c r="BY5616" s="427"/>
      <c r="BZ5616" s="427"/>
    </row>
    <row r="5617" spans="2:78" s="152" customFormat="1" x14ac:dyDescent="0.2">
      <c r="B5617" s="683"/>
      <c r="C5617" s="683"/>
      <c r="D5617" s="698"/>
      <c r="E5617" s="215"/>
      <c r="F5617" s="215"/>
      <c r="G5617" s="427"/>
      <c r="H5617" s="427"/>
      <c r="I5617" s="427"/>
      <c r="J5617" s="427"/>
      <c r="K5617" s="427"/>
      <c r="L5617" s="653"/>
      <c r="M5617" s="666"/>
      <c r="N5617" s="600">
        <v>12.98</v>
      </c>
      <c r="O5617" s="608">
        <v>9.4784999999999994E-2</v>
      </c>
      <c r="P5617" s="782"/>
      <c r="Q5617" s="764"/>
      <c r="R5617" s="764"/>
      <c r="S5617" s="764"/>
      <c r="T5617" s="764"/>
      <c r="U5617" s="764"/>
      <c r="V5617" s="764"/>
      <c r="W5617" s="764"/>
      <c r="X5617" s="764"/>
      <c r="Y5617" s="768"/>
      <c r="Z5617" s="762"/>
      <c r="AA5617" s="150"/>
      <c r="AB5617" s="150">
        <v>264</v>
      </c>
      <c r="AC5617" s="150">
        <v>2.2000000000000001E-3</v>
      </c>
      <c r="AD5617" s="150">
        <v>13.35</v>
      </c>
      <c r="AE5617" s="150">
        <v>0.97199999999999998</v>
      </c>
      <c r="AF5617" s="223">
        <f t="shared" si="38"/>
        <v>12.976199999999999</v>
      </c>
      <c r="AG5617" s="223">
        <f t="shared" si="37"/>
        <v>1.0002928438217662</v>
      </c>
      <c r="AH5617" s="346"/>
      <c r="AI5617" s="427"/>
      <c r="AJ5617" s="480"/>
      <c r="AK5617" s="427"/>
      <c r="AU5617" s="218"/>
      <c r="AV5617" s="218"/>
      <c r="AW5617" s="218"/>
      <c r="AX5617" s="218"/>
      <c r="AY5617" s="218"/>
      <c r="AZ5617" s="427"/>
      <c r="BA5617" s="427"/>
      <c r="BB5617" s="427"/>
      <c r="BI5617" s="427"/>
      <c r="BJ5617" s="427"/>
      <c r="BK5617" s="427"/>
      <c r="BL5617" s="427"/>
      <c r="BM5617" s="427"/>
      <c r="BN5617" s="427"/>
      <c r="BO5617" s="427"/>
      <c r="BP5617" s="427"/>
      <c r="BQ5617" s="427"/>
      <c r="BR5617" s="427"/>
      <c r="BS5617" s="427"/>
      <c r="BT5617" s="427"/>
      <c r="BU5617" s="427"/>
      <c r="BV5617" s="427"/>
      <c r="BW5617" s="427"/>
      <c r="BX5617" s="427"/>
      <c r="BY5617" s="427"/>
      <c r="BZ5617" s="427"/>
    </row>
    <row r="5618" spans="2:78" s="152" customFormat="1" x14ac:dyDescent="0.2">
      <c r="B5618" s="683"/>
      <c r="C5618" s="683"/>
      <c r="D5618" s="698"/>
      <c r="E5618" s="215"/>
      <c r="F5618" s="215"/>
      <c r="G5618" s="427"/>
      <c r="H5618" s="427"/>
      <c r="I5618" s="427"/>
      <c r="J5618" s="427"/>
      <c r="K5618" s="427"/>
      <c r="L5618" s="653"/>
      <c r="M5618" s="666"/>
      <c r="N5618" s="600">
        <v>12.89</v>
      </c>
      <c r="O5618" s="608">
        <v>9.7162999999999999E-2</v>
      </c>
      <c r="P5618" s="782"/>
      <c r="Q5618" s="764"/>
      <c r="R5618" s="764"/>
      <c r="S5618" s="764"/>
      <c r="T5618" s="764"/>
      <c r="U5618" s="764"/>
      <c r="V5618" s="764"/>
      <c r="W5618" s="764"/>
      <c r="X5618" s="764"/>
      <c r="Y5618" s="768"/>
      <c r="Z5618" s="762"/>
      <c r="AA5618" s="150"/>
      <c r="AB5618" s="150">
        <v>265</v>
      </c>
      <c r="AC5618" s="150">
        <v>2.2000000000000001E-3</v>
      </c>
      <c r="AD5618" s="150">
        <v>13.31</v>
      </c>
      <c r="AE5618" s="150">
        <v>0.96899999999999997</v>
      </c>
      <c r="AF5618" s="223">
        <f t="shared" si="38"/>
        <v>12.89739</v>
      </c>
      <c r="AG5618" s="223">
        <f t="shared" si="37"/>
        <v>0.99942701585359528</v>
      </c>
      <c r="AH5618" s="346"/>
      <c r="AI5618" s="427"/>
      <c r="AJ5618" s="480"/>
      <c r="AK5618" s="427"/>
      <c r="AU5618" s="218"/>
      <c r="AV5618" s="218"/>
      <c r="AW5618" s="218"/>
      <c r="AX5618" s="218"/>
      <c r="AY5618" s="218"/>
      <c r="AZ5618" s="427"/>
      <c r="BA5618" s="427"/>
      <c r="BB5618" s="427"/>
      <c r="BI5618" s="427"/>
      <c r="BJ5618" s="427"/>
      <c r="BK5618" s="427"/>
      <c r="BL5618" s="427"/>
      <c r="BM5618" s="427"/>
      <c r="BN5618" s="427"/>
      <c r="BO5618" s="427"/>
      <c r="BP5618" s="427"/>
      <c r="BQ5618" s="427"/>
      <c r="BR5618" s="427"/>
      <c r="BS5618" s="427"/>
      <c r="BT5618" s="427"/>
      <c r="BU5618" s="427"/>
      <c r="BV5618" s="427"/>
      <c r="BW5618" s="427"/>
      <c r="BX5618" s="427"/>
      <c r="BY5618" s="427"/>
      <c r="BZ5618" s="427"/>
    </row>
    <row r="5619" spans="2:78" s="152" customFormat="1" x14ac:dyDescent="0.2">
      <c r="B5619" s="683"/>
      <c r="C5619" s="683"/>
      <c r="D5619" s="698"/>
      <c r="E5619" s="215"/>
      <c r="F5619" s="215"/>
      <c r="G5619" s="427"/>
      <c r="H5619" s="427"/>
      <c r="I5619" s="427"/>
      <c r="J5619" s="427"/>
      <c r="K5619" s="427"/>
      <c r="L5619" s="653"/>
      <c r="M5619" s="666"/>
      <c r="N5619" s="600">
        <v>12.52</v>
      </c>
      <c r="O5619" s="608">
        <v>8.2211999999999993E-2</v>
      </c>
      <c r="P5619" s="782"/>
      <c r="Q5619" s="764"/>
      <c r="R5619" s="764"/>
      <c r="S5619" s="764"/>
      <c r="T5619" s="764"/>
      <c r="U5619" s="764"/>
      <c r="V5619" s="764"/>
      <c r="W5619" s="764"/>
      <c r="X5619" s="764"/>
      <c r="Y5619" s="768"/>
      <c r="Z5619" s="762"/>
      <c r="AA5619" s="150"/>
      <c r="AB5619" s="150">
        <v>266</v>
      </c>
      <c r="AC5619" s="150">
        <v>2.0999999999999999E-3</v>
      </c>
      <c r="AD5619" s="150">
        <v>13.26</v>
      </c>
      <c r="AE5619" s="150">
        <v>0.95699999999999996</v>
      </c>
      <c r="AF5619" s="223">
        <f t="shared" si="38"/>
        <v>12.689819999999999</v>
      </c>
      <c r="AG5619" s="223">
        <f t="shared" si="37"/>
        <v>0.98661761947766002</v>
      </c>
      <c r="AH5619" s="346"/>
      <c r="AI5619" s="427"/>
      <c r="AJ5619" s="480"/>
      <c r="AK5619" s="427"/>
      <c r="AU5619" s="218"/>
      <c r="AV5619" s="218"/>
      <c r="AW5619" s="218"/>
      <c r="AX5619" s="218"/>
      <c r="AY5619" s="218"/>
      <c r="AZ5619" s="427"/>
      <c r="BA5619" s="427"/>
      <c r="BB5619" s="427"/>
      <c r="BI5619" s="427"/>
      <c r="BJ5619" s="427"/>
      <c r="BK5619" s="427"/>
      <c r="BL5619" s="427"/>
      <c r="BM5619" s="427"/>
      <c r="BN5619" s="427"/>
      <c r="BO5619" s="427"/>
      <c r="BP5619" s="427"/>
      <c r="BQ5619" s="427"/>
      <c r="BR5619" s="427"/>
      <c r="BS5619" s="427"/>
      <c r="BT5619" s="427"/>
      <c r="BU5619" s="427"/>
      <c r="BV5619" s="427"/>
      <c r="BW5619" s="427"/>
      <c r="BX5619" s="427"/>
      <c r="BY5619" s="427"/>
      <c r="BZ5619" s="427"/>
    </row>
    <row r="5620" spans="2:78" s="152" customFormat="1" x14ac:dyDescent="0.2">
      <c r="B5620" s="683"/>
      <c r="C5620" s="683"/>
      <c r="D5620" s="698"/>
      <c r="E5620" s="215"/>
      <c r="F5620" s="215"/>
      <c r="G5620" s="427"/>
      <c r="H5620" s="427"/>
      <c r="I5620" s="427"/>
      <c r="J5620" s="427"/>
      <c r="K5620" s="427"/>
      <c r="L5620" s="653"/>
      <c r="M5620" s="666"/>
      <c r="N5620" s="600">
        <v>12.15</v>
      </c>
      <c r="O5620" s="608">
        <v>3.6932E-2</v>
      </c>
      <c r="P5620" s="782"/>
      <c r="Q5620" s="764"/>
      <c r="R5620" s="764"/>
      <c r="S5620" s="764"/>
      <c r="T5620" s="764"/>
      <c r="U5620" s="764"/>
      <c r="V5620" s="764"/>
      <c r="W5620" s="764"/>
      <c r="X5620" s="764"/>
      <c r="Y5620" s="768"/>
      <c r="Z5620" s="762"/>
      <c r="AA5620" s="150"/>
      <c r="AB5620" s="150">
        <v>267</v>
      </c>
      <c r="AC5620" s="150">
        <v>2.3E-3</v>
      </c>
      <c r="AD5620" s="150">
        <v>13.19</v>
      </c>
      <c r="AE5620" s="150">
        <v>0.94499999999999995</v>
      </c>
      <c r="AF5620" s="223">
        <f t="shared" si="38"/>
        <v>12.464549999999999</v>
      </c>
      <c r="AG5620" s="223">
        <f t="shared" si="37"/>
        <v>0.97476443192895057</v>
      </c>
      <c r="AH5620" s="346"/>
      <c r="AI5620" s="427"/>
      <c r="AJ5620" s="480"/>
      <c r="AK5620" s="427"/>
      <c r="AU5620" s="218"/>
      <c r="AV5620" s="218"/>
      <c r="AW5620" s="218"/>
      <c r="AX5620" s="218"/>
      <c r="AY5620" s="218"/>
      <c r="AZ5620" s="427"/>
      <c r="BA5620" s="427"/>
      <c r="BB5620" s="427"/>
      <c r="BI5620" s="427"/>
      <c r="BJ5620" s="427"/>
      <c r="BK5620" s="427"/>
      <c r="BL5620" s="427"/>
      <c r="BM5620" s="427"/>
      <c r="BN5620" s="427"/>
      <c r="BO5620" s="427"/>
      <c r="BP5620" s="427"/>
      <c r="BQ5620" s="427"/>
      <c r="BR5620" s="427"/>
      <c r="BS5620" s="427"/>
      <c r="BT5620" s="427"/>
      <c r="BU5620" s="427"/>
      <c r="BV5620" s="427"/>
      <c r="BW5620" s="427"/>
      <c r="BX5620" s="427"/>
      <c r="BY5620" s="427"/>
      <c r="BZ5620" s="427"/>
    </row>
    <row r="5621" spans="2:78" s="152" customFormat="1" x14ac:dyDescent="0.2">
      <c r="B5621" s="683"/>
      <c r="C5621" s="683"/>
      <c r="D5621" s="698"/>
      <c r="E5621" s="215"/>
      <c r="F5621" s="215"/>
      <c r="G5621" s="427"/>
      <c r="H5621" s="427"/>
      <c r="I5621" s="427"/>
      <c r="J5621" s="427"/>
      <c r="K5621" s="427"/>
      <c r="L5621" s="653"/>
      <c r="M5621" s="666"/>
      <c r="N5621" s="600">
        <v>11.62</v>
      </c>
      <c r="O5621" s="608">
        <v>3.6735999999999998E-2</v>
      </c>
      <c r="P5621" s="782"/>
      <c r="Q5621" s="764"/>
      <c r="R5621" s="764"/>
      <c r="S5621" s="764"/>
      <c r="T5621" s="764"/>
      <c r="U5621" s="764"/>
      <c r="V5621" s="764"/>
      <c r="W5621" s="764"/>
      <c r="X5621" s="764"/>
      <c r="Y5621" s="768"/>
      <c r="Z5621" s="762"/>
      <c r="AA5621" s="150"/>
      <c r="AB5621" s="150">
        <v>268</v>
      </c>
      <c r="AC5621" s="150">
        <v>2.3E-3</v>
      </c>
      <c r="AD5621" s="150">
        <v>13.12</v>
      </c>
      <c r="AE5621" s="150">
        <v>0.92700000000000005</v>
      </c>
      <c r="AF5621" s="223">
        <f t="shared" si="38"/>
        <v>12.162240000000001</v>
      </c>
      <c r="AG5621" s="223">
        <f t="shared" si="37"/>
        <v>0.95541610755913375</v>
      </c>
      <c r="AH5621" s="346"/>
      <c r="AI5621" s="427"/>
      <c r="AJ5621" s="480"/>
      <c r="AK5621" s="427"/>
      <c r="AU5621" s="218"/>
      <c r="AV5621" s="218"/>
      <c r="AW5621" s="218"/>
      <c r="AX5621" s="218"/>
      <c r="AY5621" s="218"/>
      <c r="AZ5621" s="427"/>
      <c r="BA5621" s="427"/>
      <c r="BB5621" s="427"/>
      <c r="BI5621" s="427"/>
      <c r="BJ5621" s="427"/>
      <c r="BK5621" s="427"/>
      <c r="BL5621" s="427"/>
      <c r="BM5621" s="427"/>
      <c r="BN5621" s="427"/>
      <c r="BO5621" s="427"/>
      <c r="BP5621" s="427"/>
      <c r="BQ5621" s="427"/>
      <c r="BR5621" s="427"/>
      <c r="BS5621" s="427"/>
      <c r="BT5621" s="427"/>
      <c r="BU5621" s="427"/>
      <c r="BV5621" s="427"/>
      <c r="BW5621" s="427"/>
      <c r="BX5621" s="427"/>
      <c r="BY5621" s="427"/>
      <c r="BZ5621" s="427"/>
    </row>
    <row r="5622" spans="2:78" s="152" customFormat="1" x14ac:dyDescent="0.2">
      <c r="B5622" s="683"/>
      <c r="C5622" s="683"/>
      <c r="D5622" s="698"/>
      <c r="E5622" s="215"/>
      <c r="F5622" s="215"/>
      <c r="G5622" s="427"/>
      <c r="H5622" s="427"/>
      <c r="I5622" s="427"/>
      <c r="J5622" s="427"/>
      <c r="K5622" s="427"/>
      <c r="L5622" s="653"/>
      <c r="M5622" s="666"/>
      <c r="N5622" s="600">
        <v>11.02</v>
      </c>
      <c r="O5622" s="608">
        <v>4.4301999999999994E-2</v>
      </c>
      <c r="P5622" s="782"/>
      <c r="Q5622" s="764"/>
      <c r="R5622" s="764"/>
      <c r="S5622" s="764"/>
      <c r="T5622" s="764"/>
      <c r="U5622" s="764"/>
      <c r="V5622" s="764"/>
      <c r="W5622" s="764"/>
      <c r="X5622" s="764"/>
      <c r="Y5622" s="768"/>
      <c r="Z5622" s="762"/>
      <c r="AA5622" s="150"/>
      <c r="AB5622" s="150">
        <v>269</v>
      </c>
      <c r="AC5622" s="150">
        <v>2E-3</v>
      </c>
      <c r="AD5622" s="150">
        <v>13.03</v>
      </c>
      <c r="AE5622" s="150">
        <v>0.90500000000000003</v>
      </c>
      <c r="AF5622" s="223">
        <f t="shared" si="38"/>
        <v>11.792149999999999</v>
      </c>
      <c r="AG5622" s="223">
        <f t="shared" si="37"/>
        <v>0.93451999847356082</v>
      </c>
      <c r="AH5622" s="346"/>
      <c r="AI5622" s="427"/>
      <c r="AJ5622" s="480"/>
      <c r="AK5622" s="427"/>
      <c r="AU5622" s="218"/>
      <c r="AV5622" s="218"/>
      <c r="AW5622" s="218"/>
      <c r="AX5622" s="218"/>
      <c r="AY5622" s="218"/>
      <c r="AZ5622" s="427"/>
      <c r="BA5622" s="427"/>
      <c r="BB5622" s="427"/>
      <c r="BI5622" s="427"/>
      <c r="BJ5622" s="427"/>
      <c r="BK5622" s="427"/>
      <c r="BL5622" s="427"/>
      <c r="BM5622" s="427"/>
      <c r="BN5622" s="427"/>
      <c r="BO5622" s="427"/>
      <c r="BP5622" s="427"/>
      <c r="BQ5622" s="427"/>
      <c r="BR5622" s="427"/>
      <c r="BS5622" s="427"/>
      <c r="BT5622" s="427"/>
      <c r="BU5622" s="427"/>
      <c r="BV5622" s="427"/>
      <c r="BW5622" s="427"/>
      <c r="BX5622" s="427"/>
      <c r="BY5622" s="427"/>
      <c r="BZ5622" s="427"/>
    </row>
    <row r="5623" spans="2:78" s="152" customFormat="1" x14ac:dyDescent="0.2">
      <c r="B5623" s="683"/>
      <c r="C5623" s="683"/>
      <c r="D5623" s="698"/>
      <c r="E5623" s="215"/>
      <c r="F5623" s="215"/>
      <c r="G5623" s="427"/>
      <c r="H5623" s="427"/>
      <c r="I5623" s="427"/>
      <c r="J5623" s="427"/>
      <c r="K5623" s="427"/>
      <c r="L5623" s="653"/>
      <c r="M5623" s="666"/>
      <c r="N5623" s="600">
        <v>10.35</v>
      </c>
      <c r="O5623" s="608">
        <v>2.0688000000000002E-2</v>
      </c>
      <c r="P5623" s="782"/>
      <c r="Q5623" s="764"/>
      <c r="R5623" s="764"/>
      <c r="S5623" s="764"/>
      <c r="T5623" s="764"/>
      <c r="U5623" s="764"/>
      <c r="V5623" s="764"/>
      <c r="W5623" s="764"/>
      <c r="X5623" s="764"/>
      <c r="Y5623" s="768"/>
      <c r="Z5623" s="762"/>
      <c r="AA5623" s="150"/>
      <c r="AB5623" s="150">
        <v>270</v>
      </c>
      <c r="AC5623" s="150">
        <v>2.0999999999999999E-3</v>
      </c>
      <c r="AD5623" s="150">
        <v>12.93</v>
      </c>
      <c r="AE5623" s="150">
        <v>0.88100000000000001</v>
      </c>
      <c r="AF5623" s="223">
        <f t="shared" si="38"/>
        <v>11.39133</v>
      </c>
      <c r="AG5623" s="223">
        <f t="shared" si="37"/>
        <v>0.90858574020768423</v>
      </c>
      <c r="AH5623" s="346"/>
      <c r="AI5623" s="427"/>
      <c r="AJ5623" s="480"/>
      <c r="AK5623" s="427"/>
      <c r="AU5623" s="218"/>
      <c r="AV5623" s="218"/>
      <c r="AW5623" s="218"/>
      <c r="AX5623" s="218"/>
      <c r="AY5623" s="218"/>
      <c r="AZ5623" s="427"/>
      <c r="BA5623" s="427"/>
      <c r="BB5623" s="427"/>
      <c r="BI5623" s="427"/>
      <c r="BJ5623" s="427"/>
      <c r="BK5623" s="427"/>
      <c r="BL5623" s="427"/>
      <c r="BM5623" s="427"/>
      <c r="BN5623" s="427"/>
      <c r="BO5623" s="427"/>
      <c r="BP5623" s="427"/>
      <c r="BQ5623" s="427"/>
      <c r="BR5623" s="427"/>
      <c r="BS5623" s="427"/>
      <c r="BT5623" s="427"/>
      <c r="BU5623" s="427"/>
      <c r="BV5623" s="427"/>
      <c r="BW5623" s="427"/>
      <c r="BX5623" s="427"/>
      <c r="BY5623" s="427"/>
      <c r="BZ5623" s="427"/>
    </row>
    <row r="5624" spans="2:78" s="152" customFormat="1" x14ac:dyDescent="0.2">
      <c r="B5624" s="683"/>
      <c r="C5624" s="683"/>
      <c r="D5624" s="698"/>
      <c r="E5624" s="215"/>
      <c r="F5624" s="215"/>
      <c r="G5624" s="427"/>
      <c r="H5624" s="427"/>
      <c r="I5624" s="427"/>
      <c r="J5624" s="427"/>
      <c r="K5624" s="427"/>
      <c r="L5624" s="653"/>
      <c r="M5624" s="666"/>
      <c r="N5624" s="600">
        <v>9.7799999999999994</v>
      </c>
      <c r="O5624" s="608">
        <v>1.5383999999999998E-2</v>
      </c>
      <c r="P5624" s="782"/>
      <c r="Q5624" s="764"/>
      <c r="R5624" s="764"/>
      <c r="S5624" s="764"/>
      <c r="T5624" s="764"/>
      <c r="U5624" s="764"/>
      <c r="V5624" s="764"/>
      <c r="W5624" s="764"/>
      <c r="X5624" s="764"/>
      <c r="Y5624" s="768"/>
      <c r="Z5624" s="762"/>
      <c r="AA5624" s="150"/>
      <c r="AB5624" s="150">
        <v>271</v>
      </c>
      <c r="AC5624" s="150">
        <v>1.9E-3</v>
      </c>
      <c r="AD5624" s="150">
        <v>12.82</v>
      </c>
      <c r="AE5624" s="150">
        <v>0.86</v>
      </c>
      <c r="AF5624" s="223">
        <f t="shared" si="38"/>
        <v>11.0252</v>
      </c>
      <c r="AG5624" s="223">
        <f t="shared" si="37"/>
        <v>0.88705873816348002</v>
      </c>
      <c r="AH5624" s="346"/>
      <c r="AI5624" s="427"/>
      <c r="AJ5624" s="480"/>
      <c r="AK5624" s="427"/>
      <c r="AU5624" s="218"/>
      <c r="AV5624" s="218"/>
      <c r="AW5624" s="218"/>
      <c r="AX5624" s="218"/>
      <c r="AY5624" s="218"/>
      <c r="AZ5624" s="427"/>
      <c r="BA5624" s="427"/>
      <c r="BB5624" s="427"/>
      <c r="BI5624" s="427"/>
      <c r="BJ5624" s="427"/>
      <c r="BK5624" s="427"/>
      <c r="BL5624" s="427"/>
      <c r="BM5624" s="427"/>
      <c r="BN5624" s="427"/>
      <c r="BO5624" s="427"/>
      <c r="BP5624" s="427"/>
      <c r="BQ5624" s="427"/>
      <c r="BR5624" s="427"/>
      <c r="BS5624" s="427"/>
      <c r="BT5624" s="427"/>
      <c r="BU5624" s="427"/>
      <c r="BV5624" s="427"/>
      <c r="BW5624" s="427"/>
      <c r="BX5624" s="427"/>
      <c r="BY5624" s="427"/>
      <c r="BZ5624" s="427"/>
    </row>
    <row r="5625" spans="2:78" s="152" customFormat="1" x14ac:dyDescent="0.2">
      <c r="B5625" s="683"/>
      <c r="C5625" s="683"/>
      <c r="D5625" s="698"/>
      <c r="E5625" s="215"/>
      <c r="F5625" s="215"/>
      <c r="G5625" s="427"/>
      <c r="H5625" s="427"/>
      <c r="I5625" s="427"/>
      <c r="J5625" s="427"/>
      <c r="K5625" s="427"/>
      <c r="L5625" s="653"/>
      <c r="M5625" s="666"/>
      <c r="N5625" s="600">
        <v>8.4</v>
      </c>
      <c r="O5625" s="608">
        <v>1.0064E-2</v>
      </c>
      <c r="P5625" s="782"/>
      <c r="Q5625" s="764"/>
      <c r="R5625" s="764"/>
      <c r="S5625" s="764"/>
      <c r="T5625" s="764"/>
      <c r="U5625" s="764"/>
      <c r="V5625" s="764"/>
      <c r="W5625" s="764"/>
      <c r="X5625" s="764"/>
      <c r="Y5625" s="768"/>
      <c r="Z5625" s="762"/>
      <c r="AA5625" s="150"/>
      <c r="AB5625" s="150">
        <v>272</v>
      </c>
      <c r="AC5625" s="150">
        <v>1.8E-3</v>
      </c>
      <c r="AD5625" s="150">
        <v>12.58</v>
      </c>
      <c r="AE5625" s="150">
        <v>0.80500000000000005</v>
      </c>
      <c r="AF5625" s="223">
        <f t="shared" si="38"/>
        <v>10.126900000000001</v>
      </c>
      <c r="AG5625" s="223">
        <f t="shared" si="37"/>
        <v>0.82947397525402633</v>
      </c>
      <c r="AH5625" s="346"/>
      <c r="AI5625" s="427"/>
      <c r="AJ5625" s="480"/>
      <c r="AK5625" s="427"/>
      <c r="AU5625" s="218"/>
      <c r="AV5625" s="218"/>
      <c r="AW5625" s="218"/>
      <c r="AX5625" s="218"/>
      <c r="AY5625" s="218"/>
      <c r="AZ5625" s="427"/>
      <c r="BA5625" s="427"/>
      <c r="BB5625" s="427"/>
      <c r="BI5625" s="427"/>
      <c r="BJ5625" s="427"/>
      <c r="BK5625" s="427"/>
      <c r="BL5625" s="427"/>
      <c r="BM5625" s="427"/>
      <c r="BN5625" s="427"/>
      <c r="BO5625" s="427"/>
      <c r="BP5625" s="427"/>
      <c r="BQ5625" s="427"/>
      <c r="BR5625" s="427"/>
      <c r="BS5625" s="427"/>
      <c r="BT5625" s="427"/>
      <c r="BU5625" s="427"/>
      <c r="BV5625" s="427"/>
      <c r="BW5625" s="427"/>
      <c r="BX5625" s="427"/>
      <c r="BY5625" s="427"/>
      <c r="BZ5625" s="427"/>
    </row>
    <row r="5626" spans="2:78" s="152" customFormat="1" x14ac:dyDescent="0.2">
      <c r="B5626" s="683"/>
      <c r="C5626" s="683"/>
      <c r="D5626" s="698"/>
      <c r="E5626" s="215"/>
      <c r="F5626" s="215"/>
      <c r="G5626" s="427"/>
      <c r="H5626" s="427"/>
      <c r="I5626" s="427"/>
      <c r="J5626" s="427"/>
      <c r="K5626" s="427"/>
      <c r="L5626" s="653"/>
      <c r="M5626" s="666"/>
      <c r="N5626" s="600">
        <v>7.01</v>
      </c>
      <c r="O5626" s="608">
        <v>4.9480000000000001E-3</v>
      </c>
      <c r="P5626" s="782"/>
      <c r="Q5626" s="764"/>
      <c r="R5626" s="764"/>
      <c r="S5626" s="764"/>
      <c r="T5626" s="764"/>
      <c r="U5626" s="764"/>
      <c r="V5626" s="764"/>
      <c r="W5626" s="764"/>
      <c r="X5626" s="764"/>
      <c r="Y5626" s="768"/>
      <c r="Z5626" s="762"/>
      <c r="AA5626" s="150"/>
      <c r="AB5626" s="150">
        <v>273</v>
      </c>
      <c r="AC5626" s="150">
        <v>1.8E-3</v>
      </c>
      <c r="AD5626" s="150">
        <v>12.37</v>
      </c>
      <c r="AE5626" s="150">
        <v>0.74399999999999999</v>
      </c>
      <c r="AF5626" s="223">
        <f t="shared" si="38"/>
        <v>9.2032799999999995</v>
      </c>
      <c r="AG5626" s="223">
        <f t="shared" si="37"/>
        <v>0.7616849644909206</v>
      </c>
      <c r="AH5626" s="346"/>
      <c r="AI5626" s="427"/>
      <c r="AJ5626" s="480"/>
      <c r="AK5626" s="427"/>
      <c r="AU5626" s="218"/>
      <c r="AV5626" s="218"/>
      <c r="AW5626" s="218"/>
      <c r="AX5626" s="218"/>
      <c r="AY5626" s="218"/>
      <c r="AZ5626" s="427"/>
      <c r="BA5626" s="427"/>
      <c r="BB5626" s="427"/>
      <c r="BI5626" s="427"/>
      <c r="BJ5626" s="427"/>
      <c r="BK5626" s="427"/>
      <c r="BL5626" s="427"/>
      <c r="BM5626" s="427"/>
      <c r="BN5626" s="427"/>
      <c r="BO5626" s="427"/>
      <c r="BP5626" s="427"/>
      <c r="BQ5626" s="427"/>
      <c r="BR5626" s="427"/>
      <c r="BS5626" s="427"/>
      <c r="BT5626" s="427"/>
      <c r="BU5626" s="427"/>
      <c r="BV5626" s="427"/>
      <c r="BW5626" s="427"/>
      <c r="BX5626" s="427"/>
      <c r="BY5626" s="427"/>
      <c r="BZ5626" s="427"/>
    </row>
    <row r="5627" spans="2:78" s="152" customFormat="1" x14ac:dyDescent="0.2">
      <c r="B5627" s="683"/>
      <c r="C5627" s="683"/>
      <c r="D5627" s="698"/>
      <c r="E5627" s="215"/>
      <c r="F5627" s="215"/>
      <c r="G5627" s="427"/>
      <c r="H5627" s="427"/>
      <c r="I5627" s="427"/>
      <c r="J5627" s="427"/>
      <c r="K5627" s="427"/>
      <c r="L5627" s="653"/>
      <c r="M5627" s="666"/>
      <c r="N5627" s="600">
        <v>5.47</v>
      </c>
      <c r="O5627" s="608">
        <v>4.8479999999999999E-3</v>
      </c>
      <c r="P5627" s="782"/>
      <c r="Q5627" s="764"/>
      <c r="R5627" s="764"/>
      <c r="S5627" s="764"/>
      <c r="T5627" s="764"/>
      <c r="U5627" s="764"/>
      <c r="V5627" s="764"/>
      <c r="W5627" s="764"/>
      <c r="X5627" s="764"/>
      <c r="Y5627" s="768"/>
      <c r="Z5627" s="762"/>
      <c r="AA5627" s="150"/>
      <c r="AB5627" s="150">
        <v>274</v>
      </c>
      <c r="AC5627" s="150">
        <v>1.6999999999999999E-3</v>
      </c>
      <c r="AD5627" s="150">
        <v>12.12</v>
      </c>
      <c r="AE5627" s="150">
        <v>0.66800000000000004</v>
      </c>
      <c r="AF5627" s="223">
        <f t="shared" si="38"/>
        <v>8.0961599999999994</v>
      </c>
      <c r="AG5627" s="223">
        <f t="shared" si="37"/>
        <v>0.6756289401395229</v>
      </c>
      <c r="AH5627" s="346"/>
      <c r="AI5627" s="427"/>
      <c r="AJ5627" s="480"/>
      <c r="AK5627" s="427"/>
      <c r="AU5627" s="218"/>
      <c r="AV5627" s="218"/>
      <c r="AW5627" s="218"/>
      <c r="AX5627" s="218"/>
      <c r="AY5627" s="218"/>
      <c r="AZ5627" s="427"/>
      <c r="BA5627" s="427"/>
      <c r="BB5627" s="427"/>
      <c r="BI5627" s="427"/>
      <c r="BJ5627" s="427"/>
      <c r="BK5627" s="427"/>
      <c r="BL5627" s="427"/>
      <c r="BM5627" s="427"/>
      <c r="BN5627" s="427"/>
      <c r="BO5627" s="427"/>
      <c r="BP5627" s="427"/>
      <c r="BQ5627" s="427"/>
      <c r="BR5627" s="427"/>
      <c r="BS5627" s="427"/>
      <c r="BT5627" s="427"/>
      <c r="BU5627" s="427"/>
      <c r="BV5627" s="427"/>
      <c r="BW5627" s="427"/>
      <c r="BX5627" s="427"/>
      <c r="BY5627" s="427"/>
      <c r="BZ5627" s="427"/>
    </row>
    <row r="5628" spans="2:78" s="152" customFormat="1" x14ac:dyDescent="0.2">
      <c r="B5628" s="683"/>
      <c r="C5628" s="683"/>
      <c r="D5628" s="698"/>
      <c r="E5628" s="215"/>
      <c r="F5628" s="215"/>
      <c r="G5628" s="427"/>
      <c r="H5628" s="427"/>
      <c r="I5628" s="427"/>
      <c r="J5628" s="427"/>
      <c r="K5628" s="427"/>
      <c r="L5628" s="653"/>
      <c r="M5628" s="666"/>
      <c r="N5628" s="600">
        <v>4.29</v>
      </c>
      <c r="O5628" s="608">
        <v>3.5729999999999998E-3</v>
      </c>
      <c r="P5628" s="782"/>
      <c r="Q5628" s="764"/>
      <c r="R5628" s="764"/>
      <c r="S5628" s="764"/>
      <c r="T5628" s="764"/>
      <c r="U5628" s="764"/>
      <c r="V5628" s="764"/>
      <c r="W5628" s="764"/>
      <c r="X5628" s="764"/>
      <c r="Y5628" s="768"/>
      <c r="Z5628" s="762"/>
      <c r="AA5628" s="150"/>
      <c r="AB5628" s="150">
        <v>275</v>
      </c>
      <c r="AC5628" s="150">
        <v>1.8E-3</v>
      </c>
      <c r="AD5628" s="150">
        <v>11.91</v>
      </c>
      <c r="AE5628" s="150">
        <v>0.6</v>
      </c>
      <c r="AF5628" s="223">
        <f t="shared" si="38"/>
        <v>7.1459999999999999</v>
      </c>
      <c r="AG5628" s="223">
        <f t="shared" si="37"/>
        <v>0.60033585222502095</v>
      </c>
      <c r="AH5628" s="346"/>
      <c r="AI5628" s="427"/>
      <c r="AJ5628" s="480"/>
      <c r="AK5628" s="427"/>
      <c r="AU5628" s="218"/>
      <c r="AV5628" s="218"/>
      <c r="AW5628" s="218"/>
      <c r="AX5628" s="218"/>
      <c r="AY5628" s="218"/>
      <c r="AZ5628" s="427"/>
      <c r="BA5628" s="427"/>
      <c r="BB5628" s="427"/>
      <c r="BI5628" s="427"/>
      <c r="BJ5628" s="427"/>
      <c r="BK5628" s="427"/>
      <c r="BL5628" s="427"/>
      <c r="BM5628" s="427"/>
      <c r="BN5628" s="427"/>
      <c r="BO5628" s="427"/>
      <c r="BP5628" s="427"/>
      <c r="BQ5628" s="427"/>
      <c r="BR5628" s="427"/>
      <c r="BS5628" s="427"/>
      <c r="BT5628" s="427"/>
      <c r="BU5628" s="427"/>
      <c r="BV5628" s="427"/>
      <c r="BW5628" s="427"/>
      <c r="BX5628" s="427"/>
      <c r="BY5628" s="427"/>
      <c r="BZ5628" s="427"/>
    </row>
    <row r="5629" spans="2:78" s="152" customFormat="1" x14ac:dyDescent="0.2">
      <c r="B5629" s="683"/>
      <c r="C5629" s="683"/>
      <c r="D5629" s="698"/>
      <c r="E5629" s="215"/>
      <c r="F5629" s="215"/>
      <c r="G5629" s="427"/>
      <c r="H5629" s="427"/>
      <c r="I5629" s="427"/>
      <c r="J5629" s="427"/>
      <c r="K5629" s="427"/>
      <c r="L5629" s="653"/>
      <c r="M5629" s="666"/>
      <c r="N5629" s="600">
        <v>3.4</v>
      </c>
      <c r="O5629" s="608">
        <v>5.8650000000000004E-3</v>
      </c>
      <c r="P5629" s="782"/>
      <c r="Q5629" s="764"/>
      <c r="R5629" s="764"/>
      <c r="S5629" s="764"/>
      <c r="T5629" s="764"/>
      <c r="U5629" s="764"/>
      <c r="V5629" s="764"/>
      <c r="W5629" s="764"/>
      <c r="X5629" s="764"/>
      <c r="Y5629" s="768"/>
      <c r="Z5629" s="762"/>
      <c r="AA5629" s="150"/>
      <c r="AB5629" s="150">
        <v>276</v>
      </c>
      <c r="AC5629" s="150">
        <v>1.6999999999999999E-3</v>
      </c>
      <c r="AD5629" s="150">
        <v>11.73</v>
      </c>
      <c r="AE5629" s="150">
        <v>0.54300000000000004</v>
      </c>
      <c r="AF5629" s="223">
        <f t="shared" si="38"/>
        <v>6.369390000000001</v>
      </c>
      <c r="AG5629" s="223">
        <f t="shared" si="37"/>
        <v>0.53380308004377175</v>
      </c>
      <c r="AH5629" s="346"/>
      <c r="AI5629" s="427"/>
      <c r="AJ5629" s="480"/>
      <c r="AK5629" s="427"/>
      <c r="AU5629" s="218"/>
      <c r="AV5629" s="218"/>
      <c r="AW5629" s="218"/>
      <c r="AX5629" s="218"/>
      <c r="AY5629" s="218"/>
      <c r="AZ5629" s="427"/>
      <c r="BA5629" s="427"/>
      <c r="BB5629" s="427"/>
      <c r="BI5629" s="427"/>
      <c r="BJ5629" s="427"/>
      <c r="BK5629" s="427"/>
      <c r="BL5629" s="427"/>
      <c r="BM5629" s="427"/>
      <c r="BN5629" s="427"/>
      <c r="BO5629" s="427"/>
      <c r="BP5629" s="427"/>
      <c r="BQ5629" s="427"/>
      <c r="BR5629" s="427"/>
      <c r="BS5629" s="427"/>
      <c r="BT5629" s="427"/>
      <c r="BU5629" s="427"/>
      <c r="BV5629" s="427"/>
      <c r="BW5629" s="427"/>
      <c r="BX5629" s="427"/>
      <c r="BY5629" s="427"/>
      <c r="BZ5629" s="427"/>
    </row>
    <row r="5630" spans="2:78" s="152" customFormat="1" x14ac:dyDescent="0.2">
      <c r="B5630" s="683"/>
      <c r="C5630" s="683"/>
      <c r="D5630" s="698"/>
      <c r="E5630" s="215"/>
      <c r="F5630" s="215"/>
      <c r="G5630" s="427"/>
      <c r="H5630" s="427"/>
      <c r="I5630" s="427"/>
      <c r="J5630" s="427"/>
      <c r="K5630" s="427"/>
      <c r="L5630" s="653"/>
      <c r="M5630" s="666"/>
      <c r="N5630" s="600">
        <v>2.7</v>
      </c>
      <c r="O5630" s="608">
        <v>4.6240000000000005E-3</v>
      </c>
      <c r="P5630" s="782"/>
      <c r="Q5630" s="764"/>
      <c r="R5630" s="764"/>
      <c r="S5630" s="764"/>
      <c r="T5630" s="764"/>
      <c r="U5630" s="764"/>
      <c r="V5630" s="764"/>
      <c r="W5630" s="764"/>
      <c r="X5630" s="764"/>
      <c r="Y5630" s="768"/>
      <c r="Z5630" s="762"/>
      <c r="AA5630" s="150"/>
      <c r="AB5630" s="150">
        <v>277</v>
      </c>
      <c r="AC5630" s="150">
        <v>1.6000000000000001E-3</v>
      </c>
      <c r="AD5630" s="150">
        <v>11.56</v>
      </c>
      <c r="AE5630" s="150">
        <v>0.49099999999999999</v>
      </c>
      <c r="AF5630" s="223">
        <f t="shared" si="38"/>
        <v>5.6759599999999999</v>
      </c>
      <c r="AG5630" s="223">
        <f t="shared" si="37"/>
        <v>0.47569045588763842</v>
      </c>
      <c r="AH5630" s="346"/>
      <c r="AI5630" s="427"/>
      <c r="AJ5630" s="480"/>
      <c r="AK5630" s="427"/>
      <c r="AU5630" s="218"/>
      <c r="AV5630" s="218"/>
      <c r="AW5630" s="218"/>
      <c r="AX5630" s="218"/>
      <c r="AY5630" s="218"/>
      <c r="AZ5630" s="427"/>
      <c r="BA5630" s="427"/>
      <c r="BB5630" s="427"/>
      <c r="BI5630" s="427"/>
      <c r="BJ5630" s="427"/>
      <c r="BK5630" s="427"/>
      <c r="BL5630" s="427"/>
      <c r="BM5630" s="427"/>
      <c r="BN5630" s="427"/>
      <c r="BO5630" s="427"/>
      <c r="BP5630" s="427"/>
      <c r="BQ5630" s="427"/>
      <c r="BR5630" s="427"/>
      <c r="BS5630" s="427"/>
      <c r="BT5630" s="427"/>
      <c r="BU5630" s="427"/>
      <c r="BV5630" s="427"/>
      <c r="BW5630" s="427"/>
      <c r="BX5630" s="427"/>
      <c r="BY5630" s="427"/>
      <c r="BZ5630" s="427"/>
    </row>
    <row r="5631" spans="2:78" s="152" customFormat="1" x14ac:dyDescent="0.2">
      <c r="B5631" s="683"/>
      <c r="C5631" s="683"/>
      <c r="D5631" s="698"/>
      <c r="E5631" s="215"/>
      <c r="F5631" s="215"/>
      <c r="G5631" s="427"/>
      <c r="H5631" s="427"/>
      <c r="I5631" s="427"/>
      <c r="J5631" s="427"/>
      <c r="K5631" s="427"/>
      <c r="L5631" s="653"/>
      <c r="M5631" s="666"/>
      <c r="N5631" s="600">
        <v>1.57</v>
      </c>
      <c r="O5631" s="608">
        <v>5.7250000000000001E-3</v>
      </c>
      <c r="P5631" s="782"/>
      <c r="Q5631" s="764"/>
      <c r="R5631" s="764"/>
      <c r="S5631" s="764"/>
      <c r="T5631" s="764"/>
      <c r="U5631" s="764"/>
      <c r="V5631" s="764"/>
      <c r="W5631" s="764"/>
      <c r="X5631" s="764"/>
      <c r="Y5631" s="768"/>
      <c r="Z5631" s="762"/>
      <c r="AA5631" s="150"/>
      <c r="AB5631" s="150">
        <v>278</v>
      </c>
      <c r="AC5631" s="150">
        <v>1.5E-3</v>
      </c>
      <c r="AD5631" s="150">
        <v>11.45</v>
      </c>
      <c r="AE5631" s="150">
        <v>0.38700000000000001</v>
      </c>
      <c r="AF5631" s="223">
        <f t="shared" si="38"/>
        <v>4.4311499999999997</v>
      </c>
      <c r="AG5631" s="223">
        <f t="shared" si="37"/>
        <v>0.35430982927682436</v>
      </c>
      <c r="AH5631" s="346"/>
      <c r="AI5631" s="427"/>
      <c r="AJ5631" s="480"/>
      <c r="AK5631" s="427"/>
      <c r="AU5631" s="218"/>
      <c r="AV5631" s="218"/>
      <c r="AW5631" s="218"/>
      <c r="AX5631" s="218"/>
      <c r="AY5631" s="218"/>
      <c r="AZ5631" s="427"/>
      <c r="BA5631" s="427"/>
      <c r="BB5631" s="427"/>
      <c r="BI5631" s="427"/>
      <c r="BJ5631" s="427"/>
      <c r="BK5631" s="427"/>
      <c r="BL5631" s="427"/>
      <c r="BM5631" s="427"/>
      <c r="BN5631" s="427"/>
      <c r="BO5631" s="427"/>
      <c r="BP5631" s="427"/>
      <c r="BQ5631" s="427"/>
      <c r="BR5631" s="427"/>
      <c r="BS5631" s="427"/>
      <c r="BT5631" s="427"/>
      <c r="BU5631" s="427"/>
      <c r="BV5631" s="427"/>
      <c r="BW5631" s="427"/>
      <c r="BX5631" s="427"/>
      <c r="BY5631" s="427"/>
      <c r="BZ5631" s="427"/>
    </row>
    <row r="5632" spans="2:78" s="152" customFormat="1" x14ac:dyDescent="0.2">
      <c r="B5632" s="683"/>
      <c r="C5632" s="683"/>
      <c r="D5632" s="698"/>
      <c r="E5632" s="215"/>
      <c r="F5632" s="215"/>
      <c r="G5632" s="427"/>
      <c r="H5632" s="427"/>
      <c r="I5632" s="427"/>
      <c r="J5632" s="427"/>
      <c r="K5632" s="427"/>
      <c r="L5632" s="653"/>
      <c r="M5632" s="666"/>
      <c r="N5632" s="600">
        <v>11.27</v>
      </c>
      <c r="O5632" s="608">
        <v>9.0863999999999986E-2</v>
      </c>
      <c r="P5632" s="782"/>
      <c r="Q5632" s="764"/>
      <c r="R5632" s="764"/>
      <c r="S5632" s="764"/>
      <c r="T5632" s="764"/>
      <c r="U5632" s="764"/>
      <c r="V5632" s="764"/>
      <c r="W5632" s="764"/>
      <c r="X5632" s="764"/>
      <c r="Y5632" s="768"/>
      <c r="Z5632" s="762"/>
      <c r="AA5632" s="150"/>
      <c r="AB5632" s="150">
        <v>279</v>
      </c>
      <c r="AC5632" s="150">
        <v>2.3999999999999998E-3</v>
      </c>
      <c r="AD5632" s="150">
        <v>12.62</v>
      </c>
      <c r="AE5632" s="150">
        <v>0.91400000000000003</v>
      </c>
      <c r="AF5632" s="223">
        <f t="shared" si="38"/>
        <v>11.53468</v>
      </c>
      <c r="AG5632" s="223">
        <f t="shared" si="37"/>
        <v>0.97705354634892339</v>
      </c>
      <c r="AH5632" s="346"/>
      <c r="AI5632" s="427"/>
      <c r="AJ5632" s="480"/>
      <c r="AK5632" s="427"/>
      <c r="AU5632" s="218"/>
      <c r="AV5632" s="218"/>
      <c r="AW5632" s="218"/>
      <c r="AX5632" s="218"/>
      <c r="AY5632" s="218"/>
      <c r="AZ5632" s="427"/>
      <c r="BA5632" s="427"/>
      <c r="BB5632" s="427"/>
      <c r="BI5632" s="427"/>
      <c r="BJ5632" s="427"/>
      <c r="BK5632" s="427"/>
      <c r="BL5632" s="427"/>
      <c r="BM5632" s="427"/>
      <c r="BN5632" s="427"/>
      <c r="BO5632" s="427"/>
      <c r="BP5632" s="427"/>
      <c r="BQ5632" s="427"/>
      <c r="BR5632" s="427"/>
      <c r="BS5632" s="427"/>
      <c r="BT5632" s="427"/>
      <c r="BU5632" s="427"/>
      <c r="BV5632" s="427"/>
      <c r="BW5632" s="427"/>
      <c r="BX5632" s="427"/>
      <c r="BY5632" s="427"/>
      <c r="BZ5632" s="427"/>
    </row>
    <row r="5633" spans="2:78" s="152" customFormat="1" x14ac:dyDescent="0.2">
      <c r="B5633" s="683"/>
      <c r="C5633" s="683"/>
      <c r="D5633" s="698"/>
      <c r="E5633" s="215"/>
      <c r="F5633" s="215"/>
      <c r="G5633" s="427"/>
      <c r="H5633" s="427"/>
      <c r="I5633" s="427"/>
      <c r="J5633" s="427"/>
      <c r="K5633" s="427"/>
      <c r="L5633" s="653"/>
      <c r="M5633" s="666"/>
      <c r="N5633" s="600">
        <v>17.36</v>
      </c>
      <c r="O5633" s="608">
        <v>0.65032800000000002</v>
      </c>
      <c r="P5633" s="782"/>
      <c r="Q5633" s="764"/>
      <c r="R5633" s="764"/>
      <c r="S5633" s="764"/>
      <c r="T5633" s="764"/>
      <c r="U5633" s="764"/>
      <c r="V5633" s="764"/>
      <c r="W5633" s="764"/>
      <c r="X5633" s="764"/>
      <c r="Y5633" s="768"/>
      <c r="Z5633" s="762"/>
      <c r="AA5633" s="150"/>
      <c r="AB5633" s="150">
        <v>280</v>
      </c>
      <c r="AC5633" s="150">
        <v>3.2000000000000002E-3</v>
      </c>
      <c r="AD5633" s="150">
        <v>13.72</v>
      </c>
      <c r="AE5633" s="150">
        <v>1.103</v>
      </c>
      <c r="AF5633" s="223">
        <f t="shared" si="38"/>
        <v>15.13316</v>
      </c>
      <c r="AG5633" s="223">
        <f t="shared" si="37"/>
        <v>1.1471497030362461</v>
      </c>
      <c r="AH5633" s="346"/>
      <c r="AI5633" s="427"/>
      <c r="AJ5633" s="480"/>
      <c r="AK5633" s="427"/>
      <c r="AU5633" s="218"/>
      <c r="AV5633" s="218"/>
      <c r="AW5633" s="218"/>
      <c r="AX5633" s="218"/>
      <c r="AY5633" s="218"/>
      <c r="AZ5633" s="427"/>
      <c r="BA5633" s="427"/>
      <c r="BB5633" s="427"/>
      <c r="BI5633" s="427"/>
      <c r="BJ5633" s="427"/>
      <c r="BK5633" s="427"/>
      <c r="BL5633" s="427"/>
      <c r="BM5633" s="427"/>
      <c r="BN5633" s="427"/>
      <c r="BO5633" s="427"/>
      <c r="BP5633" s="427"/>
      <c r="BQ5633" s="427"/>
      <c r="BR5633" s="427"/>
      <c r="BS5633" s="427"/>
      <c r="BT5633" s="427"/>
      <c r="BU5633" s="427"/>
      <c r="BV5633" s="427"/>
      <c r="BW5633" s="427"/>
      <c r="BX5633" s="427"/>
      <c r="BY5633" s="427"/>
      <c r="BZ5633" s="427"/>
    </row>
    <row r="5634" spans="2:78" s="152" customFormat="1" x14ac:dyDescent="0.2">
      <c r="B5634" s="683"/>
      <c r="C5634" s="683"/>
      <c r="D5634" s="698"/>
      <c r="E5634" s="215"/>
      <c r="F5634" s="215"/>
      <c r="G5634" s="427"/>
      <c r="H5634" s="427"/>
      <c r="I5634" s="427"/>
      <c r="J5634" s="427"/>
      <c r="K5634" s="427"/>
      <c r="L5634" s="653"/>
      <c r="M5634" s="666"/>
      <c r="N5634" s="600">
        <v>18.59</v>
      </c>
      <c r="O5634" s="608">
        <v>1.72732</v>
      </c>
      <c r="P5634" s="782"/>
      <c r="Q5634" s="764"/>
      <c r="R5634" s="764"/>
      <c r="S5634" s="764"/>
      <c r="T5634" s="764"/>
      <c r="U5634" s="764"/>
      <c r="V5634" s="764"/>
      <c r="W5634" s="764"/>
      <c r="X5634" s="764"/>
      <c r="Y5634" s="768"/>
      <c r="Z5634" s="762"/>
      <c r="AA5634" s="150"/>
      <c r="AB5634" s="150">
        <v>281</v>
      </c>
      <c r="AC5634" s="150">
        <v>3.2000000000000002E-3</v>
      </c>
      <c r="AD5634" s="150">
        <v>13.93</v>
      </c>
      <c r="AE5634" s="150">
        <v>1.137</v>
      </c>
      <c r="AF5634" s="223">
        <f t="shared" si="38"/>
        <v>15.83841</v>
      </c>
      <c r="AG5634" s="223">
        <f t="shared" si="37"/>
        <v>1.1737289285982622</v>
      </c>
      <c r="AH5634" s="346"/>
      <c r="AI5634" s="427"/>
      <c r="AJ5634" s="480"/>
      <c r="AK5634" s="427"/>
      <c r="AU5634" s="218"/>
      <c r="AV5634" s="218"/>
      <c r="AW5634" s="218"/>
      <c r="AX5634" s="218"/>
      <c r="AY5634" s="218"/>
      <c r="AZ5634" s="427"/>
      <c r="BA5634" s="427"/>
      <c r="BB5634" s="427"/>
      <c r="BI5634" s="427"/>
      <c r="BJ5634" s="427"/>
      <c r="BK5634" s="427"/>
      <c r="BL5634" s="427"/>
      <c r="BM5634" s="427"/>
      <c r="BN5634" s="427"/>
      <c r="BO5634" s="427"/>
      <c r="BP5634" s="427"/>
      <c r="BQ5634" s="427"/>
      <c r="BR5634" s="427"/>
      <c r="BS5634" s="427"/>
      <c r="BT5634" s="427"/>
      <c r="BU5634" s="427"/>
      <c r="BV5634" s="427"/>
      <c r="BW5634" s="427"/>
      <c r="BX5634" s="427"/>
      <c r="BY5634" s="427"/>
      <c r="BZ5634" s="427"/>
    </row>
    <row r="5635" spans="2:78" s="152" customFormat="1" x14ac:dyDescent="0.2">
      <c r="B5635" s="683"/>
      <c r="C5635" s="683"/>
      <c r="D5635" s="698"/>
      <c r="E5635" s="215"/>
      <c r="F5635" s="215"/>
      <c r="G5635" s="427"/>
      <c r="H5635" s="427"/>
      <c r="I5635" s="427"/>
      <c r="J5635" s="427"/>
      <c r="K5635" s="427"/>
      <c r="L5635" s="653"/>
      <c r="M5635" s="666"/>
      <c r="N5635" s="600">
        <v>18.79</v>
      </c>
      <c r="O5635" s="608">
        <v>1.2833639999999999</v>
      </c>
      <c r="P5635" s="782"/>
      <c r="Q5635" s="764"/>
      <c r="R5635" s="764"/>
      <c r="S5635" s="764"/>
      <c r="T5635" s="764"/>
      <c r="U5635" s="764"/>
      <c r="V5635" s="764"/>
      <c r="W5635" s="764"/>
      <c r="X5635" s="764"/>
      <c r="Y5635" s="768"/>
      <c r="Z5635" s="762"/>
      <c r="AA5635" s="150"/>
      <c r="AB5635" s="150">
        <v>282</v>
      </c>
      <c r="AC5635" s="150">
        <v>3.3999999999999998E-3</v>
      </c>
      <c r="AD5635" s="150">
        <v>13.98</v>
      </c>
      <c r="AE5635" s="150">
        <v>1.1419999999999999</v>
      </c>
      <c r="AF5635" s="223">
        <f t="shared" si="38"/>
        <v>15.965159999999999</v>
      </c>
      <c r="AG5635" s="223">
        <f t="shared" si="37"/>
        <v>1.1769377820203493</v>
      </c>
      <c r="AH5635" s="346"/>
      <c r="AI5635" s="427"/>
      <c r="AJ5635" s="480"/>
      <c r="AK5635" s="427"/>
      <c r="AU5635" s="218"/>
      <c r="AV5635" s="218"/>
      <c r="AW5635" s="218"/>
      <c r="AX5635" s="218"/>
      <c r="AY5635" s="218"/>
      <c r="AZ5635" s="427"/>
      <c r="BA5635" s="427"/>
      <c r="BB5635" s="427"/>
      <c r="BI5635" s="427"/>
      <c r="BJ5635" s="427"/>
      <c r="BK5635" s="427"/>
      <c r="BL5635" s="427"/>
      <c r="BM5635" s="427"/>
      <c r="BN5635" s="427"/>
      <c r="BO5635" s="427"/>
      <c r="BP5635" s="427"/>
      <c r="BQ5635" s="427"/>
      <c r="BR5635" s="427"/>
      <c r="BS5635" s="427"/>
      <c r="BT5635" s="427"/>
      <c r="BU5635" s="427"/>
      <c r="BV5635" s="427"/>
      <c r="BW5635" s="427"/>
      <c r="BX5635" s="427"/>
      <c r="BY5635" s="427"/>
      <c r="BZ5635" s="427"/>
    </row>
    <row r="5636" spans="2:78" s="152" customFormat="1" x14ac:dyDescent="0.2">
      <c r="B5636" s="683"/>
      <c r="C5636" s="683"/>
      <c r="D5636" s="698"/>
      <c r="E5636" s="215"/>
      <c r="F5636" s="215"/>
      <c r="G5636" s="427"/>
      <c r="H5636" s="427"/>
      <c r="I5636" s="427"/>
      <c r="J5636" s="427"/>
      <c r="K5636" s="427"/>
      <c r="L5636" s="653"/>
      <c r="M5636" s="666"/>
      <c r="N5636" s="600">
        <v>15.54</v>
      </c>
      <c r="O5636" s="608">
        <v>4.0677000000000003</v>
      </c>
      <c r="P5636" s="782"/>
      <c r="Q5636" s="764"/>
      <c r="R5636" s="764"/>
      <c r="S5636" s="764"/>
      <c r="T5636" s="764"/>
      <c r="U5636" s="764"/>
      <c r="V5636" s="764"/>
      <c r="W5636" s="764"/>
      <c r="X5636" s="764"/>
      <c r="Y5636" s="768"/>
      <c r="Z5636" s="762"/>
      <c r="AA5636" s="150"/>
      <c r="AB5636" s="150">
        <v>283</v>
      </c>
      <c r="AC5636" s="150">
        <v>3.3E-3</v>
      </c>
      <c r="AD5636" s="150">
        <v>13.65</v>
      </c>
      <c r="AE5636" s="150">
        <v>1.052</v>
      </c>
      <c r="AF5636" s="223">
        <f t="shared" si="38"/>
        <v>14.359800000000002</v>
      </c>
      <c r="AG5636" s="223">
        <f t="shared" si="37"/>
        <v>1.0821877742029831</v>
      </c>
      <c r="AH5636" s="346"/>
      <c r="AI5636" s="427"/>
      <c r="AJ5636" s="480"/>
      <c r="AK5636" s="427"/>
      <c r="AU5636" s="218"/>
      <c r="AV5636" s="218"/>
      <c r="AW5636" s="218"/>
      <c r="AX5636" s="218"/>
      <c r="AY5636" s="218"/>
      <c r="AZ5636" s="427"/>
      <c r="BA5636" s="427"/>
      <c r="BB5636" s="427"/>
      <c r="BI5636" s="427"/>
      <c r="BJ5636" s="427"/>
      <c r="BK5636" s="427"/>
      <c r="BL5636" s="427"/>
      <c r="BM5636" s="427"/>
      <c r="BN5636" s="427"/>
      <c r="BO5636" s="427"/>
      <c r="BP5636" s="427"/>
      <c r="BQ5636" s="427"/>
      <c r="BR5636" s="427"/>
      <c r="BS5636" s="427"/>
      <c r="BT5636" s="427"/>
      <c r="BU5636" s="427"/>
      <c r="BV5636" s="427"/>
      <c r="BW5636" s="427"/>
      <c r="BX5636" s="427"/>
      <c r="BY5636" s="427"/>
      <c r="BZ5636" s="427"/>
    </row>
    <row r="5637" spans="2:78" s="152" customFormat="1" x14ac:dyDescent="0.2">
      <c r="B5637" s="683"/>
      <c r="C5637" s="683"/>
      <c r="D5637" s="698"/>
      <c r="E5637" s="215"/>
      <c r="F5637" s="215"/>
      <c r="G5637" s="427"/>
      <c r="H5637" s="427"/>
      <c r="I5637" s="427"/>
      <c r="J5637" s="427"/>
      <c r="K5637" s="427"/>
      <c r="L5637" s="653"/>
      <c r="M5637" s="666"/>
      <c r="N5637" s="600">
        <v>15.13</v>
      </c>
      <c r="O5637" s="608">
        <v>4.5392500000000009</v>
      </c>
      <c r="P5637" s="782"/>
      <c r="Q5637" s="764"/>
      <c r="R5637" s="764"/>
      <c r="S5637" s="764"/>
      <c r="T5637" s="764"/>
      <c r="U5637" s="764"/>
      <c r="V5637" s="764"/>
      <c r="W5637" s="764"/>
      <c r="X5637" s="764"/>
      <c r="Y5637" s="768"/>
      <c r="Z5637" s="762"/>
      <c r="AA5637" s="150"/>
      <c r="AB5637" s="150">
        <v>284</v>
      </c>
      <c r="AC5637" s="150">
        <v>3.2000000000000002E-3</v>
      </c>
      <c r="AD5637" s="150">
        <v>13.55</v>
      </c>
      <c r="AE5637" s="150">
        <v>1.0389999999999999</v>
      </c>
      <c r="AF5637" s="223">
        <f t="shared" si="38"/>
        <v>14.07845</v>
      </c>
      <c r="AG5637" s="223">
        <f t="shared" si="37"/>
        <v>1.0746921713682971</v>
      </c>
      <c r="AH5637" s="346"/>
      <c r="AI5637" s="427"/>
      <c r="AJ5637" s="480"/>
      <c r="AK5637" s="427"/>
      <c r="AU5637" s="218"/>
      <c r="AV5637" s="218"/>
      <c r="AW5637" s="218"/>
      <c r="AX5637" s="218"/>
      <c r="AY5637" s="218"/>
      <c r="AZ5637" s="427"/>
      <c r="BA5637" s="427"/>
      <c r="BB5637" s="427"/>
      <c r="BI5637" s="427"/>
      <c r="BJ5637" s="427"/>
      <c r="BK5637" s="427"/>
      <c r="BL5637" s="427"/>
      <c r="BM5637" s="427"/>
      <c r="BN5637" s="427"/>
      <c r="BO5637" s="427"/>
      <c r="BP5637" s="427"/>
      <c r="BQ5637" s="427"/>
      <c r="BR5637" s="427"/>
      <c r="BS5637" s="427"/>
      <c r="BT5637" s="427"/>
      <c r="BU5637" s="427"/>
      <c r="BV5637" s="427"/>
      <c r="BW5637" s="427"/>
      <c r="BX5637" s="427"/>
      <c r="BY5637" s="427"/>
      <c r="BZ5637" s="427"/>
    </row>
    <row r="5638" spans="2:78" s="152" customFormat="1" x14ac:dyDescent="0.2">
      <c r="B5638" s="683"/>
      <c r="C5638" s="683"/>
      <c r="D5638" s="698"/>
      <c r="E5638" s="215"/>
      <c r="F5638" s="215"/>
      <c r="G5638" s="427"/>
      <c r="H5638" s="427"/>
      <c r="I5638" s="427"/>
      <c r="J5638" s="427"/>
      <c r="K5638" s="427"/>
      <c r="L5638" s="653"/>
      <c r="M5638" s="666"/>
      <c r="N5638" s="600">
        <v>13.07</v>
      </c>
      <c r="O5638" s="608">
        <v>0.56983799999999996</v>
      </c>
      <c r="P5638" s="782"/>
      <c r="Q5638" s="764"/>
      <c r="R5638" s="764"/>
      <c r="S5638" s="764"/>
      <c r="T5638" s="764"/>
      <c r="U5638" s="764"/>
      <c r="V5638" s="764"/>
      <c r="W5638" s="764"/>
      <c r="X5638" s="764"/>
      <c r="Y5638" s="768"/>
      <c r="Z5638" s="762"/>
      <c r="AA5638" s="150"/>
      <c r="AB5638" s="150">
        <v>285</v>
      </c>
      <c r="AC5638" s="150">
        <v>2.7000000000000001E-3</v>
      </c>
      <c r="AD5638" s="150">
        <v>13.01</v>
      </c>
      <c r="AE5638" s="150">
        <v>0.97499999999999998</v>
      </c>
      <c r="AF5638" s="223">
        <f t="shared" si="38"/>
        <v>12.684749999999999</v>
      </c>
      <c r="AG5638" s="223">
        <f t="shared" si="37"/>
        <v>1.0303711149214609</v>
      </c>
      <c r="AH5638" s="346"/>
      <c r="AI5638" s="427"/>
      <c r="AJ5638" s="480"/>
      <c r="AK5638" s="427"/>
      <c r="AU5638" s="218"/>
      <c r="AV5638" s="218"/>
      <c r="AW5638" s="218"/>
      <c r="AX5638" s="218"/>
      <c r="AY5638" s="218"/>
      <c r="AZ5638" s="427"/>
      <c r="BA5638" s="427"/>
      <c r="BB5638" s="427"/>
      <c r="BI5638" s="427"/>
      <c r="BJ5638" s="427"/>
      <c r="BK5638" s="427"/>
      <c r="BL5638" s="427"/>
      <c r="BM5638" s="427"/>
      <c r="BN5638" s="427"/>
      <c r="BO5638" s="427"/>
      <c r="BP5638" s="427"/>
      <c r="BQ5638" s="427"/>
      <c r="BR5638" s="427"/>
      <c r="BS5638" s="427"/>
      <c r="BT5638" s="427"/>
      <c r="BU5638" s="427"/>
      <c r="BV5638" s="427"/>
      <c r="BW5638" s="427"/>
      <c r="BX5638" s="427"/>
      <c r="BY5638" s="427"/>
      <c r="BZ5638" s="427"/>
    </row>
    <row r="5639" spans="2:78" s="152" customFormat="1" x14ac:dyDescent="0.2">
      <c r="B5639" s="683"/>
      <c r="C5639" s="683"/>
      <c r="D5639" s="698"/>
      <c r="E5639" s="215"/>
      <c r="F5639" s="215"/>
      <c r="G5639" s="427"/>
      <c r="H5639" s="427"/>
      <c r="I5639" s="427"/>
      <c r="J5639" s="427"/>
      <c r="K5639" s="427"/>
      <c r="L5639" s="653"/>
      <c r="M5639" s="666"/>
      <c r="N5639" s="600">
        <v>11.1</v>
      </c>
      <c r="O5639" s="608">
        <v>1.5971200000000001</v>
      </c>
      <c r="P5639" s="782"/>
      <c r="Q5639" s="764"/>
      <c r="R5639" s="764"/>
      <c r="S5639" s="764"/>
      <c r="T5639" s="764"/>
      <c r="U5639" s="764"/>
      <c r="V5639" s="764"/>
      <c r="W5639" s="764"/>
      <c r="X5639" s="764"/>
      <c r="Y5639" s="768"/>
      <c r="Z5639" s="762"/>
      <c r="AA5639" s="150"/>
      <c r="AB5639" s="150">
        <v>286</v>
      </c>
      <c r="AC5639" s="150">
        <v>2.5999999999999999E-3</v>
      </c>
      <c r="AD5639" s="150">
        <v>12.88</v>
      </c>
      <c r="AE5639" s="150">
        <v>0.90800000000000003</v>
      </c>
      <c r="AF5639" s="223">
        <f t="shared" si="38"/>
        <v>11.695040000000001</v>
      </c>
      <c r="AG5639" s="223">
        <f t="shared" si="37"/>
        <v>0.94912031083262638</v>
      </c>
      <c r="AH5639" s="346"/>
      <c r="AI5639" s="427"/>
      <c r="AJ5639" s="480"/>
      <c r="AK5639" s="427"/>
      <c r="AU5639" s="218"/>
      <c r="AV5639" s="218"/>
      <c r="AW5639" s="218"/>
      <c r="AX5639" s="218"/>
      <c r="AY5639" s="218"/>
      <c r="AZ5639" s="427"/>
      <c r="BA5639" s="427"/>
      <c r="BB5639" s="427"/>
      <c r="BI5639" s="427"/>
      <c r="BJ5639" s="427"/>
      <c r="BK5639" s="427"/>
      <c r="BL5639" s="427"/>
      <c r="BM5639" s="427"/>
      <c r="BN5639" s="427"/>
      <c r="BO5639" s="427"/>
      <c r="BP5639" s="427"/>
      <c r="BQ5639" s="427"/>
      <c r="BR5639" s="427"/>
      <c r="BS5639" s="427"/>
      <c r="BT5639" s="427"/>
      <c r="BU5639" s="427"/>
      <c r="BV5639" s="427"/>
      <c r="BW5639" s="427"/>
      <c r="BX5639" s="427"/>
      <c r="BY5639" s="427"/>
      <c r="BZ5639" s="427"/>
    </row>
    <row r="5640" spans="2:78" s="152" customFormat="1" x14ac:dyDescent="0.2">
      <c r="B5640" s="683"/>
      <c r="C5640" s="683"/>
      <c r="D5640" s="698"/>
      <c r="E5640" s="215"/>
      <c r="F5640" s="215"/>
      <c r="G5640" s="427"/>
      <c r="H5640" s="427"/>
      <c r="I5640" s="427"/>
      <c r="J5640" s="427"/>
      <c r="K5640" s="427"/>
      <c r="L5640" s="653"/>
      <c r="M5640" s="666"/>
      <c r="N5640" s="600">
        <v>11.98</v>
      </c>
      <c r="O5640" s="608">
        <v>0.53524799999999995</v>
      </c>
      <c r="P5640" s="782"/>
      <c r="Q5640" s="764"/>
      <c r="R5640" s="764"/>
      <c r="S5640" s="764"/>
      <c r="T5640" s="764"/>
      <c r="U5640" s="764"/>
      <c r="V5640" s="764"/>
      <c r="W5640" s="764"/>
      <c r="X5640" s="764"/>
      <c r="Y5640" s="768"/>
      <c r="Z5640" s="762"/>
      <c r="AA5640" s="150"/>
      <c r="AB5640" s="150">
        <v>287</v>
      </c>
      <c r="AC5640" s="150">
        <v>2.5000000000000001E-3</v>
      </c>
      <c r="AD5640" s="150">
        <v>12.96</v>
      </c>
      <c r="AE5640" s="150">
        <v>0.93899999999999995</v>
      </c>
      <c r="AF5640" s="223">
        <f t="shared" si="38"/>
        <v>12.16944</v>
      </c>
      <c r="AG5640" s="223">
        <f t="shared" si="37"/>
        <v>0.98443313743278249</v>
      </c>
      <c r="AH5640" s="346"/>
      <c r="AI5640" s="427"/>
      <c r="AJ5640" s="480"/>
      <c r="AK5640" s="427"/>
      <c r="AU5640" s="218"/>
      <c r="AV5640" s="218"/>
      <c r="AW5640" s="218"/>
      <c r="AX5640" s="218"/>
      <c r="AY5640" s="218"/>
      <c r="AZ5640" s="427"/>
      <c r="BA5640" s="427"/>
      <c r="BB5640" s="427"/>
      <c r="BI5640" s="427"/>
      <c r="BJ5640" s="427"/>
      <c r="BK5640" s="427"/>
      <c r="BL5640" s="427"/>
      <c r="BM5640" s="427"/>
      <c r="BN5640" s="427"/>
      <c r="BO5640" s="427"/>
      <c r="BP5640" s="427"/>
      <c r="BQ5640" s="427"/>
      <c r="BR5640" s="427"/>
      <c r="BS5640" s="427"/>
      <c r="BT5640" s="427"/>
      <c r="BU5640" s="427"/>
      <c r="BV5640" s="427"/>
      <c r="BW5640" s="427"/>
      <c r="BX5640" s="427"/>
      <c r="BY5640" s="427"/>
      <c r="BZ5640" s="427"/>
    </row>
    <row r="5641" spans="2:78" s="152" customFormat="1" x14ac:dyDescent="0.2">
      <c r="B5641" s="683"/>
      <c r="C5641" s="683"/>
      <c r="D5641" s="698"/>
      <c r="E5641" s="215"/>
      <c r="F5641" s="215"/>
      <c r="G5641" s="427"/>
      <c r="H5641" s="427"/>
      <c r="I5641" s="427"/>
      <c r="J5641" s="427"/>
      <c r="K5641" s="427"/>
      <c r="L5641" s="653"/>
      <c r="M5641" s="666"/>
      <c r="N5641" s="600">
        <v>10.02</v>
      </c>
      <c r="O5641" s="608">
        <v>0.35460900000000001</v>
      </c>
      <c r="P5641" s="782"/>
      <c r="Q5641" s="764"/>
      <c r="R5641" s="764"/>
      <c r="S5641" s="764"/>
      <c r="T5641" s="764"/>
      <c r="U5641" s="764"/>
      <c r="V5641" s="764"/>
      <c r="W5641" s="764"/>
      <c r="X5641" s="764"/>
      <c r="Y5641" s="768"/>
      <c r="Z5641" s="762"/>
      <c r="AA5641" s="150"/>
      <c r="AB5641" s="150">
        <v>288</v>
      </c>
      <c r="AC5641" s="150">
        <v>2.3999999999999998E-3</v>
      </c>
      <c r="AD5641" s="150">
        <v>12.71</v>
      </c>
      <c r="AE5641" s="150">
        <v>0.86899999999999999</v>
      </c>
      <c r="AF5641" s="223">
        <f t="shared" si="38"/>
        <v>11.04499</v>
      </c>
      <c r="AG5641" s="223">
        <f t="shared" si="37"/>
        <v>0.90719864843698361</v>
      </c>
      <c r="AH5641" s="346"/>
      <c r="AI5641" s="427"/>
      <c r="AJ5641" s="480"/>
      <c r="AK5641" s="427"/>
      <c r="AU5641" s="218"/>
      <c r="AV5641" s="218"/>
      <c r="AW5641" s="218"/>
      <c r="AX5641" s="218"/>
      <c r="AY5641" s="218"/>
      <c r="AZ5641" s="427"/>
      <c r="BA5641" s="427"/>
      <c r="BB5641" s="427"/>
      <c r="BI5641" s="427"/>
      <c r="BJ5641" s="427"/>
      <c r="BK5641" s="427"/>
      <c r="BL5641" s="427"/>
      <c r="BM5641" s="427"/>
      <c r="BN5641" s="427"/>
      <c r="BO5641" s="427"/>
      <c r="BP5641" s="427"/>
      <c r="BQ5641" s="427"/>
      <c r="BR5641" s="427"/>
      <c r="BS5641" s="427"/>
      <c r="BT5641" s="427"/>
      <c r="BU5641" s="427"/>
      <c r="BV5641" s="427"/>
      <c r="BW5641" s="427"/>
      <c r="BX5641" s="427"/>
      <c r="BY5641" s="427"/>
      <c r="BZ5641" s="427"/>
    </row>
    <row r="5642" spans="2:78" s="152" customFormat="1" x14ac:dyDescent="0.2">
      <c r="B5642" s="683"/>
      <c r="C5642" s="683"/>
      <c r="D5642" s="698"/>
      <c r="E5642" s="215"/>
      <c r="F5642" s="215"/>
      <c r="G5642" s="427"/>
      <c r="H5642" s="427"/>
      <c r="I5642" s="427"/>
      <c r="J5642" s="427"/>
      <c r="K5642" s="427"/>
      <c r="L5642" s="653"/>
      <c r="M5642" s="666"/>
      <c r="N5642" s="600">
        <v>8.6999999999999993</v>
      </c>
      <c r="O5642" s="608">
        <v>0.604854</v>
      </c>
      <c r="P5642" s="782"/>
      <c r="Q5642" s="764"/>
      <c r="R5642" s="764"/>
      <c r="S5642" s="764"/>
      <c r="T5642" s="764"/>
      <c r="U5642" s="764"/>
      <c r="V5642" s="764"/>
      <c r="W5642" s="764"/>
      <c r="X5642" s="764"/>
      <c r="Y5642" s="768"/>
      <c r="Z5642" s="762"/>
      <c r="AA5642" s="150"/>
      <c r="AB5642" s="150">
        <v>289</v>
      </c>
      <c r="AC5642" s="150">
        <v>2.3E-3</v>
      </c>
      <c r="AD5642" s="150">
        <v>12.42</v>
      </c>
      <c r="AE5642" s="150">
        <v>0.81699999999999995</v>
      </c>
      <c r="AF5642" s="223">
        <f t="shared" si="38"/>
        <v>10.147139999999998</v>
      </c>
      <c r="AG5642" s="223">
        <f t="shared" si="37"/>
        <v>0.85738444527226398</v>
      </c>
      <c r="AH5642" s="346"/>
      <c r="AI5642" s="427"/>
      <c r="AJ5642" s="480"/>
      <c r="AK5642" s="427"/>
      <c r="AU5642" s="218"/>
      <c r="AV5642" s="218"/>
      <c r="AW5642" s="218"/>
      <c r="AX5642" s="218"/>
      <c r="AY5642" s="218"/>
      <c r="AZ5642" s="427"/>
      <c r="BA5642" s="427"/>
      <c r="BB5642" s="427"/>
      <c r="BI5642" s="427"/>
      <c r="BJ5642" s="427"/>
      <c r="BK5642" s="427"/>
      <c r="BL5642" s="427"/>
      <c r="BM5642" s="427"/>
      <c r="BN5642" s="427"/>
      <c r="BO5642" s="427"/>
      <c r="BP5642" s="427"/>
      <c r="BQ5642" s="427"/>
      <c r="BR5642" s="427"/>
      <c r="BS5642" s="427"/>
      <c r="BT5642" s="427"/>
      <c r="BU5642" s="427"/>
      <c r="BV5642" s="427"/>
      <c r="BW5642" s="427"/>
      <c r="BX5642" s="427"/>
      <c r="BY5642" s="427"/>
      <c r="BZ5642" s="427"/>
    </row>
    <row r="5643" spans="2:78" s="152" customFormat="1" x14ac:dyDescent="0.2">
      <c r="B5643" s="683"/>
      <c r="C5643" s="683"/>
      <c r="D5643" s="698"/>
      <c r="E5643" s="215"/>
      <c r="F5643" s="215"/>
      <c r="G5643" s="427"/>
      <c r="H5643" s="427"/>
      <c r="I5643" s="427"/>
      <c r="J5643" s="427"/>
      <c r="K5643" s="427"/>
      <c r="L5643" s="653"/>
      <c r="M5643" s="666"/>
      <c r="N5643" s="600">
        <v>7.01</v>
      </c>
      <c r="O5643" s="608">
        <v>0.22076600000000002</v>
      </c>
      <c r="P5643" s="782"/>
      <c r="Q5643" s="764"/>
      <c r="R5643" s="764"/>
      <c r="S5643" s="764"/>
      <c r="T5643" s="764"/>
      <c r="U5643" s="764"/>
      <c r="V5643" s="764"/>
      <c r="W5643" s="764"/>
      <c r="X5643" s="764"/>
      <c r="Y5643" s="768"/>
      <c r="Z5643" s="762"/>
      <c r="AA5643" s="150"/>
      <c r="AB5643" s="150">
        <v>290</v>
      </c>
      <c r="AC5643" s="150">
        <v>2.0999999999999999E-3</v>
      </c>
      <c r="AD5643" s="150">
        <v>12.13</v>
      </c>
      <c r="AE5643" s="150">
        <v>0.74399999999999999</v>
      </c>
      <c r="AF5643" s="223">
        <f t="shared" si="38"/>
        <v>9.0247200000000003</v>
      </c>
      <c r="AG5643" s="223">
        <f t="shared" si="37"/>
        <v>0.77675540072157356</v>
      </c>
      <c r="AH5643" s="346"/>
      <c r="AI5643" s="427"/>
      <c r="AJ5643" s="480"/>
      <c r="AK5643" s="427"/>
      <c r="AU5643" s="218"/>
      <c r="AV5643" s="218"/>
      <c r="AW5643" s="218"/>
      <c r="AX5643" s="218"/>
      <c r="AY5643" s="218"/>
      <c r="AZ5643" s="427"/>
      <c r="BA5643" s="427"/>
      <c r="BB5643" s="427"/>
      <c r="BI5643" s="427"/>
      <c r="BJ5643" s="427"/>
      <c r="BK5643" s="427"/>
      <c r="BL5643" s="427"/>
      <c r="BM5643" s="427"/>
      <c r="BN5643" s="427"/>
      <c r="BO5643" s="427"/>
      <c r="BP5643" s="427"/>
      <c r="BQ5643" s="427"/>
      <c r="BR5643" s="427"/>
      <c r="BS5643" s="427"/>
      <c r="BT5643" s="427"/>
      <c r="BU5643" s="427"/>
      <c r="BV5643" s="427"/>
      <c r="BW5643" s="427"/>
      <c r="BX5643" s="427"/>
      <c r="BY5643" s="427"/>
      <c r="BZ5643" s="427"/>
    </row>
    <row r="5644" spans="2:78" s="152" customFormat="1" x14ac:dyDescent="0.2">
      <c r="B5644" s="683"/>
      <c r="C5644" s="683"/>
      <c r="D5644" s="698"/>
      <c r="E5644" s="215"/>
      <c r="F5644" s="215"/>
      <c r="G5644" s="427"/>
      <c r="H5644" s="427"/>
      <c r="I5644" s="427"/>
      <c r="J5644" s="427"/>
      <c r="K5644" s="427"/>
      <c r="L5644" s="653"/>
      <c r="M5644" s="666"/>
      <c r="N5644" s="600">
        <v>5.88</v>
      </c>
      <c r="O5644" s="608">
        <v>0.10140500000000001</v>
      </c>
      <c r="P5644" s="782"/>
      <c r="Q5644" s="764"/>
      <c r="R5644" s="764"/>
      <c r="S5644" s="764"/>
      <c r="T5644" s="764"/>
      <c r="U5644" s="764"/>
      <c r="V5644" s="764"/>
      <c r="W5644" s="764"/>
      <c r="X5644" s="764"/>
      <c r="Y5644" s="768"/>
      <c r="Z5644" s="762"/>
      <c r="AA5644" s="150"/>
      <c r="AB5644" s="150">
        <v>291</v>
      </c>
      <c r="AC5644" s="150">
        <v>2E-3</v>
      </c>
      <c r="AD5644" s="150">
        <v>11.93</v>
      </c>
      <c r="AE5644" s="150">
        <v>0.68899999999999995</v>
      </c>
      <c r="AF5644" s="223">
        <f t="shared" si="38"/>
        <v>8.2197699999999987</v>
      </c>
      <c r="AG5644" s="223">
        <f t="shared" si="37"/>
        <v>0.71534848298675036</v>
      </c>
      <c r="AH5644" s="346"/>
      <c r="AI5644" s="427"/>
      <c r="AJ5644" s="480"/>
      <c r="AK5644" s="427"/>
      <c r="AU5644" s="218"/>
      <c r="AV5644" s="218"/>
      <c r="AW5644" s="218"/>
      <c r="AX5644" s="218"/>
      <c r="AY5644" s="218"/>
      <c r="AZ5644" s="427"/>
      <c r="BA5644" s="427"/>
      <c r="BB5644" s="427"/>
      <c r="BI5644" s="427"/>
      <c r="BJ5644" s="427"/>
      <c r="BK5644" s="427"/>
      <c r="BL5644" s="427"/>
      <c r="BM5644" s="427"/>
      <c r="BN5644" s="427"/>
      <c r="BO5644" s="427"/>
      <c r="BP5644" s="427"/>
      <c r="BQ5644" s="427"/>
      <c r="BR5644" s="427"/>
      <c r="BS5644" s="427"/>
      <c r="BT5644" s="427"/>
      <c r="BU5644" s="427"/>
      <c r="BV5644" s="427"/>
      <c r="BW5644" s="427"/>
      <c r="BX5644" s="427"/>
      <c r="BY5644" s="427"/>
      <c r="BZ5644" s="427"/>
    </row>
    <row r="5645" spans="2:78" s="152" customFormat="1" x14ac:dyDescent="0.2">
      <c r="B5645" s="683"/>
      <c r="C5645" s="683"/>
      <c r="D5645" s="698"/>
      <c r="E5645" s="215"/>
      <c r="F5645" s="215"/>
      <c r="G5645" s="427"/>
      <c r="H5645" s="427"/>
      <c r="I5645" s="427"/>
      <c r="J5645" s="427"/>
      <c r="K5645" s="427"/>
      <c r="L5645" s="653"/>
      <c r="M5645" s="666"/>
      <c r="N5645" s="600">
        <v>4.91</v>
      </c>
      <c r="O5645" s="608">
        <v>0.43511999999999995</v>
      </c>
      <c r="P5645" s="782"/>
      <c r="Q5645" s="764"/>
      <c r="R5645" s="764"/>
      <c r="S5645" s="764"/>
      <c r="T5645" s="764"/>
      <c r="U5645" s="764"/>
      <c r="V5645" s="764"/>
      <c r="W5645" s="764"/>
      <c r="X5645" s="764"/>
      <c r="Y5645" s="768"/>
      <c r="Z5645" s="762"/>
      <c r="AA5645" s="150"/>
      <c r="AB5645" s="150">
        <v>292</v>
      </c>
      <c r="AC5645" s="150">
        <v>2E-3</v>
      </c>
      <c r="AD5645" s="150">
        <v>11.76</v>
      </c>
      <c r="AE5645" s="150">
        <v>0.63700000000000001</v>
      </c>
      <c r="AF5645" s="223">
        <f t="shared" si="38"/>
        <v>7.4911199999999996</v>
      </c>
      <c r="AG5645" s="223">
        <f t="shared" si="37"/>
        <v>0.6554427108362969</v>
      </c>
      <c r="AH5645" s="346"/>
      <c r="AI5645" s="427"/>
      <c r="AJ5645" s="480"/>
      <c r="AK5645" s="427"/>
      <c r="AU5645" s="218"/>
      <c r="AV5645" s="218"/>
      <c r="AW5645" s="218"/>
      <c r="AX5645" s="218"/>
      <c r="AY5645" s="218"/>
      <c r="AZ5645" s="427"/>
      <c r="BA5645" s="427"/>
      <c r="BB5645" s="427"/>
      <c r="BI5645" s="427"/>
      <c r="BJ5645" s="427"/>
      <c r="BK5645" s="427"/>
      <c r="BL5645" s="427"/>
      <c r="BM5645" s="427"/>
      <c r="BN5645" s="427"/>
      <c r="BO5645" s="427"/>
      <c r="BP5645" s="427"/>
      <c r="BQ5645" s="427"/>
      <c r="BR5645" s="427"/>
      <c r="BS5645" s="427"/>
      <c r="BT5645" s="427"/>
      <c r="BU5645" s="427"/>
      <c r="BV5645" s="427"/>
      <c r="BW5645" s="427"/>
      <c r="BX5645" s="427"/>
      <c r="BY5645" s="427"/>
      <c r="BZ5645" s="427"/>
    </row>
    <row r="5646" spans="2:78" s="152" customFormat="1" x14ac:dyDescent="0.2">
      <c r="B5646" s="683"/>
      <c r="C5646" s="683"/>
      <c r="D5646" s="698"/>
      <c r="E5646" s="215"/>
      <c r="F5646" s="215"/>
      <c r="G5646" s="427"/>
      <c r="H5646" s="427"/>
      <c r="I5646" s="427"/>
      <c r="J5646" s="427"/>
      <c r="K5646" s="427"/>
      <c r="L5646" s="653"/>
      <c r="M5646" s="666"/>
      <c r="N5646" s="600">
        <v>4.34</v>
      </c>
      <c r="O5646" s="608">
        <v>0.29514799999999997</v>
      </c>
      <c r="P5646" s="782"/>
      <c r="Q5646" s="764"/>
      <c r="R5646" s="764"/>
      <c r="S5646" s="764"/>
      <c r="T5646" s="764"/>
      <c r="U5646" s="764"/>
      <c r="V5646" s="764"/>
      <c r="W5646" s="764"/>
      <c r="X5646" s="764"/>
      <c r="Y5646" s="768"/>
      <c r="Z5646" s="762"/>
      <c r="AA5646" s="150"/>
      <c r="AB5646" s="150">
        <v>293</v>
      </c>
      <c r="AC5646" s="150">
        <v>2E-3</v>
      </c>
      <c r="AD5646" s="150">
        <v>11.62</v>
      </c>
      <c r="AE5646" s="150">
        <v>0.60399999999999998</v>
      </c>
      <c r="AF5646" s="223">
        <f t="shared" si="38"/>
        <v>7.0184799999999994</v>
      </c>
      <c r="AG5646" s="223">
        <f t="shared" si="37"/>
        <v>0.61836750977419619</v>
      </c>
      <c r="AH5646" s="346"/>
      <c r="AI5646" s="427"/>
      <c r="AJ5646" s="480"/>
      <c r="AK5646" s="427"/>
      <c r="AU5646" s="218"/>
      <c r="AV5646" s="218"/>
      <c r="AW5646" s="218"/>
      <c r="AX5646" s="218"/>
      <c r="AY5646" s="218"/>
      <c r="AZ5646" s="427"/>
      <c r="BA5646" s="427"/>
      <c r="BB5646" s="427"/>
      <c r="BI5646" s="427"/>
      <c r="BJ5646" s="427"/>
      <c r="BK5646" s="427"/>
      <c r="BL5646" s="427"/>
      <c r="BM5646" s="427"/>
      <c r="BN5646" s="427"/>
      <c r="BO5646" s="427"/>
      <c r="BP5646" s="427"/>
      <c r="BQ5646" s="427"/>
      <c r="BR5646" s="427"/>
      <c r="BS5646" s="427"/>
      <c r="BT5646" s="427"/>
      <c r="BU5646" s="427"/>
      <c r="BV5646" s="427"/>
      <c r="BW5646" s="427"/>
      <c r="BX5646" s="427"/>
      <c r="BY5646" s="427"/>
      <c r="BZ5646" s="427"/>
    </row>
    <row r="5647" spans="2:78" s="152" customFormat="1" x14ac:dyDescent="0.2">
      <c r="B5647" s="683"/>
      <c r="C5647" s="683"/>
      <c r="D5647" s="698"/>
      <c r="E5647" s="215"/>
      <c r="F5647" s="215"/>
      <c r="G5647" s="427"/>
      <c r="H5647" s="427"/>
      <c r="I5647" s="427"/>
      <c r="J5647" s="427"/>
      <c r="K5647" s="427"/>
      <c r="L5647" s="653"/>
      <c r="M5647" s="666"/>
      <c r="N5647" s="600">
        <v>3.81</v>
      </c>
      <c r="O5647" s="608">
        <v>2.0718E-2</v>
      </c>
      <c r="P5647" s="782"/>
      <c r="Q5647" s="764"/>
      <c r="R5647" s="764"/>
      <c r="S5647" s="764"/>
      <c r="T5647" s="764"/>
      <c r="U5647" s="764"/>
      <c r="V5647" s="764"/>
      <c r="W5647" s="764"/>
      <c r="X5647" s="764"/>
      <c r="Y5647" s="768"/>
      <c r="Z5647" s="762"/>
      <c r="AA5647" s="150"/>
      <c r="AB5647" s="150">
        <v>294</v>
      </c>
      <c r="AC5647" s="150">
        <v>2E-3</v>
      </c>
      <c r="AD5647" s="150">
        <v>11.51</v>
      </c>
      <c r="AE5647" s="150">
        <v>0.56999999999999995</v>
      </c>
      <c r="AF5647" s="223">
        <f t="shared" si="38"/>
        <v>6.5606999999999998</v>
      </c>
      <c r="AG5647" s="223">
        <f t="shared" si="37"/>
        <v>0.58073071471032056</v>
      </c>
      <c r="AH5647" s="346"/>
      <c r="AI5647" s="427"/>
      <c r="AJ5647" s="480"/>
      <c r="AK5647" s="427"/>
      <c r="AU5647" s="218"/>
      <c r="AV5647" s="218"/>
      <c r="AW5647" s="218"/>
      <c r="AX5647" s="218"/>
      <c r="AY5647" s="218"/>
      <c r="AZ5647" s="427"/>
      <c r="BA5647" s="427"/>
      <c r="BB5647" s="427"/>
      <c r="BI5647" s="427"/>
      <c r="BJ5647" s="427"/>
      <c r="BK5647" s="427"/>
      <c r="BL5647" s="427"/>
      <c r="BM5647" s="427"/>
      <c r="BN5647" s="427"/>
      <c r="BO5647" s="427"/>
      <c r="BP5647" s="427"/>
      <c r="BQ5647" s="427"/>
      <c r="BR5647" s="427"/>
      <c r="BS5647" s="427"/>
      <c r="BT5647" s="427"/>
      <c r="BU5647" s="427"/>
      <c r="BV5647" s="427"/>
      <c r="BW5647" s="427"/>
      <c r="BX5647" s="427"/>
      <c r="BY5647" s="427"/>
      <c r="BZ5647" s="427"/>
    </row>
    <row r="5648" spans="2:78" s="152" customFormat="1" x14ac:dyDescent="0.2">
      <c r="B5648" s="683"/>
      <c r="C5648" s="683"/>
      <c r="D5648" s="698"/>
      <c r="E5648" s="215"/>
      <c r="F5648" s="215"/>
      <c r="G5648" s="427"/>
      <c r="H5648" s="427"/>
      <c r="I5648" s="427"/>
      <c r="J5648" s="427"/>
      <c r="K5648" s="427"/>
      <c r="L5648" s="653"/>
      <c r="M5648" s="666"/>
      <c r="N5648" s="600">
        <v>16.059999999999999</v>
      </c>
      <c r="O5648" s="608">
        <v>2.2533600000000003</v>
      </c>
      <c r="P5648" s="782"/>
      <c r="Q5648" s="764"/>
      <c r="R5648" s="764"/>
      <c r="S5648" s="764"/>
      <c r="T5648" s="764"/>
      <c r="U5648" s="764"/>
      <c r="V5648" s="764"/>
      <c r="W5648" s="764"/>
      <c r="X5648" s="764"/>
      <c r="Y5648" s="768"/>
      <c r="Z5648" s="762"/>
      <c r="AA5648" s="150"/>
      <c r="AB5648" s="150">
        <v>295</v>
      </c>
      <c r="AC5648" s="150">
        <v>3.0999999999999999E-3</v>
      </c>
      <c r="AD5648" s="150">
        <v>13.74</v>
      </c>
      <c r="AE5648" s="150">
        <v>1.0669999999999999</v>
      </c>
      <c r="AF5648" s="223">
        <f t="shared" si="38"/>
        <v>14.66058</v>
      </c>
      <c r="AG5648" s="223">
        <f t="shared" si="37"/>
        <v>1.0954546136646708</v>
      </c>
      <c r="AH5648" s="346"/>
      <c r="AI5648" s="427"/>
      <c r="AJ5648" s="480"/>
      <c r="AK5648" s="427"/>
      <c r="AU5648" s="218"/>
      <c r="AV5648" s="218"/>
      <c r="AW5648" s="218"/>
      <c r="AX5648" s="218"/>
      <c r="AY5648" s="218"/>
      <c r="AZ5648" s="427"/>
      <c r="BA5648" s="427"/>
      <c r="BB5648" s="427"/>
      <c r="BI5648" s="427"/>
      <c r="BJ5648" s="427"/>
      <c r="BK5648" s="427"/>
      <c r="BL5648" s="427"/>
      <c r="BM5648" s="427"/>
      <c r="BN5648" s="427"/>
      <c r="BO5648" s="427"/>
      <c r="BP5648" s="427"/>
      <c r="BQ5648" s="427"/>
      <c r="BR5648" s="427"/>
      <c r="BS5648" s="427"/>
      <c r="BT5648" s="427"/>
      <c r="BU5648" s="427"/>
      <c r="BV5648" s="427"/>
      <c r="BW5648" s="427"/>
      <c r="BX5648" s="427"/>
      <c r="BY5648" s="427"/>
      <c r="BZ5648" s="427"/>
    </row>
    <row r="5649" spans="2:78" s="152" customFormat="1" x14ac:dyDescent="0.2">
      <c r="B5649" s="683"/>
      <c r="C5649" s="683"/>
      <c r="D5649" s="698"/>
      <c r="E5649" s="215"/>
      <c r="F5649" s="215"/>
      <c r="G5649" s="427"/>
      <c r="H5649" s="427"/>
      <c r="I5649" s="427"/>
      <c r="J5649" s="427"/>
      <c r="K5649" s="427"/>
      <c r="L5649" s="653"/>
      <c r="M5649" s="666"/>
      <c r="N5649" s="600">
        <v>14.33</v>
      </c>
      <c r="O5649" s="608">
        <v>3.7928999999999995</v>
      </c>
      <c r="P5649" s="782"/>
      <c r="Q5649" s="764"/>
      <c r="R5649" s="764"/>
      <c r="S5649" s="764"/>
      <c r="T5649" s="764"/>
      <c r="U5649" s="764"/>
      <c r="V5649" s="764"/>
      <c r="W5649" s="764"/>
      <c r="X5649" s="764"/>
      <c r="Y5649" s="768"/>
      <c r="Z5649" s="762"/>
      <c r="AA5649" s="150"/>
      <c r="AB5649" s="150">
        <v>296</v>
      </c>
      <c r="AC5649" s="150">
        <v>2.8E-3</v>
      </c>
      <c r="AD5649" s="150">
        <v>13.45</v>
      </c>
      <c r="AE5649" s="150">
        <v>1.0149999999999999</v>
      </c>
      <c r="AF5649" s="223">
        <f t="shared" si="38"/>
        <v>13.651749999999998</v>
      </c>
      <c r="AG5649" s="223">
        <f t="shared" si="37"/>
        <v>1.0496822751661876</v>
      </c>
      <c r="AH5649" s="346"/>
      <c r="AI5649" s="427"/>
      <c r="AJ5649" s="480"/>
      <c r="AK5649" s="427"/>
      <c r="AU5649" s="218"/>
      <c r="AV5649" s="218"/>
      <c r="AW5649" s="218"/>
      <c r="AX5649" s="218"/>
      <c r="AY5649" s="218"/>
      <c r="AZ5649" s="427"/>
      <c r="BA5649" s="427"/>
      <c r="BB5649" s="427"/>
      <c r="BI5649" s="427"/>
      <c r="BJ5649" s="427"/>
      <c r="BK5649" s="427"/>
      <c r="BL5649" s="427"/>
      <c r="BM5649" s="427"/>
      <c r="BN5649" s="427"/>
      <c r="BO5649" s="427"/>
      <c r="BP5649" s="427"/>
      <c r="BQ5649" s="427"/>
      <c r="BR5649" s="427"/>
      <c r="BS5649" s="427"/>
      <c r="BT5649" s="427"/>
      <c r="BU5649" s="427"/>
      <c r="BV5649" s="427"/>
      <c r="BW5649" s="427"/>
      <c r="BX5649" s="427"/>
      <c r="BY5649" s="427"/>
      <c r="BZ5649" s="427"/>
    </row>
    <row r="5650" spans="2:78" s="152" customFormat="1" x14ac:dyDescent="0.2">
      <c r="B5650" s="683"/>
      <c r="C5650" s="683"/>
      <c r="D5650" s="698"/>
      <c r="E5650" s="215"/>
      <c r="F5650" s="215"/>
      <c r="G5650" s="427"/>
      <c r="H5650" s="427"/>
      <c r="I5650" s="427"/>
      <c r="J5650" s="427"/>
      <c r="K5650" s="427"/>
      <c r="L5650" s="653"/>
      <c r="M5650" s="666"/>
      <c r="N5650" s="600">
        <v>12.15</v>
      </c>
      <c r="O5650" s="608">
        <v>5.7290400000000004</v>
      </c>
      <c r="P5650" s="782"/>
      <c r="Q5650" s="764"/>
      <c r="R5650" s="764"/>
      <c r="S5650" s="764"/>
      <c r="T5650" s="764"/>
      <c r="U5650" s="764"/>
      <c r="V5650" s="764"/>
      <c r="W5650" s="764"/>
      <c r="X5650" s="764"/>
      <c r="Y5650" s="768"/>
      <c r="Z5650" s="762"/>
      <c r="AA5650" s="150"/>
      <c r="AB5650" s="150">
        <v>297</v>
      </c>
      <c r="AC5650" s="150">
        <v>2.5999999999999999E-3</v>
      </c>
      <c r="AD5650" s="150">
        <v>13.14</v>
      </c>
      <c r="AE5650" s="150">
        <v>0.94499999999999995</v>
      </c>
      <c r="AF5650" s="223">
        <f t="shared" si="38"/>
        <v>12.417299999999999</v>
      </c>
      <c r="AG5650" s="223">
        <f t="shared" si="37"/>
        <v>0.9784735812133073</v>
      </c>
      <c r="AH5650" s="346"/>
      <c r="AI5650" s="427"/>
      <c r="AJ5650" s="480"/>
      <c r="AK5650" s="427"/>
      <c r="AU5650" s="218"/>
      <c r="AV5650" s="218"/>
      <c r="AW5650" s="218"/>
      <c r="AX5650" s="218"/>
      <c r="AY5650" s="218"/>
      <c r="AZ5650" s="427"/>
      <c r="BA5650" s="427"/>
      <c r="BB5650" s="427"/>
      <c r="BI5650" s="427"/>
      <c r="BJ5650" s="427"/>
      <c r="BK5650" s="427"/>
      <c r="BL5650" s="427"/>
      <c r="BM5650" s="427"/>
      <c r="BN5650" s="427"/>
      <c r="BO5650" s="427"/>
      <c r="BP5650" s="427"/>
      <c r="BQ5650" s="427"/>
      <c r="BR5650" s="427"/>
      <c r="BS5650" s="427"/>
      <c r="BT5650" s="427"/>
      <c r="BU5650" s="427"/>
      <c r="BV5650" s="427"/>
      <c r="BW5650" s="427"/>
      <c r="BX5650" s="427"/>
      <c r="BY5650" s="427"/>
      <c r="BZ5650" s="427"/>
    </row>
    <row r="5651" spans="2:78" s="152" customFormat="1" x14ac:dyDescent="0.2">
      <c r="B5651" s="683"/>
      <c r="C5651" s="683"/>
      <c r="D5651" s="698"/>
      <c r="E5651" s="215"/>
      <c r="F5651" s="215"/>
      <c r="G5651" s="427"/>
      <c r="H5651" s="427"/>
      <c r="I5651" s="427"/>
      <c r="J5651" s="427"/>
      <c r="K5651" s="427"/>
      <c r="L5651" s="653"/>
      <c r="M5651" s="666"/>
      <c r="N5651" s="600">
        <v>9.5399999999999991</v>
      </c>
      <c r="O5651" s="608">
        <v>0.77116200000000013</v>
      </c>
      <c r="P5651" s="782"/>
      <c r="Q5651" s="764"/>
      <c r="R5651" s="764"/>
      <c r="S5651" s="764"/>
      <c r="T5651" s="764"/>
      <c r="U5651" s="764"/>
      <c r="V5651" s="764"/>
      <c r="W5651" s="764"/>
      <c r="X5651" s="764"/>
      <c r="Y5651" s="768"/>
      <c r="Z5651" s="762"/>
      <c r="AA5651" s="150"/>
      <c r="AB5651" s="150">
        <v>298</v>
      </c>
      <c r="AC5651" s="150">
        <v>2.3999999999999998E-3</v>
      </c>
      <c r="AD5651" s="150">
        <v>12.81</v>
      </c>
      <c r="AE5651" s="150">
        <v>0.85</v>
      </c>
      <c r="AF5651" s="223">
        <f t="shared" si="38"/>
        <v>10.888500000000001</v>
      </c>
      <c r="AG5651" s="223">
        <f t="shared" si="37"/>
        <v>0.87615374018459835</v>
      </c>
      <c r="AH5651" s="346"/>
      <c r="AI5651" s="427"/>
      <c r="AJ5651" s="480"/>
      <c r="AK5651" s="427"/>
      <c r="AU5651" s="218"/>
      <c r="AV5651" s="218"/>
      <c r="AW5651" s="218"/>
      <c r="AX5651" s="218"/>
      <c r="AY5651" s="218"/>
      <c r="AZ5651" s="427"/>
      <c r="BA5651" s="427"/>
      <c r="BB5651" s="427"/>
      <c r="BI5651" s="427"/>
      <c r="BJ5651" s="427"/>
      <c r="BK5651" s="427"/>
      <c r="BL5651" s="427"/>
      <c r="BM5651" s="427"/>
      <c r="BN5651" s="427"/>
      <c r="BO5651" s="427"/>
      <c r="BP5651" s="427"/>
      <c r="BQ5651" s="427"/>
      <c r="BR5651" s="427"/>
      <c r="BS5651" s="427"/>
      <c r="BT5651" s="427"/>
      <c r="BU5651" s="427"/>
      <c r="BV5651" s="427"/>
      <c r="BW5651" s="427"/>
      <c r="BX5651" s="427"/>
      <c r="BY5651" s="427"/>
      <c r="BZ5651" s="427"/>
    </row>
    <row r="5652" spans="2:78" s="152" customFormat="1" x14ac:dyDescent="0.2">
      <c r="B5652" s="683"/>
      <c r="C5652" s="683"/>
      <c r="D5652" s="698"/>
      <c r="E5652" s="215"/>
      <c r="F5652" s="215"/>
      <c r="G5652" s="427"/>
      <c r="H5652" s="427"/>
      <c r="I5652" s="427"/>
      <c r="J5652" s="427"/>
      <c r="K5652" s="427"/>
      <c r="L5652" s="653"/>
      <c r="M5652" s="666"/>
      <c r="N5652" s="600">
        <v>10.35</v>
      </c>
      <c r="O5652" s="608">
        <v>1.30728</v>
      </c>
      <c r="P5652" s="782"/>
      <c r="Q5652" s="764"/>
      <c r="R5652" s="764"/>
      <c r="S5652" s="764"/>
      <c r="T5652" s="764"/>
      <c r="U5652" s="764"/>
      <c r="V5652" s="764"/>
      <c r="W5652" s="764"/>
      <c r="X5652" s="764"/>
      <c r="Y5652" s="768"/>
      <c r="Z5652" s="762"/>
      <c r="AA5652" s="150"/>
      <c r="AB5652" s="150">
        <v>299</v>
      </c>
      <c r="AC5652" s="150">
        <v>2.2000000000000001E-3</v>
      </c>
      <c r="AD5652" s="150">
        <v>12.57</v>
      </c>
      <c r="AE5652" s="150">
        <v>0.88100000000000001</v>
      </c>
      <c r="AF5652" s="223">
        <f t="shared" si="38"/>
        <v>11.074170000000001</v>
      </c>
      <c r="AG5652" s="223">
        <f t="shared" si="37"/>
        <v>0.93460728885325028</v>
      </c>
      <c r="AH5652" s="346"/>
      <c r="AI5652" s="427"/>
      <c r="AJ5652" s="480"/>
      <c r="AK5652" s="427"/>
      <c r="AU5652" s="218"/>
      <c r="AV5652" s="218"/>
      <c r="AW5652" s="218"/>
      <c r="AX5652" s="218"/>
      <c r="AY5652" s="218"/>
      <c r="AZ5652" s="427"/>
      <c r="BA5652" s="427"/>
      <c r="BB5652" s="427"/>
      <c r="BI5652" s="427"/>
      <c r="BJ5652" s="427"/>
      <c r="BK5652" s="427"/>
      <c r="BL5652" s="427"/>
      <c r="BM5652" s="427"/>
      <c r="BN5652" s="427"/>
      <c r="BO5652" s="427"/>
      <c r="BP5652" s="427"/>
      <c r="BQ5652" s="427"/>
      <c r="BR5652" s="427"/>
      <c r="BS5652" s="427"/>
      <c r="BT5652" s="427"/>
      <c r="BU5652" s="427"/>
      <c r="BV5652" s="427"/>
      <c r="BW5652" s="427"/>
      <c r="BX5652" s="427"/>
      <c r="BY5652" s="427"/>
      <c r="BZ5652" s="427"/>
    </row>
    <row r="5653" spans="2:78" s="152" customFormat="1" x14ac:dyDescent="0.2">
      <c r="B5653" s="683"/>
      <c r="C5653" s="683"/>
      <c r="D5653" s="698"/>
      <c r="E5653" s="215"/>
      <c r="F5653" s="215"/>
      <c r="G5653" s="427"/>
      <c r="H5653" s="427"/>
      <c r="I5653" s="427"/>
      <c r="J5653" s="427"/>
      <c r="K5653" s="427"/>
      <c r="L5653" s="653"/>
      <c r="M5653" s="666"/>
      <c r="N5653" s="600">
        <v>8.4</v>
      </c>
      <c r="O5653" s="608">
        <v>0.37041399999999997</v>
      </c>
      <c r="P5653" s="782"/>
      <c r="Q5653" s="764"/>
      <c r="R5653" s="764"/>
      <c r="S5653" s="764"/>
      <c r="T5653" s="764"/>
      <c r="U5653" s="764"/>
      <c r="V5653" s="764"/>
      <c r="W5653" s="764"/>
      <c r="X5653" s="764"/>
      <c r="Y5653" s="768"/>
      <c r="Z5653" s="762"/>
      <c r="AA5653" s="150"/>
      <c r="AB5653" s="150">
        <v>300</v>
      </c>
      <c r="AC5653" s="150">
        <v>2.0999999999999999E-3</v>
      </c>
      <c r="AD5653" s="150">
        <v>12.43</v>
      </c>
      <c r="AE5653" s="150">
        <v>0.80500000000000005</v>
      </c>
      <c r="AF5653" s="223">
        <f t="shared" si="38"/>
        <v>10.00615</v>
      </c>
      <c r="AG5653" s="223">
        <f t="shared" si="37"/>
        <v>0.83948371751372908</v>
      </c>
      <c r="AH5653" s="346"/>
      <c r="AI5653" s="427"/>
      <c r="AJ5653" s="480"/>
      <c r="AK5653" s="427"/>
      <c r="AU5653" s="218"/>
      <c r="AV5653" s="218"/>
      <c r="AW5653" s="218"/>
      <c r="AX5653" s="218"/>
      <c r="AY5653" s="218"/>
      <c r="AZ5653" s="427"/>
      <c r="BA5653" s="427"/>
      <c r="BB5653" s="427"/>
      <c r="BI5653" s="427"/>
      <c r="BJ5653" s="427"/>
      <c r="BK5653" s="427"/>
      <c r="BL5653" s="427"/>
      <c r="BM5653" s="427"/>
      <c r="BN5653" s="427"/>
      <c r="BO5653" s="427"/>
      <c r="BP5653" s="427"/>
      <c r="BQ5653" s="427"/>
      <c r="BR5653" s="427"/>
      <c r="BS5653" s="427"/>
      <c r="BT5653" s="427"/>
      <c r="BU5653" s="427"/>
      <c r="BV5653" s="427"/>
      <c r="BW5653" s="427"/>
      <c r="BX5653" s="427"/>
      <c r="BY5653" s="427"/>
      <c r="BZ5653" s="427"/>
    </row>
    <row r="5654" spans="2:78" s="152" customFormat="1" x14ac:dyDescent="0.2">
      <c r="B5654" s="683"/>
      <c r="C5654" s="683"/>
      <c r="D5654" s="698"/>
      <c r="E5654" s="215"/>
      <c r="F5654" s="215"/>
      <c r="G5654" s="427"/>
      <c r="H5654" s="427"/>
      <c r="I5654" s="427"/>
      <c r="J5654" s="427"/>
      <c r="K5654" s="427"/>
      <c r="L5654" s="653"/>
      <c r="M5654" s="666"/>
      <c r="N5654" s="600">
        <v>6.12</v>
      </c>
      <c r="O5654" s="608">
        <v>0.32585000000000003</v>
      </c>
      <c r="P5654" s="782"/>
      <c r="Q5654" s="764"/>
      <c r="R5654" s="764"/>
      <c r="S5654" s="764"/>
      <c r="T5654" s="764"/>
      <c r="U5654" s="764"/>
      <c r="V5654" s="764"/>
      <c r="W5654" s="764"/>
      <c r="X5654" s="764"/>
      <c r="Y5654" s="768"/>
      <c r="Z5654" s="762"/>
      <c r="AA5654" s="150"/>
      <c r="AB5654" s="150">
        <v>301</v>
      </c>
      <c r="AC5654" s="150">
        <v>2.0999999999999999E-3</v>
      </c>
      <c r="AD5654" s="150">
        <v>12.25</v>
      </c>
      <c r="AE5654" s="150">
        <v>0.70099999999999996</v>
      </c>
      <c r="AF5654" s="223">
        <f t="shared" si="38"/>
        <v>8.5872499999999992</v>
      </c>
      <c r="AG5654" s="223">
        <f t="shared" si="37"/>
        <v>0.7126845031878658</v>
      </c>
      <c r="AH5654" s="346"/>
      <c r="AI5654" s="427"/>
      <c r="AJ5654" s="480"/>
      <c r="AK5654" s="427"/>
      <c r="AU5654" s="218"/>
      <c r="AV5654" s="218"/>
      <c r="AW5654" s="218"/>
      <c r="AX5654" s="218"/>
      <c r="AY5654" s="218"/>
      <c r="AZ5654" s="427"/>
      <c r="BA5654" s="427"/>
      <c r="BB5654" s="427"/>
      <c r="BI5654" s="427"/>
      <c r="BJ5654" s="427"/>
      <c r="BK5654" s="427"/>
      <c r="BL5654" s="427"/>
      <c r="BM5654" s="427"/>
      <c r="BN5654" s="427"/>
      <c r="BO5654" s="427"/>
      <c r="BP5654" s="427"/>
      <c r="BQ5654" s="427"/>
      <c r="BR5654" s="427"/>
      <c r="BS5654" s="427"/>
      <c r="BT5654" s="427"/>
      <c r="BU5654" s="427"/>
      <c r="BV5654" s="427"/>
      <c r="BW5654" s="427"/>
      <c r="BX5654" s="427"/>
      <c r="BY5654" s="427"/>
      <c r="BZ5654" s="427"/>
    </row>
    <row r="5655" spans="2:78" s="152" customFormat="1" x14ac:dyDescent="0.2">
      <c r="B5655" s="683"/>
      <c r="C5655" s="683"/>
      <c r="D5655" s="698"/>
      <c r="E5655" s="215"/>
      <c r="F5655" s="215"/>
      <c r="G5655" s="427"/>
      <c r="H5655" s="427"/>
      <c r="I5655" s="427"/>
      <c r="J5655" s="427"/>
      <c r="K5655" s="427"/>
      <c r="L5655" s="653"/>
      <c r="M5655" s="666"/>
      <c r="N5655" s="600">
        <v>6.75</v>
      </c>
      <c r="O5655" s="608">
        <v>0.102935</v>
      </c>
      <c r="P5655" s="782"/>
      <c r="Q5655" s="764"/>
      <c r="R5655" s="764"/>
      <c r="S5655" s="764"/>
      <c r="T5655" s="764"/>
      <c r="U5655" s="764"/>
      <c r="V5655" s="764"/>
      <c r="W5655" s="764"/>
      <c r="X5655" s="764"/>
      <c r="Y5655" s="768"/>
      <c r="Z5655" s="762"/>
      <c r="AA5655" s="150"/>
      <c r="AB5655" s="150">
        <v>302</v>
      </c>
      <c r="AC5655" s="150">
        <v>2E-3</v>
      </c>
      <c r="AD5655" s="150">
        <v>12.11</v>
      </c>
      <c r="AE5655" s="150">
        <v>0.73199999999999998</v>
      </c>
      <c r="AF5655" s="223">
        <f t="shared" si="38"/>
        <v>8.8645199999999988</v>
      </c>
      <c r="AG5655" s="223">
        <f t="shared" si="37"/>
        <v>0.76146254957967274</v>
      </c>
      <c r="AH5655" s="346"/>
      <c r="AI5655" s="427"/>
      <c r="AJ5655" s="480"/>
      <c r="AK5655" s="427"/>
      <c r="AU5655" s="218"/>
      <c r="AV5655" s="218"/>
      <c r="AW5655" s="218"/>
      <c r="AX5655" s="218"/>
      <c r="AY5655" s="218"/>
      <c r="AZ5655" s="427"/>
      <c r="BA5655" s="427"/>
      <c r="BB5655" s="427"/>
      <c r="BI5655" s="427"/>
      <c r="BJ5655" s="427"/>
      <c r="BK5655" s="427"/>
      <c r="BL5655" s="427"/>
      <c r="BM5655" s="427"/>
      <c r="BN5655" s="427"/>
      <c r="BO5655" s="427"/>
      <c r="BP5655" s="427"/>
      <c r="BQ5655" s="427"/>
      <c r="BR5655" s="427"/>
      <c r="BS5655" s="427"/>
      <c r="BT5655" s="427"/>
      <c r="BU5655" s="427"/>
      <c r="BV5655" s="427"/>
      <c r="BW5655" s="427"/>
      <c r="BX5655" s="427"/>
      <c r="BY5655" s="427"/>
      <c r="BZ5655" s="427"/>
    </row>
    <row r="5656" spans="2:78" s="152" customFormat="1" x14ac:dyDescent="0.2">
      <c r="B5656" s="683"/>
      <c r="C5656" s="683"/>
      <c r="D5656" s="698"/>
      <c r="E5656" s="215"/>
      <c r="F5656" s="215"/>
      <c r="G5656" s="427"/>
      <c r="H5656" s="427"/>
      <c r="I5656" s="427"/>
      <c r="J5656" s="427"/>
      <c r="K5656" s="427"/>
      <c r="L5656" s="653"/>
      <c r="M5656" s="666"/>
      <c r="N5656" s="600">
        <v>5.94</v>
      </c>
      <c r="O5656" s="608">
        <v>6.9309999999999997E-2</v>
      </c>
      <c r="P5656" s="782"/>
      <c r="Q5656" s="764"/>
      <c r="R5656" s="764"/>
      <c r="S5656" s="764"/>
      <c r="T5656" s="764"/>
      <c r="U5656" s="764"/>
      <c r="V5656" s="764"/>
      <c r="W5656" s="764"/>
      <c r="X5656" s="764"/>
      <c r="Y5656" s="768"/>
      <c r="Z5656" s="762"/>
      <c r="AA5656" s="150"/>
      <c r="AB5656" s="150">
        <v>303</v>
      </c>
      <c r="AC5656" s="150">
        <v>1.9E-3</v>
      </c>
      <c r="AD5656" s="150">
        <v>11.95</v>
      </c>
      <c r="AE5656" s="150">
        <v>0.69199999999999995</v>
      </c>
      <c r="AF5656" s="223">
        <f t="shared" si="38"/>
        <v>8.2693999999999992</v>
      </c>
      <c r="AG5656" s="223">
        <f t="shared" si="37"/>
        <v>0.71831088107964314</v>
      </c>
      <c r="AH5656" s="346"/>
      <c r="AI5656" s="427"/>
      <c r="AJ5656" s="480"/>
      <c r="AK5656" s="427"/>
      <c r="AU5656" s="218"/>
      <c r="AV5656" s="218"/>
      <c r="AW5656" s="218"/>
      <c r="AX5656" s="218"/>
      <c r="AY5656" s="218"/>
      <c r="AZ5656" s="427"/>
      <c r="BA5656" s="427"/>
      <c r="BB5656" s="427"/>
      <c r="BI5656" s="427"/>
      <c r="BJ5656" s="427"/>
      <c r="BK5656" s="427"/>
      <c r="BL5656" s="427"/>
      <c r="BM5656" s="427"/>
      <c r="BN5656" s="427"/>
      <c r="BO5656" s="427"/>
      <c r="BP5656" s="427"/>
      <c r="BQ5656" s="427"/>
      <c r="BR5656" s="427"/>
      <c r="BS5656" s="427"/>
      <c r="BT5656" s="427"/>
      <c r="BU5656" s="427"/>
      <c r="BV5656" s="427"/>
      <c r="BW5656" s="427"/>
      <c r="BX5656" s="427"/>
      <c r="BY5656" s="427"/>
      <c r="BZ5656" s="427"/>
    </row>
    <row r="5657" spans="2:78" s="152" customFormat="1" x14ac:dyDescent="0.2">
      <c r="B5657" s="683"/>
      <c r="C5657" s="683"/>
      <c r="D5657" s="698"/>
      <c r="E5657" s="215"/>
      <c r="F5657" s="215"/>
      <c r="G5657" s="427"/>
      <c r="H5657" s="427"/>
      <c r="I5657" s="427"/>
      <c r="J5657" s="427"/>
      <c r="K5657" s="427"/>
      <c r="L5657" s="653"/>
      <c r="M5657" s="666"/>
      <c r="N5657" s="600">
        <v>5.3</v>
      </c>
      <c r="O5657" s="608">
        <v>5.9150000000000001E-2</v>
      </c>
      <c r="P5657" s="782"/>
      <c r="Q5657" s="764"/>
      <c r="R5657" s="764"/>
      <c r="S5657" s="764"/>
      <c r="T5657" s="764"/>
      <c r="U5657" s="764"/>
      <c r="V5657" s="764"/>
      <c r="W5657" s="764"/>
      <c r="X5657" s="764"/>
      <c r="Y5657" s="768"/>
      <c r="Z5657" s="762"/>
      <c r="AA5657" s="150"/>
      <c r="AB5657" s="150">
        <v>304</v>
      </c>
      <c r="AC5657" s="150">
        <v>1.8E-3</v>
      </c>
      <c r="AD5657" s="150">
        <v>11.83</v>
      </c>
      <c r="AE5657" s="150">
        <v>0.65800000000000003</v>
      </c>
      <c r="AF5657" s="223">
        <f t="shared" si="38"/>
        <v>7.7841400000000007</v>
      </c>
      <c r="AG5657" s="223">
        <f t="shared" si="37"/>
        <v>0.68087161844468358</v>
      </c>
      <c r="AH5657" s="346"/>
      <c r="AI5657" s="427"/>
      <c r="AJ5657" s="480"/>
      <c r="AK5657" s="427"/>
      <c r="AU5657" s="218"/>
      <c r="AV5657" s="218"/>
      <c r="AW5657" s="218"/>
      <c r="AX5657" s="218"/>
      <c r="AY5657" s="218"/>
      <c r="AZ5657" s="427"/>
      <c r="BA5657" s="427"/>
      <c r="BB5657" s="427"/>
      <c r="BI5657" s="427"/>
      <c r="BJ5657" s="427"/>
      <c r="BK5657" s="427"/>
      <c r="BL5657" s="427"/>
      <c r="BM5657" s="427"/>
      <c r="BN5657" s="427"/>
      <c r="BO5657" s="427"/>
      <c r="BP5657" s="427"/>
      <c r="BQ5657" s="427"/>
      <c r="BR5657" s="427"/>
      <c r="BS5657" s="427"/>
      <c r="BT5657" s="427"/>
      <c r="BU5657" s="427"/>
      <c r="BV5657" s="427"/>
      <c r="BW5657" s="427"/>
      <c r="BX5657" s="427"/>
      <c r="BY5657" s="427"/>
      <c r="BZ5657" s="427"/>
    </row>
    <row r="5658" spans="2:78" s="152" customFormat="1" x14ac:dyDescent="0.2">
      <c r="B5658" s="683"/>
      <c r="C5658" s="683"/>
      <c r="D5658" s="698"/>
      <c r="E5658" s="215"/>
      <c r="F5658" s="215"/>
      <c r="G5658" s="427"/>
      <c r="H5658" s="427"/>
      <c r="I5658" s="427"/>
      <c r="J5658" s="427"/>
      <c r="K5658" s="427"/>
      <c r="L5658" s="653"/>
      <c r="M5658" s="666"/>
      <c r="N5658" s="600">
        <v>4.75</v>
      </c>
      <c r="O5658" s="608">
        <v>0.104308</v>
      </c>
      <c r="P5658" s="782"/>
      <c r="Q5658" s="764"/>
      <c r="R5658" s="764"/>
      <c r="S5658" s="764"/>
      <c r="T5658" s="764"/>
      <c r="U5658" s="764"/>
      <c r="V5658" s="764"/>
      <c r="W5658" s="764"/>
      <c r="X5658" s="764"/>
      <c r="Y5658" s="768"/>
      <c r="Z5658" s="762"/>
      <c r="AA5658" s="150"/>
      <c r="AB5658" s="150">
        <v>305</v>
      </c>
      <c r="AC5658" s="150">
        <v>1.8E-3</v>
      </c>
      <c r="AD5658" s="150">
        <v>11.72</v>
      </c>
      <c r="AE5658" s="150">
        <v>0.628</v>
      </c>
      <c r="AF5658" s="223">
        <f t="shared" si="38"/>
        <v>7.3601600000000005</v>
      </c>
      <c r="AG5658" s="223">
        <f t="shared" si="37"/>
        <v>0.64536640507815046</v>
      </c>
      <c r="AH5658" s="346"/>
      <c r="AI5658" s="427"/>
      <c r="AJ5658" s="480"/>
      <c r="AK5658" s="427"/>
      <c r="AU5658" s="218"/>
      <c r="AV5658" s="218"/>
      <c r="AW5658" s="218"/>
      <c r="AX5658" s="218"/>
      <c r="AY5658" s="218"/>
      <c r="AZ5658" s="427"/>
      <c r="BA5658" s="427"/>
      <c r="BB5658" s="427"/>
      <c r="BI5658" s="427"/>
      <c r="BJ5658" s="427"/>
      <c r="BK5658" s="427"/>
      <c r="BL5658" s="427"/>
      <c r="BM5658" s="427"/>
      <c r="BN5658" s="427"/>
      <c r="BO5658" s="427"/>
      <c r="BP5658" s="427"/>
      <c r="BQ5658" s="427"/>
      <c r="BR5658" s="427"/>
      <c r="BS5658" s="427"/>
      <c r="BT5658" s="427"/>
      <c r="BU5658" s="427"/>
      <c r="BV5658" s="427"/>
      <c r="BW5658" s="427"/>
      <c r="BX5658" s="427"/>
      <c r="BY5658" s="427"/>
      <c r="BZ5658" s="427"/>
    </row>
    <row r="5659" spans="2:78" s="152" customFormat="1" x14ac:dyDescent="0.2">
      <c r="B5659" s="683"/>
      <c r="C5659" s="683"/>
      <c r="D5659" s="698"/>
      <c r="E5659" s="215"/>
      <c r="F5659" s="215"/>
      <c r="G5659" s="427"/>
      <c r="H5659" s="427"/>
      <c r="I5659" s="427"/>
      <c r="J5659" s="427"/>
      <c r="K5659" s="427"/>
      <c r="L5659" s="653"/>
      <c r="M5659" s="666"/>
      <c r="N5659" s="600">
        <v>4.29</v>
      </c>
      <c r="O5659" s="608">
        <v>4.0634999999999998E-2</v>
      </c>
      <c r="P5659" s="782"/>
      <c r="Q5659" s="764"/>
      <c r="R5659" s="764"/>
      <c r="S5659" s="764"/>
      <c r="T5659" s="764"/>
      <c r="U5659" s="764"/>
      <c r="V5659" s="764"/>
      <c r="W5659" s="764"/>
      <c r="X5659" s="764"/>
      <c r="Y5659" s="768"/>
      <c r="Z5659" s="762"/>
      <c r="AA5659" s="150"/>
      <c r="AB5659" s="150">
        <v>306</v>
      </c>
      <c r="AC5659" s="150">
        <v>1.8E-3</v>
      </c>
      <c r="AD5659" s="150">
        <v>11.61</v>
      </c>
      <c r="AE5659" s="150">
        <v>0.6</v>
      </c>
      <c r="AF5659" s="223">
        <f t="shared" si="38"/>
        <v>6.9659999999999993</v>
      </c>
      <c r="AG5659" s="223">
        <f t="shared" si="37"/>
        <v>0.61584840654608108</v>
      </c>
      <c r="AH5659" s="346"/>
      <c r="AI5659" s="427"/>
      <c r="AJ5659" s="480"/>
      <c r="AK5659" s="427"/>
      <c r="AU5659" s="218"/>
      <c r="AV5659" s="218"/>
      <c r="AW5659" s="218"/>
      <c r="AX5659" s="218"/>
      <c r="AY5659" s="218"/>
      <c r="AZ5659" s="427"/>
      <c r="BA5659" s="427"/>
      <c r="BB5659" s="427"/>
      <c r="BI5659" s="427"/>
      <c r="BJ5659" s="427"/>
      <c r="BK5659" s="427"/>
      <c r="BL5659" s="427"/>
      <c r="BM5659" s="427"/>
      <c r="BN5659" s="427"/>
      <c r="BO5659" s="427"/>
      <c r="BP5659" s="427"/>
      <c r="BQ5659" s="427"/>
      <c r="BR5659" s="427"/>
      <c r="BS5659" s="427"/>
      <c r="BT5659" s="427"/>
      <c r="BU5659" s="427"/>
      <c r="BV5659" s="427"/>
      <c r="BW5659" s="427"/>
      <c r="BX5659" s="427"/>
      <c r="BY5659" s="427"/>
      <c r="BZ5659" s="427"/>
    </row>
    <row r="5660" spans="2:78" s="152" customFormat="1" x14ac:dyDescent="0.2">
      <c r="B5660" s="683"/>
      <c r="C5660" s="683"/>
      <c r="D5660" s="698"/>
      <c r="E5660" s="215"/>
      <c r="F5660" s="215"/>
      <c r="G5660" s="427"/>
      <c r="H5660" s="427"/>
      <c r="I5660" s="427"/>
      <c r="J5660" s="427"/>
      <c r="K5660" s="427"/>
      <c r="L5660" s="653"/>
      <c r="M5660" s="666"/>
      <c r="N5660" s="600">
        <v>3.76</v>
      </c>
      <c r="O5660" s="608">
        <v>1.035E-2</v>
      </c>
      <c r="P5660" s="782"/>
      <c r="Q5660" s="764"/>
      <c r="R5660" s="764"/>
      <c r="S5660" s="764"/>
      <c r="T5660" s="764"/>
      <c r="U5660" s="764"/>
      <c r="V5660" s="764"/>
      <c r="W5660" s="764"/>
      <c r="X5660" s="764"/>
      <c r="Y5660" s="768"/>
      <c r="Z5660" s="762"/>
      <c r="AA5660" s="150"/>
      <c r="AB5660" s="150">
        <v>307</v>
      </c>
      <c r="AC5660" s="150">
        <v>1.8E-3</v>
      </c>
      <c r="AD5660" s="150">
        <v>11.5</v>
      </c>
      <c r="AE5660" s="150">
        <v>0.56699999999999995</v>
      </c>
      <c r="AF5660" s="223">
        <f t="shared" si="38"/>
        <v>6.5204999999999993</v>
      </c>
      <c r="AG5660" s="223">
        <f t="shared" si="37"/>
        <v>0.57664289548347525</v>
      </c>
      <c r="AH5660" s="346"/>
      <c r="AI5660" s="427"/>
      <c r="AJ5660" s="480"/>
      <c r="AK5660" s="427"/>
      <c r="AU5660" s="218"/>
      <c r="AV5660" s="218"/>
      <c r="AW5660" s="218"/>
      <c r="AX5660" s="218"/>
      <c r="AY5660" s="218"/>
      <c r="AZ5660" s="427"/>
      <c r="BA5660" s="427"/>
      <c r="BB5660" s="427"/>
      <c r="BI5660" s="427"/>
      <c r="BJ5660" s="427"/>
      <c r="BK5660" s="427"/>
      <c r="BL5660" s="427"/>
      <c r="BM5660" s="427"/>
      <c r="BN5660" s="427"/>
      <c r="BO5660" s="427"/>
      <c r="BP5660" s="427"/>
      <c r="BQ5660" s="427"/>
      <c r="BR5660" s="427"/>
      <c r="BS5660" s="427"/>
      <c r="BT5660" s="427"/>
      <c r="BU5660" s="427"/>
      <c r="BV5660" s="427"/>
      <c r="BW5660" s="427"/>
      <c r="BX5660" s="427"/>
      <c r="BY5660" s="427"/>
      <c r="BZ5660" s="427"/>
    </row>
    <row r="5661" spans="2:78" s="152" customFormat="1" x14ac:dyDescent="0.2">
      <c r="B5661" s="683"/>
      <c r="C5661" s="683"/>
      <c r="D5661" s="698"/>
      <c r="E5661" s="215"/>
      <c r="F5661" s="215"/>
      <c r="G5661" s="427"/>
      <c r="H5661" s="427"/>
      <c r="I5661" s="427"/>
      <c r="J5661" s="427"/>
      <c r="K5661" s="427"/>
      <c r="L5661" s="653"/>
      <c r="M5661" s="666"/>
      <c r="N5661" s="600">
        <v>20.350000000000001</v>
      </c>
      <c r="O5661" s="608">
        <v>3.7831200000000003</v>
      </c>
      <c r="P5661" s="782"/>
      <c r="Q5661" s="764"/>
      <c r="R5661" s="764"/>
      <c r="S5661" s="764"/>
      <c r="T5661" s="764"/>
      <c r="U5661" s="764"/>
      <c r="V5661" s="764"/>
      <c r="W5661" s="764"/>
      <c r="X5661" s="764"/>
      <c r="Y5661" s="768"/>
      <c r="Z5661" s="762"/>
      <c r="AA5661" s="150"/>
      <c r="AB5661" s="150">
        <v>308</v>
      </c>
      <c r="AC5661" s="150">
        <v>3.2000000000000002E-3</v>
      </c>
      <c r="AD5661" s="150">
        <v>14.33</v>
      </c>
      <c r="AE5661" s="150">
        <v>1.1830000000000001</v>
      </c>
      <c r="AF5661" s="223">
        <f t="shared" si="38"/>
        <v>16.952390000000001</v>
      </c>
      <c r="AG5661" s="223">
        <f t="shared" si="37"/>
        <v>1.2004207076406335</v>
      </c>
      <c r="AH5661" s="346"/>
      <c r="AI5661" s="427"/>
      <c r="AJ5661" s="480"/>
      <c r="AK5661" s="427"/>
      <c r="AU5661" s="218"/>
      <c r="AV5661" s="218"/>
      <c r="AW5661" s="218"/>
      <c r="AX5661" s="218"/>
      <c r="AY5661" s="218"/>
      <c r="AZ5661" s="427"/>
      <c r="BA5661" s="427"/>
      <c r="BB5661" s="427"/>
      <c r="BI5661" s="427"/>
      <c r="BJ5661" s="427"/>
      <c r="BK5661" s="427"/>
      <c r="BL5661" s="427"/>
      <c r="BM5661" s="427"/>
      <c r="BN5661" s="427"/>
      <c r="BO5661" s="427"/>
      <c r="BP5661" s="427"/>
      <c r="BQ5661" s="427"/>
      <c r="BR5661" s="427"/>
      <c r="BS5661" s="427"/>
      <c r="BT5661" s="427"/>
      <c r="BU5661" s="427"/>
      <c r="BV5661" s="427"/>
      <c r="BW5661" s="427"/>
      <c r="BX5661" s="427"/>
      <c r="BY5661" s="427"/>
      <c r="BZ5661" s="427"/>
    </row>
    <row r="5662" spans="2:78" s="152" customFormat="1" x14ac:dyDescent="0.2">
      <c r="B5662" s="683"/>
      <c r="C5662" s="683"/>
      <c r="D5662" s="698"/>
      <c r="E5662" s="215"/>
      <c r="F5662" s="215"/>
      <c r="G5662" s="427"/>
      <c r="H5662" s="427"/>
      <c r="I5662" s="427"/>
      <c r="J5662" s="427"/>
      <c r="K5662" s="427"/>
      <c r="L5662" s="653"/>
      <c r="M5662" s="666"/>
      <c r="N5662" s="600">
        <v>18.82</v>
      </c>
      <c r="O5662" s="608">
        <v>6.2180999999999997</v>
      </c>
      <c r="P5662" s="782"/>
      <c r="Q5662" s="764"/>
      <c r="R5662" s="764"/>
      <c r="S5662" s="764"/>
      <c r="T5662" s="764"/>
      <c r="U5662" s="764"/>
      <c r="V5662" s="764"/>
      <c r="W5662" s="764"/>
      <c r="X5662" s="764"/>
      <c r="Y5662" s="768"/>
      <c r="Z5662" s="762"/>
      <c r="AA5662" s="150"/>
      <c r="AB5662" s="150">
        <v>309</v>
      </c>
      <c r="AC5662" s="150">
        <v>3.2000000000000002E-3</v>
      </c>
      <c r="AD5662" s="150">
        <v>14.1</v>
      </c>
      <c r="AE5662" s="150">
        <v>1.143</v>
      </c>
      <c r="AF5662" s="223">
        <f t="shared" si="38"/>
        <v>16.116299999999999</v>
      </c>
      <c r="AG5662" s="223">
        <f t="shared" si="37"/>
        <v>1.167761831189541</v>
      </c>
      <c r="AH5662" s="346"/>
      <c r="AI5662" s="427"/>
      <c r="AJ5662" s="480"/>
      <c r="AK5662" s="427"/>
      <c r="AU5662" s="218"/>
      <c r="AV5662" s="218"/>
      <c r="AW5662" s="218"/>
      <c r="AX5662" s="218"/>
      <c r="AY5662" s="218"/>
      <c r="AZ5662" s="427"/>
      <c r="BA5662" s="427"/>
      <c r="BB5662" s="427"/>
      <c r="BI5662" s="427"/>
      <c r="BJ5662" s="427"/>
      <c r="BK5662" s="427"/>
      <c r="BL5662" s="427"/>
      <c r="BM5662" s="427"/>
      <c r="BN5662" s="427"/>
      <c r="BO5662" s="427"/>
      <c r="BP5662" s="427"/>
      <c r="BQ5662" s="427"/>
      <c r="BR5662" s="427"/>
      <c r="BS5662" s="427"/>
      <c r="BT5662" s="427"/>
      <c r="BU5662" s="427"/>
      <c r="BV5662" s="427"/>
      <c r="BW5662" s="427"/>
      <c r="BX5662" s="427"/>
      <c r="BY5662" s="427"/>
      <c r="BZ5662" s="427"/>
    </row>
    <row r="5663" spans="2:78" s="152" customFormat="1" x14ac:dyDescent="0.2">
      <c r="B5663" s="683"/>
      <c r="C5663" s="683"/>
      <c r="D5663" s="698"/>
      <c r="E5663" s="215"/>
      <c r="F5663" s="215"/>
      <c r="G5663" s="427"/>
      <c r="H5663" s="427"/>
      <c r="I5663" s="427"/>
      <c r="J5663" s="427"/>
      <c r="K5663" s="427"/>
      <c r="L5663" s="653"/>
      <c r="M5663" s="666"/>
      <c r="N5663" s="600">
        <v>18.14</v>
      </c>
      <c r="O5663" s="608">
        <v>13.757819999999999</v>
      </c>
      <c r="P5663" s="782"/>
      <c r="Q5663" s="764"/>
      <c r="R5663" s="764"/>
      <c r="S5663" s="764"/>
      <c r="T5663" s="764"/>
      <c r="U5663" s="764"/>
      <c r="V5663" s="764"/>
      <c r="W5663" s="764"/>
      <c r="X5663" s="764"/>
      <c r="Y5663" s="768"/>
      <c r="Z5663" s="762"/>
      <c r="AA5663" s="150"/>
      <c r="AB5663" s="150">
        <v>310</v>
      </c>
      <c r="AC5663" s="150">
        <v>3.2000000000000002E-3</v>
      </c>
      <c r="AD5663" s="150">
        <v>14.01</v>
      </c>
      <c r="AE5663" s="150">
        <v>1.125</v>
      </c>
      <c r="AF5663" s="223">
        <f t="shared" si="38"/>
        <v>15.76125</v>
      </c>
      <c r="AG5663" s="223">
        <f t="shared" si="37"/>
        <v>1.1509239432151637</v>
      </c>
      <c r="AH5663" s="346"/>
      <c r="AI5663" s="427"/>
      <c r="AJ5663" s="480"/>
      <c r="AK5663" s="427"/>
      <c r="AU5663" s="218"/>
      <c r="AV5663" s="218"/>
      <c r="AW5663" s="218"/>
      <c r="AX5663" s="218"/>
      <c r="AY5663" s="218"/>
      <c r="AZ5663" s="427"/>
      <c r="BA5663" s="427"/>
      <c r="BB5663" s="427"/>
      <c r="BI5663" s="427"/>
      <c r="BJ5663" s="427"/>
      <c r="BK5663" s="427"/>
      <c r="BL5663" s="427"/>
      <c r="BM5663" s="427"/>
      <c r="BN5663" s="427"/>
      <c r="BO5663" s="427"/>
      <c r="BP5663" s="427"/>
      <c r="BQ5663" s="427"/>
      <c r="BR5663" s="427"/>
      <c r="BS5663" s="427"/>
      <c r="BT5663" s="427"/>
      <c r="BU5663" s="427"/>
      <c r="BV5663" s="427"/>
      <c r="BW5663" s="427"/>
      <c r="BX5663" s="427"/>
      <c r="BY5663" s="427"/>
      <c r="BZ5663" s="427"/>
    </row>
    <row r="5664" spans="2:78" s="152" customFormat="1" x14ac:dyDescent="0.2">
      <c r="B5664" s="683"/>
      <c r="C5664" s="683"/>
      <c r="D5664" s="698"/>
      <c r="E5664" s="215"/>
      <c r="F5664" s="215"/>
      <c r="G5664" s="427"/>
      <c r="H5664" s="427"/>
      <c r="I5664" s="427"/>
      <c r="J5664" s="427"/>
      <c r="K5664" s="427"/>
      <c r="L5664" s="653"/>
      <c r="M5664" s="666"/>
      <c r="N5664" s="600">
        <v>17.579999999999998</v>
      </c>
      <c r="O5664" s="608">
        <v>15.484500000000001</v>
      </c>
      <c r="P5664" s="782"/>
      <c r="Q5664" s="764"/>
      <c r="R5664" s="764"/>
      <c r="S5664" s="764"/>
      <c r="T5664" s="764"/>
      <c r="U5664" s="764"/>
      <c r="V5664" s="764"/>
      <c r="W5664" s="764"/>
      <c r="X5664" s="764"/>
      <c r="Y5664" s="768"/>
      <c r="Z5664" s="762"/>
      <c r="AA5664" s="150"/>
      <c r="AB5664" s="150">
        <v>311</v>
      </c>
      <c r="AC5664" s="150">
        <v>3.0999999999999999E-3</v>
      </c>
      <c r="AD5664" s="150">
        <v>13.95</v>
      </c>
      <c r="AE5664" s="150">
        <v>1.109</v>
      </c>
      <c r="AF5664" s="223">
        <f t="shared" si="38"/>
        <v>15.470549999999999</v>
      </c>
      <c r="AG5664" s="223">
        <f t="shared" si="37"/>
        <v>1.1363526183619845</v>
      </c>
      <c r="AH5664" s="346"/>
      <c r="AI5664" s="427"/>
      <c r="AJ5664" s="480"/>
      <c r="AK5664" s="427"/>
      <c r="AU5664" s="218"/>
      <c r="AV5664" s="218"/>
      <c r="AW5664" s="218"/>
      <c r="AX5664" s="218"/>
      <c r="AY5664" s="218"/>
      <c r="AZ5664" s="427"/>
      <c r="BA5664" s="427"/>
      <c r="BB5664" s="427"/>
      <c r="BI5664" s="427"/>
      <c r="BJ5664" s="427"/>
      <c r="BK5664" s="427"/>
      <c r="BL5664" s="427"/>
      <c r="BM5664" s="427"/>
      <c r="BN5664" s="427"/>
      <c r="BO5664" s="427"/>
      <c r="BP5664" s="427"/>
      <c r="BQ5664" s="427"/>
      <c r="BR5664" s="427"/>
      <c r="BS5664" s="427"/>
      <c r="BT5664" s="427"/>
      <c r="BU5664" s="427"/>
      <c r="BV5664" s="427"/>
      <c r="BW5664" s="427"/>
      <c r="BX5664" s="427"/>
      <c r="BY5664" s="427"/>
      <c r="BZ5664" s="427"/>
    </row>
    <row r="5665" spans="2:78" s="152" customFormat="1" x14ac:dyDescent="0.2">
      <c r="B5665" s="683"/>
      <c r="C5665" s="683"/>
      <c r="D5665" s="698"/>
      <c r="E5665" s="215"/>
      <c r="F5665" s="215"/>
      <c r="G5665" s="427"/>
      <c r="H5665" s="427"/>
      <c r="I5665" s="427"/>
      <c r="J5665" s="427"/>
      <c r="K5665" s="427"/>
      <c r="L5665" s="653"/>
      <c r="M5665" s="666"/>
      <c r="N5665" s="600">
        <v>17.14</v>
      </c>
      <c r="O5665" s="608">
        <v>9.8199599999999982</v>
      </c>
      <c r="P5665" s="782"/>
      <c r="Q5665" s="764"/>
      <c r="R5665" s="764"/>
      <c r="S5665" s="764"/>
      <c r="T5665" s="764"/>
      <c r="U5665" s="764"/>
      <c r="V5665" s="764"/>
      <c r="W5665" s="764"/>
      <c r="X5665" s="764"/>
      <c r="Y5665" s="768"/>
      <c r="Z5665" s="762"/>
      <c r="AA5665" s="150"/>
      <c r="AB5665" s="150">
        <v>312</v>
      </c>
      <c r="AC5665" s="150">
        <v>3.0999999999999999E-3</v>
      </c>
      <c r="AD5665" s="150">
        <v>13.87</v>
      </c>
      <c r="AE5665" s="150">
        <v>1.097</v>
      </c>
      <c r="AF5665" s="223">
        <f t="shared" si="38"/>
        <v>15.215389999999999</v>
      </c>
      <c r="AG5665" s="223">
        <f t="shared" si="37"/>
        <v>1.1264910068029805</v>
      </c>
      <c r="AH5665" s="346"/>
      <c r="AI5665" s="427"/>
      <c r="AJ5665" s="480"/>
      <c r="AK5665" s="427"/>
      <c r="AU5665" s="218"/>
      <c r="AV5665" s="218"/>
      <c r="AW5665" s="218"/>
      <c r="AX5665" s="218"/>
      <c r="AY5665" s="218"/>
      <c r="AZ5665" s="427"/>
      <c r="BA5665" s="427"/>
      <c r="BB5665" s="427"/>
      <c r="BI5665" s="427"/>
      <c r="BJ5665" s="427"/>
      <c r="BK5665" s="427"/>
      <c r="BL5665" s="427"/>
      <c r="BM5665" s="427"/>
      <c r="BN5665" s="427"/>
      <c r="BO5665" s="427"/>
      <c r="BP5665" s="427"/>
      <c r="BQ5665" s="427"/>
      <c r="BR5665" s="427"/>
      <c r="BS5665" s="427"/>
      <c r="BT5665" s="427"/>
      <c r="BU5665" s="427"/>
      <c r="BV5665" s="427"/>
      <c r="BW5665" s="427"/>
      <c r="BX5665" s="427"/>
      <c r="BY5665" s="427"/>
      <c r="BZ5665" s="427"/>
    </row>
    <row r="5666" spans="2:78" s="152" customFormat="1" x14ac:dyDescent="0.2">
      <c r="B5666" s="683"/>
      <c r="C5666" s="683"/>
      <c r="D5666" s="698"/>
      <c r="E5666" s="215"/>
      <c r="F5666" s="215"/>
      <c r="G5666" s="427"/>
      <c r="H5666" s="427"/>
      <c r="I5666" s="427"/>
      <c r="J5666" s="427"/>
      <c r="K5666" s="427"/>
      <c r="L5666" s="653"/>
      <c r="M5666" s="666"/>
      <c r="N5666" s="600">
        <v>16.59</v>
      </c>
      <c r="O5666" s="608">
        <v>14.9472</v>
      </c>
      <c r="P5666" s="782"/>
      <c r="Q5666" s="764"/>
      <c r="R5666" s="764"/>
      <c r="S5666" s="764"/>
      <c r="T5666" s="764"/>
      <c r="U5666" s="764"/>
      <c r="V5666" s="764"/>
      <c r="W5666" s="764"/>
      <c r="X5666" s="764"/>
      <c r="Y5666" s="768"/>
      <c r="Z5666" s="762"/>
      <c r="AA5666" s="150"/>
      <c r="AB5666" s="150">
        <v>313</v>
      </c>
      <c r="AC5666" s="150">
        <v>2.8999999999999998E-3</v>
      </c>
      <c r="AD5666" s="150">
        <v>13.84</v>
      </c>
      <c r="AE5666" s="150">
        <v>1.0820000000000001</v>
      </c>
      <c r="AF5666" s="223">
        <f t="shared" si="38"/>
        <v>14.974880000000001</v>
      </c>
      <c r="AG5666" s="223">
        <f t="shared" si="37"/>
        <v>1.1078552883228445</v>
      </c>
      <c r="AH5666" s="346"/>
      <c r="AI5666" s="427"/>
      <c r="AJ5666" s="480"/>
      <c r="AK5666" s="427"/>
      <c r="AU5666" s="218"/>
      <c r="AV5666" s="218"/>
      <c r="AW5666" s="218"/>
      <c r="AX5666" s="218"/>
      <c r="AY5666" s="218"/>
      <c r="AZ5666" s="427"/>
      <c r="BA5666" s="427"/>
      <c r="BB5666" s="427"/>
      <c r="BI5666" s="427"/>
      <c r="BJ5666" s="427"/>
      <c r="BK5666" s="427"/>
      <c r="BL5666" s="427"/>
      <c r="BM5666" s="427"/>
      <c r="BN5666" s="427"/>
      <c r="BO5666" s="427"/>
      <c r="BP5666" s="427"/>
      <c r="BQ5666" s="427"/>
      <c r="BR5666" s="427"/>
      <c r="BS5666" s="427"/>
      <c r="BT5666" s="427"/>
      <c r="BU5666" s="427"/>
      <c r="BV5666" s="427"/>
      <c r="BW5666" s="427"/>
      <c r="BX5666" s="427"/>
      <c r="BY5666" s="427"/>
      <c r="BZ5666" s="427"/>
    </row>
    <row r="5667" spans="2:78" s="152" customFormat="1" x14ac:dyDescent="0.2">
      <c r="B5667" s="683"/>
      <c r="C5667" s="683"/>
      <c r="D5667" s="698"/>
      <c r="E5667" s="215"/>
      <c r="F5667" s="215"/>
      <c r="G5667" s="427"/>
      <c r="H5667" s="427"/>
      <c r="I5667" s="427"/>
      <c r="J5667" s="427"/>
      <c r="K5667" s="427"/>
      <c r="L5667" s="653"/>
      <c r="M5667" s="666"/>
      <c r="N5667" s="600">
        <v>16.38</v>
      </c>
      <c r="O5667" s="608">
        <v>8.4870000000000001</v>
      </c>
      <c r="P5667" s="782"/>
      <c r="Q5667" s="764"/>
      <c r="R5667" s="764"/>
      <c r="S5667" s="764"/>
      <c r="T5667" s="764"/>
      <c r="U5667" s="764"/>
      <c r="V5667" s="764"/>
      <c r="W5667" s="764"/>
      <c r="X5667" s="764"/>
      <c r="Y5667" s="768"/>
      <c r="Z5667" s="762"/>
      <c r="AA5667" s="150"/>
      <c r="AB5667" s="150">
        <v>314</v>
      </c>
      <c r="AC5667" s="150">
        <v>3.0999999999999999E-3</v>
      </c>
      <c r="AD5667" s="150">
        <v>13.8</v>
      </c>
      <c r="AE5667" s="150">
        <v>1.0760000000000001</v>
      </c>
      <c r="AF5667" s="223">
        <f t="shared" si="38"/>
        <v>14.848800000000002</v>
      </c>
      <c r="AG5667" s="223">
        <f t="shared" si="37"/>
        <v>1.1031194439954741</v>
      </c>
      <c r="AH5667" s="346"/>
      <c r="AI5667" s="427"/>
      <c r="AJ5667" s="480"/>
      <c r="AK5667" s="427"/>
      <c r="AU5667" s="218"/>
      <c r="AV5667" s="218"/>
      <c r="AW5667" s="218"/>
      <c r="AX5667" s="218"/>
      <c r="AY5667" s="218"/>
      <c r="AZ5667" s="427"/>
      <c r="BA5667" s="427"/>
      <c r="BB5667" s="427"/>
      <c r="BI5667" s="427"/>
      <c r="BJ5667" s="427"/>
      <c r="BK5667" s="427"/>
      <c r="BL5667" s="427"/>
      <c r="BM5667" s="427"/>
      <c r="BN5667" s="427"/>
      <c r="BO5667" s="427"/>
      <c r="BP5667" s="427"/>
      <c r="BQ5667" s="427"/>
      <c r="BR5667" s="427"/>
      <c r="BS5667" s="427"/>
      <c r="BT5667" s="427"/>
      <c r="BU5667" s="427"/>
      <c r="BV5667" s="427"/>
      <c r="BW5667" s="427"/>
      <c r="BX5667" s="427"/>
      <c r="BY5667" s="427"/>
      <c r="BZ5667" s="427"/>
    </row>
    <row r="5668" spans="2:78" s="152" customFormat="1" x14ac:dyDescent="0.2">
      <c r="B5668" s="683"/>
      <c r="C5668" s="683"/>
      <c r="D5668" s="698"/>
      <c r="E5668" s="215"/>
      <c r="F5668" s="215"/>
      <c r="G5668" s="427"/>
      <c r="H5668" s="427"/>
      <c r="I5668" s="427"/>
      <c r="J5668" s="427"/>
      <c r="K5668" s="427"/>
      <c r="L5668" s="653"/>
      <c r="M5668" s="666"/>
      <c r="N5668" s="600">
        <v>16.059999999999999</v>
      </c>
      <c r="O5668" s="608">
        <v>7.4470800000000006</v>
      </c>
      <c r="P5668" s="782"/>
      <c r="Q5668" s="764"/>
      <c r="R5668" s="764"/>
      <c r="S5668" s="764"/>
      <c r="T5668" s="764"/>
      <c r="U5668" s="764"/>
      <c r="V5668" s="764"/>
      <c r="W5668" s="764"/>
      <c r="X5668" s="764"/>
      <c r="Y5668" s="768"/>
      <c r="Z5668" s="762"/>
      <c r="AA5668" s="150"/>
      <c r="AB5668" s="150">
        <v>315</v>
      </c>
      <c r="AC5668" s="150">
        <v>3.0000000000000001E-3</v>
      </c>
      <c r="AD5668" s="150">
        <v>13.74</v>
      </c>
      <c r="AE5668" s="150">
        <v>1.0669999999999999</v>
      </c>
      <c r="AF5668" s="223">
        <f t="shared" si="38"/>
        <v>14.66058</v>
      </c>
      <c r="AG5668" s="223">
        <f t="shared" si="37"/>
        <v>1.0954546136646708</v>
      </c>
      <c r="AH5668" s="346"/>
      <c r="AI5668" s="427"/>
      <c r="AJ5668" s="480"/>
      <c r="AK5668" s="427"/>
      <c r="AU5668" s="218"/>
      <c r="AV5668" s="218"/>
      <c r="AW5668" s="218"/>
      <c r="AX5668" s="218"/>
      <c r="AY5668" s="218"/>
      <c r="AZ5668" s="427"/>
      <c r="BA5668" s="427"/>
      <c r="BB5668" s="427"/>
      <c r="BI5668" s="427"/>
      <c r="BJ5668" s="427"/>
      <c r="BK5668" s="427"/>
      <c r="BL5668" s="427"/>
      <c r="BM5668" s="427"/>
      <c r="BN5668" s="427"/>
      <c r="BO5668" s="427"/>
      <c r="BP5668" s="427"/>
      <c r="BQ5668" s="427"/>
      <c r="BR5668" s="427"/>
      <c r="BS5668" s="427"/>
      <c r="BT5668" s="427"/>
      <c r="BU5668" s="427"/>
      <c r="BV5668" s="427"/>
      <c r="BW5668" s="427"/>
      <c r="BX5668" s="427"/>
      <c r="BY5668" s="427"/>
      <c r="BZ5668" s="427"/>
    </row>
    <row r="5669" spans="2:78" s="152" customFormat="1" x14ac:dyDescent="0.2">
      <c r="B5669" s="683"/>
      <c r="C5669" s="683"/>
      <c r="D5669" s="698"/>
      <c r="E5669" s="215"/>
      <c r="F5669" s="215"/>
      <c r="G5669" s="427"/>
      <c r="H5669" s="427"/>
      <c r="I5669" s="427"/>
      <c r="J5669" s="427"/>
      <c r="K5669" s="427"/>
      <c r="L5669" s="653"/>
      <c r="M5669" s="666"/>
      <c r="N5669" s="600">
        <v>15.54</v>
      </c>
      <c r="O5669" s="608">
        <v>4.6135299999999999</v>
      </c>
      <c r="P5669" s="782"/>
      <c r="Q5669" s="764"/>
      <c r="R5669" s="764"/>
      <c r="S5669" s="764"/>
      <c r="T5669" s="764"/>
      <c r="U5669" s="764"/>
      <c r="V5669" s="764"/>
      <c r="W5669" s="764"/>
      <c r="X5669" s="764"/>
      <c r="Y5669" s="768"/>
      <c r="Z5669" s="762"/>
      <c r="AA5669" s="150"/>
      <c r="AB5669" s="150">
        <v>316</v>
      </c>
      <c r="AC5669" s="150">
        <v>2.8999999999999998E-3</v>
      </c>
      <c r="AD5669" s="150">
        <v>13.69</v>
      </c>
      <c r="AE5669" s="150">
        <v>1.052</v>
      </c>
      <c r="AF5669" s="223">
        <f t="shared" si="38"/>
        <v>14.40188</v>
      </c>
      <c r="AG5669" s="223">
        <f t="shared" si="37"/>
        <v>1.0790257938546912</v>
      </c>
      <c r="AH5669" s="346"/>
      <c r="AI5669" s="427"/>
      <c r="AJ5669" s="480"/>
      <c r="AK5669" s="427"/>
      <c r="AU5669" s="218"/>
      <c r="AV5669" s="218"/>
      <c r="AW5669" s="218"/>
      <c r="AX5669" s="218"/>
      <c r="AY5669" s="218"/>
      <c r="AZ5669" s="427"/>
      <c r="BA5669" s="427"/>
      <c r="BB5669" s="427"/>
      <c r="BI5669" s="427"/>
      <c r="BJ5669" s="427"/>
      <c r="BK5669" s="427"/>
      <c r="BL5669" s="427"/>
      <c r="BM5669" s="427"/>
      <c r="BN5669" s="427"/>
      <c r="BO5669" s="427"/>
      <c r="BP5669" s="427"/>
      <c r="BQ5669" s="427"/>
      <c r="BR5669" s="427"/>
      <c r="BS5669" s="427"/>
      <c r="BT5669" s="427"/>
      <c r="BU5669" s="427"/>
      <c r="BV5669" s="427"/>
      <c r="BW5669" s="427"/>
      <c r="BX5669" s="427"/>
      <c r="BY5669" s="427"/>
      <c r="BZ5669" s="427"/>
    </row>
    <row r="5670" spans="2:78" s="152" customFormat="1" x14ac:dyDescent="0.2">
      <c r="B5670" s="683"/>
      <c r="C5670" s="683"/>
      <c r="D5670" s="698"/>
      <c r="E5670" s="215"/>
      <c r="F5670" s="215"/>
      <c r="G5670" s="427"/>
      <c r="H5670" s="427"/>
      <c r="I5670" s="427"/>
      <c r="J5670" s="427"/>
      <c r="K5670" s="427"/>
      <c r="L5670" s="653"/>
      <c r="M5670" s="666"/>
      <c r="N5670" s="600">
        <v>15.03</v>
      </c>
      <c r="O5670" s="608">
        <v>1.8277600000000003</v>
      </c>
      <c r="P5670" s="782"/>
      <c r="Q5670" s="764"/>
      <c r="R5670" s="764"/>
      <c r="S5670" s="764"/>
      <c r="T5670" s="764"/>
      <c r="U5670" s="764"/>
      <c r="V5670" s="764"/>
      <c r="W5670" s="764"/>
      <c r="X5670" s="764"/>
      <c r="Y5670" s="768"/>
      <c r="Z5670" s="762"/>
      <c r="AA5670" s="150"/>
      <c r="AB5670" s="150">
        <v>317</v>
      </c>
      <c r="AC5670" s="150">
        <v>2.8999999999999998E-3</v>
      </c>
      <c r="AD5670" s="150">
        <v>13.64</v>
      </c>
      <c r="AE5670" s="150">
        <v>1.036</v>
      </c>
      <c r="AF5670" s="223">
        <f t="shared" si="38"/>
        <v>14.13104</v>
      </c>
      <c r="AG5670" s="223">
        <f t="shared" si="37"/>
        <v>1.0636159829708216</v>
      </c>
      <c r="AH5670" s="346"/>
      <c r="AI5670" s="427"/>
      <c r="AJ5670" s="480"/>
      <c r="AK5670" s="427"/>
      <c r="AU5670" s="218"/>
      <c r="AV5670" s="218"/>
      <c r="AW5670" s="218"/>
      <c r="AX5670" s="218"/>
      <c r="AY5670" s="218"/>
      <c r="AZ5670" s="427"/>
      <c r="BA5670" s="427"/>
      <c r="BB5670" s="427"/>
      <c r="BI5670" s="427"/>
      <c r="BJ5670" s="427"/>
      <c r="BK5670" s="427"/>
      <c r="BL5670" s="427"/>
      <c r="BM5670" s="427"/>
      <c r="BN5670" s="427"/>
      <c r="BO5670" s="427"/>
      <c r="BP5670" s="427"/>
      <c r="BQ5670" s="427"/>
      <c r="BR5670" s="427"/>
      <c r="BS5670" s="427"/>
      <c r="BT5670" s="427"/>
      <c r="BU5670" s="427"/>
      <c r="BV5670" s="427"/>
      <c r="BW5670" s="427"/>
      <c r="BX5670" s="427"/>
      <c r="BY5670" s="427"/>
      <c r="BZ5670" s="427"/>
    </row>
    <row r="5671" spans="2:78" s="152" customFormat="1" x14ac:dyDescent="0.2">
      <c r="B5671" s="683"/>
      <c r="C5671" s="683"/>
      <c r="D5671" s="698"/>
      <c r="E5671" s="215"/>
      <c r="F5671" s="215"/>
      <c r="G5671" s="427"/>
      <c r="H5671" s="427"/>
      <c r="I5671" s="427"/>
      <c r="J5671" s="427"/>
      <c r="K5671" s="427"/>
      <c r="L5671" s="653"/>
      <c r="M5671" s="666"/>
      <c r="N5671" s="600">
        <v>14.83</v>
      </c>
      <c r="O5671" s="608">
        <v>0.84801599999999999</v>
      </c>
      <c r="P5671" s="782"/>
      <c r="Q5671" s="764"/>
      <c r="R5671" s="764"/>
      <c r="S5671" s="764"/>
      <c r="T5671" s="764"/>
      <c r="U5671" s="764"/>
      <c r="V5671" s="764"/>
      <c r="W5671" s="764"/>
      <c r="X5671" s="764"/>
      <c r="Y5671" s="768"/>
      <c r="Z5671" s="762"/>
      <c r="AA5671" s="150"/>
      <c r="AB5671" s="150">
        <v>318</v>
      </c>
      <c r="AC5671" s="150">
        <v>2.8999999999999998E-3</v>
      </c>
      <c r="AD5671" s="150">
        <v>13.59</v>
      </c>
      <c r="AE5671" s="150">
        <v>1.03</v>
      </c>
      <c r="AF5671" s="223">
        <f t="shared" si="38"/>
        <v>13.9977</v>
      </c>
      <c r="AG5671" s="223">
        <f t="shared" si="37"/>
        <v>1.0594597683905214</v>
      </c>
      <c r="AH5671" s="346"/>
      <c r="AI5671" s="427"/>
      <c r="AJ5671" s="480"/>
      <c r="AK5671" s="427"/>
      <c r="AU5671" s="218"/>
      <c r="AV5671" s="218"/>
      <c r="AW5671" s="218"/>
      <c r="AX5671" s="218"/>
      <c r="AY5671" s="218"/>
      <c r="AZ5671" s="427"/>
      <c r="BA5671" s="427"/>
      <c r="BB5671" s="427"/>
      <c r="BI5671" s="427"/>
      <c r="BJ5671" s="427"/>
      <c r="BK5671" s="427"/>
      <c r="BL5671" s="427"/>
      <c r="BM5671" s="427"/>
      <c r="BN5671" s="427"/>
      <c r="BO5671" s="427"/>
      <c r="BP5671" s="427"/>
      <c r="BQ5671" s="427"/>
      <c r="BR5671" s="427"/>
      <c r="BS5671" s="427"/>
      <c r="BT5671" s="427"/>
      <c r="BU5671" s="427"/>
      <c r="BV5671" s="427"/>
      <c r="BW5671" s="427"/>
      <c r="BX5671" s="427"/>
      <c r="BY5671" s="427"/>
      <c r="BZ5671" s="427"/>
    </row>
    <row r="5672" spans="2:78" s="152" customFormat="1" x14ac:dyDescent="0.2">
      <c r="B5672" s="683"/>
      <c r="C5672" s="683"/>
      <c r="D5672" s="698"/>
      <c r="E5672" s="215"/>
      <c r="F5672" s="215"/>
      <c r="G5672" s="427"/>
      <c r="H5672" s="427"/>
      <c r="I5672" s="427"/>
      <c r="J5672" s="427"/>
      <c r="K5672" s="427"/>
      <c r="L5672" s="653"/>
      <c r="M5672" s="666"/>
      <c r="N5672" s="600">
        <v>14.43</v>
      </c>
      <c r="O5672" s="608">
        <v>0.173184</v>
      </c>
      <c r="P5672" s="782"/>
      <c r="Q5672" s="764"/>
      <c r="R5672" s="764"/>
      <c r="S5672" s="764"/>
      <c r="T5672" s="764"/>
      <c r="U5672" s="764"/>
      <c r="V5672" s="764"/>
      <c r="W5672" s="764"/>
      <c r="X5672" s="764"/>
      <c r="Y5672" s="768"/>
      <c r="Z5672" s="762"/>
      <c r="AA5672" s="150"/>
      <c r="AB5672" s="150">
        <v>319</v>
      </c>
      <c r="AC5672" s="150">
        <v>2.7000000000000001E-3</v>
      </c>
      <c r="AD5672" s="150">
        <v>13.53</v>
      </c>
      <c r="AE5672" s="150">
        <v>1.018</v>
      </c>
      <c r="AF5672" s="223">
        <f t="shared" si="38"/>
        <v>13.773539999999999</v>
      </c>
      <c r="AG5672" s="223">
        <f t="shared" si="37"/>
        <v>1.0476609499083025</v>
      </c>
      <c r="AH5672" s="346"/>
      <c r="AI5672" s="427"/>
      <c r="AJ5672" s="480"/>
      <c r="AK5672" s="427"/>
      <c r="AU5672" s="218"/>
      <c r="AV5672" s="218"/>
      <c r="AW5672" s="218"/>
      <c r="AX5672" s="218"/>
      <c r="AY5672" s="218"/>
      <c r="AZ5672" s="427"/>
      <c r="BA5672" s="427"/>
      <c r="BB5672" s="427"/>
      <c r="BI5672" s="427"/>
      <c r="BJ5672" s="427"/>
      <c r="BK5672" s="427"/>
      <c r="BL5672" s="427"/>
      <c r="BM5672" s="427"/>
      <c r="BN5672" s="427"/>
      <c r="BO5672" s="427"/>
      <c r="BP5672" s="427"/>
      <c r="BQ5672" s="427"/>
      <c r="BR5672" s="427"/>
      <c r="BS5672" s="427"/>
      <c r="BT5672" s="427"/>
      <c r="BU5672" s="427"/>
      <c r="BV5672" s="427"/>
      <c r="BW5672" s="427"/>
      <c r="BX5672" s="427"/>
      <c r="BY5672" s="427"/>
      <c r="BZ5672" s="427"/>
    </row>
    <row r="5673" spans="2:78" s="152" customFormat="1" x14ac:dyDescent="0.2">
      <c r="B5673" s="683"/>
      <c r="C5673" s="683"/>
      <c r="D5673" s="698"/>
      <c r="E5673" s="215"/>
      <c r="F5673" s="215"/>
      <c r="G5673" s="427"/>
      <c r="H5673" s="427"/>
      <c r="I5673" s="427"/>
      <c r="J5673" s="427"/>
      <c r="K5673" s="427"/>
      <c r="L5673" s="653"/>
      <c r="M5673" s="666"/>
      <c r="N5673" s="600">
        <v>13.74</v>
      </c>
      <c r="O5673" s="608">
        <v>5.3560000000000003E-2</v>
      </c>
      <c r="P5673" s="782"/>
      <c r="Q5673" s="764"/>
      <c r="R5673" s="764"/>
      <c r="S5673" s="764"/>
      <c r="T5673" s="764"/>
      <c r="U5673" s="764"/>
      <c r="V5673" s="764"/>
      <c r="W5673" s="764"/>
      <c r="X5673" s="764"/>
      <c r="Y5673" s="768"/>
      <c r="Z5673" s="762"/>
      <c r="AA5673" s="150"/>
      <c r="AB5673" s="150">
        <v>320</v>
      </c>
      <c r="AC5673" s="150">
        <v>2.5999999999999999E-3</v>
      </c>
      <c r="AD5673" s="150">
        <v>13.39</v>
      </c>
      <c r="AE5673" s="150">
        <v>0.997</v>
      </c>
      <c r="AF5673" s="223">
        <f t="shared" si="38"/>
        <v>13.349830000000001</v>
      </c>
      <c r="AG5673" s="223">
        <f t="shared" si="37"/>
        <v>1.0292265894022621</v>
      </c>
      <c r="AH5673" s="346"/>
      <c r="AI5673" s="427"/>
      <c r="AJ5673" s="480"/>
      <c r="AK5673" s="427"/>
      <c r="AU5673" s="218"/>
      <c r="AV5673" s="218"/>
      <c r="AW5673" s="218"/>
      <c r="AX5673" s="218"/>
      <c r="AY5673" s="218"/>
      <c r="AZ5673" s="427"/>
      <c r="BA5673" s="427"/>
      <c r="BB5673" s="427"/>
      <c r="BI5673" s="427"/>
      <c r="BJ5673" s="427"/>
      <c r="BK5673" s="427"/>
      <c r="BL5673" s="427"/>
      <c r="BM5673" s="427"/>
      <c r="BN5673" s="427"/>
      <c r="BO5673" s="427"/>
      <c r="BP5673" s="427"/>
      <c r="BQ5673" s="427"/>
      <c r="BR5673" s="427"/>
      <c r="BS5673" s="427"/>
      <c r="BT5673" s="427"/>
      <c r="BU5673" s="427"/>
      <c r="BV5673" s="427"/>
      <c r="BW5673" s="427"/>
      <c r="BX5673" s="427"/>
      <c r="BY5673" s="427"/>
      <c r="BZ5673" s="427"/>
    </row>
    <row r="5674" spans="2:78" s="152" customFormat="1" x14ac:dyDescent="0.2">
      <c r="B5674" s="683"/>
      <c r="C5674" s="683"/>
      <c r="D5674" s="698"/>
      <c r="E5674" s="215"/>
      <c r="F5674" s="215"/>
      <c r="G5674" s="427"/>
      <c r="H5674" s="427"/>
      <c r="I5674" s="427"/>
      <c r="J5674" s="427"/>
      <c r="K5674" s="427"/>
      <c r="L5674" s="653"/>
      <c r="M5674" s="666"/>
      <c r="N5674" s="600">
        <v>12.79</v>
      </c>
      <c r="O5674" s="608">
        <v>2.5194000000000001E-2</v>
      </c>
      <c r="P5674" s="782"/>
      <c r="Q5674" s="764"/>
      <c r="R5674" s="764"/>
      <c r="S5674" s="764"/>
      <c r="T5674" s="764"/>
      <c r="U5674" s="764"/>
      <c r="V5674" s="764"/>
      <c r="W5674" s="764"/>
      <c r="X5674" s="764"/>
      <c r="Y5674" s="768"/>
      <c r="Z5674" s="762"/>
      <c r="AA5674" s="150"/>
      <c r="AB5674" s="150">
        <v>321</v>
      </c>
      <c r="AC5674" s="150">
        <v>2.7000000000000001E-3</v>
      </c>
      <c r="AD5674" s="150">
        <v>13.26</v>
      </c>
      <c r="AE5674" s="150">
        <v>0.96599999999999997</v>
      </c>
      <c r="AF5674" s="223">
        <f t="shared" si="38"/>
        <v>12.809159999999999</v>
      </c>
      <c r="AG5674" s="223">
        <f t="shared" ref="AG5674:AG5711" si="39">N5674/AF5674</f>
        <v>0.99850419543514179</v>
      </c>
      <c r="AH5674" s="346"/>
      <c r="AI5674" s="427"/>
      <c r="AJ5674" s="480"/>
      <c r="AK5674" s="427"/>
      <c r="AU5674" s="218"/>
      <c r="AV5674" s="218"/>
      <c r="AW5674" s="218"/>
      <c r="AX5674" s="218"/>
      <c r="AY5674" s="218"/>
      <c r="AZ5674" s="427"/>
      <c r="BA5674" s="427"/>
      <c r="BB5674" s="427"/>
      <c r="BI5674" s="427"/>
      <c r="BJ5674" s="427"/>
      <c r="BK5674" s="427"/>
      <c r="BL5674" s="427"/>
      <c r="BM5674" s="427"/>
      <c r="BN5674" s="427"/>
      <c r="BO5674" s="427"/>
      <c r="BP5674" s="427"/>
      <c r="BQ5674" s="427"/>
      <c r="BR5674" s="427"/>
      <c r="BS5674" s="427"/>
      <c r="BT5674" s="427"/>
      <c r="BU5674" s="427"/>
      <c r="BV5674" s="427"/>
      <c r="BW5674" s="427"/>
      <c r="BX5674" s="427"/>
      <c r="BY5674" s="427"/>
      <c r="BZ5674" s="427"/>
    </row>
    <row r="5675" spans="2:78" s="152" customFormat="1" x14ac:dyDescent="0.2">
      <c r="B5675" s="683"/>
      <c r="C5675" s="683"/>
      <c r="D5675" s="698"/>
      <c r="E5675" s="215"/>
      <c r="F5675" s="215"/>
      <c r="G5675" s="427"/>
      <c r="H5675" s="427"/>
      <c r="I5675" s="427"/>
      <c r="J5675" s="427"/>
      <c r="K5675" s="427"/>
      <c r="L5675" s="653"/>
      <c r="M5675" s="666"/>
      <c r="N5675" s="600">
        <v>11.02</v>
      </c>
      <c r="O5675" s="608">
        <v>1.8270000000000002E-2</v>
      </c>
      <c r="P5675" s="782"/>
      <c r="Q5675" s="764"/>
      <c r="R5675" s="764"/>
      <c r="S5675" s="764"/>
      <c r="T5675" s="764"/>
      <c r="U5675" s="764"/>
      <c r="V5675" s="764"/>
      <c r="W5675" s="764"/>
      <c r="X5675" s="764"/>
      <c r="Y5675" s="768"/>
      <c r="Z5675" s="762"/>
      <c r="AA5675" s="150"/>
      <c r="AB5675" s="150">
        <v>322</v>
      </c>
      <c r="AC5675" s="150">
        <v>2.5999999999999999E-3</v>
      </c>
      <c r="AD5675" s="150">
        <v>13.05</v>
      </c>
      <c r="AE5675" s="150">
        <v>0.90500000000000003</v>
      </c>
      <c r="AF5675" s="223">
        <f t="shared" ref="AF5675:AF5711" si="40">AE5675*AD5675</f>
        <v>11.810250000000002</v>
      </c>
      <c r="AG5675" s="223">
        <f t="shared" si="39"/>
        <v>0.93308778391651304</v>
      </c>
      <c r="AH5675" s="346"/>
      <c r="AI5675" s="427"/>
      <c r="AJ5675" s="480"/>
      <c r="AK5675" s="427"/>
      <c r="AU5675" s="218"/>
      <c r="AV5675" s="218"/>
      <c r="AW5675" s="218"/>
      <c r="AX5675" s="218"/>
      <c r="AY5675" s="218"/>
      <c r="AZ5675" s="427"/>
      <c r="BA5675" s="427"/>
      <c r="BB5675" s="427"/>
      <c r="BI5675" s="427"/>
      <c r="BJ5675" s="427"/>
      <c r="BK5675" s="427"/>
      <c r="BL5675" s="427"/>
      <c r="BM5675" s="427"/>
      <c r="BN5675" s="427"/>
      <c r="BO5675" s="427"/>
      <c r="BP5675" s="427"/>
      <c r="BQ5675" s="427"/>
      <c r="BR5675" s="427"/>
      <c r="BS5675" s="427"/>
      <c r="BT5675" s="427"/>
      <c r="BU5675" s="427"/>
      <c r="BV5675" s="427"/>
      <c r="BW5675" s="427"/>
      <c r="BX5675" s="427"/>
      <c r="BY5675" s="427"/>
      <c r="BZ5675" s="427"/>
    </row>
    <row r="5676" spans="2:78" s="152" customFormat="1" x14ac:dyDescent="0.2">
      <c r="B5676" s="683"/>
      <c r="C5676" s="683"/>
      <c r="D5676" s="698"/>
      <c r="E5676" s="215"/>
      <c r="F5676" s="215"/>
      <c r="G5676" s="427"/>
      <c r="H5676" s="427"/>
      <c r="I5676" s="427"/>
      <c r="J5676" s="427"/>
      <c r="K5676" s="427"/>
      <c r="L5676" s="653"/>
      <c r="M5676" s="666"/>
      <c r="N5676" s="600">
        <v>9.6999999999999993</v>
      </c>
      <c r="O5676" s="608">
        <v>7.9607999999999998E-2</v>
      </c>
      <c r="P5676" s="782"/>
      <c r="Q5676" s="764"/>
      <c r="R5676" s="764"/>
      <c r="S5676" s="764"/>
      <c r="T5676" s="764"/>
      <c r="U5676" s="764"/>
      <c r="V5676" s="764"/>
      <c r="W5676" s="764"/>
      <c r="X5676" s="764"/>
      <c r="Y5676" s="768"/>
      <c r="Z5676" s="762"/>
      <c r="AA5676" s="150"/>
      <c r="AB5676" s="150">
        <v>323</v>
      </c>
      <c r="AC5676" s="150">
        <v>2.5999999999999999E-3</v>
      </c>
      <c r="AD5676" s="150">
        <v>12.84</v>
      </c>
      <c r="AE5676" s="150">
        <v>0.85599999999999998</v>
      </c>
      <c r="AF5676" s="223">
        <f t="shared" si="40"/>
        <v>10.99104</v>
      </c>
      <c r="AG5676" s="223">
        <f t="shared" si="39"/>
        <v>0.88253704835939084</v>
      </c>
      <c r="AH5676" s="346"/>
      <c r="AI5676" s="427"/>
      <c r="AJ5676" s="480"/>
      <c r="AK5676" s="427"/>
      <c r="AU5676" s="218"/>
      <c r="AV5676" s="218"/>
      <c r="AW5676" s="218"/>
      <c r="AX5676" s="218"/>
      <c r="AY5676" s="218"/>
      <c r="AZ5676" s="427"/>
      <c r="BA5676" s="427"/>
      <c r="BB5676" s="427"/>
      <c r="BI5676" s="427"/>
      <c r="BJ5676" s="427"/>
      <c r="BK5676" s="427"/>
      <c r="BL5676" s="427"/>
      <c r="BM5676" s="427"/>
      <c r="BN5676" s="427"/>
      <c r="BO5676" s="427"/>
      <c r="BP5676" s="427"/>
      <c r="BQ5676" s="427"/>
      <c r="BR5676" s="427"/>
      <c r="BS5676" s="427"/>
      <c r="BT5676" s="427"/>
      <c r="BU5676" s="427"/>
      <c r="BV5676" s="427"/>
      <c r="BW5676" s="427"/>
      <c r="BX5676" s="427"/>
      <c r="BY5676" s="427"/>
      <c r="BZ5676" s="427"/>
    </row>
    <row r="5677" spans="2:78" s="152" customFormat="1" x14ac:dyDescent="0.2">
      <c r="B5677" s="683"/>
      <c r="C5677" s="683"/>
      <c r="D5677" s="698"/>
      <c r="E5677" s="215"/>
      <c r="F5677" s="215"/>
      <c r="G5677" s="427"/>
      <c r="H5677" s="427"/>
      <c r="I5677" s="427"/>
      <c r="J5677" s="427"/>
      <c r="K5677" s="427"/>
      <c r="L5677" s="653"/>
      <c r="M5677" s="666"/>
      <c r="N5677" s="600">
        <v>9.08</v>
      </c>
      <c r="O5677" s="608">
        <v>5.4824999999999999E-2</v>
      </c>
      <c r="P5677" s="782"/>
      <c r="Q5677" s="764"/>
      <c r="R5677" s="764"/>
      <c r="S5677" s="764"/>
      <c r="T5677" s="764"/>
      <c r="U5677" s="764"/>
      <c r="V5677" s="764"/>
      <c r="W5677" s="764"/>
      <c r="X5677" s="764"/>
      <c r="Y5677" s="768"/>
      <c r="Z5677" s="762"/>
      <c r="AA5677" s="150"/>
      <c r="AB5677" s="150">
        <v>324</v>
      </c>
      <c r="AC5677" s="150">
        <v>2.5999999999999999E-3</v>
      </c>
      <c r="AD5677" s="150">
        <v>12.75</v>
      </c>
      <c r="AE5677" s="150">
        <v>0.83199999999999996</v>
      </c>
      <c r="AF5677" s="223">
        <f t="shared" si="40"/>
        <v>10.607999999999999</v>
      </c>
      <c r="AG5677" s="223">
        <f t="shared" si="39"/>
        <v>0.85595776772247367</v>
      </c>
      <c r="AH5677" s="346"/>
      <c r="AI5677" s="427"/>
      <c r="AJ5677" s="480"/>
      <c r="AK5677" s="427"/>
      <c r="AU5677" s="218"/>
      <c r="AV5677" s="218"/>
      <c r="AW5677" s="218"/>
      <c r="AX5677" s="218"/>
      <c r="AY5677" s="218"/>
      <c r="AZ5677" s="427"/>
      <c r="BA5677" s="427"/>
      <c r="BB5677" s="427"/>
      <c r="BI5677" s="427"/>
      <c r="BJ5677" s="427"/>
      <c r="BK5677" s="427"/>
      <c r="BL5677" s="427"/>
      <c r="BM5677" s="427"/>
      <c r="BN5677" s="427"/>
      <c r="BO5677" s="427"/>
      <c r="BP5677" s="427"/>
      <c r="BQ5677" s="427"/>
      <c r="BR5677" s="427"/>
      <c r="BS5677" s="427"/>
      <c r="BT5677" s="427"/>
      <c r="BU5677" s="427"/>
      <c r="BV5677" s="427"/>
      <c r="BW5677" s="427"/>
      <c r="BX5677" s="427"/>
      <c r="BY5677" s="427"/>
      <c r="BZ5677" s="427"/>
    </row>
    <row r="5678" spans="2:78" s="152" customFormat="1" x14ac:dyDescent="0.2">
      <c r="B5678" s="683"/>
      <c r="C5678" s="683"/>
      <c r="D5678" s="698"/>
      <c r="E5678" s="215"/>
      <c r="F5678" s="215"/>
      <c r="G5678" s="427"/>
      <c r="H5678" s="427"/>
      <c r="I5678" s="427"/>
      <c r="J5678" s="427"/>
      <c r="K5678" s="427"/>
      <c r="L5678" s="653"/>
      <c r="M5678" s="666"/>
      <c r="N5678" s="600">
        <v>8.48</v>
      </c>
      <c r="O5678" s="608">
        <v>2.7874000000000003E-2</v>
      </c>
      <c r="P5678" s="782"/>
      <c r="Q5678" s="764"/>
      <c r="R5678" s="764"/>
      <c r="S5678" s="764"/>
      <c r="T5678" s="764"/>
      <c r="U5678" s="764"/>
      <c r="V5678" s="764"/>
      <c r="W5678" s="764"/>
      <c r="X5678" s="764"/>
      <c r="Y5678" s="768"/>
      <c r="Z5678" s="762"/>
      <c r="AA5678" s="150"/>
      <c r="AB5678" s="150">
        <v>325</v>
      </c>
      <c r="AC5678" s="150">
        <v>2.3999999999999998E-3</v>
      </c>
      <c r="AD5678" s="150">
        <v>12.67</v>
      </c>
      <c r="AE5678" s="150">
        <v>0.80800000000000005</v>
      </c>
      <c r="AF5678" s="223">
        <f t="shared" si="40"/>
        <v>10.237360000000001</v>
      </c>
      <c r="AG5678" s="223">
        <f t="shared" si="39"/>
        <v>0.82833855603397755</v>
      </c>
      <c r="AH5678" s="346"/>
      <c r="AI5678" s="427"/>
      <c r="AJ5678" s="480"/>
      <c r="AK5678" s="427"/>
      <c r="AU5678" s="218"/>
      <c r="AV5678" s="218"/>
      <c r="AW5678" s="218"/>
      <c r="AX5678" s="218"/>
      <c r="AY5678" s="218"/>
      <c r="AZ5678" s="427"/>
      <c r="BA5678" s="427"/>
      <c r="BB5678" s="427"/>
      <c r="BI5678" s="427"/>
      <c r="BJ5678" s="427"/>
      <c r="BK5678" s="427"/>
      <c r="BL5678" s="427"/>
      <c r="BM5678" s="427"/>
      <c r="BN5678" s="427"/>
      <c r="BO5678" s="427"/>
      <c r="BP5678" s="427"/>
      <c r="BQ5678" s="427"/>
      <c r="BR5678" s="427"/>
      <c r="BS5678" s="427"/>
      <c r="BT5678" s="427"/>
      <c r="BU5678" s="427"/>
      <c r="BV5678" s="427"/>
      <c r="BW5678" s="427"/>
      <c r="BX5678" s="427"/>
      <c r="BY5678" s="427"/>
      <c r="BZ5678" s="427"/>
    </row>
    <row r="5679" spans="2:78" s="152" customFormat="1" x14ac:dyDescent="0.2">
      <c r="B5679" s="683"/>
      <c r="C5679" s="683"/>
      <c r="D5679" s="698"/>
      <c r="E5679" s="215"/>
      <c r="F5679" s="215"/>
      <c r="G5679" s="427"/>
      <c r="H5679" s="427"/>
      <c r="I5679" s="427"/>
      <c r="J5679" s="427"/>
      <c r="K5679" s="427"/>
      <c r="L5679" s="653"/>
      <c r="M5679" s="666"/>
      <c r="N5679" s="600">
        <v>7.97</v>
      </c>
      <c r="O5679" s="608">
        <v>1.1339999999999999E-2</v>
      </c>
      <c r="P5679" s="782"/>
      <c r="Q5679" s="764"/>
      <c r="R5679" s="764"/>
      <c r="S5679" s="764"/>
      <c r="T5679" s="764"/>
      <c r="U5679" s="764"/>
      <c r="V5679" s="764"/>
      <c r="W5679" s="764"/>
      <c r="X5679" s="764"/>
      <c r="Y5679" s="768"/>
      <c r="Z5679" s="762"/>
      <c r="AA5679" s="150"/>
      <c r="AB5679" s="150">
        <v>326</v>
      </c>
      <c r="AC5679" s="150">
        <v>2.3E-3</v>
      </c>
      <c r="AD5679" s="150">
        <v>12.6</v>
      </c>
      <c r="AE5679" s="150">
        <v>0.78600000000000003</v>
      </c>
      <c r="AF5679" s="223">
        <f t="shared" si="40"/>
        <v>9.9036000000000008</v>
      </c>
      <c r="AG5679" s="223">
        <f t="shared" si="39"/>
        <v>0.80475786582656805</v>
      </c>
      <c r="AH5679" s="346"/>
      <c r="AI5679" s="427"/>
      <c r="AJ5679" s="480"/>
      <c r="AK5679" s="427"/>
      <c r="AU5679" s="218"/>
      <c r="AV5679" s="218"/>
      <c r="AW5679" s="218"/>
      <c r="AX5679" s="218"/>
      <c r="AY5679" s="218"/>
      <c r="AZ5679" s="427"/>
      <c r="BA5679" s="427"/>
      <c r="BB5679" s="427"/>
      <c r="BI5679" s="427"/>
      <c r="BJ5679" s="427"/>
      <c r="BK5679" s="427"/>
      <c r="BL5679" s="427"/>
      <c r="BM5679" s="427"/>
      <c r="BN5679" s="427"/>
      <c r="BO5679" s="427"/>
      <c r="BP5679" s="427"/>
      <c r="BQ5679" s="427"/>
      <c r="BR5679" s="427"/>
      <c r="BS5679" s="427"/>
      <c r="BT5679" s="427"/>
      <c r="BU5679" s="427"/>
      <c r="BV5679" s="427"/>
      <c r="BW5679" s="427"/>
      <c r="BX5679" s="427"/>
      <c r="BY5679" s="427"/>
      <c r="BZ5679" s="427"/>
    </row>
    <row r="5680" spans="2:78" s="152" customFormat="1" x14ac:dyDescent="0.2">
      <c r="B5680" s="683"/>
      <c r="C5680" s="683"/>
      <c r="D5680" s="698"/>
      <c r="E5680" s="215"/>
      <c r="F5680" s="215"/>
      <c r="G5680" s="427"/>
      <c r="H5680" s="427"/>
      <c r="I5680" s="427"/>
      <c r="J5680" s="427"/>
      <c r="K5680" s="427"/>
      <c r="L5680" s="653"/>
      <c r="M5680" s="666"/>
      <c r="N5680" s="600">
        <v>7.48</v>
      </c>
      <c r="O5680" s="608">
        <v>7.5119999999999987E-3</v>
      </c>
      <c r="P5680" s="782"/>
      <c r="Q5680" s="764"/>
      <c r="R5680" s="764"/>
      <c r="S5680" s="764"/>
      <c r="T5680" s="764"/>
      <c r="U5680" s="764"/>
      <c r="V5680" s="764"/>
      <c r="W5680" s="764"/>
      <c r="X5680" s="764"/>
      <c r="Y5680" s="768"/>
      <c r="Z5680" s="762"/>
      <c r="AA5680" s="150"/>
      <c r="AB5680" s="150">
        <v>327</v>
      </c>
      <c r="AC5680" s="150">
        <v>2.3E-3</v>
      </c>
      <c r="AD5680" s="150">
        <v>12.52</v>
      </c>
      <c r="AE5680" s="150">
        <v>0.76500000000000001</v>
      </c>
      <c r="AF5680" s="223">
        <f t="shared" si="40"/>
        <v>9.5777999999999999</v>
      </c>
      <c r="AG5680" s="223">
        <f t="shared" si="39"/>
        <v>0.78097266595669157</v>
      </c>
      <c r="AH5680" s="346"/>
      <c r="AI5680" s="427"/>
      <c r="AJ5680" s="480"/>
      <c r="AK5680" s="427"/>
      <c r="AU5680" s="218"/>
      <c r="AV5680" s="218"/>
      <c r="AW5680" s="218"/>
      <c r="AX5680" s="218"/>
      <c r="AY5680" s="218"/>
      <c r="AZ5680" s="427"/>
      <c r="BA5680" s="427"/>
      <c r="BB5680" s="427"/>
      <c r="BI5680" s="427"/>
      <c r="BJ5680" s="427"/>
      <c r="BK5680" s="427"/>
      <c r="BL5680" s="427"/>
      <c r="BM5680" s="427"/>
      <c r="BN5680" s="427"/>
      <c r="BO5680" s="427"/>
      <c r="BP5680" s="427"/>
      <c r="BQ5680" s="427"/>
      <c r="BR5680" s="427"/>
      <c r="BS5680" s="427"/>
      <c r="BT5680" s="427"/>
      <c r="BU5680" s="427"/>
      <c r="BV5680" s="427"/>
      <c r="BW5680" s="427"/>
      <c r="BX5680" s="427"/>
      <c r="BY5680" s="427"/>
      <c r="BZ5680" s="427"/>
    </row>
    <row r="5681" spans="2:78" s="152" customFormat="1" x14ac:dyDescent="0.2">
      <c r="B5681" s="683"/>
      <c r="C5681" s="683"/>
      <c r="D5681" s="698"/>
      <c r="E5681" s="215"/>
      <c r="F5681" s="215"/>
      <c r="G5681" s="427"/>
      <c r="H5681" s="427"/>
      <c r="I5681" s="427"/>
      <c r="J5681" s="427"/>
      <c r="K5681" s="427"/>
      <c r="L5681" s="653"/>
      <c r="M5681" s="666"/>
      <c r="N5681" s="600">
        <v>6.88</v>
      </c>
      <c r="O5681" s="608">
        <v>6.2100000000000002E-3</v>
      </c>
      <c r="P5681" s="782"/>
      <c r="Q5681" s="764"/>
      <c r="R5681" s="764"/>
      <c r="S5681" s="764"/>
      <c r="T5681" s="764"/>
      <c r="U5681" s="764"/>
      <c r="V5681" s="764"/>
      <c r="W5681" s="764"/>
      <c r="X5681" s="764"/>
      <c r="Y5681" s="768"/>
      <c r="Z5681" s="762"/>
      <c r="AA5681" s="150"/>
      <c r="AB5681" s="150">
        <v>328</v>
      </c>
      <c r="AC5681" s="150">
        <v>2.3E-3</v>
      </c>
      <c r="AD5681" s="150">
        <v>12.42</v>
      </c>
      <c r="AE5681" s="150">
        <v>0.73799999999999999</v>
      </c>
      <c r="AF5681" s="223">
        <f t="shared" si="40"/>
        <v>9.1659600000000001</v>
      </c>
      <c r="AG5681" s="223">
        <f t="shared" si="39"/>
        <v>0.75060331923770118</v>
      </c>
      <c r="AH5681" s="346"/>
      <c r="AI5681" s="427"/>
      <c r="AJ5681" s="480"/>
      <c r="AK5681" s="427"/>
      <c r="AU5681" s="218"/>
      <c r="AV5681" s="218"/>
      <c r="AW5681" s="218"/>
      <c r="AX5681" s="218"/>
      <c r="AY5681" s="218"/>
      <c r="AZ5681" s="427"/>
      <c r="BA5681" s="427"/>
      <c r="BB5681" s="427"/>
      <c r="BI5681" s="427"/>
      <c r="BJ5681" s="427"/>
      <c r="BK5681" s="427"/>
      <c r="BL5681" s="427"/>
      <c r="BM5681" s="427"/>
      <c r="BN5681" s="427"/>
      <c r="BO5681" s="427"/>
      <c r="BP5681" s="427"/>
      <c r="BQ5681" s="427"/>
      <c r="BR5681" s="427"/>
      <c r="BS5681" s="427"/>
      <c r="BT5681" s="427"/>
      <c r="BU5681" s="427"/>
      <c r="BV5681" s="427"/>
      <c r="BW5681" s="427"/>
      <c r="BX5681" s="427"/>
      <c r="BY5681" s="427"/>
      <c r="BZ5681" s="427"/>
    </row>
    <row r="5682" spans="2:78" s="152" customFormat="1" x14ac:dyDescent="0.2">
      <c r="B5682" s="683"/>
      <c r="C5682" s="683"/>
      <c r="D5682" s="698"/>
      <c r="E5682" s="215"/>
      <c r="F5682" s="215"/>
      <c r="G5682" s="427"/>
      <c r="H5682" s="427"/>
      <c r="I5682" s="427"/>
      <c r="J5682" s="427"/>
      <c r="K5682" s="427"/>
      <c r="L5682" s="653"/>
      <c r="M5682" s="666"/>
      <c r="N5682" s="600">
        <v>6.31</v>
      </c>
      <c r="O5682" s="608">
        <v>1.3530000000000002E-2</v>
      </c>
      <c r="P5682" s="782"/>
      <c r="Q5682" s="764"/>
      <c r="R5682" s="764"/>
      <c r="S5682" s="764"/>
      <c r="T5682" s="764"/>
      <c r="U5682" s="764"/>
      <c r="V5682" s="764"/>
      <c r="W5682" s="764"/>
      <c r="X5682" s="764"/>
      <c r="Y5682" s="768"/>
      <c r="Z5682" s="762"/>
      <c r="AA5682" s="150"/>
      <c r="AB5682" s="150">
        <v>329</v>
      </c>
      <c r="AC5682" s="150">
        <v>2.2000000000000001E-3</v>
      </c>
      <c r="AD5682" s="150">
        <v>12.3</v>
      </c>
      <c r="AE5682" s="150">
        <v>0.71</v>
      </c>
      <c r="AF5682" s="223">
        <f t="shared" si="40"/>
        <v>8.7330000000000005</v>
      </c>
      <c r="AG5682" s="223">
        <f t="shared" si="39"/>
        <v>0.72254666208633911</v>
      </c>
      <c r="AH5682" s="346"/>
      <c r="AI5682" s="427"/>
      <c r="AJ5682" s="480"/>
      <c r="AK5682" s="427"/>
      <c r="AU5682" s="218"/>
      <c r="AV5682" s="218"/>
      <c r="AW5682" s="218"/>
      <c r="AX5682" s="218"/>
      <c r="AY5682" s="218"/>
      <c r="AZ5682" s="427"/>
      <c r="BA5682" s="427"/>
      <c r="BB5682" s="427"/>
      <c r="BI5682" s="427"/>
      <c r="BJ5682" s="427"/>
      <c r="BK5682" s="427"/>
      <c r="BL5682" s="427"/>
      <c r="BM5682" s="427"/>
      <c r="BN5682" s="427"/>
      <c r="BO5682" s="427"/>
      <c r="BP5682" s="427"/>
      <c r="BQ5682" s="427"/>
      <c r="BR5682" s="427"/>
      <c r="BS5682" s="427"/>
      <c r="BT5682" s="427"/>
      <c r="BU5682" s="427"/>
      <c r="BV5682" s="427"/>
      <c r="BW5682" s="427"/>
      <c r="BX5682" s="427"/>
      <c r="BY5682" s="427"/>
      <c r="BZ5682" s="427"/>
    </row>
    <row r="5683" spans="2:78" s="152" customFormat="1" x14ac:dyDescent="0.2">
      <c r="B5683" s="683"/>
      <c r="C5683" s="683"/>
      <c r="D5683" s="698"/>
      <c r="E5683" s="215"/>
      <c r="F5683" s="215"/>
      <c r="G5683" s="427"/>
      <c r="H5683" s="427"/>
      <c r="I5683" s="427"/>
      <c r="J5683" s="427"/>
      <c r="K5683" s="427"/>
      <c r="L5683" s="653"/>
      <c r="M5683" s="666"/>
      <c r="N5683" s="600">
        <v>5.82</v>
      </c>
      <c r="O5683" s="608">
        <v>4.8799999999999998E-3</v>
      </c>
      <c r="P5683" s="782"/>
      <c r="Q5683" s="764"/>
      <c r="R5683" s="764"/>
      <c r="S5683" s="764"/>
      <c r="T5683" s="764"/>
      <c r="U5683" s="764"/>
      <c r="V5683" s="764"/>
      <c r="W5683" s="764"/>
      <c r="X5683" s="764"/>
      <c r="Y5683" s="768"/>
      <c r="Z5683" s="762"/>
      <c r="AA5683" s="150"/>
      <c r="AB5683" s="150">
        <v>330</v>
      </c>
      <c r="AC5683" s="150">
        <v>2.2000000000000001E-3</v>
      </c>
      <c r="AD5683" s="150">
        <v>12.2</v>
      </c>
      <c r="AE5683" s="150">
        <v>0.68600000000000005</v>
      </c>
      <c r="AF5683" s="223">
        <f t="shared" si="40"/>
        <v>8.3691999999999993</v>
      </c>
      <c r="AG5683" s="223">
        <f t="shared" si="39"/>
        <v>0.69540696840797223</v>
      </c>
      <c r="AH5683" s="346"/>
      <c r="AI5683" s="427"/>
      <c r="AJ5683" s="480"/>
      <c r="AK5683" s="427"/>
      <c r="AU5683" s="218"/>
      <c r="AV5683" s="218"/>
      <c r="AW5683" s="218"/>
      <c r="AX5683" s="218"/>
      <c r="AY5683" s="218"/>
      <c r="AZ5683" s="427"/>
      <c r="BA5683" s="427"/>
      <c r="BB5683" s="427"/>
      <c r="BI5683" s="427"/>
      <c r="BJ5683" s="427"/>
      <c r="BK5683" s="427"/>
      <c r="BL5683" s="427"/>
      <c r="BM5683" s="427"/>
      <c r="BN5683" s="427"/>
      <c r="BO5683" s="427"/>
      <c r="BP5683" s="427"/>
      <c r="BQ5683" s="427"/>
      <c r="BR5683" s="427"/>
      <c r="BS5683" s="427"/>
      <c r="BT5683" s="427"/>
      <c r="BU5683" s="427"/>
      <c r="BV5683" s="427"/>
      <c r="BW5683" s="427"/>
      <c r="BX5683" s="427"/>
      <c r="BY5683" s="427"/>
      <c r="BZ5683" s="427"/>
    </row>
    <row r="5684" spans="2:78" s="152" customFormat="1" x14ac:dyDescent="0.2">
      <c r="B5684" s="683"/>
      <c r="C5684" s="683"/>
      <c r="D5684" s="698"/>
      <c r="E5684" s="215"/>
      <c r="F5684" s="215"/>
      <c r="G5684" s="427"/>
      <c r="H5684" s="427"/>
      <c r="I5684" s="427"/>
      <c r="J5684" s="427"/>
      <c r="K5684" s="427"/>
      <c r="L5684" s="653"/>
      <c r="M5684" s="666"/>
      <c r="N5684" s="600">
        <v>5.41</v>
      </c>
      <c r="O5684" s="608">
        <v>7.2539999999999992E-3</v>
      </c>
      <c r="P5684" s="782"/>
      <c r="Q5684" s="764"/>
      <c r="R5684" s="764"/>
      <c r="S5684" s="764"/>
      <c r="T5684" s="764"/>
      <c r="U5684" s="764"/>
      <c r="V5684" s="764"/>
      <c r="W5684" s="764"/>
      <c r="X5684" s="764"/>
      <c r="Y5684" s="768"/>
      <c r="Z5684" s="762"/>
      <c r="AA5684" s="150"/>
      <c r="AB5684" s="150">
        <v>331</v>
      </c>
      <c r="AC5684" s="150">
        <v>2.0999999999999999E-3</v>
      </c>
      <c r="AD5684" s="150">
        <v>12.09</v>
      </c>
      <c r="AE5684" s="150">
        <v>0.66400000000000003</v>
      </c>
      <c r="AF5684" s="223">
        <f t="shared" si="40"/>
        <v>8.0277600000000007</v>
      </c>
      <c r="AG5684" s="223">
        <f t="shared" si="39"/>
        <v>0.67391152700130541</v>
      </c>
      <c r="AH5684" s="346"/>
      <c r="AI5684" s="427"/>
      <c r="AJ5684" s="480"/>
      <c r="AK5684" s="427"/>
      <c r="AU5684" s="218"/>
      <c r="AV5684" s="218"/>
      <c r="AW5684" s="218"/>
      <c r="AX5684" s="218"/>
      <c r="AY5684" s="218"/>
      <c r="AZ5684" s="427"/>
      <c r="BA5684" s="427"/>
      <c r="BB5684" s="427"/>
      <c r="BI5684" s="427"/>
      <c r="BJ5684" s="427"/>
      <c r="BK5684" s="427"/>
      <c r="BL5684" s="427"/>
      <c r="BM5684" s="427"/>
      <c r="BN5684" s="427"/>
      <c r="BO5684" s="427"/>
      <c r="BP5684" s="427"/>
      <c r="BQ5684" s="427"/>
      <c r="BR5684" s="427"/>
      <c r="BS5684" s="427"/>
      <c r="BT5684" s="427"/>
      <c r="BU5684" s="427"/>
      <c r="BV5684" s="427"/>
      <c r="BW5684" s="427"/>
      <c r="BX5684" s="427"/>
      <c r="BY5684" s="427"/>
      <c r="BZ5684" s="427"/>
    </row>
    <row r="5685" spans="2:78" s="152" customFormat="1" x14ac:dyDescent="0.2">
      <c r="B5685" s="683"/>
      <c r="C5685" s="683"/>
      <c r="D5685" s="698"/>
      <c r="E5685" s="215"/>
      <c r="F5685" s="215"/>
      <c r="G5685" s="427"/>
      <c r="H5685" s="427"/>
      <c r="I5685" s="427"/>
      <c r="J5685" s="427"/>
      <c r="K5685" s="427"/>
      <c r="L5685" s="653"/>
      <c r="M5685" s="666"/>
      <c r="N5685" s="600">
        <v>4.8099999999999996</v>
      </c>
      <c r="O5685" s="608">
        <v>1.0791E-2</v>
      </c>
      <c r="P5685" s="782"/>
      <c r="Q5685" s="764"/>
      <c r="R5685" s="764"/>
      <c r="S5685" s="764"/>
      <c r="T5685" s="764"/>
      <c r="U5685" s="764"/>
      <c r="V5685" s="764"/>
      <c r="W5685" s="764"/>
      <c r="X5685" s="764"/>
      <c r="Y5685" s="768"/>
      <c r="Z5685" s="762"/>
      <c r="AA5685" s="150"/>
      <c r="AB5685" s="150">
        <v>332</v>
      </c>
      <c r="AC5685" s="150">
        <v>2.0999999999999999E-3</v>
      </c>
      <c r="AD5685" s="150">
        <v>11.99</v>
      </c>
      <c r="AE5685" s="150">
        <v>0.63100000000000001</v>
      </c>
      <c r="AF5685" s="223">
        <f t="shared" si="40"/>
        <v>7.56569</v>
      </c>
      <c r="AG5685" s="223">
        <f t="shared" si="39"/>
        <v>0.63576488066521353</v>
      </c>
      <c r="AH5685" s="346"/>
      <c r="AI5685" s="427"/>
      <c r="AJ5685" s="480"/>
      <c r="AK5685" s="427"/>
      <c r="AU5685" s="218"/>
      <c r="AV5685" s="218"/>
      <c r="AW5685" s="218"/>
      <c r="AX5685" s="218"/>
      <c r="AY5685" s="218"/>
      <c r="AZ5685" s="427"/>
      <c r="BA5685" s="427"/>
      <c r="BB5685" s="427"/>
      <c r="BI5685" s="427"/>
      <c r="BJ5685" s="427"/>
      <c r="BK5685" s="427"/>
      <c r="BL5685" s="427"/>
      <c r="BM5685" s="427"/>
      <c r="BN5685" s="427"/>
      <c r="BO5685" s="427"/>
      <c r="BP5685" s="427"/>
      <c r="BQ5685" s="427"/>
      <c r="BR5685" s="427"/>
      <c r="BS5685" s="427"/>
      <c r="BT5685" s="427"/>
      <c r="BU5685" s="427"/>
      <c r="BV5685" s="427"/>
      <c r="BW5685" s="427"/>
      <c r="BX5685" s="427"/>
      <c r="BY5685" s="427"/>
      <c r="BZ5685" s="427"/>
    </row>
    <row r="5686" spans="2:78" s="152" customFormat="1" x14ac:dyDescent="0.2">
      <c r="B5686" s="683"/>
      <c r="C5686" s="683"/>
      <c r="D5686" s="698"/>
      <c r="E5686" s="215"/>
      <c r="F5686" s="215"/>
      <c r="G5686" s="427"/>
      <c r="H5686" s="427"/>
      <c r="I5686" s="427"/>
      <c r="J5686" s="427"/>
      <c r="K5686" s="427"/>
      <c r="L5686" s="653"/>
      <c r="M5686" s="666"/>
      <c r="N5686" s="600">
        <v>4.1900000000000004</v>
      </c>
      <c r="O5686" s="608">
        <v>1.5469999999999999E-2</v>
      </c>
      <c r="P5686" s="782"/>
      <c r="Q5686" s="764"/>
      <c r="R5686" s="764"/>
      <c r="S5686" s="764"/>
      <c r="T5686" s="764"/>
      <c r="U5686" s="764"/>
      <c r="V5686" s="764"/>
      <c r="W5686" s="764"/>
      <c r="X5686" s="764"/>
      <c r="Y5686" s="768"/>
      <c r="Z5686" s="762"/>
      <c r="AA5686" s="150"/>
      <c r="AB5686" s="150">
        <v>333</v>
      </c>
      <c r="AC5686" s="150">
        <v>2.0999999999999999E-3</v>
      </c>
      <c r="AD5686" s="150">
        <v>11.9</v>
      </c>
      <c r="AE5686" s="150">
        <v>0.59399999999999997</v>
      </c>
      <c r="AF5686" s="223">
        <f t="shared" si="40"/>
        <v>7.0686</v>
      </c>
      <c r="AG5686" s="223">
        <f t="shared" si="39"/>
        <v>0.59276235746823991</v>
      </c>
      <c r="AH5686" s="346"/>
      <c r="AI5686" s="427"/>
      <c r="AJ5686" s="480"/>
      <c r="AK5686" s="427"/>
      <c r="AU5686" s="218"/>
      <c r="AV5686" s="218"/>
      <c r="AW5686" s="218"/>
      <c r="AX5686" s="218"/>
      <c r="AY5686" s="218"/>
      <c r="AZ5686" s="427"/>
      <c r="BA5686" s="427"/>
      <c r="BB5686" s="427"/>
      <c r="BI5686" s="427"/>
      <c r="BJ5686" s="427"/>
      <c r="BK5686" s="427"/>
      <c r="BL5686" s="427"/>
      <c r="BM5686" s="427"/>
      <c r="BN5686" s="427"/>
      <c r="BO5686" s="427"/>
      <c r="BP5686" s="427"/>
      <c r="BQ5686" s="427"/>
      <c r="BR5686" s="427"/>
      <c r="BS5686" s="427"/>
      <c r="BT5686" s="427"/>
      <c r="BU5686" s="427"/>
      <c r="BV5686" s="427"/>
      <c r="BW5686" s="427"/>
      <c r="BX5686" s="427"/>
      <c r="BY5686" s="427"/>
      <c r="BZ5686" s="427"/>
    </row>
    <row r="5687" spans="2:78" s="152" customFormat="1" x14ac:dyDescent="0.2">
      <c r="B5687" s="683"/>
      <c r="C5687" s="683"/>
      <c r="D5687" s="698"/>
      <c r="E5687" s="215"/>
      <c r="F5687" s="215"/>
      <c r="G5687" s="427"/>
      <c r="H5687" s="427"/>
      <c r="I5687" s="427"/>
      <c r="J5687" s="427"/>
      <c r="K5687" s="427"/>
      <c r="L5687" s="653"/>
      <c r="M5687" s="666"/>
      <c r="N5687" s="600">
        <v>3.71</v>
      </c>
      <c r="O5687" s="608">
        <v>1.0655999999999999E-2</v>
      </c>
      <c r="P5687" s="782"/>
      <c r="Q5687" s="764"/>
      <c r="R5687" s="764"/>
      <c r="S5687" s="764"/>
      <c r="T5687" s="764"/>
      <c r="U5687" s="764"/>
      <c r="V5687" s="764"/>
      <c r="W5687" s="764"/>
      <c r="X5687" s="764"/>
      <c r="Y5687" s="768"/>
      <c r="Z5687" s="762"/>
      <c r="AA5687" s="150"/>
      <c r="AB5687" s="150">
        <v>334</v>
      </c>
      <c r="AC5687" s="150">
        <v>2.3E-3</v>
      </c>
      <c r="AD5687" s="150">
        <v>11.84</v>
      </c>
      <c r="AE5687" s="150">
        <v>0.56399999999999995</v>
      </c>
      <c r="AF5687" s="223">
        <f t="shared" si="40"/>
        <v>6.6777599999999993</v>
      </c>
      <c r="AG5687" s="223">
        <f t="shared" si="39"/>
        <v>0.55557552233084151</v>
      </c>
      <c r="AH5687" s="346"/>
      <c r="AI5687" s="427"/>
      <c r="AJ5687" s="480"/>
      <c r="AK5687" s="427"/>
      <c r="AU5687" s="218"/>
      <c r="AV5687" s="218"/>
      <c r="AW5687" s="218"/>
      <c r="AX5687" s="218"/>
      <c r="AY5687" s="218"/>
      <c r="AZ5687" s="427"/>
      <c r="BA5687" s="427"/>
      <c r="BB5687" s="427"/>
      <c r="BI5687" s="427"/>
      <c r="BJ5687" s="427"/>
      <c r="BK5687" s="427"/>
      <c r="BL5687" s="427"/>
      <c r="BM5687" s="427"/>
      <c r="BN5687" s="427"/>
      <c r="BO5687" s="427"/>
      <c r="BP5687" s="427"/>
      <c r="BQ5687" s="427"/>
      <c r="BR5687" s="427"/>
      <c r="BS5687" s="427"/>
      <c r="BT5687" s="427"/>
      <c r="BU5687" s="427"/>
      <c r="BV5687" s="427"/>
      <c r="BW5687" s="427"/>
      <c r="BX5687" s="427"/>
      <c r="BY5687" s="427"/>
      <c r="BZ5687" s="427"/>
    </row>
    <row r="5688" spans="2:78" s="152" customFormat="1" x14ac:dyDescent="0.2">
      <c r="B5688" s="683"/>
      <c r="C5688" s="683"/>
      <c r="D5688" s="698"/>
      <c r="E5688" s="215"/>
      <c r="F5688" s="215"/>
      <c r="G5688" s="427"/>
      <c r="H5688" s="427"/>
      <c r="I5688" s="427"/>
      <c r="J5688" s="427"/>
      <c r="K5688" s="427"/>
      <c r="L5688" s="653"/>
      <c r="M5688" s="666"/>
      <c r="N5688" s="600">
        <v>3.49</v>
      </c>
      <c r="O5688" s="608">
        <v>1.174E-2</v>
      </c>
      <c r="P5688" s="782"/>
      <c r="Q5688" s="764"/>
      <c r="R5688" s="764"/>
      <c r="S5688" s="764"/>
      <c r="T5688" s="764"/>
      <c r="U5688" s="764"/>
      <c r="V5688" s="764"/>
      <c r="W5688" s="764"/>
      <c r="X5688" s="764"/>
      <c r="Y5688" s="768"/>
      <c r="Z5688" s="762"/>
      <c r="AA5688" s="150"/>
      <c r="AB5688" s="150">
        <v>335</v>
      </c>
      <c r="AC5688" s="150">
        <v>2.3999999999999998E-3</v>
      </c>
      <c r="AD5688" s="150">
        <v>11.74</v>
      </c>
      <c r="AE5688" s="150">
        <v>0.54900000000000004</v>
      </c>
      <c r="AF5688" s="223">
        <f t="shared" si="40"/>
        <v>6.4452600000000002</v>
      </c>
      <c r="AG5688" s="223">
        <f t="shared" si="39"/>
        <v>0.54148319850556847</v>
      </c>
      <c r="AH5688" s="346"/>
      <c r="AI5688" s="427"/>
      <c r="AJ5688" s="480"/>
      <c r="AK5688" s="427"/>
      <c r="AU5688" s="218"/>
      <c r="AV5688" s="218"/>
      <c r="AW5688" s="218"/>
      <c r="AX5688" s="218"/>
      <c r="AY5688" s="218"/>
      <c r="AZ5688" s="427"/>
      <c r="BA5688" s="427"/>
      <c r="BB5688" s="427"/>
      <c r="BI5688" s="427"/>
      <c r="BJ5688" s="427"/>
      <c r="BK5688" s="427"/>
      <c r="BL5688" s="427"/>
      <c r="BM5688" s="427"/>
      <c r="BN5688" s="427"/>
      <c r="BO5688" s="427"/>
      <c r="BP5688" s="427"/>
      <c r="BQ5688" s="427"/>
      <c r="BR5688" s="427"/>
      <c r="BS5688" s="427"/>
      <c r="BT5688" s="427"/>
      <c r="BU5688" s="427"/>
      <c r="BV5688" s="427"/>
      <c r="BW5688" s="427"/>
      <c r="BX5688" s="427"/>
      <c r="BY5688" s="427"/>
      <c r="BZ5688" s="427"/>
    </row>
    <row r="5689" spans="2:78" s="152" customFormat="1" x14ac:dyDescent="0.2">
      <c r="B5689" s="683"/>
      <c r="C5689" s="683"/>
      <c r="D5689" s="698"/>
      <c r="E5689" s="215"/>
      <c r="F5689" s="215"/>
      <c r="G5689" s="427"/>
      <c r="H5689" s="427"/>
      <c r="I5689" s="427"/>
      <c r="J5689" s="427"/>
      <c r="K5689" s="427"/>
      <c r="L5689" s="653"/>
      <c r="M5689" s="666"/>
      <c r="N5689" s="600">
        <v>3.18</v>
      </c>
      <c r="O5689" s="608">
        <v>5.8399999999999997E-3</v>
      </c>
      <c r="P5689" s="782"/>
      <c r="Q5689" s="764"/>
      <c r="R5689" s="764"/>
      <c r="S5689" s="764"/>
      <c r="T5689" s="764"/>
      <c r="U5689" s="764"/>
      <c r="V5689" s="764"/>
      <c r="W5689" s="764"/>
      <c r="X5689" s="764"/>
      <c r="Y5689" s="768"/>
      <c r="Z5689" s="762"/>
      <c r="AA5689" s="150"/>
      <c r="AB5689" s="150">
        <v>336</v>
      </c>
      <c r="AC5689" s="150">
        <v>2.2000000000000001E-3</v>
      </c>
      <c r="AD5689" s="150">
        <v>11.68</v>
      </c>
      <c r="AE5689" s="150">
        <v>0.52700000000000002</v>
      </c>
      <c r="AF5689" s="223">
        <f t="shared" si="40"/>
        <v>6.1553599999999999</v>
      </c>
      <c r="AG5689" s="223">
        <f t="shared" si="39"/>
        <v>0.51662291076395206</v>
      </c>
      <c r="AH5689" s="346"/>
      <c r="AI5689" s="427"/>
      <c r="AJ5689" s="480"/>
      <c r="AK5689" s="427"/>
      <c r="AU5689" s="218"/>
      <c r="AV5689" s="218"/>
      <c r="AW5689" s="218"/>
      <c r="AX5689" s="218"/>
      <c r="AY5689" s="218"/>
      <c r="AZ5689" s="427"/>
      <c r="BA5689" s="427"/>
      <c r="BB5689" s="427"/>
      <c r="BI5689" s="427"/>
      <c r="BJ5689" s="427"/>
      <c r="BK5689" s="427"/>
      <c r="BL5689" s="427"/>
      <c r="BM5689" s="427"/>
      <c r="BN5689" s="427"/>
      <c r="BO5689" s="427"/>
      <c r="BP5689" s="427"/>
      <c r="BQ5689" s="427"/>
      <c r="BR5689" s="427"/>
      <c r="BS5689" s="427"/>
      <c r="BT5689" s="427"/>
      <c r="BU5689" s="427"/>
      <c r="BV5689" s="427"/>
      <c r="BW5689" s="427"/>
      <c r="BX5689" s="427"/>
      <c r="BY5689" s="427"/>
      <c r="BZ5689" s="427"/>
    </row>
    <row r="5690" spans="2:78" s="152" customFormat="1" x14ac:dyDescent="0.2">
      <c r="B5690" s="683"/>
      <c r="C5690" s="683"/>
      <c r="D5690" s="698"/>
      <c r="E5690" s="215"/>
      <c r="F5690" s="215"/>
      <c r="G5690" s="427"/>
      <c r="H5690" s="427"/>
      <c r="I5690" s="427"/>
      <c r="J5690" s="427"/>
      <c r="K5690" s="427"/>
      <c r="L5690" s="653"/>
      <c r="M5690" s="666"/>
      <c r="N5690" s="600">
        <v>2.98</v>
      </c>
      <c r="O5690" s="608">
        <v>9.3120000000000008E-3</v>
      </c>
      <c r="P5690" s="782"/>
      <c r="Q5690" s="764"/>
      <c r="R5690" s="764"/>
      <c r="S5690" s="764"/>
      <c r="T5690" s="764"/>
      <c r="U5690" s="764"/>
      <c r="V5690" s="764"/>
      <c r="W5690" s="764"/>
      <c r="X5690" s="764"/>
      <c r="Y5690" s="768"/>
      <c r="Z5690" s="762"/>
      <c r="AA5690" s="150"/>
      <c r="AB5690" s="150">
        <v>337</v>
      </c>
      <c r="AC5690" s="150">
        <v>2.2000000000000001E-3</v>
      </c>
      <c r="AD5690" s="150">
        <v>11.64</v>
      </c>
      <c r="AE5690" s="150">
        <v>0.51200000000000001</v>
      </c>
      <c r="AF5690" s="223">
        <f t="shared" si="40"/>
        <v>5.9596800000000005</v>
      </c>
      <c r="AG5690" s="223">
        <f t="shared" si="39"/>
        <v>0.50002684707903777</v>
      </c>
      <c r="AH5690" s="346"/>
      <c r="AI5690" s="427"/>
      <c r="AJ5690" s="480"/>
      <c r="AK5690" s="427"/>
      <c r="AU5690" s="218"/>
      <c r="AV5690" s="218"/>
      <c r="AW5690" s="218"/>
      <c r="AX5690" s="218"/>
      <c r="AY5690" s="218"/>
      <c r="AZ5690" s="427"/>
      <c r="BA5690" s="427"/>
      <c r="BB5690" s="427"/>
      <c r="BI5690" s="427"/>
      <c r="BJ5690" s="427"/>
      <c r="BK5690" s="427"/>
      <c r="BL5690" s="427"/>
      <c r="BM5690" s="427"/>
      <c r="BN5690" s="427"/>
      <c r="BO5690" s="427"/>
      <c r="BP5690" s="427"/>
      <c r="BQ5690" s="427"/>
      <c r="BR5690" s="427"/>
      <c r="BS5690" s="427"/>
      <c r="BT5690" s="427"/>
      <c r="BU5690" s="427"/>
      <c r="BV5690" s="427"/>
      <c r="BW5690" s="427"/>
      <c r="BX5690" s="427"/>
      <c r="BY5690" s="427"/>
      <c r="BZ5690" s="427"/>
    </row>
    <row r="5691" spans="2:78" s="152" customFormat="1" x14ac:dyDescent="0.2">
      <c r="B5691" s="683"/>
      <c r="C5691" s="683"/>
      <c r="D5691" s="698"/>
      <c r="E5691" s="215"/>
      <c r="F5691" s="215"/>
      <c r="G5691" s="427"/>
      <c r="H5691" s="427"/>
      <c r="I5691" s="427"/>
      <c r="J5691" s="427"/>
      <c r="K5691" s="427"/>
      <c r="L5691" s="653"/>
      <c r="M5691" s="666"/>
      <c r="N5691" s="600">
        <v>2.74</v>
      </c>
      <c r="O5691" s="608">
        <v>1.3907999999999998E-2</v>
      </c>
      <c r="P5691" s="782"/>
      <c r="Q5691" s="764"/>
      <c r="R5691" s="764"/>
      <c r="S5691" s="764"/>
      <c r="T5691" s="764"/>
      <c r="U5691" s="764"/>
      <c r="V5691" s="764"/>
      <c r="W5691" s="764"/>
      <c r="X5691" s="764"/>
      <c r="Y5691" s="768"/>
      <c r="Z5691" s="762"/>
      <c r="AA5691" s="150"/>
      <c r="AB5691" s="150">
        <v>338</v>
      </c>
      <c r="AC5691" s="150">
        <v>2.3E-3</v>
      </c>
      <c r="AD5691" s="150">
        <v>11.59</v>
      </c>
      <c r="AE5691" s="150">
        <v>0.49399999999999999</v>
      </c>
      <c r="AF5691" s="223">
        <f t="shared" si="40"/>
        <v>5.72546</v>
      </c>
      <c r="AG5691" s="223">
        <f t="shared" si="39"/>
        <v>0.47856416776992594</v>
      </c>
      <c r="AH5691" s="346"/>
      <c r="AI5691" s="427"/>
      <c r="AJ5691" s="480"/>
      <c r="AK5691" s="427"/>
      <c r="AU5691" s="218"/>
      <c r="AV5691" s="218"/>
      <c r="AW5691" s="218"/>
      <c r="AX5691" s="218"/>
      <c r="AY5691" s="218"/>
      <c r="AZ5691" s="427"/>
      <c r="BA5691" s="427"/>
      <c r="BB5691" s="427"/>
      <c r="BI5691" s="427"/>
      <c r="BJ5691" s="427"/>
      <c r="BK5691" s="427"/>
      <c r="BL5691" s="427"/>
      <c r="BM5691" s="427"/>
      <c r="BN5691" s="427"/>
      <c r="BO5691" s="427"/>
      <c r="BP5691" s="427"/>
      <c r="BQ5691" s="427"/>
      <c r="BR5691" s="427"/>
      <c r="BS5691" s="427"/>
      <c r="BT5691" s="427"/>
      <c r="BU5691" s="427"/>
      <c r="BV5691" s="427"/>
      <c r="BW5691" s="427"/>
      <c r="BX5691" s="427"/>
      <c r="BY5691" s="427"/>
      <c r="BZ5691" s="427"/>
    </row>
    <row r="5692" spans="2:78" s="152" customFormat="1" x14ac:dyDescent="0.2">
      <c r="B5692" s="683"/>
      <c r="C5692" s="683"/>
      <c r="D5692" s="698"/>
      <c r="E5692" s="215"/>
      <c r="F5692" s="215"/>
      <c r="G5692" s="427"/>
      <c r="H5692" s="427"/>
      <c r="I5692" s="427"/>
      <c r="J5692" s="427"/>
      <c r="K5692" s="427"/>
      <c r="L5692" s="653"/>
      <c r="M5692" s="666"/>
      <c r="N5692" s="600">
        <v>9.23</v>
      </c>
      <c r="O5692" s="608">
        <v>8.4017999999999995E-2</v>
      </c>
      <c r="P5692" s="782"/>
      <c r="Q5692" s="764"/>
      <c r="R5692" s="764"/>
      <c r="S5692" s="764"/>
      <c r="T5692" s="764"/>
      <c r="U5692" s="764"/>
      <c r="V5692" s="764"/>
      <c r="W5692" s="764"/>
      <c r="X5692" s="764"/>
      <c r="Y5692" s="768"/>
      <c r="Z5692" s="762"/>
      <c r="AA5692" s="150"/>
      <c r="AB5692" s="150">
        <v>339</v>
      </c>
      <c r="AC5692" s="150">
        <v>2.2000000000000001E-3</v>
      </c>
      <c r="AD5692" s="150">
        <v>12.73</v>
      </c>
      <c r="AE5692" s="150">
        <v>0.83799999999999997</v>
      </c>
      <c r="AF5692" s="223">
        <f t="shared" si="40"/>
        <v>10.66774</v>
      </c>
      <c r="AG5692" s="223">
        <f t="shared" si="39"/>
        <v>0.86522543669043306</v>
      </c>
      <c r="AH5692" s="346"/>
      <c r="AI5692" s="427"/>
      <c r="AJ5692" s="480"/>
      <c r="AK5692" s="427"/>
      <c r="AU5692" s="218"/>
      <c r="AV5692" s="218"/>
      <c r="AW5692" s="218"/>
      <c r="AX5692" s="218"/>
      <c r="AY5692" s="218"/>
      <c r="AZ5692" s="427"/>
      <c r="BA5692" s="427"/>
      <c r="BB5692" s="427"/>
      <c r="BI5692" s="427"/>
      <c r="BJ5692" s="427"/>
      <c r="BK5692" s="427"/>
      <c r="BL5692" s="427"/>
      <c r="BM5692" s="427"/>
      <c r="BN5692" s="427"/>
      <c r="BO5692" s="427"/>
      <c r="BP5692" s="427"/>
      <c r="BQ5692" s="427"/>
      <c r="BR5692" s="427"/>
      <c r="BS5692" s="427"/>
      <c r="BT5692" s="427"/>
      <c r="BU5692" s="427"/>
      <c r="BV5692" s="427"/>
      <c r="BW5692" s="427"/>
      <c r="BX5692" s="427"/>
      <c r="BY5692" s="427"/>
      <c r="BZ5692" s="427"/>
    </row>
    <row r="5693" spans="2:78" s="152" customFormat="1" x14ac:dyDescent="0.2">
      <c r="B5693" s="683"/>
      <c r="C5693" s="683"/>
      <c r="D5693" s="698"/>
      <c r="E5693" s="215"/>
      <c r="F5693" s="215"/>
      <c r="G5693" s="427"/>
      <c r="H5693" s="427"/>
      <c r="I5693" s="427"/>
      <c r="J5693" s="427"/>
      <c r="K5693" s="427"/>
      <c r="L5693" s="653"/>
      <c r="M5693" s="666"/>
      <c r="N5693" s="600">
        <v>12.34</v>
      </c>
      <c r="O5693" s="608">
        <v>6.7371E-2</v>
      </c>
      <c r="P5693" s="782"/>
      <c r="Q5693" s="764"/>
      <c r="R5693" s="764"/>
      <c r="S5693" s="764"/>
      <c r="T5693" s="764"/>
      <c r="U5693" s="764"/>
      <c r="V5693" s="764"/>
      <c r="W5693" s="764"/>
      <c r="X5693" s="764"/>
      <c r="Y5693" s="768"/>
      <c r="Z5693" s="762"/>
      <c r="AA5693" s="150"/>
      <c r="AB5693" s="150">
        <v>340</v>
      </c>
      <c r="AC5693" s="150">
        <v>2.2000000000000001E-3</v>
      </c>
      <c r="AD5693" s="150">
        <v>13.21</v>
      </c>
      <c r="AE5693" s="150">
        <v>0.95099999999999996</v>
      </c>
      <c r="AF5693" s="223">
        <f t="shared" si="40"/>
        <v>12.562710000000001</v>
      </c>
      <c r="AG5693" s="223">
        <f t="shared" si="39"/>
        <v>0.98227213714238404</v>
      </c>
      <c r="AH5693" s="346"/>
      <c r="AI5693" s="427"/>
      <c r="AJ5693" s="480"/>
      <c r="AK5693" s="427"/>
      <c r="AU5693" s="218"/>
      <c r="AV5693" s="218"/>
      <c r="AW5693" s="218"/>
      <c r="AX5693" s="218"/>
      <c r="AY5693" s="218"/>
      <c r="AZ5693" s="427"/>
      <c r="BA5693" s="427"/>
      <c r="BB5693" s="427"/>
      <c r="BI5693" s="427"/>
      <c r="BJ5693" s="427"/>
      <c r="BK5693" s="427"/>
      <c r="BL5693" s="427"/>
      <c r="BM5693" s="427"/>
      <c r="BN5693" s="427"/>
      <c r="BO5693" s="427"/>
      <c r="BP5693" s="427"/>
      <c r="BQ5693" s="427"/>
      <c r="BR5693" s="427"/>
      <c r="BS5693" s="427"/>
      <c r="BT5693" s="427"/>
      <c r="BU5693" s="427"/>
      <c r="BV5693" s="427"/>
      <c r="BW5693" s="427"/>
      <c r="BX5693" s="427"/>
      <c r="BY5693" s="427"/>
      <c r="BZ5693" s="427"/>
    </row>
    <row r="5694" spans="2:78" s="152" customFormat="1" x14ac:dyDescent="0.2">
      <c r="B5694" s="683"/>
      <c r="C5694" s="683"/>
      <c r="D5694" s="698"/>
      <c r="E5694" s="215"/>
      <c r="F5694" s="215"/>
      <c r="G5694" s="427"/>
      <c r="H5694" s="427"/>
      <c r="I5694" s="427"/>
      <c r="J5694" s="427"/>
      <c r="K5694" s="427"/>
      <c r="L5694" s="653"/>
      <c r="M5694" s="666"/>
      <c r="N5694" s="600">
        <v>14.23</v>
      </c>
      <c r="O5694" s="608">
        <v>0.13094999999999998</v>
      </c>
      <c r="P5694" s="782"/>
      <c r="Q5694" s="764"/>
      <c r="R5694" s="764"/>
      <c r="S5694" s="764"/>
      <c r="T5694" s="764"/>
      <c r="U5694" s="764"/>
      <c r="V5694" s="764"/>
      <c r="W5694" s="764"/>
      <c r="X5694" s="764"/>
      <c r="Y5694" s="768"/>
      <c r="Z5694" s="762"/>
      <c r="AA5694" s="150"/>
      <c r="AB5694" s="150">
        <v>341</v>
      </c>
      <c r="AC5694" s="150">
        <v>2.5000000000000001E-3</v>
      </c>
      <c r="AD5694" s="150">
        <v>13.5</v>
      </c>
      <c r="AE5694" s="150">
        <v>1.012</v>
      </c>
      <c r="AF5694" s="223">
        <f t="shared" si="40"/>
        <v>13.662000000000001</v>
      </c>
      <c r="AG5694" s="223">
        <f t="shared" si="39"/>
        <v>1.0415751720099546</v>
      </c>
      <c r="AH5694" s="346"/>
      <c r="AI5694" s="427"/>
      <c r="AJ5694" s="480"/>
      <c r="AK5694" s="427"/>
      <c r="AU5694" s="218"/>
      <c r="AV5694" s="218"/>
      <c r="AW5694" s="218"/>
      <c r="AX5694" s="218"/>
      <c r="AY5694" s="218"/>
      <c r="AZ5694" s="427"/>
      <c r="BA5694" s="427"/>
      <c r="BB5694" s="427"/>
      <c r="BI5694" s="427"/>
      <c r="BJ5694" s="427"/>
      <c r="BK5694" s="427"/>
      <c r="BL5694" s="427"/>
      <c r="BM5694" s="427"/>
      <c r="BN5694" s="427"/>
      <c r="BO5694" s="427"/>
      <c r="BP5694" s="427"/>
      <c r="BQ5694" s="427"/>
      <c r="BR5694" s="427"/>
      <c r="BS5694" s="427"/>
      <c r="BT5694" s="427"/>
      <c r="BU5694" s="427"/>
      <c r="BV5694" s="427"/>
      <c r="BW5694" s="427"/>
      <c r="BX5694" s="427"/>
      <c r="BY5694" s="427"/>
      <c r="BZ5694" s="427"/>
    </row>
    <row r="5695" spans="2:78" s="152" customFormat="1" x14ac:dyDescent="0.2">
      <c r="B5695" s="683"/>
      <c r="C5695" s="683"/>
      <c r="D5695" s="698"/>
      <c r="E5695" s="215"/>
      <c r="F5695" s="215"/>
      <c r="G5695" s="427"/>
      <c r="H5695" s="427"/>
      <c r="I5695" s="427"/>
      <c r="J5695" s="427"/>
      <c r="K5695" s="427"/>
      <c r="L5695" s="653"/>
      <c r="M5695" s="666"/>
      <c r="N5695" s="600">
        <v>15.54</v>
      </c>
      <c r="O5695" s="608">
        <v>0.16087499999999999</v>
      </c>
      <c r="P5695" s="782"/>
      <c r="Q5695" s="764"/>
      <c r="R5695" s="764"/>
      <c r="S5695" s="764"/>
      <c r="T5695" s="764"/>
      <c r="U5695" s="764"/>
      <c r="V5695" s="764"/>
      <c r="W5695" s="764"/>
      <c r="X5695" s="764"/>
      <c r="Y5695" s="768"/>
      <c r="Z5695" s="762"/>
      <c r="AA5695" s="150"/>
      <c r="AB5695" s="150">
        <v>342</v>
      </c>
      <c r="AC5695" s="150">
        <v>2.7000000000000001E-3</v>
      </c>
      <c r="AD5695" s="150">
        <v>13.75</v>
      </c>
      <c r="AE5695" s="150">
        <v>1.052</v>
      </c>
      <c r="AF5695" s="223">
        <f t="shared" si="40"/>
        <v>14.465</v>
      </c>
      <c r="AG5695" s="223">
        <f t="shared" si="39"/>
        <v>1.0743173176633252</v>
      </c>
      <c r="AH5695" s="346"/>
      <c r="AI5695" s="427"/>
      <c r="AJ5695" s="480"/>
      <c r="AK5695" s="427"/>
      <c r="AU5695" s="218"/>
      <c r="AV5695" s="218"/>
      <c r="AW5695" s="218"/>
      <c r="AX5695" s="218"/>
      <c r="AY5695" s="218"/>
      <c r="AZ5695" s="427"/>
      <c r="BA5695" s="427"/>
      <c r="BB5695" s="427"/>
      <c r="BI5695" s="427"/>
      <c r="BJ5695" s="427"/>
      <c r="BK5695" s="427"/>
      <c r="BL5695" s="427"/>
      <c r="BM5695" s="427"/>
      <c r="BN5695" s="427"/>
      <c r="BO5695" s="427"/>
      <c r="BP5695" s="427"/>
      <c r="BQ5695" s="427"/>
      <c r="BR5695" s="427"/>
      <c r="BS5695" s="427"/>
      <c r="BT5695" s="427"/>
      <c r="BU5695" s="427"/>
      <c r="BV5695" s="427"/>
      <c r="BW5695" s="427"/>
      <c r="BX5695" s="427"/>
      <c r="BY5695" s="427"/>
      <c r="BZ5695" s="427"/>
    </row>
    <row r="5696" spans="2:78" s="152" customFormat="1" x14ac:dyDescent="0.2">
      <c r="B5696" s="683"/>
      <c r="C5696" s="683"/>
      <c r="D5696" s="698"/>
      <c r="E5696" s="215"/>
      <c r="F5696" s="215"/>
      <c r="G5696" s="427"/>
      <c r="H5696" s="427"/>
      <c r="I5696" s="427"/>
      <c r="J5696" s="427"/>
      <c r="K5696" s="427"/>
      <c r="L5696" s="653"/>
      <c r="M5696" s="666"/>
      <c r="N5696" s="600">
        <v>16.489999999999998</v>
      </c>
      <c r="O5696" s="608">
        <v>0.25001999999999996</v>
      </c>
      <c r="P5696" s="782"/>
      <c r="Q5696" s="764"/>
      <c r="R5696" s="764"/>
      <c r="S5696" s="764"/>
      <c r="T5696" s="764"/>
      <c r="U5696" s="764"/>
      <c r="V5696" s="764"/>
      <c r="W5696" s="764"/>
      <c r="X5696" s="764"/>
      <c r="Y5696" s="768"/>
      <c r="Z5696" s="762"/>
      <c r="AA5696" s="150"/>
      <c r="AB5696" s="150">
        <v>343</v>
      </c>
      <c r="AC5696" s="150">
        <v>2.7000000000000001E-3</v>
      </c>
      <c r="AD5696" s="150">
        <v>13.89</v>
      </c>
      <c r="AE5696" s="150">
        <v>1.079</v>
      </c>
      <c r="AF5696" s="223">
        <f t="shared" si="40"/>
        <v>14.987310000000001</v>
      </c>
      <c r="AG5696" s="223">
        <f t="shared" si="39"/>
        <v>1.1002641568099945</v>
      </c>
      <c r="AH5696" s="346"/>
      <c r="AI5696" s="427"/>
      <c r="AJ5696" s="480"/>
      <c r="AK5696" s="427"/>
      <c r="AU5696" s="218"/>
      <c r="AV5696" s="218"/>
      <c r="AW5696" s="218"/>
      <c r="AX5696" s="218"/>
      <c r="AY5696" s="218"/>
      <c r="AZ5696" s="427"/>
      <c r="BA5696" s="427"/>
      <c r="BB5696" s="427"/>
      <c r="BI5696" s="427"/>
      <c r="BJ5696" s="427"/>
      <c r="BK5696" s="427"/>
      <c r="BL5696" s="427"/>
      <c r="BM5696" s="427"/>
      <c r="BN5696" s="427"/>
      <c r="BO5696" s="427"/>
      <c r="BP5696" s="427"/>
      <c r="BQ5696" s="427"/>
      <c r="BR5696" s="427"/>
      <c r="BS5696" s="427"/>
      <c r="BT5696" s="427"/>
      <c r="BU5696" s="427"/>
      <c r="BV5696" s="427"/>
      <c r="BW5696" s="427"/>
      <c r="BX5696" s="427"/>
      <c r="BY5696" s="427"/>
      <c r="BZ5696" s="427"/>
    </row>
    <row r="5697" spans="1:80" s="152" customFormat="1" x14ac:dyDescent="0.2">
      <c r="B5697" s="683"/>
      <c r="C5697" s="683"/>
      <c r="D5697" s="698"/>
      <c r="E5697" s="215"/>
      <c r="F5697" s="215"/>
      <c r="G5697" s="427"/>
      <c r="H5697" s="427"/>
      <c r="I5697" s="427"/>
      <c r="J5697" s="427"/>
      <c r="K5697" s="427"/>
      <c r="L5697" s="653"/>
      <c r="M5697" s="666"/>
      <c r="N5697" s="600">
        <v>16.59</v>
      </c>
      <c r="O5697" s="608">
        <v>7.9343999999999998E-2</v>
      </c>
      <c r="P5697" s="782"/>
      <c r="Q5697" s="764"/>
      <c r="R5697" s="764"/>
      <c r="S5697" s="764"/>
      <c r="T5697" s="764"/>
      <c r="U5697" s="764"/>
      <c r="V5697" s="764"/>
      <c r="W5697" s="764"/>
      <c r="X5697" s="764"/>
      <c r="Y5697" s="768"/>
      <c r="Z5697" s="762"/>
      <c r="AA5697" s="150"/>
      <c r="AB5697" s="150">
        <v>344</v>
      </c>
      <c r="AC5697" s="150">
        <v>2.8E-3</v>
      </c>
      <c r="AD5697" s="150">
        <v>13.92</v>
      </c>
      <c r="AE5697" s="150">
        <v>1.0820000000000001</v>
      </c>
      <c r="AF5697" s="223">
        <f t="shared" si="40"/>
        <v>15.061440000000001</v>
      </c>
      <c r="AG5697" s="223">
        <f t="shared" si="39"/>
        <v>1.1014883039071961</v>
      </c>
      <c r="AH5697" s="346"/>
      <c r="AI5697" s="427"/>
      <c r="AJ5697" s="480"/>
      <c r="AK5697" s="427"/>
      <c r="AU5697" s="218"/>
      <c r="AV5697" s="218"/>
      <c r="AW5697" s="218"/>
      <c r="AX5697" s="218"/>
      <c r="AY5697" s="218"/>
      <c r="AZ5697" s="427"/>
      <c r="BA5697" s="427"/>
      <c r="BB5697" s="427"/>
      <c r="BI5697" s="427"/>
      <c r="BJ5697" s="427"/>
      <c r="BK5697" s="427"/>
      <c r="BL5697" s="427"/>
      <c r="BM5697" s="427"/>
      <c r="BN5697" s="427"/>
      <c r="BO5697" s="427"/>
      <c r="BP5697" s="427"/>
      <c r="BQ5697" s="427"/>
      <c r="BR5697" s="427"/>
      <c r="BS5697" s="427"/>
      <c r="BT5697" s="427"/>
      <c r="BU5697" s="427"/>
      <c r="BV5697" s="427"/>
      <c r="BW5697" s="427"/>
      <c r="BX5697" s="427"/>
      <c r="BY5697" s="427"/>
      <c r="BZ5697" s="427"/>
    </row>
    <row r="5698" spans="1:80" s="152" customFormat="1" x14ac:dyDescent="0.2">
      <c r="B5698" s="683"/>
      <c r="C5698" s="683"/>
      <c r="D5698" s="698"/>
      <c r="E5698" s="215"/>
      <c r="F5698" s="215"/>
      <c r="G5698" s="427"/>
      <c r="H5698" s="427"/>
      <c r="I5698" s="427"/>
      <c r="J5698" s="427"/>
      <c r="K5698" s="427"/>
      <c r="L5698" s="653"/>
      <c r="M5698" s="666"/>
      <c r="N5698" s="600">
        <v>16.27</v>
      </c>
      <c r="O5698" s="608">
        <v>0.25001999999999996</v>
      </c>
      <c r="P5698" s="782"/>
      <c r="Q5698" s="764"/>
      <c r="R5698" s="764"/>
      <c r="S5698" s="764"/>
      <c r="T5698" s="764"/>
      <c r="U5698" s="764"/>
      <c r="V5698" s="764"/>
      <c r="W5698" s="764"/>
      <c r="X5698" s="764"/>
      <c r="Y5698" s="768"/>
      <c r="Z5698" s="762"/>
      <c r="AA5698" s="150"/>
      <c r="AB5698" s="150">
        <v>345</v>
      </c>
      <c r="AC5698" s="150">
        <v>2.7000000000000001E-3</v>
      </c>
      <c r="AD5698" s="150">
        <v>13.89</v>
      </c>
      <c r="AE5698" s="150">
        <v>1.073</v>
      </c>
      <c r="AF5698" s="223">
        <f t="shared" si="40"/>
        <v>14.903969999999999</v>
      </c>
      <c r="AG5698" s="223">
        <f t="shared" si="39"/>
        <v>1.0916554448244327</v>
      </c>
      <c r="AH5698" s="346"/>
      <c r="AI5698" s="427"/>
      <c r="AJ5698" s="480"/>
      <c r="AK5698" s="427"/>
      <c r="AU5698" s="218"/>
      <c r="AV5698" s="218"/>
      <c r="AW5698" s="218"/>
      <c r="AX5698" s="218"/>
      <c r="AY5698" s="218"/>
      <c r="AZ5698" s="427"/>
      <c r="BA5698" s="427"/>
      <c r="BB5698" s="427"/>
      <c r="BI5698" s="427"/>
      <c r="BJ5698" s="427"/>
      <c r="BK5698" s="427"/>
      <c r="BL5698" s="427"/>
      <c r="BM5698" s="427"/>
      <c r="BN5698" s="427"/>
      <c r="BO5698" s="427"/>
      <c r="BP5698" s="427"/>
      <c r="BQ5698" s="427"/>
      <c r="BR5698" s="427"/>
      <c r="BS5698" s="427"/>
      <c r="BT5698" s="427"/>
      <c r="BU5698" s="427"/>
      <c r="BV5698" s="427"/>
      <c r="BW5698" s="427"/>
      <c r="BX5698" s="427"/>
      <c r="BY5698" s="427"/>
      <c r="BZ5698" s="427"/>
    </row>
    <row r="5699" spans="1:80" s="152" customFormat="1" x14ac:dyDescent="0.2">
      <c r="B5699" s="683"/>
      <c r="C5699" s="683"/>
      <c r="D5699" s="698"/>
      <c r="E5699" s="215"/>
      <c r="F5699" s="215"/>
      <c r="G5699" s="427"/>
      <c r="H5699" s="427"/>
      <c r="I5699" s="427"/>
      <c r="J5699" s="427"/>
      <c r="K5699" s="427"/>
      <c r="L5699" s="653"/>
      <c r="M5699" s="666"/>
      <c r="N5699" s="600">
        <v>15.33</v>
      </c>
      <c r="O5699" s="608">
        <v>0.212058</v>
      </c>
      <c r="P5699" s="782"/>
      <c r="Q5699" s="764"/>
      <c r="R5699" s="764"/>
      <c r="S5699" s="764"/>
      <c r="T5699" s="764"/>
      <c r="U5699" s="764"/>
      <c r="V5699" s="764"/>
      <c r="W5699" s="764"/>
      <c r="X5699" s="764"/>
      <c r="Y5699" s="768"/>
      <c r="Z5699" s="762"/>
      <c r="AA5699" s="150"/>
      <c r="AB5699" s="150">
        <v>346</v>
      </c>
      <c r="AC5699" s="150">
        <v>2.8E-3</v>
      </c>
      <c r="AD5699" s="150">
        <v>13.77</v>
      </c>
      <c r="AE5699" s="150">
        <v>1.0449999999999999</v>
      </c>
      <c r="AF5699" s="223">
        <f t="shared" si="40"/>
        <v>14.389649999999998</v>
      </c>
      <c r="AG5699" s="223">
        <f t="shared" si="39"/>
        <v>1.0653490529651521</v>
      </c>
      <c r="AH5699" s="346"/>
      <c r="AI5699" s="427"/>
      <c r="AJ5699" s="480"/>
      <c r="AK5699" s="427"/>
      <c r="AU5699" s="218"/>
      <c r="AV5699" s="218"/>
      <c r="AW5699" s="218"/>
      <c r="AX5699" s="218"/>
      <c r="AY5699" s="218"/>
      <c r="AZ5699" s="427"/>
      <c r="BA5699" s="427"/>
      <c r="BB5699" s="427"/>
      <c r="BI5699" s="427"/>
      <c r="BJ5699" s="427"/>
      <c r="BK5699" s="427"/>
      <c r="BL5699" s="427"/>
      <c r="BM5699" s="427"/>
      <c r="BN5699" s="427"/>
      <c r="BO5699" s="427"/>
      <c r="BP5699" s="427"/>
      <c r="BQ5699" s="427"/>
      <c r="BR5699" s="427"/>
      <c r="BS5699" s="427"/>
      <c r="BT5699" s="427"/>
      <c r="BU5699" s="427"/>
      <c r="BV5699" s="427"/>
      <c r="BW5699" s="427"/>
      <c r="BX5699" s="427"/>
      <c r="BY5699" s="427"/>
      <c r="BZ5699" s="427"/>
    </row>
    <row r="5700" spans="1:80" s="152" customFormat="1" x14ac:dyDescent="0.2">
      <c r="B5700" s="683"/>
      <c r="C5700" s="683"/>
      <c r="D5700" s="698"/>
      <c r="E5700" s="215"/>
      <c r="F5700" s="215"/>
      <c r="G5700" s="427"/>
      <c r="H5700" s="427"/>
      <c r="I5700" s="427"/>
      <c r="J5700" s="427"/>
      <c r="K5700" s="427"/>
      <c r="L5700" s="653"/>
      <c r="M5700" s="666"/>
      <c r="N5700" s="600">
        <v>13.84</v>
      </c>
      <c r="O5700" s="608">
        <v>0.17802899999999999</v>
      </c>
      <c r="P5700" s="782"/>
      <c r="Q5700" s="764"/>
      <c r="R5700" s="764"/>
      <c r="S5700" s="764"/>
      <c r="T5700" s="764"/>
      <c r="U5700" s="764"/>
      <c r="V5700" s="764"/>
      <c r="W5700" s="764"/>
      <c r="X5700" s="764"/>
      <c r="Y5700" s="768"/>
      <c r="Z5700" s="762"/>
      <c r="AA5700" s="150"/>
      <c r="AB5700" s="150">
        <v>347</v>
      </c>
      <c r="AC5700" s="150">
        <v>2.5999999999999999E-3</v>
      </c>
      <c r="AD5700" s="150">
        <v>13.59</v>
      </c>
      <c r="AE5700" s="150">
        <v>1</v>
      </c>
      <c r="AF5700" s="223">
        <f t="shared" si="40"/>
        <v>13.59</v>
      </c>
      <c r="AG5700" s="223">
        <f t="shared" si="39"/>
        <v>1.0183958793230317</v>
      </c>
      <c r="AH5700" s="346"/>
      <c r="AI5700" s="427"/>
      <c r="AJ5700" s="480"/>
      <c r="AK5700" s="427"/>
      <c r="AU5700" s="218"/>
      <c r="AV5700" s="218"/>
      <c r="AW5700" s="218"/>
      <c r="AX5700" s="218"/>
      <c r="AY5700" s="218"/>
      <c r="AZ5700" s="427"/>
      <c r="BA5700" s="427"/>
      <c r="BB5700" s="427"/>
      <c r="BI5700" s="427"/>
      <c r="BJ5700" s="427"/>
      <c r="BK5700" s="427"/>
      <c r="BL5700" s="427"/>
      <c r="BM5700" s="427"/>
      <c r="BN5700" s="427"/>
      <c r="BO5700" s="427"/>
      <c r="BP5700" s="427"/>
      <c r="BQ5700" s="427"/>
      <c r="BR5700" s="427"/>
      <c r="BS5700" s="427"/>
      <c r="BT5700" s="427"/>
      <c r="BU5700" s="427"/>
      <c r="BV5700" s="427"/>
      <c r="BW5700" s="427"/>
      <c r="BX5700" s="427"/>
      <c r="BY5700" s="427"/>
      <c r="BZ5700" s="427"/>
    </row>
    <row r="5701" spans="1:80" s="152" customFormat="1" x14ac:dyDescent="0.2">
      <c r="B5701" s="683"/>
      <c r="C5701" s="683"/>
      <c r="D5701" s="698"/>
      <c r="E5701" s="215"/>
      <c r="F5701" s="215"/>
      <c r="G5701" s="427"/>
      <c r="H5701" s="427"/>
      <c r="I5701" s="427"/>
      <c r="J5701" s="427"/>
      <c r="K5701" s="427"/>
      <c r="L5701" s="653"/>
      <c r="M5701" s="666"/>
      <c r="N5701" s="600">
        <v>12.34</v>
      </c>
      <c r="O5701" s="608">
        <v>5.8740000000000001E-2</v>
      </c>
      <c r="P5701" s="782"/>
      <c r="Q5701" s="764"/>
      <c r="R5701" s="764"/>
      <c r="S5701" s="764"/>
      <c r="T5701" s="764"/>
      <c r="U5701" s="764"/>
      <c r="V5701" s="764"/>
      <c r="W5701" s="764"/>
      <c r="X5701" s="764"/>
      <c r="Y5701" s="768"/>
      <c r="Z5701" s="762"/>
      <c r="AA5701" s="150"/>
      <c r="AB5701" s="150">
        <v>348</v>
      </c>
      <c r="AC5701" s="150">
        <v>2.5999999999999999E-3</v>
      </c>
      <c r="AD5701" s="150">
        <v>13.35</v>
      </c>
      <c r="AE5701" s="150">
        <v>0.95099999999999996</v>
      </c>
      <c r="AF5701" s="223">
        <f t="shared" si="40"/>
        <v>12.695849999999998</v>
      </c>
      <c r="AG5701" s="223">
        <f t="shared" si="39"/>
        <v>0.97197115592890604</v>
      </c>
      <c r="AH5701" s="346"/>
      <c r="AI5701" s="427"/>
      <c r="AJ5701" s="480"/>
      <c r="AK5701" s="427"/>
      <c r="AU5701" s="218"/>
      <c r="AV5701" s="218"/>
      <c r="AW5701" s="218"/>
      <c r="AX5701" s="218"/>
      <c r="AY5701" s="218"/>
      <c r="AZ5701" s="427"/>
      <c r="BA5701" s="427"/>
      <c r="BB5701" s="427"/>
      <c r="BI5701" s="427"/>
      <c r="BJ5701" s="427"/>
      <c r="BK5701" s="427"/>
      <c r="BL5701" s="427"/>
      <c r="BM5701" s="427"/>
      <c r="BN5701" s="427"/>
      <c r="BO5701" s="427"/>
      <c r="BP5701" s="427"/>
      <c r="BQ5701" s="427"/>
      <c r="BR5701" s="427"/>
      <c r="BS5701" s="427"/>
      <c r="BT5701" s="427"/>
      <c r="BU5701" s="427"/>
      <c r="BV5701" s="427"/>
      <c r="BW5701" s="427"/>
      <c r="BX5701" s="427"/>
      <c r="BY5701" s="427"/>
      <c r="BZ5701" s="427"/>
    </row>
    <row r="5702" spans="1:80" s="152" customFormat="1" x14ac:dyDescent="0.2">
      <c r="B5702" s="683"/>
      <c r="C5702" s="683"/>
      <c r="D5702" s="698"/>
      <c r="E5702" s="215"/>
      <c r="F5702" s="215"/>
      <c r="G5702" s="427"/>
      <c r="H5702" s="427"/>
      <c r="I5702" s="427"/>
      <c r="J5702" s="427"/>
      <c r="K5702" s="427"/>
      <c r="L5702" s="653"/>
      <c r="M5702" s="666"/>
      <c r="N5702" s="600">
        <v>8.0399999999999991</v>
      </c>
      <c r="O5702" s="608">
        <v>1.5035999999999997E-2</v>
      </c>
      <c r="P5702" s="782"/>
      <c r="Q5702" s="764"/>
      <c r="R5702" s="764"/>
      <c r="S5702" s="764"/>
      <c r="T5702" s="764"/>
      <c r="U5702" s="764"/>
      <c r="V5702" s="764"/>
      <c r="W5702" s="764"/>
      <c r="X5702" s="764"/>
      <c r="Y5702" s="768"/>
      <c r="Z5702" s="762"/>
      <c r="AA5702" s="150"/>
      <c r="AB5702" s="150">
        <v>349</v>
      </c>
      <c r="AC5702" s="150">
        <v>2.3E-3</v>
      </c>
      <c r="AD5702" s="150">
        <v>12.53</v>
      </c>
      <c r="AE5702" s="150">
        <v>0.78900000000000003</v>
      </c>
      <c r="AF5702" s="223">
        <f t="shared" si="40"/>
        <v>9.8861699999999999</v>
      </c>
      <c r="AG5702" s="223">
        <f t="shared" si="39"/>
        <v>0.81325730793623807</v>
      </c>
      <c r="AH5702" s="346"/>
      <c r="AI5702" s="427"/>
      <c r="AJ5702" s="480"/>
      <c r="AK5702" s="427"/>
      <c r="AU5702" s="218"/>
      <c r="AV5702" s="218"/>
      <c r="AW5702" s="218"/>
      <c r="AX5702" s="218"/>
      <c r="AY5702" s="218"/>
      <c r="AZ5702" s="427"/>
      <c r="BA5702" s="427"/>
      <c r="BB5702" s="427"/>
      <c r="BI5702" s="427"/>
      <c r="BJ5702" s="427"/>
      <c r="BK5702" s="427"/>
      <c r="BL5702" s="427"/>
      <c r="BM5702" s="427"/>
      <c r="BN5702" s="427"/>
      <c r="BO5702" s="427"/>
      <c r="BP5702" s="427"/>
      <c r="BQ5702" s="427"/>
      <c r="BR5702" s="427"/>
      <c r="BS5702" s="427"/>
      <c r="BT5702" s="427"/>
      <c r="BU5702" s="427"/>
      <c r="BV5702" s="427"/>
      <c r="BW5702" s="427"/>
      <c r="BX5702" s="427"/>
      <c r="BY5702" s="427"/>
      <c r="BZ5702" s="427"/>
    </row>
    <row r="5703" spans="1:80" s="152" customFormat="1" x14ac:dyDescent="0.2">
      <c r="B5703" s="683"/>
      <c r="C5703" s="683"/>
      <c r="D5703" s="698"/>
      <c r="E5703" s="215"/>
      <c r="F5703" s="215"/>
      <c r="G5703" s="427"/>
      <c r="H5703" s="427"/>
      <c r="I5703" s="427"/>
      <c r="J5703" s="427"/>
      <c r="K5703" s="427"/>
      <c r="L5703" s="653"/>
      <c r="M5703" s="666"/>
      <c r="N5703" s="600">
        <v>6.75</v>
      </c>
      <c r="O5703" s="608">
        <v>1.4783999999999999E-2</v>
      </c>
      <c r="P5703" s="782"/>
      <c r="Q5703" s="764"/>
      <c r="R5703" s="764"/>
      <c r="S5703" s="764"/>
      <c r="T5703" s="764"/>
      <c r="U5703" s="764"/>
      <c r="V5703" s="764"/>
      <c r="W5703" s="764"/>
      <c r="X5703" s="764"/>
      <c r="Y5703" s="768"/>
      <c r="Z5703" s="762"/>
      <c r="AA5703" s="150"/>
      <c r="AB5703" s="150">
        <v>350</v>
      </c>
      <c r="AC5703" s="150">
        <v>2.3999999999999998E-3</v>
      </c>
      <c r="AD5703" s="150">
        <v>12.32</v>
      </c>
      <c r="AE5703" s="150">
        <v>0.73199999999999998</v>
      </c>
      <c r="AF5703" s="223">
        <f t="shared" si="40"/>
        <v>9.0182400000000005</v>
      </c>
      <c r="AG5703" s="223">
        <f t="shared" si="39"/>
        <v>0.74848307430274641</v>
      </c>
      <c r="AH5703" s="346"/>
      <c r="AI5703" s="427"/>
      <c r="AJ5703" s="480"/>
      <c r="AK5703" s="427"/>
      <c r="AU5703" s="218"/>
      <c r="AV5703" s="218"/>
      <c r="AW5703" s="218"/>
      <c r="AX5703" s="218"/>
      <c r="AY5703" s="218"/>
      <c r="AZ5703" s="427"/>
      <c r="BA5703" s="427"/>
      <c r="BB5703" s="427"/>
      <c r="BI5703" s="427"/>
      <c r="BJ5703" s="427"/>
      <c r="BK5703" s="427"/>
      <c r="BL5703" s="427"/>
      <c r="BM5703" s="427"/>
      <c r="BN5703" s="427"/>
      <c r="BO5703" s="427"/>
      <c r="BP5703" s="427"/>
      <c r="BQ5703" s="427"/>
      <c r="BR5703" s="427"/>
      <c r="BS5703" s="427"/>
      <c r="BT5703" s="427"/>
      <c r="BU5703" s="427"/>
      <c r="BV5703" s="427"/>
      <c r="BW5703" s="427"/>
      <c r="BX5703" s="427"/>
      <c r="BY5703" s="427"/>
      <c r="BZ5703" s="427"/>
    </row>
    <row r="5704" spans="1:80" s="152" customFormat="1" x14ac:dyDescent="0.2">
      <c r="B5704" s="683"/>
      <c r="C5704" s="683"/>
      <c r="D5704" s="698"/>
      <c r="E5704" s="215"/>
      <c r="F5704" s="215"/>
      <c r="G5704" s="427"/>
      <c r="H5704" s="427"/>
      <c r="I5704" s="427"/>
      <c r="J5704" s="427"/>
      <c r="K5704" s="427"/>
      <c r="L5704" s="653"/>
      <c r="M5704" s="666"/>
      <c r="N5704" s="600">
        <v>5.24</v>
      </c>
      <c r="O5704" s="608">
        <v>4.8159999999999994E-2</v>
      </c>
      <c r="P5704" s="782"/>
      <c r="Q5704" s="764"/>
      <c r="R5704" s="764"/>
      <c r="S5704" s="764"/>
      <c r="T5704" s="764"/>
      <c r="U5704" s="764"/>
      <c r="V5704" s="764"/>
      <c r="W5704" s="764"/>
      <c r="X5704" s="764"/>
      <c r="Y5704" s="768"/>
      <c r="Z5704" s="762"/>
      <c r="AA5704" s="150"/>
      <c r="AB5704" s="150">
        <v>351</v>
      </c>
      <c r="AC5704" s="150">
        <v>2.2000000000000001E-3</v>
      </c>
      <c r="AD5704" s="150">
        <v>12.04</v>
      </c>
      <c r="AE5704" s="150">
        <v>0.65500000000000003</v>
      </c>
      <c r="AF5704" s="223">
        <f t="shared" si="40"/>
        <v>7.8861999999999997</v>
      </c>
      <c r="AG5704" s="223">
        <f t="shared" si="39"/>
        <v>0.66445182724252494</v>
      </c>
      <c r="AH5704" s="346"/>
      <c r="AI5704" s="427"/>
      <c r="AJ5704" s="480"/>
      <c r="AK5704" s="427"/>
      <c r="AU5704" s="218"/>
      <c r="AV5704" s="218"/>
      <c r="AW5704" s="218"/>
      <c r="AX5704" s="218"/>
      <c r="AY5704" s="218"/>
      <c r="AZ5704" s="427"/>
      <c r="BA5704" s="427"/>
      <c r="BB5704" s="427"/>
      <c r="BI5704" s="427"/>
      <c r="BJ5704" s="427"/>
      <c r="BK5704" s="427"/>
      <c r="BL5704" s="427"/>
      <c r="BM5704" s="427"/>
      <c r="BN5704" s="427"/>
      <c r="BO5704" s="427"/>
      <c r="BP5704" s="427"/>
      <c r="BQ5704" s="427"/>
      <c r="BR5704" s="427"/>
      <c r="BS5704" s="427"/>
      <c r="BT5704" s="427"/>
      <c r="BU5704" s="427"/>
      <c r="BV5704" s="427"/>
      <c r="BW5704" s="427"/>
      <c r="BX5704" s="427"/>
      <c r="BY5704" s="427"/>
      <c r="BZ5704" s="427"/>
    </row>
    <row r="5705" spans="1:80" s="152" customFormat="1" x14ac:dyDescent="0.2">
      <c r="B5705" s="683"/>
      <c r="C5705" s="683"/>
      <c r="D5705" s="698"/>
      <c r="E5705" s="215"/>
      <c r="F5705" s="215"/>
      <c r="G5705" s="427"/>
      <c r="H5705" s="427"/>
      <c r="I5705" s="427"/>
      <c r="J5705" s="427"/>
      <c r="K5705" s="427"/>
      <c r="L5705" s="653"/>
      <c r="M5705" s="666"/>
      <c r="N5705" s="600">
        <v>21.15</v>
      </c>
      <c r="O5705" s="608">
        <v>3.1864500000000002</v>
      </c>
      <c r="P5705" s="782"/>
      <c r="Q5705" s="764"/>
      <c r="R5705" s="764"/>
      <c r="S5705" s="764"/>
      <c r="T5705" s="764"/>
      <c r="U5705" s="764"/>
      <c r="V5705" s="764"/>
      <c r="W5705" s="764"/>
      <c r="X5705" s="764"/>
      <c r="Y5705" s="768"/>
      <c r="Z5705" s="762"/>
      <c r="AA5705" s="150"/>
      <c r="AB5705" s="150">
        <v>352</v>
      </c>
      <c r="AC5705" s="150">
        <v>2.8E-3</v>
      </c>
      <c r="AD5705" s="150">
        <v>14.55</v>
      </c>
      <c r="AE5705" s="150">
        <v>1.202</v>
      </c>
      <c r="AF5705" s="223">
        <f t="shared" si="40"/>
        <v>17.489100000000001</v>
      </c>
      <c r="AG5705" s="223">
        <f t="shared" si="39"/>
        <v>1.209324665077105</v>
      </c>
      <c r="AH5705" s="346"/>
      <c r="AI5705" s="427"/>
      <c r="AJ5705" s="480"/>
      <c r="AK5705" s="427"/>
      <c r="AU5705" s="218"/>
      <c r="AV5705" s="218"/>
      <c r="AW5705" s="218"/>
      <c r="AX5705" s="218"/>
      <c r="AY5705" s="218"/>
      <c r="AZ5705" s="427"/>
      <c r="BA5705" s="427"/>
      <c r="BB5705" s="427"/>
      <c r="BI5705" s="427"/>
      <c r="BJ5705" s="427"/>
      <c r="BK5705" s="427"/>
      <c r="BL5705" s="427"/>
      <c r="BM5705" s="427"/>
      <c r="BN5705" s="427"/>
      <c r="BO5705" s="427"/>
      <c r="BP5705" s="427"/>
      <c r="BQ5705" s="427"/>
      <c r="BR5705" s="427"/>
      <c r="BS5705" s="427"/>
      <c r="BT5705" s="427"/>
      <c r="BU5705" s="427"/>
      <c r="BV5705" s="427"/>
      <c r="BW5705" s="427"/>
      <c r="BX5705" s="427"/>
      <c r="BY5705" s="427"/>
      <c r="BZ5705" s="427"/>
    </row>
    <row r="5706" spans="1:80" s="152" customFormat="1" x14ac:dyDescent="0.2">
      <c r="B5706" s="683"/>
      <c r="C5706" s="683"/>
      <c r="D5706" s="698"/>
      <c r="E5706" s="215"/>
      <c r="F5706" s="215"/>
      <c r="G5706" s="427"/>
      <c r="H5706" s="427"/>
      <c r="I5706" s="427"/>
      <c r="J5706" s="427"/>
      <c r="K5706" s="427"/>
      <c r="L5706" s="653"/>
      <c r="M5706" s="666"/>
      <c r="N5706" s="600">
        <v>17.25</v>
      </c>
      <c r="O5706" s="608">
        <v>3.2501700000000002</v>
      </c>
      <c r="P5706" s="782"/>
      <c r="Q5706" s="764"/>
      <c r="R5706" s="764"/>
      <c r="S5706" s="764"/>
      <c r="T5706" s="764"/>
      <c r="U5706" s="764"/>
      <c r="V5706" s="764"/>
      <c r="W5706" s="764"/>
      <c r="X5706" s="764"/>
      <c r="Y5706" s="768"/>
      <c r="Z5706" s="762"/>
      <c r="AA5706" s="150"/>
      <c r="AB5706" s="150">
        <v>353</v>
      </c>
      <c r="AC5706" s="150">
        <v>2.5999999999999999E-3</v>
      </c>
      <c r="AD5706" s="150">
        <v>14.07</v>
      </c>
      <c r="AE5706" s="150">
        <v>1.1000000000000001</v>
      </c>
      <c r="AF5706" s="223">
        <f t="shared" si="40"/>
        <v>15.477000000000002</v>
      </c>
      <c r="AG5706" s="223">
        <f t="shared" si="39"/>
        <v>1.1145570847063382</v>
      </c>
      <c r="AH5706" s="346"/>
      <c r="AI5706" s="427"/>
      <c r="AJ5706" s="480"/>
      <c r="AK5706" s="427"/>
      <c r="AU5706" s="218"/>
      <c r="AV5706" s="218"/>
      <c r="AW5706" s="218"/>
      <c r="AX5706" s="218"/>
      <c r="AY5706" s="218"/>
      <c r="AZ5706" s="427"/>
      <c r="BA5706" s="427"/>
      <c r="BB5706" s="427"/>
      <c r="BI5706" s="427"/>
      <c r="BJ5706" s="427"/>
      <c r="BK5706" s="427"/>
      <c r="BL5706" s="427"/>
      <c r="BM5706" s="427"/>
      <c r="BN5706" s="427"/>
      <c r="BO5706" s="427"/>
      <c r="BP5706" s="427"/>
      <c r="BQ5706" s="427"/>
      <c r="BR5706" s="427"/>
      <c r="BS5706" s="427"/>
      <c r="BT5706" s="427"/>
      <c r="BU5706" s="427"/>
      <c r="BV5706" s="427"/>
      <c r="BW5706" s="427"/>
      <c r="BX5706" s="427"/>
      <c r="BY5706" s="427"/>
      <c r="BZ5706" s="427"/>
    </row>
    <row r="5707" spans="1:80" s="152" customFormat="1" x14ac:dyDescent="0.2">
      <c r="B5707" s="683"/>
      <c r="C5707" s="683"/>
      <c r="D5707" s="698"/>
      <c r="E5707" s="215"/>
      <c r="F5707" s="215"/>
      <c r="G5707" s="427"/>
      <c r="H5707" s="427"/>
      <c r="I5707" s="427"/>
      <c r="J5707" s="427"/>
      <c r="K5707" s="427"/>
      <c r="L5707" s="653"/>
      <c r="M5707" s="666"/>
      <c r="N5707" s="600">
        <v>13.84</v>
      </c>
      <c r="O5707" s="608">
        <v>3.3777599999999999</v>
      </c>
      <c r="P5707" s="782"/>
      <c r="Q5707" s="764"/>
      <c r="R5707" s="764"/>
      <c r="S5707" s="764"/>
      <c r="T5707" s="764"/>
      <c r="U5707" s="764"/>
      <c r="V5707" s="764"/>
      <c r="W5707" s="764"/>
      <c r="X5707" s="764"/>
      <c r="Y5707" s="768"/>
      <c r="Z5707" s="762"/>
      <c r="AA5707" s="150"/>
      <c r="AB5707" s="150">
        <v>354</v>
      </c>
      <c r="AC5707" s="150">
        <v>2.3999999999999998E-3</v>
      </c>
      <c r="AD5707" s="150">
        <v>13.62</v>
      </c>
      <c r="AE5707" s="150">
        <v>1</v>
      </c>
      <c r="AF5707" s="223">
        <f t="shared" si="40"/>
        <v>13.62</v>
      </c>
      <c r="AG5707" s="223">
        <f t="shared" si="39"/>
        <v>1.0161527165932454</v>
      </c>
      <c r="AH5707" s="346"/>
      <c r="AI5707" s="427"/>
      <c r="AJ5707" s="480"/>
      <c r="AK5707" s="427"/>
      <c r="AU5707" s="218"/>
      <c r="AV5707" s="218"/>
      <c r="AW5707" s="218"/>
      <c r="AX5707" s="218"/>
      <c r="AY5707" s="218"/>
      <c r="AZ5707" s="427"/>
      <c r="BA5707" s="427"/>
      <c r="BB5707" s="427"/>
      <c r="BI5707" s="427"/>
      <c r="BJ5707" s="427"/>
      <c r="BK5707" s="427"/>
      <c r="BL5707" s="427"/>
      <c r="BM5707" s="427"/>
      <c r="BN5707" s="427"/>
      <c r="BO5707" s="427"/>
      <c r="BP5707" s="427"/>
      <c r="BQ5707" s="427"/>
      <c r="BR5707" s="427"/>
      <c r="BS5707" s="427"/>
      <c r="BT5707" s="427"/>
      <c r="BU5707" s="427"/>
      <c r="BV5707" s="427"/>
      <c r="BW5707" s="427"/>
      <c r="BX5707" s="427"/>
      <c r="BY5707" s="427"/>
      <c r="BZ5707" s="427"/>
    </row>
    <row r="5708" spans="1:80" s="152" customFormat="1" x14ac:dyDescent="0.2">
      <c r="B5708" s="683"/>
      <c r="C5708" s="683"/>
      <c r="D5708" s="698"/>
      <c r="E5708" s="215"/>
      <c r="F5708" s="215"/>
      <c r="G5708" s="427"/>
      <c r="H5708" s="427"/>
      <c r="I5708" s="427"/>
      <c r="J5708" s="427"/>
      <c r="K5708" s="427"/>
      <c r="L5708" s="653"/>
      <c r="M5708" s="666"/>
      <c r="N5708" s="600">
        <v>11.56</v>
      </c>
      <c r="O5708" s="608">
        <v>0.53754400000000002</v>
      </c>
      <c r="P5708" s="782"/>
      <c r="Q5708" s="764"/>
      <c r="R5708" s="764"/>
      <c r="S5708" s="764"/>
      <c r="T5708" s="764"/>
      <c r="U5708" s="764"/>
      <c r="V5708" s="764"/>
      <c r="W5708" s="764"/>
      <c r="X5708" s="764"/>
      <c r="Y5708" s="768"/>
      <c r="Z5708" s="762"/>
      <c r="AA5708" s="150"/>
      <c r="AB5708" s="150">
        <v>355</v>
      </c>
      <c r="AC5708" s="150">
        <v>2.3E-3</v>
      </c>
      <c r="AD5708" s="150">
        <v>13.24</v>
      </c>
      <c r="AE5708" s="150">
        <v>0.92400000000000004</v>
      </c>
      <c r="AF5708" s="223">
        <f t="shared" si="40"/>
        <v>12.23376</v>
      </c>
      <c r="AG5708" s="223">
        <f t="shared" si="39"/>
        <v>0.9449261715122742</v>
      </c>
      <c r="AH5708" s="346"/>
      <c r="AI5708" s="427"/>
      <c r="AJ5708" s="480"/>
      <c r="AK5708" s="427"/>
      <c r="AU5708" s="218"/>
      <c r="AV5708" s="218"/>
      <c r="AW5708" s="218"/>
      <c r="AX5708" s="218"/>
      <c r="AY5708" s="218"/>
      <c r="AZ5708" s="427"/>
      <c r="BA5708" s="427"/>
      <c r="BB5708" s="427"/>
      <c r="BI5708" s="427"/>
      <c r="BJ5708" s="427"/>
      <c r="BK5708" s="427"/>
      <c r="BL5708" s="427"/>
      <c r="BM5708" s="427"/>
      <c r="BN5708" s="427"/>
      <c r="BO5708" s="427"/>
      <c r="BP5708" s="427"/>
      <c r="BQ5708" s="427"/>
      <c r="BR5708" s="427"/>
      <c r="BS5708" s="427"/>
      <c r="BT5708" s="427"/>
      <c r="BU5708" s="427"/>
      <c r="BV5708" s="427"/>
      <c r="BW5708" s="427"/>
      <c r="BX5708" s="427"/>
      <c r="BY5708" s="427"/>
      <c r="BZ5708" s="427"/>
    </row>
    <row r="5709" spans="1:80" s="152" customFormat="1" x14ac:dyDescent="0.2">
      <c r="B5709" s="683"/>
      <c r="C5709" s="683"/>
      <c r="D5709" s="698"/>
      <c r="E5709" s="215"/>
      <c r="F5709" s="215"/>
      <c r="G5709" s="427"/>
      <c r="H5709" s="427"/>
      <c r="I5709" s="427"/>
      <c r="J5709" s="427"/>
      <c r="K5709" s="427"/>
      <c r="L5709" s="653"/>
      <c r="M5709" s="666"/>
      <c r="N5709" s="600">
        <v>9.31</v>
      </c>
      <c r="O5709" s="608">
        <v>0.46976000000000007</v>
      </c>
      <c r="P5709" s="782"/>
      <c r="Q5709" s="764"/>
      <c r="R5709" s="764"/>
      <c r="S5709" s="764"/>
      <c r="T5709" s="764"/>
      <c r="U5709" s="764"/>
      <c r="V5709" s="764"/>
      <c r="W5709" s="764"/>
      <c r="X5709" s="764"/>
      <c r="Y5709" s="768"/>
      <c r="Z5709" s="762"/>
      <c r="AA5709" s="150"/>
      <c r="AB5709" s="150">
        <v>356</v>
      </c>
      <c r="AC5709" s="150">
        <v>1.8E-3</v>
      </c>
      <c r="AD5709" s="150">
        <v>12.8</v>
      </c>
      <c r="AE5709" s="150">
        <v>0.84099999999999997</v>
      </c>
      <c r="AF5709" s="223">
        <f t="shared" si="40"/>
        <v>10.764800000000001</v>
      </c>
      <c r="AG5709" s="223">
        <f t="shared" si="39"/>
        <v>0.8648558263971462</v>
      </c>
      <c r="AH5709" s="346"/>
      <c r="AI5709" s="427"/>
      <c r="AJ5709" s="480"/>
      <c r="AK5709" s="427"/>
      <c r="AU5709" s="218"/>
      <c r="AV5709" s="218"/>
      <c r="AW5709" s="218"/>
      <c r="AX5709" s="218"/>
      <c r="AY5709" s="218"/>
      <c r="AZ5709" s="427"/>
      <c r="BA5709" s="427"/>
      <c r="BB5709" s="427"/>
      <c r="BI5709" s="427"/>
      <c r="BJ5709" s="427"/>
      <c r="BK5709" s="427"/>
      <c r="BL5709" s="427"/>
      <c r="BM5709" s="427"/>
      <c r="BN5709" s="427"/>
      <c r="BO5709" s="427"/>
      <c r="BP5709" s="427"/>
      <c r="BQ5709" s="427"/>
      <c r="BR5709" s="427"/>
      <c r="BS5709" s="427"/>
      <c r="BT5709" s="427"/>
      <c r="BU5709" s="427"/>
      <c r="BV5709" s="427"/>
      <c r="BW5709" s="427"/>
      <c r="BX5709" s="427"/>
      <c r="BY5709" s="427"/>
      <c r="BZ5709" s="427"/>
    </row>
    <row r="5710" spans="1:80" s="152" customFormat="1" x14ac:dyDescent="0.2">
      <c r="B5710" s="683"/>
      <c r="C5710" s="683"/>
      <c r="D5710" s="698"/>
      <c r="E5710" s="215"/>
      <c r="F5710" s="215"/>
      <c r="G5710" s="427"/>
      <c r="H5710" s="427"/>
      <c r="I5710" s="427"/>
      <c r="J5710" s="427"/>
      <c r="K5710" s="427"/>
      <c r="L5710" s="653"/>
      <c r="M5710" s="666"/>
      <c r="N5710" s="600">
        <v>7.55</v>
      </c>
      <c r="O5710" s="608">
        <v>6.9944000000000006E-2</v>
      </c>
      <c r="P5710" s="782"/>
      <c r="Q5710" s="764"/>
      <c r="R5710" s="764"/>
      <c r="S5710" s="764"/>
      <c r="T5710" s="764"/>
      <c r="U5710" s="764"/>
      <c r="V5710" s="764"/>
      <c r="W5710" s="764"/>
      <c r="X5710" s="764"/>
      <c r="Y5710" s="768"/>
      <c r="Z5710" s="762"/>
      <c r="AA5710" s="150"/>
      <c r="AB5710" s="150">
        <v>357</v>
      </c>
      <c r="AC5710" s="150">
        <v>1.9E-3</v>
      </c>
      <c r="AD5710" s="150">
        <v>12.49</v>
      </c>
      <c r="AE5710" s="150">
        <v>0.76800000000000002</v>
      </c>
      <c r="AF5710" s="223">
        <f t="shared" si="40"/>
        <v>9.5923200000000008</v>
      </c>
      <c r="AG5710" s="223">
        <f t="shared" si="39"/>
        <v>0.78708800373632226</v>
      </c>
      <c r="AH5710" s="346"/>
      <c r="AI5710" s="427"/>
      <c r="AJ5710" s="480"/>
      <c r="AK5710" s="427"/>
      <c r="AU5710" s="218"/>
      <c r="AV5710" s="218"/>
      <c r="AW5710" s="218"/>
      <c r="AX5710" s="218"/>
      <c r="AY5710" s="218"/>
      <c r="AZ5710" s="427"/>
      <c r="BA5710" s="427"/>
      <c r="BB5710" s="427"/>
      <c r="BI5710" s="427"/>
      <c r="BJ5710" s="427"/>
      <c r="BK5710" s="427"/>
      <c r="BL5710" s="427"/>
      <c r="BM5710" s="427"/>
      <c r="BN5710" s="427"/>
      <c r="BO5710" s="427"/>
      <c r="BP5710" s="427"/>
      <c r="BQ5710" s="427"/>
      <c r="BR5710" s="427"/>
      <c r="BS5710" s="427"/>
      <c r="BT5710" s="427"/>
      <c r="BU5710" s="427"/>
      <c r="BV5710" s="427"/>
      <c r="BW5710" s="427"/>
      <c r="BX5710" s="427"/>
      <c r="BY5710" s="427"/>
      <c r="BZ5710" s="427"/>
    </row>
    <row r="5711" spans="1:80" s="152" customFormat="1" ht="15" thickBot="1" x14ac:dyDescent="0.25">
      <c r="B5711" s="683"/>
      <c r="C5711" s="683"/>
      <c r="D5711" s="698"/>
      <c r="E5711" s="215"/>
      <c r="F5711" s="215"/>
      <c r="G5711" s="427"/>
      <c r="H5711" s="427"/>
      <c r="I5711" s="427"/>
      <c r="J5711" s="427"/>
      <c r="K5711" s="427"/>
      <c r="L5711" s="653"/>
      <c r="M5711" s="666"/>
      <c r="N5711" s="600">
        <v>6.37</v>
      </c>
      <c r="O5711" s="608">
        <v>4.6778E-2</v>
      </c>
      <c r="P5711" s="783"/>
      <c r="Q5711" s="784"/>
      <c r="R5711" s="784"/>
      <c r="S5711" s="784"/>
      <c r="T5711" s="784"/>
      <c r="U5711" s="784"/>
      <c r="V5711" s="784"/>
      <c r="W5711" s="784"/>
      <c r="X5711" s="784"/>
      <c r="Y5711" s="770"/>
      <c r="Z5711" s="762"/>
      <c r="AA5711" s="150"/>
      <c r="AB5711" s="150">
        <v>358</v>
      </c>
      <c r="AC5711" s="150">
        <v>2E-3</v>
      </c>
      <c r="AD5711" s="150">
        <v>12.31</v>
      </c>
      <c r="AE5711" s="150">
        <v>0.71299999999999997</v>
      </c>
      <c r="AF5711" s="223">
        <f t="shared" si="40"/>
        <v>8.7770299999999999</v>
      </c>
      <c r="AG5711" s="223">
        <f t="shared" si="39"/>
        <v>0.7257580297663333</v>
      </c>
      <c r="AH5711" s="346"/>
      <c r="AI5711" s="427"/>
      <c r="AJ5711" s="480"/>
      <c r="AK5711" s="427"/>
      <c r="AU5711" s="218"/>
      <c r="AV5711" s="218"/>
      <c r="AW5711" s="218"/>
      <c r="AX5711" s="218"/>
      <c r="AY5711" s="218"/>
      <c r="AZ5711" s="427"/>
      <c r="BA5711" s="427"/>
      <c r="BB5711" s="427"/>
      <c r="BI5711" s="427"/>
      <c r="BJ5711" s="427"/>
      <c r="BK5711" s="427"/>
      <c r="BL5711" s="427"/>
      <c r="BM5711" s="427"/>
      <c r="BN5711" s="427"/>
      <c r="BO5711" s="427"/>
      <c r="BP5711" s="427"/>
      <c r="BQ5711" s="427"/>
      <c r="BR5711" s="427"/>
      <c r="BS5711" s="427"/>
      <c r="BT5711" s="427"/>
      <c r="BU5711" s="427"/>
      <c r="BV5711" s="427"/>
      <c r="BW5711" s="427"/>
      <c r="BX5711" s="427"/>
      <c r="BY5711" s="427"/>
      <c r="BZ5711" s="427"/>
    </row>
    <row r="5712" spans="1:80" s="189" customFormat="1" ht="15.75" thickTop="1" x14ac:dyDescent="0.25">
      <c r="A5712" s="9" t="s">
        <v>519</v>
      </c>
      <c r="B5712" s="610" t="s">
        <v>551</v>
      </c>
      <c r="C5712" s="610"/>
      <c r="D5712" s="4">
        <f>VLOOKUP(E5712,'Quality Code'!D4:E24,2,TRUE)*VLOOKUP(MROUND(F5712,10),'Quality Code'!D28:E69,2,TRUE)*VLOOKUP(COUNTA(CB5712:CB5722),'Quality Code'!D73:E93,2,TRUE)</f>
        <v>1.575</v>
      </c>
      <c r="E5712" s="14">
        <v>0.45</v>
      </c>
      <c r="F5712" s="18">
        <v>74</v>
      </c>
      <c r="G5712" s="12">
        <v>19</v>
      </c>
      <c r="H5712" s="2"/>
      <c r="I5712" s="2"/>
      <c r="J5712" s="2"/>
      <c r="K5712" s="2"/>
      <c r="L5712" s="639"/>
      <c r="M5712" s="640"/>
      <c r="N5712" s="579"/>
      <c r="O5712" s="579"/>
      <c r="P5712" s="722"/>
      <c r="Q5712" s="722"/>
      <c r="R5712" s="722"/>
      <c r="S5712" s="722"/>
      <c r="T5712" s="722"/>
      <c r="U5712" s="722"/>
      <c r="V5712" s="722"/>
      <c r="W5712" s="722"/>
      <c r="X5712" s="722"/>
      <c r="Y5712" s="722"/>
      <c r="Z5712" s="11"/>
      <c r="AA5712" s="11"/>
      <c r="AB5712" s="11"/>
      <c r="AC5712" s="377">
        <v>8.8000000000000005E-3</v>
      </c>
      <c r="AD5712" s="26"/>
      <c r="AE5712" s="26"/>
      <c r="AF5712" s="26"/>
      <c r="AG5712" s="26"/>
      <c r="AH5712" s="330"/>
      <c r="AI5712" s="123">
        <v>10</v>
      </c>
      <c r="AJ5712" s="17"/>
      <c r="AK5712" s="161"/>
      <c r="AL5712" s="17"/>
      <c r="AM5712" s="17"/>
      <c r="AN5712" s="17"/>
      <c r="AO5712" s="17"/>
      <c r="AP5712" s="17"/>
      <c r="AQ5712" s="17"/>
      <c r="AR5712" s="17"/>
      <c r="AS5712" s="17"/>
      <c r="AT5712" s="17"/>
      <c r="AU5712" s="18">
        <v>6</v>
      </c>
      <c r="AV5712" s="17"/>
      <c r="AW5712" s="17"/>
      <c r="AX5712" s="17"/>
      <c r="AY5712" s="125" t="s">
        <v>517</v>
      </c>
      <c r="AZ5712" s="125" t="s">
        <v>404</v>
      </c>
      <c r="BA5712" s="125" t="s">
        <v>405</v>
      </c>
      <c r="BB5712" s="125" t="s">
        <v>518</v>
      </c>
      <c r="BC5712" s="125"/>
      <c r="BD5712" s="125"/>
      <c r="BE5712" s="125"/>
      <c r="BF5712" s="125"/>
      <c r="BG5712" s="125"/>
      <c r="BH5712" s="125"/>
      <c r="BI5712" s="4">
        <f>AU5712/AI5712</f>
        <v>0.6</v>
      </c>
      <c r="BJ5712" s="2"/>
      <c r="BK5712" s="2"/>
      <c r="BL5712" s="12"/>
      <c r="BM5712" s="12"/>
      <c r="BN5712" s="12">
        <v>3.5</v>
      </c>
      <c r="BO5712" s="12">
        <v>0.9</v>
      </c>
      <c r="BP5712" s="12">
        <f>BO5712*BN5712</f>
        <v>3.15</v>
      </c>
      <c r="BQ5712" s="12">
        <f>BN5712/BO5712</f>
        <v>3.8888888888888888</v>
      </c>
      <c r="BR5712" s="12"/>
      <c r="BS5712" s="12"/>
      <c r="BT5712" s="12"/>
      <c r="BU5712" s="2"/>
      <c r="BV5712" s="2"/>
      <c r="BW5712" s="2"/>
      <c r="BX5712" s="2"/>
      <c r="BY5712" s="2"/>
      <c r="BZ5712" s="2"/>
      <c r="CA5712" s="9"/>
      <c r="CB5712" s="122" t="s">
        <v>550</v>
      </c>
    </row>
    <row r="5713" spans="2:80" s="152" customFormat="1" ht="15" x14ac:dyDescent="0.25">
      <c r="B5713" s="683"/>
      <c r="C5713" s="683"/>
      <c r="D5713" s="698"/>
      <c r="E5713" s="215"/>
      <c r="F5713" s="215"/>
      <c r="G5713" s="427"/>
      <c r="H5713" s="427"/>
      <c r="I5713" s="427"/>
      <c r="J5713" s="427"/>
      <c r="K5713" s="427"/>
      <c r="L5713" s="653"/>
      <c r="M5713" s="666">
        <v>33451</v>
      </c>
      <c r="N5713" s="600">
        <v>3.7</v>
      </c>
      <c r="O5713" s="608">
        <v>12.914999999999999</v>
      </c>
      <c r="P5713" s="780"/>
      <c r="Q5713" s="781"/>
      <c r="R5713" s="781"/>
      <c r="S5713" s="781"/>
      <c r="T5713" s="781"/>
      <c r="U5713" s="781"/>
      <c r="V5713" s="781"/>
      <c r="W5713" s="781"/>
      <c r="X5713" s="781"/>
      <c r="Y5713" s="766"/>
      <c r="Z5713" s="762"/>
      <c r="AA5713" s="150"/>
      <c r="AB5713" s="150">
        <v>1</v>
      </c>
      <c r="AC5713" s="150">
        <v>7.0000000000000001E-3</v>
      </c>
      <c r="AD5713" s="150">
        <v>3.5</v>
      </c>
      <c r="AE5713" s="223">
        <v>0.46</v>
      </c>
      <c r="AF5713" s="223">
        <f>AE5713*AD5713</f>
        <v>1.61</v>
      </c>
      <c r="AG5713" s="223">
        <f t="shared" ref="AG5713:AG5744" si="41">N5713/AF5713</f>
        <v>2.298136645962733</v>
      </c>
      <c r="AH5713" s="346"/>
      <c r="AI5713" s="427"/>
      <c r="AJ5713" s="480"/>
      <c r="AK5713" s="427"/>
      <c r="AU5713" s="218"/>
      <c r="AV5713" s="218"/>
      <c r="AW5713" s="218"/>
      <c r="AX5713" s="218"/>
      <c r="AY5713" s="157">
        <v>2</v>
      </c>
      <c r="AZ5713" s="155">
        <v>6</v>
      </c>
      <c r="BA5713" s="155">
        <v>13</v>
      </c>
      <c r="BB5713" s="155">
        <v>17</v>
      </c>
      <c r="BI5713" s="427"/>
      <c r="BJ5713" s="427"/>
      <c r="BK5713" s="427"/>
      <c r="BL5713" s="427"/>
      <c r="BM5713" s="427"/>
      <c r="BN5713" s="427"/>
      <c r="BO5713" s="427"/>
      <c r="BP5713" s="427"/>
      <c r="BQ5713" s="427"/>
      <c r="BR5713" s="427"/>
      <c r="BS5713" s="427"/>
      <c r="BT5713" s="427"/>
      <c r="BU5713" s="427"/>
      <c r="BV5713" s="427"/>
      <c r="BW5713" s="427"/>
      <c r="BX5713" s="427"/>
      <c r="BY5713" s="427"/>
      <c r="BZ5713" s="427"/>
      <c r="CB5713" s="152" t="s">
        <v>569</v>
      </c>
    </row>
    <row r="5714" spans="2:80" s="152" customFormat="1" x14ac:dyDescent="0.2">
      <c r="B5714" s="683"/>
      <c r="C5714" s="683"/>
      <c r="D5714" s="698"/>
      <c r="E5714" s="215"/>
      <c r="F5714" s="215"/>
      <c r="G5714" s="427"/>
      <c r="H5714" s="427"/>
      <c r="I5714" s="427"/>
      <c r="J5714" s="427"/>
      <c r="K5714" s="427"/>
      <c r="L5714" s="653"/>
      <c r="M5714" s="666">
        <v>33451</v>
      </c>
      <c r="N5714" s="600">
        <v>4.0999999999999996</v>
      </c>
      <c r="O5714" s="608">
        <v>16.310000000000002</v>
      </c>
      <c r="P5714" s="782"/>
      <c r="Q5714" s="764"/>
      <c r="R5714" s="764"/>
      <c r="S5714" s="764"/>
      <c r="T5714" s="764"/>
      <c r="U5714" s="764"/>
      <c r="V5714" s="764"/>
      <c r="W5714" s="764"/>
      <c r="X5714" s="764"/>
      <c r="Y5714" s="768"/>
      <c r="Z5714" s="762"/>
      <c r="AA5714" s="150"/>
      <c r="AB5714" s="150">
        <v>2</v>
      </c>
      <c r="AC5714" s="150">
        <v>7.1000000000000004E-3</v>
      </c>
      <c r="AD5714" s="150">
        <v>3.5</v>
      </c>
      <c r="AE5714" s="223">
        <v>0.5</v>
      </c>
      <c r="AF5714" s="223">
        <f t="shared" ref="AF5714:AF5777" si="42">AE5714*AD5714</f>
        <v>1.75</v>
      </c>
      <c r="AG5714" s="223">
        <f t="shared" si="41"/>
        <v>2.3428571428571425</v>
      </c>
      <c r="AH5714" s="346"/>
      <c r="AI5714" s="427"/>
      <c r="AJ5714" s="480"/>
      <c r="AK5714" s="427"/>
      <c r="AU5714" s="218"/>
      <c r="AV5714" s="218"/>
      <c r="AW5714" s="218"/>
      <c r="AX5714" s="218"/>
      <c r="AY5714" s="218"/>
      <c r="BI5714" s="427"/>
      <c r="BJ5714" s="427"/>
      <c r="BK5714" s="427"/>
      <c r="BL5714" s="427"/>
      <c r="BM5714" s="427"/>
      <c r="BN5714" s="427"/>
      <c r="BO5714" s="427"/>
      <c r="BP5714" s="427"/>
      <c r="BQ5714" s="427"/>
      <c r="BR5714" s="427"/>
      <c r="BS5714" s="427"/>
      <c r="BT5714" s="427"/>
      <c r="BU5714" s="427"/>
      <c r="BV5714" s="427"/>
      <c r="BW5714" s="427"/>
      <c r="BX5714" s="427"/>
      <c r="BY5714" s="427"/>
      <c r="BZ5714" s="427"/>
      <c r="CB5714" s="152" t="s">
        <v>570</v>
      </c>
    </row>
    <row r="5715" spans="2:80" s="152" customFormat="1" x14ac:dyDescent="0.2">
      <c r="B5715" s="683"/>
      <c r="C5715" s="683"/>
      <c r="D5715" s="698"/>
      <c r="E5715" s="215"/>
      <c r="F5715" s="215"/>
      <c r="G5715" s="427"/>
      <c r="H5715" s="427"/>
      <c r="I5715" s="427"/>
      <c r="J5715" s="427"/>
      <c r="K5715" s="427"/>
      <c r="L5715" s="653"/>
      <c r="M5715" s="666">
        <v>33451</v>
      </c>
      <c r="N5715" s="600">
        <v>4.8</v>
      </c>
      <c r="O5715" s="608">
        <v>11.795</v>
      </c>
      <c r="P5715" s="782"/>
      <c r="Q5715" s="764"/>
      <c r="R5715" s="764"/>
      <c r="S5715" s="764"/>
      <c r="T5715" s="764"/>
      <c r="U5715" s="764"/>
      <c r="V5715" s="764"/>
      <c r="W5715" s="764"/>
      <c r="X5715" s="764"/>
      <c r="Y5715" s="768"/>
      <c r="Z5715" s="762"/>
      <c r="AA5715" s="150"/>
      <c r="AB5715" s="150">
        <v>3</v>
      </c>
      <c r="AC5715" s="150">
        <v>7.1999999999999998E-3</v>
      </c>
      <c r="AD5715" s="150">
        <v>3.5</v>
      </c>
      <c r="AE5715" s="223">
        <v>0.57999999999999996</v>
      </c>
      <c r="AF5715" s="223">
        <f t="shared" si="42"/>
        <v>2.0299999999999998</v>
      </c>
      <c r="AG5715" s="223">
        <f t="shared" si="41"/>
        <v>2.3645320197044337</v>
      </c>
      <c r="AH5715" s="346"/>
      <c r="AI5715" s="427"/>
      <c r="AJ5715" s="480"/>
      <c r="AK5715" s="427"/>
      <c r="AU5715" s="218"/>
      <c r="AV5715" s="218"/>
      <c r="AW5715" s="218"/>
      <c r="AX5715" s="218"/>
      <c r="AY5715" s="218"/>
      <c r="BI5715" s="427"/>
      <c r="BJ5715" s="427"/>
      <c r="BK5715" s="427"/>
      <c r="BL5715" s="427"/>
      <c r="BM5715" s="427"/>
      <c r="BN5715" s="427"/>
      <c r="BO5715" s="427"/>
      <c r="BP5715" s="427"/>
      <c r="BQ5715" s="427"/>
      <c r="BR5715" s="427"/>
      <c r="BS5715" s="427"/>
      <c r="BT5715" s="427"/>
      <c r="BU5715" s="427"/>
      <c r="BV5715" s="427"/>
      <c r="BW5715" s="427"/>
      <c r="BX5715" s="427"/>
      <c r="BY5715" s="427"/>
      <c r="BZ5715" s="427"/>
    </row>
    <row r="5716" spans="2:80" s="152" customFormat="1" x14ac:dyDescent="0.2">
      <c r="B5716" s="683"/>
      <c r="C5716" s="683"/>
      <c r="D5716" s="698"/>
      <c r="E5716" s="215"/>
      <c r="F5716" s="215"/>
      <c r="G5716" s="427"/>
      <c r="H5716" s="427"/>
      <c r="I5716" s="427"/>
      <c r="J5716" s="427"/>
      <c r="K5716" s="427"/>
      <c r="L5716" s="653"/>
      <c r="M5716" s="666">
        <v>33451</v>
      </c>
      <c r="N5716" s="600">
        <v>5</v>
      </c>
      <c r="O5716" s="608">
        <v>15.89</v>
      </c>
      <c r="P5716" s="782"/>
      <c r="Q5716" s="764"/>
      <c r="R5716" s="764"/>
      <c r="S5716" s="764"/>
      <c r="T5716" s="764"/>
      <c r="U5716" s="764"/>
      <c r="V5716" s="764"/>
      <c r="W5716" s="764"/>
      <c r="X5716" s="764"/>
      <c r="Y5716" s="768"/>
      <c r="Z5716" s="762"/>
      <c r="AA5716" s="150"/>
      <c r="AB5716" s="150">
        <v>4</v>
      </c>
      <c r="AC5716" s="150">
        <v>7.3000000000000001E-3</v>
      </c>
      <c r="AD5716" s="150">
        <v>3.5</v>
      </c>
      <c r="AE5716" s="223">
        <v>0.6</v>
      </c>
      <c r="AF5716" s="223">
        <f t="shared" si="42"/>
        <v>2.1</v>
      </c>
      <c r="AG5716" s="223">
        <f t="shared" si="41"/>
        <v>2.3809523809523809</v>
      </c>
      <c r="AH5716" s="346"/>
      <c r="AI5716" s="427"/>
      <c r="AJ5716" s="480"/>
      <c r="AK5716" s="427"/>
      <c r="AU5716" s="218"/>
      <c r="AV5716" s="218"/>
      <c r="AW5716" s="218"/>
      <c r="AX5716" s="218"/>
      <c r="AY5716" s="218"/>
      <c r="BI5716" s="427"/>
      <c r="BJ5716" s="427"/>
      <c r="BK5716" s="427"/>
      <c r="BL5716" s="427"/>
      <c r="BM5716" s="427"/>
      <c r="BN5716" s="427"/>
      <c r="BO5716" s="427"/>
      <c r="BP5716" s="427"/>
      <c r="BQ5716" s="427"/>
      <c r="BR5716" s="427"/>
      <c r="BS5716" s="427"/>
      <c r="BT5716" s="427"/>
      <c r="BU5716" s="427"/>
      <c r="BV5716" s="427"/>
      <c r="BW5716" s="427"/>
      <c r="BX5716" s="427"/>
      <c r="BY5716" s="427"/>
      <c r="BZ5716" s="427"/>
    </row>
    <row r="5717" spans="2:80" s="152" customFormat="1" x14ac:dyDescent="0.2">
      <c r="B5717" s="683"/>
      <c r="C5717" s="683"/>
      <c r="D5717" s="698"/>
      <c r="E5717" s="215"/>
      <c r="F5717" s="215"/>
      <c r="G5717" s="427"/>
      <c r="H5717" s="427"/>
      <c r="I5717" s="427"/>
      <c r="J5717" s="427"/>
      <c r="K5717" s="427"/>
      <c r="L5717" s="653"/>
      <c r="M5717" s="666">
        <v>33451</v>
      </c>
      <c r="N5717" s="600">
        <v>5</v>
      </c>
      <c r="O5717" s="608">
        <v>22.12</v>
      </c>
      <c r="P5717" s="782"/>
      <c r="Q5717" s="764"/>
      <c r="R5717" s="764"/>
      <c r="S5717" s="764"/>
      <c r="T5717" s="764"/>
      <c r="U5717" s="764"/>
      <c r="V5717" s="764"/>
      <c r="W5717" s="764"/>
      <c r="X5717" s="764"/>
      <c r="Y5717" s="768"/>
      <c r="Z5717" s="762"/>
      <c r="AA5717" s="150"/>
      <c r="AB5717" s="150">
        <v>5</v>
      </c>
      <c r="AC5717" s="150">
        <v>7.4999999999999997E-3</v>
      </c>
      <c r="AD5717" s="150">
        <v>3.5</v>
      </c>
      <c r="AE5717" s="223">
        <v>0.6</v>
      </c>
      <c r="AF5717" s="223">
        <f t="shared" si="42"/>
        <v>2.1</v>
      </c>
      <c r="AG5717" s="223">
        <f t="shared" si="41"/>
        <v>2.3809523809523809</v>
      </c>
      <c r="AH5717" s="346"/>
      <c r="AI5717" s="427"/>
      <c r="AJ5717" s="480"/>
      <c r="AK5717" s="427"/>
      <c r="AU5717" s="218"/>
      <c r="AV5717" s="218"/>
      <c r="AW5717" s="218"/>
      <c r="AX5717" s="218"/>
      <c r="AY5717" s="218"/>
      <c r="BI5717" s="427"/>
      <c r="BJ5717" s="427"/>
      <c r="BK5717" s="427"/>
      <c r="BL5717" s="427"/>
      <c r="BM5717" s="427"/>
      <c r="BN5717" s="427"/>
      <c r="BO5717" s="427"/>
      <c r="BP5717" s="427"/>
      <c r="BQ5717" s="427"/>
      <c r="BR5717" s="427"/>
      <c r="BS5717" s="427"/>
      <c r="BT5717" s="427"/>
      <c r="BU5717" s="427"/>
      <c r="BV5717" s="427"/>
      <c r="BW5717" s="427"/>
      <c r="BX5717" s="427"/>
      <c r="BY5717" s="427"/>
      <c r="BZ5717" s="427"/>
    </row>
    <row r="5718" spans="2:80" s="152" customFormat="1" x14ac:dyDescent="0.2">
      <c r="B5718" s="683"/>
      <c r="C5718" s="683"/>
      <c r="D5718" s="698"/>
      <c r="E5718" s="215"/>
      <c r="F5718" s="215"/>
      <c r="G5718" s="427"/>
      <c r="H5718" s="427"/>
      <c r="I5718" s="427"/>
      <c r="J5718" s="427"/>
      <c r="K5718" s="427"/>
      <c r="L5718" s="653"/>
      <c r="M5718" s="666">
        <v>33451</v>
      </c>
      <c r="N5718" s="600">
        <v>4.9000000000000004</v>
      </c>
      <c r="O5718" s="608">
        <v>18.655000000000001</v>
      </c>
      <c r="P5718" s="782"/>
      <c r="Q5718" s="764"/>
      <c r="R5718" s="764"/>
      <c r="S5718" s="764"/>
      <c r="T5718" s="764"/>
      <c r="U5718" s="764"/>
      <c r="V5718" s="764"/>
      <c r="W5718" s="764"/>
      <c r="X5718" s="764"/>
      <c r="Y5718" s="768"/>
      <c r="Z5718" s="762"/>
      <c r="AA5718" s="150"/>
      <c r="AB5718" s="150">
        <v>6</v>
      </c>
      <c r="AC5718" s="150">
        <v>7.4999999999999997E-3</v>
      </c>
      <c r="AD5718" s="150">
        <v>3.5</v>
      </c>
      <c r="AE5718" s="223">
        <v>0.59</v>
      </c>
      <c r="AF5718" s="223">
        <f t="shared" si="42"/>
        <v>2.0649999999999999</v>
      </c>
      <c r="AG5718" s="223">
        <f t="shared" si="41"/>
        <v>2.3728813559322037</v>
      </c>
      <c r="AH5718" s="346"/>
      <c r="AI5718" s="427"/>
      <c r="AJ5718" s="480"/>
      <c r="AK5718" s="427"/>
      <c r="AU5718" s="218"/>
      <c r="AV5718" s="218"/>
      <c r="AW5718" s="218"/>
      <c r="AX5718" s="218"/>
      <c r="AY5718" s="218"/>
      <c r="BI5718" s="427"/>
      <c r="BJ5718" s="427"/>
      <c r="BK5718" s="427"/>
      <c r="BL5718" s="427"/>
      <c r="BM5718" s="427"/>
      <c r="BN5718" s="427"/>
      <c r="BO5718" s="427"/>
      <c r="BP5718" s="427"/>
      <c r="BQ5718" s="427"/>
      <c r="BR5718" s="427"/>
      <c r="BS5718" s="427"/>
      <c r="BT5718" s="427"/>
      <c r="BU5718" s="427"/>
      <c r="BV5718" s="427"/>
      <c r="BW5718" s="427"/>
      <c r="BX5718" s="427"/>
      <c r="BY5718" s="427"/>
      <c r="BZ5718" s="427"/>
    </row>
    <row r="5719" spans="2:80" s="152" customFormat="1" x14ac:dyDescent="0.2">
      <c r="B5719" s="683"/>
      <c r="C5719" s="683"/>
      <c r="D5719" s="698"/>
      <c r="E5719" s="215"/>
      <c r="F5719" s="215"/>
      <c r="G5719" s="427"/>
      <c r="H5719" s="427"/>
      <c r="I5719" s="427"/>
      <c r="J5719" s="427"/>
      <c r="K5719" s="427"/>
      <c r="L5719" s="653"/>
      <c r="M5719" s="666">
        <v>33451</v>
      </c>
      <c r="N5719" s="600">
        <v>5</v>
      </c>
      <c r="O5719" s="608">
        <v>22.155000000000001</v>
      </c>
      <c r="P5719" s="782"/>
      <c r="Q5719" s="764"/>
      <c r="R5719" s="764"/>
      <c r="S5719" s="764"/>
      <c r="T5719" s="764"/>
      <c r="U5719" s="764"/>
      <c r="V5719" s="764"/>
      <c r="W5719" s="764"/>
      <c r="X5719" s="764"/>
      <c r="Y5719" s="768"/>
      <c r="Z5719" s="762"/>
      <c r="AA5719" s="150"/>
      <c r="AB5719" s="150">
        <v>7</v>
      </c>
      <c r="AC5719" s="150">
        <v>7.4000000000000003E-3</v>
      </c>
      <c r="AD5719" s="150">
        <v>3.5</v>
      </c>
      <c r="AE5719" s="223">
        <v>0.6</v>
      </c>
      <c r="AF5719" s="223">
        <f t="shared" si="42"/>
        <v>2.1</v>
      </c>
      <c r="AG5719" s="223">
        <f t="shared" si="41"/>
        <v>2.3809523809523809</v>
      </c>
      <c r="AH5719" s="346"/>
      <c r="AI5719" s="427"/>
      <c r="AJ5719" s="480"/>
      <c r="AK5719" s="427"/>
      <c r="AU5719" s="218"/>
      <c r="AV5719" s="218"/>
      <c r="AW5719" s="218"/>
      <c r="AX5719" s="218"/>
      <c r="AY5719" s="218"/>
      <c r="BI5719" s="427"/>
      <c r="BJ5719" s="427"/>
      <c r="BK5719" s="427"/>
      <c r="BL5719" s="427"/>
      <c r="BM5719" s="427"/>
      <c r="BN5719" s="427"/>
      <c r="BO5719" s="427"/>
      <c r="BP5719" s="427"/>
      <c r="BQ5719" s="427"/>
      <c r="BR5719" s="427"/>
      <c r="BS5719" s="427"/>
      <c r="BT5719" s="427"/>
      <c r="BU5719" s="427"/>
      <c r="BV5719" s="427"/>
      <c r="BW5719" s="427"/>
      <c r="BX5719" s="427"/>
      <c r="BY5719" s="427"/>
      <c r="BZ5719" s="427"/>
    </row>
    <row r="5720" spans="2:80" s="152" customFormat="1" x14ac:dyDescent="0.2">
      <c r="B5720" s="683"/>
      <c r="C5720" s="683"/>
      <c r="D5720" s="698"/>
      <c r="E5720" s="215"/>
      <c r="F5720" s="215"/>
      <c r="G5720" s="427"/>
      <c r="H5720" s="427"/>
      <c r="I5720" s="427"/>
      <c r="J5720" s="427"/>
      <c r="K5720" s="427"/>
      <c r="L5720" s="653"/>
      <c r="M5720" s="666">
        <v>33451</v>
      </c>
      <c r="N5720" s="600">
        <v>4.9000000000000004</v>
      </c>
      <c r="O5720" s="608">
        <v>24.675000000000001</v>
      </c>
      <c r="P5720" s="782"/>
      <c r="Q5720" s="764"/>
      <c r="R5720" s="764"/>
      <c r="S5720" s="764"/>
      <c r="T5720" s="764"/>
      <c r="U5720" s="764"/>
      <c r="V5720" s="764"/>
      <c r="W5720" s="764"/>
      <c r="X5720" s="764"/>
      <c r="Y5720" s="768"/>
      <c r="Z5720" s="762"/>
      <c r="AA5720" s="150"/>
      <c r="AB5720" s="150">
        <v>8</v>
      </c>
      <c r="AC5720" s="150">
        <v>7.6E-3</v>
      </c>
      <c r="AD5720" s="150">
        <v>3.5</v>
      </c>
      <c r="AE5720" s="223">
        <v>0.59</v>
      </c>
      <c r="AF5720" s="223">
        <f t="shared" si="42"/>
        <v>2.0649999999999999</v>
      </c>
      <c r="AG5720" s="223">
        <f t="shared" si="41"/>
        <v>2.3728813559322037</v>
      </c>
      <c r="AH5720" s="346"/>
      <c r="AI5720" s="427"/>
      <c r="AJ5720" s="480"/>
      <c r="AK5720" s="427"/>
      <c r="AU5720" s="218"/>
      <c r="AV5720" s="218"/>
      <c r="AW5720" s="218"/>
      <c r="AX5720" s="218"/>
      <c r="AY5720" s="218"/>
      <c r="BI5720" s="427"/>
      <c r="BJ5720" s="427"/>
      <c r="BK5720" s="427"/>
      <c r="BL5720" s="427"/>
      <c r="BM5720" s="427"/>
      <c r="BN5720" s="427"/>
      <c r="BO5720" s="427"/>
      <c r="BP5720" s="427"/>
      <c r="BQ5720" s="427"/>
      <c r="BR5720" s="427"/>
      <c r="BS5720" s="427"/>
      <c r="BT5720" s="427"/>
      <c r="BU5720" s="427"/>
      <c r="BV5720" s="427"/>
      <c r="BW5720" s="427"/>
      <c r="BX5720" s="427"/>
      <c r="BY5720" s="427"/>
      <c r="BZ5720" s="427"/>
    </row>
    <row r="5721" spans="2:80" s="152" customFormat="1" x14ac:dyDescent="0.2">
      <c r="B5721" s="683"/>
      <c r="C5721" s="683"/>
      <c r="D5721" s="698"/>
      <c r="E5721" s="215"/>
      <c r="F5721" s="215"/>
      <c r="G5721" s="427"/>
      <c r="H5721" s="427"/>
      <c r="I5721" s="427"/>
      <c r="J5721" s="427"/>
      <c r="K5721" s="427"/>
      <c r="L5721" s="653"/>
      <c r="M5721" s="666">
        <v>33451</v>
      </c>
      <c r="N5721" s="600">
        <v>4.9000000000000004</v>
      </c>
      <c r="O5721" s="608">
        <v>23.17</v>
      </c>
      <c r="P5721" s="782"/>
      <c r="Q5721" s="764"/>
      <c r="R5721" s="764"/>
      <c r="S5721" s="764"/>
      <c r="T5721" s="764"/>
      <c r="U5721" s="764"/>
      <c r="V5721" s="764"/>
      <c r="W5721" s="764"/>
      <c r="X5721" s="764"/>
      <c r="Y5721" s="768"/>
      <c r="Z5721" s="762"/>
      <c r="AA5721" s="150"/>
      <c r="AB5721" s="150">
        <v>9</v>
      </c>
      <c r="AC5721" s="150">
        <v>7.7000000000000002E-3</v>
      </c>
      <c r="AD5721" s="150">
        <v>3.5</v>
      </c>
      <c r="AE5721" s="223">
        <v>0.59</v>
      </c>
      <c r="AF5721" s="223">
        <f t="shared" si="42"/>
        <v>2.0649999999999999</v>
      </c>
      <c r="AG5721" s="223">
        <f t="shared" si="41"/>
        <v>2.3728813559322037</v>
      </c>
      <c r="AH5721" s="346"/>
      <c r="AI5721" s="427"/>
      <c r="AJ5721" s="480"/>
      <c r="AK5721" s="427"/>
      <c r="AU5721" s="218"/>
      <c r="AV5721" s="218"/>
      <c r="AW5721" s="218"/>
      <c r="AX5721" s="218"/>
      <c r="AY5721" s="218"/>
      <c r="BI5721" s="427"/>
      <c r="BJ5721" s="427"/>
      <c r="BK5721" s="427"/>
      <c r="BL5721" s="427"/>
      <c r="BM5721" s="427"/>
      <c r="BN5721" s="427"/>
      <c r="BO5721" s="427"/>
      <c r="BP5721" s="427"/>
      <c r="BQ5721" s="427"/>
      <c r="BR5721" s="427"/>
      <c r="BS5721" s="427"/>
      <c r="BT5721" s="427"/>
      <c r="BU5721" s="427"/>
      <c r="BV5721" s="427"/>
      <c r="BW5721" s="427"/>
      <c r="BX5721" s="427"/>
      <c r="BY5721" s="427"/>
      <c r="BZ5721" s="427"/>
    </row>
    <row r="5722" spans="2:80" s="152" customFormat="1" x14ac:dyDescent="0.2">
      <c r="B5722" s="683"/>
      <c r="C5722" s="683"/>
      <c r="D5722" s="698"/>
      <c r="E5722" s="215"/>
      <c r="F5722" s="215"/>
      <c r="G5722" s="427"/>
      <c r="H5722" s="427"/>
      <c r="I5722" s="427"/>
      <c r="J5722" s="427"/>
      <c r="K5722" s="427"/>
      <c r="L5722" s="653"/>
      <c r="M5722" s="666">
        <v>33452</v>
      </c>
      <c r="N5722" s="600">
        <v>1.2</v>
      </c>
      <c r="O5722" s="608">
        <v>3.22</v>
      </c>
      <c r="P5722" s="782"/>
      <c r="Q5722" s="764"/>
      <c r="R5722" s="764"/>
      <c r="S5722" s="764"/>
      <c r="T5722" s="764"/>
      <c r="U5722" s="764"/>
      <c r="V5722" s="764"/>
      <c r="W5722" s="764"/>
      <c r="X5722" s="764"/>
      <c r="Y5722" s="768"/>
      <c r="Z5722" s="762"/>
      <c r="AA5722" s="150"/>
      <c r="AB5722" s="150">
        <v>10</v>
      </c>
      <c r="AC5722" s="150">
        <v>8.3999999999999995E-3</v>
      </c>
      <c r="AD5722" s="150">
        <v>3.5</v>
      </c>
      <c r="AE5722" s="223">
        <v>0.2</v>
      </c>
      <c r="AF5722" s="223">
        <f t="shared" si="42"/>
        <v>0.70000000000000007</v>
      </c>
      <c r="AG5722" s="223">
        <f t="shared" si="41"/>
        <v>1.714285714285714</v>
      </c>
      <c r="AH5722" s="346"/>
      <c r="AI5722" s="427"/>
      <c r="AJ5722" s="480"/>
      <c r="AK5722" s="427"/>
      <c r="AU5722" s="218"/>
      <c r="AV5722" s="218"/>
      <c r="AW5722" s="218"/>
      <c r="AX5722" s="218"/>
      <c r="AY5722" s="218"/>
      <c r="BI5722" s="427"/>
      <c r="BJ5722" s="427"/>
      <c r="BK5722" s="427"/>
      <c r="BL5722" s="427"/>
      <c r="BM5722" s="427"/>
      <c r="BN5722" s="427"/>
      <c r="BO5722" s="427"/>
      <c r="BP5722" s="427"/>
      <c r="BQ5722" s="427"/>
      <c r="BR5722" s="427"/>
      <c r="BS5722" s="427"/>
      <c r="BT5722" s="427"/>
      <c r="BU5722" s="427"/>
      <c r="BV5722" s="427"/>
      <c r="BW5722" s="427"/>
      <c r="BX5722" s="427"/>
      <c r="BY5722" s="427"/>
      <c r="BZ5722" s="427"/>
    </row>
    <row r="5723" spans="2:80" s="152" customFormat="1" x14ac:dyDescent="0.2">
      <c r="B5723" s="683"/>
      <c r="C5723" s="683"/>
      <c r="D5723" s="698"/>
      <c r="E5723" s="215"/>
      <c r="F5723" s="215"/>
      <c r="G5723" s="427"/>
      <c r="H5723" s="427"/>
      <c r="I5723" s="427"/>
      <c r="J5723" s="427"/>
      <c r="K5723" s="427"/>
      <c r="L5723" s="653"/>
      <c r="M5723" s="666">
        <v>33452</v>
      </c>
      <c r="N5723" s="600">
        <v>1.2</v>
      </c>
      <c r="O5723" s="608">
        <v>2.835</v>
      </c>
      <c r="P5723" s="782"/>
      <c r="Q5723" s="764"/>
      <c r="R5723" s="764"/>
      <c r="S5723" s="764"/>
      <c r="T5723" s="764"/>
      <c r="U5723" s="764"/>
      <c r="V5723" s="764"/>
      <c r="W5723" s="764"/>
      <c r="X5723" s="764"/>
      <c r="Y5723" s="768"/>
      <c r="Z5723" s="762"/>
      <c r="AA5723" s="150"/>
      <c r="AB5723" s="150">
        <v>11</v>
      </c>
      <c r="AC5723" s="150">
        <v>8.5000000000000006E-3</v>
      </c>
      <c r="AD5723" s="150">
        <v>3.5</v>
      </c>
      <c r="AE5723" s="223">
        <v>0.2</v>
      </c>
      <c r="AF5723" s="223">
        <f t="shared" si="42"/>
        <v>0.70000000000000007</v>
      </c>
      <c r="AG5723" s="223">
        <f t="shared" si="41"/>
        <v>1.714285714285714</v>
      </c>
      <c r="AH5723" s="346"/>
      <c r="AI5723" s="427"/>
      <c r="AJ5723" s="480"/>
      <c r="AK5723" s="427"/>
      <c r="AU5723" s="218"/>
      <c r="AV5723" s="218"/>
      <c r="AW5723" s="218"/>
      <c r="AX5723" s="218"/>
      <c r="AY5723" s="218"/>
      <c r="BI5723" s="427"/>
      <c r="BJ5723" s="427"/>
      <c r="BK5723" s="427"/>
      <c r="BL5723" s="427"/>
      <c r="BM5723" s="427"/>
      <c r="BN5723" s="427"/>
      <c r="BO5723" s="427"/>
      <c r="BP5723" s="427"/>
      <c r="BQ5723" s="427"/>
      <c r="BR5723" s="427"/>
      <c r="BS5723" s="427"/>
      <c r="BT5723" s="427"/>
      <c r="BU5723" s="427"/>
      <c r="BV5723" s="427"/>
      <c r="BW5723" s="427"/>
      <c r="BX5723" s="427"/>
      <c r="BY5723" s="427"/>
      <c r="BZ5723" s="427"/>
    </row>
    <row r="5724" spans="2:80" s="152" customFormat="1" x14ac:dyDescent="0.2">
      <c r="B5724" s="683"/>
      <c r="C5724" s="683"/>
      <c r="D5724" s="698"/>
      <c r="E5724" s="215"/>
      <c r="F5724" s="215"/>
      <c r="G5724" s="427"/>
      <c r="H5724" s="427"/>
      <c r="I5724" s="427"/>
      <c r="J5724" s="427"/>
      <c r="K5724" s="427"/>
      <c r="L5724" s="653"/>
      <c r="M5724" s="666">
        <v>33452</v>
      </c>
      <c r="N5724" s="600">
        <v>0.7</v>
      </c>
      <c r="O5724" s="608">
        <v>1.2249999999999999</v>
      </c>
      <c r="P5724" s="782"/>
      <c r="Q5724" s="764"/>
      <c r="R5724" s="764"/>
      <c r="S5724" s="764"/>
      <c r="T5724" s="764"/>
      <c r="U5724" s="764"/>
      <c r="V5724" s="764"/>
      <c r="W5724" s="764"/>
      <c r="X5724" s="764"/>
      <c r="Y5724" s="768"/>
      <c r="Z5724" s="762"/>
      <c r="AA5724" s="150"/>
      <c r="AB5724" s="150">
        <v>12</v>
      </c>
      <c r="AC5724" s="150">
        <v>8.3000000000000001E-3</v>
      </c>
      <c r="AD5724" s="150">
        <v>3.5</v>
      </c>
      <c r="AE5724" s="223">
        <v>0.15</v>
      </c>
      <c r="AF5724" s="223">
        <f t="shared" si="42"/>
        <v>0.52500000000000002</v>
      </c>
      <c r="AG5724" s="223">
        <f t="shared" si="41"/>
        <v>1.3333333333333333</v>
      </c>
      <c r="AH5724" s="346"/>
      <c r="AI5724" s="427"/>
      <c r="AJ5724" s="480"/>
      <c r="AK5724" s="427"/>
      <c r="AU5724" s="218"/>
      <c r="AV5724" s="218"/>
      <c r="AW5724" s="218"/>
      <c r="AX5724" s="218"/>
      <c r="AY5724" s="218"/>
      <c r="BI5724" s="427"/>
      <c r="BJ5724" s="427"/>
      <c r="BK5724" s="427"/>
      <c r="BL5724" s="427"/>
      <c r="BM5724" s="427"/>
      <c r="BN5724" s="427"/>
      <c r="BO5724" s="427"/>
      <c r="BP5724" s="427"/>
      <c r="BQ5724" s="427"/>
      <c r="BR5724" s="427"/>
      <c r="BS5724" s="427"/>
      <c r="BT5724" s="427"/>
      <c r="BU5724" s="427"/>
      <c r="BV5724" s="427"/>
      <c r="BW5724" s="427"/>
      <c r="BX5724" s="427"/>
      <c r="BY5724" s="427"/>
      <c r="BZ5724" s="427"/>
    </row>
    <row r="5725" spans="2:80" s="152" customFormat="1" x14ac:dyDescent="0.2">
      <c r="B5725" s="683"/>
      <c r="C5725" s="683"/>
      <c r="D5725" s="698"/>
      <c r="E5725" s="215"/>
      <c r="F5725" s="215"/>
      <c r="G5725" s="427"/>
      <c r="H5725" s="427"/>
      <c r="I5725" s="427"/>
      <c r="J5725" s="427"/>
      <c r="K5725" s="427"/>
      <c r="L5725" s="653"/>
      <c r="M5725" s="666">
        <v>33452</v>
      </c>
      <c r="N5725" s="600">
        <v>0.7</v>
      </c>
      <c r="O5725" s="608">
        <v>0.70000000000000007</v>
      </c>
      <c r="P5725" s="782"/>
      <c r="Q5725" s="764"/>
      <c r="R5725" s="764"/>
      <c r="S5725" s="764"/>
      <c r="T5725" s="764"/>
      <c r="U5725" s="764"/>
      <c r="V5725" s="764"/>
      <c r="W5725" s="764"/>
      <c r="X5725" s="764"/>
      <c r="Y5725" s="768"/>
      <c r="Z5725" s="762"/>
      <c r="AA5725" s="150"/>
      <c r="AB5725" s="150">
        <v>13</v>
      </c>
      <c r="AC5725" s="150">
        <v>8.3000000000000001E-3</v>
      </c>
      <c r="AD5725" s="150">
        <v>3.5</v>
      </c>
      <c r="AE5725" s="223">
        <v>0.14000000000000001</v>
      </c>
      <c r="AF5725" s="223">
        <f t="shared" si="42"/>
        <v>0.49000000000000005</v>
      </c>
      <c r="AG5725" s="223">
        <f t="shared" si="41"/>
        <v>1.4285714285714284</v>
      </c>
      <c r="AH5725" s="346"/>
      <c r="AI5725" s="427"/>
      <c r="AJ5725" s="480"/>
      <c r="AK5725" s="427"/>
      <c r="AU5725" s="218"/>
      <c r="AV5725" s="218"/>
      <c r="AW5725" s="218"/>
      <c r="AX5725" s="218"/>
      <c r="AY5725" s="218"/>
      <c r="BI5725" s="427"/>
      <c r="BJ5725" s="427"/>
      <c r="BK5725" s="427"/>
      <c r="BL5725" s="427"/>
      <c r="BM5725" s="427"/>
      <c r="BN5725" s="427"/>
      <c r="BO5725" s="427"/>
      <c r="BP5725" s="427"/>
      <c r="BQ5725" s="427"/>
      <c r="BR5725" s="427"/>
      <c r="BS5725" s="427"/>
      <c r="BT5725" s="427"/>
      <c r="BU5725" s="427"/>
      <c r="BV5725" s="427"/>
      <c r="BW5725" s="427"/>
      <c r="BX5725" s="427"/>
      <c r="BY5725" s="427"/>
      <c r="BZ5725" s="427"/>
    </row>
    <row r="5726" spans="2:80" s="152" customFormat="1" x14ac:dyDescent="0.2">
      <c r="B5726" s="683"/>
      <c r="C5726" s="683"/>
      <c r="D5726" s="698"/>
      <c r="E5726" s="215"/>
      <c r="F5726" s="215"/>
      <c r="G5726" s="427"/>
      <c r="H5726" s="427"/>
      <c r="I5726" s="427"/>
      <c r="J5726" s="427"/>
      <c r="K5726" s="427"/>
      <c r="L5726" s="653"/>
      <c r="M5726" s="666">
        <v>33452</v>
      </c>
      <c r="N5726" s="600">
        <v>0.8</v>
      </c>
      <c r="O5726" s="608">
        <v>1.1900000000000002</v>
      </c>
      <c r="P5726" s="782"/>
      <c r="Q5726" s="764"/>
      <c r="R5726" s="764"/>
      <c r="S5726" s="764"/>
      <c r="T5726" s="764"/>
      <c r="U5726" s="764"/>
      <c r="V5726" s="764"/>
      <c r="W5726" s="764"/>
      <c r="X5726" s="764"/>
      <c r="Y5726" s="768"/>
      <c r="Z5726" s="762"/>
      <c r="AA5726" s="150"/>
      <c r="AB5726" s="150">
        <v>14</v>
      </c>
      <c r="AC5726" s="150">
        <v>8.3999999999999995E-3</v>
      </c>
      <c r="AD5726" s="150">
        <v>3.5</v>
      </c>
      <c r="AE5726" s="223">
        <v>0.16</v>
      </c>
      <c r="AF5726" s="223">
        <f t="shared" si="42"/>
        <v>0.56000000000000005</v>
      </c>
      <c r="AG5726" s="223">
        <f t="shared" si="41"/>
        <v>1.4285714285714286</v>
      </c>
      <c r="AH5726" s="346"/>
      <c r="AI5726" s="427"/>
      <c r="AJ5726" s="480"/>
      <c r="AK5726" s="427"/>
      <c r="AU5726" s="218"/>
      <c r="AV5726" s="218"/>
      <c r="AW5726" s="218"/>
      <c r="AX5726" s="218"/>
      <c r="AY5726" s="218"/>
      <c r="BI5726" s="427"/>
      <c r="BJ5726" s="427"/>
      <c r="BK5726" s="427"/>
      <c r="BL5726" s="427"/>
      <c r="BM5726" s="427"/>
      <c r="BN5726" s="427"/>
      <c r="BO5726" s="427"/>
      <c r="BP5726" s="427"/>
      <c r="BQ5726" s="427"/>
      <c r="BR5726" s="427"/>
      <c r="BS5726" s="427"/>
      <c r="BT5726" s="427"/>
      <c r="BU5726" s="427"/>
      <c r="BV5726" s="427"/>
      <c r="BW5726" s="427"/>
      <c r="BX5726" s="427"/>
      <c r="BY5726" s="427"/>
      <c r="BZ5726" s="427"/>
    </row>
    <row r="5727" spans="2:80" s="152" customFormat="1" x14ac:dyDescent="0.2">
      <c r="B5727" s="683"/>
      <c r="C5727" s="683"/>
      <c r="D5727" s="698"/>
      <c r="E5727" s="215"/>
      <c r="F5727" s="215"/>
      <c r="G5727" s="427"/>
      <c r="H5727" s="427"/>
      <c r="I5727" s="427"/>
      <c r="J5727" s="427"/>
      <c r="K5727" s="427"/>
      <c r="L5727" s="653"/>
      <c r="M5727" s="666">
        <v>33452</v>
      </c>
      <c r="N5727" s="600">
        <v>0.9</v>
      </c>
      <c r="O5727" s="608">
        <v>1.68</v>
      </c>
      <c r="P5727" s="782"/>
      <c r="Q5727" s="764"/>
      <c r="R5727" s="764"/>
      <c r="S5727" s="764"/>
      <c r="T5727" s="764"/>
      <c r="U5727" s="764"/>
      <c r="V5727" s="764"/>
      <c r="W5727" s="764"/>
      <c r="X5727" s="764"/>
      <c r="Y5727" s="768"/>
      <c r="Z5727" s="762"/>
      <c r="AA5727" s="150"/>
      <c r="AB5727" s="150">
        <v>15</v>
      </c>
      <c r="AC5727" s="150">
        <v>8.5000000000000006E-3</v>
      </c>
      <c r="AD5727" s="150">
        <v>3.5</v>
      </c>
      <c r="AE5727" s="223">
        <v>0.17</v>
      </c>
      <c r="AF5727" s="223">
        <f t="shared" si="42"/>
        <v>0.59500000000000008</v>
      </c>
      <c r="AG5727" s="223">
        <f t="shared" si="41"/>
        <v>1.5126050420168065</v>
      </c>
      <c r="AH5727" s="346"/>
      <c r="AI5727" s="427"/>
      <c r="AJ5727" s="480"/>
      <c r="AK5727" s="427"/>
      <c r="AU5727" s="218"/>
      <c r="AV5727" s="218"/>
      <c r="AW5727" s="218"/>
      <c r="AX5727" s="218"/>
      <c r="AY5727" s="218"/>
      <c r="BI5727" s="427"/>
      <c r="BJ5727" s="427"/>
      <c r="BK5727" s="427"/>
      <c r="BL5727" s="427"/>
      <c r="BM5727" s="427"/>
      <c r="BN5727" s="427"/>
      <c r="BO5727" s="427"/>
      <c r="BP5727" s="427"/>
      <c r="BQ5727" s="427"/>
      <c r="BR5727" s="427"/>
      <c r="BS5727" s="427"/>
      <c r="BT5727" s="427"/>
      <c r="BU5727" s="427"/>
      <c r="BV5727" s="427"/>
      <c r="BW5727" s="427"/>
      <c r="BX5727" s="427"/>
      <c r="BY5727" s="427"/>
      <c r="BZ5727" s="427"/>
    </row>
    <row r="5728" spans="2:80" s="152" customFormat="1" x14ac:dyDescent="0.2">
      <c r="B5728" s="683"/>
      <c r="C5728" s="683"/>
      <c r="D5728" s="698"/>
      <c r="E5728" s="215"/>
      <c r="F5728" s="215"/>
      <c r="G5728" s="427"/>
      <c r="H5728" s="427"/>
      <c r="I5728" s="427"/>
      <c r="J5728" s="427"/>
      <c r="K5728" s="427"/>
      <c r="L5728" s="653"/>
      <c r="M5728" s="666">
        <v>33452</v>
      </c>
      <c r="N5728" s="600">
        <v>1</v>
      </c>
      <c r="O5728" s="608">
        <v>1.575</v>
      </c>
      <c r="P5728" s="782"/>
      <c r="Q5728" s="764"/>
      <c r="R5728" s="764"/>
      <c r="S5728" s="764"/>
      <c r="T5728" s="764"/>
      <c r="U5728" s="764"/>
      <c r="V5728" s="764"/>
      <c r="W5728" s="764"/>
      <c r="X5728" s="764"/>
      <c r="Y5728" s="768"/>
      <c r="Z5728" s="762"/>
      <c r="AA5728" s="150"/>
      <c r="AB5728" s="150">
        <v>16</v>
      </c>
      <c r="AC5728" s="150">
        <v>8.6999999999999994E-3</v>
      </c>
      <c r="AD5728" s="150">
        <v>3.5</v>
      </c>
      <c r="AE5728" s="223">
        <v>0.17</v>
      </c>
      <c r="AF5728" s="223">
        <f t="shared" si="42"/>
        <v>0.59500000000000008</v>
      </c>
      <c r="AG5728" s="223">
        <f t="shared" si="41"/>
        <v>1.6806722689075628</v>
      </c>
      <c r="AH5728" s="346"/>
      <c r="AI5728" s="427"/>
      <c r="AJ5728" s="480"/>
      <c r="AK5728" s="427"/>
      <c r="AU5728" s="218"/>
      <c r="AV5728" s="218"/>
      <c r="AW5728" s="218"/>
      <c r="AX5728" s="218"/>
      <c r="AY5728" s="218"/>
      <c r="BI5728" s="427"/>
      <c r="BJ5728" s="427"/>
      <c r="BK5728" s="427"/>
      <c r="BL5728" s="427"/>
      <c r="BM5728" s="427"/>
      <c r="BN5728" s="427"/>
      <c r="BO5728" s="427"/>
      <c r="BP5728" s="427"/>
      <c r="BQ5728" s="427"/>
      <c r="BR5728" s="427"/>
      <c r="BS5728" s="427"/>
      <c r="BT5728" s="427"/>
      <c r="BU5728" s="427"/>
      <c r="BV5728" s="427"/>
      <c r="BW5728" s="427"/>
      <c r="BX5728" s="427"/>
      <c r="BY5728" s="427"/>
      <c r="BZ5728" s="427"/>
    </row>
    <row r="5729" spans="2:78" s="152" customFormat="1" x14ac:dyDescent="0.2">
      <c r="B5729" s="683"/>
      <c r="C5729" s="683"/>
      <c r="D5729" s="698"/>
      <c r="E5729" s="215"/>
      <c r="F5729" s="215"/>
      <c r="G5729" s="427"/>
      <c r="H5729" s="427"/>
      <c r="I5729" s="427"/>
      <c r="J5729" s="427"/>
      <c r="K5729" s="427"/>
      <c r="L5729" s="653"/>
      <c r="M5729" s="666">
        <v>33452</v>
      </c>
      <c r="N5729" s="600">
        <v>1.3</v>
      </c>
      <c r="O5729" s="608">
        <v>3.8150000000000004</v>
      </c>
      <c r="P5729" s="782"/>
      <c r="Q5729" s="764"/>
      <c r="R5729" s="764"/>
      <c r="S5729" s="764"/>
      <c r="T5729" s="764"/>
      <c r="U5729" s="764"/>
      <c r="V5729" s="764"/>
      <c r="W5729" s="764"/>
      <c r="X5729" s="764"/>
      <c r="Y5729" s="768"/>
      <c r="Z5729" s="762"/>
      <c r="AA5729" s="150"/>
      <c r="AB5729" s="150">
        <v>17</v>
      </c>
      <c r="AC5729" s="150">
        <v>9.1000000000000004E-3</v>
      </c>
      <c r="AD5729" s="150">
        <v>3.5</v>
      </c>
      <c r="AE5729" s="223">
        <v>0.21</v>
      </c>
      <c r="AF5729" s="223">
        <f t="shared" si="42"/>
        <v>0.73499999999999999</v>
      </c>
      <c r="AG5729" s="223">
        <f t="shared" si="41"/>
        <v>1.7687074829931975</v>
      </c>
      <c r="AH5729" s="346"/>
      <c r="AI5729" s="427"/>
      <c r="AJ5729" s="480"/>
      <c r="AK5729" s="427"/>
      <c r="AU5729" s="218"/>
      <c r="AV5729" s="218"/>
      <c r="AW5729" s="218"/>
      <c r="AX5729" s="218"/>
      <c r="AY5729" s="218"/>
      <c r="BI5729" s="427"/>
      <c r="BJ5729" s="427"/>
      <c r="BK5729" s="427"/>
      <c r="BL5729" s="427"/>
      <c r="BM5729" s="427"/>
      <c r="BN5729" s="427"/>
      <c r="BO5729" s="427"/>
      <c r="BP5729" s="427"/>
      <c r="BQ5729" s="427"/>
      <c r="BR5729" s="427"/>
      <c r="BS5729" s="427"/>
      <c r="BT5729" s="427"/>
      <c r="BU5729" s="427"/>
      <c r="BV5729" s="427"/>
      <c r="BW5729" s="427"/>
      <c r="BX5729" s="427"/>
      <c r="BY5729" s="427"/>
      <c r="BZ5729" s="427"/>
    </row>
    <row r="5730" spans="2:78" s="152" customFormat="1" x14ac:dyDescent="0.2">
      <c r="B5730" s="683"/>
      <c r="C5730" s="683"/>
      <c r="D5730" s="698"/>
      <c r="E5730" s="215"/>
      <c r="F5730" s="215"/>
      <c r="G5730" s="427"/>
      <c r="H5730" s="427"/>
      <c r="I5730" s="427"/>
      <c r="J5730" s="427"/>
      <c r="K5730" s="427"/>
      <c r="L5730" s="653"/>
      <c r="M5730" s="666">
        <v>33452</v>
      </c>
      <c r="N5730" s="600">
        <v>1.6</v>
      </c>
      <c r="O5730" s="608">
        <v>4.83</v>
      </c>
      <c r="P5730" s="782"/>
      <c r="Q5730" s="764"/>
      <c r="R5730" s="764"/>
      <c r="S5730" s="764"/>
      <c r="T5730" s="764"/>
      <c r="U5730" s="764"/>
      <c r="V5730" s="764"/>
      <c r="W5730" s="764"/>
      <c r="X5730" s="764"/>
      <c r="Y5730" s="768"/>
      <c r="Z5730" s="762"/>
      <c r="AA5730" s="150"/>
      <c r="AB5730" s="150">
        <v>18</v>
      </c>
      <c r="AC5730" s="150">
        <v>9.2999999999999992E-3</v>
      </c>
      <c r="AD5730" s="150">
        <v>3.5</v>
      </c>
      <c r="AE5730" s="223">
        <v>0.24</v>
      </c>
      <c r="AF5730" s="223">
        <f t="shared" si="42"/>
        <v>0.84</v>
      </c>
      <c r="AG5730" s="223">
        <f t="shared" si="41"/>
        <v>1.9047619047619049</v>
      </c>
      <c r="AH5730" s="346"/>
      <c r="AI5730" s="427"/>
      <c r="AJ5730" s="480"/>
      <c r="AK5730" s="427"/>
      <c r="AU5730" s="218"/>
      <c r="AV5730" s="218"/>
      <c r="AW5730" s="218"/>
      <c r="AX5730" s="218"/>
      <c r="AY5730" s="218"/>
      <c r="BI5730" s="427"/>
      <c r="BJ5730" s="427"/>
      <c r="BK5730" s="427"/>
      <c r="BL5730" s="427"/>
      <c r="BM5730" s="427"/>
      <c r="BN5730" s="427"/>
      <c r="BO5730" s="427"/>
      <c r="BP5730" s="427"/>
      <c r="BQ5730" s="427"/>
      <c r="BR5730" s="427"/>
      <c r="BS5730" s="427"/>
      <c r="BT5730" s="427"/>
      <c r="BU5730" s="427"/>
      <c r="BV5730" s="427"/>
      <c r="BW5730" s="427"/>
      <c r="BX5730" s="427"/>
      <c r="BY5730" s="427"/>
      <c r="BZ5730" s="427"/>
    </row>
    <row r="5731" spans="2:78" s="152" customFormat="1" x14ac:dyDescent="0.2">
      <c r="B5731" s="683"/>
      <c r="C5731" s="683"/>
      <c r="D5731" s="698"/>
      <c r="E5731" s="215"/>
      <c r="F5731" s="215"/>
      <c r="G5731" s="427"/>
      <c r="H5731" s="427"/>
      <c r="I5731" s="427"/>
      <c r="J5731" s="427"/>
      <c r="K5731" s="427"/>
      <c r="L5731" s="653"/>
      <c r="M5731" s="666">
        <v>33452</v>
      </c>
      <c r="N5731" s="600">
        <v>1.8</v>
      </c>
      <c r="O5731" s="608">
        <v>7.21</v>
      </c>
      <c r="P5731" s="782"/>
      <c r="Q5731" s="764"/>
      <c r="R5731" s="764"/>
      <c r="S5731" s="764"/>
      <c r="T5731" s="764"/>
      <c r="U5731" s="764"/>
      <c r="V5731" s="764"/>
      <c r="W5731" s="764"/>
      <c r="X5731" s="764"/>
      <c r="Y5731" s="768"/>
      <c r="Z5731" s="762"/>
      <c r="AA5731" s="150"/>
      <c r="AB5731" s="150">
        <v>19</v>
      </c>
      <c r="AC5731" s="150">
        <v>9.4000000000000004E-3</v>
      </c>
      <c r="AD5731" s="150">
        <v>3.5</v>
      </c>
      <c r="AE5731" s="223">
        <v>0.27</v>
      </c>
      <c r="AF5731" s="223">
        <f t="shared" si="42"/>
        <v>0.94500000000000006</v>
      </c>
      <c r="AG5731" s="223">
        <f t="shared" si="41"/>
        <v>1.9047619047619047</v>
      </c>
      <c r="AH5731" s="346"/>
      <c r="AI5731" s="427"/>
      <c r="AJ5731" s="480"/>
      <c r="AK5731" s="427"/>
      <c r="AU5731" s="218"/>
      <c r="AV5731" s="218"/>
      <c r="AW5731" s="218"/>
      <c r="AX5731" s="218"/>
      <c r="AY5731" s="218"/>
      <c r="BI5731" s="427"/>
      <c r="BJ5731" s="427"/>
      <c r="BK5731" s="427"/>
      <c r="BL5731" s="427"/>
      <c r="BM5731" s="427"/>
      <c r="BN5731" s="427"/>
      <c r="BO5731" s="427"/>
      <c r="BP5731" s="427"/>
      <c r="BQ5731" s="427"/>
      <c r="BR5731" s="427"/>
      <c r="BS5731" s="427"/>
      <c r="BT5731" s="427"/>
      <c r="BU5731" s="427"/>
      <c r="BV5731" s="427"/>
      <c r="BW5731" s="427"/>
      <c r="BX5731" s="427"/>
      <c r="BY5731" s="427"/>
      <c r="BZ5731" s="427"/>
    </row>
    <row r="5732" spans="2:78" s="152" customFormat="1" x14ac:dyDescent="0.2">
      <c r="B5732" s="683"/>
      <c r="C5732" s="683"/>
      <c r="D5732" s="698"/>
      <c r="E5732" s="215"/>
      <c r="F5732" s="215"/>
      <c r="G5732" s="427"/>
      <c r="H5732" s="427"/>
      <c r="I5732" s="427"/>
      <c r="J5732" s="427"/>
      <c r="K5732" s="427"/>
      <c r="L5732" s="653"/>
      <c r="M5732" s="666">
        <v>33452</v>
      </c>
      <c r="N5732" s="600">
        <v>2</v>
      </c>
      <c r="O5732" s="608">
        <v>11.375</v>
      </c>
      <c r="P5732" s="782"/>
      <c r="Q5732" s="764"/>
      <c r="R5732" s="764"/>
      <c r="S5732" s="764"/>
      <c r="T5732" s="764"/>
      <c r="U5732" s="764"/>
      <c r="V5732" s="764"/>
      <c r="W5732" s="764"/>
      <c r="X5732" s="764"/>
      <c r="Y5732" s="768"/>
      <c r="Z5732" s="762"/>
      <c r="AA5732" s="150"/>
      <c r="AB5732" s="150">
        <v>20</v>
      </c>
      <c r="AC5732" s="150">
        <v>9.4999999999999998E-3</v>
      </c>
      <c r="AD5732" s="150">
        <v>3.5</v>
      </c>
      <c r="AE5732" s="223">
        <v>0.28999999999999998</v>
      </c>
      <c r="AF5732" s="223">
        <f t="shared" si="42"/>
        <v>1.0149999999999999</v>
      </c>
      <c r="AG5732" s="223">
        <f t="shared" si="41"/>
        <v>1.9704433497536948</v>
      </c>
      <c r="AH5732" s="346"/>
      <c r="AI5732" s="427"/>
      <c r="AJ5732" s="480"/>
      <c r="AK5732" s="427"/>
      <c r="AU5732" s="218"/>
      <c r="AV5732" s="218"/>
      <c r="AW5732" s="218"/>
      <c r="AX5732" s="218"/>
      <c r="AY5732" s="218"/>
      <c r="BI5732" s="427"/>
      <c r="BJ5732" s="427"/>
      <c r="BK5732" s="427"/>
      <c r="BL5732" s="427"/>
      <c r="BM5732" s="427"/>
      <c r="BN5732" s="427"/>
      <c r="BO5732" s="427"/>
      <c r="BP5732" s="427"/>
      <c r="BQ5732" s="427"/>
      <c r="BR5732" s="427"/>
      <c r="BS5732" s="427"/>
      <c r="BT5732" s="427"/>
      <c r="BU5732" s="427"/>
      <c r="BV5732" s="427"/>
      <c r="BW5732" s="427"/>
      <c r="BX5732" s="427"/>
      <c r="BY5732" s="427"/>
      <c r="BZ5732" s="427"/>
    </row>
    <row r="5733" spans="2:78" s="152" customFormat="1" x14ac:dyDescent="0.2">
      <c r="B5733" s="683"/>
      <c r="C5733" s="683"/>
      <c r="D5733" s="698"/>
      <c r="E5733" s="215"/>
      <c r="F5733" s="215"/>
      <c r="G5733" s="427"/>
      <c r="H5733" s="427"/>
      <c r="I5733" s="427"/>
      <c r="J5733" s="427"/>
      <c r="K5733" s="427"/>
      <c r="L5733" s="653"/>
      <c r="M5733" s="666">
        <v>33452</v>
      </c>
      <c r="N5733" s="600">
        <v>2.2000000000000002</v>
      </c>
      <c r="O5733" s="608">
        <v>9.5549999999999997</v>
      </c>
      <c r="P5733" s="782"/>
      <c r="Q5733" s="764"/>
      <c r="R5733" s="764"/>
      <c r="S5733" s="764"/>
      <c r="T5733" s="764"/>
      <c r="U5733" s="764"/>
      <c r="V5733" s="764"/>
      <c r="W5733" s="764"/>
      <c r="X5733" s="764"/>
      <c r="Y5733" s="768"/>
      <c r="Z5733" s="762"/>
      <c r="AA5733" s="150"/>
      <c r="AB5733" s="150">
        <v>21</v>
      </c>
      <c r="AC5733" s="150">
        <v>9.4000000000000004E-3</v>
      </c>
      <c r="AD5733" s="150">
        <v>3.5</v>
      </c>
      <c r="AE5733" s="223">
        <v>0.31</v>
      </c>
      <c r="AF5733" s="223">
        <f t="shared" si="42"/>
        <v>1.085</v>
      </c>
      <c r="AG5733" s="223">
        <f t="shared" si="41"/>
        <v>2.0276497695852536</v>
      </c>
      <c r="AH5733" s="346"/>
      <c r="AI5733" s="427"/>
      <c r="AJ5733" s="480"/>
      <c r="AK5733" s="427"/>
      <c r="AU5733" s="218"/>
      <c r="AV5733" s="218"/>
      <c r="AW5733" s="218"/>
      <c r="AX5733" s="218"/>
      <c r="AY5733" s="218"/>
      <c r="BI5733" s="427"/>
      <c r="BJ5733" s="427"/>
      <c r="BK5733" s="427"/>
      <c r="BL5733" s="427"/>
      <c r="BM5733" s="427"/>
      <c r="BN5733" s="427"/>
      <c r="BO5733" s="427"/>
      <c r="BP5733" s="427"/>
      <c r="BQ5733" s="427"/>
      <c r="BR5733" s="427"/>
      <c r="BS5733" s="427"/>
      <c r="BT5733" s="427"/>
      <c r="BU5733" s="427"/>
      <c r="BV5733" s="427"/>
      <c r="BW5733" s="427"/>
      <c r="BX5733" s="427"/>
      <c r="BY5733" s="427"/>
      <c r="BZ5733" s="427"/>
    </row>
    <row r="5734" spans="2:78" s="152" customFormat="1" x14ac:dyDescent="0.2">
      <c r="B5734" s="683"/>
      <c r="C5734" s="683"/>
      <c r="D5734" s="698"/>
      <c r="E5734" s="215"/>
      <c r="F5734" s="215"/>
      <c r="G5734" s="427"/>
      <c r="H5734" s="427"/>
      <c r="I5734" s="427"/>
      <c r="J5734" s="427"/>
      <c r="K5734" s="427"/>
      <c r="L5734" s="653"/>
      <c r="M5734" s="666">
        <v>33452</v>
      </c>
      <c r="N5734" s="600">
        <v>2.2999999999999998</v>
      </c>
      <c r="O5734" s="608">
        <v>12.04</v>
      </c>
      <c r="P5734" s="782"/>
      <c r="Q5734" s="764"/>
      <c r="R5734" s="764"/>
      <c r="S5734" s="764"/>
      <c r="T5734" s="764"/>
      <c r="U5734" s="764"/>
      <c r="V5734" s="764"/>
      <c r="W5734" s="764"/>
      <c r="X5734" s="764"/>
      <c r="Y5734" s="768"/>
      <c r="Z5734" s="762"/>
      <c r="AA5734" s="150"/>
      <c r="AB5734" s="150">
        <v>22</v>
      </c>
      <c r="AC5734" s="150">
        <v>9.4999999999999998E-3</v>
      </c>
      <c r="AD5734" s="150">
        <v>3.5</v>
      </c>
      <c r="AE5734" s="223">
        <v>0.32</v>
      </c>
      <c r="AF5734" s="223">
        <f t="shared" si="42"/>
        <v>1.1200000000000001</v>
      </c>
      <c r="AG5734" s="223">
        <f t="shared" si="41"/>
        <v>2.0535714285714284</v>
      </c>
      <c r="AH5734" s="346"/>
      <c r="AI5734" s="427"/>
      <c r="AJ5734" s="480"/>
      <c r="AK5734" s="427"/>
      <c r="AU5734" s="218"/>
      <c r="AV5734" s="218"/>
      <c r="AW5734" s="218"/>
      <c r="AX5734" s="218"/>
      <c r="AY5734" s="218"/>
      <c r="BI5734" s="427"/>
      <c r="BJ5734" s="427"/>
      <c r="BK5734" s="427"/>
      <c r="BL5734" s="427"/>
      <c r="BM5734" s="427"/>
      <c r="BN5734" s="427"/>
      <c r="BO5734" s="427"/>
      <c r="BP5734" s="427"/>
      <c r="BQ5734" s="427"/>
      <c r="BR5734" s="427"/>
      <c r="BS5734" s="427"/>
      <c r="BT5734" s="427"/>
      <c r="BU5734" s="427"/>
      <c r="BV5734" s="427"/>
      <c r="BW5734" s="427"/>
      <c r="BX5734" s="427"/>
      <c r="BY5734" s="427"/>
      <c r="BZ5734" s="427"/>
    </row>
    <row r="5735" spans="2:78" s="152" customFormat="1" x14ac:dyDescent="0.2">
      <c r="B5735" s="683"/>
      <c r="C5735" s="683"/>
      <c r="D5735" s="698"/>
      <c r="E5735" s="215"/>
      <c r="F5735" s="215"/>
      <c r="G5735" s="427"/>
      <c r="H5735" s="427"/>
      <c r="I5735" s="427"/>
      <c r="J5735" s="427"/>
      <c r="K5735" s="427"/>
      <c r="L5735" s="653"/>
      <c r="M5735" s="666">
        <v>33452</v>
      </c>
      <c r="N5735" s="600">
        <v>2.4</v>
      </c>
      <c r="O5735" s="608">
        <v>12.145000000000001</v>
      </c>
      <c r="P5735" s="782"/>
      <c r="Q5735" s="764"/>
      <c r="R5735" s="764"/>
      <c r="S5735" s="764"/>
      <c r="T5735" s="764"/>
      <c r="U5735" s="764"/>
      <c r="V5735" s="764"/>
      <c r="W5735" s="764"/>
      <c r="X5735" s="764"/>
      <c r="Y5735" s="768"/>
      <c r="Z5735" s="762"/>
      <c r="AA5735" s="150"/>
      <c r="AB5735" s="150">
        <v>23</v>
      </c>
      <c r="AC5735" s="150">
        <v>9.4999999999999998E-3</v>
      </c>
      <c r="AD5735" s="150">
        <v>3.5</v>
      </c>
      <c r="AE5735" s="223">
        <v>0.33</v>
      </c>
      <c r="AF5735" s="223">
        <f t="shared" si="42"/>
        <v>1.155</v>
      </c>
      <c r="AG5735" s="223">
        <f t="shared" si="41"/>
        <v>2.0779220779220777</v>
      </c>
      <c r="AH5735" s="346"/>
      <c r="AI5735" s="427"/>
      <c r="AJ5735" s="480"/>
      <c r="AK5735" s="427"/>
      <c r="AU5735" s="218"/>
      <c r="AV5735" s="218"/>
      <c r="AW5735" s="218"/>
      <c r="AX5735" s="218"/>
      <c r="AY5735" s="218"/>
      <c r="BI5735" s="427"/>
      <c r="BJ5735" s="427"/>
      <c r="BK5735" s="427"/>
      <c r="BL5735" s="427"/>
      <c r="BM5735" s="427"/>
      <c r="BN5735" s="427"/>
      <c r="BO5735" s="427"/>
      <c r="BP5735" s="427"/>
      <c r="BQ5735" s="427"/>
      <c r="BR5735" s="427"/>
      <c r="BS5735" s="427"/>
      <c r="BT5735" s="427"/>
      <c r="BU5735" s="427"/>
      <c r="BV5735" s="427"/>
      <c r="BW5735" s="427"/>
      <c r="BX5735" s="427"/>
      <c r="BY5735" s="427"/>
      <c r="BZ5735" s="427"/>
    </row>
    <row r="5736" spans="2:78" s="152" customFormat="1" x14ac:dyDescent="0.2">
      <c r="B5736" s="683"/>
      <c r="C5736" s="683"/>
      <c r="D5736" s="698"/>
      <c r="E5736" s="215"/>
      <c r="F5736" s="215"/>
      <c r="G5736" s="427"/>
      <c r="H5736" s="427"/>
      <c r="I5736" s="427"/>
      <c r="J5736" s="427"/>
      <c r="K5736" s="427"/>
      <c r="L5736" s="653"/>
      <c r="M5736" s="666">
        <v>33452</v>
      </c>
      <c r="N5736" s="600">
        <v>2.5</v>
      </c>
      <c r="O5736" s="608">
        <v>15.155000000000001</v>
      </c>
      <c r="P5736" s="782"/>
      <c r="Q5736" s="764"/>
      <c r="R5736" s="764"/>
      <c r="S5736" s="764"/>
      <c r="T5736" s="764"/>
      <c r="U5736" s="764"/>
      <c r="V5736" s="764"/>
      <c r="W5736" s="764"/>
      <c r="X5736" s="764"/>
      <c r="Y5736" s="768"/>
      <c r="Z5736" s="762"/>
      <c r="AA5736" s="150"/>
      <c r="AB5736" s="150">
        <v>24</v>
      </c>
      <c r="AC5736" s="150">
        <v>9.5999999999999992E-3</v>
      </c>
      <c r="AD5736" s="150">
        <v>3.5</v>
      </c>
      <c r="AE5736" s="223">
        <v>0.34</v>
      </c>
      <c r="AF5736" s="223">
        <f t="shared" si="42"/>
        <v>1.1900000000000002</v>
      </c>
      <c r="AG5736" s="223">
        <f t="shared" si="41"/>
        <v>2.1008403361344534</v>
      </c>
      <c r="AH5736" s="346"/>
      <c r="AI5736" s="427"/>
      <c r="AJ5736" s="480"/>
      <c r="AK5736" s="427"/>
      <c r="AU5736" s="218"/>
      <c r="AV5736" s="218"/>
      <c r="AW5736" s="218"/>
      <c r="AX5736" s="218"/>
      <c r="AY5736" s="218"/>
      <c r="BI5736" s="427"/>
      <c r="BJ5736" s="427"/>
      <c r="BK5736" s="427"/>
      <c r="BL5736" s="427"/>
      <c r="BM5736" s="427"/>
      <c r="BN5736" s="427"/>
      <c r="BO5736" s="427"/>
      <c r="BP5736" s="427"/>
      <c r="BQ5736" s="427"/>
      <c r="BR5736" s="427"/>
      <c r="BS5736" s="427"/>
      <c r="BT5736" s="427"/>
      <c r="BU5736" s="427"/>
      <c r="BV5736" s="427"/>
      <c r="BW5736" s="427"/>
      <c r="BX5736" s="427"/>
      <c r="BY5736" s="427"/>
      <c r="BZ5736" s="427"/>
    </row>
    <row r="5737" spans="2:78" s="152" customFormat="1" x14ac:dyDescent="0.2">
      <c r="B5737" s="683"/>
      <c r="C5737" s="683"/>
      <c r="D5737" s="698"/>
      <c r="E5737" s="215"/>
      <c r="F5737" s="215"/>
      <c r="G5737" s="427"/>
      <c r="H5737" s="427"/>
      <c r="I5737" s="427"/>
      <c r="J5737" s="427"/>
      <c r="K5737" s="427"/>
      <c r="L5737" s="653"/>
      <c r="M5737" s="666">
        <v>33452</v>
      </c>
      <c r="N5737" s="600">
        <v>2.6</v>
      </c>
      <c r="O5737" s="608">
        <v>10.604999999999999</v>
      </c>
      <c r="P5737" s="782"/>
      <c r="Q5737" s="764"/>
      <c r="R5737" s="764"/>
      <c r="S5737" s="764"/>
      <c r="T5737" s="764"/>
      <c r="U5737" s="764"/>
      <c r="V5737" s="764"/>
      <c r="W5737" s="764"/>
      <c r="X5737" s="764"/>
      <c r="Y5737" s="768"/>
      <c r="Z5737" s="762"/>
      <c r="AA5737" s="150"/>
      <c r="AB5737" s="150">
        <v>25</v>
      </c>
      <c r="AC5737" s="150">
        <v>9.5999999999999992E-3</v>
      </c>
      <c r="AD5737" s="150">
        <v>3.5</v>
      </c>
      <c r="AE5737" s="223">
        <v>0.34</v>
      </c>
      <c r="AF5737" s="223">
        <f t="shared" si="42"/>
        <v>1.1900000000000002</v>
      </c>
      <c r="AG5737" s="223">
        <f t="shared" si="41"/>
        <v>2.1848739495798317</v>
      </c>
      <c r="AH5737" s="346"/>
      <c r="AI5737" s="427"/>
      <c r="AJ5737" s="480"/>
      <c r="AK5737" s="427"/>
      <c r="AU5737" s="218"/>
      <c r="AV5737" s="218"/>
      <c r="AW5737" s="218"/>
      <c r="AX5737" s="218"/>
      <c r="AY5737" s="218"/>
      <c r="BI5737" s="427"/>
      <c r="BJ5737" s="427"/>
      <c r="BK5737" s="427"/>
      <c r="BL5737" s="427"/>
      <c r="BM5737" s="427"/>
      <c r="BN5737" s="427"/>
      <c r="BO5737" s="427"/>
      <c r="BP5737" s="427"/>
      <c r="BQ5737" s="427"/>
      <c r="BR5737" s="427"/>
      <c r="BS5737" s="427"/>
      <c r="BT5737" s="427"/>
      <c r="BU5737" s="427"/>
      <c r="BV5737" s="427"/>
      <c r="BW5737" s="427"/>
      <c r="BX5737" s="427"/>
      <c r="BY5737" s="427"/>
      <c r="BZ5737" s="427"/>
    </row>
    <row r="5738" spans="2:78" s="152" customFormat="1" x14ac:dyDescent="0.2">
      <c r="B5738" s="683"/>
      <c r="C5738" s="683"/>
      <c r="D5738" s="698"/>
      <c r="E5738" s="215"/>
      <c r="F5738" s="215"/>
      <c r="G5738" s="427"/>
      <c r="H5738" s="427"/>
      <c r="I5738" s="427"/>
      <c r="J5738" s="427"/>
      <c r="K5738" s="427"/>
      <c r="L5738" s="653"/>
      <c r="M5738" s="666">
        <v>33452</v>
      </c>
      <c r="N5738" s="600">
        <v>2.7</v>
      </c>
      <c r="O5738" s="608">
        <v>13.125</v>
      </c>
      <c r="P5738" s="782"/>
      <c r="Q5738" s="764"/>
      <c r="R5738" s="764"/>
      <c r="S5738" s="764"/>
      <c r="T5738" s="764"/>
      <c r="U5738" s="764"/>
      <c r="V5738" s="764"/>
      <c r="W5738" s="764"/>
      <c r="X5738" s="764"/>
      <c r="Y5738" s="768"/>
      <c r="Z5738" s="762"/>
      <c r="AA5738" s="150"/>
      <c r="AB5738" s="150">
        <v>26</v>
      </c>
      <c r="AC5738" s="150">
        <v>9.5999999999999992E-3</v>
      </c>
      <c r="AD5738" s="150">
        <v>3.5</v>
      </c>
      <c r="AE5738" s="223">
        <v>0.36</v>
      </c>
      <c r="AF5738" s="223">
        <f t="shared" si="42"/>
        <v>1.26</v>
      </c>
      <c r="AG5738" s="223">
        <f t="shared" si="41"/>
        <v>2.1428571428571428</v>
      </c>
      <c r="AH5738" s="346"/>
      <c r="AI5738" s="427"/>
      <c r="AJ5738" s="480"/>
      <c r="AK5738" s="427"/>
      <c r="AU5738" s="218"/>
      <c r="AV5738" s="218"/>
      <c r="AW5738" s="218"/>
      <c r="AX5738" s="218"/>
      <c r="AY5738" s="218"/>
      <c r="BI5738" s="427"/>
      <c r="BJ5738" s="427"/>
      <c r="BK5738" s="427"/>
      <c r="BL5738" s="427"/>
      <c r="BM5738" s="427"/>
      <c r="BN5738" s="427"/>
      <c r="BO5738" s="427"/>
      <c r="BP5738" s="427"/>
      <c r="BQ5738" s="427"/>
      <c r="BR5738" s="427"/>
      <c r="BS5738" s="427"/>
      <c r="BT5738" s="427"/>
      <c r="BU5738" s="427"/>
      <c r="BV5738" s="427"/>
      <c r="BW5738" s="427"/>
      <c r="BX5738" s="427"/>
      <c r="BY5738" s="427"/>
      <c r="BZ5738" s="427"/>
    </row>
    <row r="5739" spans="2:78" s="152" customFormat="1" x14ac:dyDescent="0.2">
      <c r="B5739" s="683"/>
      <c r="C5739" s="683"/>
      <c r="D5739" s="698"/>
      <c r="E5739" s="215"/>
      <c r="F5739" s="215"/>
      <c r="G5739" s="427"/>
      <c r="H5739" s="427"/>
      <c r="I5739" s="427"/>
      <c r="J5739" s="427"/>
      <c r="K5739" s="427"/>
      <c r="L5739" s="653"/>
      <c r="M5739" s="666">
        <v>33452</v>
      </c>
      <c r="N5739" s="600">
        <v>2.8</v>
      </c>
      <c r="O5739" s="608">
        <v>14.665000000000001</v>
      </c>
      <c r="P5739" s="782"/>
      <c r="Q5739" s="764"/>
      <c r="R5739" s="764"/>
      <c r="S5739" s="764"/>
      <c r="T5739" s="764"/>
      <c r="U5739" s="764"/>
      <c r="V5739" s="764"/>
      <c r="W5739" s="764"/>
      <c r="X5739" s="764"/>
      <c r="Y5739" s="768"/>
      <c r="Z5739" s="762"/>
      <c r="AA5739" s="150"/>
      <c r="AB5739" s="150">
        <v>27</v>
      </c>
      <c r="AC5739" s="150">
        <v>9.5999999999999992E-3</v>
      </c>
      <c r="AD5739" s="150">
        <v>3.5</v>
      </c>
      <c r="AE5739" s="223">
        <v>0.37</v>
      </c>
      <c r="AF5739" s="223">
        <f t="shared" si="42"/>
        <v>1.2949999999999999</v>
      </c>
      <c r="AG5739" s="223">
        <f t="shared" si="41"/>
        <v>2.1621621621621623</v>
      </c>
      <c r="AH5739" s="346"/>
      <c r="AI5739" s="427"/>
      <c r="AJ5739" s="480"/>
      <c r="AK5739" s="427"/>
      <c r="AU5739" s="218"/>
      <c r="AV5739" s="218"/>
      <c r="AW5739" s="218"/>
      <c r="AX5739" s="218"/>
      <c r="AY5739" s="218"/>
      <c r="BI5739" s="427"/>
      <c r="BJ5739" s="427"/>
      <c r="BK5739" s="427"/>
      <c r="BL5739" s="427"/>
      <c r="BM5739" s="427"/>
      <c r="BN5739" s="427"/>
      <c r="BO5739" s="427"/>
      <c r="BP5739" s="427"/>
      <c r="BQ5739" s="427"/>
      <c r="BR5739" s="427"/>
      <c r="BS5739" s="427"/>
      <c r="BT5739" s="427"/>
      <c r="BU5739" s="427"/>
      <c r="BV5739" s="427"/>
      <c r="BW5739" s="427"/>
      <c r="BX5739" s="427"/>
      <c r="BY5739" s="427"/>
      <c r="BZ5739" s="427"/>
    </row>
    <row r="5740" spans="2:78" s="152" customFormat="1" x14ac:dyDescent="0.2">
      <c r="B5740" s="683"/>
      <c r="C5740" s="683"/>
      <c r="D5740" s="698"/>
      <c r="E5740" s="215"/>
      <c r="F5740" s="215"/>
      <c r="G5740" s="427"/>
      <c r="H5740" s="427"/>
      <c r="I5740" s="427"/>
      <c r="J5740" s="427"/>
      <c r="K5740" s="427"/>
      <c r="L5740" s="653"/>
      <c r="M5740" s="666">
        <v>33452</v>
      </c>
      <c r="N5740" s="600">
        <v>2.8</v>
      </c>
      <c r="O5740" s="608">
        <v>11.935</v>
      </c>
      <c r="P5740" s="782"/>
      <c r="Q5740" s="764"/>
      <c r="R5740" s="764"/>
      <c r="S5740" s="764"/>
      <c r="T5740" s="764"/>
      <c r="U5740" s="764"/>
      <c r="V5740" s="764"/>
      <c r="W5740" s="764"/>
      <c r="X5740" s="764"/>
      <c r="Y5740" s="768"/>
      <c r="Z5740" s="762"/>
      <c r="AA5740" s="150"/>
      <c r="AB5740" s="150">
        <v>28</v>
      </c>
      <c r="AC5740" s="150">
        <v>9.7000000000000003E-3</v>
      </c>
      <c r="AD5740" s="150">
        <v>3.5</v>
      </c>
      <c r="AE5740" s="223">
        <v>0.37</v>
      </c>
      <c r="AF5740" s="223">
        <f t="shared" si="42"/>
        <v>1.2949999999999999</v>
      </c>
      <c r="AG5740" s="223">
        <f t="shared" si="41"/>
        <v>2.1621621621621623</v>
      </c>
      <c r="AH5740" s="346"/>
      <c r="AI5740" s="427"/>
      <c r="AJ5740" s="480"/>
      <c r="AK5740" s="427"/>
      <c r="AU5740" s="218"/>
      <c r="AV5740" s="218"/>
      <c r="AW5740" s="218"/>
      <c r="AX5740" s="218"/>
      <c r="AY5740" s="218"/>
      <c r="BI5740" s="427"/>
      <c r="BJ5740" s="427"/>
      <c r="BK5740" s="427"/>
      <c r="BL5740" s="427"/>
      <c r="BM5740" s="427"/>
      <c r="BN5740" s="427"/>
      <c r="BO5740" s="427"/>
      <c r="BP5740" s="427"/>
      <c r="BQ5740" s="427"/>
      <c r="BR5740" s="427"/>
      <c r="BS5740" s="427"/>
      <c r="BT5740" s="427"/>
      <c r="BU5740" s="427"/>
      <c r="BV5740" s="427"/>
      <c r="BW5740" s="427"/>
      <c r="BX5740" s="427"/>
      <c r="BY5740" s="427"/>
      <c r="BZ5740" s="427"/>
    </row>
    <row r="5741" spans="2:78" s="152" customFormat="1" x14ac:dyDescent="0.2">
      <c r="B5741" s="683"/>
      <c r="C5741" s="683"/>
      <c r="D5741" s="698"/>
      <c r="E5741" s="215"/>
      <c r="F5741" s="215"/>
      <c r="G5741" s="427"/>
      <c r="H5741" s="427"/>
      <c r="I5741" s="427"/>
      <c r="J5741" s="427"/>
      <c r="K5741" s="427"/>
      <c r="L5741" s="653"/>
      <c r="M5741" s="666">
        <v>33392</v>
      </c>
      <c r="N5741" s="600">
        <v>0.6</v>
      </c>
      <c r="O5741" s="608">
        <v>1.155</v>
      </c>
      <c r="P5741" s="782"/>
      <c r="Q5741" s="764"/>
      <c r="R5741" s="764"/>
      <c r="S5741" s="764"/>
      <c r="T5741" s="764"/>
      <c r="U5741" s="764"/>
      <c r="V5741" s="764"/>
      <c r="W5741" s="764"/>
      <c r="X5741" s="764"/>
      <c r="Y5741" s="768"/>
      <c r="Z5741" s="762"/>
      <c r="AA5741" s="150"/>
      <c r="AB5741" s="150">
        <v>29</v>
      </c>
      <c r="AC5741" s="150">
        <v>8.6E-3</v>
      </c>
      <c r="AD5741" s="150">
        <v>3.5</v>
      </c>
      <c r="AE5741" s="223">
        <v>0.13</v>
      </c>
      <c r="AF5741" s="223">
        <f t="shared" si="42"/>
        <v>0.45500000000000002</v>
      </c>
      <c r="AG5741" s="223">
        <f t="shared" si="41"/>
        <v>1.3186813186813187</v>
      </c>
      <c r="AH5741" s="346"/>
      <c r="AI5741" s="427"/>
      <c r="AJ5741" s="480"/>
      <c r="AK5741" s="427"/>
      <c r="AU5741" s="218"/>
      <c r="AV5741" s="218"/>
      <c r="AW5741" s="218"/>
      <c r="AX5741" s="218"/>
      <c r="AY5741" s="218"/>
      <c r="BI5741" s="427"/>
      <c r="BJ5741" s="427"/>
      <c r="BK5741" s="427"/>
      <c r="BL5741" s="427"/>
      <c r="BM5741" s="427"/>
      <c r="BN5741" s="427"/>
      <c r="BO5741" s="427"/>
      <c r="BP5741" s="427"/>
      <c r="BQ5741" s="427"/>
      <c r="BR5741" s="427"/>
      <c r="BS5741" s="427"/>
      <c r="BT5741" s="427"/>
      <c r="BU5741" s="427"/>
      <c r="BV5741" s="427"/>
      <c r="BW5741" s="427"/>
      <c r="BX5741" s="427"/>
      <c r="BY5741" s="427"/>
      <c r="BZ5741" s="427"/>
    </row>
    <row r="5742" spans="2:78" s="152" customFormat="1" x14ac:dyDescent="0.2">
      <c r="B5742" s="683"/>
      <c r="C5742" s="683"/>
      <c r="D5742" s="698"/>
      <c r="E5742" s="215"/>
      <c r="F5742" s="215"/>
      <c r="G5742" s="427"/>
      <c r="H5742" s="427"/>
      <c r="I5742" s="427"/>
      <c r="J5742" s="427"/>
      <c r="K5742" s="427"/>
      <c r="L5742" s="653"/>
      <c r="M5742" s="666">
        <v>33392</v>
      </c>
      <c r="N5742" s="600">
        <v>0.6</v>
      </c>
      <c r="O5742" s="608">
        <v>1.155</v>
      </c>
      <c r="P5742" s="782"/>
      <c r="Q5742" s="764"/>
      <c r="R5742" s="764"/>
      <c r="S5742" s="764"/>
      <c r="T5742" s="764"/>
      <c r="U5742" s="764"/>
      <c r="V5742" s="764"/>
      <c r="W5742" s="764"/>
      <c r="X5742" s="764"/>
      <c r="Y5742" s="768"/>
      <c r="Z5742" s="762"/>
      <c r="AA5742" s="150"/>
      <c r="AB5742" s="150">
        <v>30</v>
      </c>
      <c r="AC5742" s="150">
        <v>8.6E-3</v>
      </c>
      <c r="AD5742" s="150">
        <v>3.5</v>
      </c>
      <c r="AE5742" s="223">
        <v>0.13</v>
      </c>
      <c r="AF5742" s="223">
        <f t="shared" si="42"/>
        <v>0.45500000000000002</v>
      </c>
      <c r="AG5742" s="223">
        <f t="shared" si="41"/>
        <v>1.3186813186813187</v>
      </c>
      <c r="AH5742" s="346"/>
      <c r="AI5742" s="427"/>
      <c r="AJ5742" s="480"/>
      <c r="AK5742" s="427"/>
      <c r="AU5742" s="218"/>
      <c r="AV5742" s="218"/>
      <c r="AW5742" s="218"/>
      <c r="AX5742" s="218"/>
      <c r="AY5742" s="218"/>
      <c r="BI5742" s="427"/>
      <c r="BJ5742" s="427"/>
      <c r="BK5742" s="427"/>
      <c r="BL5742" s="427"/>
      <c r="BM5742" s="427"/>
      <c r="BN5742" s="427"/>
      <c r="BO5742" s="427"/>
      <c r="BP5742" s="427"/>
      <c r="BQ5742" s="427"/>
      <c r="BR5742" s="427"/>
      <c r="BS5742" s="427"/>
      <c r="BT5742" s="427"/>
      <c r="BU5742" s="427"/>
      <c r="BV5742" s="427"/>
      <c r="BW5742" s="427"/>
      <c r="BX5742" s="427"/>
      <c r="BY5742" s="427"/>
      <c r="BZ5742" s="427"/>
    </row>
    <row r="5743" spans="2:78" s="152" customFormat="1" x14ac:dyDescent="0.2">
      <c r="B5743" s="683"/>
      <c r="C5743" s="683"/>
      <c r="D5743" s="698"/>
      <c r="E5743" s="215"/>
      <c r="F5743" s="215"/>
      <c r="G5743" s="427"/>
      <c r="H5743" s="427"/>
      <c r="I5743" s="427"/>
      <c r="J5743" s="427"/>
      <c r="K5743" s="427"/>
      <c r="L5743" s="653"/>
      <c r="M5743" s="666">
        <v>33392</v>
      </c>
      <c r="N5743" s="600">
        <v>0.7</v>
      </c>
      <c r="O5743" s="608">
        <v>2.1</v>
      </c>
      <c r="P5743" s="782"/>
      <c r="Q5743" s="764"/>
      <c r="R5743" s="764"/>
      <c r="S5743" s="764"/>
      <c r="T5743" s="764"/>
      <c r="U5743" s="764"/>
      <c r="V5743" s="764"/>
      <c r="W5743" s="764"/>
      <c r="X5743" s="764"/>
      <c r="Y5743" s="768"/>
      <c r="Z5743" s="762"/>
      <c r="AA5743" s="150"/>
      <c r="AB5743" s="150">
        <v>31</v>
      </c>
      <c r="AC5743" s="150">
        <v>8.6999999999999994E-3</v>
      </c>
      <c r="AD5743" s="150">
        <v>3.5</v>
      </c>
      <c r="AE5743" s="223">
        <v>0.14000000000000001</v>
      </c>
      <c r="AF5743" s="223">
        <f t="shared" si="42"/>
        <v>0.49000000000000005</v>
      </c>
      <c r="AG5743" s="223">
        <f t="shared" si="41"/>
        <v>1.4285714285714284</v>
      </c>
      <c r="AH5743" s="346"/>
      <c r="AI5743" s="427"/>
      <c r="AJ5743" s="480"/>
      <c r="AK5743" s="427"/>
      <c r="AU5743" s="218"/>
      <c r="AV5743" s="218"/>
      <c r="AW5743" s="218"/>
      <c r="AX5743" s="218"/>
      <c r="AY5743" s="218"/>
      <c r="BI5743" s="427"/>
      <c r="BJ5743" s="427"/>
      <c r="BK5743" s="427"/>
      <c r="BL5743" s="427"/>
      <c r="BM5743" s="427"/>
      <c r="BN5743" s="427"/>
      <c r="BO5743" s="427"/>
      <c r="BP5743" s="427"/>
      <c r="BQ5743" s="427"/>
      <c r="BR5743" s="427"/>
      <c r="BS5743" s="427"/>
      <c r="BT5743" s="427"/>
      <c r="BU5743" s="427"/>
      <c r="BV5743" s="427"/>
      <c r="BW5743" s="427"/>
      <c r="BX5743" s="427"/>
      <c r="BY5743" s="427"/>
      <c r="BZ5743" s="427"/>
    </row>
    <row r="5744" spans="2:78" s="152" customFormat="1" x14ac:dyDescent="0.2">
      <c r="B5744" s="683"/>
      <c r="C5744" s="683"/>
      <c r="D5744" s="698"/>
      <c r="E5744" s="215"/>
      <c r="F5744" s="215"/>
      <c r="G5744" s="427"/>
      <c r="H5744" s="427"/>
      <c r="I5744" s="427"/>
      <c r="J5744" s="427"/>
      <c r="K5744" s="427"/>
      <c r="L5744" s="653"/>
      <c r="M5744" s="666">
        <v>33392</v>
      </c>
      <c r="N5744" s="600">
        <v>0.7</v>
      </c>
      <c r="O5744" s="608">
        <v>1.75</v>
      </c>
      <c r="P5744" s="782"/>
      <c r="Q5744" s="764"/>
      <c r="R5744" s="764"/>
      <c r="S5744" s="764"/>
      <c r="T5744" s="764"/>
      <c r="U5744" s="764"/>
      <c r="V5744" s="764"/>
      <c r="W5744" s="764"/>
      <c r="X5744" s="764"/>
      <c r="Y5744" s="768"/>
      <c r="Z5744" s="762"/>
      <c r="AA5744" s="150"/>
      <c r="AB5744" s="150">
        <v>32</v>
      </c>
      <c r="AC5744" s="150">
        <v>8.8000000000000005E-3</v>
      </c>
      <c r="AD5744" s="150">
        <v>3.5</v>
      </c>
      <c r="AE5744" s="223">
        <v>0.15</v>
      </c>
      <c r="AF5744" s="223">
        <f t="shared" si="42"/>
        <v>0.52500000000000002</v>
      </c>
      <c r="AG5744" s="223">
        <f t="shared" si="41"/>
        <v>1.3333333333333333</v>
      </c>
      <c r="AH5744" s="346"/>
      <c r="AI5744" s="427"/>
      <c r="AJ5744" s="480"/>
      <c r="AK5744" s="427"/>
      <c r="AU5744" s="218"/>
      <c r="AV5744" s="218"/>
      <c r="AW5744" s="218"/>
      <c r="AX5744" s="218"/>
      <c r="AY5744" s="218"/>
      <c r="BI5744" s="427"/>
      <c r="BJ5744" s="427"/>
      <c r="BK5744" s="427"/>
      <c r="BL5744" s="427"/>
      <c r="BM5744" s="427"/>
      <c r="BN5744" s="427"/>
      <c r="BO5744" s="427"/>
      <c r="BP5744" s="427"/>
      <c r="BQ5744" s="427"/>
      <c r="BR5744" s="427"/>
      <c r="BS5744" s="427"/>
      <c r="BT5744" s="427"/>
      <c r="BU5744" s="427"/>
      <c r="BV5744" s="427"/>
      <c r="BW5744" s="427"/>
      <c r="BX5744" s="427"/>
      <c r="BY5744" s="427"/>
      <c r="BZ5744" s="427"/>
    </row>
    <row r="5745" spans="2:78" s="152" customFormat="1" x14ac:dyDescent="0.2">
      <c r="B5745" s="683"/>
      <c r="C5745" s="683"/>
      <c r="D5745" s="698"/>
      <c r="E5745" s="215"/>
      <c r="F5745" s="215"/>
      <c r="G5745" s="427"/>
      <c r="H5745" s="427"/>
      <c r="I5745" s="427"/>
      <c r="J5745" s="427"/>
      <c r="K5745" s="427"/>
      <c r="L5745" s="653"/>
      <c r="M5745" s="666">
        <v>33392</v>
      </c>
      <c r="N5745" s="600">
        <v>0.7</v>
      </c>
      <c r="O5745" s="608">
        <v>2.0649999999999999</v>
      </c>
      <c r="P5745" s="782"/>
      <c r="Q5745" s="764"/>
      <c r="R5745" s="764"/>
      <c r="S5745" s="764"/>
      <c r="T5745" s="764"/>
      <c r="U5745" s="764"/>
      <c r="V5745" s="764"/>
      <c r="W5745" s="764"/>
      <c r="X5745" s="764"/>
      <c r="Y5745" s="768"/>
      <c r="Z5745" s="762"/>
      <c r="AA5745" s="150"/>
      <c r="AB5745" s="150">
        <v>33</v>
      </c>
      <c r="AC5745" s="150">
        <v>8.6999999999999994E-3</v>
      </c>
      <c r="AD5745" s="150">
        <v>3.5</v>
      </c>
      <c r="AE5745" s="223">
        <v>0.15</v>
      </c>
      <c r="AF5745" s="223">
        <f t="shared" si="42"/>
        <v>0.52500000000000002</v>
      </c>
      <c r="AG5745" s="223">
        <f t="shared" ref="AG5745:AG5776" si="43">N5745/AF5745</f>
        <v>1.3333333333333333</v>
      </c>
      <c r="AH5745" s="346"/>
      <c r="AI5745" s="427"/>
      <c r="AJ5745" s="480"/>
      <c r="AK5745" s="427"/>
      <c r="AU5745" s="218"/>
      <c r="AV5745" s="218"/>
      <c r="AW5745" s="218"/>
      <c r="AX5745" s="218"/>
      <c r="AY5745" s="218"/>
      <c r="BI5745" s="427"/>
      <c r="BJ5745" s="427"/>
      <c r="BK5745" s="427"/>
      <c r="BL5745" s="427"/>
      <c r="BM5745" s="427"/>
      <c r="BN5745" s="427"/>
      <c r="BO5745" s="427"/>
      <c r="BP5745" s="427"/>
      <c r="BQ5745" s="427"/>
      <c r="BR5745" s="427"/>
      <c r="BS5745" s="427"/>
      <c r="BT5745" s="427"/>
      <c r="BU5745" s="427"/>
      <c r="BV5745" s="427"/>
      <c r="BW5745" s="427"/>
      <c r="BX5745" s="427"/>
      <c r="BY5745" s="427"/>
      <c r="BZ5745" s="427"/>
    </row>
    <row r="5746" spans="2:78" s="152" customFormat="1" x14ac:dyDescent="0.2">
      <c r="B5746" s="683"/>
      <c r="C5746" s="683"/>
      <c r="D5746" s="698"/>
      <c r="E5746" s="215"/>
      <c r="F5746" s="215"/>
      <c r="G5746" s="427"/>
      <c r="H5746" s="427"/>
      <c r="I5746" s="427"/>
      <c r="J5746" s="427"/>
      <c r="K5746" s="427"/>
      <c r="L5746" s="653"/>
      <c r="M5746" s="666">
        <v>33392</v>
      </c>
      <c r="N5746" s="600">
        <v>0.7</v>
      </c>
      <c r="O5746" s="608">
        <v>1.9949999999999999</v>
      </c>
      <c r="P5746" s="782"/>
      <c r="Q5746" s="764"/>
      <c r="R5746" s="764"/>
      <c r="S5746" s="764"/>
      <c r="T5746" s="764"/>
      <c r="U5746" s="764"/>
      <c r="V5746" s="764"/>
      <c r="W5746" s="764"/>
      <c r="X5746" s="764"/>
      <c r="Y5746" s="768"/>
      <c r="Z5746" s="762"/>
      <c r="AA5746" s="150"/>
      <c r="AB5746" s="150">
        <v>34</v>
      </c>
      <c r="AC5746" s="150">
        <v>8.8000000000000005E-3</v>
      </c>
      <c r="AD5746" s="150">
        <v>3.5</v>
      </c>
      <c r="AE5746" s="223">
        <v>0.15</v>
      </c>
      <c r="AF5746" s="223">
        <f t="shared" si="42"/>
        <v>0.52500000000000002</v>
      </c>
      <c r="AG5746" s="223">
        <f t="shared" si="43"/>
        <v>1.3333333333333333</v>
      </c>
      <c r="AH5746" s="346"/>
      <c r="AI5746" s="427"/>
      <c r="AJ5746" s="480"/>
      <c r="AK5746" s="427"/>
      <c r="AU5746" s="218"/>
      <c r="AV5746" s="218"/>
      <c r="AW5746" s="218"/>
      <c r="AX5746" s="218"/>
      <c r="AY5746" s="218"/>
      <c r="BI5746" s="427"/>
      <c r="BJ5746" s="427"/>
      <c r="BK5746" s="427"/>
      <c r="BL5746" s="427"/>
      <c r="BM5746" s="427"/>
      <c r="BN5746" s="427"/>
      <c r="BO5746" s="427"/>
      <c r="BP5746" s="427"/>
      <c r="BQ5746" s="427"/>
      <c r="BR5746" s="427"/>
      <c r="BS5746" s="427"/>
      <c r="BT5746" s="427"/>
      <c r="BU5746" s="427"/>
      <c r="BV5746" s="427"/>
      <c r="BW5746" s="427"/>
      <c r="BX5746" s="427"/>
      <c r="BY5746" s="427"/>
      <c r="BZ5746" s="427"/>
    </row>
    <row r="5747" spans="2:78" s="152" customFormat="1" x14ac:dyDescent="0.2">
      <c r="B5747" s="683"/>
      <c r="C5747" s="683"/>
      <c r="D5747" s="698"/>
      <c r="E5747" s="215"/>
      <c r="F5747" s="215"/>
      <c r="G5747" s="427"/>
      <c r="H5747" s="427"/>
      <c r="I5747" s="427"/>
      <c r="J5747" s="427"/>
      <c r="K5747" s="427"/>
      <c r="L5747" s="653"/>
      <c r="M5747" s="666">
        <v>33392</v>
      </c>
      <c r="N5747" s="600">
        <v>0.7</v>
      </c>
      <c r="O5747" s="608">
        <v>1.61</v>
      </c>
      <c r="P5747" s="782"/>
      <c r="Q5747" s="764"/>
      <c r="R5747" s="764"/>
      <c r="S5747" s="764"/>
      <c r="T5747" s="764"/>
      <c r="U5747" s="764"/>
      <c r="V5747" s="764"/>
      <c r="W5747" s="764"/>
      <c r="X5747" s="764"/>
      <c r="Y5747" s="768"/>
      <c r="Z5747" s="762"/>
      <c r="AA5747" s="150"/>
      <c r="AB5747" s="150">
        <v>35</v>
      </c>
      <c r="AC5747" s="150">
        <v>8.6999999999999994E-3</v>
      </c>
      <c r="AD5747" s="150">
        <v>3.5</v>
      </c>
      <c r="AE5747" s="223">
        <v>0.14000000000000001</v>
      </c>
      <c r="AF5747" s="223">
        <f t="shared" si="42"/>
        <v>0.49000000000000005</v>
      </c>
      <c r="AG5747" s="223">
        <f t="shared" si="43"/>
        <v>1.4285714285714284</v>
      </c>
      <c r="AH5747" s="346"/>
      <c r="AI5747" s="427"/>
      <c r="AJ5747" s="480"/>
      <c r="AK5747" s="427"/>
      <c r="AU5747" s="218"/>
      <c r="AV5747" s="218"/>
      <c r="AW5747" s="218"/>
      <c r="AX5747" s="218"/>
      <c r="AY5747" s="218"/>
      <c r="BI5747" s="427"/>
      <c r="BJ5747" s="427"/>
      <c r="BK5747" s="427"/>
      <c r="BL5747" s="427"/>
      <c r="BM5747" s="427"/>
      <c r="BN5747" s="427"/>
      <c r="BO5747" s="427"/>
      <c r="BP5747" s="427"/>
      <c r="BQ5747" s="427"/>
      <c r="BR5747" s="427"/>
      <c r="BS5747" s="427"/>
      <c r="BT5747" s="427"/>
      <c r="BU5747" s="427"/>
      <c r="BV5747" s="427"/>
      <c r="BW5747" s="427"/>
      <c r="BX5747" s="427"/>
      <c r="BY5747" s="427"/>
      <c r="BZ5747" s="427"/>
    </row>
    <row r="5748" spans="2:78" s="152" customFormat="1" x14ac:dyDescent="0.2">
      <c r="B5748" s="683"/>
      <c r="C5748" s="683"/>
      <c r="D5748" s="698"/>
      <c r="E5748" s="215"/>
      <c r="F5748" s="215"/>
      <c r="G5748" s="427"/>
      <c r="H5748" s="427"/>
      <c r="I5748" s="427"/>
      <c r="J5748" s="427"/>
      <c r="K5748" s="427"/>
      <c r="L5748" s="653"/>
      <c r="M5748" s="666">
        <v>33392</v>
      </c>
      <c r="N5748" s="600">
        <v>0.6</v>
      </c>
      <c r="O5748" s="608">
        <v>2.2749999999999999</v>
      </c>
      <c r="P5748" s="782"/>
      <c r="Q5748" s="764"/>
      <c r="R5748" s="764"/>
      <c r="S5748" s="764"/>
      <c r="T5748" s="764"/>
      <c r="U5748" s="764"/>
      <c r="V5748" s="764"/>
      <c r="W5748" s="764"/>
      <c r="X5748" s="764"/>
      <c r="Y5748" s="768"/>
      <c r="Z5748" s="762"/>
      <c r="AA5748" s="150"/>
      <c r="AB5748" s="150">
        <v>36</v>
      </c>
      <c r="AC5748" s="150">
        <v>8.6999999999999994E-3</v>
      </c>
      <c r="AD5748" s="150">
        <v>3.5</v>
      </c>
      <c r="AE5748" s="223">
        <v>0.14000000000000001</v>
      </c>
      <c r="AF5748" s="223">
        <f t="shared" si="42"/>
        <v>0.49000000000000005</v>
      </c>
      <c r="AG5748" s="223">
        <f t="shared" si="43"/>
        <v>1.2244897959183672</v>
      </c>
      <c r="AH5748" s="346"/>
      <c r="AI5748" s="427"/>
      <c r="AJ5748" s="480"/>
      <c r="AK5748" s="427"/>
      <c r="AU5748" s="218"/>
      <c r="AV5748" s="218"/>
      <c r="AW5748" s="218"/>
      <c r="AX5748" s="218"/>
      <c r="AY5748" s="218"/>
      <c r="BI5748" s="427"/>
      <c r="BJ5748" s="427"/>
      <c r="BK5748" s="427"/>
      <c r="BL5748" s="427"/>
      <c r="BM5748" s="427"/>
      <c r="BN5748" s="427"/>
      <c r="BO5748" s="427"/>
      <c r="BP5748" s="427"/>
      <c r="BQ5748" s="427"/>
      <c r="BR5748" s="427"/>
      <c r="BS5748" s="427"/>
      <c r="BT5748" s="427"/>
      <c r="BU5748" s="427"/>
      <c r="BV5748" s="427"/>
      <c r="BW5748" s="427"/>
      <c r="BX5748" s="427"/>
      <c r="BY5748" s="427"/>
      <c r="BZ5748" s="427"/>
    </row>
    <row r="5749" spans="2:78" s="152" customFormat="1" x14ac:dyDescent="0.2">
      <c r="B5749" s="683"/>
      <c r="C5749" s="683"/>
      <c r="D5749" s="698"/>
      <c r="E5749" s="215"/>
      <c r="F5749" s="215"/>
      <c r="G5749" s="427"/>
      <c r="H5749" s="427"/>
      <c r="I5749" s="427"/>
      <c r="J5749" s="427"/>
      <c r="K5749" s="427"/>
      <c r="L5749" s="653"/>
      <c r="M5749" s="666">
        <v>33392</v>
      </c>
      <c r="N5749" s="600">
        <v>0.6</v>
      </c>
      <c r="O5749" s="608">
        <v>1.82</v>
      </c>
      <c r="P5749" s="782"/>
      <c r="Q5749" s="764"/>
      <c r="R5749" s="764"/>
      <c r="S5749" s="764"/>
      <c r="T5749" s="764"/>
      <c r="U5749" s="764"/>
      <c r="V5749" s="764"/>
      <c r="W5749" s="764"/>
      <c r="X5749" s="764"/>
      <c r="Y5749" s="768"/>
      <c r="Z5749" s="762"/>
      <c r="AA5749" s="150"/>
      <c r="AB5749" s="150">
        <v>37</v>
      </c>
      <c r="AC5749" s="150">
        <v>8.6999999999999994E-3</v>
      </c>
      <c r="AD5749" s="150">
        <v>3.5</v>
      </c>
      <c r="AE5749" s="223">
        <v>0.14000000000000001</v>
      </c>
      <c r="AF5749" s="223">
        <f t="shared" si="42"/>
        <v>0.49000000000000005</v>
      </c>
      <c r="AG5749" s="223">
        <f t="shared" si="43"/>
        <v>1.2244897959183672</v>
      </c>
      <c r="AH5749" s="346"/>
      <c r="AI5749" s="427"/>
      <c r="AJ5749" s="480"/>
      <c r="AK5749" s="427"/>
      <c r="AU5749" s="218"/>
      <c r="AV5749" s="218"/>
      <c r="AW5749" s="218"/>
      <c r="AX5749" s="218"/>
      <c r="AY5749" s="218"/>
      <c r="BI5749" s="427"/>
      <c r="BJ5749" s="427"/>
      <c r="BK5749" s="427"/>
      <c r="BL5749" s="427"/>
      <c r="BM5749" s="427"/>
      <c r="BN5749" s="427"/>
      <c r="BO5749" s="427"/>
      <c r="BP5749" s="427"/>
      <c r="BQ5749" s="427"/>
      <c r="BR5749" s="427"/>
      <c r="BS5749" s="427"/>
      <c r="BT5749" s="427"/>
      <c r="BU5749" s="427"/>
      <c r="BV5749" s="427"/>
      <c r="BW5749" s="427"/>
      <c r="BX5749" s="427"/>
      <c r="BY5749" s="427"/>
      <c r="BZ5749" s="427"/>
    </row>
    <row r="5750" spans="2:78" s="152" customFormat="1" x14ac:dyDescent="0.2">
      <c r="B5750" s="683"/>
      <c r="C5750" s="683"/>
      <c r="D5750" s="698"/>
      <c r="E5750" s="215"/>
      <c r="F5750" s="215"/>
      <c r="G5750" s="427"/>
      <c r="H5750" s="427"/>
      <c r="I5750" s="427"/>
      <c r="J5750" s="427"/>
      <c r="K5750" s="427"/>
      <c r="L5750" s="653"/>
      <c r="M5750" s="666">
        <v>33392</v>
      </c>
      <c r="N5750" s="600">
        <v>0.6</v>
      </c>
      <c r="O5750" s="608">
        <v>1.26</v>
      </c>
      <c r="P5750" s="782"/>
      <c r="Q5750" s="764"/>
      <c r="R5750" s="764"/>
      <c r="S5750" s="764"/>
      <c r="T5750" s="764"/>
      <c r="U5750" s="764"/>
      <c r="V5750" s="764"/>
      <c r="W5750" s="764"/>
      <c r="X5750" s="764"/>
      <c r="Y5750" s="768"/>
      <c r="Z5750" s="762"/>
      <c r="AA5750" s="150"/>
      <c r="AB5750" s="150">
        <v>38</v>
      </c>
      <c r="AC5750" s="150">
        <v>8.6999999999999994E-3</v>
      </c>
      <c r="AD5750" s="150">
        <v>3.5</v>
      </c>
      <c r="AE5750" s="223">
        <v>0.13</v>
      </c>
      <c r="AF5750" s="223">
        <f t="shared" si="42"/>
        <v>0.45500000000000002</v>
      </c>
      <c r="AG5750" s="223">
        <f t="shared" si="43"/>
        <v>1.3186813186813187</v>
      </c>
      <c r="AH5750" s="346"/>
      <c r="AI5750" s="427"/>
      <c r="AJ5750" s="480"/>
      <c r="AK5750" s="427"/>
      <c r="AU5750" s="218"/>
      <c r="AV5750" s="218"/>
      <c r="AW5750" s="218"/>
      <c r="AX5750" s="218"/>
      <c r="AY5750" s="218"/>
      <c r="BI5750" s="427"/>
      <c r="BJ5750" s="427"/>
      <c r="BK5750" s="427"/>
      <c r="BL5750" s="427"/>
      <c r="BM5750" s="427"/>
      <c r="BN5750" s="427"/>
      <c r="BO5750" s="427"/>
      <c r="BP5750" s="427"/>
      <c r="BQ5750" s="427"/>
      <c r="BR5750" s="427"/>
      <c r="BS5750" s="427"/>
      <c r="BT5750" s="427"/>
      <c r="BU5750" s="427"/>
      <c r="BV5750" s="427"/>
      <c r="BW5750" s="427"/>
      <c r="BX5750" s="427"/>
      <c r="BY5750" s="427"/>
      <c r="BZ5750" s="427"/>
    </row>
    <row r="5751" spans="2:78" s="152" customFormat="1" x14ac:dyDescent="0.2">
      <c r="B5751" s="683"/>
      <c r="C5751" s="683"/>
      <c r="D5751" s="698"/>
      <c r="E5751" s="215"/>
      <c r="F5751" s="215"/>
      <c r="G5751" s="427"/>
      <c r="H5751" s="427"/>
      <c r="I5751" s="427"/>
      <c r="J5751" s="427"/>
      <c r="K5751" s="427"/>
      <c r="L5751" s="653"/>
      <c r="M5751" s="666">
        <v>33392</v>
      </c>
      <c r="N5751" s="600">
        <v>0.5</v>
      </c>
      <c r="O5751" s="608">
        <v>1.7149999999999999</v>
      </c>
      <c r="P5751" s="782"/>
      <c r="Q5751" s="764"/>
      <c r="R5751" s="764"/>
      <c r="S5751" s="764"/>
      <c r="T5751" s="764"/>
      <c r="U5751" s="764"/>
      <c r="V5751" s="764"/>
      <c r="W5751" s="764"/>
      <c r="X5751" s="764"/>
      <c r="Y5751" s="768"/>
      <c r="Z5751" s="762"/>
      <c r="AA5751" s="150"/>
      <c r="AB5751" s="150">
        <v>39</v>
      </c>
      <c r="AC5751" s="150">
        <v>8.6999999999999994E-3</v>
      </c>
      <c r="AD5751" s="150">
        <v>3.5</v>
      </c>
      <c r="AE5751" s="223">
        <v>0.13</v>
      </c>
      <c r="AF5751" s="223">
        <f t="shared" si="42"/>
        <v>0.45500000000000002</v>
      </c>
      <c r="AG5751" s="223">
        <f t="shared" si="43"/>
        <v>1.0989010989010988</v>
      </c>
      <c r="AH5751" s="346"/>
      <c r="AI5751" s="427"/>
      <c r="AJ5751" s="480"/>
      <c r="AK5751" s="427"/>
      <c r="AU5751" s="218"/>
      <c r="AV5751" s="218"/>
      <c r="AW5751" s="218"/>
      <c r="AX5751" s="218"/>
      <c r="AY5751" s="218"/>
      <c r="BI5751" s="427"/>
      <c r="BJ5751" s="427"/>
      <c r="BK5751" s="427"/>
      <c r="BL5751" s="427"/>
      <c r="BM5751" s="427"/>
      <c r="BN5751" s="427"/>
      <c r="BO5751" s="427"/>
      <c r="BP5751" s="427"/>
      <c r="BQ5751" s="427"/>
      <c r="BR5751" s="427"/>
      <c r="BS5751" s="427"/>
      <c r="BT5751" s="427"/>
      <c r="BU5751" s="427"/>
      <c r="BV5751" s="427"/>
      <c r="BW5751" s="427"/>
      <c r="BX5751" s="427"/>
      <c r="BY5751" s="427"/>
      <c r="BZ5751" s="427"/>
    </row>
    <row r="5752" spans="2:78" s="152" customFormat="1" x14ac:dyDescent="0.2">
      <c r="B5752" s="683"/>
      <c r="C5752" s="683"/>
      <c r="D5752" s="698"/>
      <c r="E5752" s="215"/>
      <c r="F5752" s="215"/>
      <c r="G5752" s="427"/>
      <c r="H5752" s="427"/>
      <c r="I5752" s="427"/>
      <c r="J5752" s="427"/>
      <c r="K5752" s="427"/>
      <c r="L5752" s="653"/>
      <c r="M5752" s="666">
        <v>33392</v>
      </c>
      <c r="N5752" s="600">
        <v>0.5</v>
      </c>
      <c r="O5752" s="608">
        <v>1.575</v>
      </c>
      <c r="P5752" s="782"/>
      <c r="Q5752" s="764"/>
      <c r="R5752" s="764"/>
      <c r="S5752" s="764"/>
      <c r="T5752" s="764"/>
      <c r="U5752" s="764"/>
      <c r="V5752" s="764"/>
      <c r="W5752" s="764"/>
      <c r="X5752" s="764"/>
      <c r="Y5752" s="768"/>
      <c r="Z5752" s="762"/>
      <c r="AA5752" s="150"/>
      <c r="AB5752" s="150">
        <v>40</v>
      </c>
      <c r="AC5752" s="150">
        <v>8.6999999999999994E-3</v>
      </c>
      <c r="AD5752" s="150">
        <v>3.5</v>
      </c>
      <c r="AE5752" s="223">
        <v>0.12</v>
      </c>
      <c r="AF5752" s="223">
        <f t="shared" si="42"/>
        <v>0.42</v>
      </c>
      <c r="AG5752" s="223">
        <f t="shared" si="43"/>
        <v>1.1904761904761905</v>
      </c>
      <c r="AH5752" s="346"/>
      <c r="AI5752" s="427"/>
      <c r="AJ5752" s="480"/>
      <c r="AK5752" s="427"/>
      <c r="AU5752" s="218"/>
      <c r="AV5752" s="218"/>
      <c r="AW5752" s="218"/>
      <c r="AX5752" s="218"/>
      <c r="AY5752" s="218"/>
      <c r="BI5752" s="427"/>
      <c r="BJ5752" s="427"/>
      <c r="BK5752" s="427"/>
      <c r="BL5752" s="427"/>
      <c r="BM5752" s="427"/>
      <c r="BN5752" s="427"/>
      <c r="BO5752" s="427"/>
      <c r="BP5752" s="427"/>
      <c r="BQ5752" s="427"/>
      <c r="BR5752" s="427"/>
      <c r="BS5752" s="427"/>
      <c r="BT5752" s="427"/>
      <c r="BU5752" s="427"/>
      <c r="BV5752" s="427"/>
      <c r="BW5752" s="427"/>
      <c r="BX5752" s="427"/>
      <c r="BY5752" s="427"/>
      <c r="BZ5752" s="427"/>
    </row>
    <row r="5753" spans="2:78" s="152" customFormat="1" x14ac:dyDescent="0.2">
      <c r="B5753" s="683"/>
      <c r="C5753" s="683"/>
      <c r="D5753" s="698"/>
      <c r="E5753" s="215"/>
      <c r="F5753" s="215"/>
      <c r="G5753" s="427"/>
      <c r="H5753" s="427"/>
      <c r="I5753" s="427"/>
      <c r="J5753" s="427"/>
      <c r="K5753" s="427"/>
      <c r="L5753" s="653"/>
      <c r="M5753" s="666">
        <v>33392</v>
      </c>
      <c r="N5753" s="600">
        <v>0.4</v>
      </c>
      <c r="O5753" s="608">
        <v>1.2249999999999999</v>
      </c>
      <c r="P5753" s="782"/>
      <c r="Q5753" s="764"/>
      <c r="R5753" s="764"/>
      <c r="S5753" s="764"/>
      <c r="T5753" s="764"/>
      <c r="U5753" s="764"/>
      <c r="V5753" s="764"/>
      <c r="W5753" s="764"/>
      <c r="X5753" s="764"/>
      <c r="Y5753" s="768"/>
      <c r="Z5753" s="762"/>
      <c r="AA5753" s="150"/>
      <c r="AB5753" s="150">
        <v>41</v>
      </c>
      <c r="AC5753" s="150">
        <v>8.6E-3</v>
      </c>
      <c r="AD5753" s="150">
        <v>3.5</v>
      </c>
      <c r="AE5753" s="223">
        <v>0.12</v>
      </c>
      <c r="AF5753" s="223">
        <f t="shared" si="42"/>
        <v>0.42</v>
      </c>
      <c r="AG5753" s="223">
        <f t="shared" si="43"/>
        <v>0.95238095238095244</v>
      </c>
      <c r="AH5753" s="346"/>
      <c r="AI5753" s="427"/>
      <c r="AJ5753" s="480"/>
      <c r="AK5753" s="427"/>
      <c r="AU5753" s="218"/>
      <c r="AV5753" s="218"/>
      <c r="AW5753" s="218"/>
      <c r="AX5753" s="218"/>
      <c r="AY5753" s="218"/>
      <c r="BI5753" s="427"/>
      <c r="BJ5753" s="427"/>
      <c r="BK5753" s="427"/>
      <c r="BL5753" s="427"/>
      <c r="BM5753" s="427"/>
      <c r="BN5753" s="427"/>
      <c r="BO5753" s="427"/>
      <c r="BP5753" s="427"/>
      <c r="BQ5753" s="427"/>
      <c r="BR5753" s="427"/>
      <c r="BS5753" s="427"/>
      <c r="BT5753" s="427"/>
      <c r="BU5753" s="427"/>
      <c r="BV5753" s="427"/>
      <c r="BW5753" s="427"/>
      <c r="BX5753" s="427"/>
      <c r="BY5753" s="427"/>
      <c r="BZ5753" s="427"/>
    </row>
    <row r="5754" spans="2:78" s="152" customFormat="1" x14ac:dyDescent="0.2">
      <c r="B5754" s="683"/>
      <c r="C5754" s="683"/>
      <c r="D5754" s="698"/>
      <c r="E5754" s="215"/>
      <c r="F5754" s="215"/>
      <c r="G5754" s="427"/>
      <c r="H5754" s="427"/>
      <c r="I5754" s="427"/>
      <c r="J5754" s="427"/>
      <c r="K5754" s="427"/>
      <c r="L5754" s="653"/>
      <c r="M5754" s="666">
        <v>33392</v>
      </c>
      <c r="N5754" s="600">
        <v>0.4</v>
      </c>
      <c r="O5754" s="608">
        <v>1.7149999999999999</v>
      </c>
      <c r="P5754" s="782"/>
      <c r="Q5754" s="764"/>
      <c r="R5754" s="764"/>
      <c r="S5754" s="764"/>
      <c r="T5754" s="764"/>
      <c r="U5754" s="764"/>
      <c r="V5754" s="764"/>
      <c r="W5754" s="764"/>
      <c r="X5754" s="764"/>
      <c r="Y5754" s="768"/>
      <c r="Z5754" s="762"/>
      <c r="AA5754" s="150"/>
      <c r="AB5754" s="150">
        <v>42</v>
      </c>
      <c r="AC5754" s="150">
        <v>8.6E-3</v>
      </c>
      <c r="AD5754" s="150">
        <v>3.5</v>
      </c>
      <c r="AE5754" s="223">
        <v>0.12</v>
      </c>
      <c r="AF5754" s="223">
        <f t="shared" si="42"/>
        <v>0.42</v>
      </c>
      <c r="AG5754" s="223">
        <f t="shared" si="43"/>
        <v>0.95238095238095244</v>
      </c>
      <c r="AH5754" s="346"/>
      <c r="AI5754" s="427"/>
      <c r="AJ5754" s="480"/>
      <c r="AK5754" s="427"/>
      <c r="AU5754" s="218"/>
      <c r="AV5754" s="218"/>
      <c r="AW5754" s="218"/>
      <c r="AX5754" s="218"/>
      <c r="AY5754" s="218"/>
      <c r="BI5754" s="427"/>
      <c r="BJ5754" s="427"/>
      <c r="BK5754" s="427"/>
      <c r="BL5754" s="427"/>
      <c r="BM5754" s="427"/>
      <c r="BN5754" s="427"/>
      <c r="BO5754" s="427"/>
      <c r="BP5754" s="427"/>
      <c r="BQ5754" s="427"/>
      <c r="BR5754" s="427"/>
      <c r="BS5754" s="427"/>
      <c r="BT5754" s="427"/>
      <c r="BU5754" s="427"/>
      <c r="BV5754" s="427"/>
      <c r="BW5754" s="427"/>
      <c r="BX5754" s="427"/>
      <c r="BY5754" s="427"/>
      <c r="BZ5754" s="427"/>
    </row>
    <row r="5755" spans="2:78" s="152" customFormat="1" x14ac:dyDescent="0.2">
      <c r="B5755" s="683"/>
      <c r="C5755" s="683"/>
      <c r="D5755" s="698"/>
      <c r="E5755" s="215"/>
      <c r="F5755" s="215"/>
      <c r="G5755" s="427"/>
      <c r="H5755" s="427"/>
      <c r="I5755" s="427"/>
      <c r="J5755" s="427"/>
      <c r="K5755" s="427"/>
      <c r="L5755" s="653"/>
      <c r="M5755" s="666">
        <v>33392</v>
      </c>
      <c r="N5755" s="600">
        <v>0.4</v>
      </c>
      <c r="O5755" s="608">
        <v>1.085</v>
      </c>
      <c r="P5755" s="782"/>
      <c r="Q5755" s="764"/>
      <c r="R5755" s="764"/>
      <c r="S5755" s="764"/>
      <c r="T5755" s="764"/>
      <c r="U5755" s="764"/>
      <c r="V5755" s="764"/>
      <c r="W5755" s="764"/>
      <c r="X5755" s="764"/>
      <c r="Y5755" s="768"/>
      <c r="Z5755" s="762"/>
      <c r="AA5755" s="150"/>
      <c r="AB5755" s="150">
        <v>43</v>
      </c>
      <c r="AC5755" s="150">
        <v>8.5000000000000006E-3</v>
      </c>
      <c r="AD5755" s="150">
        <v>3.5</v>
      </c>
      <c r="AE5755" s="223">
        <v>0.11</v>
      </c>
      <c r="AF5755" s="223">
        <f t="shared" si="42"/>
        <v>0.38500000000000001</v>
      </c>
      <c r="AG5755" s="223">
        <f t="shared" si="43"/>
        <v>1.0389610389610391</v>
      </c>
      <c r="AH5755" s="346"/>
      <c r="AI5755" s="427"/>
      <c r="AJ5755" s="480"/>
      <c r="AK5755" s="427"/>
      <c r="AU5755" s="218"/>
      <c r="AV5755" s="218"/>
      <c r="AW5755" s="218"/>
      <c r="AX5755" s="218"/>
      <c r="AY5755" s="218"/>
      <c r="BI5755" s="427"/>
      <c r="BJ5755" s="427"/>
      <c r="BK5755" s="427"/>
      <c r="BL5755" s="427"/>
      <c r="BM5755" s="427"/>
      <c r="BN5755" s="427"/>
      <c r="BO5755" s="427"/>
      <c r="BP5755" s="427"/>
      <c r="BQ5755" s="427"/>
      <c r="BR5755" s="427"/>
      <c r="BS5755" s="427"/>
      <c r="BT5755" s="427"/>
      <c r="BU5755" s="427"/>
      <c r="BV5755" s="427"/>
      <c r="BW5755" s="427"/>
      <c r="BX5755" s="427"/>
      <c r="BY5755" s="427"/>
      <c r="BZ5755" s="427"/>
    </row>
    <row r="5756" spans="2:78" s="152" customFormat="1" x14ac:dyDescent="0.2">
      <c r="B5756" s="683"/>
      <c r="C5756" s="683"/>
      <c r="D5756" s="698"/>
      <c r="E5756" s="215"/>
      <c r="F5756" s="215"/>
      <c r="G5756" s="427"/>
      <c r="H5756" s="427"/>
      <c r="I5756" s="427"/>
      <c r="J5756" s="427"/>
      <c r="K5756" s="427"/>
      <c r="L5756" s="653"/>
      <c r="M5756" s="666">
        <v>33392</v>
      </c>
      <c r="N5756" s="600">
        <v>0.3</v>
      </c>
      <c r="O5756" s="608">
        <v>1.1200000000000001</v>
      </c>
      <c r="P5756" s="782"/>
      <c r="Q5756" s="764"/>
      <c r="R5756" s="764"/>
      <c r="S5756" s="764"/>
      <c r="T5756" s="764"/>
      <c r="U5756" s="764"/>
      <c r="V5756" s="764"/>
      <c r="W5756" s="764"/>
      <c r="X5756" s="764"/>
      <c r="Y5756" s="768"/>
      <c r="Z5756" s="762"/>
      <c r="AA5756" s="150"/>
      <c r="AB5756" s="150">
        <v>44</v>
      </c>
      <c r="AC5756" s="150">
        <v>8.5000000000000006E-3</v>
      </c>
      <c r="AD5756" s="150">
        <v>3.5</v>
      </c>
      <c r="AE5756" s="223">
        <v>0.11</v>
      </c>
      <c r="AF5756" s="223">
        <f t="shared" si="42"/>
        <v>0.38500000000000001</v>
      </c>
      <c r="AG5756" s="223">
        <f t="shared" si="43"/>
        <v>0.77922077922077915</v>
      </c>
      <c r="AH5756" s="346"/>
      <c r="AI5756" s="427"/>
      <c r="AJ5756" s="480"/>
      <c r="AK5756" s="427"/>
      <c r="AU5756" s="218"/>
      <c r="AV5756" s="218"/>
      <c r="AW5756" s="218"/>
      <c r="AX5756" s="218"/>
      <c r="AY5756" s="218"/>
      <c r="BI5756" s="427"/>
      <c r="BJ5756" s="427"/>
      <c r="BK5756" s="427"/>
      <c r="BL5756" s="427"/>
      <c r="BM5756" s="427"/>
      <c r="BN5756" s="427"/>
      <c r="BO5756" s="427"/>
      <c r="BP5756" s="427"/>
      <c r="BQ5756" s="427"/>
      <c r="BR5756" s="427"/>
      <c r="BS5756" s="427"/>
      <c r="BT5756" s="427"/>
      <c r="BU5756" s="427"/>
      <c r="BV5756" s="427"/>
      <c r="BW5756" s="427"/>
      <c r="BX5756" s="427"/>
      <c r="BY5756" s="427"/>
      <c r="BZ5756" s="427"/>
    </row>
    <row r="5757" spans="2:78" s="152" customFormat="1" x14ac:dyDescent="0.2">
      <c r="B5757" s="683"/>
      <c r="C5757" s="683"/>
      <c r="D5757" s="698"/>
      <c r="E5757" s="215"/>
      <c r="F5757" s="215"/>
      <c r="G5757" s="427"/>
      <c r="H5757" s="427"/>
      <c r="I5757" s="427"/>
      <c r="J5757" s="427"/>
      <c r="K5757" s="427"/>
      <c r="L5757" s="653"/>
      <c r="M5757" s="666">
        <v>33392</v>
      </c>
      <c r="N5757" s="600">
        <v>1.7</v>
      </c>
      <c r="O5757" s="608">
        <v>16.38</v>
      </c>
      <c r="P5757" s="782"/>
      <c r="Q5757" s="764"/>
      <c r="R5757" s="764"/>
      <c r="S5757" s="764"/>
      <c r="T5757" s="764"/>
      <c r="U5757" s="764"/>
      <c r="V5757" s="764"/>
      <c r="W5757" s="764"/>
      <c r="X5757" s="764"/>
      <c r="Y5757" s="768"/>
      <c r="Z5757" s="762"/>
      <c r="AA5757" s="150"/>
      <c r="AB5757" s="150">
        <v>45</v>
      </c>
      <c r="AC5757" s="150">
        <v>1.01E-2</v>
      </c>
      <c r="AD5757" s="150">
        <v>3.5</v>
      </c>
      <c r="AE5757" s="223">
        <v>0.25</v>
      </c>
      <c r="AF5757" s="223">
        <f t="shared" si="42"/>
        <v>0.875</v>
      </c>
      <c r="AG5757" s="223">
        <f t="shared" si="43"/>
        <v>1.9428571428571428</v>
      </c>
      <c r="AH5757" s="346"/>
      <c r="AI5757" s="427"/>
      <c r="AJ5757" s="480"/>
      <c r="AK5757" s="427"/>
      <c r="AU5757" s="218"/>
      <c r="AV5757" s="218"/>
      <c r="AW5757" s="218"/>
      <c r="AX5757" s="218"/>
      <c r="AY5757" s="218"/>
      <c r="BI5757" s="427"/>
      <c r="BJ5757" s="427"/>
      <c r="BK5757" s="427"/>
      <c r="BL5757" s="427"/>
      <c r="BM5757" s="427"/>
      <c r="BN5757" s="427"/>
      <c r="BO5757" s="427"/>
      <c r="BP5757" s="427"/>
      <c r="BQ5757" s="427"/>
      <c r="BR5757" s="427"/>
      <c r="BS5757" s="427"/>
      <c r="BT5757" s="427"/>
      <c r="BU5757" s="427"/>
      <c r="BV5757" s="427"/>
      <c r="BW5757" s="427"/>
      <c r="BX5757" s="427"/>
      <c r="BY5757" s="427"/>
      <c r="BZ5757" s="427"/>
    </row>
    <row r="5758" spans="2:78" s="152" customFormat="1" x14ac:dyDescent="0.2">
      <c r="B5758" s="683"/>
      <c r="C5758" s="683"/>
      <c r="D5758" s="698"/>
      <c r="E5758" s="215"/>
      <c r="F5758" s="215"/>
      <c r="G5758" s="427"/>
      <c r="H5758" s="427"/>
      <c r="I5758" s="427"/>
      <c r="J5758" s="427"/>
      <c r="K5758" s="427"/>
      <c r="L5758" s="653"/>
      <c r="M5758" s="666">
        <v>33392</v>
      </c>
      <c r="N5758" s="600">
        <v>2.1</v>
      </c>
      <c r="O5758" s="608">
        <v>12.32</v>
      </c>
      <c r="P5758" s="782"/>
      <c r="Q5758" s="764"/>
      <c r="R5758" s="764"/>
      <c r="S5758" s="764"/>
      <c r="T5758" s="764"/>
      <c r="U5758" s="764"/>
      <c r="V5758" s="764"/>
      <c r="W5758" s="764"/>
      <c r="X5758" s="764"/>
      <c r="Y5758" s="768"/>
      <c r="Z5758" s="762"/>
      <c r="AA5758" s="150"/>
      <c r="AB5758" s="150">
        <v>46</v>
      </c>
      <c r="AC5758" s="150">
        <v>9.7999999999999997E-3</v>
      </c>
      <c r="AD5758" s="150">
        <v>3.5</v>
      </c>
      <c r="AE5758" s="223">
        <v>0.28999999999999998</v>
      </c>
      <c r="AF5758" s="223">
        <f t="shared" si="42"/>
        <v>1.0149999999999999</v>
      </c>
      <c r="AG5758" s="223">
        <f t="shared" si="43"/>
        <v>2.0689655172413794</v>
      </c>
      <c r="AH5758" s="346"/>
      <c r="AI5758" s="427"/>
      <c r="AJ5758" s="480"/>
      <c r="AK5758" s="427"/>
      <c r="AU5758" s="218"/>
      <c r="AV5758" s="218"/>
      <c r="AW5758" s="218"/>
      <c r="AX5758" s="218"/>
      <c r="AY5758" s="218"/>
      <c r="BI5758" s="427"/>
      <c r="BJ5758" s="427"/>
      <c r="BK5758" s="427"/>
      <c r="BL5758" s="427"/>
      <c r="BM5758" s="427"/>
      <c r="BN5758" s="427"/>
      <c r="BO5758" s="427"/>
      <c r="BP5758" s="427"/>
      <c r="BQ5758" s="427"/>
      <c r="BR5758" s="427"/>
      <c r="BS5758" s="427"/>
      <c r="BT5758" s="427"/>
      <c r="BU5758" s="427"/>
      <c r="BV5758" s="427"/>
      <c r="BW5758" s="427"/>
      <c r="BX5758" s="427"/>
      <c r="BY5758" s="427"/>
      <c r="BZ5758" s="427"/>
    </row>
    <row r="5759" spans="2:78" s="152" customFormat="1" x14ac:dyDescent="0.2">
      <c r="B5759" s="683"/>
      <c r="C5759" s="683"/>
      <c r="D5759" s="698"/>
      <c r="E5759" s="215"/>
      <c r="F5759" s="215"/>
      <c r="G5759" s="427"/>
      <c r="H5759" s="427"/>
      <c r="I5759" s="427"/>
      <c r="J5759" s="427"/>
      <c r="K5759" s="427"/>
      <c r="L5759" s="653"/>
      <c r="M5759" s="666">
        <v>33392</v>
      </c>
      <c r="N5759" s="600">
        <v>2.1</v>
      </c>
      <c r="O5759" s="608">
        <v>15.224999999999998</v>
      </c>
      <c r="P5759" s="782"/>
      <c r="Q5759" s="764"/>
      <c r="R5759" s="764"/>
      <c r="S5759" s="764"/>
      <c r="T5759" s="764"/>
      <c r="U5759" s="764"/>
      <c r="V5759" s="764"/>
      <c r="W5759" s="764"/>
      <c r="X5759" s="764"/>
      <c r="Y5759" s="768"/>
      <c r="Z5759" s="762"/>
      <c r="AA5759" s="150"/>
      <c r="AB5759" s="150">
        <v>47</v>
      </c>
      <c r="AC5759" s="150">
        <v>9.9000000000000008E-3</v>
      </c>
      <c r="AD5759" s="150">
        <v>3.5</v>
      </c>
      <c r="AE5759" s="223">
        <v>0.28999999999999998</v>
      </c>
      <c r="AF5759" s="223">
        <f t="shared" si="42"/>
        <v>1.0149999999999999</v>
      </c>
      <c r="AG5759" s="223">
        <f t="shared" si="43"/>
        <v>2.0689655172413794</v>
      </c>
      <c r="AH5759" s="346"/>
      <c r="AI5759" s="427"/>
      <c r="AJ5759" s="480"/>
      <c r="AK5759" s="427"/>
      <c r="AU5759" s="218"/>
      <c r="AV5759" s="218"/>
      <c r="AW5759" s="218"/>
      <c r="AX5759" s="218"/>
      <c r="AY5759" s="218"/>
      <c r="BI5759" s="427"/>
      <c r="BJ5759" s="427"/>
      <c r="BK5759" s="427"/>
      <c r="BL5759" s="427"/>
      <c r="BM5759" s="427"/>
      <c r="BN5759" s="427"/>
      <c r="BO5759" s="427"/>
      <c r="BP5759" s="427"/>
      <c r="BQ5759" s="427"/>
      <c r="BR5759" s="427"/>
      <c r="BS5759" s="427"/>
      <c r="BT5759" s="427"/>
      <c r="BU5759" s="427"/>
      <c r="BV5759" s="427"/>
      <c r="BW5759" s="427"/>
      <c r="BX5759" s="427"/>
      <c r="BY5759" s="427"/>
      <c r="BZ5759" s="427"/>
    </row>
    <row r="5760" spans="2:78" s="152" customFormat="1" x14ac:dyDescent="0.2">
      <c r="B5760" s="683"/>
      <c r="C5760" s="683"/>
      <c r="D5760" s="698"/>
      <c r="E5760" s="215"/>
      <c r="F5760" s="215"/>
      <c r="G5760" s="427"/>
      <c r="H5760" s="427"/>
      <c r="I5760" s="427"/>
      <c r="J5760" s="427"/>
      <c r="K5760" s="427"/>
      <c r="L5760" s="653"/>
      <c r="M5760" s="666">
        <v>33392</v>
      </c>
      <c r="N5760" s="600">
        <v>2</v>
      </c>
      <c r="O5760" s="608">
        <v>14.280000000000001</v>
      </c>
      <c r="P5760" s="782"/>
      <c r="Q5760" s="764"/>
      <c r="R5760" s="764"/>
      <c r="S5760" s="764"/>
      <c r="T5760" s="764"/>
      <c r="U5760" s="764"/>
      <c r="V5760" s="764"/>
      <c r="W5760" s="764"/>
      <c r="X5760" s="764"/>
      <c r="Y5760" s="768"/>
      <c r="Z5760" s="762"/>
      <c r="AA5760" s="150"/>
      <c r="AB5760" s="150">
        <v>48</v>
      </c>
      <c r="AC5760" s="150">
        <v>9.9000000000000008E-3</v>
      </c>
      <c r="AD5760" s="150">
        <v>3.5</v>
      </c>
      <c r="AE5760" s="223">
        <v>0.28999999999999998</v>
      </c>
      <c r="AF5760" s="223">
        <f t="shared" si="42"/>
        <v>1.0149999999999999</v>
      </c>
      <c r="AG5760" s="223">
        <f t="shared" si="43"/>
        <v>1.9704433497536948</v>
      </c>
      <c r="AH5760" s="346"/>
      <c r="AI5760" s="427"/>
      <c r="AJ5760" s="480"/>
      <c r="AK5760" s="427"/>
      <c r="AU5760" s="218"/>
      <c r="AV5760" s="218"/>
      <c r="AW5760" s="218"/>
      <c r="AX5760" s="218"/>
      <c r="AY5760" s="218"/>
      <c r="BI5760" s="427"/>
      <c r="BJ5760" s="427"/>
      <c r="BK5760" s="427"/>
      <c r="BL5760" s="427"/>
      <c r="BM5760" s="427"/>
      <c r="BN5760" s="427"/>
      <c r="BO5760" s="427"/>
      <c r="BP5760" s="427"/>
      <c r="BQ5760" s="427"/>
      <c r="BR5760" s="427"/>
      <c r="BS5760" s="427"/>
      <c r="BT5760" s="427"/>
      <c r="BU5760" s="427"/>
      <c r="BV5760" s="427"/>
      <c r="BW5760" s="427"/>
      <c r="BX5760" s="427"/>
      <c r="BY5760" s="427"/>
      <c r="BZ5760" s="427"/>
    </row>
    <row r="5761" spans="2:78" s="152" customFormat="1" x14ac:dyDescent="0.2">
      <c r="B5761" s="683"/>
      <c r="C5761" s="683"/>
      <c r="D5761" s="698"/>
      <c r="E5761" s="215"/>
      <c r="F5761" s="215"/>
      <c r="G5761" s="427"/>
      <c r="H5761" s="427"/>
      <c r="I5761" s="427"/>
      <c r="J5761" s="427"/>
      <c r="K5761" s="427"/>
      <c r="L5761" s="653"/>
      <c r="M5761" s="666">
        <v>33392</v>
      </c>
      <c r="N5761" s="600">
        <v>2.1</v>
      </c>
      <c r="O5761" s="608">
        <v>11.655000000000001</v>
      </c>
      <c r="P5761" s="782"/>
      <c r="Q5761" s="764"/>
      <c r="R5761" s="764"/>
      <c r="S5761" s="764"/>
      <c r="T5761" s="764"/>
      <c r="U5761" s="764"/>
      <c r="V5761" s="764"/>
      <c r="W5761" s="764"/>
      <c r="X5761" s="764"/>
      <c r="Y5761" s="768"/>
      <c r="Z5761" s="762"/>
      <c r="AA5761" s="150"/>
      <c r="AB5761" s="150">
        <v>49</v>
      </c>
      <c r="AC5761" s="150">
        <v>9.7999999999999997E-3</v>
      </c>
      <c r="AD5761" s="150">
        <v>3.5</v>
      </c>
      <c r="AE5761" s="223">
        <v>0.3</v>
      </c>
      <c r="AF5761" s="223">
        <f t="shared" si="42"/>
        <v>1.05</v>
      </c>
      <c r="AG5761" s="223">
        <f t="shared" si="43"/>
        <v>2</v>
      </c>
      <c r="AH5761" s="346"/>
      <c r="AI5761" s="427"/>
      <c r="AJ5761" s="480"/>
      <c r="AK5761" s="427"/>
      <c r="AU5761" s="218"/>
      <c r="AV5761" s="218"/>
      <c r="AW5761" s="218"/>
      <c r="AX5761" s="218"/>
      <c r="AY5761" s="218"/>
      <c r="BI5761" s="427"/>
      <c r="BJ5761" s="427"/>
      <c r="BK5761" s="427"/>
      <c r="BL5761" s="427"/>
      <c r="BM5761" s="427"/>
      <c r="BN5761" s="427"/>
      <c r="BO5761" s="427"/>
      <c r="BP5761" s="427"/>
      <c r="BQ5761" s="427"/>
      <c r="BR5761" s="427"/>
      <c r="BS5761" s="427"/>
      <c r="BT5761" s="427"/>
      <c r="BU5761" s="427"/>
      <c r="BV5761" s="427"/>
      <c r="BW5761" s="427"/>
      <c r="BX5761" s="427"/>
      <c r="BY5761" s="427"/>
      <c r="BZ5761" s="427"/>
    </row>
    <row r="5762" spans="2:78" s="152" customFormat="1" x14ac:dyDescent="0.2">
      <c r="B5762" s="683"/>
      <c r="C5762" s="683"/>
      <c r="D5762" s="698"/>
      <c r="E5762" s="215"/>
      <c r="F5762" s="215"/>
      <c r="G5762" s="427"/>
      <c r="H5762" s="427"/>
      <c r="I5762" s="427"/>
      <c r="J5762" s="427"/>
      <c r="K5762" s="427"/>
      <c r="L5762" s="653"/>
      <c r="M5762" s="666">
        <v>33392</v>
      </c>
      <c r="N5762" s="600">
        <v>2.2000000000000002</v>
      </c>
      <c r="O5762" s="608">
        <v>8.82</v>
      </c>
      <c r="P5762" s="782"/>
      <c r="Q5762" s="764"/>
      <c r="R5762" s="764"/>
      <c r="S5762" s="764"/>
      <c r="T5762" s="764"/>
      <c r="U5762" s="764"/>
      <c r="V5762" s="764"/>
      <c r="W5762" s="764"/>
      <c r="X5762" s="764"/>
      <c r="Y5762" s="768"/>
      <c r="Z5762" s="762"/>
      <c r="AA5762" s="150"/>
      <c r="AB5762" s="150">
        <v>50</v>
      </c>
      <c r="AC5762" s="150">
        <v>9.9000000000000008E-3</v>
      </c>
      <c r="AD5762" s="150">
        <v>3.5</v>
      </c>
      <c r="AE5762" s="223">
        <v>0.31</v>
      </c>
      <c r="AF5762" s="223">
        <f t="shared" si="42"/>
        <v>1.085</v>
      </c>
      <c r="AG5762" s="223">
        <f t="shared" si="43"/>
        <v>2.0276497695852536</v>
      </c>
      <c r="AH5762" s="346"/>
      <c r="AI5762" s="427"/>
      <c r="AJ5762" s="480"/>
      <c r="AK5762" s="427"/>
      <c r="AU5762" s="218"/>
      <c r="AV5762" s="218"/>
      <c r="AW5762" s="218"/>
      <c r="AX5762" s="218"/>
      <c r="AY5762" s="218"/>
      <c r="BI5762" s="427"/>
      <c r="BJ5762" s="427"/>
      <c r="BK5762" s="427"/>
      <c r="BL5762" s="427"/>
      <c r="BM5762" s="427"/>
      <c r="BN5762" s="427"/>
      <c r="BO5762" s="427"/>
      <c r="BP5762" s="427"/>
      <c r="BQ5762" s="427"/>
      <c r="BR5762" s="427"/>
      <c r="BS5762" s="427"/>
      <c r="BT5762" s="427"/>
      <c r="BU5762" s="427"/>
      <c r="BV5762" s="427"/>
      <c r="BW5762" s="427"/>
      <c r="BX5762" s="427"/>
      <c r="BY5762" s="427"/>
      <c r="BZ5762" s="427"/>
    </row>
    <row r="5763" spans="2:78" s="152" customFormat="1" x14ac:dyDescent="0.2">
      <c r="B5763" s="683"/>
      <c r="C5763" s="683"/>
      <c r="D5763" s="698"/>
      <c r="E5763" s="215"/>
      <c r="F5763" s="215"/>
      <c r="G5763" s="427"/>
      <c r="H5763" s="427"/>
      <c r="I5763" s="427"/>
      <c r="J5763" s="427"/>
      <c r="K5763" s="427"/>
      <c r="L5763" s="653"/>
      <c r="M5763" s="666">
        <v>33392</v>
      </c>
      <c r="N5763" s="600">
        <v>2.2999999999999998</v>
      </c>
      <c r="O5763" s="608">
        <v>11.795</v>
      </c>
      <c r="P5763" s="782"/>
      <c r="Q5763" s="764"/>
      <c r="R5763" s="764"/>
      <c r="S5763" s="764"/>
      <c r="T5763" s="764"/>
      <c r="U5763" s="764"/>
      <c r="V5763" s="764"/>
      <c r="W5763" s="764"/>
      <c r="X5763" s="764"/>
      <c r="Y5763" s="768"/>
      <c r="Z5763" s="762"/>
      <c r="AA5763" s="150"/>
      <c r="AB5763" s="150">
        <v>51</v>
      </c>
      <c r="AC5763" s="150">
        <v>0.01</v>
      </c>
      <c r="AD5763" s="150">
        <v>3.5</v>
      </c>
      <c r="AE5763" s="223">
        <v>0.32</v>
      </c>
      <c r="AF5763" s="223">
        <f t="shared" si="42"/>
        <v>1.1200000000000001</v>
      </c>
      <c r="AG5763" s="223">
        <f t="shared" si="43"/>
        <v>2.0535714285714284</v>
      </c>
      <c r="AH5763" s="346"/>
      <c r="AI5763" s="427"/>
      <c r="AJ5763" s="480"/>
      <c r="AK5763" s="427"/>
      <c r="AU5763" s="218"/>
      <c r="AV5763" s="218"/>
      <c r="AW5763" s="218"/>
      <c r="AX5763" s="218"/>
      <c r="AY5763" s="218"/>
      <c r="BI5763" s="427"/>
      <c r="BJ5763" s="427"/>
      <c r="BK5763" s="427"/>
      <c r="BL5763" s="427"/>
      <c r="BM5763" s="427"/>
      <c r="BN5763" s="427"/>
      <c r="BO5763" s="427"/>
      <c r="BP5763" s="427"/>
      <c r="BQ5763" s="427"/>
      <c r="BR5763" s="427"/>
      <c r="BS5763" s="427"/>
      <c r="BT5763" s="427"/>
      <c r="BU5763" s="427"/>
      <c r="BV5763" s="427"/>
      <c r="BW5763" s="427"/>
      <c r="BX5763" s="427"/>
      <c r="BY5763" s="427"/>
      <c r="BZ5763" s="427"/>
    </row>
    <row r="5764" spans="2:78" s="152" customFormat="1" x14ac:dyDescent="0.2">
      <c r="B5764" s="683"/>
      <c r="C5764" s="683"/>
      <c r="D5764" s="698"/>
      <c r="E5764" s="215"/>
      <c r="F5764" s="215"/>
      <c r="G5764" s="427"/>
      <c r="H5764" s="427"/>
      <c r="I5764" s="427"/>
      <c r="J5764" s="427"/>
      <c r="K5764" s="427"/>
      <c r="L5764" s="653"/>
      <c r="M5764" s="666">
        <v>33392</v>
      </c>
      <c r="N5764" s="600">
        <v>2.5</v>
      </c>
      <c r="O5764" s="608">
        <v>14.56</v>
      </c>
      <c r="P5764" s="782"/>
      <c r="Q5764" s="764"/>
      <c r="R5764" s="764"/>
      <c r="S5764" s="764"/>
      <c r="T5764" s="764"/>
      <c r="U5764" s="764"/>
      <c r="V5764" s="764"/>
      <c r="W5764" s="764"/>
      <c r="X5764" s="764"/>
      <c r="Y5764" s="768"/>
      <c r="Z5764" s="762"/>
      <c r="AA5764" s="150"/>
      <c r="AB5764" s="150">
        <v>52</v>
      </c>
      <c r="AC5764" s="150">
        <v>9.9000000000000008E-3</v>
      </c>
      <c r="AD5764" s="150">
        <v>3.5</v>
      </c>
      <c r="AE5764" s="223">
        <v>0.33</v>
      </c>
      <c r="AF5764" s="223">
        <f t="shared" si="42"/>
        <v>1.155</v>
      </c>
      <c r="AG5764" s="223">
        <f t="shared" si="43"/>
        <v>2.1645021645021645</v>
      </c>
      <c r="AH5764" s="346"/>
      <c r="AI5764" s="427"/>
      <c r="AJ5764" s="480"/>
      <c r="AK5764" s="427"/>
      <c r="AU5764" s="218"/>
      <c r="AV5764" s="218"/>
      <c r="AW5764" s="218"/>
      <c r="AX5764" s="218"/>
      <c r="AY5764" s="218"/>
      <c r="BI5764" s="427"/>
      <c r="BJ5764" s="427"/>
      <c r="BK5764" s="427"/>
      <c r="BL5764" s="427"/>
      <c r="BM5764" s="427"/>
      <c r="BN5764" s="427"/>
      <c r="BO5764" s="427"/>
      <c r="BP5764" s="427"/>
      <c r="BQ5764" s="427"/>
      <c r="BR5764" s="427"/>
      <c r="BS5764" s="427"/>
      <c r="BT5764" s="427"/>
      <c r="BU5764" s="427"/>
      <c r="BV5764" s="427"/>
      <c r="BW5764" s="427"/>
      <c r="BX5764" s="427"/>
      <c r="BY5764" s="427"/>
      <c r="BZ5764" s="427"/>
    </row>
    <row r="5765" spans="2:78" s="152" customFormat="1" x14ac:dyDescent="0.2">
      <c r="B5765" s="683"/>
      <c r="C5765" s="683"/>
      <c r="D5765" s="698"/>
      <c r="E5765" s="215"/>
      <c r="F5765" s="215"/>
      <c r="G5765" s="427"/>
      <c r="H5765" s="427"/>
      <c r="I5765" s="427"/>
      <c r="J5765" s="427"/>
      <c r="K5765" s="427"/>
      <c r="L5765" s="653"/>
      <c r="M5765" s="666">
        <v>33392</v>
      </c>
      <c r="N5765" s="600">
        <v>2.6</v>
      </c>
      <c r="O5765" s="608">
        <v>12.775</v>
      </c>
      <c r="P5765" s="782"/>
      <c r="Q5765" s="764"/>
      <c r="R5765" s="764"/>
      <c r="S5765" s="764"/>
      <c r="T5765" s="764"/>
      <c r="U5765" s="764"/>
      <c r="V5765" s="764"/>
      <c r="W5765" s="764"/>
      <c r="X5765" s="764"/>
      <c r="Y5765" s="768"/>
      <c r="Z5765" s="762"/>
      <c r="AA5765" s="150"/>
      <c r="AB5765" s="150">
        <v>53</v>
      </c>
      <c r="AC5765" s="150">
        <v>9.9000000000000008E-3</v>
      </c>
      <c r="AD5765" s="150">
        <v>3.5</v>
      </c>
      <c r="AE5765" s="223">
        <v>0.34</v>
      </c>
      <c r="AF5765" s="223">
        <f t="shared" si="42"/>
        <v>1.1900000000000002</v>
      </c>
      <c r="AG5765" s="223">
        <f t="shared" si="43"/>
        <v>2.1848739495798317</v>
      </c>
      <c r="AH5765" s="346"/>
      <c r="AI5765" s="427"/>
      <c r="AJ5765" s="480"/>
      <c r="AK5765" s="427"/>
      <c r="AU5765" s="218"/>
      <c r="AV5765" s="218"/>
      <c r="AW5765" s="218"/>
      <c r="AX5765" s="218"/>
      <c r="AY5765" s="218"/>
      <c r="BI5765" s="427"/>
      <c r="BJ5765" s="427"/>
      <c r="BK5765" s="427"/>
      <c r="BL5765" s="427"/>
      <c r="BM5765" s="427"/>
      <c r="BN5765" s="427"/>
      <c r="BO5765" s="427"/>
      <c r="BP5765" s="427"/>
      <c r="BQ5765" s="427"/>
      <c r="BR5765" s="427"/>
      <c r="BS5765" s="427"/>
      <c r="BT5765" s="427"/>
      <c r="BU5765" s="427"/>
      <c r="BV5765" s="427"/>
      <c r="BW5765" s="427"/>
      <c r="BX5765" s="427"/>
      <c r="BY5765" s="427"/>
      <c r="BZ5765" s="427"/>
    </row>
    <row r="5766" spans="2:78" s="152" customFormat="1" x14ac:dyDescent="0.2">
      <c r="B5766" s="683"/>
      <c r="C5766" s="683"/>
      <c r="D5766" s="698"/>
      <c r="E5766" s="215"/>
      <c r="F5766" s="215"/>
      <c r="G5766" s="427"/>
      <c r="H5766" s="427"/>
      <c r="I5766" s="427"/>
      <c r="J5766" s="427"/>
      <c r="K5766" s="427"/>
      <c r="L5766" s="653"/>
      <c r="M5766" s="666">
        <v>33392</v>
      </c>
      <c r="N5766" s="600">
        <v>2.7</v>
      </c>
      <c r="O5766" s="608">
        <v>10.43</v>
      </c>
      <c r="P5766" s="782"/>
      <c r="Q5766" s="764"/>
      <c r="R5766" s="764"/>
      <c r="S5766" s="764"/>
      <c r="T5766" s="764"/>
      <c r="U5766" s="764"/>
      <c r="V5766" s="764"/>
      <c r="W5766" s="764"/>
      <c r="X5766" s="764"/>
      <c r="Y5766" s="768"/>
      <c r="Z5766" s="762"/>
      <c r="AA5766" s="150"/>
      <c r="AB5766" s="150">
        <v>54</v>
      </c>
      <c r="AC5766" s="150">
        <v>9.9000000000000008E-3</v>
      </c>
      <c r="AD5766" s="150">
        <v>3.5</v>
      </c>
      <c r="AE5766" s="223">
        <v>0.35</v>
      </c>
      <c r="AF5766" s="223">
        <f t="shared" si="42"/>
        <v>1.2249999999999999</v>
      </c>
      <c r="AG5766" s="223">
        <f t="shared" si="43"/>
        <v>2.2040816326530615</v>
      </c>
      <c r="AH5766" s="346"/>
      <c r="AI5766" s="427"/>
      <c r="AJ5766" s="480"/>
      <c r="AK5766" s="427"/>
      <c r="AU5766" s="218"/>
      <c r="AV5766" s="218"/>
      <c r="AW5766" s="218"/>
      <c r="AX5766" s="218"/>
      <c r="AY5766" s="218"/>
      <c r="BI5766" s="427"/>
      <c r="BJ5766" s="427"/>
      <c r="BK5766" s="427"/>
      <c r="BL5766" s="427"/>
      <c r="BM5766" s="427"/>
      <c r="BN5766" s="427"/>
      <c r="BO5766" s="427"/>
      <c r="BP5766" s="427"/>
      <c r="BQ5766" s="427"/>
      <c r="BR5766" s="427"/>
      <c r="BS5766" s="427"/>
      <c r="BT5766" s="427"/>
      <c r="BU5766" s="427"/>
      <c r="BV5766" s="427"/>
      <c r="BW5766" s="427"/>
      <c r="BX5766" s="427"/>
      <c r="BY5766" s="427"/>
      <c r="BZ5766" s="427"/>
    </row>
    <row r="5767" spans="2:78" s="152" customFormat="1" x14ac:dyDescent="0.2">
      <c r="B5767" s="683"/>
      <c r="C5767" s="683"/>
      <c r="D5767" s="698"/>
      <c r="E5767" s="215"/>
      <c r="F5767" s="215"/>
      <c r="G5767" s="427"/>
      <c r="H5767" s="427"/>
      <c r="I5767" s="427"/>
      <c r="J5767" s="427"/>
      <c r="K5767" s="427"/>
      <c r="L5767" s="653"/>
      <c r="M5767" s="666" t="s">
        <v>893</v>
      </c>
      <c r="N5767" s="600">
        <v>0.3</v>
      </c>
      <c r="O5767" s="608">
        <v>1.26</v>
      </c>
      <c r="P5767" s="782"/>
      <c r="Q5767" s="764"/>
      <c r="R5767" s="764"/>
      <c r="S5767" s="764"/>
      <c r="T5767" s="764"/>
      <c r="U5767" s="764"/>
      <c r="V5767" s="764"/>
      <c r="W5767" s="764"/>
      <c r="X5767" s="764"/>
      <c r="Y5767" s="768"/>
      <c r="Z5767" s="762"/>
      <c r="AA5767" s="150"/>
      <c r="AB5767" s="150">
        <v>55</v>
      </c>
      <c r="AC5767" s="150">
        <v>8.6999999999999994E-3</v>
      </c>
      <c r="AD5767" s="150">
        <v>3.5</v>
      </c>
      <c r="AE5767" s="223">
        <v>0.11</v>
      </c>
      <c r="AF5767" s="223">
        <f t="shared" si="42"/>
        <v>0.38500000000000001</v>
      </c>
      <c r="AG5767" s="223">
        <f t="shared" si="43"/>
        <v>0.77922077922077915</v>
      </c>
      <c r="AH5767" s="346"/>
      <c r="AI5767" s="427"/>
      <c r="AJ5767" s="480"/>
      <c r="AK5767" s="427"/>
      <c r="AU5767" s="218"/>
      <c r="AV5767" s="218"/>
      <c r="AW5767" s="218"/>
      <c r="AX5767" s="218"/>
      <c r="AY5767" s="218"/>
      <c r="BI5767" s="427"/>
      <c r="BJ5767" s="427"/>
      <c r="BK5767" s="427"/>
      <c r="BL5767" s="427"/>
      <c r="BM5767" s="427"/>
      <c r="BN5767" s="427"/>
      <c r="BO5767" s="427"/>
      <c r="BP5767" s="427"/>
      <c r="BQ5767" s="427"/>
      <c r="BR5767" s="427"/>
      <c r="BS5767" s="427"/>
      <c r="BT5767" s="427"/>
      <c r="BU5767" s="427"/>
      <c r="BV5767" s="427"/>
      <c r="BW5767" s="427"/>
      <c r="BX5767" s="427"/>
      <c r="BY5767" s="427"/>
      <c r="BZ5767" s="427"/>
    </row>
    <row r="5768" spans="2:78" s="152" customFormat="1" x14ac:dyDescent="0.2">
      <c r="B5768" s="683"/>
      <c r="C5768" s="683"/>
      <c r="D5768" s="698"/>
      <c r="E5768" s="215"/>
      <c r="F5768" s="215"/>
      <c r="G5768" s="427"/>
      <c r="H5768" s="427"/>
      <c r="I5768" s="427"/>
      <c r="J5768" s="427"/>
      <c r="K5768" s="427"/>
      <c r="L5768" s="653"/>
      <c r="M5768" s="666" t="s">
        <v>893</v>
      </c>
      <c r="N5768" s="600">
        <v>0.4</v>
      </c>
      <c r="O5768" s="608">
        <v>1.1200000000000001</v>
      </c>
      <c r="P5768" s="782"/>
      <c r="Q5768" s="764"/>
      <c r="R5768" s="764"/>
      <c r="S5768" s="764"/>
      <c r="T5768" s="764"/>
      <c r="U5768" s="764"/>
      <c r="V5768" s="764"/>
      <c r="W5768" s="764"/>
      <c r="X5768" s="764"/>
      <c r="Y5768" s="768"/>
      <c r="Z5768" s="762"/>
      <c r="AA5768" s="150"/>
      <c r="AB5768" s="150">
        <v>56</v>
      </c>
      <c r="AC5768" s="150">
        <v>8.6999999999999994E-3</v>
      </c>
      <c r="AD5768" s="150">
        <v>3.5</v>
      </c>
      <c r="AE5768" s="223">
        <v>0.11</v>
      </c>
      <c r="AF5768" s="223">
        <f t="shared" si="42"/>
        <v>0.38500000000000001</v>
      </c>
      <c r="AG5768" s="223">
        <f t="shared" si="43"/>
        <v>1.0389610389610391</v>
      </c>
      <c r="AH5768" s="346"/>
      <c r="AI5768" s="427"/>
      <c r="AJ5768" s="480"/>
      <c r="AK5768" s="427"/>
      <c r="AU5768" s="218"/>
      <c r="AV5768" s="218"/>
      <c r="AW5768" s="218"/>
      <c r="AX5768" s="218"/>
      <c r="AY5768" s="218"/>
      <c r="BI5768" s="427"/>
      <c r="BJ5768" s="427"/>
      <c r="BK5768" s="427"/>
      <c r="BL5768" s="427"/>
      <c r="BM5768" s="427"/>
      <c r="BN5768" s="427"/>
      <c r="BO5768" s="427"/>
      <c r="BP5768" s="427"/>
      <c r="BQ5768" s="427"/>
      <c r="BR5768" s="427"/>
      <c r="BS5768" s="427"/>
      <c r="BT5768" s="427"/>
      <c r="BU5768" s="427"/>
      <c r="BV5768" s="427"/>
      <c r="BW5768" s="427"/>
      <c r="BX5768" s="427"/>
      <c r="BY5768" s="427"/>
      <c r="BZ5768" s="427"/>
    </row>
    <row r="5769" spans="2:78" s="152" customFormat="1" x14ac:dyDescent="0.2">
      <c r="B5769" s="683"/>
      <c r="C5769" s="683"/>
      <c r="D5769" s="698"/>
      <c r="E5769" s="215"/>
      <c r="F5769" s="215"/>
      <c r="G5769" s="427"/>
      <c r="H5769" s="427"/>
      <c r="I5769" s="427"/>
      <c r="J5769" s="427"/>
      <c r="K5769" s="427"/>
      <c r="L5769" s="653"/>
      <c r="M5769" s="666" t="s">
        <v>893</v>
      </c>
      <c r="N5769" s="600">
        <v>0.4</v>
      </c>
      <c r="O5769" s="608">
        <v>2.66</v>
      </c>
      <c r="P5769" s="782"/>
      <c r="Q5769" s="764"/>
      <c r="R5769" s="764"/>
      <c r="S5769" s="764"/>
      <c r="T5769" s="764"/>
      <c r="U5769" s="764"/>
      <c r="V5769" s="764"/>
      <c r="W5769" s="764"/>
      <c r="X5769" s="764"/>
      <c r="Y5769" s="768"/>
      <c r="Z5769" s="762"/>
      <c r="AA5769" s="150"/>
      <c r="AB5769" s="150">
        <v>57</v>
      </c>
      <c r="AC5769" s="150">
        <v>8.6999999999999994E-3</v>
      </c>
      <c r="AD5769" s="150">
        <v>3.5</v>
      </c>
      <c r="AE5769" s="223">
        <v>0.12</v>
      </c>
      <c r="AF5769" s="223">
        <f t="shared" si="42"/>
        <v>0.42</v>
      </c>
      <c r="AG5769" s="223">
        <f t="shared" si="43"/>
        <v>0.95238095238095244</v>
      </c>
      <c r="AH5769" s="346"/>
      <c r="AI5769" s="427"/>
      <c r="AJ5769" s="480"/>
      <c r="AK5769" s="427"/>
      <c r="AU5769" s="218"/>
      <c r="AV5769" s="218"/>
      <c r="AW5769" s="218"/>
      <c r="AX5769" s="218"/>
      <c r="AY5769" s="218"/>
      <c r="BI5769" s="427"/>
      <c r="BJ5769" s="427"/>
      <c r="BK5769" s="427"/>
      <c r="BL5769" s="427"/>
      <c r="BM5769" s="427"/>
      <c r="BN5769" s="427"/>
      <c r="BO5769" s="427"/>
      <c r="BP5769" s="427"/>
      <c r="BQ5769" s="427"/>
      <c r="BR5769" s="427"/>
      <c r="BS5769" s="427"/>
      <c r="BT5769" s="427"/>
      <c r="BU5769" s="427"/>
      <c r="BV5769" s="427"/>
      <c r="BW5769" s="427"/>
      <c r="BX5769" s="427"/>
      <c r="BY5769" s="427"/>
      <c r="BZ5769" s="427"/>
    </row>
    <row r="5770" spans="2:78" s="152" customFormat="1" x14ac:dyDescent="0.2">
      <c r="B5770" s="683"/>
      <c r="C5770" s="683"/>
      <c r="D5770" s="698"/>
      <c r="E5770" s="215"/>
      <c r="F5770" s="215"/>
      <c r="G5770" s="427"/>
      <c r="H5770" s="427"/>
      <c r="I5770" s="427"/>
      <c r="J5770" s="427"/>
      <c r="K5770" s="427"/>
      <c r="L5770" s="653"/>
      <c r="M5770" s="666" t="s">
        <v>893</v>
      </c>
      <c r="N5770" s="600">
        <v>0.5</v>
      </c>
      <c r="O5770" s="608">
        <v>3.29</v>
      </c>
      <c r="P5770" s="782"/>
      <c r="Q5770" s="764"/>
      <c r="R5770" s="764"/>
      <c r="S5770" s="764"/>
      <c r="T5770" s="764"/>
      <c r="U5770" s="764"/>
      <c r="V5770" s="764"/>
      <c r="W5770" s="764"/>
      <c r="X5770" s="764"/>
      <c r="Y5770" s="768"/>
      <c r="Z5770" s="762"/>
      <c r="AA5770" s="150"/>
      <c r="AB5770" s="150">
        <v>58</v>
      </c>
      <c r="AC5770" s="150">
        <v>8.8000000000000005E-3</v>
      </c>
      <c r="AD5770" s="150">
        <v>3.5</v>
      </c>
      <c r="AE5770" s="223">
        <v>0.13</v>
      </c>
      <c r="AF5770" s="223">
        <f t="shared" si="42"/>
        <v>0.45500000000000002</v>
      </c>
      <c r="AG5770" s="223">
        <f t="shared" si="43"/>
        <v>1.0989010989010988</v>
      </c>
      <c r="AH5770" s="346"/>
      <c r="AI5770" s="427"/>
      <c r="AJ5770" s="480"/>
      <c r="AK5770" s="427"/>
      <c r="AU5770" s="218"/>
      <c r="AV5770" s="218"/>
      <c r="AW5770" s="218"/>
      <c r="AX5770" s="218"/>
      <c r="AY5770" s="218"/>
      <c r="BI5770" s="427"/>
      <c r="BJ5770" s="427"/>
      <c r="BK5770" s="427"/>
      <c r="BL5770" s="427"/>
      <c r="BM5770" s="427"/>
      <c r="BN5770" s="427"/>
      <c r="BO5770" s="427"/>
      <c r="BP5770" s="427"/>
      <c r="BQ5770" s="427"/>
      <c r="BR5770" s="427"/>
      <c r="BS5770" s="427"/>
      <c r="BT5770" s="427"/>
      <c r="BU5770" s="427"/>
      <c r="BV5770" s="427"/>
      <c r="BW5770" s="427"/>
      <c r="BX5770" s="427"/>
      <c r="BY5770" s="427"/>
      <c r="BZ5770" s="427"/>
    </row>
    <row r="5771" spans="2:78" s="152" customFormat="1" x14ac:dyDescent="0.2">
      <c r="B5771" s="683"/>
      <c r="C5771" s="683"/>
      <c r="D5771" s="698"/>
      <c r="E5771" s="215"/>
      <c r="F5771" s="215"/>
      <c r="G5771" s="427"/>
      <c r="H5771" s="427"/>
      <c r="I5771" s="427"/>
      <c r="J5771" s="427"/>
      <c r="K5771" s="427"/>
      <c r="L5771" s="653"/>
      <c r="M5771" s="666" t="s">
        <v>893</v>
      </c>
      <c r="N5771" s="600">
        <v>0.6</v>
      </c>
      <c r="O5771" s="608">
        <v>2.415</v>
      </c>
      <c r="P5771" s="782"/>
      <c r="Q5771" s="764"/>
      <c r="R5771" s="764"/>
      <c r="S5771" s="764"/>
      <c r="T5771" s="764"/>
      <c r="U5771" s="764"/>
      <c r="V5771" s="764"/>
      <c r="W5771" s="764"/>
      <c r="X5771" s="764"/>
      <c r="Y5771" s="768"/>
      <c r="Z5771" s="762"/>
      <c r="AA5771" s="150"/>
      <c r="AB5771" s="150">
        <v>59</v>
      </c>
      <c r="AC5771" s="150">
        <v>8.8000000000000005E-3</v>
      </c>
      <c r="AD5771" s="150">
        <v>3.5</v>
      </c>
      <c r="AE5771" s="223">
        <v>0.13</v>
      </c>
      <c r="AF5771" s="223">
        <f t="shared" si="42"/>
        <v>0.45500000000000002</v>
      </c>
      <c r="AG5771" s="223">
        <f t="shared" si="43"/>
        <v>1.3186813186813187</v>
      </c>
      <c r="AH5771" s="346"/>
      <c r="AI5771" s="427"/>
      <c r="AJ5771" s="480"/>
      <c r="AK5771" s="427"/>
      <c r="AU5771" s="218"/>
      <c r="AV5771" s="218"/>
      <c r="AW5771" s="218"/>
      <c r="AX5771" s="218"/>
      <c r="AY5771" s="218"/>
      <c r="BI5771" s="427"/>
      <c r="BJ5771" s="427"/>
      <c r="BK5771" s="427"/>
      <c r="BL5771" s="427"/>
      <c r="BM5771" s="427"/>
      <c r="BN5771" s="427"/>
      <c r="BO5771" s="427"/>
      <c r="BP5771" s="427"/>
      <c r="BQ5771" s="427"/>
      <c r="BR5771" s="427"/>
      <c r="BS5771" s="427"/>
      <c r="BT5771" s="427"/>
      <c r="BU5771" s="427"/>
      <c r="BV5771" s="427"/>
      <c r="BW5771" s="427"/>
      <c r="BX5771" s="427"/>
      <c r="BY5771" s="427"/>
      <c r="BZ5771" s="427"/>
    </row>
    <row r="5772" spans="2:78" s="152" customFormat="1" x14ac:dyDescent="0.2">
      <c r="B5772" s="683"/>
      <c r="C5772" s="683"/>
      <c r="D5772" s="698"/>
      <c r="E5772" s="215"/>
      <c r="F5772" s="215"/>
      <c r="G5772" s="427"/>
      <c r="H5772" s="427"/>
      <c r="I5772" s="427"/>
      <c r="J5772" s="427"/>
      <c r="K5772" s="427"/>
      <c r="L5772" s="653"/>
      <c r="M5772" s="666" t="s">
        <v>893</v>
      </c>
      <c r="N5772" s="600">
        <v>0.6</v>
      </c>
      <c r="O5772" s="608">
        <v>1.9250000000000003</v>
      </c>
      <c r="P5772" s="782"/>
      <c r="Q5772" s="764"/>
      <c r="R5772" s="764"/>
      <c r="S5772" s="764"/>
      <c r="T5772" s="764"/>
      <c r="U5772" s="764"/>
      <c r="V5772" s="764"/>
      <c r="W5772" s="764"/>
      <c r="X5772" s="764"/>
      <c r="Y5772" s="768"/>
      <c r="Z5772" s="762"/>
      <c r="AA5772" s="150"/>
      <c r="AB5772" s="150">
        <v>60</v>
      </c>
      <c r="AC5772" s="150">
        <v>8.6999999999999994E-3</v>
      </c>
      <c r="AD5772" s="150">
        <v>3.5</v>
      </c>
      <c r="AE5772" s="223">
        <v>0.14000000000000001</v>
      </c>
      <c r="AF5772" s="223">
        <f t="shared" si="42"/>
        <v>0.49000000000000005</v>
      </c>
      <c r="AG5772" s="223">
        <f t="shared" si="43"/>
        <v>1.2244897959183672</v>
      </c>
      <c r="AH5772" s="346"/>
      <c r="AI5772" s="427"/>
      <c r="AJ5772" s="480"/>
      <c r="AK5772" s="427"/>
      <c r="AU5772" s="218"/>
      <c r="AV5772" s="218"/>
      <c r="AW5772" s="218"/>
      <c r="AX5772" s="218"/>
      <c r="AY5772" s="218"/>
      <c r="BI5772" s="427"/>
      <c r="BJ5772" s="427"/>
      <c r="BK5772" s="427"/>
      <c r="BL5772" s="427"/>
      <c r="BM5772" s="427"/>
      <c r="BN5772" s="427"/>
      <c r="BO5772" s="427"/>
      <c r="BP5772" s="427"/>
      <c r="BQ5772" s="427"/>
      <c r="BR5772" s="427"/>
      <c r="BS5772" s="427"/>
      <c r="BT5772" s="427"/>
      <c r="BU5772" s="427"/>
      <c r="BV5772" s="427"/>
      <c r="BW5772" s="427"/>
      <c r="BX5772" s="427"/>
      <c r="BY5772" s="427"/>
      <c r="BZ5772" s="427"/>
    </row>
    <row r="5773" spans="2:78" s="152" customFormat="1" x14ac:dyDescent="0.2">
      <c r="B5773" s="683"/>
      <c r="C5773" s="683"/>
      <c r="D5773" s="698"/>
      <c r="E5773" s="215"/>
      <c r="F5773" s="215"/>
      <c r="G5773" s="427"/>
      <c r="H5773" s="427"/>
      <c r="I5773" s="427"/>
      <c r="J5773" s="427"/>
      <c r="K5773" s="427"/>
      <c r="L5773" s="653"/>
      <c r="M5773" s="666" t="s">
        <v>893</v>
      </c>
      <c r="N5773" s="600">
        <v>0.6</v>
      </c>
      <c r="O5773" s="608">
        <v>3.29</v>
      </c>
      <c r="P5773" s="782"/>
      <c r="Q5773" s="764"/>
      <c r="R5773" s="764"/>
      <c r="S5773" s="764"/>
      <c r="T5773" s="764"/>
      <c r="U5773" s="764"/>
      <c r="V5773" s="764"/>
      <c r="W5773" s="764"/>
      <c r="X5773" s="764"/>
      <c r="Y5773" s="768"/>
      <c r="Z5773" s="762"/>
      <c r="AA5773" s="150"/>
      <c r="AB5773" s="150">
        <v>61</v>
      </c>
      <c r="AC5773" s="150">
        <v>8.8000000000000005E-3</v>
      </c>
      <c r="AD5773" s="150">
        <v>3.5</v>
      </c>
      <c r="AE5773" s="223">
        <v>0.14000000000000001</v>
      </c>
      <c r="AF5773" s="223">
        <f t="shared" si="42"/>
        <v>0.49000000000000005</v>
      </c>
      <c r="AG5773" s="223">
        <f t="shared" si="43"/>
        <v>1.2244897959183672</v>
      </c>
      <c r="AH5773" s="346"/>
      <c r="AI5773" s="427"/>
      <c r="AJ5773" s="480"/>
      <c r="AK5773" s="427"/>
      <c r="AU5773" s="218"/>
      <c r="AV5773" s="218"/>
      <c r="AW5773" s="218"/>
      <c r="AX5773" s="218"/>
      <c r="AY5773" s="218"/>
      <c r="BI5773" s="427"/>
      <c r="BJ5773" s="427"/>
      <c r="BK5773" s="427"/>
      <c r="BL5773" s="427"/>
      <c r="BM5773" s="427"/>
      <c r="BN5773" s="427"/>
      <c r="BO5773" s="427"/>
      <c r="BP5773" s="427"/>
      <c r="BQ5773" s="427"/>
      <c r="BR5773" s="427"/>
      <c r="BS5773" s="427"/>
      <c r="BT5773" s="427"/>
      <c r="BU5773" s="427"/>
      <c r="BV5773" s="427"/>
      <c r="BW5773" s="427"/>
      <c r="BX5773" s="427"/>
      <c r="BY5773" s="427"/>
      <c r="BZ5773" s="427"/>
    </row>
    <row r="5774" spans="2:78" s="152" customFormat="1" x14ac:dyDescent="0.2">
      <c r="B5774" s="683"/>
      <c r="C5774" s="683"/>
      <c r="D5774" s="698"/>
      <c r="E5774" s="215"/>
      <c r="F5774" s="215"/>
      <c r="G5774" s="427"/>
      <c r="H5774" s="427"/>
      <c r="I5774" s="427"/>
      <c r="J5774" s="427"/>
      <c r="K5774" s="427"/>
      <c r="L5774" s="653"/>
      <c r="M5774" s="666" t="s">
        <v>893</v>
      </c>
      <c r="N5774" s="600">
        <v>0.7</v>
      </c>
      <c r="O5774" s="608">
        <v>1.2249999999999999</v>
      </c>
      <c r="P5774" s="782"/>
      <c r="Q5774" s="764"/>
      <c r="R5774" s="764"/>
      <c r="S5774" s="764"/>
      <c r="T5774" s="764"/>
      <c r="U5774" s="764"/>
      <c r="V5774" s="764"/>
      <c r="W5774" s="764"/>
      <c r="X5774" s="764"/>
      <c r="Y5774" s="768"/>
      <c r="Z5774" s="762"/>
      <c r="AA5774" s="150"/>
      <c r="AB5774" s="150">
        <v>62</v>
      </c>
      <c r="AC5774" s="150">
        <v>8.8999999999999999E-3</v>
      </c>
      <c r="AD5774" s="150">
        <v>3.5</v>
      </c>
      <c r="AE5774" s="223">
        <v>0.14000000000000001</v>
      </c>
      <c r="AF5774" s="223">
        <f t="shared" si="42"/>
        <v>0.49000000000000005</v>
      </c>
      <c r="AG5774" s="223">
        <f t="shared" si="43"/>
        <v>1.4285714285714284</v>
      </c>
      <c r="AH5774" s="346"/>
      <c r="AI5774" s="427"/>
      <c r="AJ5774" s="480"/>
      <c r="AK5774" s="427"/>
      <c r="AU5774" s="218"/>
      <c r="AV5774" s="218"/>
      <c r="AW5774" s="218"/>
      <c r="AX5774" s="218"/>
      <c r="AY5774" s="218"/>
      <c r="BI5774" s="427"/>
      <c r="BJ5774" s="427"/>
      <c r="BK5774" s="427"/>
      <c r="BL5774" s="427"/>
      <c r="BM5774" s="427"/>
      <c r="BN5774" s="427"/>
      <c r="BO5774" s="427"/>
      <c r="BP5774" s="427"/>
      <c r="BQ5774" s="427"/>
      <c r="BR5774" s="427"/>
      <c r="BS5774" s="427"/>
      <c r="BT5774" s="427"/>
      <c r="BU5774" s="427"/>
      <c r="BV5774" s="427"/>
      <c r="BW5774" s="427"/>
      <c r="BX5774" s="427"/>
      <c r="BY5774" s="427"/>
      <c r="BZ5774" s="427"/>
    </row>
    <row r="5775" spans="2:78" s="152" customFormat="1" x14ac:dyDescent="0.2">
      <c r="B5775" s="683"/>
      <c r="C5775" s="683"/>
      <c r="D5775" s="698"/>
      <c r="E5775" s="215"/>
      <c r="F5775" s="215"/>
      <c r="G5775" s="427"/>
      <c r="H5775" s="427"/>
      <c r="I5775" s="427"/>
      <c r="J5775" s="427"/>
      <c r="K5775" s="427"/>
      <c r="L5775" s="653"/>
      <c r="M5775" s="666" t="s">
        <v>893</v>
      </c>
      <c r="N5775" s="600">
        <v>0.7</v>
      </c>
      <c r="O5775" s="608">
        <v>5.6000000000000005</v>
      </c>
      <c r="P5775" s="782"/>
      <c r="Q5775" s="764"/>
      <c r="R5775" s="764"/>
      <c r="S5775" s="764"/>
      <c r="T5775" s="764"/>
      <c r="U5775" s="764"/>
      <c r="V5775" s="764"/>
      <c r="W5775" s="764"/>
      <c r="X5775" s="764"/>
      <c r="Y5775" s="768"/>
      <c r="Z5775" s="762"/>
      <c r="AA5775" s="150"/>
      <c r="AB5775" s="150">
        <v>63</v>
      </c>
      <c r="AC5775" s="150">
        <v>8.8999999999999999E-3</v>
      </c>
      <c r="AD5775" s="150">
        <v>3.5</v>
      </c>
      <c r="AE5775" s="223">
        <v>0.15</v>
      </c>
      <c r="AF5775" s="223">
        <f t="shared" si="42"/>
        <v>0.52500000000000002</v>
      </c>
      <c r="AG5775" s="223">
        <f t="shared" si="43"/>
        <v>1.3333333333333333</v>
      </c>
      <c r="AH5775" s="346"/>
      <c r="AI5775" s="427"/>
      <c r="AJ5775" s="480"/>
      <c r="AK5775" s="427"/>
      <c r="AU5775" s="218"/>
      <c r="AV5775" s="218"/>
      <c r="AW5775" s="218"/>
      <c r="AX5775" s="218"/>
      <c r="AY5775" s="218"/>
      <c r="BI5775" s="427"/>
      <c r="BJ5775" s="427"/>
      <c r="BK5775" s="427"/>
      <c r="BL5775" s="427"/>
      <c r="BM5775" s="427"/>
      <c r="BN5775" s="427"/>
      <c r="BO5775" s="427"/>
      <c r="BP5775" s="427"/>
      <c r="BQ5775" s="427"/>
      <c r="BR5775" s="427"/>
      <c r="BS5775" s="427"/>
      <c r="BT5775" s="427"/>
      <c r="BU5775" s="427"/>
      <c r="BV5775" s="427"/>
      <c r="BW5775" s="427"/>
      <c r="BX5775" s="427"/>
      <c r="BY5775" s="427"/>
      <c r="BZ5775" s="427"/>
    </row>
    <row r="5776" spans="2:78" s="152" customFormat="1" x14ac:dyDescent="0.2">
      <c r="B5776" s="683"/>
      <c r="C5776" s="683"/>
      <c r="D5776" s="698"/>
      <c r="E5776" s="215"/>
      <c r="F5776" s="215"/>
      <c r="G5776" s="427"/>
      <c r="H5776" s="427"/>
      <c r="I5776" s="427"/>
      <c r="J5776" s="427"/>
      <c r="K5776" s="427"/>
      <c r="L5776" s="653"/>
      <c r="M5776" s="666" t="s">
        <v>893</v>
      </c>
      <c r="N5776" s="600">
        <v>0.8</v>
      </c>
      <c r="O5776" s="608">
        <v>3.0449999999999999</v>
      </c>
      <c r="P5776" s="782"/>
      <c r="Q5776" s="764"/>
      <c r="R5776" s="764"/>
      <c r="S5776" s="764"/>
      <c r="T5776" s="764"/>
      <c r="U5776" s="764"/>
      <c r="V5776" s="764"/>
      <c r="W5776" s="764"/>
      <c r="X5776" s="764"/>
      <c r="Y5776" s="768"/>
      <c r="Z5776" s="762"/>
      <c r="AA5776" s="150"/>
      <c r="AB5776" s="150">
        <v>64</v>
      </c>
      <c r="AC5776" s="150">
        <v>8.8999999999999999E-3</v>
      </c>
      <c r="AD5776" s="150">
        <v>3.5</v>
      </c>
      <c r="AE5776" s="223">
        <v>0.16</v>
      </c>
      <c r="AF5776" s="223">
        <f t="shared" si="42"/>
        <v>0.56000000000000005</v>
      </c>
      <c r="AG5776" s="223">
        <f t="shared" si="43"/>
        <v>1.4285714285714286</v>
      </c>
      <c r="AH5776" s="346"/>
      <c r="AI5776" s="427"/>
      <c r="AJ5776" s="480"/>
      <c r="AK5776" s="427"/>
      <c r="AU5776" s="218"/>
      <c r="AV5776" s="218"/>
      <c r="AW5776" s="218"/>
      <c r="AX5776" s="218"/>
      <c r="AY5776" s="218"/>
      <c r="BI5776" s="427"/>
      <c r="BJ5776" s="427"/>
      <c r="BK5776" s="427"/>
      <c r="BL5776" s="427"/>
      <c r="BM5776" s="427"/>
      <c r="BN5776" s="427"/>
      <c r="BO5776" s="427"/>
      <c r="BP5776" s="427"/>
      <c r="BQ5776" s="427"/>
      <c r="BR5776" s="427"/>
      <c r="BS5776" s="427"/>
      <c r="BT5776" s="427"/>
      <c r="BU5776" s="427"/>
      <c r="BV5776" s="427"/>
      <c r="BW5776" s="427"/>
      <c r="BX5776" s="427"/>
      <c r="BY5776" s="427"/>
      <c r="BZ5776" s="427"/>
    </row>
    <row r="5777" spans="1:80" s="152" customFormat="1" x14ac:dyDescent="0.2">
      <c r="B5777" s="683"/>
      <c r="C5777" s="683"/>
      <c r="D5777" s="698"/>
      <c r="E5777" s="215"/>
      <c r="F5777" s="215"/>
      <c r="G5777" s="427"/>
      <c r="H5777" s="427"/>
      <c r="I5777" s="427"/>
      <c r="J5777" s="427"/>
      <c r="K5777" s="427"/>
      <c r="L5777" s="653"/>
      <c r="M5777" s="666" t="s">
        <v>893</v>
      </c>
      <c r="N5777" s="600">
        <v>0.9</v>
      </c>
      <c r="O5777" s="608">
        <v>4.0249999999999995</v>
      </c>
      <c r="P5777" s="782"/>
      <c r="Q5777" s="764"/>
      <c r="R5777" s="764"/>
      <c r="S5777" s="764"/>
      <c r="T5777" s="764"/>
      <c r="U5777" s="764"/>
      <c r="V5777" s="764"/>
      <c r="W5777" s="764"/>
      <c r="X5777" s="764"/>
      <c r="Y5777" s="768"/>
      <c r="Z5777" s="762"/>
      <c r="AA5777" s="150"/>
      <c r="AB5777" s="150">
        <v>65</v>
      </c>
      <c r="AC5777" s="150">
        <v>8.9999999999999993E-3</v>
      </c>
      <c r="AD5777" s="150">
        <v>3.5</v>
      </c>
      <c r="AE5777" s="223">
        <v>0.17</v>
      </c>
      <c r="AF5777" s="223">
        <f t="shared" si="42"/>
        <v>0.59500000000000008</v>
      </c>
      <c r="AG5777" s="223">
        <f t="shared" ref="AG5777:AG5786" si="44">N5777/AF5777</f>
        <v>1.5126050420168065</v>
      </c>
      <c r="AH5777" s="346"/>
      <c r="AI5777" s="427"/>
      <c r="AJ5777" s="480"/>
      <c r="AK5777" s="427"/>
      <c r="AU5777" s="218"/>
      <c r="AV5777" s="218"/>
      <c r="AW5777" s="218"/>
      <c r="AX5777" s="218"/>
      <c r="AY5777" s="218"/>
      <c r="BI5777" s="427"/>
      <c r="BJ5777" s="427"/>
      <c r="BK5777" s="427"/>
      <c r="BL5777" s="427"/>
      <c r="BM5777" s="427"/>
      <c r="BN5777" s="427"/>
      <c r="BO5777" s="427"/>
      <c r="BP5777" s="427"/>
      <c r="BQ5777" s="427"/>
      <c r="BR5777" s="427"/>
      <c r="BS5777" s="427"/>
      <c r="BT5777" s="427"/>
      <c r="BU5777" s="427"/>
      <c r="BV5777" s="427"/>
      <c r="BW5777" s="427"/>
      <c r="BX5777" s="427"/>
      <c r="BY5777" s="427"/>
      <c r="BZ5777" s="427"/>
    </row>
    <row r="5778" spans="1:80" s="152" customFormat="1" x14ac:dyDescent="0.2">
      <c r="B5778" s="683"/>
      <c r="C5778" s="683"/>
      <c r="D5778" s="698"/>
      <c r="E5778" s="215"/>
      <c r="F5778" s="215"/>
      <c r="G5778" s="427"/>
      <c r="H5778" s="427"/>
      <c r="I5778" s="427"/>
      <c r="J5778" s="427"/>
      <c r="K5778" s="427"/>
      <c r="L5778" s="653"/>
      <c r="M5778" s="666" t="s">
        <v>893</v>
      </c>
      <c r="N5778" s="600">
        <v>1.1000000000000001</v>
      </c>
      <c r="O5778" s="608">
        <v>7.07</v>
      </c>
      <c r="P5778" s="782"/>
      <c r="Q5778" s="764"/>
      <c r="R5778" s="764"/>
      <c r="S5778" s="764"/>
      <c r="T5778" s="764"/>
      <c r="U5778" s="764"/>
      <c r="V5778" s="764"/>
      <c r="W5778" s="764"/>
      <c r="X5778" s="764"/>
      <c r="Y5778" s="768"/>
      <c r="Z5778" s="762"/>
      <c r="AA5778" s="150"/>
      <c r="AB5778" s="150">
        <v>66</v>
      </c>
      <c r="AC5778" s="150">
        <v>9.1000000000000004E-3</v>
      </c>
      <c r="AD5778" s="150">
        <v>3.5</v>
      </c>
      <c r="AE5778" s="223">
        <v>0.19</v>
      </c>
      <c r="AF5778" s="223">
        <f t="shared" ref="AF5778:AF5786" si="45">AE5778*AD5778</f>
        <v>0.66500000000000004</v>
      </c>
      <c r="AG5778" s="223">
        <f t="shared" si="44"/>
        <v>1.6541353383458648</v>
      </c>
      <c r="AH5778" s="346"/>
      <c r="AI5778" s="427"/>
      <c r="AJ5778" s="480"/>
      <c r="AK5778" s="427"/>
      <c r="AU5778" s="218"/>
      <c r="AV5778" s="218"/>
      <c r="AW5778" s="218"/>
      <c r="AX5778" s="218"/>
      <c r="AY5778" s="218"/>
      <c r="BI5778" s="427"/>
      <c r="BJ5778" s="427"/>
      <c r="BK5778" s="427"/>
      <c r="BL5778" s="427"/>
      <c r="BM5778" s="427"/>
      <c r="BN5778" s="427"/>
      <c r="BO5778" s="427"/>
      <c r="BP5778" s="427"/>
      <c r="BQ5778" s="427"/>
      <c r="BR5778" s="427"/>
      <c r="BS5778" s="427"/>
      <c r="BT5778" s="427"/>
      <c r="BU5778" s="427"/>
      <c r="BV5778" s="427"/>
      <c r="BW5778" s="427"/>
      <c r="BX5778" s="427"/>
      <c r="BY5778" s="427"/>
      <c r="BZ5778" s="427"/>
    </row>
    <row r="5779" spans="1:80" s="152" customFormat="1" x14ac:dyDescent="0.2">
      <c r="B5779" s="683"/>
      <c r="C5779" s="683"/>
      <c r="D5779" s="698"/>
      <c r="E5779" s="215"/>
      <c r="F5779" s="215"/>
      <c r="G5779" s="427"/>
      <c r="H5779" s="427"/>
      <c r="I5779" s="427"/>
      <c r="J5779" s="427"/>
      <c r="K5779" s="427"/>
      <c r="L5779" s="653"/>
      <c r="M5779" s="666" t="s">
        <v>893</v>
      </c>
      <c r="N5779" s="600">
        <v>1.2</v>
      </c>
      <c r="O5779" s="608">
        <v>4.3049999999999997</v>
      </c>
      <c r="P5779" s="782"/>
      <c r="Q5779" s="764"/>
      <c r="R5779" s="764"/>
      <c r="S5779" s="764"/>
      <c r="T5779" s="764"/>
      <c r="U5779" s="764"/>
      <c r="V5779" s="764"/>
      <c r="W5779" s="764"/>
      <c r="X5779" s="764"/>
      <c r="Y5779" s="768"/>
      <c r="Z5779" s="762"/>
      <c r="AA5779" s="150"/>
      <c r="AB5779" s="150">
        <v>67</v>
      </c>
      <c r="AC5779" s="150">
        <v>9.1999999999999998E-3</v>
      </c>
      <c r="AD5779" s="150">
        <v>3.5</v>
      </c>
      <c r="AE5779" s="223">
        <v>0.2</v>
      </c>
      <c r="AF5779" s="223">
        <f t="shared" si="45"/>
        <v>0.70000000000000007</v>
      </c>
      <c r="AG5779" s="223">
        <f t="shared" si="44"/>
        <v>1.714285714285714</v>
      </c>
      <c r="AH5779" s="346"/>
      <c r="AI5779" s="427"/>
      <c r="AJ5779" s="480"/>
      <c r="AK5779" s="427"/>
      <c r="AU5779" s="218"/>
      <c r="AV5779" s="218"/>
      <c r="AW5779" s="218"/>
      <c r="AX5779" s="218"/>
      <c r="AY5779" s="218"/>
      <c r="BI5779" s="427"/>
      <c r="BJ5779" s="427"/>
      <c r="BK5779" s="427"/>
      <c r="BL5779" s="427"/>
      <c r="BM5779" s="427"/>
      <c r="BN5779" s="427"/>
      <c r="BO5779" s="427"/>
      <c r="BP5779" s="427"/>
      <c r="BQ5779" s="427"/>
      <c r="BR5779" s="427"/>
      <c r="BS5779" s="427"/>
      <c r="BT5779" s="427"/>
      <c r="BU5779" s="427"/>
      <c r="BV5779" s="427"/>
      <c r="BW5779" s="427"/>
      <c r="BX5779" s="427"/>
      <c r="BY5779" s="427"/>
      <c r="BZ5779" s="427"/>
    </row>
    <row r="5780" spans="1:80" s="152" customFormat="1" x14ac:dyDescent="0.2">
      <c r="B5780" s="683"/>
      <c r="C5780" s="683"/>
      <c r="D5780" s="698"/>
      <c r="E5780" s="215"/>
      <c r="F5780" s="215"/>
      <c r="G5780" s="427"/>
      <c r="H5780" s="427"/>
      <c r="I5780" s="427"/>
      <c r="J5780" s="427"/>
      <c r="K5780" s="427"/>
      <c r="L5780" s="653"/>
      <c r="M5780" s="666" t="s">
        <v>893</v>
      </c>
      <c r="N5780" s="600">
        <v>1.2</v>
      </c>
      <c r="O5780" s="608">
        <v>9.4149999999999991</v>
      </c>
      <c r="P5780" s="782"/>
      <c r="Q5780" s="764"/>
      <c r="R5780" s="764"/>
      <c r="S5780" s="764"/>
      <c r="T5780" s="764"/>
      <c r="U5780" s="764"/>
      <c r="V5780" s="764"/>
      <c r="W5780" s="764"/>
      <c r="X5780" s="764"/>
      <c r="Y5780" s="768"/>
      <c r="Z5780" s="762"/>
      <c r="AA5780" s="150"/>
      <c r="AB5780" s="150">
        <v>68</v>
      </c>
      <c r="AC5780" s="150">
        <v>9.2999999999999992E-3</v>
      </c>
      <c r="AD5780" s="150">
        <v>3.5</v>
      </c>
      <c r="AE5780" s="223">
        <v>0.2</v>
      </c>
      <c r="AF5780" s="223">
        <f t="shared" si="45"/>
        <v>0.70000000000000007</v>
      </c>
      <c r="AG5780" s="223">
        <f t="shared" si="44"/>
        <v>1.714285714285714</v>
      </c>
      <c r="AH5780" s="346"/>
      <c r="AI5780" s="427"/>
      <c r="AJ5780" s="480"/>
      <c r="AK5780" s="427"/>
      <c r="AU5780" s="218"/>
      <c r="AV5780" s="218"/>
      <c r="AW5780" s="218"/>
      <c r="AX5780" s="218"/>
      <c r="AY5780" s="218"/>
      <c r="BI5780" s="427"/>
      <c r="BJ5780" s="427"/>
      <c r="BK5780" s="427"/>
      <c r="BL5780" s="427"/>
      <c r="BM5780" s="427"/>
      <c r="BN5780" s="427"/>
      <c r="BO5780" s="427"/>
      <c r="BP5780" s="427"/>
      <c r="BQ5780" s="427"/>
      <c r="BR5780" s="427"/>
      <c r="BS5780" s="427"/>
      <c r="BT5780" s="427"/>
      <c r="BU5780" s="427"/>
      <c r="BV5780" s="427"/>
      <c r="BW5780" s="427"/>
      <c r="BX5780" s="427"/>
      <c r="BY5780" s="427"/>
      <c r="BZ5780" s="427"/>
    </row>
    <row r="5781" spans="1:80" s="152" customFormat="1" x14ac:dyDescent="0.2">
      <c r="B5781" s="683"/>
      <c r="C5781" s="683"/>
      <c r="D5781" s="698"/>
      <c r="E5781" s="215"/>
      <c r="F5781" s="215"/>
      <c r="G5781" s="427"/>
      <c r="H5781" s="427"/>
      <c r="I5781" s="427"/>
      <c r="J5781" s="427"/>
      <c r="K5781" s="427"/>
      <c r="L5781" s="653"/>
      <c r="M5781" s="666" t="s">
        <v>893</v>
      </c>
      <c r="N5781" s="600">
        <v>1.4</v>
      </c>
      <c r="O5781" s="608">
        <v>9.3800000000000008</v>
      </c>
      <c r="P5781" s="782"/>
      <c r="Q5781" s="764"/>
      <c r="R5781" s="764"/>
      <c r="S5781" s="764"/>
      <c r="T5781" s="764"/>
      <c r="U5781" s="764"/>
      <c r="V5781" s="764"/>
      <c r="W5781" s="764"/>
      <c r="X5781" s="764"/>
      <c r="Y5781" s="768"/>
      <c r="Z5781" s="762"/>
      <c r="AA5781" s="150"/>
      <c r="AB5781" s="150">
        <v>69</v>
      </c>
      <c r="AC5781" s="150">
        <v>9.4000000000000004E-3</v>
      </c>
      <c r="AD5781" s="150">
        <v>3.5</v>
      </c>
      <c r="AE5781" s="223">
        <v>0.22</v>
      </c>
      <c r="AF5781" s="223">
        <f t="shared" si="45"/>
        <v>0.77</v>
      </c>
      <c r="AG5781" s="223">
        <f t="shared" si="44"/>
        <v>1.8181818181818181</v>
      </c>
      <c r="AH5781" s="346"/>
      <c r="AI5781" s="427"/>
      <c r="AJ5781" s="480"/>
      <c r="AK5781" s="427"/>
      <c r="AU5781" s="218"/>
      <c r="AV5781" s="218"/>
      <c r="AW5781" s="218"/>
      <c r="AX5781" s="218"/>
      <c r="AY5781" s="218"/>
      <c r="BI5781" s="427"/>
      <c r="BJ5781" s="427"/>
      <c r="BK5781" s="427"/>
      <c r="BL5781" s="427"/>
      <c r="BM5781" s="427"/>
      <c r="BN5781" s="427"/>
      <c r="BO5781" s="427"/>
      <c r="BP5781" s="427"/>
      <c r="BQ5781" s="427"/>
      <c r="BR5781" s="427"/>
      <c r="BS5781" s="427"/>
      <c r="BT5781" s="427"/>
      <c r="BU5781" s="427"/>
      <c r="BV5781" s="427"/>
      <c r="BW5781" s="427"/>
      <c r="BX5781" s="427"/>
      <c r="BY5781" s="427"/>
      <c r="BZ5781" s="427"/>
    </row>
    <row r="5782" spans="1:80" s="152" customFormat="1" x14ac:dyDescent="0.2">
      <c r="B5782" s="683"/>
      <c r="C5782" s="683"/>
      <c r="D5782" s="698"/>
      <c r="E5782" s="215"/>
      <c r="F5782" s="215"/>
      <c r="G5782" s="427"/>
      <c r="H5782" s="427"/>
      <c r="I5782" s="427"/>
      <c r="J5782" s="427"/>
      <c r="K5782" s="427"/>
      <c r="L5782" s="653"/>
      <c r="M5782" s="666" t="s">
        <v>893</v>
      </c>
      <c r="N5782" s="600">
        <v>1.5</v>
      </c>
      <c r="O5782" s="608">
        <v>9.7650000000000006</v>
      </c>
      <c r="P5782" s="782"/>
      <c r="Q5782" s="764"/>
      <c r="R5782" s="764"/>
      <c r="S5782" s="764"/>
      <c r="T5782" s="764"/>
      <c r="U5782" s="764"/>
      <c r="V5782" s="764"/>
      <c r="W5782" s="764"/>
      <c r="X5782" s="764"/>
      <c r="Y5782" s="768"/>
      <c r="Z5782" s="762"/>
      <c r="AA5782" s="150"/>
      <c r="AB5782" s="150">
        <v>70</v>
      </c>
      <c r="AC5782" s="150">
        <v>9.4999999999999998E-3</v>
      </c>
      <c r="AD5782" s="150">
        <v>3.5</v>
      </c>
      <c r="AE5782" s="223">
        <v>0.23</v>
      </c>
      <c r="AF5782" s="223">
        <f t="shared" si="45"/>
        <v>0.80500000000000005</v>
      </c>
      <c r="AG5782" s="223">
        <f t="shared" si="44"/>
        <v>1.8633540372670807</v>
      </c>
      <c r="AH5782" s="346"/>
      <c r="AI5782" s="427"/>
      <c r="AJ5782" s="480"/>
      <c r="AK5782" s="427"/>
      <c r="AU5782" s="218"/>
      <c r="AV5782" s="218"/>
      <c r="AW5782" s="218"/>
      <c r="AX5782" s="218"/>
      <c r="AY5782" s="218"/>
      <c r="BI5782" s="427"/>
      <c r="BJ5782" s="427"/>
      <c r="BK5782" s="427"/>
      <c r="BL5782" s="427"/>
      <c r="BM5782" s="427"/>
      <c r="BN5782" s="427"/>
      <c r="BO5782" s="427"/>
      <c r="BP5782" s="427"/>
      <c r="BQ5782" s="427"/>
      <c r="BR5782" s="427"/>
      <c r="BS5782" s="427"/>
      <c r="BT5782" s="427"/>
      <c r="BU5782" s="427"/>
      <c r="BV5782" s="427"/>
      <c r="BW5782" s="427"/>
      <c r="BX5782" s="427"/>
      <c r="BY5782" s="427"/>
      <c r="BZ5782" s="427"/>
    </row>
    <row r="5783" spans="1:80" s="152" customFormat="1" x14ac:dyDescent="0.2">
      <c r="B5783" s="683"/>
      <c r="C5783" s="683"/>
      <c r="D5783" s="698"/>
      <c r="E5783" s="215"/>
      <c r="F5783" s="215"/>
      <c r="G5783" s="427"/>
      <c r="H5783" s="427"/>
      <c r="I5783" s="427"/>
      <c r="J5783" s="427"/>
      <c r="K5783" s="427"/>
      <c r="L5783" s="653"/>
      <c r="M5783" s="666" t="s">
        <v>893</v>
      </c>
      <c r="N5783" s="600">
        <v>1.6</v>
      </c>
      <c r="O5783" s="608">
        <v>7.7349999999999994</v>
      </c>
      <c r="P5783" s="782"/>
      <c r="Q5783" s="764"/>
      <c r="R5783" s="764"/>
      <c r="S5783" s="764"/>
      <c r="T5783" s="764"/>
      <c r="U5783" s="764"/>
      <c r="V5783" s="764"/>
      <c r="W5783" s="764"/>
      <c r="X5783" s="764"/>
      <c r="Y5783" s="768"/>
      <c r="Z5783" s="762"/>
      <c r="AA5783" s="150"/>
      <c r="AB5783" s="150">
        <v>71</v>
      </c>
      <c r="AC5783" s="150">
        <v>9.4999999999999998E-3</v>
      </c>
      <c r="AD5783" s="150">
        <v>3.5</v>
      </c>
      <c r="AE5783" s="223">
        <v>0.24</v>
      </c>
      <c r="AF5783" s="223">
        <f t="shared" si="45"/>
        <v>0.84</v>
      </c>
      <c r="AG5783" s="223">
        <f t="shared" si="44"/>
        <v>1.9047619047619049</v>
      </c>
      <c r="AH5783" s="346"/>
      <c r="AI5783" s="427"/>
      <c r="AJ5783" s="480"/>
      <c r="AK5783" s="427"/>
      <c r="AU5783" s="218"/>
      <c r="AV5783" s="218"/>
      <c r="AW5783" s="218"/>
      <c r="AX5783" s="218"/>
      <c r="AY5783" s="218"/>
      <c r="BI5783" s="427"/>
      <c r="BJ5783" s="427"/>
      <c r="BK5783" s="427"/>
      <c r="BL5783" s="427"/>
      <c r="BM5783" s="427"/>
      <c r="BN5783" s="427"/>
      <c r="BO5783" s="427"/>
      <c r="BP5783" s="427"/>
      <c r="BQ5783" s="427"/>
      <c r="BR5783" s="427"/>
      <c r="BS5783" s="427"/>
      <c r="BT5783" s="427"/>
      <c r="BU5783" s="427"/>
      <c r="BV5783" s="427"/>
      <c r="BW5783" s="427"/>
      <c r="BX5783" s="427"/>
      <c r="BY5783" s="427"/>
      <c r="BZ5783" s="427"/>
    </row>
    <row r="5784" spans="1:80" s="152" customFormat="1" x14ac:dyDescent="0.2">
      <c r="B5784" s="683"/>
      <c r="C5784" s="683"/>
      <c r="D5784" s="698"/>
      <c r="E5784" s="215"/>
      <c r="F5784" s="215"/>
      <c r="G5784" s="427"/>
      <c r="H5784" s="427"/>
      <c r="I5784" s="427"/>
      <c r="J5784" s="427"/>
      <c r="K5784" s="427"/>
      <c r="L5784" s="653"/>
      <c r="M5784" s="666" t="s">
        <v>893</v>
      </c>
      <c r="N5784" s="600">
        <v>1.7</v>
      </c>
      <c r="O5784" s="608">
        <v>9.0300000000000011</v>
      </c>
      <c r="P5784" s="782"/>
      <c r="Q5784" s="764"/>
      <c r="R5784" s="764"/>
      <c r="S5784" s="764"/>
      <c r="T5784" s="764"/>
      <c r="U5784" s="764"/>
      <c r="V5784" s="764"/>
      <c r="W5784" s="764"/>
      <c r="X5784" s="764"/>
      <c r="Y5784" s="768"/>
      <c r="Z5784" s="762"/>
      <c r="AA5784" s="150"/>
      <c r="AB5784" s="150">
        <v>72</v>
      </c>
      <c r="AC5784" s="150">
        <v>9.4999999999999998E-3</v>
      </c>
      <c r="AD5784" s="150">
        <v>3.5</v>
      </c>
      <c r="AE5784" s="223">
        <v>0.25</v>
      </c>
      <c r="AF5784" s="223">
        <f t="shared" si="45"/>
        <v>0.875</v>
      </c>
      <c r="AG5784" s="223">
        <f t="shared" si="44"/>
        <v>1.9428571428571428</v>
      </c>
      <c r="AH5784" s="346"/>
      <c r="AI5784" s="427"/>
      <c r="AJ5784" s="480"/>
      <c r="AK5784" s="427"/>
      <c r="AU5784" s="218"/>
      <c r="AV5784" s="218"/>
      <c r="AW5784" s="218"/>
      <c r="AX5784" s="218"/>
      <c r="AY5784" s="218"/>
      <c r="BI5784" s="427"/>
      <c r="BJ5784" s="427"/>
      <c r="BK5784" s="427"/>
      <c r="BL5784" s="427"/>
      <c r="BM5784" s="427"/>
      <c r="BN5784" s="427"/>
      <c r="BO5784" s="427"/>
      <c r="BP5784" s="427"/>
      <c r="BQ5784" s="427"/>
      <c r="BR5784" s="427"/>
      <c r="BS5784" s="427"/>
      <c r="BT5784" s="427"/>
      <c r="BU5784" s="427"/>
      <c r="BV5784" s="427"/>
      <c r="BW5784" s="427"/>
      <c r="BX5784" s="427"/>
      <c r="BY5784" s="427"/>
      <c r="BZ5784" s="427"/>
    </row>
    <row r="5785" spans="1:80" s="152" customFormat="1" x14ac:dyDescent="0.2">
      <c r="B5785" s="683"/>
      <c r="C5785" s="683"/>
      <c r="D5785" s="698"/>
      <c r="E5785" s="215"/>
      <c r="F5785" s="215"/>
      <c r="G5785" s="427"/>
      <c r="H5785" s="427"/>
      <c r="I5785" s="427"/>
      <c r="J5785" s="427"/>
      <c r="K5785" s="427"/>
      <c r="L5785" s="653"/>
      <c r="M5785" s="666" t="s">
        <v>893</v>
      </c>
      <c r="N5785" s="600">
        <v>1.8</v>
      </c>
      <c r="O5785" s="608">
        <v>8.2249999999999996</v>
      </c>
      <c r="P5785" s="782"/>
      <c r="Q5785" s="764"/>
      <c r="R5785" s="764"/>
      <c r="S5785" s="764"/>
      <c r="T5785" s="764"/>
      <c r="U5785" s="764"/>
      <c r="V5785" s="764"/>
      <c r="W5785" s="764"/>
      <c r="X5785" s="764"/>
      <c r="Y5785" s="768"/>
      <c r="Z5785" s="762"/>
      <c r="AA5785" s="150"/>
      <c r="AB5785" s="150">
        <v>73</v>
      </c>
      <c r="AC5785" s="150">
        <v>9.5999999999999992E-3</v>
      </c>
      <c r="AD5785" s="150">
        <v>3.5</v>
      </c>
      <c r="AE5785" s="223">
        <v>0.26</v>
      </c>
      <c r="AF5785" s="223">
        <f t="shared" si="45"/>
        <v>0.91</v>
      </c>
      <c r="AG5785" s="223">
        <f t="shared" si="44"/>
        <v>1.9780219780219781</v>
      </c>
      <c r="AH5785" s="346"/>
      <c r="AI5785" s="427"/>
      <c r="AJ5785" s="480"/>
      <c r="AK5785" s="427"/>
      <c r="AU5785" s="218"/>
      <c r="AV5785" s="218"/>
      <c r="AW5785" s="218"/>
      <c r="AX5785" s="218"/>
      <c r="AY5785" s="218"/>
      <c r="BI5785" s="427"/>
      <c r="BJ5785" s="427"/>
      <c r="BK5785" s="427"/>
      <c r="BL5785" s="427"/>
      <c r="BM5785" s="427"/>
      <c r="BN5785" s="427"/>
      <c r="BO5785" s="427"/>
      <c r="BP5785" s="427"/>
      <c r="BQ5785" s="427"/>
      <c r="BR5785" s="427"/>
      <c r="BS5785" s="427"/>
      <c r="BT5785" s="427"/>
      <c r="BU5785" s="427"/>
      <c r="BV5785" s="427"/>
      <c r="BW5785" s="427"/>
      <c r="BX5785" s="427"/>
      <c r="BY5785" s="427"/>
      <c r="BZ5785" s="427"/>
    </row>
    <row r="5786" spans="1:80" s="152" customFormat="1" ht="15" thickBot="1" x14ac:dyDescent="0.25">
      <c r="B5786" s="683"/>
      <c r="C5786" s="683"/>
      <c r="D5786" s="698"/>
      <c r="E5786" s="215"/>
      <c r="F5786" s="215"/>
      <c r="G5786" s="427"/>
      <c r="H5786" s="427"/>
      <c r="I5786" s="427"/>
      <c r="J5786" s="427"/>
      <c r="K5786" s="427"/>
      <c r="L5786" s="653"/>
      <c r="M5786" s="666" t="s">
        <v>893</v>
      </c>
      <c r="N5786" s="600">
        <v>1.9</v>
      </c>
      <c r="O5786" s="608">
        <v>15.924999999999999</v>
      </c>
      <c r="P5786" s="783"/>
      <c r="Q5786" s="784"/>
      <c r="R5786" s="784"/>
      <c r="S5786" s="784"/>
      <c r="T5786" s="784"/>
      <c r="U5786" s="784"/>
      <c r="V5786" s="784"/>
      <c r="W5786" s="784"/>
      <c r="X5786" s="784"/>
      <c r="Y5786" s="770"/>
      <c r="Z5786" s="762"/>
      <c r="AA5786" s="150"/>
      <c r="AB5786" s="150">
        <v>74</v>
      </c>
      <c r="AC5786" s="150">
        <v>9.7000000000000003E-3</v>
      </c>
      <c r="AD5786" s="150">
        <v>3.5</v>
      </c>
      <c r="AE5786" s="223">
        <v>0.27</v>
      </c>
      <c r="AF5786" s="223">
        <f t="shared" si="45"/>
        <v>0.94500000000000006</v>
      </c>
      <c r="AG5786" s="223">
        <f t="shared" si="44"/>
        <v>2.0105820105820102</v>
      </c>
      <c r="AH5786" s="346"/>
      <c r="AI5786" s="427"/>
      <c r="AJ5786" s="480"/>
      <c r="AK5786" s="427"/>
      <c r="AU5786" s="218"/>
      <c r="AV5786" s="218"/>
      <c r="AW5786" s="218"/>
      <c r="AX5786" s="218"/>
      <c r="AY5786" s="218"/>
      <c r="BI5786" s="427"/>
      <c r="BJ5786" s="427"/>
      <c r="BK5786" s="427"/>
      <c r="BL5786" s="427"/>
      <c r="BM5786" s="427"/>
      <c r="BN5786" s="427"/>
      <c r="BO5786" s="427"/>
      <c r="BP5786" s="427"/>
      <c r="BQ5786" s="427"/>
      <c r="BR5786" s="427"/>
      <c r="BS5786" s="427"/>
      <c r="BT5786" s="427"/>
      <c r="BU5786" s="427"/>
      <c r="BV5786" s="427"/>
      <c r="BW5786" s="427"/>
      <c r="BX5786" s="427"/>
      <c r="BY5786" s="427"/>
      <c r="BZ5786" s="427"/>
    </row>
    <row r="5787" spans="1:80" s="189" customFormat="1" ht="15.75" thickTop="1" x14ac:dyDescent="0.25">
      <c r="A5787" s="9" t="s">
        <v>520</v>
      </c>
      <c r="B5787" s="639" t="s">
        <v>101</v>
      </c>
      <c r="C5787" s="639"/>
      <c r="D5787" s="4">
        <f>VLOOKUP(E5787,'Quality Code'!D4:E24,2,TRUE)*VLOOKUP(MROUND(F5787,10),'Quality Code'!D28:E69,2,TRUE)*VLOOKUP(COUNTA(CB5787:CB5797),'Quality Code'!D73:E93,2,TRUE)</f>
        <v>2.5</v>
      </c>
      <c r="E5787" s="14">
        <v>0.5</v>
      </c>
      <c r="F5787" s="18">
        <v>100</v>
      </c>
      <c r="G5787" s="12">
        <v>36.299999999999997</v>
      </c>
      <c r="H5787" s="2" t="s">
        <v>548</v>
      </c>
      <c r="I5787" s="2"/>
      <c r="J5787" s="2"/>
      <c r="K5787" s="2"/>
      <c r="L5787" s="639"/>
      <c r="M5787" s="640"/>
      <c r="N5787" s="579"/>
      <c r="O5787" s="579"/>
      <c r="P5787" s="712"/>
      <c r="Q5787" s="712"/>
      <c r="R5787" s="712"/>
      <c r="S5787" s="712"/>
      <c r="T5787" s="712"/>
      <c r="U5787" s="712"/>
      <c r="V5787" s="712"/>
      <c r="W5787" s="712"/>
      <c r="X5787" s="712"/>
      <c r="Y5787" s="712"/>
      <c r="Z5787" s="11"/>
      <c r="AA5787" s="11"/>
      <c r="AB5787" s="11"/>
      <c r="AC5787" s="26">
        <v>6.3E-3</v>
      </c>
      <c r="AD5787" s="26"/>
      <c r="AE5787" s="26"/>
      <c r="AF5787" s="26"/>
      <c r="AG5787" s="26"/>
      <c r="AH5787" s="330"/>
      <c r="AI5787" s="123">
        <v>8</v>
      </c>
      <c r="AJ5787" s="17"/>
      <c r="AK5787" s="161"/>
      <c r="AL5787" s="17"/>
      <c r="AM5787" s="17"/>
      <c r="AN5787" s="17"/>
      <c r="AO5787" s="17"/>
      <c r="AP5787" s="17"/>
      <c r="AQ5787" s="17"/>
      <c r="AR5787" s="17"/>
      <c r="AS5787" s="17"/>
      <c r="AT5787" s="17"/>
      <c r="AU5787" s="18">
        <v>22</v>
      </c>
      <c r="AV5787" s="17"/>
      <c r="AW5787" s="17"/>
      <c r="AX5787" s="17"/>
      <c r="AY5787" s="125" t="s">
        <v>517</v>
      </c>
      <c r="AZ5787" s="125" t="s">
        <v>404</v>
      </c>
      <c r="BA5787" s="125" t="s">
        <v>405</v>
      </c>
      <c r="BB5787" s="125" t="s">
        <v>518</v>
      </c>
      <c r="BC5787" s="125"/>
      <c r="BD5787" s="125"/>
      <c r="BE5787" s="125"/>
      <c r="BF5787" s="125"/>
      <c r="BG5787" s="125"/>
      <c r="BH5787" s="125"/>
      <c r="BI5787" s="4">
        <f>AU5787/AI5787</f>
        <v>2.75</v>
      </c>
      <c r="BJ5787" s="2"/>
      <c r="BK5787" s="2"/>
      <c r="BL5787" s="12"/>
      <c r="BM5787" s="12">
        <v>19.600000000000001</v>
      </c>
      <c r="BN5787" s="12">
        <v>17.2</v>
      </c>
      <c r="BO5787" s="12">
        <v>1</v>
      </c>
      <c r="BP5787" s="12">
        <f>BO5787*BN5787</f>
        <v>17.2</v>
      </c>
      <c r="BQ5787" s="12">
        <f>BN5787/BO5787</f>
        <v>17.2</v>
      </c>
      <c r="BR5787" s="12"/>
      <c r="BS5787" s="12"/>
      <c r="BT5787" s="12"/>
      <c r="BU5787" s="2"/>
      <c r="BV5787" s="2"/>
      <c r="BW5787" s="2"/>
      <c r="BX5787" s="2"/>
      <c r="BY5787" s="2"/>
      <c r="BZ5787" s="2"/>
      <c r="CA5787" s="9" t="s">
        <v>547</v>
      </c>
      <c r="CB5787" s="122" t="s">
        <v>550</v>
      </c>
    </row>
    <row r="5788" spans="1:80" s="152" customFormat="1" ht="15" x14ac:dyDescent="0.25">
      <c r="B5788" s="683"/>
      <c r="C5788" s="683"/>
      <c r="D5788" s="698"/>
      <c r="E5788" s="215"/>
      <c r="F5788" s="215"/>
      <c r="G5788" s="427"/>
      <c r="H5788" s="427"/>
      <c r="I5788" s="427"/>
      <c r="J5788" s="427"/>
      <c r="K5788" s="427"/>
      <c r="L5788" s="653"/>
      <c r="M5788" s="666"/>
      <c r="N5788" s="600">
        <v>0.60299999999999998</v>
      </c>
      <c r="O5788" s="605">
        <v>5.4695999999999998E-4</v>
      </c>
      <c r="P5788" s="782"/>
      <c r="Q5788" s="764"/>
      <c r="R5788" s="764"/>
      <c r="S5788" s="764"/>
      <c r="T5788" s="764"/>
      <c r="U5788" s="764"/>
      <c r="V5788" s="764"/>
      <c r="W5788" s="764"/>
      <c r="X5788" s="764"/>
      <c r="Y5788" s="768"/>
      <c r="Z5788" s="266"/>
      <c r="AA5788" s="150"/>
      <c r="AB5788" s="150">
        <v>1</v>
      </c>
      <c r="AC5788" s="150">
        <v>6.3E-3</v>
      </c>
      <c r="AD5788" s="150">
        <v>17.2</v>
      </c>
      <c r="AE5788" s="150">
        <v>0.13300000000000001</v>
      </c>
      <c r="AF5788" s="223"/>
      <c r="AG5788" s="223"/>
      <c r="AH5788" s="346"/>
      <c r="AI5788" s="427"/>
      <c r="AJ5788" s="480"/>
      <c r="AK5788" s="427"/>
      <c r="AU5788" s="218"/>
      <c r="AV5788" s="218"/>
      <c r="AW5788" s="218"/>
      <c r="AX5788" s="218"/>
      <c r="AY5788" s="157">
        <v>2</v>
      </c>
      <c r="AZ5788" s="155">
        <v>27</v>
      </c>
      <c r="BA5788" s="155">
        <v>95</v>
      </c>
      <c r="BB5788" s="155">
        <v>104</v>
      </c>
      <c r="BI5788" s="427"/>
      <c r="BJ5788" s="427"/>
      <c r="BK5788" s="427"/>
      <c r="BL5788" s="427"/>
      <c r="BM5788" s="427"/>
      <c r="BN5788" s="427"/>
      <c r="BO5788" s="427"/>
      <c r="BP5788" s="427"/>
      <c r="BQ5788" s="427"/>
      <c r="BR5788" s="427"/>
      <c r="BS5788" s="427"/>
      <c r="BT5788" s="427"/>
      <c r="BU5788" s="427"/>
      <c r="BV5788" s="427"/>
      <c r="BW5788" s="427"/>
      <c r="BX5788" s="427"/>
      <c r="BY5788" s="427"/>
      <c r="BZ5788" s="427"/>
      <c r="CB5788" s="152" t="s">
        <v>571</v>
      </c>
    </row>
    <row r="5789" spans="1:80" s="152" customFormat="1" ht="15" x14ac:dyDescent="0.2">
      <c r="B5789" s="683"/>
      <c r="C5789" s="683"/>
      <c r="D5789" s="698"/>
      <c r="E5789" s="215"/>
      <c r="F5789" s="215"/>
      <c r="G5789" s="427"/>
      <c r="H5789" s="427"/>
      <c r="I5789" s="427"/>
      <c r="J5789" s="427"/>
      <c r="K5789" s="427"/>
      <c r="L5789" s="653"/>
      <c r="M5789" s="666"/>
      <c r="N5789" s="600">
        <v>0.749</v>
      </c>
      <c r="O5789" s="605">
        <v>1.3398799999999999E-3</v>
      </c>
      <c r="P5789" s="782"/>
      <c r="Q5789" s="764"/>
      <c r="R5789" s="764"/>
      <c r="S5789" s="764"/>
      <c r="T5789" s="764"/>
      <c r="U5789" s="764"/>
      <c r="V5789" s="764"/>
      <c r="W5789" s="764"/>
      <c r="X5789" s="764"/>
      <c r="Y5789" s="768"/>
      <c r="Z5789" s="266"/>
      <c r="AA5789" s="150"/>
      <c r="AB5789" s="150">
        <v>2</v>
      </c>
      <c r="AC5789" s="150">
        <v>6.3E-3</v>
      </c>
      <c r="AD5789" s="150">
        <v>17.2</v>
      </c>
      <c r="AE5789" s="150">
        <v>0.14699999999999999</v>
      </c>
      <c r="AF5789" s="223"/>
      <c r="AG5789" s="223"/>
      <c r="AH5789" s="346"/>
      <c r="AI5789" s="427"/>
      <c r="AJ5789" s="480"/>
      <c r="AK5789" s="427"/>
      <c r="AU5789" s="218"/>
      <c r="AV5789" s="218"/>
      <c r="AW5789" s="218"/>
      <c r="AX5789" s="218"/>
      <c r="AY5789" s="218"/>
      <c r="BI5789" s="427"/>
      <c r="BJ5789" s="427"/>
      <c r="BK5789" s="427"/>
      <c r="BL5789" s="427"/>
      <c r="BM5789" s="427"/>
      <c r="BN5789" s="427"/>
      <c r="BO5789" s="427"/>
      <c r="BP5789" s="427"/>
      <c r="BQ5789" s="427"/>
      <c r="BR5789" s="427"/>
      <c r="BS5789" s="427"/>
      <c r="BT5789" s="427"/>
      <c r="BU5789" s="427"/>
      <c r="BV5789" s="427"/>
      <c r="BW5789" s="427"/>
      <c r="BX5789" s="427"/>
      <c r="BY5789" s="427"/>
      <c r="BZ5789" s="427"/>
      <c r="CB5789" s="485" t="s">
        <v>640</v>
      </c>
    </row>
    <row r="5790" spans="1:80" s="152" customFormat="1" x14ac:dyDescent="0.2">
      <c r="B5790" s="683"/>
      <c r="C5790" s="683"/>
      <c r="D5790" s="698"/>
      <c r="E5790" s="215"/>
      <c r="F5790" s="215"/>
      <c r="G5790" s="427"/>
      <c r="H5790" s="427"/>
      <c r="I5790" s="427"/>
      <c r="J5790" s="427"/>
      <c r="K5790" s="427"/>
      <c r="L5790" s="653"/>
      <c r="M5790" s="666"/>
      <c r="N5790" s="600">
        <v>0.749</v>
      </c>
      <c r="O5790" s="605">
        <v>5.7791999999999989E-4</v>
      </c>
      <c r="P5790" s="782"/>
      <c r="Q5790" s="764"/>
      <c r="R5790" s="764"/>
      <c r="S5790" s="764"/>
      <c r="T5790" s="764"/>
      <c r="U5790" s="764"/>
      <c r="V5790" s="764"/>
      <c r="W5790" s="764"/>
      <c r="X5790" s="764"/>
      <c r="Y5790" s="768"/>
      <c r="Z5790" s="266"/>
      <c r="AA5790" s="150"/>
      <c r="AB5790" s="150">
        <v>3</v>
      </c>
      <c r="AC5790" s="150">
        <v>6.3E-3</v>
      </c>
      <c r="AD5790" s="150">
        <v>17.2</v>
      </c>
      <c r="AE5790" s="150">
        <v>0.14699999999999999</v>
      </c>
      <c r="AF5790" s="223"/>
      <c r="AG5790" s="223"/>
      <c r="AH5790" s="346"/>
      <c r="AI5790" s="427"/>
      <c r="AJ5790" s="480"/>
      <c r="AK5790" s="427"/>
      <c r="AU5790" s="218"/>
      <c r="AV5790" s="218"/>
      <c r="AW5790" s="218"/>
      <c r="AX5790" s="218"/>
      <c r="AY5790" s="218"/>
      <c r="BI5790" s="427"/>
      <c r="BJ5790" s="427"/>
      <c r="BK5790" s="427"/>
      <c r="BL5790" s="427"/>
      <c r="BM5790" s="427"/>
      <c r="BN5790" s="427"/>
      <c r="BO5790" s="427"/>
      <c r="BP5790" s="427"/>
      <c r="BQ5790" s="427"/>
      <c r="BR5790" s="427"/>
      <c r="BS5790" s="427"/>
      <c r="BT5790" s="427"/>
      <c r="BU5790" s="427"/>
      <c r="BV5790" s="427"/>
      <c r="BW5790" s="427"/>
      <c r="BX5790" s="427"/>
      <c r="BY5790" s="427"/>
      <c r="BZ5790" s="427"/>
      <c r="CB5790" s="152" t="s">
        <v>641</v>
      </c>
    </row>
    <row r="5791" spans="1:80" s="152" customFormat="1" x14ac:dyDescent="0.2">
      <c r="B5791" s="683"/>
      <c r="C5791" s="683"/>
      <c r="D5791" s="698"/>
      <c r="E5791" s="215"/>
      <c r="F5791" s="215"/>
      <c r="G5791" s="427"/>
      <c r="H5791" s="427"/>
      <c r="I5791" s="427"/>
      <c r="J5791" s="427"/>
      <c r="K5791" s="427"/>
      <c r="L5791" s="653"/>
      <c r="M5791" s="666"/>
      <c r="N5791" s="600">
        <v>0.84799999999999998</v>
      </c>
      <c r="O5791" s="605">
        <v>8.187200000000001E-4</v>
      </c>
      <c r="P5791" s="782"/>
      <c r="Q5791" s="764"/>
      <c r="R5791" s="764"/>
      <c r="S5791" s="764"/>
      <c r="T5791" s="764"/>
      <c r="U5791" s="764"/>
      <c r="V5791" s="764"/>
      <c r="W5791" s="764"/>
      <c r="X5791" s="764"/>
      <c r="Y5791" s="768"/>
      <c r="Z5791" s="266"/>
      <c r="AA5791" s="150"/>
      <c r="AB5791" s="150">
        <v>4</v>
      </c>
      <c r="AC5791" s="150">
        <v>6.3E-3</v>
      </c>
      <c r="AD5791" s="150">
        <v>17.2</v>
      </c>
      <c r="AE5791" s="150">
        <v>0.155</v>
      </c>
      <c r="AF5791" s="223"/>
      <c r="AG5791" s="223"/>
      <c r="AH5791" s="346"/>
      <c r="AI5791" s="427"/>
      <c r="AJ5791" s="480"/>
      <c r="AK5791" s="427"/>
      <c r="AU5791" s="218"/>
      <c r="AV5791" s="218"/>
      <c r="AW5791" s="218"/>
      <c r="AX5791" s="218"/>
      <c r="AY5791" s="218"/>
      <c r="BI5791" s="427"/>
      <c r="BJ5791" s="427"/>
      <c r="BK5791" s="427"/>
      <c r="BL5791" s="427"/>
      <c r="BM5791" s="427"/>
      <c r="BN5791" s="427"/>
      <c r="BO5791" s="427"/>
      <c r="BP5791" s="427"/>
      <c r="BQ5791" s="427"/>
      <c r="BR5791" s="427"/>
      <c r="BS5791" s="427"/>
      <c r="BT5791" s="427"/>
      <c r="BU5791" s="427"/>
      <c r="BV5791" s="427"/>
      <c r="BW5791" s="427"/>
      <c r="BX5791" s="427"/>
      <c r="BY5791" s="427"/>
      <c r="BZ5791" s="427"/>
    </row>
    <row r="5792" spans="1:80" s="152" customFormat="1" x14ac:dyDescent="0.2">
      <c r="B5792" s="683"/>
      <c r="C5792" s="683"/>
      <c r="D5792" s="698"/>
      <c r="E5792" s="215"/>
      <c r="F5792" s="215"/>
      <c r="G5792" s="427"/>
      <c r="H5792" s="427"/>
      <c r="I5792" s="427"/>
      <c r="J5792" s="427"/>
      <c r="K5792" s="427"/>
      <c r="L5792" s="653"/>
      <c r="M5792" s="666"/>
      <c r="N5792" s="600">
        <v>1</v>
      </c>
      <c r="O5792" s="605">
        <v>8.9784000000000001E-4</v>
      </c>
      <c r="P5792" s="782"/>
      <c r="Q5792" s="764"/>
      <c r="R5792" s="764"/>
      <c r="S5792" s="764"/>
      <c r="T5792" s="764"/>
      <c r="U5792" s="764"/>
      <c r="V5792" s="764"/>
      <c r="W5792" s="764"/>
      <c r="X5792" s="764"/>
      <c r="Y5792" s="768"/>
      <c r="Z5792" s="266"/>
      <c r="AA5792" s="150"/>
      <c r="AB5792" s="150">
        <v>5</v>
      </c>
      <c r="AC5792" s="150">
        <v>6.3E-3</v>
      </c>
      <c r="AD5792" s="150">
        <v>17.2</v>
      </c>
      <c r="AE5792" s="150">
        <v>0.16700000000000001</v>
      </c>
      <c r="AF5792" s="223"/>
      <c r="AG5792" s="223"/>
      <c r="AH5792" s="346"/>
      <c r="AI5792" s="427"/>
      <c r="AJ5792" s="480"/>
      <c r="AK5792" s="427"/>
      <c r="AU5792" s="218"/>
      <c r="AV5792" s="218"/>
      <c r="AW5792" s="218"/>
      <c r="AX5792" s="218"/>
      <c r="AY5792" s="218"/>
      <c r="BI5792" s="427"/>
      <c r="BJ5792" s="427"/>
      <c r="BK5792" s="427"/>
      <c r="BL5792" s="427"/>
      <c r="BM5792" s="427"/>
      <c r="BN5792" s="427"/>
      <c r="BO5792" s="427"/>
      <c r="BP5792" s="427"/>
      <c r="BQ5792" s="427"/>
      <c r="BR5792" s="427"/>
      <c r="BS5792" s="427"/>
      <c r="BT5792" s="427"/>
      <c r="BU5792" s="427"/>
      <c r="BV5792" s="427"/>
      <c r="BW5792" s="427"/>
      <c r="BX5792" s="427"/>
      <c r="BY5792" s="427"/>
      <c r="BZ5792" s="427"/>
    </row>
    <row r="5793" spans="2:78" s="152" customFormat="1" x14ac:dyDescent="0.2">
      <c r="B5793" s="683"/>
      <c r="C5793" s="683"/>
      <c r="D5793" s="698"/>
      <c r="E5793" s="215"/>
      <c r="F5793" s="215"/>
      <c r="G5793" s="427"/>
      <c r="H5793" s="427"/>
      <c r="I5793" s="427"/>
      <c r="J5793" s="427"/>
      <c r="K5793" s="427"/>
      <c r="L5793" s="653"/>
      <c r="M5793" s="666"/>
      <c r="N5793" s="600">
        <v>1.101</v>
      </c>
      <c r="O5793" s="605">
        <v>1.63916E-3</v>
      </c>
      <c r="P5793" s="782"/>
      <c r="Q5793" s="764"/>
      <c r="R5793" s="764"/>
      <c r="S5793" s="764"/>
      <c r="T5793" s="764"/>
      <c r="U5793" s="764"/>
      <c r="V5793" s="764"/>
      <c r="W5793" s="764"/>
      <c r="X5793" s="764"/>
      <c r="Y5793" s="768"/>
      <c r="Z5793" s="266"/>
      <c r="AA5793" s="150"/>
      <c r="AB5793" s="150">
        <v>6</v>
      </c>
      <c r="AC5793" s="150">
        <v>6.3E-3</v>
      </c>
      <c r="AD5793" s="150">
        <v>17.2</v>
      </c>
      <c r="AE5793" s="150">
        <v>0.17499999999999999</v>
      </c>
      <c r="AF5793" s="223"/>
      <c r="AG5793" s="223"/>
      <c r="AH5793" s="346"/>
      <c r="AI5793" s="427"/>
      <c r="AJ5793" s="480"/>
      <c r="AK5793" s="427"/>
      <c r="AU5793" s="218"/>
      <c r="AV5793" s="218"/>
      <c r="AW5793" s="218"/>
      <c r="AX5793" s="218"/>
      <c r="AY5793" s="218"/>
      <c r="BI5793" s="427"/>
      <c r="BJ5793" s="427"/>
      <c r="BK5793" s="427"/>
      <c r="BL5793" s="427"/>
      <c r="BM5793" s="427"/>
      <c r="BN5793" s="427"/>
      <c r="BO5793" s="427"/>
      <c r="BP5793" s="427"/>
      <c r="BQ5793" s="427"/>
      <c r="BR5793" s="427"/>
      <c r="BS5793" s="427"/>
      <c r="BT5793" s="427"/>
      <c r="BU5793" s="427"/>
      <c r="BV5793" s="427"/>
      <c r="BW5793" s="427"/>
      <c r="BX5793" s="427"/>
      <c r="BY5793" s="427"/>
      <c r="BZ5793" s="427"/>
    </row>
    <row r="5794" spans="2:78" s="152" customFormat="1" x14ac:dyDescent="0.2">
      <c r="B5794" s="683"/>
      <c r="C5794" s="683"/>
      <c r="D5794" s="698"/>
      <c r="E5794" s="215"/>
      <c r="F5794" s="215"/>
      <c r="G5794" s="427"/>
      <c r="H5794" s="427"/>
      <c r="I5794" s="427"/>
      <c r="J5794" s="427"/>
      <c r="K5794" s="427"/>
      <c r="L5794" s="653"/>
      <c r="M5794" s="666"/>
      <c r="N5794" s="600">
        <v>1.2090000000000001</v>
      </c>
      <c r="O5794" s="605">
        <v>1.7887999999999999E-3</v>
      </c>
      <c r="P5794" s="782"/>
      <c r="Q5794" s="764"/>
      <c r="R5794" s="764"/>
      <c r="S5794" s="764"/>
      <c r="T5794" s="764"/>
      <c r="U5794" s="764"/>
      <c r="V5794" s="764"/>
      <c r="W5794" s="764"/>
      <c r="X5794" s="764"/>
      <c r="Y5794" s="768"/>
      <c r="Z5794" s="266"/>
      <c r="AA5794" s="150"/>
      <c r="AB5794" s="150">
        <v>7</v>
      </c>
      <c r="AC5794" s="150">
        <v>6.3E-3</v>
      </c>
      <c r="AD5794" s="150">
        <v>17.2</v>
      </c>
      <c r="AE5794" s="150">
        <v>0.183</v>
      </c>
      <c r="AF5794" s="223"/>
      <c r="AG5794" s="223"/>
      <c r="AH5794" s="346"/>
      <c r="AI5794" s="427"/>
      <c r="AJ5794" s="480"/>
      <c r="AK5794" s="427"/>
      <c r="AU5794" s="218"/>
      <c r="AV5794" s="218"/>
      <c r="AW5794" s="218"/>
      <c r="AX5794" s="218"/>
      <c r="AY5794" s="218"/>
      <c r="BI5794" s="427"/>
      <c r="BJ5794" s="427"/>
      <c r="BK5794" s="427"/>
      <c r="BL5794" s="427"/>
      <c r="BM5794" s="427"/>
      <c r="BN5794" s="427"/>
      <c r="BO5794" s="427"/>
      <c r="BP5794" s="427"/>
      <c r="BQ5794" s="427"/>
      <c r="BR5794" s="427"/>
      <c r="BS5794" s="427"/>
      <c r="BT5794" s="427"/>
      <c r="BU5794" s="427"/>
      <c r="BV5794" s="427"/>
      <c r="BW5794" s="427"/>
      <c r="BX5794" s="427"/>
      <c r="BY5794" s="427"/>
      <c r="BZ5794" s="427"/>
    </row>
    <row r="5795" spans="2:78" s="152" customFormat="1" x14ac:dyDescent="0.2">
      <c r="B5795" s="683"/>
      <c r="C5795" s="683"/>
      <c r="D5795" s="698"/>
      <c r="E5795" s="215"/>
      <c r="F5795" s="215"/>
      <c r="G5795" s="427"/>
      <c r="H5795" s="427"/>
      <c r="I5795" s="427"/>
      <c r="J5795" s="427"/>
      <c r="K5795" s="427"/>
      <c r="L5795" s="653"/>
      <c r="M5795" s="666"/>
      <c r="N5795" s="600">
        <v>1.262</v>
      </c>
      <c r="O5795" s="605">
        <v>5.5211999999999995E-3</v>
      </c>
      <c r="P5795" s="782"/>
      <c r="Q5795" s="764"/>
      <c r="R5795" s="764"/>
      <c r="S5795" s="764"/>
      <c r="T5795" s="764"/>
      <c r="U5795" s="764"/>
      <c r="V5795" s="764"/>
      <c r="W5795" s="764"/>
      <c r="X5795" s="764"/>
      <c r="Y5795" s="768"/>
      <c r="Z5795" s="266"/>
      <c r="AA5795" s="150"/>
      <c r="AB5795" s="150">
        <v>8</v>
      </c>
      <c r="AC5795" s="150">
        <v>6.3E-3</v>
      </c>
      <c r="AD5795" s="150">
        <v>17.2</v>
      </c>
      <c r="AE5795" s="150">
        <v>0.186</v>
      </c>
      <c r="AF5795" s="223"/>
      <c r="AG5795" s="223"/>
      <c r="AH5795" s="346"/>
      <c r="AI5795" s="427"/>
      <c r="AJ5795" s="480"/>
      <c r="AK5795" s="427"/>
      <c r="AU5795" s="218"/>
      <c r="AV5795" s="218"/>
      <c r="AW5795" s="218"/>
      <c r="AX5795" s="218"/>
      <c r="AY5795" s="218"/>
      <c r="BI5795" s="427"/>
      <c r="BJ5795" s="427"/>
      <c r="BK5795" s="427"/>
      <c r="BL5795" s="427"/>
      <c r="BM5795" s="427"/>
      <c r="BN5795" s="427"/>
      <c r="BO5795" s="427"/>
      <c r="BP5795" s="427"/>
      <c r="BQ5795" s="427"/>
      <c r="BR5795" s="427"/>
      <c r="BS5795" s="427"/>
      <c r="BT5795" s="427"/>
      <c r="BU5795" s="427"/>
      <c r="BV5795" s="427"/>
      <c r="BW5795" s="427"/>
      <c r="BX5795" s="427"/>
      <c r="BY5795" s="427"/>
      <c r="BZ5795" s="427"/>
    </row>
    <row r="5796" spans="2:78" s="152" customFormat="1" x14ac:dyDescent="0.2">
      <c r="B5796" s="683"/>
      <c r="C5796" s="683"/>
      <c r="D5796" s="698"/>
      <c r="E5796" s="215"/>
      <c r="F5796" s="215"/>
      <c r="G5796" s="427"/>
      <c r="H5796" s="427"/>
      <c r="I5796" s="427"/>
      <c r="J5796" s="427"/>
      <c r="K5796" s="427"/>
      <c r="L5796" s="653"/>
      <c r="M5796" s="666"/>
      <c r="N5796" s="600">
        <v>1.3149999999999999</v>
      </c>
      <c r="O5796" s="605">
        <v>1.9092000000000001E-2</v>
      </c>
      <c r="P5796" s="782"/>
      <c r="Q5796" s="764"/>
      <c r="R5796" s="764"/>
      <c r="S5796" s="764"/>
      <c r="T5796" s="764"/>
      <c r="U5796" s="764"/>
      <c r="V5796" s="764"/>
      <c r="W5796" s="764"/>
      <c r="X5796" s="764"/>
      <c r="Y5796" s="768"/>
      <c r="Z5796" s="266"/>
      <c r="AA5796" s="150"/>
      <c r="AB5796" s="150">
        <v>9</v>
      </c>
      <c r="AC5796" s="150">
        <v>6.3E-3</v>
      </c>
      <c r="AD5796" s="150">
        <v>17.2</v>
      </c>
      <c r="AE5796" s="150">
        <v>0.19</v>
      </c>
      <c r="AF5796" s="223"/>
      <c r="AG5796" s="223"/>
      <c r="AH5796" s="346"/>
      <c r="AI5796" s="427"/>
      <c r="AJ5796" s="480"/>
      <c r="AK5796" s="427"/>
      <c r="AU5796" s="218"/>
      <c r="AV5796" s="218"/>
      <c r="AW5796" s="218"/>
      <c r="AX5796" s="218"/>
      <c r="AY5796" s="218"/>
      <c r="BI5796" s="427"/>
      <c r="BJ5796" s="427"/>
      <c r="BK5796" s="427"/>
      <c r="BL5796" s="427"/>
      <c r="BM5796" s="427"/>
      <c r="BN5796" s="427"/>
      <c r="BO5796" s="427"/>
      <c r="BP5796" s="427"/>
      <c r="BQ5796" s="427"/>
      <c r="BR5796" s="427"/>
      <c r="BS5796" s="427"/>
      <c r="BT5796" s="427"/>
      <c r="BU5796" s="427"/>
      <c r="BV5796" s="427"/>
      <c r="BW5796" s="427"/>
      <c r="BX5796" s="427"/>
      <c r="BY5796" s="427"/>
      <c r="BZ5796" s="427"/>
    </row>
    <row r="5797" spans="2:78" s="152" customFormat="1" x14ac:dyDescent="0.2">
      <c r="B5797" s="683"/>
      <c r="C5797" s="683"/>
      <c r="D5797" s="698"/>
      <c r="E5797" s="215"/>
      <c r="F5797" s="215"/>
      <c r="G5797" s="427"/>
      <c r="H5797" s="427"/>
      <c r="I5797" s="427"/>
      <c r="J5797" s="427"/>
      <c r="K5797" s="427"/>
      <c r="L5797" s="653"/>
      <c r="M5797" s="666"/>
      <c r="N5797" s="600">
        <v>1.37</v>
      </c>
      <c r="O5797" s="605">
        <v>5.3147999999999997E-3</v>
      </c>
      <c r="P5797" s="782"/>
      <c r="Q5797" s="764"/>
      <c r="R5797" s="764"/>
      <c r="S5797" s="764"/>
      <c r="T5797" s="764"/>
      <c r="U5797" s="764"/>
      <c r="V5797" s="764"/>
      <c r="W5797" s="764"/>
      <c r="X5797" s="764"/>
      <c r="Y5797" s="768"/>
      <c r="Z5797" s="266"/>
      <c r="AA5797" s="150"/>
      <c r="AB5797" s="150">
        <v>10</v>
      </c>
      <c r="AC5797" s="150">
        <v>6.3E-3</v>
      </c>
      <c r="AD5797" s="150">
        <v>17.2</v>
      </c>
      <c r="AE5797" s="150">
        <v>0.193</v>
      </c>
      <c r="AF5797" s="223"/>
      <c r="AG5797" s="223"/>
      <c r="AH5797" s="346"/>
      <c r="AI5797" s="427"/>
      <c r="AJ5797" s="480"/>
      <c r="AK5797" s="427"/>
      <c r="AU5797" s="218"/>
      <c r="AV5797" s="218"/>
      <c r="AW5797" s="218"/>
      <c r="AX5797" s="218"/>
      <c r="AY5797" s="218"/>
      <c r="BI5797" s="427"/>
      <c r="BJ5797" s="427"/>
      <c r="BK5797" s="427"/>
      <c r="BL5797" s="427"/>
      <c r="BM5797" s="427"/>
      <c r="BN5797" s="427"/>
      <c r="BO5797" s="427"/>
      <c r="BP5797" s="427"/>
      <c r="BQ5797" s="427"/>
      <c r="BR5797" s="427"/>
      <c r="BS5797" s="427"/>
      <c r="BT5797" s="427"/>
      <c r="BU5797" s="427"/>
      <c r="BV5797" s="427"/>
      <c r="BW5797" s="427"/>
      <c r="BX5797" s="427"/>
      <c r="BY5797" s="427"/>
      <c r="BZ5797" s="427"/>
    </row>
    <row r="5798" spans="2:78" s="152" customFormat="1" x14ac:dyDescent="0.2">
      <c r="B5798" s="683"/>
      <c r="C5798" s="683"/>
      <c r="D5798" s="698"/>
      <c r="E5798" s="215"/>
      <c r="F5798" s="215"/>
      <c r="G5798" s="427"/>
      <c r="H5798" s="427"/>
      <c r="I5798" s="427"/>
      <c r="J5798" s="427"/>
      <c r="K5798" s="427"/>
      <c r="L5798" s="653"/>
      <c r="M5798" s="666"/>
      <c r="N5798" s="600">
        <v>1.4810000000000001</v>
      </c>
      <c r="O5798" s="605">
        <v>1.9264E-2</v>
      </c>
      <c r="P5798" s="782"/>
      <c r="Q5798" s="764"/>
      <c r="R5798" s="764"/>
      <c r="S5798" s="764"/>
      <c r="T5798" s="764"/>
      <c r="U5798" s="764"/>
      <c r="V5798" s="764"/>
      <c r="W5798" s="764"/>
      <c r="X5798" s="764"/>
      <c r="Y5798" s="768"/>
      <c r="Z5798" s="266"/>
      <c r="AA5798" s="150"/>
      <c r="AB5798" s="150">
        <v>11</v>
      </c>
      <c r="AC5798" s="150">
        <v>6.3E-3</v>
      </c>
      <c r="AD5798" s="150">
        <v>17.2</v>
      </c>
      <c r="AE5798" s="150">
        <v>0.2</v>
      </c>
      <c r="AF5798" s="223"/>
      <c r="AG5798" s="223"/>
      <c r="AH5798" s="346"/>
      <c r="AI5798" s="427"/>
      <c r="AJ5798" s="480"/>
      <c r="AK5798" s="427"/>
      <c r="AU5798" s="218"/>
      <c r="AV5798" s="218"/>
      <c r="AW5798" s="218"/>
      <c r="AX5798" s="218"/>
      <c r="AY5798" s="218"/>
      <c r="BI5798" s="427"/>
      <c r="BJ5798" s="427"/>
      <c r="BK5798" s="427"/>
      <c r="BL5798" s="427"/>
      <c r="BM5798" s="427"/>
      <c r="BN5798" s="427"/>
      <c r="BO5798" s="427"/>
      <c r="BP5798" s="427"/>
      <c r="BQ5798" s="427"/>
      <c r="BR5798" s="427"/>
      <c r="BS5798" s="427"/>
      <c r="BT5798" s="427"/>
      <c r="BU5798" s="427"/>
      <c r="BV5798" s="427"/>
      <c r="BW5798" s="427"/>
      <c r="BX5798" s="427"/>
      <c r="BY5798" s="427"/>
      <c r="BZ5798" s="427"/>
    </row>
    <row r="5799" spans="2:78" s="152" customFormat="1" x14ac:dyDescent="0.2">
      <c r="B5799" s="683"/>
      <c r="C5799" s="683"/>
      <c r="D5799" s="698"/>
      <c r="E5799" s="215"/>
      <c r="F5799" s="215"/>
      <c r="G5799" s="427"/>
      <c r="H5799" s="427"/>
      <c r="I5799" s="427"/>
      <c r="J5799" s="427"/>
      <c r="K5799" s="427"/>
      <c r="L5799" s="653"/>
      <c r="M5799" s="666"/>
      <c r="N5799" s="600">
        <v>1.708</v>
      </c>
      <c r="O5799" s="605">
        <v>1.1197199999999999E-2</v>
      </c>
      <c r="P5799" s="782"/>
      <c r="Q5799" s="764"/>
      <c r="R5799" s="764"/>
      <c r="S5799" s="764"/>
      <c r="T5799" s="764"/>
      <c r="U5799" s="764"/>
      <c r="V5799" s="764"/>
      <c r="W5799" s="764"/>
      <c r="X5799" s="764"/>
      <c r="Y5799" s="768"/>
      <c r="Z5799" s="266"/>
      <c r="AA5799" s="150"/>
      <c r="AB5799" s="150">
        <v>12</v>
      </c>
      <c r="AC5799" s="150">
        <v>6.3E-3</v>
      </c>
      <c r="AD5799" s="150">
        <v>17.2</v>
      </c>
      <c r="AE5799" s="150">
        <v>0.214</v>
      </c>
      <c r="AF5799" s="223"/>
      <c r="AG5799" s="223"/>
      <c r="AH5799" s="346"/>
      <c r="AI5799" s="427"/>
      <c r="AJ5799" s="480"/>
      <c r="AK5799" s="427"/>
      <c r="AU5799" s="218"/>
      <c r="AV5799" s="218"/>
      <c r="AW5799" s="218"/>
      <c r="AX5799" s="218"/>
      <c r="AY5799" s="218"/>
      <c r="BI5799" s="427"/>
      <c r="BJ5799" s="427"/>
      <c r="BK5799" s="427"/>
      <c r="BL5799" s="427"/>
      <c r="BM5799" s="427"/>
      <c r="BN5799" s="427"/>
      <c r="BO5799" s="427"/>
      <c r="BP5799" s="427"/>
      <c r="BQ5799" s="427"/>
      <c r="BR5799" s="427"/>
      <c r="BS5799" s="427"/>
      <c r="BT5799" s="427"/>
      <c r="BU5799" s="427"/>
      <c r="BV5799" s="427"/>
      <c r="BW5799" s="427"/>
      <c r="BX5799" s="427"/>
      <c r="BY5799" s="427"/>
      <c r="BZ5799" s="427"/>
    </row>
    <row r="5800" spans="2:78" s="152" customFormat="1" x14ac:dyDescent="0.2">
      <c r="B5800" s="683"/>
      <c r="C5800" s="683"/>
      <c r="D5800" s="698"/>
      <c r="E5800" s="215"/>
      <c r="F5800" s="215"/>
      <c r="G5800" s="427"/>
      <c r="H5800" s="427"/>
      <c r="I5800" s="427"/>
      <c r="J5800" s="427"/>
      <c r="K5800" s="427"/>
      <c r="L5800" s="653"/>
      <c r="M5800" s="666"/>
      <c r="N5800" s="600">
        <v>1.708</v>
      </c>
      <c r="O5800" s="605">
        <v>5.0911999999999997E-3</v>
      </c>
      <c r="P5800" s="782"/>
      <c r="Q5800" s="764"/>
      <c r="R5800" s="764"/>
      <c r="S5800" s="764"/>
      <c r="T5800" s="764"/>
      <c r="U5800" s="764"/>
      <c r="V5800" s="764"/>
      <c r="W5800" s="764"/>
      <c r="X5800" s="764"/>
      <c r="Y5800" s="768"/>
      <c r="Z5800" s="266"/>
      <c r="AA5800" s="150"/>
      <c r="AB5800" s="150">
        <v>13</v>
      </c>
      <c r="AC5800" s="150">
        <v>6.3E-3</v>
      </c>
      <c r="AD5800" s="150">
        <v>17.2</v>
      </c>
      <c r="AE5800" s="150">
        <v>0.214</v>
      </c>
      <c r="AF5800" s="223"/>
      <c r="AG5800" s="223"/>
      <c r="AH5800" s="346"/>
      <c r="AI5800" s="427"/>
      <c r="AJ5800" s="480"/>
      <c r="AK5800" s="427"/>
      <c r="AU5800" s="218"/>
      <c r="AV5800" s="218"/>
      <c r="AW5800" s="218"/>
      <c r="AX5800" s="218"/>
      <c r="AY5800" s="218"/>
      <c r="BI5800" s="427"/>
      <c r="BJ5800" s="427"/>
      <c r="BK5800" s="427"/>
      <c r="BL5800" s="427"/>
      <c r="BM5800" s="427"/>
      <c r="BN5800" s="427"/>
      <c r="BO5800" s="427"/>
      <c r="BP5800" s="427"/>
      <c r="BQ5800" s="427"/>
      <c r="BR5800" s="427"/>
      <c r="BS5800" s="427"/>
      <c r="BT5800" s="427"/>
      <c r="BU5800" s="427"/>
      <c r="BV5800" s="427"/>
      <c r="BW5800" s="427"/>
      <c r="BX5800" s="427"/>
      <c r="BY5800" s="427"/>
      <c r="BZ5800" s="427"/>
    </row>
    <row r="5801" spans="2:78" s="152" customFormat="1" x14ac:dyDescent="0.2">
      <c r="B5801" s="683"/>
      <c r="C5801" s="683"/>
      <c r="D5801" s="698"/>
      <c r="E5801" s="215"/>
      <c r="F5801" s="215"/>
      <c r="G5801" s="427"/>
      <c r="H5801" s="427"/>
      <c r="I5801" s="427"/>
      <c r="J5801" s="427"/>
      <c r="K5801" s="427"/>
      <c r="L5801" s="653"/>
      <c r="M5801" s="666"/>
      <c r="N5801" s="600">
        <v>2.0019999999999998</v>
      </c>
      <c r="O5801" s="605">
        <v>4.2139999999999999E-3</v>
      </c>
      <c r="P5801" s="782"/>
      <c r="Q5801" s="764"/>
      <c r="R5801" s="764"/>
      <c r="S5801" s="764"/>
      <c r="T5801" s="764"/>
      <c r="U5801" s="764"/>
      <c r="V5801" s="764"/>
      <c r="W5801" s="764"/>
      <c r="X5801" s="764"/>
      <c r="Y5801" s="768"/>
      <c r="Z5801" s="266"/>
      <c r="AA5801" s="150"/>
      <c r="AB5801" s="150">
        <v>14</v>
      </c>
      <c r="AC5801" s="150">
        <v>6.3E-3</v>
      </c>
      <c r="AD5801" s="150">
        <v>17.2</v>
      </c>
      <c r="AE5801" s="150">
        <v>0.23</v>
      </c>
      <c r="AF5801" s="223"/>
      <c r="AG5801" s="223"/>
      <c r="AH5801" s="346"/>
      <c r="AI5801" s="427"/>
      <c r="AJ5801" s="480"/>
      <c r="AK5801" s="427"/>
      <c r="AU5801" s="218"/>
      <c r="AV5801" s="218"/>
      <c r="AW5801" s="218"/>
      <c r="AX5801" s="218"/>
      <c r="AY5801" s="218"/>
      <c r="BI5801" s="427"/>
      <c r="BJ5801" s="427"/>
      <c r="BK5801" s="427"/>
      <c r="BL5801" s="427"/>
      <c r="BM5801" s="427"/>
      <c r="BN5801" s="427"/>
      <c r="BO5801" s="427"/>
      <c r="BP5801" s="427"/>
      <c r="BQ5801" s="427"/>
      <c r="BR5801" s="427"/>
      <c r="BS5801" s="427"/>
      <c r="BT5801" s="427"/>
      <c r="BU5801" s="427"/>
      <c r="BV5801" s="427"/>
      <c r="BW5801" s="427"/>
      <c r="BX5801" s="427"/>
      <c r="BY5801" s="427"/>
      <c r="BZ5801" s="427"/>
    </row>
    <row r="5802" spans="2:78" s="152" customFormat="1" x14ac:dyDescent="0.2">
      <c r="B5802" s="683"/>
      <c r="C5802" s="683"/>
      <c r="D5802" s="698"/>
      <c r="E5802" s="215"/>
      <c r="F5802" s="215"/>
      <c r="G5802" s="427"/>
      <c r="H5802" s="427"/>
      <c r="I5802" s="427"/>
      <c r="J5802" s="427"/>
      <c r="K5802" s="427"/>
      <c r="L5802" s="653"/>
      <c r="M5802" s="666"/>
      <c r="N5802" s="600">
        <v>2.3079999999999998</v>
      </c>
      <c r="O5802" s="605">
        <v>2.9412000000000002E-3</v>
      </c>
      <c r="P5802" s="782"/>
      <c r="Q5802" s="764"/>
      <c r="R5802" s="764"/>
      <c r="S5802" s="764"/>
      <c r="T5802" s="764"/>
      <c r="U5802" s="764"/>
      <c r="V5802" s="764"/>
      <c r="W5802" s="764"/>
      <c r="X5802" s="764"/>
      <c r="Y5802" s="768"/>
      <c r="Z5802" s="266"/>
      <c r="AA5802" s="150"/>
      <c r="AB5802" s="150">
        <v>15</v>
      </c>
      <c r="AC5802" s="150">
        <v>6.3E-3</v>
      </c>
      <c r="AD5802" s="150">
        <v>17.2</v>
      </c>
      <c r="AE5802" s="150">
        <v>0.245</v>
      </c>
      <c r="AF5802" s="223"/>
      <c r="AG5802" s="223"/>
      <c r="AH5802" s="346"/>
      <c r="AI5802" s="427"/>
      <c r="AJ5802" s="480"/>
      <c r="AK5802" s="427"/>
      <c r="AU5802" s="218"/>
      <c r="AV5802" s="218"/>
      <c r="AW5802" s="218"/>
      <c r="AX5802" s="218"/>
      <c r="AY5802" s="218"/>
      <c r="BI5802" s="427"/>
      <c r="BJ5802" s="427"/>
      <c r="BK5802" s="427"/>
      <c r="BL5802" s="427"/>
      <c r="BM5802" s="427"/>
      <c r="BN5802" s="427"/>
      <c r="BO5802" s="427"/>
      <c r="BP5802" s="427"/>
      <c r="BQ5802" s="427"/>
      <c r="BR5802" s="427"/>
      <c r="BS5802" s="427"/>
      <c r="BT5802" s="427"/>
      <c r="BU5802" s="427"/>
      <c r="BV5802" s="427"/>
      <c r="BW5802" s="427"/>
      <c r="BX5802" s="427"/>
      <c r="BY5802" s="427"/>
      <c r="BZ5802" s="427"/>
    </row>
    <row r="5803" spans="2:78" s="152" customFormat="1" x14ac:dyDescent="0.2">
      <c r="B5803" s="683"/>
      <c r="C5803" s="683"/>
      <c r="D5803" s="698"/>
      <c r="E5803" s="215"/>
      <c r="F5803" s="215"/>
      <c r="G5803" s="427"/>
      <c r="H5803" s="427"/>
      <c r="I5803" s="427"/>
      <c r="J5803" s="427"/>
      <c r="K5803" s="427"/>
      <c r="L5803" s="653"/>
      <c r="M5803" s="666"/>
      <c r="N5803" s="600">
        <v>2.3079999999999998</v>
      </c>
      <c r="O5803" s="605">
        <v>7.9979999999999999E-3</v>
      </c>
      <c r="P5803" s="782"/>
      <c r="Q5803" s="764"/>
      <c r="R5803" s="764"/>
      <c r="S5803" s="764"/>
      <c r="T5803" s="764"/>
      <c r="U5803" s="764"/>
      <c r="V5803" s="764"/>
      <c r="W5803" s="764"/>
      <c r="X5803" s="764"/>
      <c r="Y5803" s="768"/>
      <c r="Z5803" s="266"/>
      <c r="AA5803" s="150"/>
      <c r="AB5803" s="150">
        <v>16</v>
      </c>
      <c r="AC5803" s="150">
        <v>6.3E-3</v>
      </c>
      <c r="AD5803" s="150">
        <v>17.2</v>
      </c>
      <c r="AE5803" s="150">
        <v>0.245</v>
      </c>
      <c r="AF5803" s="223"/>
      <c r="AG5803" s="223"/>
      <c r="AH5803" s="346"/>
      <c r="AI5803" s="427"/>
      <c r="AJ5803" s="480"/>
      <c r="AK5803" s="427"/>
      <c r="AU5803" s="218"/>
      <c r="AV5803" s="218"/>
      <c r="AW5803" s="218"/>
      <c r="AX5803" s="218"/>
      <c r="AY5803" s="218"/>
      <c r="BI5803" s="427"/>
      <c r="BJ5803" s="427"/>
      <c r="BK5803" s="427"/>
      <c r="BL5803" s="427"/>
      <c r="BM5803" s="427"/>
      <c r="BN5803" s="427"/>
      <c r="BO5803" s="427"/>
      <c r="BP5803" s="427"/>
      <c r="BQ5803" s="427"/>
      <c r="BR5803" s="427"/>
      <c r="BS5803" s="427"/>
      <c r="BT5803" s="427"/>
      <c r="BU5803" s="427"/>
      <c r="BV5803" s="427"/>
      <c r="BW5803" s="427"/>
      <c r="BX5803" s="427"/>
      <c r="BY5803" s="427"/>
      <c r="BZ5803" s="427"/>
    </row>
    <row r="5804" spans="2:78" s="152" customFormat="1" x14ac:dyDescent="0.2">
      <c r="B5804" s="683"/>
      <c r="C5804" s="683"/>
      <c r="D5804" s="698"/>
      <c r="E5804" s="215"/>
      <c r="F5804" s="215"/>
      <c r="G5804" s="427"/>
      <c r="H5804" s="427"/>
      <c r="I5804" s="427"/>
      <c r="J5804" s="427"/>
      <c r="K5804" s="427"/>
      <c r="L5804" s="653"/>
      <c r="M5804" s="666"/>
      <c r="N5804" s="600">
        <v>2.37</v>
      </c>
      <c r="O5804" s="605">
        <v>6.5703999999999997E-3</v>
      </c>
      <c r="P5804" s="782"/>
      <c r="Q5804" s="764"/>
      <c r="R5804" s="764"/>
      <c r="S5804" s="764"/>
      <c r="T5804" s="764"/>
      <c r="U5804" s="764"/>
      <c r="V5804" s="764"/>
      <c r="W5804" s="764"/>
      <c r="X5804" s="764"/>
      <c r="Y5804" s="768"/>
      <c r="Z5804" s="266"/>
      <c r="AA5804" s="150"/>
      <c r="AB5804" s="150">
        <v>17</v>
      </c>
      <c r="AC5804" s="150">
        <v>6.3E-3</v>
      </c>
      <c r="AD5804" s="150">
        <v>17.2</v>
      </c>
      <c r="AE5804" s="150">
        <v>0.248</v>
      </c>
      <c r="AF5804" s="223"/>
      <c r="AG5804" s="223"/>
      <c r="AH5804" s="346"/>
      <c r="AI5804" s="427"/>
      <c r="AJ5804" s="480"/>
      <c r="AK5804" s="427"/>
      <c r="AU5804" s="218"/>
      <c r="AV5804" s="218"/>
      <c r="AW5804" s="218"/>
      <c r="AX5804" s="218"/>
      <c r="AY5804" s="218"/>
      <c r="BI5804" s="427"/>
      <c r="BJ5804" s="427"/>
      <c r="BK5804" s="427"/>
      <c r="BL5804" s="427"/>
      <c r="BM5804" s="427"/>
      <c r="BN5804" s="427"/>
      <c r="BO5804" s="427"/>
      <c r="BP5804" s="427"/>
      <c r="BQ5804" s="427"/>
      <c r="BR5804" s="427"/>
      <c r="BS5804" s="427"/>
      <c r="BT5804" s="427"/>
      <c r="BU5804" s="427"/>
      <c r="BV5804" s="427"/>
      <c r="BW5804" s="427"/>
      <c r="BX5804" s="427"/>
      <c r="BY5804" s="427"/>
      <c r="BZ5804" s="427"/>
    </row>
    <row r="5805" spans="2:78" s="152" customFormat="1" x14ac:dyDescent="0.2">
      <c r="B5805" s="683"/>
      <c r="C5805" s="683"/>
      <c r="D5805" s="698"/>
      <c r="E5805" s="215"/>
      <c r="F5805" s="215"/>
      <c r="G5805" s="427"/>
      <c r="H5805" s="427"/>
      <c r="I5805" s="427"/>
      <c r="J5805" s="427"/>
      <c r="K5805" s="427"/>
      <c r="L5805" s="653"/>
      <c r="M5805" s="666"/>
      <c r="N5805" s="600">
        <v>2.4980000000000002</v>
      </c>
      <c r="O5805" s="605">
        <v>4.9707999999999992E-3</v>
      </c>
      <c r="P5805" s="782"/>
      <c r="Q5805" s="764"/>
      <c r="R5805" s="764"/>
      <c r="S5805" s="764"/>
      <c r="T5805" s="764"/>
      <c r="U5805" s="764"/>
      <c r="V5805" s="764"/>
      <c r="W5805" s="764"/>
      <c r="X5805" s="764"/>
      <c r="Y5805" s="768"/>
      <c r="Z5805" s="266"/>
      <c r="AA5805" s="150"/>
      <c r="AB5805" s="150">
        <v>18</v>
      </c>
      <c r="AC5805" s="150">
        <v>6.3E-3</v>
      </c>
      <c r="AD5805" s="150">
        <v>17.2</v>
      </c>
      <c r="AE5805" s="150">
        <v>0.254</v>
      </c>
      <c r="AF5805" s="223"/>
      <c r="AG5805" s="223"/>
      <c r="AH5805" s="346"/>
      <c r="AI5805" s="427"/>
      <c r="AJ5805" s="480"/>
      <c r="AK5805" s="427"/>
      <c r="AU5805" s="218"/>
      <c r="AV5805" s="218"/>
      <c r="AW5805" s="218"/>
      <c r="AX5805" s="218"/>
      <c r="AY5805" s="218"/>
      <c r="BI5805" s="427"/>
      <c r="BJ5805" s="427"/>
      <c r="BK5805" s="427"/>
      <c r="BL5805" s="427"/>
      <c r="BM5805" s="427"/>
      <c r="BN5805" s="427"/>
      <c r="BO5805" s="427"/>
      <c r="BP5805" s="427"/>
      <c r="BQ5805" s="427"/>
      <c r="BR5805" s="427"/>
      <c r="BS5805" s="427"/>
      <c r="BT5805" s="427"/>
      <c r="BU5805" s="427"/>
      <c r="BV5805" s="427"/>
      <c r="BW5805" s="427"/>
      <c r="BX5805" s="427"/>
      <c r="BY5805" s="427"/>
      <c r="BZ5805" s="427"/>
    </row>
    <row r="5806" spans="2:78" s="152" customFormat="1" x14ac:dyDescent="0.2">
      <c r="B5806" s="683"/>
      <c r="C5806" s="683"/>
      <c r="D5806" s="698"/>
      <c r="E5806" s="215"/>
      <c r="F5806" s="215"/>
      <c r="G5806" s="427"/>
      <c r="H5806" s="427"/>
      <c r="I5806" s="427"/>
      <c r="J5806" s="427"/>
      <c r="K5806" s="427"/>
      <c r="L5806" s="653"/>
      <c r="M5806" s="666"/>
      <c r="N5806" s="600">
        <v>2.8889999999999998</v>
      </c>
      <c r="O5806" s="605">
        <v>1.27108E-2</v>
      </c>
      <c r="P5806" s="782"/>
      <c r="Q5806" s="764"/>
      <c r="R5806" s="764"/>
      <c r="S5806" s="764"/>
      <c r="T5806" s="764"/>
      <c r="U5806" s="764"/>
      <c r="V5806" s="764"/>
      <c r="W5806" s="764"/>
      <c r="X5806" s="764"/>
      <c r="Y5806" s="768"/>
      <c r="Z5806" s="266"/>
      <c r="AA5806" s="150"/>
      <c r="AB5806" s="150">
        <v>19</v>
      </c>
      <c r="AC5806" s="150">
        <v>6.3E-3</v>
      </c>
      <c r="AD5806" s="150">
        <v>17.2</v>
      </c>
      <c r="AE5806" s="150">
        <v>0.27200000000000002</v>
      </c>
      <c r="AF5806" s="223"/>
      <c r="AG5806" s="223"/>
      <c r="AH5806" s="346"/>
      <c r="AI5806" s="427"/>
      <c r="AJ5806" s="480"/>
      <c r="AK5806" s="427"/>
      <c r="AU5806" s="218"/>
      <c r="AV5806" s="218"/>
      <c r="AW5806" s="218"/>
      <c r="AX5806" s="218"/>
      <c r="AY5806" s="218"/>
      <c r="BI5806" s="427"/>
      <c r="BJ5806" s="427"/>
      <c r="BK5806" s="427"/>
      <c r="BL5806" s="427"/>
      <c r="BM5806" s="427"/>
      <c r="BN5806" s="427"/>
      <c r="BO5806" s="427"/>
      <c r="BP5806" s="427"/>
      <c r="BQ5806" s="427"/>
      <c r="BR5806" s="427"/>
      <c r="BS5806" s="427"/>
      <c r="BT5806" s="427"/>
      <c r="BU5806" s="427"/>
      <c r="BV5806" s="427"/>
      <c r="BW5806" s="427"/>
      <c r="BX5806" s="427"/>
      <c r="BY5806" s="427"/>
      <c r="BZ5806" s="427"/>
    </row>
    <row r="5807" spans="2:78" s="152" customFormat="1" x14ac:dyDescent="0.2">
      <c r="B5807" s="683"/>
      <c r="C5807" s="683"/>
      <c r="D5807" s="698"/>
      <c r="E5807" s="215"/>
      <c r="F5807" s="215"/>
      <c r="G5807" s="427"/>
      <c r="H5807" s="427"/>
      <c r="I5807" s="427"/>
      <c r="J5807" s="427"/>
      <c r="K5807" s="427"/>
      <c r="L5807" s="653"/>
      <c r="M5807" s="666"/>
      <c r="N5807" s="600">
        <v>2.956</v>
      </c>
      <c r="O5807" s="605">
        <v>3.1475999999999997E-2</v>
      </c>
      <c r="P5807" s="782"/>
      <c r="Q5807" s="764"/>
      <c r="R5807" s="764"/>
      <c r="S5807" s="764"/>
      <c r="T5807" s="764"/>
      <c r="U5807" s="764"/>
      <c r="V5807" s="764"/>
      <c r="W5807" s="764"/>
      <c r="X5807" s="764"/>
      <c r="Y5807" s="768"/>
      <c r="Z5807" s="266"/>
      <c r="AA5807" s="150"/>
      <c r="AB5807" s="150">
        <v>20</v>
      </c>
      <c r="AC5807" s="150">
        <v>6.3E-3</v>
      </c>
      <c r="AD5807" s="150">
        <v>17.2</v>
      </c>
      <c r="AE5807" s="150">
        <v>0.27500000000000002</v>
      </c>
      <c r="AF5807" s="223"/>
      <c r="AG5807" s="223"/>
      <c r="AH5807" s="346"/>
      <c r="AI5807" s="427"/>
      <c r="AJ5807" s="480"/>
      <c r="AK5807" s="427"/>
      <c r="AU5807" s="218"/>
      <c r="AV5807" s="218"/>
      <c r="AW5807" s="218"/>
      <c r="AX5807" s="218"/>
      <c r="AY5807" s="218"/>
      <c r="BI5807" s="427"/>
      <c r="BJ5807" s="427"/>
      <c r="BK5807" s="427"/>
      <c r="BL5807" s="427"/>
      <c r="BM5807" s="427"/>
      <c r="BN5807" s="427"/>
      <c r="BO5807" s="427"/>
      <c r="BP5807" s="427"/>
      <c r="BQ5807" s="427"/>
      <c r="BR5807" s="427"/>
      <c r="BS5807" s="427"/>
      <c r="BT5807" s="427"/>
      <c r="BU5807" s="427"/>
      <c r="BV5807" s="427"/>
      <c r="BW5807" s="427"/>
      <c r="BX5807" s="427"/>
      <c r="BY5807" s="427"/>
      <c r="BZ5807" s="427"/>
    </row>
    <row r="5808" spans="2:78" s="152" customFormat="1" x14ac:dyDescent="0.2">
      <c r="B5808" s="683"/>
      <c r="C5808" s="683"/>
      <c r="D5808" s="698"/>
      <c r="E5808" s="215"/>
      <c r="F5808" s="215"/>
      <c r="G5808" s="427"/>
      <c r="H5808" s="427"/>
      <c r="I5808" s="427"/>
      <c r="J5808" s="427"/>
      <c r="K5808" s="427"/>
      <c r="L5808" s="653"/>
      <c r="M5808" s="666"/>
      <c r="N5808" s="600">
        <v>3.089</v>
      </c>
      <c r="O5808" s="605">
        <v>1.1661599999999999E-2</v>
      </c>
      <c r="P5808" s="782"/>
      <c r="Q5808" s="764"/>
      <c r="R5808" s="764"/>
      <c r="S5808" s="764"/>
      <c r="T5808" s="764"/>
      <c r="U5808" s="764"/>
      <c r="V5808" s="764"/>
      <c r="W5808" s="764"/>
      <c r="X5808" s="764"/>
      <c r="Y5808" s="768"/>
      <c r="Z5808" s="266"/>
      <c r="AA5808" s="150"/>
      <c r="AB5808" s="150">
        <v>21</v>
      </c>
      <c r="AC5808" s="150">
        <v>6.3E-3</v>
      </c>
      <c r="AD5808" s="150">
        <v>17.2</v>
      </c>
      <c r="AE5808" s="150">
        <v>0.28000000000000003</v>
      </c>
      <c r="AF5808" s="223"/>
      <c r="AG5808" s="223"/>
      <c r="AH5808" s="346"/>
      <c r="AI5808" s="427"/>
      <c r="AJ5808" s="480"/>
      <c r="AK5808" s="427"/>
      <c r="AU5808" s="218"/>
      <c r="AV5808" s="218"/>
      <c r="AW5808" s="218"/>
      <c r="AX5808" s="218"/>
      <c r="AY5808" s="218"/>
      <c r="BI5808" s="427"/>
      <c r="BJ5808" s="427"/>
      <c r="BK5808" s="427"/>
      <c r="BL5808" s="427"/>
      <c r="BM5808" s="427"/>
      <c r="BN5808" s="427"/>
      <c r="BO5808" s="427"/>
      <c r="BP5808" s="427"/>
      <c r="BQ5808" s="427"/>
      <c r="BR5808" s="427"/>
      <c r="BS5808" s="427"/>
      <c r="BT5808" s="427"/>
      <c r="BU5808" s="427"/>
      <c r="BV5808" s="427"/>
      <c r="BW5808" s="427"/>
      <c r="BX5808" s="427"/>
      <c r="BY5808" s="427"/>
      <c r="BZ5808" s="427"/>
    </row>
    <row r="5809" spans="2:78" s="152" customFormat="1" x14ac:dyDescent="0.2">
      <c r="B5809" s="683"/>
      <c r="C5809" s="683"/>
      <c r="D5809" s="698"/>
      <c r="E5809" s="215"/>
      <c r="F5809" s="215"/>
      <c r="G5809" s="427"/>
      <c r="H5809" s="427"/>
      <c r="I5809" s="427"/>
      <c r="J5809" s="427"/>
      <c r="K5809" s="427"/>
      <c r="L5809" s="653"/>
      <c r="M5809" s="666"/>
      <c r="N5809" s="600">
        <v>3.2269999999999999</v>
      </c>
      <c r="O5809" s="605">
        <v>7.6023999999999996E-3</v>
      </c>
      <c r="P5809" s="782"/>
      <c r="Q5809" s="764"/>
      <c r="R5809" s="764"/>
      <c r="S5809" s="764"/>
      <c r="T5809" s="764"/>
      <c r="U5809" s="764"/>
      <c r="V5809" s="764"/>
      <c r="W5809" s="764"/>
      <c r="X5809" s="764"/>
      <c r="Y5809" s="768"/>
      <c r="Z5809" s="266"/>
      <c r="AA5809" s="150"/>
      <c r="AB5809" s="150">
        <v>22</v>
      </c>
      <c r="AC5809" s="150">
        <v>6.3E-3</v>
      </c>
      <c r="AD5809" s="150">
        <v>17.2</v>
      </c>
      <c r="AE5809" s="150">
        <v>0.28599999999999998</v>
      </c>
      <c r="AF5809" s="223"/>
      <c r="AG5809" s="223"/>
      <c r="AH5809" s="346"/>
      <c r="AI5809" s="427"/>
      <c r="AJ5809" s="480"/>
      <c r="AK5809" s="427"/>
      <c r="AU5809" s="218"/>
      <c r="AV5809" s="218"/>
      <c r="AW5809" s="218"/>
      <c r="AX5809" s="218"/>
      <c r="AY5809" s="218"/>
      <c r="BI5809" s="427"/>
      <c r="BJ5809" s="427"/>
      <c r="BK5809" s="427"/>
      <c r="BL5809" s="427"/>
      <c r="BM5809" s="427"/>
      <c r="BN5809" s="427"/>
      <c r="BO5809" s="427"/>
      <c r="BP5809" s="427"/>
      <c r="BQ5809" s="427"/>
      <c r="BR5809" s="427"/>
      <c r="BS5809" s="427"/>
      <c r="BT5809" s="427"/>
      <c r="BU5809" s="427"/>
      <c r="BV5809" s="427"/>
      <c r="BW5809" s="427"/>
      <c r="BX5809" s="427"/>
      <c r="BY5809" s="427"/>
      <c r="BZ5809" s="427"/>
    </row>
    <row r="5810" spans="2:78" s="152" customFormat="1" x14ac:dyDescent="0.2">
      <c r="B5810" s="683"/>
      <c r="C5810" s="683"/>
      <c r="D5810" s="698"/>
      <c r="E5810" s="215"/>
      <c r="F5810" s="215"/>
      <c r="G5810" s="427"/>
      <c r="H5810" s="427"/>
      <c r="I5810" s="427"/>
      <c r="J5810" s="427"/>
      <c r="K5810" s="427"/>
      <c r="L5810" s="653"/>
      <c r="M5810" s="666"/>
      <c r="N5810" s="600">
        <v>3.2959999999999998</v>
      </c>
      <c r="O5810" s="605">
        <v>2.0467999999999997E-2</v>
      </c>
      <c r="P5810" s="782"/>
      <c r="Q5810" s="764"/>
      <c r="R5810" s="764"/>
      <c r="S5810" s="764"/>
      <c r="T5810" s="764"/>
      <c r="U5810" s="764"/>
      <c r="V5810" s="764"/>
      <c r="W5810" s="764"/>
      <c r="X5810" s="764"/>
      <c r="Y5810" s="768"/>
      <c r="Z5810" s="266"/>
      <c r="AA5810" s="150"/>
      <c r="AB5810" s="150">
        <v>23</v>
      </c>
      <c r="AC5810" s="150">
        <v>6.3E-3</v>
      </c>
      <c r="AD5810" s="150">
        <v>17.2</v>
      </c>
      <c r="AE5810" s="150">
        <v>0.28899999999999998</v>
      </c>
      <c r="AF5810" s="223"/>
      <c r="AG5810" s="223"/>
      <c r="AH5810" s="346"/>
      <c r="AI5810" s="427"/>
      <c r="AJ5810" s="480"/>
      <c r="AK5810" s="427"/>
      <c r="AU5810" s="218"/>
      <c r="AV5810" s="218"/>
      <c r="AW5810" s="218"/>
      <c r="AX5810" s="218"/>
      <c r="AY5810" s="218"/>
      <c r="BI5810" s="427"/>
      <c r="BJ5810" s="427"/>
      <c r="BK5810" s="427"/>
      <c r="BL5810" s="427"/>
      <c r="BM5810" s="427"/>
      <c r="BN5810" s="427"/>
      <c r="BO5810" s="427"/>
      <c r="BP5810" s="427"/>
      <c r="BQ5810" s="427"/>
      <c r="BR5810" s="427"/>
      <c r="BS5810" s="427"/>
      <c r="BT5810" s="427"/>
      <c r="BU5810" s="427"/>
      <c r="BV5810" s="427"/>
      <c r="BW5810" s="427"/>
      <c r="BX5810" s="427"/>
      <c r="BY5810" s="427"/>
      <c r="BZ5810" s="427"/>
    </row>
    <row r="5811" spans="2:78" s="152" customFormat="1" x14ac:dyDescent="0.2">
      <c r="B5811" s="683"/>
      <c r="C5811" s="683"/>
      <c r="D5811" s="698"/>
      <c r="E5811" s="215"/>
      <c r="F5811" s="215"/>
      <c r="G5811" s="427"/>
      <c r="H5811" s="427"/>
      <c r="I5811" s="427"/>
      <c r="J5811" s="427"/>
      <c r="K5811" s="427"/>
      <c r="L5811" s="653"/>
      <c r="M5811" s="666"/>
      <c r="N5811" s="600">
        <v>3.3650000000000002</v>
      </c>
      <c r="O5811" s="605">
        <v>1.3863200000000001E-2</v>
      </c>
      <c r="P5811" s="782"/>
      <c r="Q5811" s="764"/>
      <c r="R5811" s="764"/>
      <c r="S5811" s="764"/>
      <c r="T5811" s="764"/>
      <c r="U5811" s="764"/>
      <c r="V5811" s="764"/>
      <c r="W5811" s="764"/>
      <c r="X5811" s="764"/>
      <c r="Y5811" s="768"/>
      <c r="Z5811" s="266"/>
      <c r="AA5811" s="150"/>
      <c r="AB5811" s="150">
        <v>24</v>
      </c>
      <c r="AC5811" s="150">
        <v>6.3E-3</v>
      </c>
      <c r="AD5811" s="150">
        <v>17.2</v>
      </c>
      <c r="AE5811" s="150">
        <v>0.29099999999999998</v>
      </c>
      <c r="AF5811" s="223"/>
      <c r="AG5811" s="223"/>
      <c r="AH5811" s="346"/>
      <c r="AI5811" s="427"/>
      <c r="AJ5811" s="480"/>
      <c r="AK5811" s="427"/>
      <c r="AU5811" s="218"/>
      <c r="AV5811" s="218"/>
      <c r="AW5811" s="218"/>
      <c r="AX5811" s="218"/>
      <c r="AY5811" s="218"/>
      <c r="BI5811" s="427"/>
      <c r="BJ5811" s="427"/>
      <c r="BK5811" s="427"/>
      <c r="BL5811" s="427"/>
      <c r="BM5811" s="427"/>
      <c r="BN5811" s="427"/>
      <c r="BO5811" s="427"/>
      <c r="BP5811" s="427"/>
      <c r="BQ5811" s="427"/>
      <c r="BR5811" s="427"/>
      <c r="BS5811" s="427"/>
      <c r="BT5811" s="427"/>
      <c r="BU5811" s="427"/>
      <c r="BV5811" s="427"/>
      <c r="BW5811" s="427"/>
      <c r="BX5811" s="427"/>
      <c r="BY5811" s="427"/>
      <c r="BZ5811" s="427"/>
    </row>
    <row r="5812" spans="2:78" s="152" customFormat="1" x14ac:dyDescent="0.2">
      <c r="B5812" s="683"/>
      <c r="C5812" s="683"/>
      <c r="D5812" s="698"/>
      <c r="E5812" s="215"/>
      <c r="F5812" s="215"/>
      <c r="G5812" s="427"/>
      <c r="H5812" s="427"/>
      <c r="I5812" s="427"/>
      <c r="J5812" s="427"/>
      <c r="K5812" s="427"/>
      <c r="L5812" s="653"/>
      <c r="M5812" s="666"/>
      <c r="N5812" s="600">
        <v>3.577</v>
      </c>
      <c r="O5812" s="605">
        <v>2.1672E-2</v>
      </c>
      <c r="P5812" s="782"/>
      <c r="Q5812" s="764"/>
      <c r="R5812" s="764"/>
      <c r="S5812" s="764"/>
      <c r="T5812" s="764"/>
      <c r="U5812" s="764"/>
      <c r="V5812" s="764"/>
      <c r="W5812" s="764"/>
      <c r="X5812" s="764"/>
      <c r="Y5812" s="768"/>
      <c r="Z5812" s="266"/>
      <c r="AA5812" s="150"/>
      <c r="AB5812" s="150">
        <v>25</v>
      </c>
      <c r="AC5812" s="150">
        <v>6.3E-3</v>
      </c>
      <c r="AD5812" s="150">
        <v>17.2</v>
      </c>
      <c r="AE5812" s="150">
        <v>0.3</v>
      </c>
      <c r="AF5812" s="223"/>
      <c r="AG5812" s="223"/>
      <c r="AH5812" s="346"/>
      <c r="AI5812" s="427"/>
      <c r="AJ5812" s="480"/>
      <c r="AK5812" s="427"/>
      <c r="AU5812" s="218"/>
      <c r="AV5812" s="218"/>
      <c r="AW5812" s="218"/>
      <c r="AX5812" s="218"/>
      <c r="AY5812" s="218"/>
      <c r="BI5812" s="427"/>
      <c r="BJ5812" s="427"/>
      <c r="BK5812" s="427"/>
      <c r="BL5812" s="427"/>
      <c r="BM5812" s="427"/>
      <c r="BN5812" s="427"/>
      <c r="BO5812" s="427"/>
      <c r="BP5812" s="427"/>
      <c r="BQ5812" s="427"/>
      <c r="BR5812" s="427"/>
      <c r="BS5812" s="427"/>
      <c r="BT5812" s="427"/>
      <c r="BU5812" s="427"/>
      <c r="BV5812" s="427"/>
      <c r="BW5812" s="427"/>
      <c r="BX5812" s="427"/>
      <c r="BY5812" s="427"/>
      <c r="BZ5812" s="427"/>
    </row>
    <row r="5813" spans="2:78" s="152" customFormat="1" x14ac:dyDescent="0.2">
      <c r="B5813" s="683"/>
      <c r="C5813" s="683"/>
      <c r="D5813" s="698"/>
      <c r="E5813" s="215"/>
      <c r="F5813" s="215"/>
      <c r="G5813" s="427"/>
      <c r="H5813" s="427"/>
      <c r="I5813" s="427"/>
      <c r="J5813" s="427"/>
      <c r="K5813" s="427"/>
      <c r="L5813" s="653"/>
      <c r="M5813" s="666"/>
      <c r="N5813" s="600">
        <v>3.577</v>
      </c>
      <c r="O5813" s="605">
        <v>5.1083999999999999E-3</v>
      </c>
      <c r="P5813" s="782"/>
      <c r="Q5813" s="764"/>
      <c r="R5813" s="764"/>
      <c r="S5813" s="764"/>
      <c r="T5813" s="764"/>
      <c r="U5813" s="764"/>
      <c r="V5813" s="764"/>
      <c r="W5813" s="764"/>
      <c r="X5813" s="764"/>
      <c r="Y5813" s="768"/>
      <c r="Z5813" s="266"/>
      <c r="AA5813" s="150"/>
      <c r="AB5813" s="150">
        <v>26</v>
      </c>
      <c r="AC5813" s="150">
        <v>6.3E-3</v>
      </c>
      <c r="AD5813" s="150">
        <v>17.2</v>
      </c>
      <c r="AE5813" s="150">
        <v>0.3</v>
      </c>
      <c r="AF5813" s="223"/>
      <c r="AG5813" s="223"/>
      <c r="AH5813" s="346"/>
      <c r="AI5813" s="427"/>
      <c r="AJ5813" s="480"/>
      <c r="AK5813" s="427"/>
      <c r="AU5813" s="218"/>
      <c r="AV5813" s="218"/>
      <c r="AW5813" s="218"/>
      <c r="AX5813" s="218"/>
      <c r="AY5813" s="218"/>
      <c r="BI5813" s="427"/>
      <c r="BJ5813" s="427"/>
      <c r="BK5813" s="427"/>
      <c r="BL5813" s="427"/>
      <c r="BM5813" s="427"/>
      <c r="BN5813" s="427"/>
      <c r="BO5813" s="427"/>
      <c r="BP5813" s="427"/>
      <c r="BQ5813" s="427"/>
      <c r="BR5813" s="427"/>
      <c r="BS5813" s="427"/>
      <c r="BT5813" s="427"/>
      <c r="BU5813" s="427"/>
      <c r="BV5813" s="427"/>
      <c r="BW5813" s="427"/>
      <c r="BX5813" s="427"/>
      <c r="BY5813" s="427"/>
      <c r="BZ5813" s="427"/>
    </row>
    <row r="5814" spans="2:78" s="152" customFormat="1" x14ac:dyDescent="0.2">
      <c r="B5814" s="683"/>
      <c r="C5814" s="683"/>
      <c r="D5814" s="698"/>
      <c r="E5814" s="215"/>
      <c r="F5814" s="215"/>
      <c r="G5814" s="427"/>
      <c r="H5814" s="427"/>
      <c r="I5814" s="427"/>
      <c r="J5814" s="427"/>
      <c r="K5814" s="427"/>
      <c r="L5814" s="653"/>
      <c r="M5814" s="666"/>
      <c r="N5814" s="600">
        <v>3.7210000000000001</v>
      </c>
      <c r="O5814" s="605">
        <v>3.3883999999999997E-2</v>
      </c>
      <c r="P5814" s="782"/>
      <c r="Q5814" s="764"/>
      <c r="R5814" s="764"/>
      <c r="S5814" s="764"/>
      <c r="T5814" s="764"/>
      <c r="U5814" s="764"/>
      <c r="V5814" s="764"/>
      <c r="W5814" s="764"/>
      <c r="X5814" s="764"/>
      <c r="Y5814" s="768"/>
      <c r="Z5814" s="266"/>
      <c r="AA5814" s="150"/>
      <c r="AB5814" s="150">
        <v>27</v>
      </c>
      <c r="AC5814" s="150">
        <v>6.3E-3</v>
      </c>
      <c r="AD5814" s="150">
        <v>17.2</v>
      </c>
      <c r="AE5814" s="150">
        <v>0.30499999999999999</v>
      </c>
      <c r="AF5814" s="223"/>
      <c r="AG5814" s="223"/>
      <c r="AH5814" s="346"/>
      <c r="AI5814" s="427"/>
      <c r="AJ5814" s="480"/>
      <c r="AK5814" s="427"/>
      <c r="AU5814" s="218"/>
      <c r="AV5814" s="218"/>
      <c r="AW5814" s="218"/>
      <c r="AX5814" s="218"/>
      <c r="AY5814" s="218"/>
      <c r="BI5814" s="427"/>
      <c r="BJ5814" s="427"/>
      <c r="BK5814" s="427"/>
      <c r="BL5814" s="427"/>
      <c r="BM5814" s="427"/>
      <c r="BN5814" s="427"/>
      <c r="BO5814" s="427"/>
      <c r="BP5814" s="427"/>
      <c r="BQ5814" s="427"/>
      <c r="BR5814" s="427"/>
      <c r="BS5814" s="427"/>
      <c r="BT5814" s="427"/>
      <c r="BU5814" s="427"/>
      <c r="BV5814" s="427"/>
      <c r="BW5814" s="427"/>
      <c r="BX5814" s="427"/>
      <c r="BY5814" s="427"/>
      <c r="BZ5814" s="427"/>
    </row>
    <row r="5815" spans="2:78" s="152" customFormat="1" x14ac:dyDescent="0.2">
      <c r="B5815" s="683"/>
      <c r="C5815" s="683"/>
      <c r="D5815" s="698"/>
      <c r="E5815" s="215"/>
      <c r="F5815" s="215"/>
      <c r="G5815" s="427"/>
      <c r="H5815" s="427"/>
      <c r="I5815" s="427"/>
      <c r="J5815" s="427"/>
      <c r="K5815" s="427"/>
      <c r="L5815" s="653"/>
      <c r="M5815" s="666"/>
      <c r="N5815" s="600">
        <v>3.867</v>
      </c>
      <c r="O5815" s="605">
        <v>3.3195999999999996E-2</v>
      </c>
      <c r="P5815" s="782"/>
      <c r="Q5815" s="764"/>
      <c r="R5815" s="764"/>
      <c r="S5815" s="764"/>
      <c r="T5815" s="764"/>
      <c r="U5815" s="764"/>
      <c r="V5815" s="764"/>
      <c r="W5815" s="764"/>
      <c r="X5815" s="764"/>
      <c r="Y5815" s="768"/>
      <c r="Z5815" s="266"/>
      <c r="AA5815" s="150"/>
      <c r="AB5815" s="150">
        <v>28</v>
      </c>
      <c r="AC5815" s="150">
        <v>6.3E-3</v>
      </c>
      <c r="AD5815" s="150">
        <v>17.2</v>
      </c>
      <c r="AE5815" s="150">
        <v>0.31</v>
      </c>
      <c r="AF5815" s="223"/>
      <c r="AG5815" s="223"/>
      <c r="AH5815" s="346"/>
      <c r="AI5815" s="427"/>
      <c r="AJ5815" s="480"/>
      <c r="AK5815" s="427"/>
      <c r="AU5815" s="218"/>
      <c r="AV5815" s="218"/>
      <c r="AW5815" s="218"/>
      <c r="AX5815" s="218"/>
      <c r="AY5815" s="218"/>
      <c r="BI5815" s="427"/>
      <c r="BJ5815" s="427"/>
      <c r="BK5815" s="427"/>
      <c r="BL5815" s="427"/>
      <c r="BM5815" s="427"/>
      <c r="BN5815" s="427"/>
      <c r="BO5815" s="427"/>
      <c r="BP5815" s="427"/>
      <c r="BQ5815" s="427"/>
      <c r="BR5815" s="427"/>
      <c r="BS5815" s="427"/>
      <c r="BT5815" s="427"/>
      <c r="BU5815" s="427"/>
      <c r="BV5815" s="427"/>
      <c r="BW5815" s="427"/>
      <c r="BX5815" s="427"/>
      <c r="BY5815" s="427"/>
      <c r="BZ5815" s="427"/>
    </row>
    <row r="5816" spans="2:78" s="152" customFormat="1" x14ac:dyDescent="0.2">
      <c r="B5816" s="683"/>
      <c r="C5816" s="683"/>
      <c r="D5816" s="698"/>
      <c r="E5816" s="215"/>
      <c r="F5816" s="215"/>
      <c r="G5816" s="427"/>
      <c r="H5816" s="427"/>
      <c r="I5816" s="427"/>
      <c r="J5816" s="427"/>
      <c r="K5816" s="427"/>
      <c r="L5816" s="653"/>
      <c r="M5816" s="666"/>
      <c r="N5816" s="600">
        <v>3.867</v>
      </c>
      <c r="O5816" s="605">
        <v>2.0811999999999997E-2</v>
      </c>
      <c r="P5816" s="782"/>
      <c r="Q5816" s="764"/>
      <c r="R5816" s="764"/>
      <c r="S5816" s="764"/>
      <c r="T5816" s="764"/>
      <c r="U5816" s="764"/>
      <c r="V5816" s="764"/>
      <c r="W5816" s="764"/>
      <c r="X5816" s="764"/>
      <c r="Y5816" s="768"/>
      <c r="Z5816" s="266"/>
      <c r="AA5816" s="150"/>
      <c r="AB5816" s="150">
        <v>29</v>
      </c>
      <c r="AC5816" s="150">
        <v>6.3E-3</v>
      </c>
      <c r="AD5816" s="150">
        <v>17.2</v>
      </c>
      <c r="AE5816" s="150">
        <v>0.31</v>
      </c>
      <c r="AF5816" s="223"/>
      <c r="AG5816" s="223"/>
      <c r="AH5816" s="346"/>
      <c r="AI5816" s="427"/>
      <c r="AJ5816" s="480"/>
      <c r="AK5816" s="427"/>
      <c r="AU5816" s="218"/>
      <c r="AV5816" s="218"/>
      <c r="AW5816" s="218"/>
      <c r="AX5816" s="218"/>
      <c r="AY5816" s="218"/>
      <c r="BI5816" s="427"/>
      <c r="BJ5816" s="427"/>
      <c r="BK5816" s="427"/>
      <c r="BL5816" s="427"/>
      <c r="BM5816" s="427"/>
      <c r="BN5816" s="427"/>
      <c r="BO5816" s="427"/>
      <c r="BP5816" s="427"/>
      <c r="BQ5816" s="427"/>
      <c r="BR5816" s="427"/>
      <c r="BS5816" s="427"/>
      <c r="BT5816" s="427"/>
      <c r="BU5816" s="427"/>
      <c r="BV5816" s="427"/>
      <c r="BW5816" s="427"/>
      <c r="BX5816" s="427"/>
      <c r="BY5816" s="427"/>
      <c r="BZ5816" s="427"/>
    </row>
    <row r="5817" spans="2:78" s="152" customFormat="1" x14ac:dyDescent="0.2">
      <c r="B5817" s="683"/>
      <c r="C5817" s="683"/>
      <c r="D5817" s="698"/>
      <c r="E5817" s="215"/>
      <c r="F5817" s="215"/>
      <c r="G5817" s="427"/>
      <c r="H5817" s="427"/>
      <c r="I5817" s="427"/>
      <c r="J5817" s="427"/>
      <c r="K5817" s="427"/>
      <c r="L5817" s="653"/>
      <c r="M5817" s="666"/>
      <c r="N5817" s="600">
        <v>4.3150000000000004</v>
      </c>
      <c r="O5817" s="605">
        <v>7.8948000000000004E-3</v>
      </c>
      <c r="P5817" s="782"/>
      <c r="Q5817" s="764"/>
      <c r="R5817" s="764"/>
      <c r="S5817" s="764"/>
      <c r="T5817" s="764"/>
      <c r="U5817" s="764"/>
      <c r="V5817" s="764"/>
      <c r="W5817" s="764"/>
      <c r="X5817" s="764"/>
      <c r="Y5817" s="768"/>
      <c r="Z5817" s="266"/>
      <c r="AA5817" s="150"/>
      <c r="AB5817" s="150">
        <v>30</v>
      </c>
      <c r="AC5817" s="150">
        <v>6.3E-3</v>
      </c>
      <c r="AD5817" s="150">
        <v>17.2</v>
      </c>
      <c r="AE5817" s="150">
        <v>0.32600000000000001</v>
      </c>
      <c r="AF5817" s="223"/>
      <c r="AG5817" s="223"/>
      <c r="AH5817" s="346"/>
      <c r="AI5817" s="427"/>
      <c r="AJ5817" s="480"/>
      <c r="AK5817" s="427"/>
      <c r="AU5817" s="218"/>
      <c r="AV5817" s="218"/>
      <c r="AW5817" s="218"/>
      <c r="AX5817" s="218"/>
      <c r="AY5817" s="218"/>
      <c r="BI5817" s="427"/>
      <c r="BJ5817" s="427"/>
      <c r="BK5817" s="427"/>
      <c r="BL5817" s="427"/>
      <c r="BM5817" s="427"/>
      <c r="BN5817" s="427"/>
      <c r="BO5817" s="427"/>
      <c r="BP5817" s="427"/>
      <c r="BQ5817" s="427"/>
      <c r="BR5817" s="427"/>
      <c r="BS5817" s="427"/>
      <c r="BT5817" s="427"/>
      <c r="BU5817" s="427"/>
      <c r="BV5817" s="427"/>
      <c r="BW5817" s="427"/>
      <c r="BX5817" s="427"/>
      <c r="BY5817" s="427"/>
      <c r="BZ5817" s="427"/>
    </row>
    <row r="5818" spans="2:78" s="152" customFormat="1" x14ac:dyDescent="0.2">
      <c r="B5818" s="683"/>
      <c r="C5818" s="683"/>
      <c r="D5818" s="698"/>
      <c r="E5818" s="215"/>
      <c r="F5818" s="215"/>
      <c r="G5818" s="427"/>
      <c r="H5818" s="427"/>
      <c r="I5818" s="427"/>
      <c r="J5818" s="427"/>
      <c r="K5818" s="427"/>
      <c r="L5818" s="653"/>
      <c r="M5818" s="666"/>
      <c r="N5818" s="600">
        <v>4.391</v>
      </c>
      <c r="O5818" s="605">
        <v>3.354E-2</v>
      </c>
      <c r="P5818" s="782"/>
      <c r="Q5818" s="764"/>
      <c r="R5818" s="764"/>
      <c r="S5818" s="764"/>
      <c r="T5818" s="764"/>
      <c r="U5818" s="764"/>
      <c r="V5818" s="764"/>
      <c r="W5818" s="764"/>
      <c r="X5818" s="764"/>
      <c r="Y5818" s="768"/>
      <c r="Z5818" s="266"/>
      <c r="AA5818" s="150"/>
      <c r="AB5818" s="150">
        <v>31</v>
      </c>
      <c r="AC5818" s="150">
        <v>6.3E-3</v>
      </c>
      <c r="AD5818" s="150">
        <v>17.2</v>
      </c>
      <c r="AE5818" s="150">
        <v>0.32900000000000001</v>
      </c>
      <c r="AF5818" s="223"/>
      <c r="AG5818" s="223"/>
      <c r="AH5818" s="346"/>
      <c r="AI5818" s="427"/>
      <c r="AJ5818" s="480"/>
      <c r="AK5818" s="427"/>
      <c r="AU5818" s="218"/>
      <c r="AV5818" s="218"/>
      <c r="AW5818" s="218"/>
      <c r="AX5818" s="218"/>
      <c r="AY5818" s="218"/>
      <c r="BI5818" s="427"/>
      <c r="BJ5818" s="427"/>
      <c r="BK5818" s="427"/>
      <c r="BL5818" s="427"/>
      <c r="BM5818" s="427"/>
      <c r="BN5818" s="427"/>
      <c r="BO5818" s="427"/>
      <c r="BP5818" s="427"/>
      <c r="BQ5818" s="427"/>
      <c r="BR5818" s="427"/>
      <c r="BS5818" s="427"/>
      <c r="BT5818" s="427"/>
      <c r="BU5818" s="427"/>
      <c r="BV5818" s="427"/>
      <c r="BW5818" s="427"/>
      <c r="BX5818" s="427"/>
      <c r="BY5818" s="427"/>
      <c r="BZ5818" s="427"/>
    </row>
    <row r="5819" spans="2:78" s="152" customFormat="1" x14ac:dyDescent="0.2">
      <c r="B5819" s="683"/>
      <c r="C5819" s="683"/>
      <c r="D5819" s="698"/>
      <c r="E5819" s="215"/>
      <c r="F5819" s="215"/>
      <c r="G5819" s="427"/>
      <c r="H5819" s="427"/>
      <c r="I5819" s="427"/>
      <c r="J5819" s="427"/>
      <c r="K5819" s="427"/>
      <c r="L5819" s="653"/>
      <c r="M5819" s="666"/>
      <c r="N5819" s="600">
        <v>4.391</v>
      </c>
      <c r="O5819" s="605">
        <v>5.0051999999999999E-2</v>
      </c>
      <c r="P5819" s="782"/>
      <c r="Q5819" s="764"/>
      <c r="R5819" s="764"/>
      <c r="S5819" s="764"/>
      <c r="T5819" s="764"/>
      <c r="U5819" s="764"/>
      <c r="V5819" s="764"/>
      <c r="W5819" s="764"/>
      <c r="X5819" s="764"/>
      <c r="Y5819" s="768"/>
      <c r="Z5819" s="266"/>
      <c r="AA5819" s="150"/>
      <c r="AB5819" s="150">
        <v>32</v>
      </c>
      <c r="AC5819" s="150">
        <v>6.3E-3</v>
      </c>
      <c r="AD5819" s="150">
        <v>17.2</v>
      </c>
      <c r="AE5819" s="150">
        <v>0.32900000000000001</v>
      </c>
      <c r="AF5819" s="223"/>
      <c r="AG5819" s="223"/>
      <c r="AH5819" s="346"/>
      <c r="AI5819" s="427"/>
      <c r="AJ5819" s="480"/>
      <c r="AK5819" s="427"/>
      <c r="AU5819" s="218"/>
      <c r="AV5819" s="218"/>
      <c r="AW5819" s="218"/>
      <c r="AX5819" s="218"/>
      <c r="AY5819" s="218"/>
      <c r="BI5819" s="427"/>
      <c r="BJ5819" s="427"/>
      <c r="BK5819" s="427"/>
      <c r="BL5819" s="427"/>
      <c r="BM5819" s="427"/>
      <c r="BN5819" s="427"/>
      <c r="BO5819" s="427"/>
      <c r="BP5819" s="427"/>
      <c r="BQ5819" s="427"/>
      <c r="BR5819" s="427"/>
      <c r="BS5819" s="427"/>
      <c r="BT5819" s="427"/>
      <c r="BU5819" s="427"/>
      <c r="BV5819" s="427"/>
      <c r="BW5819" s="427"/>
      <c r="BX5819" s="427"/>
      <c r="BY5819" s="427"/>
      <c r="BZ5819" s="427"/>
    </row>
    <row r="5820" spans="2:78" s="152" customFormat="1" x14ac:dyDescent="0.2">
      <c r="B5820" s="683"/>
      <c r="C5820" s="683"/>
      <c r="D5820" s="698"/>
      <c r="E5820" s="215"/>
      <c r="F5820" s="215"/>
      <c r="G5820" s="427"/>
      <c r="H5820" s="427"/>
      <c r="I5820" s="427"/>
      <c r="J5820" s="427"/>
      <c r="K5820" s="427"/>
      <c r="L5820" s="653"/>
      <c r="M5820" s="666"/>
      <c r="N5820" s="600">
        <v>4.391</v>
      </c>
      <c r="O5820" s="605">
        <v>2.0467999999999997E-2</v>
      </c>
      <c r="P5820" s="782"/>
      <c r="Q5820" s="764"/>
      <c r="R5820" s="764"/>
      <c r="S5820" s="764"/>
      <c r="T5820" s="764"/>
      <c r="U5820" s="764"/>
      <c r="V5820" s="764"/>
      <c r="W5820" s="764"/>
      <c r="X5820" s="764"/>
      <c r="Y5820" s="768"/>
      <c r="Z5820" s="266"/>
      <c r="AA5820" s="150"/>
      <c r="AB5820" s="150">
        <v>33</v>
      </c>
      <c r="AC5820" s="150">
        <v>6.3E-3</v>
      </c>
      <c r="AD5820" s="150">
        <v>17.2</v>
      </c>
      <c r="AE5820" s="150">
        <v>0.32900000000000001</v>
      </c>
      <c r="AF5820" s="223"/>
      <c r="AG5820" s="223"/>
      <c r="AH5820" s="346"/>
      <c r="AI5820" s="427"/>
      <c r="AJ5820" s="480"/>
      <c r="AK5820" s="427"/>
      <c r="AU5820" s="218"/>
      <c r="AV5820" s="218"/>
      <c r="AW5820" s="218"/>
      <c r="AX5820" s="218"/>
      <c r="AY5820" s="218"/>
      <c r="BI5820" s="427"/>
      <c r="BJ5820" s="427"/>
      <c r="BK5820" s="427"/>
      <c r="BL5820" s="427"/>
      <c r="BM5820" s="427"/>
      <c r="BN5820" s="427"/>
      <c r="BO5820" s="427"/>
      <c r="BP5820" s="427"/>
      <c r="BQ5820" s="427"/>
      <c r="BR5820" s="427"/>
      <c r="BS5820" s="427"/>
      <c r="BT5820" s="427"/>
      <c r="BU5820" s="427"/>
      <c r="BV5820" s="427"/>
      <c r="BW5820" s="427"/>
      <c r="BX5820" s="427"/>
      <c r="BY5820" s="427"/>
      <c r="BZ5820" s="427"/>
    </row>
    <row r="5821" spans="2:78" s="152" customFormat="1" x14ac:dyDescent="0.2">
      <c r="B5821" s="683"/>
      <c r="C5821" s="683"/>
      <c r="D5821" s="698"/>
      <c r="E5821" s="215"/>
      <c r="F5821" s="215"/>
      <c r="G5821" s="427"/>
      <c r="H5821" s="427"/>
      <c r="I5821" s="427"/>
      <c r="J5821" s="427"/>
      <c r="K5821" s="427"/>
      <c r="L5821" s="653"/>
      <c r="M5821" s="666"/>
      <c r="N5821" s="600">
        <v>4.5469999999999997</v>
      </c>
      <c r="O5821" s="605">
        <v>6.1747999999999994E-3</v>
      </c>
      <c r="P5821" s="782"/>
      <c r="Q5821" s="764"/>
      <c r="R5821" s="764"/>
      <c r="S5821" s="764"/>
      <c r="T5821" s="764"/>
      <c r="U5821" s="764"/>
      <c r="V5821" s="764"/>
      <c r="W5821" s="764"/>
      <c r="X5821" s="764"/>
      <c r="Y5821" s="768"/>
      <c r="Z5821" s="266"/>
      <c r="AA5821" s="150"/>
      <c r="AB5821" s="150">
        <v>34</v>
      </c>
      <c r="AC5821" s="150">
        <v>6.3E-3</v>
      </c>
      <c r="AD5821" s="150">
        <v>17.2</v>
      </c>
      <c r="AE5821" s="150">
        <v>0.33400000000000002</v>
      </c>
      <c r="AF5821" s="223"/>
      <c r="AG5821" s="223"/>
      <c r="AH5821" s="346"/>
      <c r="AI5821" s="427"/>
      <c r="AJ5821" s="480"/>
      <c r="AK5821" s="427"/>
      <c r="AU5821" s="218"/>
      <c r="AV5821" s="218"/>
      <c r="AW5821" s="218"/>
      <c r="AX5821" s="218"/>
      <c r="AY5821" s="218"/>
      <c r="BI5821" s="427"/>
      <c r="BJ5821" s="427"/>
      <c r="BK5821" s="427"/>
      <c r="BL5821" s="427"/>
      <c r="BM5821" s="427"/>
      <c r="BN5821" s="427"/>
      <c r="BO5821" s="427"/>
      <c r="BP5821" s="427"/>
      <c r="BQ5821" s="427"/>
      <c r="BR5821" s="427"/>
      <c r="BS5821" s="427"/>
      <c r="BT5821" s="427"/>
      <c r="BU5821" s="427"/>
      <c r="BV5821" s="427"/>
      <c r="BW5821" s="427"/>
      <c r="BX5821" s="427"/>
      <c r="BY5821" s="427"/>
      <c r="BZ5821" s="427"/>
    </row>
    <row r="5822" spans="2:78" s="152" customFormat="1" x14ac:dyDescent="0.2">
      <c r="B5822" s="683"/>
      <c r="C5822" s="683"/>
      <c r="D5822" s="698"/>
      <c r="E5822" s="215"/>
      <c r="F5822" s="215"/>
      <c r="G5822" s="427"/>
      <c r="H5822" s="427"/>
      <c r="I5822" s="427"/>
      <c r="J5822" s="427"/>
      <c r="K5822" s="427"/>
      <c r="L5822" s="653"/>
      <c r="M5822" s="666"/>
      <c r="N5822" s="600">
        <v>4.6230000000000002</v>
      </c>
      <c r="O5822" s="605">
        <v>1.43448E-2</v>
      </c>
      <c r="P5822" s="782"/>
      <c r="Q5822" s="764"/>
      <c r="R5822" s="764"/>
      <c r="S5822" s="764"/>
      <c r="T5822" s="764"/>
      <c r="U5822" s="764"/>
      <c r="V5822" s="764"/>
      <c r="W5822" s="764"/>
      <c r="X5822" s="764"/>
      <c r="Y5822" s="768"/>
      <c r="Z5822" s="266"/>
      <c r="AA5822" s="150"/>
      <c r="AB5822" s="150">
        <v>35</v>
      </c>
      <c r="AC5822" s="150">
        <v>6.3E-3</v>
      </c>
      <c r="AD5822" s="150">
        <v>17.2</v>
      </c>
      <c r="AE5822" s="150">
        <v>0.33700000000000002</v>
      </c>
      <c r="AF5822" s="223"/>
      <c r="AG5822" s="223"/>
      <c r="AH5822" s="346"/>
      <c r="AI5822" s="427"/>
      <c r="AJ5822" s="480"/>
      <c r="AK5822" s="427"/>
      <c r="AU5822" s="218"/>
      <c r="AV5822" s="218"/>
      <c r="AW5822" s="218"/>
      <c r="AX5822" s="218"/>
      <c r="AY5822" s="218"/>
      <c r="BI5822" s="427"/>
      <c r="BJ5822" s="427"/>
      <c r="BK5822" s="427"/>
      <c r="BL5822" s="427"/>
      <c r="BM5822" s="427"/>
      <c r="BN5822" s="427"/>
      <c r="BO5822" s="427"/>
      <c r="BP5822" s="427"/>
      <c r="BQ5822" s="427"/>
      <c r="BR5822" s="427"/>
      <c r="BS5822" s="427"/>
      <c r="BT5822" s="427"/>
      <c r="BU5822" s="427"/>
      <c r="BV5822" s="427"/>
      <c r="BW5822" s="427"/>
      <c r="BX5822" s="427"/>
      <c r="BY5822" s="427"/>
      <c r="BZ5822" s="427"/>
    </row>
    <row r="5823" spans="2:78" s="152" customFormat="1" x14ac:dyDescent="0.2">
      <c r="B5823" s="683"/>
      <c r="C5823" s="683"/>
      <c r="D5823" s="698"/>
      <c r="E5823" s="215"/>
      <c r="F5823" s="215"/>
      <c r="G5823" s="427"/>
      <c r="H5823" s="427"/>
      <c r="I5823" s="427"/>
      <c r="J5823" s="427"/>
      <c r="K5823" s="427"/>
      <c r="L5823" s="653"/>
      <c r="M5823" s="666"/>
      <c r="N5823" s="600">
        <v>4.7030000000000003</v>
      </c>
      <c r="O5823" s="605">
        <v>0.29927999999999999</v>
      </c>
      <c r="P5823" s="782"/>
      <c r="Q5823" s="764"/>
      <c r="R5823" s="764"/>
      <c r="S5823" s="764"/>
      <c r="T5823" s="764"/>
      <c r="U5823" s="764"/>
      <c r="V5823" s="764"/>
      <c r="W5823" s="764"/>
      <c r="X5823" s="764"/>
      <c r="Y5823" s="768"/>
      <c r="Z5823" s="266"/>
      <c r="AA5823" s="150"/>
      <c r="AB5823" s="150">
        <v>36</v>
      </c>
      <c r="AC5823" s="150">
        <v>6.3E-3</v>
      </c>
      <c r="AD5823" s="150">
        <v>17.2</v>
      </c>
      <c r="AE5823" s="150">
        <v>0.33900000000000002</v>
      </c>
      <c r="AF5823" s="223"/>
      <c r="AG5823" s="223"/>
      <c r="AH5823" s="346"/>
      <c r="AI5823" s="427"/>
      <c r="AJ5823" s="480"/>
      <c r="AK5823" s="427"/>
      <c r="AU5823" s="218"/>
      <c r="AV5823" s="218"/>
      <c r="AW5823" s="218"/>
      <c r="AX5823" s="218"/>
      <c r="AY5823" s="218"/>
      <c r="BI5823" s="427"/>
      <c r="BJ5823" s="427"/>
      <c r="BK5823" s="427"/>
      <c r="BL5823" s="427"/>
      <c r="BM5823" s="427"/>
      <c r="BN5823" s="427"/>
      <c r="BO5823" s="427"/>
      <c r="BP5823" s="427"/>
      <c r="BQ5823" s="427"/>
      <c r="BR5823" s="427"/>
      <c r="BS5823" s="427"/>
      <c r="BT5823" s="427"/>
      <c r="BU5823" s="427"/>
      <c r="BV5823" s="427"/>
      <c r="BW5823" s="427"/>
      <c r="BX5823" s="427"/>
      <c r="BY5823" s="427"/>
      <c r="BZ5823" s="427"/>
    </row>
    <row r="5824" spans="2:78" s="152" customFormat="1" x14ac:dyDescent="0.2">
      <c r="B5824" s="683"/>
      <c r="C5824" s="683"/>
      <c r="D5824" s="698"/>
      <c r="E5824" s="215"/>
      <c r="F5824" s="215"/>
      <c r="G5824" s="427"/>
      <c r="H5824" s="427"/>
      <c r="I5824" s="427"/>
      <c r="J5824" s="427"/>
      <c r="K5824" s="427"/>
      <c r="L5824" s="653"/>
      <c r="M5824" s="666"/>
      <c r="N5824" s="600">
        <v>4.7030000000000003</v>
      </c>
      <c r="O5824" s="605">
        <v>3.8871999999999997E-2</v>
      </c>
      <c r="P5824" s="782"/>
      <c r="Q5824" s="764"/>
      <c r="R5824" s="764"/>
      <c r="S5824" s="764"/>
      <c r="T5824" s="764"/>
      <c r="U5824" s="764"/>
      <c r="V5824" s="764"/>
      <c r="W5824" s="764"/>
      <c r="X5824" s="764"/>
      <c r="Y5824" s="768"/>
      <c r="Z5824" s="266"/>
      <c r="AA5824" s="150"/>
      <c r="AB5824" s="150">
        <v>37</v>
      </c>
      <c r="AC5824" s="150">
        <v>6.3E-3</v>
      </c>
      <c r="AD5824" s="150">
        <v>17.2</v>
      </c>
      <c r="AE5824" s="150">
        <v>0.33900000000000002</v>
      </c>
      <c r="AF5824" s="223"/>
      <c r="AG5824" s="223"/>
      <c r="AH5824" s="346"/>
      <c r="AI5824" s="427"/>
      <c r="AJ5824" s="480"/>
      <c r="AK5824" s="427"/>
      <c r="AU5824" s="218"/>
      <c r="AV5824" s="218"/>
      <c r="AW5824" s="218"/>
      <c r="AX5824" s="218"/>
      <c r="AY5824" s="218"/>
      <c r="BI5824" s="427"/>
      <c r="BJ5824" s="427"/>
      <c r="BK5824" s="427"/>
      <c r="BL5824" s="427"/>
      <c r="BM5824" s="427"/>
      <c r="BN5824" s="427"/>
      <c r="BO5824" s="427"/>
      <c r="BP5824" s="427"/>
      <c r="BQ5824" s="427"/>
      <c r="BR5824" s="427"/>
      <c r="BS5824" s="427"/>
      <c r="BT5824" s="427"/>
      <c r="BU5824" s="427"/>
      <c r="BV5824" s="427"/>
      <c r="BW5824" s="427"/>
      <c r="BX5824" s="427"/>
      <c r="BY5824" s="427"/>
      <c r="BZ5824" s="427"/>
    </row>
    <row r="5825" spans="2:78" s="152" customFormat="1" x14ac:dyDescent="0.2">
      <c r="B5825" s="683"/>
      <c r="C5825" s="683"/>
      <c r="D5825" s="698"/>
      <c r="E5825" s="215"/>
      <c r="F5825" s="215"/>
      <c r="G5825" s="427"/>
      <c r="H5825" s="427"/>
      <c r="I5825" s="427"/>
      <c r="J5825" s="427"/>
      <c r="K5825" s="427"/>
      <c r="L5825" s="653"/>
      <c r="M5825" s="666"/>
      <c r="N5825" s="600">
        <v>4.7030000000000003</v>
      </c>
      <c r="O5825" s="605">
        <v>3.4228000000000001E-2</v>
      </c>
      <c r="P5825" s="782"/>
      <c r="Q5825" s="764"/>
      <c r="R5825" s="764"/>
      <c r="S5825" s="764"/>
      <c r="T5825" s="764"/>
      <c r="U5825" s="764"/>
      <c r="V5825" s="764"/>
      <c r="W5825" s="764"/>
      <c r="X5825" s="764"/>
      <c r="Y5825" s="768"/>
      <c r="Z5825" s="266"/>
      <c r="AA5825" s="150"/>
      <c r="AB5825" s="150">
        <v>38</v>
      </c>
      <c r="AC5825" s="150">
        <v>6.3E-3</v>
      </c>
      <c r="AD5825" s="150">
        <v>17.2</v>
      </c>
      <c r="AE5825" s="150">
        <v>0.33900000000000002</v>
      </c>
      <c r="AF5825" s="223"/>
      <c r="AG5825" s="223"/>
      <c r="AH5825" s="346"/>
      <c r="AI5825" s="427"/>
      <c r="AJ5825" s="480"/>
      <c r="AK5825" s="427"/>
      <c r="AU5825" s="218"/>
      <c r="AV5825" s="218"/>
      <c r="AW5825" s="218"/>
      <c r="AX5825" s="218"/>
      <c r="AY5825" s="218"/>
      <c r="BI5825" s="427"/>
      <c r="BJ5825" s="427"/>
      <c r="BK5825" s="427"/>
      <c r="BL5825" s="427"/>
      <c r="BM5825" s="427"/>
      <c r="BN5825" s="427"/>
      <c r="BO5825" s="427"/>
      <c r="BP5825" s="427"/>
      <c r="BQ5825" s="427"/>
      <c r="BR5825" s="427"/>
      <c r="BS5825" s="427"/>
      <c r="BT5825" s="427"/>
      <c r="BU5825" s="427"/>
      <c r="BV5825" s="427"/>
      <c r="BW5825" s="427"/>
      <c r="BX5825" s="427"/>
      <c r="BY5825" s="427"/>
      <c r="BZ5825" s="427"/>
    </row>
    <row r="5826" spans="2:78" s="152" customFormat="1" x14ac:dyDescent="0.2">
      <c r="B5826" s="683"/>
      <c r="C5826" s="683"/>
      <c r="D5826" s="698"/>
      <c r="E5826" s="215"/>
      <c r="F5826" s="215"/>
      <c r="G5826" s="427"/>
      <c r="H5826" s="427"/>
      <c r="I5826" s="427"/>
      <c r="J5826" s="427"/>
      <c r="K5826" s="427"/>
      <c r="L5826" s="653"/>
      <c r="M5826" s="666"/>
      <c r="N5826" s="600">
        <v>4.8600000000000003</v>
      </c>
      <c r="O5826" s="605">
        <v>2.6831999999999998E-2</v>
      </c>
      <c r="P5826" s="782"/>
      <c r="Q5826" s="764"/>
      <c r="R5826" s="764"/>
      <c r="S5826" s="764"/>
      <c r="T5826" s="764"/>
      <c r="U5826" s="764"/>
      <c r="V5826" s="764"/>
      <c r="W5826" s="764"/>
      <c r="X5826" s="764"/>
      <c r="Y5826" s="768"/>
      <c r="Z5826" s="266"/>
      <c r="AA5826" s="150"/>
      <c r="AB5826" s="150">
        <v>39</v>
      </c>
      <c r="AC5826" s="150">
        <v>6.3E-3</v>
      </c>
      <c r="AD5826" s="150">
        <v>17.2</v>
      </c>
      <c r="AE5826" s="150">
        <v>0.34499999999999997</v>
      </c>
      <c r="AF5826" s="223"/>
      <c r="AG5826" s="223"/>
      <c r="AH5826" s="346"/>
      <c r="AI5826" s="427"/>
      <c r="AJ5826" s="480"/>
      <c r="AK5826" s="427"/>
      <c r="AU5826" s="218"/>
      <c r="AV5826" s="218"/>
      <c r="AW5826" s="218"/>
      <c r="AX5826" s="218"/>
      <c r="AY5826" s="218"/>
      <c r="BI5826" s="427"/>
      <c r="BJ5826" s="427"/>
      <c r="BK5826" s="427"/>
      <c r="BL5826" s="427"/>
      <c r="BM5826" s="427"/>
      <c r="BN5826" s="427"/>
      <c r="BO5826" s="427"/>
      <c r="BP5826" s="427"/>
      <c r="BQ5826" s="427"/>
      <c r="BR5826" s="427"/>
      <c r="BS5826" s="427"/>
      <c r="BT5826" s="427"/>
      <c r="BU5826" s="427"/>
      <c r="BV5826" s="427"/>
      <c r="BW5826" s="427"/>
      <c r="BX5826" s="427"/>
      <c r="BY5826" s="427"/>
      <c r="BZ5826" s="427"/>
    </row>
    <row r="5827" spans="2:78" s="152" customFormat="1" x14ac:dyDescent="0.2">
      <c r="B5827" s="683"/>
      <c r="C5827" s="683"/>
      <c r="D5827" s="698"/>
      <c r="E5827" s="215"/>
      <c r="F5827" s="215"/>
      <c r="G5827" s="427"/>
      <c r="H5827" s="427"/>
      <c r="I5827" s="427"/>
      <c r="J5827" s="427"/>
      <c r="K5827" s="427"/>
      <c r="L5827" s="653"/>
      <c r="M5827" s="666"/>
      <c r="N5827" s="600">
        <v>4.9400000000000004</v>
      </c>
      <c r="O5827" s="605">
        <v>7.5851999999999989E-2</v>
      </c>
      <c r="P5827" s="782"/>
      <c r="Q5827" s="764"/>
      <c r="R5827" s="764"/>
      <c r="S5827" s="764"/>
      <c r="T5827" s="764"/>
      <c r="U5827" s="764"/>
      <c r="V5827" s="764"/>
      <c r="W5827" s="764"/>
      <c r="X5827" s="764"/>
      <c r="Y5827" s="768"/>
      <c r="Z5827" s="266"/>
      <c r="AA5827" s="150"/>
      <c r="AB5827" s="150">
        <v>40</v>
      </c>
      <c r="AC5827" s="150">
        <v>6.3E-3</v>
      </c>
      <c r="AD5827" s="150">
        <v>17.2</v>
      </c>
      <c r="AE5827" s="150">
        <v>0.34699999999999998</v>
      </c>
      <c r="AF5827" s="223"/>
      <c r="AG5827" s="223"/>
      <c r="AH5827" s="346"/>
      <c r="AI5827" s="427"/>
      <c r="AJ5827" s="480"/>
      <c r="AK5827" s="427"/>
      <c r="AU5827" s="218"/>
      <c r="AV5827" s="218"/>
      <c r="AW5827" s="218"/>
      <c r="AX5827" s="218"/>
      <c r="AY5827" s="218"/>
      <c r="BI5827" s="427"/>
      <c r="BJ5827" s="427"/>
      <c r="BK5827" s="427"/>
      <c r="BL5827" s="427"/>
      <c r="BM5827" s="427"/>
      <c r="BN5827" s="427"/>
      <c r="BO5827" s="427"/>
      <c r="BP5827" s="427"/>
      <c r="BQ5827" s="427"/>
      <c r="BR5827" s="427"/>
      <c r="BS5827" s="427"/>
      <c r="BT5827" s="427"/>
      <c r="BU5827" s="427"/>
      <c r="BV5827" s="427"/>
      <c r="BW5827" s="427"/>
      <c r="BX5827" s="427"/>
      <c r="BY5827" s="427"/>
      <c r="BZ5827" s="427"/>
    </row>
    <row r="5828" spans="2:78" s="152" customFormat="1" x14ac:dyDescent="0.2">
      <c r="B5828" s="683"/>
      <c r="C5828" s="683"/>
      <c r="D5828" s="698"/>
      <c r="E5828" s="215"/>
      <c r="F5828" s="215"/>
      <c r="G5828" s="427"/>
      <c r="H5828" s="427"/>
      <c r="I5828" s="427"/>
      <c r="J5828" s="427"/>
      <c r="K5828" s="427"/>
      <c r="L5828" s="653"/>
      <c r="M5828" s="666"/>
      <c r="N5828" s="600">
        <v>4.9400000000000004</v>
      </c>
      <c r="O5828" s="605">
        <v>0.12693599999999999</v>
      </c>
      <c r="P5828" s="782"/>
      <c r="Q5828" s="764"/>
      <c r="R5828" s="764"/>
      <c r="S5828" s="764"/>
      <c r="T5828" s="764"/>
      <c r="U5828" s="764"/>
      <c r="V5828" s="764"/>
      <c r="W5828" s="764"/>
      <c r="X5828" s="764"/>
      <c r="Y5828" s="768"/>
      <c r="Z5828" s="266"/>
      <c r="AA5828" s="150"/>
      <c r="AB5828" s="150">
        <v>41</v>
      </c>
      <c r="AC5828" s="150">
        <v>6.3E-3</v>
      </c>
      <c r="AD5828" s="150">
        <v>17.2</v>
      </c>
      <c r="AE5828" s="150">
        <v>0.34699999999999998</v>
      </c>
      <c r="AF5828" s="223"/>
      <c r="AG5828" s="223"/>
      <c r="AH5828" s="346"/>
      <c r="AI5828" s="427"/>
      <c r="AJ5828" s="480"/>
      <c r="AK5828" s="427"/>
      <c r="AU5828" s="218"/>
      <c r="AV5828" s="218"/>
      <c r="AW5828" s="218"/>
      <c r="AX5828" s="218"/>
      <c r="AY5828" s="218"/>
      <c r="BI5828" s="427"/>
      <c r="BJ5828" s="427"/>
      <c r="BK5828" s="427"/>
      <c r="BL5828" s="427"/>
      <c r="BM5828" s="427"/>
      <c r="BN5828" s="427"/>
      <c r="BO5828" s="427"/>
      <c r="BP5828" s="427"/>
      <c r="BQ5828" s="427"/>
      <c r="BR5828" s="427"/>
      <c r="BS5828" s="427"/>
      <c r="BT5828" s="427"/>
      <c r="BU5828" s="427"/>
      <c r="BV5828" s="427"/>
      <c r="BW5828" s="427"/>
      <c r="BX5828" s="427"/>
      <c r="BY5828" s="427"/>
      <c r="BZ5828" s="427"/>
    </row>
    <row r="5829" spans="2:78" s="152" customFormat="1" x14ac:dyDescent="0.2">
      <c r="B5829" s="683"/>
      <c r="C5829" s="683"/>
      <c r="D5829" s="698"/>
      <c r="E5829" s="215"/>
      <c r="F5829" s="215"/>
      <c r="G5829" s="427"/>
      <c r="H5829" s="427"/>
      <c r="I5829" s="427"/>
      <c r="J5829" s="427"/>
      <c r="K5829" s="427"/>
      <c r="L5829" s="653"/>
      <c r="M5829" s="666"/>
      <c r="N5829" s="600">
        <v>5.0199999999999996</v>
      </c>
      <c r="O5829" s="605">
        <v>0.39043999999999995</v>
      </c>
      <c r="P5829" s="782"/>
      <c r="Q5829" s="764"/>
      <c r="R5829" s="764"/>
      <c r="S5829" s="764"/>
      <c r="T5829" s="764"/>
      <c r="U5829" s="764"/>
      <c r="V5829" s="764"/>
      <c r="W5829" s="764"/>
      <c r="X5829" s="764"/>
      <c r="Y5829" s="768"/>
      <c r="Z5829" s="266"/>
      <c r="AA5829" s="150"/>
      <c r="AB5829" s="150">
        <v>42</v>
      </c>
      <c r="AC5829" s="150">
        <v>6.3E-3</v>
      </c>
      <c r="AD5829" s="150">
        <v>17.2</v>
      </c>
      <c r="AE5829" s="150">
        <v>0.35</v>
      </c>
      <c r="AF5829" s="223"/>
      <c r="AG5829" s="223"/>
      <c r="AH5829" s="346"/>
      <c r="AI5829" s="427"/>
      <c r="AJ5829" s="480"/>
      <c r="AK5829" s="427"/>
      <c r="AU5829" s="218"/>
      <c r="AV5829" s="218"/>
      <c r="AW5829" s="218"/>
      <c r="AX5829" s="218"/>
      <c r="AY5829" s="218"/>
      <c r="BI5829" s="427"/>
      <c r="BJ5829" s="427"/>
      <c r="BK5829" s="427"/>
      <c r="BL5829" s="427"/>
      <c r="BM5829" s="427"/>
      <c r="BN5829" s="427"/>
      <c r="BO5829" s="427"/>
      <c r="BP5829" s="427"/>
      <c r="BQ5829" s="427"/>
      <c r="BR5829" s="427"/>
      <c r="BS5829" s="427"/>
      <c r="BT5829" s="427"/>
      <c r="BU5829" s="427"/>
      <c r="BV5829" s="427"/>
      <c r="BW5829" s="427"/>
      <c r="BX5829" s="427"/>
      <c r="BY5829" s="427"/>
      <c r="BZ5829" s="427"/>
    </row>
    <row r="5830" spans="2:78" s="152" customFormat="1" x14ac:dyDescent="0.2">
      <c r="B5830" s="683"/>
      <c r="C5830" s="683"/>
      <c r="D5830" s="698"/>
      <c r="E5830" s="215"/>
      <c r="F5830" s="215"/>
      <c r="G5830" s="427"/>
      <c r="H5830" s="427"/>
      <c r="I5830" s="427"/>
      <c r="J5830" s="427"/>
      <c r="K5830" s="427"/>
      <c r="L5830" s="653"/>
      <c r="M5830" s="666"/>
      <c r="N5830" s="600">
        <v>5.0199999999999996</v>
      </c>
      <c r="O5830" s="605">
        <v>4.5407999999999997E-2</v>
      </c>
      <c r="P5830" s="782"/>
      <c r="Q5830" s="764"/>
      <c r="R5830" s="764"/>
      <c r="S5830" s="764"/>
      <c r="T5830" s="764"/>
      <c r="U5830" s="764"/>
      <c r="V5830" s="764"/>
      <c r="W5830" s="764"/>
      <c r="X5830" s="764"/>
      <c r="Y5830" s="768"/>
      <c r="Z5830" s="266"/>
      <c r="AA5830" s="150"/>
      <c r="AB5830" s="150">
        <v>43</v>
      </c>
      <c r="AC5830" s="150">
        <v>6.3E-3</v>
      </c>
      <c r="AD5830" s="150">
        <v>17.2</v>
      </c>
      <c r="AE5830" s="150">
        <v>0.35</v>
      </c>
      <c r="AF5830" s="223"/>
      <c r="AG5830" s="223"/>
      <c r="AH5830" s="346"/>
      <c r="AI5830" s="427"/>
      <c r="AJ5830" s="480"/>
      <c r="AK5830" s="427"/>
      <c r="AU5830" s="218"/>
      <c r="AV5830" s="218"/>
      <c r="AW5830" s="218"/>
      <c r="AX5830" s="218"/>
      <c r="AY5830" s="218"/>
      <c r="BI5830" s="427"/>
      <c r="BJ5830" s="427"/>
      <c r="BK5830" s="427"/>
      <c r="BL5830" s="427"/>
      <c r="BM5830" s="427"/>
      <c r="BN5830" s="427"/>
      <c r="BO5830" s="427"/>
      <c r="BP5830" s="427"/>
      <c r="BQ5830" s="427"/>
      <c r="BR5830" s="427"/>
      <c r="BS5830" s="427"/>
      <c r="BT5830" s="427"/>
      <c r="BU5830" s="427"/>
      <c r="BV5830" s="427"/>
      <c r="BW5830" s="427"/>
      <c r="BX5830" s="427"/>
      <c r="BY5830" s="427"/>
      <c r="BZ5830" s="427"/>
    </row>
    <row r="5831" spans="2:78" s="152" customFormat="1" x14ac:dyDescent="0.2">
      <c r="B5831" s="683"/>
      <c r="C5831" s="683"/>
      <c r="D5831" s="698"/>
      <c r="E5831" s="215"/>
      <c r="F5831" s="215"/>
      <c r="G5831" s="427"/>
      <c r="H5831" s="427"/>
      <c r="I5831" s="427"/>
      <c r="J5831" s="427"/>
      <c r="K5831" s="427"/>
      <c r="L5831" s="653"/>
      <c r="M5831" s="666"/>
      <c r="N5831" s="600">
        <v>5.101</v>
      </c>
      <c r="O5831" s="605">
        <v>6.3640000000000002E-2</v>
      </c>
      <c r="P5831" s="782"/>
      <c r="Q5831" s="764"/>
      <c r="R5831" s="764"/>
      <c r="S5831" s="764"/>
      <c r="T5831" s="764"/>
      <c r="U5831" s="764"/>
      <c r="V5831" s="764"/>
      <c r="W5831" s="764"/>
      <c r="X5831" s="764"/>
      <c r="Y5831" s="768"/>
      <c r="Z5831" s="266"/>
      <c r="AA5831" s="150"/>
      <c r="AB5831" s="150">
        <v>44</v>
      </c>
      <c r="AC5831" s="150">
        <v>6.3E-3</v>
      </c>
      <c r="AD5831" s="150">
        <v>17.2</v>
      </c>
      <c r="AE5831" s="150">
        <v>0.35199999999999998</v>
      </c>
      <c r="AF5831" s="223"/>
      <c r="AG5831" s="223"/>
      <c r="AH5831" s="346"/>
      <c r="AI5831" s="427"/>
      <c r="AJ5831" s="480"/>
      <c r="AK5831" s="427"/>
      <c r="AU5831" s="218"/>
      <c r="AV5831" s="218"/>
      <c r="AW5831" s="218"/>
      <c r="AX5831" s="218"/>
      <c r="AY5831" s="218"/>
      <c r="BI5831" s="427"/>
      <c r="BJ5831" s="427"/>
      <c r="BK5831" s="427"/>
      <c r="BL5831" s="427"/>
      <c r="BM5831" s="427"/>
      <c r="BN5831" s="427"/>
      <c r="BO5831" s="427"/>
      <c r="BP5831" s="427"/>
      <c r="BQ5831" s="427"/>
      <c r="BR5831" s="427"/>
      <c r="BS5831" s="427"/>
      <c r="BT5831" s="427"/>
      <c r="BU5831" s="427"/>
      <c r="BV5831" s="427"/>
      <c r="BW5831" s="427"/>
      <c r="BX5831" s="427"/>
      <c r="BY5831" s="427"/>
      <c r="BZ5831" s="427"/>
    </row>
    <row r="5832" spans="2:78" s="152" customFormat="1" x14ac:dyDescent="0.2">
      <c r="B5832" s="683"/>
      <c r="C5832" s="683"/>
      <c r="D5832" s="698"/>
      <c r="E5832" s="215"/>
      <c r="F5832" s="215"/>
      <c r="G5832" s="427"/>
      <c r="H5832" s="427"/>
      <c r="I5832" s="427"/>
      <c r="J5832" s="427"/>
      <c r="K5832" s="427"/>
      <c r="L5832" s="653"/>
      <c r="M5832" s="666"/>
      <c r="N5832" s="600">
        <v>5.1829999999999998</v>
      </c>
      <c r="O5832" s="605">
        <v>1.2469999999999998E-2</v>
      </c>
      <c r="P5832" s="782"/>
      <c r="Q5832" s="764"/>
      <c r="R5832" s="764"/>
      <c r="S5832" s="764"/>
      <c r="T5832" s="764"/>
      <c r="U5832" s="764"/>
      <c r="V5832" s="764"/>
      <c r="W5832" s="764"/>
      <c r="X5832" s="764"/>
      <c r="Y5832" s="768"/>
      <c r="Z5832" s="266"/>
      <c r="AA5832" s="150"/>
      <c r="AB5832" s="150">
        <v>45</v>
      </c>
      <c r="AC5832" s="150">
        <v>6.3E-3</v>
      </c>
      <c r="AD5832" s="150">
        <v>17.2</v>
      </c>
      <c r="AE5832" s="150">
        <v>0.35499999999999998</v>
      </c>
      <c r="AF5832" s="223"/>
      <c r="AG5832" s="223"/>
      <c r="AH5832" s="346"/>
      <c r="AI5832" s="427"/>
      <c r="AJ5832" s="480"/>
      <c r="AK5832" s="427"/>
      <c r="AU5832" s="218"/>
      <c r="AV5832" s="218"/>
      <c r="AW5832" s="218"/>
      <c r="AX5832" s="218"/>
      <c r="AY5832" s="218"/>
      <c r="BI5832" s="427"/>
      <c r="BJ5832" s="427"/>
      <c r="BK5832" s="427"/>
      <c r="BL5832" s="427"/>
      <c r="BM5832" s="427"/>
      <c r="BN5832" s="427"/>
      <c r="BO5832" s="427"/>
      <c r="BP5832" s="427"/>
      <c r="BQ5832" s="427"/>
      <c r="BR5832" s="427"/>
      <c r="BS5832" s="427"/>
      <c r="BT5832" s="427"/>
      <c r="BU5832" s="427"/>
      <c r="BV5832" s="427"/>
      <c r="BW5832" s="427"/>
      <c r="BX5832" s="427"/>
      <c r="BY5832" s="427"/>
      <c r="BZ5832" s="427"/>
    </row>
    <row r="5833" spans="2:78" s="152" customFormat="1" x14ac:dyDescent="0.2">
      <c r="B5833" s="683"/>
      <c r="C5833" s="683"/>
      <c r="D5833" s="698"/>
      <c r="E5833" s="215"/>
      <c r="F5833" s="215"/>
      <c r="G5833" s="427"/>
      <c r="H5833" s="427"/>
      <c r="I5833" s="427"/>
      <c r="J5833" s="427"/>
      <c r="K5833" s="427"/>
      <c r="L5833" s="653"/>
      <c r="M5833" s="666"/>
      <c r="N5833" s="600">
        <v>5.2640000000000002</v>
      </c>
      <c r="O5833" s="605">
        <v>0.23736000000000002</v>
      </c>
      <c r="P5833" s="782"/>
      <c r="Q5833" s="764"/>
      <c r="R5833" s="764"/>
      <c r="S5833" s="764"/>
      <c r="T5833" s="764"/>
      <c r="U5833" s="764"/>
      <c r="V5833" s="764"/>
      <c r="W5833" s="764"/>
      <c r="X5833" s="764"/>
      <c r="Y5833" s="768"/>
      <c r="Z5833" s="266"/>
      <c r="AA5833" s="150"/>
      <c r="AB5833" s="150">
        <v>46</v>
      </c>
      <c r="AC5833" s="150">
        <v>6.3E-3</v>
      </c>
      <c r="AD5833" s="150">
        <v>17.2</v>
      </c>
      <c r="AE5833" s="150">
        <v>0.35699999999999998</v>
      </c>
      <c r="AF5833" s="223"/>
      <c r="AG5833" s="223"/>
      <c r="AH5833" s="346"/>
      <c r="AI5833" s="427"/>
      <c r="AJ5833" s="480"/>
      <c r="AK5833" s="427"/>
      <c r="AU5833" s="218"/>
      <c r="AV5833" s="218"/>
      <c r="AW5833" s="218"/>
      <c r="AX5833" s="218"/>
      <c r="AY5833" s="218"/>
      <c r="BI5833" s="427"/>
      <c r="BJ5833" s="427"/>
      <c r="BK5833" s="427"/>
      <c r="BL5833" s="427"/>
      <c r="BM5833" s="427"/>
      <c r="BN5833" s="427"/>
      <c r="BO5833" s="427"/>
      <c r="BP5833" s="427"/>
      <c r="BQ5833" s="427"/>
      <c r="BR5833" s="427"/>
      <c r="BS5833" s="427"/>
      <c r="BT5833" s="427"/>
      <c r="BU5833" s="427"/>
      <c r="BV5833" s="427"/>
      <c r="BW5833" s="427"/>
      <c r="BX5833" s="427"/>
      <c r="BY5833" s="427"/>
      <c r="BZ5833" s="427"/>
    </row>
    <row r="5834" spans="2:78" s="152" customFormat="1" x14ac:dyDescent="0.2">
      <c r="B5834" s="683"/>
      <c r="C5834" s="683"/>
      <c r="D5834" s="698"/>
      <c r="E5834" s="215"/>
      <c r="F5834" s="215"/>
      <c r="G5834" s="427"/>
      <c r="H5834" s="427"/>
      <c r="I5834" s="427"/>
      <c r="J5834" s="427"/>
      <c r="K5834" s="427"/>
      <c r="L5834" s="653"/>
      <c r="M5834" s="666"/>
      <c r="N5834" s="600">
        <v>5.5119999999999996</v>
      </c>
      <c r="O5834" s="605">
        <v>5.2976000000000002E-2</v>
      </c>
      <c r="P5834" s="782"/>
      <c r="Q5834" s="764"/>
      <c r="R5834" s="764"/>
      <c r="S5834" s="764"/>
      <c r="T5834" s="764"/>
      <c r="U5834" s="764"/>
      <c r="V5834" s="764"/>
      <c r="W5834" s="764"/>
      <c r="X5834" s="764"/>
      <c r="Y5834" s="768"/>
      <c r="Z5834" s="266"/>
      <c r="AA5834" s="150"/>
      <c r="AB5834" s="150">
        <v>47</v>
      </c>
      <c r="AC5834" s="150">
        <v>6.3E-3</v>
      </c>
      <c r="AD5834" s="150">
        <v>17.2</v>
      </c>
      <c r="AE5834" s="150">
        <v>0.36499999999999999</v>
      </c>
      <c r="AF5834" s="223"/>
      <c r="AG5834" s="223"/>
      <c r="AH5834" s="346"/>
      <c r="AI5834" s="427"/>
      <c r="AJ5834" s="480"/>
      <c r="AK5834" s="427"/>
      <c r="AU5834" s="218"/>
      <c r="AV5834" s="218"/>
      <c r="AW5834" s="218"/>
      <c r="AX5834" s="218"/>
      <c r="AY5834" s="218"/>
      <c r="BI5834" s="427"/>
      <c r="BJ5834" s="427"/>
      <c r="BK5834" s="427"/>
      <c r="BL5834" s="427"/>
      <c r="BM5834" s="427"/>
      <c r="BN5834" s="427"/>
      <c r="BO5834" s="427"/>
      <c r="BP5834" s="427"/>
      <c r="BQ5834" s="427"/>
      <c r="BR5834" s="427"/>
      <c r="BS5834" s="427"/>
      <c r="BT5834" s="427"/>
      <c r="BU5834" s="427"/>
      <c r="BV5834" s="427"/>
      <c r="BW5834" s="427"/>
      <c r="BX5834" s="427"/>
      <c r="BY5834" s="427"/>
      <c r="BZ5834" s="427"/>
    </row>
    <row r="5835" spans="2:78" s="152" customFormat="1" x14ac:dyDescent="0.2">
      <c r="B5835" s="683"/>
      <c r="C5835" s="683"/>
      <c r="D5835" s="698"/>
      <c r="E5835" s="215"/>
      <c r="F5835" s="215"/>
      <c r="G5835" s="427"/>
      <c r="H5835" s="427"/>
      <c r="I5835" s="427"/>
      <c r="J5835" s="427"/>
      <c r="K5835" s="427"/>
      <c r="L5835" s="653"/>
      <c r="M5835" s="666"/>
      <c r="N5835" s="600">
        <v>5.593</v>
      </c>
      <c r="O5835" s="605">
        <v>0.14155600000000002</v>
      </c>
      <c r="P5835" s="782"/>
      <c r="Q5835" s="764"/>
      <c r="R5835" s="764"/>
      <c r="S5835" s="764"/>
      <c r="T5835" s="764"/>
      <c r="U5835" s="764"/>
      <c r="V5835" s="764"/>
      <c r="W5835" s="764"/>
      <c r="X5835" s="764"/>
      <c r="Y5835" s="768"/>
      <c r="Z5835" s="266"/>
      <c r="AA5835" s="150"/>
      <c r="AB5835" s="150">
        <v>48</v>
      </c>
      <c r="AC5835" s="150">
        <v>6.3E-3</v>
      </c>
      <c r="AD5835" s="150">
        <v>17.2</v>
      </c>
      <c r="AE5835" s="150">
        <v>0.36699999999999999</v>
      </c>
      <c r="AF5835" s="223"/>
      <c r="AG5835" s="223"/>
      <c r="AH5835" s="346"/>
      <c r="AI5835" s="427"/>
      <c r="AJ5835" s="480"/>
      <c r="AK5835" s="427"/>
      <c r="AU5835" s="218"/>
      <c r="AV5835" s="218"/>
      <c r="AW5835" s="218"/>
      <c r="AX5835" s="218"/>
      <c r="AY5835" s="218"/>
      <c r="BI5835" s="427"/>
      <c r="BJ5835" s="427"/>
      <c r="BK5835" s="427"/>
      <c r="BL5835" s="427"/>
      <c r="BM5835" s="427"/>
      <c r="BN5835" s="427"/>
      <c r="BO5835" s="427"/>
      <c r="BP5835" s="427"/>
      <c r="BQ5835" s="427"/>
      <c r="BR5835" s="427"/>
      <c r="BS5835" s="427"/>
      <c r="BT5835" s="427"/>
      <c r="BU5835" s="427"/>
      <c r="BV5835" s="427"/>
      <c r="BW5835" s="427"/>
      <c r="BX5835" s="427"/>
      <c r="BY5835" s="427"/>
      <c r="BZ5835" s="427"/>
    </row>
    <row r="5836" spans="2:78" s="152" customFormat="1" x14ac:dyDescent="0.2">
      <c r="B5836" s="683"/>
      <c r="C5836" s="683"/>
      <c r="D5836" s="698"/>
      <c r="E5836" s="215"/>
      <c r="F5836" s="215"/>
      <c r="G5836" s="427"/>
      <c r="H5836" s="427"/>
      <c r="I5836" s="427"/>
      <c r="J5836" s="427"/>
      <c r="K5836" s="427"/>
      <c r="L5836" s="653"/>
      <c r="M5836" s="666"/>
      <c r="N5836" s="600">
        <v>5.6779999999999999</v>
      </c>
      <c r="O5836" s="605">
        <v>9.9416000000000004E-2</v>
      </c>
      <c r="P5836" s="782"/>
      <c r="Q5836" s="764"/>
      <c r="R5836" s="764"/>
      <c r="S5836" s="764"/>
      <c r="T5836" s="764"/>
      <c r="U5836" s="764"/>
      <c r="V5836" s="764"/>
      <c r="W5836" s="764"/>
      <c r="X5836" s="764"/>
      <c r="Y5836" s="768"/>
      <c r="Z5836" s="266"/>
      <c r="AA5836" s="150"/>
      <c r="AB5836" s="150">
        <v>49</v>
      </c>
      <c r="AC5836" s="150">
        <v>6.3E-3</v>
      </c>
      <c r="AD5836" s="150">
        <v>17.2</v>
      </c>
      <c r="AE5836" s="150">
        <v>0.37</v>
      </c>
      <c r="AF5836" s="223"/>
      <c r="AG5836" s="223"/>
      <c r="AH5836" s="346"/>
      <c r="AI5836" s="427"/>
      <c r="AJ5836" s="480"/>
      <c r="AK5836" s="427"/>
      <c r="AU5836" s="218"/>
      <c r="AV5836" s="218"/>
      <c r="AW5836" s="218"/>
      <c r="AX5836" s="218"/>
      <c r="AY5836" s="218"/>
      <c r="BI5836" s="427"/>
      <c r="BJ5836" s="427"/>
      <c r="BK5836" s="427"/>
      <c r="BL5836" s="427"/>
      <c r="BM5836" s="427"/>
      <c r="BN5836" s="427"/>
      <c r="BO5836" s="427"/>
      <c r="BP5836" s="427"/>
      <c r="BQ5836" s="427"/>
      <c r="BR5836" s="427"/>
      <c r="BS5836" s="427"/>
      <c r="BT5836" s="427"/>
      <c r="BU5836" s="427"/>
      <c r="BV5836" s="427"/>
      <c r="BW5836" s="427"/>
      <c r="BX5836" s="427"/>
      <c r="BY5836" s="427"/>
      <c r="BZ5836" s="427"/>
    </row>
    <row r="5837" spans="2:78" s="152" customFormat="1" x14ac:dyDescent="0.2">
      <c r="B5837" s="683"/>
      <c r="C5837" s="683"/>
      <c r="D5837" s="698"/>
      <c r="E5837" s="215"/>
      <c r="F5837" s="215"/>
      <c r="G5837" s="427"/>
      <c r="H5837" s="427"/>
      <c r="I5837" s="427"/>
      <c r="J5837" s="427"/>
      <c r="K5837" s="427"/>
      <c r="L5837" s="653"/>
      <c r="M5837" s="666"/>
      <c r="N5837" s="600">
        <v>5.7610000000000001</v>
      </c>
      <c r="O5837" s="605">
        <v>6.3467999999999997E-2</v>
      </c>
      <c r="P5837" s="782"/>
      <c r="Q5837" s="764"/>
      <c r="R5837" s="764"/>
      <c r="S5837" s="764"/>
      <c r="T5837" s="764"/>
      <c r="U5837" s="764"/>
      <c r="V5837" s="764"/>
      <c r="W5837" s="764"/>
      <c r="X5837" s="764"/>
      <c r="Y5837" s="768"/>
      <c r="Z5837" s="266"/>
      <c r="AA5837" s="150"/>
      <c r="AB5837" s="150">
        <v>50</v>
      </c>
      <c r="AC5837" s="150">
        <v>6.3E-3</v>
      </c>
      <c r="AD5837" s="150">
        <v>17.2</v>
      </c>
      <c r="AE5837" s="150">
        <v>0.372</v>
      </c>
      <c r="AF5837" s="223"/>
      <c r="AG5837" s="223"/>
      <c r="AH5837" s="346"/>
      <c r="AI5837" s="427"/>
      <c r="AJ5837" s="480"/>
      <c r="AK5837" s="427"/>
      <c r="AU5837" s="218"/>
      <c r="AV5837" s="218"/>
      <c r="AW5837" s="218"/>
      <c r="AX5837" s="218"/>
      <c r="AY5837" s="218"/>
      <c r="BI5837" s="427"/>
      <c r="BJ5837" s="427"/>
      <c r="BK5837" s="427"/>
      <c r="BL5837" s="427"/>
      <c r="BM5837" s="427"/>
      <c r="BN5837" s="427"/>
      <c r="BO5837" s="427"/>
      <c r="BP5837" s="427"/>
      <c r="BQ5837" s="427"/>
      <c r="BR5837" s="427"/>
      <c r="BS5837" s="427"/>
      <c r="BT5837" s="427"/>
      <c r="BU5837" s="427"/>
      <c r="BV5837" s="427"/>
      <c r="BW5837" s="427"/>
      <c r="BX5837" s="427"/>
      <c r="BY5837" s="427"/>
      <c r="BZ5837" s="427"/>
    </row>
    <row r="5838" spans="2:78" s="152" customFormat="1" x14ac:dyDescent="0.2">
      <c r="B5838" s="683"/>
      <c r="C5838" s="683"/>
      <c r="D5838" s="698"/>
      <c r="E5838" s="215"/>
      <c r="F5838" s="215"/>
      <c r="G5838" s="427"/>
      <c r="H5838" s="427"/>
      <c r="I5838" s="427"/>
      <c r="J5838" s="427"/>
      <c r="K5838" s="427"/>
      <c r="L5838" s="653"/>
      <c r="M5838" s="666"/>
      <c r="N5838" s="600">
        <v>5.8460000000000001</v>
      </c>
      <c r="O5838" s="605">
        <v>3.7151999999999998E-2</v>
      </c>
      <c r="P5838" s="782"/>
      <c r="Q5838" s="764"/>
      <c r="R5838" s="764"/>
      <c r="S5838" s="764"/>
      <c r="T5838" s="764"/>
      <c r="U5838" s="764"/>
      <c r="V5838" s="764"/>
      <c r="W5838" s="764"/>
      <c r="X5838" s="764"/>
      <c r="Y5838" s="768"/>
      <c r="Z5838" s="266"/>
      <c r="AA5838" s="150"/>
      <c r="AB5838" s="150">
        <v>51</v>
      </c>
      <c r="AC5838" s="150">
        <v>6.3E-3</v>
      </c>
      <c r="AD5838" s="150">
        <v>17.2</v>
      </c>
      <c r="AE5838" s="150">
        <v>0.375</v>
      </c>
      <c r="AF5838" s="223"/>
      <c r="AG5838" s="223"/>
      <c r="AH5838" s="346"/>
      <c r="AI5838" s="427"/>
      <c r="AJ5838" s="480"/>
      <c r="AK5838" s="427"/>
      <c r="AU5838" s="218"/>
      <c r="AV5838" s="218"/>
      <c r="AW5838" s="218"/>
      <c r="AX5838" s="218"/>
      <c r="AY5838" s="218"/>
      <c r="BI5838" s="427"/>
      <c r="BJ5838" s="427"/>
      <c r="BK5838" s="427"/>
      <c r="BL5838" s="427"/>
      <c r="BM5838" s="427"/>
      <c r="BN5838" s="427"/>
      <c r="BO5838" s="427"/>
      <c r="BP5838" s="427"/>
      <c r="BQ5838" s="427"/>
      <c r="BR5838" s="427"/>
      <c r="BS5838" s="427"/>
      <c r="BT5838" s="427"/>
      <c r="BU5838" s="427"/>
      <c r="BV5838" s="427"/>
      <c r="BW5838" s="427"/>
      <c r="BX5838" s="427"/>
      <c r="BY5838" s="427"/>
      <c r="BZ5838" s="427"/>
    </row>
    <row r="5839" spans="2:78" s="152" customFormat="1" x14ac:dyDescent="0.2">
      <c r="B5839" s="683"/>
      <c r="C5839" s="683"/>
      <c r="D5839" s="698"/>
      <c r="E5839" s="215"/>
      <c r="F5839" s="215"/>
      <c r="G5839" s="427"/>
      <c r="H5839" s="427"/>
      <c r="I5839" s="427"/>
      <c r="J5839" s="427"/>
      <c r="K5839" s="427"/>
      <c r="L5839" s="653"/>
      <c r="M5839" s="666"/>
      <c r="N5839" s="600">
        <v>5.8460000000000001</v>
      </c>
      <c r="O5839" s="605">
        <v>8.5828000000000002E-2</v>
      </c>
      <c r="P5839" s="782"/>
      <c r="Q5839" s="764"/>
      <c r="R5839" s="764"/>
      <c r="S5839" s="764"/>
      <c r="T5839" s="764"/>
      <c r="U5839" s="764"/>
      <c r="V5839" s="764"/>
      <c r="W5839" s="764"/>
      <c r="X5839" s="764"/>
      <c r="Y5839" s="768"/>
      <c r="Z5839" s="266"/>
      <c r="AA5839" s="150"/>
      <c r="AB5839" s="150">
        <v>52</v>
      </c>
      <c r="AC5839" s="150">
        <v>6.3E-3</v>
      </c>
      <c r="AD5839" s="150">
        <v>17.2</v>
      </c>
      <c r="AE5839" s="150">
        <v>0.375</v>
      </c>
      <c r="AF5839" s="223"/>
      <c r="AG5839" s="223"/>
      <c r="AH5839" s="346"/>
      <c r="AI5839" s="427"/>
      <c r="AJ5839" s="480"/>
      <c r="AK5839" s="427"/>
      <c r="AU5839" s="218"/>
      <c r="AV5839" s="218"/>
      <c r="AW5839" s="218"/>
      <c r="AX5839" s="218"/>
      <c r="AY5839" s="218"/>
      <c r="BI5839" s="427"/>
      <c r="BJ5839" s="427"/>
      <c r="BK5839" s="427"/>
      <c r="BL5839" s="427"/>
      <c r="BM5839" s="427"/>
      <c r="BN5839" s="427"/>
      <c r="BO5839" s="427"/>
      <c r="BP5839" s="427"/>
      <c r="BQ5839" s="427"/>
      <c r="BR5839" s="427"/>
      <c r="BS5839" s="427"/>
      <c r="BT5839" s="427"/>
      <c r="BU5839" s="427"/>
      <c r="BV5839" s="427"/>
      <c r="BW5839" s="427"/>
      <c r="BX5839" s="427"/>
      <c r="BY5839" s="427"/>
      <c r="BZ5839" s="427"/>
    </row>
    <row r="5840" spans="2:78" s="152" customFormat="1" x14ac:dyDescent="0.2">
      <c r="B5840" s="683"/>
      <c r="C5840" s="683"/>
      <c r="D5840" s="698"/>
      <c r="E5840" s="215"/>
      <c r="F5840" s="215"/>
      <c r="G5840" s="427"/>
      <c r="H5840" s="427"/>
      <c r="I5840" s="427"/>
      <c r="J5840" s="427"/>
      <c r="K5840" s="427"/>
      <c r="L5840" s="653"/>
      <c r="M5840" s="666"/>
      <c r="N5840" s="600">
        <v>6.0179999999999998</v>
      </c>
      <c r="O5840" s="605">
        <v>0.93567999999999996</v>
      </c>
      <c r="P5840" s="782"/>
      <c r="Q5840" s="764"/>
      <c r="R5840" s="764"/>
      <c r="S5840" s="764"/>
      <c r="T5840" s="764"/>
      <c r="U5840" s="764"/>
      <c r="V5840" s="764"/>
      <c r="W5840" s="764"/>
      <c r="X5840" s="764"/>
      <c r="Y5840" s="768"/>
      <c r="Z5840" s="266"/>
      <c r="AA5840" s="150"/>
      <c r="AB5840" s="150">
        <v>53</v>
      </c>
      <c r="AC5840" s="150">
        <v>6.3E-3</v>
      </c>
      <c r="AD5840" s="150">
        <v>17.2</v>
      </c>
      <c r="AE5840" s="150">
        <v>0.38</v>
      </c>
      <c r="AF5840" s="223"/>
      <c r="AG5840" s="223"/>
      <c r="AH5840" s="346"/>
      <c r="AI5840" s="427"/>
      <c r="AJ5840" s="480"/>
      <c r="AK5840" s="427"/>
      <c r="AU5840" s="218"/>
      <c r="AV5840" s="218"/>
      <c r="AW5840" s="218"/>
      <c r="AX5840" s="218"/>
      <c r="AY5840" s="218"/>
      <c r="BI5840" s="427"/>
      <c r="BJ5840" s="427"/>
      <c r="BK5840" s="427"/>
      <c r="BL5840" s="427"/>
      <c r="BM5840" s="427"/>
      <c r="BN5840" s="427"/>
      <c r="BO5840" s="427"/>
      <c r="BP5840" s="427"/>
      <c r="BQ5840" s="427"/>
      <c r="BR5840" s="427"/>
      <c r="BS5840" s="427"/>
      <c r="BT5840" s="427"/>
      <c r="BU5840" s="427"/>
      <c r="BV5840" s="427"/>
      <c r="BW5840" s="427"/>
      <c r="BX5840" s="427"/>
      <c r="BY5840" s="427"/>
      <c r="BZ5840" s="427"/>
    </row>
    <row r="5841" spans="2:78" s="152" customFormat="1" x14ac:dyDescent="0.2">
      <c r="B5841" s="683"/>
      <c r="C5841" s="683"/>
      <c r="D5841" s="698"/>
      <c r="E5841" s="215"/>
      <c r="F5841" s="215"/>
      <c r="G5841" s="427"/>
      <c r="H5841" s="427"/>
      <c r="I5841" s="427"/>
      <c r="J5841" s="427"/>
      <c r="K5841" s="427"/>
      <c r="L5841" s="653"/>
      <c r="M5841" s="666"/>
      <c r="N5841" s="600">
        <v>6.1050000000000004</v>
      </c>
      <c r="O5841" s="605">
        <v>6.5703999999999999E-2</v>
      </c>
      <c r="P5841" s="782"/>
      <c r="Q5841" s="764"/>
      <c r="R5841" s="764"/>
      <c r="S5841" s="764"/>
      <c r="T5841" s="764"/>
      <c r="U5841" s="764"/>
      <c r="V5841" s="764"/>
      <c r="W5841" s="764"/>
      <c r="X5841" s="764"/>
      <c r="Y5841" s="768"/>
      <c r="Z5841" s="266"/>
      <c r="AA5841" s="150"/>
      <c r="AB5841" s="150">
        <v>54</v>
      </c>
      <c r="AC5841" s="150">
        <v>6.3E-3</v>
      </c>
      <c r="AD5841" s="150">
        <v>17.2</v>
      </c>
      <c r="AE5841" s="150">
        <v>0.38200000000000001</v>
      </c>
      <c r="AF5841" s="223"/>
      <c r="AG5841" s="223"/>
      <c r="AH5841" s="346"/>
      <c r="AI5841" s="427"/>
      <c r="AJ5841" s="480"/>
      <c r="AK5841" s="427"/>
      <c r="AU5841" s="218"/>
      <c r="AV5841" s="218"/>
      <c r="AW5841" s="218"/>
      <c r="AX5841" s="218"/>
      <c r="AY5841" s="218"/>
      <c r="BI5841" s="427"/>
      <c r="BJ5841" s="427"/>
      <c r="BK5841" s="427"/>
      <c r="BL5841" s="427"/>
      <c r="BM5841" s="427"/>
      <c r="BN5841" s="427"/>
      <c r="BO5841" s="427"/>
      <c r="BP5841" s="427"/>
      <c r="BQ5841" s="427"/>
      <c r="BR5841" s="427"/>
      <c r="BS5841" s="427"/>
      <c r="BT5841" s="427"/>
      <c r="BU5841" s="427"/>
      <c r="BV5841" s="427"/>
      <c r="BW5841" s="427"/>
      <c r="BX5841" s="427"/>
      <c r="BY5841" s="427"/>
      <c r="BZ5841" s="427"/>
    </row>
    <row r="5842" spans="2:78" s="152" customFormat="1" x14ac:dyDescent="0.2">
      <c r="B5842" s="683"/>
      <c r="C5842" s="683"/>
      <c r="D5842" s="698"/>
      <c r="E5842" s="215"/>
      <c r="F5842" s="215"/>
      <c r="G5842" s="427"/>
      <c r="H5842" s="427"/>
      <c r="I5842" s="427"/>
      <c r="J5842" s="427"/>
      <c r="K5842" s="427"/>
      <c r="L5842" s="653"/>
      <c r="M5842" s="666"/>
      <c r="N5842" s="600">
        <v>6.1050000000000004</v>
      </c>
      <c r="O5842" s="605">
        <v>0.41107999999999995</v>
      </c>
      <c r="P5842" s="782"/>
      <c r="Q5842" s="764"/>
      <c r="R5842" s="764"/>
      <c r="S5842" s="764"/>
      <c r="T5842" s="764"/>
      <c r="U5842" s="764"/>
      <c r="V5842" s="764"/>
      <c r="W5842" s="764"/>
      <c r="X5842" s="764"/>
      <c r="Y5842" s="768"/>
      <c r="Z5842" s="266"/>
      <c r="AA5842" s="150"/>
      <c r="AB5842" s="150">
        <v>55</v>
      </c>
      <c r="AC5842" s="150">
        <v>6.3E-3</v>
      </c>
      <c r="AD5842" s="150">
        <v>17.2</v>
      </c>
      <c r="AE5842" s="150">
        <v>0.38200000000000001</v>
      </c>
      <c r="AF5842" s="223"/>
      <c r="AG5842" s="223"/>
      <c r="AH5842" s="346"/>
      <c r="AI5842" s="427"/>
      <c r="AJ5842" s="480"/>
      <c r="AK5842" s="427"/>
      <c r="AU5842" s="218"/>
      <c r="AV5842" s="218"/>
      <c r="AW5842" s="218"/>
      <c r="AX5842" s="218"/>
      <c r="AY5842" s="218"/>
      <c r="BI5842" s="427"/>
      <c r="BJ5842" s="427"/>
      <c r="BK5842" s="427"/>
      <c r="BL5842" s="427"/>
      <c r="BM5842" s="427"/>
      <c r="BN5842" s="427"/>
      <c r="BO5842" s="427"/>
      <c r="BP5842" s="427"/>
      <c r="BQ5842" s="427"/>
      <c r="BR5842" s="427"/>
      <c r="BS5842" s="427"/>
      <c r="BT5842" s="427"/>
      <c r="BU5842" s="427"/>
      <c r="BV5842" s="427"/>
      <c r="BW5842" s="427"/>
      <c r="BX5842" s="427"/>
      <c r="BY5842" s="427"/>
      <c r="BZ5842" s="427"/>
    </row>
    <row r="5843" spans="2:78" s="152" customFormat="1" x14ac:dyDescent="0.2">
      <c r="B5843" s="683"/>
      <c r="C5843" s="683"/>
      <c r="D5843" s="698"/>
      <c r="E5843" s="215"/>
      <c r="F5843" s="215"/>
      <c r="G5843" s="427"/>
      <c r="H5843" s="427"/>
      <c r="I5843" s="427"/>
      <c r="J5843" s="427"/>
      <c r="K5843" s="427"/>
      <c r="L5843" s="653"/>
      <c r="M5843" s="666"/>
      <c r="N5843" s="600">
        <v>6.1909999999999998</v>
      </c>
      <c r="O5843" s="605">
        <v>7.2240000000000013E-2</v>
      </c>
      <c r="P5843" s="782"/>
      <c r="Q5843" s="764"/>
      <c r="R5843" s="764"/>
      <c r="S5843" s="764"/>
      <c r="T5843" s="764"/>
      <c r="U5843" s="764"/>
      <c r="V5843" s="764"/>
      <c r="W5843" s="764"/>
      <c r="X5843" s="764"/>
      <c r="Y5843" s="768"/>
      <c r="Z5843" s="266"/>
      <c r="AA5843" s="150"/>
      <c r="AB5843" s="150">
        <v>56</v>
      </c>
      <c r="AC5843" s="150">
        <v>6.3E-3</v>
      </c>
      <c r="AD5843" s="150">
        <v>17.2</v>
      </c>
      <c r="AE5843" s="150">
        <v>0.38500000000000001</v>
      </c>
      <c r="AF5843" s="223"/>
      <c r="AG5843" s="223"/>
      <c r="AH5843" s="346"/>
      <c r="AI5843" s="427"/>
      <c r="AJ5843" s="480"/>
      <c r="AK5843" s="427"/>
      <c r="AU5843" s="218"/>
      <c r="AV5843" s="218"/>
      <c r="AW5843" s="218"/>
      <c r="AX5843" s="218"/>
      <c r="AY5843" s="218"/>
      <c r="BI5843" s="427"/>
      <c r="BJ5843" s="427"/>
      <c r="BK5843" s="427"/>
      <c r="BL5843" s="427"/>
      <c r="BM5843" s="427"/>
      <c r="BN5843" s="427"/>
      <c r="BO5843" s="427"/>
      <c r="BP5843" s="427"/>
      <c r="BQ5843" s="427"/>
      <c r="BR5843" s="427"/>
      <c r="BS5843" s="427"/>
      <c r="BT5843" s="427"/>
      <c r="BU5843" s="427"/>
      <c r="BV5843" s="427"/>
      <c r="BW5843" s="427"/>
      <c r="BX5843" s="427"/>
      <c r="BY5843" s="427"/>
      <c r="BZ5843" s="427"/>
    </row>
    <row r="5844" spans="2:78" s="152" customFormat="1" x14ac:dyDescent="0.2">
      <c r="B5844" s="683"/>
      <c r="C5844" s="683"/>
      <c r="D5844" s="698"/>
      <c r="E5844" s="215"/>
      <c r="F5844" s="215"/>
      <c r="G5844" s="427"/>
      <c r="H5844" s="427"/>
      <c r="I5844" s="427"/>
      <c r="J5844" s="427"/>
      <c r="K5844" s="427"/>
      <c r="L5844" s="653"/>
      <c r="M5844" s="666"/>
      <c r="N5844" s="600">
        <v>6.28</v>
      </c>
      <c r="O5844" s="605">
        <v>0.14740399999999998</v>
      </c>
      <c r="P5844" s="782"/>
      <c r="Q5844" s="764"/>
      <c r="R5844" s="764"/>
      <c r="S5844" s="764"/>
      <c r="T5844" s="764"/>
      <c r="U5844" s="764"/>
      <c r="V5844" s="764"/>
      <c r="W5844" s="764"/>
      <c r="X5844" s="764"/>
      <c r="Y5844" s="768"/>
      <c r="Z5844" s="266"/>
      <c r="AA5844" s="150"/>
      <c r="AB5844" s="150">
        <v>57</v>
      </c>
      <c r="AC5844" s="150">
        <v>6.3E-3</v>
      </c>
      <c r="AD5844" s="150">
        <v>17.2</v>
      </c>
      <c r="AE5844" s="150">
        <v>0.38700000000000001</v>
      </c>
      <c r="AF5844" s="223"/>
      <c r="AG5844" s="223"/>
      <c r="AH5844" s="346"/>
      <c r="AI5844" s="427"/>
      <c r="AJ5844" s="480"/>
      <c r="AK5844" s="427"/>
      <c r="AU5844" s="218"/>
      <c r="AV5844" s="218"/>
      <c r="AW5844" s="218"/>
      <c r="AX5844" s="218"/>
      <c r="AY5844" s="218"/>
      <c r="BI5844" s="427"/>
      <c r="BJ5844" s="427"/>
      <c r="BK5844" s="427"/>
      <c r="BL5844" s="427"/>
      <c r="BM5844" s="427"/>
      <c r="BN5844" s="427"/>
      <c r="BO5844" s="427"/>
      <c r="BP5844" s="427"/>
      <c r="BQ5844" s="427"/>
      <c r="BR5844" s="427"/>
      <c r="BS5844" s="427"/>
      <c r="BT5844" s="427"/>
      <c r="BU5844" s="427"/>
      <c r="BV5844" s="427"/>
      <c r="BW5844" s="427"/>
      <c r="BX5844" s="427"/>
      <c r="BY5844" s="427"/>
      <c r="BZ5844" s="427"/>
    </row>
    <row r="5845" spans="2:78" s="152" customFormat="1" x14ac:dyDescent="0.2">
      <c r="B5845" s="683"/>
      <c r="C5845" s="683"/>
      <c r="D5845" s="698"/>
      <c r="E5845" s="215"/>
      <c r="F5845" s="215"/>
      <c r="G5845" s="427"/>
      <c r="H5845" s="427"/>
      <c r="I5845" s="427"/>
      <c r="J5845" s="427"/>
      <c r="K5845" s="427"/>
      <c r="L5845" s="653"/>
      <c r="M5845" s="666"/>
      <c r="N5845" s="600">
        <v>6.28</v>
      </c>
      <c r="O5845" s="605">
        <v>0.11042400000000001</v>
      </c>
      <c r="P5845" s="782"/>
      <c r="Q5845" s="764"/>
      <c r="R5845" s="764"/>
      <c r="S5845" s="764"/>
      <c r="T5845" s="764"/>
      <c r="U5845" s="764"/>
      <c r="V5845" s="764"/>
      <c r="W5845" s="764"/>
      <c r="X5845" s="764"/>
      <c r="Y5845" s="768"/>
      <c r="Z5845" s="266"/>
      <c r="AA5845" s="150"/>
      <c r="AB5845" s="150">
        <v>58</v>
      </c>
      <c r="AC5845" s="150">
        <v>6.3E-3</v>
      </c>
      <c r="AD5845" s="150">
        <v>17.2</v>
      </c>
      <c r="AE5845" s="150">
        <v>0.38700000000000001</v>
      </c>
      <c r="AF5845" s="223"/>
      <c r="AG5845" s="223"/>
      <c r="AH5845" s="346"/>
      <c r="AI5845" s="427"/>
      <c r="AJ5845" s="480"/>
      <c r="AK5845" s="427"/>
      <c r="AU5845" s="218"/>
      <c r="AV5845" s="218"/>
      <c r="AW5845" s="218"/>
      <c r="AX5845" s="218"/>
      <c r="AY5845" s="218"/>
      <c r="BI5845" s="427"/>
      <c r="BJ5845" s="427"/>
      <c r="BK5845" s="427"/>
      <c r="BL5845" s="427"/>
      <c r="BM5845" s="427"/>
      <c r="BN5845" s="427"/>
      <c r="BO5845" s="427"/>
      <c r="BP5845" s="427"/>
      <c r="BQ5845" s="427"/>
      <c r="BR5845" s="427"/>
      <c r="BS5845" s="427"/>
      <c r="BT5845" s="427"/>
      <c r="BU5845" s="427"/>
      <c r="BV5845" s="427"/>
      <c r="BW5845" s="427"/>
      <c r="BX5845" s="427"/>
      <c r="BY5845" s="427"/>
      <c r="BZ5845" s="427"/>
    </row>
    <row r="5846" spans="2:78" s="152" customFormat="1" x14ac:dyDescent="0.2">
      <c r="B5846" s="683"/>
      <c r="C5846" s="683"/>
      <c r="D5846" s="698"/>
      <c r="E5846" s="215"/>
      <c r="F5846" s="215"/>
      <c r="G5846" s="427"/>
      <c r="H5846" s="427"/>
      <c r="I5846" s="427"/>
      <c r="J5846" s="427"/>
      <c r="K5846" s="427"/>
      <c r="L5846" s="653"/>
      <c r="M5846" s="666"/>
      <c r="N5846" s="600">
        <v>6.367</v>
      </c>
      <c r="O5846" s="605">
        <v>4.6955999999999998E-2</v>
      </c>
      <c r="P5846" s="782"/>
      <c r="Q5846" s="764"/>
      <c r="R5846" s="764"/>
      <c r="S5846" s="764"/>
      <c r="T5846" s="764"/>
      <c r="U5846" s="764"/>
      <c r="V5846" s="764"/>
      <c r="W5846" s="764"/>
      <c r="X5846" s="764"/>
      <c r="Y5846" s="768"/>
      <c r="Z5846" s="266"/>
      <c r="AA5846" s="150"/>
      <c r="AB5846" s="150">
        <v>59</v>
      </c>
      <c r="AC5846" s="150">
        <v>6.3E-3</v>
      </c>
      <c r="AD5846" s="150">
        <v>17.2</v>
      </c>
      <c r="AE5846" s="150">
        <v>0.39</v>
      </c>
      <c r="AF5846" s="223"/>
      <c r="AG5846" s="223"/>
      <c r="AH5846" s="346"/>
      <c r="AI5846" s="427"/>
      <c r="AJ5846" s="480"/>
      <c r="AK5846" s="427"/>
      <c r="AU5846" s="218"/>
      <c r="AV5846" s="218"/>
      <c r="AW5846" s="218"/>
      <c r="AX5846" s="218"/>
      <c r="AY5846" s="218"/>
      <c r="BI5846" s="427"/>
      <c r="BJ5846" s="427"/>
      <c r="BK5846" s="427"/>
      <c r="BL5846" s="427"/>
      <c r="BM5846" s="427"/>
      <c r="BN5846" s="427"/>
      <c r="BO5846" s="427"/>
      <c r="BP5846" s="427"/>
      <c r="BQ5846" s="427"/>
      <c r="BR5846" s="427"/>
      <c r="BS5846" s="427"/>
      <c r="BT5846" s="427"/>
      <c r="BU5846" s="427"/>
      <c r="BV5846" s="427"/>
      <c r="BW5846" s="427"/>
      <c r="BX5846" s="427"/>
      <c r="BY5846" s="427"/>
      <c r="BZ5846" s="427"/>
    </row>
    <row r="5847" spans="2:78" s="152" customFormat="1" x14ac:dyDescent="0.2">
      <c r="B5847" s="683"/>
      <c r="C5847" s="683"/>
      <c r="D5847" s="698"/>
      <c r="E5847" s="215"/>
      <c r="F5847" s="215"/>
      <c r="G5847" s="427"/>
      <c r="H5847" s="427"/>
      <c r="I5847" s="427"/>
      <c r="J5847" s="427"/>
      <c r="K5847" s="427"/>
      <c r="L5847" s="653"/>
      <c r="M5847" s="666"/>
      <c r="N5847" s="600">
        <v>6.367</v>
      </c>
      <c r="O5847" s="605">
        <v>6.0544000000000001E-2</v>
      </c>
      <c r="P5847" s="782"/>
      <c r="Q5847" s="764"/>
      <c r="R5847" s="764"/>
      <c r="S5847" s="764"/>
      <c r="T5847" s="764"/>
      <c r="U5847" s="764"/>
      <c r="V5847" s="764"/>
      <c r="W5847" s="764"/>
      <c r="X5847" s="764"/>
      <c r="Y5847" s="768"/>
      <c r="Z5847" s="266"/>
      <c r="AA5847" s="150"/>
      <c r="AB5847" s="150">
        <v>60</v>
      </c>
      <c r="AC5847" s="150">
        <v>6.3E-3</v>
      </c>
      <c r="AD5847" s="150">
        <v>17.2</v>
      </c>
      <c r="AE5847" s="150">
        <v>0.39</v>
      </c>
      <c r="AF5847" s="223"/>
      <c r="AG5847" s="223"/>
      <c r="AH5847" s="346"/>
      <c r="AI5847" s="427"/>
      <c r="AJ5847" s="480"/>
      <c r="AK5847" s="427"/>
      <c r="AU5847" s="218"/>
      <c r="AV5847" s="218"/>
      <c r="AW5847" s="218"/>
      <c r="AX5847" s="218"/>
      <c r="AY5847" s="218"/>
      <c r="BI5847" s="427"/>
      <c r="BJ5847" s="427"/>
      <c r="BK5847" s="427"/>
      <c r="BL5847" s="427"/>
      <c r="BM5847" s="427"/>
      <c r="BN5847" s="427"/>
      <c r="BO5847" s="427"/>
      <c r="BP5847" s="427"/>
      <c r="BQ5847" s="427"/>
      <c r="BR5847" s="427"/>
      <c r="BS5847" s="427"/>
      <c r="BT5847" s="427"/>
      <c r="BU5847" s="427"/>
      <c r="BV5847" s="427"/>
      <c r="BW5847" s="427"/>
      <c r="BX5847" s="427"/>
      <c r="BY5847" s="427"/>
      <c r="BZ5847" s="427"/>
    </row>
    <row r="5848" spans="2:78" s="152" customFormat="1" x14ac:dyDescent="0.2">
      <c r="B5848" s="683"/>
      <c r="C5848" s="683"/>
      <c r="D5848" s="698"/>
      <c r="E5848" s="215"/>
      <c r="F5848" s="215"/>
      <c r="G5848" s="427"/>
      <c r="H5848" s="427"/>
      <c r="I5848" s="427"/>
      <c r="J5848" s="427"/>
      <c r="K5848" s="427"/>
      <c r="L5848" s="653"/>
      <c r="M5848" s="666"/>
      <c r="N5848" s="600">
        <v>6.367</v>
      </c>
      <c r="O5848" s="605">
        <v>0.76884000000000008</v>
      </c>
      <c r="P5848" s="782"/>
      <c r="Q5848" s="764"/>
      <c r="R5848" s="764"/>
      <c r="S5848" s="764"/>
      <c r="T5848" s="764"/>
      <c r="U5848" s="764"/>
      <c r="V5848" s="764"/>
      <c r="W5848" s="764"/>
      <c r="X5848" s="764"/>
      <c r="Y5848" s="768"/>
      <c r="Z5848" s="266"/>
      <c r="AA5848" s="150"/>
      <c r="AB5848" s="150">
        <v>61</v>
      </c>
      <c r="AC5848" s="150">
        <v>6.3E-3</v>
      </c>
      <c r="AD5848" s="150">
        <v>17.2</v>
      </c>
      <c r="AE5848" s="150">
        <v>0.39</v>
      </c>
      <c r="AF5848" s="223"/>
      <c r="AG5848" s="223"/>
      <c r="AH5848" s="346"/>
      <c r="AI5848" s="427"/>
      <c r="AJ5848" s="480"/>
      <c r="AK5848" s="427"/>
      <c r="AU5848" s="218"/>
      <c r="AV5848" s="218"/>
      <c r="AW5848" s="218"/>
      <c r="AX5848" s="218"/>
      <c r="AY5848" s="218"/>
      <c r="BI5848" s="427"/>
      <c r="BJ5848" s="427"/>
      <c r="BK5848" s="427"/>
      <c r="BL5848" s="427"/>
      <c r="BM5848" s="427"/>
      <c r="BN5848" s="427"/>
      <c r="BO5848" s="427"/>
      <c r="BP5848" s="427"/>
      <c r="BQ5848" s="427"/>
      <c r="BR5848" s="427"/>
      <c r="BS5848" s="427"/>
      <c r="BT5848" s="427"/>
      <c r="BU5848" s="427"/>
      <c r="BV5848" s="427"/>
      <c r="BW5848" s="427"/>
      <c r="BX5848" s="427"/>
      <c r="BY5848" s="427"/>
      <c r="BZ5848" s="427"/>
    </row>
    <row r="5849" spans="2:78" s="152" customFormat="1" x14ac:dyDescent="0.2">
      <c r="B5849" s="683"/>
      <c r="C5849" s="683"/>
      <c r="D5849" s="698"/>
      <c r="E5849" s="215"/>
      <c r="F5849" s="215"/>
      <c r="G5849" s="427"/>
      <c r="H5849" s="427"/>
      <c r="I5849" s="427"/>
      <c r="J5849" s="427"/>
      <c r="K5849" s="427"/>
      <c r="L5849" s="653"/>
      <c r="M5849" s="666"/>
      <c r="N5849" s="600">
        <v>6.4550000000000001</v>
      </c>
      <c r="O5849" s="605">
        <v>0.123668</v>
      </c>
      <c r="P5849" s="782"/>
      <c r="Q5849" s="764"/>
      <c r="R5849" s="764"/>
      <c r="S5849" s="764"/>
      <c r="T5849" s="764"/>
      <c r="U5849" s="764"/>
      <c r="V5849" s="764"/>
      <c r="W5849" s="764"/>
      <c r="X5849" s="764"/>
      <c r="Y5849" s="768"/>
      <c r="Z5849" s="266"/>
      <c r="AA5849" s="150"/>
      <c r="AB5849" s="150">
        <v>62</v>
      </c>
      <c r="AC5849" s="150">
        <v>6.3E-3</v>
      </c>
      <c r="AD5849" s="150">
        <v>17.2</v>
      </c>
      <c r="AE5849" s="150">
        <v>0.39200000000000002</v>
      </c>
      <c r="AF5849" s="223"/>
      <c r="AG5849" s="223"/>
      <c r="AH5849" s="346"/>
      <c r="AI5849" s="427"/>
      <c r="AJ5849" s="480"/>
      <c r="AK5849" s="427"/>
      <c r="AU5849" s="218"/>
      <c r="AV5849" s="218"/>
      <c r="AW5849" s="218"/>
      <c r="AX5849" s="218"/>
      <c r="AY5849" s="218"/>
      <c r="BI5849" s="427"/>
      <c r="BJ5849" s="427"/>
      <c r="BK5849" s="427"/>
      <c r="BL5849" s="427"/>
      <c r="BM5849" s="427"/>
      <c r="BN5849" s="427"/>
      <c r="BO5849" s="427"/>
      <c r="BP5849" s="427"/>
      <c r="BQ5849" s="427"/>
      <c r="BR5849" s="427"/>
      <c r="BS5849" s="427"/>
      <c r="BT5849" s="427"/>
      <c r="BU5849" s="427"/>
      <c r="BV5849" s="427"/>
      <c r="BW5849" s="427"/>
      <c r="BX5849" s="427"/>
      <c r="BY5849" s="427"/>
      <c r="BZ5849" s="427"/>
    </row>
    <row r="5850" spans="2:78" s="152" customFormat="1" x14ac:dyDescent="0.2">
      <c r="B5850" s="683"/>
      <c r="C5850" s="683"/>
      <c r="D5850" s="698"/>
      <c r="E5850" s="215"/>
      <c r="F5850" s="215"/>
      <c r="G5850" s="427"/>
      <c r="H5850" s="427"/>
      <c r="I5850" s="427"/>
      <c r="J5850" s="427"/>
      <c r="K5850" s="427"/>
      <c r="L5850" s="653"/>
      <c r="M5850" s="666"/>
      <c r="N5850" s="600">
        <v>6.4550000000000001</v>
      </c>
      <c r="O5850" s="605">
        <v>0.18576000000000001</v>
      </c>
      <c r="P5850" s="782"/>
      <c r="Q5850" s="764"/>
      <c r="R5850" s="764"/>
      <c r="S5850" s="764"/>
      <c r="T5850" s="764"/>
      <c r="U5850" s="764"/>
      <c r="V5850" s="764"/>
      <c r="W5850" s="764"/>
      <c r="X5850" s="764"/>
      <c r="Y5850" s="768"/>
      <c r="Z5850" s="266"/>
      <c r="AA5850" s="150"/>
      <c r="AB5850" s="150">
        <v>63</v>
      </c>
      <c r="AC5850" s="150">
        <v>6.3E-3</v>
      </c>
      <c r="AD5850" s="150">
        <v>17.2</v>
      </c>
      <c r="AE5850" s="150">
        <v>0.39200000000000002</v>
      </c>
      <c r="AF5850" s="223"/>
      <c r="AG5850" s="223"/>
      <c r="AH5850" s="346"/>
      <c r="AI5850" s="427"/>
      <c r="AJ5850" s="480"/>
      <c r="AK5850" s="427"/>
      <c r="AU5850" s="218"/>
      <c r="AV5850" s="218"/>
      <c r="AW5850" s="218"/>
      <c r="AX5850" s="218"/>
      <c r="AY5850" s="218"/>
      <c r="BI5850" s="427"/>
      <c r="BJ5850" s="427"/>
      <c r="BK5850" s="427"/>
      <c r="BL5850" s="427"/>
      <c r="BM5850" s="427"/>
      <c r="BN5850" s="427"/>
      <c r="BO5850" s="427"/>
      <c r="BP5850" s="427"/>
      <c r="BQ5850" s="427"/>
      <c r="BR5850" s="427"/>
      <c r="BS5850" s="427"/>
      <c r="BT5850" s="427"/>
      <c r="BU5850" s="427"/>
      <c r="BV5850" s="427"/>
      <c r="BW5850" s="427"/>
      <c r="BX5850" s="427"/>
      <c r="BY5850" s="427"/>
      <c r="BZ5850" s="427"/>
    </row>
    <row r="5851" spans="2:78" s="152" customFormat="1" x14ac:dyDescent="0.2">
      <c r="B5851" s="683"/>
      <c r="C5851" s="683"/>
      <c r="D5851" s="698"/>
      <c r="E5851" s="215"/>
      <c r="F5851" s="215"/>
      <c r="G5851" s="427"/>
      <c r="H5851" s="427"/>
      <c r="I5851" s="427"/>
      <c r="J5851" s="427"/>
      <c r="K5851" s="427"/>
      <c r="L5851" s="653"/>
      <c r="M5851" s="666"/>
      <c r="N5851" s="600">
        <v>6.5439999999999996</v>
      </c>
      <c r="O5851" s="605">
        <v>0.33712000000000003</v>
      </c>
      <c r="P5851" s="782"/>
      <c r="Q5851" s="764"/>
      <c r="R5851" s="764"/>
      <c r="S5851" s="764"/>
      <c r="T5851" s="764"/>
      <c r="U5851" s="764"/>
      <c r="V5851" s="764"/>
      <c r="W5851" s="764"/>
      <c r="X5851" s="764"/>
      <c r="Y5851" s="768"/>
      <c r="Z5851" s="266"/>
      <c r="AA5851" s="150"/>
      <c r="AB5851" s="150">
        <v>64</v>
      </c>
      <c r="AC5851" s="150">
        <v>6.3E-3</v>
      </c>
      <c r="AD5851" s="150">
        <v>17.2</v>
      </c>
      <c r="AE5851" s="150">
        <v>0.39500000000000002</v>
      </c>
      <c r="AF5851" s="223"/>
      <c r="AG5851" s="223"/>
      <c r="AH5851" s="346"/>
      <c r="AI5851" s="427"/>
      <c r="AJ5851" s="480"/>
      <c r="AK5851" s="427"/>
      <c r="AU5851" s="218"/>
      <c r="AV5851" s="218"/>
      <c r="AW5851" s="218"/>
      <c r="AX5851" s="218"/>
      <c r="AY5851" s="218"/>
      <c r="BI5851" s="427"/>
      <c r="BJ5851" s="427"/>
      <c r="BK5851" s="427"/>
      <c r="BL5851" s="427"/>
      <c r="BM5851" s="427"/>
      <c r="BN5851" s="427"/>
      <c r="BO5851" s="427"/>
      <c r="BP5851" s="427"/>
      <c r="BQ5851" s="427"/>
      <c r="BR5851" s="427"/>
      <c r="BS5851" s="427"/>
      <c r="BT5851" s="427"/>
      <c r="BU5851" s="427"/>
      <c r="BV5851" s="427"/>
      <c r="BW5851" s="427"/>
      <c r="BX5851" s="427"/>
      <c r="BY5851" s="427"/>
      <c r="BZ5851" s="427"/>
    </row>
    <row r="5852" spans="2:78" s="152" customFormat="1" x14ac:dyDescent="0.2">
      <c r="B5852" s="683"/>
      <c r="C5852" s="683"/>
      <c r="D5852" s="698"/>
      <c r="E5852" s="215"/>
      <c r="F5852" s="215"/>
      <c r="G5852" s="427"/>
      <c r="H5852" s="427"/>
      <c r="I5852" s="427"/>
      <c r="J5852" s="427"/>
      <c r="K5852" s="427"/>
      <c r="L5852" s="653"/>
      <c r="M5852" s="666"/>
      <c r="N5852" s="600">
        <v>6.6340000000000003</v>
      </c>
      <c r="O5852" s="605">
        <v>0.43687999999999999</v>
      </c>
      <c r="P5852" s="782"/>
      <c r="Q5852" s="764"/>
      <c r="R5852" s="764"/>
      <c r="S5852" s="764"/>
      <c r="T5852" s="764"/>
      <c r="U5852" s="764"/>
      <c r="V5852" s="764"/>
      <c r="W5852" s="764"/>
      <c r="X5852" s="764"/>
      <c r="Y5852" s="768"/>
      <c r="Z5852" s="266"/>
      <c r="AA5852" s="150"/>
      <c r="AB5852" s="150">
        <v>65</v>
      </c>
      <c r="AC5852" s="150">
        <v>6.3E-3</v>
      </c>
      <c r="AD5852" s="150">
        <v>17.2</v>
      </c>
      <c r="AE5852" s="150">
        <v>0.39700000000000002</v>
      </c>
      <c r="AF5852" s="223"/>
      <c r="AG5852" s="223"/>
      <c r="AH5852" s="346"/>
      <c r="AI5852" s="427"/>
      <c r="AJ5852" s="480"/>
      <c r="AK5852" s="427"/>
      <c r="AU5852" s="218"/>
      <c r="AV5852" s="218"/>
      <c r="AW5852" s="218"/>
      <c r="AX5852" s="218"/>
      <c r="AY5852" s="218"/>
      <c r="BI5852" s="427"/>
      <c r="BJ5852" s="427"/>
      <c r="BK5852" s="427"/>
      <c r="BL5852" s="427"/>
      <c r="BM5852" s="427"/>
      <c r="BN5852" s="427"/>
      <c r="BO5852" s="427"/>
      <c r="BP5852" s="427"/>
      <c r="BQ5852" s="427"/>
      <c r="BR5852" s="427"/>
      <c r="BS5852" s="427"/>
      <c r="BT5852" s="427"/>
      <c r="BU5852" s="427"/>
      <c r="BV5852" s="427"/>
      <c r="BW5852" s="427"/>
      <c r="BX5852" s="427"/>
      <c r="BY5852" s="427"/>
      <c r="BZ5852" s="427"/>
    </row>
    <row r="5853" spans="2:78" s="152" customFormat="1" x14ac:dyDescent="0.2">
      <c r="B5853" s="683"/>
      <c r="C5853" s="683"/>
      <c r="D5853" s="698"/>
      <c r="E5853" s="215"/>
      <c r="F5853" s="215"/>
      <c r="G5853" s="427"/>
      <c r="H5853" s="427"/>
      <c r="I5853" s="427"/>
      <c r="J5853" s="427"/>
      <c r="K5853" s="427"/>
      <c r="L5853" s="653"/>
      <c r="M5853" s="666"/>
      <c r="N5853" s="600">
        <v>6.6340000000000003</v>
      </c>
      <c r="O5853" s="605">
        <v>0.44203999999999999</v>
      </c>
      <c r="P5853" s="782"/>
      <c r="Q5853" s="764"/>
      <c r="R5853" s="764"/>
      <c r="S5853" s="764"/>
      <c r="T5853" s="764"/>
      <c r="U5853" s="764"/>
      <c r="V5853" s="764"/>
      <c r="W5853" s="764"/>
      <c r="X5853" s="764"/>
      <c r="Y5853" s="768"/>
      <c r="Z5853" s="266"/>
      <c r="AA5853" s="150"/>
      <c r="AB5853" s="150">
        <v>66</v>
      </c>
      <c r="AC5853" s="150">
        <v>6.3E-3</v>
      </c>
      <c r="AD5853" s="150">
        <v>17.2</v>
      </c>
      <c r="AE5853" s="150">
        <v>0.39700000000000002</v>
      </c>
      <c r="AF5853" s="223"/>
      <c r="AG5853" s="223"/>
      <c r="AH5853" s="346"/>
      <c r="AI5853" s="427"/>
      <c r="AJ5853" s="480"/>
      <c r="AK5853" s="427"/>
      <c r="AU5853" s="218"/>
      <c r="AV5853" s="218"/>
      <c r="AW5853" s="218"/>
      <c r="AX5853" s="218"/>
      <c r="AY5853" s="218"/>
      <c r="BI5853" s="427"/>
      <c r="BJ5853" s="427"/>
      <c r="BK5853" s="427"/>
      <c r="BL5853" s="427"/>
      <c r="BM5853" s="427"/>
      <c r="BN5853" s="427"/>
      <c r="BO5853" s="427"/>
      <c r="BP5853" s="427"/>
      <c r="BQ5853" s="427"/>
      <c r="BR5853" s="427"/>
      <c r="BS5853" s="427"/>
      <c r="BT5853" s="427"/>
      <c r="BU5853" s="427"/>
      <c r="BV5853" s="427"/>
      <c r="BW5853" s="427"/>
      <c r="BX5853" s="427"/>
      <c r="BY5853" s="427"/>
      <c r="BZ5853" s="427"/>
    </row>
    <row r="5854" spans="2:78" s="152" customFormat="1" x14ac:dyDescent="0.2">
      <c r="B5854" s="683"/>
      <c r="C5854" s="683"/>
      <c r="D5854" s="698"/>
      <c r="E5854" s="215"/>
      <c r="F5854" s="215"/>
      <c r="G5854" s="427"/>
      <c r="H5854" s="427"/>
      <c r="I5854" s="427"/>
      <c r="J5854" s="427"/>
      <c r="K5854" s="427"/>
      <c r="L5854" s="653"/>
      <c r="M5854" s="666"/>
      <c r="N5854" s="600">
        <v>6.8129999999999997</v>
      </c>
      <c r="O5854" s="605">
        <v>0.19608</v>
      </c>
      <c r="P5854" s="782"/>
      <c r="Q5854" s="764"/>
      <c r="R5854" s="764"/>
      <c r="S5854" s="764"/>
      <c r="T5854" s="764"/>
      <c r="U5854" s="764"/>
      <c r="V5854" s="764"/>
      <c r="W5854" s="764"/>
      <c r="X5854" s="764"/>
      <c r="Y5854" s="768"/>
      <c r="Z5854" s="266"/>
      <c r="AA5854" s="150"/>
      <c r="AB5854" s="150">
        <v>67</v>
      </c>
      <c r="AC5854" s="150">
        <v>6.3E-3</v>
      </c>
      <c r="AD5854" s="150">
        <v>17.2</v>
      </c>
      <c r="AE5854" s="150">
        <v>0.40200000000000002</v>
      </c>
      <c r="AF5854" s="223"/>
      <c r="AG5854" s="223"/>
      <c r="AH5854" s="346"/>
      <c r="AI5854" s="427"/>
      <c r="AJ5854" s="480"/>
      <c r="AK5854" s="427"/>
      <c r="AU5854" s="218"/>
      <c r="AV5854" s="218"/>
      <c r="AW5854" s="218"/>
      <c r="AX5854" s="218"/>
      <c r="AY5854" s="218"/>
      <c r="BI5854" s="427"/>
      <c r="BJ5854" s="427"/>
      <c r="BK5854" s="427"/>
      <c r="BL5854" s="427"/>
      <c r="BM5854" s="427"/>
      <c r="BN5854" s="427"/>
      <c r="BO5854" s="427"/>
      <c r="BP5854" s="427"/>
      <c r="BQ5854" s="427"/>
      <c r="BR5854" s="427"/>
      <c r="BS5854" s="427"/>
      <c r="BT5854" s="427"/>
      <c r="BU5854" s="427"/>
      <c r="BV5854" s="427"/>
      <c r="BW5854" s="427"/>
      <c r="BX5854" s="427"/>
      <c r="BY5854" s="427"/>
      <c r="BZ5854" s="427"/>
    </row>
    <row r="5855" spans="2:78" s="152" customFormat="1" x14ac:dyDescent="0.2">
      <c r="B5855" s="683"/>
      <c r="C5855" s="683"/>
      <c r="D5855" s="698"/>
      <c r="E5855" s="215"/>
      <c r="F5855" s="215"/>
      <c r="G5855" s="427"/>
      <c r="H5855" s="427"/>
      <c r="I5855" s="427"/>
      <c r="J5855" s="427"/>
      <c r="K5855" s="427"/>
      <c r="L5855" s="653"/>
      <c r="M5855" s="666"/>
      <c r="N5855" s="600">
        <v>6.9029999999999996</v>
      </c>
      <c r="O5855" s="605">
        <v>0.18576000000000001</v>
      </c>
      <c r="P5855" s="782"/>
      <c r="Q5855" s="764"/>
      <c r="R5855" s="764"/>
      <c r="S5855" s="764"/>
      <c r="T5855" s="764"/>
      <c r="U5855" s="764"/>
      <c r="V5855" s="764"/>
      <c r="W5855" s="764"/>
      <c r="X5855" s="764"/>
      <c r="Y5855" s="768"/>
      <c r="Z5855" s="266"/>
      <c r="AA5855" s="150"/>
      <c r="AB5855" s="150">
        <v>68</v>
      </c>
      <c r="AC5855" s="150">
        <v>6.3E-3</v>
      </c>
      <c r="AD5855" s="150">
        <v>17.2</v>
      </c>
      <c r="AE5855" s="150">
        <v>0.40400000000000003</v>
      </c>
      <c r="AF5855" s="223"/>
      <c r="AG5855" s="223"/>
      <c r="AH5855" s="346"/>
      <c r="AI5855" s="427"/>
      <c r="AJ5855" s="480"/>
      <c r="AK5855" s="427"/>
      <c r="AU5855" s="218"/>
      <c r="AV5855" s="218"/>
      <c r="AW5855" s="218"/>
      <c r="AX5855" s="218"/>
      <c r="AY5855" s="218"/>
      <c r="BI5855" s="427"/>
      <c r="BJ5855" s="427"/>
      <c r="BK5855" s="427"/>
      <c r="BL5855" s="427"/>
      <c r="BM5855" s="427"/>
      <c r="BN5855" s="427"/>
      <c r="BO5855" s="427"/>
      <c r="BP5855" s="427"/>
      <c r="BQ5855" s="427"/>
      <c r="BR5855" s="427"/>
      <c r="BS5855" s="427"/>
      <c r="BT5855" s="427"/>
      <c r="BU5855" s="427"/>
      <c r="BV5855" s="427"/>
      <c r="BW5855" s="427"/>
      <c r="BX5855" s="427"/>
      <c r="BY5855" s="427"/>
      <c r="BZ5855" s="427"/>
    </row>
    <row r="5856" spans="2:78" s="152" customFormat="1" x14ac:dyDescent="0.2">
      <c r="B5856" s="683"/>
      <c r="C5856" s="683"/>
      <c r="D5856" s="698"/>
      <c r="E5856" s="215"/>
      <c r="F5856" s="215"/>
      <c r="G5856" s="427"/>
      <c r="H5856" s="427"/>
      <c r="I5856" s="427"/>
      <c r="J5856" s="427"/>
      <c r="K5856" s="427"/>
      <c r="L5856" s="653"/>
      <c r="M5856" s="666"/>
      <c r="N5856" s="600">
        <v>6.9950000000000001</v>
      </c>
      <c r="O5856" s="605">
        <v>0.10474799999999999</v>
      </c>
      <c r="P5856" s="782"/>
      <c r="Q5856" s="764"/>
      <c r="R5856" s="764"/>
      <c r="S5856" s="764"/>
      <c r="T5856" s="764"/>
      <c r="U5856" s="764"/>
      <c r="V5856" s="764"/>
      <c r="W5856" s="764"/>
      <c r="X5856" s="764"/>
      <c r="Y5856" s="768"/>
      <c r="Z5856" s="266"/>
      <c r="AA5856" s="150"/>
      <c r="AB5856" s="150">
        <v>69</v>
      </c>
      <c r="AC5856" s="150">
        <v>6.3E-3</v>
      </c>
      <c r="AD5856" s="150">
        <v>17.2</v>
      </c>
      <c r="AE5856" s="150">
        <v>0.40699999999999997</v>
      </c>
      <c r="AF5856" s="223"/>
      <c r="AG5856" s="223"/>
      <c r="AH5856" s="346"/>
      <c r="AI5856" s="427"/>
      <c r="AJ5856" s="480"/>
      <c r="AK5856" s="427"/>
      <c r="AU5856" s="218"/>
      <c r="AV5856" s="218"/>
      <c r="AW5856" s="218"/>
      <c r="AX5856" s="218"/>
      <c r="AY5856" s="218"/>
      <c r="BI5856" s="427"/>
      <c r="BJ5856" s="427"/>
      <c r="BK5856" s="427"/>
      <c r="BL5856" s="427"/>
      <c r="BM5856" s="427"/>
      <c r="BN5856" s="427"/>
      <c r="BO5856" s="427"/>
      <c r="BP5856" s="427"/>
      <c r="BQ5856" s="427"/>
      <c r="BR5856" s="427"/>
      <c r="BS5856" s="427"/>
      <c r="BT5856" s="427"/>
      <c r="BU5856" s="427"/>
      <c r="BV5856" s="427"/>
      <c r="BW5856" s="427"/>
      <c r="BX5856" s="427"/>
      <c r="BY5856" s="427"/>
      <c r="BZ5856" s="427"/>
    </row>
    <row r="5857" spans="2:78" s="152" customFormat="1" x14ac:dyDescent="0.2">
      <c r="B5857" s="683"/>
      <c r="C5857" s="683"/>
      <c r="D5857" s="698"/>
      <c r="E5857" s="215"/>
      <c r="F5857" s="215"/>
      <c r="G5857" s="427"/>
      <c r="H5857" s="427"/>
      <c r="I5857" s="427"/>
      <c r="J5857" s="427"/>
      <c r="K5857" s="427"/>
      <c r="L5857" s="653"/>
      <c r="M5857" s="666"/>
      <c r="N5857" s="600">
        <v>7.0869999999999997</v>
      </c>
      <c r="O5857" s="605">
        <v>9.373999999999999E-2</v>
      </c>
      <c r="P5857" s="782"/>
      <c r="Q5857" s="764"/>
      <c r="R5857" s="764"/>
      <c r="S5857" s="764"/>
      <c r="T5857" s="764"/>
      <c r="U5857" s="764"/>
      <c r="V5857" s="764"/>
      <c r="W5857" s="764"/>
      <c r="X5857" s="764"/>
      <c r="Y5857" s="768"/>
      <c r="Z5857" s="266"/>
      <c r="AA5857" s="150"/>
      <c r="AB5857" s="150">
        <v>70</v>
      </c>
      <c r="AC5857" s="150">
        <v>6.3E-3</v>
      </c>
      <c r="AD5857" s="150">
        <v>17.2</v>
      </c>
      <c r="AE5857" s="150">
        <v>0.40899999999999997</v>
      </c>
      <c r="AF5857" s="223"/>
      <c r="AG5857" s="223"/>
      <c r="AH5857" s="346"/>
      <c r="AI5857" s="427"/>
      <c r="AJ5857" s="480"/>
      <c r="AK5857" s="427"/>
      <c r="AU5857" s="218"/>
      <c r="AV5857" s="218"/>
      <c r="AW5857" s="218"/>
      <c r="AX5857" s="218"/>
      <c r="AY5857" s="218"/>
      <c r="BI5857" s="427"/>
      <c r="BJ5857" s="427"/>
      <c r="BK5857" s="427"/>
      <c r="BL5857" s="427"/>
      <c r="BM5857" s="427"/>
      <c r="BN5857" s="427"/>
      <c r="BO5857" s="427"/>
      <c r="BP5857" s="427"/>
      <c r="BQ5857" s="427"/>
      <c r="BR5857" s="427"/>
      <c r="BS5857" s="427"/>
      <c r="BT5857" s="427"/>
      <c r="BU5857" s="427"/>
      <c r="BV5857" s="427"/>
      <c r="BW5857" s="427"/>
      <c r="BX5857" s="427"/>
      <c r="BY5857" s="427"/>
      <c r="BZ5857" s="427"/>
    </row>
    <row r="5858" spans="2:78" s="152" customFormat="1" x14ac:dyDescent="0.2">
      <c r="B5858" s="683"/>
      <c r="C5858" s="683"/>
      <c r="D5858" s="698"/>
      <c r="E5858" s="215"/>
      <c r="F5858" s="215"/>
      <c r="G5858" s="427"/>
      <c r="H5858" s="427"/>
      <c r="I5858" s="427"/>
      <c r="J5858" s="427"/>
      <c r="K5858" s="427"/>
      <c r="L5858" s="653"/>
      <c r="M5858" s="666"/>
      <c r="N5858" s="600">
        <v>7.1790000000000003</v>
      </c>
      <c r="O5858" s="605">
        <v>0.16133600000000001</v>
      </c>
      <c r="P5858" s="782"/>
      <c r="Q5858" s="764"/>
      <c r="R5858" s="764"/>
      <c r="S5858" s="764"/>
      <c r="T5858" s="764"/>
      <c r="U5858" s="764"/>
      <c r="V5858" s="764"/>
      <c r="W5858" s="764"/>
      <c r="X5858" s="764"/>
      <c r="Y5858" s="768"/>
      <c r="Z5858" s="266"/>
      <c r="AA5858" s="150"/>
      <c r="AB5858" s="150">
        <v>71</v>
      </c>
      <c r="AC5858" s="150">
        <v>6.3E-3</v>
      </c>
      <c r="AD5858" s="150">
        <v>17.2</v>
      </c>
      <c r="AE5858" s="150">
        <v>0.41199999999999998</v>
      </c>
      <c r="AF5858" s="223"/>
      <c r="AG5858" s="223"/>
      <c r="AH5858" s="346"/>
      <c r="AI5858" s="427"/>
      <c r="AJ5858" s="480"/>
      <c r="AK5858" s="427"/>
      <c r="AU5858" s="218"/>
      <c r="AV5858" s="218"/>
      <c r="AW5858" s="218"/>
      <c r="AX5858" s="218"/>
      <c r="AY5858" s="218"/>
      <c r="BI5858" s="427"/>
      <c r="BJ5858" s="427"/>
      <c r="BK5858" s="427"/>
      <c r="BL5858" s="427"/>
      <c r="BM5858" s="427"/>
      <c r="BN5858" s="427"/>
      <c r="BO5858" s="427"/>
      <c r="BP5858" s="427"/>
      <c r="BQ5858" s="427"/>
      <c r="BR5858" s="427"/>
      <c r="BS5858" s="427"/>
      <c r="BT5858" s="427"/>
      <c r="BU5858" s="427"/>
      <c r="BV5858" s="427"/>
      <c r="BW5858" s="427"/>
      <c r="BX5858" s="427"/>
      <c r="BY5858" s="427"/>
      <c r="BZ5858" s="427"/>
    </row>
    <row r="5859" spans="2:78" s="152" customFormat="1" x14ac:dyDescent="0.2">
      <c r="B5859" s="683"/>
      <c r="C5859" s="683"/>
      <c r="D5859" s="698"/>
      <c r="E5859" s="215"/>
      <c r="F5859" s="215"/>
      <c r="G5859" s="427"/>
      <c r="H5859" s="427"/>
      <c r="I5859" s="427"/>
      <c r="J5859" s="427"/>
      <c r="K5859" s="427"/>
      <c r="L5859" s="653"/>
      <c r="M5859" s="666"/>
      <c r="N5859" s="600">
        <v>7.1790000000000003</v>
      </c>
      <c r="O5859" s="605">
        <v>0.75851999999999997</v>
      </c>
      <c r="P5859" s="782"/>
      <c r="Q5859" s="764"/>
      <c r="R5859" s="764"/>
      <c r="S5859" s="764"/>
      <c r="T5859" s="764"/>
      <c r="U5859" s="764"/>
      <c r="V5859" s="764"/>
      <c r="W5859" s="764"/>
      <c r="X5859" s="764"/>
      <c r="Y5859" s="768"/>
      <c r="Z5859" s="266"/>
      <c r="AA5859" s="150"/>
      <c r="AB5859" s="150">
        <v>72</v>
      </c>
      <c r="AC5859" s="150">
        <v>6.3E-3</v>
      </c>
      <c r="AD5859" s="150">
        <v>17.2</v>
      </c>
      <c r="AE5859" s="150">
        <v>0.41199999999999998</v>
      </c>
      <c r="AF5859" s="223"/>
      <c r="AG5859" s="223"/>
      <c r="AH5859" s="346"/>
      <c r="AI5859" s="427"/>
      <c r="AJ5859" s="480"/>
      <c r="AK5859" s="427"/>
      <c r="AU5859" s="218"/>
      <c r="AV5859" s="218"/>
      <c r="AW5859" s="218"/>
      <c r="AX5859" s="218"/>
      <c r="AY5859" s="218"/>
      <c r="BI5859" s="427"/>
      <c r="BJ5859" s="427"/>
      <c r="BK5859" s="427"/>
      <c r="BL5859" s="427"/>
      <c r="BM5859" s="427"/>
      <c r="BN5859" s="427"/>
      <c r="BO5859" s="427"/>
      <c r="BP5859" s="427"/>
      <c r="BQ5859" s="427"/>
      <c r="BR5859" s="427"/>
      <c r="BS5859" s="427"/>
      <c r="BT5859" s="427"/>
      <c r="BU5859" s="427"/>
      <c r="BV5859" s="427"/>
      <c r="BW5859" s="427"/>
      <c r="BX5859" s="427"/>
      <c r="BY5859" s="427"/>
      <c r="BZ5859" s="427"/>
    </row>
    <row r="5860" spans="2:78" s="152" customFormat="1" x14ac:dyDescent="0.2">
      <c r="B5860" s="683"/>
      <c r="C5860" s="683"/>
      <c r="D5860" s="698"/>
      <c r="E5860" s="215"/>
      <c r="F5860" s="215"/>
      <c r="G5860" s="427"/>
      <c r="H5860" s="427"/>
      <c r="I5860" s="427"/>
      <c r="J5860" s="427"/>
      <c r="K5860" s="427"/>
      <c r="L5860" s="653"/>
      <c r="M5860" s="666"/>
      <c r="N5860" s="600">
        <v>7.3650000000000002</v>
      </c>
      <c r="O5860" s="605">
        <v>0.36463999999999996</v>
      </c>
      <c r="P5860" s="782"/>
      <c r="Q5860" s="764"/>
      <c r="R5860" s="764"/>
      <c r="S5860" s="764"/>
      <c r="T5860" s="764"/>
      <c r="U5860" s="764"/>
      <c r="V5860" s="764"/>
      <c r="W5860" s="764"/>
      <c r="X5860" s="764"/>
      <c r="Y5860" s="768"/>
      <c r="Z5860" s="266"/>
      <c r="AA5860" s="150"/>
      <c r="AB5860" s="150">
        <v>73</v>
      </c>
      <c r="AC5860" s="150">
        <v>6.3E-3</v>
      </c>
      <c r="AD5860" s="150">
        <v>17.2</v>
      </c>
      <c r="AE5860" s="150">
        <v>0.41699999999999998</v>
      </c>
      <c r="AF5860" s="223"/>
      <c r="AG5860" s="223"/>
      <c r="AH5860" s="346"/>
      <c r="AI5860" s="427"/>
      <c r="AJ5860" s="480"/>
      <c r="AK5860" s="427"/>
      <c r="AU5860" s="218"/>
      <c r="AV5860" s="218"/>
      <c r="AW5860" s="218"/>
      <c r="AX5860" s="218"/>
      <c r="AY5860" s="218"/>
      <c r="BI5860" s="427"/>
      <c r="BJ5860" s="427"/>
      <c r="BK5860" s="427"/>
      <c r="BL5860" s="427"/>
      <c r="BM5860" s="427"/>
      <c r="BN5860" s="427"/>
      <c r="BO5860" s="427"/>
      <c r="BP5860" s="427"/>
      <c r="BQ5860" s="427"/>
      <c r="BR5860" s="427"/>
      <c r="BS5860" s="427"/>
      <c r="BT5860" s="427"/>
      <c r="BU5860" s="427"/>
      <c r="BV5860" s="427"/>
      <c r="BW5860" s="427"/>
      <c r="BX5860" s="427"/>
      <c r="BY5860" s="427"/>
      <c r="BZ5860" s="427"/>
    </row>
    <row r="5861" spans="2:78" s="152" customFormat="1" x14ac:dyDescent="0.2">
      <c r="B5861" s="683"/>
      <c r="C5861" s="683"/>
      <c r="D5861" s="698"/>
      <c r="E5861" s="215"/>
      <c r="F5861" s="215"/>
      <c r="G5861" s="427"/>
      <c r="H5861" s="427"/>
      <c r="I5861" s="427"/>
      <c r="J5861" s="427"/>
      <c r="K5861" s="427"/>
      <c r="L5861" s="653"/>
      <c r="M5861" s="666"/>
      <c r="N5861" s="600">
        <v>7.3650000000000002</v>
      </c>
      <c r="O5861" s="605">
        <v>0.25112000000000001</v>
      </c>
      <c r="P5861" s="782"/>
      <c r="Q5861" s="764"/>
      <c r="R5861" s="764"/>
      <c r="S5861" s="764"/>
      <c r="T5861" s="764"/>
      <c r="U5861" s="764"/>
      <c r="V5861" s="764"/>
      <c r="W5861" s="764"/>
      <c r="X5861" s="764"/>
      <c r="Y5861" s="768"/>
      <c r="Z5861" s="266"/>
      <c r="AA5861" s="150"/>
      <c r="AB5861" s="150">
        <v>74</v>
      </c>
      <c r="AC5861" s="150">
        <v>6.3E-3</v>
      </c>
      <c r="AD5861" s="150">
        <v>17.2</v>
      </c>
      <c r="AE5861" s="150">
        <v>0.41699999999999998</v>
      </c>
      <c r="AF5861" s="223"/>
      <c r="AG5861" s="223"/>
      <c r="AH5861" s="346"/>
      <c r="AI5861" s="427"/>
      <c r="AJ5861" s="480"/>
      <c r="AK5861" s="427"/>
      <c r="AU5861" s="218"/>
      <c r="AV5861" s="218"/>
      <c r="AW5861" s="218"/>
      <c r="AX5861" s="218"/>
      <c r="AY5861" s="218"/>
      <c r="BI5861" s="427"/>
      <c r="BJ5861" s="427"/>
      <c r="BK5861" s="427"/>
      <c r="BL5861" s="427"/>
      <c r="BM5861" s="427"/>
      <c r="BN5861" s="427"/>
      <c r="BO5861" s="427"/>
      <c r="BP5861" s="427"/>
      <c r="BQ5861" s="427"/>
      <c r="BR5861" s="427"/>
      <c r="BS5861" s="427"/>
      <c r="BT5861" s="427"/>
      <c r="BU5861" s="427"/>
      <c r="BV5861" s="427"/>
      <c r="BW5861" s="427"/>
      <c r="BX5861" s="427"/>
      <c r="BY5861" s="427"/>
      <c r="BZ5861" s="427"/>
    </row>
    <row r="5862" spans="2:78" s="152" customFormat="1" x14ac:dyDescent="0.2">
      <c r="B5862" s="683"/>
      <c r="C5862" s="683"/>
      <c r="D5862" s="698"/>
      <c r="E5862" s="215"/>
      <c r="F5862" s="215"/>
      <c r="G5862" s="427"/>
      <c r="H5862" s="427"/>
      <c r="I5862" s="427"/>
      <c r="J5862" s="427"/>
      <c r="K5862" s="427"/>
      <c r="L5862" s="653"/>
      <c r="M5862" s="666"/>
      <c r="N5862" s="600">
        <v>7.3650000000000002</v>
      </c>
      <c r="O5862" s="605">
        <v>0.9718</v>
      </c>
      <c r="P5862" s="782"/>
      <c r="Q5862" s="764"/>
      <c r="R5862" s="764"/>
      <c r="S5862" s="764"/>
      <c r="T5862" s="764"/>
      <c r="U5862" s="764"/>
      <c r="V5862" s="764"/>
      <c r="W5862" s="764"/>
      <c r="X5862" s="764"/>
      <c r="Y5862" s="768"/>
      <c r="Z5862" s="266"/>
      <c r="AA5862" s="150"/>
      <c r="AB5862" s="150">
        <v>75</v>
      </c>
      <c r="AC5862" s="150">
        <v>6.3E-3</v>
      </c>
      <c r="AD5862" s="150">
        <v>17.2</v>
      </c>
      <c r="AE5862" s="150">
        <v>0.41699999999999998</v>
      </c>
      <c r="AF5862" s="223"/>
      <c r="AG5862" s="223"/>
      <c r="AH5862" s="346"/>
      <c r="AI5862" s="427"/>
      <c r="AJ5862" s="480"/>
      <c r="AK5862" s="427"/>
      <c r="AU5862" s="218"/>
      <c r="AV5862" s="218"/>
      <c r="AW5862" s="218"/>
      <c r="AX5862" s="218"/>
      <c r="AY5862" s="218"/>
      <c r="BI5862" s="427"/>
      <c r="BJ5862" s="427"/>
      <c r="BK5862" s="427"/>
      <c r="BL5862" s="427"/>
      <c r="BM5862" s="427"/>
      <c r="BN5862" s="427"/>
      <c r="BO5862" s="427"/>
      <c r="BP5862" s="427"/>
      <c r="BQ5862" s="427"/>
      <c r="BR5862" s="427"/>
      <c r="BS5862" s="427"/>
      <c r="BT5862" s="427"/>
      <c r="BU5862" s="427"/>
      <c r="BV5862" s="427"/>
      <c r="BW5862" s="427"/>
      <c r="BX5862" s="427"/>
      <c r="BY5862" s="427"/>
      <c r="BZ5862" s="427"/>
    </row>
    <row r="5863" spans="2:78" s="152" customFormat="1" x14ac:dyDescent="0.2">
      <c r="B5863" s="683"/>
      <c r="C5863" s="683"/>
      <c r="D5863" s="698"/>
      <c r="E5863" s="215"/>
      <c r="F5863" s="215"/>
      <c r="G5863" s="427"/>
      <c r="H5863" s="427"/>
      <c r="I5863" s="427"/>
      <c r="J5863" s="427"/>
      <c r="K5863" s="427"/>
      <c r="L5863" s="653"/>
      <c r="M5863" s="666"/>
      <c r="N5863" s="600">
        <v>7.8380000000000001</v>
      </c>
      <c r="O5863" s="605">
        <v>0.55899999999999994</v>
      </c>
      <c r="P5863" s="782"/>
      <c r="Q5863" s="764"/>
      <c r="R5863" s="764"/>
      <c r="S5863" s="764"/>
      <c r="T5863" s="764"/>
      <c r="U5863" s="764"/>
      <c r="V5863" s="764"/>
      <c r="W5863" s="764"/>
      <c r="X5863" s="764"/>
      <c r="Y5863" s="768"/>
      <c r="Z5863" s="266"/>
      <c r="AA5863" s="150"/>
      <c r="AB5863" s="150">
        <v>76</v>
      </c>
      <c r="AC5863" s="150">
        <v>6.3E-3</v>
      </c>
      <c r="AD5863" s="150">
        <v>17.2</v>
      </c>
      <c r="AE5863" s="150">
        <v>0.42899999999999999</v>
      </c>
      <c r="AF5863" s="223"/>
      <c r="AG5863" s="223"/>
      <c r="AH5863" s="346"/>
      <c r="AI5863" s="427"/>
      <c r="AJ5863" s="480"/>
      <c r="AK5863" s="427"/>
      <c r="AU5863" s="218"/>
      <c r="AV5863" s="218"/>
      <c r="AW5863" s="218"/>
      <c r="AX5863" s="218"/>
      <c r="AY5863" s="218"/>
      <c r="BI5863" s="427"/>
      <c r="BJ5863" s="427"/>
      <c r="BK5863" s="427"/>
      <c r="BL5863" s="427"/>
      <c r="BM5863" s="427"/>
      <c r="BN5863" s="427"/>
      <c r="BO5863" s="427"/>
      <c r="BP5863" s="427"/>
      <c r="BQ5863" s="427"/>
      <c r="BR5863" s="427"/>
      <c r="BS5863" s="427"/>
      <c r="BT5863" s="427"/>
      <c r="BU5863" s="427"/>
      <c r="BV5863" s="427"/>
      <c r="BW5863" s="427"/>
      <c r="BX5863" s="427"/>
      <c r="BY5863" s="427"/>
      <c r="BZ5863" s="427"/>
    </row>
    <row r="5864" spans="2:78" s="152" customFormat="1" x14ac:dyDescent="0.2">
      <c r="B5864" s="683"/>
      <c r="C5864" s="683"/>
      <c r="D5864" s="698"/>
      <c r="E5864" s="215"/>
      <c r="F5864" s="215"/>
      <c r="G5864" s="427"/>
      <c r="H5864" s="427"/>
      <c r="I5864" s="427"/>
      <c r="J5864" s="427"/>
      <c r="K5864" s="427"/>
      <c r="L5864" s="653"/>
      <c r="M5864" s="666"/>
      <c r="N5864" s="600">
        <v>7.8380000000000001</v>
      </c>
      <c r="O5864" s="605">
        <v>0.150672</v>
      </c>
      <c r="P5864" s="782"/>
      <c r="Q5864" s="764"/>
      <c r="R5864" s="764"/>
      <c r="S5864" s="764"/>
      <c r="T5864" s="764"/>
      <c r="U5864" s="764"/>
      <c r="V5864" s="764"/>
      <c r="W5864" s="764"/>
      <c r="X5864" s="764"/>
      <c r="Y5864" s="768"/>
      <c r="Z5864" s="266"/>
      <c r="AA5864" s="150"/>
      <c r="AB5864" s="150">
        <v>77</v>
      </c>
      <c r="AC5864" s="150">
        <v>6.3E-3</v>
      </c>
      <c r="AD5864" s="150">
        <v>17.2</v>
      </c>
      <c r="AE5864" s="150">
        <v>0.42899999999999999</v>
      </c>
      <c r="AF5864" s="223"/>
      <c r="AG5864" s="223"/>
      <c r="AH5864" s="346"/>
      <c r="AI5864" s="427"/>
      <c r="AJ5864" s="480"/>
      <c r="AK5864" s="427"/>
      <c r="AU5864" s="218"/>
      <c r="AV5864" s="218"/>
      <c r="AW5864" s="218"/>
      <c r="AX5864" s="218"/>
      <c r="AY5864" s="218"/>
      <c r="BI5864" s="427"/>
      <c r="BJ5864" s="427"/>
      <c r="BK5864" s="427"/>
      <c r="BL5864" s="427"/>
      <c r="BM5864" s="427"/>
      <c r="BN5864" s="427"/>
      <c r="BO5864" s="427"/>
      <c r="BP5864" s="427"/>
      <c r="BQ5864" s="427"/>
      <c r="BR5864" s="427"/>
      <c r="BS5864" s="427"/>
      <c r="BT5864" s="427"/>
      <c r="BU5864" s="427"/>
      <c r="BV5864" s="427"/>
      <c r="BW5864" s="427"/>
      <c r="BX5864" s="427"/>
      <c r="BY5864" s="427"/>
      <c r="BZ5864" s="427"/>
    </row>
    <row r="5865" spans="2:78" s="152" customFormat="1" x14ac:dyDescent="0.2">
      <c r="B5865" s="683"/>
      <c r="C5865" s="683"/>
      <c r="D5865" s="698"/>
      <c r="E5865" s="215"/>
      <c r="F5865" s="215"/>
      <c r="G5865" s="427"/>
      <c r="H5865" s="427"/>
      <c r="I5865" s="427"/>
      <c r="J5865" s="427"/>
      <c r="K5865" s="427"/>
      <c r="L5865" s="653"/>
      <c r="M5865" s="666"/>
      <c r="N5865" s="600">
        <v>7.9329999999999998</v>
      </c>
      <c r="O5865" s="605">
        <v>0.34056000000000003</v>
      </c>
      <c r="P5865" s="782"/>
      <c r="Q5865" s="764"/>
      <c r="R5865" s="764"/>
      <c r="S5865" s="764"/>
      <c r="T5865" s="764"/>
      <c r="U5865" s="764"/>
      <c r="V5865" s="764"/>
      <c r="W5865" s="764"/>
      <c r="X5865" s="764"/>
      <c r="Y5865" s="768"/>
      <c r="Z5865" s="266"/>
      <c r="AA5865" s="150"/>
      <c r="AB5865" s="150">
        <v>78</v>
      </c>
      <c r="AC5865" s="150">
        <v>6.3E-3</v>
      </c>
      <c r="AD5865" s="150">
        <v>17.2</v>
      </c>
      <c r="AE5865" s="150">
        <v>0.43099999999999999</v>
      </c>
      <c r="AF5865" s="223"/>
      <c r="AG5865" s="223"/>
      <c r="AH5865" s="346"/>
      <c r="AI5865" s="427"/>
      <c r="AJ5865" s="480"/>
      <c r="AK5865" s="427"/>
      <c r="AU5865" s="218"/>
      <c r="AV5865" s="218"/>
      <c r="AW5865" s="218"/>
      <c r="AX5865" s="218"/>
      <c r="AY5865" s="218"/>
      <c r="BI5865" s="427"/>
      <c r="BJ5865" s="427"/>
      <c r="BK5865" s="427"/>
      <c r="BL5865" s="427"/>
      <c r="BM5865" s="427"/>
      <c r="BN5865" s="427"/>
      <c r="BO5865" s="427"/>
      <c r="BP5865" s="427"/>
      <c r="BQ5865" s="427"/>
      <c r="BR5865" s="427"/>
      <c r="BS5865" s="427"/>
      <c r="BT5865" s="427"/>
      <c r="BU5865" s="427"/>
      <c r="BV5865" s="427"/>
      <c r="BW5865" s="427"/>
      <c r="BX5865" s="427"/>
      <c r="BY5865" s="427"/>
      <c r="BZ5865" s="427"/>
    </row>
    <row r="5866" spans="2:78" s="152" customFormat="1" x14ac:dyDescent="0.2">
      <c r="B5866" s="683"/>
      <c r="C5866" s="683"/>
      <c r="D5866" s="698"/>
      <c r="E5866" s="215"/>
      <c r="F5866" s="215"/>
      <c r="G5866" s="427"/>
      <c r="H5866" s="427"/>
      <c r="I5866" s="427"/>
      <c r="J5866" s="427"/>
      <c r="K5866" s="427"/>
      <c r="L5866" s="653"/>
      <c r="M5866" s="666"/>
      <c r="N5866" s="600">
        <v>8.1259999999999994</v>
      </c>
      <c r="O5866" s="605">
        <v>2.7176</v>
      </c>
      <c r="P5866" s="782"/>
      <c r="Q5866" s="764"/>
      <c r="R5866" s="764"/>
      <c r="S5866" s="764"/>
      <c r="T5866" s="764"/>
      <c r="U5866" s="764"/>
      <c r="V5866" s="764"/>
      <c r="W5866" s="764"/>
      <c r="X5866" s="764"/>
      <c r="Y5866" s="768"/>
      <c r="Z5866" s="266"/>
      <c r="AA5866" s="150"/>
      <c r="AB5866" s="150">
        <v>79</v>
      </c>
      <c r="AC5866" s="150">
        <v>6.3E-3</v>
      </c>
      <c r="AD5866" s="150">
        <v>17.2</v>
      </c>
      <c r="AE5866" s="150">
        <v>0.436</v>
      </c>
      <c r="AF5866" s="223"/>
      <c r="AG5866" s="223"/>
      <c r="AH5866" s="346"/>
      <c r="AI5866" s="427"/>
      <c r="AJ5866" s="480"/>
      <c r="AK5866" s="427"/>
      <c r="AU5866" s="218"/>
      <c r="AV5866" s="218"/>
      <c r="AW5866" s="218"/>
      <c r="AX5866" s="218"/>
      <c r="AY5866" s="218"/>
      <c r="BI5866" s="427"/>
      <c r="BJ5866" s="427"/>
      <c r="BK5866" s="427"/>
      <c r="BL5866" s="427"/>
      <c r="BM5866" s="427"/>
      <c r="BN5866" s="427"/>
      <c r="BO5866" s="427"/>
      <c r="BP5866" s="427"/>
      <c r="BQ5866" s="427"/>
      <c r="BR5866" s="427"/>
      <c r="BS5866" s="427"/>
      <c r="BT5866" s="427"/>
      <c r="BU5866" s="427"/>
      <c r="BV5866" s="427"/>
      <c r="BW5866" s="427"/>
      <c r="BX5866" s="427"/>
      <c r="BY5866" s="427"/>
      <c r="BZ5866" s="427"/>
    </row>
    <row r="5867" spans="2:78" s="152" customFormat="1" x14ac:dyDescent="0.2">
      <c r="B5867" s="683"/>
      <c r="C5867" s="683"/>
      <c r="D5867" s="698"/>
      <c r="E5867" s="215"/>
      <c r="F5867" s="215"/>
      <c r="G5867" s="427"/>
      <c r="H5867" s="427"/>
      <c r="I5867" s="427"/>
      <c r="J5867" s="427"/>
      <c r="K5867" s="427"/>
      <c r="L5867" s="653"/>
      <c r="M5867" s="666"/>
      <c r="N5867" s="600">
        <v>8.1259999999999994</v>
      </c>
      <c r="O5867" s="605">
        <v>1.9263999999999999</v>
      </c>
      <c r="P5867" s="782"/>
      <c r="Q5867" s="764"/>
      <c r="R5867" s="764"/>
      <c r="S5867" s="764"/>
      <c r="T5867" s="764"/>
      <c r="U5867" s="764"/>
      <c r="V5867" s="764"/>
      <c r="W5867" s="764"/>
      <c r="X5867" s="764"/>
      <c r="Y5867" s="768"/>
      <c r="Z5867" s="266"/>
      <c r="AA5867" s="150"/>
      <c r="AB5867" s="150">
        <v>80</v>
      </c>
      <c r="AC5867" s="150">
        <v>6.3E-3</v>
      </c>
      <c r="AD5867" s="150">
        <v>17.2</v>
      </c>
      <c r="AE5867" s="150">
        <v>0.436</v>
      </c>
      <c r="AF5867" s="223"/>
      <c r="AG5867" s="223"/>
      <c r="AH5867" s="346"/>
      <c r="AI5867" s="427"/>
      <c r="AJ5867" s="480"/>
      <c r="AK5867" s="427"/>
      <c r="AU5867" s="218"/>
      <c r="AV5867" s="218"/>
      <c r="AW5867" s="218"/>
      <c r="AX5867" s="218"/>
      <c r="AY5867" s="218"/>
      <c r="BI5867" s="427"/>
      <c r="BJ5867" s="427"/>
      <c r="BK5867" s="427"/>
      <c r="BL5867" s="427"/>
      <c r="BM5867" s="427"/>
      <c r="BN5867" s="427"/>
      <c r="BO5867" s="427"/>
      <c r="BP5867" s="427"/>
      <c r="BQ5867" s="427"/>
      <c r="BR5867" s="427"/>
      <c r="BS5867" s="427"/>
      <c r="BT5867" s="427"/>
      <c r="BU5867" s="427"/>
      <c r="BV5867" s="427"/>
      <c r="BW5867" s="427"/>
      <c r="BX5867" s="427"/>
      <c r="BY5867" s="427"/>
      <c r="BZ5867" s="427"/>
    </row>
    <row r="5868" spans="2:78" s="152" customFormat="1" x14ac:dyDescent="0.2">
      <c r="B5868" s="683"/>
      <c r="C5868" s="683"/>
      <c r="D5868" s="698"/>
      <c r="E5868" s="215"/>
      <c r="F5868" s="215"/>
      <c r="G5868" s="427"/>
      <c r="H5868" s="427"/>
      <c r="I5868" s="427"/>
      <c r="J5868" s="427"/>
      <c r="K5868" s="427"/>
      <c r="L5868" s="653"/>
      <c r="M5868" s="666"/>
      <c r="N5868" s="600">
        <v>8.5169999999999995</v>
      </c>
      <c r="O5868" s="605">
        <v>4.8675999999999997E-2</v>
      </c>
      <c r="P5868" s="782"/>
      <c r="Q5868" s="764"/>
      <c r="R5868" s="764"/>
      <c r="S5868" s="764"/>
      <c r="T5868" s="764"/>
      <c r="U5868" s="764"/>
      <c r="V5868" s="764"/>
      <c r="W5868" s="764"/>
      <c r="X5868" s="764"/>
      <c r="Y5868" s="768"/>
      <c r="Z5868" s="266"/>
      <c r="AA5868" s="150"/>
      <c r="AB5868" s="150">
        <v>81</v>
      </c>
      <c r="AC5868" s="150">
        <v>6.3E-3</v>
      </c>
      <c r="AD5868" s="150">
        <v>17.2</v>
      </c>
      <c r="AE5868" s="150">
        <v>0.44500000000000001</v>
      </c>
      <c r="AF5868" s="223"/>
      <c r="AG5868" s="223"/>
      <c r="AH5868" s="346"/>
      <c r="AI5868" s="427"/>
      <c r="AJ5868" s="480"/>
      <c r="AK5868" s="427"/>
      <c r="AU5868" s="218"/>
      <c r="AV5868" s="218"/>
      <c r="AW5868" s="218"/>
      <c r="AX5868" s="218"/>
      <c r="AY5868" s="218"/>
      <c r="BI5868" s="427"/>
      <c r="BJ5868" s="427"/>
      <c r="BK5868" s="427"/>
      <c r="BL5868" s="427"/>
      <c r="BM5868" s="427"/>
      <c r="BN5868" s="427"/>
      <c r="BO5868" s="427"/>
      <c r="BP5868" s="427"/>
      <c r="BQ5868" s="427"/>
      <c r="BR5868" s="427"/>
      <c r="BS5868" s="427"/>
      <c r="BT5868" s="427"/>
      <c r="BU5868" s="427"/>
      <c r="BV5868" s="427"/>
      <c r="BW5868" s="427"/>
      <c r="BX5868" s="427"/>
      <c r="BY5868" s="427"/>
      <c r="BZ5868" s="427"/>
    </row>
    <row r="5869" spans="2:78" s="152" customFormat="1" x14ac:dyDescent="0.2">
      <c r="B5869" s="683"/>
      <c r="C5869" s="683"/>
      <c r="D5869" s="698"/>
      <c r="E5869" s="215"/>
      <c r="F5869" s="215"/>
      <c r="G5869" s="427"/>
      <c r="H5869" s="427"/>
      <c r="I5869" s="427"/>
      <c r="J5869" s="427"/>
      <c r="K5869" s="427"/>
      <c r="L5869" s="653"/>
      <c r="M5869" s="666"/>
      <c r="N5869" s="600">
        <v>8.7149999999999999</v>
      </c>
      <c r="O5869" s="605">
        <v>1.3914799999999998</v>
      </c>
      <c r="P5869" s="782"/>
      <c r="Q5869" s="764"/>
      <c r="R5869" s="764"/>
      <c r="S5869" s="764"/>
      <c r="T5869" s="764"/>
      <c r="U5869" s="764"/>
      <c r="V5869" s="764"/>
      <c r="W5869" s="764"/>
      <c r="X5869" s="764"/>
      <c r="Y5869" s="768"/>
      <c r="Z5869" s="266"/>
      <c r="AA5869" s="150"/>
      <c r="AB5869" s="150">
        <v>82</v>
      </c>
      <c r="AC5869" s="150">
        <v>6.3E-3</v>
      </c>
      <c r="AD5869" s="150">
        <v>17.2</v>
      </c>
      <c r="AE5869" s="150">
        <v>0.45</v>
      </c>
      <c r="AF5869" s="223"/>
      <c r="AG5869" s="223"/>
      <c r="AH5869" s="346"/>
      <c r="AI5869" s="427"/>
      <c r="AJ5869" s="480"/>
      <c r="AK5869" s="427"/>
      <c r="AU5869" s="218"/>
      <c r="AV5869" s="218"/>
      <c r="AW5869" s="218"/>
      <c r="AX5869" s="218"/>
      <c r="AY5869" s="218"/>
      <c r="BI5869" s="427"/>
      <c r="BJ5869" s="427"/>
      <c r="BK5869" s="427"/>
      <c r="BL5869" s="427"/>
      <c r="BM5869" s="427"/>
      <c r="BN5869" s="427"/>
      <c r="BO5869" s="427"/>
      <c r="BP5869" s="427"/>
      <c r="BQ5869" s="427"/>
      <c r="BR5869" s="427"/>
      <c r="BS5869" s="427"/>
      <c r="BT5869" s="427"/>
      <c r="BU5869" s="427"/>
      <c r="BV5869" s="427"/>
      <c r="BW5869" s="427"/>
      <c r="BX5869" s="427"/>
      <c r="BY5869" s="427"/>
      <c r="BZ5869" s="427"/>
    </row>
    <row r="5870" spans="2:78" s="152" customFormat="1" x14ac:dyDescent="0.2">
      <c r="B5870" s="683"/>
      <c r="C5870" s="683"/>
      <c r="D5870" s="698"/>
      <c r="E5870" s="215"/>
      <c r="F5870" s="215"/>
      <c r="G5870" s="427"/>
      <c r="H5870" s="427"/>
      <c r="I5870" s="427"/>
      <c r="J5870" s="427"/>
      <c r="K5870" s="427"/>
      <c r="L5870" s="653"/>
      <c r="M5870" s="666"/>
      <c r="N5870" s="600">
        <v>8.8160000000000007</v>
      </c>
      <c r="O5870" s="605">
        <v>0.49363999999999997</v>
      </c>
      <c r="P5870" s="782"/>
      <c r="Q5870" s="764"/>
      <c r="R5870" s="764"/>
      <c r="S5870" s="764"/>
      <c r="T5870" s="764"/>
      <c r="U5870" s="764"/>
      <c r="V5870" s="764"/>
      <c r="W5870" s="764"/>
      <c r="X5870" s="764"/>
      <c r="Y5870" s="768"/>
      <c r="Z5870" s="266"/>
      <c r="AA5870" s="150"/>
      <c r="AB5870" s="150">
        <v>83</v>
      </c>
      <c r="AC5870" s="150">
        <v>6.3E-3</v>
      </c>
      <c r="AD5870" s="150">
        <v>17.2</v>
      </c>
      <c r="AE5870" s="150">
        <v>0.45200000000000001</v>
      </c>
      <c r="AF5870" s="223"/>
      <c r="AG5870" s="223"/>
      <c r="AH5870" s="346"/>
      <c r="AI5870" s="427"/>
      <c r="AJ5870" s="480"/>
      <c r="AK5870" s="427"/>
      <c r="AU5870" s="218"/>
      <c r="AV5870" s="218"/>
      <c r="AW5870" s="218"/>
      <c r="AX5870" s="218"/>
      <c r="AY5870" s="218"/>
      <c r="BI5870" s="427"/>
      <c r="BJ5870" s="427"/>
      <c r="BK5870" s="427"/>
      <c r="BL5870" s="427"/>
      <c r="BM5870" s="427"/>
      <c r="BN5870" s="427"/>
      <c r="BO5870" s="427"/>
      <c r="BP5870" s="427"/>
      <c r="BQ5870" s="427"/>
      <c r="BR5870" s="427"/>
      <c r="BS5870" s="427"/>
      <c r="BT5870" s="427"/>
      <c r="BU5870" s="427"/>
      <c r="BV5870" s="427"/>
      <c r="BW5870" s="427"/>
      <c r="BX5870" s="427"/>
      <c r="BY5870" s="427"/>
      <c r="BZ5870" s="427"/>
    </row>
    <row r="5871" spans="2:78" s="152" customFormat="1" x14ac:dyDescent="0.2">
      <c r="B5871" s="683"/>
      <c r="C5871" s="683"/>
      <c r="D5871" s="698"/>
      <c r="E5871" s="215"/>
      <c r="F5871" s="215"/>
      <c r="G5871" s="427"/>
      <c r="H5871" s="427"/>
      <c r="I5871" s="427"/>
      <c r="J5871" s="427"/>
      <c r="K5871" s="427"/>
      <c r="L5871" s="653"/>
      <c r="M5871" s="666"/>
      <c r="N5871" s="600">
        <v>8.8160000000000007</v>
      </c>
      <c r="O5871" s="605">
        <v>0.81527999999999989</v>
      </c>
      <c r="P5871" s="782"/>
      <c r="Q5871" s="764"/>
      <c r="R5871" s="764"/>
      <c r="S5871" s="764"/>
      <c r="T5871" s="764"/>
      <c r="U5871" s="764"/>
      <c r="V5871" s="764"/>
      <c r="W5871" s="764"/>
      <c r="X5871" s="764"/>
      <c r="Y5871" s="768"/>
      <c r="Z5871" s="266"/>
      <c r="AA5871" s="150"/>
      <c r="AB5871" s="150">
        <v>84</v>
      </c>
      <c r="AC5871" s="150">
        <v>6.3E-3</v>
      </c>
      <c r="AD5871" s="150">
        <v>17.2</v>
      </c>
      <c r="AE5871" s="150">
        <v>0.45200000000000001</v>
      </c>
      <c r="AF5871" s="223"/>
      <c r="AG5871" s="223"/>
      <c r="AH5871" s="346"/>
      <c r="AI5871" s="427"/>
      <c r="AJ5871" s="480"/>
      <c r="AK5871" s="427"/>
      <c r="AU5871" s="218"/>
      <c r="AV5871" s="218"/>
      <c r="AW5871" s="218"/>
      <c r="AX5871" s="218"/>
      <c r="AY5871" s="218"/>
      <c r="BI5871" s="427"/>
      <c r="BJ5871" s="427"/>
      <c r="BK5871" s="427"/>
      <c r="BL5871" s="427"/>
      <c r="BM5871" s="427"/>
      <c r="BN5871" s="427"/>
      <c r="BO5871" s="427"/>
      <c r="BP5871" s="427"/>
      <c r="BQ5871" s="427"/>
      <c r="BR5871" s="427"/>
      <c r="BS5871" s="427"/>
      <c r="BT5871" s="427"/>
      <c r="BU5871" s="427"/>
      <c r="BV5871" s="427"/>
      <c r="BW5871" s="427"/>
      <c r="BX5871" s="427"/>
      <c r="BY5871" s="427"/>
      <c r="BZ5871" s="427"/>
    </row>
    <row r="5872" spans="2:78" s="152" customFormat="1" x14ac:dyDescent="0.2">
      <c r="B5872" s="683"/>
      <c r="C5872" s="683"/>
      <c r="D5872" s="698"/>
      <c r="E5872" s="215"/>
      <c r="F5872" s="215"/>
      <c r="G5872" s="427"/>
      <c r="H5872" s="427"/>
      <c r="I5872" s="427"/>
      <c r="J5872" s="427"/>
      <c r="K5872" s="427"/>
      <c r="L5872" s="653"/>
      <c r="M5872" s="666"/>
      <c r="N5872" s="600">
        <v>8.9149999999999991</v>
      </c>
      <c r="O5872" s="605">
        <v>2.5283999999999995</v>
      </c>
      <c r="P5872" s="782"/>
      <c r="Q5872" s="764"/>
      <c r="R5872" s="764"/>
      <c r="S5872" s="764"/>
      <c r="T5872" s="764"/>
      <c r="U5872" s="764"/>
      <c r="V5872" s="764"/>
      <c r="W5872" s="764"/>
      <c r="X5872" s="764"/>
      <c r="Y5872" s="768"/>
      <c r="Z5872" s="266"/>
      <c r="AA5872" s="150"/>
      <c r="AB5872" s="150">
        <v>85</v>
      </c>
      <c r="AC5872" s="150">
        <v>6.3E-3</v>
      </c>
      <c r="AD5872" s="150">
        <v>17.2</v>
      </c>
      <c r="AE5872" s="150">
        <v>0.45500000000000002</v>
      </c>
      <c r="AF5872" s="223"/>
      <c r="AG5872" s="223"/>
      <c r="AH5872" s="346"/>
      <c r="AI5872" s="427"/>
      <c r="AJ5872" s="480"/>
      <c r="AK5872" s="427"/>
      <c r="AU5872" s="218"/>
      <c r="AV5872" s="218"/>
      <c r="AW5872" s="218"/>
      <c r="AX5872" s="218"/>
      <c r="AY5872" s="218"/>
      <c r="BI5872" s="427"/>
      <c r="BJ5872" s="427"/>
      <c r="BK5872" s="427"/>
      <c r="BL5872" s="427"/>
      <c r="BM5872" s="427"/>
      <c r="BN5872" s="427"/>
      <c r="BO5872" s="427"/>
      <c r="BP5872" s="427"/>
      <c r="BQ5872" s="427"/>
      <c r="BR5872" s="427"/>
      <c r="BS5872" s="427"/>
      <c r="BT5872" s="427"/>
      <c r="BU5872" s="427"/>
      <c r="BV5872" s="427"/>
      <c r="BW5872" s="427"/>
      <c r="BX5872" s="427"/>
      <c r="BY5872" s="427"/>
      <c r="BZ5872" s="427"/>
    </row>
    <row r="5873" spans="1:80" s="152" customFormat="1" x14ac:dyDescent="0.2">
      <c r="B5873" s="683"/>
      <c r="C5873" s="683"/>
      <c r="D5873" s="698"/>
      <c r="E5873" s="215"/>
      <c r="F5873" s="215"/>
      <c r="G5873" s="427"/>
      <c r="H5873" s="427"/>
      <c r="I5873" s="427"/>
      <c r="J5873" s="427"/>
      <c r="K5873" s="427"/>
      <c r="L5873" s="653"/>
      <c r="M5873" s="666"/>
      <c r="N5873" s="600">
        <v>9.1189999999999998</v>
      </c>
      <c r="O5873" s="605">
        <v>0.63467999999999991</v>
      </c>
      <c r="P5873" s="782"/>
      <c r="Q5873" s="764"/>
      <c r="R5873" s="764"/>
      <c r="S5873" s="764"/>
      <c r="T5873" s="764"/>
      <c r="U5873" s="764"/>
      <c r="V5873" s="764"/>
      <c r="W5873" s="764"/>
      <c r="X5873" s="764"/>
      <c r="Y5873" s="768"/>
      <c r="Z5873" s="266"/>
      <c r="AA5873" s="150"/>
      <c r="AB5873" s="150">
        <v>86</v>
      </c>
      <c r="AC5873" s="150">
        <v>6.3E-3</v>
      </c>
      <c r="AD5873" s="150">
        <v>17.2</v>
      </c>
      <c r="AE5873" s="150">
        <v>0.45900000000000002</v>
      </c>
      <c r="AF5873" s="223"/>
      <c r="AG5873" s="223"/>
      <c r="AH5873" s="346"/>
      <c r="AI5873" s="427"/>
      <c r="AJ5873" s="480"/>
      <c r="AK5873" s="427"/>
      <c r="AU5873" s="218"/>
      <c r="AV5873" s="218"/>
      <c r="AW5873" s="218"/>
      <c r="AX5873" s="218"/>
      <c r="AY5873" s="218"/>
      <c r="BI5873" s="427"/>
      <c r="BJ5873" s="427"/>
      <c r="BK5873" s="427"/>
      <c r="BL5873" s="427"/>
      <c r="BM5873" s="427"/>
      <c r="BN5873" s="427"/>
      <c r="BO5873" s="427"/>
      <c r="BP5873" s="427"/>
      <c r="BQ5873" s="427"/>
      <c r="BR5873" s="427"/>
      <c r="BS5873" s="427"/>
      <c r="BT5873" s="427"/>
      <c r="BU5873" s="427"/>
      <c r="BV5873" s="427"/>
      <c r="BW5873" s="427"/>
      <c r="BX5873" s="427"/>
      <c r="BY5873" s="427"/>
      <c r="BZ5873" s="427"/>
    </row>
    <row r="5874" spans="1:80" s="152" customFormat="1" x14ac:dyDescent="0.2">
      <c r="B5874" s="683"/>
      <c r="C5874" s="683"/>
      <c r="D5874" s="698"/>
      <c r="E5874" s="215"/>
      <c r="F5874" s="215"/>
      <c r="G5874" s="427"/>
      <c r="H5874" s="427"/>
      <c r="I5874" s="427"/>
      <c r="J5874" s="427"/>
      <c r="K5874" s="427"/>
      <c r="L5874" s="653"/>
      <c r="M5874" s="666"/>
      <c r="N5874" s="600">
        <v>9.6340000000000003</v>
      </c>
      <c r="O5874" s="605">
        <v>1.3054800000000002</v>
      </c>
      <c r="P5874" s="782"/>
      <c r="Q5874" s="764"/>
      <c r="R5874" s="764"/>
      <c r="S5874" s="764"/>
      <c r="T5874" s="764"/>
      <c r="U5874" s="764"/>
      <c r="V5874" s="764"/>
      <c r="W5874" s="764"/>
      <c r="X5874" s="764"/>
      <c r="Y5874" s="768"/>
      <c r="Z5874" s="266"/>
      <c r="AA5874" s="150"/>
      <c r="AB5874" s="150">
        <v>87</v>
      </c>
      <c r="AC5874" s="150">
        <v>6.3E-3</v>
      </c>
      <c r="AD5874" s="150">
        <v>17.2</v>
      </c>
      <c r="AE5874" s="150">
        <v>0.47099999999999997</v>
      </c>
      <c r="AF5874" s="223"/>
      <c r="AG5874" s="223"/>
      <c r="AH5874" s="346"/>
      <c r="AI5874" s="427"/>
      <c r="AJ5874" s="480"/>
      <c r="AK5874" s="427"/>
      <c r="AU5874" s="218"/>
      <c r="AV5874" s="218"/>
      <c r="AW5874" s="218"/>
      <c r="AX5874" s="218"/>
      <c r="AY5874" s="218"/>
      <c r="BI5874" s="427"/>
      <c r="BJ5874" s="427"/>
      <c r="BK5874" s="427"/>
      <c r="BL5874" s="427"/>
      <c r="BM5874" s="427"/>
      <c r="BN5874" s="427"/>
      <c r="BO5874" s="427"/>
      <c r="BP5874" s="427"/>
      <c r="BQ5874" s="427"/>
      <c r="BR5874" s="427"/>
      <c r="BS5874" s="427"/>
      <c r="BT5874" s="427"/>
      <c r="BU5874" s="427"/>
      <c r="BV5874" s="427"/>
      <c r="BW5874" s="427"/>
      <c r="BX5874" s="427"/>
      <c r="BY5874" s="427"/>
      <c r="BZ5874" s="427"/>
    </row>
    <row r="5875" spans="1:80" s="152" customFormat="1" x14ac:dyDescent="0.2">
      <c r="B5875" s="683"/>
      <c r="C5875" s="683"/>
      <c r="D5875" s="698"/>
      <c r="E5875" s="215"/>
      <c r="F5875" s="215"/>
      <c r="G5875" s="427"/>
      <c r="H5875" s="427"/>
      <c r="I5875" s="427"/>
      <c r="J5875" s="427"/>
      <c r="K5875" s="427"/>
      <c r="L5875" s="653"/>
      <c r="M5875" s="666"/>
      <c r="N5875" s="600">
        <v>9.8450000000000006</v>
      </c>
      <c r="O5875" s="605">
        <v>1.5359599999999998</v>
      </c>
      <c r="P5875" s="782"/>
      <c r="Q5875" s="764"/>
      <c r="R5875" s="764"/>
      <c r="S5875" s="764"/>
      <c r="T5875" s="764"/>
      <c r="U5875" s="764"/>
      <c r="V5875" s="764"/>
      <c r="W5875" s="764"/>
      <c r="X5875" s="764"/>
      <c r="Y5875" s="768"/>
      <c r="Z5875" s="266"/>
      <c r="AA5875" s="150"/>
      <c r="AB5875" s="150">
        <v>88</v>
      </c>
      <c r="AC5875" s="150">
        <v>6.3E-3</v>
      </c>
      <c r="AD5875" s="150">
        <v>17.2</v>
      </c>
      <c r="AE5875" s="150">
        <v>0.47599999999999998</v>
      </c>
      <c r="AF5875" s="223"/>
      <c r="AG5875" s="223"/>
      <c r="AH5875" s="346"/>
      <c r="AI5875" s="427"/>
      <c r="AJ5875" s="480"/>
      <c r="AK5875" s="427"/>
      <c r="AU5875" s="218"/>
      <c r="AV5875" s="218"/>
      <c r="AW5875" s="218"/>
      <c r="AX5875" s="218"/>
      <c r="AY5875" s="218"/>
      <c r="BI5875" s="427"/>
      <c r="BJ5875" s="427"/>
      <c r="BK5875" s="427"/>
      <c r="BL5875" s="427"/>
      <c r="BM5875" s="427"/>
      <c r="BN5875" s="427"/>
      <c r="BO5875" s="427"/>
      <c r="BP5875" s="427"/>
      <c r="BQ5875" s="427"/>
      <c r="BR5875" s="427"/>
      <c r="BS5875" s="427"/>
      <c r="BT5875" s="427"/>
      <c r="BU5875" s="427"/>
      <c r="BV5875" s="427"/>
      <c r="BW5875" s="427"/>
      <c r="BX5875" s="427"/>
      <c r="BY5875" s="427"/>
      <c r="BZ5875" s="427"/>
    </row>
    <row r="5876" spans="1:80" s="152" customFormat="1" x14ac:dyDescent="0.2">
      <c r="B5876" s="683"/>
      <c r="C5876" s="683"/>
      <c r="D5876" s="698"/>
      <c r="E5876" s="215"/>
      <c r="F5876" s="215"/>
      <c r="G5876" s="427"/>
      <c r="H5876" s="427"/>
      <c r="I5876" s="427"/>
      <c r="J5876" s="427"/>
      <c r="K5876" s="427"/>
      <c r="L5876" s="653"/>
      <c r="M5876" s="666"/>
      <c r="N5876" s="600">
        <v>10.7</v>
      </c>
      <c r="O5876" s="605">
        <v>1.0990799999999998</v>
      </c>
      <c r="P5876" s="782"/>
      <c r="Q5876" s="764"/>
      <c r="R5876" s="764"/>
      <c r="S5876" s="764"/>
      <c r="T5876" s="764"/>
      <c r="U5876" s="764"/>
      <c r="V5876" s="764"/>
      <c r="W5876" s="764"/>
      <c r="X5876" s="764"/>
      <c r="Y5876" s="768"/>
      <c r="Z5876" s="266"/>
      <c r="AA5876" s="150"/>
      <c r="AB5876" s="150">
        <v>89</v>
      </c>
      <c r="AC5876" s="150">
        <v>6.3E-3</v>
      </c>
      <c r="AD5876" s="150">
        <v>17.2</v>
      </c>
      <c r="AE5876" s="150">
        <v>0.49399999999999999</v>
      </c>
      <c r="AF5876" s="223"/>
      <c r="AG5876" s="223"/>
      <c r="AH5876" s="346"/>
      <c r="AI5876" s="427"/>
      <c r="AJ5876" s="480"/>
      <c r="AK5876" s="427"/>
      <c r="AU5876" s="218"/>
      <c r="AV5876" s="218"/>
      <c r="AW5876" s="218"/>
      <c r="AX5876" s="218"/>
      <c r="AY5876" s="218"/>
      <c r="BI5876" s="427"/>
      <c r="BJ5876" s="427"/>
      <c r="BK5876" s="427"/>
      <c r="BL5876" s="427"/>
      <c r="BM5876" s="427"/>
      <c r="BN5876" s="427"/>
      <c r="BO5876" s="427"/>
      <c r="BP5876" s="427"/>
      <c r="BQ5876" s="427"/>
      <c r="BR5876" s="427"/>
      <c r="BS5876" s="427"/>
      <c r="BT5876" s="427"/>
      <c r="BU5876" s="427"/>
      <c r="BV5876" s="427"/>
      <c r="BW5876" s="427"/>
      <c r="BX5876" s="427"/>
      <c r="BY5876" s="427"/>
      <c r="BZ5876" s="427"/>
    </row>
    <row r="5877" spans="1:80" s="152" customFormat="1" x14ac:dyDescent="0.2">
      <c r="B5877" s="683"/>
      <c r="C5877" s="683"/>
      <c r="D5877" s="698"/>
      <c r="E5877" s="215"/>
      <c r="F5877" s="215"/>
      <c r="G5877" s="427"/>
      <c r="H5877" s="427"/>
      <c r="I5877" s="427"/>
      <c r="J5877" s="427"/>
      <c r="K5877" s="427"/>
      <c r="L5877" s="653"/>
      <c r="M5877" s="666"/>
      <c r="N5877" s="600">
        <v>11.029</v>
      </c>
      <c r="O5877" s="605">
        <v>5.0395999999999992</v>
      </c>
      <c r="P5877" s="782"/>
      <c r="Q5877" s="764"/>
      <c r="R5877" s="764"/>
      <c r="S5877" s="764"/>
      <c r="T5877" s="764"/>
      <c r="U5877" s="764"/>
      <c r="V5877" s="764"/>
      <c r="W5877" s="764"/>
      <c r="X5877" s="764"/>
      <c r="Y5877" s="768"/>
      <c r="Z5877" s="266"/>
      <c r="AA5877" s="150"/>
      <c r="AB5877" s="150">
        <v>90</v>
      </c>
      <c r="AC5877" s="150">
        <v>6.3E-3</v>
      </c>
      <c r="AD5877" s="150">
        <v>17.2</v>
      </c>
      <c r="AE5877" s="150">
        <v>0.501</v>
      </c>
      <c r="AF5877" s="223"/>
      <c r="AG5877" s="223"/>
      <c r="AH5877" s="346"/>
      <c r="AI5877" s="427"/>
      <c r="AJ5877" s="480"/>
      <c r="AK5877" s="427"/>
      <c r="AU5877" s="218"/>
      <c r="AV5877" s="218"/>
      <c r="AW5877" s="218"/>
      <c r="AX5877" s="218"/>
      <c r="AY5877" s="218"/>
      <c r="BI5877" s="427"/>
      <c r="BJ5877" s="427"/>
      <c r="BK5877" s="427"/>
      <c r="BL5877" s="427"/>
      <c r="BM5877" s="427"/>
      <c r="BN5877" s="427"/>
      <c r="BO5877" s="427"/>
      <c r="BP5877" s="427"/>
      <c r="BQ5877" s="427"/>
      <c r="BR5877" s="427"/>
      <c r="BS5877" s="427"/>
      <c r="BT5877" s="427"/>
      <c r="BU5877" s="427"/>
      <c r="BV5877" s="427"/>
      <c r="BW5877" s="427"/>
      <c r="BX5877" s="427"/>
      <c r="BY5877" s="427"/>
      <c r="BZ5877" s="427"/>
    </row>
    <row r="5878" spans="1:80" s="152" customFormat="1" x14ac:dyDescent="0.2">
      <c r="B5878" s="683"/>
      <c r="C5878" s="683"/>
      <c r="D5878" s="698"/>
      <c r="E5878" s="215"/>
      <c r="F5878" s="215"/>
      <c r="G5878" s="427"/>
      <c r="H5878" s="427"/>
      <c r="I5878" s="427"/>
      <c r="J5878" s="427"/>
      <c r="K5878" s="427"/>
      <c r="L5878" s="653"/>
      <c r="M5878" s="666"/>
      <c r="N5878" s="600">
        <v>11.029</v>
      </c>
      <c r="O5878" s="605">
        <v>0.6794</v>
      </c>
      <c r="P5878" s="782"/>
      <c r="Q5878" s="764"/>
      <c r="R5878" s="764"/>
      <c r="S5878" s="764"/>
      <c r="T5878" s="764"/>
      <c r="U5878" s="764"/>
      <c r="V5878" s="764"/>
      <c r="W5878" s="764"/>
      <c r="X5878" s="764"/>
      <c r="Y5878" s="768"/>
      <c r="Z5878" s="266"/>
      <c r="AA5878" s="150"/>
      <c r="AB5878" s="150">
        <v>91</v>
      </c>
      <c r="AC5878" s="150">
        <v>6.3E-3</v>
      </c>
      <c r="AD5878" s="150">
        <v>17.2</v>
      </c>
      <c r="AE5878" s="150">
        <v>0.501</v>
      </c>
      <c r="AF5878" s="223"/>
      <c r="AG5878" s="223"/>
      <c r="AH5878" s="346"/>
      <c r="AI5878" s="427"/>
      <c r="AJ5878" s="480"/>
      <c r="AK5878" s="427"/>
      <c r="AU5878" s="218"/>
      <c r="AV5878" s="218"/>
      <c r="AW5878" s="218"/>
      <c r="AX5878" s="218"/>
      <c r="AY5878" s="218"/>
      <c r="BI5878" s="427"/>
      <c r="BJ5878" s="427"/>
      <c r="BK5878" s="427"/>
      <c r="BL5878" s="427"/>
      <c r="BM5878" s="427"/>
      <c r="BN5878" s="427"/>
      <c r="BO5878" s="427"/>
      <c r="BP5878" s="427"/>
      <c r="BQ5878" s="427"/>
      <c r="BR5878" s="427"/>
      <c r="BS5878" s="427"/>
      <c r="BT5878" s="427"/>
      <c r="BU5878" s="427"/>
      <c r="BV5878" s="427"/>
      <c r="BW5878" s="427"/>
      <c r="BX5878" s="427"/>
      <c r="BY5878" s="427"/>
      <c r="BZ5878" s="427"/>
    </row>
    <row r="5879" spans="1:80" s="152" customFormat="1" x14ac:dyDescent="0.2">
      <c r="B5879" s="683"/>
      <c r="C5879" s="683"/>
      <c r="D5879" s="698"/>
      <c r="E5879" s="215"/>
      <c r="F5879" s="215"/>
      <c r="G5879" s="427"/>
      <c r="H5879" s="427"/>
      <c r="I5879" s="427"/>
      <c r="J5879" s="427"/>
      <c r="K5879" s="427"/>
      <c r="L5879" s="653"/>
      <c r="M5879" s="666"/>
      <c r="N5879" s="600">
        <v>11.25</v>
      </c>
      <c r="O5879" s="605">
        <v>1.5118800000000001</v>
      </c>
      <c r="P5879" s="782"/>
      <c r="Q5879" s="764"/>
      <c r="R5879" s="764"/>
      <c r="S5879" s="764"/>
      <c r="T5879" s="764"/>
      <c r="U5879" s="764"/>
      <c r="V5879" s="764"/>
      <c r="W5879" s="764"/>
      <c r="X5879" s="764"/>
      <c r="Y5879" s="768"/>
      <c r="Z5879" s="266"/>
      <c r="AA5879" s="150"/>
      <c r="AB5879" s="150">
        <v>92</v>
      </c>
      <c r="AC5879" s="150">
        <v>6.3E-3</v>
      </c>
      <c r="AD5879" s="150">
        <v>17.2</v>
      </c>
      <c r="AE5879" s="150">
        <v>0.505</v>
      </c>
      <c r="AF5879" s="223"/>
      <c r="AG5879" s="223"/>
      <c r="AH5879" s="346"/>
      <c r="AI5879" s="427"/>
      <c r="AJ5879" s="480"/>
      <c r="AK5879" s="427"/>
      <c r="AU5879" s="218"/>
      <c r="AV5879" s="218"/>
      <c r="AW5879" s="218"/>
      <c r="AX5879" s="218"/>
      <c r="AY5879" s="218"/>
      <c r="BI5879" s="427"/>
      <c r="BJ5879" s="427"/>
      <c r="BK5879" s="427"/>
      <c r="BL5879" s="427"/>
      <c r="BM5879" s="427"/>
      <c r="BN5879" s="427"/>
      <c r="BO5879" s="427"/>
      <c r="BP5879" s="427"/>
      <c r="BQ5879" s="427"/>
      <c r="BR5879" s="427"/>
      <c r="BS5879" s="427"/>
      <c r="BT5879" s="427"/>
      <c r="BU5879" s="427"/>
      <c r="BV5879" s="427"/>
      <c r="BW5879" s="427"/>
      <c r="BX5879" s="427"/>
      <c r="BY5879" s="427"/>
      <c r="BZ5879" s="427"/>
    </row>
    <row r="5880" spans="1:80" s="152" customFormat="1" x14ac:dyDescent="0.2">
      <c r="B5880" s="683"/>
      <c r="C5880" s="683"/>
      <c r="D5880" s="698"/>
      <c r="E5880" s="215"/>
      <c r="F5880" s="215"/>
      <c r="G5880" s="427"/>
      <c r="H5880" s="427"/>
      <c r="I5880" s="427"/>
      <c r="J5880" s="427"/>
      <c r="K5880" s="427"/>
      <c r="L5880" s="653"/>
      <c r="M5880" s="666"/>
      <c r="N5880" s="600">
        <v>11.926</v>
      </c>
      <c r="O5880" s="605">
        <v>0.93740000000000001</v>
      </c>
      <c r="P5880" s="782"/>
      <c r="Q5880" s="764"/>
      <c r="R5880" s="764"/>
      <c r="S5880" s="764"/>
      <c r="T5880" s="764"/>
      <c r="U5880" s="764"/>
      <c r="V5880" s="764"/>
      <c r="W5880" s="764"/>
      <c r="X5880" s="764"/>
      <c r="Y5880" s="768"/>
      <c r="Z5880" s="266"/>
      <c r="AA5880" s="150"/>
      <c r="AB5880" s="150">
        <v>93</v>
      </c>
      <c r="AC5880" s="150">
        <v>6.3E-3</v>
      </c>
      <c r="AD5880" s="150">
        <v>17.2</v>
      </c>
      <c r="AE5880" s="150">
        <v>0.51900000000000002</v>
      </c>
      <c r="AF5880" s="223"/>
      <c r="AG5880" s="223"/>
      <c r="AH5880" s="346"/>
      <c r="AI5880" s="427"/>
      <c r="AJ5880" s="480"/>
      <c r="AK5880" s="427"/>
      <c r="AU5880" s="218"/>
      <c r="AV5880" s="218"/>
      <c r="AW5880" s="218"/>
      <c r="AX5880" s="218"/>
      <c r="AY5880" s="218"/>
      <c r="BI5880" s="427"/>
      <c r="BJ5880" s="427"/>
      <c r="BK5880" s="427"/>
      <c r="BL5880" s="427"/>
      <c r="BM5880" s="427"/>
      <c r="BN5880" s="427"/>
      <c r="BO5880" s="427"/>
      <c r="BP5880" s="427"/>
      <c r="BQ5880" s="427"/>
      <c r="BR5880" s="427"/>
      <c r="BS5880" s="427"/>
      <c r="BT5880" s="427"/>
      <c r="BU5880" s="427"/>
      <c r="BV5880" s="427"/>
      <c r="BW5880" s="427"/>
      <c r="BX5880" s="427"/>
      <c r="BY5880" s="427"/>
      <c r="BZ5880" s="427"/>
    </row>
    <row r="5881" spans="1:80" s="152" customFormat="1" x14ac:dyDescent="0.2">
      <c r="B5881" s="683"/>
      <c r="C5881" s="683"/>
      <c r="D5881" s="698"/>
      <c r="E5881" s="215"/>
      <c r="F5881" s="215"/>
      <c r="G5881" s="427"/>
      <c r="H5881" s="427"/>
      <c r="I5881" s="427"/>
      <c r="J5881" s="427"/>
      <c r="K5881" s="427"/>
      <c r="L5881" s="653"/>
      <c r="M5881" s="666"/>
      <c r="N5881" s="600">
        <v>12.271000000000001</v>
      </c>
      <c r="O5881" s="605">
        <v>1.14208</v>
      </c>
      <c r="P5881" s="782"/>
      <c r="Q5881" s="764"/>
      <c r="R5881" s="764"/>
      <c r="S5881" s="764"/>
      <c r="T5881" s="764"/>
      <c r="U5881" s="764"/>
      <c r="V5881" s="764"/>
      <c r="W5881" s="764"/>
      <c r="X5881" s="764"/>
      <c r="Y5881" s="768"/>
      <c r="Z5881" s="266"/>
      <c r="AA5881" s="150"/>
      <c r="AB5881" s="150">
        <v>94</v>
      </c>
      <c r="AC5881" s="150">
        <v>6.3E-3</v>
      </c>
      <c r="AD5881" s="150">
        <v>17.2</v>
      </c>
      <c r="AE5881" s="150">
        <v>0.52600000000000002</v>
      </c>
      <c r="AF5881" s="223"/>
      <c r="AG5881" s="223"/>
      <c r="AH5881" s="346"/>
      <c r="AI5881" s="427"/>
      <c r="AJ5881" s="480"/>
      <c r="AK5881" s="427"/>
      <c r="AU5881" s="218"/>
      <c r="AV5881" s="218"/>
      <c r="AW5881" s="218"/>
      <c r="AX5881" s="218"/>
      <c r="AY5881" s="218"/>
      <c r="BI5881" s="427"/>
      <c r="BJ5881" s="427"/>
      <c r="BK5881" s="427"/>
      <c r="BL5881" s="427"/>
      <c r="BM5881" s="427"/>
      <c r="BN5881" s="427"/>
      <c r="BO5881" s="427"/>
      <c r="BP5881" s="427"/>
      <c r="BQ5881" s="427"/>
      <c r="BR5881" s="427"/>
      <c r="BS5881" s="427"/>
      <c r="BT5881" s="427"/>
      <c r="BU5881" s="427"/>
      <c r="BV5881" s="427"/>
      <c r="BW5881" s="427"/>
      <c r="BX5881" s="427"/>
      <c r="BY5881" s="427"/>
      <c r="BZ5881" s="427"/>
    </row>
    <row r="5882" spans="1:80" s="152" customFormat="1" x14ac:dyDescent="0.2">
      <c r="B5882" s="683"/>
      <c r="C5882" s="683"/>
      <c r="D5882" s="698"/>
      <c r="E5882" s="215"/>
      <c r="F5882" s="215"/>
      <c r="G5882" s="427"/>
      <c r="H5882" s="427"/>
      <c r="I5882" s="427"/>
      <c r="J5882" s="427"/>
      <c r="K5882" s="427"/>
      <c r="L5882" s="653"/>
      <c r="M5882" s="666"/>
      <c r="N5882" s="600">
        <v>14.804</v>
      </c>
      <c r="O5882" s="605">
        <v>2.9927999999999995</v>
      </c>
      <c r="P5882" s="782"/>
      <c r="Q5882" s="764"/>
      <c r="R5882" s="764"/>
      <c r="S5882" s="764"/>
      <c r="T5882" s="764"/>
      <c r="U5882" s="764"/>
      <c r="V5882" s="764"/>
      <c r="W5882" s="764"/>
      <c r="X5882" s="764"/>
      <c r="Y5882" s="768"/>
      <c r="Z5882" s="266"/>
      <c r="AA5882" s="150"/>
      <c r="AB5882" s="150">
        <v>95</v>
      </c>
      <c r="AC5882" s="150">
        <v>6.3E-3</v>
      </c>
      <c r="AD5882" s="150">
        <v>17.2</v>
      </c>
      <c r="AE5882" s="150">
        <v>0.57299999999999995</v>
      </c>
      <c r="AF5882" s="223"/>
      <c r="AG5882" s="223"/>
      <c r="AH5882" s="346"/>
      <c r="AI5882" s="427"/>
      <c r="AJ5882" s="480"/>
      <c r="AK5882" s="427"/>
      <c r="AU5882" s="218"/>
      <c r="AV5882" s="218"/>
      <c r="AW5882" s="218"/>
      <c r="AX5882" s="218"/>
      <c r="AY5882" s="218"/>
      <c r="BI5882" s="427"/>
      <c r="BJ5882" s="427"/>
      <c r="BK5882" s="427"/>
      <c r="BL5882" s="427"/>
      <c r="BM5882" s="427"/>
      <c r="BN5882" s="427"/>
      <c r="BO5882" s="427"/>
      <c r="BP5882" s="427"/>
      <c r="BQ5882" s="427"/>
      <c r="BR5882" s="427"/>
      <c r="BS5882" s="427"/>
      <c r="BT5882" s="427"/>
      <c r="BU5882" s="427"/>
      <c r="BV5882" s="427"/>
      <c r="BW5882" s="427"/>
      <c r="BX5882" s="427"/>
      <c r="BY5882" s="427"/>
      <c r="BZ5882" s="427"/>
    </row>
    <row r="5883" spans="1:80" s="152" customFormat="1" x14ac:dyDescent="0.2">
      <c r="B5883" s="683"/>
      <c r="C5883" s="683"/>
      <c r="D5883" s="698"/>
      <c r="E5883" s="215"/>
      <c r="F5883" s="215"/>
      <c r="G5883" s="427"/>
      <c r="H5883" s="427"/>
      <c r="I5883" s="427"/>
      <c r="J5883" s="427"/>
      <c r="K5883" s="427"/>
      <c r="L5883" s="653"/>
      <c r="M5883" s="666"/>
      <c r="N5883" s="600">
        <v>15.695</v>
      </c>
      <c r="O5883" s="605">
        <v>0.46783999999999998</v>
      </c>
      <c r="P5883" s="782"/>
      <c r="Q5883" s="764"/>
      <c r="R5883" s="764"/>
      <c r="S5883" s="764"/>
      <c r="T5883" s="764"/>
      <c r="U5883" s="764"/>
      <c r="V5883" s="764"/>
      <c r="W5883" s="764"/>
      <c r="X5883" s="764"/>
      <c r="Y5883" s="768"/>
      <c r="Z5883" s="266"/>
      <c r="AA5883" s="150"/>
      <c r="AB5883" s="150">
        <v>96</v>
      </c>
      <c r="AC5883" s="150">
        <v>6.3E-3</v>
      </c>
      <c r="AD5883" s="150">
        <v>17.2</v>
      </c>
      <c r="AE5883" s="150">
        <v>0.58799999999999997</v>
      </c>
      <c r="AF5883" s="223"/>
      <c r="AG5883" s="223"/>
      <c r="AH5883" s="346"/>
      <c r="AI5883" s="427"/>
      <c r="AJ5883" s="480"/>
      <c r="AK5883" s="427"/>
      <c r="AU5883" s="218"/>
      <c r="AV5883" s="218"/>
      <c r="AW5883" s="218"/>
      <c r="AX5883" s="218"/>
      <c r="AY5883" s="218"/>
      <c r="BI5883" s="427"/>
      <c r="BJ5883" s="427"/>
      <c r="BK5883" s="427"/>
      <c r="BL5883" s="427"/>
      <c r="BM5883" s="427"/>
      <c r="BN5883" s="427"/>
      <c r="BO5883" s="427"/>
      <c r="BP5883" s="427"/>
      <c r="BQ5883" s="427"/>
      <c r="BR5883" s="427"/>
      <c r="BS5883" s="427"/>
      <c r="BT5883" s="427"/>
      <c r="BU5883" s="427"/>
      <c r="BV5883" s="427"/>
      <c r="BW5883" s="427"/>
      <c r="BX5883" s="427"/>
      <c r="BY5883" s="427"/>
      <c r="BZ5883" s="427"/>
    </row>
    <row r="5884" spans="1:80" s="152" customFormat="1" x14ac:dyDescent="0.2">
      <c r="B5884" s="683"/>
      <c r="C5884" s="683"/>
      <c r="D5884" s="698"/>
      <c r="E5884" s="215"/>
      <c r="F5884" s="215"/>
      <c r="G5884" s="427"/>
      <c r="H5884" s="427"/>
      <c r="I5884" s="427"/>
      <c r="J5884" s="427"/>
      <c r="K5884" s="427"/>
      <c r="L5884" s="653"/>
      <c r="M5884" s="666"/>
      <c r="N5884" s="600">
        <v>15.952999999999999</v>
      </c>
      <c r="O5884" s="605">
        <v>6.9144000000000005</v>
      </c>
      <c r="P5884" s="782"/>
      <c r="Q5884" s="764"/>
      <c r="R5884" s="764"/>
      <c r="S5884" s="764"/>
      <c r="T5884" s="764"/>
      <c r="U5884" s="764"/>
      <c r="V5884" s="764"/>
      <c r="W5884" s="764"/>
      <c r="X5884" s="764"/>
      <c r="Y5884" s="768"/>
      <c r="Z5884" s="266"/>
      <c r="AA5884" s="150"/>
      <c r="AB5884" s="150">
        <v>97</v>
      </c>
      <c r="AC5884" s="150">
        <v>6.3E-3</v>
      </c>
      <c r="AD5884" s="150">
        <v>17.2</v>
      </c>
      <c r="AE5884" s="150">
        <v>0.59299999999999997</v>
      </c>
      <c r="AF5884" s="223"/>
      <c r="AG5884" s="223"/>
      <c r="AH5884" s="346"/>
      <c r="AI5884" s="427"/>
      <c r="AJ5884" s="480"/>
      <c r="AK5884" s="427"/>
      <c r="AU5884" s="218"/>
      <c r="AV5884" s="218"/>
      <c r="AW5884" s="218"/>
      <c r="AX5884" s="218"/>
      <c r="AY5884" s="218"/>
      <c r="BI5884" s="427"/>
      <c r="BJ5884" s="427"/>
      <c r="BK5884" s="427"/>
      <c r="BL5884" s="427"/>
      <c r="BM5884" s="427"/>
      <c r="BN5884" s="427"/>
      <c r="BO5884" s="427"/>
      <c r="BP5884" s="427"/>
      <c r="BQ5884" s="427"/>
      <c r="BR5884" s="427"/>
      <c r="BS5884" s="427"/>
      <c r="BT5884" s="427"/>
      <c r="BU5884" s="427"/>
      <c r="BV5884" s="427"/>
      <c r="BW5884" s="427"/>
      <c r="BX5884" s="427"/>
      <c r="BY5884" s="427"/>
      <c r="BZ5884" s="427"/>
    </row>
    <row r="5885" spans="1:80" s="152" customFormat="1" x14ac:dyDescent="0.2">
      <c r="B5885" s="683"/>
      <c r="C5885" s="683"/>
      <c r="D5885" s="698"/>
      <c r="E5885" s="215"/>
      <c r="F5885" s="215"/>
      <c r="G5885" s="427"/>
      <c r="H5885" s="427"/>
      <c r="I5885" s="427"/>
      <c r="J5885" s="427"/>
      <c r="K5885" s="427"/>
      <c r="L5885" s="653"/>
      <c r="M5885" s="666"/>
      <c r="N5885" s="600">
        <v>16.082000000000001</v>
      </c>
      <c r="O5885" s="605">
        <v>3.6635999999999997</v>
      </c>
      <c r="P5885" s="782"/>
      <c r="Q5885" s="764"/>
      <c r="R5885" s="764"/>
      <c r="S5885" s="764"/>
      <c r="T5885" s="764"/>
      <c r="U5885" s="764"/>
      <c r="V5885" s="764"/>
      <c r="W5885" s="764"/>
      <c r="X5885" s="764"/>
      <c r="Y5885" s="768"/>
      <c r="Z5885" s="266"/>
      <c r="AA5885" s="150"/>
      <c r="AB5885" s="150">
        <v>98</v>
      </c>
      <c r="AC5885" s="150">
        <v>6.3E-3</v>
      </c>
      <c r="AD5885" s="150">
        <v>17.2</v>
      </c>
      <c r="AE5885" s="150">
        <v>0.59499999999999997</v>
      </c>
      <c r="AF5885" s="223"/>
      <c r="AG5885" s="223"/>
      <c r="AH5885" s="346"/>
      <c r="AI5885" s="427"/>
      <c r="AJ5885" s="480"/>
      <c r="AK5885" s="427"/>
      <c r="AU5885" s="218"/>
      <c r="AV5885" s="218"/>
      <c r="AW5885" s="218"/>
      <c r="AX5885" s="218"/>
      <c r="AY5885" s="218"/>
      <c r="BI5885" s="427"/>
      <c r="BJ5885" s="427"/>
      <c r="BK5885" s="427"/>
      <c r="BL5885" s="427"/>
      <c r="BM5885" s="427"/>
      <c r="BN5885" s="427"/>
      <c r="BO5885" s="427"/>
      <c r="BP5885" s="427"/>
      <c r="BQ5885" s="427"/>
      <c r="BR5885" s="427"/>
      <c r="BS5885" s="427"/>
      <c r="BT5885" s="427"/>
      <c r="BU5885" s="427"/>
      <c r="BV5885" s="427"/>
      <c r="BW5885" s="427"/>
      <c r="BX5885" s="427"/>
      <c r="BY5885" s="427"/>
      <c r="BZ5885" s="427"/>
    </row>
    <row r="5886" spans="1:80" s="152" customFormat="1" x14ac:dyDescent="0.2">
      <c r="B5886" s="683"/>
      <c r="C5886" s="683"/>
      <c r="D5886" s="698"/>
      <c r="E5886" s="215"/>
      <c r="F5886" s="215"/>
      <c r="G5886" s="427"/>
      <c r="H5886" s="427"/>
      <c r="I5886" s="427"/>
      <c r="J5886" s="427"/>
      <c r="K5886" s="427"/>
      <c r="L5886" s="653"/>
      <c r="M5886" s="666"/>
      <c r="N5886" s="600">
        <v>18.228999999999999</v>
      </c>
      <c r="O5886" s="605">
        <v>1.9608000000000001</v>
      </c>
      <c r="P5886" s="782"/>
      <c r="Q5886" s="764"/>
      <c r="R5886" s="764"/>
      <c r="S5886" s="764"/>
      <c r="T5886" s="764"/>
      <c r="U5886" s="764"/>
      <c r="V5886" s="764"/>
      <c r="W5886" s="764"/>
      <c r="X5886" s="764"/>
      <c r="Y5886" s="768"/>
      <c r="Z5886" s="266"/>
      <c r="AA5886" s="150"/>
      <c r="AB5886" s="150">
        <v>99</v>
      </c>
      <c r="AC5886" s="150">
        <v>6.3E-3</v>
      </c>
      <c r="AD5886" s="150">
        <v>17.2</v>
      </c>
      <c r="AE5886" s="150">
        <v>0.63</v>
      </c>
      <c r="AF5886" s="223"/>
      <c r="AG5886" s="223"/>
      <c r="AH5886" s="346"/>
      <c r="AI5886" s="427"/>
      <c r="AJ5886" s="480"/>
      <c r="AK5886" s="427"/>
      <c r="AU5886" s="218"/>
      <c r="AV5886" s="218"/>
      <c r="AW5886" s="218"/>
      <c r="AX5886" s="218"/>
      <c r="AY5886" s="218"/>
      <c r="BI5886" s="427"/>
      <c r="BJ5886" s="427"/>
      <c r="BK5886" s="427"/>
      <c r="BL5886" s="427"/>
      <c r="BM5886" s="427"/>
      <c r="BN5886" s="427"/>
      <c r="BO5886" s="427"/>
      <c r="BP5886" s="427"/>
      <c r="BQ5886" s="427"/>
      <c r="BR5886" s="427"/>
      <c r="BS5886" s="427"/>
      <c r="BT5886" s="427"/>
      <c r="BU5886" s="427"/>
      <c r="BV5886" s="427"/>
      <c r="BW5886" s="427"/>
      <c r="BX5886" s="427"/>
      <c r="BY5886" s="427"/>
      <c r="BZ5886" s="427"/>
    </row>
    <row r="5887" spans="1:80" s="152" customFormat="1" ht="15" thickBot="1" x14ac:dyDescent="0.25">
      <c r="B5887" s="683"/>
      <c r="C5887" s="683"/>
      <c r="D5887" s="698"/>
      <c r="E5887" s="215"/>
      <c r="F5887" s="215"/>
      <c r="G5887" s="427"/>
      <c r="H5887" s="427"/>
      <c r="I5887" s="427"/>
      <c r="J5887" s="427"/>
      <c r="K5887" s="427"/>
      <c r="L5887" s="653"/>
      <c r="M5887" s="666"/>
      <c r="N5887" s="600">
        <v>18.504999999999999</v>
      </c>
      <c r="O5887" s="605">
        <v>7.1035999999999992</v>
      </c>
      <c r="P5887" s="782"/>
      <c r="Q5887" s="764"/>
      <c r="R5887" s="764"/>
      <c r="S5887" s="764"/>
      <c r="T5887" s="764"/>
      <c r="U5887" s="764"/>
      <c r="V5887" s="764"/>
      <c r="W5887" s="764"/>
      <c r="X5887" s="764"/>
      <c r="Y5887" s="768"/>
      <c r="Z5887" s="266"/>
      <c r="AA5887" s="150"/>
      <c r="AB5887" s="150">
        <v>100</v>
      </c>
      <c r="AC5887" s="150">
        <v>6.3E-3</v>
      </c>
      <c r="AD5887" s="150">
        <v>17.2</v>
      </c>
      <c r="AE5887" s="150">
        <v>0.63400000000000001</v>
      </c>
      <c r="AF5887" s="223"/>
      <c r="AG5887" s="223"/>
      <c r="AH5887" s="346"/>
      <c r="AI5887" s="427"/>
      <c r="AJ5887" s="480"/>
      <c r="AK5887" s="427"/>
      <c r="AU5887" s="218"/>
      <c r="AV5887" s="218"/>
      <c r="AW5887" s="218"/>
      <c r="AX5887" s="218"/>
      <c r="AY5887" s="218"/>
      <c r="BI5887" s="427"/>
      <c r="BJ5887" s="427"/>
      <c r="BK5887" s="427"/>
      <c r="BL5887" s="427"/>
      <c r="BM5887" s="427"/>
      <c r="BN5887" s="427"/>
      <c r="BO5887" s="427"/>
      <c r="BP5887" s="427"/>
      <c r="BQ5887" s="427"/>
      <c r="BR5887" s="427"/>
      <c r="BS5887" s="427"/>
      <c r="BT5887" s="427"/>
      <c r="BU5887" s="427"/>
      <c r="BV5887" s="427"/>
      <c r="BW5887" s="427"/>
      <c r="BX5887" s="427"/>
      <c r="BY5887" s="427"/>
      <c r="BZ5887" s="427"/>
    </row>
    <row r="5888" spans="1:80" s="189" customFormat="1" ht="15.75" thickTop="1" x14ac:dyDescent="0.25">
      <c r="A5888" s="9" t="s">
        <v>521</v>
      </c>
      <c r="B5888" s="610" t="s">
        <v>549</v>
      </c>
      <c r="C5888" s="610"/>
      <c r="D5888" s="4">
        <f>VLOOKUP(E5888,'Quality Code'!D4:E24,2,TRUE)*VLOOKUP(MROUND(F5888,10),'Quality Code'!D28:E69,2,TRUE)*VLOOKUP(COUNTA(CB5888:CB5898),'Quality Code'!D73:E93,2,TRUE)</f>
        <v>0.3</v>
      </c>
      <c r="E5888" s="14">
        <v>0.3</v>
      </c>
      <c r="F5888" s="18">
        <v>24</v>
      </c>
      <c r="G5888" s="12">
        <f>206*2.59</f>
        <v>533.54</v>
      </c>
      <c r="H5888" s="2" t="s">
        <v>572</v>
      </c>
      <c r="I5888" s="2"/>
      <c r="J5888" s="2"/>
      <c r="K5888" s="2"/>
      <c r="L5888" s="639"/>
      <c r="M5888" s="640"/>
      <c r="N5888" s="579"/>
      <c r="O5888" s="579"/>
      <c r="P5888" s="11"/>
      <c r="Q5888" s="11"/>
      <c r="R5888" s="11"/>
      <c r="S5888" s="11"/>
      <c r="T5888" s="11"/>
      <c r="U5888" s="11"/>
      <c r="V5888" s="11"/>
      <c r="W5888" s="11"/>
      <c r="X5888" s="11"/>
      <c r="Y5888" s="11"/>
      <c r="Z5888" s="11"/>
      <c r="AA5888" s="11"/>
      <c r="AB5888" s="11"/>
      <c r="AC5888" s="85">
        <v>7.45E-3</v>
      </c>
      <c r="AD5888" s="26"/>
      <c r="AE5888" s="26"/>
      <c r="AF5888" s="26"/>
      <c r="AG5888" s="26"/>
      <c r="AH5888" s="330"/>
      <c r="AI5888" s="123">
        <v>28</v>
      </c>
      <c r="AJ5888" s="17"/>
      <c r="AK5888" s="161"/>
      <c r="AL5888" s="17"/>
      <c r="AM5888" s="17"/>
      <c r="AN5888" s="17"/>
      <c r="AO5888" s="17"/>
      <c r="AP5888" s="17"/>
      <c r="AQ5888" s="17"/>
      <c r="AR5888" s="17"/>
      <c r="AS5888" s="17"/>
      <c r="AT5888" s="17"/>
      <c r="AU5888" s="18">
        <v>76</v>
      </c>
      <c r="AV5888" s="17"/>
      <c r="AW5888" s="17"/>
      <c r="AX5888" s="17"/>
      <c r="AY5888" s="125" t="s">
        <v>517</v>
      </c>
      <c r="AZ5888" s="125" t="s">
        <v>404</v>
      </c>
      <c r="BA5888" s="125" t="s">
        <v>405</v>
      </c>
      <c r="BB5888" s="125" t="s">
        <v>518</v>
      </c>
      <c r="BC5888" s="125"/>
      <c r="BD5888" s="125"/>
      <c r="BE5888" s="125"/>
      <c r="BF5888" s="125"/>
      <c r="BG5888" s="125"/>
      <c r="BH5888" s="125"/>
      <c r="BI5888" s="4">
        <f>AU5888/AI5888</f>
        <v>2.7142857142857144</v>
      </c>
      <c r="BJ5888" s="2"/>
      <c r="BK5888" s="2"/>
      <c r="BL5888" s="12"/>
      <c r="BM5888" s="12"/>
      <c r="BN5888" s="12">
        <v>43.5</v>
      </c>
      <c r="BO5888" s="12">
        <v>0.75</v>
      </c>
      <c r="BP5888" s="12">
        <f>BO5888*BN5888</f>
        <v>32.625</v>
      </c>
      <c r="BQ5888" s="12">
        <f>BN5888/BO5888</f>
        <v>58</v>
      </c>
      <c r="BR5888" s="12"/>
      <c r="BS5888" s="12"/>
      <c r="BT5888" s="12"/>
      <c r="BU5888" s="2"/>
      <c r="BV5888" s="2"/>
      <c r="BW5888" s="2"/>
      <c r="BX5888" s="2"/>
      <c r="BY5888" s="2"/>
      <c r="BZ5888" s="2"/>
      <c r="CA5888" s="9"/>
      <c r="CB5888" s="122" t="s">
        <v>550</v>
      </c>
    </row>
    <row r="5889" spans="2:80" s="152" customFormat="1" ht="15" x14ac:dyDescent="0.25">
      <c r="B5889" s="683"/>
      <c r="C5889" s="683"/>
      <c r="D5889" s="698"/>
      <c r="E5889" s="215"/>
      <c r="F5889" s="215"/>
      <c r="G5889" s="427"/>
      <c r="H5889" s="427"/>
      <c r="I5889" s="427"/>
      <c r="J5889" s="427"/>
      <c r="K5889" s="427"/>
      <c r="L5889" s="653"/>
      <c r="M5889" s="666">
        <v>24624</v>
      </c>
      <c r="N5889" s="600">
        <v>109.01990000000001</v>
      </c>
      <c r="O5889" s="608">
        <v>4.8850000000000005E-3</v>
      </c>
      <c r="P5889" s="782"/>
      <c r="Q5889" s="764"/>
      <c r="R5889" s="764"/>
      <c r="S5889" s="764"/>
      <c r="T5889" s="764"/>
      <c r="U5889" s="764"/>
      <c r="V5889" s="764"/>
      <c r="W5889" s="764"/>
      <c r="X5889" s="764"/>
      <c r="Y5889" s="768"/>
      <c r="Z5889" s="266"/>
      <c r="AA5889" s="150"/>
      <c r="AB5889" s="150">
        <v>1</v>
      </c>
      <c r="AC5889" s="150">
        <v>7.45E-3</v>
      </c>
      <c r="AD5889" s="223">
        <f t="shared" ref="AD5889:AD5912" si="46">(24*(N5889/0.028317)^0.23)*0.3048</f>
        <v>48.851923488477098</v>
      </c>
      <c r="AE5889" s="223">
        <f t="shared" ref="AE5889:AE5912" si="47">(0.19*(N5889/0.028317)^0.33)*0.3048</f>
        <v>0.8830186602480159</v>
      </c>
      <c r="AF5889" s="223">
        <f>AE5889*AD5889</f>
        <v>43.137160029333629</v>
      </c>
      <c r="AG5889" s="223">
        <f t="shared" ref="AG5889:AG5912" si="48">(0.22*(N5889/0.028317)^0.44)*0.3048</f>
        <v>2.5353586350569084</v>
      </c>
      <c r="AH5889" s="346"/>
      <c r="AI5889" s="427"/>
      <c r="AJ5889" s="480"/>
      <c r="AK5889" s="427"/>
      <c r="AU5889" s="218"/>
      <c r="AV5889" s="218"/>
      <c r="AW5889" s="218"/>
      <c r="AX5889" s="218"/>
      <c r="AY5889" s="157">
        <v>7</v>
      </c>
      <c r="AZ5889" s="155">
        <v>30</v>
      </c>
      <c r="BA5889" s="155">
        <v>80</v>
      </c>
      <c r="BB5889" s="155">
        <v>100</v>
      </c>
      <c r="BI5889" s="427"/>
      <c r="BJ5889" s="427"/>
      <c r="BK5889" s="427"/>
      <c r="BL5889" s="427"/>
      <c r="BM5889" s="427"/>
      <c r="BN5889" s="427"/>
      <c r="BO5889" s="427"/>
      <c r="BP5889" s="427"/>
      <c r="BQ5889" s="427"/>
      <c r="BR5889" s="427"/>
      <c r="BS5889" s="427"/>
      <c r="BT5889" s="427"/>
      <c r="BU5889" s="427"/>
      <c r="BV5889" s="427"/>
      <c r="BW5889" s="427"/>
      <c r="BX5889" s="427"/>
      <c r="BY5889" s="427"/>
      <c r="BZ5889" s="427"/>
      <c r="CB5889" s="152" t="s">
        <v>571</v>
      </c>
    </row>
    <row r="5890" spans="2:80" s="152" customFormat="1" x14ac:dyDescent="0.2">
      <c r="B5890" s="683"/>
      <c r="C5890" s="683"/>
      <c r="D5890" s="698"/>
      <c r="E5890" s="215"/>
      <c r="F5890" s="215"/>
      <c r="G5890" s="427"/>
      <c r="H5890" s="427"/>
      <c r="I5890" s="427"/>
      <c r="J5890" s="427"/>
      <c r="K5890" s="427"/>
      <c r="L5890" s="653"/>
      <c r="M5890" s="666">
        <v>24625</v>
      </c>
      <c r="N5890" s="600">
        <v>82.118899999999996</v>
      </c>
      <c r="O5890" s="608">
        <v>4.5770000000000003E-3</v>
      </c>
      <c r="P5890" s="782"/>
      <c r="Q5890" s="764"/>
      <c r="R5890" s="764"/>
      <c r="S5890" s="764"/>
      <c r="T5890" s="764"/>
      <c r="U5890" s="764"/>
      <c r="V5890" s="764"/>
      <c r="W5890" s="764"/>
      <c r="X5890" s="764"/>
      <c r="Y5890" s="768"/>
      <c r="Z5890" s="266"/>
      <c r="AA5890" s="150"/>
      <c r="AB5890" s="150">
        <v>2</v>
      </c>
      <c r="AC5890" s="150">
        <v>7.45E-3</v>
      </c>
      <c r="AD5890" s="223">
        <f t="shared" si="46"/>
        <v>45.769614795025085</v>
      </c>
      <c r="AE5890" s="223">
        <f t="shared" si="47"/>
        <v>0.80419099331430899</v>
      </c>
      <c r="AF5890" s="223">
        <f t="shared" ref="AF5890:AF5912" si="49">AE5890*AD5890</f>
        <v>36.807511985624515</v>
      </c>
      <c r="AG5890" s="223">
        <f t="shared" si="48"/>
        <v>2.2381636174572854</v>
      </c>
      <c r="AH5890" s="346"/>
      <c r="AI5890" s="427"/>
      <c r="AJ5890" s="480"/>
      <c r="AK5890" s="427"/>
      <c r="AU5890" s="218"/>
      <c r="AV5890" s="218"/>
      <c r="AW5890" s="218"/>
      <c r="AX5890" s="218"/>
      <c r="AY5890" s="218"/>
      <c r="BI5890" s="427"/>
      <c r="BJ5890" s="427"/>
      <c r="BK5890" s="427"/>
      <c r="BL5890" s="427"/>
      <c r="BM5890" s="427"/>
      <c r="BN5890" s="427"/>
      <c r="BO5890" s="427"/>
      <c r="BP5890" s="427"/>
      <c r="BQ5890" s="427"/>
      <c r="BR5890" s="427"/>
      <c r="BS5890" s="427"/>
      <c r="BT5890" s="427"/>
      <c r="BU5890" s="427"/>
      <c r="BV5890" s="427"/>
      <c r="BW5890" s="427"/>
      <c r="BX5890" s="427"/>
      <c r="BY5890" s="427"/>
      <c r="BZ5890" s="427"/>
      <c r="CB5890" s="152" t="s">
        <v>575</v>
      </c>
    </row>
    <row r="5891" spans="2:80" s="152" customFormat="1" ht="15" x14ac:dyDescent="0.2">
      <c r="B5891" s="683"/>
      <c r="C5891" s="683"/>
      <c r="D5891" s="698"/>
      <c r="E5891" s="215"/>
      <c r="F5891" s="215"/>
      <c r="G5891" s="427"/>
      <c r="H5891" s="427"/>
      <c r="I5891" s="427"/>
      <c r="J5891" s="427"/>
      <c r="K5891" s="427"/>
      <c r="L5891" s="653"/>
      <c r="M5891" s="666">
        <v>24640</v>
      </c>
      <c r="N5891" s="600">
        <v>53.802</v>
      </c>
      <c r="O5891" s="608">
        <v>4.1530000000000004E-3</v>
      </c>
      <c r="P5891" s="782"/>
      <c r="Q5891" s="764"/>
      <c r="R5891" s="764"/>
      <c r="S5891" s="764"/>
      <c r="T5891" s="764"/>
      <c r="U5891" s="764"/>
      <c r="V5891" s="764"/>
      <c r="W5891" s="764"/>
      <c r="X5891" s="764"/>
      <c r="Y5891" s="768"/>
      <c r="Z5891" s="266"/>
      <c r="AA5891" s="150"/>
      <c r="AB5891" s="150">
        <v>3</v>
      </c>
      <c r="AC5891" s="150">
        <v>7.45E-3</v>
      </c>
      <c r="AD5891" s="223">
        <f t="shared" si="46"/>
        <v>41.527804908653607</v>
      </c>
      <c r="AE5891" s="223">
        <f t="shared" si="47"/>
        <v>0.69944964292683165</v>
      </c>
      <c r="AF5891" s="223">
        <f t="shared" si="49"/>
        <v>29.046608314892893</v>
      </c>
      <c r="AG5891" s="223">
        <f t="shared" si="48"/>
        <v>1.8581816303157204</v>
      </c>
      <c r="AH5891" s="346"/>
      <c r="AI5891" s="427"/>
      <c r="AJ5891" s="480"/>
      <c r="AK5891" s="427"/>
      <c r="AU5891" s="218"/>
      <c r="AV5891" s="218"/>
      <c r="AW5891" s="218"/>
      <c r="AX5891" s="218"/>
      <c r="AY5891" s="218"/>
      <c r="BI5891" s="427"/>
      <c r="BJ5891" s="427"/>
      <c r="BK5891" s="427"/>
      <c r="BL5891" s="427"/>
      <c r="BM5891" s="427"/>
      <c r="BN5891" s="427"/>
      <c r="BO5891" s="427"/>
      <c r="BP5891" s="427"/>
      <c r="BQ5891" s="427"/>
      <c r="BR5891" s="427"/>
      <c r="BS5891" s="427"/>
      <c r="BT5891" s="427"/>
      <c r="BU5891" s="427"/>
      <c r="BV5891" s="427"/>
      <c r="BW5891" s="427"/>
      <c r="BX5891" s="427"/>
      <c r="BY5891" s="427"/>
      <c r="BZ5891" s="427"/>
      <c r="CB5891" s="485" t="s">
        <v>647</v>
      </c>
    </row>
    <row r="5892" spans="2:80" s="152" customFormat="1" x14ac:dyDescent="0.2">
      <c r="B5892" s="683"/>
      <c r="C5892" s="683"/>
      <c r="D5892" s="698"/>
      <c r="E5892" s="215"/>
      <c r="F5892" s="215"/>
      <c r="G5892" s="427"/>
      <c r="H5892" s="427"/>
      <c r="I5892" s="427"/>
      <c r="J5892" s="427"/>
      <c r="K5892" s="427"/>
      <c r="L5892" s="653"/>
      <c r="M5892" s="666">
        <v>24643</v>
      </c>
      <c r="N5892" s="600">
        <v>46.156500000000001</v>
      </c>
      <c r="O5892" s="608">
        <v>4.0090000000000004E-3</v>
      </c>
      <c r="P5892" s="782"/>
      <c r="Q5892" s="764"/>
      <c r="R5892" s="764"/>
      <c r="S5892" s="764"/>
      <c r="T5892" s="764"/>
      <c r="U5892" s="764"/>
      <c r="V5892" s="764"/>
      <c r="W5892" s="764"/>
      <c r="X5892" s="764"/>
      <c r="Y5892" s="768"/>
      <c r="Z5892" s="266"/>
      <c r="AA5892" s="150"/>
      <c r="AB5892" s="150">
        <v>4</v>
      </c>
      <c r="AC5892" s="150">
        <v>7.45E-3</v>
      </c>
      <c r="AD5892" s="223">
        <f t="shared" si="46"/>
        <v>40.089339308638507</v>
      </c>
      <c r="AE5892" s="223">
        <f t="shared" si="47"/>
        <v>0.66495127183491076</v>
      </c>
      <c r="AF5892" s="223">
        <f t="shared" si="49"/>
        <v>26.657457160300456</v>
      </c>
      <c r="AG5892" s="223">
        <f t="shared" si="48"/>
        <v>1.7369980065046566</v>
      </c>
      <c r="AH5892" s="346"/>
      <c r="AI5892" s="427"/>
      <c r="AJ5892" s="480"/>
      <c r="AK5892" s="427"/>
      <c r="AU5892" s="218"/>
      <c r="AV5892" s="218"/>
      <c r="AW5892" s="218"/>
      <c r="AX5892" s="218"/>
      <c r="AY5892" s="218"/>
      <c r="BI5892" s="427"/>
      <c r="BJ5892" s="427"/>
      <c r="BK5892" s="427"/>
      <c r="BL5892" s="427"/>
      <c r="BM5892" s="427"/>
      <c r="BN5892" s="427"/>
      <c r="BO5892" s="427"/>
      <c r="BP5892" s="427"/>
      <c r="BQ5892" s="427"/>
      <c r="BR5892" s="427"/>
      <c r="BS5892" s="427"/>
      <c r="BT5892" s="427"/>
      <c r="BU5892" s="427"/>
      <c r="BV5892" s="427"/>
      <c r="BW5892" s="427"/>
      <c r="BX5892" s="427"/>
      <c r="BY5892" s="427"/>
      <c r="BZ5892" s="427"/>
    </row>
    <row r="5893" spans="2:80" s="152" customFormat="1" x14ac:dyDescent="0.2">
      <c r="B5893" s="683"/>
      <c r="C5893" s="683"/>
      <c r="D5893" s="698"/>
      <c r="E5893" s="215"/>
      <c r="F5893" s="215"/>
      <c r="G5893" s="427"/>
      <c r="H5893" s="427"/>
      <c r="I5893" s="427"/>
      <c r="J5893" s="427"/>
      <c r="K5893" s="427"/>
      <c r="L5893" s="653"/>
      <c r="M5893" s="666">
        <v>24644</v>
      </c>
      <c r="N5893" s="600">
        <v>44.174300000000002</v>
      </c>
      <c r="O5893" s="608">
        <v>3.9690000000000003E-3</v>
      </c>
      <c r="P5893" s="782"/>
      <c r="Q5893" s="764"/>
      <c r="R5893" s="764"/>
      <c r="S5893" s="764"/>
      <c r="T5893" s="764"/>
      <c r="U5893" s="764"/>
      <c r="V5893" s="764"/>
      <c r="W5893" s="764"/>
      <c r="X5893" s="764"/>
      <c r="Y5893" s="768"/>
      <c r="Z5893" s="266"/>
      <c r="AA5893" s="150"/>
      <c r="AB5893" s="150">
        <v>5</v>
      </c>
      <c r="AC5893" s="150">
        <v>7.45E-3</v>
      </c>
      <c r="AD5893" s="223">
        <f t="shared" si="46"/>
        <v>39.686643002214254</v>
      </c>
      <c r="AE5893" s="223">
        <f t="shared" si="47"/>
        <v>0.65538872742736598</v>
      </c>
      <c r="AF5893" s="223">
        <f t="shared" si="49"/>
        <v>26.010178453085381</v>
      </c>
      <c r="AG5893" s="223">
        <f t="shared" si="48"/>
        <v>1.7037721505384813</v>
      </c>
      <c r="AH5893" s="346"/>
      <c r="AI5893" s="427"/>
      <c r="AJ5893" s="480"/>
      <c r="AK5893" s="427"/>
      <c r="AU5893" s="218"/>
      <c r="AV5893" s="218"/>
      <c r="AW5893" s="218"/>
      <c r="AX5893" s="218"/>
      <c r="AY5893" s="218"/>
      <c r="BI5893" s="427"/>
      <c r="BJ5893" s="427"/>
      <c r="BK5893" s="427"/>
      <c r="BL5893" s="427"/>
      <c r="BM5893" s="427"/>
      <c r="BN5893" s="427"/>
      <c r="BO5893" s="427"/>
      <c r="BP5893" s="427"/>
      <c r="BQ5893" s="427"/>
      <c r="BR5893" s="427"/>
      <c r="BS5893" s="427"/>
      <c r="BT5893" s="427"/>
      <c r="BU5893" s="427"/>
      <c r="BV5893" s="427"/>
      <c r="BW5893" s="427"/>
      <c r="BX5893" s="427"/>
      <c r="BY5893" s="427"/>
      <c r="BZ5893" s="427"/>
    </row>
    <row r="5894" spans="2:80" s="152" customFormat="1" x14ac:dyDescent="0.2">
      <c r="B5894" s="683"/>
      <c r="C5894" s="683"/>
      <c r="D5894" s="698"/>
      <c r="E5894" s="215"/>
      <c r="F5894" s="215"/>
      <c r="G5894" s="427"/>
      <c r="H5894" s="427"/>
      <c r="I5894" s="427"/>
      <c r="J5894" s="427"/>
      <c r="K5894" s="427"/>
      <c r="L5894" s="653"/>
      <c r="M5894" s="666">
        <v>24645</v>
      </c>
      <c r="N5894" s="600">
        <v>41.625799999999998</v>
      </c>
      <c r="O5894" s="608">
        <v>3.9150000000000001E-3</v>
      </c>
      <c r="P5894" s="782"/>
      <c r="Q5894" s="764"/>
      <c r="R5894" s="764"/>
      <c r="S5894" s="764"/>
      <c r="T5894" s="764"/>
      <c r="U5894" s="764"/>
      <c r="V5894" s="764"/>
      <c r="W5894" s="764"/>
      <c r="X5894" s="764"/>
      <c r="Y5894" s="768"/>
      <c r="Z5894" s="266"/>
      <c r="AA5894" s="150"/>
      <c r="AB5894" s="150">
        <v>6</v>
      </c>
      <c r="AC5894" s="150">
        <v>7.45E-3</v>
      </c>
      <c r="AD5894" s="223">
        <f t="shared" si="46"/>
        <v>39.147923901654366</v>
      </c>
      <c r="AE5894" s="223">
        <f t="shared" si="47"/>
        <v>0.64266201283827307</v>
      </c>
      <c r="AF5894" s="223">
        <f t="shared" si="49"/>
        <v>25.158883573076736</v>
      </c>
      <c r="AG5894" s="223">
        <f t="shared" si="48"/>
        <v>1.6598024394980986</v>
      </c>
      <c r="AH5894" s="346"/>
      <c r="AI5894" s="427"/>
      <c r="AJ5894" s="480"/>
      <c r="AK5894" s="427"/>
      <c r="AU5894" s="218"/>
      <c r="AV5894" s="218"/>
      <c r="AW5894" s="218"/>
      <c r="AX5894" s="218"/>
      <c r="AY5894" s="218"/>
      <c r="BI5894" s="427"/>
      <c r="BJ5894" s="427"/>
      <c r="BK5894" s="427"/>
      <c r="BL5894" s="427"/>
      <c r="BM5894" s="427"/>
      <c r="BN5894" s="427"/>
      <c r="BO5894" s="427"/>
      <c r="BP5894" s="427"/>
      <c r="BQ5894" s="427"/>
      <c r="BR5894" s="427"/>
      <c r="BS5894" s="427"/>
      <c r="BT5894" s="427"/>
      <c r="BU5894" s="427"/>
      <c r="BV5894" s="427"/>
      <c r="BW5894" s="427"/>
      <c r="BX5894" s="427"/>
      <c r="BY5894" s="427"/>
      <c r="BZ5894" s="427"/>
    </row>
    <row r="5895" spans="2:80" s="152" customFormat="1" x14ac:dyDescent="0.2">
      <c r="B5895" s="683"/>
      <c r="C5895" s="683"/>
      <c r="D5895" s="698"/>
      <c r="E5895" s="215"/>
      <c r="F5895" s="215"/>
      <c r="G5895" s="427"/>
      <c r="H5895" s="427"/>
      <c r="I5895" s="427"/>
      <c r="J5895" s="427"/>
      <c r="K5895" s="427"/>
      <c r="L5895" s="653"/>
      <c r="M5895" s="666">
        <v>24646</v>
      </c>
      <c r="N5895" s="600">
        <v>35.396099999999997</v>
      </c>
      <c r="O5895" s="608">
        <v>3.7720000000000002E-3</v>
      </c>
      <c r="P5895" s="782"/>
      <c r="Q5895" s="764"/>
      <c r="R5895" s="764"/>
      <c r="S5895" s="764"/>
      <c r="T5895" s="764"/>
      <c r="U5895" s="764"/>
      <c r="V5895" s="764"/>
      <c r="W5895" s="764"/>
      <c r="X5895" s="764"/>
      <c r="Y5895" s="768"/>
      <c r="Z5895" s="266"/>
      <c r="AA5895" s="150"/>
      <c r="AB5895" s="150">
        <v>7</v>
      </c>
      <c r="AC5895" s="150">
        <v>7.45E-3</v>
      </c>
      <c r="AD5895" s="223">
        <f t="shared" si="46"/>
        <v>37.715084412271679</v>
      </c>
      <c r="AE5895" s="223">
        <f t="shared" si="47"/>
        <v>0.60918368067135464</v>
      </c>
      <c r="AF5895" s="223">
        <f t="shared" si="49"/>
        <v>22.975413939098495</v>
      </c>
      <c r="AG5895" s="223">
        <f t="shared" si="48"/>
        <v>1.5455292880166733</v>
      </c>
      <c r="AH5895" s="346"/>
      <c r="AI5895" s="427"/>
      <c r="AJ5895" s="480"/>
      <c r="AK5895" s="427"/>
      <c r="AU5895" s="218"/>
      <c r="AV5895" s="218"/>
      <c r="AW5895" s="218"/>
      <c r="AX5895" s="218"/>
      <c r="AY5895" s="218"/>
      <c r="BI5895" s="427"/>
      <c r="BJ5895" s="427"/>
      <c r="BK5895" s="427"/>
      <c r="BL5895" s="427"/>
      <c r="BM5895" s="427"/>
      <c r="BN5895" s="427"/>
      <c r="BO5895" s="427"/>
      <c r="BP5895" s="427"/>
      <c r="BQ5895" s="427"/>
      <c r="BR5895" s="427"/>
      <c r="BS5895" s="427"/>
      <c r="BT5895" s="427"/>
      <c r="BU5895" s="427"/>
      <c r="BV5895" s="427"/>
      <c r="BW5895" s="427"/>
      <c r="BX5895" s="427"/>
      <c r="BY5895" s="427"/>
      <c r="BZ5895" s="427"/>
    </row>
    <row r="5896" spans="2:80" s="152" customFormat="1" x14ac:dyDescent="0.2">
      <c r="B5896" s="683"/>
      <c r="C5896" s="683"/>
      <c r="D5896" s="698"/>
      <c r="E5896" s="215"/>
      <c r="F5896" s="215"/>
      <c r="G5896" s="427"/>
      <c r="H5896" s="427"/>
      <c r="I5896" s="427"/>
      <c r="J5896" s="427"/>
      <c r="K5896" s="427"/>
      <c r="L5896" s="653"/>
      <c r="M5896" s="666">
        <v>24997</v>
      </c>
      <c r="N5896" s="600">
        <v>42.192100000000003</v>
      </c>
      <c r="O5896" s="608">
        <v>3.9270000000000008E-3</v>
      </c>
      <c r="P5896" s="782"/>
      <c r="Q5896" s="764"/>
      <c r="R5896" s="764"/>
      <c r="S5896" s="764"/>
      <c r="T5896" s="764"/>
      <c r="U5896" s="764"/>
      <c r="V5896" s="764"/>
      <c r="W5896" s="764"/>
      <c r="X5896" s="764"/>
      <c r="Y5896" s="768"/>
      <c r="Z5896" s="266"/>
      <c r="AA5896" s="150"/>
      <c r="AB5896" s="150">
        <v>8</v>
      </c>
      <c r="AC5896" s="150">
        <v>7.45E-3</v>
      </c>
      <c r="AD5896" s="223">
        <f t="shared" si="46"/>
        <v>39.269783016518389</v>
      </c>
      <c r="AE5896" s="223">
        <f t="shared" si="47"/>
        <v>0.64553419268175549</v>
      </c>
      <c r="AF5896" s="223">
        <f t="shared" si="49"/>
        <v>25.349987676355912</v>
      </c>
      <c r="AG5896" s="223">
        <f t="shared" si="48"/>
        <v>1.6697004334782872</v>
      </c>
      <c r="AH5896" s="346"/>
      <c r="AI5896" s="427"/>
      <c r="AJ5896" s="480"/>
      <c r="AK5896" s="427"/>
      <c r="AU5896" s="218"/>
      <c r="AV5896" s="218"/>
      <c r="AW5896" s="218"/>
      <c r="AX5896" s="218"/>
      <c r="AY5896" s="218"/>
      <c r="BI5896" s="427"/>
      <c r="BJ5896" s="427"/>
      <c r="BK5896" s="427"/>
      <c r="BL5896" s="427"/>
      <c r="BM5896" s="427"/>
      <c r="BN5896" s="427"/>
      <c r="BO5896" s="427"/>
      <c r="BP5896" s="427"/>
      <c r="BQ5896" s="427"/>
      <c r="BR5896" s="427"/>
      <c r="BS5896" s="427"/>
      <c r="BT5896" s="427"/>
      <c r="BU5896" s="427"/>
      <c r="BV5896" s="427"/>
      <c r="BW5896" s="427"/>
      <c r="BX5896" s="427"/>
      <c r="BY5896" s="427"/>
      <c r="BZ5896" s="427"/>
    </row>
    <row r="5897" spans="2:80" s="152" customFormat="1" x14ac:dyDescent="0.2">
      <c r="B5897" s="683"/>
      <c r="C5897" s="683"/>
      <c r="D5897" s="698"/>
      <c r="E5897" s="215"/>
      <c r="F5897" s="215"/>
      <c r="G5897" s="427"/>
      <c r="H5897" s="427"/>
      <c r="I5897" s="427"/>
      <c r="J5897" s="427"/>
      <c r="K5897" s="427"/>
      <c r="L5897" s="653"/>
      <c r="M5897" s="666">
        <v>24998</v>
      </c>
      <c r="N5897" s="600">
        <v>39.643599999999999</v>
      </c>
      <c r="O5897" s="608">
        <v>3.8710000000000003E-3</v>
      </c>
      <c r="P5897" s="782"/>
      <c r="Q5897" s="764"/>
      <c r="R5897" s="764"/>
      <c r="S5897" s="764"/>
      <c r="T5897" s="764"/>
      <c r="U5897" s="764"/>
      <c r="V5897" s="764"/>
      <c r="W5897" s="764"/>
      <c r="X5897" s="764"/>
      <c r="Y5897" s="768"/>
      <c r="Z5897" s="266"/>
      <c r="AA5897" s="150"/>
      <c r="AB5897" s="150">
        <v>9</v>
      </c>
      <c r="AC5897" s="150">
        <v>7.45E-3</v>
      </c>
      <c r="AD5897" s="223">
        <f t="shared" si="46"/>
        <v>38.711067591688398</v>
      </c>
      <c r="AE5897" s="223">
        <f t="shared" si="47"/>
        <v>0.6323974242243372</v>
      </c>
      <c r="AF5897" s="223">
        <f t="shared" si="49"/>
        <v>24.480779433957959</v>
      </c>
      <c r="AG5897" s="223">
        <f t="shared" si="48"/>
        <v>1.6245497480955511</v>
      </c>
      <c r="AH5897" s="346"/>
      <c r="AI5897" s="427"/>
      <c r="AJ5897" s="480"/>
      <c r="AK5897" s="427"/>
      <c r="AU5897" s="218"/>
      <c r="AV5897" s="218"/>
      <c r="AW5897" s="218"/>
      <c r="AX5897" s="218"/>
      <c r="AY5897" s="218"/>
      <c r="BI5897" s="427"/>
      <c r="BJ5897" s="427"/>
      <c r="BK5897" s="427"/>
      <c r="BL5897" s="427"/>
      <c r="BM5897" s="427"/>
      <c r="BN5897" s="427"/>
      <c r="BO5897" s="427"/>
      <c r="BP5897" s="427"/>
      <c r="BQ5897" s="427"/>
      <c r="BR5897" s="427"/>
      <c r="BS5897" s="427"/>
      <c r="BT5897" s="427"/>
      <c r="BU5897" s="427"/>
      <c r="BV5897" s="427"/>
      <c r="BW5897" s="427"/>
      <c r="BX5897" s="427"/>
      <c r="BY5897" s="427"/>
      <c r="BZ5897" s="427"/>
    </row>
    <row r="5898" spans="2:80" s="152" customFormat="1" x14ac:dyDescent="0.2">
      <c r="B5898" s="683"/>
      <c r="C5898" s="683"/>
      <c r="D5898" s="698"/>
      <c r="E5898" s="215"/>
      <c r="F5898" s="215"/>
      <c r="G5898" s="427"/>
      <c r="H5898" s="427"/>
      <c r="I5898" s="427"/>
      <c r="J5898" s="427"/>
      <c r="K5898" s="427"/>
      <c r="L5898" s="653"/>
      <c r="M5898" s="666">
        <v>24999</v>
      </c>
      <c r="N5898" s="600">
        <v>38.7941</v>
      </c>
      <c r="O5898" s="608">
        <v>3.8520000000000004E-3</v>
      </c>
      <c r="P5898" s="782"/>
      <c r="Q5898" s="764"/>
      <c r="R5898" s="764"/>
      <c r="S5898" s="764"/>
      <c r="T5898" s="764"/>
      <c r="U5898" s="764"/>
      <c r="V5898" s="764"/>
      <c r="W5898" s="764"/>
      <c r="X5898" s="764"/>
      <c r="Y5898" s="768"/>
      <c r="Z5898" s="266"/>
      <c r="AA5898" s="150"/>
      <c r="AB5898" s="150">
        <v>10</v>
      </c>
      <c r="AC5898" s="150">
        <v>7.45E-3</v>
      </c>
      <c r="AD5898" s="223">
        <f t="shared" si="46"/>
        <v>38.518684415019536</v>
      </c>
      <c r="AE5898" s="223">
        <f t="shared" si="47"/>
        <v>0.62789301079666027</v>
      </c>
      <c r="AF5898" s="223">
        <f t="shared" si="49"/>
        <v>24.185612729273011</v>
      </c>
      <c r="AG5898" s="223">
        <f t="shared" si="48"/>
        <v>1.6091397276211081</v>
      </c>
      <c r="AH5898" s="346"/>
      <c r="AI5898" s="427"/>
      <c r="AJ5898" s="480"/>
      <c r="AK5898" s="427"/>
      <c r="AU5898" s="218"/>
      <c r="AV5898" s="218"/>
      <c r="AW5898" s="218"/>
      <c r="AX5898" s="218"/>
      <c r="AY5898" s="218"/>
      <c r="BI5898" s="427"/>
      <c r="BJ5898" s="427"/>
      <c r="BK5898" s="427"/>
      <c r="BL5898" s="427"/>
      <c r="BM5898" s="427"/>
      <c r="BN5898" s="427"/>
      <c r="BO5898" s="427"/>
      <c r="BP5898" s="427"/>
      <c r="BQ5898" s="427"/>
      <c r="BR5898" s="427"/>
      <c r="BS5898" s="427"/>
      <c r="BT5898" s="427"/>
      <c r="BU5898" s="427"/>
      <c r="BV5898" s="427"/>
      <c r="BW5898" s="427"/>
      <c r="BX5898" s="427"/>
      <c r="BY5898" s="427"/>
      <c r="BZ5898" s="427"/>
    </row>
    <row r="5899" spans="2:80" s="152" customFormat="1" x14ac:dyDescent="0.2">
      <c r="B5899" s="683"/>
      <c r="C5899" s="683"/>
      <c r="D5899" s="698"/>
      <c r="E5899" s="215"/>
      <c r="F5899" s="215"/>
      <c r="G5899" s="427"/>
      <c r="H5899" s="427"/>
      <c r="I5899" s="427"/>
      <c r="J5899" s="427"/>
      <c r="K5899" s="427"/>
      <c r="L5899" s="653"/>
      <c r="M5899" s="666">
        <v>25379</v>
      </c>
      <c r="N5899" s="600">
        <v>82.118899999999996</v>
      </c>
      <c r="O5899" s="608">
        <v>4.5770000000000003E-3</v>
      </c>
      <c r="P5899" s="782"/>
      <c r="Q5899" s="764"/>
      <c r="R5899" s="764"/>
      <c r="S5899" s="764"/>
      <c r="T5899" s="764"/>
      <c r="U5899" s="764"/>
      <c r="V5899" s="764"/>
      <c r="W5899" s="764"/>
      <c r="X5899" s="764"/>
      <c r="Y5899" s="768"/>
      <c r="Z5899" s="266"/>
      <c r="AA5899" s="150"/>
      <c r="AB5899" s="150">
        <v>11</v>
      </c>
      <c r="AC5899" s="150">
        <v>7.45E-3</v>
      </c>
      <c r="AD5899" s="223">
        <f t="shared" si="46"/>
        <v>45.769614795025085</v>
      </c>
      <c r="AE5899" s="223">
        <f t="shared" si="47"/>
        <v>0.80419099331430899</v>
      </c>
      <c r="AF5899" s="223">
        <f t="shared" si="49"/>
        <v>36.807511985624515</v>
      </c>
      <c r="AG5899" s="223">
        <f t="shared" si="48"/>
        <v>2.2381636174572854</v>
      </c>
      <c r="AH5899" s="346"/>
      <c r="AI5899" s="427"/>
      <c r="AJ5899" s="480"/>
      <c r="AK5899" s="427"/>
      <c r="AU5899" s="218"/>
      <c r="AV5899" s="218"/>
      <c r="AW5899" s="218"/>
      <c r="AX5899" s="218"/>
      <c r="AY5899" s="218"/>
      <c r="BI5899" s="427"/>
      <c r="BJ5899" s="427"/>
      <c r="BK5899" s="427"/>
      <c r="BL5899" s="427"/>
      <c r="BM5899" s="427"/>
      <c r="BN5899" s="427"/>
      <c r="BO5899" s="427"/>
      <c r="BP5899" s="427"/>
      <c r="BQ5899" s="427"/>
      <c r="BR5899" s="427"/>
      <c r="BS5899" s="427"/>
      <c r="BT5899" s="427"/>
      <c r="BU5899" s="427"/>
      <c r="BV5899" s="427"/>
      <c r="BW5899" s="427"/>
      <c r="BX5899" s="427"/>
      <c r="BY5899" s="427"/>
      <c r="BZ5899" s="427"/>
    </row>
    <row r="5900" spans="2:80" s="152" customFormat="1" x14ac:dyDescent="0.2">
      <c r="B5900" s="683"/>
      <c r="C5900" s="683"/>
      <c r="D5900" s="698"/>
      <c r="E5900" s="215"/>
      <c r="F5900" s="215"/>
      <c r="G5900" s="427"/>
      <c r="H5900" s="427"/>
      <c r="I5900" s="427"/>
      <c r="J5900" s="427"/>
      <c r="K5900" s="427"/>
      <c r="L5900" s="653"/>
      <c r="M5900" s="666">
        <v>25380</v>
      </c>
      <c r="N5900" s="600">
        <v>90.613900000000001</v>
      </c>
      <c r="O5900" s="608">
        <v>4.6820000000000004E-3</v>
      </c>
      <c r="P5900" s="782"/>
      <c r="Q5900" s="764"/>
      <c r="R5900" s="764"/>
      <c r="S5900" s="764"/>
      <c r="T5900" s="764"/>
      <c r="U5900" s="764"/>
      <c r="V5900" s="764"/>
      <c r="W5900" s="764"/>
      <c r="X5900" s="764"/>
      <c r="Y5900" s="768"/>
      <c r="Z5900" s="266"/>
      <c r="AA5900" s="150"/>
      <c r="AB5900" s="150">
        <v>12</v>
      </c>
      <c r="AC5900" s="150">
        <v>7.45E-3</v>
      </c>
      <c r="AD5900" s="223">
        <f t="shared" si="46"/>
        <v>46.81770795581496</v>
      </c>
      <c r="AE5900" s="223">
        <f t="shared" si="47"/>
        <v>0.83074410015777911</v>
      </c>
      <c r="AF5900" s="223">
        <f t="shared" si="49"/>
        <v>38.893534667203198</v>
      </c>
      <c r="AG5900" s="223">
        <f t="shared" si="48"/>
        <v>2.3372360672292789</v>
      </c>
      <c r="AH5900" s="346"/>
      <c r="AI5900" s="427"/>
      <c r="AJ5900" s="480"/>
      <c r="AK5900" s="427"/>
      <c r="AU5900" s="218"/>
      <c r="AV5900" s="218"/>
      <c r="AW5900" s="218"/>
      <c r="AX5900" s="218"/>
      <c r="AY5900" s="218"/>
      <c r="BI5900" s="427"/>
      <c r="BJ5900" s="427"/>
      <c r="BK5900" s="427"/>
      <c r="BL5900" s="427"/>
      <c r="BM5900" s="427"/>
      <c r="BN5900" s="427"/>
      <c r="BO5900" s="427"/>
      <c r="BP5900" s="427"/>
      <c r="BQ5900" s="427"/>
      <c r="BR5900" s="427"/>
      <c r="BS5900" s="427"/>
      <c r="BT5900" s="427"/>
      <c r="BU5900" s="427"/>
      <c r="BV5900" s="427"/>
      <c r="BW5900" s="427"/>
      <c r="BX5900" s="427"/>
      <c r="BY5900" s="427"/>
      <c r="BZ5900" s="427"/>
    </row>
    <row r="5901" spans="2:80" s="152" customFormat="1" x14ac:dyDescent="0.2">
      <c r="B5901" s="683"/>
      <c r="C5901" s="683"/>
      <c r="D5901" s="698"/>
      <c r="E5901" s="215"/>
      <c r="F5901" s="215"/>
      <c r="G5901" s="427"/>
      <c r="H5901" s="427"/>
      <c r="I5901" s="427"/>
      <c r="J5901" s="427"/>
      <c r="K5901" s="427"/>
      <c r="L5901" s="653"/>
      <c r="M5901" s="666">
        <v>25381</v>
      </c>
      <c r="N5901" s="600">
        <v>67.960400000000007</v>
      </c>
      <c r="O5901" s="608">
        <v>4.3820000000000005E-3</v>
      </c>
      <c r="P5901" s="782"/>
      <c r="Q5901" s="764"/>
      <c r="R5901" s="764"/>
      <c r="S5901" s="764"/>
      <c r="T5901" s="764"/>
      <c r="U5901" s="764"/>
      <c r="V5901" s="764"/>
      <c r="W5901" s="764"/>
      <c r="X5901" s="764"/>
      <c r="Y5901" s="768"/>
      <c r="Z5901" s="266"/>
      <c r="AA5901" s="150"/>
      <c r="AB5901" s="150">
        <v>13</v>
      </c>
      <c r="AC5901" s="150">
        <v>7.45E-3</v>
      </c>
      <c r="AD5901" s="223">
        <f t="shared" si="46"/>
        <v>43.820184528280819</v>
      </c>
      <c r="AE5901" s="223">
        <f t="shared" si="47"/>
        <v>0.75550515129388718</v>
      </c>
      <c r="AF5901" s="223">
        <f t="shared" si="49"/>
        <v>33.106375141764858</v>
      </c>
      <c r="AG5901" s="223">
        <f t="shared" si="48"/>
        <v>2.0593466857322054</v>
      </c>
      <c r="AH5901" s="346"/>
      <c r="AI5901" s="427"/>
      <c r="AJ5901" s="480"/>
      <c r="AK5901" s="427"/>
      <c r="AU5901" s="218"/>
      <c r="AV5901" s="218"/>
      <c r="AW5901" s="218"/>
      <c r="AX5901" s="218"/>
      <c r="AY5901" s="218"/>
      <c r="BI5901" s="427"/>
      <c r="BJ5901" s="427"/>
      <c r="BK5901" s="427"/>
      <c r="BL5901" s="427"/>
      <c r="BM5901" s="427"/>
      <c r="BN5901" s="427"/>
      <c r="BO5901" s="427"/>
      <c r="BP5901" s="427"/>
      <c r="BQ5901" s="427"/>
      <c r="BR5901" s="427"/>
      <c r="BS5901" s="427"/>
      <c r="BT5901" s="427"/>
      <c r="BU5901" s="427"/>
      <c r="BV5901" s="427"/>
      <c r="BW5901" s="427"/>
      <c r="BX5901" s="427"/>
      <c r="BY5901" s="427"/>
      <c r="BZ5901" s="427"/>
    </row>
    <row r="5902" spans="2:80" s="152" customFormat="1" x14ac:dyDescent="0.2">
      <c r="B5902" s="683"/>
      <c r="C5902" s="683"/>
      <c r="D5902" s="698"/>
      <c r="E5902" s="215"/>
      <c r="F5902" s="215"/>
      <c r="G5902" s="427"/>
      <c r="H5902" s="427"/>
      <c r="I5902" s="427"/>
      <c r="J5902" s="427"/>
      <c r="K5902" s="427"/>
      <c r="L5902" s="653"/>
      <c r="M5902" s="666">
        <v>25381</v>
      </c>
      <c r="N5902" s="600">
        <v>62.2971</v>
      </c>
      <c r="O5902" s="608">
        <v>4.2950000000000002E-3</v>
      </c>
      <c r="P5902" s="782"/>
      <c r="Q5902" s="764"/>
      <c r="R5902" s="764"/>
      <c r="S5902" s="764"/>
      <c r="T5902" s="764"/>
      <c r="U5902" s="764"/>
      <c r="V5902" s="764"/>
      <c r="W5902" s="764"/>
      <c r="X5902" s="764"/>
      <c r="Y5902" s="768"/>
      <c r="Z5902" s="266"/>
      <c r="AA5902" s="150"/>
      <c r="AB5902" s="150">
        <v>14</v>
      </c>
      <c r="AC5902" s="150">
        <v>7.45E-3</v>
      </c>
      <c r="AD5902" s="223">
        <f t="shared" si="46"/>
        <v>42.951955395001413</v>
      </c>
      <c r="AE5902" s="223">
        <f t="shared" si="47"/>
        <v>0.73412051082265073</v>
      </c>
      <c r="AF5902" s="223">
        <f t="shared" si="49"/>
        <v>31.531911435410144</v>
      </c>
      <c r="AG5902" s="223">
        <f t="shared" si="48"/>
        <v>1.9819956767306974</v>
      </c>
      <c r="AH5902" s="346"/>
      <c r="AI5902" s="427"/>
      <c r="AJ5902" s="480"/>
      <c r="AK5902" s="427"/>
      <c r="AU5902" s="218"/>
      <c r="AV5902" s="218"/>
      <c r="AW5902" s="218"/>
      <c r="AX5902" s="218"/>
      <c r="AY5902" s="218"/>
      <c r="BI5902" s="427"/>
      <c r="BJ5902" s="427"/>
      <c r="BK5902" s="427"/>
      <c r="BL5902" s="427"/>
      <c r="BM5902" s="427"/>
      <c r="BN5902" s="427"/>
      <c r="BO5902" s="427"/>
      <c r="BP5902" s="427"/>
      <c r="BQ5902" s="427"/>
      <c r="BR5902" s="427"/>
      <c r="BS5902" s="427"/>
      <c r="BT5902" s="427"/>
      <c r="BU5902" s="427"/>
      <c r="BV5902" s="427"/>
      <c r="BW5902" s="427"/>
      <c r="BX5902" s="427"/>
      <c r="BY5902" s="427"/>
      <c r="BZ5902" s="427"/>
    </row>
    <row r="5903" spans="2:80" s="152" customFormat="1" x14ac:dyDescent="0.2">
      <c r="B5903" s="683"/>
      <c r="C5903" s="683"/>
      <c r="D5903" s="698"/>
      <c r="E5903" s="215"/>
      <c r="F5903" s="215"/>
      <c r="G5903" s="427"/>
      <c r="H5903" s="427"/>
      <c r="I5903" s="427"/>
      <c r="J5903" s="427"/>
      <c r="K5903" s="427"/>
      <c r="L5903" s="653"/>
      <c r="M5903" s="666">
        <v>25382</v>
      </c>
      <c r="N5903" s="600">
        <v>63.712899999999998</v>
      </c>
      <c r="O5903" s="608">
        <v>4.3170000000000005E-3</v>
      </c>
      <c r="P5903" s="782"/>
      <c r="Q5903" s="764"/>
      <c r="R5903" s="764"/>
      <c r="S5903" s="764"/>
      <c r="T5903" s="764"/>
      <c r="U5903" s="764"/>
      <c r="V5903" s="764"/>
      <c r="W5903" s="764"/>
      <c r="X5903" s="764"/>
      <c r="Y5903" s="768"/>
      <c r="Z5903" s="266"/>
      <c r="AA5903" s="150"/>
      <c r="AB5903" s="150">
        <v>15</v>
      </c>
      <c r="AC5903" s="150">
        <v>7.45E-3</v>
      </c>
      <c r="AD5903" s="223">
        <f t="shared" si="46"/>
        <v>43.174531621328427</v>
      </c>
      <c r="AE5903" s="223">
        <f t="shared" si="47"/>
        <v>0.73958485172610111</v>
      </c>
      <c r="AF5903" s="223">
        <f t="shared" si="49"/>
        <v>31.931229567504047</v>
      </c>
      <c r="AG5903" s="223">
        <f t="shared" si="48"/>
        <v>2.0016903788262335</v>
      </c>
      <c r="AH5903" s="346"/>
      <c r="AI5903" s="427"/>
      <c r="AJ5903" s="480"/>
      <c r="AK5903" s="427"/>
      <c r="AU5903" s="218"/>
      <c r="AV5903" s="218"/>
      <c r="AW5903" s="218"/>
      <c r="AX5903" s="218"/>
      <c r="AY5903" s="218"/>
      <c r="BI5903" s="427"/>
      <c r="BJ5903" s="427"/>
      <c r="BK5903" s="427"/>
      <c r="BL5903" s="427"/>
      <c r="BM5903" s="427"/>
      <c r="BN5903" s="427"/>
      <c r="BO5903" s="427"/>
      <c r="BP5903" s="427"/>
      <c r="BQ5903" s="427"/>
      <c r="BR5903" s="427"/>
      <c r="BS5903" s="427"/>
      <c r="BT5903" s="427"/>
      <c r="BU5903" s="427"/>
      <c r="BV5903" s="427"/>
      <c r="BW5903" s="427"/>
      <c r="BX5903" s="427"/>
      <c r="BY5903" s="427"/>
      <c r="BZ5903" s="427"/>
    </row>
    <row r="5904" spans="2:80" s="152" customFormat="1" x14ac:dyDescent="0.2">
      <c r="B5904" s="683"/>
      <c r="C5904" s="683"/>
      <c r="D5904" s="698"/>
      <c r="E5904" s="215"/>
      <c r="F5904" s="215"/>
      <c r="G5904" s="427"/>
      <c r="H5904" s="427"/>
      <c r="I5904" s="427"/>
      <c r="J5904" s="427"/>
      <c r="K5904" s="427"/>
      <c r="L5904" s="653"/>
      <c r="M5904" s="666">
        <v>25384</v>
      </c>
      <c r="N5904" s="600">
        <v>95.144599999999997</v>
      </c>
      <c r="O5904" s="608">
        <v>4.7350000000000005E-3</v>
      </c>
      <c r="P5904" s="782"/>
      <c r="Q5904" s="764"/>
      <c r="R5904" s="764"/>
      <c r="S5904" s="764"/>
      <c r="T5904" s="764"/>
      <c r="U5904" s="764"/>
      <c r="V5904" s="764"/>
      <c r="W5904" s="764"/>
      <c r="X5904" s="764"/>
      <c r="Y5904" s="768"/>
      <c r="Z5904" s="266"/>
      <c r="AA5904" s="150"/>
      <c r="AB5904" s="150">
        <v>16</v>
      </c>
      <c r="AC5904" s="150">
        <v>7.45E-3</v>
      </c>
      <c r="AD5904" s="223">
        <f t="shared" si="46"/>
        <v>47.346043442859205</v>
      </c>
      <c r="AE5904" s="223">
        <f t="shared" si="47"/>
        <v>0.84422798025086732</v>
      </c>
      <c r="AF5904" s="223">
        <f t="shared" si="49"/>
        <v>39.970854628634847</v>
      </c>
      <c r="AG5904" s="223">
        <f t="shared" si="48"/>
        <v>2.3879535854138227</v>
      </c>
      <c r="AH5904" s="346"/>
      <c r="AI5904" s="427"/>
      <c r="AJ5904" s="480"/>
      <c r="AK5904" s="427"/>
      <c r="AU5904" s="218"/>
      <c r="AV5904" s="218"/>
      <c r="AW5904" s="218"/>
      <c r="AX5904" s="218"/>
      <c r="AY5904" s="218"/>
      <c r="BI5904" s="427"/>
      <c r="BJ5904" s="427"/>
      <c r="BK5904" s="427"/>
      <c r="BL5904" s="427"/>
      <c r="BM5904" s="427"/>
      <c r="BN5904" s="427"/>
      <c r="BO5904" s="427"/>
      <c r="BP5904" s="427"/>
      <c r="BQ5904" s="427"/>
      <c r="BR5904" s="427"/>
      <c r="BS5904" s="427"/>
      <c r="BT5904" s="427"/>
      <c r="BU5904" s="427"/>
      <c r="BV5904" s="427"/>
      <c r="BW5904" s="427"/>
      <c r="BX5904" s="427"/>
      <c r="BY5904" s="427"/>
      <c r="BZ5904" s="427"/>
    </row>
    <row r="5905" spans="1:80" s="152" customFormat="1" x14ac:dyDescent="0.2">
      <c r="B5905" s="683"/>
      <c r="C5905" s="683"/>
      <c r="D5905" s="698"/>
      <c r="E5905" s="215"/>
      <c r="F5905" s="215"/>
      <c r="G5905" s="427"/>
      <c r="H5905" s="427"/>
      <c r="I5905" s="427"/>
      <c r="J5905" s="427"/>
      <c r="K5905" s="427"/>
      <c r="L5905" s="653"/>
      <c r="M5905" s="666">
        <v>25384</v>
      </c>
      <c r="N5905" s="600">
        <v>90.047600000000003</v>
      </c>
      <c r="O5905" s="608">
        <v>4.6750000000000003E-3</v>
      </c>
      <c r="P5905" s="782"/>
      <c r="Q5905" s="764"/>
      <c r="R5905" s="764"/>
      <c r="S5905" s="764"/>
      <c r="T5905" s="764"/>
      <c r="U5905" s="764"/>
      <c r="V5905" s="764"/>
      <c r="W5905" s="764"/>
      <c r="X5905" s="764"/>
      <c r="Y5905" s="768"/>
      <c r="Z5905" s="266"/>
      <c r="AA5905" s="150"/>
      <c r="AB5905" s="150">
        <v>17</v>
      </c>
      <c r="AC5905" s="150">
        <v>7.45E-3</v>
      </c>
      <c r="AD5905" s="223">
        <f t="shared" si="46"/>
        <v>46.750249362384821</v>
      </c>
      <c r="AE5905" s="223">
        <f t="shared" si="47"/>
        <v>0.82902720249812656</v>
      </c>
      <c r="AF5905" s="223">
        <f t="shared" si="49"/>
        <v>38.75722844498771</v>
      </c>
      <c r="AG5905" s="223">
        <f t="shared" si="48"/>
        <v>2.3307978033620933</v>
      </c>
      <c r="AH5905" s="346"/>
      <c r="AI5905" s="427"/>
      <c r="AJ5905" s="480"/>
      <c r="AK5905" s="427"/>
      <c r="AU5905" s="218"/>
      <c r="AV5905" s="218"/>
      <c r="AW5905" s="218"/>
      <c r="AX5905" s="218"/>
      <c r="AY5905" s="218"/>
      <c r="BI5905" s="427"/>
      <c r="BJ5905" s="427"/>
      <c r="BK5905" s="427"/>
      <c r="BL5905" s="427"/>
      <c r="BM5905" s="427"/>
      <c r="BN5905" s="427"/>
      <c r="BO5905" s="427"/>
      <c r="BP5905" s="427"/>
      <c r="BQ5905" s="427"/>
      <c r="BR5905" s="427"/>
      <c r="BS5905" s="427"/>
      <c r="BT5905" s="427"/>
      <c r="BU5905" s="427"/>
      <c r="BV5905" s="427"/>
      <c r="BW5905" s="427"/>
      <c r="BX5905" s="427"/>
      <c r="BY5905" s="427"/>
      <c r="BZ5905" s="427"/>
    </row>
    <row r="5906" spans="1:80" s="152" customFormat="1" x14ac:dyDescent="0.2">
      <c r="B5906" s="683"/>
      <c r="C5906" s="683"/>
      <c r="D5906" s="698"/>
      <c r="E5906" s="215"/>
      <c r="F5906" s="215"/>
      <c r="G5906" s="427"/>
      <c r="H5906" s="427"/>
      <c r="I5906" s="427"/>
      <c r="J5906" s="427"/>
      <c r="K5906" s="427"/>
      <c r="L5906" s="653"/>
      <c r="M5906" s="666">
        <v>25385</v>
      </c>
      <c r="N5906" s="600">
        <v>84.950500000000005</v>
      </c>
      <c r="O5906" s="608">
        <v>4.6130000000000008E-3</v>
      </c>
      <c r="P5906" s="782"/>
      <c r="Q5906" s="764"/>
      <c r="R5906" s="764"/>
      <c r="S5906" s="764"/>
      <c r="T5906" s="764"/>
      <c r="U5906" s="764"/>
      <c r="V5906" s="764"/>
      <c r="W5906" s="764"/>
      <c r="X5906" s="764"/>
      <c r="Y5906" s="768"/>
      <c r="Z5906" s="266"/>
      <c r="AA5906" s="150"/>
      <c r="AB5906" s="150">
        <v>18</v>
      </c>
      <c r="AC5906" s="150">
        <v>7.45E-3</v>
      </c>
      <c r="AD5906" s="223">
        <f t="shared" si="46"/>
        <v>46.127881041404656</v>
      </c>
      <c r="AE5906" s="223">
        <f t="shared" si="47"/>
        <v>0.81323813205292128</v>
      </c>
      <c r="AF5906" s="223">
        <f t="shared" si="49"/>
        <v>37.512951813671286</v>
      </c>
      <c r="AG5906" s="223">
        <f t="shared" si="48"/>
        <v>2.2717988264240572</v>
      </c>
      <c r="AH5906" s="346"/>
      <c r="AI5906" s="427"/>
      <c r="AJ5906" s="480"/>
      <c r="AK5906" s="427"/>
      <c r="AU5906" s="218"/>
      <c r="AV5906" s="218"/>
      <c r="AW5906" s="218"/>
      <c r="AX5906" s="218"/>
      <c r="AY5906" s="218"/>
      <c r="BI5906" s="427"/>
      <c r="BJ5906" s="427"/>
      <c r="BK5906" s="427"/>
      <c r="BL5906" s="427"/>
      <c r="BM5906" s="427"/>
      <c r="BN5906" s="427"/>
      <c r="BO5906" s="427"/>
      <c r="BP5906" s="427"/>
      <c r="BQ5906" s="427"/>
      <c r="BR5906" s="427"/>
      <c r="BS5906" s="427"/>
      <c r="BT5906" s="427"/>
      <c r="BU5906" s="427"/>
      <c r="BV5906" s="427"/>
      <c r="BW5906" s="427"/>
      <c r="BX5906" s="427"/>
      <c r="BY5906" s="427"/>
      <c r="BZ5906" s="427"/>
    </row>
    <row r="5907" spans="1:80" s="152" customFormat="1" x14ac:dyDescent="0.2">
      <c r="B5907" s="683"/>
      <c r="C5907" s="683"/>
      <c r="D5907" s="698"/>
      <c r="E5907" s="215"/>
      <c r="F5907" s="215"/>
      <c r="G5907" s="427"/>
      <c r="H5907" s="427"/>
      <c r="I5907" s="427"/>
      <c r="J5907" s="427"/>
      <c r="K5907" s="427"/>
      <c r="L5907" s="653"/>
      <c r="M5907" s="666">
        <v>25385</v>
      </c>
      <c r="N5907" s="600">
        <v>82.118899999999996</v>
      </c>
      <c r="O5907" s="608">
        <v>4.5770000000000003E-3</v>
      </c>
      <c r="P5907" s="782"/>
      <c r="Q5907" s="764"/>
      <c r="R5907" s="764"/>
      <c r="S5907" s="764"/>
      <c r="T5907" s="764"/>
      <c r="U5907" s="764"/>
      <c r="V5907" s="764"/>
      <c r="W5907" s="764"/>
      <c r="X5907" s="764"/>
      <c r="Y5907" s="768"/>
      <c r="Z5907" s="266"/>
      <c r="AA5907" s="150"/>
      <c r="AB5907" s="150">
        <v>19</v>
      </c>
      <c r="AC5907" s="150">
        <v>7.45E-3</v>
      </c>
      <c r="AD5907" s="223">
        <f t="shared" si="46"/>
        <v>45.769614795025085</v>
      </c>
      <c r="AE5907" s="223">
        <f t="shared" si="47"/>
        <v>0.80419099331430899</v>
      </c>
      <c r="AF5907" s="223">
        <f t="shared" si="49"/>
        <v>36.807511985624515</v>
      </c>
      <c r="AG5907" s="223">
        <f t="shared" si="48"/>
        <v>2.2381636174572854</v>
      </c>
      <c r="AH5907" s="346"/>
      <c r="AI5907" s="427"/>
      <c r="AJ5907" s="480"/>
      <c r="AK5907" s="427"/>
      <c r="AU5907" s="218"/>
      <c r="AV5907" s="218"/>
      <c r="AW5907" s="218"/>
      <c r="AX5907" s="218"/>
      <c r="AY5907" s="218"/>
      <c r="BI5907" s="427"/>
      <c r="BJ5907" s="427"/>
      <c r="BK5907" s="427"/>
      <c r="BL5907" s="427"/>
      <c r="BM5907" s="427"/>
      <c r="BN5907" s="427"/>
      <c r="BO5907" s="427"/>
      <c r="BP5907" s="427"/>
      <c r="BQ5907" s="427"/>
      <c r="BR5907" s="427"/>
      <c r="BS5907" s="427"/>
      <c r="BT5907" s="427"/>
      <c r="BU5907" s="427"/>
      <c r="BV5907" s="427"/>
      <c r="BW5907" s="427"/>
      <c r="BX5907" s="427"/>
      <c r="BY5907" s="427"/>
      <c r="BZ5907" s="427"/>
    </row>
    <row r="5908" spans="1:80" s="152" customFormat="1" x14ac:dyDescent="0.2">
      <c r="B5908" s="683"/>
      <c r="C5908" s="683"/>
      <c r="D5908" s="698"/>
      <c r="E5908" s="215"/>
      <c r="F5908" s="215"/>
      <c r="G5908" s="427"/>
      <c r="H5908" s="427"/>
      <c r="I5908" s="427"/>
      <c r="J5908" s="427"/>
      <c r="K5908" s="427"/>
      <c r="L5908" s="653"/>
      <c r="M5908" s="666">
        <v>25386</v>
      </c>
      <c r="N5908" s="600">
        <v>69.376300000000001</v>
      </c>
      <c r="O5908" s="608">
        <v>4.4030000000000007E-3</v>
      </c>
      <c r="P5908" s="782"/>
      <c r="Q5908" s="764"/>
      <c r="R5908" s="764"/>
      <c r="S5908" s="764"/>
      <c r="T5908" s="764"/>
      <c r="U5908" s="764"/>
      <c r="V5908" s="764"/>
      <c r="W5908" s="764"/>
      <c r="X5908" s="764"/>
      <c r="Y5908" s="768"/>
      <c r="Z5908" s="266"/>
      <c r="AA5908" s="150"/>
      <c r="AB5908" s="150">
        <v>20</v>
      </c>
      <c r="AC5908" s="150">
        <v>7.45E-3</v>
      </c>
      <c r="AD5908" s="223">
        <f t="shared" si="46"/>
        <v>44.028501019273357</v>
      </c>
      <c r="AE5908" s="223">
        <f t="shared" si="47"/>
        <v>0.76066362444366131</v>
      </c>
      <c r="AF5908" s="223">
        <f t="shared" si="49"/>
        <v>33.490879164141909</v>
      </c>
      <c r="AG5908" s="223">
        <f t="shared" si="48"/>
        <v>2.0781158586036992</v>
      </c>
      <c r="AH5908" s="346"/>
      <c r="AI5908" s="427"/>
      <c r="AJ5908" s="480"/>
      <c r="AK5908" s="427"/>
      <c r="AU5908" s="218"/>
      <c r="AV5908" s="218"/>
      <c r="AW5908" s="218"/>
      <c r="AX5908" s="218"/>
      <c r="AY5908" s="218"/>
      <c r="BI5908" s="427"/>
      <c r="BJ5908" s="427"/>
      <c r="BK5908" s="427"/>
      <c r="BL5908" s="427"/>
      <c r="BM5908" s="427"/>
      <c r="BN5908" s="427"/>
      <c r="BO5908" s="427"/>
      <c r="BP5908" s="427"/>
      <c r="BQ5908" s="427"/>
      <c r="BR5908" s="427"/>
      <c r="BS5908" s="427"/>
      <c r="BT5908" s="427"/>
      <c r="BU5908" s="427"/>
      <c r="BV5908" s="427"/>
      <c r="BW5908" s="427"/>
      <c r="BX5908" s="427"/>
      <c r="BY5908" s="427"/>
      <c r="BZ5908" s="427"/>
    </row>
    <row r="5909" spans="1:80" s="152" customFormat="1" x14ac:dyDescent="0.2">
      <c r="B5909" s="683"/>
      <c r="C5909" s="683"/>
      <c r="D5909" s="698"/>
      <c r="E5909" s="215"/>
      <c r="F5909" s="215"/>
      <c r="G5909" s="427"/>
      <c r="H5909" s="427"/>
      <c r="I5909" s="427"/>
      <c r="J5909" s="427"/>
      <c r="K5909" s="427"/>
      <c r="L5909" s="653"/>
      <c r="M5909" s="666">
        <v>25387</v>
      </c>
      <c r="N5909" s="600">
        <v>62.2971</v>
      </c>
      <c r="O5909" s="608">
        <v>4.2950000000000002E-3</v>
      </c>
      <c r="P5909" s="782"/>
      <c r="Q5909" s="764"/>
      <c r="R5909" s="764"/>
      <c r="S5909" s="764"/>
      <c r="T5909" s="764"/>
      <c r="U5909" s="764"/>
      <c r="V5909" s="764"/>
      <c r="W5909" s="764"/>
      <c r="X5909" s="764"/>
      <c r="Y5909" s="768"/>
      <c r="Z5909" s="266"/>
      <c r="AA5909" s="150"/>
      <c r="AB5909" s="150">
        <v>21</v>
      </c>
      <c r="AC5909" s="150">
        <v>7.45E-3</v>
      </c>
      <c r="AD5909" s="223">
        <f t="shared" si="46"/>
        <v>42.951955395001413</v>
      </c>
      <c r="AE5909" s="223">
        <f t="shared" si="47"/>
        <v>0.73412051082265073</v>
      </c>
      <c r="AF5909" s="223">
        <f t="shared" si="49"/>
        <v>31.531911435410144</v>
      </c>
      <c r="AG5909" s="223">
        <f t="shared" si="48"/>
        <v>1.9819956767306974</v>
      </c>
      <c r="AH5909" s="346"/>
      <c r="AI5909" s="427"/>
      <c r="AJ5909" s="480"/>
      <c r="AK5909" s="427"/>
      <c r="AU5909" s="218"/>
      <c r="AV5909" s="218"/>
      <c r="AW5909" s="218"/>
      <c r="AX5909" s="218"/>
      <c r="AY5909" s="218"/>
      <c r="BI5909" s="427"/>
      <c r="BJ5909" s="427"/>
      <c r="BK5909" s="427"/>
      <c r="BL5909" s="427"/>
      <c r="BM5909" s="427"/>
      <c r="BN5909" s="427"/>
      <c r="BO5909" s="427"/>
      <c r="BP5909" s="427"/>
      <c r="BQ5909" s="427"/>
      <c r="BR5909" s="427"/>
      <c r="BS5909" s="427"/>
      <c r="BT5909" s="427"/>
      <c r="BU5909" s="427"/>
      <c r="BV5909" s="427"/>
      <c r="BW5909" s="427"/>
      <c r="BX5909" s="427"/>
      <c r="BY5909" s="427"/>
      <c r="BZ5909" s="427"/>
    </row>
    <row r="5910" spans="1:80" s="152" customFormat="1" x14ac:dyDescent="0.2">
      <c r="B5910" s="683"/>
      <c r="C5910" s="683"/>
      <c r="D5910" s="698"/>
      <c r="E5910" s="215"/>
      <c r="F5910" s="215"/>
      <c r="G5910" s="427"/>
      <c r="H5910" s="427"/>
      <c r="I5910" s="427"/>
      <c r="J5910" s="427"/>
      <c r="K5910" s="427"/>
      <c r="L5910" s="653"/>
      <c r="M5910" s="666">
        <v>25387</v>
      </c>
      <c r="N5910" s="600">
        <v>59.465400000000002</v>
      </c>
      <c r="O5910" s="608">
        <v>4.2490000000000002E-3</v>
      </c>
      <c r="P5910" s="782"/>
      <c r="Q5910" s="764"/>
      <c r="R5910" s="764"/>
      <c r="S5910" s="764"/>
      <c r="T5910" s="764"/>
      <c r="U5910" s="764"/>
      <c r="V5910" s="764"/>
      <c r="W5910" s="764"/>
      <c r="X5910" s="764"/>
      <c r="Y5910" s="768"/>
      <c r="Z5910" s="266"/>
      <c r="AA5910" s="150"/>
      <c r="AB5910" s="150">
        <v>22</v>
      </c>
      <c r="AC5910" s="150">
        <v>7.45E-3</v>
      </c>
      <c r="AD5910" s="223">
        <f t="shared" si="46"/>
        <v>42.494834114532964</v>
      </c>
      <c r="AE5910" s="223">
        <f t="shared" si="47"/>
        <v>0.72293659266380017</v>
      </c>
      <c r="AF5910" s="223">
        <f t="shared" si="49"/>
        <v>30.721070580573876</v>
      </c>
      <c r="AG5910" s="223">
        <f t="shared" si="48"/>
        <v>1.9418387760109876</v>
      </c>
      <c r="AH5910" s="346"/>
      <c r="AI5910" s="427"/>
      <c r="AJ5910" s="480"/>
      <c r="AK5910" s="427"/>
      <c r="AU5910" s="218"/>
      <c r="AV5910" s="218"/>
      <c r="AW5910" s="218"/>
      <c r="AX5910" s="218"/>
      <c r="AY5910" s="218"/>
      <c r="BI5910" s="427"/>
      <c r="BJ5910" s="427"/>
      <c r="BK5910" s="427"/>
      <c r="BL5910" s="427"/>
      <c r="BM5910" s="427"/>
      <c r="BN5910" s="427"/>
      <c r="BO5910" s="427"/>
      <c r="BP5910" s="427"/>
      <c r="BQ5910" s="427"/>
      <c r="BR5910" s="427"/>
      <c r="BS5910" s="427"/>
      <c r="BT5910" s="427"/>
      <c r="BU5910" s="427"/>
      <c r="BV5910" s="427"/>
      <c r="BW5910" s="427"/>
      <c r="BX5910" s="427"/>
      <c r="BY5910" s="427"/>
      <c r="BZ5910" s="427"/>
    </row>
    <row r="5911" spans="1:80" s="152" customFormat="1" x14ac:dyDescent="0.2">
      <c r="B5911" s="683"/>
      <c r="C5911" s="683"/>
      <c r="D5911" s="698"/>
      <c r="E5911" s="215"/>
      <c r="F5911" s="215"/>
      <c r="G5911" s="427"/>
      <c r="H5911" s="427"/>
      <c r="I5911" s="427"/>
      <c r="J5911" s="427"/>
      <c r="K5911" s="427"/>
      <c r="L5911" s="653"/>
      <c r="M5911" s="666">
        <v>25388</v>
      </c>
      <c r="N5911" s="600">
        <v>59.465400000000002</v>
      </c>
      <c r="O5911" s="608">
        <v>4.2490000000000002E-3</v>
      </c>
      <c r="P5911" s="782"/>
      <c r="Q5911" s="764"/>
      <c r="R5911" s="764"/>
      <c r="S5911" s="764"/>
      <c r="T5911" s="764"/>
      <c r="U5911" s="764"/>
      <c r="V5911" s="764"/>
      <c r="W5911" s="764"/>
      <c r="X5911" s="764"/>
      <c r="Y5911" s="768"/>
      <c r="Z5911" s="266"/>
      <c r="AA5911" s="150"/>
      <c r="AB5911" s="150">
        <v>23</v>
      </c>
      <c r="AC5911" s="150">
        <v>7.45E-3</v>
      </c>
      <c r="AD5911" s="223">
        <f t="shared" si="46"/>
        <v>42.494834114532964</v>
      </c>
      <c r="AE5911" s="223">
        <f t="shared" si="47"/>
        <v>0.72293659266380017</v>
      </c>
      <c r="AF5911" s="223">
        <f t="shared" si="49"/>
        <v>30.721070580573876</v>
      </c>
      <c r="AG5911" s="223">
        <f t="shared" si="48"/>
        <v>1.9418387760109876</v>
      </c>
      <c r="AH5911" s="346"/>
      <c r="AI5911" s="427"/>
      <c r="AJ5911" s="480"/>
      <c r="AK5911" s="427"/>
      <c r="AU5911" s="218"/>
      <c r="AV5911" s="218"/>
      <c r="AW5911" s="218"/>
      <c r="AX5911" s="218"/>
      <c r="AY5911" s="218"/>
      <c r="BI5911" s="427"/>
      <c r="BJ5911" s="427"/>
      <c r="BK5911" s="427"/>
      <c r="BL5911" s="427"/>
      <c r="BM5911" s="427"/>
      <c r="BN5911" s="427"/>
      <c r="BO5911" s="427"/>
      <c r="BP5911" s="427"/>
      <c r="BQ5911" s="427"/>
      <c r="BR5911" s="427"/>
      <c r="BS5911" s="427"/>
      <c r="BT5911" s="427"/>
      <c r="BU5911" s="427"/>
      <c r="BV5911" s="427"/>
      <c r="BW5911" s="427"/>
      <c r="BX5911" s="427"/>
      <c r="BY5911" s="427"/>
      <c r="BZ5911" s="427"/>
    </row>
    <row r="5912" spans="1:80" s="152" customFormat="1" ht="15" thickBot="1" x14ac:dyDescent="0.25">
      <c r="B5912" s="683"/>
      <c r="C5912" s="683"/>
      <c r="D5912" s="698"/>
      <c r="E5912" s="215"/>
      <c r="F5912" s="215"/>
      <c r="G5912" s="427"/>
      <c r="H5912" s="427"/>
      <c r="I5912" s="427"/>
      <c r="J5912" s="427"/>
      <c r="K5912" s="427"/>
      <c r="L5912" s="653"/>
      <c r="M5912" s="666">
        <v>25389</v>
      </c>
      <c r="N5912" s="600">
        <v>62.2971</v>
      </c>
      <c r="O5912" s="608">
        <v>4.2950000000000002E-3</v>
      </c>
      <c r="P5912" s="782"/>
      <c r="Q5912" s="764"/>
      <c r="R5912" s="764"/>
      <c r="S5912" s="764"/>
      <c r="T5912" s="764"/>
      <c r="U5912" s="764"/>
      <c r="V5912" s="764"/>
      <c r="W5912" s="764"/>
      <c r="X5912" s="764"/>
      <c r="Y5912" s="768"/>
      <c r="Z5912" s="266"/>
      <c r="AA5912" s="150"/>
      <c r="AB5912" s="150">
        <v>24</v>
      </c>
      <c r="AC5912" s="150">
        <v>7.45E-3</v>
      </c>
      <c r="AD5912" s="223">
        <f t="shared" si="46"/>
        <v>42.951955395001413</v>
      </c>
      <c r="AE5912" s="223">
        <f t="shared" si="47"/>
        <v>0.73412051082265073</v>
      </c>
      <c r="AF5912" s="223">
        <f t="shared" si="49"/>
        <v>31.531911435410144</v>
      </c>
      <c r="AG5912" s="223">
        <f t="shared" si="48"/>
        <v>1.9819956767306974</v>
      </c>
      <c r="AH5912" s="346"/>
      <c r="AI5912" s="427"/>
      <c r="AJ5912" s="480"/>
      <c r="AK5912" s="427"/>
      <c r="AU5912" s="218"/>
      <c r="AV5912" s="218"/>
      <c r="AW5912" s="218"/>
      <c r="AX5912" s="218"/>
      <c r="AY5912" s="218"/>
      <c r="BI5912" s="427"/>
      <c r="BJ5912" s="427"/>
      <c r="BK5912" s="427"/>
      <c r="BL5912" s="427"/>
      <c r="BM5912" s="427"/>
      <c r="BN5912" s="427"/>
      <c r="BO5912" s="427"/>
      <c r="BP5912" s="427"/>
      <c r="BQ5912" s="427"/>
      <c r="BR5912" s="427"/>
      <c r="BS5912" s="427"/>
      <c r="BT5912" s="427"/>
      <c r="BU5912" s="427"/>
      <c r="BV5912" s="427"/>
      <c r="BW5912" s="427"/>
      <c r="BX5912" s="427"/>
      <c r="BY5912" s="427"/>
      <c r="BZ5912" s="427"/>
    </row>
    <row r="5913" spans="1:80" s="189" customFormat="1" ht="15.75" thickTop="1" x14ac:dyDescent="0.25">
      <c r="A5913" s="9" t="s">
        <v>522</v>
      </c>
      <c r="B5913" s="639" t="s">
        <v>66</v>
      </c>
      <c r="C5913" s="639"/>
      <c r="D5913" s="4">
        <f>VLOOKUP(E5913,'Quality Code'!D4:E24,2,TRUE)*VLOOKUP(MROUND(F5913,10),'Quality Code'!D28:E69,2,TRUE)*VLOOKUP(COUNTA(CB5913:CB5923),'Quality Code'!D73:E93,2,TRUE)</f>
        <v>0.99999600000000022</v>
      </c>
      <c r="E5913" s="14">
        <v>0.4</v>
      </c>
      <c r="F5913" s="18">
        <v>63</v>
      </c>
      <c r="G5913" s="12"/>
      <c r="H5913" s="2"/>
      <c r="I5913" s="2"/>
      <c r="J5913" s="2"/>
      <c r="K5913" s="2"/>
      <c r="L5913" s="639"/>
      <c r="M5913" s="640"/>
      <c r="N5913" s="579"/>
      <c r="O5913" s="579"/>
      <c r="P5913" s="11"/>
      <c r="Q5913" s="11"/>
      <c r="R5913" s="11"/>
      <c r="S5913" s="11"/>
      <c r="T5913" s="11"/>
      <c r="U5913" s="11"/>
      <c r="V5913" s="11"/>
      <c r="W5913" s="11"/>
      <c r="X5913" s="11"/>
      <c r="Y5913" s="11"/>
      <c r="Z5913" s="11"/>
      <c r="AA5913" s="11"/>
      <c r="AB5913" s="11"/>
      <c r="AC5913" s="85"/>
      <c r="AD5913" s="26"/>
      <c r="AE5913" s="26"/>
      <c r="AF5913" s="26"/>
      <c r="AG5913" s="26"/>
      <c r="AH5913" s="330"/>
      <c r="AI5913" s="123">
        <v>27</v>
      </c>
      <c r="AJ5913" s="17"/>
      <c r="AK5913" s="161"/>
      <c r="AL5913" s="17"/>
      <c r="AM5913" s="17"/>
      <c r="AN5913" s="17"/>
      <c r="AO5913" s="17"/>
      <c r="AP5913" s="17"/>
      <c r="AQ5913" s="17"/>
      <c r="AR5913" s="17"/>
      <c r="AS5913" s="17"/>
      <c r="AT5913" s="17"/>
      <c r="AU5913" s="18">
        <v>54</v>
      </c>
      <c r="AV5913" s="17"/>
      <c r="AW5913" s="17"/>
      <c r="AX5913" s="17"/>
      <c r="AY5913" s="125" t="s">
        <v>517</v>
      </c>
      <c r="AZ5913" s="125" t="s">
        <v>404</v>
      </c>
      <c r="BA5913" s="125" t="s">
        <v>405</v>
      </c>
      <c r="BB5913" s="125" t="s">
        <v>518</v>
      </c>
      <c r="BC5913" s="125"/>
      <c r="BD5913" s="125"/>
      <c r="BE5913" s="125"/>
      <c r="BF5913" s="125"/>
      <c r="BG5913" s="125"/>
      <c r="BH5913" s="125"/>
      <c r="BI5913" s="4">
        <f>AU5913/AI5913</f>
        <v>2</v>
      </c>
      <c r="BJ5913" s="2"/>
      <c r="BK5913" s="2"/>
      <c r="BL5913" s="12"/>
      <c r="BM5913" s="12">
        <v>2607</v>
      </c>
      <c r="BN5913" s="12">
        <v>187.45</v>
      </c>
      <c r="BO5913" s="12">
        <v>5.12</v>
      </c>
      <c r="BP5913" s="12">
        <f>BO5913*BN5913</f>
        <v>959.74399999999991</v>
      </c>
      <c r="BQ5913" s="12">
        <f>BN5913/BO5913</f>
        <v>36.611328125</v>
      </c>
      <c r="BR5913" s="12"/>
      <c r="BS5913" s="12"/>
      <c r="BT5913" s="12"/>
      <c r="BU5913" s="2"/>
      <c r="BV5913" s="2"/>
      <c r="BW5913" s="2"/>
      <c r="BX5913" s="2"/>
      <c r="BY5913" s="2"/>
      <c r="BZ5913" s="2"/>
      <c r="CA5913" s="9"/>
      <c r="CB5913" s="122" t="s">
        <v>591</v>
      </c>
    </row>
    <row r="5914" spans="1:80" s="152" customFormat="1" ht="15" x14ac:dyDescent="0.25">
      <c r="B5914" s="683"/>
      <c r="C5914" s="683"/>
      <c r="D5914" s="698"/>
      <c r="E5914" s="215"/>
      <c r="F5914" s="215"/>
      <c r="G5914" s="427"/>
      <c r="H5914" s="427"/>
      <c r="I5914" s="427"/>
      <c r="J5914" s="427"/>
      <c r="K5914" s="427"/>
      <c r="L5914" s="653"/>
      <c r="M5914" s="666">
        <v>26429</v>
      </c>
      <c r="N5914" s="600">
        <v>2194.5556000000001</v>
      </c>
      <c r="O5914" s="620">
        <v>1.1806536000000001</v>
      </c>
      <c r="P5914" s="782"/>
      <c r="Q5914" s="764"/>
      <c r="R5914" s="764"/>
      <c r="S5914" s="764"/>
      <c r="T5914" s="764"/>
      <c r="U5914" s="764"/>
      <c r="V5914" s="764"/>
      <c r="W5914" s="764"/>
      <c r="X5914" s="764"/>
      <c r="Y5914" s="768"/>
      <c r="Z5914" s="266"/>
      <c r="AA5914" s="150"/>
      <c r="AB5914" s="150">
        <v>1</v>
      </c>
      <c r="AC5914" s="150">
        <v>9.3999999999999997E-4</v>
      </c>
      <c r="AD5914" s="150">
        <v>181.36</v>
      </c>
      <c r="AE5914" s="223">
        <v>4.8159999999999998</v>
      </c>
      <c r="AF5914" s="220">
        <f>AE5914*AD5914</f>
        <v>873.42975999999999</v>
      </c>
      <c r="AG5914" s="223">
        <v>2.484</v>
      </c>
      <c r="AH5914" s="346"/>
      <c r="AI5914" s="427"/>
      <c r="AJ5914" s="480"/>
      <c r="AK5914" s="427"/>
      <c r="AU5914" s="218"/>
      <c r="AV5914" s="218"/>
      <c r="AW5914" s="218"/>
      <c r="AX5914" s="218"/>
      <c r="AY5914" s="157">
        <v>20</v>
      </c>
      <c r="AZ5914" s="157">
        <v>54</v>
      </c>
      <c r="BA5914" s="157">
        <v>115</v>
      </c>
      <c r="BB5914" s="157">
        <v>140</v>
      </c>
      <c r="BI5914" s="427"/>
      <c r="BJ5914" s="427"/>
      <c r="BK5914" s="427"/>
      <c r="BL5914" s="427"/>
      <c r="BM5914" s="427"/>
      <c r="BN5914" s="427"/>
      <c r="BO5914" s="427"/>
      <c r="BP5914" s="427"/>
      <c r="BQ5914" s="427"/>
      <c r="BR5914" s="427"/>
      <c r="BS5914" s="427"/>
      <c r="BT5914" s="427"/>
      <c r="BU5914" s="427"/>
      <c r="BV5914" s="427"/>
      <c r="BW5914" s="427"/>
      <c r="BX5914" s="427"/>
      <c r="BY5914" s="427"/>
      <c r="BZ5914" s="427"/>
      <c r="CB5914" s="152" t="s">
        <v>575</v>
      </c>
    </row>
    <row r="5915" spans="1:80" s="152" customFormat="1" ht="15" x14ac:dyDescent="0.25">
      <c r="B5915" s="683"/>
      <c r="C5915" s="683"/>
      <c r="D5915" s="698"/>
      <c r="E5915" s="215"/>
      <c r="F5915" s="215"/>
      <c r="G5915" s="427"/>
      <c r="H5915" s="427"/>
      <c r="I5915" s="427"/>
      <c r="J5915" s="427"/>
      <c r="K5915" s="427"/>
      <c r="L5915" s="653"/>
      <c r="M5915" s="666">
        <v>26438</v>
      </c>
      <c r="N5915" s="600">
        <v>2916.6352000000002</v>
      </c>
      <c r="O5915" s="620">
        <v>3.0047820000000001</v>
      </c>
      <c r="P5915" s="782"/>
      <c r="Q5915" s="764"/>
      <c r="R5915" s="764"/>
      <c r="S5915" s="764"/>
      <c r="T5915" s="764"/>
      <c r="U5915" s="764"/>
      <c r="V5915" s="764"/>
      <c r="W5915" s="764"/>
      <c r="X5915" s="764"/>
      <c r="Y5915" s="768"/>
      <c r="Z5915" s="266"/>
      <c r="AA5915" s="150"/>
      <c r="AB5915" s="150">
        <v>2</v>
      </c>
      <c r="AC5915" s="150">
        <v>1.09E-3</v>
      </c>
      <c r="AD5915" s="150">
        <v>188.98</v>
      </c>
      <c r="AE5915" s="223">
        <v>5.3339999999999996</v>
      </c>
      <c r="AF5915" s="220">
        <f t="shared" ref="AF5915:AF5976" si="50">AE5915*AD5915</f>
        <v>1008.0193199999999</v>
      </c>
      <c r="AG5915" s="223">
        <v>2.8650000000000002</v>
      </c>
      <c r="AH5915" s="346"/>
      <c r="AI5915" s="427"/>
      <c r="AJ5915" s="480"/>
      <c r="AK5915" s="427"/>
      <c r="AU5915" s="218"/>
      <c r="AV5915" s="218"/>
      <c r="AW5915" s="218"/>
      <c r="AX5915" s="218"/>
      <c r="AY5915" s="428"/>
      <c r="AZ5915" s="429"/>
      <c r="BA5915" s="429"/>
      <c r="BB5915" s="429"/>
      <c r="BI5915" s="427"/>
      <c r="BJ5915" s="427"/>
      <c r="BK5915" s="427"/>
      <c r="BL5915" s="427"/>
      <c r="BM5915" s="427"/>
      <c r="BN5915" s="427"/>
      <c r="BO5915" s="427"/>
      <c r="BP5915" s="427"/>
      <c r="BQ5915" s="427"/>
      <c r="BR5915" s="427"/>
      <c r="BS5915" s="427"/>
      <c r="BT5915" s="427"/>
      <c r="BU5915" s="427"/>
      <c r="BV5915" s="427"/>
      <c r="BW5915" s="427"/>
      <c r="BX5915" s="427"/>
      <c r="BY5915" s="427"/>
      <c r="BZ5915" s="427"/>
    </row>
    <row r="5916" spans="1:80" s="152" customFormat="1" ht="15" x14ac:dyDescent="0.25">
      <c r="B5916" s="683"/>
      <c r="C5916" s="683"/>
      <c r="D5916" s="698"/>
      <c r="E5916" s="215"/>
      <c r="F5916" s="215"/>
      <c r="G5916" s="427"/>
      <c r="H5916" s="427"/>
      <c r="I5916" s="427"/>
      <c r="J5916" s="427"/>
      <c r="K5916" s="427"/>
      <c r="L5916" s="653"/>
      <c r="M5916" s="666">
        <v>26452</v>
      </c>
      <c r="N5916" s="600">
        <v>3766.1406000000002</v>
      </c>
      <c r="O5916" s="620">
        <v>5.1312600000000002</v>
      </c>
      <c r="P5916" s="782"/>
      <c r="Q5916" s="764"/>
      <c r="R5916" s="764"/>
      <c r="S5916" s="764"/>
      <c r="T5916" s="764"/>
      <c r="U5916" s="764"/>
      <c r="V5916" s="764"/>
      <c r="W5916" s="764"/>
      <c r="X5916" s="764"/>
      <c r="Y5916" s="768"/>
      <c r="Z5916" s="266"/>
      <c r="AA5916" s="150"/>
      <c r="AB5916" s="150">
        <v>3</v>
      </c>
      <c r="AC5916" s="150">
        <v>1.24E-3</v>
      </c>
      <c r="AD5916" s="150">
        <v>196.6</v>
      </c>
      <c r="AE5916" s="223">
        <v>5.8220000000000001</v>
      </c>
      <c r="AF5916" s="220">
        <f t="shared" si="50"/>
        <v>1144.6052</v>
      </c>
      <c r="AG5916" s="223">
        <v>3.2610000000000001</v>
      </c>
      <c r="AH5916" s="346"/>
      <c r="AI5916" s="427"/>
      <c r="AJ5916" s="480"/>
      <c r="AK5916" s="427"/>
      <c r="AU5916" s="218"/>
      <c r="AV5916" s="218"/>
      <c r="AW5916" s="218"/>
      <c r="AX5916" s="218"/>
      <c r="AY5916" s="428"/>
      <c r="AZ5916" s="429"/>
      <c r="BA5916" s="429"/>
      <c r="BB5916" s="429"/>
      <c r="BI5916" s="427"/>
      <c r="BJ5916" s="427"/>
      <c r="BK5916" s="427"/>
      <c r="BL5916" s="427"/>
      <c r="BM5916" s="427"/>
      <c r="BN5916" s="427"/>
      <c r="BO5916" s="427"/>
      <c r="BP5916" s="427"/>
      <c r="BQ5916" s="427"/>
      <c r="BR5916" s="427"/>
      <c r="BS5916" s="427"/>
      <c r="BT5916" s="427"/>
      <c r="BU5916" s="427"/>
      <c r="BV5916" s="427"/>
      <c r="BW5916" s="427"/>
      <c r="BX5916" s="427"/>
      <c r="BY5916" s="427"/>
      <c r="BZ5916" s="427"/>
    </row>
    <row r="5917" spans="1:80" s="152" customFormat="1" ht="15" x14ac:dyDescent="0.25">
      <c r="B5917" s="683"/>
      <c r="C5917" s="683"/>
      <c r="D5917" s="698"/>
      <c r="E5917" s="215"/>
      <c r="F5917" s="215"/>
      <c r="G5917" s="427"/>
      <c r="H5917" s="427"/>
      <c r="I5917" s="427"/>
      <c r="J5917" s="427"/>
      <c r="K5917" s="427"/>
      <c r="L5917" s="653"/>
      <c r="M5917" s="666">
        <v>26464</v>
      </c>
      <c r="N5917" s="600">
        <v>2599.4865</v>
      </c>
      <c r="O5917" s="620">
        <v>1.6891039999999999</v>
      </c>
      <c r="P5917" s="782"/>
      <c r="Q5917" s="764"/>
      <c r="R5917" s="764"/>
      <c r="S5917" s="764"/>
      <c r="T5917" s="764"/>
      <c r="U5917" s="764"/>
      <c r="V5917" s="764"/>
      <c r="W5917" s="764"/>
      <c r="X5917" s="764"/>
      <c r="Y5917" s="768"/>
      <c r="Z5917" s="266"/>
      <c r="AA5917" s="150"/>
      <c r="AB5917" s="150">
        <v>4</v>
      </c>
      <c r="AC5917" s="150">
        <v>1.0300000000000001E-3</v>
      </c>
      <c r="AD5917" s="150">
        <v>184.4</v>
      </c>
      <c r="AE5917" s="223">
        <v>5.1210000000000004</v>
      </c>
      <c r="AF5917" s="220">
        <f t="shared" si="50"/>
        <v>944.31240000000014</v>
      </c>
      <c r="AG5917" s="223">
        <v>2.7130000000000001</v>
      </c>
      <c r="AH5917" s="346"/>
      <c r="AI5917" s="427"/>
      <c r="AJ5917" s="480"/>
      <c r="AK5917" s="427"/>
      <c r="AU5917" s="218"/>
      <c r="AV5917" s="218"/>
      <c r="AW5917" s="218"/>
      <c r="AX5917" s="218"/>
      <c r="AY5917" s="428"/>
      <c r="AZ5917" s="429"/>
      <c r="BA5917" s="429"/>
      <c r="BB5917" s="429"/>
      <c r="BI5917" s="427"/>
      <c r="BJ5917" s="427"/>
      <c r="BK5917" s="427"/>
      <c r="BL5917" s="427"/>
      <c r="BM5917" s="427"/>
      <c r="BN5917" s="427"/>
      <c r="BO5917" s="427"/>
      <c r="BP5917" s="427"/>
      <c r="BQ5917" s="427"/>
      <c r="BR5917" s="427"/>
      <c r="BS5917" s="427"/>
      <c r="BT5917" s="427"/>
      <c r="BU5917" s="427"/>
      <c r="BV5917" s="427"/>
      <c r="BW5917" s="427"/>
      <c r="BX5917" s="427"/>
      <c r="BY5917" s="427"/>
      <c r="BZ5917" s="427"/>
    </row>
    <row r="5918" spans="1:80" s="152" customFormat="1" ht="15" x14ac:dyDescent="0.25">
      <c r="B5918" s="683"/>
      <c r="C5918" s="683"/>
      <c r="D5918" s="698"/>
      <c r="E5918" s="215"/>
      <c r="F5918" s="215"/>
      <c r="G5918" s="427"/>
      <c r="H5918" s="427"/>
      <c r="I5918" s="427"/>
      <c r="J5918" s="427"/>
      <c r="K5918" s="427"/>
      <c r="L5918" s="653"/>
      <c r="M5918" s="666">
        <v>26772</v>
      </c>
      <c r="N5918" s="600">
        <v>778.7133</v>
      </c>
      <c r="O5918" s="620">
        <v>7.523779999999999E-3</v>
      </c>
      <c r="P5918" s="782"/>
      <c r="Q5918" s="764"/>
      <c r="R5918" s="764"/>
      <c r="S5918" s="764"/>
      <c r="T5918" s="764"/>
      <c r="U5918" s="764"/>
      <c r="V5918" s="764"/>
      <c r="W5918" s="764"/>
      <c r="X5918" s="764"/>
      <c r="Y5918" s="768"/>
      <c r="Z5918" s="266"/>
      <c r="AA5918" s="150"/>
      <c r="AB5918" s="150">
        <v>5</v>
      </c>
      <c r="AC5918" s="150">
        <v>5.5999999999999995E-4</v>
      </c>
      <c r="AD5918" s="150">
        <v>155.44999999999999</v>
      </c>
      <c r="AE5918" s="223">
        <v>3.3530000000000002</v>
      </c>
      <c r="AF5918" s="220">
        <f t="shared" si="50"/>
        <v>521.22384999999997</v>
      </c>
      <c r="AG5918" s="223">
        <v>1.478</v>
      </c>
      <c r="AH5918" s="346"/>
      <c r="AI5918" s="427"/>
      <c r="AJ5918" s="480"/>
      <c r="AK5918" s="427"/>
      <c r="AU5918" s="218"/>
      <c r="AV5918" s="218"/>
      <c r="AW5918" s="218"/>
      <c r="AX5918" s="218"/>
      <c r="AY5918" s="428"/>
      <c r="AZ5918" s="429"/>
      <c r="BA5918" s="429"/>
      <c r="BB5918" s="429"/>
      <c r="BI5918" s="427"/>
      <c r="BJ5918" s="427"/>
      <c r="BK5918" s="427"/>
      <c r="BL5918" s="427"/>
      <c r="BM5918" s="427"/>
      <c r="BN5918" s="427"/>
      <c r="BO5918" s="427"/>
      <c r="BP5918" s="427"/>
      <c r="BQ5918" s="427"/>
      <c r="BR5918" s="427"/>
      <c r="BS5918" s="427"/>
      <c r="BT5918" s="427"/>
      <c r="BU5918" s="427"/>
      <c r="BV5918" s="427"/>
      <c r="BW5918" s="427"/>
      <c r="BX5918" s="427"/>
      <c r="BY5918" s="427"/>
      <c r="BZ5918" s="427"/>
    </row>
    <row r="5919" spans="1:80" s="152" customFormat="1" ht="15" x14ac:dyDescent="0.25">
      <c r="B5919" s="683"/>
      <c r="C5919" s="683"/>
      <c r="D5919" s="698"/>
      <c r="E5919" s="215"/>
      <c r="F5919" s="215"/>
      <c r="G5919" s="427"/>
      <c r="H5919" s="427"/>
      <c r="I5919" s="427"/>
      <c r="J5919" s="427"/>
      <c r="K5919" s="427"/>
      <c r="L5919" s="653"/>
      <c r="M5919" s="666">
        <v>26785</v>
      </c>
      <c r="N5919" s="600">
        <v>877.82219999999995</v>
      </c>
      <c r="O5919" s="620">
        <v>6.7996500000000001E-2</v>
      </c>
      <c r="P5919" s="782"/>
      <c r="Q5919" s="764"/>
      <c r="R5919" s="764"/>
      <c r="S5919" s="764"/>
      <c r="T5919" s="764"/>
      <c r="U5919" s="764"/>
      <c r="V5919" s="764"/>
      <c r="W5919" s="764"/>
      <c r="X5919" s="764"/>
      <c r="Y5919" s="768"/>
      <c r="Z5919" s="266"/>
      <c r="AA5919" s="150"/>
      <c r="AB5919" s="150">
        <v>6</v>
      </c>
      <c r="AC5919" s="150">
        <v>5.9000000000000003E-4</v>
      </c>
      <c r="AD5919" s="150">
        <v>158.5</v>
      </c>
      <c r="AE5919" s="223">
        <v>3.5049999999999999</v>
      </c>
      <c r="AF5919" s="220">
        <f t="shared" si="50"/>
        <v>555.54250000000002</v>
      </c>
      <c r="AG5919" s="223">
        <v>1.57</v>
      </c>
      <c r="AH5919" s="346"/>
      <c r="AI5919" s="427"/>
      <c r="AJ5919" s="480"/>
      <c r="AK5919" s="427"/>
      <c r="AU5919" s="218"/>
      <c r="AV5919" s="218"/>
      <c r="AW5919" s="218"/>
      <c r="AX5919" s="218"/>
      <c r="AY5919" s="428"/>
      <c r="AZ5919" s="429"/>
      <c r="BA5919" s="429"/>
      <c r="BB5919" s="429"/>
      <c r="BI5919" s="427"/>
      <c r="BJ5919" s="427"/>
      <c r="BK5919" s="427"/>
      <c r="BL5919" s="427"/>
      <c r="BM5919" s="427"/>
      <c r="BN5919" s="427"/>
      <c r="BO5919" s="427"/>
      <c r="BP5919" s="427"/>
      <c r="BQ5919" s="427"/>
      <c r="BR5919" s="427"/>
      <c r="BS5919" s="427"/>
      <c r="BT5919" s="427"/>
      <c r="BU5919" s="427"/>
      <c r="BV5919" s="427"/>
      <c r="BW5919" s="427"/>
      <c r="BX5919" s="427"/>
      <c r="BY5919" s="427"/>
      <c r="BZ5919" s="427"/>
    </row>
    <row r="5920" spans="1:80" s="152" customFormat="1" ht="15" x14ac:dyDescent="0.25">
      <c r="B5920" s="683"/>
      <c r="C5920" s="683"/>
      <c r="D5920" s="698"/>
      <c r="E5920" s="215"/>
      <c r="F5920" s="215"/>
      <c r="G5920" s="427"/>
      <c r="H5920" s="427"/>
      <c r="I5920" s="427"/>
      <c r="J5920" s="427"/>
      <c r="K5920" s="427"/>
      <c r="L5920" s="653"/>
      <c r="M5920" s="666">
        <v>26799</v>
      </c>
      <c r="N5920" s="600">
        <v>1132.6739</v>
      </c>
      <c r="O5920" s="620">
        <v>0.55137650000000005</v>
      </c>
      <c r="P5920" s="782"/>
      <c r="Q5920" s="764"/>
      <c r="R5920" s="764"/>
      <c r="S5920" s="764"/>
      <c r="T5920" s="764"/>
      <c r="U5920" s="764"/>
      <c r="V5920" s="764"/>
      <c r="W5920" s="764"/>
      <c r="X5920" s="764"/>
      <c r="Y5920" s="768"/>
      <c r="Z5920" s="266"/>
      <c r="AA5920" s="150"/>
      <c r="AB5920" s="150">
        <v>7</v>
      </c>
      <c r="AC5920" s="150">
        <v>6.7000000000000002E-4</v>
      </c>
      <c r="AD5920" s="150">
        <v>164.59</v>
      </c>
      <c r="AE5920" s="223">
        <v>3.84</v>
      </c>
      <c r="AF5920" s="220">
        <f t="shared" si="50"/>
        <v>632.02559999999994</v>
      </c>
      <c r="AG5920" s="223">
        <v>1.7829999999999999</v>
      </c>
      <c r="AH5920" s="346"/>
      <c r="AI5920" s="427"/>
      <c r="AJ5920" s="480"/>
      <c r="AK5920" s="427"/>
      <c r="AU5920" s="218"/>
      <c r="AV5920" s="218"/>
      <c r="AW5920" s="218"/>
      <c r="AX5920" s="218"/>
      <c r="AY5920" s="428"/>
      <c r="AZ5920" s="429"/>
      <c r="BA5920" s="429"/>
      <c r="BB5920" s="429"/>
      <c r="BI5920" s="427"/>
      <c r="BJ5920" s="427"/>
      <c r="BK5920" s="427"/>
      <c r="BL5920" s="427"/>
      <c r="BM5920" s="427"/>
      <c r="BN5920" s="427"/>
      <c r="BO5920" s="427"/>
      <c r="BP5920" s="427"/>
      <c r="BQ5920" s="427"/>
      <c r="BR5920" s="427"/>
      <c r="BS5920" s="427"/>
      <c r="BT5920" s="427"/>
      <c r="BU5920" s="427"/>
      <c r="BV5920" s="427"/>
      <c r="BW5920" s="427"/>
      <c r="BX5920" s="427"/>
      <c r="BY5920" s="427"/>
      <c r="BZ5920" s="427"/>
    </row>
    <row r="5921" spans="2:78" s="152" customFormat="1" ht="15" x14ac:dyDescent="0.25">
      <c r="B5921" s="683"/>
      <c r="C5921" s="683"/>
      <c r="D5921" s="698"/>
      <c r="E5921" s="215"/>
      <c r="F5921" s="215"/>
      <c r="G5921" s="427"/>
      <c r="H5921" s="427"/>
      <c r="I5921" s="427"/>
      <c r="J5921" s="427"/>
      <c r="K5921" s="427"/>
      <c r="L5921" s="653"/>
      <c r="M5921" s="666">
        <v>26801</v>
      </c>
      <c r="N5921" s="600">
        <v>1514.9512999999999</v>
      </c>
      <c r="O5921" s="620">
        <v>3.3967309999999995</v>
      </c>
      <c r="P5921" s="782"/>
      <c r="Q5921" s="764"/>
      <c r="R5921" s="764"/>
      <c r="S5921" s="764"/>
      <c r="T5921" s="764"/>
      <c r="U5921" s="764"/>
      <c r="V5921" s="764"/>
      <c r="W5921" s="764"/>
      <c r="X5921" s="764"/>
      <c r="Y5921" s="768"/>
      <c r="Z5921" s="266"/>
      <c r="AA5921" s="150"/>
      <c r="AB5921" s="150">
        <v>8</v>
      </c>
      <c r="AC5921" s="150">
        <v>7.7999999999999999E-4</v>
      </c>
      <c r="AD5921" s="150">
        <v>170.69</v>
      </c>
      <c r="AE5921" s="223">
        <v>4.2370000000000001</v>
      </c>
      <c r="AF5921" s="220">
        <f t="shared" si="50"/>
        <v>723.21352999999999</v>
      </c>
      <c r="AG5921" s="223">
        <v>2.0569999999999999</v>
      </c>
      <c r="AH5921" s="346"/>
      <c r="AI5921" s="427"/>
      <c r="AJ5921" s="480"/>
      <c r="AK5921" s="427"/>
      <c r="AU5921" s="218"/>
      <c r="AV5921" s="218"/>
      <c r="AW5921" s="218"/>
      <c r="AX5921" s="218"/>
      <c r="AY5921" s="428"/>
      <c r="AZ5921" s="429"/>
      <c r="BA5921" s="429"/>
      <c r="BB5921" s="429"/>
      <c r="BI5921" s="427"/>
      <c r="BJ5921" s="427"/>
      <c r="BK5921" s="427"/>
      <c r="BL5921" s="427"/>
      <c r="BM5921" s="427"/>
      <c r="BN5921" s="427"/>
      <c r="BO5921" s="427"/>
      <c r="BP5921" s="427"/>
      <c r="BQ5921" s="427"/>
      <c r="BR5921" s="427"/>
      <c r="BS5921" s="427"/>
      <c r="BT5921" s="427"/>
      <c r="BU5921" s="427"/>
      <c r="BV5921" s="427"/>
      <c r="BW5921" s="427"/>
      <c r="BX5921" s="427"/>
      <c r="BY5921" s="427"/>
      <c r="BZ5921" s="427"/>
    </row>
    <row r="5922" spans="2:78" s="152" customFormat="1" ht="15" x14ac:dyDescent="0.25">
      <c r="B5922" s="683"/>
      <c r="C5922" s="683"/>
      <c r="D5922" s="698"/>
      <c r="E5922" s="215"/>
      <c r="F5922" s="215"/>
      <c r="G5922" s="427"/>
      <c r="H5922" s="427"/>
      <c r="I5922" s="427"/>
      <c r="J5922" s="427"/>
      <c r="K5922" s="427"/>
      <c r="L5922" s="653"/>
      <c r="M5922" s="666">
        <v>26805</v>
      </c>
      <c r="N5922" s="600">
        <v>1614.0603000000001</v>
      </c>
      <c r="O5922" s="620">
        <v>5.1318580000000003</v>
      </c>
      <c r="P5922" s="782"/>
      <c r="Q5922" s="764"/>
      <c r="R5922" s="764"/>
      <c r="S5922" s="764"/>
      <c r="T5922" s="764"/>
      <c r="U5922" s="764"/>
      <c r="V5922" s="764"/>
      <c r="W5922" s="764"/>
      <c r="X5922" s="764"/>
      <c r="Y5922" s="768"/>
      <c r="Z5922" s="266"/>
      <c r="AA5922" s="150"/>
      <c r="AB5922" s="150">
        <v>9</v>
      </c>
      <c r="AC5922" s="150">
        <v>8.0000000000000004E-4</v>
      </c>
      <c r="AD5922" s="150">
        <v>172.21</v>
      </c>
      <c r="AE5922" s="223">
        <v>4.3280000000000003</v>
      </c>
      <c r="AF5922" s="220">
        <f t="shared" si="50"/>
        <v>745.32488000000012</v>
      </c>
      <c r="AG5922" s="223">
        <v>2.1339999999999999</v>
      </c>
      <c r="AH5922" s="346"/>
      <c r="AI5922" s="427"/>
      <c r="AJ5922" s="480"/>
      <c r="AK5922" s="427"/>
      <c r="AU5922" s="218"/>
      <c r="AV5922" s="218"/>
      <c r="AW5922" s="218"/>
      <c r="AX5922" s="218"/>
      <c r="AY5922" s="428"/>
      <c r="AZ5922" s="429"/>
      <c r="BA5922" s="429"/>
      <c r="BB5922" s="429"/>
      <c r="BI5922" s="427"/>
      <c r="BJ5922" s="427"/>
      <c r="BK5922" s="427"/>
      <c r="BL5922" s="427"/>
      <c r="BM5922" s="427"/>
      <c r="BN5922" s="427"/>
      <c r="BO5922" s="427"/>
      <c r="BP5922" s="427"/>
      <c r="BQ5922" s="427"/>
      <c r="BR5922" s="427"/>
      <c r="BS5922" s="427"/>
      <c r="BT5922" s="427"/>
      <c r="BU5922" s="427"/>
      <c r="BV5922" s="427"/>
      <c r="BW5922" s="427"/>
      <c r="BX5922" s="427"/>
      <c r="BY5922" s="427"/>
      <c r="BZ5922" s="427"/>
    </row>
    <row r="5923" spans="2:78" s="152" customFormat="1" ht="15" x14ac:dyDescent="0.25">
      <c r="B5923" s="683"/>
      <c r="C5923" s="683"/>
      <c r="D5923" s="698"/>
      <c r="E5923" s="215"/>
      <c r="F5923" s="215"/>
      <c r="G5923" s="427"/>
      <c r="H5923" s="427"/>
      <c r="I5923" s="427"/>
      <c r="J5923" s="427"/>
      <c r="K5923" s="427"/>
      <c r="L5923" s="653"/>
      <c r="M5923" s="666">
        <v>26807</v>
      </c>
      <c r="N5923" s="600">
        <v>1444.1592000000001</v>
      </c>
      <c r="O5923" s="620">
        <v>2.7651779999999997</v>
      </c>
      <c r="P5923" s="782"/>
      <c r="Q5923" s="764"/>
      <c r="R5923" s="764"/>
      <c r="S5923" s="764"/>
      <c r="T5923" s="764"/>
      <c r="U5923" s="764"/>
      <c r="V5923" s="764"/>
      <c r="W5923" s="764"/>
      <c r="X5923" s="764"/>
      <c r="Y5923" s="768"/>
      <c r="Z5923" s="266"/>
      <c r="AA5923" s="150"/>
      <c r="AB5923" s="150">
        <v>10</v>
      </c>
      <c r="AC5923" s="150">
        <v>7.3999999999999999E-4</v>
      </c>
      <c r="AD5923" s="150">
        <v>170.69</v>
      </c>
      <c r="AE5923" s="223">
        <v>4.1760000000000002</v>
      </c>
      <c r="AF5923" s="220">
        <f t="shared" si="50"/>
        <v>712.80144000000007</v>
      </c>
      <c r="AG5923" s="223">
        <v>2.0270000000000001</v>
      </c>
      <c r="AH5923" s="346"/>
      <c r="AI5923" s="427"/>
      <c r="AJ5923" s="480"/>
      <c r="AK5923" s="427"/>
      <c r="AU5923" s="218"/>
      <c r="AV5923" s="218"/>
      <c r="AW5923" s="218"/>
      <c r="AX5923" s="218"/>
      <c r="AY5923" s="428"/>
      <c r="AZ5923" s="429"/>
      <c r="BA5923" s="429"/>
      <c r="BB5923" s="429"/>
      <c r="BI5923" s="427"/>
      <c r="BJ5923" s="427"/>
      <c r="BK5923" s="427"/>
      <c r="BL5923" s="427"/>
      <c r="BM5923" s="427"/>
      <c r="BN5923" s="427"/>
      <c r="BO5923" s="427"/>
      <c r="BP5923" s="427"/>
      <c r="BQ5923" s="427"/>
      <c r="BR5923" s="427"/>
      <c r="BS5923" s="427"/>
      <c r="BT5923" s="427"/>
      <c r="BU5923" s="427"/>
      <c r="BV5923" s="427"/>
      <c r="BW5923" s="427"/>
      <c r="BX5923" s="427"/>
      <c r="BY5923" s="427"/>
      <c r="BZ5923" s="427"/>
    </row>
    <row r="5924" spans="2:78" s="152" customFormat="1" ht="15" x14ac:dyDescent="0.25">
      <c r="B5924" s="683"/>
      <c r="C5924" s="683"/>
      <c r="D5924" s="698"/>
      <c r="E5924" s="215"/>
      <c r="F5924" s="215"/>
      <c r="G5924" s="427"/>
      <c r="H5924" s="427"/>
      <c r="I5924" s="427"/>
      <c r="J5924" s="427"/>
      <c r="K5924" s="427"/>
      <c r="L5924" s="653"/>
      <c r="M5924" s="666">
        <v>26821</v>
      </c>
      <c r="N5924" s="600">
        <v>1019.4065000000001</v>
      </c>
      <c r="O5924" s="620">
        <v>1.0047788</v>
      </c>
      <c r="P5924" s="782"/>
      <c r="Q5924" s="764"/>
      <c r="R5924" s="764"/>
      <c r="S5924" s="764"/>
      <c r="T5924" s="764"/>
      <c r="U5924" s="764"/>
      <c r="V5924" s="764"/>
      <c r="W5924" s="764"/>
      <c r="X5924" s="764"/>
      <c r="Y5924" s="768"/>
      <c r="Z5924" s="266"/>
      <c r="AA5924" s="150"/>
      <c r="AB5924" s="150">
        <v>11</v>
      </c>
      <c r="AC5924" s="150">
        <v>6.4000000000000005E-4</v>
      </c>
      <c r="AD5924" s="150">
        <v>161.54</v>
      </c>
      <c r="AE5924" s="223">
        <v>3.6880000000000002</v>
      </c>
      <c r="AF5924" s="220">
        <f t="shared" si="50"/>
        <v>595.75951999999995</v>
      </c>
      <c r="AG5924" s="223">
        <v>1.6919999999999999</v>
      </c>
      <c r="AH5924" s="346"/>
      <c r="AI5924" s="427"/>
      <c r="AJ5924" s="480"/>
      <c r="AK5924" s="427"/>
      <c r="AU5924" s="218"/>
      <c r="AV5924" s="218"/>
      <c r="AW5924" s="218"/>
      <c r="AX5924" s="218"/>
      <c r="AY5924" s="428"/>
      <c r="AZ5924" s="429"/>
      <c r="BA5924" s="429"/>
      <c r="BB5924" s="429"/>
      <c r="BI5924" s="427"/>
      <c r="BJ5924" s="427"/>
      <c r="BK5924" s="427"/>
      <c r="BL5924" s="427"/>
      <c r="BM5924" s="427"/>
      <c r="BN5924" s="427"/>
      <c r="BO5924" s="427"/>
      <c r="BP5924" s="427"/>
      <c r="BQ5924" s="427"/>
      <c r="BR5924" s="427"/>
      <c r="BS5924" s="427"/>
      <c r="BT5924" s="427"/>
      <c r="BU5924" s="427"/>
      <c r="BV5924" s="427"/>
      <c r="BW5924" s="427"/>
      <c r="BX5924" s="427"/>
      <c r="BY5924" s="427"/>
      <c r="BZ5924" s="427"/>
    </row>
    <row r="5925" spans="2:78" s="152" customFormat="1" ht="15" x14ac:dyDescent="0.25">
      <c r="B5925" s="683"/>
      <c r="C5925" s="683"/>
      <c r="D5925" s="698"/>
      <c r="E5925" s="215"/>
      <c r="F5925" s="215"/>
      <c r="G5925" s="427"/>
      <c r="H5925" s="427"/>
      <c r="I5925" s="427"/>
      <c r="J5925" s="427"/>
      <c r="K5925" s="427"/>
      <c r="L5925" s="653"/>
      <c r="M5925" s="666">
        <v>26822</v>
      </c>
      <c r="N5925" s="600">
        <v>1138.3371999999999</v>
      </c>
      <c r="O5925" s="620">
        <v>3.2095050000000001</v>
      </c>
      <c r="P5925" s="782"/>
      <c r="Q5925" s="764"/>
      <c r="R5925" s="764"/>
      <c r="S5925" s="764"/>
      <c r="T5925" s="764"/>
      <c r="U5925" s="764"/>
      <c r="V5925" s="764"/>
      <c r="W5925" s="764"/>
      <c r="X5925" s="764"/>
      <c r="Y5925" s="768"/>
      <c r="Z5925" s="266"/>
      <c r="AA5925" s="150"/>
      <c r="AB5925" s="150">
        <v>12</v>
      </c>
      <c r="AC5925" s="150">
        <v>6.7000000000000002E-4</v>
      </c>
      <c r="AD5925" s="150">
        <v>164.59</v>
      </c>
      <c r="AE5925" s="223">
        <v>3.84</v>
      </c>
      <c r="AF5925" s="220">
        <f t="shared" si="50"/>
        <v>632.02559999999994</v>
      </c>
      <c r="AG5925" s="223">
        <v>1.798</v>
      </c>
      <c r="AH5925" s="346"/>
      <c r="AI5925" s="427"/>
      <c r="AJ5925" s="480"/>
      <c r="AK5925" s="427"/>
      <c r="AU5925" s="218"/>
      <c r="AV5925" s="218"/>
      <c r="AW5925" s="218"/>
      <c r="AX5925" s="218"/>
      <c r="AY5925" s="428"/>
      <c r="AZ5925" s="429"/>
      <c r="BA5925" s="429"/>
      <c r="BB5925" s="429"/>
      <c r="BI5925" s="427"/>
      <c r="BJ5925" s="427"/>
      <c r="BK5925" s="427"/>
      <c r="BL5925" s="427"/>
      <c r="BM5925" s="427"/>
      <c r="BN5925" s="427"/>
      <c r="BO5925" s="427"/>
      <c r="BP5925" s="427"/>
      <c r="BQ5925" s="427"/>
      <c r="BR5925" s="427"/>
      <c r="BS5925" s="427"/>
      <c r="BT5925" s="427"/>
      <c r="BU5925" s="427"/>
      <c r="BV5925" s="427"/>
      <c r="BW5925" s="427"/>
      <c r="BX5925" s="427"/>
      <c r="BY5925" s="427"/>
      <c r="BZ5925" s="427"/>
    </row>
    <row r="5926" spans="2:78" s="152" customFormat="1" ht="15" x14ac:dyDescent="0.25">
      <c r="B5926" s="683"/>
      <c r="C5926" s="683"/>
      <c r="D5926" s="698"/>
      <c r="E5926" s="215"/>
      <c r="F5926" s="215"/>
      <c r="G5926" s="427"/>
      <c r="H5926" s="427"/>
      <c r="I5926" s="427"/>
      <c r="J5926" s="427"/>
      <c r="K5926" s="427"/>
      <c r="L5926" s="653"/>
      <c r="M5926" s="666">
        <v>26826</v>
      </c>
      <c r="N5926" s="600">
        <v>1053.3867</v>
      </c>
      <c r="O5926" s="620">
        <v>1.2260886</v>
      </c>
      <c r="P5926" s="782"/>
      <c r="Q5926" s="764"/>
      <c r="R5926" s="764"/>
      <c r="S5926" s="764"/>
      <c r="T5926" s="764"/>
      <c r="U5926" s="764"/>
      <c r="V5926" s="764"/>
      <c r="W5926" s="764"/>
      <c r="X5926" s="764"/>
      <c r="Y5926" s="768"/>
      <c r="Z5926" s="266"/>
      <c r="AA5926" s="150"/>
      <c r="AB5926" s="150">
        <v>13</v>
      </c>
      <c r="AC5926" s="150">
        <v>6.4999999999999997E-4</v>
      </c>
      <c r="AD5926" s="150">
        <v>161.54</v>
      </c>
      <c r="AE5926" s="223">
        <v>3.7189999999999999</v>
      </c>
      <c r="AF5926" s="220">
        <f t="shared" si="50"/>
        <v>600.76725999999996</v>
      </c>
      <c r="AG5926" s="223">
        <v>1.722</v>
      </c>
      <c r="AH5926" s="346"/>
      <c r="AI5926" s="427"/>
      <c r="AJ5926" s="480"/>
      <c r="AK5926" s="427"/>
      <c r="AU5926" s="218"/>
      <c r="AV5926" s="218"/>
      <c r="AW5926" s="218"/>
      <c r="AX5926" s="218"/>
      <c r="AY5926" s="428"/>
      <c r="AZ5926" s="429"/>
      <c r="BA5926" s="429"/>
      <c r="BB5926" s="429"/>
      <c r="BI5926" s="427"/>
      <c r="BJ5926" s="427"/>
      <c r="BK5926" s="427"/>
      <c r="BL5926" s="427"/>
      <c r="BM5926" s="427"/>
      <c r="BN5926" s="427"/>
      <c r="BO5926" s="427"/>
      <c r="BP5926" s="427"/>
      <c r="BQ5926" s="427"/>
      <c r="BR5926" s="427"/>
      <c r="BS5926" s="427"/>
      <c r="BT5926" s="427"/>
      <c r="BU5926" s="427"/>
      <c r="BV5926" s="427"/>
      <c r="BW5926" s="427"/>
      <c r="BX5926" s="427"/>
      <c r="BY5926" s="427"/>
      <c r="BZ5926" s="427"/>
    </row>
    <row r="5927" spans="2:78" s="152" customFormat="1" ht="15" x14ac:dyDescent="0.25">
      <c r="B5927" s="683"/>
      <c r="C5927" s="683"/>
      <c r="D5927" s="698"/>
      <c r="E5927" s="215"/>
      <c r="F5927" s="215"/>
      <c r="G5927" s="427"/>
      <c r="H5927" s="427"/>
      <c r="I5927" s="427"/>
      <c r="J5927" s="427"/>
      <c r="K5927" s="427"/>
      <c r="L5927" s="653"/>
      <c r="M5927" s="666">
        <v>26828</v>
      </c>
      <c r="N5927" s="600">
        <v>1076.0401999999999</v>
      </c>
      <c r="O5927" s="620">
        <v>0.89199289999999998</v>
      </c>
      <c r="P5927" s="782"/>
      <c r="Q5927" s="764"/>
      <c r="R5927" s="764"/>
      <c r="S5927" s="764"/>
      <c r="T5927" s="764"/>
      <c r="U5927" s="764"/>
      <c r="V5927" s="764"/>
      <c r="W5927" s="764"/>
      <c r="X5927" s="764"/>
      <c r="Y5927" s="768"/>
      <c r="Z5927" s="266"/>
      <c r="AA5927" s="150"/>
      <c r="AB5927" s="150">
        <v>14</v>
      </c>
      <c r="AC5927" s="150">
        <v>6.6E-4</v>
      </c>
      <c r="AD5927" s="150">
        <v>163.07</v>
      </c>
      <c r="AE5927" s="223">
        <v>3.7490000000000001</v>
      </c>
      <c r="AF5927" s="220">
        <f t="shared" si="50"/>
        <v>611.34942999999998</v>
      </c>
      <c r="AG5927" s="223">
        <v>1.7370000000000001</v>
      </c>
      <c r="AH5927" s="346"/>
      <c r="AI5927" s="427"/>
      <c r="AJ5927" s="480"/>
      <c r="AK5927" s="427"/>
      <c r="AU5927" s="218"/>
      <c r="AV5927" s="218"/>
      <c r="AW5927" s="218"/>
      <c r="AX5927" s="218"/>
      <c r="AY5927" s="428"/>
      <c r="AZ5927" s="429"/>
      <c r="BA5927" s="429"/>
      <c r="BB5927" s="429"/>
      <c r="BI5927" s="427"/>
      <c r="BJ5927" s="427"/>
      <c r="BK5927" s="427"/>
      <c r="BL5927" s="427"/>
      <c r="BM5927" s="427"/>
      <c r="BN5927" s="427"/>
      <c r="BO5927" s="427"/>
      <c r="BP5927" s="427"/>
      <c r="BQ5927" s="427"/>
      <c r="BR5927" s="427"/>
      <c r="BS5927" s="427"/>
      <c r="BT5927" s="427"/>
      <c r="BU5927" s="427"/>
      <c r="BV5927" s="427"/>
      <c r="BW5927" s="427"/>
      <c r="BX5927" s="427"/>
      <c r="BY5927" s="427"/>
      <c r="BZ5927" s="427"/>
    </row>
    <row r="5928" spans="2:78" s="152" customFormat="1" ht="15" x14ac:dyDescent="0.25">
      <c r="B5928" s="683"/>
      <c r="C5928" s="683"/>
      <c r="D5928" s="698"/>
      <c r="E5928" s="215"/>
      <c r="F5928" s="215"/>
      <c r="G5928" s="427"/>
      <c r="H5928" s="427"/>
      <c r="I5928" s="427"/>
      <c r="J5928" s="427"/>
      <c r="K5928" s="427"/>
      <c r="L5928" s="653"/>
      <c r="M5928" s="666">
        <v>26833</v>
      </c>
      <c r="N5928" s="600">
        <v>1019.4065000000001</v>
      </c>
      <c r="O5928" s="620">
        <v>1.0467792</v>
      </c>
      <c r="P5928" s="782"/>
      <c r="Q5928" s="764"/>
      <c r="R5928" s="764"/>
      <c r="S5928" s="764"/>
      <c r="T5928" s="764"/>
      <c r="U5928" s="764"/>
      <c r="V5928" s="764"/>
      <c r="W5928" s="764"/>
      <c r="X5928" s="764"/>
      <c r="Y5928" s="768"/>
      <c r="Z5928" s="266"/>
      <c r="AA5928" s="150"/>
      <c r="AB5928" s="150">
        <v>15</v>
      </c>
      <c r="AC5928" s="150">
        <v>6.4000000000000005E-4</v>
      </c>
      <c r="AD5928" s="150">
        <v>161.54</v>
      </c>
      <c r="AE5928" s="223">
        <v>3.6880000000000002</v>
      </c>
      <c r="AF5928" s="220">
        <f t="shared" si="50"/>
        <v>595.75951999999995</v>
      </c>
      <c r="AG5928" s="223">
        <v>1.6919999999999999</v>
      </c>
      <c r="AH5928" s="346"/>
      <c r="AI5928" s="427"/>
      <c r="AJ5928" s="480"/>
      <c r="AK5928" s="427"/>
      <c r="AU5928" s="218"/>
      <c r="AV5928" s="218"/>
      <c r="AW5928" s="218"/>
      <c r="AX5928" s="218"/>
      <c r="AY5928" s="428"/>
      <c r="AZ5928" s="429"/>
      <c r="BA5928" s="429"/>
      <c r="BB5928" s="429"/>
      <c r="BI5928" s="427"/>
      <c r="BJ5928" s="427"/>
      <c r="BK5928" s="427"/>
      <c r="BL5928" s="427"/>
      <c r="BM5928" s="427"/>
      <c r="BN5928" s="427"/>
      <c r="BO5928" s="427"/>
      <c r="BP5928" s="427"/>
      <c r="BQ5928" s="427"/>
      <c r="BR5928" s="427"/>
      <c r="BS5928" s="427"/>
      <c r="BT5928" s="427"/>
      <c r="BU5928" s="427"/>
      <c r="BV5928" s="427"/>
      <c r="BW5928" s="427"/>
      <c r="BX5928" s="427"/>
      <c r="BY5928" s="427"/>
      <c r="BZ5928" s="427"/>
    </row>
    <row r="5929" spans="2:78" s="152" customFormat="1" ht="15" x14ac:dyDescent="0.25">
      <c r="B5929" s="683"/>
      <c r="C5929" s="683"/>
      <c r="D5929" s="698"/>
      <c r="E5929" s="215"/>
      <c r="F5929" s="215"/>
      <c r="G5929" s="427"/>
      <c r="H5929" s="427"/>
      <c r="I5929" s="427"/>
      <c r="J5929" s="427"/>
      <c r="K5929" s="427"/>
      <c r="L5929" s="653"/>
      <c r="M5929" s="666">
        <v>26834</v>
      </c>
      <c r="N5929" s="600">
        <v>925.96090000000004</v>
      </c>
      <c r="O5929" s="620">
        <v>0.87967499999999998</v>
      </c>
      <c r="P5929" s="782"/>
      <c r="Q5929" s="764"/>
      <c r="R5929" s="764"/>
      <c r="S5929" s="764"/>
      <c r="T5929" s="764"/>
      <c r="U5929" s="764"/>
      <c r="V5929" s="764"/>
      <c r="W5929" s="764"/>
      <c r="X5929" s="764"/>
      <c r="Y5929" s="768"/>
      <c r="Z5929" s="266"/>
      <c r="AA5929" s="150"/>
      <c r="AB5929" s="150">
        <v>16</v>
      </c>
      <c r="AC5929" s="150">
        <v>5.9999999999999995E-4</v>
      </c>
      <c r="AD5929" s="150">
        <v>158.5</v>
      </c>
      <c r="AE5929" s="223">
        <v>3.5659999999999998</v>
      </c>
      <c r="AF5929" s="220">
        <f t="shared" si="50"/>
        <v>565.21100000000001</v>
      </c>
      <c r="AG5929" s="223">
        <v>1.615</v>
      </c>
      <c r="AH5929" s="346"/>
      <c r="AI5929" s="427"/>
      <c r="AJ5929" s="480"/>
      <c r="AK5929" s="427"/>
      <c r="AU5929" s="218"/>
      <c r="AV5929" s="218"/>
      <c r="AW5929" s="218"/>
      <c r="AX5929" s="218"/>
      <c r="AY5929" s="428"/>
      <c r="AZ5929" s="429"/>
      <c r="BA5929" s="429"/>
      <c r="BB5929" s="429"/>
      <c r="BI5929" s="427"/>
      <c r="BJ5929" s="427"/>
      <c r="BK5929" s="427"/>
      <c r="BL5929" s="427"/>
      <c r="BM5929" s="427"/>
      <c r="BN5929" s="427"/>
      <c r="BO5929" s="427"/>
      <c r="BP5929" s="427"/>
      <c r="BQ5929" s="427"/>
      <c r="BR5929" s="427"/>
      <c r="BS5929" s="427"/>
      <c r="BT5929" s="427"/>
      <c r="BU5929" s="427"/>
      <c r="BV5929" s="427"/>
      <c r="BW5929" s="427"/>
      <c r="BX5929" s="427"/>
      <c r="BY5929" s="427"/>
      <c r="BZ5929" s="427"/>
    </row>
    <row r="5930" spans="2:78" s="152" customFormat="1" ht="15" x14ac:dyDescent="0.25">
      <c r="B5930" s="683"/>
      <c r="C5930" s="683"/>
      <c r="D5930" s="698"/>
      <c r="E5930" s="215"/>
      <c r="F5930" s="215"/>
      <c r="G5930" s="427"/>
      <c r="H5930" s="427"/>
      <c r="I5930" s="427"/>
      <c r="J5930" s="427"/>
      <c r="K5930" s="427"/>
      <c r="L5930" s="653"/>
      <c r="M5930" s="666">
        <v>27066</v>
      </c>
      <c r="N5930" s="600">
        <v>1124.1787999999999</v>
      </c>
      <c r="O5930" s="620">
        <v>2.9569360000000002</v>
      </c>
      <c r="P5930" s="782"/>
      <c r="Q5930" s="764"/>
      <c r="R5930" s="764"/>
      <c r="S5930" s="764"/>
      <c r="T5930" s="764"/>
      <c r="U5930" s="764"/>
      <c r="V5930" s="764"/>
      <c r="W5930" s="764"/>
      <c r="X5930" s="764"/>
      <c r="Y5930" s="768"/>
      <c r="Z5930" s="266"/>
      <c r="AA5930" s="150"/>
      <c r="AB5930" s="150">
        <v>17</v>
      </c>
      <c r="AC5930" s="150">
        <v>6.8000000000000005E-4</v>
      </c>
      <c r="AD5930" s="150">
        <v>166.12</v>
      </c>
      <c r="AE5930" s="223">
        <v>3.81</v>
      </c>
      <c r="AF5930" s="220">
        <f t="shared" si="50"/>
        <v>632.91719999999998</v>
      </c>
      <c r="AG5930" s="223">
        <v>1.7829999999999999</v>
      </c>
      <c r="AH5930" s="346"/>
      <c r="AI5930" s="427"/>
      <c r="AJ5930" s="480"/>
      <c r="AK5930" s="427"/>
      <c r="AU5930" s="218"/>
      <c r="AV5930" s="218"/>
      <c r="AW5930" s="218"/>
      <c r="AX5930" s="218"/>
      <c r="AY5930" s="428"/>
      <c r="AZ5930" s="429"/>
      <c r="BA5930" s="429"/>
      <c r="BB5930" s="429"/>
      <c r="BI5930" s="427"/>
      <c r="BJ5930" s="427"/>
      <c r="BK5930" s="427"/>
      <c r="BL5930" s="427"/>
      <c r="BM5930" s="427"/>
      <c r="BN5930" s="427"/>
      <c r="BO5930" s="427"/>
      <c r="BP5930" s="427"/>
      <c r="BQ5930" s="427"/>
      <c r="BR5930" s="427"/>
      <c r="BS5930" s="427"/>
      <c r="BT5930" s="427"/>
      <c r="BU5930" s="427"/>
      <c r="BV5930" s="427"/>
      <c r="BW5930" s="427"/>
      <c r="BX5930" s="427"/>
      <c r="BY5930" s="427"/>
      <c r="BZ5930" s="427"/>
    </row>
    <row r="5931" spans="2:78" s="152" customFormat="1" ht="15" x14ac:dyDescent="0.25">
      <c r="B5931" s="683"/>
      <c r="C5931" s="683"/>
      <c r="D5931" s="698"/>
      <c r="E5931" s="215"/>
      <c r="F5931" s="215"/>
      <c r="G5931" s="427"/>
      <c r="H5931" s="427"/>
      <c r="I5931" s="427"/>
      <c r="J5931" s="427"/>
      <c r="K5931" s="427"/>
      <c r="L5931" s="653"/>
      <c r="M5931" s="666">
        <v>27101</v>
      </c>
      <c r="N5931" s="600">
        <v>1466.8126999999999</v>
      </c>
      <c r="O5931" s="620">
        <v>10.918114000000001</v>
      </c>
      <c r="P5931" s="782"/>
      <c r="Q5931" s="764"/>
      <c r="R5931" s="764"/>
      <c r="S5931" s="764"/>
      <c r="T5931" s="764"/>
      <c r="U5931" s="764"/>
      <c r="V5931" s="764"/>
      <c r="W5931" s="764"/>
      <c r="X5931" s="764"/>
      <c r="Y5931" s="768"/>
      <c r="Z5931" s="266"/>
      <c r="AA5931" s="150"/>
      <c r="AB5931" s="150">
        <v>18</v>
      </c>
      <c r="AC5931" s="150">
        <v>7.6999999999999996E-4</v>
      </c>
      <c r="AD5931" s="150">
        <v>172.21</v>
      </c>
      <c r="AE5931" s="223">
        <v>4.1760000000000002</v>
      </c>
      <c r="AF5931" s="220">
        <f t="shared" si="50"/>
        <v>719.1489600000001</v>
      </c>
      <c r="AG5931" s="223">
        <v>2.0419999999999998</v>
      </c>
      <c r="AH5931" s="346"/>
      <c r="AI5931" s="427"/>
      <c r="AJ5931" s="480"/>
      <c r="AK5931" s="427"/>
      <c r="AU5931" s="218"/>
      <c r="AV5931" s="218"/>
      <c r="AW5931" s="218"/>
      <c r="AX5931" s="218"/>
      <c r="AY5931" s="428"/>
      <c r="AZ5931" s="429"/>
      <c r="BA5931" s="429"/>
      <c r="BB5931" s="429"/>
      <c r="BI5931" s="427"/>
      <c r="BJ5931" s="427"/>
      <c r="BK5931" s="427"/>
      <c r="BL5931" s="427"/>
      <c r="BM5931" s="427"/>
      <c r="BN5931" s="427"/>
      <c r="BO5931" s="427"/>
      <c r="BP5931" s="427"/>
      <c r="BQ5931" s="427"/>
      <c r="BR5931" s="427"/>
      <c r="BS5931" s="427"/>
      <c r="BT5931" s="427"/>
      <c r="BU5931" s="427"/>
      <c r="BV5931" s="427"/>
      <c r="BW5931" s="427"/>
      <c r="BX5931" s="427"/>
      <c r="BY5931" s="427"/>
      <c r="BZ5931" s="427"/>
    </row>
    <row r="5932" spans="2:78" s="152" customFormat="1" ht="15" x14ac:dyDescent="0.25">
      <c r="B5932" s="683"/>
      <c r="C5932" s="683"/>
      <c r="D5932" s="698"/>
      <c r="E5932" s="215"/>
      <c r="F5932" s="215"/>
      <c r="G5932" s="427"/>
      <c r="H5932" s="427"/>
      <c r="I5932" s="427"/>
      <c r="J5932" s="427"/>
      <c r="K5932" s="427"/>
      <c r="L5932" s="653"/>
      <c r="M5932" s="666">
        <v>27114</v>
      </c>
      <c r="N5932" s="600">
        <v>1908.5554999999999</v>
      </c>
      <c r="O5932" s="620">
        <v>15.285550000000002</v>
      </c>
      <c r="P5932" s="782"/>
      <c r="Q5932" s="764"/>
      <c r="R5932" s="764"/>
      <c r="S5932" s="764"/>
      <c r="T5932" s="764"/>
      <c r="U5932" s="764"/>
      <c r="V5932" s="764"/>
      <c r="W5932" s="764"/>
      <c r="X5932" s="764"/>
      <c r="Y5932" s="768"/>
      <c r="Z5932" s="266"/>
      <c r="AA5932" s="150"/>
      <c r="AB5932" s="150">
        <v>19</v>
      </c>
      <c r="AC5932" s="150">
        <v>8.8000000000000003E-4</v>
      </c>
      <c r="AD5932" s="150">
        <v>179.83</v>
      </c>
      <c r="AE5932" s="223">
        <v>4.6020000000000003</v>
      </c>
      <c r="AF5932" s="220">
        <f t="shared" si="50"/>
        <v>827.57766000000015</v>
      </c>
      <c r="AG5932" s="223">
        <v>2.3159999999999998</v>
      </c>
      <c r="AH5932" s="346"/>
      <c r="AI5932" s="427"/>
      <c r="AJ5932" s="480"/>
      <c r="AK5932" s="427"/>
      <c r="AU5932" s="218"/>
      <c r="AV5932" s="218"/>
      <c r="AW5932" s="218"/>
      <c r="AX5932" s="218"/>
      <c r="AY5932" s="428"/>
      <c r="AZ5932" s="429"/>
      <c r="BA5932" s="429"/>
      <c r="BB5932" s="429"/>
      <c r="BI5932" s="427"/>
      <c r="BJ5932" s="427"/>
      <c r="BK5932" s="427"/>
      <c r="BL5932" s="427"/>
      <c r="BM5932" s="427"/>
      <c r="BN5932" s="427"/>
      <c r="BO5932" s="427"/>
      <c r="BP5932" s="427"/>
      <c r="BQ5932" s="427"/>
      <c r="BR5932" s="427"/>
      <c r="BS5932" s="427"/>
      <c r="BT5932" s="427"/>
      <c r="BU5932" s="427"/>
      <c r="BV5932" s="427"/>
      <c r="BW5932" s="427"/>
      <c r="BX5932" s="427"/>
      <c r="BY5932" s="427"/>
      <c r="BZ5932" s="427"/>
    </row>
    <row r="5933" spans="2:78" s="152" customFormat="1" ht="15" x14ac:dyDescent="0.25">
      <c r="B5933" s="683"/>
      <c r="C5933" s="683"/>
      <c r="D5933" s="698"/>
      <c r="E5933" s="215"/>
      <c r="F5933" s="215"/>
      <c r="G5933" s="427"/>
      <c r="H5933" s="427"/>
      <c r="I5933" s="427"/>
      <c r="J5933" s="427"/>
      <c r="K5933" s="427"/>
      <c r="L5933" s="653"/>
      <c r="M5933" s="666">
        <v>27130</v>
      </c>
      <c r="N5933" s="600">
        <v>2452.2388999999998</v>
      </c>
      <c r="O5933" s="620">
        <v>31.422170000000005</v>
      </c>
      <c r="P5933" s="782"/>
      <c r="Q5933" s="764"/>
      <c r="R5933" s="764"/>
      <c r="S5933" s="764"/>
      <c r="T5933" s="764"/>
      <c r="U5933" s="764"/>
      <c r="V5933" s="764"/>
      <c r="W5933" s="764"/>
      <c r="X5933" s="764"/>
      <c r="Y5933" s="768"/>
      <c r="Z5933" s="266"/>
      <c r="AA5933" s="150"/>
      <c r="AB5933" s="150">
        <v>20</v>
      </c>
      <c r="AC5933" s="150">
        <v>1.01E-3</v>
      </c>
      <c r="AD5933" s="150">
        <v>185.93</v>
      </c>
      <c r="AE5933" s="223">
        <v>4.9989999999999997</v>
      </c>
      <c r="AF5933" s="220">
        <f t="shared" si="50"/>
        <v>929.46406999999999</v>
      </c>
      <c r="AG5933" s="223">
        <v>2.637</v>
      </c>
      <c r="AH5933" s="346"/>
      <c r="AI5933" s="427"/>
      <c r="AJ5933" s="480"/>
      <c r="AK5933" s="427"/>
      <c r="AU5933" s="218"/>
      <c r="AV5933" s="218"/>
      <c r="AW5933" s="218"/>
      <c r="AX5933" s="218"/>
      <c r="AY5933" s="428"/>
      <c r="AZ5933" s="429"/>
      <c r="BA5933" s="429"/>
      <c r="BB5933" s="429"/>
      <c r="BI5933" s="427"/>
      <c r="BJ5933" s="427"/>
      <c r="BK5933" s="427"/>
      <c r="BL5933" s="427"/>
      <c r="BM5933" s="427"/>
      <c r="BN5933" s="427"/>
      <c r="BO5933" s="427"/>
      <c r="BP5933" s="427"/>
      <c r="BQ5933" s="427"/>
      <c r="BR5933" s="427"/>
      <c r="BS5933" s="427"/>
      <c r="BT5933" s="427"/>
      <c r="BU5933" s="427"/>
      <c r="BV5933" s="427"/>
      <c r="BW5933" s="427"/>
      <c r="BX5933" s="427"/>
      <c r="BY5933" s="427"/>
      <c r="BZ5933" s="427"/>
    </row>
    <row r="5934" spans="2:78" s="152" customFormat="1" ht="15" x14ac:dyDescent="0.25">
      <c r="B5934" s="683"/>
      <c r="C5934" s="683"/>
      <c r="D5934" s="698"/>
      <c r="E5934" s="215"/>
      <c r="F5934" s="215"/>
      <c r="G5934" s="427"/>
      <c r="H5934" s="427"/>
      <c r="I5934" s="427"/>
      <c r="J5934" s="427"/>
      <c r="K5934" s="427"/>
      <c r="L5934" s="653"/>
      <c r="M5934" s="666">
        <v>27143</v>
      </c>
      <c r="N5934" s="600">
        <v>2508.8726000000001</v>
      </c>
      <c r="O5934" s="620">
        <v>19.494799999999998</v>
      </c>
      <c r="P5934" s="782"/>
      <c r="Q5934" s="764"/>
      <c r="R5934" s="764"/>
      <c r="S5934" s="764"/>
      <c r="T5934" s="764"/>
      <c r="U5934" s="764"/>
      <c r="V5934" s="764"/>
      <c r="W5934" s="764"/>
      <c r="X5934" s="764"/>
      <c r="Y5934" s="768"/>
      <c r="Z5934" s="266"/>
      <c r="AA5934" s="150"/>
      <c r="AB5934" s="150">
        <v>21</v>
      </c>
      <c r="AC5934" s="150">
        <v>1.0200000000000001E-3</v>
      </c>
      <c r="AD5934" s="150">
        <v>187.45</v>
      </c>
      <c r="AE5934" s="223">
        <v>5.0599999999999996</v>
      </c>
      <c r="AF5934" s="220">
        <f t="shared" si="50"/>
        <v>948.49699999999984</v>
      </c>
      <c r="AG5934" s="223">
        <v>2.6669999999999998</v>
      </c>
      <c r="AH5934" s="346"/>
      <c r="AI5934" s="427"/>
      <c r="AJ5934" s="480"/>
      <c r="AK5934" s="427"/>
      <c r="AU5934" s="218"/>
      <c r="AV5934" s="218"/>
      <c r="AW5934" s="218"/>
      <c r="AX5934" s="218"/>
      <c r="AY5934" s="428"/>
      <c r="AZ5934" s="429"/>
      <c r="BA5934" s="429"/>
      <c r="BB5934" s="429"/>
      <c r="BI5934" s="427"/>
      <c r="BJ5934" s="427"/>
      <c r="BK5934" s="427"/>
      <c r="BL5934" s="427"/>
      <c r="BM5934" s="427"/>
      <c r="BN5934" s="427"/>
      <c r="BO5934" s="427"/>
      <c r="BP5934" s="427"/>
      <c r="BQ5934" s="427"/>
      <c r="BR5934" s="427"/>
      <c r="BS5934" s="427"/>
      <c r="BT5934" s="427"/>
      <c r="BU5934" s="427"/>
      <c r="BV5934" s="427"/>
      <c r="BW5934" s="427"/>
      <c r="BX5934" s="427"/>
      <c r="BY5934" s="427"/>
      <c r="BZ5934" s="427"/>
    </row>
    <row r="5935" spans="2:78" s="152" customFormat="1" ht="15" x14ac:dyDescent="0.25">
      <c r="B5935" s="683"/>
      <c r="C5935" s="683"/>
      <c r="D5935" s="698"/>
      <c r="E5935" s="215"/>
      <c r="F5935" s="215"/>
      <c r="G5935" s="427"/>
      <c r="H5935" s="427"/>
      <c r="I5935" s="427"/>
      <c r="J5935" s="427"/>
      <c r="K5935" s="427"/>
      <c r="L5935" s="653"/>
      <c r="M5935" s="666">
        <v>27156</v>
      </c>
      <c r="N5935" s="600">
        <v>3058.2194</v>
      </c>
      <c r="O5935" s="620">
        <v>19.586040000000001</v>
      </c>
      <c r="P5935" s="782"/>
      <c r="Q5935" s="764"/>
      <c r="R5935" s="764"/>
      <c r="S5935" s="764"/>
      <c r="T5935" s="764"/>
      <c r="U5935" s="764"/>
      <c r="V5935" s="764"/>
      <c r="W5935" s="764"/>
      <c r="X5935" s="764"/>
      <c r="Y5935" s="768"/>
      <c r="Z5935" s="266"/>
      <c r="AA5935" s="150"/>
      <c r="AB5935" s="150">
        <v>22</v>
      </c>
      <c r="AC5935" s="150">
        <v>1.1199999999999999E-3</v>
      </c>
      <c r="AD5935" s="150">
        <v>192.02</v>
      </c>
      <c r="AE5935" s="223">
        <v>5.4249999999999998</v>
      </c>
      <c r="AF5935" s="220">
        <f t="shared" si="50"/>
        <v>1041.7085</v>
      </c>
      <c r="AG5935" s="223">
        <v>2.9409999999999998</v>
      </c>
      <c r="AH5935" s="346"/>
      <c r="AI5935" s="427"/>
      <c r="AJ5935" s="480"/>
      <c r="AK5935" s="427"/>
      <c r="AU5935" s="218"/>
      <c r="AV5935" s="218"/>
      <c r="AW5935" s="218"/>
      <c r="AX5935" s="218"/>
      <c r="AY5935" s="428"/>
      <c r="AZ5935" s="429"/>
      <c r="BA5935" s="429"/>
      <c r="BB5935" s="429"/>
      <c r="BI5935" s="427"/>
      <c r="BJ5935" s="427"/>
      <c r="BK5935" s="427"/>
      <c r="BL5935" s="427"/>
      <c r="BM5935" s="427"/>
      <c r="BN5935" s="427"/>
      <c r="BO5935" s="427"/>
      <c r="BP5935" s="427"/>
      <c r="BQ5935" s="427"/>
      <c r="BR5935" s="427"/>
      <c r="BS5935" s="427"/>
      <c r="BT5935" s="427"/>
      <c r="BU5935" s="427"/>
      <c r="BV5935" s="427"/>
      <c r="BW5935" s="427"/>
      <c r="BX5935" s="427"/>
      <c r="BY5935" s="427"/>
      <c r="BZ5935" s="427"/>
    </row>
    <row r="5936" spans="2:78" s="152" customFormat="1" ht="15" x14ac:dyDescent="0.25">
      <c r="B5936" s="683"/>
      <c r="C5936" s="683"/>
      <c r="D5936" s="698"/>
      <c r="E5936" s="215"/>
      <c r="F5936" s="215"/>
      <c r="G5936" s="427"/>
      <c r="H5936" s="427"/>
      <c r="I5936" s="427"/>
      <c r="J5936" s="427"/>
      <c r="K5936" s="427"/>
      <c r="L5936" s="653"/>
      <c r="M5936" s="666">
        <v>27163</v>
      </c>
      <c r="N5936" s="600">
        <v>2749.5657999999999</v>
      </c>
      <c r="O5936" s="620">
        <v>21.732700000000001</v>
      </c>
      <c r="P5936" s="782"/>
      <c r="Q5936" s="764"/>
      <c r="R5936" s="764"/>
      <c r="S5936" s="764"/>
      <c r="T5936" s="764"/>
      <c r="U5936" s="764"/>
      <c r="V5936" s="764"/>
      <c r="W5936" s="764"/>
      <c r="X5936" s="764"/>
      <c r="Y5936" s="768"/>
      <c r="Z5936" s="266"/>
      <c r="AA5936" s="150"/>
      <c r="AB5936" s="150">
        <v>23</v>
      </c>
      <c r="AC5936" s="150">
        <v>1.07E-3</v>
      </c>
      <c r="AD5936" s="150">
        <v>188.98</v>
      </c>
      <c r="AE5936" s="223">
        <v>5.2119999999999997</v>
      </c>
      <c r="AF5936" s="220">
        <f t="shared" si="50"/>
        <v>984.96375999999987</v>
      </c>
      <c r="AG5936" s="223">
        <v>2.7890000000000001</v>
      </c>
      <c r="AH5936" s="346"/>
      <c r="AI5936" s="427"/>
      <c r="AJ5936" s="480"/>
      <c r="AK5936" s="427"/>
      <c r="AU5936" s="218"/>
      <c r="AV5936" s="218"/>
      <c r="AW5936" s="218"/>
      <c r="AX5936" s="218"/>
      <c r="AY5936" s="428"/>
      <c r="AZ5936" s="429"/>
      <c r="BA5936" s="429"/>
      <c r="BB5936" s="429"/>
      <c r="BI5936" s="427"/>
      <c r="BJ5936" s="427"/>
      <c r="BK5936" s="427"/>
      <c r="BL5936" s="427"/>
      <c r="BM5936" s="427"/>
      <c r="BN5936" s="427"/>
      <c r="BO5936" s="427"/>
      <c r="BP5936" s="427"/>
      <c r="BQ5936" s="427"/>
      <c r="BR5936" s="427"/>
      <c r="BS5936" s="427"/>
      <c r="BT5936" s="427"/>
      <c r="BU5936" s="427"/>
      <c r="BV5936" s="427"/>
      <c r="BW5936" s="427"/>
      <c r="BX5936" s="427"/>
      <c r="BY5936" s="427"/>
      <c r="BZ5936" s="427"/>
    </row>
    <row r="5937" spans="2:78" s="152" customFormat="1" ht="15" x14ac:dyDescent="0.25">
      <c r="B5937" s="683"/>
      <c r="C5937" s="683"/>
      <c r="D5937" s="698"/>
      <c r="E5937" s="215"/>
      <c r="F5937" s="215"/>
      <c r="G5937" s="427"/>
      <c r="H5937" s="427"/>
      <c r="I5937" s="427"/>
      <c r="J5937" s="427"/>
      <c r="K5937" s="427"/>
      <c r="L5937" s="653"/>
      <c r="M5937" s="666">
        <v>27165</v>
      </c>
      <c r="N5937" s="600">
        <v>2452.2388999999998</v>
      </c>
      <c r="O5937" s="620">
        <v>12.159822</v>
      </c>
      <c r="P5937" s="782"/>
      <c r="Q5937" s="764"/>
      <c r="R5937" s="764"/>
      <c r="S5937" s="764"/>
      <c r="T5937" s="764"/>
      <c r="U5937" s="764"/>
      <c r="V5937" s="764"/>
      <c r="W5937" s="764"/>
      <c r="X5937" s="764"/>
      <c r="Y5937" s="768"/>
      <c r="Z5937" s="266"/>
      <c r="AA5937" s="150"/>
      <c r="AB5937" s="150">
        <v>24</v>
      </c>
      <c r="AC5937" s="150">
        <v>1.01E-3</v>
      </c>
      <c r="AD5937" s="150">
        <v>185.93</v>
      </c>
      <c r="AE5937" s="223">
        <v>4.9989999999999997</v>
      </c>
      <c r="AF5937" s="220">
        <f t="shared" si="50"/>
        <v>929.46406999999999</v>
      </c>
      <c r="AG5937" s="223">
        <v>2.637</v>
      </c>
      <c r="AH5937" s="346"/>
      <c r="AI5937" s="427"/>
      <c r="AJ5937" s="480"/>
      <c r="AK5937" s="427"/>
      <c r="AU5937" s="218"/>
      <c r="AV5937" s="218"/>
      <c r="AW5937" s="218"/>
      <c r="AX5937" s="218"/>
      <c r="AY5937" s="428"/>
      <c r="AZ5937" s="429"/>
      <c r="BA5937" s="429"/>
      <c r="BB5937" s="429"/>
      <c r="BI5937" s="427"/>
      <c r="BJ5937" s="427"/>
      <c r="BK5937" s="427"/>
      <c r="BL5937" s="427"/>
      <c r="BM5937" s="427"/>
      <c r="BN5937" s="427"/>
      <c r="BO5937" s="427"/>
      <c r="BP5937" s="427"/>
      <c r="BQ5937" s="427"/>
      <c r="BR5937" s="427"/>
      <c r="BS5937" s="427"/>
      <c r="BT5937" s="427"/>
      <c r="BU5937" s="427"/>
      <c r="BV5937" s="427"/>
      <c r="BW5937" s="427"/>
      <c r="BX5937" s="427"/>
      <c r="BY5937" s="427"/>
      <c r="BZ5937" s="427"/>
    </row>
    <row r="5938" spans="2:78" s="152" customFormat="1" ht="15" x14ac:dyDescent="0.25">
      <c r="B5938" s="683"/>
      <c r="C5938" s="683"/>
      <c r="D5938" s="698"/>
      <c r="E5938" s="215"/>
      <c r="F5938" s="215"/>
      <c r="G5938" s="427"/>
      <c r="H5938" s="427"/>
      <c r="I5938" s="427"/>
      <c r="J5938" s="427"/>
      <c r="K5938" s="427"/>
      <c r="L5938" s="653"/>
      <c r="M5938" s="666">
        <v>27171</v>
      </c>
      <c r="N5938" s="600">
        <v>2035.9812999999999</v>
      </c>
      <c r="O5938" s="620">
        <v>1.9768240000000001</v>
      </c>
      <c r="P5938" s="782"/>
      <c r="Q5938" s="764"/>
      <c r="R5938" s="764"/>
      <c r="S5938" s="764"/>
      <c r="T5938" s="764"/>
      <c r="U5938" s="764"/>
      <c r="V5938" s="764"/>
      <c r="W5938" s="764"/>
      <c r="X5938" s="764"/>
      <c r="Y5938" s="768"/>
      <c r="Z5938" s="266"/>
      <c r="AA5938" s="150"/>
      <c r="AB5938" s="150">
        <v>25</v>
      </c>
      <c r="AC5938" s="150">
        <v>9.1E-4</v>
      </c>
      <c r="AD5938" s="150">
        <v>181.36</v>
      </c>
      <c r="AE5938" s="223">
        <v>4.694</v>
      </c>
      <c r="AF5938" s="220">
        <f t="shared" si="50"/>
        <v>851.30384000000004</v>
      </c>
      <c r="AG5938" s="223">
        <v>2.3929999999999998</v>
      </c>
      <c r="AH5938" s="346"/>
      <c r="AI5938" s="427"/>
      <c r="AJ5938" s="480"/>
      <c r="AK5938" s="427"/>
      <c r="AU5938" s="218"/>
      <c r="AV5938" s="218"/>
      <c r="AW5938" s="218"/>
      <c r="AX5938" s="218"/>
      <c r="AY5938" s="428"/>
      <c r="AZ5938" s="429"/>
      <c r="BA5938" s="429"/>
      <c r="BB5938" s="429"/>
      <c r="BI5938" s="427"/>
      <c r="BJ5938" s="427"/>
      <c r="BK5938" s="427"/>
      <c r="BL5938" s="427"/>
      <c r="BM5938" s="427"/>
      <c r="BN5938" s="427"/>
      <c r="BO5938" s="427"/>
      <c r="BP5938" s="427"/>
      <c r="BQ5938" s="427"/>
      <c r="BR5938" s="427"/>
      <c r="BS5938" s="427"/>
      <c r="BT5938" s="427"/>
      <c r="BU5938" s="427"/>
      <c r="BV5938" s="427"/>
      <c r="BW5938" s="427"/>
      <c r="BX5938" s="427"/>
      <c r="BY5938" s="427"/>
      <c r="BZ5938" s="427"/>
    </row>
    <row r="5939" spans="2:78" s="152" customFormat="1" ht="15" x14ac:dyDescent="0.25">
      <c r="B5939" s="683"/>
      <c r="C5939" s="683"/>
      <c r="D5939" s="698"/>
      <c r="E5939" s="215"/>
      <c r="F5939" s="215"/>
      <c r="G5939" s="427"/>
      <c r="H5939" s="427"/>
      <c r="I5939" s="427"/>
      <c r="J5939" s="427"/>
      <c r="K5939" s="427"/>
      <c r="L5939" s="653"/>
      <c r="M5939" s="666">
        <v>27185</v>
      </c>
      <c r="N5939" s="600">
        <v>4332.4775</v>
      </c>
      <c r="O5939" s="620">
        <v>2.4930870000000001</v>
      </c>
      <c r="P5939" s="782"/>
      <c r="Q5939" s="764"/>
      <c r="R5939" s="764"/>
      <c r="S5939" s="764"/>
      <c r="T5939" s="764"/>
      <c r="U5939" s="764"/>
      <c r="V5939" s="764"/>
      <c r="W5939" s="764"/>
      <c r="X5939" s="764"/>
      <c r="Y5939" s="768"/>
      <c r="Z5939" s="266"/>
      <c r="AA5939" s="150"/>
      <c r="AB5939" s="150">
        <v>26</v>
      </c>
      <c r="AC5939" s="150">
        <v>1.34E-3</v>
      </c>
      <c r="AD5939" s="150">
        <v>202.69</v>
      </c>
      <c r="AE5939" s="223">
        <v>6.0960000000000001</v>
      </c>
      <c r="AF5939" s="220">
        <f t="shared" si="50"/>
        <v>1235.59824</v>
      </c>
      <c r="AG5939" s="223">
        <v>3.49</v>
      </c>
      <c r="AH5939" s="346"/>
      <c r="AI5939" s="427"/>
      <c r="AJ5939" s="480"/>
      <c r="AK5939" s="427"/>
      <c r="AU5939" s="218"/>
      <c r="AV5939" s="218"/>
      <c r="AW5939" s="218"/>
      <c r="AX5939" s="218"/>
      <c r="AY5939" s="428"/>
      <c r="AZ5939" s="429"/>
      <c r="BA5939" s="429"/>
      <c r="BB5939" s="429"/>
      <c r="BI5939" s="427"/>
      <c r="BJ5939" s="427"/>
      <c r="BK5939" s="427"/>
      <c r="BL5939" s="427"/>
      <c r="BM5939" s="427"/>
      <c r="BN5939" s="427"/>
      <c r="BO5939" s="427"/>
      <c r="BP5939" s="427"/>
      <c r="BQ5939" s="427"/>
      <c r="BR5939" s="427"/>
      <c r="BS5939" s="427"/>
      <c r="BT5939" s="427"/>
      <c r="BU5939" s="427"/>
      <c r="BV5939" s="427"/>
      <c r="BW5939" s="427"/>
      <c r="BX5939" s="427"/>
      <c r="BY5939" s="427"/>
      <c r="BZ5939" s="427"/>
    </row>
    <row r="5940" spans="2:78" s="152" customFormat="1" ht="15" x14ac:dyDescent="0.25">
      <c r="B5940" s="683"/>
      <c r="C5940" s="683"/>
      <c r="D5940" s="698"/>
      <c r="E5940" s="215"/>
      <c r="F5940" s="215"/>
      <c r="G5940" s="427"/>
      <c r="H5940" s="427"/>
      <c r="I5940" s="427"/>
      <c r="J5940" s="427"/>
      <c r="K5940" s="427"/>
      <c r="L5940" s="653"/>
      <c r="M5940" s="666">
        <v>27191</v>
      </c>
      <c r="N5940" s="600">
        <v>3143.17</v>
      </c>
      <c r="O5940" s="620">
        <v>7.509739999999999</v>
      </c>
      <c r="P5940" s="782"/>
      <c r="Q5940" s="764"/>
      <c r="R5940" s="764"/>
      <c r="S5940" s="764"/>
      <c r="T5940" s="764"/>
      <c r="U5940" s="764"/>
      <c r="V5940" s="764"/>
      <c r="W5940" s="764"/>
      <c r="X5940" s="764"/>
      <c r="Y5940" s="768"/>
      <c r="Z5940" s="266"/>
      <c r="AA5940" s="150"/>
      <c r="AB5940" s="150">
        <v>27</v>
      </c>
      <c r="AC5940" s="150">
        <v>1.14E-3</v>
      </c>
      <c r="AD5940" s="150">
        <v>193.55</v>
      </c>
      <c r="AE5940" s="223">
        <v>5.4560000000000004</v>
      </c>
      <c r="AF5940" s="220">
        <f t="shared" si="50"/>
        <v>1056.0088000000001</v>
      </c>
      <c r="AG5940" s="223">
        <v>2.972</v>
      </c>
      <c r="AH5940" s="346"/>
      <c r="AI5940" s="427"/>
      <c r="AJ5940" s="480"/>
      <c r="AK5940" s="427"/>
      <c r="AU5940" s="218"/>
      <c r="AV5940" s="218"/>
      <c r="AW5940" s="218"/>
      <c r="AX5940" s="218"/>
      <c r="AY5940" s="428"/>
      <c r="AZ5940" s="429"/>
      <c r="BA5940" s="429"/>
      <c r="BB5940" s="429"/>
      <c r="BI5940" s="427"/>
      <c r="BJ5940" s="427"/>
      <c r="BK5940" s="427"/>
      <c r="BL5940" s="427"/>
      <c r="BM5940" s="427"/>
      <c r="BN5940" s="427"/>
      <c r="BO5940" s="427"/>
      <c r="BP5940" s="427"/>
      <c r="BQ5940" s="427"/>
      <c r="BR5940" s="427"/>
      <c r="BS5940" s="427"/>
      <c r="BT5940" s="427"/>
      <c r="BU5940" s="427"/>
      <c r="BV5940" s="427"/>
      <c r="BW5940" s="427"/>
      <c r="BX5940" s="427"/>
      <c r="BY5940" s="427"/>
      <c r="BZ5940" s="427"/>
    </row>
    <row r="5941" spans="2:78" s="152" customFormat="1" ht="15" x14ac:dyDescent="0.25">
      <c r="B5941" s="683"/>
      <c r="C5941" s="683"/>
      <c r="D5941" s="698"/>
      <c r="E5941" s="215"/>
      <c r="F5941" s="215"/>
      <c r="G5941" s="427"/>
      <c r="H5941" s="427"/>
      <c r="I5941" s="427"/>
      <c r="J5941" s="427"/>
      <c r="K5941" s="427"/>
      <c r="L5941" s="653"/>
      <c r="M5941" s="666">
        <v>27205</v>
      </c>
      <c r="N5941" s="600">
        <v>4559.0123000000003</v>
      </c>
      <c r="O5941" s="620">
        <v>30.224559999999997</v>
      </c>
      <c r="P5941" s="782"/>
      <c r="Q5941" s="764"/>
      <c r="R5941" s="764"/>
      <c r="S5941" s="764"/>
      <c r="T5941" s="764"/>
      <c r="U5941" s="764"/>
      <c r="V5941" s="764"/>
      <c r="W5941" s="764"/>
      <c r="X5941" s="764"/>
      <c r="Y5941" s="768"/>
      <c r="Z5941" s="266"/>
      <c r="AA5941" s="150"/>
      <c r="AB5941" s="150">
        <v>28</v>
      </c>
      <c r="AC5941" s="150">
        <v>1.3799999999999999E-3</v>
      </c>
      <c r="AD5941" s="150">
        <v>204.22</v>
      </c>
      <c r="AE5941" s="223">
        <v>6.218</v>
      </c>
      <c r="AF5941" s="220">
        <f t="shared" si="50"/>
        <v>1269.83996</v>
      </c>
      <c r="AG5941" s="223">
        <v>3.581</v>
      </c>
      <c r="AH5941" s="346"/>
      <c r="AI5941" s="427"/>
      <c r="AJ5941" s="480"/>
      <c r="AK5941" s="427"/>
      <c r="AU5941" s="218"/>
      <c r="AV5941" s="218"/>
      <c r="AW5941" s="218"/>
      <c r="AX5941" s="218"/>
      <c r="AY5941" s="428"/>
      <c r="AZ5941" s="429"/>
      <c r="BA5941" s="429"/>
      <c r="BB5941" s="429"/>
      <c r="BI5941" s="427"/>
      <c r="BJ5941" s="427"/>
      <c r="BK5941" s="427"/>
      <c r="BL5941" s="427"/>
      <c r="BM5941" s="427"/>
      <c r="BN5941" s="427"/>
      <c r="BO5941" s="427"/>
      <c r="BP5941" s="427"/>
      <c r="BQ5941" s="427"/>
      <c r="BR5941" s="427"/>
      <c r="BS5941" s="427"/>
      <c r="BT5941" s="427"/>
      <c r="BU5941" s="427"/>
      <c r="BV5941" s="427"/>
      <c r="BW5941" s="427"/>
      <c r="BX5941" s="427"/>
      <c r="BY5941" s="427"/>
      <c r="BZ5941" s="427"/>
    </row>
    <row r="5942" spans="2:78" s="152" customFormat="1" ht="15" x14ac:dyDescent="0.25">
      <c r="B5942" s="683"/>
      <c r="C5942" s="683"/>
      <c r="D5942" s="698"/>
      <c r="E5942" s="215"/>
      <c r="F5942" s="215"/>
      <c r="G5942" s="427"/>
      <c r="H5942" s="427"/>
      <c r="I5942" s="427"/>
      <c r="J5942" s="427"/>
      <c r="K5942" s="427"/>
      <c r="L5942" s="653"/>
      <c r="M5942" s="666">
        <v>27499</v>
      </c>
      <c r="N5942" s="600">
        <v>1599.9018000000001</v>
      </c>
      <c r="O5942" s="620">
        <v>4.2237659999999995</v>
      </c>
      <c r="P5942" s="782"/>
      <c r="Q5942" s="764"/>
      <c r="R5942" s="764"/>
      <c r="S5942" s="764"/>
      <c r="T5942" s="764"/>
      <c r="U5942" s="764"/>
      <c r="V5942" s="764"/>
      <c r="W5942" s="764"/>
      <c r="X5942" s="764"/>
      <c r="Y5942" s="768"/>
      <c r="Z5942" s="266"/>
      <c r="AA5942" s="150"/>
      <c r="AB5942" s="150">
        <v>29</v>
      </c>
      <c r="AC5942" s="150">
        <v>8.1999999999999998E-4</v>
      </c>
      <c r="AD5942" s="150">
        <v>175.26</v>
      </c>
      <c r="AE5942" s="223">
        <v>4.3280000000000003</v>
      </c>
      <c r="AF5942" s="220">
        <f t="shared" si="50"/>
        <v>758.52528000000007</v>
      </c>
      <c r="AG5942" s="223">
        <v>2.1339999999999999</v>
      </c>
      <c r="AH5942" s="346"/>
      <c r="AI5942" s="427"/>
      <c r="AJ5942" s="480"/>
      <c r="AK5942" s="427"/>
      <c r="AU5942" s="218"/>
      <c r="AV5942" s="218"/>
      <c r="AW5942" s="218"/>
      <c r="AX5942" s="218"/>
      <c r="AY5942" s="428"/>
      <c r="AZ5942" s="429"/>
      <c r="BA5942" s="429"/>
      <c r="BB5942" s="429"/>
      <c r="BI5942" s="427"/>
      <c r="BJ5942" s="427"/>
      <c r="BK5942" s="427"/>
      <c r="BL5942" s="427"/>
      <c r="BM5942" s="427"/>
      <c r="BN5942" s="427"/>
      <c r="BO5942" s="427"/>
      <c r="BP5942" s="427"/>
      <c r="BQ5942" s="427"/>
      <c r="BR5942" s="427"/>
      <c r="BS5942" s="427"/>
      <c r="BT5942" s="427"/>
      <c r="BU5942" s="427"/>
      <c r="BV5942" s="427"/>
      <c r="BW5942" s="427"/>
      <c r="BX5942" s="427"/>
      <c r="BY5942" s="427"/>
      <c r="BZ5942" s="427"/>
    </row>
    <row r="5943" spans="2:78" s="152" customFormat="1" ht="15" x14ac:dyDescent="0.25">
      <c r="B5943" s="683"/>
      <c r="C5943" s="683"/>
      <c r="D5943" s="698"/>
      <c r="E5943" s="215"/>
      <c r="F5943" s="215"/>
      <c r="G5943" s="427"/>
      <c r="H5943" s="427"/>
      <c r="I5943" s="427"/>
      <c r="J5943" s="427"/>
      <c r="K5943" s="427"/>
      <c r="L5943" s="653"/>
      <c r="M5943" s="666">
        <v>27514</v>
      </c>
      <c r="N5943" s="600">
        <v>2154.9119999999998</v>
      </c>
      <c r="O5943" s="620">
        <v>1.133856</v>
      </c>
      <c r="P5943" s="782"/>
      <c r="Q5943" s="764"/>
      <c r="R5943" s="764"/>
      <c r="S5943" s="764"/>
      <c r="T5943" s="764"/>
      <c r="U5943" s="764"/>
      <c r="V5943" s="764"/>
      <c r="W5943" s="764"/>
      <c r="X5943" s="764"/>
      <c r="Y5943" s="768"/>
      <c r="Z5943" s="266"/>
      <c r="AA5943" s="150"/>
      <c r="AB5943" s="150">
        <v>30</v>
      </c>
      <c r="AC5943" s="150">
        <v>9.3999999999999997E-4</v>
      </c>
      <c r="AD5943" s="150">
        <v>182.88</v>
      </c>
      <c r="AE5943" s="223">
        <v>4.7850000000000001</v>
      </c>
      <c r="AF5943" s="220">
        <f t="shared" si="50"/>
        <v>875.08079999999995</v>
      </c>
      <c r="AG5943" s="223">
        <v>2.4689999999999999</v>
      </c>
      <c r="AH5943" s="346"/>
      <c r="AI5943" s="427"/>
      <c r="AJ5943" s="480"/>
      <c r="AK5943" s="427"/>
      <c r="AU5943" s="218"/>
      <c r="AV5943" s="218"/>
      <c r="AW5943" s="218"/>
      <c r="AX5943" s="218"/>
      <c r="AY5943" s="428"/>
      <c r="AZ5943" s="429"/>
      <c r="BA5943" s="429"/>
      <c r="BB5943" s="429"/>
      <c r="BI5943" s="427"/>
      <c r="BJ5943" s="427"/>
      <c r="BK5943" s="427"/>
      <c r="BL5943" s="427"/>
      <c r="BM5943" s="427"/>
      <c r="BN5943" s="427"/>
      <c r="BO5943" s="427"/>
      <c r="BP5943" s="427"/>
      <c r="BQ5943" s="427"/>
      <c r="BR5943" s="427"/>
      <c r="BS5943" s="427"/>
      <c r="BT5943" s="427"/>
      <c r="BU5943" s="427"/>
      <c r="BV5943" s="427"/>
      <c r="BW5943" s="427"/>
      <c r="BX5943" s="427"/>
      <c r="BY5943" s="427"/>
      <c r="BZ5943" s="427"/>
    </row>
    <row r="5944" spans="2:78" s="152" customFormat="1" ht="15" x14ac:dyDescent="0.25">
      <c r="B5944" s="683"/>
      <c r="C5944" s="683"/>
      <c r="D5944" s="698"/>
      <c r="E5944" s="215"/>
      <c r="F5944" s="215"/>
      <c r="G5944" s="427"/>
      <c r="H5944" s="427"/>
      <c r="I5944" s="427"/>
      <c r="J5944" s="427"/>
      <c r="K5944" s="427"/>
      <c r="L5944" s="653"/>
      <c r="M5944" s="666">
        <v>27515</v>
      </c>
      <c r="N5944" s="600">
        <v>2137.9218999999998</v>
      </c>
      <c r="O5944" s="620">
        <v>10.351008</v>
      </c>
      <c r="P5944" s="782"/>
      <c r="Q5944" s="764"/>
      <c r="R5944" s="764"/>
      <c r="S5944" s="764"/>
      <c r="T5944" s="764"/>
      <c r="U5944" s="764"/>
      <c r="V5944" s="764"/>
      <c r="W5944" s="764"/>
      <c r="X5944" s="764"/>
      <c r="Y5944" s="768"/>
      <c r="Z5944" s="266"/>
      <c r="AA5944" s="150"/>
      <c r="AB5944" s="150">
        <v>31</v>
      </c>
      <c r="AC5944" s="150">
        <v>9.3999999999999997E-4</v>
      </c>
      <c r="AD5944" s="150">
        <v>182.88</v>
      </c>
      <c r="AE5944" s="223">
        <v>4.7850000000000001</v>
      </c>
      <c r="AF5944" s="220">
        <f t="shared" si="50"/>
        <v>875.08079999999995</v>
      </c>
      <c r="AG5944" s="223">
        <v>2.4540000000000002</v>
      </c>
      <c r="AH5944" s="346"/>
      <c r="AI5944" s="427"/>
      <c r="AJ5944" s="480"/>
      <c r="AK5944" s="427"/>
      <c r="AU5944" s="218"/>
      <c r="AV5944" s="218"/>
      <c r="AW5944" s="218"/>
      <c r="AX5944" s="218"/>
      <c r="AY5944" s="428"/>
      <c r="AZ5944" s="429"/>
      <c r="BA5944" s="429"/>
      <c r="BB5944" s="429"/>
      <c r="BI5944" s="427"/>
      <c r="BJ5944" s="427"/>
      <c r="BK5944" s="427"/>
      <c r="BL5944" s="427"/>
      <c r="BM5944" s="427"/>
      <c r="BN5944" s="427"/>
      <c r="BO5944" s="427"/>
      <c r="BP5944" s="427"/>
      <c r="BQ5944" s="427"/>
      <c r="BR5944" s="427"/>
      <c r="BS5944" s="427"/>
      <c r="BT5944" s="427"/>
      <c r="BU5944" s="427"/>
      <c r="BV5944" s="427"/>
      <c r="BW5944" s="427"/>
      <c r="BX5944" s="427"/>
      <c r="BY5944" s="427"/>
      <c r="BZ5944" s="427"/>
    </row>
    <row r="5945" spans="2:78" s="152" customFormat="1" ht="15" x14ac:dyDescent="0.25">
      <c r="B5945" s="683"/>
      <c r="C5945" s="683"/>
      <c r="D5945" s="698"/>
      <c r="E5945" s="215"/>
      <c r="F5945" s="215"/>
      <c r="G5945" s="427"/>
      <c r="H5945" s="427"/>
      <c r="I5945" s="427"/>
      <c r="J5945" s="427"/>
      <c r="K5945" s="427"/>
      <c r="L5945" s="653"/>
      <c r="M5945" s="666">
        <v>27528</v>
      </c>
      <c r="N5945" s="600">
        <v>2658.9519</v>
      </c>
      <c r="O5945" s="620">
        <v>10.469491999999999</v>
      </c>
      <c r="P5945" s="782"/>
      <c r="Q5945" s="764"/>
      <c r="R5945" s="764"/>
      <c r="S5945" s="764"/>
      <c r="T5945" s="764"/>
      <c r="U5945" s="764"/>
      <c r="V5945" s="764"/>
      <c r="W5945" s="764"/>
      <c r="X5945" s="764"/>
      <c r="Y5945" s="768"/>
      <c r="Z5945" s="266"/>
      <c r="AA5945" s="150"/>
      <c r="AB5945" s="150">
        <v>32</v>
      </c>
      <c r="AC5945" s="150">
        <v>1.0499999999999999E-3</v>
      </c>
      <c r="AD5945" s="150">
        <v>188.98</v>
      </c>
      <c r="AE5945" s="223">
        <v>5.1509999999999998</v>
      </c>
      <c r="AF5945" s="220">
        <f t="shared" si="50"/>
        <v>973.43597999999986</v>
      </c>
      <c r="AG5945" s="223">
        <v>2.7429999999999999</v>
      </c>
      <c r="AH5945" s="346"/>
      <c r="AI5945" s="427"/>
      <c r="AJ5945" s="480"/>
      <c r="AK5945" s="427"/>
      <c r="AU5945" s="218"/>
      <c r="AV5945" s="218"/>
      <c r="AW5945" s="218"/>
      <c r="AX5945" s="218"/>
      <c r="AY5945" s="428"/>
      <c r="AZ5945" s="429"/>
      <c r="BA5945" s="429"/>
      <c r="BB5945" s="429"/>
      <c r="BI5945" s="427"/>
      <c r="BJ5945" s="427"/>
      <c r="BK5945" s="427"/>
      <c r="BL5945" s="427"/>
      <c r="BM5945" s="427"/>
      <c r="BN5945" s="427"/>
      <c r="BO5945" s="427"/>
      <c r="BP5945" s="427"/>
      <c r="BQ5945" s="427"/>
      <c r="BR5945" s="427"/>
      <c r="BS5945" s="427"/>
      <c r="BT5945" s="427"/>
      <c r="BU5945" s="427"/>
      <c r="BV5945" s="427"/>
      <c r="BW5945" s="427"/>
      <c r="BX5945" s="427"/>
      <c r="BY5945" s="427"/>
      <c r="BZ5945" s="427"/>
    </row>
    <row r="5946" spans="2:78" s="152" customFormat="1" ht="15" x14ac:dyDescent="0.25">
      <c r="B5946" s="683"/>
      <c r="C5946" s="683"/>
      <c r="D5946" s="698"/>
      <c r="E5946" s="215"/>
      <c r="F5946" s="215"/>
      <c r="G5946" s="427"/>
      <c r="H5946" s="427"/>
      <c r="I5946" s="427"/>
      <c r="J5946" s="427"/>
      <c r="K5946" s="427"/>
      <c r="L5946" s="653"/>
      <c r="M5946" s="666">
        <v>27534</v>
      </c>
      <c r="N5946" s="600">
        <v>3001.5857000000001</v>
      </c>
      <c r="O5946" s="620">
        <v>16.552123999999999</v>
      </c>
      <c r="P5946" s="782"/>
      <c r="Q5946" s="764"/>
      <c r="R5946" s="764"/>
      <c r="S5946" s="764"/>
      <c r="T5946" s="764"/>
      <c r="U5946" s="764"/>
      <c r="V5946" s="764"/>
      <c r="W5946" s="764"/>
      <c r="X5946" s="764"/>
      <c r="Y5946" s="768"/>
      <c r="Z5946" s="266"/>
      <c r="AA5946" s="150"/>
      <c r="AB5946" s="150">
        <v>33</v>
      </c>
      <c r="AC5946" s="150">
        <v>1.1199999999999999E-3</v>
      </c>
      <c r="AD5946" s="150">
        <v>192.02</v>
      </c>
      <c r="AE5946" s="223">
        <v>5.3639999999999999</v>
      </c>
      <c r="AF5946" s="220">
        <f t="shared" si="50"/>
        <v>1029.9952800000001</v>
      </c>
      <c r="AG5946" s="223">
        <v>2.911</v>
      </c>
      <c r="AH5946" s="346"/>
      <c r="AI5946" s="427"/>
      <c r="AJ5946" s="480"/>
      <c r="AK5946" s="427"/>
      <c r="AU5946" s="218"/>
      <c r="AV5946" s="218"/>
      <c r="AW5946" s="218"/>
      <c r="AX5946" s="218"/>
      <c r="AY5946" s="428"/>
      <c r="AZ5946" s="429"/>
      <c r="BA5946" s="429"/>
      <c r="BB5946" s="429"/>
      <c r="BI5946" s="427"/>
      <c r="BJ5946" s="427"/>
      <c r="BK5946" s="427"/>
      <c r="BL5946" s="427"/>
      <c r="BM5946" s="427"/>
      <c r="BN5946" s="427"/>
      <c r="BO5946" s="427"/>
      <c r="BP5946" s="427"/>
      <c r="BQ5946" s="427"/>
      <c r="BR5946" s="427"/>
      <c r="BS5946" s="427"/>
      <c r="BT5946" s="427"/>
      <c r="BU5946" s="427"/>
      <c r="BV5946" s="427"/>
      <c r="BW5946" s="427"/>
      <c r="BX5946" s="427"/>
      <c r="BY5946" s="427"/>
      <c r="BZ5946" s="427"/>
    </row>
    <row r="5947" spans="2:78" s="152" customFormat="1" ht="15" x14ac:dyDescent="0.25">
      <c r="B5947" s="683"/>
      <c r="C5947" s="683"/>
      <c r="D5947" s="698"/>
      <c r="E5947" s="215"/>
      <c r="F5947" s="215"/>
      <c r="G5947" s="427"/>
      <c r="H5947" s="427"/>
      <c r="I5947" s="427"/>
      <c r="J5947" s="427"/>
      <c r="K5947" s="427"/>
      <c r="L5947" s="653"/>
      <c r="M5947" s="666">
        <v>27556</v>
      </c>
      <c r="N5947" s="600">
        <v>2749.5657999999999</v>
      </c>
      <c r="O5947" s="620">
        <v>3.6284159999999996</v>
      </c>
      <c r="P5947" s="782"/>
      <c r="Q5947" s="764"/>
      <c r="R5947" s="764"/>
      <c r="S5947" s="764"/>
      <c r="T5947" s="764"/>
      <c r="U5947" s="764"/>
      <c r="V5947" s="764"/>
      <c r="W5947" s="764"/>
      <c r="X5947" s="764"/>
      <c r="Y5947" s="768"/>
      <c r="Z5947" s="266"/>
      <c r="AA5947" s="150"/>
      <c r="AB5947" s="150">
        <v>34</v>
      </c>
      <c r="AC5947" s="150">
        <v>1.07E-3</v>
      </c>
      <c r="AD5947" s="150">
        <v>188.98</v>
      </c>
      <c r="AE5947" s="223">
        <v>5.2119999999999997</v>
      </c>
      <c r="AF5947" s="220">
        <f t="shared" si="50"/>
        <v>984.96375999999987</v>
      </c>
      <c r="AG5947" s="223">
        <v>2.7890000000000001</v>
      </c>
      <c r="AH5947" s="346"/>
      <c r="AI5947" s="427"/>
      <c r="AJ5947" s="480"/>
      <c r="AK5947" s="427"/>
      <c r="AU5947" s="218"/>
      <c r="AV5947" s="218"/>
      <c r="AW5947" s="218"/>
      <c r="AX5947" s="218"/>
      <c r="AY5947" s="428"/>
      <c r="AZ5947" s="429"/>
      <c r="BA5947" s="429"/>
      <c r="BB5947" s="429"/>
      <c r="BI5947" s="427"/>
      <c r="BJ5947" s="427"/>
      <c r="BK5947" s="427"/>
      <c r="BL5947" s="427"/>
      <c r="BM5947" s="427"/>
      <c r="BN5947" s="427"/>
      <c r="BO5947" s="427"/>
      <c r="BP5947" s="427"/>
      <c r="BQ5947" s="427"/>
      <c r="BR5947" s="427"/>
      <c r="BS5947" s="427"/>
      <c r="BT5947" s="427"/>
      <c r="BU5947" s="427"/>
      <c r="BV5947" s="427"/>
      <c r="BW5947" s="427"/>
      <c r="BX5947" s="427"/>
      <c r="BY5947" s="427"/>
      <c r="BZ5947" s="427"/>
    </row>
    <row r="5948" spans="2:78" s="152" customFormat="1" ht="15" x14ac:dyDescent="0.25">
      <c r="B5948" s="683"/>
      <c r="C5948" s="683"/>
      <c r="D5948" s="698"/>
      <c r="E5948" s="215"/>
      <c r="F5948" s="215"/>
      <c r="G5948" s="427"/>
      <c r="H5948" s="427"/>
      <c r="I5948" s="427"/>
      <c r="J5948" s="427"/>
      <c r="K5948" s="427"/>
      <c r="L5948" s="653"/>
      <c r="M5948" s="666">
        <v>27564</v>
      </c>
      <c r="N5948" s="600">
        <v>2599.4865</v>
      </c>
      <c r="O5948" s="620">
        <v>9.3537549999999996</v>
      </c>
      <c r="P5948" s="782"/>
      <c r="Q5948" s="764"/>
      <c r="R5948" s="764"/>
      <c r="S5948" s="764"/>
      <c r="T5948" s="764"/>
      <c r="U5948" s="764"/>
      <c r="V5948" s="764"/>
      <c r="W5948" s="764"/>
      <c r="X5948" s="764"/>
      <c r="Y5948" s="768"/>
      <c r="Z5948" s="266"/>
      <c r="AA5948" s="150"/>
      <c r="AB5948" s="150">
        <v>35</v>
      </c>
      <c r="AC5948" s="150">
        <v>1.0300000000000001E-3</v>
      </c>
      <c r="AD5948" s="150">
        <v>187.45</v>
      </c>
      <c r="AE5948" s="223">
        <v>5.1210000000000004</v>
      </c>
      <c r="AF5948" s="220">
        <f t="shared" si="50"/>
        <v>959.93145000000004</v>
      </c>
      <c r="AG5948" s="223">
        <v>2.7130000000000001</v>
      </c>
      <c r="AH5948" s="346"/>
      <c r="AI5948" s="427"/>
      <c r="AJ5948" s="480"/>
      <c r="AK5948" s="427"/>
      <c r="AU5948" s="218"/>
      <c r="AV5948" s="218"/>
      <c r="AW5948" s="218"/>
      <c r="AX5948" s="218"/>
      <c r="AY5948" s="428"/>
      <c r="AZ5948" s="429"/>
      <c r="BA5948" s="429"/>
      <c r="BB5948" s="429"/>
      <c r="BI5948" s="427"/>
      <c r="BJ5948" s="427"/>
      <c r="BK5948" s="427"/>
      <c r="BL5948" s="427"/>
      <c r="BM5948" s="427"/>
      <c r="BN5948" s="427"/>
      <c r="BO5948" s="427"/>
      <c r="BP5948" s="427"/>
      <c r="BQ5948" s="427"/>
      <c r="BR5948" s="427"/>
      <c r="BS5948" s="427"/>
      <c r="BT5948" s="427"/>
      <c r="BU5948" s="427"/>
      <c r="BV5948" s="427"/>
      <c r="BW5948" s="427"/>
      <c r="BX5948" s="427"/>
      <c r="BY5948" s="427"/>
      <c r="BZ5948" s="427"/>
    </row>
    <row r="5949" spans="2:78" s="152" customFormat="1" ht="15" x14ac:dyDescent="0.25">
      <c r="B5949" s="683"/>
      <c r="C5949" s="683"/>
      <c r="D5949" s="698"/>
      <c r="E5949" s="215"/>
      <c r="F5949" s="215"/>
      <c r="G5949" s="427"/>
      <c r="H5949" s="427"/>
      <c r="I5949" s="427"/>
      <c r="J5949" s="427"/>
      <c r="K5949" s="427"/>
      <c r="L5949" s="653"/>
      <c r="M5949" s="666">
        <v>27571</v>
      </c>
      <c r="N5949" s="600">
        <v>2944.9520000000002</v>
      </c>
      <c r="O5949" s="620">
        <v>5.7221960000000003</v>
      </c>
      <c r="P5949" s="782"/>
      <c r="Q5949" s="764"/>
      <c r="R5949" s="764"/>
      <c r="S5949" s="764"/>
      <c r="T5949" s="764"/>
      <c r="U5949" s="764"/>
      <c r="V5949" s="764"/>
      <c r="W5949" s="764"/>
      <c r="X5949" s="764"/>
      <c r="Y5949" s="768"/>
      <c r="Z5949" s="266"/>
      <c r="AA5949" s="150"/>
      <c r="AB5949" s="150">
        <v>36</v>
      </c>
      <c r="AC5949" s="150">
        <v>1.1000000000000001E-3</v>
      </c>
      <c r="AD5949" s="150">
        <v>192.02</v>
      </c>
      <c r="AE5949" s="223">
        <v>5.3339999999999996</v>
      </c>
      <c r="AF5949" s="220">
        <f t="shared" si="50"/>
        <v>1024.23468</v>
      </c>
      <c r="AG5949" s="223">
        <v>2.88</v>
      </c>
      <c r="AH5949" s="346"/>
      <c r="AI5949" s="427"/>
      <c r="AJ5949" s="480"/>
      <c r="AK5949" s="427"/>
      <c r="AU5949" s="218"/>
      <c r="AV5949" s="218"/>
      <c r="AW5949" s="218"/>
      <c r="AX5949" s="218"/>
      <c r="AY5949" s="428"/>
      <c r="AZ5949" s="429"/>
      <c r="BA5949" s="429"/>
      <c r="BB5949" s="429"/>
      <c r="BI5949" s="427"/>
      <c r="BJ5949" s="427"/>
      <c r="BK5949" s="427"/>
      <c r="BL5949" s="427"/>
      <c r="BM5949" s="427"/>
      <c r="BN5949" s="427"/>
      <c r="BO5949" s="427"/>
      <c r="BP5949" s="427"/>
      <c r="BQ5949" s="427"/>
      <c r="BR5949" s="427"/>
      <c r="BS5949" s="427"/>
      <c r="BT5949" s="427"/>
      <c r="BU5949" s="427"/>
      <c r="BV5949" s="427"/>
      <c r="BW5949" s="427"/>
      <c r="BX5949" s="427"/>
      <c r="BY5949" s="427"/>
      <c r="BZ5949" s="427"/>
    </row>
    <row r="5950" spans="2:78" s="152" customFormat="1" ht="15" x14ac:dyDescent="0.25">
      <c r="B5950" s="683"/>
      <c r="C5950" s="683"/>
      <c r="D5950" s="698"/>
      <c r="E5950" s="215"/>
      <c r="F5950" s="215"/>
      <c r="G5950" s="427"/>
      <c r="H5950" s="427"/>
      <c r="I5950" s="427"/>
      <c r="J5950" s="427"/>
      <c r="K5950" s="427"/>
      <c r="L5950" s="653"/>
      <c r="M5950" s="666">
        <v>27857</v>
      </c>
      <c r="N5950" s="600">
        <v>1749.9811</v>
      </c>
      <c r="O5950" s="620">
        <v>4.4018220000000001</v>
      </c>
      <c r="P5950" s="782"/>
      <c r="Q5950" s="764"/>
      <c r="R5950" s="764"/>
      <c r="S5950" s="764"/>
      <c r="T5950" s="764"/>
      <c r="U5950" s="764"/>
      <c r="V5950" s="764"/>
      <c r="W5950" s="764"/>
      <c r="X5950" s="764"/>
      <c r="Y5950" s="768"/>
      <c r="Z5950" s="266"/>
      <c r="AA5950" s="150"/>
      <c r="AB5950" s="150">
        <v>37</v>
      </c>
      <c r="AC5950" s="150">
        <v>8.4000000000000003E-4</v>
      </c>
      <c r="AD5950" s="150">
        <v>176.78</v>
      </c>
      <c r="AE5950" s="223">
        <v>4.45</v>
      </c>
      <c r="AF5950" s="220">
        <f t="shared" si="50"/>
        <v>786.67100000000005</v>
      </c>
      <c r="AG5950" s="223">
        <v>2.234</v>
      </c>
      <c r="AH5950" s="346"/>
      <c r="AI5950" s="427"/>
      <c r="AJ5950" s="480"/>
      <c r="AK5950" s="427"/>
      <c r="AU5950" s="218"/>
      <c r="AV5950" s="218"/>
      <c r="AW5950" s="218"/>
      <c r="AX5950" s="218"/>
      <c r="AY5950" s="428"/>
      <c r="AZ5950" s="429"/>
      <c r="BA5950" s="429"/>
      <c r="BB5950" s="429"/>
      <c r="BI5950" s="427"/>
      <c r="BJ5950" s="427"/>
      <c r="BK5950" s="427"/>
      <c r="BL5950" s="427"/>
      <c r="BM5950" s="427"/>
      <c r="BN5950" s="427"/>
      <c r="BO5950" s="427"/>
      <c r="BP5950" s="427"/>
      <c r="BQ5950" s="427"/>
      <c r="BR5950" s="427"/>
      <c r="BS5950" s="427"/>
      <c r="BT5950" s="427"/>
      <c r="BU5950" s="427"/>
      <c r="BV5950" s="427"/>
      <c r="BW5950" s="427"/>
      <c r="BX5950" s="427"/>
      <c r="BY5950" s="427"/>
      <c r="BZ5950" s="427"/>
    </row>
    <row r="5951" spans="2:78" s="152" customFormat="1" ht="15" x14ac:dyDescent="0.25">
      <c r="B5951" s="683"/>
      <c r="C5951" s="683"/>
      <c r="D5951" s="698"/>
      <c r="E5951" s="215"/>
      <c r="F5951" s="215"/>
      <c r="G5951" s="427"/>
      <c r="H5951" s="427"/>
      <c r="I5951" s="427"/>
      <c r="J5951" s="427"/>
      <c r="K5951" s="427"/>
      <c r="L5951" s="653"/>
      <c r="M5951" s="666">
        <v>27863</v>
      </c>
      <c r="N5951" s="600">
        <v>2811.8629000000001</v>
      </c>
      <c r="O5951" s="620">
        <v>20.192999999999998</v>
      </c>
      <c r="P5951" s="782"/>
      <c r="Q5951" s="764"/>
      <c r="R5951" s="764"/>
      <c r="S5951" s="764"/>
      <c r="T5951" s="764"/>
      <c r="U5951" s="764"/>
      <c r="V5951" s="764"/>
      <c r="W5951" s="764"/>
      <c r="X5951" s="764"/>
      <c r="Y5951" s="768"/>
      <c r="Z5951" s="266"/>
      <c r="AA5951" s="150"/>
      <c r="AB5951" s="150">
        <v>38</v>
      </c>
      <c r="AC5951" s="150">
        <v>1.08E-3</v>
      </c>
      <c r="AD5951" s="150">
        <v>190.5</v>
      </c>
      <c r="AE5951" s="223">
        <v>5.2430000000000003</v>
      </c>
      <c r="AF5951" s="220">
        <f t="shared" si="50"/>
        <v>998.79150000000004</v>
      </c>
      <c r="AG5951" s="223">
        <v>2.819</v>
      </c>
      <c r="AH5951" s="346"/>
      <c r="AI5951" s="427"/>
      <c r="AJ5951" s="480"/>
      <c r="AK5951" s="427"/>
      <c r="AU5951" s="218"/>
      <c r="AV5951" s="218"/>
      <c r="AW5951" s="218"/>
      <c r="AX5951" s="218"/>
      <c r="AY5951" s="428"/>
      <c r="AZ5951" s="429"/>
      <c r="BA5951" s="429"/>
      <c r="BB5951" s="429"/>
      <c r="BI5951" s="427"/>
      <c r="BJ5951" s="427"/>
      <c r="BK5951" s="427"/>
      <c r="BL5951" s="427"/>
      <c r="BM5951" s="427"/>
      <c r="BN5951" s="427"/>
      <c r="BO5951" s="427"/>
      <c r="BP5951" s="427"/>
      <c r="BQ5951" s="427"/>
      <c r="BR5951" s="427"/>
      <c r="BS5951" s="427"/>
      <c r="BT5951" s="427"/>
      <c r="BU5951" s="427"/>
      <c r="BV5951" s="427"/>
      <c r="BW5951" s="427"/>
      <c r="BX5951" s="427"/>
      <c r="BY5951" s="427"/>
      <c r="BZ5951" s="427"/>
    </row>
    <row r="5952" spans="2:78" s="152" customFormat="1" ht="15" x14ac:dyDescent="0.25">
      <c r="B5952" s="683"/>
      <c r="C5952" s="683"/>
      <c r="D5952" s="698"/>
      <c r="E5952" s="215"/>
      <c r="F5952" s="215"/>
      <c r="G5952" s="427"/>
      <c r="H5952" s="427"/>
      <c r="I5952" s="427"/>
      <c r="J5952" s="427"/>
      <c r="K5952" s="427"/>
      <c r="L5952" s="653"/>
      <c r="M5952" s="666">
        <v>27865</v>
      </c>
      <c r="N5952" s="600">
        <v>2684.4371000000001</v>
      </c>
      <c r="O5952" s="620">
        <v>64.631160000000008</v>
      </c>
      <c r="P5952" s="782"/>
      <c r="Q5952" s="764"/>
      <c r="R5952" s="764"/>
      <c r="S5952" s="764"/>
      <c r="T5952" s="764"/>
      <c r="U5952" s="764"/>
      <c r="V5952" s="764"/>
      <c r="W5952" s="764"/>
      <c r="X5952" s="764"/>
      <c r="Y5952" s="768"/>
      <c r="Z5952" s="266"/>
      <c r="AA5952" s="150"/>
      <c r="AB5952" s="150">
        <v>39</v>
      </c>
      <c r="AC5952" s="150">
        <v>1.0499999999999999E-3</v>
      </c>
      <c r="AD5952" s="150">
        <v>188.98</v>
      </c>
      <c r="AE5952" s="223">
        <v>5.1820000000000004</v>
      </c>
      <c r="AF5952" s="220">
        <f t="shared" si="50"/>
        <v>979.29435999999998</v>
      </c>
      <c r="AG5952" s="223">
        <v>2.758</v>
      </c>
      <c r="AH5952" s="346"/>
      <c r="AI5952" s="427"/>
      <c r="AJ5952" s="480"/>
      <c r="AK5952" s="427"/>
      <c r="AU5952" s="218"/>
      <c r="AV5952" s="218"/>
      <c r="AW5952" s="218"/>
      <c r="AX5952" s="218"/>
      <c r="AY5952" s="428"/>
      <c r="AZ5952" s="429"/>
      <c r="BA5952" s="429"/>
      <c r="BB5952" s="429"/>
      <c r="BI5952" s="427"/>
      <c r="BJ5952" s="427"/>
      <c r="BK5952" s="427"/>
      <c r="BL5952" s="427"/>
      <c r="BM5952" s="427"/>
      <c r="BN5952" s="427"/>
      <c r="BO5952" s="427"/>
      <c r="BP5952" s="427"/>
      <c r="BQ5952" s="427"/>
      <c r="BR5952" s="427"/>
      <c r="BS5952" s="427"/>
      <c r="BT5952" s="427"/>
      <c r="BU5952" s="427"/>
      <c r="BV5952" s="427"/>
      <c r="BW5952" s="427"/>
      <c r="BX5952" s="427"/>
      <c r="BY5952" s="427"/>
      <c r="BZ5952" s="427"/>
    </row>
    <row r="5953" spans="2:78" s="152" customFormat="1" ht="15" x14ac:dyDescent="0.25">
      <c r="B5953" s="683"/>
      <c r="C5953" s="683"/>
      <c r="D5953" s="698"/>
      <c r="E5953" s="215"/>
      <c r="F5953" s="215"/>
      <c r="G5953" s="427"/>
      <c r="H5953" s="427"/>
      <c r="I5953" s="427"/>
      <c r="J5953" s="427"/>
      <c r="K5953" s="427"/>
      <c r="L5953" s="653"/>
      <c r="M5953" s="666">
        <v>27869</v>
      </c>
      <c r="N5953" s="600">
        <v>2321.9814000000001</v>
      </c>
      <c r="O5953" s="620">
        <v>57.164000000000001</v>
      </c>
      <c r="P5953" s="782"/>
      <c r="Q5953" s="764"/>
      <c r="R5953" s="764"/>
      <c r="S5953" s="764"/>
      <c r="T5953" s="764"/>
      <c r="U5953" s="764"/>
      <c r="V5953" s="764"/>
      <c r="W5953" s="764"/>
      <c r="X5953" s="764"/>
      <c r="Y5953" s="768"/>
      <c r="Z5953" s="266"/>
      <c r="AA5953" s="150"/>
      <c r="AB5953" s="150">
        <v>40</v>
      </c>
      <c r="AC5953" s="150">
        <v>9.7999999999999997E-4</v>
      </c>
      <c r="AD5953" s="150">
        <v>184.4</v>
      </c>
      <c r="AE5953" s="223">
        <v>4.907</v>
      </c>
      <c r="AF5953" s="220">
        <f t="shared" si="50"/>
        <v>904.85080000000005</v>
      </c>
      <c r="AG5953" s="223">
        <v>2.56</v>
      </c>
      <c r="AH5953" s="346"/>
      <c r="AI5953" s="427"/>
      <c r="AJ5953" s="480"/>
      <c r="AK5953" s="427"/>
      <c r="AU5953" s="218"/>
      <c r="AV5953" s="218"/>
      <c r="AW5953" s="218"/>
      <c r="AX5953" s="218"/>
      <c r="AY5953" s="428"/>
      <c r="AZ5953" s="429"/>
      <c r="BA5953" s="429"/>
      <c r="BB5953" s="429"/>
      <c r="BI5953" s="427"/>
      <c r="BJ5953" s="427"/>
      <c r="BK5953" s="427"/>
      <c r="BL5953" s="427"/>
      <c r="BM5953" s="427"/>
      <c r="BN5953" s="427"/>
      <c r="BO5953" s="427"/>
      <c r="BP5953" s="427"/>
      <c r="BQ5953" s="427"/>
      <c r="BR5953" s="427"/>
      <c r="BS5953" s="427"/>
      <c r="BT5953" s="427"/>
      <c r="BU5953" s="427"/>
      <c r="BV5953" s="427"/>
      <c r="BW5953" s="427"/>
      <c r="BX5953" s="427"/>
      <c r="BY5953" s="427"/>
      <c r="BZ5953" s="427"/>
    </row>
    <row r="5954" spans="2:78" s="152" customFormat="1" ht="15" x14ac:dyDescent="0.25">
      <c r="B5954" s="683"/>
      <c r="C5954" s="683"/>
      <c r="D5954" s="698"/>
      <c r="E5954" s="215"/>
      <c r="F5954" s="215"/>
      <c r="G5954" s="427"/>
      <c r="H5954" s="427"/>
      <c r="I5954" s="427"/>
      <c r="J5954" s="427"/>
      <c r="K5954" s="427"/>
      <c r="L5954" s="653"/>
      <c r="M5954" s="666">
        <v>27871</v>
      </c>
      <c r="N5954" s="600">
        <v>2378.6151</v>
      </c>
      <c r="O5954" s="620">
        <v>15.971387000000002</v>
      </c>
      <c r="P5954" s="782"/>
      <c r="Q5954" s="764"/>
      <c r="R5954" s="764"/>
      <c r="S5954" s="764"/>
      <c r="T5954" s="764"/>
      <c r="U5954" s="764"/>
      <c r="V5954" s="764"/>
      <c r="W5954" s="764"/>
      <c r="X5954" s="764"/>
      <c r="Y5954" s="768"/>
      <c r="Z5954" s="266"/>
      <c r="AA5954" s="150"/>
      <c r="AB5954" s="150">
        <v>41</v>
      </c>
      <c r="AC5954" s="150">
        <v>9.8999999999999999E-4</v>
      </c>
      <c r="AD5954" s="150">
        <v>185.93</v>
      </c>
      <c r="AE5954" s="223">
        <v>4.968</v>
      </c>
      <c r="AF5954" s="220">
        <f t="shared" si="50"/>
        <v>923.70024000000001</v>
      </c>
      <c r="AG5954" s="223">
        <v>2.5910000000000002</v>
      </c>
      <c r="AH5954" s="346"/>
      <c r="AI5954" s="427"/>
      <c r="AJ5954" s="480"/>
      <c r="AK5954" s="427"/>
      <c r="AU5954" s="218"/>
      <c r="AV5954" s="218"/>
      <c r="AW5954" s="218"/>
      <c r="AX5954" s="218"/>
      <c r="AY5954" s="428"/>
      <c r="AZ5954" s="429"/>
      <c r="BA5954" s="429"/>
      <c r="BB5954" s="429"/>
      <c r="BI5954" s="427"/>
      <c r="BJ5954" s="427"/>
      <c r="BK5954" s="427"/>
      <c r="BL5954" s="427"/>
      <c r="BM5954" s="427"/>
      <c r="BN5954" s="427"/>
      <c r="BO5954" s="427"/>
      <c r="BP5954" s="427"/>
      <c r="BQ5954" s="427"/>
      <c r="BR5954" s="427"/>
      <c r="BS5954" s="427"/>
      <c r="BT5954" s="427"/>
      <c r="BU5954" s="427"/>
      <c r="BV5954" s="427"/>
      <c r="BW5954" s="427"/>
      <c r="BX5954" s="427"/>
      <c r="BY5954" s="427"/>
      <c r="BZ5954" s="427"/>
    </row>
    <row r="5955" spans="2:78" s="152" customFormat="1" ht="15" x14ac:dyDescent="0.25">
      <c r="B5955" s="683"/>
      <c r="C5955" s="683"/>
      <c r="D5955" s="698"/>
      <c r="E5955" s="215"/>
      <c r="F5955" s="215"/>
      <c r="G5955" s="427"/>
      <c r="H5955" s="427"/>
      <c r="I5955" s="427"/>
      <c r="J5955" s="427"/>
      <c r="K5955" s="427"/>
      <c r="L5955" s="653"/>
      <c r="M5955" s="666">
        <v>27885</v>
      </c>
      <c r="N5955" s="600">
        <v>2627.8033999999998</v>
      </c>
      <c r="O5955" s="620">
        <v>10.847451999999999</v>
      </c>
      <c r="P5955" s="782"/>
      <c r="Q5955" s="764"/>
      <c r="R5955" s="764"/>
      <c r="S5955" s="764"/>
      <c r="T5955" s="764"/>
      <c r="U5955" s="764"/>
      <c r="V5955" s="764"/>
      <c r="W5955" s="764"/>
      <c r="X5955" s="764"/>
      <c r="Y5955" s="768"/>
      <c r="Z5955" s="266"/>
      <c r="AA5955" s="150"/>
      <c r="AB5955" s="150">
        <v>42</v>
      </c>
      <c r="AC5955" s="150">
        <v>1.0399999999999999E-3</v>
      </c>
      <c r="AD5955" s="150">
        <v>188.98</v>
      </c>
      <c r="AE5955" s="223">
        <v>5.4249999999999998</v>
      </c>
      <c r="AF5955" s="220">
        <f t="shared" si="50"/>
        <v>1025.2165</v>
      </c>
      <c r="AG5955" s="223">
        <v>2.7280000000000002</v>
      </c>
      <c r="AH5955" s="346"/>
      <c r="AI5955" s="427"/>
      <c r="AJ5955" s="480"/>
      <c r="AK5955" s="427"/>
      <c r="AU5955" s="218"/>
      <c r="AV5955" s="218"/>
      <c r="AW5955" s="218"/>
      <c r="AX5955" s="218"/>
      <c r="AY5955" s="428"/>
      <c r="AZ5955" s="429"/>
      <c r="BA5955" s="429"/>
      <c r="BB5955" s="429"/>
      <c r="BI5955" s="427"/>
      <c r="BJ5955" s="427"/>
      <c r="BK5955" s="427"/>
      <c r="BL5955" s="427"/>
      <c r="BM5955" s="427"/>
      <c r="BN5955" s="427"/>
      <c r="BO5955" s="427"/>
      <c r="BP5955" s="427"/>
      <c r="BQ5955" s="427"/>
      <c r="BR5955" s="427"/>
      <c r="BS5955" s="427"/>
      <c r="BT5955" s="427"/>
      <c r="BU5955" s="427"/>
      <c r="BV5955" s="427"/>
      <c r="BW5955" s="427"/>
      <c r="BX5955" s="427"/>
      <c r="BY5955" s="427"/>
      <c r="BZ5955" s="427"/>
    </row>
    <row r="5956" spans="2:78" s="152" customFormat="1" ht="15" x14ac:dyDescent="0.25">
      <c r="B5956" s="683"/>
      <c r="C5956" s="683"/>
      <c r="D5956" s="698"/>
      <c r="E5956" s="215"/>
      <c r="F5956" s="215"/>
      <c r="G5956" s="427"/>
      <c r="H5956" s="427"/>
      <c r="I5956" s="427"/>
      <c r="J5956" s="427"/>
      <c r="K5956" s="427"/>
      <c r="L5956" s="653"/>
      <c r="M5956" s="666">
        <v>27893</v>
      </c>
      <c r="N5956" s="600">
        <v>3256.4373999999998</v>
      </c>
      <c r="O5956" s="620">
        <v>10.689835999999998</v>
      </c>
      <c r="P5956" s="782"/>
      <c r="Q5956" s="764"/>
      <c r="R5956" s="764"/>
      <c r="S5956" s="764"/>
      <c r="T5956" s="764"/>
      <c r="U5956" s="764"/>
      <c r="V5956" s="764"/>
      <c r="W5956" s="764"/>
      <c r="X5956" s="764"/>
      <c r="Y5956" s="768"/>
      <c r="Z5956" s="266"/>
      <c r="AA5956" s="150"/>
      <c r="AB5956" s="150">
        <v>43</v>
      </c>
      <c r="AC5956" s="150">
        <v>1.16E-3</v>
      </c>
      <c r="AD5956" s="150">
        <v>195.07</v>
      </c>
      <c r="AE5956" s="223">
        <v>5.5469999999999997</v>
      </c>
      <c r="AF5956" s="220">
        <f t="shared" si="50"/>
        <v>1082.0532899999998</v>
      </c>
      <c r="AG5956" s="223">
        <v>3.0329999999999999</v>
      </c>
      <c r="AH5956" s="346"/>
      <c r="AI5956" s="427"/>
      <c r="AJ5956" s="480"/>
      <c r="AK5956" s="427"/>
      <c r="AU5956" s="218"/>
      <c r="AV5956" s="218"/>
      <c r="AW5956" s="218"/>
      <c r="AX5956" s="218"/>
      <c r="AY5956" s="428"/>
      <c r="AZ5956" s="429"/>
      <c r="BA5956" s="429"/>
      <c r="BB5956" s="429"/>
      <c r="BI5956" s="427"/>
      <c r="BJ5956" s="427"/>
      <c r="BK5956" s="427"/>
      <c r="BL5956" s="427"/>
      <c r="BM5956" s="427"/>
      <c r="BN5956" s="427"/>
      <c r="BO5956" s="427"/>
      <c r="BP5956" s="427"/>
      <c r="BQ5956" s="427"/>
      <c r="BR5956" s="427"/>
      <c r="BS5956" s="427"/>
      <c r="BT5956" s="427"/>
      <c r="BU5956" s="427"/>
      <c r="BV5956" s="427"/>
      <c r="BW5956" s="427"/>
      <c r="BX5956" s="427"/>
      <c r="BY5956" s="427"/>
      <c r="BZ5956" s="427"/>
    </row>
    <row r="5957" spans="2:78" s="152" customFormat="1" ht="15" x14ac:dyDescent="0.25">
      <c r="B5957" s="683"/>
      <c r="C5957" s="683"/>
      <c r="D5957" s="698"/>
      <c r="E5957" s="215"/>
      <c r="F5957" s="215"/>
      <c r="G5957" s="427"/>
      <c r="H5957" s="427"/>
      <c r="I5957" s="427"/>
      <c r="J5957" s="427"/>
      <c r="K5957" s="427"/>
      <c r="L5957" s="653"/>
      <c r="M5957" s="666">
        <v>27905</v>
      </c>
      <c r="N5957" s="600">
        <v>2888.3184000000001</v>
      </c>
      <c r="O5957" s="620">
        <v>8.5724999999999998</v>
      </c>
      <c r="P5957" s="782"/>
      <c r="Q5957" s="764"/>
      <c r="R5957" s="764"/>
      <c r="S5957" s="764"/>
      <c r="T5957" s="764"/>
      <c r="U5957" s="764"/>
      <c r="V5957" s="764"/>
      <c r="W5957" s="764"/>
      <c r="X5957" s="764"/>
      <c r="Y5957" s="768"/>
      <c r="Z5957" s="266"/>
      <c r="AA5957" s="150"/>
      <c r="AB5957" s="150">
        <v>44</v>
      </c>
      <c r="AC5957" s="150">
        <v>1.09E-3</v>
      </c>
      <c r="AD5957" s="150">
        <v>190.5</v>
      </c>
      <c r="AE5957" s="223">
        <v>5.3040000000000003</v>
      </c>
      <c r="AF5957" s="220">
        <f t="shared" si="50"/>
        <v>1010.412</v>
      </c>
      <c r="AG5957" s="223">
        <v>2.85</v>
      </c>
      <c r="AH5957" s="346"/>
      <c r="AI5957" s="427"/>
      <c r="AJ5957" s="480"/>
      <c r="AK5957" s="427"/>
      <c r="AU5957" s="218"/>
      <c r="AV5957" s="218"/>
      <c r="AW5957" s="218"/>
      <c r="AX5957" s="218"/>
      <c r="AY5957" s="428"/>
      <c r="AZ5957" s="429"/>
      <c r="BA5957" s="429"/>
      <c r="BB5957" s="429"/>
      <c r="BI5957" s="427"/>
      <c r="BJ5957" s="427"/>
      <c r="BK5957" s="427"/>
      <c r="BL5957" s="427"/>
      <c r="BM5957" s="427"/>
      <c r="BN5957" s="427"/>
      <c r="BO5957" s="427"/>
      <c r="BP5957" s="427"/>
      <c r="BQ5957" s="427"/>
      <c r="BR5957" s="427"/>
      <c r="BS5957" s="427"/>
      <c r="BT5957" s="427"/>
      <c r="BU5957" s="427"/>
      <c r="BV5957" s="427"/>
      <c r="BW5957" s="427"/>
      <c r="BX5957" s="427"/>
      <c r="BY5957" s="427"/>
      <c r="BZ5957" s="427"/>
    </row>
    <row r="5958" spans="2:78" s="152" customFormat="1" ht="15" x14ac:dyDescent="0.25">
      <c r="B5958" s="683"/>
      <c r="C5958" s="683"/>
      <c r="D5958" s="698"/>
      <c r="E5958" s="215"/>
      <c r="F5958" s="215"/>
      <c r="G5958" s="427"/>
      <c r="H5958" s="427"/>
      <c r="I5958" s="427"/>
      <c r="J5958" s="427"/>
      <c r="K5958" s="427"/>
      <c r="L5958" s="653"/>
      <c r="M5958" s="666">
        <v>27907</v>
      </c>
      <c r="N5958" s="600">
        <v>2888.3184000000001</v>
      </c>
      <c r="O5958" s="620">
        <v>10.077449999999999</v>
      </c>
      <c r="P5958" s="782"/>
      <c r="Q5958" s="764"/>
      <c r="R5958" s="764"/>
      <c r="S5958" s="764"/>
      <c r="T5958" s="764"/>
      <c r="U5958" s="764"/>
      <c r="V5958" s="764"/>
      <c r="W5958" s="764"/>
      <c r="X5958" s="764"/>
      <c r="Y5958" s="768"/>
      <c r="Z5958" s="266"/>
      <c r="AA5958" s="150"/>
      <c r="AB5958" s="150">
        <v>45</v>
      </c>
      <c r="AC5958" s="150">
        <v>1.09E-3</v>
      </c>
      <c r="AD5958" s="150">
        <v>190.5</v>
      </c>
      <c r="AE5958" s="223">
        <v>5.3040000000000003</v>
      </c>
      <c r="AF5958" s="220">
        <f t="shared" si="50"/>
        <v>1010.412</v>
      </c>
      <c r="AG5958" s="223">
        <v>2.85</v>
      </c>
      <c r="AH5958" s="346"/>
      <c r="AI5958" s="427"/>
      <c r="AJ5958" s="480"/>
      <c r="AK5958" s="427"/>
      <c r="AU5958" s="218"/>
      <c r="AV5958" s="218"/>
      <c r="AW5958" s="218"/>
      <c r="AX5958" s="218"/>
      <c r="AY5958" s="428"/>
      <c r="AZ5958" s="429"/>
      <c r="BA5958" s="429"/>
      <c r="BB5958" s="429"/>
      <c r="BI5958" s="427"/>
      <c r="BJ5958" s="427"/>
      <c r="BK5958" s="427"/>
      <c r="BL5958" s="427"/>
      <c r="BM5958" s="427"/>
      <c r="BN5958" s="427"/>
      <c r="BO5958" s="427"/>
      <c r="BP5958" s="427"/>
      <c r="BQ5958" s="427"/>
      <c r="BR5958" s="427"/>
      <c r="BS5958" s="427"/>
      <c r="BT5958" s="427"/>
      <c r="BU5958" s="427"/>
      <c r="BV5958" s="427"/>
      <c r="BW5958" s="427"/>
      <c r="BX5958" s="427"/>
      <c r="BY5958" s="427"/>
      <c r="BZ5958" s="427"/>
    </row>
    <row r="5959" spans="2:78" s="152" customFormat="1" ht="15" x14ac:dyDescent="0.25">
      <c r="B5959" s="683"/>
      <c r="C5959" s="683"/>
      <c r="D5959" s="698"/>
      <c r="E5959" s="215"/>
      <c r="F5959" s="215"/>
      <c r="G5959" s="427"/>
      <c r="H5959" s="427"/>
      <c r="I5959" s="427"/>
      <c r="J5959" s="427"/>
      <c r="K5959" s="427"/>
      <c r="L5959" s="653"/>
      <c r="M5959" s="666">
        <v>27919</v>
      </c>
      <c r="N5959" s="600">
        <v>2743.9023999999999</v>
      </c>
      <c r="O5959" s="620">
        <v>7.4269139999999982</v>
      </c>
      <c r="P5959" s="782"/>
      <c r="Q5959" s="764"/>
      <c r="R5959" s="764"/>
      <c r="S5959" s="764"/>
      <c r="T5959" s="764"/>
      <c r="U5959" s="764"/>
      <c r="V5959" s="764"/>
      <c r="W5959" s="764"/>
      <c r="X5959" s="764"/>
      <c r="Y5959" s="768"/>
      <c r="Z5959" s="266"/>
      <c r="AA5959" s="150"/>
      <c r="AB5959" s="150">
        <v>46</v>
      </c>
      <c r="AC5959" s="150">
        <v>1.07E-3</v>
      </c>
      <c r="AD5959" s="150">
        <v>188.98</v>
      </c>
      <c r="AE5959" s="223">
        <v>5.2119999999999997</v>
      </c>
      <c r="AF5959" s="220">
        <f t="shared" si="50"/>
        <v>984.96375999999987</v>
      </c>
      <c r="AG5959" s="223">
        <v>2.7890000000000001</v>
      </c>
      <c r="AH5959" s="346"/>
      <c r="AI5959" s="427"/>
      <c r="AJ5959" s="480"/>
      <c r="AK5959" s="427"/>
      <c r="AU5959" s="218"/>
      <c r="AV5959" s="218"/>
      <c r="AW5959" s="218"/>
      <c r="AX5959" s="218"/>
      <c r="AY5959" s="428"/>
      <c r="AZ5959" s="429"/>
      <c r="BA5959" s="429"/>
      <c r="BB5959" s="429"/>
      <c r="BI5959" s="427"/>
      <c r="BJ5959" s="427"/>
      <c r="BK5959" s="427"/>
      <c r="BL5959" s="427"/>
      <c r="BM5959" s="427"/>
      <c r="BN5959" s="427"/>
      <c r="BO5959" s="427"/>
      <c r="BP5959" s="427"/>
      <c r="BQ5959" s="427"/>
      <c r="BR5959" s="427"/>
      <c r="BS5959" s="427"/>
      <c r="BT5959" s="427"/>
      <c r="BU5959" s="427"/>
      <c r="BV5959" s="427"/>
      <c r="BW5959" s="427"/>
      <c r="BX5959" s="427"/>
      <c r="BY5959" s="427"/>
      <c r="BZ5959" s="427"/>
    </row>
    <row r="5960" spans="2:78" s="152" customFormat="1" ht="15" x14ac:dyDescent="0.25">
      <c r="B5960" s="683"/>
      <c r="C5960" s="683"/>
      <c r="D5960" s="698"/>
      <c r="E5960" s="215"/>
      <c r="F5960" s="215"/>
      <c r="G5960" s="427"/>
      <c r="H5960" s="427"/>
      <c r="I5960" s="427"/>
      <c r="J5960" s="427"/>
      <c r="K5960" s="427"/>
      <c r="L5960" s="653"/>
      <c r="M5960" s="666">
        <v>27921</v>
      </c>
      <c r="N5960" s="600">
        <v>2701.4272000000001</v>
      </c>
      <c r="O5960" s="620">
        <v>11.924638</v>
      </c>
      <c r="P5960" s="782"/>
      <c r="Q5960" s="764"/>
      <c r="R5960" s="764"/>
      <c r="S5960" s="764"/>
      <c r="T5960" s="764"/>
      <c r="U5960" s="764"/>
      <c r="V5960" s="764"/>
      <c r="W5960" s="764"/>
      <c r="X5960" s="764"/>
      <c r="Y5960" s="768"/>
      <c r="Z5960" s="266"/>
      <c r="AA5960" s="150"/>
      <c r="AB5960" s="150">
        <v>47</v>
      </c>
      <c r="AC5960" s="150">
        <v>1.06E-3</v>
      </c>
      <c r="AD5960" s="150">
        <v>188.98</v>
      </c>
      <c r="AE5960" s="223">
        <v>5.1820000000000004</v>
      </c>
      <c r="AF5960" s="220">
        <f t="shared" si="50"/>
        <v>979.29435999999998</v>
      </c>
      <c r="AG5960" s="223">
        <v>2.758</v>
      </c>
      <c r="AH5960" s="346"/>
      <c r="AI5960" s="427"/>
      <c r="AJ5960" s="480"/>
      <c r="AK5960" s="427"/>
      <c r="AU5960" s="218"/>
      <c r="AV5960" s="218"/>
      <c r="AW5960" s="218"/>
      <c r="AX5960" s="218"/>
      <c r="AY5960" s="428"/>
      <c r="AZ5960" s="429"/>
      <c r="BA5960" s="429"/>
      <c r="BB5960" s="429"/>
      <c r="BI5960" s="427"/>
      <c r="BJ5960" s="427"/>
      <c r="BK5960" s="427"/>
      <c r="BL5960" s="427"/>
      <c r="BM5960" s="427"/>
      <c r="BN5960" s="427"/>
      <c r="BO5960" s="427"/>
      <c r="BP5960" s="427"/>
      <c r="BQ5960" s="427"/>
      <c r="BR5960" s="427"/>
      <c r="BS5960" s="427"/>
      <c r="BT5960" s="427"/>
      <c r="BU5960" s="427"/>
      <c r="BV5960" s="427"/>
      <c r="BW5960" s="427"/>
      <c r="BX5960" s="427"/>
      <c r="BY5960" s="427"/>
      <c r="BZ5960" s="427"/>
    </row>
    <row r="5961" spans="2:78" s="152" customFormat="1" ht="15" x14ac:dyDescent="0.25">
      <c r="B5961" s="683"/>
      <c r="C5961" s="683"/>
      <c r="D5961" s="698"/>
      <c r="E5961" s="215"/>
      <c r="F5961" s="215"/>
      <c r="G5961" s="427"/>
      <c r="H5961" s="427"/>
      <c r="I5961" s="427"/>
      <c r="J5961" s="427"/>
      <c r="K5961" s="427"/>
      <c r="L5961" s="653"/>
      <c r="M5961" s="666">
        <v>28584</v>
      </c>
      <c r="N5961" s="600">
        <v>1846.2583999999999</v>
      </c>
      <c r="O5961" s="620">
        <v>28.886220000000002</v>
      </c>
      <c r="P5961" s="782"/>
      <c r="Q5961" s="764"/>
      <c r="R5961" s="764"/>
      <c r="S5961" s="764"/>
      <c r="T5961" s="764"/>
      <c r="U5961" s="764"/>
      <c r="V5961" s="764"/>
      <c r="W5961" s="764"/>
      <c r="X5961" s="764"/>
      <c r="Y5961" s="768"/>
      <c r="Z5961" s="266"/>
      <c r="AA5961" s="150"/>
      <c r="AB5961" s="150">
        <v>48</v>
      </c>
      <c r="AC5961" s="150">
        <v>8.7000000000000001E-4</v>
      </c>
      <c r="AD5961" s="150">
        <v>178.31</v>
      </c>
      <c r="AE5961" s="223">
        <v>4.5419999999999998</v>
      </c>
      <c r="AF5961" s="220">
        <f t="shared" si="50"/>
        <v>809.88401999999996</v>
      </c>
      <c r="AG5961" s="223">
        <v>2.286</v>
      </c>
      <c r="AH5961" s="346"/>
      <c r="AI5961" s="427"/>
      <c r="AJ5961" s="480"/>
      <c r="AK5961" s="427"/>
      <c r="AU5961" s="218"/>
      <c r="AV5961" s="218"/>
      <c r="AW5961" s="218"/>
      <c r="AX5961" s="218"/>
      <c r="AY5961" s="428"/>
      <c r="AZ5961" s="429"/>
      <c r="BA5961" s="429"/>
      <c r="BB5961" s="429"/>
      <c r="BI5961" s="427"/>
      <c r="BJ5961" s="427"/>
      <c r="BK5961" s="427"/>
      <c r="BL5961" s="427"/>
      <c r="BM5961" s="427"/>
      <c r="BN5961" s="427"/>
      <c r="BO5961" s="427"/>
      <c r="BP5961" s="427"/>
      <c r="BQ5961" s="427"/>
      <c r="BR5961" s="427"/>
      <c r="BS5961" s="427"/>
      <c r="BT5961" s="427"/>
      <c r="BU5961" s="427"/>
      <c r="BV5961" s="427"/>
      <c r="BW5961" s="427"/>
      <c r="BX5961" s="427"/>
      <c r="BY5961" s="427"/>
      <c r="BZ5961" s="427"/>
    </row>
    <row r="5962" spans="2:78" s="152" customFormat="1" ht="15" x14ac:dyDescent="0.25">
      <c r="B5962" s="683"/>
      <c r="C5962" s="683"/>
      <c r="D5962" s="698"/>
      <c r="E5962" s="215"/>
      <c r="F5962" s="215"/>
      <c r="G5962" s="427"/>
      <c r="H5962" s="427"/>
      <c r="I5962" s="427"/>
      <c r="J5962" s="427"/>
      <c r="K5962" s="427"/>
      <c r="L5962" s="653"/>
      <c r="M5962" s="666">
        <v>28585</v>
      </c>
      <c r="N5962" s="600">
        <v>1625.3869999999999</v>
      </c>
      <c r="O5962" s="620">
        <v>18.20834</v>
      </c>
      <c r="P5962" s="782"/>
      <c r="Q5962" s="764"/>
      <c r="R5962" s="764"/>
      <c r="S5962" s="764"/>
      <c r="T5962" s="764"/>
      <c r="U5962" s="764"/>
      <c r="V5962" s="764"/>
      <c r="W5962" s="764"/>
      <c r="X5962" s="764"/>
      <c r="Y5962" s="768"/>
      <c r="Z5962" s="266"/>
      <c r="AA5962" s="150"/>
      <c r="AB5962" s="150">
        <v>49</v>
      </c>
      <c r="AC5962" s="150">
        <v>8.1999999999999998E-4</v>
      </c>
      <c r="AD5962" s="150">
        <v>176.78</v>
      </c>
      <c r="AE5962" s="223">
        <v>4.3280000000000003</v>
      </c>
      <c r="AF5962" s="220">
        <f t="shared" si="50"/>
        <v>765.1038400000001</v>
      </c>
      <c r="AG5962" s="223">
        <v>2.149</v>
      </c>
      <c r="AH5962" s="346"/>
      <c r="AI5962" s="427"/>
      <c r="AJ5962" s="480"/>
      <c r="AK5962" s="427"/>
      <c r="AU5962" s="218"/>
      <c r="AV5962" s="218"/>
      <c r="AW5962" s="218"/>
      <c r="AX5962" s="218"/>
      <c r="AY5962" s="428"/>
      <c r="AZ5962" s="429"/>
      <c r="BA5962" s="429"/>
      <c r="BB5962" s="429"/>
      <c r="BI5962" s="427"/>
      <c r="BJ5962" s="427"/>
      <c r="BK5962" s="427"/>
      <c r="BL5962" s="427"/>
      <c r="BM5962" s="427"/>
      <c r="BN5962" s="427"/>
      <c r="BO5962" s="427"/>
      <c r="BP5962" s="427"/>
      <c r="BQ5962" s="427"/>
      <c r="BR5962" s="427"/>
      <c r="BS5962" s="427"/>
      <c r="BT5962" s="427"/>
      <c r="BU5962" s="427"/>
      <c r="BV5962" s="427"/>
      <c r="BW5962" s="427"/>
      <c r="BX5962" s="427"/>
      <c r="BY5962" s="427"/>
      <c r="BZ5962" s="427"/>
    </row>
    <row r="5963" spans="2:78" s="152" customFormat="1" ht="15" x14ac:dyDescent="0.25">
      <c r="B5963" s="683"/>
      <c r="C5963" s="683"/>
      <c r="D5963" s="698"/>
      <c r="E5963" s="215"/>
      <c r="F5963" s="215"/>
      <c r="G5963" s="427"/>
      <c r="H5963" s="427"/>
      <c r="I5963" s="427"/>
      <c r="J5963" s="427"/>
      <c r="K5963" s="427"/>
      <c r="L5963" s="653"/>
      <c r="M5963" s="666">
        <v>28609</v>
      </c>
      <c r="N5963" s="600">
        <v>2273.8427999999999</v>
      </c>
      <c r="O5963" s="620">
        <v>30.610400000000002</v>
      </c>
      <c r="P5963" s="782"/>
      <c r="Q5963" s="764"/>
      <c r="R5963" s="764"/>
      <c r="S5963" s="764"/>
      <c r="T5963" s="764"/>
      <c r="U5963" s="764"/>
      <c r="V5963" s="764"/>
      <c r="W5963" s="764"/>
      <c r="X5963" s="764"/>
      <c r="Y5963" s="768"/>
      <c r="Z5963" s="266"/>
      <c r="AA5963" s="150"/>
      <c r="AB5963" s="150">
        <v>50</v>
      </c>
      <c r="AC5963" s="150">
        <v>9.7999999999999997E-4</v>
      </c>
      <c r="AD5963" s="150">
        <v>184.4</v>
      </c>
      <c r="AE5963" s="223">
        <v>4.8769999999999998</v>
      </c>
      <c r="AF5963" s="220">
        <f t="shared" si="50"/>
        <v>899.31880000000001</v>
      </c>
      <c r="AG5963" s="223">
        <v>2.5299999999999998</v>
      </c>
      <c r="AH5963" s="346"/>
      <c r="AI5963" s="427"/>
      <c r="AJ5963" s="480"/>
      <c r="AK5963" s="427"/>
      <c r="AU5963" s="218"/>
      <c r="AV5963" s="218"/>
      <c r="AW5963" s="218"/>
      <c r="AX5963" s="218"/>
      <c r="AY5963" s="428"/>
      <c r="AZ5963" s="429"/>
      <c r="BA5963" s="429"/>
      <c r="BB5963" s="429"/>
      <c r="BI5963" s="427"/>
      <c r="BJ5963" s="427"/>
      <c r="BK5963" s="427"/>
      <c r="BL5963" s="427"/>
      <c r="BM5963" s="427"/>
      <c r="BN5963" s="427"/>
      <c r="BO5963" s="427"/>
      <c r="BP5963" s="427"/>
      <c r="BQ5963" s="427"/>
      <c r="BR5963" s="427"/>
      <c r="BS5963" s="427"/>
      <c r="BT5963" s="427"/>
      <c r="BU5963" s="427"/>
      <c r="BV5963" s="427"/>
      <c r="BW5963" s="427"/>
      <c r="BX5963" s="427"/>
      <c r="BY5963" s="427"/>
      <c r="BZ5963" s="427"/>
    </row>
    <row r="5964" spans="2:78" s="152" customFormat="1" ht="15" x14ac:dyDescent="0.25">
      <c r="B5964" s="683"/>
      <c r="C5964" s="683"/>
      <c r="D5964" s="698"/>
      <c r="E5964" s="215"/>
      <c r="F5964" s="215"/>
      <c r="G5964" s="427"/>
      <c r="H5964" s="427"/>
      <c r="I5964" s="427"/>
      <c r="J5964" s="427"/>
      <c r="K5964" s="427"/>
      <c r="L5964" s="653"/>
      <c r="M5964" s="666">
        <v>28612</v>
      </c>
      <c r="N5964" s="600">
        <v>2171.9020999999998</v>
      </c>
      <c r="O5964" s="620">
        <v>22.677119999999999</v>
      </c>
      <c r="P5964" s="782"/>
      <c r="Q5964" s="764"/>
      <c r="R5964" s="764"/>
      <c r="S5964" s="764"/>
      <c r="T5964" s="764"/>
      <c r="U5964" s="764"/>
      <c r="V5964" s="764"/>
      <c r="W5964" s="764"/>
      <c r="X5964" s="764"/>
      <c r="Y5964" s="768"/>
      <c r="Z5964" s="266"/>
      <c r="AA5964" s="150"/>
      <c r="AB5964" s="150">
        <v>51</v>
      </c>
      <c r="AC5964" s="150">
        <v>9.3999999999999997E-4</v>
      </c>
      <c r="AD5964" s="150">
        <v>182.88</v>
      </c>
      <c r="AE5964" s="223">
        <v>4.8159999999999998</v>
      </c>
      <c r="AF5964" s="220">
        <f t="shared" si="50"/>
        <v>880.75007999999991</v>
      </c>
      <c r="AG5964" s="223">
        <v>2.4689999999999999</v>
      </c>
      <c r="AH5964" s="346"/>
      <c r="AI5964" s="427"/>
      <c r="AJ5964" s="480"/>
      <c r="AK5964" s="427"/>
      <c r="AU5964" s="218"/>
      <c r="AV5964" s="218"/>
      <c r="AW5964" s="218"/>
      <c r="AX5964" s="218"/>
      <c r="AY5964" s="428"/>
      <c r="AZ5964" s="429"/>
      <c r="BA5964" s="429"/>
      <c r="BB5964" s="429"/>
      <c r="BI5964" s="427"/>
      <c r="BJ5964" s="427"/>
      <c r="BK5964" s="427"/>
      <c r="BL5964" s="427"/>
      <c r="BM5964" s="427"/>
      <c r="BN5964" s="427"/>
      <c r="BO5964" s="427"/>
      <c r="BP5964" s="427"/>
      <c r="BQ5964" s="427"/>
      <c r="BR5964" s="427"/>
      <c r="BS5964" s="427"/>
      <c r="BT5964" s="427"/>
      <c r="BU5964" s="427"/>
      <c r="BV5964" s="427"/>
      <c r="BW5964" s="427"/>
      <c r="BX5964" s="427"/>
      <c r="BY5964" s="427"/>
      <c r="BZ5964" s="427"/>
    </row>
    <row r="5965" spans="2:78" s="152" customFormat="1" ht="15" x14ac:dyDescent="0.25">
      <c r="B5965" s="683"/>
      <c r="C5965" s="683"/>
      <c r="D5965" s="698"/>
      <c r="E5965" s="215"/>
      <c r="F5965" s="215"/>
      <c r="G5965" s="427"/>
      <c r="H5965" s="427"/>
      <c r="I5965" s="427"/>
      <c r="J5965" s="427"/>
      <c r="K5965" s="427"/>
      <c r="L5965" s="653"/>
      <c r="M5965" s="666">
        <v>28613</v>
      </c>
      <c r="N5965" s="600">
        <v>2285.1695</v>
      </c>
      <c r="O5965" s="620">
        <v>21.9436</v>
      </c>
      <c r="P5965" s="782"/>
      <c r="Q5965" s="764"/>
      <c r="R5965" s="764"/>
      <c r="S5965" s="764"/>
      <c r="T5965" s="764"/>
      <c r="U5965" s="764"/>
      <c r="V5965" s="764"/>
      <c r="W5965" s="764"/>
      <c r="X5965" s="764"/>
      <c r="Y5965" s="768"/>
      <c r="Z5965" s="266"/>
      <c r="AA5965" s="150"/>
      <c r="AB5965" s="150">
        <v>52</v>
      </c>
      <c r="AC5965" s="150">
        <v>9.7999999999999997E-4</v>
      </c>
      <c r="AD5965" s="150">
        <v>184.4</v>
      </c>
      <c r="AE5965" s="223">
        <v>4.8769999999999998</v>
      </c>
      <c r="AF5965" s="220">
        <f t="shared" si="50"/>
        <v>899.31880000000001</v>
      </c>
      <c r="AG5965" s="223">
        <v>2.5449999999999999</v>
      </c>
      <c r="AH5965" s="346"/>
      <c r="AI5965" s="427"/>
      <c r="AJ5965" s="480"/>
      <c r="AK5965" s="427"/>
      <c r="AU5965" s="218"/>
      <c r="AV5965" s="218"/>
      <c r="AW5965" s="218"/>
      <c r="AX5965" s="218"/>
      <c r="AY5965" s="428"/>
      <c r="AZ5965" s="429"/>
      <c r="BA5965" s="429"/>
      <c r="BB5965" s="429"/>
      <c r="BI5965" s="427"/>
      <c r="BJ5965" s="427"/>
      <c r="BK5965" s="427"/>
      <c r="BL5965" s="427"/>
      <c r="BM5965" s="427"/>
      <c r="BN5965" s="427"/>
      <c r="BO5965" s="427"/>
      <c r="BP5965" s="427"/>
      <c r="BQ5965" s="427"/>
      <c r="BR5965" s="427"/>
      <c r="BS5965" s="427"/>
      <c r="BT5965" s="427"/>
      <c r="BU5965" s="427"/>
      <c r="BV5965" s="427"/>
      <c r="BW5965" s="427"/>
      <c r="BX5965" s="427"/>
      <c r="BY5965" s="427"/>
      <c r="BZ5965" s="427"/>
    </row>
    <row r="5966" spans="2:78" s="152" customFormat="1" ht="15" x14ac:dyDescent="0.25">
      <c r="B5966" s="683"/>
      <c r="C5966" s="683"/>
      <c r="D5966" s="698"/>
      <c r="E5966" s="215"/>
      <c r="F5966" s="215"/>
      <c r="G5966" s="427"/>
      <c r="H5966" s="427"/>
      <c r="I5966" s="427"/>
      <c r="J5966" s="427"/>
      <c r="K5966" s="427"/>
      <c r="L5966" s="653"/>
      <c r="M5966" s="666">
        <v>28626</v>
      </c>
      <c r="N5966" s="600">
        <v>2174.7338</v>
      </c>
      <c r="O5966" s="620">
        <v>9.8389439999999997</v>
      </c>
      <c r="P5966" s="782"/>
      <c r="Q5966" s="764"/>
      <c r="R5966" s="764"/>
      <c r="S5966" s="764"/>
      <c r="T5966" s="764"/>
      <c r="U5966" s="764"/>
      <c r="V5966" s="764"/>
      <c r="W5966" s="764"/>
      <c r="X5966" s="764"/>
      <c r="Y5966" s="768"/>
      <c r="Z5966" s="266"/>
      <c r="AA5966" s="150"/>
      <c r="AB5966" s="150">
        <v>53</v>
      </c>
      <c r="AC5966" s="150">
        <v>9.3999999999999997E-4</v>
      </c>
      <c r="AD5966" s="150">
        <v>182.88</v>
      </c>
      <c r="AE5966" s="223">
        <v>4.8159999999999998</v>
      </c>
      <c r="AF5966" s="220">
        <f t="shared" si="50"/>
        <v>880.75007999999991</v>
      </c>
      <c r="AG5966" s="223">
        <v>2.484</v>
      </c>
      <c r="AH5966" s="346"/>
      <c r="AI5966" s="427"/>
      <c r="AJ5966" s="480"/>
      <c r="AK5966" s="427"/>
      <c r="AU5966" s="218"/>
      <c r="AV5966" s="218"/>
      <c r="AW5966" s="218"/>
      <c r="AX5966" s="218"/>
      <c r="AY5966" s="428"/>
      <c r="AZ5966" s="429"/>
      <c r="BA5966" s="429"/>
      <c r="BB5966" s="429"/>
      <c r="BI5966" s="427"/>
      <c r="BJ5966" s="427"/>
      <c r="BK5966" s="427"/>
      <c r="BL5966" s="427"/>
      <c r="BM5966" s="427"/>
      <c r="BN5966" s="427"/>
      <c r="BO5966" s="427"/>
      <c r="BP5966" s="427"/>
      <c r="BQ5966" s="427"/>
      <c r="BR5966" s="427"/>
      <c r="BS5966" s="427"/>
      <c r="BT5966" s="427"/>
      <c r="BU5966" s="427"/>
      <c r="BV5966" s="427"/>
      <c r="BW5966" s="427"/>
      <c r="BX5966" s="427"/>
      <c r="BY5966" s="427"/>
      <c r="BZ5966" s="427"/>
    </row>
    <row r="5967" spans="2:78" s="152" customFormat="1" ht="15" x14ac:dyDescent="0.25">
      <c r="B5967" s="683"/>
      <c r="C5967" s="683"/>
      <c r="D5967" s="698"/>
      <c r="E5967" s="215"/>
      <c r="F5967" s="215"/>
      <c r="G5967" s="427"/>
      <c r="H5967" s="427"/>
      <c r="I5967" s="427"/>
      <c r="J5967" s="427"/>
      <c r="K5967" s="427"/>
      <c r="L5967" s="653"/>
      <c r="M5967" s="666">
        <v>28627</v>
      </c>
      <c r="N5967" s="600">
        <v>2132.2584999999999</v>
      </c>
      <c r="O5967" s="620">
        <v>17.702783999999998</v>
      </c>
      <c r="P5967" s="782"/>
      <c r="Q5967" s="764"/>
      <c r="R5967" s="764"/>
      <c r="S5967" s="764"/>
      <c r="T5967" s="764"/>
      <c r="U5967" s="764"/>
      <c r="V5967" s="764"/>
      <c r="W5967" s="764"/>
      <c r="X5967" s="764"/>
      <c r="Y5967" s="768"/>
      <c r="Z5967" s="266"/>
      <c r="AA5967" s="150"/>
      <c r="AB5967" s="150">
        <v>54</v>
      </c>
      <c r="AC5967" s="150">
        <v>9.3999999999999997E-4</v>
      </c>
      <c r="AD5967" s="150">
        <v>182.88</v>
      </c>
      <c r="AE5967" s="223">
        <v>4.7850000000000001</v>
      </c>
      <c r="AF5967" s="220">
        <f t="shared" si="50"/>
        <v>875.08079999999995</v>
      </c>
      <c r="AG5967" s="223">
        <v>2.4540000000000002</v>
      </c>
      <c r="AH5967" s="346"/>
      <c r="AI5967" s="427"/>
      <c r="AJ5967" s="480"/>
      <c r="AK5967" s="427"/>
      <c r="AU5967" s="218"/>
      <c r="AV5967" s="218"/>
      <c r="AW5967" s="218"/>
      <c r="AX5967" s="218"/>
      <c r="AY5967" s="428"/>
      <c r="AZ5967" s="429"/>
      <c r="BA5967" s="429"/>
      <c r="BB5967" s="429"/>
      <c r="BI5967" s="427"/>
      <c r="BJ5967" s="427"/>
      <c r="BK5967" s="427"/>
      <c r="BL5967" s="427"/>
      <c r="BM5967" s="427"/>
      <c r="BN5967" s="427"/>
      <c r="BO5967" s="427"/>
      <c r="BP5967" s="427"/>
      <c r="BQ5967" s="427"/>
      <c r="BR5967" s="427"/>
      <c r="BS5967" s="427"/>
      <c r="BT5967" s="427"/>
      <c r="BU5967" s="427"/>
      <c r="BV5967" s="427"/>
      <c r="BW5967" s="427"/>
      <c r="BX5967" s="427"/>
      <c r="BY5967" s="427"/>
      <c r="BZ5967" s="427"/>
    </row>
    <row r="5968" spans="2:78" s="152" customFormat="1" ht="15" x14ac:dyDescent="0.25">
      <c r="B5968" s="683"/>
      <c r="C5968" s="683"/>
      <c r="D5968" s="698"/>
      <c r="E5968" s="215"/>
      <c r="F5968" s="215"/>
      <c r="G5968" s="427"/>
      <c r="H5968" s="427"/>
      <c r="I5968" s="427"/>
      <c r="J5968" s="427"/>
      <c r="K5968" s="427"/>
      <c r="L5968" s="653"/>
      <c r="M5968" s="666">
        <v>28648</v>
      </c>
      <c r="N5968" s="600">
        <v>2319.1496999999999</v>
      </c>
      <c r="O5968" s="620">
        <v>3.5884490000000002</v>
      </c>
      <c r="P5968" s="782"/>
      <c r="Q5968" s="764"/>
      <c r="R5968" s="764"/>
      <c r="S5968" s="764"/>
      <c r="T5968" s="764"/>
      <c r="U5968" s="764"/>
      <c r="V5968" s="764"/>
      <c r="W5968" s="764"/>
      <c r="X5968" s="764"/>
      <c r="Y5968" s="768"/>
      <c r="Z5968" s="266"/>
      <c r="AA5968" s="150"/>
      <c r="AB5968" s="150">
        <v>55</v>
      </c>
      <c r="AC5968" s="150">
        <v>9.7999999999999997E-4</v>
      </c>
      <c r="AD5968" s="150">
        <v>185.93</v>
      </c>
      <c r="AE5968" s="223">
        <v>4.907</v>
      </c>
      <c r="AF5968" s="220">
        <f t="shared" si="50"/>
        <v>912.35851000000002</v>
      </c>
      <c r="AG5968" s="223">
        <v>2.56</v>
      </c>
      <c r="AH5968" s="346"/>
      <c r="AI5968" s="427"/>
      <c r="AJ5968" s="480"/>
      <c r="AK5968" s="427"/>
      <c r="AU5968" s="218"/>
      <c r="AV5968" s="218"/>
      <c r="AW5968" s="218"/>
      <c r="AX5968" s="218"/>
      <c r="AY5968" s="428"/>
      <c r="AZ5968" s="429"/>
      <c r="BA5968" s="429"/>
      <c r="BB5968" s="429"/>
      <c r="BI5968" s="427"/>
      <c r="BJ5968" s="427"/>
      <c r="BK5968" s="427"/>
      <c r="BL5968" s="427"/>
      <c r="BM5968" s="427"/>
      <c r="BN5968" s="427"/>
      <c r="BO5968" s="427"/>
      <c r="BP5968" s="427"/>
      <c r="BQ5968" s="427"/>
      <c r="BR5968" s="427"/>
      <c r="BS5968" s="427"/>
      <c r="BT5968" s="427"/>
      <c r="BU5968" s="427"/>
      <c r="BV5968" s="427"/>
      <c r="BW5968" s="427"/>
      <c r="BX5968" s="427"/>
      <c r="BY5968" s="427"/>
      <c r="BZ5968" s="427"/>
    </row>
    <row r="5969" spans="1:80" s="152" customFormat="1" ht="15" x14ac:dyDescent="0.25">
      <c r="B5969" s="683"/>
      <c r="C5969" s="683"/>
      <c r="D5969" s="698"/>
      <c r="E5969" s="215"/>
      <c r="F5969" s="215"/>
      <c r="G5969" s="427"/>
      <c r="H5969" s="427"/>
      <c r="I5969" s="427"/>
      <c r="J5969" s="427"/>
      <c r="K5969" s="427"/>
      <c r="L5969" s="653"/>
      <c r="M5969" s="666">
        <v>28654</v>
      </c>
      <c r="N5969" s="600">
        <v>2067.1298000000002</v>
      </c>
      <c r="O5969" s="620">
        <v>4.6268639999999994</v>
      </c>
      <c r="P5969" s="782"/>
      <c r="Q5969" s="764"/>
      <c r="R5969" s="764"/>
      <c r="S5969" s="764"/>
      <c r="T5969" s="764"/>
      <c r="U5969" s="764"/>
      <c r="V5969" s="764"/>
      <c r="W5969" s="764"/>
      <c r="X5969" s="764"/>
      <c r="Y5969" s="768"/>
      <c r="Z5969" s="266"/>
      <c r="AA5969" s="150"/>
      <c r="AB5969" s="150">
        <v>56</v>
      </c>
      <c r="AC5969" s="150">
        <v>9.2000000000000003E-4</v>
      </c>
      <c r="AD5969" s="150">
        <v>182.88</v>
      </c>
      <c r="AE5969" s="223">
        <v>4.7240000000000002</v>
      </c>
      <c r="AF5969" s="220">
        <f t="shared" si="50"/>
        <v>863.92511999999999</v>
      </c>
      <c r="AG5969" s="223">
        <v>2.4079999999999999</v>
      </c>
      <c r="AH5969" s="346"/>
      <c r="AI5969" s="427"/>
      <c r="AJ5969" s="480"/>
      <c r="AK5969" s="427"/>
      <c r="AU5969" s="218"/>
      <c r="AV5969" s="218"/>
      <c r="AW5969" s="218"/>
      <c r="AX5969" s="218"/>
      <c r="AY5969" s="428"/>
      <c r="AZ5969" s="429"/>
      <c r="BA5969" s="429"/>
      <c r="BB5969" s="429"/>
      <c r="BI5969" s="427"/>
      <c r="BJ5969" s="427"/>
      <c r="BK5969" s="427"/>
      <c r="BL5969" s="427"/>
      <c r="BM5969" s="427"/>
      <c r="BN5969" s="427"/>
      <c r="BO5969" s="427"/>
      <c r="BP5969" s="427"/>
      <c r="BQ5969" s="427"/>
      <c r="BR5969" s="427"/>
      <c r="BS5969" s="427"/>
      <c r="BT5969" s="427"/>
      <c r="BU5969" s="427"/>
      <c r="BV5969" s="427"/>
      <c r="BW5969" s="427"/>
      <c r="BX5969" s="427"/>
      <c r="BY5969" s="427"/>
      <c r="BZ5969" s="427"/>
    </row>
    <row r="5970" spans="1:80" s="152" customFormat="1" ht="15" x14ac:dyDescent="0.25">
      <c r="B5970" s="683"/>
      <c r="C5970" s="683"/>
      <c r="D5970" s="698"/>
      <c r="E5970" s="215"/>
      <c r="F5970" s="215"/>
      <c r="G5970" s="427"/>
      <c r="H5970" s="427"/>
      <c r="I5970" s="427"/>
      <c r="J5970" s="427"/>
      <c r="K5970" s="427"/>
      <c r="L5970" s="653"/>
      <c r="M5970" s="666" t="s">
        <v>894</v>
      </c>
      <c r="N5970" s="600">
        <v>1806.6148000000001</v>
      </c>
      <c r="O5970" s="620">
        <v>6.3640799999999995</v>
      </c>
      <c r="P5970" s="782"/>
      <c r="Q5970" s="764"/>
      <c r="R5970" s="764"/>
      <c r="S5970" s="764"/>
      <c r="T5970" s="764"/>
      <c r="U5970" s="764"/>
      <c r="V5970" s="764"/>
      <c r="W5970" s="764"/>
      <c r="X5970" s="764"/>
      <c r="Y5970" s="768"/>
      <c r="Z5970" s="266"/>
      <c r="AA5970" s="150"/>
      <c r="AB5970" s="150">
        <v>57</v>
      </c>
      <c r="AC5970" s="150">
        <v>8.5999999999999998E-4</v>
      </c>
      <c r="AD5970" s="150">
        <v>176.78</v>
      </c>
      <c r="AE5970" s="223">
        <v>4.5110000000000001</v>
      </c>
      <c r="AF5970" s="220">
        <f t="shared" si="50"/>
        <v>797.45458000000008</v>
      </c>
      <c r="AG5970" s="223">
        <v>2.2559999999999998</v>
      </c>
      <c r="AH5970" s="346"/>
      <c r="AI5970" s="427"/>
      <c r="AJ5970" s="480"/>
      <c r="AK5970" s="427"/>
      <c r="AU5970" s="218"/>
      <c r="AV5970" s="218"/>
      <c r="AW5970" s="218"/>
      <c r="AX5970" s="218"/>
      <c r="AY5970" s="428"/>
      <c r="AZ5970" s="429"/>
      <c r="BA5970" s="429"/>
      <c r="BB5970" s="429"/>
      <c r="BI5970" s="427"/>
      <c r="BJ5970" s="427"/>
      <c r="BK5970" s="427"/>
      <c r="BL5970" s="427"/>
      <c r="BM5970" s="427"/>
      <c r="BN5970" s="427"/>
      <c r="BO5970" s="427"/>
      <c r="BP5970" s="427"/>
      <c r="BQ5970" s="427"/>
      <c r="BR5970" s="427"/>
      <c r="BS5970" s="427"/>
      <c r="BT5970" s="427"/>
      <c r="BU5970" s="427"/>
      <c r="BV5970" s="427"/>
      <c r="BW5970" s="427"/>
      <c r="BX5970" s="427"/>
      <c r="BY5970" s="427"/>
      <c r="BZ5970" s="427"/>
    </row>
    <row r="5971" spans="1:80" s="152" customFormat="1" ht="15" x14ac:dyDescent="0.25">
      <c r="B5971" s="683"/>
      <c r="C5971" s="683"/>
      <c r="D5971" s="698"/>
      <c r="E5971" s="215"/>
      <c r="F5971" s="215"/>
      <c r="G5971" s="427"/>
      <c r="H5971" s="427"/>
      <c r="I5971" s="427"/>
      <c r="J5971" s="427"/>
      <c r="K5971" s="427"/>
      <c r="L5971" s="653"/>
      <c r="M5971" s="666">
        <v>28977</v>
      </c>
      <c r="N5971" s="600">
        <v>1506.4562000000001</v>
      </c>
      <c r="O5971" s="620">
        <v>2.100962</v>
      </c>
      <c r="P5971" s="782"/>
      <c r="Q5971" s="764"/>
      <c r="R5971" s="764"/>
      <c r="S5971" s="764"/>
      <c r="T5971" s="764"/>
      <c r="U5971" s="764"/>
      <c r="V5971" s="764"/>
      <c r="W5971" s="764"/>
      <c r="X5971" s="764"/>
      <c r="Y5971" s="768"/>
      <c r="Z5971" s="266"/>
      <c r="AA5971" s="150"/>
      <c r="AB5971" s="150">
        <v>58</v>
      </c>
      <c r="AC5971" s="150">
        <v>7.7999999999999999E-4</v>
      </c>
      <c r="AD5971" s="150">
        <v>172.21</v>
      </c>
      <c r="AE5971" s="223">
        <v>4.2370000000000001</v>
      </c>
      <c r="AF5971" s="220">
        <f t="shared" si="50"/>
        <v>729.65377000000001</v>
      </c>
      <c r="AG5971" s="223">
        <v>2.0569999999999999</v>
      </c>
      <c r="AH5971" s="346"/>
      <c r="AI5971" s="427"/>
      <c r="AJ5971" s="480"/>
      <c r="AK5971" s="427"/>
      <c r="AU5971" s="218"/>
      <c r="AV5971" s="218"/>
      <c r="AW5971" s="218"/>
      <c r="AX5971" s="218"/>
      <c r="AY5971" s="428"/>
      <c r="AZ5971" s="429"/>
      <c r="BA5971" s="429"/>
      <c r="BB5971" s="429"/>
      <c r="BI5971" s="427"/>
      <c r="BJ5971" s="427"/>
      <c r="BK5971" s="427"/>
      <c r="BL5971" s="427"/>
      <c r="BM5971" s="427"/>
      <c r="BN5971" s="427"/>
      <c r="BO5971" s="427"/>
      <c r="BP5971" s="427"/>
      <c r="BQ5971" s="427"/>
      <c r="BR5971" s="427"/>
      <c r="BS5971" s="427"/>
      <c r="BT5971" s="427"/>
      <c r="BU5971" s="427"/>
      <c r="BV5971" s="427"/>
      <c r="BW5971" s="427"/>
      <c r="BX5971" s="427"/>
      <c r="BY5971" s="427"/>
      <c r="BZ5971" s="427"/>
    </row>
    <row r="5972" spans="1:80" s="152" customFormat="1" ht="15" x14ac:dyDescent="0.25">
      <c r="B5972" s="683"/>
      <c r="C5972" s="683"/>
      <c r="D5972" s="698"/>
      <c r="E5972" s="215"/>
      <c r="F5972" s="215"/>
      <c r="G5972" s="427"/>
      <c r="H5972" s="427"/>
      <c r="I5972" s="427"/>
      <c r="J5972" s="427"/>
      <c r="K5972" s="427"/>
      <c r="L5972" s="653"/>
      <c r="M5972" s="666">
        <v>28990</v>
      </c>
      <c r="N5972" s="600">
        <v>1223.2878000000001</v>
      </c>
      <c r="O5972" s="620">
        <v>0.47533959999999997</v>
      </c>
      <c r="P5972" s="782"/>
      <c r="Q5972" s="764"/>
      <c r="R5972" s="764"/>
      <c r="S5972" s="764"/>
      <c r="T5972" s="764"/>
      <c r="U5972" s="764"/>
      <c r="V5972" s="764"/>
      <c r="W5972" s="764"/>
      <c r="X5972" s="764"/>
      <c r="Y5972" s="768"/>
      <c r="Z5972" s="266"/>
      <c r="AA5972" s="150"/>
      <c r="AB5972" s="150">
        <v>59</v>
      </c>
      <c r="AC5972" s="150">
        <v>7.2000000000000005E-4</v>
      </c>
      <c r="AD5972" s="150">
        <v>169.16</v>
      </c>
      <c r="AE5972" s="223">
        <v>3.9319999999999999</v>
      </c>
      <c r="AF5972" s="220">
        <f t="shared" si="50"/>
        <v>665.13711999999998</v>
      </c>
      <c r="AG5972" s="223">
        <v>1.859</v>
      </c>
      <c r="AH5972" s="346"/>
      <c r="AI5972" s="427"/>
      <c r="AJ5972" s="480"/>
      <c r="AK5972" s="427"/>
      <c r="AU5972" s="218"/>
      <c r="AV5972" s="218"/>
      <c r="AW5972" s="218"/>
      <c r="AX5972" s="218"/>
      <c r="AY5972" s="428"/>
      <c r="AZ5972" s="429"/>
      <c r="BA5972" s="429"/>
      <c r="BB5972" s="429"/>
      <c r="BI5972" s="427"/>
      <c r="BJ5972" s="427"/>
      <c r="BK5972" s="427"/>
      <c r="BL5972" s="427"/>
      <c r="BM5972" s="427"/>
      <c r="BN5972" s="427"/>
      <c r="BO5972" s="427"/>
      <c r="BP5972" s="427"/>
      <c r="BQ5972" s="427"/>
      <c r="BR5972" s="427"/>
      <c r="BS5972" s="427"/>
      <c r="BT5972" s="427"/>
      <c r="BU5972" s="427"/>
      <c r="BV5972" s="427"/>
      <c r="BW5972" s="427"/>
      <c r="BX5972" s="427"/>
      <c r="BY5972" s="427"/>
      <c r="BZ5972" s="427"/>
    </row>
    <row r="5973" spans="1:80" s="152" customFormat="1" ht="15" x14ac:dyDescent="0.25">
      <c r="B5973" s="683"/>
      <c r="C5973" s="683"/>
      <c r="D5973" s="698"/>
      <c r="E5973" s="215"/>
      <c r="F5973" s="215"/>
      <c r="G5973" s="427"/>
      <c r="H5973" s="427"/>
      <c r="I5973" s="427"/>
      <c r="J5973" s="427"/>
      <c r="K5973" s="427"/>
      <c r="L5973" s="653"/>
      <c r="M5973" s="666">
        <v>28997</v>
      </c>
      <c r="N5973" s="600">
        <v>1713.1692</v>
      </c>
      <c r="O5973" s="620">
        <v>6.2226560000000006</v>
      </c>
      <c r="P5973" s="782"/>
      <c r="Q5973" s="764"/>
      <c r="R5973" s="764"/>
      <c r="S5973" s="764"/>
      <c r="T5973" s="764"/>
      <c r="U5973" s="764"/>
      <c r="V5973" s="764"/>
      <c r="W5973" s="764"/>
      <c r="X5973" s="764"/>
      <c r="Y5973" s="768"/>
      <c r="Z5973" s="266"/>
      <c r="AA5973" s="150"/>
      <c r="AB5973" s="150">
        <v>60</v>
      </c>
      <c r="AC5973" s="150">
        <v>8.4000000000000003E-4</v>
      </c>
      <c r="AD5973" s="150">
        <v>176.78</v>
      </c>
      <c r="AE5973" s="223">
        <v>4.42</v>
      </c>
      <c r="AF5973" s="220">
        <f t="shared" si="50"/>
        <v>781.36760000000004</v>
      </c>
      <c r="AG5973" s="223">
        <v>2.1949999999999998</v>
      </c>
      <c r="AH5973" s="346"/>
      <c r="AI5973" s="427"/>
      <c r="AJ5973" s="480"/>
      <c r="AK5973" s="427"/>
      <c r="AU5973" s="218"/>
      <c r="AV5973" s="218"/>
      <c r="AW5973" s="218"/>
      <c r="AX5973" s="218"/>
      <c r="AY5973" s="428"/>
      <c r="AZ5973" s="429"/>
      <c r="BA5973" s="429"/>
      <c r="BB5973" s="429"/>
      <c r="BI5973" s="427"/>
      <c r="BJ5973" s="427"/>
      <c r="BK5973" s="427"/>
      <c r="BL5973" s="427"/>
      <c r="BM5973" s="427"/>
      <c r="BN5973" s="427"/>
      <c r="BO5973" s="427"/>
      <c r="BP5973" s="427"/>
      <c r="BQ5973" s="427"/>
      <c r="BR5973" s="427"/>
      <c r="BS5973" s="427"/>
      <c r="BT5973" s="427"/>
      <c r="BU5973" s="427"/>
      <c r="BV5973" s="427"/>
      <c r="BW5973" s="427"/>
      <c r="BX5973" s="427"/>
      <c r="BY5973" s="427"/>
      <c r="BZ5973" s="427"/>
    </row>
    <row r="5974" spans="1:80" s="152" customFormat="1" ht="15" x14ac:dyDescent="0.25">
      <c r="B5974" s="683"/>
      <c r="C5974" s="683"/>
      <c r="D5974" s="698"/>
      <c r="E5974" s="215"/>
      <c r="F5974" s="215"/>
      <c r="G5974" s="427"/>
      <c r="H5974" s="427"/>
      <c r="I5974" s="427"/>
      <c r="J5974" s="427"/>
      <c r="K5974" s="427"/>
      <c r="L5974" s="653"/>
      <c r="M5974" s="666">
        <v>28999</v>
      </c>
      <c r="N5974" s="600">
        <v>1993.5060000000001</v>
      </c>
      <c r="O5974" s="620">
        <v>4.3163680000000006</v>
      </c>
      <c r="P5974" s="782"/>
      <c r="Q5974" s="764"/>
      <c r="R5974" s="764"/>
      <c r="S5974" s="764"/>
      <c r="T5974" s="764"/>
      <c r="U5974" s="764"/>
      <c r="V5974" s="764"/>
      <c r="W5974" s="764"/>
      <c r="X5974" s="764"/>
      <c r="Y5974" s="768"/>
      <c r="Z5974" s="266"/>
      <c r="AA5974" s="150"/>
      <c r="AB5974" s="150">
        <v>61</v>
      </c>
      <c r="AC5974" s="150">
        <v>8.9999999999999998E-4</v>
      </c>
      <c r="AD5974" s="150">
        <v>181.36</v>
      </c>
      <c r="AE5974" s="223">
        <v>4.6630000000000003</v>
      </c>
      <c r="AF5974" s="220">
        <f t="shared" si="50"/>
        <v>845.68168000000014</v>
      </c>
      <c r="AG5974" s="223">
        <v>2.3769999999999998</v>
      </c>
      <c r="AH5974" s="346"/>
      <c r="AI5974" s="427"/>
      <c r="AJ5974" s="480"/>
      <c r="AK5974" s="427"/>
      <c r="AU5974" s="218"/>
      <c r="AV5974" s="218"/>
      <c r="AW5974" s="218"/>
      <c r="AX5974" s="218"/>
      <c r="AY5974" s="428"/>
      <c r="AZ5974" s="429"/>
      <c r="BA5974" s="429"/>
      <c r="BB5974" s="429"/>
      <c r="BI5974" s="427"/>
      <c r="BJ5974" s="427"/>
      <c r="BK5974" s="427"/>
      <c r="BL5974" s="427"/>
      <c r="BM5974" s="427"/>
      <c r="BN5974" s="427"/>
      <c r="BO5974" s="427"/>
      <c r="BP5974" s="427"/>
      <c r="BQ5974" s="427"/>
      <c r="BR5974" s="427"/>
      <c r="BS5974" s="427"/>
      <c r="BT5974" s="427"/>
      <c r="BU5974" s="427"/>
      <c r="BV5974" s="427"/>
      <c r="BW5974" s="427"/>
      <c r="BX5974" s="427"/>
      <c r="BY5974" s="427"/>
      <c r="BZ5974" s="427"/>
    </row>
    <row r="5975" spans="1:80" s="152" customFormat="1" ht="15" x14ac:dyDescent="0.25">
      <c r="B5975" s="683"/>
      <c r="C5975" s="683"/>
      <c r="D5975" s="698"/>
      <c r="E5975" s="215"/>
      <c r="F5975" s="215"/>
      <c r="G5975" s="427"/>
      <c r="H5975" s="427"/>
      <c r="I5975" s="427"/>
      <c r="J5975" s="427"/>
      <c r="K5975" s="427"/>
      <c r="L5975" s="653"/>
      <c r="M5975" s="666">
        <v>29011</v>
      </c>
      <c r="N5975" s="600">
        <v>1648.0405000000001</v>
      </c>
      <c r="O5975" s="620">
        <v>4.4371780000000003</v>
      </c>
      <c r="P5975" s="782"/>
      <c r="Q5975" s="764"/>
      <c r="R5975" s="764"/>
      <c r="S5975" s="764"/>
      <c r="T5975" s="764"/>
      <c r="U5975" s="764"/>
      <c r="V5975" s="764"/>
      <c r="W5975" s="764"/>
      <c r="X5975" s="764"/>
      <c r="Y5975" s="768"/>
      <c r="Z5975" s="266"/>
      <c r="AA5975" s="150"/>
      <c r="AB5975" s="150">
        <v>62</v>
      </c>
      <c r="AC5975" s="150">
        <v>8.1999999999999998E-4</v>
      </c>
      <c r="AD5975" s="150">
        <v>176.78</v>
      </c>
      <c r="AE5975" s="223">
        <v>4.359</v>
      </c>
      <c r="AF5975" s="220">
        <f t="shared" si="50"/>
        <v>770.58402000000001</v>
      </c>
      <c r="AG5975" s="223">
        <v>2.1640000000000001</v>
      </c>
      <c r="AH5975" s="346"/>
      <c r="AI5975" s="427"/>
      <c r="AJ5975" s="480"/>
      <c r="AK5975" s="427"/>
      <c r="AU5975" s="218"/>
      <c r="AV5975" s="218"/>
      <c r="AW5975" s="218"/>
      <c r="AX5975" s="218"/>
      <c r="AY5975" s="428"/>
      <c r="AZ5975" s="429"/>
      <c r="BA5975" s="429"/>
      <c r="BB5975" s="429"/>
      <c r="BI5975" s="427"/>
      <c r="BJ5975" s="427"/>
      <c r="BK5975" s="427"/>
      <c r="BL5975" s="427"/>
      <c r="BM5975" s="427"/>
      <c r="BN5975" s="427"/>
      <c r="BO5975" s="427"/>
      <c r="BP5975" s="427"/>
      <c r="BQ5975" s="427"/>
      <c r="BR5975" s="427"/>
      <c r="BS5975" s="427"/>
      <c r="BT5975" s="427"/>
      <c r="BU5975" s="427"/>
      <c r="BV5975" s="427"/>
      <c r="BW5975" s="427"/>
      <c r="BX5975" s="427"/>
      <c r="BY5975" s="427"/>
      <c r="BZ5975" s="427"/>
    </row>
    <row r="5976" spans="1:80" s="152" customFormat="1" ht="15.75" thickBot="1" x14ac:dyDescent="0.3">
      <c r="B5976" s="683"/>
      <c r="C5976" s="683"/>
      <c r="D5976" s="698"/>
      <c r="E5976" s="215"/>
      <c r="F5976" s="215"/>
      <c r="G5976" s="427"/>
      <c r="H5976" s="427"/>
      <c r="I5976" s="427"/>
      <c r="J5976" s="427"/>
      <c r="K5976" s="427"/>
      <c r="L5976" s="653"/>
      <c r="M5976" s="666">
        <v>29013</v>
      </c>
      <c r="N5976" s="600">
        <v>1353.5453</v>
      </c>
      <c r="O5976" s="620">
        <v>1.8946590000000001</v>
      </c>
      <c r="P5976" s="782"/>
      <c r="Q5976" s="764"/>
      <c r="R5976" s="764"/>
      <c r="S5976" s="764"/>
      <c r="T5976" s="764"/>
      <c r="U5976" s="764"/>
      <c r="V5976" s="764"/>
      <c r="W5976" s="764"/>
      <c r="X5976" s="764"/>
      <c r="Y5976" s="768"/>
      <c r="Z5976" s="266"/>
      <c r="AA5976" s="150"/>
      <c r="AB5976" s="150">
        <v>63</v>
      </c>
      <c r="AC5976" s="150">
        <v>7.3999999999999999E-4</v>
      </c>
      <c r="AD5976" s="150">
        <v>170.69</v>
      </c>
      <c r="AE5976" s="223">
        <v>4.0839999999999996</v>
      </c>
      <c r="AF5976" s="220">
        <f t="shared" si="50"/>
        <v>697.09795999999994</v>
      </c>
      <c r="AG5976" s="223">
        <v>1.9510000000000001</v>
      </c>
      <c r="AH5976" s="346"/>
      <c r="AI5976" s="427"/>
      <c r="AJ5976" s="480"/>
      <c r="AK5976" s="427"/>
      <c r="AU5976" s="218"/>
      <c r="AV5976" s="218"/>
      <c r="AW5976" s="218"/>
      <c r="AX5976" s="218"/>
      <c r="AY5976" s="428"/>
      <c r="AZ5976" s="429"/>
      <c r="BA5976" s="429"/>
      <c r="BB5976" s="429"/>
      <c r="BI5976" s="427"/>
      <c r="BJ5976" s="427"/>
      <c r="BK5976" s="427"/>
      <c r="BL5976" s="427"/>
      <c r="BM5976" s="427"/>
      <c r="BN5976" s="427"/>
      <c r="BO5976" s="427"/>
      <c r="BP5976" s="427"/>
      <c r="BQ5976" s="427"/>
      <c r="BR5976" s="427"/>
      <c r="BS5976" s="427"/>
      <c r="BT5976" s="427"/>
      <c r="BU5976" s="427"/>
      <c r="BV5976" s="427"/>
      <c r="BW5976" s="427"/>
      <c r="BX5976" s="427"/>
      <c r="BY5976" s="427"/>
      <c r="BZ5976" s="427"/>
    </row>
    <row r="5977" spans="1:80" s="189" customFormat="1" ht="15.75" thickTop="1" x14ac:dyDescent="0.25">
      <c r="A5977" s="9" t="s">
        <v>523</v>
      </c>
      <c r="B5977" s="639" t="s">
        <v>66</v>
      </c>
      <c r="C5977" s="639"/>
      <c r="D5977" s="4">
        <f>VLOOKUP(E5977,'Quality Code'!D4:E24,2,TRUE)*VLOOKUP(MROUND(F5977,10),'Quality Code'!D28:E69,2,TRUE)*VLOOKUP(COUNTA(CB5977:CB5987),'Quality Code'!D73:E93,2,TRUE)</f>
        <v>1.1666619999999999</v>
      </c>
      <c r="E5977" s="14">
        <v>0.35</v>
      </c>
      <c r="F5977" s="18">
        <v>78</v>
      </c>
      <c r="G5977" s="12"/>
      <c r="H5977" s="2"/>
      <c r="I5977" s="2"/>
      <c r="J5977" s="2"/>
      <c r="K5977" s="2"/>
      <c r="L5977" s="639"/>
      <c r="M5977" s="640"/>
      <c r="N5977" s="579"/>
      <c r="O5977" s="579"/>
      <c r="P5977" s="11"/>
      <c r="Q5977" s="11"/>
      <c r="R5977" s="11"/>
      <c r="S5977" s="11"/>
      <c r="T5977" s="11"/>
      <c r="U5977" s="11"/>
      <c r="V5977" s="11"/>
      <c r="W5977" s="11"/>
      <c r="X5977" s="11"/>
      <c r="Y5977" s="11"/>
      <c r="Z5977" s="11"/>
      <c r="AA5977" s="11"/>
      <c r="AB5977" s="11"/>
      <c r="AC5977" s="444"/>
      <c r="AD5977" s="26"/>
      <c r="AE5977" s="26"/>
      <c r="AF5977" s="26"/>
      <c r="AG5977" s="26"/>
      <c r="AH5977" s="330"/>
      <c r="AI5977" s="123">
        <v>18</v>
      </c>
      <c r="AJ5977" s="17"/>
      <c r="AK5977" s="161"/>
      <c r="AL5977" s="17"/>
      <c r="AM5977" s="17"/>
      <c r="AN5977" s="17"/>
      <c r="AO5977" s="17"/>
      <c r="AP5977" s="17"/>
      <c r="AQ5977" s="17"/>
      <c r="AR5977" s="17"/>
      <c r="AS5977" s="17"/>
      <c r="AT5977" s="17"/>
      <c r="AU5977" s="18">
        <v>74</v>
      </c>
      <c r="AV5977" s="17"/>
      <c r="AW5977" s="17"/>
      <c r="AX5977" s="17"/>
      <c r="AY5977" s="125"/>
      <c r="AZ5977" s="125"/>
      <c r="BA5977" s="125"/>
      <c r="BB5977" s="125"/>
      <c r="BC5977" s="125"/>
      <c r="BD5977" s="125"/>
      <c r="BE5977" s="125"/>
      <c r="BF5977" s="125"/>
      <c r="BG5977" s="125"/>
      <c r="BH5977" s="125"/>
      <c r="BI5977" s="4">
        <f>AU5977/AI5977</f>
        <v>4.1111111111111107</v>
      </c>
      <c r="BJ5977" s="2"/>
      <c r="BK5977" s="2"/>
      <c r="BL5977" s="12"/>
      <c r="BM5977" s="12">
        <v>2210</v>
      </c>
      <c r="BN5977" s="12">
        <v>144.78</v>
      </c>
      <c r="BO5977" s="12">
        <v>5.27</v>
      </c>
      <c r="BP5977" s="12">
        <f>BO5977*BN5977</f>
        <v>762.99059999999997</v>
      </c>
      <c r="BQ5977" s="12">
        <f>BN5977/BO5977</f>
        <v>27.472485768500952</v>
      </c>
      <c r="BR5977" s="12"/>
      <c r="BS5977" s="12"/>
      <c r="BT5977" s="12"/>
      <c r="BU5977" s="2"/>
      <c r="BV5977" s="2"/>
      <c r="BW5977" s="2"/>
      <c r="BX5977" s="2"/>
      <c r="BY5977" s="2"/>
      <c r="BZ5977" s="2"/>
      <c r="CA5977" s="9"/>
      <c r="CB5977" s="122" t="s">
        <v>550</v>
      </c>
    </row>
    <row r="5978" spans="1:80" s="152" customFormat="1" x14ac:dyDescent="0.2">
      <c r="B5978" s="683"/>
      <c r="C5978" s="683"/>
      <c r="D5978" s="698"/>
      <c r="E5978" s="215"/>
      <c r="F5978" s="215"/>
      <c r="G5978" s="427"/>
      <c r="H5978" s="427"/>
      <c r="I5978" s="427"/>
      <c r="J5978" s="427"/>
      <c r="K5978" s="427"/>
      <c r="L5978" s="653"/>
      <c r="M5978" s="666">
        <v>26429</v>
      </c>
      <c r="N5978" s="600">
        <v>1594.2384999999999</v>
      </c>
      <c r="O5978" s="620">
        <v>2.6639900000000001</v>
      </c>
      <c r="P5978" s="782"/>
      <c r="Q5978" s="764"/>
      <c r="R5978" s="764"/>
      <c r="S5978" s="764"/>
      <c r="T5978" s="764"/>
      <c r="U5978" s="764"/>
      <c r="V5978" s="764"/>
      <c r="W5978" s="764"/>
      <c r="X5978" s="764"/>
      <c r="Y5978" s="768"/>
      <c r="Z5978" s="266"/>
      <c r="AA5978" s="150"/>
      <c r="AB5978" s="150">
        <v>1</v>
      </c>
      <c r="AC5978" s="231">
        <v>3.6999999999999999E-4</v>
      </c>
      <c r="AD5978" s="150">
        <v>140.21</v>
      </c>
      <c r="AE5978" s="223">
        <v>4.907</v>
      </c>
      <c r="AF5978" s="223">
        <f>AD5978*AE5978</f>
        <v>688.01047000000005</v>
      </c>
      <c r="AG5978" s="223">
        <v>2.3010000000000002</v>
      </c>
      <c r="AH5978" s="346"/>
      <c r="AI5978" s="427"/>
      <c r="AJ5978" s="480"/>
      <c r="AK5978" s="427"/>
      <c r="AU5978" s="218"/>
      <c r="AV5978" s="218"/>
      <c r="AW5978" s="218"/>
      <c r="AX5978" s="218"/>
      <c r="BI5978" s="427"/>
      <c r="BJ5978" s="427"/>
      <c r="BK5978" s="427"/>
      <c r="BL5978" s="427"/>
      <c r="BM5978" s="427"/>
      <c r="BN5978" s="427"/>
      <c r="BO5978" s="427"/>
      <c r="BP5978" s="427"/>
      <c r="BQ5978" s="427"/>
      <c r="BR5978" s="427"/>
      <c r="BS5978" s="427"/>
      <c r="BT5978" s="427"/>
      <c r="BU5978" s="427"/>
      <c r="BV5978" s="427"/>
      <c r="BW5978" s="427"/>
      <c r="BX5978" s="427"/>
      <c r="BY5978" s="427"/>
      <c r="BZ5978" s="427"/>
      <c r="CB5978" s="152" t="s">
        <v>575</v>
      </c>
    </row>
    <row r="5979" spans="1:80" s="152" customFormat="1" x14ac:dyDescent="0.2">
      <c r="B5979" s="683"/>
      <c r="C5979" s="683"/>
      <c r="D5979" s="698"/>
      <c r="E5979" s="215"/>
      <c r="F5979" s="215"/>
      <c r="G5979" s="427"/>
      <c r="H5979" s="427"/>
      <c r="I5979" s="427"/>
      <c r="J5979" s="427"/>
      <c r="K5979" s="427"/>
      <c r="L5979" s="653"/>
      <c r="M5979" s="666">
        <v>26437</v>
      </c>
      <c r="N5979" s="600">
        <v>2347.4666000000002</v>
      </c>
      <c r="O5979" s="620">
        <v>11.575407999999999</v>
      </c>
      <c r="P5979" s="782"/>
      <c r="Q5979" s="764"/>
      <c r="R5979" s="764"/>
      <c r="S5979" s="764"/>
      <c r="T5979" s="764"/>
      <c r="U5979" s="764"/>
      <c r="V5979" s="764"/>
      <c r="W5979" s="764"/>
      <c r="X5979" s="764"/>
      <c r="Y5979" s="768"/>
      <c r="Z5979" s="266"/>
      <c r="AA5979" s="150"/>
      <c r="AB5979" s="150">
        <v>2</v>
      </c>
      <c r="AC5979" s="231">
        <v>5.0000000000000001E-4</v>
      </c>
      <c r="AD5979" s="150">
        <v>143.26</v>
      </c>
      <c r="AE5979" s="223">
        <v>5.3339999999999996</v>
      </c>
      <c r="AF5979" s="223">
        <f t="shared" ref="AF5979:AF6042" si="51">AD5979*AE5979</f>
        <v>764.14883999999995</v>
      </c>
      <c r="AG5979" s="223">
        <v>3.048</v>
      </c>
      <c r="AH5979" s="346"/>
      <c r="AI5979" s="427"/>
      <c r="AJ5979" s="480"/>
      <c r="AK5979" s="427"/>
      <c r="AU5979" s="218"/>
      <c r="AV5979" s="218"/>
      <c r="AW5979" s="218"/>
      <c r="AX5979" s="218"/>
      <c r="BI5979" s="427"/>
      <c r="BJ5979" s="427"/>
      <c r="BK5979" s="427"/>
      <c r="BL5979" s="427"/>
      <c r="BM5979" s="427"/>
      <c r="BN5979" s="427"/>
      <c r="BO5979" s="427"/>
      <c r="BP5979" s="427"/>
      <c r="BQ5979" s="427"/>
      <c r="BR5979" s="427"/>
      <c r="BS5979" s="427"/>
      <c r="BT5979" s="427"/>
      <c r="BU5979" s="427"/>
      <c r="BV5979" s="427"/>
      <c r="BW5979" s="427"/>
      <c r="BX5979" s="427"/>
      <c r="BY5979" s="427"/>
      <c r="BZ5979" s="427"/>
    </row>
    <row r="5980" spans="1:80" s="152" customFormat="1" ht="15" x14ac:dyDescent="0.25">
      <c r="B5980" s="683"/>
      <c r="C5980" s="683"/>
      <c r="D5980" s="698"/>
      <c r="E5980" s="215"/>
      <c r="F5980" s="215"/>
      <c r="G5980" s="427"/>
      <c r="H5980" s="427"/>
      <c r="I5980" s="427"/>
      <c r="J5980" s="427"/>
      <c r="K5980" s="427"/>
      <c r="L5980" s="653"/>
      <c r="M5980" s="666">
        <v>26451</v>
      </c>
      <c r="N5980" s="600">
        <v>2738.2390999999998</v>
      </c>
      <c r="O5980" s="620">
        <v>9.5533900000000003</v>
      </c>
      <c r="P5980" s="782"/>
      <c r="Q5980" s="764"/>
      <c r="R5980" s="764"/>
      <c r="S5980" s="764"/>
      <c r="T5980" s="764"/>
      <c r="U5980" s="764"/>
      <c r="V5980" s="764"/>
      <c r="W5980" s="764"/>
      <c r="X5980" s="764"/>
      <c r="Y5980" s="768"/>
      <c r="Z5980" s="266"/>
      <c r="AA5980" s="150"/>
      <c r="AB5980" s="150">
        <v>3</v>
      </c>
      <c r="AC5980" s="231">
        <v>5.5999999999999995E-4</v>
      </c>
      <c r="AD5980" s="150">
        <v>146.30000000000001</v>
      </c>
      <c r="AE5980" s="223">
        <v>5.5170000000000003</v>
      </c>
      <c r="AF5980" s="223">
        <f t="shared" si="51"/>
        <v>807.13710000000015</v>
      </c>
      <c r="AG5980" s="223">
        <v>3.4140000000000001</v>
      </c>
      <c r="AH5980" s="346"/>
      <c r="AI5980" s="427"/>
      <c r="AJ5980" s="480"/>
      <c r="AK5980" s="427"/>
      <c r="AU5980" s="218"/>
      <c r="AV5980" s="218"/>
      <c r="AW5980" s="218"/>
      <c r="AX5980" s="218"/>
      <c r="AY5980" s="428"/>
      <c r="AZ5980" s="429"/>
      <c r="BA5980" s="429"/>
      <c r="BB5980" s="429"/>
      <c r="BI5980" s="427"/>
      <c r="BJ5980" s="427"/>
      <c r="BK5980" s="427"/>
      <c r="BL5980" s="427"/>
      <c r="BM5980" s="427"/>
      <c r="BN5980" s="427"/>
      <c r="BO5980" s="427"/>
      <c r="BP5980" s="427"/>
      <c r="BQ5980" s="427"/>
      <c r="BR5980" s="427"/>
      <c r="BS5980" s="427"/>
      <c r="BT5980" s="427"/>
      <c r="BU5980" s="427"/>
      <c r="BV5980" s="427"/>
      <c r="BW5980" s="427"/>
      <c r="BX5980" s="427"/>
      <c r="BY5980" s="427"/>
      <c r="BZ5980" s="427"/>
    </row>
    <row r="5981" spans="1:80" s="152" customFormat="1" ht="15" x14ac:dyDescent="0.25">
      <c r="B5981" s="683"/>
      <c r="C5981" s="683"/>
      <c r="D5981" s="698"/>
      <c r="E5981" s="215"/>
      <c r="F5981" s="215"/>
      <c r="G5981" s="427"/>
      <c r="H5981" s="427"/>
      <c r="I5981" s="427"/>
      <c r="J5981" s="427"/>
      <c r="K5981" s="427"/>
      <c r="L5981" s="653"/>
      <c r="M5981" s="666">
        <v>26465</v>
      </c>
      <c r="N5981" s="600">
        <v>1506.4562000000001</v>
      </c>
      <c r="O5981" s="620">
        <v>5.6000000000000006E-4</v>
      </c>
      <c r="P5981" s="782"/>
      <c r="Q5981" s="764"/>
      <c r="R5981" s="764"/>
      <c r="S5981" s="764"/>
      <c r="T5981" s="764"/>
      <c r="U5981" s="764"/>
      <c r="V5981" s="764"/>
      <c r="W5981" s="764"/>
      <c r="X5981" s="764"/>
      <c r="Y5981" s="768"/>
      <c r="Z5981" s="266"/>
      <c r="AA5981" s="150"/>
      <c r="AB5981" s="150">
        <v>4</v>
      </c>
      <c r="AC5981" s="231">
        <v>3.5E-4</v>
      </c>
      <c r="AD5981" s="150">
        <v>140.21</v>
      </c>
      <c r="AE5981" s="223">
        <v>4.8460000000000001</v>
      </c>
      <c r="AF5981" s="223">
        <f t="shared" si="51"/>
        <v>679.45766000000003</v>
      </c>
      <c r="AG5981" s="223">
        <v>2.21</v>
      </c>
      <c r="AH5981" s="346"/>
      <c r="AI5981" s="427"/>
      <c r="AJ5981" s="480"/>
      <c r="AK5981" s="427"/>
      <c r="AU5981" s="218"/>
      <c r="AV5981" s="218"/>
      <c r="AW5981" s="218"/>
      <c r="AX5981" s="218"/>
      <c r="AY5981" s="428"/>
      <c r="AZ5981" s="429"/>
      <c r="BA5981" s="429"/>
      <c r="BB5981" s="429"/>
      <c r="BI5981" s="427"/>
      <c r="BJ5981" s="427"/>
      <c r="BK5981" s="427"/>
      <c r="BL5981" s="427"/>
      <c r="BM5981" s="427"/>
      <c r="BN5981" s="427"/>
      <c r="BO5981" s="427"/>
      <c r="BP5981" s="427"/>
      <c r="BQ5981" s="427"/>
      <c r="BR5981" s="427"/>
      <c r="BS5981" s="427"/>
      <c r="BT5981" s="427"/>
      <c r="BU5981" s="427"/>
      <c r="BV5981" s="427"/>
      <c r="BW5981" s="427"/>
      <c r="BX5981" s="427"/>
      <c r="BY5981" s="427"/>
      <c r="BZ5981" s="427"/>
    </row>
    <row r="5982" spans="1:80" s="152" customFormat="1" ht="15" x14ac:dyDescent="0.25">
      <c r="B5982" s="683"/>
      <c r="C5982" s="683"/>
      <c r="D5982" s="698"/>
      <c r="E5982" s="215"/>
      <c r="F5982" s="215"/>
      <c r="G5982" s="427"/>
      <c r="H5982" s="427"/>
      <c r="I5982" s="427"/>
      <c r="J5982" s="427"/>
      <c r="K5982" s="427"/>
      <c r="L5982" s="653"/>
      <c r="M5982" s="666">
        <v>26771</v>
      </c>
      <c r="N5982" s="600">
        <v>288.83179999999999</v>
      </c>
      <c r="O5982" s="620">
        <v>0.10922377999999999</v>
      </c>
      <c r="P5982" s="782"/>
      <c r="Q5982" s="764"/>
      <c r="R5982" s="764"/>
      <c r="S5982" s="764"/>
      <c r="T5982" s="764"/>
      <c r="U5982" s="764"/>
      <c r="V5982" s="764"/>
      <c r="W5982" s="764"/>
      <c r="X5982" s="764"/>
      <c r="Y5982" s="768"/>
      <c r="Z5982" s="266"/>
      <c r="AA5982" s="150"/>
      <c r="AB5982" s="150">
        <v>5</v>
      </c>
      <c r="AC5982" s="231">
        <v>9.0000000000000006E-5</v>
      </c>
      <c r="AD5982" s="150">
        <v>124.97</v>
      </c>
      <c r="AE5982" s="223">
        <v>3.4140000000000001</v>
      </c>
      <c r="AF5982" s="223">
        <f t="shared" si="51"/>
        <v>426.64758</v>
      </c>
      <c r="AG5982" s="223">
        <v>0.65500000000000003</v>
      </c>
      <c r="AH5982" s="346"/>
      <c r="AI5982" s="427"/>
      <c r="AJ5982" s="480"/>
      <c r="AK5982" s="427"/>
      <c r="AU5982" s="218"/>
      <c r="AV5982" s="218"/>
      <c r="AW5982" s="218"/>
      <c r="AX5982" s="218"/>
      <c r="AY5982" s="428"/>
      <c r="AZ5982" s="429"/>
      <c r="BA5982" s="429"/>
      <c r="BB5982" s="429"/>
      <c r="BI5982" s="427"/>
      <c r="BJ5982" s="427"/>
      <c r="BK5982" s="427"/>
      <c r="BL5982" s="427"/>
      <c r="BM5982" s="427"/>
      <c r="BN5982" s="427"/>
      <c r="BO5982" s="427"/>
      <c r="BP5982" s="427"/>
      <c r="BQ5982" s="427"/>
      <c r="BR5982" s="427"/>
      <c r="BS5982" s="427"/>
      <c r="BT5982" s="427"/>
      <c r="BU5982" s="427"/>
      <c r="BV5982" s="427"/>
      <c r="BW5982" s="427"/>
      <c r="BX5982" s="427"/>
      <c r="BY5982" s="427"/>
      <c r="BZ5982" s="427"/>
    </row>
    <row r="5983" spans="1:80" s="152" customFormat="1" ht="15" x14ac:dyDescent="0.25">
      <c r="B5983" s="683"/>
      <c r="C5983" s="683"/>
      <c r="D5983" s="698"/>
      <c r="E5983" s="215"/>
      <c r="F5983" s="215"/>
      <c r="G5983" s="427"/>
      <c r="H5983" s="427"/>
      <c r="I5983" s="427"/>
      <c r="J5983" s="427"/>
      <c r="K5983" s="427"/>
      <c r="L5983" s="653"/>
      <c r="M5983" s="666">
        <v>26784</v>
      </c>
      <c r="N5983" s="600">
        <v>311.4853</v>
      </c>
      <c r="O5983" s="620">
        <v>1.2147084000000001</v>
      </c>
      <c r="P5983" s="782"/>
      <c r="Q5983" s="764"/>
      <c r="R5983" s="764"/>
      <c r="S5983" s="764"/>
      <c r="T5983" s="764"/>
      <c r="U5983" s="764"/>
      <c r="V5983" s="764"/>
      <c r="W5983" s="764"/>
      <c r="X5983" s="764"/>
      <c r="Y5983" s="768"/>
      <c r="Z5983" s="266"/>
      <c r="AA5983" s="150"/>
      <c r="AB5983" s="150">
        <v>6</v>
      </c>
      <c r="AC5983" s="231">
        <v>1E-4</v>
      </c>
      <c r="AD5983" s="150">
        <v>124.97</v>
      </c>
      <c r="AE5983" s="223">
        <v>3.4750000000000001</v>
      </c>
      <c r="AF5983" s="223">
        <f t="shared" si="51"/>
        <v>434.27075000000002</v>
      </c>
      <c r="AG5983" s="223">
        <v>0.70099999999999996</v>
      </c>
      <c r="AH5983" s="346"/>
      <c r="AI5983" s="427"/>
      <c r="AJ5983" s="480"/>
      <c r="AK5983" s="427"/>
      <c r="AU5983" s="218"/>
      <c r="AV5983" s="218"/>
      <c r="AW5983" s="218"/>
      <c r="AX5983" s="218"/>
      <c r="AY5983" s="428"/>
      <c r="AZ5983" s="429"/>
      <c r="BA5983" s="429"/>
      <c r="BB5983" s="429"/>
      <c r="BI5983" s="427"/>
      <c r="BJ5983" s="427"/>
      <c r="BK5983" s="427"/>
      <c r="BL5983" s="427"/>
      <c r="BM5983" s="427"/>
      <c r="BN5983" s="427"/>
      <c r="BO5983" s="427"/>
      <c r="BP5983" s="427"/>
      <c r="BQ5983" s="427"/>
      <c r="BR5983" s="427"/>
      <c r="BS5983" s="427"/>
      <c r="BT5983" s="427"/>
      <c r="BU5983" s="427"/>
      <c r="BV5983" s="427"/>
      <c r="BW5983" s="427"/>
      <c r="BX5983" s="427"/>
      <c r="BY5983" s="427"/>
      <c r="BZ5983" s="427"/>
    </row>
    <row r="5984" spans="1:80" s="152" customFormat="1" ht="15" x14ac:dyDescent="0.25">
      <c r="B5984" s="683"/>
      <c r="C5984" s="683"/>
      <c r="D5984" s="698"/>
      <c r="E5984" s="215"/>
      <c r="F5984" s="215"/>
      <c r="G5984" s="427"/>
      <c r="H5984" s="427"/>
      <c r="I5984" s="427"/>
      <c r="J5984" s="427"/>
      <c r="K5984" s="427"/>
      <c r="L5984" s="653"/>
      <c r="M5984" s="666">
        <v>26798</v>
      </c>
      <c r="N5984" s="600">
        <v>419.08929999999998</v>
      </c>
      <c r="O5984" s="620">
        <v>0.26884200000000008</v>
      </c>
      <c r="P5984" s="782"/>
      <c r="Q5984" s="764"/>
      <c r="R5984" s="764"/>
      <c r="S5984" s="764"/>
      <c r="T5984" s="764"/>
      <c r="U5984" s="764"/>
      <c r="V5984" s="764"/>
      <c r="W5984" s="764"/>
      <c r="X5984" s="764"/>
      <c r="Y5984" s="768"/>
      <c r="Z5984" s="266"/>
      <c r="AA5984" s="150"/>
      <c r="AB5984" s="150">
        <v>7</v>
      </c>
      <c r="AC5984" s="231">
        <v>1.2999999999999999E-4</v>
      </c>
      <c r="AD5984" s="150">
        <v>128.02000000000001</v>
      </c>
      <c r="AE5984" s="223">
        <v>3.6880000000000002</v>
      </c>
      <c r="AF5984" s="223">
        <f t="shared" si="51"/>
        <v>472.13776000000007</v>
      </c>
      <c r="AG5984" s="223">
        <v>0.86899999999999999</v>
      </c>
      <c r="AH5984" s="346"/>
      <c r="AI5984" s="427"/>
      <c r="AJ5984" s="480"/>
      <c r="AK5984" s="427"/>
      <c r="AU5984" s="218"/>
      <c r="AV5984" s="218"/>
      <c r="AW5984" s="218"/>
      <c r="AX5984" s="218"/>
      <c r="AY5984" s="428"/>
      <c r="AZ5984" s="429"/>
      <c r="BA5984" s="429"/>
      <c r="BB5984" s="429"/>
      <c r="BI5984" s="427"/>
      <c r="BJ5984" s="427"/>
      <c r="BK5984" s="427"/>
      <c r="BL5984" s="427"/>
      <c r="BM5984" s="427"/>
      <c r="BN5984" s="427"/>
      <c r="BO5984" s="427"/>
      <c r="BP5984" s="427"/>
      <c r="BQ5984" s="427"/>
      <c r="BR5984" s="427"/>
      <c r="BS5984" s="427"/>
      <c r="BT5984" s="427"/>
      <c r="BU5984" s="427"/>
      <c r="BV5984" s="427"/>
      <c r="BW5984" s="427"/>
      <c r="BX5984" s="427"/>
      <c r="BY5984" s="427"/>
      <c r="BZ5984" s="427"/>
    </row>
    <row r="5985" spans="2:78" s="152" customFormat="1" ht="15" x14ac:dyDescent="0.25">
      <c r="B5985" s="683"/>
      <c r="C5985" s="683"/>
      <c r="D5985" s="698"/>
      <c r="E5985" s="215"/>
      <c r="F5985" s="215"/>
      <c r="G5985" s="427"/>
      <c r="H5985" s="427"/>
      <c r="I5985" s="427"/>
      <c r="J5985" s="427"/>
      <c r="K5985" s="427"/>
      <c r="L5985" s="653"/>
      <c r="M5985" s="666">
        <v>26800</v>
      </c>
      <c r="N5985" s="600">
        <v>736.23800000000006</v>
      </c>
      <c r="O5985" s="620">
        <v>2.9169799999999997</v>
      </c>
      <c r="P5985" s="782"/>
      <c r="Q5985" s="764"/>
      <c r="R5985" s="764"/>
      <c r="S5985" s="764"/>
      <c r="T5985" s="764"/>
      <c r="U5985" s="764"/>
      <c r="V5985" s="764"/>
      <c r="W5985" s="764"/>
      <c r="X5985" s="764"/>
      <c r="Y5985" s="768"/>
      <c r="Z5985" s="266"/>
      <c r="AA5985" s="150"/>
      <c r="AB5985" s="150">
        <v>8</v>
      </c>
      <c r="AC5985" s="231">
        <v>2.0000000000000001E-4</v>
      </c>
      <c r="AD5985" s="150">
        <v>132.59</v>
      </c>
      <c r="AE5985" s="223">
        <v>4.1760000000000002</v>
      </c>
      <c r="AF5985" s="223">
        <f t="shared" si="51"/>
        <v>553.69584000000009</v>
      </c>
      <c r="AG5985" s="223">
        <v>1.3109999999999999</v>
      </c>
      <c r="AH5985" s="346"/>
      <c r="AI5985" s="427"/>
      <c r="AJ5985" s="480"/>
      <c r="AK5985" s="427"/>
      <c r="AU5985" s="218"/>
      <c r="AV5985" s="218"/>
      <c r="AW5985" s="218"/>
      <c r="AX5985" s="218"/>
      <c r="AY5985" s="428"/>
      <c r="AZ5985" s="429"/>
      <c r="BA5985" s="429"/>
      <c r="BB5985" s="429"/>
      <c r="BI5985" s="427"/>
      <c r="BJ5985" s="427"/>
      <c r="BK5985" s="427"/>
      <c r="BL5985" s="427"/>
      <c r="BM5985" s="427"/>
      <c r="BN5985" s="427"/>
      <c r="BO5985" s="427"/>
      <c r="BP5985" s="427"/>
      <c r="BQ5985" s="427"/>
      <c r="BR5985" s="427"/>
      <c r="BS5985" s="427"/>
      <c r="BT5985" s="427"/>
      <c r="BU5985" s="427"/>
      <c r="BV5985" s="427"/>
      <c r="BW5985" s="427"/>
      <c r="BX5985" s="427"/>
      <c r="BY5985" s="427"/>
      <c r="BZ5985" s="427"/>
    </row>
    <row r="5986" spans="2:78" s="152" customFormat="1" ht="15" x14ac:dyDescent="0.25">
      <c r="B5986" s="683"/>
      <c r="C5986" s="683"/>
      <c r="D5986" s="698"/>
      <c r="E5986" s="215"/>
      <c r="F5986" s="215"/>
      <c r="G5986" s="427"/>
      <c r="H5986" s="427"/>
      <c r="I5986" s="427"/>
      <c r="J5986" s="427"/>
      <c r="K5986" s="427"/>
      <c r="L5986" s="653"/>
      <c r="M5986" s="666">
        <v>26806</v>
      </c>
      <c r="N5986" s="600">
        <v>679.60429999999997</v>
      </c>
      <c r="O5986" s="620">
        <v>0.75708889999999995</v>
      </c>
      <c r="P5986" s="782"/>
      <c r="Q5986" s="764"/>
      <c r="R5986" s="764"/>
      <c r="S5986" s="764"/>
      <c r="T5986" s="764"/>
      <c r="U5986" s="764"/>
      <c r="V5986" s="764"/>
      <c r="W5986" s="764"/>
      <c r="X5986" s="764"/>
      <c r="Y5986" s="768"/>
      <c r="Z5986" s="266"/>
      <c r="AA5986" s="150"/>
      <c r="AB5986" s="150">
        <v>9</v>
      </c>
      <c r="AC5986" s="231">
        <v>1.9000000000000001E-4</v>
      </c>
      <c r="AD5986" s="150">
        <v>132.59</v>
      </c>
      <c r="AE5986" s="223">
        <v>4.0839999999999996</v>
      </c>
      <c r="AF5986" s="223">
        <f t="shared" si="51"/>
        <v>541.49756000000002</v>
      </c>
      <c r="AG5986" s="223">
        <v>1.234</v>
      </c>
      <c r="AH5986" s="346"/>
      <c r="AI5986" s="427"/>
      <c r="AJ5986" s="480"/>
      <c r="AK5986" s="427"/>
      <c r="AU5986" s="218"/>
      <c r="AV5986" s="218"/>
      <c r="AW5986" s="218"/>
      <c r="AX5986" s="218"/>
      <c r="AY5986" s="428"/>
      <c r="AZ5986" s="429"/>
      <c r="BA5986" s="429"/>
      <c r="BB5986" s="429"/>
      <c r="BI5986" s="427"/>
      <c r="BJ5986" s="427"/>
      <c r="BK5986" s="427"/>
      <c r="BL5986" s="427"/>
      <c r="BM5986" s="427"/>
      <c r="BN5986" s="427"/>
      <c r="BO5986" s="427"/>
      <c r="BP5986" s="427"/>
      <c r="BQ5986" s="427"/>
      <c r="BR5986" s="427"/>
      <c r="BS5986" s="427"/>
      <c r="BT5986" s="427"/>
      <c r="BU5986" s="427"/>
      <c r="BV5986" s="427"/>
      <c r="BW5986" s="427"/>
      <c r="BX5986" s="427"/>
      <c r="BY5986" s="427"/>
      <c r="BZ5986" s="427"/>
    </row>
    <row r="5987" spans="2:78" s="152" customFormat="1" ht="15" x14ac:dyDescent="0.25">
      <c r="B5987" s="683"/>
      <c r="C5987" s="683"/>
      <c r="D5987" s="698"/>
      <c r="E5987" s="215"/>
      <c r="F5987" s="215"/>
      <c r="G5987" s="427"/>
      <c r="H5987" s="427"/>
      <c r="I5987" s="427"/>
      <c r="J5987" s="427"/>
      <c r="K5987" s="427"/>
      <c r="L5987" s="653"/>
      <c r="M5987" s="666">
        <v>26808</v>
      </c>
      <c r="N5987" s="600">
        <v>679.60429999999997</v>
      </c>
      <c r="O5987" s="620">
        <v>0.64173559999999996</v>
      </c>
      <c r="P5987" s="782"/>
      <c r="Q5987" s="764"/>
      <c r="R5987" s="764"/>
      <c r="S5987" s="764"/>
      <c r="T5987" s="764"/>
      <c r="U5987" s="764"/>
      <c r="V5987" s="764"/>
      <c r="W5987" s="764"/>
      <c r="X5987" s="764"/>
      <c r="Y5987" s="768"/>
      <c r="Z5987" s="266"/>
      <c r="AA5987" s="150"/>
      <c r="AB5987" s="150">
        <v>10</v>
      </c>
      <c r="AC5987" s="231">
        <v>1.9000000000000001E-4</v>
      </c>
      <c r="AD5987" s="150">
        <v>132.59</v>
      </c>
      <c r="AE5987" s="223">
        <v>4.0839999999999996</v>
      </c>
      <c r="AF5987" s="223">
        <f t="shared" si="51"/>
        <v>541.49756000000002</v>
      </c>
      <c r="AG5987" s="223">
        <v>1.234</v>
      </c>
      <c r="AH5987" s="346"/>
      <c r="AI5987" s="427"/>
      <c r="AJ5987" s="480"/>
      <c r="AK5987" s="427"/>
      <c r="AU5987" s="218"/>
      <c r="AV5987" s="218"/>
      <c r="AW5987" s="218"/>
      <c r="AX5987" s="218"/>
      <c r="AY5987" s="428"/>
      <c r="AZ5987" s="429"/>
      <c r="BA5987" s="429"/>
      <c r="BB5987" s="429"/>
      <c r="BI5987" s="427"/>
      <c r="BJ5987" s="427"/>
      <c r="BK5987" s="427"/>
      <c r="BL5987" s="427"/>
      <c r="BM5987" s="427"/>
      <c r="BN5987" s="427"/>
      <c r="BO5987" s="427"/>
      <c r="BP5987" s="427"/>
      <c r="BQ5987" s="427"/>
      <c r="BR5987" s="427"/>
      <c r="BS5987" s="427"/>
      <c r="BT5987" s="427"/>
      <c r="BU5987" s="427"/>
      <c r="BV5987" s="427"/>
      <c r="BW5987" s="427"/>
      <c r="BX5987" s="427"/>
      <c r="BY5987" s="427"/>
      <c r="BZ5987" s="427"/>
    </row>
    <row r="5988" spans="2:78" s="152" customFormat="1" ht="15" x14ac:dyDescent="0.25">
      <c r="B5988" s="683"/>
      <c r="C5988" s="683"/>
      <c r="D5988" s="698"/>
      <c r="E5988" s="215"/>
      <c r="F5988" s="215"/>
      <c r="G5988" s="427"/>
      <c r="H5988" s="427"/>
      <c r="I5988" s="427"/>
      <c r="J5988" s="427"/>
      <c r="K5988" s="427"/>
      <c r="L5988" s="653"/>
      <c r="M5988" s="666">
        <v>26820</v>
      </c>
      <c r="N5988" s="600">
        <v>387.94080000000002</v>
      </c>
      <c r="O5988" s="620">
        <v>1.203388E-2</v>
      </c>
      <c r="P5988" s="782"/>
      <c r="Q5988" s="764"/>
      <c r="R5988" s="764"/>
      <c r="S5988" s="764"/>
      <c r="T5988" s="764"/>
      <c r="U5988" s="764"/>
      <c r="V5988" s="764"/>
      <c r="W5988" s="764"/>
      <c r="X5988" s="764"/>
      <c r="Y5988" s="768"/>
      <c r="Z5988" s="266"/>
      <c r="AA5988" s="150"/>
      <c r="AB5988" s="150">
        <v>11</v>
      </c>
      <c r="AC5988" s="231">
        <v>1.2E-4</v>
      </c>
      <c r="AD5988" s="150">
        <v>128.02000000000001</v>
      </c>
      <c r="AE5988" s="223">
        <v>3.6269999999999998</v>
      </c>
      <c r="AF5988" s="223">
        <f t="shared" si="51"/>
        <v>464.32854000000003</v>
      </c>
      <c r="AG5988" s="223">
        <v>0.82299999999999995</v>
      </c>
      <c r="AH5988" s="346"/>
      <c r="AI5988" s="427"/>
      <c r="AJ5988" s="480"/>
      <c r="AK5988" s="427"/>
      <c r="AU5988" s="218"/>
      <c r="AV5988" s="218"/>
      <c r="AW5988" s="218"/>
      <c r="AX5988" s="218"/>
      <c r="AY5988" s="428"/>
      <c r="AZ5988" s="429"/>
      <c r="BA5988" s="429"/>
      <c r="BB5988" s="429"/>
      <c r="BI5988" s="427"/>
      <c r="BJ5988" s="427"/>
      <c r="BK5988" s="427"/>
      <c r="BL5988" s="427"/>
      <c r="BM5988" s="427"/>
      <c r="BN5988" s="427"/>
      <c r="BO5988" s="427"/>
      <c r="BP5988" s="427"/>
      <c r="BQ5988" s="427"/>
      <c r="BR5988" s="427"/>
      <c r="BS5988" s="427"/>
      <c r="BT5988" s="427"/>
      <c r="BU5988" s="427"/>
      <c r="BV5988" s="427"/>
      <c r="BW5988" s="427"/>
      <c r="BX5988" s="427"/>
      <c r="BY5988" s="427"/>
      <c r="BZ5988" s="427"/>
    </row>
    <row r="5989" spans="2:78" s="152" customFormat="1" ht="15" x14ac:dyDescent="0.25">
      <c r="B5989" s="683"/>
      <c r="C5989" s="683"/>
      <c r="D5989" s="698"/>
      <c r="E5989" s="215"/>
      <c r="F5989" s="215"/>
      <c r="G5989" s="427"/>
      <c r="H5989" s="427"/>
      <c r="I5989" s="427"/>
      <c r="J5989" s="427"/>
      <c r="K5989" s="427"/>
      <c r="L5989" s="653"/>
      <c r="M5989" s="666">
        <v>26823</v>
      </c>
      <c r="N5989" s="600">
        <v>467.22800000000001</v>
      </c>
      <c r="O5989" s="620">
        <v>7.9278479999999998E-2</v>
      </c>
      <c r="P5989" s="782"/>
      <c r="Q5989" s="764"/>
      <c r="R5989" s="764"/>
      <c r="S5989" s="764"/>
      <c r="T5989" s="764"/>
      <c r="U5989" s="764"/>
      <c r="V5989" s="764"/>
      <c r="W5989" s="764"/>
      <c r="X5989" s="764"/>
      <c r="Y5989" s="768"/>
      <c r="Z5989" s="266"/>
      <c r="AA5989" s="150"/>
      <c r="AB5989" s="150">
        <v>12</v>
      </c>
      <c r="AC5989" s="231">
        <v>1.3999999999999999E-4</v>
      </c>
      <c r="AD5989" s="150">
        <v>129.54</v>
      </c>
      <c r="AE5989" s="223">
        <v>3.78</v>
      </c>
      <c r="AF5989" s="223">
        <f t="shared" si="51"/>
        <v>489.66119999999995</v>
      </c>
      <c r="AG5989" s="223">
        <v>0.94499999999999995</v>
      </c>
      <c r="AH5989" s="346"/>
      <c r="AI5989" s="427"/>
      <c r="AJ5989" s="480"/>
      <c r="AK5989" s="427"/>
      <c r="AU5989" s="218"/>
      <c r="AV5989" s="218"/>
      <c r="AW5989" s="218"/>
      <c r="AX5989" s="218"/>
      <c r="AY5989" s="428"/>
      <c r="AZ5989" s="429"/>
      <c r="BA5989" s="429"/>
      <c r="BB5989" s="429"/>
      <c r="BI5989" s="427"/>
      <c r="BJ5989" s="427"/>
      <c r="BK5989" s="427"/>
      <c r="BL5989" s="427"/>
      <c r="BM5989" s="427"/>
      <c r="BN5989" s="427"/>
      <c r="BO5989" s="427"/>
      <c r="BP5989" s="427"/>
      <c r="BQ5989" s="427"/>
      <c r="BR5989" s="427"/>
      <c r="BS5989" s="427"/>
      <c r="BT5989" s="427"/>
      <c r="BU5989" s="427"/>
      <c r="BV5989" s="427"/>
      <c r="BW5989" s="427"/>
      <c r="BX5989" s="427"/>
      <c r="BY5989" s="427"/>
      <c r="BZ5989" s="427"/>
    </row>
    <row r="5990" spans="2:78" s="152" customFormat="1" ht="15" x14ac:dyDescent="0.25">
      <c r="B5990" s="683"/>
      <c r="C5990" s="683"/>
      <c r="D5990" s="698"/>
      <c r="E5990" s="215"/>
      <c r="F5990" s="215"/>
      <c r="G5990" s="427"/>
      <c r="H5990" s="427"/>
      <c r="I5990" s="427"/>
      <c r="J5990" s="427"/>
      <c r="K5990" s="427"/>
      <c r="L5990" s="653"/>
      <c r="M5990" s="666">
        <v>26827</v>
      </c>
      <c r="N5990" s="600">
        <v>382.2774</v>
      </c>
      <c r="O5990" s="620">
        <v>3.0596780000000001E-2</v>
      </c>
      <c r="P5990" s="782"/>
      <c r="Q5990" s="764"/>
      <c r="R5990" s="764"/>
      <c r="S5990" s="764"/>
      <c r="T5990" s="764"/>
      <c r="U5990" s="764"/>
      <c r="V5990" s="764"/>
      <c r="W5990" s="764"/>
      <c r="X5990" s="764"/>
      <c r="Y5990" s="768"/>
      <c r="Z5990" s="266"/>
      <c r="AA5990" s="150"/>
      <c r="AB5990" s="150">
        <v>13</v>
      </c>
      <c r="AC5990" s="231">
        <v>1.2E-4</v>
      </c>
      <c r="AD5990" s="150">
        <v>128.02000000000001</v>
      </c>
      <c r="AE5990" s="223">
        <v>3.6269999999999998</v>
      </c>
      <c r="AF5990" s="223">
        <f t="shared" si="51"/>
        <v>464.32854000000003</v>
      </c>
      <c r="AG5990" s="223">
        <v>0.80800000000000005</v>
      </c>
      <c r="AH5990" s="346"/>
      <c r="AI5990" s="427"/>
      <c r="AJ5990" s="480"/>
      <c r="AK5990" s="427"/>
      <c r="AU5990" s="218"/>
      <c r="AV5990" s="218"/>
      <c r="AW5990" s="218"/>
      <c r="AX5990" s="218"/>
      <c r="AY5990" s="428"/>
      <c r="AZ5990" s="429"/>
      <c r="BA5990" s="429"/>
      <c r="BB5990" s="429"/>
      <c r="BI5990" s="427"/>
      <c r="BJ5990" s="427"/>
      <c r="BK5990" s="427"/>
      <c r="BL5990" s="427"/>
      <c r="BM5990" s="427"/>
      <c r="BN5990" s="427"/>
      <c r="BO5990" s="427"/>
      <c r="BP5990" s="427"/>
      <c r="BQ5990" s="427"/>
      <c r="BR5990" s="427"/>
      <c r="BS5990" s="427"/>
      <c r="BT5990" s="427"/>
      <c r="BU5990" s="427"/>
      <c r="BV5990" s="427"/>
      <c r="BW5990" s="427"/>
      <c r="BX5990" s="427"/>
      <c r="BY5990" s="427"/>
      <c r="BZ5990" s="427"/>
    </row>
    <row r="5991" spans="2:78" s="152" customFormat="1" ht="15" x14ac:dyDescent="0.25">
      <c r="B5991" s="683"/>
      <c r="C5991" s="683"/>
      <c r="D5991" s="698"/>
      <c r="E5991" s="215"/>
      <c r="F5991" s="215"/>
      <c r="G5991" s="427"/>
      <c r="H5991" s="427"/>
      <c r="I5991" s="427"/>
      <c r="J5991" s="427"/>
      <c r="K5991" s="427"/>
      <c r="L5991" s="653"/>
      <c r="M5991" s="666">
        <v>26828</v>
      </c>
      <c r="N5991" s="600">
        <v>362.4556</v>
      </c>
      <c r="O5991" s="620">
        <v>1.5558270000000001E-2</v>
      </c>
      <c r="P5991" s="782"/>
      <c r="Q5991" s="764"/>
      <c r="R5991" s="764"/>
      <c r="S5991" s="764"/>
      <c r="T5991" s="764"/>
      <c r="U5991" s="764"/>
      <c r="V5991" s="764"/>
      <c r="W5991" s="764"/>
      <c r="X5991" s="764"/>
      <c r="Y5991" s="768"/>
      <c r="Z5991" s="266"/>
      <c r="AA5991" s="150"/>
      <c r="AB5991" s="150">
        <v>14</v>
      </c>
      <c r="AC5991" s="231">
        <v>1.1E-4</v>
      </c>
      <c r="AD5991" s="150">
        <v>126.49</v>
      </c>
      <c r="AE5991" s="223">
        <v>3.597</v>
      </c>
      <c r="AF5991" s="223">
        <f t="shared" si="51"/>
        <v>454.98453000000001</v>
      </c>
      <c r="AG5991" s="223">
        <v>0.77700000000000002</v>
      </c>
      <c r="AH5991" s="346"/>
      <c r="AI5991" s="427"/>
      <c r="AJ5991" s="480"/>
      <c r="AK5991" s="427"/>
      <c r="AU5991" s="218"/>
      <c r="AV5991" s="218"/>
      <c r="AW5991" s="218"/>
      <c r="AX5991" s="218"/>
      <c r="AY5991" s="428"/>
      <c r="AZ5991" s="429"/>
      <c r="BA5991" s="429"/>
      <c r="BB5991" s="429"/>
      <c r="BI5991" s="427"/>
      <c r="BJ5991" s="427"/>
      <c r="BK5991" s="427"/>
      <c r="BL5991" s="427"/>
      <c r="BM5991" s="427"/>
      <c r="BN5991" s="427"/>
      <c r="BO5991" s="427"/>
      <c r="BP5991" s="427"/>
      <c r="BQ5991" s="427"/>
      <c r="BR5991" s="427"/>
      <c r="BS5991" s="427"/>
      <c r="BT5991" s="427"/>
      <c r="BU5991" s="427"/>
      <c r="BV5991" s="427"/>
      <c r="BW5991" s="427"/>
      <c r="BX5991" s="427"/>
      <c r="BY5991" s="427"/>
      <c r="BZ5991" s="427"/>
    </row>
    <row r="5992" spans="2:78" s="152" customFormat="1" ht="15" x14ac:dyDescent="0.25">
      <c r="B5992" s="683"/>
      <c r="C5992" s="683"/>
      <c r="D5992" s="698"/>
      <c r="E5992" s="215"/>
      <c r="F5992" s="215"/>
      <c r="G5992" s="427"/>
      <c r="H5992" s="427"/>
      <c r="I5992" s="427"/>
      <c r="J5992" s="427"/>
      <c r="K5992" s="427"/>
      <c r="L5992" s="653"/>
      <c r="M5992" s="666">
        <v>26834</v>
      </c>
      <c r="N5992" s="600">
        <v>495.54480000000001</v>
      </c>
      <c r="O5992" s="620">
        <v>0.21115019999999998</v>
      </c>
      <c r="P5992" s="782"/>
      <c r="Q5992" s="764"/>
      <c r="R5992" s="764"/>
      <c r="S5992" s="764"/>
      <c r="T5992" s="764"/>
      <c r="U5992" s="764"/>
      <c r="V5992" s="764"/>
      <c r="W5992" s="764"/>
      <c r="X5992" s="764"/>
      <c r="Y5992" s="768"/>
      <c r="Z5992" s="266"/>
      <c r="AA5992" s="150"/>
      <c r="AB5992" s="150">
        <v>15</v>
      </c>
      <c r="AC5992" s="231">
        <v>1.3999999999999999E-4</v>
      </c>
      <c r="AD5992" s="150">
        <v>129.54</v>
      </c>
      <c r="AE5992" s="223">
        <v>3.84</v>
      </c>
      <c r="AF5992" s="223">
        <f t="shared" si="51"/>
        <v>497.43359999999996</v>
      </c>
      <c r="AG5992" s="223">
        <v>0.97499999999999998</v>
      </c>
      <c r="AH5992" s="346"/>
      <c r="AI5992" s="427"/>
      <c r="AJ5992" s="480"/>
      <c r="AK5992" s="427"/>
      <c r="AU5992" s="218"/>
      <c r="AV5992" s="218"/>
      <c r="AW5992" s="218"/>
      <c r="AX5992" s="218"/>
      <c r="AY5992" s="428"/>
      <c r="AZ5992" s="429"/>
      <c r="BA5992" s="429"/>
      <c r="BB5992" s="429"/>
      <c r="BI5992" s="427"/>
      <c r="BJ5992" s="427"/>
      <c r="BK5992" s="427"/>
      <c r="BL5992" s="427"/>
      <c r="BM5992" s="427"/>
      <c r="BN5992" s="427"/>
      <c r="BO5992" s="427"/>
      <c r="BP5992" s="427"/>
      <c r="BQ5992" s="427"/>
      <c r="BR5992" s="427"/>
      <c r="BS5992" s="427"/>
      <c r="BT5992" s="427"/>
      <c r="BU5992" s="427"/>
      <c r="BV5992" s="427"/>
      <c r="BW5992" s="427"/>
      <c r="BX5992" s="427"/>
      <c r="BY5992" s="427"/>
      <c r="BZ5992" s="427"/>
    </row>
    <row r="5993" spans="2:78" s="152" customFormat="1" ht="15" x14ac:dyDescent="0.25">
      <c r="B5993" s="683"/>
      <c r="C5993" s="683"/>
      <c r="D5993" s="698"/>
      <c r="E5993" s="215"/>
      <c r="F5993" s="215"/>
      <c r="G5993" s="427"/>
      <c r="H5993" s="427"/>
      <c r="I5993" s="427"/>
      <c r="J5993" s="427"/>
      <c r="K5993" s="427"/>
      <c r="L5993" s="653"/>
      <c r="M5993" s="666">
        <v>26835</v>
      </c>
      <c r="N5993" s="600">
        <v>365.28730000000002</v>
      </c>
      <c r="O5993" s="620">
        <v>7.6399960000000005E-3</v>
      </c>
      <c r="P5993" s="782"/>
      <c r="Q5993" s="764"/>
      <c r="R5993" s="764"/>
      <c r="S5993" s="764"/>
      <c r="T5993" s="764"/>
      <c r="U5993" s="764"/>
      <c r="V5993" s="764"/>
      <c r="W5993" s="764"/>
      <c r="X5993" s="764"/>
      <c r="Y5993" s="768"/>
      <c r="Z5993" s="266"/>
      <c r="AA5993" s="150"/>
      <c r="AB5993" s="150">
        <v>16</v>
      </c>
      <c r="AC5993" s="231">
        <v>1.1E-4</v>
      </c>
      <c r="AD5993" s="150">
        <v>126.49</v>
      </c>
      <c r="AE5993" s="223">
        <v>3.597</v>
      </c>
      <c r="AF5993" s="223">
        <f t="shared" si="51"/>
        <v>454.98453000000001</v>
      </c>
      <c r="AG5993" s="223">
        <v>0.79200000000000004</v>
      </c>
      <c r="AH5993" s="346"/>
      <c r="AI5993" s="427"/>
      <c r="AJ5993" s="480"/>
      <c r="AK5993" s="427"/>
      <c r="AU5993" s="218"/>
      <c r="AV5993" s="218"/>
      <c r="AW5993" s="218"/>
      <c r="AX5993" s="218"/>
      <c r="AY5993" s="428"/>
      <c r="AZ5993" s="429"/>
      <c r="BA5993" s="429"/>
      <c r="BB5993" s="429"/>
      <c r="BI5993" s="427"/>
      <c r="BJ5993" s="427"/>
      <c r="BK5993" s="427"/>
      <c r="BL5993" s="427"/>
      <c r="BM5993" s="427"/>
      <c r="BN5993" s="427"/>
      <c r="BO5993" s="427"/>
      <c r="BP5993" s="427"/>
      <c r="BQ5993" s="427"/>
      <c r="BR5993" s="427"/>
      <c r="BS5993" s="427"/>
      <c r="BT5993" s="427"/>
      <c r="BU5993" s="427"/>
      <c r="BV5993" s="427"/>
      <c r="BW5993" s="427"/>
      <c r="BX5993" s="427"/>
      <c r="BY5993" s="427"/>
      <c r="BZ5993" s="427"/>
    </row>
    <row r="5994" spans="2:78" s="152" customFormat="1" ht="15" x14ac:dyDescent="0.25">
      <c r="B5994" s="683"/>
      <c r="C5994" s="683"/>
      <c r="D5994" s="698"/>
      <c r="E5994" s="215"/>
      <c r="F5994" s="215"/>
      <c r="G5994" s="427"/>
      <c r="H5994" s="427"/>
      <c r="I5994" s="427"/>
      <c r="J5994" s="427"/>
      <c r="K5994" s="427"/>
      <c r="L5994" s="653"/>
      <c r="M5994" s="666">
        <v>27065</v>
      </c>
      <c r="N5994" s="600">
        <v>722.07960000000003</v>
      </c>
      <c r="O5994" s="620">
        <v>0.44792739999999998</v>
      </c>
      <c r="P5994" s="782"/>
      <c r="Q5994" s="764"/>
      <c r="R5994" s="764"/>
      <c r="S5994" s="764"/>
      <c r="T5994" s="764"/>
      <c r="U5994" s="764"/>
      <c r="V5994" s="764"/>
      <c r="W5994" s="764"/>
      <c r="X5994" s="764"/>
      <c r="Y5994" s="768"/>
      <c r="Z5994" s="266"/>
      <c r="AA5994" s="150"/>
      <c r="AB5994" s="150">
        <v>17</v>
      </c>
      <c r="AC5994" s="231">
        <v>1.9000000000000001E-4</v>
      </c>
      <c r="AD5994" s="150">
        <v>134.11000000000001</v>
      </c>
      <c r="AE5994" s="223">
        <v>4.1449999999999996</v>
      </c>
      <c r="AF5994" s="223">
        <f t="shared" si="51"/>
        <v>555.88594999999998</v>
      </c>
      <c r="AG5994" s="223">
        <v>1.2949999999999999</v>
      </c>
      <c r="AH5994" s="346"/>
      <c r="AI5994" s="427"/>
      <c r="AJ5994" s="480"/>
      <c r="AK5994" s="427"/>
      <c r="AU5994" s="218"/>
      <c r="AV5994" s="218"/>
      <c r="AW5994" s="218"/>
      <c r="AX5994" s="218"/>
      <c r="AY5994" s="428"/>
      <c r="AZ5994" s="429"/>
      <c r="BA5994" s="429"/>
      <c r="BB5994" s="429"/>
      <c r="BI5994" s="427"/>
      <c r="BJ5994" s="427"/>
      <c r="BK5994" s="427"/>
      <c r="BL5994" s="427"/>
      <c r="BM5994" s="427"/>
      <c r="BN5994" s="427"/>
      <c r="BO5994" s="427"/>
      <c r="BP5994" s="427"/>
      <c r="BQ5994" s="427"/>
      <c r="BR5994" s="427"/>
      <c r="BS5994" s="427"/>
      <c r="BT5994" s="427"/>
      <c r="BU5994" s="427"/>
      <c r="BV5994" s="427"/>
      <c r="BW5994" s="427"/>
      <c r="BX5994" s="427"/>
      <c r="BY5994" s="427"/>
      <c r="BZ5994" s="427"/>
    </row>
    <row r="5995" spans="2:78" s="152" customFormat="1" ht="15" x14ac:dyDescent="0.25">
      <c r="B5995" s="683"/>
      <c r="C5995" s="683"/>
      <c r="D5995" s="698"/>
      <c r="E5995" s="215"/>
      <c r="F5995" s="215"/>
      <c r="G5995" s="427"/>
      <c r="H5995" s="427"/>
      <c r="I5995" s="427"/>
      <c r="J5995" s="427"/>
      <c r="K5995" s="427"/>
      <c r="L5995" s="653"/>
      <c r="M5995" s="666">
        <v>27101</v>
      </c>
      <c r="N5995" s="600">
        <v>891.98069999999996</v>
      </c>
      <c r="O5995" s="620">
        <v>1.2383932</v>
      </c>
      <c r="P5995" s="782"/>
      <c r="Q5995" s="764"/>
      <c r="R5995" s="764"/>
      <c r="S5995" s="764"/>
      <c r="T5995" s="764"/>
      <c r="U5995" s="764"/>
      <c r="V5995" s="764"/>
      <c r="W5995" s="764"/>
      <c r="X5995" s="764"/>
      <c r="Y5995" s="768"/>
      <c r="Z5995" s="266"/>
      <c r="AA5995" s="150"/>
      <c r="AB5995" s="150">
        <v>18</v>
      </c>
      <c r="AC5995" s="231">
        <v>2.3000000000000001E-4</v>
      </c>
      <c r="AD5995" s="150">
        <v>135.63999999999999</v>
      </c>
      <c r="AE5995" s="223">
        <v>4.3280000000000003</v>
      </c>
      <c r="AF5995" s="223">
        <f t="shared" si="51"/>
        <v>587.04991999999993</v>
      </c>
      <c r="AG5995" s="223">
        <v>1.5089999999999999</v>
      </c>
      <c r="AH5995" s="346"/>
      <c r="AI5995" s="427"/>
      <c r="AJ5995" s="480"/>
      <c r="AK5995" s="427"/>
      <c r="AU5995" s="218"/>
      <c r="AV5995" s="218"/>
      <c r="AW5995" s="218"/>
      <c r="AX5995" s="218"/>
      <c r="AY5995" s="428"/>
      <c r="AZ5995" s="429"/>
      <c r="BA5995" s="429"/>
      <c r="BB5995" s="429"/>
      <c r="BI5995" s="427"/>
      <c r="BJ5995" s="427"/>
      <c r="BK5995" s="427"/>
      <c r="BL5995" s="427"/>
      <c r="BM5995" s="427"/>
      <c r="BN5995" s="427"/>
      <c r="BO5995" s="427"/>
      <c r="BP5995" s="427"/>
      <c r="BQ5995" s="427"/>
      <c r="BR5995" s="427"/>
      <c r="BS5995" s="427"/>
      <c r="BT5995" s="427"/>
      <c r="BU5995" s="427"/>
      <c r="BV5995" s="427"/>
      <c r="BW5995" s="427"/>
      <c r="BX5995" s="427"/>
      <c r="BY5995" s="427"/>
      <c r="BZ5995" s="427"/>
    </row>
    <row r="5996" spans="2:78" s="152" customFormat="1" ht="15" x14ac:dyDescent="0.25">
      <c r="B5996" s="683"/>
      <c r="C5996" s="683"/>
      <c r="D5996" s="698"/>
      <c r="E5996" s="215"/>
      <c r="F5996" s="215"/>
      <c r="G5996" s="427"/>
      <c r="H5996" s="427"/>
      <c r="I5996" s="427"/>
      <c r="J5996" s="427"/>
      <c r="K5996" s="427"/>
      <c r="L5996" s="653"/>
      <c r="M5996" s="666">
        <v>27115</v>
      </c>
      <c r="N5996" s="600">
        <v>849.50540000000001</v>
      </c>
      <c r="O5996" s="620">
        <v>0.20481639999999998</v>
      </c>
      <c r="P5996" s="782"/>
      <c r="Q5996" s="764"/>
      <c r="R5996" s="764"/>
      <c r="S5996" s="764"/>
      <c r="T5996" s="764"/>
      <c r="U5996" s="764"/>
      <c r="V5996" s="764"/>
      <c r="W5996" s="764"/>
      <c r="X5996" s="764"/>
      <c r="Y5996" s="768"/>
      <c r="Z5996" s="266"/>
      <c r="AA5996" s="150"/>
      <c r="AB5996" s="150">
        <v>19</v>
      </c>
      <c r="AC5996" s="231">
        <v>2.2000000000000001E-4</v>
      </c>
      <c r="AD5996" s="150">
        <v>135.63999999999999</v>
      </c>
      <c r="AE5996" s="223">
        <v>4.298</v>
      </c>
      <c r="AF5996" s="223">
        <f t="shared" si="51"/>
        <v>582.98071999999991</v>
      </c>
      <c r="AG5996" s="223">
        <v>1.448</v>
      </c>
      <c r="AH5996" s="346"/>
      <c r="AI5996" s="427"/>
      <c r="AJ5996" s="480"/>
      <c r="AK5996" s="427"/>
      <c r="AU5996" s="218"/>
      <c r="AV5996" s="218"/>
      <c r="AW5996" s="218"/>
      <c r="AX5996" s="218"/>
      <c r="AY5996" s="428"/>
      <c r="AZ5996" s="429"/>
      <c r="BA5996" s="429"/>
      <c r="BB5996" s="429"/>
      <c r="BI5996" s="427"/>
      <c r="BJ5996" s="427"/>
      <c r="BK5996" s="427"/>
      <c r="BL5996" s="427"/>
      <c r="BM5996" s="427"/>
      <c r="BN5996" s="427"/>
      <c r="BO5996" s="427"/>
      <c r="BP5996" s="427"/>
      <c r="BQ5996" s="427"/>
      <c r="BR5996" s="427"/>
      <c r="BS5996" s="427"/>
      <c r="BT5996" s="427"/>
      <c r="BU5996" s="427"/>
      <c r="BV5996" s="427"/>
      <c r="BW5996" s="427"/>
      <c r="BX5996" s="427"/>
      <c r="BY5996" s="427"/>
      <c r="BZ5996" s="427"/>
    </row>
    <row r="5997" spans="2:78" s="152" customFormat="1" ht="15" x14ac:dyDescent="0.25">
      <c r="B5997" s="683"/>
      <c r="C5997" s="683"/>
      <c r="D5997" s="698"/>
      <c r="E5997" s="215"/>
      <c r="F5997" s="215"/>
      <c r="G5997" s="427"/>
      <c r="H5997" s="427"/>
      <c r="I5997" s="427"/>
      <c r="J5997" s="427"/>
      <c r="K5997" s="427"/>
      <c r="L5997" s="653"/>
      <c r="M5997" s="666">
        <v>27129</v>
      </c>
      <c r="N5997" s="600">
        <v>1203.4659999999999</v>
      </c>
      <c r="O5997" s="620">
        <v>0.63654119999999992</v>
      </c>
      <c r="P5997" s="782"/>
      <c r="Q5997" s="764"/>
      <c r="R5997" s="764"/>
      <c r="S5997" s="764"/>
      <c r="T5997" s="764"/>
      <c r="U5997" s="764"/>
      <c r="V5997" s="764"/>
      <c r="W5997" s="764"/>
      <c r="X5997" s="764"/>
      <c r="Y5997" s="768"/>
      <c r="Z5997" s="266"/>
      <c r="AA5997" s="150"/>
      <c r="AB5997" s="150">
        <v>20</v>
      </c>
      <c r="AC5997" s="231">
        <v>2.9E-4</v>
      </c>
      <c r="AD5997" s="150">
        <v>138.68</v>
      </c>
      <c r="AE5997" s="223">
        <v>46.33</v>
      </c>
      <c r="AF5997" s="223">
        <f t="shared" si="51"/>
        <v>6425.0443999999998</v>
      </c>
      <c r="AG5997" s="223">
        <v>1.875</v>
      </c>
      <c r="AH5997" s="346"/>
      <c r="AI5997" s="427"/>
      <c r="AJ5997" s="480"/>
      <c r="AK5997" s="427"/>
      <c r="AU5997" s="218"/>
      <c r="AV5997" s="218"/>
      <c r="AW5997" s="218"/>
      <c r="AX5997" s="218"/>
      <c r="AY5997" s="428"/>
      <c r="AZ5997" s="429"/>
      <c r="BA5997" s="429"/>
      <c r="BB5997" s="429"/>
      <c r="BI5997" s="427"/>
      <c r="BJ5997" s="427"/>
      <c r="BK5997" s="427"/>
      <c r="BL5997" s="427"/>
      <c r="BM5997" s="427"/>
      <c r="BN5997" s="427"/>
      <c r="BO5997" s="427"/>
      <c r="BP5997" s="427"/>
      <c r="BQ5997" s="427"/>
      <c r="BR5997" s="427"/>
      <c r="BS5997" s="427"/>
      <c r="BT5997" s="427"/>
      <c r="BU5997" s="427"/>
      <c r="BV5997" s="427"/>
      <c r="BW5997" s="427"/>
      <c r="BX5997" s="427"/>
      <c r="BY5997" s="427"/>
      <c r="BZ5997" s="427"/>
    </row>
    <row r="5998" spans="2:78" s="152" customFormat="1" ht="15" x14ac:dyDescent="0.25">
      <c r="B5998" s="683"/>
      <c r="C5998" s="683"/>
      <c r="D5998" s="698"/>
      <c r="E5998" s="215"/>
      <c r="F5998" s="215"/>
      <c r="G5998" s="427"/>
      <c r="H5998" s="427"/>
      <c r="I5998" s="427"/>
      <c r="J5998" s="427"/>
      <c r="K5998" s="427"/>
      <c r="L5998" s="653"/>
      <c r="M5998" s="666">
        <v>27142</v>
      </c>
      <c r="N5998" s="600">
        <v>1132.6739</v>
      </c>
      <c r="O5998" s="620">
        <v>1.1521440000000001</v>
      </c>
      <c r="P5998" s="782"/>
      <c r="Q5998" s="764"/>
      <c r="R5998" s="764"/>
      <c r="S5998" s="764"/>
      <c r="T5998" s="764"/>
      <c r="U5998" s="764"/>
      <c r="V5998" s="764"/>
      <c r="W5998" s="764"/>
      <c r="X5998" s="764"/>
      <c r="Y5998" s="768"/>
      <c r="Z5998" s="266"/>
      <c r="AA5998" s="150"/>
      <c r="AB5998" s="150">
        <v>21</v>
      </c>
      <c r="AC5998" s="231">
        <v>2.7999999999999998E-4</v>
      </c>
      <c r="AD5998" s="150">
        <v>137.16</v>
      </c>
      <c r="AE5998" s="223">
        <v>4.5720000000000001</v>
      </c>
      <c r="AF5998" s="223">
        <f t="shared" si="51"/>
        <v>627.09551999999996</v>
      </c>
      <c r="AG5998" s="223">
        <v>1.798</v>
      </c>
      <c r="AH5998" s="346"/>
      <c r="AI5998" s="427"/>
      <c r="AJ5998" s="480"/>
      <c r="AK5998" s="427"/>
      <c r="AU5998" s="218"/>
      <c r="AV5998" s="218"/>
      <c r="AW5998" s="218"/>
      <c r="AX5998" s="218"/>
      <c r="AY5998" s="428"/>
      <c r="AZ5998" s="429"/>
      <c r="BA5998" s="429"/>
      <c r="BB5998" s="429"/>
      <c r="BI5998" s="427"/>
      <c r="BJ5998" s="427"/>
      <c r="BK5998" s="427"/>
      <c r="BL5998" s="427"/>
      <c r="BM5998" s="427"/>
      <c r="BN5998" s="427"/>
      <c r="BO5998" s="427"/>
      <c r="BP5998" s="427"/>
      <c r="BQ5998" s="427"/>
      <c r="BR5998" s="427"/>
      <c r="BS5998" s="427"/>
      <c r="BT5998" s="427"/>
      <c r="BU5998" s="427"/>
      <c r="BV5998" s="427"/>
      <c r="BW5998" s="427"/>
      <c r="BX5998" s="427"/>
      <c r="BY5998" s="427"/>
      <c r="BZ5998" s="427"/>
    </row>
    <row r="5999" spans="2:78" s="152" customFormat="1" ht="15" x14ac:dyDescent="0.25">
      <c r="B5999" s="683"/>
      <c r="C5999" s="683"/>
      <c r="D5999" s="698"/>
      <c r="E5999" s="215"/>
      <c r="F5999" s="215"/>
      <c r="G5999" s="427"/>
      <c r="H5999" s="427"/>
      <c r="I5999" s="427"/>
      <c r="J5999" s="427"/>
      <c r="K5999" s="427"/>
      <c r="L5999" s="653"/>
      <c r="M5999" s="666">
        <v>27157</v>
      </c>
      <c r="N5999" s="600">
        <v>1812.2782</v>
      </c>
      <c r="O5999" s="620">
        <v>6.0742240000000001</v>
      </c>
      <c r="P5999" s="782"/>
      <c r="Q5999" s="764"/>
      <c r="R5999" s="764"/>
      <c r="S5999" s="764"/>
      <c r="T5999" s="764"/>
      <c r="U5999" s="764"/>
      <c r="V5999" s="764"/>
      <c r="W5999" s="764"/>
      <c r="X5999" s="764"/>
      <c r="Y5999" s="768"/>
      <c r="Z5999" s="266"/>
      <c r="AA5999" s="150"/>
      <c r="AB5999" s="150">
        <v>22</v>
      </c>
      <c r="AC5999" s="231">
        <v>4.0000000000000002E-4</v>
      </c>
      <c r="AD5999" s="150">
        <v>143.26</v>
      </c>
      <c r="AE5999" s="223">
        <v>5.0599999999999996</v>
      </c>
      <c r="AF5999" s="223">
        <f t="shared" si="51"/>
        <v>724.89559999999994</v>
      </c>
      <c r="AG5999" s="223">
        <v>2.5299999999999998</v>
      </c>
      <c r="AH5999" s="346"/>
      <c r="AI5999" s="427"/>
      <c r="AJ5999" s="480"/>
      <c r="AK5999" s="427"/>
      <c r="AU5999" s="218"/>
      <c r="AV5999" s="218"/>
      <c r="AW5999" s="218"/>
      <c r="AX5999" s="218"/>
      <c r="AY5999" s="428"/>
      <c r="AZ5999" s="429"/>
      <c r="BA5999" s="429"/>
      <c r="BB5999" s="429"/>
      <c r="BI5999" s="427"/>
      <c r="BJ5999" s="427"/>
      <c r="BK5999" s="427"/>
      <c r="BL5999" s="427"/>
      <c r="BM5999" s="427"/>
      <c r="BN5999" s="427"/>
      <c r="BO5999" s="427"/>
      <c r="BP5999" s="427"/>
      <c r="BQ5999" s="427"/>
      <c r="BR5999" s="427"/>
      <c r="BS5999" s="427"/>
      <c r="BT5999" s="427"/>
      <c r="BU5999" s="427"/>
      <c r="BV5999" s="427"/>
      <c r="BW5999" s="427"/>
      <c r="BX5999" s="427"/>
      <c r="BY5999" s="427"/>
      <c r="BZ5999" s="427"/>
    </row>
    <row r="6000" spans="2:78" s="152" customFormat="1" ht="15" x14ac:dyDescent="0.25">
      <c r="B6000" s="683"/>
      <c r="C6000" s="683"/>
      <c r="D6000" s="698"/>
      <c r="E6000" s="215"/>
      <c r="F6000" s="215"/>
      <c r="G6000" s="427"/>
      <c r="H6000" s="427"/>
      <c r="I6000" s="427"/>
      <c r="J6000" s="427"/>
      <c r="K6000" s="427"/>
      <c r="L6000" s="653"/>
      <c r="M6000" s="666">
        <v>27164</v>
      </c>
      <c r="N6000" s="600">
        <v>792.87170000000003</v>
      </c>
      <c r="O6000" s="620">
        <v>0.43049310000000007</v>
      </c>
      <c r="P6000" s="782"/>
      <c r="Q6000" s="764"/>
      <c r="R6000" s="764"/>
      <c r="S6000" s="764"/>
      <c r="T6000" s="764"/>
      <c r="U6000" s="764"/>
      <c r="V6000" s="764"/>
      <c r="W6000" s="764"/>
      <c r="X6000" s="764"/>
      <c r="Y6000" s="768"/>
      <c r="Z6000" s="266"/>
      <c r="AA6000" s="150"/>
      <c r="AB6000" s="150">
        <v>23</v>
      </c>
      <c r="AC6000" s="231">
        <v>2.1000000000000001E-4</v>
      </c>
      <c r="AD6000" s="150">
        <v>134.11000000000001</v>
      </c>
      <c r="AE6000" s="223">
        <v>4.2370000000000001</v>
      </c>
      <c r="AF6000" s="223">
        <f t="shared" si="51"/>
        <v>568.2240700000001</v>
      </c>
      <c r="AG6000" s="223">
        <v>1.387</v>
      </c>
      <c r="AH6000" s="346"/>
      <c r="AI6000" s="427"/>
      <c r="AJ6000" s="480"/>
      <c r="AK6000" s="427"/>
      <c r="AU6000" s="218"/>
      <c r="AV6000" s="218"/>
      <c r="AW6000" s="218"/>
      <c r="AX6000" s="218"/>
      <c r="AY6000" s="428"/>
      <c r="AZ6000" s="429"/>
      <c r="BA6000" s="429"/>
      <c r="BB6000" s="429"/>
      <c r="BI6000" s="427"/>
      <c r="BJ6000" s="427"/>
      <c r="BK6000" s="427"/>
      <c r="BL6000" s="427"/>
      <c r="BM6000" s="427"/>
      <c r="BN6000" s="427"/>
      <c r="BO6000" s="427"/>
      <c r="BP6000" s="427"/>
      <c r="BQ6000" s="427"/>
      <c r="BR6000" s="427"/>
      <c r="BS6000" s="427"/>
      <c r="BT6000" s="427"/>
      <c r="BU6000" s="427"/>
      <c r="BV6000" s="427"/>
      <c r="BW6000" s="427"/>
      <c r="BX6000" s="427"/>
      <c r="BY6000" s="427"/>
      <c r="BZ6000" s="427"/>
    </row>
    <row r="6001" spans="2:78" s="152" customFormat="1" ht="15" x14ac:dyDescent="0.25">
      <c r="B6001" s="683"/>
      <c r="C6001" s="683"/>
      <c r="D6001" s="698"/>
      <c r="E6001" s="215"/>
      <c r="F6001" s="215"/>
      <c r="G6001" s="427"/>
      <c r="H6001" s="427"/>
      <c r="I6001" s="427"/>
      <c r="J6001" s="427"/>
      <c r="K6001" s="427"/>
      <c r="L6001" s="653"/>
      <c r="M6001" s="666">
        <v>27172</v>
      </c>
      <c r="N6001" s="600">
        <v>622.97059999999999</v>
      </c>
      <c r="O6001" s="620">
        <v>7.239414000000001E-2</v>
      </c>
      <c r="P6001" s="782"/>
      <c r="Q6001" s="764"/>
      <c r="R6001" s="764"/>
      <c r="S6001" s="764"/>
      <c r="T6001" s="764"/>
      <c r="U6001" s="764"/>
      <c r="V6001" s="764"/>
      <c r="W6001" s="764"/>
      <c r="X6001" s="764"/>
      <c r="Y6001" s="768"/>
      <c r="Z6001" s="266"/>
      <c r="AA6001" s="150"/>
      <c r="AB6001" s="150">
        <v>24</v>
      </c>
      <c r="AC6001" s="231">
        <v>1.7000000000000001E-4</v>
      </c>
      <c r="AD6001" s="150">
        <v>132.59</v>
      </c>
      <c r="AE6001" s="223">
        <v>4.0229999999999997</v>
      </c>
      <c r="AF6001" s="223">
        <f t="shared" si="51"/>
        <v>533.40956999999992</v>
      </c>
      <c r="AG6001" s="223">
        <v>1.1579999999999999</v>
      </c>
      <c r="AH6001" s="346"/>
      <c r="AI6001" s="427"/>
      <c r="AJ6001" s="480"/>
      <c r="AK6001" s="427"/>
      <c r="AU6001" s="218"/>
      <c r="AV6001" s="218"/>
      <c r="AW6001" s="218"/>
      <c r="AX6001" s="218"/>
      <c r="AY6001" s="428"/>
      <c r="AZ6001" s="429"/>
      <c r="BA6001" s="429"/>
      <c r="BB6001" s="429"/>
      <c r="BI6001" s="427"/>
      <c r="BJ6001" s="427"/>
      <c r="BK6001" s="427"/>
      <c r="BL6001" s="427"/>
      <c r="BM6001" s="427"/>
      <c r="BN6001" s="427"/>
      <c r="BO6001" s="427"/>
      <c r="BP6001" s="427"/>
      <c r="BQ6001" s="427"/>
      <c r="BR6001" s="427"/>
      <c r="BS6001" s="427"/>
      <c r="BT6001" s="427"/>
      <c r="BU6001" s="427"/>
      <c r="BV6001" s="427"/>
      <c r="BW6001" s="427"/>
      <c r="BX6001" s="427"/>
      <c r="BY6001" s="427"/>
      <c r="BZ6001" s="427"/>
    </row>
    <row r="6002" spans="2:78" s="152" customFormat="1" ht="15" x14ac:dyDescent="0.25">
      <c r="B6002" s="683"/>
      <c r="C6002" s="683"/>
      <c r="D6002" s="698"/>
      <c r="E6002" s="215"/>
      <c r="F6002" s="215"/>
      <c r="G6002" s="427"/>
      <c r="H6002" s="427"/>
      <c r="I6002" s="427"/>
      <c r="J6002" s="427"/>
      <c r="K6002" s="427"/>
      <c r="L6002" s="653"/>
      <c r="M6002" s="666">
        <v>27184</v>
      </c>
      <c r="N6002" s="600">
        <v>1727.3276000000001</v>
      </c>
      <c r="O6002" s="620">
        <v>15.448569999999998</v>
      </c>
      <c r="P6002" s="782"/>
      <c r="Q6002" s="764"/>
      <c r="R6002" s="764"/>
      <c r="S6002" s="764"/>
      <c r="T6002" s="764"/>
      <c r="U6002" s="764"/>
      <c r="V6002" s="764"/>
      <c r="W6002" s="764"/>
      <c r="X6002" s="764"/>
      <c r="Y6002" s="768"/>
      <c r="Z6002" s="266"/>
      <c r="AA6002" s="150"/>
      <c r="AB6002" s="150">
        <v>25</v>
      </c>
      <c r="AC6002" s="231">
        <v>3.8999999999999999E-4</v>
      </c>
      <c r="AD6002" s="150">
        <v>141.72999999999999</v>
      </c>
      <c r="AE6002" s="223">
        <v>4.9989999999999997</v>
      </c>
      <c r="AF6002" s="223">
        <f t="shared" si="51"/>
        <v>708.50826999999992</v>
      </c>
      <c r="AG6002" s="223">
        <v>2.4380000000000002</v>
      </c>
      <c r="AH6002" s="346"/>
      <c r="AI6002" s="427"/>
      <c r="AJ6002" s="480"/>
      <c r="AK6002" s="427"/>
      <c r="AU6002" s="218"/>
      <c r="AV6002" s="218"/>
      <c r="AW6002" s="218"/>
      <c r="AX6002" s="218"/>
      <c r="AY6002" s="428"/>
      <c r="AZ6002" s="429"/>
      <c r="BA6002" s="429"/>
      <c r="BB6002" s="429"/>
      <c r="BI6002" s="427"/>
      <c r="BJ6002" s="427"/>
      <c r="BK6002" s="427"/>
      <c r="BL6002" s="427"/>
      <c r="BM6002" s="427"/>
      <c r="BN6002" s="427"/>
      <c r="BO6002" s="427"/>
      <c r="BP6002" s="427"/>
      <c r="BQ6002" s="427"/>
      <c r="BR6002" s="427"/>
      <c r="BS6002" s="427"/>
      <c r="BT6002" s="427"/>
      <c r="BU6002" s="427"/>
      <c r="BV6002" s="427"/>
      <c r="BW6002" s="427"/>
      <c r="BX6002" s="427"/>
      <c r="BY6002" s="427"/>
      <c r="BZ6002" s="427"/>
    </row>
    <row r="6003" spans="2:78" s="152" customFormat="1" ht="15" x14ac:dyDescent="0.25">
      <c r="B6003" s="683"/>
      <c r="C6003" s="683"/>
      <c r="D6003" s="698"/>
      <c r="E6003" s="215"/>
      <c r="F6003" s="215"/>
      <c r="G6003" s="427"/>
      <c r="H6003" s="427"/>
      <c r="I6003" s="427"/>
      <c r="J6003" s="427"/>
      <c r="K6003" s="427"/>
      <c r="L6003" s="653"/>
      <c r="M6003" s="666">
        <v>27186</v>
      </c>
      <c r="N6003" s="600">
        <v>2265.3476999999998</v>
      </c>
      <c r="O6003" s="620">
        <v>2.2151340000000004</v>
      </c>
      <c r="P6003" s="782"/>
      <c r="Q6003" s="764"/>
      <c r="R6003" s="764"/>
      <c r="S6003" s="764"/>
      <c r="T6003" s="764"/>
      <c r="U6003" s="764"/>
      <c r="V6003" s="764"/>
      <c r="W6003" s="764"/>
      <c r="X6003" s="764"/>
      <c r="Y6003" s="768"/>
      <c r="Z6003" s="266"/>
      <c r="AA6003" s="150"/>
      <c r="AB6003" s="150">
        <v>26</v>
      </c>
      <c r="AC6003" s="231">
        <v>4.6999999999999999E-4</v>
      </c>
      <c r="AD6003" s="150">
        <v>144.78</v>
      </c>
      <c r="AE6003" s="223">
        <v>5.3040000000000003</v>
      </c>
      <c r="AF6003" s="223">
        <f t="shared" si="51"/>
        <v>767.91312000000005</v>
      </c>
      <c r="AG6003" s="223">
        <v>2.972</v>
      </c>
      <c r="AH6003" s="346"/>
      <c r="AI6003" s="427"/>
      <c r="AJ6003" s="480"/>
      <c r="AK6003" s="427"/>
      <c r="AU6003" s="218"/>
      <c r="AV6003" s="218"/>
      <c r="AW6003" s="218"/>
      <c r="AX6003" s="218"/>
      <c r="AY6003" s="428"/>
      <c r="AZ6003" s="429"/>
      <c r="BA6003" s="429"/>
      <c r="BB6003" s="429"/>
      <c r="BI6003" s="427"/>
      <c r="BJ6003" s="427"/>
      <c r="BK6003" s="427"/>
      <c r="BL6003" s="427"/>
      <c r="BM6003" s="427"/>
      <c r="BN6003" s="427"/>
      <c r="BO6003" s="427"/>
      <c r="BP6003" s="427"/>
      <c r="BQ6003" s="427"/>
      <c r="BR6003" s="427"/>
      <c r="BS6003" s="427"/>
      <c r="BT6003" s="427"/>
      <c r="BU6003" s="427"/>
      <c r="BV6003" s="427"/>
      <c r="BW6003" s="427"/>
      <c r="BX6003" s="427"/>
      <c r="BY6003" s="427"/>
      <c r="BZ6003" s="427"/>
    </row>
    <row r="6004" spans="2:78" s="152" customFormat="1" ht="15" x14ac:dyDescent="0.25">
      <c r="B6004" s="683"/>
      <c r="C6004" s="683"/>
      <c r="D6004" s="698"/>
      <c r="E6004" s="215"/>
      <c r="F6004" s="215"/>
      <c r="G6004" s="427"/>
      <c r="H6004" s="427"/>
      <c r="I6004" s="427"/>
      <c r="J6004" s="427"/>
      <c r="K6004" s="427"/>
      <c r="L6004" s="653"/>
      <c r="M6004" s="666">
        <v>27192</v>
      </c>
      <c r="N6004" s="600">
        <v>1699.0108</v>
      </c>
      <c r="O6004" s="620">
        <v>4.1243429999999996</v>
      </c>
      <c r="P6004" s="782"/>
      <c r="Q6004" s="764"/>
      <c r="R6004" s="764"/>
      <c r="S6004" s="764"/>
      <c r="T6004" s="764"/>
      <c r="U6004" s="764"/>
      <c r="V6004" s="764"/>
      <c r="W6004" s="764"/>
      <c r="X6004" s="764"/>
      <c r="Y6004" s="768"/>
      <c r="Z6004" s="266"/>
      <c r="AA6004" s="150"/>
      <c r="AB6004" s="150">
        <v>27</v>
      </c>
      <c r="AC6004" s="231">
        <v>3.8000000000000002E-4</v>
      </c>
      <c r="AD6004" s="150">
        <v>141.72999999999999</v>
      </c>
      <c r="AE6004" s="223">
        <v>4.9989999999999997</v>
      </c>
      <c r="AF6004" s="223">
        <f t="shared" si="51"/>
        <v>708.50826999999992</v>
      </c>
      <c r="AG6004" s="223">
        <v>2.4079999999999999</v>
      </c>
      <c r="AH6004" s="346"/>
      <c r="AI6004" s="427"/>
      <c r="AJ6004" s="480"/>
      <c r="AK6004" s="427"/>
      <c r="AU6004" s="218"/>
      <c r="AV6004" s="218"/>
      <c r="AW6004" s="218"/>
      <c r="AX6004" s="218"/>
      <c r="AY6004" s="428"/>
      <c r="AZ6004" s="429"/>
      <c r="BA6004" s="429"/>
      <c r="BB6004" s="429"/>
      <c r="BI6004" s="427"/>
      <c r="BJ6004" s="427"/>
      <c r="BK6004" s="427"/>
      <c r="BL6004" s="427"/>
      <c r="BM6004" s="427"/>
      <c r="BN6004" s="427"/>
      <c r="BO6004" s="427"/>
      <c r="BP6004" s="427"/>
      <c r="BQ6004" s="427"/>
      <c r="BR6004" s="427"/>
      <c r="BS6004" s="427"/>
      <c r="BT6004" s="427"/>
      <c r="BU6004" s="427"/>
      <c r="BV6004" s="427"/>
      <c r="BW6004" s="427"/>
      <c r="BX6004" s="427"/>
      <c r="BY6004" s="427"/>
      <c r="BZ6004" s="427"/>
    </row>
    <row r="6005" spans="2:78" s="152" customFormat="1" ht="15" x14ac:dyDescent="0.25">
      <c r="B6005" s="683"/>
      <c r="C6005" s="683"/>
      <c r="D6005" s="698"/>
      <c r="E6005" s="215"/>
      <c r="F6005" s="215"/>
      <c r="G6005" s="427"/>
      <c r="H6005" s="427"/>
      <c r="I6005" s="427"/>
      <c r="J6005" s="427"/>
      <c r="K6005" s="427"/>
      <c r="L6005" s="653"/>
      <c r="M6005" s="666">
        <v>27197</v>
      </c>
      <c r="N6005" s="600">
        <v>3511.2890000000002</v>
      </c>
      <c r="O6005" s="620">
        <v>13.142799999999999</v>
      </c>
      <c r="P6005" s="782"/>
      <c r="Q6005" s="764"/>
      <c r="R6005" s="764"/>
      <c r="S6005" s="764"/>
      <c r="T6005" s="764"/>
      <c r="U6005" s="764"/>
      <c r="V6005" s="764"/>
      <c r="W6005" s="764"/>
      <c r="X6005" s="764"/>
      <c r="Y6005" s="768"/>
      <c r="Z6005" s="266"/>
      <c r="AA6005" s="150"/>
      <c r="AB6005" s="150">
        <v>28</v>
      </c>
      <c r="AC6005" s="231">
        <v>6.8000000000000005E-4</v>
      </c>
      <c r="AD6005" s="150">
        <v>149.35</v>
      </c>
      <c r="AE6005" s="223">
        <v>5.8220000000000001</v>
      </c>
      <c r="AF6005" s="223">
        <f t="shared" si="51"/>
        <v>869.51569999999992</v>
      </c>
      <c r="AG6005" s="223">
        <v>4.0999999999999996</v>
      </c>
      <c r="AH6005" s="346"/>
      <c r="AI6005" s="427"/>
      <c r="AJ6005" s="480"/>
      <c r="AK6005" s="427"/>
      <c r="AU6005" s="218"/>
      <c r="AV6005" s="218"/>
      <c r="AW6005" s="218"/>
      <c r="AX6005" s="218"/>
      <c r="AY6005" s="428"/>
      <c r="AZ6005" s="429"/>
      <c r="BA6005" s="429"/>
      <c r="BB6005" s="429"/>
      <c r="BI6005" s="427"/>
      <c r="BJ6005" s="427"/>
      <c r="BK6005" s="427"/>
      <c r="BL6005" s="427"/>
      <c r="BM6005" s="427"/>
      <c r="BN6005" s="427"/>
      <c r="BO6005" s="427"/>
      <c r="BP6005" s="427"/>
      <c r="BQ6005" s="427"/>
      <c r="BR6005" s="427"/>
      <c r="BS6005" s="427"/>
      <c r="BT6005" s="427"/>
      <c r="BU6005" s="427"/>
      <c r="BV6005" s="427"/>
      <c r="BW6005" s="427"/>
      <c r="BX6005" s="427"/>
      <c r="BY6005" s="427"/>
      <c r="BZ6005" s="427"/>
    </row>
    <row r="6006" spans="2:78" s="152" customFormat="1" ht="15" x14ac:dyDescent="0.25">
      <c r="B6006" s="683"/>
      <c r="C6006" s="683"/>
      <c r="D6006" s="698"/>
      <c r="E6006" s="215"/>
      <c r="F6006" s="215"/>
      <c r="G6006" s="427"/>
      <c r="H6006" s="427"/>
      <c r="I6006" s="427"/>
      <c r="J6006" s="427"/>
      <c r="K6006" s="427"/>
      <c r="L6006" s="653"/>
      <c r="M6006" s="666">
        <v>27200</v>
      </c>
      <c r="N6006" s="600">
        <v>3114.8530999999998</v>
      </c>
      <c r="O6006" s="620">
        <v>42.415399999999991</v>
      </c>
      <c r="P6006" s="782"/>
      <c r="Q6006" s="764"/>
      <c r="R6006" s="764"/>
      <c r="S6006" s="764"/>
      <c r="T6006" s="764"/>
      <c r="U6006" s="764"/>
      <c r="V6006" s="764"/>
      <c r="W6006" s="764"/>
      <c r="X6006" s="764"/>
      <c r="Y6006" s="768"/>
      <c r="Z6006" s="266"/>
      <c r="AA6006" s="150"/>
      <c r="AB6006" s="150">
        <v>29</v>
      </c>
      <c r="AC6006" s="231">
        <v>6.2E-4</v>
      </c>
      <c r="AD6006" s="150">
        <v>149.35</v>
      </c>
      <c r="AE6006" s="223">
        <v>5.6689999999999996</v>
      </c>
      <c r="AF6006" s="223">
        <f t="shared" si="51"/>
        <v>846.66514999999993</v>
      </c>
      <c r="AG6006" s="223">
        <v>3.7490000000000001</v>
      </c>
      <c r="AH6006" s="346"/>
      <c r="AI6006" s="427"/>
      <c r="AJ6006" s="480"/>
      <c r="AK6006" s="427"/>
      <c r="AU6006" s="218"/>
      <c r="AV6006" s="218"/>
      <c r="AW6006" s="218"/>
      <c r="AX6006" s="218"/>
      <c r="AY6006" s="428"/>
      <c r="AZ6006" s="429"/>
      <c r="BA6006" s="429"/>
      <c r="BB6006" s="429"/>
      <c r="BI6006" s="427"/>
      <c r="BJ6006" s="427"/>
      <c r="BK6006" s="427"/>
      <c r="BL6006" s="427"/>
      <c r="BM6006" s="427"/>
      <c r="BN6006" s="427"/>
      <c r="BO6006" s="427"/>
      <c r="BP6006" s="427"/>
      <c r="BQ6006" s="427"/>
      <c r="BR6006" s="427"/>
      <c r="BS6006" s="427"/>
      <c r="BT6006" s="427"/>
      <c r="BU6006" s="427"/>
      <c r="BV6006" s="427"/>
      <c r="BW6006" s="427"/>
      <c r="BX6006" s="427"/>
      <c r="BY6006" s="427"/>
      <c r="BZ6006" s="427"/>
    </row>
    <row r="6007" spans="2:78" s="152" customFormat="1" ht="15" x14ac:dyDescent="0.25">
      <c r="B6007" s="683"/>
      <c r="C6007" s="683"/>
      <c r="D6007" s="698"/>
      <c r="E6007" s="215"/>
      <c r="F6007" s="215"/>
      <c r="G6007" s="427"/>
      <c r="H6007" s="427"/>
      <c r="I6007" s="427"/>
      <c r="J6007" s="427"/>
      <c r="K6007" s="427"/>
      <c r="L6007" s="653"/>
      <c r="M6007" s="666">
        <v>27500</v>
      </c>
      <c r="N6007" s="600">
        <v>481.38639999999998</v>
      </c>
      <c r="O6007" s="620">
        <v>0.25260299999999997</v>
      </c>
      <c r="P6007" s="782"/>
      <c r="Q6007" s="764"/>
      <c r="R6007" s="764"/>
      <c r="S6007" s="764"/>
      <c r="T6007" s="764"/>
      <c r="U6007" s="764"/>
      <c r="V6007" s="764"/>
      <c r="W6007" s="764"/>
      <c r="X6007" s="764"/>
      <c r="Y6007" s="768"/>
      <c r="Z6007" s="266"/>
      <c r="AA6007" s="150"/>
      <c r="AB6007" s="150">
        <v>30</v>
      </c>
      <c r="AC6007" s="231">
        <v>1.3999999999999999E-4</v>
      </c>
      <c r="AD6007" s="150">
        <v>129.54</v>
      </c>
      <c r="AE6007" s="223">
        <v>3.81</v>
      </c>
      <c r="AF6007" s="223">
        <f t="shared" si="51"/>
        <v>493.54739999999998</v>
      </c>
      <c r="AG6007" s="223">
        <v>0.96</v>
      </c>
      <c r="AH6007" s="346"/>
      <c r="AI6007" s="427"/>
      <c r="AJ6007" s="480"/>
      <c r="AK6007" s="427"/>
      <c r="AU6007" s="218"/>
      <c r="AV6007" s="218"/>
      <c r="AW6007" s="218"/>
      <c r="AX6007" s="218"/>
      <c r="AY6007" s="428"/>
      <c r="AZ6007" s="429"/>
      <c r="BA6007" s="429"/>
      <c r="BB6007" s="429"/>
      <c r="BI6007" s="427"/>
      <c r="BJ6007" s="427"/>
      <c r="BK6007" s="427"/>
      <c r="BL6007" s="427"/>
      <c r="BM6007" s="427"/>
      <c r="BN6007" s="427"/>
      <c r="BO6007" s="427"/>
      <c r="BP6007" s="427"/>
      <c r="BQ6007" s="427"/>
      <c r="BR6007" s="427"/>
      <c r="BS6007" s="427"/>
      <c r="BT6007" s="427"/>
      <c r="BU6007" s="427"/>
      <c r="BV6007" s="427"/>
      <c r="BW6007" s="427"/>
      <c r="BX6007" s="427"/>
      <c r="BY6007" s="427"/>
      <c r="BZ6007" s="427"/>
    </row>
    <row r="6008" spans="2:78" s="152" customFormat="1" ht="15" x14ac:dyDescent="0.25">
      <c r="B6008" s="683"/>
      <c r="C6008" s="683"/>
      <c r="D6008" s="698"/>
      <c r="E6008" s="215"/>
      <c r="F6008" s="215"/>
      <c r="G6008" s="427"/>
      <c r="H6008" s="427"/>
      <c r="I6008" s="427"/>
      <c r="J6008" s="427"/>
      <c r="K6008" s="427"/>
      <c r="L6008" s="653"/>
      <c r="M6008" s="666">
        <v>27527</v>
      </c>
      <c r="N6008" s="600">
        <v>1291.2482</v>
      </c>
      <c r="O6008" s="620">
        <v>1.78688</v>
      </c>
      <c r="P6008" s="782"/>
      <c r="Q6008" s="764"/>
      <c r="R6008" s="764"/>
      <c r="S6008" s="764"/>
      <c r="T6008" s="764"/>
      <c r="U6008" s="764"/>
      <c r="V6008" s="764"/>
      <c r="W6008" s="764"/>
      <c r="X6008" s="764"/>
      <c r="Y6008" s="768"/>
      <c r="Z6008" s="266"/>
      <c r="AA6008" s="150"/>
      <c r="AB6008" s="150">
        <v>31</v>
      </c>
      <c r="AC6008" s="231">
        <v>3.1E-4</v>
      </c>
      <c r="AD6008" s="150">
        <v>139.6</v>
      </c>
      <c r="AE6008" s="223">
        <v>4.694</v>
      </c>
      <c r="AF6008" s="223">
        <f t="shared" si="51"/>
        <v>655.28239999999994</v>
      </c>
      <c r="AG6008" s="223">
        <v>1.9810000000000001</v>
      </c>
      <c r="AH6008" s="346"/>
      <c r="AI6008" s="427"/>
      <c r="AJ6008" s="480"/>
      <c r="AK6008" s="427"/>
      <c r="AU6008" s="218"/>
      <c r="AV6008" s="218"/>
      <c r="AW6008" s="218"/>
      <c r="AX6008" s="218"/>
      <c r="AY6008" s="428"/>
      <c r="AZ6008" s="429"/>
      <c r="BA6008" s="429"/>
      <c r="BB6008" s="429"/>
      <c r="BI6008" s="427"/>
      <c r="BJ6008" s="427"/>
      <c r="BK6008" s="427"/>
      <c r="BL6008" s="427"/>
      <c r="BM6008" s="427"/>
      <c r="BN6008" s="427"/>
      <c r="BO6008" s="427"/>
      <c r="BP6008" s="427"/>
      <c r="BQ6008" s="427"/>
      <c r="BR6008" s="427"/>
      <c r="BS6008" s="427"/>
      <c r="BT6008" s="427"/>
      <c r="BU6008" s="427"/>
      <c r="BV6008" s="427"/>
      <c r="BW6008" s="427"/>
      <c r="BX6008" s="427"/>
      <c r="BY6008" s="427"/>
      <c r="BZ6008" s="427"/>
    </row>
    <row r="6009" spans="2:78" s="152" customFormat="1" ht="15" x14ac:dyDescent="0.25">
      <c r="B6009" s="683"/>
      <c r="C6009" s="683"/>
      <c r="D6009" s="698"/>
      <c r="E6009" s="215"/>
      <c r="F6009" s="215"/>
      <c r="G6009" s="427"/>
      <c r="H6009" s="427"/>
      <c r="I6009" s="427"/>
      <c r="J6009" s="427"/>
      <c r="K6009" s="427"/>
      <c r="L6009" s="653"/>
      <c r="M6009" s="666">
        <v>27529</v>
      </c>
      <c r="N6009" s="600">
        <v>1701.8425</v>
      </c>
      <c r="O6009" s="620">
        <v>3.557423</v>
      </c>
      <c r="P6009" s="782"/>
      <c r="Q6009" s="764"/>
      <c r="R6009" s="764"/>
      <c r="S6009" s="764"/>
      <c r="T6009" s="764"/>
      <c r="U6009" s="764"/>
      <c r="V6009" s="764"/>
      <c r="W6009" s="764"/>
      <c r="X6009" s="764"/>
      <c r="Y6009" s="768"/>
      <c r="Z6009" s="266"/>
      <c r="AA6009" s="150"/>
      <c r="AB6009" s="150">
        <v>32</v>
      </c>
      <c r="AC6009" s="231">
        <v>3.3E-4</v>
      </c>
      <c r="AD6009" s="150">
        <v>141.72999999999999</v>
      </c>
      <c r="AE6009" s="223">
        <v>4.9989999999999997</v>
      </c>
      <c r="AF6009" s="223">
        <f t="shared" si="51"/>
        <v>708.50826999999992</v>
      </c>
      <c r="AG6009" s="223">
        <v>2.4079999999999999</v>
      </c>
      <c r="AH6009" s="346"/>
      <c r="AI6009" s="427"/>
      <c r="AJ6009" s="480"/>
      <c r="AK6009" s="427"/>
      <c r="AU6009" s="218"/>
      <c r="AV6009" s="218"/>
      <c r="AW6009" s="218"/>
      <c r="AX6009" s="218"/>
      <c r="AY6009" s="428"/>
      <c r="AZ6009" s="429"/>
      <c r="BA6009" s="429"/>
      <c r="BB6009" s="429"/>
      <c r="BI6009" s="427"/>
      <c r="BJ6009" s="427"/>
      <c r="BK6009" s="427"/>
      <c r="BL6009" s="427"/>
      <c r="BM6009" s="427"/>
      <c r="BN6009" s="427"/>
      <c r="BO6009" s="427"/>
      <c r="BP6009" s="427"/>
      <c r="BQ6009" s="427"/>
      <c r="BR6009" s="427"/>
      <c r="BS6009" s="427"/>
      <c r="BT6009" s="427"/>
      <c r="BU6009" s="427"/>
      <c r="BV6009" s="427"/>
      <c r="BW6009" s="427"/>
      <c r="BX6009" s="427"/>
      <c r="BY6009" s="427"/>
      <c r="BZ6009" s="427"/>
    </row>
    <row r="6010" spans="2:78" s="152" customFormat="1" ht="15" x14ac:dyDescent="0.25">
      <c r="B6010" s="683"/>
      <c r="C6010" s="683"/>
      <c r="D6010" s="698"/>
      <c r="E6010" s="215"/>
      <c r="F6010" s="215"/>
      <c r="G6010" s="427"/>
      <c r="H6010" s="427"/>
      <c r="I6010" s="427"/>
      <c r="J6010" s="427"/>
      <c r="K6010" s="427"/>
      <c r="L6010" s="653"/>
      <c r="M6010" s="666">
        <v>27535</v>
      </c>
      <c r="N6010" s="600">
        <v>1166.6541</v>
      </c>
      <c r="O6010" s="620">
        <v>1.2148368</v>
      </c>
      <c r="P6010" s="782"/>
      <c r="Q6010" s="764"/>
      <c r="R6010" s="764"/>
      <c r="S6010" s="764"/>
      <c r="T6010" s="764"/>
      <c r="U6010" s="764"/>
      <c r="V6010" s="764"/>
      <c r="W6010" s="764"/>
      <c r="X6010" s="764"/>
      <c r="Y6010" s="768"/>
      <c r="Z6010" s="266"/>
      <c r="AA6010" s="150"/>
      <c r="AB6010" s="150">
        <v>33</v>
      </c>
      <c r="AC6010" s="231">
        <v>2.7999999999999998E-4</v>
      </c>
      <c r="AD6010" s="150">
        <v>138.68</v>
      </c>
      <c r="AE6010" s="223">
        <v>4.6020000000000003</v>
      </c>
      <c r="AF6010" s="223">
        <f t="shared" si="51"/>
        <v>638.20536000000004</v>
      </c>
      <c r="AG6010" s="223">
        <v>1.829</v>
      </c>
      <c r="AH6010" s="346"/>
      <c r="AI6010" s="427"/>
      <c r="AJ6010" s="480"/>
      <c r="AK6010" s="427"/>
      <c r="AU6010" s="218"/>
      <c r="AV6010" s="218"/>
      <c r="AW6010" s="218"/>
      <c r="AX6010" s="218"/>
      <c r="AY6010" s="428"/>
      <c r="AZ6010" s="429"/>
      <c r="BA6010" s="429"/>
      <c r="BB6010" s="429"/>
      <c r="BI6010" s="427"/>
      <c r="BJ6010" s="427"/>
      <c r="BK6010" s="427"/>
      <c r="BL6010" s="427"/>
      <c r="BM6010" s="427"/>
      <c r="BN6010" s="427"/>
      <c r="BO6010" s="427"/>
      <c r="BP6010" s="427"/>
      <c r="BQ6010" s="427"/>
      <c r="BR6010" s="427"/>
      <c r="BS6010" s="427"/>
      <c r="BT6010" s="427"/>
      <c r="BU6010" s="427"/>
      <c r="BV6010" s="427"/>
      <c r="BW6010" s="427"/>
      <c r="BX6010" s="427"/>
      <c r="BY6010" s="427"/>
      <c r="BZ6010" s="427"/>
    </row>
    <row r="6011" spans="2:78" s="152" customFormat="1" ht="15" x14ac:dyDescent="0.25">
      <c r="B6011" s="683"/>
      <c r="C6011" s="683"/>
      <c r="D6011" s="698"/>
      <c r="E6011" s="215"/>
      <c r="F6011" s="215"/>
      <c r="G6011" s="427"/>
      <c r="H6011" s="427"/>
      <c r="I6011" s="427"/>
      <c r="J6011" s="427"/>
      <c r="K6011" s="427"/>
      <c r="L6011" s="653"/>
      <c r="M6011" s="666">
        <v>27548</v>
      </c>
      <c r="N6011" s="600">
        <v>2152.0803000000001</v>
      </c>
      <c r="O6011" s="620">
        <v>5.5016400000000001</v>
      </c>
      <c r="P6011" s="782"/>
      <c r="Q6011" s="764"/>
      <c r="R6011" s="764"/>
      <c r="S6011" s="764"/>
      <c r="T6011" s="764"/>
      <c r="U6011" s="764"/>
      <c r="V6011" s="764"/>
      <c r="W6011" s="764"/>
      <c r="X6011" s="764"/>
      <c r="Y6011" s="768"/>
      <c r="Z6011" s="266"/>
      <c r="AA6011" s="150"/>
      <c r="AB6011" s="150">
        <v>34</v>
      </c>
      <c r="AC6011" s="231">
        <v>4.8000000000000001E-4</v>
      </c>
      <c r="AD6011" s="150">
        <v>144.78</v>
      </c>
      <c r="AE6011" s="223">
        <v>5.2430000000000003</v>
      </c>
      <c r="AF6011" s="223">
        <f t="shared" si="51"/>
        <v>759.08154000000002</v>
      </c>
      <c r="AG6011" s="223">
        <v>2.8650000000000002</v>
      </c>
      <c r="AH6011" s="346"/>
      <c r="AI6011" s="427"/>
      <c r="AJ6011" s="480"/>
      <c r="AK6011" s="427"/>
      <c r="AU6011" s="218"/>
      <c r="AV6011" s="218"/>
      <c r="AW6011" s="218"/>
      <c r="AX6011" s="218"/>
      <c r="AY6011" s="428"/>
      <c r="AZ6011" s="429"/>
      <c r="BA6011" s="429"/>
      <c r="BB6011" s="429"/>
      <c r="BI6011" s="427"/>
      <c r="BJ6011" s="427"/>
      <c r="BK6011" s="427"/>
      <c r="BL6011" s="427"/>
      <c r="BM6011" s="427"/>
      <c r="BN6011" s="427"/>
      <c r="BO6011" s="427"/>
      <c r="BP6011" s="427"/>
      <c r="BQ6011" s="427"/>
      <c r="BR6011" s="427"/>
      <c r="BS6011" s="427"/>
      <c r="BT6011" s="427"/>
      <c r="BU6011" s="427"/>
      <c r="BV6011" s="427"/>
      <c r="BW6011" s="427"/>
      <c r="BX6011" s="427"/>
      <c r="BY6011" s="427"/>
      <c r="BZ6011" s="427"/>
    </row>
    <row r="6012" spans="2:78" s="152" customFormat="1" ht="15" x14ac:dyDescent="0.25">
      <c r="B6012" s="683"/>
      <c r="C6012" s="683"/>
      <c r="D6012" s="698"/>
      <c r="E6012" s="215"/>
      <c r="F6012" s="215"/>
      <c r="G6012" s="427"/>
      <c r="H6012" s="427"/>
      <c r="I6012" s="427"/>
      <c r="J6012" s="427"/>
      <c r="K6012" s="427"/>
      <c r="L6012" s="653"/>
      <c r="M6012" s="666">
        <v>27549</v>
      </c>
      <c r="N6012" s="600">
        <v>2016.1595</v>
      </c>
      <c r="O6012" s="620">
        <v>2.8401489999999994</v>
      </c>
      <c r="P6012" s="782"/>
      <c r="Q6012" s="764"/>
      <c r="R6012" s="764"/>
      <c r="S6012" s="764"/>
      <c r="T6012" s="764"/>
      <c r="U6012" s="764"/>
      <c r="V6012" s="764"/>
      <c r="W6012" s="764"/>
      <c r="X6012" s="764"/>
      <c r="Y6012" s="768"/>
      <c r="Z6012" s="266"/>
      <c r="AA6012" s="150"/>
      <c r="AB6012" s="150">
        <v>35</v>
      </c>
      <c r="AC6012" s="231">
        <v>4.4000000000000002E-4</v>
      </c>
      <c r="AD6012" s="150">
        <v>144.16999999999999</v>
      </c>
      <c r="AE6012" s="223">
        <v>5.1820000000000004</v>
      </c>
      <c r="AF6012" s="223">
        <f t="shared" si="51"/>
        <v>747.08893999999998</v>
      </c>
      <c r="AG6012" s="223">
        <v>2.7280000000000002</v>
      </c>
      <c r="AH6012" s="346"/>
      <c r="AI6012" s="427"/>
      <c r="AJ6012" s="480"/>
      <c r="AK6012" s="427"/>
      <c r="AU6012" s="218"/>
      <c r="AV6012" s="218"/>
      <c r="AW6012" s="218"/>
      <c r="AX6012" s="218"/>
      <c r="AY6012" s="428"/>
      <c r="AZ6012" s="429"/>
      <c r="BA6012" s="429"/>
      <c r="BB6012" s="429"/>
      <c r="BI6012" s="427"/>
      <c r="BJ6012" s="427"/>
      <c r="BK6012" s="427"/>
      <c r="BL6012" s="427"/>
      <c r="BM6012" s="427"/>
      <c r="BN6012" s="427"/>
      <c r="BO6012" s="427"/>
      <c r="BP6012" s="427"/>
      <c r="BQ6012" s="427"/>
      <c r="BR6012" s="427"/>
      <c r="BS6012" s="427"/>
      <c r="BT6012" s="427"/>
      <c r="BU6012" s="427"/>
      <c r="BV6012" s="427"/>
      <c r="BW6012" s="427"/>
      <c r="BX6012" s="427"/>
      <c r="BY6012" s="427"/>
      <c r="BZ6012" s="427"/>
    </row>
    <row r="6013" spans="2:78" s="152" customFormat="1" ht="15" x14ac:dyDescent="0.25">
      <c r="B6013" s="683"/>
      <c r="C6013" s="683"/>
      <c r="D6013" s="698"/>
      <c r="E6013" s="215"/>
      <c r="F6013" s="215"/>
      <c r="G6013" s="427"/>
      <c r="H6013" s="427"/>
      <c r="I6013" s="427"/>
      <c r="J6013" s="427"/>
      <c r="K6013" s="427"/>
      <c r="L6013" s="653"/>
      <c r="M6013" s="666">
        <v>27555</v>
      </c>
      <c r="N6013" s="600">
        <v>1673.5255999999999</v>
      </c>
      <c r="O6013" s="620">
        <v>4.9815360000000002</v>
      </c>
      <c r="P6013" s="782"/>
      <c r="Q6013" s="764"/>
      <c r="R6013" s="764"/>
      <c r="S6013" s="764"/>
      <c r="T6013" s="764"/>
      <c r="U6013" s="764"/>
      <c r="V6013" s="764"/>
      <c r="W6013" s="764"/>
      <c r="X6013" s="764"/>
      <c r="Y6013" s="768"/>
      <c r="Z6013" s="266"/>
      <c r="AA6013" s="150"/>
      <c r="AB6013" s="150">
        <v>36</v>
      </c>
      <c r="AC6013" s="231">
        <v>3.8000000000000002E-4</v>
      </c>
      <c r="AD6013" s="150">
        <v>141.12</v>
      </c>
      <c r="AE6013" s="223">
        <v>4.968</v>
      </c>
      <c r="AF6013" s="223">
        <f t="shared" si="51"/>
        <v>701.08416</v>
      </c>
      <c r="AG6013" s="223">
        <v>2.3769999999999998</v>
      </c>
      <c r="AH6013" s="346"/>
      <c r="AI6013" s="427"/>
      <c r="AJ6013" s="480"/>
      <c r="AK6013" s="427"/>
      <c r="AU6013" s="218"/>
      <c r="AV6013" s="218"/>
      <c r="AW6013" s="218"/>
      <c r="AX6013" s="218"/>
      <c r="AY6013" s="428"/>
      <c r="AZ6013" s="429"/>
      <c r="BA6013" s="429"/>
      <c r="BB6013" s="429"/>
      <c r="BI6013" s="427"/>
      <c r="BJ6013" s="427"/>
      <c r="BK6013" s="427"/>
      <c r="BL6013" s="427"/>
      <c r="BM6013" s="427"/>
      <c r="BN6013" s="427"/>
      <c r="BO6013" s="427"/>
      <c r="BP6013" s="427"/>
      <c r="BQ6013" s="427"/>
      <c r="BR6013" s="427"/>
      <c r="BS6013" s="427"/>
      <c r="BT6013" s="427"/>
      <c r="BU6013" s="427"/>
      <c r="BV6013" s="427"/>
      <c r="BW6013" s="427"/>
      <c r="BX6013" s="427"/>
      <c r="BY6013" s="427"/>
      <c r="BZ6013" s="427"/>
    </row>
    <row r="6014" spans="2:78" s="152" customFormat="1" ht="15" x14ac:dyDescent="0.25">
      <c r="B6014" s="683"/>
      <c r="C6014" s="683"/>
      <c r="D6014" s="698"/>
      <c r="E6014" s="215"/>
      <c r="F6014" s="215"/>
      <c r="G6014" s="427"/>
      <c r="H6014" s="427"/>
      <c r="I6014" s="427"/>
      <c r="J6014" s="427"/>
      <c r="K6014" s="427"/>
      <c r="L6014" s="653"/>
      <c r="M6014" s="666">
        <v>27557</v>
      </c>
      <c r="N6014" s="600">
        <v>1727.3276000000001</v>
      </c>
      <c r="O6014" s="620">
        <v>3.6141149999999995</v>
      </c>
      <c r="P6014" s="782"/>
      <c r="Q6014" s="764"/>
      <c r="R6014" s="764"/>
      <c r="S6014" s="764"/>
      <c r="T6014" s="764"/>
      <c r="U6014" s="764"/>
      <c r="V6014" s="764"/>
      <c r="W6014" s="764"/>
      <c r="X6014" s="764"/>
      <c r="Y6014" s="768"/>
      <c r="Z6014" s="266"/>
      <c r="AA6014" s="150"/>
      <c r="AB6014" s="150">
        <v>37</v>
      </c>
      <c r="AC6014" s="231">
        <v>3.8999999999999999E-4</v>
      </c>
      <c r="AD6014" s="150">
        <v>141.72999999999999</v>
      </c>
      <c r="AE6014" s="223">
        <v>4.9989999999999997</v>
      </c>
      <c r="AF6014" s="223">
        <f t="shared" si="51"/>
        <v>708.50826999999992</v>
      </c>
      <c r="AG6014" s="223">
        <v>2.4380000000000002</v>
      </c>
      <c r="AH6014" s="346"/>
      <c r="AI6014" s="427"/>
      <c r="AJ6014" s="480"/>
      <c r="AK6014" s="427"/>
      <c r="AU6014" s="218"/>
      <c r="AV6014" s="218"/>
      <c r="AW6014" s="218"/>
      <c r="AX6014" s="218"/>
      <c r="AY6014" s="428"/>
      <c r="AZ6014" s="429"/>
      <c r="BA6014" s="429"/>
      <c r="BB6014" s="429"/>
      <c r="BI6014" s="427"/>
      <c r="BJ6014" s="427"/>
      <c r="BK6014" s="427"/>
      <c r="BL6014" s="427"/>
      <c r="BM6014" s="427"/>
      <c r="BN6014" s="427"/>
      <c r="BO6014" s="427"/>
      <c r="BP6014" s="427"/>
      <c r="BQ6014" s="427"/>
      <c r="BR6014" s="427"/>
      <c r="BS6014" s="427"/>
      <c r="BT6014" s="427"/>
      <c r="BU6014" s="427"/>
      <c r="BV6014" s="427"/>
      <c r="BW6014" s="427"/>
      <c r="BX6014" s="427"/>
      <c r="BY6014" s="427"/>
      <c r="BZ6014" s="427"/>
    </row>
    <row r="6015" spans="2:78" s="152" customFormat="1" ht="15" x14ac:dyDescent="0.25">
      <c r="B6015" s="683"/>
      <c r="C6015" s="683"/>
      <c r="D6015" s="698"/>
      <c r="E6015" s="215"/>
      <c r="F6015" s="215"/>
      <c r="G6015" s="427"/>
      <c r="H6015" s="427"/>
      <c r="I6015" s="427"/>
      <c r="J6015" s="427"/>
      <c r="K6015" s="427"/>
      <c r="L6015" s="653"/>
      <c r="M6015" s="666">
        <v>27562</v>
      </c>
      <c r="N6015" s="600">
        <v>1546.0998</v>
      </c>
      <c r="O6015" s="620">
        <v>1.155465</v>
      </c>
      <c r="P6015" s="782"/>
      <c r="Q6015" s="764"/>
      <c r="R6015" s="764"/>
      <c r="S6015" s="764"/>
      <c r="T6015" s="764"/>
      <c r="U6015" s="764"/>
      <c r="V6015" s="764"/>
      <c r="W6015" s="764"/>
      <c r="X6015" s="764"/>
      <c r="Y6015" s="768"/>
      <c r="Z6015" s="266"/>
      <c r="AA6015" s="150"/>
      <c r="AB6015" s="150">
        <v>38</v>
      </c>
      <c r="AC6015" s="231">
        <v>4.0000000000000002E-4</v>
      </c>
      <c r="AD6015" s="150">
        <v>142.65</v>
      </c>
      <c r="AE6015" s="223">
        <v>4.8769999999999998</v>
      </c>
      <c r="AF6015" s="223">
        <f t="shared" si="51"/>
        <v>695.70405000000005</v>
      </c>
      <c r="AG6015" s="223">
        <v>2.2559999999999998</v>
      </c>
      <c r="AH6015" s="346"/>
      <c r="AI6015" s="427"/>
      <c r="AJ6015" s="480"/>
      <c r="AK6015" s="427"/>
      <c r="AU6015" s="218"/>
      <c r="AV6015" s="218"/>
      <c r="AW6015" s="218"/>
      <c r="AX6015" s="218"/>
      <c r="AY6015" s="428"/>
      <c r="AZ6015" s="429"/>
      <c r="BA6015" s="429"/>
      <c r="BB6015" s="429"/>
      <c r="BI6015" s="427"/>
      <c r="BJ6015" s="427"/>
      <c r="BK6015" s="427"/>
      <c r="BL6015" s="427"/>
      <c r="BM6015" s="427"/>
      <c r="BN6015" s="427"/>
      <c r="BO6015" s="427"/>
      <c r="BP6015" s="427"/>
      <c r="BQ6015" s="427"/>
      <c r="BR6015" s="427"/>
      <c r="BS6015" s="427"/>
      <c r="BT6015" s="427"/>
      <c r="BU6015" s="427"/>
      <c r="BV6015" s="427"/>
      <c r="BW6015" s="427"/>
      <c r="BX6015" s="427"/>
      <c r="BY6015" s="427"/>
      <c r="BZ6015" s="427"/>
    </row>
    <row r="6016" spans="2:78" s="152" customFormat="1" ht="15" x14ac:dyDescent="0.25">
      <c r="B6016" s="683"/>
      <c r="C6016" s="683"/>
      <c r="D6016" s="698"/>
      <c r="E6016" s="215"/>
      <c r="F6016" s="215"/>
      <c r="G6016" s="427"/>
      <c r="H6016" s="427"/>
      <c r="I6016" s="427"/>
      <c r="J6016" s="427"/>
      <c r="K6016" s="427"/>
      <c r="L6016" s="653"/>
      <c r="M6016" s="666">
        <v>27570</v>
      </c>
      <c r="N6016" s="600">
        <v>1546.0998</v>
      </c>
      <c r="O6016" s="620">
        <v>5.3534309999999996</v>
      </c>
      <c r="P6016" s="782"/>
      <c r="Q6016" s="764"/>
      <c r="R6016" s="764"/>
      <c r="S6016" s="764"/>
      <c r="T6016" s="764"/>
      <c r="U6016" s="764"/>
      <c r="V6016" s="764"/>
      <c r="W6016" s="764"/>
      <c r="X6016" s="764"/>
      <c r="Y6016" s="768"/>
      <c r="Z6016" s="266"/>
      <c r="AA6016" s="150"/>
      <c r="AB6016" s="150">
        <v>39</v>
      </c>
      <c r="AC6016" s="231">
        <v>3.5E-4</v>
      </c>
      <c r="AD6016" s="150">
        <v>140.51</v>
      </c>
      <c r="AE6016" s="223">
        <v>4.8769999999999998</v>
      </c>
      <c r="AF6016" s="223">
        <f t="shared" si="51"/>
        <v>685.26726999999994</v>
      </c>
      <c r="AG6016" s="223">
        <v>2.2559999999999998</v>
      </c>
      <c r="AH6016" s="346"/>
      <c r="AI6016" s="427"/>
      <c r="AJ6016" s="480"/>
      <c r="AK6016" s="427"/>
      <c r="AU6016" s="218"/>
      <c r="AV6016" s="218"/>
      <c r="AW6016" s="218"/>
      <c r="AX6016" s="218"/>
      <c r="AY6016" s="428"/>
      <c r="AZ6016" s="429"/>
      <c r="BA6016" s="429"/>
      <c r="BB6016" s="429"/>
      <c r="BI6016" s="427"/>
      <c r="BJ6016" s="427"/>
      <c r="BK6016" s="427"/>
      <c r="BL6016" s="427"/>
      <c r="BM6016" s="427"/>
      <c r="BN6016" s="427"/>
      <c r="BO6016" s="427"/>
      <c r="BP6016" s="427"/>
      <c r="BQ6016" s="427"/>
      <c r="BR6016" s="427"/>
      <c r="BS6016" s="427"/>
      <c r="BT6016" s="427"/>
      <c r="BU6016" s="427"/>
      <c r="BV6016" s="427"/>
      <c r="BW6016" s="427"/>
      <c r="BX6016" s="427"/>
      <c r="BY6016" s="427"/>
      <c r="BZ6016" s="427"/>
    </row>
    <row r="6017" spans="2:78" s="152" customFormat="1" ht="15" x14ac:dyDescent="0.25">
      <c r="B6017" s="683"/>
      <c r="C6017" s="683"/>
      <c r="D6017" s="698"/>
      <c r="E6017" s="215"/>
      <c r="F6017" s="215"/>
      <c r="G6017" s="427"/>
      <c r="H6017" s="427"/>
      <c r="I6017" s="427"/>
      <c r="J6017" s="427"/>
      <c r="K6017" s="427"/>
      <c r="L6017" s="653"/>
      <c r="M6017" s="666">
        <v>27577</v>
      </c>
      <c r="N6017" s="600">
        <v>1175.1491000000001</v>
      </c>
      <c r="O6017" s="620">
        <v>0.9665996</v>
      </c>
      <c r="P6017" s="782"/>
      <c r="Q6017" s="764"/>
      <c r="R6017" s="764"/>
      <c r="S6017" s="764"/>
      <c r="T6017" s="764"/>
      <c r="U6017" s="764"/>
      <c r="V6017" s="764"/>
      <c r="W6017" s="764"/>
      <c r="X6017" s="764"/>
      <c r="Y6017" s="768"/>
      <c r="Z6017" s="266"/>
      <c r="AA6017" s="150"/>
      <c r="AB6017" s="150">
        <v>40</v>
      </c>
      <c r="AC6017" s="231">
        <v>2.9E-4</v>
      </c>
      <c r="AD6017" s="150">
        <v>138.68</v>
      </c>
      <c r="AE6017" s="223">
        <v>4.6020000000000003</v>
      </c>
      <c r="AF6017" s="223">
        <f t="shared" si="51"/>
        <v>638.20536000000004</v>
      </c>
      <c r="AG6017" s="223">
        <v>1.8440000000000001</v>
      </c>
      <c r="AH6017" s="346"/>
      <c r="AI6017" s="427"/>
      <c r="AJ6017" s="480"/>
      <c r="AK6017" s="427"/>
      <c r="AU6017" s="218"/>
      <c r="AV6017" s="218"/>
      <c r="AW6017" s="218"/>
      <c r="AX6017" s="218"/>
      <c r="AY6017" s="428"/>
      <c r="AZ6017" s="429"/>
      <c r="BA6017" s="429"/>
      <c r="BB6017" s="429"/>
      <c r="BI6017" s="427"/>
      <c r="BJ6017" s="427"/>
      <c r="BK6017" s="427"/>
      <c r="BL6017" s="427"/>
      <c r="BM6017" s="427"/>
      <c r="BN6017" s="427"/>
      <c r="BO6017" s="427"/>
      <c r="BP6017" s="427"/>
      <c r="BQ6017" s="427"/>
      <c r="BR6017" s="427"/>
      <c r="BS6017" s="427"/>
      <c r="BT6017" s="427"/>
      <c r="BU6017" s="427"/>
      <c r="BV6017" s="427"/>
      <c r="BW6017" s="427"/>
      <c r="BX6017" s="427"/>
      <c r="BY6017" s="427"/>
      <c r="BZ6017" s="427"/>
    </row>
    <row r="6018" spans="2:78" s="152" customFormat="1" ht="15" x14ac:dyDescent="0.25">
      <c r="B6018" s="683"/>
      <c r="C6018" s="683"/>
      <c r="D6018" s="698"/>
      <c r="E6018" s="215"/>
      <c r="F6018" s="215"/>
      <c r="G6018" s="427"/>
      <c r="H6018" s="427"/>
      <c r="I6018" s="427"/>
      <c r="J6018" s="427"/>
      <c r="K6018" s="427"/>
      <c r="L6018" s="653"/>
      <c r="M6018" s="666">
        <v>27733</v>
      </c>
      <c r="N6018" s="600">
        <v>1095.8620000000001</v>
      </c>
      <c r="O6018" s="620">
        <v>0.74055120000000008</v>
      </c>
      <c r="P6018" s="782"/>
      <c r="Q6018" s="764"/>
      <c r="R6018" s="764"/>
      <c r="S6018" s="764"/>
      <c r="T6018" s="764"/>
      <c r="U6018" s="764"/>
      <c r="V6018" s="764"/>
      <c r="W6018" s="764"/>
      <c r="X6018" s="764"/>
      <c r="Y6018" s="768"/>
      <c r="Z6018" s="266"/>
      <c r="AA6018" s="150"/>
      <c r="AB6018" s="150">
        <v>41</v>
      </c>
      <c r="AC6018" s="231">
        <v>2.7E-4</v>
      </c>
      <c r="AD6018" s="150">
        <v>138.68</v>
      </c>
      <c r="AE6018" s="223">
        <v>4.5419999999999998</v>
      </c>
      <c r="AF6018" s="223">
        <f t="shared" si="51"/>
        <v>629.88455999999996</v>
      </c>
      <c r="AG6018" s="223">
        <v>1.7529999999999999</v>
      </c>
      <c r="AH6018" s="346"/>
      <c r="AI6018" s="427"/>
      <c r="AJ6018" s="480"/>
      <c r="AK6018" s="427"/>
      <c r="AU6018" s="218"/>
      <c r="AV6018" s="218"/>
      <c r="AW6018" s="218"/>
      <c r="AX6018" s="218"/>
      <c r="AY6018" s="428"/>
      <c r="AZ6018" s="429"/>
      <c r="BA6018" s="429"/>
      <c r="BB6018" s="429"/>
      <c r="BI6018" s="427"/>
      <c r="BJ6018" s="427"/>
      <c r="BK6018" s="427"/>
      <c r="BL6018" s="427"/>
      <c r="BM6018" s="427"/>
      <c r="BN6018" s="427"/>
      <c r="BO6018" s="427"/>
      <c r="BP6018" s="427"/>
      <c r="BQ6018" s="427"/>
      <c r="BR6018" s="427"/>
      <c r="BS6018" s="427"/>
      <c r="BT6018" s="427"/>
      <c r="BU6018" s="427"/>
      <c r="BV6018" s="427"/>
      <c r="BW6018" s="427"/>
      <c r="BX6018" s="427"/>
      <c r="BY6018" s="427"/>
      <c r="BZ6018" s="427"/>
    </row>
    <row r="6019" spans="2:78" s="152" customFormat="1" ht="15" x14ac:dyDescent="0.25">
      <c r="B6019" s="683"/>
      <c r="C6019" s="683"/>
      <c r="D6019" s="698"/>
      <c r="E6019" s="215"/>
      <c r="F6019" s="215"/>
      <c r="G6019" s="427"/>
      <c r="H6019" s="427"/>
      <c r="I6019" s="427"/>
      <c r="J6019" s="427"/>
      <c r="K6019" s="427"/>
      <c r="L6019" s="653"/>
      <c r="M6019" s="666">
        <v>27856</v>
      </c>
      <c r="N6019" s="600">
        <v>971.26779999999997</v>
      </c>
      <c r="O6019" s="620">
        <v>1.1397995999999999</v>
      </c>
      <c r="P6019" s="782"/>
      <c r="Q6019" s="764"/>
      <c r="R6019" s="764"/>
      <c r="S6019" s="764"/>
      <c r="T6019" s="764"/>
      <c r="U6019" s="764"/>
      <c r="V6019" s="764"/>
      <c r="W6019" s="764"/>
      <c r="X6019" s="764"/>
      <c r="Y6019" s="768"/>
      <c r="Z6019" s="266"/>
      <c r="AA6019" s="150"/>
      <c r="AB6019" s="150">
        <v>42</v>
      </c>
      <c r="AC6019" s="231">
        <v>2.5000000000000001E-4</v>
      </c>
      <c r="AD6019" s="150">
        <v>137.16</v>
      </c>
      <c r="AE6019" s="223">
        <v>4.42</v>
      </c>
      <c r="AF6019" s="223">
        <f t="shared" si="51"/>
        <v>606.24720000000002</v>
      </c>
      <c r="AG6019" s="223">
        <v>1.6</v>
      </c>
      <c r="AH6019" s="346"/>
      <c r="AI6019" s="427"/>
      <c r="AJ6019" s="480"/>
      <c r="AK6019" s="427"/>
      <c r="AU6019" s="218"/>
      <c r="AV6019" s="218"/>
      <c r="AW6019" s="218"/>
      <c r="AX6019" s="218"/>
      <c r="AY6019" s="428"/>
      <c r="AZ6019" s="429"/>
      <c r="BA6019" s="429"/>
      <c r="BB6019" s="429"/>
      <c r="BI6019" s="427"/>
      <c r="BJ6019" s="427"/>
      <c r="BK6019" s="427"/>
      <c r="BL6019" s="427"/>
      <c r="BM6019" s="427"/>
      <c r="BN6019" s="427"/>
      <c r="BO6019" s="427"/>
      <c r="BP6019" s="427"/>
      <c r="BQ6019" s="427"/>
      <c r="BR6019" s="427"/>
      <c r="BS6019" s="427"/>
      <c r="BT6019" s="427"/>
      <c r="BU6019" s="427"/>
      <c r="BV6019" s="427"/>
      <c r="BW6019" s="427"/>
      <c r="BX6019" s="427"/>
      <c r="BY6019" s="427"/>
      <c r="BZ6019" s="427"/>
    </row>
    <row r="6020" spans="2:78" s="152" customFormat="1" ht="15" x14ac:dyDescent="0.25">
      <c r="B6020" s="683"/>
      <c r="C6020" s="683"/>
      <c r="D6020" s="698"/>
      <c r="E6020" s="215"/>
      <c r="F6020" s="215"/>
      <c r="G6020" s="427"/>
      <c r="H6020" s="427"/>
      <c r="I6020" s="427"/>
      <c r="J6020" s="427"/>
      <c r="K6020" s="427"/>
      <c r="L6020" s="653"/>
      <c r="M6020" s="666">
        <v>27858</v>
      </c>
      <c r="N6020" s="600">
        <v>1149.664</v>
      </c>
      <c r="O6020" s="620">
        <v>2.135672</v>
      </c>
      <c r="P6020" s="782"/>
      <c r="Q6020" s="764"/>
      <c r="R6020" s="764"/>
      <c r="S6020" s="764"/>
      <c r="T6020" s="764"/>
      <c r="U6020" s="764"/>
      <c r="V6020" s="764"/>
      <c r="W6020" s="764"/>
      <c r="X6020" s="764"/>
      <c r="Y6020" s="768"/>
      <c r="Z6020" s="266"/>
      <c r="AA6020" s="150"/>
      <c r="AB6020" s="150">
        <v>43</v>
      </c>
      <c r="AC6020" s="231">
        <v>2.7999999999999998E-4</v>
      </c>
      <c r="AD6020" s="150">
        <v>138.68</v>
      </c>
      <c r="AE6020" s="223">
        <v>4.5720000000000001</v>
      </c>
      <c r="AF6020" s="223">
        <f t="shared" si="51"/>
        <v>634.04496000000006</v>
      </c>
      <c r="AG6020" s="223">
        <v>1.8140000000000001</v>
      </c>
      <c r="AH6020" s="346"/>
      <c r="AI6020" s="427"/>
      <c r="AJ6020" s="480"/>
      <c r="AK6020" s="427"/>
      <c r="AU6020" s="218"/>
      <c r="AV6020" s="218"/>
      <c r="AW6020" s="218"/>
      <c r="AX6020" s="218"/>
      <c r="AY6020" s="428"/>
      <c r="AZ6020" s="429"/>
      <c r="BA6020" s="429"/>
      <c r="BB6020" s="429"/>
      <c r="BI6020" s="427"/>
      <c r="BJ6020" s="427"/>
      <c r="BK6020" s="427"/>
      <c r="BL6020" s="427"/>
      <c r="BM6020" s="427"/>
      <c r="BN6020" s="427"/>
      <c r="BO6020" s="427"/>
      <c r="BP6020" s="427"/>
      <c r="BQ6020" s="427"/>
      <c r="BR6020" s="427"/>
      <c r="BS6020" s="427"/>
      <c r="BT6020" s="427"/>
      <c r="BU6020" s="427"/>
      <c r="BV6020" s="427"/>
      <c r="BW6020" s="427"/>
      <c r="BX6020" s="427"/>
      <c r="BY6020" s="427"/>
      <c r="BZ6020" s="427"/>
    </row>
    <row r="6021" spans="2:78" s="152" customFormat="1" ht="15" x14ac:dyDescent="0.25">
      <c r="B6021" s="683"/>
      <c r="C6021" s="683"/>
      <c r="D6021" s="698"/>
      <c r="E6021" s="215"/>
      <c r="F6021" s="215"/>
      <c r="G6021" s="427"/>
      <c r="H6021" s="427"/>
      <c r="I6021" s="427"/>
      <c r="J6021" s="427"/>
      <c r="K6021" s="427"/>
      <c r="L6021" s="653"/>
      <c r="M6021" s="666">
        <v>27862</v>
      </c>
      <c r="N6021" s="600">
        <v>1529.1097</v>
      </c>
      <c r="O6021" s="620">
        <v>2.7095039999999999</v>
      </c>
      <c r="P6021" s="782"/>
      <c r="Q6021" s="764"/>
      <c r="R6021" s="764"/>
      <c r="S6021" s="764"/>
      <c r="T6021" s="764"/>
      <c r="U6021" s="764"/>
      <c r="V6021" s="764"/>
      <c r="W6021" s="764"/>
      <c r="X6021" s="764"/>
      <c r="Y6021" s="768"/>
      <c r="Z6021" s="266"/>
      <c r="AA6021" s="150"/>
      <c r="AB6021" s="150">
        <v>44</v>
      </c>
      <c r="AC6021" s="231">
        <v>3.5E-4</v>
      </c>
      <c r="AD6021" s="150">
        <v>141.12</v>
      </c>
      <c r="AE6021" s="223">
        <v>4.8769999999999998</v>
      </c>
      <c r="AF6021" s="223">
        <f t="shared" si="51"/>
        <v>688.24224000000004</v>
      </c>
      <c r="AG6021" s="223">
        <v>2.2400000000000002</v>
      </c>
      <c r="AH6021" s="346"/>
      <c r="AI6021" s="427"/>
      <c r="AJ6021" s="480"/>
      <c r="AK6021" s="427"/>
      <c r="AU6021" s="218"/>
      <c r="AV6021" s="218"/>
      <c r="AW6021" s="218"/>
      <c r="AX6021" s="218"/>
      <c r="AY6021" s="428"/>
      <c r="AZ6021" s="429"/>
      <c r="BA6021" s="429"/>
      <c r="BB6021" s="429"/>
      <c r="BI6021" s="427"/>
      <c r="BJ6021" s="427"/>
      <c r="BK6021" s="427"/>
      <c r="BL6021" s="427"/>
      <c r="BM6021" s="427"/>
      <c r="BN6021" s="427"/>
      <c r="BO6021" s="427"/>
      <c r="BP6021" s="427"/>
      <c r="BQ6021" s="427"/>
      <c r="BR6021" s="427"/>
      <c r="BS6021" s="427"/>
      <c r="BT6021" s="427"/>
      <c r="BU6021" s="427"/>
      <c r="BV6021" s="427"/>
      <c r="BW6021" s="427"/>
      <c r="BX6021" s="427"/>
      <c r="BY6021" s="427"/>
      <c r="BZ6021" s="427"/>
    </row>
    <row r="6022" spans="2:78" s="152" customFormat="1" ht="15" x14ac:dyDescent="0.25">
      <c r="B6022" s="683"/>
      <c r="C6022" s="683"/>
      <c r="D6022" s="698"/>
      <c r="E6022" s="215"/>
      <c r="F6022" s="215"/>
      <c r="G6022" s="427"/>
      <c r="H6022" s="427"/>
      <c r="I6022" s="427"/>
      <c r="J6022" s="427"/>
      <c r="K6022" s="427"/>
      <c r="L6022" s="653"/>
      <c r="M6022" s="666">
        <v>27862</v>
      </c>
      <c r="N6022" s="600">
        <v>1531.9413999999999</v>
      </c>
      <c r="O6022" s="620">
        <v>2.7578849999999999</v>
      </c>
      <c r="P6022" s="782"/>
      <c r="Q6022" s="764"/>
      <c r="R6022" s="764"/>
      <c r="S6022" s="764"/>
      <c r="T6022" s="764"/>
      <c r="U6022" s="764"/>
      <c r="V6022" s="764"/>
      <c r="W6022" s="764"/>
      <c r="X6022" s="764"/>
      <c r="Y6022" s="768"/>
      <c r="Z6022" s="266"/>
      <c r="AA6022" s="150"/>
      <c r="AB6022" s="150">
        <v>45</v>
      </c>
      <c r="AC6022" s="231">
        <v>3.5E-4</v>
      </c>
      <c r="AD6022" s="150">
        <v>141.43</v>
      </c>
      <c r="AE6022" s="223">
        <v>4.8769999999999998</v>
      </c>
      <c r="AF6022" s="223">
        <f t="shared" si="51"/>
        <v>689.75410999999997</v>
      </c>
      <c r="AG6022" s="223">
        <v>2.2400000000000002</v>
      </c>
      <c r="AH6022" s="346"/>
      <c r="AI6022" s="427"/>
      <c r="AJ6022" s="480"/>
      <c r="AK6022" s="427"/>
      <c r="AU6022" s="218"/>
      <c r="AV6022" s="218"/>
      <c r="AW6022" s="218"/>
      <c r="AX6022" s="218"/>
      <c r="AY6022" s="428"/>
      <c r="AZ6022" s="429"/>
      <c r="BA6022" s="429"/>
      <c r="BB6022" s="429"/>
      <c r="BI6022" s="427"/>
      <c r="BJ6022" s="427"/>
      <c r="BK6022" s="427"/>
      <c r="BL6022" s="427"/>
      <c r="BM6022" s="427"/>
      <c r="BN6022" s="427"/>
      <c r="BO6022" s="427"/>
      <c r="BP6022" s="427"/>
      <c r="BQ6022" s="427"/>
      <c r="BR6022" s="427"/>
      <c r="BS6022" s="427"/>
      <c r="BT6022" s="427"/>
      <c r="BU6022" s="427"/>
      <c r="BV6022" s="427"/>
      <c r="BW6022" s="427"/>
      <c r="BX6022" s="427"/>
      <c r="BY6022" s="427"/>
      <c r="BZ6022" s="427"/>
    </row>
    <row r="6023" spans="2:78" s="152" customFormat="1" ht="15" x14ac:dyDescent="0.25">
      <c r="B6023" s="683"/>
      <c r="C6023" s="683"/>
      <c r="D6023" s="698"/>
      <c r="E6023" s="215"/>
      <c r="F6023" s="215"/>
      <c r="G6023" s="427"/>
      <c r="H6023" s="427"/>
      <c r="I6023" s="427"/>
      <c r="J6023" s="427"/>
      <c r="K6023" s="427"/>
      <c r="L6023" s="653"/>
      <c r="M6023" s="666">
        <v>27864</v>
      </c>
      <c r="N6023" s="600">
        <v>1353.5453</v>
      </c>
      <c r="O6023" s="620">
        <v>1.626436</v>
      </c>
      <c r="P6023" s="782"/>
      <c r="Q6023" s="764"/>
      <c r="R6023" s="764"/>
      <c r="S6023" s="764"/>
      <c r="T6023" s="764"/>
      <c r="U6023" s="764"/>
      <c r="V6023" s="764"/>
      <c r="W6023" s="764"/>
      <c r="X6023" s="764"/>
      <c r="Y6023" s="768"/>
      <c r="Z6023" s="266"/>
      <c r="AA6023" s="150"/>
      <c r="AB6023" s="150">
        <v>46</v>
      </c>
      <c r="AC6023" s="231">
        <v>3.2000000000000003E-4</v>
      </c>
      <c r="AD6023" s="150">
        <v>140.21</v>
      </c>
      <c r="AE6023" s="223">
        <v>4.7549999999999999</v>
      </c>
      <c r="AF6023" s="223">
        <f t="shared" si="51"/>
        <v>666.69855000000007</v>
      </c>
      <c r="AG6023" s="223">
        <v>2.0419999999999998</v>
      </c>
      <c r="AH6023" s="346"/>
      <c r="AI6023" s="427"/>
      <c r="AJ6023" s="480"/>
      <c r="AK6023" s="427"/>
      <c r="AU6023" s="218"/>
      <c r="AV6023" s="218"/>
      <c r="AW6023" s="218"/>
      <c r="AX6023" s="218"/>
      <c r="AY6023" s="428"/>
      <c r="AZ6023" s="429"/>
      <c r="BA6023" s="429"/>
      <c r="BB6023" s="429"/>
      <c r="BI6023" s="427"/>
      <c r="BJ6023" s="427"/>
      <c r="BK6023" s="427"/>
      <c r="BL6023" s="427"/>
      <c r="BM6023" s="427"/>
      <c r="BN6023" s="427"/>
      <c r="BO6023" s="427"/>
      <c r="BP6023" s="427"/>
      <c r="BQ6023" s="427"/>
      <c r="BR6023" s="427"/>
      <c r="BS6023" s="427"/>
      <c r="BT6023" s="427"/>
      <c r="BU6023" s="427"/>
      <c r="BV6023" s="427"/>
      <c r="BW6023" s="427"/>
      <c r="BX6023" s="427"/>
      <c r="BY6023" s="427"/>
      <c r="BZ6023" s="427"/>
    </row>
    <row r="6024" spans="2:78" s="152" customFormat="1" ht="15" x14ac:dyDescent="0.25">
      <c r="B6024" s="683"/>
      <c r="C6024" s="683"/>
      <c r="D6024" s="698"/>
      <c r="E6024" s="215"/>
      <c r="F6024" s="215"/>
      <c r="G6024" s="427"/>
      <c r="H6024" s="427"/>
      <c r="I6024" s="427"/>
      <c r="J6024" s="427"/>
      <c r="K6024" s="427"/>
      <c r="L6024" s="653"/>
      <c r="M6024" s="666">
        <v>27864</v>
      </c>
      <c r="N6024" s="600">
        <v>1353.5453</v>
      </c>
      <c r="O6024" s="620">
        <v>1.780667</v>
      </c>
      <c r="P6024" s="782"/>
      <c r="Q6024" s="764"/>
      <c r="R6024" s="764"/>
      <c r="S6024" s="764"/>
      <c r="T6024" s="764"/>
      <c r="U6024" s="764"/>
      <c r="V6024" s="764"/>
      <c r="W6024" s="764"/>
      <c r="X6024" s="764"/>
      <c r="Y6024" s="768"/>
      <c r="Z6024" s="266"/>
      <c r="AA6024" s="150"/>
      <c r="AB6024" s="150">
        <v>47</v>
      </c>
      <c r="AC6024" s="231">
        <v>3.2000000000000003E-4</v>
      </c>
      <c r="AD6024" s="150">
        <v>140.21</v>
      </c>
      <c r="AE6024" s="223">
        <v>4.7549999999999999</v>
      </c>
      <c r="AF6024" s="223">
        <f t="shared" si="51"/>
        <v>666.69855000000007</v>
      </c>
      <c r="AG6024" s="223">
        <v>2.0419999999999998</v>
      </c>
      <c r="AH6024" s="346"/>
      <c r="AI6024" s="427"/>
      <c r="AJ6024" s="480"/>
      <c r="AK6024" s="427"/>
      <c r="AU6024" s="218"/>
      <c r="AV6024" s="218"/>
      <c r="AW6024" s="218"/>
      <c r="AX6024" s="218"/>
      <c r="AY6024" s="428"/>
      <c r="AZ6024" s="429"/>
      <c r="BA6024" s="429"/>
      <c r="BB6024" s="429"/>
      <c r="BI6024" s="427"/>
      <c r="BJ6024" s="427"/>
      <c r="BK6024" s="427"/>
      <c r="BL6024" s="427"/>
      <c r="BM6024" s="427"/>
      <c r="BN6024" s="427"/>
      <c r="BO6024" s="427"/>
      <c r="BP6024" s="427"/>
      <c r="BQ6024" s="427"/>
      <c r="BR6024" s="427"/>
      <c r="BS6024" s="427"/>
      <c r="BT6024" s="427"/>
      <c r="BU6024" s="427"/>
      <c r="BV6024" s="427"/>
      <c r="BW6024" s="427"/>
      <c r="BX6024" s="427"/>
      <c r="BY6024" s="427"/>
      <c r="BZ6024" s="427"/>
    </row>
    <row r="6025" spans="2:78" s="152" customFormat="1" ht="15" x14ac:dyDescent="0.25">
      <c r="B6025" s="683"/>
      <c r="C6025" s="683"/>
      <c r="D6025" s="698"/>
      <c r="E6025" s="215"/>
      <c r="F6025" s="215"/>
      <c r="G6025" s="427"/>
      <c r="H6025" s="427"/>
      <c r="I6025" s="427"/>
      <c r="J6025" s="427"/>
      <c r="K6025" s="427"/>
      <c r="L6025" s="653"/>
      <c r="M6025" s="666">
        <v>27884</v>
      </c>
      <c r="N6025" s="600">
        <v>1475.3077000000001</v>
      </c>
      <c r="O6025" s="620">
        <v>2.3094479999999997</v>
      </c>
      <c r="P6025" s="782"/>
      <c r="Q6025" s="764"/>
      <c r="R6025" s="764"/>
      <c r="S6025" s="764"/>
      <c r="T6025" s="764"/>
      <c r="U6025" s="764"/>
      <c r="V6025" s="764"/>
      <c r="W6025" s="764"/>
      <c r="X6025" s="764"/>
      <c r="Y6025" s="768"/>
      <c r="Z6025" s="266"/>
      <c r="AA6025" s="150"/>
      <c r="AB6025" s="150">
        <v>48</v>
      </c>
      <c r="AC6025" s="231">
        <v>3.4000000000000002E-4</v>
      </c>
      <c r="AD6025" s="150">
        <v>140.82</v>
      </c>
      <c r="AE6025" s="223">
        <v>4.8460000000000001</v>
      </c>
      <c r="AF6025" s="223">
        <f t="shared" si="51"/>
        <v>682.41372000000001</v>
      </c>
      <c r="AG6025" s="223">
        <v>2.1789999999999998</v>
      </c>
      <c r="AH6025" s="346"/>
      <c r="AI6025" s="427"/>
      <c r="AJ6025" s="480"/>
      <c r="AK6025" s="427"/>
      <c r="AU6025" s="218"/>
      <c r="AV6025" s="218"/>
      <c r="AW6025" s="218"/>
      <c r="AX6025" s="218"/>
      <c r="AY6025" s="428"/>
      <c r="AZ6025" s="429"/>
      <c r="BA6025" s="429"/>
      <c r="BB6025" s="429"/>
      <c r="BI6025" s="427"/>
      <c r="BJ6025" s="427"/>
      <c r="BK6025" s="427"/>
      <c r="BL6025" s="427"/>
      <c r="BM6025" s="427"/>
      <c r="BN6025" s="427"/>
      <c r="BO6025" s="427"/>
      <c r="BP6025" s="427"/>
      <c r="BQ6025" s="427"/>
      <c r="BR6025" s="427"/>
      <c r="BS6025" s="427"/>
      <c r="BT6025" s="427"/>
      <c r="BU6025" s="427"/>
      <c r="BV6025" s="427"/>
      <c r="BW6025" s="427"/>
      <c r="BX6025" s="427"/>
      <c r="BY6025" s="427"/>
      <c r="BZ6025" s="427"/>
    </row>
    <row r="6026" spans="2:78" s="152" customFormat="1" ht="15" x14ac:dyDescent="0.25">
      <c r="B6026" s="683"/>
      <c r="C6026" s="683"/>
      <c r="D6026" s="698"/>
      <c r="E6026" s="215"/>
      <c r="F6026" s="215"/>
      <c r="G6026" s="427"/>
      <c r="H6026" s="427"/>
      <c r="I6026" s="427"/>
      <c r="J6026" s="427"/>
      <c r="K6026" s="427"/>
      <c r="L6026" s="653"/>
      <c r="M6026" s="666">
        <v>27886</v>
      </c>
      <c r="N6026" s="600">
        <v>1543.2681</v>
      </c>
      <c r="O6026" s="620">
        <v>2.2535069999999999</v>
      </c>
      <c r="P6026" s="782"/>
      <c r="Q6026" s="764"/>
      <c r="R6026" s="764"/>
      <c r="S6026" s="764"/>
      <c r="T6026" s="764"/>
      <c r="U6026" s="764"/>
      <c r="V6026" s="764"/>
      <c r="W6026" s="764"/>
      <c r="X6026" s="764"/>
      <c r="Y6026" s="768"/>
      <c r="Z6026" s="266"/>
      <c r="AA6026" s="150"/>
      <c r="AB6026" s="150">
        <v>49</v>
      </c>
      <c r="AC6026" s="231">
        <v>3.5E-4</v>
      </c>
      <c r="AD6026" s="150">
        <v>141.72999999999999</v>
      </c>
      <c r="AE6026" s="223">
        <v>4.8769999999999998</v>
      </c>
      <c r="AF6026" s="223">
        <f t="shared" si="51"/>
        <v>691.21720999999991</v>
      </c>
      <c r="AG6026" s="223">
        <v>2.2559999999999998</v>
      </c>
      <c r="AH6026" s="346"/>
      <c r="AI6026" s="427"/>
      <c r="AJ6026" s="480"/>
      <c r="AK6026" s="427"/>
      <c r="AU6026" s="218"/>
      <c r="AV6026" s="218"/>
      <c r="AW6026" s="218"/>
      <c r="AX6026" s="218"/>
      <c r="AY6026" s="428"/>
      <c r="AZ6026" s="429"/>
      <c r="BA6026" s="429"/>
      <c r="BB6026" s="429"/>
      <c r="BI6026" s="427"/>
      <c r="BJ6026" s="427"/>
      <c r="BK6026" s="427"/>
      <c r="BL6026" s="427"/>
      <c r="BM6026" s="427"/>
      <c r="BN6026" s="427"/>
      <c r="BO6026" s="427"/>
      <c r="BP6026" s="427"/>
      <c r="BQ6026" s="427"/>
      <c r="BR6026" s="427"/>
      <c r="BS6026" s="427"/>
      <c r="BT6026" s="427"/>
      <c r="BU6026" s="427"/>
      <c r="BV6026" s="427"/>
      <c r="BW6026" s="427"/>
      <c r="BX6026" s="427"/>
      <c r="BY6026" s="427"/>
      <c r="BZ6026" s="427"/>
    </row>
    <row r="6027" spans="2:78" s="152" customFormat="1" ht="15" x14ac:dyDescent="0.25">
      <c r="B6027" s="683"/>
      <c r="C6027" s="683"/>
      <c r="D6027" s="698"/>
      <c r="E6027" s="215"/>
      <c r="F6027" s="215"/>
      <c r="G6027" s="427"/>
      <c r="H6027" s="427"/>
      <c r="I6027" s="427"/>
      <c r="J6027" s="427"/>
      <c r="K6027" s="427"/>
      <c r="L6027" s="653"/>
      <c r="M6027" s="666">
        <v>27891</v>
      </c>
      <c r="N6027" s="600">
        <v>2293.6646000000001</v>
      </c>
      <c r="O6027" s="620">
        <v>4.9577989999999996</v>
      </c>
      <c r="P6027" s="782"/>
      <c r="Q6027" s="764"/>
      <c r="R6027" s="764"/>
      <c r="S6027" s="764"/>
      <c r="T6027" s="764"/>
      <c r="U6027" s="764"/>
      <c r="V6027" s="764"/>
      <c r="W6027" s="764"/>
      <c r="X6027" s="764"/>
      <c r="Y6027" s="768"/>
      <c r="Z6027" s="266"/>
      <c r="AA6027" s="150"/>
      <c r="AB6027" s="150">
        <v>50</v>
      </c>
      <c r="AC6027" s="231">
        <v>4.8999999999999998E-4</v>
      </c>
      <c r="AD6027" s="150">
        <v>145.38999999999999</v>
      </c>
      <c r="AE6027" s="223">
        <v>5.3040000000000003</v>
      </c>
      <c r="AF6027" s="223">
        <f t="shared" si="51"/>
        <v>771.14855999999997</v>
      </c>
      <c r="AG6027" s="223">
        <v>3.0019999999999998</v>
      </c>
      <c r="AH6027" s="346"/>
      <c r="AI6027" s="427"/>
      <c r="AJ6027" s="480"/>
      <c r="AK6027" s="427"/>
      <c r="AU6027" s="218"/>
      <c r="AV6027" s="218"/>
      <c r="AW6027" s="218"/>
      <c r="AX6027" s="218"/>
      <c r="AY6027" s="428"/>
      <c r="AZ6027" s="429"/>
      <c r="BA6027" s="429"/>
      <c r="BB6027" s="429"/>
      <c r="BI6027" s="427"/>
      <c r="BJ6027" s="427"/>
      <c r="BK6027" s="427"/>
      <c r="BL6027" s="427"/>
      <c r="BM6027" s="427"/>
      <c r="BN6027" s="427"/>
      <c r="BO6027" s="427"/>
      <c r="BP6027" s="427"/>
      <c r="BQ6027" s="427"/>
      <c r="BR6027" s="427"/>
      <c r="BS6027" s="427"/>
      <c r="BT6027" s="427"/>
      <c r="BU6027" s="427"/>
      <c r="BV6027" s="427"/>
      <c r="BW6027" s="427"/>
      <c r="BX6027" s="427"/>
      <c r="BY6027" s="427"/>
      <c r="BZ6027" s="427"/>
    </row>
    <row r="6028" spans="2:78" s="152" customFormat="1" ht="15" x14ac:dyDescent="0.25">
      <c r="B6028" s="683"/>
      <c r="C6028" s="683"/>
      <c r="D6028" s="698"/>
      <c r="E6028" s="215"/>
      <c r="F6028" s="215"/>
      <c r="G6028" s="427"/>
      <c r="H6028" s="427"/>
      <c r="I6028" s="427"/>
      <c r="J6028" s="427"/>
      <c r="K6028" s="427"/>
      <c r="L6028" s="653"/>
      <c r="M6028" s="666">
        <v>27892</v>
      </c>
      <c r="N6028" s="600">
        <v>1812.2782</v>
      </c>
      <c r="O6028" s="620">
        <v>2.9733599999999996</v>
      </c>
      <c r="P6028" s="782"/>
      <c r="Q6028" s="764"/>
      <c r="R6028" s="764"/>
      <c r="S6028" s="764"/>
      <c r="T6028" s="764"/>
      <c r="U6028" s="764"/>
      <c r="V6028" s="764"/>
      <c r="W6028" s="764"/>
      <c r="X6028" s="764"/>
      <c r="Y6028" s="768"/>
      <c r="Z6028" s="266"/>
      <c r="AA6028" s="150"/>
      <c r="AB6028" s="150">
        <v>51</v>
      </c>
      <c r="AC6028" s="231">
        <v>4.0999999999999999E-4</v>
      </c>
      <c r="AD6028" s="150">
        <v>142.94999999999999</v>
      </c>
      <c r="AE6028" s="223">
        <v>5.0599999999999996</v>
      </c>
      <c r="AF6028" s="223">
        <f t="shared" si="51"/>
        <v>723.32699999999988</v>
      </c>
      <c r="AG6028" s="223">
        <v>2.5299999999999998</v>
      </c>
      <c r="AH6028" s="346"/>
      <c r="AI6028" s="427"/>
      <c r="AJ6028" s="480"/>
      <c r="AK6028" s="427"/>
      <c r="AU6028" s="218"/>
      <c r="AV6028" s="218"/>
      <c r="AW6028" s="218"/>
      <c r="AX6028" s="218"/>
      <c r="AY6028" s="428"/>
      <c r="AZ6028" s="429"/>
      <c r="BA6028" s="429"/>
      <c r="BB6028" s="429"/>
      <c r="BI6028" s="427"/>
      <c r="BJ6028" s="427"/>
      <c r="BK6028" s="427"/>
      <c r="BL6028" s="427"/>
      <c r="BM6028" s="427"/>
      <c r="BN6028" s="427"/>
      <c r="BO6028" s="427"/>
      <c r="BP6028" s="427"/>
      <c r="BQ6028" s="427"/>
      <c r="BR6028" s="427"/>
      <c r="BS6028" s="427"/>
      <c r="BT6028" s="427"/>
      <c r="BU6028" s="427"/>
      <c r="BV6028" s="427"/>
      <c r="BW6028" s="427"/>
      <c r="BX6028" s="427"/>
      <c r="BY6028" s="427"/>
      <c r="BZ6028" s="427"/>
    </row>
    <row r="6029" spans="2:78" s="152" customFormat="1" ht="15" x14ac:dyDescent="0.25">
      <c r="B6029" s="683"/>
      <c r="C6029" s="683"/>
      <c r="D6029" s="698"/>
      <c r="E6029" s="215"/>
      <c r="F6029" s="215"/>
      <c r="G6029" s="427"/>
      <c r="H6029" s="427"/>
      <c r="I6029" s="427"/>
      <c r="J6029" s="427"/>
      <c r="K6029" s="427"/>
      <c r="L6029" s="653"/>
      <c r="M6029" s="666">
        <v>27904</v>
      </c>
      <c r="N6029" s="600">
        <v>1574.4167</v>
      </c>
      <c r="O6029" s="620">
        <v>4.1901799999999998</v>
      </c>
      <c r="P6029" s="782"/>
      <c r="Q6029" s="764"/>
      <c r="R6029" s="764"/>
      <c r="S6029" s="764"/>
      <c r="T6029" s="764"/>
      <c r="U6029" s="764"/>
      <c r="V6029" s="764"/>
      <c r="W6029" s="764"/>
      <c r="X6029" s="764"/>
      <c r="Y6029" s="768"/>
      <c r="Z6029" s="266"/>
      <c r="AA6029" s="150"/>
      <c r="AB6029" s="150">
        <v>52</v>
      </c>
      <c r="AC6029" s="231">
        <v>3.6000000000000002E-4</v>
      </c>
      <c r="AD6029" s="150">
        <v>142.04</v>
      </c>
      <c r="AE6029" s="223">
        <v>4.907</v>
      </c>
      <c r="AF6029" s="223">
        <f t="shared" si="51"/>
        <v>696.99027999999998</v>
      </c>
      <c r="AG6029" s="223">
        <v>2.286</v>
      </c>
      <c r="AH6029" s="346"/>
      <c r="AI6029" s="427"/>
      <c r="AJ6029" s="480"/>
      <c r="AK6029" s="427"/>
      <c r="AU6029" s="218"/>
      <c r="AV6029" s="218"/>
      <c r="AW6029" s="218"/>
      <c r="AX6029" s="218"/>
      <c r="AY6029" s="428"/>
      <c r="AZ6029" s="429"/>
      <c r="BA6029" s="429"/>
      <c r="BB6029" s="429"/>
      <c r="BI6029" s="427"/>
      <c r="BJ6029" s="427"/>
      <c r="BK6029" s="427"/>
      <c r="BL6029" s="427"/>
      <c r="BM6029" s="427"/>
      <c r="BN6029" s="427"/>
      <c r="BO6029" s="427"/>
      <c r="BP6029" s="427"/>
      <c r="BQ6029" s="427"/>
      <c r="BR6029" s="427"/>
      <c r="BS6029" s="427"/>
      <c r="BT6029" s="427"/>
      <c r="BU6029" s="427"/>
      <c r="BV6029" s="427"/>
      <c r="BW6029" s="427"/>
      <c r="BX6029" s="427"/>
      <c r="BY6029" s="427"/>
      <c r="BZ6029" s="427"/>
    </row>
    <row r="6030" spans="2:78" s="152" customFormat="1" ht="15" x14ac:dyDescent="0.25">
      <c r="B6030" s="683"/>
      <c r="C6030" s="683"/>
      <c r="D6030" s="698"/>
      <c r="E6030" s="215"/>
      <c r="F6030" s="215"/>
      <c r="G6030" s="427"/>
      <c r="H6030" s="427"/>
      <c r="I6030" s="427"/>
      <c r="J6030" s="427"/>
      <c r="K6030" s="427"/>
      <c r="L6030" s="653"/>
      <c r="M6030" s="666">
        <v>27906</v>
      </c>
      <c r="N6030" s="600">
        <v>1619.7236</v>
      </c>
      <c r="O6030" s="620">
        <v>7.2156319999999994</v>
      </c>
      <c r="P6030" s="782"/>
      <c r="Q6030" s="764"/>
      <c r="R6030" s="764"/>
      <c r="S6030" s="764"/>
      <c r="T6030" s="764"/>
      <c r="U6030" s="764"/>
      <c r="V6030" s="764"/>
      <c r="W6030" s="764"/>
      <c r="X6030" s="764"/>
      <c r="Y6030" s="768"/>
      <c r="Z6030" s="266"/>
      <c r="AA6030" s="150"/>
      <c r="AB6030" s="150">
        <v>53</v>
      </c>
      <c r="AC6030" s="231">
        <v>3.6999999999999999E-4</v>
      </c>
      <c r="AD6030" s="150">
        <v>142.04</v>
      </c>
      <c r="AE6030" s="223">
        <v>4.9379999999999997</v>
      </c>
      <c r="AF6030" s="223">
        <f t="shared" si="51"/>
        <v>701.39351999999997</v>
      </c>
      <c r="AG6030" s="223">
        <v>2.3319999999999999</v>
      </c>
      <c r="AH6030" s="346"/>
      <c r="AI6030" s="427"/>
      <c r="AJ6030" s="480"/>
      <c r="AK6030" s="427"/>
      <c r="AU6030" s="218"/>
      <c r="AV6030" s="218"/>
      <c r="AW6030" s="218"/>
      <c r="AX6030" s="218"/>
      <c r="AY6030" s="428"/>
      <c r="AZ6030" s="429"/>
      <c r="BA6030" s="429"/>
      <c r="BB6030" s="429"/>
      <c r="BI6030" s="427"/>
      <c r="BJ6030" s="427"/>
      <c r="BK6030" s="427"/>
      <c r="BL6030" s="427"/>
      <c r="BM6030" s="427"/>
      <c r="BN6030" s="427"/>
      <c r="BO6030" s="427"/>
      <c r="BP6030" s="427"/>
      <c r="BQ6030" s="427"/>
      <c r="BR6030" s="427"/>
      <c r="BS6030" s="427"/>
      <c r="BT6030" s="427"/>
      <c r="BU6030" s="427"/>
      <c r="BV6030" s="427"/>
      <c r="BW6030" s="427"/>
      <c r="BX6030" s="427"/>
      <c r="BY6030" s="427"/>
      <c r="BZ6030" s="427"/>
    </row>
    <row r="6031" spans="2:78" s="152" customFormat="1" ht="15" x14ac:dyDescent="0.25">
      <c r="B6031" s="683"/>
      <c r="C6031" s="683"/>
      <c r="D6031" s="698"/>
      <c r="E6031" s="215"/>
      <c r="F6031" s="215"/>
      <c r="G6031" s="427"/>
      <c r="H6031" s="427"/>
      <c r="I6031" s="427"/>
      <c r="J6031" s="427"/>
      <c r="K6031" s="427"/>
      <c r="L6031" s="653"/>
      <c r="M6031" s="666">
        <v>27920</v>
      </c>
      <c r="N6031" s="600">
        <v>1747.1494</v>
      </c>
      <c r="O6031" s="620">
        <v>4.9676660000000004</v>
      </c>
      <c r="P6031" s="782"/>
      <c r="Q6031" s="764"/>
      <c r="R6031" s="764"/>
      <c r="S6031" s="764"/>
      <c r="T6031" s="764"/>
      <c r="U6031" s="764"/>
      <c r="V6031" s="764"/>
      <c r="W6031" s="764"/>
      <c r="X6031" s="764"/>
      <c r="Y6031" s="768"/>
      <c r="Z6031" s="266"/>
      <c r="AA6031" s="150"/>
      <c r="AB6031" s="150">
        <v>54</v>
      </c>
      <c r="AC6031" s="231">
        <v>3.8999999999999999E-4</v>
      </c>
      <c r="AD6031" s="150">
        <v>142.34</v>
      </c>
      <c r="AE6031" s="223">
        <v>4.9989999999999997</v>
      </c>
      <c r="AF6031" s="223">
        <f t="shared" si="51"/>
        <v>711.55765999999994</v>
      </c>
      <c r="AG6031" s="223">
        <v>2.4689999999999999</v>
      </c>
      <c r="AH6031" s="346"/>
      <c r="AI6031" s="427"/>
      <c r="AJ6031" s="480"/>
      <c r="AK6031" s="427"/>
      <c r="AU6031" s="218"/>
      <c r="AV6031" s="218"/>
      <c r="AW6031" s="218"/>
      <c r="AX6031" s="218"/>
      <c r="AY6031" s="428"/>
      <c r="AZ6031" s="429"/>
      <c r="BA6031" s="429"/>
      <c r="BB6031" s="429"/>
      <c r="BI6031" s="427"/>
      <c r="BJ6031" s="427"/>
      <c r="BK6031" s="427"/>
      <c r="BL6031" s="427"/>
      <c r="BM6031" s="427"/>
      <c r="BN6031" s="427"/>
      <c r="BO6031" s="427"/>
      <c r="BP6031" s="427"/>
      <c r="BQ6031" s="427"/>
      <c r="BR6031" s="427"/>
      <c r="BS6031" s="427"/>
      <c r="BT6031" s="427"/>
      <c r="BU6031" s="427"/>
      <c r="BV6031" s="427"/>
      <c r="BW6031" s="427"/>
      <c r="BX6031" s="427"/>
      <c r="BY6031" s="427"/>
      <c r="BZ6031" s="427"/>
    </row>
    <row r="6032" spans="2:78" s="152" customFormat="1" ht="15" x14ac:dyDescent="0.25">
      <c r="B6032" s="683"/>
      <c r="C6032" s="683"/>
      <c r="D6032" s="698"/>
      <c r="E6032" s="215"/>
      <c r="F6032" s="215"/>
      <c r="G6032" s="427"/>
      <c r="H6032" s="427"/>
      <c r="I6032" s="427"/>
      <c r="J6032" s="427"/>
      <c r="K6032" s="427"/>
      <c r="L6032" s="653"/>
      <c r="M6032" s="666">
        <v>27922</v>
      </c>
      <c r="N6032" s="600">
        <v>1551.7632000000001</v>
      </c>
      <c r="O6032" s="620">
        <v>4.4928409999999994</v>
      </c>
      <c r="P6032" s="782"/>
      <c r="Q6032" s="764"/>
      <c r="R6032" s="764"/>
      <c r="S6032" s="764"/>
      <c r="T6032" s="764"/>
      <c r="U6032" s="764"/>
      <c r="V6032" s="764"/>
      <c r="W6032" s="764"/>
      <c r="X6032" s="764"/>
      <c r="Y6032" s="768"/>
      <c r="Z6032" s="266"/>
      <c r="AA6032" s="150"/>
      <c r="AB6032" s="150">
        <v>55</v>
      </c>
      <c r="AC6032" s="231">
        <v>3.5E-4</v>
      </c>
      <c r="AD6032" s="150">
        <v>141.72999999999999</v>
      </c>
      <c r="AE6032" s="223">
        <v>4.8769999999999998</v>
      </c>
      <c r="AF6032" s="223">
        <f t="shared" si="51"/>
        <v>691.21720999999991</v>
      </c>
      <c r="AG6032" s="223">
        <v>2.2559999999999998</v>
      </c>
      <c r="AH6032" s="346"/>
      <c r="AI6032" s="427"/>
      <c r="AJ6032" s="480"/>
      <c r="AK6032" s="427"/>
      <c r="AU6032" s="218"/>
      <c r="AV6032" s="218"/>
      <c r="AW6032" s="218"/>
      <c r="AX6032" s="218"/>
      <c r="AY6032" s="428"/>
      <c r="AZ6032" s="429"/>
      <c r="BA6032" s="429"/>
      <c r="BB6032" s="429"/>
      <c r="BI6032" s="427"/>
      <c r="BJ6032" s="427"/>
      <c r="BK6032" s="427"/>
      <c r="BL6032" s="427"/>
      <c r="BM6032" s="427"/>
      <c r="BN6032" s="427"/>
      <c r="BO6032" s="427"/>
      <c r="BP6032" s="427"/>
      <c r="BQ6032" s="427"/>
      <c r="BR6032" s="427"/>
      <c r="BS6032" s="427"/>
      <c r="BT6032" s="427"/>
      <c r="BU6032" s="427"/>
      <c r="BV6032" s="427"/>
      <c r="BW6032" s="427"/>
      <c r="BX6032" s="427"/>
      <c r="BY6032" s="427"/>
      <c r="BZ6032" s="427"/>
    </row>
    <row r="6033" spans="2:78" s="152" customFormat="1" ht="15" x14ac:dyDescent="0.25">
      <c r="B6033" s="683"/>
      <c r="C6033" s="683"/>
      <c r="D6033" s="698"/>
      <c r="E6033" s="215"/>
      <c r="F6033" s="215"/>
      <c r="G6033" s="427"/>
      <c r="H6033" s="427"/>
      <c r="I6033" s="427"/>
      <c r="J6033" s="427"/>
      <c r="K6033" s="427"/>
      <c r="L6033" s="653"/>
      <c r="M6033" s="666">
        <v>28241</v>
      </c>
      <c r="N6033" s="600">
        <v>676.77260000000001</v>
      </c>
      <c r="O6033" s="620">
        <v>1.2968437000000002</v>
      </c>
      <c r="P6033" s="782"/>
      <c r="Q6033" s="764"/>
      <c r="R6033" s="764"/>
      <c r="S6033" s="764"/>
      <c r="T6033" s="764"/>
      <c r="U6033" s="764"/>
      <c r="V6033" s="764"/>
      <c r="W6033" s="764"/>
      <c r="X6033" s="764"/>
      <c r="Y6033" s="768"/>
      <c r="Z6033" s="266"/>
      <c r="AA6033" s="150"/>
      <c r="AB6033" s="150">
        <v>56</v>
      </c>
      <c r="AC6033" s="231">
        <v>1.8000000000000001E-4</v>
      </c>
      <c r="AD6033" s="150">
        <v>134.11000000000001</v>
      </c>
      <c r="AE6033" s="223">
        <v>4.0839999999999996</v>
      </c>
      <c r="AF6033" s="223">
        <f t="shared" si="51"/>
        <v>547.70524</v>
      </c>
      <c r="AG6033" s="223">
        <v>1.234</v>
      </c>
      <c r="AH6033" s="346"/>
      <c r="AI6033" s="427"/>
      <c r="AJ6033" s="480"/>
      <c r="AK6033" s="427"/>
      <c r="AU6033" s="218"/>
      <c r="AV6033" s="218"/>
      <c r="AW6033" s="218"/>
      <c r="AX6033" s="218"/>
      <c r="AY6033" s="428"/>
      <c r="AZ6033" s="429"/>
      <c r="BA6033" s="429"/>
      <c r="BB6033" s="429"/>
      <c r="BI6033" s="427"/>
      <c r="BJ6033" s="427"/>
      <c r="BK6033" s="427"/>
      <c r="BL6033" s="427"/>
      <c r="BM6033" s="427"/>
      <c r="BN6033" s="427"/>
      <c r="BO6033" s="427"/>
      <c r="BP6033" s="427"/>
      <c r="BQ6033" s="427"/>
      <c r="BR6033" s="427"/>
      <c r="BS6033" s="427"/>
      <c r="BT6033" s="427"/>
      <c r="BU6033" s="427"/>
      <c r="BV6033" s="427"/>
      <c r="BW6033" s="427"/>
      <c r="BX6033" s="427"/>
      <c r="BY6033" s="427"/>
      <c r="BZ6033" s="427"/>
    </row>
    <row r="6034" spans="2:78" s="152" customFormat="1" ht="15" x14ac:dyDescent="0.25">
      <c r="B6034" s="683"/>
      <c r="C6034" s="683"/>
      <c r="D6034" s="698"/>
      <c r="E6034" s="215"/>
      <c r="F6034" s="215"/>
      <c r="G6034" s="427"/>
      <c r="H6034" s="427"/>
      <c r="I6034" s="427"/>
      <c r="J6034" s="427"/>
      <c r="K6034" s="427"/>
      <c r="L6034" s="653"/>
      <c r="M6034" s="666">
        <v>28249</v>
      </c>
      <c r="N6034" s="600">
        <v>679.60429999999997</v>
      </c>
      <c r="O6034" s="620">
        <v>0.43988080000000002</v>
      </c>
      <c r="P6034" s="782"/>
      <c r="Q6034" s="764"/>
      <c r="R6034" s="764"/>
      <c r="S6034" s="764"/>
      <c r="T6034" s="764"/>
      <c r="U6034" s="764"/>
      <c r="V6034" s="764"/>
      <c r="W6034" s="764"/>
      <c r="X6034" s="764"/>
      <c r="Y6034" s="768"/>
      <c r="Z6034" s="266"/>
      <c r="AA6034" s="150"/>
      <c r="AB6034" s="150">
        <v>57</v>
      </c>
      <c r="AC6034" s="231">
        <v>1.8000000000000001E-4</v>
      </c>
      <c r="AD6034" s="150">
        <v>134.11000000000001</v>
      </c>
      <c r="AE6034" s="223">
        <v>4.0839999999999996</v>
      </c>
      <c r="AF6034" s="223">
        <f t="shared" si="51"/>
        <v>547.70524</v>
      </c>
      <c r="AG6034" s="223">
        <v>1.234</v>
      </c>
      <c r="AH6034" s="346"/>
      <c r="AI6034" s="427"/>
      <c r="AJ6034" s="480"/>
      <c r="AK6034" s="427"/>
      <c r="AU6034" s="218"/>
      <c r="AV6034" s="218"/>
      <c r="AW6034" s="218"/>
      <c r="AX6034" s="218"/>
      <c r="AY6034" s="428"/>
      <c r="AZ6034" s="429"/>
      <c r="BA6034" s="429"/>
      <c r="BB6034" s="429"/>
      <c r="BI6034" s="427"/>
      <c r="BJ6034" s="427"/>
      <c r="BK6034" s="427"/>
      <c r="BL6034" s="427"/>
      <c r="BM6034" s="427"/>
      <c r="BN6034" s="427"/>
      <c r="BO6034" s="427"/>
      <c r="BP6034" s="427"/>
      <c r="BQ6034" s="427"/>
      <c r="BR6034" s="427"/>
      <c r="BS6034" s="427"/>
      <c r="BT6034" s="427"/>
      <c r="BU6034" s="427"/>
      <c r="BV6034" s="427"/>
      <c r="BW6034" s="427"/>
      <c r="BX6034" s="427"/>
      <c r="BY6034" s="427"/>
      <c r="BZ6034" s="427"/>
    </row>
    <row r="6035" spans="2:78" s="152" customFormat="1" ht="15" x14ac:dyDescent="0.25">
      <c r="B6035" s="683"/>
      <c r="C6035" s="683"/>
      <c r="D6035" s="698"/>
      <c r="E6035" s="215"/>
      <c r="F6035" s="215"/>
      <c r="G6035" s="427"/>
      <c r="H6035" s="427"/>
      <c r="I6035" s="427"/>
      <c r="J6035" s="427"/>
      <c r="K6035" s="427"/>
      <c r="L6035" s="653"/>
      <c r="M6035" s="666">
        <v>28573</v>
      </c>
      <c r="N6035" s="600">
        <v>863.66380000000004</v>
      </c>
      <c r="O6035" s="620">
        <v>0.59003399999999995</v>
      </c>
      <c r="P6035" s="782"/>
      <c r="Q6035" s="764"/>
      <c r="R6035" s="764"/>
      <c r="S6035" s="764"/>
      <c r="T6035" s="764"/>
      <c r="U6035" s="764"/>
      <c r="V6035" s="764"/>
      <c r="W6035" s="764"/>
      <c r="X6035" s="764"/>
      <c r="Y6035" s="768"/>
      <c r="Z6035" s="266"/>
      <c r="AA6035" s="150"/>
      <c r="AB6035" s="150">
        <v>58</v>
      </c>
      <c r="AC6035" s="231">
        <v>2.2000000000000001E-4</v>
      </c>
      <c r="AD6035" s="150">
        <v>135.63999999999999</v>
      </c>
      <c r="AE6035" s="223">
        <v>4.3280000000000003</v>
      </c>
      <c r="AF6035" s="223">
        <f t="shared" si="51"/>
        <v>587.04991999999993</v>
      </c>
      <c r="AG6035" s="223">
        <v>1.478</v>
      </c>
      <c r="AH6035" s="346"/>
      <c r="AI6035" s="427"/>
      <c r="AJ6035" s="480"/>
      <c r="AK6035" s="427"/>
      <c r="AU6035" s="218"/>
      <c r="AV6035" s="218"/>
      <c r="AW6035" s="218"/>
      <c r="AX6035" s="218"/>
      <c r="AY6035" s="428"/>
      <c r="AZ6035" s="429"/>
      <c r="BA6035" s="429"/>
      <c r="BB6035" s="429"/>
      <c r="BI6035" s="427"/>
      <c r="BJ6035" s="427"/>
      <c r="BK6035" s="427"/>
      <c r="BL6035" s="427"/>
      <c r="BM6035" s="427"/>
      <c r="BN6035" s="427"/>
      <c r="BO6035" s="427"/>
      <c r="BP6035" s="427"/>
      <c r="BQ6035" s="427"/>
      <c r="BR6035" s="427"/>
      <c r="BS6035" s="427"/>
      <c r="BT6035" s="427"/>
      <c r="BU6035" s="427"/>
      <c r="BV6035" s="427"/>
      <c r="BW6035" s="427"/>
      <c r="BX6035" s="427"/>
      <c r="BY6035" s="427"/>
      <c r="BZ6035" s="427"/>
    </row>
    <row r="6036" spans="2:78" s="152" customFormat="1" ht="15" x14ac:dyDescent="0.25">
      <c r="B6036" s="683"/>
      <c r="C6036" s="683"/>
      <c r="D6036" s="698"/>
      <c r="E6036" s="215"/>
      <c r="F6036" s="215"/>
      <c r="G6036" s="427"/>
      <c r="H6036" s="427"/>
      <c r="I6036" s="427"/>
      <c r="J6036" s="427"/>
      <c r="K6036" s="427"/>
      <c r="L6036" s="653"/>
      <c r="M6036" s="666">
        <v>28608</v>
      </c>
      <c r="N6036" s="600">
        <v>846.67370000000005</v>
      </c>
      <c r="O6036" s="620">
        <v>0.68341649999999998</v>
      </c>
      <c r="P6036" s="782"/>
      <c r="Q6036" s="764"/>
      <c r="R6036" s="764"/>
      <c r="S6036" s="764"/>
      <c r="T6036" s="764"/>
      <c r="U6036" s="764"/>
      <c r="V6036" s="764"/>
      <c r="W6036" s="764"/>
      <c r="X6036" s="764"/>
      <c r="Y6036" s="768"/>
      <c r="Z6036" s="266"/>
      <c r="AA6036" s="150"/>
      <c r="AB6036" s="150">
        <v>59</v>
      </c>
      <c r="AC6036" s="231">
        <v>2.2000000000000001E-4</v>
      </c>
      <c r="AD6036" s="150">
        <v>135.33000000000001</v>
      </c>
      <c r="AE6036" s="223">
        <v>4.298</v>
      </c>
      <c r="AF6036" s="223">
        <f t="shared" si="51"/>
        <v>581.64834000000008</v>
      </c>
      <c r="AG6036" s="223">
        <v>1.4450000000000001</v>
      </c>
      <c r="AH6036" s="346"/>
      <c r="AI6036" s="427"/>
      <c r="AJ6036" s="480"/>
      <c r="AK6036" s="427"/>
      <c r="AU6036" s="218"/>
      <c r="AV6036" s="218"/>
      <c r="AW6036" s="218"/>
      <c r="AX6036" s="218"/>
      <c r="AY6036" s="428"/>
      <c r="AZ6036" s="429"/>
      <c r="BA6036" s="429"/>
      <c r="BB6036" s="429"/>
      <c r="BI6036" s="427"/>
      <c r="BJ6036" s="427"/>
      <c r="BK6036" s="427"/>
      <c r="BL6036" s="427"/>
      <c r="BM6036" s="427"/>
      <c r="BN6036" s="427"/>
      <c r="BO6036" s="427"/>
      <c r="BP6036" s="427"/>
      <c r="BQ6036" s="427"/>
      <c r="BR6036" s="427"/>
      <c r="BS6036" s="427"/>
      <c r="BT6036" s="427"/>
      <c r="BU6036" s="427"/>
      <c r="BV6036" s="427"/>
      <c r="BW6036" s="427"/>
      <c r="BX6036" s="427"/>
      <c r="BY6036" s="427"/>
      <c r="BZ6036" s="427"/>
    </row>
    <row r="6037" spans="2:78" s="152" customFormat="1" ht="15" x14ac:dyDescent="0.25">
      <c r="B6037" s="683"/>
      <c r="C6037" s="683"/>
      <c r="D6037" s="698"/>
      <c r="E6037" s="215"/>
      <c r="F6037" s="215"/>
      <c r="G6037" s="427"/>
      <c r="H6037" s="427"/>
      <c r="I6037" s="427"/>
      <c r="J6037" s="427"/>
      <c r="K6037" s="427"/>
      <c r="L6037" s="653"/>
      <c r="M6037" s="666">
        <v>28625</v>
      </c>
      <c r="N6037" s="600">
        <v>1056.2184</v>
      </c>
      <c r="O6037" s="620">
        <v>1.5049629999999998</v>
      </c>
      <c r="P6037" s="782"/>
      <c r="Q6037" s="764"/>
      <c r="R6037" s="764"/>
      <c r="S6037" s="764"/>
      <c r="T6037" s="764"/>
      <c r="U6037" s="764"/>
      <c r="V6037" s="764"/>
      <c r="W6037" s="764"/>
      <c r="X6037" s="764"/>
      <c r="Y6037" s="768"/>
      <c r="Z6037" s="266"/>
      <c r="AA6037" s="150"/>
      <c r="AB6037" s="150">
        <v>60</v>
      </c>
      <c r="AC6037" s="231">
        <v>2.5999999999999998E-4</v>
      </c>
      <c r="AD6037" s="150">
        <v>138.07</v>
      </c>
      <c r="AE6037" s="223">
        <v>4.5110000000000001</v>
      </c>
      <c r="AF6037" s="223">
        <f t="shared" si="51"/>
        <v>622.83376999999996</v>
      </c>
      <c r="AG6037" s="223">
        <v>1.7070000000000001</v>
      </c>
      <c r="AH6037" s="346"/>
      <c r="AI6037" s="427"/>
      <c r="AJ6037" s="480"/>
      <c r="AK6037" s="427"/>
      <c r="AU6037" s="218"/>
      <c r="AV6037" s="218"/>
      <c r="AW6037" s="218"/>
      <c r="AX6037" s="218"/>
      <c r="AY6037" s="428"/>
      <c r="AZ6037" s="429"/>
      <c r="BA6037" s="429"/>
      <c r="BB6037" s="429"/>
      <c r="BI6037" s="427"/>
      <c r="BJ6037" s="427"/>
      <c r="BK6037" s="427"/>
      <c r="BL6037" s="427"/>
      <c r="BM6037" s="427"/>
      <c r="BN6037" s="427"/>
      <c r="BO6037" s="427"/>
      <c r="BP6037" s="427"/>
      <c r="BQ6037" s="427"/>
      <c r="BR6037" s="427"/>
      <c r="BS6037" s="427"/>
      <c r="BT6037" s="427"/>
      <c r="BU6037" s="427"/>
      <c r="BV6037" s="427"/>
      <c r="BW6037" s="427"/>
      <c r="BX6037" s="427"/>
      <c r="BY6037" s="427"/>
      <c r="BZ6037" s="427"/>
    </row>
    <row r="6038" spans="2:78" s="152" customFormat="1" ht="15" x14ac:dyDescent="0.25">
      <c r="B6038" s="683"/>
      <c r="C6038" s="683"/>
      <c r="D6038" s="698"/>
      <c r="E6038" s="215"/>
      <c r="F6038" s="215"/>
      <c r="G6038" s="427"/>
      <c r="H6038" s="427"/>
      <c r="I6038" s="427"/>
      <c r="J6038" s="427"/>
      <c r="K6038" s="427"/>
      <c r="L6038" s="653"/>
      <c r="M6038" s="666">
        <v>28627</v>
      </c>
      <c r="N6038" s="600">
        <v>1076.0401999999999</v>
      </c>
      <c r="O6038" s="620">
        <v>1.5083419999999998</v>
      </c>
      <c r="P6038" s="782"/>
      <c r="Q6038" s="764"/>
      <c r="R6038" s="764"/>
      <c r="S6038" s="764"/>
      <c r="T6038" s="764"/>
      <c r="U6038" s="764"/>
      <c r="V6038" s="764"/>
      <c r="W6038" s="764"/>
      <c r="X6038" s="764"/>
      <c r="Y6038" s="768"/>
      <c r="Z6038" s="266"/>
      <c r="AA6038" s="150"/>
      <c r="AB6038" s="150">
        <v>61</v>
      </c>
      <c r="AC6038" s="231">
        <v>2.7E-4</v>
      </c>
      <c r="AD6038" s="150">
        <v>138.38</v>
      </c>
      <c r="AE6038" s="223">
        <v>4.5110000000000001</v>
      </c>
      <c r="AF6038" s="223">
        <f t="shared" si="51"/>
        <v>624.23217999999997</v>
      </c>
      <c r="AG6038" s="223">
        <v>1.722</v>
      </c>
      <c r="AH6038" s="346"/>
      <c r="AI6038" s="427"/>
      <c r="AJ6038" s="480"/>
      <c r="AK6038" s="427"/>
      <c r="AU6038" s="218"/>
      <c r="AV6038" s="218"/>
      <c r="AW6038" s="218"/>
      <c r="AX6038" s="218"/>
      <c r="AY6038" s="428"/>
      <c r="AZ6038" s="429"/>
      <c r="BA6038" s="429"/>
      <c r="BB6038" s="429"/>
      <c r="BI6038" s="427"/>
      <c r="BJ6038" s="427"/>
      <c r="BK6038" s="427"/>
      <c r="BL6038" s="427"/>
      <c r="BM6038" s="427"/>
      <c r="BN6038" s="427"/>
      <c r="BO6038" s="427"/>
      <c r="BP6038" s="427"/>
      <c r="BQ6038" s="427"/>
      <c r="BR6038" s="427"/>
      <c r="BS6038" s="427"/>
      <c r="BT6038" s="427"/>
      <c r="BU6038" s="427"/>
      <c r="BV6038" s="427"/>
      <c r="BW6038" s="427"/>
      <c r="BX6038" s="427"/>
      <c r="BY6038" s="427"/>
      <c r="BZ6038" s="427"/>
    </row>
    <row r="6039" spans="2:78" s="152" customFormat="1" ht="15" x14ac:dyDescent="0.25">
      <c r="B6039" s="683"/>
      <c r="C6039" s="683"/>
      <c r="D6039" s="698"/>
      <c r="E6039" s="215"/>
      <c r="F6039" s="215"/>
      <c r="G6039" s="427"/>
      <c r="H6039" s="427"/>
      <c r="I6039" s="427"/>
      <c r="J6039" s="427"/>
      <c r="K6039" s="427"/>
      <c r="L6039" s="653"/>
      <c r="M6039" s="666">
        <v>28646</v>
      </c>
      <c r="N6039" s="600">
        <v>1415.8423</v>
      </c>
      <c r="O6039" s="620">
        <v>2.5518220000000005</v>
      </c>
      <c r="P6039" s="782"/>
      <c r="Q6039" s="764"/>
      <c r="R6039" s="764"/>
      <c r="S6039" s="764"/>
      <c r="T6039" s="764"/>
      <c r="U6039" s="764"/>
      <c r="V6039" s="764"/>
      <c r="W6039" s="764"/>
      <c r="X6039" s="764"/>
      <c r="Y6039" s="768"/>
      <c r="Z6039" s="266"/>
      <c r="AA6039" s="150"/>
      <c r="AB6039" s="150">
        <v>62</v>
      </c>
      <c r="AC6039" s="231">
        <v>3.3E-4</v>
      </c>
      <c r="AD6039" s="150">
        <v>140.21</v>
      </c>
      <c r="AE6039" s="223">
        <v>4.7850000000000001</v>
      </c>
      <c r="AF6039" s="223">
        <f t="shared" si="51"/>
        <v>670.90485000000001</v>
      </c>
      <c r="AG6039" s="223">
        <v>2.1179999999999999</v>
      </c>
      <c r="AH6039" s="346"/>
      <c r="AI6039" s="427"/>
      <c r="AJ6039" s="480"/>
      <c r="AK6039" s="427"/>
      <c r="AU6039" s="218"/>
      <c r="AV6039" s="218"/>
      <c r="AW6039" s="218"/>
      <c r="AX6039" s="218"/>
      <c r="AY6039" s="428"/>
      <c r="AZ6039" s="429"/>
      <c r="BA6039" s="429"/>
      <c r="BB6039" s="429"/>
      <c r="BI6039" s="427"/>
      <c r="BJ6039" s="427"/>
      <c r="BK6039" s="427"/>
      <c r="BL6039" s="427"/>
      <c r="BM6039" s="427"/>
      <c r="BN6039" s="427"/>
      <c r="BO6039" s="427"/>
      <c r="BP6039" s="427"/>
      <c r="BQ6039" s="427"/>
      <c r="BR6039" s="427"/>
      <c r="BS6039" s="427"/>
      <c r="BT6039" s="427"/>
      <c r="BU6039" s="427"/>
      <c r="BV6039" s="427"/>
      <c r="BW6039" s="427"/>
      <c r="BX6039" s="427"/>
      <c r="BY6039" s="427"/>
      <c r="BZ6039" s="427"/>
    </row>
    <row r="6040" spans="2:78" s="152" customFormat="1" ht="15" x14ac:dyDescent="0.25">
      <c r="B6040" s="683"/>
      <c r="C6040" s="683"/>
      <c r="D6040" s="698"/>
      <c r="E6040" s="215"/>
      <c r="F6040" s="215"/>
      <c r="G6040" s="427"/>
      <c r="H6040" s="427"/>
      <c r="I6040" s="427"/>
      <c r="J6040" s="427"/>
      <c r="K6040" s="427"/>
      <c r="L6040" s="653"/>
      <c r="M6040" s="666">
        <v>28647</v>
      </c>
      <c r="N6040" s="600">
        <v>1580.08</v>
      </c>
      <c r="O6040" s="620">
        <v>2.6671680000000002</v>
      </c>
      <c r="P6040" s="782"/>
      <c r="Q6040" s="764"/>
      <c r="R6040" s="764"/>
      <c r="S6040" s="764"/>
      <c r="T6040" s="764"/>
      <c r="U6040" s="764"/>
      <c r="V6040" s="764"/>
      <c r="W6040" s="764"/>
      <c r="X6040" s="764"/>
      <c r="Y6040" s="768"/>
      <c r="Z6040" s="266"/>
      <c r="AA6040" s="150"/>
      <c r="AB6040" s="150">
        <v>63</v>
      </c>
      <c r="AC6040" s="231">
        <v>3.6000000000000002E-4</v>
      </c>
      <c r="AD6040" s="150">
        <v>141.12</v>
      </c>
      <c r="AE6040" s="223">
        <v>4.907</v>
      </c>
      <c r="AF6040" s="223">
        <f t="shared" si="51"/>
        <v>692.47584000000006</v>
      </c>
      <c r="AG6040" s="223">
        <v>2.286</v>
      </c>
      <c r="AH6040" s="346"/>
      <c r="AI6040" s="427"/>
      <c r="AJ6040" s="480"/>
      <c r="AK6040" s="427"/>
      <c r="AU6040" s="218"/>
      <c r="AV6040" s="218"/>
      <c r="AW6040" s="218"/>
      <c r="AX6040" s="218"/>
      <c r="AY6040" s="428"/>
      <c r="AZ6040" s="429"/>
      <c r="BA6040" s="429"/>
      <c r="BB6040" s="429"/>
      <c r="BI6040" s="427"/>
      <c r="BJ6040" s="427"/>
      <c r="BK6040" s="427"/>
      <c r="BL6040" s="427"/>
      <c r="BM6040" s="427"/>
      <c r="BN6040" s="427"/>
      <c r="BO6040" s="427"/>
      <c r="BP6040" s="427"/>
      <c r="BQ6040" s="427"/>
      <c r="BR6040" s="427"/>
      <c r="BS6040" s="427"/>
      <c r="BT6040" s="427"/>
      <c r="BU6040" s="427"/>
      <c r="BV6040" s="427"/>
      <c r="BW6040" s="427"/>
      <c r="BX6040" s="427"/>
      <c r="BY6040" s="427"/>
      <c r="BZ6040" s="427"/>
    </row>
    <row r="6041" spans="2:78" s="152" customFormat="1" ht="15" x14ac:dyDescent="0.25">
      <c r="B6041" s="683"/>
      <c r="C6041" s="683"/>
      <c r="D6041" s="698"/>
      <c r="E6041" s="215"/>
      <c r="F6041" s="215"/>
      <c r="G6041" s="427"/>
      <c r="H6041" s="427"/>
      <c r="I6041" s="427"/>
      <c r="J6041" s="427"/>
      <c r="K6041" s="427"/>
      <c r="L6041" s="653"/>
      <c r="M6041" s="666">
        <v>28649</v>
      </c>
      <c r="N6041" s="600">
        <v>1492.2978000000001</v>
      </c>
      <c r="O6041" s="620">
        <v>2.543231</v>
      </c>
      <c r="P6041" s="782"/>
      <c r="Q6041" s="764"/>
      <c r="R6041" s="764"/>
      <c r="S6041" s="764"/>
      <c r="T6041" s="764"/>
      <c r="U6041" s="764"/>
      <c r="V6041" s="764"/>
      <c r="W6041" s="764"/>
      <c r="X6041" s="764"/>
      <c r="Y6041" s="768"/>
      <c r="Z6041" s="266"/>
      <c r="AA6041" s="150"/>
      <c r="AB6041" s="150">
        <v>64</v>
      </c>
      <c r="AC6041" s="231">
        <v>3.5E-4</v>
      </c>
      <c r="AD6041" s="150">
        <v>140.51</v>
      </c>
      <c r="AE6041" s="223">
        <v>4.8460000000000001</v>
      </c>
      <c r="AF6041" s="223">
        <f t="shared" si="51"/>
        <v>680.91145999999992</v>
      </c>
      <c r="AG6041" s="223">
        <v>2.1949999999999998</v>
      </c>
      <c r="AH6041" s="346"/>
      <c r="AI6041" s="427"/>
      <c r="AJ6041" s="480"/>
      <c r="AK6041" s="427"/>
      <c r="AU6041" s="218"/>
      <c r="AV6041" s="218"/>
      <c r="AW6041" s="218"/>
      <c r="AX6041" s="218"/>
      <c r="AY6041" s="428"/>
      <c r="AZ6041" s="429"/>
      <c r="BA6041" s="429"/>
      <c r="BB6041" s="429"/>
      <c r="BI6041" s="427"/>
      <c r="BJ6041" s="427"/>
      <c r="BK6041" s="427"/>
      <c r="BL6041" s="427"/>
      <c r="BM6041" s="427"/>
      <c r="BN6041" s="427"/>
      <c r="BO6041" s="427"/>
      <c r="BP6041" s="427"/>
      <c r="BQ6041" s="427"/>
      <c r="BR6041" s="427"/>
      <c r="BS6041" s="427"/>
      <c r="BT6041" s="427"/>
      <c r="BU6041" s="427"/>
      <c r="BV6041" s="427"/>
      <c r="BW6041" s="427"/>
      <c r="BX6041" s="427"/>
      <c r="BY6041" s="427"/>
      <c r="BZ6041" s="427"/>
    </row>
    <row r="6042" spans="2:78" s="152" customFormat="1" ht="15" x14ac:dyDescent="0.25">
      <c r="B6042" s="683"/>
      <c r="C6042" s="683"/>
      <c r="D6042" s="698"/>
      <c r="E6042" s="215"/>
      <c r="F6042" s="215"/>
      <c r="G6042" s="427"/>
      <c r="H6042" s="427"/>
      <c r="I6042" s="427"/>
      <c r="J6042" s="427"/>
      <c r="K6042" s="427"/>
      <c r="L6042" s="653"/>
      <c r="M6042" s="666">
        <v>28653</v>
      </c>
      <c r="N6042" s="600">
        <v>1056.2184</v>
      </c>
      <c r="O6042" s="620">
        <v>2.6647509999999999</v>
      </c>
      <c r="P6042" s="782"/>
      <c r="Q6042" s="764"/>
      <c r="R6042" s="764"/>
      <c r="S6042" s="764"/>
      <c r="T6042" s="764"/>
      <c r="U6042" s="764"/>
      <c r="V6042" s="764"/>
      <c r="W6042" s="764"/>
      <c r="X6042" s="764"/>
      <c r="Y6042" s="768"/>
      <c r="Z6042" s="266"/>
      <c r="AA6042" s="150"/>
      <c r="AB6042" s="150">
        <v>65</v>
      </c>
      <c r="AC6042" s="231">
        <v>2.5999999999999998E-4</v>
      </c>
      <c r="AD6042" s="150">
        <v>138.07</v>
      </c>
      <c r="AE6042" s="223">
        <v>4.5110000000000001</v>
      </c>
      <c r="AF6042" s="223">
        <f t="shared" si="51"/>
        <v>622.83376999999996</v>
      </c>
      <c r="AG6042" s="223">
        <v>1.7070000000000001</v>
      </c>
      <c r="AH6042" s="346"/>
      <c r="AI6042" s="427"/>
      <c r="AJ6042" s="480"/>
      <c r="AK6042" s="427"/>
      <c r="AU6042" s="218"/>
      <c r="AV6042" s="218"/>
      <c r="AW6042" s="218"/>
      <c r="AX6042" s="218"/>
      <c r="AY6042" s="428"/>
      <c r="AZ6042" s="429"/>
      <c r="BA6042" s="429"/>
      <c r="BB6042" s="429"/>
      <c r="BI6042" s="427"/>
      <c r="BJ6042" s="427"/>
      <c r="BK6042" s="427"/>
      <c r="BL6042" s="427"/>
      <c r="BM6042" s="427"/>
      <c r="BN6042" s="427"/>
      <c r="BO6042" s="427"/>
      <c r="BP6042" s="427"/>
      <c r="BQ6042" s="427"/>
      <c r="BR6042" s="427"/>
      <c r="BS6042" s="427"/>
      <c r="BT6042" s="427"/>
      <c r="BU6042" s="427"/>
      <c r="BV6042" s="427"/>
      <c r="BW6042" s="427"/>
      <c r="BX6042" s="427"/>
      <c r="BY6042" s="427"/>
      <c r="BZ6042" s="427"/>
    </row>
    <row r="6043" spans="2:78" s="152" customFormat="1" ht="15" x14ac:dyDescent="0.25">
      <c r="B6043" s="683"/>
      <c r="C6043" s="683"/>
      <c r="D6043" s="698"/>
      <c r="E6043" s="215"/>
      <c r="F6043" s="215"/>
      <c r="G6043" s="427"/>
      <c r="H6043" s="427"/>
      <c r="I6043" s="427"/>
      <c r="J6043" s="427"/>
      <c r="K6043" s="427"/>
      <c r="L6043" s="653"/>
      <c r="M6043" s="666">
        <v>28655</v>
      </c>
      <c r="N6043" s="600">
        <v>1124.1787999999999</v>
      </c>
      <c r="O6043" s="620">
        <v>4.6319119999999998</v>
      </c>
      <c r="P6043" s="782"/>
      <c r="Q6043" s="764"/>
      <c r="R6043" s="764"/>
      <c r="S6043" s="764"/>
      <c r="T6043" s="764"/>
      <c r="U6043" s="764"/>
      <c r="V6043" s="764"/>
      <c r="W6043" s="764"/>
      <c r="X6043" s="764"/>
      <c r="Y6043" s="768"/>
      <c r="Z6043" s="266"/>
      <c r="AA6043" s="150"/>
      <c r="AB6043" s="150">
        <v>66</v>
      </c>
      <c r="AC6043" s="231">
        <v>2.7999999999999998E-4</v>
      </c>
      <c r="AD6043" s="150">
        <v>138.68</v>
      </c>
      <c r="AE6043" s="223">
        <v>4.5720000000000001</v>
      </c>
      <c r="AF6043" s="223">
        <f t="shared" ref="AF6043:AF6055" si="52">AD6043*AE6043</f>
        <v>634.04496000000006</v>
      </c>
      <c r="AG6043" s="223">
        <v>1.7829999999999999</v>
      </c>
      <c r="AH6043" s="346"/>
      <c r="AI6043" s="427"/>
      <c r="AJ6043" s="480"/>
      <c r="AK6043" s="427"/>
      <c r="AU6043" s="218"/>
      <c r="AV6043" s="218"/>
      <c r="AW6043" s="218"/>
      <c r="AX6043" s="218"/>
      <c r="AY6043" s="428"/>
      <c r="AZ6043" s="429"/>
      <c r="BA6043" s="429"/>
      <c r="BB6043" s="429"/>
      <c r="BI6043" s="427"/>
      <c r="BJ6043" s="427"/>
      <c r="BK6043" s="427"/>
      <c r="BL6043" s="427"/>
      <c r="BM6043" s="427"/>
      <c r="BN6043" s="427"/>
      <c r="BO6043" s="427"/>
      <c r="BP6043" s="427"/>
      <c r="BQ6043" s="427"/>
      <c r="BR6043" s="427"/>
      <c r="BS6043" s="427"/>
      <c r="BT6043" s="427"/>
      <c r="BU6043" s="427"/>
      <c r="BV6043" s="427"/>
      <c r="BW6043" s="427"/>
      <c r="BX6043" s="427"/>
      <c r="BY6043" s="427"/>
      <c r="BZ6043" s="427"/>
    </row>
    <row r="6044" spans="2:78" s="152" customFormat="1" ht="15" x14ac:dyDescent="0.25">
      <c r="B6044" s="683"/>
      <c r="C6044" s="683"/>
      <c r="D6044" s="698"/>
      <c r="E6044" s="215"/>
      <c r="F6044" s="215"/>
      <c r="G6044" s="427"/>
      <c r="H6044" s="427"/>
      <c r="I6044" s="427"/>
      <c r="J6044" s="427"/>
      <c r="K6044" s="427"/>
      <c r="L6044" s="653"/>
      <c r="M6044" s="666">
        <v>28660</v>
      </c>
      <c r="N6044" s="600">
        <v>925.96090000000004</v>
      </c>
      <c r="O6044" s="620">
        <v>1.621375</v>
      </c>
      <c r="P6044" s="782"/>
      <c r="Q6044" s="764"/>
      <c r="R6044" s="764"/>
      <c r="S6044" s="764"/>
      <c r="T6044" s="764"/>
      <c r="U6044" s="764"/>
      <c r="V6044" s="764"/>
      <c r="W6044" s="764"/>
      <c r="X6044" s="764"/>
      <c r="Y6044" s="768"/>
      <c r="Z6044" s="266"/>
      <c r="AA6044" s="150"/>
      <c r="AB6044" s="150">
        <v>67</v>
      </c>
      <c r="AC6044" s="231">
        <v>2.4000000000000001E-4</v>
      </c>
      <c r="AD6044" s="150">
        <v>136.25</v>
      </c>
      <c r="AE6044" s="223">
        <v>4.3890000000000002</v>
      </c>
      <c r="AF6044" s="223">
        <f t="shared" si="52"/>
        <v>598.00125000000003</v>
      </c>
      <c r="AG6044" s="223">
        <v>1.554</v>
      </c>
      <c r="AH6044" s="346"/>
      <c r="AI6044" s="427"/>
      <c r="AJ6044" s="480"/>
      <c r="AK6044" s="427"/>
      <c r="AU6044" s="218"/>
      <c r="AV6044" s="218"/>
      <c r="AW6044" s="218"/>
      <c r="AX6044" s="218"/>
      <c r="AY6044" s="428"/>
      <c r="AZ6044" s="429"/>
      <c r="BA6044" s="429"/>
      <c r="BB6044" s="429"/>
      <c r="BI6044" s="427"/>
      <c r="BJ6044" s="427"/>
      <c r="BK6044" s="427"/>
      <c r="BL6044" s="427"/>
      <c r="BM6044" s="427"/>
      <c r="BN6044" s="427"/>
      <c r="BO6044" s="427"/>
      <c r="BP6044" s="427"/>
      <c r="BQ6044" s="427"/>
      <c r="BR6044" s="427"/>
      <c r="BS6044" s="427"/>
      <c r="BT6044" s="427"/>
      <c r="BU6044" s="427"/>
      <c r="BV6044" s="427"/>
      <c r="BW6044" s="427"/>
      <c r="BX6044" s="427"/>
      <c r="BY6044" s="427"/>
      <c r="BZ6044" s="427"/>
    </row>
    <row r="6045" spans="2:78" s="152" customFormat="1" ht="15" x14ac:dyDescent="0.25">
      <c r="B6045" s="683"/>
      <c r="C6045" s="683"/>
      <c r="D6045" s="698"/>
      <c r="E6045" s="215"/>
      <c r="F6045" s="215"/>
      <c r="G6045" s="427"/>
      <c r="H6045" s="427"/>
      <c r="I6045" s="427"/>
      <c r="J6045" s="427"/>
      <c r="K6045" s="427"/>
      <c r="L6045" s="653"/>
      <c r="M6045" s="666">
        <v>28976</v>
      </c>
      <c r="N6045" s="600">
        <v>872.15890000000002</v>
      </c>
      <c r="O6045" s="620">
        <v>1.261452</v>
      </c>
      <c r="P6045" s="782"/>
      <c r="Q6045" s="764"/>
      <c r="R6045" s="764"/>
      <c r="S6045" s="764"/>
      <c r="T6045" s="764"/>
      <c r="U6045" s="764"/>
      <c r="V6045" s="764"/>
      <c r="W6045" s="764"/>
      <c r="X6045" s="764"/>
      <c r="Y6045" s="768"/>
      <c r="Z6045" s="266"/>
      <c r="AA6045" s="150"/>
      <c r="AB6045" s="150">
        <v>68</v>
      </c>
      <c r="AC6045" s="231">
        <v>2.3000000000000001E-4</v>
      </c>
      <c r="AD6045" s="150">
        <v>135.63999999999999</v>
      </c>
      <c r="AE6045" s="223">
        <v>4.3280000000000003</v>
      </c>
      <c r="AF6045" s="223">
        <f t="shared" si="52"/>
        <v>587.04991999999993</v>
      </c>
      <c r="AG6045" s="223">
        <v>1.478</v>
      </c>
      <c r="AH6045" s="346"/>
      <c r="AI6045" s="427"/>
      <c r="AJ6045" s="480"/>
      <c r="AK6045" s="427"/>
      <c r="AU6045" s="218"/>
      <c r="AV6045" s="218"/>
      <c r="AW6045" s="218"/>
      <c r="AX6045" s="218"/>
      <c r="AY6045" s="428"/>
      <c r="AZ6045" s="429"/>
      <c r="BA6045" s="429"/>
      <c r="BB6045" s="429"/>
      <c r="BI6045" s="427"/>
      <c r="BJ6045" s="427"/>
      <c r="BK6045" s="427"/>
      <c r="BL6045" s="427"/>
      <c r="BM6045" s="427"/>
      <c r="BN6045" s="427"/>
      <c r="BO6045" s="427"/>
      <c r="BP6045" s="427"/>
      <c r="BQ6045" s="427"/>
      <c r="BR6045" s="427"/>
      <c r="BS6045" s="427"/>
      <c r="BT6045" s="427"/>
      <c r="BU6045" s="427"/>
      <c r="BV6045" s="427"/>
      <c r="BW6045" s="427"/>
      <c r="BX6045" s="427"/>
      <c r="BY6045" s="427"/>
      <c r="BZ6045" s="427"/>
    </row>
    <row r="6046" spans="2:78" s="152" customFormat="1" ht="15" x14ac:dyDescent="0.25">
      <c r="B6046" s="683"/>
      <c r="C6046" s="683"/>
      <c r="D6046" s="698"/>
      <c r="E6046" s="215"/>
      <c r="F6046" s="215"/>
      <c r="G6046" s="427"/>
      <c r="H6046" s="427"/>
      <c r="I6046" s="427"/>
      <c r="J6046" s="427"/>
      <c r="K6046" s="427"/>
      <c r="L6046" s="653"/>
      <c r="M6046" s="666">
        <v>28978</v>
      </c>
      <c r="N6046" s="600">
        <v>877.82219999999995</v>
      </c>
      <c r="O6046" s="620">
        <v>1.1108915999999998</v>
      </c>
      <c r="P6046" s="782"/>
      <c r="Q6046" s="764"/>
      <c r="R6046" s="764"/>
      <c r="S6046" s="764"/>
      <c r="T6046" s="764"/>
      <c r="U6046" s="764"/>
      <c r="V6046" s="764"/>
      <c r="W6046" s="764"/>
      <c r="X6046" s="764"/>
      <c r="Y6046" s="768"/>
      <c r="Z6046" s="266"/>
      <c r="AA6046" s="150"/>
      <c r="AB6046" s="150">
        <v>69</v>
      </c>
      <c r="AC6046" s="231">
        <v>2.3000000000000001E-4</v>
      </c>
      <c r="AD6046" s="150">
        <v>135.63999999999999</v>
      </c>
      <c r="AE6046" s="223">
        <v>4.3280000000000003</v>
      </c>
      <c r="AF6046" s="223">
        <f t="shared" si="52"/>
        <v>587.04991999999993</v>
      </c>
      <c r="AG6046" s="223">
        <v>1.494</v>
      </c>
      <c r="AH6046" s="346"/>
      <c r="AI6046" s="427"/>
      <c r="AJ6046" s="480"/>
      <c r="AK6046" s="427"/>
      <c r="AU6046" s="218"/>
      <c r="AV6046" s="218"/>
      <c r="AW6046" s="218"/>
      <c r="AX6046" s="218"/>
      <c r="AY6046" s="428"/>
      <c r="AZ6046" s="429"/>
      <c r="BA6046" s="429"/>
      <c r="BB6046" s="429"/>
      <c r="BI6046" s="427"/>
      <c r="BJ6046" s="427"/>
      <c r="BK6046" s="427"/>
      <c r="BL6046" s="427"/>
      <c r="BM6046" s="427"/>
      <c r="BN6046" s="427"/>
      <c r="BO6046" s="427"/>
      <c r="BP6046" s="427"/>
      <c r="BQ6046" s="427"/>
      <c r="BR6046" s="427"/>
      <c r="BS6046" s="427"/>
      <c r="BT6046" s="427"/>
      <c r="BU6046" s="427"/>
      <c r="BV6046" s="427"/>
      <c r="BW6046" s="427"/>
      <c r="BX6046" s="427"/>
      <c r="BY6046" s="427"/>
      <c r="BZ6046" s="427"/>
    </row>
    <row r="6047" spans="2:78" s="152" customFormat="1" ht="15" x14ac:dyDescent="0.25">
      <c r="B6047" s="683"/>
      <c r="C6047" s="683"/>
      <c r="D6047" s="698"/>
      <c r="E6047" s="215"/>
      <c r="F6047" s="215"/>
      <c r="G6047" s="427"/>
      <c r="H6047" s="427"/>
      <c r="I6047" s="427"/>
      <c r="J6047" s="427"/>
      <c r="K6047" s="427"/>
      <c r="L6047" s="653"/>
      <c r="M6047" s="666">
        <v>28983</v>
      </c>
      <c r="N6047" s="600">
        <v>1387.5255</v>
      </c>
      <c r="O6047" s="620">
        <v>1.1104632000000001</v>
      </c>
      <c r="P6047" s="782"/>
      <c r="Q6047" s="764"/>
      <c r="R6047" s="764"/>
      <c r="S6047" s="764"/>
      <c r="T6047" s="764"/>
      <c r="U6047" s="764"/>
      <c r="V6047" s="764"/>
      <c r="W6047" s="764"/>
      <c r="X6047" s="764"/>
      <c r="Y6047" s="768"/>
      <c r="Z6047" s="266"/>
      <c r="AA6047" s="150"/>
      <c r="AB6047" s="150">
        <v>70</v>
      </c>
      <c r="AC6047" s="231">
        <v>3.3E-4</v>
      </c>
      <c r="AD6047" s="150">
        <v>140.21</v>
      </c>
      <c r="AE6047" s="223">
        <v>4.7850000000000001</v>
      </c>
      <c r="AF6047" s="223">
        <f t="shared" si="52"/>
        <v>670.90485000000001</v>
      </c>
      <c r="AG6047" s="223">
        <v>2.0880000000000001</v>
      </c>
      <c r="AH6047" s="346"/>
      <c r="AI6047" s="427"/>
      <c r="AJ6047" s="480"/>
      <c r="AK6047" s="427"/>
      <c r="AU6047" s="218"/>
      <c r="AV6047" s="218"/>
      <c r="AW6047" s="218"/>
      <c r="AX6047" s="218"/>
      <c r="AY6047" s="428"/>
      <c r="AZ6047" s="429"/>
      <c r="BA6047" s="429"/>
      <c r="BB6047" s="429"/>
      <c r="BI6047" s="427"/>
      <c r="BJ6047" s="427"/>
      <c r="BK6047" s="427"/>
      <c r="BL6047" s="427"/>
      <c r="BM6047" s="427"/>
      <c r="BN6047" s="427"/>
      <c r="BO6047" s="427"/>
      <c r="BP6047" s="427"/>
      <c r="BQ6047" s="427"/>
      <c r="BR6047" s="427"/>
      <c r="BS6047" s="427"/>
      <c r="BT6047" s="427"/>
      <c r="BU6047" s="427"/>
      <c r="BV6047" s="427"/>
      <c r="BW6047" s="427"/>
      <c r="BX6047" s="427"/>
      <c r="BY6047" s="427"/>
      <c r="BZ6047" s="427"/>
    </row>
    <row r="6048" spans="2:78" s="152" customFormat="1" ht="15" x14ac:dyDescent="0.25">
      <c r="B6048" s="683"/>
      <c r="C6048" s="683"/>
      <c r="D6048" s="698"/>
      <c r="E6048" s="215"/>
      <c r="F6048" s="215"/>
      <c r="G6048" s="427"/>
      <c r="H6048" s="427"/>
      <c r="I6048" s="427"/>
      <c r="J6048" s="427"/>
      <c r="K6048" s="427"/>
      <c r="L6048" s="653"/>
      <c r="M6048" s="666">
        <v>28986</v>
      </c>
      <c r="N6048" s="600">
        <v>880.65390000000002</v>
      </c>
      <c r="O6048" s="620">
        <v>1.3835279999999996</v>
      </c>
      <c r="P6048" s="782"/>
      <c r="Q6048" s="764"/>
      <c r="R6048" s="764"/>
      <c r="S6048" s="764"/>
      <c r="T6048" s="764"/>
      <c r="U6048" s="764"/>
      <c r="V6048" s="764"/>
      <c r="W6048" s="764"/>
      <c r="X6048" s="764"/>
      <c r="Y6048" s="768"/>
      <c r="Z6048" s="266"/>
      <c r="AA6048" s="150"/>
      <c r="AB6048" s="150">
        <v>71</v>
      </c>
      <c r="AC6048" s="231">
        <v>2.3000000000000001E-4</v>
      </c>
      <c r="AD6048" s="150">
        <v>135.63999999999999</v>
      </c>
      <c r="AE6048" s="223">
        <v>4.3280000000000003</v>
      </c>
      <c r="AF6048" s="223">
        <f t="shared" si="52"/>
        <v>587.04991999999993</v>
      </c>
      <c r="AG6048" s="223">
        <v>1.494</v>
      </c>
      <c r="AH6048" s="346"/>
      <c r="AI6048" s="427"/>
      <c r="AJ6048" s="480"/>
      <c r="AK6048" s="427"/>
      <c r="AU6048" s="218"/>
      <c r="AV6048" s="218"/>
      <c r="AW6048" s="218"/>
      <c r="AX6048" s="218"/>
      <c r="AY6048" s="428"/>
      <c r="AZ6048" s="429"/>
      <c r="BA6048" s="429"/>
      <c r="BB6048" s="429"/>
      <c r="BI6048" s="427"/>
      <c r="BJ6048" s="427"/>
      <c r="BK6048" s="427"/>
      <c r="BL6048" s="427"/>
      <c r="BM6048" s="427"/>
      <c r="BN6048" s="427"/>
      <c r="BO6048" s="427"/>
      <c r="BP6048" s="427"/>
      <c r="BQ6048" s="427"/>
      <c r="BR6048" s="427"/>
      <c r="BS6048" s="427"/>
      <c r="BT6048" s="427"/>
      <c r="BU6048" s="427"/>
      <c r="BV6048" s="427"/>
      <c r="BW6048" s="427"/>
      <c r="BX6048" s="427"/>
      <c r="BY6048" s="427"/>
      <c r="BZ6048" s="427"/>
    </row>
    <row r="6049" spans="1:80" s="152" customFormat="1" ht="15" x14ac:dyDescent="0.25">
      <c r="B6049" s="683"/>
      <c r="C6049" s="683"/>
      <c r="D6049" s="698"/>
      <c r="E6049" s="215"/>
      <c r="F6049" s="215"/>
      <c r="G6049" s="427"/>
      <c r="H6049" s="427"/>
      <c r="I6049" s="427"/>
      <c r="J6049" s="427"/>
      <c r="K6049" s="427"/>
      <c r="L6049" s="653"/>
      <c r="M6049" s="666">
        <v>28989</v>
      </c>
      <c r="N6049" s="600">
        <v>1013.7431</v>
      </c>
      <c r="O6049" s="620">
        <v>3.072384</v>
      </c>
      <c r="P6049" s="782"/>
      <c r="Q6049" s="764"/>
      <c r="R6049" s="764"/>
      <c r="S6049" s="764"/>
      <c r="T6049" s="764"/>
      <c r="U6049" s="764"/>
      <c r="V6049" s="764"/>
      <c r="W6049" s="764"/>
      <c r="X6049" s="764"/>
      <c r="Y6049" s="768"/>
      <c r="Z6049" s="266"/>
      <c r="AA6049" s="150"/>
      <c r="AB6049" s="150">
        <v>72</v>
      </c>
      <c r="AC6049" s="231">
        <v>2.5000000000000001E-4</v>
      </c>
      <c r="AD6049" s="150">
        <v>137.16</v>
      </c>
      <c r="AE6049" s="223">
        <v>4.45</v>
      </c>
      <c r="AF6049" s="223">
        <f t="shared" si="52"/>
        <v>610.36199999999997</v>
      </c>
      <c r="AG6049" s="223">
        <v>1.661</v>
      </c>
      <c r="AH6049" s="346"/>
      <c r="AI6049" s="427"/>
      <c r="AJ6049" s="480"/>
      <c r="AK6049" s="427"/>
      <c r="AU6049" s="218"/>
      <c r="AV6049" s="218"/>
      <c r="AW6049" s="218"/>
      <c r="AX6049" s="218"/>
      <c r="AY6049" s="428"/>
      <c r="AZ6049" s="429"/>
      <c r="BA6049" s="429"/>
      <c r="BB6049" s="429"/>
      <c r="BI6049" s="427"/>
      <c r="BJ6049" s="427"/>
      <c r="BK6049" s="427"/>
      <c r="BL6049" s="427"/>
      <c r="BM6049" s="427"/>
      <c r="BN6049" s="427"/>
      <c r="BO6049" s="427"/>
      <c r="BP6049" s="427"/>
      <c r="BQ6049" s="427"/>
      <c r="BR6049" s="427"/>
      <c r="BS6049" s="427"/>
      <c r="BT6049" s="427"/>
      <c r="BU6049" s="427"/>
      <c r="BV6049" s="427"/>
      <c r="BW6049" s="427"/>
      <c r="BX6049" s="427"/>
      <c r="BY6049" s="427"/>
      <c r="BZ6049" s="427"/>
    </row>
    <row r="6050" spans="1:80" s="152" customFormat="1" ht="15" x14ac:dyDescent="0.25">
      <c r="B6050" s="683"/>
      <c r="C6050" s="683"/>
      <c r="D6050" s="698"/>
      <c r="E6050" s="215"/>
      <c r="F6050" s="215"/>
      <c r="G6050" s="427"/>
      <c r="H6050" s="427"/>
      <c r="I6050" s="427"/>
      <c r="J6050" s="427"/>
      <c r="K6050" s="427"/>
      <c r="L6050" s="653"/>
      <c r="M6050" s="666">
        <v>28991</v>
      </c>
      <c r="N6050" s="600">
        <v>1268.5947000000001</v>
      </c>
      <c r="O6050" s="620">
        <v>3.3229769999999998</v>
      </c>
      <c r="P6050" s="782"/>
      <c r="Q6050" s="764"/>
      <c r="R6050" s="764"/>
      <c r="S6050" s="764"/>
      <c r="T6050" s="764"/>
      <c r="U6050" s="764"/>
      <c r="V6050" s="764"/>
      <c r="W6050" s="764"/>
      <c r="X6050" s="764"/>
      <c r="Y6050" s="768"/>
      <c r="Z6050" s="266"/>
      <c r="AA6050" s="150"/>
      <c r="AB6050" s="150">
        <v>73</v>
      </c>
      <c r="AC6050" s="231">
        <v>2.9999999999999997E-4</v>
      </c>
      <c r="AD6050" s="150">
        <v>140.21</v>
      </c>
      <c r="AE6050" s="223">
        <v>4.694</v>
      </c>
      <c r="AF6050" s="223">
        <f t="shared" si="52"/>
        <v>658.14574000000005</v>
      </c>
      <c r="AG6050" s="223">
        <v>1.9510000000000001</v>
      </c>
      <c r="AH6050" s="346"/>
      <c r="AI6050" s="427"/>
      <c r="AJ6050" s="480"/>
      <c r="AK6050" s="427"/>
      <c r="AU6050" s="218"/>
      <c r="AV6050" s="218"/>
      <c r="AW6050" s="218"/>
      <c r="AX6050" s="218"/>
      <c r="AY6050" s="428"/>
      <c r="AZ6050" s="429"/>
      <c r="BA6050" s="429"/>
      <c r="BB6050" s="429"/>
      <c r="BI6050" s="427"/>
      <c r="BJ6050" s="427"/>
      <c r="BK6050" s="427"/>
      <c r="BL6050" s="427"/>
      <c r="BM6050" s="427"/>
      <c r="BN6050" s="427"/>
      <c r="BO6050" s="427"/>
      <c r="BP6050" s="427"/>
      <c r="BQ6050" s="427"/>
      <c r="BR6050" s="427"/>
      <c r="BS6050" s="427"/>
      <c r="BT6050" s="427"/>
      <c r="BU6050" s="427"/>
      <c r="BV6050" s="427"/>
      <c r="BW6050" s="427"/>
      <c r="BX6050" s="427"/>
      <c r="BY6050" s="427"/>
      <c r="BZ6050" s="427"/>
    </row>
    <row r="6051" spans="1:80" s="152" customFormat="1" ht="15" x14ac:dyDescent="0.25">
      <c r="B6051" s="683"/>
      <c r="C6051" s="683"/>
      <c r="D6051" s="698"/>
      <c r="E6051" s="215"/>
      <c r="F6051" s="215"/>
      <c r="G6051" s="427"/>
      <c r="H6051" s="427"/>
      <c r="I6051" s="427"/>
      <c r="J6051" s="427"/>
      <c r="K6051" s="427"/>
      <c r="L6051" s="653"/>
      <c r="M6051" s="666">
        <v>28996</v>
      </c>
      <c r="N6051" s="600">
        <v>1339.3868</v>
      </c>
      <c r="O6051" s="620">
        <v>3.8277330000000003</v>
      </c>
      <c r="P6051" s="782"/>
      <c r="Q6051" s="764"/>
      <c r="R6051" s="764"/>
      <c r="S6051" s="764"/>
      <c r="T6051" s="764"/>
      <c r="U6051" s="764"/>
      <c r="V6051" s="764"/>
      <c r="W6051" s="764"/>
      <c r="X6051" s="764"/>
      <c r="Y6051" s="768"/>
      <c r="Z6051" s="266"/>
      <c r="AA6051" s="150"/>
      <c r="AB6051" s="150">
        <v>74</v>
      </c>
      <c r="AC6051" s="231">
        <v>3.2000000000000003E-4</v>
      </c>
      <c r="AD6051" s="150">
        <v>140.21</v>
      </c>
      <c r="AE6051" s="223">
        <v>4.7240000000000002</v>
      </c>
      <c r="AF6051" s="223">
        <f t="shared" si="52"/>
        <v>662.3520400000001</v>
      </c>
      <c r="AG6051" s="223">
        <v>2.0270000000000001</v>
      </c>
      <c r="AH6051" s="346"/>
      <c r="AI6051" s="427"/>
      <c r="AJ6051" s="480"/>
      <c r="AK6051" s="427"/>
      <c r="AU6051" s="218"/>
      <c r="AV6051" s="218"/>
      <c r="AW6051" s="218"/>
      <c r="AX6051" s="218"/>
      <c r="AY6051" s="428"/>
      <c r="AZ6051" s="429"/>
      <c r="BA6051" s="429"/>
      <c r="BB6051" s="429"/>
      <c r="BI6051" s="427"/>
      <c r="BJ6051" s="427"/>
      <c r="BK6051" s="427"/>
      <c r="BL6051" s="427"/>
      <c r="BM6051" s="427"/>
      <c r="BN6051" s="427"/>
      <c r="BO6051" s="427"/>
      <c r="BP6051" s="427"/>
      <c r="BQ6051" s="427"/>
      <c r="BR6051" s="427"/>
      <c r="BS6051" s="427"/>
      <c r="BT6051" s="427"/>
      <c r="BU6051" s="427"/>
      <c r="BV6051" s="427"/>
      <c r="BW6051" s="427"/>
      <c r="BX6051" s="427"/>
      <c r="BY6051" s="427"/>
      <c r="BZ6051" s="427"/>
    </row>
    <row r="6052" spans="1:80" s="152" customFormat="1" ht="15" x14ac:dyDescent="0.25">
      <c r="B6052" s="683"/>
      <c r="C6052" s="683"/>
      <c r="D6052" s="698"/>
      <c r="E6052" s="215"/>
      <c r="F6052" s="215"/>
      <c r="G6052" s="427"/>
      <c r="H6052" s="427"/>
      <c r="I6052" s="427"/>
      <c r="J6052" s="427"/>
      <c r="K6052" s="427"/>
      <c r="L6052" s="653"/>
      <c r="M6052" s="666">
        <v>28998</v>
      </c>
      <c r="N6052" s="600">
        <v>1557.4266</v>
      </c>
      <c r="O6052" s="620">
        <v>5.5782470000000002</v>
      </c>
      <c r="P6052" s="782"/>
      <c r="Q6052" s="764"/>
      <c r="R6052" s="764"/>
      <c r="S6052" s="764"/>
      <c r="T6052" s="764"/>
      <c r="U6052" s="764"/>
      <c r="V6052" s="764"/>
      <c r="W6052" s="764"/>
      <c r="X6052" s="764"/>
      <c r="Y6052" s="768"/>
      <c r="Z6052" s="266"/>
      <c r="AA6052" s="150"/>
      <c r="AB6052" s="150">
        <v>75</v>
      </c>
      <c r="AC6052" s="231">
        <v>3.6000000000000002E-4</v>
      </c>
      <c r="AD6052" s="150">
        <v>140.51</v>
      </c>
      <c r="AE6052" s="223">
        <v>4.8769999999999998</v>
      </c>
      <c r="AF6052" s="223">
        <f t="shared" si="52"/>
        <v>685.26726999999994</v>
      </c>
      <c r="AG6052" s="223">
        <v>2.2559999999999998</v>
      </c>
      <c r="AH6052" s="346"/>
      <c r="AI6052" s="427"/>
      <c r="AJ6052" s="480"/>
      <c r="AK6052" s="427"/>
      <c r="AU6052" s="218"/>
      <c r="AV6052" s="218"/>
      <c r="AW6052" s="218"/>
      <c r="AX6052" s="218"/>
      <c r="AY6052" s="428"/>
      <c r="AZ6052" s="429"/>
      <c r="BA6052" s="429"/>
      <c r="BB6052" s="429"/>
      <c r="BI6052" s="427"/>
      <c r="BJ6052" s="427"/>
      <c r="BK6052" s="427"/>
      <c r="BL6052" s="427"/>
      <c r="BM6052" s="427"/>
      <c r="BN6052" s="427"/>
      <c r="BO6052" s="427"/>
      <c r="BP6052" s="427"/>
      <c r="BQ6052" s="427"/>
      <c r="BR6052" s="427"/>
      <c r="BS6052" s="427"/>
      <c r="BT6052" s="427"/>
      <c r="BU6052" s="427"/>
      <c r="BV6052" s="427"/>
      <c r="BW6052" s="427"/>
      <c r="BX6052" s="427"/>
      <c r="BY6052" s="427"/>
      <c r="BZ6052" s="427"/>
    </row>
    <row r="6053" spans="1:80" s="152" customFormat="1" ht="15" x14ac:dyDescent="0.25">
      <c r="B6053" s="683"/>
      <c r="C6053" s="683"/>
      <c r="D6053" s="698"/>
      <c r="E6053" s="215"/>
      <c r="F6053" s="215"/>
      <c r="G6053" s="427"/>
      <c r="H6053" s="427"/>
      <c r="I6053" s="427"/>
      <c r="J6053" s="427"/>
      <c r="K6053" s="427"/>
      <c r="L6053" s="653"/>
      <c r="M6053" s="666">
        <v>29010</v>
      </c>
      <c r="N6053" s="600">
        <v>1104.357</v>
      </c>
      <c r="O6053" s="620">
        <v>4.0494560000000002</v>
      </c>
      <c r="P6053" s="782"/>
      <c r="Q6053" s="764"/>
      <c r="R6053" s="764"/>
      <c r="S6053" s="764"/>
      <c r="T6053" s="764"/>
      <c r="U6053" s="764"/>
      <c r="V6053" s="764"/>
      <c r="W6053" s="764"/>
      <c r="X6053" s="764"/>
      <c r="Y6053" s="768"/>
      <c r="Z6053" s="266"/>
      <c r="AA6053" s="150"/>
      <c r="AB6053" s="150">
        <v>76</v>
      </c>
      <c r="AC6053" s="231">
        <v>2.7E-4</v>
      </c>
      <c r="AD6053" s="150">
        <v>138.68</v>
      </c>
      <c r="AE6053" s="223">
        <v>4.5419999999999998</v>
      </c>
      <c r="AF6053" s="223">
        <f t="shared" si="52"/>
        <v>629.88455999999996</v>
      </c>
      <c r="AG6053" s="223">
        <v>1.768</v>
      </c>
      <c r="AH6053" s="346"/>
      <c r="AI6053" s="427"/>
      <c r="AJ6053" s="480"/>
      <c r="AK6053" s="427"/>
      <c r="AU6053" s="218"/>
      <c r="AV6053" s="218"/>
      <c r="AW6053" s="218"/>
      <c r="AX6053" s="218"/>
      <c r="AY6053" s="428"/>
      <c r="AZ6053" s="429"/>
      <c r="BA6053" s="429"/>
      <c r="BB6053" s="429"/>
      <c r="BI6053" s="427"/>
      <c r="BJ6053" s="427"/>
      <c r="BK6053" s="427"/>
      <c r="BL6053" s="427"/>
      <c r="BM6053" s="427"/>
      <c r="BN6053" s="427"/>
      <c r="BO6053" s="427"/>
      <c r="BP6053" s="427"/>
      <c r="BQ6053" s="427"/>
      <c r="BR6053" s="427"/>
      <c r="BS6053" s="427"/>
      <c r="BT6053" s="427"/>
      <c r="BU6053" s="427"/>
      <c r="BV6053" s="427"/>
      <c r="BW6053" s="427"/>
      <c r="BX6053" s="427"/>
      <c r="BY6053" s="427"/>
      <c r="BZ6053" s="427"/>
    </row>
    <row r="6054" spans="1:80" s="152" customFormat="1" ht="15" x14ac:dyDescent="0.25">
      <c r="B6054" s="683"/>
      <c r="C6054" s="683"/>
      <c r="D6054" s="698"/>
      <c r="E6054" s="215"/>
      <c r="F6054" s="215"/>
      <c r="G6054" s="427"/>
      <c r="H6054" s="427"/>
      <c r="I6054" s="427"/>
      <c r="J6054" s="427"/>
      <c r="K6054" s="427"/>
      <c r="L6054" s="653"/>
      <c r="M6054" s="666">
        <v>29012</v>
      </c>
      <c r="N6054" s="600">
        <v>1095.8620000000001</v>
      </c>
      <c r="O6054" s="620">
        <v>2.5794480000000002</v>
      </c>
      <c r="P6054" s="782"/>
      <c r="Q6054" s="764"/>
      <c r="R6054" s="764"/>
      <c r="S6054" s="764"/>
      <c r="T6054" s="764"/>
      <c r="U6054" s="764"/>
      <c r="V6054" s="764"/>
      <c r="W6054" s="764"/>
      <c r="X6054" s="764"/>
      <c r="Y6054" s="768"/>
      <c r="Z6054" s="266"/>
      <c r="AA6054" s="150"/>
      <c r="AB6054" s="150">
        <v>77</v>
      </c>
      <c r="AC6054" s="231">
        <v>2.7E-4</v>
      </c>
      <c r="AD6054" s="150">
        <v>138.68</v>
      </c>
      <c r="AE6054" s="223">
        <v>4.5419999999999998</v>
      </c>
      <c r="AF6054" s="223">
        <f t="shared" si="52"/>
        <v>629.88455999999996</v>
      </c>
      <c r="AG6054" s="223">
        <v>1.7529999999999999</v>
      </c>
      <c r="AH6054" s="346"/>
      <c r="AI6054" s="427"/>
      <c r="AJ6054" s="480"/>
      <c r="AK6054" s="427"/>
      <c r="AU6054" s="218"/>
      <c r="AV6054" s="218"/>
      <c r="AW6054" s="218"/>
      <c r="AX6054" s="218"/>
      <c r="AY6054" s="428"/>
      <c r="AZ6054" s="429"/>
      <c r="BA6054" s="429"/>
      <c r="BB6054" s="429"/>
      <c r="BI6054" s="427"/>
      <c r="BJ6054" s="427"/>
      <c r="BK6054" s="427"/>
      <c r="BL6054" s="427"/>
      <c r="BM6054" s="427"/>
      <c r="BN6054" s="427"/>
      <c r="BO6054" s="427"/>
      <c r="BP6054" s="427"/>
      <c r="BQ6054" s="427"/>
      <c r="BR6054" s="427"/>
      <c r="BS6054" s="427"/>
      <c r="BT6054" s="427"/>
      <c r="BU6054" s="427"/>
      <c r="BV6054" s="427"/>
      <c r="BW6054" s="427"/>
      <c r="BX6054" s="427"/>
      <c r="BY6054" s="427"/>
      <c r="BZ6054" s="427"/>
    </row>
    <row r="6055" spans="1:80" s="152" customFormat="1" ht="15" x14ac:dyDescent="0.25">
      <c r="B6055" s="683"/>
      <c r="C6055" s="683"/>
      <c r="D6055" s="698"/>
      <c r="E6055" s="215"/>
      <c r="F6055" s="215"/>
      <c r="G6055" s="427"/>
      <c r="H6055" s="427"/>
      <c r="I6055" s="427"/>
      <c r="J6055" s="427"/>
      <c r="K6055" s="427"/>
      <c r="L6055" s="653"/>
      <c r="M6055" s="666">
        <v>29024</v>
      </c>
      <c r="N6055" s="600">
        <v>753.22810000000004</v>
      </c>
      <c r="O6055" s="620">
        <v>1.0766482000000002</v>
      </c>
      <c r="P6055" s="782"/>
      <c r="Q6055" s="764"/>
      <c r="R6055" s="764"/>
      <c r="S6055" s="764"/>
      <c r="T6055" s="764"/>
      <c r="U6055" s="764"/>
      <c r="V6055" s="764"/>
      <c r="W6055" s="764"/>
      <c r="X6055" s="764"/>
      <c r="Y6055" s="768"/>
      <c r="Z6055" s="266"/>
      <c r="AA6055" s="150"/>
      <c r="AB6055" s="150">
        <v>78</v>
      </c>
      <c r="AC6055" s="231">
        <v>2.0000000000000001E-4</v>
      </c>
      <c r="AD6055" s="150">
        <v>128.02000000000001</v>
      </c>
      <c r="AE6055" s="223">
        <v>4.1760000000000002</v>
      </c>
      <c r="AF6055" s="223">
        <f t="shared" si="52"/>
        <v>534.61152000000004</v>
      </c>
      <c r="AG6055" s="223">
        <v>1.3260000000000001</v>
      </c>
      <c r="AH6055" s="346"/>
      <c r="AI6055" s="427"/>
      <c r="AJ6055" s="480"/>
      <c r="AK6055" s="427"/>
      <c r="AU6055" s="218"/>
      <c r="AV6055" s="218"/>
      <c r="AW6055" s="218"/>
      <c r="AX6055" s="218"/>
      <c r="AY6055" s="428"/>
      <c r="AZ6055" s="429"/>
      <c r="BA6055" s="429"/>
      <c r="BB6055" s="429"/>
      <c r="BI6055" s="427"/>
      <c r="BJ6055" s="427"/>
      <c r="BK6055" s="427"/>
      <c r="BL6055" s="427"/>
      <c r="BM6055" s="427"/>
      <c r="BN6055" s="427"/>
      <c r="BO6055" s="427"/>
      <c r="BP6055" s="427"/>
      <c r="BQ6055" s="427"/>
      <c r="BR6055" s="427"/>
      <c r="BS6055" s="427"/>
      <c r="BT6055" s="427"/>
      <c r="BU6055" s="427"/>
      <c r="BV6055" s="427"/>
      <c r="BW6055" s="427"/>
      <c r="BX6055" s="427"/>
      <c r="BY6055" s="427"/>
      <c r="BZ6055" s="427"/>
    </row>
    <row r="6056" spans="1:80" s="120" customFormat="1" ht="15" x14ac:dyDescent="0.25">
      <c r="A6056" s="9" t="s">
        <v>61</v>
      </c>
      <c r="B6056" s="639" t="s">
        <v>53</v>
      </c>
      <c r="C6056" s="639"/>
      <c r="D6056" s="4">
        <f>VLOOKUP(E6056,'Quality Code'!D4:E24,2,TRUE)*VLOOKUP(MROUND(F6056,10),'Quality Code'!D28:E69,2,TRUE)*VLOOKUP(COUNTA(CB6056:CB6066),'Quality Code'!D73:E93,2,TRUE)</f>
        <v>0.99999749999999987</v>
      </c>
      <c r="E6056" s="14">
        <v>0.6</v>
      </c>
      <c r="F6056" s="18">
        <v>47</v>
      </c>
      <c r="G6056" s="12">
        <v>19</v>
      </c>
      <c r="H6056" s="2" t="s">
        <v>216</v>
      </c>
      <c r="I6056" s="327" t="s">
        <v>294</v>
      </c>
      <c r="J6056" s="10" t="s">
        <v>284</v>
      </c>
      <c r="K6056" s="85">
        <v>1</v>
      </c>
      <c r="L6056" s="641" t="s">
        <v>295</v>
      </c>
      <c r="M6056" s="640"/>
      <c r="N6056" s="610" t="s">
        <v>214</v>
      </c>
      <c r="O6056" s="579"/>
      <c r="P6056" s="10" t="s">
        <v>64</v>
      </c>
      <c r="Q6056" s="10" t="s">
        <v>64</v>
      </c>
      <c r="R6056" s="10" t="s">
        <v>64</v>
      </c>
      <c r="S6056" s="10" t="s">
        <v>64</v>
      </c>
      <c r="T6056" s="10" t="s">
        <v>64</v>
      </c>
      <c r="U6056" s="10" t="s">
        <v>64</v>
      </c>
      <c r="V6056" s="10"/>
      <c r="W6056" s="10"/>
      <c r="X6056" s="10"/>
      <c r="Y6056" s="10"/>
      <c r="Z6056" s="11"/>
      <c r="AA6056" s="81"/>
      <c r="AB6056" s="10"/>
      <c r="AC6056" s="3">
        <v>1.2999999999999999E-2</v>
      </c>
      <c r="AD6056" s="11"/>
      <c r="AE6056" s="11"/>
      <c r="AF6056" s="11"/>
      <c r="AG6056" s="10"/>
      <c r="AH6056" s="345"/>
      <c r="AI6056" s="2">
        <v>41</v>
      </c>
      <c r="AJ6056" s="17"/>
      <c r="AK6056" s="10"/>
      <c r="AL6056" s="125">
        <v>0.39743589999999995</v>
      </c>
      <c r="AM6056" s="125">
        <v>0.25</v>
      </c>
      <c r="AN6056" s="125">
        <v>0.1987179</v>
      </c>
      <c r="AO6056" s="125">
        <v>0.10256410000000001</v>
      </c>
      <c r="AP6056" s="125">
        <v>5.1282050000000003E-2</v>
      </c>
      <c r="AQ6056" s="125">
        <v>0</v>
      </c>
      <c r="AR6056" s="125"/>
      <c r="AS6056" s="125"/>
      <c r="AT6056" s="125"/>
      <c r="AU6056" s="18">
        <v>69</v>
      </c>
      <c r="AV6056" s="17"/>
      <c r="AW6056" s="17"/>
      <c r="AX6056" s="17"/>
      <c r="AY6056" s="145"/>
      <c r="AZ6056" s="17">
        <v>0.46153849999999996</v>
      </c>
      <c r="BA6056" s="17">
        <v>0.29871789999999998</v>
      </c>
      <c r="BB6056" s="17">
        <v>0.17564099999999999</v>
      </c>
      <c r="BC6056" s="17">
        <v>5.1282050000000003E-2</v>
      </c>
      <c r="BD6056" s="17">
        <v>1.282051E-2</v>
      </c>
      <c r="BE6056" s="17">
        <v>0</v>
      </c>
      <c r="BF6056" s="17"/>
      <c r="BG6056" s="17"/>
      <c r="BH6056" s="17"/>
      <c r="BI6056" s="4">
        <f>AU6056/AI6056</f>
        <v>1.6829268292682926</v>
      </c>
      <c r="BJ6056" s="2" t="s">
        <v>215</v>
      </c>
      <c r="BK6056" s="2" t="s">
        <v>175</v>
      </c>
      <c r="BL6056" s="12"/>
      <c r="BM6056" s="12">
        <v>5.7</v>
      </c>
      <c r="BN6056" s="12">
        <v>14.3</v>
      </c>
      <c r="BO6056" s="12">
        <v>0.39</v>
      </c>
      <c r="BP6056" s="12"/>
      <c r="BQ6056" s="12"/>
      <c r="BR6056" s="12"/>
      <c r="BS6056" s="12"/>
      <c r="BT6056" s="12"/>
      <c r="BU6056" s="2"/>
      <c r="BV6056" s="2"/>
      <c r="BW6056" s="2"/>
      <c r="BX6056" s="2"/>
      <c r="BY6056" s="2"/>
      <c r="BZ6056" s="2"/>
      <c r="CA6056" s="9"/>
      <c r="CB6056" s="9" t="s">
        <v>230</v>
      </c>
    </row>
    <row r="6057" spans="1:80" x14ac:dyDescent="0.2">
      <c r="A6057" s="257"/>
      <c r="B6057" s="667"/>
      <c r="C6057" s="667"/>
      <c r="D6057" s="292"/>
      <c r="E6057" s="257"/>
      <c r="F6057" s="257"/>
      <c r="G6057" s="227"/>
      <c r="H6057" s="328"/>
      <c r="I6057" s="227"/>
      <c r="J6057" s="150" t="s">
        <v>295</v>
      </c>
      <c r="K6057" s="227"/>
      <c r="L6057" s="660"/>
      <c r="M6057" s="671"/>
      <c r="N6057" s="582">
        <v>2.1800000000000002</v>
      </c>
      <c r="O6057" s="581">
        <v>1.4000000000000001E-4</v>
      </c>
      <c r="P6057" s="782"/>
      <c r="Q6057" s="764"/>
      <c r="R6057" s="764"/>
      <c r="S6057" s="764"/>
      <c r="T6057" s="764"/>
      <c r="U6057" s="764"/>
      <c r="V6057" s="764"/>
      <c r="W6057" s="764"/>
      <c r="X6057" s="764"/>
      <c r="Y6057" s="768"/>
      <c r="Z6057" s="281"/>
      <c r="AA6057" s="281"/>
      <c r="AB6057" s="281"/>
      <c r="AC6057" s="174"/>
      <c r="AD6057" s="282"/>
      <c r="AE6057" s="282"/>
      <c r="AF6057" s="173"/>
      <c r="AG6057" s="177"/>
      <c r="AH6057" s="349"/>
      <c r="AI6057" s="283"/>
      <c r="AJ6057" s="240"/>
      <c r="AK6057" s="240"/>
      <c r="AL6057" s="284"/>
      <c r="AM6057" s="167"/>
      <c r="AN6057" s="167"/>
      <c r="AO6057" s="167"/>
      <c r="AP6057" s="167"/>
      <c r="AQ6057" s="167"/>
      <c r="AR6057" s="551"/>
      <c r="AS6057" s="551"/>
      <c r="AT6057" s="551"/>
      <c r="AU6057" s="283"/>
      <c r="AV6057" s="283"/>
      <c r="AW6057" s="283"/>
      <c r="AX6057" s="283"/>
      <c r="AY6057" s="283"/>
      <c r="AZ6057" s="167"/>
      <c r="BA6057" s="167"/>
      <c r="BB6057" s="285"/>
      <c r="BC6057" s="154"/>
      <c r="BD6057" s="154"/>
      <c r="BE6057" s="150"/>
      <c r="BF6057" s="227"/>
      <c r="BG6057" s="227"/>
      <c r="BH6057" s="227"/>
      <c r="BI6057" s="224"/>
      <c r="BJ6057" s="227"/>
      <c r="BK6057" s="227"/>
      <c r="BL6057" s="227"/>
      <c r="BM6057" s="224"/>
      <c r="BN6057" s="224"/>
      <c r="BO6057" s="262"/>
      <c r="BP6057" s="262"/>
      <c r="BQ6057" s="262"/>
      <c r="BR6057" s="262"/>
      <c r="BS6057" s="262"/>
      <c r="BT6057" s="227"/>
      <c r="BU6057" s="227"/>
      <c r="BV6057" s="227"/>
      <c r="BW6057" s="286"/>
      <c r="BX6057" s="286"/>
      <c r="BY6057" s="227"/>
      <c r="BZ6057" s="227"/>
      <c r="CA6057" s="227"/>
      <c r="CB6057" s="190"/>
    </row>
    <row r="6058" spans="1:80" x14ac:dyDescent="0.2">
      <c r="A6058" s="257"/>
      <c r="B6058" s="667"/>
      <c r="C6058" s="667"/>
      <c r="D6058" s="292"/>
      <c r="E6058" s="257"/>
      <c r="F6058" s="257"/>
      <c r="G6058" s="227"/>
      <c r="H6058" s="328"/>
      <c r="I6058" s="227"/>
      <c r="J6058" s="150" t="s">
        <v>295</v>
      </c>
      <c r="K6058" s="227"/>
      <c r="L6058" s="660"/>
      <c r="M6058" s="671"/>
      <c r="N6058" s="582">
        <v>2.35</v>
      </c>
      <c r="O6058" s="581">
        <v>4.8010000000000001E-4</v>
      </c>
      <c r="P6058" s="782"/>
      <c r="Q6058" s="764"/>
      <c r="R6058" s="764"/>
      <c r="S6058" s="764"/>
      <c r="T6058" s="764"/>
      <c r="U6058" s="764"/>
      <c r="V6058" s="764"/>
      <c r="W6058" s="764"/>
      <c r="X6058" s="764"/>
      <c r="Y6058" s="768"/>
      <c r="Z6058" s="281"/>
      <c r="AA6058" s="281"/>
      <c r="AB6058" s="281"/>
      <c r="AC6058" s="174"/>
      <c r="AD6058" s="282"/>
      <c r="AE6058" s="282"/>
      <c r="AF6058" s="173"/>
      <c r="AG6058" s="177"/>
      <c r="AH6058" s="349"/>
      <c r="AI6058" s="283"/>
      <c r="AJ6058" s="240"/>
      <c r="AK6058" s="240"/>
      <c r="AL6058" s="284"/>
      <c r="AM6058" s="167"/>
      <c r="AN6058" s="167"/>
      <c r="AO6058" s="167"/>
      <c r="AP6058" s="167"/>
      <c r="AQ6058" s="167"/>
      <c r="AR6058" s="551"/>
      <c r="AS6058" s="551"/>
      <c r="AT6058" s="551"/>
      <c r="AU6058" s="283"/>
      <c r="AV6058" s="283"/>
      <c r="AW6058" s="283"/>
      <c r="AX6058" s="283"/>
      <c r="AY6058" s="283"/>
      <c r="AZ6058" s="167"/>
      <c r="BA6058" s="167"/>
      <c r="BB6058" s="285"/>
      <c r="BC6058" s="154"/>
      <c r="BD6058" s="154"/>
      <c r="BE6058" s="150"/>
      <c r="BF6058" s="227"/>
      <c r="BG6058" s="227"/>
      <c r="BH6058" s="227"/>
      <c r="BI6058" s="224"/>
      <c r="BJ6058" s="227"/>
      <c r="BK6058" s="227"/>
      <c r="BL6058" s="227"/>
      <c r="BM6058" s="224"/>
      <c r="BN6058" s="224"/>
      <c r="BO6058" s="262"/>
      <c r="BP6058" s="262"/>
      <c r="BQ6058" s="262"/>
      <c r="BR6058" s="262"/>
      <c r="BS6058" s="262"/>
      <c r="BT6058" s="227"/>
      <c r="BU6058" s="227"/>
      <c r="BV6058" s="227"/>
      <c r="BW6058" s="286"/>
      <c r="BX6058" s="286"/>
      <c r="BY6058" s="227"/>
      <c r="BZ6058" s="227"/>
      <c r="CA6058" s="227"/>
      <c r="CB6058" s="190"/>
    </row>
    <row r="6059" spans="1:80" x14ac:dyDescent="0.2">
      <c r="A6059" s="257"/>
      <c r="B6059" s="667"/>
      <c r="C6059" s="667"/>
      <c r="D6059" s="292"/>
      <c r="E6059" s="257"/>
      <c r="F6059" s="257"/>
      <c r="G6059" s="227"/>
      <c r="H6059" s="328"/>
      <c r="I6059" s="227"/>
      <c r="J6059" s="150" t="s">
        <v>295</v>
      </c>
      <c r="K6059" s="227"/>
      <c r="L6059" s="660"/>
      <c r="M6059" s="671"/>
      <c r="N6059" s="582">
        <v>1.97</v>
      </c>
      <c r="O6059" s="581">
        <v>6.900000000000001E-5</v>
      </c>
      <c r="P6059" s="782"/>
      <c r="Q6059" s="764"/>
      <c r="R6059" s="764"/>
      <c r="S6059" s="764"/>
      <c r="T6059" s="764"/>
      <c r="U6059" s="764"/>
      <c r="V6059" s="764"/>
      <c r="W6059" s="764"/>
      <c r="X6059" s="764"/>
      <c r="Y6059" s="768"/>
      <c r="Z6059" s="281"/>
      <c r="AA6059" s="281"/>
      <c r="AB6059" s="281"/>
      <c r="AC6059" s="174"/>
      <c r="AD6059" s="282"/>
      <c r="AE6059" s="282"/>
      <c r="AF6059" s="173"/>
      <c r="AG6059" s="177"/>
      <c r="AH6059" s="349"/>
      <c r="AI6059" s="283"/>
      <c r="AJ6059" s="240"/>
      <c r="AK6059" s="240"/>
      <c r="AL6059" s="284"/>
      <c r="AM6059" s="167"/>
      <c r="AN6059" s="167"/>
      <c r="AO6059" s="167"/>
      <c r="AP6059" s="167"/>
      <c r="AQ6059" s="167"/>
      <c r="AR6059" s="551"/>
      <c r="AS6059" s="551"/>
      <c r="AT6059" s="551"/>
      <c r="AU6059" s="283"/>
      <c r="AV6059" s="283"/>
      <c r="AW6059" s="283"/>
      <c r="AX6059" s="283"/>
      <c r="AY6059" s="283"/>
      <c r="AZ6059" s="167"/>
      <c r="BA6059" s="167"/>
      <c r="BB6059" s="285"/>
      <c r="BC6059" s="154"/>
      <c r="BD6059" s="154"/>
      <c r="BE6059" s="150"/>
      <c r="BF6059" s="227"/>
      <c r="BG6059" s="227"/>
      <c r="BH6059" s="227"/>
      <c r="BI6059" s="224"/>
      <c r="BJ6059" s="227"/>
      <c r="BK6059" s="227"/>
      <c r="BL6059" s="227"/>
      <c r="BM6059" s="224"/>
      <c r="BN6059" s="224"/>
      <c r="BO6059" s="262"/>
      <c r="BP6059" s="262"/>
      <c r="BQ6059" s="262"/>
      <c r="BR6059" s="262"/>
      <c r="BS6059" s="262"/>
      <c r="BT6059" s="227"/>
      <c r="BU6059" s="227"/>
      <c r="BV6059" s="227"/>
      <c r="BW6059" s="286"/>
      <c r="BX6059" s="286"/>
      <c r="BY6059" s="227"/>
      <c r="BZ6059" s="227"/>
      <c r="CA6059" s="227"/>
      <c r="CB6059" s="190"/>
    </row>
    <row r="6060" spans="1:80" x14ac:dyDescent="0.2">
      <c r="A6060" s="257"/>
      <c r="B6060" s="667"/>
      <c r="C6060" s="667"/>
      <c r="D6060" s="292"/>
      <c r="E6060" s="257"/>
      <c r="F6060" s="257"/>
      <c r="G6060" s="227"/>
      <c r="H6060" s="328"/>
      <c r="I6060" s="227"/>
      <c r="J6060" s="150" t="s">
        <v>295</v>
      </c>
      <c r="K6060" s="227"/>
      <c r="L6060" s="660"/>
      <c r="M6060" s="671"/>
      <c r="N6060" s="582">
        <v>1.84</v>
      </c>
      <c r="O6060" s="581">
        <v>6.8700000000000003E-5</v>
      </c>
      <c r="P6060" s="782"/>
      <c r="Q6060" s="764"/>
      <c r="R6060" s="764"/>
      <c r="S6060" s="764"/>
      <c r="T6060" s="764"/>
      <c r="U6060" s="764"/>
      <c r="V6060" s="764"/>
      <c r="W6060" s="764"/>
      <c r="X6060" s="764"/>
      <c r="Y6060" s="768"/>
      <c r="Z6060" s="281"/>
      <c r="AA6060" s="281"/>
      <c r="AB6060" s="281"/>
      <c r="AC6060" s="174"/>
      <c r="AD6060" s="282"/>
      <c r="AE6060" s="282"/>
      <c r="AF6060" s="173"/>
      <c r="AG6060" s="177"/>
      <c r="AH6060" s="349"/>
      <c r="AI6060" s="283"/>
      <c r="AJ6060" s="240"/>
      <c r="AK6060" s="240"/>
      <c r="AL6060" s="284"/>
      <c r="AM6060" s="167"/>
      <c r="AN6060" s="167"/>
      <c r="AO6060" s="167"/>
      <c r="AP6060" s="167"/>
      <c r="AQ6060" s="167"/>
      <c r="AR6060" s="551"/>
      <c r="AS6060" s="551"/>
      <c r="AT6060" s="551"/>
      <c r="AU6060" s="283"/>
      <c r="AV6060" s="283"/>
      <c r="AW6060" s="283"/>
      <c r="AX6060" s="283"/>
      <c r="AY6060" s="283"/>
      <c r="AZ6060" s="167"/>
      <c r="BA6060" s="167"/>
      <c r="BB6060" s="285"/>
      <c r="BC6060" s="154"/>
      <c r="BD6060" s="154"/>
      <c r="BE6060" s="150"/>
      <c r="BF6060" s="227"/>
      <c r="BG6060" s="227"/>
      <c r="BH6060" s="227"/>
      <c r="BI6060" s="224"/>
      <c r="BJ6060" s="227"/>
      <c r="BK6060" s="227"/>
      <c r="BL6060" s="227"/>
      <c r="BM6060" s="224"/>
      <c r="BN6060" s="224"/>
      <c r="BO6060" s="262"/>
      <c r="BP6060" s="262"/>
      <c r="BQ6060" s="262"/>
      <c r="BR6060" s="262"/>
      <c r="BS6060" s="262"/>
      <c r="BT6060" s="227"/>
      <c r="BU6060" s="227"/>
      <c r="BV6060" s="227"/>
      <c r="BW6060" s="286"/>
      <c r="BX6060" s="286"/>
      <c r="BY6060" s="227"/>
      <c r="BZ6060" s="227"/>
      <c r="CA6060" s="227"/>
      <c r="CB6060" s="190"/>
    </row>
    <row r="6061" spans="1:80" x14ac:dyDescent="0.2">
      <c r="A6061" s="257"/>
      <c r="B6061" s="667"/>
      <c r="C6061" s="667"/>
      <c r="D6061" s="292"/>
      <c r="E6061" s="257"/>
      <c r="F6061" s="257"/>
      <c r="G6061" s="227"/>
      <c r="H6061" s="328"/>
      <c r="I6061" s="227"/>
      <c r="J6061" s="150" t="s">
        <v>295</v>
      </c>
      <c r="K6061" s="227"/>
      <c r="L6061" s="660"/>
      <c r="M6061" s="671"/>
      <c r="N6061" s="582">
        <v>1.81</v>
      </c>
      <c r="O6061" s="581">
        <v>3.6600000000000002E-5</v>
      </c>
      <c r="P6061" s="782"/>
      <c r="Q6061" s="764"/>
      <c r="R6061" s="764"/>
      <c r="S6061" s="764"/>
      <c r="T6061" s="764"/>
      <c r="U6061" s="764"/>
      <c r="V6061" s="764"/>
      <c r="W6061" s="764"/>
      <c r="X6061" s="764"/>
      <c r="Y6061" s="768"/>
      <c r="Z6061" s="281"/>
      <c r="AA6061" s="281"/>
      <c r="AB6061" s="281"/>
      <c r="AC6061" s="174"/>
      <c r="AD6061" s="282"/>
      <c r="AE6061" s="282"/>
      <c r="AF6061" s="173"/>
      <c r="AG6061" s="177"/>
      <c r="AH6061" s="349"/>
      <c r="AI6061" s="283"/>
      <c r="AJ6061" s="240"/>
      <c r="AK6061" s="240"/>
      <c r="AL6061" s="284"/>
      <c r="AM6061" s="167"/>
      <c r="AN6061" s="167"/>
      <c r="AO6061" s="167"/>
      <c r="AP6061" s="167"/>
      <c r="AQ6061" s="167"/>
      <c r="AR6061" s="551"/>
      <c r="AS6061" s="551"/>
      <c r="AT6061" s="551"/>
      <c r="AU6061" s="283"/>
      <c r="AV6061" s="283"/>
      <c r="AW6061" s="283"/>
      <c r="AX6061" s="283"/>
      <c r="AY6061" s="283"/>
      <c r="AZ6061" s="167"/>
      <c r="BA6061" s="167"/>
      <c r="BB6061" s="285"/>
      <c r="BC6061" s="154"/>
      <c r="BD6061" s="154"/>
      <c r="BE6061" s="150"/>
      <c r="BF6061" s="227"/>
      <c r="BG6061" s="227"/>
      <c r="BH6061" s="227"/>
      <c r="BI6061" s="224"/>
      <c r="BJ6061" s="227"/>
      <c r="BK6061" s="227"/>
      <c r="BL6061" s="227"/>
      <c r="BM6061" s="224"/>
      <c r="BN6061" s="224"/>
      <c r="BO6061" s="262"/>
      <c r="BP6061" s="262"/>
      <c r="BQ6061" s="262"/>
      <c r="BR6061" s="262"/>
      <c r="BS6061" s="262"/>
      <c r="BT6061" s="227"/>
      <c r="BU6061" s="227"/>
      <c r="BV6061" s="227"/>
      <c r="BW6061" s="286"/>
      <c r="BX6061" s="286"/>
      <c r="BY6061" s="227"/>
      <c r="BZ6061" s="227"/>
      <c r="CA6061" s="227"/>
      <c r="CB6061" s="190"/>
    </row>
    <row r="6062" spans="1:80" x14ac:dyDescent="0.2">
      <c r="A6062" s="257"/>
      <c r="B6062" s="667"/>
      <c r="C6062" s="667"/>
      <c r="D6062" s="292"/>
      <c r="E6062" s="257"/>
      <c r="F6062" s="257"/>
      <c r="G6062" s="227"/>
      <c r="H6062" s="328"/>
      <c r="I6062" s="227"/>
      <c r="J6062" s="150" t="s">
        <v>295</v>
      </c>
      <c r="K6062" s="227"/>
      <c r="L6062" s="660"/>
      <c r="M6062" s="671"/>
      <c r="N6062" s="582">
        <v>1.1000000000000001</v>
      </c>
      <c r="O6062" s="581">
        <v>2.8999999999999998E-6</v>
      </c>
      <c r="P6062" s="782"/>
      <c r="Q6062" s="764"/>
      <c r="R6062" s="764"/>
      <c r="S6062" s="764"/>
      <c r="T6062" s="764"/>
      <c r="U6062" s="764"/>
      <c r="V6062" s="764"/>
      <c r="W6062" s="764"/>
      <c r="X6062" s="764"/>
      <c r="Y6062" s="768"/>
      <c r="Z6062" s="281"/>
      <c r="AA6062" s="281"/>
      <c r="AB6062" s="281"/>
      <c r="AC6062" s="174"/>
      <c r="AD6062" s="282"/>
      <c r="AE6062" s="282"/>
      <c r="AF6062" s="173"/>
      <c r="AG6062" s="177"/>
      <c r="AH6062" s="349"/>
      <c r="AI6062" s="283"/>
      <c r="AJ6062" s="240"/>
      <c r="AK6062" s="240"/>
      <c r="AL6062" s="284"/>
      <c r="AM6062" s="167"/>
      <c r="AN6062" s="167"/>
      <c r="AO6062" s="167"/>
      <c r="AP6062" s="167"/>
      <c r="AQ6062" s="167"/>
      <c r="AR6062" s="551"/>
      <c r="AS6062" s="551"/>
      <c r="AT6062" s="551"/>
      <c r="AU6062" s="283"/>
      <c r="AV6062" s="283"/>
      <c r="AW6062" s="283"/>
      <c r="AX6062" s="283"/>
      <c r="AY6062" s="283"/>
      <c r="AZ6062" s="167"/>
      <c r="BA6062" s="167"/>
      <c r="BB6062" s="285"/>
      <c r="BC6062" s="154"/>
      <c r="BD6062" s="154"/>
      <c r="BE6062" s="150"/>
      <c r="BF6062" s="227"/>
      <c r="BG6062" s="227"/>
      <c r="BH6062" s="227"/>
      <c r="BI6062" s="224"/>
      <c r="BJ6062" s="227"/>
      <c r="BK6062" s="227"/>
      <c r="BL6062" s="227"/>
      <c r="BM6062" s="224"/>
      <c r="BN6062" s="224"/>
      <c r="BO6062" s="262"/>
      <c r="BP6062" s="262"/>
      <c r="BQ6062" s="262"/>
      <c r="BR6062" s="262"/>
      <c r="BS6062" s="262"/>
      <c r="BT6062" s="227"/>
      <c r="BU6062" s="227"/>
      <c r="BV6062" s="227"/>
      <c r="BW6062" s="286"/>
      <c r="BX6062" s="286"/>
      <c r="BY6062" s="227"/>
      <c r="BZ6062" s="227"/>
      <c r="CA6062" s="227"/>
      <c r="CB6062" s="190"/>
    </row>
    <row r="6063" spans="1:80" x14ac:dyDescent="0.2">
      <c r="A6063" s="257"/>
      <c r="B6063" s="667"/>
      <c r="C6063" s="667"/>
      <c r="D6063" s="292"/>
      <c r="E6063" s="257"/>
      <c r="F6063" s="257"/>
      <c r="G6063" s="227"/>
      <c r="H6063" s="328"/>
      <c r="I6063" s="227"/>
      <c r="J6063" s="150" t="s">
        <v>295</v>
      </c>
      <c r="K6063" s="227"/>
      <c r="L6063" s="660"/>
      <c r="M6063" s="671"/>
      <c r="N6063" s="582">
        <v>1.0900000000000001</v>
      </c>
      <c r="O6063" s="581">
        <v>1.9E-6</v>
      </c>
      <c r="P6063" s="782"/>
      <c r="Q6063" s="764"/>
      <c r="R6063" s="764"/>
      <c r="S6063" s="764"/>
      <c r="T6063" s="764"/>
      <c r="U6063" s="764"/>
      <c r="V6063" s="764"/>
      <c r="W6063" s="764"/>
      <c r="X6063" s="764"/>
      <c r="Y6063" s="768"/>
      <c r="Z6063" s="281"/>
      <c r="AA6063" s="281"/>
      <c r="AB6063" s="281"/>
      <c r="AC6063" s="174"/>
      <c r="AD6063" s="282"/>
      <c r="AE6063" s="282"/>
      <c r="AF6063" s="173"/>
      <c r="AG6063" s="177"/>
      <c r="AH6063" s="349"/>
      <c r="AI6063" s="283"/>
      <c r="AJ6063" s="240"/>
      <c r="AK6063" s="240"/>
      <c r="AL6063" s="284"/>
      <c r="AM6063" s="167"/>
      <c r="AN6063" s="167"/>
      <c r="AO6063" s="167"/>
      <c r="AP6063" s="167"/>
      <c r="AQ6063" s="167"/>
      <c r="AR6063" s="551"/>
      <c r="AS6063" s="551"/>
      <c r="AT6063" s="551"/>
      <c r="AU6063" s="283"/>
      <c r="AV6063" s="283"/>
      <c r="AW6063" s="283"/>
      <c r="AX6063" s="283"/>
      <c r="AY6063" s="283"/>
      <c r="AZ6063" s="167"/>
      <c r="BA6063" s="167"/>
      <c r="BB6063" s="285"/>
      <c r="BC6063" s="154"/>
      <c r="BD6063" s="154"/>
      <c r="BE6063" s="150"/>
      <c r="BF6063" s="227"/>
      <c r="BG6063" s="227"/>
      <c r="BH6063" s="227"/>
      <c r="BI6063" s="224"/>
      <c r="BJ6063" s="227"/>
      <c r="BK6063" s="227"/>
      <c r="BL6063" s="227"/>
      <c r="BM6063" s="224"/>
      <c r="BN6063" s="224"/>
      <c r="BO6063" s="262"/>
      <c r="BP6063" s="262"/>
      <c r="BQ6063" s="262"/>
      <c r="BR6063" s="262"/>
      <c r="BS6063" s="262"/>
      <c r="BT6063" s="227"/>
      <c r="BU6063" s="227"/>
      <c r="BV6063" s="227"/>
      <c r="BW6063" s="286"/>
      <c r="BX6063" s="286"/>
      <c r="BY6063" s="227"/>
      <c r="BZ6063" s="227"/>
      <c r="CA6063" s="227"/>
      <c r="CB6063" s="190"/>
    </row>
    <row r="6064" spans="1:80" x14ac:dyDescent="0.2">
      <c r="A6064" s="257"/>
      <c r="B6064" s="667"/>
      <c r="C6064" s="667"/>
      <c r="D6064" s="292"/>
      <c r="E6064" s="257"/>
      <c r="F6064" s="257"/>
      <c r="G6064" s="227"/>
      <c r="H6064" s="328"/>
      <c r="I6064" s="227"/>
      <c r="J6064" s="150" t="s">
        <v>295</v>
      </c>
      <c r="K6064" s="227"/>
      <c r="L6064" s="660"/>
      <c r="M6064" s="671"/>
      <c r="N6064" s="582">
        <v>1.0900000000000001</v>
      </c>
      <c r="O6064" s="581">
        <v>3.7000000000000002E-6</v>
      </c>
      <c r="P6064" s="782"/>
      <c r="Q6064" s="764"/>
      <c r="R6064" s="764"/>
      <c r="S6064" s="764"/>
      <c r="T6064" s="764"/>
      <c r="U6064" s="764"/>
      <c r="V6064" s="764"/>
      <c r="W6064" s="764"/>
      <c r="X6064" s="764"/>
      <c r="Y6064" s="768"/>
      <c r="Z6064" s="281"/>
      <c r="AA6064" s="281"/>
      <c r="AB6064" s="281"/>
      <c r="AC6064" s="174"/>
      <c r="AD6064" s="282"/>
      <c r="AE6064" s="282"/>
      <c r="AF6064" s="173"/>
      <c r="AG6064" s="177"/>
      <c r="AH6064" s="349"/>
      <c r="AI6064" s="283"/>
      <c r="AJ6064" s="240"/>
      <c r="AK6064" s="240"/>
      <c r="AL6064" s="284"/>
      <c r="AM6064" s="167"/>
      <c r="AN6064" s="167"/>
      <c r="AO6064" s="167"/>
      <c r="AP6064" s="167"/>
      <c r="AQ6064" s="167"/>
      <c r="AR6064" s="551"/>
      <c r="AS6064" s="551"/>
      <c r="AT6064" s="551"/>
      <c r="AU6064" s="283"/>
      <c r="AV6064" s="283"/>
      <c r="AW6064" s="283"/>
      <c r="AX6064" s="283"/>
      <c r="AY6064" s="283"/>
      <c r="AZ6064" s="167"/>
      <c r="BA6064" s="167"/>
      <c r="BB6064" s="285"/>
      <c r="BC6064" s="154"/>
      <c r="BD6064" s="154"/>
      <c r="BE6064" s="150"/>
      <c r="BF6064" s="227"/>
      <c r="BG6064" s="227"/>
      <c r="BH6064" s="227"/>
      <c r="BI6064" s="224"/>
      <c r="BJ6064" s="227"/>
      <c r="BK6064" s="227"/>
      <c r="BL6064" s="227"/>
      <c r="BM6064" s="224"/>
      <c r="BN6064" s="224"/>
      <c r="BO6064" s="262"/>
      <c r="BP6064" s="262"/>
      <c r="BQ6064" s="262"/>
      <c r="BR6064" s="262"/>
      <c r="BS6064" s="262"/>
      <c r="BT6064" s="227"/>
      <c r="BU6064" s="227"/>
      <c r="BV6064" s="227"/>
      <c r="BW6064" s="286"/>
      <c r="BX6064" s="286"/>
      <c r="BY6064" s="227"/>
      <c r="BZ6064" s="227"/>
      <c r="CA6064" s="227"/>
      <c r="CB6064" s="190"/>
    </row>
    <row r="6065" spans="1:80" x14ac:dyDescent="0.2">
      <c r="A6065" s="257"/>
      <c r="B6065" s="667"/>
      <c r="C6065" s="667"/>
      <c r="D6065" s="292"/>
      <c r="E6065" s="257"/>
      <c r="F6065" s="257"/>
      <c r="G6065" s="227"/>
      <c r="H6065" s="328"/>
      <c r="I6065" s="227"/>
      <c r="J6065" s="150" t="s">
        <v>295</v>
      </c>
      <c r="K6065" s="227"/>
      <c r="L6065" s="660"/>
      <c r="M6065" s="671"/>
      <c r="N6065" s="582">
        <v>1.1200000000000001</v>
      </c>
      <c r="O6065" s="581">
        <v>5.0000000000000004E-6</v>
      </c>
      <c r="P6065" s="782"/>
      <c r="Q6065" s="764"/>
      <c r="R6065" s="764"/>
      <c r="S6065" s="764"/>
      <c r="T6065" s="764"/>
      <c r="U6065" s="764"/>
      <c r="V6065" s="764"/>
      <c r="W6065" s="764"/>
      <c r="X6065" s="764"/>
      <c r="Y6065" s="768"/>
      <c r="Z6065" s="281"/>
      <c r="AA6065" s="281"/>
      <c r="AB6065" s="281"/>
      <c r="AC6065" s="174"/>
      <c r="AD6065" s="282"/>
      <c r="AE6065" s="282"/>
      <c r="AF6065" s="173"/>
      <c r="AG6065" s="177"/>
      <c r="AH6065" s="349"/>
      <c r="AI6065" s="283"/>
      <c r="AJ6065" s="240"/>
      <c r="AK6065" s="240"/>
      <c r="AL6065" s="284"/>
      <c r="AM6065" s="167"/>
      <c r="AN6065" s="167"/>
      <c r="AO6065" s="167"/>
      <c r="AP6065" s="167"/>
      <c r="AQ6065" s="167"/>
      <c r="AR6065" s="551"/>
      <c r="AS6065" s="551"/>
      <c r="AT6065" s="551"/>
      <c r="AU6065" s="283"/>
      <c r="AV6065" s="283"/>
      <c r="AW6065" s="283"/>
      <c r="AX6065" s="283"/>
      <c r="AY6065" s="283"/>
      <c r="AZ6065" s="167"/>
      <c r="BA6065" s="167"/>
      <c r="BB6065" s="285"/>
      <c r="BC6065" s="154"/>
      <c r="BD6065" s="154"/>
      <c r="BE6065" s="150"/>
      <c r="BF6065" s="227"/>
      <c r="BG6065" s="227"/>
      <c r="BH6065" s="227"/>
      <c r="BI6065" s="224"/>
      <c r="BJ6065" s="227"/>
      <c r="BK6065" s="227"/>
      <c r="BL6065" s="227"/>
      <c r="BM6065" s="224"/>
      <c r="BN6065" s="224"/>
      <c r="BO6065" s="262"/>
      <c r="BP6065" s="262"/>
      <c r="BQ6065" s="262"/>
      <c r="BR6065" s="262"/>
      <c r="BS6065" s="262"/>
      <c r="BT6065" s="227"/>
      <c r="BU6065" s="227"/>
      <c r="BV6065" s="227"/>
      <c r="BW6065" s="286"/>
      <c r="BX6065" s="286"/>
      <c r="BY6065" s="227"/>
      <c r="BZ6065" s="227"/>
      <c r="CA6065" s="227"/>
      <c r="CB6065" s="190"/>
    </row>
    <row r="6066" spans="1:80" x14ac:dyDescent="0.2">
      <c r="A6066" s="257"/>
      <c r="B6066" s="667"/>
      <c r="C6066" s="667"/>
      <c r="D6066" s="292"/>
      <c r="E6066" s="257"/>
      <c r="F6066" s="257"/>
      <c r="G6066" s="227"/>
      <c r="H6066" s="328"/>
      <c r="I6066" s="227"/>
      <c r="J6066" s="150" t="s">
        <v>295</v>
      </c>
      <c r="K6066" s="227"/>
      <c r="L6066" s="660"/>
      <c r="M6066" s="671"/>
      <c r="N6066" s="582">
        <v>0.92</v>
      </c>
      <c r="O6066" s="581">
        <v>7.2000000000000009E-7</v>
      </c>
      <c r="P6066" s="782"/>
      <c r="Q6066" s="764"/>
      <c r="R6066" s="764"/>
      <c r="S6066" s="764"/>
      <c r="T6066" s="764"/>
      <c r="U6066" s="764"/>
      <c r="V6066" s="764"/>
      <c r="W6066" s="764"/>
      <c r="X6066" s="764"/>
      <c r="Y6066" s="768"/>
      <c r="Z6066" s="281"/>
      <c r="AA6066" s="281"/>
      <c r="AB6066" s="281"/>
      <c r="AC6066" s="174"/>
      <c r="AD6066" s="282"/>
      <c r="AE6066" s="282"/>
      <c r="AF6066" s="173"/>
      <c r="AG6066" s="177"/>
      <c r="AH6066" s="349"/>
      <c r="AI6066" s="283"/>
      <c r="AJ6066" s="240"/>
      <c r="AK6066" s="240"/>
      <c r="AL6066" s="284"/>
      <c r="AM6066" s="167"/>
      <c r="AN6066" s="167"/>
      <c r="AO6066" s="167"/>
      <c r="AP6066" s="167"/>
      <c r="AQ6066" s="167"/>
      <c r="AR6066" s="551"/>
      <c r="AS6066" s="551"/>
      <c r="AT6066" s="551"/>
      <c r="AU6066" s="283"/>
      <c r="AV6066" s="283"/>
      <c r="AW6066" s="283"/>
      <c r="AX6066" s="283"/>
      <c r="AY6066" s="283"/>
      <c r="AZ6066" s="167"/>
      <c r="BA6066" s="167"/>
      <c r="BB6066" s="285"/>
      <c r="BC6066" s="154"/>
      <c r="BD6066" s="154"/>
      <c r="BE6066" s="150"/>
      <c r="BF6066" s="227"/>
      <c r="BG6066" s="227"/>
      <c r="BH6066" s="227"/>
      <c r="BI6066" s="224"/>
      <c r="BJ6066" s="227"/>
      <c r="BK6066" s="227"/>
      <c r="BL6066" s="227"/>
      <c r="BM6066" s="224"/>
      <c r="BN6066" s="224"/>
      <c r="BO6066" s="262"/>
      <c r="BP6066" s="262"/>
      <c r="BQ6066" s="262"/>
      <c r="BR6066" s="262"/>
      <c r="BS6066" s="262"/>
      <c r="BT6066" s="227"/>
      <c r="BU6066" s="227"/>
      <c r="BV6066" s="227"/>
      <c r="BW6066" s="286"/>
      <c r="BX6066" s="286"/>
      <c r="BY6066" s="227"/>
      <c r="BZ6066" s="227"/>
      <c r="CA6066" s="227"/>
      <c r="CB6066" s="190"/>
    </row>
    <row r="6067" spans="1:80" x14ac:dyDescent="0.2">
      <c r="A6067" s="257"/>
      <c r="B6067" s="667"/>
      <c r="C6067" s="667"/>
      <c r="D6067" s="292"/>
      <c r="E6067" s="257"/>
      <c r="F6067" s="257"/>
      <c r="G6067" s="227"/>
      <c r="H6067" s="328"/>
      <c r="I6067" s="227"/>
      <c r="J6067" s="150" t="s">
        <v>295</v>
      </c>
      <c r="K6067" s="227"/>
      <c r="L6067" s="660"/>
      <c r="M6067" s="671"/>
      <c r="N6067" s="582">
        <v>0.91</v>
      </c>
      <c r="O6067" s="581">
        <v>4.4000000000000002E-7</v>
      </c>
      <c r="P6067" s="782"/>
      <c r="Q6067" s="764"/>
      <c r="R6067" s="764"/>
      <c r="S6067" s="764"/>
      <c r="T6067" s="764"/>
      <c r="U6067" s="764"/>
      <c r="V6067" s="764"/>
      <c r="W6067" s="764"/>
      <c r="X6067" s="764"/>
      <c r="Y6067" s="768"/>
      <c r="Z6067" s="281"/>
      <c r="AA6067" s="281"/>
      <c r="AB6067" s="281"/>
      <c r="AC6067" s="174"/>
      <c r="AD6067" s="282"/>
      <c r="AE6067" s="282"/>
      <c r="AF6067" s="173"/>
      <c r="AG6067" s="177"/>
      <c r="AH6067" s="349"/>
      <c r="AI6067" s="283"/>
      <c r="AJ6067" s="240"/>
      <c r="AK6067" s="240"/>
      <c r="AL6067" s="284"/>
      <c r="AM6067" s="167"/>
      <c r="AN6067" s="167"/>
      <c r="AO6067" s="167"/>
      <c r="AP6067" s="167"/>
      <c r="AQ6067" s="167"/>
      <c r="AR6067" s="551"/>
      <c r="AS6067" s="551"/>
      <c r="AT6067" s="551"/>
      <c r="AU6067" s="283"/>
      <c r="AV6067" s="283"/>
      <c r="AW6067" s="283"/>
      <c r="AX6067" s="283"/>
      <c r="AY6067" s="283"/>
      <c r="AZ6067" s="167"/>
      <c r="BA6067" s="167"/>
      <c r="BB6067" s="285"/>
      <c r="BC6067" s="154"/>
      <c r="BD6067" s="154"/>
      <c r="BE6067" s="150"/>
      <c r="BF6067" s="227"/>
      <c r="BG6067" s="227"/>
      <c r="BH6067" s="227"/>
      <c r="BI6067" s="224"/>
      <c r="BJ6067" s="227"/>
      <c r="BK6067" s="227"/>
      <c r="BL6067" s="227"/>
      <c r="BM6067" s="224"/>
      <c r="BN6067" s="224"/>
      <c r="BO6067" s="262"/>
      <c r="BP6067" s="262"/>
      <c r="BQ6067" s="262"/>
      <c r="BR6067" s="262"/>
      <c r="BS6067" s="262"/>
      <c r="BT6067" s="227"/>
      <c r="BU6067" s="227"/>
      <c r="BV6067" s="227"/>
      <c r="BW6067" s="286"/>
      <c r="BX6067" s="286"/>
      <c r="BY6067" s="227"/>
      <c r="BZ6067" s="227"/>
      <c r="CA6067" s="227"/>
      <c r="CB6067" s="190"/>
    </row>
    <row r="6068" spans="1:80" x14ac:dyDescent="0.2">
      <c r="A6068" s="257"/>
      <c r="B6068" s="667"/>
      <c r="C6068" s="667"/>
      <c r="D6068" s="292"/>
      <c r="E6068" s="257"/>
      <c r="F6068" s="257"/>
      <c r="G6068" s="227"/>
      <c r="H6068" s="328"/>
      <c r="I6068" s="227"/>
      <c r="J6068" s="150" t="s">
        <v>295</v>
      </c>
      <c r="K6068" s="227"/>
      <c r="L6068" s="660"/>
      <c r="M6068" s="671"/>
      <c r="N6068" s="582">
        <v>0.81</v>
      </c>
      <c r="O6068" s="581">
        <v>1.5000000000000002E-8</v>
      </c>
      <c r="P6068" s="782"/>
      <c r="Q6068" s="764"/>
      <c r="R6068" s="764"/>
      <c r="S6068" s="764"/>
      <c r="T6068" s="764"/>
      <c r="U6068" s="764"/>
      <c r="V6068" s="764"/>
      <c r="W6068" s="764"/>
      <c r="X6068" s="764"/>
      <c r="Y6068" s="768"/>
      <c r="Z6068" s="281"/>
      <c r="AA6068" s="281"/>
      <c r="AB6068" s="281"/>
      <c r="AC6068" s="174"/>
      <c r="AD6068" s="282"/>
      <c r="AE6068" s="282"/>
      <c r="AF6068" s="173"/>
      <c r="AG6068" s="177"/>
      <c r="AH6068" s="349"/>
      <c r="AI6068" s="283"/>
      <c r="AJ6068" s="240"/>
      <c r="AK6068" s="240"/>
      <c r="AL6068" s="284"/>
      <c r="AM6068" s="167"/>
      <c r="AN6068" s="167"/>
      <c r="AO6068" s="167"/>
      <c r="AP6068" s="167"/>
      <c r="AQ6068" s="167"/>
      <c r="AR6068" s="551"/>
      <c r="AS6068" s="551"/>
      <c r="AT6068" s="551"/>
      <c r="AU6068" s="283"/>
      <c r="AV6068" s="283"/>
      <c r="AW6068" s="283"/>
      <c r="AX6068" s="283"/>
      <c r="AY6068" s="283"/>
      <c r="AZ6068" s="167"/>
      <c r="BA6068" s="167"/>
      <c r="BB6068" s="285"/>
      <c r="BC6068" s="154"/>
      <c r="BD6068" s="154"/>
      <c r="BE6068" s="150"/>
      <c r="BF6068" s="227"/>
      <c r="BG6068" s="227"/>
      <c r="BH6068" s="227"/>
      <c r="BI6068" s="224"/>
      <c r="BJ6068" s="227"/>
      <c r="BK6068" s="227"/>
      <c r="BL6068" s="227"/>
      <c r="BM6068" s="224"/>
      <c r="BN6068" s="224"/>
      <c r="BO6068" s="262"/>
      <c r="BP6068" s="262"/>
      <c r="BQ6068" s="262"/>
      <c r="BR6068" s="262"/>
      <c r="BS6068" s="262"/>
      <c r="BT6068" s="227"/>
      <c r="BU6068" s="227"/>
      <c r="BV6068" s="227"/>
      <c r="BW6068" s="286"/>
      <c r="BX6068" s="286"/>
      <c r="BY6068" s="227"/>
      <c r="BZ6068" s="227"/>
      <c r="CA6068" s="227"/>
      <c r="CB6068" s="190"/>
    </row>
    <row r="6069" spans="1:80" x14ac:dyDescent="0.2">
      <c r="A6069" s="257"/>
      <c r="B6069" s="667"/>
      <c r="C6069" s="667"/>
      <c r="D6069" s="292"/>
      <c r="E6069" s="257"/>
      <c r="F6069" s="257"/>
      <c r="G6069" s="227"/>
      <c r="H6069" s="328"/>
      <c r="I6069" s="227"/>
      <c r="J6069" s="150" t="s">
        <v>295</v>
      </c>
      <c r="K6069" s="227"/>
      <c r="L6069" s="660"/>
      <c r="M6069" s="671"/>
      <c r="N6069" s="582">
        <v>0.82</v>
      </c>
      <c r="O6069" s="581">
        <v>3.1E-7</v>
      </c>
      <c r="P6069" s="782"/>
      <c r="Q6069" s="764"/>
      <c r="R6069" s="764"/>
      <c r="S6069" s="764"/>
      <c r="T6069" s="764"/>
      <c r="U6069" s="764"/>
      <c r="V6069" s="764"/>
      <c r="W6069" s="764"/>
      <c r="X6069" s="764"/>
      <c r="Y6069" s="768"/>
      <c r="Z6069" s="281"/>
      <c r="AA6069" s="281"/>
      <c r="AB6069" s="281"/>
      <c r="AC6069" s="174"/>
      <c r="AD6069" s="282"/>
      <c r="AE6069" s="282"/>
      <c r="AF6069" s="173"/>
      <c r="AG6069" s="177"/>
      <c r="AH6069" s="349"/>
      <c r="AI6069" s="283"/>
      <c r="AJ6069" s="240"/>
      <c r="AK6069" s="240"/>
      <c r="AL6069" s="284"/>
      <c r="AM6069" s="167"/>
      <c r="AN6069" s="167"/>
      <c r="AO6069" s="167"/>
      <c r="AP6069" s="167"/>
      <c r="AQ6069" s="167"/>
      <c r="AR6069" s="551"/>
      <c r="AS6069" s="551"/>
      <c r="AT6069" s="551"/>
      <c r="AU6069" s="283"/>
      <c r="AV6069" s="283"/>
      <c r="AW6069" s="283"/>
      <c r="AX6069" s="283"/>
      <c r="AY6069" s="283"/>
      <c r="AZ6069" s="167"/>
      <c r="BA6069" s="167"/>
      <c r="BB6069" s="285"/>
      <c r="BC6069" s="154"/>
      <c r="BD6069" s="154"/>
      <c r="BE6069" s="150"/>
      <c r="BF6069" s="227"/>
      <c r="BG6069" s="227"/>
      <c r="BH6069" s="227"/>
      <c r="BI6069" s="224"/>
      <c r="BJ6069" s="227"/>
      <c r="BK6069" s="227"/>
      <c r="BL6069" s="227"/>
      <c r="BM6069" s="224"/>
      <c r="BN6069" s="224"/>
      <c r="BO6069" s="262"/>
      <c r="BP6069" s="262"/>
      <c r="BQ6069" s="262"/>
      <c r="BR6069" s="262"/>
      <c r="BS6069" s="262"/>
      <c r="BT6069" s="227"/>
      <c r="BU6069" s="227"/>
      <c r="BV6069" s="227"/>
      <c r="BW6069" s="286"/>
      <c r="BX6069" s="286"/>
      <c r="BY6069" s="227"/>
      <c r="BZ6069" s="227"/>
      <c r="CA6069" s="227"/>
      <c r="CB6069" s="190"/>
    </row>
    <row r="6070" spans="1:80" x14ac:dyDescent="0.2">
      <c r="A6070" s="257"/>
      <c r="B6070" s="667"/>
      <c r="C6070" s="667"/>
      <c r="D6070" s="292"/>
      <c r="E6070" s="257"/>
      <c r="F6070" s="257"/>
      <c r="G6070" s="227"/>
      <c r="H6070" s="328"/>
      <c r="I6070" s="227"/>
      <c r="J6070" s="150" t="s">
        <v>295</v>
      </c>
      <c r="K6070" s="227"/>
      <c r="L6070" s="660"/>
      <c r="M6070" s="671"/>
      <c r="N6070" s="582">
        <v>0.81</v>
      </c>
      <c r="O6070" s="581">
        <v>1.5000000000000002E-8</v>
      </c>
      <c r="P6070" s="782"/>
      <c r="Q6070" s="764"/>
      <c r="R6070" s="764"/>
      <c r="S6070" s="764"/>
      <c r="T6070" s="764"/>
      <c r="U6070" s="764"/>
      <c r="V6070" s="764"/>
      <c r="W6070" s="764"/>
      <c r="X6070" s="764"/>
      <c r="Y6070" s="768"/>
      <c r="Z6070" s="281"/>
      <c r="AA6070" s="281"/>
      <c r="AB6070" s="281"/>
      <c r="AC6070" s="174"/>
      <c r="AD6070" s="282"/>
      <c r="AE6070" s="282"/>
      <c r="AF6070" s="173"/>
      <c r="AG6070" s="177"/>
      <c r="AH6070" s="349"/>
      <c r="AI6070" s="283"/>
      <c r="AJ6070" s="240"/>
      <c r="AK6070" s="240"/>
      <c r="AL6070" s="284"/>
      <c r="AM6070" s="167"/>
      <c r="AN6070" s="167"/>
      <c r="AO6070" s="167"/>
      <c r="AP6070" s="167"/>
      <c r="AQ6070" s="167"/>
      <c r="AR6070" s="551"/>
      <c r="AS6070" s="551"/>
      <c r="AT6070" s="551"/>
      <c r="AU6070" s="283"/>
      <c r="AV6070" s="283"/>
      <c r="AW6070" s="283"/>
      <c r="AX6070" s="283"/>
      <c r="AY6070" s="283"/>
      <c r="AZ6070" s="167"/>
      <c r="BA6070" s="167"/>
      <c r="BB6070" s="285"/>
      <c r="BC6070" s="154"/>
      <c r="BD6070" s="154"/>
      <c r="BE6070" s="150"/>
      <c r="BF6070" s="227"/>
      <c r="BG6070" s="227"/>
      <c r="BH6070" s="227"/>
      <c r="BI6070" s="224"/>
      <c r="BJ6070" s="227"/>
      <c r="BK6070" s="227"/>
      <c r="BL6070" s="227"/>
      <c r="BM6070" s="224"/>
      <c r="BN6070" s="224"/>
      <c r="BO6070" s="262"/>
      <c r="BP6070" s="262"/>
      <c r="BQ6070" s="262"/>
      <c r="BR6070" s="262"/>
      <c r="BS6070" s="262"/>
      <c r="BT6070" s="227"/>
      <c r="BU6070" s="227"/>
      <c r="BV6070" s="227"/>
      <c r="BW6070" s="286"/>
      <c r="BX6070" s="286"/>
      <c r="BY6070" s="227"/>
      <c r="BZ6070" s="227"/>
      <c r="CA6070" s="227"/>
      <c r="CB6070" s="190"/>
    </row>
    <row r="6071" spans="1:80" x14ac:dyDescent="0.2">
      <c r="A6071" s="257"/>
      <c r="B6071" s="667"/>
      <c r="C6071" s="667"/>
      <c r="D6071" s="292"/>
      <c r="E6071" s="257"/>
      <c r="F6071" s="257"/>
      <c r="G6071" s="227"/>
      <c r="H6071" s="328"/>
      <c r="I6071" s="227"/>
      <c r="J6071" s="150" t="s">
        <v>295</v>
      </c>
      <c r="K6071" s="227"/>
      <c r="L6071" s="660"/>
      <c r="M6071" s="671"/>
      <c r="N6071" s="582">
        <v>0.83</v>
      </c>
      <c r="O6071" s="581">
        <v>5.5000000000000003E-7</v>
      </c>
      <c r="P6071" s="782"/>
      <c r="Q6071" s="764"/>
      <c r="R6071" s="764"/>
      <c r="S6071" s="764"/>
      <c r="T6071" s="764"/>
      <c r="U6071" s="764"/>
      <c r="V6071" s="764"/>
      <c r="W6071" s="764"/>
      <c r="X6071" s="764"/>
      <c r="Y6071" s="768"/>
      <c r="Z6071" s="281"/>
      <c r="AA6071" s="281"/>
      <c r="AB6071" s="281"/>
      <c r="AC6071" s="174"/>
      <c r="AD6071" s="282"/>
      <c r="AE6071" s="282"/>
      <c r="AF6071" s="173"/>
      <c r="AG6071" s="177"/>
      <c r="AH6071" s="349"/>
      <c r="AI6071" s="283"/>
      <c r="AJ6071" s="240"/>
      <c r="AK6071" s="240"/>
      <c r="AL6071" s="284"/>
      <c r="AM6071" s="167"/>
      <c r="AN6071" s="167"/>
      <c r="AO6071" s="167"/>
      <c r="AP6071" s="167"/>
      <c r="AQ6071" s="167"/>
      <c r="AR6071" s="551"/>
      <c r="AS6071" s="551"/>
      <c r="AT6071" s="551"/>
      <c r="AU6071" s="283"/>
      <c r="AV6071" s="283"/>
      <c r="AW6071" s="283"/>
      <c r="AX6071" s="283"/>
      <c r="AY6071" s="283"/>
      <c r="AZ6071" s="167"/>
      <c r="BA6071" s="167"/>
      <c r="BB6071" s="285"/>
      <c r="BC6071" s="154"/>
      <c r="BD6071" s="154"/>
      <c r="BE6071" s="150"/>
      <c r="BF6071" s="227"/>
      <c r="BG6071" s="227"/>
      <c r="BH6071" s="227"/>
      <c r="BI6071" s="224"/>
      <c r="BJ6071" s="227"/>
      <c r="BK6071" s="227"/>
      <c r="BL6071" s="227"/>
      <c r="BM6071" s="224"/>
      <c r="BN6071" s="224"/>
      <c r="BO6071" s="262"/>
      <c r="BP6071" s="262"/>
      <c r="BQ6071" s="262"/>
      <c r="BR6071" s="262"/>
      <c r="BS6071" s="262"/>
      <c r="BT6071" s="227"/>
      <c r="BU6071" s="227"/>
      <c r="BV6071" s="227"/>
      <c r="BW6071" s="286"/>
      <c r="BX6071" s="286"/>
      <c r="BY6071" s="227"/>
      <c r="BZ6071" s="227"/>
      <c r="CA6071" s="227"/>
      <c r="CB6071" s="190"/>
    </row>
    <row r="6072" spans="1:80" x14ac:dyDescent="0.2">
      <c r="A6072" s="257"/>
      <c r="B6072" s="667"/>
      <c r="C6072" s="667"/>
      <c r="D6072" s="292"/>
      <c r="E6072" s="257"/>
      <c r="F6072" s="257"/>
      <c r="G6072" s="227"/>
      <c r="H6072" s="328"/>
      <c r="I6072" s="227"/>
      <c r="J6072" s="150" t="s">
        <v>295</v>
      </c>
      <c r="K6072" s="227"/>
      <c r="L6072" s="660"/>
      <c r="M6072" s="671"/>
      <c r="N6072" s="582">
        <v>0.98</v>
      </c>
      <c r="O6072" s="581">
        <v>4.4999999999999998E-7</v>
      </c>
      <c r="P6072" s="782"/>
      <c r="Q6072" s="764"/>
      <c r="R6072" s="764"/>
      <c r="S6072" s="764"/>
      <c r="T6072" s="764"/>
      <c r="U6072" s="764"/>
      <c r="V6072" s="764"/>
      <c r="W6072" s="764"/>
      <c r="X6072" s="764"/>
      <c r="Y6072" s="768"/>
      <c r="Z6072" s="281"/>
      <c r="AA6072" s="281"/>
      <c r="AB6072" s="281"/>
      <c r="AC6072" s="174"/>
      <c r="AD6072" s="282"/>
      <c r="AE6072" s="282"/>
      <c r="AF6072" s="173"/>
      <c r="AG6072" s="177"/>
      <c r="AH6072" s="349"/>
      <c r="AI6072" s="283"/>
      <c r="AJ6072" s="240"/>
      <c r="AK6072" s="240"/>
      <c r="AL6072" s="284"/>
      <c r="AM6072" s="167"/>
      <c r="AN6072" s="167"/>
      <c r="AO6072" s="167"/>
      <c r="AP6072" s="167"/>
      <c r="AQ6072" s="167"/>
      <c r="AR6072" s="551"/>
      <c r="AS6072" s="551"/>
      <c r="AT6072" s="551"/>
      <c r="AU6072" s="283"/>
      <c r="AV6072" s="283"/>
      <c r="AW6072" s="283"/>
      <c r="AX6072" s="283"/>
      <c r="AY6072" s="283"/>
      <c r="AZ6072" s="167"/>
      <c r="BA6072" s="167"/>
      <c r="BB6072" s="285"/>
      <c r="BC6072" s="154"/>
      <c r="BD6072" s="154"/>
      <c r="BE6072" s="150"/>
      <c r="BF6072" s="227"/>
      <c r="BG6072" s="227"/>
      <c r="BH6072" s="227"/>
      <c r="BI6072" s="224"/>
      <c r="BJ6072" s="227"/>
      <c r="BK6072" s="227"/>
      <c r="BL6072" s="227"/>
      <c r="BM6072" s="224"/>
      <c r="BN6072" s="224"/>
      <c r="BO6072" s="262"/>
      <c r="BP6072" s="262"/>
      <c r="BQ6072" s="262"/>
      <c r="BR6072" s="262"/>
      <c r="BS6072" s="262"/>
      <c r="BT6072" s="227"/>
      <c r="BU6072" s="227"/>
      <c r="BV6072" s="227"/>
      <c r="BW6072" s="286"/>
      <c r="BX6072" s="286"/>
      <c r="BY6072" s="227"/>
      <c r="BZ6072" s="227"/>
      <c r="CA6072" s="227"/>
      <c r="CB6072" s="190"/>
    </row>
    <row r="6073" spans="1:80" x14ac:dyDescent="0.2">
      <c r="A6073" s="257"/>
      <c r="B6073" s="667"/>
      <c r="C6073" s="667"/>
      <c r="D6073" s="292"/>
      <c r="E6073" s="257"/>
      <c r="F6073" s="257"/>
      <c r="G6073" s="227"/>
      <c r="H6073" s="328"/>
      <c r="I6073" s="227"/>
      <c r="J6073" s="150" t="s">
        <v>295</v>
      </c>
      <c r="K6073" s="227"/>
      <c r="L6073" s="660"/>
      <c r="M6073" s="671"/>
      <c r="N6073" s="582">
        <v>1.1399999999999999</v>
      </c>
      <c r="O6073" s="581">
        <v>5.0999999999999999E-7</v>
      </c>
      <c r="P6073" s="782"/>
      <c r="Q6073" s="764"/>
      <c r="R6073" s="764"/>
      <c r="S6073" s="764"/>
      <c r="T6073" s="764"/>
      <c r="U6073" s="764"/>
      <c r="V6073" s="764"/>
      <c r="W6073" s="764"/>
      <c r="X6073" s="764"/>
      <c r="Y6073" s="768"/>
      <c r="Z6073" s="281"/>
      <c r="AA6073" s="281"/>
      <c r="AB6073" s="281"/>
      <c r="AC6073" s="174"/>
      <c r="AD6073" s="282"/>
      <c r="AE6073" s="282"/>
      <c r="AF6073" s="173"/>
      <c r="AG6073" s="177"/>
      <c r="AH6073" s="349"/>
      <c r="AI6073" s="283"/>
      <c r="AJ6073" s="240"/>
      <c r="AK6073" s="240"/>
      <c r="AL6073" s="284"/>
      <c r="AM6073" s="167"/>
      <c r="AN6073" s="167"/>
      <c r="AO6073" s="167"/>
      <c r="AP6073" s="167"/>
      <c r="AQ6073" s="167"/>
      <c r="AR6073" s="551"/>
      <c r="AS6073" s="551"/>
      <c r="AT6073" s="551"/>
      <c r="AU6073" s="283"/>
      <c r="AV6073" s="283"/>
      <c r="AW6073" s="283"/>
      <c r="AX6073" s="283"/>
      <c r="AY6073" s="283"/>
      <c r="AZ6073" s="167"/>
      <c r="BA6073" s="167"/>
      <c r="BB6073" s="285"/>
      <c r="BC6073" s="154"/>
      <c r="BD6073" s="154"/>
      <c r="BE6073" s="150"/>
      <c r="BF6073" s="227"/>
      <c r="BG6073" s="227"/>
      <c r="BH6073" s="227"/>
      <c r="BI6073" s="224"/>
      <c r="BJ6073" s="227"/>
      <c r="BK6073" s="227"/>
      <c r="BL6073" s="227"/>
      <c r="BM6073" s="224"/>
      <c r="BN6073" s="224"/>
      <c r="BO6073" s="262"/>
      <c r="BP6073" s="262"/>
      <c r="BQ6073" s="262"/>
      <c r="BR6073" s="262"/>
      <c r="BS6073" s="262"/>
      <c r="BT6073" s="227"/>
      <c r="BU6073" s="227"/>
      <c r="BV6073" s="227"/>
      <c r="BW6073" s="286"/>
      <c r="BX6073" s="286"/>
      <c r="BY6073" s="227"/>
      <c r="BZ6073" s="227"/>
      <c r="CA6073" s="227"/>
      <c r="CB6073" s="190"/>
    </row>
    <row r="6074" spans="1:80" x14ac:dyDescent="0.2">
      <c r="A6074" s="257"/>
      <c r="B6074" s="667"/>
      <c r="C6074" s="667"/>
      <c r="D6074" s="292"/>
      <c r="E6074" s="257"/>
      <c r="F6074" s="257"/>
      <c r="G6074" s="227"/>
      <c r="H6074" s="328"/>
      <c r="I6074" s="227"/>
      <c r="J6074" s="150" t="s">
        <v>295</v>
      </c>
      <c r="K6074" s="227"/>
      <c r="L6074" s="660"/>
      <c r="M6074" s="671"/>
      <c r="N6074" s="582">
        <v>1.27</v>
      </c>
      <c r="O6074" s="581">
        <v>1.9199999999999999E-5</v>
      </c>
      <c r="P6074" s="782"/>
      <c r="Q6074" s="764"/>
      <c r="R6074" s="764"/>
      <c r="S6074" s="764"/>
      <c r="T6074" s="764"/>
      <c r="U6074" s="764"/>
      <c r="V6074" s="764"/>
      <c r="W6074" s="764"/>
      <c r="X6074" s="764"/>
      <c r="Y6074" s="768"/>
      <c r="Z6074" s="281"/>
      <c r="AA6074" s="281"/>
      <c r="AB6074" s="281"/>
      <c r="AC6074" s="174"/>
      <c r="AD6074" s="282"/>
      <c r="AE6074" s="282"/>
      <c r="AF6074" s="173"/>
      <c r="AG6074" s="177"/>
      <c r="AH6074" s="349"/>
      <c r="AI6074" s="283"/>
      <c r="AJ6074" s="240"/>
      <c r="AK6074" s="240"/>
      <c r="AL6074" s="284"/>
      <c r="AM6074" s="167"/>
      <c r="AN6074" s="167"/>
      <c r="AO6074" s="167"/>
      <c r="AP6074" s="167"/>
      <c r="AQ6074" s="167"/>
      <c r="AR6074" s="551"/>
      <c r="AS6074" s="551"/>
      <c r="AT6074" s="551"/>
      <c r="AU6074" s="283"/>
      <c r="AV6074" s="283"/>
      <c r="AW6074" s="283"/>
      <c r="AX6074" s="283"/>
      <c r="AY6074" s="283"/>
      <c r="AZ6074" s="167"/>
      <c r="BA6074" s="167"/>
      <c r="BB6074" s="285"/>
      <c r="BC6074" s="154"/>
      <c r="BD6074" s="154"/>
      <c r="BE6074" s="150"/>
      <c r="BF6074" s="227"/>
      <c r="BG6074" s="227"/>
      <c r="BH6074" s="227"/>
      <c r="BI6074" s="224"/>
      <c r="BJ6074" s="227"/>
      <c r="BK6074" s="227"/>
      <c r="BL6074" s="227"/>
      <c r="BM6074" s="224"/>
      <c r="BN6074" s="224"/>
      <c r="BO6074" s="262"/>
      <c r="BP6074" s="262"/>
      <c r="BQ6074" s="262"/>
      <c r="BR6074" s="262"/>
      <c r="BS6074" s="262"/>
      <c r="BT6074" s="227"/>
      <c r="BU6074" s="227"/>
      <c r="BV6074" s="227"/>
      <c r="BW6074" s="286"/>
      <c r="BX6074" s="286"/>
      <c r="BY6074" s="227"/>
      <c r="BZ6074" s="227"/>
      <c r="CA6074" s="227"/>
      <c r="CB6074" s="190"/>
    </row>
    <row r="6075" spans="1:80" x14ac:dyDescent="0.2">
      <c r="A6075" s="257"/>
      <c r="B6075" s="667"/>
      <c r="C6075" s="667"/>
      <c r="D6075" s="292"/>
      <c r="E6075" s="257"/>
      <c r="F6075" s="257"/>
      <c r="G6075" s="227"/>
      <c r="H6075" s="328"/>
      <c r="I6075" s="227"/>
      <c r="J6075" s="150" t="s">
        <v>295</v>
      </c>
      <c r="K6075" s="227"/>
      <c r="L6075" s="660"/>
      <c r="M6075" s="671"/>
      <c r="N6075" s="582">
        <v>1.55</v>
      </c>
      <c r="O6075" s="581">
        <v>1.2800000000000001E-5</v>
      </c>
      <c r="P6075" s="782"/>
      <c r="Q6075" s="764"/>
      <c r="R6075" s="764"/>
      <c r="S6075" s="764"/>
      <c r="T6075" s="764"/>
      <c r="U6075" s="764"/>
      <c r="V6075" s="764"/>
      <c r="W6075" s="764"/>
      <c r="X6075" s="764"/>
      <c r="Y6075" s="768"/>
      <c r="Z6075" s="281"/>
      <c r="AA6075" s="281"/>
      <c r="AB6075" s="281"/>
      <c r="AC6075" s="174"/>
      <c r="AD6075" s="282"/>
      <c r="AE6075" s="282"/>
      <c r="AF6075" s="173"/>
      <c r="AG6075" s="177"/>
      <c r="AH6075" s="349"/>
      <c r="AI6075" s="283"/>
      <c r="AJ6075" s="240"/>
      <c r="AK6075" s="240"/>
      <c r="AL6075" s="284"/>
      <c r="AM6075" s="167"/>
      <c r="AN6075" s="167"/>
      <c r="AO6075" s="167"/>
      <c r="AP6075" s="167"/>
      <c r="AQ6075" s="167"/>
      <c r="AR6075" s="551"/>
      <c r="AS6075" s="551"/>
      <c r="AT6075" s="551"/>
      <c r="AU6075" s="283"/>
      <c r="AV6075" s="283"/>
      <c r="AW6075" s="283"/>
      <c r="AX6075" s="283"/>
      <c r="AY6075" s="283"/>
      <c r="AZ6075" s="167"/>
      <c r="BA6075" s="167"/>
      <c r="BB6075" s="285"/>
      <c r="BC6075" s="154"/>
      <c r="BD6075" s="154"/>
      <c r="BE6075" s="150"/>
      <c r="BF6075" s="227"/>
      <c r="BG6075" s="227"/>
      <c r="BH6075" s="227"/>
      <c r="BI6075" s="224"/>
      <c r="BJ6075" s="227"/>
      <c r="BK6075" s="227"/>
      <c r="BL6075" s="227"/>
      <c r="BM6075" s="224"/>
      <c r="BN6075" s="224"/>
      <c r="BO6075" s="262"/>
      <c r="BP6075" s="262"/>
      <c r="BQ6075" s="262"/>
      <c r="BR6075" s="262"/>
      <c r="BS6075" s="262"/>
      <c r="BT6075" s="227"/>
      <c r="BU6075" s="227"/>
      <c r="BV6075" s="227"/>
      <c r="BW6075" s="286"/>
      <c r="BX6075" s="286"/>
      <c r="BY6075" s="227"/>
      <c r="BZ6075" s="227"/>
      <c r="CA6075" s="227"/>
      <c r="CB6075" s="190"/>
    </row>
    <row r="6076" spans="1:80" x14ac:dyDescent="0.2">
      <c r="A6076" s="257"/>
      <c r="B6076" s="667"/>
      <c r="C6076" s="667"/>
      <c r="D6076" s="292"/>
      <c r="E6076" s="257"/>
      <c r="F6076" s="257"/>
      <c r="G6076" s="227"/>
      <c r="H6076" s="328"/>
      <c r="I6076" s="227"/>
      <c r="J6076" s="150" t="s">
        <v>295</v>
      </c>
      <c r="K6076" s="227"/>
      <c r="L6076" s="660"/>
      <c r="M6076" s="671"/>
      <c r="N6076" s="582">
        <v>1.87</v>
      </c>
      <c r="O6076" s="581">
        <v>3.5530000000000002E-4</v>
      </c>
      <c r="P6076" s="782"/>
      <c r="Q6076" s="764"/>
      <c r="R6076" s="764"/>
      <c r="S6076" s="764"/>
      <c r="T6076" s="764"/>
      <c r="U6076" s="764"/>
      <c r="V6076" s="764"/>
      <c r="W6076" s="764"/>
      <c r="X6076" s="764"/>
      <c r="Y6076" s="768"/>
      <c r="Z6076" s="281"/>
      <c r="AA6076" s="281"/>
      <c r="AB6076" s="281"/>
      <c r="AC6076" s="174"/>
      <c r="AD6076" s="282"/>
      <c r="AE6076" s="282"/>
      <c r="AF6076" s="173"/>
      <c r="AG6076" s="177"/>
      <c r="AH6076" s="349"/>
      <c r="AI6076" s="283"/>
      <c r="AJ6076" s="240"/>
      <c r="AK6076" s="240"/>
      <c r="AL6076" s="284"/>
      <c r="AM6076" s="167"/>
      <c r="AN6076" s="167"/>
      <c r="AO6076" s="167"/>
      <c r="AP6076" s="167"/>
      <c r="AQ6076" s="167"/>
      <c r="AR6076" s="551"/>
      <c r="AS6076" s="551"/>
      <c r="AT6076" s="551"/>
      <c r="AU6076" s="283"/>
      <c r="AV6076" s="283"/>
      <c r="AW6076" s="283"/>
      <c r="AX6076" s="283"/>
      <c r="AY6076" s="283"/>
      <c r="AZ6076" s="167"/>
      <c r="BA6076" s="167"/>
      <c r="BB6076" s="285"/>
      <c r="BC6076" s="154"/>
      <c r="BD6076" s="154"/>
      <c r="BE6076" s="150"/>
      <c r="BF6076" s="227"/>
      <c r="BG6076" s="227"/>
      <c r="BH6076" s="227"/>
      <c r="BI6076" s="224"/>
      <c r="BJ6076" s="227"/>
      <c r="BK6076" s="227"/>
      <c r="BL6076" s="227"/>
      <c r="BM6076" s="224"/>
      <c r="BN6076" s="224"/>
      <c r="BO6076" s="262"/>
      <c r="BP6076" s="262"/>
      <c r="BQ6076" s="262"/>
      <c r="BR6076" s="262"/>
      <c r="BS6076" s="262"/>
      <c r="BT6076" s="227"/>
      <c r="BU6076" s="227"/>
      <c r="BV6076" s="227"/>
      <c r="BW6076" s="286"/>
      <c r="BX6076" s="286"/>
      <c r="BY6076" s="227"/>
      <c r="BZ6076" s="227"/>
      <c r="CA6076" s="227"/>
      <c r="CB6076" s="190"/>
    </row>
    <row r="6077" spans="1:80" x14ac:dyDescent="0.2">
      <c r="A6077" s="257"/>
      <c r="B6077" s="667"/>
      <c r="C6077" s="667"/>
      <c r="D6077" s="292"/>
      <c r="E6077" s="257"/>
      <c r="F6077" s="257"/>
      <c r="G6077" s="227"/>
      <c r="H6077" s="328"/>
      <c r="I6077" s="227"/>
      <c r="J6077" s="150" t="s">
        <v>295</v>
      </c>
      <c r="K6077" s="227"/>
      <c r="L6077" s="660"/>
      <c r="M6077" s="671"/>
      <c r="N6077" s="582">
        <v>2</v>
      </c>
      <c r="O6077" s="581">
        <v>6.868E-4</v>
      </c>
      <c r="P6077" s="782"/>
      <c r="Q6077" s="764"/>
      <c r="R6077" s="764"/>
      <c r="S6077" s="764"/>
      <c r="T6077" s="764"/>
      <c r="U6077" s="764"/>
      <c r="V6077" s="764"/>
      <c r="W6077" s="764"/>
      <c r="X6077" s="764"/>
      <c r="Y6077" s="768"/>
      <c r="Z6077" s="281"/>
      <c r="AA6077" s="281"/>
      <c r="AB6077" s="281"/>
      <c r="AC6077" s="174"/>
      <c r="AD6077" s="282"/>
      <c r="AE6077" s="282"/>
      <c r="AF6077" s="173"/>
      <c r="AG6077" s="177"/>
      <c r="AH6077" s="349"/>
      <c r="AI6077" s="283"/>
      <c r="AJ6077" s="240"/>
      <c r="AK6077" s="240"/>
      <c r="AL6077" s="284"/>
      <c r="AM6077" s="167"/>
      <c r="AN6077" s="167"/>
      <c r="AO6077" s="167"/>
      <c r="AP6077" s="167"/>
      <c r="AQ6077" s="167"/>
      <c r="AR6077" s="551"/>
      <c r="AS6077" s="551"/>
      <c r="AT6077" s="551"/>
      <c r="AU6077" s="283"/>
      <c r="AV6077" s="283"/>
      <c r="AW6077" s="283"/>
      <c r="AX6077" s="283"/>
      <c r="AY6077" s="283"/>
      <c r="AZ6077" s="167"/>
      <c r="BA6077" s="167"/>
      <c r="BB6077" s="285"/>
      <c r="BC6077" s="154"/>
      <c r="BD6077" s="154"/>
      <c r="BE6077" s="150"/>
      <c r="BF6077" s="227"/>
      <c r="BG6077" s="227"/>
      <c r="BH6077" s="227"/>
      <c r="BI6077" s="224"/>
      <c r="BJ6077" s="227"/>
      <c r="BK6077" s="227"/>
      <c r="BL6077" s="227"/>
      <c r="BM6077" s="224"/>
      <c r="BN6077" s="224"/>
      <c r="BO6077" s="262"/>
      <c r="BP6077" s="262"/>
      <c r="BQ6077" s="262"/>
      <c r="BR6077" s="262"/>
      <c r="BS6077" s="262"/>
      <c r="BT6077" s="227"/>
      <c r="BU6077" s="227"/>
      <c r="BV6077" s="227"/>
      <c r="BW6077" s="286"/>
      <c r="BX6077" s="286"/>
      <c r="BY6077" s="227"/>
      <c r="BZ6077" s="227"/>
      <c r="CA6077" s="227"/>
      <c r="CB6077" s="190"/>
    </row>
    <row r="6078" spans="1:80" x14ac:dyDescent="0.2">
      <c r="A6078" s="257"/>
      <c r="B6078" s="667"/>
      <c r="C6078" s="667"/>
      <c r="D6078" s="292"/>
      <c r="E6078" s="257"/>
      <c r="F6078" s="257"/>
      <c r="G6078" s="227"/>
      <c r="H6078" s="328"/>
      <c r="I6078" s="227"/>
      <c r="J6078" s="150" t="s">
        <v>295</v>
      </c>
      <c r="K6078" s="227"/>
      <c r="L6078" s="660"/>
      <c r="M6078" s="671"/>
      <c r="N6078" s="582">
        <v>1.92</v>
      </c>
      <c r="O6078" s="581">
        <v>5.442E-4</v>
      </c>
      <c r="P6078" s="782"/>
      <c r="Q6078" s="764"/>
      <c r="R6078" s="764"/>
      <c r="S6078" s="764"/>
      <c r="T6078" s="764"/>
      <c r="U6078" s="764"/>
      <c r="V6078" s="764"/>
      <c r="W6078" s="764"/>
      <c r="X6078" s="764"/>
      <c r="Y6078" s="768"/>
      <c r="Z6078" s="281"/>
      <c r="AA6078" s="281"/>
      <c r="AB6078" s="281"/>
      <c r="AC6078" s="174"/>
      <c r="AD6078" s="282"/>
      <c r="AE6078" s="282"/>
      <c r="AF6078" s="173"/>
      <c r="AG6078" s="177"/>
      <c r="AH6078" s="349"/>
      <c r="AI6078" s="283"/>
      <c r="AJ6078" s="240"/>
      <c r="AK6078" s="240"/>
      <c r="AL6078" s="284"/>
      <c r="AM6078" s="167"/>
      <c r="AN6078" s="167"/>
      <c r="AO6078" s="167"/>
      <c r="AP6078" s="167"/>
      <c r="AQ6078" s="167"/>
      <c r="AR6078" s="551"/>
      <c r="AS6078" s="551"/>
      <c r="AT6078" s="551"/>
      <c r="AU6078" s="283"/>
      <c r="AV6078" s="283"/>
      <c r="AW6078" s="283"/>
      <c r="AX6078" s="283"/>
      <c r="AY6078" s="283"/>
      <c r="AZ6078" s="167"/>
      <c r="BA6078" s="167"/>
      <c r="BB6078" s="285"/>
      <c r="BC6078" s="154"/>
      <c r="BD6078" s="154"/>
      <c r="BE6078" s="150"/>
      <c r="BF6078" s="227"/>
      <c r="BG6078" s="227"/>
      <c r="BH6078" s="227"/>
      <c r="BI6078" s="224"/>
      <c r="BJ6078" s="227"/>
      <c r="BK6078" s="227"/>
      <c r="BL6078" s="227"/>
      <c r="BM6078" s="224"/>
      <c r="BN6078" s="224"/>
      <c r="BO6078" s="262"/>
      <c r="BP6078" s="262"/>
      <c r="BQ6078" s="262"/>
      <c r="BR6078" s="262"/>
      <c r="BS6078" s="262"/>
      <c r="BT6078" s="227"/>
      <c r="BU6078" s="227"/>
      <c r="BV6078" s="227"/>
      <c r="BW6078" s="286"/>
      <c r="BX6078" s="286"/>
      <c r="BY6078" s="227"/>
      <c r="BZ6078" s="227"/>
      <c r="CA6078" s="227"/>
      <c r="CB6078" s="190"/>
    </row>
    <row r="6079" spans="1:80" x14ac:dyDescent="0.2">
      <c r="A6079" s="257"/>
      <c r="B6079" s="667"/>
      <c r="C6079" s="667"/>
      <c r="D6079" s="292"/>
      <c r="E6079" s="257"/>
      <c r="F6079" s="257"/>
      <c r="G6079" s="227"/>
      <c r="H6079" s="328"/>
      <c r="I6079" s="227"/>
      <c r="J6079" s="150" t="s">
        <v>295</v>
      </c>
      <c r="K6079" s="227"/>
      <c r="L6079" s="660"/>
      <c r="M6079" s="671"/>
      <c r="N6079" s="582">
        <v>1.94</v>
      </c>
      <c r="O6079" s="581">
        <v>2.4899999999999999E-5</v>
      </c>
      <c r="P6079" s="782"/>
      <c r="Q6079" s="764"/>
      <c r="R6079" s="764"/>
      <c r="S6079" s="764"/>
      <c r="T6079" s="764"/>
      <c r="U6079" s="764"/>
      <c r="V6079" s="764"/>
      <c r="W6079" s="764"/>
      <c r="X6079" s="764"/>
      <c r="Y6079" s="768"/>
      <c r="Z6079" s="281"/>
      <c r="AA6079" s="281"/>
      <c r="AB6079" s="281"/>
      <c r="AC6079" s="174"/>
      <c r="AD6079" s="282"/>
      <c r="AE6079" s="282"/>
      <c r="AF6079" s="173"/>
      <c r="AG6079" s="177"/>
      <c r="AH6079" s="349"/>
      <c r="AI6079" s="283"/>
      <c r="AJ6079" s="240"/>
      <c r="AK6079" s="240"/>
      <c r="AL6079" s="284"/>
      <c r="AM6079" s="167"/>
      <c r="AN6079" s="167"/>
      <c r="AO6079" s="167"/>
      <c r="AP6079" s="167"/>
      <c r="AQ6079" s="167"/>
      <c r="AR6079" s="551"/>
      <c r="AS6079" s="551"/>
      <c r="AT6079" s="551"/>
      <c r="AU6079" s="283"/>
      <c r="AV6079" s="283"/>
      <c r="AW6079" s="283"/>
      <c r="AX6079" s="283"/>
      <c r="AY6079" s="283"/>
      <c r="AZ6079" s="167"/>
      <c r="BA6079" s="167"/>
      <c r="BB6079" s="285"/>
      <c r="BC6079" s="154"/>
      <c r="BD6079" s="154"/>
      <c r="BE6079" s="150"/>
      <c r="BF6079" s="227"/>
      <c r="BG6079" s="227"/>
      <c r="BH6079" s="227"/>
      <c r="BI6079" s="224"/>
      <c r="BJ6079" s="227"/>
      <c r="BK6079" s="227"/>
      <c r="BL6079" s="227"/>
      <c r="BM6079" s="224"/>
      <c r="BN6079" s="224"/>
      <c r="BO6079" s="262"/>
      <c r="BP6079" s="262"/>
      <c r="BQ6079" s="262"/>
      <c r="BR6079" s="262"/>
      <c r="BS6079" s="262"/>
      <c r="BT6079" s="227"/>
      <c r="BU6079" s="227"/>
      <c r="BV6079" s="227"/>
      <c r="BW6079" s="286"/>
      <c r="BX6079" s="286"/>
      <c r="BY6079" s="227"/>
      <c r="BZ6079" s="227"/>
      <c r="CA6079" s="227"/>
      <c r="CB6079" s="190"/>
    </row>
    <row r="6080" spans="1:80" x14ac:dyDescent="0.2">
      <c r="A6080" s="257"/>
      <c r="B6080" s="667"/>
      <c r="C6080" s="667"/>
      <c r="D6080" s="292"/>
      <c r="E6080" s="257"/>
      <c r="F6080" s="257"/>
      <c r="G6080" s="227"/>
      <c r="H6080" s="328"/>
      <c r="I6080" s="227"/>
      <c r="J6080" s="150" t="s">
        <v>295</v>
      </c>
      <c r="K6080" s="227"/>
      <c r="L6080" s="660"/>
      <c r="M6080" s="671"/>
      <c r="N6080" s="582">
        <v>2.12</v>
      </c>
      <c r="O6080" s="581">
        <v>2.1490000000000002E-4</v>
      </c>
      <c r="P6080" s="782"/>
      <c r="Q6080" s="764"/>
      <c r="R6080" s="764"/>
      <c r="S6080" s="764"/>
      <c r="T6080" s="764"/>
      <c r="U6080" s="764"/>
      <c r="V6080" s="764"/>
      <c r="W6080" s="764"/>
      <c r="X6080" s="764"/>
      <c r="Y6080" s="768"/>
      <c r="Z6080" s="281"/>
      <c r="AA6080" s="281"/>
      <c r="AB6080" s="281"/>
      <c r="AC6080" s="174"/>
      <c r="AD6080" s="282"/>
      <c r="AE6080" s="282"/>
      <c r="AF6080" s="173"/>
      <c r="AG6080" s="177"/>
      <c r="AH6080" s="349"/>
      <c r="AI6080" s="283"/>
      <c r="AJ6080" s="240"/>
      <c r="AK6080" s="240"/>
      <c r="AL6080" s="284"/>
      <c r="AM6080" s="167"/>
      <c r="AN6080" s="167"/>
      <c r="AO6080" s="167"/>
      <c r="AP6080" s="167"/>
      <c r="AQ6080" s="167"/>
      <c r="AR6080" s="551"/>
      <c r="AS6080" s="551"/>
      <c r="AT6080" s="551"/>
      <c r="AU6080" s="283"/>
      <c r="AV6080" s="283"/>
      <c r="AW6080" s="283"/>
      <c r="AX6080" s="283"/>
      <c r="AY6080" s="283"/>
      <c r="AZ6080" s="167"/>
      <c r="BA6080" s="167"/>
      <c r="BB6080" s="285"/>
      <c r="BC6080" s="154"/>
      <c r="BD6080" s="154"/>
      <c r="BE6080" s="150"/>
      <c r="BF6080" s="227"/>
      <c r="BG6080" s="227"/>
      <c r="BH6080" s="227"/>
      <c r="BI6080" s="224"/>
      <c r="BJ6080" s="227"/>
      <c r="BK6080" s="227"/>
      <c r="BL6080" s="227"/>
      <c r="BM6080" s="224"/>
      <c r="BN6080" s="224"/>
      <c r="BO6080" s="262"/>
      <c r="BP6080" s="262"/>
      <c r="BQ6080" s="262"/>
      <c r="BR6080" s="262"/>
      <c r="BS6080" s="262"/>
      <c r="BT6080" s="227"/>
      <c r="BU6080" s="227"/>
      <c r="BV6080" s="227"/>
      <c r="BW6080" s="286"/>
      <c r="BX6080" s="286"/>
      <c r="BY6080" s="227"/>
      <c r="BZ6080" s="227"/>
      <c r="CA6080" s="227"/>
      <c r="CB6080" s="190"/>
    </row>
    <row r="6081" spans="1:80" x14ac:dyDescent="0.2">
      <c r="A6081" s="257"/>
      <c r="B6081" s="667"/>
      <c r="C6081" s="667"/>
      <c r="D6081" s="292"/>
      <c r="E6081" s="257"/>
      <c r="F6081" s="257"/>
      <c r="G6081" s="227"/>
      <c r="H6081" s="328"/>
      <c r="I6081" s="227"/>
      <c r="J6081" s="150" t="s">
        <v>295</v>
      </c>
      <c r="K6081" s="227"/>
      <c r="L6081" s="660"/>
      <c r="M6081" s="671"/>
      <c r="N6081" s="582">
        <v>2.4</v>
      </c>
      <c r="O6081" s="581">
        <v>1.3343000000000001E-3</v>
      </c>
      <c r="P6081" s="782"/>
      <c r="Q6081" s="764"/>
      <c r="R6081" s="764"/>
      <c r="S6081" s="764"/>
      <c r="T6081" s="764"/>
      <c r="U6081" s="764"/>
      <c r="V6081" s="764"/>
      <c r="W6081" s="764"/>
      <c r="X6081" s="764"/>
      <c r="Y6081" s="768"/>
      <c r="Z6081" s="281"/>
      <c r="AA6081" s="281"/>
      <c r="AB6081" s="281"/>
      <c r="AC6081" s="174"/>
      <c r="AD6081" s="282"/>
      <c r="AE6081" s="282"/>
      <c r="AF6081" s="173"/>
      <c r="AG6081" s="177"/>
      <c r="AH6081" s="349"/>
      <c r="AI6081" s="283"/>
      <c r="AJ6081" s="240"/>
      <c r="AK6081" s="240"/>
      <c r="AL6081" s="284"/>
      <c r="AM6081" s="167"/>
      <c r="AN6081" s="167"/>
      <c r="AO6081" s="167"/>
      <c r="AP6081" s="167"/>
      <c r="AQ6081" s="167"/>
      <c r="AR6081" s="551"/>
      <c r="AS6081" s="551"/>
      <c r="AT6081" s="551"/>
      <c r="AU6081" s="283"/>
      <c r="AV6081" s="283"/>
      <c r="AW6081" s="283"/>
      <c r="AX6081" s="283"/>
      <c r="AY6081" s="283"/>
      <c r="AZ6081" s="167"/>
      <c r="BA6081" s="167"/>
      <c r="BB6081" s="285"/>
      <c r="BC6081" s="154"/>
      <c r="BD6081" s="154"/>
      <c r="BE6081" s="150"/>
      <c r="BF6081" s="227"/>
      <c r="BG6081" s="227"/>
      <c r="BH6081" s="227"/>
      <c r="BI6081" s="224"/>
      <c r="BJ6081" s="227"/>
      <c r="BK6081" s="227"/>
      <c r="BL6081" s="227"/>
      <c r="BM6081" s="224"/>
      <c r="BN6081" s="224"/>
      <c r="BO6081" s="262"/>
      <c r="BP6081" s="262"/>
      <c r="BQ6081" s="262"/>
      <c r="BR6081" s="262"/>
      <c r="BS6081" s="262"/>
      <c r="BT6081" s="227"/>
      <c r="BU6081" s="227"/>
      <c r="BV6081" s="227"/>
      <c r="BW6081" s="286"/>
      <c r="BX6081" s="286"/>
      <c r="BY6081" s="227"/>
      <c r="BZ6081" s="227"/>
      <c r="CA6081" s="227"/>
      <c r="CB6081" s="190"/>
    </row>
    <row r="6082" spans="1:80" x14ac:dyDescent="0.2">
      <c r="A6082" s="257"/>
      <c r="B6082" s="667"/>
      <c r="C6082" s="667"/>
      <c r="D6082" s="292"/>
      <c r="E6082" s="257"/>
      <c r="F6082" s="257"/>
      <c r="G6082" s="227"/>
      <c r="H6082" s="328"/>
      <c r="I6082" s="227"/>
      <c r="J6082" s="150" t="s">
        <v>295</v>
      </c>
      <c r="K6082" s="227"/>
      <c r="L6082" s="660"/>
      <c r="M6082" s="671"/>
      <c r="N6082" s="582">
        <v>2.63</v>
      </c>
      <c r="O6082" s="581">
        <v>4.1276000000000004E-3</v>
      </c>
      <c r="P6082" s="782"/>
      <c r="Q6082" s="764"/>
      <c r="R6082" s="764"/>
      <c r="S6082" s="764"/>
      <c r="T6082" s="764"/>
      <c r="U6082" s="764"/>
      <c r="V6082" s="764"/>
      <c r="W6082" s="764"/>
      <c r="X6082" s="764"/>
      <c r="Y6082" s="768"/>
      <c r="Z6082" s="281"/>
      <c r="AA6082" s="281"/>
      <c r="AB6082" s="281"/>
      <c r="AC6082" s="174"/>
      <c r="AD6082" s="282"/>
      <c r="AE6082" s="282"/>
      <c r="AF6082" s="173"/>
      <c r="AG6082" s="177"/>
      <c r="AH6082" s="349"/>
      <c r="AI6082" s="283"/>
      <c r="AJ6082" s="240"/>
      <c r="AK6082" s="240"/>
      <c r="AL6082" s="284"/>
      <c r="AM6082" s="167"/>
      <c r="AN6082" s="167"/>
      <c r="AO6082" s="167"/>
      <c r="AP6082" s="167"/>
      <c r="AQ6082" s="167"/>
      <c r="AR6082" s="551"/>
      <c r="AS6082" s="551"/>
      <c r="AT6082" s="551"/>
      <c r="AU6082" s="283"/>
      <c r="AV6082" s="283"/>
      <c r="AW6082" s="283"/>
      <c r="AX6082" s="283"/>
      <c r="AY6082" s="283"/>
      <c r="AZ6082" s="167"/>
      <c r="BA6082" s="167"/>
      <c r="BB6082" s="285"/>
      <c r="BC6082" s="154"/>
      <c r="BD6082" s="154"/>
      <c r="BE6082" s="150"/>
      <c r="BF6082" s="227"/>
      <c r="BG6082" s="227"/>
      <c r="BH6082" s="227"/>
      <c r="BI6082" s="224"/>
      <c r="BJ6082" s="227"/>
      <c r="BK6082" s="227"/>
      <c r="BL6082" s="227"/>
      <c r="BM6082" s="224"/>
      <c r="BN6082" s="224"/>
      <c r="BO6082" s="262"/>
      <c r="BP6082" s="262"/>
      <c r="BQ6082" s="262"/>
      <c r="BR6082" s="262"/>
      <c r="BS6082" s="262"/>
      <c r="BT6082" s="227"/>
      <c r="BU6082" s="227"/>
      <c r="BV6082" s="227"/>
      <c r="BW6082" s="286"/>
      <c r="BX6082" s="286"/>
      <c r="BY6082" s="227"/>
      <c r="BZ6082" s="227"/>
      <c r="CA6082" s="227"/>
      <c r="CB6082" s="190"/>
    </row>
    <row r="6083" spans="1:80" x14ac:dyDescent="0.2">
      <c r="A6083" s="257"/>
      <c r="B6083" s="667"/>
      <c r="C6083" s="667"/>
      <c r="D6083" s="292"/>
      <c r="E6083" s="257"/>
      <c r="F6083" s="257"/>
      <c r="G6083" s="227"/>
      <c r="H6083" s="328"/>
      <c r="I6083" s="227"/>
      <c r="J6083" s="150" t="s">
        <v>295</v>
      </c>
      <c r="K6083" s="227"/>
      <c r="L6083" s="660"/>
      <c r="M6083" s="671"/>
      <c r="N6083" s="582">
        <v>2.39</v>
      </c>
      <c r="O6083" s="581">
        <v>2.0460000000000001E-4</v>
      </c>
      <c r="P6083" s="782"/>
      <c r="Q6083" s="764"/>
      <c r="R6083" s="764"/>
      <c r="S6083" s="764"/>
      <c r="T6083" s="764"/>
      <c r="U6083" s="764"/>
      <c r="V6083" s="764"/>
      <c r="W6083" s="764"/>
      <c r="X6083" s="764"/>
      <c r="Y6083" s="768"/>
      <c r="Z6083" s="281"/>
      <c r="AA6083" s="281"/>
      <c r="AB6083" s="281"/>
      <c r="AC6083" s="174"/>
      <c r="AD6083" s="282"/>
      <c r="AE6083" s="282"/>
      <c r="AF6083" s="173"/>
      <c r="AG6083" s="177"/>
      <c r="AH6083" s="349"/>
      <c r="AI6083" s="283"/>
      <c r="AJ6083" s="240"/>
      <c r="AK6083" s="240"/>
      <c r="AL6083" s="284"/>
      <c r="AM6083" s="167"/>
      <c r="AN6083" s="167"/>
      <c r="AO6083" s="167"/>
      <c r="AP6083" s="167"/>
      <c r="AQ6083" s="167"/>
      <c r="AR6083" s="551"/>
      <c r="AS6083" s="551"/>
      <c r="AT6083" s="551"/>
      <c r="AU6083" s="283"/>
      <c r="AV6083" s="283"/>
      <c r="AW6083" s="283"/>
      <c r="AX6083" s="283"/>
      <c r="AY6083" s="283"/>
      <c r="AZ6083" s="167"/>
      <c r="BA6083" s="167"/>
      <c r="BB6083" s="285"/>
      <c r="BC6083" s="154"/>
      <c r="BD6083" s="154"/>
      <c r="BE6083" s="150"/>
      <c r="BF6083" s="227"/>
      <c r="BG6083" s="227"/>
      <c r="BH6083" s="227"/>
      <c r="BI6083" s="224"/>
      <c r="BJ6083" s="227"/>
      <c r="BK6083" s="227"/>
      <c r="BL6083" s="227"/>
      <c r="BM6083" s="224"/>
      <c r="BN6083" s="224"/>
      <c r="BO6083" s="262"/>
      <c r="BP6083" s="262"/>
      <c r="BQ6083" s="262"/>
      <c r="BR6083" s="262"/>
      <c r="BS6083" s="262"/>
      <c r="BT6083" s="227"/>
      <c r="BU6083" s="227"/>
      <c r="BV6083" s="227"/>
      <c r="BW6083" s="286"/>
      <c r="BX6083" s="286"/>
      <c r="BY6083" s="227"/>
      <c r="BZ6083" s="227"/>
      <c r="CA6083" s="227"/>
      <c r="CB6083" s="190"/>
    </row>
    <row r="6084" spans="1:80" x14ac:dyDescent="0.2">
      <c r="A6084" s="257"/>
      <c r="B6084" s="667"/>
      <c r="C6084" s="667"/>
      <c r="D6084" s="292"/>
      <c r="E6084" s="257"/>
      <c r="F6084" s="257"/>
      <c r="G6084" s="227"/>
      <c r="H6084" s="328"/>
      <c r="I6084" s="227"/>
      <c r="J6084" s="150" t="s">
        <v>295</v>
      </c>
      <c r="K6084" s="227"/>
      <c r="L6084" s="660"/>
      <c r="M6084" s="671"/>
      <c r="N6084" s="582">
        <v>2.74</v>
      </c>
      <c r="O6084" s="581">
        <v>2.9813000000000001E-3</v>
      </c>
      <c r="P6084" s="782"/>
      <c r="Q6084" s="764"/>
      <c r="R6084" s="764"/>
      <c r="S6084" s="764"/>
      <c r="T6084" s="764"/>
      <c r="U6084" s="764"/>
      <c r="V6084" s="764"/>
      <c r="W6084" s="764"/>
      <c r="X6084" s="764"/>
      <c r="Y6084" s="768"/>
      <c r="Z6084" s="281"/>
      <c r="AA6084" s="281"/>
      <c r="AB6084" s="281"/>
      <c r="AC6084" s="174"/>
      <c r="AD6084" s="282"/>
      <c r="AE6084" s="282"/>
      <c r="AF6084" s="173"/>
      <c r="AG6084" s="177"/>
      <c r="AH6084" s="349"/>
      <c r="AI6084" s="283"/>
      <c r="AJ6084" s="240"/>
      <c r="AK6084" s="240"/>
      <c r="AL6084" s="284"/>
      <c r="AM6084" s="167"/>
      <c r="AN6084" s="167"/>
      <c r="AO6084" s="167"/>
      <c r="AP6084" s="167"/>
      <c r="AQ6084" s="167"/>
      <c r="AR6084" s="551"/>
      <c r="AS6084" s="551"/>
      <c r="AT6084" s="551"/>
      <c r="AU6084" s="283"/>
      <c r="AV6084" s="283"/>
      <c r="AW6084" s="283"/>
      <c r="AX6084" s="283"/>
      <c r="AY6084" s="283"/>
      <c r="AZ6084" s="167"/>
      <c r="BA6084" s="167"/>
      <c r="BB6084" s="285"/>
      <c r="BC6084" s="154"/>
      <c r="BD6084" s="154"/>
      <c r="BE6084" s="150"/>
      <c r="BF6084" s="227"/>
      <c r="BG6084" s="227"/>
      <c r="BH6084" s="227"/>
      <c r="BI6084" s="224"/>
      <c r="BJ6084" s="227"/>
      <c r="BK6084" s="227"/>
      <c r="BL6084" s="227"/>
      <c r="BM6084" s="224"/>
      <c r="BN6084" s="224"/>
      <c r="BO6084" s="262"/>
      <c r="BP6084" s="262"/>
      <c r="BQ6084" s="262"/>
      <c r="BR6084" s="262"/>
      <c r="BS6084" s="262"/>
      <c r="BT6084" s="227"/>
      <c r="BU6084" s="227"/>
      <c r="BV6084" s="227"/>
      <c r="BW6084" s="286"/>
      <c r="BX6084" s="286"/>
      <c r="BY6084" s="227"/>
      <c r="BZ6084" s="227"/>
      <c r="CA6084" s="227"/>
      <c r="CB6084" s="190"/>
    </row>
    <row r="6085" spans="1:80" x14ac:dyDescent="0.2">
      <c r="A6085" s="257"/>
      <c r="B6085" s="667"/>
      <c r="C6085" s="667"/>
      <c r="D6085" s="292"/>
      <c r="E6085" s="257"/>
      <c r="F6085" s="257"/>
      <c r="G6085" s="227"/>
      <c r="H6085" s="328"/>
      <c r="I6085" s="227"/>
      <c r="J6085" s="150" t="s">
        <v>295</v>
      </c>
      <c r="K6085" s="227"/>
      <c r="L6085" s="660"/>
      <c r="M6085" s="671"/>
      <c r="N6085" s="582">
        <v>2.96</v>
      </c>
      <c r="O6085" s="581">
        <v>2.3213000000000001E-3</v>
      </c>
      <c r="P6085" s="782"/>
      <c r="Q6085" s="764"/>
      <c r="R6085" s="764"/>
      <c r="S6085" s="764"/>
      <c r="T6085" s="764"/>
      <c r="U6085" s="764"/>
      <c r="V6085" s="764"/>
      <c r="W6085" s="764"/>
      <c r="X6085" s="764"/>
      <c r="Y6085" s="768"/>
      <c r="Z6085" s="281"/>
      <c r="AA6085" s="281"/>
      <c r="AB6085" s="281"/>
      <c r="AC6085" s="174"/>
      <c r="AD6085" s="282"/>
      <c r="AE6085" s="282"/>
      <c r="AF6085" s="173"/>
      <c r="AG6085" s="177"/>
      <c r="AH6085" s="349"/>
      <c r="AI6085" s="283"/>
      <c r="AJ6085" s="240"/>
      <c r="AK6085" s="240"/>
      <c r="AL6085" s="284"/>
      <c r="AM6085" s="167"/>
      <c r="AN6085" s="167"/>
      <c r="AO6085" s="167"/>
      <c r="AP6085" s="167"/>
      <c r="AQ6085" s="167"/>
      <c r="AR6085" s="551"/>
      <c r="AS6085" s="551"/>
      <c r="AT6085" s="551"/>
      <c r="AU6085" s="283"/>
      <c r="AV6085" s="283"/>
      <c r="AW6085" s="283"/>
      <c r="AX6085" s="283"/>
      <c r="AY6085" s="283"/>
      <c r="AZ6085" s="167"/>
      <c r="BA6085" s="167"/>
      <c r="BB6085" s="285"/>
      <c r="BC6085" s="154"/>
      <c r="BD6085" s="154"/>
      <c r="BE6085" s="150"/>
      <c r="BF6085" s="227"/>
      <c r="BG6085" s="227"/>
      <c r="BH6085" s="227"/>
      <c r="BI6085" s="224"/>
      <c r="BJ6085" s="227"/>
      <c r="BK6085" s="227"/>
      <c r="BL6085" s="227"/>
      <c r="BM6085" s="224"/>
      <c r="BN6085" s="224"/>
      <c r="BO6085" s="262"/>
      <c r="BP6085" s="262"/>
      <c r="BQ6085" s="262"/>
      <c r="BR6085" s="262"/>
      <c r="BS6085" s="262"/>
      <c r="BT6085" s="227"/>
      <c r="BU6085" s="227"/>
      <c r="BV6085" s="227"/>
      <c r="BW6085" s="286"/>
      <c r="BX6085" s="286"/>
      <c r="BY6085" s="227"/>
      <c r="BZ6085" s="227"/>
      <c r="CA6085" s="227"/>
      <c r="CB6085" s="190"/>
    </row>
    <row r="6086" spans="1:80" x14ac:dyDescent="0.2">
      <c r="A6086" s="257"/>
      <c r="B6086" s="667"/>
      <c r="C6086" s="667"/>
      <c r="D6086" s="292"/>
      <c r="E6086" s="257"/>
      <c r="F6086" s="257"/>
      <c r="G6086" s="227"/>
      <c r="H6086" s="328"/>
      <c r="I6086" s="227"/>
      <c r="J6086" s="150" t="s">
        <v>295</v>
      </c>
      <c r="K6086" s="227"/>
      <c r="L6086" s="660"/>
      <c r="M6086" s="671"/>
      <c r="N6086" s="582">
        <v>2.29</v>
      </c>
      <c r="O6086" s="581">
        <v>4.0949999999999998E-4</v>
      </c>
      <c r="P6086" s="782"/>
      <c r="Q6086" s="764"/>
      <c r="R6086" s="764"/>
      <c r="S6086" s="764"/>
      <c r="T6086" s="764"/>
      <c r="U6086" s="764"/>
      <c r="V6086" s="764"/>
      <c r="W6086" s="764"/>
      <c r="X6086" s="764"/>
      <c r="Y6086" s="768"/>
      <c r="Z6086" s="281"/>
      <c r="AA6086" s="281"/>
      <c r="AB6086" s="281"/>
      <c r="AC6086" s="174"/>
      <c r="AD6086" s="282"/>
      <c r="AE6086" s="282"/>
      <c r="AF6086" s="173"/>
      <c r="AG6086" s="177"/>
      <c r="AH6086" s="349"/>
      <c r="AI6086" s="283"/>
      <c r="AJ6086" s="240"/>
      <c r="AK6086" s="240"/>
      <c r="AL6086" s="284"/>
      <c r="AM6086" s="167"/>
      <c r="AN6086" s="167"/>
      <c r="AO6086" s="167"/>
      <c r="AP6086" s="167"/>
      <c r="AQ6086" s="167"/>
      <c r="AR6086" s="551"/>
      <c r="AS6086" s="551"/>
      <c r="AT6086" s="551"/>
      <c r="AU6086" s="283"/>
      <c r="AV6086" s="283"/>
      <c r="AW6086" s="283"/>
      <c r="AX6086" s="283"/>
      <c r="AY6086" s="283"/>
      <c r="AZ6086" s="167"/>
      <c r="BA6086" s="167"/>
      <c r="BB6086" s="285"/>
      <c r="BC6086" s="154"/>
      <c r="BD6086" s="154"/>
      <c r="BE6086" s="150"/>
      <c r="BF6086" s="227"/>
      <c r="BG6086" s="227"/>
      <c r="BH6086" s="227"/>
      <c r="BI6086" s="224"/>
      <c r="BJ6086" s="227"/>
      <c r="BK6086" s="227"/>
      <c r="BL6086" s="227"/>
      <c r="BM6086" s="224"/>
      <c r="BN6086" s="224"/>
      <c r="BO6086" s="262"/>
      <c r="BP6086" s="262"/>
      <c r="BQ6086" s="262"/>
      <c r="BR6086" s="262"/>
      <c r="BS6086" s="262"/>
      <c r="BT6086" s="227"/>
      <c r="BU6086" s="227"/>
      <c r="BV6086" s="227"/>
      <c r="BW6086" s="286"/>
      <c r="BX6086" s="286"/>
      <c r="BY6086" s="227"/>
      <c r="BZ6086" s="227"/>
      <c r="CA6086" s="227"/>
      <c r="CB6086" s="190"/>
    </row>
    <row r="6087" spans="1:80" x14ac:dyDescent="0.2">
      <c r="A6087" s="257"/>
      <c r="B6087" s="667"/>
      <c r="C6087" s="667"/>
      <c r="D6087" s="292"/>
      <c r="E6087" s="257"/>
      <c r="F6087" s="257"/>
      <c r="G6087" s="227"/>
      <c r="H6087" s="328"/>
      <c r="I6087" s="227"/>
      <c r="J6087" s="150" t="s">
        <v>295</v>
      </c>
      <c r="K6087" s="227"/>
      <c r="L6087" s="660"/>
      <c r="M6087" s="671"/>
      <c r="N6087" s="582">
        <v>2.29</v>
      </c>
      <c r="O6087" s="581">
        <v>7.094E-4</v>
      </c>
      <c r="P6087" s="782"/>
      <c r="Q6087" s="764"/>
      <c r="R6087" s="764"/>
      <c r="S6087" s="764"/>
      <c r="T6087" s="764"/>
      <c r="U6087" s="764"/>
      <c r="V6087" s="764"/>
      <c r="W6087" s="764"/>
      <c r="X6087" s="764"/>
      <c r="Y6087" s="768"/>
      <c r="Z6087" s="281"/>
      <c r="AA6087" s="281"/>
      <c r="AB6087" s="281"/>
      <c r="AC6087" s="174"/>
      <c r="AD6087" s="282"/>
      <c r="AE6087" s="282"/>
      <c r="AF6087" s="173"/>
      <c r="AG6087" s="177"/>
      <c r="AH6087" s="349"/>
      <c r="AI6087" s="283"/>
      <c r="AJ6087" s="240"/>
      <c r="AK6087" s="240"/>
      <c r="AL6087" s="284"/>
      <c r="AM6087" s="167"/>
      <c r="AN6087" s="167"/>
      <c r="AO6087" s="167"/>
      <c r="AP6087" s="167"/>
      <c r="AQ6087" s="167"/>
      <c r="AR6087" s="551"/>
      <c r="AS6087" s="551"/>
      <c r="AT6087" s="551"/>
      <c r="AU6087" s="283"/>
      <c r="AV6087" s="283"/>
      <c r="AW6087" s="283"/>
      <c r="AX6087" s="283"/>
      <c r="AY6087" s="283"/>
      <c r="AZ6087" s="167"/>
      <c r="BA6087" s="167"/>
      <c r="BB6087" s="285"/>
      <c r="BC6087" s="154"/>
      <c r="BD6087" s="154"/>
      <c r="BE6087" s="150"/>
      <c r="BF6087" s="227"/>
      <c r="BG6087" s="227"/>
      <c r="BH6087" s="227"/>
      <c r="BI6087" s="224"/>
      <c r="BJ6087" s="227"/>
      <c r="BK6087" s="227"/>
      <c r="BL6087" s="227"/>
      <c r="BM6087" s="224"/>
      <c r="BN6087" s="224"/>
      <c r="BO6087" s="262"/>
      <c r="BP6087" s="262"/>
      <c r="BQ6087" s="262"/>
      <c r="BR6087" s="262"/>
      <c r="BS6087" s="262"/>
      <c r="BT6087" s="227"/>
      <c r="BU6087" s="227"/>
      <c r="BV6087" s="227"/>
      <c r="BW6087" s="286"/>
      <c r="BX6087" s="286"/>
      <c r="BY6087" s="227"/>
      <c r="BZ6087" s="227"/>
      <c r="CA6087" s="227"/>
      <c r="CB6087" s="190"/>
    </row>
    <row r="6088" spans="1:80" x14ac:dyDescent="0.2">
      <c r="A6088" s="257"/>
      <c r="B6088" s="667"/>
      <c r="C6088" s="667"/>
      <c r="D6088" s="292"/>
      <c r="E6088" s="257"/>
      <c r="F6088" s="257"/>
      <c r="G6088" s="227"/>
      <c r="H6088" s="328"/>
      <c r="I6088" s="227"/>
      <c r="J6088" s="150" t="s">
        <v>295</v>
      </c>
      <c r="K6088" s="227"/>
      <c r="L6088" s="660"/>
      <c r="M6088" s="671"/>
      <c r="N6088" s="582">
        <v>2.29</v>
      </c>
      <c r="O6088" s="581">
        <v>7.848000000000001E-4</v>
      </c>
      <c r="P6088" s="782"/>
      <c r="Q6088" s="764"/>
      <c r="R6088" s="764"/>
      <c r="S6088" s="764"/>
      <c r="T6088" s="764"/>
      <c r="U6088" s="764"/>
      <c r="V6088" s="764"/>
      <c r="W6088" s="764"/>
      <c r="X6088" s="764"/>
      <c r="Y6088" s="768"/>
      <c r="Z6088" s="281"/>
      <c r="AA6088" s="281"/>
      <c r="AB6088" s="281"/>
      <c r="AC6088" s="174"/>
      <c r="AD6088" s="282"/>
      <c r="AE6088" s="282"/>
      <c r="AF6088" s="173"/>
      <c r="AG6088" s="177"/>
      <c r="AH6088" s="349"/>
      <c r="AI6088" s="283"/>
      <c r="AJ6088" s="240"/>
      <c r="AK6088" s="240"/>
      <c r="AL6088" s="284"/>
      <c r="AM6088" s="167"/>
      <c r="AN6088" s="167"/>
      <c r="AO6088" s="167"/>
      <c r="AP6088" s="167"/>
      <c r="AQ6088" s="167"/>
      <c r="AR6088" s="551"/>
      <c r="AS6088" s="551"/>
      <c r="AT6088" s="551"/>
      <c r="AU6088" s="283"/>
      <c r="AV6088" s="283"/>
      <c r="AW6088" s="283"/>
      <c r="AX6088" s="283"/>
      <c r="AY6088" s="283"/>
      <c r="AZ6088" s="167"/>
      <c r="BA6088" s="167"/>
      <c r="BB6088" s="285"/>
      <c r="BC6088" s="154"/>
      <c r="BD6088" s="154"/>
      <c r="BE6088" s="150"/>
      <c r="BF6088" s="227"/>
      <c r="BG6088" s="227"/>
      <c r="BH6088" s="227"/>
      <c r="BI6088" s="224"/>
      <c r="BJ6088" s="227"/>
      <c r="BK6088" s="227"/>
      <c r="BL6088" s="227"/>
      <c r="BM6088" s="224"/>
      <c r="BN6088" s="224"/>
      <c r="BO6088" s="262"/>
      <c r="BP6088" s="262"/>
      <c r="BQ6088" s="262"/>
      <c r="BR6088" s="262"/>
      <c r="BS6088" s="262"/>
      <c r="BT6088" s="227"/>
      <c r="BU6088" s="227"/>
      <c r="BV6088" s="227"/>
      <c r="BW6088" s="286"/>
      <c r="BX6088" s="286"/>
      <c r="BY6088" s="227"/>
      <c r="BZ6088" s="227"/>
      <c r="CA6088" s="227"/>
      <c r="CB6088" s="190"/>
    </row>
    <row r="6089" spans="1:80" x14ac:dyDescent="0.2">
      <c r="A6089" s="257"/>
      <c r="B6089" s="667"/>
      <c r="C6089" s="667"/>
      <c r="D6089" s="292"/>
      <c r="E6089" s="257"/>
      <c r="F6089" s="257"/>
      <c r="G6089" s="227"/>
      <c r="H6089" s="328"/>
      <c r="I6089" s="227"/>
      <c r="J6089" s="150" t="s">
        <v>295</v>
      </c>
      <c r="K6089" s="227"/>
      <c r="L6089" s="660"/>
      <c r="M6089" s="671"/>
      <c r="N6089" s="582">
        <v>1.63</v>
      </c>
      <c r="O6089" s="581">
        <v>1.47E-5</v>
      </c>
      <c r="P6089" s="782"/>
      <c r="Q6089" s="764"/>
      <c r="R6089" s="764"/>
      <c r="S6089" s="764"/>
      <c r="T6089" s="764"/>
      <c r="U6089" s="764"/>
      <c r="V6089" s="764"/>
      <c r="W6089" s="764"/>
      <c r="X6089" s="764"/>
      <c r="Y6089" s="768"/>
      <c r="Z6089" s="281"/>
      <c r="AA6089" s="281"/>
      <c r="AB6089" s="281"/>
      <c r="AC6089" s="174"/>
      <c r="AD6089" s="282"/>
      <c r="AE6089" s="282"/>
      <c r="AF6089" s="173"/>
      <c r="AG6089" s="177"/>
      <c r="AH6089" s="349"/>
      <c r="AI6089" s="283"/>
      <c r="AJ6089" s="240"/>
      <c r="AK6089" s="240"/>
      <c r="AL6089" s="284"/>
      <c r="AM6089" s="167"/>
      <c r="AN6089" s="167"/>
      <c r="AO6089" s="167"/>
      <c r="AP6089" s="167"/>
      <c r="AQ6089" s="167"/>
      <c r="AR6089" s="551"/>
      <c r="AS6089" s="551"/>
      <c r="AT6089" s="551"/>
      <c r="AU6089" s="283"/>
      <c r="AV6089" s="283"/>
      <c r="AW6089" s="283"/>
      <c r="AX6089" s="283"/>
      <c r="AY6089" s="283"/>
      <c r="AZ6089" s="167"/>
      <c r="BA6089" s="167"/>
      <c r="BB6089" s="285"/>
      <c r="BC6089" s="154"/>
      <c r="BD6089" s="154"/>
      <c r="BE6089" s="150"/>
      <c r="BF6089" s="227"/>
      <c r="BG6089" s="227"/>
      <c r="BH6089" s="227"/>
      <c r="BI6089" s="224"/>
      <c r="BJ6089" s="227"/>
      <c r="BK6089" s="227"/>
      <c r="BL6089" s="227"/>
      <c r="BM6089" s="224"/>
      <c r="BN6089" s="224"/>
      <c r="BO6089" s="262"/>
      <c r="BP6089" s="262"/>
      <c r="BQ6089" s="262"/>
      <c r="BR6089" s="262"/>
      <c r="BS6089" s="262"/>
      <c r="BT6089" s="227"/>
      <c r="BU6089" s="227"/>
      <c r="BV6089" s="227"/>
      <c r="BW6089" s="286"/>
      <c r="BX6089" s="286"/>
      <c r="BY6089" s="227"/>
      <c r="BZ6089" s="227"/>
      <c r="CA6089" s="227"/>
      <c r="CB6089" s="190"/>
    </row>
    <row r="6090" spans="1:80" x14ac:dyDescent="0.2">
      <c r="A6090" s="257"/>
      <c r="B6090" s="667"/>
      <c r="C6090" s="667"/>
      <c r="D6090" s="292"/>
      <c r="E6090" s="257"/>
      <c r="F6090" s="257"/>
      <c r="G6090" s="227"/>
      <c r="H6090" s="328"/>
      <c r="I6090" s="227"/>
      <c r="J6090" s="150" t="s">
        <v>295</v>
      </c>
      <c r="K6090" s="227"/>
      <c r="L6090" s="660"/>
      <c r="M6090" s="671"/>
      <c r="N6090" s="582">
        <v>1.65</v>
      </c>
      <c r="O6090" s="581">
        <v>3.3799999999999995E-5</v>
      </c>
      <c r="P6090" s="782"/>
      <c r="Q6090" s="764"/>
      <c r="R6090" s="764"/>
      <c r="S6090" s="764"/>
      <c r="T6090" s="764"/>
      <c r="U6090" s="764"/>
      <c r="V6090" s="764"/>
      <c r="W6090" s="764"/>
      <c r="X6090" s="764"/>
      <c r="Y6090" s="768"/>
      <c r="Z6090" s="281"/>
      <c r="AA6090" s="281"/>
      <c r="AB6090" s="281"/>
      <c r="AC6090" s="174"/>
      <c r="AD6090" s="282"/>
      <c r="AE6090" s="282"/>
      <c r="AF6090" s="173"/>
      <c r="AG6090" s="177"/>
      <c r="AH6090" s="349"/>
      <c r="AI6090" s="283"/>
      <c r="AJ6090" s="240"/>
      <c r="AK6090" s="240"/>
      <c r="AL6090" s="284"/>
      <c r="AM6090" s="167"/>
      <c r="AN6090" s="167"/>
      <c r="AO6090" s="167"/>
      <c r="AP6090" s="167"/>
      <c r="AQ6090" s="167"/>
      <c r="AR6090" s="551"/>
      <c r="AS6090" s="551"/>
      <c r="AT6090" s="551"/>
      <c r="AU6090" s="283"/>
      <c r="AV6090" s="283"/>
      <c r="AW6090" s="283"/>
      <c r="AX6090" s="283"/>
      <c r="AY6090" s="283"/>
      <c r="AZ6090" s="167"/>
      <c r="BA6090" s="167"/>
      <c r="BB6090" s="285"/>
      <c r="BC6090" s="154"/>
      <c r="BD6090" s="154"/>
      <c r="BE6090" s="150"/>
      <c r="BF6090" s="227"/>
      <c r="BG6090" s="227"/>
      <c r="BH6090" s="227"/>
      <c r="BI6090" s="224"/>
      <c r="BJ6090" s="227"/>
      <c r="BK6090" s="227"/>
      <c r="BL6090" s="227"/>
      <c r="BM6090" s="224"/>
      <c r="BN6090" s="224"/>
      <c r="BO6090" s="262"/>
      <c r="BP6090" s="262"/>
      <c r="BQ6090" s="262"/>
      <c r="BR6090" s="262"/>
      <c r="BS6090" s="262"/>
      <c r="BT6090" s="227"/>
      <c r="BU6090" s="227"/>
      <c r="BV6090" s="227"/>
      <c r="BW6090" s="286"/>
      <c r="BX6090" s="286"/>
      <c r="BY6090" s="227"/>
      <c r="BZ6090" s="227"/>
      <c r="CA6090" s="227"/>
      <c r="CB6090" s="190"/>
    </row>
    <row r="6091" spans="1:80" x14ac:dyDescent="0.2">
      <c r="A6091" s="257"/>
      <c r="B6091" s="667"/>
      <c r="C6091" s="667"/>
      <c r="D6091" s="292"/>
      <c r="E6091" s="257"/>
      <c r="F6091" s="257"/>
      <c r="G6091" s="227"/>
      <c r="H6091" s="328"/>
      <c r="I6091" s="227"/>
      <c r="J6091" s="150" t="s">
        <v>295</v>
      </c>
      <c r="K6091" s="227"/>
      <c r="L6091" s="660"/>
      <c r="M6091" s="671"/>
      <c r="N6091" s="582">
        <v>1.74</v>
      </c>
      <c r="O6091" s="581">
        <v>2.722E-4</v>
      </c>
      <c r="P6091" s="782"/>
      <c r="Q6091" s="764"/>
      <c r="R6091" s="764"/>
      <c r="S6091" s="764"/>
      <c r="T6091" s="764"/>
      <c r="U6091" s="764"/>
      <c r="V6091" s="764"/>
      <c r="W6091" s="764"/>
      <c r="X6091" s="764"/>
      <c r="Y6091" s="768"/>
      <c r="Z6091" s="281"/>
      <c r="AA6091" s="281"/>
      <c r="AB6091" s="281"/>
      <c r="AC6091" s="174"/>
      <c r="AD6091" s="282"/>
      <c r="AE6091" s="282"/>
      <c r="AF6091" s="173"/>
      <c r="AG6091" s="177"/>
      <c r="AH6091" s="349"/>
      <c r="AI6091" s="283"/>
      <c r="AJ6091" s="240"/>
      <c r="AK6091" s="240"/>
      <c r="AL6091" s="284"/>
      <c r="AM6091" s="167"/>
      <c r="AN6091" s="167"/>
      <c r="AO6091" s="167"/>
      <c r="AP6091" s="167"/>
      <c r="AQ6091" s="167"/>
      <c r="AR6091" s="551"/>
      <c r="AS6091" s="551"/>
      <c r="AT6091" s="551"/>
      <c r="AU6091" s="283"/>
      <c r="AV6091" s="283"/>
      <c r="AW6091" s="283"/>
      <c r="AX6091" s="283"/>
      <c r="AY6091" s="283"/>
      <c r="AZ6091" s="167"/>
      <c r="BA6091" s="167"/>
      <c r="BB6091" s="285"/>
      <c r="BC6091" s="154"/>
      <c r="BD6091" s="154"/>
      <c r="BE6091" s="150"/>
      <c r="BF6091" s="227"/>
      <c r="BG6091" s="227"/>
      <c r="BH6091" s="227"/>
      <c r="BI6091" s="224"/>
      <c r="BJ6091" s="227"/>
      <c r="BK6091" s="227"/>
      <c r="BL6091" s="227"/>
      <c r="BM6091" s="224"/>
      <c r="BN6091" s="224"/>
      <c r="BO6091" s="262"/>
      <c r="BP6091" s="262"/>
      <c r="BQ6091" s="262"/>
      <c r="BR6091" s="262"/>
      <c r="BS6091" s="262"/>
      <c r="BT6091" s="227"/>
      <c r="BU6091" s="227"/>
      <c r="BV6091" s="227"/>
      <c r="BW6091" s="286"/>
      <c r="BX6091" s="286"/>
      <c r="BY6091" s="227"/>
      <c r="BZ6091" s="227"/>
      <c r="CA6091" s="227"/>
      <c r="CB6091" s="190"/>
    </row>
    <row r="6092" spans="1:80" x14ac:dyDescent="0.2">
      <c r="A6092" s="257"/>
      <c r="B6092" s="667"/>
      <c r="C6092" s="667"/>
      <c r="D6092" s="292"/>
      <c r="E6092" s="257"/>
      <c r="F6092" s="257"/>
      <c r="G6092" s="227"/>
      <c r="H6092" s="328"/>
      <c r="I6092" s="227"/>
      <c r="J6092" s="150" t="s">
        <v>295</v>
      </c>
      <c r="K6092" s="227"/>
      <c r="L6092" s="660"/>
      <c r="M6092" s="671"/>
      <c r="N6092" s="582">
        <v>1.72</v>
      </c>
      <c r="O6092" s="581">
        <v>8.6990000000000006E-4</v>
      </c>
      <c r="P6092" s="782"/>
      <c r="Q6092" s="764"/>
      <c r="R6092" s="764"/>
      <c r="S6092" s="764"/>
      <c r="T6092" s="764"/>
      <c r="U6092" s="764"/>
      <c r="V6092" s="764"/>
      <c r="W6092" s="764"/>
      <c r="X6092" s="764"/>
      <c r="Y6092" s="768"/>
      <c r="Z6092" s="281"/>
      <c r="AA6092" s="281"/>
      <c r="AB6092" s="281"/>
      <c r="AC6092" s="174"/>
      <c r="AD6092" s="282"/>
      <c r="AE6092" s="282"/>
      <c r="AF6092" s="173"/>
      <c r="AG6092" s="177"/>
      <c r="AH6092" s="349"/>
      <c r="AI6092" s="283"/>
      <c r="AJ6092" s="240"/>
      <c r="AK6092" s="240"/>
      <c r="AL6092" s="284"/>
      <c r="AM6092" s="167"/>
      <c r="AN6092" s="167"/>
      <c r="AO6092" s="167"/>
      <c r="AP6092" s="167"/>
      <c r="AQ6092" s="167"/>
      <c r="AR6092" s="551"/>
      <c r="AS6092" s="551"/>
      <c r="AT6092" s="551"/>
      <c r="AU6092" s="283"/>
      <c r="AV6092" s="283"/>
      <c r="AW6092" s="283"/>
      <c r="AX6092" s="283"/>
      <c r="AY6092" s="283"/>
      <c r="AZ6092" s="167"/>
      <c r="BA6092" s="167"/>
      <c r="BB6092" s="285"/>
      <c r="BC6092" s="154"/>
      <c r="BD6092" s="154"/>
      <c r="BE6092" s="150"/>
      <c r="BF6092" s="227"/>
      <c r="BG6092" s="227"/>
      <c r="BH6092" s="227"/>
      <c r="BI6092" s="224"/>
      <c r="BJ6092" s="227"/>
      <c r="BK6092" s="227"/>
      <c r="BL6092" s="227"/>
      <c r="BM6092" s="224"/>
      <c r="BN6092" s="224"/>
      <c r="BO6092" s="262"/>
      <c r="BP6092" s="262"/>
      <c r="BQ6092" s="262"/>
      <c r="BR6092" s="262"/>
      <c r="BS6092" s="262"/>
      <c r="BT6092" s="227"/>
      <c r="BU6092" s="227"/>
      <c r="BV6092" s="227"/>
      <c r="BW6092" s="286"/>
      <c r="BX6092" s="286"/>
      <c r="BY6092" s="227"/>
      <c r="BZ6092" s="227"/>
      <c r="CA6092" s="227"/>
      <c r="CB6092" s="190"/>
    </row>
    <row r="6093" spans="1:80" x14ac:dyDescent="0.2">
      <c r="A6093" s="257"/>
      <c r="B6093" s="667"/>
      <c r="C6093" s="667"/>
      <c r="D6093" s="292"/>
      <c r="E6093" s="257"/>
      <c r="F6093" s="257"/>
      <c r="G6093" s="227"/>
      <c r="H6093" s="328"/>
      <c r="I6093" s="227"/>
      <c r="J6093" s="150" t="s">
        <v>295</v>
      </c>
      <c r="K6093" s="227"/>
      <c r="L6093" s="660"/>
      <c r="M6093" s="671"/>
      <c r="N6093" s="582">
        <v>1.49</v>
      </c>
      <c r="O6093" s="581">
        <v>3.57E-5</v>
      </c>
      <c r="P6093" s="782"/>
      <c r="Q6093" s="764"/>
      <c r="R6093" s="764"/>
      <c r="S6093" s="764"/>
      <c r="T6093" s="764"/>
      <c r="U6093" s="764"/>
      <c r="V6093" s="764"/>
      <c r="W6093" s="764"/>
      <c r="X6093" s="764"/>
      <c r="Y6093" s="768"/>
      <c r="Z6093" s="281"/>
      <c r="AA6093" s="281"/>
      <c r="AB6093" s="281"/>
      <c r="AC6093" s="174"/>
      <c r="AD6093" s="282"/>
      <c r="AE6093" s="282"/>
      <c r="AF6093" s="173"/>
      <c r="AG6093" s="177"/>
      <c r="AH6093" s="349"/>
      <c r="AI6093" s="283"/>
      <c r="AJ6093" s="240"/>
      <c r="AK6093" s="240"/>
      <c r="AL6093" s="284"/>
      <c r="AM6093" s="167"/>
      <c r="AN6093" s="167"/>
      <c r="AO6093" s="167"/>
      <c r="AP6093" s="167"/>
      <c r="AQ6093" s="167"/>
      <c r="AR6093" s="551"/>
      <c r="AS6093" s="551"/>
      <c r="AT6093" s="551"/>
      <c r="AU6093" s="283"/>
      <c r="AV6093" s="283"/>
      <c r="AW6093" s="283"/>
      <c r="AX6093" s="283"/>
      <c r="AY6093" s="283"/>
      <c r="AZ6093" s="167"/>
      <c r="BA6093" s="167"/>
      <c r="BB6093" s="285"/>
      <c r="BC6093" s="154"/>
      <c r="BD6093" s="154"/>
      <c r="BE6093" s="150"/>
      <c r="BF6093" s="227"/>
      <c r="BG6093" s="227"/>
      <c r="BH6093" s="227"/>
      <c r="BI6093" s="224"/>
      <c r="BJ6093" s="227"/>
      <c r="BK6093" s="227"/>
      <c r="BL6093" s="227"/>
      <c r="BM6093" s="224"/>
      <c r="BN6093" s="224"/>
      <c r="BO6093" s="262"/>
      <c r="BP6093" s="262"/>
      <c r="BQ6093" s="262"/>
      <c r="BR6093" s="262"/>
      <c r="BS6093" s="262"/>
      <c r="BT6093" s="227"/>
      <c r="BU6093" s="227"/>
      <c r="BV6093" s="227"/>
      <c r="BW6093" s="286"/>
      <c r="BX6093" s="286"/>
      <c r="BY6093" s="227"/>
      <c r="BZ6093" s="227"/>
      <c r="CA6093" s="227"/>
      <c r="CB6093" s="190"/>
    </row>
    <row r="6094" spans="1:80" x14ac:dyDescent="0.2">
      <c r="A6094" s="257"/>
      <c r="B6094" s="667"/>
      <c r="C6094" s="667"/>
      <c r="D6094" s="292"/>
      <c r="E6094" s="257"/>
      <c r="F6094" s="257"/>
      <c r="G6094" s="227"/>
      <c r="H6094" s="328"/>
      <c r="I6094" s="227"/>
      <c r="J6094" s="150" t="s">
        <v>295</v>
      </c>
      <c r="K6094" s="227"/>
      <c r="L6094" s="660"/>
      <c r="M6094" s="671"/>
      <c r="N6094" s="582">
        <v>1.52</v>
      </c>
      <c r="O6094" s="581">
        <v>7.4800000000000002E-5</v>
      </c>
      <c r="P6094" s="782"/>
      <c r="Q6094" s="764"/>
      <c r="R6094" s="764"/>
      <c r="S6094" s="764"/>
      <c r="T6094" s="764"/>
      <c r="U6094" s="764"/>
      <c r="V6094" s="764"/>
      <c r="W6094" s="764"/>
      <c r="X6094" s="764"/>
      <c r="Y6094" s="768"/>
      <c r="Z6094" s="281"/>
      <c r="AA6094" s="281"/>
      <c r="AB6094" s="281"/>
      <c r="AC6094" s="174"/>
      <c r="AD6094" s="282"/>
      <c r="AE6094" s="282"/>
      <c r="AF6094" s="173"/>
      <c r="AG6094" s="177"/>
      <c r="AH6094" s="349"/>
      <c r="AI6094" s="283"/>
      <c r="AJ6094" s="240"/>
      <c r="AK6094" s="240"/>
      <c r="AL6094" s="284"/>
      <c r="AM6094" s="167"/>
      <c r="AN6094" s="167"/>
      <c r="AO6094" s="167"/>
      <c r="AP6094" s="167"/>
      <c r="AQ6094" s="167"/>
      <c r="AR6094" s="551"/>
      <c r="AS6094" s="551"/>
      <c r="AT6094" s="551"/>
      <c r="AU6094" s="283"/>
      <c r="AV6094" s="283"/>
      <c r="AW6094" s="283"/>
      <c r="AX6094" s="283"/>
      <c r="AY6094" s="283"/>
      <c r="AZ6094" s="167"/>
      <c r="BA6094" s="167"/>
      <c r="BB6094" s="285"/>
      <c r="BC6094" s="154"/>
      <c r="BD6094" s="154"/>
      <c r="BE6094" s="150"/>
      <c r="BF6094" s="227"/>
      <c r="BG6094" s="227"/>
      <c r="BH6094" s="227"/>
      <c r="BI6094" s="224"/>
      <c r="BJ6094" s="227"/>
      <c r="BK6094" s="227"/>
      <c r="BL6094" s="227"/>
      <c r="BM6094" s="224"/>
      <c r="BN6094" s="224"/>
      <c r="BO6094" s="262"/>
      <c r="BP6094" s="262"/>
      <c r="BQ6094" s="262"/>
      <c r="BR6094" s="262"/>
      <c r="BS6094" s="262"/>
      <c r="BT6094" s="227"/>
      <c r="BU6094" s="227"/>
      <c r="BV6094" s="227"/>
      <c r="BW6094" s="286"/>
      <c r="BX6094" s="286"/>
      <c r="BY6094" s="227"/>
      <c r="BZ6094" s="227"/>
      <c r="CA6094" s="227"/>
      <c r="CB6094" s="190"/>
    </row>
    <row r="6095" spans="1:80" x14ac:dyDescent="0.2">
      <c r="A6095" s="257"/>
      <c r="B6095" s="667"/>
      <c r="C6095" s="667"/>
      <c r="D6095" s="292"/>
      <c r="E6095" s="257"/>
      <c r="F6095" s="257"/>
      <c r="G6095" s="227"/>
      <c r="H6095" s="328"/>
      <c r="I6095" s="227"/>
      <c r="J6095" s="150" t="s">
        <v>295</v>
      </c>
      <c r="K6095" s="227"/>
      <c r="L6095" s="660"/>
      <c r="M6095" s="671"/>
      <c r="N6095" s="582">
        <v>1.55</v>
      </c>
      <c r="O6095" s="581">
        <v>1.7770000000000001E-4</v>
      </c>
      <c r="P6095" s="782"/>
      <c r="Q6095" s="764"/>
      <c r="R6095" s="764"/>
      <c r="S6095" s="764"/>
      <c r="T6095" s="764"/>
      <c r="U6095" s="764"/>
      <c r="V6095" s="764"/>
      <c r="W6095" s="764"/>
      <c r="X6095" s="764"/>
      <c r="Y6095" s="768"/>
      <c r="Z6095" s="281"/>
      <c r="AA6095" s="281"/>
      <c r="AB6095" s="281"/>
      <c r="AC6095" s="174"/>
      <c r="AD6095" s="282"/>
      <c r="AE6095" s="282"/>
      <c r="AF6095" s="173"/>
      <c r="AG6095" s="177"/>
      <c r="AH6095" s="349"/>
      <c r="AI6095" s="283"/>
      <c r="AJ6095" s="240"/>
      <c r="AK6095" s="240"/>
      <c r="AL6095" s="284"/>
      <c r="AM6095" s="167"/>
      <c r="AN6095" s="167"/>
      <c r="AO6095" s="167"/>
      <c r="AP6095" s="167"/>
      <c r="AQ6095" s="167"/>
      <c r="AR6095" s="551"/>
      <c r="AS6095" s="551"/>
      <c r="AT6095" s="551"/>
      <c r="AU6095" s="283"/>
      <c r="AV6095" s="283"/>
      <c r="AW6095" s="283"/>
      <c r="AX6095" s="283"/>
      <c r="AY6095" s="283"/>
      <c r="AZ6095" s="167"/>
      <c r="BA6095" s="167"/>
      <c r="BB6095" s="285"/>
      <c r="BC6095" s="154"/>
      <c r="BD6095" s="154"/>
      <c r="BE6095" s="150"/>
      <c r="BF6095" s="227"/>
      <c r="BG6095" s="227"/>
      <c r="BH6095" s="227"/>
      <c r="BI6095" s="224"/>
      <c r="BJ6095" s="227"/>
      <c r="BK6095" s="227"/>
      <c r="BL6095" s="227"/>
      <c r="BM6095" s="224"/>
      <c r="BN6095" s="224"/>
      <c r="BO6095" s="262"/>
      <c r="BP6095" s="262"/>
      <c r="BQ6095" s="262"/>
      <c r="BR6095" s="262"/>
      <c r="BS6095" s="262"/>
      <c r="BT6095" s="227"/>
      <c r="BU6095" s="227"/>
      <c r="BV6095" s="227"/>
      <c r="BW6095" s="286"/>
      <c r="BX6095" s="286"/>
      <c r="BY6095" s="227"/>
      <c r="BZ6095" s="227"/>
      <c r="CA6095" s="227"/>
      <c r="CB6095" s="190"/>
    </row>
    <row r="6096" spans="1:80" x14ac:dyDescent="0.2">
      <c r="A6096" s="257"/>
      <c r="B6096" s="667"/>
      <c r="C6096" s="667"/>
      <c r="D6096" s="292"/>
      <c r="E6096" s="257"/>
      <c r="F6096" s="257"/>
      <c r="G6096" s="227"/>
      <c r="H6096" s="328"/>
      <c r="I6096" s="227"/>
      <c r="J6096" s="150" t="s">
        <v>295</v>
      </c>
      <c r="K6096" s="227"/>
      <c r="L6096" s="660"/>
      <c r="M6096" s="671"/>
      <c r="N6096" s="582">
        <v>1.38</v>
      </c>
      <c r="O6096" s="581">
        <v>2.6599999999999999E-5</v>
      </c>
      <c r="P6096" s="782"/>
      <c r="Q6096" s="764"/>
      <c r="R6096" s="764"/>
      <c r="S6096" s="764"/>
      <c r="T6096" s="764"/>
      <c r="U6096" s="764"/>
      <c r="V6096" s="764"/>
      <c r="W6096" s="764"/>
      <c r="X6096" s="764"/>
      <c r="Y6096" s="768"/>
      <c r="Z6096" s="281"/>
      <c r="AA6096" s="281"/>
      <c r="AB6096" s="281"/>
      <c r="AC6096" s="174"/>
      <c r="AD6096" s="282"/>
      <c r="AE6096" s="282"/>
      <c r="AF6096" s="173"/>
      <c r="AG6096" s="177"/>
      <c r="AH6096" s="349"/>
      <c r="AI6096" s="283"/>
      <c r="AJ6096" s="240"/>
      <c r="AK6096" s="240"/>
      <c r="AL6096" s="284"/>
      <c r="AM6096" s="167"/>
      <c r="AN6096" s="167"/>
      <c r="AO6096" s="167"/>
      <c r="AP6096" s="167"/>
      <c r="AQ6096" s="167"/>
      <c r="AR6096" s="551"/>
      <c r="AS6096" s="551"/>
      <c r="AT6096" s="551"/>
      <c r="AU6096" s="283"/>
      <c r="AV6096" s="283"/>
      <c r="AW6096" s="283"/>
      <c r="AX6096" s="283"/>
      <c r="AY6096" s="283"/>
      <c r="AZ6096" s="167"/>
      <c r="BA6096" s="167"/>
      <c r="BB6096" s="285"/>
      <c r="BC6096" s="154"/>
      <c r="BD6096" s="154"/>
      <c r="BE6096" s="150"/>
      <c r="BF6096" s="227"/>
      <c r="BG6096" s="227"/>
      <c r="BH6096" s="227"/>
      <c r="BI6096" s="224"/>
      <c r="BJ6096" s="227"/>
      <c r="BK6096" s="227"/>
      <c r="BL6096" s="227"/>
      <c r="BM6096" s="224"/>
      <c r="BN6096" s="224"/>
      <c r="BO6096" s="262"/>
      <c r="BP6096" s="262"/>
      <c r="BQ6096" s="262"/>
      <c r="BR6096" s="262"/>
      <c r="BS6096" s="262"/>
      <c r="BT6096" s="227"/>
      <c r="BU6096" s="227"/>
      <c r="BV6096" s="227"/>
      <c r="BW6096" s="286"/>
      <c r="BX6096" s="286"/>
      <c r="BY6096" s="227"/>
      <c r="BZ6096" s="227"/>
      <c r="CA6096" s="227"/>
      <c r="CB6096" s="190"/>
    </row>
    <row r="6097" spans="1:80" x14ac:dyDescent="0.2">
      <c r="A6097" s="257"/>
      <c r="B6097" s="667"/>
      <c r="C6097" s="667"/>
      <c r="D6097" s="292"/>
      <c r="E6097" s="257"/>
      <c r="F6097" s="257"/>
      <c r="G6097" s="227"/>
      <c r="H6097" s="328"/>
      <c r="I6097" s="227"/>
      <c r="J6097" s="150" t="s">
        <v>295</v>
      </c>
      <c r="K6097" s="227"/>
      <c r="L6097" s="660"/>
      <c r="M6097" s="671"/>
      <c r="N6097" s="582">
        <v>1.51</v>
      </c>
      <c r="O6097" s="581">
        <v>4.1700000000000004E-5</v>
      </c>
      <c r="P6097" s="782"/>
      <c r="Q6097" s="764"/>
      <c r="R6097" s="764"/>
      <c r="S6097" s="764"/>
      <c r="T6097" s="764"/>
      <c r="U6097" s="764"/>
      <c r="V6097" s="764"/>
      <c r="W6097" s="764"/>
      <c r="X6097" s="764"/>
      <c r="Y6097" s="768"/>
      <c r="Z6097" s="281"/>
      <c r="AA6097" s="281"/>
      <c r="AB6097" s="281"/>
      <c r="AC6097" s="174"/>
      <c r="AD6097" s="282"/>
      <c r="AE6097" s="282"/>
      <c r="AF6097" s="173"/>
      <c r="AG6097" s="177"/>
      <c r="AH6097" s="349"/>
      <c r="AI6097" s="283"/>
      <c r="AJ6097" s="240"/>
      <c r="AK6097" s="240"/>
      <c r="AL6097" s="284"/>
      <c r="AM6097" s="167"/>
      <c r="AN6097" s="167"/>
      <c r="AO6097" s="167"/>
      <c r="AP6097" s="167"/>
      <c r="AQ6097" s="167"/>
      <c r="AR6097" s="551"/>
      <c r="AS6097" s="551"/>
      <c r="AT6097" s="551"/>
      <c r="AU6097" s="283"/>
      <c r="AV6097" s="283"/>
      <c r="AW6097" s="283"/>
      <c r="AX6097" s="283"/>
      <c r="AY6097" s="283"/>
      <c r="AZ6097" s="167"/>
      <c r="BA6097" s="167"/>
      <c r="BB6097" s="285"/>
      <c r="BC6097" s="154"/>
      <c r="BD6097" s="154"/>
      <c r="BE6097" s="150"/>
      <c r="BF6097" s="227"/>
      <c r="BG6097" s="227"/>
      <c r="BH6097" s="227"/>
      <c r="BI6097" s="224"/>
      <c r="BJ6097" s="227"/>
      <c r="BK6097" s="227"/>
      <c r="BL6097" s="227"/>
      <c r="BM6097" s="224"/>
      <c r="BN6097" s="224"/>
      <c r="BO6097" s="262"/>
      <c r="BP6097" s="262"/>
      <c r="BQ6097" s="262"/>
      <c r="BR6097" s="262"/>
      <c r="BS6097" s="262"/>
      <c r="BT6097" s="227"/>
      <c r="BU6097" s="227"/>
      <c r="BV6097" s="227"/>
      <c r="BW6097" s="286"/>
      <c r="BX6097" s="286"/>
      <c r="BY6097" s="227"/>
      <c r="BZ6097" s="227"/>
      <c r="CA6097" s="227"/>
      <c r="CB6097" s="190"/>
    </row>
    <row r="6098" spans="1:80" x14ac:dyDescent="0.2">
      <c r="A6098" s="257"/>
      <c r="B6098" s="667"/>
      <c r="C6098" s="667"/>
      <c r="D6098" s="292"/>
      <c r="E6098" s="257"/>
      <c r="F6098" s="257"/>
      <c r="G6098" s="227"/>
      <c r="H6098" s="328"/>
      <c r="I6098" s="227"/>
      <c r="J6098" s="150" t="s">
        <v>295</v>
      </c>
      <c r="K6098" s="227"/>
      <c r="L6098" s="660"/>
      <c r="M6098" s="671"/>
      <c r="N6098" s="582">
        <v>1.63</v>
      </c>
      <c r="O6098" s="581">
        <v>2.743E-4</v>
      </c>
      <c r="P6098" s="782"/>
      <c r="Q6098" s="764"/>
      <c r="R6098" s="764"/>
      <c r="S6098" s="764"/>
      <c r="T6098" s="764"/>
      <c r="U6098" s="764"/>
      <c r="V6098" s="764"/>
      <c r="W6098" s="764"/>
      <c r="X6098" s="764"/>
      <c r="Y6098" s="768"/>
      <c r="Z6098" s="281"/>
      <c r="AA6098" s="281"/>
      <c r="AB6098" s="281"/>
      <c r="AC6098" s="174"/>
      <c r="AD6098" s="282"/>
      <c r="AE6098" s="282"/>
      <c r="AF6098" s="173"/>
      <c r="AG6098" s="177"/>
      <c r="AH6098" s="349"/>
      <c r="AI6098" s="283"/>
      <c r="AJ6098" s="240"/>
      <c r="AK6098" s="240"/>
      <c r="AL6098" s="284"/>
      <c r="AM6098" s="167"/>
      <c r="AN6098" s="167"/>
      <c r="AO6098" s="167"/>
      <c r="AP6098" s="167"/>
      <c r="AQ6098" s="167"/>
      <c r="AR6098" s="551"/>
      <c r="AS6098" s="551"/>
      <c r="AT6098" s="551"/>
      <c r="AU6098" s="283"/>
      <c r="AV6098" s="283"/>
      <c r="AW6098" s="283"/>
      <c r="AX6098" s="283"/>
      <c r="AY6098" s="283"/>
      <c r="AZ6098" s="167"/>
      <c r="BA6098" s="167"/>
      <c r="BB6098" s="285"/>
      <c r="BC6098" s="154"/>
      <c r="BD6098" s="154"/>
      <c r="BE6098" s="150"/>
      <c r="BF6098" s="227"/>
      <c r="BG6098" s="227"/>
      <c r="BH6098" s="227"/>
      <c r="BI6098" s="224"/>
      <c r="BJ6098" s="227"/>
      <c r="BK6098" s="227"/>
      <c r="BL6098" s="227"/>
      <c r="BM6098" s="224"/>
      <c r="BN6098" s="224"/>
      <c r="BO6098" s="262"/>
      <c r="BP6098" s="262"/>
      <c r="BQ6098" s="262"/>
      <c r="BR6098" s="262"/>
      <c r="BS6098" s="262"/>
      <c r="BT6098" s="227"/>
      <c r="BU6098" s="227"/>
      <c r="BV6098" s="227"/>
      <c r="BW6098" s="286"/>
      <c r="BX6098" s="286"/>
      <c r="BY6098" s="227"/>
      <c r="BZ6098" s="227"/>
      <c r="CA6098" s="227"/>
      <c r="CB6098" s="190"/>
    </row>
    <row r="6099" spans="1:80" x14ac:dyDescent="0.2">
      <c r="A6099" s="257"/>
      <c r="B6099" s="667"/>
      <c r="C6099" s="667"/>
      <c r="D6099" s="292"/>
      <c r="E6099" s="257"/>
      <c r="F6099" s="257"/>
      <c r="G6099" s="227"/>
      <c r="H6099" s="328"/>
      <c r="I6099" s="227"/>
      <c r="J6099" s="150" t="s">
        <v>295</v>
      </c>
      <c r="K6099" s="227"/>
      <c r="L6099" s="660"/>
      <c r="M6099" s="671"/>
      <c r="N6099" s="582">
        <v>1.62</v>
      </c>
      <c r="O6099" s="581">
        <v>3.8600000000000003E-5</v>
      </c>
      <c r="P6099" s="782"/>
      <c r="Q6099" s="764"/>
      <c r="R6099" s="764"/>
      <c r="S6099" s="764"/>
      <c r="T6099" s="764"/>
      <c r="U6099" s="764"/>
      <c r="V6099" s="764"/>
      <c r="W6099" s="764"/>
      <c r="X6099" s="764"/>
      <c r="Y6099" s="768"/>
      <c r="Z6099" s="281"/>
      <c r="AA6099" s="281"/>
      <c r="AB6099" s="281"/>
      <c r="AC6099" s="174"/>
      <c r="AD6099" s="282"/>
      <c r="AE6099" s="282"/>
      <c r="AF6099" s="173"/>
      <c r="AG6099" s="177"/>
      <c r="AH6099" s="349"/>
      <c r="AI6099" s="283"/>
      <c r="AJ6099" s="240"/>
      <c r="AK6099" s="240"/>
      <c r="AL6099" s="284"/>
      <c r="AM6099" s="167"/>
      <c r="AN6099" s="167"/>
      <c r="AO6099" s="167"/>
      <c r="AP6099" s="167"/>
      <c r="AQ6099" s="167"/>
      <c r="AR6099" s="551"/>
      <c r="AS6099" s="551"/>
      <c r="AT6099" s="551"/>
      <c r="AU6099" s="283"/>
      <c r="AV6099" s="283"/>
      <c r="AW6099" s="283"/>
      <c r="AX6099" s="283"/>
      <c r="AY6099" s="283"/>
      <c r="AZ6099" s="167"/>
      <c r="BA6099" s="167"/>
      <c r="BB6099" s="285"/>
      <c r="BC6099" s="154"/>
      <c r="BD6099" s="154"/>
      <c r="BE6099" s="150"/>
      <c r="BF6099" s="227"/>
      <c r="BG6099" s="227"/>
      <c r="BH6099" s="227"/>
      <c r="BI6099" s="224"/>
      <c r="BJ6099" s="227"/>
      <c r="BK6099" s="227"/>
      <c r="BL6099" s="227"/>
      <c r="BM6099" s="224"/>
      <c r="BN6099" s="224"/>
      <c r="BO6099" s="262"/>
      <c r="BP6099" s="262"/>
      <c r="BQ6099" s="262"/>
      <c r="BR6099" s="262"/>
      <c r="BS6099" s="262"/>
      <c r="BT6099" s="227"/>
      <c r="BU6099" s="227"/>
      <c r="BV6099" s="227"/>
      <c r="BW6099" s="286"/>
      <c r="BX6099" s="286"/>
      <c r="BY6099" s="227"/>
      <c r="BZ6099" s="227"/>
      <c r="CA6099" s="227"/>
      <c r="CB6099" s="190"/>
    </row>
    <row r="6100" spans="1:80" x14ac:dyDescent="0.2">
      <c r="A6100" s="257"/>
      <c r="B6100" s="667"/>
      <c r="C6100" s="667"/>
      <c r="D6100" s="292"/>
      <c r="E6100" s="257"/>
      <c r="F6100" s="257"/>
      <c r="G6100" s="227"/>
      <c r="H6100" s="328"/>
      <c r="I6100" s="227"/>
      <c r="J6100" s="150" t="s">
        <v>295</v>
      </c>
      <c r="K6100" s="227"/>
      <c r="L6100" s="660"/>
      <c r="M6100" s="671"/>
      <c r="N6100" s="582">
        <v>1.89</v>
      </c>
      <c r="O6100" s="581">
        <v>1.505E-4</v>
      </c>
      <c r="P6100" s="782"/>
      <c r="Q6100" s="764"/>
      <c r="R6100" s="764"/>
      <c r="S6100" s="764"/>
      <c r="T6100" s="764"/>
      <c r="U6100" s="764"/>
      <c r="V6100" s="764"/>
      <c r="W6100" s="764"/>
      <c r="X6100" s="764"/>
      <c r="Y6100" s="768"/>
      <c r="Z6100" s="281"/>
      <c r="AA6100" s="281"/>
      <c r="AB6100" s="281"/>
      <c r="AC6100" s="174"/>
      <c r="AD6100" s="282"/>
      <c r="AE6100" s="282"/>
      <c r="AF6100" s="173"/>
      <c r="AG6100" s="177"/>
      <c r="AH6100" s="349"/>
      <c r="AI6100" s="283"/>
      <c r="AJ6100" s="240"/>
      <c r="AK6100" s="240"/>
      <c r="AL6100" s="284"/>
      <c r="AM6100" s="167"/>
      <c r="AN6100" s="167"/>
      <c r="AO6100" s="167"/>
      <c r="AP6100" s="167"/>
      <c r="AQ6100" s="167"/>
      <c r="AR6100" s="551"/>
      <c r="AS6100" s="551"/>
      <c r="AT6100" s="551"/>
      <c r="AU6100" s="283"/>
      <c r="AV6100" s="283"/>
      <c r="AW6100" s="283"/>
      <c r="AX6100" s="283"/>
      <c r="AY6100" s="283"/>
      <c r="AZ6100" s="167"/>
      <c r="BA6100" s="167"/>
      <c r="BB6100" s="285"/>
      <c r="BC6100" s="154"/>
      <c r="BD6100" s="154"/>
      <c r="BE6100" s="150"/>
      <c r="BF6100" s="227"/>
      <c r="BG6100" s="227"/>
      <c r="BH6100" s="227"/>
      <c r="BI6100" s="224"/>
      <c r="BJ6100" s="227"/>
      <c r="BK6100" s="227"/>
      <c r="BL6100" s="227"/>
      <c r="BM6100" s="224"/>
      <c r="BN6100" s="224"/>
      <c r="BO6100" s="262"/>
      <c r="BP6100" s="262"/>
      <c r="BQ6100" s="262"/>
      <c r="BR6100" s="262"/>
      <c r="BS6100" s="262"/>
      <c r="BT6100" s="227"/>
      <c r="BU6100" s="227"/>
      <c r="BV6100" s="227"/>
      <c r="BW6100" s="286"/>
      <c r="BX6100" s="286"/>
      <c r="BY6100" s="227"/>
      <c r="BZ6100" s="227"/>
      <c r="CA6100" s="227"/>
      <c r="CB6100" s="190"/>
    </row>
    <row r="6101" spans="1:80" x14ac:dyDescent="0.2">
      <c r="A6101" s="257"/>
      <c r="B6101" s="667"/>
      <c r="C6101" s="667"/>
      <c r="D6101" s="292"/>
      <c r="E6101" s="257"/>
      <c r="F6101" s="257"/>
      <c r="G6101" s="227"/>
      <c r="H6101" s="328"/>
      <c r="I6101" s="227"/>
      <c r="J6101" s="150" t="s">
        <v>295</v>
      </c>
      <c r="K6101" s="227"/>
      <c r="L6101" s="660"/>
      <c r="M6101" s="671"/>
      <c r="N6101" s="582">
        <v>1.98</v>
      </c>
      <c r="O6101" s="581">
        <v>6.2129999999999998E-4</v>
      </c>
      <c r="P6101" s="782"/>
      <c r="Q6101" s="764"/>
      <c r="R6101" s="764"/>
      <c r="S6101" s="764"/>
      <c r="T6101" s="764"/>
      <c r="U6101" s="764"/>
      <c r="V6101" s="764"/>
      <c r="W6101" s="764"/>
      <c r="X6101" s="764"/>
      <c r="Y6101" s="768"/>
      <c r="Z6101" s="281"/>
      <c r="AA6101" s="281"/>
      <c r="AB6101" s="281"/>
      <c r="AC6101" s="174"/>
      <c r="AD6101" s="282"/>
      <c r="AE6101" s="282"/>
      <c r="AF6101" s="173"/>
      <c r="AG6101" s="177"/>
      <c r="AH6101" s="349"/>
      <c r="AI6101" s="283"/>
      <c r="AJ6101" s="240"/>
      <c r="AK6101" s="240"/>
      <c r="AL6101" s="284"/>
      <c r="AM6101" s="167"/>
      <c r="AN6101" s="167"/>
      <c r="AO6101" s="167"/>
      <c r="AP6101" s="167"/>
      <c r="AQ6101" s="167"/>
      <c r="AR6101" s="551"/>
      <c r="AS6101" s="551"/>
      <c r="AT6101" s="551"/>
      <c r="AU6101" s="283"/>
      <c r="AV6101" s="283"/>
      <c r="AW6101" s="283"/>
      <c r="AX6101" s="283"/>
      <c r="AY6101" s="283"/>
      <c r="AZ6101" s="167"/>
      <c r="BA6101" s="167"/>
      <c r="BB6101" s="285"/>
      <c r="BC6101" s="154"/>
      <c r="BD6101" s="154"/>
      <c r="BE6101" s="150"/>
      <c r="BF6101" s="227"/>
      <c r="BG6101" s="227"/>
      <c r="BH6101" s="227"/>
      <c r="BI6101" s="224"/>
      <c r="BJ6101" s="227"/>
      <c r="BK6101" s="227"/>
      <c r="BL6101" s="227"/>
      <c r="BM6101" s="224"/>
      <c r="BN6101" s="224"/>
      <c r="BO6101" s="262"/>
      <c r="BP6101" s="262"/>
      <c r="BQ6101" s="262"/>
      <c r="BR6101" s="262"/>
      <c r="BS6101" s="262"/>
      <c r="BT6101" s="227"/>
      <c r="BU6101" s="227"/>
      <c r="BV6101" s="227"/>
      <c r="BW6101" s="286"/>
      <c r="BX6101" s="286"/>
      <c r="BY6101" s="227"/>
      <c r="BZ6101" s="227"/>
      <c r="CA6101" s="227"/>
      <c r="CB6101" s="190"/>
    </row>
    <row r="6102" spans="1:80" x14ac:dyDescent="0.2">
      <c r="A6102" s="257"/>
      <c r="B6102" s="667"/>
      <c r="C6102" s="667"/>
      <c r="D6102" s="292"/>
      <c r="E6102" s="257"/>
      <c r="F6102" s="257"/>
      <c r="G6102" s="227"/>
      <c r="H6102" s="328"/>
      <c r="I6102" s="227"/>
      <c r="J6102" s="150" t="s">
        <v>295</v>
      </c>
      <c r="K6102" s="227"/>
      <c r="L6102" s="660"/>
      <c r="M6102" s="671"/>
      <c r="N6102" s="582">
        <v>1.74</v>
      </c>
      <c r="O6102" s="581">
        <v>4.6399999999999996E-5</v>
      </c>
      <c r="P6102" s="782"/>
      <c r="Q6102" s="764"/>
      <c r="R6102" s="764"/>
      <c r="S6102" s="764"/>
      <c r="T6102" s="764"/>
      <c r="U6102" s="764"/>
      <c r="V6102" s="764"/>
      <c r="W6102" s="764"/>
      <c r="X6102" s="764"/>
      <c r="Y6102" s="768"/>
      <c r="Z6102" s="281"/>
      <c r="AA6102" s="281"/>
      <c r="AB6102" s="281"/>
      <c r="AC6102" s="174"/>
      <c r="AD6102" s="282"/>
      <c r="AE6102" s="282"/>
      <c r="AF6102" s="173"/>
      <c r="AG6102" s="177"/>
      <c r="AH6102" s="349"/>
      <c r="AI6102" s="283"/>
      <c r="AJ6102" s="240"/>
      <c r="AK6102" s="240"/>
      <c r="AL6102" s="284"/>
      <c r="AM6102" s="167"/>
      <c r="AN6102" s="167"/>
      <c r="AO6102" s="167"/>
      <c r="AP6102" s="167"/>
      <c r="AQ6102" s="167"/>
      <c r="AR6102" s="551"/>
      <c r="AS6102" s="551"/>
      <c r="AT6102" s="551"/>
      <c r="AU6102" s="283"/>
      <c r="AV6102" s="283"/>
      <c r="AW6102" s="283"/>
      <c r="AX6102" s="283"/>
      <c r="AY6102" s="283"/>
      <c r="AZ6102" s="167"/>
      <c r="BA6102" s="167"/>
      <c r="BB6102" s="285"/>
      <c r="BC6102" s="154"/>
      <c r="BD6102" s="154"/>
      <c r="BE6102" s="150"/>
      <c r="BF6102" s="227"/>
      <c r="BG6102" s="227"/>
      <c r="BH6102" s="227"/>
      <c r="BI6102" s="224"/>
      <c r="BJ6102" s="227"/>
      <c r="BK6102" s="227"/>
      <c r="BL6102" s="227"/>
      <c r="BM6102" s="224"/>
      <c r="BN6102" s="224"/>
      <c r="BO6102" s="262"/>
      <c r="BP6102" s="262"/>
      <c r="BQ6102" s="262"/>
      <c r="BR6102" s="262"/>
      <c r="BS6102" s="262"/>
      <c r="BT6102" s="227"/>
      <c r="BU6102" s="227"/>
      <c r="BV6102" s="227"/>
      <c r="BW6102" s="286"/>
      <c r="BX6102" s="286"/>
      <c r="BY6102" s="227"/>
      <c r="BZ6102" s="227"/>
      <c r="CA6102" s="227"/>
      <c r="CB6102" s="190"/>
    </row>
    <row r="6103" spans="1:80" x14ac:dyDescent="0.2">
      <c r="A6103" s="257"/>
      <c r="B6103" s="667"/>
      <c r="C6103" s="667"/>
      <c r="D6103" s="292"/>
      <c r="E6103" s="257"/>
      <c r="F6103" s="257"/>
      <c r="G6103" s="227"/>
      <c r="H6103" s="328"/>
      <c r="I6103" s="227"/>
      <c r="J6103" s="150" t="s">
        <v>295</v>
      </c>
      <c r="K6103" s="227"/>
      <c r="L6103" s="660"/>
      <c r="M6103" s="671"/>
      <c r="N6103" s="582">
        <v>1.1599999999999999</v>
      </c>
      <c r="O6103" s="581">
        <v>2.7999999999999999E-6</v>
      </c>
      <c r="P6103" s="782"/>
      <c r="Q6103" s="764"/>
      <c r="R6103" s="764"/>
      <c r="S6103" s="764"/>
      <c r="T6103" s="764"/>
      <c r="U6103" s="764"/>
      <c r="V6103" s="764"/>
      <c r="W6103" s="764"/>
      <c r="X6103" s="764"/>
      <c r="Y6103" s="768"/>
      <c r="Z6103" s="281"/>
      <c r="AA6103" s="281"/>
      <c r="AB6103" s="281"/>
      <c r="AC6103" s="174"/>
      <c r="AD6103" s="282"/>
      <c r="AE6103" s="282"/>
      <c r="AF6103" s="173"/>
      <c r="AG6103" s="177"/>
      <c r="AH6103" s="349"/>
      <c r="AI6103" s="283"/>
      <c r="AJ6103" s="240"/>
      <c r="AK6103" s="240"/>
      <c r="AL6103" s="284"/>
      <c r="AM6103" s="167"/>
      <c r="AN6103" s="167"/>
      <c r="AO6103" s="167"/>
      <c r="AP6103" s="167"/>
      <c r="AQ6103" s="167"/>
      <c r="AR6103" s="551"/>
      <c r="AS6103" s="551"/>
      <c r="AT6103" s="551"/>
      <c r="AU6103" s="283"/>
      <c r="AV6103" s="283"/>
      <c r="AW6103" s="283"/>
      <c r="AX6103" s="283"/>
      <c r="AY6103" s="283"/>
      <c r="AZ6103" s="167"/>
      <c r="BA6103" s="167"/>
      <c r="BB6103" s="285"/>
      <c r="BC6103" s="154"/>
      <c r="BD6103" s="154"/>
      <c r="BE6103" s="150"/>
      <c r="BF6103" s="227"/>
      <c r="BG6103" s="227"/>
      <c r="BH6103" s="227"/>
      <c r="BI6103" s="224"/>
      <c r="BJ6103" s="227"/>
      <c r="BK6103" s="227"/>
      <c r="BL6103" s="227"/>
      <c r="BM6103" s="224"/>
      <c r="BN6103" s="224"/>
      <c r="BO6103" s="262"/>
      <c r="BP6103" s="262"/>
      <c r="BQ6103" s="262"/>
      <c r="BR6103" s="262"/>
      <c r="BS6103" s="262"/>
      <c r="BT6103" s="227"/>
      <c r="BU6103" s="227"/>
      <c r="BV6103" s="227"/>
      <c r="BW6103" s="286"/>
      <c r="BX6103" s="286"/>
      <c r="BY6103" s="227"/>
      <c r="BZ6103" s="227"/>
      <c r="CA6103" s="227"/>
      <c r="CB6103" s="190"/>
    </row>
    <row r="6104" spans="1:80" s="120" customFormat="1" ht="15" x14ac:dyDescent="0.25">
      <c r="A6104" s="9" t="s">
        <v>61</v>
      </c>
      <c r="B6104" s="639" t="s">
        <v>53</v>
      </c>
      <c r="C6104" s="639"/>
      <c r="D6104" s="4">
        <f>VLOOKUP(E6104,'Quality Code'!D4:E24,2,TRUE)*VLOOKUP(MROUND(F6104,10),'Quality Code'!D28:E69,2,TRUE)*VLOOKUP(COUNTA(CB6104:CB6114),'Quality Code'!D73:E93,2,TRUE)</f>
        <v>0.99999749999999987</v>
      </c>
      <c r="E6104" s="14">
        <v>0.6</v>
      </c>
      <c r="F6104" s="18">
        <v>47</v>
      </c>
      <c r="G6104" s="121">
        <v>19</v>
      </c>
      <c r="H6104" s="2" t="s">
        <v>216</v>
      </c>
      <c r="I6104" s="327" t="s">
        <v>294</v>
      </c>
      <c r="J6104" s="10" t="s">
        <v>284</v>
      </c>
      <c r="K6104" s="85">
        <v>1</v>
      </c>
      <c r="L6104" s="641" t="s">
        <v>295</v>
      </c>
      <c r="M6104" s="640"/>
      <c r="N6104" s="579" t="s">
        <v>214</v>
      </c>
      <c r="O6104" s="579"/>
      <c r="P6104" s="10" t="s">
        <v>64</v>
      </c>
      <c r="Q6104" s="10" t="s">
        <v>64</v>
      </c>
      <c r="R6104" s="10" t="s">
        <v>64</v>
      </c>
      <c r="S6104" s="10" t="s">
        <v>64</v>
      </c>
      <c r="T6104" s="10" t="s">
        <v>64</v>
      </c>
      <c r="U6104" s="10" t="s">
        <v>64</v>
      </c>
      <c r="V6104" s="10"/>
      <c r="W6104" s="10"/>
      <c r="X6104" s="10"/>
      <c r="Y6104" s="10"/>
      <c r="Z6104" s="11"/>
      <c r="AA6104" s="81"/>
      <c r="AB6104" s="10">
        <v>1.2999999999999999E-2</v>
      </c>
      <c r="AC6104" s="3">
        <v>1.2999999999999999E-2</v>
      </c>
      <c r="AD6104" s="11"/>
      <c r="AE6104" s="11"/>
      <c r="AF6104" s="10"/>
      <c r="AG6104" s="10"/>
      <c r="AH6104" s="345"/>
      <c r="AI6104" s="2">
        <v>41</v>
      </c>
      <c r="AJ6104" s="17"/>
      <c r="AK6104" s="17"/>
      <c r="AL6104" s="17">
        <v>0.39743589999999995</v>
      </c>
      <c r="AM6104" s="17">
        <v>0.25</v>
      </c>
      <c r="AN6104" s="17">
        <v>0.1987179</v>
      </c>
      <c r="AO6104" s="17">
        <v>0.10256410000000001</v>
      </c>
      <c r="AP6104" s="17">
        <v>5.1282050000000003E-2</v>
      </c>
      <c r="AQ6104" s="17">
        <v>0</v>
      </c>
      <c r="AR6104" s="17"/>
      <c r="AS6104" s="17"/>
      <c r="AT6104" s="17"/>
      <c r="AU6104" s="18">
        <v>69</v>
      </c>
      <c r="AV6104" s="17"/>
      <c r="AW6104" s="17"/>
      <c r="AX6104" s="17"/>
      <c r="AY6104" s="17"/>
      <c r="AZ6104" s="17">
        <v>0.46153849999999996</v>
      </c>
      <c r="BA6104" s="17">
        <v>0.29871789999999998</v>
      </c>
      <c r="BB6104" s="17">
        <v>0.17564099999999999</v>
      </c>
      <c r="BC6104" s="17">
        <v>5.1282050000000003E-2</v>
      </c>
      <c r="BD6104" s="17">
        <v>1.282051E-2</v>
      </c>
      <c r="BE6104" s="17">
        <v>0</v>
      </c>
      <c r="BF6104" s="17"/>
      <c r="BG6104" s="17"/>
      <c r="BH6104" s="17"/>
      <c r="BI6104" s="4">
        <f>AU6104/AI6104</f>
        <v>1.6829268292682926</v>
      </c>
      <c r="BJ6104" s="2" t="s">
        <v>215</v>
      </c>
      <c r="BK6104" s="2" t="s">
        <v>175</v>
      </c>
      <c r="BL6104" s="12"/>
      <c r="BM6104" s="12">
        <v>5.7</v>
      </c>
      <c r="BN6104" s="12">
        <v>14.3</v>
      </c>
      <c r="BO6104" s="12">
        <v>0.39</v>
      </c>
      <c r="BP6104" s="12"/>
      <c r="BQ6104" s="12"/>
      <c r="BR6104" s="12"/>
      <c r="BS6104" s="12"/>
      <c r="BT6104" s="12"/>
      <c r="BU6104" s="2"/>
      <c r="BV6104" s="2"/>
      <c r="BW6104" s="2"/>
      <c r="BX6104" s="2"/>
      <c r="BY6104" s="2"/>
      <c r="BZ6104" s="2"/>
      <c r="CA6104" s="9"/>
      <c r="CB6104" s="9" t="s">
        <v>230</v>
      </c>
    </row>
    <row r="6105" spans="1:80" ht="15" customHeight="1" x14ac:dyDescent="0.2">
      <c r="A6105" s="257"/>
      <c r="B6105" s="667"/>
      <c r="C6105" s="667"/>
      <c r="D6105" s="292"/>
      <c r="E6105" s="257"/>
      <c r="F6105" s="257"/>
      <c r="G6105" s="227"/>
      <c r="H6105" s="328"/>
      <c r="I6105" s="227"/>
      <c r="J6105" s="150" t="s">
        <v>217</v>
      </c>
      <c r="K6105" s="227"/>
      <c r="L6105" s="660"/>
      <c r="M6105" s="671"/>
      <c r="N6105" s="582">
        <v>2.4700000000000002</v>
      </c>
      <c r="O6105" s="581">
        <v>3.1960000000000002E-4</v>
      </c>
      <c r="P6105" s="782"/>
      <c r="Q6105" s="764"/>
      <c r="R6105" s="764"/>
      <c r="S6105" s="764"/>
      <c r="T6105" s="764"/>
      <c r="U6105" s="764"/>
      <c r="V6105" s="764"/>
      <c r="W6105" s="764"/>
      <c r="X6105" s="764"/>
      <c r="Y6105" s="768"/>
      <c r="Z6105" s="281"/>
      <c r="AA6105" s="281"/>
      <c r="AB6105" s="281"/>
      <c r="AC6105" s="174"/>
      <c r="AD6105" s="282"/>
      <c r="AE6105" s="282"/>
      <c r="AF6105" s="173"/>
      <c r="AG6105" s="177"/>
      <c r="AH6105" s="349"/>
      <c r="AI6105" s="283"/>
      <c r="AJ6105" s="240"/>
      <c r="AK6105" s="240"/>
      <c r="AL6105" s="284"/>
      <c r="AM6105" s="167"/>
      <c r="AN6105" s="167"/>
      <c r="AO6105" s="167"/>
      <c r="AP6105" s="167"/>
      <c r="AQ6105" s="167"/>
      <c r="AR6105" s="551"/>
      <c r="AS6105" s="551"/>
      <c r="AT6105" s="551"/>
      <c r="AU6105" s="283"/>
      <c r="AV6105" s="283"/>
      <c r="AW6105" s="283"/>
      <c r="AX6105" s="283"/>
      <c r="AY6105" s="283"/>
      <c r="AZ6105" s="167"/>
      <c r="BA6105" s="167"/>
      <c r="BB6105" s="285"/>
      <c r="BC6105" s="154"/>
      <c r="BD6105" s="154"/>
      <c r="BE6105" s="150"/>
      <c r="BF6105" s="227"/>
      <c r="BG6105" s="227"/>
      <c r="BH6105" s="227"/>
      <c r="BI6105" s="224"/>
      <c r="BJ6105" s="227"/>
      <c r="BK6105" s="227"/>
      <c r="BL6105" s="227"/>
      <c r="BM6105" s="224"/>
      <c r="BN6105" s="224"/>
      <c r="BO6105" s="262"/>
      <c r="BP6105" s="262"/>
      <c r="BQ6105" s="262"/>
      <c r="BR6105" s="262"/>
      <c r="BS6105" s="262"/>
      <c r="BT6105" s="227"/>
      <c r="BU6105" s="227"/>
      <c r="BV6105" s="227"/>
      <c r="BW6105" s="286"/>
      <c r="BX6105" s="286"/>
      <c r="BY6105" s="227"/>
      <c r="BZ6105" s="227"/>
      <c r="CA6105" s="227"/>
      <c r="CB6105" s="190"/>
    </row>
    <row r="6106" spans="1:80" ht="15" customHeight="1" x14ac:dyDescent="0.2">
      <c r="A6106" s="257"/>
      <c r="B6106" s="667"/>
      <c r="C6106" s="667"/>
      <c r="D6106" s="292"/>
      <c r="E6106" s="257"/>
      <c r="F6106" s="257"/>
      <c r="G6106" s="227"/>
      <c r="H6106" s="328"/>
      <c r="I6106" s="227"/>
      <c r="J6106" s="150" t="s">
        <v>217</v>
      </c>
      <c r="K6106" s="227"/>
      <c r="L6106" s="660"/>
      <c r="M6106" s="671"/>
      <c r="N6106" s="582">
        <v>2.4300000000000002</v>
      </c>
      <c r="O6106" s="581">
        <v>2.0719999999999999E-4</v>
      </c>
      <c r="P6106" s="782"/>
      <c r="Q6106" s="764"/>
      <c r="R6106" s="764"/>
      <c r="S6106" s="764"/>
      <c r="T6106" s="764"/>
      <c r="U6106" s="764"/>
      <c r="V6106" s="764"/>
      <c r="W6106" s="764"/>
      <c r="X6106" s="764"/>
      <c r="Y6106" s="768"/>
      <c r="Z6106" s="281"/>
      <c r="AA6106" s="281"/>
      <c r="AB6106" s="281"/>
      <c r="AC6106" s="174"/>
      <c r="AD6106" s="282"/>
      <c r="AE6106" s="282"/>
      <c r="AF6106" s="173"/>
      <c r="AG6106" s="177"/>
      <c r="AH6106" s="349"/>
      <c r="AI6106" s="283"/>
      <c r="AJ6106" s="240"/>
      <c r="AK6106" s="240"/>
      <c r="AL6106" s="284"/>
      <c r="AM6106" s="167"/>
      <c r="AN6106" s="167"/>
      <c r="AO6106" s="167"/>
      <c r="AP6106" s="167"/>
      <c r="AQ6106" s="167"/>
      <c r="AR6106" s="551"/>
      <c r="AS6106" s="551"/>
      <c r="AT6106" s="551"/>
      <c r="AU6106" s="283"/>
      <c r="AV6106" s="283"/>
      <c r="AW6106" s="283"/>
      <c r="AX6106" s="283"/>
      <c r="AY6106" s="283"/>
      <c r="AZ6106" s="167"/>
      <c r="BA6106" s="167"/>
      <c r="BB6106" s="285"/>
      <c r="BC6106" s="154"/>
      <c r="BD6106" s="154"/>
      <c r="BE6106" s="150"/>
      <c r="BF6106" s="227"/>
      <c r="BG6106" s="227"/>
      <c r="BH6106" s="227"/>
      <c r="BI6106" s="224"/>
      <c r="BJ6106" s="227"/>
      <c r="BK6106" s="227"/>
      <c r="BL6106" s="227"/>
      <c r="BM6106" s="224"/>
      <c r="BN6106" s="224"/>
      <c r="BO6106" s="262"/>
      <c r="BP6106" s="262"/>
      <c r="BQ6106" s="262"/>
      <c r="BR6106" s="262"/>
      <c r="BS6106" s="262"/>
      <c r="BT6106" s="227"/>
      <c r="BU6106" s="227"/>
      <c r="BV6106" s="227"/>
      <c r="BW6106" s="286"/>
      <c r="BX6106" s="286"/>
      <c r="BY6106" s="227"/>
      <c r="BZ6106" s="227"/>
      <c r="CA6106" s="227"/>
      <c r="CB6106" s="190"/>
    </row>
    <row r="6107" spans="1:80" ht="15" customHeight="1" x14ac:dyDescent="0.2">
      <c r="A6107" s="257"/>
      <c r="B6107" s="667"/>
      <c r="C6107" s="667"/>
      <c r="D6107" s="292"/>
      <c r="E6107" s="257"/>
      <c r="F6107" s="257"/>
      <c r="G6107" s="227"/>
      <c r="H6107" s="328"/>
      <c r="I6107" s="227"/>
      <c r="J6107" s="150" t="s">
        <v>217</v>
      </c>
      <c r="K6107" s="227"/>
      <c r="L6107" s="660"/>
      <c r="M6107" s="671"/>
      <c r="N6107" s="582">
        <v>1.94</v>
      </c>
      <c r="O6107" s="581">
        <v>9.2899999999999995E-5</v>
      </c>
      <c r="P6107" s="782"/>
      <c r="Q6107" s="764"/>
      <c r="R6107" s="764"/>
      <c r="S6107" s="764"/>
      <c r="T6107" s="764"/>
      <c r="U6107" s="764"/>
      <c r="V6107" s="764"/>
      <c r="W6107" s="764"/>
      <c r="X6107" s="764"/>
      <c r="Y6107" s="768"/>
      <c r="Z6107" s="281"/>
      <c r="AA6107" s="281"/>
      <c r="AB6107" s="281"/>
      <c r="AC6107" s="174"/>
      <c r="AD6107" s="282"/>
      <c r="AE6107" s="282"/>
      <c r="AF6107" s="173"/>
      <c r="AG6107" s="177"/>
      <c r="AH6107" s="349"/>
      <c r="AI6107" s="283"/>
      <c r="AJ6107" s="240"/>
      <c r="AK6107" s="240"/>
      <c r="AL6107" s="284"/>
      <c r="AM6107" s="167"/>
      <c r="AN6107" s="167"/>
      <c r="AO6107" s="167"/>
      <c r="AP6107" s="167"/>
      <c r="AQ6107" s="167"/>
      <c r="AR6107" s="551"/>
      <c r="AS6107" s="551"/>
      <c r="AT6107" s="551"/>
      <c r="AU6107" s="283"/>
      <c r="AV6107" s="283"/>
      <c r="AW6107" s="283"/>
      <c r="AX6107" s="283"/>
      <c r="AY6107" s="283"/>
      <c r="AZ6107" s="167"/>
      <c r="BA6107" s="167"/>
      <c r="BB6107" s="285"/>
      <c r="BC6107" s="154"/>
      <c r="BD6107" s="154"/>
      <c r="BE6107" s="150"/>
      <c r="BF6107" s="227"/>
      <c r="BG6107" s="227"/>
      <c r="BH6107" s="227"/>
      <c r="BI6107" s="224"/>
      <c r="BJ6107" s="227"/>
      <c r="BK6107" s="227"/>
      <c r="BL6107" s="227"/>
      <c r="BM6107" s="224"/>
      <c r="BN6107" s="224"/>
      <c r="BO6107" s="262"/>
      <c r="BP6107" s="262"/>
      <c r="BQ6107" s="262"/>
      <c r="BR6107" s="262"/>
      <c r="BS6107" s="262"/>
      <c r="BT6107" s="227"/>
      <c r="BU6107" s="227"/>
      <c r="BV6107" s="227"/>
      <c r="BW6107" s="286"/>
      <c r="BX6107" s="286"/>
      <c r="BY6107" s="227"/>
      <c r="BZ6107" s="227"/>
      <c r="CA6107" s="227"/>
      <c r="CB6107" s="190"/>
    </row>
    <row r="6108" spans="1:80" ht="15" customHeight="1" x14ac:dyDescent="0.2">
      <c r="A6108" s="257"/>
      <c r="B6108" s="667"/>
      <c r="C6108" s="667"/>
      <c r="D6108" s="292"/>
      <c r="E6108" s="257"/>
      <c r="F6108" s="257"/>
      <c r="G6108" s="227"/>
      <c r="H6108" s="328"/>
      <c r="I6108" s="227"/>
      <c r="J6108" s="150" t="s">
        <v>217</v>
      </c>
      <c r="K6108" s="227"/>
      <c r="L6108" s="660"/>
      <c r="M6108" s="671"/>
      <c r="N6108" s="582">
        <v>1.9</v>
      </c>
      <c r="O6108" s="581">
        <v>1.54E-4</v>
      </c>
      <c r="P6108" s="782"/>
      <c r="Q6108" s="764"/>
      <c r="R6108" s="764"/>
      <c r="S6108" s="764"/>
      <c r="T6108" s="764"/>
      <c r="U6108" s="764"/>
      <c r="V6108" s="764"/>
      <c r="W6108" s="764"/>
      <c r="X6108" s="764"/>
      <c r="Y6108" s="768"/>
      <c r="Z6108" s="281"/>
      <c r="AA6108" s="281"/>
      <c r="AB6108" s="281"/>
      <c r="AC6108" s="174"/>
      <c r="AD6108" s="282"/>
      <c r="AE6108" s="282"/>
      <c r="AF6108" s="173"/>
      <c r="AG6108" s="177"/>
      <c r="AH6108" s="349"/>
      <c r="AI6108" s="283"/>
      <c r="AJ6108" s="240"/>
      <c r="AK6108" s="240"/>
      <c r="AL6108" s="284"/>
      <c r="AM6108" s="167"/>
      <c r="AN6108" s="167"/>
      <c r="AO6108" s="167"/>
      <c r="AP6108" s="167"/>
      <c r="AQ6108" s="167"/>
      <c r="AR6108" s="551"/>
      <c r="AS6108" s="551"/>
      <c r="AT6108" s="551"/>
      <c r="AU6108" s="283"/>
      <c r="AV6108" s="283"/>
      <c r="AW6108" s="283"/>
      <c r="AX6108" s="283"/>
      <c r="AY6108" s="283"/>
      <c r="AZ6108" s="167"/>
      <c r="BA6108" s="167"/>
      <c r="BB6108" s="285"/>
      <c r="BC6108" s="154"/>
      <c r="BD6108" s="154"/>
      <c r="BE6108" s="150"/>
      <c r="BF6108" s="227"/>
      <c r="BG6108" s="227"/>
      <c r="BH6108" s="227"/>
      <c r="BI6108" s="224"/>
      <c r="BJ6108" s="227"/>
      <c r="BK6108" s="227"/>
      <c r="BL6108" s="227"/>
      <c r="BM6108" s="224"/>
      <c r="BN6108" s="224"/>
      <c r="BO6108" s="262"/>
      <c r="BP6108" s="262"/>
      <c r="BQ6108" s="262"/>
      <c r="BR6108" s="262"/>
      <c r="BS6108" s="262"/>
      <c r="BT6108" s="227"/>
      <c r="BU6108" s="227"/>
      <c r="BV6108" s="227"/>
      <c r="BW6108" s="286"/>
      <c r="BX6108" s="286"/>
      <c r="BY6108" s="227"/>
      <c r="BZ6108" s="227"/>
      <c r="CA6108" s="227"/>
      <c r="CB6108" s="190"/>
    </row>
    <row r="6109" spans="1:80" x14ac:dyDescent="0.2">
      <c r="A6109" s="257"/>
      <c r="B6109" s="667"/>
      <c r="C6109" s="667"/>
      <c r="D6109" s="292"/>
      <c r="E6109" s="257"/>
      <c r="F6109" s="257"/>
      <c r="G6109" s="227"/>
      <c r="H6109" s="328"/>
      <c r="I6109" s="227"/>
      <c r="J6109" s="150" t="s">
        <v>217</v>
      </c>
      <c r="K6109" s="227"/>
      <c r="L6109" s="660"/>
      <c r="M6109" s="671"/>
      <c r="N6109" s="582">
        <v>1.79</v>
      </c>
      <c r="O6109" s="581">
        <v>8.2100000000000003E-5</v>
      </c>
      <c r="P6109" s="782"/>
      <c r="Q6109" s="764"/>
      <c r="R6109" s="764"/>
      <c r="S6109" s="764"/>
      <c r="T6109" s="764"/>
      <c r="U6109" s="764"/>
      <c r="V6109" s="764"/>
      <c r="W6109" s="764"/>
      <c r="X6109" s="764"/>
      <c r="Y6109" s="768"/>
      <c r="Z6109" s="281"/>
      <c r="AA6109" s="281"/>
      <c r="AB6109" s="281"/>
      <c r="AC6109" s="174"/>
      <c r="AD6109" s="282"/>
      <c r="AE6109" s="282"/>
      <c r="AF6109" s="173"/>
      <c r="AG6109" s="177"/>
      <c r="AH6109" s="349"/>
      <c r="AI6109" s="283"/>
      <c r="AJ6109" s="240"/>
      <c r="AK6109" s="240"/>
      <c r="AL6109" s="284"/>
      <c r="AM6109" s="167"/>
      <c r="AN6109" s="167"/>
      <c r="AO6109" s="167"/>
      <c r="AP6109" s="167"/>
      <c r="AQ6109" s="167"/>
      <c r="AR6109" s="551"/>
      <c r="AS6109" s="551"/>
      <c r="AT6109" s="551"/>
      <c r="AU6109" s="283"/>
      <c r="AV6109" s="283"/>
      <c r="AW6109" s="283"/>
      <c r="AX6109" s="283"/>
      <c r="AY6109" s="283"/>
      <c r="AZ6109" s="167"/>
      <c r="BA6109" s="167"/>
      <c r="BB6109" s="285"/>
      <c r="BC6109" s="154"/>
      <c r="BD6109" s="154"/>
      <c r="BE6109" s="150"/>
      <c r="BF6109" s="227"/>
      <c r="BG6109" s="227"/>
      <c r="BH6109" s="227"/>
      <c r="BI6109" s="224"/>
      <c r="BJ6109" s="227"/>
      <c r="BK6109" s="227"/>
      <c r="BL6109" s="227"/>
      <c r="BM6109" s="224"/>
      <c r="BN6109" s="224"/>
      <c r="BO6109" s="262"/>
      <c r="BP6109" s="262"/>
      <c r="BQ6109" s="262"/>
      <c r="BR6109" s="262"/>
      <c r="BS6109" s="262"/>
      <c r="BT6109" s="227"/>
      <c r="BU6109" s="227"/>
      <c r="BV6109" s="227"/>
      <c r="BW6109" s="286"/>
      <c r="BX6109" s="286"/>
      <c r="BY6109" s="227"/>
      <c r="BZ6109" s="227"/>
      <c r="CA6109" s="227"/>
      <c r="CB6109" s="190"/>
    </row>
    <row r="6110" spans="1:80" x14ac:dyDescent="0.2">
      <c r="A6110" s="257"/>
      <c r="B6110" s="667"/>
      <c r="C6110" s="667"/>
      <c r="D6110" s="292"/>
      <c r="E6110" s="257"/>
      <c r="F6110" s="257"/>
      <c r="G6110" s="227"/>
      <c r="H6110" s="328"/>
      <c r="I6110" s="227"/>
      <c r="J6110" s="150" t="s">
        <v>217</v>
      </c>
      <c r="K6110" s="227"/>
      <c r="L6110" s="660"/>
      <c r="M6110" s="671"/>
      <c r="N6110" s="582">
        <v>0.9</v>
      </c>
      <c r="O6110" s="581">
        <v>3.8E-6</v>
      </c>
      <c r="P6110" s="782"/>
      <c r="Q6110" s="764"/>
      <c r="R6110" s="764"/>
      <c r="S6110" s="764"/>
      <c r="T6110" s="764"/>
      <c r="U6110" s="764"/>
      <c r="V6110" s="764"/>
      <c r="W6110" s="764"/>
      <c r="X6110" s="764"/>
      <c r="Y6110" s="768"/>
      <c r="Z6110" s="281"/>
      <c r="AA6110" s="281"/>
      <c r="AB6110" s="281"/>
      <c r="AC6110" s="174"/>
      <c r="AD6110" s="282"/>
      <c r="AE6110" s="282"/>
      <c r="AF6110" s="173"/>
      <c r="AG6110" s="177"/>
      <c r="AH6110" s="349"/>
      <c r="AI6110" s="283"/>
      <c r="AJ6110" s="240"/>
      <c r="AK6110" s="240"/>
      <c r="AL6110" s="284"/>
      <c r="AM6110" s="167"/>
      <c r="AN6110" s="167"/>
      <c r="AO6110" s="167"/>
      <c r="AP6110" s="167"/>
      <c r="AQ6110" s="167"/>
      <c r="AR6110" s="551"/>
      <c r="AS6110" s="551"/>
      <c r="AT6110" s="551"/>
      <c r="AU6110" s="283"/>
      <c r="AV6110" s="283"/>
      <c r="AW6110" s="283"/>
      <c r="AX6110" s="283"/>
      <c r="AY6110" s="283"/>
      <c r="AZ6110" s="167"/>
      <c r="BA6110" s="167"/>
      <c r="BB6110" s="285"/>
      <c r="BC6110" s="154"/>
      <c r="BD6110" s="154"/>
      <c r="BE6110" s="150"/>
      <c r="BF6110" s="227"/>
      <c r="BG6110" s="227"/>
      <c r="BH6110" s="227"/>
      <c r="BI6110" s="224"/>
      <c r="BJ6110" s="227"/>
      <c r="BK6110" s="227"/>
      <c r="BL6110" s="227"/>
      <c r="BM6110" s="224"/>
      <c r="BN6110" s="224"/>
      <c r="BO6110" s="262"/>
      <c r="BP6110" s="262"/>
      <c r="BQ6110" s="262"/>
      <c r="BR6110" s="262"/>
      <c r="BS6110" s="262"/>
      <c r="BT6110" s="227"/>
      <c r="BU6110" s="227"/>
      <c r="BV6110" s="227"/>
      <c r="BW6110" s="286"/>
      <c r="BX6110" s="286"/>
      <c r="BY6110" s="227"/>
      <c r="BZ6110" s="227"/>
      <c r="CA6110" s="227"/>
      <c r="CB6110" s="190"/>
    </row>
    <row r="6111" spans="1:80" x14ac:dyDescent="0.2">
      <c r="A6111" s="257"/>
      <c r="B6111" s="667"/>
      <c r="C6111" s="667"/>
      <c r="D6111" s="292"/>
      <c r="E6111" s="257"/>
      <c r="F6111" s="257"/>
      <c r="G6111" s="227"/>
      <c r="H6111" s="328"/>
      <c r="I6111" s="227"/>
      <c r="J6111" s="150" t="s">
        <v>217</v>
      </c>
      <c r="K6111" s="227"/>
      <c r="L6111" s="660"/>
      <c r="M6111" s="671"/>
      <c r="N6111" s="582">
        <v>0.81</v>
      </c>
      <c r="O6111" s="581">
        <v>1.6999999999999998E-6</v>
      </c>
      <c r="P6111" s="782"/>
      <c r="Q6111" s="764"/>
      <c r="R6111" s="764"/>
      <c r="S6111" s="764"/>
      <c r="T6111" s="764"/>
      <c r="U6111" s="764"/>
      <c r="V6111" s="764"/>
      <c r="W6111" s="764"/>
      <c r="X6111" s="764"/>
      <c r="Y6111" s="768"/>
      <c r="Z6111" s="281"/>
      <c r="AA6111" s="281"/>
      <c r="AB6111" s="281"/>
      <c r="AC6111" s="174"/>
      <c r="AD6111" s="282"/>
      <c r="AE6111" s="282"/>
      <c r="AF6111" s="173"/>
      <c r="AG6111" s="177"/>
      <c r="AH6111" s="349"/>
      <c r="AI6111" s="283"/>
      <c r="AJ6111" s="240"/>
      <c r="AK6111" s="240"/>
      <c r="AL6111" s="284"/>
      <c r="AM6111" s="167"/>
      <c r="AN6111" s="167"/>
      <c r="AO6111" s="167"/>
      <c r="AP6111" s="167"/>
      <c r="AQ6111" s="167"/>
      <c r="AR6111" s="551"/>
      <c r="AS6111" s="551"/>
      <c r="AT6111" s="551"/>
      <c r="AU6111" s="283"/>
      <c r="AV6111" s="283"/>
      <c r="AW6111" s="283"/>
      <c r="AX6111" s="283"/>
      <c r="AY6111" s="283"/>
      <c r="AZ6111" s="167"/>
      <c r="BA6111" s="167"/>
      <c r="BB6111" s="285"/>
      <c r="BC6111" s="154"/>
      <c r="BD6111" s="154"/>
      <c r="BE6111" s="150"/>
      <c r="BF6111" s="227"/>
      <c r="BG6111" s="227"/>
      <c r="BH6111" s="227"/>
      <c r="BI6111" s="224"/>
      <c r="BJ6111" s="227"/>
      <c r="BK6111" s="227"/>
      <c r="BL6111" s="227"/>
      <c r="BM6111" s="224"/>
      <c r="BN6111" s="224"/>
      <c r="BO6111" s="262"/>
      <c r="BP6111" s="262"/>
      <c r="BQ6111" s="262"/>
      <c r="BR6111" s="262"/>
      <c r="BS6111" s="262"/>
      <c r="BT6111" s="227"/>
      <c r="BU6111" s="227"/>
      <c r="BV6111" s="227"/>
      <c r="BW6111" s="286"/>
      <c r="BX6111" s="286"/>
      <c r="BY6111" s="227"/>
      <c r="BZ6111" s="227"/>
      <c r="CA6111" s="227"/>
      <c r="CB6111" s="190"/>
    </row>
    <row r="6112" spans="1:80" x14ac:dyDescent="0.2">
      <c r="A6112" s="257"/>
      <c r="B6112" s="667"/>
      <c r="C6112" s="667"/>
      <c r="D6112" s="292"/>
      <c r="E6112" s="257"/>
      <c r="F6112" s="257"/>
      <c r="G6112" s="227"/>
      <c r="H6112" s="328"/>
      <c r="I6112" s="227"/>
      <c r="J6112" s="150" t="s">
        <v>217</v>
      </c>
      <c r="K6112" s="227"/>
      <c r="L6112" s="660"/>
      <c r="M6112" s="671"/>
      <c r="N6112" s="582">
        <v>0.85</v>
      </c>
      <c r="O6112" s="581">
        <v>4.9000000000000002E-8</v>
      </c>
      <c r="P6112" s="782"/>
      <c r="Q6112" s="764"/>
      <c r="R6112" s="764"/>
      <c r="S6112" s="764"/>
      <c r="T6112" s="764"/>
      <c r="U6112" s="764"/>
      <c r="V6112" s="764"/>
      <c r="W6112" s="764"/>
      <c r="X6112" s="764"/>
      <c r="Y6112" s="768"/>
      <c r="Z6112" s="281"/>
      <c r="AA6112" s="281"/>
      <c r="AB6112" s="281"/>
      <c r="AC6112" s="174"/>
      <c r="AD6112" s="282"/>
      <c r="AE6112" s="282"/>
      <c r="AF6112" s="173"/>
      <c r="AG6112" s="177"/>
      <c r="AH6112" s="349"/>
      <c r="AI6112" s="283"/>
      <c r="AJ6112" s="240"/>
      <c r="AK6112" s="240"/>
      <c r="AL6112" s="284"/>
      <c r="AM6112" s="167"/>
      <c r="AN6112" s="167"/>
      <c r="AO6112" s="167"/>
      <c r="AP6112" s="167"/>
      <c r="AQ6112" s="167"/>
      <c r="AR6112" s="551"/>
      <c r="AS6112" s="551"/>
      <c r="AT6112" s="551"/>
      <c r="AU6112" s="283"/>
      <c r="AV6112" s="283"/>
      <c r="AW6112" s="283"/>
      <c r="AX6112" s="283"/>
      <c r="AY6112" s="283"/>
      <c r="AZ6112" s="167"/>
      <c r="BA6112" s="167"/>
      <c r="BB6112" s="285"/>
      <c r="BC6112" s="154"/>
      <c r="BD6112" s="154"/>
      <c r="BE6112" s="150"/>
      <c r="BF6112" s="227"/>
      <c r="BG6112" s="227"/>
      <c r="BH6112" s="227"/>
      <c r="BI6112" s="224"/>
      <c r="BJ6112" s="227"/>
      <c r="BK6112" s="227"/>
      <c r="BL6112" s="227"/>
      <c r="BM6112" s="224"/>
      <c r="BN6112" s="224"/>
      <c r="BO6112" s="262"/>
      <c r="BP6112" s="262"/>
      <c r="BQ6112" s="262"/>
      <c r="BR6112" s="262"/>
      <c r="BS6112" s="262"/>
      <c r="BT6112" s="227"/>
      <c r="BU6112" s="227"/>
      <c r="BV6112" s="227"/>
      <c r="BW6112" s="286"/>
      <c r="BX6112" s="286"/>
      <c r="BY6112" s="227"/>
      <c r="BZ6112" s="227"/>
      <c r="CA6112" s="227"/>
      <c r="CB6112" s="190"/>
    </row>
    <row r="6113" spans="1:80" x14ac:dyDescent="0.2">
      <c r="A6113" s="257"/>
      <c r="B6113" s="667"/>
      <c r="C6113" s="667"/>
      <c r="D6113" s="292"/>
      <c r="E6113" s="257"/>
      <c r="F6113" s="257"/>
      <c r="G6113" s="227"/>
      <c r="H6113" s="328"/>
      <c r="I6113" s="227"/>
      <c r="J6113" s="150" t="s">
        <v>217</v>
      </c>
      <c r="K6113" s="227"/>
      <c r="L6113" s="660"/>
      <c r="M6113" s="671"/>
      <c r="N6113" s="582">
        <v>0.85</v>
      </c>
      <c r="O6113" s="581">
        <v>4.9000000000000002E-8</v>
      </c>
      <c r="P6113" s="782"/>
      <c r="Q6113" s="764"/>
      <c r="R6113" s="764"/>
      <c r="S6113" s="764"/>
      <c r="T6113" s="764"/>
      <c r="U6113" s="764"/>
      <c r="V6113" s="764"/>
      <c r="W6113" s="764"/>
      <c r="X6113" s="764"/>
      <c r="Y6113" s="768"/>
      <c r="Z6113" s="281"/>
      <c r="AA6113" s="281"/>
      <c r="AB6113" s="281"/>
      <c r="AC6113" s="174"/>
      <c r="AD6113" s="282"/>
      <c r="AE6113" s="282"/>
      <c r="AF6113" s="173"/>
      <c r="AG6113" s="177"/>
      <c r="AH6113" s="349"/>
      <c r="AI6113" s="283"/>
      <c r="AJ6113" s="240"/>
      <c r="AK6113" s="240"/>
      <c r="AL6113" s="284"/>
      <c r="AM6113" s="167"/>
      <c r="AN6113" s="167"/>
      <c r="AO6113" s="167"/>
      <c r="AP6113" s="167"/>
      <c r="AQ6113" s="167"/>
      <c r="AR6113" s="551"/>
      <c r="AS6113" s="551"/>
      <c r="AT6113" s="551"/>
      <c r="AU6113" s="283"/>
      <c r="AV6113" s="283"/>
      <c r="AW6113" s="283"/>
      <c r="AX6113" s="283"/>
      <c r="AY6113" s="283"/>
      <c r="AZ6113" s="167"/>
      <c r="BA6113" s="167"/>
      <c r="BB6113" s="285"/>
      <c r="BC6113" s="154"/>
      <c r="BD6113" s="154"/>
      <c r="BE6113" s="150"/>
      <c r="BF6113" s="227"/>
      <c r="BG6113" s="227"/>
      <c r="BH6113" s="227"/>
      <c r="BI6113" s="224"/>
      <c r="BJ6113" s="227"/>
      <c r="BK6113" s="227"/>
      <c r="BL6113" s="227"/>
      <c r="BM6113" s="224"/>
      <c r="BN6113" s="224"/>
      <c r="BO6113" s="262"/>
      <c r="BP6113" s="262"/>
      <c r="BQ6113" s="262"/>
      <c r="BR6113" s="262"/>
      <c r="BS6113" s="262"/>
      <c r="BT6113" s="227"/>
      <c r="BU6113" s="227"/>
      <c r="BV6113" s="227"/>
      <c r="BW6113" s="286"/>
      <c r="BX6113" s="286"/>
      <c r="BY6113" s="227"/>
      <c r="BZ6113" s="227"/>
      <c r="CA6113" s="227"/>
      <c r="CB6113" s="190"/>
    </row>
    <row r="6114" spans="1:80" x14ac:dyDescent="0.2">
      <c r="A6114" s="257"/>
      <c r="B6114" s="667"/>
      <c r="C6114" s="667"/>
      <c r="D6114" s="292"/>
      <c r="E6114" s="257"/>
      <c r="F6114" s="257"/>
      <c r="G6114" s="227"/>
      <c r="H6114" s="328"/>
      <c r="I6114" s="227"/>
      <c r="J6114" s="150" t="s">
        <v>217</v>
      </c>
      <c r="K6114" s="227"/>
      <c r="L6114" s="660"/>
      <c r="M6114" s="671"/>
      <c r="N6114" s="582">
        <v>0.85</v>
      </c>
      <c r="O6114" s="581">
        <v>4.8999999999999997E-7</v>
      </c>
      <c r="P6114" s="782"/>
      <c r="Q6114" s="764"/>
      <c r="R6114" s="764"/>
      <c r="S6114" s="764"/>
      <c r="T6114" s="764"/>
      <c r="U6114" s="764"/>
      <c r="V6114" s="764"/>
      <c r="W6114" s="764"/>
      <c r="X6114" s="764"/>
      <c r="Y6114" s="768"/>
      <c r="Z6114" s="281"/>
      <c r="AA6114" s="281"/>
      <c r="AB6114" s="281"/>
      <c r="AC6114" s="174"/>
      <c r="AD6114" s="282"/>
      <c r="AE6114" s="282"/>
      <c r="AF6114" s="173"/>
      <c r="AG6114" s="177"/>
      <c r="AH6114" s="349"/>
      <c r="AI6114" s="283"/>
      <c r="AJ6114" s="240"/>
      <c r="AK6114" s="240"/>
      <c r="AL6114" s="284"/>
      <c r="AM6114" s="167"/>
      <c r="AN6114" s="167"/>
      <c r="AO6114" s="167"/>
      <c r="AP6114" s="167"/>
      <c r="AQ6114" s="167"/>
      <c r="AR6114" s="551"/>
      <c r="AS6114" s="551"/>
      <c r="AT6114" s="551"/>
      <c r="AU6114" s="283"/>
      <c r="AV6114" s="283"/>
      <c r="AW6114" s="283"/>
      <c r="AX6114" s="283"/>
      <c r="AY6114" s="283"/>
      <c r="AZ6114" s="167"/>
      <c r="BA6114" s="167"/>
      <c r="BB6114" s="285"/>
      <c r="BC6114" s="154"/>
      <c r="BD6114" s="154"/>
      <c r="BE6114" s="150"/>
      <c r="BF6114" s="227"/>
      <c r="BG6114" s="227"/>
      <c r="BH6114" s="227"/>
      <c r="BI6114" s="224"/>
      <c r="BJ6114" s="227"/>
      <c r="BK6114" s="227"/>
      <c r="BL6114" s="227"/>
      <c r="BM6114" s="224"/>
      <c r="BN6114" s="224"/>
      <c r="BO6114" s="262"/>
      <c r="BP6114" s="262"/>
      <c r="BQ6114" s="262"/>
      <c r="BR6114" s="262"/>
      <c r="BS6114" s="262"/>
      <c r="BT6114" s="227"/>
      <c r="BU6114" s="227"/>
      <c r="BV6114" s="227"/>
      <c r="BW6114" s="286"/>
      <c r="BX6114" s="286"/>
      <c r="BY6114" s="227"/>
      <c r="BZ6114" s="227"/>
      <c r="CA6114" s="227"/>
      <c r="CB6114" s="190"/>
    </row>
    <row r="6115" spans="1:80" x14ac:dyDescent="0.2">
      <c r="A6115" s="257"/>
      <c r="B6115" s="667"/>
      <c r="C6115" s="667"/>
      <c r="D6115" s="292"/>
      <c r="E6115" s="257"/>
      <c r="F6115" s="257"/>
      <c r="G6115" s="227"/>
      <c r="H6115" s="328"/>
      <c r="I6115" s="227"/>
      <c r="J6115" s="150" t="s">
        <v>217</v>
      </c>
      <c r="K6115" s="227"/>
      <c r="L6115" s="660"/>
      <c r="M6115" s="671"/>
      <c r="N6115" s="582">
        <v>0.86</v>
      </c>
      <c r="O6115" s="581">
        <v>4.9000000000000002E-8</v>
      </c>
      <c r="P6115" s="782"/>
      <c r="Q6115" s="764"/>
      <c r="R6115" s="764"/>
      <c r="S6115" s="764"/>
      <c r="T6115" s="764"/>
      <c r="U6115" s="764"/>
      <c r="V6115" s="764"/>
      <c r="W6115" s="764"/>
      <c r="X6115" s="764"/>
      <c r="Y6115" s="768"/>
      <c r="Z6115" s="281"/>
      <c r="AA6115" s="281"/>
      <c r="AB6115" s="281"/>
      <c r="AC6115" s="174"/>
      <c r="AD6115" s="282"/>
      <c r="AE6115" s="282"/>
      <c r="AF6115" s="173"/>
      <c r="AG6115" s="177"/>
      <c r="AH6115" s="349"/>
      <c r="AI6115" s="283"/>
      <c r="AJ6115" s="240"/>
      <c r="AK6115" s="240"/>
      <c r="AL6115" s="284"/>
      <c r="AM6115" s="167"/>
      <c r="AN6115" s="167"/>
      <c r="AO6115" s="167"/>
      <c r="AP6115" s="167"/>
      <c r="AQ6115" s="167"/>
      <c r="AR6115" s="551"/>
      <c r="AS6115" s="551"/>
      <c r="AT6115" s="551"/>
      <c r="AU6115" s="283"/>
      <c r="AV6115" s="283"/>
      <c r="AW6115" s="283"/>
      <c r="AX6115" s="283"/>
      <c r="AY6115" s="283"/>
      <c r="AZ6115" s="167"/>
      <c r="BA6115" s="167"/>
      <c r="BB6115" s="285"/>
      <c r="BC6115" s="154"/>
      <c r="BD6115" s="154"/>
      <c r="BE6115" s="150"/>
      <c r="BF6115" s="227"/>
      <c r="BG6115" s="227"/>
      <c r="BH6115" s="227"/>
      <c r="BI6115" s="224"/>
      <c r="BJ6115" s="227"/>
      <c r="BK6115" s="227"/>
      <c r="BL6115" s="227"/>
      <c r="BM6115" s="224"/>
      <c r="BN6115" s="224"/>
      <c r="BO6115" s="262"/>
      <c r="BP6115" s="262"/>
      <c r="BQ6115" s="262"/>
      <c r="BR6115" s="262"/>
      <c r="BS6115" s="262"/>
      <c r="BT6115" s="227"/>
      <c r="BU6115" s="227"/>
      <c r="BV6115" s="227"/>
      <c r="BW6115" s="286"/>
      <c r="BX6115" s="286"/>
      <c r="BY6115" s="227"/>
      <c r="BZ6115" s="227"/>
      <c r="CA6115" s="227"/>
      <c r="CB6115" s="190"/>
    </row>
    <row r="6116" spans="1:80" x14ac:dyDescent="0.2">
      <c r="A6116" s="257"/>
      <c r="B6116" s="667"/>
      <c r="C6116" s="667"/>
      <c r="D6116" s="292"/>
      <c r="E6116" s="257"/>
      <c r="F6116" s="257"/>
      <c r="G6116" s="227"/>
      <c r="H6116" s="328"/>
      <c r="I6116" s="227"/>
      <c r="J6116" s="150" t="s">
        <v>217</v>
      </c>
      <c r="K6116" s="227"/>
      <c r="L6116" s="660"/>
      <c r="M6116" s="671"/>
      <c r="N6116" s="582">
        <v>0.98</v>
      </c>
      <c r="O6116" s="581">
        <v>4.9000000000000002E-8</v>
      </c>
      <c r="P6116" s="782"/>
      <c r="Q6116" s="764"/>
      <c r="R6116" s="764"/>
      <c r="S6116" s="764"/>
      <c r="T6116" s="764"/>
      <c r="U6116" s="764"/>
      <c r="V6116" s="764"/>
      <c r="W6116" s="764"/>
      <c r="X6116" s="764"/>
      <c r="Y6116" s="768"/>
      <c r="Z6116" s="281"/>
      <c r="AA6116" s="281"/>
      <c r="AB6116" s="281"/>
      <c r="AC6116" s="174"/>
      <c r="AD6116" s="282"/>
      <c r="AE6116" s="282"/>
      <c r="AF6116" s="173"/>
      <c r="AG6116" s="177"/>
      <c r="AH6116" s="349"/>
      <c r="AI6116" s="283"/>
      <c r="AJ6116" s="240"/>
      <c r="AK6116" s="240"/>
      <c r="AL6116" s="284"/>
      <c r="AM6116" s="167"/>
      <c r="AN6116" s="167"/>
      <c r="AO6116" s="167"/>
      <c r="AP6116" s="167"/>
      <c r="AQ6116" s="167"/>
      <c r="AR6116" s="551"/>
      <c r="AS6116" s="551"/>
      <c r="AT6116" s="551"/>
      <c r="AU6116" s="283"/>
      <c r="AV6116" s="283"/>
      <c r="AW6116" s="283"/>
      <c r="AX6116" s="283"/>
      <c r="AY6116" s="283"/>
      <c r="AZ6116" s="167"/>
      <c r="BA6116" s="167"/>
      <c r="BB6116" s="285"/>
      <c r="BC6116" s="154"/>
      <c r="BD6116" s="154"/>
      <c r="BE6116" s="150"/>
      <c r="BF6116" s="227"/>
      <c r="BG6116" s="227"/>
      <c r="BH6116" s="227"/>
      <c r="BI6116" s="224"/>
      <c r="BJ6116" s="227"/>
      <c r="BK6116" s="227"/>
      <c r="BL6116" s="227"/>
      <c r="BM6116" s="224"/>
      <c r="BN6116" s="224"/>
      <c r="BO6116" s="262"/>
      <c r="BP6116" s="262"/>
      <c r="BQ6116" s="262"/>
      <c r="BR6116" s="262"/>
      <c r="BS6116" s="262"/>
      <c r="BT6116" s="227"/>
      <c r="BU6116" s="227"/>
      <c r="BV6116" s="227"/>
      <c r="BW6116" s="286"/>
      <c r="BX6116" s="286"/>
      <c r="BY6116" s="227"/>
      <c r="BZ6116" s="227"/>
      <c r="CA6116" s="227"/>
      <c r="CB6116" s="190"/>
    </row>
    <row r="6117" spans="1:80" x14ac:dyDescent="0.2">
      <c r="A6117" s="257"/>
      <c r="B6117" s="667"/>
      <c r="C6117" s="667"/>
      <c r="D6117" s="292"/>
      <c r="E6117" s="257"/>
      <c r="F6117" s="257"/>
      <c r="G6117" s="227"/>
      <c r="H6117" s="328"/>
      <c r="I6117" s="227"/>
      <c r="J6117" s="150" t="s">
        <v>217</v>
      </c>
      <c r="K6117" s="227"/>
      <c r="L6117" s="660"/>
      <c r="M6117" s="671"/>
      <c r="N6117" s="582">
        <v>1.2</v>
      </c>
      <c r="O6117" s="581">
        <v>2.7E-6</v>
      </c>
      <c r="P6117" s="782"/>
      <c r="Q6117" s="764"/>
      <c r="R6117" s="764"/>
      <c r="S6117" s="764"/>
      <c r="T6117" s="764"/>
      <c r="U6117" s="764"/>
      <c r="V6117" s="764"/>
      <c r="W6117" s="764"/>
      <c r="X6117" s="764"/>
      <c r="Y6117" s="768"/>
      <c r="Z6117" s="281"/>
      <c r="AA6117" s="281"/>
      <c r="AB6117" s="281"/>
      <c r="AC6117" s="174"/>
      <c r="AD6117" s="282"/>
      <c r="AE6117" s="282"/>
      <c r="AF6117" s="173"/>
      <c r="AG6117" s="177"/>
      <c r="AH6117" s="349"/>
      <c r="AI6117" s="283"/>
      <c r="AJ6117" s="240"/>
      <c r="AK6117" s="240"/>
      <c r="AL6117" s="284"/>
      <c r="AM6117" s="167"/>
      <c r="AN6117" s="167"/>
      <c r="AO6117" s="167"/>
      <c r="AP6117" s="167"/>
      <c r="AQ6117" s="167"/>
      <c r="AR6117" s="551"/>
      <c r="AS6117" s="551"/>
      <c r="AT6117" s="551"/>
      <c r="AU6117" s="283"/>
      <c r="AV6117" s="283"/>
      <c r="AW6117" s="283"/>
      <c r="AX6117" s="283"/>
      <c r="AY6117" s="283"/>
      <c r="AZ6117" s="167"/>
      <c r="BA6117" s="167"/>
      <c r="BB6117" s="285"/>
      <c r="BC6117" s="154"/>
      <c r="BD6117" s="154"/>
      <c r="BE6117" s="150"/>
      <c r="BF6117" s="227"/>
      <c r="BG6117" s="227"/>
      <c r="BH6117" s="227"/>
      <c r="BI6117" s="224"/>
      <c r="BJ6117" s="227"/>
      <c r="BK6117" s="227"/>
      <c r="BL6117" s="227"/>
      <c r="BM6117" s="224"/>
      <c r="BN6117" s="224"/>
      <c r="BO6117" s="262"/>
      <c r="BP6117" s="262"/>
      <c r="BQ6117" s="262"/>
      <c r="BR6117" s="262"/>
      <c r="BS6117" s="262"/>
      <c r="BT6117" s="227"/>
      <c r="BU6117" s="227"/>
      <c r="BV6117" s="227"/>
      <c r="BW6117" s="286"/>
      <c r="BX6117" s="286"/>
      <c r="BY6117" s="227"/>
      <c r="BZ6117" s="227"/>
      <c r="CA6117" s="227"/>
      <c r="CB6117" s="190"/>
    </row>
    <row r="6118" spans="1:80" x14ac:dyDescent="0.2">
      <c r="A6118" s="257"/>
      <c r="B6118" s="667"/>
      <c r="C6118" s="667"/>
      <c r="D6118" s="292"/>
      <c r="E6118" s="257"/>
      <c r="F6118" s="257"/>
      <c r="G6118" s="227"/>
      <c r="H6118" s="328"/>
      <c r="I6118" s="227"/>
      <c r="J6118" s="150" t="s">
        <v>217</v>
      </c>
      <c r="K6118" s="227"/>
      <c r="L6118" s="660"/>
      <c r="M6118" s="671"/>
      <c r="N6118" s="582">
        <v>1.31</v>
      </c>
      <c r="O6118" s="581">
        <v>2.69E-5</v>
      </c>
      <c r="P6118" s="782"/>
      <c r="Q6118" s="764"/>
      <c r="R6118" s="764"/>
      <c r="S6118" s="764"/>
      <c r="T6118" s="764"/>
      <c r="U6118" s="764"/>
      <c r="V6118" s="764"/>
      <c r="W6118" s="764"/>
      <c r="X6118" s="764"/>
      <c r="Y6118" s="768"/>
      <c r="Z6118" s="281"/>
      <c r="AA6118" s="281"/>
      <c r="AB6118" s="281"/>
      <c r="AC6118" s="174"/>
      <c r="AD6118" s="282"/>
      <c r="AE6118" s="282"/>
      <c r="AF6118" s="173"/>
      <c r="AG6118" s="177"/>
      <c r="AH6118" s="349"/>
      <c r="AI6118" s="283"/>
      <c r="AJ6118" s="240"/>
      <c r="AK6118" s="240"/>
      <c r="AL6118" s="284"/>
      <c r="AM6118" s="167"/>
      <c r="AN6118" s="167"/>
      <c r="AO6118" s="167"/>
      <c r="AP6118" s="167"/>
      <c r="AQ6118" s="167"/>
      <c r="AR6118" s="551"/>
      <c r="AS6118" s="551"/>
      <c r="AT6118" s="551"/>
      <c r="AU6118" s="283"/>
      <c r="AV6118" s="283"/>
      <c r="AW6118" s="283"/>
      <c r="AX6118" s="283"/>
      <c r="AY6118" s="283"/>
      <c r="AZ6118" s="167"/>
      <c r="BA6118" s="167"/>
      <c r="BB6118" s="285"/>
      <c r="BC6118" s="154"/>
      <c r="BD6118" s="154"/>
      <c r="BE6118" s="150"/>
      <c r="BF6118" s="227"/>
      <c r="BG6118" s="227"/>
      <c r="BH6118" s="227"/>
      <c r="BI6118" s="224"/>
      <c r="BJ6118" s="227"/>
      <c r="BK6118" s="227"/>
      <c r="BL6118" s="227"/>
      <c r="BM6118" s="224"/>
      <c r="BN6118" s="224"/>
      <c r="BO6118" s="262"/>
      <c r="BP6118" s="262"/>
      <c r="BQ6118" s="262"/>
      <c r="BR6118" s="262"/>
      <c r="BS6118" s="262"/>
      <c r="BT6118" s="227"/>
      <c r="BU6118" s="227"/>
      <c r="BV6118" s="227"/>
      <c r="BW6118" s="286"/>
      <c r="BX6118" s="286"/>
      <c r="BY6118" s="227"/>
      <c r="BZ6118" s="227"/>
      <c r="CA6118" s="227"/>
      <c r="CB6118" s="190"/>
    </row>
    <row r="6119" spans="1:80" x14ac:dyDescent="0.2">
      <c r="A6119" s="257"/>
      <c r="B6119" s="667"/>
      <c r="C6119" s="667"/>
      <c r="D6119" s="292"/>
      <c r="E6119" s="257"/>
      <c r="F6119" s="257"/>
      <c r="G6119" s="227"/>
      <c r="H6119" s="328"/>
      <c r="I6119" s="227"/>
      <c r="J6119" s="150" t="s">
        <v>217</v>
      </c>
      <c r="K6119" s="227"/>
      <c r="L6119" s="660"/>
      <c r="M6119" s="671"/>
      <c r="N6119" s="582">
        <v>1.32</v>
      </c>
      <c r="O6119" s="581">
        <v>1.1400000000000001E-5</v>
      </c>
      <c r="P6119" s="782"/>
      <c r="Q6119" s="764"/>
      <c r="R6119" s="764"/>
      <c r="S6119" s="764"/>
      <c r="T6119" s="764"/>
      <c r="U6119" s="764"/>
      <c r="V6119" s="764"/>
      <c r="W6119" s="764"/>
      <c r="X6119" s="764"/>
      <c r="Y6119" s="768"/>
      <c r="Z6119" s="281"/>
      <c r="AA6119" s="281"/>
      <c r="AB6119" s="281"/>
      <c r="AC6119" s="174"/>
      <c r="AD6119" s="282"/>
      <c r="AE6119" s="282"/>
      <c r="AF6119" s="173"/>
      <c r="AG6119" s="177"/>
      <c r="AH6119" s="349"/>
      <c r="AI6119" s="283"/>
      <c r="AJ6119" s="240"/>
      <c r="AK6119" s="240"/>
      <c r="AL6119" s="284"/>
      <c r="AM6119" s="167"/>
      <c r="AN6119" s="167"/>
      <c r="AO6119" s="167"/>
      <c r="AP6119" s="167"/>
      <c r="AQ6119" s="167"/>
      <c r="AR6119" s="551"/>
      <c r="AS6119" s="551"/>
      <c r="AT6119" s="551"/>
      <c r="AU6119" s="283"/>
      <c r="AV6119" s="283"/>
      <c r="AW6119" s="283"/>
      <c r="AX6119" s="283"/>
      <c r="AY6119" s="283"/>
      <c r="AZ6119" s="167"/>
      <c r="BA6119" s="167"/>
      <c r="BB6119" s="285"/>
      <c r="BC6119" s="154"/>
      <c r="BD6119" s="154"/>
      <c r="BE6119" s="150"/>
      <c r="BF6119" s="227"/>
      <c r="BG6119" s="227"/>
      <c r="BH6119" s="227"/>
      <c r="BI6119" s="224"/>
      <c r="BJ6119" s="227"/>
      <c r="BK6119" s="227"/>
      <c r="BL6119" s="227"/>
      <c r="BM6119" s="224"/>
      <c r="BN6119" s="224"/>
      <c r="BO6119" s="262"/>
      <c r="BP6119" s="262"/>
      <c r="BQ6119" s="262"/>
      <c r="BR6119" s="262"/>
      <c r="BS6119" s="262"/>
      <c r="BT6119" s="227"/>
      <c r="BU6119" s="227"/>
      <c r="BV6119" s="227"/>
      <c r="BW6119" s="286"/>
      <c r="BX6119" s="286"/>
      <c r="BY6119" s="227"/>
      <c r="BZ6119" s="227"/>
      <c r="CA6119" s="227"/>
      <c r="CB6119" s="190"/>
    </row>
    <row r="6120" spans="1:80" x14ac:dyDescent="0.2">
      <c r="A6120" s="257"/>
      <c r="B6120" s="667"/>
      <c r="C6120" s="667"/>
      <c r="D6120" s="292"/>
      <c r="E6120" s="257"/>
      <c r="F6120" s="257"/>
      <c r="G6120" s="227"/>
      <c r="H6120" s="328"/>
      <c r="I6120" s="227"/>
      <c r="J6120" s="150" t="s">
        <v>217</v>
      </c>
      <c r="K6120" s="227"/>
      <c r="L6120" s="660"/>
      <c r="M6120" s="671"/>
      <c r="N6120" s="582">
        <v>1.39</v>
      </c>
      <c r="O6120" s="581">
        <v>5.9000000000000003E-6</v>
      </c>
      <c r="P6120" s="782"/>
      <c r="Q6120" s="764"/>
      <c r="R6120" s="764"/>
      <c r="S6120" s="764"/>
      <c r="T6120" s="764"/>
      <c r="U6120" s="764"/>
      <c r="V6120" s="764"/>
      <c r="W6120" s="764"/>
      <c r="X6120" s="764"/>
      <c r="Y6120" s="768"/>
      <c r="Z6120" s="281"/>
      <c r="AA6120" s="281"/>
      <c r="AB6120" s="281"/>
      <c r="AC6120" s="174"/>
      <c r="AD6120" s="282"/>
      <c r="AE6120" s="282"/>
      <c r="AF6120" s="173"/>
      <c r="AG6120" s="177"/>
      <c r="AH6120" s="349"/>
      <c r="AI6120" s="283"/>
      <c r="AJ6120" s="240"/>
      <c r="AK6120" s="240"/>
      <c r="AL6120" s="284"/>
      <c r="AM6120" s="167"/>
      <c r="AN6120" s="167"/>
      <c r="AO6120" s="167"/>
      <c r="AP6120" s="167"/>
      <c r="AQ6120" s="167"/>
      <c r="AR6120" s="551"/>
      <c r="AS6120" s="551"/>
      <c r="AT6120" s="551"/>
      <c r="AU6120" s="283"/>
      <c r="AV6120" s="283"/>
      <c r="AW6120" s="283"/>
      <c r="AX6120" s="283"/>
      <c r="AY6120" s="283"/>
      <c r="AZ6120" s="167"/>
      <c r="BA6120" s="167"/>
      <c r="BB6120" s="285"/>
      <c r="BC6120" s="154"/>
      <c r="BD6120" s="154"/>
      <c r="BE6120" s="150"/>
      <c r="BF6120" s="227"/>
      <c r="BG6120" s="227"/>
      <c r="BH6120" s="227"/>
      <c r="BI6120" s="224"/>
      <c r="BJ6120" s="227"/>
      <c r="BK6120" s="227"/>
      <c r="BL6120" s="227"/>
      <c r="BM6120" s="224"/>
      <c r="BN6120" s="224"/>
      <c r="BO6120" s="262"/>
      <c r="BP6120" s="262"/>
      <c r="BQ6120" s="262"/>
      <c r="BR6120" s="262"/>
      <c r="BS6120" s="262"/>
      <c r="BT6120" s="227"/>
      <c r="BU6120" s="227"/>
      <c r="BV6120" s="227"/>
      <c r="BW6120" s="286"/>
      <c r="BX6120" s="286"/>
      <c r="BY6120" s="227"/>
      <c r="BZ6120" s="227"/>
      <c r="CA6120" s="227"/>
      <c r="CB6120" s="190"/>
    </row>
    <row r="6121" spans="1:80" x14ac:dyDescent="0.2">
      <c r="A6121" s="257"/>
      <c r="B6121" s="667"/>
      <c r="C6121" s="667"/>
      <c r="D6121" s="292"/>
      <c r="E6121" s="257"/>
      <c r="F6121" s="257"/>
      <c r="G6121" s="227"/>
      <c r="H6121" s="328"/>
      <c r="I6121" s="227"/>
      <c r="J6121" s="150" t="s">
        <v>217</v>
      </c>
      <c r="K6121" s="227"/>
      <c r="L6121" s="660"/>
      <c r="M6121" s="671"/>
      <c r="N6121" s="582">
        <v>1.68</v>
      </c>
      <c r="O6121" s="581">
        <v>2.9300000000000001E-5</v>
      </c>
      <c r="P6121" s="782"/>
      <c r="Q6121" s="764"/>
      <c r="R6121" s="764"/>
      <c r="S6121" s="764"/>
      <c r="T6121" s="764"/>
      <c r="U6121" s="764"/>
      <c r="V6121" s="764"/>
      <c r="W6121" s="764"/>
      <c r="X6121" s="764"/>
      <c r="Y6121" s="768"/>
      <c r="Z6121" s="281"/>
      <c r="AA6121" s="281"/>
      <c r="AB6121" s="281"/>
      <c r="AC6121" s="174"/>
      <c r="AD6121" s="282"/>
      <c r="AE6121" s="282"/>
      <c r="AF6121" s="173"/>
      <c r="AG6121" s="177"/>
      <c r="AH6121" s="349"/>
      <c r="AI6121" s="283"/>
      <c r="AJ6121" s="240"/>
      <c r="AK6121" s="240"/>
      <c r="AL6121" s="284"/>
      <c r="AM6121" s="167"/>
      <c r="AN6121" s="167"/>
      <c r="AO6121" s="167"/>
      <c r="AP6121" s="167"/>
      <c r="AQ6121" s="167"/>
      <c r="AR6121" s="551"/>
      <c r="AS6121" s="551"/>
      <c r="AT6121" s="551"/>
      <c r="AU6121" s="283"/>
      <c r="AV6121" s="283"/>
      <c r="AW6121" s="283"/>
      <c r="AX6121" s="283"/>
      <c r="AY6121" s="283"/>
      <c r="AZ6121" s="167"/>
      <c r="BA6121" s="167"/>
      <c r="BB6121" s="285"/>
      <c r="BC6121" s="154"/>
      <c r="BD6121" s="154"/>
      <c r="BE6121" s="150"/>
      <c r="BF6121" s="227"/>
      <c r="BG6121" s="227"/>
      <c r="BH6121" s="227"/>
      <c r="BI6121" s="224"/>
      <c r="BJ6121" s="227"/>
      <c r="BK6121" s="227"/>
      <c r="BL6121" s="227"/>
      <c r="BM6121" s="224"/>
      <c r="BN6121" s="224"/>
      <c r="BO6121" s="262"/>
      <c r="BP6121" s="262"/>
      <c r="BQ6121" s="262"/>
      <c r="BR6121" s="262"/>
      <c r="BS6121" s="262"/>
      <c r="BT6121" s="227"/>
      <c r="BU6121" s="227"/>
      <c r="BV6121" s="227"/>
      <c r="BW6121" s="286"/>
      <c r="BX6121" s="286"/>
      <c r="BY6121" s="227"/>
      <c r="BZ6121" s="227"/>
      <c r="CA6121" s="227"/>
      <c r="CB6121" s="190"/>
    </row>
    <row r="6122" spans="1:80" x14ac:dyDescent="0.2">
      <c r="A6122" s="257"/>
      <c r="B6122" s="667"/>
      <c r="C6122" s="667"/>
      <c r="D6122" s="292"/>
      <c r="E6122" s="257"/>
      <c r="F6122" s="257"/>
      <c r="G6122" s="227"/>
      <c r="H6122" s="328"/>
      <c r="I6122" s="227"/>
      <c r="J6122" s="150" t="s">
        <v>217</v>
      </c>
      <c r="K6122" s="227"/>
      <c r="L6122" s="660"/>
      <c r="M6122" s="671"/>
      <c r="N6122" s="582">
        <v>2</v>
      </c>
      <c r="O6122" s="581">
        <v>1.039E-3</v>
      </c>
      <c r="P6122" s="782"/>
      <c r="Q6122" s="764"/>
      <c r="R6122" s="764"/>
      <c r="S6122" s="764"/>
      <c r="T6122" s="764"/>
      <c r="U6122" s="764"/>
      <c r="V6122" s="764"/>
      <c r="W6122" s="764"/>
      <c r="X6122" s="764"/>
      <c r="Y6122" s="768"/>
      <c r="Z6122" s="281"/>
      <c r="AA6122" s="281"/>
      <c r="AB6122" s="281"/>
      <c r="AC6122" s="174"/>
      <c r="AD6122" s="282"/>
      <c r="AE6122" s="282"/>
      <c r="AF6122" s="173"/>
      <c r="AG6122" s="177"/>
      <c r="AH6122" s="349"/>
      <c r="AI6122" s="283"/>
      <c r="AJ6122" s="240"/>
      <c r="AK6122" s="240"/>
      <c r="AL6122" s="284"/>
      <c r="AM6122" s="167"/>
      <c r="AN6122" s="167"/>
      <c r="AO6122" s="167"/>
      <c r="AP6122" s="167"/>
      <c r="AQ6122" s="167"/>
      <c r="AR6122" s="551"/>
      <c r="AS6122" s="551"/>
      <c r="AT6122" s="551"/>
      <c r="AU6122" s="283"/>
      <c r="AV6122" s="283"/>
      <c r="AW6122" s="283"/>
      <c r="AX6122" s="283"/>
      <c r="AY6122" s="283"/>
      <c r="AZ6122" s="167"/>
      <c r="BA6122" s="167"/>
      <c r="BB6122" s="285"/>
      <c r="BC6122" s="154"/>
      <c r="BD6122" s="154"/>
      <c r="BE6122" s="150"/>
      <c r="BF6122" s="227"/>
      <c r="BG6122" s="227"/>
      <c r="BH6122" s="227"/>
      <c r="BI6122" s="224"/>
      <c r="BJ6122" s="227"/>
      <c r="BK6122" s="227"/>
      <c r="BL6122" s="227"/>
      <c r="BM6122" s="224"/>
      <c r="BN6122" s="224"/>
      <c r="BO6122" s="262"/>
      <c r="BP6122" s="262"/>
      <c r="BQ6122" s="262"/>
      <c r="BR6122" s="262"/>
      <c r="BS6122" s="262"/>
      <c r="BT6122" s="227"/>
      <c r="BU6122" s="227"/>
      <c r="BV6122" s="227"/>
      <c r="BW6122" s="286"/>
      <c r="BX6122" s="286"/>
      <c r="BY6122" s="227"/>
      <c r="BZ6122" s="227"/>
      <c r="CA6122" s="227"/>
      <c r="CB6122" s="190"/>
    </row>
    <row r="6123" spans="1:80" x14ac:dyDescent="0.2">
      <c r="A6123" s="257"/>
      <c r="B6123" s="667"/>
      <c r="C6123" s="667"/>
      <c r="D6123" s="292"/>
      <c r="E6123" s="257"/>
      <c r="F6123" s="257"/>
      <c r="G6123" s="227"/>
      <c r="H6123" s="328"/>
      <c r="I6123" s="227"/>
      <c r="J6123" s="150" t="s">
        <v>217</v>
      </c>
      <c r="K6123" s="227"/>
      <c r="L6123" s="660"/>
      <c r="M6123" s="671"/>
      <c r="N6123" s="582">
        <v>2</v>
      </c>
      <c r="O6123" s="581">
        <v>4.7540000000000001E-4</v>
      </c>
      <c r="P6123" s="782"/>
      <c r="Q6123" s="764"/>
      <c r="R6123" s="764"/>
      <c r="S6123" s="764"/>
      <c r="T6123" s="764"/>
      <c r="U6123" s="764"/>
      <c r="V6123" s="764"/>
      <c r="W6123" s="764"/>
      <c r="X6123" s="764"/>
      <c r="Y6123" s="768"/>
      <c r="Z6123" s="281"/>
      <c r="AA6123" s="281"/>
      <c r="AB6123" s="281"/>
      <c r="AC6123" s="174"/>
      <c r="AD6123" s="282"/>
      <c r="AE6123" s="282"/>
      <c r="AF6123" s="173"/>
      <c r="AG6123" s="177"/>
      <c r="AH6123" s="349"/>
      <c r="AI6123" s="283"/>
      <c r="AJ6123" s="240"/>
      <c r="AK6123" s="240"/>
      <c r="AL6123" s="284"/>
      <c r="AM6123" s="167"/>
      <c r="AN6123" s="167"/>
      <c r="AO6123" s="167"/>
      <c r="AP6123" s="167"/>
      <c r="AQ6123" s="167"/>
      <c r="AR6123" s="551"/>
      <c r="AS6123" s="551"/>
      <c r="AT6123" s="551"/>
      <c r="AU6123" s="283"/>
      <c r="AV6123" s="283"/>
      <c r="AW6123" s="283"/>
      <c r="AX6123" s="283"/>
      <c r="AY6123" s="283"/>
      <c r="AZ6123" s="167"/>
      <c r="BA6123" s="167"/>
      <c r="BB6123" s="285"/>
      <c r="BC6123" s="154"/>
      <c r="BD6123" s="154"/>
      <c r="BE6123" s="150"/>
      <c r="BF6123" s="227"/>
      <c r="BG6123" s="227"/>
      <c r="BH6123" s="227"/>
      <c r="BI6123" s="224"/>
      <c r="BJ6123" s="227"/>
      <c r="BK6123" s="227"/>
      <c r="BL6123" s="227"/>
      <c r="BM6123" s="224"/>
      <c r="BN6123" s="224"/>
      <c r="BO6123" s="262"/>
      <c r="BP6123" s="262"/>
      <c r="BQ6123" s="262"/>
      <c r="BR6123" s="262"/>
      <c r="BS6123" s="262"/>
      <c r="BT6123" s="227"/>
      <c r="BU6123" s="227"/>
      <c r="BV6123" s="227"/>
      <c r="BW6123" s="286"/>
      <c r="BX6123" s="286"/>
      <c r="BY6123" s="227"/>
      <c r="BZ6123" s="227"/>
      <c r="CA6123" s="227"/>
      <c r="CB6123" s="190"/>
    </row>
    <row r="6124" spans="1:80" x14ac:dyDescent="0.2">
      <c r="A6124" s="257"/>
      <c r="B6124" s="667"/>
      <c r="C6124" s="667"/>
      <c r="D6124" s="292"/>
      <c r="E6124" s="257"/>
      <c r="F6124" s="257"/>
      <c r="G6124" s="227"/>
      <c r="H6124" s="328"/>
      <c r="I6124" s="227"/>
      <c r="J6124" s="150" t="s">
        <v>217</v>
      </c>
      <c r="K6124" s="227"/>
      <c r="L6124" s="660"/>
      <c r="M6124" s="671"/>
      <c r="N6124" s="582">
        <v>1.82</v>
      </c>
      <c r="O6124" s="581">
        <v>9.3999999999999998E-6</v>
      </c>
      <c r="P6124" s="782"/>
      <c r="Q6124" s="764"/>
      <c r="R6124" s="764"/>
      <c r="S6124" s="764"/>
      <c r="T6124" s="764"/>
      <c r="U6124" s="764"/>
      <c r="V6124" s="764"/>
      <c r="W6124" s="764"/>
      <c r="X6124" s="764"/>
      <c r="Y6124" s="768"/>
      <c r="Z6124" s="281"/>
      <c r="AA6124" s="281"/>
      <c r="AB6124" s="281"/>
      <c r="AC6124" s="174"/>
      <c r="AD6124" s="282"/>
      <c r="AE6124" s="282"/>
      <c r="AF6124" s="173"/>
      <c r="AG6124" s="177"/>
      <c r="AH6124" s="349"/>
      <c r="AI6124" s="283"/>
      <c r="AJ6124" s="240"/>
      <c r="AK6124" s="240"/>
      <c r="AL6124" s="284"/>
      <c r="AM6124" s="167"/>
      <c r="AN6124" s="167"/>
      <c r="AO6124" s="167"/>
      <c r="AP6124" s="167"/>
      <c r="AQ6124" s="167"/>
      <c r="AR6124" s="551"/>
      <c r="AS6124" s="551"/>
      <c r="AT6124" s="551"/>
      <c r="AU6124" s="283"/>
      <c r="AV6124" s="283"/>
      <c r="AW6124" s="283"/>
      <c r="AX6124" s="283"/>
      <c r="AY6124" s="283"/>
      <c r="AZ6124" s="167"/>
      <c r="BA6124" s="167"/>
      <c r="BB6124" s="285"/>
      <c r="BC6124" s="154"/>
      <c r="BD6124" s="154"/>
      <c r="BE6124" s="150"/>
      <c r="BF6124" s="227"/>
      <c r="BG6124" s="227"/>
      <c r="BH6124" s="227"/>
      <c r="BI6124" s="224"/>
      <c r="BJ6124" s="227"/>
      <c r="BK6124" s="227"/>
      <c r="BL6124" s="227"/>
      <c r="BM6124" s="224"/>
      <c r="BN6124" s="224"/>
      <c r="BO6124" s="262"/>
      <c r="BP6124" s="262"/>
      <c r="BQ6124" s="262"/>
      <c r="BR6124" s="262"/>
      <c r="BS6124" s="262"/>
      <c r="BT6124" s="227"/>
      <c r="BU6124" s="227"/>
      <c r="BV6124" s="227"/>
      <c r="BW6124" s="286"/>
      <c r="BX6124" s="286"/>
      <c r="BY6124" s="227"/>
      <c r="BZ6124" s="227"/>
      <c r="CA6124" s="227"/>
      <c r="CB6124" s="190"/>
    </row>
    <row r="6125" spans="1:80" x14ac:dyDescent="0.2">
      <c r="A6125" s="257"/>
      <c r="B6125" s="667"/>
      <c r="C6125" s="667"/>
      <c r="D6125" s="292"/>
      <c r="E6125" s="257"/>
      <c r="F6125" s="257"/>
      <c r="G6125" s="227"/>
      <c r="H6125" s="328"/>
      <c r="I6125" s="227"/>
      <c r="J6125" s="150" t="s">
        <v>217</v>
      </c>
      <c r="K6125" s="227"/>
      <c r="L6125" s="660"/>
      <c r="M6125" s="671"/>
      <c r="N6125" s="582">
        <v>1.99</v>
      </c>
      <c r="O6125" s="581">
        <v>1.593E-4</v>
      </c>
      <c r="P6125" s="782"/>
      <c r="Q6125" s="764"/>
      <c r="R6125" s="764"/>
      <c r="S6125" s="764"/>
      <c r="T6125" s="764"/>
      <c r="U6125" s="764"/>
      <c r="V6125" s="764"/>
      <c r="W6125" s="764"/>
      <c r="X6125" s="764"/>
      <c r="Y6125" s="768"/>
      <c r="Z6125" s="281"/>
      <c r="AA6125" s="281"/>
      <c r="AB6125" s="281"/>
      <c r="AC6125" s="174"/>
      <c r="AD6125" s="282"/>
      <c r="AE6125" s="282"/>
      <c r="AF6125" s="173"/>
      <c r="AG6125" s="177"/>
      <c r="AH6125" s="349"/>
      <c r="AI6125" s="283"/>
      <c r="AJ6125" s="240"/>
      <c r="AK6125" s="240"/>
      <c r="AL6125" s="284"/>
      <c r="AM6125" s="167"/>
      <c r="AN6125" s="167"/>
      <c r="AO6125" s="167"/>
      <c r="AP6125" s="167"/>
      <c r="AQ6125" s="167"/>
      <c r="AR6125" s="551"/>
      <c r="AS6125" s="551"/>
      <c r="AT6125" s="551"/>
      <c r="AU6125" s="283"/>
      <c r="AV6125" s="283"/>
      <c r="AW6125" s="283"/>
      <c r="AX6125" s="283"/>
      <c r="AY6125" s="283"/>
      <c r="AZ6125" s="167"/>
      <c r="BA6125" s="167"/>
      <c r="BB6125" s="285"/>
      <c r="BC6125" s="154"/>
      <c r="BD6125" s="154"/>
      <c r="BE6125" s="150"/>
      <c r="BF6125" s="227"/>
      <c r="BG6125" s="227"/>
      <c r="BH6125" s="227"/>
      <c r="BI6125" s="224"/>
      <c r="BJ6125" s="227"/>
      <c r="BK6125" s="227"/>
      <c r="BL6125" s="227"/>
      <c r="BM6125" s="224"/>
      <c r="BN6125" s="224"/>
      <c r="BO6125" s="262"/>
      <c r="BP6125" s="262"/>
      <c r="BQ6125" s="262"/>
      <c r="BR6125" s="262"/>
      <c r="BS6125" s="262"/>
      <c r="BT6125" s="227"/>
      <c r="BU6125" s="227"/>
      <c r="BV6125" s="227"/>
      <c r="BW6125" s="286"/>
      <c r="BX6125" s="286"/>
      <c r="BY6125" s="227"/>
      <c r="BZ6125" s="227"/>
      <c r="CA6125" s="227"/>
      <c r="CB6125" s="190"/>
    </row>
    <row r="6126" spans="1:80" x14ac:dyDescent="0.2">
      <c r="A6126" s="257"/>
      <c r="B6126" s="667"/>
      <c r="C6126" s="667"/>
      <c r="D6126" s="292"/>
      <c r="E6126" s="257"/>
      <c r="F6126" s="257"/>
      <c r="G6126" s="227"/>
      <c r="H6126" s="328"/>
      <c r="I6126" s="227"/>
      <c r="J6126" s="150" t="s">
        <v>217</v>
      </c>
      <c r="K6126" s="227"/>
      <c r="L6126" s="660"/>
      <c r="M6126" s="671"/>
      <c r="N6126" s="582">
        <v>2.21</v>
      </c>
      <c r="O6126" s="581">
        <v>8.4889999999999998E-4</v>
      </c>
      <c r="P6126" s="782"/>
      <c r="Q6126" s="764"/>
      <c r="R6126" s="764"/>
      <c r="S6126" s="764"/>
      <c r="T6126" s="764"/>
      <c r="U6126" s="764"/>
      <c r="V6126" s="764"/>
      <c r="W6126" s="764"/>
      <c r="X6126" s="764"/>
      <c r="Y6126" s="768"/>
      <c r="Z6126" s="281"/>
      <c r="AA6126" s="281"/>
      <c r="AB6126" s="281"/>
      <c r="AC6126" s="174"/>
      <c r="AD6126" s="282"/>
      <c r="AE6126" s="282"/>
      <c r="AF6126" s="173"/>
      <c r="AG6126" s="177"/>
      <c r="AH6126" s="349"/>
      <c r="AI6126" s="283"/>
      <c r="AJ6126" s="240"/>
      <c r="AK6126" s="240"/>
      <c r="AL6126" s="284"/>
      <c r="AM6126" s="167"/>
      <c r="AN6126" s="167"/>
      <c r="AO6126" s="167"/>
      <c r="AP6126" s="167"/>
      <c r="AQ6126" s="167"/>
      <c r="AR6126" s="551"/>
      <c r="AS6126" s="551"/>
      <c r="AT6126" s="551"/>
      <c r="AU6126" s="283"/>
      <c r="AV6126" s="283"/>
      <c r="AW6126" s="283"/>
      <c r="AX6126" s="283"/>
      <c r="AY6126" s="283"/>
      <c r="AZ6126" s="167"/>
      <c r="BA6126" s="167"/>
      <c r="BB6126" s="285"/>
      <c r="BC6126" s="154"/>
      <c r="BD6126" s="154"/>
      <c r="BE6126" s="150"/>
      <c r="BF6126" s="227"/>
      <c r="BG6126" s="227"/>
      <c r="BH6126" s="227"/>
      <c r="BI6126" s="224"/>
      <c r="BJ6126" s="227"/>
      <c r="BK6126" s="227"/>
      <c r="BL6126" s="227"/>
      <c r="BM6126" s="224"/>
      <c r="BN6126" s="224"/>
      <c r="BO6126" s="262"/>
      <c r="BP6126" s="262"/>
      <c r="BQ6126" s="262"/>
      <c r="BR6126" s="262"/>
      <c r="BS6126" s="262"/>
      <c r="BT6126" s="227"/>
      <c r="BU6126" s="227"/>
      <c r="BV6126" s="227"/>
      <c r="BW6126" s="286"/>
      <c r="BX6126" s="286"/>
      <c r="BY6126" s="227"/>
      <c r="BZ6126" s="227"/>
      <c r="CA6126" s="227"/>
      <c r="CB6126" s="190"/>
    </row>
    <row r="6127" spans="1:80" x14ac:dyDescent="0.2">
      <c r="A6127" s="257"/>
      <c r="B6127" s="667"/>
      <c r="C6127" s="667"/>
      <c r="D6127" s="292"/>
      <c r="E6127" s="257"/>
      <c r="F6127" s="257"/>
      <c r="G6127" s="227"/>
      <c r="H6127" s="328"/>
      <c r="I6127" s="227"/>
      <c r="J6127" s="150" t="s">
        <v>217</v>
      </c>
      <c r="K6127" s="227"/>
      <c r="L6127" s="660"/>
      <c r="M6127" s="671"/>
      <c r="N6127" s="582">
        <v>2.5099999999999998</v>
      </c>
      <c r="O6127" s="581">
        <v>1.5494E-3</v>
      </c>
      <c r="P6127" s="782"/>
      <c r="Q6127" s="764"/>
      <c r="R6127" s="764"/>
      <c r="S6127" s="764"/>
      <c r="T6127" s="764"/>
      <c r="U6127" s="764"/>
      <c r="V6127" s="764"/>
      <c r="W6127" s="764"/>
      <c r="X6127" s="764"/>
      <c r="Y6127" s="768"/>
      <c r="Z6127" s="281"/>
      <c r="AA6127" s="281"/>
      <c r="AB6127" s="281"/>
      <c r="AC6127" s="174"/>
      <c r="AD6127" s="282"/>
      <c r="AE6127" s="282"/>
      <c r="AF6127" s="173"/>
      <c r="AG6127" s="177"/>
      <c r="AH6127" s="349"/>
      <c r="AI6127" s="283"/>
      <c r="AJ6127" s="240"/>
      <c r="AK6127" s="240"/>
      <c r="AL6127" s="284"/>
      <c r="AM6127" s="167"/>
      <c r="AN6127" s="167"/>
      <c r="AO6127" s="167"/>
      <c r="AP6127" s="167"/>
      <c r="AQ6127" s="167"/>
      <c r="AR6127" s="551"/>
      <c r="AS6127" s="551"/>
      <c r="AT6127" s="551"/>
      <c r="AU6127" s="283"/>
      <c r="AV6127" s="283"/>
      <c r="AW6127" s="283"/>
      <c r="AX6127" s="283"/>
      <c r="AY6127" s="283"/>
      <c r="AZ6127" s="167"/>
      <c r="BA6127" s="167"/>
      <c r="BB6127" s="285"/>
      <c r="BC6127" s="154"/>
      <c r="BD6127" s="154"/>
      <c r="BE6127" s="150"/>
      <c r="BF6127" s="227"/>
      <c r="BG6127" s="227"/>
      <c r="BH6127" s="227"/>
      <c r="BI6127" s="224"/>
      <c r="BJ6127" s="227"/>
      <c r="BK6127" s="227"/>
      <c r="BL6127" s="227"/>
      <c r="BM6127" s="224"/>
      <c r="BN6127" s="224"/>
      <c r="BO6127" s="262"/>
      <c r="BP6127" s="262"/>
      <c r="BQ6127" s="262"/>
      <c r="BR6127" s="262"/>
      <c r="BS6127" s="262"/>
      <c r="BT6127" s="227"/>
      <c r="BU6127" s="227"/>
      <c r="BV6127" s="227"/>
      <c r="BW6127" s="286"/>
      <c r="BX6127" s="286"/>
      <c r="BY6127" s="227"/>
      <c r="BZ6127" s="227"/>
      <c r="CA6127" s="227"/>
      <c r="CB6127" s="190"/>
    </row>
    <row r="6128" spans="1:80" x14ac:dyDescent="0.2">
      <c r="A6128" s="257"/>
      <c r="B6128" s="667"/>
      <c r="C6128" s="667"/>
      <c r="D6128" s="292"/>
      <c r="E6128" s="257"/>
      <c r="F6128" s="257"/>
      <c r="G6128" s="227"/>
      <c r="H6128" s="328"/>
      <c r="I6128" s="227"/>
      <c r="J6128" s="150" t="s">
        <v>217</v>
      </c>
      <c r="K6128" s="227"/>
      <c r="L6128" s="660"/>
      <c r="M6128" s="671"/>
      <c r="N6128" s="582">
        <v>2.63</v>
      </c>
      <c r="O6128" s="581">
        <v>3.9106999999999996E-3</v>
      </c>
      <c r="P6128" s="782"/>
      <c r="Q6128" s="764"/>
      <c r="R6128" s="764"/>
      <c r="S6128" s="764"/>
      <c r="T6128" s="764"/>
      <c r="U6128" s="764"/>
      <c r="V6128" s="764"/>
      <c r="W6128" s="764"/>
      <c r="X6128" s="764"/>
      <c r="Y6128" s="768"/>
      <c r="Z6128" s="281"/>
      <c r="AA6128" s="281"/>
      <c r="AB6128" s="281"/>
      <c r="AC6128" s="174"/>
      <c r="AD6128" s="282"/>
      <c r="AE6128" s="282"/>
      <c r="AF6128" s="173"/>
      <c r="AG6128" s="177"/>
      <c r="AH6128" s="349"/>
      <c r="AI6128" s="283"/>
      <c r="AJ6128" s="240"/>
      <c r="AK6128" s="240"/>
      <c r="AL6128" s="284"/>
      <c r="AM6128" s="167"/>
      <c r="AN6128" s="167"/>
      <c r="AO6128" s="167"/>
      <c r="AP6128" s="167"/>
      <c r="AQ6128" s="167"/>
      <c r="AR6128" s="551"/>
      <c r="AS6128" s="551"/>
      <c r="AT6128" s="551"/>
      <c r="AU6128" s="283"/>
      <c r="AV6128" s="283"/>
      <c r="AW6128" s="283"/>
      <c r="AX6128" s="283"/>
      <c r="AY6128" s="283"/>
      <c r="AZ6128" s="167"/>
      <c r="BA6128" s="167"/>
      <c r="BB6128" s="285"/>
      <c r="BC6128" s="154"/>
      <c r="BD6128" s="154"/>
      <c r="BE6128" s="150"/>
      <c r="BF6128" s="227"/>
      <c r="BG6128" s="227"/>
      <c r="BH6128" s="227"/>
      <c r="BI6128" s="224"/>
      <c r="BJ6128" s="227"/>
      <c r="BK6128" s="227"/>
      <c r="BL6128" s="227"/>
      <c r="BM6128" s="224"/>
      <c r="BN6128" s="224"/>
      <c r="BO6128" s="262"/>
      <c r="BP6128" s="262"/>
      <c r="BQ6128" s="262"/>
      <c r="BR6128" s="262"/>
      <c r="BS6128" s="262"/>
      <c r="BT6128" s="227"/>
      <c r="BU6128" s="227"/>
      <c r="BV6128" s="227"/>
      <c r="BW6128" s="286"/>
      <c r="BX6128" s="286"/>
      <c r="BY6128" s="227"/>
      <c r="BZ6128" s="227"/>
      <c r="CA6128" s="227"/>
      <c r="CB6128" s="190"/>
    </row>
    <row r="6129" spans="1:80" x14ac:dyDescent="0.2">
      <c r="A6129" s="257"/>
      <c r="B6129" s="667"/>
      <c r="C6129" s="667"/>
      <c r="D6129" s="292"/>
      <c r="E6129" s="257"/>
      <c r="F6129" s="257"/>
      <c r="G6129" s="227"/>
      <c r="H6129" s="328"/>
      <c r="I6129" s="227"/>
      <c r="J6129" s="150" t="s">
        <v>217</v>
      </c>
      <c r="K6129" s="227"/>
      <c r="L6129" s="660"/>
      <c r="M6129" s="671"/>
      <c r="N6129" s="582">
        <v>2.4500000000000002</v>
      </c>
      <c r="O6129" s="581">
        <v>2.8151000000000001E-3</v>
      </c>
      <c r="P6129" s="782"/>
      <c r="Q6129" s="764"/>
      <c r="R6129" s="764"/>
      <c r="S6129" s="764"/>
      <c r="T6129" s="764"/>
      <c r="U6129" s="764"/>
      <c r="V6129" s="764"/>
      <c r="W6129" s="764"/>
      <c r="X6129" s="764"/>
      <c r="Y6129" s="768"/>
      <c r="Z6129" s="281"/>
      <c r="AA6129" s="281"/>
      <c r="AB6129" s="281"/>
      <c r="AC6129" s="174"/>
      <c r="AD6129" s="282"/>
      <c r="AE6129" s="282"/>
      <c r="AF6129" s="173"/>
      <c r="AG6129" s="177"/>
      <c r="AH6129" s="349"/>
      <c r="AI6129" s="283"/>
      <c r="AJ6129" s="240"/>
      <c r="AK6129" s="240"/>
      <c r="AL6129" s="284"/>
      <c r="AM6129" s="167"/>
      <c r="AN6129" s="167"/>
      <c r="AO6129" s="167"/>
      <c r="AP6129" s="167"/>
      <c r="AQ6129" s="167"/>
      <c r="AR6129" s="551"/>
      <c r="AS6129" s="551"/>
      <c r="AT6129" s="551"/>
      <c r="AU6129" s="283"/>
      <c r="AV6129" s="283"/>
      <c r="AW6129" s="283"/>
      <c r="AX6129" s="283"/>
      <c r="AY6129" s="283"/>
      <c r="AZ6129" s="167"/>
      <c r="BA6129" s="167"/>
      <c r="BB6129" s="285"/>
      <c r="BC6129" s="154"/>
      <c r="BD6129" s="154"/>
      <c r="BE6129" s="150"/>
      <c r="BF6129" s="227"/>
      <c r="BG6129" s="227"/>
      <c r="BH6129" s="227"/>
      <c r="BI6129" s="224"/>
      <c r="BJ6129" s="227"/>
      <c r="BK6129" s="227"/>
      <c r="BL6129" s="227"/>
      <c r="BM6129" s="224"/>
      <c r="BN6129" s="224"/>
      <c r="BO6129" s="262"/>
      <c r="BP6129" s="262"/>
      <c r="BQ6129" s="262"/>
      <c r="BR6129" s="262"/>
      <c r="BS6129" s="262"/>
      <c r="BT6129" s="227"/>
      <c r="BU6129" s="227"/>
      <c r="BV6129" s="227"/>
      <c r="BW6129" s="286"/>
      <c r="BX6129" s="286"/>
      <c r="BY6129" s="227"/>
      <c r="BZ6129" s="227"/>
      <c r="CA6129" s="227"/>
      <c r="CB6129" s="190"/>
    </row>
    <row r="6130" spans="1:80" x14ac:dyDescent="0.2">
      <c r="A6130" s="257"/>
      <c r="B6130" s="667"/>
      <c r="C6130" s="667"/>
      <c r="D6130" s="292"/>
      <c r="E6130" s="257"/>
      <c r="F6130" s="257"/>
      <c r="G6130" s="227"/>
      <c r="H6130" s="328"/>
      <c r="I6130" s="227"/>
      <c r="J6130" s="150" t="s">
        <v>217</v>
      </c>
      <c r="K6130" s="227"/>
      <c r="L6130" s="660"/>
      <c r="M6130" s="671"/>
      <c r="N6130" s="582">
        <v>2.77</v>
      </c>
      <c r="O6130" s="581">
        <v>4.5275999999999997E-3</v>
      </c>
      <c r="P6130" s="782"/>
      <c r="Q6130" s="764"/>
      <c r="R6130" s="764"/>
      <c r="S6130" s="764"/>
      <c r="T6130" s="764"/>
      <c r="U6130" s="764"/>
      <c r="V6130" s="764"/>
      <c r="W6130" s="764"/>
      <c r="X6130" s="764"/>
      <c r="Y6130" s="768"/>
      <c r="Z6130" s="281"/>
      <c r="AA6130" s="281"/>
      <c r="AB6130" s="281"/>
      <c r="AC6130" s="174"/>
      <c r="AD6130" s="282"/>
      <c r="AE6130" s="282"/>
      <c r="AF6130" s="173"/>
      <c r="AG6130" s="177"/>
      <c r="AH6130" s="349"/>
      <c r="AI6130" s="283"/>
      <c r="AJ6130" s="240"/>
      <c r="AK6130" s="240"/>
      <c r="AL6130" s="284"/>
      <c r="AM6130" s="167"/>
      <c r="AN6130" s="167"/>
      <c r="AO6130" s="167"/>
      <c r="AP6130" s="167"/>
      <c r="AQ6130" s="167"/>
      <c r="AR6130" s="551"/>
      <c r="AS6130" s="551"/>
      <c r="AT6130" s="551"/>
      <c r="AU6130" s="283"/>
      <c r="AV6130" s="283"/>
      <c r="AW6130" s="283"/>
      <c r="AX6130" s="283"/>
      <c r="AY6130" s="283"/>
      <c r="AZ6130" s="167"/>
      <c r="BA6130" s="167"/>
      <c r="BB6130" s="285"/>
      <c r="BC6130" s="154"/>
      <c r="BD6130" s="154"/>
      <c r="BE6130" s="150"/>
      <c r="BF6130" s="227"/>
      <c r="BG6130" s="227"/>
      <c r="BH6130" s="227"/>
      <c r="BI6130" s="224"/>
      <c r="BJ6130" s="227"/>
      <c r="BK6130" s="227"/>
      <c r="BL6130" s="227"/>
      <c r="BM6130" s="224"/>
      <c r="BN6130" s="224"/>
      <c r="BO6130" s="262"/>
      <c r="BP6130" s="262"/>
      <c r="BQ6130" s="262"/>
      <c r="BR6130" s="262"/>
      <c r="BS6130" s="262"/>
      <c r="BT6130" s="227"/>
      <c r="BU6130" s="227"/>
      <c r="BV6130" s="227"/>
      <c r="BW6130" s="286"/>
      <c r="BX6130" s="286"/>
      <c r="BY6130" s="227"/>
      <c r="BZ6130" s="227"/>
      <c r="CA6130" s="227"/>
      <c r="CB6130" s="190"/>
    </row>
    <row r="6131" spans="1:80" x14ac:dyDescent="0.2">
      <c r="A6131" s="257"/>
      <c r="B6131" s="667"/>
      <c r="C6131" s="667"/>
      <c r="D6131" s="292"/>
      <c r="E6131" s="257"/>
      <c r="F6131" s="257"/>
      <c r="G6131" s="227"/>
      <c r="H6131" s="328"/>
      <c r="I6131" s="227"/>
      <c r="J6131" s="150" t="s">
        <v>217</v>
      </c>
      <c r="K6131" s="227"/>
      <c r="L6131" s="660"/>
      <c r="M6131" s="671"/>
      <c r="N6131" s="582">
        <v>3.04</v>
      </c>
      <c r="O6131" s="581">
        <v>8.8634000000000004E-3</v>
      </c>
      <c r="P6131" s="782"/>
      <c r="Q6131" s="764"/>
      <c r="R6131" s="764"/>
      <c r="S6131" s="764"/>
      <c r="T6131" s="764"/>
      <c r="U6131" s="764"/>
      <c r="V6131" s="764"/>
      <c r="W6131" s="764"/>
      <c r="X6131" s="764"/>
      <c r="Y6131" s="768"/>
      <c r="Z6131" s="281"/>
      <c r="AA6131" s="281"/>
      <c r="AB6131" s="281"/>
      <c r="AC6131" s="174"/>
      <c r="AD6131" s="282"/>
      <c r="AE6131" s="282"/>
      <c r="AF6131" s="173"/>
      <c r="AG6131" s="177"/>
      <c r="AH6131" s="349"/>
      <c r="AI6131" s="283"/>
      <c r="AJ6131" s="240"/>
      <c r="AK6131" s="240"/>
      <c r="AL6131" s="284"/>
      <c r="AM6131" s="167"/>
      <c r="AN6131" s="167"/>
      <c r="AO6131" s="167"/>
      <c r="AP6131" s="167"/>
      <c r="AQ6131" s="167"/>
      <c r="AR6131" s="551"/>
      <c r="AS6131" s="551"/>
      <c r="AT6131" s="551"/>
      <c r="AU6131" s="283"/>
      <c r="AV6131" s="283"/>
      <c r="AW6131" s="283"/>
      <c r="AX6131" s="283"/>
      <c r="AY6131" s="283"/>
      <c r="AZ6131" s="167"/>
      <c r="BA6131" s="167"/>
      <c r="BB6131" s="285"/>
      <c r="BC6131" s="154"/>
      <c r="BD6131" s="154"/>
      <c r="BE6131" s="150"/>
      <c r="BF6131" s="227"/>
      <c r="BG6131" s="227"/>
      <c r="BH6131" s="227"/>
      <c r="BI6131" s="224"/>
      <c r="BJ6131" s="227"/>
      <c r="BK6131" s="227"/>
      <c r="BL6131" s="227"/>
      <c r="BM6131" s="224"/>
      <c r="BN6131" s="224"/>
      <c r="BO6131" s="262"/>
      <c r="BP6131" s="262"/>
      <c r="BQ6131" s="262"/>
      <c r="BR6131" s="262"/>
      <c r="BS6131" s="262"/>
      <c r="BT6131" s="227"/>
      <c r="BU6131" s="227"/>
      <c r="BV6131" s="227"/>
      <c r="BW6131" s="286"/>
      <c r="BX6131" s="286"/>
      <c r="BY6131" s="227"/>
      <c r="BZ6131" s="227"/>
      <c r="CA6131" s="227"/>
      <c r="CB6131" s="190"/>
    </row>
    <row r="6132" spans="1:80" x14ac:dyDescent="0.2">
      <c r="A6132" s="257"/>
      <c r="B6132" s="667"/>
      <c r="C6132" s="667"/>
      <c r="D6132" s="292"/>
      <c r="E6132" s="257"/>
      <c r="F6132" s="257"/>
      <c r="G6132" s="227"/>
      <c r="H6132" s="328"/>
      <c r="I6132" s="227"/>
      <c r="J6132" s="150" t="s">
        <v>217</v>
      </c>
      <c r="K6132" s="227"/>
      <c r="L6132" s="660"/>
      <c r="M6132" s="671"/>
      <c r="N6132" s="582">
        <v>3.01</v>
      </c>
      <c r="O6132" s="581">
        <v>3.6657999999999999E-3</v>
      </c>
      <c r="P6132" s="782"/>
      <c r="Q6132" s="764"/>
      <c r="R6132" s="764"/>
      <c r="S6132" s="764"/>
      <c r="T6132" s="764"/>
      <c r="U6132" s="764"/>
      <c r="V6132" s="764"/>
      <c r="W6132" s="764"/>
      <c r="X6132" s="764"/>
      <c r="Y6132" s="768"/>
      <c r="Z6132" s="281"/>
      <c r="AA6132" s="281"/>
      <c r="AB6132" s="281"/>
      <c r="AC6132" s="174"/>
      <c r="AD6132" s="282"/>
      <c r="AE6132" s="282"/>
      <c r="AF6132" s="173"/>
      <c r="AG6132" s="177"/>
      <c r="AH6132" s="349"/>
      <c r="AI6132" s="283"/>
      <c r="AJ6132" s="240"/>
      <c r="AK6132" s="240"/>
      <c r="AL6132" s="284"/>
      <c r="AM6132" s="167"/>
      <c r="AN6132" s="167"/>
      <c r="AO6132" s="167"/>
      <c r="AP6132" s="167"/>
      <c r="AQ6132" s="167"/>
      <c r="AR6132" s="551"/>
      <c r="AS6132" s="551"/>
      <c r="AT6132" s="551"/>
      <c r="AU6132" s="283"/>
      <c r="AV6132" s="283"/>
      <c r="AW6132" s="283"/>
      <c r="AX6132" s="283"/>
      <c r="AY6132" s="283"/>
      <c r="AZ6132" s="167"/>
      <c r="BA6132" s="167"/>
      <c r="BB6132" s="285"/>
      <c r="BC6132" s="154"/>
      <c r="BD6132" s="154"/>
      <c r="BE6132" s="150"/>
      <c r="BF6132" s="227"/>
      <c r="BG6132" s="227"/>
      <c r="BH6132" s="227"/>
      <c r="BI6132" s="224"/>
      <c r="BJ6132" s="227"/>
      <c r="BK6132" s="227"/>
      <c r="BL6132" s="227"/>
      <c r="BM6132" s="224"/>
      <c r="BN6132" s="224"/>
      <c r="BO6132" s="262"/>
      <c r="BP6132" s="262"/>
      <c r="BQ6132" s="262"/>
      <c r="BR6132" s="262"/>
      <c r="BS6132" s="262"/>
      <c r="BT6132" s="227"/>
      <c r="BU6132" s="227"/>
      <c r="BV6132" s="227"/>
      <c r="BW6132" s="286"/>
      <c r="BX6132" s="286"/>
      <c r="BY6132" s="227"/>
      <c r="BZ6132" s="227"/>
      <c r="CA6132" s="227"/>
      <c r="CB6132" s="190"/>
    </row>
    <row r="6133" spans="1:80" x14ac:dyDescent="0.2">
      <c r="A6133" s="257"/>
      <c r="B6133" s="667"/>
      <c r="C6133" s="667"/>
      <c r="D6133" s="292"/>
      <c r="E6133" s="257"/>
      <c r="F6133" s="257"/>
      <c r="G6133" s="227"/>
      <c r="H6133" s="328"/>
      <c r="I6133" s="227"/>
      <c r="J6133" s="150" t="s">
        <v>217</v>
      </c>
      <c r="K6133" s="227"/>
      <c r="L6133" s="660"/>
      <c r="M6133" s="671"/>
      <c r="N6133" s="582">
        <v>2.31</v>
      </c>
      <c r="O6133" s="581">
        <v>5.3369999999999991E-4</v>
      </c>
      <c r="P6133" s="782"/>
      <c r="Q6133" s="764"/>
      <c r="R6133" s="764"/>
      <c r="S6133" s="764"/>
      <c r="T6133" s="764"/>
      <c r="U6133" s="764"/>
      <c r="V6133" s="764"/>
      <c r="W6133" s="764"/>
      <c r="X6133" s="764"/>
      <c r="Y6133" s="768"/>
      <c r="Z6133" s="281"/>
      <c r="AA6133" s="281"/>
      <c r="AB6133" s="281"/>
      <c r="AC6133" s="174"/>
      <c r="AD6133" s="282"/>
      <c r="AE6133" s="282"/>
      <c r="AF6133" s="173"/>
      <c r="AG6133" s="177"/>
      <c r="AH6133" s="349"/>
      <c r="AI6133" s="283"/>
      <c r="AJ6133" s="240"/>
      <c r="AK6133" s="240"/>
      <c r="AL6133" s="284"/>
      <c r="AM6133" s="167"/>
      <c r="AN6133" s="167"/>
      <c r="AO6133" s="167"/>
      <c r="AP6133" s="167"/>
      <c r="AQ6133" s="167"/>
      <c r="AR6133" s="551"/>
      <c r="AS6133" s="551"/>
      <c r="AT6133" s="551"/>
      <c r="AU6133" s="283"/>
      <c r="AV6133" s="283"/>
      <c r="AW6133" s="283"/>
      <c r="AX6133" s="283"/>
      <c r="AY6133" s="283"/>
      <c r="AZ6133" s="167"/>
      <c r="BA6133" s="167"/>
      <c r="BB6133" s="285"/>
      <c r="BC6133" s="154"/>
      <c r="BD6133" s="154"/>
      <c r="BE6133" s="150"/>
      <c r="BF6133" s="227"/>
      <c r="BG6133" s="227"/>
      <c r="BH6133" s="227"/>
      <c r="BI6133" s="224"/>
      <c r="BJ6133" s="227"/>
      <c r="BK6133" s="227"/>
      <c r="BL6133" s="227"/>
      <c r="BM6133" s="224"/>
      <c r="BN6133" s="224"/>
      <c r="BO6133" s="262"/>
      <c r="BP6133" s="262"/>
      <c r="BQ6133" s="262"/>
      <c r="BR6133" s="262"/>
      <c r="BS6133" s="262"/>
      <c r="BT6133" s="227"/>
      <c r="BU6133" s="227"/>
      <c r="BV6133" s="227"/>
      <c r="BW6133" s="286"/>
      <c r="BX6133" s="286"/>
      <c r="BY6133" s="227"/>
      <c r="BZ6133" s="227"/>
      <c r="CA6133" s="227"/>
      <c r="CB6133" s="190"/>
    </row>
    <row r="6134" spans="1:80" x14ac:dyDescent="0.2">
      <c r="A6134" s="257"/>
      <c r="B6134" s="667"/>
      <c r="C6134" s="667"/>
      <c r="D6134" s="292"/>
      <c r="E6134" s="257"/>
      <c r="F6134" s="257"/>
      <c r="G6134" s="227"/>
      <c r="H6134" s="328"/>
      <c r="I6134" s="227"/>
      <c r="J6134" s="150" t="s">
        <v>217</v>
      </c>
      <c r="K6134" s="227"/>
      <c r="L6134" s="660"/>
      <c r="M6134" s="671"/>
      <c r="N6134" s="582">
        <v>2.27</v>
      </c>
      <c r="O6134" s="581">
        <v>6.8079999999999996E-4</v>
      </c>
      <c r="P6134" s="782"/>
      <c r="Q6134" s="764"/>
      <c r="R6134" s="764"/>
      <c r="S6134" s="764"/>
      <c r="T6134" s="764"/>
      <c r="U6134" s="764"/>
      <c r="V6134" s="764"/>
      <c r="W6134" s="764"/>
      <c r="X6134" s="764"/>
      <c r="Y6134" s="768"/>
      <c r="Z6134" s="281"/>
      <c r="AA6134" s="281"/>
      <c r="AB6134" s="281"/>
      <c r="AC6134" s="174"/>
      <c r="AD6134" s="282"/>
      <c r="AE6134" s="282"/>
      <c r="AF6134" s="173"/>
      <c r="AG6134" s="177"/>
      <c r="AH6134" s="349"/>
      <c r="AI6134" s="283"/>
      <c r="AJ6134" s="240"/>
      <c r="AK6134" s="240"/>
      <c r="AL6134" s="284"/>
      <c r="AM6134" s="167"/>
      <c r="AN6134" s="167"/>
      <c r="AO6134" s="167"/>
      <c r="AP6134" s="167"/>
      <c r="AQ6134" s="167"/>
      <c r="AR6134" s="551"/>
      <c r="AS6134" s="551"/>
      <c r="AT6134" s="551"/>
      <c r="AU6134" s="283"/>
      <c r="AV6134" s="283"/>
      <c r="AW6134" s="283"/>
      <c r="AX6134" s="283"/>
      <c r="AY6134" s="283"/>
      <c r="AZ6134" s="167"/>
      <c r="BA6134" s="167"/>
      <c r="BB6134" s="285"/>
      <c r="BC6134" s="154"/>
      <c r="BD6134" s="154"/>
      <c r="BE6134" s="150"/>
      <c r="BF6134" s="227"/>
      <c r="BG6134" s="227"/>
      <c r="BH6134" s="227"/>
      <c r="BI6134" s="224"/>
      <c r="BJ6134" s="227"/>
      <c r="BK6134" s="227"/>
      <c r="BL6134" s="227"/>
      <c r="BM6134" s="224"/>
      <c r="BN6134" s="224"/>
      <c r="BO6134" s="262"/>
      <c r="BP6134" s="262"/>
      <c r="BQ6134" s="262"/>
      <c r="BR6134" s="262"/>
      <c r="BS6134" s="262"/>
      <c r="BT6134" s="227"/>
      <c r="BU6134" s="227"/>
      <c r="BV6134" s="227"/>
      <c r="BW6134" s="286"/>
      <c r="BX6134" s="286"/>
      <c r="BY6134" s="227"/>
      <c r="BZ6134" s="227"/>
      <c r="CA6134" s="227"/>
      <c r="CB6134" s="190"/>
    </row>
    <row r="6135" spans="1:80" x14ac:dyDescent="0.2">
      <c r="A6135" s="257"/>
      <c r="B6135" s="667"/>
      <c r="C6135" s="667"/>
      <c r="D6135" s="292"/>
      <c r="E6135" s="257"/>
      <c r="F6135" s="257"/>
      <c r="G6135" s="227"/>
      <c r="H6135" s="328"/>
      <c r="I6135" s="227"/>
      <c r="J6135" s="150" t="s">
        <v>217</v>
      </c>
      <c r="K6135" s="227"/>
      <c r="L6135" s="660"/>
      <c r="M6135" s="671"/>
      <c r="N6135" s="582">
        <v>2.2999999999999998</v>
      </c>
      <c r="O6135" s="581">
        <v>1.0242000000000001E-3</v>
      </c>
      <c r="P6135" s="782"/>
      <c r="Q6135" s="764"/>
      <c r="R6135" s="764"/>
      <c r="S6135" s="764"/>
      <c r="T6135" s="764"/>
      <c r="U6135" s="764"/>
      <c r="V6135" s="764"/>
      <c r="W6135" s="764"/>
      <c r="X6135" s="764"/>
      <c r="Y6135" s="768"/>
      <c r="Z6135" s="281"/>
      <c r="AA6135" s="281"/>
      <c r="AB6135" s="281"/>
      <c r="AC6135" s="174"/>
      <c r="AD6135" s="282"/>
      <c r="AE6135" s="282"/>
      <c r="AF6135" s="173"/>
      <c r="AG6135" s="177"/>
      <c r="AH6135" s="349"/>
      <c r="AI6135" s="283"/>
      <c r="AJ6135" s="240"/>
      <c r="AK6135" s="240"/>
      <c r="AL6135" s="284"/>
      <c r="AM6135" s="167"/>
      <c r="AN6135" s="167"/>
      <c r="AO6135" s="167"/>
      <c r="AP6135" s="167"/>
      <c r="AQ6135" s="167"/>
      <c r="AR6135" s="551"/>
      <c r="AS6135" s="551"/>
      <c r="AT6135" s="551"/>
      <c r="AU6135" s="283"/>
      <c r="AV6135" s="283"/>
      <c r="AW6135" s="283"/>
      <c r="AX6135" s="283"/>
      <c r="AY6135" s="283"/>
      <c r="AZ6135" s="167"/>
      <c r="BA6135" s="167"/>
      <c r="BB6135" s="285"/>
      <c r="BC6135" s="154"/>
      <c r="BD6135" s="154"/>
      <c r="BE6135" s="150"/>
      <c r="BF6135" s="227"/>
      <c r="BG6135" s="227"/>
      <c r="BH6135" s="227"/>
      <c r="BI6135" s="224"/>
      <c r="BJ6135" s="227"/>
      <c r="BK6135" s="227"/>
      <c r="BL6135" s="227"/>
      <c r="BM6135" s="224"/>
      <c r="BN6135" s="224"/>
      <c r="BO6135" s="262"/>
      <c r="BP6135" s="262"/>
      <c r="BQ6135" s="262"/>
      <c r="BR6135" s="262"/>
      <c r="BS6135" s="262"/>
      <c r="BT6135" s="227"/>
      <c r="BU6135" s="227"/>
      <c r="BV6135" s="227"/>
      <c r="BW6135" s="286"/>
      <c r="BX6135" s="286"/>
      <c r="BY6135" s="227"/>
      <c r="BZ6135" s="227"/>
      <c r="CA6135" s="227"/>
      <c r="CB6135" s="190"/>
    </row>
    <row r="6136" spans="1:80" x14ac:dyDescent="0.2">
      <c r="A6136" s="257"/>
      <c r="B6136" s="667"/>
      <c r="C6136" s="667"/>
      <c r="D6136" s="292"/>
      <c r="E6136" s="257"/>
      <c r="F6136" s="257"/>
      <c r="G6136" s="227"/>
      <c r="H6136" s="328"/>
      <c r="I6136" s="227"/>
      <c r="J6136" s="150" t="s">
        <v>217</v>
      </c>
      <c r="K6136" s="227"/>
      <c r="L6136" s="660"/>
      <c r="M6136" s="671"/>
      <c r="N6136" s="582">
        <v>1.67</v>
      </c>
      <c r="O6136" s="581">
        <v>3.8699999999999999E-5</v>
      </c>
      <c r="P6136" s="782"/>
      <c r="Q6136" s="764"/>
      <c r="R6136" s="764"/>
      <c r="S6136" s="764"/>
      <c r="T6136" s="764"/>
      <c r="U6136" s="764"/>
      <c r="V6136" s="764"/>
      <c r="W6136" s="764"/>
      <c r="X6136" s="764"/>
      <c r="Y6136" s="768"/>
      <c r="Z6136" s="281"/>
      <c r="AA6136" s="281"/>
      <c r="AB6136" s="281"/>
      <c r="AC6136" s="174"/>
      <c r="AD6136" s="282"/>
      <c r="AE6136" s="282"/>
      <c r="AF6136" s="173"/>
      <c r="AG6136" s="177"/>
      <c r="AH6136" s="349"/>
      <c r="AI6136" s="283"/>
      <c r="AJ6136" s="240"/>
      <c r="AK6136" s="240"/>
      <c r="AL6136" s="284"/>
      <c r="AM6136" s="167"/>
      <c r="AN6136" s="167"/>
      <c r="AO6136" s="167"/>
      <c r="AP6136" s="167"/>
      <c r="AQ6136" s="167"/>
      <c r="AR6136" s="551"/>
      <c r="AS6136" s="551"/>
      <c r="AT6136" s="551"/>
      <c r="AU6136" s="283"/>
      <c r="AV6136" s="283"/>
      <c r="AW6136" s="283"/>
      <c r="AX6136" s="283"/>
      <c r="AY6136" s="283"/>
      <c r="AZ6136" s="167"/>
      <c r="BA6136" s="167"/>
      <c r="BB6136" s="285"/>
      <c r="BC6136" s="154"/>
      <c r="BD6136" s="154"/>
      <c r="BE6136" s="150"/>
      <c r="BF6136" s="227"/>
      <c r="BG6136" s="227"/>
      <c r="BH6136" s="227"/>
      <c r="BI6136" s="224"/>
      <c r="BJ6136" s="227"/>
      <c r="BK6136" s="227"/>
      <c r="BL6136" s="227"/>
      <c r="BM6136" s="224"/>
      <c r="BN6136" s="224"/>
      <c r="BO6136" s="262"/>
      <c r="BP6136" s="262"/>
      <c r="BQ6136" s="262"/>
      <c r="BR6136" s="262"/>
      <c r="BS6136" s="262"/>
      <c r="BT6136" s="227"/>
      <c r="BU6136" s="227"/>
      <c r="BV6136" s="227"/>
      <c r="BW6136" s="286"/>
      <c r="BX6136" s="286"/>
      <c r="BY6136" s="227"/>
      <c r="BZ6136" s="227"/>
      <c r="CA6136" s="227"/>
      <c r="CB6136" s="190"/>
    </row>
    <row r="6137" spans="1:80" x14ac:dyDescent="0.2">
      <c r="A6137" s="257"/>
      <c r="B6137" s="667"/>
      <c r="C6137" s="667"/>
      <c r="D6137" s="292"/>
      <c r="E6137" s="257"/>
      <c r="F6137" s="257"/>
      <c r="G6137" s="227"/>
      <c r="H6137" s="328"/>
      <c r="I6137" s="227"/>
      <c r="J6137" s="150" t="s">
        <v>217</v>
      </c>
      <c r="K6137" s="227"/>
      <c r="L6137" s="660"/>
      <c r="M6137" s="671"/>
      <c r="N6137" s="582">
        <v>1.67</v>
      </c>
      <c r="O6137" s="581">
        <v>5.1E-5</v>
      </c>
      <c r="P6137" s="782"/>
      <c r="Q6137" s="764"/>
      <c r="R6137" s="764"/>
      <c r="S6137" s="764"/>
      <c r="T6137" s="764"/>
      <c r="U6137" s="764"/>
      <c r="V6137" s="764"/>
      <c r="W6137" s="764"/>
      <c r="X6137" s="764"/>
      <c r="Y6137" s="768"/>
      <c r="Z6137" s="281"/>
      <c r="AA6137" s="281"/>
      <c r="AB6137" s="281"/>
      <c r="AC6137" s="174"/>
      <c r="AD6137" s="282"/>
      <c r="AE6137" s="282"/>
      <c r="AF6137" s="173"/>
      <c r="AG6137" s="177"/>
      <c r="AH6137" s="349"/>
      <c r="AI6137" s="283"/>
      <c r="AJ6137" s="240"/>
      <c r="AK6137" s="240"/>
      <c r="AL6137" s="284"/>
      <c r="AM6137" s="167"/>
      <c r="AN6137" s="167"/>
      <c r="AO6137" s="167"/>
      <c r="AP6137" s="167"/>
      <c r="AQ6137" s="167"/>
      <c r="AR6137" s="551"/>
      <c r="AS6137" s="551"/>
      <c r="AT6137" s="551"/>
      <c r="AU6137" s="283"/>
      <c r="AV6137" s="283"/>
      <c r="AW6137" s="283"/>
      <c r="AX6137" s="283"/>
      <c r="AY6137" s="283"/>
      <c r="AZ6137" s="167"/>
      <c r="BA6137" s="167"/>
      <c r="BB6137" s="285"/>
      <c r="BC6137" s="154"/>
      <c r="BD6137" s="154"/>
      <c r="BE6137" s="150"/>
      <c r="BF6137" s="227"/>
      <c r="BG6137" s="227"/>
      <c r="BH6137" s="227"/>
      <c r="BI6137" s="224"/>
      <c r="BJ6137" s="227"/>
      <c r="BK6137" s="227"/>
      <c r="BL6137" s="227"/>
      <c r="BM6137" s="224"/>
      <c r="BN6137" s="224"/>
      <c r="BO6137" s="262"/>
      <c r="BP6137" s="262"/>
      <c r="BQ6137" s="262"/>
      <c r="BR6137" s="262"/>
      <c r="BS6137" s="262"/>
      <c r="BT6137" s="227"/>
      <c r="BU6137" s="227"/>
      <c r="BV6137" s="227"/>
      <c r="BW6137" s="286"/>
      <c r="BX6137" s="286"/>
      <c r="BY6137" s="227"/>
      <c r="BZ6137" s="227"/>
      <c r="CA6137" s="227"/>
      <c r="CB6137" s="190"/>
    </row>
    <row r="6138" spans="1:80" x14ac:dyDescent="0.2">
      <c r="A6138" s="257"/>
      <c r="B6138" s="667"/>
      <c r="C6138" s="667"/>
      <c r="D6138" s="292"/>
      <c r="E6138" s="257"/>
      <c r="F6138" s="257"/>
      <c r="G6138" s="227"/>
      <c r="H6138" s="328"/>
      <c r="I6138" s="227"/>
      <c r="J6138" s="150" t="s">
        <v>217</v>
      </c>
      <c r="K6138" s="227"/>
      <c r="L6138" s="660"/>
      <c r="M6138" s="671"/>
      <c r="N6138" s="582">
        <v>1.73</v>
      </c>
      <c r="O6138" s="581">
        <v>1.0230000000000001E-4</v>
      </c>
      <c r="P6138" s="782"/>
      <c r="Q6138" s="764"/>
      <c r="R6138" s="764"/>
      <c r="S6138" s="764"/>
      <c r="T6138" s="764"/>
      <c r="U6138" s="764"/>
      <c r="V6138" s="764"/>
      <c r="W6138" s="764"/>
      <c r="X6138" s="764"/>
      <c r="Y6138" s="768"/>
      <c r="Z6138" s="281"/>
      <c r="AA6138" s="281"/>
      <c r="AB6138" s="281"/>
      <c r="AC6138" s="174"/>
      <c r="AD6138" s="282"/>
      <c r="AE6138" s="282"/>
      <c r="AF6138" s="173"/>
      <c r="AG6138" s="177"/>
      <c r="AH6138" s="349"/>
      <c r="AI6138" s="283"/>
      <c r="AJ6138" s="240"/>
      <c r="AK6138" s="240"/>
      <c r="AL6138" s="284"/>
      <c r="AM6138" s="167"/>
      <c r="AN6138" s="167"/>
      <c r="AO6138" s="167"/>
      <c r="AP6138" s="167"/>
      <c r="AQ6138" s="167"/>
      <c r="AR6138" s="551"/>
      <c r="AS6138" s="551"/>
      <c r="AT6138" s="551"/>
      <c r="AU6138" s="283"/>
      <c r="AV6138" s="283"/>
      <c r="AW6138" s="283"/>
      <c r="AX6138" s="283"/>
      <c r="AY6138" s="283"/>
      <c r="AZ6138" s="167"/>
      <c r="BA6138" s="167"/>
      <c r="BB6138" s="285"/>
      <c r="BC6138" s="154"/>
      <c r="BD6138" s="154"/>
      <c r="BE6138" s="150"/>
      <c r="BF6138" s="227"/>
      <c r="BG6138" s="227"/>
      <c r="BH6138" s="227"/>
      <c r="BI6138" s="224"/>
      <c r="BJ6138" s="227"/>
      <c r="BK6138" s="227"/>
      <c r="BL6138" s="227"/>
      <c r="BM6138" s="224"/>
      <c r="BN6138" s="224"/>
      <c r="BO6138" s="262"/>
      <c r="BP6138" s="262"/>
      <c r="BQ6138" s="262"/>
      <c r="BR6138" s="262"/>
      <c r="BS6138" s="262"/>
      <c r="BT6138" s="227"/>
      <c r="BU6138" s="227"/>
      <c r="BV6138" s="227"/>
      <c r="BW6138" s="286"/>
      <c r="BX6138" s="286"/>
      <c r="BY6138" s="227"/>
      <c r="BZ6138" s="227"/>
      <c r="CA6138" s="227"/>
      <c r="CB6138" s="190"/>
    </row>
    <row r="6139" spans="1:80" x14ac:dyDescent="0.2">
      <c r="A6139" s="257"/>
      <c r="B6139" s="667"/>
      <c r="C6139" s="667"/>
      <c r="D6139" s="292"/>
      <c r="E6139" s="257"/>
      <c r="F6139" s="257"/>
      <c r="G6139" s="227"/>
      <c r="H6139" s="328"/>
      <c r="I6139" s="227"/>
      <c r="J6139" s="150" t="s">
        <v>217</v>
      </c>
      <c r="K6139" s="227"/>
      <c r="L6139" s="660"/>
      <c r="M6139" s="671"/>
      <c r="N6139" s="582">
        <v>1.77</v>
      </c>
      <c r="O6139" s="581">
        <v>3.3090000000000002E-4</v>
      </c>
      <c r="P6139" s="782"/>
      <c r="Q6139" s="764"/>
      <c r="R6139" s="764"/>
      <c r="S6139" s="764"/>
      <c r="T6139" s="764"/>
      <c r="U6139" s="764"/>
      <c r="V6139" s="764"/>
      <c r="W6139" s="764"/>
      <c r="X6139" s="764"/>
      <c r="Y6139" s="768"/>
      <c r="Z6139" s="281"/>
      <c r="AA6139" s="281"/>
      <c r="AB6139" s="281"/>
      <c r="AC6139" s="174"/>
      <c r="AD6139" s="282"/>
      <c r="AE6139" s="282"/>
      <c r="AF6139" s="173"/>
      <c r="AG6139" s="177"/>
      <c r="AH6139" s="349"/>
      <c r="AI6139" s="283"/>
      <c r="AJ6139" s="240"/>
      <c r="AK6139" s="240"/>
      <c r="AL6139" s="284"/>
      <c r="AM6139" s="167"/>
      <c r="AN6139" s="167"/>
      <c r="AO6139" s="167"/>
      <c r="AP6139" s="167"/>
      <c r="AQ6139" s="167"/>
      <c r="AR6139" s="551"/>
      <c r="AS6139" s="551"/>
      <c r="AT6139" s="551"/>
      <c r="AU6139" s="283"/>
      <c r="AV6139" s="283"/>
      <c r="AW6139" s="283"/>
      <c r="AX6139" s="283"/>
      <c r="AY6139" s="283"/>
      <c r="AZ6139" s="167"/>
      <c r="BA6139" s="167"/>
      <c r="BB6139" s="285"/>
      <c r="BC6139" s="154"/>
      <c r="BD6139" s="154"/>
      <c r="BE6139" s="150"/>
      <c r="BF6139" s="227"/>
      <c r="BG6139" s="227"/>
      <c r="BH6139" s="227"/>
      <c r="BI6139" s="224"/>
      <c r="BJ6139" s="227"/>
      <c r="BK6139" s="227"/>
      <c r="BL6139" s="227"/>
      <c r="BM6139" s="224"/>
      <c r="BN6139" s="224"/>
      <c r="BO6139" s="262"/>
      <c r="BP6139" s="262"/>
      <c r="BQ6139" s="262"/>
      <c r="BR6139" s="262"/>
      <c r="BS6139" s="262"/>
      <c r="BT6139" s="227"/>
      <c r="BU6139" s="227"/>
      <c r="BV6139" s="227"/>
      <c r="BW6139" s="286"/>
      <c r="BX6139" s="286"/>
      <c r="BY6139" s="227"/>
      <c r="BZ6139" s="227"/>
      <c r="CA6139" s="227"/>
      <c r="CB6139" s="190"/>
    </row>
    <row r="6140" spans="1:80" x14ac:dyDescent="0.2">
      <c r="A6140" s="257"/>
      <c r="B6140" s="667"/>
      <c r="C6140" s="667"/>
      <c r="D6140" s="292"/>
      <c r="E6140" s="257"/>
      <c r="F6140" s="257"/>
      <c r="G6140" s="227"/>
      <c r="H6140" s="328"/>
      <c r="I6140" s="227"/>
      <c r="J6140" s="150" t="s">
        <v>217</v>
      </c>
      <c r="K6140" s="227"/>
      <c r="L6140" s="660"/>
      <c r="M6140" s="671"/>
      <c r="N6140" s="582">
        <v>1.49</v>
      </c>
      <c r="O6140" s="581">
        <v>3.82E-5</v>
      </c>
      <c r="P6140" s="782"/>
      <c r="Q6140" s="764"/>
      <c r="R6140" s="764"/>
      <c r="S6140" s="764"/>
      <c r="T6140" s="764"/>
      <c r="U6140" s="764"/>
      <c r="V6140" s="764"/>
      <c r="W6140" s="764"/>
      <c r="X6140" s="764"/>
      <c r="Y6140" s="768"/>
      <c r="Z6140" s="281"/>
      <c r="AA6140" s="281"/>
      <c r="AB6140" s="281"/>
      <c r="AC6140" s="174"/>
      <c r="AD6140" s="282"/>
      <c r="AE6140" s="282"/>
      <c r="AF6140" s="173"/>
      <c r="AG6140" s="177"/>
      <c r="AH6140" s="349"/>
      <c r="AI6140" s="283"/>
      <c r="AJ6140" s="240"/>
      <c r="AK6140" s="240"/>
      <c r="AL6140" s="284"/>
      <c r="AM6140" s="167"/>
      <c r="AN6140" s="167"/>
      <c r="AO6140" s="167"/>
      <c r="AP6140" s="167"/>
      <c r="AQ6140" s="167"/>
      <c r="AR6140" s="551"/>
      <c r="AS6140" s="551"/>
      <c r="AT6140" s="551"/>
      <c r="AU6140" s="283"/>
      <c r="AV6140" s="283"/>
      <c r="AW6140" s="283"/>
      <c r="AX6140" s="283"/>
      <c r="AY6140" s="283"/>
      <c r="AZ6140" s="167"/>
      <c r="BA6140" s="167"/>
      <c r="BB6140" s="285"/>
      <c r="BC6140" s="154"/>
      <c r="BD6140" s="154"/>
      <c r="BE6140" s="150"/>
      <c r="BF6140" s="227"/>
      <c r="BG6140" s="227"/>
      <c r="BH6140" s="227"/>
      <c r="BI6140" s="224"/>
      <c r="BJ6140" s="227"/>
      <c r="BK6140" s="227"/>
      <c r="BL6140" s="227"/>
      <c r="BM6140" s="224"/>
      <c r="BN6140" s="224"/>
      <c r="BO6140" s="262"/>
      <c r="BP6140" s="262"/>
      <c r="BQ6140" s="262"/>
      <c r="BR6140" s="262"/>
      <c r="BS6140" s="262"/>
      <c r="BT6140" s="227"/>
      <c r="BU6140" s="227"/>
      <c r="BV6140" s="227"/>
      <c r="BW6140" s="286"/>
      <c r="BX6140" s="286"/>
      <c r="BY6140" s="227"/>
      <c r="BZ6140" s="227"/>
      <c r="CA6140" s="227"/>
      <c r="CB6140" s="190"/>
    </row>
    <row r="6141" spans="1:80" x14ac:dyDescent="0.2">
      <c r="A6141" s="257"/>
      <c r="B6141" s="667"/>
      <c r="C6141" s="667"/>
      <c r="D6141" s="292"/>
      <c r="E6141" s="257"/>
      <c r="F6141" s="257"/>
      <c r="G6141" s="227"/>
      <c r="H6141" s="328"/>
      <c r="I6141" s="227"/>
      <c r="J6141" s="150" t="s">
        <v>217</v>
      </c>
      <c r="K6141" s="227"/>
      <c r="L6141" s="660"/>
      <c r="M6141" s="671"/>
      <c r="N6141" s="582">
        <v>1.56</v>
      </c>
      <c r="O6141" s="581">
        <v>1.081E-4</v>
      </c>
      <c r="P6141" s="782"/>
      <c r="Q6141" s="764"/>
      <c r="R6141" s="764"/>
      <c r="S6141" s="764"/>
      <c r="T6141" s="764"/>
      <c r="U6141" s="764"/>
      <c r="V6141" s="764"/>
      <c r="W6141" s="764"/>
      <c r="X6141" s="764"/>
      <c r="Y6141" s="768"/>
      <c r="Z6141" s="281"/>
      <c r="AA6141" s="281"/>
      <c r="AB6141" s="281"/>
      <c r="AC6141" s="174"/>
      <c r="AD6141" s="282"/>
      <c r="AE6141" s="282"/>
      <c r="AF6141" s="173"/>
      <c r="AG6141" s="177"/>
      <c r="AH6141" s="349"/>
      <c r="AI6141" s="283"/>
      <c r="AJ6141" s="240"/>
      <c r="AK6141" s="240"/>
      <c r="AL6141" s="284"/>
      <c r="AM6141" s="167"/>
      <c r="AN6141" s="167"/>
      <c r="AO6141" s="167"/>
      <c r="AP6141" s="167"/>
      <c r="AQ6141" s="167"/>
      <c r="AR6141" s="551"/>
      <c r="AS6141" s="551"/>
      <c r="AT6141" s="551"/>
      <c r="AU6141" s="283"/>
      <c r="AV6141" s="283"/>
      <c r="AW6141" s="283"/>
      <c r="AX6141" s="283"/>
      <c r="AY6141" s="283"/>
      <c r="AZ6141" s="167"/>
      <c r="BA6141" s="167"/>
      <c r="BB6141" s="285"/>
      <c r="BC6141" s="154"/>
      <c r="BD6141" s="154"/>
      <c r="BE6141" s="150"/>
      <c r="BF6141" s="227"/>
      <c r="BG6141" s="227"/>
      <c r="BH6141" s="227"/>
      <c r="BI6141" s="224"/>
      <c r="BJ6141" s="227"/>
      <c r="BK6141" s="227"/>
      <c r="BL6141" s="227"/>
      <c r="BM6141" s="224"/>
      <c r="BN6141" s="224"/>
      <c r="BO6141" s="262"/>
      <c r="BP6141" s="262"/>
      <c r="BQ6141" s="262"/>
      <c r="BR6141" s="262"/>
      <c r="BS6141" s="262"/>
      <c r="BT6141" s="227"/>
      <c r="BU6141" s="227"/>
      <c r="BV6141" s="227"/>
      <c r="BW6141" s="286"/>
      <c r="BX6141" s="286"/>
      <c r="BY6141" s="227"/>
      <c r="BZ6141" s="227"/>
      <c r="CA6141" s="227"/>
      <c r="CB6141" s="190"/>
    </row>
    <row r="6142" spans="1:80" x14ac:dyDescent="0.2">
      <c r="A6142" s="257"/>
      <c r="B6142" s="667"/>
      <c r="C6142" s="667"/>
      <c r="D6142" s="292"/>
      <c r="E6142" s="257"/>
      <c r="F6142" s="257"/>
      <c r="G6142" s="227"/>
      <c r="H6142" s="328"/>
      <c r="I6142" s="227"/>
      <c r="J6142" s="150" t="s">
        <v>217</v>
      </c>
      <c r="K6142" s="227"/>
      <c r="L6142" s="660"/>
      <c r="M6142" s="671"/>
      <c r="N6142" s="582">
        <v>1.57</v>
      </c>
      <c r="O6142" s="581">
        <v>1.361E-4</v>
      </c>
      <c r="P6142" s="782"/>
      <c r="Q6142" s="764"/>
      <c r="R6142" s="764"/>
      <c r="S6142" s="764"/>
      <c r="T6142" s="764"/>
      <c r="U6142" s="764"/>
      <c r="V6142" s="764"/>
      <c r="W6142" s="764"/>
      <c r="X6142" s="764"/>
      <c r="Y6142" s="768"/>
      <c r="Z6142" s="281"/>
      <c r="AA6142" s="281"/>
      <c r="AB6142" s="281"/>
      <c r="AC6142" s="174"/>
      <c r="AD6142" s="282"/>
      <c r="AE6142" s="282"/>
      <c r="AF6142" s="173"/>
      <c r="AG6142" s="177"/>
      <c r="AH6142" s="349"/>
      <c r="AI6142" s="283"/>
      <c r="AJ6142" s="240"/>
      <c r="AK6142" s="240"/>
      <c r="AL6142" s="284"/>
      <c r="AM6142" s="167"/>
      <c r="AN6142" s="167"/>
      <c r="AO6142" s="167"/>
      <c r="AP6142" s="167"/>
      <c r="AQ6142" s="167"/>
      <c r="AR6142" s="551"/>
      <c r="AS6142" s="551"/>
      <c r="AT6142" s="551"/>
      <c r="AU6142" s="283"/>
      <c r="AV6142" s="283"/>
      <c r="AW6142" s="283"/>
      <c r="AX6142" s="283"/>
      <c r="AY6142" s="283"/>
      <c r="AZ6142" s="167"/>
      <c r="BA6142" s="167"/>
      <c r="BB6142" s="285"/>
      <c r="BC6142" s="154"/>
      <c r="BD6142" s="154"/>
      <c r="BE6142" s="150"/>
      <c r="BF6142" s="227"/>
      <c r="BG6142" s="227"/>
      <c r="BH6142" s="227"/>
      <c r="BI6142" s="224"/>
      <c r="BJ6142" s="227"/>
      <c r="BK6142" s="227"/>
      <c r="BL6142" s="227"/>
      <c r="BM6142" s="224"/>
      <c r="BN6142" s="224"/>
      <c r="BO6142" s="262"/>
      <c r="BP6142" s="262"/>
      <c r="BQ6142" s="262"/>
      <c r="BR6142" s="262"/>
      <c r="BS6142" s="262"/>
      <c r="BT6142" s="227"/>
      <c r="BU6142" s="227"/>
      <c r="BV6142" s="227"/>
      <c r="BW6142" s="286"/>
      <c r="BX6142" s="286"/>
      <c r="BY6142" s="227"/>
      <c r="BZ6142" s="227"/>
      <c r="CA6142" s="227"/>
      <c r="CB6142" s="190"/>
    </row>
    <row r="6143" spans="1:80" x14ac:dyDescent="0.2">
      <c r="A6143" s="257"/>
      <c r="B6143" s="667"/>
      <c r="C6143" s="667"/>
      <c r="D6143" s="292"/>
      <c r="E6143" s="257"/>
      <c r="F6143" s="257"/>
      <c r="G6143" s="227"/>
      <c r="H6143" s="328"/>
      <c r="I6143" s="227"/>
      <c r="J6143" s="150" t="s">
        <v>217</v>
      </c>
      <c r="K6143" s="227"/>
      <c r="L6143" s="660"/>
      <c r="M6143" s="671"/>
      <c r="N6143" s="582">
        <v>1.41</v>
      </c>
      <c r="O6143" s="581">
        <v>1.6400000000000002E-5</v>
      </c>
      <c r="P6143" s="782"/>
      <c r="Q6143" s="764"/>
      <c r="R6143" s="764"/>
      <c r="S6143" s="764"/>
      <c r="T6143" s="764"/>
      <c r="U6143" s="764"/>
      <c r="V6143" s="764"/>
      <c r="W6143" s="764"/>
      <c r="X6143" s="764"/>
      <c r="Y6143" s="768"/>
      <c r="Z6143" s="281"/>
      <c r="AA6143" s="281"/>
      <c r="AB6143" s="281"/>
      <c r="AC6143" s="174"/>
      <c r="AD6143" s="282"/>
      <c r="AE6143" s="282"/>
      <c r="AF6143" s="173"/>
      <c r="AG6143" s="177"/>
      <c r="AH6143" s="349"/>
      <c r="AI6143" s="283"/>
      <c r="AJ6143" s="240"/>
      <c r="AK6143" s="240"/>
      <c r="AL6143" s="284"/>
      <c r="AM6143" s="167"/>
      <c r="AN6143" s="167"/>
      <c r="AO6143" s="167"/>
      <c r="AP6143" s="167"/>
      <c r="AQ6143" s="167"/>
      <c r="AR6143" s="551"/>
      <c r="AS6143" s="551"/>
      <c r="AT6143" s="551"/>
      <c r="AU6143" s="283"/>
      <c r="AV6143" s="283"/>
      <c r="AW6143" s="283"/>
      <c r="AX6143" s="283"/>
      <c r="AY6143" s="283"/>
      <c r="AZ6143" s="167"/>
      <c r="BA6143" s="167"/>
      <c r="BB6143" s="285"/>
      <c r="BC6143" s="154"/>
      <c r="BD6143" s="154"/>
      <c r="BE6143" s="150"/>
      <c r="BF6143" s="227"/>
      <c r="BG6143" s="227"/>
      <c r="BH6143" s="227"/>
      <c r="BI6143" s="224"/>
      <c r="BJ6143" s="227"/>
      <c r="BK6143" s="227"/>
      <c r="BL6143" s="227"/>
      <c r="BM6143" s="224"/>
      <c r="BN6143" s="224"/>
      <c r="BO6143" s="262"/>
      <c r="BP6143" s="262"/>
      <c r="BQ6143" s="262"/>
      <c r="BR6143" s="262"/>
      <c r="BS6143" s="262"/>
      <c r="BT6143" s="227"/>
      <c r="BU6143" s="227"/>
      <c r="BV6143" s="227"/>
      <c r="BW6143" s="286"/>
      <c r="BX6143" s="286"/>
      <c r="BY6143" s="227"/>
      <c r="BZ6143" s="227"/>
      <c r="CA6143" s="227"/>
      <c r="CB6143" s="190"/>
    </row>
    <row r="6144" spans="1:80" x14ac:dyDescent="0.2">
      <c r="A6144" s="257"/>
      <c r="B6144" s="667"/>
      <c r="C6144" s="667"/>
      <c r="D6144" s="292"/>
      <c r="E6144" s="257"/>
      <c r="F6144" s="257"/>
      <c r="G6144" s="227"/>
      <c r="H6144" s="328"/>
      <c r="I6144" s="227"/>
      <c r="J6144" s="150" t="s">
        <v>217</v>
      </c>
      <c r="K6144" s="227"/>
      <c r="L6144" s="660"/>
      <c r="M6144" s="671"/>
      <c r="N6144" s="582">
        <v>1.45</v>
      </c>
      <c r="O6144" s="581">
        <v>4.2000000000000004E-5</v>
      </c>
      <c r="P6144" s="782"/>
      <c r="Q6144" s="764"/>
      <c r="R6144" s="764"/>
      <c r="S6144" s="764"/>
      <c r="T6144" s="764"/>
      <c r="U6144" s="764"/>
      <c r="V6144" s="764"/>
      <c r="W6144" s="764"/>
      <c r="X6144" s="764"/>
      <c r="Y6144" s="768"/>
      <c r="Z6144" s="281"/>
      <c r="AA6144" s="281"/>
      <c r="AB6144" s="281"/>
      <c r="AC6144" s="174"/>
      <c r="AD6144" s="282"/>
      <c r="AE6144" s="282"/>
      <c r="AF6144" s="173"/>
      <c r="AG6144" s="177"/>
      <c r="AH6144" s="349"/>
      <c r="AI6144" s="283"/>
      <c r="AJ6144" s="240"/>
      <c r="AK6144" s="240"/>
      <c r="AL6144" s="284"/>
      <c r="AM6144" s="167"/>
      <c r="AN6144" s="167"/>
      <c r="AO6144" s="167"/>
      <c r="AP6144" s="167"/>
      <c r="AQ6144" s="167"/>
      <c r="AR6144" s="551"/>
      <c r="AS6144" s="551"/>
      <c r="AT6144" s="551"/>
      <c r="AU6144" s="283"/>
      <c r="AV6144" s="283"/>
      <c r="AW6144" s="283"/>
      <c r="AX6144" s="283"/>
      <c r="AY6144" s="283"/>
      <c r="AZ6144" s="167"/>
      <c r="BA6144" s="167"/>
      <c r="BB6144" s="285"/>
      <c r="BC6144" s="154"/>
      <c r="BD6144" s="154"/>
      <c r="BE6144" s="150"/>
      <c r="BF6144" s="227"/>
      <c r="BG6144" s="227"/>
      <c r="BH6144" s="227"/>
      <c r="BI6144" s="224"/>
      <c r="BJ6144" s="227"/>
      <c r="BK6144" s="227"/>
      <c r="BL6144" s="227"/>
      <c r="BM6144" s="224"/>
      <c r="BN6144" s="224"/>
      <c r="BO6144" s="262"/>
      <c r="BP6144" s="262"/>
      <c r="BQ6144" s="262"/>
      <c r="BR6144" s="262"/>
      <c r="BS6144" s="262"/>
      <c r="BT6144" s="227"/>
      <c r="BU6144" s="227"/>
      <c r="BV6144" s="227"/>
      <c r="BW6144" s="286"/>
      <c r="BX6144" s="286"/>
      <c r="BY6144" s="227"/>
      <c r="BZ6144" s="227"/>
      <c r="CA6144" s="227"/>
      <c r="CB6144" s="190"/>
    </row>
    <row r="6145" spans="1:80" x14ac:dyDescent="0.2">
      <c r="A6145" s="257"/>
      <c r="B6145" s="667"/>
      <c r="C6145" s="667"/>
      <c r="D6145" s="292"/>
      <c r="E6145" s="257"/>
      <c r="F6145" s="257"/>
      <c r="G6145" s="227"/>
      <c r="H6145" s="328"/>
      <c r="I6145" s="227"/>
      <c r="J6145" s="150" t="s">
        <v>217</v>
      </c>
      <c r="K6145" s="227"/>
      <c r="L6145" s="660"/>
      <c r="M6145" s="671"/>
      <c r="N6145" s="582">
        <v>1.55</v>
      </c>
      <c r="O6145" s="581">
        <v>3.0800000000000003E-5</v>
      </c>
      <c r="P6145" s="782"/>
      <c r="Q6145" s="764"/>
      <c r="R6145" s="764"/>
      <c r="S6145" s="764"/>
      <c r="T6145" s="764"/>
      <c r="U6145" s="764"/>
      <c r="V6145" s="764"/>
      <c r="W6145" s="764"/>
      <c r="X6145" s="764"/>
      <c r="Y6145" s="768"/>
      <c r="Z6145" s="281"/>
      <c r="AA6145" s="281"/>
      <c r="AB6145" s="281"/>
      <c r="AC6145" s="174"/>
      <c r="AD6145" s="282"/>
      <c r="AE6145" s="282"/>
      <c r="AF6145" s="173"/>
      <c r="AG6145" s="177"/>
      <c r="AH6145" s="349"/>
      <c r="AI6145" s="283"/>
      <c r="AJ6145" s="240"/>
      <c r="AK6145" s="240"/>
      <c r="AL6145" s="284"/>
      <c r="AM6145" s="167"/>
      <c r="AN6145" s="167"/>
      <c r="AO6145" s="167"/>
      <c r="AP6145" s="167"/>
      <c r="AQ6145" s="167"/>
      <c r="AR6145" s="551"/>
      <c r="AS6145" s="551"/>
      <c r="AT6145" s="551"/>
      <c r="AU6145" s="283"/>
      <c r="AV6145" s="283"/>
      <c r="AW6145" s="283"/>
      <c r="AX6145" s="283"/>
      <c r="AY6145" s="283"/>
      <c r="AZ6145" s="167"/>
      <c r="BA6145" s="167"/>
      <c r="BB6145" s="285"/>
      <c r="BC6145" s="154"/>
      <c r="BD6145" s="154"/>
      <c r="BE6145" s="150"/>
      <c r="BF6145" s="227"/>
      <c r="BG6145" s="227"/>
      <c r="BH6145" s="227"/>
      <c r="BI6145" s="224"/>
      <c r="BJ6145" s="227"/>
      <c r="BK6145" s="227"/>
      <c r="BL6145" s="227"/>
      <c r="BM6145" s="224"/>
      <c r="BN6145" s="224"/>
      <c r="BO6145" s="262"/>
      <c r="BP6145" s="262"/>
      <c r="BQ6145" s="262"/>
      <c r="BR6145" s="262"/>
      <c r="BS6145" s="262"/>
      <c r="BT6145" s="227"/>
      <c r="BU6145" s="227"/>
      <c r="BV6145" s="227"/>
      <c r="BW6145" s="286"/>
      <c r="BX6145" s="286"/>
      <c r="BY6145" s="227"/>
      <c r="BZ6145" s="227"/>
      <c r="CA6145" s="227"/>
      <c r="CB6145" s="190"/>
    </row>
    <row r="6146" spans="1:80" x14ac:dyDescent="0.2">
      <c r="A6146" s="257"/>
      <c r="B6146" s="667"/>
      <c r="C6146" s="667"/>
      <c r="D6146" s="292"/>
      <c r="E6146" s="257"/>
      <c r="F6146" s="257"/>
      <c r="G6146" s="227"/>
      <c r="H6146" s="328"/>
      <c r="I6146" s="227"/>
      <c r="J6146" s="150" t="s">
        <v>217</v>
      </c>
      <c r="K6146" s="227"/>
      <c r="L6146" s="660"/>
      <c r="M6146" s="671"/>
      <c r="N6146" s="582">
        <v>1.7</v>
      </c>
      <c r="O6146" s="581">
        <v>3.7400000000000001E-5</v>
      </c>
      <c r="P6146" s="782"/>
      <c r="Q6146" s="764"/>
      <c r="R6146" s="764"/>
      <c r="S6146" s="764"/>
      <c r="T6146" s="764"/>
      <c r="U6146" s="764"/>
      <c r="V6146" s="764"/>
      <c r="W6146" s="764"/>
      <c r="X6146" s="764"/>
      <c r="Y6146" s="768"/>
      <c r="Z6146" s="281"/>
      <c r="AA6146" s="281"/>
      <c r="AB6146" s="281"/>
      <c r="AC6146" s="174"/>
      <c r="AD6146" s="282"/>
      <c r="AE6146" s="282"/>
      <c r="AF6146" s="173"/>
      <c r="AG6146" s="177"/>
      <c r="AH6146" s="349"/>
      <c r="AI6146" s="283"/>
      <c r="AJ6146" s="240"/>
      <c r="AK6146" s="240"/>
      <c r="AL6146" s="284"/>
      <c r="AM6146" s="167"/>
      <c r="AN6146" s="167"/>
      <c r="AO6146" s="167"/>
      <c r="AP6146" s="167"/>
      <c r="AQ6146" s="167"/>
      <c r="AR6146" s="551"/>
      <c r="AS6146" s="551"/>
      <c r="AT6146" s="551"/>
      <c r="AU6146" s="283"/>
      <c r="AV6146" s="283"/>
      <c r="AW6146" s="283"/>
      <c r="AX6146" s="283"/>
      <c r="AY6146" s="283"/>
      <c r="AZ6146" s="167"/>
      <c r="BA6146" s="167"/>
      <c r="BB6146" s="285"/>
      <c r="BC6146" s="154"/>
      <c r="BD6146" s="154"/>
      <c r="BE6146" s="150"/>
      <c r="BF6146" s="227"/>
      <c r="BG6146" s="227"/>
      <c r="BH6146" s="227"/>
      <c r="BI6146" s="224"/>
      <c r="BJ6146" s="227"/>
      <c r="BK6146" s="227"/>
      <c r="BL6146" s="227"/>
      <c r="BM6146" s="224"/>
      <c r="BN6146" s="224"/>
      <c r="BO6146" s="262"/>
      <c r="BP6146" s="262"/>
      <c r="BQ6146" s="262"/>
      <c r="BR6146" s="262"/>
      <c r="BS6146" s="262"/>
      <c r="BT6146" s="227"/>
      <c r="BU6146" s="227"/>
      <c r="BV6146" s="227"/>
      <c r="BW6146" s="286"/>
      <c r="BX6146" s="286"/>
      <c r="BY6146" s="227"/>
      <c r="BZ6146" s="227"/>
      <c r="CA6146" s="227"/>
      <c r="CB6146" s="190"/>
    </row>
    <row r="6147" spans="1:80" s="120" customFormat="1" ht="15" x14ac:dyDescent="0.25">
      <c r="A6147" s="9"/>
      <c r="B6147" s="639"/>
      <c r="C6147" s="639"/>
      <c r="D6147" s="4"/>
      <c r="E6147" s="14"/>
      <c r="F6147" s="18"/>
      <c r="G6147" s="121"/>
      <c r="H6147" s="639"/>
      <c r="I6147" s="327"/>
      <c r="J6147" s="640" t="s">
        <v>217</v>
      </c>
      <c r="K6147" s="641"/>
      <c r="L6147" s="641"/>
      <c r="M6147" s="640"/>
      <c r="N6147" s="579">
        <v>1.82</v>
      </c>
      <c r="O6147" s="579">
        <v>1.0240000000000001E-4</v>
      </c>
      <c r="P6147" s="640"/>
      <c r="Q6147" s="640"/>
      <c r="R6147" s="640"/>
      <c r="S6147" s="640"/>
      <c r="T6147" s="640"/>
      <c r="U6147" s="640"/>
      <c r="V6147" s="640"/>
      <c r="W6147" s="640"/>
      <c r="X6147" s="640"/>
      <c r="Y6147" s="640"/>
      <c r="Z6147" s="579"/>
      <c r="AA6147" s="81"/>
      <c r="AB6147" s="640"/>
      <c r="AC6147" s="3"/>
      <c r="AD6147" s="579"/>
      <c r="AE6147" s="579"/>
      <c r="AF6147" s="640"/>
      <c r="AG6147" s="640"/>
      <c r="AH6147" s="345"/>
      <c r="AI6147" s="639"/>
      <c r="AJ6147" s="17"/>
      <c r="AK6147" s="17"/>
      <c r="AL6147" s="17"/>
      <c r="AM6147" s="17"/>
      <c r="AN6147" s="17"/>
      <c r="AO6147" s="17"/>
      <c r="AP6147" s="17"/>
      <c r="AQ6147" s="17"/>
      <c r="AR6147" s="17"/>
      <c r="AS6147" s="17"/>
      <c r="AT6147" s="17"/>
      <c r="AU6147" s="18"/>
      <c r="AV6147" s="17"/>
      <c r="AW6147" s="17"/>
      <c r="AX6147" s="17"/>
      <c r="AY6147" s="17"/>
      <c r="AZ6147" s="17"/>
      <c r="BA6147" s="17"/>
      <c r="BB6147" s="17"/>
      <c r="BC6147" s="17"/>
      <c r="BD6147" s="17"/>
      <c r="BE6147" s="17"/>
      <c r="BF6147" s="17"/>
      <c r="BG6147" s="17"/>
      <c r="BH6147" s="17"/>
      <c r="BI6147" s="4"/>
      <c r="BJ6147" s="639"/>
      <c r="BK6147" s="639"/>
      <c r="BL6147" s="12"/>
      <c r="BM6147" s="12"/>
      <c r="BN6147" s="12"/>
      <c r="BO6147" s="12"/>
      <c r="BP6147" s="12"/>
      <c r="BQ6147" s="12"/>
      <c r="BR6147" s="12"/>
      <c r="BS6147" s="12"/>
      <c r="BT6147" s="12"/>
      <c r="BU6147" s="639"/>
      <c r="BV6147" s="639"/>
      <c r="BW6147" s="639"/>
      <c r="BX6147" s="639"/>
      <c r="BY6147" s="639"/>
      <c r="BZ6147" s="639"/>
      <c r="CA6147" s="9"/>
      <c r="CB6147" s="9"/>
    </row>
    <row r="6148" spans="1:80" x14ac:dyDescent="0.2">
      <c r="A6148" s="257"/>
      <c r="B6148" s="667"/>
      <c r="C6148" s="667"/>
      <c r="D6148" s="292"/>
      <c r="E6148" s="257"/>
      <c r="F6148" s="257"/>
      <c r="G6148" s="227"/>
      <c r="H6148" s="328"/>
      <c r="I6148" s="227"/>
      <c r="J6148" s="150" t="s">
        <v>217</v>
      </c>
      <c r="K6148" s="227"/>
      <c r="L6148" s="660"/>
      <c r="M6148" s="671"/>
      <c r="N6148" s="582">
        <v>1.97</v>
      </c>
      <c r="O6148" s="581">
        <v>5.8480000000000001E-4</v>
      </c>
      <c r="P6148" s="782"/>
      <c r="Q6148" s="764"/>
      <c r="R6148" s="764"/>
      <c r="S6148" s="764"/>
      <c r="T6148" s="764"/>
      <c r="U6148" s="764"/>
      <c r="V6148" s="764"/>
      <c r="W6148" s="764"/>
      <c r="X6148" s="764"/>
      <c r="Y6148" s="768"/>
      <c r="Z6148" s="281"/>
      <c r="AA6148" s="281"/>
      <c r="AB6148" s="281"/>
      <c r="AC6148" s="174"/>
      <c r="AD6148" s="282"/>
      <c r="AE6148" s="282"/>
      <c r="AF6148" s="173"/>
      <c r="AG6148" s="177"/>
      <c r="AH6148" s="349"/>
      <c r="AI6148" s="283"/>
      <c r="AJ6148" s="240"/>
      <c r="AK6148" s="240"/>
      <c r="AL6148" s="284"/>
      <c r="AM6148" s="167"/>
      <c r="AN6148" s="167"/>
      <c r="AO6148" s="167"/>
      <c r="AP6148" s="167"/>
      <c r="AQ6148" s="167"/>
      <c r="AR6148" s="551"/>
      <c r="AS6148" s="551"/>
      <c r="AT6148" s="551"/>
      <c r="AU6148" s="283"/>
      <c r="AV6148" s="283"/>
      <c r="AW6148" s="283"/>
      <c r="AX6148" s="283"/>
      <c r="AY6148" s="283"/>
      <c r="AZ6148" s="167"/>
      <c r="BA6148" s="167"/>
      <c r="BB6148" s="285"/>
      <c r="BC6148" s="154"/>
      <c r="BD6148" s="154"/>
      <c r="BE6148" s="150"/>
      <c r="BF6148" s="227"/>
      <c r="BG6148" s="227"/>
      <c r="BH6148" s="227"/>
      <c r="BI6148" s="224"/>
      <c r="BJ6148" s="227"/>
      <c r="BK6148" s="227"/>
      <c r="BL6148" s="227"/>
      <c r="BM6148" s="224"/>
      <c r="BN6148" s="224"/>
      <c r="BO6148" s="262"/>
      <c r="BP6148" s="262"/>
      <c r="BQ6148" s="262"/>
      <c r="BR6148" s="262"/>
      <c r="BS6148" s="262"/>
      <c r="BT6148" s="227"/>
      <c r="BU6148" s="227"/>
      <c r="BV6148" s="227"/>
      <c r="BW6148" s="286"/>
      <c r="BX6148" s="286"/>
      <c r="BY6148" s="227"/>
      <c r="BZ6148" s="227"/>
      <c r="CA6148" s="227"/>
      <c r="CB6148" s="190"/>
    </row>
    <row r="6149" spans="1:80" x14ac:dyDescent="0.2">
      <c r="A6149" s="257"/>
      <c r="B6149" s="667"/>
      <c r="C6149" s="667"/>
      <c r="D6149" s="292"/>
      <c r="E6149" s="257"/>
      <c r="F6149" s="257"/>
      <c r="G6149" s="227"/>
      <c r="H6149" s="328"/>
      <c r="I6149" s="227"/>
      <c r="J6149" s="150" t="s">
        <v>217</v>
      </c>
      <c r="K6149" s="227"/>
      <c r="L6149" s="660"/>
      <c r="M6149" s="671"/>
      <c r="N6149" s="582">
        <v>1.74</v>
      </c>
      <c r="O6149" s="581">
        <v>4.9500000000000004E-5</v>
      </c>
      <c r="P6149" s="782"/>
      <c r="Q6149" s="764"/>
      <c r="R6149" s="764"/>
      <c r="S6149" s="764"/>
      <c r="T6149" s="764"/>
      <c r="U6149" s="764"/>
      <c r="V6149" s="764"/>
      <c r="W6149" s="764"/>
      <c r="X6149" s="764"/>
      <c r="Y6149" s="768"/>
      <c r="Z6149" s="281"/>
      <c r="AA6149" s="281"/>
      <c r="AB6149" s="281"/>
      <c r="AC6149" s="174"/>
      <c r="AD6149" s="282"/>
      <c r="AE6149" s="282"/>
      <c r="AF6149" s="173"/>
      <c r="AG6149" s="177"/>
      <c r="AH6149" s="349"/>
      <c r="AI6149" s="283"/>
      <c r="AJ6149" s="240"/>
      <c r="AK6149" s="240"/>
      <c r="AL6149" s="284"/>
      <c r="AM6149" s="167"/>
      <c r="AN6149" s="167"/>
      <c r="AO6149" s="167"/>
      <c r="AP6149" s="167"/>
      <c r="AQ6149" s="167"/>
      <c r="AR6149" s="551"/>
      <c r="AS6149" s="551"/>
      <c r="AT6149" s="551"/>
      <c r="AU6149" s="283"/>
      <c r="AV6149" s="283"/>
      <c r="AW6149" s="283"/>
      <c r="AX6149" s="283"/>
      <c r="AY6149" s="283"/>
      <c r="AZ6149" s="167"/>
      <c r="BA6149" s="167"/>
      <c r="BB6149" s="285"/>
      <c r="BC6149" s="154"/>
      <c r="BD6149" s="154"/>
      <c r="BE6149" s="150"/>
      <c r="BF6149" s="227"/>
      <c r="BG6149" s="227"/>
      <c r="BH6149" s="227"/>
      <c r="BI6149" s="224"/>
      <c r="BJ6149" s="227"/>
      <c r="BK6149" s="227"/>
      <c r="BL6149" s="227"/>
      <c r="BM6149" s="224"/>
      <c r="BN6149" s="224"/>
      <c r="BO6149" s="262"/>
      <c r="BP6149" s="262"/>
      <c r="BQ6149" s="262"/>
      <c r="BR6149" s="262"/>
      <c r="BS6149" s="262"/>
      <c r="BT6149" s="227"/>
      <c r="BU6149" s="227"/>
      <c r="BV6149" s="227"/>
      <c r="BW6149" s="286"/>
      <c r="BX6149" s="286"/>
      <c r="BY6149" s="227"/>
      <c r="BZ6149" s="227"/>
      <c r="CA6149" s="227"/>
      <c r="CB6149" s="190"/>
    </row>
    <row r="6150" spans="1:80" x14ac:dyDescent="0.2">
      <c r="A6150" s="257"/>
      <c r="B6150" s="667"/>
      <c r="C6150" s="667"/>
      <c r="D6150" s="292"/>
      <c r="E6150" s="257"/>
      <c r="F6150" s="257"/>
      <c r="G6150" s="227"/>
      <c r="H6150" s="328"/>
      <c r="I6150" s="227"/>
      <c r="J6150" s="150" t="s">
        <v>217</v>
      </c>
      <c r="K6150" s="227"/>
      <c r="L6150" s="660"/>
      <c r="M6150" s="671"/>
      <c r="N6150" s="582">
        <v>1.19</v>
      </c>
      <c r="O6150" s="581">
        <v>4.9999999999999998E-7</v>
      </c>
      <c r="P6150" s="782"/>
      <c r="Q6150" s="764"/>
      <c r="R6150" s="764"/>
      <c r="S6150" s="764"/>
      <c r="T6150" s="764"/>
      <c r="U6150" s="764"/>
      <c r="V6150" s="764"/>
      <c r="W6150" s="764"/>
      <c r="X6150" s="764"/>
      <c r="Y6150" s="768"/>
      <c r="Z6150" s="281"/>
      <c r="AA6150" s="281"/>
      <c r="AB6150" s="281"/>
      <c r="AC6150" s="174"/>
      <c r="AD6150" s="282"/>
      <c r="AE6150" s="282"/>
      <c r="AF6150" s="173"/>
      <c r="AG6150" s="177"/>
      <c r="AH6150" s="349"/>
      <c r="AI6150" s="283"/>
      <c r="AJ6150" s="240"/>
      <c r="AK6150" s="240"/>
      <c r="AL6150" s="284"/>
      <c r="AM6150" s="167"/>
      <c r="AN6150" s="167"/>
      <c r="AO6150" s="167"/>
      <c r="AP6150" s="167"/>
      <c r="AQ6150" s="167"/>
      <c r="AR6150" s="551"/>
      <c r="AS6150" s="551"/>
      <c r="AT6150" s="551"/>
      <c r="AU6150" s="283"/>
      <c r="AV6150" s="283"/>
      <c r="AW6150" s="283"/>
      <c r="AX6150" s="283"/>
      <c r="AY6150" s="283"/>
      <c r="AZ6150" s="167"/>
      <c r="BA6150" s="167"/>
      <c r="BB6150" s="285"/>
      <c r="BC6150" s="154"/>
      <c r="BD6150" s="154"/>
      <c r="BE6150" s="150"/>
      <c r="BF6150" s="227"/>
      <c r="BG6150" s="227"/>
      <c r="BH6150" s="227"/>
      <c r="BI6150" s="224"/>
      <c r="BJ6150" s="227"/>
      <c r="BK6150" s="227"/>
      <c r="BL6150" s="227"/>
      <c r="BM6150" s="224"/>
      <c r="BN6150" s="224"/>
      <c r="BO6150" s="262"/>
      <c r="BP6150" s="262"/>
      <c r="BQ6150" s="262"/>
      <c r="BR6150" s="262"/>
      <c r="BS6150" s="262"/>
      <c r="BT6150" s="227"/>
      <c r="BU6150" s="227"/>
      <c r="BV6150" s="227"/>
      <c r="BW6150" s="286"/>
      <c r="BX6150" s="286"/>
      <c r="BY6150" s="227"/>
      <c r="BZ6150" s="227"/>
      <c r="CA6150" s="227"/>
      <c r="CB6150" s="190"/>
    </row>
    <row r="6151" spans="1:80" x14ac:dyDescent="0.2">
      <c r="A6151" s="257"/>
      <c r="B6151" s="667"/>
      <c r="C6151" s="667"/>
      <c r="D6151" s="292"/>
      <c r="E6151" s="257"/>
      <c r="F6151" s="257"/>
      <c r="G6151" s="227"/>
      <c r="H6151" s="328"/>
      <c r="I6151" s="227"/>
      <c r="J6151" s="150" t="s">
        <v>217</v>
      </c>
      <c r="K6151" s="227"/>
      <c r="L6151" s="660"/>
      <c r="M6151" s="671"/>
      <c r="N6151" s="582">
        <v>1.1499999999999999</v>
      </c>
      <c r="O6151" s="581">
        <v>4.9999999999999998E-7</v>
      </c>
      <c r="P6151" s="782"/>
      <c r="Q6151" s="764"/>
      <c r="R6151" s="764"/>
      <c r="S6151" s="764"/>
      <c r="T6151" s="764"/>
      <c r="U6151" s="764"/>
      <c r="V6151" s="764"/>
      <c r="W6151" s="764"/>
      <c r="X6151" s="764"/>
      <c r="Y6151" s="768"/>
      <c r="Z6151" s="281"/>
      <c r="AA6151" s="281"/>
      <c r="AB6151" s="281"/>
      <c r="AC6151" s="174"/>
      <c r="AD6151" s="282"/>
      <c r="AE6151" s="282"/>
      <c r="AF6151" s="173"/>
      <c r="AG6151" s="177"/>
      <c r="AH6151" s="349"/>
      <c r="AI6151" s="283"/>
      <c r="AJ6151" s="240"/>
      <c r="AK6151" s="240"/>
      <c r="AL6151" s="284"/>
      <c r="AM6151" s="167"/>
      <c r="AN6151" s="167"/>
      <c r="AO6151" s="167"/>
      <c r="AP6151" s="167"/>
      <c r="AQ6151" s="167"/>
      <c r="AR6151" s="551"/>
      <c r="AS6151" s="551"/>
      <c r="AT6151" s="551"/>
      <c r="AU6151" s="283"/>
      <c r="AV6151" s="283"/>
      <c r="AW6151" s="283"/>
      <c r="AX6151" s="283"/>
      <c r="AY6151" s="283"/>
      <c r="AZ6151" s="167"/>
      <c r="BA6151" s="167"/>
      <c r="BB6151" s="285"/>
      <c r="BC6151" s="154"/>
      <c r="BD6151" s="154"/>
      <c r="BE6151" s="150"/>
      <c r="BF6151" s="227"/>
      <c r="BG6151" s="227"/>
      <c r="BH6151" s="227"/>
      <c r="BI6151" s="224"/>
      <c r="BJ6151" s="227"/>
      <c r="BK6151" s="227"/>
      <c r="BL6151" s="227"/>
      <c r="BM6151" s="224"/>
      <c r="BN6151" s="224"/>
      <c r="BO6151" s="262"/>
      <c r="BP6151" s="262"/>
      <c r="BQ6151" s="262"/>
      <c r="BR6151" s="262"/>
      <c r="BS6151" s="262"/>
      <c r="BT6151" s="227"/>
      <c r="BU6151" s="227"/>
      <c r="BV6151" s="227"/>
      <c r="BW6151" s="286"/>
      <c r="BX6151" s="286"/>
      <c r="BY6151" s="227"/>
      <c r="BZ6151" s="227"/>
      <c r="CA6151" s="227"/>
      <c r="CB6151" s="190"/>
    </row>
    <row r="6152" spans="1:80" s="120" customFormat="1" ht="15" x14ac:dyDescent="0.25">
      <c r="A6152" s="9" t="s">
        <v>61</v>
      </c>
      <c r="B6152" s="639" t="s">
        <v>53</v>
      </c>
      <c r="C6152" s="639"/>
      <c r="D6152" s="4">
        <f>VLOOKUP(E6152,'Quality Code'!D4:E24,2,TRUE)*VLOOKUP(MROUND(F6152,10),'Quality Code'!D28:E69,2,TRUE)*VLOOKUP(COUNTA(CB6152:CB6162),'Quality Code'!D73:E93,2,TRUE)</f>
        <v>0.79999799999999988</v>
      </c>
      <c r="E6152" s="14">
        <v>0.6</v>
      </c>
      <c r="F6152" s="18">
        <v>43</v>
      </c>
      <c r="G6152" s="121">
        <v>19</v>
      </c>
      <c r="H6152" s="2" t="s">
        <v>216</v>
      </c>
      <c r="I6152" s="327" t="s">
        <v>294</v>
      </c>
      <c r="J6152" s="10" t="s">
        <v>283</v>
      </c>
      <c r="K6152" s="85">
        <v>1</v>
      </c>
      <c r="L6152" s="641" t="s">
        <v>295</v>
      </c>
      <c r="M6152" s="640"/>
      <c r="N6152" s="579" t="s">
        <v>214</v>
      </c>
      <c r="O6152" s="579"/>
      <c r="P6152" s="10" t="s">
        <v>64</v>
      </c>
      <c r="Q6152" s="10" t="s">
        <v>64</v>
      </c>
      <c r="R6152" s="10" t="s">
        <v>64</v>
      </c>
      <c r="S6152" s="10" t="s">
        <v>64</v>
      </c>
      <c r="T6152" s="10" t="s">
        <v>64</v>
      </c>
      <c r="U6152" s="10" t="s">
        <v>64</v>
      </c>
      <c r="V6152" s="10"/>
      <c r="W6152" s="10"/>
      <c r="X6152" s="10"/>
      <c r="Y6152" s="10"/>
      <c r="Z6152" s="11"/>
      <c r="AA6152" s="81"/>
      <c r="AB6152" s="10"/>
      <c r="AC6152" s="3">
        <v>1.2999999999999999E-2</v>
      </c>
      <c r="AD6152" s="11"/>
      <c r="AE6152" s="11"/>
      <c r="AF6152" s="10"/>
      <c r="AG6152" s="10"/>
      <c r="AH6152" s="345"/>
      <c r="AI6152" s="2">
        <v>41</v>
      </c>
      <c r="AJ6152" s="17"/>
      <c r="AK6152" s="17"/>
      <c r="AL6152" s="17">
        <v>0.39743589999999995</v>
      </c>
      <c r="AM6152" s="17">
        <v>0.25</v>
      </c>
      <c r="AN6152" s="17">
        <v>0.1987179</v>
      </c>
      <c r="AO6152" s="17">
        <v>0.10256410000000001</v>
      </c>
      <c r="AP6152" s="17">
        <v>5.1282050000000003E-2</v>
      </c>
      <c r="AQ6152" s="17">
        <v>0</v>
      </c>
      <c r="AR6152" s="17"/>
      <c r="AS6152" s="17"/>
      <c r="AT6152" s="17"/>
      <c r="AU6152" s="18">
        <v>69</v>
      </c>
      <c r="AV6152" s="17"/>
      <c r="AW6152" s="17"/>
      <c r="AX6152" s="17"/>
      <c r="AY6152" s="17"/>
      <c r="AZ6152" s="17">
        <v>0.46153849999999996</v>
      </c>
      <c r="BA6152" s="17">
        <v>0.29871789999999998</v>
      </c>
      <c r="BB6152" s="17">
        <v>0.17564099999999999</v>
      </c>
      <c r="BC6152" s="17">
        <v>5.1282050000000003E-2</v>
      </c>
      <c r="BD6152" s="17">
        <v>1.282051E-2</v>
      </c>
      <c r="BE6152" s="17">
        <v>0</v>
      </c>
      <c r="BF6152" s="505"/>
      <c r="BG6152" s="505"/>
      <c r="BH6152" s="505"/>
      <c r="BI6152" s="118">
        <f>AU6152/AI6152</f>
        <v>1.6829268292682926</v>
      </c>
      <c r="BJ6152" s="2" t="s">
        <v>215</v>
      </c>
      <c r="BK6152" s="2" t="s">
        <v>175</v>
      </c>
      <c r="BL6152" s="12"/>
      <c r="BM6152" s="12">
        <v>5.7</v>
      </c>
      <c r="BN6152" s="12">
        <v>14.3</v>
      </c>
      <c r="BO6152" s="12">
        <v>0.39</v>
      </c>
      <c r="BP6152" s="12"/>
      <c r="BQ6152" s="12"/>
      <c r="BR6152" s="12"/>
      <c r="BS6152" s="12"/>
      <c r="BT6152" s="12"/>
      <c r="BU6152" s="2"/>
      <c r="BV6152" s="2"/>
      <c r="BW6152" s="2"/>
      <c r="BX6152" s="2"/>
      <c r="BY6152" s="2"/>
      <c r="BZ6152" s="2"/>
      <c r="CA6152" s="9"/>
      <c r="CB6152" s="9" t="s">
        <v>230</v>
      </c>
    </row>
    <row r="6153" spans="1:80" x14ac:dyDescent="0.2">
      <c r="A6153" s="257"/>
      <c r="B6153" s="667"/>
      <c r="C6153" s="667"/>
      <c r="D6153" s="292"/>
      <c r="E6153" s="257"/>
      <c r="F6153" s="257"/>
      <c r="G6153" s="227"/>
      <c r="H6153" s="328"/>
      <c r="I6153" s="227"/>
      <c r="J6153" s="150">
        <v>120</v>
      </c>
      <c r="K6153" s="227"/>
      <c r="L6153" s="660"/>
      <c r="M6153" s="671"/>
      <c r="N6153" s="582">
        <v>2.36</v>
      </c>
      <c r="O6153" s="581">
        <v>2.0043000000000001E-3</v>
      </c>
      <c r="P6153" s="782"/>
      <c r="Q6153" s="764"/>
      <c r="R6153" s="764"/>
      <c r="S6153" s="764"/>
      <c r="T6153" s="764"/>
      <c r="U6153" s="764"/>
      <c r="V6153" s="764"/>
      <c r="W6153" s="764"/>
      <c r="X6153" s="764"/>
      <c r="Y6153" s="768"/>
      <c r="Z6153" s="281"/>
      <c r="AA6153" s="281"/>
      <c r="AB6153" s="281"/>
      <c r="AC6153" s="174"/>
      <c r="AD6153" s="282"/>
      <c r="AE6153" s="282"/>
      <c r="AF6153" s="173"/>
      <c r="AG6153" s="177"/>
      <c r="AH6153" s="349"/>
      <c r="AI6153" s="283"/>
      <c r="AJ6153" s="240"/>
      <c r="AK6153" s="240"/>
      <c r="AL6153" s="284"/>
      <c r="AM6153" s="167"/>
      <c r="AN6153" s="167"/>
      <c r="AO6153" s="167"/>
      <c r="AP6153" s="167"/>
      <c r="AQ6153" s="167"/>
      <c r="AR6153" s="551"/>
      <c r="AS6153" s="551"/>
      <c r="AT6153" s="551"/>
      <c r="AU6153" s="283"/>
      <c r="AV6153" s="283"/>
      <c r="AW6153" s="283"/>
      <c r="AX6153" s="283"/>
      <c r="AY6153" s="283"/>
      <c r="AZ6153" s="167"/>
      <c r="BA6153" s="167"/>
      <c r="BB6153" s="285"/>
      <c r="BC6153" s="154"/>
      <c r="BD6153" s="154"/>
      <c r="BE6153" s="150"/>
      <c r="BF6153" s="227"/>
      <c r="BG6153" s="227"/>
      <c r="BH6153" s="227"/>
      <c r="BI6153" s="224"/>
      <c r="BJ6153" s="227"/>
      <c r="BK6153" s="227"/>
      <c r="BL6153" s="227"/>
      <c r="BM6153" s="224"/>
      <c r="BN6153" s="224"/>
      <c r="BO6153" s="262"/>
      <c r="BP6153" s="262"/>
      <c r="BQ6153" s="262"/>
      <c r="BR6153" s="262"/>
      <c r="BS6153" s="262"/>
      <c r="BT6153" s="227"/>
      <c r="BU6153" s="227"/>
      <c r="BV6153" s="227"/>
      <c r="BW6153" s="286"/>
      <c r="BX6153" s="286"/>
      <c r="BY6153" s="227"/>
      <c r="BZ6153" s="227"/>
      <c r="CA6153" s="227"/>
      <c r="CB6153" s="190"/>
    </row>
    <row r="6154" spans="1:80" x14ac:dyDescent="0.2">
      <c r="A6154" s="257"/>
      <c r="B6154" s="667"/>
      <c r="C6154" s="667"/>
      <c r="D6154" s="292"/>
      <c r="E6154" s="257"/>
      <c r="F6154" s="257"/>
      <c r="G6154" s="227"/>
      <c r="H6154" s="328"/>
      <c r="I6154" s="227"/>
      <c r="J6154" s="150">
        <v>120</v>
      </c>
      <c r="K6154" s="227"/>
      <c r="L6154" s="660"/>
      <c r="M6154" s="671"/>
      <c r="N6154" s="582">
        <v>2.4500000000000002</v>
      </c>
      <c r="O6154" s="581">
        <v>8.8400000000000007E-5</v>
      </c>
      <c r="P6154" s="782"/>
      <c r="Q6154" s="764"/>
      <c r="R6154" s="764"/>
      <c r="S6154" s="764"/>
      <c r="T6154" s="764"/>
      <c r="U6154" s="764"/>
      <c r="V6154" s="764"/>
      <c r="W6154" s="764"/>
      <c r="X6154" s="764"/>
      <c r="Y6154" s="768"/>
      <c r="Z6154" s="281"/>
      <c r="AA6154" s="281"/>
      <c r="AB6154" s="281"/>
      <c r="AC6154" s="174"/>
      <c r="AD6154" s="282"/>
      <c r="AE6154" s="282"/>
      <c r="AF6154" s="173"/>
      <c r="AG6154" s="177"/>
      <c r="AH6154" s="349"/>
      <c r="AI6154" s="283"/>
      <c r="AJ6154" s="240"/>
      <c r="AK6154" s="240"/>
      <c r="AL6154" s="284"/>
      <c r="AM6154" s="167"/>
      <c r="AN6154" s="167"/>
      <c r="AO6154" s="167"/>
      <c r="AP6154" s="167"/>
      <c r="AQ6154" s="167"/>
      <c r="AR6154" s="551"/>
      <c r="AS6154" s="551"/>
      <c r="AT6154" s="551"/>
      <c r="AU6154" s="283"/>
      <c r="AV6154" s="283"/>
      <c r="AW6154" s="283"/>
      <c r="AX6154" s="283"/>
      <c r="AY6154" s="283"/>
      <c r="AZ6154" s="167"/>
      <c r="BA6154" s="167"/>
      <c r="BB6154" s="285"/>
      <c r="BC6154" s="154"/>
      <c r="BD6154" s="154"/>
      <c r="BE6154" s="150"/>
      <c r="BF6154" s="227"/>
      <c r="BG6154" s="227"/>
      <c r="BH6154" s="227"/>
      <c r="BI6154" s="224"/>
      <c r="BJ6154" s="227"/>
      <c r="BK6154" s="227"/>
      <c r="BL6154" s="227"/>
      <c r="BM6154" s="224"/>
      <c r="BN6154" s="224"/>
      <c r="BO6154" s="262"/>
      <c r="BP6154" s="262"/>
      <c r="BQ6154" s="262"/>
      <c r="BR6154" s="262"/>
      <c r="BS6154" s="262"/>
      <c r="BT6154" s="227"/>
      <c r="BU6154" s="227"/>
      <c r="BV6154" s="227"/>
      <c r="BW6154" s="286"/>
      <c r="BX6154" s="286"/>
      <c r="BY6154" s="227"/>
      <c r="BZ6154" s="227"/>
      <c r="CA6154" s="227"/>
      <c r="CB6154" s="190"/>
    </row>
    <row r="6155" spans="1:80" x14ac:dyDescent="0.2">
      <c r="A6155" s="257"/>
      <c r="B6155" s="667"/>
      <c r="C6155" s="667"/>
      <c r="D6155" s="292"/>
      <c r="E6155" s="257"/>
      <c r="F6155" s="257"/>
      <c r="G6155" s="227"/>
      <c r="H6155" s="328"/>
      <c r="I6155" s="227"/>
      <c r="J6155" s="150">
        <v>120</v>
      </c>
      <c r="K6155" s="227"/>
      <c r="L6155" s="660"/>
      <c r="M6155" s="671"/>
      <c r="N6155" s="582">
        <v>1.94</v>
      </c>
      <c r="O6155" s="581">
        <v>1.2495E-3</v>
      </c>
      <c r="P6155" s="782"/>
      <c r="Q6155" s="764"/>
      <c r="R6155" s="764"/>
      <c r="S6155" s="764"/>
      <c r="T6155" s="764"/>
      <c r="U6155" s="764"/>
      <c r="V6155" s="764"/>
      <c r="W6155" s="764"/>
      <c r="X6155" s="764"/>
      <c r="Y6155" s="768"/>
      <c r="Z6155" s="281"/>
      <c r="AA6155" s="281"/>
      <c r="AB6155" s="281"/>
      <c r="AC6155" s="174"/>
      <c r="AD6155" s="282"/>
      <c r="AE6155" s="282"/>
      <c r="AF6155" s="173"/>
      <c r="AG6155" s="177"/>
      <c r="AH6155" s="349"/>
      <c r="AI6155" s="283"/>
      <c r="AJ6155" s="240"/>
      <c r="AK6155" s="240"/>
      <c r="AL6155" s="284"/>
      <c r="AM6155" s="167"/>
      <c r="AN6155" s="167"/>
      <c r="AO6155" s="167"/>
      <c r="AP6155" s="167"/>
      <c r="AQ6155" s="167"/>
      <c r="AR6155" s="551"/>
      <c r="AS6155" s="551"/>
      <c r="AT6155" s="551"/>
      <c r="AU6155" s="283"/>
      <c r="AV6155" s="283"/>
      <c r="AW6155" s="283"/>
      <c r="AX6155" s="283"/>
      <c r="AY6155" s="283"/>
      <c r="AZ6155" s="167"/>
      <c r="BA6155" s="167"/>
      <c r="BB6155" s="285"/>
      <c r="BC6155" s="154"/>
      <c r="BD6155" s="154"/>
      <c r="BE6155" s="150"/>
      <c r="BF6155" s="227"/>
      <c r="BG6155" s="227"/>
      <c r="BH6155" s="227"/>
      <c r="BI6155" s="224"/>
      <c r="BJ6155" s="227"/>
      <c r="BK6155" s="227"/>
      <c r="BL6155" s="227"/>
      <c r="BM6155" s="224"/>
      <c r="BN6155" s="224"/>
      <c r="BO6155" s="262"/>
      <c r="BP6155" s="262"/>
      <c r="BQ6155" s="262"/>
      <c r="BR6155" s="262"/>
      <c r="BS6155" s="262"/>
      <c r="BT6155" s="227"/>
      <c r="BU6155" s="227"/>
      <c r="BV6155" s="227"/>
      <c r="BW6155" s="286"/>
      <c r="BX6155" s="286"/>
      <c r="BY6155" s="227"/>
      <c r="BZ6155" s="227"/>
      <c r="CA6155" s="227"/>
      <c r="CB6155" s="190"/>
    </row>
    <row r="6156" spans="1:80" x14ac:dyDescent="0.2">
      <c r="A6156" s="257"/>
      <c r="B6156" s="667"/>
      <c r="C6156" s="667"/>
      <c r="D6156" s="292"/>
      <c r="E6156" s="257"/>
      <c r="F6156" s="257"/>
      <c r="G6156" s="227"/>
      <c r="H6156" s="328"/>
      <c r="I6156" s="227"/>
      <c r="J6156" s="150">
        <v>120</v>
      </c>
      <c r="K6156" s="227"/>
      <c r="L6156" s="660"/>
      <c r="M6156" s="671"/>
      <c r="N6156" s="582">
        <v>1.88</v>
      </c>
      <c r="O6156" s="581">
        <v>4.0999999999999999E-7</v>
      </c>
      <c r="P6156" s="782"/>
      <c r="Q6156" s="764"/>
      <c r="R6156" s="764"/>
      <c r="S6156" s="764"/>
      <c r="T6156" s="764"/>
      <c r="U6156" s="764"/>
      <c r="V6156" s="764"/>
      <c r="W6156" s="764"/>
      <c r="X6156" s="764"/>
      <c r="Y6156" s="768"/>
      <c r="Z6156" s="281"/>
      <c r="AA6156" s="281"/>
      <c r="AB6156" s="281"/>
      <c r="AC6156" s="174"/>
      <c r="AD6156" s="282"/>
      <c r="AE6156" s="282"/>
      <c r="AF6156" s="173"/>
      <c r="AG6156" s="177"/>
      <c r="AH6156" s="349"/>
      <c r="AI6156" s="283"/>
      <c r="AJ6156" s="240"/>
      <c r="AK6156" s="240"/>
      <c r="AL6156" s="284"/>
      <c r="AM6156" s="167"/>
      <c r="AN6156" s="167"/>
      <c r="AO6156" s="167"/>
      <c r="AP6156" s="167"/>
      <c r="AQ6156" s="167"/>
      <c r="AR6156" s="551"/>
      <c r="AS6156" s="551"/>
      <c r="AT6156" s="551"/>
      <c r="AU6156" s="283"/>
      <c r="AV6156" s="283"/>
      <c r="AW6156" s="283"/>
      <c r="AX6156" s="283"/>
      <c r="AY6156" s="283"/>
      <c r="AZ6156" s="167"/>
      <c r="BA6156" s="167"/>
      <c r="BB6156" s="285"/>
      <c r="BC6156" s="154"/>
      <c r="BD6156" s="154"/>
      <c r="BE6156" s="150"/>
      <c r="BF6156" s="227"/>
      <c r="BG6156" s="227"/>
      <c r="BH6156" s="227"/>
      <c r="BI6156" s="224"/>
      <c r="BJ6156" s="227"/>
      <c r="BK6156" s="227"/>
      <c r="BL6156" s="227"/>
      <c r="BM6156" s="224"/>
      <c r="BN6156" s="224"/>
      <c r="BO6156" s="262"/>
      <c r="BP6156" s="262"/>
      <c r="BQ6156" s="262"/>
      <c r="BR6156" s="262"/>
      <c r="BS6156" s="262"/>
      <c r="BT6156" s="227"/>
      <c r="BU6156" s="227"/>
      <c r="BV6156" s="227"/>
      <c r="BW6156" s="286"/>
      <c r="BX6156" s="286"/>
      <c r="BY6156" s="227"/>
      <c r="BZ6156" s="227"/>
      <c r="CA6156" s="227"/>
      <c r="CB6156" s="190"/>
    </row>
    <row r="6157" spans="1:80" x14ac:dyDescent="0.2">
      <c r="A6157" s="257"/>
      <c r="B6157" s="667"/>
      <c r="C6157" s="667"/>
      <c r="D6157" s="292"/>
      <c r="E6157" s="257"/>
      <c r="F6157" s="257"/>
      <c r="G6157" s="227"/>
      <c r="H6157" s="328"/>
      <c r="I6157" s="227"/>
      <c r="J6157" s="150">
        <v>120</v>
      </c>
      <c r="K6157" s="227"/>
      <c r="L6157" s="660"/>
      <c r="M6157" s="671"/>
      <c r="N6157" s="582">
        <v>1.8</v>
      </c>
      <c r="O6157" s="581">
        <v>2.04E-4</v>
      </c>
      <c r="P6157" s="782"/>
      <c r="Q6157" s="764"/>
      <c r="R6157" s="764"/>
      <c r="S6157" s="764"/>
      <c r="T6157" s="764"/>
      <c r="U6157" s="764"/>
      <c r="V6157" s="764"/>
      <c r="W6157" s="764"/>
      <c r="X6157" s="764"/>
      <c r="Y6157" s="768"/>
      <c r="Z6157" s="281"/>
      <c r="AA6157" s="281"/>
      <c r="AB6157" s="281"/>
      <c r="AC6157" s="174"/>
      <c r="AD6157" s="282"/>
      <c r="AE6157" s="282"/>
      <c r="AF6157" s="173"/>
      <c r="AG6157" s="177"/>
      <c r="AH6157" s="349"/>
      <c r="AI6157" s="283"/>
      <c r="AJ6157" s="240"/>
      <c r="AK6157" s="240"/>
      <c r="AL6157" s="284"/>
      <c r="AM6157" s="167"/>
      <c r="AN6157" s="167"/>
      <c r="AO6157" s="167"/>
      <c r="AP6157" s="167"/>
      <c r="AQ6157" s="167"/>
      <c r="AR6157" s="551"/>
      <c r="AS6157" s="551"/>
      <c r="AT6157" s="551"/>
      <c r="AU6157" s="283"/>
      <c r="AV6157" s="283"/>
      <c r="AW6157" s="283"/>
      <c r="AX6157" s="283"/>
      <c r="AY6157" s="283"/>
      <c r="AZ6157" s="167"/>
      <c r="BA6157" s="167"/>
      <c r="BB6157" s="285"/>
      <c r="BC6157" s="154"/>
      <c r="BD6157" s="154"/>
      <c r="BE6157" s="150"/>
      <c r="BF6157" s="227"/>
      <c r="BG6157" s="227"/>
      <c r="BH6157" s="227"/>
      <c r="BI6157" s="224"/>
      <c r="BJ6157" s="227"/>
      <c r="BK6157" s="227"/>
      <c r="BL6157" s="227"/>
      <c r="BM6157" s="224"/>
      <c r="BN6157" s="224"/>
      <c r="BO6157" s="262"/>
      <c r="BP6157" s="262"/>
      <c r="BQ6157" s="262"/>
      <c r="BR6157" s="262"/>
      <c r="BS6157" s="262"/>
      <c r="BT6157" s="227"/>
      <c r="BU6157" s="227"/>
      <c r="BV6157" s="227"/>
      <c r="BW6157" s="286"/>
      <c r="BX6157" s="286"/>
      <c r="BY6157" s="227"/>
      <c r="BZ6157" s="227"/>
      <c r="CA6157" s="227"/>
      <c r="CB6157" s="190"/>
    </row>
    <row r="6158" spans="1:80" x14ac:dyDescent="0.2">
      <c r="A6158" s="257"/>
      <c r="B6158" s="667"/>
      <c r="C6158" s="667"/>
      <c r="D6158" s="292"/>
      <c r="E6158" s="257"/>
      <c r="F6158" s="257"/>
      <c r="G6158" s="227"/>
      <c r="H6158" s="328"/>
      <c r="I6158" s="227"/>
      <c r="J6158" s="150">
        <v>120</v>
      </c>
      <c r="K6158" s="227"/>
      <c r="L6158" s="660"/>
      <c r="M6158" s="671"/>
      <c r="N6158" s="582">
        <v>0.9</v>
      </c>
      <c r="O6158" s="581">
        <v>4.0999999999999999E-7</v>
      </c>
      <c r="P6158" s="782"/>
      <c r="Q6158" s="764"/>
      <c r="R6158" s="764"/>
      <c r="S6158" s="764"/>
      <c r="T6158" s="764"/>
      <c r="U6158" s="764"/>
      <c r="V6158" s="764"/>
      <c r="W6158" s="764"/>
      <c r="X6158" s="764"/>
      <c r="Y6158" s="768"/>
      <c r="Z6158" s="281"/>
      <c r="AA6158" s="281"/>
      <c r="AB6158" s="281"/>
      <c r="AC6158" s="174"/>
      <c r="AD6158" s="282"/>
      <c r="AE6158" s="282"/>
      <c r="AF6158" s="173"/>
      <c r="AG6158" s="177"/>
      <c r="AH6158" s="349"/>
      <c r="AI6158" s="283"/>
      <c r="AJ6158" s="240"/>
      <c r="AK6158" s="240"/>
      <c r="AL6158" s="284"/>
      <c r="AM6158" s="167"/>
      <c r="AN6158" s="167"/>
      <c r="AO6158" s="167"/>
      <c r="AP6158" s="167"/>
      <c r="AQ6158" s="167"/>
      <c r="AR6158" s="551"/>
      <c r="AS6158" s="551"/>
      <c r="AT6158" s="551"/>
      <c r="AU6158" s="283"/>
      <c r="AV6158" s="283"/>
      <c r="AW6158" s="283"/>
      <c r="AX6158" s="283"/>
      <c r="AY6158" s="283"/>
      <c r="AZ6158" s="167"/>
      <c r="BA6158" s="167"/>
      <c r="BB6158" s="285"/>
      <c r="BC6158" s="154"/>
      <c r="BD6158" s="154"/>
      <c r="BE6158" s="150"/>
      <c r="BF6158" s="227"/>
      <c r="BG6158" s="227"/>
      <c r="BH6158" s="227"/>
      <c r="BI6158" s="224"/>
      <c r="BJ6158" s="227"/>
      <c r="BK6158" s="227"/>
      <c r="BL6158" s="227"/>
      <c r="BM6158" s="224"/>
      <c r="BN6158" s="224"/>
      <c r="BO6158" s="262"/>
      <c r="BP6158" s="262"/>
      <c r="BQ6158" s="262"/>
      <c r="BR6158" s="262"/>
      <c r="BS6158" s="262"/>
      <c r="BT6158" s="227"/>
      <c r="BU6158" s="227"/>
      <c r="BV6158" s="227"/>
      <c r="BW6158" s="286"/>
      <c r="BX6158" s="286"/>
      <c r="BY6158" s="227"/>
      <c r="BZ6158" s="227"/>
      <c r="CA6158" s="227"/>
      <c r="CB6158" s="190"/>
    </row>
    <row r="6159" spans="1:80" x14ac:dyDescent="0.2">
      <c r="A6159" s="257"/>
      <c r="B6159" s="667"/>
      <c r="C6159" s="667"/>
      <c r="D6159" s="292"/>
      <c r="E6159" s="257"/>
      <c r="F6159" s="257"/>
      <c r="G6159" s="227"/>
      <c r="H6159" s="328"/>
      <c r="I6159" s="227"/>
      <c r="J6159" s="150">
        <v>120</v>
      </c>
      <c r="K6159" s="227"/>
      <c r="L6159" s="660"/>
      <c r="M6159" s="671"/>
      <c r="N6159" s="582">
        <v>0.85</v>
      </c>
      <c r="O6159" s="581">
        <v>4.0999999999999999E-7</v>
      </c>
      <c r="P6159" s="782"/>
      <c r="Q6159" s="764"/>
      <c r="R6159" s="764"/>
      <c r="S6159" s="764"/>
      <c r="T6159" s="764"/>
      <c r="U6159" s="764"/>
      <c r="V6159" s="764"/>
      <c r="W6159" s="764"/>
      <c r="X6159" s="764"/>
      <c r="Y6159" s="768"/>
      <c r="Z6159" s="281"/>
      <c r="AA6159" s="281"/>
      <c r="AB6159" s="281"/>
      <c r="AC6159" s="174"/>
      <c r="AD6159" s="282"/>
      <c r="AE6159" s="282"/>
      <c r="AF6159" s="173"/>
      <c r="AG6159" s="177"/>
      <c r="AH6159" s="349"/>
      <c r="AI6159" s="283"/>
      <c r="AJ6159" s="240"/>
      <c r="AK6159" s="240"/>
      <c r="AL6159" s="284"/>
      <c r="AM6159" s="167"/>
      <c r="AN6159" s="167"/>
      <c r="AO6159" s="167"/>
      <c r="AP6159" s="167"/>
      <c r="AQ6159" s="167"/>
      <c r="AR6159" s="551"/>
      <c r="AS6159" s="551"/>
      <c r="AT6159" s="551"/>
      <c r="AU6159" s="283"/>
      <c r="AV6159" s="283"/>
      <c r="AW6159" s="283"/>
      <c r="AX6159" s="283"/>
      <c r="AY6159" s="283"/>
      <c r="AZ6159" s="167"/>
      <c r="BA6159" s="167"/>
      <c r="BB6159" s="285"/>
      <c r="BC6159" s="154"/>
      <c r="BD6159" s="154"/>
      <c r="BE6159" s="150"/>
      <c r="BF6159" s="227"/>
      <c r="BG6159" s="227"/>
      <c r="BH6159" s="227"/>
      <c r="BI6159" s="224"/>
      <c r="BJ6159" s="227"/>
      <c r="BK6159" s="227"/>
      <c r="BL6159" s="227"/>
      <c r="BM6159" s="224"/>
      <c r="BN6159" s="224"/>
      <c r="BO6159" s="262"/>
      <c r="BP6159" s="262"/>
      <c r="BQ6159" s="262"/>
      <c r="BR6159" s="262"/>
      <c r="BS6159" s="262"/>
      <c r="BT6159" s="227"/>
      <c r="BU6159" s="227"/>
      <c r="BV6159" s="227"/>
      <c r="BW6159" s="286"/>
      <c r="BX6159" s="286"/>
      <c r="BY6159" s="227"/>
      <c r="BZ6159" s="227"/>
      <c r="CA6159" s="227"/>
      <c r="CB6159" s="190"/>
    </row>
    <row r="6160" spans="1:80" x14ac:dyDescent="0.2">
      <c r="A6160" s="257"/>
      <c r="B6160" s="667"/>
      <c r="C6160" s="667"/>
      <c r="D6160" s="292"/>
      <c r="E6160" s="257"/>
      <c r="F6160" s="257"/>
      <c r="G6160" s="227"/>
      <c r="H6160" s="328"/>
      <c r="I6160" s="227"/>
      <c r="J6160" s="150">
        <v>120</v>
      </c>
      <c r="K6160" s="227"/>
      <c r="L6160" s="660"/>
      <c r="M6160" s="671"/>
      <c r="N6160" s="582">
        <v>0.82</v>
      </c>
      <c r="O6160" s="581">
        <v>4.1000000000000006E-6</v>
      </c>
      <c r="P6160" s="782"/>
      <c r="Q6160" s="764"/>
      <c r="R6160" s="764"/>
      <c r="S6160" s="764"/>
      <c r="T6160" s="764"/>
      <c r="U6160" s="764"/>
      <c r="V6160" s="764"/>
      <c r="W6160" s="764"/>
      <c r="X6160" s="764"/>
      <c r="Y6160" s="768"/>
      <c r="Z6160" s="281"/>
      <c r="AA6160" s="281"/>
      <c r="AB6160" s="281"/>
      <c r="AC6160" s="174"/>
      <c r="AD6160" s="282"/>
      <c r="AE6160" s="282"/>
      <c r="AF6160" s="173"/>
      <c r="AG6160" s="177"/>
      <c r="AH6160" s="349"/>
      <c r="AI6160" s="283"/>
      <c r="AJ6160" s="240"/>
      <c r="AK6160" s="240"/>
      <c r="AL6160" s="284"/>
      <c r="AM6160" s="167"/>
      <c r="AN6160" s="167"/>
      <c r="AO6160" s="167"/>
      <c r="AP6160" s="167"/>
      <c r="AQ6160" s="167"/>
      <c r="AR6160" s="551"/>
      <c r="AS6160" s="551"/>
      <c r="AT6160" s="551"/>
      <c r="AU6160" s="283"/>
      <c r="AV6160" s="283"/>
      <c r="AW6160" s="283"/>
      <c r="AX6160" s="283"/>
      <c r="AY6160" s="283"/>
      <c r="AZ6160" s="167"/>
      <c r="BA6160" s="167"/>
      <c r="BB6160" s="285"/>
      <c r="BC6160" s="154"/>
      <c r="BD6160" s="154"/>
      <c r="BE6160" s="150"/>
      <c r="BF6160" s="227"/>
      <c r="BG6160" s="227"/>
      <c r="BH6160" s="227"/>
      <c r="BI6160" s="224"/>
      <c r="BJ6160" s="227"/>
      <c r="BK6160" s="227"/>
      <c r="BL6160" s="227"/>
      <c r="BM6160" s="224"/>
      <c r="BN6160" s="224"/>
      <c r="BO6160" s="262"/>
      <c r="BP6160" s="262"/>
      <c r="BQ6160" s="262"/>
      <c r="BR6160" s="262"/>
      <c r="BS6160" s="262"/>
      <c r="BT6160" s="227"/>
      <c r="BU6160" s="227"/>
      <c r="BV6160" s="227"/>
      <c r="BW6160" s="286"/>
      <c r="BX6160" s="286"/>
      <c r="BY6160" s="227"/>
      <c r="BZ6160" s="227"/>
      <c r="CA6160" s="227"/>
      <c r="CB6160" s="190"/>
    </row>
    <row r="6161" spans="1:80" x14ac:dyDescent="0.2">
      <c r="A6161" s="257"/>
      <c r="B6161" s="667"/>
      <c r="C6161" s="667"/>
      <c r="D6161" s="292"/>
      <c r="E6161" s="257"/>
      <c r="F6161" s="257"/>
      <c r="G6161" s="227"/>
      <c r="H6161" s="328"/>
      <c r="I6161" s="227"/>
      <c r="J6161" s="150">
        <v>120</v>
      </c>
      <c r="K6161" s="227"/>
      <c r="L6161" s="660"/>
      <c r="M6161" s="671"/>
      <c r="N6161" s="582">
        <v>0.85</v>
      </c>
      <c r="O6161" s="581">
        <v>4.0999999999999999E-7</v>
      </c>
      <c r="P6161" s="782"/>
      <c r="Q6161" s="764"/>
      <c r="R6161" s="764"/>
      <c r="S6161" s="764"/>
      <c r="T6161" s="764"/>
      <c r="U6161" s="764"/>
      <c r="V6161" s="764"/>
      <c r="W6161" s="764"/>
      <c r="X6161" s="764"/>
      <c r="Y6161" s="768"/>
      <c r="Z6161" s="281"/>
      <c r="AA6161" s="281"/>
      <c r="AB6161" s="281"/>
      <c r="AC6161" s="174"/>
      <c r="AD6161" s="282"/>
      <c r="AE6161" s="282"/>
      <c r="AF6161" s="173"/>
      <c r="AG6161" s="177"/>
      <c r="AH6161" s="349"/>
      <c r="AI6161" s="283"/>
      <c r="AJ6161" s="240"/>
      <c r="AK6161" s="240"/>
      <c r="AL6161" s="284"/>
      <c r="AM6161" s="167"/>
      <c r="AN6161" s="167"/>
      <c r="AO6161" s="167"/>
      <c r="AP6161" s="167"/>
      <c r="AQ6161" s="167"/>
      <c r="AR6161" s="551"/>
      <c r="AS6161" s="551"/>
      <c r="AT6161" s="551"/>
      <c r="AU6161" s="283"/>
      <c r="AV6161" s="283"/>
      <c r="AW6161" s="283"/>
      <c r="AX6161" s="283"/>
      <c r="AY6161" s="283"/>
      <c r="AZ6161" s="167"/>
      <c r="BA6161" s="167"/>
      <c r="BB6161" s="285"/>
      <c r="BC6161" s="154"/>
      <c r="BD6161" s="154"/>
      <c r="BE6161" s="150"/>
      <c r="BF6161" s="227"/>
      <c r="BG6161" s="227"/>
      <c r="BH6161" s="227"/>
      <c r="BI6161" s="224"/>
      <c r="BJ6161" s="227"/>
      <c r="BK6161" s="227"/>
      <c r="BL6161" s="227"/>
      <c r="BM6161" s="224"/>
      <c r="BN6161" s="224"/>
      <c r="BO6161" s="262"/>
      <c r="BP6161" s="262"/>
      <c r="BQ6161" s="262"/>
      <c r="BR6161" s="262"/>
      <c r="BS6161" s="262"/>
      <c r="BT6161" s="227"/>
      <c r="BU6161" s="227"/>
      <c r="BV6161" s="227"/>
      <c r="BW6161" s="286"/>
      <c r="BX6161" s="286"/>
      <c r="BY6161" s="227"/>
      <c r="BZ6161" s="227"/>
      <c r="CA6161" s="227"/>
      <c r="CB6161" s="190"/>
    </row>
    <row r="6162" spans="1:80" x14ac:dyDescent="0.2">
      <c r="A6162" s="257"/>
      <c r="B6162" s="667"/>
      <c r="C6162" s="667"/>
      <c r="D6162" s="292"/>
      <c r="E6162" s="257"/>
      <c r="F6162" s="257"/>
      <c r="G6162" s="227"/>
      <c r="H6162" s="328"/>
      <c r="I6162" s="227"/>
      <c r="J6162" s="150">
        <v>120</v>
      </c>
      <c r="K6162" s="227"/>
      <c r="L6162" s="660"/>
      <c r="M6162" s="671"/>
      <c r="N6162" s="582">
        <v>0.85</v>
      </c>
      <c r="O6162" s="581">
        <v>4.0999999999999999E-7</v>
      </c>
      <c r="P6162" s="782"/>
      <c r="Q6162" s="764"/>
      <c r="R6162" s="764"/>
      <c r="S6162" s="764"/>
      <c r="T6162" s="764"/>
      <c r="U6162" s="764"/>
      <c r="V6162" s="764"/>
      <c r="W6162" s="764"/>
      <c r="X6162" s="764"/>
      <c r="Y6162" s="768"/>
      <c r="Z6162" s="281"/>
      <c r="AA6162" s="281"/>
      <c r="AB6162" s="281"/>
      <c r="AC6162" s="174"/>
      <c r="AD6162" s="282"/>
      <c r="AE6162" s="282"/>
      <c r="AF6162" s="173"/>
      <c r="AG6162" s="177"/>
      <c r="AH6162" s="349"/>
      <c r="AI6162" s="283"/>
      <c r="AJ6162" s="240"/>
      <c r="AK6162" s="240"/>
      <c r="AL6162" s="284"/>
      <c r="AM6162" s="167"/>
      <c r="AN6162" s="167"/>
      <c r="AO6162" s="167"/>
      <c r="AP6162" s="167"/>
      <c r="AQ6162" s="167"/>
      <c r="AR6162" s="551"/>
      <c r="AS6162" s="551"/>
      <c r="AT6162" s="551"/>
      <c r="AU6162" s="283"/>
      <c r="AV6162" s="283"/>
      <c r="AW6162" s="283"/>
      <c r="AX6162" s="283"/>
      <c r="AY6162" s="283"/>
      <c r="AZ6162" s="167"/>
      <c r="BA6162" s="167"/>
      <c r="BB6162" s="285"/>
      <c r="BC6162" s="154"/>
      <c r="BD6162" s="154"/>
      <c r="BE6162" s="150"/>
      <c r="BF6162" s="227"/>
      <c r="BG6162" s="227"/>
      <c r="BH6162" s="227"/>
      <c r="BI6162" s="224"/>
      <c r="BJ6162" s="227"/>
      <c r="BK6162" s="227"/>
      <c r="BL6162" s="227"/>
      <c r="BM6162" s="224"/>
      <c r="BN6162" s="224"/>
      <c r="BO6162" s="262"/>
      <c r="BP6162" s="262"/>
      <c r="BQ6162" s="262"/>
      <c r="BR6162" s="262"/>
      <c r="BS6162" s="262"/>
      <c r="BT6162" s="227"/>
      <c r="BU6162" s="227"/>
      <c r="BV6162" s="227"/>
      <c r="BW6162" s="286"/>
      <c r="BX6162" s="286"/>
      <c r="BY6162" s="227"/>
      <c r="BZ6162" s="227"/>
      <c r="CA6162" s="227"/>
      <c r="CB6162" s="190"/>
    </row>
    <row r="6163" spans="1:80" x14ac:dyDescent="0.2">
      <c r="A6163" s="257"/>
      <c r="B6163" s="667"/>
      <c r="C6163" s="667"/>
      <c r="D6163" s="292"/>
      <c r="E6163" s="257"/>
      <c r="F6163" s="257"/>
      <c r="G6163" s="227"/>
      <c r="H6163" s="328"/>
      <c r="I6163" s="227"/>
      <c r="J6163" s="150">
        <v>120</v>
      </c>
      <c r="K6163" s="227"/>
      <c r="L6163" s="660"/>
      <c r="M6163" s="671"/>
      <c r="N6163" s="582">
        <v>0.99</v>
      </c>
      <c r="O6163" s="581">
        <v>4.0999999999999999E-7</v>
      </c>
      <c r="P6163" s="782"/>
      <c r="Q6163" s="764"/>
      <c r="R6163" s="764"/>
      <c r="S6163" s="764"/>
      <c r="T6163" s="764"/>
      <c r="U6163" s="764"/>
      <c r="V6163" s="764"/>
      <c r="W6163" s="764"/>
      <c r="X6163" s="764"/>
      <c r="Y6163" s="768"/>
      <c r="Z6163" s="281"/>
      <c r="AA6163" s="281"/>
      <c r="AB6163" s="281"/>
      <c r="AC6163" s="174"/>
      <c r="AD6163" s="282"/>
      <c r="AE6163" s="282"/>
      <c r="AF6163" s="173"/>
      <c r="AG6163" s="177"/>
      <c r="AH6163" s="349"/>
      <c r="AI6163" s="283"/>
      <c r="AJ6163" s="240"/>
      <c r="AK6163" s="240"/>
      <c r="AL6163" s="284"/>
      <c r="AM6163" s="167"/>
      <c r="AN6163" s="167"/>
      <c r="AO6163" s="167"/>
      <c r="AP6163" s="167"/>
      <c r="AQ6163" s="167"/>
      <c r="AR6163" s="551"/>
      <c r="AS6163" s="551"/>
      <c r="AT6163" s="551"/>
      <c r="AU6163" s="283"/>
      <c r="AV6163" s="283"/>
      <c r="AW6163" s="283"/>
      <c r="AX6163" s="283"/>
      <c r="AY6163" s="283"/>
      <c r="AZ6163" s="167"/>
      <c r="BA6163" s="167"/>
      <c r="BB6163" s="285"/>
      <c r="BC6163" s="154"/>
      <c r="BD6163" s="154"/>
      <c r="BE6163" s="150"/>
      <c r="BF6163" s="227"/>
      <c r="BG6163" s="227"/>
      <c r="BH6163" s="227"/>
      <c r="BI6163" s="224"/>
      <c r="BJ6163" s="227"/>
      <c r="BK6163" s="227"/>
      <c r="BL6163" s="227"/>
      <c r="BM6163" s="224"/>
      <c r="BN6163" s="224"/>
      <c r="BO6163" s="262"/>
      <c r="BP6163" s="262"/>
      <c r="BQ6163" s="262"/>
      <c r="BR6163" s="262"/>
      <c r="BS6163" s="262"/>
      <c r="BT6163" s="227"/>
      <c r="BU6163" s="227"/>
      <c r="BV6163" s="227"/>
      <c r="BW6163" s="286"/>
      <c r="BX6163" s="286"/>
      <c r="BY6163" s="227"/>
      <c r="BZ6163" s="227"/>
      <c r="CA6163" s="227"/>
      <c r="CB6163" s="190"/>
    </row>
    <row r="6164" spans="1:80" x14ac:dyDescent="0.2">
      <c r="A6164" s="257"/>
      <c r="B6164" s="667"/>
      <c r="C6164" s="667"/>
      <c r="D6164" s="292"/>
      <c r="E6164" s="257"/>
      <c r="F6164" s="257"/>
      <c r="G6164" s="227"/>
      <c r="H6164" s="328"/>
      <c r="I6164" s="227"/>
      <c r="J6164" s="150">
        <v>120</v>
      </c>
      <c r="K6164" s="227"/>
      <c r="L6164" s="660"/>
      <c r="M6164" s="671"/>
      <c r="N6164" s="582">
        <v>1.22</v>
      </c>
      <c r="O6164" s="581">
        <v>4.0999999999999999E-7</v>
      </c>
      <c r="P6164" s="782"/>
      <c r="Q6164" s="764"/>
      <c r="R6164" s="764"/>
      <c r="S6164" s="764"/>
      <c r="T6164" s="764"/>
      <c r="U6164" s="764"/>
      <c r="V6164" s="764"/>
      <c r="W6164" s="764"/>
      <c r="X6164" s="764"/>
      <c r="Y6164" s="768"/>
      <c r="Z6164" s="281"/>
      <c r="AA6164" s="281"/>
      <c r="AB6164" s="281"/>
      <c r="AC6164" s="174"/>
      <c r="AD6164" s="282"/>
      <c r="AE6164" s="282"/>
      <c r="AF6164" s="173"/>
      <c r="AG6164" s="177"/>
      <c r="AH6164" s="349"/>
      <c r="AI6164" s="283"/>
      <c r="AJ6164" s="240"/>
      <c r="AK6164" s="240"/>
      <c r="AL6164" s="284"/>
      <c r="AM6164" s="167"/>
      <c r="AN6164" s="167"/>
      <c r="AO6164" s="167"/>
      <c r="AP6164" s="167"/>
      <c r="AQ6164" s="167"/>
      <c r="AR6164" s="551"/>
      <c r="AS6164" s="551"/>
      <c r="AT6164" s="551"/>
      <c r="AU6164" s="283"/>
      <c r="AV6164" s="283"/>
      <c r="AW6164" s="283"/>
      <c r="AX6164" s="283"/>
      <c r="AY6164" s="283"/>
      <c r="AZ6164" s="167"/>
      <c r="BA6164" s="167"/>
      <c r="BB6164" s="285"/>
      <c r="BC6164" s="154"/>
      <c r="BD6164" s="154"/>
      <c r="BE6164" s="150"/>
      <c r="BF6164" s="227"/>
      <c r="BG6164" s="227"/>
      <c r="BH6164" s="227"/>
      <c r="BI6164" s="224"/>
      <c r="BJ6164" s="227"/>
      <c r="BK6164" s="227"/>
      <c r="BL6164" s="227"/>
      <c r="BM6164" s="224"/>
      <c r="BN6164" s="224"/>
      <c r="BO6164" s="262"/>
      <c r="BP6164" s="262"/>
      <c r="BQ6164" s="262"/>
      <c r="BR6164" s="262"/>
      <c r="BS6164" s="262"/>
      <c r="BT6164" s="227"/>
      <c r="BU6164" s="227"/>
      <c r="BV6164" s="227"/>
      <c r="BW6164" s="286"/>
      <c r="BX6164" s="286"/>
      <c r="BY6164" s="227"/>
      <c r="BZ6164" s="227"/>
      <c r="CA6164" s="227"/>
      <c r="CB6164" s="190"/>
    </row>
    <row r="6165" spans="1:80" x14ac:dyDescent="0.2">
      <c r="A6165" s="257"/>
      <c r="B6165" s="667"/>
      <c r="C6165" s="667"/>
      <c r="D6165" s="292"/>
      <c r="E6165" s="257"/>
      <c r="F6165" s="257"/>
      <c r="G6165" s="227"/>
      <c r="H6165" s="328"/>
      <c r="I6165" s="227"/>
      <c r="J6165" s="150">
        <v>120</v>
      </c>
      <c r="K6165" s="227"/>
      <c r="L6165" s="660"/>
      <c r="M6165" s="671"/>
      <c r="N6165" s="582">
        <v>1.32</v>
      </c>
      <c r="O6165" s="581">
        <v>5.0000000000000002E-5</v>
      </c>
      <c r="P6165" s="782"/>
      <c r="Q6165" s="764"/>
      <c r="R6165" s="764"/>
      <c r="S6165" s="764"/>
      <c r="T6165" s="764"/>
      <c r="U6165" s="764"/>
      <c r="V6165" s="764"/>
      <c r="W6165" s="764"/>
      <c r="X6165" s="764"/>
      <c r="Y6165" s="768"/>
      <c r="Z6165" s="281"/>
      <c r="AA6165" s="281"/>
      <c r="AB6165" s="281"/>
      <c r="AC6165" s="174"/>
      <c r="AD6165" s="282"/>
      <c r="AE6165" s="282"/>
      <c r="AF6165" s="173"/>
      <c r="AG6165" s="177"/>
      <c r="AH6165" s="349"/>
      <c r="AI6165" s="283"/>
      <c r="AJ6165" s="240"/>
      <c r="AK6165" s="240"/>
      <c r="AL6165" s="284"/>
      <c r="AM6165" s="167"/>
      <c r="AN6165" s="167"/>
      <c r="AO6165" s="167"/>
      <c r="AP6165" s="167"/>
      <c r="AQ6165" s="167"/>
      <c r="AR6165" s="551"/>
      <c r="AS6165" s="551"/>
      <c r="AT6165" s="551"/>
      <c r="AU6165" s="283"/>
      <c r="AV6165" s="283"/>
      <c r="AW6165" s="283"/>
      <c r="AX6165" s="283"/>
      <c r="AY6165" s="283"/>
      <c r="AZ6165" s="167"/>
      <c r="BA6165" s="167"/>
      <c r="BB6165" s="285"/>
      <c r="BC6165" s="154"/>
      <c r="BD6165" s="154"/>
      <c r="BE6165" s="150"/>
      <c r="BF6165" s="227"/>
      <c r="BG6165" s="227"/>
      <c r="BH6165" s="227"/>
      <c r="BI6165" s="224"/>
      <c r="BJ6165" s="227"/>
      <c r="BK6165" s="227"/>
      <c r="BL6165" s="227"/>
      <c r="BM6165" s="224"/>
      <c r="BN6165" s="224"/>
      <c r="BO6165" s="262"/>
      <c r="BP6165" s="262"/>
      <c r="BQ6165" s="262"/>
      <c r="BR6165" s="262"/>
      <c r="BS6165" s="262"/>
      <c r="BT6165" s="227"/>
      <c r="BU6165" s="227"/>
      <c r="BV6165" s="227"/>
      <c r="BW6165" s="286"/>
      <c r="BX6165" s="286"/>
      <c r="BY6165" s="227"/>
      <c r="BZ6165" s="227"/>
      <c r="CA6165" s="227"/>
      <c r="CB6165" s="190"/>
    </row>
    <row r="6166" spans="1:80" x14ac:dyDescent="0.2">
      <c r="A6166" s="257"/>
      <c r="B6166" s="667"/>
      <c r="C6166" s="667"/>
      <c r="D6166" s="292"/>
      <c r="E6166" s="257"/>
      <c r="F6166" s="257"/>
      <c r="G6166" s="227"/>
      <c r="H6166" s="328"/>
      <c r="I6166" s="227"/>
      <c r="J6166" s="150">
        <v>120</v>
      </c>
      <c r="K6166" s="227"/>
      <c r="L6166" s="660"/>
      <c r="M6166" s="671"/>
      <c r="N6166" s="582">
        <v>1.43</v>
      </c>
      <c r="O6166" s="581">
        <v>4.0999999999999999E-7</v>
      </c>
      <c r="P6166" s="782"/>
      <c r="Q6166" s="764"/>
      <c r="R6166" s="764"/>
      <c r="S6166" s="764"/>
      <c r="T6166" s="764"/>
      <c r="U6166" s="764"/>
      <c r="V6166" s="764"/>
      <c r="W6166" s="764"/>
      <c r="X6166" s="764"/>
      <c r="Y6166" s="768"/>
      <c r="Z6166" s="281"/>
      <c r="AA6166" s="281"/>
      <c r="AB6166" s="281"/>
      <c r="AC6166" s="174"/>
      <c r="AD6166" s="282"/>
      <c r="AE6166" s="282"/>
      <c r="AF6166" s="173"/>
      <c r="AG6166" s="177"/>
      <c r="AH6166" s="349"/>
      <c r="AI6166" s="283"/>
      <c r="AJ6166" s="240"/>
      <c r="AK6166" s="240"/>
      <c r="AL6166" s="284"/>
      <c r="AM6166" s="167"/>
      <c r="AN6166" s="167"/>
      <c r="AO6166" s="167"/>
      <c r="AP6166" s="167"/>
      <c r="AQ6166" s="167"/>
      <c r="AR6166" s="551"/>
      <c r="AS6166" s="551"/>
      <c r="AT6166" s="551"/>
      <c r="AU6166" s="283"/>
      <c r="AV6166" s="283"/>
      <c r="AW6166" s="283"/>
      <c r="AX6166" s="283"/>
      <c r="AY6166" s="283"/>
      <c r="AZ6166" s="167"/>
      <c r="BA6166" s="167"/>
      <c r="BB6166" s="285"/>
      <c r="BC6166" s="154"/>
      <c r="BD6166" s="154"/>
      <c r="BE6166" s="150"/>
      <c r="BF6166" s="227"/>
      <c r="BG6166" s="227"/>
      <c r="BH6166" s="227"/>
      <c r="BI6166" s="224"/>
      <c r="BJ6166" s="227"/>
      <c r="BK6166" s="227"/>
      <c r="BL6166" s="227"/>
      <c r="BM6166" s="224"/>
      <c r="BN6166" s="224"/>
      <c r="BO6166" s="262"/>
      <c r="BP6166" s="262"/>
      <c r="BQ6166" s="262"/>
      <c r="BR6166" s="262"/>
      <c r="BS6166" s="262"/>
      <c r="BT6166" s="227"/>
      <c r="BU6166" s="227"/>
      <c r="BV6166" s="227"/>
      <c r="BW6166" s="286"/>
      <c r="BX6166" s="286"/>
      <c r="BY6166" s="227"/>
      <c r="BZ6166" s="227"/>
      <c r="CA6166" s="227"/>
      <c r="CB6166" s="190"/>
    </row>
    <row r="6167" spans="1:80" x14ac:dyDescent="0.2">
      <c r="A6167" s="257"/>
      <c r="B6167" s="667"/>
      <c r="C6167" s="667"/>
      <c r="D6167" s="292"/>
      <c r="E6167" s="257"/>
      <c r="F6167" s="257"/>
      <c r="G6167" s="227"/>
      <c r="H6167" s="328"/>
      <c r="I6167" s="227"/>
      <c r="J6167" s="150">
        <v>120</v>
      </c>
      <c r="K6167" s="227"/>
      <c r="L6167" s="660"/>
      <c r="M6167" s="671"/>
      <c r="N6167" s="582">
        <v>1.73</v>
      </c>
      <c r="O6167" s="581">
        <v>2.9499999999999999E-5</v>
      </c>
      <c r="P6167" s="782"/>
      <c r="Q6167" s="764"/>
      <c r="R6167" s="764"/>
      <c r="S6167" s="764"/>
      <c r="T6167" s="764"/>
      <c r="U6167" s="764"/>
      <c r="V6167" s="764"/>
      <c r="W6167" s="764"/>
      <c r="X6167" s="764"/>
      <c r="Y6167" s="768"/>
      <c r="Z6167" s="281"/>
      <c r="AA6167" s="281"/>
      <c r="AB6167" s="281"/>
      <c r="AC6167" s="174"/>
      <c r="AD6167" s="282"/>
      <c r="AE6167" s="282"/>
      <c r="AF6167" s="173"/>
      <c r="AG6167" s="177"/>
      <c r="AH6167" s="349"/>
      <c r="AI6167" s="283"/>
      <c r="AJ6167" s="240"/>
      <c r="AK6167" s="240"/>
      <c r="AL6167" s="284"/>
      <c r="AM6167" s="167"/>
      <c r="AN6167" s="167"/>
      <c r="AO6167" s="167"/>
      <c r="AP6167" s="167"/>
      <c r="AQ6167" s="167"/>
      <c r="AR6167" s="551"/>
      <c r="AS6167" s="551"/>
      <c r="AT6167" s="551"/>
      <c r="AU6167" s="283"/>
      <c r="AV6167" s="283"/>
      <c r="AW6167" s="283"/>
      <c r="AX6167" s="283"/>
      <c r="AY6167" s="283"/>
      <c r="AZ6167" s="167"/>
      <c r="BA6167" s="167"/>
      <c r="BB6167" s="285"/>
      <c r="BC6167" s="154"/>
      <c r="BD6167" s="154"/>
      <c r="BE6167" s="150"/>
      <c r="BF6167" s="227"/>
      <c r="BG6167" s="227"/>
      <c r="BH6167" s="227"/>
      <c r="BI6167" s="224"/>
      <c r="BJ6167" s="227"/>
      <c r="BK6167" s="227"/>
      <c r="BL6167" s="227"/>
      <c r="BM6167" s="224"/>
      <c r="BN6167" s="224"/>
      <c r="BO6167" s="262"/>
      <c r="BP6167" s="262"/>
      <c r="BQ6167" s="262"/>
      <c r="BR6167" s="262"/>
      <c r="BS6167" s="262"/>
      <c r="BT6167" s="227"/>
      <c r="BU6167" s="227"/>
      <c r="BV6167" s="227"/>
      <c r="BW6167" s="286"/>
      <c r="BX6167" s="286"/>
      <c r="BY6167" s="227"/>
      <c r="BZ6167" s="227"/>
      <c r="CA6167" s="227"/>
      <c r="CB6167" s="190"/>
    </row>
    <row r="6168" spans="1:80" x14ac:dyDescent="0.2">
      <c r="A6168" s="257"/>
      <c r="B6168" s="667"/>
      <c r="C6168" s="667"/>
      <c r="D6168" s="292"/>
      <c r="E6168" s="257"/>
      <c r="F6168" s="257"/>
      <c r="G6168" s="227"/>
      <c r="H6168" s="328"/>
      <c r="I6168" s="227"/>
      <c r="J6168" s="150">
        <v>120</v>
      </c>
      <c r="K6168" s="227"/>
      <c r="L6168" s="660"/>
      <c r="M6168" s="671"/>
      <c r="N6168" s="582">
        <v>2.0299999999999998</v>
      </c>
      <c r="O6168" s="581">
        <v>7.0069999999999996E-4</v>
      </c>
      <c r="P6168" s="782"/>
      <c r="Q6168" s="764"/>
      <c r="R6168" s="764"/>
      <c r="S6168" s="764"/>
      <c r="T6168" s="764"/>
      <c r="U6168" s="764"/>
      <c r="V6168" s="764"/>
      <c r="W6168" s="764"/>
      <c r="X6168" s="764"/>
      <c r="Y6168" s="768"/>
      <c r="Z6168" s="281"/>
      <c r="AA6168" s="281"/>
      <c r="AB6168" s="281"/>
      <c r="AC6168" s="174"/>
      <c r="AD6168" s="282"/>
      <c r="AE6168" s="282"/>
      <c r="AF6168" s="173"/>
      <c r="AG6168" s="177"/>
      <c r="AH6168" s="349"/>
      <c r="AI6168" s="283"/>
      <c r="AJ6168" s="240"/>
      <c r="AK6168" s="240"/>
      <c r="AL6168" s="284"/>
      <c r="AM6168" s="167"/>
      <c r="AN6168" s="167"/>
      <c r="AO6168" s="167"/>
      <c r="AP6168" s="167"/>
      <c r="AQ6168" s="167"/>
      <c r="AR6168" s="551"/>
      <c r="AS6168" s="551"/>
      <c r="AT6168" s="551"/>
      <c r="AU6168" s="283"/>
      <c r="AV6168" s="283"/>
      <c r="AW6168" s="283"/>
      <c r="AX6168" s="283"/>
      <c r="AY6168" s="283"/>
      <c r="AZ6168" s="167"/>
      <c r="BA6168" s="167"/>
      <c r="BB6168" s="285"/>
      <c r="BC6168" s="154"/>
      <c r="BD6168" s="154"/>
      <c r="BE6168" s="150"/>
      <c r="BF6168" s="227"/>
      <c r="BG6168" s="227"/>
      <c r="BH6168" s="227"/>
      <c r="BI6168" s="224"/>
      <c r="BJ6168" s="227"/>
      <c r="BK6168" s="227"/>
      <c r="BL6168" s="227"/>
      <c r="BM6168" s="224"/>
      <c r="BN6168" s="224"/>
      <c r="BO6168" s="262"/>
      <c r="BP6168" s="262"/>
      <c r="BQ6168" s="262"/>
      <c r="BR6168" s="262"/>
      <c r="BS6168" s="262"/>
      <c r="BT6168" s="227"/>
      <c r="BU6168" s="227"/>
      <c r="BV6168" s="227"/>
      <c r="BW6168" s="286"/>
      <c r="BX6168" s="286"/>
      <c r="BY6168" s="227"/>
      <c r="BZ6168" s="227"/>
      <c r="CA6168" s="227"/>
      <c r="CB6168" s="190"/>
    </row>
    <row r="6169" spans="1:80" x14ac:dyDescent="0.2">
      <c r="A6169" s="257"/>
      <c r="B6169" s="667"/>
      <c r="C6169" s="667"/>
      <c r="D6169" s="292"/>
      <c r="E6169" s="257"/>
      <c r="F6169" s="257"/>
      <c r="G6169" s="227"/>
      <c r="H6169" s="328"/>
      <c r="I6169" s="227"/>
      <c r="J6169" s="150">
        <v>120</v>
      </c>
      <c r="K6169" s="227"/>
      <c r="L6169" s="660"/>
      <c r="M6169" s="671"/>
      <c r="N6169" s="582">
        <v>1.98</v>
      </c>
      <c r="O6169" s="581">
        <v>2.498E-4</v>
      </c>
      <c r="P6169" s="782"/>
      <c r="Q6169" s="764"/>
      <c r="R6169" s="764"/>
      <c r="S6169" s="764"/>
      <c r="T6169" s="764"/>
      <c r="U6169" s="764"/>
      <c r="V6169" s="764"/>
      <c r="W6169" s="764"/>
      <c r="X6169" s="764"/>
      <c r="Y6169" s="768"/>
      <c r="Z6169" s="281"/>
      <c r="AA6169" s="281"/>
      <c r="AB6169" s="281"/>
      <c r="AC6169" s="174"/>
      <c r="AD6169" s="282"/>
      <c r="AE6169" s="282"/>
      <c r="AF6169" s="173"/>
      <c r="AG6169" s="177"/>
      <c r="AH6169" s="349"/>
      <c r="AI6169" s="283"/>
      <c r="AJ6169" s="240"/>
      <c r="AK6169" s="240"/>
      <c r="AL6169" s="284"/>
      <c r="AM6169" s="167"/>
      <c r="AN6169" s="167"/>
      <c r="AO6169" s="167"/>
      <c r="AP6169" s="167"/>
      <c r="AQ6169" s="167"/>
      <c r="AR6169" s="551"/>
      <c r="AS6169" s="551"/>
      <c r="AT6169" s="551"/>
      <c r="AU6169" s="283"/>
      <c r="AV6169" s="283"/>
      <c r="AW6169" s="283"/>
      <c r="AX6169" s="283"/>
      <c r="AY6169" s="283"/>
      <c r="AZ6169" s="167"/>
      <c r="BA6169" s="167"/>
      <c r="BB6169" s="285"/>
      <c r="BC6169" s="154"/>
      <c r="BD6169" s="154"/>
      <c r="BE6169" s="150"/>
      <c r="BF6169" s="227"/>
      <c r="BG6169" s="227"/>
      <c r="BH6169" s="227"/>
      <c r="BI6169" s="224"/>
      <c r="BJ6169" s="227"/>
      <c r="BK6169" s="227"/>
      <c r="BL6169" s="227"/>
      <c r="BM6169" s="224"/>
      <c r="BN6169" s="224"/>
      <c r="BO6169" s="262"/>
      <c r="BP6169" s="262"/>
      <c r="BQ6169" s="262"/>
      <c r="BR6169" s="262"/>
      <c r="BS6169" s="262"/>
      <c r="BT6169" s="227"/>
      <c r="BU6169" s="227"/>
      <c r="BV6169" s="227"/>
      <c r="BW6169" s="286"/>
      <c r="BX6169" s="286"/>
      <c r="BY6169" s="227"/>
      <c r="BZ6169" s="227"/>
      <c r="CA6169" s="227"/>
      <c r="CB6169" s="190"/>
    </row>
    <row r="6170" spans="1:80" x14ac:dyDescent="0.2">
      <c r="A6170" s="257"/>
      <c r="B6170" s="667"/>
      <c r="C6170" s="667"/>
      <c r="D6170" s="292"/>
      <c r="E6170" s="257"/>
      <c r="F6170" s="257"/>
      <c r="G6170" s="227"/>
      <c r="H6170" s="328"/>
      <c r="I6170" s="227"/>
      <c r="J6170" s="150">
        <v>120</v>
      </c>
      <c r="K6170" s="227"/>
      <c r="L6170" s="660"/>
      <c r="M6170" s="671"/>
      <c r="N6170" s="582">
        <v>1.85</v>
      </c>
      <c r="O6170" s="581">
        <v>9.5000000000000005E-6</v>
      </c>
      <c r="P6170" s="782"/>
      <c r="Q6170" s="764"/>
      <c r="R6170" s="764"/>
      <c r="S6170" s="764"/>
      <c r="T6170" s="764"/>
      <c r="U6170" s="764"/>
      <c r="V6170" s="764"/>
      <c r="W6170" s="764"/>
      <c r="X6170" s="764"/>
      <c r="Y6170" s="768"/>
      <c r="Z6170" s="281"/>
      <c r="AA6170" s="281"/>
      <c r="AB6170" s="281"/>
      <c r="AC6170" s="174"/>
      <c r="AD6170" s="282"/>
      <c r="AE6170" s="282"/>
      <c r="AF6170" s="173"/>
      <c r="AG6170" s="177"/>
      <c r="AH6170" s="349"/>
      <c r="AI6170" s="283"/>
      <c r="AJ6170" s="240"/>
      <c r="AK6170" s="240"/>
      <c r="AL6170" s="284"/>
      <c r="AM6170" s="167"/>
      <c r="AN6170" s="167"/>
      <c r="AO6170" s="167"/>
      <c r="AP6170" s="167"/>
      <c r="AQ6170" s="167"/>
      <c r="AR6170" s="551"/>
      <c r="AS6170" s="551"/>
      <c r="AT6170" s="551"/>
      <c r="AU6170" s="283"/>
      <c r="AV6170" s="283"/>
      <c r="AW6170" s="283"/>
      <c r="AX6170" s="283"/>
      <c r="AY6170" s="283"/>
      <c r="AZ6170" s="167"/>
      <c r="BA6170" s="167"/>
      <c r="BB6170" s="285"/>
      <c r="BC6170" s="154"/>
      <c r="BD6170" s="154"/>
      <c r="BE6170" s="150"/>
      <c r="BF6170" s="227"/>
      <c r="BG6170" s="227"/>
      <c r="BH6170" s="227"/>
      <c r="BI6170" s="224"/>
      <c r="BJ6170" s="227"/>
      <c r="BK6170" s="227"/>
      <c r="BL6170" s="227"/>
      <c r="BM6170" s="224"/>
      <c r="BN6170" s="224"/>
      <c r="BO6170" s="262"/>
      <c r="BP6170" s="262"/>
      <c r="BQ6170" s="262"/>
      <c r="BR6170" s="262"/>
      <c r="BS6170" s="262"/>
      <c r="BT6170" s="227"/>
      <c r="BU6170" s="227"/>
      <c r="BV6170" s="227"/>
      <c r="BW6170" s="286"/>
      <c r="BX6170" s="286"/>
      <c r="BY6170" s="227"/>
      <c r="BZ6170" s="227"/>
      <c r="CA6170" s="227"/>
      <c r="CB6170" s="190"/>
    </row>
    <row r="6171" spans="1:80" x14ac:dyDescent="0.2">
      <c r="A6171" s="257"/>
      <c r="B6171" s="667"/>
      <c r="C6171" s="667"/>
      <c r="D6171" s="292"/>
      <c r="E6171" s="257"/>
      <c r="F6171" s="257"/>
      <c r="G6171" s="227"/>
      <c r="H6171" s="328"/>
      <c r="I6171" s="227"/>
      <c r="J6171" s="150">
        <v>120</v>
      </c>
      <c r="K6171" s="227"/>
      <c r="L6171" s="660"/>
      <c r="M6171" s="671"/>
      <c r="N6171" s="582">
        <v>2.04</v>
      </c>
      <c r="O6171" s="581">
        <v>4.0800000000000002E-5</v>
      </c>
      <c r="P6171" s="782"/>
      <c r="Q6171" s="764"/>
      <c r="R6171" s="764"/>
      <c r="S6171" s="764"/>
      <c r="T6171" s="764"/>
      <c r="U6171" s="764"/>
      <c r="V6171" s="764"/>
      <c r="W6171" s="764"/>
      <c r="X6171" s="764"/>
      <c r="Y6171" s="768"/>
      <c r="Z6171" s="281"/>
      <c r="AA6171" s="281"/>
      <c r="AB6171" s="281"/>
      <c r="AC6171" s="174"/>
      <c r="AD6171" s="282"/>
      <c r="AE6171" s="282"/>
      <c r="AF6171" s="173"/>
      <c r="AG6171" s="177"/>
      <c r="AH6171" s="349"/>
      <c r="AI6171" s="283"/>
      <c r="AJ6171" s="240"/>
      <c r="AK6171" s="240"/>
      <c r="AL6171" s="284"/>
      <c r="AM6171" s="167"/>
      <c r="AN6171" s="167"/>
      <c r="AO6171" s="167"/>
      <c r="AP6171" s="167"/>
      <c r="AQ6171" s="167"/>
      <c r="AR6171" s="551"/>
      <c r="AS6171" s="551"/>
      <c r="AT6171" s="551"/>
      <c r="AU6171" s="283"/>
      <c r="AV6171" s="283"/>
      <c r="AW6171" s="283"/>
      <c r="AX6171" s="283"/>
      <c r="AY6171" s="283"/>
      <c r="AZ6171" s="167"/>
      <c r="BA6171" s="167"/>
      <c r="BB6171" s="285"/>
      <c r="BC6171" s="154"/>
      <c r="BD6171" s="154"/>
      <c r="BE6171" s="150"/>
      <c r="BF6171" s="227"/>
      <c r="BG6171" s="227"/>
      <c r="BH6171" s="227"/>
      <c r="BI6171" s="224"/>
      <c r="BJ6171" s="227"/>
      <c r="BK6171" s="227"/>
      <c r="BL6171" s="227"/>
      <c r="BM6171" s="224"/>
      <c r="BN6171" s="224"/>
      <c r="BO6171" s="262"/>
      <c r="BP6171" s="262"/>
      <c r="BQ6171" s="262"/>
      <c r="BR6171" s="262"/>
      <c r="BS6171" s="262"/>
      <c r="BT6171" s="227"/>
      <c r="BU6171" s="227"/>
      <c r="BV6171" s="227"/>
      <c r="BW6171" s="286"/>
      <c r="BX6171" s="286"/>
      <c r="BY6171" s="227"/>
      <c r="BZ6171" s="227"/>
      <c r="CA6171" s="227"/>
      <c r="CB6171" s="190"/>
    </row>
    <row r="6172" spans="1:80" x14ac:dyDescent="0.2">
      <c r="A6172" s="257"/>
      <c r="B6172" s="667"/>
      <c r="C6172" s="667"/>
      <c r="D6172" s="292"/>
      <c r="E6172" s="257"/>
      <c r="F6172" s="257"/>
      <c r="G6172" s="227"/>
      <c r="H6172" s="328"/>
      <c r="I6172" s="227"/>
      <c r="J6172" s="150">
        <v>120</v>
      </c>
      <c r="K6172" s="227"/>
      <c r="L6172" s="660"/>
      <c r="M6172" s="671"/>
      <c r="N6172" s="582">
        <v>2.36</v>
      </c>
      <c r="O6172" s="581">
        <v>8.3370000000000004E-4</v>
      </c>
      <c r="P6172" s="782"/>
      <c r="Q6172" s="764"/>
      <c r="R6172" s="764"/>
      <c r="S6172" s="764"/>
      <c r="T6172" s="764"/>
      <c r="U6172" s="764"/>
      <c r="V6172" s="764"/>
      <c r="W6172" s="764"/>
      <c r="X6172" s="764"/>
      <c r="Y6172" s="768"/>
      <c r="Z6172" s="281"/>
      <c r="AA6172" s="281"/>
      <c r="AB6172" s="281"/>
      <c r="AC6172" s="174"/>
      <c r="AD6172" s="282"/>
      <c r="AE6172" s="282"/>
      <c r="AF6172" s="173"/>
      <c r="AG6172" s="177"/>
      <c r="AH6172" s="349"/>
      <c r="AI6172" s="283"/>
      <c r="AJ6172" s="240"/>
      <c r="AK6172" s="240"/>
      <c r="AL6172" s="284"/>
      <c r="AM6172" s="167"/>
      <c r="AN6172" s="167"/>
      <c r="AO6172" s="167"/>
      <c r="AP6172" s="167"/>
      <c r="AQ6172" s="167"/>
      <c r="AR6172" s="551"/>
      <c r="AS6172" s="551"/>
      <c r="AT6172" s="551"/>
      <c r="AU6172" s="283"/>
      <c r="AV6172" s="283"/>
      <c r="AW6172" s="283"/>
      <c r="AX6172" s="283"/>
      <c r="AY6172" s="283"/>
      <c r="AZ6172" s="167"/>
      <c r="BA6172" s="167"/>
      <c r="BB6172" s="285"/>
      <c r="BC6172" s="154"/>
      <c r="BD6172" s="154"/>
      <c r="BE6172" s="150"/>
      <c r="BF6172" s="227"/>
      <c r="BG6172" s="227"/>
      <c r="BH6172" s="227"/>
      <c r="BI6172" s="224"/>
      <c r="BJ6172" s="227"/>
      <c r="BK6172" s="227"/>
      <c r="BL6172" s="227"/>
      <c r="BM6172" s="224"/>
      <c r="BN6172" s="224"/>
      <c r="BO6172" s="262"/>
      <c r="BP6172" s="262"/>
      <c r="BQ6172" s="262"/>
      <c r="BR6172" s="262"/>
      <c r="BS6172" s="262"/>
      <c r="BT6172" s="227"/>
      <c r="BU6172" s="227"/>
      <c r="BV6172" s="227"/>
      <c r="BW6172" s="286"/>
      <c r="BX6172" s="286"/>
      <c r="BY6172" s="227"/>
      <c r="BZ6172" s="227"/>
      <c r="CA6172" s="227"/>
      <c r="CB6172" s="190"/>
    </row>
    <row r="6173" spans="1:80" x14ac:dyDescent="0.2">
      <c r="A6173" s="257"/>
      <c r="B6173" s="667"/>
      <c r="C6173" s="667"/>
      <c r="D6173" s="292"/>
      <c r="E6173" s="257"/>
      <c r="F6173" s="257"/>
      <c r="G6173" s="227"/>
      <c r="H6173" s="328"/>
      <c r="I6173" s="227"/>
      <c r="J6173" s="150">
        <v>120</v>
      </c>
      <c r="K6173" s="227"/>
      <c r="L6173" s="660"/>
      <c r="M6173" s="671"/>
      <c r="N6173" s="582">
        <v>2.5499999999999998</v>
      </c>
      <c r="O6173" s="581">
        <v>3.4739999999999999E-4</v>
      </c>
      <c r="P6173" s="782"/>
      <c r="Q6173" s="764"/>
      <c r="R6173" s="764"/>
      <c r="S6173" s="764"/>
      <c r="T6173" s="764"/>
      <c r="U6173" s="764"/>
      <c r="V6173" s="764"/>
      <c r="W6173" s="764"/>
      <c r="X6173" s="764"/>
      <c r="Y6173" s="768"/>
      <c r="Z6173" s="281"/>
      <c r="AA6173" s="281"/>
      <c r="AB6173" s="281"/>
      <c r="AC6173" s="174"/>
      <c r="AD6173" s="282"/>
      <c r="AE6173" s="282"/>
      <c r="AF6173" s="173"/>
      <c r="AG6173" s="177"/>
      <c r="AH6173" s="349"/>
      <c r="AI6173" s="283"/>
      <c r="AJ6173" s="240"/>
      <c r="AK6173" s="240"/>
      <c r="AL6173" s="284"/>
      <c r="AM6173" s="167"/>
      <c r="AN6173" s="167"/>
      <c r="AO6173" s="167"/>
      <c r="AP6173" s="167"/>
      <c r="AQ6173" s="167"/>
      <c r="AR6173" s="551"/>
      <c r="AS6173" s="551"/>
      <c r="AT6173" s="551"/>
      <c r="AU6173" s="283"/>
      <c r="AV6173" s="283"/>
      <c r="AW6173" s="283"/>
      <c r="AX6173" s="283"/>
      <c r="AY6173" s="283"/>
      <c r="AZ6173" s="167"/>
      <c r="BA6173" s="167"/>
      <c r="BB6173" s="285"/>
      <c r="BC6173" s="154"/>
      <c r="BD6173" s="154"/>
      <c r="BE6173" s="150"/>
      <c r="BF6173" s="227"/>
      <c r="BG6173" s="227"/>
      <c r="BH6173" s="227"/>
      <c r="BI6173" s="224"/>
      <c r="BJ6173" s="227"/>
      <c r="BK6173" s="227"/>
      <c r="BL6173" s="227"/>
      <c r="BM6173" s="224"/>
      <c r="BN6173" s="224"/>
      <c r="BO6173" s="262"/>
      <c r="BP6173" s="262"/>
      <c r="BQ6173" s="262"/>
      <c r="BR6173" s="262"/>
      <c r="BS6173" s="262"/>
      <c r="BT6173" s="227"/>
      <c r="BU6173" s="227"/>
      <c r="BV6173" s="227"/>
      <c r="BW6173" s="286"/>
      <c r="BX6173" s="286"/>
      <c r="BY6173" s="227"/>
      <c r="BZ6173" s="227"/>
      <c r="CA6173" s="227"/>
      <c r="CB6173" s="190"/>
    </row>
    <row r="6174" spans="1:80" x14ac:dyDescent="0.2">
      <c r="A6174" s="257"/>
      <c r="B6174" s="667"/>
      <c r="C6174" s="667"/>
      <c r="D6174" s="292"/>
      <c r="E6174" s="257"/>
      <c r="F6174" s="257"/>
      <c r="G6174" s="227"/>
      <c r="H6174" s="328"/>
      <c r="I6174" s="227"/>
      <c r="J6174" s="150">
        <v>120</v>
      </c>
      <c r="K6174" s="227"/>
      <c r="L6174" s="660"/>
      <c r="M6174" s="671"/>
      <c r="N6174" s="582">
        <v>2.83</v>
      </c>
      <c r="O6174" s="581">
        <v>7.182E-4</v>
      </c>
      <c r="P6174" s="782"/>
      <c r="Q6174" s="764"/>
      <c r="R6174" s="764"/>
      <c r="S6174" s="764"/>
      <c r="T6174" s="764"/>
      <c r="U6174" s="764"/>
      <c r="V6174" s="764"/>
      <c r="W6174" s="764"/>
      <c r="X6174" s="764"/>
      <c r="Y6174" s="768"/>
      <c r="Z6174" s="281"/>
      <c r="AA6174" s="281"/>
      <c r="AB6174" s="281"/>
      <c r="AC6174" s="174"/>
      <c r="AD6174" s="282"/>
      <c r="AE6174" s="282"/>
      <c r="AF6174" s="173"/>
      <c r="AG6174" s="177"/>
      <c r="AH6174" s="349"/>
      <c r="AI6174" s="283"/>
      <c r="AJ6174" s="240"/>
      <c r="AK6174" s="240"/>
      <c r="AL6174" s="284"/>
      <c r="AM6174" s="167"/>
      <c r="AN6174" s="167"/>
      <c r="AO6174" s="167"/>
      <c r="AP6174" s="167"/>
      <c r="AQ6174" s="167"/>
      <c r="AR6174" s="551"/>
      <c r="AS6174" s="551"/>
      <c r="AT6174" s="551"/>
      <c r="AU6174" s="283"/>
      <c r="AV6174" s="283"/>
      <c r="AW6174" s="283"/>
      <c r="AX6174" s="283"/>
      <c r="AY6174" s="283"/>
      <c r="AZ6174" s="167"/>
      <c r="BA6174" s="167"/>
      <c r="BB6174" s="285"/>
      <c r="BC6174" s="154"/>
      <c r="BD6174" s="154"/>
      <c r="BE6174" s="150"/>
      <c r="BF6174" s="227"/>
      <c r="BG6174" s="227"/>
      <c r="BH6174" s="227"/>
      <c r="BI6174" s="224"/>
      <c r="BJ6174" s="227"/>
      <c r="BK6174" s="227"/>
      <c r="BL6174" s="227"/>
      <c r="BM6174" s="224"/>
      <c r="BN6174" s="224"/>
      <c r="BO6174" s="262"/>
      <c r="BP6174" s="262"/>
      <c r="BQ6174" s="262"/>
      <c r="BR6174" s="262"/>
      <c r="BS6174" s="262"/>
      <c r="BT6174" s="227"/>
      <c r="BU6174" s="227"/>
      <c r="BV6174" s="227"/>
      <c r="BW6174" s="286"/>
      <c r="BX6174" s="286"/>
      <c r="BY6174" s="227"/>
      <c r="BZ6174" s="227"/>
      <c r="CA6174" s="227"/>
      <c r="CB6174" s="190"/>
    </row>
    <row r="6175" spans="1:80" x14ac:dyDescent="0.2">
      <c r="A6175" s="257"/>
      <c r="B6175" s="667"/>
      <c r="C6175" s="667"/>
      <c r="D6175" s="292"/>
      <c r="E6175" s="257"/>
      <c r="F6175" s="257"/>
      <c r="G6175" s="227"/>
      <c r="H6175" s="328"/>
      <c r="I6175" s="227"/>
      <c r="J6175" s="150">
        <v>120</v>
      </c>
      <c r="K6175" s="227"/>
      <c r="L6175" s="660"/>
      <c r="M6175" s="671"/>
      <c r="N6175" s="582">
        <v>3.05</v>
      </c>
      <c r="O6175" s="581">
        <v>1.4366000000000001E-3</v>
      </c>
      <c r="P6175" s="782"/>
      <c r="Q6175" s="764"/>
      <c r="R6175" s="764"/>
      <c r="S6175" s="764"/>
      <c r="T6175" s="764"/>
      <c r="U6175" s="764"/>
      <c r="V6175" s="764"/>
      <c r="W6175" s="764"/>
      <c r="X6175" s="764"/>
      <c r="Y6175" s="768"/>
      <c r="Z6175" s="281"/>
      <c r="AA6175" s="281"/>
      <c r="AB6175" s="281"/>
      <c r="AC6175" s="174"/>
      <c r="AD6175" s="282"/>
      <c r="AE6175" s="282"/>
      <c r="AF6175" s="173"/>
      <c r="AG6175" s="177"/>
      <c r="AH6175" s="349"/>
      <c r="AI6175" s="283"/>
      <c r="AJ6175" s="240"/>
      <c r="AK6175" s="240"/>
      <c r="AL6175" s="284"/>
      <c r="AM6175" s="167"/>
      <c r="AN6175" s="167"/>
      <c r="AO6175" s="167"/>
      <c r="AP6175" s="167"/>
      <c r="AQ6175" s="167"/>
      <c r="AR6175" s="551"/>
      <c r="AS6175" s="551"/>
      <c r="AT6175" s="551"/>
      <c r="AU6175" s="283"/>
      <c r="AV6175" s="283"/>
      <c r="AW6175" s="283"/>
      <c r="AX6175" s="283"/>
      <c r="AY6175" s="283"/>
      <c r="AZ6175" s="167"/>
      <c r="BA6175" s="167"/>
      <c r="BB6175" s="285"/>
      <c r="BC6175" s="154"/>
      <c r="BD6175" s="154"/>
      <c r="BE6175" s="150"/>
      <c r="BF6175" s="227"/>
      <c r="BG6175" s="227"/>
      <c r="BH6175" s="227"/>
      <c r="BI6175" s="224"/>
      <c r="BJ6175" s="227"/>
      <c r="BK6175" s="227"/>
      <c r="BL6175" s="227"/>
      <c r="BM6175" s="224"/>
      <c r="BN6175" s="224"/>
      <c r="BO6175" s="262"/>
      <c r="BP6175" s="262"/>
      <c r="BQ6175" s="262"/>
      <c r="BR6175" s="262"/>
      <c r="BS6175" s="262"/>
      <c r="BT6175" s="227"/>
      <c r="BU6175" s="227"/>
      <c r="BV6175" s="227"/>
      <c r="BW6175" s="286"/>
      <c r="BX6175" s="286"/>
      <c r="BY6175" s="227"/>
      <c r="BZ6175" s="227"/>
      <c r="CA6175" s="227"/>
      <c r="CB6175" s="190"/>
    </row>
    <row r="6176" spans="1:80" x14ac:dyDescent="0.2">
      <c r="A6176" s="257"/>
      <c r="B6176" s="667"/>
      <c r="C6176" s="667"/>
      <c r="D6176" s="292"/>
      <c r="E6176" s="257"/>
      <c r="F6176" s="257"/>
      <c r="G6176" s="227"/>
      <c r="H6176" s="328"/>
      <c r="I6176" s="227"/>
      <c r="J6176" s="150">
        <v>120</v>
      </c>
      <c r="K6176" s="227"/>
      <c r="L6176" s="660"/>
      <c r="M6176" s="671"/>
      <c r="N6176" s="582">
        <v>2.31</v>
      </c>
      <c r="O6176" s="581">
        <v>3.0859999999999997E-4</v>
      </c>
      <c r="P6176" s="782"/>
      <c r="Q6176" s="764"/>
      <c r="R6176" s="764"/>
      <c r="S6176" s="764"/>
      <c r="T6176" s="764"/>
      <c r="U6176" s="764"/>
      <c r="V6176" s="764"/>
      <c r="W6176" s="764"/>
      <c r="X6176" s="764"/>
      <c r="Y6176" s="768"/>
      <c r="Z6176" s="281"/>
      <c r="AA6176" s="281"/>
      <c r="AB6176" s="281"/>
      <c r="AC6176" s="174"/>
      <c r="AD6176" s="282"/>
      <c r="AE6176" s="282"/>
      <c r="AF6176" s="173"/>
      <c r="AG6176" s="177"/>
      <c r="AH6176" s="349"/>
      <c r="AI6176" s="283"/>
      <c r="AJ6176" s="240"/>
      <c r="AK6176" s="240"/>
      <c r="AL6176" s="284"/>
      <c r="AM6176" s="167"/>
      <c r="AN6176" s="167"/>
      <c r="AO6176" s="167"/>
      <c r="AP6176" s="167"/>
      <c r="AQ6176" s="167"/>
      <c r="AR6176" s="551"/>
      <c r="AS6176" s="551"/>
      <c r="AT6176" s="551"/>
      <c r="AU6176" s="283"/>
      <c r="AV6176" s="283"/>
      <c r="AW6176" s="283"/>
      <c r="AX6176" s="283"/>
      <c r="AY6176" s="283"/>
      <c r="AZ6176" s="167"/>
      <c r="BA6176" s="167"/>
      <c r="BB6176" s="285"/>
      <c r="BC6176" s="154"/>
      <c r="BD6176" s="154"/>
      <c r="BE6176" s="150"/>
      <c r="BF6176" s="227"/>
      <c r="BG6176" s="227"/>
      <c r="BH6176" s="227"/>
      <c r="BI6176" s="224"/>
      <c r="BJ6176" s="227"/>
      <c r="BK6176" s="227"/>
      <c r="BL6176" s="227"/>
      <c r="BM6176" s="224"/>
      <c r="BN6176" s="224"/>
      <c r="BO6176" s="262"/>
      <c r="BP6176" s="262"/>
      <c r="BQ6176" s="262"/>
      <c r="BR6176" s="262"/>
      <c r="BS6176" s="262"/>
      <c r="BT6176" s="227"/>
      <c r="BU6176" s="227"/>
      <c r="BV6176" s="227"/>
      <c r="BW6176" s="286"/>
      <c r="BX6176" s="286"/>
      <c r="BY6176" s="227"/>
      <c r="BZ6176" s="227"/>
      <c r="CA6176" s="227"/>
      <c r="CB6176" s="190"/>
    </row>
    <row r="6177" spans="1:80" x14ac:dyDescent="0.2">
      <c r="A6177" s="257"/>
      <c r="B6177" s="667"/>
      <c r="C6177" s="667"/>
      <c r="D6177" s="292"/>
      <c r="E6177" s="257"/>
      <c r="F6177" s="257"/>
      <c r="G6177" s="227"/>
      <c r="H6177" s="328"/>
      <c r="I6177" s="227"/>
      <c r="J6177" s="150">
        <v>120</v>
      </c>
      <c r="K6177" s="227"/>
      <c r="L6177" s="660"/>
      <c r="M6177" s="671"/>
      <c r="N6177" s="582">
        <v>2.27</v>
      </c>
      <c r="O6177" s="581">
        <v>7.7030000000000002E-4</v>
      </c>
      <c r="P6177" s="782"/>
      <c r="Q6177" s="764"/>
      <c r="R6177" s="764"/>
      <c r="S6177" s="764"/>
      <c r="T6177" s="764"/>
      <c r="U6177" s="764"/>
      <c r="V6177" s="764"/>
      <c r="W6177" s="764"/>
      <c r="X6177" s="764"/>
      <c r="Y6177" s="768"/>
      <c r="Z6177" s="281"/>
      <c r="AA6177" s="281"/>
      <c r="AB6177" s="281"/>
      <c r="AC6177" s="174"/>
      <c r="AD6177" s="282"/>
      <c r="AE6177" s="282"/>
      <c r="AF6177" s="173"/>
      <c r="AG6177" s="177"/>
      <c r="AH6177" s="349"/>
      <c r="AI6177" s="283"/>
      <c r="AJ6177" s="240"/>
      <c r="AK6177" s="240"/>
      <c r="AL6177" s="284"/>
      <c r="AM6177" s="167"/>
      <c r="AN6177" s="167"/>
      <c r="AO6177" s="167"/>
      <c r="AP6177" s="167"/>
      <c r="AQ6177" s="167"/>
      <c r="AR6177" s="551"/>
      <c r="AS6177" s="551"/>
      <c r="AT6177" s="551"/>
      <c r="AU6177" s="283"/>
      <c r="AV6177" s="283"/>
      <c r="AW6177" s="283"/>
      <c r="AX6177" s="283"/>
      <c r="AY6177" s="283"/>
      <c r="AZ6177" s="167"/>
      <c r="BA6177" s="167"/>
      <c r="BB6177" s="285"/>
      <c r="BC6177" s="154"/>
      <c r="BD6177" s="154"/>
      <c r="BE6177" s="150"/>
      <c r="BF6177" s="227"/>
      <c r="BG6177" s="227"/>
      <c r="BH6177" s="227"/>
      <c r="BI6177" s="224"/>
      <c r="BJ6177" s="227"/>
      <c r="BK6177" s="227"/>
      <c r="BL6177" s="227"/>
      <c r="BM6177" s="224"/>
      <c r="BN6177" s="224"/>
      <c r="BO6177" s="262"/>
      <c r="BP6177" s="262"/>
      <c r="BQ6177" s="262"/>
      <c r="BR6177" s="262"/>
      <c r="BS6177" s="262"/>
      <c r="BT6177" s="227"/>
      <c r="BU6177" s="227"/>
      <c r="BV6177" s="227"/>
      <c r="BW6177" s="286"/>
      <c r="BX6177" s="286"/>
      <c r="BY6177" s="227"/>
      <c r="BZ6177" s="227"/>
      <c r="CA6177" s="227"/>
      <c r="CB6177" s="190"/>
    </row>
    <row r="6178" spans="1:80" x14ac:dyDescent="0.2">
      <c r="A6178" s="257"/>
      <c r="B6178" s="667"/>
      <c r="C6178" s="667"/>
      <c r="D6178" s="292"/>
      <c r="E6178" s="257"/>
      <c r="F6178" s="257"/>
      <c r="G6178" s="227"/>
      <c r="H6178" s="328"/>
      <c r="I6178" s="227"/>
      <c r="J6178" s="150">
        <v>120</v>
      </c>
      <c r="K6178" s="227"/>
      <c r="L6178" s="660"/>
      <c r="M6178" s="671"/>
      <c r="N6178" s="582">
        <v>2.33</v>
      </c>
      <c r="O6178" s="581">
        <v>7.3609999999999995E-4</v>
      </c>
      <c r="P6178" s="782"/>
      <c r="Q6178" s="764"/>
      <c r="R6178" s="764"/>
      <c r="S6178" s="764"/>
      <c r="T6178" s="764"/>
      <c r="U6178" s="764"/>
      <c r="V6178" s="764"/>
      <c r="W6178" s="764"/>
      <c r="X6178" s="764"/>
      <c r="Y6178" s="768"/>
      <c r="Z6178" s="281"/>
      <c r="AA6178" s="281"/>
      <c r="AB6178" s="281"/>
      <c r="AC6178" s="174"/>
      <c r="AD6178" s="282"/>
      <c r="AE6178" s="282"/>
      <c r="AF6178" s="173"/>
      <c r="AG6178" s="177"/>
      <c r="AH6178" s="349"/>
      <c r="AI6178" s="283"/>
      <c r="AJ6178" s="240"/>
      <c r="AK6178" s="240"/>
      <c r="AL6178" s="284"/>
      <c r="AM6178" s="167"/>
      <c r="AN6178" s="167"/>
      <c r="AO6178" s="167"/>
      <c r="AP6178" s="167"/>
      <c r="AQ6178" s="167"/>
      <c r="AR6178" s="551"/>
      <c r="AS6178" s="551"/>
      <c r="AT6178" s="551"/>
      <c r="AU6178" s="283"/>
      <c r="AV6178" s="283"/>
      <c r="AW6178" s="283"/>
      <c r="AX6178" s="283"/>
      <c r="AY6178" s="283"/>
      <c r="AZ6178" s="167"/>
      <c r="BA6178" s="167"/>
      <c r="BB6178" s="285"/>
      <c r="BC6178" s="154"/>
      <c r="BD6178" s="154"/>
      <c r="BE6178" s="150"/>
      <c r="BF6178" s="227"/>
      <c r="BG6178" s="227"/>
      <c r="BH6178" s="227"/>
      <c r="BI6178" s="224"/>
      <c r="BJ6178" s="227"/>
      <c r="BK6178" s="227"/>
      <c r="BL6178" s="227"/>
      <c r="BM6178" s="224"/>
      <c r="BN6178" s="224"/>
      <c r="BO6178" s="262"/>
      <c r="BP6178" s="262"/>
      <c r="BQ6178" s="262"/>
      <c r="BR6178" s="262"/>
      <c r="BS6178" s="262"/>
      <c r="BT6178" s="227"/>
      <c r="BU6178" s="227"/>
      <c r="BV6178" s="227"/>
      <c r="BW6178" s="286"/>
      <c r="BX6178" s="286"/>
      <c r="BY6178" s="227"/>
      <c r="BZ6178" s="227"/>
      <c r="CA6178" s="227"/>
      <c r="CB6178" s="190"/>
    </row>
    <row r="6179" spans="1:80" x14ac:dyDescent="0.2">
      <c r="A6179" s="257"/>
      <c r="B6179" s="667"/>
      <c r="C6179" s="667"/>
      <c r="D6179" s="292"/>
      <c r="E6179" s="257"/>
      <c r="F6179" s="257"/>
      <c r="G6179" s="227"/>
      <c r="H6179" s="328"/>
      <c r="I6179" s="227"/>
      <c r="J6179" s="150">
        <v>120</v>
      </c>
      <c r="K6179" s="227"/>
      <c r="L6179" s="660"/>
      <c r="M6179" s="671"/>
      <c r="N6179" s="582">
        <v>2.36</v>
      </c>
      <c r="O6179" s="581">
        <v>1.4811000000000002E-3</v>
      </c>
      <c r="P6179" s="782"/>
      <c r="Q6179" s="764"/>
      <c r="R6179" s="764"/>
      <c r="S6179" s="764"/>
      <c r="T6179" s="764"/>
      <c r="U6179" s="764"/>
      <c r="V6179" s="764"/>
      <c r="W6179" s="764"/>
      <c r="X6179" s="764"/>
      <c r="Y6179" s="768"/>
      <c r="Z6179" s="281"/>
      <c r="AA6179" s="281"/>
      <c r="AB6179" s="281"/>
      <c r="AC6179" s="174"/>
      <c r="AD6179" s="282"/>
      <c r="AE6179" s="282"/>
      <c r="AF6179" s="173"/>
      <c r="AG6179" s="177"/>
      <c r="AH6179" s="349"/>
      <c r="AI6179" s="283"/>
      <c r="AJ6179" s="240"/>
      <c r="AK6179" s="240"/>
      <c r="AL6179" s="284"/>
      <c r="AM6179" s="167"/>
      <c r="AN6179" s="167"/>
      <c r="AO6179" s="167"/>
      <c r="AP6179" s="167"/>
      <c r="AQ6179" s="167"/>
      <c r="AR6179" s="551"/>
      <c r="AS6179" s="551"/>
      <c r="AT6179" s="551"/>
      <c r="AU6179" s="283"/>
      <c r="AV6179" s="283"/>
      <c r="AW6179" s="283"/>
      <c r="AX6179" s="283"/>
      <c r="AY6179" s="283"/>
      <c r="AZ6179" s="167"/>
      <c r="BA6179" s="167"/>
      <c r="BB6179" s="285"/>
      <c r="BC6179" s="154"/>
      <c r="BD6179" s="154"/>
      <c r="BE6179" s="150"/>
      <c r="BF6179" s="227"/>
      <c r="BG6179" s="227"/>
      <c r="BH6179" s="227"/>
      <c r="BI6179" s="224"/>
      <c r="BJ6179" s="227"/>
      <c r="BK6179" s="227"/>
      <c r="BL6179" s="227"/>
      <c r="BM6179" s="224"/>
      <c r="BN6179" s="224"/>
      <c r="BO6179" s="262"/>
      <c r="BP6179" s="262"/>
      <c r="BQ6179" s="262"/>
      <c r="BR6179" s="262"/>
      <c r="BS6179" s="262"/>
      <c r="BT6179" s="227"/>
      <c r="BU6179" s="227"/>
      <c r="BV6179" s="227"/>
      <c r="BW6179" s="286"/>
      <c r="BX6179" s="286"/>
      <c r="BY6179" s="227"/>
      <c r="BZ6179" s="227"/>
      <c r="CA6179" s="227"/>
      <c r="CB6179" s="190"/>
    </row>
    <row r="6180" spans="1:80" x14ac:dyDescent="0.2">
      <c r="A6180" s="257"/>
      <c r="B6180" s="667"/>
      <c r="C6180" s="667"/>
      <c r="D6180" s="292"/>
      <c r="E6180" s="257"/>
      <c r="F6180" s="257"/>
      <c r="G6180" s="227"/>
      <c r="H6180" s="328"/>
      <c r="I6180" s="227"/>
      <c r="J6180" s="150">
        <v>120</v>
      </c>
      <c r="K6180" s="227"/>
      <c r="L6180" s="660"/>
      <c r="M6180" s="671"/>
      <c r="N6180" s="582">
        <v>1.69</v>
      </c>
      <c r="O6180" s="581">
        <v>8.2000000000000011E-6</v>
      </c>
      <c r="P6180" s="782"/>
      <c r="Q6180" s="764"/>
      <c r="R6180" s="764"/>
      <c r="S6180" s="764"/>
      <c r="T6180" s="764"/>
      <c r="U6180" s="764"/>
      <c r="V6180" s="764"/>
      <c r="W6180" s="764"/>
      <c r="X6180" s="764"/>
      <c r="Y6180" s="768"/>
      <c r="Z6180" s="281"/>
      <c r="AA6180" s="281"/>
      <c r="AB6180" s="281"/>
      <c r="AC6180" s="174"/>
      <c r="AD6180" s="282"/>
      <c r="AE6180" s="282"/>
      <c r="AF6180" s="173"/>
      <c r="AG6180" s="177"/>
      <c r="AH6180" s="349"/>
      <c r="AI6180" s="283"/>
      <c r="AJ6180" s="240"/>
      <c r="AK6180" s="240"/>
      <c r="AL6180" s="284"/>
      <c r="AM6180" s="167"/>
      <c r="AN6180" s="167"/>
      <c r="AO6180" s="167"/>
      <c r="AP6180" s="167"/>
      <c r="AQ6180" s="167"/>
      <c r="AR6180" s="551"/>
      <c r="AS6180" s="551"/>
      <c r="AT6180" s="551"/>
      <c r="AU6180" s="283"/>
      <c r="AV6180" s="283"/>
      <c r="AW6180" s="283"/>
      <c r="AX6180" s="283"/>
      <c r="AY6180" s="283"/>
      <c r="AZ6180" s="167"/>
      <c r="BA6180" s="167"/>
      <c r="BB6180" s="285"/>
      <c r="BC6180" s="154"/>
      <c r="BD6180" s="154"/>
      <c r="BE6180" s="150"/>
      <c r="BF6180" s="227"/>
      <c r="BG6180" s="227"/>
      <c r="BH6180" s="227"/>
      <c r="BI6180" s="224"/>
      <c r="BJ6180" s="227"/>
      <c r="BK6180" s="227"/>
      <c r="BL6180" s="227"/>
      <c r="BM6180" s="224"/>
      <c r="BN6180" s="224"/>
      <c r="BO6180" s="262"/>
      <c r="BP6180" s="262"/>
      <c r="BQ6180" s="262"/>
      <c r="BR6180" s="262"/>
      <c r="BS6180" s="262"/>
      <c r="BT6180" s="227"/>
      <c r="BU6180" s="227"/>
      <c r="BV6180" s="227"/>
      <c r="BW6180" s="286"/>
      <c r="BX6180" s="286"/>
      <c r="BY6180" s="227"/>
      <c r="BZ6180" s="227"/>
      <c r="CA6180" s="227"/>
      <c r="CB6180" s="190"/>
    </row>
    <row r="6181" spans="1:80" x14ac:dyDescent="0.2">
      <c r="A6181" s="257"/>
      <c r="B6181" s="667"/>
      <c r="C6181" s="667"/>
      <c r="D6181" s="292"/>
      <c r="E6181" s="257"/>
      <c r="F6181" s="257"/>
      <c r="G6181" s="227"/>
      <c r="H6181" s="328"/>
      <c r="I6181" s="227"/>
      <c r="J6181" s="150">
        <v>120</v>
      </c>
      <c r="K6181" s="227"/>
      <c r="L6181" s="660"/>
      <c r="M6181" s="671"/>
      <c r="N6181" s="582">
        <v>1.69</v>
      </c>
      <c r="O6181" s="581">
        <v>2.0799999999999997E-5</v>
      </c>
      <c r="P6181" s="782"/>
      <c r="Q6181" s="764"/>
      <c r="R6181" s="764"/>
      <c r="S6181" s="764"/>
      <c r="T6181" s="764"/>
      <c r="U6181" s="764"/>
      <c r="V6181" s="764"/>
      <c r="W6181" s="764"/>
      <c r="X6181" s="764"/>
      <c r="Y6181" s="768"/>
      <c r="Z6181" s="281"/>
      <c r="AA6181" s="281"/>
      <c r="AB6181" s="281"/>
      <c r="AC6181" s="174"/>
      <c r="AD6181" s="282"/>
      <c r="AE6181" s="282"/>
      <c r="AF6181" s="173"/>
      <c r="AG6181" s="177"/>
      <c r="AH6181" s="349"/>
      <c r="AI6181" s="283"/>
      <c r="AJ6181" s="240"/>
      <c r="AK6181" s="240"/>
      <c r="AL6181" s="284"/>
      <c r="AM6181" s="167"/>
      <c r="AN6181" s="167"/>
      <c r="AO6181" s="167"/>
      <c r="AP6181" s="167"/>
      <c r="AQ6181" s="167"/>
      <c r="AR6181" s="551"/>
      <c r="AS6181" s="551"/>
      <c r="AT6181" s="551"/>
      <c r="AU6181" s="283"/>
      <c r="AV6181" s="283"/>
      <c r="AW6181" s="283"/>
      <c r="AX6181" s="283"/>
      <c r="AY6181" s="283"/>
      <c r="AZ6181" s="167"/>
      <c r="BA6181" s="167"/>
      <c r="BB6181" s="285"/>
      <c r="BC6181" s="154"/>
      <c r="BD6181" s="154"/>
      <c r="BE6181" s="150"/>
      <c r="BF6181" s="227"/>
      <c r="BG6181" s="227"/>
      <c r="BH6181" s="227"/>
      <c r="BI6181" s="224"/>
      <c r="BJ6181" s="227"/>
      <c r="BK6181" s="227"/>
      <c r="BL6181" s="227"/>
      <c r="BM6181" s="224"/>
      <c r="BN6181" s="224"/>
      <c r="BO6181" s="262"/>
      <c r="BP6181" s="262"/>
      <c r="BQ6181" s="262"/>
      <c r="BR6181" s="262"/>
      <c r="BS6181" s="262"/>
      <c r="BT6181" s="227"/>
      <c r="BU6181" s="227"/>
      <c r="BV6181" s="227"/>
      <c r="BW6181" s="286"/>
      <c r="BX6181" s="286"/>
      <c r="BY6181" s="227"/>
      <c r="BZ6181" s="227"/>
      <c r="CA6181" s="227"/>
      <c r="CB6181" s="190"/>
    </row>
    <row r="6182" spans="1:80" x14ac:dyDescent="0.2">
      <c r="A6182" s="257"/>
      <c r="B6182" s="667"/>
      <c r="C6182" s="667"/>
      <c r="D6182" s="292"/>
      <c r="E6182" s="257"/>
      <c r="F6182" s="257"/>
      <c r="G6182" s="227"/>
      <c r="H6182" s="328"/>
      <c r="I6182" s="227"/>
      <c r="J6182" s="150">
        <v>120</v>
      </c>
      <c r="K6182" s="227"/>
      <c r="L6182" s="660"/>
      <c r="M6182" s="671"/>
      <c r="N6182" s="582">
        <v>1.72</v>
      </c>
      <c r="O6182" s="581">
        <v>5.4499999999999997E-5</v>
      </c>
      <c r="P6182" s="782"/>
      <c r="Q6182" s="764"/>
      <c r="R6182" s="764"/>
      <c r="S6182" s="764"/>
      <c r="T6182" s="764"/>
      <c r="U6182" s="764"/>
      <c r="V6182" s="764"/>
      <c r="W6182" s="764"/>
      <c r="X6182" s="764"/>
      <c r="Y6182" s="768"/>
      <c r="Z6182" s="281"/>
      <c r="AA6182" s="281"/>
      <c r="AB6182" s="281"/>
      <c r="AC6182" s="174"/>
      <c r="AD6182" s="282"/>
      <c r="AE6182" s="282"/>
      <c r="AF6182" s="173"/>
      <c r="AG6182" s="177"/>
      <c r="AH6182" s="349"/>
      <c r="AI6182" s="283"/>
      <c r="AJ6182" s="240"/>
      <c r="AK6182" s="240"/>
      <c r="AL6182" s="284"/>
      <c r="AM6182" s="167"/>
      <c r="AN6182" s="167"/>
      <c r="AO6182" s="167"/>
      <c r="AP6182" s="167"/>
      <c r="AQ6182" s="167"/>
      <c r="AR6182" s="551"/>
      <c r="AS6182" s="551"/>
      <c r="AT6182" s="551"/>
      <c r="AU6182" s="283"/>
      <c r="AV6182" s="283"/>
      <c r="AW6182" s="283"/>
      <c r="AX6182" s="283"/>
      <c r="AY6182" s="283"/>
      <c r="AZ6182" s="167"/>
      <c r="BA6182" s="167"/>
      <c r="BB6182" s="285"/>
      <c r="BC6182" s="154"/>
      <c r="BD6182" s="154"/>
      <c r="BE6182" s="150"/>
      <c r="BF6182" s="227"/>
      <c r="BG6182" s="227"/>
      <c r="BH6182" s="227"/>
      <c r="BI6182" s="224"/>
      <c r="BJ6182" s="227"/>
      <c r="BK6182" s="227"/>
      <c r="BL6182" s="227"/>
      <c r="BM6182" s="224"/>
      <c r="BN6182" s="224"/>
      <c r="BO6182" s="262"/>
      <c r="BP6182" s="262"/>
      <c r="BQ6182" s="262"/>
      <c r="BR6182" s="262"/>
      <c r="BS6182" s="262"/>
      <c r="BT6182" s="227"/>
      <c r="BU6182" s="227"/>
      <c r="BV6182" s="227"/>
      <c r="BW6182" s="286"/>
      <c r="BX6182" s="286"/>
      <c r="BY6182" s="227"/>
      <c r="BZ6182" s="227"/>
      <c r="CA6182" s="227"/>
      <c r="CB6182" s="190"/>
    </row>
    <row r="6183" spans="1:80" x14ac:dyDescent="0.2">
      <c r="A6183" s="257"/>
      <c r="B6183" s="667"/>
      <c r="C6183" s="667"/>
      <c r="D6183" s="292"/>
      <c r="E6183" s="257"/>
      <c r="F6183" s="257"/>
      <c r="G6183" s="227"/>
      <c r="H6183" s="328"/>
      <c r="I6183" s="227"/>
      <c r="J6183" s="150">
        <v>120</v>
      </c>
      <c r="K6183" s="227"/>
      <c r="L6183" s="660"/>
      <c r="M6183" s="671"/>
      <c r="N6183" s="582">
        <v>1.76</v>
      </c>
      <c r="O6183" s="581">
        <v>4.0339999999999999E-4</v>
      </c>
      <c r="P6183" s="782"/>
      <c r="Q6183" s="764"/>
      <c r="R6183" s="764"/>
      <c r="S6183" s="764"/>
      <c r="T6183" s="764"/>
      <c r="U6183" s="764"/>
      <c r="V6183" s="764"/>
      <c r="W6183" s="764"/>
      <c r="X6183" s="764"/>
      <c r="Y6183" s="768"/>
      <c r="Z6183" s="281"/>
      <c r="AA6183" s="281"/>
      <c r="AB6183" s="281"/>
      <c r="AC6183" s="174"/>
      <c r="AD6183" s="282"/>
      <c r="AE6183" s="282"/>
      <c r="AF6183" s="173"/>
      <c r="AG6183" s="177"/>
      <c r="AH6183" s="349"/>
      <c r="AI6183" s="283"/>
      <c r="AJ6183" s="240"/>
      <c r="AK6183" s="240"/>
      <c r="AL6183" s="284"/>
      <c r="AM6183" s="167"/>
      <c r="AN6183" s="167"/>
      <c r="AO6183" s="167"/>
      <c r="AP6183" s="167"/>
      <c r="AQ6183" s="167"/>
      <c r="AR6183" s="551"/>
      <c r="AS6183" s="551"/>
      <c r="AT6183" s="551"/>
      <c r="AU6183" s="283"/>
      <c r="AV6183" s="283"/>
      <c r="AW6183" s="283"/>
      <c r="AX6183" s="283"/>
      <c r="AY6183" s="283"/>
      <c r="AZ6183" s="167"/>
      <c r="BA6183" s="167"/>
      <c r="BB6183" s="285"/>
      <c r="BC6183" s="154"/>
      <c r="BD6183" s="154"/>
      <c r="BE6183" s="150"/>
      <c r="BF6183" s="227"/>
      <c r="BG6183" s="227"/>
      <c r="BH6183" s="227"/>
      <c r="BI6183" s="224"/>
      <c r="BJ6183" s="227"/>
      <c r="BK6183" s="227"/>
      <c r="BL6183" s="227"/>
      <c r="BM6183" s="224"/>
      <c r="BN6183" s="224"/>
      <c r="BO6183" s="262"/>
      <c r="BP6183" s="262"/>
      <c r="BQ6183" s="262"/>
      <c r="BR6183" s="262"/>
      <c r="BS6183" s="262"/>
      <c r="BT6183" s="227"/>
      <c r="BU6183" s="227"/>
      <c r="BV6183" s="227"/>
      <c r="BW6183" s="286"/>
      <c r="BX6183" s="286"/>
      <c r="BY6183" s="227"/>
      <c r="BZ6183" s="227"/>
      <c r="CA6183" s="227"/>
      <c r="CB6183" s="190"/>
    </row>
    <row r="6184" spans="1:80" x14ac:dyDescent="0.2">
      <c r="A6184" s="257"/>
      <c r="B6184" s="667"/>
      <c r="C6184" s="667"/>
      <c r="D6184" s="292"/>
      <c r="E6184" s="257"/>
      <c r="F6184" s="257"/>
      <c r="G6184" s="227"/>
      <c r="H6184" s="328"/>
      <c r="I6184" s="227"/>
      <c r="J6184" s="150">
        <v>120</v>
      </c>
      <c r="K6184" s="227"/>
      <c r="L6184" s="660"/>
      <c r="M6184" s="671"/>
      <c r="N6184" s="582">
        <v>1.49</v>
      </c>
      <c r="O6184" s="581">
        <v>3.3500000000000001E-5</v>
      </c>
      <c r="P6184" s="782"/>
      <c r="Q6184" s="764"/>
      <c r="R6184" s="764"/>
      <c r="S6184" s="764"/>
      <c r="T6184" s="764"/>
      <c r="U6184" s="764"/>
      <c r="V6184" s="764"/>
      <c r="W6184" s="764"/>
      <c r="X6184" s="764"/>
      <c r="Y6184" s="768"/>
      <c r="Z6184" s="281"/>
      <c r="AA6184" s="281"/>
      <c r="AB6184" s="281"/>
      <c r="AC6184" s="174"/>
      <c r="AD6184" s="282"/>
      <c r="AE6184" s="282"/>
      <c r="AF6184" s="173"/>
      <c r="AG6184" s="177"/>
      <c r="AH6184" s="349"/>
      <c r="AI6184" s="283"/>
      <c r="AJ6184" s="240"/>
      <c r="AK6184" s="240"/>
      <c r="AL6184" s="284"/>
      <c r="AM6184" s="167"/>
      <c r="AN6184" s="167"/>
      <c r="AO6184" s="167"/>
      <c r="AP6184" s="167"/>
      <c r="AQ6184" s="167"/>
      <c r="AR6184" s="551"/>
      <c r="AS6184" s="551"/>
      <c r="AT6184" s="551"/>
      <c r="AU6184" s="283"/>
      <c r="AV6184" s="283"/>
      <c r="AW6184" s="283"/>
      <c r="AX6184" s="283"/>
      <c r="AY6184" s="283"/>
      <c r="AZ6184" s="167"/>
      <c r="BA6184" s="167"/>
      <c r="BB6184" s="285"/>
      <c r="BC6184" s="154"/>
      <c r="BD6184" s="154"/>
      <c r="BE6184" s="150"/>
      <c r="BF6184" s="227"/>
      <c r="BG6184" s="227"/>
      <c r="BH6184" s="227"/>
      <c r="BI6184" s="224"/>
      <c r="BJ6184" s="227"/>
      <c r="BK6184" s="227"/>
      <c r="BL6184" s="227"/>
      <c r="BM6184" s="224"/>
      <c r="BN6184" s="224"/>
      <c r="BO6184" s="262"/>
      <c r="BP6184" s="262"/>
      <c r="BQ6184" s="262"/>
      <c r="BR6184" s="262"/>
      <c r="BS6184" s="262"/>
      <c r="BT6184" s="227"/>
      <c r="BU6184" s="227"/>
      <c r="BV6184" s="227"/>
      <c r="BW6184" s="286"/>
      <c r="BX6184" s="286"/>
      <c r="BY6184" s="227"/>
      <c r="BZ6184" s="227"/>
      <c r="CA6184" s="227"/>
      <c r="CB6184" s="190"/>
    </row>
    <row r="6185" spans="1:80" x14ac:dyDescent="0.2">
      <c r="A6185" s="257"/>
      <c r="B6185" s="667"/>
      <c r="C6185" s="667"/>
      <c r="D6185" s="292"/>
      <c r="E6185" s="257"/>
      <c r="F6185" s="257"/>
      <c r="G6185" s="227"/>
      <c r="H6185" s="328"/>
      <c r="I6185" s="227"/>
      <c r="J6185" s="150">
        <v>120</v>
      </c>
      <c r="K6185" s="227"/>
      <c r="L6185" s="660"/>
      <c r="M6185" s="671"/>
      <c r="N6185" s="582">
        <v>1.56</v>
      </c>
      <c r="O6185" s="581">
        <v>1.167E-4</v>
      </c>
      <c r="P6185" s="782"/>
      <c r="Q6185" s="764"/>
      <c r="R6185" s="764"/>
      <c r="S6185" s="764"/>
      <c r="T6185" s="764"/>
      <c r="U6185" s="764"/>
      <c r="V6185" s="764"/>
      <c r="W6185" s="764"/>
      <c r="X6185" s="764"/>
      <c r="Y6185" s="768"/>
      <c r="Z6185" s="281"/>
      <c r="AA6185" s="281"/>
      <c r="AB6185" s="281"/>
      <c r="AC6185" s="174"/>
      <c r="AD6185" s="282"/>
      <c r="AE6185" s="282"/>
      <c r="AF6185" s="173"/>
      <c r="AG6185" s="177"/>
      <c r="AH6185" s="349"/>
      <c r="AI6185" s="283"/>
      <c r="AJ6185" s="240"/>
      <c r="AK6185" s="240"/>
      <c r="AL6185" s="284"/>
      <c r="AM6185" s="167"/>
      <c r="AN6185" s="167"/>
      <c r="AO6185" s="167"/>
      <c r="AP6185" s="167"/>
      <c r="AQ6185" s="167"/>
      <c r="AR6185" s="551"/>
      <c r="AS6185" s="551"/>
      <c r="AT6185" s="551"/>
      <c r="AU6185" s="283"/>
      <c r="AV6185" s="283"/>
      <c r="AW6185" s="283"/>
      <c r="AX6185" s="283"/>
      <c r="AY6185" s="283"/>
      <c r="AZ6185" s="167"/>
      <c r="BA6185" s="167"/>
      <c r="BB6185" s="285"/>
      <c r="BC6185" s="154"/>
      <c r="BD6185" s="154"/>
      <c r="BE6185" s="150"/>
      <c r="BF6185" s="227"/>
      <c r="BG6185" s="227"/>
      <c r="BH6185" s="227"/>
      <c r="BI6185" s="224"/>
      <c r="BJ6185" s="227"/>
      <c r="BK6185" s="227"/>
      <c r="BL6185" s="227"/>
      <c r="BM6185" s="224"/>
      <c r="BN6185" s="224"/>
      <c r="BO6185" s="262"/>
      <c r="BP6185" s="262"/>
      <c r="BQ6185" s="262"/>
      <c r="BR6185" s="262"/>
      <c r="BS6185" s="262"/>
      <c r="BT6185" s="227"/>
      <c r="BU6185" s="227"/>
      <c r="BV6185" s="227"/>
      <c r="BW6185" s="286"/>
      <c r="BX6185" s="286"/>
      <c r="BY6185" s="227"/>
      <c r="BZ6185" s="227"/>
      <c r="CA6185" s="227"/>
      <c r="CB6185" s="190"/>
    </row>
    <row r="6186" spans="1:80" x14ac:dyDescent="0.2">
      <c r="A6186" s="257"/>
      <c r="B6186" s="667"/>
      <c r="C6186" s="667"/>
      <c r="D6186" s="292"/>
      <c r="E6186" s="257"/>
      <c r="F6186" s="257"/>
      <c r="G6186" s="227"/>
      <c r="H6186" s="328"/>
      <c r="I6186" s="227"/>
      <c r="J6186" s="150">
        <v>120</v>
      </c>
      <c r="K6186" s="227"/>
      <c r="L6186" s="660"/>
      <c r="M6186" s="671"/>
      <c r="N6186" s="582">
        <v>1.55</v>
      </c>
      <c r="O6186" s="581">
        <v>1.0620000000000001E-4</v>
      </c>
      <c r="P6186" s="782"/>
      <c r="Q6186" s="764"/>
      <c r="R6186" s="764"/>
      <c r="S6186" s="764"/>
      <c r="T6186" s="764"/>
      <c r="U6186" s="764"/>
      <c r="V6186" s="764"/>
      <c r="W6186" s="764"/>
      <c r="X6186" s="764"/>
      <c r="Y6186" s="768"/>
      <c r="Z6186" s="281"/>
      <c r="AA6186" s="281"/>
      <c r="AB6186" s="281"/>
      <c r="AC6186" s="174"/>
      <c r="AD6186" s="282"/>
      <c r="AE6186" s="282"/>
      <c r="AF6186" s="173"/>
      <c r="AG6186" s="177"/>
      <c r="AH6186" s="349"/>
      <c r="AI6186" s="283"/>
      <c r="AJ6186" s="240"/>
      <c r="AK6186" s="240"/>
      <c r="AL6186" s="284"/>
      <c r="AM6186" s="167"/>
      <c r="AN6186" s="167"/>
      <c r="AO6186" s="167"/>
      <c r="AP6186" s="167"/>
      <c r="AQ6186" s="167"/>
      <c r="AR6186" s="551"/>
      <c r="AS6186" s="551"/>
      <c r="AT6186" s="551"/>
      <c r="AU6186" s="283"/>
      <c r="AV6186" s="283"/>
      <c r="AW6186" s="283"/>
      <c r="AX6186" s="283"/>
      <c r="AY6186" s="283"/>
      <c r="AZ6186" s="167"/>
      <c r="BA6186" s="167"/>
      <c r="BB6186" s="285"/>
      <c r="BC6186" s="154"/>
      <c r="BD6186" s="154"/>
      <c r="BE6186" s="150"/>
      <c r="BF6186" s="227"/>
      <c r="BG6186" s="227"/>
      <c r="BH6186" s="227"/>
      <c r="BI6186" s="224"/>
      <c r="BJ6186" s="227"/>
      <c r="BK6186" s="227"/>
      <c r="BL6186" s="227"/>
      <c r="BM6186" s="224"/>
      <c r="BN6186" s="224"/>
      <c r="BO6186" s="262"/>
      <c r="BP6186" s="262"/>
      <c r="BQ6186" s="262"/>
      <c r="BR6186" s="262"/>
      <c r="BS6186" s="262"/>
      <c r="BT6186" s="227"/>
      <c r="BU6186" s="227"/>
      <c r="BV6186" s="227"/>
      <c r="BW6186" s="286"/>
      <c r="BX6186" s="286"/>
      <c r="BY6186" s="227"/>
      <c r="BZ6186" s="227"/>
      <c r="CA6186" s="227"/>
      <c r="CB6186" s="190"/>
    </row>
    <row r="6187" spans="1:80" x14ac:dyDescent="0.2">
      <c r="A6187" s="257"/>
      <c r="B6187" s="667"/>
      <c r="C6187" s="667"/>
      <c r="D6187" s="292"/>
      <c r="E6187" s="257"/>
      <c r="F6187" s="257"/>
      <c r="G6187" s="227"/>
      <c r="H6187" s="328"/>
      <c r="I6187" s="227"/>
      <c r="J6187" s="150">
        <v>120</v>
      </c>
      <c r="K6187" s="227"/>
      <c r="L6187" s="660"/>
      <c r="M6187" s="671"/>
      <c r="N6187" s="582">
        <v>1.41</v>
      </c>
      <c r="O6187" s="581">
        <v>4.0999999999999999E-7</v>
      </c>
      <c r="P6187" s="782"/>
      <c r="Q6187" s="764"/>
      <c r="R6187" s="764"/>
      <c r="S6187" s="764"/>
      <c r="T6187" s="764"/>
      <c r="U6187" s="764"/>
      <c r="V6187" s="764"/>
      <c r="W6187" s="764"/>
      <c r="X6187" s="764"/>
      <c r="Y6187" s="768"/>
      <c r="Z6187" s="281"/>
      <c r="AA6187" s="281"/>
      <c r="AB6187" s="281"/>
      <c r="AC6187" s="174"/>
      <c r="AD6187" s="282"/>
      <c r="AE6187" s="282"/>
      <c r="AF6187" s="173"/>
      <c r="AG6187" s="177"/>
      <c r="AH6187" s="349"/>
      <c r="AI6187" s="283"/>
      <c r="AJ6187" s="240"/>
      <c r="AK6187" s="240"/>
      <c r="AL6187" s="284"/>
      <c r="AM6187" s="167"/>
      <c r="AN6187" s="167"/>
      <c r="AO6187" s="167"/>
      <c r="AP6187" s="167"/>
      <c r="AQ6187" s="167"/>
      <c r="AR6187" s="551"/>
      <c r="AS6187" s="551"/>
      <c r="AT6187" s="551"/>
      <c r="AU6187" s="283"/>
      <c r="AV6187" s="283"/>
      <c r="AW6187" s="283"/>
      <c r="AX6187" s="283"/>
      <c r="AY6187" s="283"/>
      <c r="AZ6187" s="167"/>
      <c r="BA6187" s="167"/>
      <c r="BB6187" s="285"/>
      <c r="BC6187" s="154"/>
      <c r="BD6187" s="154"/>
      <c r="BE6187" s="150"/>
      <c r="BF6187" s="227"/>
      <c r="BG6187" s="227"/>
      <c r="BH6187" s="227"/>
      <c r="BI6187" s="224"/>
      <c r="BJ6187" s="227"/>
      <c r="BK6187" s="227"/>
      <c r="BL6187" s="227"/>
      <c r="BM6187" s="224"/>
      <c r="BN6187" s="224"/>
      <c r="BO6187" s="262"/>
      <c r="BP6187" s="262"/>
      <c r="BQ6187" s="262"/>
      <c r="BR6187" s="262"/>
      <c r="BS6187" s="262"/>
      <c r="BT6187" s="227"/>
      <c r="BU6187" s="227"/>
      <c r="BV6187" s="227"/>
      <c r="BW6187" s="286"/>
      <c r="BX6187" s="286"/>
      <c r="BY6187" s="227"/>
      <c r="BZ6187" s="227"/>
      <c r="CA6187" s="227"/>
      <c r="CB6187" s="190"/>
    </row>
    <row r="6188" spans="1:80" x14ac:dyDescent="0.2">
      <c r="A6188" s="257"/>
      <c r="B6188" s="667"/>
      <c r="C6188" s="667"/>
      <c r="D6188" s="292"/>
      <c r="E6188" s="257"/>
      <c r="F6188" s="257"/>
      <c r="G6188" s="227"/>
      <c r="H6188" s="328"/>
      <c r="I6188" s="227"/>
      <c r="J6188" s="150">
        <v>120</v>
      </c>
      <c r="K6188" s="227"/>
      <c r="L6188" s="660"/>
      <c r="M6188" s="671"/>
      <c r="N6188" s="582">
        <v>1.43</v>
      </c>
      <c r="O6188" s="581">
        <v>2.65E-5</v>
      </c>
      <c r="P6188" s="782"/>
      <c r="Q6188" s="764"/>
      <c r="R6188" s="764"/>
      <c r="S6188" s="764"/>
      <c r="T6188" s="764"/>
      <c r="U6188" s="764"/>
      <c r="V6188" s="764"/>
      <c r="W6188" s="764"/>
      <c r="X6188" s="764"/>
      <c r="Y6188" s="768"/>
      <c r="Z6188" s="281"/>
      <c r="AA6188" s="281"/>
      <c r="AB6188" s="281"/>
      <c r="AC6188" s="174"/>
      <c r="AD6188" s="282"/>
      <c r="AE6188" s="282"/>
      <c r="AF6188" s="173"/>
      <c r="AG6188" s="177"/>
      <c r="AH6188" s="349"/>
      <c r="AI6188" s="283"/>
      <c r="AJ6188" s="240"/>
      <c r="AK6188" s="240"/>
      <c r="AL6188" s="284"/>
      <c r="AM6188" s="167"/>
      <c r="AN6188" s="167"/>
      <c r="AO6188" s="167"/>
      <c r="AP6188" s="167"/>
      <c r="AQ6188" s="167"/>
      <c r="AR6188" s="551"/>
      <c r="AS6188" s="551"/>
      <c r="AT6188" s="551"/>
      <c r="AU6188" s="283"/>
      <c r="AV6188" s="283"/>
      <c r="AW6188" s="283"/>
      <c r="AX6188" s="283"/>
      <c r="AY6188" s="283"/>
      <c r="AZ6188" s="167"/>
      <c r="BA6188" s="167"/>
      <c r="BB6188" s="285"/>
      <c r="BC6188" s="154"/>
      <c r="BD6188" s="154"/>
      <c r="BE6188" s="150"/>
      <c r="BF6188" s="227"/>
      <c r="BG6188" s="227"/>
      <c r="BH6188" s="227"/>
      <c r="BI6188" s="224"/>
      <c r="BJ6188" s="227"/>
      <c r="BK6188" s="227"/>
      <c r="BL6188" s="227"/>
      <c r="BM6188" s="224"/>
      <c r="BN6188" s="224"/>
      <c r="BO6188" s="262"/>
      <c r="BP6188" s="262"/>
      <c r="BQ6188" s="262"/>
      <c r="BR6188" s="262"/>
      <c r="BS6188" s="262"/>
      <c r="BT6188" s="227"/>
      <c r="BU6188" s="227"/>
      <c r="BV6188" s="227"/>
      <c r="BW6188" s="286"/>
      <c r="BX6188" s="286"/>
      <c r="BY6188" s="227"/>
      <c r="BZ6188" s="227"/>
      <c r="CA6188" s="227"/>
      <c r="CB6188" s="190"/>
    </row>
    <row r="6189" spans="1:80" x14ac:dyDescent="0.2">
      <c r="A6189" s="257"/>
      <c r="B6189" s="667"/>
      <c r="C6189" s="667"/>
      <c r="D6189" s="292"/>
      <c r="E6189" s="257"/>
      <c r="F6189" s="257"/>
      <c r="G6189" s="227"/>
      <c r="H6189" s="328"/>
      <c r="I6189" s="227"/>
      <c r="J6189" s="150">
        <v>120</v>
      </c>
      <c r="K6189" s="227"/>
      <c r="L6189" s="660"/>
      <c r="M6189" s="671"/>
      <c r="N6189" s="582">
        <v>1.57</v>
      </c>
      <c r="O6189" s="581">
        <v>6.5000000000000008E-5</v>
      </c>
      <c r="P6189" s="782"/>
      <c r="Q6189" s="764"/>
      <c r="R6189" s="764"/>
      <c r="S6189" s="764"/>
      <c r="T6189" s="764"/>
      <c r="U6189" s="764"/>
      <c r="V6189" s="764"/>
      <c r="W6189" s="764"/>
      <c r="X6189" s="764"/>
      <c r="Y6189" s="768"/>
      <c r="Z6189" s="281"/>
      <c r="AA6189" s="281"/>
      <c r="AB6189" s="281"/>
      <c r="AC6189" s="174"/>
      <c r="AD6189" s="282"/>
      <c r="AE6189" s="282"/>
      <c r="AF6189" s="173"/>
      <c r="AG6189" s="177"/>
      <c r="AH6189" s="349"/>
      <c r="AI6189" s="283"/>
      <c r="AJ6189" s="240"/>
      <c r="AK6189" s="240"/>
      <c r="AL6189" s="284"/>
      <c r="AM6189" s="167"/>
      <c r="AN6189" s="167"/>
      <c r="AO6189" s="167"/>
      <c r="AP6189" s="167"/>
      <c r="AQ6189" s="167"/>
      <c r="AR6189" s="551"/>
      <c r="AS6189" s="551"/>
      <c r="AT6189" s="551"/>
      <c r="AU6189" s="283"/>
      <c r="AV6189" s="283"/>
      <c r="AW6189" s="283"/>
      <c r="AX6189" s="283"/>
      <c r="AY6189" s="283"/>
      <c r="AZ6189" s="167"/>
      <c r="BA6189" s="167"/>
      <c r="BB6189" s="285"/>
      <c r="BC6189" s="154"/>
      <c r="BD6189" s="154"/>
      <c r="BE6189" s="150"/>
      <c r="BF6189" s="227"/>
      <c r="BG6189" s="227"/>
      <c r="BH6189" s="227"/>
      <c r="BI6189" s="224"/>
      <c r="BJ6189" s="227"/>
      <c r="BK6189" s="227"/>
      <c r="BL6189" s="227"/>
      <c r="BM6189" s="224"/>
      <c r="BN6189" s="224"/>
      <c r="BO6189" s="262"/>
      <c r="BP6189" s="262"/>
      <c r="BQ6189" s="262"/>
      <c r="BR6189" s="262"/>
      <c r="BS6189" s="262"/>
      <c r="BT6189" s="227"/>
      <c r="BU6189" s="227"/>
      <c r="BV6189" s="227"/>
      <c r="BW6189" s="286"/>
      <c r="BX6189" s="286"/>
      <c r="BY6189" s="227"/>
      <c r="BZ6189" s="227"/>
      <c r="CA6189" s="227"/>
      <c r="CB6189" s="190"/>
    </row>
    <row r="6190" spans="1:80" x14ac:dyDescent="0.2">
      <c r="A6190" s="257"/>
      <c r="B6190" s="667"/>
      <c r="C6190" s="667"/>
      <c r="D6190" s="292"/>
      <c r="E6190" s="257"/>
      <c r="F6190" s="257"/>
      <c r="G6190" s="227"/>
      <c r="H6190" s="328"/>
      <c r="I6190" s="227"/>
      <c r="J6190" s="150">
        <v>120</v>
      </c>
      <c r="K6190" s="227"/>
      <c r="L6190" s="660"/>
      <c r="M6190" s="671"/>
      <c r="N6190" s="582">
        <v>1.73</v>
      </c>
      <c r="O6190" s="581">
        <v>4.2500000000000003E-5</v>
      </c>
      <c r="P6190" s="782"/>
      <c r="Q6190" s="764"/>
      <c r="R6190" s="764"/>
      <c r="S6190" s="764"/>
      <c r="T6190" s="764"/>
      <c r="U6190" s="764"/>
      <c r="V6190" s="764"/>
      <c r="W6190" s="764"/>
      <c r="X6190" s="764"/>
      <c r="Y6190" s="768"/>
      <c r="Z6190" s="281"/>
      <c r="AA6190" s="281"/>
      <c r="AB6190" s="281"/>
      <c r="AC6190" s="174"/>
      <c r="AD6190" s="282"/>
      <c r="AE6190" s="282"/>
      <c r="AF6190" s="173"/>
      <c r="AG6190" s="177"/>
      <c r="AH6190" s="349"/>
      <c r="AI6190" s="283"/>
      <c r="AJ6190" s="240"/>
      <c r="AK6190" s="240"/>
      <c r="AL6190" s="284"/>
      <c r="AM6190" s="167"/>
      <c r="AN6190" s="167"/>
      <c r="AO6190" s="167"/>
      <c r="AP6190" s="167"/>
      <c r="AQ6190" s="167"/>
      <c r="AR6190" s="551"/>
      <c r="AS6190" s="551"/>
      <c r="AT6190" s="551"/>
      <c r="AU6190" s="283"/>
      <c r="AV6190" s="283"/>
      <c r="AW6190" s="283"/>
      <c r="AX6190" s="283"/>
      <c r="AY6190" s="283"/>
      <c r="AZ6190" s="167"/>
      <c r="BA6190" s="167"/>
      <c r="BB6190" s="285"/>
      <c r="BC6190" s="154"/>
      <c r="BD6190" s="154"/>
      <c r="BE6190" s="150"/>
      <c r="BF6190" s="227"/>
      <c r="BG6190" s="227"/>
      <c r="BH6190" s="227"/>
      <c r="BI6190" s="224"/>
      <c r="BJ6190" s="227"/>
      <c r="BK6190" s="227"/>
      <c r="BL6190" s="227"/>
      <c r="BM6190" s="224"/>
      <c r="BN6190" s="224"/>
      <c r="BO6190" s="262"/>
      <c r="BP6190" s="262"/>
      <c r="BQ6190" s="262"/>
      <c r="BR6190" s="262"/>
      <c r="BS6190" s="262"/>
      <c r="BT6190" s="227"/>
      <c r="BU6190" s="227"/>
      <c r="BV6190" s="227"/>
      <c r="BW6190" s="286"/>
      <c r="BX6190" s="286"/>
      <c r="BY6190" s="227"/>
      <c r="BZ6190" s="227"/>
      <c r="CA6190" s="227"/>
      <c r="CB6190" s="190"/>
    </row>
    <row r="6191" spans="1:80" x14ac:dyDescent="0.2">
      <c r="A6191" s="257"/>
      <c r="B6191" s="667"/>
      <c r="C6191" s="667"/>
      <c r="D6191" s="292"/>
      <c r="E6191" s="257"/>
      <c r="F6191" s="257"/>
      <c r="G6191" s="227"/>
      <c r="H6191" s="328"/>
      <c r="I6191" s="227"/>
      <c r="J6191" s="150">
        <v>120</v>
      </c>
      <c r="K6191" s="227"/>
      <c r="L6191" s="660"/>
      <c r="M6191" s="671"/>
      <c r="N6191" s="582">
        <v>1.83</v>
      </c>
      <c r="O6191" s="581">
        <v>7.1799999999999997E-5</v>
      </c>
      <c r="P6191" s="782"/>
      <c r="Q6191" s="764"/>
      <c r="R6191" s="764"/>
      <c r="S6191" s="764"/>
      <c r="T6191" s="764"/>
      <c r="U6191" s="764"/>
      <c r="V6191" s="764"/>
      <c r="W6191" s="764"/>
      <c r="X6191" s="764"/>
      <c r="Y6191" s="768"/>
      <c r="Z6191" s="281"/>
      <c r="AA6191" s="281"/>
      <c r="AB6191" s="281"/>
      <c r="AC6191" s="174"/>
      <c r="AD6191" s="282"/>
      <c r="AE6191" s="282"/>
      <c r="AF6191" s="173"/>
      <c r="AG6191" s="177"/>
      <c r="AH6191" s="349"/>
      <c r="AI6191" s="283"/>
      <c r="AJ6191" s="240"/>
      <c r="AK6191" s="240"/>
      <c r="AL6191" s="284"/>
      <c r="AM6191" s="167"/>
      <c r="AN6191" s="167"/>
      <c r="AO6191" s="167"/>
      <c r="AP6191" s="167"/>
      <c r="AQ6191" s="167"/>
      <c r="AR6191" s="551"/>
      <c r="AS6191" s="551"/>
      <c r="AT6191" s="551"/>
      <c r="AU6191" s="283"/>
      <c r="AV6191" s="283"/>
      <c r="AW6191" s="283"/>
      <c r="AX6191" s="283"/>
      <c r="AY6191" s="283"/>
      <c r="AZ6191" s="167"/>
      <c r="BA6191" s="167"/>
      <c r="BB6191" s="285"/>
      <c r="BC6191" s="154"/>
      <c r="BD6191" s="154"/>
      <c r="BE6191" s="150"/>
      <c r="BF6191" s="227"/>
      <c r="BG6191" s="227"/>
      <c r="BH6191" s="227"/>
      <c r="BI6191" s="224"/>
      <c r="BJ6191" s="227"/>
      <c r="BK6191" s="227"/>
      <c r="BL6191" s="227"/>
      <c r="BM6191" s="224"/>
      <c r="BN6191" s="224"/>
      <c r="BO6191" s="262"/>
      <c r="BP6191" s="262"/>
      <c r="BQ6191" s="262"/>
      <c r="BR6191" s="262"/>
      <c r="BS6191" s="262"/>
      <c r="BT6191" s="227"/>
      <c r="BU6191" s="227"/>
      <c r="BV6191" s="227"/>
      <c r="BW6191" s="286"/>
      <c r="BX6191" s="286"/>
      <c r="BY6191" s="227"/>
      <c r="BZ6191" s="227"/>
      <c r="CA6191" s="227"/>
      <c r="CB6191" s="190"/>
    </row>
    <row r="6192" spans="1:80" x14ac:dyDescent="0.2">
      <c r="A6192" s="257"/>
      <c r="B6192" s="667"/>
      <c r="C6192" s="667"/>
      <c r="D6192" s="292"/>
      <c r="E6192" s="257"/>
      <c r="F6192" s="257"/>
      <c r="G6192" s="227"/>
      <c r="H6192" s="328"/>
      <c r="I6192" s="227"/>
      <c r="J6192" s="150">
        <v>120</v>
      </c>
      <c r="K6192" s="227"/>
      <c r="L6192" s="660"/>
      <c r="M6192" s="671"/>
      <c r="N6192" s="582">
        <v>1.96</v>
      </c>
      <c r="O6192" s="581">
        <v>1.549E-4</v>
      </c>
      <c r="P6192" s="782"/>
      <c r="Q6192" s="764"/>
      <c r="R6192" s="764"/>
      <c r="S6192" s="764"/>
      <c r="T6192" s="764"/>
      <c r="U6192" s="764"/>
      <c r="V6192" s="764"/>
      <c r="W6192" s="764"/>
      <c r="X6192" s="764"/>
      <c r="Y6192" s="768"/>
      <c r="Z6192" s="281"/>
      <c r="AA6192" s="281"/>
      <c r="AB6192" s="281"/>
      <c r="AC6192" s="174"/>
      <c r="AD6192" s="282"/>
      <c r="AE6192" s="282"/>
      <c r="AF6192" s="173"/>
      <c r="AG6192" s="177"/>
      <c r="AH6192" s="349"/>
      <c r="AI6192" s="283"/>
      <c r="AJ6192" s="240"/>
      <c r="AK6192" s="240"/>
      <c r="AL6192" s="284"/>
      <c r="AM6192" s="167"/>
      <c r="AN6192" s="167"/>
      <c r="AO6192" s="167"/>
      <c r="AP6192" s="167"/>
      <c r="AQ6192" s="167"/>
      <c r="AR6192" s="551"/>
      <c r="AS6192" s="551"/>
      <c r="AT6192" s="551"/>
      <c r="AU6192" s="283"/>
      <c r="AV6192" s="283"/>
      <c r="AW6192" s="283"/>
      <c r="AX6192" s="283"/>
      <c r="AY6192" s="283"/>
      <c r="AZ6192" s="167"/>
      <c r="BA6192" s="167"/>
      <c r="BB6192" s="285"/>
      <c r="BC6192" s="154"/>
      <c r="BD6192" s="154"/>
      <c r="BE6192" s="150"/>
      <c r="BF6192" s="227"/>
      <c r="BG6192" s="227"/>
      <c r="BH6192" s="227"/>
      <c r="BI6192" s="224"/>
      <c r="BJ6192" s="227"/>
      <c r="BK6192" s="227"/>
      <c r="BL6192" s="227"/>
      <c r="BM6192" s="224"/>
      <c r="BN6192" s="224"/>
      <c r="BO6192" s="262"/>
      <c r="BP6192" s="262"/>
      <c r="BQ6192" s="262"/>
      <c r="BR6192" s="262"/>
      <c r="BS6192" s="262"/>
      <c r="BT6192" s="227"/>
      <c r="BU6192" s="227"/>
      <c r="BV6192" s="227"/>
      <c r="BW6192" s="286"/>
      <c r="BX6192" s="286"/>
      <c r="BY6192" s="227"/>
      <c r="BZ6192" s="227"/>
      <c r="CA6192" s="227"/>
      <c r="CB6192" s="190"/>
    </row>
    <row r="6193" spans="1:80" x14ac:dyDescent="0.2">
      <c r="A6193" s="257"/>
      <c r="B6193" s="667"/>
      <c r="C6193" s="667"/>
      <c r="D6193" s="292"/>
      <c r="E6193" s="257"/>
      <c r="F6193" s="257"/>
      <c r="G6193" s="227"/>
      <c r="H6193" s="328"/>
      <c r="I6193" s="227"/>
      <c r="J6193" s="150">
        <v>120</v>
      </c>
      <c r="K6193" s="227"/>
      <c r="L6193" s="660"/>
      <c r="M6193" s="671"/>
      <c r="N6193" s="582">
        <v>1.98</v>
      </c>
      <c r="O6193" s="581">
        <v>1.63E-5</v>
      </c>
      <c r="P6193" s="782"/>
      <c r="Q6193" s="764"/>
      <c r="R6193" s="764"/>
      <c r="S6193" s="764"/>
      <c r="T6193" s="764"/>
      <c r="U6193" s="764"/>
      <c r="V6193" s="764"/>
      <c r="W6193" s="764"/>
      <c r="X6193" s="764"/>
      <c r="Y6193" s="768"/>
      <c r="Z6193" s="281"/>
      <c r="AA6193" s="281"/>
      <c r="AB6193" s="281"/>
      <c r="AC6193" s="174"/>
      <c r="AD6193" s="282"/>
      <c r="AE6193" s="282"/>
      <c r="AF6193" s="173"/>
      <c r="AG6193" s="177"/>
      <c r="AH6193" s="349"/>
      <c r="AI6193" s="283"/>
      <c r="AJ6193" s="240"/>
      <c r="AK6193" s="240"/>
      <c r="AL6193" s="284"/>
      <c r="AM6193" s="167"/>
      <c r="AN6193" s="167"/>
      <c r="AO6193" s="167"/>
      <c r="AP6193" s="167"/>
      <c r="AQ6193" s="167"/>
      <c r="AR6193" s="551"/>
      <c r="AS6193" s="551"/>
      <c r="AT6193" s="551"/>
      <c r="AU6193" s="283"/>
      <c r="AV6193" s="283"/>
      <c r="AW6193" s="283"/>
      <c r="AX6193" s="283"/>
      <c r="AY6193" s="283"/>
      <c r="AZ6193" s="167"/>
      <c r="BA6193" s="167"/>
      <c r="BB6193" s="285"/>
      <c r="BC6193" s="154"/>
      <c r="BD6193" s="154"/>
      <c r="BE6193" s="150"/>
      <c r="BF6193" s="227"/>
      <c r="BG6193" s="227"/>
      <c r="BH6193" s="227"/>
      <c r="BI6193" s="224"/>
      <c r="BJ6193" s="227"/>
      <c r="BK6193" s="227"/>
      <c r="BL6193" s="227"/>
      <c r="BM6193" s="224"/>
      <c r="BN6193" s="224"/>
      <c r="BO6193" s="262"/>
      <c r="BP6193" s="262"/>
      <c r="BQ6193" s="262"/>
      <c r="BR6193" s="262"/>
      <c r="BS6193" s="262"/>
      <c r="BT6193" s="227"/>
      <c r="BU6193" s="227"/>
      <c r="BV6193" s="227"/>
      <c r="BW6193" s="286"/>
      <c r="BX6193" s="286"/>
      <c r="BY6193" s="227"/>
      <c r="BZ6193" s="227"/>
      <c r="CA6193" s="227"/>
      <c r="CB6193" s="190"/>
    </row>
    <row r="6194" spans="1:80" x14ac:dyDescent="0.2">
      <c r="A6194" s="257"/>
      <c r="B6194" s="667"/>
      <c r="C6194" s="667"/>
      <c r="D6194" s="292"/>
      <c r="E6194" s="257"/>
      <c r="F6194" s="257"/>
      <c r="G6194" s="227"/>
      <c r="H6194" s="328"/>
      <c r="I6194" s="227"/>
      <c r="J6194" s="150">
        <v>120</v>
      </c>
      <c r="K6194" s="227"/>
      <c r="L6194" s="660"/>
      <c r="M6194" s="671"/>
      <c r="N6194" s="582">
        <v>1.1599999999999999</v>
      </c>
      <c r="O6194" s="581">
        <v>5.3000000000000001E-6</v>
      </c>
      <c r="P6194" s="782"/>
      <c r="Q6194" s="764"/>
      <c r="R6194" s="764"/>
      <c r="S6194" s="764"/>
      <c r="T6194" s="764"/>
      <c r="U6194" s="764"/>
      <c r="V6194" s="764"/>
      <c r="W6194" s="764"/>
      <c r="X6194" s="764"/>
      <c r="Y6194" s="768"/>
      <c r="Z6194" s="281"/>
      <c r="AA6194" s="281"/>
      <c r="AB6194" s="281"/>
      <c r="AC6194" s="174"/>
      <c r="AD6194" s="282"/>
      <c r="AE6194" s="282"/>
      <c r="AF6194" s="173"/>
      <c r="AG6194" s="177"/>
      <c r="AH6194" s="349"/>
      <c r="AI6194" s="283"/>
      <c r="AJ6194" s="240"/>
      <c r="AK6194" s="240"/>
      <c r="AL6194" s="284"/>
      <c r="AM6194" s="167"/>
      <c r="AN6194" s="167"/>
      <c r="AO6194" s="167"/>
      <c r="AP6194" s="167"/>
      <c r="AQ6194" s="167"/>
      <c r="AR6194" s="551"/>
      <c r="AS6194" s="551"/>
      <c r="AT6194" s="551"/>
      <c r="AU6194" s="283"/>
      <c r="AV6194" s="283"/>
      <c r="AW6194" s="283"/>
      <c r="AX6194" s="283"/>
      <c r="AY6194" s="283"/>
      <c r="AZ6194" s="167"/>
      <c r="BA6194" s="167"/>
      <c r="BB6194" s="285"/>
      <c r="BC6194" s="154"/>
      <c r="BD6194" s="154"/>
      <c r="BE6194" s="150"/>
      <c r="BF6194" s="227"/>
      <c r="BG6194" s="227"/>
      <c r="BH6194" s="227"/>
      <c r="BI6194" s="224"/>
      <c r="BJ6194" s="227"/>
      <c r="BK6194" s="227"/>
      <c r="BL6194" s="227"/>
      <c r="BM6194" s="224"/>
      <c r="BN6194" s="224"/>
      <c r="BO6194" s="262"/>
      <c r="BP6194" s="262"/>
      <c r="BQ6194" s="262"/>
      <c r="BR6194" s="262"/>
      <c r="BS6194" s="262"/>
      <c r="BT6194" s="227"/>
      <c r="BU6194" s="227"/>
      <c r="BV6194" s="227"/>
      <c r="BW6194" s="286"/>
      <c r="BX6194" s="286"/>
      <c r="BY6194" s="227"/>
      <c r="BZ6194" s="227"/>
      <c r="CA6194" s="227"/>
      <c r="CB6194" s="190"/>
    </row>
    <row r="6195" spans="1:80" x14ac:dyDescent="0.2">
      <c r="A6195" s="257"/>
      <c r="B6195" s="667"/>
      <c r="C6195" s="667"/>
      <c r="D6195" s="292"/>
      <c r="E6195" s="257"/>
      <c r="F6195" s="257"/>
      <c r="G6195" s="227"/>
      <c r="H6195" s="328"/>
      <c r="I6195" s="227"/>
      <c r="J6195" s="150">
        <v>120</v>
      </c>
      <c r="K6195" s="227"/>
      <c r="L6195" s="660"/>
      <c r="M6195" s="671"/>
      <c r="N6195" s="582">
        <v>1.1499999999999999</v>
      </c>
      <c r="O6195" s="581">
        <v>4.0999999999999999E-7</v>
      </c>
      <c r="P6195" s="782"/>
      <c r="Q6195" s="764"/>
      <c r="R6195" s="764"/>
      <c r="S6195" s="764"/>
      <c r="T6195" s="764"/>
      <c r="U6195" s="764"/>
      <c r="V6195" s="764"/>
      <c r="W6195" s="764"/>
      <c r="X6195" s="764"/>
      <c r="Y6195" s="768"/>
      <c r="Z6195" s="281"/>
      <c r="AA6195" s="281"/>
      <c r="AB6195" s="281"/>
      <c r="AC6195" s="174"/>
      <c r="AD6195" s="282"/>
      <c r="AE6195" s="282"/>
      <c r="AF6195" s="173"/>
      <c r="AG6195" s="177"/>
      <c r="AH6195" s="349"/>
      <c r="AI6195" s="283"/>
      <c r="AJ6195" s="240"/>
      <c r="AK6195" s="240"/>
      <c r="AL6195" s="284"/>
      <c r="AM6195" s="167"/>
      <c r="AN6195" s="167"/>
      <c r="AO6195" s="167"/>
      <c r="AP6195" s="167"/>
      <c r="AQ6195" s="167"/>
      <c r="AR6195" s="551"/>
      <c r="AS6195" s="551"/>
      <c r="AT6195" s="551"/>
      <c r="AU6195" s="283"/>
      <c r="AV6195" s="283"/>
      <c r="AW6195" s="283"/>
      <c r="AX6195" s="283"/>
      <c r="AY6195" s="283"/>
      <c r="AZ6195" s="167"/>
      <c r="BA6195" s="167"/>
      <c r="BB6195" s="285"/>
      <c r="BC6195" s="154"/>
      <c r="BD6195" s="154"/>
      <c r="BE6195" s="150"/>
      <c r="BF6195" s="227"/>
      <c r="BG6195" s="227"/>
      <c r="BH6195" s="227"/>
      <c r="BI6195" s="224"/>
      <c r="BJ6195" s="227"/>
      <c r="BK6195" s="227"/>
      <c r="BL6195" s="227"/>
      <c r="BM6195" s="224"/>
      <c r="BN6195" s="224"/>
      <c r="BO6195" s="262"/>
      <c r="BP6195" s="262"/>
      <c r="BQ6195" s="262"/>
      <c r="BR6195" s="262"/>
      <c r="BS6195" s="262"/>
      <c r="BT6195" s="227"/>
      <c r="BU6195" s="227"/>
      <c r="BV6195" s="227"/>
      <c r="BW6195" s="286"/>
      <c r="BX6195" s="286"/>
      <c r="BY6195" s="227"/>
      <c r="BZ6195" s="227"/>
      <c r="CA6195" s="227"/>
      <c r="CB6195" s="190"/>
    </row>
    <row r="6196" spans="1:80" s="120" customFormat="1" ht="15" x14ac:dyDescent="0.25">
      <c r="A6196" s="9" t="s">
        <v>61</v>
      </c>
      <c r="B6196" s="639" t="s">
        <v>53</v>
      </c>
      <c r="C6196" s="639"/>
      <c r="D6196" s="4">
        <f>VLOOKUP(E6196,'Quality Code'!D4:E24,2,TRUE)*VLOOKUP(MROUND(F6196,10),'Quality Code'!D28:E69,2,TRUE)*VLOOKUP(COUNTA(CB6196:CB6206),'Quality Code'!D73:E93,2,TRUE)</f>
        <v>0.39999899999999994</v>
      </c>
      <c r="E6196" s="14">
        <v>0.6</v>
      </c>
      <c r="F6196" s="18">
        <v>22</v>
      </c>
      <c r="G6196" s="121">
        <v>19</v>
      </c>
      <c r="H6196" s="2" t="s">
        <v>231</v>
      </c>
      <c r="I6196" s="85" t="s">
        <v>293</v>
      </c>
      <c r="J6196" s="10" t="s">
        <v>283</v>
      </c>
      <c r="K6196" s="85">
        <v>1</v>
      </c>
      <c r="L6196" s="641" t="s">
        <v>895</v>
      </c>
      <c r="M6196" s="640"/>
      <c r="N6196" s="579" t="s">
        <v>214</v>
      </c>
      <c r="O6196" s="579"/>
      <c r="P6196" s="10" t="s">
        <v>64</v>
      </c>
      <c r="Q6196" s="10" t="s">
        <v>64</v>
      </c>
      <c r="R6196" s="10" t="s">
        <v>64</v>
      </c>
      <c r="S6196" s="10" t="s">
        <v>64</v>
      </c>
      <c r="T6196" s="10" t="s">
        <v>64</v>
      </c>
      <c r="U6196" s="10" t="s">
        <v>64</v>
      </c>
      <c r="V6196" s="10"/>
      <c r="W6196" s="10"/>
      <c r="X6196" s="10"/>
      <c r="Y6196" s="10"/>
      <c r="Z6196" s="11"/>
      <c r="AA6196" s="81"/>
      <c r="AB6196" s="10"/>
      <c r="AC6196" s="3">
        <v>1.2999999999999999E-2</v>
      </c>
      <c r="AD6196" s="11"/>
      <c r="AE6196" s="11"/>
      <c r="AF6196" s="10"/>
      <c r="AG6196" s="10"/>
      <c r="AH6196" s="345"/>
      <c r="AI6196" s="2">
        <v>41</v>
      </c>
      <c r="AJ6196" s="17"/>
      <c r="AK6196" s="17"/>
      <c r="AL6196" s="17">
        <v>0.39743589999999995</v>
      </c>
      <c r="AM6196" s="17">
        <v>0.25</v>
      </c>
      <c r="AN6196" s="17">
        <v>0.1987179</v>
      </c>
      <c r="AO6196" s="17">
        <v>0.10256410000000001</v>
      </c>
      <c r="AP6196" s="17">
        <v>5.1282050000000003E-2</v>
      </c>
      <c r="AQ6196" s="17">
        <v>0</v>
      </c>
      <c r="AR6196" s="17"/>
      <c r="AS6196" s="17"/>
      <c r="AT6196" s="17"/>
      <c r="AU6196" s="18">
        <v>69</v>
      </c>
      <c r="AV6196" s="17"/>
      <c r="AW6196" s="17"/>
      <c r="AX6196" s="17"/>
      <c r="AY6196" s="17"/>
      <c r="AZ6196" s="17">
        <v>0.46153849999999996</v>
      </c>
      <c r="BA6196" s="17">
        <v>0.29871789999999998</v>
      </c>
      <c r="BB6196" s="17">
        <v>0.17564099999999999</v>
      </c>
      <c r="BC6196" s="17">
        <v>5.1282050000000003E-2</v>
      </c>
      <c r="BD6196" s="17">
        <v>1.282051E-2</v>
      </c>
      <c r="BE6196" s="17">
        <v>0</v>
      </c>
      <c r="BF6196" s="505"/>
      <c r="BG6196" s="505"/>
      <c r="BH6196" s="505"/>
      <c r="BI6196" s="118">
        <f>AU6196/AI6196</f>
        <v>1.6829268292682926</v>
      </c>
      <c r="BJ6196" s="2" t="s">
        <v>215</v>
      </c>
      <c r="BK6196" s="2" t="s">
        <v>175</v>
      </c>
      <c r="BL6196" s="12"/>
      <c r="BM6196" s="12">
        <v>5.7</v>
      </c>
      <c r="BN6196" s="12">
        <v>14.3</v>
      </c>
      <c r="BO6196" s="12">
        <v>0.39</v>
      </c>
      <c r="BP6196" s="12"/>
      <c r="BQ6196" s="12"/>
      <c r="BR6196" s="12"/>
      <c r="BS6196" s="12"/>
      <c r="BT6196" s="12"/>
      <c r="BU6196" s="2"/>
      <c r="BV6196" s="2"/>
      <c r="BW6196" s="2"/>
      <c r="BX6196" s="2"/>
      <c r="BY6196" s="2"/>
      <c r="BZ6196" s="2"/>
      <c r="CA6196" s="9"/>
      <c r="CB6196" s="9" t="s">
        <v>230</v>
      </c>
    </row>
    <row r="6197" spans="1:80" x14ac:dyDescent="0.2">
      <c r="A6197" s="257"/>
      <c r="B6197" s="667"/>
      <c r="C6197" s="667"/>
      <c r="D6197" s="292"/>
      <c r="E6197" s="257"/>
      <c r="F6197" s="257"/>
      <c r="G6197" s="227"/>
      <c r="H6197" s="328"/>
      <c r="I6197" s="227"/>
      <c r="J6197" s="150">
        <v>120</v>
      </c>
      <c r="K6197" s="227"/>
      <c r="L6197" s="660"/>
      <c r="M6197" s="671"/>
      <c r="N6197" s="582">
        <v>0.64</v>
      </c>
      <c r="O6197" s="581">
        <v>2.12E-5</v>
      </c>
      <c r="P6197" s="782"/>
      <c r="Q6197" s="764"/>
      <c r="R6197" s="764"/>
      <c r="S6197" s="764"/>
      <c r="T6197" s="764"/>
      <c r="U6197" s="764"/>
      <c r="V6197" s="764"/>
      <c r="W6197" s="764"/>
      <c r="X6197" s="764"/>
      <c r="Y6197" s="768"/>
      <c r="Z6197" s="281"/>
      <c r="AA6197" s="281"/>
      <c r="AB6197" s="281"/>
      <c r="AC6197" s="294"/>
      <c r="AD6197" s="282"/>
      <c r="AE6197" s="282"/>
      <c r="AF6197" s="173"/>
      <c r="AG6197" s="177"/>
      <c r="AH6197" s="349"/>
      <c r="AI6197" s="283"/>
      <c r="AJ6197" s="240"/>
      <c r="AK6197" s="240"/>
      <c r="AL6197" s="284"/>
      <c r="AM6197" s="167"/>
      <c r="AN6197" s="167"/>
      <c r="AO6197" s="167"/>
      <c r="AP6197" s="167"/>
      <c r="AQ6197" s="167"/>
      <c r="AR6197" s="551"/>
      <c r="AS6197" s="551"/>
      <c r="AT6197" s="551"/>
      <c r="AU6197" s="283"/>
      <c r="AV6197" s="283"/>
      <c r="AW6197" s="283"/>
      <c r="AX6197" s="283"/>
      <c r="AY6197" s="283"/>
      <c r="AZ6197" s="167"/>
      <c r="BA6197" s="167"/>
      <c r="BB6197" s="285"/>
      <c r="BC6197" s="154"/>
      <c r="BD6197" s="154"/>
      <c r="BE6197" s="150"/>
      <c r="BF6197" s="227"/>
      <c r="BG6197" s="227"/>
      <c r="BH6197" s="227"/>
      <c r="BI6197" s="224"/>
      <c r="BJ6197" s="227"/>
      <c r="BK6197" s="227"/>
      <c r="BL6197" s="227"/>
      <c r="BM6197" s="224"/>
      <c r="BN6197" s="224"/>
      <c r="BO6197" s="262"/>
      <c r="BP6197" s="262"/>
      <c r="BQ6197" s="262"/>
      <c r="BR6197" s="262"/>
      <c r="BS6197" s="262"/>
      <c r="BT6197" s="227"/>
      <c r="BU6197" s="227"/>
      <c r="BV6197" s="227"/>
      <c r="BW6197" s="286"/>
      <c r="BX6197" s="286"/>
      <c r="BY6197" s="227"/>
      <c r="BZ6197" s="227"/>
      <c r="CA6197" s="227"/>
      <c r="CB6197" s="190"/>
    </row>
    <row r="6198" spans="1:80" x14ac:dyDescent="0.2">
      <c r="A6198" s="257"/>
      <c r="B6198" s="667"/>
      <c r="C6198" s="667"/>
      <c r="D6198" s="292"/>
      <c r="E6198" s="257"/>
      <c r="F6198" s="257"/>
      <c r="G6198" s="227"/>
      <c r="H6198" s="328"/>
      <c r="I6198" s="227"/>
      <c r="J6198" s="150">
        <v>120</v>
      </c>
      <c r="K6198" s="227"/>
      <c r="L6198" s="660"/>
      <c r="M6198" s="671"/>
      <c r="N6198" s="582">
        <v>0.6</v>
      </c>
      <c r="O6198" s="581">
        <v>3.18E-5</v>
      </c>
      <c r="P6198" s="782"/>
      <c r="Q6198" s="764"/>
      <c r="R6198" s="764"/>
      <c r="S6198" s="764"/>
      <c r="T6198" s="764"/>
      <c r="U6198" s="764"/>
      <c r="V6198" s="764"/>
      <c r="W6198" s="764"/>
      <c r="X6198" s="764"/>
      <c r="Y6198" s="768"/>
      <c r="Z6198" s="281"/>
      <c r="AA6198" s="281"/>
      <c r="AB6198" s="281"/>
      <c r="AC6198" s="294"/>
      <c r="AD6198" s="282"/>
      <c r="AE6198" s="282"/>
      <c r="AF6198" s="173"/>
      <c r="AG6198" s="177"/>
      <c r="AH6198" s="349"/>
      <c r="AI6198" s="283"/>
      <c r="AJ6198" s="240"/>
      <c r="AK6198" s="240"/>
      <c r="AL6198" s="284"/>
      <c r="AM6198" s="167"/>
      <c r="AN6198" s="167"/>
      <c r="AO6198" s="167"/>
      <c r="AP6198" s="167"/>
      <c r="AQ6198" s="167"/>
      <c r="AR6198" s="551"/>
      <c r="AS6198" s="551"/>
      <c r="AT6198" s="551"/>
      <c r="AU6198" s="283"/>
      <c r="AV6198" s="283"/>
      <c r="AW6198" s="283"/>
      <c r="AX6198" s="283"/>
      <c r="AY6198" s="283"/>
      <c r="AZ6198" s="167"/>
      <c r="BA6198" s="167"/>
      <c r="BB6198" s="285"/>
      <c r="BC6198" s="154"/>
      <c r="BD6198" s="154"/>
      <c r="BE6198" s="150"/>
      <c r="BF6198" s="227"/>
      <c r="BG6198" s="227"/>
      <c r="BH6198" s="227"/>
      <c r="BI6198" s="224"/>
      <c r="BJ6198" s="227"/>
      <c r="BK6198" s="227"/>
      <c r="BL6198" s="227"/>
      <c r="BM6198" s="224"/>
      <c r="BN6198" s="224"/>
      <c r="BO6198" s="262"/>
      <c r="BP6198" s="262"/>
      <c r="BQ6198" s="262"/>
      <c r="BR6198" s="262"/>
      <c r="BS6198" s="262"/>
      <c r="BT6198" s="227"/>
      <c r="BU6198" s="227"/>
      <c r="BV6198" s="227"/>
      <c r="BW6198" s="286"/>
      <c r="BX6198" s="286"/>
      <c r="BY6198" s="227"/>
      <c r="BZ6198" s="227"/>
      <c r="CA6198" s="227"/>
      <c r="CB6198" s="190"/>
    </row>
    <row r="6199" spans="1:80" x14ac:dyDescent="0.2">
      <c r="A6199" s="257"/>
      <c r="B6199" s="667"/>
      <c r="C6199" s="667"/>
      <c r="D6199" s="292"/>
      <c r="E6199" s="257"/>
      <c r="F6199" s="257"/>
      <c r="G6199" s="227"/>
      <c r="H6199" s="328"/>
      <c r="I6199" s="227"/>
      <c r="J6199" s="150">
        <v>120</v>
      </c>
      <c r="K6199" s="227"/>
      <c r="L6199" s="660"/>
      <c r="M6199" s="671"/>
      <c r="N6199" s="582">
        <v>0.7</v>
      </c>
      <c r="O6199" s="581">
        <v>3.8990000000000004E-4</v>
      </c>
      <c r="P6199" s="782"/>
      <c r="Q6199" s="764"/>
      <c r="R6199" s="764"/>
      <c r="S6199" s="764"/>
      <c r="T6199" s="764"/>
      <c r="U6199" s="764"/>
      <c r="V6199" s="764"/>
      <c r="W6199" s="764"/>
      <c r="X6199" s="764"/>
      <c r="Y6199" s="768"/>
      <c r="Z6199" s="281"/>
      <c r="AA6199" s="281"/>
      <c r="AB6199" s="281"/>
      <c r="AC6199" s="294"/>
      <c r="AD6199" s="282"/>
      <c r="AE6199" s="282"/>
      <c r="AF6199" s="173"/>
      <c r="AG6199" s="177"/>
      <c r="AH6199" s="349"/>
      <c r="AI6199" s="283"/>
      <c r="AJ6199" s="240"/>
      <c r="AK6199" s="240"/>
      <c r="AL6199" s="284"/>
      <c r="AM6199" s="167"/>
      <c r="AN6199" s="167"/>
      <c r="AO6199" s="167"/>
      <c r="AP6199" s="167"/>
      <c r="AQ6199" s="167"/>
      <c r="AR6199" s="551"/>
      <c r="AS6199" s="551"/>
      <c r="AT6199" s="551"/>
      <c r="AU6199" s="283"/>
      <c r="AV6199" s="283"/>
      <c r="AW6199" s="283"/>
      <c r="AX6199" s="283"/>
      <c r="AY6199" s="283"/>
      <c r="AZ6199" s="167"/>
      <c r="BA6199" s="167"/>
      <c r="BB6199" s="285"/>
      <c r="BC6199" s="154"/>
      <c r="BD6199" s="154"/>
      <c r="BE6199" s="150"/>
      <c r="BF6199" s="227"/>
      <c r="BG6199" s="227"/>
      <c r="BH6199" s="227"/>
      <c r="BI6199" s="224"/>
      <c r="BJ6199" s="227"/>
      <c r="BK6199" s="227"/>
      <c r="BL6199" s="227"/>
      <c r="BM6199" s="224"/>
      <c r="BN6199" s="224"/>
      <c r="BO6199" s="262"/>
      <c r="BP6199" s="262"/>
      <c r="BQ6199" s="262"/>
      <c r="BR6199" s="262"/>
      <c r="BS6199" s="262"/>
      <c r="BT6199" s="227"/>
      <c r="BU6199" s="227"/>
      <c r="BV6199" s="227"/>
      <c r="BW6199" s="286"/>
      <c r="BX6199" s="286"/>
      <c r="BY6199" s="227"/>
      <c r="BZ6199" s="227"/>
      <c r="CA6199" s="227"/>
      <c r="CB6199" s="190"/>
    </row>
    <row r="6200" spans="1:80" x14ac:dyDescent="0.2">
      <c r="A6200" s="257"/>
      <c r="B6200" s="667"/>
      <c r="C6200" s="667"/>
      <c r="D6200" s="292"/>
      <c r="E6200" s="257"/>
      <c r="F6200" s="257"/>
      <c r="G6200" s="227"/>
      <c r="H6200" s="328"/>
      <c r="I6200" s="227"/>
      <c r="J6200" s="150">
        <v>120</v>
      </c>
      <c r="K6200" s="227"/>
      <c r="L6200" s="660"/>
      <c r="M6200" s="671"/>
      <c r="N6200" s="582">
        <v>0.84</v>
      </c>
      <c r="O6200" s="581">
        <v>2.12E-6</v>
      </c>
      <c r="P6200" s="782"/>
      <c r="Q6200" s="764"/>
      <c r="R6200" s="764"/>
      <c r="S6200" s="764"/>
      <c r="T6200" s="764"/>
      <c r="U6200" s="764"/>
      <c r="V6200" s="764"/>
      <c r="W6200" s="764"/>
      <c r="X6200" s="764"/>
      <c r="Y6200" s="768"/>
      <c r="Z6200" s="281"/>
      <c r="AA6200" s="281"/>
      <c r="AB6200" s="281"/>
      <c r="AC6200" s="294"/>
      <c r="AD6200" s="282"/>
      <c r="AE6200" s="282"/>
      <c r="AF6200" s="173"/>
      <c r="AG6200" s="177"/>
      <c r="AH6200" s="349"/>
      <c r="AI6200" s="283"/>
      <c r="AJ6200" s="240"/>
      <c r="AK6200" s="240"/>
      <c r="AL6200" s="284"/>
      <c r="AM6200" s="167"/>
      <c r="AN6200" s="167"/>
      <c r="AO6200" s="167"/>
      <c r="AP6200" s="167"/>
      <c r="AQ6200" s="167"/>
      <c r="AR6200" s="551"/>
      <c r="AS6200" s="551"/>
      <c r="AT6200" s="551"/>
      <c r="AU6200" s="283"/>
      <c r="AV6200" s="283"/>
      <c r="AW6200" s="283"/>
      <c r="AX6200" s="283"/>
      <c r="AY6200" s="283"/>
      <c r="AZ6200" s="167"/>
      <c r="BA6200" s="167"/>
      <c r="BB6200" s="285"/>
      <c r="BC6200" s="154"/>
      <c r="BD6200" s="154"/>
      <c r="BE6200" s="150"/>
      <c r="BF6200" s="227"/>
      <c r="BG6200" s="227"/>
      <c r="BH6200" s="227"/>
      <c r="BI6200" s="224"/>
      <c r="BJ6200" s="227"/>
      <c r="BK6200" s="227"/>
      <c r="BL6200" s="227"/>
      <c r="BM6200" s="224"/>
      <c r="BN6200" s="224"/>
      <c r="BO6200" s="262"/>
      <c r="BP6200" s="262"/>
      <c r="BQ6200" s="262"/>
      <c r="BR6200" s="262"/>
      <c r="BS6200" s="262"/>
      <c r="BT6200" s="227"/>
      <c r="BU6200" s="227"/>
      <c r="BV6200" s="227"/>
      <c r="BW6200" s="286"/>
      <c r="BX6200" s="286"/>
      <c r="BY6200" s="227"/>
      <c r="BZ6200" s="227"/>
      <c r="CA6200" s="227"/>
      <c r="CB6200" s="190"/>
    </row>
    <row r="6201" spans="1:80" x14ac:dyDescent="0.2">
      <c r="A6201" s="257"/>
      <c r="B6201" s="667"/>
      <c r="C6201" s="667"/>
      <c r="D6201" s="292"/>
      <c r="E6201" s="257"/>
      <c r="F6201" s="257"/>
      <c r="G6201" s="227"/>
      <c r="H6201" s="328"/>
      <c r="I6201" s="227"/>
      <c r="J6201" s="150">
        <v>120</v>
      </c>
      <c r="K6201" s="227"/>
      <c r="L6201" s="660"/>
      <c r="M6201" s="671"/>
      <c r="N6201" s="582">
        <v>1.22</v>
      </c>
      <c r="O6201" s="581">
        <v>9.3130000000000003E-4</v>
      </c>
      <c r="P6201" s="782"/>
      <c r="Q6201" s="764"/>
      <c r="R6201" s="764"/>
      <c r="S6201" s="764"/>
      <c r="T6201" s="764"/>
      <c r="U6201" s="764"/>
      <c r="V6201" s="764"/>
      <c r="W6201" s="764"/>
      <c r="X6201" s="764"/>
      <c r="Y6201" s="768"/>
      <c r="Z6201" s="281"/>
      <c r="AA6201" s="281"/>
      <c r="AB6201" s="281"/>
      <c r="AC6201" s="294"/>
      <c r="AD6201" s="282"/>
      <c r="AE6201" s="282"/>
      <c r="AF6201" s="173"/>
      <c r="AG6201" s="177"/>
      <c r="AH6201" s="349"/>
      <c r="AI6201" s="283"/>
      <c r="AJ6201" s="240"/>
      <c r="AK6201" s="240"/>
      <c r="AL6201" s="284"/>
      <c r="AM6201" s="167"/>
      <c r="AN6201" s="167"/>
      <c r="AO6201" s="167"/>
      <c r="AP6201" s="167"/>
      <c r="AQ6201" s="167"/>
      <c r="AR6201" s="551"/>
      <c r="AS6201" s="551"/>
      <c r="AT6201" s="551"/>
      <c r="AU6201" s="283"/>
      <c r="AV6201" s="283"/>
      <c r="AW6201" s="283"/>
      <c r="AX6201" s="283"/>
      <c r="AY6201" s="283"/>
      <c r="AZ6201" s="167"/>
      <c r="BA6201" s="167"/>
      <c r="BB6201" s="285"/>
      <c r="BC6201" s="154"/>
      <c r="BD6201" s="154"/>
      <c r="BE6201" s="150"/>
      <c r="BF6201" s="227"/>
      <c r="BG6201" s="227"/>
      <c r="BH6201" s="227"/>
      <c r="BI6201" s="224"/>
      <c r="BJ6201" s="227"/>
      <c r="BK6201" s="227"/>
      <c r="BL6201" s="227"/>
      <c r="BM6201" s="224"/>
      <c r="BN6201" s="224"/>
      <c r="BO6201" s="262"/>
      <c r="BP6201" s="262"/>
      <c r="BQ6201" s="262"/>
      <c r="BR6201" s="262"/>
      <c r="BS6201" s="262"/>
      <c r="BT6201" s="227"/>
      <c r="BU6201" s="227"/>
      <c r="BV6201" s="227"/>
      <c r="BW6201" s="286"/>
      <c r="BX6201" s="286"/>
      <c r="BY6201" s="227"/>
      <c r="BZ6201" s="227"/>
      <c r="CA6201" s="227"/>
      <c r="CB6201" s="190"/>
    </row>
    <row r="6202" spans="1:80" x14ac:dyDescent="0.2">
      <c r="A6202" s="257"/>
      <c r="B6202" s="667"/>
      <c r="C6202" s="667"/>
      <c r="D6202" s="292"/>
      <c r="E6202" s="257"/>
      <c r="F6202" s="257"/>
      <c r="G6202" s="227"/>
      <c r="H6202" s="328"/>
      <c r="I6202" s="227"/>
      <c r="J6202" s="150">
        <v>120</v>
      </c>
      <c r="K6202" s="227"/>
      <c r="L6202" s="660"/>
      <c r="M6202" s="671"/>
      <c r="N6202" s="582">
        <v>1.08</v>
      </c>
      <c r="O6202" s="581">
        <v>3.4389999999999996E-4</v>
      </c>
      <c r="P6202" s="782"/>
      <c r="Q6202" s="764"/>
      <c r="R6202" s="764"/>
      <c r="S6202" s="764"/>
      <c r="T6202" s="764"/>
      <c r="U6202" s="764"/>
      <c r="V6202" s="764"/>
      <c r="W6202" s="764"/>
      <c r="X6202" s="764"/>
      <c r="Y6202" s="768"/>
      <c r="Z6202" s="281"/>
      <c r="AA6202" s="281"/>
      <c r="AB6202" s="281"/>
      <c r="AC6202" s="294"/>
      <c r="AD6202" s="282"/>
      <c r="AE6202" s="282"/>
      <c r="AF6202" s="173"/>
      <c r="AG6202" s="177"/>
      <c r="AH6202" s="349"/>
      <c r="AI6202" s="283"/>
      <c r="AJ6202" s="240"/>
      <c r="AK6202" s="240"/>
      <c r="AL6202" s="284"/>
      <c r="AM6202" s="167"/>
      <c r="AN6202" s="167"/>
      <c r="AO6202" s="167"/>
      <c r="AP6202" s="167"/>
      <c r="AQ6202" s="167"/>
      <c r="AR6202" s="551"/>
      <c r="AS6202" s="551"/>
      <c r="AT6202" s="551"/>
      <c r="AU6202" s="283"/>
      <c r="AV6202" s="283"/>
      <c r="AW6202" s="283"/>
      <c r="AX6202" s="283"/>
      <c r="AY6202" s="283"/>
      <c r="AZ6202" s="167"/>
      <c r="BA6202" s="167"/>
      <c r="BB6202" s="285"/>
      <c r="BC6202" s="154"/>
      <c r="BD6202" s="154"/>
      <c r="BE6202" s="150"/>
      <c r="BF6202" s="227"/>
      <c r="BG6202" s="227"/>
      <c r="BH6202" s="227"/>
      <c r="BI6202" s="224"/>
      <c r="BJ6202" s="227"/>
      <c r="BK6202" s="227"/>
      <c r="BL6202" s="227"/>
      <c r="BM6202" s="224"/>
      <c r="BN6202" s="224"/>
      <c r="BO6202" s="262"/>
      <c r="BP6202" s="262"/>
      <c r="BQ6202" s="262"/>
      <c r="BR6202" s="262"/>
      <c r="BS6202" s="262"/>
      <c r="BT6202" s="227"/>
      <c r="BU6202" s="227"/>
      <c r="BV6202" s="227"/>
      <c r="BW6202" s="286"/>
      <c r="BX6202" s="286"/>
      <c r="BY6202" s="227"/>
      <c r="BZ6202" s="227"/>
      <c r="CA6202" s="227"/>
      <c r="CB6202" s="190"/>
    </row>
    <row r="6203" spans="1:80" x14ac:dyDescent="0.2">
      <c r="A6203" s="257"/>
      <c r="B6203" s="667"/>
      <c r="C6203" s="667"/>
      <c r="D6203" s="292"/>
      <c r="E6203" s="257"/>
      <c r="F6203" s="257"/>
      <c r="G6203" s="227"/>
      <c r="H6203" s="328"/>
      <c r="I6203" s="227"/>
      <c r="J6203" s="150">
        <v>120</v>
      </c>
      <c r="K6203" s="227"/>
      <c r="L6203" s="660"/>
      <c r="M6203" s="671"/>
      <c r="N6203" s="582">
        <v>1.61</v>
      </c>
      <c r="O6203" s="581">
        <v>4.3696000000000004E-3</v>
      </c>
      <c r="P6203" s="782"/>
      <c r="Q6203" s="764"/>
      <c r="R6203" s="764"/>
      <c r="S6203" s="764"/>
      <c r="T6203" s="764"/>
      <c r="U6203" s="764"/>
      <c r="V6203" s="764"/>
      <c r="W6203" s="764"/>
      <c r="X6203" s="764"/>
      <c r="Y6203" s="768"/>
      <c r="Z6203" s="281"/>
      <c r="AA6203" s="281"/>
      <c r="AB6203" s="281"/>
      <c r="AC6203" s="294"/>
      <c r="AD6203" s="282"/>
      <c r="AE6203" s="282"/>
      <c r="AF6203" s="173"/>
      <c r="AG6203" s="177"/>
      <c r="AH6203" s="349"/>
      <c r="AI6203" s="283"/>
      <c r="AJ6203" s="240"/>
      <c r="AK6203" s="240"/>
      <c r="AL6203" s="284"/>
      <c r="AM6203" s="167"/>
      <c r="AN6203" s="167"/>
      <c r="AO6203" s="167"/>
      <c r="AP6203" s="167"/>
      <c r="AQ6203" s="167"/>
      <c r="AR6203" s="551"/>
      <c r="AS6203" s="551"/>
      <c r="AT6203" s="551"/>
      <c r="AU6203" s="283"/>
      <c r="AV6203" s="283"/>
      <c r="AW6203" s="283"/>
      <c r="AX6203" s="283"/>
      <c r="AY6203" s="283"/>
      <c r="AZ6203" s="167"/>
      <c r="BA6203" s="167"/>
      <c r="BB6203" s="285"/>
      <c r="BC6203" s="154"/>
      <c r="BD6203" s="154"/>
      <c r="BE6203" s="150"/>
      <c r="BF6203" s="227"/>
      <c r="BG6203" s="227"/>
      <c r="BH6203" s="227"/>
      <c r="BI6203" s="224"/>
      <c r="BJ6203" s="227"/>
      <c r="BK6203" s="227"/>
      <c r="BL6203" s="227"/>
      <c r="BM6203" s="224"/>
      <c r="BN6203" s="224"/>
      <c r="BO6203" s="262"/>
      <c r="BP6203" s="262"/>
      <c r="BQ6203" s="262"/>
      <c r="BR6203" s="262"/>
      <c r="BS6203" s="262"/>
      <c r="BT6203" s="227"/>
      <c r="BU6203" s="227"/>
      <c r="BV6203" s="227"/>
      <c r="BW6203" s="286"/>
      <c r="BX6203" s="286"/>
      <c r="BY6203" s="227"/>
      <c r="BZ6203" s="227"/>
      <c r="CA6203" s="227"/>
      <c r="CB6203" s="190"/>
    </row>
    <row r="6204" spans="1:80" x14ac:dyDescent="0.2">
      <c r="A6204" s="257"/>
      <c r="B6204" s="667"/>
      <c r="C6204" s="667"/>
      <c r="D6204" s="292"/>
      <c r="E6204" s="257"/>
      <c r="F6204" s="257"/>
      <c r="G6204" s="227"/>
      <c r="H6204" s="328"/>
      <c r="I6204" s="227"/>
      <c r="J6204" s="150">
        <v>120</v>
      </c>
      <c r="K6204" s="227"/>
      <c r="L6204" s="660"/>
      <c r="M6204" s="671"/>
      <c r="N6204" s="582">
        <v>2.34</v>
      </c>
      <c r="O6204" s="581">
        <v>4.037E-4</v>
      </c>
      <c r="P6204" s="782"/>
      <c r="Q6204" s="764"/>
      <c r="R6204" s="764"/>
      <c r="S6204" s="764"/>
      <c r="T6204" s="764"/>
      <c r="U6204" s="764"/>
      <c r="V6204" s="764"/>
      <c r="W6204" s="764"/>
      <c r="X6204" s="764"/>
      <c r="Y6204" s="768"/>
      <c r="Z6204" s="281"/>
      <c r="AA6204" s="281"/>
      <c r="AB6204" s="281"/>
      <c r="AC6204" s="294"/>
      <c r="AD6204" s="282"/>
      <c r="AE6204" s="282"/>
      <c r="AF6204" s="173"/>
      <c r="AG6204" s="177"/>
      <c r="AH6204" s="349"/>
      <c r="AI6204" s="283"/>
      <c r="AJ6204" s="240"/>
      <c r="AK6204" s="240"/>
      <c r="AL6204" s="284"/>
      <c r="AM6204" s="167"/>
      <c r="AN6204" s="167"/>
      <c r="AO6204" s="167"/>
      <c r="AP6204" s="167"/>
      <c r="AQ6204" s="167"/>
      <c r="AR6204" s="551"/>
      <c r="AS6204" s="551"/>
      <c r="AT6204" s="551"/>
      <c r="AU6204" s="283"/>
      <c r="AV6204" s="283"/>
      <c r="AW6204" s="283"/>
      <c r="AX6204" s="283"/>
      <c r="AY6204" s="283"/>
      <c r="AZ6204" s="167"/>
      <c r="BA6204" s="167"/>
      <c r="BB6204" s="285"/>
      <c r="BC6204" s="154"/>
      <c r="BD6204" s="154"/>
      <c r="BE6204" s="150"/>
      <c r="BF6204" s="227"/>
      <c r="BG6204" s="227"/>
      <c r="BH6204" s="227"/>
      <c r="BI6204" s="224"/>
      <c r="BJ6204" s="227"/>
      <c r="BK6204" s="227"/>
      <c r="BL6204" s="227"/>
      <c r="BM6204" s="224"/>
      <c r="BN6204" s="224"/>
      <c r="BO6204" s="262"/>
      <c r="BP6204" s="262"/>
      <c r="BQ6204" s="262"/>
      <c r="BR6204" s="262"/>
      <c r="BS6204" s="262"/>
      <c r="BT6204" s="227"/>
      <c r="BU6204" s="227"/>
      <c r="BV6204" s="227"/>
      <c r="BW6204" s="286"/>
      <c r="BX6204" s="286"/>
      <c r="BY6204" s="227"/>
      <c r="BZ6204" s="227"/>
      <c r="CA6204" s="227"/>
      <c r="CB6204" s="190"/>
    </row>
    <row r="6205" spans="1:80" x14ac:dyDescent="0.2">
      <c r="A6205" s="257"/>
      <c r="B6205" s="667"/>
      <c r="C6205" s="667"/>
      <c r="D6205" s="292"/>
      <c r="E6205" s="257"/>
      <c r="F6205" s="257"/>
      <c r="G6205" s="227"/>
      <c r="H6205" s="328"/>
      <c r="I6205" s="227"/>
      <c r="J6205" s="150">
        <v>120</v>
      </c>
      <c r="K6205" s="227"/>
      <c r="L6205" s="660"/>
      <c r="M6205" s="671"/>
      <c r="N6205" s="582">
        <v>2.4300000000000002</v>
      </c>
      <c r="O6205" s="581">
        <v>7.9670000000000001E-4</v>
      </c>
      <c r="P6205" s="782"/>
      <c r="Q6205" s="764"/>
      <c r="R6205" s="764"/>
      <c r="S6205" s="764"/>
      <c r="T6205" s="764"/>
      <c r="U6205" s="764"/>
      <c r="V6205" s="764"/>
      <c r="W6205" s="764"/>
      <c r="X6205" s="764"/>
      <c r="Y6205" s="768"/>
      <c r="Z6205" s="281"/>
      <c r="AA6205" s="281"/>
      <c r="AB6205" s="281"/>
      <c r="AC6205" s="294"/>
      <c r="AD6205" s="282"/>
      <c r="AE6205" s="282"/>
      <c r="AF6205" s="173"/>
      <c r="AG6205" s="177"/>
      <c r="AH6205" s="349"/>
      <c r="AI6205" s="283"/>
      <c r="AJ6205" s="240"/>
      <c r="AK6205" s="240"/>
      <c r="AL6205" s="284"/>
      <c r="AM6205" s="167"/>
      <c r="AN6205" s="167"/>
      <c r="AO6205" s="167"/>
      <c r="AP6205" s="167"/>
      <c r="AQ6205" s="167"/>
      <c r="AR6205" s="551"/>
      <c r="AS6205" s="551"/>
      <c r="AT6205" s="551"/>
      <c r="AU6205" s="283"/>
      <c r="AV6205" s="283"/>
      <c r="AW6205" s="283"/>
      <c r="AX6205" s="283"/>
      <c r="AY6205" s="283"/>
      <c r="AZ6205" s="167"/>
      <c r="BA6205" s="167"/>
      <c r="BB6205" s="285"/>
      <c r="BC6205" s="154"/>
      <c r="BD6205" s="154"/>
      <c r="BE6205" s="150"/>
      <c r="BF6205" s="227"/>
      <c r="BG6205" s="227"/>
      <c r="BH6205" s="227"/>
      <c r="BI6205" s="224"/>
      <c r="BJ6205" s="227"/>
      <c r="BK6205" s="227"/>
      <c r="BL6205" s="227"/>
      <c r="BM6205" s="224"/>
      <c r="BN6205" s="224"/>
      <c r="BO6205" s="262"/>
      <c r="BP6205" s="262"/>
      <c r="BQ6205" s="262"/>
      <c r="BR6205" s="262"/>
      <c r="BS6205" s="262"/>
      <c r="BT6205" s="227"/>
      <c r="BU6205" s="227"/>
      <c r="BV6205" s="227"/>
      <c r="BW6205" s="286"/>
      <c r="BX6205" s="286"/>
      <c r="BY6205" s="227"/>
      <c r="BZ6205" s="227"/>
      <c r="CA6205" s="227"/>
      <c r="CB6205" s="190"/>
    </row>
    <row r="6206" spans="1:80" x14ac:dyDescent="0.2">
      <c r="A6206" s="257"/>
      <c r="B6206" s="667"/>
      <c r="C6206" s="667"/>
      <c r="D6206" s="292"/>
      <c r="E6206" s="257"/>
      <c r="F6206" s="257"/>
      <c r="G6206" s="227"/>
      <c r="H6206" s="328"/>
      <c r="I6206" s="227"/>
      <c r="J6206" s="150">
        <v>120</v>
      </c>
      <c r="K6206" s="227"/>
      <c r="L6206" s="660"/>
      <c r="M6206" s="671"/>
      <c r="N6206" s="582">
        <v>1.91</v>
      </c>
      <c r="O6206" s="581">
        <v>2.3150000000000002E-4</v>
      </c>
      <c r="P6206" s="782"/>
      <c r="Q6206" s="764"/>
      <c r="R6206" s="764"/>
      <c r="S6206" s="764"/>
      <c r="T6206" s="764"/>
      <c r="U6206" s="764"/>
      <c r="V6206" s="764"/>
      <c r="W6206" s="764"/>
      <c r="X6206" s="764"/>
      <c r="Y6206" s="768"/>
      <c r="Z6206" s="281"/>
      <c r="AA6206" s="281"/>
      <c r="AB6206" s="281"/>
      <c r="AC6206" s="294"/>
      <c r="AD6206" s="282"/>
      <c r="AE6206" s="282"/>
      <c r="AF6206" s="173"/>
      <c r="AG6206" s="177"/>
      <c r="AH6206" s="349"/>
      <c r="AI6206" s="283"/>
      <c r="AJ6206" s="240"/>
      <c r="AK6206" s="240"/>
      <c r="AL6206" s="284"/>
      <c r="AM6206" s="167"/>
      <c r="AN6206" s="167"/>
      <c r="AO6206" s="167"/>
      <c r="AP6206" s="167"/>
      <c r="AQ6206" s="167"/>
      <c r="AR6206" s="551"/>
      <c r="AS6206" s="551"/>
      <c r="AT6206" s="551"/>
      <c r="AU6206" s="283"/>
      <c r="AV6206" s="283"/>
      <c r="AW6206" s="283"/>
      <c r="AX6206" s="283"/>
      <c r="AY6206" s="283"/>
      <c r="AZ6206" s="167"/>
      <c r="BA6206" s="167"/>
      <c r="BB6206" s="285"/>
      <c r="BC6206" s="154"/>
      <c r="BD6206" s="154"/>
      <c r="BE6206" s="150"/>
      <c r="BF6206" s="227"/>
      <c r="BG6206" s="227"/>
      <c r="BH6206" s="227"/>
      <c r="BI6206" s="224"/>
      <c r="BJ6206" s="227"/>
      <c r="BK6206" s="227"/>
      <c r="BL6206" s="227"/>
      <c r="BM6206" s="224"/>
      <c r="BN6206" s="224"/>
      <c r="BO6206" s="262"/>
      <c r="BP6206" s="262"/>
      <c r="BQ6206" s="262"/>
      <c r="BR6206" s="262"/>
      <c r="BS6206" s="262"/>
      <c r="BT6206" s="227"/>
      <c r="BU6206" s="227"/>
      <c r="BV6206" s="227"/>
      <c r="BW6206" s="286"/>
      <c r="BX6206" s="286"/>
      <c r="BY6206" s="227"/>
      <c r="BZ6206" s="227"/>
      <c r="CA6206" s="227"/>
      <c r="CB6206" s="190"/>
    </row>
    <row r="6207" spans="1:80" x14ac:dyDescent="0.2">
      <c r="A6207" s="257"/>
      <c r="B6207" s="667"/>
      <c r="C6207" s="667"/>
      <c r="D6207" s="292"/>
      <c r="E6207" s="257"/>
      <c r="F6207" s="257"/>
      <c r="G6207" s="227"/>
      <c r="H6207" s="328"/>
      <c r="I6207" s="227"/>
      <c r="J6207" s="150">
        <v>120</v>
      </c>
      <c r="K6207" s="227"/>
      <c r="L6207" s="660"/>
      <c r="M6207" s="671"/>
      <c r="N6207" s="582">
        <v>0.84</v>
      </c>
      <c r="O6207" s="581">
        <v>2.1499999999999997E-5</v>
      </c>
      <c r="P6207" s="782"/>
      <c r="Q6207" s="764"/>
      <c r="R6207" s="764"/>
      <c r="S6207" s="764"/>
      <c r="T6207" s="764"/>
      <c r="U6207" s="764"/>
      <c r="V6207" s="764"/>
      <c r="W6207" s="764"/>
      <c r="X6207" s="764"/>
      <c r="Y6207" s="768"/>
      <c r="Z6207" s="281"/>
      <c r="AA6207" s="281"/>
      <c r="AB6207" s="281"/>
      <c r="AC6207" s="294"/>
      <c r="AD6207" s="282"/>
      <c r="AE6207" s="282"/>
      <c r="AF6207" s="173"/>
      <c r="AG6207" s="177"/>
      <c r="AH6207" s="349"/>
      <c r="AI6207" s="283"/>
      <c r="AJ6207" s="240"/>
      <c r="AK6207" s="240"/>
      <c r="AL6207" s="284"/>
      <c r="AM6207" s="167"/>
      <c r="AN6207" s="167"/>
      <c r="AO6207" s="167"/>
      <c r="AP6207" s="167"/>
      <c r="AQ6207" s="167"/>
      <c r="AR6207" s="551"/>
      <c r="AS6207" s="551"/>
      <c r="AT6207" s="551"/>
      <c r="AU6207" s="283"/>
      <c r="AV6207" s="283"/>
      <c r="AW6207" s="283"/>
      <c r="AX6207" s="283"/>
      <c r="AY6207" s="283"/>
      <c r="AZ6207" s="167"/>
      <c r="BA6207" s="167"/>
      <c r="BB6207" s="285"/>
      <c r="BC6207" s="154"/>
      <c r="BD6207" s="154"/>
      <c r="BE6207" s="150"/>
      <c r="BF6207" s="227"/>
      <c r="BG6207" s="227"/>
      <c r="BH6207" s="227"/>
      <c r="BI6207" s="224"/>
      <c r="BJ6207" s="227"/>
      <c r="BK6207" s="227"/>
      <c r="BL6207" s="227"/>
      <c r="BM6207" s="224"/>
      <c r="BN6207" s="224"/>
      <c r="BO6207" s="262"/>
      <c r="BP6207" s="262"/>
      <c r="BQ6207" s="262"/>
      <c r="BR6207" s="262"/>
      <c r="BS6207" s="262"/>
      <c r="BT6207" s="227"/>
      <c r="BU6207" s="227"/>
      <c r="BV6207" s="227"/>
      <c r="BW6207" s="286"/>
      <c r="BX6207" s="286"/>
      <c r="BY6207" s="227"/>
      <c r="BZ6207" s="227"/>
      <c r="CA6207" s="227"/>
      <c r="CB6207" s="190"/>
    </row>
    <row r="6208" spans="1:80" x14ac:dyDescent="0.2">
      <c r="A6208" s="257"/>
      <c r="B6208" s="667"/>
      <c r="C6208" s="667"/>
      <c r="D6208" s="292"/>
      <c r="E6208" s="257"/>
      <c r="F6208" s="257"/>
      <c r="G6208" s="227"/>
      <c r="H6208" s="328"/>
      <c r="I6208" s="227"/>
      <c r="J6208" s="150">
        <v>120</v>
      </c>
      <c r="K6208" s="227"/>
      <c r="L6208" s="660"/>
      <c r="M6208" s="671"/>
      <c r="N6208" s="582">
        <v>1.33</v>
      </c>
      <c r="O6208" s="581">
        <v>9.4199999999999991E-4</v>
      </c>
      <c r="P6208" s="782"/>
      <c r="Q6208" s="764"/>
      <c r="R6208" s="764"/>
      <c r="S6208" s="764"/>
      <c r="T6208" s="764"/>
      <c r="U6208" s="764"/>
      <c r="V6208" s="764"/>
      <c r="W6208" s="764"/>
      <c r="X6208" s="764"/>
      <c r="Y6208" s="768"/>
      <c r="Z6208" s="281"/>
      <c r="AA6208" s="281"/>
      <c r="AB6208" s="281"/>
      <c r="AC6208" s="294"/>
      <c r="AD6208" s="282"/>
      <c r="AE6208" s="282"/>
      <c r="AF6208" s="173"/>
      <c r="AG6208" s="177"/>
      <c r="AH6208" s="349"/>
      <c r="AI6208" s="283"/>
      <c r="AJ6208" s="240"/>
      <c r="AK6208" s="240"/>
      <c r="AL6208" s="284"/>
      <c r="AM6208" s="167"/>
      <c r="AN6208" s="167"/>
      <c r="AO6208" s="167"/>
      <c r="AP6208" s="167"/>
      <c r="AQ6208" s="167"/>
      <c r="AR6208" s="551"/>
      <c r="AS6208" s="551"/>
      <c r="AT6208" s="551"/>
      <c r="AU6208" s="283"/>
      <c r="AV6208" s="283"/>
      <c r="AW6208" s="283"/>
      <c r="AX6208" s="283"/>
      <c r="AY6208" s="283"/>
      <c r="AZ6208" s="167"/>
      <c r="BA6208" s="167"/>
      <c r="BB6208" s="285"/>
      <c r="BC6208" s="154"/>
      <c r="BD6208" s="154"/>
      <c r="BE6208" s="150"/>
      <c r="BF6208" s="227"/>
      <c r="BG6208" s="227"/>
      <c r="BH6208" s="227"/>
      <c r="BI6208" s="224"/>
      <c r="BJ6208" s="227"/>
      <c r="BK6208" s="227"/>
      <c r="BL6208" s="227"/>
      <c r="BM6208" s="224"/>
      <c r="BN6208" s="224"/>
      <c r="BO6208" s="262"/>
      <c r="BP6208" s="262"/>
      <c r="BQ6208" s="262"/>
      <c r="BR6208" s="262"/>
      <c r="BS6208" s="262"/>
      <c r="BT6208" s="227"/>
      <c r="BU6208" s="227"/>
      <c r="BV6208" s="227"/>
      <c r="BW6208" s="286"/>
      <c r="BX6208" s="286"/>
      <c r="BY6208" s="227"/>
      <c r="BZ6208" s="227"/>
      <c r="CA6208" s="227"/>
      <c r="CB6208" s="190"/>
    </row>
    <row r="6209" spans="1:80" x14ac:dyDescent="0.2">
      <c r="A6209" s="257"/>
      <c r="B6209" s="667"/>
      <c r="C6209" s="667"/>
      <c r="D6209" s="292"/>
      <c r="E6209" s="257"/>
      <c r="F6209" s="257"/>
      <c r="G6209" s="227"/>
      <c r="H6209" s="328"/>
      <c r="I6209" s="227"/>
      <c r="J6209" s="150">
        <v>120</v>
      </c>
      <c r="K6209" s="227"/>
      <c r="L6209" s="660"/>
      <c r="M6209" s="671"/>
      <c r="N6209" s="582">
        <v>1.93</v>
      </c>
      <c r="O6209" s="581">
        <v>2.4976E-3</v>
      </c>
      <c r="P6209" s="782"/>
      <c r="Q6209" s="764"/>
      <c r="R6209" s="764"/>
      <c r="S6209" s="764"/>
      <c r="T6209" s="764"/>
      <c r="U6209" s="764"/>
      <c r="V6209" s="764"/>
      <c r="W6209" s="764"/>
      <c r="X6209" s="764"/>
      <c r="Y6209" s="768"/>
      <c r="Z6209" s="281"/>
      <c r="AA6209" s="281"/>
      <c r="AB6209" s="281"/>
      <c r="AC6209" s="294"/>
      <c r="AD6209" s="282"/>
      <c r="AE6209" s="282"/>
      <c r="AF6209" s="173"/>
      <c r="AG6209" s="177"/>
      <c r="AH6209" s="349"/>
      <c r="AI6209" s="283"/>
      <c r="AJ6209" s="240"/>
      <c r="AK6209" s="240"/>
      <c r="AL6209" s="284"/>
      <c r="AM6209" s="167"/>
      <c r="AN6209" s="167"/>
      <c r="AO6209" s="167"/>
      <c r="AP6209" s="167"/>
      <c r="AQ6209" s="167"/>
      <c r="AR6209" s="551"/>
      <c r="AS6209" s="551"/>
      <c r="AT6209" s="551"/>
      <c r="AU6209" s="283"/>
      <c r="AV6209" s="283"/>
      <c r="AW6209" s="283"/>
      <c r="AX6209" s="283"/>
      <c r="AY6209" s="283"/>
      <c r="AZ6209" s="167"/>
      <c r="BA6209" s="167"/>
      <c r="BB6209" s="285"/>
      <c r="BC6209" s="154"/>
      <c r="BD6209" s="154"/>
      <c r="BE6209" s="150"/>
      <c r="BF6209" s="227"/>
      <c r="BG6209" s="227"/>
      <c r="BH6209" s="227"/>
      <c r="BI6209" s="224"/>
      <c r="BJ6209" s="227"/>
      <c r="BK6209" s="227"/>
      <c r="BL6209" s="227"/>
      <c r="BM6209" s="224"/>
      <c r="BN6209" s="224"/>
      <c r="BO6209" s="262"/>
      <c r="BP6209" s="262"/>
      <c r="BQ6209" s="262"/>
      <c r="BR6209" s="262"/>
      <c r="BS6209" s="262"/>
      <c r="BT6209" s="227"/>
      <c r="BU6209" s="227"/>
      <c r="BV6209" s="227"/>
      <c r="BW6209" s="286"/>
      <c r="BX6209" s="286"/>
      <c r="BY6209" s="227"/>
      <c r="BZ6209" s="227"/>
      <c r="CA6209" s="227"/>
      <c r="CB6209" s="190"/>
    </row>
    <row r="6210" spans="1:80" x14ac:dyDescent="0.2">
      <c r="A6210" s="257"/>
      <c r="B6210" s="667"/>
      <c r="C6210" s="667"/>
      <c r="D6210" s="292"/>
      <c r="E6210" s="257"/>
      <c r="F6210" s="257"/>
      <c r="G6210" s="227"/>
      <c r="H6210" s="328"/>
      <c r="I6210" s="227"/>
      <c r="J6210" s="150">
        <v>120</v>
      </c>
      <c r="K6210" s="227"/>
      <c r="L6210" s="660"/>
      <c r="M6210" s="671"/>
      <c r="N6210" s="582">
        <v>2.4900000000000002</v>
      </c>
      <c r="O6210" s="581">
        <v>6.6692999999999995E-3</v>
      </c>
      <c r="P6210" s="782"/>
      <c r="Q6210" s="764"/>
      <c r="R6210" s="764"/>
      <c r="S6210" s="764"/>
      <c r="T6210" s="764"/>
      <c r="U6210" s="764"/>
      <c r="V6210" s="764"/>
      <c r="W6210" s="764"/>
      <c r="X6210" s="764"/>
      <c r="Y6210" s="768"/>
      <c r="Z6210" s="281"/>
      <c r="AA6210" s="281"/>
      <c r="AB6210" s="281"/>
      <c r="AC6210" s="294"/>
      <c r="AD6210" s="282"/>
      <c r="AE6210" s="282"/>
      <c r="AF6210" s="173"/>
      <c r="AG6210" s="177"/>
      <c r="AH6210" s="349"/>
      <c r="AI6210" s="283"/>
      <c r="AJ6210" s="240"/>
      <c r="AK6210" s="240"/>
      <c r="AL6210" s="284"/>
      <c r="AM6210" s="167"/>
      <c r="AN6210" s="167"/>
      <c r="AO6210" s="167"/>
      <c r="AP6210" s="167"/>
      <c r="AQ6210" s="167"/>
      <c r="AR6210" s="551"/>
      <c r="AS6210" s="551"/>
      <c r="AT6210" s="551"/>
      <c r="AU6210" s="283"/>
      <c r="AV6210" s="283"/>
      <c r="AW6210" s="283"/>
      <c r="AX6210" s="283"/>
      <c r="AY6210" s="283"/>
      <c r="AZ6210" s="167"/>
      <c r="BA6210" s="167"/>
      <c r="BB6210" s="285"/>
      <c r="BC6210" s="154"/>
      <c r="BD6210" s="154"/>
      <c r="BE6210" s="150"/>
      <c r="BF6210" s="227"/>
      <c r="BG6210" s="227"/>
      <c r="BH6210" s="227"/>
      <c r="BI6210" s="224"/>
      <c r="BJ6210" s="227"/>
      <c r="BK6210" s="227"/>
      <c r="BL6210" s="227"/>
      <c r="BM6210" s="224"/>
      <c r="BN6210" s="224"/>
      <c r="BO6210" s="262"/>
      <c r="BP6210" s="262"/>
      <c r="BQ6210" s="262"/>
      <c r="BR6210" s="262"/>
      <c r="BS6210" s="262"/>
      <c r="BT6210" s="227"/>
      <c r="BU6210" s="227"/>
      <c r="BV6210" s="227"/>
      <c r="BW6210" s="286"/>
      <c r="BX6210" s="286"/>
      <c r="BY6210" s="227"/>
      <c r="BZ6210" s="227"/>
      <c r="CA6210" s="227"/>
      <c r="CB6210" s="190"/>
    </row>
    <row r="6211" spans="1:80" x14ac:dyDescent="0.2">
      <c r="A6211" s="257"/>
      <c r="B6211" s="667"/>
      <c r="C6211" s="667"/>
      <c r="D6211" s="292"/>
      <c r="E6211" s="257"/>
      <c r="F6211" s="257"/>
      <c r="G6211" s="227"/>
      <c r="H6211" s="328"/>
      <c r="I6211" s="227"/>
      <c r="J6211" s="150">
        <v>120</v>
      </c>
      <c r="K6211" s="227"/>
      <c r="L6211" s="660"/>
      <c r="M6211" s="671"/>
      <c r="N6211" s="582">
        <v>2.92</v>
      </c>
      <c r="O6211" s="581">
        <v>7.5250999999999998E-3</v>
      </c>
      <c r="P6211" s="782"/>
      <c r="Q6211" s="764"/>
      <c r="R6211" s="764"/>
      <c r="S6211" s="764"/>
      <c r="T6211" s="764"/>
      <c r="U6211" s="764"/>
      <c r="V6211" s="764"/>
      <c r="W6211" s="764"/>
      <c r="X6211" s="764"/>
      <c r="Y6211" s="768"/>
      <c r="Z6211" s="281"/>
      <c r="AA6211" s="281"/>
      <c r="AB6211" s="281"/>
      <c r="AC6211" s="294"/>
      <c r="AD6211" s="282"/>
      <c r="AE6211" s="282"/>
      <c r="AF6211" s="173"/>
      <c r="AG6211" s="177"/>
      <c r="AH6211" s="349"/>
      <c r="AI6211" s="283"/>
      <c r="AJ6211" s="240"/>
      <c r="AK6211" s="240"/>
      <c r="AL6211" s="284"/>
      <c r="AM6211" s="167"/>
      <c r="AN6211" s="167"/>
      <c r="AO6211" s="167"/>
      <c r="AP6211" s="167"/>
      <c r="AQ6211" s="167"/>
      <c r="AR6211" s="551"/>
      <c r="AS6211" s="551"/>
      <c r="AT6211" s="551"/>
      <c r="AU6211" s="283"/>
      <c r="AV6211" s="283"/>
      <c r="AW6211" s="283"/>
      <c r="AX6211" s="283"/>
      <c r="AY6211" s="283"/>
      <c r="AZ6211" s="167"/>
      <c r="BA6211" s="167"/>
      <c r="BB6211" s="285"/>
      <c r="BC6211" s="154"/>
      <c r="BD6211" s="154"/>
      <c r="BE6211" s="150"/>
      <c r="BF6211" s="227"/>
      <c r="BG6211" s="227"/>
      <c r="BH6211" s="227"/>
      <c r="BI6211" s="224"/>
      <c r="BJ6211" s="227"/>
      <c r="BK6211" s="227"/>
      <c r="BL6211" s="227"/>
      <c r="BM6211" s="224"/>
      <c r="BN6211" s="224"/>
      <c r="BO6211" s="262"/>
      <c r="BP6211" s="262"/>
      <c r="BQ6211" s="262"/>
      <c r="BR6211" s="262"/>
      <c r="BS6211" s="262"/>
      <c r="BT6211" s="227"/>
      <c r="BU6211" s="227"/>
      <c r="BV6211" s="227"/>
      <c r="BW6211" s="286"/>
      <c r="BX6211" s="286"/>
      <c r="BY6211" s="227"/>
      <c r="BZ6211" s="227"/>
      <c r="CA6211" s="227"/>
      <c r="CB6211" s="190"/>
    </row>
    <row r="6212" spans="1:80" x14ac:dyDescent="0.2">
      <c r="A6212" s="257"/>
      <c r="B6212" s="667"/>
      <c r="C6212" s="667"/>
      <c r="D6212" s="292"/>
      <c r="E6212" s="257"/>
      <c r="F6212" s="257"/>
      <c r="G6212" s="227"/>
      <c r="H6212" s="328"/>
      <c r="I6212" s="227"/>
      <c r="J6212" s="150">
        <v>120</v>
      </c>
      <c r="K6212" s="227"/>
      <c r="L6212" s="660"/>
      <c r="M6212" s="671"/>
      <c r="N6212" s="582">
        <v>2.23</v>
      </c>
      <c r="O6212" s="581">
        <v>1.3295E-3</v>
      </c>
      <c r="P6212" s="782"/>
      <c r="Q6212" s="764"/>
      <c r="R6212" s="764"/>
      <c r="S6212" s="764"/>
      <c r="T6212" s="764"/>
      <c r="U6212" s="764"/>
      <c r="V6212" s="764"/>
      <c r="W6212" s="764"/>
      <c r="X6212" s="764"/>
      <c r="Y6212" s="768"/>
      <c r="Z6212" s="281"/>
      <c r="AA6212" s="281"/>
      <c r="AB6212" s="281"/>
      <c r="AC6212" s="294"/>
      <c r="AD6212" s="282"/>
      <c r="AE6212" s="282"/>
      <c r="AF6212" s="173"/>
      <c r="AG6212" s="177"/>
      <c r="AH6212" s="349"/>
      <c r="AI6212" s="283"/>
      <c r="AJ6212" s="240"/>
      <c r="AK6212" s="240"/>
      <c r="AL6212" s="284"/>
      <c r="AM6212" s="167"/>
      <c r="AN6212" s="167"/>
      <c r="AO6212" s="167"/>
      <c r="AP6212" s="167"/>
      <c r="AQ6212" s="167"/>
      <c r="AR6212" s="551"/>
      <c r="AS6212" s="551"/>
      <c r="AT6212" s="551"/>
      <c r="AU6212" s="283"/>
      <c r="AV6212" s="283"/>
      <c r="AW6212" s="283"/>
      <c r="AX6212" s="283"/>
      <c r="AY6212" s="283"/>
      <c r="AZ6212" s="167"/>
      <c r="BA6212" s="167"/>
      <c r="BB6212" s="285"/>
      <c r="BC6212" s="154"/>
      <c r="BD6212" s="154"/>
      <c r="BE6212" s="150"/>
      <c r="BF6212" s="227"/>
      <c r="BG6212" s="227"/>
      <c r="BH6212" s="227"/>
      <c r="BI6212" s="224"/>
      <c r="BJ6212" s="227"/>
      <c r="BK6212" s="227"/>
      <c r="BL6212" s="227"/>
      <c r="BM6212" s="224"/>
      <c r="BN6212" s="224"/>
      <c r="BO6212" s="262"/>
      <c r="BP6212" s="262"/>
      <c r="BQ6212" s="262"/>
      <c r="BR6212" s="262"/>
      <c r="BS6212" s="262"/>
      <c r="BT6212" s="227"/>
      <c r="BU6212" s="227"/>
      <c r="BV6212" s="227"/>
      <c r="BW6212" s="286"/>
      <c r="BX6212" s="286"/>
      <c r="BY6212" s="227"/>
      <c r="BZ6212" s="227"/>
      <c r="CA6212" s="227"/>
      <c r="CB6212" s="190"/>
    </row>
    <row r="6213" spans="1:80" x14ac:dyDescent="0.2">
      <c r="A6213" s="257"/>
      <c r="B6213" s="667"/>
      <c r="C6213" s="667"/>
      <c r="D6213" s="292"/>
      <c r="E6213" s="257"/>
      <c r="F6213" s="257"/>
      <c r="G6213" s="227"/>
      <c r="H6213" s="328"/>
      <c r="I6213" s="227"/>
      <c r="J6213" s="150">
        <v>120</v>
      </c>
      <c r="K6213" s="227"/>
      <c r="L6213" s="660"/>
      <c r="M6213" s="671"/>
      <c r="N6213" s="582">
        <v>1.71</v>
      </c>
      <c r="O6213" s="581">
        <v>6.3519999999999994E-4</v>
      </c>
      <c r="P6213" s="782"/>
      <c r="Q6213" s="764"/>
      <c r="R6213" s="764"/>
      <c r="S6213" s="764"/>
      <c r="T6213" s="764"/>
      <c r="U6213" s="764"/>
      <c r="V6213" s="764"/>
      <c r="W6213" s="764"/>
      <c r="X6213" s="764"/>
      <c r="Y6213" s="768"/>
      <c r="Z6213" s="281"/>
      <c r="AA6213" s="281"/>
      <c r="AB6213" s="281"/>
      <c r="AC6213" s="294"/>
      <c r="AD6213" s="282"/>
      <c r="AE6213" s="282"/>
      <c r="AF6213" s="173"/>
      <c r="AG6213" s="177"/>
      <c r="AH6213" s="349"/>
      <c r="AI6213" s="283"/>
      <c r="AJ6213" s="240"/>
      <c r="AK6213" s="240"/>
      <c r="AL6213" s="284"/>
      <c r="AM6213" s="167"/>
      <c r="AN6213" s="167"/>
      <c r="AO6213" s="167"/>
      <c r="AP6213" s="167"/>
      <c r="AQ6213" s="167"/>
      <c r="AR6213" s="551"/>
      <c r="AS6213" s="551"/>
      <c r="AT6213" s="551"/>
      <c r="AU6213" s="283"/>
      <c r="AV6213" s="283"/>
      <c r="AW6213" s="283"/>
      <c r="AX6213" s="283"/>
      <c r="AY6213" s="283"/>
      <c r="AZ6213" s="167"/>
      <c r="BA6213" s="167"/>
      <c r="BB6213" s="285"/>
      <c r="BC6213" s="154"/>
      <c r="BD6213" s="154"/>
      <c r="BE6213" s="150"/>
      <c r="BF6213" s="227"/>
      <c r="BG6213" s="227"/>
      <c r="BH6213" s="227"/>
      <c r="BI6213" s="224"/>
      <c r="BJ6213" s="227"/>
      <c r="BK6213" s="227"/>
      <c r="BL6213" s="227"/>
      <c r="BM6213" s="224"/>
      <c r="BN6213" s="224"/>
      <c r="BO6213" s="262"/>
      <c r="BP6213" s="262"/>
      <c r="BQ6213" s="262"/>
      <c r="BR6213" s="262"/>
      <c r="BS6213" s="262"/>
      <c r="BT6213" s="227"/>
      <c r="BU6213" s="227"/>
      <c r="BV6213" s="227"/>
      <c r="BW6213" s="286"/>
      <c r="BX6213" s="286"/>
      <c r="BY6213" s="227"/>
      <c r="BZ6213" s="227"/>
      <c r="CA6213" s="227"/>
      <c r="CB6213" s="190"/>
    </row>
    <row r="6214" spans="1:80" x14ac:dyDescent="0.2">
      <c r="A6214" s="257"/>
      <c r="B6214" s="667"/>
      <c r="C6214" s="667"/>
      <c r="D6214" s="292"/>
      <c r="E6214" s="257"/>
      <c r="F6214" s="257"/>
      <c r="G6214" s="227"/>
      <c r="H6214" s="328"/>
      <c r="I6214" s="227"/>
      <c r="J6214" s="150">
        <v>120</v>
      </c>
      <c r="K6214" s="227"/>
      <c r="L6214" s="660"/>
      <c r="M6214" s="671"/>
      <c r="N6214" s="582">
        <v>1.51</v>
      </c>
      <c r="O6214" s="581">
        <v>1.292E-4</v>
      </c>
      <c r="P6214" s="782"/>
      <c r="Q6214" s="764"/>
      <c r="R6214" s="764"/>
      <c r="S6214" s="764"/>
      <c r="T6214" s="764"/>
      <c r="U6214" s="764"/>
      <c r="V6214" s="764"/>
      <c r="W6214" s="764"/>
      <c r="X6214" s="764"/>
      <c r="Y6214" s="768"/>
      <c r="Z6214" s="281"/>
      <c r="AA6214" s="281"/>
      <c r="AB6214" s="281"/>
      <c r="AC6214" s="294"/>
      <c r="AD6214" s="282"/>
      <c r="AE6214" s="282"/>
      <c r="AF6214" s="173"/>
      <c r="AG6214" s="177"/>
      <c r="AH6214" s="349"/>
      <c r="AI6214" s="283"/>
      <c r="AJ6214" s="240"/>
      <c r="AK6214" s="240"/>
      <c r="AL6214" s="284"/>
      <c r="AM6214" s="167"/>
      <c r="AN6214" s="167"/>
      <c r="AO6214" s="167"/>
      <c r="AP6214" s="167"/>
      <c r="AQ6214" s="167"/>
      <c r="AR6214" s="551"/>
      <c r="AS6214" s="551"/>
      <c r="AT6214" s="551"/>
      <c r="AU6214" s="283"/>
      <c r="AV6214" s="283"/>
      <c r="AW6214" s="283"/>
      <c r="AX6214" s="283"/>
      <c r="AY6214" s="283"/>
      <c r="AZ6214" s="167"/>
      <c r="BA6214" s="167"/>
      <c r="BB6214" s="285"/>
      <c r="BC6214" s="154"/>
      <c r="BD6214" s="154"/>
      <c r="BE6214" s="150"/>
      <c r="BF6214" s="227"/>
      <c r="BG6214" s="227"/>
      <c r="BH6214" s="227"/>
      <c r="BI6214" s="224"/>
      <c r="BJ6214" s="227"/>
      <c r="BK6214" s="227"/>
      <c r="BL6214" s="227"/>
      <c r="BM6214" s="224"/>
      <c r="BN6214" s="224"/>
      <c r="BO6214" s="262"/>
      <c r="BP6214" s="262"/>
      <c r="BQ6214" s="262"/>
      <c r="BR6214" s="262"/>
      <c r="BS6214" s="262"/>
      <c r="BT6214" s="227"/>
      <c r="BU6214" s="227"/>
      <c r="BV6214" s="227"/>
      <c r="BW6214" s="286"/>
      <c r="BX6214" s="286"/>
      <c r="BY6214" s="227"/>
      <c r="BZ6214" s="227"/>
      <c r="CA6214" s="227"/>
      <c r="CB6214" s="190"/>
    </row>
    <row r="6215" spans="1:80" x14ac:dyDescent="0.2">
      <c r="A6215" s="257"/>
      <c r="B6215" s="667"/>
      <c r="C6215" s="667"/>
      <c r="D6215" s="292"/>
      <c r="E6215" s="257"/>
      <c r="F6215" s="257"/>
      <c r="G6215" s="227"/>
      <c r="H6215" s="328"/>
      <c r="I6215" s="227"/>
      <c r="J6215" s="150">
        <v>120</v>
      </c>
      <c r="K6215" s="227"/>
      <c r="L6215" s="660"/>
      <c r="M6215" s="671"/>
      <c r="N6215" s="582">
        <v>1.41</v>
      </c>
      <c r="O6215" s="581">
        <v>3.0680000000000003E-4</v>
      </c>
      <c r="P6215" s="782"/>
      <c r="Q6215" s="764"/>
      <c r="R6215" s="764"/>
      <c r="S6215" s="764"/>
      <c r="T6215" s="764"/>
      <c r="U6215" s="764"/>
      <c r="V6215" s="764"/>
      <c r="W6215" s="764"/>
      <c r="X6215" s="764"/>
      <c r="Y6215" s="768"/>
      <c r="Z6215" s="281"/>
      <c r="AA6215" s="281"/>
      <c r="AB6215" s="281"/>
      <c r="AC6215" s="294"/>
      <c r="AD6215" s="282"/>
      <c r="AE6215" s="282"/>
      <c r="AF6215" s="173"/>
      <c r="AG6215" s="177"/>
      <c r="AH6215" s="349"/>
      <c r="AI6215" s="283"/>
      <c r="AJ6215" s="240"/>
      <c r="AK6215" s="240"/>
      <c r="AL6215" s="284"/>
      <c r="AM6215" s="167"/>
      <c r="AN6215" s="167"/>
      <c r="AO6215" s="167"/>
      <c r="AP6215" s="167"/>
      <c r="AQ6215" s="167"/>
      <c r="AR6215" s="551"/>
      <c r="AS6215" s="551"/>
      <c r="AT6215" s="551"/>
      <c r="AU6215" s="283"/>
      <c r="AV6215" s="283"/>
      <c r="AW6215" s="283"/>
      <c r="AX6215" s="283"/>
      <c r="AY6215" s="283"/>
      <c r="AZ6215" s="167"/>
      <c r="BA6215" s="167"/>
      <c r="BB6215" s="285"/>
      <c r="BC6215" s="154"/>
      <c r="BD6215" s="154"/>
      <c r="BE6215" s="150"/>
      <c r="BF6215" s="227"/>
      <c r="BG6215" s="227"/>
      <c r="BH6215" s="227"/>
      <c r="BI6215" s="224"/>
      <c r="BJ6215" s="227"/>
      <c r="BK6215" s="227"/>
      <c r="BL6215" s="227"/>
      <c r="BM6215" s="224"/>
      <c r="BN6215" s="224"/>
      <c r="BO6215" s="262"/>
      <c r="BP6215" s="262"/>
      <c r="BQ6215" s="262"/>
      <c r="BR6215" s="262"/>
      <c r="BS6215" s="262"/>
      <c r="BT6215" s="227"/>
      <c r="BU6215" s="227"/>
      <c r="BV6215" s="227"/>
      <c r="BW6215" s="286"/>
      <c r="BX6215" s="286"/>
      <c r="BY6215" s="227"/>
      <c r="BZ6215" s="227"/>
      <c r="CA6215" s="227"/>
      <c r="CB6215" s="190"/>
    </row>
    <row r="6216" spans="1:80" x14ac:dyDescent="0.2">
      <c r="A6216" s="257"/>
      <c r="B6216" s="667"/>
      <c r="C6216" s="667"/>
      <c r="D6216" s="292"/>
      <c r="E6216" s="257"/>
      <c r="F6216" s="257"/>
      <c r="G6216" s="227"/>
      <c r="H6216" s="328"/>
      <c r="I6216" s="227"/>
      <c r="J6216" s="150">
        <v>120</v>
      </c>
      <c r="K6216" s="227"/>
      <c r="L6216" s="660"/>
      <c r="M6216" s="671"/>
      <c r="N6216" s="582">
        <v>1.61</v>
      </c>
      <c r="O6216" s="581">
        <v>9.6899999999999997E-5</v>
      </c>
      <c r="P6216" s="782"/>
      <c r="Q6216" s="764"/>
      <c r="R6216" s="764"/>
      <c r="S6216" s="764"/>
      <c r="T6216" s="764"/>
      <c r="U6216" s="764"/>
      <c r="V6216" s="764"/>
      <c r="W6216" s="764"/>
      <c r="X6216" s="764"/>
      <c r="Y6216" s="768"/>
      <c r="Z6216" s="281"/>
      <c r="AA6216" s="281"/>
      <c r="AB6216" s="281"/>
      <c r="AC6216" s="294"/>
      <c r="AD6216" s="282"/>
      <c r="AE6216" s="282"/>
      <c r="AF6216" s="173"/>
      <c r="AG6216" s="177"/>
      <c r="AH6216" s="349"/>
      <c r="AI6216" s="283"/>
      <c r="AJ6216" s="240"/>
      <c r="AK6216" s="240"/>
      <c r="AL6216" s="284"/>
      <c r="AM6216" s="167"/>
      <c r="AN6216" s="167"/>
      <c r="AO6216" s="167"/>
      <c r="AP6216" s="167"/>
      <c r="AQ6216" s="167"/>
      <c r="AR6216" s="551"/>
      <c r="AS6216" s="551"/>
      <c r="AT6216" s="551"/>
      <c r="AU6216" s="283"/>
      <c r="AV6216" s="283"/>
      <c r="AW6216" s="283"/>
      <c r="AX6216" s="283"/>
      <c r="AY6216" s="283"/>
      <c r="AZ6216" s="167"/>
      <c r="BA6216" s="167"/>
      <c r="BB6216" s="285"/>
      <c r="BC6216" s="154"/>
      <c r="BD6216" s="154"/>
      <c r="BE6216" s="150"/>
      <c r="BF6216" s="227"/>
      <c r="BG6216" s="227"/>
      <c r="BH6216" s="227"/>
      <c r="BI6216" s="224"/>
      <c r="BJ6216" s="227"/>
      <c r="BK6216" s="227"/>
      <c r="BL6216" s="227"/>
      <c r="BM6216" s="224"/>
      <c r="BN6216" s="224"/>
      <c r="BO6216" s="262"/>
      <c r="BP6216" s="262"/>
      <c r="BQ6216" s="262"/>
      <c r="BR6216" s="262"/>
      <c r="BS6216" s="262"/>
      <c r="BT6216" s="227"/>
      <c r="BU6216" s="227"/>
      <c r="BV6216" s="227"/>
      <c r="BW6216" s="286"/>
      <c r="BX6216" s="286"/>
      <c r="BY6216" s="227"/>
      <c r="BZ6216" s="227"/>
      <c r="CA6216" s="227"/>
      <c r="CB6216" s="190"/>
    </row>
    <row r="6217" spans="1:80" x14ac:dyDescent="0.2">
      <c r="A6217" s="257"/>
      <c r="B6217" s="667"/>
      <c r="C6217" s="667"/>
      <c r="D6217" s="292"/>
      <c r="E6217" s="257"/>
      <c r="F6217" s="257"/>
      <c r="G6217" s="227"/>
      <c r="H6217" s="328"/>
      <c r="I6217" s="227"/>
      <c r="J6217" s="150">
        <v>120</v>
      </c>
      <c r="K6217" s="227"/>
      <c r="L6217" s="660"/>
      <c r="M6217" s="671"/>
      <c r="N6217" s="582">
        <v>1.78</v>
      </c>
      <c r="O6217" s="581">
        <v>2.4220000000000001E-4</v>
      </c>
      <c r="P6217" s="782"/>
      <c r="Q6217" s="764"/>
      <c r="R6217" s="764"/>
      <c r="S6217" s="764"/>
      <c r="T6217" s="764"/>
      <c r="U6217" s="764"/>
      <c r="V6217" s="764"/>
      <c r="W6217" s="764"/>
      <c r="X6217" s="764"/>
      <c r="Y6217" s="768"/>
      <c r="Z6217" s="281"/>
      <c r="AA6217" s="281"/>
      <c r="AB6217" s="281"/>
      <c r="AC6217" s="294"/>
      <c r="AD6217" s="282"/>
      <c r="AE6217" s="282"/>
      <c r="AF6217" s="173"/>
      <c r="AG6217" s="177"/>
      <c r="AH6217" s="349"/>
      <c r="AI6217" s="283"/>
      <c r="AJ6217" s="240"/>
      <c r="AK6217" s="240"/>
      <c r="AL6217" s="284"/>
      <c r="AM6217" s="167"/>
      <c r="AN6217" s="167"/>
      <c r="AO6217" s="167"/>
      <c r="AP6217" s="167"/>
      <c r="AQ6217" s="167"/>
      <c r="AR6217" s="551"/>
      <c r="AS6217" s="551"/>
      <c r="AT6217" s="551"/>
      <c r="AU6217" s="283"/>
      <c r="AV6217" s="283"/>
      <c r="AW6217" s="283"/>
      <c r="AX6217" s="283"/>
      <c r="AY6217" s="283"/>
      <c r="AZ6217" s="167"/>
      <c r="BA6217" s="167"/>
      <c r="BB6217" s="285"/>
      <c r="BC6217" s="154"/>
      <c r="BD6217" s="154"/>
      <c r="BE6217" s="150"/>
      <c r="BF6217" s="227"/>
      <c r="BG6217" s="227"/>
      <c r="BH6217" s="227"/>
      <c r="BI6217" s="224"/>
      <c r="BJ6217" s="227"/>
      <c r="BK6217" s="227"/>
      <c r="BL6217" s="227"/>
      <c r="BM6217" s="224"/>
      <c r="BN6217" s="224"/>
      <c r="BO6217" s="262"/>
      <c r="BP6217" s="262"/>
      <c r="BQ6217" s="262"/>
      <c r="BR6217" s="262"/>
      <c r="BS6217" s="262"/>
      <c r="BT6217" s="227"/>
      <c r="BU6217" s="227"/>
      <c r="BV6217" s="227"/>
      <c r="BW6217" s="286"/>
      <c r="BX6217" s="286"/>
      <c r="BY6217" s="227"/>
      <c r="BZ6217" s="227"/>
      <c r="CA6217" s="227"/>
      <c r="CB6217" s="190"/>
    </row>
    <row r="6218" spans="1:80" x14ac:dyDescent="0.2">
      <c r="A6218" s="257"/>
      <c r="B6218" s="667"/>
      <c r="C6218" s="667"/>
      <c r="D6218" s="292"/>
      <c r="E6218" s="257"/>
      <c r="F6218" s="257"/>
      <c r="G6218" s="227"/>
      <c r="H6218" s="328"/>
      <c r="I6218" s="227"/>
      <c r="J6218" s="150">
        <v>120</v>
      </c>
      <c r="K6218" s="227"/>
      <c r="L6218" s="660"/>
      <c r="M6218" s="671"/>
      <c r="N6218" s="582">
        <v>1.95</v>
      </c>
      <c r="O6218" s="581">
        <v>6.6750000000000002E-4</v>
      </c>
      <c r="P6218" s="782"/>
      <c r="Q6218" s="764"/>
      <c r="R6218" s="764"/>
      <c r="S6218" s="764"/>
      <c r="T6218" s="764"/>
      <c r="U6218" s="764"/>
      <c r="V6218" s="764"/>
      <c r="W6218" s="764"/>
      <c r="X6218" s="764"/>
      <c r="Y6218" s="768"/>
      <c r="Z6218" s="281"/>
      <c r="AA6218" s="281"/>
      <c r="AB6218" s="281"/>
      <c r="AC6218" s="294"/>
      <c r="AD6218" s="282"/>
      <c r="AE6218" s="282"/>
      <c r="AF6218" s="173"/>
      <c r="AG6218" s="177"/>
      <c r="AH6218" s="349"/>
      <c r="AI6218" s="283"/>
      <c r="AJ6218" s="240"/>
      <c r="AK6218" s="240"/>
      <c r="AL6218" s="284"/>
      <c r="AM6218" s="167"/>
      <c r="AN6218" s="167"/>
      <c r="AO6218" s="167"/>
      <c r="AP6218" s="167"/>
      <c r="AQ6218" s="167"/>
      <c r="AR6218" s="551"/>
      <c r="AS6218" s="551"/>
      <c r="AT6218" s="551"/>
      <c r="AU6218" s="283"/>
      <c r="AV6218" s="283"/>
      <c r="AW6218" s="283"/>
      <c r="AX6218" s="283"/>
      <c r="AY6218" s="283"/>
      <c r="AZ6218" s="167"/>
      <c r="BA6218" s="167"/>
      <c r="BB6218" s="285"/>
      <c r="BC6218" s="154"/>
      <c r="BD6218" s="154"/>
      <c r="BE6218" s="150"/>
      <c r="BF6218" s="227"/>
      <c r="BG6218" s="227"/>
      <c r="BH6218" s="227"/>
      <c r="BI6218" s="224"/>
      <c r="BJ6218" s="227"/>
      <c r="BK6218" s="227"/>
      <c r="BL6218" s="227"/>
      <c r="BM6218" s="224"/>
      <c r="BN6218" s="224"/>
      <c r="BO6218" s="262"/>
      <c r="BP6218" s="262"/>
      <c r="BQ6218" s="262"/>
      <c r="BR6218" s="262"/>
      <c r="BS6218" s="262"/>
      <c r="BT6218" s="227"/>
      <c r="BU6218" s="227"/>
      <c r="BV6218" s="227"/>
      <c r="BW6218" s="286"/>
      <c r="BX6218" s="286"/>
      <c r="BY6218" s="227"/>
      <c r="BZ6218" s="227"/>
      <c r="CA6218" s="227"/>
      <c r="CB6218" s="190"/>
    </row>
    <row r="6219" spans="1:80" s="120" customFormat="1" ht="15" x14ac:dyDescent="0.25">
      <c r="A6219" s="9" t="s">
        <v>218</v>
      </c>
      <c r="B6219" s="639" t="s">
        <v>73</v>
      </c>
      <c r="C6219" s="639"/>
      <c r="D6219" s="4">
        <f>VLOOKUP(E6219,'Quality Code'!D4:E24,2,TRUE)*VLOOKUP(MROUND(F6219,10),'Quality Code'!D28:E69,2,TRUE)*VLOOKUP(COUNTA(CB6219:CB6229),'Quality Code'!D73:E93,2,TRUE)</f>
        <v>3</v>
      </c>
      <c r="E6219" s="14">
        <v>0.6</v>
      </c>
      <c r="F6219" s="18">
        <v>145</v>
      </c>
      <c r="G6219" s="121">
        <v>6.733969086000001</v>
      </c>
      <c r="H6219" s="2" t="s">
        <v>219</v>
      </c>
      <c r="I6219" s="2" t="s">
        <v>29</v>
      </c>
      <c r="J6219" s="2" t="s">
        <v>291</v>
      </c>
      <c r="K6219" s="2" t="s">
        <v>29</v>
      </c>
      <c r="L6219" s="641"/>
      <c r="M6219" s="640" t="s">
        <v>896</v>
      </c>
      <c r="N6219" s="579"/>
      <c r="O6219" s="579"/>
      <c r="P6219" s="10" t="s">
        <v>64</v>
      </c>
      <c r="Q6219" s="10" t="s">
        <v>64</v>
      </c>
      <c r="R6219" s="10" t="s">
        <v>64</v>
      </c>
      <c r="S6219" s="10" t="s">
        <v>64</v>
      </c>
      <c r="T6219" s="10" t="s">
        <v>64</v>
      </c>
      <c r="U6219" s="10" t="s">
        <v>64</v>
      </c>
      <c r="V6219" s="10" t="s">
        <v>940</v>
      </c>
      <c r="W6219" s="10"/>
      <c r="X6219" s="10"/>
      <c r="Y6219" s="10"/>
      <c r="Z6219" s="11"/>
      <c r="AA6219" s="81"/>
      <c r="AB6219" s="10"/>
      <c r="AC6219" s="445">
        <f>AVERAGE(AC6220:AC6364)</f>
        <v>9.9606896551724354E-3</v>
      </c>
      <c r="AD6219" s="11"/>
      <c r="AE6219" s="11"/>
      <c r="AF6219" s="10"/>
      <c r="AG6219" s="10"/>
      <c r="AH6219" s="345"/>
      <c r="AI6219" s="2">
        <v>20</v>
      </c>
      <c r="AJ6219" s="17"/>
      <c r="AK6219" s="17"/>
      <c r="AL6219" s="17"/>
      <c r="AM6219" s="17"/>
      <c r="AN6219" s="17"/>
      <c r="AO6219" s="17"/>
      <c r="AP6219" s="17"/>
      <c r="AQ6219" s="17"/>
      <c r="AR6219" s="17"/>
      <c r="AS6219" s="17"/>
      <c r="AT6219" s="17"/>
      <c r="AU6219" s="18">
        <v>63</v>
      </c>
      <c r="AV6219" s="17"/>
      <c r="AW6219" s="17"/>
      <c r="AX6219" s="17"/>
      <c r="AY6219" s="17"/>
      <c r="AZ6219" s="17"/>
      <c r="BA6219" s="17"/>
      <c r="BB6219" s="17"/>
      <c r="BC6219" s="17"/>
      <c r="BD6219" s="17"/>
      <c r="BE6219" s="17"/>
      <c r="BF6219" s="505"/>
      <c r="BG6219" s="505"/>
      <c r="BH6219" s="505"/>
      <c r="BI6219" s="118">
        <f>AU6219/AI6219</f>
        <v>3.15</v>
      </c>
      <c r="BJ6219" s="2"/>
      <c r="BK6219" s="2"/>
      <c r="BL6219" s="12">
        <v>2.98</v>
      </c>
      <c r="BM6219" s="12"/>
      <c r="BN6219" s="12">
        <v>3.7</v>
      </c>
      <c r="BO6219" s="12">
        <v>0.42</v>
      </c>
      <c r="BP6219" s="12">
        <f>BO6219*BN6219</f>
        <v>1.554</v>
      </c>
      <c r="BQ6219" s="12">
        <f>BN6219/BO6219</f>
        <v>8.8095238095238102</v>
      </c>
      <c r="BR6219" s="12"/>
      <c r="BS6219" s="12"/>
      <c r="BT6219" s="12"/>
      <c r="BU6219" s="2"/>
      <c r="BV6219" s="2"/>
      <c r="BW6219" s="2">
        <v>0.15</v>
      </c>
      <c r="BX6219" s="2"/>
      <c r="BY6219" s="2"/>
      <c r="BZ6219" s="2"/>
      <c r="CA6219" s="9"/>
      <c r="CB6219" s="9" t="s">
        <v>226</v>
      </c>
    </row>
    <row r="6220" spans="1:80" s="87" customFormat="1" ht="15" customHeight="1" x14ac:dyDescent="0.2">
      <c r="A6220" s="152"/>
      <c r="B6220" s="683"/>
      <c r="C6220" s="683"/>
      <c r="D6220" s="698"/>
      <c r="E6220" s="215"/>
      <c r="F6220" s="215"/>
      <c r="G6220" s="153"/>
      <c r="H6220" s="153"/>
      <c r="I6220" s="153"/>
      <c r="J6220" s="153"/>
      <c r="K6220" s="153"/>
      <c r="L6220" s="653"/>
      <c r="M6220" s="663" t="s">
        <v>897</v>
      </c>
      <c r="N6220" s="600">
        <v>0.76455485820000002</v>
      </c>
      <c r="O6220" s="621">
        <f>1.67/(60*60)</f>
        <v>4.6388888888888885E-4</v>
      </c>
      <c r="P6220" s="266"/>
      <c r="Q6220" s="242"/>
      <c r="R6220" s="242"/>
      <c r="S6220" s="242"/>
      <c r="T6220" s="242"/>
      <c r="U6220" s="242"/>
      <c r="V6220" s="242"/>
      <c r="W6220" s="765"/>
      <c r="X6220" s="781"/>
      <c r="Y6220" s="766"/>
      <c r="Z6220" s="245"/>
      <c r="AA6220" s="220">
        <f>0.16*(10)</f>
        <v>1.6</v>
      </c>
      <c r="AB6220" s="295">
        <v>1</v>
      </c>
      <c r="AC6220" s="230">
        <f>1.23/100</f>
        <v>1.23E-2</v>
      </c>
      <c r="AD6220" s="223"/>
      <c r="AE6220" s="223"/>
      <c r="AF6220" s="223"/>
      <c r="AG6220" s="223"/>
      <c r="AH6220" s="341"/>
      <c r="AI6220" s="153"/>
      <c r="AJ6220" s="480"/>
      <c r="AK6220" s="153"/>
      <c r="AL6220" s="152"/>
      <c r="AM6220" s="152"/>
      <c r="AN6220" s="152"/>
      <c r="AO6220" s="152"/>
      <c r="AP6220" s="152"/>
      <c r="AQ6220" s="152"/>
      <c r="AR6220" s="152"/>
      <c r="AS6220" s="152"/>
      <c r="AT6220" s="152"/>
      <c r="AU6220" s="153"/>
      <c r="AV6220" s="479"/>
      <c r="AW6220" s="479"/>
      <c r="AX6220" s="442"/>
      <c r="AY6220" s="153"/>
      <c r="AZ6220" s="152"/>
      <c r="BA6220" s="152"/>
      <c r="BB6220" s="152"/>
      <c r="BC6220" s="152"/>
      <c r="BD6220" s="152"/>
      <c r="BE6220" s="152"/>
      <c r="BF6220" s="152"/>
      <c r="BG6220" s="152"/>
      <c r="BH6220" s="152"/>
      <c r="BI6220" s="153"/>
      <c r="BJ6220" s="153"/>
      <c r="BK6220" s="153"/>
      <c r="BL6220" s="153"/>
      <c r="BM6220" s="153"/>
      <c r="BN6220" s="153"/>
      <c r="BO6220" s="153"/>
      <c r="BP6220" s="153"/>
      <c r="BQ6220" s="153"/>
      <c r="BR6220" s="153"/>
      <c r="BS6220" s="153"/>
      <c r="BT6220" s="153"/>
      <c r="BU6220" s="153"/>
      <c r="BV6220" s="153"/>
      <c r="BW6220" s="153"/>
      <c r="BX6220" s="153"/>
      <c r="BY6220" s="153"/>
      <c r="BZ6220" s="153"/>
      <c r="CA6220" s="152"/>
      <c r="CB6220" s="485" t="s">
        <v>638</v>
      </c>
    </row>
    <row r="6221" spans="1:80" s="87" customFormat="1" ht="15" x14ac:dyDescent="0.2">
      <c r="A6221" s="152"/>
      <c r="B6221" s="683"/>
      <c r="C6221" s="683"/>
      <c r="D6221" s="698"/>
      <c r="E6221" s="215"/>
      <c r="F6221" s="215"/>
      <c r="G6221" s="153"/>
      <c r="H6221" s="153"/>
      <c r="I6221" s="153"/>
      <c r="J6221" s="153"/>
      <c r="K6221" s="153"/>
      <c r="L6221" s="653"/>
      <c r="M6221" s="663" t="s">
        <v>897</v>
      </c>
      <c r="N6221" s="600">
        <v>0.33980215920000001</v>
      </c>
      <c r="O6221" s="621">
        <f>(0.016/(60))/(60)</f>
        <v>4.444444444444445E-6</v>
      </c>
      <c r="P6221" s="266"/>
      <c r="Q6221" s="242"/>
      <c r="R6221" s="242"/>
      <c r="S6221" s="242"/>
      <c r="T6221" s="242"/>
      <c r="U6221" s="242"/>
      <c r="V6221" s="242"/>
      <c r="W6221" s="767"/>
      <c r="X6221" s="764"/>
      <c r="Y6221" s="768"/>
      <c r="Z6221" s="245"/>
      <c r="AA6221" s="220">
        <f>0.084*(10)</f>
        <v>0.84000000000000008</v>
      </c>
      <c r="AB6221" s="295">
        <v>2</v>
      </c>
      <c r="AC6221" s="230">
        <v>1.2200000000000001E-2</v>
      </c>
      <c r="AD6221" s="223"/>
      <c r="AE6221" s="223"/>
      <c r="AF6221" s="223"/>
      <c r="AG6221" s="223"/>
      <c r="AH6221" s="341"/>
      <c r="AI6221" s="153"/>
      <c r="AJ6221" s="480"/>
      <c r="AK6221" s="153"/>
      <c r="AL6221" s="152"/>
      <c r="AM6221" s="152"/>
      <c r="AN6221" s="152"/>
      <c r="AO6221" s="152"/>
      <c r="AP6221" s="152"/>
      <c r="AQ6221" s="152"/>
      <c r="AR6221" s="152"/>
      <c r="AS6221" s="152"/>
      <c r="AT6221" s="152"/>
      <c r="AU6221" s="153"/>
      <c r="AV6221" s="479"/>
      <c r="AW6221" s="479"/>
      <c r="AX6221" s="442"/>
      <c r="AY6221" s="153"/>
      <c r="AZ6221" s="152"/>
      <c r="BA6221" s="152"/>
      <c r="BB6221" s="152"/>
      <c r="BC6221" s="152"/>
      <c r="BD6221" s="152"/>
      <c r="BE6221" s="152"/>
      <c r="BF6221" s="152"/>
      <c r="BG6221" s="152"/>
      <c r="BH6221" s="152"/>
      <c r="BI6221" s="153"/>
      <c r="BJ6221" s="153"/>
      <c r="BK6221" s="153"/>
      <c r="BL6221" s="153"/>
      <c r="BM6221" s="153"/>
      <c r="BN6221" s="153"/>
      <c r="BO6221" s="153"/>
      <c r="BP6221" s="153"/>
      <c r="BQ6221" s="153"/>
      <c r="BR6221" s="153"/>
      <c r="BS6221" s="153"/>
      <c r="BT6221" s="153"/>
      <c r="BU6221" s="153"/>
      <c r="BV6221" s="153"/>
      <c r="BW6221" s="153"/>
      <c r="BX6221" s="153"/>
      <c r="BY6221" s="153"/>
      <c r="BZ6221" s="153"/>
      <c r="CA6221" s="152"/>
      <c r="CB6221" s="485" t="s">
        <v>640</v>
      </c>
    </row>
    <row r="6222" spans="1:80" s="87" customFormat="1" x14ac:dyDescent="0.2">
      <c r="A6222" s="152"/>
      <c r="B6222" s="683"/>
      <c r="C6222" s="683"/>
      <c r="D6222" s="698"/>
      <c r="E6222" s="215"/>
      <c r="F6222" s="215"/>
      <c r="G6222" s="153"/>
      <c r="H6222" s="153"/>
      <c r="I6222" s="153"/>
      <c r="J6222" s="153"/>
      <c r="K6222" s="153"/>
      <c r="L6222" s="653"/>
      <c r="M6222" s="663" t="s">
        <v>897</v>
      </c>
      <c r="N6222" s="600">
        <v>0.24635656541999998</v>
      </c>
      <c r="O6222" s="621">
        <f>(0.0067/(60))/(60)</f>
        <v>1.8611111111111111E-6</v>
      </c>
      <c r="P6222" s="266"/>
      <c r="Q6222" s="242"/>
      <c r="R6222" s="242"/>
      <c r="S6222" s="242"/>
      <c r="T6222" s="242"/>
      <c r="U6222" s="242"/>
      <c r="V6222" s="242"/>
      <c r="W6222" s="767"/>
      <c r="X6222" s="764"/>
      <c r="Y6222" s="768"/>
      <c r="Z6222" s="245"/>
      <c r="AA6222" s="220">
        <f>0.055*(10)</f>
        <v>0.55000000000000004</v>
      </c>
      <c r="AB6222" s="295">
        <v>3</v>
      </c>
      <c r="AC6222" s="230">
        <v>1.2E-2</v>
      </c>
      <c r="AD6222" s="223"/>
      <c r="AE6222" s="223"/>
      <c r="AF6222" s="223"/>
      <c r="AG6222" s="223"/>
      <c r="AH6222" s="341"/>
      <c r="AI6222" s="153"/>
      <c r="AJ6222" s="480"/>
      <c r="AK6222" s="153"/>
      <c r="AL6222" s="152"/>
      <c r="AM6222" s="152"/>
      <c r="AN6222" s="152"/>
      <c r="AO6222" s="152"/>
      <c r="AP6222" s="152"/>
      <c r="AQ6222" s="152"/>
      <c r="AR6222" s="152"/>
      <c r="AS6222" s="152"/>
      <c r="AT6222" s="152"/>
      <c r="AU6222" s="153"/>
      <c r="AV6222" s="479"/>
      <c r="AW6222" s="479"/>
      <c r="AX6222" s="442"/>
      <c r="AY6222" s="153"/>
      <c r="AZ6222" s="152"/>
      <c r="BA6222" s="152"/>
      <c r="BB6222" s="152"/>
      <c r="BC6222" s="152"/>
      <c r="BD6222" s="152"/>
      <c r="BE6222" s="152"/>
      <c r="BF6222" s="152"/>
      <c r="BG6222" s="152"/>
      <c r="BH6222" s="152"/>
      <c r="BI6222" s="153"/>
      <c r="BJ6222" s="153"/>
      <c r="BK6222" s="153"/>
      <c r="BL6222" s="153"/>
      <c r="BM6222" s="153"/>
      <c r="BN6222" s="153"/>
      <c r="BO6222" s="153"/>
      <c r="BP6222" s="153"/>
      <c r="BQ6222" s="153"/>
      <c r="BR6222" s="153"/>
      <c r="BS6222" s="153"/>
      <c r="BT6222" s="153"/>
      <c r="BU6222" s="153"/>
      <c r="BV6222" s="153"/>
      <c r="BW6222" s="153"/>
      <c r="BX6222" s="153"/>
      <c r="BY6222" s="153"/>
      <c r="BZ6222" s="153"/>
      <c r="CA6222" s="152"/>
      <c r="CB6222" s="152"/>
    </row>
    <row r="6223" spans="1:80" s="87" customFormat="1" x14ac:dyDescent="0.2">
      <c r="A6223" s="152"/>
      <c r="B6223" s="683"/>
      <c r="C6223" s="683"/>
      <c r="D6223" s="698"/>
      <c r="E6223" s="215"/>
      <c r="F6223" s="215"/>
      <c r="G6223" s="153"/>
      <c r="H6223" s="153"/>
      <c r="I6223" s="153"/>
      <c r="J6223" s="153"/>
      <c r="K6223" s="153"/>
      <c r="L6223" s="653"/>
      <c r="M6223" s="663" t="s">
        <v>897</v>
      </c>
      <c r="N6223" s="600">
        <v>0.24352488076000001</v>
      </c>
      <c r="O6223" s="621">
        <f>(0.001/(60))/(60)</f>
        <v>2.7777777777777781E-7</v>
      </c>
      <c r="P6223" s="266"/>
      <c r="Q6223" s="242"/>
      <c r="R6223" s="242"/>
      <c r="S6223" s="242"/>
      <c r="T6223" s="242"/>
      <c r="U6223" s="242"/>
      <c r="V6223" s="242"/>
      <c r="W6223" s="767"/>
      <c r="X6223" s="764"/>
      <c r="Y6223" s="768"/>
      <c r="Z6223" s="245"/>
      <c r="AA6223" s="220">
        <f>0.018*(10)</f>
        <v>0.18</v>
      </c>
      <c r="AB6223" s="295">
        <v>4</v>
      </c>
      <c r="AC6223" s="230">
        <v>1.2E-2</v>
      </c>
      <c r="AD6223" s="223"/>
      <c r="AE6223" s="223"/>
      <c r="AF6223" s="223"/>
      <c r="AG6223" s="223"/>
      <c r="AH6223" s="341"/>
      <c r="AI6223" s="153"/>
      <c r="AJ6223" s="480"/>
      <c r="AK6223" s="153"/>
      <c r="AL6223" s="152"/>
      <c r="AM6223" s="152"/>
      <c r="AN6223" s="152"/>
      <c r="AO6223" s="152"/>
      <c r="AP6223" s="152"/>
      <c r="AQ6223" s="152"/>
      <c r="AR6223" s="152"/>
      <c r="AS6223" s="152"/>
      <c r="AT6223" s="152"/>
      <c r="AU6223" s="153"/>
      <c r="AV6223" s="479"/>
      <c r="AW6223" s="479"/>
      <c r="AX6223" s="442"/>
      <c r="AY6223" s="153"/>
      <c r="AZ6223" s="152"/>
      <c r="BA6223" s="152"/>
      <c r="BB6223" s="152"/>
      <c r="BC6223" s="152"/>
      <c r="BD6223" s="152"/>
      <c r="BE6223" s="152"/>
      <c r="BF6223" s="152"/>
      <c r="BG6223" s="152"/>
      <c r="BH6223" s="152"/>
      <c r="BI6223" s="153"/>
      <c r="BJ6223" s="153"/>
      <c r="BK6223" s="153"/>
      <c r="BL6223" s="153"/>
      <c r="BM6223" s="153"/>
      <c r="BN6223" s="153"/>
      <c r="BO6223" s="153"/>
      <c r="BP6223" s="153"/>
      <c r="BQ6223" s="153"/>
      <c r="BR6223" s="153"/>
      <c r="BS6223" s="153"/>
      <c r="BT6223" s="153"/>
      <c r="BU6223" s="153"/>
      <c r="BV6223" s="153"/>
      <c r="BW6223" s="153"/>
      <c r="BX6223" s="153"/>
      <c r="BY6223" s="153"/>
      <c r="BZ6223" s="153"/>
      <c r="CA6223" s="152"/>
      <c r="CB6223" s="152"/>
    </row>
    <row r="6224" spans="1:80" s="87" customFormat="1" x14ac:dyDescent="0.2">
      <c r="A6224" s="152"/>
      <c r="B6224" s="683"/>
      <c r="C6224" s="683"/>
      <c r="D6224" s="698"/>
      <c r="E6224" s="215"/>
      <c r="F6224" s="215"/>
      <c r="G6224" s="153"/>
      <c r="H6224" s="153"/>
      <c r="I6224" s="153"/>
      <c r="J6224" s="153"/>
      <c r="K6224" s="153"/>
      <c r="L6224" s="653"/>
      <c r="M6224" s="663" t="s">
        <v>897</v>
      </c>
      <c r="N6224" s="600">
        <v>0.24069319610000001</v>
      </c>
      <c r="O6224" s="621">
        <f>(0.001/(60))/(60)</f>
        <v>2.7777777777777781E-7</v>
      </c>
      <c r="P6224" s="266"/>
      <c r="Q6224" s="242"/>
      <c r="R6224" s="242"/>
      <c r="S6224" s="242"/>
      <c r="T6224" s="242"/>
      <c r="U6224" s="242"/>
      <c r="V6224" s="242"/>
      <c r="W6224" s="767"/>
      <c r="X6224" s="764"/>
      <c r="Y6224" s="768"/>
      <c r="Z6224" s="245"/>
      <c r="AA6224" s="220">
        <f>0.05*(10)</f>
        <v>0.5</v>
      </c>
      <c r="AB6224" s="295">
        <v>5</v>
      </c>
      <c r="AC6224" s="230">
        <v>1.2E-2</v>
      </c>
      <c r="AD6224" s="223"/>
      <c r="AE6224" s="223"/>
      <c r="AF6224" s="223"/>
      <c r="AG6224" s="223"/>
      <c r="AH6224" s="341"/>
      <c r="AI6224" s="153"/>
      <c r="AJ6224" s="480"/>
      <c r="AK6224" s="153"/>
      <c r="AL6224" s="152"/>
      <c r="AM6224" s="152"/>
      <c r="AN6224" s="152"/>
      <c r="AO6224" s="152"/>
      <c r="AP6224" s="152"/>
      <c r="AQ6224" s="152"/>
      <c r="AR6224" s="152"/>
      <c r="AS6224" s="152"/>
      <c r="AT6224" s="152"/>
      <c r="AU6224" s="153"/>
      <c r="AV6224" s="479"/>
      <c r="AW6224" s="479"/>
      <c r="AX6224" s="442"/>
      <c r="AY6224" s="153"/>
      <c r="AZ6224" s="152"/>
      <c r="BA6224" s="152"/>
      <c r="BB6224" s="152"/>
      <c r="BC6224" s="152"/>
      <c r="BD6224" s="152"/>
      <c r="BE6224" s="152"/>
      <c r="BF6224" s="152"/>
      <c r="BG6224" s="152"/>
      <c r="BH6224" s="152"/>
      <c r="BI6224" s="153"/>
      <c r="BJ6224" s="153"/>
      <c r="BK6224" s="153"/>
      <c r="BL6224" s="153"/>
      <c r="BM6224" s="153"/>
      <c r="BN6224" s="153"/>
      <c r="BO6224" s="153"/>
      <c r="BP6224" s="153"/>
      <c r="BQ6224" s="153"/>
      <c r="BR6224" s="153"/>
      <c r="BS6224" s="153"/>
      <c r="BT6224" s="153"/>
      <c r="BU6224" s="153"/>
      <c r="BV6224" s="153"/>
      <c r="BW6224" s="153"/>
      <c r="BX6224" s="153"/>
      <c r="BY6224" s="153"/>
      <c r="BZ6224" s="153"/>
      <c r="CA6224" s="152"/>
      <c r="CB6224" s="152"/>
    </row>
    <row r="6225" spans="1:80" s="87" customFormat="1" x14ac:dyDescent="0.2">
      <c r="A6225" s="152"/>
      <c r="B6225" s="683"/>
      <c r="C6225" s="683"/>
      <c r="D6225" s="698"/>
      <c r="E6225" s="215"/>
      <c r="F6225" s="215"/>
      <c r="G6225" s="153"/>
      <c r="H6225" s="153"/>
      <c r="I6225" s="153"/>
      <c r="J6225" s="153"/>
      <c r="K6225" s="153"/>
      <c r="L6225" s="653"/>
      <c r="M6225" s="663" t="s">
        <v>897</v>
      </c>
      <c r="N6225" s="600">
        <v>0.22936645746000001</v>
      </c>
      <c r="O6225" s="621">
        <f>(0.00062/(60))/(60)</f>
        <v>1.7222222222222222E-7</v>
      </c>
      <c r="P6225" s="266"/>
      <c r="Q6225" s="242"/>
      <c r="R6225" s="242"/>
      <c r="S6225" s="242"/>
      <c r="T6225" s="242"/>
      <c r="U6225" s="242"/>
      <c r="V6225" s="242"/>
      <c r="W6225" s="767"/>
      <c r="X6225" s="764"/>
      <c r="Y6225" s="768"/>
      <c r="Z6225" s="245"/>
      <c r="AA6225" s="220">
        <f>0.07*(10)</f>
        <v>0.70000000000000007</v>
      </c>
      <c r="AB6225" s="295">
        <v>6</v>
      </c>
      <c r="AC6225" s="230">
        <v>1.2E-2</v>
      </c>
      <c r="AD6225" s="223"/>
      <c r="AE6225" s="223"/>
      <c r="AF6225" s="223"/>
      <c r="AG6225" s="223"/>
      <c r="AH6225" s="341"/>
      <c r="AI6225" s="153"/>
      <c r="AJ6225" s="480"/>
      <c r="AK6225" s="153"/>
      <c r="AL6225" s="152"/>
      <c r="AM6225" s="152"/>
      <c r="AN6225" s="152"/>
      <c r="AO6225" s="152"/>
      <c r="AP6225" s="152"/>
      <c r="AQ6225" s="152"/>
      <c r="AR6225" s="152"/>
      <c r="AS6225" s="152"/>
      <c r="AT6225" s="152"/>
      <c r="AU6225" s="153"/>
      <c r="AV6225" s="479"/>
      <c r="AW6225" s="479"/>
      <c r="AX6225" s="442"/>
      <c r="AY6225" s="153"/>
      <c r="AZ6225" s="152"/>
      <c r="BA6225" s="152"/>
      <c r="BB6225" s="152"/>
      <c r="BC6225" s="152"/>
      <c r="BD6225" s="152"/>
      <c r="BE6225" s="152"/>
      <c r="BF6225" s="152"/>
      <c r="BG6225" s="152"/>
      <c r="BH6225" s="152"/>
      <c r="BI6225" s="153"/>
      <c r="BJ6225" s="153"/>
      <c r="BK6225" s="153"/>
      <c r="BL6225" s="153"/>
      <c r="BM6225" s="153"/>
      <c r="BN6225" s="153"/>
      <c r="BO6225" s="153"/>
      <c r="BP6225" s="153"/>
      <c r="BQ6225" s="153"/>
      <c r="BR6225" s="153"/>
      <c r="BS6225" s="153"/>
      <c r="BT6225" s="153"/>
      <c r="BU6225" s="153"/>
      <c r="BV6225" s="153"/>
      <c r="BW6225" s="153"/>
      <c r="BX6225" s="153"/>
      <c r="BY6225" s="153"/>
      <c r="BZ6225" s="153"/>
      <c r="CA6225" s="152"/>
      <c r="CB6225" s="152"/>
    </row>
    <row r="6226" spans="1:80" s="87" customFormat="1" x14ac:dyDescent="0.2">
      <c r="A6226" s="152"/>
      <c r="B6226" s="683"/>
      <c r="C6226" s="683"/>
      <c r="D6226" s="698"/>
      <c r="E6226" s="215"/>
      <c r="F6226" s="215"/>
      <c r="G6226" s="153"/>
      <c r="H6226" s="153"/>
      <c r="I6226" s="153"/>
      <c r="J6226" s="153"/>
      <c r="K6226" s="153"/>
      <c r="L6226" s="653"/>
      <c r="M6226" s="663" t="s">
        <v>897</v>
      </c>
      <c r="N6226" s="600">
        <v>0.84950539800000002</v>
      </c>
      <c r="O6226" s="621">
        <f>(1.58/(60))/(60)</f>
        <v>4.3888888888888889E-4</v>
      </c>
      <c r="P6226" s="266"/>
      <c r="Q6226" s="242"/>
      <c r="R6226" s="242"/>
      <c r="S6226" s="242"/>
      <c r="T6226" s="242"/>
      <c r="U6226" s="242"/>
      <c r="V6226" s="242"/>
      <c r="W6226" s="767"/>
      <c r="X6226" s="764"/>
      <c r="Y6226" s="768"/>
      <c r="Z6226" s="245"/>
      <c r="AA6226" s="220">
        <f>0.18*(10)</f>
        <v>1.7999999999999998</v>
      </c>
      <c r="AB6226" s="295">
        <v>7</v>
      </c>
      <c r="AC6226" s="230">
        <v>1.26E-2</v>
      </c>
      <c r="AD6226" s="223"/>
      <c r="AE6226" s="223"/>
      <c r="AF6226" s="223"/>
      <c r="AG6226" s="223"/>
      <c r="AH6226" s="341"/>
      <c r="AI6226" s="153"/>
      <c r="AJ6226" s="480"/>
      <c r="AK6226" s="153"/>
      <c r="AL6226" s="152"/>
      <c r="AM6226" s="152"/>
      <c r="AN6226" s="152"/>
      <c r="AO6226" s="152"/>
      <c r="AP6226" s="152"/>
      <c r="AQ6226" s="152"/>
      <c r="AR6226" s="152"/>
      <c r="AS6226" s="152"/>
      <c r="AT6226" s="152"/>
      <c r="AU6226" s="153"/>
      <c r="AV6226" s="479"/>
      <c r="AW6226" s="479"/>
      <c r="AX6226" s="442"/>
      <c r="AY6226" s="153"/>
      <c r="AZ6226" s="152"/>
      <c r="BA6226" s="152"/>
      <c r="BB6226" s="152"/>
      <c r="BC6226" s="152"/>
      <c r="BD6226" s="152"/>
      <c r="BE6226" s="152"/>
      <c r="BF6226" s="152"/>
      <c r="BG6226" s="152"/>
      <c r="BH6226" s="152"/>
      <c r="BI6226" s="153"/>
      <c r="BJ6226" s="153"/>
      <c r="BK6226" s="153"/>
      <c r="BL6226" s="153"/>
      <c r="BM6226" s="153"/>
      <c r="BN6226" s="153"/>
      <c r="BO6226" s="153"/>
      <c r="BP6226" s="153"/>
      <c r="BQ6226" s="153"/>
      <c r="BR6226" s="153"/>
      <c r="BS6226" s="153"/>
      <c r="BT6226" s="153"/>
      <c r="BU6226" s="153"/>
      <c r="BV6226" s="153"/>
      <c r="BW6226" s="153"/>
      <c r="BX6226" s="153"/>
      <c r="BY6226" s="153"/>
      <c r="BZ6226" s="153"/>
      <c r="CA6226" s="152"/>
      <c r="CB6226" s="152"/>
    </row>
    <row r="6227" spans="1:80" s="87" customFormat="1" x14ac:dyDescent="0.2">
      <c r="A6227" s="152"/>
      <c r="B6227" s="683"/>
      <c r="C6227" s="683"/>
      <c r="D6227" s="698"/>
      <c r="E6227" s="215"/>
      <c r="F6227" s="215"/>
      <c r="G6227" s="153"/>
      <c r="H6227" s="153"/>
      <c r="I6227" s="153"/>
      <c r="J6227" s="153"/>
      <c r="K6227" s="153"/>
      <c r="L6227" s="653"/>
      <c r="M6227" s="663" t="s">
        <v>897</v>
      </c>
      <c r="N6227" s="600">
        <v>0.59465377860000002</v>
      </c>
      <c r="O6227" s="621">
        <f>(0.096/(60))/(60)</f>
        <v>2.6666666666666667E-5</v>
      </c>
      <c r="P6227" s="266"/>
      <c r="Q6227" s="242"/>
      <c r="R6227" s="242"/>
      <c r="S6227" s="242"/>
      <c r="T6227" s="242"/>
      <c r="U6227" s="242"/>
      <c r="V6227" s="242"/>
      <c r="W6227" s="767"/>
      <c r="X6227" s="764"/>
      <c r="Y6227" s="768"/>
      <c r="Z6227" s="245"/>
      <c r="AA6227" s="220">
        <f>0.12*(10)</f>
        <v>1.2</v>
      </c>
      <c r="AB6227" s="295">
        <v>8</v>
      </c>
      <c r="AC6227" s="230">
        <v>1.24E-2</v>
      </c>
      <c r="AD6227" s="223"/>
      <c r="AE6227" s="223"/>
      <c r="AF6227" s="223"/>
      <c r="AG6227" s="223"/>
      <c r="AH6227" s="341"/>
      <c r="AI6227" s="153"/>
      <c r="AJ6227" s="480"/>
      <c r="AK6227" s="153"/>
      <c r="AL6227" s="152"/>
      <c r="AM6227" s="152"/>
      <c r="AN6227" s="152"/>
      <c r="AO6227" s="152"/>
      <c r="AP6227" s="152"/>
      <c r="AQ6227" s="152"/>
      <c r="AR6227" s="152"/>
      <c r="AS6227" s="152"/>
      <c r="AT6227" s="152"/>
      <c r="AU6227" s="153"/>
      <c r="AV6227" s="479"/>
      <c r="AW6227" s="479"/>
      <c r="AX6227" s="442"/>
      <c r="AY6227" s="153"/>
      <c r="AZ6227" s="152"/>
      <c r="BA6227" s="152"/>
      <c r="BB6227" s="152"/>
      <c r="BC6227" s="152"/>
      <c r="BD6227" s="152"/>
      <c r="BE6227" s="152"/>
      <c r="BF6227" s="152"/>
      <c r="BG6227" s="152"/>
      <c r="BH6227" s="152"/>
      <c r="BI6227" s="153"/>
      <c r="BJ6227" s="153"/>
      <c r="BK6227" s="153"/>
      <c r="BL6227" s="153"/>
      <c r="BM6227" s="153"/>
      <c r="BN6227" s="153"/>
      <c r="BO6227" s="153"/>
      <c r="BP6227" s="153"/>
      <c r="BQ6227" s="153"/>
      <c r="BR6227" s="153"/>
      <c r="BS6227" s="153"/>
      <c r="BT6227" s="153"/>
      <c r="BU6227" s="153"/>
      <c r="BV6227" s="153"/>
      <c r="BW6227" s="153"/>
      <c r="BX6227" s="153"/>
      <c r="BY6227" s="153"/>
      <c r="BZ6227" s="153"/>
      <c r="CA6227" s="152"/>
      <c r="CB6227" s="152"/>
    </row>
    <row r="6228" spans="1:80" s="87" customFormat="1" x14ac:dyDescent="0.2">
      <c r="A6228" s="152"/>
      <c r="B6228" s="683"/>
      <c r="C6228" s="683"/>
      <c r="D6228" s="698"/>
      <c r="E6228" s="215"/>
      <c r="F6228" s="215"/>
      <c r="G6228" s="153"/>
      <c r="H6228" s="153"/>
      <c r="I6228" s="153"/>
      <c r="J6228" s="153"/>
      <c r="K6228" s="153"/>
      <c r="L6228" s="653"/>
      <c r="M6228" s="663" t="s">
        <v>897</v>
      </c>
      <c r="N6228" s="600">
        <v>0.53802008540000001</v>
      </c>
      <c r="O6228" s="621">
        <f>(0.022/(60))/(60)</f>
        <v>6.1111111111111112E-6</v>
      </c>
      <c r="P6228" s="266"/>
      <c r="Q6228" s="242"/>
      <c r="R6228" s="242"/>
      <c r="S6228" s="242"/>
      <c r="T6228" s="242"/>
      <c r="U6228" s="242"/>
      <c r="V6228" s="242"/>
      <c r="W6228" s="767"/>
      <c r="X6228" s="764"/>
      <c r="Y6228" s="768"/>
      <c r="Z6228" s="245"/>
      <c r="AA6228" s="220">
        <f>0.052*(10)</f>
        <v>0.52</v>
      </c>
      <c r="AB6228" s="295">
        <v>9</v>
      </c>
      <c r="AC6228" s="230">
        <v>1.24E-2</v>
      </c>
      <c r="AD6228" s="223"/>
      <c r="AE6228" s="223"/>
      <c r="AF6228" s="223"/>
      <c r="AG6228" s="223"/>
      <c r="AH6228" s="341"/>
      <c r="AI6228" s="153"/>
      <c r="AJ6228" s="480"/>
      <c r="AK6228" s="153"/>
      <c r="AL6228" s="152"/>
      <c r="AM6228" s="152"/>
      <c r="AN6228" s="152"/>
      <c r="AO6228" s="152"/>
      <c r="AP6228" s="152"/>
      <c r="AQ6228" s="152"/>
      <c r="AR6228" s="152"/>
      <c r="AS6228" s="152"/>
      <c r="AT6228" s="152"/>
      <c r="AU6228" s="153"/>
      <c r="AV6228" s="479"/>
      <c r="AW6228" s="479"/>
      <c r="AX6228" s="442"/>
      <c r="AY6228" s="153"/>
      <c r="AZ6228" s="152"/>
      <c r="BA6228" s="152"/>
      <c r="BB6228" s="152"/>
      <c r="BC6228" s="152"/>
      <c r="BD6228" s="152"/>
      <c r="BE6228" s="152"/>
      <c r="BF6228" s="152"/>
      <c r="BG6228" s="152"/>
      <c r="BH6228" s="152"/>
      <c r="BI6228" s="153"/>
      <c r="BJ6228" s="153"/>
      <c r="BK6228" s="153"/>
      <c r="BL6228" s="153"/>
      <c r="BM6228" s="153"/>
      <c r="BN6228" s="153"/>
      <c r="BO6228" s="153"/>
      <c r="BP6228" s="153"/>
      <c r="BQ6228" s="153"/>
      <c r="BR6228" s="153"/>
      <c r="BS6228" s="153"/>
      <c r="BT6228" s="153"/>
      <c r="BU6228" s="153"/>
      <c r="BV6228" s="153"/>
      <c r="BW6228" s="153"/>
      <c r="BX6228" s="153"/>
      <c r="BY6228" s="153"/>
      <c r="BZ6228" s="153"/>
      <c r="CA6228" s="152"/>
      <c r="CB6228" s="152"/>
    </row>
    <row r="6229" spans="1:80" s="87" customFormat="1" x14ac:dyDescent="0.2">
      <c r="A6229" s="152"/>
      <c r="B6229" s="683"/>
      <c r="C6229" s="683"/>
      <c r="D6229" s="698"/>
      <c r="E6229" s="215"/>
      <c r="F6229" s="215"/>
      <c r="G6229" s="153"/>
      <c r="H6229" s="153"/>
      <c r="I6229" s="153"/>
      <c r="J6229" s="153"/>
      <c r="K6229" s="153"/>
      <c r="L6229" s="653"/>
      <c r="M6229" s="663" t="s">
        <v>897</v>
      </c>
      <c r="N6229" s="600">
        <v>1.3875254834000001</v>
      </c>
      <c r="O6229" s="621">
        <f>(11.8/(60))/(60)</f>
        <v>3.2777777777777779E-3</v>
      </c>
      <c r="P6229" s="266"/>
      <c r="Q6229" s="242"/>
      <c r="R6229" s="242"/>
      <c r="S6229" s="242"/>
      <c r="T6229" s="242"/>
      <c r="U6229" s="242"/>
      <c r="V6229" s="242"/>
      <c r="W6229" s="767"/>
      <c r="X6229" s="764"/>
      <c r="Y6229" s="768"/>
      <c r="Z6229" s="245"/>
      <c r="AA6229" s="220">
        <f>0.2*(10)</f>
        <v>2</v>
      </c>
      <c r="AB6229" s="295">
        <v>10</v>
      </c>
      <c r="AC6229" s="230">
        <v>1.2500000000000001E-2</v>
      </c>
      <c r="AD6229" s="223"/>
      <c r="AE6229" s="223"/>
      <c r="AF6229" s="223"/>
      <c r="AG6229" s="223"/>
      <c r="AH6229" s="341"/>
      <c r="AI6229" s="153"/>
      <c r="AJ6229" s="480"/>
      <c r="AK6229" s="153"/>
      <c r="AL6229" s="152"/>
      <c r="AM6229" s="152"/>
      <c r="AN6229" s="152"/>
      <c r="AO6229" s="152"/>
      <c r="AP6229" s="152"/>
      <c r="AQ6229" s="152"/>
      <c r="AR6229" s="152"/>
      <c r="AS6229" s="152"/>
      <c r="AT6229" s="152"/>
      <c r="AU6229" s="153"/>
      <c r="AV6229" s="479"/>
      <c r="AW6229" s="479"/>
      <c r="AX6229" s="442"/>
      <c r="AY6229" s="153"/>
      <c r="AZ6229" s="152"/>
      <c r="BA6229" s="152"/>
      <c r="BB6229" s="152"/>
      <c r="BC6229" s="152"/>
      <c r="BD6229" s="152"/>
      <c r="BE6229" s="152"/>
      <c r="BF6229" s="152"/>
      <c r="BG6229" s="152"/>
      <c r="BH6229" s="152"/>
      <c r="BI6229" s="153"/>
      <c r="BJ6229" s="153"/>
      <c r="BK6229" s="153"/>
      <c r="BL6229" s="153"/>
      <c r="BM6229" s="153"/>
      <c r="BN6229" s="153"/>
      <c r="BO6229" s="153"/>
      <c r="BP6229" s="153"/>
      <c r="BQ6229" s="153"/>
      <c r="BR6229" s="153"/>
      <c r="BS6229" s="153"/>
      <c r="BT6229" s="153"/>
      <c r="BU6229" s="153"/>
      <c r="BV6229" s="153"/>
      <c r="BW6229" s="153"/>
      <c r="BX6229" s="153"/>
      <c r="BY6229" s="153"/>
      <c r="BZ6229" s="153"/>
      <c r="CA6229" s="152"/>
      <c r="CB6229" s="152"/>
    </row>
    <row r="6230" spans="1:80" s="87" customFormat="1" x14ac:dyDescent="0.2">
      <c r="A6230" s="152"/>
      <c r="B6230" s="683"/>
      <c r="C6230" s="683"/>
      <c r="D6230" s="698"/>
      <c r="E6230" s="215"/>
      <c r="F6230" s="215"/>
      <c r="G6230" s="153"/>
      <c r="H6230" s="153"/>
      <c r="I6230" s="153"/>
      <c r="J6230" s="153"/>
      <c r="K6230" s="153"/>
      <c r="L6230" s="653"/>
      <c r="M6230" s="663" t="s">
        <v>897</v>
      </c>
      <c r="N6230" s="600">
        <v>2.0104961085999999</v>
      </c>
      <c r="O6230" s="621">
        <f>(200/(60))/(60)</f>
        <v>5.5555555555555559E-2</v>
      </c>
      <c r="P6230" s="266"/>
      <c r="Q6230" s="242"/>
      <c r="R6230" s="242"/>
      <c r="S6230" s="242"/>
      <c r="T6230" s="242"/>
      <c r="U6230" s="242"/>
      <c r="V6230" s="242"/>
      <c r="W6230" s="767"/>
      <c r="X6230" s="764"/>
      <c r="Y6230" s="768"/>
      <c r="Z6230" s="245"/>
      <c r="AA6230" s="220">
        <f>2.2*(10)</f>
        <v>22</v>
      </c>
      <c r="AB6230" s="295">
        <v>11</v>
      </c>
      <c r="AC6230" s="230">
        <v>1.26E-2</v>
      </c>
      <c r="AD6230" s="223"/>
      <c r="AE6230" s="223"/>
      <c r="AF6230" s="223"/>
      <c r="AG6230" s="223"/>
      <c r="AH6230" s="341"/>
      <c r="AI6230" s="153"/>
      <c r="AJ6230" s="480"/>
      <c r="AK6230" s="153"/>
      <c r="AL6230" s="152"/>
      <c r="AM6230" s="152"/>
      <c r="AN6230" s="152"/>
      <c r="AO6230" s="152"/>
      <c r="AP6230" s="152"/>
      <c r="AQ6230" s="152"/>
      <c r="AR6230" s="152"/>
      <c r="AS6230" s="152"/>
      <c r="AT6230" s="152"/>
      <c r="AU6230" s="153"/>
      <c r="AV6230" s="479"/>
      <c r="AW6230" s="479"/>
      <c r="AX6230" s="442"/>
      <c r="AY6230" s="153"/>
      <c r="AZ6230" s="152"/>
      <c r="BA6230" s="152"/>
      <c r="BB6230" s="152"/>
      <c r="BC6230" s="152"/>
      <c r="BD6230" s="152"/>
      <c r="BE6230" s="152"/>
      <c r="BF6230" s="152"/>
      <c r="BG6230" s="152"/>
      <c r="BH6230" s="152"/>
      <c r="BI6230" s="153"/>
      <c r="BJ6230" s="153"/>
      <c r="BK6230" s="153"/>
      <c r="BL6230" s="153"/>
      <c r="BM6230" s="153"/>
      <c r="BN6230" s="153"/>
      <c r="BO6230" s="153"/>
      <c r="BP6230" s="153"/>
      <c r="BQ6230" s="153"/>
      <c r="BR6230" s="153"/>
      <c r="BS6230" s="153"/>
      <c r="BT6230" s="153"/>
      <c r="BU6230" s="153"/>
      <c r="BV6230" s="153"/>
      <c r="BW6230" s="153"/>
      <c r="BX6230" s="153"/>
      <c r="BY6230" s="153"/>
      <c r="BZ6230" s="153"/>
      <c r="CA6230" s="152"/>
      <c r="CB6230" s="152"/>
    </row>
    <row r="6231" spans="1:80" s="87" customFormat="1" x14ac:dyDescent="0.2">
      <c r="A6231" s="152"/>
      <c r="B6231" s="683"/>
      <c r="C6231" s="683"/>
      <c r="D6231" s="698"/>
      <c r="E6231" s="215"/>
      <c r="F6231" s="215"/>
      <c r="G6231" s="153"/>
      <c r="H6231" s="153"/>
      <c r="I6231" s="153"/>
      <c r="J6231" s="153"/>
      <c r="K6231" s="153"/>
      <c r="L6231" s="653"/>
      <c r="M6231" s="663" t="s">
        <v>897</v>
      </c>
      <c r="N6231" s="600">
        <v>0.42475269900000001</v>
      </c>
      <c r="O6231" s="621">
        <f>(0.43/(60))/(60)</f>
        <v>1.1944444444444444E-4</v>
      </c>
      <c r="P6231" s="266"/>
      <c r="Q6231" s="242"/>
      <c r="R6231" s="242"/>
      <c r="S6231" s="242"/>
      <c r="T6231" s="242"/>
      <c r="U6231" s="242"/>
      <c r="V6231" s="242"/>
      <c r="W6231" s="767"/>
      <c r="X6231" s="764"/>
      <c r="Y6231" s="768"/>
      <c r="Z6231" s="245"/>
      <c r="AA6231" s="220">
        <f>1.7*(10)</f>
        <v>17</v>
      </c>
      <c r="AB6231" s="295">
        <v>12</v>
      </c>
      <c r="AC6231" s="230">
        <v>1.21E-2</v>
      </c>
      <c r="AD6231" s="223"/>
      <c r="AE6231" s="223"/>
      <c r="AF6231" s="223"/>
      <c r="AG6231" s="223"/>
      <c r="AH6231" s="341"/>
      <c r="AI6231" s="153"/>
      <c r="AJ6231" s="480"/>
      <c r="AK6231" s="153"/>
      <c r="AL6231" s="152"/>
      <c r="AM6231" s="152"/>
      <c r="AN6231" s="152"/>
      <c r="AO6231" s="152"/>
      <c r="AP6231" s="152"/>
      <c r="AQ6231" s="152"/>
      <c r="AR6231" s="152"/>
      <c r="AS6231" s="152"/>
      <c r="AT6231" s="152"/>
      <c r="AU6231" s="153"/>
      <c r="AV6231" s="479"/>
      <c r="AW6231" s="479"/>
      <c r="AX6231" s="442"/>
      <c r="AY6231" s="153"/>
      <c r="AZ6231" s="152"/>
      <c r="BA6231" s="152"/>
      <c r="BB6231" s="152"/>
      <c r="BC6231" s="152"/>
      <c r="BD6231" s="152"/>
      <c r="BE6231" s="152"/>
      <c r="BF6231" s="152"/>
      <c r="BG6231" s="152"/>
      <c r="BH6231" s="152"/>
      <c r="BI6231" s="153"/>
      <c r="BJ6231" s="153"/>
      <c r="BK6231" s="153"/>
      <c r="BL6231" s="153"/>
      <c r="BM6231" s="153"/>
      <c r="BN6231" s="153"/>
      <c r="BO6231" s="153"/>
      <c r="BP6231" s="153"/>
      <c r="BQ6231" s="153"/>
      <c r="BR6231" s="153"/>
      <c r="BS6231" s="153"/>
      <c r="BT6231" s="153"/>
      <c r="BU6231" s="153"/>
      <c r="BV6231" s="153"/>
      <c r="BW6231" s="153"/>
      <c r="BX6231" s="153"/>
      <c r="BY6231" s="153"/>
      <c r="BZ6231" s="153"/>
      <c r="CA6231" s="152"/>
      <c r="CB6231" s="152"/>
    </row>
    <row r="6232" spans="1:80" s="87" customFormat="1" x14ac:dyDescent="0.2">
      <c r="A6232" s="152"/>
      <c r="B6232" s="683"/>
      <c r="C6232" s="683"/>
      <c r="D6232" s="698"/>
      <c r="E6232" s="215"/>
      <c r="F6232" s="215"/>
      <c r="G6232" s="153"/>
      <c r="H6232" s="153"/>
      <c r="I6232" s="153"/>
      <c r="J6232" s="153"/>
      <c r="K6232" s="153"/>
      <c r="L6232" s="653"/>
      <c r="M6232" s="663" t="s">
        <v>897</v>
      </c>
      <c r="N6232" s="600">
        <v>0.65128747180000002</v>
      </c>
      <c r="O6232" s="621">
        <f>(0.56/(60))/(60)</f>
        <v>1.5555555555555556E-4</v>
      </c>
      <c r="P6232" s="266"/>
      <c r="Q6232" s="242"/>
      <c r="R6232" s="242"/>
      <c r="S6232" s="242"/>
      <c r="T6232" s="242"/>
      <c r="U6232" s="242"/>
      <c r="V6232" s="242"/>
      <c r="W6232" s="767"/>
      <c r="X6232" s="764"/>
      <c r="Y6232" s="768"/>
      <c r="Z6232" s="245"/>
      <c r="AA6232" s="220">
        <f>0.096*(10)</f>
        <v>0.96</v>
      </c>
      <c r="AB6232" s="295">
        <v>13</v>
      </c>
      <c r="AC6232" s="230">
        <v>1.23E-2</v>
      </c>
      <c r="AD6232" s="223"/>
      <c r="AE6232" s="223"/>
      <c r="AF6232" s="223"/>
      <c r="AG6232" s="223"/>
      <c r="AH6232" s="341"/>
      <c r="AI6232" s="153"/>
      <c r="AJ6232" s="480"/>
      <c r="AK6232" s="153"/>
      <c r="AL6232" s="152"/>
      <c r="AM6232" s="152"/>
      <c r="AN6232" s="152"/>
      <c r="AO6232" s="152"/>
      <c r="AP6232" s="152"/>
      <c r="AQ6232" s="152"/>
      <c r="AR6232" s="152"/>
      <c r="AS6232" s="152"/>
      <c r="AT6232" s="152"/>
      <c r="AU6232" s="153"/>
      <c r="AV6232" s="479"/>
      <c r="AW6232" s="479"/>
      <c r="AX6232" s="442"/>
      <c r="AY6232" s="153"/>
      <c r="AZ6232" s="152"/>
      <c r="BA6232" s="152"/>
      <c r="BB6232" s="152"/>
      <c r="BC6232" s="152"/>
      <c r="BD6232" s="152"/>
      <c r="BE6232" s="152"/>
      <c r="BF6232" s="152"/>
      <c r="BG6232" s="152"/>
      <c r="BH6232" s="152"/>
      <c r="BI6232" s="153"/>
      <c r="BJ6232" s="153"/>
      <c r="BK6232" s="153"/>
      <c r="BL6232" s="153"/>
      <c r="BM6232" s="153"/>
      <c r="BN6232" s="153"/>
      <c r="BO6232" s="153"/>
      <c r="BP6232" s="153"/>
      <c r="BQ6232" s="153"/>
      <c r="BR6232" s="153"/>
      <c r="BS6232" s="153"/>
      <c r="BT6232" s="153"/>
      <c r="BU6232" s="153"/>
      <c r="BV6232" s="153"/>
      <c r="BW6232" s="153"/>
      <c r="BX6232" s="153"/>
      <c r="BY6232" s="153"/>
      <c r="BZ6232" s="153"/>
      <c r="CA6232" s="152"/>
      <c r="CB6232" s="152"/>
    </row>
    <row r="6233" spans="1:80" s="87" customFormat="1" x14ac:dyDescent="0.2">
      <c r="A6233" s="152"/>
      <c r="B6233" s="683"/>
      <c r="C6233" s="683"/>
      <c r="D6233" s="698"/>
      <c r="E6233" s="215"/>
      <c r="F6233" s="215"/>
      <c r="G6233" s="153"/>
      <c r="H6233" s="153"/>
      <c r="I6233" s="153"/>
      <c r="J6233" s="153"/>
      <c r="K6233" s="153"/>
      <c r="L6233" s="653"/>
      <c r="M6233" s="663" t="s">
        <v>897</v>
      </c>
      <c r="N6233" s="600">
        <v>0.96277278440000003</v>
      </c>
      <c r="O6233" s="621">
        <f>(3.18/(60))/(60)</f>
        <v>8.8333333333333341E-4</v>
      </c>
      <c r="P6233" s="266"/>
      <c r="Q6233" s="242"/>
      <c r="R6233" s="242"/>
      <c r="S6233" s="242"/>
      <c r="T6233" s="242"/>
      <c r="U6233" s="242"/>
      <c r="V6233" s="242"/>
      <c r="W6233" s="767"/>
      <c r="X6233" s="764"/>
      <c r="Y6233" s="768"/>
      <c r="Z6233" s="245"/>
      <c r="AA6233" s="220">
        <f>0.28*(10)</f>
        <v>2.8000000000000003</v>
      </c>
      <c r="AB6233" s="295">
        <v>14</v>
      </c>
      <c r="AC6233" s="230">
        <v>1.24E-2</v>
      </c>
      <c r="AD6233" s="223"/>
      <c r="AE6233" s="223"/>
      <c r="AF6233" s="223"/>
      <c r="AG6233" s="223"/>
      <c r="AH6233" s="341"/>
      <c r="AI6233" s="153"/>
      <c r="AJ6233" s="480"/>
      <c r="AK6233" s="153"/>
      <c r="AL6233" s="152"/>
      <c r="AM6233" s="152"/>
      <c r="AN6233" s="152"/>
      <c r="AO6233" s="152"/>
      <c r="AP6233" s="152"/>
      <c r="AQ6233" s="152"/>
      <c r="AR6233" s="152"/>
      <c r="AS6233" s="152"/>
      <c r="AT6233" s="152"/>
      <c r="AU6233" s="153"/>
      <c r="AV6233" s="479"/>
      <c r="AW6233" s="479"/>
      <c r="AX6233" s="442"/>
      <c r="AY6233" s="153"/>
      <c r="AZ6233" s="152"/>
      <c r="BA6233" s="152"/>
      <c r="BB6233" s="152"/>
      <c r="BC6233" s="152"/>
      <c r="BD6233" s="152"/>
      <c r="BE6233" s="152"/>
      <c r="BF6233" s="152"/>
      <c r="BG6233" s="152"/>
      <c r="BH6233" s="152"/>
      <c r="BI6233" s="153"/>
      <c r="BJ6233" s="153"/>
      <c r="BK6233" s="153"/>
      <c r="BL6233" s="153"/>
      <c r="BM6233" s="153"/>
      <c r="BN6233" s="153"/>
      <c r="BO6233" s="153"/>
      <c r="BP6233" s="153"/>
      <c r="BQ6233" s="153"/>
      <c r="BR6233" s="153"/>
      <c r="BS6233" s="153"/>
      <c r="BT6233" s="153"/>
      <c r="BU6233" s="153"/>
      <c r="BV6233" s="153"/>
      <c r="BW6233" s="153"/>
      <c r="BX6233" s="153"/>
      <c r="BY6233" s="153"/>
      <c r="BZ6233" s="153"/>
      <c r="CA6233" s="152"/>
      <c r="CB6233" s="152"/>
    </row>
    <row r="6234" spans="1:80" s="87" customFormat="1" x14ac:dyDescent="0.2">
      <c r="A6234" s="152"/>
      <c r="B6234" s="683"/>
      <c r="C6234" s="683"/>
      <c r="D6234" s="698"/>
      <c r="E6234" s="215"/>
      <c r="F6234" s="215"/>
      <c r="G6234" s="153"/>
      <c r="H6234" s="153"/>
      <c r="I6234" s="153"/>
      <c r="J6234" s="153"/>
      <c r="K6234" s="153"/>
      <c r="L6234" s="653"/>
      <c r="M6234" s="663" t="s">
        <v>897</v>
      </c>
      <c r="N6234" s="600">
        <v>0.93445593780000002</v>
      </c>
      <c r="O6234" s="621">
        <f>(1.77/(60))/(60)</f>
        <v>4.9166666666666673E-4</v>
      </c>
      <c r="P6234" s="266"/>
      <c r="Q6234" s="242"/>
      <c r="R6234" s="242"/>
      <c r="S6234" s="242"/>
      <c r="T6234" s="242"/>
      <c r="U6234" s="242"/>
      <c r="V6234" s="242"/>
      <c r="W6234" s="767"/>
      <c r="X6234" s="764"/>
      <c r="Y6234" s="768"/>
      <c r="Z6234" s="245"/>
      <c r="AA6234" s="220">
        <f>0.65*(10)</f>
        <v>6.5</v>
      </c>
      <c r="AB6234" s="295">
        <v>15</v>
      </c>
      <c r="AC6234" s="230">
        <v>1.23E-2</v>
      </c>
      <c r="AD6234" s="223"/>
      <c r="AE6234" s="223"/>
      <c r="AF6234" s="223"/>
      <c r="AG6234" s="223"/>
      <c r="AH6234" s="341"/>
      <c r="AI6234" s="153"/>
      <c r="AJ6234" s="480"/>
      <c r="AK6234" s="153"/>
      <c r="AL6234" s="152"/>
      <c r="AM6234" s="152"/>
      <c r="AN6234" s="152"/>
      <c r="AO6234" s="152"/>
      <c r="AP6234" s="152"/>
      <c r="AQ6234" s="152"/>
      <c r="AR6234" s="152"/>
      <c r="AS6234" s="152"/>
      <c r="AT6234" s="152"/>
      <c r="AU6234" s="153"/>
      <c r="AV6234" s="479"/>
      <c r="AW6234" s="479"/>
      <c r="AX6234" s="442"/>
      <c r="AY6234" s="153"/>
      <c r="AZ6234" s="152"/>
      <c r="BA6234" s="152"/>
      <c r="BB6234" s="152"/>
      <c r="BC6234" s="152"/>
      <c r="BD6234" s="152"/>
      <c r="BE6234" s="152"/>
      <c r="BF6234" s="152"/>
      <c r="BG6234" s="152"/>
      <c r="BH6234" s="152"/>
      <c r="BI6234" s="153"/>
      <c r="BJ6234" s="153"/>
      <c r="BK6234" s="153"/>
      <c r="BL6234" s="153"/>
      <c r="BM6234" s="153"/>
      <c r="BN6234" s="153"/>
      <c r="BO6234" s="153"/>
      <c r="BP6234" s="153"/>
      <c r="BQ6234" s="153"/>
      <c r="BR6234" s="153"/>
      <c r="BS6234" s="153"/>
      <c r="BT6234" s="153"/>
      <c r="BU6234" s="153"/>
      <c r="BV6234" s="153"/>
      <c r="BW6234" s="153"/>
      <c r="BX6234" s="153"/>
      <c r="BY6234" s="153"/>
      <c r="BZ6234" s="153"/>
      <c r="CA6234" s="152"/>
      <c r="CB6234" s="152"/>
    </row>
    <row r="6235" spans="1:80" s="87" customFormat="1" x14ac:dyDescent="0.2">
      <c r="A6235" s="152"/>
      <c r="B6235" s="683"/>
      <c r="C6235" s="683"/>
      <c r="D6235" s="698"/>
      <c r="E6235" s="215"/>
      <c r="F6235" s="215"/>
      <c r="G6235" s="153"/>
      <c r="H6235" s="153"/>
      <c r="I6235" s="153"/>
      <c r="J6235" s="153"/>
      <c r="K6235" s="153"/>
      <c r="L6235" s="653"/>
      <c r="M6235" s="663" t="s">
        <v>897</v>
      </c>
      <c r="N6235" s="600">
        <v>0.56633693200000002</v>
      </c>
      <c r="O6235" s="621">
        <f>(0.46/(60))/(60)</f>
        <v>1.2777777777777779E-4</v>
      </c>
      <c r="P6235" s="266"/>
      <c r="Q6235" s="242"/>
      <c r="R6235" s="242"/>
      <c r="S6235" s="242"/>
      <c r="T6235" s="242"/>
      <c r="U6235" s="242"/>
      <c r="V6235" s="242"/>
      <c r="W6235" s="767"/>
      <c r="X6235" s="764"/>
      <c r="Y6235" s="768"/>
      <c r="Z6235" s="245"/>
      <c r="AA6235" s="220">
        <f>0.24*(10)</f>
        <v>2.4</v>
      </c>
      <c r="AB6235" s="295">
        <v>16</v>
      </c>
      <c r="AC6235" s="230">
        <v>1.2200000000000001E-2</v>
      </c>
      <c r="AD6235" s="223"/>
      <c r="AE6235" s="223"/>
      <c r="AF6235" s="223"/>
      <c r="AG6235" s="223"/>
      <c r="AH6235" s="341"/>
      <c r="AI6235" s="153"/>
      <c r="AJ6235" s="480"/>
      <c r="AK6235" s="153"/>
      <c r="AL6235" s="152"/>
      <c r="AM6235" s="152"/>
      <c r="AN6235" s="152"/>
      <c r="AO6235" s="152"/>
      <c r="AP6235" s="152"/>
      <c r="AQ6235" s="152"/>
      <c r="AR6235" s="152"/>
      <c r="AS6235" s="152"/>
      <c r="AT6235" s="152"/>
      <c r="AU6235" s="153"/>
      <c r="AV6235" s="479"/>
      <c r="AW6235" s="479"/>
      <c r="AX6235" s="442"/>
      <c r="AY6235" s="153"/>
      <c r="AZ6235" s="152"/>
      <c r="BA6235" s="152"/>
      <c r="BB6235" s="152"/>
      <c r="BC6235" s="152"/>
      <c r="BD6235" s="152"/>
      <c r="BE6235" s="152"/>
      <c r="BF6235" s="152"/>
      <c r="BG6235" s="152"/>
      <c r="BH6235" s="152"/>
      <c r="BI6235" s="153"/>
      <c r="BJ6235" s="153"/>
      <c r="BK6235" s="153"/>
      <c r="BL6235" s="153"/>
      <c r="BM6235" s="153"/>
      <c r="BN6235" s="153"/>
      <c r="BO6235" s="153"/>
      <c r="BP6235" s="153"/>
      <c r="BQ6235" s="153"/>
      <c r="BR6235" s="153"/>
      <c r="BS6235" s="153"/>
      <c r="BT6235" s="153"/>
      <c r="BU6235" s="153"/>
      <c r="BV6235" s="153"/>
      <c r="BW6235" s="153"/>
      <c r="BX6235" s="153"/>
      <c r="BY6235" s="153"/>
      <c r="BZ6235" s="153"/>
      <c r="CA6235" s="152"/>
      <c r="CB6235" s="152"/>
    </row>
    <row r="6236" spans="1:80" s="87" customFormat="1" x14ac:dyDescent="0.2">
      <c r="A6236" s="152"/>
      <c r="B6236" s="683"/>
      <c r="C6236" s="683"/>
      <c r="D6236" s="698"/>
      <c r="E6236" s="215"/>
      <c r="F6236" s="215"/>
      <c r="G6236" s="153"/>
      <c r="H6236" s="153"/>
      <c r="I6236" s="153"/>
      <c r="J6236" s="153"/>
      <c r="K6236" s="153"/>
      <c r="L6236" s="653"/>
      <c r="M6236" s="663" t="s">
        <v>897</v>
      </c>
      <c r="N6236" s="600">
        <v>0.62297062520000002</v>
      </c>
      <c r="O6236" s="621">
        <f>(1.87/(60))/(60)</f>
        <v>5.1944444444444445E-4</v>
      </c>
      <c r="P6236" s="266"/>
      <c r="Q6236" s="242"/>
      <c r="R6236" s="242"/>
      <c r="S6236" s="242"/>
      <c r="T6236" s="242"/>
      <c r="U6236" s="242"/>
      <c r="V6236" s="242"/>
      <c r="W6236" s="767"/>
      <c r="X6236" s="764"/>
      <c r="Y6236" s="768"/>
      <c r="Z6236" s="245"/>
      <c r="AA6236" s="220">
        <f>1.8*(10)</f>
        <v>18</v>
      </c>
      <c r="AB6236" s="295">
        <v>17</v>
      </c>
      <c r="AC6236" s="230">
        <v>1.2200000000000001E-2</v>
      </c>
      <c r="AD6236" s="223"/>
      <c r="AE6236" s="223"/>
      <c r="AF6236" s="223"/>
      <c r="AG6236" s="223"/>
      <c r="AH6236" s="341"/>
      <c r="AI6236" s="153"/>
      <c r="AJ6236" s="480"/>
      <c r="AK6236" s="153"/>
      <c r="AL6236" s="152"/>
      <c r="AM6236" s="152"/>
      <c r="AN6236" s="152"/>
      <c r="AO6236" s="152"/>
      <c r="AP6236" s="152"/>
      <c r="AQ6236" s="152"/>
      <c r="AR6236" s="152"/>
      <c r="AS6236" s="152"/>
      <c r="AT6236" s="152"/>
      <c r="AU6236" s="153"/>
      <c r="AV6236" s="479"/>
      <c r="AW6236" s="479"/>
      <c r="AX6236" s="442"/>
      <c r="AY6236" s="153"/>
      <c r="AZ6236" s="152"/>
      <c r="BA6236" s="152"/>
      <c r="BB6236" s="152"/>
      <c r="BC6236" s="152"/>
      <c r="BD6236" s="152"/>
      <c r="BE6236" s="152"/>
      <c r="BF6236" s="152"/>
      <c r="BG6236" s="152"/>
      <c r="BH6236" s="152"/>
      <c r="BI6236" s="153"/>
      <c r="BJ6236" s="153"/>
      <c r="BK6236" s="153"/>
      <c r="BL6236" s="153"/>
      <c r="BM6236" s="153"/>
      <c r="BN6236" s="153"/>
      <c r="BO6236" s="153"/>
      <c r="BP6236" s="153"/>
      <c r="BQ6236" s="153"/>
      <c r="BR6236" s="153"/>
      <c r="BS6236" s="153"/>
      <c r="BT6236" s="153"/>
      <c r="BU6236" s="153"/>
      <c r="BV6236" s="153"/>
      <c r="BW6236" s="153"/>
      <c r="BX6236" s="153"/>
      <c r="BY6236" s="153"/>
      <c r="BZ6236" s="153"/>
      <c r="CA6236" s="152"/>
      <c r="CB6236" s="152"/>
    </row>
    <row r="6237" spans="1:80" s="87" customFormat="1" x14ac:dyDescent="0.2">
      <c r="A6237" s="152"/>
      <c r="B6237" s="683"/>
      <c r="C6237" s="683"/>
      <c r="D6237" s="698"/>
      <c r="E6237" s="215"/>
      <c r="F6237" s="215"/>
      <c r="G6237" s="153"/>
      <c r="H6237" s="153"/>
      <c r="I6237" s="153"/>
      <c r="J6237" s="153"/>
      <c r="K6237" s="153"/>
      <c r="L6237" s="653"/>
      <c r="M6237" s="663" t="s">
        <v>897</v>
      </c>
      <c r="N6237" s="600">
        <v>1.5291097164</v>
      </c>
      <c r="O6237" s="621">
        <f>(45.5/(60))/(60)</f>
        <v>1.2638888888888889E-2</v>
      </c>
      <c r="P6237" s="266"/>
      <c r="Q6237" s="242"/>
      <c r="R6237" s="242"/>
      <c r="S6237" s="242"/>
      <c r="T6237" s="242"/>
      <c r="U6237" s="242"/>
      <c r="V6237" s="242"/>
      <c r="W6237" s="767"/>
      <c r="X6237" s="764"/>
      <c r="Y6237" s="768"/>
      <c r="Z6237" s="245"/>
      <c r="AA6237" s="220">
        <f>2*(10)</f>
        <v>20</v>
      </c>
      <c r="AB6237" s="295">
        <v>18</v>
      </c>
      <c r="AC6237" s="230">
        <v>1.2500000000000001E-2</v>
      </c>
      <c r="AD6237" s="223"/>
      <c r="AE6237" s="223"/>
      <c r="AF6237" s="223"/>
      <c r="AG6237" s="223"/>
      <c r="AH6237" s="341"/>
      <c r="AI6237" s="153"/>
      <c r="AJ6237" s="480"/>
      <c r="AK6237" s="153"/>
      <c r="AL6237" s="152"/>
      <c r="AM6237" s="152"/>
      <c r="AN6237" s="152"/>
      <c r="AO6237" s="152"/>
      <c r="AP6237" s="152"/>
      <c r="AQ6237" s="152"/>
      <c r="AR6237" s="152"/>
      <c r="AS6237" s="152"/>
      <c r="AT6237" s="152"/>
      <c r="AU6237" s="153"/>
      <c r="AV6237" s="479"/>
      <c r="AW6237" s="479"/>
      <c r="AX6237" s="442"/>
      <c r="AY6237" s="153"/>
      <c r="AZ6237" s="152"/>
      <c r="BA6237" s="152"/>
      <c r="BB6237" s="152"/>
      <c r="BC6237" s="152"/>
      <c r="BD6237" s="152"/>
      <c r="BE6237" s="152"/>
      <c r="BF6237" s="152"/>
      <c r="BG6237" s="152"/>
      <c r="BH6237" s="152"/>
      <c r="BI6237" s="153"/>
      <c r="BJ6237" s="153"/>
      <c r="BK6237" s="153"/>
      <c r="BL6237" s="153"/>
      <c r="BM6237" s="153"/>
      <c r="BN6237" s="153"/>
      <c r="BO6237" s="153"/>
      <c r="BP6237" s="153"/>
      <c r="BQ6237" s="153"/>
      <c r="BR6237" s="153"/>
      <c r="BS6237" s="153"/>
      <c r="BT6237" s="153"/>
      <c r="BU6237" s="153"/>
      <c r="BV6237" s="153"/>
      <c r="BW6237" s="153"/>
      <c r="BX6237" s="153"/>
      <c r="BY6237" s="153"/>
      <c r="BZ6237" s="153"/>
      <c r="CA6237" s="152"/>
      <c r="CB6237" s="152"/>
    </row>
    <row r="6238" spans="1:80" s="87" customFormat="1" x14ac:dyDescent="0.2">
      <c r="A6238" s="152"/>
      <c r="B6238" s="683"/>
      <c r="C6238" s="683"/>
      <c r="D6238" s="698"/>
      <c r="E6238" s="215"/>
      <c r="F6238" s="215"/>
      <c r="G6238" s="153"/>
      <c r="H6238" s="153"/>
      <c r="I6238" s="153"/>
      <c r="J6238" s="153"/>
      <c r="K6238" s="153"/>
      <c r="L6238" s="653"/>
      <c r="M6238" s="663" t="s">
        <v>897</v>
      </c>
      <c r="N6238" s="600">
        <v>1.41584233</v>
      </c>
      <c r="O6238" s="621">
        <f>(37.6/(60))/(60)</f>
        <v>1.0444444444444445E-2</v>
      </c>
      <c r="P6238" s="266"/>
      <c r="Q6238" s="242"/>
      <c r="R6238" s="242"/>
      <c r="S6238" s="242"/>
      <c r="T6238" s="242"/>
      <c r="U6238" s="242"/>
      <c r="V6238" s="242"/>
      <c r="W6238" s="767"/>
      <c r="X6238" s="764"/>
      <c r="Y6238" s="768"/>
      <c r="Z6238" s="245"/>
      <c r="AA6238" s="220">
        <f>1.6*(10)</f>
        <v>16</v>
      </c>
      <c r="AB6238" s="295">
        <v>19</v>
      </c>
      <c r="AC6238" s="230">
        <v>1.2500000000000001E-2</v>
      </c>
      <c r="AD6238" s="223"/>
      <c r="AE6238" s="223"/>
      <c r="AF6238" s="223"/>
      <c r="AG6238" s="223"/>
      <c r="AH6238" s="341"/>
      <c r="AI6238" s="153"/>
      <c r="AJ6238" s="480"/>
      <c r="AK6238" s="153"/>
      <c r="AL6238" s="152"/>
      <c r="AM6238" s="152"/>
      <c r="AN6238" s="152"/>
      <c r="AO6238" s="152"/>
      <c r="AP6238" s="152"/>
      <c r="AQ6238" s="152"/>
      <c r="AR6238" s="152"/>
      <c r="AS6238" s="152"/>
      <c r="AT6238" s="152"/>
      <c r="AU6238" s="153"/>
      <c r="AV6238" s="479"/>
      <c r="AW6238" s="479"/>
      <c r="AX6238" s="442"/>
      <c r="AY6238" s="153"/>
      <c r="AZ6238" s="152"/>
      <c r="BA6238" s="152"/>
      <c r="BB6238" s="152"/>
      <c r="BC6238" s="152"/>
      <c r="BD6238" s="152"/>
      <c r="BE6238" s="152"/>
      <c r="BF6238" s="152"/>
      <c r="BG6238" s="152"/>
      <c r="BH6238" s="152"/>
      <c r="BI6238" s="153"/>
      <c r="BJ6238" s="153"/>
      <c r="BK6238" s="153"/>
      <c r="BL6238" s="153"/>
      <c r="BM6238" s="153"/>
      <c r="BN6238" s="153"/>
      <c r="BO6238" s="153"/>
      <c r="BP6238" s="153"/>
      <c r="BQ6238" s="153"/>
      <c r="BR6238" s="153"/>
      <c r="BS6238" s="153"/>
      <c r="BT6238" s="153"/>
      <c r="BU6238" s="153"/>
      <c r="BV6238" s="153"/>
      <c r="BW6238" s="153"/>
      <c r="BX6238" s="153"/>
      <c r="BY6238" s="153"/>
      <c r="BZ6238" s="153"/>
      <c r="CA6238" s="152"/>
      <c r="CB6238" s="152"/>
    </row>
    <row r="6239" spans="1:80" s="87" customFormat="1" x14ac:dyDescent="0.2">
      <c r="A6239" s="152"/>
      <c r="B6239" s="683"/>
      <c r="C6239" s="683"/>
      <c r="D6239" s="698"/>
      <c r="E6239" s="215"/>
      <c r="F6239" s="215"/>
      <c r="G6239" s="153"/>
      <c r="H6239" s="153"/>
      <c r="I6239" s="153"/>
      <c r="J6239" s="153"/>
      <c r="K6239" s="153"/>
      <c r="L6239" s="653"/>
      <c r="M6239" s="663" t="s">
        <v>897</v>
      </c>
      <c r="N6239" s="600">
        <v>1.1043570173999999</v>
      </c>
      <c r="O6239" s="621">
        <f>(2.58/(60))/(60)</f>
        <v>7.1666666666666678E-4</v>
      </c>
      <c r="P6239" s="266"/>
      <c r="Q6239" s="242"/>
      <c r="R6239" s="242"/>
      <c r="S6239" s="242"/>
      <c r="T6239" s="242"/>
      <c r="U6239" s="242"/>
      <c r="V6239" s="242"/>
      <c r="W6239" s="767"/>
      <c r="X6239" s="764"/>
      <c r="Y6239" s="768"/>
      <c r="Z6239" s="245"/>
      <c r="AA6239" s="220">
        <f>0.72*(10)</f>
        <v>7.1999999999999993</v>
      </c>
      <c r="AB6239" s="295">
        <v>20</v>
      </c>
      <c r="AC6239" s="230">
        <v>1.24E-2</v>
      </c>
      <c r="AD6239" s="223"/>
      <c r="AE6239" s="223"/>
      <c r="AF6239" s="223"/>
      <c r="AG6239" s="223"/>
      <c r="AH6239" s="341"/>
      <c r="AI6239" s="153"/>
      <c r="AJ6239" s="480"/>
      <c r="AK6239" s="153"/>
      <c r="AL6239" s="152"/>
      <c r="AM6239" s="152"/>
      <c r="AN6239" s="152"/>
      <c r="AO6239" s="152"/>
      <c r="AP6239" s="152"/>
      <c r="AQ6239" s="152"/>
      <c r="AR6239" s="152"/>
      <c r="AS6239" s="152"/>
      <c r="AT6239" s="152"/>
      <c r="AU6239" s="153"/>
      <c r="AV6239" s="479"/>
      <c r="AW6239" s="479"/>
      <c r="AX6239" s="442"/>
      <c r="AY6239" s="153"/>
      <c r="AZ6239" s="152"/>
      <c r="BA6239" s="152"/>
      <c r="BB6239" s="152"/>
      <c r="BC6239" s="152"/>
      <c r="BD6239" s="152"/>
      <c r="BE6239" s="152"/>
      <c r="BF6239" s="152"/>
      <c r="BG6239" s="152"/>
      <c r="BH6239" s="152"/>
      <c r="BI6239" s="153"/>
      <c r="BJ6239" s="153"/>
      <c r="BK6239" s="153"/>
      <c r="BL6239" s="153"/>
      <c r="BM6239" s="153"/>
      <c r="BN6239" s="153"/>
      <c r="BO6239" s="153"/>
      <c r="BP6239" s="153"/>
      <c r="BQ6239" s="153"/>
      <c r="BR6239" s="153"/>
      <c r="BS6239" s="153"/>
      <c r="BT6239" s="153"/>
      <c r="BU6239" s="153"/>
      <c r="BV6239" s="153"/>
      <c r="BW6239" s="153"/>
      <c r="BX6239" s="153"/>
      <c r="BY6239" s="153"/>
      <c r="BZ6239" s="153"/>
      <c r="CA6239" s="152"/>
      <c r="CB6239" s="152"/>
    </row>
    <row r="6240" spans="1:80" s="87" customFormat="1" x14ac:dyDescent="0.2">
      <c r="A6240" s="152"/>
      <c r="B6240" s="683"/>
      <c r="C6240" s="683"/>
      <c r="D6240" s="698"/>
      <c r="E6240" s="215"/>
      <c r="F6240" s="215"/>
      <c r="G6240" s="153"/>
      <c r="H6240" s="153"/>
      <c r="I6240" s="153"/>
      <c r="J6240" s="153"/>
      <c r="K6240" s="153"/>
      <c r="L6240" s="653"/>
      <c r="M6240" s="663" t="s">
        <v>897</v>
      </c>
      <c r="N6240" s="600">
        <v>0.79287170480000002</v>
      </c>
      <c r="O6240" s="621">
        <f>(0.76/(60))/(60)</f>
        <v>2.1111111111111111E-4</v>
      </c>
      <c r="P6240" s="266"/>
      <c r="Q6240" s="242"/>
      <c r="R6240" s="242"/>
      <c r="S6240" s="242"/>
      <c r="T6240" s="242"/>
      <c r="U6240" s="242"/>
      <c r="V6240" s="242"/>
      <c r="W6240" s="767"/>
      <c r="X6240" s="764"/>
      <c r="Y6240" s="768"/>
      <c r="Z6240" s="245"/>
      <c r="AA6240" s="220">
        <f>0.2*(10)</f>
        <v>2</v>
      </c>
      <c r="AB6240" s="295">
        <v>21</v>
      </c>
      <c r="AC6240" s="230">
        <v>1.26E-2</v>
      </c>
      <c r="AD6240" s="223"/>
      <c r="AE6240" s="223"/>
      <c r="AF6240" s="223"/>
      <c r="AG6240" s="223"/>
      <c r="AH6240" s="341"/>
      <c r="AI6240" s="153"/>
      <c r="AJ6240" s="480"/>
      <c r="AK6240" s="153"/>
      <c r="AL6240" s="152"/>
      <c r="AM6240" s="152"/>
      <c r="AN6240" s="152"/>
      <c r="AO6240" s="152"/>
      <c r="AP6240" s="152"/>
      <c r="AQ6240" s="152"/>
      <c r="AR6240" s="152"/>
      <c r="AS6240" s="152"/>
      <c r="AT6240" s="152"/>
      <c r="AU6240" s="153"/>
      <c r="AV6240" s="479"/>
      <c r="AW6240" s="479"/>
      <c r="AX6240" s="442"/>
      <c r="AY6240" s="153"/>
      <c r="AZ6240" s="152"/>
      <c r="BA6240" s="152"/>
      <c r="BB6240" s="152"/>
      <c r="BC6240" s="152"/>
      <c r="BD6240" s="152"/>
      <c r="BE6240" s="152"/>
      <c r="BF6240" s="152"/>
      <c r="BG6240" s="152"/>
      <c r="BH6240" s="152"/>
      <c r="BI6240" s="153"/>
      <c r="BJ6240" s="153"/>
      <c r="BK6240" s="153"/>
      <c r="BL6240" s="153"/>
      <c r="BM6240" s="153"/>
      <c r="BN6240" s="153"/>
      <c r="BO6240" s="153"/>
      <c r="BP6240" s="153"/>
      <c r="BQ6240" s="153"/>
      <c r="BR6240" s="153"/>
      <c r="BS6240" s="153"/>
      <c r="BT6240" s="153"/>
      <c r="BU6240" s="153"/>
      <c r="BV6240" s="153"/>
      <c r="BW6240" s="153"/>
      <c r="BX6240" s="153"/>
      <c r="BY6240" s="153"/>
      <c r="BZ6240" s="153"/>
      <c r="CA6240" s="152"/>
      <c r="CB6240" s="152"/>
    </row>
    <row r="6241" spans="1:80" s="87" customFormat="1" x14ac:dyDescent="0.2">
      <c r="A6241" s="152"/>
      <c r="B6241" s="683"/>
      <c r="C6241" s="683"/>
      <c r="D6241" s="698"/>
      <c r="E6241" s="215"/>
      <c r="F6241" s="215"/>
      <c r="G6241" s="153"/>
      <c r="H6241" s="153"/>
      <c r="I6241" s="153"/>
      <c r="J6241" s="153"/>
      <c r="K6241" s="153"/>
      <c r="L6241" s="653"/>
      <c r="M6241" s="663" t="s">
        <v>897</v>
      </c>
      <c r="N6241" s="600">
        <v>0.76455485820000002</v>
      </c>
      <c r="O6241" s="621">
        <f>(0.63/(60))/(60)</f>
        <v>1.75E-4</v>
      </c>
      <c r="P6241" s="266"/>
      <c r="Q6241" s="242"/>
      <c r="R6241" s="242"/>
      <c r="S6241" s="242"/>
      <c r="T6241" s="242"/>
      <c r="U6241" s="242"/>
      <c r="V6241" s="242"/>
      <c r="W6241" s="767"/>
      <c r="X6241" s="764"/>
      <c r="Y6241" s="768"/>
      <c r="Z6241" s="245"/>
      <c r="AA6241" s="220">
        <f>0.2*(10)</f>
        <v>2</v>
      </c>
      <c r="AB6241" s="295">
        <v>22</v>
      </c>
      <c r="AC6241" s="230">
        <v>1.2200000000000001E-2</v>
      </c>
      <c r="AD6241" s="223"/>
      <c r="AE6241" s="223"/>
      <c r="AF6241" s="223"/>
      <c r="AG6241" s="223"/>
      <c r="AH6241" s="341"/>
      <c r="AI6241" s="153"/>
      <c r="AJ6241" s="480"/>
      <c r="AK6241" s="153"/>
      <c r="AL6241" s="152"/>
      <c r="AM6241" s="152"/>
      <c r="AN6241" s="152"/>
      <c r="AO6241" s="152"/>
      <c r="AP6241" s="152"/>
      <c r="AQ6241" s="152"/>
      <c r="AR6241" s="152"/>
      <c r="AS6241" s="152"/>
      <c r="AT6241" s="152"/>
      <c r="AU6241" s="153"/>
      <c r="AV6241" s="479"/>
      <c r="AW6241" s="479"/>
      <c r="AX6241" s="442"/>
      <c r="AY6241" s="153"/>
      <c r="AZ6241" s="152"/>
      <c r="BA6241" s="152"/>
      <c r="BB6241" s="152"/>
      <c r="BC6241" s="152"/>
      <c r="BD6241" s="152"/>
      <c r="BE6241" s="152"/>
      <c r="BF6241" s="152"/>
      <c r="BG6241" s="152"/>
      <c r="BH6241" s="152"/>
      <c r="BI6241" s="153"/>
      <c r="BJ6241" s="153"/>
      <c r="BK6241" s="153"/>
      <c r="BL6241" s="153"/>
      <c r="BM6241" s="153"/>
      <c r="BN6241" s="153"/>
      <c r="BO6241" s="153"/>
      <c r="BP6241" s="153"/>
      <c r="BQ6241" s="153"/>
      <c r="BR6241" s="153"/>
      <c r="BS6241" s="153"/>
      <c r="BT6241" s="153"/>
      <c r="BU6241" s="153"/>
      <c r="BV6241" s="153"/>
      <c r="BW6241" s="153"/>
      <c r="BX6241" s="153"/>
      <c r="BY6241" s="153"/>
      <c r="BZ6241" s="153"/>
      <c r="CA6241" s="152"/>
      <c r="CB6241" s="152"/>
    </row>
    <row r="6242" spans="1:80" s="87" customFormat="1" x14ac:dyDescent="0.2">
      <c r="A6242" s="152"/>
      <c r="B6242" s="683"/>
      <c r="C6242" s="683"/>
      <c r="D6242" s="698"/>
      <c r="E6242" s="215"/>
      <c r="F6242" s="215"/>
      <c r="G6242" s="153"/>
      <c r="H6242" s="153"/>
      <c r="I6242" s="153"/>
      <c r="J6242" s="153"/>
      <c r="K6242" s="153"/>
      <c r="L6242" s="653"/>
      <c r="M6242" s="663" t="s">
        <v>897</v>
      </c>
      <c r="N6242" s="600">
        <v>1.2459412504</v>
      </c>
      <c r="O6242" s="621">
        <f>(35/(60))/(60)</f>
        <v>9.7222222222222224E-3</v>
      </c>
      <c r="P6242" s="266"/>
      <c r="Q6242" s="242"/>
      <c r="R6242" s="242"/>
      <c r="S6242" s="242"/>
      <c r="T6242" s="242"/>
      <c r="U6242" s="242"/>
      <c r="V6242" s="242"/>
      <c r="W6242" s="767"/>
      <c r="X6242" s="764"/>
      <c r="Y6242" s="768"/>
      <c r="Z6242" s="245"/>
      <c r="AA6242" s="220">
        <f>0.72*(10)</f>
        <v>7.1999999999999993</v>
      </c>
      <c r="AB6242" s="295">
        <v>23</v>
      </c>
      <c r="AC6242" s="230">
        <v>1.24E-2</v>
      </c>
      <c r="AD6242" s="223"/>
      <c r="AE6242" s="223"/>
      <c r="AF6242" s="223"/>
      <c r="AG6242" s="223"/>
      <c r="AH6242" s="341"/>
      <c r="AI6242" s="153"/>
      <c r="AJ6242" s="480"/>
      <c r="AK6242" s="153"/>
      <c r="AL6242" s="152"/>
      <c r="AM6242" s="152"/>
      <c r="AN6242" s="152"/>
      <c r="AO6242" s="152"/>
      <c r="AP6242" s="152"/>
      <c r="AQ6242" s="152"/>
      <c r="AR6242" s="152"/>
      <c r="AS6242" s="152"/>
      <c r="AT6242" s="152"/>
      <c r="AU6242" s="153"/>
      <c r="AV6242" s="479"/>
      <c r="AW6242" s="479"/>
      <c r="AX6242" s="442"/>
      <c r="AY6242" s="153"/>
      <c r="AZ6242" s="152"/>
      <c r="BA6242" s="152"/>
      <c r="BB6242" s="152"/>
      <c r="BC6242" s="152"/>
      <c r="BD6242" s="152"/>
      <c r="BE6242" s="152"/>
      <c r="BF6242" s="152"/>
      <c r="BG6242" s="152"/>
      <c r="BH6242" s="152"/>
      <c r="BI6242" s="153"/>
      <c r="BJ6242" s="153"/>
      <c r="BK6242" s="153"/>
      <c r="BL6242" s="153"/>
      <c r="BM6242" s="153"/>
      <c r="BN6242" s="153"/>
      <c r="BO6242" s="153"/>
      <c r="BP6242" s="153"/>
      <c r="BQ6242" s="153"/>
      <c r="BR6242" s="153"/>
      <c r="BS6242" s="153"/>
      <c r="BT6242" s="153"/>
      <c r="BU6242" s="153"/>
      <c r="BV6242" s="153"/>
      <c r="BW6242" s="153"/>
      <c r="BX6242" s="153"/>
      <c r="BY6242" s="153"/>
      <c r="BZ6242" s="153"/>
      <c r="CA6242" s="152"/>
      <c r="CB6242" s="152"/>
    </row>
    <row r="6243" spans="1:80" s="87" customFormat="1" x14ac:dyDescent="0.2">
      <c r="A6243" s="152"/>
      <c r="B6243" s="683"/>
      <c r="C6243" s="683"/>
      <c r="D6243" s="698"/>
      <c r="E6243" s="215"/>
      <c r="F6243" s="215"/>
      <c r="G6243" s="153"/>
      <c r="H6243" s="153"/>
      <c r="I6243" s="153"/>
      <c r="J6243" s="153"/>
      <c r="K6243" s="153"/>
      <c r="L6243" s="653"/>
      <c r="M6243" s="663" t="s">
        <v>897</v>
      </c>
      <c r="N6243" s="600">
        <v>1.3025749436</v>
      </c>
      <c r="O6243" s="621">
        <f>(212/(60))/(60)</f>
        <v>5.8888888888888886E-2</v>
      </c>
      <c r="P6243" s="266"/>
      <c r="Q6243" s="242"/>
      <c r="R6243" s="242"/>
      <c r="S6243" s="242"/>
      <c r="T6243" s="242"/>
      <c r="U6243" s="242"/>
      <c r="V6243" s="242"/>
      <c r="W6243" s="767"/>
      <c r="X6243" s="764"/>
      <c r="Y6243" s="768"/>
      <c r="Z6243" s="245"/>
      <c r="AA6243" s="220">
        <f>1.25*(10)</f>
        <v>12.5</v>
      </c>
      <c r="AB6243" s="295">
        <v>24</v>
      </c>
      <c r="AC6243" s="230">
        <v>1.0200000000000001E-2</v>
      </c>
      <c r="AD6243" s="223"/>
      <c r="AE6243" s="223"/>
      <c r="AF6243" s="223"/>
      <c r="AG6243" s="223"/>
      <c r="AH6243" s="341"/>
      <c r="AI6243" s="153"/>
      <c r="AJ6243" s="480"/>
      <c r="AK6243" s="153"/>
      <c r="AL6243" s="152"/>
      <c r="AM6243" s="152"/>
      <c r="AN6243" s="152"/>
      <c r="AO6243" s="152"/>
      <c r="AP6243" s="152"/>
      <c r="AQ6243" s="152"/>
      <c r="AR6243" s="152"/>
      <c r="AS6243" s="152"/>
      <c r="AT6243" s="152"/>
      <c r="AU6243" s="153"/>
      <c r="AV6243" s="479"/>
      <c r="AW6243" s="479"/>
      <c r="AX6243" s="442"/>
      <c r="AY6243" s="153"/>
      <c r="AZ6243" s="152"/>
      <c r="BA6243" s="152"/>
      <c r="BB6243" s="152"/>
      <c r="BC6243" s="152"/>
      <c r="BD6243" s="152"/>
      <c r="BE6243" s="152"/>
      <c r="BF6243" s="152"/>
      <c r="BG6243" s="152"/>
      <c r="BH6243" s="152"/>
      <c r="BI6243" s="153"/>
      <c r="BJ6243" s="153"/>
      <c r="BK6243" s="153"/>
      <c r="BL6243" s="153"/>
      <c r="BM6243" s="153"/>
      <c r="BN6243" s="153"/>
      <c r="BO6243" s="153"/>
      <c r="BP6243" s="153"/>
      <c r="BQ6243" s="153"/>
      <c r="BR6243" s="153"/>
      <c r="BS6243" s="153"/>
      <c r="BT6243" s="153"/>
      <c r="BU6243" s="153"/>
      <c r="BV6243" s="153"/>
      <c r="BW6243" s="153"/>
      <c r="BX6243" s="153"/>
      <c r="BY6243" s="153"/>
      <c r="BZ6243" s="153"/>
      <c r="CA6243" s="152"/>
      <c r="CB6243" s="152"/>
    </row>
    <row r="6244" spans="1:80" s="87" customFormat="1" x14ac:dyDescent="0.2">
      <c r="A6244" s="152"/>
      <c r="B6244" s="683"/>
      <c r="C6244" s="683"/>
      <c r="D6244" s="698"/>
      <c r="E6244" s="215"/>
      <c r="F6244" s="215"/>
      <c r="G6244" s="153"/>
      <c r="H6244" s="153"/>
      <c r="I6244" s="153"/>
      <c r="J6244" s="153"/>
      <c r="K6244" s="153"/>
      <c r="L6244" s="653"/>
      <c r="M6244" s="663" t="s">
        <v>897</v>
      </c>
      <c r="N6244" s="600">
        <v>1.2742580970000001</v>
      </c>
      <c r="O6244" s="621">
        <f>(78.5/(60))/(60)</f>
        <v>2.1805555555555557E-2</v>
      </c>
      <c r="P6244" s="266"/>
      <c r="Q6244" s="242"/>
      <c r="R6244" s="242"/>
      <c r="S6244" s="242"/>
      <c r="T6244" s="242"/>
      <c r="U6244" s="242"/>
      <c r="V6244" s="242"/>
      <c r="W6244" s="767"/>
      <c r="X6244" s="764"/>
      <c r="Y6244" s="768"/>
      <c r="Z6244" s="245"/>
      <c r="AA6244" s="220">
        <f>1.04*(10)</f>
        <v>10.4</v>
      </c>
      <c r="AB6244" s="295">
        <v>25</v>
      </c>
      <c r="AC6244" s="230">
        <v>1.01E-2</v>
      </c>
      <c r="AD6244" s="223"/>
      <c r="AE6244" s="223"/>
      <c r="AF6244" s="223"/>
      <c r="AG6244" s="223"/>
      <c r="AH6244" s="341"/>
      <c r="AI6244" s="153"/>
      <c r="AJ6244" s="480"/>
      <c r="AK6244" s="153"/>
      <c r="AL6244" s="152"/>
      <c r="AM6244" s="152"/>
      <c r="AN6244" s="152"/>
      <c r="AO6244" s="152"/>
      <c r="AP6244" s="152"/>
      <c r="AQ6244" s="152"/>
      <c r="AR6244" s="152"/>
      <c r="AS6244" s="152"/>
      <c r="AT6244" s="152"/>
      <c r="AU6244" s="153"/>
      <c r="AV6244" s="479"/>
      <c r="AW6244" s="479"/>
      <c r="AX6244" s="442"/>
      <c r="AY6244" s="153"/>
      <c r="AZ6244" s="152"/>
      <c r="BA6244" s="152"/>
      <c r="BB6244" s="152"/>
      <c r="BC6244" s="152"/>
      <c r="BD6244" s="152"/>
      <c r="BE6244" s="152"/>
      <c r="BF6244" s="152"/>
      <c r="BG6244" s="152"/>
      <c r="BH6244" s="152"/>
      <c r="BI6244" s="153"/>
      <c r="BJ6244" s="153"/>
      <c r="BK6244" s="153"/>
      <c r="BL6244" s="153"/>
      <c r="BM6244" s="153"/>
      <c r="BN6244" s="153"/>
      <c r="BO6244" s="153"/>
      <c r="BP6244" s="153"/>
      <c r="BQ6244" s="153"/>
      <c r="BR6244" s="153"/>
      <c r="BS6244" s="153"/>
      <c r="BT6244" s="153"/>
      <c r="BU6244" s="153"/>
      <c r="BV6244" s="153"/>
      <c r="BW6244" s="153"/>
      <c r="BX6244" s="153"/>
      <c r="BY6244" s="153"/>
      <c r="BZ6244" s="153"/>
      <c r="CA6244" s="152"/>
      <c r="CB6244" s="152"/>
    </row>
    <row r="6245" spans="1:80" s="87" customFormat="1" x14ac:dyDescent="0.2">
      <c r="A6245" s="152"/>
      <c r="B6245" s="683"/>
      <c r="C6245" s="683"/>
      <c r="D6245" s="698"/>
      <c r="E6245" s="215"/>
      <c r="F6245" s="215"/>
      <c r="G6245" s="153"/>
      <c r="H6245" s="153"/>
      <c r="I6245" s="153"/>
      <c r="J6245" s="153"/>
      <c r="K6245" s="153"/>
      <c r="L6245" s="653"/>
      <c r="M6245" s="663" t="s">
        <v>897</v>
      </c>
      <c r="N6245" s="600">
        <v>1.2742580970000001</v>
      </c>
      <c r="O6245" s="621">
        <f>(6.4/(60))/(60)</f>
        <v>1.7777777777777779E-3</v>
      </c>
      <c r="P6245" s="266"/>
      <c r="Q6245" s="242"/>
      <c r="R6245" s="242"/>
      <c r="S6245" s="242"/>
      <c r="T6245" s="242"/>
      <c r="U6245" s="242"/>
      <c r="V6245" s="242"/>
      <c r="W6245" s="767"/>
      <c r="X6245" s="764"/>
      <c r="Y6245" s="768"/>
      <c r="Z6245" s="245"/>
      <c r="AA6245" s="220">
        <f>0.52*(10)</f>
        <v>5.2</v>
      </c>
      <c r="AB6245" s="295">
        <v>26</v>
      </c>
      <c r="AC6245" s="230">
        <v>1.01E-2</v>
      </c>
      <c r="AD6245" s="223"/>
      <c r="AE6245" s="223"/>
      <c r="AF6245" s="223"/>
      <c r="AG6245" s="223"/>
      <c r="AH6245" s="341"/>
      <c r="AI6245" s="153"/>
      <c r="AJ6245" s="480"/>
      <c r="AK6245" s="153"/>
      <c r="AL6245" s="152"/>
      <c r="AM6245" s="152"/>
      <c r="AN6245" s="152"/>
      <c r="AO6245" s="152"/>
      <c r="AP6245" s="152"/>
      <c r="AQ6245" s="152"/>
      <c r="AR6245" s="152"/>
      <c r="AS6245" s="152"/>
      <c r="AT6245" s="152"/>
      <c r="AU6245" s="153"/>
      <c r="AV6245" s="479"/>
      <c r="AW6245" s="479"/>
      <c r="AX6245" s="442"/>
      <c r="AY6245" s="153"/>
      <c r="AZ6245" s="152"/>
      <c r="BA6245" s="152"/>
      <c r="BB6245" s="152"/>
      <c r="BC6245" s="152"/>
      <c r="BD6245" s="152"/>
      <c r="BE6245" s="152"/>
      <c r="BF6245" s="152"/>
      <c r="BG6245" s="152"/>
      <c r="BH6245" s="152"/>
      <c r="BI6245" s="153"/>
      <c r="BJ6245" s="153"/>
      <c r="BK6245" s="153"/>
      <c r="BL6245" s="153"/>
      <c r="BM6245" s="153"/>
      <c r="BN6245" s="153"/>
      <c r="BO6245" s="153"/>
      <c r="BP6245" s="153"/>
      <c r="BQ6245" s="153"/>
      <c r="BR6245" s="153"/>
      <c r="BS6245" s="153"/>
      <c r="BT6245" s="153"/>
      <c r="BU6245" s="153"/>
      <c r="BV6245" s="153"/>
      <c r="BW6245" s="153"/>
      <c r="BX6245" s="153"/>
      <c r="BY6245" s="153"/>
      <c r="BZ6245" s="153"/>
      <c r="CA6245" s="152"/>
      <c r="CB6245" s="152"/>
    </row>
    <row r="6246" spans="1:80" s="87" customFormat="1" x14ac:dyDescent="0.2">
      <c r="A6246" s="152"/>
      <c r="B6246" s="683"/>
      <c r="C6246" s="683"/>
      <c r="D6246" s="698"/>
      <c r="E6246" s="215"/>
      <c r="F6246" s="215"/>
      <c r="G6246" s="153"/>
      <c r="H6246" s="153"/>
      <c r="I6246" s="153"/>
      <c r="J6246" s="153"/>
      <c r="K6246" s="153"/>
      <c r="L6246" s="653"/>
      <c r="M6246" s="663">
        <v>25941</v>
      </c>
      <c r="N6246" s="600">
        <v>0.15291097164</v>
      </c>
      <c r="O6246" s="614">
        <v>1.9722222237999999E-6</v>
      </c>
      <c r="P6246" s="785">
        <v>0</v>
      </c>
      <c r="Q6246" s="785">
        <v>0</v>
      </c>
      <c r="R6246" s="785">
        <v>0.03</v>
      </c>
      <c r="S6246" s="785">
        <v>0.13</v>
      </c>
      <c r="T6246" s="785">
        <v>0.08</v>
      </c>
      <c r="U6246" s="785">
        <v>0.15</v>
      </c>
      <c r="V6246" s="748">
        <v>0.61</v>
      </c>
      <c r="W6246" s="747"/>
      <c r="X6246" s="743"/>
      <c r="Y6246" s="246"/>
      <c r="Z6246" s="245"/>
      <c r="AA6246" s="223">
        <v>1.2</v>
      </c>
      <c r="AB6246" s="296" t="s">
        <v>220</v>
      </c>
      <c r="AC6246" s="230">
        <v>8.3000000000000001E-3</v>
      </c>
      <c r="AD6246" s="223">
        <v>3.7</v>
      </c>
      <c r="AE6246" s="223">
        <v>0.11</v>
      </c>
      <c r="AF6246" s="223">
        <f>AD6246*AE6246</f>
        <v>0.40700000000000003</v>
      </c>
      <c r="AG6246" s="223">
        <f>N6246/AF6246</f>
        <v>0.37570263302211299</v>
      </c>
      <c r="AH6246" s="341"/>
      <c r="AI6246" s="152"/>
      <c r="AJ6246" s="152"/>
      <c r="AK6246" s="152"/>
      <c r="AL6246" s="152"/>
      <c r="AM6246" s="152"/>
      <c r="AN6246" s="152"/>
      <c r="AO6246" s="152"/>
      <c r="AP6246" s="152"/>
      <c r="AQ6246" s="152"/>
      <c r="AR6246" s="152"/>
      <c r="AS6246" s="152"/>
      <c r="AT6246" s="152"/>
      <c r="AU6246" s="152"/>
      <c r="AV6246" s="152"/>
      <c r="AW6246" s="152"/>
      <c r="AX6246" s="152"/>
      <c r="AY6246" s="152"/>
      <c r="AZ6246" s="152"/>
      <c r="BA6246" s="152"/>
      <c r="BB6246" s="152"/>
      <c r="BC6246" s="152"/>
      <c r="BD6246" s="152"/>
      <c r="BE6246" s="152"/>
      <c r="BF6246" s="152"/>
      <c r="BG6246" s="152"/>
      <c r="BH6246" s="152"/>
      <c r="BI6246" s="153"/>
      <c r="BJ6246" s="153"/>
      <c r="BK6246" s="153"/>
      <c r="BL6246" s="153"/>
      <c r="BM6246" s="153"/>
      <c r="BN6246" s="153"/>
      <c r="BO6246" s="153"/>
      <c r="BP6246" s="153"/>
      <c r="BQ6246" s="153"/>
      <c r="BR6246" s="153"/>
      <c r="BS6246" s="153"/>
      <c r="BT6246" s="153"/>
      <c r="BU6246" s="153"/>
      <c r="BV6246" s="153"/>
      <c r="BW6246" s="153"/>
      <c r="BX6246" s="153"/>
      <c r="BY6246" s="153"/>
      <c r="BZ6246" s="153"/>
      <c r="CA6246" s="152"/>
      <c r="CB6246" s="152"/>
    </row>
    <row r="6247" spans="1:80" s="87" customFormat="1" x14ac:dyDescent="0.2">
      <c r="A6247" s="152"/>
      <c r="B6247" s="683"/>
      <c r="C6247" s="683"/>
      <c r="D6247" s="698"/>
      <c r="E6247" s="215"/>
      <c r="F6247" s="215"/>
      <c r="G6247" s="153"/>
      <c r="H6247" s="153"/>
      <c r="I6247" s="153"/>
      <c r="J6247" s="153"/>
      <c r="K6247" s="153"/>
      <c r="L6247" s="653"/>
      <c r="M6247" s="663" t="s">
        <v>898</v>
      </c>
      <c r="N6247" s="600">
        <v>0.23786151144000001</v>
      </c>
      <c r="O6247" s="604">
        <v>6.94444445E-6</v>
      </c>
      <c r="P6247" s="250"/>
      <c r="Q6247" s="250"/>
      <c r="R6247" s="250"/>
      <c r="S6247" s="250"/>
      <c r="T6247" s="250"/>
      <c r="U6247" s="250"/>
      <c r="V6247" s="742"/>
      <c r="W6247" s="747"/>
      <c r="X6247" s="743"/>
      <c r="Y6247" s="246"/>
      <c r="Z6247" s="245"/>
      <c r="AA6247" s="223">
        <v>0.76</v>
      </c>
      <c r="AB6247" s="295">
        <v>2</v>
      </c>
      <c r="AC6247" s="230">
        <v>8.3999999999999995E-3</v>
      </c>
      <c r="AD6247" s="223"/>
      <c r="AE6247" s="223"/>
      <c r="AF6247" s="223"/>
      <c r="AG6247" s="223"/>
      <c r="AH6247" s="341"/>
      <c r="AI6247" s="153"/>
      <c r="AJ6247" s="480"/>
      <c r="AK6247" s="153"/>
      <c r="AL6247" s="152"/>
      <c r="AM6247" s="152"/>
      <c r="AN6247" s="152"/>
      <c r="AO6247" s="152"/>
      <c r="AP6247" s="152"/>
      <c r="AQ6247" s="152"/>
      <c r="AR6247" s="152"/>
      <c r="AS6247" s="152"/>
      <c r="AT6247" s="152"/>
      <c r="AU6247" s="153"/>
      <c r="AV6247" s="479"/>
      <c r="AW6247" s="479"/>
      <c r="AX6247" s="442"/>
      <c r="AY6247" s="153"/>
      <c r="AZ6247" s="152"/>
      <c r="BA6247" s="152"/>
      <c r="BB6247" s="152"/>
      <c r="BC6247" s="152"/>
      <c r="BD6247" s="152"/>
      <c r="BE6247" s="152"/>
      <c r="BF6247" s="152"/>
      <c r="BG6247" s="152"/>
      <c r="BH6247" s="152"/>
      <c r="BI6247" s="153"/>
      <c r="BJ6247" s="153"/>
      <c r="BK6247" s="153"/>
      <c r="BL6247" s="153"/>
      <c r="BM6247" s="153"/>
      <c r="BN6247" s="153"/>
      <c r="BO6247" s="153"/>
      <c r="BP6247" s="153"/>
      <c r="BQ6247" s="153"/>
      <c r="BR6247" s="153"/>
      <c r="BS6247" s="153"/>
      <c r="BT6247" s="153"/>
      <c r="BU6247" s="153"/>
      <c r="BV6247" s="153"/>
      <c r="BW6247" s="153"/>
      <c r="BX6247" s="153"/>
      <c r="BY6247" s="153"/>
      <c r="BZ6247" s="153"/>
      <c r="CA6247" s="152"/>
      <c r="CB6247" s="152"/>
    </row>
    <row r="6248" spans="1:80" s="87" customFormat="1" x14ac:dyDescent="0.2">
      <c r="A6248" s="152"/>
      <c r="B6248" s="683"/>
      <c r="C6248" s="683"/>
      <c r="D6248" s="698"/>
      <c r="E6248" s="215"/>
      <c r="F6248" s="215"/>
      <c r="G6248" s="153"/>
      <c r="H6248" s="153"/>
      <c r="I6248" s="153"/>
      <c r="J6248" s="153"/>
      <c r="K6248" s="153"/>
      <c r="L6248" s="653"/>
      <c r="M6248" s="663">
        <v>25943</v>
      </c>
      <c r="N6248" s="600">
        <v>0.33697047454000001</v>
      </c>
      <c r="O6248" s="604">
        <v>5.0000000039999992E-6</v>
      </c>
      <c r="P6248" s="250">
        <v>0</v>
      </c>
      <c r="Q6248" s="250">
        <v>0</v>
      </c>
      <c r="R6248" s="250">
        <v>0.02</v>
      </c>
      <c r="S6248" s="250">
        <v>0.06</v>
      </c>
      <c r="T6248" s="250">
        <v>0.08</v>
      </c>
      <c r="U6248" s="250">
        <v>0.12</v>
      </c>
      <c r="V6248" s="742">
        <v>0.72</v>
      </c>
      <c r="W6248" s="747"/>
      <c r="X6248" s="743"/>
      <c r="Y6248" s="246"/>
      <c r="Z6248" s="245"/>
      <c r="AA6248" s="223">
        <v>0.8899999999999999</v>
      </c>
      <c r="AB6248" s="295">
        <v>3</v>
      </c>
      <c r="AC6248" s="230">
        <v>8.6E-3</v>
      </c>
      <c r="AD6248" s="223">
        <v>3.7</v>
      </c>
      <c r="AE6248" s="223">
        <v>0.15</v>
      </c>
      <c r="AF6248" s="223">
        <f>AD6248*AE6248</f>
        <v>0.55500000000000005</v>
      </c>
      <c r="AG6248" s="223">
        <f t="shared" ref="AG6248:AG6255" si="53">N6248/AF6248</f>
        <v>0.60715400818018017</v>
      </c>
      <c r="AH6248" s="341"/>
      <c r="AI6248" s="153"/>
      <c r="AJ6248" s="480"/>
      <c r="AK6248" s="153"/>
      <c r="AL6248" s="152"/>
      <c r="AM6248" s="152"/>
      <c r="AN6248" s="152"/>
      <c r="AO6248" s="152"/>
      <c r="AP6248" s="152"/>
      <c r="AQ6248" s="152"/>
      <c r="AR6248" s="152"/>
      <c r="AS6248" s="152"/>
      <c r="AT6248" s="152"/>
      <c r="AU6248" s="153"/>
      <c r="AV6248" s="479"/>
      <c r="AW6248" s="479"/>
      <c r="AX6248" s="442"/>
      <c r="AY6248" s="153"/>
      <c r="AZ6248" s="152"/>
      <c r="BA6248" s="152"/>
      <c r="BB6248" s="152"/>
      <c r="BC6248" s="152"/>
      <c r="BD6248" s="152"/>
      <c r="BE6248" s="152"/>
      <c r="BF6248" s="152"/>
      <c r="BG6248" s="152"/>
      <c r="BH6248" s="152"/>
      <c r="BI6248" s="153"/>
      <c r="BJ6248" s="153"/>
      <c r="BK6248" s="153"/>
      <c r="BL6248" s="153"/>
      <c r="BM6248" s="153"/>
      <c r="BN6248" s="153"/>
      <c r="BO6248" s="153"/>
      <c r="BP6248" s="153"/>
      <c r="BQ6248" s="153"/>
      <c r="BR6248" s="153"/>
      <c r="BS6248" s="153"/>
      <c r="BT6248" s="153"/>
      <c r="BU6248" s="153"/>
      <c r="BV6248" s="153"/>
      <c r="BW6248" s="153"/>
      <c r="BX6248" s="153"/>
      <c r="BY6248" s="153"/>
      <c r="BZ6248" s="153"/>
      <c r="CA6248" s="152"/>
      <c r="CB6248" s="152"/>
    </row>
    <row r="6249" spans="1:80" s="87" customFormat="1" x14ac:dyDescent="0.2">
      <c r="A6249" s="152"/>
      <c r="B6249" s="683"/>
      <c r="C6249" s="683"/>
      <c r="D6249" s="698"/>
      <c r="E6249" s="215"/>
      <c r="F6249" s="215"/>
      <c r="G6249" s="153"/>
      <c r="H6249" s="153"/>
      <c r="I6249" s="153"/>
      <c r="J6249" s="153"/>
      <c r="K6249" s="153"/>
      <c r="L6249" s="653"/>
      <c r="M6249" s="663">
        <v>25943</v>
      </c>
      <c r="N6249" s="600">
        <v>0.39077248308000001</v>
      </c>
      <c r="O6249" s="604">
        <v>2.2777777795999999E-5</v>
      </c>
      <c r="P6249" s="250">
        <v>0</v>
      </c>
      <c r="Q6249" s="250">
        <v>0</v>
      </c>
      <c r="R6249" s="250">
        <v>0.01</v>
      </c>
      <c r="S6249" s="250">
        <v>0.09</v>
      </c>
      <c r="T6249" s="250">
        <v>0.12</v>
      </c>
      <c r="U6249" s="250">
        <v>0.13</v>
      </c>
      <c r="V6249" s="742">
        <v>0.65</v>
      </c>
      <c r="W6249" s="747"/>
      <c r="X6249" s="743"/>
      <c r="Y6249" s="246"/>
      <c r="Z6249" s="245"/>
      <c r="AA6249" s="223">
        <v>1.1000000000000001</v>
      </c>
      <c r="AB6249" s="295">
        <v>4</v>
      </c>
      <c r="AC6249" s="230">
        <v>8.3000000000000001E-3</v>
      </c>
      <c r="AD6249" s="223">
        <v>3.7</v>
      </c>
      <c r="AE6249" s="223">
        <v>0.17</v>
      </c>
      <c r="AF6249" s="223">
        <f t="shared" ref="AF6249:AF6255" si="54">AD6249*AE6249</f>
        <v>0.62900000000000011</v>
      </c>
      <c r="AG6249" s="223">
        <f t="shared" si="53"/>
        <v>0.62125990950715415</v>
      </c>
      <c r="AH6249" s="341"/>
      <c r="AI6249" s="153"/>
      <c r="AJ6249" s="480"/>
      <c r="AK6249" s="153"/>
      <c r="AL6249" s="152"/>
      <c r="AM6249" s="152"/>
      <c r="AN6249" s="152"/>
      <c r="AO6249" s="152"/>
      <c r="AP6249" s="152"/>
      <c r="AQ6249" s="152"/>
      <c r="AR6249" s="152"/>
      <c r="AS6249" s="152"/>
      <c r="AT6249" s="152"/>
      <c r="AU6249" s="153"/>
      <c r="AV6249" s="479"/>
      <c r="AW6249" s="479"/>
      <c r="AX6249" s="442"/>
      <c r="AY6249" s="153"/>
      <c r="AZ6249" s="152"/>
      <c r="BA6249" s="152"/>
      <c r="BB6249" s="152"/>
      <c r="BC6249" s="152"/>
      <c r="BD6249" s="152"/>
      <c r="BE6249" s="152"/>
      <c r="BF6249" s="152"/>
      <c r="BG6249" s="152"/>
      <c r="BH6249" s="152"/>
      <c r="BI6249" s="153"/>
      <c r="BJ6249" s="153"/>
      <c r="BK6249" s="153"/>
      <c r="BL6249" s="153"/>
      <c r="BM6249" s="153"/>
      <c r="BN6249" s="153"/>
      <c r="BO6249" s="153"/>
      <c r="BP6249" s="153"/>
      <c r="BQ6249" s="153"/>
      <c r="BR6249" s="153"/>
      <c r="BS6249" s="153"/>
      <c r="BT6249" s="153"/>
      <c r="BU6249" s="153"/>
      <c r="BV6249" s="153"/>
      <c r="BW6249" s="153"/>
      <c r="BX6249" s="153"/>
      <c r="BY6249" s="153"/>
      <c r="BZ6249" s="153"/>
      <c r="CA6249" s="152"/>
      <c r="CB6249" s="152"/>
    </row>
    <row r="6250" spans="1:80" s="87" customFormat="1" x14ac:dyDescent="0.2">
      <c r="A6250" s="152"/>
      <c r="B6250" s="683"/>
      <c r="C6250" s="683"/>
      <c r="D6250" s="698"/>
      <c r="E6250" s="215"/>
      <c r="F6250" s="215"/>
      <c r="G6250" s="153"/>
      <c r="H6250" s="153"/>
      <c r="I6250" s="153"/>
      <c r="J6250" s="153"/>
      <c r="K6250" s="153"/>
      <c r="L6250" s="653"/>
      <c r="M6250" s="663">
        <v>25944</v>
      </c>
      <c r="N6250" s="600">
        <v>0.44740617628000001</v>
      </c>
      <c r="O6250" s="604">
        <v>3.8888888919999998E-5</v>
      </c>
      <c r="P6250" s="250">
        <v>0</v>
      </c>
      <c r="Q6250" s="250">
        <v>0.01</v>
      </c>
      <c r="R6250" s="250">
        <v>7.0000000000000007E-2</v>
      </c>
      <c r="S6250" s="250">
        <v>0.04</v>
      </c>
      <c r="T6250" s="250">
        <v>0.03</v>
      </c>
      <c r="U6250" s="250">
        <v>0.08</v>
      </c>
      <c r="V6250" s="742">
        <v>0.77</v>
      </c>
      <c r="W6250" s="747"/>
      <c r="X6250" s="743"/>
      <c r="Y6250" s="246"/>
      <c r="Z6250" s="245"/>
      <c r="AA6250" s="223">
        <v>0.68</v>
      </c>
      <c r="AB6250" s="295">
        <v>5</v>
      </c>
      <c r="AC6250" s="230">
        <v>8.6999999999999994E-3</v>
      </c>
      <c r="AD6250" s="223">
        <v>3.7</v>
      </c>
      <c r="AE6250" s="223">
        <v>0.18</v>
      </c>
      <c r="AF6250" s="223">
        <f t="shared" si="54"/>
        <v>0.66600000000000004</v>
      </c>
      <c r="AG6250" s="223">
        <f t="shared" si="53"/>
        <v>0.67178104546546547</v>
      </c>
      <c r="AH6250" s="341"/>
      <c r="AI6250" s="153"/>
      <c r="AJ6250" s="480"/>
      <c r="AK6250" s="153"/>
      <c r="AL6250" s="152"/>
      <c r="AM6250" s="152"/>
      <c r="AN6250" s="152"/>
      <c r="AO6250" s="152"/>
      <c r="AP6250" s="152"/>
      <c r="AQ6250" s="152"/>
      <c r="AR6250" s="152"/>
      <c r="AS6250" s="152"/>
      <c r="AT6250" s="152"/>
      <c r="AU6250" s="153"/>
      <c r="AV6250" s="479"/>
      <c r="AW6250" s="479"/>
      <c r="AX6250" s="442"/>
      <c r="AY6250" s="153"/>
      <c r="AZ6250" s="152"/>
      <c r="BA6250" s="152"/>
      <c r="BB6250" s="152"/>
      <c r="BC6250" s="152"/>
      <c r="BD6250" s="152"/>
      <c r="BE6250" s="152"/>
      <c r="BF6250" s="152"/>
      <c r="BG6250" s="152"/>
      <c r="BH6250" s="152"/>
      <c r="BI6250" s="153"/>
      <c r="BJ6250" s="153"/>
      <c r="BK6250" s="153"/>
      <c r="BL6250" s="153"/>
      <c r="BM6250" s="153"/>
      <c r="BN6250" s="153"/>
      <c r="BO6250" s="153"/>
      <c r="BP6250" s="153"/>
      <c r="BQ6250" s="153"/>
      <c r="BR6250" s="153"/>
      <c r="BS6250" s="153"/>
      <c r="BT6250" s="153"/>
      <c r="BU6250" s="153"/>
      <c r="BV6250" s="153"/>
      <c r="BW6250" s="153"/>
      <c r="BX6250" s="153"/>
      <c r="BY6250" s="153"/>
      <c r="BZ6250" s="153"/>
      <c r="CA6250" s="152"/>
      <c r="CB6250" s="152"/>
    </row>
    <row r="6251" spans="1:80" s="87" customFormat="1" x14ac:dyDescent="0.2">
      <c r="A6251" s="152"/>
      <c r="B6251" s="683"/>
      <c r="C6251" s="683"/>
      <c r="D6251" s="698"/>
      <c r="E6251" s="215"/>
      <c r="F6251" s="215"/>
      <c r="G6251" s="153"/>
      <c r="H6251" s="153"/>
      <c r="I6251" s="153"/>
      <c r="J6251" s="153"/>
      <c r="K6251" s="153"/>
      <c r="L6251" s="653"/>
      <c r="M6251" s="663">
        <v>25944</v>
      </c>
      <c r="N6251" s="600">
        <v>0.38227742910000001</v>
      </c>
      <c r="O6251" s="604">
        <v>1.5555555568E-5</v>
      </c>
      <c r="P6251" s="250">
        <v>0</v>
      </c>
      <c r="Q6251" s="250">
        <v>0</v>
      </c>
      <c r="R6251" s="250">
        <v>0.01</v>
      </c>
      <c r="S6251" s="250">
        <v>7.0000000000000007E-2</v>
      </c>
      <c r="T6251" s="250">
        <v>0.12</v>
      </c>
      <c r="U6251" s="250">
        <v>0.16</v>
      </c>
      <c r="V6251" s="742">
        <v>0.64</v>
      </c>
      <c r="W6251" s="747"/>
      <c r="X6251" s="743"/>
      <c r="Y6251" s="246"/>
      <c r="Z6251" s="245"/>
      <c r="AA6251" s="223">
        <v>1.2</v>
      </c>
      <c r="AB6251" s="295">
        <v>6</v>
      </c>
      <c r="AC6251" s="230">
        <v>8.6E-3</v>
      </c>
      <c r="AD6251" s="223">
        <v>3.7</v>
      </c>
      <c r="AE6251" s="223">
        <v>0.16</v>
      </c>
      <c r="AF6251" s="223">
        <f t="shared" si="54"/>
        <v>0.59200000000000008</v>
      </c>
      <c r="AG6251" s="223">
        <f t="shared" si="53"/>
        <v>0.64573890050675664</v>
      </c>
      <c r="AH6251" s="341"/>
      <c r="AI6251" s="153"/>
      <c r="AJ6251" s="480"/>
      <c r="AK6251" s="153"/>
      <c r="AL6251" s="152"/>
      <c r="AM6251" s="152"/>
      <c r="AN6251" s="152"/>
      <c r="AO6251" s="152"/>
      <c r="AP6251" s="152"/>
      <c r="AQ6251" s="152"/>
      <c r="AR6251" s="152"/>
      <c r="AS6251" s="152"/>
      <c r="AT6251" s="152"/>
      <c r="AU6251" s="153"/>
      <c r="AV6251" s="479"/>
      <c r="AW6251" s="479"/>
      <c r="AX6251" s="442"/>
      <c r="AY6251" s="153"/>
      <c r="AZ6251" s="152"/>
      <c r="BA6251" s="152"/>
      <c r="BB6251" s="152"/>
      <c r="BC6251" s="152"/>
      <c r="BD6251" s="152"/>
      <c r="BE6251" s="152"/>
      <c r="BF6251" s="152"/>
      <c r="BG6251" s="152"/>
      <c r="BH6251" s="152"/>
      <c r="BI6251" s="153"/>
      <c r="BJ6251" s="153"/>
      <c r="BK6251" s="153"/>
      <c r="BL6251" s="153"/>
      <c r="BM6251" s="153"/>
      <c r="BN6251" s="153"/>
      <c r="BO6251" s="153"/>
      <c r="BP6251" s="153"/>
      <c r="BQ6251" s="153"/>
      <c r="BR6251" s="153"/>
      <c r="BS6251" s="153"/>
      <c r="BT6251" s="153"/>
      <c r="BU6251" s="153"/>
      <c r="BV6251" s="153"/>
      <c r="BW6251" s="153"/>
      <c r="BX6251" s="153"/>
      <c r="BY6251" s="153"/>
      <c r="BZ6251" s="153"/>
      <c r="CA6251" s="152"/>
      <c r="CB6251" s="152"/>
    </row>
    <row r="6252" spans="1:80" s="87" customFormat="1" x14ac:dyDescent="0.2">
      <c r="A6252" s="152"/>
      <c r="B6252" s="683"/>
      <c r="C6252" s="683"/>
      <c r="D6252" s="698"/>
      <c r="E6252" s="215"/>
      <c r="F6252" s="215"/>
      <c r="G6252" s="153"/>
      <c r="H6252" s="153"/>
      <c r="I6252" s="153"/>
      <c r="J6252" s="153"/>
      <c r="K6252" s="153"/>
      <c r="L6252" s="653"/>
      <c r="M6252" s="663">
        <v>25945</v>
      </c>
      <c r="N6252" s="600">
        <v>0.32281205124000001</v>
      </c>
      <c r="O6252" s="604">
        <v>5.0000000039999992E-6</v>
      </c>
      <c r="P6252" s="250">
        <v>0</v>
      </c>
      <c r="Q6252" s="250">
        <v>0</v>
      </c>
      <c r="R6252" s="250">
        <v>0.02</v>
      </c>
      <c r="S6252" s="250">
        <v>0.05</v>
      </c>
      <c r="T6252" s="250">
        <v>0.06</v>
      </c>
      <c r="U6252" s="250">
        <v>0.12</v>
      </c>
      <c r="V6252" s="742">
        <v>0.75</v>
      </c>
      <c r="W6252" s="747"/>
      <c r="X6252" s="743"/>
      <c r="Y6252" s="246"/>
      <c r="Z6252" s="245"/>
      <c r="AA6252" s="223">
        <v>0.81</v>
      </c>
      <c r="AB6252" s="295">
        <v>7</v>
      </c>
      <c r="AC6252" s="230">
        <v>8.6E-3</v>
      </c>
      <c r="AD6252" s="223">
        <v>3.7</v>
      </c>
      <c r="AE6252" s="223">
        <v>0.15</v>
      </c>
      <c r="AF6252" s="223">
        <f t="shared" si="54"/>
        <v>0.55500000000000005</v>
      </c>
      <c r="AG6252" s="223">
        <f t="shared" si="53"/>
        <v>0.58164333556756753</v>
      </c>
      <c r="AH6252" s="341"/>
      <c r="AI6252" s="153"/>
      <c r="AJ6252" s="480"/>
      <c r="AK6252" s="153"/>
      <c r="AL6252" s="152"/>
      <c r="AM6252" s="152"/>
      <c r="AN6252" s="152"/>
      <c r="AO6252" s="152"/>
      <c r="AP6252" s="152"/>
      <c r="AQ6252" s="152"/>
      <c r="AR6252" s="152"/>
      <c r="AS6252" s="152"/>
      <c r="AT6252" s="152"/>
      <c r="AU6252" s="153"/>
      <c r="AV6252" s="479"/>
      <c r="AW6252" s="479"/>
      <c r="AX6252" s="442"/>
      <c r="AY6252" s="153"/>
      <c r="AZ6252" s="152"/>
      <c r="BA6252" s="152"/>
      <c r="BB6252" s="152"/>
      <c r="BC6252" s="152"/>
      <c r="BD6252" s="152"/>
      <c r="BE6252" s="152"/>
      <c r="BF6252" s="152"/>
      <c r="BG6252" s="152"/>
      <c r="BH6252" s="152"/>
      <c r="BI6252" s="153"/>
      <c r="BJ6252" s="153"/>
      <c r="BK6252" s="153"/>
      <c r="BL6252" s="153"/>
      <c r="BM6252" s="153"/>
      <c r="BN6252" s="153"/>
      <c r="BO6252" s="153"/>
      <c r="BP6252" s="153"/>
      <c r="BQ6252" s="153"/>
      <c r="BR6252" s="153"/>
      <c r="BS6252" s="153"/>
      <c r="BT6252" s="153"/>
      <c r="BU6252" s="153"/>
      <c r="BV6252" s="153"/>
      <c r="BW6252" s="153"/>
      <c r="BX6252" s="153"/>
      <c r="BY6252" s="153"/>
      <c r="BZ6252" s="153"/>
      <c r="CA6252" s="152"/>
      <c r="CB6252" s="152"/>
    </row>
    <row r="6253" spans="1:80" s="87" customFormat="1" x14ac:dyDescent="0.2">
      <c r="A6253" s="152"/>
      <c r="B6253" s="683"/>
      <c r="C6253" s="683"/>
      <c r="D6253" s="698"/>
      <c r="E6253" s="215"/>
      <c r="F6253" s="215"/>
      <c r="G6253" s="153"/>
      <c r="H6253" s="153"/>
      <c r="I6253" s="153"/>
      <c r="J6253" s="153"/>
      <c r="K6253" s="153"/>
      <c r="L6253" s="653"/>
      <c r="M6253" s="663">
        <v>25946</v>
      </c>
      <c r="N6253" s="600">
        <v>0.27467341202000001</v>
      </c>
      <c r="O6253" s="614">
        <v>2.5555555575999998E-6</v>
      </c>
      <c r="P6253" s="250">
        <v>0</v>
      </c>
      <c r="Q6253" s="250">
        <v>0</v>
      </c>
      <c r="R6253" s="250">
        <v>0.14000000000000001</v>
      </c>
      <c r="S6253" s="250">
        <v>0.04</v>
      </c>
      <c r="T6253" s="250">
        <v>0.06</v>
      </c>
      <c r="U6253" s="250">
        <v>0.14000000000000001</v>
      </c>
      <c r="V6253" s="742">
        <v>0.62</v>
      </c>
      <c r="W6253" s="747"/>
      <c r="X6253" s="743"/>
      <c r="Y6253" s="246"/>
      <c r="Z6253" s="245"/>
      <c r="AA6253" s="223">
        <v>1.1000000000000001</v>
      </c>
      <c r="AB6253" s="295">
        <v>8</v>
      </c>
      <c r="AC6253" s="230">
        <v>8.5000000000000006E-3</v>
      </c>
      <c r="AD6253" s="223">
        <v>3.7</v>
      </c>
      <c r="AE6253" s="223">
        <v>0.13</v>
      </c>
      <c r="AF6253" s="223">
        <f t="shared" si="54"/>
        <v>0.48100000000000004</v>
      </c>
      <c r="AG6253" s="223">
        <f t="shared" si="53"/>
        <v>0.57104659463617458</v>
      </c>
      <c r="AH6253" s="341"/>
      <c r="AI6253" s="153"/>
      <c r="AJ6253" s="480"/>
      <c r="AK6253" s="153"/>
      <c r="AL6253" s="152"/>
      <c r="AM6253" s="152"/>
      <c r="AN6253" s="152"/>
      <c r="AO6253" s="152"/>
      <c r="AP6253" s="152"/>
      <c r="AQ6253" s="152"/>
      <c r="AR6253" s="152"/>
      <c r="AS6253" s="152"/>
      <c r="AT6253" s="152"/>
      <c r="AU6253" s="153"/>
      <c r="AV6253" s="479"/>
      <c r="AW6253" s="479"/>
      <c r="AX6253" s="442"/>
      <c r="AY6253" s="153"/>
      <c r="AZ6253" s="152"/>
      <c r="BA6253" s="152"/>
      <c r="BB6253" s="152"/>
      <c r="BC6253" s="152"/>
      <c r="BD6253" s="152"/>
      <c r="BE6253" s="152"/>
      <c r="BF6253" s="152"/>
      <c r="BG6253" s="152"/>
      <c r="BH6253" s="152"/>
      <c r="BI6253" s="153"/>
      <c r="BJ6253" s="153"/>
      <c r="BK6253" s="153"/>
      <c r="BL6253" s="153"/>
      <c r="BM6253" s="153"/>
      <c r="BN6253" s="153"/>
      <c r="BO6253" s="153"/>
      <c r="BP6253" s="153"/>
      <c r="BQ6253" s="153"/>
      <c r="BR6253" s="153"/>
      <c r="BS6253" s="153"/>
      <c r="BT6253" s="153"/>
      <c r="BU6253" s="153"/>
      <c r="BV6253" s="153"/>
      <c r="BW6253" s="153"/>
      <c r="BX6253" s="153"/>
      <c r="BY6253" s="153"/>
      <c r="BZ6253" s="153"/>
      <c r="CA6253" s="152"/>
      <c r="CB6253" s="152"/>
    </row>
    <row r="6254" spans="1:80" s="87" customFormat="1" x14ac:dyDescent="0.2">
      <c r="A6254" s="152"/>
      <c r="B6254" s="683"/>
      <c r="C6254" s="683"/>
      <c r="D6254" s="698"/>
      <c r="E6254" s="215"/>
      <c r="F6254" s="215"/>
      <c r="G6254" s="153"/>
      <c r="H6254" s="153"/>
      <c r="I6254" s="153"/>
      <c r="J6254" s="153"/>
      <c r="K6254" s="153"/>
      <c r="L6254" s="653"/>
      <c r="M6254" s="663">
        <v>25947</v>
      </c>
      <c r="N6254" s="600">
        <v>0.22653477280000001</v>
      </c>
      <c r="O6254" s="614">
        <v>1.1944444453999998E-6</v>
      </c>
      <c r="P6254" s="250">
        <v>0</v>
      </c>
      <c r="Q6254" s="250">
        <v>0</v>
      </c>
      <c r="R6254" s="250">
        <v>0.01</v>
      </c>
      <c r="S6254" s="250">
        <v>0.04</v>
      </c>
      <c r="T6254" s="250">
        <v>7.0000000000000007E-2</v>
      </c>
      <c r="U6254" s="250">
        <v>0.1</v>
      </c>
      <c r="V6254" s="742">
        <v>0.78</v>
      </c>
      <c r="W6254" s="747"/>
      <c r="X6254" s="743"/>
      <c r="Y6254" s="246"/>
      <c r="Z6254" s="245"/>
      <c r="AA6254" s="223">
        <v>0.70000000000000007</v>
      </c>
      <c r="AB6254" s="295">
        <v>9</v>
      </c>
      <c r="AC6254" s="230">
        <v>8.3999999999999995E-3</v>
      </c>
      <c r="AD6254" s="223">
        <v>3.7</v>
      </c>
      <c r="AE6254" s="223">
        <v>0.13</v>
      </c>
      <c r="AF6254" s="223">
        <f t="shared" si="54"/>
        <v>0.48100000000000004</v>
      </c>
      <c r="AG6254" s="223">
        <f t="shared" si="53"/>
        <v>0.47096626361746358</v>
      </c>
      <c r="AH6254" s="341"/>
      <c r="AI6254" s="153"/>
      <c r="AJ6254" s="480"/>
      <c r="AK6254" s="153"/>
      <c r="AL6254" s="152"/>
      <c r="AM6254" s="152"/>
      <c r="AN6254" s="152"/>
      <c r="AO6254" s="152"/>
      <c r="AP6254" s="152"/>
      <c r="AQ6254" s="152"/>
      <c r="AR6254" s="152"/>
      <c r="AS6254" s="152"/>
      <c r="AT6254" s="152"/>
      <c r="AU6254" s="153"/>
      <c r="AV6254" s="479"/>
      <c r="AW6254" s="479"/>
      <c r="AX6254" s="442"/>
      <c r="AY6254" s="153"/>
      <c r="AZ6254" s="152"/>
      <c r="BA6254" s="152"/>
      <c r="BB6254" s="152"/>
      <c r="BC6254" s="152"/>
      <c r="BD6254" s="152"/>
      <c r="BE6254" s="152"/>
      <c r="BF6254" s="152"/>
      <c r="BG6254" s="152"/>
      <c r="BH6254" s="152"/>
      <c r="BI6254" s="153"/>
      <c r="BJ6254" s="153"/>
      <c r="BK6254" s="153"/>
      <c r="BL6254" s="153"/>
      <c r="BM6254" s="153"/>
      <c r="BN6254" s="153"/>
      <c r="BO6254" s="153"/>
      <c r="BP6254" s="153"/>
      <c r="BQ6254" s="153"/>
      <c r="BR6254" s="153"/>
      <c r="BS6254" s="153"/>
      <c r="BT6254" s="153"/>
      <c r="BU6254" s="153"/>
      <c r="BV6254" s="153"/>
      <c r="BW6254" s="153"/>
      <c r="BX6254" s="153"/>
      <c r="BY6254" s="153"/>
      <c r="BZ6254" s="153"/>
      <c r="CA6254" s="152"/>
      <c r="CB6254" s="152"/>
    </row>
    <row r="6255" spans="1:80" s="87" customFormat="1" x14ac:dyDescent="0.2">
      <c r="A6255" s="152"/>
      <c r="B6255" s="683"/>
      <c r="C6255" s="683"/>
      <c r="D6255" s="698"/>
      <c r="E6255" s="215"/>
      <c r="F6255" s="215"/>
      <c r="G6255" s="153"/>
      <c r="H6255" s="153"/>
      <c r="I6255" s="153"/>
      <c r="J6255" s="153"/>
      <c r="K6255" s="153"/>
      <c r="L6255" s="653"/>
      <c r="M6255" s="663">
        <v>25949</v>
      </c>
      <c r="N6255" s="600">
        <v>2.6051498872000001</v>
      </c>
      <c r="O6255" s="604">
        <v>0.178055555698</v>
      </c>
      <c r="P6255" s="250">
        <v>0.05</v>
      </c>
      <c r="Q6255" s="250">
        <v>0.24</v>
      </c>
      <c r="R6255" s="250">
        <v>0.34</v>
      </c>
      <c r="S6255" s="250">
        <v>0.17</v>
      </c>
      <c r="T6255" s="250">
        <v>0.1</v>
      </c>
      <c r="U6255" s="250">
        <v>0.05</v>
      </c>
      <c r="V6255" s="742">
        <v>0.05</v>
      </c>
      <c r="W6255" s="747"/>
      <c r="X6255" s="743"/>
      <c r="Y6255" s="246"/>
      <c r="Z6255" s="245"/>
      <c r="AA6255" s="223">
        <v>25</v>
      </c>
      <c r="AB6255" s="296" t="s">
        <v>221</v>
      </c>
      <c r="AC6255" s="230">
        <v>9.7000000000000003E-3</v>
      </c>
      <c r="AD6255" s="223">
        <v>3.7</v>
      </c>
      <c r="AE6255" s="223">
        <v>0.4</v>
      </c>
      <c r="AF6255" s="223">
        <f t="shared" si="54"/>
        <v>1.4800000000000002</v>
      </c>
      <c r="AG6255" s="223">
        <f t="shared" si="53"/>
        <v>1.7602364102702701</v>
      </c>
      <c r="AH6255" s="341"/>
      <c r="AI6255" s="153"/>
      <c r="AJ6255" s="480"/>
      <c r="AK6255" s="153"/>
      <c r="AL6255" s="152"/>
      <c r="AM6255" s="152"/>
      <c r="AN6255" s="152"/>
      <c r="AO6255" s="152"/>
      <c r="AP6255" s="152"/>
      <c r="AQ6255" s="152"/>
      <c r="AR6255" s="152"/>
      <c r="AS6255" s="152"/>
      <c r="AT6255" s="152"/>
      <c r="AU6255" s="153"/>
      <c r="AV6255" s="479"/>
      <c r="AW6255" s="479"/>
      <c r="AX6255" s="442"/>
      <c r="AY6255" s="153"/>
      <c r="AZ6255" s="152"/>
      <c r="BA6255" s="152"/>
      <c r="BB6255" s="152"/>
      <c r="BC6255" s="152"/>
      <c r="BD6255" s="152"/>
      <c r="BE6255" s="152"/>
      <c r="BF6255" s="152"/>
      <c r="BG6255" s="152"/>
      <c r="BH6255" s="152"/>
      <c r="BI6255" s="153"/>
      <c r="BJ6255" s="153"/>
      <c r="BK6255" s="153"/>
      <c r="BL6255" s="153"/>
      <c r="BM6255" s="153"/>
      <c r="BN6255" s="153"/>
      <c r="BO6255" s="153"/>
      <c r="BP6255" s="153"/>
      <c r="BQ6255" s="153"/>
      <c r="BR6255" s="153"/>
      <c r="BS6255" s="153"/>
      <c r="BT6255" s="153"/>
      <c r="BU6255" s="153"/>
      <c r="BV6255" s="153"/>
      <c r="BW6255" s="153"/>
      <c r="BX6255" s="153"/>
      <c r="BY6255" s="153"/>
      <c r="BZ6255" s="153"/>
      <c r="CA6255" s="152"/>
      <c r="CB6255" s="152"/>
    </row>
    <row r="6256" spans="1:80" s="87" customFormat="1" x14ac:dyDescent="0.2">
      <c r="A6256" s="152"/>
      <c r="B6256" s="683"/>
      <c r="C6256" s="683"/>
      <c r="D6256" s="698"/>
      <c r="E6256" s="215"/>
      <c r="F6256" s="215"/>
      <c r="G6256" s="153"/>
      <c r="H6256" s="153"/>
      <c r="I6256" s="153"/>
      <c r="J6256" s="153"/>
      <c r="K6256" s="153"/>
      <c r="L6256" s="653"/>
      <c r="M6256" s="663" t="s">
        <v>898</v>
      </c>
      <c r="N6256" s="600">
        <v>2.6051498872000001</v>
      </c>
      <c r="O6256" s="604">
        <v>0.134444444552</v>
      </c>
      <c r="P6256" s="250"/>
      <c r="Q6256" s="250"/>
      <c r="R6256" s="250"/>
      <c r="S6256" s="250"/>
      <c r="T6256" s="250"/>
      <c r="U6256" s="250"/>
      <c r="V6256" s="742"/>
      <c r="W6256" s="747"/>
      <c r="X6256" s="743"/>
      <c r="Y6256" s="246"/>
      <c r="Z6256" s="245"/>
      <c r="AA6256" s="223">
        <v>17</v>
      </c>
      <c r="AB6256" s="295">
        <v>11</v>
      </c>
      <c r="AC6256" s="230">
        <v>9.7000000000000003E-3</v>
      </c>
      <c r="AD6256" s="223"/>
      <c r="AE6256" s="223"/>
      <c r="AF6256" s="223"/>
      <c r="AG6256" s="223"/>
      <c r="AH6256" s="341"/>
      <c r="AI6256" s="153"/>
      <c r="AJ6256" s="480"/>
      <c r="AK6256" s="153"/>
      <c r="AL6256" s="152"/>
      <c r="AM6256" s="152"/>
      <c r="AN6256" s="152"/>
      <c r="AO6256" s="152"/>
      <c r="AP6256" s="152"/>
      <c r="AQ6256" s="152"/>
      <c r="AR6256" s="152"/>
      <c r="AS6256" s="152"/>
      <c r="AT6256" s="152"/>
      <c r="AU6256" s="153"/>
      <c r="AV6256" s="479"/>
      <c r="AW6256" s="479"/>
      <c r="AX6256" s="442"/>
      <c r="AY6256" s="153"/>
      <c r="AZ6256" s="152"/>
      <c r="BA6256" s="152"/>
      <c r="BB6256" s="152"/>
      <c r="BC6256" s="152"/>
      <c r="BD6256" s="152"/>
      <c r="BE6256" s="152"/>
      <c r="BF6256" s="152"/>
      <c r="BG6256" s="152"/>
      <c r="BH6256" s="152"/>
      <c r="BI6256" s="153"/>
      <c r="BJ6256" s="153"/>
      <c r="BK6256" s="153"/>
      <c r="BL6256" s="153"/>
      <c r="BM6256" s="153"/>
      <c r="BN6256" s="153"/>
      <c r="BO6256" s="153"/>
      <c r="BP6256" s="153"/>
      <c r="BQ6256" s="153"/>
      <c r="BR6256" s="153"/>
      <c r="BS6256" s="153"/>
      <c r="BT6256" s="153"/>
      <c r="BU6256" s="153"/>
      <c r="BV6256" s="153"/>
      <c r="BW6256" s="153"/>
      <c r="BX6256" s="153"/>
      <c r="BY6256" s="153"/>
      <c r="BZ6256" s="153"/>
      <c r="CA6256" s="152"/>
      <c r="CB6256" s="152"/>
    </row>
    <row r="6257" spans="1:80" s="87" customFormat="1" x14ac:dyDescent="0.2">
      <c r="A6257" s="152"/>
      <c r="B6257" s="683"/>
      <c r="C6257" s="683"/>
      <c r="D6257" s="698"/>
      <c r="E6257" s="215"/>
      <c r="F6257" s="215"/>
      <c r="G6257" s="153"/>
      <c r="H6257" s="153"/>
      <c r="I6257" s="153"/>
      <c r="J6257" s="153"/>
      <c r="K6257" s="153"/>
      <c r="L6257" s="653"/>
      <c r="M6257" s="663" t="s">
        <v>898</v>
      </c>
      <c r="N6257" s="600">
        <v>2.6334667338000002</v>
      </c>
      <c r="O6257" s="604">
        <v>0.10888888897599999</v>
      </c>
      <c r="P6257" s="250"/>
      <c r="Q6257" s="250"/>
      <c r="R6257" s="250"/>
      <c r="S6257" s="250"/>
      <c r="T6257" s="250"/>
      <c r="U6257" s="250"/>
      <c r="V6257" s="742"/>
      <c r="W6257" s="747"/>
      <c r="X6257" s="743"/>
      <c r="Y6257" s="246"/>
      <c r="Z6257" s="245"/>
      <c r="AA6257" s="223">
        <v>19</v>
      </c>
      <c r="AB6257" s="295">
        <v>12</v>
      </c>
      <c r="AC6257" s="230">
        <v>9.7000000000000003E-3</v>
      </c>
      <c r="AD6257" s="223"/>
      <c r="AE6257" s="223"/>
      <c r="AF6257" s="223"/>
      <c r="AG6257" s="223"/>
      <c r="AH6257" s="341"/>
      <c r="AI6257" s="153"/>
      <c r="AJ6257" s="480"/>
      <c r="AK6257" s="153"/>
      <c r="AL6257" s="152"/>
      <c r="AM6257" s="152"/>
      <c r="AN6257" s="152"/>
      <c r="AO6257" s="152"/>
      <c r="AP6257" s="152"/>
      <c r="AQ6257" s="152"/>
      <c r="AR6257" s="152"/>
      <c r="AS6257" s="152"/>
      <c r="AT6257" s="152"/>
      <c r="AU6257" s="153"/>
      <c r="AV6257" s="479"/>
      <c r="AW6257" s="479"/>
      <c r="AX6257" s="442"/>
      <c r="AY6257" s="153"/>
      <c r="AZ6257" s="152"/>
      <c r="BA6257" s="152"/>
      <c r="BB6257" s="152"/>
      <c r="BC6257" s="152"/>
      <c r="BD6257" s="152"/>
      <c r="BE6257" s="152"/>
      <c r="BF6257" s="152"/>
      <c r="BG6257" s="152"/>
      <c r="BH6257" s="152"/>
      <c r="BI6257" s="153"/>
      <c r="BJ6257" s="153"/>
      <c r="BK6257" s="153"/>
      <c r="BL6257" s="153"/>
      <c r="BM6257" s="153"/>
      <c r="BN6257" s="153"/>
      <c r="BO6257" s="153"/>
      <c r="BP6257" s="153"/>
      <c r="BQ6257" s="153"/>
      <c r="BR6257" s="153"/>
      <c r="BS6257" s="153"/>
      <c r="BT6257" s="153"/>
      <c r="BU6257" s="153"/>
      <c r="BV6257" s="153"/>
      <c r="BW6257" s="153"/>
      <c r="BX6257" s="153"/>
      <c r="BY6257" s="153"/>
      <c r="BZ6257" s="153"/>
      <c r="CA6257" s="152"/>
      <c r="CB6257" s="152"/>
    </row>
    <row r="6258" spans="1:80" s="87" customFormat="1" x14ac:dyDescent="0.2">
      <c r="A6258" s="152"/>
      <c r="B6258" s="683"/>
      <c r="C6258" s="683"/>
      <c r="D6258" s="698"/>
      <c r="E6258" s="215"/>
      <c r="F6258" s="215"/>
      <c r="G6258" s="153"/>
      <c r="H6258" s="153"/>
      <c r="I6258" s="153"/>
      <c r="J6258" s="153"/>
      <c r="K6258" s="153"/>
      <c r="L6258" s="653"/>
      <c r="M6258" s="663">
        <v>25949</v>
      </c>
      <c r="N6258" s="600">
        <v>2.8316846600000001</v>
      </c>
      <c r="O6258" s="604">
        <v>0.10694444452999999</v>
      </c>
      <c r="P6258" s="250">
        <v>0.1</v>
      </c>
      <c r="Q6258" s="250">
        <v>0.3</v>
      </c>
      <c r="R6258" s="250">
        <v>0.28000000000000003</v>
      </c>
      <c r="S6258" s="250">
        <v>0.1</v>
      </c>
      <c r="T6258" s="250">
        <v>0.08</v>
      </c>
      <c r="U6258" s="250">
        <v>7.0000000000000007E-2</v>
      </c>
      <c r="V6258" s="742">
        <v>7.0000000000000007E-2</v>
      </c>
      <c r="W6258" s="747"/>
      <c r="X6258" s="743"/>
      <c r="Y6258" s="246"/>
      <c r="Z6258" s="245"/>
      <c r="AA6258" s="223">
        <v>26</v>
      </c>
      <c r="AB6258" s="295">
        <v>13</v>
      </c>
      <c r="AC6258" s="230">
        <v>9.7999999999999997E-3</v>
      </c>
      <c r="AD6258" s="223">
        <v>3.7</v>
      </c>
      <c r="AE6258" s="223">
        <v>0.42</v>
      </c>
      <c r="AF6258" s="223">
        <f>AD6258*AE6258</f>
        <v>1.554</v>
      </c>
      <c r="AG6258" s="223">
        <f>N6258/AF6258</f>
        <v>1.822190900900901</v>
      </c>
      <c r="AH6258" s="341"/>
      <c r="AI6258" s="153"/>
      <c r="AJ6258" s="480"/>
      <c r="AK6258" s="153"/>
      <c r="AL6258" s="152"/>
      <c r="AM6258" s="152"/>
      <c r="AN6258" s="152"/>
      <c r="AO6258" s="152"/>
      <c r="AP6258" s="152"/>
      <c r="AQ6258" s="152"/>
      <c r="AR6258" s="152"/>
      <c r="AS6258" s="152"/>
      <c r="AT6258" s="152"/>
      <c r="AU6258" s="153"/>
      <c r="AV6258" s="479"/>
      <c r="AW6258" s="479"/>
      <c r="AX6258" s="442"/>
      <c r="AY6258" s="153"/>
      <c r="AZ6258" s="152"/>
      <c r="BA6258" s="152"/>
      <c r="BB6258" s="152"/>
      <c r="BC6258" s="152"/>
      <c r="BD6258" s="152"/>
      <c r="BE6258" s="152"/>
      <c r="BF6258" s="152"/>
      <c r="BG6258" s="152"/>
      <c r="BH6258" s="152"/>
      <c r="BI6258" s="153"/>
      <c r="BJ6258" s="153"/>
      <c r="BK6258" s="153"/>
      <c r="BL6258" s="153"/>
      <c r="BM6258" s="153"/>
      <c r="BN6258" s="153"/>
      <c r="BO6258" s="153"/>
      <c r="BP6258" s="153"/>
      <c r="BQ6258" s="153"/>
      <c r="BR6258" s="153"/>
      <c r="BS6258" s="153"/>
      <c r="BT6258" s="153"/>
      <c r="BU6258" s="153"/>
      <c r="BV6258" s="153"/>
      <c r="BW6258" s="153"/>
      <c r="BX6258" s="153"/>
      <c r="BY6258" s="153"/>
      <c r="BZ6258" s="153"/>
      <c r="CA6258" s="152"/>
      <c r="CB6258" s="152"/>
    </row>
    <row r="6259" spans="1:80" s="87" customFormat="1" x14ac:dyDescent="0.2">
      <c r="A6259" s="152"/>
      <c r="B6259" s="683"/>
      <c r="C6259" s="683"/>
      <c r="D6259" s="698"/>
      <c r="E6259" s="215"/>
      <c r="F6259" s="215"/>
      <c r="G6259" s="153"/>
      <c r="H6259" s="153"/>
      <c r="I6259" s="153"/>
      <c r="J6259" s="153"/>
      <c r="K6259" s="153"/>
      <c r="L6259" s="653"/>
      <c r="M6259" s="663" t="s">
        <v>898</v>
      </c>
      <c r="N6259" s="600">
        <v>3.3980215920000001</v>
      </c>
      <c r="O6259" s="604">
        <v>0.37833333363599997</v>
      </c>
      <c r="P6259" s="250"/>
      <c r="Q6259" s="250"/>
      <c r="R6259" s="250"/>
      <c r="S6259" s="250"/>
      <c r="T6259" s="250"/>
      <c r="U6259" s="250"/>
      <c r="V6259" s="742"/>
      <c r="W6259" s="747"/>
      <c r="X6259" s="743"/>
      <c r="Y6259" s="246"/>
      <c r="Z6259" s="245"/>
      <c r="AA6259" s="223">
        <v>24</v>
      </c>
      <c r="AB6259" s="295">
        <v>14</v>
      </c>
      <c r="AC6259" s="230">
        <v>9.9000000000000008E-3</v>
      </c>
      <c r="AD6259" s="223"/>
      <c r="AE6259" s="223"/>
      <c r="AF6259" s="223"/>
      <c r="AG6259" s="223"/>
      <c r="AH6259" s="341"/>
      <c r="AI6259" s="153"/>
      <c r="AJ6259" s="480"/>
      <c r="AK6259" s="153"/>
      <c r="AL6259" s="152"/>
      <c r="AM6259" s="152"/>
      <c r="AN6259" s="152"/>
      <c r="AO6259" s="152"/>
      <c r="AP6259" s="152"/>
      <c r="AQ6259" s="152"/>
      <c r="AR6259" s="152"/>
      <c r="AS6259" s="152"/>
      <c r="AT6259" s="152"/>
      <c r="AU6259" s="153"/>
      <c r="AV6259" s="479"/>
      <c r="AW6259" s="479"/>
      <c r="AX6259" s="442"/>
      <c r="AY6259" s="153"/>
      <c r="AZ6259" s="152"/>
      <c r="BA6259" s="152"/>
      <c r="BB6259" s="152"/>
      <c r="BC6259" s="152"/>
      <c r="BD6259" s="152"/>
      <c r="BE6259" s="152"/>
      <c r="BF6259" s="152"/>
      <c r="BG6259" s="152"/>
      <c r="BH6259" s="152"/>
      <c r="BI6259" s="153"/>
      <c r="BJ6259" s="153"/>
      <c r="BK6259" s="153"/>
      <c r="BL6259" s="153"/>
      <c r="BM6259" s="153"/>
      <c r="BN6259" s="153"/>
      <c r="BO6259" s="153"/>
      <c r="BP6259" s="153"/>
      <c r="BQ6259" s="153"/>
      <c r="BR6259" s="153"/>
      <c r="BS6259" s="153"/>
      <c r="BT6259" s="153"/>
      <c r="BU6259" s="153"/>
      <c r="BV6259" s="153"/>
      <c r="BW6259" s="153"/>
      <c r="BX6259" s="153"/>
      <c r="BY6259" s="153"/>
      <c r="BZ6259" s="153"/>
      <c r="CA6259" s="152"/>
      <c r="CB6259" s="152"/>
    </row>
    <row r="6260" spans="1:80" s="87" customFormat="1" x14ac:dyDescent="0.2">
      <c r="A6260" s="152"/>
      <c r="B6260" s="683"/>
      <c r="C6260" s="683"/>
      <c r="D6260" s="698"/>
      <c r="E6260" s="215"/>
      <c r="F6260" s="215"/>
      <c r="G6260" s="153"/>
      <c r="H6260" s="153"/>
      <c r="I6260" s="153"/>
      <c r="J6260" s="153"/>
      <c r="K6260" s="153"/>
      <c r="L6260" s="653"/>
      <c r="M6260" s="663">
        <v>25951</v>
      </c>
      <c r="N6260" s="600">
        <v>1.8972287221999999</v>
      </c>
      <c r="O6260" s="604">
        <v>2.8055555577999998E-2</v>
      </c>
      <c r="P6260" s="250">
        <v>0.02</v>
      </c>
      <c r="Q6260" s="250">
        <v>0.12</v>
      </c>
      <c r="R6260" s="250">
        <v>0.3</v>
      </c>
      <c r="S6260" s="250">
        <v>0.18</v>
      </c>
      <c r="T6260" s="250">
        <v>0.13</v>
      </c>
      <c r="U6260" s="250">
        <v>0.11</v>
      </c>
      <c r="V6260" s="742">
        <v>0.14000000000000001</v>
      </c>
      <c r="W6260" s="747"/>
      <c r="X6260" s="743"/>
      <c r="Y6260" s="246"/>
      <c r="Z6260" s="245"/>
      <c r="AA6260" s="223">
        <v>13</v>
      </c>
      <c r="AB6260" s="296" t="s">
        <v>221</v>
      </c>
      <c r="AC6260" s="230">
        <v>0.01</v>
      </c>
      <c r="AD6260" s="223">
        <v>3.7</v>
      </c>
      <c r="AE6260" s="223">
        <v>0.34</v>
      </c>
      <c r="AF6260" s="223">
        <f>AD6260*AE6260</f>
        <v>1.2580000000000002</v>
      </c>
      <c r="AG6260" s="223">
        <f>N6260/AF6260</f>
        <v>1.5081309397456277</v>
      </c>
      <c r="AH6260" s="341"/>
      <c r="AI6260" s="153"/>
      <c r="AJ6260" s="480"/>
      <c r="AK6260" s="153"/>
      <c r="AL6260" s="152"/>
      <c r="AM6260" s="152"/>
      <c r="AN6260" s="152"/>
      <c r="AO6260" s="152"/>
      <c r="AP6260" s="152"/>
      <c r="AQ6260" s="152"/>
      <c r="AR6260" s="152"/>
      <c r="AS6260" s="152"/>
      <c r="AT6260" s="152"/>
      <c r="AU6260" s="153"/>
      <c r="AV6260" s="479"/>
      <c r="AW6260" s="479"/>
      <c r="AX6260" s="442"/>
      <c r="AY6260" s="153"/>
      <c r="AZ6260" s="152"/>
      <c r="BA6260" s="152"/>
      <c r="BB6260" s="152"/>
      <c r="BC6260" s="152"/>
      <c r="BD6260" s="152"/>
      <c r="BE6260" s="152"/>
      <c r="BF6260" s="152"/>
      <c r="BG6260" s="152"/>
      <c r="BH6260" s="152"/>
      <c r="BI6260" s="153"/>
      <c r="BJ6260" s="153"/>
      <c r="BK6260" s="153"/>
      <c r="BL6260" s="153"/>
      <c r="BM6260" s="153"/>
      <c r="BN6260" s="153"/>
      <c r="BO6260" s="153"/>
      <c r="BP6260" s="153"/>
      <c r="BQ6260" s="153"/>
      <c r="BR6260" s="153"/>
      <c r="BS6260" s="153"/>
      <c r="BT6260" s="153"/>
      <c r="BU6260" s="153"/>
      <c r="BV6260" s="153"/>
      <c r="BW6260" s="153"/>
      <c r="BX6260" s="153"/>
      <c r="BY6260" s="153"/>
      <c r="BZ6260" s="153"/>
      <c r="CA6260" s="152"/>
      <c r="CB6260" s="152"/>
    </row>
    <row r="6261" spans="1:80" s="87" customFormat="1" x14ac:dyDescent="0.2">
      <c r="A6261" s="152"/>
      <c r="B6261" s="683"/>
      <c r="C6261" s="683"/>
      <c r="D6261" s="698"/>
      <c r="E6261" s="215"/>
      <c r="F6261" s="215"/>
      <c r="G6261" s="153"/>
      <c r="H6261" s="153"/>
      <c r="I6261" s="153"/>
      <c r="J6261" s="153"/>
      <c r="K6261" s="153"/>
      <c r="L6261" s="653"/>
      <c r="M6261" s="663" t="s">
        <v>898</v>
      </c>
      <c r="N6261" s="600">
        <v>1.8122781824</v>
      </c>
      <c r="O6261" s="604">
        <v>2.5277777797999997E-2</v>
      </c>
      <c r="P6261" s="250"/>
      <c r="Q6261" s="250"/>
      <c r="R6261" s="250"/>
      <c r="S6261" s="250"/>
      <c r="T6261" s="250"/>
      <c r="U6261" s="250"/>
      <c r="V6261" s="742"/>
      <c r="W6261" s="747"/>
      <c r="X6261" s="743"/>
      <c r="Y6261" s="246"/>
      <c r="Z6261" s="245"/>
      <c r="AA6261" s="223">
        <v>8.1999999999999993</v>
      </c>
      <c r="AB6261" s="295">
        <v>16</v>
      </c>
      <c r="AC6261" s="230">
        <v>0.01</v>
      </c>
      <c r="AD6261" s="223"/>
      <c r="AE6261" s="223"/>
      <c r="AF6261" s="223"/>
      <c r="AG6261" s="223"/>
      <c r="AH6261" s="341"/>
      <c r="AI6261" s="153"/>
      <c r="AJ6261" s="480"/>
      <c r="AK6261" s="153"/>
      <c r="AL6261" s="152"/>
      <c r="AM6261" s="152"/>
      <c r="AN6261" s="152"/>
      <c r="AO6261" s="152"/>
      <c r="AP6261" s="152"/>
      <c r="AQ6261" s="152"/>
      <c r="AR6261" s="152"/>
      <c r="AS6261" s="152"/>
      <c r="AT6261" s="152"/>
      <c r="AU6261" s="153"/>
      <c r="AV6261" s="479"/>
      <c r="AW6261" s="479"/>
      <c r="AX6261" s="442"/>
      <c r="AY6261" s="153"/>
      <c r="AZ6261" s="152"/>
      <c r="BA6261" s="152"/>
      <c r="BB6261" s="152"/>
      <c r="BC6261" s="152"/>
      <c r="BD6261" s="152"/>
      <c r="BE6261" s="152"/>
      <c r="BF6261" s="152"/>
      <c r="BG6261" s="152"/>
      <c r="BH6261" s="152"/>
      <c r="BI6261" s="153"/>
      <c r="BJ6261" s="153"/>
      <c r="BK6261" s="153"/>
      <c r="BL6261" s="153"/>
      <c r="BM6261" s="153"/>
      <c r="BN6261" s="153"/>
      <c r="BO6261" s="153"/>
      <c r="BP6261" s="153"/>
      <c r="BQ6261" s="153"/>
      <c r="BR6261" s="153"/>
      <c r="BS6261" s="153"/>
      <c r="BT6261" s="153"/>
      <c r="BU6261" s="153"/>
      <c r="BV6261" s="153"/>
      <c r="BW6261" s="153"/>
      <c r="BX6261" s="153"/>
      <c r="BY6261" s="153"/>
      <c r="BZ6261" s="153"/>
      <c r="CA6261" s="152"/>
      <c r="CB6261" s="152"/>
    </row>
    <row r="6262" spans="1:80" s="87" customFormat="1" x14ac:dyDescent="0.2">
      <c r="A6262" s="152"/>
      <c r="B6262" s="683"/>
      <c r="C6262" s="683"/>
      <c r="D6262" s="698"/>
      <c r="E6262" s="215"/>
      <c r="F6262" s="215"/>
      <c r="G6262" s="153"/>
      <c r="H6262" s="153"/>
      <c r="I6262" s="153"/>
      <c r="J6262" s="153"/>
      <c r="K6262" s="153"/>
      <c r="L6262" s="653"/>
      <c r="M6262" s="663">
        <v>25953</v>
      </c>
      <c r="N6262" s="600">
        <v>0.90613909120000002</v>
      </c>
      <c r="O6262" s="604">
        <v>6.6944444497999995E-4</v>
      </c>
      <c r="P6262" s="250">
        <v>0</v>
      </c>
      <c r="Q6262" s="250">
        <v>0.01</v>
      </c>
      <c r="R6262" s="250">
        <v>0.15</v>
      </c>
      <c r="S6262" s="250">
        <v>0.13</v>
      </c>
      <c r="T6262" s="250">
        <v>0.15</v>
      </c>
      <c r="U6262" s="250">
        <v>0.2</v>
      </c>
      <c r="V6262" s="742">
        <v>0.36</v>
      </c>
      <c r="W6262" s="747"/>
      <c r="X6262" s="743"/>
      <c r="Y6262" s="246"/>
      <c r="Z6262" s="245"/>
      <c r="AA6262" s="223">
        <v>3.3000000000000003</v>
      </c>
      <c r="AB6262" s="296" t="s">
        <v>221</v>
      </c>
      <c r="AC6262" s="230">
        <v>9.7999999999999997E-3</v>
      </c>
      <c r="AD6262" s="223">
        <v>3.7</v>
      </c>
      <c r="AE6262" s="223">
        <v>0.24</v>
      </c>
      <c r="AF6262" s="223">
        <f>AD6262*AE6262</f>
        <v>0.88800000000000001</v>
      </c>
      <c r="AG6262" s="223">
        <f>N6262/AF6262</f>
        <v>1.0204269045045045</v>
      </c>
      <c r="AH6262" s="341"/>
      <c r="AI6262" s="153"/>
      <c r="AJ6262" s="480"/>
      <c r="AK6262" s="153"/>
      <c r="AL6262" s="152"/>
      <c r="AM6262" s="152"/>
      <c r="AN6262" s="152"/>
      <c r="AO6262" s="152"/>
      <c r="AP6262" s="152"/>
      <c r="AQ6262" s="152"/>
      <c r="AR6262" s="152"/>
      <c r="AS6262" s="152"/>
      <c r="AT6262" s="152"/>
      <c r="AU6262" s="153"/>
      <c r="AV6262" s="479"/>
      <c r="AW6262" s="479"/>
      <c r="AX6262" s="442"/>
      <c r="AY6262" s="153"/>
      <c r="AZ6262" s="152"/>
      <c r="BA6262" s="152"/>
      <c r="BB6262" s="152"/>
      <c r="BC6262" s="152"/>
      <c r="BD6262" s="152"/>
      <c r="BE6262" s="152"/>
      <c r="BF6262" s="152"/>
      <c r="BG6262" s="152"/>
      <c r="BH6262" s="152"/>
      <c r="BI6262" s="153"/>
      <c r="BJ6262" s="153"/>
      <c r="BK6262" s="153"/>
      <c r="BL6262" s="153"/>
      <c r="BM6262" s="153"/>
      <c r="BN6262" s="153"/>
      <c r="BO6262" s="153"/>
      <c r="BP6262" s="153"/>
      <c r="BQ6262" s="153"/>
      <c r="BR6262" s="153"/>
      <c r="BS6262" s="153"/>
      <c r="BT6262" s="153"/>
      <c r="BU6262" s="153"/>
      <c r="BV6262" s="153"/>
      <c r="BW6262" s="153"/>
      <c r="BX6262" s="153"/>
      <c r="BY6262" s="153"/>
      <c r="BZ6262" s="153"/>
      <c r="CA6262" s="152"/>
      <c r="CB6262" s="152"/>
    </row>
    <row r="6263" spans="1:80" s="87" customFormat="1" x14ac:dyDescent="0.2">
      <c r="A6263" s="152"/>
      <c r="B6263" s="683"/>
      <c r="C6263" s="683"/>
      <c r="D6263" s="698"/>
      <c r="E6263" s="215"/>
      <c r="F6263" s="215"/>
      <c r="G6263" s="153"/>
      <c r="H6263" s="153"/>
      <c r="I6263" s="153"/>
      <c r="J6263" s="153"/>
      <c r="K6263" s="153"/>
      <c r="L6263" s="653"/>
      <c r="M6263" s="663" t="s">
        <v>898</v>
      </c>
      <c r="N6263" s="600">
        <v>0.73623801160000002</v>
      </c>
      <c r="O6263" s="604">
        <v>1.0833333341999999E-4</v>
      </c>
      <c r="P6263" s="250"/>
      <c r="Q6263" s="250"/>
      <c r="R6263" s="250"/>
      <c r="S6263" s="250"/>
      <c r="T6263" s="250"/>
      <c r="U6263" s="250"/>
      <c r="V6263" s="742"/>
      <c r="W6263" s="747"/>
      <c r="X6263" s="743"/>
      <c r="Y6263" s="246"/>
      <c r="Z6263" s="245"/>
      <c r="AA6263" s="223">
        <v>1.9</v>
      </c>
      <c r="AB6263" s="295">
        <v>18</v>
      </c>
      <c r="AC6263" s="230">
        <v>9.7000000000000003E-3</v>
      </c>
      <c r="AD6263" s="223"/>
      <c r="AE6263" s="223"/>
      <c r="AF6263" s="223"/>
      <c r="AG6263" s="223"/>
      <c r="AH6263" s="341"/>
      <c r="AI6263" s="153"/>
      <c r="AJ6263" s="480"/>
      <c r="AK6263" s="153"/>
      <c r="AL6263" s="152"/>
      <c r="AM6263" s="152"/>
      <c r="AN6263" s="152"/>
      <c r="AO6263" s="152"/>
      <c r="AP6263" s="152"/>
      <c r="AQ6263" s="152"/>
      <c r="AR6263" s="152"/>
      <c r="AS6263" s="152"/>
      <c r="AT6263" s="152"/>
      <c r="AU6263" s="153"/>
      <c r="AV6263" s="479"/>
      <c r="AW6263" s="479"/>
      <c r="AX6263" s="442"/>
      <c r="AY6263" s="153"/>
      <c r="AZ6263" s="152"/>
      <c r="BA6263" s="152"/>
      <c r="BB6263" s="152"/>
      <c r="BC6263" s="152"/>
      <c r="BD6263" s="152"/>
      <c r="BE6263" s="152"/>
      <c r="BF6263" s="152"/>
      <c r="BG6263" s="152"/>
      <c r="BH6263" s="152"/>
      <c r="BI6263" s="153"/>
      <c r="BJ6263" s="153"/>
      <c r="BK6263" s="153"/>
      <c r="BL6263" s="153"/>
      <c r="BM6263" s="153"/>
      <c r="BN6263" s="153"/>
      <c r="BO6263" s="153"/>
      <c r="BP6263" s="153"/>
      <c r="BQ6263" s="153"/>
      <c r="BR6263" s="153"/>
      <c r="BS6263" s="153"/>
      <c r="BT6263" s="153"/>
      <c r="BU6263" s="153"/>
      <c r="BV6263" s="153"/>
      <c r="BW6263" s="153"/>
      <c r="BX6263" s="153"/>
      <c r="BY6263" s="153"/>
      <c r="BZ6263" s="153"/>
      <c r="CA6263" s="152"/>
      <c r="CB6263" s="152"/>
    </row>
    <row r="6264" spans="1:80" s="87" customFormat="1" x14ac:dyDescent="0.2">
      <c r="A6264" s="152"/>
      <c r="B6264" s="683"/>
      <c r="C6264" s="683"/>
      <c r="D6264" s="698"/>
      <c r="E6264" s="215"/>
      <c r="F6264" s="215"/>
      <c r="G6264" s="153"/>
      <c r="H6264" s="153"/>
      <c r="I6264" s="153"/>
      <c r="J6264" s="153"/>
      <c r="K6264" s="153"/>
      <c r="L6264" s="653"/>
      <c r="M6264" s="663">
        <v>25954</v>
      </c>
      <c r="N6264" s="600">
        <v>0.76455485820000002</v>
      </c>
      <c r="O6264" s="604">
        <v>9.1666666740000002E-5</v>
      </c>
      <c r="P6264" s="250">
        <v>0</v>
      </c>
      <c r="Q6264" s="250">
        <v>0.02</v>
      </c>
      <c r="R6264" s="250">
        <v>0.09</v>
      </c>
      <c r="S6264" s="250">
        <v>0.09</v>
      </c>
      <c r="T6264" s="250">
        <v>0.13</v>
      </c>
      <c r="U6264" s="250">
        <v>0.17</v>
      </c>
      <c r="V6264" s="742">
        <v>0.5</v>
      </c>
      <c r="W6264" s="747"/>
      <c r="X6264" s="743"/>
      <c r="Y6264" s="246"/>
      <c r="Z6264" s="245"/>
      <c r="AA6264" s="223">
        <v>2.1</v>
      </c>
      <c r="AB6264" s="295">
        <v>19</v>
      </c>
      <c r="AC6264" s="230">
        <v>9.7000000000000003E-3</v>
      </c>
      <c r="AD6264" s="223">
        <v>3.7</v>
      </c>
      <c r="AE6264" s="223">
        <v>0.23</v>
      </c>
      <c r="AF6264" s="223">
        <f>AD6264*AE6264</f>
        <v>0.85100000000000009</v>
      </c>
      <c r="AG6264" s="223">
        <f>N6264/AF6264</f>
        <v>0.89841933983548761</v>
      </c>
      <c r="AH6264" s="341"/>
      <c r="AI6264" s="153"/>
      <c r="AJ6264" s="480"/>
      <c r="AK6264" s="153"/>
      <c r="AL6264" s="152"/>
      <c r="AM6264" s="152"/>
      <c r="AN6264" s="152"/>
      <c r="AO6264" s="152"/>
      <c r="AP6264" s="152"/>
      <c r="AQ6264" s="152"/>
      <c r="AR6264" s="152"/>
      <c r="AS6264" s="152"/>
      <c r="AT6264" s="152"/>
      <c r="AU6264" s="153"/>
      <c r="AV6264" s="479"/>
      <c r="AW6264" s="479"/>
      <c r="AX6264" s="442"/>
      <c r="AY6264" s="153"/>
      <c r="AZ6264" s="152"/>
      <c r="BA6264" s="152"/>
      <c r="BB6264" s="152"/>
      <c r="BC6264" s="152"/>
      <c r="BD6264" s="152"/>
      <c r="BE6264" s="152"/>
      <c r="BF6264" s="152"/>
      <c r="BG6264" s="152"/>
      <c r="BH6264" s="152"/>
      <c r="BI6264" s="153"/>
      <c r="BJ6264" s="153"/>
      <c r="BK6264" s="153"/>
      <c r="BL6264" s="153"/>
      <c r="BM6264" s="153"/>
      <c r="BN6264" s="153"/>
      <c r="BO6264" s="153"/>
      <c r="BP6264" s="153"/>
      <c r="BQ6264" s="153"/>
      <c r="BR6264" s="153"/>
      <c r="BS6264" s="153"/>
      <c r="BT6264" s="153"/>
      <c r="BU6264" s="153"/>
      <c r="BV6264" s="153"/>
      <c r="BW6264" s="153"/>
      <c r="BX6264" s="153"/>
      <c r="BY6264" s="153"/>
      <c r="BZ6264" s="153"/>
      <c r="CA6264" s="152"/>
      <c r="CB6264" s="152"/>
    </row>
    <row r="6265" spans="1:80" s="87" customFormat="1" x14ac:dyDescent="0.2">
      <c r="A6265" s="152"/>
      <c r="B6265" s="683"/>
      <c r="C6265" s="683"/>
      <c r="D6265" s="698"/>
      <c r="E6265" s="215"/>
      <c r="F6265" s="215"/>
      <c r="G6265" s="153"/>
      <c r="H6265" s="153"/>
      <c r="I6265" s="153"/>
      <c r="J6265" s="153"/>
      <c r="K6265" s="153"/>
      <c r="L6265" s="653"/>
      <c r="M6265" s="663" t="s">
        <v>898</v>
      </c>
      <c r="N6265" s="600">
        <v>0.67960431840000002</v>
      </c>
      <c r="O6265" s="604">
        <v>3.6111111139999995E-5</v>
      </c>
      <c r="P6265" s="250"/>
      <c r="Q6265" s="250"/>
      <c r="R6265" s="250"/>
      <c r="S6265" s="250"/>
      <c r="T6265" s="250"/>
      <c r="U6265" s="250"/>
      <c r="V6265" s="742"/>
      <c r="W6265" s="747"/>
      <c r="X6265" s="743"/>
      <c r="Y6265" s="246"/>
      <c r="Z6265" s="245"/>
      <c r="AA6265" s="223">
        <v>1.7999999999999998</v>
      </c>
      <c r="AB6265" s="295">
        <v>20</v>
      </c>
      <c r="AC6265" s="230">
        <v>9.7000000000000003E-3</v>
      </c>
      <c r="AD6265" s="223"/>
      <c r="AE6265" s="223"/>
      <c r="AF6265" s="223"/>
      <c r="AG6265" s="223"/>
      <c r="AH6265" s="341"/>
      <c r="AI6265" s="153"/>
      <c r="AJ6265" s="480"/>
      <c r="AK6265" s="153"/>
      <c r="AL6265" s="152"/>
      <c r="AM6265" s="152"/>
      <c r="AN6265" s="152"/>
      <c r="AO6265" s="152"/>
      <c r="AP6265" s="152"/>
      <c r="AQ6265" s="152"/>
      <c r="AR6265" s="152"/>
      <c r="AS6265" s="152"/>
      <c r="AT6265" s="152"/>
      <c r="AU6265" s="153"/>
      <c r="AV6265" s="479"/>
      <c r="AW6265" s="479"/>
      <c r="AX6265" s="442"/>
      <c r="AY6265" s="153"/>
      <c r="AZ6265" s="152"/>
      <c r="BA6265" s="152"/>
      <c r="BB6265" s="152"/>
      <c r="BC6265" s="152"/>
      <c r="BD6265" s="152"/>
      <c r="BE6265" s="152"/>
      <c r="BF6265" s="152"/>
      <c r="BG6265" s="152"/>
      <c r="BH6265" s="152"/>
      <c r="BI6265" s="153"/>
      <c r="BJ6265" s="153"/>
      <c r="BK6265" s="153"/>
      <c r="BL6265" s="153"/>
      <c r="BM6265" s="153"/>
      <c r="BN6265" s="153"/>
      <c r="BO6265" s="153"/>
      <c r="BP6265" s="153"/>
      <c r="BQ6265" s="153"/>
      <c r="BR6265" s="153"/>
      <c r="BS6265" s="153"/>
      <c r="BT6265" s="153"/>
      <c r="BU6265" s="153"/>
      <c r="BV6265" s="153"/>
      <c r="BW6265" s="153"/>
      <c r="BX6265" s="153"/>
      <c r="BY6265" s="153"/>
      <c r="BZ6265" s="153"/>
      <c r="CA6265" s="152"/>
      <c r="CB6265" s="152"/>
    </row>
    <row r="6266" spans="1:80" s="87" customFormat="1" x14ac:dyDescent="0.2">
      <c r="A6266" s="152"/>
      <c r="B6266" s="683"/>
      <c r="C6266" s="683"/>
      <c r="D6266" s="698"/>
      <c r="E6266" s="215"/>
      <c r="F6266" s="215"/>
      <c r="G6266" s="153"/>
      <c r="H6266" s="153"/>
      <c r="I6266" s="153"/>
      <c r="J6266" s="153"/>
      <c r="K6266" s="153"/>
      <c r="L6266" s="653"/>
      <c r="M6266" s="663">
        <v>25956</v>
      </c>
      <c r="N6266" s="600">
        <v>0.70792116500000002</v>
      </c>
      <c r="O6266" s="604">
        <v>6.9444444499999994E-5</v>
      </c>
      <c r="P6266" s="250">
        <v>0</v>
      </c>
      <c r="Q6266" s="250">
        <v>0.03</v>
      </c>
      <c r="R6266" s="250">
        <v>0.06</v>
      </c>
      <c r="S6266" s="250">
        <v>0.09</v>
      </c>
      <c r="T6266" s="250">
        <v>0.11</v>
      </c>
      <c r="U6266" s="250">
        <v>0.17</v>
      </c>
      <c r="V6266" s="742">
        <v>0.54</v>
      </c>
      <c r="W6266" s="747"/>
      <c r="X6266" s="743"/>
      <c r="Y6266" s="246"/>
      <c r="Z6266" s="245"/>
      <c r="AA6266" s="223">
        <v>1.9</v>
      </c>
      <c r="AB6266" s="295">
        <v>21</v>
      </c>
      <c r="AC6266" s="230">
        <v>9.7000000000000003E-3</v>
      </c>
      <c r="AD6266" s="223">
        <v>3.7</v>
      </c>
      <c r="AE6266" s="223">
        <v>0.22</v>
      </c>
      <c r="AF6266" s="223">
        <v>0.48100000000000004</v>
      </c>
      <c r="AG6266" s="223">
        <f>N6266/AF6266</f>
        <v>1.4717695738045737</v>
      </c>
      <c r="AH6266" s="341"/>
      <c r="AI6266" s="153"/>
      <c r="AJ6266" s="480"/>
      <c r="AK6266" s="153"/>
      <c r="AL6266" s="152"/>
      <c r="AM6266" s="152"/>
      <c r="AN6266" s="152"/>
      <c r="AO6266" s="152"/>
      <c r="AP6266" s="152"/>
      <c r="AQ6266" s="152"/>
      <c r="AR6266" s="152"/>
      <c r="AS6266" s="152"/>
      <c r="AT6266" s="152"/>
      <c r="AU6266" s="153"/>
      <c r="AV6266" s="479"/>
      <c r="AW6266" s="479"/>
      <c r="AX6266" s="442"/>
      <c r="AY6266" s="153"/>
      <c r="AZ6266" s="152"/>
      <c r="BA6266" s="152"/>
      <c r="BB6266" s="152"/>
      <c r="BC6266" s="152"/>
      <c r="BD6266" s="152"/>
      <c r="BE6266" s="152"/>
      <c r="BF6266" s="152"/>
      <c r="BG6266" s="152"/>
      <c r="BH6266" s="152"/>
      <c r="BI6266" s="153"/>
      <c r="BJ6266" s="153"/>
      <c r="BK6266" s="153"/>
      <c r="BL6266" s="153"/>
      <c r="BM6266" s="153"/>
      <c r="BN6266" s="153"/>
      <c r="BO6266" s="153"/>
      <c r="BP6266" s="153"/>
      <c r="BQ6266" s="153"/>
      <c r="BR6266" s="153"/>
      <c r="BS6266" s="153"/>
      <c r="BT6266" s="153"/>
      <c r="BU6266" s="153"/>
      <c r="BV6266" s="153"/>
      <c r="BW6266" s="153"/>
      <c r="BX6266" s="153"/>
      <c r="BY6266" s="153"/>
      <c r="BZ6266" s="153"/>
      <c r="CA6266" s="152"/>
      <c r="CB6266" s="152"/>
    </row>
    <row r="6267" spans="1:80" s="87" customFormat="1" x14ac:dyDescent="0.2">
      <c r="A6267" s="152"/>
      <c r="B6267" s="683"/>
      <c r="C6267" s="683"/>
      <c r="D6267" s="698"/>
      <c r="E6267" s="215"/>
      <c r="F6267" s="215"/>
      <c r="G6267" s="153"/>
      <c r="H6267" s="153"/>
      <c r="I6267" s="153"/>
      <c r="J6267" s="153"/>
      <c r="K6267" s="153"/>
      <c r="L6267" s="653"/>
      <c r="M6267" s="663" t="s">
        <v>898</v>
      </c>
      <c r="N6267" s="600">
        <v>0.67960431840000002</v>
      </c>
      <c r="O6267" s="604">
        <v>4.4444444479999996E-5</v>
      </c>
      <c r="P6267" s="250"/>
      <c r="Q6267" s="250"/>
      <c r="R6267" s="250"/>
      <c r="S6267" s="250"/>
      <c r="T6267" s="250"/>
      <c r="U6267" s="250"/>
      <c r="V6267" s="742"/>
      <c r="W6267" s="747"/>
      <c r="X6267" s="743"/>
      <c r="Y6267" s="246"/>
      <c r="Z6267" s="245"/>
      <c r="AA6267" s="223">
        <v>2</v>
      </c>
      <c r="AB6267" s="295">
        <v>22</v>
      </c>
      <c r="AC6267" s="230">
        <v>9.7000000000000003E-3</v>
      </c>
      <c r="AD6267" s="223"/>
      <c r="AE6267" s="223"/>
      <c r="AF6267" s="223"/>
      <c r="AG6267" s="223"/>
      <c r="AH6267" s="341"/>
      <c r="AI6267" s="153"/>
      <c r="AJ6267" s="480"/>
      <c r="AK6267" s="153"/>
      <c r="AL6267" s="152"/>
      <c r="AM6267" s="152"/>
      <c r="AN6267" s="152"/>
      <c r="AO6267" s="152"/>
      <c r="AP6267" s="152"/>
      <c r="AQ6267" s="152"/>
      <c r="AR6267" s="152"/>
      <c r="AS6267" s="152"/>
      <c r="AT6267" s="152"/>
      <c r="AU6267" s="153"/>
      <c r="AV6267" s="479"/>
      <c r="AW6267" s="479"/>
      <c r="AX6267" s="442"/>
      <c r="AY6267" s="153"/>
      <c r="AZ6267" s="152"/>
      <c r="BA6267" s="152"/>
      <c r="BB6267" s="152"/>
      <c r="BC6267" s="152"/>
      <c r="BD6267" s="152"/>
      <c r="BE6267" s="152"/>
      <c r="BF6267" s="152"/>
      <c r="BG6267" s="152"/>
      <c r="BH6267" s="152"/>
      <c r="BI6267" s="153"/>
      <c r="BJ6267" s="153"/>
      <c r="BK6267" s="153"/>
      <c r="BL6267" s="153"/>
      <c r="BM6267" s="153"/>
      <c r="BN6267" s="153"/>
      <c r="BO6267" s="153"/>
      <c r="BP6267" s="153"/>
      <c r="BQ6267" s="153"/>
      <c r="BR6267" s="153"/>
      <c r="BS6267" s="153"/>
      <c r="BT6267" s="153"/>
      <c r="BU6267" s="153"/>
      <c r="BV6267" s="153"/>
      <c r="BW6267" s="153"/>
      <c r="BX6267" s="153"/>
      <c r="BY6267" s="153"/>
      <c r="BZ6267" s="153"/>
      <c r="CA6267" s="152"/>
      <c r="CB6267" s="152"/>
    </row>
    <row r="6268" spans="1:80" s="87" customFormat="1" x14ac:dyDescent="0.2">
      <c r="A6268" s="152"/>
      <c r="B6268" s="683"/>
      <c r="C6268" s="683"/>
      <c r="D6268" s="698"/>
      <c r="E6268" s="215"/>
      <c r="F6268" s="215"/>
      <c r="G6268" s="153"/>
      <c r="H6268" s="153"/>
      <c r="I6268" s="153"/>
      <c r="J6268" s="153"/>
      <c r="K6268" s="153"/>
      <c r="L6268" s="653"/>
      <c r="M6268" s="663" t="s">
        <v>898</v>
      </c>
      <c r="N6268" s="600">
        <v>1.7556444892</v>
      </c>
      <c r="O6268" s="604">
        <v>1.4722222233999998E-2</v>
      </c>
      <c r="P6268" s="250"/>
      <c r="Q6268" s="250"/>
      <c r="R6268" s="250"/>
      <c r="S6268" s="250"/>
      <c r="T6268" s="250"/>
      <c r="U6268" s="250"/>
      <c r="V6268" s="742"/>
      <c r="W6268" s="747"/>
      <c r="X6268" s="743"/>
      <c r="Y6268" s="246"/>
      <c r="Z6268" s="245"/>
      <c r="AA6268" s="223">
        <v>5.5</v>
      </c>
      <c r="AB6268" s="296" t="s">
        <v>221</v>
      </c>
      <c r="AC6268" s="230">
        <v>0.01</v>
      </c>
      <c r="AD6268" s="223"/>
      <c r="AE6268" s="223"/>
      <c r="AF6268" s="223"/>
      <c r="AG6268" s="223"/>
      <c r="AH6268" s="341"/>
      <c r="AI6268" s="153"/>
      <c r="AJ6268" s="480"/>
      <c r="AK6268" s="153"/>
      <c r="AL6268" s="152"/>
      <c r="AM6268" s="152"/>
      <c r="AN6268" s="152"/>
      <c r="AO6268" s="152"/>
      <c r="AP6268" s="152"/>
      <c r="AQ6268" s="152"/>
      <c r="AR6268" s="152"/>
      <c r="AS6268" s="152"/>
      <c r="AT6268" s="152"/>
      <c r="AU6268" s="153"/>
      <c r="AV6268" s="479"/>
      <c r="AW6268" s="479"/>
      <c r="AX6268" s="442"/>
      <c r="AY6268" s="153"/>
      <c r="AZ6268" s="152"/>
      <c r="BA6268" s="152"/>
      <c r="BB6268" s="152"/>
      <c r="BC6268" s="152"/>
      <c r="BD6268" s="152"/>
      <c r="BE6268" s="152"/>
      <c r="BF6268" s="152"/>
      <c r="BG6268" s="152"/>
      <c r="BH6268" s="152"/>
      <c r="BI6268" s="153"/>
      <c r="BJ6268" s="153"/>
      <c r="BK6268" s="153"/>
      <c r="BL6268" s="153"/>
      <c r="BM6268" s="153"/>
      <c r="BN6268" s="153"/>
      <c r="BO6268" s="153"/>
      <c r="BP6268" s="153"/>
      <c r="BQ6268" s="153"/>
      <c r="BR6268" s="153"/>
      <c r="BS6268" s="153"/>
      <c r="BT6268" s="153"/>
      <c r="BU6268" s="153"/>
      <c r="BV6268" s="153"/>
      <c r="BW6268" s="153"/>
      <c r="BX6268" s="153"/>
      <c r="BY6268" s="153"/>
      <c r="BZ6268" s="153"/>
      <c r="CA6268" s="152"/>
      <c r="CB6268" s="152"/>
    </row>
    <row r="6269" spans="1:80" s="87" customFormat="1" x14ac:dyDescent="0.2">
      <c r="A6269" s="152"/>
      <c r="B6269" s="683"/>
      <c r="C6269" s="683"/>
      <c r="D6269" s="698"/>
      <c r="E6269" s="215"/>
      <c r="F6269" s="215"/>
      <c r="G6269" s="153"/>
      <c r="H6269" s="153"/>
      <c r="I6269" s="153"/>
      <c r="J6269" s="153"/>
      <c r="K6269" s="153"/>
      <c r="L6269" s="653"/>
      <c r="M6269" s="663">
        <v>25958</v>
      </c>
      <c r="N6269" s="600">
        <v>1.699010796</v>
      </c>
      <c r="O6269" s="604">
        <v>5.8333333379999991E-3</v>
      </c>
      <c r="P6269" s="250">
        <v>0.01</v>
      </c>
      <c r="Q6269" s="250">
        <v>7.0000000000000007E-2</v>
      </c>
      <c r="R6269" s="250">
        <v>0.14000000000000001</v>
      </c>
      <c r="S6269" s="250">
        <v>0.11</v>
      </c>
      <c r="T6269" s="250">
        <v>0.15</v>
      </c>
      <c r="U6269" s="250">
        <v>0.2</v>
      </c>
      <c r="V6269" s="742">
        <v>0.32</v>
      </c>
      <c r="W6269" s="747"/>
      <c r="X6269" s="743"/>
      <c r="Y6269" s="246"/>
      <c r="Z6269" s="245"/>
      <c r="AA6269" s="223">
        <v>3.8</v>
      </c>
      <c r="AB6269" s="295">
        <v>24</v>
      </c>
      <c r="AC6269" s="230">
        <v>0.01</v>
      </c>
      <c r="AD6269" s="223">
        <v>3.7</v>
      </c>
      <c r="AE6269" s="223">
        <v>0.32</v>
      </c>
      <c r="AF6269" s="223">
        <f t="shared" ref="AF6269:AF6274" si="55">AD6269*AE6269</f>
        <v>1.1840000000000002</v>
      </c>
      <c r="AG6269" s="223">
        <f t="shared" ref="AG6269:AG6274" si="56">N6269/AF6269</f>
        <v>1.4349753344594594</v>
      </c>
      <c r="AH6269" s="341"/>
      <c r="AI6269" s="153"/>
      <c r="AJ6269" s="480"/>
      <c r="AK6269" s="153"/>
      <c r="AL6269" s="152"/>
      <c r="AM6269" s="152"/>
      <c r="AN6269" s="152"/>
      <c r="AO6269" s="152"/>
      <c r="AP6269" s="152"/>
      <c r="AQ6269" s="152"/>
      <c r="AR6269" s="152"/>
      <c r="AS6269" s="152"/>
      <c r="AT6269" s="152"/>
      <c r="AU6269" s="153"/>
      <c r="AV6269" s="479"/>
      <c r="AW6269" s="479"/>
      <c r="AX6269" s="442"/>
      <c r="AY6269" s="153"/>
      <c r="AZ6269" s="152"/>
      <c r="BA6269" s="152"/>
      <c r="BB6269" s="152"/>
      <c r="BC6269" s="152"/>
      <c r="BD6269" s="152"/>
      <c r="BE6269" s="152"/>
      <c r="BF6269" s="152"/>
      <c r="BG6269" s="152"/>
      <c r="BH6269" s="152"/>
      <c r="BI6269" s="153"/>
      <c r="BJ6269" s="153"/>
      <c r="BK6269" s="153"/>
      <c r="BL6269" s="153"/>
      <c r="BM6269" s="153"/>
      <c r="BN6269" s="153"/>
      <c r="BO6269" s="153"/>
      <c r="BP6269" s="153"/>
      <c r="BQ6269" s="153"/>
      <c r="BR6269" s="153"/>
      <c r="BS6269" s="153"/>
      <c r="BT6269" s="153"/>
      <c r="BU6269" s="153"/>
      <c r="BV6269" s="153"/>
      <c r="BW6269" s="153"/>
      <c r="BX6269" s="153"/>
      <c r="BY6269" s="153"/>
      <c r="BZ6269" s="153"/>
      <c r="CA6269" s="152"/>
      <c r="CB6269" s="152"/>
    </row>
    <row r="6270" spans="1:80" s="87" customFormat="1" x14ac:dyDescent="0.2">
      <c r="A6270" s="152"/>
      <c r="B6270" s="683"/>
      <c r="C6270" s="683"/>
      <c r="D6270" s="698"/>
      <c r="E6270" s="215"/>
      <c r="F6270" s="215"/>
      <c r="G6270" s="153"/>
      <c r="H6270" s="153"/>
      <c r="I6270" s="153"/>
      <c r="J6270" s="153"/>
      <c r="K6270" s="153"/>
      <c r="L6270" s="653"/>
      <c r="M6270" s="663">
        <v>25958</v>
      </c>
      <c r="N6270" s="600">
        <v>1.5291097164</v>
      </c>
      <c r="O6270" s="604">
        <v>3.3333333359999995E-3</v>
      </c>
      <c r="P6270" s="250">
        <v>0</v>
      </c>
      <c r="Q6270" s="250">
        <v>0.06</v>
      </c>
      <c r="R6270" s="250">
        <v>0.1</v>
      </c>
      <c r="S6270" s="250">
        <v>0.1</v>
      </c>
      <c r="T6270" s="250">
        <v>0.14000000000000001</v>
      </c>
      <c r="U6270" s="250">
        <v>0.2</v>
      </c>
      <c r="V6270" s="742">
        <v>0.4</v>
      </c>
      <c r="W6270" s="747"/>
      <c r="X6270" s="743"/>
      <c r="Y6270" s="246"/>
      <c r="Z6270" s="245"/>
      <c r="AA6270" s="223">
        <v>2.7</v>
      </c>
      <c r="AB6270" s="295">
        <v>25</v>
      </c>
      <c r="AC6270" s="230">
        <v>0.01</v>
      </c>
      <c r="AD6270" s="223">
        <v>3.7</v>
      </c>
      <c r="AE6270" s="223">
        <v>0.31</v>
      </c>
      <c r="AF6270" s="223">
        <f t="shared" si="55"/>
        <v>1.147</v>
      </c>
      <c r="AG6270" s="223">
        <f t="shared" si="56"/>
        <v>1.3331383752397559</v>
      </c>
      <c r="AH6270" s="341"/>
      <c r="AI6270" s="153"/>
      <c r="AJ6270" s="480"/>
      <c r="AK6270" s="153"/>
      <c r="AL6270" s="152"/>
      <c r="AM6270" s="152"/>
      <c r="AN6270" s="152"/>
      <c r="AO6270" s="152"/>
      <c r="AP6270" s="152"/>
      <c r="AQ6270" s="152"/>
      <c r="AR6270" s="152"/>
      <c r="AS6270" s="152"/>
      <c r="AT6270" s="152"/>
      <c r="AU6270" s="153"/>
      <c r="AV6270" s="479"/>
      <c r="AW6270" s="479"/>
      <c r="AX6270" s="442"/>
      <c r="AY6270" s="153"/>
      <c r="AZ6270" s="152"/>
      <c r="BA6270" s="152"/>
      <c r="BB6270" s="152"/>
      <c r="BC6270" s="152"/>
      <c r="BD6270" s="152"/>
      <c r="BE6270" s="152"/>
      <c r="BF6270" s="152"/>
      <c r="BG6270" s="152"/>
      <c r="BH6270" s="152"/>
      <c r="BI6270" s="153"/>
      <c r="BJ6270" s="153"/>
      <c r="BK6270" s="153"/>
      <c r="BL6270" s="153"/>
      <c r="BM6270" s="153"/>
      <c r="BN6270" s="153"/>
      <c r="BO6270" s="153"/>
      <c r="BP6270" s="153"/>
      <c r="BQ6270" s="153"/>
      <c r="BR6270" s="153"/>
      <c r="BS6270" s="153"/>
      <c r="BT6270" s="153"/>
      <c r="BU6270" s="153"/>
      <c r="BV6270" s="153"/>
      <c r="BW6270" s="153"/>
      <c r="BX6270" s="153"/>
      <c r="BY6270" s="153"/>
      <c r="BZ6270" s="153"/>
      <c r="CA6270" s="152"/>
      <c r="CB6270" s="152"/>
    </row>
    <row r="6271" spans="1:80" s="87" customFormat="1" x14ac:dyDescent="0.2">
      <c r="A6271" s="152"/>
      <c r="B6271" s="683"/>
      <c r="C6271" s="683"/>
      <c r="D6271" s="698"/>
      <c r="E6271" s="215"/>
      <c r="F6271" s="215"/>
      <c r="G6271" s="153"/>
      <c r="H6271" s="153"/>
      <c r="I6271" s="153"/>
      <c r="J6271" s="153"/>
      <c r="K6271" s="153"/>
      <c r="L6271" s="653"/>
      <c r="M6271" s="663">
        <v>25959</v>
      </c>
      <c r="N6271" s="600">
        <v>1.1609907106000001</v>
      </c>
      <c r="O6271" s="604">
        <v>1.0277777785999999E-3</v>
      </c>
      <c r="P6271" s="250">
        <v>0.02</v>
      </c>
      <c r="Q6271" s="250">
        <v>0.03</v>
      </c>
      <c r="R6271" s="250">
        <v>0.05</v>
      </c>
      <c r="S6271" s="250">
        <v>0.06</v>
      </c>
      <c r="T6271" s="250">
        <v>0.12</v>
      </c>
      <c r="U6271" s="250">
        <v>0.21</v>
      </c>
      <c r="V6271" s="742">
        <v>0.51</v>
      </c>
      <c r="W6271" s="747"/>
      <c r="X6271" s="743"/>
      <c r="Y6271" s="246"/>
      <c r="Z6271" s="245"/>
      <c r="AA6271" s="223">
        <v>2</v>
      </c>
      <c r="AB6271" s="295">
        <v>26</v>
      </c>
      <c r="AC6271" s="230">
        <v>9.9000000000000008E-3</v>
      </c>
      <c r="AD6271" s="223">
        <v>3.7</v>
      </c>
      <c r="AE6271" s="223">
        <v>0.27</v>
      </c>
      <c r="AF6271" s="223">
        <f t="shared" si="55"/>
        <v>0.99900000000000011</v>
      </c>
      <c r="AG6271" s="223">
        <f t="shared" si="56"/>
        <v>1.1621528634634635</v>
      </c>
      <c r="AH6271" s="341"/>
      <c r="AI6271" s="153"/>
      <c r="AJ6271" s="480"/>
      <c r="AK6271" s="153"/>
      <c r="AL6271" s="152"/>
      <c r="AM6271" s="152"/>
      <c r="AN6271" s="152"/>
      <c r="AO6271" s="152"/>
      <c r="AP6271" s="152"/>
      <c r="AQ6271" s="152"/>
      <c r="AR6271" s="152"/>
      <c r="AS6271" s="152"/>
      <c r="AT6271" s="152"/>
      <c r="AU6271" s="153"/>
      <c r="AV6271" s="479"/>
      <c r="AW6271" s="479"/>
      <c r="AX6271" s="442"/>
      <c r="AY6271" s="153"/>
      <c r="AZ6271" s="152"/>
      <c r="BA6271" s="152"/>
      <c r="BB6271" s="152"/>
      <c r="BC6271" s="152"/>
      <c r="BD6271" s="152"/>
      <c r="BE6271" s="152"/>
      <c r="BF6271" s="152"/>
      <c r="BG6271" s="152"/>
      <c r="BH6271" s="152"/>
      <c r="BI6271" s="153"/>
      <c r="BJ6271" s="153"/>
      <c r="BK6271" s="153"/>
      <c r="BL6271" s="153"/>
      <c r="BM6271" s="153"/>
      <c r="BN6271" s="153"/>
      <c r="BO6271" s="153"/>
      <c r="BP6271" s="153"/>
      <c r="BQ6271" s="153"/>
      <c r="BR6271" s="153"/>
      <c r="BS6271" s="153"/>
      <c r="BT6271" s="153"/>
      <c r="BU6271" s="153"/>
      <c r="BV6271" s="153"/>
      <c r="BW6271" s="153"/>
      <c r="BX6271" s="153"/>
      <c r="BY6271" s="153"/>
      <c r="BZ6271" s="153"/>
      <c r="CA6271" s="152"/>
      <c r="CB6271" s="152"/>
    </row>
    <row r="6272" spans="1:80" s="87" customFormat="1" x14ac:dyDescent="0.2">
      <c r="A6272" s="152"/>
      <c r="B6272" s="683"/>
      <c r="C6272" s="683"/>
      <c r="D6272" s="698"/>
      <c r="E6272" s="215"/>
      <c r="F6272" s="215"/>
      <c r="G6272" s="153"/>
      <c r="H6272" s="153"/>
      <c r="I6272" s="153"/>
      <c r="J6272" s="153"/>
      <c r="K6272" s="153"/>
      <c r="L6272" s="653"/>
      <c r="M6272" s="663">
        <v>25959</v>
      </c>
      <c r="N6272" s="600">
        <v>0.82118855140000002</v>
      </c>
      <c r="O6272" s="604">
        <v>1.6388888901999998E-4</v>
      </c>
      <c r="P6272" s="250">
        <v>0</v>
      </c>
      <c r="Q6272" s="250">
        <v>0</v>
      </c>
      <c r="R6272" s="250">
        <v>0.04</v>
      </c>
      <c r="S6272" s="250">
        <v>0.03</v>
      </c>
      <c r="T6272" s="250">
        <v>0.09</v>
      </c>
      <c r="U6272" s="250">
        <v>0.2</v>
      </c>
      <c r="V6272" s="742">
        <v>0.64</v>
      </c>
      <c r="W6272" s="747"/>
      <c r="X6272" s="743"/>
      <c r="Y6272" s="246"/>
      <c r="Z6272" s="245"/>
      <c r="AA6272" s="223">
        <v>1.3</v>
      </c>
      <c r="AB6272" s="295">
        <v>27</v>
      </c>
      <c r="AC6272" s="230">
        <v>9.7999999999999997E-3</v>
      </c>
      <c r="AD6272" s="223">
        <v>3.7</v>
      </c>
      <c r="AE6272" s="223">
        <v>0.23</v>
      </c>
      <c r="AF6272" s="223">
        <f t="shared" si="55"/>
        <v>0.85100000000000009</v>
      </c>
      <c r="AG6272" s="223">
        <f t="shared" si="56"/>
        <v>0.96496892056404227</v>
      </c>
      <c r="AH6272" s="341"/>
      <c r="AI6272" s="153"/>
      <c r="AJ6272" s="480"/>
      <c r="AK6272" s="153"/>
      <c r="AL6272" s="152"/>
      <c r="AM6272" s="152"/>
      <c r="AN6272" s="152"/>
      <c r="AO6272" s="152"/>
      <c r="AP6272" s="152"/>
      <c r="AQ6272" s="152"/>
      <c r="AR6272" s="152"/>
      <c r="AS6272" s="152"/>
      <c r="AT6272" s="152"/>
      <c r="AU6272" s="153"/>
      <c r="AV6272" s="479"/>
      <c r="AW6272" s="479"/>
      <c r="AX6272" s="442"/>
      <c r="AY6272" s="153"/>
      <c r="AZ6272" s="152"/>
      <c r="BA6272" s="152"/>
      <c r="BB6272" s="152"/>
      <c r="BC6272" s="152"/>
      <c r="BD6272" s="152"/>
      <c r="BE6272" s="152"/>
      <c r="BF6272" s="152"/>
      <c r="BG6272" s="152"/>
      <c r="BH6272" s="152"/>
      <c r="BI6272" s="153"/>
      <c r="BJ6272" s="153"/>
      <c r="BK6272" s="153"/>
      <c r="BL6272" s="153"/>
      <c r="BM6272" s="153"/>
      <c r="BN6272" s="153"/>
      <c r="BO6272" s="153"/>
      <c r="BP6272" s="153"/>
      <c r="BQ6272" s="153"/>
      <c r="BR6272" s="153"/>
      <c r="BS6272" s="153"/>
      <c r="BT6272" s="153"/>
      <c r="BU6272" s="153"/>
      <c r="BV6272" s="153"/>
      <c r="BW6272" s="153"/>
      <c r="BX6272" s="153"/>
      <c r="BY6272" s="153"/>
      <c r="BZ6272" s="153"/>
      <c r="CA6272" s="152"/>
      <c r="CB6272" s="152"/>
    </row>
    <row r="6273" spans="1:80" s="87" customFormat="1" x14ac:dyDescent="0.2">
      <c r="A6273" s="152"/>
      <c r="B6273" s="683"/>
      <c r="C6273" s="683"/>
      <c r="D6273" s="698"/>
      <c r="E6273" s="215"/>
      <c r="F6273" s="215"/>
      <c r="G6273" s="153"/>
      <c r="H6273" s="153"/>
      <c r="I6273" s="153"/>
      <c r="J6273" s="153"/>
      <c r="K6273" s="153"/>
      <c r="L6273" s="653"/>
      <c r="M6273" s="663">
        <v>25960</v>
      </c>
      <c r="N6273" s="600">
        <v>0.62297062520000002</v>
      </c>
      <c r="O6273" s="604">
        <v>3.6111111139999995E-5</v>
      </c>
      <c r="P6273" s="250">
        <v>0</v>
      </c>
      <c r="Q6273" s="250">
        <v>0</v>
      </c>
      <c r="R6273" s="250">
        <v>0.02</v>
      </c>
      <c r="S6273" s="250">
        <v>0.02</v>
      </c>
      <c r="T6273" s="250">
        <v>0.06</v>
      </c>
      <c r="U6273" s="250">
        <v>0.16</v>
      </c>
      <c r="V6273" s="742">
        <v>0.74</v>
      </c>
      <c r="W6273" s="747"/>
      <c r="X6273" s="743"/>
      <c r="Y6273" s="246"/>
      <c r="Z6273" s="245"/>
      <c r="AA6273" s="223">
        <v>1.3</v>
      </c>
      <c r="AB6273" s="295">
        <v>28</v>
      </c>
      <c r="AC6273" s="230">
        <v>9.7000000000000003E-3</v>
      </c>
      <c r="AD6273" s="223">
        <v>3.7</v>
      </c>
      <c r="AE6273" s="223">
        <v>0.21</v>
      </c>
      <c r="AF6273" s="223">
        <f t="shared" si="55"/>
        <v>0.77700000000000002</v>
      </c>
      <c r="AG6273" s="223">
        <f t="shared" si="56"/>
        <v>0.80176399639639639</v>
      </c>
      <c r="AH6273" s="341"/>
      <c r="AI6273" s="153"/>
      <c r="AJ6273" s="480"/>
      <c r="AK6273" s="153"/>
      <c r="AL6273" s="152"/>
      <c r="AM6273" s="152"/>
      <c r="AN6273" s="152"/>
      <c r="AO6273" s="152"/>
      <c r="AP6273" s="152"/>
      <c r="AQ6273" s="152"/>
      <c r="AR6273" s="152"/>
      <c r="AS6273" s="152"/>
      <c r="AT6273" s="152"/>
      <c r="AU6273" s="153"/>
      <c r="AV6273" s="479"/>
      <c r="AW6273" s="479"/>
      <c r="AX6273" s="442"/>
      <c r="AY6273" s="153"/>
      <c r="AZ6273" s="152"/>
      <c r="BA6273" s="152"/>
      <c r="BB6273" s="152"/>
      <c r="BC6273" s="152"/>
      <c r="BD6273" s="152"/>
      <c r="BE6273" s="152"/>
      <c r="BF6273" s="152"/>
      <c r="BG6273" s="152"/>
      <c r="BH6273" s="152"/>
      <c r="BI6273" s="153"/>
      <c r="BJ6273" s="153"/>
      <c r="BK6273" s="153"/>
      <c r="BL6273" s="153"/>
      <c r="BM6273" s="153"/>
      <c r="BN6273" s="153"/>
      <c r="BO6273" s="153"/>
      <c r="BP6273" s="153"/>
      <c r="BQ6273" s="153"/>
      <c r="BR6273" s="153"/>
      <c r="BS6273" s="153"/>
      <c r="BT6273" s="153"/>
      <c r="BU6273" s="153"/>
      <c r="BV6273" s="153"/>
      <c r="BW6273" s="153"/>
      <c r="BX6273" s="153"/>
      <c r="BY6273" s="153"/>
      <c r="BZ6273" s="153"/>
      <c r="CA6273" s="152"/>
      <c r="CB6273" s="152"/>
    </row>
    <row r="6274" spans="1:80" s="87" customFormat="1" x14ac:dyDescent="0.2">
      <c r="A6274" s="152"/>
      <c r="B6274" s="683"/>
      <c r="C6274" s="683"/>
      <c r="D6274" s="698"/>
      <c r="E6274" s="215"/>
      <c r="F6274" s="215"/>
      <c r="G6274" s="153"/>
      <c r="H6274" s="153"/>
      <c r="I6274" s="153"/>
      <c r="J6274" s="153"/>
      <c r="K6274" s="153"/>
      <c r="L6274" s="653"/>
      <c r="M6274" s="663">
        <v>25961</v>
      </c>
      <c r="N6274" s="600">
        <v>0.45306954560000001</v>
      </c>
      <c r="O6274" s="604">
        <v>1.3333333343999999E-5</v>
      </c>
      <c r="P6274" s="250">
        <v>0</v>
      </c>
      <c r="Q6274" s="250">
        <v>0</v>
      </c>
      <c r="R6274" s="250">
        <v>0.01</v>
      </c>
      <c r="S6274" s="250">
        <v>0.01</v>
      </c>
      <c r="T6274" s="250">
        <v>0.05</v>
      </c>
      <c r="U6274" s="250">
        <v>0.15</v>
      </c>
      <c r="V6274" s="742">
        <v>0.78</v>
      </c>
      <c r="W6274" s="747"/>
      <c r="X6274" s="743"/>
      <c r="Y6274" s="246"/>
      <c r="Z6274" s="245"/>
      <c r="AA6274" s="223">
        <v>1.1000000000000001</v>
      </c>
      <c r="AB6274" s="295">
        <v>29</v>
      </c>
      <c r="AC6274" s="230">
        <v>9.5999999999999992E-3</v>
      </c>
      <c r="AD6274" s="223">
        <v>3.7</v>
      </c>
      <c r="AE6274" s="223">
        <v>0.19</v>
      </c>
      <c r="AF6274" s="223">
        <f t="shared" si="55"/>
        <v>0.70300000000000007</v>
      </c>
      <c r="AG6274" s="223">
        <f t="shared" si="56"/>
        <v>0.64448015021337124</v>
      </c>
      <c r="AH6274" s="341"/>
      <c r="AI6274" s="153"/>
      <c r="AJ6274" s="480"/>
      <c r="AK6274" s="153"/>
      <c r="AL6274" s="152"/>
      <c r="AM6274" s="152"/>
      <c r="AN6274" s="152"/>
      <c r="AO6274" s="152"/>
      <c r="AP6274" s="152"/>
      <c r="AQ6274" s="152"/>
      <c r="AR6274" s="152"/>
      <c r="AS6274" s="152"/>
      <c r="AT6274" s="152"/>
      <c r="AU6274" s="153"/>
      <c r="AV6274" s="479"/>
      <c r="AW6274" s="479"/>
      <c r="AX6274" s="442"/>
      <c r="AY6274" s="153"/>
      <c r="AZ6274" s="152"/>
      <c r="BA6274" s="152"/>
      <c r="BB6274" s="152"/>
      <c r="BC6274" s="152"/>
      <c r="BD6274" s="152"/>
      <c r="BE6274" s="152"/>
      <c r="BF6274" s="152"/>
      <c r="BG6274" s="152"/>
      <c r="BH6274" s="152"/>
      <c r="BI6274" s="153"/>
      <c r="BJ6274" s="153"/>
      <c r="BK6274" s="153"/>
      <c r="BL6274" s="153"/>
      <c r="BM6274" s="153"/>
      <c r="BN6274" s="153"/>
      <c r="BO6274" s="153"/>
      <c r="BP6274" s="153"/>
      <c r="BQ6274" s="153"/>
      <c r="BR6274" s="153"/>
      <c r="BS6274" s="153"/>
      <c r="BT6274" s="153"/>
      <c r="BU6274" s="153"/>
      <c r="BV6274" s="153"/>
      <c r="BW6274" s="153"/>
      <c r="BX6274" s="153"/>
      <c r="BY6274" s="153"/>
      <c r="BZ6274" s="153"/>
      <c r="CA6274" s="152"/>
      <c r="CB6274" s="152"/>
    </row>
    <row r="6275" spans="1:80" s="87" customFormat="1" x14ac:dyDescent="0.2">
      <c r="A6275" s="152"/>
      <c r="B6275" s="683"/>
      <c r="C6275" s="683"/>
      <c r="D6275" s="698"/>
      <c r="E6275" s="215"/>
      <c r="F6275" s="215"/>
      <c r="G6275" s="153"/>
      <c r="H6275" s="153"/>
      <c r="I6275" s="153"/>
      <c r="J6275" s="153"/>
      <c r="K6275" s="153"/>
      <c r="L6275" s="653"/>
      <c r="M6275" s="663" t="s">
        <v>898</v>
      </c>
      <c r="N6275" s="600">
        <v>0.36811900580000001</v>
      </c>
      <c r="O6275" s="604">
        <v>6.1111111159999991E-6</v>
      </c>
      <c r="P6275" s="250"/>
      <c r="Q6275" s="250"/>
      <c r="R6275" s="250"/>
      <c r="S6275" s="250"/>
      <c r="T6275" s="250"/>
      <c r="U6275" s="250"/>
      <c r="V6275" s="742"/>
      <c r="W6275" s="747"/>
      <c r="X6275" s="743"/>
      <c r="Y6275" s="246"/>
      <c r="Z6275" s="245"/>
      <c r="AA6275" s="223">
        <v>0.92999999999999994</v>
      </c>
      <c r="AB6275" s="295">
        <v>30</v>
      </c>
      <c r="AC6275" s="230">
        <v>9.5999999999999992E-3</v>
      </c>
      <c r="AD6275" s="223"/>
      <c r="AE6275" s="223"/>
      <c r="AF6275" s="223"/>
      <c r="AG6275" s="223"/>
      <c r="AH6275" s="341"/>
      <c r="AI6275" s="153"/>
      <c r="AJ6275" s="480"/>
      <c r="AK6275" s="153"/>
      <c r="AL6275" s="152"/>
      <c r="AM6275" s="152"/>
      <c r="AN6275" s="152"/>
      <c r="AO6275" s="152"/>
      <c r="AP6275" s="152"/>
      <c r="AQ6275" s="152"/>
      <c r="AR6275" s="152"/>
      <c r="AS6275" s="152"/>
      <c r="AT6275" s="152"/>
      <c r="AU6275" s="153"/>
      <c r="AV6275" s="479"/>
      <c r="AW6275" s="479"/>
      <c r="AX6275" s="442"/>
      <c r="AY6275" s="153"/>
      <c r="AZ6275" s="152"/>
      <c r="BA6275" s="152"/>
      <c r="BB6275" s="152"/>
      <c r="BC6275" s="152"/>
      <c r="BD6275" s="152"/>
      <c r="BE6275" s="152"/>
      <c r="BF6275" s="152"/>
      <c r="BG6275" s="152"/>
      <c r="BH6275" s="152"/>
      <c r="BI6275" s="153"/>
      <c r="BJ6275" s="153"/>
      <c r="BK6275" s="153"/>
      <c r="BL6275" s="153"/>
      <c r="BM6275" s="153"/>
      <c r="BN6275" s="153"/>
      <c r="BO6275" s="153"/>
      <c r="BP6275" s="153"/>
      <c r="BQ6275" s="153"/>
      <c r="BR6275" s="153"/>
      <c r="BS6275" s="153"/>
      <c r="BT6275" s="153"/>
      <c r="BU6275" s="153"/>
      <c r="BV6275" s="153"/>
      <c r="BW6275" s="153"/>
      <c r="BX6275" s="153"/>
      <c r="BY6275" s="153"/>
      <c r="BZ6275" s="153"/>
      <c r="CA6275" s="152"/>
      <c r="CB6275" s="152"/>
    </row>
    <row r="6276" spans="1:80" s="87" customFormat="1" x14ac:dyDescent="0.2">
      <c r="A6276" s="152"/>
      <c r="B6276" s="683"/>
      <c r="C6276" s="683"/>
      <c r="D6276" s="698"/>
      <c r="E6276" s="215"/>
      <c r="F6276" s="215"/>
      <c r="G6276" s="153"/>
      <c r="H6276" s="153"/>
      <c r="I6276" s="153"/>
      <c r="J6276" s="153"/>
      <c r="K6276" s="153"/>
      <c r="L6276" s="653"/>
      <c r="M6276" s="663" t="s">
        <v>898</v>
      </c>
      <c r="N6276" s="600">
        <v>0.33130710522000001</v>
      </c>
      <c r="O6276" s="604">
        <v>1.1666666676E-5</v>
      </c>
      <c r="P6276" s="250"/>
      <c r="Q6276" s="250"/>
      <c r="R6276" s="250"/>
      <c r="S6276" s="250"/>
      <c r="T6276" s="250"/>
      <c r="U6276" s="250"/>
      <c r="V6276" s="742"/>
      <c r="W6276" s="747"/>
      <c r="X6276" s="743"/>
      <c r="Y6276" s="246"/>
      <c r="Z6276" s="245"/>
      <c r="AA6276" s="223">
        <v>0.78</v>
      </c>
      <c r="AB6276" s="295">
        <v>31</v>
      </c>
      <c r="AC6276" s="230">
        <v>9.5999999999999992E-3</v>
      </c>
      <c r="AD6276" s="223"/>
      <c r="AE6276" s="223"/>
      <c r="AF6276" s="223"/>
      <c r="AG6276" s="223"/>
      <c r="AH6276" s="341"/>
      <c r="AI6276" s="153"/>
      <c r="AJ6276" s="480"/>
      <c r="AK6276" s="153"/>
      <c r="AL6276" s="152"/>
      <c r="AM6276" s="152"/>
      <c r="AN6276" s="152"/>
      <c r="AO6276" s="152"/>
      <c r="AP6276" s="152"/>
      <c r="AQ6276" s="152"/>
      <c r="AR6276" s="152"/>
      <c r="AS6276" s="152"/>
      <c r="AT6276" s="152"/>
      <c r="AU6276" s="153"/>
      <c r="AV6276" s="479"/>
      <c r="AW6276" s="479"/>
      <c r="AX6276" s="442"/>
      <c r="AY6276" s="153"/>
      <c r="AZ6276" s="152"/>
      <c r="BA6276" s="152"/>
      <c r="BB6276" s="152"/>
      <c r="BC6276" s="152"/>
      <c r="BD6276" s="152"/>
      <c r="BE6276" s="152"/>
      <c r="BF6276" s="152"/>
      <c r="BG6276" s="152"/>
      <c r="BH6276" s="152"/>
      <c r="BI6276" s="153"/>
      <c r="BJ6276" s="153"/>
      <c r="BK6276" s="153"/>
      <c r="BL6276" s="153"/>
      <c r="BM6276" s="153"/>
      <c r="BN6276" s="153"/>
      <c r="BO6276" s="153"/>
      <c r="BP6276" s="153"/>
      <c r="BQ6276" s="153"/>
      <c r="BR6276" s="153"/>
      <c r="BS6276" s="153"/>
      <c r="BT6276" s="153"/>
      <c r="BU6276" s="153"/>
      <c r="BV6276" s="153"/>
      <c r="BW6276" s="153"/>
      <c r="BX6276" s="153"/>
      <c r="BY6276" s="153"/>
      <c r="BZ6276" s="153"/>
      <c r="CA6276" s="152"/>
      <c r="CB6276" s="152"/>
    </row>
    <row r="6277" spans="1:80" s="87" customFormat="1" x14ac:dyDescent="0.2">
      <c r="A6277" s="152"/>
      <c r="B6277" s="683"/>
      <c r="C6277" s="683"/>
      <c r="D6277" s="698"/>
      <c r="E6277" s="215"/>
      <c r="F6277" s="215"/>
      <c r="G6277" s="153"/>
      <c r="H6277" s="153"/>
      <c r="I6277" s="153"/>
      <c r="J6277" s="153"/>
      <c r="K6277" s="153"/>
      <c r="L6277" s="653"/>
      <c r="M6277" s="663" t="s">
        <v>898</v>
      </c>
      <c r="N6277" s="600">
        <v>0.28316846600000001</v>
      </c>
      <c r="O6277" s="604">
        <v>9.7222222299999994E-6</v>
      </c>
      <c r="P6277" s="250"/>
      <c r="Q6277" s="250"/>
      <c r="R6277" s="250"/>
      <c r="S6277" s="250"/>
      <c r="T6277" s="250"/>
      <c r="U6277" s="250"/>
      <c r="V6277" s="742"/>
      <c r="W6277" s="747"/>
      <c r="X6277" s="743"/>
      <c r="Y6277" s="246"/>
      <c r="Z6277" s="245"/>
      <c r="AA6277" s="223">
        <v>1</v>
      </c>
      <c r="AB6277" s="295">
        <v>32</v>
      </c>
      <c r="AC6277" s="230">
        <v>9.4999999999999998E-3</v>
      </c>
      <c r="AD6277" s="223"/>
      <c r="AE6277" s="223"/>
      <c r="AF6277" s="223"/>
      <c r="AG6277" s="223"/>
      <c r="AH6277" s="341"/>
      <c r="AI6277" s="153"/>
      <c r="AJ6277" s="480"/>
      <c r="AK6277" s="153"/>
      <c r="AL6277" s="152"/>
      <c r="AM6277" s="152"/>
      <c r="AN6277" s="152"/>
      <c r="AO6277" s="152"/>
      <c r="AP6277" s="152"/>
      <c r="AQ6277" s="152"/>
      <c r="AR6277" s="152"/>
      <c r="AS6277" s="152"/>
      <c r="AT6277" s="152"/>
      <c r="AU6277" s="153"/>
      <c r="AV6277" s="479"/>
      <c r="AW6277" s="479"/>
      <c r="AX6277" s="442"/>
      <c r="AY6277" s="153"/>
      <c r="AZ6277" s="152"/>
      <c r="BA6277" s="152"/>
      <c r="BB6277" s="152"/>
      <c r="BC6277" s="152"/>
      <c r="BD6277" s="152"/>
      <c r="BE6277" s="152"/>
      <c r="BF6277" s="152"/>
      <c r="BG6277" s="152"/>
      <c r="BH6277" s="152"/>
      <c r="BI6277" s="153"/>
      <c r="BJ6277" s="153"/>
      <c r="BK6277" s="153"/>
      <c r="BL6277" s="153"/>
      <c r="BM6277" s="153"/>
      <c r="BN6277" s="153"/>
      <c r="BO6277" s="153"/>
      <c r="BP6277" s="153"/>
      <c r="BQ6277" s="153"/>
      <c r="BR6277" s="153"/>
      <c r="BS6277" s="153"/>
      <c r="BT6277" s="153"/>
      <c r="BU6277" s="153"/>
      <c r="BV6277" s="153"/>
      <c r="BW6277" s="153"/>
      <c r="BX6277" s="153"/>
      <c r="BY6277" s="153"/>
      <c r="BZ6277" s="153"/>
      <c r="CA6277" s="152"/>
      <c r="CB6277" s="152"/>
    </row>
    <row r="6278" spans="1:80" s="87" customFormat="1" x14ac:dyDescent="0.2">
      <c r="A6278" s="152"/>
      <c r="B6278" s="683"/>
      <c r="C6278" s="683"/>
      <c r="D6278" s="698"/>
      <c r="E6278" s="215"/>
      <c r="F6278" s="215"/>
      <c r="G6278" s="153"/>
      <c r="H6278" s="153"/>
      <c r="I6278" s="153"/>
      <c r="J6278" s="153"/>
      <c r="K6278" s="153"/>
      <c r="L6278" s="653"/>
      <c r="M6278" s="663" t="s">
        <v>898</v>
      </c>
      <c r="N6278" s="600">
        <v>0.23219814211999998</v>
      </c>
      <c r="O6278" s="614">
        <v>2.7777777799999998E-6</v>
      </c>
      <c r="P6278" s="250"/>
      <c r="Q6278" s="250"/>
      <c r="R6278" s="250"/>
      <c r="S6278" s="250"/>
      <c r="T6278" s="250"/>
      <c r="U6278" s="250"/>
      <c r="V6278" s="742"/>
      <c r="W6278" s="747"/>
      <c r="X6278" s="743"/>
      <c r="Y6278" s="246"/>
      <c r="Z6278" s="245"/>
      <c r="AA6278" s="223">
        <v>0.95</v>
      </c>
      <c r="AB6278" s="295">
        <v>33</v>
      </c>
      <c r="AC6278" s="230">
        <v>9.4999999999999998E-3</v>
      </c>
      <c r="AD6278" s="223"/>
      <c r="AE6278" s="223"/>
      <c r="AF6278" s="223"/>
      <c r="AG6278" s="223"/>
      <c r="AH6278" s="341"/>
      <c r="AI6278" s="153"/>
      <c r="AJ6278" s="480"/>
      <c r="AK6278" s="153"/>
      <c r="AL6278" s="152"/>
      <c r="AM6278" s="152"/>
      <c r="AN6278" s="152"/>
      <c r="AO6278" s="152"/>
      <c r="AP6278" s="152"/>
      <c r="AQ6278" s="152"/>
      <c r="AR6278" s="152"/>
      <c r="AS6278" s="152"/>
      <c r="AT6278" s="152"/>
      <c r="AU6278" s="153"/>
      <c r="AV6278" s="479"/>
      <c r="AW6278" s="479"/>
      <c r="AX6278" s="442"/>
      <c r="AY6278" s="153"/>
      <c r="AZ6278" s="152"/>
      <c r="BA6278" s="152"/>
      <c r="BB6278" s="152"/>
      <c r="BC6278" s="152"/>
      <c r="BD6278" s="152"/>
      <c r="BE6278" s="152"/>
      <c r="BF6278" s="152"/>
      <c r="BG6278" s="152"/>
      <c r="BH6278" s="152"/>
      <c r="BI6278" s="153"/>
      <c r="BJ6278" s="153"/>
      <c r="BK6278" s="153"/>
      <c r="BL6278" s="153"/>
      <c r="BM6278" s="153"/>
      <c r="BN6278" s="153"/>
      <c r="BO6278" s="153"/>
      <c r="BP6278" s="153"/>
      <c r="BQ6278" s="153"/>
      <c r="BR6278" s="153"/>
      <c r="BS6278" s="153"/>
      <c r="BT6278" s="153"/>
      <c r="BU6278" s="153"/>
      <c r="BV6278" s="153"/>
      <c r="BW6278" s="153"/>
      <c r="BX6278" s="153"/>
      <c r="BY6278" s="153"/>
      <c r="BZ6278" s="153"/>
      <c r="CA6278" s="152"/>
      <c r="CB6278" s="152"/>
    </row>
    <row r="6279" spans="1:80" s="87" customFormat="1" x14ac:dyDescent="0.2">
      <c r="A6279" s="152"/>
      <c r="B6279" s="683"/>
      <c r="C6279" s="683"/>
      <c r="D6279" s="698"/>
      <c r="E6279" s="215"/>
      <c r="F6279" s="215"/>
      <c r="G6279" s="153"/>
      <c r="H6279" s="153"/>
      <c r="I6279" s="153"/>
      <c r="J6279" s="153"/>
      <c r="K6279" s="153"/>
      <c r="L6279" s="653"/>
      <c r="M6279" s="663" t="s">
        <v>898</v>
      </c>
      <c r="N6279" s="600">
        <v>0.24069319610000001</v>
      </c>
      <c r="O6279" s="614">
        <v>1.944444446E-6</v>
      </c>
      <c r="P6279" s="250"/>
      <c r="Q6279" s="250"/>
      <c r="R6279" s="250"/>
      <c r="S6279" s="250"/>
      <c r="T6279" s="250"/>
      <c r="U6279" s="250"/>
      <c r="V6279" s="742"/>
      <c r="W6279" s="747"/>
      <c r="X6279" s="743"/>
      <c r="Y6279" s="246"/>
      <c r="Z6279" s="245"/>
      <c r="AA6279" s="223">
        <v>0.79</v>
      </c>
      <c r="AB6279" s="295">
        <v>34</v>
      </c>
      <c r="AC6279" s="230">
        <v>9.4999999999999998E-3</v>
      </c>
      <c r="AD6279" s="223"/>
      <c r="AE6279" s="223"/>
      <c r="AF6279" s="223"/>
      <c r="AG6279" s="223"/>
      <c r="AH6279" s="341"/>
      <c r="AI6279" s="153"/>
      <c r="AJ6279" s="480"/>
      <c r="AK6279" s="153"/>
      <c r="AL6279" s="152"/>
      <c r="AM6279" s="152"/>
      <c r="AN6279" s="152"/>
      <c r="AO6279" s="152"/>
      <c r="AP6279" s="152"/>
      <c r="AQ6279" s="152"/>
      <c r="AR6279" s="152"/>
      <c r="AS6279" s="152"/>
      <c r="AT6279" s="152"/>
      <c r="AU6279" s="153"/>
      <c r="AV6279" s="479"/>
      <c r="AW6279" s="479"/>
      <c r="AX6279" s="442"/>
      <c r="AY6279" s="153"/>
      <c r="AZ6279" s="152"/>
      <c r="BA6279" s="152"/>
      <c r="BB6279" s="152"/>
      <c r="BC6279" s="152"/>
      <c r="BD6279" s="152"/>
      <c r="BE6279" s="152"/>
      <c r="BF6279" s="152"/>
      <c r="BG6279" s="152"/>
      <c r="BH6279" s="152"/>
      <c r="BI6279" s="153"/>
      <c r="BJ6279" s="153"/>
      <c r="BK6279" s="153"/>
      <c r="BL6279" s="153"/>
      <c r="BM6279" s="153"/>
      <c r="BN6279" s="153"/>
      <c r="BO6279" s="153"/>
      <c r="BP6279" s="153"/>
      <c r="BQ6279" s="153"/>
      <c r="BR6279" s="153"/>
      <c r="BS6279" s="153"/>
      <c r="BT6279" s="153"/>
      <c r="BU6279" s="153"/>
      <c r="BV6279" s="153"/>
      <c r="BW6279" s="153"/>
      <c r="BX6279" s="153"/>
      <c r="BY6279" s="153"/>
      <c r="BZ6279" s="153"/>
      <c r="CA6279" s="152"/>
      <c r="CB6279" s="152"/>
    </row>
    <row r="6280" spans="1:80" s="87" customFormat="1" x14ac:dyDescent="0.2">
      <c r="A6280" s="152"/>
      <c r="B6280" s="683"/>
      <c r="C6280" s="683"/>
      <c r="D6280" s="698"/>
      <c r="E6280" s="215"/>
      <c r="F6280" s="215"/>
      <c r="G6280" s="153"/>
      <c r="H6280" s="153"/>
      <c r="I6280" s="153"/>
      <c r="J6280" s="153"/>
      <c r="K6280" s="153"/>
      <c r="L6280" s="653"/>
      <c r="M6280" s="663">
        <v>25968</v>
      </c>
      <c r="N6280" s="600">
        <v>0.65128747180000002</v>
      </c>
      <c r="O6280" s="604">
        <v>9.4444444519999998E-5</v>
      </c>
      <c r="P6280" s="250">
        <v>0</v>
      </c>
      <c r="Q6280" s="250">
        <v>0</v>
      </c>
      <c r="R6280" s="250">
        <v>0</v>
      </c>
      <c r="S6280" s="250">
        <v>0.03</v>
      </c>
      <c r="T6280" s="250">
        <v>0.02</v>
      </c>
      <c r="U6280" s="250">
        <v>0.11</v>
      </c>
      <c r="V6280" s="742">
        <v>0.84</v>
      </c>
      <c r="W6280" s="747"/>
      <c r="X6280" s="743"/>
      <c r="Y6280" s="246"/>
      <c r="Z6280" s="245"/>
      <c r="AA6280" s="223">
        <v>0.84000000000000008</v>
      </c>
      <c r="AB6280" s="295">
        <v>35</v>
      </c>
      <c r="AC6280" s="230">
        <v>9.7000000000000003E-3</v>
      </c>
      <c r="AD6280" s="223">
        <v>3.7</v>
      </c>
      <c r="AE6280" s="223">
        <v>0.22</v>
      </c>
      <c r="AF6280" s="223">
        <f>AD6280*AE6280</f>
        <v>0.81400000000000006</v>
      </c>
      <c r="AG6280" s="223">
        <f>N6280/AF6280</f>
        <v>0.80010745921375914</v>
      </c>
      <c r="AH6280" s="341"/>
      <c r="AI6280" s="153"/>
      <c r="AJ6280" s="480"/>
      <c r="AK6280" s="153"/>
      <c r="AL6280" s="152"/>
      <c r="AM6280" s="152"/>
      <c r="AN6280" s="152"/>
      <c r="AO6280" s="152"/>
      <c r="AP6280" s="152"/>
      <c r="AQ6280" s="152"/>
      <c r="AR6280" s="152"/>
      <c r="AS6280" s="152"/>
      <c r="AT6280" s="152"/>
      <c r="AU6280" s="153"/>
      <c r="AV6280" s="479"/>
      <c r="AW6280" s="479"/>
      <c r="AX6280" s="442"/>
      <c r="AY6280" s="153"/>
      <c r="AZ6280" s="152"/>
      <c r="BA6280" s="152"/>
      <c r="BB6280" s="152"/>
      <c r="BC6280" s="152"/>
      <c r="BD6280" s="152"/>
      <c r="BE6280" s="152"/>
      <c r="BF6280" s="152"/>
      <c r="BG6280" s="152"/>
      <c r="BH6280" s="152"/>
      <c r="BI6280" s="153"/>
      <c r="BJ6280" s="153"/>
      <c r="BK6280" s="153"/>
      <c r="BL6280" s="153"/>
      <c r="BM6280" s="153"/>
      <c r="BN6280" s="153"/>
      <c r="BO6280" s="153"/>
      <c r="BP6280" s="153"/>
      <c r="BQ6280" s="153"/>
      <c r="BR6280" s="153"/>
      <c r="BS6280" s="153"/>
      <c r="BT6280" s="153"/>
      <c r="BU6280" s="153"/>
      <c r="BV6280" s="153"/>
      <c r="BW6280" s="153"/>
      <c r="BX6280" s="153"/>
      <c r="BY6280" s="153"/>
      <c r="BZ6280" s="153"/>
      <c r="CA6280" s="152"/>
      <c r="CB6280" s="152"/>
    </row>
    <row r="6281" spans="1:80" s="87" customFormat="1" x14ac:dyDescent="0.2">
      <c r="A6281" s="152"/>
      <c r="B6281" s="683"/>
      <c r="C6281" s="683"/>
      <c r="D6281" s="698"/>
      <c r="E6281" s="215"/>
      <c r="F6281" s="215"/>
      <c r="G6281" s="153"/>
      <c r="H6281" s="153"/>
      <c r="I6281" s="153"/>
      <c r="J6281" s="153"/>
      <c r="K6281" s="153"/>
      <c r="L6281" s="653"/>
      <c r="M6281" s="663">
        <v>25969</v>
      </c>
      <c r="N6281" s="600">
        <v>0.45306954560000001</v>
      </c>
      <c r="O6281" s="604">
        <v>1.2222222231999998E-5</v>
      </c>
      <c r="P6281" s="250">
        <v>0</v>
      </c>
      <c r="Q6281" s="250">
        <v>0</v>
      </c>
      <c r="R6281" s="250">
        <v>0</v>
      </c>
      <c r="S6281" s="250">
        <v>0.03</v>
      </c>
      <c r="T6281" s="250">
        <v>0.04</v>
      </c>
      <c r="U6281" s="250">
        <v>0.11</v>
      </c>
      <c r="V6281" s="742">
        <v>0.82</v>
      </c>
      <c r="W6281" s="747"/>
      <c r="X6281" s="743"/>
      <c r="Y6281" s="246"/>
      <c r="Z6281" s="245"/>
      <c r="AA6281" s="223">
        <v>0.95</v>
      </c>
      <c r="AB6281" s="295">
        <v>36</v>
      </c>
      <c r="AC6281" s="230">
        <v>9.5999999999999992E-3</v>
      </c>
      <c r="AD6281" s="223">
        <v>3.7</v>
      </c>
      <c r="AE6281" s="223">
        <v>0.19</v>
      </c>
      <c r="AF6281" s="223">
        <f>AD6281*AE6281</f>
        <v>0.70300000000000007</v>
      </c>
      <c r="AG6281" s="223">
        <f>N6281/AF6281</f>
        <v>0.64448015021337124</v>
      </c>
      <c r="AH6281" s="341"/>
      <c r="AI6281" s="153"/>
      <c r="AJ6281" s="480"/>
      <c r="AK6281" s="153"/>
      <c r="AL6281" s="152"/>
      <c r="AM6281" s="152"/>
      <c r="AN6281" s="152"/>
      <c r="AO6281" s="152"/>
      <c r="AP6281" s="152"/>
      <c r="AQ6281" s="152"/>
      <c r="AR6281" s="152"/>
      <c r="AS6281" s="152"/>
      <c r="AT6281" s="152"/>
      <c r="AU6281" s="153"/>
      <c r="AV6281" s="479"/>
      <c r="AW6281" s="479"/>
      <c r="AX6281" s="442"/>
      <c r="AY6281" s="153"/>
      <c r="AZ6281" s="152"/>
      <c r="BA6281" s="152"/>
      <c r="BB6281" s="152"/>
      <c r="BC6281" s="152"/>
      <c r="BD6281" s="152"/>
      <c r="BE6281" s="152"/>
      <c r="BF6281" s="152"/>
      <c r="BG6281" s="152"/>
      <c r="BH6281" s="152"/>
      <c r="BI6281" s="153"/>
      <c r="BJ6281" s="153"/>
      <c r="BK6281" s="153"/>
      <c r="BL6281" s="153"/>
      <c r="BM6281" s="153"/>
      <c r="BN6281" s="153"/>
      <c r="BO6281" s="153"/>
      <c r="BP6281" s="153"/>
      <c r="BQ6281" s="153"/>
      <c r="BR6281" s="153"/>
      <c r="BS6281" s="153"/>
      <c r="BT6281" s="153"/>
      <c r="BU6281" s="153"/>
      <c r="BV6281" s="153"/>
      <c r="BW6281" s="153"/>
      <c r="BX6281" s="153"/>
      <c r="BY6281" s="153"/>
      <c r="BZ6281" s="153"/>
      <c r="CA6281" s="152"/>
      <c r="CB6281" s="152"/>
    </row>
    <row r="6282" spans="1:80" s="87" customFormat="1" x14ac:dyDescent="0.2">
      <c r="A6282" s="152"/>
      <c r="B6282" s="683"/>
      <c r="C6282" s="683"/>
      <c r="D6282" s="698"/>
      <c r="E6282" s="215"/>
      <c r="F6282" s="215"/>
      <c r="G6282" s="153"/>
      <c r="H6282" s="153"/>
      <c r="I6282" s="153"/>
      <c r="J6282" s="153"/>
      <c r="K6282" s="153"/>
      <c r="L6282" s="653"/>
      <c r="M6282" s="663" t="s">
        <v>898</v>
      </c>
      <c r="N6282" s="600">
        <v>0.31148531260000001</v>
      </c>
      <c r="O6282" s="614">
        <v>3.8888888920000001E-6</v>
      </c>
      <c r="P6282" s="250"/>
      <c r="Q6282" s="250"/>
      <c r="R6282" s="250"/>
      <c r="S6282" s="250"/>
      <c r="T6282" s="250"/>
      <c r="U6282" s="250"/>
      <c r="V6282" s="742"/>
      <c r="W6282" s="747"/>
      <c r="X6282" s="743"/>
      <c r="Y6282" s="246"/>
      <c r="Z6282" s="245"/>
      <c r="AA6282" s="223">
        <v>1.4000000000000001</v>
      </c>
      <c r="AB6282" s="295">
        <v>37</v>
      </c>
      <c r="AC6282" s="230">
        <v>9.5999999999999992E-3</v>
      </c>
      <c r="AD6282" s="223"/>
      <c r="AE6282" s="223"/>
      <c r="AF6282" s="223"/>
      <c r="AG6282" s="223"/>
      <c r="AH6282" s="341"/>
      <c r="AI6282" s="153"/>
      <c r="AJ6282" s="480"/>
      <c r="AK6282" s="153"/>
      <c r="AL6282" s="152"/>
      <c r="AM6282" s="152"/>
      <c r="AN6282" s="152"/>
      <c r="AO6282" s="152"/>
      <c r="AP6282" s="152"/>
      <c r="AQ6282" s="152"/>
      <c r="AR6282" s="152"/>
      <c r="AS6282" s="152"/>
      <c r="AT6282" s="152"/>
      <c r="AU6282" s="153"/>
      <c r="AV6282" s="479"/>
      <c r="AW6282" s="479"/>
      <c r="AX6282" s="442"/>
      <c r="AY6282" s="153"/>
      <c r="AZ6282" s="152"/>
      <c r="BA6282" s="152"/>
      <c r="BB6282" s="152"/>
      <c r="BC6282" s="152"/>
      <c r="BD6282" s="152"/>
      <c r="BE6282" s="152"/>
      <c r="BF6282" s="152"/>
      <c r="BG6282" s="152"/>
      <c r="BH6282" s="152"/>
      <c r="BI6282" s="153"/>
      <c r="BJ6282" s="153"/>
      <c r="BK6282" s="153"/>
      <c r="BL6282" s="153"/>
      <c r="BM6282" s="153"/>
      <c r="BN6282" s="153"/>
      <c r="BO6282" s="153"/>
      <c r="BP6282" s="153"/>
      <c r="BQ6282" s="153"/>
      <c r="BR6282" s="153"/>
      <c r="BS6282" s="153"/>
      <c r="BT6282" s="153"/>
      <c r="BU6282" s="153"/>
      <c r="BV6282" s="153"/>
      <c r="BW6282" s="153"/>
      <c r="BX6282" s="153"/>
      <c r="BY6282" s="153"/>
      <c r="BZ6282" s="153"/>
      <c r="CA6282" s="152"/>
      <c r="CB6282" s="152"/>
    </row>
    <row r="6283" spans="1:80" s="87" customFormat="1" x14ac:dyDescent="0.2">
      <c r="A6283" s="152"/>
      <c r="B6283" s="683"/>
      <c r="C6283" s="683"/>
      <c r="D6283" s="698"/>
      <c r="E6283" s="215"/>
      <c r="F6283" s="215"/>
      <c r="G6283" s="153"/>
      <c r="H6283" s="153"/>
      <c r="I6283" s="153"/>
      <c r="J6283" s="153"/>
      <c r="K6283" s="153"/>
      <c r="L6283" s="653"/>
      <c r="M6283" s="663" t="s">
        <v>898</v>
      </c>
      <c r="N6283" s="600">
        <v>0.25201993474000001</v>
      </c>
      <c r="O6283" s="614">
        <v>1.1944444453999998E-6</v>
      </c>
      <c r="P6283" s="250"/>
      <c r="Q6283" s="250"/>
      <c r="R6283" s="250"/>
      <c r="S6283" s="250"/>
      <c r="T6283" s="250"/>
      <c r="U6283" s="250"/>
      <c r="V6283" s="742"/>
      <c r="W6283" s="747"/>
      <c r="X6283" s="743"/>
      <c r="Y6283" s="246"/>
      <c r="Z6283" s="245"/>
      <c r="AA6283" s="223">
        <v>1.2</v>
      </c>
      <c r="AB6283" s="295">
        <v>38</v>
      </c>
      <c r="AC6283" s="230">
        <v>9.4999999999999998E-3</v>
      </c>
      <c r="AD6283" s="223"/>
      <c r="AE6283" s="223"/>
      <c r="AF6283" s="223"/>
      <c r="AG6283" s="223"/>
      <c r="AH6283" s="341"/>
      <c r="AI6283" s="153"/>
      <c r="AJ6283" s="480"/>
      <c r="AK6283" s="153"/>
      <c r="AL6283" s="152"/>
      <c r="AM6283" s="152"/>
      <c r="AN6283" s="152"/>
      <c r="AO6283" s="152"/>
      <c r="AP6283" s="152"/>
      <c r="AQ6283" s="152"/>
      <c r="AR6283" s="152"/>
      <c r="AS6283" s="152"/>
      <c r="AT6283" s="152"/>
      <c r="AU6283" s="153"/>
      <c r="AV6283" s="479"/>
      <c r="AW6283" s="479"/>
      <c r="AX6283" s="442"/>
      <c r="AY6283" s="153"/>
      <c r="AZ6283" s="152"/>
      <c r="BA6283" s="152"/>
      <c r="BB6283" s="152"/>
      <c r="BC6283" s="152"/>
      <c r="BD6283" s="152"/>
      <c r="BE6283" s="152"/>
      <c r="BF6283" s="152"/>
      <c r="BG6283" s="152"/>
      <c r="BH6283" s="152"/>
      <c r="BI6283" s="153"/>
      <c r="BJ6283" s="153"/>
      <c r="BK6283" s="153"/>
      <c r="BL6283" s="153"/>
      <c r="BM6283" s="153"/>
      <c r="BN6283" s="153"/>
      <c r="BO6283" s="153"/>
      <c r="BP6283" s="153"/>
      <c r="BQ6283" s="153"/>
      <c r="BR6283" s="153"/>
      <c r="BS6283" s="153"/>
      <c r="BT6283" s="153"/>
      <c r="BU6283" s="153"/>
      <c r="BV6283" s="153"/>
      <c r="BW6283" s="153"/>
      <c r="BX6283" s="153"/>
      <c r="BY6283" s="153"/>
      <c r="BZ6283" s="153"/>
      <c r="CA6283" s="152"/>
      <c r="CB6283" s="152"/>
    </row>
    <row r="6284" spans="1:80" s="87" customFormat="1" x14ac:dyDescent="0.2">
      <c r="A6284" s="152"/>
      <c r="B6284" s="683"/>
      <c r="C6284" s="683"/>
      <c r="D6284" s="698"/>
      <c r="E6284" s="215"/>
      <c r="F6284" s="215"/>
      <c r="G6284" s="153"/>
      <c r="H6284" s="153"/>
      <c r="I6284" s="153"/>
      <c r="J6284" s="153"/>
      <c r="K6284" s="153"/>
      <c r="L6284" s="653"/>
      <c r="M6284" s="663">
        <v>25973</v>
      </c>
      <c r="N6284" s="600">
        <v>0.22087140348000001</v>
      </c>
      <c r="O6284" s="614">
        <v>1.2777777787999999E-6</v>
      </c>
      <c r="P6284" s="250">
        <v>0</v>
      </c>
      <c r="Q6284" s="250">
        <v>0</v>
      </c>
      <c r="R6284" s="250">
        <v>0.01</v>
      </c>
      <c r="S6284" s="250">
        <v>0.1</v>
      </c>
      <c r="T6284" s="250">
        <v>0.03</v>
      </c>
      <c r="U6284" s="250">
        <v>0.14000000000000001</v>
      </c>
      <c r="V6284" s="742">
        <v>0.72</v>
      </c>
      <c r="W6284" s="747"/>
      <c r="X6284" s="743"/>
      <c r="Y6284" s="246"/>
      <c r="Z6284" s="245"/>
      <c r="AA6284" s="223">
        <v>1.1000000000000001</v>
      </c>
      <c r="AB6284" s="295">
        <v>39</v>
      </c>
      <c r="AC6284" s="230">
        <v>9.4000000000000004E-3</v>
      </c>
      <c r="AD6284" s="223">
        <v>3.7</v>
      </c>
      <c r="AE6284" s="223">
        <v>0.15</v>
      </c>
      <c r="AF6284" s="223">
        <f>AD6284*AE6284</f>
        <v>0.55500000000000005</v>
      </c>
      <c r="AG6284" s="223">
        <f>N6284/AF6284</f>
        <v>0.39796649275675672</v>
      </c>
      <c r="AH6284" s="341"/>
      <c r="AI6284" s="153"/>
      <c r="AJ6284" s="480"/>
      <c r="AK6284" s="153"/>
      <c r="AL6284" s="152"/>
      <c r="AM6284" s="152"/>
      <c r="AN6284" s="152"/>
      <c r="AO6284" s="152"/>
      <c r="AP6284" s="152"/>
      <c r="AQ6284" s="152"/>
      <c r="AR6284" s="152"/>
      <c r="AS6284" s="152"/>
      <c r="AT6284" s="152"/>
      <c r="AU6284" s="153"/>
      <c r="AV6284" s="479"/>
      <c r="AW6284" s="479"/>
      <c r="AX6284" s="442"/>
      <c r="AY6284" s="153"/>
      <c r="AZ6284" s="152"/>
      <c r="BA6284" s="152"/>
      <c r="BB6284" s="152"/>
      <c r="BC6284" s="152"/>
      <c r="BD6284" s="152"/>
      <c r="BE6284" s="152"/>
      <c r="BF6284" s="152"/>
      <c r="BG6284" s="152"/>
      <c r="BH6284" s="152"/>
      <c r="BI6284" s="153"/>
      <c r="BJ6284" s="153"/>
      <c r="BK6284" s="153"/>
      <c r="BL6284" s="153"/>
      <c r="BM6284" s="153"/>
      <c r="BN6284" s="153"/>
      <c r="BO6284" s="153"/>
      <c r="BP6284" s="153"/>
      <c r="BQ6284" s="153"/>
      <c r="BR6284" s="153"/>
      <c r="BS6284" s="153"/>
      <c r="BT6284" s="153"/>
      <c r="BU6284" s="153"/>
      <c r="BV6284" s="153"/>
      <c r="BW6284" s="153"/>
      <c r="BX6284" s="153"/>
      <c r="BY6284" s="153"/>
      <c r="BZ6284" s="153"/>
      <c r="CA6284" s="152"/>
      <c r="CB6284" s="152"/>
    </row>
    <row r="6285" spans="1:80" s="87" customFormat="1" x14ac:dyDescent="0.2">
      <c r="A6285" s="152"/>
      <c r="B6285" s="683"/>
      <c r="C6285" s="683"/>
      <c r="D6285" s="698"/>
      <c r="E6285" s="215"/>
      <c r="F6285" s="215"/>
      <c r="G6285" s="153"/>
      <c r="H6285" s="153"/>
      <c r="I6285" s="153"/>
      <c r="J6285" s="153"/>
      <c r="K6285" s="153"/>
      <c r="L6285" s="653"/>
      <c r="M6285" s="663" t="s">
        <v>898</v>
      </c>
      <c r="N6285" s="600">
        <v>0.25201993474000001</v>
      </c>
      <c r="O6285" s="614">
        <v>1.5555555567999999E-6</v>
      </c>
      <c r="P6285" s="250"/>
      <c r="Q6285" s="250"/>
      <c r="R6285" s="250"/>
      <c r="S6285" s="250"/>
      <c r="T6285" s="250"/>
      <c r="U6285" s="250"/>
      <c r="V6285" s="742"/>
      <c r="W6285" s="747"/>
      <c r="X6285" s="743"/>
      <c r="Y6285" s="246"/>
      <c r="Z6285" s="245"/>
      <c r="AA6285" s="223">
        <v>1.2</v>
      </c>
      <c r="AB6285" s="295">
        <v>40</v>
      </c>
      <c r="AC6285" s="230">
        <v>9.4999999999999998E-3</v>
      </c>
      <c r="AD6285" s="223"/>
      <c r="AE6285" s="223"/>
      <c r="AF6285" s="223"/>
      <c r="AG6285" s="223"/>
      <c r="AH6285" s="341"/>
      <c r="AI6285" s="153"/>
      <c r="AJ6285" s="480"/>
      <c r="AK6285" s="153"/>
      <c r="AL6285" s="152"/>
      <c r="AM6285" s="152"/>
      <c r="AN6285" s="152"/>
      <c r="AO6285" s="152"/>
      <c r="AP6285" s="152"/>
      <c r="AQ6285" s="152"/>
      <c r="AR6285" s="152"/>
      <c r="AS6285" s="152"/>
      <c r="AT6285" s="152"/>
      <c r="AU6285" s="153"/>
      <c r="AV6285" s="479"/>
      <c r="AW6285" s="479"/>
      <c r="AX6285" s="442"/>
      <c r="AY6285" s="153"/>
      <c r="AZ6285" s="152"/>
      <c r="BA6285" s="152"/>
      <c r="BB6285" s="152"/>
      <c r="BC6285" s="152"/>
      <c r="BD6285" s="152"/>
      <c r="BE6285" s="152"/>
      <c r="BF6285" s="152"/>
      <c r="BG6285" s="152"/>
      <c r="BH6285" s="152"/>
      <c r="BI6285" s="153"/>
      <c r="BJ6285" s="153"/>
      <c r="BK6285" s="153"/>
      <c r="BL6285" s="153"/>
      <c r="BM6285" s="153"/>
      <c r="BN6285" s="153"/>
      <c r="BO6285" s="153"/>
      <c r="BP6285" s="153"/>
      <c r="BQ6285" s="153"/>
      <c r="BR6285" s="153"/>
      <c r="BS6285" s="153"/>
      <c r="BT6285" s="153"/>
      <c r="BU6285" s="153"/>
      <c r="BV6285" s="153"/>
      <c r="BW6285" s="153"/>
      <c r="BX6285" s="153"/>
      <c r="BY6285" s="153"/>
      <c r="BZ6285" s="153"/>
      <c r="CA6285" s="152"/>
      <c r="CB6285" s="152"/>
    </row>
    <row r="6286" spans="1:80" s="87" customFormat="1" x14ac:dyDescent="0.2">
      <c r="A6286" s="152"/>
      <c r="B6286" s="683"/>
      <c r="C6286" s="683"/>
      <c r="D6286" s="698"/>
      <c r="E6286" s="215"/>
      <c r="F6286" s="215"/>
      <c r="G6286" s="153"/>
      <c r="H6286" s="153"/>
      <c r="I6286" s="153"/>
      <c r="J6286" s="153"/>
      <c r="K6286" s="153"/>
      <c r="L6286" s="653"/>
      <c r="M6286" s="663">
        <v>25978</v>
      </c>
      <c r="N6286" s="600">
        <v>0.19255455688000001</v>
      </c>
      <c r="O6286" s="614">
        <v>2.5833333353999997E-6</v>
      </c>
      <c r="P6286" s="250">
        <v>0</v>
      </c>
      <c r="Q6286" s="250">
        <v>0</v>
      </c>
      <c r="R6286" s="250">
        <v>0</v>
      </c>
      <c r="S6286" s="250">
        <v>0.04</v>
      </c>
      <c r="T6286" s="250">
        <v>0.13</v>
      </c>
      <c r="U6286" s="250">
        <v>0.21</v>
      </c>
      <c r="V6286" s="742">
        <v>0.62</v>
      </c>
      <c r="W6286" s="747"/>
      <c r="X6286" s="743"/>
      <c r="Y6286" s="246"/>
      <c r="Z6286" s="245"/>
      <c r="AA6286" s="223">
        <v>1.4000000000000001</v>
      </c>
      <c r="AB6286" s="295">
        <v>41</v>
      </c>
      <c r="AC6286" s="230">
        <v>9.4000000000000004E-3</v>
      </c>
      <c r="AD6286" s="223">
        <v>3.7</v>
      </c>
      <c r="AE6286" s="223">
        <v>0.14000000000000001</v>
      </c>
      <c r="AF6286" s="223">
        <f>AD6286*AE6286</f>
        <v>0.51800000000000013</v>
      </c>
      <c r="AG6286" s="223">
        <f>N6286/AF6286</f>
        <v>0.37172694378378368</v>
      </c>
      <c r="AH6286" s="341"/>
      <c r="AI6286" s="153"/>
      <c r="AJ6286" s="480"/>
      <c r="AK6286" s="153"/>
      <c r="AL6286" s="152"/>
      <c r="AM6286" s="152"/>
      <c r="AN6286" s="152"/>
      <c r="AO6286" s="152"/>
      <c r="AP6286" s="152"/>
      <c r="AQ6286" s="152"/>
      <c r="AR6286" s="152"/>
      <c r="AS6286" s="152"/>
      <c r="AT6286" s="152"/>
      <c r="AU6286" s="153"/>
      <c r="AV6286" s="479"/>
      <c r="AW6286" s="479"/>
      <c r="AX6286" s="442"/>
      <c r="AY6286" s="153"/>
      <c r="AZ6286" s="152"/>
      <c r="BA6286" s="152"/>
      <c r="BB6286" s="152"/>
      <c r="BC6286" s="152"/>
      <c r="BD6286" s="152"/>
      <c r="BE6286" s="152"/>
      <c r="BF6286" s="152"/>
      <c r="BG6286" s="152"/>
      <c r="BH6286" s="152"/>
      <c r="BI6286" s="153"/>
      <c r="BJ6286" s="153"/>
      <c r="BK6286" s="153"/>
      <c r="BL6286" s="153"/>
      <c r="BM6286" s="153"/>
      <c r="BN6286" s="153"/>
      <c r="BO6286" s="153"/>
      <c r="BP6286" s="153"/>
      <c r="BQ6286" s="153"/>
      <c r="BR6286" s="153"/>
      <c r="BS6286" s="153"/>
      <c r="BT6286" s="153"/>
      <c r="BU6286" s="153"/>
      <c r="BV6286" s="153"/>
      <c r="BW6286" s="153"/>
      <c r="BX6286" s="153"/>
      <c r="BY6286" s="153"/>
      <c r="BZ6286" s="153"/>
      <c r="CA6286" s="152"/>
      <c r="CB6286" s="152"/>
    </row>
    <row r="6287" spans="1:80" s="87" customFormat="1" x14ac:dyDescent="0.2">
      <c r="A6287" s="152"/>
      <c r="B6287" s="683"/>
      <c r="C6287" s="683"/>
      <c r="D6287" s="698"/>
      <c r="E6287" s="215"/>
      <c r="F6287" s="215"/>
      <c r="G6287" s="153"/>
      <c r="H6287" s="153"/>
      <c r="I6287" s="153"/>
      <c r="J6287" s="153"/>
      <c r="K6287" s="153"/>
      <c r="L6287" s="653"/>
      <c r="M6287" s="663">
        <v>25979</v>
      </c>
      <c r="N6287" s="600">
        <v>0.19821792620000001</v>
      </c>
      <c r="O6287" s="604">
        <v>5.5555555599999995E-6</v>
      </c>
      <c r="P6287" s="250">
        <v>0</v>
      </c>
      <c r="Q6287" s="250">
        <v>0</v>
      </c>
      <c r="R6287" s="250">
        <v>0.01</v>
      </c>
      <c r="S6287" s="250">
        <v>0.13</v>
      </c>
      <c r="T6287" s="250">
        <v>0.18</v>
      </c>
      <c r="U6287" s="250">
        <v>0.16</v>
      </c>
      <c r="V6287" s="742">
        <v>0.52</v>
      </c>
      <c r="W6287" s="747"/>
      <c r="X6287" s="743"/>
      <c r="Y6287" s="246"/>
      <c r="Z6287" s="245"/>
      <c r="AA6287" s="223">
        <v>1.9</v>
      </c>
      <c r="AB6287" s="295">
        <v>42</v>
      </c>
      <c r="AC6287" s="230">
        <v>9.4000000000000004E-3</v>
      </c>
      <c r="AD6287" s="223">
        <v>3.7</v>
      </c>
      <c r="AE6287" s="223">
        <v>0.14000000000000001</v>
      </c>
      <c r="AF6287" s="223">
        <f>AD6287*AE6287</f>
        <v>0.51800000000000013</v>
      </c>
      <c r="AG6287" s="223">
        <f>N6287/AF6287</f>
        <v>0.38266008918918909</v>
      </c>
      <c r="AH6287" s="341"/>
      <c r="AI6287" s="153"/>
      <c r="AJ6287" s="480"/>
      <c r="AK6287" s="153"/>
      <c r="AL6287" s="152"/>
      <c r="AM6287" s="152"/>
      <c r="AN6287" s="152"/>
      <c r="AO6287" s="152"/>
      <c r="AP6287" s="152"/>
      <c r="AQ6287" s="152"/>
      <c r="AR6287" s="152"/>
      <c r="AS6287" s="152"/>
      <c r="AT6287" s="152"/>
      <c r="AU6287" s="153"/>
      <c r="AV6287" s="479"/>
      <c r="AW6287" s="479"/>
      <c r="AX6287" s="442"/>
      <c r="AY6287" s="153"/>
      <c r="AZ6287" s="152"/>
      <c r="BA6287" s="152"/>
      <c r="BB6287" s="152"/>
      <c r="BC6287" s="152"/>
      <c r="BD6287" s="152"/>
      <c r="BE6287" s="152"/>
      <c r="BF6287" s="152"/>
      <c r="BG6287" s="152"/>
      <c r="BH6287" s="152"/>
      <c r="BI6287" s="153"/>
      <c r="BJ6287" s="153"/>
      <c r="BK6287" s="153"/>
      <c r="BL6287" s="153"/>
      <c r="BM6287" s="153"/>
      <c r="BN6287" s="153"/>
      <c r="BO6287" s="153"/>
      <c r="BP6287" s="153"/>
      <c r="BQ6287" s="153"/>
      <c r="BR6287" s="153"/>
      <c r="BS6287" s="153"/>
      <c r="BT6287" s="153"/>
      <c r="BU6287" s="153"/>
      <c r="BV6287" s="153"/>
      <c r="BW6287" s="153"/>
      <c r="BX6287" s="153"/>
      <c r="BY6287" s="153"/>
      <c r="BZ6287" s="153"/>
      <c r="CA6287" s="152"/>
      <c r="CB6287" s="152"/>
    </row>
    <row r="6288" spans="1:80" s="87" customFormat="1" x14ac:dyDescent="0.2">
      <c r="A6288" s="152"/>
      <c r="B6288" s="683"/>
      <c r="C6288" s="683"/>
      <c r="D6288" s="698"/>
      <c r="E6288" s="215"/>
      <c r="F6288" s="215"/>
      <c r="G6288" s="153"/>
      <c r="H6288" s="153"/>
      <c r="I6288" s="153"/>
      <c r="J6288" s="153"/>
      <c r="K6288" s="153"/>
      <c r="L6288" s="653"/>
      <c r="M6288" s="663">
        <v>25982</v>
      </c>
      <c r="N6288" s="600">
        <v>0.21803971882000001</v>
      </c>
      <c r="O6288" s="614">
        <v>4.4444444479999996E-7</v>
      </c>
      <c r="P6288" s="250">
        <v>0</v>
      </c>
      <c r="Q6288" s="250">
        <v>0</v>
      </c>
      <c r="R6288" s="250">
        <v>0.02</v>
      </c>
      <c r="S6288" s="250">
        <v>0.1</v>
      </c>
      <c r="T6288" s="250">
        <v>0.09</v>
      </c>
      <c r="U6288" s="250">
        <v>0.12</v>
      </c>
      <c r="V6288" s="742">
        <v>0.67</v>
      </c>
      <c r="W6288" s="747"/>
      <c r="X6288" s="743"/>
      <c r="Y6288" s="246"/>
      <c r="Z6288" s="245"/>
      <c r="AA6288" s="223">
        <v>1.2</v>
      </c>
      <c r="AB6288" s="295">
        <v>43</v>
      </c>
      <c r="AC6288" s="230">
        <v>9.4000000000000004E-3</v>
      </c>
      <c r="AD6288" s="223">
        <v>3.7</v>
      </c>
      <c r="AE6288" s="223">
        <v>0.15</v>
      </c>
      <c r="AF6288" s="223">
        <f>AD6288*AE6288</f>
        <v>0.55500000000000005</v>
      </c>
      <c r="AG6288" s="223">
        <f>N6288/AF6288</f>
        <v>0.39286435823423421</v>
      </c>
      <c r="AH6288" s="341"/>
      <c r="AI6288" s="153"/>
      <c r="AJ6288" s="480"/>
      <c r="AK6288" s="153"/>
      <c r="AL6288" s="152"/>
      <c r="AM6288" s="152"/>
      <c r="AN6288" s="152"/>
      <c r="AO6288" s="152"/>
      <c r="AP6288" s="152"/>
      <c r="AQ6288" s="152"/>
      <c r="AR6288" s="152"/>
      <c r="AS6288" s="152"/>
      <c r="AT6288" s="152"/>
      <c r="AU6288" s="153"/>
      <c r="AV6288" s="479"/>
      <c r="AW6288" s="479"/>
      <c r="AX6288" s="442"/>
      <c r="AY6288" s="153"/>
      <c r="AZ6288" s="152"/>
      <c r="BA6288" s="152"/>
      <c r="BB6288" s="152"/>
      <c r="BC6288" s="152"/>
      <c r="BD6288" s="152"/>
      <c r="BE6288" s="152"/>
      <c r="BF6288" s="152"/>
      <c r="BG6288" s="152"/>
      <c r="BH6288" s="152"/>
      <c r="BI6288" s="153"/>
      <c r="BJ6288" s="153"/>
      <c r="BK6288" s="153"/>
      <c r="BL6288" s="153"/>
      <c r="BM6288" s="153"/>
      <c r="BN6288" s="153"/>
      <c r="BO6288" s="153"/>
      <c r="BP6288" s="153"/>
      <c r="BQ6288" s="153"/>
      <c r="BR6288" s="153"/>
      <c r="BS6288" s="153"/>
      <c r="BT6288" s="153"/>
      <c r="BU6288" s="153"/>
      <c r="BV6288" s="153"/>
      <c r="BW6288" s="153"/>
      <c r="BX6288" s="153"/>
      <c r="BY6288" s="153"/>
      <c r="BZ6288" s="153"/>
      <c r="CA6288" s="152"/>
      <c r="CB6288" s="152"/>
    </row>
    <row r="6289" spans="1:80" s="87" customFormat="1" x14ac:dyDescent="0.2">
      <c r="A6289" s="152"/>
      <c r="B6289" s="683"/>
      <c r="C6289" s="683"/>
      <c r="D6289" s="698"/>
      <c r="E6289" s="215"/>
      <c r="F6289" s="215"/>
      <c r="G6289" s="153"/>
      <c r="H6289" s="153"/>
      <c r="I6289" s="153"/>
      <c r="J6289" s="153"/>
      <c r="K6289" s="153"/>
      <c r="L6289" s="653"/>
      <c r="M6289" s="663" t="s">
        <v>898</v>
      </c>
      <c r="N6289" s="600">
        <v>0.23502982678000003</v>
      </c>
      <c r="O6289" s="614">
        <v>1.4722222233999998E-6</v>
      </c>
      <c r="P6289" s="250"/>
      <c r="Q6289" s="250"/>
      <c r="R6289" s="250"/>
      <c r="S6289" s="250"/>
      <c r="T6289" s="250"/>
      <c r="U6289" s="250"/>
      <c r="V6289" s="742"/>
      <c r="W6289" s="747"/>
      <c r="X6289" s="743"/>
      <c r="Y6289" s="246"/>
      <c r="Z6289" s="245"/>
      <c r="AA6289" s="223">
        <v>0.91999999999999993</v>
      </c>
      <c r="AB6289" s="295">
        <v>44</v>
      </c>
      <c r="AC6289" s="230">
        <v>9.4000000000000004E-3</v>
      </c>
      <c r="AD6289" s="223"/>
      <c r="AE6289" s="223"/>
      <c r="AF6289" s="223"/>
      <c r="AG6289" s="223"/>
      <c r="AH6289" s="341"/>
      <c r="AI6289" s="153"/>
      <c r="AJ6289" s="480"/>
      <c r="AK6289" s="153"/>
      <c r="AL6289" s="152"/>
      <c r="AM6289" s="152"/>
      <c r="AN6289" s="152"/>
      <c r="AO6289" s="152"/>
      <c r="AP6289" s="152"/>
      <c r="AQ6289" s="152"/>
      <c r="AR6289" s="152"/>
      <c r="AS6289" s="152"/>
      <c r="AT6289" s="152"/>
      <c r="AU6289" s="153"/>
      <c r="AV6289" s="479"/>
      <c r="AW6289" s="479"/>
      <c r="AX6289" s="442"/>
      <c r="AY6289" s="153"/>
      <c r="AZ6289" s="152"/>
      <c r="BA6289" s="152"/>
      <c r="BB6289" s="152"/>
      <c r="BC6289" s="152"/>
      <c r="BD6289" s="152"/>
      <c r="BE6289" s="152"/>
      <c r="BF6289" s="152"/>
      <c r="BG6289" s="152"/>
      <c r="BH6289" s="152"/>
      <c r="BI6289" s="153"/>
      <c r="BJ6289" s="153"/>
      <c r="BK6289" s="153"/>
      <c r="BL6289" s="153"/>
      <c r="BM6289" s="153"/>
      <c r="BN6289" s="153"/>
      <c r="BO6289" s="153"/>
      <c r="BP6289" s="153"/>
      <c r="BQ6289" s="153"/>
      <c r="BR6289" s="153"/>
      <c r="BS6289" s="153"/>
      <c r="BT6289" s="153"/>
      <c r="BU6289" s="153"/>
      <c r="BV6289" s="153"/>
      <c r="BW6289" s="153"/>
      <c r="BX6289" s="153"/>
      <c r="BY6289" s="153"/>
      <c r="BZ6289" s="153"/>
      <c r="CA6289" s="152"/>
      <c r="CB6289" s="152"/>
    </row>
    <row r="6290" spans="1:80" s="87" customFormat="1" x14ac:dyDescent="0.2">
      <c r="A6290" s="152"/>
      <c r="B6290" s="683"/>
      <c r="C6290" s="683"/>
      <c r="D6290" s="698"/>
      <c r="E6290" s="215"/>
      <c r="F6290" s="215"/>
      <c r="G6290" s="153"/>
      <c r="H6290" s="153"/>
      <c r="I6290" s="153"/>
      <c r="J6290" s="153"/>
      <c r="K6290" s="153"/>
      <c r="L6290" s="653"/>
      <c r="M6290" s="663">
        <v>25986</v>
      </c>
      <c r="N6290" s="600">
        <v>0.20388129552000001</v>
      </c>
      <c r="O6290" s="614">
        <v>7.2222222279999994E-7</v>
      </c>
      <c r="P6290" s="250">
        <v>0</v>
      </c>
      <c r="Q6290" s="250">
        <v>0</v>
      </c>
      <c r="R6290" s="250">
        <v>0</v>
      </c>
      <c r="S6290" s="250">
        <v>7.0000000000000007E-2</v>
      </c>
      <c r="T6290" s="250">
        <v>0.1</v>
      </c>
      <c r="U6290" s="250">
        <v>0.14000000000000001</v>
      </c>
      <c r="V6290" s="742">
        <v>0.69</v>
      </c>
      <c r="W6290" s="747"/>
      <c r="X6290" s="743"/>
      <c r="Y6290" s="246"/>
      <c r="Z6290" s="245"/>
      <c r="AA6290" s="223">
        <v>1.2</v>
      </c>
      <c r="AB6290" s="295">
        <v>45</v>
      </c>
      <c r="AC6290" s="230">
        <v>9.4000000000000004E-3</v>
      </c>
      <c r="AD6290" s="223">
        <v>3.7</v>
      </c>
      <c r="AE6290" s="223">
        <v>0.14000000000000001</v>
      </c>
      <c r="AF6290" s="223">
        <f>AD6290*AE6290</f>
        <v>0.51800000000000013</v>
      </c>
      <c r="AG6290" s="223">
        <f>N6290/AF6290</f>
        <v>0.3935932345945945</v>
      </c>
      <c r="AH6290" s="341"/>
      <c r="AI6290" s="153"/>
      <c r="AJ6290" s="480"/>
      <c r="AK6290" s="153"/>
      <c r="AL6290" s="152"/>
      <c r="AM6290" s="152"/>
      <c r="AN6290" s="152"/>
      <c r="AO6290" s="152"/>
      <c r="AP6290" s="152"/>
      <c r="AQ6290" s="152"/>
      <c r="AR6290" s="152"/>
      <c r="AS6290" s="152"/>
      <c r="AT6290" s="152"/>
      <c r="AU6290" s="153"/>
      <c r="AV6290" s="479"/>
      <c r="AW6290" s="479"/>
      <c r="AX6290" s="442"/>
      <c r="AY6290" s="153"/>
      <c r="AZ6290" s="152"/>
      <c r="BA6290" s="152"/>
      <c r="BB6290" s="152"/>
      <c r="BC6290" s="152"/>
      <c r="BD6290" s="152"/>
      <c r="BE6290" s="152"/>
      <c r="BF6290" s="152"/>
      <c r="BG6290" s="152"/>
      <c r="BH6290" s="152"/>
      <c r="BI6290" s="153"/>
      <c r="BJ6290" s="153"/>
      <c r="BK6290" s="153"/>
      <c r="BL6290" s="153"/>
      <c r="BM6290" s="153"/>
      <c r="BN6290" s="153"/>
      <c r="BO6290" s="153"/>
      <c r="BP6290" s="153"/>
      <c r="BQ6290" s="153"/>
      <c r="BR6290" s="153"/>
      <c r="BS6290" s="153"/>
      <c r="BT6290" s="153"/>
      <c r="BU6290" s="153"/>
      <c r="BV6290" s="153"/>
      <c r="BW6290" s="153"/>
      <c r="BX6290" s="153"/>
      <c r="BY6290" s="153"/>
      <c r="BZ6290" s="153"/>
      <c r="CA6290" s="152"/>
      <c r="CB6290" s="152"/>
    </row>
    <row r="6291" spans="1:80" s="87" customFormat="1" x14ac:dyDescent="0.2">
      <c r="A6291" s="152"/>
      <c r="B6291" s="683"/>
      <c r="C6291" s="683"/>
      <c r="D6291" s="698"/>
      <c r="E6291" s="215"/>
      <c r="F6291" s="215"/>
      <c r="G6291" s="153"/>
      <c r="H6291" s="153"/>
      <c r="I6291" s="153"/>
      <c r="J6291" s="153"/>
      <c r="K6291" s="153"/>
      <c r="L6291" s="653"/>
      <c r="M6291" s="663">
        <v>25989</v>
      </c>
      <c r="N6291" s="600">
        <v>0.23786151144000001</v>
      </c>
      <c r="O6291" s="614">
        <v>1.6111111123999997E-6</v>
      </c>
      <c r="P6291" s="250">
        <v>0</v>
      </c>
      <c r="Q6291" s="250">
        <v>0</v>
      </c>
      <c r="R6291" s="250">
        <v>0.14000000000000001</v>
      </c>
      <c r="S6291" s="250">
        <v>0.09</v>
      </c>
      <c r="T6291" s="250">
        <v>0.16</v>
      </c>
      <c r="U6291" s="250">
        <v>0.16</v>
      </c>
      <c r="V6291" s="742">
        <v>0.45</v>
      </c>
      <c r="W6291" s="747"/>
      <c r="X6291" s="743"/>
      <c r="Y6291" s="246"/>
      <c r="Z6291" s="245"/>
      <c r="AA6291" s="223">
        <v>2.6</v>
      </c>
      <c r="AB6291" s="295">
        <v>46</v>
      </c>
      <c r="AC6291" s="230">
        <v>9.4000000000000004E-3</v>
      </c>
      <c r="AD6291" s="223">
        <v>3.7</v>
      </c>
      <c r="AE6291" s="223">
        <v>0.15</v>
      </c>
      <c r="AF6291" s="223">
        <f>AD6291*AE6291</f>
        <v>0.55500000000000005</v>
      </c>
      <c r="AG6291" s="223">
        <f>N6291/AF6291</f>
        <v>0.42857929989189186</v>
      </c>
      <c r="AH6291" s="341"/>
      <c r="AI6291" s="153"/>
      <c r="AJ6291" s="480"/>
      <c r="AK6291" s="153"/>
      <c r="AL6291" s="152"/>
      <c r="AM6291" s="152"/>
      <c r="AN6291" s="152"/>
      <c r="AO6291" s="152"/>
      <c r="AP6291" s="152"/>
      <c r="AQ6291" s="152"/>
      <c r="AR6291" s="152"/>
      <c r="AS6291" s="152"/>
      <c r="AT6291" s="152"/>
      <c r="AU6291" s="153"/>
      <c r="AV6291" s="479"/>
      <c r="AW6291" s="479"/>
      <c r="AX6291" s="442"/>
      <c r="AY6291" s="153"/>
      <c r="AZ6291" s="152"/>
      <c r="BA6291" s="152"/>
      <c r="BB6291" s="152"/>
      <c r="BC6291" s="152"/>
      <c r="BD6291" s="152"/>
      <c r="BE6291" s="152"/>
      <c r="BF6291" s="152"/>
      <c r="BG6291" s="152"/>
      <c r="BH6291" s="152"/>
      <c r="BI6291" s="153"/>
      <c r="BJ6291" s="153"/>
      <c r="BK6291" s="153"/>
      <c r="BL6291" s="153"/>
      <c r="BM6291" s="153"/>
      <c r="BN6291" s="153"/>
      <c r="BO6291" s="153"/>
      <c r="BP6291" s="153"/>
      <c r="BQ6291" s="153"/>
      <c r="BR6291" s="153"/>
      <c r="BS6291" s="153"/>
      <c r="BT6291" s="153"/>
      <c r="BU6291" s="153"/>
      <c r="BV6291" s="153"/>
      <c r="BW6291" s="153"/>
      <c r="BX6291" s="153"/>
      <c r="BY6291" s="153"/>
      <c r="BZ6291" s="153"/>
      <c r="CA6291" s="152"/>
      <c r="CB6291" s="152"/>
    </row>
    <row r="6292" spans="1:80" s="87" customFormat="1" x14ac:dyDescent="0.2">
      <c r="A6292" s="152"/>
      <c r="B6292" s="683"/>
      <c r="C6292" s="683"/>
      <c r="D6292" s="698"/>
      <c r="E6292" s="215"/>
      <c r="F6292" s="215"/>
      <c r="G6292" s="153"/>
      <c r="H6292" s="153"/>
      <c r="I6292" s="153"/>
      <c r="J6292" s="153"/>
      <c r="K6292" s="153"/>
      <c r="L6292" s="653"/>
      <c r="M6292" s="663">
        <v>25990</v>
      </c>
      <c r="N6292" s="600">
        <v>0.30015857396000001</v>
      </c>
      <c r="O6292" s="604">
        <v>5.0000000039999992E-6</v>
      </c>
      <c r="P6292" s="250">
        <v>0</v>
      </c>
      <c r="Q6292" s="250">
        <v>0</v>
      </c>
      <c r="R6292" s="250">
        <v>0.01</v>
      </c>
      <c r="S6292" s="250">
        <v>0.08</v>
      </c>
      <c r="T6292" s="250">
        <v>0.14000000000000001</v>
      </c>
      <c r="U6292" s="250">
        <v>0.2</v>
      </c>
      <c r="V6292" s="742">
        <v>0.56999999999999995</v>
      </c>
      <c r="W6292" s="747"/>
      <c r="X6292" s="743"/>
      <c r="Y6292" s="246"/>
      <c r="Z6292" s="245"/>
      <c r="AA6292" s="223">
        <v>1.6</v>
      </c>
      <c r="AB6292" s="295">
        <v>47</v>
      </c>
      <c r="AC6292" s="230">
        <v>9.5999999999999992E-3</v>
      </c>
      <c r="AD6292" s="223">
        <v>3.7</v>
      </c>
      <c r="AE6292" s="223">
        <v>0.16</v>
      </c>
      <c r="AF6292" s="223">
        <f>AD6292*AE6292</f>
        <v>0.59200000000000008</v>
      </c>
      <c r="AG6292" s="223">
        <f>N6292/AF6292</f>
        <v>0.50702461817567557</v>
      </c>
      <c r="AH6292" s="341"/>
      <c r="AI6292" s="153"/>
      <c r="AJ6292" s="480"/>
      <c r="AK6292" s="153"/>
      <c r="AL6292" s="152"/>
      <c r="AM6292" s="152"/>
      <c r="AN6292" s="152"/>
      <c r="AO6292" s="152"/>
      <c r="AP6292" s="152"/>
      <c r="AQ6292" s="152"/>
      <c r="AR6292" s="152"/>
      <c r="AS6292" s="152"/>
      <c r="AT6292" s="152"/>
      <c r="AU6292" s="153"/>
      <c r="AV6292" s="479"/>
      <c r="AW6292" s="479"/>
      <c r="AX6292" s="442"/>
      <c r="AY6292" s="153"/>
      <c r="AZ6292" s="152"/>
      <c r="BA6292" s="152"/>
      <c r="BB6292" s="152"/>
      <c r="BC6292" s="152"/>
      <c r="BD6292" s="152"/>
      <c r="BE6292" s="152"/>
      <c r="BF6292" s="152"/>
      <c r="BG6292" s="152"/>
      <c r="BH6292" s="152"/>
      <c r="BI6292" s="153"/>
      <c r="BJ6292" s="153"/>
      <c r="BK6292" s="153"/>
      <c r="BL6292" s="153"/>
      <c r="BM6292" s="153"/>
      <c r="BN6292" s="153"/>
      <c r="BO6292" s="153"/>
      <c r="BP6292" s="153"/>
      <c r="BQ6292" s="153"/>
      <c r="BR6292" s="153"/>
      <c r="BS6292" s="153"/>
      <c r="BT6292" s="153"/>
      <c r="BU6292" s="153"/>
      <c r="BV6292" s="153"/>
      <c r="BW6292" s="153"/>
      <c r="BX6292" s="153"/>
      <c r="BY6292" s="153"/>
      <c r="BZ6292" s="153"/>
      <c r="CA6292" s="152"/>
      <c r="CB6292" s="152"/>
    </row>
    <row r="6293" spans="1:80" s="87" customFormat="1" x14ac:dyDescent="0.2">
      <c r="A6293" s="152"/>
      <c r="B6293" s="683"/>
      <c r="C6293" s="683"/>
      <c r="D6293" s="698"/>
      <c r="E6293" s="215"/>
      <c r="F6293" s="215"/>
      <c r="G6293" s="153"/>
      <c r="H6293" s="153"/>
      <c r="I6293" s="153"/>
      <c r="J6293" s="153"/>
      <c r="K6293" s="153"/>
      <c r="L6293" s="653"/>
      <c r="M6293" s="663">
        <v>25991</v>
      </c>
      <c r="N6293" s="600">
        <v>0.26901004270000001</v>
      </c>
      <c r="O6293" s="614">
        <v>3.3333333359999997E-6</v>
      </c>
      <c r="P6293" s="250" t="s">
        <v>29</v>
      </c>
      <c r="Q6293" s="250" t="s">
        <v>29</v>
      </c>
      <c r="R6293" s="250" t="s">
        <v>29</v>
      </c>
      <c r="S6293" s="250">
        <v>0.12</v>
      </c>
      <c r="T6293" s="250">
        <v>0.12</v>
      </c>
      <c r="U6293" s="250">
        <v>0.11</v>
      </c>
      <c r="V6293" s="742">
        <v>0.52</v>
      </c>
      <c r="W6293" s="747"/>
      <c r="X6293" s="743"/>
      <c r="Y6293" s="246"/>
      <c r="Z6293" s="245"/>
      <c r="AA6293" s="223">
        <v>1.9</v>
      </c>
      <c r="AB6293" s="295">
        <v>48</v>
      </c>
      <c r="AC6293" s="230">
        <v>9.4999999999999998E-3</v>
      </c>
      <c r="AD6293" s="223">
        <v>3.7</v>
      </c>
      <c r="AE6293" s="223">
        <v>0.16</v>
      </c>
      <c r="AF6293" s="223">
        <f>AD6293*AE6293</f>
        <v>0.59200000000000008</v>
      </c>
      <c r="AG6293" s="223">
        <f>N6293/AF6293</f>
        <v>0.45440885591216212</v>
      </c>
      <c r="AH6293" s="341"/>
      <c r="AI6293" s="153"/>
      <c r="AJ6293" s="480"/>
      <c r="AK6293" s="153"/>
      <c r="AL6293" s="152"/>
      <c r="AM6293" s="152"/>
      <c r="AN6293" s="152"/>
      <c r="AO6293" s="152"/>
      <c r="AP6293" s="152"/>
      <c r="AQ6293" s="152"/>
      <c r="AR6293" s="152"/>
      <c r="AS6293" s="152"/>
      <c r="AT6293" s="152"/>
      <c r="AU6293" s="153"/>
      <c r="AV6293" s="479"/>
      <c r="AW6293" s="479"/>
      <c r="AX6293" s="442"/>
      <c r="AY6293" s="153"/>
      <c r="AZ6293" s="152"/>
      <c r="BA6293" s="152"/>
      <c r="BB6293" s="152"/>
      <c r="BC6293" s="152"/>
      <c r="BD6293" s="152"/>
      <c r="BE6293" s="152"/>
      <c r="BF6293" s="152"/>
      <c r="BG6293" s="152"/>
      <c r="BH6293" s="152"/>
      <c r="BI6293" s="153"/>
      <c r="BJ6293" s="153"/>
      <c r="BK6293" s="153"/>
      <c r="BL6293" s="153"/>
      <c r="BM6293" s="153"/>
      <c r="BN6293" s="153"/>
      <c r="BO6293" s="153"/>
      <c r="BP6293" s="153"/>
      <c r="BQ6293" s="153"/>
      <c r="BR6293" s="153"/>
      <c r="BS6293" s="153"/>
      <c r="BT6293" s="153"/>
      <c r="BU6293" s="153"/>
      <c r="BV6293" s="153"/>
      <c r="BW6293" s="153"/>
      <c r="BX6293" s="153"/>
      <c r="BY6293" s="153"/>
      <c r="BZ6293" s="153"/>
      <c r="CA6293" s="152"/>
      <c r="CB6293" s="152"/>
    </row>
    <row r="6294" spans="1:80" s="87" customFormat="1" x14ac:dyDescent="0.2">
      <c r="A6294" s="152"/>
      <c r="B6294" s="683"/>
      <c r="C6294" s="683"/>
      <c r="D6294" s="698"/>
      <c r="E6294" s="215"/>
      <c r="F6294" s="215"/>
      <c r="G6294" s="153"/>
      <c r="H6294" s="153"/>
      <c r="I6294" s="153"/>
      <c r="J6294" s="153"/>
      <c r="K6294" s="153"/>
      <c r="L6294" s="653"/>
      <c r="M6294" s="663">
        <v>25993</v>
      </c>
      <c r="N6294" s="600">
        <v>0.23219814211999998</v>
      </c>
      <c r="O6294" s="614">
        <v>3.3333333359999997E-6</v>
      </c>
      <c r="P6294" s="250">
        <v>0</v>
      </c>
      <c r="Q6294" s="250">
        <v>0</v>
      </c>
      <c r="R6294" s="250">
        <v>0.12</v>
      </c>
      <c r="S6294" s="250">
        <v>0.1</v>
      </c>
      <c r="T6294" s="250">
        <v>0.13</v>
      </c>
      <c r="U6294" s="250">
        <v>0.17</v>
      </c>
      <c r="V6294" s="742">
        <v>0.48</v>
      </c>
      <c r="W6294" s="747"/>
      <c r="X6294" s="743"/>
      <c r="Y6294" s="246"/>
      <c r="Z6294" s="245"/>
      <c r="AA6294" s="223">
        <v>2.3000000000000003</v>
      </c>
      <c r="AB6294" s="295">
        <v>49</v>
      </c>
      <c r="AC6294" s="230">
        <v>9.4000000000000004E-3</v>
      </c>
      <c r="AD6294" s="223">
        <v>3.7</v>
      </c>
      <c r="AE6294" s="223">
        <v>0.15</v>
      </c>
      <c r="AF6294" s="223">
        <f>AD6294*AE6294</f>
        <v>0.55500000000000005</v>
      </c>
      <c r="AG6294" s="223">
        <f>N6294/AF6294</f>
        <v>0.4183750308468468</v>
      </c>
      <c r="AH6294" s="341"/>
      <c r="AI6294" s="153"/>
      <c r="AJ6294" s="480"/>
      <c r="AK6294" s="153"/>
      <c r="AL6294" s="152"/>
      <c r="AM6294" s="152"/>
      <c r="AN6294" s="152"/>
      <c r="AO6294" s="152"/>
      <c r="AP6294" s="152"/>
      <c r="AQ6294" s="152"/>
      <c r="AR6294" s="152"/>
      <c r="AS6294" s="152"/>
      <c r="AT6294" s="152"/>
      <c r="AU6294" s="153"/>
      <c r="AV6294" s="479"/>
      <c r="AW6294" s="479"/>
      <c r="AX6294" s="442"/>
      <c r="AY6294" s="153"/>
      <c r="AZ6294" s="152"/>
      <c r="BA6294" s="152"/>
      <c r="BB6294" s="152"/>
      <c r="BC6294" s="152"/>
      <c r="BD6294" s="152"/>
      <c r="BE6294" s="152"/>
      <c r="BF6294" s="152"/>
      <c r="BG6294" s="152"/>
      <c r="BH6294" s="152"/>
      <c r="BI6294" s="153"/>
      <c r="BJ6294" s="153"/>
      <c r="BK6294" s="153"/>
      <c r="BL6294" s="153"/>
      <c r="BM6294" s="153"/>
      <c r="BN6294" s="153"/>
      <c r="BO6294" s="153"/>
      <c r="BP6294" s="153"/>
      <c r="BQ6294" s="153"/>
      <c r="BR6294" s="153"/>
      <c r="BS6294" s="153"/>
      <c r="BT6294" s="153"/>
      <c r="BU6294" s="153"/>
      <c r="BV6294" s="153"/>
      <c r="BW6294" s="153"/>
      <c r="BX6294" s="153"/>
      <c r="BY6294" s="153"/>
      <c r="BZ6294" s="153"/>
      <c r="CA6294" s="152"/>
      <c r="CB6294" s="152"/>
    </row>
    <row r="6295" spans="1:80" s="87" customFormat="1" x14ac:dyDescent="0.2">
      <c r="A6295" s="152"/>
      <c r="B6295" s="683"/>
      <c r="C6295" s="683"/>
      <c r="D6295" s="698"/>
      <c r="E6295" s="215"/>
      <c r="F6295" s="215"/>
      <c r="G6295" s="153"/>
      <c r="H6295" s="153"/>
      <c r="I6295" s="153"/>
      <c r="J6295" s="153"/>
      <c r="K6295" s="153"/>
      <c r="L6295" s="653"/>
      <c r="M6295" s="663" t="s">
        <v>898</v>
      </c>
      <c r="N6295" s="600">
        <v>0.26334667338000001</v>
      </c>
      <c r="O6295" s="614">
        <v>1.0000000007999999E-6</v>
      </c>
      <c r="P6295" s="250"/>
      <c r="Q6295" s="250"/>
      <c r="R6295" s="250"/>
      <c r="S6295" s="250"/>
      <c r="T6295" s="250"/>
      <c r="U6295" s="250"/>
      <c r="V6295" s="742"/>
      <c r="W6295" s="747"/>
      <c r="X6295" s="743"/>
      <c r="Y6295" s="246"/>
      <c r="Z6295" s="245"/>
      <c r="AA6295" s="223">
        <v>1</v>
      </c>
      <c r="AB6295" s="295">
        <v>50</v>
      </c>
      <c r="AC6295" s="230">
        <v>9.4999999999999998E-3</v>
      </c>
      <c r="AD6295" s="223"/>
      <c r="AE6295" s="223"/>
      <c r="AF6295" s="223"/>
      <c r="AG6295" s="223"/>
      <c r="AH6295" s="341"/>
      <c r="AI6295" s="153"/>
      <c r="AJ6295" s="480"/>
      <c r="AK6295" s="153"/>
      <c r="AL6295" s="152"/>
      <c r="AM6295" s="152"/>
      <c r="AN6295" s="152"/>
      <c r="AO6295" s="152"/>
      <c r="AP6295" s="152"/>
      <c r="AQ6295" s="152"/>
      <c r="AR6295" s="152"/>
      <c r="AS6295" s="152"/>
      <c r="AT6295" s="152"/>
      <c r="AU6295" s="153"/>
      <c r="AV6295" s="479"/>
      <c r="AW6295" s="479"/>
      <c r="AX6295" s="442"/>
      <c r="AY6295" s="153"/>
      <c r="AZ6295" s="152"/>
      <c r="BA6295" s="152"/>
      <c r="BB6295" s="152"/>
      <c r="BC6295" s="152"/>
      <c r="BD6295" s="152"/>
      <c r="BE6295" s="152"/>
      <c r="BF6295" s="152"/>
      <c r="BG6295" s="152"/>
      <c r="BH6295" s="152"/>
      <c r="BI6295" s="153"/>
      <c r="BJ6295" s="153"/>
      <c r="BK6295" s="153"/>
      <c r="BL6295" s="153"/>
      <c r="BM6295" s="153"/>
      <c r="BN6295" s="153"/>
      <c r="BO6295" s="153"/>
      <c r="BP6295" s="153"/>
      <c r="BQ6295" s="153"/>
      <c r="BR6295" s="153"/>
      <c r="BS6295" s="153"/>
      <c r="BT6295" s="153"/>
      <c r="BU6295" s="153"/>
      <c r="BV6295" s="153"/>
      <c r="BW6295" s="153"/>
      <c r="BX6295" s="153"/>
      <c r="BY6295" s="153"/>
      <c r="BZ6295" s="153"/>
      <c r="CA6295" s="152"/>
      <c r="CB6295" s="152"/>
    </row>
    <row r="6296" spans="1:80" s="87" customFormat="1" x14ac:dyDescent="0.2">
      <c r="A6296" s="152"/>
      <c r="B6296" s="683"/>
      <c r="C6296" s="683"/>
      <c r="D6296" s="698"/>
      <c r="E6296" s="215"/>
      <c r="F6296" s="215"/>
      <c r="G6296" s="153"/>
      <c r="H6296" s="153"/>
      <c r="I6296" s="153"/>
      <c r="J6296" s="153"/>
      <c r="K6296" s="153"/>
      <c r="L6296" s="653"/>
      <c r="M6296" s="663">
        <v>25995</v>
      </c>
      <c r="N6296" s="600">
        <v>0.56633693200000002</v>
      </c>
      <c r="O6296" s="604">
        <v>1.1944444453999999E-4</v>
      </c>
      <c r="P6296" s="250">
        <v>0</v>
      </c>
      <c r="Q6296" s="250">
        <v>0.01</v>
      </c>
      <c r="R6296" s="250">
        <v>0.05</v>
      </c>
      <c r="S6296" s="250">
        <v>0.02</v>
      </c>
      <c r="T6296" s="250">
        <v>0.05</v>
      </c>
      <c r="U6296" s="250">
        <v>0.1</v>
      </c>
      <c r="V6296" s="742">
        <v>0.77</v>
      </c>
      <c r="W6296" s="747"/>
      <c r="X6296" s="743"/>
      <c r="Y6296" s="246"/>
      <c r="Z6296" s="245"/>
      <c r="AA6296" s="223">
        <v>0.62</v>
      </c>
      <c r="AB6296" s="295">
        <v>51</v>
      </c>
      <c r="AC6296" s="230">
        <v>9.7000000000000003E-3</v>
      </c>
      <c r="AD6296" s="223">
        <v>3.7</v>
      </c>
      <c r="AE6296" s="223">
        <v>0.2</v>
      </c>
      <c r="AF6296" s="223">
        <f>AD6296*AE6296</f>
        <v>0.7400000000000001</v>
      </c>
      <c r="AG6296" s="223">
        <f>N6296/AF6296</f>
        <v>0.76532017837837829</v>
      </c>
      <c r="AH6296" s="341"/>
      <c r="AI6296" s="153"/>
      <c r="AJ6296" s="480"/>
      <c r="AK6296" s="153"/>
      <c r="AL6296" s="152"/>
      <c r="AM6296" s="152"/>
      <c r="AN6296" s="152"/>
      <c r="AO6296" s="152"/>
      <c r="AP6296" s="152"/>
      <c r="AQ6296" s="152"/>
      <c r="AR6296" s="152"/>
      <c r="AS6296" s="152"/>
      <c r="AT6296" s="152"/>
      <c r="AU6296" s="153"/>
      <c r="AV6296" s="479"/>
      <c r="AW6296" s="479"/>
      <c r="AX6296" s="442"/>
      <c r="AY6296" s="153"/>
      <c r="AZ6296" s="152"/>
      <c r="BA6296" s="152"/>
      <c r="BB6296" s="152"/>
      <c r="BC6296" s="152"/>
      <c r="BD6296" s="152"/>
      <c r="BE6296" s="152"/>
      <c r="BF6296" s="152"/>
      <c r="BG6296" s="152"/>
      <c r="BH6296" s="152"/>
      <c r="BI6296" s="153"/>
      <c r="BJ6296" s="153"/>
      <c r="BK6296" s="153"/>
      <c r="BL6296" s="153"/>
      <c r="BM6296" s="153"/>
      <c r="BN6296" s="153"/>
      <c r="BO6296" s="153"/>
      <c r="BP6296" s="153"/>
      <c r="BQ6296" s="153"/>
      <c r="BR6296" s="153"/>
      <c r="BS6296" s="153"/>
      <c r="BT6296" s="153"/>
      <c r="BU6296" s="153"/>
      <c r="BV6296" s="153"/>
      <c r="BW6296" s="153"/>
      <c r="BX6296" s="153"/>
      <c r="BY6296" s="153"/>
      <c r="BZ6296" s="153"/>
      <c r="CA6296" s="152"/>
      <c r="CB6296" s="152"/>
    </row>
    <row r="6297" spans="1:80" s="87" customFormat="1" x14ac:dyDescent="0.2">
      <c r="A6297" s="152"/>
      <c r="B6297" s="683"/>
      <c r="C6297" s="683"/>
      <c r="D6297" s="698"/>
      <c r="E6297" s="215"/>
      <c r="F6297" s="215"/>
      <c r="G6297" s="153"/>
      <c r="H6297" s="153"/>
      <c r="I6297" s="153"/>
      <c r="J6297" s="153"/>
      <c r="K6297" s="153"/>
      <c r="L6297" s="653"/>
      <c r="M6297" s="663">
        <v>25996</v>
      </c>
      <c r="N6297" s="600">
        <v>0.60031714792000002</v>
      </c>
      <c r="O6297" s="604">
        <v>3.0555555579999996E-5</v>
      </c>
      <c r="P6297" s="250">
        <v>0</v>
      </c>
      <c r="Q6297" s="250">
        <v>0</v>
      </c>
      <c r="R6297" s="250">
        <v>0.01</v>
      </c>
      <c r="S6297" s="250">
        <v>0.03</v>
      </c>
      <c r="T6297" s="250">
        <v>0.04</v>
      </c>
      <c r="U6297" s="250">
        <v>0.12</v>
      </c>
      <c r="V6297" s="742">
        <v>0.8</v>
      </c>
      <c r="W6297" s="747"/>
      <c r="X6297" s="743"/>
      <c r="Y6297" s="246"/>
      <c r="Z6297" s="245"/>
      <c r="AA6297" s="223">
        <v>0.96</v>
      </c>
      <c r="AB6297" s="295">
        <v>52</v>
      </c>
      <c r="AC6297" s="230">
        <v>9.7000000000000003E-3</v>
      </c>
      <c r="AD6297" s="223">
        <v>3.7</v>
      </c>
      <c r="AE6297" s="223">
        <v>0.21</v>
      </c>
      <c r="AF6297" s="223">
        <f>AD6297*AE6297</f>
        <v>0.77700000000000002</v>
      </c>
      <c r="AG6297" s="223">
        <f>N6297/AF6297</f>
        <v>0.77260894198198193</v>
      </c>
      <c r="AH6297" s="341"/>
      <c r="AI6297" s="153"/>
      <c r="AJ6297" s="480"/>
      <c r="AK6297" s="153"/>
      <c r="AL6297" s="152"/>
      <c r="AM6297" s="152"/>
      <c r="AN6297" s="152"/>
      <c r="AO6297" s="152"/>
      <c r="AP6297" s="152"/>
      <c r="AQ6297" s="152"/>
      <c r="AR6297" s="152"/>
      <c r="AS6297" s="152"/>
      <c r="AT6297" s="152"/>
      <c r="AU6297" s="153"/>
      <c r="AV6297" s="479"/>
      <c r="AW6297" s="479"/>
      <c r="AX6297" s="442"/>
      <c r="AY6297" s="153"/>
      <c r="AZ6297" s="152"/>
      <c r="BA6297" s="152"/>
      <c r="BB6297" s="152"/>
      <c r="BC6297" s="152"/>
      <c r="BD6297" s="152"/>
      <c r="BE6297" s="152"/>
      <c r="BF6297" s="152"/>
      <c r="BG6297" s="152"/>
      <c r="BH6297" s="152"/>
      <c r="BI6297" s="153"/>
      <c r="BJ6297" s="153"/>
      <c r="BK6297" s="153"/>
      <c r="BL6297" s="153"/>
      <c r="BM6297" s="153"/>
      <c r="BN6297" s="153"/>
      <c r="BO6297" s="153"/>
      <c r="BP6297" s="153"/>
      <c r="BQ6297" s="153"/>
      <c r="BR6297" s="153"/>
      <c r="BS6297" s="153"/>
      <c r="BT6297" s="153"/>
      <c r="BU6297" s="153"/>
      <c r="BV6297" s="153"/>
      <c r="BW6297" s="153"/>
      <c r="BX6297" s="153"/>
      <c r="BY6297" s="153"/>
      <c r="BZ6297" s="153"/>
      <c r="CA6297" s="152"/>
      <c r="CB6297" s="152"/>
    </row>
    <row r="6298" spans="1:80" s="87" customFormat="1" x14ac:dyDescent="0.2">
      <c r="A6298" s="152"/>
      <c r="B6298" s="683"/>
      <c r="C6298" s="683"/>
      <c r="D6298" s="698"/>
      <c r="E6298" s="215"/>
      <c r="F6298" s="215"/>
      <c r="G6298" s="153"/>
      <c r="H6298" s="153"/>
      <c r="I6298" s="153"/>
      <c r="J6298" s="153"/>
      <c r="K6298" s="153"/>
      <c r="L6298" s="653"/>
      <c r="M6298" s="663">
        <v>25997</v>
      </c>
      <c r="N6298" s="600">
        <v>0.41908932968000001</v>
      </c>
      <c r="O6298" s="614">
        <v>3.3333333359999997E-6</v>
      </c>
      <c r="P6298" s="250">
        <v>0</v>
      </c>
      <c r="Q6298" s="250">
        <v>0</v>
      </c>
      <c r="R6298" s="250">
        <v>0.01</v>
      </c>
      <c r="S6298" s="250">
        <v>0.09</v>
      </c>
      <c r="T6298" s="250">
        <v>0.06</v>
      </c>
      <c r="U6298" s="250">
        <v>0.11</v>
      </c>
      <c r="V6298" s="742">
        <v>0.73</v>
      </c>
      <c r="W6298" s="747"/>
      <c r="X6298" s="743"/>
      <c r="Y6298" s="246"/>
      <c r="Z6298" s="245"/>
      <c r="AA6298" s="223">
        <v>0.86999999999999988</v>
      </c>
      <c r="AB6298" s="295">
        <v>53</v>
      </c>
      <c r="AC6298" s="230">
        <v>9.5999999999999992E-3</v>
      </c>
      <c r="AD6298" s="223">
        <v>3.7</v>
      </c>
      <c r="AE6298" s="223">
        <v>0.18</v>
      </c>
      <c r="AF6298" s="223">
        <f>AD6298*AE6298</f>
        <v>0.66600000000000004</v>
      </c>
      <c r="AG6298" s="223">
        <f>N6298/AF6298</f>
        <v>0.62926325777777781</v>
      </c>
      <c r="AH6298" s="341"/>
      <c r="AI6298" s="153"/>
      <c r="AJ6298" s="480"/>
      <c r="AK6298" s="153"/>
      <c r="AL6298" s="152"/>
      <c r="AM6298" s="152"/>
      <c r="AN6298" s="152"/>
      <c r="AO6298" s="152"/>
      <c r="AP6298" s="152"/>
      <c r="AQ6298" s="152"/>
      <c r="AR6298" s="152"/>
      <c r="AS6298" s="152"/>
      <c r="AT6298" s="152"/>
      <c r="AU6298" s="153"/>
      <c r="AV6298" s="479"/>
      <c r="AW6298" s="479"/>
      <c r="AX6298" s="442"/>
      <c r="AY6298" s="153"/>
      <c r="AZ6298" s="152"/>
      <c r="BA6298" s="152"/>
      <c r="BB6298" s="152"/>
      <c r="BC6298" s="152"/>
      <c r="BD6298" s="152"/>
      <c r="BE6298" s="152"/>
      <c r="BF6298" s="152"/>
      <c r="BG6298" s="152"/>
      <c r="BH6298" s="152"/>
      <c r="BI6298" s="153"/>
      <c r="BJ6298" s="153"/>
      <c r="BK6298" s="153"/>
      <c r="BL6298" s="153"/>
      <c r="BM6298" s="153"/>
      <c r="BN6298" s="153"/>
      <c r="BO6298" s="153"/>
      <c r="BP6298" s="153"/>
      <c r="BQ6298" s="153"/>
      <c r="BR6298" s="153"/>
      <c r="BS6298" s="153"/>
      <c r="BT6298" s="153"/>
      <c r="BU6298" s="153"/>
      <c r="BV6298" s="153"/>
      <c r="BW6298" s="153"/>
      <c r="BX6298" s="153"/>
      <c r="BY6298" s="153"/>
      <c r="BZ6298" s="153"/>
      <c r="CA6298" s="152"/>
      <c r="CB6298" s="152"/>
    </row>
    <row r="6299" spans="1:80" s="87" customFormat="1" x14ac:dyDescent="0.2">
      <c r="A6299" s="152"/>
      <c r="B6299" s="683"/>
      <c r="C6299" s="683"/>
      <c r="D6299" s="698"/>
      <c r="E6299" s="215"/>
      <c r="F6299" s="215"/>
      <c r="G6299" s="153"/>
      <c r="H6299" s="153"/>
      <c r="I6299" s="153"/>
      <c r="J6299" s="153"/>
      <c r="K6299" s="153"/>
      <c r="L6299" s="653"/>
      <c r="M6299" s="663">
        <v>25998</v>
      </c>
      <c r="N6299" s="600">
        <v>0.36245563648000001</v>
      </c>
      <c r="O6299" s="614">
        <v>1.7222222235999999E-6</v>
      </c>
      <c r="P6299" s="250">
        <v>0</v>
      </c>
      <c r="Q6299" s="250">
        <v>0</v>
      </c>
      <c r="R6299" s="250">
        <v>0.01</v>
      </c>
      <c r="S6299" s="250">
        <v>0.08</v>
      </c>
      <c r="T6299" s="250">
        <v>0.06</v>
      </c>
      <c r="U6299" s="250">
        <v>0.1</v>
      </c>
      <c r="V6299" s="742">
        <v>0.75</v>
      </c>
      <c r="W6299" s="747"/>
      <c r="X6299" s="743"/>
      <c r="Y6299" s="246"/>
      <c r="Z6299" s="245"/>
      <c r="AA6299" s="223">
        <v>0.85000000000000009</v>
      </c>
      <c r="AB6299" s="295">
        <v>54</v>
      </c>
      <c r="AC6299" s="230">
        <v>9.5999999999999992E-3</v>
      </c>
      <c r="AD6299" s="223">
        <v>3.7</v>
      </c>
      <c r="AE6299" s="223">
        <v>0.17</v>
      </c>
      <c r="AF6299" s="223">
        <f>AD6299*AE6299</f>
        <v>0.62900000000000011</v>
      </c>
      <c r="AG6299" s="223">
        <f>N6299/AF6299</f>
        <v>0.57624107548489656</v>
      </c>
      <c r="AH6299" s="341"/>
      <c r="AI6299" s="153"/>
      <c r="AJ6299" s="480"/>
      <c r="AK6299" s="153"/>
      <c r="AL6299" s="152"/>
      <c r="AM6299" s="152"/>
      <c r="AN6299" s="152"/>
      <c r="AO6299" s="152"/>
      <c r="AP6299" s="152"/>
      <c r="AQ6299" s="152"/>
      <c r="AR6299" s="152"/>
      <c r="AS6299" s="152"/>
      <c r="AT6299" s="152"/>
      <c r="AU6299" s="153"/>
      <c r="AV6299" s="479"/>
      <c r="AW6299" s="479"/>
      <c r="AX6299" s="442"/>
      <c r="AY6299" s="153"/>
      <c r="AZ6299" s="152"/>
      <c r="BA6299" s="152"/>
      <c r="BB6299" s="152"/>
      <c r="BC6299" s="152"/>
      <c r="BD6299" s="152"/>
      <c r="BE6299" s="152"/>
      <c r="BF6299" s="152"/>
      <c r="BG6299" s="152"/>
      <c r="BH6299" s="152"/>
      <c r="BI6299" s="153"/>
      <c r="BJ6299" s="153"/>
      <c r="BK6299" s="153"/>
      <c r="BL6299" s="153"/>
      <c r="BM6299" s="153"/>
      <c r="BN6299" s="153"/>
      <c r="BO6299" s="153"/>
      <c r="BP6299" s="153"/>
      <c r="BQ6299" s="153"/>
      <c r="BR6299" s="153"/>
      <c r="BS6299" s="153"/>
      <c r="BT6299" s="153"/>
      <c r="BU6299" s="153"/>
      <c r="BV6299" s="153"/>
      <c r="BW6299" s="153"/>
      <c r="BX6299" s="153"/>
      <c r="BY6299" s="153"/>
      <c r="BZ6299" s="153"/>
      <c r="CA6299" s="152"/>
      <c r="CB6299" s="152"/>
    </row>
    <row r="6300" spans="1:80" s="87" customFormat="1" x14ac:dyDescent="0.2">
      <c r="A6300" s="152"/>
      <c r="B6300" s="683"/>
      <c r="C6300" s="683"/>
      <c r="D6300" s="698"/>
      <c r="E6300" s="215"/>
      <c r="F6300" s="215"/>
      <c r="G6300" s="153"/>
      <c r="H6300" s="153"/>
      <c r="I6300" s="153"/>
      <c r="J6300" s="153"/>
      <c r="K6300" s="153"/>
      <c r="L6300" s="653"/>
      <c r="M6300" s="663" t="s">
        <v>898</v>
      </c>
      <c r="N6300" s="600">
        <v>0.53802008540000001</v>
      </c>
      <c r="O6300" s="604">
        <v>2.3888888907999998E-4</v>
      </c>
      <c r="P6300" s="250"/>
      <c r="Q6300" s="250"/>
      <c r="R6300" s="250"/>
      <c r="S6300" s="250"/>
      <c r="T6300" s="250"/>
      <c r="U6300" s="250"/>
      <c r="V6300" s="742"/>
      <c r="W6300" s="747"/>
      <c r="X6300" s="743"/>
      <c r="Y6300" s="246"/>
      <c r="Z6300" s="245"/>
      <c r="AA6300" s="223">
        <v>1.7999999999999998</v>
      </c>
      <c r="AB6300" s="167" t="s">
        <v>222</v>
      </c>
      <c r="AC6300" s="230">
        <v>9.7000000000000003E-3</v>
      </c>
      <c r="AD6300" s="223"/>
      <c r="AE6300" s="223"/>
      <c r="AF6300" s="223"/>
      <c r="AG6300" s="223"/>
      <c r="AH6300" s="341"/>
      <c r="AI6300" s="153"/>
      <c r="AJ6300" s="480"/>
      <c r="AK6300" s="153"/>
      <c r="AL6300" s="152"/>
      <c r="AM6300" s="152"/>
      <c r="AN6300" s="152"/>
      <c r="AO6300" s="152"/>
      <c r="AP6300" s="152"/>
      <c r="AQ6300" s="152"/>
      <c r="AR6300" s="152"/>
      <c r="AS6300" s="152"/>
      <c r="AT6300" s="152"/>
      <c r="AU6300" s="153"/>
      <c r="AV6300" s="479"/>
      <c r="AW6300" s="479"/>
      <c r="AX6300" s="442"/>
      <c r="AY6300" s="153"/>
      <c r="AZ6300" s="152"/>
      <c r="BA6300" s="152"/>
      <c r="BB6300" s="152"/>
      <c r="BC6300" s="152"/>
      <c r="BD6300" s="152"/>
      <c r="BE6300" s="152"/>
      <c r="BF6300" s="152"/>
      <c r="BG6300" s="152"/>
      <c r="BH6300" s="152"/>
      <c r="BI6300" s="153"/>
      <c r="BJ6300" s="153"/>
      <c r="BK6300" s="153"/>
      <c r="BL6300" s="153"/>
      <c r="BM6300" s="153"/>
      <c r="BN6300" s="153"/>
      <c r="BO6300" s="153"/>
      <c r="BP6300" s="153"/>
      <c r="BQ6300" s="153"/>
      <c r="BR6300" s="153"/>
      <c r="BS6300" s="153"/>
      <c r="BT6300" s="153"/>
      <c r="BU6300" s="153"/>
      <c r="BV6300" s="153"/>
      <c r="BW6300" s="153"/>
      <c r="BX6300" s="153"/>
      <c r="BY6300" s="153"/>
      <c r="BZ6300" s="153"/>
      <c r="CA6300" s="152"/>
      <c r="CB6300" s="152"/>
    </row>
    <row r="6301" spans="1:80" s="87" customFormat="1" x14ac:dyDescent="0.2">
      <c r="A6301" s="152"/>
      <c r="B6301" s="683"/>
      <c r="C6301" s="683"/>
      <c r="D6301" s="698"/>
      <c r="E6301" s="215"/>
      <c r="F6301" s="215"/>
      <c r="G6301" s="153"/>
      <c r="H6301" s="153"/>
      <c r="I6301" s="153"/>
      <c r="J6301" s="153"/>
      <c r="K6301" s="153"/>
      <c r="L6301" s="653"/>
      <c r="M6301" s="663">
        <v>26002</v>
      </c>
      <c r="N6301" s="600">
        <v>1.7556444892</v>
      </c>
      <c r="O6301" s="604">
        <v>1.1944444453999999E-2</v>
      </c>
      <c r="P6301" s="250">
        <v>0.09</v>
      </c>
      <c r="Q6301" s="250">
        <v>0.09</v>
      </c>
      <c r="R6301" s="250">
        <v>0.08</v>
      </c>
      <c r="S6301" s="250">
        <v>0.06</v>
      </c>
      <c r="T6301" s="250">
        <v>0.1</v>
      </c>
      <c r="U6301" s="250">
        <v>0.15</v>
      </c>
      <c r="V6301" s="742">
        <v>0.43</v>
      </c>
      <c r="W6301" s="747"/>
      <c r="X6301" s="743"/>
      <c r="Y6301" s="246"/>
      <c r="Z6301" s="245"/>
      <c r="AA6301" s="223">
        <v>2.6</v>
      </c>
      <c r="AB6301" s="295">
        <v>56</v>
      </c>
      <c r="AC6301" s="230">
        <v>0.01</v>
      </c>
      <c r="AD6301" s="223">
        <v>3.7</v>
      </c>
      <c r="AE6301" s="223">
        <v>0.36</v>
      </c>
      <c r="AF6301" s="223">
        <f>AD6301*AE6301</f>
        <v>1.3320000000000001</v>
      </c>
      <c r="AG6301" s="223">
        <f>N6301/AF6301</f>
        <v>1.3180514183183183</v>
      </c>
      <c r="AH6301" s="341"/>
      <c r="AI6301" s="153"/>
      <c r="AJ6301" s="480"/>
      <c r="AK6301" s="153"/>
      <c r="AL6301" s="152"/>
      <c r="AM6301" s="152"/>
      <c r="AN6301" s="152"/>
      <c r="AO6301" s="152"/>
      <c r="AP6301" s="152"/>
      <c r="AQ6301" s="152"/>
      <c r="AR6301" s="152"/>
      <c r="AS6301" s="152"/>
      <c r="AT6301" s="152"/>
      <c r="AU6301" s="153"/>
      <c r="AV6301" s="479"/>
      <c r="AW6301" s="479"/>
      <c r="AX6301" s="442"/>
      <c r="AY6301" s="153"/>
      <c r="AZ6301" s="152"/>
      <c r="BA6301" s="152"/>
      <c r="BB6301" s="152"/>
      <c r="BC6301" s="152"/>
      <c r="BD6301" s="152"/>
      <c r="BE6301" s="152"/>
      <c r="BF6301" s="152"/>
      <c r="BG6301" s="152"/>
      <c r="BH6301" s="152"/>
      <c r="BI6301" s="153"/>
      <c r="BJ6301" s="153"/>
      <c r="BK6301" s="153"/>
      <c r="BL6301" s="153"/>
      <c r="BM6301" s="153"/>
      <c r="BN6301" s="153"/>
      <c r="BO6301" s="153"/>
      <c r="BP6301" s="153"/>
      <c r="BQ6301" s="153"/>
      <c r="BR6301" s="153"/>
      <c r="BS6301" s="153"/>
      <c r="BT6301" s="153"/>
      <c r="BU6301" s="153"/>
      <c r="BV6301" s="153"/>
      <c r="BW6301" s="153"/>
      <c r="BX6301" s="153"/>
      <c r="BY6301" s="153"/>
      <c r="BZ6301" s="153"/>
      <c r="CA6301" s="152"/>
      <c r="CB6301" s="152"/>
    </row>
    <row r="6302" spans="1:80" s="87" customFormat="1" x14ac:dyDescent="0.2">
      <c r="A6302" s="152"/>
      <c r="B6302" s="683"/>
      <c r="C6302" s="683"/>
      <c r="D6302" s="698"/>
      <c r="E6302" s="215"/>
      <c r="F6302" s="215"/>
      <c r="G6302" s="153"/>
      <c r="H6302" s="153"/>
      <c r="I6302" s="153"/>
      <c r="J6302" s="153"/>
      <c r="K6302" s="153"/>
      <c r="L6302" s="653"/>
      <c r="M6302" s="663">
        <v>26002</v>
      </c>
      <c r="N6302" s="600">
        <v>2.0388129552000001</v>
      </c>
      <c r="O6302" s="604">
        <v>2.5000000019999996E-2</v>
      </c>
      <c r="P6302" s="250">
        <v>0.11</v>
      </c>
      <c r="Q6302" s="250">
        <v>0.17</v>
      </c>
      <c r="R6302" s="250">
        <v>0.14000000000000001</v>
      </c>
      <c r="S6302" s="250">
        <v>0.06</v>
      </c>
      <c r="T6302" s="250">
        <v>0.1</v>
      </c>
      <c r="U6302" s="250">
        <v>0.12</v>
      </c>
      <c r="V6302" s="742">
        <v>0.3</v>
      </c>
      <c r="W6302" s="747"/>
      <c r="X6302" s="743"/>
      <c r="Y6302" s="246"/>
      <c r="Z6302" s="245"/>
      <c r="AA6302" s="223">
        <v>7</v>
      </c>
      <c r="AB6302" s="295">
        <v>57</v>
      </c>
      <c r="AC6302" s="230">
        <v>1.01E-2</v>
      </c>
      <c r="AD6302" s="223">
        <v>3.7</v>
      </c>
      <c r="AE6302" s="223">
        <v>0.37</v>
      </c>
      <c r="AF6302" s="223">
        <f>AD6302*AE6302</f>
        <v>1.369</v>
      </c>
      <c r="AG6302" s="223">
        <f>N6302/AF6302</f>
        <v>1.4892716984660337</v>
      </c>
      <c r="AH6302" s="341"/>
      <c r="AI6302" s="153"/>
      <c r="AJ6302" s="480"/>
      <c r="AK6302" s="153"/>
      <c r="AL6302" s="152"/>
      <c r="AM6302" s="152"/>
      <c r="AN6302" s="152"/>
      <c r="AO6302" s="152"/>
      <c r="AP6302" s="152"/>
      <c r="AQ6302" s="152"/>
      <c r="AR6302" s="152"/>
      <c r="AS6302" s="152"/>
      <c r="AT6302" s="152"/>
      <c r="AU6302" s="153"/>
      <c r="AV6302" s="479"/>
      <c r="AW6302" s="479"/>
      <c r="AX6302" s="442"/>
      <c r="AY6302" s="153"/>
      <c r="AZ6302" s="152"/>
      <c r="BA6302" s="152"/>
      <c r="BB6302" s="152"/>
      <c r="BC6302" s="152"/>
      <c r="BD6302" s="152"/>
      <c r="BE6302" s="152"/>
      <c r="BF6302" s="152"/>
      <c r="BG6302" s="152"/>
      <c r="BH6302" s="152"/>
      <c r="BI6302" s="153"/>
      <c r="BJ6302" s="153"/>
      <c r="BK6302" s="153"/>
      <c r="BL6302" s="153"/>
      <c r="BM6302" s="153"/>
      <c r="BN6302" s="153"/>
      <c r="BO6302" s="153"/>
      <c r="BP6302" s="153"/>
      <c r="BQ6302" s="153"/>
      <c r="BR6302" s="153"/>
      <c r="BS6302" s="153"/>
      <c r="BT6302" s="153"/>
      <c r="BU6302" s="153"/>
      <c r="BV6302" s="153"/>
      <c r="BW6302" s="153"/>
      <c r="BX6302" s="153"/>
      <c r="BY6302" s="153"/>
      <c r="BZ6302" s="153"/>
      <c r="CA6302" s="152"/>
      <c r="CB6302" s="152"/>
    </row>
    <row r="6303" spans="1:80" s="87" customFormat="1" x14ac:dyDescent="0.2">
      <c r="A6303" s="152"/>
      <c r="B6303" s="683"/>
      <c r="C6303" s="683"/>
      <c r="D6303" s="698"/>
      <c r="E6303" s="215"/>
      <c r="F6303" s="215"/>
      <c r="G6303" s="153"/>
      <c r="H6303" s="153"/>
      <c r="I6303" s="153"/>
      <c r="J6303" s="153"/>
      <c r="K6303" s="153"/>
      <c r="L6303" s="653"/>
      <c r="M6303" s="663" t="s">
        <v>898</v>
      </c>
      <c r="N6303" s="600">
        <v>2.6051498872000001</v>
      </c>
      <c r="O6303" s="604">
        <v>0.13333333343999998</v>
      </c>
      <c r="P6303" s="250"/>
      <c r="Q6303" s="250"/>
      <c r="R6303" s="250"/>
      <c r="S6303" s="250"/>
      <c r="T6303" s="250"/>
      <c r="U6303" s="250"/>
      <c r="V6303" s="742"/>
      <c r="W6303" s="747"/>
      <c r="X6303" s="743"/>
      <c r="Y6303" s="246"/>
      <c r="Z6303" s="245"/>
      <c r="AA6303" s="223">
        <v>27</v>
      </c>
      <c r="AB6303" s="295">
        <v>58</v>
      </c>
      <c r="AC6303" s="230">
        <v>1.0200000000000001E-2</v>
      </c>
      <c r="AD6303" s="223"/>
      <c r="AE6303" s="223"/>
      <c r="AF6303" s="223"/>
      <c r="AG6303" s="223"/>
      <c r="AH6303" s="341"/>
      <c r="AI6303" s="153"/>
      <c r="AJ6303" s="480"/>
      <c r="AK6303" s="153"/>
      <c r="AL6303" s="152"/>
      <c r="AM6303" s="152"/>
      <c r="AN6303" s="152"/>
      <c r="AO6303" s="152"/>
      <c r="AP6303" s="152"/>
      <c r="AQ6303" s="152"/>
      <c r="AR6303" s="152"/>
      <c r="AS6303" s="152"/>
      <c r="AT6303" s="152"/>
      <c r="AU6303" s="153"/>
      <c r="AV6303" s="479"/>
      <c r="AW6303" s="479"/>
      <c r="AX6303" s="442"/>
      <c r="AY6303" s="153"/>
      <c r="AZ6303" s="152"/>
      <c r="BA6303" s="152"/>
      <c r="BB6303" s="152"/>
      <c r="BC6303" s="152"/>
      <c r="BD6303" s="152"/>
      <c r="BE6303" s="152"/>
      <c r="BF6303" s="152"/>
      <c r="BG6303" s="152"/>
      <c r="BH6303" s="152"/>
      <c r="BI6303" s="153"/>
      <c r="BJ6303" s="153"/>
      <c r="BK6303" s="153"/>
      <c r="BL6303" s="153"/>
      <c r="BM6303" s="153"/>
      <c r="BN6303" s="153"/>
      <c r="BO6303" s="153"/>
      <c r="BP6303" s="153"/>
      <c r="BQ6303" s="153"/>
      <c r="BR6303" s="153"/>
      <c r="BS6303" s="153"/>
      <c r="BT6303" s="153"/>
      <c r="BU6303" s="153"/>
      <c r="BV6303" s="153"/>
      <c r="BW6303" s="153"/>
      <c r="BX6303" s="153"/>
      <c r="BY6303" s="153"/>
      <c r="BZ6303" s="153"/>
      <c r="CA6303" s="152"/>
      <c r="CB6303" s="152"/>
    </row>
    <row r="6304" spans="1:80" s="87" customFormat="1" x14ac:dyDescent="0.2">
      <c r="A6304" s="152"/>
      <c r="B6304" s="683"/>
      <c r="C6304" s="683"/>
      <c r="D6304" s="698"/>
      <c r="E6304" s="215"/>
      <c r="F6304" s="215"/>
      <c r="G6304" s="153"/>
      <c r="H6304" s="153"/>
      <c r="I6304" s="153"/>
      <c r="J6304" s="153"/>
      <c r="K6304" s="153"/>
      <c r="L6304" s="653"/>
      <c r="M6304" s="663">
        <v>26002</v>
      </c>
      <c r="N6304" s="600">
        <v>2.2087140347999998</v>
      </c>
      <c r="O6304" s="604">
        <v>0.40555555587999997</v>
      </c>
      <c r="P6304" s="250">
        <v>0.04</v>
      </c>
      <c r="Q6304" s="250">
        <v>0.24</v>
      </c>
      <c r="R6304" s="250">
        <v>0.28999999999999998</v>
      </c>
      <c r="S6304" s="250">
        <v>0.19</v>
      </c>
      <c r="T6304" s="250">
        <v>0.11</v>
      </c>
      <c r="U6304" s="250">
        <v>7.0000000000000007E-2</v>
      </c>
      <c r="V6304" s="742">
        <v>0.06</v>
      </c>
      <c r="W6304" s="747"/>
      <c r="X6304" s="743"/>
      <c r="Y6304" s="246"/>
      <c r="Z6304" s="245"/>
      <c r="AA6304" s="223">
        <v>19</v>
      </c>
      <c r="AB6304" s="297" t="s">
        <v>221</v>
      </c>
      <c r="AC6304" s="230">
        <v>1.0800000000000001E-2</v>
      </c>
      <c r="AD6304" s="223">
        <v>3.7</v>
      </c>
      <c r="AE6304" s="223">
        <v>0.37</v>
      </c>
      <c r="AF6304" s="223">
        <f>AD6304*AE6304</f>
        <v>1.369</v>
      </c>
      <c r="AG6304" s="223">
        <f>N6304/AF6304</f>
        <v>1.613377673338203</v>
      </c>
      <c r="AH6304" s="341"/>
      <c r="AI6304" s="153"/>
      <c r="AJ6304" s="480"/>
      <c r="AK6304" s="153"/>
      <c r="AL6304" s="152"/>
      <c r="AM6304" s="152"/>
      <c r="AN6304" s="152"/>
      <c r="AO6304" s="152"/>
      <c r="AP6304" s="152"/>
      <c r="AQ6304" s="152"/>
      <c r="AR6304" s="152"/>
      <c r="AS6304" s="152"/>
      <c r="AT6304" s="152"/>
      <c r="AU6304" s="153"/>
      <c r="AV6304" s="479"/>
      <c r="AW6304" s="479"/>
      <c r="AX6304" s="442"/>
      <c r="AY6304" s="153"/>
      <c r="AZ6304" s="152"/>
      <c r="BA6304" s="152"/>
      <c r="BB6304" s="152"/>
      <c r="BC6304" s="152"/>
      <c r="BD6304" s="152"/>
      <c r="BE6304" s="152"/>
      <c r="BF6304" s="152"/>
      <c r="BG6304" s="152"/>
      <c r="BH6304" s="152"/>
      <c r="BI6304" s="153"/>
      <c r="BJ6304" s="153"/>
      <c r="BK6304" s="153"/>
      <c r="BL6304" s="153"/>
      <c r="BM6304" s="153"/>
      <c r="BN6304" s="153"/>
      <c r="BO6304" s="153"/>
      <c r="BP6304" s="153"/>
      <c r="BQ6304" s="153"/>
      <c r="BR6304" s="153"/>
      <c r="BS6304" s="153"/>
      <c r="BT6304" s="153"/>
      <c r="BU6304" s="153"/>
      <c r="BV6304" s="153"/>
      <c r="BW6304" s="153"/>
      <c r="BX6304" s="153"/>
      <c r="BY6304" s="153"/>
      <c r="BZ6304" s="153"/>
      <c r="CA6304" s="152"/>
      <c r="CB6304" s="152"/>
    </row>
    <row r="6305" spans="1:80" s="87" customFormat="1" x14ac:dyDescent="0.2">
      <c r="A6305" s="152"/>
      <c r="B6305" s="683"/>
      <c r="C6305" s="683"/>
      <c r="D6305" s="698"/>
      <c r="E6305" s="215"/>
      <c r="F6305" s="215"/>
      <c r="G6305" s="153"/>
      <c r="H6305" s="153"/>
      <c r="I6305" s="153"/>
      <c r="J6305" s="153"/>
      <c r="K6305" s="153"/>
      <c r="L6305" s="653"/>
      <c r="M6305" s="663">
        <v>26002</v>
      </c>
      <c r="N6305" s="600">
        <v>1.5291097164</v>
      </c>
      <c r="O6305" s="604">
        <v>3.6111111139999999E-2</v>
      </c>
      <c r="P6305" s="250">
        <v>0.01</v>
      </c>
      <c r="Q6305" s="250">
        <v>0.14000000000000001</v>
      </c>
      <c r="R6305" s="250">
        <v>0.22</v>
      </c>
      <c r="S6305" s="250">
        <v>0.17</v>
      </c>
      <c r="T6305" s="250">
        <v>0.17</v>
      </c>
      <c r="U6305" s="250">
        <v>0.14000000000000001</v>
      </c>
      <c r="V6305" s="742">
        <v>0.15</v>
      </c>
      <c r="W6305" s="747"/>
      <c r="X6305" s="743"/>
      <c r="Y6305" s="246"/>
      <c r="Z6305" s="245"/>
      <c r="AA6305" s="223">
        <v>9.5</v>
      </c>
      <c r="AB6305" s="297" t="s">
        <v>221</v>
      </c>
      <c r="AC6305" s="230">
        <v>1.0500000000000001E-2</v>
      </c>
      <c r="AD6305" s="223">
        <v>3.7</v>
      </c>
      <c r="AE6305" s="223">
        <v>0.34</v>
      </c>
      <c r="AF6305" s="223">
        <f>AD6305*AE6305</f>
        <v>1.2580000000000002</v>
      </c>
      <c r="AG6305" s="223">
        <f>N6305/AF6305</f>
        <v>1.2155085186009538</v>
      </c>
      <c r="AH6305" s="341"/>
      <c r="AI6305" s="153"/>
      <c r="AJ6305" s="480"/>
      <c r="AK6305" s="153"/>
      <c r="AL6305" s="152"/>
      <c r="AM6305" s="152"/>
      <c r="AN6305" s="152"/>
      <c r="AO6305" s="152"/>
      <c r="AP6305" s="152"/>
      <c r="AQ6305" s="152"/>
      <c r="AR6305" s="152"/>
      <c r="AS6305" s="152"/>
      <c r="AT6305" s="152"/>
      <c r="AU6305" s="153"/>
      <c r="AV6305" s="479"/>
      <c r="AW6305" s="479"/>
      <c r="AX6305" s="442"/>
      <c r="AY6305" s="153"/>
      <c r="AZ6305" s="152"/>
      <c r="BA6305" s="152"/>
      <c r="BB6305" s="152"/>
      <c r="BC6305" s="152"/>
      <c r="BD6305" s="152"/>
      <c r="BE6305" s="152"/>
      <c r="BF6305" s="152"/>
      <c r="BG6305" s="152"/>
      <c r="BH6305" s="152"/>
      <c r="BI6305" s="153"/>
      <c r="BJ6305" s="153"/>
      <c r="BK6305" s="153"/>
      <c r="BL6305" s="153"/>
      <c r="BM6305" s="153"/>
      <c r="BN6305" s="153"/>
      <c r="BO6305" s="153"/>
      <c r="BP6305" s="153"/>
      <c r="BQ6305" s="153"/>
      <c r="BR6305" s="153"/>
      <c r="BS6305" s="153"/>
      <c r="BT6305" s="153"/>
      <c r="BU6305" s="153"/>
      <c r="BV6305" s="153"/>
      <c r="BW6305" s="153"/>
      <c r="BX6305" s="153"/>
      <c r="BY6305" s="153"/>
      <c r="BZ6305" s="153"/>
      <c r="CA6305" s="152"/>
      <c r="CB6305" s="152"/>
    </row>
    <row r="6306" spans="1:80" s="87" customFormat="1" x14ac:dyDescent="0.2">
      <c r="A6306" s="152"/>
      <c r="B6306" s="683"/>
      <c r="C6306" s="683"/>
      <c r="D6306" s="698"/>
      <c r="E6306" s="215"/>
      <c r="F6306" s="215"/>
      <c r="G6306" s="153"/>
      <c r="H6306" s="153"/>
      <c r="I6306" s="153"/>
      <c r="J6306" s="153"/>
      <c r="K6306" s="153"/>
      <c r="L6306" s="653"/>
      <c r="M6306" s="663">
        <v>26003</v>
      </c>
      <c r="N6306" s="600">
        <v>1.3308917901999999</v>
      </c>
      <c r="O6306" s="604">
        <v>1.7500000013999997E-2</v>
      </c>
      <c r="P6306" s="250">
        <v>0.01</v>
      </c>
      <c r="Q6306" s="250">
        <v>0.14000000000000001</v>
      </c>
      <c r="R6306" s="250">
        <v>0.25</v>
      </c>
      <c r="S6306" s="250">
        <v>0.21</v>
      </c>
      <c r="T6306" s="250">
        <v>0.13</v>
      </c>
      <c r="U6306" s="250">
        <v>0.11</v>
      </c>
      <c r="V6306" s="742">
        <v>0.15</v>
      </c>
      <c r="W6306" s="747"/>
      <c r="X6306" s="743"/>
      <c r="Y6306" s="246"/>
      <c r="Z6306" s="245"/>
      <c r="AA6306" s="223">
        <v>11</v>
      </c>
      <c r="AB6306" s="295">
        <v>61</v>
      </c>
      <c r="AC6306" s="230">
        <v>1.0400000000000001E-2</v>
      </c>
      <c r="AD6306" s="223">
        <v>3.7</v>
      </c>
      <c r="AE6306" s="223">
        <v>0.33</v>
      </c>
      <c r="AF6306" s="223">
        <f>AD6306*AE6306</f>
        <v>1.2210000000000001</v>
      </c>
      <c r="AG6306" s="223">
        <f>N6306/AF6306</f>
        <v>1.0900014661752659</v>
      </c>
      <c r="AH6306" s="341"/>
      <c r="AI6306" s="153"/>
      <c r="AJ6306" s="480"/>
      <c r="AK6306" s="153"/>
      <c r="AL6306" s="152"/>
      <c r="AM6306" s="152"/>
      <c r="AN6306" s="152"/>
      <c r="AO6306" s="152"/>
      <c r="AP6306" s="152"/>
      <c r="AQ6306" s="152"/>
      <c r="AR6306" s="152"/>
      <c r="AS6306" s="152"/>
      <c r="AT6306" s="152"/>
      <c r="AU6306" s="153"/>
      <c r="AV6306" s="479"/>
      <c r="AW6306" s="479"/>
      <c r="AX6306" s="442"/>
      <c r="AY6306" s="153"/>
      <c r="AZ6306" s="152"/>
      <c r="BA6306" s="152"/>
      <c r="BB6306" s="152"/>
      <c r="BC6306" s="152"/>
      <c r="BD6306" s="152"/>
      <c r="BE6306" s="152"/>
      <c r="BF6306" s="152"/>
      <c r="BG6306" s="152"/>
      <c r="BH6306" s="152"/>
      <c r="BI6306" s="153"/>
      <c r="BJ6306" s="153"/>
      <c r="BK6306" s="153"/>
      <c r="BL6306" s="153"/>
      <c r="BM6306" s="153"/>
      <c r="BN6306" s="153"/>
      <c r="BO6306" s="153"/>
      <c r="BP6306" s="153"/>
      <c r="BQ6306" s="153"/>
      <c r="BR6306" s="153"/>
      <c r="BS6306" s="153"/>
      <c r="BT6306" s="153"/>
      <c r="BU6306" s="153"/>
      <c r="BV6306" s="153"/>
      <c r="BW6306" s="153"/>
      <c r="BX6306" s="153"/>
      <c r="BY6306" s="153"/>
      <c r="BZ6306" s="153"/>
      <c r="CA6306" s="152"/>
      <c r="CB6306" s="152"/>
    </row>
    <row r="6307" spans="1:80" s="87" customFormat="1" x14ac:dyDescent="0.2">
      <c r="A6307" s="152"/>
      <c r="B6307" s="683"/>
      <c r="C6307" s="683"/>
      <c r="D6307" s="698"/>
      <c r="E6307" s="215"/>
      <c r="F6307" s="215"/>
      <c r="G6307" s="153"/>
      <c r="H6307" s="153"/>
      <c r="I6307" s="153"/>
      <c r="J6307" s="153"/>
      <c r="K6307" s="153"/>
      <c r="L6307" s="653"/>
      <c r="M6307" s="663">
        <v>26003</v>
      </c>
      <c r="N6307" s="600">
        <v>1.0194064776</v>
      </c>
      <c r="O6307" s="604">
        <v>5.2777777819999995E-3</v>
      </c>
      <c r="P6307" s="250">
        <v>0</v>
      </c>
      <c r="Q6307" s="250">
        <v>0.06</v>
      </c>
      <c r="R6307" s="250">
        <v>0.15</v>
      </c>
      <c r="S6307" s="250">
        <v>0.19</v>
      </c>
      <c r="T6307" s="250">
        <v>0.2</v>
      </c>
      <c r="U6307" s="250">
        <v>0.17</v>
      </c>
      <c r="V6307" s="742">
        <v>0.23</v>
      </c>
      <c r="W6307" s="747"/>
      <c r="X6307" s="743"/>
      <c r="Y6307" s="246"/>
      <c r="Z6307" s="245"/>
      <c r="AA6307" s="223">
        <v>5.8</v>
      </c>
      <c r="AB6307" s="295">
        <v>62</v>
      </c>
      <c r="AC6307" s="230">
        <v>1.0200000000000001E-2</v>
      </c>
      <c r="AD6307" s="223">
        <v>3.7</v>
      </c>
      <c r="AE6307" s="223">
        <v>0.31</v>
      </c>
      <c r="AF6307" s="223">
        <f>AD6307*AE6307</f>
        <v>1.147</v>
      </c>
      <c r="AG6307" s="223">
        <f>N6307/AF6307</f>
        <v>0.88875891682650399</v>
      </c>
      <c r="AH6307" s="341"/>
      <c r="AI6307" s="153"/>
      <c r="AJ6307" s="480"/>
      <c r="AK6307" s="153"/>
      <c r="AL6307" s="152"/>
      <c r="AM6307" s="152"/>
      <c r="AN6307" s="152"/>
      <c r="AO6307" s="152"/>
      <c r="AP6307" s="152"/>
      <c r="AQ6307" s="152"/>
      <c r="AR6307" s="152"/>
      <c r="AS6307" s="152"/>
      <c r="AT6307" s="152"/>
      <c r="AU6307" s="153"/>
      <c r="AV6307" s="479"/>
      <c r="AW6307" s="479"/>
      <c r="AX6307" s="442"/>
      <c r="AY6307" s="153"/>
      <c r="AZ6307" s="152"/>
      <c r="BA6307" s="152"/>
      <c r="BB6307" s="152"/>
      <c r="BC6307" s="152"/>
      <c r="BD6307" s="152"/>
      <c r="BE6307" s="152"/>
      <c r="BF6307" s="152"/>
      <c r="BG6307" s="152"/>
      <c r="BH6307" s="152"/>
      <c r="BI6307" s="153"/>
      <c r="BJ6307" s="153"/>
      <c r="BK6307" s="153"/>
      <c r="BL6307" s="153"/>
      <c r="BM6307" s="153"/>
      <c r="BN6307" s="153"/>
      <c r="BO6307" s="153"/>
      <c r="BP6307" s="153"/>
      <c r="BQ6307" s="153"/>
      <c r="BR6307" s="153"/>
      <c r="BS6307" s="153"/>
      <c r="BT6307" s="153"/>
      <c r="BU6307" s="153"/>
      <c r="BV6307" s="153"/>
      <c r="BW6307" s="153"/>
      <c r="BX6307" s="153"/>
      <c r="BY6307" s="153"/>
      <c r="BZ6307" s="153"/>
      <c r="CA6307" s="152"/>
      <c r="CB6307" s="152"/>
    </row>
    <row r="6308" spans="1:80" s="87" customFormat="1" x14ac:dyDescent="0.2">
      <c r="A6308" s="152"/>
      <c r="B6308" s="683"/>
      <c r="C6308" s="683"/>
      <c r="D6308" s="698"/>
      <c r="E6308" s="215"/>
      <c r="F6308" s="215"/>
      <c r="G6308" s="153"/>
      <c r="H6308" s="153"/>
      <c r="I6308" s="153"/>
      <c r="J6308" s="153"/>
      <c r="K6308" s="153"/>
      <c r="L6308" s="653"/>
      <c r="M6308" s="663" t="s">
        <v>898</v>
      </c>
      <c r="N6308" s="600">
        <v>1.0760401708</v>
      </c>
      <c r="O6308" s="604">
        <v>5.0000000039999992E-3</v>
      </c>
      <c r="P6308" s="250"/>
      <c r="Q6308" s="250"/>
      <c r="R6308" s="250"/>
      <c r="S6308" s="250"/>
      <c r="T6308" s="250"/>
      <c r="U6308" s="250"/>
      <c r="V6308" s="742"/>
      <c r="W6308" s="747"/>
      <c r="X6308" s="743"/>
      <c r="Y6308" s="246"/>
      <c r="Z6308" s="245"/>
      <c r="AA6308" s="223">
        <v>5.3000000000000007</v>
      </c>
      <c r="AB6308" s="295">
        <v>63</v>
      </c>
      <c r="AC6308" s="230">
        <v>1.0200000000000001E-2</v>
      </c>
      <c r="AD6308" s="223"/>
      <c r="AE6308" s="223"/>
      <c r="AF6308" s="223"/>
      <c r="AG6308" s="223"/>
      <c r="AH6308" s="341"/>
      <c r="AI6308" s="153"/>
      <c r="AJ6308" s="480"/>
      <c r="AK6308" s="153"/>
      <c r="AL6308" s="152"/>
      <c r="AM6308" s="152"/>
      <c r="AN6308" s="152"/>
      <c r="AO6308" s="152"/>
      <c r="AP6308" s="152"/>
      <c r="AQ6308" s="152"/>
      <c r="AR6308" s="152"/>
      <c r="AS6308" s="152"/>
      <c r="AT6308" s="152"/>
      <c r="AU6308" s="153"/>
      <c r="AV6308" s="479"/>
      <c r="AW6308" s="479"/>
      <c r="AX6308" s="442"/>
      <c r="AY6308" s="153"/>
      <c r="AZ6308" s="152"/>
      <c r="BA6308" s="152"/>
      <c r="BB6308" s="152"/>
      <c r="BC6308" s="152"/>
      <c r="BD6308" s="152"/>
      <c r="BE6308" s="152"/>
      <c r="BF6308" s="152"/>
      <c r="BG6308" s="152"/>
      <c r="BH6308" s="152"/>
      <c r="BI6308" s="153"/>
      <c r="BJ6308" s="153"/>
      <c r="BK6308" s="153"/>
      <c r="BL6308" s="153"/>
      <c r="BM6308" s="153"/>
      <c r="BN6308" s="153"/>
      <c r="BO6308" s="153"/>
      <c r="BP6308" s="153"/>
      <c r="BQ6308" s="153"/>
      <c r="BR6308" s="153"/>
      <c r="BS6308" s="153"/>
      <c r="BT6308" s="153"/>
      <c r="BU6308" s="153"/>
      <c r="BV6308" s="153"/>
      <c r="BW6308" s="153"/>
      <c r="BX6308" s="153"/>
      <c r="BY6308" s="153"/>
      <c r="BZ6308" s="153"/>
      <c r="CA6308" s="152"/>
      <c r="CB6308" s="152"/>
    </row>
    <row r="6309" spans="1:80" s="87" customFormat="1" x14ac:dyDescent="0.2">
      <c r="A6309" s="152"/>
      <c r="B6309" s="683"/>
      <c r="C6309" s="683"/>
      <c r="D6309" s="698"/>
      <c r="E6309" s="215"/>
      <c r="F6309" s="215"/>
      <c r="G6309" s="153"/>
      <c r="H6309" s="153"/>
      <c r="I6309" s="153"/>
      <c r="J6309" s="153"/>
      <c r="K6309" s="153"/>
      <c r="L6309" s="653"/>
      <c r="M6309" s="663">
        <v>26003</v>
      </c>
      <c r="N6309" s="600">
        <v>1.4441591765999999</v>
      </c>
      <c r="O6309" s="604">
        <v>2.1666666683999997E-2</v>
      </c>
      <c r="P6309" s="250">
        <v>0.01</v>
      </c>
      <c r="Q6309" s="250">
        <v>0.14000000000000001</v>
      </c>
      <c r="R6309" s="250">
        <v>0.22</v>
      </c>
      <c r="S6309" s="250">
        <v>0.2</v>
      </c>
      <c r="T6309" s="250">
        <v>0.14000000000000001</v>
      </c>
      <c r="U6309" s="250">
        <v>0.12</v>
      </c>
      <c r="V6309" s="742">
        <v>0.17</v>
      </c>
      <c r="W6309" s="747"/>
      <c r="X6309" s="743"/>
      <c r="Y6309" s="246"/>
      <c r="Z6309" s="245"/>
      <c r="AA6309" s="223">
        <v>10</v>
      </c>
      <c r="AB6309" s="295">
        <v>64</v>
      </c>
      <c r="AC6309" s="230">
        <v>0.01</v>
      </c>
      <c r="AD6309" s="223">
        <v>3.7</v>
      </c>
      <c r="AE6309" s="223">
        <v>0.34</v>
      </c>
      <c r="AF6309" s="223">
        <f>AD6309*AE6309</f>
        <v>1.2580000000000002</v>
      </c>
      <c r="AG6309" s="223">
        <f>N6309/AF6309</f>
        <v>1.1479802675675672</v>
      </c>
      <c r="AH6309" s="341"/>
      <c r="AI6309" s="153"/>
      <c r="AJ6309" s="480"/>
      <c r="AK6309" s="153"/>
      <c r="AL6309" s="152"/>
      <c r="AM6309" s="152"/>
      <c r="AN6309" s="152"/>
      <c r="AO6309" s="152"/>
      <c r="AP6309" s="152"/>
      <c r="AQ6309" s="152"/>
      <c r="AR6309" s="152"/>
      <c r="AS6309" s="152"/>
      <c r="AT6309" s="152"/>
      <c r="AU6309" s="153"/>
      <c r="AV6309" s="479"/>
      <c r="AW6309" s="479"/>
      <c r="AX6309" s="442"/>
      <c r="AY6309" s="153"/>
      <c r="AZ6309" s="152"/>
      <c r="BA6309" s="152"/>
      <c r="BB6309" s="152"/>
      <c r="BC6309" s="152"/>
      <c r="BD6309" s="152"/>
      <c r="BE6309" s="152"/>
      <c r="BF6309" s="152"/>
      <c r="BG6309" s="152"/>
      <c r="BH6309" s="152"/>
      <c r="BI6309" s="153"/>
      <c r="BJ6309" s="153"/>
      <c r="BK6309" s="153"/>
      <c r="BL6309" s="153"/>
      <c r="BM6309" s="153"/>
      <c r="BN6309" s="153"/>
      <c r="BO6309" s="153"/>
      <c r="BP6309" s="153"/>
      <c r="BQ6309" s="153"/>
      <c r="BR6309" s="153"/>
      <c r="BS6309" s="153"/>
      <c r="BT6309" s="153"/>
      <c r="BU6309" s="153"/>
      <c r="BV6309" s="153"/>
      <c r="BW6309" s="153"/>
      <c r="BX6309" s="153"/>
      <c r="BY6309" s="153"/>
      <c r="BZ6309" s="153"/>
      <c r="CA6309" s="152"/>
      <c r="CB6309" s="152"/>
    </row>
    <row r="6310" spans="1:80" s="87" customFormat="1" x14ac:dyDescent="0.2">
      <c r="A6310" s="152"/>
      <c r="B6310" s="683"/>
      <c r="C6310" s="683"/>
      <c r="D6310" s="698"/>
      <c r="E6310" s="215"/>
      <c r="F6310" s="215"/>
      <c r="G6310" s="153"/>
      <c r="H6310" s="153"/>
      <c r="I6310" s="153"/>
      <c r="J6310" s="153"/>
      <c r="K6310" s="153"/>
      <c r="L6310" s="653"/>
      <c r="M6310" s="663" t="s">
        <v>898</v>
      </c>
      <c r="N6310" s="600">
        <v>1.7556444892</v>
      </c>
      <c r="O6310" s="604">
        <v>7.2222222279999998E-2</v>
      </c>
      <c r="P6310" s="250"/>
      <c r="Q6310" s="250"/>
      <c r="R6310" s="250"/>
      <c r="S6310" s="250"/>
      <c r="T6310" s="250"/>
      <c r="U6310" s="250"/>
      <c r="V6310" s="742"/>
      <c r="W6310" s="747"/>
      <c r="X6310" s="743"/>
      <c r="Y6310" s="246"/>
      <c r="Z6310" s="245"/>
      <c r="AA6310" s="223">
        <v>12</v>
      </c>
      <c r="AB6310" s="295">
        <v>65</v>
      </c>
      <c r="AC6310" s="230">
        <v>0.01</v>
      </c>
      <c r="AD6310" s="223"/>
      <c r="AE6310" s="223"/>
      <c r="AF6310" s="223"/>
      <c r="AG6310" s="223"/>
      <c r="AH6310" s="341"/>
      <c r="AI6310" s="153"/>
      <c r="AJ6310" s="480"/>
      <c r="AK6310" s="153"/>
      <c r="AL6310" s="152"/>
      <c r="AM6310" s="152"/>
      <c r="AN6310" s="152"/>
      <c r="AO6310" s="152"/>
      <c r="AP6310" s="152"/>
      <c r="AQ6310" s="152"/>
      <c r="AR6310" s="152"/>
      <c r="AS6310" s="152"/>
      <c r="AT6310" s="152"/>
      <c r="AU6310" s="153"/>
      <c r="AV6310" s="479"/>
      <c r="AW6310" s="479"/>
      <c r="AX6310" s="442"/>
      <c r="AY6310" s="153"/>
      <c r="AZ6310" s="152"/>
      <c r="BA6310" s="152"/>
      <c r="BB6310" s="152"/>
      <c r="BC6310" s="152"/>
      <c r="BD6310" s="152"/>
      <c r="BE6310" s="152"/>
      <c r="BF6310" s="152"/>
      <c r="BG6310" s="152"/>
      <c r="BH6310" s="152"/>
      <c r="BI6310" s="153"/>
      <c r="BJ6310" s="153"/>
      <c r="BK6310" s="153"/>
      <c r="BL6310" s="153"/>
      <c r="BM6310" s="153"/>
      <c r="BN6310" s="153"/>
      <c r="BO6310" s="153"/>
      <c r="BP6310" s="153"/>
      <c r="BQ6310" s="153"/>
      <c r="BR6310" s="153"/>
      <c r="BS6310" s="153"/>
      <c r="BT6310" s="153"/>
      <c r="BU6310" s="153"/>
      <c r="BV6310" s="153"/>
      <c r="BW6310" s="153"/>
      <c r="BX6310" s="153"/>
      <c r="BY6310" s="153"/>
      <c r="BZ6310" s="153"/>
      <c r="CA6310" s="152"/>
      <c r="CB6310" s="152"/>
    </row>
    <row r="6311" spans="1:80" s="87" customFormat="1" x14ac:dyDescent="0.2">
      <c r="A6311" s="152"/>
      <c r="B6311" s="683"/>
      <c r="C6311" s="683"/>
      <c r="D6311" s="698"/>
      <c r="E6311" s="215"/>
      <c r="F6311" s="215"/>
      <c r="G6311" s="153"/>
      <c r="H6311" s="153"/>
      <c r="I6311" s="153"/>
      <c r="J6311" s="153"/>
      <c r="K6311" s="153"/>
      <c r="L6311" s="653"/>
      <c r="M6311" s="663" t="s">
        <v>898</v>
      </c>
      <c r="N6311" s="600">
        <v>2.0954466484000003</v>
      </c>
      <c r="O6311" s="604">
        <v>0.14527777789399998</v>
      </c>
      <c r="P6311" s="250"/>
      <c r="Q6311" s="250"/>
      <c r="R6311" s="250"/>
      <c r="S6311" s="250"/>
      <c r="T6311" s="250"/>
      <c r="U6311" s="250"/>
      <c r="V6311" s="742"/>
      <c r="W6311" s="747"/>
      <c r="X6311" s="743"/>
      <c r="Y6311" s="246"/>
      <c r="Z6311" s="245"/>
      <c r="AA6311" s="223">
        <v>23</v>
      </c>
      <c r="AB6311" s="295">
        <v>66</v>
      </c>
      <c r="AC6311" s="230">
        <v>0.01</v>
      </c>
      <c r="AD6311" s="223"/>
      <c r="AE6311" s="223"/>
      <c r="AF6311" s="223"/>
      <c r="AG6311" s="223"/>
      <c r="AH6311" s="341"/>
      <c r="AI6311" s="153"/>
      <c r="AJ6311" s="480"/>
      <c r="AK6311" s="153"/>
      <c r="AL6311" s="152"/>
      <c r="AM6311" s="152"/>
      <c r="AN6311" s="152"/>
      <c r="AO6311" s="152"/>
      <c r="AP6311" s="152"/>
      <c r="AQ6311" s="152"/>
      <c r="AR6311" s="152"/>
      <c r="AS6311" s="152"/>
      <c r="AT6311" s="152"/>
      <c r="AU6311" s="153"/>
      <c r="AV6311" s="479"/>
      <c r="AW6311" s="479"/>
      <c r="AX6311" s="442"/>
      <c r="AY6311" s="153"/>
      <c r="AZ6311" s="152"/>
      <c r="BA6311" s="152"/>
      <c r="BB6311" s="152"/>
      <c r="BC6311" s="152"/>
      <c r="BD6311" s="152"/>
      <c r="BE6311" s="152"/>
      <c r="BF6311" s="152"/>
      <c r="BG6311" s="152"/>
      <c r="BH6311" s="152"/>
      <c r="BI6311" s="153"/>
      <c r="BJ6311" s="153"/>
      <c r="BK6311" s="153"/>
      <c r="BL6311" s="153"/>
      <c r="BM6311" s="153"/>
      <c r="BN6311" s="153"/>
      <c r="BO6311" s="153"/>
      <c r="BP6311" s="153"/>
      <c r="BQ6311" s="153"/>
      <c r="BR6311" s="153"/>
      <c r="BS6311" s="153"/>
      <c r="BT6311" s="153"/>
      <c r="BU6311" s="153"/>
      <c r="BV6311" s="153"/>
      <c r="BW6311" s="153"/>
      <c r="BX6311" s="153"/>
      <c r="BY6311" s="153"/>
      <c r="BZ6311" s="153"/>
      <c r="CA6311" s="152"/>
      <c r="CB6311" s="152"/>
    </row>
    <row r="6312" spans="1:80" s="87" customFormat="1" x14ac:dyDescent="0.2">
      <c r="A6312" s="152"/>
      <c r="B6312" s="683"/>
      <c r="C6312" s="683"/>
      <c r="D6312" s="698"/>
      <c r="E6312" s="215"/>
      <c r="F6312" s="215"/>
      <c r="G6312" s="153"/>
      <c r="H6312" s="153"/>
      <c r="I6312" s="153"/>
      <c r="J6312" s="153"/>
      <c r="K6312" s="153"/>
      <c r="L6312" s="653"/>
      <c r="M6312" s="663" t="s">
        <v>899</v>
      </c>
      <c r="N6312" s="600">
        <f>0.68*(0.028317)</f>
        <v>1.9255560000000001E-2</v>
      </c>
      <c r="O6312" s="617">
        <f>(1.3/(1000))/(60*60)</f>
        <v>3.6111111111111107E-7</v>
      </c>
      <c r="P6312" s="250"/>
      <c r="Q6312" s="250"/>
      <c r="R6312" s="250"/>
      <c r="S6312" s="250"/>
      <c r="T6312" s="250"/>
      <c r="U6312" s="250"/>
      <c r="V6312" s="742"/>
      <c r="W6312" s="747"/>
      <c r="X6312" s="743"/>
      <c r="Y6312" s="246"/>
      <c r="Z6312" s="245"/>
      <c r="AA6312" s="220">
        <f>0.07*(10)</f>
        <v>0.70000000000000007</v>
      </c>
      <c r="AB6312" s="295">
        <v>67</v>
      </c>
      <c r="AC6312" s="230">
        <v>9.4000000000000004E-3</v>
      </c>
      <c r="AD6312" s="223"/>
      <c r="AE6312" s="223"/>
      <c r="AF6312" s="223"/>
      <c r="AG6312" s="223"/>
      <c r="AH6312" s="341"/>
      <c r="AI6312" s="153"/>
      <c r="AJ6312" s="480"/>
      <c r="AK6312" s="153"/>
      <c r="AL6312" s="152"/>
      <c r="AM6312" s="152"/>
      <c r="AN6312" s="152"/>
      <c r="AO6312" s="152"/>
      <c r="AP6312" s="152"/>
      <c r="AQ6312" s="152"/>
      <c r="AR6312" s="152"/>
      <c r="AS6312" s="152"/>
      <c r="AT6312" s="152"/>
      <c r="AU6312" s="153"/>
      <c r="AV6312" s="479"/>
      <c r="AW6312" s="479"/>
      <c r="AX6312" s="442"/>
      <c r="AY6312" s="153"/>
      <c r="AZ6312" s="152"/>
      <c r="BA6312" s="152"/>
      <c r="BB6312" s="152"/>
      <c r="BC6312" s="152"/>
      <c r="BD6312" s="152"/>
      <c r="BE6312" s="152"/>
      <c r="BF6312" s="152"/>
      <c r="BG6312" s="152"/>
      <c r="BH6312" s="152"/>
      <c r="BI6312" s="153"/>
      <c r="BJ6312" s="153"/>
      <c r="BK6312" s="153"/>
      <c r="BL6312" s="153"/>
      <c r="BM6312" s="153"/>
      <c r="BN6312" s="153"/>
      <c r="BO6312" s="153"/>
      <c r="BP6312" s="153"/>
      <c r="BQ6312" s="153"/>
      <c r="BR6312" s="153"/>
      <c r="BS6312" s="153"/>
      <c r="BT6312" s="153"/>
      <c r="BU6312" s="153"/>
      <c r="BV6312" s="153"/>
      <c r="BW6312" s="153"/>
      <c r="BX6312" s="153"/>
      <c r="BY6312" s="153"/>
      <c r="BZ6312" s="153"/>
      <c r="CA6312" s="152"/>
      <c r="CB6312" s="152"/>
    </row>
    <row r="6313" spans="1:80" s="87" customFormat="1" x14ac:dyDescent="0.2">
      <c r="A6313" s="152"/>
      <c r="B6313" s="683"/>
      <c r="C6313" s="683"/>
      <c r="D6313" s="698"/>
      <c r="E6313" s="215"/>
      <c r="F6313" s="215"/>
      <c r="G6313" s="153"/>
      <c r="H6313" s="153"/>
      <c r="I6313" s="153"/>
      <c r="J6313" s="153"/>
      <c r="K6313" s="153"/>
      <c r="L6313" s="653"/>
      <c r="M6313" s="663" t="s">
        <v>899</v>
      </c>
      <c r="N6313" s="600">
        <f>0.67*(0.028317)</f>
        <v>1.8972389999999999E-2</v>
      </c>
      <c r="O6313" s="617">
        <f>((1.2/(1000))/(60))/(60)</f>
        <v>3.333333333333333E-7</v>
      </c>
      <c r="P6313" s="250"/>
      <c r="Q6313" s="250"/>
      <c r="R6313" s="250"/>
      <c r="S6313" s="250"/>
      <c r="T6313" s="250"/>
      <c r="U6313" s="250"/>
      <c r="V6313" s="742"/>
      <c r="W6313" s="747"/>
      <c r="X6313" s="743"/>
      <c r="Y6313" s="246"/>
      <c r="Z6313" s="245"/>
      <c r="AA6313" s="220">
        <f>0.053*(10)</f>
        <v>0.53</v>
      </c>
      <c r="AB6313" s="295">
        <v>68</v>
      </c>
      <c r="AC6313" s="230">
        <v>9.4000000000000004E-3</v>
      </c>
      <c r="AD6313" s="223"/>
      <c r="AE6313" s="223"/>
      <c r="AF6313" s="223"/>
      <c r="AG6313" s="223"/>
      <c r="AH6313" s="341"/>
      <c r="AI6313" s="153"/>
      <c r="AJ6313" s="480"/>
      <c r="AK6313" s="153"/>
      <c r="AL6313" s="152"/>
      <c r="AM6313" s="152"/>
      <c r="AN6313" s="152"/>
      <c r="AO6313" s="152"/>
      <c r="AP6313" s="152"/>
      <c r="AQ6313" s="152"/>
      <c r="AR6313" s="152"/>
      <c r="AS6313" s="152"/>
      <c r="AT6313" s="152"/>
      <c r="AU6313" s="153"/>
      <c r="AV6313" s="479"/>
      <c r="AW6313" s="479"/>
      <c r="AX6313" s="442"/>
      <c r="AY6313" s="153"/>
      <c r="AZ6313" s="152"/>
      <c r="BA6313" s="152"/>
      <c r="BB6313" s="152"/>
      <c r="BC6313" s="152"/>
      <c r="BD6313" s="152"/>
      <c r="BE6313" s="152"/>
      <c r="BF6313" s="152"/>
      <c r="BG6313" s="152"/>
      <c r="BH6313" s="152"/>
      <c r="BI6313" s="153"/>
      <c r="BJ6313" s="153"/>
      <c r="BK6313" s="153"/>
      <c r="BL6313" s="153"/>
      <c r="BM6313" s="153"/>
      <c r="BN6313" s="153"/>
      <c r="BO6313" s="153"/>
      <c r="BP6313" s="153"/>
      <c r="BQ6313" s="153"/>
      <c r="BR6313" s="153"/>
      <c r="BS6313" s="153"/>
      <c r="BT6313" s="153"/>
      <c r="BU6313" s="153"/>
      <c r="BV6313" s="153"/>
      <c r="BW6313" s="153"/>
      <c r="BX6313" s="153"/>
      <c r="BY6313" s="153"/>
      <c r="BZ6313" s="153"/>
      <c r="CA6313" s="152"/>
      <c r="CB6313" s="152"/>
    </row>
    <row r="6314" spans="1:80" s="87" customFormat="1" x14ac:dyDescent="0.2">
      <c r="A6314" s="152"/>
      <c r="B6314" s="683"/>
      <c r="C6314" s="683"/>
      <c r="D6314" s="698"/>
      <c r="E6314" s="215"/>
      <c r="F6314" s="215"/>
      <c r="G6314" s="153"/>
      <c r="H6314" s="153"/>
      <c r="I6314" s="153"/>
      <c r="J6314" s="153"/>
      <c r="K6314" s="153"/>
      <c r="L6314" s="653"/>
      <c r="M6314" s="663" t="s">
        <v>899</v>
      </c>
      <c r="N6314" s="600">
        <f>0.68*(0.028317)</f>
        <v>1.9255560000000001E-2</v>
      </c>
      <c r="O6314" s="617">
        <f>((2.6/(1000))/(60))/(60)</f>
        <v>7.2222222222222225E-7</v>
      </c>
      <c r="P6314" s="250"/>
      <c r="Q6314" s="250"/>
      <c r="R6314" s="250"/>
      <c r="S6314" s="250"/>
      <c r="T6314" s="250"/>
      <c r="U6314" s="250"/>
      <c r="V6314" s="742"/>
      <c r="W6314" s="747"/>
      <c r="X6314" s="743"/>
      <c r="Y6314" s="246"/>
      <c r="Z6314" s="245"/>
      <c r="AA6314" s="220">
        <f>0.22*(10)</f>
        <v>2.2000000000000002</v>
      </c>
      <c r="AB6314" s="295">
        <v>69</v>
      </c>
      <c r="AC6314" s="230">
        <v>9.4000000000000004E-3</v>
      </c>
      <c r="AD6314" s="223"/>
      <c r="AE6314" s="223"/>
      <c r="AF6314" s="223"/>
      <c r="AG6314" s="223"/>
      <c r="AH6314" s="341"/>
      <c r="AI6314" s="153"/>
      <c r="AJ6314" s="480"/>
      <c r="AK6314" s="153"/>
      <c r="AL6314" s="152"/>
      <c r="AM6314" s="152"/>
      <c r="AN6314" s="152"/>
      <c r="AO6314" s="152"/>
      <c r="AP6314" s="152"/>
      <c r="AQ6314" s="152"/>
      <c r="AR6314" s="152"/>
      <c r="AS6314" s="152"/>
      <c r="AT6314" s="152"/>
      <c r="AU6314" s="153"/>
      <c r="AV6314" s="479"/>
      <c r="AW6314" s="479"/>
      <c r="AX6314" s="442"/>
      <c r="AY6314" s="153"/>
      <c r="AZ6314" s="152"/>
      <c r="BA6314" s="152"/>
      <c r="BB6314" s="152"/>
      <c r="BC6314" s="152"/>
      <c r="BD6314" s="152"/>
      <c r="BE6314" s="152"/>
      <c r="BF6314" s="152"/>
      <c r="BG6314" s="152"/>
      <c r="BH6314" s="152"/>
      <c r="BI6314" s="153"/>
      <c r="BJ6314" s="153"/>
      <c r="BK6314" s="153"/>
      <c r="BL6314" s="153"/>
      <c r="BM6314" s="153"/>
      <c r="BN6314" s="153"/>
      <c r="BO6314" s="153"/>
      <c r="BP6314" s="153"/>
      <c r="BQ6314" s="153"/>
      <c r="BR6314" s="153"/>
      <c r="BS6314" s="153"/>
      <c r="BT6314" s="153"/>
      <c r="BU6314" s="153"/>
      <c r="BV6314" s="153"/>
      <c r="BW6314" s="153"/>
      <c r="BX6314" s="153"/>
      <c r="BY6314" s="153"/>
      <c r="BZ6314" s="153"/>
      <c r="CA6314" s="152"/>
      <c r="CB6314" s="152"/>
    </row>
    <row r="6315" spans="1:80" s="87" customFormat="1" x14ac:dyDescent="0.2">
      <c r="A6315" s="152"/>
      <c r="B6315" s="683"/>
      <c r="C6315" s="683"/>
      <c r="D6315" s="698"/>
      <c r="E6315" s="215"/>
      <c r="F6315" s="215"/>
      <c r="G6315" s="153"/>
      <c r="H6315" s="153"/>
      <c r="I6315" s="153"/>
      <c r="J6315" s="153"/>
      <c r="K6315" s="153"/>
      <c r="L6315" s="653"/>
      <c r="M6315" s="663" t="s">
        <v>899</v>
      </c>
      <c r="N6315" s="600">
        <f>0.68*(0.028317)</f>
        <v>1.9255560000000001E-2</v>
      </c>
      <c r="O6315" s="617">
        <f>((1.8/(1000))/(60))/(60)</f>
        <v>4.9999999999999998E-7</v>
      </c>
      <c r="P6315" s="250"/>
      <c r="Q6315" s="250"/>
      <c r="R6315" s="250"/>
      <c r="S6315" s="250"/>
      <c r="T6315" s="250"/>
      <c r="U6315" s="250"/>
      <c r="V6315" s="742"/>
      <c r="W6315" s="747"/>
      <c r="X6315" s="743"/>
      <c r="Y6315" s="246"/>
      <c r="Z6315" s="245"/>
      <c r="AA6315" s="220">
        <f>0.13*(10)</f>
        <v>1.3</v>
      </c>
      <c r="AB6315" s="295">
        <v>70</v>
      </c>
      <c r="AC6315" s="230">
        <v>9.4000000000000004E-3</v>
      </c>
      <c r="AD6315" s="223"/>
      <c r="AE6315" s="223"/>
      <c r="AF6315" s="223"/>
      <c r="AG6315" s="223"/>
      <c r="AH6315" s="341"/>
      <c r="AI6315" s="153"/>
      <c r="AJ6315" s="480"/>
      <c r="AK6315" s="153"/>
      <c r="AL6315" s="152"/>
      <c r="AM6315" s="152"/>
      <c r="AN6315" s="152"/>
      <c r="AO6315" s="152"/>
      <c r="AP6315" s="152"/>
      <c r="AQ6315" s="152"/>
      <c r="AR6315" s="152"/>
      <c r="AS6315" s="152"/>
      <c r="AT6315" s="152"/>
      <c r="AU6315" s="153"/>
      <c r="AV6315" s="479"/>
      <c r="AW6315" s="479"/>
      <c r="AX6315" s="442"/>
      <c r="AY6315" s="153"/>
      <c r="AZ6315" s="152"/>
      <c r="BA6315" s="152"/>
      <c r="BB6315" s="152"/>
      <c r="BC6315" s="152"/>
      <c r="BD6315" s="152"/>
      <c r="BE6315" s="152"/>
      <c r="BF6315" s="152"/>
      <c r="BG6315" s="152"/>
      <c r="BH6315" s="152"/>
      <c r="BI6315" s="153"/>
      <c r="BJ6315" s="153"/>
      <c r="BK6315" s="153"/>
      <c r="BL6315" s="153"/>
      <c r="BM6315" s="153"/>
      <c r="BN6315" s="153"/>
      <c r="BO6315" s="153"/>
      <c r="BP6315" s="153"/>
      <c r="BQ6315" s="153"/>
      <c r="BR6315" s="153"/>
      <c r="BS6315" s="153"/>
      <c r="BT6315" s="153"/>
      <c r="BU6315" s="153"/>
      <c r="BV6315" s="153"/>
      <c r="BW6315" s="153"/>
      <c r="BX6315" s="153"/>
      <c r="BY6315" s="153"/>
      <c r="BZ6315" s="153"/>
      <c r="CA6315" s="152"/>
      <c r="CB6315" s="152"/>
    </row>
    <row r="6316" spans="1:80" s="87" customFormat="1" x14ac:dyDescent="0.2">
      <c r="A6316" s="152"/>
      <c r="B6316" s="683"/>
      <c r="C6316" s="683"/>
      <c r="D6316" s="698"/>
      <c r="E6316" s="215"/>
      <c r="F6316" s="215"/>
      <c r="G6316" s="153"/>
      <c r="H6316" s="153"/>
      <c r="I6316" s="153"/>
      <c r="J6316" s="153"/>
      <c r="K6316" s="153"/>
      <c r="L6316" s="653"/>
      <c r="M6316" s="663" t="s">
        <v>899</v>
      </c>
      <c r="N6316" s="600">
        <f>0.67*(0.028317)</f>
        <v>1.8972389999999999E-2</v>
      </c>
      <c r="O6316" s="617">
        <f>((2.3/(1000))/(60))/(60)</f>
        <v>6.3888888888888894E-7</v>
      </c>
      <c r="P6316" s="250"/>
      <c r="Q6316" s="250"/>
      <c r="R6316" s="250"/>
      <c r="S6316" s="250"/>
      <c r="T6316" s="250"/>
      <c r="U6316" s="250"/>
      <c r="V6316" s="742"/>
      <c r="W6316" s="747"/>
      <c r="X6316" s="743"/>
      <c r="Y6316" s="246"/>
      <c r="Z6316" s="245"/>
      <c r="AA6316" s="220">
        <f>0.44*(10)</f>
        <v>4.4000000000000004</v>
      </c>
      <c r="AB6316" s="295">
        <v>71</v>
      </c>
      <c r="AC6316" s="230">
        <v>9.4000000000000004E-3</v>
      </c>
      <c r="AD6316" s="223"/>
      <c r="AE6316" s="223"/>
      <c r="AF6316" s="223"/>
      <c r="AG6316" s="223"/>
      <c r="AH6316" s="341"/>
      <c r="AI6316" s="153"/>
      <c r="AJ6316" s="480"/>
      <c r="AK6316" s="153"/>
      <c r="AL6316" s="152"/>
      <c r="AM6316" s="152"/>
      <c r="AN6316" s="152"/>
      <c r="AO6316" s="152"/>
      <c r="AP6316" s="152"/>
      <c r="AQ6316" s="152"/>
      <c r="AR6316" s="152"/>
      <c r="AS6316" s="152"/>
      <c r="AT6316" s="152"/>
      <c r="AU6316" s="153"/>
      <c r="AV6316" s="479"/>
      <c r="AW6316" s="479"/>
      <c r="AX6316" s="442"/>
      <c r="AY6316" s="153"/>
      <c r="AZ6316" s="152"/>
      <c r="BA6316" s="152"/>
      <c r="BB6316" s="152"/>
      <c r="BC6316" s="152"/>
      <c r="BD6316" s="152"/>
      <c r="BE6316" s="152"/>
      <c r="BF6316" s="152"/>
      <c r="BG6316" s="152"/>
      <c r="BH6316" s="152"/>
      <c r="BI6316" s="153"/>
      <c r="BJ6316" s="153"/>
      <c r="BK6316" s="153"/>
      <c r="BL6316" s="153"/>
      <c r="BM6316" s="153"/>
      <c r="BN6316" s="153"/>
      <c r="BO6316" s="153"/>
      <c r="BP6316" s="153"/>
      <c r="BQ6316" s="153"/>
      <c r="BR6316" s="153"/>
      <c r="BS6316" s="153"/>
      <c r="BT6316" s="153"/>
      <c r="BU6316" s="153"/>
      <c r="BV6316" s="153"/>
      <c r="BW6316" s="153"/>
      <c r="BX6316" s="153"/>
      <c r="BY6316" s="153"/>
      <c r="BZ6316" s="153"/>
      <c r="CA6316" s="152"/>
      <c r="CB6316" s="152"/>
    </row>
    <row r="6317" spans="1:80" s="87" customFormat="1" x14ac:dyDescent="0.2">
      <c r="A6317" s="152"/>
      <c r="B6317" s="683"/>
      <c r="C6317" s="683"/>
      <c r="D6317" s="698"/>
      <c r="E6317" s="215"/>
      <c r="F6317" s="215"/>
      <c r="G6317" s="153"/>
      <c r="H6317" s="153"/>
      <c r="I6317" s="153"/>
      <c r="J6317" s="153"/>
      <c r="K6317" s="153"/>
      <c r="L6317" s="653"/>
      <c r="M6317" s="663" t="s">
        <v>899</v>
      </c>
      <c r="N6317" s="600">
        <f>0.67*(0.028317)</f>
        <v>1.8972389999999999E-2</v>
      </c>
      <c r="O6317" s="617">
        <f>((0.37/(1000))/(60))/(60)</f>
        <v>1.0277777777777777E-7</v>
      </c>
      <c r="P6317" s="250"/>
      <c r="Q6317" s="250"/>
      <c r="R6317" s="250"/>
      <c r="S6317" s="250"/>
      <c r="T6317" s="250"/>
      <c r="U6317" s="250"/>
      <c r="V6317" s="742"/>
      <c r="W6317" s="747"/>
      <c r="X6317" s="743"/>
      <c r="Y6317" s="246"/>
      <c r="Z6317" s="245"/>
      <c r="AA6317" s="220">
        <f>0.039*(10)</f>
        <v>0.39</v>
      </c>
      <c r="AB6317" s="295">
        <v>72</v>
      </c>
      <c r="AC6317" s="230">
        <v>9.4000000000000004E-3</v>
      </c>
      <c r="AD6317" s="223"/>
      <c r="AE6317" s="223"/>
      <c r="AF6317" s="223"/>
      <c r="AG6317" s="223"/>
      <c r="AH6317" s="341"/>
      <c r="AI6317" s="153"/>
      <c r="AJ6317" s="480"/>
      <c r="AK6317" s="153"/>
      <c r="AL6317" s="152"/>
      <c r="AM6317" s="152"/>
      <c r="AN6317" s="152"/>
      <c r="AO6317" s="152"/>
      <c r="AP6317" s="152"/>
      <c r="AQ6317" s="152"/>
      <c r="AR6317" s="152"/>
      <c r="AS6317" s="152"/>
      <c r="AT6317" s="152"/>
      <c r="AU6317" s="153"/>
      <c r="AV6317" s="479"/>
      <c r="AW6317" s="479"/>
      <c r="AX6317" s="442"/>
      <c r="AY6317" s="153"/>
      <c r="AZ6317" s="152"/>
      <c r="BA6317" s="152"/>
      <c r="BB6317" s="152"/>
      <c r="BC6317" s="152"/>
      <c r="BD6317" s="152"/>
      <c r="BE6317" s="152"/>
      <c r="BF6317" s="152"/>
      <c r="BG6317" s="152"/>
      <c r="BH6317" s="152"/>
      <c r="BI6317" s="153"/>
      <c r="BJ6317" s="153"/>
      <c r="BK6317" s="153"/>
      <c r="BL6317" s="153"/>
      <c r="BM6317" s="153"/>
      <c r="BN6317" s="153"/>
      <c r="BO6317" s="153"/>
      <c r="BP6317" s="153"/>
      <c r="BQ6317" s="153"/>
      <c r="BR6317" s="153"/>
      <c r="BS6317" s="153"/>
      <c r="BT6317" s="153"/>
      <c r="BU6317" s="153"/>
      <c r="BV6317" s="153"/>
      <c r="BW6317" s="153"/>
      <c r="BX6317" s="153"/>
      <c r="BY6317" s="153"/>
      <c r="BZ6317" s="153"/>
      <c r="CA6317" s="152"/>
      <c r="CB6317" s="152"/>
    </row>
    <row r="6318" spans="1:80" s="87" customFormat="1" x14ac:dyDescent="0.2">
      <c r="A6318" s="152"/>
      <c r="B6318" s="683"/>
      <c r="C6318" s="683"/>
      <c r="D6318" s="698"/>
      <c r="E6318" s="215"/>
      <c r="F6318" s="215"/>
      <c r="G6318" s="153"/>
      <c r="H6318" s="153"/>
      <c r="I6318" s="153"/>
      <c r="J6318" s="153"/>
      <c r="K6318" s="153"/>
      <c r="L6318" s="653"/>
      <c r="M6318" s="663" t="s">
        <v>899</v>
      </c>
      <c r="N6318" s="600">
        <f>0.68*(0.028317)</f>
        <v>1.9255560000000001E-2</v>
      </c>
      <c r="O6318" s="617">
        <f>((0.64/(1000))/(60))/(60)</f>
        <v>1.7777777777777779E-7</v>
      </c>
      <c r="P6318" s="250"/>
      <c r="Q6318" s="250"/>
      <c r="R6318" s="250"/>
      <c r="S6318" s="250"/>
      <c r="T6318" s="250"/>
      <c r="U6318" s="250"/>
      <c r="V6318" s="742"/>
      <c r="W6318" s="747"/>
      <c r="X6318" s="743"/>
      <c r="Y6318" s="246"/>
      <c r="Z6318" s="245"/>
      <c r="AA6318" s="220">
        <f>0.08*(10)</f>
        <v>0.8</v>
      </c>
      <c r="AB6318" s="295">
        <v>73</v>
      </c>
      <c r="AC6318" s="230">
        <v>9.4000000000000004E-3</v>
      </c>
      <c r="AD6318" s="223"/>
      <c r="AE6318" s="223"/>
      <c r="AF6318" s="223"/>
      <c r="AG6318" s="223"/>
      <c r="AH6318" s="341"/>
      <c r="AI6318" s="153"/>
      <c r="AJ6318" s="480"/>
      <c r="AK6318" s="153"/>
      <c r="AL6318" s="152"/>
      <c r="AM6318" s="152"/>
      <c r="AN6318" s="152"/>
      <c r="AO6318" s="152"/>
      <c r="AP6318" s="152"/>
      <c r="AQ6318" s="152"/>
      <c r="AR6318" s="152"/>
      <c r="AS6318" s="152"/>
      <c r="AT6318" s="152"/>
      <c r="AU6318" s="153"/>
      <c r="AV6318" s="479"/>
      <c r="AW6318" s="479"/>
      <c r="AX6318" s="442"/>
      <c r="AY6318" s="153"/>
      <c r="AZ6318" s="152"/>
      <c r="BA6318" s="152"/>
      <c r="BB6318" s="152"/>
      <c r="BC6318" s="152"/>
      <c r="BD6318" s="152"/>
      <c r="BE6318" s="152"/>
      <c r="BF6318" s="152"/>
      <c r="BG6318" s="152"/>
      <c r="BH6318" s="152"/>
      <c r="BI6318" s="153"/>
      <c r="BJ6318" s="153"/>
      <c r="BK6318" s="153"/>
      <c r="BL6318" s="153"/>
      <c r="BM6318" s="153"/>
      <c r="BN6318" s="153"/>
      <c r="BO6318" s="153"/>
      <c r="BP6318" s="153"/>
      <c r="BQ6318" s="153"/>
      <c r="BR6318" s="153"/>
      <c r="BS6318" s="153"/>
      <c r="BT6318" s="153"/>
      <c r="BU6318" s="153"/>
      <c r="BV6318" s="153"/>
      <c r="BW6318" s="153"/>
      <c r="BX6318" s="153"/>
      <c r="BY6318" s="153"/>
      <c r="BZ6318" s="153"/>
      <c r="CA6318" s="152"/>
      <c r="CB6318" s="152"/>
    </row>
    <row r="6319" spans="1:80" s="87" customFormat="1" x14ac:dyDescent="0.2">
      <c r="A6319" s="152"/>
      <c r="B6319" s="683"/>
      <c r="C6319" s="683"/>
      <c r="D6319" s="698"/>
      <c r="E6319" s="215"/>
      <c r="F6319" s="215"/>
      <c r="G6319" s="153"/>
      <c r="H6319" s="153"/>
      <c r="I6319" s="153"/>
      <c r="J6319" s="153"/>
      <c r="K6319" s="153"/>
      <c r="L6319" s="653"/>
      <c r="M6319" s="663" t="s">
        <v>899</v>
      </c>
      <c r="N6319" s="600">
        <f>0.68*(0.028317)</f>
        <v>1.9255560000000001E-2</v>
      </c>
      <c r="O6319" s="617">
        <f>((0.58/(1000))/(60))/(60)</f>
        <v>1.6111111111111111E-7</v>
      </c>
      <c r="P6319" s="250"/>
      <c r="Q6319" s="250"/>
      <c r="R6319" s="250"/>
      <c r="S6319" s="250"/>
      <c r="T6319" s="250"/>
      <c r="U6319" s="250"/>
      <c r="V6319" s="742"/>
      <c r="W6319" s="747"/>
      <c r="X6319" s="743"/>
      <c r="Y6319" s="246"/>
      <c r="Z6319" s="245"/>
      <c r="AA6319" s="220">
        <f>0.042*(10)</f>
        <v>0.42000000000000004</v>
      </c>
      <c r="AB6319" s="295">
        <v>74</v>
      </c>
      <c r="AC6319" s="230">
        <v>9.4000000000000004E-3</v>
      </c>
      <c r="AD6319" s="223"/>
      <c r="AE6319" s="223"/>
      <c r="AF6319" s="223"/>
      <c r="AG6319" s="223"/>
      <c r="AH6319" s="341"/>
      <c r="AI6319" s="153"/>
      <c r="AJ6319" s="480"/>
      <c r="AK6319" s="153"/>
      <c r="AL6319" s="152"/>
      <c r="AM6319" s="152"/>
      <c r="AN6319" s="152"/>
      <c r="AO6319" s="152"/>
      <c r="AP6319" s="152"/>
      <c r="AQ6319" s="152"/>
      <c r="AR6319" s="152"/>
      <c r="AS6319" s="152"/>
      <c r="AT6319" s="152"/>
      <c r="AU6319" s="153"/>
      <c r="AV6319" s="479"/>
      <c r="AW6319" s="479"/>
      <c r="AX6319" s="442"/>
      <c r="AY6319" s="153"/>
      <c r="AZ6319" s="152"/>
      <c r="BA6319" s="152"/>
      <c r="BB6319" s="152"/>
      <c r="BC6319" s="152"/>
      <c r="BD6319" s="152"/>
      <c r="BE6319" s="152"/>
      <c r="BF6319" s="152"/>
      <c r="BG6319" s="152"/>
      <c r="BH6319" s="152"/>
      <c r="BI6319" s="153"/>
      <c r="BJ6319" s="153"/>
      <c r="BK6319" s="153"/>
      <c r="BL6319" s="153"/>
      <c r="BM6319" s="153"/>
      <c r="BN6319" s="153"/>
      <c r="BO6319" s="153"/>
      <c r="BP6319" s="153"/>
      <c r="BQ6319" s="153"/>
      <c r="BR6319" s="153"/>
      <c r="BS6319" s="153"/>
      <c r="BT6319" s="153"/>
      <c r="BU6319" s="153"/>
      <c r="BV6319" s="153"/>
      <c r="BW6319" s="153"/>
      <c r="BX6319" s="153"/>
      <c r="BY6319" s="153"/>
      <c r="BZ6319" s="153"/>
      <c r="CA6319" s="152"/>
      <c r="CB6319" s="152"/>
    </row>
    <row r="6320" spans="1:80" s="87" customFormat="1" x14ac:dyDescent="0.2">
      <c r="A6320" s="152"/>
      <c r="B6320" s="683"/>
      <c r="C6320" s="683"/>
      <c r="D6320" s="698"/>
      <c r="E6320" s="215"/>
      <c r="F6320" s="215"/>
      <c r="G6320" s="153"/>
      <c r="H6320" s="153"/>
      <c r="I6320" s="153"/>
      <c r="J6320" s="153"/>
      <c r="K6320" s="153"/>
      <c r="L6320" s="653"/>
      <c r="M6320" s="663" t="s">
        <v>899</v>
      </c>
      <c r="N6320" s="600">
        <f>0.69*(0.028317)</f>
        <v>1.9538729999999997E-2</v>
      </c>
      <c r="O6320" s="617">
        <f>((0.45/(1000))/(60))/(60)</f>
        <v>1.2499999999999999E-7</v>
      </c>
      <c r="P6320" s="250"/>
      <c r="Q6320" s="250"/>
      <c r="R6320" s="250"/>
      <c r="S6320" s="250"/>
      <c r="T6320" s="250"/>
      <c r="U6320" s="250"/>
      <c r="V6320" s="742"/>
      <c r="W6320" s="747"/>
      <c r="X6320" s="743"/>
      <c r="Y6320" s="246"/>
      <c r="Z6320" s="245"/>
      <c r="AA6320" s="220">
        <f>0.049*(10)</f>
        <v>0.49</v>
      </c>
      <c r="AB6320" s="295">
        <v>75</v>
      </c>
      <c r="AC6320" s="230">
        <v>9.4000000000000004E-3</v>
      </c>
      <c r="AD6320" s="223"/>
      <c r="AE6320" s="223"/>
      <c r="AF6320" s="223"/>
      <c r="AG6320" s="223"/>
      <c r="AH6320" s="341"/>
      <c r="AI6320" s="153"/>
      <c r="AJ6320" s="480"/>
      <c r="AK6320" s="153"/>
      <c r="AL6320" s="152"/>
      <c r="AM6320" s="152"/>
      <c r="AN6320" s="152"/>
      <c r="AO6320" s="152"/>
      <c r="AP6320" s="152"/>
      <c r="AQ6320" s="152"/>
      <c r="AR6320" s="152"/>
      <c r="AS6320" s="152"/>
      <c r="AT6320" s="152"/>
      <c r="AU6320" s="153"/>
      <c r="AV6320" s="479"/>
      <c r="AW6320" s="479"/>
      <c r="AX6320" s="442"/>
      <c r="AY6320" s="153"/>
      <c r="AZ6320" s="152"/>
      <c r="BA6320" s="152"/>
      <c r="BB6320" s="152"/>
      <c r="BC6320" s="152"/>
      <c r="BD6320" s="152"/>
      <c r="BE6320" s="152"/>
      <c r="BF6320" s="152"/>
      <c r="BG6320" s="152"/>
      <c r="BH6320" s="152"/>
      <c r="BI6320" s="153"/>
      <c r="BJ6320" s="153"/>
      <c r="BK6320" s="153"/>
      <c r="BL6320" s="153"/>
      <c r="BM6320" s="153"/>
      <c r="BN6320" s="153"/>
      <c r="BO6320" s="153"/>
      <c r="BP6320" s="153"/>
      <c r="BQ6320" s="153"/>
      <c r="BR6320" s="153"/>
      <c r="BS6320" s="153"/>
      <c r="BT6320" s="153"/>
      <c r="BU6320" s="153"/>
      <c r="BV6320" s="153"/>
      <c r="BW6320" s="153"/>
      <c r="BX6320" s="153"/>
      <c r="BY6320" s="153"/>
      <c r="BZ6320" s="153"/>
      <c r="CA6320" s="152"/>
      <c r="CB6320" s="152"/>
    </row>
    <row r="6321" spans="1:80" s="87" customFormat="1" x14ac:dyDescent="0.2">
      <c r="A6321" s="152"/>
      <c r="B6321" s="683"/>
      <c r="C6321" s="683"/>
      <c r="D6321" s="698"/>
      <c r="E6321" s="215"/>
      <c r="F6321" s="215"/>
      <c r="G6321" s="153"/>
      <c r="H6321" s="153"/>
      <c r="I6321" s="153"/>
      <c r="J6321" s="153"/>
      <c r="K6321" s="153"/>
      <c r="L6321" s="653"/>
      <c r="M6321" s="663" t="s">
        <v>899</v>
      </c>
      <c r="N6321" s="600">
        <f>0.72*(0.028317)</f>
        <v>2.0388239999999998E-2</v>
      </c>
      <c r="O6321" s="617">
        <f>((0.41/(1000))/(60))/(60)</f>
        <v>1.1388888888888888E-7</v>
      </c>
      <c r="P6321" s="250"/>
      <c r="Q6321" s="250"/>
      <c r="R6321" s="250"/>
      <c r="S6321" s="250"/>
      <c r="T6321" s="250"/>
      <c r="U6321" s="250"/>
      <c r="V6321" s="742"/>
      <c r="W6321" s="747"/>
      <c r="X6321" s="743"/>
      <c r="Y6321" s="246"/>
      <c r="Z6321" s="245"/>
      <c r="AA6321" s="220">
        <f>0.037*(10)</f>
        <v>0.37</v>
      </c>
      <c r="AB6321" s="295">
        <v>76</v>
      </c>
      <c r="AC6321" s="230">
        <v>9.4000000000000004E-3</v>
      </c>
      <c r="AD6321" s="223"/>
      <c r="AE6321" s="223"/>
      <c r="AF6321" s="223"/>
      <c r="AG6321" s="223"/>
      <c r="AH6321" s="341"/>
      <c r="AI6321" s="153"/>
      <c r="AJ6321" s="480"/>
      <c r="AK6321" s="153"/>
      <c r="AL6321" s="152"/>
      <c r="AM6321" s="152"/>
      <c r="AN6321" s="152"/>
      <c r="AO6321" s="152"/>
      <c r="AP6321" s="152"/>
      <c r="AQ6321" s="152"/>
      <c r="AR6321" s="152"/>
      <c r="AS6321" s="152"/>
      <c r="AT6321" s="152"/>
      <c r="AU6321" s="153"/>
      <c r="AV6321" s="479"/>
      <c r="AW6321" s="479"/>
      <c r="AX6321" s="442"/>
      <c r="AY6321" s="153"/>
      <c r="AZ6321" s="152"/>
      <c r="BA6321" s="152"/>
      <c r="BB6321" s="152"/>
      <c r="BC6321" s="152"/>
      <c r="BD6321" s="152"/>
      <c r="BE6321" s="152"/>
      <c r="BF6321" s="152"/>
      <c r="BG6321" s="152"/>
      <c r="BH6321" s="152"/>
      <c r="BI6321" s="153"/>
      <c r="BJ6321" s="153"/>
      <c r="BK6321" s="153"/>
      <c r="BL6321" s="153"/>
      <c r="BM6321" s="153"/>
      <c r="BN6321" s="153"/>
      <c r="BO6321" s="153"/>
      <c r="BP6321" s="153"/>
      <c r="BQ6321" s="153"/>
      <c r="BR6321" s="153"/>
      <c r="BS6321" s="153"/>
      <c r="BT6321" s="153"/>
      <c r="BU6321" s="153"/>
      <c r="BV6321" s="153"/>
      <c r="BW6321" s="153"/>
      <c r="BX6321" s="153"/>
      <c r="BY6321" s="153"/>
      <c r="BZ6321" s="153"/>
      <c r="CA6321" s="152"/>
      <c r="CB6321" s="152"/>
    </row>
    <row r="6322" spans="1:80" s="87" customFormat="1" x14ac:dyDescent="0.2">
      <c r="A6322" s="152"/>
      <c r="B6322" s="683"/>
      <c r="C6322" s="683"/>
      <c r="D6322" s="698"/>
      <c r="E6322" s="215"/>
      <c r="F6322" s="215"/>
      <c r="G6322" s="153"/>
      <c r="H6322" s="153"/>
      <c r="I6322" s="153"/>
      <c r="J6322" s="153"/>
      <c r="K6322" s="153"/>
      <c r="L6322" s="653"/>
      <c r="M6322" s="663" t="s">
        <v>899</v>
      </c>
      <c r="N6322" s="600">
        <f>0.76*(0.028317)</f>
        <v>2.1520919999999999E-2</v>
      </c>
      <c r="O6322" s="617">
        <f>((1.4/(1000))/(60))/(60)</f>
        <v>3.8888888888888889E-7</v>
      </c>
      <c r="P6322" s="250"/>
      <c r="Q6322" s="250"/>
      <c r="R6322" s="250"/>
      <c r="S6322" s="250"/>
      <c r="T6322" s="250"/>
      <c r="U6322" s="250"/>
      <c r="V6322" s="742"/>
      <c r="W6322" s="747"/>
      <c r="X6322" s="743"/>
      <c r="Y6322" s="246"/>
      <c r="Z6322" s="245"/>
      <c r="AA6322" s="220">
        <f>0.07*(10)</f>
        <v>0.70000000000000007</v>
      </c>
      <c r="AB6322" s="295">
        <v>77</v>
      </c>
      <c r="AC6322" s="230">
        <v>9.4000000000000004E-3</v>
      </c>
      <c r="AD6322" s="223"/>
      <c r="AE6322" s="223"/>
      <c r="AF6322" s="223"/>
      <c r="AG6322" s="223"/>
      <c r="AH6322" s="341"/>
      <c r="AI6322" s="153"/>
      <c r="AJ6322" s="480"/>
      <c r="AK6322" s="153"/>
      <c r="AL6322" s="152"/>
      <c r="AM6322" s="152"/>
      <c r="AN6322" s="152"/>
      <c r="AO6322" s="152"/>
      <c r="AP6322" s="152"/>
      <c r="AQ6322" s="152"/>
      <c r="AR6322" s="152"/>
      <c r="AS6322" s="152"/>
      <c r="AT6322" s="152"/>
      <c r="AU6322" s="153"/>
      <c r="AV6322" s="479"/>
      <c r="AW6322" s="479"/>
      <c r="AX6322" s="442"/>
      <c r="AY6322" s="153"/>
      <c r="AZ6322" s="152"/>
      <c r="BA6322" s="152"/>
      <c r="BB6322" s="152"/>
      <c r="BC6322" s="152"/>
      <c r="BD6322" s="152"/>
      <c r="BE6322" s="152"/>
      <c r="BF6322" s="152"/>
      <c r="BG6322" s="152"/>
      <c r="BH6322" s="152"/>
      <c r="BI6322" s="153"/>
      <c r="BJ6322" s="153"/>
      <c r="BK6322" s="153"/>
      <c r="BL6322" s="153"/>
      <c r="BM6322" s="153"/>
      <c r="BN6322" s="153"/>
      <c r="BO6322" s="153"/>
      <c r="BP6322" s="153"/>
      <c r="BQ6322" s="153"/>
      <c r="BR6322" s="153"/>
      <c r="BS6322" s="153"/>
      <c r="BT6322" s="153"/>
      <c r="BU6322" s="153"/>
      <c r="BV6322" s="153"/>
      <c r="BW6322" s="153"/>
      <c r="BX6322" s="153"/>
      <c r="BY6322" s="153"/>
      <c r="BZ6322" s="153"/>
      <c r="CA6322" s="152"/>
      <c r="CB6322" s="152"/>
    </row>
    <row r="6323" spans="1:80" s="87" customFormat="1" x14ac:dyDescent="0.2">
      <c r="A6323" s="152"/>
      <c r="B6323" s="683"/>
      <c r="C6323" s="683"/>
      <c r="D6323" s="698"/>
      <c r="E6323" s="215"/>
      <c r="F6323" s="215"/>
      <c r="G6323" s="153"/>
      <c r="H6323" s="153"/>
      <c r="I6323" s="153"/>
      <c r="J6323" s="153"/>
      <c r="K6323" s="153"/>
      <c r="L6323" s="653"/>
      <c r="M6323" s="663" t="s">
        <v>899</v>
      </c>
      <c r="N6323" s="600">
        <f>0.78*(0.028317)</f>
        <v>2.2087260000000001E-2</v>
      </c>
      <c r="O6323" s="617">
        <f>((0.51/(1000))/(60))/(60)</f>
        <v>1.4166666666666668E-7</v>
      </c>
      <c r="P6323" s="250"/>
      <c r="Q6323" s="250"/>
      <c r="R6323" s="250"/>
      <c r="S6323" s="250"/>
      <c r="T6323" s="250"/>
      <c r="U6323" s="250"/>
      <c r="V6323" s="742"/>
      <c r="W6323" s="747"/>
      <c r="X6323" s="743"/>
      <c r="Y6323" s="246"/>
      <c r="Z6323" s="245"/>
      <c r="AA6323" s="220">
        <f>0.049*(10)</f>
        <v>0.49</v>
      </c>
      <c r="AB6323" s="295">
        <v>78</v>
      </c>
      <c r="AC6323" s="230">
        <v>9.4000000000000004E-3</v>
      </c>
      <c r="AD6323" s="223"/>
      <c r="AE6323" s="223"/>
      <c r="AF6323" s="223"/>
      <c r="AG6323" s="223"/>
      <c r="AH6323" s="341"/>
      <c r="AI6323" s="153"/>
      <c r="AJ6323" s="480"/>
      <c r="AK6323" s="153"/>
      <c r="AL6323" s="152"/>
      <c r="AM6323" s="152"/>
      <c r="AN6323" s="152"/>
      <c r="AO6323" s="152"/>
      <c r="AP6323" s="152"/>
      <c r="AQ6323" s="152"/>
      <c r="AR6323" s="152"/>
      <c r="AS6323" s="152"/>
      <c r="AT6323" s="152"/>
      <c r="AU6323" s="153"/>
      <c r="AV6323" s="479"/>
      <c r="AW6323" s="479"/>
      <c r="AX6323" s="442"/>
      <c r="AY6323" s="153"/>
      <c r="AZ6323" s="152"/>
      <c r="BA6323" s="152"/>
      <c r="BB6323" s="152"/>
      <c r="BC6323" s="152"/>
      <c r="BD6323" s="152"/>
      <c r="BE6323" s="152"/>
      <c r="BF6323" s="152"/>
      <c r="BG6323" s="152"/>
      <c r="BH6323" s="152"/>
      <c r="BI6323" s="153"/>
      <c r="BJ6323" s="153"/>
      <c r="BK6323" s="153"/>
      <c r="BL6323" s="153"/>
      <c r="BM6323" s="153"/>
      <c r="BN6323" s="153"/>
      <c r="BO6323" s="153"/>
      <c r="BP6323" s="153"/>
      <c r="BQ6323" s="153"/>
      <c r="BR6323" s="153"/>
      <c r="BS6323" s="153"/>
      <c r="BT6323" s="153"/>
      <c r="BU6323" s="153"/>
      <c r="BV6323" s="153"/>
      <c r="BW6323" s="153"/>
      <c r="BX6323" s="153"/>
      <c r="BY6323" s="153"/>
      <c r="BZ6323" s="153"/>
      <c r="CA6323" s="152"/>
      <c r="CB6323" s="152"/>
    </row>
    <row r="6324" spans="1:80" s="87" customFormat="1" x14ac:dyDescent="0.2">
      <c r="A6324" s="152"/>
      <c r="B6324" s="683"/>
      <c r="C6324" s="683"/>
      <c r="D6324" s="698"/>
      <c r="E6324" s="215"/>
      <c r="F6324" s="215"/>
      <c r="G6324" s="153"/>
      <c r="H6324" s="153"/>
      <c r="I6324" s="153"/>
      <c r="J6324" s="153"/>
      <c r="K6324" s="153"/>
      <c r="L6324" s="653"/>
      <c r="M6324" s="663" t="s">
        <v>899</v>
      </c>
      <c r="N6324" s="600">
        <f>0.79*(0.028317)</f>
        <v>2.237043E-2</v>
      </c>
      <c r="O6324" s="617">
        <f>((0.43/(1000))/(60))/(60)</f>
        <v>1.1944444444444442E-7</v>
      </c>
      <c r="P6324" s="250"/>
      <c r="Q6324" s="250"/>
      <c r="R6324" s="250"/>
      <c r="S6324" s="250"/>
      <c r="T6324" s="250"/>
      <c r="U6324" s="250"/>
      <c r="V6324" s="742"/>
      <c r="W6324" s="747"/>
      <c r="X6324" s="743"/>
      <c r="Y6324" s="246"/>
      <c r="Z6324" s="245"/>
      <c r="AA6324" s="220">
        <f>0.047*(10)</f>
        <v>0.47</v>
      </c>
      <c r="AB6324" s="295">
        <v>79</v>
      </c>
      <c r="AC6324" s="230">
        <v>9.4000000000000004E-3</v>
      </c>
      <c r="AD6324" s="223"/>
      <c r="AE6324" s="223"/>
      <c r="AF6324" s="223"/>
      <c r="AG6324" s="223"/>
      <c r="AH6324" s="341"/>
      <c r="AI6324" s="153"/>
      <c r="AJ6324" s="480"/>
      <c r="AK6324" s="153"/>
      <c r="AL6324" s="152"/>
      <c r="AM6324" s="152"/>
      <c r="AN6324" s="152"/>
      <c r="AO6324" s="152"/>
      <c r="AP6324" s="152"/>
      <c r="AQ6324" s="152"/>
      <c r="AR6324" s="152"/>
      <c r="AS6324" s="152"/>
      <c r="AT6324" s="152"/>
      <c r="AU6324" s="153"/>
      <c r="AV6324" s="479"/>
      <c r="AW6324" s="479"/>
      <c r="AX6324" s="442"/>
      <c r="AY6324" s="153"/>
      <c r="AZ6324" s="152"/>
      <c r="BA6324" s="152"/>
      <c r="BB6324" s="152"/>
      <c r="BC6324" s="152"/>
      <c r="BD6324" s="152"/>
      <c r="BE6324" s="152"/>
      <c r="BF6324" s="152"/>
      <c r="BG6324" s="152"/>
      <c r="BH6324" s="152"/>
      <c r="BI6324" s="153"/>
      <c r="BJ6324" s="153"/>
      <c r="BK6324" s="153"/>
      <c r="BL6324" s="153"/>
      <c r="BM6324" s="153"/>
      <c r="BN6324" s="153"/>
      <c r="BO6324" s="153"/>
      <c r="BP6324" s="153"/>
      <c r="BQ6324" s="153"/>
      <c r="BR6324" s="153"/>
      <c r="BS6324" s="153"/>
      <c r="BT6324" s="153"/>
      <c r="BU6324" s="153"/>
      <c r="BV6324" s="153"/>
      <c r="BW6324" s="153"/>
      <c r="BX6324" s="153"/>
      <c r="BY6324" s="153"/>
      <c r="BZ6324" s="153"/>
      <c r="CA6324" s="152"/>
      <c r="CB6324" s="152"/>
    </row>
    <row r="6325" spans="1:80" s="87" customFormat="1" x14ac:dyDescent="0.2">
      <c r="A6325" s="152"/>
      <c r="B6325" s="683"/>
      <c r="C6325" s="683"/>
      <c r="D6325" s="698"/>
      <c r="E6325" s="215"/>
      <c r="F6325" s="215"/>
      <c r="G6325" s="153"/>
      <c r="H6325" s="153"/>
      <c r="I6325" s="153"/>
      <c r="J6325" s="153"/>
      <c r="K6325" s="153"/>
      <c r="L6325" s="653"/>
      <c r="M6325" s="663" t="s">
        <v>899</v>
      </c>
      <c r="N6325" s="600">
        <f>0.79*(0.028317)</f>
        <v>2.237043E-2</v>
      </c>
      <c r="O6325" s="617">
        <f>((0.18/(1000))/(60))/(60)</f>
        <v>4.9999999999999991E-8</v>
      </c>
      <c r="P6325" s="250"/>
      <c r="Q6325" s="250"/>
      <c r="R6325" s="250"/>
      <c r="S6325" s="250"/>
      <c r="T6325" s="250"/>
      <c r="U6325" s="250"/>
      <c r="V6325" s="742"/>
      <c r="W6325" s="747"/>
      <c r="X6325" s="743"/>
      <c r="Y6325" s="246"/>
      <c r="Z6325" s="245"/>
      <c r="AA6325" s="220">
        <f>0.049*(10)</f>
        <v>0.49</v>
      </c>
      <c r="AB6325" s="295">
        <v>80</v>
      </c>
      <c r="AC6325" s="230">
        <v>9.4000000000000004E-3</v>
      </c>
      <c r="AD6325" s="223"/>
      <c r="AE6325" s="223"/>
      <c r="AF6325" s="223"/>
      <c r="AG6325" s="223"/>
      <c r="AH6325" s="341"/>
      <c r="AI6325" s="153"/>
      <c r="AJ6325" s="480"/>
      <c r="AK6325" s="153"/>
      <c r="AL6325" s="152"/>
      <c r="AM6325" s="152"/>
      <c r="AN6325" s="152"/>
      <c r="AO6325" s="152"/>
      <c r="AP6325" s="152"/>
      <c r="AQ6325" s="152"/>
      <c r="AR6325" s="152"/>
      <c r="AS6325" s="152"/>
      <c r="AT6325" s="152"/>
      <c r="AU6325" s="153"/>
      <c r="AV6325" s="479"/>
      <c r="AW6325" s="479"/>
      <c r="AX6325" s="442"/>
      <c r="AY6325" s="153"/>
      <c r="AZ6325" s="152"/>
      <c r="BA6325" s="152"/>
      <c r="BB6325" s="152"/>
      <c r="BC6325" s="152"/>
      <c r="BD6325" s="152"/>
      <c r="BE6325" s="152"/>
      <c r="BF6325" s="152"/>
      <c r="BG6325" s="152"/>
      <c r="BH6325" s="152"/>
      <c r="BI6325" s="153"/>
      <c r="BJ6325" s="153"/>
      <c r="BK6325" s="153"/>
      <c r="BL6325" s="153"/>
      <c r="BM6325" s="153"/>
      <c r="BN6325" s="153"/>
      <c r="BO6325" s="153"/>
      <c r="BP6325" s="153"/>
      <c r="BQ6325" s="153"/>
      <c r="BR6325" s="153"/>
      <c r="BS6325" s="153"/>
      <c r="BT6325" s="153"/>
      <c r="BU6325" s="153"/>
      <c r="BV6325" s="153"/>
      <c r="BW6325" s="153"/>
      <c r="BX6325" s="153"/>
      <c r="BY6325" s="153"/>
      <c r="BZ6325" s="153"/>
      <c r="CA6325" s="152"/>
      <c r="CB6325" s="152"/>
    </row>
    <row r="6326" spans="1:80" s="87" customFormat="1" x14ac:dyDescent="0.2">
      <c r="A6326" s="152"/>
      <c r="B6326" s="683"/>
      <c r="C6326" s="683"/>
      <c r="D6326" s="698"/>
      <c r="E6326" s="215"/>
      <c r="F6326" s="215"/>
      <c r="G6326" s="153"/>
      <c r="H6326" s="153"/>
      <c r="I6326" s="153"/>
      <c r="J6326" s="153"/>
      <c r="K6326" s="153"/>
      <c r="L6326" s="653"/>
      <c r="M6326" s="663" t="s">
        <v>899</v>
      </c>
      <c r="N6326" s="600">
        <f>1.05*(0.028317)</f>
        <v>2.9732849999999998E-2</v>
      </c>
      <c r="O6326" s="617">
        <f>((1.2/(1000))/(60))/(60)</f>
        <v>3.333333333333333E-7</v>
      </c>
      <c r="P6326" s="250"/>
      <c r="Q6326" s="250"/>
      <c r="R6326" s="250"/>
      <c r="S6326" s="250"/>
      <c r="T6326" s="250"/>
      <c r="U6326" s="250"/>
      <c r="V6326" s="742"/>
      <c r="W6326" s="747"/>
      <c r="X6326" s="743"/>
      <c r="Y6326" s="246"/>
      <c r="Z6326" s="245"/>
      <c r="AA6326" s="220">
        <f>0.048*(10)</f>
        <v>0.48</v>
      </c>
      <c r="AB6326" s="295">
        <v>81</v>
      </c>
      <c r="AC6326" s="230">
        <v>9.4000000000000004E-3</v>
      </c>
      <c r="AD6326" s="223"/>
      <c r="AE6326" s="223"/>
      <c r="AF6326" s="223"/>
      <c r="AG6326" s="223"/>
      <c r="AH6326" s="341"/>
      <c r="AI6326" s="153"/>
      <c r="AJ6326" s="480"/>
      <c r="AK6326" s="153"/>
      <c r="AL6326" s="152"/>
      <c r="AM6326" s="152"/>
      <c r="AN6326" s="152"/>
      <c r="AO6326" s="152"/>
      <c r="AP6326" s="152"/>
      <c r="AQ6326" s="152"/>
      <c r="AR6326" s="152"/>
      <c r="AS6326" s="152"/>
      <c r="AT6326" s="152"/>
      <c r="AU6326" s="153"/>
      <c r="AV6326" s="479"/>
      <c r="AW6326" s="479"/>
      <c r="AX6326" s="442"/>
      <c r="AY6326" s="153"/>
      <c r="AZ6326" s="152"/>
      <c r="BA6326" s="152"/>
      <c r="BB6326" s="152"/>
      <c r="BC6326" s="152"/>
      <c r="BD6326" s="152"/>
      <c r="BE6326" s="152"/>
      <c r="BF6326" s="152"/>
      <c r="BG6326" s="152"/>
      <c r="BH6326" s="152"/>
      <c r="BI6326" s="153"/>
      <c r="BJ6326" s="153"/>
      <c r="BK6326" s="153"/>
      <c r="BL6326" s="153"/>
      <c r="BM6326" s="153"/>
      <c r="BN6326" s="153"/>
      <c r="BO6326" s="153"/>
      <c r="BP6326" s="153"/>
      <c r="BQ6326" s="153"/>
      <c r="BR6326" s="153"/>
      <c r="BS6326" s="153"/>
      <c r="BT6326" s="153"/>
      <c r="BU6326" s="153"/>
      <c r="BV6326" s="153"/>
      <c r="BW6326" s="153"/>
      <c r="BX6326" s="153"/>
      <c r="BY6326" s="153"/>
      <c r="BZ6326" s="153"/>
      <c r="CA6326" s="152"/>
      <c r="CB6326" s="152"/>
    </row>
    <row r="6327" spans="1:80" s="87" customFormat="1" x14ac:dyDescent="0.2">
      <c r="A6327" s="152"/>
      <c r="B6327" s="683"/>
      <c r="C6327" s="683"/>
      <c r="D6327" s="698"/>
      <c r="E6327" s="215"/>
      <c r="F6327" s="215"/>
      <c r="G6327" s="153"/>
      <c r="H6327" s="153"/>
      <c r="I6327" s="153"/>
      <c r="J6327" s="153"/>
      <c r="K6327" s="153"/>
      <c r="L6327" s="653"/>
      <c r="M6327" s="663" t="s">
        <v>899</v>
      </c>
      <c r="N6327" s="600">
        <f>1.41*(0.028317)</f>
        <v>3.9926969999999992E-2</v>
      </c>
      <c r="O6327" s="617">
        <f>((19.2/(1000))/(60))/(60)</f>
        <v>5.3333333333333328E-6</v>
      </c>
      <c r="P6327" s="250"/>
      <c r="Q6327" s="250"/>
      <c r="R6327" s="250"/>
      <c r="S6327" s="250"/>
      <c r="T6327" s="250"/>
      <c r="U6327" s="250"/>
      <c r="V6327" s="742"/>
      <c r="W6327" s="747"/>
      <c r="X6327" s="743"/>
      <c r="Y6327" s="246"/>
      <c r="Z6327" s="245"/>
      <c r="AA6327" s="220">
        <f>0.16*(10)</f>
        <v>1.6</v>
      </c>
      <c r="AB6327" s="295">
        <v>82</v>
      </c>
      <c r="AC6327" s="230">
        <v>9.4000000000000004E-3</v>
      </c>
      <c r="AD6327" s="223"/>
      <c r="AE6327" s="223"/>
      <c r="AF6327" s="223"/>
      <c r="AG6327" s="223"/>
      <c r="AH6327" s="341"/>
      <c r="AI6327" s="153"/>
      <c r="AJ6327" s="480"/>
      <c r="AK6327" s="153"/>
      <c r="AL6327" s="152"/>
      <c r="AM6327" s="152"/>
      <c r="AN6327" s="152"/>
      <c r="AO6327" s="152"/>
      <c r="AP6327" s="152"/>
      <c r="AQ6327" s="152"/>
      <c r="AR6327" s="152"/>
      <c r="AS6327" s="152"/>
      <c r="AT6327" s="152"/>
      <c r="AU6327" s="153"/>
      <c r="AV6327" s="479"/>
      <c r="AW6327" s="479"/>
      <c r="AX6327" s="442"/>
      <c r="AY6327" s="153"/>
      <c r="AZ6327" s="152"/>
      <c r="BA6327" s="152"/>
      <c r="BB6327" s="152"/>
      <c r="BC6327" s="152"/>
      <c r="BD6327" s="152"/>
      <c r="BE6327" s="152"/>
      <c r="BF6327" s="152"/>
      <c r="BG6327" s="152"/>
      <c r="BH6327" s="152"/>
      <c r="BI6327" s="153"/>
      <c r="BJ6327" s="153"/>
      <c r="BK6327" s="153"/>
      <c r="BL6327" s="153"/>
      <c r="BM6327" s="153"/>
      <c r="BN6327" s="153"/>
      <c r="BO6327" s="153"/>
      <c r="BP6327" s="153"/>
      <c r="BQ6327" s="153"/>
      <c r="BR6327" s="153"/>
      <c r="BS6327" s="153"/>
      <c r="BT6327" s="153"/>
      <c r="BU6327" s="153"/>
      <c r="BV6327" s="153"/>
      <c r="BW6327" s="153"/>
      <c r="BX6327" s="153"/>
      <c r="BY6327" s="153"/>
      <c r="BZ6327" s="153"/>
      <c r="CA6327" s="152"/>
      <c r="CB6327" s="152"/>
    </row>
    <row r="6328" spans="1:80" s="87" customFormat="1" x14ac:dyDescent="0.2">
      <c r="A6328" s="152"/>
      <c r="B6328" s="683"/>
      <c r="C6328" s="683"/>
      <c r="D6328" s="698"/>
      <c r="E6328" s="215"/>
      <c r="F6328" s="215"/>
      <c r="G6328" s="153"/>
      <c r="H6328" s="153"/>
      <c r="I6328" s="153"/>
      <c r="J6328" s="153"/>
      <c r="K6328" s="153"/>
      <c r="L6328" s="653"/>
      <c r="M6328" s="663" t="s">
        <v>899</v>
      </c>
      <c r="N6328" s="600">
        <f>0.98*(0.028317)</f>
        <v>2.7750659999999996E-2</v>
      </c>
      <c r="O6328" s="617">
        <f>((1.4/(1000))/(60))/(60)</f>
        <v>3.8888888888888889E-7</v>
      </c>
      <c r="P6328" s="250"/>
      <c r="Q6328" s="250"/>
      <c r="R6328" s="250"/>
      <c r="S6328" s="250"/>
      <c r="T6328" s="250"/>
      <c r="U6328" s="250"/>
      <c r="V6328" s="742"/>
      <c r="W6328" s="747"/>
      <c r="X6328" s="743"/>
      <c r="Y6328" s="246"/>
      <c r="Z6328" s="245"/>
      <c r="AA6328" s="220">
        <f>0.075*(10)</f>
        <v>0.75</v>
      </c>
      <c r="AB6328" s="295">
        <v>83</v>
      </c>
      <c r="AC6328" s="230">
        <v>9.4000000000000004E-3</v>
      </c>
      <c r="AD6328" s="223"/>
      <c r="AE6328" s="223"/>
      <c r="AF6328" s="223"/>
      <c r="AG6328" s="223"/>
      <c r="AH6328" s="341"/>
      <c r="AI6328" s="153"/>
      <c r="AJ6328" s="480"/>
      <c r="AK6328" s="153"/>
      <c r="AL6328" s="152"/>
      <c r="AM6328" s="152"/>
      <c r="AN6328" s="152"/>
      <c r="AO6328" s="152"/>
      <c r="AP6328" s="152"/>
      <c r="AQ6328" s="152"/>
      <c r="AR6328" s="152"/>
      <c r="AS6328" s="152"/>
      <c r="AT6328" s="152"/>
      <c r="AU6328" s="153"/>
      <c r="AV6328" s="479"/>
      <c r="AW6328" s="479"/>
      <c r="AX6328" s="442"/>
      <c r="AY6328" s="153"/>
      <c r="AZ6328" s="152"/>
      <c r="BA6328" s="152"/>
      <c r="BB6328" s="152"/>
      <c r="BC6328" s="152"/>
      <c r="BD6328" s="152"/>
      <c r="BE6328" s="152"/>
      <c r="BF6328" s="152"/>
      <c r="BG6328" s="152"/>
      <c r="BH6328" s="152"/>
      <c r="BI6328" s="153"/>
      <c r="BJ6328" s="153"/>
      <c r="BK6328" s="153"/>
      <c r="BL6328" s="153"/>
      <c r="BM6328" s="153"/>
      <c r="BN6328" s="153"/>
      <c r="BO6328" s="153"/>
      <c r="BP6328" s="153"/>
      <c r="BQ6328" s="153"/>
      <c r="BR6328" s="153"/>
      <c r="BS6328" s="153"/>
      <c r="BT6328" s="153"/>
      <c r="BU6328" s="153"/>
      <c r="BV6328" s="153"/>
      <c r="BW6328" s="153"/>
      <c r="BX6328" s="153"/>
      <c r="BY6328" s="153"/>
      <c r="BZ6328" s="153"/>
      <c r="CA6328" s="152"/>
      <c r="CB6328" s="152"/>
    </row>
    <row r="6329" spans="1:80" s="87" customFormat="1" x14ac:dyDescent="0.2">
      <c r="A6329" s="152"/>
      <c r="B6329" s="683"/>
      <c r="C6329" s="683"/>
      <c r="D6329" s="698"/>
      <c r="E6329" s="215"/>
      <c r="F6329" s="215"/>
      <c r="G6329" s="153"/>
      <c r="H6329" s="153"/>
      <c r="I6329" s="153"/>
      <c r="J6329" s="153"/>
      <c r="K6329" s="153"/>
      <c r="L6329" s="653"/>
      <c r="M6329" s="663" t="s">
        <v>899</v>
      </c>
      <c r="N6329" s="600">
        <f>0.89*(0.028317)</f>
        <v>2.520213E-2</v>
      </c>
      <c r="O6329" s="617">
        <f>((0.39/(1000))/(60))/(60)</f>
        <v>1.0833333333333332E-7</v>
      </c>
      <c r="P6329" s="250"/>
      <c r="Q6329" s="250"/>
      <c r="R6329" s="250"/>
      <c r="S6329" s="250"/>
      <c r="T6329" s="250"/>
      <c r="U6329" s="250"/>
      <c r="V6329" s="742"/>
      <c r="W6329" s="747"/>
      <c r="X6329" s="743"/>
      <c r="Y6329" s="246"/>
      <c r="Z6329" s="245"/>
      <c r="AA6329" s="220">
        <f>0.067*(10)</f>
        <v>0.67</v>
      </c>
      <c r="AB6329" s="295">
        <v>84</v>
      </c>
      <c r="AC6329" s="230">
        <v>9.4000000000000004E-3</v>
      </c>
      <c r="AD6329" s="223"/>
      <c r="AE6329" s="223"/>
      <c r="AF6329" s="223"/>
      <c r="AG6329" s="223"/>
      <c r="AH6329" s="341"/>
      <c r="AI6329" s="153"/>
      <c r="AJ6329" s="480"/>
      <c r="AK6329" s="153"/>
      <c r="AL6329" s="152"/>
      <c r="AM6329" s="152"/>
      <c r="AN6329" s="152"/>
      <c r="AO6329" s="152"/>
      <c r="AP6329" s="152"/>
      <c r="AQ6329" s="152"/>
      <c r="AR6329" s="152"/>
      <c r="AS6329" s="152"/>
      <c r="AT6329" s="152"/>
      <c r="AU6329" s="153"/>
      <c r="AV6329" s="479"/>
      <c r="AW6329" s="479"/>
      <c r="AX6329" s="442"/>
      <c r="AY6329" s="153"/>
      <c r="AZ6329" s="152"/>
      <c r="BA6329" s="152"/>
      <c r="BB6329" s="152"/>
      <c r="BC6329" s="152"/>
      <c r="BD6329" s="152"/>
      <c r="BE6329" s="152"/>
      <c r="BF6329" s="152"/>
      <c r="BG6329" s="152"/>
      <c r="BH6329" s="152"/>
      <c r="BI6329" s="153"/>
      <c r="BJ6329" s="153"/>
      <c r="BK6329" s="153"/>
      <c r="BL6329" s="153"/>
      <c r="BM6329" s="153"/>
      <c r="BN6329" s="153"/>
      <c r="BO6329" s="153"/>
      <c r="BP6329" s="153"/>
      <c r="BQ6329" s="153"/>
      <c r="BR6329" s="153"/>
      <c r="BS6329" s="153"/>
      <c r="BT6329" s="153"/>
      <c r="BU6329" s="153"/>
      <c r="BV6329" s="153"/>
      <c r="BW6329" s="153"/>
      <c r="BX6329" s="153"/>
      <c r="BY6329" s="153"/>
      <c r="BZ6329" s="153"/>
      <c r="CA6329" s="152"/>
      <c r="CB6329" s="152"/>
    </row>
    <row r="6330" spans="1:80" s="87" customFormat="1" x14ac:dyDescent="0.2">
      <c r="A6330" s="152"/>
      <c r="B6330" s="683"/>
      <c r="C6330" s="683"/>
      <c r="D6330" s="698"/>
      <c r="E6330" s="215"/>
      <c r="F6330" s="215"/>
      <c r="G6330" s="153"/>
      <c r="H6330" s="153"/>
      <c r="I6330" s="153"/>
      <c r="J6330" s="153"/>
      <c r="K6330" s="153"/>
      <c r="L6330" s="653"/>
      <c r="M6330" s="663" t="s">
        <v>899</v>
      </c>
      <c r="N6330" s="600">
        <f>1.75*(0.028317)</f>
        <v>4.9554749999999995E-2</v>
      </c>
      <c r="O6330" s="617">
        <f>((2/(1000))/(60))/(60)</f>
        <v>5.5555555555555562E-7</v>
      </c>
      <c r="P6330" s="250"/>
      <c r="Q6330" s="250"/>
      <c r="R6330" s="250"/>
      <c r="S6330" s="250"/>
      <c r="T6330" s="250"/>
      <c r="U6330" s="250"/>
      <c r="V6330" s="742"/>
      <c r="W6330" s="747"/>
      <c r="X6330" s="743"/>
      <c r="Y6330" s="246"/>
      <c r="Z6330" s="245"/>
      <c r="AA6330" s="220">
        <f>0.045*(10)</f>
        <v>0.44999999999999996</v>
      </c>
      <c r="AB6330" s="295">
        <v>85</v>
      </c>
      <c r="AC6330" s="230">
        <v>9.4000000000000004E-3</v>
      </c>
      <c r="AD6330" s="223"/>
      <c r="AE6330" s="223"/>
      <c r="AF6330" s="223"/>
      <c r="AG6330" s="223"/>
      <c r="AH6330" s="341"/>
      <c r="AI6330" s="153"/>
      <c r="AJ6330" s="480"/>
      <c r="AK6330" s="153"/>
      <c r="AL6330" s="152"/>
      <c r="AM6330" s="152"/>
      <c r="AN6330" s="152"/>
      <c r="AO6330" s="152"/>
      <c r="AP6330" s="152"/>
      <c r="AQ6330" s="152"/>
      <c r="AR6330" s="152"/>
      <c r="AS6330" s="152"/>
      <c r="AT6330" s="152"/>
      <c r="AU6330" s="153"/>
      <c r="AV6330" s="479"/>
      <c r="AW6330" s="479"/>
      <c r="AX6330" s="442"/>
      <c r="AY6330" s="153"/>
      <c r="AZ6330" s="152"/>
      <c r="BA6330" s="152"/>
      <c r="BB6330" s="152"/>
      <c r="BC6330" s="152"/>
      <c r="BD6330" s="152"/>
      <c r="BE6330" s="152"/>
      <c r="BF6330" s="152"/>
      <c r="BG6330" s="152"/>
      <c r="BH6330" s="152"/>
      <c r="BI6330" s="153"/>
      <c r="BJ6330" s="153"/>
      <c r="BK6330" s="153"/>
      <c r="BL6330" s="153"/>
      <c r="BM6330" s="153"/>
      <c r="BN6330" s="153"/>
      <c r="BO6330" s="153"/>
      <c r="BP6330" s="153"/>
      <c r="BQ6330" s="153"/>
      <c r="BR6330" s="153"/>
      <c r="BS6330" s="153"/>
      <c r="BT6330" s="153"/>
      <c r="BU6330" s="153"/>
      <c r="BV6330" s="153"/>
      <c r="BW6330" s="153"/>
      <c r="BX6330" s="153"/>
      <c r="BY6330" s="153"/>
      <c r="BZ6330" s="153"/>
      <c r="CA6330" s="152"/>
      <c r="CB6330" s="152"/>
    </row>
    <row r="6331" spans="1:80" s="87" customFormat="1" x14ac:dyDescent="0.2">
      <c r="A6331" s="152"/>
      <c r="B6331" s="683"/>
      <c r="C6331" s="683"/>
      <c r="D6331" s="698"/>
      <c r="E6331" s="215"/>
      <c r="F6331" s="215"/>
      <c r="G6331" s="153"/>
      <c r="H6331" s="153"/>
      <c r="I6331" s="153"/>
      <c r="J6331" s="153"/>
      <c r="K6331" s="153"/>
      <c r="L6331" s="653"/>
      <c r="M6331" s="663" t="s">
        <v>899</v>
      </c>
      <c r="N6331" s="600">
        <f>1.34*(0.028317)</f>
        <v>3.7944779999999997E-2</v>
      </c>
      <c r="O6331" s="617">
        <f>((3.2/(1000))/(60))/(60)</f>
        <v>8.8888888888888887E-7</v>
      </c>
      <c r="P6331" s="250"/>
      <c r="Q6331" s="250"/>
      <c r="R6331" s="250"/>
      <c r="S6331" s="250"/>
      <c r="T6331" s="250"/>
      <c r="U6331" s="250"/>
      <c r="V6331" s="742"/>
      <c r="W6331" s="747"/>
      <c r="X6331" s="743"/>
      <c r="Y6331" s="246"/>
      <c r="Z6331" s="245"/>
      <c r="AA6331" s="220">
        <f>0.05*(10)</f>
        <v>0.5</v>
      </c>
      <c r="AB6331" s="295">
        <v>86</v>
      </c>
      <c r="AC6331" s="230">
        <v>9.4000000000000004E-3</v>
      </c>
      <c r="AD6331" s="223"/>
      <c r="AE6331" s="223"/>
      <c r="AF6331" s="223"/>
      <c r="AG6331" s="223"/>
      <c r="AH6331" s="341"/>
      <c r="AI6331" s="153"/>
      <c r="AJ6331" s="480"/>
      <c r="AK6331" s="153"/>
      <c r="AL6331" s="152"/>
      <c r="AM6331" s="152"/>
      <c r="AN6331" s="152"/>
      <c r="AO6331" s="152"/>
      <c r="AP6331" s="152"/>
      <c r="AQ6331" s="152"/>
      <c r="AR6331" s="152"/>
      <c r="AS6331" s="152"/>
      <c r="AT6331" s="152"/>
      <c r="AU6331" s="153"/>
      <c r="AV6331" s="479"/>
      <c r="AW6331" s="479"/>
      <c r="AX6331" s="442"/>
      <c r="AY6331" s="153"/>
      <c r="AZ6331" s="152"/>
      <c r="BA6331" s="152"/>
      <c r="BB6331" s="152"/>
      <c r="BC6331" s="152"/>
      <c r="BD6331" s="152"/>
      <c r="BE6331" s="152"/>
      <c r="BF6331" s="152"/>
      <c r="BG6331" s="152"/>
      <c r="BH6331" s="152"/>
      <c r="BI6331" s="153"/>
      <c r="BJ6331" s="153"/>
      <c r="BK6331" s="153"/>
      <c r="BL6331" s="153"/>
      <c r="BM6331" s="153"/>
      <c r="BN6331" s="153"/>
      <c r="BO6331" s="153"/>
      <c r="BP6331" s="153"/>
      <c r="BQ6331" s="153"/>
      <c r="BR6331" s="153"/>
      <c r="BS6331" s="153"/>
      <c r="BT6331" s="153"/>
      <c r="BU6331" s="153"/>
      <c r="BV6331" s="153"/>
      <c r="BW6331" s="153"/>
      <c r="BX6331" s="153"/>
      <c r="BY6331" s="153"/>
      <c r="BZ6331" s="153"/>
      <c r="CA6331" s="152"/>
      <c r="CB6331" s="152"/>
    </row>
    <row r="6332" spans="1:80" s="87" customFormat="1" x14ac:dyDescent="0.2">
      <c r="A6332" s="152"/>
      <c r="B6332" s="683"/>
      <c r="C6332" s="683"/>
      <c r="D6332" s="698"/>
      <c r="E6332" s="215"/>
      <c r="F6332" s="215"/>
      <c r="G6332" s="153"/>
      <c r="H6332" s="153"/>
      <c r="I6332" s="153"/>
      <c r="J6332" s="153"/>
      <c r="K6332" s="153"/>
      <c r="L6332" s="653"/>
      <c r="M6332" s="663" t="s">
        <v>899</v>
      </c>
      <c r="N6332" s="600">
        <f>1.03*(0.028317)</f>
        <v>2.916651E-2</v>
      </c>
      <c r="O6332" s="617">
        <f>((1.9/(1000))/(60))/(60)</f>
        <v>5.2777777777777775E-7</v>
      </c>
      <c r="P6332" s="250"/>
      <c r="Q6332" s="250"/>
      <c r="R6332" s="250"/>
      <c r="S6332" s="250"/>
      <c r="T6332" s="250"/>
      <c r="U6332" s="250"/>
      <c r="V6332" s="742"/>
      <c r="W6332" s="747"/>
      <c r="X6332" s="743"/>
      <c r="Y6332" s="246"/>
      <c r="Z6332" s="245"/>
      <c r="AA6332" s="220">
        <f>0.34*(10)</f>
        <v>3.4000000000000004</v>
      </c>
      <c r="AB6332" s="295">
        <v>87</v>
      </c>
      <c r="AC6332" s="230">
        <v>9.4000000000000004E-3</v>
      </c>
      <c r="AD6332" s="223"/>
      <c r="AE6332" s="223"/>
      <c r="AF6332" s="223"/>
      <c r="AG6332" s="223"/>
      <c r="AH6332" s="341"/>
      <c r="AI6332" s="153"/>
      <c r="AJ6332" s="480"/>
      <c r="AK6332" s="153"/>
      <c r="AL6332" s="152"/>
      <c r="AM6332" s="152"/>
      <c r="AN6332" s="152"/>
      <c r="AO6332" s="152"/>
      <c r="AP6332" s="152"/>
      <c r="AQ6332" s="152"/>
      <c r="AR6332" s="152"/>
      <c r="AS6332" s="152"/>
      <c r="AT6332" s="152"/>
      <c r="AU6332" s="153"/>
      <c r="AV6332" s="479"/>
      <c r="AW6332" s="479"/>
      <c r="AX6332" s="442"/>
      <c r="AY6332" s="153"/>
      <c r="AZ6332" s="152"/>
      <c r="BA6332" s="152"/>
      <c r="BB6332" s="152"/>
      <c r="BC6332" s="152"/>
      <c r="BD6332" s="152"/>
      <c r="BE6332" s="152"/>
      <c r="BF6332" s="152"/>
      <c r="BG6332" s="152"/>
      <c r="BH6332" s="152"/>
      <c r="BI6332" s="153"/>
      <c r="BJ6332" s="153"/>
      <c r="BK6332" s="153"/>
      <c r="BL6332" s="153"/>
      <c r="BM6332" s="153"/>
      <c r="BN6332" s="153"/>
      <c r="BO6332" s="153"/>
      <c r="BP6332" s="153"/>
      <c r="BQ6332" s="153"/>
      <c r="BR6332" s="153"/>
      <c r="BS6332" s="153"/>
      <c r="BT6332" s="153"/>
      <c r="BU6332" s="153"/>
      <c r="BV6332" s="153"/>
      <c r="BW6332" s="153"/>
      <c r="BX6332" s="153"/>
      <c r="BY6332" s="153"/>
      <c r="BZ6332" s="153"/>
      <c r="CA6332" s="152"/>
      <c r="CB6332" s="152"/>
    </row>
    <row r="6333" spans="1:80" s="87" customFormat="1" x14ac:dyDescent="0.2">
      <c r="A6333" s="152"/>
      <c r="B6333" s="683"/>
      <c r="C6333" s="683"/>
      <c r="D6333" s="698"/>
      <c r="E6333" s="215"/>
      <c r="F6333" s="215"/>
      <c r="G6333" s="153"/>
      <c r="H6333" s="153"/>
      <c r="I6333" s="153"/>
      <c r="J6333" s="153"/>
      <c r="K6333" s="153"/>
      <c r="L6333" s="653"/>
      <c r="M6333" s="663" t="s">
        <v>899</v>
      </c>
      <c r="N6333" s="600">
        <f>1.01*(0.028317)</f>
        <v>2.8600169999999998E-2</v>
      </c>
      <c r="O6333" s="617">
        <f>((2.3/(1000))/(60))/(60)</f>
        <v>6.3888888888888894E-7</v>
      </c>
      <c r="P6333" s="250"/>
      <c r="Q6333" s="250"/>
      <c r="R6333" s="250"/>
      <c r="S6333" s="250"/>
      <c r="T6333" s="250"/>
      <c r="U6333" s="250"/>
      <c r="V6333" s="742"/>
      <c r="W6333" s="747"/>
      <c r="X6333" s="743"/>
      <c r="Y6333" s="246"/>
      <c r="Z6333" s="245"/>
      <c r="AA6333" s="220">
        <f>0.48*(10)</f>
        <v>4.8</v>
      </c>
      <c r="AB6333" s="295">
        <v>88</v>
      </c>
      <c r="AC6333" s="230">
        <v>9.4000000000000004E-3</v>
      </c>
      <c r="AD6333" s="223"/>
      <c r="AE6333" s="223"/>
      <c r="AF6333" s="223"/>
      <c r="AG6333" s="223"/>
      <c r="AH6333" s="341"/>
      <c r="AI6333" s="153"/>
      <c r="AJ6333" s="480"/>
      <c r="AK6333" s="153"/>
      <c r="AL6333" s="152"/>
      <c r="AM6333" s="152"/>
      <c r="AN6333" s="152"/>
      <c r="AO6333" s="152"/>
      <c r="AP6333" s="152"/>
      <c r="AQ6333" s="152"/>
      <c r="AR6333" s="152"/>
      <c r="AS6333" s="152"/>
      <c r="AT6333" s="152"/>
      <c r="AU6333" s="153"/>
      <c r="AV6333" s="479"/>
      <c r="AW6333" s="479"/>
      <c r="AX6333" s="442"/>
      <c r="AY6333" s="153"/>
      <c r="AZ6333" s="152"/>
      <c r="BA6333" s="152"/>
      <c r="BB6333" s="152"/>
      <c r="BC6333" s="152"/>
      <c r="BD6333" s="152"/>
      <c r="BE6333" s="152"/>
      <c r="BF6333" s="152"/>
      <c r="BG6333" s="152"/>
      <c r="BH6333" s="152"/>
      <c r="BI6333" s="153"/>
      <c r="BJ6333" s="153"/>
      <c r="BK6333" s="153"/>
      <c r="BL6333" s="153"/>
      <c r="BM6333" s="153"/>
      <c r="BN6333" s="153"/>
      <c r="BO6333" s="153"/>
      <c r="BP6333" s="153"/>
      <c r="BQ6333" s="153"/>
      <c r="BR6333" s="153"/>
      <c r="BS6333" s="153"/>
      <c r="BT6333" s="153"/>
      <c r="BU6333" s="153"/>
      <c r="BV6333" s="153"/>
      <c r="BW6333" s="153"/>
      <c r="BX6333" s="153"/>
      <c r="BY6333" s="153"/>
      <c r="BZ6333" s="153"/>
      <c r="CA6333" s="152"/>
      <c r="CB6333" s="152"/>
    </row>
    <row r="6334" spans="1:80" s="87" customFormat="1" x14ac:dyDescent="0.2">
      <c r="A6334" s="152"/>
      <c r="B6334" s="683"/>
      <c r="C6334" s="683"/>
      <c r="D6334" s="698"/>
      <c r="E6334" s="215"/>
      <c r="F6334" s="215"/>
      <c r="G6334" s="153"/>
      <c r="H6334" s="153"/>
      <c r="I6334" s="153"/>
      <c r="J6334" s="153"/>
      <c r="K6334" s="153"/>
      <c r="L6334" s="653"/>
      <c r="M6334" s="663" t="s">
        <v>899</v>
      </c>
      <c r="N6334" s="600">
        <f>1.46*(0.028317)</f>
        <v>4.1342819999999995E-2</v>
      </c>
      <c r="O6334" s="617">
        <f>((2.7/(1000))/(60))/(60)</f>
        <v>7.5000000000000002E-7</v>
      </c>
      <c r="P6334" s="250"/>
      <c r="Q6334" s="250"/>
      <c r="R6334" s="250"/>
      <c r="S6334" s="250"/>
      <c r="T6334" s="250"/>
      <c r="U6334" s="250"/>
      <c r="V6334" s="742"/>
      <c r="W6334" s="747"/>
      <c r="X6334" s="743"/>
      <c r="Y6334" s="246"/>
      <c r="Z6334" s="245"/>
      <c r="AA6334" s="220">
        <f>0.92*(10)</f>
        <v>9.2000000000000011</v>
      </c>
      <c r="AB6334" s="295">
        <v>89</v>
      </c>
      <c r="AC6334" s="230">
        <v>9.4000000000000004E-3</v>
      </c>
      <c r="AD6334" s="223"/>
      <c r="AE6334" s="223"/>
      <c r="AF6334" s="223"/>
      <c r="AG6334" s="223"/>
      <c r="AH6334" s="341"/>
      <c r="AI6334" s="153"/>
      <c r="AJ6334" s="480"/>
      <c r="AK6334" s="153"/>
      <c r="AL6334" s="152"/>
      <c r="AM6334" s="152"/>
      <c r="AN6334" s="152"/>
      <c r="AO6334" s="152"/>
      <c r="AP6334" s="152"/>
      <c r="AQ6334" s="152"/>
      <c r="AR6334" s="152"/>
      <c r="AS6334" s="152"/>
      <c r="AT6334" s="152"/>
      <c r="AU6334" s="153"/>
      <c r="AV6334" s="479"/>
      <c r="AW6334" s="479"/>
      <c r="AX6334" s="442"/>
      <c r="AY6334" s="153"/>
      <c r="AZ6334" s="152"/>
      <c r="BA6334" s="152"/>
      <c r="BB6334" s="152"/>
      <c r="BC6334" s="152"/>
      <c r="BD6334" s="152"/>
      <c r="BE6334" s="152"/>
      <c r="BF6334" s="152"/>
      <c r="BG6334" s="152"/>
      <c r="BH6334" s="152"/>
      <c r="BI6334" s="153"/>
      <c r="BJ6334" s="153"/>
      <c r="BK6334" s="153"/>
      <c r="BL6334" s="153"/>
      <c r="BM6334" s="153"/>
      <c r="BN6334" s="153"/>
      <c r="BO6334" s="153"/>
      <c r="BP6334" s="153"/>
      <c r="BQ6334" s="153"/>
      <c r="BR6334" s="153"/>
      <c r="BS6334" s="153"/>
      <c r="BT6334" s="153"/>
      <c r="BU6334" s="153"/>
      <c r="BV6334" s="153"/>
      <c r="BW6334" s="153"/>
      <c r="BX6334" s="153"/>
      <c r="BY6334" s="153"/>
      <c r="BZ6334" s="153"/>
      <c r="CA6334" s="152"/>
      <c r="CB6334" s="152"/>
    </row>
    <row r="6335" spans="1:80" s="87" customFormat="1" x14ac:dyDescent="0.2">
      <c r="A6335" s="152"/>
      <c r="B6335" s="683"/>
      <c r="C6335" s="683"/>
      <c r="D6335" s="698"/>
      <c r="E6335" s="215"/>
      <c r="F6335" s="215"/>
      <c r="G6335" s="153"/>
      <c r="H6335" s="153"/>
      <c r="I6335" s="153"/>
      <c r="J6335" s="153"/>
      <c r="K6335" s="153"/>
      <c r="L6335" s="653"/>
      <c r="M6335" s="663" t="s">
        <v>899</v>
      </c>
      <c r="N6335" s="600">
        <f>1.52*(0.028317)</f>
        <v>4.3041839999999998E-2</v>
      </c>
      <c r="O6335" s="617">
        <f>((0.97/(1000))/(60))/(60)</f>
        <v>2.6944444444444442E-7</v>
      </c>
      <c r="P6335" s="250"/>
      <c r="Q6335" s="250"/>
      <c r="R6335" s="250"/>
      <c r="S6335" s="250"/>
      <c r="T6335" s="250"/>
      <c r="U6335" s="250"/>
      <c r="V6335" s="742"/>
      <c r="W6335" s="747"/>
      <c r="X6335" s="743"/>
      <c r="Y6335" s="246"/>
      <c r="Z6335" s="245"/>
      <c r="AA6335" s="220">
        <f>0.06*(10)</f>
        <v>0.6</v>
      </c>
      <c r="AB6335" s="295">
        <v>90</v>
      </c>
      <c r="AC6335" s="230">
        <v>9.4000000000000004E-3</v>
      </c>
      <c r="AD6335" s="223"/>
      <c r="AE6335" s="223"/>
      <c r="AF6335" s="223"/>
      <c r="AG6335" s="223"/>
      <c r="AH6335" s="341"/>
      <c r="AI6335" s="153"/>
      <c r="AJ6335" s="480"/>
      <c r="AK6335" s="153"/>
      <c r="AL6335" s="152"/>
      <c r="AM6335" s="152"/>
      <c r="AN6335" s="152"/>
      <c r="AO6335" s="152"/>
      <c r="AP6335" s="152"/>
      <c r="AQ6335" s="152"/>
      <c r="AR6335" s="152"/>
      <c r="AS6335" s="152"/>
      <c r="AT6335" s="152"/>
      <c r="AU6335" s="153"/>
      <c r="AV6335" s="479"/>
      <c r="AW6335" s="479"/>
      <c r="AX6335" s="442"/>
      <c r="AY6335" s="153"/>
      <c r="AZ6335" s="152"/>
      <c r="BA6335" s="152"/>
      <c r="BB6335" s="152"/>
      <c r="BC6335" s="152"/>
      <c r="BD6335" s="152"/>
      <c r="BE6335" s="152"/>
      <c r="BF6335" s="152"/>
      <c r="BG6335" s="152"/>
      <c r="BH6335" s="152"/>
      <c r="BI6335" s="153"/>
      <c r="BJ6335" s="153"/>
      <c r="BK6335" s="153"/>
      <c r="BL6335" s="153"/>
      <c r="BM6335" s="153"/>
      <c r="BN6335" s="153"/>
      <c r="BO6335" s="153"/>
      <c r="BP6335" s="153"/>
      <c r="BQ6335" s="153"/>
      <c r="BR6335" s="153"/>
      <c r="BS6335" s="153"/>
      <c r="BT6335" s="153"/>
      <c r="BU6335" s="153"/>
      <c r="BV6335" s="153"/>
      <c r="BW6335" s="153"/>
      <c r="BX6335" s="153"/>
      <c r="BY6335" s="153"/>
      <c r="BZ6335" s="153"/>
      <c r="CA6335" s="152"/>
      <c r="CB6335" s="152"/>
    </row>
    <row r="6336" spans="1:80" s="87" customFormat="1" x14ac:dyDescent="0.2">
      <c r="A6336" s="152"/>
      <c r="B6336" s="683"/>
      <c r="C6336" s="683"/>
      <c r="D6336" s="698"/>
      <c r="E6336" s="215"/>
      <c r="F6336" s="215"/>
      <c r="G6336" s="153"/>
      <c r="H6336" s="153"/>
      <c r="I6336" s="153"/>
      <c r="J6336" s="153"/>
      <c r="K6336" s="153"/>
      <c r="L6336" s="653"/>
      <c r="M6336" s="663" t="s">
        <v>899</v>
      </c>
      <c r="N6336" s="600">
        <f>1.3*(0.028317)</f>
        <v>3.68121E-2</v>
      </c>
      <c r="O6336" s="617">
        <f>((3.7/(1000))/(60))/(60)</f>
        <v>1.0277777777777779E-6</v>
      </c>
      <c r="P6336" s="250"/>
      <c r="Q6336" s="250"/>
      <c r="R6336" s="250"/>
      <c r="S6336" s="250"/>
      <c r="T6336" s="250"/>
      <c r="U6336" s="250"/>
      <c r="V6336" s="742"/>
      <c r="W6336" s="747"/>
      <c r="X6336" s="743"/>
      <c r="Y6336" s="246"/>
      <c r="Z6336" s="245"/>
      <c r="AA6336" s="220">
        <f>0.1*(10)</f>
        <v>1</v>
      </c>
      <c r="AB6336" s="295">
        <v>91</v>
      </c>
      <c r="AC6336" s="230">
        <v>9.4000000000000004E-3</v>
      </c>
      <c r="AD6336" s="223"/>
      <c r="AE6336" s="223"/>
      <c r="AF6336" s="223"/>
      <c r="AG6336" s="223"/>
      <c r="AH6336" s="341"/>
      <c r="AI6336" s="153"/>
      <c r="AJ6336" s="480"/>
      <c r="AK6336" s="153"/>
      <c r="AL6336" s="152"/>
      <c r="AM6336" s="152"/>
      <c r="AN6336" s="152"/>
      <c r="AO6336" s="152"/>
      <c r="AP6336" s="152"/>
      <c r="AQ6336" s="152"/>
      <c r="AR6336" s="152"/>
      <c r="AS6336" s="152"/>
      <c r="AT6336" s="152"/>
      <c r="AU6336" s="153"/>
      <c r="AV6336" s="479"/>
      <c r="AW6336" s="479"/>
      <c r="AX6336" s="442"/>
      <c r="AY6336" s="153"/>
      <c r="AZ6336" s="152"/>
      <c r="BA6336" s="152"/>
      <c r="BB6336" s="152"/>
      <c r="BC6336" s="152"/>
      <c r="BD6336" s="152"/>
      <c r="BE6336" s="152"/>
      <c r="BF6336" s="152"/>
      <c r="BG6336" s="152"/>
      <c r="BH6336" s="152"/>
      <c r="BI6336" s="153"/>
      <c r="BJ6336" s="153"/>
      <c r="BK6336" s="153"/>
      <c r="BL6336" s="153"/>
      <c r="BM6336" s="153"/>
      <c r="BN6336" s="153"/>
      <c r="BO6336" s="153"/>
      <c r="BP6336" s="153"/>
      <c r="BQ6336" s="153"/>
      <c r="BR6336" s="153"/>
      <c r="BS6336" s="153"/>
      <c r="BT6336" s="153"/>
      <c r="BU6336" s="153"/>
      <c r="BV6336" s="153"/>
      <c r="BW6336" s="153"/>
      <c r="BX6336" s="153"/>
      <c r="BY6336" s="153"/>
      <c r="BZ6336" s="153"/>
      <c r="CA6336" s="152"/>
      <c r="CB6336" s="152"/>
    </row>
    <row r="6337" spans="1:80" s="87" customFormat="1" x14ac:dyDescent="0.2">
      <c r="A6337" s="152"/>
      <c r="B6337" s="683"/>
      <c r="C6337" s="683"/>
      <c r="D6337" s="698"/>
      <c r="E6337" s="215"/>
      <c r="F6337" s="215"/>
      <c r="G6337" s="153"/>
      <c r="H6337" s="153"/>
      <c r="I6337" s="153"/>
      <c r="J6337" s="153"/>
      <c r="K6337" s="153"/>
      <c r="L6337" s="653"/>
      <c r="M6337" s="663" t="s">
        <v>899</v>
      </c>
      <c r="N6337" s="600">
        <f>1.38*(0.028317)</f>
        <v>3.9077459999999994E-2</v>
      </c>
      <c r="O6337" s="617">
        <f>((3.2/(1000))/(60))/(60)</f>
        <v>8.8888888888888887E-7</v>
      </c>
      <c r="P6337" s="250"/>
      <c r="Q6337" s="250"/>
      <c r="R6337" s="250"/>
      <c r="S6337" s="250"/>
      <c r="T6337" s="250"/>
      <c r="U6337" s="250"/>
      <c r="V6337" s="742"/>
      <c r="W6337" s="747"/>
      <c r="X6337" s="743"/>
      <c r="Y6337" s="246"/>
      <c r="Z6337" s="245"/>
      <c r="AA6337" s="220">
        <f>0.056*(10)</f>
        <v>0.56000000000000005</v>
      </c>
      <c r="AB6337" s="295">
        <v>92</v>
      </c>
      <c r="AC6337" s="230">
        <v>9.4000000000000004E-3</v>
      </c>
      <c r="AD6337" s="223"/>
      <c r="AE6337" s="223"/>
      <c r="AF6337" s="223"/>
      <c r="AG6337" s="223"/>
      <c r="AH6337" s="341"/>
      <c r="AI6337" s="153"/>
      <c r="AJ6337" s="480"/>
      <c r="AK6337" s="153"/>
      <c r="AL6337" s="152"/>
      <c r="AM6337" s="152"/>
      <c r="AN6337" s="152"/>
      <c r="AO6337" s="152"/>
      <c r="AP6337" s="152"/>
      <c r="AQ6337" s="152"/>
      <c r="AR6337" s="152"/>
      <c r="AS6337" s="152"/>
      <c r="AT6337" s="152"/>
      <c r="AU6337" s="153"/>
      <c r="AV6337" s="479"/>
      <c r="AW6337" s="479"/>
      <c r="AX6337" s="442"/>
      <c r="AY6337" s="153"/>
      <c r="AZ6337" s="152"/>
      <c r="BA6337" s="152"/>
      <c r="BB6337" s="152"/>
      <c r="BC6337" s="152"/>
      <c r="BD6337" s="152"/>
      <c r="BE6337" s="152"/>
      <c r="BF6337" s="152"/>
      <c r="BG6337" s="152"/>
      <c r="BH6337" s="152"/>
      <c r="BI6337" s="153"/>
      <c r="BJ6337" s="153"/>
      <c r="BK6337" s="153"/>
      <c r="BL6337" s="153"/>
      <c r="BM6337" s="153"/>
      <c r="BN6337" s="153"/>
      <c r="BO6337" s="153"/>
      <c r="BP6337" s="153"/>
      <c r="BQ6337" s="153"/>
      <c r="BR6337" s="153"/>
      <c r="BS6337" s="153"/>
      <c r="BT6337" s="153"/>
      <c r="BU6337" s="153"/>
      <c r="BV6337" s="153"/>
      <c r="BW6337" s="153"/>
      <c r="BX6337" s="153"/>
      <c r="BY6337" s="153"/>
      <c r="BZ6337" s="153"/>
      <c r="CA6337" s="152"/>
      <c r="CB6337" s="152"/>
    </row>
    <row r="6338" spans="1:80" s="87" customFormat="1" x14ac:dyDescent="0.2">
      <c r="A6338" s="152"/>
      <c r="B6338" s="683"/>
      <c r="C6338" s="683"/>
      <c r="D6338" s="698"/>
      <c r="E6338" s="215"/>
      <c r="F6338" s="215"/>
      <c r="G6338" s="153"/>
      <c r="H6338" s="153"/>
      <c r="I6338" s="153"/>
      <c r="J6338" s="153"/>
      <c r="K6338" s="153"/>
      <c r="L6338" s="653"/>
      <c r="M6338" s="663" t="s">
        <v>899</v>
      </c>
      <c r="N6338" s="600">
        <f>1.5*(0.028317)</f>
        <v>4.2475499999999999E-2</v>
      </c>
      <c r="O6338" s="617">
        <f>((3.5/(1000))/(60))/(60)</f>
        <v>9.7222222222222218E-7</v>
      </c>
      <c r="P6338" s="250"/>
      <c r="Q6338" s="250"/>
      <c r="R6338" s="250"/>
      <c r="S6338" s="250"/>
      <c r="T6338" s="250"/>
      <c r="U6338" s="250"/>
      <c r="V6338" s="742"/>
      <c r="W6338" s="747"/>
      <c r="X6338" s="743"/>
      <c r="Y6338" s="246"/>
      <c r="Z6338" s="245"/>
      <c r="AA6338" s="220">
        <f>1*(10)</f>
        <v>10</v>
      </c>
      <c r="AB6338" s="295">
        <v>93</v>
      </c>
      <c r="AC6338" s="230">
        <v>9.4000000000000004E-3</v>
      </c>
      <c r="AD6338" s="223"/>
      <c r="AE6338" s="223"/>
      <c r="AF6338" s="223"/>
      <c r="AG6338" s="223"/>
      <c r="AH6338" s="341"/>
      <c r="AI6338" s="153"/>
      <c r="AJ6338" s="480"/>
      <c r="AK6338" s="153"/>
      <c r="AL6338" s="152"/>
      <c r="AM6338" s="152"/>
      <c r="AN6338" s="152"/>
      <c r="AO6338" s="152"/>
      <c r="AP6338" s="152"/>
      <c r="AQ6338" s="152"/>
      <c r="AR6338" s="152"/>
      <c r="AS6338" s="152"/>
      <c r="AT6338" s="152"/>
      <c r="AU6338" s="153"/>
      <c r="AV6338" s="479"/>
      <c r="AW6338" s="479"/>
      <c r="AX6338" s="442"/>
      <c r="AY6338" s="153"/>
      <c r="AZ6338" s="152"/>
      <c r="BA6338" s="152"/>
      <c r="BB6338" s="152"/>
      <c r="BC6338" s="152"/>
      <c r="BD6338" s="152"/>
      <c r="BE6338" s="152"/>
      <c r="BF6338" s="152"/>
      <c r="BG6338" s="152"/>
      <c r="BH6338" s="152"/>
      <c r="BI6338" s="153"/>
      <c r="BJ6338" s="153"/>
      <c r="BK6338" s="153"/>
      <c r="BL6338" s="153"/>
      <c r="BM6338" s="153"/>
      <c r="BN6338" s="153"/>
      <c r="BO6338" s="153"/>
      <c r="BP6338" s="153"/>
      <c r="BQ6338" s="153"/>
      <c r="BR6338" s="153"/>
      <c r="BS6338" s="153"/>
      <c r="BT6338" s="153"/>
      <c r="BU6338" s="153"/>
      <c r="BV6338" s="153"/>
      <c r="BW6338" s="153"/>
      <c r="BX6338" s="153"/>
      <c r="BY6338" s="153"/>
      <c r="BZ6338" s="153"/>
      <c r="CA6338" s="152"/>
      <c r="CB6338" s="152"/>
    </row>
    <row r="6339" spans="1:80" s="87" customFormat="1" x14ac:dyDescent="0.2">
      <c r="A6339" s="152"/>
      <c r="B6339" s="683"/>
      <c r="C6339" s="683"/>
      <c r="D6339" s="698"/>
      <c r="E6339" s="215"/>
      <c r="F6339" s="215"/>
      <c r="G6339" s="153"/>
      <c r="H6339" s="153"/>
      <c r="I6339" s="153"/>
      <c r="J6339" s="153"/>
      <c r="K6339" s="153"/>
      <c r="L6339" s="653"/>
      <c r="M6339" s="663" t="s">
        <v>899</v>
      </c>
      <c r="N6339" s="600">
        <f>2.3*(0.028317)</f>
        <v>6.5129099999999995E-2</v>
      </c>
      <c r="O6339" s="617">
        <f>((3.2/(1000))/(60))/(60)</f>
        <v>8.8888888888888887E-7</v>
      </c>
      <c r="P6339" s="250"/>
      <c r="Q6339" s="250"/>
      <c r="R6339" s="250"/>
      <c r="S6339" s="250"/>
      <c r="T6339" s="250"/>
      <c r="U6339" s="250"/>
      <c r="V6339" s="742"/>
      <c r="W6339" s="747"/>
      <c r="X6339" s="743"/>
      <c r="Y6339" s="246"/>
      <c r="Z6339" s="245"/>
      <c r="AA6339" s="220">
        <f>0.046*(10)</f>
        <v>0.45999999999999996</v>
      </c>
      <c r="AB6339" s="295">
        <v>94</v>
      </c>
      <c r="AC6339" s="230">
        <v>9.4000000000000004E-3</v>
      </c>
      <c r="AD6339" s="223"/>
      <c r="AE6339" s="223"/>
      <c r="AF6339" s="223"/>
      <c r="AG6339" s="223"/>
      <c r="AH6339" s="341"/>
      <c r="AI6339" s="153"/>
      <c r="AJ6339" s="480"/>
      <c r="AK6339" s="153"/>
      <c r="AL6339" s="152"/>
      <c r="AM6339" s="152"/>
      <c r="AN6339" s="152"/>
      <c r="AO6339" s="152"/>
      <c r="AP6339" s="152"/>
      <c r="AQ6339" s="152"/>
      <c r="AR6339" s="152"/>
      <c r="AS6339" s="152"/>
      <c r="AT6339" s="152"/>
      <c r="AU6339" s="153"/>
      <c r="AV6339" s="479"/>
      <c r="AW6339" s="479"/>
      <c r="AX6339" s="442"/>
      <c r="AY6339" s="153"/>
      <c r="AZ6339" s="152"/>
      <c r="BA6339" s="152"/>
      <c r="BB6339" s="152"/>
      <c r="BC6339" s="152"/>
      <c r="BD6339" s="152"/>
      <c r="BE6339" s="152"/>
      <c r="BF6339" s="152"/>
      <c r="BG6339" s="152"/>
      <c r="BH6339" s="152"/>
      <c r="BI6339" s="153"/>
      <c r="BJ6339" s="153"/>
      <c r="BK6339" s="153"/>
      <c r="BL6339" s="153"/>
      <c r="BM6339" s="153"/>
      <c r="BN6339" s="153"/>
      <c r="BO6339" s="153"/>
      <c r="BP6339" s="153"/>
      <c r="BQ6339" s="153"/>
      <c r="BR6339" s="153"/>
      <c r="BS6339" s="153"/>
      <c r="BT6339" s="153"/>
      <c r="BU6339" s="153"/>
      <c r="BV6339" s="153"/>
      <c r="BW6339" s="153"/>
      <c r="BX6339" s="153"/>
      <c r="BY6339" s="153"/>
      <c r="BZ6339" s="153"/>
      <c r="CA6339" s="152"/>
      <c r="CB6339" s="152"/>
    </row>
    <row r="6340" spans="1:80" s="87" customFormat="1" x14ac:dyDescent="0.2">
      <c r="A6340" s="152"/>
      <c r="B6340" s="683"/>
      <c r="C6340" s="683"/>
      <c r="D6340" s="698"/>
      <c r="E6340" s="215"/>
      <c r="F6340" s="215"/>
      <c r="G6340" s="153"/>
      <c r="H6340" s="153"/>
      <c r="I6340" s="153"/>
      <c r="J6340" s="153"/>
      <c r="K6340" s="153"/>
      <c r="L6340" s="653"/>
      <c r="M6340" s="663" t="s">
        <v>899</v>
      </c>
      <c r="N6340" s="600">
        <f>2.5*(0.028317)</f>
        <v>7.0792499999999994E-2</v>
      </c>
      <c r="O6340" s="617">
        <f>((2.9/(1000))/(60))/(60)</f>
        <v>8.0555555555555545E-7</v>
      </c>
      <c r="P6340" s="250"/>
      <c r="Q6340" s="250"/>
      <c r="R6340" s="250"/>
      <c r="S6340" s="250"/>
      <c r="T6340" s="250"/>
      <c r="U6340" s="250"/>
      <c r="V6340" s="742"/>
      <c r="W6340" s="747"/>
      <c r="X6340" s="743"/>
      <c r="Y6340" s="246"/>
      <c r="Z6340" s="245"/>
      <c r="AA6340" s="220">
        <f>0.2*(10)</f>
        <v>2</v>
      </c>
      <c r="AB6340" s="295">
        <v>95</v>
      </c>
      <c r="AC6340" s="230">
        <v>9.4000000000000004E-3</v>
      </c>
      <c r="AD6340" s="223"/>
      <c r="AE6340" s="223"/>
      <c r="AF6340" s="223"/>
      <c r="AG6340" s="223"/>
      <c r="AH6340" s="341"/>
      <c r="AI6340" s="153"/>
      <c r="AJ6340" s="480"/>
      <c r="AK6340" s="153"/>
      <c r="AL6340" s="152"/>
      <c r="AM6340" s="152"/>
      <c r="AN6340" s="152"/>
      <c r="AO6340" s="152"/>
      <c r="AP6340" s="152"/>
      <c r="AQ6340" s="152"/>
      <c r="AR6340" s="152"/>
      <c r="AS6340" s="152"/>
      <c r="AT6340" s="152"/>
      <c r="AU6340" s="153"/>
      <c r="AV6340" s="479"/>
      <c r="AW6340" s="479"/>
      <c r="AX6340" s="442"/>
      <c r="AY6340" s="153"/>
      <c r="AZ6340" s="152"/>
      <c r="BA6340" s="152"/>
      <c r="BB6340" s="152"/>
      <c r="BC6340" s="152"/>
      <c r="BD6340" s="152"/>
      <c r="BE6340" s="152"/>
      <c r="BF6340" s="152"/>
      <c r="BG6340" s="152"/>
      <c r="BH6340" s="152"/>
      <c r="BI6340" s="153"/>
      <c r="BJ6340" s="153"/>
      <c r="BK6340" s="153"/>
      <c r="BL6340" s="153"/>
      <c r="BM6340" s="153"/>
      <c r="BN6340" s="153"/>
      <c r="BO6340" s="153"/>
      <c r="BP6340" s="153"/>
      <c r="BQ6340" s="153"/>
      <c r="BR6340" s="153"/>
      <c r="BS6340" s="153"/>
      <c r="BT6340" s="153"/>
      <c r="BU6340" s="153"/>
      <c r="BV6340" s="153"/>
      <c r="BW6340" s="153"/>
      <c r="BX6340" s="153"/>
      <c r="BY6340" s="153"/>
      <c r="BZ6340" s="153"/>
      <c r="CA6340" s="152"/>
      <c r="CB6340" s="152"/>
    </row>
    <row r="6341" spans="1:80" s="87" customFormat="1" x14ac:dyDescent="0.2">
      <c r="A6341" s="152"/>
      <c r="B6341" s="683"/>
      <c r="C6341" s="683"/>
      <c r="D6341" s="698"/>
      <c r="E6341" s="215"/>
      <c r="F6341" s="215"/>
      <c r="G6341" s="153"/>
      <c r="H6341" s="153"/>
      <c r="I6341" s="153"/>
      <c r="J6341" s="153"/>
      <c r="K6341" s="153"/>
      <c r="L6341" s="653"/>
      <c r="M6341" s="663" t="s">
        <v>899</v>
      </c>
      <c r="N6341" s="600">
        <f>1.62*(0.028317)</f>
        <v>4.5873539999999997E-2</v>
      </c>
      <c r="O6341" s="617">
        <f>((2.8/(1000))/(60))/(60)</f>
        <v>7.7777777777777779E-7</v>
      </c>
      <c r="P6341" s="250"/>
      <c r="Q6341" s="250"/>
      <c r="R6341" s="250"/>
      <c r="S6341" s="250"/>
      <c r="T6341" s="250"/>
      <c r="U6341" s="250"/>
      <c r="V6341" s="742"/>
      <c r="W6341" s="747"/>
      <c r="X6341" s="743"/>
      <c r="Y6341" s="246"/>
      <c r="Z6341" s="245"/>
      <c r="AA6341" s="220">
        <f>0.17*(10)</f>
        <v>1.7000000000000002</v>
      </c>
      <c r="AB6341" s="295">
        <v>96</v>
      </c>
      <c r="AC6341" s="230">
        <v>9.4000000000000004E-3</v>
      </c>
      <c r="AD6341" s="223"/>
      <c r="AE6341" s="223"/>
      <c r="AF6341" s="223"/>
      <c r="AG6341" s="223"/>
      <c r="AH6341" s="341"/>
      <c r="AI6341" s="153"/>
      <c r="AJ6341" s="480"/>
      <c r="AK6341" s="153"/>
      <c r="AL6341" s="152"/>
      <c r="AM6341" s="152"/>
      <c r="AN6341" s="152"/>
      <c r="AO6341" s="152"/>
      <c r="AP6341" s="152"/>
      <c r="AQ6341" s="152"/>
      <c r="AR6341" s="152"/>
      <c r="AS6341" s="152"/>
      <c r="AT6341" s="152"/>
      <c r="AU6341" s="153"/>
      <c r="AV6341" s="479"/>
      <c r="AW6341" s="479"/>
      <c r="AX6341" s="442"/>
      <c r="AY6341" s="153"/>
      <c r="AZ6341" s="152"/>
      <c r="BA6341" s="152"/>
      <c r="BB6341" s="152"/>
      <c r="BC6341" s="152"/>
      <c r="BD6341" s="152"/>
      <c r="BE6341" s="152"/>
      <c r="BF6341" s="152"/>
      <c r="BG6341" s="152"/>
      <c r="BH6341" s="152"/>
      <c r="BI6341" s="153"/>
      <c r="BJ6341" s="153"/>
      <c r="BK6341" s="153"/>
      <c r="BL6341" s="153"/>
      <c r="BM6341" s="153"/>
      <c r="BN6341" s="153"/>
      <c r="BO6341" s="153"/>
      <c r="BP6341" s="153"/>
      <c r="BQ6341" s="153"/>
      <c r="BR6341" s="153"/>
      <c r="BS6341" s="153"/>
      <c r="BT6341" s="153"/>
      <c r="BU6341" s="153"/>
      <c r="BV6341" s="153"/>
      <c r="BW6341" s="153"/>
      <c r="BX6341" s="153"/>
      <c r="BY6341" s="153"/>
      <c r="BZ6341" s="153"/>
      <c r="CA6341" s="152"/>
      <c r="CB6341" s="152"/>
    </row>
    <row r="6342" spans="1:80" s="87" customFormat="1" x14ac:dyDescent="0.2">
      <c r="A6342" s="152"/>
      <c r="B6342" s="683"/>
      <c r="C6342" s="683"/>
      <c r="D6342" s="698"/>
      <c r="E6342" s="215"/>
      <c r="F6342" s="215"/>
      <c r="G6342" s="153"/>
      <c r="H6342" s="153"/>
      <c r="I6342" s="153"/>
      <c r="J6342" s="153"/>
      <c r="K6342" s="153"/>
      <c r="L6342" s="653"/>
      <c r="M6342" s="663" t="s">
        <v>899</v>
      </c>
      <c r="N6342" s="600">
        <f>1.36*(0.028317)</f>
        <v>3.8511120000000003E-2</v>
      </c>
      <c r="O6342" s="617">
        <f>((2/(1000))/(60))/(60)</f>
        <v>5.5555555555555562E-7</v>
      </c>
      <c r="P6342" s="250"/>
      <c r="Q6342" s="250"/>
      <c r="R6342" s="250"/>
      <c r="S6342" s="250"/>
      <c r="T6342" s="250"/>
      <c r="U6342" s="250"/>
      <c r="V6342" s="742"/>
      <c r="W6342" s="747"/>
      <c r="X6342" s="743"/>
      <c r="Y6342" s="246"/>
      <c r="Z6342" s="245"/>
      <c r="AA6342" s="220">
        <f>0.17*(10)</f>
        <v>1.7000000000000002</v>
      </c>
      <c r="AB6342" s="295">
        <v>97</v>
      </c>
      <c r="AC6342" s="230">
        <v>9.4000000000000004E-3</v>
      </c>
      <c r="AD6342" s="223"/>
      <c r="AE6342" s="223"/>
      <c r="AF6342" s="223"/>
      <c r="AG6342" s="223"/>
      <c r="AH6342" s="341"/>
      <c r="AI6342" s="153"/>
      <c r="AJ6342" s="480"/>
      <c r="AK6342" s="153"/>
      <c r="AL6342" s="152"/>
      <c r="AM6342" s="152"/>
      <c r="AN6342" s="152"/>
      <c r="AO6342" s="152"/>
      <c r="AP6342" s="152"/>
      <c r="AQ6342" s="152"/>
      <c r="AR6342" s="152"/>
      <c r="AS6342" s="152"/>
      <c r="AT6342" s="152"/>
      <c r="AU6342" s="153"/>
      <c r="AV6342" s="479"/>
      <c r="AW6342" s="479"/>
      <c r="AX6342" s="442"/>
      <c r="AY6342" s="153"/>
      <c r="AZ6342" s="152"/>
      <c r="BA6342" s="152"/>
      <c r="BB6342" s="152"/>
      <c r="BC6342" s="152"/>
      <c r="BD6342" s="152"/>
      <c r="BE6342" s="152"/>
      <c r="BF6342" s="152"/>
      <c r="BG6342" s="152"/>
      <c r="BH6342" s="152"/>
      <c r="BI6342" s="153"/>
      <c r="BJ6342" s="153"/>
      <c r="BK6342" s="153"/>
      <c r="BL6342" s="153"/>
      <c r="BM6342" s="153"/>
      <c r="BN6342" s="153"/>
      <c r="BO6342" s="153"/>
      <c r="BP6342" s="153"/>
      <c r="BQ6342" s="153"/>
      <c r="BR6342" s="153"/>
      <c r="BS6342" s="153"/>
      <c r="BT6342" s="153"/>
      <c r="BU6342" s="153"/>
      <c r="BV6342" s="153"/>
      <c r="BW6342" s="153"/>
      <c r="BX6342" s="153"/>
      <c r="BY6342" s="153"/>
      <c r="BZ6342" s="153"/>
      <c r="CA6342" s="152"/>
      <c r="CB6342" s="152"/>
    </row>
    <row r="6343" spans="1:80" s="87" customFormat="1" x14ac:dyDescent="0.2">
      <c r="A6343" s="152"/>
      <c r="B6343" s="683"/>
      <c r="C6343" s="683"/>
      <c r="D6343" s="698"/>
      <c r="E6343" s="215"/>
      <c r="F6343" s="215"/>
      <c r="G6343" s="153"/>
      <c r="H6343" s="153"/>
      <c r="I6343" s="153"/>
      <c r="J6343" s="153"/>
      <c r="K6343" s="153"/>
      <c r="L6343" s="653"/>
      <c r="M6343" s="663" t="s">
        <v>899</v>
      </c>
      <c r="N6343" s="600">
        <f>1.66*(0.028317)</f>
        <v>4.7006219999999994E-2</v>
      </c>
      <c r="O6343" s="617">
        <f>((2.6/(1000))/(60))/(60)</f>
        <v>7.2222222222222225E-7</v>
      </c>
      <c r="P6343" s="250"/>
      <c r="Q6343" s="250"/>
      <c r="R6343" s="250"/>
      <c r="S6343" s="250"/>
      <c r="T6343" s="250"/>
      <c r="U6343" s="250"/>
      <c r="V6343" s="742"/>
      <c r="W6343" s="747"/>
      <c r="X6343" s="743"/>
      <c r="Y6343" s="246"/>
      <c r="Z6343" s="245"/>
      <c r="AA6343" s="220">
        <f>0.95*(10)</f>
        <v>9.5</v>
      </c>
      <c r="AB6343" s="295">
        <v>98</v>
      </c>
      <c r="AC6343" s="230">
        <v>9.4000000000000004E-3</v>
      </c>
      <c r="AD6343" s="223"/>
      <c r="AE6343" s="223"/>
      <c r="AF6343" s="223"/>
      <c r="AG6343" s="223"/>
      <c r="AH6343" s="341"/>
      <c r="AI6343" s="153"/>
      <c r="AJ6343" s="480"/>
      <c r="AK6343" s="153"/>
      <c r="AL6343" s="152"/>
      <c r="AM6343" s="152"/>
      <c r="AN6343" s="152"/>
      <c r="AO6343" s="152"/>
      <c r="AP6343" s="152"/>
      <c r="AQ6343" s="152"/>
      <c r="AR6343" s="152"/>
      <c r="AS6343" s="152"/>
      <c r="AT6343" s="152"/>
      <c r="AU6343" s="153"/>
      <c r="AV6343" s="479"/>
      <c r="AW6343" s="479"/>
      <c r="AX6343" s="442"/>
      <c r="AY6343" s="153"/>
      <c r="AZ6343" s="152"/>
      <c r="BA6343" s="152"/>
      <c r="BB6343" s="152"/>
      <c r="BC6343" s="152"/>
      <c r="BD6343" s="152"/>
      <c r="BE6343" s="152"/>
      <c r="BF6343" s="152"/>
      <c r="BG6343" s="152"/>
      <c r="BH6343" s="152"/>
      <c r="BI6343" s="153"/>
      <c r="BJ6343" s="153"/>
      <c r="BK6343" s="153"/>
      <c r="BL6343" s="153"/>
      <c r="BM6343" s="153"/>
      <c r="BN6343" s="153"/>
      <c r="BO6343" s="153"/>
      <c r="BP6343" s="153"/>
      <c r="BQ6343" s="153"/>
      <c r="BR6343" s="153"/>
      <c r="BS6343" s="153"/>
      <c r="BT6343" s="153"/>
      <c r="BU6343" s="153"/>
      <c r="BV6343" s="153"/>
      <c r="BW6343" s="153"/>
      <c r="BX6343" s="153"/>
      <c r="BY6343" s="153"/>
      <c r="BZ6343" s="153"/>
      <c r="CA6343" s="152"/>
      <c r="CB6343" s="152"/>
    </row>
    <row r="6344" spans="1:80" s="87" customFormat="1" x14ac:dyDescent="0.2">
      <c r="A6344" s="152"/>
      <c r="B6344" s="683"/>
      <c r="C6344" s="683"/>
      <c r="D6344" s="698"/>
      <c r="E6344" s="215"/>
      <c r="F6344" s="215"/>
      <c r="G6344" s="153"/>
      <c r="H6344" s="153"/>
      <c r="I6344" s="153"/>
      <c r="J6344" s="153"/>
      <c r="K6344" s="153"/>
      <c r="L6344" s="653"/>
      <c r="M6344" s="663" t="s">
        <v>899</v>
      </c>
      <c r="N6344" s="600">
        <f>1.3*(0.028317)</f>
        <v>3.68121E-2</v>
      </c>
      <c r="O6344" s="617">
        <f>((3.8/(1000))/(60))/(60)</f>
        <v>1.0555555555555555E-6</v>
      </c>
      <c r="P6344" s="250"/>
      <c r="Q6344" s="250"/>
      <c r="R6344" s="250"/>
      <c r="S6344" s="250"/>
      <c r="T6344" s="250"/>
      <c r="U6344" s="250"/>
      <c r="V6344" s="742"/>
      <c r="W6344" s="747"/>
      <c r="X6344" s="743"/>
      <c r="Y6344" s="246"/>
      <c r="Z6344" s="245"/>
      <c r="AA6344" s="220">
        <f>1.1*(10)</f>
        <v>11</v>
      </c>
      <c r="AB6344" s="295">
        <v>99</v>
      </c>
      <c r="AC6344" s="230">
        <v>9.4000000000000004E-3</v>
      </c>
      <c r="AD6344" s="223"/>
      <c r="AE6344" s="223"/>
      <c r="AF6344" s="223"/>
      <c r="AG6344" s="223"/>
      <c r="AH6344" s="341"/>
      <c r="AI6344" s="153"/>
      <c r="AJ6344" s="480"/>
      <c r="AK6344" s="153"/>
      <c r="AL6344" s="152"/>
      <c r="AM6344" s="152"/>
      <c r="AN6344" s="152"/>
      <c r="AO6344" s="152"/>
      <c r="AP6344" s="152"/>
      <c r="AQ6344" s="152"/>
      <c r="AR6344" s="152"/>
      <c r="AS6344" s="152"/>
      <c r="AT6344" s="152"/>
      <c r="AU6344" s="153"/>
      <c r="AV6344" s="479"/>
      <c r="AW6344" s="479"/>
      <c r="AX6344" s="442"/>
      <c r="AY6344" s="153"/>
      <c r="AZ6344" s="152"/>
      <c r="BA6344" s="152"/>
      <c r="BB6344" s="152"/>
      <c r="BC6344" s="152"/>
      <c r="BD6344" s="152"/>
      <c r="BE6344" s="152"/>
      <c r="BF6344" s="152"/>
      <c r="BG6344" s="152"/>
      <c r="BH6344" s="152"/>
      <c r="BI6344" s="153"/>
      <c r="BJ6344" s="153"/>
      <c r="BK6344" s="153"/>
      <c r="BL6344" s="153"/>
      <c r="BM6344" s="153"/>
      <c r="BN6344" s="153"/>
      <c r="BO6344" s="153"/>
      <c r="BP6344" s="153"/>
      <c r="BQ6344" s="153"/>
      <c r="BR6344" s="153"/>
      <c r="BS6344" s="153"/>
      <c r="BT6344" s="153"/>
      <c r="BU6344" s="153"/>
      <c r="BV6344" s="153"/>
      <c r="BW6344" s="153"/>
      <c r="BX6344" s="153"/>
      <c r="BY6344" s="153"/>
      <c r="BZ6344" s="153"/>
      <c r="CA6344" s="152"/>
      <c r="CB6344" s="152"/>
    </row>
    <row r="6345" spans="1:80" s="87" customFormat="1" x14ac:dyDescent="0.2">
      <c r="A6345" s="152"/>
      <c r="B6345" s="683"/>
      <c r="C6345" s="683"/>
      <c r="D6345" s="698"/>
      <c r="E6345" s="215"/>
      <c r="F6345" s="215"/>
      <c r="G6345" s="153"/>
      <c r="H6345" s="153"/>
      <c r="I6345" s="153"/>
      <c r="J6345" s="153"/>
      <c r="K6345" s="153"/>
      <c r="L6345" s="653"/>
      <c r="M6345" s="663" t="s">
        <v>899</v>
      </c>
      <c r="N6345" s="600">
        <f>3.1*(0.028317)</f>
        <v>8.7782699999999991E-2</v>
      </c>
      <c r="O6345" s="617">
        <f>((3.6/(1000))/(60))/(60)</f>
        <v>9.9999999999999995E-7</v>
      </c>
      <c r="P6345" s="250"/>
      <c r="Q6345" s="250"/>
      <c r="R6345" s="250"/>
      <c r="S6345" s="250"/>
      <c r="T6345" s="250"/>
      <c r="U6345" s="250"/>
      <c r="V6345" s="742"/>
      <c r="W6345" s="747"/>
      <c r="X6345" s="743"/>
      <c r="Y6345" s="246"/>
      <c r="Z6345" s="245"/>
      <c r="AA6345" s="220">
        <f>0.43*(10)</f>
        <v>4.3</v>
      </c>
      <c r="AB6345" s="295">
        <v>100</v>
      </c>
      <c r="AC6345" s="230">
        <v>9.4000000000000004E-3</v>
      </c>
      <c r="AD6345" s="223"/>
      <c r="AE6345" s="223"/>
      <c r="AF6345" s="223"/>
      <c r="AG6345" s="223"/>
      <c r="AH6345" s="341"/>
      <c r="AI6345" s="153"/>
      <c r="AJ6345" s="480"/>
      <c r="AK6345" s="153"/>
      <c r="AL6345" s="152"/>
      <c r="AM6345" s="152"/>
      <c r="AN6345" s="152"/>
      <c r="AO6345" s="152"/>
      <c r="AP6345" s="152"/>
      <c r="AQ6345" s="152"/>
      <c r="AR6345" s="152"/>
      <c r="AS6345" s="152"/>
      <c r="AT6345" s="152"/>
      <c r="AU6345" s="153"/>
      <c r="AV6345" s="479"/>
      <c r="AW6345" s="479"/>
      <c r="AX6345" s="442"/>
      <c r="AY6345" s="153"/>
      <c r="AZ6345" s="152"/>
      <c r="BA6345" s="152"/>
      <c r="BB6345" s="152"/>
      <c r="BC6345" s="152"/>
      <c r="BD6345" s="152"/>
      <c r="BE6345" s="152"/>
      <c r="BF6345" s="152"/>
      <c r="BG6345" s="152"/>
      <c r="BH6345" s="152"/>
      <c r="BI6345" s="153"/>
      <c r="BJ6345" s="153"/>
      <c r="BK6345" s="153"/>
      <c r="BL6345" s="153"/>
      <c r="BM6345" s="153"/>
      <c r="BN6345" s="153"/>
      <c r="BO6345" s="153"/>
      <c r="BP6345" s="153"/>
      <c r="BQ6345" s="153"/>
      <c r="BR6345" s="153"/>
      <c r="BS6345" s="153"/>
      <c r="BT6345" s="153"/>
      <c r="BU6345" s="153"/>
      <c r="BV6345" s="153"/>
      <c r="BW6345" s="153"/>
      <c r="BX6345" s="153"/>
      <c r="BY6345" s="153"/>
      <c r="BZ6345" s="153"/>
      <c r="CA6345" s="152"/>
      <c r="CB6345" s="152"/>
    </row>
    <row r="6346" spans="1:80" s="87" customFormat="1" x14ac:dyDescent="0.2">
      <c r="A6346" s="152"/>
      <c r="B6346" s="683"/>
      <c r="C6346" s="683"/>
      <c r="D6346" s="698"/>
      <c r="E6346" s="215"/>
      <c r="F6346" s="215"/>
      <c r="G6346" s="153"/>
      <c r="H6346" s="153"/>
      <c r="I6346" s="153"/>
      <c r="J6346" s="153"/>
      <c r="K6346" s="153"/>
      <c r="L6346" s="653"/>
      <c r="M6346" s="663" t="s">
        <v>899</v>
      </c>
      <c r="N6346" s="600">
        <f>2.6*(0.028317)</f>
        <v>7.3624200000000001E-2</v>
      </c>
      <c r="O6346" s="617">
        <f>((10.6/(1000))/(60))/(60)</f>
        <v>2.9444444444444445E-6</v>
      </c>
      <c r="P6346" s="250"/>
      <c r="Q6346" s="250"/>
      <c r="R6346" s="250"/>
      <c r="S6346" s="250"/>
      <c r="T6346" s="250"/>
      <c r="U6346" s="250"/>
      <c r="V6346" s="742"/>
      <c r="W6346" s="747"/>
      <c r="X6346" s="743"/>
      <c r="Y6346" s="246"/>
      <c r="Z6346" s="245"/>
      <c r="AA6346" s="220">
        <f>0.1*(10)</f>
        <v>1</v>
      </c>
      <c r="AB6346" s="295">
        <v>101</v>
      </c>
      <c r="AC6346" s="230">
        <v>9.4000000000000004E-3</v>
      </c>
      <c r="AD6346" s="223"/>
      <c r="AE6346" s="223"/>
      <c r="AF6346" s="223"/>
      <c r="AG6346" s="223"/>
      <c r="AH6346" s="341"/>
      <c r="AI6346" s="153"/>
      <c r="AJ6346" s="480"/>
      <c r="AK6346" s="153"/>
      <c r="AL6346" s="152"/>
      <c r="AM6346" s="152"/>
      <c r="AN6346" s="152"/>
      <c r="AO6346" s="152"/>
      <c r="AP6346" s="152"/>
      <c r="AQ6346" s="152"/>
      <c r="AR6346" s="152"/>
      <c r="AS6346" s="152"/>
      <c r="AT6346" s="152"/>
      <c r="AU6346" s="153"/>
      <c r="AV6346" s="479"/>
      <c r="AW6346" s="479"/>
      <c r="AX6346" s="442"/>
      <c r="AY6346" s="153"/>
      <c r="AZ6346" s="152"/>
      <c r="BA6346" s="152"/>
      <c r="BB6346" s="152"/>
      <c r="BC6346" s="152"/>
      <c r="BD6346" s="152"/>
      <c r="BE6346" s="152"/>
      <c r="BF6346" s="152"/>
      <c r="BG6346" s="152"/>
      <c r="BH6346" s="152"/>
      <c r="BI6346" s="153"/>
      <c r="BJ6346" s="153"/>
      <c r="BK6346" s="153"/>
      <c r="BL6346" s="153"/>
      <c r="BM6346" s="153"/>
      <c r="BN6346" s="153"/>
      <c r="BO6346" s="153"/>
      <c r="BP6346" s="153"/>
      <c r="BQ6346" s="153"/>
      <c r="BR6346" s="153"/>
      <c r="BS6346" s="153"/>
      <c r="BT6346" s="153"/>
      <c r="BU6346" s="153"/>
      <c r="BV6346" s="153"/>
      <c r="BW6346" s="153"/>
      <c r="BX6346" s="153"/>
      <c r="BY6346" s="153"/>
      <c r="BZ6346" s="153"/>
      <c r="CA6346" s="152"/>
      <c r="CB6346" s="152"/>
    </row>
    <row r="6347" spans="1:80" s="87" customFormat="1" x14ac:dyDescent="0.2">
      <c r="A6347" s="152"/>
      <c r="B6347" s="683"/>
      <c r="C6347" s="683"/>
      <c r="D6347" s="698"/>
      <c r="E6347" s="215"/>
      <c r="F6347" s="215"/>
      <c r="G6347" s="153"/>
      <c r="H6347" s="153"/>
      <c r="I6347" s="153"/>
      <c r="J6347" s="153"/>
      <c r="K6347" s="153"/>
      <c r="L6347" s="653"/>
      <c r="M6347" s="663" t="s">
        <v>899</v>
      </c>
      <c r="N6347" s="600">
        <f>2.1*(0.028317)</f>
        <v>5.9465699999999996E-2</v>
      </c>
      <c r="O6347" s="617">
        <f>((2.7/(1000))/(60))/(60)</f>
        <v>7.5000000000000002E-7</v>
      </c>
      <c r="P6347" s="250"/>
      <c r="Q6347" s="250"/>
      <c r="R6347" s="250"/>
      <c r="S6347" s="250"/>
      <c r="T6347" s="250"/>
      <c r="U6347" s="250"/>
      <c r="V6347" s="742"/>
      <c r="W6347" s="747"/>
      <c r="X6347" s="743"/>
      <c r="Y6347" s="246"/>
      <c r="Z6347" s="245"/>
      <c r="AA6347" s="220">
        <f>0.1*(10)</f>
        <v>1</v>
      </c>
      <c r="AB6347" s="295">
        <v>102</v>
      </c>
      <c r="AC6347" s="230">
        <v>9.4000000000000004E-3</v>
      </c>
      <c r="AD6347" s="223"/>
      <c r="AE6347" s="223"/>
      <c r="AF6347" s="223"/>
      <c r="AG6347" s="223"/>
      <c r="AH6347" s="341"/>
      <c r="AI6347" s="153"/>
      <c r="AJ6347" s="480"/>
      <c r="AK6347" s="153"/>
      <c r="AL6347" s="152"/>
      <c r="AM6347" s="152"/>
      <c r="AN6347" s="152"/>
      <c r="AO6347" s="152"/>
      <c r="AP6347" s="152"/>
      <c r="AQ6347" s="152"/>
      <c r="AR6347" s="152"/>
      <c r="AS6347" s="152"/>
      <c r="AT6347" s="152"/>
      <c r="AU6347" s="153"/>
      <c r="AV6347" s="479"/>
      <c r="AW6347" s="479"/>
      <c r="AX6347" s="442"/>
      <c r="AY6347" s="153"/>
      <c r="AZ6347" s="152"/>
      <c r="BA6347" s="152"/>
      <c r="BB6347" s="152"/>
      <c r="BC6347" s="152"/>
      <c r="BD6347" s="152"/>
      <c r="BE6347" s="152"/>
      <c r="BF6347" s="152"/>
      <c r="BG6347" s="152"/>
      <c r="BH6347" s="152"/>
      <c r="BI6347" s="153"/>
      <c r="BJ6347" s="153"/>
      <c r="BK6347" s="153"/>
      <c r="BL6347" s="153"/>
      <c r="BM6347" s="153"/>
      <c r="BN6347" s="153"/>
      <c r="BO6347" s="153"/>
      <c r="BP6347" s="153"/>
      <c r="BQ6347" s="153"/>
      <c r="BR6347" s="153"/>
      <c r="BS6347" s="153"/>
      <c r="BT6347" s="153"/>
      <c r="BU6347" s="153"/>
      <c r="BV6347" s="153"/>
      <c r="BW6347" s="153"/>
      <c r="BX6347" s="153"/>
      <c r="BY6347" s="153"/>
      <c r="BZ6347" s="153"/>
      <c r="CA6347" s="152"/>
      <c r="CB6347" s="152"/>
    </row>
    <row r="6348" spans="1:80" s="87" customFormat="1" x14ac:dyDescent="0.2">
      <c r="A6348" s="152"/>
      <c r="B6348" s="683"/>
      <c r="C6348" s="683"/>
      <c r="D6348" s="698"/>
      <c r="E6348" s="215"/>
      <c r="F6348" s="215"/>
      <c r="G6348" s="153"/>
      <c r="H6348" s="153"/>
      <c r="I6348" s="153"/>
      <c r="J6348" s="153"/>
      <c r="K6348" s="153"/>
      <c r="L6348" s="653"/>
      <c r="M6348" s="663" t="s">
        <v>899</v>
      </c>
      <c r="N6348" s="600">
        <f>2.5*(0.028317)</f>
        <v>7.0792499999999994E-2</v>
      </c>
      <c r="O6348" s="617">
        <f>((9.4/(1000))/(60))/(60)</f>
        <v>2.6111111111111109E-6</v>
      </c>
      <c r="P6348" s="250"/>
      <c r="Q6348" s="250"/>
      <c r="R6348" s="250"/>
      <c r="S6348" s="250"/>
      <c r="T6348" s="250"/>
      <c r="U6348" s="250"/>
      <c r="V6348" s="742"/>
      <c r="W6348" s="747"/>
      <c r="X6348" s="743"/>
      <c r="Y6348" s="246"/>
      <c r="Z6348" s="245"/>
      <c r="AA6348" s="220">
        <f>0.16*(10)</f>
        <v>1.6</v>
      </c>
      <c r="AB6348" s="295">
        <v>103</v>
      </c>
      <c r="AC6348" s="230">
        <v>9.4000000000000004E-3</v>
      </c>
      <c r="AD6348" s="223"/>
      <c r="AE6348" s="223"/>
      <c r="AF6348" s="223"/>
      <c r="AG6348" s="223"/>
      <c r="AH6348" s="341"/>
      <c r="AI6348" s="153"/>
      <c r="AJ6348" s="480"/>
      <c r="AK6348" s="153"/>
      <c r="AL6348" s="152"/>
      <c r="AM6348" s="152"/>
      <c r="AN6348" s="152"/>
      <c r="AO6348" s="152"/>
      <c r="AP6348" s="152"/>
      <c r="AQ6348" s="152"/>
      <c r="AR6348" s="152"/>
      <c r="AS6348" s="152"/>
      <c r="AT6348" s="152"/>
      <c r="AU6348" s="153"/>
      <c r="AV6348" s="479"/>
      <c r="AW6348" s="479"/>
      <c r="AX6348" s="442"/>
      <c r="AY6348" s="153"/>
      <c r="AZ6348" s="152"/>
      <c r="BA6348" s="152"/>
      <c r="BB6348" s="152"/>
      <c r="BC6348" s="152"/>
      <c r="BD6348" s="152"/>
      <c r="BE6348" s="152"/>
      <c r="BF6348" s="152"/>
      <c r="BG6348" s="152"/>
      <c r="BH6348" s="152"/>
      <c r="BI6348" s="153"/>
      <c r="BJ6348" s="153"/>
      <c r="BK6348" s="153"/>
      <c r="BL6348" s="153"/>
      <c r="BM6348" s="153"/>
      <c r="BN6348" s="153"/>
      <c r="BO6348" s="153"/>
      <c r="BP6348" s="153"/>
      <c r="BQ6348" s="153"/>
      <c r="BR6348" s="153"/>
      <c r="BS6348" s="153"/>
      <c r="BT6348" s="153"/>
      <c r="BU6348" s="153"/>
      <c r="BV6348" s="153"/>
      <c r="BW6348" s="153"/>
      <c r="BX6348" s="153"/>
      <c r="BY6348" s="153"/>
      <c r="BZ6348" s="153"/>
      <c r="CA6348" s="152"/>
      <c r="CB6348" s="152"/>
    </row>
    <row r="6349" spans="1:80" s="87" customFormat="1" x14ac:dyDescent="0.2">
      <c r="A6349" s="152"/>
      <c r="B6349" s="683"/>
      <c r="C6349" s="683"/>
      <c r="D6349" s="698"/>
      <c r="E6349" s="215"/>
      <c r="F6349" s="215"/>
      <c r="G6349" s="153"/>
      <c r="H6349" s="153"/>
      <c r="I6349" s="153"/>
      <c r="J6349" s="153"/>
      <c r="K6349" s="153"/>
      <c r="L6349" s="653"/>
      <c r="M6349" s="663" t="s">
        <v>899</v>
      </c>
      <c r="N6349" s="600">
        <f>5.1*(0.028317)</f>
        <v>0.14441669999999998</v>
      </c>
      <c r="O6349" s="617">
        <f>((9.4/(1000))/(60))/(60)</f>
        <v>2.6111111111111109E-6</v>
      </c>
      <c r="P6349" s="250"/>
      <c r="Q6349" s="250"/>
      <c r="R6349" s="250"/>
      <c r="S6349" s="250"/>
      <c r="T6349" s="250"/>
      <c r="U6349" s="250"/>
      <c r="V6349" s="742"/>
      <c r="W6349" s="747"/>
      <c r="X6349" s="743"/>
      <c r="Y6349" s="246"/>
      <c r="Z6349" s="245"/>
      <c r="AA6349" s="220">
        <f>0.24*(10)</f>
        <v>2.4</v>
      </c>
      <c r="AB6349" s="295">
        <v>104</v>
      </c>
      <c r="AC6349" s="230">
        <v>9.4000000000000004E-3</v>
      </c>
      <c r="AD6349" s="223"/>
      <c r="AE6349" s="223"/>
      <c r="AF6349" s="223"/>
      <c r="AG6349" s="223"/>
      <c r="AH6349" s="341"/>
      <c r="AI6349" s="153"/>
      <c r="AJ6349" s="480"/>
      <c r="AK6349" s="153"/>
      <c r="AL6349" s="152"/>
      <c r="AM6349" s="152"/>
      <c r="AN6349" s="152"/>
      <c r="AO6349" s="152"/>
      <c r="AP6349" s="152"/>
      <c r="AQ6349" s="152"/>
      <c r="AR6349" s="152"/>
      <c r="AS6349" s="152"/>
      <c r="AT6349" s="152"/>
      <c r="AU6349" s="153"/>
      <c r="AV6349" s="479"/>
      <c r="AW6349" s="479"/>
      <c r="AX6349" s="442"/>
      <c r="AY6349" s="153"/>
      <c r="AZ6349" s="152"/>
      <c r="BA6349" s="152"/>
      <c r="BB6349" s="152"/>
      <c r="BC6349" s="152"/>
      <c r="BD6349" s="152"/>
      <c r="BE6349" s="152"/>
      <c r="BF6349" s="152"/>
      <c r="BG6349" s="152"/>
      <c r="BH6349" s="152"/>
      <c r="BI6349" s="153"/>
      <c r="BJ6349" s="153"/>
      <c r="BK6349" s="153"/>
      <c r="BL6349" s="153"/>
      <c r="BM6349" s="153"/>
      <c r="BN6349" s="153"/>
      <c r="BO6349" s="153"/>
      <c r="BP6349" s="153"/>
      <c r="BQ6349" s="153"/>
      <c r="BR6349" s="153"/>
      <c r="BS6349" s="153"/>
      <c r="BT6349" s="153"/>
      <c r="BU6349" s="153"/>
      <c r="BV6349" s="153"/>
      <c r="BW6349" s="153"/>
      <c r="BX6349" s="153"/>
      <c r="BY6349" s="153"/>
      <c r="BZ6349" s="153"/>
      <c r="CA6349" s="152"/>
      <c r="CB6349" s="152"/>
    </row>
    <row r="6350" spans="1:80" s="87" customFormat="1" x14ac:dyDescent="0.2">
      <c r="A6350" s="152"/>
      <c r="B6350" s="683"/>
      <c r="C6350" s="683"/>
      <c r="D6350" s="698"/>
      <c r="E6350" s="215"/>
      <c r="F6350" s="215"/>
      <c r="G6350" s="153"/>
      <c r="H6350" s="153"/>
      <c r="I6350" s="153"/>
      <c r="J6350" s="153"/>
      <c r="K6350" s="153"/>
      <c r="L6350" s="653"/>
      <c r="M6350" s="663" t="s">
        <v>899</v>
      </c>
      <c r="N6350" s="600">
        <f>6.5*(0.028317)</f>
        <v>0.18406049999999999</v>
      </c>
      <c r="O6350" s="617">
        <f>((12.8/(1000))/(60))/(60)</f>
        <v>3.5555555555555555E-6</v>
      </c>
      <c r="P6350" s="250"/>
      <c r="Q6350" s="250"/>
      <c r="R6350" s="250"/>
      <c r="S6350" s="250"/>
      <c r="T6350" s="250"/>
      <c r="U6350" s="250"/>
      <c r="V6350" s="742"/>
      <c r="W6350" s="747"/>
      <c r="X6350" s="743"/>
      <c r="Y6350" s="246"/>
      <c r="Z6350" s="245"/>
      <c r="AA6350" s="220">
        <f>0.14*(10)</f>
        <v>1.4000000000000001</v>
      </c>
      <c r="AB6350" s="295">
        <v>105</v>
      </c>
      <c r="AC6350" s="230">
        <v>9.4000000000000004E-3</v>
      </c>
      <c r="AD6350" s="223"/>
      <c r="AE6350" s="223"/>
      <c r="AF6350" s="223"/>
      <c r="AG6350" s="223"/>
      <c r="AH6350" s="341"/>
      <c r="AI6350" s="153"/>
      <c r="AJ6350" s="480"/>
      <c r="AK6350" s="153"/>
      <c r="AL6350" s="152"/>
      <c r="AM6350" s="152"/>
      <c r="AN6350" s="152"/>
      <c r="AO6350" s="152"/>
      <c r="AP6350" s="152"/>
      <c r="AQ6350" s="152"/>
      <c r="AR6350" s="152"/>
      <c r="AS6350" s="152"/>
      <c r="AT6350" s="152"/>
      <c r="AU6350" s="153"/>
      <c r="AV6350" s="479"/>
      <c r="AW6350" s="479"/>
      <c r="AX6350" s="442"/>
      <c r="AY6350" s="153"/>
      <c r="AZ6350" s="152"/>
      <c r="BA6350" s="152"/>
      <c r="BB6350" s="152"/>
      <c r="BC6350" s="152"/>
      <c r="BD6350" s="152"/>
      <c r="BE6350" s="152"/>
      <c r="BF6350" s="152"/>
      <c r="BG6350" s="152"/>
      <c r="BH6350" s="152"/>
      <c r="BI6350" s="153"/>
      <c r="BJ6350" s="153"/>
      <c r="BK6350" s="153"/>
      <c r="BL6350" s="153"/>
      <c r="BM6350" s="153"/>
      <c r="BN6350" s="153"/>
      <c r="BO6350" s="153"/>
      <c r="BP6350" s="153"/>
      <c r="BQ6350" s="153"/>
      <c r="BR6350" s="153"/>
      <c r="BS6350" s="153"/>
      <c r="BT6350" s="153"/>
      <c r="BU6350" s="153"/>
      <c r="BV6350" s="153"/>
      <c r="BW6350" s="153"/>
      <c r="BX6350" s="153"/>
      <c r="BY6350" s="153"/>
      <c r="BZ6350" s="153"/>
      <c r="CA6350" s="152"/>
      <c r="CB6350" s="152"/>
    </row>
    <row r="6351" spans="1:80" s="87" customFormat="1" x14ac:dyDescent="0.2">
      <c r="A6351" s="152"/>
      <c r="B6351" s="683"/>
      <c r="C6351" s="683"/>
      <c r="D6351" s="698"/>
      <c r="E6351" s="215"/>
      <c r="F6351" s="215"/>
      <c r="G6351" s="153"/>
      <c r="H6351" s="153"/>
      <c r="I6351" s="153"/>
      <c r="J6351" s="153"/>
      <c r="K6351" s="153"/>
      <c r="L6351" s="653"/>
      <c r="M6351" s="663" t="s">
        <v>899</v>
      </c>
      <c r="N6351" s="600">
        <f>5*(0.028317)</f>
        <v>0.14158499999999999</v>
      </c>
      <c r="O6351" s="617">
        <f>((4.4/(1000))/(60))/(60)</f>
        <v>1.2222222222222221E-6</v>
      </c>
      <c r="P6351" s="250"/>
      <c r="Q6351" s="250"/>
      <c r="R6351" s="250"/>
      <c r="S6351" s="250"/>
      <c r="T6351" s="250"/>
      <c r="U6351" s="250"/>
      <c r="V6351" s="742"/>
      <c r="W6351" s="747"/>
      <c r="X6351" s="743"/>
      <c r="Y6351" s="246"/>
      <c r="Z6351" s="245"/>
      <c r="AA6351" s="220">
        <f>0.13*(10)</f>
        <v>1.3</v>
      </c>
      <c r="AB6351" s="295">
        <v>106</v>
      </c>
      <c r="AC6351" s="230">
        <v>9.4000000000000004E-3</v>
      </c>
      <c r="AD6351" s="223"/>
      <c r="AE6351" s="223"/>
      <c r="AF6351" s="223"/>
      <c r="AG6351" s="223"/>
      <c r="AH6351" s="341"/>
      <c r="AI6351" s="153"/>
      <c r="AJ6351" s="480"/>
      <c r="AK6351" s="153"/>
      <c r="AL6351" s="152"/>
      <c r="AM6351" s="152"/>
      <c r="AN6351" s="152"/>
      <c r="AO6351" s="152"/>
      <c r="AP6351" s="152"/>
      <c r="AQ6351" s="152"/>
      <c r="AR6351" s="152"/>
      <c r="AS6351" s="152"/>
      <c r="AT6351" s="152"/>
      <c r="AU6351" s="153"/>
      <c r="AV6351" s="479"/>
      <c r="AW6351" s="479"/>
      <c r="AX6351" s="442"/>
      <c r="AY6351" s="153"/>
      <c r="AZ6351" s="152"/>
      <c r="BA6351" s="152"/>
      <c r="BB6351" s="152"/>
      <c r="BC6351" s="152"/>
      <c r="BD6351" s="152"/>
      <c r="BE6351" s="152"/>
      <c r="BF6351" s="152"/>
      <c r="BG6351" s="152"/>
      <c r="BH6351" s="152"/>
      <c r="BI6351" s="153"/>
      <c r="BJ6351" s="153"/>
      <c r="BK6351" s="153"/>
      <c r="BL6351" s="153"/>
      <c r="BM6351" s="153"/>
      <c r="BN6351" s="153"/>
      <c r="BO6351" s="153"/>
      <c r="BP6351" s="153"/>
      <c r="BQ6351" s="153"/>
      <c r="BR6351" s="153"/>
      <c r="BS6351" s="153"/>
      <c r="BT6351" s="153"/>
      <c r="BU6351" s="153"/>
      <c r="BV6351" s="153"/>
      <c r="BW6351" s="153"/>
      <c r="BX6351" s="153"/>
      <c r="BY6351" s="153"/>
      <c r="BZ6351" s="153"/>
      <c r="CA6351" s="152"/>
      <c r="CB6351" s="152"/>
    </row>
    <row r="6352" spans="1:80" s="87" customFormat="1" x14ac:dyDescent="0.2">
      <c r="A6352" s="152"/>
      <c r="B6352" s="683"/>
      <c r="C6352" s="683"/>
      <c r="D6352" s="698"/>
      <c r="E6352" s="215"/>
      <c r="F6352" s="215"/>
      <c r="G6352" s="153"/>
      <c r="H6352" s="153"/>
      <c r="I6352" s="153"/>
      <c r="J6352" s="153"/>
      <c r="K6352" s="153"/>
      <c r="L6352" s="653"/>
      <c r="M6352" s="663" t="s">
        <v>899</v>
      </c>
      <c r="N6352" s="600">
        <f>4.4*(0.028317)</f>
        <v>0.12459480000000001</v>
      </c>
      <c r="O6352" s="617">
        <f>((4.3/(1000))/(60))/(60)</f>
        <v>1.1944444444444446E-6</v>
      </c>
      <c r="P6352" s="250"/>
      <c r="Q6352" s="250"/>
      <c r="R6352" s="250"/>
      <c r="S6352" s="250"/>
      <c r="T6352" s="250"/>
      <c r="U6352" s="250"/>
      <c r="V6352" s="742"/>
      <c r="W6352" s="747"/>
      <c r="X6352" s="743"/>
      <c r="Y6352" s="246"/>
      <c r="Z6352" s="245"/>
      <c r="AA6352" s="220">
        <f>0.5*(10)</f>
        <v>5</v>
      </c>
      <c r="AB6352" s="295">
        <v>107</v>
      </c>
      <c r="AC6352" s="230">
        <v>9.4000000000000004E-3</v>
      </c>
      <c r="AD6352" s="223"/>
      <c r="AE6352" s="223"/>
      <c r="AF6352" s="223"/>
      <c r="AG6352" s="223"/>
      <c r="AH6352" s="341"/>
      <c r="AI6352" s="153"/>
      <c r="AJ6352" s="480"/>
      <c r="AK6352" s="153"/>
      <c r="AL6352" s="152"/>
      <c r="AM6352" s="152"/>
      <c r="AN6352" s="152"/>
      <c r="AO6352" s="152"/>
      <c r="AP6352" s="152"/>
      <c r="AQ6352" s="152"/>
      <c r="AR6352" s="152"/>
      <c r="AS6352" s="152"/>
      <c r="AT6352" s="152"/>
      <c r="AU6352" s="153"/>
      <c r="AV6352" s="479"/>
      <c r="AW6352" s="479"/>
      <c r="AX6352" s="442"/>
      <c r="AY6352" s="153"/>
      <c r="AZ6352" s="152"/>
      <c r="BA6352" s="152"/>
      <c r="BB6352" s="152"/>
      <c r="BC6352" s="152"/>
      <c r="BD6352" s="152"/>
      <c r="BE6352" s="152"/>
      <c r="BF6352" s="152"/>
      <c r="BG6352" s="152"/>
      <c r="BH6352" s="152"/>
      <c r="BI6352" s="153"/>
      <c r="BJ6352" s="153"/>
      <c r="BK6352" s="153"/>
      <c r="BL6352" s="153"/>
      <c r="BM6352" s="153"/>
      <c r="BN6352" s="153"/>
      <c r="BO6352" s="153"/>
      <c r="BP6352" s="153"/>
      <c r="BQ6352" s="153"/>
      <c r="BR6352" s="153"/>
      <c r="BS6352" s="153"/>
      <c r="BT6352" s="153"/>
      <c r="BU6352" s="153"/>
      <c r="BV6352" s="153"/>
      <c r="BW6352" s="153"/>
      <c r="BX6352" s="153"/>
      <c r="BY6352" s="153"/>
      <c r="BZ6352" s="153"/>
      <c r="CA6352" s="152"/>
      <c r="CB6352" s="152"/>
    </row>
    <row r="6353" spans="1:80" s="87" customFormat="1" x14ac:dyDescent="0.2">
      <c r="A6353" s="152"/>
      <c r="B6353" s="683"/>
      <c r="C6353" s="683"/>
      <c r="D6353" s="698"/>
      <c r="E6353" s="215"/>
      <c r="F6353" s="215"/>
      <c r="G6353" s="153"/>
      <c r="H6353" s="153"/>
      <c r="I6353" s="153"/>
      <c r="J6353" s="153"/>
      <c r="K6353" s="153"/>
      <c r="L6353" s="653"/>
      <c r="M6353" s="663" t="s">
        <v>899</v>
      </c>
      <c r="N6353" s="600">
        <f>3.8*(0.028317)</f>
        <v>0.10760459999999999</v>
      </c>
      <c r="O6353" s="617">
        <f>((3.6/(1000))/(60))/(60)</f>
        <v>9.9999999999999995E-7</v>
      </c>
      <c r="P6353" s="250"/>
      <c r="Q6353" s="250"/>
      <c r="R6353" s="250"/>
      <c r="S6353" s="250"/>
      <c r="T6353" s="250"/>
      <c r="U6353" s="250"/>
      <c r="V6353" s="742"/>
      <c r="W6353" s="747"/>
      <c r="X6353" s="743"/>
      <c r="Y6353" s="246"/>
      <c r="Z6353" s="245"/>
      <c r="AA6353" s="220">
        <f>0.24*(10)</f>
        <v>2.4</v>
      </c>
      <c r="AB6353" s="295">
        <v>108</v>
      </c>
      <c r="AC6353" s="230">
        <v>9.4000000000000004E-3</v>
      </c>
      <c r="AD6353" s="223"/>
      <c r="AE6353" s="223"/>
      <c r="AF6353" s="223"/>
      <c r="AG6353" s="223"/>
      <c r="AH6353" s="341"/>
      <c r="AI6353" s="153"/>
      <c r="AJ6353" s="480"/>
      <c r="AK6353" s="153"/>
      <c r="AL6353" s="152"/>
      <c r="AM6353" s="152"/>
      <c r="AN6353" s="152"/>
      <c r="AO6353" s="152"/>
      <c r="AP6353" s="152"/>
      <c r="AQ6353" s="152"/>
      <c r="AR6353" s="152"/>
      <c r="AS6353" s="152"/>
      <c r="AT6353" s="152"/>
      <c r="AU6353" s="153"/>
      <c r="AV6353" s="479"/>
      <c r="AW6353" s="479"/>
      <c r="AX6353" s="442"/>
      <c r="AY6353" s="153"/>
      <c r="AZ6353" s="152"/>
      <c r="BA6353" s="152"/>
      <c r="BB6353" s="152"/>
      <c r="BC6353" s="152"/>
      <c r="BD6353" s="152"/>
      <c r="BE6353" s="152"/>
      <c r="BF6353" s="152"/>
      <c r="BG6353" s="152"/>
      <c r="BH6353" s="152"/>
      <c r="BI6353" s="153"/>
      <c r="BJ6353" s="153"/>
      <c r="BK6353" s="153"/>
      <c r="BL6353" s="153"/>
      <c r="BM6353" s="153"/>
      <c r="BN6353" s="153"/>
      <c r="BO6353" s="153"/>
      <c r="BP6353" s="153"/>
      <c r="BQ6353" s="153"/>
      <c r="BR6353" s="153"/>
      <c r="BS6353" s="153"/>
      <c r="BT6353" s="153"/>
      <c r="BU6353" s="153"/>
      <c r="BV6353" s="153"/>
      <c r="BW6353" s="153"/>
      <c r="BX6353" s="153"/>
      <c r="BY6353" s="153"/>
      <c r="BZ6353" s="153"/>
      <c r="CA6353" s="152"/>
      <c r="CB6353" s="152"/>
    </row>
    <row r="6354" spans="1:80" s="87" customFormat="1" x14ac:dyDescent="0.2">
      <c r="A6354" s="152"/>
      <c r="B6354" s="683"/>
      <c r="C6354" s="683"/>
      <c r="D6354" s="698"/>
      <c r="E6354" s="215"/>
      <c r="F6354" s="215"/>
      <c r="G6354" s="153"/>
      <c r="H6354" s="153"/>
      <c r="I6354" s="153"/>
      <c r="J6354" s="153"/>
      <c r="K6354" s="153"/>
      <c r="L6354" s="653"/>
      <c r="M6354" s="663" t="s">
        <v>899</v>
      </c>
      <c r="N6354" s="600">
        <f>8.5*(0.028317)</f>
        <v>0.24069449999999998</v>
      </c>
      <c r="O6354" s="617">
        <f>((41/(1000))/(60))/(60)</f>
        <v>1.1388888888888888E-5</v>
      </c>
      <c r="P6354" s="250"/>
      <c r="Q6354" s="250"/>
      <c r="R6354" s="250"/>
      <c r="S6354" s="250"/>
      <c r="T6354" s="250"/>
      <c r="U6354" s="250"/>
      <c r="V6354" s="742"/>
      <c r="W6354" s="747"/>
      <c r="X6354" s="743"/>
      <c r="Y6354" s="246"/>
      <c r="Z6354" s="245"/>
      <c r="AA6354" s="220">
        <f>0.55*(10)</f>
        <v>5.5</v>
      </c>
      <c r="AB6354" s="295">
        <v>109</v>
      </c>
      <c r="AC6354" s="230">
        <v>9.4000000000000004E-3</v>
      </c>
      <c r="AD6354" s="223"/>
      <c r="AE6354" s="223"/>
      <c r="AF6354" s="223"/>
      <c r="AG6354" s="223"/>
      <c r="AH6354" s="341"/>
      <c r="AI6354" s="153"/>
      <c r="AJ6354" s="480"/>
      <c r="AK6354" s="153"/>
      <c r="AL6354" s="152"/>
      <c r="AM6354" s="152"/>
      <c r="AN6354" s="152"/>
      <c r="AO6354" s="152"/>
      <c r="AP6354" s="152"/>
      <c r="AQ6354" s="152"/>
      <c r="AR6354" s="152"/>
      <c r="AS6354" s="152"/>
      <c r="AT6354" s="152"/>
      <c r="AU6354" s="153"/>
      <c r="AV6354" s="479"/>
      <c r="AW6354" s="479"/>
      <c r="AX6354" s="442"/>
      <c r="AY6354" s="153"/>
      <c r="AZ6354" s="152"/>
      <c r="BA6354" s="152"/>
      <c r="BB6354" s="152"/>
      <c r="BC6354" s="152"/>
      <c r="BD6354" s="152"/>
      <c r="BE6354" s="152"/>
      <c r="BF6354" s="152"/>
      <c r="BG6354" s="152"/>
      <c r="BH6354" s="152"/>
      <c r="BI6354" s="153"/>
      <c r="BJ6354" s="153"/>
      <c r="BK6354" s="153"/>
      <c r="BL6354" s="153"/>
      <c r="BM6354" s="153"/>
      <c r="BN6354" s="153"/>
      <c r="BO6354" s="153"/>
      <c r="BP6354" s="153"/>
      <c r="BQ6354" s="153"/>
      <c r="BR6354" s="153"/>
      <c r="BS6354" s="153"/>
      <c r="BT6354" s="153"/>
      <c r="BU6354" s="153"/>
      <c r="BV6354" s="153"/>
      <c r="BW6354" s="153"/>
      <c r="BX6354" s="153"/>
      <c r="BY6354" s="153"/>
      <c r="BZ6354" s="153"/>
      <c r="CA6354" s="152"/>
      <c r="CB6354" s="152"/>
    </row>
    <row r="6355" spans="1:80" s="87" customFormat="1" x14ac:dyDescent="0.2">
      <c r="A6355" s="152"/>
      <c r="B6355" s="683"/>
      <c r="C6355" s="683"/>
      <c r="D6355" s="698"/>
      <c r="E6355" s="215"/>
      <c r="F6355" s="215"/>
      <c r="G6355" s="153"/>
      <c r="H6355" s="153"/>
      <c r="I6355" s="153"/>
      <c r="J6355" s="153"/>
      <c r="K6355" s="153"/>
      <c r="L6355" s="653"/>
      <c r="M6355" s="663" t="s">
        <v>899</v>
      </c>
      <c r="N6355" s="600">
        <f>22*(0.028317)</f>
        <v>0.62297399999999992</v>
      </c>
      <c r="O6355" s="617">
        <f>((3200/(1000))/(60))/(60)</f>
        <v>8.8888888888888893E-4</v>
      </c>
      <c r="P6355" s="250"/>
      <c r="Q6355" s="250"/>
      <c r="R6355" s="250"/>
      <c r="S6355" s="250"/>
      <c r="T6355" s="250"/>
      <c r="U6355" s="250"/>
      <c r="V6355" s="742"/>
      <c r="W6355" s="747"/>
      <c r="X6355" s="743"/>
      <c r="Y6355" s="246"/>
      <c r="Z6355" s="245"/>
      <c r="AA6355" s="220">
        <f>0.86*(10)</f>
        <v>8.6</v>
      </c>
      <c r="AB6355" s="295">
        <v>110</v>
      </c>
      <c r="AC6355" s="230">
        <v>9.4000000000000004E-3</v>
      </c>
      <c r="AD6355" s="223"/>
      <c r="AE6355" s="223"/>
      <c r="AF6355" s="223"/>
      <c r="AG6355" s="223"/>
      <c r="AH6355" s="341"/>
      <c r="AI6355" s="153"/>
      <c r="AJ6355" s="480"/>
      <c r="AK6355" s="153"/>
      <c r="AL6355" s="152"/>
      <c r="AM6355" s="152"/>
      <c r="AN6355" s="152"/>
      <c r="AO6355" s="152"/>
      <c r="AP6355" s="152"/>
      <c r="AQ6355" s="152"/>
      <c r="AR6355" s="152"/>
      <c r="AS6355" s="152"/>
      <c r="AT6355" s="152"/>
      <c r="AU6355" s="153"/>
      <c r="AV6355" s="479"/>
      <c r="AW6355" s="479"/>
      <c r="AX6355" s="442"/>
      <c r="AY6355" s="153"/>
      <c r="AZ6355" s="152"/>
      <c r="BA6355" s="152"/>
      <c r="BB6355" s="152"/>
      <c r="BC6355" s="152"/>
      <c r="BD6355" s="152"/>
      <c r="BE6355" s="152"/>
      <c r="BF6355" s="152"/>
      <c r="BG6355" s="152"/>
      <c r="BH6355" s="152"/>
      <c r="BI6355" s="153"/>
      <c r="BJ6355" s="153"/>
      <c r="BK6355" s="153"/>
      <c r="BL6355" s="153"/>
      <c r="BM6355" s="153"/>
      <c r="BN6355" s="153"/>
      <c r="BO6355" s="153"/>
      <c r="BP6355" s="153"/>
      <c r="BQ6355" s="153"/>
      <c r="BR6355" s="153"/>
      <c r="BS6355" s="153"/>
      <c r="BT6355" s="153"/>
      <c r="BU6355" s="153"/>
      <c r="BV6355" s="153"/>
      <c r="BW6355" s="153"/>
      <c r="BX6355" s="153"/>
      <c r="BY6355" s="153"/>
      <c r="BZ6355" s="153"/>
      <c r="CA6355" s="152"/>
      <c r="CB6355" s="152"/>
    </row>
    <row r="6356" spans="1:80" s="87" customFormat="1" x14ac:dyDescent="0.2">
      <c r="A6356" s="152"/>
      <c r="B6356" s="683"/>
      <c r="C6356" s="683"/>
      <c r="D6356" s="698"/>
      <c r="E6356" s="215"/>
      <c r="F6356" s="215"/>
      <c r="G6356" s="153"/>
      <c r="H6356" s="153"/>
      <c r="I6356" s="153"/>
      <c r="J6356" s="153"/>
      <c r="K6356" s="153"/>
      <c r="L6356" s="653"/>
      <c r="M6356" s="663" t="s">
        <v>899</v>
      </c>
      <c r="N6356" s="600">
        <f>18*(0.028317)</f>
        <v>0.50970599999999999</v>
      </c>
      <c r="O6356" s="617">
        <f>((3700/(1000))/(60))/(60)</f>
        <v>1.0277777777777778E-3</v>
      </c>
      <c r="P6356" s="250"/>
      <c r="Q6356" s="250"/>
      <c r="R6356" s="250"/>
      <c r="S6356" s="250"/>
      <c r="T6356" s="250"/>
      <c r="U6356" s="250"/>
      <c r="V6356" s="742"/>
      <c r="W6356" s="747"/>
      <c r="X6356" s="743"/>
      <c r="Y6356" s="246"/>
      <c r="Z6356" s="245"/>
      <c r="AA6356" s="220">
        <f>0.36*(10)</f>
        <v>3.5999999999999996</v>
      </c>
      <c r="AB6356" s="295">
        <v>111</v>
      </c>
      <c r="AC6356" s="230">
        <v>9.4000000000000004E-3</v>
      </c>
      <c r="AD6356" s="223"/>
      <c r="AE6356" s="223"/>
      <c r="AF6356" s="223"/>
      <c r="AG6356" s="223"/>
      <c r="AH6356" s="341"/>
      <c r="AI6356" s="153"/>
      <c r="AJ6356" s="480"/>
      <c r="AK6356" s="153"/>
      <c r="AL6356" s="152"/>
      <c r="AM6356" s="152"/>
      <c r="AN6356" s="152"/>
      <c r="AO6356" s="152"/>
      <c r="AP6356" s="152"/>
      <c r="AQ6356" s="152"/>
      <c r="AR6356" s="152"/>
      <c r="AS6356" s="152"/>
      <c r="AT6356" s="152"/>
      <c r="AU6356" s="153"/>
      <c r="AV6356" s="479"/>
      <c r="AW6356" s="479"/>
      <c r="AX6356" s="442"/>
      <c r="AY6356" s="153"/>
      <c r="AZ6356" s="152"/>
      <c r="BA6356" s="152"/>
      <c r="BB6356" s="152"/>
      <c r="BC6356" s="152"/>
      <c r="BD6356" s="152"/>
      <c r="BE6356" s="152"/>
      <c r="BF6356" s="152"/>
      <c r="BG6356" s="152"/>
      <c r="BH6356" s="152"/>
      <c r="BI6356" s="153"/>
      <c r="BJ6356" s="153"/>
      <c r="BK6356" s="153"/>
      <c r="BL6356" s="153"/>
      <c r="BM6356" s="153"/>
      <c r="BN6356" s="153"/>
      <c r="BO6356" s="153"/>
      <c r="BP6356" s="153"/>
      <c r="BQ6356" s="153"/>
      <c r="BR6356" s="153"/>
      <c r="BS6356" s="153"/>
      <c r="BT6356" s="153"/>
      <c r="BU6356" s="153"/>
      <c r="BV6356" s="153"/>
      <c r="BW6356" s="153"/>
      <c r="BX6356" s="153"/>
      <c r="BY6356" s="153"/>
      <c r="BZ6356" s="153"/>
      <c r="CA6356" s="152"/>
      <c r="CB6356" s="152"/>
    </row>
    <row r="6357" spans="1:80" s="87" customFormat="1" x14ac:dyDescent="0.2">
      <c r="A6357" s="152"/>
      <c r="B6357" s="683"/>
      <c r="C6357" s="683"/>
      <c r="D6357" s="698"/>
      <c r="E6357" s="215"/>
      <c r="F6357" s="215"/>
      <c r="G6357" s="153"/>
      <c r="H6357" s="153"/>
      <c r="I6357" s="153"/>
      <c r="J6357" s="153"/>
      <c r="K6357" s="153"/>
      <c r="L6357" s="653"/>
      <c r="M6357" s="663" t="s">
        <v>899</v>
      </c>
      <c r="N6357" s="600">
        <f>7.9*(0.028317)</f>
        <v>0.22370429999999999</v>
      </c>
      <c r="O6357" s="617">
        <f>((4.9/(1000))/(60))/(60)</f>
        <v>1.3611111111111114E-6</v>
      </c>
      <c r="P6357" s="250"/>
      <c r="Q6357" s="250"/>
      <c r="R6357" s="250"/>
      <c r="S6357" s="250"/>
      <c r="T6357" s="250"/>
      <c r="U6357" s="250"/>
      <c r="V6357" s="742"/>
      <c r="W6357" s="747"/>
      <c r="X6357" s="743"/>
      <c r="Y6357" s="246"/>
      <c r="Z6357" s="245"/>
      <c r="AA6357" s="220">
        <f>0.18*(10)</f>
        <v>1.7999999999999998</v>
      </c>
      <c r="AB6357" s="295">
        <v>112</v>
      </c>
      <c r="AC6357" s="230">
        <v>9.4000000000000004E-3</v>
      </c>
      <c r="AD6357" s="223"/>
      <c r="AE6357" s="223"/>
      <c r="AF6357" s="223"/>
      <c r="AG6357" s="223"/>
      <c r="AH6357" s="341"/>
      <c r="AI6357" s="153"/>
      <c r="AJ6357" s="480"/>
      <c r="AK6357" s="153"/>
      <c r="AL6357" s="152"/>
      <c r="AM6357" s="152"/>
      <c r="AN6357" s="152"/>
      <c r="AO6357" s="152"/>
      <c r="AP6357" s="152"/>
      <c r="AQ6357" s="152"/>
      <c r="AR6357" s="152"/>
      <c r="AS6357" s="152"/>
      <c r="AT6357" s="152"/>
      <c r="AU6357" s="153"/>
      <c r="AV6357" s="479"/>
      <c r="AW6357" s="479"/>
      <c r="AX6357" s="442"/>
      <c r="AY6357" s="153"/>
      <c r="AZ6357" s="152"/>
      <c r="BA6357" s="152"/>
      <c r="BB6357" s="152"/>
      <c r="BC6357" s="152"/>
      <c r="BD6357" s="152"/>
      <c r="BE6357" s="152"/>
      <c r="BF6357" s="152"/>
      <c r="BG6357" s="152"/>
      <c r="BH6357" s="152"/>
      <c r="BI6357" s="153"/>
      <c r="BJ6357" s="153"/>
      <c r="BK6357" s="153"/>
      <c r="BL6357" s="153"/>
      <c r="BM6357" s="153"/>
      <c r="BN6357" s="153"/>
      <c r="BO6357" s="153"/>
      <c r="BP6357" s="153"/>
      <c r="BQ6357" s="153"/>
      <c r="BR6357" s="153"/>
      <c r="BS6357" s="153"/>
      <c r="BT6357" s="153"/>
      <c r="BU6357" s="153"/>
      <c r="BV6357" s="153"/>
      <c r="BW6357" s="153"/>
      <c r="BX6357" s="153"/>
      <c r="BY6357" s="153"/>
      <c r="BZ6357" s="153"/>
      <c r="CA6357" s="152"/>
      <c r="CB6357" s="152"/>
    </row>
    <row r="6358" spans="1:80" s="87" customFormat="1" x14ac:dyDescent="0.2">
      <c r="A6358" s="152"/>
      <c r="B6358" s="683"/>
      <c r="C6358" s="683"/>
      <c r="D6358" s="698"/>
      <c r="E6358" s="215"/>
      <c r="F6358" s="215"/>
      <c r="G6358" s="153"/>
      <c r="H6358" s="153"/>
      <c r="I6358" s="153"/>
      <c r="J6358" s="153"/>
      <c r="K6358" s="153"/>
      <c r="L6358" s="653"/>
      <c r="M6358" s="663" t="s">
        <v>899</v>
      </c>
      <c r="N6358" s="600">
        <f>5.2*(0.028317)</f>
        <v>0.1472484</v>
      </c>
      <c r="O6358" s="617">
        <f>((20/(1000))/(60))/(60)</f>
        <v>5.555555555555555E-6</v>
      </c>
      <c r="P6358" s="250"/>
      <c r="Q6358" s="250"/>
      <c r="R6358" s="250"/>
      <c r="S6358" s="250"/>
      <c r="T6358" s="250"/>
      <c r="U6358" s="250"/>
      <c r="V6358" s="742"/>
      <c r="W6358" s="747"/>
      <c r="X6358" s="743"/>
      <c r="Y6358" s="246"/>
      <c r="Z6358" s="245"/>
      <c r="AA6358" s="220">
        <f>0.34*(10)</f>
        <v>3.4000000000000004</v>
      </c>
      <c r="AB6358" s="295">
        <v>113</v>
      </c>
      <c r="AC6358" s="230">
        <v>9.4000000000000004E-3</v>
      </c>
      <c r="AD6358" s="223"/>
      <c r="AE6358" s="223"/>
      <c r="AF6358" s="223"/>
      <c r="AG6358" s="223"/>
      <c r="AH6358" s="341"/>
      <c r="AI6358" s="153"/>
      <c r="AJ6358" s="480"/>
      <c r="AK6358" s="153"/>
      <c r="AL6358" s="152"/>
      <c r="AM6358" s="152"/>
      <c r="AN6358" s="152"/>
      <c r="AO6358" s="152"/>
      <c r="AP6358" s="152"/>
      <c r="AQ6358" s="152"/>
      <c r="AR6358" s="152"/>
      <c r="AS6358" s="152"/>
      <c r="AT6358" s="152"/>
      <c r="AU6358" s="153"/>
      <c r="AV6358" s="479"/>
      <c r="AW6358" s="479"/>
      <c r="AX6358" s="442"/>
      <c r="AY6358" s="153"/>
      <c r="AZ6358" s="152"/>
      <c r="BA6358" s="152"/>
      <c r="BB6358" s="152"/>
      <c r="BC6358" s="152"/>
      <c r="BD6358" s="152"/>
      <c r="BE6358" s="152"/>
      <c r="BF6358" s="152"/>
      <c r="BG6358" s="152"/>
      <c r="BH6358" s="152"/>
      <c r="BI6358" s="153"/>
      <c r="BJ6358" s="153"/>
      <c r="BK6358" s="153"/>
      <c r="BL6358" s="153"/>
      <c r="BM6358" s="153"/>
      <c r="BN6358" s="153"/>
      <c r="BO6358" s="153"/>
      <c r="BP6358" s="153"/>
      <c r="BQ6358" s="153"/>
      <c r="BR6358" s="153"/>
      <c r="BS6358" s="153"/>
      <c r="BT6358" s="153"/>
      <c r="BU6358" s="153"/>
      <c r="BV6358" s="153"/>
      <c r="BW6358" s="153"/>
      <c r="BX6358" s="153"/>
      <c r="BY6358" s="153"/>
      <c r="BZ6358" s="153"/>
      <c r="CA6358" s="152"/>
      <c r="CB6358" s="152"/>
    </row>
    <row r="6359" spans="1:80" s="87" customFormat="1" x14ac:dyDescent="0.2">
      <c r="A6359" s="152"/>
      <c r="B6359" s="683"/>
      <c r="C6359" s="683"/>
      <c r="D6359" s="698"/>
      <c r="E6359" s="215"/>
      <c r="F6359" s="215"/>
      <c r="G6359" s="153"/>
      <c r="H6359" s="153"/>
      <c r="I6359" s="153"/>
      <c r="J6359" s="153"/>
      <c r="K6359" s="153"/>
      <c r="L6359" s="653"/>
      <c r="M6359" s="663" t="s">
        <v>899</v>
      </c>
      <c r="N6359" s="600">
        <f>3.3*(0.028317)</f>
        <v>9.344609999999999E-2</v>
      </c>
      <c r="O6359" s="617">
        <f>((3.7/(1000))/(60))/(60)</f>
        <v>1.0277777777777779E-6</v>
      </c>
      <c r="P6359" s="250"/>
      <c r="Q6359" s="250"/>
      <c r="R6359" s="250"/>
      <c r="S6359" s="250"/>
      <c r="T6359" s="250"/>
      <c r="U6359" s="250"/>
      <c r="V6359" s="742"/>
      <c r="W6359" s="747"/>
      <c r="X6359" s="743"/>
      <c r="Y6359" s="246"/>
      <c r="Z6359" s="245"/>
      <c r="AA6359" s="220">
        <f>0.23*(10)</f>
        <v>2.3000000000000003</v>
      </c>
      <c r="AB6359" s="295">
        <v>114</v>
      </c>
      <c r="AC6359" s="230">
        <v>9.4000000000000004E-3</v>
      </c>
      <c r="AD6359" s="223"/>
      <c r="AE6359" s="223"/>
      <c r="AF6359" s="223"/>
      <c r="AG6359" s="223"/>
      <c r="AH6359" s="341"/>
      <c r="AI6359" s="153"/>
      <c r="AJ6359" s="480"/>
      <c r="AK6359" s="153"/>
      <c r="AL6359" s="152"/>
      <c r="AM6359" s="152"/>
      <c r="AN6359" s="152"/>
      <c r="AO6359" s="152"/>
      <c r="AP6359" s="152"/>
      <c r="AQ6359" s="152"/>
      <c r="AR6359" s="152"/>
      <c r="AS6359" s="152"/>
      <c r="AT6359" s="152"/>
      <c r="AU6359" s="153"/>
      <c r="AV6359" s="479"/>
      <c r="AW6359" s="479"/>
      <c r="AX6359" s="442"/>
      <c r="AY6359" s="153"/>
      <c r="AZ6359" s="152"/>
      <c r="BA6359" s="152"/>
      <c r="BB6359" s="152"/>
      <c r="BC6359" s="152"/>
      <c r="BD6359" s="152"/>
      <c r="BE6359" s="152"/>
      <c r="BF6359" s="152"/>
      <c r="BG6359" s="152"/>
      <c r="BH6359" s="152"/>
      <c r="BI6359" s="153"/>
      <c r="BJ6359" s="153"/>
      <c r="BK6359" s="153"/>
      <c r="BL6359" s="153"/>
      <c r="BM6359" s="153"/>
      <c r="BN6359" s="153"/>
      <c r="BO6359" s="153"/>
      <c r="BP6359" s="153"/>
      <c r="BQ6359" s="153"/>
      <c r="BR6359" s="153"/>
      <c r="BS6359" s="153"/>
      <c r="BT6359" s="153"/>
      <c r="BU6359" s="153"/>
      <c r="BV6359" s="153"/>
      <c r="BW6359" s="153"/>
      <c r="BX6359" s="153"/>
      <c r="BY6359" s="153"/>
      <c r="BZ6359" s="153"/>
      <c r="CA6359" s="152"/>
      <c r="CB6359" s="152"/>
    </row>
    <row r="6360" spans="1:80" s="87" customFormat="1" x14ac:dyDescent="0.2">
      <c r="A6360" s="152"/>
      <c r="B6360" s="683"/>
      <c r="C6360" s="683"/>
      <c r="D6360" s="698"/>
      <c r="E6360" s="215"/>
      <c r="F6360" s="215"/>
      <c r="G6360" s="153"/>
      <c r="H6360" s="153"/>
      <c r="I6360" s="153"/>
      <c r="J6360" s="153"/>
      <c r="K6360" s="153"/>
      <c r="L6360" s="653"/>
      <c r="M6360" s="663" t="s">
        <v>899</v>
      </c>
      <c r="N6360" s="600">
        <f>2.4*(0.028317)</f>
        <v>6.7960799999999988E-2</v>
      </c>
      <c r="O6360" s="617">
        <f>((4.6/(1000))/(60))/(60)</f>
        <v>1.2777777777777779E-6</v>
      </c>
      <c r="P6360" s="250"/>
      <c r="Q6360" s="250"/>
      <c r="R6360" s="250"/>
      <c r="S6360" s="250"/>
      <c r="T6360" s="250"/>
      <c r="U6360" s="250"/>
      <c r="V6360" s="742"/>
      <c r="W6360" s="747"/>
      <c r="X6360" s="743"/>
      <c r="Y6360" s="246"/>
      <c r="Z6360" s="245"/>
      <c r="AA6360" s="220">
        <f>0.2*(10)</f>
        <v>2</v>
      </c>
      <c r="AB6360" s="295">
        <v>115</v>
      </c>
      <c r="AC6360" s="230">
        <v>9.4000000000000004E-3</v>
      </c>
      <c r="AD6360" s="223"/>
      <c r="AE6360" s="223"/>
      <c r="AF6360" s="223"/>
      <c r="AG6360" s="223"/>
      <c r="AH6360" s="341"/>
      <c r="AI6360" s="153"/>
      <c r="AJ6360" s="480"/>
      <c r="AK6360" s="153"/>
      <c r="AL6360" s="152"/>
      <c r="AM6360" s="152"/>
      <c r="AN6360" s="152"/>
      <c r="AO6360" s="152"/>
      <c r="AP6360" s="152"/>
      <c r="AQ6360" s="152"/>
      <c r="AR6360" s="152"/>
      <c r="AS6360" s="152"/>
      <c r="AT6360" s="152"/>
      <c r="AU6360" s="153"/>
      <c r="AV6360" s="479"/>
      <c r="AW6360" s="479"/>
      <c r="AX6360" s="442"/>
      <c r="AY6360" s="153"/>
      <c r="AZ6360" s="152"/>
      <c r="BA6360" s="152"/>
      <c r="BB6360" s="152"/>
      <c r="BC6360" s="152"/>
      <c r="BD6360" s="152"/>
      <c r="BE6360" s="152"/>
      <c r="BF6360" s="152"/>
      <c r="BG6360" s="152"/>
      <c r="BH6360" s="152"/>
      <c r="BI6360" s="153"/>
      <c r="BJ6360" s="153"/>
      <c r="BK6360" s="153"/>
      <c r="BL6360" s="153"/>
      <c r="BM6360" s="153"/>
      <c r="BN6360" s="153"/>
      <c r="BO6360" s="153"/>
      <c r="BP6360" s="153"/>
      <c r="BQ6360" s="153"/>
      <c r="BR6360" s="153"/>
      <c r="BS6360" s="153"/>
      <c r="BT6360" s="153"/>
      <c r="BU6360" s="153"/>
      <c r="BV6360" s="153"/>
      <c r="BW6360" s="153"/>
      <c r="BX6360" s="153"/>
      <c r="BY6360" s="153"/>
      <c r="BZ6360" s="153"/>
      <c r="CA6360" s="152"/>
      <c r="CB6360" s="152"/>
    </row>
    <row r="6361" spans="1:80" s="87" customFormat="1" x14ac:dyDescent="0.2">
      <c r="A6361" s="152"/>
      <c r="B6361" s="683"/>
      <c r="C6361" s="683"/>
      <c r="D6361" s="698"/>
      <c r="E6361" s="215"/>
      <c r="F6361" s="215"/>
      <c r="G6361" s="153"/>
      <c r="H6361" s="153"/>
      <c r="I6361" s="153"/>
      <c r="J6361" s="153"/>
      <c r="K6361" s="153"/>
      <c r="L6361" s="653"/>
      <c r="M6361" s="663" t="s">
        <v>899</v>
      </c>
      <c r="N6361" s="600">
        <f>2*(0.028317)</f>
        <v>5.6633999999999997E-2</v>
      </c>
      <c r="O6361" s="617">
        <f>((1.96/(1000))/(60))/(60)</f>
        <v>5.4444444444444443E-7</v>
      </c>
      <c r="P6361" s="250"/>
      <c r="Q6361" s="250"/>
      <c r="R6361" s="250"/>
      <c r="S6361" s="250"/>
      <c r="T6361" s="250"/>
      <c r="U6361" s="250"/>
      <c r="V6361" s="742"/>
      <c r="W6361" s="747"/>
      <c r="X6361" s="743"/>
      <c r="Y6361" s="246"/>
      <c r="Z6361" s="245"/>
      <c r="AA6361" s="220">
        <f>0.12*(10)</f>
        <v>1.2</v>
      </c>
      <c r="AB6361" s="295">
        <v>116</v>
      </c>
      <c r="AC6361" s="230">
        <v>9.4000000000000004E-3</v>
      </c>
      <c r="AD6361" s="223"/>
      <c r="AE6361" s="223"/>
      <c r="AF6361" s="223"/>
      <c r="AG6361" s="223"/>
      <c r="AH6361" s="341"/>
      <c r="AI6361" s="153"/>
      <c r="AJ6361" s="480"/>
      <c r="AK6361" s="153"/>
      <c r="AL6361" s="152"/>
      <c r="AM6361" s="152"/>
      <c r="AN6361" s="152"/>
      <c r="AO6361" s="152"/>
      <c r="AP6361" s="152"/>
      <c r="AQ6361" s="152"/>
      <c r="AR6361" s="152"/>
      <c r="AS6361" s="152"/>
      <c r="AT6361" s="152"/>
      <c r="AU6361" s="153"/>
      <c r="AV6361" s="479"/>
      <c r="AW6361" s="479"/>
      <c r="AX6361" s="442"/>
      <c r="AY6361" s="153"/>
      <c r="AZ6361" s="152"/>
      <c r="BA6361" s="152"/>
      <c r="BB6361" s="152"/>
      <c r="BC6361" s="152"/>
      <c r="BD6361" s="152"/>
      <c r="BE6361" s="152"/>
      <c r="BF6361" s="152"/>
      <c r="BG6361" s="152"/>
      <c r="BH6361" s="152"/>
      <c r="BI6361" s="153"/>
      <c r="BJ6361" s="153"/>
      <c r="BK6361" s="153"/>
      <c r="BL6361" s="153"/>
      <c r="BM6361" s="153"/>
      <c r="BN6361" s="153"/>
      <c r="BO6361" s="153"/>
      <c r="BP6361" s="153"/>
      <c r="BQ6361" s="153"/>
      <c r="BR6361" s="153"/>
      <c r="BS6361" s="153"/>
      <c r="BT6361" s="153"/>
      <c r="BU6361" s="153"/>
      <c r="BV6361" s="153"/>
      <c r="BW6361" s="153"/>
      <c r="BX6361" s="153"/>
      <c r="BY6361" s="153"/>
      <c r="BZ6361" s="153"/>
      <c r="CA6361" s="152"/>
      <c r="CB6361" s="152"/>
    </row>
    <row r="6362" spans="1:80" s="87" customFormat="1" x14ac:dyDescent="0.2">
      <c r="A6362" s="152"/>
      <c r="B6362" s="683"/>
      <c r="C6362" s="683"/>
      <c r="D6362" s="698"/>
      <c r="E6362" s="215"/>
      <c r="F6362" s="215"/>
      <c r="G6362" s="153"/>
      <c r="H6362" s="153"/>
      <c r="I6362" s="153"/>
      <c r="J6362" s="153"/>
      <c r="K6362" s="153"/>
      <c r="L6362" s="653"/>
      <c r="M6362" s="663" t="s">
        <v>899</v>
      </c>
      <c r="N6362" s="600">
        <f>1.8*(0.028317)</f>
        <v>5.0970599999999998E-2</v>
      </c>
      <c r="O6362" s="617">
        <f>((1.5/(1000))/(60))/(60)</f>
        <v>4.1666666666666667E-7</v>
      </c>
      <c r="P6362" s="250"/>
      <c r="Q6362" s="250"/>
      <c r="R6362" s="250"/>
      <c r="S6362" s="250"/>
      <c r="T6362" s="250"/>
      <c r="U6362" s="250"/>
      <c r="V6362" s="742"/>
      <c r="W6362" s="747"/>
      <c r="X6362" s="743"/>
      <c r="Y6362" s="246"/>
      <c r="Z6362" s="245"/>
      <c r="AA6362" s="220">
        <f>0.12*(10)</f>
        <v>1.2</v>
      </c>
      <c r="AB6362" s="295">
        <v>117</v>
      </c>
      <c r="AC6362" s="230">
        <v>9.4000000000000004E-3</v>
      </c>
      <c r="AD6362" s="223"/>
      <c r="AE6362" s="223"/>
      <c r="AF6362" s="223"/>
      <c r="AG6362" s="223"/>
      <c r="AH6362" s="341"/>
      <c r="AI6362" s="153"/>
      <c r="AJ6362" s="480"/>
      <c r="AK6362" s="153"/>
      <c r="AL6362" s="152"/>
      <c r="AM6362" s="152"/>
      <c r="AN6362" s="152"/>
      <c r="AO6362" s="152"/>
      <c r="AP6362" s="152"/>
      <c r="AQ6362" s="152"/>
      <c r="AR6362" s="152"/>
      <c r="AS6362" s="152"/>
      <c r="AT6362" s="152"/>
      <c r="AU6362" s="153"/>
      <c r="AV6362" s="479"/>
      <c r="AW6362" s="479"/>
      <c r="AX6362" s="442"/>
      <c r="AY6362" s="153"/>
      <c r="AZ6362" s="152"/>
      <c r="BA6362" s="152"/>
      <c r="BB6362" s="152"/>
      <c r="BC6362" s="152"/>
      <c r="BD6362" s="152"/>
      <c r="BE6362" s="152"/>
      <c r="BF6362" s="152"/>
      <c r="BG6362" s="152"/>
      <c r="BH6362" s="152"/>
      <c r="BI6362" s="153"/>
      <c r="BJ6362" s="153"/>
      <c r="BK6362" s="153"/>
      <c r="BL6362" s="153"/>
      <c r="BM6362" s="153"/>
      <c r="BN6362" s="153"/>
      <c r="BO6362" s="153"/>
      <c r="BP6362" s="153"/>
      <c r="BQ6362" s="153"/>
      <c r="BR6362" s="153"/>
      <c r="BS6362" s="153"/>
      <c r="BT6362" s="153"/>
      <c r="BU6362" s="153"/>
      <c r="BV6362" s="153"/>
      <c r="BW6362" s="153"/>
      <c r="BX6362" s="153"/>
      <c r="BY6362" s="153"/>
      <c r="BZ6362" s="153"/>
      <c r="CA6362" s="152"/>
      <c r="CB6362" s="152"/>
    </row>
    <row r="6363" spans="1:80" s="87" customFormat="1" x14ac:dyDescent="0.2">
      <c r="A6363" s="152"/>
      <c r="B6363" s="683"/>
      <c r="C6363" s="683"/>
      <c r="D6363" s="698"/>
      <c r="E6363" s="215"/>
      <c r="F6363" s="215"/>
      <c r="G6363" s="153"/>
      <c r="H6363" s="153"/>
      <c r="I6363" s="153"/>
      <c r="J6363" s="153"/>
      <c r="K6363" s="153"/>
      <c r="L6363" s="653"/>
      <c r="M6363" s="663" t="s">
        <v>899</v>
      </c>
      <c r="N6363" s="600">
        <f>1.57*(0.028317)</f>
        <v>4.4457690000000001E-2</v>
      </c>
      <c r="O6363" s="617">
        <f>((2/(1000))/(60))/(60)</f>
        <v>5.5555555555555562E-7</v>
      </c>
      <c r="P6363" s="250"/>
      <c r="Q6363" s="250"/>
      <c r="R6363" s="250"/>
      <c r="S6363" s="250"/>
      <c r="T6363" s="250"/>
      <c r="U6363" s="250"/>
      <c r="V6363" s="742"/>
      <c r="W6363" s="747"/>
      <c r="X6363" s="743"/>
      <c r="Y6363" s="246"/>
      <c r="Z6363" s="245"/>
      <c r="AA6363" s="220">
        <f>0.41*(10)</f>
        <v>4.0999999999999996</v>
      </c>
      <c r="AB6363" s="295">
        <v>118</v>
      </c>
      <c r="AC6363" s="230">
        <v>9.4000000000000004E-3</v>
      </c>
      <c r="AD6363" s="223"/>
      <c r="AE6363" s="223"/>
      <c r="AF6363" s="223"/>
      <c r="AG6363" s="223"/>
      <c r="AH6363" s="341"/>
      <c r="AI6363" s="153"/>
      <c r="AJ6363" s="480"/>
      <c r="AK6363" s="153"/>
      <c r="AL6363" s="152"/>
      <c r="AM6363" s="152"/>
      <c r="AN6363" s="152"/>
      <c r="AO6363" s="152"/>
      <c r="AP6363" s="152"/>
      <c r="AQ6363" s="152"/>
      <c r="AR6363" s="152"/>
      <c r="AS6363" s="152"/>
      <c r="AT6363" s="152"/>
      <c r="AU6363" s="153"/>
      <c r="AV6363" s="479"/>
      <c r="AW6363" s="479"/>
      <c r="AX6363" s="442"/>
      <c r="AY6363" s="153"/>
      <c r="AZ6363" s="152"/>
      <c r="BA6363" s="152"/>
      <c r="BB6363" s="152"/>
      <c r="BC6363" s="152"/>
      <c r="BD6363" s="152"/>
      <c r="BE6363" s="152"/>
      <c r="BF6363" s="152"/>
      <c r="BG6363" s="152"/>
      <c r="BH6363" s="152"/>
      <c r="BI6363" s="153"/>
      <c r="BJ6363" s="153"/>
      <c r="BK6363" s="153"/>
      <c r="BL6363" s="153"/>
      <c r="BM6363" s="153"/>
      <c r="BN6363" s="153"/>
      <c r="BO6363" s="153"/>
      <c r="BP6363" s="153"/>
      <c r="BQ6363" s="153"/>
      <c r="BR6363" s="153"/>
      <c r="BS6363" s="153"/>
      <c r="BT6363" s="153"/>
      <c r="BU6363" s="153"/>
      <c r="BV6363" s="153"/>
      <c r="BW6363" s="153"/>
      <c r="BX6363" s="153"/>
      <c r="BY6363" s="153"/>
      <c r="BZ6363" s="153"/>
      <c r="CA6363" s="152"/>
      <c r="CB6363" s="152"/>
    </row>
    <row r="6364" spans="1:80" s="87" customFormat="1" x14ac:dyDescent="0.2">
      <c r="A6364" s="152"/>
      <c r="B6364" s="683"/>
      <c r="C6364" s="683"/>
      <c r="D6364" s="698"/>
      <c r="E6364" s="215"/>
      <c r="F6364" s="215"/>
      <c r="G6364" s="153"/>
      <c r="H6364" s="153"/>
      <c r="I6364" s="153"/>
      <c r="J6364" s="153"/>
      <c r="K6364" s="153"/>
      <c r="L6364" s="653"/>
      <c r="M6364" s="663" t="s">
        <v>899</v>
      </c>
      <c r="N6364" s="600">
        <f>2.1*(0.028317)</f>
        <v>5.9465699999999996E-2</v>
      </c>
      <c r="O6364" s="617">
        <f>((1.4/(1000))/(60))/(60)</f>
        <v>3.8888888888888889E-7</v>
      </c>
      <c r="P6364" s="250"/>
      <c r="Q6364" s="250"/>
      <c r="R6364" s="250"/>
      <c r="S6364" s="250"/>
      <c r="T6364" s="250"/>
      <c r="U6364" s="250"/>
      <c r="V6364" s="742"/>
      <c r="W6364" s="748"/>
      <c r="X6364" s="749"/>
      <c r="Y6364" s="249"/>
      <c r="Z6364" s="245"/>
      <c r="AA6364" s="220">
        <f>0.24*(10)</f>
        <v>2.4</v>
      </c>
      <c r="AB6364" s="295">
        <v>119</v>
      </c>
      <c r="AC6364" s="230">
        <v>9.4000000000000004E-3</v>
      </c>
      <c r="AD6364" s="223"/>
      <c r="AE6364" s="223"/>
      <c r="AF6364" s="223"/>
      <c r="AG6364" s="223"/>
      <c r="AH6364" s="341"/>
      <c r="AI6364" s="153"/>
      <c r="AJ6364" s="480"/>
      <c r="AK6364" s="153"/>
      <c r="AL6364" s="152"/>
      <c r="AM6364" s="152"/>
      <c r="AN6364" s="152"/>
      <c r="AO6364" s="152"/>
      <c r="AP6364" s="152"/>
      <c r="AQ6364" s="152"/>
      <c r="AR6364" s="152"/>
      <c r="AS6364" s="152"/>
      <c r="AT6364" s="152"/>
      <c r="AU6364" s="153"/>
      <c r="AV6364" s="479"/>
      <c r="AW6364" s="479"/>
      <c r="AX6364" s="442"/>
      <c r="AY6364" s="153"/>
      <c r="AZ6364" s="152"/>
      <c r="BA6364" s="152"/>
      <c r="BB6364" s="152"/>
      <c r="BC6364" s="152"/>
      <c r="BD6364" s="152"/>
      <c r="BE6364" s="152"/>
      <c r="BF6364" s="152"/>
      <c r="BG6364" s="152"/>
      <c r="BH6364" s="152"/>
      <c r="BI6364" s="153"/>
      <c r="BJ6364" s="153"/>
      <c r="BK6364" s="153"/>
      <c r="BL6364" s="153"/>
      <c r="BM6364" s="153"/>
      <c r="BN6364" s="153"/>
      <c r="BO6364" s="153"/>
      <c r="BP6364" s="153"/>
      <c r="BQ6364" s="153"/>
      <c r="BR6364" s="153"/>
      <c r="BS6364" s="153"/>
      <c r="BT6364" s="153"/>
      <c r="BU6364" s="153"/>
      <c r="BV6364" s="153"/>
      <c r="BW6364" s="153"/>
      <c r="BX6364" s="153"/>
      <c r="BY6364" s="153"/>
      <c r="BZ6364" s="153"/>
      <c r="CA6364" s="152"/>
      <c r="CB6364" s="152"/>
    </row>
    <row r="6365" spans="1:80" s="189" customFormat="1" ht="15.75" thickBot="1" x14ac:dyDescent="0.3">
      <c r="A6365" s="24" t="s">
        <v>421</v>
      </c>
      <c r="B6365" s="14" t="s">
        <v>34</v>
      </c>
      <c r="C6365" s="14"/>
      <c r="D6365" s="4">
        <f>VLOOKUP(E6365,'Quality Code'!D4:E24,2,TRUE)*VLOOKUP(MROUND(F6365,10),'Quality Code'!D28:E69,2,TRUE)*VLOOKUP(COUNTA(CB6365:CB6375),'Quality Code'!D73:E93,2,TRUE)</f>
        <v>0.53333200000000003</v>
      </c>
      <c r="E6365" s="14">
        <v>0.8</v>
      </c>
      <c r="F6365" s="18">
        <v>17</v>
      </c>
      <c r="G6365" s="2"/>
      <c r="H6365" s="2" t="s">
        <v>105</v>
      </c>
      <c r="I6365" s="2"/>
      <c r="J6365" s="2"/>
      <c r="K6365" s="2"/>
      <c r="L6365" s="640"/>
      <c r="M6365" s="640">
        <v>1989</v>
      </c>
      <c r="N6365" s="578" t="s">
        <v>110</v>
      </c>
      <c r="O6365" s="580"/>
      <c r="P6365" s="376" t="s">
        <v>402</v>
      </c>
      <c r="Q6365" s="376" t="s">
        <v>403</v>
      </c>
      <c r="R6365" s="376" t="s">
        <v>404</v>
      </c>
      <c r="S6365" s="376" t="s">
        <v>405</v>
      </c>
      <c r="T6365" s="26" t="s">
        <v>406</v>
      </c>
      <c r="U6365" s="10" t="s">
        <v>20</v>
      </c>
      <c r="V6365" s="379"/>
      <c r="W6365" s="789"/>
      <c r="X6365" s="789"/>
      <c r="Y6365" s="789"/>
      <c r="Z6365" s="26"/>
      <c r="AA6365" s="26"/>
      <c r="AB6365" s="377"/>
      <c r="AC6365" s="26">
        <v>8.8999999999999999E-3</v>
      </c>
      <c r="AD6365" s="26"/>
      <c r="AE6365" s="26"/>
      <c r="AF6365" s="26"/>
      <c r="AG6365" s="26"/>
      <c r="AH6365" s="4"/>
      <c r="AI6365" s="376">
        <v>4.75</v>
      </c>
      <c r="AJ6365" s="376"/>
      <c r="AK6365" s="376" t="s">
        <v>402</v>
      </c>
      <c r="AL6365" s="376" t="s">
        <v>403</v>
      </c>
      <c r="AM6365" s="376" t="s">
        <v>404</v>
      </c>
      <c r="AN6365" s="376" t="s">
        <v>405</v>
      </c>
      <c r="AO6365" s="376" t="s">
        <v>406</v>
      </c>
      <c r="AP6365" s="376"/>
      <c r="AQ6365" s="17"/>
      <c r="AR6365" s="552"/>
      <c r="AS6365" s="552"/>
      <c r="AT6365" s="552"/>
      <c r="AU6365" s="379">
        <v>109</v>
      </c>
      <c r="AV6365" s="17"/>
      <c r="AW6365" s="17"/>
      <c r="AX6365" s="17"/>
      <c r="AY6365" s="379" t="s">
        <v>402</v>
      </c>
      <c r="AZ6365" s="380" t="s">
        <v>403</v>
      </c>
      <c r="BA6365" s="380" t="s">
        <v>404</v>
      </c>
      <c r="BB6365" s="380" t="s">
        <v>405</v>
      </c>
      <c r="BC6365" s="380" t="s">
        <v>406</v>
      </c>
      <c r="BD6365" s="380"/>
      <c r="BE6365" s="4"/>
      <c r="BF6365" s="4"/>
      <c r="BG6365" s="4"/>
      <c r="BH6365" s="4"/>
      <c r="BI6365" s="12">
        <v>22.94736842105263</v>
      </c>
      <c r="BJ6365" s="2" t="s">
        <v>407</v>
      </c>
      <c r="BK6365" s="2" t="s">
        <v>55</v>
      </c>
      <c r="BL6365" s="4"/>
      <c r="BM6365" s="12">
        <v>8.0368283977307371</v>
      </c>
      <c r="BN6365" s="12">
        <v>7.8028800000000009</v>
      </c>
      <c r="BO6365" s="12">
        <v>0.49887187499999996</v>
      </c>
      <c r="BP6365" s="4">
        <v>3.8925099999999997</v>
      </c>
      <c r="BQ6365" s="4">
        <v>15.641050119331744</v>
      </c>
      <c r="BR6365" s="4"/>
      <c r="BS6365" s="2"/>
      <c r="BT6365" s="9"/>
      <c r="BU6365" s="381"/>
      <c r="BV6365" s="382"/>
      <c r="BW6365" s="383"/>
      <c r="BX6365" s="383"/>
      <c r="BY6365" s="383"/>
      <c r="BZ6365" s="384"/>
      <c r="CA6365" s="411" t="s">
        <v>408</v>
      </c>
      <c r="CB6365" s="9" t="s">
        <v>544</v>
      </c>
    </row>
    <row r="6366" spans="1:80" s="392" customFormat="1" ht="15" x14ac:dyDescent="0.25">
      <c r="A6366" s="430"/>
      <c r="B6366" s="386"/>
      <c r="C6366" s="386"/>
      <c r="D6366" s="434"/>
      <c r="E6366" s="385"/>
      <c r="F6366" s="432"/>
      <c r="G6366" s="387"/>
      <c r="H6366" s="387"/>
      <c r="I6366" s="387"/>
      <c r="J6366" s="387"/>
      <c r="K6366" s="387"/>
      <c r="L6366" s="672"/>
      <c r="M6366" s="673">
        <v>32618</v>
      </c>
      <c r="N6366" s="623">
        <v>1.6661943893454236</v>
      </c>
      <c r="O6366" s="625">
        <v>9.3539146254666659E-3</v>
      </c>
      <c r="P6366" s="390">
        <v>0.37</v>
      </c>
      <c r="Q6366" s="390">
        <v>0.63</v>
      </c>
      <c r="R6366" s="390">
        <v>0.88</v>
      </c>
      <c r="S6366" s="390">
        <v>4</v>
      </c>
      <c r="T6366" s="390">
        <v>7.48</v>
      </c>
      <c r="U6366" s="787"/>
      <c r="V6366" s="790"/>
      <c r="W6366" s="790"/>
      <c r="X6366" s="790"/>
      <c r="Y6366" s="791"/>
      <c r="Z6366" s="788">
        <v>9</v>
      </c>
      <c r="AA6366" s="391">
        <v>0.88</v>
      </c>
      <c r="AC6366" s="388"/>
      <c r="AD6366" s="388">
        <v>7.6504800000000008</v>
      </c>
      <c r="AE6366" s="388">
        <v>0.280416</v>
      </c>
      <c r="AF6366" s="388">
        <v>2.1339129999999997</v>
      </c>
      <c r="AG6366" s="391">
        <v>0.78028800000000009</v>
      </c>
      <c r="AH6366" s="393"/>
      <c r="AI6366" s="394"/>
      <c r="AJ6366" s="394"/>
      <c r="AK6366" s="394">
        <v>0.61499999999999999</v>
      </c>
      <c r="AL6366" s="394">
        <v>2.2000000000000002</v>
      </c>
      <c r="AM6366" s="394">
        <v>4.75</v>
      </c>
      <c r="AN6366" s="394">
        <v>28.8</v>
      </c>
      <c r="AO6366" s="394">
        <v>57.5</v>
      </c>
      <c r="AP6366" s="395" t="s">
        <v>20</v>
      </c>
      <c r="AQ6366" s="396"/>
      <c r="AR6366" s="396"/>
      <c r="AS6366" s="396"/>
      <c r="AT6366" s="396"/>
      <c r="AU6366" s="394"/>
      <c r="AV6366" s="394"/>
      <c r="AW6366" s="394"/>
      <c r="AX6366" s="394"/>
      <c r="AY6366" s="394">
        <v>5</v>
      </c>
      <c r="AZ6366" s="394">
        <v>78</v>
      </c>
      <c r="BA6366" s="394">
        <v>109</v>
      </c>
      <c r="BB6366" s="394">
        <v>250</v>
      </c>
      <c r="BC6366" s="394">
        <v>640</v>
      </c>
      <c r="BD6366" s="395" t="s">
        <v>20</v>
      </c>
      <c r="BE6366" s="397"/>
      <c r="BF6366" s="397"/>
      <c r="BG6366" s="397"/>
      <c r="BH6366" s="397"/>
      <c r="BI6366" s="397"/>
      <c r="BJ6366" s="397"/>
      <c r="BK6366" s="397"/>
      <c r="BL6366" s="397"/>
      <c r="BM6366" s="398"/>
      <c r="BN6366" s="398"/>
      <c r="BO6366" s="397"/>
      <c r="BP6366" s="398"/>
      <c r="BQ6366" s="398"/>
      <c r="BR6366" s="398"/>
      <c r="BS6366" s="397"/>
      <c r="BT6366" s="397"/>
      <c r="BU6366" s="397"/>
      <c r="BV6366" s="397"/>
      <c r="BW6366" s="397"/>
      <c r="BX6366" s="397"/>
      <c r="BY6366" s="397"/>
      <c r="CA6366" s="392" t="s">
        <v>408</v>
      </c>
      <c r="CB6366" s="402"/>
    </row>
    <row r="6367" spans="1:80" s="392" customFormat="1" ht="15" x14ac:dyDescent="0.25">
      <c r="A6367" s="430"/>
      <c r="B6367" s="386"/>
      <c r="C6367" s="386"/>
      <c r="D6367" s="434"/>
      <c r="E6367" s="385"/>
      <c r="F6367" s="432"/>
      <c r="G6367" s="388"/>
      <c r="H6367" s="388" t="s">
        <v>409</v>
      </c>
      <c r="I6367" s="388"/>
      <c r="J6367" s="388"/>
      <c r="K6367" s="388"/>
      <c r="L6367" s="672"/>
      <c r="M6367" s="673">
        <v>32620</v>
      </c>
      <c r="N6367" s="623">
        <v>1.8617172003400397</v>
      </c>
      <c r="O6367" s="625">
        <v>3.8303923392000003E-3</v>
      </c>
      <c r="P6367" s="390">
        <v>0.33</v>
      </c>
      <c r="Q6367" s="390">
        <v>0.53</v>
      </c>
      <c r="R6367" s="390">
        <v>0.72</v>
      </c>
      <c r="S6367" s="390">
        <v>1.83</v>
      </c>
      <c r="T6367" s="390">
        <v>3.94</v>
      </c>
      <c r="U6367" s="787"/>
      <c r="V6367" s="391"/>
      <c r="W6367" s="391"/>
      <c r="X6367" s="391"/>
      <c r="Y6367" s="792"/>
      <c r="Z6367" s="788">
        <v>8</v>
      </c>
      <c r="AA6367" s="391">
        <v>0.72</v>
      </c>
      <c r="AC6367" s="388"/>
      <c r="AD6367" s="388">
        <v>7.6809599999999998</v>
      </c>
      <c r="AE6367" s="388">
        <v>0.31089600000000001</v>
      </c>
      <c r="AF6367" s="388">
        <v>2.3977489999999997</v>
      </c>
      <c r="AG6367" s="391">
        <v>0.77723999999999993</v>
      </c>
      <c r="AH6367" s="385"/>
      <c r="AI6367" s="385"/>
      <c r="AJ6367" s="385"/>
      <c r="AK6367" s="385"/>
      <c r="AL6367" s="385"/>
      <c r="AM6367" s="385"/>
      <c r="AN6367" s="385"/>
      <c r="AO6367" s="385"/>
      <c r="AP6367" s="385"/>
      <c r="AQ6367" s="386"/>
      <c r="AR6367" s="386"/>
      <c r="AS6367" s="386"/>
      <c r="AT6367" s="386"/>
      <c r="AU6367" s="385"/>
      <c r="AV6367" s="385"/>
      <c r="AW6367" s="385"/>
      <c r="AX6367" s="385"/>
      <c r="AY6367" s="385"/>
      <c r="AZ6367" s="385"/>
      <c r="BA6367" s="385"/>
      <c r="BB6367" s="385"/>
      <c r="BC6367" s="385"/>
      <c r="BD6367" s="385"/>
      <c r="BE6367" s="397"/>
      <c r="BF6367" s="397"/>
      <c r="BG6367" s="397"/>
      <c r="BH6367" s="397"/>
      <c r="BI6367" s="397"/>
      <c r="BJ6367" s="397"/>
      <c r="BK6367" s="397"/>
      <c r="BL6367" s="397"/>
      <c r="BM6367" s="398"/>
      <c r="BN6367" s="398"/>
      <c r="BO6367" s="397"/>
      <c r="BP6367" s="398"/>
      <c r="BQ6367" s="398"/>
      <c r="BR6367" s="398"/>
      <c r="BS6367" s="397"/>
      <c r="BT6367" s="397"/>
      <c r="BU6367" s="397"/>
      <c r="BV6367" s="397"/>
      <c r="BW6367" s="397"/>
      <c r="BX6367" s="397"/>
      <c r="BY6367" s="397"/>
      <c r="CA6367" s="392" t="s">
        <v>408</v>
      </c>
      <c r="CB6367" s="402"/>
    </row>
    <row r="6368" spans="1:80" s="392" customFormat="1" ht="15" x14ac:dyDescent="0.25">
      <c r="A6368" s="430"/>
      <c r="B6368" s="386"/>
      <c r="C6368" s="386"/>
      <c r="D6368" s="434"/>
      <c r="E6368" s="385"/>
      <c r="F6368" s="432"/>
      <c r="G6368" s="388"/>
      <c r="H6368" s="388" t="s">
        <v>409</v>
      </c>
      <c r="I6368" s="388"/>
      <c r="J6368" s="388"/>
      <c r="K6368" s="388"/>
      <c r="L6368" s="672"/>
      <c r="M6368" s="673">
        <v>32623</v>
      </c>
      <c r="N6368" s="623">
        <v>1.5077925758005102</v>
      </c>
      <c r="O6368" s="625">
        <v>5.3178426976266671E-3</v>
      </c>
      <c r="P6368" s="390">
        <v>0.4</v>
      </c>
      <c r="Q6368" s="390">
        <v>0.67</v>
      </c>
      <c r="R6368" s="390">
        <v>0.92</v>
      </c>
      <c r="S6368" s="390">
        <v>2.08</v>
      </c>
      <c r="T6368" s="390">
        <v>3.59</v>
      </c>
      <c r="U6368" s="787"/>
      <c r="V6368" s="391"/>
      <c r="W6368" s="391"/>
      <c r="X6368" s="391"/>
      <c r="Y6368" s="792"/>
      <c r="Z6368" s="788">
        <v>7</v>
      </c>
      <c r="AA6368" s="391">
        <v>0.92</v>
      </c>
      <c r="AC6368" s="388"/>
      <c r="AD6368" s="388">
        <v>7.6504800000000008</v>
      </c>
      <c r="AE6368" s="388">
        <v>0.28651199999999999</v>
      </c>
      <c r="AF6368" s="388">
        <v>2.1887239999999997</v>
      </c>
      <c r="AG6368" s="391">
        <v>0.68884800000000002</v>
      </c>
      <c r="AH6368" s="385"/>
      <c r="AI6368" s="385"/>
      <c r="AJ6368" s="385"/>
      <c r="AK6368" s="385"/>
      <c r="AL6368" s="385"/>
      <c r="AM6368" s="385"/>
      <c r="AN6368" s="385"/>
      <c r="AO6368" s="385"/>
      <c r="AP6368" s="385"/>
      <c r="AQ6368" s="386"/>
      <c r="AR6368" s="386"/>
      <c r="AS6368" s="386"/>
      <c r="AT6368" s="386"/>
      <c r="AU6368" s="385"/>
      <c r="AV6368" s="385"/>
      <c r="AW6368" s="385"/>
      <c r="AX6368" s="385"/>
      <c r="AY6368" s="385"/>
      <c r="AZ6368" s="385"/>
      <c r="BA6368" s="385"/>
      <c r="BB6368" s="385"/>
      <c r="BC6368" s="385"/>
      <c r="BD6368" s="385"/>
      <c r="BE6368" s="397"/>
      <c r="BF6368" s="397"/>
      <c r="BG6368" s="397"/>
      <c r="BH6368" s="397"/>
      <c r="BI6368" s="397"/>
      <c r="BJ6368" s="397"/>
      <c r="BK6368" s="397"/>
      <c r="BL6368" s="397"/>
      <c r="BM6368" s="398"/>
      <c r="BN6368" s="398"/>
      <c r="BO6368" s="397"/>
      <c r="BP6368" s="398"/>
      <c r="BQ6368" s="398"/>
      <c r="BR6368" s="398"/>
      <c r="BS6368" s="397"/>
      <c r="BT6368" s="397"/>
      <c r="BU6368" s="397"/>
      <c r="BV6368" s="397"/>
      <c r="BW6368" s="397"/>
      <c r="BX6368" s="397"/>
      <c r="BY6368" s="397"/>
      <c r="CA6368" s="392" t="s">
        <v>408</v>
      </c>
      <c r="CB6368" s="402"/>
    </row>
    <row r="6369" spans="1:80" s="392" customFormat="1" ht="15" x14ac:dyDescent="0.25">
      <c r="A6369" s="430"/>
      <c r="B6369" s="386"/>
      <c r="C6369" s="386"/>
      <c r="D6369" s="434"/>
      <c r="E6369" s="385"/>
      <c r="F6369" s="432"/>
      <c r="G6369" s="388"/>
      <c r="H6369" s="388" t="s">
        <v>409</v>
      </c>
      <c r="I6369" s="388"/>
      <c r="J6369" s="388"/>
      <c r="K6369" s="388"/>
      <c r="L6369" s="672"/>
      <c r="M6369" s="673">
        <v>32638</v>
      </c>
      <c r="N6369" s="623">
        <v>1.198923207707566</v>
      </c>
      <c r="O6369" s="625">
        <v>2.358661949333333E-3</v>
      </c>
      <c r="P6369" s="390">
        <v>0.28000000000000003</v>
      </c>
      <c r="Q6369" s="390">
        <v>0.42</v>
      </c>
      <c r="R6369" s="390">
        <v>0.56999999999999995</v>
      </c>
      <c r="S6369" s="390">
        <v>1.27</v>
      </c>
      <c r="T6369" s="390">
        <v>1.94</v>
      </c>
      <c r="U6369" s="787"/>
      <c r="V6369" s="391"/>
      <c r="W6369" s="391"/>
      <c r="X6369" s="391"/>
      <c r="Y6369" s="792"/>
      <c r="Z6369" s="788">
        <v>5</v>
      </c>
      <c r="AA6369" s="391">
        <v>0.56999999999999995</v>
      </c>
      <c r="AC6369" s="388"/>
      <c r="AD6369" s="388">
        <v>7.4371200000000002</v>
      </c>
      <c r="AE6369" s="388">
        <v>0.24384000000000003</v>
      </c>
      <c r="AF6369" s="388">
        <v>1.81155</v>
      </c>
      <c r="AG6369" s="391">
        <v>0.661416</v>
      </c>
      <c r="AH6369" s="385"/>
      <c r="AI6369" s="385"/>
      <c r="AJ6369" s="385"/>
      <c r="AK6369" s="385"/>
      <c r="AL6369" s="385"/>
      <c r="AM6369" s="385"/>
      <c r="AN6369" s="385"/>
      <c r="AO6369" s="385"/>
      <c r="AP6369" s="385"/>
      <c r="AQ6369" s="386"/>
      <c r="AR6369" s="386"/>
      <c r="AS6369" s="386"/>
      <c r="AT6369" s="386"/>
      <c r="AU6369" s="385"/>
      <c r="AV6369" s="385"/>
      <c r="AW6369" s="385"/>
      <c r="AX6369" s="385"/>
      <c r="AY6369" s="385"/>
      <c r="AZ6369" s="385"/>
      <c r="BA6369" s="385"/>
      <c r="BB6369" s="385"/>
      <c r="BC6369" s="385"/>
      <c r="BD6369" s="385"/>
      <c r="BE6369" s="397"/>
      <c r="BF6369" s="397"/>
      <c r="BG6369" s="397"/>
      <c r="BH6369" s="397"/>
      <c r="BI6369" s="397"/>
      <c r="BJ6369" s="397"/>
      <c r="BK6369" s="397"/>
      <c r="BL6369" s="397"/>
      <c r="BM6369" s="398"/>
      <c r="BN6369" s="398"/>
      <c r="BO6369" s="397"/>
      <c r="BP6369" s="398"/>
      <c r="BQ6369" s="398"/>
      <c r="BR6369" s="398"/>
      <c r="BS6369" s="397"/>
      <c r="BT6369" s="397"/>
      <c r="BU6369" s="397"/>
      <c r="BV6369" s="397"/>
      <c r="BW6369" s="397"/>
      <c r="BX6369" s="397"/>
      <c r="BY6369" s="397"/>
      <c r="CA6369" s="392" t="s">
        <v>408</v>
      </c>
      <c r="CB6369" s="402"/>
    </row>
    <row r="6370" spans="1:80" s="392" customFormat="1" ht="15" x14ac:dyDescent="0.25">
      <c r="A6370" s="430"/>
      <c r="B6370" s="386"/>
      <c r="C6370" s="386"/>
      <c r="D6370" s="434"/>
      <c r="E6370" s="385"/>
      <c r="F6370" s="432"/>
      <c r="G6370" s="388"/>
      <c r="H6370" s="388" t="s">
        <v>410</v>
      </c>
      <c r="I6370" s="388"/>
      <c r="J6370" s="388"/>
      <c r="K6370" s="388"/>
      <c r="L6370" s="672"/>
      <c r="M6370" s="673">
        <v>32641</v>
      </c>
      <c r="N6370" s="623">
        <v>0.75857183338056111</v>
      </c>
      <c r="O6370" s="625">
        <v>3.7986590693333336E-3</v>
      </c>
      <c r="P6370" s="390">
        <v>0.51</v>
      </c>
      <c r="Q6370" s="390">
        <v>0.77</v>
      </c>
      <c r="R6370" s="390">
        <v>1.04</v>
      </c>
      <c r="S6370" s="390">
        <v>1.99</v>
      </c>
      <c r="T6370" s="390">
        <v>3.62</v>
      </c>
      <c r="U6370" s="787"/>
      <c r="V6370" s="391"/>
      <c r="W6370" s="391"/>
      <c r="X6370" s="391"/>
      <c r="Y6370" s="792"/>
      <c r="Z6370" s="788">
        <v>13</v>
      </c>
      <c r="AA6370" s="391">
        <v>1.04</v>
      </c>
      <c r="AC6370" s="388"/>
      <c r="AD6370" s="388">
        <v>6.7970400000000009</v>
      </c>
      <c r="AE6370" s="388">
        <v>0.210312</v>
      </c>
      <c r="AF6370" s="388">
        <v>1.426944</v>
      </c>
      <c r="AG6370" s="391">
        <v>0.53035200000000005</v>
      </c>
      <c r="AH6370" s="385"/>
      <c r="AI6370" s="385"/>
      <c r="AJ6370" s="385"/>
      <c r="AK6370" s="385"/>
      <c r="AL6370" s="385"/>
      <c r="AM6370" s="385"/>
      <c r="AN6370" s="385"/>
      <c r="AO6370" s="385"/>
      <c r="AP6370" s="385"/>
      <c r="AQ6370" s="386"/>
      <c r="AR6370" s="386"/>
      <c r="AS6370" s="386"/>
      <c r="AT6370" s="386"/>
      <c r="AU6370" s="385"/>
      <c r="AV6370" s="385"/>
      <c r="AW6370" s="385"/>
      <c r="AX6370" s="385"/>
      <c r="AY6370" s="385"/>
      <c r="AZ6370" s="385"/>
      <c r="BA6370" s="385"/>
      <c r="BB6370" s="385"/>
      <c r="BC6370" s="385"/>
      <c r="BD6370" s="385"/>
      <c r="BE6370" s="397"/>
      <c r="BF6370" s="397"/>
      <c r="BG6370" s="397"/>
      <c r="BH6370" s="397"/>
      <c r="BI6370" s="397"/>
      <c r="BJ6370" s="397"/>
      <c r="BK6370" s="397"/>
      <c r="BL6370" s="397"/>
      <c r="BM6370" s="398"/>
      <c r="BN6370" s="398"/>
      <c r="BO6370" s="397"/>
      <c r="BP6370" s="398"/>
      <c r="BQ6370" s="398"/>
      <c r="BR6370" s="398"/>
      <c r="BS6370" s="397"/>
      <c r="BT6370" s="397"/>
      <c r="BU6370" s="397"/>
      <c r="BV6370" s="397"/>
      <c r="BW6370" s="397"/>
      <c r="BX6370" s="397"/>
      <c r="BY6370" s="397"/>
      <c r="CA6370" s="392" t="s">
        <v>408</v>
      </c>
      <c r="CB6370" s="402"/>
    </row>
    <row r="6371" spans="1:80" s="392" customFormat="1" ht="15" x14ac:dyDescent="0.25">
      <c r="A6371" s="430"/>
      <c r="B6371" s="386"/>
      <c r="C6371" s="386"/>
      <c r="D6371" s="434"/>
      <c r="E6371" s="385"/>
      <c r="F6371" s="432"/>
      <c r="G6371" s="388"/>
      <c r="H6371" s="388" t="s">
        <v>410</v>
      </c>
      <c r="I6371" s="388"/>
      <c r="J6371" s="388"/>
      <c r="K6371" s="388"/>
      <c r="L6371" s="672"/>
      <c r="M6371" s="673">
        <v>32642</v>
      </c>
      <c r="N6371" s="623">
        <v>1.1623689430433553</v>
      </c>
      <c r="O6371" s="625">
        <v>2.2276980445949997E-2</v>
      </c>
      <c r="P6371" s="390">
        <v>0.55000000000000004</v>
      </c>
      <c r="Q6371" s="390">
        <v>0.9</v>
      </c>
      <c r="R6371" s="390">
        <v>1.22</v>
      </c>
      <c r="S6371" s="390">
        <v>2.8</v>
      </c>
      <c r="T6371" s="390">
        <v>5.36</v>
      </c>
      <c r="U6371" s="787"/>
      <c r="V6371" s="391"/>
      <c r="W6371" s="391"/>
      <c r="X6371" s="391"/>
      <c r="Y6371" s="792"/>
      <c r="Z6371" s="788">
        <v>17</v>
      </c>
      <c r="AA6371" s="391">
        <v>1.22</v>
      </c>
      <c r="AC6371" s="388"/>
      <c r="AD6371" s="388">
        <v>7.4066400000000003</v>
      </c>
      <c r="AE6371" s="388">
        <v>0.23774400000000001</v>
      </c>
      <c r="AF6371" s="388">
        <v>1.7613840000000001</v>
      </c>
      <c r="AG6371" s="391">
        <v>0.65836800000000006</v>
      </c>
      <c r="AH6371" s="397"/>
      <c r="AQ6371" s="397"/>
      <c r="AR6371" s="397"/>
      <c r="AS6371" s="397"/>
      <c r="AT6371" s="397"/>
      <c r="BE6371" s="397"/>
      <c r="BF6371" s="397"/>
      <c r="BG6371" s="397"/>
      <c r="BH6371" s="397"/>
      <c r="BI6371" s="397"/>
      <c r="BJ6371" s="397"/>
      <c r="BK6371" s="397"/>
      <c r="BL6371" s="397"/>
      <c r="BM6371" s="398"/>
      <c r="BN6371" s="398"/>
      <c r="BO6371" s="397"/>
      <c r="BP6371" s="398"/>
      <c r="BQ6371" s="398"/>
      <c r="BR6371" s="398"/>
      <c r="BS6371" s="397"/>
      <c r="BT6371" s="397"/>
      <c r="BU6371" s="397"/>
      <c r="BV6371" s="397"/>
      <c r="BW6371" s="397"/>
      <c r="BX6371" s="397"/>
      <c r="BY6371" s="397"/>
      <c r="CA6371" s="392" t="s">
        <v>408</v>
      </c>
      <c r="CB6371" s="402"/>
    </row>
    <row r="6372" spans="1:80" s="392" customFormat="1" ht="15" x14ac:dyDescent="0.25">
      <c r="A6372" s="430"/>
      <c r="B6372" s="386"/>
      <c r="C6372" s="386"/>
      <c r="D6372" s="434"/>
      <c r="E6372" s="385"/>
      <c r="F6372" s="432"/>
      <c r="G6372" s="388"/>
      <c r="H6372" s="388" t="s">
        <v>410</v>
      </c>
      <c r="I6372" s="388"/>
      <c r="J6372" s="388"/>
      <c r="K6372" s="388"/>
      <c r="L6372" s="672"/>
      <c r="M6372" s="673">
        <v>32645</v>
      </c>
      <c r="N6372" s="623">
        <v>1.5466137716066874</v>
      </c>
      <c r="O6372" s="625">
        <v>2.2808054383799996E-2</v>
      </c>
      <c r="P6372" s="390">
        <v>0.48</v>
      </c>
      <c r="Q6372" s="390">
        <v>0.79</v>
      </c>
      <c r="R6372" s="390">
        <v>1.1299999999999999</v>
      </c>
      <c r="S6372" s="390">
        <v>3.59</v>
      </c>
      <c r="T6372" s="390">
        <v>10.78</v>
      </c>
      <c r="U6372" s="787"/>
      <c r="V6372" s="391"/>
      <c r="W6372" s="391"/>
      <c r="X6372" s="391"/>
      <c r="Y6372" s="792"/>
      <c r="Z6372" s="788">
        <v>24</v>
      </c>
      <c r="AA6372" s="391">
        <v>1.1299999999999999</v>
      </c>
      <c r="AC6372" s="388"/>
      <c r="AD6372" s="388">
        <v>7.6809599999999998</v>
      </c>
      <c r="AE6372" s="388">
        <v>0.30419040000000003</v>
      </c>
      <c r="AF6372" s="388">
        <v>2.3364349999999998</v>
      </c>
      <c r="AG6372" s="391">
        <v>0.661416</v>
      </c>
      <c r="AH6372" s="397"/>
      <c r="AQ6372" s="397"/>
      <c r="AR6372" s="397"/>
      <c r="AS6372" s="397"/>
      <c r="AT6372" s="397"/>
      <c r="BE6372" s="397"/>
      <c r="BF6372" s="397"/>
      <c r="BG6372" s="397"/>
      <c r="BH6372" s="397"/>
      <c r="BI6372" s="397"/>
      <c r="BJ6372" s="397"/>
      <c r="BK6372" s="397"/>
      <c r="BL6372" s="397"/>
      <c r="BM6372" s="398"/>
      <c r="BN6372" s="398"/>
      <c r="BO6372" s="397"/>
      <c r="BP6372" s="398"/>
      <c r="BQ6372" s="398"/>
      <c r="BR6372" s="398"/>
      <c r="BS6372" s="397"/>
      <c r="BT6372" s="397"/>
      <c r="BU6372" s="397"/>
      <c r="BV6372" s="397"/>
      <c r="BW6372" s="397"/>
      <c r="BX6372" s="397"/>
      <c r="BY6372" s="397"/>
      <c r="CA6372" s="392" t="s">
        <v>408</v>
      </c>
      <c r="CB6372" s="402"/>
    </row>
    <row r="6373" spans="1:80" s="392" customFormat="1" ht="15" x14ac:dyDescent="0.25">
      <c r="A6373" s="430"/>
      <c r="B6373" s="386"/>
      <c r="C6373" s="386"/>
      <c r="D6373" s="434"/>
      <c r="E6373" s="385"/>
      <c r="F6373" s="432"/>
      <c r="G6373" s="388"/>
      <c r="H6373" s="388" t="s">
        <v>410</v>
      </c>
      <c r="I6373" s="388"/>
      <c r="J6373" s="388"/>
      <c r="K6373" s="388"/>
      <c r="L6373" s="672"/>
      <c r="M6373" s="673">
        <v>32647</v>
      </c>
      <c r="N6373" s="623">
        <v>2.8543496741286485</v>
      </c>
      <c r="O6373" s="625">
        <v>7.283422933125E-2</v>
      </c>
      <c r="P6373" s="390">
        <v>0.38</v>
      </c>
      <c r="Q6373" s="390">
        <v>0.62</v>
      </c>
      <c r="R6373" s="390">
        <v>0.82</v>
      </c>
      <c r="S6373" s="390">
        <v>1.82</v>
      </c>
      <c r="T6373" s="390">
        <v>3.44</v>
      </c>
      <c r="U6373" s="787"/>
      <c r="V6373" s="391"/>
      <c r="W6373" s="391"/>
      <c r="X6373" s="391"/>
      <c r="Y6373" s="792"/>
      <c r="Z6373" s="788">
        <v>13</v>
      </c>
      <c r="AA6373" s="391">
        <v>0.82</v>
      </c>
      <c r="AC6373" s="388"/>
      <c r="AD6373" s="388">
        <v>7.7724000000000002</v>
      </c>
      <c r="AE6373" s="388">
        <v>0.420624</v>
      </c>
      <c r="AF6373" s="388">
        <v>3.2784409999999999</v>
      </c>
      <c r="AG6373" s="391">
        <v>0.86868000000000012</v>
      </c>
      <c r="AH6373" s="397"/>
      <c r="AQ6373" s="397"/>
      <c r="AR6373" s="397"/>
      <c r="AS6373" s="397"/>
      <c r="AT6373" s="397"/>
      <c r="BE6373" s="397"/>
      <c r="BF6373" s="397"/>
      <c r="BG6373" s="397"/>
      <c r="BH6373" s="397"/>
      <c r="BI6373" s="397"/>
      <c r="BJ6373" s="397"/>
      <c r="BK6373" s="397"/>
      <c r="BL6373" s="397"/>
      <c r="BM6373" s="398"/>
      <c r="BN6373" s="398"/>
      <c r="BO6373" s="397"/>
      <c r="BP6373" s="398"/>
      <c r="BQ6373" s="398"/>
      <c r="BR6373" s="398"/>
      <c r="BS6373" s="397"/>
      <c r="BT6373" s="397"/>
      <c r="BU6373" s="397"/>
      <c r="BV6373" s="397"/>
      <c r="BW6373" s="397"/>
      <c r="BX6373" s="397"/>
      <c r="BY6373" s="397"/>
      <c r="CA6373" s="392" t="s">
        <v>408</v>
      </c>
      <c r="CB6373" s="402"/>
    </row>
    <row r="6374" spans="1:80" s="392" customFormat="1" ht="15" x14ac:dyDescent="0.25">
      <c r="A6374" s="430"/>
      <c r="B6374" s="386"/>
      <c r="C6374" s="386"/>
      <c r="D6374" s="434"/>
      <c r="E6374" s="385"/>
      <c r="F6374" s="432"/>
      <c r="G6374" s="388"/>
      <c r="H6374" s="388" t="s">
        <v>410</v>
      </c>
      <c r="I6374" s="388"/>
      <c r="J6374" s="388"/>
      <c r="K6374" s="388"/>
      <c r="L6374" s="672"/>
      <c r="M6374" s="673">
        <v>32649</v>
      </c>
      <c r="N6374" s="623">
        <v>1.3312553131198639</v>
      </c>
      <c r="O6374" s="625">
        <v>3.8030607271966665E-2</v>
      </c>
      <c r="P6374" s="390">
        <v>0.52</v>
      </c>
      <c r="Q6374" s="390">
        <v>0.81</v>
      </c>
      <c r="R6374" s="390">
        <v>1.1100000000000001</v>
      </c>
      <c r="S6374" s="390">
        <v>2.35</v>
      </c>
      <c r="T6374" s="390">
        <v>3.9</v>
      </c>
      <c r="U6374" s="787"/>
      <c r="V6374" s="391"/>
      <c r="W6374" s="391"/>
      <c r="X6374" s="391"/>
      <c r="Y6374" s="792"/>
      <c r="Z6374" s="788">
        <v>16</v>
      </c>
      <c r="AA6374" s="391">
        <v>1.1100000000000001</v>
      </c>
      <c r="AC6374" s="388"/>
      <c r="AD6374" s="388">
        <v>7.6504800000000008</v>
      </c>
      <c r="AE6374" s="388">
        <v>0.277368</v>
      </c>
      <c r="AF6374" s="388">
        <v>2.1134749999999998</v>
      </c>
      <c r="AG6374" s="391">
        <v>0.63093599999999994</v>
      </c>
      <c r="AH6374" s="397"/>
      <c r="AQ6374" s="397"/>
      <c r="AR6374" s="397"/>
      <c r="AS6374" s="397"/>
      <c r="AT6374" s="397"/>
      <c r="BE6374" s="397"/>
      <c r="BF6374" s="397"/>
      <c r="BG6374" s="397"/>
      <c r="BH6374" s="397"/>
      <c r="BI6374" s="397"/>
      <c r="BJ6374" s="397"/>
      <c r="BK6374" s="397"/>
      <c r="BL6374" s="397"/>
      <c r="BM6374" s="398"/>
      <c r="BN6374" s="398"/>
      <c r="BO6374" s="397"/>
      <c r="BP6374" s="398"/>
      <c r="BQ6374" s="398"/>
      <c r="BR6374" s="398"/>
      <c r="BS6374" s="397"/>
      <c r="BT6374" s="397"/>
      <c r="BU6374" s="397"/>
      <c r="BV6374" s="397"/>
      <c r="BW6374" s="397"/>
      <c r="BX6374" s="397"/>
      <c r="BY6374" s="397"/>
      <c r="CA6374" s="392" t="s">
        <v>408</v>
      </c>
      <c r="CB6374" s="402"/>
    </row>
    <row r="6375" spans="1:80" s="392" customFormat="1" ht="15" x14ac:dyDescent="0.25">
      <c r="A6375" s="430"/>
      <c r="B6375" s="386"/>
      <c r="C6375" s="386"/>
      <c r="D6375" s="434"/>
      <c r="E6375" s="385"/>
      <c r="F6375" s="432"/>
      <c r="G6375" s="388"/>
      <c r="H6375" s="388" t="s">
        <v>410</v>
      </c>
      <c r="I6375" s="388"/>
      <c r="J6375" s="388"/>
      <c r="K6375" s="388"/>
      <c r="L6375" s="672"/>
      <c r="M6375" s="673">
        <v>32651</v>
      </c>
      <c r="N6375" s="623">
        <v>1.2315103428733354</v>
      </c>
      <c r="O6375" s="625">
        <v>1.7351115297699997E-2</v>
      </c>
      <c r="P6375" s="390">
        <v>0.44</v>
      </c>
      <c r="Q6375" s="390">
        <v>0.71</v>
      </c>
      <c r="R6375" s="390">
        <v>0.97</v>
      </c>
      <c r="S6375" s="390">
        <v>2.17</v>
      </c>
      <c r="T6375" s="390">
        <v>4.3600000000000003</v>
      </c>
      <c r="U6375" s="787"/>
      <c r="V6375" s="391"/>
      <c r="W6375" s="391"/>
      <c r="X6375" s="391"/>
      <c r="Y6375" s="792"/>
      <c r="Z6375" s="788">
        <v>11</v>
      </c>
      <c r="AA6375" s="391">
        <v>0.97</v>
      </c>
      <c r="AC6375" s="388"/>
      <c r="AD6375" s="388">
        <v>7.5895200000000003</v>
      </c>
      <c r="AE6375" s="388">
        <v>0.24384000000000003</v>
      </c>
      <c r="AF6375" s="388">
        <v>1.8422069999999997</v>
      </c>
      <c r="AG6375" s="391">
        <v>0.66751199999999999</v>
      </c>
      <c r="AH6375" s="397"/>
      <c r="AQ6375" s="397"/>
      <c r="AR6375" s="397"/>
      <c r="AS6375" s="397"/>
      <c r="AT6375" s="397"/>
      <c r="AU6375" s="385"/>
      <c r="AV6375" s="385"/>
      <c r="AW6375" s="385"/>
      <c r="AX6375" s="385"/>
      <c r="BE6375" s="397"/>
      <c r="BF6375" s="397"/>
      <c r="BG6375" s="397"/>
      <c r="BH6375" s="397"/>
      <c r="BI6375" s="397"/>
      <c r="BJ6375" s="397"/>
      <c r="BK6375" s="397"/>
      <c r="BL6375" s="397"/>
      <c r="BM6375" s="398"/>
      <c r="BN6375" s="398"/>
      <c r="BO6375" s="397"/>
      <c r="BP6375" s="398"/>
      <c r="BQ6375" s="398"/>
      <c r="BR6375" s="398"/>
      <c r="BS6375" s="397"/>
      <c r="BT6375" s="397"/>
      <c r="BU6375" s="397"/>
      <c r="BV6375" s="397"/>
      <c r="BW6375" s="397"/>
      <c r="BX6375" s="397"/>
      <c r="BY6375" s="397"/>
      <c r="CA6375" s="392" t="s">
        <v>408</v>
      </c>
      <c r="CB6375" s="402"/>
    </row>
    <row r="6376" spans="1:80" s="392" customFormat="1" ht="15" x14ac:dyDescent="0.25">
      <c r="A6376" s="430"/>
      <c r="B6376" s="386"/>
      <c r="C6376" s="386"/>
      <c r="D6376" s="434"/>
      <c r="E6376" s="385"/>
      <c r="F6376" s="432"/>
      <c r="G6376" s="388"/>
      <c r="H6376" s="388" t="s">
        <v>410</v>
      </c>
      <c r="I6376" s="388"/>
      <c r="J6376" s="388"/>
      <c r="K6376" s="388"/>
      <c r="L6376" s="672"/>
      <c r="M6376" s="673">
        <v>32653</v>
      </c>
      <c r="N6376" s="623">
        <v>1.1428166619438935</v>
      </c>
      <c r="O6376" s="625">
        <v>4.9713567239333331E-2</v>
      </c>
      <c r="P6376" s="390">
        <v>0.55000000000000004</v>
      </c>
      <c r="Q6376" s="390">
        <v>0.88</v>
      </c>
      <c r="R6376" s="390">
        <v>1.21</v>
      </c>
      <c r="S6376" s="390">
        <v>1.91</v>
      </c>
      <c r="T6376" s="390">
        <v>5.07</v>
      </c>
      <c r="U6376" s="787"/>
      <c r="V6376" s="391"/>
      <c r="W6376" s="391"/>
      <c r="X6376" s="391"/>
      <c r="Y6376" s="792"/>
      <c r="Z6376" s="788">
        <v>14</v>
      </c>
      <c r="AA6376" s="391">
        <v>1.21</v>
      </c>
      <c r="AC6376" s="388"/>
      <c r="AD6376" s="388">
        <v>7.5590400000000004</v>
      </c>
      <c r="AE6376" s="388">
        <v>0.24079200000000003</v>
      </c>
      <c r="AF6376" s="388">
        <v>1.8087629999999999</v>
      </c>
      <c r="AG6376" s="391">
        <v>0.63093599999999994</v>
      </c>
      <c r="AH6376" s="397"/>
      <c r="AQ6376" s="397"/>
      <c r="AR6376" s="397"/>
      <c r="AS6376" s="397"/>
      <c r="AT6376" s="397"/>
      <c r="AU6376" s="385"/>
      <c r="AV6376" s="385"/>
      <c r="AW6376" s="385"/>
      <c r="AX6376" s="385"/>
      <c r="BE6376" s="397"/>
      <c r="BF6376" s="397"/>
      <c r="BG6376" s="397"/>
      <c r="BH6376" s="397"/>
      <c r="BI6376" s="397"/>
      <c r="BJ6376" s="397"/>
      <c r="BK6376" s="397"/>
      <c r="BL6376" s="397"/>
      <c r="BM6376" s="398"/>
      <c r="BN6376" s="398"/>
      <c r="BO6376" s="397"/>
      <c r="BP6376" s="398"/>
      <c r="BQ6376" s="398"/>
      <c r="BR6376" s="398"/>
      <c r="BS6376" s="397"/>
      <c r="BT6376" s="397"/>
      <c r="BU6376" s="397"/>
      <c r="BV6376" s="397"/>
      <c r="BW6376" s="397"/>
      <c r="BX6376" s="397"/>
      <c r="BY6376" s="397"/>
      <c r="CA6376" s="392" t="s">
        <v>408</v>
      </c>
      <c r="CB6376" s="402"/>
    </row>
    <row r="6377" spans="1:80" s="392" customFormat="1" ht="15" x14ac:dyDescent="0.25">
      <c r="A6377" s="430"/>
      <c r="B6377" s="386"/>
      <c r="C6377" s="386"/>
      <c r="D6377" s="434"/>
      <c r="E6377" s="385"/>
      <c r="F6377" s="432"/>
      <c r="G6377" s="388"/>
      <c r="H6377" s="388" t="s">
        <v>410</v>
      </c>
      <c r="I6377" s="388"/>
      <c r="J6377" s="388"/>
      <c r="K6377" s="388"/>
      <c r="L6377" s="672"/>
      <c r="M6377" s="673">
        <v>32655</v>
      </c>
      <c r="N6377" s="623">
        <v>1.5171436667611222</v>
      </c>
      <c r="O6377" s="625">
        <v>3.5472504054850001E-2</v>
      </c>
      <c r="P6377" s="390">
        <v>0.47</v>
      </c>
      <c r="Q6377" s="390">
        <v>0.79</v>
      </c>
      <c r="R6377" s="390">
        <v>1.1499999999999999</v>
      </c>
      <c r="S6377" s="390">
        <v>3.35</v>
      </c>
      <c r="T6377" s="390">
        <v>6.86</v>
      </c>
      <c r="U6377" s="787"/>
      <c r="V6377" s="391"/>
      <c r="W6377" s="391"/>
      <c r="X6377" s="391"/>
      <c r="Y6377" s="792"/>
      <c r="Z6377" s="788">
        <v>16</v>
      </c>
      <c r="AA6377" s="391">
        <v>1.1499999999999999</v>
      </c>
      <c r="AC6377" s="388"/>
      <c r="AD6377" s="388">
        <v>7.6504800000000008</v>
      </c>
      <c r="AE6377" s="388">
        <v>0.29565600000000003</v>
      </c>
      <c r="AF6377" s="388">
        <v>2.2565409999999999</v>
      </c>
      <c r="AG6377" s="391">
        <v>0.67056000000000004</v>
      </c>
      <c r="AH6377" s="397"/>
      <c r="AQ6377" s="397"/>
      <c r="AR6377" s="397"/>
      <c r="AS6377" s="397"/>
      <c r="AT6377" s="397"/>
      <c r="BE6377" s="397"/>
      <c r="BF6377" s="397"/>
      <c r="BG6377" s="397"/>
      <c r="BH6377" s="397"/>
      <c r="BI6377" s="397"/>
      <c r="BJ6377" s="397"/>
      <c r="BK6377" s="397"/>
      <c r="BL6377" s="397"/>
      <c r="BM6377" s="398"/>
      <c r="BN6377" s="398"/>
      <c r="BO6377" s="397"/>
      <c r="BP6377" s="398"/>
      <c r="BQ6377" s="398"/>
      <c r="BR6377" s="398"/>
      <c r="BS6377" s="397"/>
      <c r="BT6377" s="397"/>
      <c r="BU6377" s="397"/>
      <c r="BV6377" s="397"/>
      <c r="BW6377" s="397"/>
      <c r="BX6377" s="397"/>
      <c r="BY6377" s="397"/>
      <c r="CA6377" s="392" t="s">
        <v>408</v>
      </c>
      <c r="CB6377" s="402"/>
    </row>
    <row r="6378" spans="1:80" s="392" customFormat="1" ht="15" x14ac:dyDescent="0.25">
      <c r="A6378" s="430"/>
      <c r="B6378" s="386"/>
      <c r="C6378" s="386"/>
      <c r="D6378" s="434"/>
      <c r="E6378" s="385"/>
      <c r="F6378" s="432"/>
      <c r="G6378" s="388"/>
      <c r="H6378" s="388" t="s">
        <v>410</v>
      </c>
      <c r="I6378" s="388"/>
      <c r="J6378" s="388"/>
      <c r="K6378" s="388"/>
      <c r="L6378" s="672"/>
      <c r="M6378" s="673">
        <v>32657</v>
      </c>
      <c r="N6378" s="623">
        <v>1.1833380561065456</v>
      </c>
      <c r="O6378" s="625">
        <v>2.8076385513783334E-2</v>
      </c>
      <c r="P6378" s="390">
        <v>0.56000000000000005</v>
      </c>
      <c r="Q6378" s="390">
        <v>0.93</v>
      </c>
      <c r="R6378" s="390">
        <v>1.27</v>
      </c>
      <c r="S6378" s="390">
        <v>3.04</v>
      </c>
      <c r="T6378" s="390">
        <v>5.0999999999999996</v>
      </c>
      <c r="U6378" s="787"/>
      <c r="V6378" s="391"/>
      <c r="W6378" s="391"/>
      <c r="X6378" s="391"/>
      <c r="Y6378" s="792"/>
      <c r="Z6378" s="788">
        <v>18</v>
      </c>
      <c r="AA6378" s="391">
        <v>1.27</v>
      </c>
      <c r="AC6378" s="388"/>
      <c r="AD6378" s="388">
        <v>7.5895200000000003</v>
      </c>
      <c r="AE6378" s="388">
        <v>0.24384000000000003</v>
      </c>
      <c r="AF6378" s="388">
        <v>1.8422069999999997</v>
      </c>
      <c r="AG6378" s="391">
        <v>0.64008000000000009</v>
      </c>
      <c r="AH6378" s="397"/>
      <c r="AQ6378" s="397"/>
      <c r="AR6378" s="397"/>
      <c r="AS6378" s="397"/>
      <c r="AT6378" s="397"/>
      <c r="BE6378" s="397"/>
      <c r="BF6378" s="397"/>
      <c r="BG6378" s="397"/>
      <c r="BH6378" s="397"/>
      <c r="BI6378" s="397"/>
      <c r="BJ6378" s="397"/>
      <c r="BK6378" s="397"/>
      <c r="BL6378" s="397"/>
      <c r="BM6378" s="398"/>
      <c r="BN6378" s="398"/>
      <c r="BO6378" s="397"/>
      <c r="BP6378" s="398"/>
      <c r="BQ6378" s="398"/>
      <c r="BR6378" s="398"/>
      <c r="BS6378" s="397"/>
      <c r="BT6378" s="397"/>
      <c r="BU6378" s="397"/>
      <c r="BV6378" s="397"/>
      <c r="BW6378" s="397"/>
      <c r="BX6378" s="397"/>
      <c r="BY6378" s="397"/>
      <c r="CA6378" s="392" t="s">
        <v>408</v>
      </c>
      <c r="CB6378" s="402"/>
    </row>
    <row r="6379" spans="1:80" s="392" customFormat="1" ht="15" x14ac:dyDescent="0.25">
      <c r="A6379" s="430"/>
      <c r="B6379" s="386"/>
      <c r="C6379" s="386"/>
      <c r="D6379" s="434"/>
      <c r="E6379" s="385"/>
      <c r="F6379" s="432"/>
      <c r="G6379" s="388"/>
      <c r="H6379" s="388" t="s">
        <v>410</v>
      </c>
      <c r="I6379" s="388"/>
      <c r="J6379" s="388"/>
      <c r="K6379" s="388"/>
      <c r="L6379" s="672"/>
      <c r="M6379" s="673">
        <v>32660</v>
      </c>
      <c r="N6379" s="623">
        <v>1.0484556531595353</v>
      </c>
      <c r="O6379" s="625">
        <v>2.880716738555E-2</v>
      </c>
      <c r="P6379" s="390">
        <v>0.59</v>
      </c>
      <c r="Q6379" s="390">
        <v>0.97</v>
      </c>
      <c r="R6379" s="390">
        <v>1.29</v>
      </c>
      <c r="S6379" s="390">
        <v>2.94</v>
      </c>
      <c r="T6379" s="390">
        <v>4.74</v>
      </c>
      <c r="U6379" s="787"/>
      <c r="V6379" s="391"/>
      <c r="W6379" s="391"/>
      <c r="X6379" s="391"/>
      <c r="Y6379" s="792"/>
      <c r="Z6379" s="788">
        <v>10</v>
      </c>
      <c r="AA6379" s="391">
        <v>1.29</v>
      </c>
      <c r="AC6379" s="388"/>
      <c r="AD6379" s="388">
        <v>7.5895200000000003</v>
      </c>
      <c r="AE6379" s="388">
        <v>0.23469600000000002</v>
      </c>
      <c r="AF6379" s="388">
        <v>1.791112</v>
      </c>
      <c r="AG6379" s="391">
        <v>0.58521599999999996</v>
      </c>
      <c r="AH6379" s="397"/>
      <c r="AQ6379" s="397"/>
      <c r="AR6379" s="397"/>
      <c r="AS6379" s="397"/>
      <c r="AT6379" s="397"/>
      <c r="BE6379" s="397"/>
      <c r="BF6379" s="397"/>
      <c r="BG6379" s="397"/>
      <c r="BH6379" s="397"/>
      <c r="BI6379" s="397"/>
      <c r="BJ6379" s="397"/>
      <c r="BK6379" s="397"/>
      <c r="BL6379" s="397"/>
      <c r="BM6379" s="398"/>
      <c r="BN6379" s="398"/>
      <c r="BO6379" s="397"/>
      <c r="BP6379" s="398"/>
      <c r="BQ6379" s="398"/>
      <c r="BR6379" s="398"/>
      <c r="BS6379" s="397"/>
      <c r="BT6379" s="397"/>
      <c r="BU6379" s="397"/>
      <c r="BV6379" s="397"/>
      <c r="BW6379" s="397"/>
      <c r="BX6379" s="397"/>
      <c r="BY6379" s="397"/>
      <c r="CA6379" s="392" t="s">
        <v>408</v>
      </c>
      <c r="CB6379" s="402"/>
    </row>
    <row r="6380" spans="1:80" s="392" customFormat="1" ht="15" x14ac:dyDescent="0.25">
      <c r="A6380" s="430"/>
      <c r="B6380" s="386"/>
      <c r="C6380" s="386"/>
      <c r="D6380" s="434"/>
      <c r="E6380" s="385"/>
      <c r="F6380" s="432"/>
      <c r="G6380" s="388"/>
      <c r="H6380" s="388" t="s">
        <v>410</v>
      </c>
      <c r="I6380" s="388"/>
      <c r="J6380" s="388"/>
      <c r="K6380" s="388"/>
      <c r="L6380" s="672"/>
      <c r="M6380" s="673">
        <v>32683</v>
      </c>
      <c r="N6380" s="623">
        <v>4.1105128931708705</v>
      </c>
      <c r="O6380" s="625">
        <v>0.40546905572693337</v>
      </c>
      <c r="P6380" s="390">
        <v>0.57999999999999996</v>
      </c>
      <c r="Q6380" s="390">
        <v>1.04</v>
      </c>
      <c r="R6380" s="390">
        <v>1.45</v>
      </c>
      <c r="S6380" s="390">
        <v>3.71</v>
      </c>
      <c r="T6380" s="390">
        <v>6.67</v>
      </c>
      <c r="U6380" s="787"/>
      <c r="V6380" s="391"/>
      <c r="W6380" s="391"/>
      <c r="X6380" s="391"/>
      <c r="Y6380" s="792"/>
      <c r="Z6380" s="788">
        <v>30</v>
      </c>
      <c r="AA6380" s="391">
        <v>1.45</v>
      </c>
      <c r="AC6380" s="388"/>
      <c r="AD6380" s="388">
        <v>7.8028800000000009</v>
      </c>
      <c r="AE6380" s="388">
        <v>0.52730399999999999</v>
      </c>
      <c r="AF6380" s="388">
        <v>4.1173279999999997</v>
      </c>
      <c r="AG6380" s="391">
        <v>0.99669600000000003</v>
      </c>
      <c r="AH6380" s="397"/>
      <c r="AQ6380" s="397"/>
      <c r="AR6380" s="397"/>
      <c r="AS6380" s="397"/>
      <c r="AT6380" s="397"/>
      <c r="BE6380" s="397"/>
      <c r="BF6380" s="397"/>
      <c r="BG6380" s="397"/>
      <c r="BH6380" s="397"/>
      <c r="BI6380" s="397"/>
      <c r="BJ6380" s="397"/>
      <c r="BK6380" s="397"/>
      <c r="BL6380" s="397"/>
      <c r="BM6380" s="398"/>
      <c r="BN6380" s="398"/>
      <c r="BO6380" s="397"/>
      <c r="BP6380" s="398"/>
      <c r="BQ6380" s="398"/>
      <c r="BR6380" s="398"/>
      <c r="BS6380" s="397"/>
      <c r="BT6380" s="397"/>
      <c r="BU6380" s="397"/>
      <c r="BV6380" s="397"/>
      <c r="BW6380" s="397"/>
      <c r="BX6380" s="397"/>
      <c r="BY6380" s="397"/>
      <c r="CA6380" s="392" t="s">
        <v>408</v>
      </c>
      <c r="CB6380" s="402"/>
    </row>
    <row r="6381" spans="1:80" s="392" customFormat="1" ht="15" x14ac:dyDescent="0.25">
      <c r="A6381" s="430"/>
      <c r="B6381" s="386"/>
      <c r="C6381" s="386"/>
      <c r="D6381" s="434"/>
      <c r="E6381" s="385"/>
      <c r="F6381" s="432"/>
      <c r="G6381" s="388"/>
      <c r="H6381" s="388" t="s">
        <v>410</v>
      </c>
      <c r="I6381" s="388"/>
      <c r="J6381" s="388"/>
      <c r="K6381" s="388"/>
      <c r="L6381" s="672"/>
      <c r="M6381" s="673">
        <v>32684</v>
      </c>
      <c r="N6381" s="623">
        <v>2.1402663644091811</v>
      </c>
      <c r="O6381" s="625">
        <v>9.1069401194166649E-2</v>
      </c>
      <c r="P6381" s="390">
        <v>0.6</v>
      </c>
      <c r="Q6381" s="390">
        <v>1.1000000000000001</v>
      </c>
      <c r="R6381" s="390">
        <v>1.58</v>
      </c>
      <c r="S6381" s="390">
        <v>4.07</v>
      </c>
      <c r="T6381" s="390">
        <v>6.59</v>
      </c>
      <c r="U6381" s="787"/>
      <c r="V6381" s="391"/>
      <c r="W6381" s="391"/>
      <c r="X6381" s="391"/>
      <c r="Y6381" s="792"/>
      <c r="Z6381" s="788">
        <v>19</v>
      </c>
      <c r="AA6381" s="391">
        <v>1.58</v>
      </c>
      <c r="AC6381" s="388"/>
      <c r="AD6381" s="388">
        <v>7.7419200000000004</v>
      </c>
      <c r="AE6381" s="388">
        <v>0.36880800000000002</v>
      </c>
      <c r="AF6381" s="388">
        <v>2.8464559999999999</v>
      </c>
      <c r="AG6381" s="391">
        <v>0.75285600000000008</v>
      </c>
      <c r="AH6381" s="397"/>
      <c r="AQ6381" s="397"/>
      <c r="AR6381" s="397"/>
      <c r="AS6381" s="397"/>
      <c r="AT6381" s="397"/>
      <c r="BE6381" s="397"/>
      <c r="BF6381" s="397"/>
      <c r="BG6381" s="397"/>
      <c r="BH6381" s="397"/>
      <c r="BI6381" s="397"/>
      <c r="BJ6381" s="397"/>
      <c r="BK6381" s="397"/>
      <c r="BL6381" s="397"/>
      <c r="BM6381" s="398"/>
      <c r="BN6381" s="398"/>
      <c r="BO6381" s="397"/>
      <c r="BP6381" s="398"/>
      <c r="BQ6381" s="398"/>
      <c r="BR6381" s="398"/>
      <c r="BS6381" s="397"/>
      <c r="BT6381" s="397"/>
      <c r="BU6381" s="397"/>
      <c r="BV6381" s="397"/>
      <c r="BW6381" s="397"/>
      <c r="BX6381" s="397"/>
      <c r="BY6381" s="397"/>
      <c r="CA6381" s="392" t="s">
        <v>408</v>
      </c>
      <c r="CB6381" s="402"/>
    </row>
    <row r="6382" spans="1:80" s="392" customFormat="1" ht="15" x14ac:dyDescent="0.25">
      <c r="A6382" s="430"/>
      <c r="B6382" s="386"/>
      <c r="C6382" s="386"/>
      <c r="D6382" s="434"/>
      <c r="E6382" s="385"/>
      <c r="F6382" s="432"/>
      <c r="G6382" s="399"/>
      <c r="H6382" s="399" t="s">
        <v>410</v>
      </c>
      <c r="I6382" s="399"/>
      <c r="J6382" s="399"/>
      <c r="K6382" s="399"/>
      <c r="L6382" s="672"/>
      <c r="M6382" s="673">
        <v>32698</v>
      </c>
      <c r="N6382" s="623">
        <v>0.90875602153584589</v>
      </c>
      <c r="O6382" s="625">
        <v>2.7566328200566665E-2</v>
      </c>
      <c r="P6382" s="390">
        <v>0.44</v>
      </c>
      <c r="Q6382" s="390">
        <v>0.7</v>
      </c>
      <c r="R6382" s="390">
        <v>0.94</v>
      </c>
      <c r="S6382" s="390">
        <v>3.22</v>
      </c>
      <c r="T6382" s="390">
        <v>6.74</v>
      </c>
      <c r="U6382" s="787"/>
      <c r="V6382" s="793"/>
      <c r="W6382" s="793"/>
      <c r="X6382" s="793"/>
      <c r="Y6382" s="794"/>
      <c r="Z6382" s="788">
        <v>16</v>
      </c>
      <c r="AA6382" s="391">
        <v>0.94</v>
      </c>
      <c r="AC6382" s="388"/>
      <c r="AD6382" s="388">
        <v>7.3456800000000007</v>
      </c>
      <c r="AE6382" s="388">
        <v>0.24384000000000003</v>
      </c>
      <c r="AF6382" s="388">
        <v>1.7873959999999998</v>
      </c>
      <c r="AG6382" s="391">
        <v>0.50901600000000002</v>
      </c>
      <c r="AH6382" s="397"/>
      <c r="AQ6382" s="397"/>
      <c r="AR6382" s="397"/>
      <c r="AS6382" s="397"/>
      <c r="AT6382" s="397"/>
      <c r="BE6382" s="397"/>
      <c r="BF6382" s="397"/>
      <c r="BG6382" s="397"/>
      <c r="BH6382" s="397"/>
      <c r="BI6382" s="397"/>
      <c r="BJ6382" s="397"/>
      <c r="BK6382" s="397"/>
      <c r="BL6382" s="397"/>
      <c r="BM6382" s="398"/>
      <c r="BN6382" s="398"/>
      <c r="BO6382" s="397"/>
      <c r="BP6382" s="398"/>
      <c r="BQ6382" s="398"/>
      <c r="BR6382" s="398"/>
      <c r="BS6382" s="397"/>
      <c r="BT6382" s="397"/>
      <c r="BU6382" s="397"/>
      <c r="BV6382" s="397"/>
      <c r="BW6382" s="397"/>
      <c r="BX6382" s="397"/>
      <c r="BY6382" s="397"/>
      <c r="CA6382" s="392" t="s">
        <v>408</v>
      </c>
      <c r="CB6382" s="402"/>
    </row>
    <row r="6383" spans="1:80" s="189" customFormat="1" ht="15.75" thickBot="1" x14ac:dyDescent="0.3">
      <c r="A6383" s="24" t="s">
        <v>422</v>
      </c>
      <c r="B6383" s="14" t="s">
        <v>34</v>
      </c>
      <c r="C6383" s="14"/>
      <c r="D6383" s="4">
        <f>VLOOKUP(E6383,'Quality Code'!D4:E24,2,TRUE)*VLOOKUP(MROUND(F6383,10),'Quality Code'!D28:E69,2,TRUE)*VLOOKUP(COUNTA(CB6383:CB6393),'Quality Code'!D73:E93,2,TRUE)</f>
        <v>0.4</v>
      </c>
      <c r="E6383" s="14">
        <v>0.8</v>
      </c>
      <c r="F6383" s="18">
        <v>18</v>
      </c>
      <c r="G6383" s="2"/>
      <c r="H6383" s="2" t="s">
        <v>105</v>
      </c>
      <c r="I6383" s="2"/>
      <c r="J6383" s="2"/>
      <c r="K6383" s="2"/>
      <c r="L6383" s="640"/>
      <c r="M6383" s="640">
        <v>1989</v>
      </c>
      <c r="N6383" s="578" t="s">
        <v>110</v>
      </c>
      <c r="O6383" s="580"/>
      <c r="P6383" s="376" t="s">
        <v>402</v>
      </c>
      <c r="Q6383" s="376" t="s">
        <v>403</v>
      </c>
      <c r="R6383" s="376" t="s">
        <v>404</v>
      </c>
      <c r="S6383" s="376" t="s">
        <v>405</v>
      </c>
      <c r="T6383" s="26" t="s">
        <v>406</v>
      </c>
      <c r="U6383" s="10" t="s">
        <v>20</v>
      </c>
      <c r="V6383" s="786"/>
      <c r="W6383" s="786"/>
      <c r="X6383" s="786"/>
      <c r="Y6383" s="786"/>
      <c r="Z6383" s="26"/>
      <c r="AA6383" s="26"/>
      <c r="AB6383" s="377"/>
      <c r="AC6383" s="26">
        <v>6.8999999999999999E-3</v>
      </c>
      <c r="AD6383" s="26"/>
      <c r="AE6383" s="26"/>
      <c r="AF6383" s="26"/>
      <c r="AG6383" s="26"/>
      <c r="AH6383" s="4"/>
      <c r="AI6383" s="376">
        <v>7</v>
      </c>
      <c r="AJ6383" s="376"/>
      <c r="AK6383" s="376" t="s">
        <v>402</v>
      </c>
      <c r="AL6383" s="376" t="s">
        <v>403</v>
      </c>
      <c r="AM6383" s="376" t="s">
        <v>404</v>
      </c>
      <c r="AN6383" s="376" t="s">
        <v>405</v>
      </c>
      <c r="AO6383" s="376" t="s">
        <v>406</v>
      </c>
      <c r="AP6383" s="376"/>
      <c r="AQ6383" s="17"/>
      <c r="AR6383" s="552"/>
      <c r="AS6383" s="552"/>
      <c r="AT6383" s="552"/>
      <c r="AU6383" s="379">
        <v>92</v>
      </c>
      <c r="AV6383" s="17"/>
      <c r="AW6383" s="17"/>
      <c r="AX6383" s="17"/>
      <c r="AY6383" s="379" t="s">
        <v>402</v>
      </c>
      <c r="AZ6383" s="380" t="s">
        <v>403</v>
      </c>
      <c r="BA6383" s="380" t="s">
        <v>404</v>
      </c>
      <c r="BB6383" s="380" t="s">
        <v>405</v>
      </c>
      <c r="BC6383" s="380" t="s">
        <v>406</v>
      </c>
      <c r="BD6383" s="380" t="s">
        <v>411</v>
      </c>
      <c r="BE6383" s="4"/>
      <c r="BF6383" s="4"/>
      <c r="BG6383" s="4"/>
      <c r="BH6383" s="4"/>
      <c r="BI6383" s="12">
        <v>13.142857142857142</v>
      </c>
      <c r="BJ6383" s="2" t="s">
        <v>407</v>
      </c>
      <c r="BK6383" s="2" t="s">
        <v>55</v>
      </c>
      <c r="BL6383" s="4"/>
      <c r="BM6383" s="12">
        <v>5.988948359921582</v>
      </c>
      <c r="BN6383" s="12">
        <v>7.8943199999999996</v>
      </c>
      <c r="BO6383" s="12">
        <v>0.34598918918918919</v>
      </c>
      <c r="BP6383" s="12">
        <v>2.7312599999999998</v>
      </c>
      <c r="BQ6383" s="12">
        <v>22.816666666666666</v>
      </c>
      <c r="BR6383" s="12"/>
      <c r="BS6383" s="2"/>
      <c r="BT6383" s="9"/>
      <c r="BU6383" s="381"/>
      <c r="BV6383" s="382"/>
      <c r="BW6383" s="383"/>
      <c r="BX6383" s="383"/>
      <c r="BY6383" s="383"/>
      <c r="BZ6383" s="384"/>
      <c r="CA6383" s="411" t="s">
        <v>408</v>
      </c>
    </row>
    <row r="6384" spans="1:80" s="392" customFormat="1" ht="15" x14ac:dyDescent="0.25">
      <c r="A6384" s="430"/>
      <c r="B6384" s="386"/>
      <c r="C6384" s="386"/>
      <c r="D6384" s="434"/>
      <c r="E6384" s="385"/>
      <c r="F6384" s="432"/>
      <c r="G6384" s="165"/>
      <c r="H6384" s="165" t="s">
        <v>409</v>
      </c>
      <c r="I6384" s="165"/>
      <c r="J6384" s="165"/>
      <c r="K6384" s="165"/>
      <c r="L6384" s="672"/>
      <c r="M6384" s="673">
        <v>32617</v>
      </c>
      <c r="N6384" s="623">
        <v>1.82672967</v>
      </c>
      <c r="O6384" s="625">
        <v>4.929990139999999E-3</v>
      </c>
      <c r="P6384" s="390">
        <v>0.35</v>
      </c>
      <c r="Q6384" s="390">
        <v>0.64</v>
      </c>
      <c r="R6384" s="390">
        <v>0.99</v>
      </c>
      <c r="S6384" s="390">
        <v>2.63</v>
      </c>
      <c r="T6384" s="390">
        <v>3.9</v>
      </c>
      <c r="U6384" s="390"/>
      <c r="V6384" s="790"/>
      <c r="W6384" s="790"/>
      <c r="X6384" s="790"/>
      <c r="Y6384" s="791"/>
      <c r="Z6384" s="388">
        <v>7</v>
      </c>
      <c r="AA6384" s="391">
        <v>0.99</v>
      </c>
      <c r="AC6384" s="388"/>
      <c r="AD6384" s="388">
        <v>7.7724000000000002</v>
      </c>
      <c r="AE6384" s="388">
        <v>0.192024</v>
      </c>
      <c r="AF6384" s="388">
        <v>1.5012639999999999</v>
      </c>
      <c r="AG6384" s="391">
        <v>1.2161520000000001</v>
      </c>
      <c r="AH6384" s="393"/>
      <c r="AI6384" s="394"/>
      <c r="AJ6384" s="394"/>
      <c r="AK6384" s="394">
        <v>0.7</v>
      </c>
      <c r="AL6384" s="394">
        <v>3.1</v>
      </c>
      <c r="AM6384" s="394">
        <v>7</v>
      </c>
      <c r="AN6384" s="394">
        <v>29</v>
      </c>
      <c r="AO6384" s="394">
        <v>43</v>
      </c>
      <c r="AP6384" s="395" t="s">
        <v>20</v>
      </c>
      <c r="AQ6384" s="396"/>
      <c r="AR6384" s="396"/>
      <c r="AS6384" s="396"/>
      <c r="AT6384" s="396"/>
      <c r="AU6384" s="394"/>
      <c r="AV6384" s="394"/>
      <c r="AW6384" s="394"/>
      <c r="AX6384" s="394"/>
      <c r="AY6384" s="394">
        <v>2.2999999999999998</v>
      </c>
      <c r="AZ6384" s="394">
        <v>52</v>
      </c>
      <c r="BA6384" s="394">
        <v>92</v>
      </c>
      <c r="BB6384" s="394">
        <v>155</v>
      </c>
      <c r="BC6384" s="394">
        <v>180</v>
      </c>
      <c r="BD6384" s="395">
        <v>384</v>
      </c>
      <c r="BE6384" s="395" t="s">
        <v>20</v>
      </c>
      <c r="BF6384" s="554"/>
      <c r="BG6384" s="554"/>
      <c r="BH6384" s="554"/>
      <c r="BI6384" s="397"/>
      <c r="BJ6384" s="397"/>
      <c r="BK6384" s="397"/>
      <c r="BL6384" s="397"/>
      <c r="BM6384" s="398"/>
      <c r="BN6384" s="398"/>
      <c r="BO6384" s="397"/>
      <c r="BP6384" s="398"/>
      <c r="BQ6384" s="398"/>
      <c r="BR6384" s="398"/>
      <c r="BS6384" s="397"/>
      <c r="BT6384" s="397"/>
      <c r="BU6384" s="397"/>
      <c r="BV6384" s="397"/>
      <c r="BW6384" s="397"/>
      <c r="BX6384" s="397"/>
      <c r="BY6384" s="397"/>
      <c r="CA6384" s="392" t="s">
        <v>408</v>
      </c>
    </row>
    <row r="6385" spans="1:79" s="392" customFormat="1" ht="15" x14ac:dyDescent="0.25">
      <c r="A6385" s="430"/>
      <c r="B6385" s="386"/>
      <c r="C6385" s="386"/>
      <c r="D6385" s="434"/>
      <c r="E6385" s="385"/>
      <c r="F6385" s="432"/>
      <c r="G6385" s="165"/>
      <c r="H6385" s="165" t="s">
        <v>409</v>
      </c>
      <c r="I6385" s="165"/>
      <c r="J6385" s="165"/>
      <c r="K6385" s="165"/>
      <c r="L6385" s="672"/>
      <c r="M6385" s="673">
        <v>32620</v>
      </c>
      <c r="N6385" s="623">
        <v>2.3355861600000001</v>
      </c>
      <c r="O6385" s="625">
        <v>1.0879978240000001E-2</v>
      </c>
      <c r="P6385" s="390">
        <v>0.35</v>
      </c>
      <c r="Q6385" s="390">
        <v>0.6</v>
      </c>
      <c r="R6385" s="390">
        <v>0.83</v>
      </c>
      <c r="S6385" s="390">
        <v>2.2200000000000002</v>
      </c>
      <c r="T6385" s="390">
        <v>3.96</v>
      </c>
      <c r="U6385" s="390"/>
      <c r="V6385" s="391"/>
      <c r="W6385" s="391"/>
      <c r="X6385" s="391"/>
      <c r="Y6385" s="792"/>
      <c r="Z6385" s="388">
        <v>11</v>
      </c>
      <c r="AA6385" s="391">
        <v>0.83</v>
      </c>
      <c r="AC6385" s="388"/>
      <c r="AD6385" s="388">
        <v>7.7724000000000002</v>
      </c>
      <c r="AE6385" s="388">
        <v>0.29260799999999998</v>
      </c>
      <c r="AF6385" s="388">
        <v>2.2769789999999999</v>
      </c>
      <c r="AG6385" s="391">
        <v>1.0271760000000001</v>
      </c>
      <c r="AH6385" s="385"/>
      <c r="AI6385" s="385"/>
      <c r="AJ6385" s="385"/>
      <c r="AK6385" s="385"/>
      <c r="AL6385" s="385"/>
      <c r="AM6385" s="385"/>
      <c r="AN6385" s="385"/>
      <c r="AO6385" s="385"/>
      <c r="AP6385" s="385"/>
      <c r="AQ6385" s="385"/>
      <c r="AR6385" s="385"/>
      <c r="AS6385" s="385"/>
      <c r="AT6385" s="385"/>
      <c r="AU6385" s="385"/>
      <c r="AV6385" s="385"/>
      <c r="AW6385" s="385"/>
      <c r="AX6385" s="385"/>
      <c r="AY6385" s="385"/>
      <c r="AZ6385" s="385"/>
      <c r="BA6385" s="385"/>
      <c r="BB6385" s="385"/>
      <c r="BC6385" s="385"/>
      <c r="BD6385" s="385"/>
      <c r="BE6385" s="397"/>
      <c r="BF6385" s="397"/>
      <c r="BG6385" s="397"/>
      <c r="BH6385" s="397"/>
      <c r="BI6385" s="397"/>
      <c r="BJ6385" s="397"/>
      <c r="BK6385" s="397"/>
      <c r="BL6385" s="397"/>
      <c r="BM6385" s="398"/>
      <c r="BN6385" s="398"/>
      <c r="BO6385" s="397"/>
      <c r="BP6385" s="398"/>
      <c r="BQ6385" s="398"/>
      <c r="BR6385" s="398"/>
      <c r="BS6385" s="397"/>
      <c r="BT6385" s="397"/>
      <c r="BU6385" s="397"/>
      <c r="BV6385" s="397"/>
      <c r="BW6385" s="397"/>
      <c r="BX6385" s="397"/>
      <c r="BY6385" s="397"/>
      <c r="CA6385" s="392" t="s">
        <v>408</v>
      </c>
    </row>
    <row r="6386" spans="1:79" s="392" customFormat="1" ht="15" x14ac:dyDescent="0.25">
      <c r="A6386" s="430"/>
      <c r="B6386" s="386"/>
      <c r="C6386" s="386"/>
      <c r="D6386" s="434"/>
      <c r="E6386" s="385"/>
      <c r="F6386" s="432"/>
      <c r="G6386" s="165"/>
      <c r="H6386" s="165" t="s">
        <v>409</v>
      </c>
      <c r="I6386" s="165"/>
      <c r="J6386" s="165"/>
      <c r="K6386" s="165"/>
      <c r="L6386" s="672"/>
      <c r="M6386" s="673">
        <v>32623</v>
      </c>
      <c r="N6386" s="623">
        <v>1.60670658</v>
      </c>
      <c r="O6386" s="625">
        <v>1.9967960063999998E-3</v>
      </c>
      <c r="P6386" s="390">
        <v>0.3</v>
      </c>
      <c r="Q6386" s="390">
        <v>0.45</v>
      </c>
      <c r="R6386" s="390">
        <v>0.62</v>
      </c>
      <c r="S6386" s="390">
        <v>1.59</v>
      </c>
      <c r="T6386" s="390">
        <v>4.0999999999999996</v>
      </c>
      <c r="U6386" s="390"/>
      <c r="V6386" s="391"/>
      <c r="W6386" s="391"/>
      <c r="X6386" s="391"/>
      <c r="Y6386" s="792"/>
      <c r="Z6386" s="388">
        <v>8</v>
      </c>
      <c r="AA6386" s="391">
        <v>0.62</v>
      </c>
      <c r="AC6386" s="388"/>
      <c r="AD6386" s="388">
        <v>7.8028800000000009</v>
      </c>
      <c r="AE6386" s="388">
        <v>0.280416</v>
      </c>
      <c r="AF6386" s="388">
        <v>2.1803629999999998</v>
      </c>
      <c r="AG6386" s="391">
        <v>0.73761600000000005</v>
      </c>
      <c r="AH6386" s="385"/>
      <c r="AI6386" s="385"/>
      <c r="AJ6386" s="385"/>
      <c r="AK6386" s="385"/>
      <c r="AL6386" s="385"/>
      <c r="AM6386" s="385"/>
      <c r="AN6386" s="385"/>
      <c r="AO6386" s="385"/>
      <c r="AP6386" s="385"/>
      <c r="AQ6386" s="385"/>
      <c r="AR6386" s="385"/>
      <c r="AS6386" s="385"/>
      <c r="AT6386" s="385"/>
      <c r="AU6386" s="385"/>
      <c r="AV6386" s="385"/>
      <c r="AW6386" s="385"/>
      <c r="AX6386" s="385"/>
      <c r="AY6386" s="385"/>
      <c r="AZ6386" s="385"/>
      <c r="BA6386" s="385"/>
      <c r="BB6386" s="385"/>
      <c r="BC6386" s="385"/>
      <c r="BD6386" s="385"/>
      <c r="BE6386" s="397"/>
      <c r="BF6386" s="397"/>
      <c r="BG6386" s="397"/>
      <c r="BH6386" s="397"/>
      <c r="BI6386" s="397"/>
      <c r="BJ6386" s="397"/>
      <c r="BK6386" s="397"/>
      <c r="BL6386" s="397"/>
      <c r="BM6386" s="398"/>
      <c r="BN6386" s="398"/>
      <c r="BO6386" s="397"/>
      <c r="BP6386" s="398"/>
      <c r="BQ6386" s="398"/>
      <c r="BR6386" s="398"/>
      <c r="BS6386" s="397"/>
      <c r="BT6386" s="397"/>
      <c r="BU6386" s="397"/>
      <c r="BV6386" s="397"/>
      <c r="BW6386" s="397"/>
      <c r="BX6386" s="397"/>
      <c r="BY6386" s="397"/>
      <c r="CA6386" s="392" t="s">
        <v>408</v>
      </c>
    </row>
    <row r="6387" spans="1:79" s="392" customFormat="1" ht="15" x14ac:dyDescent="0.25">
      <c r="A6387" s="430"/>
      <c r="B6387" s="386"/>
      <c r="C6387" s="386"/>
      <c r="D6387" s="434"/>
      <c r="E6387" s="385"/>
      <c r="F6387" s="432"/>
      <c r="G6387" s="165"/>
      <c r="H6387" s="165" t="s">
        <v>409</v>
      </c>
      <c r="I6387" s="165"/>
      <c r="J6387" s="165"/>
      <c r="K6387" s="165"/>
      <c r="L6387" s="672"/>
      <c r="M6387" s="673">
        <v>32635</v>
      </c>
      <c r="N6387" s="623">
        <v>0.79542452999999991</v>
      </c>
      <c r="O6387" s="625">
        <v>1.151997696E-4</v>
      </c>
      <c r="P6387" s="390">
        <v>0.3</v>
      </c>
      <c r="Q6387" s="390">
        <v>0.48</v>
      </c>
      <c r="R6387" s="390">
        <v>0.75</v>
      </c>
      <c r="S6387" s="390">
        <v>1.94</v>
      </c>
      <c r="T6387" s="390">
        <v>3.69</v>
      </c>
      <c r="U6387" s="390"/>
      <c r="V6387" s="391"/>
      <c r="W6387" s="391"/>
      <c r="X6387" s="391"/>
      <c r="Y6387" s="792"/>
      <c r="Z6387" s="388">
        <v>5</v>
      </c>
      <c r="AA6387" s="391">
        <v>0.75</v>
      </c>
      <c r="AC6387" s="388"/>
      <c r="AD6387" s="388">
        <v>7.8028800000000009</v>
      </c>
      <c r="AE6387" s="388">
        <v>0.18592800000000001</v>
      </c>
      <c r="AF6387" s="388">
        <v>1.4436659999999999</v>
      </c>
      <c r="AG6387" s="391">
        <v>0.55168800000000007</v>
      </c>
      <c r="AH6387" s="385"/>
      <c r="AI6387" s="385"/>
      <c r="AJ6387" s="385"/>
      <c r="AK6387" s="385"/>
      <c r="AL6387" s="385"/>
      <c r="AM6387" s="385"/>
      <c r="AN6387" s="385"/>
      <c r="AO6387" s="385"/>
      <c r="AP6387" s="385"/>
      <c r="AQ6387" s="385"/>
      <c r="AR6387" s="385"/>
      <c r="AS6387" s="385"/>
      <c r="AT6387" s="385"/>
      <c r="AU6387" s="385"/>
      <c r="AV6387" s="385"/>
      <c r="AW6387" s="385"/>
      <c r="AX6387" s="385"/>
      <c r="AY6387" s="385"/>
      <c r="AZ6387" s="385"/>
      <c r="BA6387" s="385"/>
      <c r="BB6387" s="385"/>
      <c r="BC6387" s="385"/>
      <c r="BD6387" s="385"/>
      <c r="BE6387" s="397"/>
      <c r="BF6387" s="397"/>
      <c r="BG6387" s="397"/>
      <c r="BH6387" s="397"/>
      <c r="BI6387" s="397"/>
      <c r="BJ6387" s="397"/>
      <c r="BK6387" s="397"/>
      <c r="BL6387" s="397"/>
      <c r="BM6387" s="398"/>
      <c r="BN6387" s="398"/>
      <c r="BO6387" s="397"/>
      <c r="BP6387" s="398"/>
      <c r="BQ6387" s="398"/>
      <c r="BR6387" s="398"/>
      <c r="BS6387" s="397"/>
      <c r="BT6387" s="397"/>
      <c r="BU6387" s="397"/>
      <c r="BV6387" s="397"/>
      <c r="BW6387" s="397"/>
      <c r="BX6387" s="397"/>
      <c r="BY6387" s="397"/>
      <c r="CA6387" s="392" t="s">
        <v>408</v>
      </c>
    </row>
    <row r="6388" spans="1:79" s="392" customFormat="1" ht="15" x14ac:dyDescent="0.25">
      <c r="A6388" s="430"/>
      <c r="B6388" s="386"/>
      <c r="C6388" s="386"/>
      <c r="D6388" s="434"/>
      <c r="E6388" s="385"/>
      <c r="F6388" s="432"/>
      <c r="G6388" s="165"/>
      <c r="H6388" s="165" t="s">
        <v>409</v>
      </c>
      <c r="I6388" s="165"/>
      <c r="J6388" s="165"/>
      <c r="K6388" s="165"/>
      <c r="L6388" s="672"/>
      <c r="M6388" s="673">
        <v>32638</v>
      </c>
      <c r="N6388" s="623">
        <v>1.2620886899999999</v>
      </c>
      <c r="O6388" s="625">
        <v>2.4777450445E-3</v>
      </c>
      <c r="P6388" s="390">
        <v>0.46</v>
      </c>
      <c r="Q6388" s="390">
        <v>1.1000000000000001</v>
      </c>
      <c r="R6388" s="390">
        <v>1.74</v>
      </c>
      <c r="S6388" s="390">
        <v>3.65</v>
      </c>
      <c r="T6388" s="390">
        <v>5.54</v>
      </c>
      <c r="U6388" s="390"/>
      <c r="V6388" s="391"/>
      <c r="W6388" s="391"/>
      <c r="X6388" s="391"/>
      <c r="Y6388" s="792"/>
      <c r="Z6388" s="388">
        <v>8</v>
      </c>
      <c r="AA6388" s="391">
        <v>1.74</v>
      </c>
      <c r="AC6388" s="388"/>
      <c r="AD6388" s="388">
        <v>7.7724000000000002</v>
      </c>
      <c r="AE6388" s="388">
        <v>0.20726400000000003</v>
      </c>
      <c r="AF6388" s="388">
        <v>1.6183180000000001</v>
      </c>
      <c r="AG6388" s="391">
        <v>0.78028800000000009</v>
      </c>
      <c r="AH6388" s="385"/>
      <c r="AI6388" s="385"/>
      <c r="AJ6388" s="385"/>
      <c r="AK6388" s="385"/>
      <c r="AL6388" s="385"/>
      <c r="AM6388" s="385"/>
      <c r="AN6388" s="385"/>
      <c r="AO6388" s="385"/>
      <c r="AP6388" s="385"/>
      <c r="AQ6388" s="385"/>
      <c r="AR6388" s="385"/>
      <c r="AS6388" s="385"/>
      <c r="AT6388" s="385"/>
      <c r="AU6388" s="385"/>
      <c r="AV6388" s="385"/>
      <c r="AW6388" s="385"/>
      <c r="AX6388" s="385"/>
      <c r="AY6388" s="385"/>
      <c r="AZ6388" s="385"/>
      <c r="BA6388" s="385"/>
      <c r="BB6388" s="385"/>
      <c r="BC6388" s="385"/>
      <c r="BD6388" s="385"/>
      <c r="BE6388" s="397"/>
      <c r="BF6388" s="397"/>
      <c r="BG6388" s="397"/>
      <c r="BH6388" s="397"/>
      <c r="BI6388" s="397"/>
      <c r="BJ6388" s="397"/>
      <c r="BK6388" s="397"/>
      <c r="BL6388" s="397"/>
      <c r="BM6388" s="398"/>
      <c r="BN6388" s="398"/>
      <c r="BO6388" s="397"/>
      <c r="BP6388" s="398"/>
      <c r="BQ6388" s="398"/>
      <c r="BR6388" s="398"/>
      <c r="BS6388" s="397"/>
      <c r="BT6388" s="397"/>
      <c r="BU6388" s="397"/>
      <c r="BV6388" s="397"/>
      <c r="BW6388" s="397"/>
      <c r="BX6388" s="397"/>
      <c r="BY6388" s="397"/>
      <c r="CA6388" s="392" t="s">
        <v>408</v>
      </c>
    </row>
    <row r="6389" spans="1:79" s="392" customFormat="1" ht="15" x14ac:dyDescent="0.25">
      <c r="A6389" s="430"/>
      <c r="B6389" s="386"/>
      <c r="C6389" s="386"/>
      <c r="D6389" s="434"/>
      <c r="E6389" s="385"/>
      <c r="F6389" s="432"/>
      <c r="G6389" s="165"/>
      <c r="H6389" s="165" t="s">
        <v>409</v>
      </c>
      <c r="I6389" s="165"/>
      <c r="J6389" s="165"/>
      <c r="K6389" s="165"/>
      <c r="L6389" s="672"/>
      <c r="M6389" s="673">
        <v>32639</v>
      </c>
      <c r="N6389" s="623">
        <v>1.0808598899999999</v>
      </c>
      <c r="O6389" s="625">
        <v>8.095483808999998E-4</v>
      </c>
      <c r="P6389" s="390">
        <v>1.18</v>
      </c>
      <c r="Q6389" s="390">
        <v>2.02</v>
      </c>
      <c r="R6389" s="390">
        <v>2.59</v>
      </c>
      <c r="S6389" s="390">
        <v>4.88</v>
      </c>
      <c r="T6389" s="390">
        <v>6.76</v>
      </c>
      <c r="U6389" s="390"/>
      <c r="V6389" s="391"/>
      <c r="W6389" s="391"/>
      <c r="X6389" s="391"/>
      <c r="Y6389" s="792"/>
      <c r="Z6389" s="388">
        <v>9</v>
      </c>
      <c r="AA6389" s="391">
        <v>2.59</v>
      </c>
      <c r="AC6389" s="388"/>
      <c r="AD6389" s="388">
        <v>7.8333599999999999</v>
      </c>
      <c r="AE6389" s="388">
        <v>0.22250400000000001</v>
      </c>
      <c r="AF6389" s="388">
        <v>1.7307269999999999</v>
      </c>
      <c r="AG6389" s="391">
        <v>0.62483999999999995</v>
      </c>
      <c r="AH6389" s="386"/>
      <c r="AI6389" s="385"/>
      <c r="AJ6389" s="385"/>
      <c r="AK6389" s="385"/>
      <c r="AL6389" s="385"/>
      <c r="AM6389" s="385"/>
      <c r="AN6389" s="385"/>
      <c r="AO6389" s="385"/>
      <c r="AP6389" s="385"/>
      <c r="AQ6389" s="386"/>
      <c r="AR6389" s="386"/>
      <c r="AS6389" s="386"/>
      <c r="AT6389" s="386"/>
      <c r="AU6389" s="385"/>
      <c r="AV6389" s="385"/>
      <c r="AW6389" s="385"/>
      <c r="AX6389" s="385"/>
      <c r="AY6389" s="385"/>
      <c r="AZ6389" s="385"/>
      <c r="BA6389" s="385"/>
      <c r="BB6389" s="385"/>
      <c r="BC6389" s="385"/>
      <c r="BD6389" s="385"/>
      <c r="BE6389" s="397"/>
      <c r="BF6389" s="397"/>
      <c r="BG6389" s="397"/>
      <c r="BH6389" s="397"/>
      <c r="BI6389" s="397"/>
      <c r="BJ6389" s="397"/>
      <c r="BK6389" s="397"/>
      <c r="BL6389" s="397"/>
      <c r="BM6389" s="398"/>
      <c r="BN6389" s="398"/>
      <c r="BO6389" s="397"/>
      <c r="BP6389" s="398"/>
      <c r="BQ6389" s="398"/>
      <c r="BR6389" s="398"/>
      <c r="BS6389" s="397"/>
      <c r="BT6389" s="397"/>
      <c r="BU6389" s="397"/>
      <c r="BV6389" s="397"/>
      <c r="BW6389" s="397"/>
      <c r="BX6389" s="397"/>
      <c r="BY6389" s="397"/>
      <c r="CA6389" s="392" t="s">
        <v>408</v>
      </c>
    </row>
    <row r="6390" spans="1:79" s="392" customFormat="1" ht="15" x14ac:dyDescent="0.25">
      <c r="A6390" s="430"/>
      <c r="B6390" s="386"/>
      <c r="C6390" s="386"/>
      <c r="D6390" s="434"/>
      <c r="E6390" s="385"/>
      <c r="F6390" s="432"/>
      <c r="G6390" s="165"/>
      <c r="H6390" s="165" t="s">
        <v>410</v>
      </c>
      <c r="I6390" s="165"/>
      <c r="J6390" s="165"/>
      <c r="K6390" s="165"/>
      <c r="L6390" s="672"/>
      <c r="M6390" s="673">
        <v>32642</v>
      </c>
      <c r="N6390" s="623">
        <v>1.2918215399999999</v>
      </c>
      <c r="O6390" s="625">
        <v>5.5667471998166662E-3</v>
      </c>
      <c r="P6390" s="390">
        <v>0.66</v>
      </c>
      <c r="Q6390" s="390">
        <v>1.51</v>
      </c>
      <c r="R6390" s="390">
        <v>2.2599999999999998</v>
      </c>
      <c r="S6390" s="390">
        <v>5.55</v>
      </c>
      <c r="T6390" s="390">
        <v>8.9600000000000009</v>
      </c>
      <c r="U6390" s="390"/>
      <c r="V6390" s="391"/>
      <c r="W6390" s="391"/>
      <c r="X6390" s="391"/>
      <c r="Y6390" s="792"/>
      <c r="Z6390" s="388">
        <v>15</v>
      </c>
      <c r="AA6390" s="391">
        <v>2.2599999999999998</v>
      </c>
      <c r="AC6390" s="388"/>
      <c r="AD6390" s="388">
        <v>7.7724000000000002</v>
      </c>
      <c r="AE6390" s="388">
        <v>0.22860000000000003</v>
      </c>
      <c r="AF6390" s="388">
        <v>1.786467</v>
      </c>
      <c r="AG6390" s="391">
        <v>0.72237600000000002</v>
      </c>
      <c r="AH6390" s="397"/>
      <c r="AQ6390" s="397"/>
      <c r="AR6390" s="397"/>
      <c r="AS6390" s="397"/>
      <c r="AT6390" s="397"/>
      <c r="BE6390" s="397"/>
      <c r="BF6390" s="397"/>
      <c r="BG6390" s="397"/>
      <c r="BH6390" s="397"/>
      <c r="BI6390" s="397"/>
      <c r="BJ6390" s="397"/>
      <c r="BK6390" s="397"/>
      <c r="BL6390" s="397"/>
      <c r="BM6390" s="398"/>
      <c r="BN6390" s="398"/>
      <c r="BO6390" s="397"/>
      <c r="BP6390" s="398"/>
      <c r="BQ6390" s="398"/>
      <c r="BR6390" s="398"/>
      <c r="BS6390" s="397"/>
      <c r="BT6390" s="397"/>
      <c r="BU6390" s="397"/>
      <c r="BV6390" s="397"/>
      <c r="BW6390" s="397"/>
      <c r="BX6390" s="397"/>
      <c r="BY6390" s="397"/>
      <c r="CA6390" s="392" t="s">
        <v>408</v>
      </c>
    </row>
    <row r="6391" spans="1:79" s="392" customFormat="1" ht="15" x14ac:dyDescent="0.25">
      <c r="A6391" s="430"/>
      <c r="B6391" s="386"/>
      <c r="C6391" s="386"/>
      <c r="D6391" s="434"/>
      <c r="E6391" s="385"/>
      <c r="F6391" s="432"/>
      <c r="G6391" s="165"/>
      <c r="H6391" s="165" t="s">
        <v>410</v>
      </c>
      <c r="I6391" s="165"/>
      <c r="J6391" s="165"/>
      <c r="K6391" s="165"/>
      <c r="L6391" s="672"/>
      <c r="M6391" s="673">
        <v>32644</v>
      </c>
      <c r="N6391" s="623">
        <v>1.48126227</v>
      </c>
      <c r="O6391" s="625">
        <v>1.1144227711499999E-2</v>
      </c>
      <c r="P6391" s="390">
        <v>0.43</v>
      </c>
      <c r="Q6391" s="390">
        <v>0.77</v>
      </c>
      <c r="R6391" s="390">
        <v>1.17</v>
      </c>
      <c r="S6391" s="390">
        <v>3.96</v>
      </c>
      <c r="T6391" s="390">
        <v>10.35</v>
      </c>
      <c r="U6391" s="390"/>
      <c r="V6391" s="391"/>
      <c r="W6391" s="391"/>
      <c r="X6391" s="391"/>
      <c r="Y6391" s="792"/>
      <c r="Z6391" s="388">
        <v>19</v>
      </c>
      <c r="AA6391" s="391">
        <v>1.17</v>
      </c>
      <c r="AC6391" s="388"/>
      <c r="AD6391" s="388">
        <v>7.7419200000000004</v>
      </c>
      <c r="AE6391" s="388">
        <v>0.27127200000000001</v>
      </c>
      <c r="AF6391" s="388">
        <v>2.1069719999999998</v>
      </c>
      <c r="AG6391" s="391">
        <v>0.70408800000000005</v>
      </c>
      <c r="AH6391" s="397"/>
      <c r="AQ6391" s="397"/>
      <c r="AR6391" s="397"/>
      <c r="AS6391" s="397"/>
      <c r="AT6391" s="397"/>
      <c r="BE6391" s="397"/>
      <c r="BF6391" s="397"/>
      <c r="BG6391" s="397"/>
      <c r="BH6391" s="397"/>
      <c r="BI6391" s="397"/>
      <c r="BJ6391" s="397"/>
      <c r="BK6391" s="397"/>
      <c r="BL6391" s="397"/>
      <c r="BM6391" s="398"/>
      <c r="BN6391" s="398"/>
      <c r="BO6391" s="397"/>
      <c r="BP6391" s="398"/>
      <c r="BQ6391" s="398"/>
      <c r="BR6391" s="398"/>
      <c r="BS6391" s="397"/>
      <c r="BT6391" s="397"/>
      <c r="BU6391" s="397"/>
      <c r="BV6391" s="397"/>
      <c r="BW6391" s="397"/>
      <c r="BX6391" s="397"/>
      <c r="BY6391" s="397"/>
      <c r="CA6391" s="392" t="s">
        <v>408</v>
      </c>
    </row>
    <row r="6392" spans="1:79" s="392" customFormat="1" ht="15" x14ac:dyDescent="0.25">
      <c r="A6392" s="430"/>
      <c r="B6392" s="386"/>
      <c r="C6392" s="386"/>
      <c r="D6392" s="434"/>
      <c r="E6392" s="385"/>
      <c r="F6392" s="432"/>
      <c r="G6392" s="165"/>
      <c r="H6392" s="165" t="s">
        <v>410</v>
      </c>
      <c r="I6392" s="165"/>
      <c r="J6392" s="165"/>
      <c r="K6392" s="165"/>
      <c r="L6392" s="672"/>
      <c r="M6392" s="673">
        <v>32646</v>
      </c>
      <c r="N6392" s="623">
        <v>2.2950928499999996</v>
      </c>
      <c r="O6392" s="625">
        <v>5.6789219754666666E-3</v>
      </c>
      <c r="P6392" s="390">
        <v>0.27</v>
      </c>
      <c r="Q6392" s="390">
        <v>0.36</v>
      </c>
      <c r="R6392" s="390">
        <v>0.44</v>
      </c>
      <c r="S6392" s="390">
        <v>0.98</v>
      </c>
      <c r="T6392" s="390">
        <v>2.16</v>
      </c>
      <c r="U6392" s="390"/>
      <c r="V6392" s="391"/>
      <c r="W6392" s="391"/>
      <c r="X6392" s="391"/>
      <c r="Y6392" s="792"/>
      <c r="Z6392" s="388">
        <v>9</v>
      </c>
      <c r="AA6392" s="391">
        <v>0.44</v>
      </c>
      <c r="AC6392" s="388"/>
      <c r="AD6392" s="388">
        <v>7.8028800000000009</v>
      </c>
      <c r="AE6392" s="388">
        <v>0.33223200000000003</v>
      </c>
      <c r="AF6392" s="388">
        <v>2.6002709999999998</v>
      </c>
      <c r="AG6392" s="391">
        <v>0.88392000000000004</v>
      </c>
      <c r="AH6392" s="397"/>
      <c r="AQ6392" s="397"/>
      <c r="AR6392" s="397"/>
      <c r="AS6392" s="397"/>
      <c r="AT6392" s="397"/>
      <c r="BE6392" s="397"/>
      <c r="BF6392" s="397"/>
      <c r="BG6392" s="397"/>
      <c r="BH6392" s="397"/>
      <c r="BI6392" s="397"/>
      <c r="BJ6392" s="397"/>
      <c r="BK6392" s="397"/>
      <c r="BL6392" s="397"/>
      <c r="BM6392" s="398"/>
      <c r="BN6392" s="398"/>
      <c r="BO6392" s="397"/>
      <c r="BP6392" s="398"/>
      <c r="BQ6392" s="398"/>
      <c r="BR6392" s="398"/>
      <c r="BS6392" s="397"/>
      <c r="BT6392" s="397"/>
      <c r="BU6392" s="397"/>
      <c r="BV6392" s="397"/>
      <c r="BW6392" s="397"/>
      <c r="BX6392" s="397"/>
      <c r="BY6392" s="397"/>
      <c r="CA6392" s="392" t="s">
        <v>408</v>
      </c>
    </row>
    <row r="6393" spans="1:79" s="392" customFormat="1" ht="15" x14ac:dyDescent="0.25">
      <c r="A6393" s="430"/>
      <c r="B6393" s="386"/>
      <c r="C6393" s="386"/>
      <c r="D6393" s="434"/>
      <c r="E6393" s="385"/>
      <c r="F6393" s="432"/>
      <c r="G6393" s="165"/>
      <c r="H6393" s="165" t="s">
        <v>410</v>
      </c>
      <c r="I6393" s="165"/>
      <c r="J6393" s="165"/>
      <c r="K6393" s="165"/>
      <c r="L6393" s="672"/>
      <c r="M6393" s="673">
        <v>32648</v>
      </c>
      <c r="N6393" s="623">
        <v>1.9221579599999998</v>
      </c>
      <c r="O6393" s="625">
        <v>4.2047290905250001E-2</v>
      </c>
      <c r="P6393" s="390">
        <v>0.64</v>
      </c>
      <c r="Q6393" s="390">
        <v>1.32</v>
      </c>
      <c r="R6393" s="390">
        <v>2.04</v>
      </c>
      <c r="S6393" s="390">
        <v>7.02</v>
      </c>
      <c r="T6393" s="390">
        <v>34.75</v>
      </c>
      <c r="U6393" s="390"/>
      <c r="V6393" s="391"/>
      <c r="W6393" s="391"/>
      <c r="X6393" s="391"/>
      <c r="Y6393" s="792"/>
      <c r="Z6393" s="388">
        <v>64</v>
      </c>
      <c r="AA6393" s="391">
        <v>2.04</v>
      </c>
      <c r="AC6393" s="388"/>
      <c r="AD6393" s="388">
        <v>7.7724000000000002</v>
      </c>
      <c r="AE6393" s="388">
        <v>0.28651199999999999</v>
      </c>
      <c r="AF6393" s="388">
        <v>2.2333159999999999</v>
      </c>
      <c r="AG6393" s="391">
        <v>0.85953599999999997</v>
      </c>
      <c r="AH6393" s="397"/>
      <c r="AQ6393" s="397"/>
      <c r="AR6393" s="397"/>
      <c r="AS6393" s="397"/>
      <c r="AT6393" s="397"/>
      <c r="BE6393" s="397"/>
      <c r="BF6393" s="397"/>
      <c r="BG6393" s="397"/>
      <c r="BH6393" s="397"/>
      <c r="BI6393" s="397"/>
      <c r="BJ6393" s="397"/>
      <c r="BK6393" s="397"/>
      <c r="BL6393" s="397"/>
      <c r="BM6393" s="398"/>
      <c r="BN6393" s="398"/>
      <c r="BO6393" s="397"/>
      <c r="BP6393" s="398"/>
      <c r="BQ6393" s="398"/>
      <c r="BR6393" s="398"/>
      <c r="BS6393" s="397"/>
      <c r="BT6393" s="397"/>
      <c r="BU6393" s="397"/>
      <c r="BV6393" s="397"/>
      <c r="BW6393" s="397"/>
      <c r="BX6393" s="397"/>
      <c r="BY6393" s="397"/>
      <c r="CA6393" s="392" t="s">
        <v>408</v>
      </c>
    </row>
    <row r="6394" spans="1:79" s="392" customFormat="1" ht="15" x14ac:dyDescent="0.25">
      <c r="A6394" s="430"/>
      <c r="B6394" s="386"/>
      <c r="C6394" s="386"/>
      <c r="D6394" s="434"/>
      <c r="E6394" s="385"/>
      <c r="F6394" s="432"/>
      <c r="G6394" s="165"/>
      <c r="H6394" s="165" t="s">
        <v>410</v>
      </c>
      <c r="I6394" s="165"/>
      <c r="J6394" s="165"/>
      <c r="K6394" s="165"/>
      <c r="L6394" s="672"/>
      <c r="M6394" s="673">
        <v>32650</v>
      </c>
      <c r="N6394" s="623">
        <v>1.2439658099999999</v>
      </c>
      <c r="O6394" s="625">
        <v>8.2380501905333324E-3</v>
      </c>
      <c r="P6394" s="390">
        <v>0.42</v>
      </c>
      <c r="Q6394" s="390">
        <v>0.71</v>
      </c>
      <c r="R6394" s="390">
        <v>0.99</v>
      </c>
      <c r="S6394" s="390">
        <v>2.98</v>
      </c>
      <c r="T6394" s="390">
        <v>4.99</v>
      </c>
      <c r="U6394" s="390"/>
      <c r="V6394" s="391"/>
      <c r="W6394" s="391"/>
      <c r="X6394" s="391"/>
      <c r="Y6394" s="792"/>
      <c r="Z6394" s="388">
        <v>11</v>
      </c>
      <c r="AA6394" s="391">
        <v>0.99</v>
      </c>
      <c r="AC6394" s="388"/>
      <c r="AD6394" s="388">
        <v>7.7419200000000004</v>
      </c>
      <c r="AE6394" s="388">
        <v>0.24384000000000003</v>
      </c>
      <c r="AF6394" s="388">
        <v>1.8877279999999999</v>
      </c>
      <c r="AG6394" s="391">
        <v>0.65836800000000006</v>
      </c>
      <c r="AH6394" s="397"/>
      <c r="AQ6394" s="397"/>
      <c r="AR6394" s="397"/>
      <c r="AS6394" s="397"/>
      <c r="AT6394" s="397"/>
      <c r="BE6394" s="397"/>
      <c r="BF6394" s="397"/>
      <c r="BG6394" s="397"/>
      <c r="BH6394" s="397"/>
      <c r="BI6394" s="397"/>
      <c r="BJ6394" s="397"/>
      <c r="BK6394" s="397"/>
      <c r="BL6394" s="397"/>
      <c r="BM6394" s="398"/>
      <c r="BN6394" s="398"/>
      <c r="BO6394" s="397"/>
      <c r="BP6394" s="398"/>
      <c r="BQ6394" s="398"/>
      <c r="BR6394" s="398"/>
      <c r="BS6394" s="397"/>
      <c r="BT6394" s="397"/>
      <c r="BU6394" s="397"/>
      <c r="BV6394" s="397"/>
      <c r="BW6394" s="397"/>
      <c r="BX6394" s="397"/>
      <c r="BY6394" s="397"/>
      <c r="CA6394" s="392" t="s">
        <v>408</v>
      </c>
    </row>
    <row r="6395" spans="1:79" s="392" customFormat="1" ht="15" x14ac:dyDescent="0.25">
      <c r="A6395" s="430"/>
      <c r="B6395" s="386"/>
      <c r="C6395" s="386"/>
      <c r="D6395" s="434"/>
      <c r="E6395" s="385"/>
      <c r="F6395" s="432"/>
      <c r="G6395" s="165"/>
      <c r="H6395" s="165" t="s">
        <v>410</v>
      </c>
      <c r="I6395" s="165"/>
      <c r="J6395" s="165"/>
      <c r="K6395" s="165"/>
      <c r="L6395" s="672"/>
      <c r="M6395" s="673">
        <v>32653</v>
      </c>
      <c r="N6395" s="623">
        <v>1.2867667894587702</v>
      </c>
      <c r="O6395" s="625">
        <v>7.9166508333333337E-3</v>
      </c>
      <c r="P6395" s="390">
        <v>0.48</v>
      </c>
      <c r="Q6395" s="390">
        <v>0.95</v>
      </c>
      <c r="R6395" s="390">
        <v>1.53</v>
      </c>
      <c r="S6395" s="390">
        <v>4.04</v>
      </c>
      <c r="T6395" s="390">
        <v>6.74</v>
      </c>
      <c r="U6395" s="390"/>
      <c r="V6395" s="391"/>
      <c r="W6395" s="391"/>
      <c r="X6395" s="391"/>
      <c r="Y6395" s="792"/>
      <c r="Z6395" s="388">
        <v>13</v>
      </c>
      <c r="AA6395" s="391">
        <v>1.53</v>
      </c>
      <c r="AC6395" s="388"/>
      <c r="AD6395" s="388">
        <v>7.7114400000000005</v>
      </c>
      <c r="AE6395" s="388">
        <v>0.24079200000000003</v>
      </c>
      <c r="AF6395" s="388">
        <v>1.8579999999999999</v>
      </c>
      <c r="AG6395" s="391">
        <v>0.69189600000000007</v>
      </c>
      <c r="AH6395" s="397"/>
      <c r="AQ6395" s="397"/>
      <c r="AR6395" s="397"/>
      <c r="AS6395" s="397"/>
      <c r="AT6395" s="397"/>
      <c r="BE6395" s="397"/>
      <c r="BF6395" s="397"/>
      <c r="BG6395" s="397"/>
      <c r="BH6395" s="397"/>
      <c r="BI6395" s="397"/>
      <c r="BJ6395" s="397"/>
      <c r="BK6395" s="397"/>
      <c r="BL6395" s="397"/>
      <c r="BM6395" s="398"/>
      <c r="BN6395" s="398"/>
      <c r="BO6395" s="397"/>
      <c r="BP6395" s="398"/>
      <c r="BQ6395" s="398"/>
      <c r="BR6395" s="398"/>
      <c r="BS6395" s="397"/>
      <c r="BT6395" s="397"/>
      <c r="BU6395" s="397"/>
      <c r="BV6395" s="397"/>
      <c r="BW6395" s="397"/>
      <c r="BX6395" s="397"/>
      <c r="BY6395" s="397"/>
      <c r="CA6395" s="392" t="s">
        <v>408</v>
      </c>
    </row>
    <row r="6396" spans="1:79" s="392" customFormat="1" ht="15" x14ac:dyDescent="0.25">
      <c r="A6396" s="430"/>
      <c r="B6396" s="386"/>
      <c r="C6396" s="386"/>
      <c r="D6396" s="434"/>
      <c r="E6396" s="385"/>
      <c r="F6396" s="432"/>
      <c r="G6396" s="165"/>
      <c r="H6396" s="165" t="s">
        <v>410</v>
      </c>
      <c r="I6396" s="165"/>
      <c r="J6396" s="165"/>
      <c r="K6396" s="165"/>
      <c r="L6396" s="672"/>
      <c r="M6396" s="673">
        <v>32655</v>
      </c>
      <c r="N6396" s="623">
        <v>1.7769906489090395</v>
      </c>
      <c r="O6396" s="625">
        <v>8.7447825103999982E-2</v>
      </c>
      <c r="P6396" s="390">
        <v>1.41</v>
      </c>
      <c r="Q6396" s="390">
        <v>3.24</v>
      </c>
      <c r="R6396" s="390">
        <v>4.83</v>
      </c>
      <c r="S6396" s="390">
        <v>20.41</v>
      </c>
      <c r="T6396" s="390">
        <v>44.37</v>
      </c>
      <c r="U6396" s="390"/>
      <c r="V6396" s="391"/>
      <c r="W6396" s="391"/>
      <c r="X6396" s="391"/>
      <c r="Y6396" s="792"/>
      <c r="Z6396" s="388">
        <v>55</v>
      </c>
      <c r="AA6396" s="391">
        <v>4.83</v>
      </c>
      <c r="AC6396" s="388"/>
      <c r="AD6396" s="388">
        <v>7.7724000000000002</v>
      </c>
      <c r="AE6396" s="388">
        <v>0.28651199999999999</v>
      </c>
      <c r="AF6396" s="388">
        <v>2.2379609999999999</v>
      </c>
      <c r="AG6396" s="391">
        <v>0.79248000000000007</v>
      </c>
      <c r="AH6396" s="397"/>
      <c r="AQ6396" s="397"/>
      <c r="AR6396" s="397"/>
      <c r="AS6396" s="397"/>
      <c r="AT6396" s="397"/>
      <c r="BE6396" s="397"/>
      <c r="BF6396" s="397"/>
      <c r="BG6396" s="397"/>
      <c r="BH6396" s="397"/>
      <c r="BI6396" s="397"/>
      <c r="BJ6396" s="397"/>
      <c r="BK6396" s="397"/>
      <c r="BL6396" s="397"/>
      <c r="BM6396" s="398"/>
      <c r="BN6396" s="398"/>
      <c r="BO6396" s="397"/>
      <c r="BP6396" s="398"/>
      <c r="BQ6396" s="398"/>
      <c r="BR6396" s="398"/>
      <c r="BS6396" s="397"/>
      <c r="BT6396" s="397"/>
      <c r="BU6396" s="397"/>
      <c r="BV6396" s="397"/>
      <c r="BW6396" s="397"/>
      <c r="BX6396" s="397"/>
      <c r="BY6396" s="397"/>
      <c r="CA6396" s="392" t="s">
        <v>408</v>
      </c>
    </row>
    <row r="6397" spans="1:79" s="392" customFormat="1" ht="15" x14ac:dyDescent="0.25">
      <c r="A6397" s="430"/>
      <c r="B6397" s="386"/>
      <c r="C6397" s="386"/>
      <c r="D6397" s="434"/>
      <c r="E6397" s="385"/>
      <c r="F6397" s="432"/>
      <c r="G6397" s="165"/>
      <c r="H6397" s="165" t="s">
        <v>410</v>
      </c>
      <c r="I6397" s="165"/>
      <c r="J6397" s="165"/>
      <c r="K6397" s="165"/>
      <c r="L6397" s="672"/>
      <c r="M6397" s="673">
        <v>32657</v>
      </c>
      <c r="N6397" s="623">
        <v>1.2196089543780109</v>
      </c>
      <c r="O6397" s="625">
        <v>1.785383095893333E-2</v>
      </c>
      <c r="P6397" s="390">
        <v>0.64</v>
      </c>
      <c r="Q6397" s="390">
        <v>1.22</v>
      </c>
      <c r="R6397" s="390">
        <v>1.76</v>
      </c>
      <c r="S6397" s="390">
        <v>3.93</v>
      </c>
      <c r="T6397" s="390">
        <v>6.75</v>
      </c>
      <c r="U6397" s="390"/>
      <c r="V6397" s="391"/>
      <c r="W6397" s="391"/>
      <c r="X6397" s="391"/>
      <c r="Y6397" s="792"/>
      <c r="Z6397" s="388">
        <v>20</v>
      </c>
      <c r="AA6397" s="391">
        <v>1.76</v>
      </c>
      <c r="AC6397" s="388"/>
      <c r="AD6397" s="388">
        <v>7.8028800000000009</v>
      </c>
      <c r="AE6397" s="388">
        <v>0.25908000000000003</v>
      </c>
      <c r="AF6397" s="388">
        <v>2.0261489999999998</v>
      </c>
      <c r="AG6397" s="391">
        <v>0.60045599999999999</v>
      </c>
      <c r="AH6397" s="397"/>
      <c r="AQ6397" s="397"/>
      <c r="AR6397" s="397"/>
      <c r="AS6397" s="397"/>
      <c r="AT6397" s="397"/>
      <c r="BE6397" s="397"/>
      <c r="BF6397" s="397"/>
      <c r="BG6397" s="397"/>
      <c r="BH6397" s="397"/>
      <c r="BI6397" s="397"/>
      <c r="BJ6397" s="397"/>
      <c r="BK6397" s="397"/>
      <c r="BL6397" s="397"/>
      <c r="BM6397" s="398"/>
      <c r="BN6397" s="398"/>
      <c r="BO6397" s="397"/>
      <c r="BP6397" s="398"/>
      <c r="BQ6397" s="398"/>
      <c r="BR6397" s="398"/>
      <c r="BS6397" s="397"/>
      <c r="BT6397" s="397"/>
      <c r="BU6397" s="397"/>
      <c r="BV6397" s="397"/>
      <c r="BW6397" s="397"/>
      <c r="BX6397" s="397"/>
      <c r="BY6397" s="397"/>
      <c r="CA6397" s="392" t="s">
        <v>408</v>
      </c>
    </row>
    <row r="6398" spans="1:79" s="392" customFormat="1" ht="15" x14ac:dyDescent="0.25">
      <c r="A6398" s="430"/>
      <c r="B6398" s="386"/>
      <c r="C6398" s="386"/>
      <c r="D6398" s="434"/>
      <c r="E6398" s="385"/>
      <c r="F6398" s="432"/>
      <c r="G6398" s="165"/>
      <c r="H6398" s="165" t="s">
        <v>410</v>
      </c>
      <c r="I6398" s="165"/>
      <c r="J6398" s="165"/>
      <c r="K6398" s="165"/>
      <c r="L6398" s="672"/>
      <c r="M6398" s="673">
        <v>32660</v>
      </c>
      <c r="N6398" s="623">
        <v>1.1980731085293286</v>
      </c>
      <c r="O6398" s="625">
        <v>8.6437493791333333E-3</v>
      </c>
      <c r="P6398" s="390">
        <v>0.63</v>
      </c>
      <c r="Q6398" s="390">
        <v>1.17</v>
      </c>
      <c r="R6398" s="390">
        <v>1.59</v>
      </c>
      <c r="S6398" s="390">
        <v>3.46</v>
      </c>
      <c r="T6398" s="390">
        <v>5.33</v>
      </c>
      <c r="U6398" s="390"/>
      <c r="V6398" s="391"/>
      <c r="W6398" s="391"/>
      <c r="X6398" s="391"/>
      <c r="Y6398" s="792"/>
      <c r="Z6398" s="388">
        <v>11</v>
      </c>
      <c r="AA6398" s="391">
        <v>1.59</v>
      </c>
      <c r="AC6398" s="388"/>
      <c r="AD6398" s="388">
        <v>7.8333599999999999</v>
      </c>
      <c r="AE6398" s="388">
        <v>0.25298399999999999</v>
      </c>
      <c r="AF6398" s="388">
        <v>1.9796989999999999</v>
      </c>
      <c r="AG6398" s="391">
        <v>0.60350400000000004</v>
      </c>
      <c r="AH6398" s="397"/>
      <c r="AQ6398" s="397"/>
      <c r="AR6398" s="397"/>
      <c r="AS6398" s="397"/>
      <c r="AT6398" s="397"/>
      <c r="BE6398" s="397"/>
      <c r="BF6398" s="397"/>
      <c r="BG6398" s="397"/>
      <c r="BH6398" s="397"/>
      <c r="BI6398" s="397"/>
      <c r="BJ6398" s="397"/>
      <c r="BK6398" s="397"/>
      <c r="BL6398" s="397"/>
      <c r="BM6398" s="398"/>
      <c r="BN6398" s="398"/>
      <c r="BO6398" s="397"/>
      <c r="BP6398" s="398"/>
      <c r="BQ6398" s="398"/>
      <c r="BR6398" s="398"/>
      <c r="BS6398" s="397"/>
      <c r="BT6398" s="397"/>
      <c r="BU6398" s="397"/>
      <c r="BV6398" s="397"/>
      <c r="BW6398" s="397"/>
      <c r="BX6398" s="397"/>
      <c r="BY6398" s="397"/>
      <c r="CA6398" s="392" t="s">
        <v>408</v>
      </c>
    </row>
    <row r="6399" spans="1:79" s="392" customFormat="1" ht="15" x14ac:dyDescent="0.25">
      <c r="A6399" s="430"/>
      <c r="B6399" s="386"/>
      <c r="C6399" s="386"/>
      <c r="D6399" s="434"/>
      <c r="E6399" s="385"/>
      <c r="F6399" s="432"/>
      <c r="G6399" s="165"/>
      <c r="H6399" s="165" t="s">
        <v>410</v>
      </c>
      <c r="I6399" s="165"/>
      <c r="J6399" s="165"/>
      <c r="K6399" s="165"/>
      <c r="L6399" s="672"/>
      <c r="M6399" s="673">
        <v>32682</v>
      </c>
      <c r="N6399" s="623">
        <v>3.446585434967413</v>
      </c>
      <c r="O6399" s="625">
        <v>6.7547239905249995E-2</v>
      </c>
      <c r="P6399" s="390">
        <v>0.4</v>
      </c>
      <c r="Q6399" s="390">
        <v>0.82</v>
      </c>
      <c r="R6399" s="390">
        <v>1.49</v>
      </c>
      <c r="S6399" s="390">
        <v>6.5</v>
      </c>
      <c r="T6399" s="390">
        <v>14.5</v>
      </c>
      <c r="U6399" s="390"/>
      <c r="V6399" s="391"/>
      <c r="W6399" s="391"/>
      <c r="X6399" s="391"/>
      <c r="Y6399" s="792"/>
      <c r="Z6399" s="388">
        <v>26</v>
      </c>
      <c r="AA6399" s="391">
        <v>1.49</v>
      </c>
      <c r="AC6399" s="388"/>
      <c r="AD6399" s="388">
        <v>7.7724000000000002</v>
      </c>
      <c r="AE6399" s="388">
        <v>0.384048</v>
      </c>
      <c r="AF6399" s="388">
        <v>2.9858059999999997</v>
      </c>
      <c r="AG6399" s="391">
        <v>1.143</v>
      </c>
      <c r="AH6399" s="397"/>
      <c r="AQ6399" s="397"/>
      <c r="AR6399" s="397"/>
      <c r="AS6399" s="397"/>
      <c r="AT6399" s="397"/>
      <c r="BE6399" s="397"/>
      <c r="BF6399" s="397"/>
      <c r="BG6399" s="397"/>
      <c r="BH6399" s="397"/>
      <c r="BI6399" s="397"/>
      <c r="BJ6399" s="397"/>
      <c r="BK6399" s="397"/>
      <c r="BL6399" s="397"/>
      <c r="BM6399" s="398"/>
      <c r="BN6399" s="398"/>
      <c r="BO6399" s="397"/>
      <c r="BP6399" s="398"/>
      <c r="BQ6399" s="398"/>
      <c r="BR6399" s="398"/>
      <c r="BS6399" s="397"/>
      <c r="BT6399" s="397"/>
      <c r="BU6399" s="397"/>
      <c r="BV6399" s="397"/>
      <c r="BW6399" s="397"/>
      <c r="BX6399" s="397"/>
      <c r="BY6399" s="397"/>
      <c r="CA6399" s="392" t="s">
        <v>408</v>
      </c>
    </row>
    <row r="6400" spans="1:79" s="392" customFormat="1" ht="15" x14ac:dyDescent="0.25">
      <c r="A6400" s="430"/>
      <c r="B6400" s="386"/>
      <c r="C6400" s="386"/>
      <c r="D6400" s="434"/>
      <c r="E6400" s="385"/>
      <c r="F6400" s="432"/>
      <c r="G6400" s="165"/>
      <c r="H6400" s="165" t="s">
        <v>410</v>
      </c>
      <c r="I6400" s="165"/>
      <c r="J6400" s="165"/>
      <c r="K6400" s="165"/>
      <c r="L6400" s="672"/>
      <c r="M6400" s="673">
        <v>32683</v>
      </c>
      <c r="N6400" s="623">
        <v>3.8747520544063478</v>
      </c>
      <c r="O6400" s="625">
        <v>0.25114883103466662</v>
      </c>
      <c r="P6400" s="390">
        <v>0.82</v>
      </c>
      <c r="Q6400" s="390">
        <v>2.2799999999999998</v>
      </c>
      <c r="R6400" s="390">
        <v>3.86</v>
      </c>
      <c r="S6400" s="390">
        <v>14.38</v>
      </c>
      <c r="T6400" s="390">
        <v>42.55</v>
      </c>
      <c r="U6400" s="390"/>
      <c r="V6400" s="391"/>
      <c r="W6400" s="391"/>
      <c r="X6400" s="391"/>
      <c r="Y6400" s="792"/>
      <c r="Z6400" s="388">
        <v>81</v>
      </c>
      <c r="AA6400" s="391">
        <v>3.86</v>
      </c>
      <c r="AC6400" s="388"/>
      <c r="AD6400" s="388">
        <v>8.0772000000000013</v>
      </c>
      <c r="AE6400" s="388">
        <v>0.41757600000000006</v>
      </c>
      <c r="AF6400" s="388">
        <v>3.3750569999999995</v>
      </c>
      <c r="AG6400" s="391">
        <v>1.146048</v>
      </c>
      <c r="AH6400" s="397"/>
      <c r="AQ6400" s="397"/>
      <c r="AR6400" s="397"/>
      <c r="AS6400" s="397"/>
      <c r="AT6400" s="397"/>
      <c r="BE6400" s="397"/>
      <c r="BF6400" s="397"/>
      <c r="BG6400" s="397"/>
      <c r="BH6400" s="397"/>
      <c r="BI6400" s="397"/>
      <c r="BJ6400" s="397"/>
      <c r="BK6400" s="397"/>
      <c r="BL6400" s="397"/>
      <c r="BM6400" s="398"/>
      <c r="BN6400" s="398"/>
      <c r="BO6400" s="397"/>
      <c r="BP6400" s="398"/>
      <c r="BQ6400" s="398"/>
      <c r="BR6400" s="398"/>
      <c r="BS6400" s="397"/>
      <c r="BT6400" s="397"/>
      <c r="BU6400" s="397"/>
      <c r="BV6400" s="397"/>
      <c r="BW6400" s="397"/>
      <c r="BX6400" s="397"/>
      <c r="BY6400" s="397"/>
      <c r="CA6400" s="392" t="s">
        <v>408</v>
      </c>
    </row>
    <row r="6401" spans="1:79" s="392" customFormat="1" ht="15" x14ac:dyDescent="0.25">
      <c r="A6401" s="430"/>
      <c r="B6401" s="386"/>
      <c r="C6401" s="386"/>
      <c r="D6401" s="434"/>
      <c r="E6401" s="385"/>
      <c r="F6401" s="432"/>
      <c r="G6401" s="165"/>
      <c r="H6401" s="165" t="s">
        <v>410</v>
      </c>
      <c r="I6401" s="165"/>
      <c r="J6401" s="165"/>
      <c r="K6401" s="165"/>
      <c r="L6401" s="672"/>
      <c r="M6401" s="673">
        <v>32698</v>
      </c>
      <c r="N6401" s="623">
        <v>0.93454236327571538</v>
      </c>
      <c r="O6401" s="625">
        <v>1.6875316249299999E-2</v>
      </c>
      <c r="P6401" s="390">
        <v>0.53</v>
      </c>
      <c r="Q6401" s="390">
        <v>1.04</v>
      </c>
      <c r="R6401" s="390">
        <v>1.5</v>
      </c>
      <c r="S6401" s="390">
        <v>3.89</v>
      </c>
      <c r="T6401" s="390">
        <v>6.39</v>
      </c>
      <c r="U6401" s="787"/>
      <c r="V6401" s="793"/>
      <c r="W6401" s="793"/>
      <c r="X6401" s="793"/>
      <c r="Y6401" s="794"/>
      <c r="Z6401" s="788">
        <v>15</v>
      </c>
      <c r="AA6401" s="391">
        <v>1.5</v>
      </c>
      <c r="AC6401" s="388"/>
      <c r="AD6401" s="388">
        <v>7.8638400000000006</v>
      </c>
      <c r="AE6401" s="388">
        <v>0.22250400000000001</v>
      </c>
      <c r="AF6401" s="388">
        <v>1.758597</v>
      </c>
      <c r="AG6401" s="391">
        <v>0.53035200000000005</v>
      </c>
      <c r="AH6401" s="397"/>
      <c r="AQ6401" s="397"/>
      <c r="AR6401" s="397"/>
      <c r="AS6401" s="397"/>
      <c r="AT6401" s="397"/>
      <c r="BE6401" s="397"/>
      <c r="BF6401" s="397"/>
      <c r="BG6401" s="397"/>
      <c r="BH6401" s="397"/>
      <c r="BI6401" s="397"/>
      <c r="BJ6401" s="397"/>
      <c r="BK6401" s="397"/>
      <c r="BL6401" s="397"/>
      <c r="BM6401" s="398"/>
      <c r="BN6401" s="398"/>
      <c r="BO6401" s="397"/>
      <c r="BP6401" s="398"/>
      <c r="BQ6401" s="398"/>
      <c r="BR6401" s="398"/>
      <c r="BS6401" s="397"/>
      <c r="BT6401" s="397"/>
      <c r="BU6401" s="397"/>
      <c r="BV6401" s="397"/>
      <c r="BW6401" s="397"/>
      <c r="BX6401" s="397"/>
      <c r="BY6401" s="397"/>
      <c r="CA6401" s="392" t="s">
        <v>408</v>
      </c>
    </row>
    <row r="6402" spans="1:79" s="189" customFormat="1" ht="15" x14ac:dyDescent="0.25">
      <c r="A6402" s="24" t="s">
        <v>423</v>
      </c>
      <c r="B6402" s="14" t="s">
        <v>34</v>
      </c>
      <c r="C6402" s="14"/>
      <c r="D6402" s="4">
        <f>VLOOKUP(E6402,'Quality Code'!D4:E24,2,TRUE)*VLOOKUP(MROUND(F6402,10),'Quality Code'!D28:E69,2,TRUE)*VLOOKUP(COUNTA(CB6402:CB6412),'Quality Code'!D73:E93,2,TRUE)</f>
        <v>0.4</v>
      </c>
      <c r="E6402" s="14">
        <v>0.8</v>
      </c>
      <c r="F6402" s="18">
        <v>16</v>
      </c>
      <c r="G6402" s="2"/>
      <c r="H6402" s="2" t="s">
        <v>105</v>
      </c>
      <c r="I6402" s="2"/>
      <c r="J6402" s="2"/>
      <c r="K6402" s="2"/>
      <c r="L6402" s="640"/>
      <c r="M6402" s="640">
        <v>1989</v>
      </c>
      <c r="N6402" s="578" t="s">
        <v>110</v>
      </c>
      <c r="O6402" s="622"/>
      <c r="P6402" s="376" t="s">
        <v>402</v>
      </c>
      <c r="Q6402" s="376" t="s">
        <v>403</v>
      </c>
      <c r="R6402" s="376" t="s">
        <v>404</v>
      </c>
      <c r="S6402" s="376" t="s">
        <v>405</v>
      </c>
      <c r="T6402" s="376" t="s">
        <v>406</v>
      </c>
      <c r="U6402" s="141" t="s">
        <v>20</v>
      </c>
      <c r="V6402" s="786"/>
      <c r="W6402" s="786"/>
      <c r="X6402" s="786"/>
      <c r="Y6402" s="786"/>
      <c r="Z6402" s="26"/>
      <c r="AA6402" s="26"/>
      <c r="AB6402" s="377"/>
      <c r="AC6402" s="26">
        <v>3.7000000000000002E-3</v>
      </c>
      <c r="AD6402" s="26"/>
      <c r="AE6402" s="26"/>
      <c r="AF6402" s="26"/>
      <c r="AG6402" s="26"/>
      <c r="AH6402" s="4"/>
      <c r="AI6402" s="376">
        <v>6.1</v>
      </c>
      <c r="AJ6402" s="376"/>
      <c r="AK6402" s="376" t="s">
        <v>402</v>
      </c>
      <c r="AL6402" s="376" t="s">
        <v>403</v>
      </c>
      <c r="AM6402" s="376" t="s">
        <v>404</v>
      </c>
      <c r="AN6402" s="376" t="s">
        <v>405</v>
      </c>
      <c r="AO6402" s="376" t="s">
        <v>406</v>
      </c>
      <c r="AP6402" s="376"/>
      <c r="AQ6402" s="17"/>
      <c r="AR6402" s="552"/>
      <c r="AS6402" s="552"/>
      <c r="AT6402" s="552"/>
      <c r="AU6402" s="379">
        <v>37</v>
      </c>
      <c r="AV6402" s="17"/>
      <c r="AW6402" s="17"/>
      <c r="AX6402" s="17"/>
      <c r="AY6402" s="379" t="s">
        <v>402</v>
      </c>
      <c r="AZ6402" s="380" t="s">
        <v>403</v>
      </c>
      <c r="BA6402" s="380" t="s">
        <v>404</v>
      </c>
      <c r="BB6402" s="380" t="s">
        <v>405</v>
      </c>
      <c r="BC6402" s="380" t="s">
        <v>406</v>
      </c>
      <c r="BD6402" s="380"/>
      <c r="BE6402" s="4"/>
      <c r="BF6402" s="4"/>
      <c r="BG6402" s="4"/>
      <c r="BH6402" s="4"/>
      <c r="BI6402" s="12">
        <v>6.0655737704918034</v>
      </c>
      <c r="BJ6402" s="2" t="s">
        <v>407</v>
      </c>
      <c r="BK6402" s="2" t="s">
        <v>55</v>
      </c>
      <c r="BL6402" s="4"/>
      <c r="BM6402" s="12">
        <v>6.6031783672610684</v>
      </c>
      <c r="BN6402" s="12">
        <v>14.87424</v>
      </c>
      <c r="BO6402" s="12">
        <v>0.28606229508196723</v>
      </c>
      <c r="BP6402" s="12">
        <v>4.2548199999999996</v>
      </c>
      <c r="BQ6402" s="12">
        <v>15.84853519650655</v>
      </c>
      <c r="BR6402" s="12"/>
      <c r="BS6402" s="2"/>
      <c r="BT6402" s="9"/>
      <c r="BU6402" s="381"/>
      <c r="BV6402" s="382"/>
      <c r="BW6402" s="383"/>
      <c r="BX6402" s="383"/>
      <c r="BY6402" s="383"/>
      <c r="BZ6402" s="384"/>
      <c r="CA6402" s="411" t="s">
        <v>408</v>
      </c>
    </row>
    <row r="6403" spans="1:79" s="392" customFormat="1" ht="15" x14ac:dyDescent="0.25">
      <c r="A6403" s="430"/>
      <c r="B6403" s="386"/>
      <c r="C6403" s="386"/>
      <c r="D6403" s="434"/>
      <c r="E6403" s="385"/>
      <c r="F6403" s="432"/>
      <c r="G6403" s="401"/>
      <c r="H6403" s="401" t="s">
        <v>409</v>
      </c>
      <c r="I6403" s="401"/>
      <c r="J6403" s="401"/>
      <c r="K6403" s="401"/>
      <c r="L6403" s="672"/>
      <c r="M6403" s="673">
        <v>32617</v>
      </c>
      <c r="N6403" s="623">
        <v>1.8347973930291868</v>
      </c>
      <c r="O6403" s="625">
        <v>6.0664878669999998E-2</v>
      </c>
      <c r="P6403" s="390">
        <v>0.36952166408644072</v>
      </c>
      <c r="Q6403" s="390">
        <v>0.77464883006881724</v>
      </c>
      <c r="R6403" s="390">
        <v>1.3483167148275361</v>
      </c>
      <c r="S6403" s="390">
        <v>5.8803932229901275</v>
      </c>
      <c r="T6403" s="388">
        <v>11.574048781303389</v>
      </c>
      <c r="U6403" s="388"/>
      <c r="V6403" s="391"/>
      <c r="W6403" s="391"/>
      <c r="X6403" s="391"/>
      <c r="Y6403" s="792"/>
      <c r="Z6403" s="388">
        <v>19</v>
      </c>
      <c r="AA6403" s="391">
        <v>1.3483167148275361</v>
      </c>
      <c r="AC6403" s="388"/>
      <c r="AD6403" s="388">
        <v>10.058400000000001</v>
      </c>
      <c r="AE6403" s="388">
        <v>0.210312</v>
      </c>
      <c r="AF6403" s="388">
        <v>2.1274099999999998</v>
      </c>
      <c r="AG6403" s="391">
        <v>0.86258400000000002</v>
      </c>
      <c r="AH6403" s="385"/>
      <c r="AI6403" s="394"/>
      <c r="AJ6403" s="394"/>
      <c r="AK6403" s="394">
        <v>0.7</v>
      </c>
      <c r="AL6403" s="394">
        <v>2.5</v>
      </c>
      <c r="AM6403" s="394">
        <v>6.1</v>
      </c>
      <c r="AN6403" s="394">
        <v>20</v>
      </c>
      <c r="AO6403" s="394">
        <v>31.5</v>
      </c>
      <c r="AP6403" s="395" t="s">
        <v>20</v>
      </c>
      <c r="AQ6403" s="396"/>
      <c r="AR6403" s="396"/>
      <c r="AS6403" s="396"/>
      <c r="AT6403" s="396"/>
      <c r="AU6403" s="394"/>
      <c r="AV6403" s="394"/>
      <c r="AW6403" s="394"/>
      <c r="AX6403" s="394"/>
      <c r="AY6403" s="394">
        <v>4.8</v>
      </c>
      <c r="AZ6403" s="394">
        <v>25</v>
      </c>
      <c r="BA6403" s="394">
        <v>37</v>
      </c>
      <c r="BB6403" s="394">
        <v>72</v>
      </c>
      <c r="BC6403" s="394">
        <v>92</v>
      </c>
      <c r="BD6403" s="395" t="s">
        <v>20</v>
      </c>
      <c r="BE6403" s="397"/>
      <c r="BF6403" s="397"/>
      <c r="BG6403" s="397"/>
      <c r="BH6403" s="397"/>
      <c r="BI6403" s="397"/>
      <c r="BJ6403" s="397"/>
      <c r="BK6403" s="397"/>
      <c r="BL6403" s="397"/>
      <c r="BM6403" s="398"/>
      <c r="BN6403" s="398"/>
      <c r="BO6403" s="397"/>
      <c r="BP6403" s="398"/>
      <c r="BQ6403" s="398"/>
      <c r="BR6403" s="398"/>
      <c r="BS6403" s="397"/>
      <c r="BT6403" s="397"/>
      <c r="BU6403" s="397"/>
      <c r="BV6403" s="397"/>
      <c r="BW6403" s="397"/>
      <c r="BX6403" s="397"/>
      <c r="BY6403" s="397"/>
      <c r="CA6403" s="392" t="s">
        <v>408</v>
      </c>
    </row>
    <row r="6404" spans="1:79" s="392" customFormat="1" ht="15" x14ac:dyDescent="0.25">
      <c r="A6404" s="430"/>
      <c r="B6404" s="386"/>
      <c r="C6404" s="386"/>
      <c r="D6404" s="434"/>
      <c r="E6404" s="385"/>
      <c r="F6404" s="432"/>
      <c r="G6404" s="401"/>
      <c r="H6404" s="401" t="s">
        <v>409</v>
      </c>
      <c r="I6404" s="401"/>
      <c r="J6404" s="401"/>
      <c r="K6404" s="401"/>
      <c r="L6404" s="672"/>
      <c r="M6404" s="673">
        <v>32619</v>
      </c>
      <c r="N6404" s="623">
        <v>1.8209124397846417</v>
      </c>
      <c r="O6404" s="625">
        <v>9.7380405238799997E-2</v>
      </c>
      <c r="P6404" s="390">
        <v>0.74387413221068688</v>
      </c>
      <c r="Q6404" s="390">
        <v>1.7506827940270511</v>
      </c>
      <c r="R6404" s="390">
        <v>2.9301768083758777</v>
      </c>
      <c r="S6404" s="390">
        <v>8.9745907715036299</v>
      </c>
      <c r="T6404" s="388">
        <v>13.208490525371326</v>
      </c>
      <c r="U6404" s="388"/>
      <c r="V6404" s="391"/>
      <c r="W6404" s="391"/>
      <c r="X6404" s="391"/>
      <c r="Y6404" s="792"/>
      <c r="Z6404" s="388">
        <v>19</v>
      </c>
      <c r="AA6404" s="391">
        <v>2.9301768083758777</v>
      </c>
      <c r="AC6404" s="388"/>
      <c r="AD6404" s="388">
        <v>9.966960000000002</v>
      </c>
      <c r="AE6404" s="388">
        <v>0.21335999999999999</v>
      </c>
      <c r="AF6404" s="388">
        <v>2.1366999999999998</v>
      </c>
      <c r="AG6404" s="391">
        <v>0.85039200000000004</v>
      </c>
      <c r="AH6404" s="385"/>
      <c r="AI6404" s="385"/>
      <c r="AJ6404" s="385"/>
      <c r="AK6404" s="385"/>
      <c r="AL6404" s="385"/>
      <c r="AM6404" s="385"/>
      <c r="AN6404" s="385"/>
      <c r="AO6404" s="385"/>
      <c r="AP6404" s="385"/>
      <c r="AQ6404" s="385"/>
      <c r="AR6404" s="385"/>
      <c r="AS6404" s="385"/>
      <c r="AT6404" s="385"/>
      <c r="AU6404" s="385"/>
      <c r="AV6404" s="385"/>
      <c r="AW6404" s="385"/>
      <c r="AX6404" s="385"/>
      <c r="AY6404" s="385"/>
      <c r="AZ6404" s="385"/>
      <c r="BA6404" s="385"/>
      <c r="BB6404" s="385"/>
      <c r="BC6404" s="385"/>
      <c r="BD6404" s="385"/>
      <c r="BE6404" s="397"/>
      <c r="BF6404" s="397"/>
      <c r="BG6404" s="397"/>
      <c r="BH6404" s="397"/>
      <c r="BI6404" s="397"/>
      <c r="BJ6404" s="397"/>
      <c r="BK6404" s="397"/>
      <c r="BL6404" s="397"/>
      <c r="BM6404" s="398"/>
      <c r="BN6404" s="398"/>
      <c r="BO6404" s="397"/>
      <c r="BP6404" s="398"/>
      <c r="BQ6404" s="398"/>
      <c r="BR6404" s="398"/>
      <c r="BS6404" s="397"/>
      <c r="BT6404" s="397"/>
      <c r="BU6404" s="397"/>
      <c r="BV6404" s="397"/>
      <c r="BW6404" s="397"/>
      <c r="BX6404" s="397"/>
      <c r="BY6404" s="397"/>
      <c r="CA6404" s="392" t="s">
        <v>408</v>
      </c>
    </row>
    <row r="6405" spans="1:79" s="392" customFormat="1" ht="15" x14ac:dyDescent="0.25">
      <c r="A6405" s="430"/>
      <c r="B6405" s="386"/>
      <c r="C6405" s="386"/>
      <c r="D6405" s="434"/>
      <c r="E6405" s="385"/>
      <c r="F6405" s="432"/>
      <c r="G6405" s="401"/>
      <c r="H6405" s="401" t="s">
        <v>409</v>
      </c>
      <c r="I6405" s="401"/>
      <c r="J6405" s="401"/>
      <c r="K6405" s="401"/>
      <c r="L6405" s="672"/>
      <c r="M6405" s="673">
        <v>32622</v>
      </c>
      <c r="N6405" s="623">
        <v>1.5539812978180789</v>
      </c>
      <c r="O6405" s="625">
        <v>2.5977181378866669E-2</v>
      </c>
      <c r="P6405" s="390">
        <v>0.45072567645619077</v>
      </c>
      <c r="Q6405" s="390">
        <v>0.84647307406704764</v>
      </c>
      <c r="R6405" s="390">
        <v>1.2746289025717714</v>
      </c>
      <c r="S6405" s="390">
        <v>3.6713859559722719</v>
      </c>
      <c r="T6405" s="388">
        <v>8.5377949014225401</v>
      </c>
      <c r="U6405" s="388"/>
      <c r="V6405" s="391"/>
      <c r="W6405" s="391"/>
      <c r="X6405" s="391"/>
      <c r="Y6405" s="792"/>
      <c r="Z6405" s="388">
        <v>12</v>
      </c>
      <c r="AA6405" s="391">
        <v>1.2746289025717714</v>
      </c>
      <c r="AC6405" s="388"/>
      <c r="AD6405" s="388">
        <v>9.7231199999999998</v>
      </c>
      <c r="AE6405" s="388">
        <v>0.20116800000000001</v>
      </c>
      <c r="AF6405" s="388">
        <v>1.9508999999999999</v>
      </c>
      <c r="AG6405" s="391">
        <v>0.79552800000000001</v>
      </c>
      <c r="AH6405" s="385"/>
      <c r="AI6405" s="385"/>
      <c r="AJ6405" s="385"/>
      <c r="AK6405" s="385"/>
      <c r="AL6405" s="385"/>
      <c r="AM6405" s="385"/>
      <c r="AN6405" s="385"/>
      <c r="AO6405" s="385"/>
      <c r="AP6405" s="385"/>
      <c r="AQ6405" s="385"/>
      <c r="AR6405" s="385"/>
      <c r="AS6405" s="385"/>
      <c r="AT6405" s="385"/>
      <c r="AU6405" s="385"/>
      <c r="AV6405" s="385"/>
      <c r="AW6405" s="385"/>
      <c r="AX6405" s="385"/>
      <c r="AY6405" s="385"/>
      <c r="AZ6405" s="385"/>
      <c r="BA6405" s="385"/>
      <c r="BB6405" s="385"/>
      <c r="BC6405" s="385"/>
      <c r="BD6405" s="385"/>
      <c r="BE6405" s="397"/>
      <c r="BF6405" s="397"/>
      <c r="BG6405" s="397"/>
      <c r="BH6405" s="397"/>
      <c r="BI6405" s="397"/>
      <c r="BJ6405" s="397"/>
      <c r="BK6405" s="397"/>
      <c r="BL6405" s="397"/>
      <c r="BM6405" s="398"/>
      <c r="BN6405" s="398"/>
      <c r="BO6405" s="397"/>
      <c r="BP6405" s="398"/>
      <c r="BQ6405" s="398"/>
      <c r="BR6405" s="398"/>
      <c r="BS6405" s="397"/>
      <c r="BT6405" s="397"/>
      <c r="BU6405" s="397"/>
      <c r="BV6405" s="397"/>
      <c r="BW6405" s="397"/>
      <c r="BX6405" s="397"/>
      <c r="BY6405" s="397"/>
      <c r="CA6405" s="392" t="s">
        <v>408</v>
      </c>
    </row>
    <row r="6406" spans="1:79" s="392" customFormat="1" ht="15" x14ac:dyDescent="0.25">
      <c r="A6406" s="430"/>
      <c r="B6406" s="386"/>
      <c r="C6406" s="386"/>
      <c r="D6406" s="434"/>
      <c r="E6406" s="385"/>
      <c r="F6406" s="432"/>
      <c r="G6406" s="401"/>
      <c r="H6406" s="401" t="s">
        <v>409</v>
      </c>
      <c r="I6406" s="401"/>
      <c r="J6406" s="401"/>
      <c r="K6406" s="401"/>
      <c r="L6406" s="672"/>
      <c r="M6406" s="673">
        <v>32636</v>
      </c>
      <c r="N6406" s="623">
        <v>0.6931141966562766</v>
      </c>
      <c r="O6406" s="625">
        <v>1.4035971927999998E-3</v>
      </c>
      <c r="P6406" s="390">
        <v>0.42851551787010889</v>
      </c>
      <c r="Q6406" s="390">
        <v>0.65285186777332016</v>
      </c>
      <c r="R6406" s="390">
        <v>0.83788699437259195</v>
      </c>
      <c r="S6406" s="390">
        <v>1.6467779285086324</v>
      </c>
      <c r="T6406" s="388">
        <v>2.4622888266898371</v>
      </c>
      <c r="U6406" s="388"/>
      <c r="V6406" s="391"/>
      <c r="W6406" s="391"/>
      <c r="X6406" s="391"/>
      <c r="Y6406" s="792"/>
      <c r="Z6406" s="388">
        <v>6</v>
      </c>
      <c r="AA6406" s="391">
        <v>0.83788699437259195</v>
      </c>
      <c r="AC6406" s="388"/>
      <c r="AD6406" s="388">
        <v>7.3761600000000005</v>
      </c>
      <c r="AE6406" s="388">
        <v>0.13716</v>
      </c>
      <c r="AF6406" s="388">
        <v>1.0107520000000001</v>
      </c>
      <c r="AG6406" s="391">
        <v>0.68580000000000008</v>
      </c>
      <c r="AH6406" s="385"/>
      <c r="AI6406" s="385"/>
      <c r="AJ6406" s="385"/>
      <c r="AK6406" s="385"/>
      <c r="AL6406" s="385"/>
      <c r="AM6406" s="385"/>
      <c r="AN6406" s="385"/>
      <c r="AO6406" s="385"/>
      <c r="AP6406" s="385"/>
      <c r="AQ6406" s="385"/>
      <c r="AR6406" s="385"/>
      <c r="AS6406" s="385"/>
      <c r="AT6406" s="385"/>
      <c r="AU6406" s="385"/>
      <c r="AV6406" s="385"/>
      <c r="AW6406" s="385"/>
      <c r="AX6406" s="385"/>
      <c r="AY6406" s="385"/>
      <c r="AZ6406" s="385"/>
      <c r="BA6406" s="385"/>
      <c r="BB6406" s="385"/>
      <c r="BC6406" s="385"/>
      <c r="BD6406" s="385"/>
      <c r="BE6406" s="397"/>
      <c r="BF6406" s="397"/>
      <c r="BG6406" s="397"/>
      <c r="BH6406" s="397"/>
      <c r="BI6406" s="397"/>
      <c r="BJ6406" s="397"/>
      <c r="BK6406" s="397"/>
      <c r="BL6406" s="397"/>
      <c r="BM6406" s="398"/>
      <c r="BN6406" s="398"/>
      <c r="BO6406" s="397"/>
      <c r="BP6406" s="398"/>
      <c r="BQ6406" s="398"/>
      <c r="BR6406" s="398"/>
      <c r="BS6406" s="397"/>
      <c r="BT6406" s="397"/>
      <c r="BU6406" s="397"/>
      <c r="BV6406" s="397"/>
      <c r="BW6406" s="397"/>
      <c r="BX6406" s="397"/>
      <c r="BY6406" s="397"/>
      <c r="CA6406" s="392" t="s">
        <v>408</v>
      </c>
    </row>
    <row r="6407" spans="1:79" s="392" customFormat="1" ht="15" x14ac:dyDescent="0.25">
      <c r="A6407" s="430"/>
      <c r="B6407" s="386"/>
      <c r="C6407" s="386"/>
      <c r="D6407" s="434"/>
      <c r="E6407" s="385"/>
      <c r="F6407" s="432"/>
      <c r="G6407" s="401"/>
      <c r="H6407" s="401" t="s">
        <v>409</v>
      </c>
      <c r="I6407" s="401"/>
      <c r="J6407" s="401"/>
      <c r="K6407" s="401"/>
      <c r="L6407" s="672"/>
      <c r="M6407" s="673">
        <v>32638</v>
      </c>
      <c r="N6407" s="623">
        <v>1.3717767072825162</v>
      </c>
      <c r="O6407" s="625">
        <v>8.6159827679999999E-3</v>
      </c>
      <c r="P6407" s="390">
        <v>0.49727545122063382</v>
      </c>
      <c r="Q6407" s="390">
        <v>0.96433928871648855</v>
      </c>
      <c r="R6407" s="390">
        <v>1.7866392013633559</v>
      </c>
      <c r="S6407" s="390">
        <v>33.496966097103297</v>
      </c>
      <c r="T6407" s="388">
        <v>41.034374124816495</v>
      </c>
      <c r="U6407" s="388"/>
      <c r="V6407" s="391"/>
      <c r="W6407" s="391"/>
      <c r="X6407" s="391"/>
      <c r="Y6407" s="792"/>
      <c r="Z6407" s="388">
        <v>35</v>
      </c>
      <c r="AA6407" s="391">
        <v>1.7866392013633559</v>
      </c>
      <c r="AC6407" s="388"/>
      <c r="AD6407" s="388">
        <v>8.7782400000000003</v>
      </c>
      <c r="AE6407" s="388">
        <v>0.18592800000000001</v>
      </c>
      <c r="AF6407" s="388">
        <v>1.6341109999999999</v>
      </c>
      <c r="AG6407" s="391">
        <v>0.83820000000000006</v>
      </c>
      <c r="AH6407" s="385"/>
      <c r="AI6407" s="385"/>
      <c r="AJ6407" s="385"/>
      <c r="AK6407" s="385"/>
      <c r="AL6407" s="385"/>
      <c r="AM6407" s="385"/>
      <c r="AN6407" s="385"/>
      <c r="AO6407" s="385"/>
      <c r="AP6407" s="385"/>
      <c r="AQ6407" s="385"/>
      <c r="AR6407" s="385"/>
      <c r="AS6407" s="385"/>
      <c r="AT6407" s="385"/>
      <c r="AU6407" s="385"/>
      <c r="AV6407" s="385"/>
      <c r="AW6407" s="385"/>
      <c r="AX6407" s="385"/>
      <c r="AY6407" s="385"/>
      <c r="AZ6407" s="385"/>
      <c r="BA6407" s="385"/>
      <c r="BB6407" s="385"/>
      <c r="BC6407" s="385"/>
      <c r="BD6407" s="385"/>
      <c r="BE6407" s="397"/>
      <c r="BF6407" s="397"/>
      <c r="BG6407" s="397"/>
      <c r="BH6407" s="397"/>
      <c r="BI6407" s="397"/>
      <c r="BJ6407" s="397"/>
      <c r="BK6407" s="397"/>
      <c r="BL6407" s="397"/>
      <c r="BM6407" s="398"/>
      <c r="BN6407" s="398"/>
      <c r="BO6407" s="397"/>
      <c r="BP6407" s="398"/>
      <c r="BQ6407" s="398"/>
      <c r="BR6407" s="398"/>
      <c r="BS6407" s="397"/>
      <c r="BT6407" s="397"/>
      <c r="BU6407" s="397"/>
      <c r="BV6407" s="397"/>
      <c r="BW6407" s="397"/>
      <c r="BX6407" s="397"/>
      <c r="BY6407" s="397"/>
      <c r="CA6407" s="392" t="s">
        <v>408</v>
      </c>
    </row>
    <row r="6408" spans="1:79" s="392" customFormat="1" ht="15" x14ac:dyDescent="0.25">
      <c r="A6408" s="430"/>
      <c r="B6408" s="386"/>
      <c r="C6408" s="386"/>
      <c r="D6408" s="434"/>
      <c r="E6408" s="385"/>
      <c r="F6408" s="432"/>
      <c r="G6408" s="401"/>
      <c r="H6408" s="401" t="s">
        <v>409</v>
      </c>
      <c r="I6408" s="401"/>
      <c r="J6408" s="401"/>
      <c r="K6408" s="401"/>
      <c r="L6408" s="672"/>
      <c r="M6408" s="673">
        <v>32641</v>
      </c>
      <c r="N6408" s="623">
        <v>0.86511759705298952</v>
      </c>
      <c r="O6408" s="625">
        <v>7.5189849620000001E-4</v>
      </c>
      <c r="P6408" s="390">
        <v>0.35860177775768121</v>
      </c>
      <c r="Q6408" s="390">
        <v>0.61751472945910924</v>
      </c>
      <c r="R6408" s="390">
        <v>0.85424823841827324</v>
      </c>
      <c r="S6408" s="390">
        <v>2.4412483137893473</v>
      </c>
      <c r="T6408" s="388">
        <v>8.3905698798047084</v>
      </c>
      <c r="U6408" s="388"/>
      <c r="V6408" s="391"/>
      <c r="W6408" s="391"/>
      <c r="X6408" s="391"/>
      <c r="Y6408" s="792"/>
      <c r="Z6408" s="388">
        <v>9</v>
      </c>
      <c r="AA6408" s="391">
        <v>0.85424823841827324</v>
      </c>
      <c r="AC6408" s="388"/>
      <c r="AD6408" s="388">
        <v>7.5895200000000003</v>
      </c>
      <c r="AE6408" s="388">
        <v>0.155448</v>
      </c>
      <c r="AF6408" s="388">
        <v>1.169611</v>
      </c>
      <c r="AG6408" s="391">
        <v>0.7406640000000001</v>
      </c>
      <c r="AH6408" s="386"/>
      <c r="AI6408" s="385"/>
      <c r="AJ6408" s="385"/>
      <c r="AK6408" s="385"/>
      <c r="AL6408" s="385"/>
      <c r="AM6408" s="385"/>
      <c r="AN6408" s="385"/>
      <c r="AO6408" s="385"/>
      <c r="AP6408" s="385"/>
      <c r="AQ6408" s="386"/>
      <c r="AR6408" s="386"/>
      <c r="AS6408" s="386"/>
      <c r="AT6408" s="386"/>
      <c r="AU6408" s="385"/>
      <c r="AV6408" s="385"/>
      <c r="AW6408" s="385"/>
      <c r="AX6408" s="385"/>
      <c r="AY6408" s="385"/>
      <c r="AZ6408" s="385"/>
      <c r="BA6408" s="385"/>
      <c r="BB6408" s="385"/>
      <c r="BC6408" s="385"/>
      <c r="BD6408" s="385"/>
      <c r="BE6408" s="397"/>
      <c r="BF6408" s="397"/>
      <c r="BG6408" s="397"/>
      <c r="BH6408" s="397"/>
      <c r="BI6408" s="397"/>
      <c r="BJ6408" s="397"/>
      <c r="BK6408" s="397"/>
      <c r="BL6408" s="397"/>
      <c r="BM6408" s="398"/>
      <c r="BN6408" s="398"/>
      <c r="BO6408" s="397"/>
      <c r="BP6408" s="398"/>
      <c r="BQ6408" s="398"/>
      <c r="BR6408" s="398"/>
      <c r="BS6408" s="397"/>
      <c r="BT6408" s="397"/>
      <c r="BU6408" s="397"/>
      <c r="BV6408" s="397"/>
      <c r="BW6408" s="397"/>
      <c r="BX6408" s="397"/>
      <c r="BY6408" s="397"/>
      <c r="CA6408" s="392" t="s">
        <v>408</v>
      </c>
    </row>
    <row r="6409" spans="1:79" s="392" customFormat="1" ht="15" x14ac:dyDescent="0.25">
      <c r="A6409" s="430"/>
      <c r="B6409" s="386"/>
      <c r="C6409" s="386"/>
      <c r="D6409" s="434"/>
      <c r="E6409" s="385"/>
      <c r="F6409" s="432"/>
      <c r="G6409" s="401"/>
      <c r="H6409" s="401" t="s">
        <v>409</v>
      </c>
      <c r="I6409" s="401"/>
      <c r="J6409" s="401"/>
      <c r="K6409" s="401"/>
      <c r="L6409" s="672"/>
      <c r="M6409" s="673">
        <v>32644</v>
      </c>
      <c r="N6409" s="623">
        <v>1.6868801360158685</v>
      </c>
      <c r="O6409" s="625">
        <v>2.2797087739066666E-2</v>
      </c>
      <c r="P6409" s="390">
        <v>0.60310160219706532</v>
      </c>
      <c r="Q6409" s="390">
        <v>1.2442262671677382</v>
      </c>
      <c r="R6409" s="390">
        <v>1.8896244636188575</v>
      </c>
      <c r="S6409" s="390">
        <v>25.284464854433157</v>
      </c>
      <c r="T6409" s="388">
        <v>39.347237092964882</v>
      </c>
      <c r="U6409" s="388"/>
      <c r="V6409" s="391"/>
      <c r="W6409" s="391"/>
      <c r="X6409" s="391"/>
      <c r="Y6409" s="792"/>
      <c r="Z6409" s="388">
        <v>41</v>
      </c>
      <c r="AA6409" s="391">
        <v>1.8896244636188575</v>
      </c>
      <c r="AC6409" s="388"/>
      <c r="AD6409" s="388">
        <v>9.6926400000000008</v>
      </c>
      <c r="AE6409" s="388">
        <v>0.19507200000000002</v>
      </c>
      <c r="AF6409" s="388">
        <v>1.9053790000000002</v>
      </c>
      <c r="AG6409" s="391">
        <v>0.88392000000000004</v>
      </c>
      <c r="AH6409" s="397"/>
      <c r="AQ6409" s="397"/>
      <c r="AR6409" s="397"/>
      <c r="AS6409" s="397"/>
      <c r="AT6409" s="397"/>
      <c r="BE6409" s="397"/>
      <c r="BF6409" s="397"/>
      <c r="BG6409" s="397"/>
      <c r="BH6409" s="397"/>
      <c r="BI6409" s="397"/>
      <c r="BJ6409" s="397"/>
      <c r="BK6409" s="397"/>
      <c r="BL6409" s="397"/>
      <c r="BM6409" s="398"/>
      <c r="BN6409" s="398"/>
      <c r="BO6409" s="397"/>
      <c r="BP6409" s="398"/>
      <c r="BQ6409" s="398"/>
      <c r="BR6409" s="398"/>
      <c r="BS6409" s="397"/>
      <c r="BT6409" s="397"/>
      <c r="BU6409" s="397"/>
      <c r="BV6409" s="397"/>
      <c r="BW6409" s="397"/>
      <c r="BX6409" s="397"/>
      <c r="BY6409" s="397"/>
      <c r="CA6409" s="392" t="s">
        <v>408</v>
      </c>
    </row>
    <row r="6410" spans="1:79" s="392" customFormat="1" ht="15" x14ac:dyDescent="0.25">
      <c r="A6410" s="430"/>
      <c r="B6410" s="386"/>
      <c r="C6410" s="386"/>
      <c r="D6410" s="434"/>
      <c r="E6410" s="385"/>
      <c r="F6410" s="432"/>
      <c r="G6410" s="401"/>
      <c r="H6410" s="401" t="s">
        <v>409</v>
      </c>
      <c r="I6410" s="401"/>
      <c r="J6410" s="401"/>
      <c r="K6410" s="401"/>
      <c r="L6410" s="672"/>
      <c r="M6410" s="673">
        <v>32647</v>
      </c>
      <c r="N6410" s="623">
        <v>1.3553414565032587</v>
      </c>
      <c r="O6410" s="625">
        <v>0.20539000588583331</v>
      </c>
      <c r="P6410" s="390">
        <v>0.46198133246546358</v>
      </c>
      <c r="Q6410" s="390">
        <v>0.9516114145470832</v>
      </c>
      <c r="R6410" s="390">
        <v>1.6935924312533477</v>
      </c>
      <c r="S6410" s="390">
        <v>7.7443450768565851</v>
      </c>
      <c r="T6410" s="388">
        <v>13.176614377871193</v>
      </c>
      <c r="U6410" s="388"/>
      <c r="V6410" s="391"/>
      <c r="W6410" s="391"/>
      <c r="X6410" s="391"/>
      <c r="Y6410" s="792"/>
      <c r="Z6410" s="388">
        <v>20</v>
      </c>
      <c r="AA6410" s="391">
        <v>1.6935924312533477</v>
      </c>
      <c r="AC6410" s="388"/>
      <c r="AD6410" s="388">
        <v>14.35608</v>
      </c>
      <c r="AE6410" s="388">
        <v>0.30175200000000002</v>
      </c>
      <c r="AF6410" s="388">
        <v>4.353294</v>
      </c>
      <c r="AG6410" s="391">
        <v>0.91744799999999993</v>
      </c>
      <c r="AH6410" s="397"/>
      <c r="AQ6410" s="397"/>
      <c r="AR6410" s="397"/>
      <c r="AS6410" s="397"/>
      <c r="AT6410" s="397"/>
      <c r="BE6410" s="397"/>
      <c r="BF6410" s="397"/>
      <c r="BG6410" s="397"/>
      <c r="BH6410" s="397"/>
      <c r="BI6410" s="397"/>
      <c r="BJ6410" s="397"/>
      <c r="BK6410" s="397"/>
      <c r="BL6410" s="397"/>
      <c r="BM6410" s="398"/>
      <c r="BN6410" s="398"/>
      <c r="BO6410" s="397"/>
      <c r="BP6410" s="398"/>
      <c r="BQ6410" s="398"/>
      <c r="BR6410" s="398"/>
      <c r="BS6410" s="397"/>
      <c r="BT6410" s="397"/>
      <c r="BU6410" s="397"/>
      <c r="BV6410" s="397"/>
      <c r="BW6410" s="397"/>
      <c r="BX6410" s="397"/>
      <c r="BY6410" s="397"/>
      <c r="CA6410" s="392" t="s">
        <v>408</v>
      </c>
    </row>
    <row r="6411" spans="1:79" s="392" customFormat="1" ht="15" x14ac:dyDescent="0.25">
      <c r="A6411" s="430"/>
      <c r="B6411" s="386"/>
      <c r="C6411" s="386"/>
      <c r="D6411" s="434"/>
      <c r="E6411" s="385"/>
      <c r="F6411" s="432"/>
      <c r="G6411" s="401"/>
      <c r="H6411" s="401" t="s">
        <v>409</v>
      </c>
      <c r="I6411" s="401"/>
      <c r="J6411" s="401"/>
      <c r="K6411" s="401"/>
      <c r="L6411" s="672"/>
      <c r="M6411" s="673">
        <v>32650</v>
      </c>
      <c r="N6411" s="623">
        <v>1.257013318220459</v>
      </c>
      <c r="O6411" s="625">
        <v>3.1880852904833334E-2</v>
      </c>
      <c r="P6411" s="390">
        <v>0.55375343702576807</v>
      </c>
      <c r="Q6411" s="390">
        <v>1.0043086335976166</v>
      </c>
      <c r="R6411" s="390">
        <v>1.3440799974879036</v>
      </c>
      <c r="S6411" s="390">
        <v>3.4690538928469654</v>
      </c>
      <c r="T6411" s="388">
        <v>7.546699586981247</v>
      </c>
      <c r="U6411" s="388"/>
      <c r="V6411" s="391"/>
      <c r="W6411" s="391"/>
      <c r="X6411" s="391"/>
      <c r="Y6411" s="792"/>
      <c r="Z6411" s="388">
        <v>12</v>
      </c>
      <c r="AA6411" s="391">
        <v>1.3440799974879036</v>
      </c>
      <c r="AC6411" s="388"/>
      <c r="AD6411" s="388">
        <v>8.7477599999999995</v>
      </c>
      <c r="AE6411" s="388">
        <v>0.19507200000000002</v>
      </c>
      <c r="AF6411" s="388">
        <v>1.6944959999999998</v>
      </c>
      <c r="AG6411" s="391">
        <v>0.79857600000000006</v>
      </c>
      <c r="AH6411" s="397"/>
      <c r="AQ6411" s="397"/>
      <c r="AR6411" s="397"/>
      <c r="AS6411" s="397"/>
      <c r="AT6411" s="397"/>
      <c r="BE6411" s="397"/>
      <c r="BF6411" s="397"/>
      <c r="BG6411" s="397"/>
      <c r="BH6411" s="397"/>
      <c r="BI6411" s="397"/>
      <c r="BJ6411" s="397"/>
      <c r="BK6411" s="397"/>
      <c r="BL6411" s="397"/>
      <c r="BM6411" s="398"/>
      <c r="BN6411" s="398"/>
      <c r="BO6411" s="397"/>
      <c r="BP6411" s="398"/>
      <c r="BQ6411" s="398"/>
      <c r="BR6411" s="398"/>
      <c r="BS6411" s="397"/>
      <c r="BT6411" s="397"/>
      <c r="BU6411" s="397"/>
      <c r="BV6411" s="397"/>
      <c r="BW6411" s="397"/>
      <c r="BX6411" s="397"/>
      <c r="BY6411" s="397"/>
      <c r="CA6411" s="392" t="s">
        <v>408</v>
      </c>
    </row>
    <row r="6412" spans="1:79" s="392" customFormat="1" ht="15" x14ac:dyDescent="0.25">
      <c r="A6412" s="430"/>
      <c r="B6412" s="386"/>
      <c r="C6412" s="386"/>
      <c r="D6412" s="434"/>
      <c r="E6412" s="385"/>
      <c r="F6412" s="432"/>
      <c r="G6412" s="401"/>
      <c r="H6412" s="401" t="s">
        <v>409</v>
      </c>
      <c r="I6412" s="401"/>
      <c r="J6412" s="401"/>
      <c r="K6412" s="401"/>
      <c r="L6412" s="672"/>
      <c r="M6412" s="673">
        <v>32652</v>
      </c>
      <c r="N6412" s="623">
        <v>1.1635024086143384</v>
      </c>
      <c r="O6412" s="625">
        <v>6.4976703379666656E-3</v>
      </c>
      <c r="P6412" s="390">
        <v>0.37128508098131663</v>
      </c>
      <c r="Q6412" s="390">
        <v>0.64396707092313776</v>
      </c>
      <c r="R6412" s="390">
        <v>0.8957552322511283</v>
      </c>
      <c r="S6412" s="390">
        <v>2.5606229724645271</v>
      </c>
      <c r="T6412" s="388">
        <v>5.0498112491931026</v>
      </c>
      <c r="U6412" s="388"/>
      <c r="V6412" s="391"/>
      <c r="W6412" s="391"/>
      <c r="X6412" s="391"/>
      <c r="Y6412" s="792"/>
      <c r="Z6412" s="388">
        <v>10</v>
      </c>
      <c r="AA6412" s="391">
        <v>0.8957552322511283</v>
      </c>
      <c r="AC6412" s="388"/>
      <c r="AD6412" s="388">
        <v>8.8087199999999992</v>
      </c>
      <c r="AE6412" s="388">
        <v>0.192024</v>
      </c>
      <c r="AF6412" s="388">
        <v>1.693567</v>
      </c>
      <c r="AG6412" s="391">
        <v>0.7406640000000001</v>
      </c>
      <c r="AH6412" s="397"/>
      <c r="AQ6412" s="397"/>
      <c r="AR6412" s="397"/>
      <c r="AS6412" s="397"/>
      <c r="AT6412" s="397"/>
      <c r="BE6412" s="397"/>
      <c r="BF6412" s="397"/>
      <c r="BG6412" s="397"/>
      <c r="BH6412" s="397"/>
      <c r="BI6412" s="397"/>
      <c r="BJ6412" s="397"/>
      <c r="BK6412" s="397"/>
      <c r="BL6412" s="397"/>
      <c r="BM6412" s="398"/>
      <c r="BN6412" s="398"/>
      <c r="BO6412" s="397"/>
      <c r="BP6412" s="398"/>
      <c r="BQ6412" s="398"/>
      <c r="BR6412" s="398"/>
      <c r="BS6412" s="397"/>
      <c r="BT6412" s="397"/>
      <c r="BU6412" s="397"/>
      <c r="BV6412" s="397"/>
      <c r="BW6412" s="397"/>
      <c r="BX6412" s="397"/>
      <c r="BY6412" s="397"/>
      <c r="CA6412" s="392" t="s">
        <v>408</v>
      </c>
    </row>
    <row r="6413" spans="1:79" s="392" customFormat="1" ht="15" x14ac:dyDescent="0.25">
      <c r="A6413" s="430"/>
      <c r="B6413" s="386"/>
      <c r="C6413" s="386"/>
      <c r="D6413" s="434"/>
      <c r="E6413" s="385"/>
      <c r="F6413" s="432"/>
      <c r="G6413" s="401"/>
      <c r="H6413" s="401" t="s">
        <v>409</v>
      </c>
      <c r="I6413" s="401"/>
      <c r="J6413" s="401"/>
      <c r="K6413" s="401"/>
      <c r="L6413" s="672"/>
      <c r="M6413" s="673">
        <v>32654</v>
      </c>
      <c r="N6413" s="623">
        <v>1.3525077925758004</v>
      </c>
      <c r="O6413" s="625">
        <v>1.2729974540000001E-2</v>
      </c>
      <c r="P6413" s="390">
        <v>0.44</v>
      </c>
      <c r="Q6413" s="390">
        <v>0.72</v>
      </c>
      <c r="R6413" s="390">
        <v>0.98</v>
      </c>
      <c r="S6413" s="390">
        <v>2.19</v>
      </c>
      <c r="T6413" s="388">
        <v>3.72</v>
      </c>
      <c r="U6413" s="388"/>
      <c r="V6413" s="391"/>
      <c r="W6413" s="391"/>
      <c r="X6413" s="391"/>
      <c r="Y6413" s="792"/>
      <c r="Z6413" s="388">
        <v>10</v>
      </c>
      <c r="AA6413" s="391">
        <v>0.98</v>
      </c>
      <c r="AC6413" s="388"/>
      <c r="AD6413" s="388">
        <v>8.6867999999999999</v>
      </c>
      <c r="AE6413" s="388">
        <v>0.173736</v>
      </c>
      <c r="AF6413" s="388">
        <v>1.5217019999999999</v>
      </c>
      <c r="AG6413" s="391">
        <v>0.76504799999999995</v>
      </c>
      <c r="AH6413" s="397"/>
      <c r="AQ6413" s="397"/>
      <c r="AR6413" s="397"/>
      <c r="AS6413" s="397"/>
      <c r="AT6413" s="397"/>
      <c r="BE6413" s="397"/>
      <c r="BF6413" s="397"/>
      <c r="BG6413" s="397"/>
      <c r="BH6413" s="397"/>
      <c r="BI6413" s="397"/>
      <c r="BJ6413" s="397"/>
      <c r="BK6413" s="397"/>
      <c r="BL6413" s="397"/>
      <c r="BM6413" s="398"/>
      <c r="BN6413" s="398"/>
      <c r="BO6413" s="397"/>
      <c r="BP6413" s="398"/>
      <c r="BQ6413" s="398"/>
      <c r="BR6413" s="398"/>
      <c r="BS6413" s="397"/>
      <c r="BT6413" s="397"/>
      <c r="BU6413" s="397"/>
      <c r="BV6413" s="397"/>
      <c r="BW6413" s="397"/>
      <c r="BX6413" s="397"/>
      <c r="BY6413" s="397"/>
      <c r="CA6413" s="392" t="s">
        <v>408</v>
      </c>
    </row>
    <row r="6414" spans="1:79" s="392" customFormat="1" ht="15" x14ac:dyDescent="0.25">
      <c r="A6414" s="430"/>
      <c r="B6414" s="386"/>
      <c r="C6414" s="386"/>
      <c r="D6414" s="434"/>
      <c r="E6414" s="385"/>
      <c r="F6414" s="432"/>
      <c r="G6414" s="401"/>
      <c r="H6414" s="401" t="s">
        <v>409</v>
      </c>
      <c r="I6414" s="401"/>
      <c r="J6414" s="401"/>
      <c r="K6414" s="401"/>
      <c r="L6414" s="672"/>
      <c r="M6414" s="673">
        <v>32656</v>
      </c>
      <c r="N6414" s="623">
        <v>1.1493340889770474</v>
      </c>
      <c r="O6414" s="625">
        <v>2.4022001955899999E-2</v>
      </c>
      <c r="P6414" s="390">
        <v>0.55000000000000004</v>
      </c>
      <c r="Q6414" s="390">
        <v>0.9</v>
      </c>
      <c r="R6414" s="390">
        <v>1.23</v>
      </c>
      <c r="S6414" s="390">
        <v>2.78</v>
      </c>
      <c r="T6414" s="388">
        <v>4.6900000000000004</v>
      </c>
      <c r="U6414" s="388"/>
      <c r="V6414" s="391"/>
      <c r="W6414" s="391"/>
      <c r="X6414" s="391"/>
      <c r="Y6414" s="792"/>
      <c r="Z6414" s="388">
        <v>10</v>
      </c>
      <c r="AA6414" s="391">
        <v>1.23</v>
      </c>
      <c r="AC6414" s="388"/>
      <c r="AD6414" s="388">
        <v>8.8696800000000007</v>
      </c>
      <c r="AE6414" s="388">
        <v>0.20116800000000001</v>
      </c>
      <c r="AF6414" s="388">
        <v>1.7948279999999999</v>
      </c>
      <c r="AG6414" s="391">
        <v>0.75285600000000008</v>
      </c>
      <c r="AH6414" s="397"/>
      <c r="AQ6414" s="397"/>
      <c r="AR6414" s="397"/>
      <c r="AS6414" s="397"/>
      <c r="AT6414" s="397"/>
      <c r="BE6414" s="397"/>
      <c r="BF6414" s="397"/>
      <c r="BG6414" s="397"/>
      <c r="BH6414" s="397"/>
      <c r="BI6414" s="397"/>
      <c r="BJ6414" s="397"/>
      <c r="BK6414" s="397"/>
      <c r="BL6414" s="397"/>
      <c r="BM6414" s="398"/>
      <c r="BN6414" s="398"/>
      <c r="BO6414" s="397"/>
      <c r="BP6414" s="398"/>
      <c r="BQ6414" s="398"/>
      <c r="BR6414" s="398"/>
      <c r="BS6414" s="397"/>
      <c r="BT6414" s="397"/>
      <c r="BU6414" s="397"/>
      <c r="BV6414" s="397"/>
      <c r="BW6414" s="397"/>
      <c r="BX6414" s="397"/>
      <c r="BY6414" s="397"/>
      <c r="CA6414" s="392" t="s">
        <v>408</v>
      </c>
    </row>
    <row r="6415" spans="1:79" s="392" customFormat="1" ht="15" x14ac:dyDescent="0.25">
      <c r="A6415" s="430"/>
      <c r="B6415" s="386"/>
      <c r="C6415" s="386"/>
      <c r="D6415" s="434"/>
      <c r="E6415" s="385"/>
      <c r="F6415" s="432"/>
      <c r="G6415" s="401"/>
      <c r="H6415" s="401" t="s">
        <v>409</v>
      </c>
      <c r="I6415" s="401"/>
      <c r="J6415" s="401"/>
      <c r="K6415" s="401"/>
      <c r="L6415" s="672"/>
      <c r="M6415" s="673">
        <v>32658</v>
      </c>
      <c r="N6415" s="623">
        <v>1.1275148767356191</v>
      </c>
      <c r="O6415" s="625">
        <v>6.5162869674E-3</v>
      </c>
      <c r="P6415" s="390">
        <v>0.4</v>
      </c>
      <c r="Q6415" s="390">
        <v>0.7</v>
      </c>
      <c r="R6415" s="390">
        <v>1.01</v>
      </c>
      <c r="S6415" s="390">
        <v>2.4500000000000002</v>
      </c>
      <c r="T6415" s="388">
        <v>3.83</v>
      </c>
      <c r="U6415" s="388"/>
      <c r="V6415" s="391"/>
      <c r="W6415" s="391"/>
      <c r="X6415" s="391"/>
      <c r="Y6415" s="792"/>
      <c r="Z6415" s="388">
        <v>5.5</v>
      </c>
      <c r="AA6415" s="391">
        <v>1.01</v>
      </c>
      <c r="AC6415" s="388"/>
      <c r="AD6415" s="388">
        <v>8.4734400000000001</v>
      </c>
      <c r="AE6415" s="388">
        <v>0.192024</v>
      </c>
      <c r="AF6415" s="388">
        <v>1.6183180000000001</v>
      </c>
      <c r="AG6415" s="391">
        <v>0.71018400000000004</v>
      </c>
      <c r="AH6415" s="397"/>
      <c r="AQ6415" s="397"/>
      <c r="AR6415" s="397"/>
      <c r="AS6415" s="397"/>
      <c r="AT6415" s="397"/>
      <c r="BE6415" s="397"/>
      <c r="BF6415" s="397"/>
      <c r="BG6415" s="397"/>
      <c r="BH6415" s="397"/>
      <c r="BI6415" s="397"/>
      <c r="BJ6415" s="397"/>
      <c r="BK6415" s="397"/>
      <c r="BL6415" s="397"/>
      <c r="BM6415" s="398"/>
      <c r="BN6415" s="398"/>
      <c r="BO6415" s="397"/>
      <c r="BP6415" s="398"/>
      <c r="BQ6415" s="398"/>
      <c r="BR6415" s="398"/>
      <c r="BS6415" s="397"/>
      <c r="BT6415" s="397"/>
      <c r="BU6415" s="397"/>
      <c r="BV6415" s="397"/>
      <c r="BW6415" s="397"/>
      <c r="BX6415" s="397"/>
      <c r="BY6415" s="397"/>
      <c r="CA6415" s="392" t="s">
        <v>408</v>
      </c>
    </row>
    <row r="6416" spans="1:79" s="392" customFormat="1" ht="15" x14ac:dyDescent="0.25">
      <c r="A6416" s="430"/>
      <c r="B6416" s="386"/>
      <c r="C6416" s="386"/>
      <c r="D6416" s="434"/>
      <c r="E6416" s="385"/>
      <c r="F6416" s="432"/>
      <c r="G6416" s="401"/>
      <c r="H6416" s="401" t="s">
        <v>409</v>
      </c>
      <c r="I6416" s="401"/>
      <c r="J6416" s="401"/>
      <c r="K6416" s="401"/>
      <c r="L6416" s="672"/>
      <c r="M6416" s="673">
        <v>32661</v>
      </c>
      <c r="N6416" s="623">
        <v>2.455936525928025</v>
      </c>
      <c r="O6416" s="625">
        <v>3.2673601319333332E-3</v>
      </c>
      <c r="P6416" s="390">
        <v>0.36</v>
      </c>
      <c r="Q6416" s="390">
        <v>0.56999999999999995</v>
      </c>
      <c r="R6416" s="390">
        <v>0.75</v>
      </c>
      <c r="S6416" s="390">
        <v>1.65</v>
      </c>
      <c r="T6416" s="388">
        <v>2.9</v>
      </c>
      <c r="U6416" s="388"/>
      <c r="V6416" s="391"/>
      <c r="W6416" s="391"/>
      <c r="X6416" s="391"/>
      <c r="Y6416" s="792"/>
      <c r="Z6416" s="388">
        <v>23</v>
      </c>
      <c r="AA6416" s="391">
        <v>0.75</v>
      </c>
      <c r="AC6416" s="388"/>
      <c r="AD6416" s="388">
        <v>8.1076800000000002</v>
      </c>
      <c r="AE6416" s="388">
        <v>0.19507200000000002</v>
      </c>
      <c r="AF6416" s="388">
        <v>1.572797</v>
      </c>
      <c r="AG6416" s="391">
        <v>0.71628000000000003</v>
      </c>
      <c r="AH6416" s="397"/>
      <c r="AQ6416" s="397"/>
      <c r="AR6416" s="397"/>
      <c r="AS6416" s="397"/>
      <c r="AT6416" s="397"/>
      <c r="BE6416" s="397"/>
      <c r="BF6416" s="397"/>
      <c r="BG6416" s="397"/>
      <c r="BH6416" s="397"/>
      <c r="BI6416" s="397"/>
      <c r="BJ6416" s="397"/>
      <c r="BK6416" s="397"/>
      <c r="BL6416" s="397"/>
      <c r="BM6416" s="398"/>
      <c r="BN6416" s="398"/>
      <c r="BO6416" s="397"/>
      <c r="BP6416" s="398"/>
      <c r="BQ6416" s="398"/>
      <c r="BR6416" s="398"/>
      <c r="BS6416" s="397"/>
      <c r="BT6416" s="397"/>
      <c r="BU6416" s="397"/>
      <c r="BV6416" s="397"/>
      <c r="BW6416" s="397"/>
      <c r="BX6416" s="397"/>
      <c r="BY6416" s="397"/>
      <c r="CA6416" s="392" t="s">
        <v>408</v>
      </c>
    </row>
    <row r="6417" spans="1:79" s="392" customFormat="1" ht="15" x14ac:dyDescent="0.25">
      <c r="A6417" s="430"/>
      <c r="B6417" s="386"/>
      <c r="C6417" s="386"/>
      <c r="D6417" s="434"/>
      <c r="E6417" s="385"/>
      <c r="F6417" s="432"/>
      <c r="G6417" s="401"/>
      <c r="H6417" s="401" t="s">
        <v>409</v>
      </c>
      <c r="I6417" s="401"/>
      <c r="J6417" s="401"/>
      <c r="K6417" s="401"/>
      <c r="L6417" s="672"/>
      <c r="M6417" s="673">
        <v>32684</v>
      </c>
      <c r="N6417" s="623">
        <v>0.9081892887503541</v>
      </c>
      <c r="O6417" s="625">
        <v>9.4449711100200007E-2</v>
      </c>
      <c r="P6417" s="390">
        <v>0.6</v>
      </c>
      <c r="Q6417" s="390">
        <v>1.21</v>
      </c>
      <c r="R6417" s="390">
        <v>1.81</v>
      </c>
      <c r="S6417" s="390">
        <v>5.53</v>
      </c>
      <c r="T6417" s="388">
        <v>10.72</v>
      </c>
      <c r="U6417" s="388"/>
      <c r="V6417" s="391"/>
      <c r="W6417" s="391"/>
      <c r="X6417" s="391"/>
      <c r="Y6417" s="792"/>
      <c r="Z6417" s="388">
        <v>7</v>
      </c>
      <c r="AA6417" s="391">
        <v>1.81</v>
      </c>
      <c r="AC6417" s="388"/>
      <c r="AD6417" s="388">
        <v>13.776960000000001</v>
      </c>
      <c r="AE6417" s="388">
        <v>0.210312</v>
      </c>
      <c r="AF6417" s="388">
        <v>2.8956930000000001</v>
      </c>
      <c r="AG6417" s="391">
        <v>0.84734399999999999</v>
      </c>
      <c r="AH6417" s="397"/>
      <c r="AQ6417" s="397"/>
      <c r="AR6417" s="397"/>
      <c r="AS6417" s="397"/>
      <c r="AT6417" s="397"/>
      <c r="BE6417" s="397"/>
      <c r="BF6417" s="397"/>
      <c r="BG6417" s="397"/>
      <c r="BH6417" s="397"/>
      <c r="BI6417" s="397"/>
      <c r="BJ6417" s="397"/>
      <c r="BK6417" s="397"/>
      <c r="BL6417" s="397"/>
      <c r="BM6417" s="398"/>
      <c r="BN6417" s="398"/>
      <c r="BO6417" s="397"/>
      <c r="BP6417" s="398"/>
      <c r="BQ6417" s="398"/>
      <c r="BR6417" s="398"/>
      <c r="BS6417" s="397"/>
      <c r="BT6417" s="397"/>
      <c r="BU6417" s="397"/>
      <c r="BV6417" s="397"/>
      <c r="BW6417" s="397"/>
      <c r="BX6417" s="397"/>
      <c r="BY6417" s="397"/>
      <c r="CA6417" s="392" t="s">
        <v>408</v>
      </c>
    </row>
    <row r="6418" spans="1:79" s="392" customFormat="1" ht="15" x14ac:dyDescent="0.25">
      <c r="A6418" s="430"/>
      <c r="B6418" s="386"/>
      <c r="C6418" s="386"/>
      <c r="D6418" s="434"/>
      <c r="E6418" s="385"/>
      <c r="F6418" s="432"/>
      <c r="G6418" s="401"/>
      <c r="H6418" s="401" t="s">
        <v>409</v>
      </c>
      <c r="I6418" s="401"/>
      <c r="J6418" s="401"/>
      <c r="K6418" s="401"/>
      <c r="L6418" s="672"/>
      <c r="M6418" s="673">
        <v>32698</v>
      </c>
      <c r="N6418" s="626"/>
      <c r="O6418" s="625"/>
      <c r="P6418" s="390">
        <v>0.41</v>
      </c>
      <c r="Q6418" s="390">
        <v>0.68</v>
      </c>
      <c r="R6418" s="390">
        <v>0.93</v>
      </c>
      <c r="S6418" s="390">
        <v>2.52</v>
      </c>
      <c r="T6418" s="388">
        <v>4.2</v>
      </c>
      <c r="U6418" s="388"/>
      <c r="V6418" s="391"/>
      <c r="W6418" s="391"/>
      <c r="X6418" s="391"/>
      <c r="Y6418" s="792"/>
      <c r="Z6418" s="388">
        <v>0</v>
      </c>
      <c r="AA6418" s="391">
        <v>0.93</v>
      </c>
      <c r="AC6418" s="388"/>
      <c r="AD6418" s="388">
        <v>7.6809599999999998</v>
      </c>
      <c r="AE6418" s="388">
        <v>0.18288000000000001</v>
      </c>
      <c r="AF6418" s="388">
        <v>1.407435</v>
      </c>
      <c r="AG6418" s="391">
        <v>0.64617600000000008</v>
      </c>
      <c r="AH6418" s="397"/>
      <c r="AQ6418" s="397"/>
      <c r="AR6418" s="397"/>
      <c r="AS6418" s="397"/>
      <c r="AT6418" s="397"/>
      <c r="BE6418" s="397"/>
      <c r="BF6418" s="397"/>
      <c r="BG6418" s="397"/>
      <c r="BH6418" s="397"/>
      <c r="BI6418" s="397"/>
      <c r="BJ6418" s="397"/>
      <c r="BK6418" s="397"/>
      <c r="BL6418" s="397"/>
      <c r="BM6418" s="398"/>
      <c r="BN6418" s="398"/>
      <c r="BO6418" s="397"/>
      <c r="BP6418" s="398"/>
      <c r="BQ6418" s="398"/>
      <c r="BR6418" s="398"/>
      <c r="BS6418" s="397"/>
      <c r="BT6418" s="397"/>
      <c r="BU6418" s="397"/>
      <c r="BV6418" s="397"/>
      <c r="BW6418" s="397"/>
      <c r="BX6418" s="397"/>
      <c r="BY6418" s="397"/>
      <c r="CA6418" s="392" t="s">
        <v>408</v>
      </c>
    </row>
    <row r="6419" spans="1:79" s="189" customFormat="1" ht="15" x14ac:dyDescent="0.25">
      <c r="A6419" s="24" t="s">
        <v>424</v>
      </c>
      <c r="B6419" s="14" t="s">
        <v>34</v>
      </c>
      <c r="C6419" s="14"/>
      <c r="D6419" s="4">
        <f>VLOOKUP(E6419,'Quality Code'!D4:E24,2,TRUE)*VLOOKUP(MROUND(F6419,10),'Quality Code'!D28:E69,2,TRUE)*VLOOKUP(COUNTA(CB6419:CB6429),'Quality Code'!D73:E93,2,TRUE)</f>
        <v>0.6</v>
      </c>
      <c r="E6419" s="14">
        <v>0.6</v>
      </c>
      <c r="F6419" s="18">
        <v>44</v>
      </c>
      <c r="G6419" s="2">
        <v>134.65088</v>
      </c>
      <c r="H6419" s="2" t="s">
        <v>105</v>
      </c>
      <c r="I6419" s="2"/>
      <c r="J6419" s="2"/>
      <c r="K6419" s="2"/>
      <c r="L6419" s="640"/>
      <c r="M6419" s="640">
        <v>1989</v>
      </c>
      <c r="N6419" s="578" t="s">
        <v>110</v>
      </c>
      <c r="O6419" s="622"/>
      <c r="P6419" s="376" t="s">
        <v>402</v>
      </c>
      <c r="Q6419" s="376" t="s">
        <v>403</v>
      </c>
      <c r="R6419" s="376" t="s">
        <v>404</v>
      </c>
      <c r="S6419" s="376" t="s">
        <v>405</v>
      </c>
      <c r="T6419" s="376" t="s">
        <v>406</v>
      </c>
      <c r="U6419" s="141" t="s">
        <v>20</v>
      </c>
      <c r="V6419" s="2"/>
      <c r="W6419" s="2"/>
      <c r="X6419" s="2"/>
      <c r="Y6419" s="2"/>
      <c r="Z6419" s="26"/>
      <c r="AA6419" s="26"/>
      <c r="AB6419" s="377"/>
      <c r="AC6419" s="26">
        <v>2.29E-2</v>
      </c>
      <c r="AD6419" s="26"/>
      <c r="AE6419" s="26"/>
      <c r="AF6419" s="26"/>
      <c r="AG6419" s="26"/>
      <c r="AH6419" s="4"/>
      <c r="AI6419" s="26"/>
      <c r="AJ6419" s="26"/>
      <c r="AK6419" s="26"/>
      <c r="AL6419" s="26"/>
      <c r="AM6419" s="26"/>
      <c r="AN6419" s="26"/>
      <c r="AO6419" s="26"/>
      <c r="AP6419" s="26"/>
      <c r="AQ6419" s="17"/>
      <c r="AR6419" s="552"/>
      <c r="AS6419" s="552"/>
      <c r="AT6419" s="552"/>
      <c r="AU6419" s="379"/>
      <c r="AV6419" s="17"/>
      <c r="AW6419" s="17"/>
      <c r="AX6419" s="17"/>
      <c r="AY6419" s="2"/>
      <c r="AZ6419" s="12"/>
      <c r="BA6419" s="12"/>
      <c r="BB6419" s="12"/>
      <c r="BC6419" s="12"/>
      <c r="BD6419" s="12"/>
      <c r="BE6419" s="4"/>
      <c r="BF6419" s="4"/>
      <c r="BG6419" s="4"/>
      <c r="BH6419" s="4"/>
      <c r="BI6419" s="12"/>
      <c r="BJ6419" s="2"/>
      <c r="BK6419" s="2"/>
      <c r="BL6419" s="4"/>
      <c r="BM6419" s="12">
        <v>4.922415700584728</v>
      </c>
      <c r="BN6419" s="12">
        <v>9.1744800000000009</v>
      </c>
      <c r="BO6419" s="12">
        <v>0.4209480398671096</v>
      </c>
      <c r="BP6419" s="4">
        <v>3.8619793728</v>
      </c>
      <c r="BQ6419" s="4">
        <v>21.794803945152758</v>
      </c>
      <c r="BR6419" s="4"/>
      <c r="BS6419" s="2"/>
      <c r="BT6419" s="9"/>
      <c r="BU6419" s="381"/>
      <c r="BV6419" s="382"/>
      <c r="BW6419" s="383"/>
      <c r="BX6419" s="383"/>
      <c r="BY6419" s="383"/>
      <c r="BZ6419" s="384"/>
      <c r="CA6419" s="411" t="s">
        <v>408</v>
      </c>
    </row>
    <row r="6420" spans="1:79" s="392" customFormat="1" ht="15" x14ac:dyDescent="0.25">
      <c r="A6420" s="430"/>
      <c r="B6420" s="386"/>
      <c r="C6420" s="386"/>
      <c r="D6420" s="434"/>
      <c r="E6420" s="385"/>
      <c r="F6420" s="432"/>
      <c r="G6420" s="401"/>
      <c r="H6420" s="401">
        <v>3</v>
      </c>
      <c r="I6420" s="401"/>
      <c r="J6420" s="401"/>
      <c r="K6420" s="401"/>
      <c r="L6420" s="672"/>
      <c r="M6420" s="673">
        <v>32622</v>
      </c>
      <c r="N6420" s="624">
        <v>1.1185214999999999</v>
      </c>
      <c r="O6420" s="625">
        <v>2.8233276866666663E-3</v>
      </c>
      <c r="P6420" s="390">
        <v>0.90616340669740492</v>
      </c>
      <c r="Q6420" s="390">
        <v>1.4567987165670111</v>
      </c>
      <c r="R6420" s="390">
        <v>1.9892407615495491</v>
      </c>
      <c r="S6420" s="390">
        <v>3.3605635124164026</v>
      </c>
      <c r="T6420" s="388">
        <v>3.980074371197019</v>
      </c>
      <c r="U6420" s="388"/>
      <c r="V6420" s="391"/>
      <c r="W6420" s="391"/>
      <c r="X6420" s="391"/>
      <c r="Y6420" s="792"/>
      <c r="Z6420" s="388">
        <v>6</v>
      </c>
      <c r="AA6420" s="391">
        <v>1.9892407615495491</v>
      </c>
      <c r="AC6420" s="115"/>
      <c r="AD6420" s="388">
        <v>6.7056000000000004</v>
      </c>
      <c r="AE6420" s="388">
        <v>0.20238720000000002</v>
      </c>
      <c r="AF6420" s="388">
        <v>1.3563399999999999</v>
      </c>
      <c r="AG6420" s="391">
        <v>0.82296000000000014</v>
      </c>
      <c r="AH6420" s="397"/>
      <c r="AQ6420" s="397"/>
      <c r="AR6420" s="397"/>
      <c r="AS6420" s="397"/>
      <c r="AT6420" s="397"/>
      <c r="BE6420" s="397"/>
      <c r="BF6420" s="397"/>
      <c r="BG6420" s="397"/>
      <c r="BH6420" s="397"/>
      <c r="BI6420" s="397"/>
      <c r="BJ6420" s="397"/>
      <c r="BK6420" s="397"/>
      <c r="BL6420" s="397"/>
      <c r="BM6420" s="398"/>
      <c r="BN6420" s="397"/>
      <c r="BO6420" s="397"/>
      <c r="BP6420" s="397"/>
      <c r="BQ6420" s="397"/>
      <c r="BR6420" s="397"/>
      <c r="BS6420" s="397"/>
      <c r="BT6420" s="397"/>
      <c r="BU6420" s="397"/>
      <c r="BV6420" s="397"/>
      <c r="BW6420" s="397"/>
      <c r="BX6420" s="397"/>
      <c r="BY6420" s="397"/>
      <c r="CA6420" s="392" t="s">
        <v>408</v>
      </c>
    </row>
    <row r="6421" spans="1:79" s="392" customFormat="1" ht="15" x14ac:dyDescent="0.25">
      <c r="A6421" s="430"/>
      <c r="B6421" s="386"/>
      <c r="C6421" s="386"/>
      <c r="D6421" s="434"/>
      <c r="E6421" s="385"/>
      <c r="F6421" s="432"/>
      <c r="G6421" s="401"/>
      <c r="H6421" s="401">
        <v>3</v>
      </c>
      <c r="I6421" s="401"/>
      <c r="J6421" s="401"/>
      <c r="K6421" s="401"/>
      <c r="L6421" s="672"/>
      <c r="M6421" s="673">
        <v>32623</v>
      </c>
      <c r="N6421" s="624">
        <v>1.0902045</v>
      </c>
      <c r="O6421" s="625">
        <v>6.1773209786666655E-4</v>
      </c>
      <c r="P6421" s="390">
        <v>1.0792282365044272</v>
      </c>
      <c r="Q6421" s="390">
        <v>1.5764360719584751</v>
      </c>
      <c r="R6421" s="390">
        <v>2.065529446912</v>
      </c>
      <c r="S6421" s="390">
        <v>3.237507917361528</v>
      </c>
      <c r="T6421" s="388">
        <v>3.7441835534375407</v>
      </c>
      <c r="U6421" s="388"/>
      <c r="V6421" s="391"/>
      <c r="W6421" s="391"/>
      <c r="X6421" s="391"/>
      <c r="Y6421" s="792"/>
      <c r="Z6421" s="388">
        <v>3</v>
      </c>
      <c r="AA6421" s="391">
        <v>2.065529446912</v>
      </c>
      <c r="AC6421" s="115"/>
      <c r="AD6421" s="388">
        <v>6.8884800000000004</v>
      </c>
      <c r="AE6421" s="388">
        <v>0.21061679999999999</v>
      </c>
      <c r="AF6421" s="388">
        <v>1.4492399999999999</v>
      </c>
      <c r="AG6421" s="391">
        <v>0.75285600000000008</v>
      </c>
      <c r="AH6421" s="397"/>
      <c r="AQ6421" s="397"/>
      <c r="AR6421" s="397"/>
      <c r="AS6421" s="397"/>
      <c r="AT6421" s="397"/>
      <c r="BE6421" s="397"/>
      <c r="BF6421" s="397"/>
      <c r="BG6421" s="397"/>
      <c r="BH6421" s="397"/>
      <c r="BI6421" s="397"/>
      <c r="BJ6421" s="397"/>
      <c r="BK6421" s="397"/>
      <c r="BL6421" s="397"/>
      <c r="BM6421" s="398"/>
      <c r="BN6421" s="397"/>
      <c r="BO6421" s="397"/>
      <c r="BP6421" s="397"/>
      <c r="BQ6421" s="397"/>
      <c r="BR6421" s="397"/>
      <c r="BS6421" s="397"/>
      <c r="BT6421" s="397"/>
      <c r="BU6421" s="397"/>
      <c r="BV6421" s="397"/>
      <c r="BW6421" s="397"/>
      <c r="BX6421" s="397"/>
      <c r="BY6421" s="397"/>
      <c r="CA6421" s="392" t="s">
        <v>408</v>
      </c>
    </row>
    <row r="6422" spans="1:79" s="392" customFormat="1" ht="15" x14ac:dyDescent="0.25">
      <c r="A6422" s="430"/>
      <c r="B6422" s="386"/>
      <c r="C6422" s="386"/>
      <c r="D6422" s="434"/>
      <c r="E6422" s="385"/>
      <c r="F6422" s="432"/>
      <c r="G6422" s="401"/>
      <c r="H6422" s="401">
        <v>3</v>
      </c>
      <c r="I6422" s="401"/>
      <c r="J6422" s="401"/>
      <c r="K6422" s="401"/>
      <c r="L6422" s="672"/>
      <c r="M6422" s="673">
        <v>32624</v>
      </c>
      <c r="N6422" s="624">
        <v>0.85800509999999997</v>
      </c>
      <c r="O6422" s="625">
        <v>4.9690900617999998E-3</v>
      </c>
      <c r="P6422" s="390">
        <v>0.62844445496522672</v>
      </c>
      <c r="Q6422" s="390">
        <v>1.038422084608043</v>
      </c>
      <c r="R6422" s="390">
        <v>1.2979169596382838</v>
      </c>
      <c r="S6422" s="390">
        <v>2.3839158870471717</v>
      </c>
      <c r="T6422" s="388">
        <v>3.5292182709917168</v>
      </c>
      <c r="U6422" s="388"/>
      <c r="V6422" s="391"/>
      <c r="W6422" s="391"/>
      <c r="X6422" s="391"/>
      <c r="Y6422" s="792"/>
      <c r="Z6422" s="388">
        <v>7</v>
      </c>
      <c r="AA6422" s="391">
        <v>1.2979169596382838</v>
      </c>
      <c r="AC6422" s="115"/>
      <c r="AD6422" s="388">
        <v>6.7665600000000001</v>
      </c>
      <c r="AE6422" s="388">
        <v>0.173736</v>
      </c>
      <c r="AF6422" s="388">
        <v>1.1798299999999999</v>
      </c>
      <c r="AG6422" s="391">
        <v>0.72847200000000012</v>
      </c>
      <c r="AH6422" s="397"/>
      <c r="AQ6422" s="397"/>
      <c r="AR6422" s="397"/>
      <c r="AS6422" s="397"/>
      <c r="AT6422" s="397"/>
      <c r="BE6422" s="397"/>
      <c r="BF6422" s="397"/>
      <c r="BG6422" s="397"/>
      <c r="BH6422" s="397"/>
      <c r="BI6422" s="397"/>
      <c r="BJ6422" s="397"/>
      <c r="BK6422" s="397"/>
      <c r="BL6422" s="397"/>
      <c r="BM6422" s="398"/>
      <c r="BN6422" s="397"/>
      <c r="BO6422" s="397"/>
      <c r="BP6422" s="397"/>
      <c r="BQ6422" s="397"/>
      <c r="BR6422" s="397"/>
      <c r="BS6422" s="397"/>
      <c r="BT6422" s="397"/>
      <c r="BU6422" s="397"/>
      <c r="BV6422" s="397"/>
      <c r="BW6422" s="397"/>
      <c r="BX6422" s="397"/>
      <c r="BY6422" s="397"/>
      <c r="CA6422" s="392" t="s">
        <v>408</v>
      </c>
    </row>
    <row r="6423" spans="1:79" s="392" customFormat="1" ht="15" x14ac:dyDescent="0.25">
      <c r="A6423" s="430"/>
      <c r="B6423" s="386"/>
      <c r="C6423" s="386"/>
      <c r="D6423" s="434"/>
      <c r="E6423" s="385"/>
      <c r="F6423" s="432"/>
      <c r="G6423" s="401"/>
      <c r="H6423" s="401">
        <v>3</v>
      </c>
      <c r="I6423" s="401"/>
      <c r="J6423" s="401"/>
      <c r="K6423" s="401"/>
      <c r="L6423" s="672"/>
      <c r="M6423" s="673">
        <v>32625</v>
      </c>
      <c r="N6423" s="624">
        <v>1.0109169</v>
      </c>
      <c r="O6423" s="625">
        <v>1.7518464962999998E-3</v>
      </c>
      <c r="P6423" s="390">
        <v>0.57372092896329652</v>
      </c>
      <c r="Q6423" s="390">
        <v>1.0628377298483977</v>
      </c>
      <c r="R6423" s="390">
        <v>1.389647623182058</v>
      </c>
      <c r="S6423" s="390">
        <v>2.9664290405129181</v>
      </c>
      <c r="T6423" s="388">
        <v>4.1825182008682447</v>
      </c>
      <c r="U6423" s="388"/>
      <c r="V6423" s="391"/>
      <c r="W6423" s="391"/>
      <c r="X6423" s="391"/>
      <c r="Y6423" s="792"/>
      <c r="Z6423" s="388">
        <v>6</v>
      </c>
      <c r="AA6423" s="391">
        <v>1.389647623182058</v>
      </c>
      <c r="AC6423" s="115"/>
      <c r="AD6423" s="388">
        <v>6.9799199999999999</v>
      </c>
      <c r="AE6423" s="388">
        <v>0.18592800000000001</v>
      </c>
      <c r="AF6423" s="388">
        <v>1.3006</v>
      </c>
      <c r="AG6423" s="391">
        <v>0.78028800000000009</v>
      </c>
      <c r="AH6423" s="397"/>
      <c r="AQ6423" s="397"/>
      <c r="AR6423" s="397"/>
      <c r="AS6423" s="397"/>
      <c r="AT6423" s="397"/>
      <c r="BE6423" s="397"/>
      <c r="BF6423" s="397"/>
      <c r="BG6423" s="397"/>
      <c r="BH6423" s="397"/>
      <c r="BI6423" s="397"/>
      <c r="BJ6423" s="397"/>
      <c r="BK6423" s="397"/>
      <c r="BL6423" s="397"/>
      <c r="BM6423" s="398"/>
      <c r="BN6423" s="397"/>
      <c r="BO6423" s="397"/>
      <c r="BP6423" s="397"/>
      <c r="BQ6423" s="397"/>
      <c r="BR6423" s="397"/>
      <c r="BS6423" s="397"/>
      <c r="BT6423" s="397"/>
      <c r="BU6423" s="397"/>
      <c r="BV6423" s="397"/>
      <c r="BW6423" s="397"/>
      <c r="BX6423" s="397"/>
      <c r="BY6423" s="397"/>
      <c r="CA6423" s="392" t="s">
        <v>408</v>
      </c>
    </row>
    <row r="6424" spans="1:79" s="392" customFormat="1" ht="15" x14ac:dyDescent="0.25">
      <c r="A6424" s="430"/>
      <c r="B6424" s="386"/>
      <c r="C6424" s="386"/>
      <c r="D6424" s="434"/>
      <c r="E6424" s="385"/>
      <c r="F6424" s="432"/>
      <c r="G6424" s="401"/>
      <c r="H6424" s="401">
        <v>3</v>
      </c>
      <c r="I6424" s="401"/>
      <c r="J6424" s="401"/>
      <c r="K6424" s="401"/>
      <c r="L6424" s="672"/>
      <c r="M6424" s="673">
        <v>32626</v>
      </c>
      <c r="N6424" s="624">
        <v>0.8410148999999999</v>
      </c>
      <c r="O6424" s="625">
        <v>7.589984819999999E-4</v>
      </c>
      <c r="P6424" s="390">
        <v>1.02</v>
      </c>
      <c r="Q6424" s="390">
        <v>1.68</v>
      </c>
      <c r="R6424" s="390">
        <v>3.01</v>
      </c>
      <c r="S6424" s="390">
        <v>19.55</v>
      </c>
      <c r="T6424" s="388">
        <v>21.47</v>
      </c>
      <c r="U6424" s="388"/>
      <c r="V6424" s="391"/>
      <c r="W6424" s="391"/>
      <c r="X6424" s="391"/>
      <c r="Y6424" s="792"/>
      <c r="Z6424" s="388">
        <v>21</v>
      </c>
      <c r="AA6424" s="391">
        <v>3.01</v>
      </c>
      <c r="AC6424" s="115"/>
      <c r="AD6424" s="388">
        <v>6.7056000000000004</v>
      </c>
      <c r="AE6424" s="388">
        <v>0.19812000000000002</v>
      </c>
      <c r="AF6424" s="388">
        <v>1.32847</v>
      </c>
      <c r="AG6424" s="391">
        <v>0.6339840000000001</v>
      </c>
      <c r="AH6424" s="397"/>
      <c r="AQ6424" s="397"/>
      <c r="AR6424" s="397"/>
      <c r="AS6424" s="397"/>
      <c r="AT6424" s="397"/>
      <c r="BE6424" s="397"/>
      <c r="BF6424" s="397"/>
      <c r="BG6424" s="397"/>
      <c r="BH6424" s="397"/>
      <c r="BI6424" s="397"/>
      <c r="BJ6424" s="397"/>
      <c r="BK6424" s="397"/>
      <c r="BL6424" s="397"/>
      <c r="BM6424" s="398"/>
      <c r="BN6424" s="397"/>
      <c r="BO6424" s="397"/>
      <c r="BP6424" s="397"/>
      <c r="BQ6424" s="397"/>
      <c r="BR6424" s="397"/>
      <c r="BS6424" s="397"/>
      <c r="BT6424" s="397"/>
      <c r="BU6424" s="397"/>
      <c r="BV6424" s="397"/>
      <c r="BW6424" s="397"/>
      <c r="BX6424" s="397"/>
      <c r="BY6424" s="397"/>
      <c r="CA6424" s="392" t="s">
        <v>408</v>
      </c>
    </row>
    <row r="6425" spans="1:79" s="392" customFormat="1" ht="15" x14ac:dyDescent="0.25">
      <c r="A6425" s="430"/>
      <c r="B6425" s="386"/>
      <c r="C6425" s="386"/>
      <c r="D6425" s="434"/>
      <c r="E6425" s="385"/>
      <c r="F6425" s="432"/>
      <c r="G6425" s="401"/>
      <c r="H6425" s="401">
        <v>3</v>
      </c>
      <c r="I6425" s="401"/>
      <c r="J6425" s="401"/>
      <c r="K6425" s="401"/>
      <c r="L6425" s="672"/>
      <c r="M6425" s="673">
        <v>32629</v>
      </c>
      <c r="N6425" s="624">
        <v>0.42758669999999999</v>
      </c>
      <c r="O6425" s="625">
        <v>3.266660133333333E-6</v>
      </c>
      <c r="P6425" s="390" t="e">
        <v>#N/A</v>
      </c>
      <c r="Q6425" s="390" t="e">
        <v>#N/A</v>
      </c>
      <c r="R6425" s="390" t="e">
        <v>#N/A</v>
      </c>
      <c r="S6425" s="390" t="e">
        <v>#N/A</v>
      </c>
      <c r="T6425" s="388" t="e">
        <v>#N/A</v>
      </c>
      <c r="U6425" s="388"/>
      <c r="V6425" s="391"/>
      <c r="W6425" s="391"/>
      <c r="X6425" s="391"/>
      <c r="Y6425" s="792"/>
      <c r="Z6425" s="388" t="e">
        <v>#N/A</v>
      </c>
      <c r="AA6425" s="391" t="e">
        <v>#N/A</v>
      </c>
      <c r="AC6425" s="115"/>
      <c r="AD6425" s="388">
        <v>5.9740800000000007</v>
      </c>
      <c r="AE6425" s="388">
        <v>0.12374880000000002</v>
      </c>
      <c r="AF6425" s="388">
        <v>0.91971000000000003</v>
      </c>
      <c r="AG6425" s="391">
        <v>0.46329600000000004</v>
      </c>
      <c r="AH6425" s="397"/>
      <c r="AQ6425" s="397"/>
      <c r="AR6425" s="397"/>
      <c r="AS6425" s="397"/>
      <c r="AT6425" s="397"/>
      <c r="BE6425" s="397"/>
      <c r="BF6425" s="397"/>
      <c r="BG6425" s="397"/>
      <c r="BH6425" s="397"/>
      <c r="BI6425" s="397"/>
      <c r="BJ6425" s="397"/>
      <c r="BK6425" s="397"/>
      <c r="BL6425" s="397"/>
      <c r="BM6425" s="398"/>
      <c r="BN6425" s="397"/>
      <c r="BO6425" s="397"/>
      <c r="BP6425" s="397"/>
      <c r="BQ6425" s="397"/>
      <c r="BR6425" s="397"/>
      <c r="BS6425" s="397"/>
      <c r="BT6425" s="397"/>
      <c r="BU6425" s="397"/>
      <c r="BV6425" s="397"/>
      <c r="BW6425" s="397"/>
      <c r="BX6425" s="397"/>
      <c r="BY6425" s="397"/>
      <c r="CA6425" s="392" t="s">
        <v>408</v>
      </c>
    </row>
    <row r="6426" spans="1:79" s="392" customFormat="1" ht="15" x14ac:dyDescent="0.25">
      <c r="A6426" s="430"/>
      <c r="B6426" s="386"/>
      <c r="C6426" s="386"/>
      <c r="D6426" s="434"/>
      <c r="E6426" s="385"/>
      <c r="F6426" s="432"/>
      <c r="G6426" s="401"/>
      <c r="H6426" s="401">
        <v>3</v>
      </c>
      <c r="I6426" s="401"/>
      <c r="J6426" s="401"/>
      <c r="K6426" s="401"/>
      <c r="L6426" s="672"/>
      <c r="M6426" s="673">
        <v>32630</v>
      </c>
      <c r="N6426" s="624">
        <v>0.69376649999999995</v>
      </c>
      <c r="O6426" s="625">
        <v>3.5666595333333326E-6</v>
      </c>
      <c r="P6426" s="390" t="e">
        <v>#N/A</v>
      </c>
      <c r="Q6426" s="390" t="e">
        <v>#N/A</v>
      </c>
      <c r="R6426" s="390" t="e">
        <v>#N/A</v>
      </c>
      <c r="S6426" s="390" t="e">
        <v>#N/A</v>
      </c>
      <c r="T6426" s="388" t="e">
        <v>#N/A</v>
      </c>
      <c r="U6426" s="388"/>
      <c r="V6426" s="391"/>
      <c r="W6426" s="391"/>
      <c r="X6426" s="391"/>
      <c r="Y6426" s="792"/>
      <c r="Z6426" s="388" t="e">
        <v>#N/A</v>
      </c>
      <c r="AA6426" s="391" t="e">
        <v>#N/A</v>
      </c>
      <c r="AC6426" s="115"/>
      <c r="AD6426" s="388">
        <v>6.5227199999999996</v>
      </c>
      <c r="AE6426" s="388">
        <v>0.17465039999999998</v>
      </c>
      <c r="AF6426" s="388">
        <v>1.1426700000000001</v>
      </c>
      <c r="AG6426" s="391">
        <v>0.60960000000000003</v>
      </c>
      <c r="AH6426" s="397"/>
      <c r="AQ6426" s="397"/>
      <c r="AR6426" s="397"/>
      <c r="AS6426" s="397"/>
      <c r="AT6426" s="397"/>
      <c r="BE6426" s="397"/>
      <c r="BF6426" s="397"/>
      <c r="BG6426" s="397"/>
      <c r="BH6426" s="397"/>
      <c r="BI6426" s="397"/>
      <c r="BJ6426" s="397"/>
      <c r="BK6426" s="397"/>
      <c r="BL6426" s="397"/>
      <c r="BM6426" s="398"/>
      <c r="BN6426" s="397"/>
      <c r="BO6426" s="397"/>
      <c r="BP6426" s="397"/>
      <c r="BQ6426" s="397"/>
      <c r="BR6426" s="397"/>
      <c r="BS6426" s="397"/>
      <c r="BT6426" s="397"/>
      <c r="BU6426" s="397"/>
      <c r="BV6426" s="397"/>
      <c r="BW6426" s="397"/>
      <c r="BX6426" s="397"/>
      <c r="BY6426" s="397"/>
      <c r="CA6426" s="392" t="s">
        <v>408</v>
      </c>
    </row>
    <row r="6427" spans="1:79" s="392" customFormat="1" ht="15" x14ac:dyDescent="0.25">
      <c r="A6427" s="430"/>
      <c r="B6427" s="386"/>
      <c r="C6427" s="386"/>
      <c r="D6427" s="434"/>
      <c r="E6427" s="385"/>
      <c r="F6427" s="432"/>
      <c r="G6427" s="401"/>
      <c r="H6427" s="401">
        <v>3</v>
      </c>
      <c r="I6427" s="401"/>
      <c r="J6427" s="401"/>
      <c r="K6427" s="401"/>
      <c r="L6427" s="672"/>
      <c r="M6427" s="673">
        <v>32632</v>
      </c>
      <c r="N6427" s="624">
        <v>0.72208349999999999</v>
      </c>
      <c r="O6427" s="625">
        <v>3.5833261666666665E-6</v>
      </c>
      <c r="P6427" s="390" t="e">
        <v>#N/A</v>
      </c>
      <c r="Q6427" s="390" t="e">
        <v>#N/A</v>
      </c>
      <c r="R6427" s="390" t="e">
        <v>#N/A</v>
      </c>
      <c r="S6427" s="390" t="e">
        <v>#N/A</v>
      </c>
      <c r="T6427" s="388" t="e">
        <v>#N/A</v>
      </c>
      <c r="U6427" s="388"/>
      <c r="V6427" s="391"/>
      <c r="W6427" s="391"/>
      <c r="X6427" s="391"/>
      <c r="Y6427" s="792"/>
      <c r="Z6427" s="388" t="e">
        <v>#N/A</v>
      </c>
      <c r="AA6427" s="391" t="e">
        <v>#N/A</v>
      </c>
      <c r="AC6427" s="115"/>
      <c r="AD6427" s="388">
        <v>6.5532000000000004</v>
      </c>
      <c r="AE6427" s="388">
        <v>0.1740408</v>
      </c>
      <c r="AF6427" s="388">
        <v>1.1426700000000001</v>
      </c>
      <c r="AG6427" s="391">
        <v>0.63093599999999994</v>
      </c>
      <c r="AH6427" s="397"/>
      <c r="AQ6427" s="397"/>
      <c r="AR6427" s="397"/>
      <c r="AS6427" s="397"/>
      <c r="AT6427" s="397"/>
      <c r="BE6427" s="397"/>
      <c r="BF6427" s="397"/>
      <c r="BG6427" s="397"/>
      <c r="BH6427" s="397"/>
      <c r="BI6427" s="397"/>
      <c r="BJ6427" s="397"/>
      <c r="BK6427" s="397"/>
      <c r="BL6427" s="397"/>
      <c r="BM6427" s="398"/>
      <c r="BN6427" s="397"/>
      <c r="BO6427" s="397"/>
      <c r="BP6427" s="397"/>
      <c r="BQ6427" s="397"/>
      <c r="BR6427" s="397"/>
      <c r="BS6427" s="397"/>
      <c r="BT6427" s="397"/>
      <c r="BU6427" s="397"/>
      <c r="BV6427" s="397"/>
      <c r="BW6427" s="397"/>
      <c r="BX6427" s="397"/>
      <c r="BY6427" s="397"/>
      <c r="CA6427" s="392" t="s">
        <v>408</v>
      </c>
    </row>
    <row r="6428" spans="1:79" s="392" customFormat="1" ht="15" x14ac:dyDescent="0.25">
      <c r="A6428" s="430"/>
      <c r="B6428" s="386"/>
      <c r="C6428" s="386"/>
      <c r="D6428" s="434"/>
      <c r="E6428" s="385"/>
      <c r="F6428" s="432"/>
      <c r="G6428" s="401"/>
      <c r="H6428" s="401">
        <v>3</v>
      </c>
      <c r="I6428" s="401"/>
      <c r="J6428" s="401"/>
      <c r="K6428" s="401"/>
      <c r="L6428" s="672"/>
      <c r="M6428" s="673">
        <v>32633</v>
      </c>
      <c r="N6428" s="624">
        <v>0.63713249999999999</v>
      </c>
      <c r="O6428" s="625">
        <v>3.4999929999999995E-6</v>
      </c>
      <c r="P6428" s="390" t="e">
        <v>#N/A</v>
      </c>
      <c r="Q6428" s="390" t="e">
        <v>#N/A</v>
      </c>
      <c r="R6428" s="390" t="e">
        <v>#N/A</v>
      </c>
      <c r="S6428" s="390" t="e">
        <v>#N/A</v>
      </c>
      <c r="T6428" s="388" t="e">
        <v>#N/A</v>
      </c>
      <c r="U6428" s="388"/>
      <c r="V6428" s="391"/>
      <c r="W6428" s="391"/>
      <c r="X6428" s="391"/>
      <c r="Y6428" s="792"/>
      <c r="Z6428" s="388" t="e">
        <v>#N/A</v>
      </c>
      <c r="AA6428" s="391" t="e">
        <v>#N/A</v>
      </c>
      <c r="AC6428" s="115"/>
      <c r="AD6428" s="388">
        <v>6.4008000000000003</v>
      </c>
      <c r="AE6428" s="388">
        <v>0.16550640000000003</v>
      </c>
      <c r="AF6428" s="388">
        <v>1.0590599999999999</v>
      </c>
      <c r="AG6428" s="391">
        <v>0.60045599999999999</v>
      </c>
      <c r="AH6428" s="397"/>
      <c r="AQ6428" s="397"/>
      <c r="AR6428" s="397"/>
      <c r="AS6428" s="397"/>
      <c r="AT6428" s="397"/>
      <c r="BE6428" s="397"/>
      <c r="BF6428" s="397"/>
      <c r="BG6428" s="397"/>
      <c r="BH6428" s="397"/>
      <c r="BI6428" s="397"/>
      <c r="BJ6428" s="397"/>
      <c r="BK6428" s="397"/>
      <c r="BL6428" s="397"/>
      <c r="BM6428" s="398"/>
      <c r="BN6428" s="397"/>
      <c r="BO6428" s="397"/>
      <c r="BP6428" s="397"/>
      <c r="BQ6428" s="397"/>
      <c r="BR6428" s="397"/>
      <c r="BS6428" s="397"/>
      <c r="BT6428" s="397"/>
      <c r="BU6428" s="397"/>
      <c r="BV6428" s="397"/>
      <c r="BW6428" s="397"/>
      <c r="BX6428" s="397"/>
      <c r="BY6428" s="397"/>
      <c r="CA6428" s="392" t="s">
        <v>408</v>
      </c>
    </row>
    <row r="6429" spans="1:79" s="392" customFormat="1" ht="15" x14ac:dyDescent="0.25">
      <c r="A6429" s="430"/>
      <c r="B6429" s="386"/>
      <c r="C6429" s="386"/>
      <c r="D6429" s="434"/>
      <c r="E6429" s="385"/>
      <c r="F6429" s="432"/>
      <c r="G6429" s="401"/>
      <c r="H6429" s="401">
        <v>3</v>
      </c>
      <c r="I6429" s="401"/>
      <c r="J6429" s="401"/>
      <c r="K6429" s="401"/>
      <c r="L6429" s="672"/>
      <c r="M6429" s="673">
        <v>32634</v>
      </c>
      <c r="N6429" s="624">
        <v>0.71075670000000002</v>
      </c>
      <c r="O6429" s="625">
        <v>3.5499929E-6</v>
      </c>
      <c r="P6429" s="390" t="e">
        <v>#N/A</v>
      </c>
      <c r="Q6429" s="390" t="e">
        <v>#N/A</v>
      </c>
      <c r="R6429" s="390" t="e">
        <v>#N/A</v>
      </c>
      <c r="S6429" s="390" t="e">
        <v>#N/A</v>
      </c>
      <c r="T6429" s="388" t="e">
        <v>#N/A</v>
      </c>
      <c r="U6429" s="388"/>
      <c r="V6429" s="391"/>
      <c r="W6429" s="391"/>
      <c r="X6429" s="391"/>
      <c r="Y6429" s="792"/>
      <c r="Z6429" s="388" t="e">
        <v>#N/A</v>
      </c>
      <c r="AA6429" s="391" t="e">
        <v>#N/A</v>
      </c>
      <c r="AC6429" s="115"/>
      <c r="AD6429" s="388">
        <v>6.4922400000000007</v>
      </c>
      <c r="AE6429" s="388">
        <v>0.16733520000000002</v>
      </c>
      <c r="AF6429" s="388">
        <v>1.08693</v>
      </c>
      <c r="AG6429" s="391">
        <v>0.65227200000000007</v>
      </c>
      <c r="AH6429" s="397"/>
      <c r="AQ6429" s="397"/>
      <c r="AR6429" s="397"/>
      <c r="AS6429" s="397"/>
      <c r="AT6429" s="397"/>
      <c r="BE6429" s="397"/>
      <c r="BF6429" s="397"/>
      <c r="BG6429" s="397"/>
      <c r="BH6429" s="397"/>
      <c r="BI6429" s="397"/>
      <c r="BJ6429" s="397"/>
      <c r="BK6429" s="397"/>
      <c r="BL6429" s="397"/>
      <c r="BM6429" s="398"/>
      <c r="BN6429" s="397"/>
      <c r="BO6429" s="397"/>
      <c r="BP6429" s="397"/>
      <c r="BQ6429" s="397"/>
      <c r="BR6429" s="397"/>
      <c r="BS6429" s="397"/>
      <c r="BT6429" s="397"/>
      <c r="BU6429" s="397"/>
      <c r="BV6429" s="397"/>
      <c r="BW6429" s="397"/>
      <c r="BX6429" s="397"/>
      <c r="BY6429" s="397"/>
      <c r="CA6429" s="392" t="s">
        <v>408</v>
      </c>
    </row>
    <row r="6430" spans="1:79" s="392" customFormat="1" ht="15" x14ac:dyDescent="0.25">
      <c r="A6430" s="430"/>
      <c r="B6430" s="386"/>
      <c r="C6430" s="386"/>
      <c r="D6430" s="434"/>
      <c r="E6430" s="385"/>
      <c r="F6430" s="432"/>
      <c r="G6430" s="401"/>
      <c r="H6430" s="401">
        <v>3</v>
      </c>
      <c r="I6430" s="401"/>
      <c r="J6430" s="401"/>
      <c r="K6430" s="401"/>
      <c r="L6430" s="672"/>
      <c r="M6430" s="673">
        <v>32635</v>
      </c>
      <c r="N6430" s="624">
        <v>0.84667829999999988</v>
      </c>
      <c r="O6430" s="625">
        <v>2.3183286966666663E-4</v>
      </c>
      <c r="P6430" s="390">
        <v>0.54525386633262873</v>
      </c>
      <c r="Q6430" s="390">
        <v>0.82125894881928863</v>
      </c>
      <c r="R6430" s="390">
        <v>1.0842268703014184</v>
      </c>
      <c r="S6430" s="390">
        <v>1.8066704015823645</v>
      </c>
      <c r="T6430" s="388">
        <v>2.7479072949161782</v>
      </c>
      <c r="U6430" s="388"/>
      <c r="V6430" s="391"/>
      <c r="W6430" s="391"/>
      <c r="X6430" s="391"/>
      <c r="Y6430" s="792"/>
      <c r="Z6430" s="388">
        <v>3</v>
      </c>
      <c r="AA6430" s="391">
        <v>1.0842268703014184</v>
      </c>
      <c r="AC6430" s="115"/>
      <c r="AD6430" s="388">
        <v>6.5227199999999996</v>
      </c>
      <c r="AE6430" s="388">
        <v>0.17983199999999999</v>
      </c>
      <c r="AF6430" s="388">
        <v>1.19841</v>
      </c>
      <c r="AG6430" s="391">
        <v>0.70713599999999999</v>
      </c>
      <c r="AH6430" s="397"/>
      <c r="AQ6430" s="397"/>
      <c r="AR6430" s="397"/>
      <c r="AS6430" s="397"/>
      <c r="AT6430" s="397"/>
      <c r="BE6430" s="397"/>
      <c r="BF6430" s="397"/>
      <c r="BG6430" s="397"/>
      <c r="BH6430" s="397"/>
      <c r="BI6430" s="397"/>
      <c r="BJ6430" s="397"/>
      <c r="BK6430" s="397"/>
      <c r="BL6430" s="397"/>
      <c r="BM6430" s="398"/>
      <c r="BN6430" s="397"/>
      <c r="BO6430" s="397"/>
      <c r="BP6430" s="397"/>
      <c r="BQ6430" s="397"/>
      <c r="BR6430" s="397"/>
      <c r="BS6430" s="397"/>
      <c r="BT6430" s="397"/>
      <c r="BU6430" s="397"/>
      <c r="BV6430" s="397"/>
      <c r="BW6430" s="397"/>
      <c r="BX6430" s="397"/>
      <c r="BY6430" s="397"/>
      <c r="CA6430" s="392" t="s">
        <v>408</v>
      </c>
    </row>
    <row r="6431" spans="1:79" s="392" customFormat="1" ht="15" x14ac:dyDescent="0.25">
      <c r="A6431" s="430"/>
      <c r="B6431" s="386"/>
      <c r="C6431" s="386"/>
      <c r="D6431" s="434"/>
      <c r="E6431" s="385"/>
      <c r="F6431" s="432"/>
      <c r="G6431" s="401"/>
      <c r="H6431" s="401">
        <v>3</v>
      </c>
      <c r="I6431" s="401"/>
      <c r="J6431" s="401"/>
      <c r="K6431" s="401"/>
      <c r="L6431" s="672"/>
      <c r="M6431" s="673">
        <v>32636</v>
      </c>
      <c r="N6431" s="624">
        <v>0.92313420000000002</v>
      </c>
      <c r="O6431" s="625">
        <v>2.3941618783333333E-4</v>
      </c>
      <c r="P6431" s="390">
        <v>0.42779751284130102</v>
      </c>
      <c r="Q6431" s="390">
        <v>0.82169031458579023</v>
      </c>
      <c r="R6431" s="390">
        <v>1.1990607563610018</v>
      </c>
      <c r="S6431" s="390">
        <v>2.7729633940001168</v>
      </c>
      <c r="T6431" s="388">
        <v>3.9507946381508079</v>
      </c>
      <c r="U6431" s="388"/>
      <c r="V6431" s="391"/>
      <c r="W6431" s="391"/>
      <c r="X6431" s="391"/>
      <c r="Y6431" s="792"/>
      <c r="Z6431" s="388">
        <v>4</v>
      </c>
      <c r="AA6431" s="391">
        <v>1.1990607563610018</v>
      </c>
      <c r="AC6431" s="115"/>
      <c r="AD6431" s="388">
        <v>6.7360800000000012</v>
      </c>
      <c r="AE6431" s="388">
        <v>0.18440400000000001</v>
      </c>
      <c r="AF6431" s="388">
        <v>1.2448600000000001</v>
      </c>
      <c r="AG6431" s="391">
        <v>0.74371200000000004</v>
      </c>
      <c r="AH6431" s="397"/>
      <c r="AQ6431" s="397"/>
      <c r="AR6431" s="397"/>
      <c r="AS6431" s="397"/>
      <c r="AT6431" s="397"/>
      <c r="BE6431" s="397"/>
      <c r="BF6431" s="397"/>
      <c r="BG6431" s="397"/>
      <c r="BH6431" s="397"/>
      <c r="BI6431" s="397"/>
      <c r="BJ6431" s="397"/>
      <c r="BK6431" s="397"/>
      <c r="BL6431" s="397"/>
      <c r="BM6431" s="398"/>
      <c r="BN6431" s="397"/>
      <c r="BO6431" s="397"/>
      <c r="BP6431" s="397"/>
      <c r="BQ6431" s="397"/>
      <c r="BR6431" s="397"/>
      <c r="BS6431" s="397"/>
      <c r="BT6431" s="397"/>
      <c r="BU6431" s="397"/>
      <c r="BV6431" s="397"/>
      <c r="BW6431" s="397"/>
      <c r="BX6431" s="397"/>
      <c r="BY6431" s="397"/>
      <c r="CA6431" s="392" t="s">
        <v>408</v>
      </c>
    </row>
    <row r="6432" spans="1:79" s="392" customFormat="1" ht="15" x14ac:dyDescent="0.25">
      <c r="A6432" s="430"/>
      <c r="B6432" s="386"/>
      <c r="C6432" s="386"/>
      <c r="D6432" s="434"/>
      <c r="E6432" s="385"/>
      <c r="F6432" s="432"/>
      <c r="G6432" s="401"/>
      <c r="H6432" s="401">
        <v>3</v>
      </c>
      <c r="I6432" s="401"/>
      <c r="J6432" s="401"/>
      <c r="K6432" s="401"/>
      <c r="L6432" s="672"/>
      <c r="M6432" s="673">
        <v>32637</v>
      </c>
      <c r="N6432" s="624">
        <v>1.1808189</v>
      </c>
      <c r="O6432" s="625">
        <v>1.9577960843999999E-3</v>
      </c>
      <c r="P6432" s="390">
        <v>0.51828129379283983</v>
      </c>
      <c r="Q6432" s="390">
        <v>1.1323648272029538</v>
      </c>
      <c r="R6432" s="390">
        <v>1.7430970454974744</v>
      </c>
      <c r="S6432" s="390">
        <v>3.7037062949414885</v>
      </c>
      <c r="T6432" s="388">
        <v>7.0611315248272</v>
      </c>
      <c r="U6432" s="388"/>
      <c r="V6432" s="391"/>
      <c r="W6432" s="391"/>
      <c r="X6432" s="391"/>
      <c r="Y6432" s="792"/>
      <c r="Z6432" s="388">
        <v>11</v>
      </c>
      <c r="AA6432" s="391">
        <v>1.7430970454974744</v>
      </c>
      <c r="AC6432" s="115"/>
      <c r="AD6432" s="388">
        <v>7.13232</v>
      </c>
      <c r="AE6432" s="388">
        <v>0.20269200000000001</v>
      </c>
      <c r="AF6432" s="388">
        <v>1.4492399999999999</v>
      </c>
      <c r="AG6432" s="391">
        <v>0.81686400000000003</v>
      </c>
      <c r="AH6432" s="397"/>
      <c r="AQ6432" s="397"/>
      <c r="AR6432" s="397"/>
      <c r="AS6432" s="397"/>
      <c r="AT6432" s="397"/>
      <c r="BE6432" s="397"/>
      <c r="BF6432" s="397"/>
      <c r="BG6432" s="397"/>
      <c r="BH6432" s="397"/>
      <c r="BI6432" s="397"/>
      <c r="BJ6432" s="397"/>
      <c r="BK6432" s="397"/>
      <c r="BL6432" s="397"/>
      <c r="BM6432" s="398"/>
      <c r="BN6432" s="397"/>
      <c r="BO6432" s="397"/>
      <c r="BP6432" s="397"/>
      <c r="BQ6432" s="397"/>
      <c r="BR6432" s="397"/>
      <c r="BS6432" s="397"/>
      <c r="BT6432" s="397"/>
      <c r="BU6432" s="397"/>
      <c r="BV6432" s="397"/>
      <c r="BW6432" s="397"/>
      <c r="BX6432" s="397"/>
      <c r="BY6432" s="397"/>
      <c r="CA6432" s="392" t="s">
        <v>408</v>
      </c>
    </row>
    <row r="6433" spans="1:79" s="392" customFormat="1" ht="15" x14ac:dyDescent="0.25">
      <c r="A6433" s="430"/>
      <c r="B6433" s="386"/>
      <c r="C6433" s="386"/>
      <c r="D6433" s="434"/>
      <c r="E6433" s="385"/>
      <c r="F6433" s="432"/>
      <c r="G6433" s="401"/>
      <c r="H6433" s="401">
        <v>3</v>
      </c>
      <c r="I6433" s="401"/>
      <c r="J6433" s="401"/>
      <c r="K6433" s="401"/>
      <c r="L6433" s="672"/>
      <c r="M6433" s="673">
        <v>32638</v>
      </c>
      <c r="N6433" s="624">
        <v>1.1553335999999998</v>
      </c>
      <c r="O6433" s="625">
        <v>1.3355806621666666E-3</v>
      </c>
      <c r="P6433" s="390">
        <v>0.4484440798310072</v>
      </c>
      <c r="Q6433" s="390">
        <v>0.71273648252884114</v>
      </c>
      <c r="R6433" s="390">
        <v>0.96253790072649925</v>
      </c>
      <c r="S6433" s="390">
        <v>1.8436702497734365</v>
      </c>
      <c r="T6433" s="388">
        <v>3.0072848750413463</v>
      </c>
      <c r="U6433" s="388"/>
      <c r="V6433" s="391"/>
      <c r="W6433" s="391"/>
      <c r="X6433" s="391"/>
      <c r="Y6433" s="792"/>
      <c r="Z6433" s="388">
        <v>5</v>
      </c>
      <c r="AA6433" s="391">
        <v>0.96253790072649925</v>
      </c>
      <c r="AC6433" s="115"/>
      <c r="AD6433" s="388">
        <v>7.1628000000000007</v>
      </c>
      <c r="AE6433" s="388">
        <v>0.22372320000000001</v>
      </c>
      <c r="AF6433" s="388">
        <v>1.59788</v>
      </c>
      <c r="AG6433" s="391">
        <v>0.72237600000000002</v>
      </c>
      <c r="AH6433" s="397"/>
      <c r="AQ6433" s="397"/>
      <c r="AR6433" s="397"/>
      <c r="AS6433" s="397"/>
      <c r="AT6433" s="397"/>
      <c r="BE6433" s="397"/>
      <c r="BF6433" s="397"/>
      <c r="BG6433" s="397"/>
      <c r="BH6433" s="397"/>
      <c r="BI6433" s="397"/>
      <c r="BJ6433" s="397"/>
      <c r="BK6433" s="397"/>
      <c r="BL6433" s="397"/>
      <c r="BM6433" s="398"/>
      <c r="BN6433" s="397"/>
      <c r="BO6433" s="397"/>
      <c r="BP6433" s="397"/>
      <c r="BQ6433" s="397"/>
      <c r="BR6433" s="397"/>
      <c r="BS6433" s="397"/>
      <c r="BT6433" s="397"/>
      <c r="BU6433" s="397"/>
      <c r="BV6433" s="397"/>
      <c r="BW6433" s="397"/>
      <c r="BX6433" s="397"/>
      <c r="BY6433" s="397"/>
      <c r="CA6433" s="392" t="s">
        <v>408</v>
      </c>
    </row>
    <row r="6434" spans="1:79" s="392" customFormat="1" ht="15" x14ac:dyDescent="0.25">
      <c r="A6434" s="430"/>
      <c r="B6434" s="386"/>
      <c r="C6434" s="386"/>
      <c r="D6434" s="434"/>
      <c r="E6434" s="385"/>
      <c r="F6434" s="432"/>
      <c r="G6434" s="401"/>
      <c r="H6434" s="401">
        <v>3</v>
      </c>
      <c r="I6434" s="401"/>
      <c r="J6434" s="401"/>
      <c r="K6434" s="401"/>
      <c r="L6434" s="672"/>
      <c r="M6434" s="673">
        <v>32639</v>
      </c>
      <c r="N6434" s="624">
        <v>1.4951375999999998</v>
      </c>
      <c r="O6434" s="625">
        <v>2.0559958880000001E-3</v>
      </c>
      <c r="P6434" s="390">
        <v>0.31052901899927954</v>
      </c>
      <c r="Q6434" s="390">
        <v>0.53798020691749748</v>
      </c>
      <c r="R6434" s="390">
        <v>0.75132030612985923</v>
      </c>
      <c r="S6434" s="390">
        <v>1.8190366404595395</v>
      </c>
      <c r="T6434" s="388">
        <v>3.1989228682068918</v>
      </c>
      <c r="U6434" s="388"/>
      <c r="V6434" s="391"/>
      <c r="W6434" s="391"/>
      <c r="X6434" s="391"/>
      <c r="Y6434" s="792"/>
      <c r="Z6434" s="388">
        <v>5</v>
      </c>
      <c r="AA6434" s="391">
        <v>0.75132030612985923</v>
      </c>
      <c r="AC6434" s="115"/>
      <c r="AD6434" s="388">
        <v>7.3152000000000008</v>
      </c>
      <c r="AE6434" s="388">
        <v>0.225552</v>
      </c>
      <c r="AF6434" s="388">
        <v>1.6536200000000001</v>
      </c>
      <c r="AG6434" s="391">
        <v>0.908304</v>
      </c>
      <c r="AH6434" s="397"/>
      <c r="AQ6434" s="397"/>
      <c r="AR6434" s="397"/>
      <c r="AS6434" s="397"/>
      <c r="AT6434" s="397"/>
      <c r="BE6434" s="397"/>
      <c r="BF6434" s="397"/>
      <c r="BG6434" s="397"/>
      <c r="BH6434" s="397"/>
      <c r="BI6434" s="397"/>
      <c r="BJ6434" s="397"/>
      <c r="BK6434" s="397"/>
      <c r="BL6434" s="397"/>
      <c r="BM6434" s="398"/>
      <c r="BN6434" s="397"/>
      <c r="BO6434" s="397"/>
      <c r="BP6434" s="397"/>
      <c r="BQ6434" s="397"/>
      <c r="BR6434" s="397"/>
      <c r="BS6434" s="397"/>
      <c r="BT6434" s="397"/>
      <c r="BU6434" s="397"/>
      <c r="BV6434" s="397"/>
      <c r="BW6434" s="397"/>
      <c r="BX6434" s="397"/>
      <c r="BY6434" s="397"/>
      <c r="CA6434" s="392" t="s">
        <v>408</v>
      </c>
    </row>
    <row r="6435" spans="1:79" s="392" customFormat="1" ht="15" x14ac:dyDescent="0.25">
      <c r="A6435" s="430"/>
      <c r="B6435" s="386"/>
      <c r="C6435" s="386"/>
      <c r="D6435" s="434"/>
      <c r="E6435" s="385"/>
      <c r="F6435" s="432"/>
      <c r="G6435" s="401"/>
      <c r="H6435" s="401">
        <v>3</v>
      </c>
      <c r="I6435" s="401"/>
      <c r="J6435" s="401"/>
      <c r="K6435" s="401"/>
      <c r="L6435" s="672"/>
      <c r="M6435" s="673">
        <v>32640</v>
      </c>
      <c r="N6435" s="624">
        <v>1.2261260999999999</v>
      </c>
      <c r="O6435" s="625">
        <v>1.1890442885733334E-3</v>
      </c>
      <c r="P6435" s="390">
        <v>0.50147286481733577</v>
      </c>
      <c r="Q6435" s="390">
        <v>0.83967851521039427</v>
      </c>
      <c r="R6435" s="390">
        <v>1.2109263414903824</v>
      </c>
      <c r="S6435" s="390">
        <v>2.8452206521265309</v>
      </c>
      <c r="T6435" s="388">
        <v>3.8849752438496425</v>
      </c>
      <c r="U6435" s="388"/>
      <c r="V6435" s="391"/>
      <c r="W6435" s="391"/>
      <c r="X6435" s="391"/>
      <c r="Y6435" s="792"/>
      <c r="Z6435" s="388">
        <v>5</v>
      </c>
      <c r="AA6435" s="391">
        <v>1.2109263414903824</v>
      </c>
      <c r="AC6435" s="115"/>
      <c r="AD6435" s="388">
        <v>7.1932800000000006</v>
      </c>
      <c r="AE6435" s="388">
        <v>0.2142744</v>
      </c>
      <c r="AF6435" s="388">
        <v>1.5421400000000001</v>
      </c>
      <c r="AG6435" s="391">
        <v>0.79552800000000001</v>
      </c>
      <c r="AH6435" s="397"/>
      <c r="AQ6435" s="397"/>
      <c r="AR6435" s="397"/>
      <c r="AS6435" s="397"/>
      <c r="AT6435" s="397"/>
      <c r="BE6435" s="397"/>
      <c r="BF6435" s="397"/>
      <c r="BG6435" s="397"/>
      <c r="BH6435" s="397"/>
      <c r="BI6435" s="397"/>
      <c r="BJ6435" s="397"/>
      <c r="BK6435" s="397"/>
      <c r="BL6435" s="397"/>
      <c r="BM6435" s="398"/>
      <c r="BN6435" s="397"/>
      <c r="BO6435" s="397"/>
      <c r="BP6435" s="397"/>
      <c r="BQ6435" s="397"/>
      <c r="BR6435" s="397"/>
      <c r="BS6435" s="397"/>
      <c r="BT6435" s="397"/>
      <c r="BU6435" s="397"/>
      <c r="BV6435" s="397"/>
      <c r="BW6435" s="397"/>
      <c r="BX6435" s="397"/>
      <c r="BY6435" s="397"/>
      <c r="CA6435" s="392" t="s">
        <v>408</v>
      </c>
    </row>
    <row r="6436" spans="1:79" s="392" customFormat="1" ht="15" x14ac:dyDescent="0.25">
      <c r="A6436" s="430"/>
      <c r="B6436" s="386"/>
      <c r="C6436" s="386"/>
      <c r="D6436" s="434"/>
      <c r="E6436" s="385"/>
      <c r="F6436" s="432"/>
      <c r="G6436" s="401"/>
      <c r="H6436" s="401">
        <v>3</v>
      </c>
      <c r="I6436" s="401"/>
      <c r="J6436" s="401"/>
      <c r="K6436" s="401"/>
      <c r="L6436" s="672"/>
      <c r="M6436" s="673">
        <v>32644</v>
      </c>
      <c r="N6436" s="624">
        <v>1.2289577999999999</v>
      </c>
      <c r="O6436" s="625">
        <v>1.5325969347999998E-3</v>
      </c>
      <c r="P6436" s="390">
        <v>0.65301370938937564</v>
      </c>
      <c r="Q6436" s="390">
        <v>1.1559047788677701</v>
      </c>
      <c r="R6436" s="390">
        <v>1.5654924398402135</v>
      </c>
      <c r="S6436" s="390">
        <v>3.6465460477976528</v>
      </c>
      <c r="T6436" s="388">
        <v>5.163776342903259</v>
      </c>
      <c r="U6436" s="388"/>
      <c r="V6436" s="391"/>
      <c r="W6436" s="391"/>
      <c r="X6436" s="391"/>
      <c r="Y6436" s="792"/>
      <c r="Z6436" s="388">
        <v>6</v>
      </c>
      <c r="AA6436" s="391">
        <v>1.5654924398402135</v>
      </c>
      <c r="AC6436" s="115"/>
      <c r="AD6436" s="388">
        <v>7.2237600000000004</v>
      </c>
      <c r="AE6436" s="388">
        <v>0.21549360000000001</v>
      </c>
      <c r="AF6436" s="388">
        <v>1.5607200000000001</v>
      </c>
      <c r="AG6436" s="391">
        <v>0.78943200000000002</v>
      </c>
      <c r="AH6436" s="397"/>
      <c r="AQ6436" s="397"/>
      <c r="AR6436" s="397"/>
      <c r="AS6436" s="397"/>
      <c r="AT6436" s="397"/>
      <c r="BE6436" s="397"/>
      <c r="BF6436" s="397"/>
      <c r="BG6436" s="397"/>
      <c r="BH6436" s="397"/>
      <c r="BI6436" s="397"/>
      <c r="BJ6436" s="397"/>
      <c r="BK6436" s="397"/>
      <c r="BL6436" s="397"/>
      <c r="BM6436" s="398"/>
      <c r="BN6436" s="397"/>
      <c r="BO6436" s="397"/>
      <c r="BP6436" s="397"/>
      <c r="BQ6436" s="397"/>
      <c r="BR6436" s="397"/>
      <c r="BS6436" s="397"/>
      <c r="BT6436" s="397"/>
      <c r="BU6436" s="397"/>
      <c r="BV6436" s="397"/>
      <c r="BW6436" s="397"/>
      <c r="BX6436" s="397"/>
      <c r="BY6436" s="397"/>
      <c r="CA6436" s="392" t="s">
        <v>408</v>
      </c>
    </row>
    <row r="6437" spans="1:79" s="392" customFormat="1" ht="15" x14ac:dyDescent="0.25">
      <c r="A6437" s="430"/>
      <c r="B6437" s="386"/>
      <c r="C6437" s="386"/>
      <c r="D6437" s="434"/>
      <c r="E6437" s="385"/>
      <c r="F6437" s="432"/>
      <c r="G6437" s="401"/>
      <c r="H6437" s="401">
        <v>6</v>
      </c>
      <c r="I6437" s="401"/>
      <c r="J6437" s="401"/>
      <c r="K6437" s="401"/>
      <c r="L6437" s="672"/>
      <c r="M6437" s="673">
        <v>32645</v>
      </c>
      <c r="N6437" s="624">
        <v>1.2827601</v>
      </c>
      <c r="O6437" s="625">
        <v>1.2923899152149998E-2</v>
      </c>
      <c r="P6437" s="390">
        <v>0.77183776775810442</v>
      </c>
      <c r="Q6437" s="390">
        <v>1.292007054831255</v>
      </c>
      <c r="R6437" s="390">
        <v>1.7077592514351254</v>
      </c>
      <c r="S6437" s="390">
        <v>3.5610105845077991</v>
      </c>
      <c r="T6437" s="388">
        <v>5.1994292157829323</v>
      </c>
      <c r="U6437" s="388"/>
      <c r="V6437" s="391"/>
      <c r="W6437" s="391"/>
      <c r="X6437" s="391"/>
      <c r="Y6437" s="792"/>
      <c r="Z6437" s="388">
        <v>11</v>
      </c>
      <c r="AA6437" s="391">
        <v>1.7077592514351254</v>
      </c>
      <c r="AC6437" s="115"/>
      <c r="AD6437" s="388">
        <v>7.2847200000000001</v>
      </c>
      <c r="AE6437" s="388">
        <v>0.22067520000000002</v>
      </c>
      <c r="AF6437" s="388">
        <v>1.60717</v>
      </c>
      <c r="AG6437" s="391">
        <v>0.79857600000000006</v>
      </c>
      <c r="AH6437" s="397"/>
      <c r="AQ6437" s="397"/>
      <c r="AR6437" s="397"/>
      <c r="AS6437" s="397"/>
      <c r="AT6437" s="397"/>
      <c r="BE6437" s="397"/>
      <c r="BF6437" s="397"/>
      <c r="BG6437" s="397"/>
      <c r="BH6437" s="397"/>
      <c r="BI6437" s="397"/>
      <c r="BJ6437" s="397"/>
      <c r="BK6437" s="397"/>
      <c r="BL6437" s="397"/>
      <c r="BM6437" s="398"/>
      <c r="BN6437" s="397"/>
      <c r="BO6437" s="397"/>
      <c r="BP6437" s="397"/>
      <c r="BQ6437" s="397"/>
      <c r="BR6437" s="397"/>
      <c r="BS6437" s="397"/>
      <c r="BT6437" s="397"/>
      <c r="BU6437" s="397"/>
      <c r="BV6437" s="397"/>
      <c r="BW6437" s="397"/>
      <c r="BX6437" s="397"/>
      <c r="BY6437" s="397"/>
      <c r="CA6437" s="392" t="s">
        <v>408</v>
      </c>
    </row>
    <row r="6438" spans="1:79" s="392" customFormat="1" ht="15" x14ac:dyDescent="0.25">
      <c r="A6438" s="430"/>
      <c r="B6438" s="386"/>
      <c r="C6438" s="386"/>
      <c r="D6438" s="434"/>
      <c r="E6438" s="385"/>
      <c r="F6438" s="432"/>
      <c r="G6438" s="401"/>
      <c r="H6438" s="401">
        <v>3</v>
      </c>
      <c r="I6438" s="401"/>
      <c r="J6438" s="401"/>
      <c r="K6438" s="401"/>
      <c r="L6438" s="672"/>
      <c r="M6438" s="673">
        <v>32646</v>
      </c>
      <c r="N6438" s="624">
        <v>1.1581652999999998</v>
      </c>
      <c r="O6438" s="625">
        <v>4.4800577065333335E-3</v>
      </c>
      <c r="P6438" s="390">
        <v>0.85672291649901211</v>
      </c>
      <c r="Q6438" s="390">
        <v>1.347275928150639</v>
      </c>
      <c r="R6438" s="390">
        <v>1.7623009519578328</v>
      </c>
      <c r="S6438" s="390">
        <v>3.4596319273614364</v>
      </c>
      <c r="T6438" s="388">
        <v>4.9432921327874189</v>
      </c>
      <c r="U6438" s="388"/>
      <c r="V6438" s="391"/>
      <c r="W6438" s="391"/>
      <c r="X6438" s="391"/>
      <c r="Y6438" s="792"/>
      <c r="Z6438" s="388">
        <v>9</v>
      </c>
      <c r="AA6438" s="391">
        <v>1.7623009519578328</v>
      </c>
      <c r="AC6438" s="115"/>
      <c r="AD6438" s="388">
        <v>7.1932800000000006</v>
      </c>
      <c r="AE6438" s="388">
        <v>0.20513040000000002</v>
      </c>
      <c r="AF6438" s="388">
        <v>1.4771099999999999</v>
      </c>
      <c r="AG6438" s="391">
        <v>0.78333600000000003</v>
      </c>
      <c r="AH6438" s="397"/>
      <c r="AQ6438" s="397"/>
      <c r="AR6438" s="397"/>
      <c r="AS6438" s="397"/>
      <c r="AT6438" s="397"/>
      <c r="BE6438" s="397"/>
      <c r="BF6438" s="397"/>
      <c r="BG6438" s="397"/>
      <c r="BH6438" s="397"/>
      <c r="BI6438" s="397"/>
      <c r="BJ6438" s="397"/>
      <c r="BK6438" s="397"/>
      <c r="BL6438" s="397"/>
      <c r="BM6438" s="398"/>
      <c r="BN6438" s="397"/>
      <c r="BO6438" s="397"/>
      <c r="BP6438" s="397"/>
      <c r="BQ6438" s="397"/>
      <c r="BR6438" s="397"/>
      <c r="BS6438" s="397"/>
      <c r="BT6438" s="397"/>
      <c r="BU6438" s="397"/>
      <c r="BV6438" s="397"/>
      <c r="BW6438" s="397"/>
      <c r="BX6438" s="397"/>
      <c r="BY6438" s="397"/>
      <c r="CA6438" s="392" t="s">
        <v>408</v>
      </c>
    </row>
    <row r="6439" spans="1:79" s="392" customFormat="1" ht="15" x14ac:dyDescent="0.25">
      <c r="A6439" s="430"/>
      <c r="B6439" s="386"/>
      <c r="C6439" s="386"/>
      <c r="D6439" s="434"/>
      <c r="E6439" s="385"/>
      <c r="F6439" s="432"/>
      <c r="G6439" s="401"/>
      <c r="H6439" s="401">
        <v>3</v>
      </c>
      <c r="I6439" s="401"/>
      <c r="J6439" s="401"/>
      <c r="K6439" s="401"/>
      <c r="L6439" s="672"/>
      <c r="M6439" s="673">
        <v>32647</v>
      </c>
      <c r="N6439" s="624">
        <v>1.3931964000000001</v>
      </c>
      <c r="O6439" s="625">
        <v>2.1376623913333332E-3</v>
      </c>
      <c r="P6439" s="390">
        <v>0.58530995735595581</v>
      </c>
      <c r="Q6439" s="390">
        <v>1.0493125346878989</v>
      </c>
      <c r="R6439" s="390">
        <v>1.4251473695757046</v>
      </c>
      <c r="S6439" s="390">
        <v>3.3080573638022033</v>
      </c>
      <c r="T6439" s="388">
        <v>5.206273182824229</v>
      </c>
      <c r="U6439" s="388"/>
      <c r="V6439" s="391"/>
      <c r="W6439" s="391"/>
      <c r="X6439" s="391"/>
      <c r="Y6439" s="792"/>
      <c r="Z6439" s="388">
        <v>7</v>
      </c>
      <c r="AA6439" s="391">
        <v>1.4251473695757046</v>
      </c>
      <c r="AC6439" s="115"/>
      <c r="AD6439" s="388">
        <v>7.3761600000000005</v>
      </c>
      <c r="AE6439" s="388">
        <v>0.24079200000000003</v>
      </c>
      <c r="AF6439" s="388">
        <v>1.7771769999999998</v>
      </c>
      <c r="AG6439" s="391">
        <v>0.78333600000000003</v>
      </c>
      <c r="AH6439" s="397"/>
      <c r="AQ6439" s="397"/>
      <c r="AR6439" s="397"/>
      <c r="AS6439" s="397"/>
      <c r="AT6439" s="397"/>
      <c r="BE6439" s="397"/>
      <c r="BF6439" s="397"/>
      <c r="BG6439" s="397"/>
      <c r="BH6439" s="397"/>
      <c r="BI6439" s="397"/>
      <c r="BJ6439" s="397"/>
      <c r="BK6439" s="397"/>
      <c r="BL6439" s="397"/>
      <c r="BM6439" s="398"/>
      <c r="BN6439" s="397"/>
      <c r="BO6439" s="397"/>
      <c r="BP6439" s="397"/>
      <c r="BQ6439" s="397"/>
      <c r="BR6439" s="397"/>
      <c r="BS6439" s="397"/>
      <c r="BT6439" s="397"/>
      <c r="BU6439" s="397"/>
      <c r="BV6439" s="397"/>
      <c r="BW6439" s="397"/>
      <c r="BX6439" s="397"/>
      <c r="BY6439" s="397"/>
      <c r="CA6439" s="392" t="s">
        <v>408</v>
      </c>
    </row>
    <row r="6440" spans="1:79" s="392" customFormat="1" ht="15" x14ac:dyDescent="0.25">
      <c r="A6440" s="430"/>
      <c r="B6440" s="386"/>
      <c r="C6440" s="386"/>
      <c r="D6440" s="434"/>
      <c r="E6440" s="385"/>
      <c r="F6440" s="432"/>
      <c r="G6440" s="401"/>
      <c r="H6440" s="401">
        <v>3</v>
      </c>
      <c r="I6440" s="401"/>
      <c r="J6440" s="401"/>
      <c r="K6440" s="401"/>
      <c r="L6440" s="672"/>
      <c r="M6440" s="673">
        <v>32648</v>
      </c>
      <c r="N6440" s="624">
        <v>1.8349415999999998</v>
      </c>
      <c r="O6440" s="625">
        <v>1.3801172397599999E-2</v>
      </c>
      <c r="P6440" s="390">
        <v>0.78362891134890156</v>
      </c>
      <c r="Q6440" s="390">
        <v>1.241944124254728</v>
      </c>
      <c r="R6440" s="390">
        <v>1.5663352670853339</v>
      </c>
      <c r="S6440" s="390">
        <v>3.1823161696543956</v>
      </c>
      <c r="T6440" s="388">
        <v>4.7639641669701369</v>
      </c>
      <c r="U6440" s="388"/>
      <c r="V6440" s="391"/>
      <c r="W6440" s="391"/>
      <c r="X6440" s="391"/>
      <c r="Y6440" s="792"/>
      <c r="Z6440" s="388">
        <v>11</v>
      </c>
      <c r="AA6440" s="391">
        <v>1.5663352670853339</v>
      </c>
      <c r="AC6440" s="115"/>
      <c r="AD6440" s="388">
        <v>7.5590400000000004</v>
      </c>
      <c r="AE6440" s="388">
        <v>0.280416</v>
      </c>
      <c r="AF6440" s="388">
        <v>2.1088299999999998</v>
      </c>
      <c r="AG6440" s="391">
        <v>0.86868000000000012</v>
      </c>
      <c r="AH6440" s="397"/>
      <c r="AQ6440" s="397"/>
      <c r="AR6440" s="397"/>
      <c r="AS6440" s="397"/>
      <c r="AT6440" s="397"/>
      <c r="BE6440" s="397"/>
      <c r="BF6440" s="397"/>
      <c r="BG6440" s="397"/>
      <c r="BH6440" s="397"/>
      <c r="BI6440" s="397"/>
      <c r="BJ6440" s="397"/>
      <c r="BK6440" s="397"/>
      <c r="BL6440" s="397"/>
      <c r="BM6440" s="398"/>
      <c r="BN6440" s="397"/>
      <c r="BO6440" s="397"/>
      <c r="BP6440" s="397"/>
      <c r="BQ6440" s="397"/>
      <c r="BR6440" s="397"/>
      <c r="BS6440" s="397"/>
      <c r="BT6440" s="397"/>
      <c r="BU6440" s="397"/>
      <c r="BV6440" s="397"/>
      <c r="BW6440" s="397"/>
      <c r="BX6440" s="397"/>
      <c r="BY6440" s="397"/>
      <c r="CA6440" s="392" t="s">
        <v>408</v>
      </c>
    </row>
    <row r="6441" spans="1:79" s="392" customFormat="1" ht="15" x14ac:dyDescent="0.25">
      <c r="A6441" s="430"/>
      <c r="B6441" s="386"/>
      <c r="C6441" s="386"/>
      <c r="D6441" s="434"/>
      <c r="E6441" s="385"/>
      <c r="F6441" s="432"/>
      <c r="G6441" s="401"/>
      <c r="H6441" s="401">
        <v>3</v>
      </c>
      <c r="I6441" s="401"/>
      <c r="J6441" s="401"/>
      <c r="K6441" s="401"/>
      <c r="L6441" s="672"/>
      <c r="M6441" s="673">
        <v>32649</v>
      </c>
      <c r="N6441" s="624">
        <v>1.8802488000000002</v>
      </c>
      <c r="O6441" s="625">
        <v>2.0303026060533334E-2</v>
      </c>
      <c r="P6441" s="390">
        <v>0.76013858083570707</v>
      </c>
      <c r="Q6441" s="390">
        <v>1.4021058693515642</v>
      </c>
      <c r="R6441" s="390">
        <v>1.9808779411053878</v>
      </c>
      <c r="S6441" s="390">
        <v>4.6632552888085828</v>
      </c>
      <c r="T6441" s="388">
        <v>8.2951998262490285</v>
      </c>
      <c r="U6441" s="388"/>
      <c r="V6441" s="391"/>
      <c r="W6441" s="391"/>
      <c r="X6441" s="391"/>
      <c r="Y6441" s="792"/>
      <c r="Z6441" s="388">
        <v>15</v>
      </c>
      <c r="AA6441" s="391">
        <v>1.9808779411053878</v>
      </c>
      <c r="AC6441" s="115"/>
      <c r="AD6441" s="388">
        <v>7.7419200000000004</v>
      </c>
      <c r="AE6441" s="388">
        <v>0.26517600000000002</v>
      </c>
      <c r="AF6441" s="388">
        <v>2.0530900000000001</v>
      </c>
      <c r="AG6441" s="391">
        <v>0.91744799999999993</v>
      </c>
      <c r="AH6441" s="397"/>
      <c r="AQ6441" s="397"/>
      <c r="AR6441" s="397"/>
      <c r="AS6441" s="397"/>
      <c r="AT6441" s="397"/>
      <c r="BE6441" s="397"/>
      <c r="BF6441" s="397"/>
      <c r="BG6441" s="397"/>
      <c r="BH6441" s="397"/>
      <c r="BI6441" s="397"/>
      <c r="BJ6441" s="397"/>
      <c r="BK6441" s="397"/>
      <c r="BL6441" s="397"/>
      <c r="BM6441" s="398"/>
      <c r="BN6441" s="397"/>
      <c r="BO6441" s="397"/>
      <c r="BP6441" s="397"/>
      <c r="BQ6441" s="397"/>
      <c r="BR6441" s="397"/>
      <c r="BS6441" s="397"/>
      <c r="BT6441" s="397"/>
      <c r="BU6441" s="397"/>
      <c r="BV6441" s="397"/>
      <c r="BW6441" s="397"/>
      <c r="BX6441" s="397"/>
      <c r="BY6441" s="397"/>
      <c r="CA6441" s="392" t="s">
        <v>408</v>
      </c>
    </row>
    <row r="6442" spans="1:79" s="392" customFormat="1" ht="15" x14ac:dyDescent="0.25">
      <c r="A6442" s="430"/>
      <c r="B6442" s="386"/>
      <c r="C6442" s="386"/>
      <c r="D6442" s="434"/>
      <c r="E6442" s="385"/>
      <c r="F6442" s="432"/>
      <c r="G6442" s="401"/>
      <c r="H6442" s="401">
        <v>3</v>
      </c>
      <c r="I6442" s="401"/>
      <c r="J6442" s="401"/>
      <c r="K6442" s="401"/>
      <c r="L6442" s="672"/>
      <c r="M6442" s="673">
        <v>32650</v>
      </c>
      <c r="N6442" s="624">
        <v>1.7896344</v>
      </c>
      <c r="O6442" s="625">
        <v>1.3837472325000001E-2</v>
      </c>
      <c r="P6442" s="390">
        <v>0.74627940081673849</v>
      </c>
      <c r="Q6442" s="390">
        <v>1.3251307221112107</v>
      </c>
      <c r="R6442" s="390">
        <v>1.8316641288313409</v>
      </c>
      <c r="S6442" s="390">
        <v>5.1383295426943221</v>
      </c>
      <c r="T6442" s="388">
        <v>23.522329877713027</v>
      </c>
      <c r="U6442" s="388"/>
      <c r="V6442" s="391"/>
      <c r="W6442" s="391"/>
      <c r="X6442" s="391"/>
      <c r="Y6442" s="792"/>
      <c r="Z6442" s="388">
        <v>30</v>
      </c>
      <c r="AA6442" s="391">
        <v>1.8316641288313409</v>
      </c>
      <c r="AC6442" s="115"/>
      <c r="AD6442" s="388">
        <v>7.4980800000000007</v>
      </c>
      <c r="AE6442" s="388">
        <v>0.26212800000000003</v>
      </c>
      <c r="AF6442" s="388">
        <v>1.9694799999999999</v>
      </c>
      <c r="AG6442" s="391">
        <v>0.908304</v>
      </c>
      <c r="AH6442" s="397"/>
      <c r="AQ6442" s="397"/>
      <c r="AR6442" s="397"/>
      <c r="AS6442" s="397"/>
      <c r="AT6442" s="397"/>
      <c r="BE6442" s="397"/>
      <c r="BF6442" s="397"/>
      <c r="BG6442" s="397"/>
      <c r="BH6442" s="397"/>
      <c r="BI6442" s="397"/>
      <c r="BJ6442" s="397"/>
      <c r="BK6442" s="397"/>
      <c r="BL6442" s="397"/>
      <c r="BM6442" s="398"/>
      <c r="BN6442" s="397"/>
      <c r="BO6442" s="397"/>
      <c r="BP6442" s="397"/>
      <c r="BQ6442" s="397"/>
      <c r="BR6442" s="397"/>
      <c r="BS6442" s="397"/>
      <c r="BT6442" s="397"/>
      <c r="BU6442" s="397"/>
      <c r="BV6442" s="397"/>
      <c r="BW6442" s="397"/>
      <c r="BX6442" s="397"/>
      <c r="BY6442" s="397"/>
      <c r="CA6442" s="392" t="s">
        <v>408</v>
      </c>
    </row>
    <row r="6443" spans="1:79" s="392" customFormat="1" ht="15" x14ac:dyDescent="0.25">
      <c r="A6443" s="430"/>
      <c r="B6443" s="386"/>
      <c r="C6443" s="386"/>
      <c r="D6443" s="434"/>
      <c r="E6443" s="385"/>
      <c r="F6443" s="432"/>
      <c r="G6443" s="401"/>
      <c r="H6443" s="401">
        <v>3</v>
      </c>
      <c r="I6443" s="401"/>
      <c r="J6443" s="401"/>
      <c r="K6443" s="401"/>
      <c r="L6443" s="672"/>
      <c r="M6443" s="673">
        <v>32651</v>
      </c>
      <c r="N6443" s="624">
        <v>1.9255559999999998</v>
      </c>
      <c r="O6443" s="625">
        <v>4.5536908926E-3</v>
      </c>
      <c r="P6443" s="390">
        <v>0.38036078411451135</v>
      </c>
      <c r="Q6443" s="390">
        <v>0.68054105284433453</v>
      </c>
      <c r="R6443" s="390">
        <v>0.97642001302911308</v>
      </c>
      <c r="S6443" s="390">
        <v>2.125030975690577</v>
      </c>
      <c r="T6443" s="388">
        <v>3.5776996021197083</v>
      </c>
      <c r="U6443" s="388"/>
      <c r="V6443" s="391"/>
      <c r="W6443" s="391"/>
      <c r="X6443" s="391"/>
      <c r="Y6443" s="792"/>
      <c r="Z6443" s="388">
        <v>7</v>
      </c>
      <c r="AA6443" s="391">
        <v>0.97642001302911308</v>
      </c>
      <c r="AC6443" s="115"/>
      <c r="AD6443" s="388">
        <v>7.8638400000000006</v>
      </c>
      <c r="AE6443" s="388">
        <v>0.26822400000000002</v>
      </c>
      <c r="AF6443" s="388">
        <v>2.1181199999999998</v>
      </c>
      <c r="AG6443" s="391">
        <v>0.91135200000000016</v>
      </c>
      <c r="AH6443" s="397"/>
      <c r="AQ6443" s="397"/>
      <c r="AR6443" s="397"/>
      <c r="AS6443" s="397"/>
      <c r="AT6443" s="397"/>
      <c r="BE6443" s="397"/>
      <c r="BF6443" s="397"/>
      <c r="BG6443" s="397"/>
      <c r="BH6443" s="397"/>
      <c r="BI6443" s="397"/>
      <c r="BJ6443" s="397"/>
      <c r="BK6443" s="397"/>
      <c r="BL6443" s="397"/>
      <c r="BM6443" s="398"/>
      <c r="BN6443" s="397"/>
      <c r="BO6443" s="397"/>
      <c r="BP6443" s="397"/>
      <c r="BQ6443" s="397"/>
      <c r="BR6443" s="397"/>
      <c r="BS6443" s="397"/>
      <c r="BT6443" s="397"/>
      <c r="BU6443" s="397"/>
      <c r="BV6443" s="397"/>
      <c r="BW6443" s="397"/>
      <c r="BX6443" s="397"/>
      <c r="BY6443" s="397"/>
      <c r="CA6443" s="392" t="s">
        <v>408</v>
      </c>
    </row>
    <row r="6444" spans="1:79" s="392" customFormat="1" ht="15" x14ac:dyDescent="0.25">
      <c r="A6444" s="430"/>
      <c r="B6444" s="386"/>
      <c r="C6444" s="386"/>
      <c r="D6444" s="434"/>
      <c r="E6444" s="385"/>
      <c r="F6444" s="432"/>
      <c r="G6444" s="401"/>
      <c r="H6444" s="401">
        <v>3</v>
      </c>
      <c r="I6444" s="401"/>
      <c r="J6444" s="401"/>
      <c r="K6444" s="401"/>
      <c r="L6444" s="672"/>
      <c r="M6444" s="673">
        <v>32652</v>
      </c>
      <c r="N6444" s="624">
        <v>2.5372031999999995</v>
      </c>
      <c r="O6444" s="625">
        <v>4.1558300216566674E-2</v>
      </c>
      <c r="P6444" s="390">
        <v>0.80343296608634174</v>
      </c>
      <c r="Q6444" s="390">
        <v>1.6921153196525449</v>
      </c>
      <c r="R6444" s="390">
        <v>3.5179478315808033</v>
      </c>
      <c r="S6444" s="390">
        <v>67.922195439049062</v>
      </c>
      <c r="T6444" s="388">
        <v>70.023493760950387</v>
      </c>
      <c r="U6444" s="388"/>
      <c r="V6444" s="391"/>
      <c r="W6444" s="391"/>
      <c r="X6444" s="391"/>
      <c r="Y6444" s="792"/>
      <c r="Z6444" s="388">
        <v>71</v>
      </c>
      <c r="AA6444" s="391">
        <v>3.5179478315808033</v>
      </c>
      <c r="AC6444" s="115"/>
      <c r="AD6444" s="388">
        <v>8.0162399999999998</v>
      </c>
      <c r="AE6444" s="388">
        <v>0.30784800000000001</v>
      </c>
      <c r="AF6444" s="388">
        <v>2.4618500000000001</v>
      </c>
      <c r="AG6444" s="391">
        <v>1.030224</v>
      </c>
      <c r="AH6444" s="397"/>
      <c r="AQ6444" s="397"/>
      <c r="AR6444" s="397"/>
      <c r="AS6444" s="397"/>
      <c r="AT6444" s="397"/>
      <c r="BE6444" s="397"/>
      <c r="BF6444" s="397"/>
      <c r="BG6444" s="397"/>
      <c r="BH6444" s="397"/>
      <c r="BI6444" s="397"/>
      <c r="BJ6444" s="397"/>
      <c r="BK6444" s="397"/>
      <c r="BL6444" s="397"/>
      <c r="BM6444" s="398"/>
      <c r="BN6444" s="397"/>
      <c r="BO6444" s="397"/>
      <c r="BP6444" s="397"/>
      <c r="BQ6444" s="397"/>
      <c r="BR6444" s="397"/>
      <c r="BS6444" s="397"/>
      <c r="BT6444" s="397"/>
      <c r="BU6444" s="397"/>
      <c r="BV6444" s="397"/>
      <c r="BW6444" s="397"/>
      <c r="BX6444" s="397"/>
      <c r="BY6444" s="397"/>
      <c r="CA6444" s="392" t="s">
        <v>408</v>
      </c>
    </row>
    <row r="6445" spans="1:79" s="392" customFormat="1" ht="15" x14ac:dyDescent="0.25">
      <c r="A6445" s="430"/>
      <c r="B6445" s="386"/>
      <c r="C6445" s="386"/>
      <c r="D6445" s="434"/>
      <c r="E6445" s="385"/>
      <c r="F6445" s="432"/>
      <c r="G6445" s="401"/>
      <c r="H6445" s="401">
        <v>3</v>
      </c>
      <c r="I6445" s="401"/>
      <c r="J6445" s="401"/>
      <c r="K6445" s="401"/>
      <c r="L6445" s="672"/>
      <c r="M6445" s="673">
        <v>32654</v>
      </c>
      <c r="N6445" s="624">
        <v>1.8547634999999998</v>
      </c>
      <c r="O6445" s="625">
        <v>7.0238026190333324E-3</v>
      </c>
      <c r="P6445" s="390">
        <v>0.52548623941602135</v>
      </c>
      <c r="Q6445" s="390">
        <v>0.87352001414706915</v>
      </c>
      <c r="R6445" s="390">
        <v>1.2286508125529259</v>
      </c>
      <c r="S6445" s="390">
        <v>2.9082956007965368</v>
      </c>
      <c r="T6445" s="388">
        <v>4.7664242773516037</v>
      </c>
      <c r="U6445" s="388"/>
      <c r="V6445" s="391"/>
      <c r="W6445" s="391"/>
      <c r="X6445" s="391"/>
      <c r="Y6445" s="792"/>
      <c r="Z6445" s="388">
        <v>10</v>
      </c>
      <c r="AA6445" s="391">
        <v>1.2286508125529259</v>
      </c>
      <c r="AC6445" s="115"/>
      <c r="AD6445" s="388">
        <v>7.6504800000000008</v>
      </c>
      <c r="AE6445" s="388">
        <v>0.27432000000000001</v>
      </c>
      <c r="AF6445" s="388">
        <v>2.0995400000000002</v>
      </c>
      <c r="AG6445" s="391">
        <v>0.88392000000000004</v>
      </c>
      <c r="AH6445" s="397"/>
      <c r="AQ6445" s="397"/>
      <c r="AR6445" s="397"/>
      <c r="AS6445" s="397"/>
      <c r="AT6445" s="397"/>
      <c r="BE6445" s="397"/>
      <c r="BF6445" s="397"/>
      <c r="BG6445" s="397"/>
      <c r="BH6445" s="397"/>
      <c r="BI6445" s="397"/>
      <c r="BJ6445" s="397"/>
      <c r="BK6445" s="397"/>
      <c r="BL6445" s="397"/>
      <c r="BM6445" s="398"/>
      <c r="BN6445" s="397"/>
      <c r="BO6445" s="397"/>
      <c r="BP6445" s="397"/>
      <c r="BQ6445" s="397"/>
      <c r="BR6445" s="397"/>
      <c r="BS6445" s="397"/>
      <c r="BT6445" s="397"/>
      <c r="BU6445" s="397"/>
      <c r="BV6445" s="397"/>
      <c r="BW6445" s="397"/>
      <c r="BX6445" s="397"/>
      <c r="BY6445" s="397"/>
      <c r="CA6445" s="392" t="s">
        <v>408</v>
      </c>
    </row>
    <row r="6446" spans="1:79" s="392" customFormat="1" ht="15" x14ac:dyDescent="0.25">
      <c r="A6446" s="430"/>
      <c r="B6446" s="386"/>
      <c r="C6446" s="386"/>
      <c r="D6446" s="434"/>
      <c r="E6446" s="385"/>
      <c r="F6446" s="432"/>
      <c r="G6446" s="401"/>
      <c r="H6446" s="401">
        <v>3</v>
      </c>
      <c r="I6446" s="401"/>
      <c r="J6446" s="401"/>
      <c r="K6446" s="401"/>
      <c r="L6446" s="672"/>
      <c r="M6446" s="673">
        <v>32655</v>
      </c>
      <c r="N6446" s="624">
        <v>1.6367225999999999</v>
      </c>
      <c r="O6446" s="625">
        <v>2.3611852776199999E-2</v>
      </c>
      <c r="P6446" s="390">
        <v>0.85571903027603191</v>
      </c>
      <c r="Q6446" s="390">
        <v>1.4097602881249092</v>
      </c>
      <c r="R6446" s="390">
        <v>1.9179813459443606</v>
      </c>
      <c r="S6446" s="390">
        <v>7.5324956821390074</v>
      </c>
      <c r="T6446" s="388">
        <v>46.180663520495486</v>
      </c>
      <c r="U6446" s="388"/>
      <c r="V6446" s="391"/>
      <c r="W6446" s="391"/>
      <c r="X6446" s="391"/>
      <c r="Y6446" s="792"/>
      <c r="Z6446" s="388">
        <v>47</v>
      </c>
      <c r="AA6446" s="391">
        <v>1.9179813459443606</v>
      </c>
      <c r="AC6446" s="115"/>
      <c r="AD6446" s="388">
        <v>7.4980800000000007</v>
      </c>
      <c r="AE6446" s="388">
        <v>0.25603199999999998</v>
      </c>
      <c r="AF6446" s="388">
        <v>1.9230299999999998</v>
      </c>
      <c r="AG6446" s="391">
        <v>0.85039200000000004</v>
      </c>
      <c r="AH6446" s="397"/>
      <c r="AQ6446" s="397"/>
      <c r="AR6446" s="397"/>
      <c r="AS6446" s="397"/>
      <c r="AT6446" s="397"/>
      <c r="BE6446" s="397"/>
      <c r="BF6446" s="397"/>
      <c r="BG6446" s="397"/>
      <c r="BH6446" s="397"/>
      <c r="BI6446" s="397"/>
      <c r="BJ6446" s="397"/>
      <c r="BK6446" s="397"/>
      <c r="BL6446" s="397"/>
      <c r="BM6446" s="398"/>
      <c r="BN6446" s="397"/>
      <c r="BO6446" s="397"/>
      <c r="BP6446" s="397"/>
      <c r="BQ6446" s="397"/>
      <c r="BR6446" s="397"/>
      <c r="BS6446" s="397"/>
      <c r="BT6446" s="397"/>
      <c r="BU6446" s="397"/>
      <c r="BV6446" s="397"/>
      <c r="BW6446" s="397"/>
      <c r="BX6446" s="397"/>
      <c r="BY6446" s="397"/>
      <c r="CA6446" s="392" t="s">
        <v>408</v>
      </c>
    </row>
    <row r="6447" spans="1:79" s="392" customFormat="1" ht="15" x14ac:dyDescent="0.25">
      <c r="A6447" s="430"/>
      <c r="B6447" s="386"/>
      <c r="C6447" s="386"/>
      <c r="D6447" s="434"/>
      <c r="E6447" s="385"/>
      <c r="F6447" s="432"/>
      <c r="G6447" s="401"/>
      <c r="H6447" s="401">
        <v>3</v>
      </c>
      <c r="I6447" s="401"/>
      <c r="J6447" s="401"/>
      <c r="K6447" s="401"/>
      <c r="L6447" s="672"/>
      <c r="M6447" s="673">
        <v>32656</v>
      </c>
      <c r="N6447" s="624">
        <v>1.8491000999999998</v>
      </c>
      <c r="O6447" s="625">
        <v>2.5079783173666666E-2</v>
      </c>
      <c r="P6447" s="390">
        <v>1.0305325724529697</v>
      </c>
      <c r="Q6447" s="390">
        <v>1.9804207560753029</v>
      </c>
      <c r="R6447" s="390">
        <v>3.1306884356877198</v>
      </c>
      <c r="S6447" s="390">
        <v>33.812500425115033</v>
      </c>
      <c r="T6447" s="388">
        <v>41.154777276370936</v>
      </c>
      <c r="U6447" s="388"/>
      <c r="V6447" s="391"/>
      <c r="W6447" s="391"/>
      <c r="X6447" s="391"/>
      <c r="Y6447" s="792"/>
      <c r="Z6447" s="388">
        <v>45</v>
      </c>
      <c r="AA6447" s="391">
        <v>3.1306884356877198</v>
      </c>
      <c r="AC6447" s="115"/>
      <c r="AD6447" s="388">
        <v>7.8943199999999996</v>
      </c>
      <c r="AE6447" s="388">
        <v>0.26822400000000002</v>
      </c>
      <c r="AF6447" s="388">
        <v>2.1274099999999998</v>
      </c>
      <c r="AG6447" s="391">
        <v>0.87172800000000006</v>
      </c>
      <c r="AH6447" s="397"/>
      <c r="AQ6447" s="397"/>
      <c r="AR6447" s="397"/>
      <c r="AS6447" s="397"/>
      <c r="AT6447" s="397"/>
      <c r="BE6447" s="397"/>
      <c r="BF6447" s="397"/>
      <c r="BG6447" s="397"/>
      <c r="BH6447" s="397"/>
      <c r="BI6447" s="397"/>
      <c r="BJ6447" s="397"/>
      <c r="BK6447" s="397"/>
      <c r="BL6447" s="397"/>
      <c r="BM6447" s="398"/>
      <c r="BN6447" s="397"/>
      <c r="BO6447" s="397"/>
      <c r="BP6447" s="397"/>
      <c r="BQ6447" s="397"/>
      <c r="BR6447" s="397"/>
      <c r="BS6447" s="397"/>
      <c r="BT6447" s="397"/>
      <c r="BU6447" s="397"/>
      <c r="BV6447" s="397"/>
      <c r="BW6447" s="397"/>
      <c r="BX6447" s="397"/>
      <c r="BY6447" s="397"/>
      <c r="CA6447" s="392" t="s">
        <v>408</v>
      </c>
    </row>
    <row r="6448" spans="1:79" s="392" customFormat="1" ht="15" x14ac:dyDescent="0.25">
      <c r="A6448" s="430"/>
      <c r="B6448" s="386"/>
      <c r="C6448" s="386"/>
      <c r="D6448" s="434"/>
      <c r="E6448" s="385"/>
      <c r="F6448" s="432"/>
      <c r="G6448" s="401"/>
      <c r="H6448" s="401">
        <v>3</v>
      </c>
      <c r="I6448" s="401"/>
      <c r="J6448" s="401"/>
      <c r="K6448" s="401"/>
      <c r="L6448" s="672"/>
      <c r="M6448" s="673">
        <v>32657</v>
      </c>
      <c r="N6448" s="624">
        <v>2.4890642999999999</v>
      </c>
      <c r="O6448" s="625">
        <v>3.5614512104166669E-2</v>
      </c>
      <c r="P6448" s="390">
        <v>0.88717190231761156</v>
      </c>
      <c r="Q6448" s="390">
        <v>1.523144305172897</v>
      </c>
      <c r="R6448" s="390">
        <v>2.1627853219963202</v>
      </c>
      <c r="S6448" s="390">
        <v>5.3061456503793378</v>
      </c>
      <c r="T6448" s="388">
        <v>22.893655877318551</v>
      </c>
      <c r="U6448" s="388"/>
      <c r="V6448" s="391"/>
      <c r="W6448" s="391"/>
      <c r="X6448" s="391"/>
      <c r="Y6448" s="792"/>
      <c r="Z6448" s="388">
        <v>28</v>
      </c>
      <c r="AA6448" s="391">
        <v>2.1627853219963202</v>
      </c>
      <c r="AC6448" s="115"/>
      <c r="AD6448" s="388">
        <v>8.0162399999999998</v>
      </c>
      <c r="AE6448" s="388">
        <v>0.30784800000000001</v>
      </c>
      <c r="AF6448" s="388">
        <v>2.4711400000000001</v>
      </c>
      <c r="AG6448" s="391">
        <v>1.008888</v>
      </c>
      <c r="AH6448" s="397"/>
      <c r="AQ6448" s="397"/>
      <c r="AR6448" s="397"/>
      <c r="AS6448" s="397"/>
      <c r="AT6448" s="397"/>
      <c r="BE6448" s="397"/>
      <c r="BF6448" s="397"/>
      <c r="BG6448" s="397"/>
      <c r="BH6448" s="397"/>
      <c r="BI6448" s="397"/>
      <c r="BJ6448" s="397"/>
      <c r="BK6448" s="397"/>
      <c r="BL6448" s="397"/>
      <c r="BM6448" s="398"/>
      <c r="BN6448" s="397"/>
      <c r="BO6448" s="397"/>
      <c r="BP6448" s="397"/>
      <c r="BQ6448" s="397"/>
      <c r="BR6448" s="397"/>
      <c r="BS6448" s="397"/>
      <c r="BT6448" s="397"/>
      <c r="BU6448" s="397"/>
      <c r="BV6448" s="397"/>
      <c r="BW6448" s="397"/>
      <c r="BX6448" s="397"/>
      <c r="BY6448" s="397"/>
      <c r="CA6448" s="392" t="s">
        <v>408</v>
      </c>
    </row>
    <row r="6449" spans="1:79" s="392" customFormat="1" ht="15" x14ac:dyDescent="0.25">
      <c r="A6449" s="430"/>
      <c r="B6449" s="386"/>
      <c r="C6449" s="386"/>
      <c r="D6449" s="434"/>
      <c r="E6449" s="385"/>
      <c r="F6449" s="432"/>
      <c r="G6449" s="401"/>
      <c r="H6449" s="401">
        <v>3</v>
      </c>
      <c r="I6449" s="401"/>
      <c r="J6449" s="401"/>
      <c r="K6449" s="401"/>
      <c r="L6449" s="672"/>
      <c r="M6449" s="673">
        <v>32658</v>
      </c>
      <c r="N6449" s="624">
        <v>3.2139794999999998</v>
      </c>
      <c r="O6449" s="625">
        <v>0.20417955830673329</v>
      </c>
      <c r="P6449" s="390">
        <v>0.16</v>
      </c>
      <c r="Q6449" s="390">
        <v>1.3</v>
      </c>
      <c r="R6449" s="390">
        <v>1.94</v>
      </c>
      <c r="S6449" s="390">
        <v>6.94</v>
      </c>
      <c r="T6449" s="388">
        <v>47.7</v>
      </c>
      <c r="U6449" s="388"/>
      <c r="V6449" s="391"/>
      <c r="W6449" s="391"/>
      <c r="X6449" s="391"/>
      <c r="Y6449" s="792"/>
      <c r="Z6449" s="388">
        <v>62</v>
      </c>
      <c r="AA6449" s="391">
        <v>1.94</v>
      </c>
      <c r="AC6449" s="115"/>
      <c r="AD6449" s="388">
        <v>8.1991200000000006</v>
      </c>
      <c r="AE6449" s="388">
        <v>0.33223200000000003</v>
      </c>
      <c r="AF6449" s="388">
        <v>2.7312599999999998</v>
      </c>
      <c r="AG6449" s="391">
        <v>1.176528</v>
      </c>
      <c r="AH6449" s="397"/>
      <c r="AQ6449" s="397"/>
      <c r="AR6449" s="397"/>
      <c r="AS6449" s="397"/>
      <c r="AT6449" s="397"/>
      <c r="BE6449" s="397"/>
      <c r="BF6449" s="397"/>
      <c r="BG6449" s="397"/>
      <c r="BH6449" s="397"/>
      <c r="BI6449" s="397"/>
      <c r="BJ6449" s="397"/>
      <c r="BK6449" s="397"/>
      <c r="BL6449" s="397"/>
      <c r="BM6449" s="398"/>
      <c r="BN6449" s="397"/>
      <c r="BO6449" s="397"/>
      <c r="BP6449" s="397"/>
      <c r="BQ6449" s="397"/>
      <c r="BR6449" s="397"/>
      <c r="BS6449" s="397"/>
      <c r="BT6449" s="397"/>
      <c r="BU6449" s="397"/>
      <c r="BV6449" s="397"/>
      <c r="BW6449" s="397"/>
      <c r="BX6449" s="397"/>
      <c r="BY6449" s="397"/>
      <c r="CA6449" s="392" t="s">
        <v>408</v>
      </c>
    </row>
    <row r="6450" spans="1:79" s="392" customFormat="1" ht="15" x14ac:dyDescent="0.25">
      <c r="A6450" s="430"/>
      <c r="B6450" s="386"/>
      <c r="C6450" s="386"/>
      <c r="D6450" s="434"/>
      <c r="E6450" s="385"/>
      <c r="F6450" s="432"/>
      <c r="G6450" s="401"/>
      <c r="H6450" s="401">
        <v>3</v>
      </c>
      <c r="I6450" s="401"/>
      <c r="J6450" s="401"/>
      <c r="K6450" s="401"/>
      <c r="L6450" s="672"/>
      <c r="M6450" s="673">
        <v>32659</v>
      </c>
      <c r="N6450" s="624">
        <v>3.0355824</v>
      </c>
      <c r="O6450" s="625">
        <v>0.117400265199</v>
      </c>
      <c r="P6450" s="390">
        <v>0.7275745762974869</v>
      </c>
      <c r="Q6450" s="390">
        <v>1.3745427300054138</v>
      </c>
      <c r="R6450" s="390">
        <v>1.9913980250652439</v>
      </c>
      <c r="S6450" s="390">
        <v>21.945545749089767</v>
      </c>
      <c r="T6450" s="388">
        <v>48.760772759514673</v>
      </c>
      <c r="U6450" s="388"/>
      <c r="V6450" s="391"/>
      <c r="W6450" s="391"/>
      <c r="X6450" s="391"/>
      <c r="Y6450" s="792"/>
      <c r="Z6450" s="388">
        <v>55</v>
      </c>
      <c r="AA6450" s="391">
        <v>1.9913980250652439</v>
      </c>
      <c r="AC6450" s="115"/>
      <c r="AD6450" s="388">
        <v>8.2295999999999996</v>
      </c>
      <c r="AE6450" s="388">
        <v>0.313944</v>
      </c>
      <c r="AF6450" s="388">
        <v>2.5826199999999999</v>
      </c>
      <c r="AG6450" s="391">
        <v>1.1734800000000001</v>
      </c>
      <c r="AH6450" s="397"/>
      <c r="AQ6450" s="397"/>
      <c r="AR6450" s="397"/>
      <c r="AS6450" s="397"/>
      <c r="AT6450" s="397"/>
      <c r="BE6450" s="397"/>
      <c r="BF6450" s="397"/>
      <c r="BG6450" s="397"/>
      <c r="BH6450" s="397"/>
      <c r="BI6450" s="397"/>
      <c r="BJ6450" s="397"/>
      <c r="BK6450" s="397"/>
      <c r="BL6450" s="397"/>
      <c r="BM6450" s="398"/>
      <c r="BN6450" s="397"/>
      <c r="BO6450" s="397"/>
      <c r="BP6450" s="397"/>
      <c r="BQ6450" s="397"/>
      <c r="BR6450" s="397"/>
      <c r="BS6450" s="397"/>
      <c r="BT6450" s="397"/>
      <c r="BU6450" s="397"/>
      <c r="BV6450" s="397"/>
      <c r="BW6450" s="397"/>
      <c r="BX6450" s="397"/>
      <c r="BY6450" s="397"/>
      <c r="CA6450" s="392" t="s">
        <v>408</v>
      </c>
    </row>
    <row r="6451" spans="1:79" s="392" customFormat="1" ht="15" x14ac:dyDescent="0.25">
      <c r="A6451" s="430"/>
      <c r="B6451" s="386"/>
      <c r="C6451" s="386"/>
      <c r="D6451" s="434"/>
      <c r="E6451" s="385"/>
      <c r="F6451" s="432"/>
      <c r="G6451" s="401"/>
      <c r="H6451" s="401">
        <v>3</v>
      </c>
      <c r="I6451" s="401"/>
      <c r="J6451" s="401"/>
      <c r="K6451" s="401"/>
      <c r="L6451" s="672"/>
      <c r="M6451" s="673">
        <v>32661</v>
      </c>
      <c r="N6451" s="624">
        <v>2.6872832999999998</v>
      </c>
      <c r="O6451" s="625">
        <v>6.4314238037933333E-2</v>
      </c>
      <c r="P6451" s="390">
        <v>0.7202780498529171</v>
      </c>
      <c r="Q6451" s="390">
        <v>1.2903706966810902</v>
      </c>
      <c r="R6451" s="390">
        <v>1.7620926911322607</v>
      </c>
      <c r="S6451" s="390">
        <v>3.9649091384094923</v>
      </c>
      <c r="T6451" s="388">
        <v>8.0397082444510541</v>
      </c>
      <c r="U6451" s="388"/>
      <c r="V6451" s="391"/>
      <c r="W6451" s="391"/>
      <c r="X6451" s="391"/>
      <c r="Y6451" s="792"/>
      <c r="Z6451" s="388">
        <v>30</v>
      </c>
      <c r="AA6451" s="391">
        <v>1.7620926911322607</v>
      </c>
      <c r="AC6451" s="115"/>
      <c r="AD6451" s="388">
        <v>8.1076800000000002</v>
      </c>
      <c r="AE6451" s="388">
        <v>0.31089600000000001</v>
      </c>
      <c r="AF6451" s="388">
        <v>2.5175900000000002</v>
      </c>
      <c r="AG6451" s="391">
        <v>1.0668</v>
      </c>
      <c r="AH6451" s="397"/>
      <c r="AQ6451" s="397"/>
      <c r="AR6451" s="397"/>
      <c r="AS6451" s="397"/>
      <c r="AT6451" s="397"/>
      <c r="BE6451" s="397"/>
      <c r="BF6451" s="397"/>
      <c r="BG6451" s="397"/>
      <c r="BH6451" s="397"/>
      <c r="BI6451" s="397"/>
      <c r="BJ6451" s="397"/>
      <c r="BK6451" s="397"/>
      <c r="BL6451" s="397"/>
      <c r="BM6451" s="398"/>
      <c r="BN6451" s="397"/>
      <c r="BO6451" s="397"/>
      <c r="BP6451" s="397"/>
      <c r="BQ6451" s="397"/>
      <c r="BR6451" s="397"/>
      <c r="BS6451" s="397"/>
      <c r="BT6451" s="397"/>
      <c r="BU6451" s="397"/>
      <c r="BV6451" s="397"/>
      <c r="BW6451" s="397"/>
      <c r="BX6451" s="397"/>
      <c r="BY6451" s="397"/>
      <c r="CA6451" s="392" t="s">
        <v>408</v>
      </c>
    </row>
    <row r="6452" spans="1:79" s="392" customFormat="1" ht="15" x14ac:dyDescent="0.25">
      <c r="A6452" s="430"/>
      <c r="B6452" s="386"/>
      <c r="C6452" s="386"/>
      <c r="D6452" s="434"/>
      <c r="E6452" s="385"/>
      <c r="F6452" s="432"/>
      <c r="G6452" s="401"/>
      <c r="H6452" s="401">
        <v>3</v>
      </c>
      <c r="I6452" s="401"/>
      <c r="J6452" s="401"/>
      <c r="K6452" s="401"/>
      <c r="L6452" s="672"/>
      <c r="M6452" s="673">
        <v>32662</v>
      </c>
      <c r="N6452" s="624">
        <v>2.8373634000000001</v>
      </c>
      <c r="O6452" s="625">
        <v>0.23035378929149999</v>
      </c>
      <c r="P6452" s="390">
        <v>0.73874126114978111</v>
      </c>
      <c r="Q6452" s="390">
        <v>1.3154703496455102</v>
      </c>
      <c r="R6452" s="390">
        <v>1.8047412500562183</v>
      </c>
      <c r="S6452" s="390">
        <v>4.3484551101736066</v>
      </c>
      <c r="T6452" s="388">
        <v>9.5884771883108506</v>
      </c>
      <c r="U6452" s="388"/>
      <c r="V6452" s="391"/>
      <c r="W6452" s="391"/>
      <c r="X6452" s="391"/>
      <c r="Y6452" s="792"/>
      <c r="Z6452" s="388">
        <v>23</v>
      </c>
      <c r="AA6452" s="391">
        <v>1.8047412500562183</v>
      </c>
      <c r="AC6452" s="115"/>
      <c r="AD6452" s="388">
        <v>8.1381600000000009</v>
      </c>
      <c r="AE6452" s="388">
        <v>0.32004000000000005</v>
      </c>
      <c r="AF6452" s="388">
        <v>2.61978</v>
      </c>
      <c r="AG6452" s="391">
        <v>1.0850880000000001</v>
      </c>
      <c r="AH6452" s="397"/>
      <c r="AQ6452" s="397"/>
      <c r="AR6452" s="397"/>
      <c r="AS6452" s="397"/>
      <c r="AT6452" s="397"/>
      <c r="BE6452" s="397"/>
      <c r="BF6452" s="397"/>
      <c r="BG6452" s="397"/>
      <c r="BH6452" s="397"/>
      <c r="BI6452" s="397"/>
      <c r="BJ6452" s="397"/>
      <c r="BK6452" s="397"/>
      <c r="BL6452" s="397"/>
      <c r="BM6452" s="398"/>
      <c r="BN6452" s="397"/>
      <c r="BO6452" s="397"/>
      <c r="BP6452" s="397"/>
      <c r="BQ6452" s="397"/>
      <c r="BR6452" s="397"/>
      <c r="BS6452" s="397"/>
      <c r="BT6452" s="397"/>
      <c r="BU6452" s="397"/>
      <c r="BV6452" s="397"/>
      <c r="BW6452" s="397"/>
      <c r="BX6452" s="397"/>
      <c r="BY6452" s="397"/>
      <c r="CA6452" s="392" t="s">
        <v>408</v>
      </c>
    </row>
    <row r="6453" spans="1:79" s="392" customFormat="1" ht="15" x14ac:dyDescent="0.25">
      <c r="A6453" s="430"/>
      <c r="B6453" s="386"/>
      <c r="C6453" s="386"/>
      <c r="D6453" s="434"/>
      <c r="E6453" s="385"/>
      <c r="F6453" s="432"/>
      <c r="G6453" s="401"/>
      <c r="H6453" s="401">
        <v>6</v>
      </c>
      <c r="I6453" s="401"/>
      <c r="J6453" s="401"/>
      <c r="K6453" s="401"/>
      <c r="L6453" s="672"/>
      <c r="M6453" s="673">
        <v>32663</v>
      </c>
      <c r="N6453" s="624">
        <v>2.9194826999999997</v>
      </c>
      <c r="O6453" s="625">
        <v>0.77712111242133319</v>
      </c>
      <c r="P6453" s="390">
        <v>0.56999999999999995</v>
      </c>
      <c r="Q6453" s="390">
        <v>1.41</v>
      </c>
      <c r="R6453" s="390">
        <v>1.89</v>
      </c>
      <c r="S6453" s="390">
        <v>3.83</v>
      </c>
      <c r="T6453" s="388">
        <v>6.88</v>
      </c>
      <c r="U6453" s="388"/>
      <c r="V6453" s="391"/>
      <c r="W6453" s="391"/>
      <c r="X6453" s="391"/>
      <c r="Y6453" s="792"/>
      <c r="Z6453" s="388">
        <v>33</v>
      </c>
      <c r="AA6453" s="391">
        <v>1.89</v>
      </c>
      <c r="AC6453" s="115"/>
      <c r="AD6453" s="388">
        <v>7.9248000000000003</v>
      </c>
      <c r="AE6453" s="388">
        <v>0.32613600000000004</v>
      </c>
      <c r="AF6453" s="388">
        <v>2.5826199999999999</v>
      </c>
      <c r="AG6453" s="391">
        <v>1.130808</v>
      </c>
      <c r="AH6453" s="397"/>
      <c r="AQ6453" s="397"/>
      <c r="AR6453" s="397"/>
      <c r="AS6453" s="397"/>
      <c r="AT6453" s="397"/>
      <c r="BE6453" s="397"/>
      <c r="BF6453" s="397"/>
      <c r="BG6453" s="397"/>
      <c r="BH6453" s="397"/>
      <c r="BI6453" s="397"/>
      <c r="BJ6453" s="397"/>
      <c r="BK6453" s="397"/>
      <c r="BL6453" s="397"/>
      <c r="BM6453" s="398"/>
      <c r="BN6453" s="397"/>
      <c r="BO6453" s="397"/>
      <c r="BP6453" s="397"/>
      <c r="BQ6453" s="397"/>
      <c r="BR6453" s="397"/>
      <c r="BS6453" s="397"/>
      <c r="BT6453" s="397"/>
      <c r="BU6453" s="397"/>
      <c r="BV6453" s="397"/>
      <c r="BW6453" s="397"/>
      <c r="BX6453" s="397"/>
      <c r="BY6453" s="397"/>
      <c r="CA6453" s="392" t="s">
        <v>408</v>
      </c>
    </row>
    <row r="6454" spans="1:79" s="392" customFormat="1" ht="15" x14ac:dyDescent="0.25">
      <c r="A6454" s="430"/>
      <c r="B6454" s="386"/>
      <c r="C6454" s="386"/>
      <c r="D6454" s="434"/>
      <c r="E6454" s="385"/>
      <c r="F6454" s="432"/>
      <c r="G6454" s="401"/>
      <c r="H6454" s="401">
        <v>6</v>
      </c>
      <c r="I6454" s="401"/>
      <c r="J6454" s="401"/>
      <c r="K6454" s="401"/>
      <c r="L6454" s="672"/>
      <c r="M6454" s="673">
        <v>32664</v>
      </c>
      <c r="N6454" s="624">
        <v>2.3418158999999998</v>
      </c>
      <c r="O6454" s="625">
        <v>1.9875091983069868</v>
      </c>
      <c r="P6454" s="390">
        <v>0.09</v>
      </c>
      <c r="Q6454" s="390">
        <v>1.07</v>
      </c>
      <c r="R6454" s="390">
        <v>1.41</v>
      </c>
      <c r="S6454" s="390">
        <v>3.42</v>
      </c>
      <c r="T6454" s="388">
        <v>8.14</v>
      </c>
      <c r="U6454" s="388"/>
      <c r="V6454" s="391"/>
      <c r="W6454" s="391"/>
      <c r="X6454" s="391"/>
      <c r="Y6454" s="792"/>
      <c r="Z6454" s="388">
        <v>83</v>
      </c>
      <c r="AA6454" s="391">
        <v>1.41</v>
      </c>
      <c r="AC6454" s="115"/>
      <c r="AD6454" s="388">
        <v>7.8028800000000009</v>
      </c>
      <c r="AE6454" s="388">
        <v>0.29870400000000003</v>
      </c>
      <c r="AF6454" s="388">
        <v>2.3224999999999998</v>
      </c>
      <c r="AG6454" s="391">
        <v>1.008888</v>
      </c>
      <c r="AH6454" s="397"/>
      <c r="AQ6454" s="397"/>
      <c r="AR6454" s="397"/>
      <c r="AS6454" s="397"/>
      <c r="AT6454" s="397"/>
      <c r="BE6454" s="397"/>
      <c r="BF6454" s="397"/>
      <c r="BG6454" s="397"/>
      <c r="BH6454" s="397"/>
      <c r="BI6454" s="397"/>
      <c r="BJ6454" s="397"/>
      <c r="BK6454" s="397"/>
      <c r="BL6454" s="397"/>
      <c r="BM6454" s="398"/>
      <c r="BN6454" s="397"/>
      <c r="BO6454" s="397"/>
      <c r="BP6454" s="397"/>
      <c r="BQ6454" s="397"/>
      <c r="BR6454" s="397"/>
      <c r="BS6454" s="397"/>
      <c r="BT6454" s="397"/>
      <c r="BU6454" s="397"/>
      <c r="BV6454" s="397"/>
      <c r="BW6454" s="397"/>
      <c r="BX6454" s="397"/>
      <c r="BY6454" s="397"/>
      <c r="CA6454" s="392" t="s">
        <v>408</v>
      </c>
    </row>
    <row r="6455" spans="1:79" s="392" customFormat="1" ht="15" x14ac:dyDescent="0.25">
      <c r="A6455" s="430"/>
      <c r="B6455" s="386"/>
      <c r="C6455" s="386"/>
      <c r="D6455" s="434"/>
      <c r="E6455" s="385"/>
      <c r="F6455" s="432"/>
      <c r="G6455" s="401"/>
      <c r="H6455" s="401">
        <v>6</v>
      </c>
      <c r="I6455" s="401"/>
      <c r="J6455" s="401"/>
      <c r="K6455" s="401"/>
      <c r="L6455" s="672"/>
      <c r="M6455" s="673">
        <v>32666</v>
      </c>
      <c r="N6455" s="624">
        <v>2.6023323</v>
      </c>
      <c r="O6455" s="625">
        <v>0.70556058887600004</v>
      </c>
      <c r="P6455" s="390">
        <v>1.0138844494564347</v>
      </c>
      <c r="Q6455" s="390">
        <v>1.5405686945148964</v>
      </c>
      <c r="R6455" s="390">
        <v>2.0995945591371514</v>
      </c>
      <c r="S6455" s="390">
        <v>4.1004569874025876</v>
      </c>
      <c r="T6455" s="388">
        <v>9.1761669988741961</v>
      </c>
      <c r="U6455" s="388"/>
      <c r="V6455" s="391"/>
      <c r="W6455" s="391"/>
      <c r="X6455" s="391"/>
      <c r="Y6455" s="792"/>
      <c r="Z6455" s="388">
        <v>62</v>
      </c>
      <c r="AA6455" s="391">
        <v>2.0995945591371514</v>
      </c>
      <c r="AC6455" s="115"/>
      <c r="AD6455" s="388">
        <v>7.9248000000000003</v>
      </c>
      <c r="AE6455" s="388">
        <v>0.33528000000000002</v>
      </c>
      <c r="AF6455" s="388">
        <v>2.6476500000000001</v>
      </c>
      <c r="AG6455" s="391">
        <v>0.98145600000000011</v>
      </c>
      <c r="AH6455" s="397"/>
      <c r="AQ6455" s="397"/>
      <c r="AR6455" s="397"/>
      <c r="AS6455" s="397"/>
      <c r="AT6455" s="397"/>
      <c r="BE6455" s="397"/>
      <c r="BF6455" s="397"/>
      <c r="BG6455" s="397"/>
      <c r="BH6455" s="397"/>
      <c r="BI6455" s="397"/>
      <c r="BJ6455" s="397"/>
      <c r="BK6455" s="397"/>
      <c r="BL6455" s="397"/>
      <c r="BM6455" s="398"/>
      <c r="BN6455" s="397"/>
      <c r="BO6455" s="397"/>
      <c r="BP6455" s="397"/>
      <c r="BQ6455" s="397"/>
      <c r="BR6455" s="397"/>
      <c r="BS6455" s="397"/>
      <c r="BT6455" s="397"/>
      <c r="BU6455" s="397"/>
      <c r="BV6455" s="397"/>
      <c r="BW6455" s="397"/>
      <c r="BX6455" s="397"/>
      <c r="BY6455" s="397"/>
      <c r="CA6455" s="392" t="s">
        <v>408</v>
      </c>
    </row>
    <row r="6456" spans="1:79" s="392" customFormat="1" ht="15" x14ac:dyDescent="0.25">
      <c r="A6456" s="430"/>
      <c r="B6456" s="386"/>
      <c r="C6456" s="386"/>
      <c r="D6456" s="434"/>
      <c r="E6456" s="385"/>
      <c r="F6456" s="432"/>
      <c r="G6456" s="401"/>
      <c r="H6456" s="401">
        <v>3</v>
      </c>
      <c r="I6456" s="401"/>
      <c r="J6456" s="401"/>
      <c r="K6456" s="401"/>
      <c r="L6456" s="672"/>
      <c r="M6456" s="673">
        <v>32667</v>
      </c>
      <c r="N6456" s="624">
        <v>2.2710233999999998</v>
      </c>
      <c r="O6456" s="625">
        <v>0.54612690774399986</v>
      </c>
      <c r="P6456" s="390">
        <v>0.71218880092426662</v>
      </c>
      <c r="Q6456" s="390">
        <v>1.2032529548007675</v>
      </c>
      <c r="R6456" s="390">
        <v>1.5517368005096834</v>
      </c>
      <c r="S6456" s="390">
        <v>3.2900800409703486</v>
      </c>
      <c r="T6456" s="388">
        <v>5.2853477370291602</v>
      </c>
      <c r="U6456" s="388"/>
      <c r="V6456" s="391"/>
      <c r="W6456" s="391"/>
      <c r="X6456" s="391"/>
      <c r="Y6456" s="792"/>
      <c r="Z6456" s="388">
        <v>46</v>
      </c>
      <c r="AA6456" s="391">
        <v>1.5517368005096834</v>
      </c>
      <c r="AC6456" s="115"/>
      <c r="AD6456" s="388">
        <v>8.0467200000000005</v>
      </c>
      <c r="AE6456" s="388">
        <v>0.32308800000000004</v>
      </c>
      <c r="AF6456" s="388">
        <v>2.5919099999999999</v>
      </c>
      <c r="AG6456" s="391">
        <v>0.87782400000000005</v>
      </c>
      <c r="AH6456" s="397"/>
      <c r="AQ6456" s="397"/>
      <c r="AR6456" s="397"/>
      <c r="AS6456" s="397"/>
      <c r="AT6456" s="397"/>
      <c r="BE6456" s="397"/>
      <c r="BF6456" s="397"/>
      <c r="BG6456" s="397"/>
      <c r="BH6456" s="397"/>
      <c r="BI6456" s="397"/>
      <c r="BJ6456" s="397"/>
      <c r="BK6456" s="397"/>
      <c r="BL6456" s="397"/>
      <c r="BM6456" s="398"/>
      <c r="BN6456" s="397"/>
      <c r="BO6456" s="397"/>
      <c r="BP6456" s="397"/>
      <c r="BQ6456" s="397"/>
      <c r="BR6456" s="397"/>
      <c r="BS6456" s="397"/>
      <c r="BT6456" s="397"/>
      <c r="BU6456" s="397"/>
      <c r="BV6456" s="397"/>
      <c r="BW6456" s="397"/>
      <c r="BX6456" s="397"/>
      <c r="BY6456" s="397"/>
      <c r="CA6456" s="392" t="s">
        <v>408</v>
      </c>
    </row>
    <row r="6457" spans="1:79" s="392" customFormat="1" ht="15" x14ac:dyDescent="0.25">
      <c r="A6457" s="430"/>
      <c r="B6457" s="386"/>
      <c r="C6457" s="386"/>
      <c r="D6457" s="434"/>
      <c r="E6457" s="385"/>
      <c r="F6457" s="432"/>
      <c r="G6457" s="401"/>
      <c r="H6457" s="401">
        <v>6</v>
      </c>
      <c r="I6457" s="401"/>
      <c r="J6457" s="401"/>
      <c r="K6457" s="401"/>
      <c r="L6457" s="672"/>
      <c r="M6457" s="673">
        <v>32668</v>
      </c>
      <c r="N6457" s="624">
        <v>2.9931068999999999</v>
      </c>
      <c r="O6457" s="625">
        <v>1.0076093181106665</v>
      </c>
      <c r="P6457" s="390">
        <v>0.87571379268349847</v>
      </c>
      <c r="Q6457" s="390">
        <v>1.5593595997600058</v>
      </c>
      <c r="R6457" s="390">
        <v>2.2529168517366966</v>
      </c>
      <c r="S6457" s="390">
        <v>5.6459353606100837</v>
      </c>
      <c r="T6457" s="388">
        <v>12.836480560212102</v>
      </c>
      <c r="U6457" s="388"/>
      <c r="V6457" s="391"/>
      <c r="W6457" s="391"/>
      <c r="X6457" s="391"/>
      <c r="Y6457" s="792"/>
      <c r="Z6457" s="388">
        <v>35</v>
      </c>
      <c r="AA6457" s="391">
        <v>2.2529168517366966</v>
      </c>
      <c r="AC6457" s="115"/>
      <c r="AD6457" s="388">
        <v>7.8333599999999999</v>
      </c>
      <c r="AE6457" s="388">
        <v>0.32918400000000003</v>
      </c>
      <c r="AF6457" s="388">
        <v>2.6012</v>
      </c>
      <c r="AG6457" s="391">
        <v>1.143</v>
      </c>
      <c r="AH6457" s="397"/>
      <c r="AQ6457" s="397"/>
      <c r="AR6457" s="397"/>
      <c r="AS6457" s="397"/>
      <c r="AT6457" s="397"/>
      <c r="BE6457" s="397"/>
      <c r="BF6457" s="397"/>
      <c r="BG6457" s="397"/>
      <c r="BH6457" s="397"/>
      <c r="BI6457" s="397"/>
      <c r="BJ6457" s="397"/>
      <c r="BK6457" s="397"/>
      <c r="BL6457" s="397"/>
      <c r="BM6457" s="398"/>
      <c r="BN6457" s="397"/>
      <c r="BO6457" s="397"/>
      <c r="BP6457" s="397"/>
      <c r="BQ6457" s="397"/>
      <c r="BR6457" s="397"/>
      <c r="BS6457" s="397"/>
      <c r="BT6457" s="397"/>
      <c r="BU6457" s="397"/>
      <c r="BV6457" s="397"/>
      <c r="BW6457" s="397"/>
      <c r="BX6457" s="397"/>
      <c r="BY6457" s="397"/>
      <c r="CA6457" s="392" t="s">
        <v>408</v>
      </c>
    </row>
    <row r="6458" spans="1:79" s="392" customFormat="1" ht="15" x14ac:dyDescent="0.25">
      <c r="A6458" s="430"/>
      <c r="B6458" s="386"/>
      <c r="C6458" s="386"/>
      <c r="D6458" s="434"/>
      <c r="E6458" s="385"/>
      <c r="F6458" s="432"/>
      <c r="G6458" s="401"/>
      <c r="H6458" s="401">
        <v>6</v>
      </c>
      <c r="I6458" s="401"/>
      <c r="J6458" s="401"/>
      <c r="K6458" s="401"/>
      <c r="L6458" s="672"/>
      <c r="M6458" s="673">
        <v>32669</v>
      </c>
      <c r="N6458" s="624">
        <v>2.8175414999999999</v>
      </c>
      <c r="O6458" s="625">
        <v>0.20576328847259995</v>
      </c>
      <c r="P6458" s="390">
        <v>0.70171125099898712</v>
      </c>
      <c r="Q6458" s="390">
        <v>1.2390497759795642</v>
      </c>
      <c r="R6458" s="390">
        <v>1.6558555372629997</v>
      </c>
      <c r="S6458" s="390">
        <v>3.9533585870801113</v>
      </c>
      <c r="T6458" s="388">
        <v>13.86386619087002</v>
      </c>
      <c r="U6458" s="388"/>
      <c r="V6458" s="391"/>
      <c r="W6458" s="391"/>
      <c r="X6458" s="391"/>
      <c r="Y6458" s="792"/>
      <c r="Z6458" s="388">
        <v>42</v>
      </c>
      <c r="AA6458" s="391">
        <v>1.6558555372629997</v>
      </c>
      <c r="AC6458" s="115"/>
      <c r="AD6458" s="388">
        <v>8.1686399999999999</v>
      </c>
      <c r="AE6458" s="388">
        <v>0.34137600000000007</v>
      </c>
      <c r="AF6458" s="388">
        <v>2.7777099999999999</v>
      </c>
      <c r="AG6458" s="391">
        <v>1.0149840000000001</v>
      </c>
      <c r="AH6458" s="397"/>
      <c r="AQ6458" s="397"/>
      <c r="AR6458" s="397"/>
      <c r="AS6458" s="397"/>
      <c r="AT6458" s="397"/>
      <c r="BE6458" s="397"/>
      <c r="BF6458" s="397"/>
      <c r="BG6458" s="397"/>
      <c r="BH6458" s="397"/>
      <c r="BI6458" s="397"/>
      <c r="BJ6458" s="397"/>
      <c r="BK6458" s="397"/>
      <c r="BL6458" s="397"/>
      <c r="BM6458" s="398"/>
      <c r="BN6458" s="397"/>
      <c r="BO6458" s="397"/>
      <c r="BP6458" s="397"/>
      <c r="BQ6458" s="397"/>
      <c r="BR6458" s="397"/>
      <c r="BS6458" s="397"/>
      <c r="BT6458" s="397"/>
      <c r="BU6458" s="397"/>
      <c r="BV6458" s="397"/>
      <c r="BW6458" s="397"/>
      <c r="BX6458" s="397"/>
      <c r="BY6458" s="397"/>
      <c r="CA6458" s="392" t="s">
        <v>408</v>
      </c>
    </row>
    <row r="6459" spans="1:79" s="392" customFormat="1" ht="15" x14ac:dyDescent="0.25">
      <c r="A6459" s="430"/>
      <c r="B6459" s="386"/>
      <c r="C6459" s="386"/>
      <c r="D6459" s="434"/>
      <c r="E6459" s="385"/>
      <c r="F6459" s="432"/>
      <c r="G6459" s="401"/>
      <c r="H6459" s="401">
        <v>6</v>
      </c>
      <c r="I6459" s="401"/>
      <c r="J6459" s="401"/>
      <c r="K6459" s="401"/>
      <c r="L6459" s="672"/>
      <c r="M6459" s="673">
        <v>32670</v>
      </c>
      <c r="N6459" s="624">
        <v>3.5736053999999999</v>
      </c>
      <c r="O6459" s="625">
        <v>1.1324487350979999</v>
      </c>
      <c r="P6459" s="390">
        <v>1.005794142161778</v>
      </c>
      <c r="Q6459" s="390">
        <v>1.6098779066852535</v>
      </c>
      <c r="R6459" s="390">
        <v>2.2911000116951601</v>
      </c>
      <c r="S6459" s="390">
        <v>6.5294366246446183</v>
      </c>
      <c r="T6459" s="388">
        <v>21.135394940036019</v>
      </c>
      <c r="U6459" s="388"/>
      <c r="V6459" s="391"/>
      <c r="W6459" s="391"/>
      <c r="X6459" s="391"/>
      <c r="Y6459" s="792"/>
      <c r="Z6459" s="388">
        <v>60</v>
      </c>
      <c r="AA6459" s="391">
        <v>2.2911000116951601</v>
      </c>
      <c r="AC6459" s="115"/>
      <c r="AD6459" s="388">
        <v>8.4124800000000004</v>
      </c>
      <c r="AE6459" s="388">
        <v>0.38709600000000005</v>
      </c>
      <c r="AF6459" s="388">
        <v>3.2607900000000001</v>
      </c>
      <c r="AG6459" s="391">
        <v>1.09728</v>
      </c>
      <c r="AH6459" s="397"/>
      <c r="AQ6459" s="397"/>
      <c r="AR6459" s="397"/>
      <c r="AS6459" s="397"/>
      <c r="AT6459" s="397"/>
      <c r="BE6459" s="397"/>
      <c r="BF6459" s="397"/>
      <c r="BG6459" s="397"/>
      <c r="BH6459" s="397"/>
      <c r="BI6459" s="397"/>
      <c r="BJ6459" s="397"/>
      <c r="BK6459" s="397"/>
      <c r="BL6459" s="397"/>
      <c r="BM6459" s="398"/>
      <c r="BN6459" s="397"/>
      <c r="BO6459" s="397"/>
      <c r="BP6459" s="397"/>
      <c r="BQ6459" s="397"/>
      <c r="BR6459" s="397"/>
      <c r="BS6459" s="397"/>
      <c r="BT6459" s="397"/>
      <c r="BU6459" s="397"/>
      <c r="BV6459" s="397"/>
      <c r="BW6459" s="397"/>
      <c r="BX6459" s="397"/>
      <c r="BY6459" s="397"/>
      <c r="CA6459" s="392" t="s">
        <v>408</v>
      </c>
    </row>
    <row r="6460" spans="1:79" s="392" customFormat="1" ht="15" x14ac:dyDescent="0.25">
      <c r="A6460" s="430"/>
      <c r="B6460" s="386"/>
      <c r="C6460" s="386"/>
      <c r="D6460" s="434"/>
      <c r="E6460" s="385"/>
      <c r="F6460" s="432"/>
      <c r="G6460" s="401"/>
      <c r="H6460" s="401">
        <v>3</v>
      </c>
      <c r="I6460" s="401"/>
      <c r="J6460" s="401"/>
      <c r="K6460" s="401"/>
      <c r="L6460" s="672"/>
      <c r="M6460" s="673">
        <v>32671</v>
      </c>
      <c r="N6460" s="624">
        <v>4.1852526000000001</v>
      </c>
      <c r="O6460" s="625">
        <v>0.35969538060779993</v>
      </c>
      <c r="P6460" s="390">
        <v>0.65562865482542987</v>
      </c>
      <c r="Q6460" s="390">
        <v>1.1936102097850776</v>
      </c>
      <c r="R6460" s="390">
        <v>1.6308090780969176</v>
      </c>
      <c r="S6460" s="390">
        <v>3.8243124555554542</v>
      </c>
      <c r="T6460" s="388">
        <v>7.7076095504008162</v>
      </c>
      <c r="U6460" s="388"/>
      <c r="V6460" s="391"/>
      <c r="W6460" s="391"/>
      <c r="X6460" s="391"/>
      <c r="Y6460" s="792"/>
      <c r="Z6460" s="388">
        <v>20</v>
      </c>
      <c r="AA6460" s="391">
        <v>1.6308090780969176</v>
      </c>
      <c r="AC6460" s="115"/>
      <c r="AD6460" s="388">
        <v>8.5039200000000008</v>
      </c>
      <c r="AE6460" s="388">
        <v>0.39014400000000005</v>
      </c>
      <c r="AF6460" s="388">
        <v>3.3165300000000002</v>
      </c>
      <c r="AG6460" s="391">
        <v>1.2618719999999999</v>
      </c>
      <c r="AH6460" s="397"/>
      <c r="AQ6460" s="397"/>
      <c r="AR6460" s="397"/>
      <c r="AS6460" s="397"/>
      <c r="AT6460" s="397"/>
      <c r="BE6460" s="397"/>
      <c r="BF6460" s="397"/>
      <c r="BG6460" s="397"/>
      <c r="BH6460" s="397"/>
      <c r="BI6460" s="397"/>
      <c r="BJ6460" s="397"/>
      <c r="BK6460" s="397"/>
      <c r="BL6460" s="397"/>
      <c r="BM6460" s="398"/>
      <c r="BN6460" s="397"/>
      <c r="BO6460" s="397"/>
      <c r="BP6460" s="397"/>
      <c r="BQ6460" s="397"/>
      <c r="BR6460" s="397"/>
      <c r="BS6460" s="397"/>
      <c r="BT6460" s="397"/>
      <c r="BU6460" s="397"/>
      <c r="BV6460" s="397"/>
      <c r="BW6460" s="397"/>
      <c r="BX6460" s="397"/>
      <c r="BY6460" s="397"/>
      <c r="CA6460" s="392" t="s">
        <v>408</v>
      </c>
    </row>
    <row r="6461" spans="1:79" s="392" customFormat="1" ht="15" x14ac:dyDescent="0.25">
      <c r="A6461" s="430"/>
      <c r="B6461" s="386"/>
      <c r="C6461" s="386"/>
      <c r="D6461" s="434"/>
      <c r="E6461" s="385"/>
      <c r="F6461" s="432"/>
      <c r="G6461" s="401"/>
      <c r="H6461" s="401">
        <v>6</v>
      </c>
      <c r="I6461" s="401"/>
      <c r="J6461" s="401"/>
      <c r="K6461" s="401"/>
      <c r="L6461" s="672"/>
      <c r="M6461" s="673">
        <v>32672</v>
      </c>
      <c r="N6461" s="624">
        <v>3.4858226999999995</v>
      </c>
      <c r="O6461" s="625">
        <v>0.45191589616639999</v>
      </c>
      <c r="P6461" s="390">
        <v>0.7985223921981095</v>
      </c>
      <c r="Q6461" s="390">
        <v>1.4247226952536454</v>
      </c>
      <c r="R6461" s="390">
        <v>2.0207805202562836</v>
      </c>
      <c r="S6461" s="390">
        <v>8.912339808420878</v>
      </c>
      <c r="T6461" s="388">
        <v>73.616775505199598</v>
      </c>
      <c r="U6461" s="388"/>
      <c r="V6461" s="391"/>
      <c r="W6461" s="391"/>
      <c r="X6461" s="391"/>
      <c r="Y6461" s="792"/>
      <c r="Z6461" s="388">
        <v>52</v>
      </c>
      <c r="AA6461" s="391">
        <v>2.0207805202562836</v>
      </c>
      <c r="AC6461" s="115"/>
      <c r="AD6461" s="388">
        <v>8.4734400000000001</v>
      </c>
      <c r="AE6461" s="388">
        <v>0.37490400000000002</v>
      </c>
      <c r="AF6461" s="388">
        <v>3.1864699999999995</v>
      </c>
      <c r="AG6461" s="391">
        <v>1.0942320000000001</v>
      </c>
      <c r="AH6461" s="397"/>
      <c r="AQ6461" s="397"/>
      <c r="AR6461" s="397"/>
      <c r="AS6461" s="397"/>
      <c r="AT6461" s="397"/>
      <c r="BE6461" s="397"/>
      <c r="BF6461" s="397"/>
      <c r="BG6461" s="397"/>
      <c r="BH6461" s="397"/>
      <c r="BI6461" s="397"/>
      <c r="BJ6461" s="397"/>
      <c r="BK6461" s="397"/>
      <c r="BL6461" s="397"/>
      <c r="BM6461" s="398"/>
      <c r="BN6461" s="397"/>
      <c r="BO6461" s="397"/>
      <c r="BP6461" s="397"/>
      <c r="BQ6461" s="397"/>
      <c r="BR6461" s="397"/>
      <c r="BS6461" s="397"/>
      <c r="BT6461" s="397"/>
      <c r="BU6461" s="397"/>
      <c r="BV6461" s="397"/>
      <c r="BW6461" s="397"/>
      <c r="BX6461" s="397"/>
      <c r="BY6461" s="397"/>
      <c r="CA6461" s="392" t="s">
        <v>408</v>
      </c>
    </row>
    <row r="6462" spans="1:79" s="392" customFormat="1" ht="15" x14ac:dyDescent="0.25">
      <c r="A6462" s="430"/>
      <c r="B6462" s="386"/>
      <c r="C6462" s="386"/>
      <c r="D6462" s="434"/>
      <c r="E6462" s="385"/>
      <c r="F6462" s="432"/>
      <c r="G6462" s="401"/>
      <c r="H6462" s="401">
        <v>6</v>
      </c>
      <c r="I6462" s="401"/>
      <c r="J6462" s="401"/>
      <c r="K6462" s="401"/>
      <c r="L6462" s="672"/>
      <c r="M6462" s="673">
        <v>32675</v>
      </c>
      <c r="N6462" s="624">
        <v>4.2164013000000002</v>
      </c>
      <c r="O6462" s="625">
        <v>0.64585580828579991</v>
      </c>
      <c r="P6462" s="390">
        <v>0.83856452686418137</v>
      </c>
      <c r="Q6462" s="390">
        <v>1.4323856612742725</v>
      </c>
      <c r="R6462" s="390">
        <v>1.9852951778232593</v>
      </c>
      <c r="S6462" s="390">
        <v>4.804673393099506</v>
      </c>
      <c r="T6462" s="388">
        <v>13.786786460922546</v>
      </c>
      <c r="U6462" s="388"/>
      <c r="V6462" s="391"/>
      <c r="W6462" s="391"/>
      <c r="X6462" s="391"/>
      <c r="Y6462" s="792"/>
      <c r="Z6462" s="388">
        <v>47</v>
      </c>
      <c r="AA6462" s="391">
        <v>1.9852951778232593</v>
      </c>
      <c r="AC6462" s="115"/>
      <c r="AD6462" s="388">
        <v>8.5039200000000008</v>
      </c>
      <c r="AE6462" s="388">
        <v>0.40843200000000002</v>
      </c>
      <c r="AF6462" s="388">
        <v>3.4744599999999997</v>
      </c>
      <c r="AG6462" s="391">
        <v>1.213104</v>
      </c>
      <c r="AH6462" s="397"/>
      <c r="AQ6462" s="397"/>
      <c r="AR6462" s="397"/>
      <c r="AS6462" s="397"/>
      <c r="AT6462" s="397"/>
      <c r="BE6462" s="397"/>
      <c r="BF6462" s="397"/>
      <c r="BG6462" s="397"/>
      <c r="BH6462" s="397"/>
      <c r="BI6462" s="397"/>
      <c r="BJ6462" s="397"/>
      <c r="BK6462" s="397"/>
      <c r="BL6462" s="397"/>
      <c r="BM6462" s="398"/>
      <c r="BN6462" s="397"/>
      <c r="BO6462" s="397"/>
      <c r="BP6462" s="397"/>
      <c r="BQ6462" s="397"/>
      <c r="BR6462" s="397"/>
      <c r="BS6462" s="397"/>
      <c r="BT6462" s="397"/>
      <c r="BU6462" s="397"/>
      <c r="BV6462" s="397"/>
      <c r="BW6462" s="397"/>
      <c r="BX6462" s="397"/>
      <c r="BY6462" s="397"/>
      <c r="CA6462" s="392" t="s">
        <v>408</v>
      </c>
    </row>
    <row r="6463" spans="1:79" s="392" customFormat="1" ht="15" x14ac:dyDescent="0.25">
      <c r="A6463" s="430"/>
      <c r="B6463" s="386"/>
      <c r="C6463" s="386"/>
      <c r="D6463" s="434"/>
      <c r="E6463" s="385"/>
      <c r="F6463" s="432"/>
      <c r="G6463" s="401"/>
      <c r="H6463" s="401">
        <v>6</v>
      </c>
      <c r="I6463" s="401"/>
      <c r="J6463" s="401"/>
      <c r="K6463" s="401"/>
      <c r="L6463" s="672"/>
      <c r="M6463" s="673">
        <v>32677</v>
      </c>
      <c r="N6463" s="624">
        <v>2.8260365999999997</v>
      </c>
      <c r="O6463" s="625">
        <v>0.10644366211225</v>
      </c>
      <c r="P6463" s="390">
        <v>0.62</v>
      </c>
      <c r="Q6463" s="390">
        <v>1.1000000000000001</v>
      </c>
      <c r="R6463" s="390">
        <v>1.53</v>
      </c>
      <c r="S6463" s="390">
        <v>3.54</v>
      </c>
      <c r="T6463" s="388">
        <v>6.21</v>
      </c>
      <c r="U6463" s="388"/>
      <c r="V6463" s="391"/>
      <c r="W6463" s="391"/>
      <c r="X6463" s="391"/>
      <c r="Y6463" s="792"/>
      <c r="Z6463" s="388">
        <v>30</v>
      </c>
      <c r="AA6463" s="391">
        <v>1.53</v>
      </c>
      <c r="AC6463" s="115"/>
      <c r="AD6463" s="388">
        <v>8.0772000000000013</v>
      </c>
      <c r="AE6463" s="388">
        <v>0.35661599999999999</v>
      </c>
      <c r="AF6463" s="388">
        <v>2.8891900000000001</v>
      </c>
      <c r="AG6463" s="391">
        <v>0.97840800000000006</v>
      </c>
      <c r="AH6463" s="397"/>
      <c r="AQ6463" s="397"/>
      <c r="AR6463" s="397"/>
      <c r="AS6463" s="397"/>
      <c r="AT6463" s="397"/>
      <c r="BE6463" s="397"/>
      <c r="BF6463" s="397"/>
      <c r="BG6463" s="397"/>
      <c r="BH6463" s="397"/>
      <c r="BI6463" s="397"/>
      <c r="BJ6463" s="397"/>
      <c r="BK6463" s="397"/>
      <c r="BL6463" s="397"/>
      <c r="BM6463" s="398"/>
      <c r="BN6463" s="397"/>
      <c r="BO6463" s="397"/>
      <c r="BP6463" s="397"/>
      <c r="BQ6463" s="397"/>
      <c r="BR6463" s="397"/>
      <c r="BS6463" s="397"/>
      <c r="BT6463" s="397"/>
      <c r="BU6463" s="397"/>
      <c r="BV6463" s="397"/>
      <c r="BW6463" s="397"/>
      <c r="BX6463" s="397"/>
      <c r="BY6463" s="397"/>
      <c r="CA6463" s="392" t="s">
        <v>408</v>
      </c>
    </row>
    <row r="6464" spans="1:79" s="392" customFormat="1" ht="15" x14ac:dyDescent="0.25">
      <c r="A6464" s="430"/>
      <c r="B6464" s="386"/>
      <c r="C6464" s="386"/>
      <c r="D6464" s="434"/>
      <c r="E6464" s="385"/>
      <c r="F6464" s="432"/>
      <c r="G6464" s="401"/>
      <c r="H6464" s="401">
        <v>6</v>
      </c>
      <c r="I6464" s="401"/>
      <c r="J6464" s="401"/>
      <c r="K6464" s="401"/>
      <c r="L6464" s="672"/>
      <c r="M6464" s="673">
        <v>32680</v>
      </c>
      <c r="N6464" s="624">
        <v>2.2512015000000001</v>
      </c>
      <c r="O6464" s="625">
        <v>0.16439704620525</v>
      </c>
      <c r="P6464" s="390">
        <v>1.01</v>
      </c>
      <c r="Q6464" s="390">
        <v>1.5</v>
      </c>
      <c r="R6464" s="390">
        <v>2.0099999999999998</v>
      </c>
      <c r="S6464" s="390">
        <v>3.85</v>
      </c>
      <c r="T6464" s="388">
        <v>7.16</v>
      </c>
      <c r="U6464" s="388"/>
      <c r="V6464" s="391"/>
      <c r="W6464" s="391"/>
      <c r="X6464" s="391"/>
      <c r="Y6464" s="792"/>
      <c r="Z6464" s="388">
        <v>20</v>
      </c>
      <c r="AA6464" s="391">
        <v>2.0099999999999998</v>
      </c>
      <c r="AC6464" s="115"/>
      <c r="AD6464" s="388">
        <v>7.955280000000001</v>
      </c>
      <c r="AE6464" s="388">
        <v>0.32308800000000004</v>
      </c>
      <c r="AF6464" s="388">
        <v>2.5733299999999999</v>
      </c>
      <c r="AG6464" s="391">
        <v>0.87477600000000011</v>
      </c>
      <c r="AH6464" s="397"/>
      <c r="AQ6464" s="397"/>
      <c r="AR6464" s="397"/>
      <c r="AS6464" s="397"/>
      <c r="AT6464" s="397"/>
      <c r="BE6464" s="397"/>
      <c r="BF6464" s="397"/>
      <c r="BG6464" s="397"/>
      <c r="BH6464" s="397"/>
      <c r="BI6464" s="397"/>
      <c r="BJ6464" s="397"/>
      <c r="BK6464" s="397"/>
      <c r="BL6464" s="397"/>
      <c r="BM6464" s="398"/>
      <c r="BN6464" s="397"/>
      <c r="BO6464" s="397"/>
      <c r="BP6464" s="397"/>
      <c r="BQ6464" s="397"/>
      <c r="BR6464" s="397"/>
      <c r="BS6464" s="397"/>
      <c r="BT6464" s="397"/>
      <c r="BU6464" s="397"/>
      <c r="BV6464" s="397"/>
      <c r="BW6464" s="397"/>
      <c r="BX6464" s="397"/>
      <c r="BY6464" s="397"/>
      <c r="CA6464" s="392" t="s">
        <v>408</v>
      </c>
    </row>
    <row r="6465" spans="1:79" s="392" customFormat="1" ht="15" x14ac:dyDescent="0.25">
      <c r="A6465" s="430"/>
      <c r="B6465" s="386"/>
      <c r="C6465" s="386"/>
      <c r="D6465" s="434"/>
      <c r="E6465" s="385"/>
      <c r="F6465" s="432"/>
      <c r="G6465" s="401"/>
      <c r="H6465" s="401">
        <v>3</v>
      </c>
      <c r="I6465" s="401"/>
      <c r="J6465" s="401"/>
      <c r="K6465" s="401"/>
      <c r="L6465" s="672"/>
      <c r="M6465" s="673">
        <v>32682</v>
      </c>
      <c r="N6465" s="624">
        <v>2.0784677999999999</v>
      </c>
      <c r="O6465" s="625">
        <v>3.0275939448E-2</v>
      </c>
      <c r="P6465" s="390">
        <v>0.73</v>
      </c>
      <c r="Q6465" s="390">
        <v>1.24</v>
      </c>
      <c r="R6465" s="390">
        <v>1.6</v>
      </c>
      <c r="S6465" s="390">
        <v>3.27</v>
      </c>
      <c r="T6465" s="388">
        <v>4.18</v>
      </c>
      <c r="U6465" s="388"/>
      <c r="V6465" s="391"/>
      <c r="W6465" s="391"/>
      <c r="X6465" s="391"/>
      <c r="Y6465" s="792"/>
      <c r="Z6465" s="388">
        <v>10</v>
      </c>
      <c r="AA6465" s="391">
        <v>1.6</v>
      </c>
      <c r="AC6465" s="115"/>
      <c r="AD6465" s="388">
        <v>7.955280000000001</v>
      </c>
      <c r="AE6465" s="388">
        <v>0.31699200000000005</v>
      </c>
      <c r="AF6465" s="388">
        <v>2.5268799999999998</v>
      </c>
      <c r="AG6465" s="391">
        <v>0.82296000000000014</v>
      </c>
      <c r="AH6465" s="397"/>
      <c r="AQ6465" s="397"/>
      <c r="AR6465" s="397"/>
      <c r="AS6465" s="397"/>
      <c r="AT6465" s="397"/>
      <c r="BE6465" s="397"/>
      <c r="BF6465" s="397"/>
      <c r="BG6465" s="397"/>
      <c r="BH6465" s="397"/>
      <c r="BI6465" s="397"/>
      <c r="BJ6465" s="397"/>
      <c r="BK6465" s="397"/>
      <c r="BL6465" s="397"/>
      <c r="BM6465" s="398"/>
      <c r="BN6465" s="397"/>
      <c r="BO6465" s="397"/>
      <c r="BP6465" s="397"/>
      <c r="BQ6465" s="397"/>
      <c r="BR6465" s="397"/>
      <c r="BS6465" s="397"/>
      <c r="BT6465" s="397"/>
      <c r="BU6465" s="397"/>
      <c r="BV6465" s="397"/>
      <c r="BW6465" s="397"/>
      <c r="BX6465" s="397"/>
      <c r="BY6465" s="397"/>
      <c r="CA6465" s="392" t="s">
        <v>408</v>
      </c>
    </row>
    <row r="6466" spans="1:79" s="392" customFormat="1" ht="15" x14ac:dyDescent="0.25">
      <c r="A6466" s="430"/>
      <c r="B6466" s="386"/>
      <c r="C6466" s="386"/>
      <c r="D6466" s="434"/>
      <c r="E6466" s="385"/>
      <c r="F6466" s="432"/>
      <c r="G6466" s="401"/>
      <c r="H6466" s="401">
        <v>6</v>
      </c>
      <c r="I6466" s="401"/>
      <c r="J6466" s="401"/>
      <c r="K6466" s="401"/>
      <c r="L6466" s="672"/>
      <c r="M6466" s="673">
        <v>32687</v>
      </c>
      <c r="N6466" s="624">
        <v>1.9198925999999998</v>
      </c>
      <c r="O6466" s="625">
        <v>0.10464259071440001</v>
      </c>
      <c r="P6466" s="390">
        <v>0.75</v>
      </c>
      <c r="Q6466" s="390">
        <v>1.42</v>
      </c>
      <c r="R6466" s="390">
        <v>2.0699999999999998</v>
      </c>
      <c r="S6466" s="390">
        <v>64.59</v>
      </c>
      <c r="T6466" s="388">
        <v>80.510000000000005</v>
      </c>
      <c r="U6466" s="388"/>
      <c r="V6466" s="391"/>
      <c r="W6466" s="391"/>
      <c r="X6466" s="391"/>
      <c r="Y6466" s="792"/>
      <c r="Z6466" s="388">
        <v>89</v>
      </c>
      <c r="AA6466" s="391">
        <v>2.0699999999999998</v>
      </c>
      <c r="AC6466" s="115"/>
      <c r="AD6466" s="388">
        <v>7.98576</v>
      </c>
      <c r="AE6466" s="388">
        <v>0.32308800000000004</v>
      </c>
      <c r="AF6466" s="388">
        <v>2.5826199999999999</v>
      </c>
      <c r="AG6466" s="391">
        <v>0.74371200000000004</v>
      </c>
      <c r="AH6466" s="397"/>
      <c r="AQ6466" s="397"/>
      <c r="AR6466" s="397"/>
      <c r="AS6466" s="397"/>
      <c r="AT6466" s="397"/>
      <c r="BE6466" s="397"/>
      <c r="BF6466" s="397"/>
      <c r="BG6466" s="397"/>
      <c r="BH6466" s="397"/>
      <c r="BI6466" s="397"/>
      <c r="BJ6466" s="397"/>
      <c r="BK6466" s="397"/>
      <c r="BL6466" s="397"/>
      <c r="BM6466" s="398"/>
      <c r="BN6466" s="397"/>
      <c r="BO6466" s="397"/>
      <c r="BP6466" s="397"/>
      <c r="BQ6466" s="397"/>
      <c r="BR6466" s="397"/>
      <c r="BS6466" s="397"/>
      <c r="BT6466" s="397"/>
      <c r="BU6466" s="397"/>
      <c r="BV6466" s="397"/>
      <c r="BW6466" s="397"/>
      <c r="BX6466" s="397"/>
      <c r="BY6466" s="397"/>
      <c r="CA6466" s="392" t="s">
        <v>408</v>
      </c>
    </row>
    <row r="6467" spans="1:79" s="392" customFormat="1" ht="15" x14ac:dyDescent="0.25">
      <c r="A6467" s="430"/>
      <c r="B6467" s="386"/>
      <c r="C6467" s="386"/>
      <c r="D6467" s="434"/>
      <c r="E6467" s="385"/>
      <c r="F6467" s="432"/>
      <c r="G6467" s="401"/>
      <c r="H6467" s="401">
        <v>6</v>
      </c>
      <c r="I6467" s="401"/>
      <c r="J6467" s="401"/>
      <c r="K6467" s="401"/>
      <c r="L6467" s="672"/>
      <c r="M6467" s="673">
        <v>32693</v>
      </c>
      <c r="N6467" s="624">
        <v>2.1067848000000002</v>
      </c>
      <c r="O6467" s="625">
        <v>7.8195926941166671E-2</v>
      </c>
      <c r="P6467" s="390">
        <v>0.79</v>
      </c>
      <c r="Q6467" s="390">
        <v>1.3</v>
      </c>
      <c r="R6467" s="390">
        <v>1.69</v>
      </c>
      <c r="S6467" s="390">
        <v>3.46</v>
      </c>
      <c r="T6467" s="388">
        <v>5.42</v>
      </c>
      <c r="U6467" s="388"/>
      <c r="V6467" s="391"/>
      <c r="W6467" s="391"/>
      <c r="X6467" s="391"/>
      <c r="Y6467" s="792"/>
      <c r="Z6467" s="388">
        <v>23</v>
      </c>
      <c r="AA6467" s="391">
        <v>1.69</v>
      </c>
      <c r="AC6467" s="115"/>
      <c r="AD6467" s="388">
        <v>7.98576</v>
      </c>
      <c r="AE6467" s="388">
        <v>0.34137600000000007</v>
      </c>
      <c r="AF6467" s="388">
        <v>2.736834</v>
      </c>
      <c r="AG6467" s="391">
        <v>0.77114399999999994</v>
      </c>
      <c r="AH6467" s="397"/>
      <c r="AQ6467" s="397"/>
      <c r="AR6467" s="397"/>
      <c r="AS6467" s="397"/>
      <c r="AT6467" s="397"/>
      <c r="BE6467" s="397"/>
      <c r="BF6467" s="397"/>
      <c r="BG6467" s="397"/>
      <c r="BH6467" s="397"/>
      <c r="BI6467" s="397"/>
      <c r="BJ6467" s="397"/>
      <c r="BK6467" s="397"/>
      <c r="BL6467" s="397"/>
      <c r="BM6467" s="398"/>
      <c r="BN6467" s="397"/>
      <c r="BO6467" s="397"/>
      <c r="BP6467" s="397"/>
      <c r="BQ6467" s="397"/>
      <c r="BR6467" s="397"/>
      <c r="BS6467" s="397"/>
      <c r="BT6467" s="397"/>
      <c r="BU6467" s="397"/>
      <c r="BV6467" s="397"/>
      <c r="BW6467" s="397"/>
      <c r="BX6467" s="397"/>
      <c r="BY6467" s="397"/>
      <c r="CA6467" s="392" t="s">
        <v>408</v>
      </c>
    </row>
    <row r="6468" spans="1:79" s="392" customFormat="1" ht="15" x14ac:dyDescent="0.25">
      <c r="A6468" s="430"/>
      <c r="B6468" s="386"/>
      <c r="C6468" s="386"/>
      <c r="D6468" s="434"/>
      <c r="E6468" s="385"/>
      <c r="F6468" s="432"/>
      <c r="G6468" s="401"/>
      <c r="H6468" s="401">
        <v>3</v>
      </c>
      <c r="I6468" s="401"/>
      <c r="J6468" s="401"/>
      <c r="K6468" s="401"/>
      <c r="L6468" s="672"/>
      <c r="M6468" s="673">
        <v>32703</v>
      </c>
      <c r="N6468" s="624">
        <v>1.32098805</v>
      </c>
      <c r="O6468" s="625">
        <v>1.844496311E-3</v>
      </c>
      <c r="P6468" s="390">
        <v>0.49</v>
      </c>
      <c r="Q6468" s="390">
        <v>0.8</v>
      </c>
      <c r="R6468" s="390">
        <v>1.1299999999999999</v>
      </c>
      <c r="S6468" s="390">
        <v>2.4700000000000002</v>
      </c>
      <c r="T6468" s="388">
        <v>3.57</v>
      </c>
      <c r="U6468" s="388"/>
      <c r="V6468" s="391"/>
      <c r="W6468" s="391"/>
      <c r="X6468" s="391"/>
      <c r="Y6468" s="792"/>
      <c r="Z6468" s="388">
        <v>6</v>
      </c>
      <c r="AA6468" s="391">
        <v>1.1299999999999999</v>
      </c>
      <c r="AC6468" s="115"/>
      <c r="AD6468" s="388">
        <v>7.7724000000000002</v>
      </c>
      <c r="AE6468" s="388">
        <v>0.29260799999999998</v>
      </c>
      <c r="AF6468" s="388">
        <v>2.263973</v>
      </c>
      <c r="AG6468" s="391">
        <v>0.58216800000000002</v>
      </c>
      <c r="AH6468" s="397"/>
      <c r="AQ6468" s="397"/>
      <c r="AR6468" s="397"/>
      <c r="AS6468" s="397"/>
      <c r="AT6468" s="397"/>
      <c r="BE6468" s="397"/>
      <c r="BF6468" s="397"/>
      <c r="BG6468" s="397"/>
      <c r="BH6468" s="397"/>
      <c r="BI6468" s="397"/>
      <c r="BJ6468" s="397"/>
      <c r="BK6468" s="397"/>
      <c r="BL6468" s="397"/>
      <c r="BM6468" s="398"/>
      <c r="BN6468" s="397"/>
      <c r="BO6468" s="397"/>
      <c r="BP6468" s="397"/>
      <c r="BQ6468" s="397"/>
      <c r="BR6468" s="397"/>
      <c r="BS6468" s="397"/>
      <c r="BT6468" s="397"/>
      <c r="BU6468" s="397"/>
      <c r="BV6468" s="397"/>
      <c r="BW6468" s="397"/>
      <c r="BX6468" s="397"/>
      <c r="BY6468" s="397"/>
      <c r="CA6468" s="392" t="s">
        <v>408</v>
      </c>
    </row>
    <row r="6469" spans="1:79" s="189" customFormat="1" ht="15" x14ac:dyDescent="0.25">
      <c r="A6469" s="24" t="s">
        <v>425</v>
      </c>
      <c r="B6469" s="14" t="s">
        <v>34</v>
      </c>
      <c r="C6469" s="14"/>
      <c r="D6469" s="378">
        <f>VLOOKUP(E6469,'Quality Code'!D4:E24,2,TRUE)*VLOOKUP(MROUND(F6469,10),'Quality Code'!D28:E69,2,TRUE)*VLOOKUP(COUNTA(CB6469:CB6479),'Quality Code'!D73:E93,2,TRUE)</f>
        <v>0.6</v>
      </c>
      <c r="E6469" s="14">
        <v>0.6</v>
      </c>
      <c r="F6469" s="18">
        <v>41</v>
      </c>
      <c r="G6469" s="2">
        <v>134.6795896481253</v>
      </c>
      <c r="H6469" s="2" t="s">
        <v>105</v>
      </c>
      <c r="I6469" s="2"/>
      <c r="J6469" s="2"/>
      <c r="K6469" s="2"/>
      <c r="L6469" s="640"/>
      <c r="M6469" s="640">
        <v>1989</v>
      </c>
      <c r="N6469" s="578" t="s">
        <v>110</v>
      </c>
      <c r="O6469" s="622"/>
      <c r="P6469" s="376" t="s">
        <v>402</v>
      </c>
      <c r="Q6469" s="376" t="s">
        <v>403</v>
      </c>
      <c r="R6469" s="376" t="s">
        <v>404</v>
      </c>
      <c r="S6469" s="376" t="s">
        <v>405</v>
      </c>
      <c r="T6469" s="376" t="s">
        <v>406</v>
      </c>
      <c r="U6469" s="141" t="s">
        <v>20</v>
      </c>
      <c r="V6469" s="2"/>
      <c r="W6469" s="2"/>
      <c r="X6469" s="2"/>
      <c r="Y6469" s="2"/>
      <c r="Z6469" s="26"/>
      <c r="AA6469" s="26"/>
      <c r="AB6469" s="377"/>
      <c r="AC6469" s="26">
        <v>2.29E-2</v>
      </c>
      <c r="AD6469" s="26"/>
      <c r="AE6469" s="26"/>
      <c r="AF6469" s="26"/>
      <c r="AG6469" s="26"/>
      <c r="AH6469" s="4"/>
      <c r="AI6469" s="376"/>
      <c r="AJ6469" s="376"/>
      <c r="AK6469" s="376"/>
      <c r="AL6469" s="376"/>
      <c r="AM6469" s="376"/>
      <c r="AN6469" s="376"/>
      <c r="AO6469" s="376"/>
      <c r="AP6469" s="376"/>
      <c r="AQ6469" s="378"/>
      <c r="AR6469" s="378"/>
      <c r="AS6469" s="378"/>
      <c r="AT6469" s="378"/>
      <c r="AU6469" s="379"/>
      <c r="AV6469" s="379"/>
      <c r="AW6469" s="379"/>
      <c r="AX6469" s="379"/>
      <c r="AY6469" s="379"/>
      <c r="AZ6469" s="380"/>
      <c r="BA6469" s="380"/>
      <c r="BB6469" s="380"/>
      <c r="BC6469" s="380"/>
      <c r="BD6469" s="380"/>
      <c r="BE6469" s="4"/>
      <c r="BF6469" s="4"/>
      <c r="BG6469" s="4"/>
      <c r="BH6469" s="4"/>
      <c r="BI6469" s="12"/>
      <c r="BJ6469" s="2"/>
      <c r="BK6469" s="2"/>
      <c r="BL6469" s="4"/>
      <c r="BM6469" s="12">
        <v>4.922415700584728</v>
      </c>
      <c r="BN6469" s="12">
        <v>9.1744800000000009</v>
      </c>
      <c r="BO6469" s="12">
        <v>0.4209480398671096</v>
      </c>
      <c r="BP6469" s="4">
        <v>3.8619793728</v>
      </c>
      <c r="BQ6469" s="4">
        <v>21.794803945152758</v>
      </c>
      <c r="BR6469" s="4"/>
      <c r="BS6469" s="2"/>
      <c r="BT6469" s="9"/>
      <c r="BU6469" s="381"/>
      <c r="BV6469" s="382"/>
      <c r="BW6469" s="383"/>
      <c r="BX6469" s="383"/>
      <c r="BY6469" s="383"/>
      <c r="BZ6469" s="384"/>
      <c r="CA6469" s="411" t="s">
        <v>408</v>
      </c>
    </row>
    <row r="6470" spans="1:79" s="392" customFormat="1" ht="15" x14ac:dyDescent="0.25">
      <c r="A6470" s="430"/>
      <c r="B6470" s="386"/>
      <c r="C6470" s="386"/>
      <c r="D6470" s="699"/>
      <c r="E6470" s="385"/>
      <c r="F6470" s="432"/>
      <c r="G6470" s="401"/>
      <c r="H6470" s="401">
        <v>3</v>
      </c>
      <c r="I6470" s="401"/>
      <c r="J6470" s="401"/>
      <c r="K6470" s="401"/>
      <c r="L6470" s="672"/>
      <c r="M6470" s="673">
        <v>32622</v>
      </c>
      <c r="N6470" s="624">
        <v>1.1176719899999998</v>
      </c>
      <c r="O6470" s="625">
        <v>2.1633290066666667E-4</v>
      </c>
      <c r="P6470" s="390">
        <v>5.9324702266514449E-2</v>
      </c>
      <c r="Q6470" s="390">
        <v>0.28593319056144156</v>
      </c>
      <c r="R6470" s="390">
        <v>0.36920653648487478</v>
      </c>
      <c r="S6470" s="390">
        <v>0.86854148627173611</v>
      </c>
      <c r="T6470" s="388">
        <v>1.7532114426320697</v>
      </c>
      <c r="U6470" s="388"/>
      <c r="V6470" s="391"/>
      <c r="W6470" s="391"/>
      <c r="X6470" s="391"/>
      <c r="Y6470" s="792"/>
      <c r="Z6470" s="388">
        <v>5</v>
      </c>
      <c r="AA6470" s="391">
        <v>0.36920653648487478</v>
      </c>
      <c r="AC6470" s="388"/>
      <c r="AD6470" s="388">
        <v>6.7056000000000004</v>
      </c>
      <c r="AE6470" s="388">
        <v>0.20238720000000002</v>
      </c>
      <c r="AF6470" s="388">
        <v>1.3563399999999999</v>
      </c>
      <c r="AG6470" s="391">
        <v>0.82296000000000014</v>
      </c>
      <c r="AH6470" s="397"/>
      <c r="AQ6470" s="397"/>
      <c r="AR6470" s="397"/>
      <c r="AS6470" s="397"/>
      <c r="AT6470" s="397"/>
      <c r="BE6470" s="397"/>
      <c r="BF6470" s="397"/>
      <c r="BG6470" s="397"/>
      <c r="BH6470" s="397"/>
      <c r="BI6470" s="397"/>
      <c r="BJ6470" s="397"/>
      <c r="BK6470" s="397"/>
      <c r="BL6470" s="397"/>
      <c r="BM6470" s="398"/>
      <c r="BN6470" s="398"/>
      <c r="BO6470" s="398"/>
      <c r="BP6470" s="398"/>
      <c r="BQ6470" s="398"/>
      <c r="BR6470" s="398"/>
      <c r="BS6470" s="397"/>
      <c r="BT6470" s="397"/>
      <c r="BU6470" s="397"/>
      <c r="BV6470" s="397"/>
      <c r="BW6470" s="397"/>
      <c r="BX6470" s="397"/>
      <c r="BY6470" s="397"/>
      <c r="CA6470" s="392" t="s">
        <v>408</v>
      </c>
    </row>
    <row r="6471" spans="1:79" s="392" customFormat="1" ht="15" x14ac:dyDescent="0.25">
      <c r="A6471" s="430"/>
      <c r="B6471" s="386"/>
      <c r="C6471" s="386"/>
      <c r="D6471" s="699"/>
      <c r="E6471" s="385"/>
      <c r="F6471" s="432"/>
      <c r="G6471" s="401"/>
      <c r="H6471" s="401"/>
      <c r="I6471" s="401"/>
      <c r="J6471" s="401"/>
      <c r="K6471" s="401"/>
      <c r="L6471" s="672"/>
      <c r="M6471" s="673">
        <v>32623</v>
      </c>
      <c r="N6471" s="624">
        <v>1.1114422499999999</v>
      </c>
      <c r="O6471" s="625" t="e">
        <v>#N/A</v>
      </c>
      <c r="P6471" s="390" t="e">
        <v>#N/A</v>
      </c>
      <c r="Q6471" s="390" t="e">
        <v>#N/A</v>
      </c>
      <c r="R6471" s="390" t="e">
        <v>#N/A</v>
      </c>
      <c r="S6471" s="390" t="e">
        <v>#N/A</v>
      </c>
      <c r="T6471" s="388" t="e">
        <v>#N/A</v>
      </c>
      <c r="U6471" s="388"/>
      <c r="V6471" s="391"/>
      <c r="W6471" s="391"/>
      <c r="X6471" s="391"/>
      <c r="Y6471" s="792"/>
      <c r="Z6471" s="388" t="e">
        <v>#N/A</v>
      </c>
      <c r="AA6471" s="391" t="e">
        <v>#N/A</v>
      </c>
      <c r="AC6471" s="388"/>
      <c r="AD6471" s="388">
        <v>6.8884800000000004</v>
      </c>
      <c r="AE6471" s="388">
        <v>0.21061679999999999</v>
      </c>
      <c r="AF6471" s="388">
        <v>1.4492399999999999</v>
      </c>
      <c r="AG6471" s="391">
        <v>0.75285600000000008</v>
      </c>
      <c r="AH6471" s="397"/>
      <c r="AQ6471" s="397"/>
      <c r="AR6471" s="397"/>
      <c r="AS6471" s="397"/>
      <c r="AT6471" s="397"/>
      <c r="BE6471" s="397"/>
      <c r="BF6471" s="397"/>
      <c r="BG6471" s="397"/>
      <c r="BH6471" s="397"/>
      <c r="BI6471" s="397"/>
      <c r="BJ6471" s="397"/>
      <c r="BK6471" s="397"/>
      <c r="BL6471" s="397"/>
      <c r="BM6471" s="398"/>
      <c r="BN6471" s="398"/>
      <c r="BO6471" s="398"/>
      <c r="BP6471" s="398"/>
      <c r="BQ6471" s="398"/>
      <c r="BR6471" s="398"/>
      <c r="BS6471" s="397"/>
      <c r="BT6471" s="397"/>
      <c r="BU6471" s="397"/>
      <c r="BV6471" s="397"/>
      <c r="BW6471" s="397"/>
      <c r="BX6471" s="397"/>
      <c r="BY6471" s="397"/>
      <c r="CA6471" s="392" t="s">
        <v>408</v>
      </c>
    </row>
    <row r="6472" spans="1:79" s="392" customFormat="1" ht="15" x14ac:dyDescent="0.25">
      <c r="A6472" s="430"/>
      <c r="B6472" s="386"/>
      <c r="C6472" s="386"/>
      <c r="D6472" s="699"/>
      <c r="E6472" s="385"/>
      <c r="F6472" s="432"/>
      <c r="G6472" s="401"/>
      <c r="H6472" s="401"/>
      <c r="I6472" s="401"/>
      <c r="J6472" s="401"/>
      <c r="K6472" s="401"/>
      <c r="L6472" s="672"/>
      <c r="M6472" s="673">
        <v>32624</v>
      </c>
      <c r="N6472" s="624">
        <v>0.85772192999999997</v>
      </c>
      <c r="O6472" s="625" t="e">
        <v>#N/A</v>
      </c>
      <c r="P6472" s="390" t="e">
        <v>#N/A</v>
      </c>
      <c r="Q6472" s="390" t="e">
        <v>#N/A</v>
      </c>
      <c r="R6472" s="390" t="e">
        <v>#N/A</v>
      </c>
      <c r="S6472" s="390" t="e">
        <v>#N/A</v>
      </c>
      <c r="T6472" s="388" t="e">
        <v>#N/A</v>
      </c>
      <c r="U6472" s="388"/>
      <c r="V6472" s="391"/>
      <c r="W6472" s="391"/>
      <c r="X6472" s="391"/>
      <c r="Y6472" s="792"/>
      <c r="Z6472" s="388" t="e">
        <v>#N/A</v>
      </c>
      <c r="AA6472" s="391" t="e">
        <v>#N/A</v>
      </c>
      <c r="AC6472" s="388"/>
      <c r="AD6472" s="388">
        <v>6.7665600000000001</v>
      </c>
      <c r="AE6472" s="388">
        <v>0.173736</v>
      </c>
      <c r="AF6472" s="388">
        <v>1.1798299999999999</v>
      </c>
      <c r="AG6472" s="391">
        <v>0.72847200000000012</v>
      </c>
      <c r="AH6472" s="397"/>
      <c r="AQ6472" s="397"/>
      <c r="AR6472" s="397"/>
      <c r="AS6472" s="397"/>
      <c r="AT6472" s="397"/>
      <c r="BE6472" s="397"/>
      <c r="BF6472" s="397"/>
      <c r="BG6472" s="397"/>
      <c r="BH6472" s="397"/>
      <c r="BI6472" s="397"/>
      <c r="BJ6472" s="397"/>
      <c r="BK6472" s="397"/>
      <c r="BL6472" s="397"/>
      <c r="BM6472" s="398"/>
      <c r="BN6472" s="398"/>
      <c r="BO6472" s="398"/>
      <c r="BP6472" s="398"/>
      <c r="BQ6472" s="398"/>
      <c r="BR6472" s="398"/>
      <c r="BS6472" s="397"/>
      <c r="BT6472" s="397"/>
      <c r="BU6472" s="397"/>
      <c r="BV6472" s="397"/>
      <c r="BW6472" s="397"/>
      <c r="BX6472" s="397"/>
      <c r="BY6472" s="397"/>
      <c r="CA6472" s="392" t="s">
        <v>408</v>
      </c>
    </row>
    <row r="6473" spans="1:79" s="392" customFormat="1" ht="15" x14ac:dyDescent="0.25">
      <c r="A6473" s="430"/>
      <c r="B6473" s="386"/>
      <c r="C6473" s="386"/>
      <c r="D6473" s="699"/>
      <c r="E6473" s="385"/>
      <c r="F6473" s="432"/>
      <c r="G6473" s="401"/>
      <c r="H6473" s="401">
        <v>3</v>
      </c>
      <c r="I6473" s="401"/>
      <c r="J6473" s="401"/>
      <c r="K6473" s="401"/>
      <c r="L6473" s="672"/>
      <c r="M6473" s="673">
        <v>32625</v>
      </c>
      <c r="N6473" s="624">
        <v>1.0109169</v>
      </c>
      <c r="O6473" s="625">
        <v>6.831819669666665E-4</v>
      </c>
      <c r="P6473" s="390">
        <v>0.31066134246021043</v>
      </c>
      <c r="Q6473" s="390">
        <v>0.5487460391093939</v>
      </c>
      <c r="R6473" s="390">
        <v>0.7606281079748235</v>
      </c>
      <c r="S6473" s="390">
        <v>1.7825135499263267</v>
      </c>
      <c r="T6473" s="388">
        <v>3.1041763632280857</v>
      </c>
      <c r="U6473" s="388"/>
      <c r="V6473" s="391"/>
      <c r="W6473" s="391"/>
      <c r="X6473" s="391"/>
      <c r="Y6473" s="792"/>
      <c r="Z6473" s="388">
        <v>5</v>
      </c>
      <c r="AA6473" s="391">
        <v>0.7606281079748235</v>
      </c>
      <c r="AC6473" s="388"/>
      <c r="AD6473" s="388">
        <v>6.9799199999999999</v>
      </c>
      <c r="AE6473" s="388">
        <v>0.18592800000000001</v>
      </c>
      <c r="AF6473" s="388">
        <v>1.3006</v>
      </c>
      <c r="AG6473" s="391">
        <v>0.78028800000000009</v>
      </c>
      <c r="AH6473" s="397"/>
      <c r="AQ6473" s="397"/>
      <c r="AR6473" s="397"/>
      <c r="AS6473" s="397"/>
      <c r="AT6473" s="397"/>
      <c r="BE6473" s="397"/>
      <c r="BF6473" s="397"/>
      <c r="BG6473" s="397"/>
      <c r="BH6473" s="397"/>
      <c r="BI6473" s="397"/>
      <c r="BJ6473" s="397"/>
      <c r="BK6473" s="397"/>
      <c r="BL6473" s="397"/>
      <c r="BM6473" s="398"/>
      <c r="BN6473" s="398"/>
      <c r="BO6473" s="398"/>
      <c r="BP6473" s="398"/>
      <c r="BQ6473" s="398"/>
      <c r="BR6473" s="398"/>
      <c r="BS6473" s="397"/>
      <c r="BT6473" s="397"/>
      <c r="BU6473" s="397"/>
      <c r="BV6473" s="397"/>
      <c r="BW6473" s="397"/>
      <c r="BX6473" s="397"/>
      <c r="BY6473" s="397"/>
      <c r="CA6473" s="392" t="s">
        <v>408</v>
      </c>
    </row>
    <row r="6474" spans="1:79" s="392" customFormat="1" ht="15" x14ac:dyDescent="0.25">
      <c r="A6474" s="430"/>
      <c r="B6474" s="386"/>
      <c r="C6474" s="386"/>
      <c r="D6474" s="699"/>
      <c r="E6474" s="385"/>
      <c r="F6474" s="432"/>
      <c r="G6474" s="401"/>
      <c r="H6474" s="401">
        <v>3</v>
      </c>
      <c r="I6474" s="401"/>
      <c r="J6474" s="401"/>
      <c r="K6474" s="401"/>
      <c r="L6474" s="672"/>
      <c r="M6474" s="673">
        <v>32626</v>
      </c>
      <c r="N6474" s="624">
        <v>0.83988222000000001</v>
      </c>
      <c r="O6474" s="625">
        <v>3.7033259266666668E-4</v>
      </c>
      <c r="P6474" s="390">
        <v>0.39433673004465175</v>
      </c>
      <c r="Q6474" s="390">
        <v>0.63014249095714869</v>
      </c>
      <c r="R6474" s="390">
        <v>0.81932060354304026</v>
      </c>
      <c r="S6474" s="390">
        <v>1.6950564658549543</v>
      </c>
      <c r="T6474" s="388">
        <v>2.7111198449951877</v>
      </c>
      <c r="U6474" s="388"/>
      <c r="V6474" s="391"/>
      <c r="W6474" s="391"/>
      <c r="X6474" s="391"/>
      <c r="Y6474" s="792"/>
      <c r="Z6474" s="388">
        <v>2</v>
      </c>
      <c r="AA6474" s="391">
        <v>0.81932060354304026</v>
      </c>
      <c r="AC6474" s="388"/>
      <c r="AD6474" s="388">
        <v>6.7056000000000004</v>
      </c>
      <c r="AE6474" s="388">
        <v>0.19812000000000002</v>
      </c>
      <c r="AF6474" s="388">
        <v>1.32847</v>
      </c>
      <c r="AG6474" s="391">
        <v>0.6339840000000001</v>
      </c>
      <c r="AH6474" s="397"/>
      <c r="AQ6474" s="397"/>
      <c r="AR6474" s="397"/>
      <c r="AS6474" s="397"/>
      <c r="AT6474" s="397"/>
      <c r="BE6474" s="397"/>
      <c r="BF6474" s="397"/>
      <c r="BG6474" s="397"/>
      <c r="BH6474" s="397"/>
      <c r="BI6474" s="397"/>
      <c r="BJ6474" s="397"/>
      <c r="BK6474" s="397"/>
      <c r="BL6474" s="397"/>
      <c r="BM6474" s="398"/>
      <c r="BN6474" s="398"/>
      <c r="BO6474" s="398"/>
      <c r="BP6474" s="398"/>
      <c r="BQ6474" s="398"/>
      <c r="BR6474" s="398"/>
      <c r="BS6474" s="397"/>
      <c r="BT6474" s="397"/>
      <c r="BU6474" s="397"/>
      <c r="BV6474" s="397"/>
      <c r="BW6474" s="397"/>
      <c r="BX6474" s="397"/>
      <c r="BY6474" s="397"/>
      <c r="CA6474" s="392" t="s">
        <v>408</v>
      </c>
    </row>
    <row r="6475" spans="1:79" s="392" customFormat="1" ht="15" x14ac:dyDescent="0.25">
      <c r="A6475" s="430"/>
      <c r="B6475" s="386"/>
      <c r="C6475" s="386"/>
      <c r="D6475" s="699"/>
      <c r="E6475" s="385"/>
      <c r="F6475" s="432"/>
      <c r="G6475" s="401"/>
      <c r="H6475" s="401" t="s">
        <v>71</v>
      </c>
      <c r="I6475" s="401"/>
      <c r="J6475" s="401"/>
      <c r="K6475" s="401"/>
      <c r="L6475" s="672"/>
      <c r="M6475" s="673">
        <v>32627</v>
      </c>
      <c r="N6475" s="624">
        <v>0.58333020000000002</v>
      </c>
      <c r="O6475" s="625" t="e">
        <v>#N/A</v>
      </c>
      <c r="P6475" s="390" t="e">
        <v>#N/A</v>
      </c>
      <c r="Q6475" s="390" t="e">
        <v>#N/A</v>
      </c>
      <c r="R6475" s="390" t="e">
        <v>#N/A</v>
      </c>
      <c r="S6475" s="390" t="e">
        <v>#N/A</v>
      </c>
      <c r="T6475" s="388" t="e">
        <v>#N/A</v>
      </c>
      <c r="U6475" s="388"/>
      <c r="V6475" s="391"/>
      <c r="W6475" s="391"/>
      <c r="X6475" s="391"/>
      <c r="Y6475" s="792"/>
      <c r="Z6475" s="388" t="e">
        <v>#N/A</v>
      </c>
      <c r="AA6475" s="391" t="e">
        <v>#N/A</v>
      </c>
      <c r="AC6475" s="388"/>
      <c r="AD6475" s="388">
        <v>6.6294000000000004</v>
      </c>
      <c r="AE6475" s="388">
        <v>0.17068800000000003</v>
      </c>
      <c r="AF6475" s="388">
        <v>1.1426700000000001</v>
      </c>
      <c r="AG6475" s="391">
        <v>0.67970399999999997</v>
      </c>
      <c r="AH6475" s="397"/>
      <c r="AQ6475" s="397"/>
      <c r="AR6475" s="397"/>
      <c r="AS6475" s="397"/>
      <c r="AT6475" s="397"/>
      <c r="BE6475" s="397"/>
      <c r="BF6475" s="397"/>
      <c r="BG6475" s="397"/>
      <c r="BH6475" s="397"/>
      <c r="BI6475" s="397"/>
      <c r="BJ6475" s="397"/>
      <c r="BK6475" s="397"/>
      <c r="BL6475" s="397"/>
      <c r="BM6475" s="398"/>
      <c r="BN6475" s="398"/>
      <c r="BO6475" s="398"/>
      <c r="BP6475" s="398"/>
      <c r="BQ6475" s="398"/>
      <c r="BR6475" s="398"/>
      <c r="BS6475" s="397"/>
      <c r="BT6475" s="397"/>
      <c r="BU6475" s="397"/>
      <c r="BV6475" s="397"/>
      <c r="BW6475" s="397"/>
      <c r="BX6475" s="397"/>
      <c r="BY6475" s="397"/>
      <c r="CA6475" s="392" t="s">
        <v>408</v>
      </c>
    </row>
    <row r="6476" spans="1:79" s="392" customFormat="1" ht="15" x14ac:dyDescent="0.25">
      <c r="A6476" s="430"/>
      <c r="B6476" s="386"/>
      <c r="C6476" s="386"/>
      <c r="D6476" s="699"/>
      <c r="E6476" s="385"/>
      <c r="F6476" s="432"/>
      <c r="G6476" s="401"/>
      <c r="H6476" s="401">
        <v>3</v>
      </c>
      <c r="I6476" s="401"/>
      <c r="J6476" s="401"/>
      <c r="K6476" s="401"/>
      <c r="L6476" s="672"/>
      <c r="M6476" s="673">
        <v>32629</v>
      </c>
      <c r="N6476" s="624">
        <v>0.43551546000000002</v>
      </c>
      <c r="O6476" s="625">
        <v>3.266660133333333E-6</v>
      </c>
      <c r="P6476" s="390" t="e">
        <v>#N/A</v>
      </c>
      <c r="Q6476" s="390" t="e">
        <v>#N/A</v>
      </c>
      <c r="R6476" s="390" t="e">
        <v>#N/A</v>
      </c>
      <c r="S6476" s="390" t="e">
        <v>#N/A</v>
      </c>
      <c r="T6476" s="388" t="e">
        <v>#N/A</v>
      </c>
      <c r="U6476" s="388"/>
      <c r="V6476" s="391"/>
      <c r="W6476" s="391"/>
      <c r="X6476" s="391"/>
      <c r="Y6476" s="792"/>
      <c r="Z6476" s="388">
        <v>0.1</v>
      </c>
      <c r="AA6476" s="391" t="e">
        <v>#N/A</v>
      </c>
      <c r="AC6476" s="388"/>
      <c r="AD6476" s="388">
        <v>5.9740800000000007</v>
      </c>
      <c r="AE6476" s="388">
        <v>0.12374880000000002</v>
      </c>
      <c r="AF6476" s="388">
        <v>0.91971000000000003</v>
      </c>
      <c r="AG6476" s="391">
        <v>0.46329600000000004</v>
      </c>
      <c r="AH6476" s="397"/>
      <c r="AQ6476" s="397"/>
      <c r="AR6476" s="397"/>
      <c r="AS6476" s="397"/>
      <c r="AT6476" s="397"/>
      <c r="BE6476" s="397"/>
      <c r="BF6476" s="397"/>
      <c r="BG6476" s="397"/>
      <c r="BH6476" s="397"/>
      <c r="BI6476" s="397"/>
      <c r="BJ6476" s="397"/>
      <c r="BK6476" s="397"/>
      <c r="BL6476" s="397"/>
      <c r="BM6476" s="398"/>
      <c r="BN6476" s="398"/>
      <c r="BO6476" s="398"/>
      <c r="BP6476" s="398"/>
      <c r="BQ6476" s="398"/>
      <c r="BR6476" s="398"/>
      <c r="BS6476" s="397"/>
      <c r="BT6476" s="397"/>
      <c r="BU6476" s="397"/>
      <c r="BV6476" s="397"/>
      <c r="BW6476" s="397"/>
      <c r="BX6476" s="397"/>
      <c r="BY6476" s="397"/>
      <c r="CA6476" s="392" t="s">
        <v>408</v>
      </c>
    </row>
    <row r="6477" spans="1:79" s="392" customFormat="1" ht="15" x14ac:dyDescent="0.25">
      <c r="A6477" s="430"/>
      <c r="B6477" s="386"/>
      <c r="C6477" s="386"/>
      <c r="D6477" s="699"/>
      <c r="E6477" s="385"/>
      <c r="F6477" s="432"/>
      <c r="G6477" s="401"/>
      <c r="H6477" s="401">
        <v>3</v>
      </c>
      <c r="I6477" s="401"/>
      <c r="J6477" s="401"/>
      <c r="K6477" s="401"/>
      <c r="L6477" s="672"/>
      <c r="M6477" s="673">
        <v>32630</v>
      </c>
      <c r="N6477" s="624">
        <v>0.69433283999999995</v>
      </c>
      <c r="O6477" s="625">
        <v>3.5666595333333326E-6</v>
      </c>
      <c r="P6477" s="390" t="e">
        <v>#N/A</v>
      </c>
      <c r="Q6477" s="390" t="e">
        <v>#N/A</v>
      </c>
      <c r="R6477" s="390" t="e">
        <v>#N/A</v>
      </c>
      <c r="S6477" s="390" t="e">
        <v>#N/A</v>
      </c>
      <c r="T6477" s="388" t="e">
        <v>#N/A</v>
      </c>
      <c r="U6477" s="388"/>
      <c r="V6477" s="391"/>
      <c r="W6477" s="391"/>
      <c r="X6477" s="391"/>
      <c r="Y6477" s="792"/>
      <c r="Z6477" s="388">
        <v>0.1</v>
      </c>
      <c r="AA6477" s="391" t="e">
        <v>#N/A</v>
      </c>
      <c r="AC6477" s="388"/>
      <c r="AD6477" s="388">
        <v>6.5227199999999996</v>
      </c>
      <c r="AE6477" s="388">
        <v>0.17465039999999998</v>
      </c>
      <c r="AF6477" s="388">
        <v>1.1426700000000001</v>
      </c>
      <c r="AG6477" s="391">
        <v>0.60960000000000003</v>
      </c>
      <c r="AH6477" s="397"/>
      <c r="AQ6477" s="397"/>
      <c r="AR6477" s="397"/>
      <c r="AS6477" s="397"/>
      <c r="AT6477" s="397"/>
      <c r="BE6477" s="397"/>
      <c r="BF6477" s="397"/>
      <c r="BG6477" s="397"/>
      <c r="BH6477" s="397"/>
      <c r="BI6477" s="397"/>
      <c r="BJ6477" s="397"/>
      <c r="BK6477" s="397"/>
      <c r="BL6477" s="397"/>
      <c r="BM6477" s="398"/>
      <c r="BN6477" s="398"/>
      <c r="BO6477" s="398"/>
      <c r="BP6477" s="398"/>
      <c r="BQ6477" s="398"/>
      <c r="BR6477" s="398"/>
      <c r="BS6477" s="397"/>
      <c r="BT6477" s="397"/>
      <c r="BU6477" s="397"/>
      <c r="BV6477" s="397"/>
      <c r="BW6477" s="397"/>
      <c r="BX6477" s="397"/>
      <c r="BY6477" s="397"/>
      <c r="CA6477" s="392" t="s">
        <v>408</v>
      </c>
    </row>
    <row r="6478" spans="1:79" s="392" customFormat="1" ht="15" x14ac:dyDescent="0.25">
      <c r="A6478" s="430"/>
      <c r="B6478" s="386"/>
      <c r="C6478" s="386"/>
      <c r="D6478" s="699"/>
      <c r="E6478" s="385"/>
      <c r="F6478" s="432"/>
      <c r="G6478" s="401"/>
      <c r="H6478" s="401">
        <v>3</v>
      </c>
      <c r="I6478" s="401"/>
      <c r="J6478" s="401"/>
      <c r="K6478" s="401"/>
      <c r="L6478" s="672"/>
      <c r="M6478" s="673">
        <v>32632</v>
      </c>
      <c r="N6478" s="624">
        <v>0.72095081999999999</v>
      </c>
      <c r="O6478" s="625">
        <v>3.5833261666666665E-6</v>
      </c>
      <c r="P6478" s="390" t="e">
        <v>#N/A</v>
      </c>
      <c r="Q6478" s="390" t="e">
        <v>#N/A</v>
      </c>
      <c r="R6478" s="390" t="e">
        <v>#N/A</v>
      </c>
      <c r="S6478" s="390" t="e">
        <v>#N/A</v>
      </c>
      <c r="T6478" s="388" t="e">
        <v>#N/A</v>
      </c>
      <c r="U6478" s="388"/>
      <c r="V6478" s="391"/>
      <c r="W6478" s="391"/>
      <c r="X6478" s="391"/>
      <c r="Y6478" s="792"/>
      <c r="Z6478" s="388">
        <v>0.1</v>
      </c>
      <c r="AA6478" s="391" t="e">
        <v>#N/A</v>
      </c>
      <c r="AC6478" s="388"/>
      <c r="AD6478" s="388">
        <v>6.5532000000000004</v>
      </c>
      <c r="AE6478" s="388">
        <v>0.1740408</v>
      </c>
      <c r="AF6478" s="388">
        <v>1.1426700000000001</v>
      </c>
      <c r="AG6478" s="391">
        <v>0.63093599999999994</v>
      </c>
      <c r="AH6478" s="397"/>
      <c r="AQ6478" s="397"/>
      <c r="AR6478" s="397"/>
      <c r="AS6478" s="397"/>
      <c r="AT6478" s="397"/>
      <c r="BE6478" s="397"/>
      <c r="BF6478" s="397"/>
      <c r="BG6478" s="397"/>
      <c r="BH6478" s="397"/>
      <c r="BI6478" s="397"/>
      <c r="BJ6478" s="397"/>
      <c r="BK6478" s="397"/>
      <c r="BL6478" s="397"/>
      <c r="BM6478" s="398"/>
      <c r="BN6478" s="398"/>
      <c r="BO6478" s="398"/>
      <c r="BP6478" s="398"/>
      <c r="BQ6478" s="398"/>
      <c r="BR6478" s="398"/>
      <c r="BS6478" s="397"/>
      <c r="BT6478" s="397"/>
      <c r="BU6478" s="397"/>
      <c r="BV6478" s="397"/>
      <c r="BW6478" s="397"/>
      <c r="BX6478" s="397"/>
      <c r="BY6478" s="397"/>
      <c r="CA6478" s="392" t="s">
        <v>408</v>
      </c>
    </row>
    <row r="6479" spans="1:79" s="392" customFormat="1" ht="15" x14ac:dyDescent="0.25">
      <c r="A6479" s="430"/>
      <c r="B6479" s="386"/>
      <c r="C6479" s="386"/>
      <c r="D6479" s="699"/>
      <c r="E6479" s="385"/>
      <c r="F6479" s="432"/>
      <c r="G6479" s="401"/>
      <c r="H6479" s="401">
        <v>3</v>
      </c>
      <c r="I6479" s="401"/>
      <c r="J6479" s="401"/>
      <c r="K6479" s="401"/>
      <c r="L6479" s="672"/>
      <c r="M6479" s="673">
        <v>32633</v>
      </c>
      <c r="N6479" s="624">
        <v>0.63854834999999999</v>
      </c>
      <c r="O6479" s="625">
        <v>3.4999929999999995E-6</v>
      </c>
      <c r="P6479" s="390" t="e">
        <v>#N/A</v>
      </c>
      <c r="Q6479" s="390" t="e">
        <v>#N/A</v>
      </c>
      <c r="R6479" s="390" t="e">
        <v>#N/A</v>
      </c>
      <c r="S6479" s="390" t="e">
        <v>#N/A</v>
      </c>
      <c r="T6479" s="388" t="e">
        <v>#N/A</v>
      </c>
      <c r="U6479" s="388"/>
      <c r="V6479" s="391"/>
      <c r="W6479" s="391"/>
      <c r="X6479" s="391"/>
      <c r="Y6479" s="792"/>
      <c r="Z6479" s="388">
        <v>0.1</v>
      </c>
      <c r="AA6479" s="391" t="e">
        <v>#N/A</v>
      </c>
      <c r="AC6479" s="388"/>
      <c r="AD6479" s="388">
        <v>6.4008000000000003</v>
      </c>
      <c r="AE6479" s="388">
        <v>0.16550640000000003</v>
      </c>
      <c r="AF6479" s="388">
        <v>1.0590599999999999</v>
      </c>
      <c r="AG6479" s="391">
        <v>0.60045599999999999</v>
      </c>
      <c r="AH6479" s="397"/>
      <c r="AQ6479" s="397"/>
      <c r="AR6479" s="397"/>
      <c r="AS6479" s="397"/>
      <c r="AT6479" s="397"/>
      <c r="BE6479" s="397"/>
      <c r="BF6479" s="397"/>
      <c r="BG6479" s="397"/>
      <c r="BH6479" s="397"/>
      <c r="BI6479" s="397"/>
      <c r="BJ6479" s="397"/>
      <c r="BK6479" s="397"/>
      <c r="BL6479" s="397"/>
      <c r="BM6479" s="398"/>
      <c r="BN6479" s="398"/>
      <c r="BO6479" s="398"/>
      <c r="BP6479" s="398"/>
      <c r="BQ6479" s="398"/>
      <c r="BR6479" s="398"/>
      <c r="BS6479" s="397"/>
      <c r="BT6479" s="397"/>
      <c r="BU6479" s="397"/>
      <c r="BV6479" s="397"/>
      <c r="BW6479" s="397"/>
      <c r="BX6479" s="397"/>
      <c r="BY6479" s="397"/>
      <c r="CA6479" s="392" t="s">
        <v>408</v>
      </c>
    </row>
    <row r="6480" spans="1:79" s="392" customFormat="1" ht="15" x14ac:dyDescent="0.25">
      <c r="A6480" s="430"/>
      <c r="B6480" s="386"/>
      <c r="C6480" s="386"/>
      <c r="D6480" s="699"/>
      <c r="E6480" s="385"/>
      <c r="F6480" s="432"/>
      <c r="G6480" s="401"/>
      <c r="H6480" s="401">
        <v>3</v>
      </c>
      <c r="I6480" s="401"/>
      <c r="J6480" s="401"/>
      <c r="K6480" s="401"/>
      <c r="L6480" s="672"/>
      <c r="M6480" s="673">
        <v>32634</v>
      </c>
      <c r="N6480" s="624">
        <v>0.70905767999999991</v>
      </c>
      <c r="O6480" s="625">
        <v>3.5499929E-6</v>
      </c>
      <c r="P6480" s="390" t="e">
        <v>#N/A</v>
      </c>
      <c r="Q6480" s="390" t="e">
        <v>#N/A</v>
      </c>
      <c r="R6480" s="390" t="e">
        <v>#N/A</v>
      </c>
      <c r="S6480" s="390" t="e">
        <v>#N/A</v>
      </c>
      <c r="T6480" s="388" t="e">
        <v>#N/A</v>
      </c>
      <c r="U6480" s="388"/>
      <c r="V6480" s="391"/>
      <c r="W6480" s="391"/>
      <c r="X6480" s="391"/>
      <c r="Y6480" s="792"/>
      <c r="Z6480" s="388">
        <v>0.1</v>
      </c>
      <c r="AA6480" s="391" t="e">
        <v>#N/A</v>
      </c>
      <c r="AC6480" s="388"/>
      <c r="AD6480" s="388">
        <v>6.4922400000000007</v>
      </c>
      <c r="AE6480" s="388">
        <v>0.16733520000000002</v>
      </c>
      <c r="AF6480" s="388">
        <v>1.08693</v>
      </c>
      <c r="AG6480" s="391">
        <v>0.65227200000000007</v>
      </c>
      <c r="AH6480" s="397"/>
      <c r="AQ6480" s="397"/>
      <c r="AR6480" s="397"/>
      <c r="AS6480" s="397"/>
      <c r="AT6480" s="397"/>
      <c r="BE6480" s="397"/>
      <c r="BF6480" s="397"/>
      <c r="BG6480" s="397"/>
      <c r="BH6480" s="397"/>
      <c r="BI6480" s="397"/>
      <c r="BJ6480" s="397"/>
      <c r="BK6480" s="397"/>
      <c r="BL6480" s="397"/>
      <c r="BM6480" s="398"/>
      <c r="BN6480" s="398"/>
      <c r="BO6480" s="398"/>
      <c r="BP6480" s="398"/>
      <c r="BQ6480" s="398"/>
      <c r="BR6480" s="398"/>
      <c r="BS6480" s="397"/>
      <c r="BT6480" s="397"/>
      <c r="BU6480" s="397"/>
      <c r="BV6480" s="397"/>
      <c r="BW6480" s="397"/>
      <c r="BX6480" s="397"/>
      <c r="BY6480" s="397"/>
      <c r="CA6480" s="392" t="s">
        <v>408</v>
      </c>
    </row>
    <row r="6481" spans="1:79" s="392" customFormat="1" ht="15" x14ac:dyDescent="0.25">
      <c r="A6481" s="430"/>
      <c r="B6481" s="386"/>
      <c r="C6481" s="386"/>
      <c r="D6481" s="699"/>
      <c r="E6481" s="385"/>
      <c r="F6481" s="432"/>
      <c r="G6481" s="401"/>
      <c r="H6481" s="401">
        <v>3</v>
      </c>
      <c r="I6481" s="401"/>
      <c r="J6481" s="401"/>
      <c r="K6481" s="401"/>
      <c r="L6481" s="672"/>
      <c r="M6481" s="673">
        <v>32635</v>
      </c>
      <c r="N6481" s="624">
        <v>0.84837731999999999</v>
      </c>
      <c r="O6481" s="625">
        <v>8.9166488333333318E-5</v>
      </c>
      <c r="P6481" s="390">
        <v>0.31726273929793336</v>
      </c>
      <c r="Q6481" s="390">
        <v>0.4892860310438501</v>
      </c>
      <c r="R6481" s="390">
        <v>0.65469228758748665</v>
      </c>
      <c r="S6481" s="390">
        <v>1.5157165665103982</v>
      </c>
      <c r="T6481" s="388">
        <v>2.5936791093020197</v>
      </c>
      <c r="U6481" s="388"/>
      <c r="V6481" s="391"/>
      <c r="W6481" s="391"/>
      <c r="X6481" s="391"/>
      <c r="Y6481" s="792"/>
      <c r="Z6481" s="388">
        <v>3</v>
      </c>
      <c r="AA6481" s="391">
        <v>0.65469228758748665</v>
      </c>
      <c r="AC6481" s="388"/>
      <c r="AD6481" s="388">
        <v>6.5227199999999996</v>
      </c>
      <c r="AE6481" s="388">
        <v>0.17983199999999999</v>
      </c>
      <c r="AF6481" s="388">
        <v>1.19841</v>
      </c>
      <c r="AG6481" s="391">
        <v>0.70713599999999999</v>
      </c>
      <c r="AH6481" s="397"/>
      <c r="AQ6481" s="397"/>
      <c r="AR6481" s="397"/>
      <c r="AS6481" s="397"/>
      <c r="AT6481" s="397"/>
      <c r="BE6481" s="397"/>
      <c r="BF6481" s="397"/>
      <c r="BG6481" s="397"/>
      <c r="BH6481" s="397"/>
      <c r="BI6481" s="397"/>
      <c r="BJ6481" s="397"/>
      <c r="BK6481" s="397"/>
      <c r="BL6481" s="397"/>
      <c r="BM6481" s="398"/>
      <c r="BN6481" s="398"/>
      <c r="BO6481" s="398"/>
      <c r="BP6481" s="398"/>
      <c r="BQ6481" s="398"/>
      <c r="BR6481" s="398"/>
      <c r="BS6481" s="397"/>
      <c r="BT6481" s="397"/>
      <c r="BU6481" s="397"/>
      <c r="BV6481" s="397"/>
      <c r="BW6481" s="397"/>
      <c r="BX6481" s="397"/>
      <c r="BY6481" s="397"/>
      <c r="CA6481" s="392" t="s">
        <v>408</v>
      </c>
    </row>
    <row r="6482" spans="1:79" s="392" customFormat="1" ht="15" x14ac:dyDescent="0.25">
      <c r="A6482" s="430"/>
      <c r="B6482" s="386"/>
      <c r="C6482" s="386"/>
      <c r="D6482" s="699"/>
      <c r="E6482" s="385"/>
      <c r="F6482" s="432"/>
      <c r="G6482" s="401"/>
      <c r="H6482" s="401">
        <v>3</v>
      </c>
      <c r="I6482" s="401"/>
      <c r="J6482" s="401"/>
      <c r="K6482" s="401"/>
      <c r="L6482" s="672"/>
      <c r="M6482" s="673">
        <v>32636</v>
      </c>
      <c r="N6482" s="624">
        <v>0.92936394</v>
      </c>
      <c r="O6482" s="625">
        <v>3.6833259666666669E-6</v>
      </c>
      <c r="P6482" s="390" t="e">
        <v>#N/A</v>
      </c>
      <c r="Q6482" s="390" t="e">
        <v>#N/A</v>
      </c>
      <c r="R6482" s="390" t="e">
        <v>#N/A</v>
      </c>
      <c r="S6482" s="390" t="e">
        <v>#N/A</v>
      </c>
      <c r="T6482" s="388" t="e">
        <v>#N/A</v>
      </c>
      <c r="U6482" s="388"/>
      <c r="V6482" s="391"/>
      <c r="W6482" s="391"/>
      <c r="X6482" s="391"/>
      <c r="Y6482" s="792"/>
      <c r="Z6482" s="388">
        <v>4</v>
      </c>
      <c r="AA6482" s="391" t="e">
        <v>#N/A</v>
      </c>
      <c r="AC6482" s="388"/>
      <c r="AD6482" s="388">
        <v>6.7360800000000012</v>
      </c>
      <c r="AE6482" s="388">
        <v>0.18440400000000001</v>
      </c>
      <c r="AF6482" s="388">
        <v>1.2448600000000001</v>
      </c>
      <c r="AG6482" s="391">
        <v>0.74371200000000004</v>
      </c>
      <c r="AH6482" s="397"/>
      <c r="AQ6482" s="397"/>
      <c r="AR6482" s="397"/>
      <c r="AS6482" s="397"/>
      <c r="AT6482" s="397"/>
      <c r="BE6482" s="397"/>
      <c r="BF6482" s="397"/>
      <c r="BG6482" s="397"/>
      <c r="BH6482" s="397"/>
      <c r="BI6482" s="397"/>
      <c r="BJ6482" s="397"/>
      <c r="BK6482" s="397"/>
      <c r="BL6482" s="397"/>
      <c r="BM6482" s="398"/>
      <c r="BN6482" s="398"/>
      <c r="BO6482" s="398"/>
      <c r="BP6482" s="398"/>
      <c r="BQ6482" s="398"/>
      <c r="BR6482" s="398"/>
      <c r="BS6482" s="397"/>
      <c r="BT6482" s="397"/>
      <c r="BU6482" s="397"/>
      <c r="BV6482" s="397"/>
      <c r="BW6482" s="397"/>
      <c r="BX6482" s="397"/>
      <c r="BY6482" s="397"/>
      <c r="CA6482" s="392" t="s">
        <v>408</v>
      </c>
    </row>
    <row r="6483" spans="1:79" s="392" customFormat="1" ht="15" x14ac:dyDescent="0.25">
      <c r="A6483" s="430"/>
      <c r="B6483" s="386"/>
      <c r="C6483" s="386"/>
      <c r="D6483" s="699"/>
      <c r="E6483" s="385"/>
      <c r="F6483" s="432"/>
      <c r="G6483" s="401"/>
      <c r="H6483" s="401">
        <v>3</v>
      </c>
      <c r="I6483" s="401"/>
      <c r="J6483" s="401"/>
      <c r="K6483" s="401"/>
      <c r="L6483" s="672"/>
      <c r="M6483" s="673">
        <v>32637</v>
      </c>
      <c r="N6483" s="624">
        <v>1.17628818</v>
      </c>
      <c r="O6483" s="625">
        <v>1.8680962637999999E-3</v>
      </c>
      <c r="P6483" s="390">
        <v>0.31474808459685005</v>
      </c>
      <c r="Q6483" s="390">
        <v>0.50294116242616571</v>
      </c>
      <c r="R6483" s="390">
        <v>0.64928468122305794</v>
      </c>
      <c r="S6483" s="390">
        <v>1.401127491242586</v>
      </c>
      <c r="T6483" s="388">
        <v>2.7823729064338236</v>
      </c>
      <c r="U6483" s="388"/>
      <c r="V6483" s="391"/>
      <c r="W6483" s="391"/>
      <c r="X6483" s="391"/>
      <c r="Y6483" s="792"/>
      <c r="Z6483" s="388">
        <v>6</v>
      </c>
      <c r="AA6483" s="391">
        <v>0.64928468122305794</v>
      </c>
      <c r="AC6483" s="388"/>
      <c r="AD6483" s="388">
        <v>7.13232</v>
      </c>
      <c r="AE6483" s="388">
        <v>0.20269200000000001</v>
      </c>
      <c r="AF6483" s="388">
        <v>1.4492399999999999</v>
      </c>
      <c r="AG6483" s="391">
        <v>0.81686400000000003</v>
      </c>
      <c r="AH6483" s="397"/>
      <c r="AQ6483" s="397"/>
      <c r="AR6483" s="397"/>
      <c r="AS6483" s="397"/>
      <c r="AT6483" s="397"/>
      <c r="BE6483" s="397"/>
      <c r="BF6483" s="397"/>
      <c r="BG6483" s="397"/>
      <c r="BH6483" s="397"/>
      <c r="BI6483" s="397"/>
      <c r="BJ6483" s="397"/>
      <c r="BK6483" s="397"/>
      <c r="BL6483" s="397"/>
      <c r="BM6483" s="398"/>
      <c r="BN6483" s="398"/>
      <c r="BO6483" s="398"/>
      <c r="BP6483" s="398"/>
      <c r="BQ6483" s="398"/>
      <c r="BR6483" s="398"/>
      <c r="BS6483" s="397"/>
      <c r="BT6483" s="397"/>
      <c r="BU6483" s="397"/>
      <c r="BV6483" s="397"/>
      <c r="BW6483" s="397"/>
      <c r="BX6483" s="397"/>
      <c r="BY6483" s="397"/>
      <c r="CA6483" s="392" t="s">
        <v>408</v>
      </c>
    </row>
    <row r="6484" spans="1:79" s="392" customFormat="1" ht="15" x14ac:dyDescent="0.25">
      <c r="A6484" s="430"/>
      <c r="B6484" s="386"/>
      <c r="C6484" s="386"/>
      <c r="D6484" s="699"/>
      <c r="E6484" s="385"/>
      <c r="F6484" s="432"/>
      <c r="G6484" s="401"/>
      <c r="H6484" s="401">
        <v>3</v>
      </c>
      <c r="I6484" s="401"/>
      <c r="J6484" s="401"/>
      <c r="K6484" s="401"/>
      <c r="L6484" s="672"/>
      <c r="M6484" s="673">
        <v>32638</v>
      </c>
      <c r="N6484" s="624">
        <v>1.15618311</v>
      </c>
      <c r="O6484" s="625">
        <v>2.2089955819999995E-3</v>
      </c>
      <c r="P6484" s="390">
        <v>0.29796018936764679</v>
      </c>
      <c r="Q6484" s="390">
        <v>0.45162319518511745</v>
      </c>
      <c r="R6484" s="390">
        <v>0.61490238998671454</v>
      </c>
      <c r="S6484" s="390">
        <v>1.5602506122120734</v>
      </c>
      <c r="T6484" s="388">
        <v>3.6717570130019102</v>
      </c>
      <c r="U6484" s="388"/>
      <c r="V6484" s="391"/>
      <c r="W6484" s="391"/>
      <c r="X6484" s="391"/>
      <c r="Y6484" s="792"/>
      <c r="Z6484" s="388">
        <v>10</v>
      </c>
      <c r="AA6484" s="391">
        <v>0.61490238998671454</v>
      </c>
      <c r="AC6484" s="388"/>
      <c r="AD6484" s="388">
        <v>7.1628000000000007</v>
      </c>
      <c r="AE6484" s="388">
        <v>0.22372320000000001</v>
      </c>
      <c r="AF6484" s="388">
        <v>1.59788</v>
      </c>
      <c r="AG6484" s="391">
        <v>0.72237600000000002</v>
      </c>
      <c r="AH6484" s="397"/>
      <c r="AQ6484" s="397"/>
      <c r="AR6484" s="397"/>
      <c r="AS6484" s="397"/>
      <c r="AT6484" s="397"/>
      <c r="BE6484" s="397"/>
      <c r="BF6484" s="397"/>
      <c r="BG6484" s="397"/>
      <c r="BH6484" s="397"/>
      <c r="BI6484" s="397"/>
      <c r="BJ6484" s="397"/>
      <c r="BK6484" s="397"/>
      <c r="BL6484" s="397"/>
      <c r="BM6484" s="398"/>
      <c r="BN6484" s="398"/>
      <c r="BO6484" s="398"/>
      <c r="BP6484" s="398"/>
      <c r="BQ6484" s="398"/>
      <c r="BR6484" s="398"/>
      <c r="BS6484" s="397"/>
      <c r="BT6484" s="397"/>
      <c r="BU6484" s="397"/>
      <c r="BV6484" s="397"/>
      <c r="BW6484" s="397"/>
      <c r="BX6484" s="397"/>
      <c r="BY6484" s="397"/>
      <c r="CA6484" s="392" t="s">
        <v>408</v>
      </c>
    </row>
    <row r="6485" spans="1:79" s="392" customFormat="1" ht="15" x14ac:dyDescent="0.25">
      <c r="A6485" s="430"/>
      <c r="B6485" s="386"/>
      <c r="C6485" s="386"/>
      <c r="D6485" s="699"/>
      <c r="E6485" s="385"/>
      <c r="F6485" s="432"/>
      <c r="G6485" s="401"/>
      <c r="H6485" s="401">
        <v>3</v>
      </c>
      <c r="I6485" s="401"/>
      <c r="J6485" s="401"/>
      <c r="K6485" s="401"/>
      <c r="L6485" s="672"/>
      <c r="M6485" s="673">
        <v>32639</v>
      </c>
      <c r="N6485" s="624">
        <v>1.4957039399999998</v>
      </c>
      <c r="O6485" s="625">
        <v>3.7839924319999999E-3</v>
      </c>
      <c r="P6485" s="390">
        <v>0.28589126802667347</v>
      </c>
      <c r="Q6485" s="390">
        <v>0.42800284977875502</v>
      </c>
      <c r="R6485" s="390">
        <v>0.57528391622226005</v>
      </c>
      <c r="S6485" s="390">
        <v>1.2657565939702797</v>
      </c>
      <c r="T6485" s="388">
        <v>2.2710088581417542</v>
      </c>
      <c r="U6485" s="388"/>
      <c r="V6485" s="391"/>
      <c r="W6485" s="391"/>
      <c r="X6485" s="391"/>
      <c r="Y6485" s="792"/>
      <c r="Z6485" s="388">
        <v>7</v>
      </c>
      <c r="AA6485" s="391">
        <v>0.57528391622226005</v>
      </c>
      <c r="AC6485" s="388"/>
      <c r="AD6485" s="388">
        <v>7.3152000000000008</v>
      </c>
      <c r="AE6485" s="388">
        <v>0.225552</v>
      </c>
      <c r="AF6485" s="388">
        <v>1.6536200000000001</v>
      </c>
      <c r="AG6485" s="391">
        <v>0.908304</v>
      </c>
      <c r="AH6485" s="397"/>
      <c r="AQ6485" s="397"/>
      <c r="AR6485" s="397"/>
      <c r="AS6485" s="397"/>
      <c r="AT6485" s="397"/>
      <c r="BE6485" s="397"/>
      <c r="BF6485" s="397"/>
      <c r="BG6485" s="397"/>
      <c r="BH6485" s="397"/>
      <c r="BI6485" s="397"/>
      <c r="BJ6485" s="397"/>
      <c r="BK6485" s="397"/>
      <c r="BL6485" s="397"/>
      <c r="BM6485" s="398"/>
      <c r="BN6485" s="398"/>
      <c r="BO6485" s="398"/>
      <c r="BP6485" s="398"/>
      <c r="BQ6485" s="398"/>
      <c r="BR6485" s="398"/>
      <c r="BS6485" s="397"/>
      <c r="BT6485" s="397"/>
      <c r="BU6485" s="397"/>
      <c r="BV6485" s="397"/>
      <c r="BW6485" s="397"/>
      <c r="BX6485" s="397"/>
      <c r="BY6485" s="397"/>
      <c r="CA6485" s="392" t="s">
        <v>408</v>
      </c>
    </row>
    <row r="6486" spans="1:79" s="392" customFormat="1" ht="15" x14ac:dyDescent="0.25">
      <c r="A6486" s="430"/>
      <c r="B6486" s="386"/>
      <c r="C6486" s="386"/>
      <c r="D6486" s="699"/>
      <c r="E6486" s="385"/>
      <c r="F6486" s="432"/>
      <c r="G6486" s="401"/>
      <c r="H6486" s="401">
        <v>3</v>
      </c>
      <c r="I6486" s="401"/>
      <c r="J6486" s="401"/>
      <c r="K6486" s="401"/>
      <c r="L6486" s="672"/>
      <c r="M6486" s="673">
        <v>32640</v>
      </c>
      <c r="N6486" s="624">
        <v>1.2269756099999998</v>
      </c>
      <c r="O6486" s="625">
        <v>5.3768559129333329E-3</v>
      </c>
      <c r="P6486" s="390">
        <v>0.35982589509365981</v>
      </c>
      <c r="Q6486" s="390">
        <v>0.57327701738866443</v>
      </c>
      <c r="R6486" s="390">
        <v>0.73403107393852818</v>
      </c>
      <c r="S6486" s="390">
        <v>1.6154769128774538</v>
      </c>
      <c r="T6486" s="388">
        <v>3.2957915527319388</v>
      </c>
      <c r="U6486" s="388"/>
      <c r="V6486" s="391"/>
      <c r="W6486" s="391"/>
      <c r="X6486" s="391"/>
      <c r="Y6486" s="792"/>
      <c r="Z6486" s="388">
        <v>9</v>
      </c>
      <c r="AA6486" s="391">
        <v>0.73403107393852818</v>
      </c>
      <c r="AC6486" s="388"/>
      <c r="AD6486" s="388">
        <v>7.1932800000000006</v>
      </c>
      <c r="AE6486" s="388">
        <v>0.2142744</v>
      </c>
      <c r="AF6486" s="388">
        <v>1.5421400000000001</v>
      </c>
      <c r="AG6486" s="391">
        <v>0.79552800000000001</v>
      </c>
      <c r="AH6486" s="397"/>
      <c r="AQ6486" s="397"/>
      <c r="AR6486" s="397"/>
      <c r="AS6486" s="397"/>
      <c r="AT6486" s="397"/>
      <c r="BE6486" s="397"/>
      <c r="BF6486" s="397"/>
      <c r="BG6486" s="397"/>
      <c r="BH6486" s="397"/>
      <c r="BI6486" s="397"/>
      <c r="BJ6486" s="397"/>
      <c r="BK6486" s="397"/>
      <c r="BL6486" s="397"/>
      <c r="BM6486" s="398"/>
      <c r="BN6486" s="398"/>
      <c r="BO6486" s="398"/>
      <c r="BP6486" s="398"/>
      <c r="BQ6486" s="398"/>
      <c r="BR6486" s="398"/>
      <c r="BS6486" s="397"/>
      <c r="BT6486" s="397"/>
      <c r="BU6486" s="397"/>
      <c r="BV6486" s="397"/>
      <c r="BW6486" s="397"/>
      <c r="BX6486" s="397"/>
      <c r="BY6486" s="397"/>
      <c r="CA6486" s="392" t="s">
        <v>408</v>
      </c>
    </row>
    <row r="6487" spans="1:79" s="392" customFormat="1" ht="15" x14ac:dyDescent="0.25">
      <c r="A6487" s="430"/>
      <c r="B6487" s="386"/>
      <c r="C6487" s="386"/>
      <c r="D6487" s="699"/>
      <c r="E6487" s="385"/>
      <c r="F6487" s="432"/>
      <c r="G6487" s="401"/>
      <c r="H6487" s="401" t="s">
        <v>71</v>
      </c>
      <c r="I6487" s="401"/>
      <c r="J6487" s="401"/>
      <c r="K6487" s="401"/>
      <c r="L6487" s="672"/>
      <c r="M6487" s="673">
        <v>32642</v>
      </c>
      <c r="N6487" s="624">
        <v>1.2269756099999998</v>
      </c>
      <c r="O6487" s="625" t="e">
        <v>#N/A</v>
      </c>
      <c r="P6487" s="390" t="e">
        <v>#N/A</v>
      </c>
      <c r="Q6487" s="390" t="e">
        <v>#N/A</v>
      </c>
      <c r="R6487" s="390" t="e">
        <v>#N/A</v>
      </c>
      <c r="S6487" s="390" t="e">
        <v>#N/A</v>
      </c>
      <c r="T6487" s="388" t="e">
        <v>#N/A</v>
      </c>
      <c r="U6487" s="388"/>
      <c r="V6487" s="391"/>
      <c r="W6487" s="391"/>
      <c r="X6487" s="391"/>
      <c r="Y6487" s="792"/>
      <c r="Z6487" s="388" t="e">
        <v>#N/A</v>
      </c>
      <c r="AA6487" s="391" t="e">
        <v>#N/A</v>
      </c>
      <c r="AC6487" s="388"/>
      <c r="AD6487" s="388">
        <v>7.1932800000000006</v>
      </c>
      <c r="AE6487" s="388">
        <v>0.21335999999999999</v>
      </c>
      <c r="AF6487" s="388">
        <v>1.5421400000000001</v>
      </c>
      <c r="AG6487" s="391">
        <v>0.79552800000000001</v>
      </c>
      <c r="AH6487" s="397"/>
      <c r="AQ6487" s="397"/>
      <c r="AR6487" s="397"/>
      <c r="AS6487" s="397"/>
      <c r="AT6487" s="397"/>
      <c r="BE6487" s="397"/>
      <c r="BF6487" s="397"/>
      <c r="BG6487" s="397"/>
      <c r="BH6487" s="397"/>
      <c r="BI6487" s="397"/>
      <c r="BJ6487" s="397"/>
      <c r="BK6487" s="397"/>
      <c r="BL6487" s="397"/>
      <c r="BM6487" s="398"/>
      <c r="BN6487" s="398"/>
      <c r="BO6487" s="398"/>
      <c r="BP6487" s="398"/>
      <c r="BQ6487" s="398"/>
      <c r="BR6487" s="398"/>
      <c r="BS6487" s="397"/>
      <c r="BT6487" s="397"/>
      <c r="BU6487" s="397"/>
      <c r="BV6487" s="397"/>
      <c r="BW6487" s="397"/>
      <c r="BX6487" s="397"/>
      <c r="BY6487" s="397"/>
      <c r="CA6487" s="392" t="s">
        <v>408</v>
      </c>
    </row>
    <row r="6488" spans="1:79" s="392" customFormat="1" ht="15" x14ac:dyDescent="0.25">
      <c r="A6488" s="430"/>
      <c r="B6488" s="386"/>
      <c r="C6488" s="386"/>
      <c r="D6488" s="699"/>
      <c r="E6488" s="385"/>
      <c r="F6488" s="432"/>
      <c r="G6488" s="401"/>
      <c r="H6488" s="401">
        <v>3</v>
      </c>
      <c r="I6488" s="401"/>
      <c r="J6488" s="401"/>
      <c r="K6488" s="401"/>
      <c r="L6488" s="672"/>
      <c r="M6488" s="673">
        <v>32644</v>
      </c>
      <c r="N6488" s="624">
        <v>1.2283914600000001</v>
      </c>
      <c r="O6488" s="625">
        <v>2.2277955444000002E-3</v>
      </c>
      <c r="P6488" s="390">
        <v>0.38698703616207802</v>
      </c>
      <c r="Q6488" s="390">
        <v>0.63009656934289737</v>
      </c>
      <c r="R6488" s="390">
        <v>0.82872879878858696</v>
      </c>
      <c r="S6488" s="390">
        <v>1.8187758360712383</v>
      </c>
      <c r="T6488" s="388">
        <v>3.4100935573913485</v>
      </c>
      <c r="U6488" s="388"/>
      <c r="V6488" s="391"/>
      <c r="W6488" s="391"/>
      <c r="X6488" s="391"/>
      <c r="Y6488" s="792"/>
      <c r="Z6488" s="388">
        <v>10</v>
      </c>
      <c r="AA6488" s="391">
        <v>0.82872879878858696</v>
      </c>
      <c r="AC6488" s="388"/>
      <c r="AD6488" s="388">
        <v>7.2237600000000004</v>
      </c>
      <c r="AE6488" s="388">
        <v>0.21549360000000001</v>
      </c>
      <c r="AF6488" s="388">
        <v>1.5607200000000001</v>
      </c>
      <c r="AG6488" s="391">
        <v>0.78943200000000002</v>
      </c>
      <c r="AH6488" s="397"/>
      <c r="AQ6488" s="397"/>
      <c r="AR6488" s="397"/>
      <c r="AS6488" s="397"/>
      <c r="AT6488" s="397"/>
      <c r="BE6488" s="397"/>
      <c r="BF6488" s="397"/>
      <c r="BG6488" s="397"/>
      <c r="BH6488" s="397"/>
      <c r="BI6488" s="397"/>
      <c r="BJ6488" s="397"/>
      <c r="BK6488" s="397"/>
      <c r="BL6488" s="397"/>
      <c r="BM6488" s="398"/>
      <c r="BN6488" s="398"/>
      <c r="BO6488" s="398"/>
      <c r="BP6488" s="398"/>
      <c r="BQ6488" s="398"/>
      <c r="BR6488" s="398"/>
      <c r="BS6488" s="397"/>
      <c r="BT6488" s="397"/>
      <c r="BU6488" s="397"/>
      <c r="BV6488" s="397"/>
      <c r="BW6488" s="397"/>
      <c r="BX6488" s="397"/>
      <c r="BY6488" s="397"/>
      <c r="CA6488" s="392" t="s">
        <v>408</v>
      </c>
    </row>
    <row r="6489" spans="1:79" s="392" customFormat="1" ht="15" x14ac:dyDescent="0.25">
      <c r="A6489" s="430"/>
      <c r="B6489" s="386"/>
      <c r="C6489" s="386"/>
      <c r="D6489" s="699"/>
      <c r="E6489" s="385"/>
      <c r="F6489" s="432"/>
      <c r="G6489" s="401"/>
      <c r="H6489" s="401">
        <v>3</v>
      </c>
      <c r="I6489" s="401"/>
      <c r="J6489" s="401"/>
      <c r="K6489" s="401"/>
      <c r="L6489" s="672"/>
      <c r="M6489" s="673">
        <v>32645</v>
      </c>
      <c r="N6489" s="624">
        <v>1.2836096099999998</v>
      </c>
      <c r="O6489" s="625">
        <v>1.131264404133333E-3</v>
      </c>
      <c r="P6489" s="390">
        <v>0.32731781804598548</v>
      </c>
      <c r="Q6489" s="390">
        <v>0.50776125625213742</v>
      </c>
      <c r="R6489" s="390">
        <v>0.66741992708501718</v>
      </c>
      <c r="S6489" s="390">
        <v>1.564156227015508</v>
      </c>
      <c r="T6489" s="388">
        <v>2.9934686926513319</v>
      </c>
      <c r="U6489" s="388"/>
      <c r="V6489" s="391"/>
      <c r="W6489" s="391"/>
      <c r="X6489" s="391"/>
      <c r="Y6489" s="792"/>
      <c r="Z6489" s="388">
        <v>6</v>
      </c>
      <c r="AA6489" s="391">
        <v>0.66741992708501718</v>
      </c>
      <c r="AC6489" s="388"/>
      <c r="AD6489" s="388">
        <v>7.2847200000000001</v>
      </c>
      <c r="AE6489" s="388">
        <v>0.22067520000000002</v>
      </c>
      <c r="AF6489" s="388">
        <v>1.60717</v>
      </c>
      <c r="AG6489" s="391">
        <v>0.79857600000000006</v>
      </c>
      <c r="AH6489" s="397"/>
      <c r="AQ6489" s="397"/>
      <c r="AR6489" s="397"/>
      <c r="AS6489" s="397"/>
      <c r="AT6489" s="397"/>
      <c r="BE6489" s="397"/>
      <c r="BF6489" s="397"/>
      <c r="BG6489" s="397"/>
      <c r="BH6489" s="397"/>
      <c r="BI6489" s="397"/>
      <c r="BJ6489" s="397"/>
      <c r="BK6489" s="397"/>
      <c r="BL6489" s="397"/>
      <c r="BM6489" s="398"/>
      <c r="BN6489" s="398"/>
      <c r="BO6489" s="398"/>
      <c r="BP6489" s="398"/>
      <c r="BQ6489" s="398"/>
      <c r="BR6489" s="398"/>
      <c r="BS6489" s="397"/>
      <c r="BT6489" s="397"/>
      <c r="BU6489" s="397"/>
      <c r="BV6489" s="397"/>
      <c r="BW6489" s="397"/>
      <c r="BX6489" s="397"/>
      <c r="BY6489" s="397"/>
      <c r="CA6489" s="392" t="s">
        <v>408</v>
      </c>
    </row>
    <row r="6490" spans="1:79" s="392" customFormat="1" ht="15" x14ac:dyDescent="0.25">
      <c r="A6490" s="430"/>
      <c r="B6490" s="386"/>
      <c r="C6490" s="386"/>
      <c r="D6490" s="699"/>
      <c r="E6490" s="385"/>
      <c r="F6490" s="432"/>
      <c r="G6490" s="401"/>
      <c r="H6490" s="401">
        <v>3</v>
      </c>
      <c r="I6490" s="401"/>
      <c r="J6490" s="401"/>
      <c r="K6490" s="401"/>
      <c r="L6490" s="672"/>
      <c r="M6490" s="673">
        <v>32646</v>
      </c>
      <c r="N6490" s="624">
        <v>1.1570326199999998</v>
      </c>
      <c r="O6490" s="625">
        <v>6.6473200386666666E-4</v>
      </c>
      <c r="P6490" s="390">
        <v>0.30558012991011191</v>
      </c>
      <c r="Q6490" s="390">
        <v>0.47544767837426982</v>
      </c>
      <c r="R6490" s="390">
        <v>0.63109867519712526</v>
      </c>
      <c r="S6490" s="390">
        <v>1.3827113347287943</v>
      </c>
      <c r="T6490" s="388">
        <v>2.2874655244915321</v>
      </c>
      <c r="U6490" s="388"/>
      <c r="V6490" s="391"/>
      <c r="W6490" s="391"/>
      <c r="X6490" s="391"/>
      <c r="Y6490" s="792"/>
      <c r="Z6490" s="388">
        <v>5</v>
      </c>
      <c r="AA6490" s="391">
        <v>0.63109867519712526</v>
      </c>
      <c r="AC6490" s="388"/>
      <c r="AD6490" s="388">
        <v>7.1932800000000006</v>
      </c>
      <c r="AE6490" s="388">
        <v>0.20513040000000002</v>
      </c>
      <c r="AF6490" s="388">
        <v>1.4771099999999999</v>
      </c>
      <c r="AG6490" s="391">
        <v>0.78333600000000003</v>
      </c>
      <c r="AH6490" s="397"/>
      <c r="AQ6490" s="397"/>
      <c r="AR6490" s="397"/>
      <c r="AS6490" s="397"/>
      <c r="AT6490" s="397"/>
      <c r="BE6490" s="397"/>
      <c r="BF6490" s="397"/>
      <c r="BG6490" s="397"/>
      <c r="BH6490" s="397"/>
      <c r="BI6490" s="397"/>
      <c r="BJ6490" s="397"/>
      <c r="BK6490" s="397"/>
      <c r="BL6490" s="397"/>
      <c r="BM6490" s="398"/>
      <c r="BN6490" s="398"/>
      <c r="BO6490" s="398"/>
      <c r="BP6490" s="398"/>
      <c r="BQ6490" s="398"/>
      <c r="BR6490" s="398"/>
      <c r="BS6490" s="397"/>
      <c r="BT6490" s="397"/>
      <c r="BU6490" s="397"/>
      <c r="BV6490" s="397"/>
      <c r="BW6490" s="397"/>
      <c r="BX6490" s="397"/>
      <c r="BY6490" s="397"/>
      <c r="CA6490" s="392" t="s">
        <v>408</v>
      </c>
    </row>
    <row r="6491" spans="1:79" s="392" customFormat="1" ht="15" x14ac:dyDescent="0.25">
      <c r="A6491" s="430"/>
      <c r="B6491" s="386"/>
      <c r="C6491" s="386"/>
      <c r="D6491" s="699"/>
      <c r="E6491" s="385"/>
      <c r="F6491" s="432"/>
      <c r="G6491" s="401"/>
      <c r="H6491" s="401">
        <v>3</v>
      </c>
      <c r="I6491" s="401"/>
      <c r="J6491" s="401"/>
      <c r="K6491" s="401"/>
      <c r="L6491" s="672"/>
      <c r="M6491" s="673">
        <v>32647</v>
      </c>
      <c r="N6491" s="624">
        <v>1.4594581799999999</v>
      </c>
      <c r="O6491" s="625">
        <v>3.2911934175999997E-3</v>
      </c>
      <c r="P6491" s="390">
        <v>0.35534484286451273</v>
      </c>
      <c r="Q6491" s="390">
        <v>0.60567379702340329</v>
      </c>
      <c r="R6491" s="390">
        <v>0.85273021991454978</v>
      </c>
      <c r="S6491" s="390">
        <v>1.900288531106773</v>
      </c>
      <c r="T6491" s="388">
        <v>3.3327998830763588</v>
      </c>
      <c r="U6491" s="388"/>
      <c r="V6491" s="391"/>
      <c r="W6491" s="391"/>
      <c r="X6491" s="391"/>
      <c r="Y6491" s="792"/>
      <c r="Z6491" s="388">
        <v>5</v>
      </c>
      <c r="AA6491" s="391">
        <v>0.85273021991454978</v>
      </c>
      <c r="AC6491" s="388"/>
      <c r="AD6491" s="388">
        <v>7.3761600000000005</v>
      </c>
      <c r="AE6491" s="388">
        <v>0.24079200000000003</v>
      </c>
      <c r="AF6491" s="388">
        <v>1.7771769999999998</v>
      </c>
      <c r="AG6491" s="391">
        <v>0.78333600000000003</v>
      </c>
      <c r="AH6491" s="397"/>
      <c r="AQ6491" s="397"/>
      <c r="AR6491" s="397"/>
      <c r="AS6491" s="397"/>
      <c r="AT6491" s="397"/>
      <c r="BE6491" s="397"/>
      <c r="BF6491" s="397"/>
      <c r="BG6491" s="397"/>
      <c r="BH6491" s="397"/>
      <c r="BI6491" s="397"/>
      <c r="BJ6491" s="397"/>
      <c r="BK6491" s="397"/>
      <c r="BL6491" s="397"/>
      <c r="BM6491" s="398"/>
      <c r="BN6491" s="398"/>
      <c r="BO6491" s="398"/>
      <c r="BP6491" s="398"/>
      <c r="BQ6491" s="398"/>
      <c r="BR6491" s="398"/>
      <c r="BS6491" s="397"/>
      <c r="BT6491" s="397"/>
      <c r="BU6491" s="397"/>
      <c r="BV6491" s="397"/>
      <c r="BW6491" s="397"/>
      <c r="BX6491" s="397"/>
      <c r="BY6491" s="397"/>
      <c r="CA6491" s="392" t="s">
        <v>408</v>
      </c>
    </row>
    <row r="6492" spans="1:79" s="392" customFormat="1" ht="15" x14ac:dyDescent="0.25">
      <c r="A6492" s="430"/>
      <c r="B6492" s="386"/>
      <c r="C6492" s="386"/>
      <c r="D6492" s="699"/>
      <c r="E6492" s="385"/>
      <c r="F6492" s="432"/>
      <c r="G6492" s="401"/>
      <c r="H6492" s="401">
        <v>3</v>
      </c>
      <c r="I6492" s="401"/>
      <c r="J6492" s="401"/>
      <c r="K6492" s="401"/>
      <c r="L6492" s="672"/>
      <c r="M6492" s="673">
        <v>32648</v>
      </c>
      <c r="N6492" s="624">
        <v>1.6126531500000001</v>
      </c>
      <c r="O6492" s="625">
        <v>4.0051919895999991E-3</v>
      </c>
      <c r="P6492" s="390">
        <v>0.31762796352763462</v>
      </c>
      <c r="Q6492" s="390">
        <v>0.49339659759560367</v>
      </c>
      <c r="R6492" s="390">
        <v>0.64191986656264355</v>
      </c>
      <c r="S6492" s="390">
        <v>1.4023603806035667</v>
      </c>
      <c r="T6492" s="388">
        <v>2.5792726499655441</v>
      </c>
      <c r="U6492" s="388"/>
      <c r="V6492" s="391"/>
      <c r="W6492" s="391"/>
      <c r="X6492" s="391"/>
      <c r="Y6492" s="792"/>
      <c r="Z6492" s="388">
        <v>7</v>
      </c>
      <c r="AA6492" s="391">
        <v>0.64191986656264355</v>
      </c>
      <c r="AC6492" s="388"/>
      <c r="AD6492" s="388">
        <v>7.5590400000000004</v>
      </c>
      <c r="AE6492" s="388">
        <v>0.280416</v>
      </c>
      <c r="AF6492" s="388">
        <v>2.1088299999999998</v>
      </c>
      <c r="AG6492" s="391">
        <v>0.86868000000000012</v>
      </c>
      <c r="AH6492" s="397"/>
      <c r="AQ6492" s="397"/>
      <c r="AR6492" s="397"/>
      <c r="AS6492" s="397"/>
      <c r="AT6492" s="397"/>
      <c r="BE6492" s="397"/>
      <c r="BF6492" s="397"/>
      <c r="BG6492" s="397"/>
      <c r="BH6492" s="397"/>
      <c r="BI6492" s="397"/>
      <c r="BJ6492" s="397"/>
      <c r="BK6492" s="397"/>
      <c r="BL6492" s="397"/>
      <c r="BM6492" s="398"/>
      <c r="BN6492" s="398"/>
      <c r="BO6492" s="398"/>
      <c r="BP6492" s="398"/>
      <c r="BQ6492" s="398"/>
      <c r="BR6492" s="398"/>
      <c r="BS6492" s="397"/>
      <c r="BT6492" s="397"/>
      <c r="BU6492" s="397"/>
      <c r="BV6492" s="397"/>
      <c r="BW6492" s="397"/>
      <c r="BX6492" s="397"/>
      <c r="BY6492" s="397"/>
      <c r="CA6492" s="392" t="s">
        <v>408</v>
      </c>
    </row>
    <row r="6493" spans="1:79" s="392" customFormat="1" ht="15" x14ac:dyDescent="0.25">
      <c r="A6493" s="430"/>
      <c r="B6493" s="386"/>
      <c r="C6493" s="386"/>
      <c r="D6493" s="699"/>
      <c r="E6493" s="385"/>
      <c r="F6493" s="432"/>
      <c r="G6493" s="401"/>
      <c r="H6493" s="401">
        <v>3</v>
      </c>
      <c r="I6493" s="401"/>
      <c r="J6493" s="401"/>
      <c r="K6493" s="401"/>
      <c r="L6493" s="672"/>
      <c r="M6493" s="673">
        <v>32649</v>
      </c>
      <c r="N6493" s="624">
        <v>1.90601727</v>
      </c>
      <c r="O6493" s="625">
        <v>9.6646806705999993E-3</v>
      </c>
      <c r="P6493" s="390">
        <v>0.3307135791069144</v>
      </c>
      <c r="Q6493" s="390">
        <v>0.56047030836827527</v>
      </c>
      <c r="R6493" s="390">
        <v>0.77209784988964547</v>
      </c>
      <c r="S6493" s="390">
        <v>1.772743087994489</v>
      </c>
      <c r="T6493" s="388">
        <v>3.1937059367876071</v>
      </c>
      <c r="U6493" s="388"/>
      <c r="V6493" s="391"/>
      <c r="W6493" s="391"/>
      <c r="X6493" s="391"/>
      <c r="Y6493" s="792"/>
      <c r="Z6493" s="388">
        <v>11</v>
      </c>
      <c r="AA6493" s="391">
        <v>0.77209784988964547</v>
      </c>
      <c r="AC6493" s="388"/>
      <c r="AD6493" s="388">
        <v>7.7419200000000004</v>
      </c>
      <c r="AE6493" s="388">
        <v>0.26517600000000002</v>
      </c>
      <c r="AF6493" s="388">
        <v>2.0530900000000001</v>
      </c>
      <c r="AG6493" s="391">
        <v>0.91744799999999993</v>
      </c>
      <c r="AH6493" s="397"/>
      <c r="AQ6493" s="397"/>
      <c r="AR6493" s="397"/>
      <c r="AS6493" s="397"/>
      <c r="AT6493" s="397"/>
      <c r="BE6493" s="397"/>
      <c r="BF6493" s="397"/>
      <c r="BG6493" s="397"/>
      <c r="BH6493" s="397"/>
      <c r="BI6493" s="397"/>
      <c r="BJ6493" s="397"/>
      <c r="BK6493" s="397"/>
      <c r="BL6493" s="397"/>
      <c r="BM6493" s="398"/>
      <c r="BN6493" s="398"/>
      <c r="BO6493" s="398"/>
      <c r="BP6493" s="398"/>
      <c r="BQ6493" s="398"/>
      <c r="BR6493" s="398"/>
      <c r="BS6493" s="397"/>
      <c r="BT6493" s="397"/>
      <c r="BU6493" s="397"/>
      <c r="BV6493" s="397"/>
      <c r="BW6493" s="397"/>
      <c r="BX6493" s="397"/>
      <c r="BY6493" s="397"/>
      <c r="CA6493" s="392" t="s">
        <v>408</v>
      </c>
    </row>
    <row r="6494" spans="1:79" s="392" customFormat="1" ht="15" x14ac:dyDescent="0.25">
      <c r="A6494" s="430"/>
      <c r="B6494" s="386"/>
      <c r="C6494" s="386"/>
      <c r="D6494" s="699"/>
      <c r="E6494" s="385"/>
      <c r="F6494" s="432"/>
      <c r="G6494" s="401"/>
      <c r="H6494" s="401">
        <v>3</v>
      </c>
      <c r="I6494" s="401"/>
      <c r="J6494" s="401"/>
      <c r="K6494" s="401"/>
      <c r="L6494" s="672"/>
      <c r="M6494" s="673">
        <v>32650</v>
      </c>
      <c r="N6494" s="624">
        <v>1.78906806</v>
      </c>
      <c r="O6494" s="625">
        <v>3.8744922510000001E-3</v>
      </c>
      <c r="P6494" s="390">
        <v>0.33535131718154787</v>
      </c>
      <c r="Q6494" s="390">
        <v>0.53942867970698727</v>
      </c>
      <c r="R6494" s="390">
        <v>0.70710678118654735</v>
      </c>
      <c r="S6494" s="390">
        <v>1.6233791619545568</v>
      </c>
      <c r="T6494" s="388">
        <v>2.9503731587265598</v>
      </c>
      <c r="U6494" s="388"/>
      <c r="V6494" s="391"/>
      <c r="W6494" s="391"/>
      <c r="X6494" s="391"/>
      <c r="Y6494" s="792"/>
      <c r="Z6494" s="388">
        <v>6</v>
      </c>
      <c r="AA6494" s="391">
        <v>0.70710678118654735</v>
      </c>
      <c r="AC6494" s="388"/>
      <c r="AD6494" s="388">
        <v>7.4980800000000007</v>
      </c>
      <c r="AE6494" s="388">
        <v>0.26212800000000003</v>
      </c>
      <c r="AF6494" s="388">
        <v>1.9694799999999999</v>
      </c>
      <c r="AG6494" s="391">
        <v>0.908304</v>
      </c>
      <c r="AH6494" s="397"/>
      <c r="AQ6494" s="397"/>
      <c r="AR6494" s="397"/>
      <c r="AS6494" s="397"/>
      <c r="AT6494" s="397"/>
      <c r="BE6494" s="397"/>
      <c r="BF6494" s="397"/>
      <c r="BG6494" s="397"/>
      <c r="BH6494" s="397"/>
      <c r="BI6494" s="397"/>
      <c r="BJ6494" s="397"/>
      <c r="BK6494" s="397"/>
      <c r="BL6494" s="397"/>
      <c r="BM6494" s="398"/>
      <c r="BN6494" s="398"/>
      <c r="BO6494" s="398"/>
      <c r="BP6494" s="398"/>
      <c r="BQ6494" s="398"/>
      <c r="BR6494" s="398"/>
      <c r="BS6494" s="397"/>
      <c r="BT6494" s="397"/>
      <c r="BU6494" s="397"/>
      <c r="BV6494" s="397"/>
      <c r="BW6494" s="397"/>
      <c r="BX6494" s="397"/>
      <c r="BY6494" s="397"/>
      <c r="CA6494" s="392" t="s">
        <v>408</v>
      </c>
    </row>
    <row r="6495" spans="1:79" s="392" customFormat="1" ht="15" x14ac:dyDescent="0.25">
      <c r="A6495" s="430"/>
      <c r="B6495" s="386"/>
      <c r="C6495" s="386"/>
      <c r="D6495" s="699"/>
      <c r="E6495" s="385"/>
      <c r="F6495" s="432"/>
      <c r="G6495" s="401"/>
      <c r="H6495" s="401">
        <v>3</v>
      </c>
      <c r="I6495" s="401"/>
      <c r="J6495" s="401"/>
      <c r="K6495" s="401"/>
      <c r="L6495" s="672"/>
      <c r="M6495" s="673">
        <v>32651</v>
      </c>
      <c r="N6495" s="624">
        <v>1.8915755999999999</v>
      </c>
      <c r="O6495" s="625">
        <v>1.0706978586000001E-2</v>
      </c>
      <c r="P6495" s="390">
        <v>0.36379250854056078</v>
      </c>
      <c r="Q6495" s="390">
        <v>0.6072526406426032</v>
      </c>
      <c r="R6495" s="390">
        <v>0.80411089221898879</v>
      </c>
      <c r="S6495" s="390">
        <v>1.7244761691729318</v>
      </c>
      <c r="T6495" s="388">
        <v>3.0202337152360679</v>
      </c>
      <c r="U6495" s="388"/>
      <c r="V6495" s="391"/>
      <c r="W6495" s="391"/>
      <c r="X6495" s="391"/>
      <c r="Y6495" s="792"/>
      <c r="Z6495" s="388">
        <v>10</v>
      </c>
      <c r="AA6495" s="391">
        <v>0.80411089221898879</v>
      </c>
      <c r="AC6495" s="388"/>
      <c r="AD6495" s="388">
        <v>7.8638400000000006</v>
      </c>
      <c r="AE6495" s="388">
        <v>0.26822400000000002</v>
      </c>
      <c r="AF6495" s="388">
        <v>2.1181199999999998</v>
      </c>
      <c r="AG6495" s="391">
        <v>0.91135200000000016</v>
      </c>
      <c r="AH6495" s="397"/>
      <c r="AQ6495" s="397"/>
      <c r="AR6495" s="397"/>
      <c r="AS6495" s="397"/>
      <c r="AT6495" s="397"/>
      <c r="BE6495" s="397"/>
      <c r="BF6495" s="397"/>
      <c r="BG6495" s="397"/>
      <c r="BH6495" s="397"/>
      <c r="BI6495" s="397"/>
      <c r="BJ6495" s="397"/>
      <c r="BK6495" s="397"/>
      <c r="BL6495" s="397"/>
      <c r="BM6495" s="398"/>
      <c r="BN6495" s="398"/>
      <c r="BO6495" s="398"/>
      <c r="BP6495" s="398"/>
      <c r="BQ6495" s="398"/>
      <c r="BR6495" s="398"/>
      <c r="BS6495" s="397"/>
      <c r="BT6495" s="397"/>
      <c r="BU6495" s="397"/>
      <c r="BV6495" s="397"/>
      <c r="BW6495" s="397"/>
      <c r="BX6495" s="397"/>
      <c r="BY6495" s="397"/>
      <c r="CA6495" s="392" t="s">
        <v>408</v>
      </c>
    </row>
    <row r="6496" spans="1:79" s="392" customFormat="1" ht="15" x14ac:dyDescent="0.25">
      <c r="A6496" s="430"/>
      <c r="B6496" s="386"/>
      <c r="C6496" s="386"/>
      <c r="D6496" s="699"/>
      <c r="E6496" s="385"/>
      <c r="F6496" s="432"/>
      <c r="G6496" s="401"/>
      <c r="H6496" s="401">
        <v>3</v>
      </c>
      <c r="I6496" s="401"/>
      <c r="J6496" s="401"/>
      <c r="K6496" s="401"/>
      <c r="L6496" s="672"/>
      <c r="M6496" s="673">
        <v>32652</v>
      </c>
      <c r="N6496" s="624">
        <v>2.5377695399999998</v>
      </c>
      <c r="O6496" s="625">
        <v>3.3159850346833331E-2</v>
      </c>
      <c r="P6496" s="390">
        <v>0.39100541486413704</v>
      </c>
      <c r="Q6496" s="390">
        <v>0.6821596940561534</v>
      </c>
      <c r="R6496" s="390">
        <v>0.96288979595027335</v>
      </c>
      <c r="S6496" s="390">
        <v>2.2296514240030358</v>
      </c>
      <c r="T6496" s="388">
        <v>3.8499481473770931</v>
      </c>
      <c r="U6496" s="388"/>
      <c r="V6496" s="391"/>
      <c r="W6496" s="391"/>
      <c r="X6496" s="391"/>
      <c r="Y6496" s="792"/>
      <c r="Z6496" s="388">
        <v>13</v>
      </c>
      <c r="AA6496" s="391">
        <v>0.96288979595027335</v>
      </c>
      <c r="AC6496" s="388"/>
      <c r="AD6496" s="388">
        <v>8.0162399999999998</v>
      </c>
      <c r="AE6496" s="388">
        <v>0.30784800000000001</v>
      </c>
      <c r="AF6496" s="388">
        <v>2.4618500000000001</v>
      </c>
      <c r="AG6496" s="391">
        <v>1.030224</v>
      </c>
      <c r="AH6496" s="397"/>
      <c r="AQ6496" s="397"/>
      <c r="AR6496" s="397"/>
      <c r="AS6496" s="397"/>
      <c r="AT6496" s="397"/>
      <c r="BE6496" s="397"/>
      <c r="BF6496" s="397"/>
      <c r="BG6496" s="397"/>
      <c r="BH6496" s="397"/>
      <c r="BI6496" s="397"/>
      <c r="BJ6496" s="397"/>
      <c r="BK6496" s="397"/>
      <c r="BL6496" s="397"/>
      <c r="BM6496" s="398"/>
      <c r="BN6496" s="398"/>
      <c r="BO6496" s="398"/>
      <c r="BP6496" s="398"/>
      <c r="BQ6496" s="398"/>
      <c r="BR6496" s="398"/>
      <c r="BS6496" s="397"/>
      <c r="BT6496" s="397"/>
      <c r="BU6496" s="397"/>
      <c r="BV6496" s="397"/>
      <c r="BW6496" s="397"/>
      <c r="BX6496" s="397"/>
      <c r="BY6496" s="397"/>
      <c r="CA6496" s="392" t="s">
        <v>408</v>
      </c>
    </row>
    <row r="6497" spans="1:79" s="392" customFormat="1" ht="15" x14ac:dyDescent="0.25">
      <c r="A6497" s="430"/>
      <c r="B6497" s="386"/>
      <c r="C6497" s="386"/>
      <c r="D6497" s="699"/>
      <c r="E6497" s="385"/>
      <c r="F6497" s="432"/>
      <c r="G6497" s="401"/>
      <c r="H6497" s="401">
        <v>3</v>
      </c>
      <c r="I6497" s="401"/>
      <c r="J6497" s="401"/>
      <c r="K6497" s="401"/>
      <c r="L6497" s="672"/>
      <c r="M6497" s="673">
        <v>32654</v>
      </c>
      <c r="N6497" s="624">
        <v>1.8556130099999999</v>
      </c>
      <c r="O6497" s="625">
        <v>3.1236887526099998E-2</v>
      </c>
      <c r="P6497" s="390">
        <v>0.54649320156123671</v>
      </c>
      <c r="Q6497" s="390">
        <v>0.82223367415982351</v>
      </c>
      <c r="R6497" s="390">
        <v>1.0959229391427618</v>
      </c>
      <c r="S6497" s="390">
        <v>1.9473901903630877</v>
      </c>
      <c r="T6497" s="388">
        <v>3.3676981183642045</v>
      </c>
      <c r="U6497" s="388"/>
      <c r="V6497" s="391"/>
      <c r="W6497" s="391"/>
      <c r="X6497" s="391"/>
      <c r="Y6497" s="792"/>
      <c r="Z6497" s="388">
        <v>9</v>
      </c>
      <c r="AA6497" s="391">
        <v>1.0959229391427618</v>
      </c>
      <c r="AC6497" s="388"/>
      <c r="AD6497" s="388">
        <v>7.6504800000000008</v>
      </c>
      <c r="AE6497" s="388">
        <v>0.27432000000000001</v>
      </c>
      <c r="AF6497" s="388">
        <v>2.0995400000000002</v>
      </c>
      <c r="AG6497" s="391">
        <v>0.88392000000000004</v>
      </c>
      <c r="AH6497" s="397"/>
      <c r="AQ6497" s="397"/>
      <c r="AR6497" s="397"/>
      <c r="AS6497" s="397"/>
      <c r="AT6497" s="397"/>
      <c r="BE6497" s="397"/>
      <c r="BF6497" s="397"/>
      <c r="BG6497" s="397"/>
      <c r="BH6497" s="397"/>
      <c r="BI6497" s="397"/>
      <c r="BJ6497" s="397"/>
      <c r="BK6497" s="397"/>
      <c r="BL6497" s="397"/>
      <c r="BM6497" s="398"/>
      <c r="BN6497" s="398"/>
      <c r="BO6497" s="398"/>
      <c r="BP6497" s="398"/>
      <c r="BQ6497" s="398"/>
      <c r="BR6497" s="398"/>
      <c r="BS6497" s="397"/>
      <c r="BT6497" s="397"/>
      <c r="BU6497" s="397"/>
      <c r="BV6497" s="397"/>
      <c r="BW6497" s="397"/>
      <c r="BX6497" s="397"/>
      <c r="BY6497" s="397"/>
      <c r="CA6497" s="392" t="s">
        <v>408</v>
      </c>
    </row>
    <row r="6498" spans="1:79" s="392" customFormat="1" ht="15" x14ac:dyDescent="0.25">
      <c r="A6498" s="430"/>
      <c r="B6498" s="386"/>
      <c r="C6498" s="386"/>
      <c r="D6498" s="699"/>
      <c r="E6498" s="385"/>
      <c r="F6498" s="432"/>
      <c r="G6498" s="401"/>
      <c r="H6498" s="401">
        <v>3</v>
      </c>
      <c r="I6498" s="401"/>
      <c r="J6498" s="401"/>
      <c r="K6498" s="401"/>
      <c r="L6498" s="672"/>
      <c r="M6498" s="673">
        <v>32655</v>
      </c>
      <c r="N6498" s="624">
        <v>1.6364394299999998</v>
      </c>
      <c r="O6498" s="625">
        <v>7.6423847152000011E-3</v>
      </c>
      <c r="P6498" s="390">
        <v>0.40693592739311696</v>
      </c>
      <c r="Q6498" s="390">
        <v>0.68114152399554007</v>
      </c>
      <c r="R6498" s="390">
        <v>0.93883296012501083</v>
      </c>
      <c r="S6498" s="390">
        <v>2.1307295971132452</v>
      </c>
      <c r="T6498" s="388">
        <v>3.5269954541443815</v>
      </c>
      <c r="U6498" s="388"/>
      <c r="V6498" s="391"/>
      <c r="W6498" s="391"/>
      <c r="X6498" s="391"/>
      <c r="Y6498" s="792"/>
      <c r="Z6498" s="388">
        <v>9</v>
      </c>
      <c r="AA6498" s="391">
        <v>0.93883296012501083</v>
      </c>
      <c r="AC6498" s="388"/>
      <c r="AD6498" s="388">
        <v>7.4980800000000007</v>
      </c>
      <c r="AE6498" s="388">
        <v>0.25603199999999998</v>
      </c>
      <c r="AF6498" s="388">
        <v>1.9230299999999998</v>
      </c>
      <c r="AG6498" s="391">
        <v>0.85039200000000004</v>
      </c>
      <c r="AH6498" s="397"/>
      <c r="AQ6498" s="397"/>
      <c r="AR6498" s="397"/>
      <c r="AS6498" s="397"/>
      <c r="AT6498" s="397"/>
      <c r="BE6498" s="397"/>
      <c r="BF6498" s="397"/>
      <c r="BG6498" s="397"/>
      <c r="BH6498" s="397"/>
      <c r="BI6498" s="397"/>
      <c r="BJ6498" s="397"/>
      <c r="BK6498" s="397"/>
      <c r="BL6498" s="397"/>
      <c r="BM6498" s="398"/>
      <c r="BN6498" s="398"/>
      <c r="BO6498" s="398"/>
      <c r="BP6498" s="398"/>
      <c r="BQ6498" s="398"/>
      <c r="BR6498" s="398"/>
      <c r="BS6498" s="397"/>
      <c r="BT6498" s="397"/>
      <c r="BU6498" s="397"/>
      <c r="BV6498" s="397"/>
      <c r="BW6498" s="397"/>
      <c r="BX6498" s="397"/>
      <c r="BY6498" s="397"/>
      <c r="CA6498" s="392" t="s">
        <v>408</v>
      </c>
    </row>
    <row r="6499" spans="1:79" s="392" customFormat="1" ht="15" x14ac:dyDescent="0.25">
      <c r="A6499" s="430"/>
      <c r="B6499" s="386"/>
      <c r="C6499" s="386"/>
      <c r="D6499" s="699"/>
      <c r="E6499" s="385"/>
      <c r="F6499" s="432"/>
      <c r="G6499" s="401"/>
      <c r="H6499" s="401">
        <v>3</v>
      </c>
      <c r="I6499" s="401"/>
      <c r="J6499" s="401"/>
      <c r="K6499" s="401"/>
      <c r="L6499" s="672"/>
      <c r="M6499" s="673">
        <v>32656</v>
      </c>
      <c r="N6499" s="624">
        <v>1.8493832699999999</v>
      </c>
      <c r="O6499" s="625">
        <v>2.0378942575366665E-2</v>
      </c>
      <c r="P6499" s="390">
        <v>0.60266344316814091</v>
      </c>
      <c r="Q6499" s="390">
        <v>1.0853886690319783</v>
      </c>
      <c r="R6499" s="390">
        <v>1.39179849704655</v>
      </c>
      <c r="S6499" s="390">
        <v>2.8776203364696942</v>
      </c>
      <c r="T6499" s="388">
        <v>4.0089512209014444</v>
      </c>
      <c r="U6499" s="388"/>
      <c r="V6499" s="391"/>
      <c r="W6499" s="391"/>
      <c r="X6499" s="391"/>
      <c r="Y6499" s="792"/>
      <c r="Z6499" s="388">
        <v>11</v>
      </c>
      <c r="AA6499" s="391">
        <v>1.39179849704655</v>
      </c>
      <c r="AC6499" s="388"/>
      <c r="AD6499" s="388">
        <v>7.8943199999999996</v>
      </c>
      <c r="AE6499" s="388">
        <v>0.26822400000000002</v>
      </c>
      <c r="AF6499" s="388">
        <v>2.1274099999999998</v>
      </c>
      <c r="AG6499" s="391">
        <v>0.87172800000000006</v>
      </c>
      <c r="AH6499" s="397"/>
      <c r="AQ6499" s="397"/>
      <c r="AR6499" s="397"/>
      <c r="AS6499" s="397"/>
      <c r="AT6499" s="397"/>
      <c r="BE6499" s="397"/>
      <c r="BF6499" s="397"/>
      <c r="BG6499" s="397"/>
      <c r="BH6499" s="397"/>
      <c r="BI6499" s="397"/>
      <c r="BJ6499" s="397"/>
      <c r="BK6499" s="397"/>
      <c r="BL6499" s="397"/>
      <c r="BM6499" s="398"/>
      <c r="BN6499" s="398"/>
      <c r="BO6499" s="398"/>
      <c r="BP6499" s="398"/>
      <c r="BQ6499" s="398"/>
      <c r="BR6499" s="398"/>
      <c r="BS6499" s="397"/>
      <c r="BT6499" s="397"/>
      <c r="BU6499" s="397"/>
      <c r="BV6499" s="397"/>
      <c r="BW6499" s="397"/>
      <c r="BX6499" s="397"/>
      <c r="BY6499" s="397"/>
      <c r="CA6499" s="392" t="s">
        <v>408</v>
      </c>
    </row>
    <row r="6500" spans="1:79" s="392" customFormat="1" ht="15" x14ac:dyDescent="0.25">
      <c r="A6500" s="430"/>
      <c r="B6500" s="386"/>
      <c r="C6500" s="386"/>
      <c r="D6500" s="699"/>
      <c r="E6500" s="385"/>
      <c r="F6500" s="432"/>
      <c r="G6500" s="401"/>
      <c r="H6500" s="401">
        <v>3</v>
      </c>
      <c r="I6500" s="401"/>
      <c r="J6500" s="401"/>
      <c r="K6500" s="401"/>
      <c r="L6500" s="672"/>
      <c r="M6500" s="673">
        <v>32657</v>
      </c>
      <c r="N6500" s="624">
        <v>2.3774953199999995</v>
      </c>
      <c r="O6500" s="625">
        <v>3.0924354817833333E-2</v>
      </c>
      <c r="P6500" s="390">
        <v>0.50256882422370763</v>
      </c>
      <c r="Q6500" s="390">
        <v>0.78422541886628494</v>
      </c>
      <c r="R6500" s="390">
        <v>1.0828715833971372</v>
      </c>
      <c r="S6500" s="390">
        <v>2.2545354402962245</v>
      </c>
      <c r="T6500" s="388">
        <v>3.7449665437267714</v>
      </c>
      <c r="U6500" s="388"/>
      <c r="V6500" s="391"/>
      <c r="W6500" s="391"/>
      <c r="X6500" s="391"/>
      <c r="Y6500" s="792"/>
      <c r="Z6500" s="388">
        <v>9</v>
      </c>
      <c r="AA6500" s="391">
        <v>1.0828715833971372</v>
      </c>
      <c r="AC6500" s="388"/>
      <c r="AD6500" s="388">
        <v>8.0162399999999998</v>
      </c>
      <c r="AE6500" s="388">
        <v>0.30784800000000001</v>
      </c>
      <c r="AF6500" s="388">
        <v>2.4711400000000001</v>
      </c>
      <c r="AG6500" s="391">
        <v>1.008888</v>
      </c>
      <c r="AH6500" s="397"/>
      <c r="AQ6500" s="397"/>
      <c r="AR6500" s="397"/>
      <c r="AS6500" s="397"/>
      <c r="AT6500" s="397"/>
      <c r="BE6500" s="397"/>
      <c r="BF6500" s="397"/>
      <c r="BG6500" s="397"/>
      <c r="BH6500" s="397"/>
      <c r="BI6500" s="397"/>
      <c r="BJ6500" s="397"/>
      <c r="BK6500" s="397"/>
      <c r="BL6500" s="397"/>
      <c r="BM6500" s="398"/>
      <c r="BN6500" s="398"/>
      <c r="BO6500" s="398"/>
      <c r="BP6500" s="398"/>
      <c r="BQ6500" s="398"/>
      <c r="BR6500" s="398"/>
      <c r="BS6500" s="397"/>
      <c r="BT6500" s="397"/>
      <c r="BU6500" s="397"/>
      <c r="BV6500" s="397"/>
      <c r="BW6500" s="397"/>
      <c r="BX6500" s="397"/>
      <c r="BY6500" s="397"/>
      <c r="CA6500" s="392" t="s">
        <v>408</v>
      </c>
    </row>
    <row r="6501" spans="1:79" s="392" customFormat="1" ht="15" x14ac:dyDescent="0.25">
      <c r="A6501" s="430"/>
      <c r="B6501" s="386"/>
      <c r="C6501" s="386"/>
      <c r="D6501" s="699"/>
      <c r="E6501" s="385"/>
      <c r="F6501" s="432"/>
      <c r="G6501" s="401"/>
      <c r="H6501" s="401">
        <v>3</v>
      </c>
      <c r="I6501" s="401"/>
      <c r="J6501" s="401"/>
      <c r="K6501" s="401"/>
      <c r="L6501" s="672"/>
      <c r="M6501" s="673">
        <v>32658</v>
      </c>
      <c r="N6501" s="624">
        <v>3.2102982899999999</v>
      </c>
      <c r="O6501" s="625" t="e">
        <v>#VALUE!</v>
      </c>
      <c r="P6501" s="390" t="s">
        <v>71</v>
      </c>
      <c r="Q6501" s="390" t="s">
        <v>71</v>
      </c>
      <c r="R6501" s="390" t="s">
        <v>71</v>
      </c>
      <c r="S6501" s="390" t="s">
        <v>71</v>
      </c>
      <c r="T6501" s="388" t="s">
        <v>71</v>
      </c>
      <c r="U6501" s="388"/>
      <c r="V6501" s="391"/>
      <c r="W6501" s="391"/>
      <c r="X6501" s="391"/>
      <c r="Y6501" s="792"/>
      <c r="Z6501" s="388" t="s">
        <v>71</v>
      </c>
      <c r="AA6501" s="391" t="s">
        <v>71</v>
      </c>
      <c r="AC6501" s="388"/>
      <c r="AD6501" s="388">
        <v>8.1991200000000006</v>
      </c>
      <c r="AE6501" s="388">
        <v>0.33223200000000003</v>
      </c>
      <c r="AF6501" s="388">
        <v>2.7312599999999998</v>
      </c>
      <c r="AG6501" s="391">
        <v>1.176528</v>
      </c>
      <c r="AH6501" s="397"/>
      <c r="AQ6501" s="397"/>
      <c r="AR6501" s="397"/>
      <c r="AS6501" s="397"/>
      <c r="AT6501" s="397"/>
      <c r="BE6501" s="397"/>
      <c r="BF6501" s="397"/>
      <c r="BG6501" s="397"/>
      <c r="BH6501" s="397"/>
      <c r="BI6501" s="397"/>
      <c r="BJ6501" s="397"/>
      <c r="BK6501" s="397"/>
      <c r="BL6501" s="397"/>
      <c r="BM6501" s="398"/>
      <c r="BN6501" s="398"/>
      <c r="BO6501" s="398"/>
      <c r="BP6501" s="398"/>
      <c r="BQ6501" s="398"/>
      <c r="BR6501" s="398"/>
      <c r="BS6501" s="397"/>
      <c r="BT6501" s="397"/>
      <c r="BU6501" s="397"/>
      <c r="BV6501" s="397"/>
      <c r="BW6501" s="397"/>
      <c r="BX6501" s="397"/>
      <c r="BY6501" s="397"/>
      <c r="CA6501" s="392" t="s">
        <v>408</v>
      </c>
    </row>
    <row r="6502" spans="1:79" s="392" customFormat="1" ht="15" x14ac:dyDescent="0.25">
      <c r="A6502" s="430"/>
      <c r="B6502" s="386"/>
      <c r="C6502" s="386"/>
      <c r="D6502" s="699"/>
      <c r="E6502" s="385"/>
      <c r="F6502" s="432"/>
      <c r="G6502" s="401"/>
      <c r="H6502" s="401">
        <v>3</v>
      </c>
      <c r="I6502" s="401"/>
      <c r="J6502" s="401"/>
      <c r="K6502" s="401"/>
      <c r="L6502" s="672"/>
      <c r="M6502" s="673">
        <v>32659</v>
      </c>
      <c r="N6502" s="624">
        <v>3.00981393</v>
      </c>
      <c r="O6502" s="625">
        <v>0.14035921928100001</v>
      </c>
      <c r="P6502" s="390">
        <v>0.51728014252587218</v>
      </c>
      <c r="Q6502" s="390">
        <v>0.84523304490615792</v>
      </c>
      <c r="R6502" s="390">
        <v>1.1717148584843073</v>
      </c>
      <c r="S6502" s="390">
        <v>2.5941585673084866</v>
      </c>
      <c r="T6502" s="388">
        <v>4.0884308870811186</v>
      </c>
      <c r="U6502" s="388"/>
      <c r="V6502" s="391"/>
      <c r="W6502" s="391"/>
      <c r="X6502" s="391"/>
      <c r="Y6502" s="792"/>
      <c r="Z6502" s="388">
        <v>17</v>
      </c>
      <c r="AA6502" s="391">
        <v>1.1717148584843073</v>
      </c>
      <c r="AC6502" s="388"/>
      <c r="AD6502" s="388">
        <v>8.2295999999999996</v>
      </c>
      <c r="AE6502" s="388">
        <v>0.313944</v>
      </c>
      <c r="AF6502" s="388">
        <v>2.5826199999999999</v>
      </c>
      <c r="AG6502" s="391">
        <v>1.1734800000000001</v>
      </c>
      <c r="AH6502" s="397"/>
      <c r="AQ6502" s="397"/>
      <c r="AR6502" s="397"/>
      <c r="AS6502" s="397"/>
      <c r="AT6502" s="397"/>
      <c r="BE6502" s="397"/>
      <c r="BF6502" s="397"/>
      <c r="BG6502" s="397"/>
      <c r="BH6502" s="397"/>
      <c r="BI6502" s="397"/>
      <c r="BJ6502" s="397"/>
      <c r="BK6502" s="397"/>
      <c r="BL6502" s="397"/>
      <c r="BM6502" s="398"/>
      <c r="BN6502" s="398"/>
      <c r="BO6502" s="398"/>
      <c r="BP6502" s="398"/>
      <c r="BQ6502" s="398"/>
      <c r="BR6502" s="398"/>
      <c r="BS6502" s="397"/>
      <c r="BT6502" s="397"/>
      <c r="BU6502" s="397"/>
      <c r="BV6502" s="397"/>
      <c r="BW6502" s="397"/>
      <c r="BX6502" s="397"/>
      <c r="BY6502" s="397"/>
      <c r="CA6502" s="392" t="s">
        <v>408</v>
      </c>
    </row>
    <row r="6503" spans="1:79" s="392" customFormat="1" ht="15" x14ac:dyDescent="0.25">
      <c r="A6503" s="430"/>
      <c r="B6503" s="386"/>
      <c r="C6503" s="386"/>
      <c r="D6503" s="699"/>
      <c r="E6503" s="385"/>
      <c r="F6503" s="432"/>
      <c r="G6503" s="401"/>
      <c r="H6503" s="401">
        <v>3</v>
      </c>
      <c r="I6503" s="401"/>
      <c r="J6503" s="401"/>
      <c r="K6503" s="401"/>
      <c r="L6503" s="672"/>
      <c r="M6503" s="673">
        <v>32661</v>
      </c>
      <c r="N6503" s="624">
        <v>2.6782218599999998</v>
      </c>
      <c r="O6503" s="625">
        <v>3.4748397169733339E-2</v>
      </c>
      <c r="P6503" s="390">
        <v>0.34848341033845615</v>
      </c>
      <c r="Q6503" s="390">
        <v>0.60395518755582023</v>
      </c>
      <c r="R6503" s="390">
        <v>0.84541894130307249</v>
      </c>
      <c r="S6503" s="390">
        <v>2.3652965159966866</v>
      </c>
      <c r="T6503" s="388">
        <v>4.8619921355573288</v>
      </c>
      <c r="U6503" s="388"/>
      <c r="V6503" s="391"/>
      <c r="W6503" s="391"/>
      <c r="X6503" s="391"/>
      <c r="Y6503" s="792"/>
      <c r="Z6503" s="388">
        <v>15</v>
      </c>
      <c r="AA6503" s="391">
        <v>0.84541894130307249</v>
      </c>
      <c r="AC6503" s="388"/>
      <c r="AD6503" s="388">
        <v>8.1076800000000002</v>
      </c>
      <c r="AE6503" s="388">
        <v>0.31089600000000001</v>
      </c>
      <c r="AF6503" s="388">
        <v>2.5175900000000002</v>
      </c>
      <c r="AG6503" s="391">
        <v>1.0668</v>
      </c>
      <c r="AH6503" s="397"/>
      <c r="AQ6503" s="397"/>
      <c r="AR6503" s="397"/>
      <c r="AS6503" s="397"/>
      <c r="AT6503" s="397"/>
      <c r="BE6503" s="397"/>
      <c r="BF6503" s="397"/>
      <c r="BG6503" s="397"/>
      <c r="BH6503" s="397"/>
      <c r="BI6503" s="397"/>
      <c r="BJ6503" s="397"/>
      <c r="BK6503" s="397"/>
      <c r="BL6503" s="397"/>
      <c r="BM6503" s="398"/>
      <c r="BN6503" s="398"/>
      <c r="BO6503" s="398"/>
      <c r="BP6503" s="398"/>
      <c r="BQ6503" s="398"/>
      <c r="BR6503" s="398"/>
      <c r="BS6503" s="397"/>
      <c r="BT6503" s="397"/>
      <c r="BU6503" s="397"/>
      <c r="BV6503" s="397"/>
      <c r="BW6503" s="397"/>
      <c r="BX6503" s="397"/>
      <c r="BY6503" s="397"/>
      <c r="CA6503" s="392" t="s">
        <v>408</v>
      </c>
    </row>
    <row r="6504" spans="1:79" s="392" customFormat="1" ht="15" x14ac:dyDescent="0.25">
      <c r="A6504" s="430"/>
      <c r="B6504" s="386"/>
      <c r="C6504" s="386"/>
      <c r="D6504" s="699"/>
      <c r="E6504" s="385"/>
      <c r="F6504" s="432"/>
      <c r="G6504" s="401"/>
      <c r="H6504" s="401">
        <v>3</v>
      </c>
      <c r="I6504" s="401"/>
      <c r="J6504" s="401"/>
      <c r="K6504" s="401"/>
      <c r="L6504" s="672"/>
      <c r="M6504" s="673">
        <v>32662</v>
      </c>
      <c r="N6504" s="624">
        <v>2.83651389</v>
      </c>
      <c r="O6504" s="625">
        <v>5.8159158681449989E-2</v>
      </c>
      <c r="P6504" s="390">
        <v>0.5109172283402913</v>
      </c>
      <c r="Q6504" s="390">
        <v>0.78637885890790282</v>
      </c>
      <c r="R6504" s="390">
        <v>1.0828950087837614</v>
      </c>
      <c r="S6504" s="390">
        <v>2.4290438646301378</v>
      </c>
      <c r="T6504" s="388">
        <v>3.9903783123250545</v>
      </c>
      <c r="U6504" s="388"/>
      <c r="V6504" s="391"/>
      <c r="W6504" s="391"/>
      <c r="X6504" s="391"/>
      <c r="Y6504" s="792"/>
      <c r="Z6504" s="388">
        <v>18</v>
      </c>
      <c r="AA6504" s="391">
        <v>1.0828950087837614</v>
      </c>
      <c r="AC6504" s="388"/>
      <c r="AD6504" s="388">
        <v>8.1381600000000009</v>
      </c>
      <c r="AE6504" s="388">
        <v>0.32004000000000005</v>
      </c>
      <c r="AF6504" s="388">
        <v>2.61978</v>
      </c>
      <c r="AG6504" s="391">
        <v>1.0850880000000001</v>
      </c>
      <c r="AH6504" s="397"/>
      <c r="AQ6504" s="397"/>
      <c r="AR6504" s="397"/>
      <c r="AS6504" s="397"/>
      <c r="AT6504" s="397"/>
      <c r="BE6504" s="397"/>
      <c r="BF6504" s="397"/>
      <c r="BG6504" s="397"/>
      <c r="BH6504" s="397"/>
      <c r="BI6504" s="397"/>
      <c r="BJ6504" s="397"/>
      <c r="BK6504" s="397"/>
      <c r="BL6504" s="397"/>
      <c r="BM6504" s="398"/>
      <c r="BN6504" s="398"/>
      <c r="BO6504" s="398"/>
      <c r="BP6504" s="398"/>
      <c r="BQ6504" s="398"/>
      <c r="BR6504" s="398"/>
      <c r="BS6504" s="397"/>
      <c r="BT6504" s="397"/>
      <c r="BU6504" s="397"/>
      <c r="BV6504" s="397"/>
      <c r="BW6504" s="397"/>
      <c r="BX6504" s="397"/>
      <c r="BY6504" s="397"/>
      <c r="CA6504" s="392" t="s">
        <v>408</v>
      </c>
    </row>
    <row r="6505" spans="1:79" s="392" customFormat="1" ht="15" x14ac:dyDescent="0.25">
      <c r="A6505" s="430"/>
      <c r="B6505" s="386"/>
      <c r="C6505" s="386"/>
      <c r="D6505" s="699"/>
      <c r="E6505" s="385"/>
      <c r="F6505" s="432"/>
      <c r="G6505" s="401"/>
      <c r="H6505" s="401">
        <v>3</v>
      </c>
      <c r="I6505" s="401"/>
      <c r="J6505" s="401"/>
      <c r="K6505" s="401"/>
      <c r="L6505" s="672"/>
      <c r="M6505" s="673">
        <v>32663</v>
      </c>
      <c r="N6505" s="624">
        <v>2.9191995299999998</v>
      </c>
      <c r="O6505" s="625">
        <v>2.6441253784053336</v>
      </c>
      <c r="P6505" s="390">
        <v>0.66927476703648558</v>
      </c>
      <c r="Q6505" s="390">
        <v>1.1504743083589837</v>
      </c>
      <c r="R6505" s="390">
        <v>1.516731161196279</v>
      </c>
      <c r="S6505" s="390">
        <v>3.4139353164175943</v>
      </c>
      <c r="T6505" s="388">
        <v>5.8652440510242707</v>
      </c>
      <c r="U6505" s="388"/>
      <c r="V6505" s="391"/>
      <c r="W6505" s="391"/>
      <c r="X6505" s="391"/>
      <c r="Y6505" s="792"/>
      <c r="Z6505" s="388">
        <v>28</v>
      </c>
      <c r="AA6505" s="391">
        <v>1.516731161196279</v>
      </c>
      <c r="AC6505" s="388"/>
      <c r="AD6505" s="388">
        <v>7.9248000000000003</v>
      </c>
      <c r="AE6505" s="388">
        <v>0.32613600000000004</v>
      </c>
      <c r="AF6505" s="388">
        <v>2.5826199999999999</v>
      </c>
      <c r="AG6505" s="391">
        <v>1.130808</v>
      </c>
      <c r="AH6505" s="397"/>
      <c r="AQ6505" s="397"/>
      <c r="AR6505" s="397"/>
      <c r="AS6505" s="397"/>
      <c r="AT6505" s="397"/>
      <c r="BE6505" s="397"/>
      <c r="BF6505" s="397"/>
      <c r="BG6505" s="397"/>
      <c r="BH6505" s="397"/>
      <c r="BI6505" s="397"/>
      <c r="BJ6505" s="397"/>
      <c r="BK6505" s="397"/>
      <c r="BL6505" s="397"/>
      <c r="BM6505" s="398"/>
      <c r="BN6505" s="398"/>
      <c r="BO6505" s="398"/>
      <c r="BP6505" s="398"/>
      <c r="BQ6505" s="398"/>
      <c r="BR6505" s="398"/>
      <c r="BS6505" s="397"/>
      <c r="BT6505" s="397"/>
      <c r="BU6505" s="397"/>
      <c r="BV6505" s="397"/>
      <c r="BW6505" s="397"/>
      <c r="BX6505" s="397"/>
      <c r="BY6505" s="397"/>
      <c r="CA6505" s="392" t="s">
        <v>408</v>
      </c>
    </row>
    <row r="6506" spans="1:79" s="392" customFormat="1" ht="15" x14ac:dyDescent="0.25">
      <c r="A6506" s="430"/>
      <c r="B6506" s="386"/>
      <c r="C6506" s="386"/>
      <c r="D6506" s="699"/>
      <c r="E6506" s="385"/>
      <c r="F6506" s="432"/>
      <c r="G6506" s="401"/>
      <c r="H6506" s="401">
        <v>3</v>
      </c>
      <c r="I6506" s="401"/>
      <c r="J6506" s="401"/>
      <c r="K6506" s="401"/>
      <c r="L6506" s="672"/>
      <c r="M6506" s="673">
        <v>32664</v>
      </c>
      <c r="N6506" s="624">
        <v>2.3426654099999999</v>
      </c>
      <c r="O6506" s="625">
        <v>4.9881500236800003</v>
      </c>
      <c r="P6506" s="390">
        <v>0.55791322263450205</v>
      </c>
      <c r="Q6506" s="390">
        <v>1.0347560998371963</v>
      </c>
      <c r="R6506" s="390">
        <v>1.3372232795812025</v>
      </c>
      <c r="S6506" s="390">
        <v>2.9705265350309986</v>
      </c>
      <c r="T6506" s="388">
        <v>5.4636905947344152</v>
      </c>
      <c r="U6506" s="388"/>
      <c r="V6506" s="391"/>
      <c r="W6506" s="391"/>
      <c r="X6506" s="391"/>
      <c r="Y6506" s="792"/>
      <c r="Z6506" s="388">
        <v>26</v>
      </c>
      <c r="AA6506" s="391">
        <v>1.3372232795812025</v>
      </c>
      <c r="AC6506" s="388"/>
      <c r="AD6506" s="388">
        <v>7.8028800000000009</v>
      </c>
      <c r="AE6506" s="388">
        <v>0.29870400000000003</v>
      </c>
      <c r="AF6506" s="388">
        <v>2.3224999999999998</v>
      </c>
      <c r="AG6506" s="391">
        <v>1.008888</v>
      </c>
      <c r="AH6506" s="397"/>
      <c r="AQ6506" s="397"/>
      <c r="AR6506" s="397"/>
      <c r="AS6506" s="397"/>
      <c r="AT6506" s="397"/>
      <c r="BE6506" s="397"/>
      <c r="BF6506" s="397"/>
      <c r="BG6506" s="397"/>
      <c r="BH6506" s="397"/>
      <c r="BI6506" s="397"/>
      <c r="BJ6506" s="397"/>
      <c r="BK6506" s="397"/>
      <c r="BL6506" s="397"/>
      <c r="BM6506" s="398"/>
      <c r="BN6506" s="398"/>
      <c r="BO6506" s="398"/>
      <c r="BP6506" s="398"/>
      <c r="BQ6506" s="398"/>
      <c r="BR6506" s="398"/>
      <c r="BS6506" s="397"/>
      <c r="BT6506" s="397"/>
      <c r="BU6506" s="397"/>
      <c r="BV6506" s="397"/>
      <c r="BW6506" s="397"/>
      <c r="BX6506" s="397"/>
      <c r="BY6506" s="397"/>
      <c r="CA6506" s="392" t="s">
        <v>408</v>
      </c>
    </row>
    <row r="6507" spans="1:79" s="392" customFormat="1" ht="15" x14ac:dyDescent="0.25">
      <c r="A6507" s="430"/>
      <c r="B6507" s="386"/>
      <c r="C6507" s="386"/>
      <c r="D6507" s="699"/>
      <c r="E6507" s="385"/>
      <c r="F6507" s="432"/>
      <c r="G6507" s="401"/>
      <c r="H6507" s="401">
        <v>3</v>
      </c>
      <c r="I6507" s="401"/>
      <c r="J6507" s="401"/>
      <c r="K6507" s="401"/>
      <c r="L6507" s="672"/>
      <c r="M6507" s="673">
        <v>32666</v>
      </c>
      <c r="N6507" s="624">
        <v>2.6017659599999998</v>
      </c>
      <c r="O6507" s="625">
        <v>0.4205491589</v>
      </c>
      <c r="P6507" s="390">
        <v>0.56787881838672361</v>
      </c>
      <c r="Q6507" s="390">
        <v>1.2206164302763556</v>
      </c>
      <c r="R6507" s="390">
        <v>1.8236494975586566</v>
      </c>
      <c r="S6507" s="390">
        <v>4.1770124920348088</v>
      </c>
      <c r="T6507" s="388">
        <v>7.8004801159660193</v>
      </c>
      <c r="U6507" s="388"/>
      <c r="V6507" s="391"/>
      <c r="W6507" s="391"/>
      <c r="X6507" s="391"/>
      <c r="Y6507" s="792"/>
      <c r="Z6507" s="388">
        <v>45</v>
      </c>
      <c r="AA6507" s="391">
        <v>1.8236494975586566</v>
      </c>
      <c r="AC6507" s="388"/>
      <c r="AD6507" s="388">
        <v>7.9248000000000003</v>
      </c>
      <c r="AE6507" s="388">
        <v>0.33528000000000002</v>
      </c>
      <c r="AF6507" s="388">
        <v>2.6476500000000001</v>
      </c>
      <c r="AG6507" s="391">
        <v>0.98145600000000011</v>
      </c>
      <c r="AH6507" s="397"/>
      <c r="AQ6507" s="397"/>
      <c r="AR6507" s="397"/>
      <c r="AS6507" s="397"/>
      <c r="AT6507" s="397"/>
      <c r="BE6507" s="397"/>
      <c r="BF6507" s="397"/>
      <c r="BG6507" s="397"/>
      <c r="BH6507" s="397"/>
      <c r="BI6507" s="397"/>
      <c r="BJ6507" s="397"/>
      <c r="BK6507" s="397"/>
      <c r="BL6507" s="397"/>
      <c r="BM6507" s="398"/>
      <c r="BN6507" s="398"/>
      <c r="BO6507" s="398"/>
      <c r="BP6507" s="398"/>
      <c r="BQ6507" s="398"/>
      <c r="BR6507" s="398"/>
      <c r="BS6507" s="397"/>
      <c r="BT6507" s="397"/>
      <c r="BU6507" s="397"/>
      <c r="BV6507" s="397"/>
      <c r="BW6507" s="397"/>
      <c r="BX6507" s="397"/>
      <c r="BY6507" s="397"/>
      <c r="CA6507" s="392" t="s">
        <v>408</v>
      </c>
    </row>
    <row r="6508" spans="1:79" s="392" customFormat="1" ht="15" x14ac:dyDescent="0.25">
      <c r="A6508" s="430"/>
      <c r="B6508" s="386"/>
      <c r="C6508" s="386"/>
      <c r="D6508" s="699"/>
      <c r="E6508" s="385"/>
      <c r="F6508" s="432"/>
      <c r="G6508" s="401"/>
      <c r="H6508" s="401">
        <v>3</v>
      </c>
      <c r="I6508" s="401"/>
      <c r="J6508" s="401"/>
      <c r="K6508" s="401"/>
      <c r="L6508" s="672"/>
      <c r="M6508" s="673">
        <v>32667</v>
      </c>
      <c r="N6508" s="624">
        <v>2.2721560799999998</v>
      </c>
      <c r="O6508" s="625">
        <v>9.9237401524799984E-2</v>
      </c>
      <c r="P6508" s="390">
        <v>0.43371026129882073</v>
      </c>
      <c r="Q6508" s="390">
        <v>0.71578373871765011</v>
      </c>
      <c r="R6508" s="390">
        <v>0.99081584955878554</v>
      </c>
      <c r="S6508" s="390">
        <v>2.5245169822729641</v>
      </c>
      <c r="T6508" s="388">
        <v>4.5950095497196122</v>
      </c>
      <c r="U6508" s="388"/>
      <c r="V6508" s="391"/>
      <c r="W6508" s="391"/>
      <c r="X6508" s="391"/>
      <c r="Y6508" s="792"/>
      <c r="Z6508" s="388">
        <v>13</v>
      </c>
      <c r="AA6508" s="391">
        <v>0.99081584955878554</v>
      </c>
      <c r="AC6508" s="388"/>
      <c r="AD6508" s="388">
        <v>8.0467200000000005</v>
      </c>
      <c r="AE6508" s="388">
        <v>0.32308800000000004</v>
      </c>
      <c r="AF6508" s="388">
        <v>2.5919099999999999</v>
      </c>
      <c r="AG6508" s="391">
        <v>0.87782400000000005</v>
      </c>
      <c r="AH6508" s="397"/>
      <c r="AQ6508" s="397"/>
      <c r="AR6508" s="397"/>
      <c r="AS6508" s="397"/>
      <c r="AT6508" s="397"/>
      <c r="BE6508" s="397"/>
      <c r="BF6508" s="397"/>
      <c r="BG6508" s="397"/>
      <c r="BH6508" s="397"/>
      <c r="BI6508" s="397"/>
      <c r="BJ6508" s="397"/>
      <c r="BK6508" s="397"/>
      <c r="BL6508" s="397"/>
      <c r="BM6508" s="398"/>
      <c r="BN6508" s="398"/>
      <c r="BO6508" s="398"/>
      <c r="BP6508" s="398"/>
      <c r="BQ6508" s="398"/>
      <c r="BR6508" s="398"/>
      <c r="BS6508" s="397"/>
      <c r="BT6508" s="397"/>
      <c r="BU6508" s="397"/>
      <c r="BV6508" s="397"/>
      <c r="BW6508" s="397"/>
      <c r="BX6508" s="397"/>
      <c r="BY6508" s="397"/>
      <c r="CA6508" s="392" t="s">
        <v>408</v>
      </c>
    </row>
    <row r="6509" spans="1:79" s="392" customFormat="1" ht="15" x14ac:dyDescent="0.25">
      <c r="A6509" s="430"/>
      <c r="B6509" s="386"/>
      <c r="C6509" s="386"/>
      <c r="D6509" s="699"/>
      <c r="E6509" s="385"/>
      <c r="F6509" s="432"/>
      <c r="G6509" s="401"/>
      <c r="H6509" s="401">
        <v>3</v>
      </c>
      <c r="I6509" s="401"/>
      <c r="J6509" s="401"/>
      <c r="K6509" s="401"/>
      <c r="L6509" s="672"/>
      <c r="M6509" s="673">
        <v>32668</v>
      </c>
      <c r="N6509" s="624">
        <v>2.9752671899999998</v>
      </c>
      <c r="O6509" s="625">
        <v>0.2262452141753333</v>
      </c>
      <c r="P6509" s="390">
        <v>0.49759835665334318</v>
      </c>
      <c r="Q6509" s="390">
        <v>0.80409749271457698</v>
      </c>
      <c r="R6509" s="390">
        <v>1.1498796167544347</v>
      </c>
      <c r="S6509" s="390">
        <v>3.1170088946135102</v>
      </c>
      <c r="T6509" s="388">
        <v>6.1487269156096538</v>
      </c>
      <c r="U6509" s="388"/>
      <c r="V6509" s="391"/>
      <c r="W6509" s="391"/>
      <c r="X6509" s="391"/>
      <c r="Y6509" s="792"/>
      <c r="Z6509" s="388">
        <v>23</v>
      </c>
      <c r="AA6509" s="391">
        <v>1.1498796167544347</v>
      </c>
      <c r="AC6509" s="388"/>
      <c r="AD6509" s="388">
        <v>7.8333599999999999</v>
      </c>
      <c r="AE6509" s="388">
        <v>0.32918400000000003</v>
      </c>
      <c r="AF6509" s="388">
        <v>2.6012</v>
      </c>
      <c r="AG6509" s="391">
        <v>1.143</v>
      </c>
      <c r="AH6509" s="397"/>
      <c r="AQ6509" s="397"/>
      <c r="AR6509" s="397"/>
      <c r="AS6509" s="397"/>
      <c r="AT6509" s="397"/>
      <c r="BE6509" s="397"/>
      <c r="BF6509" s="397"/>
      <c r="BG6509" s="397"/>
      <c r="BH6509" s="397"/>
      <c r="BI6509" s="397"/>
      <c r="BJ6509" s="397"/>
      <c r="BK6509" s="397"/>
      <c r="BL6509" s="397"/>
      <c r="BM6509" s="398"/>
      <c r="BN6509" s="398"/>
      <c r="BO6509" s="398"/>
      <c r="BP6509" s="398"/>
      <c r="BQ6509" s="398"/>
      <c r="BR6509" s="398"/>
      <c r="BS6509" s="397"/>
      <c r="BT6509" s="397"/>
      <c r="BU6509" s="397"/>
      <c r="BV6509" s="397"/>
      <c r="BW6509" s="397"/>
      <c r="BX6509" s="397"/>
      <c r="BY6509" s="397"/>
      <c r="CA6509" s="392" t="s">
        <v>408</v>
      </c>
    </row>
    <row r="6510" spans="1:79" s="392" customFormat="1" ht="15" x14ac:dyDescent="0.25">
      <c r="A6510" s="430"/>
      <c r="B6510" s="386"/>
      <c r="C6510" s="386"/>
      <c r="D6510" s="699"/>
      <c r="E6510" s="385"/>
      <c r="F6510" s="432"/>
      <c r="G6510" s="401"/>
      <c r="H6510" s="401">
        <v>3</v>
      </c>
      <c r="I6510" s="401"/>
      <c r="J6510" s="401"/>
      <c r="K6510" s="401"/>
      <c r="L6510" s="672"/>
      <c r="M6510" s="673">
        <v>32669</v>
      </c>
      <c r="N6510" s="624">
        <v>2.8198068599999999</v>
      </c>
      <c r="O6510" s="625">
        <v>0.42618614762599993</v>
      </c>
      <c r="P6510" s="390">
        <v>0.67025922311480635</v>
      </c>
      <c r="Q6510" s="390">
        <v>1.1673361524959307</v>
      </c>
      <c r="R6510" s="390">
        <v>1.5850561339585167</v>
      </c>
      <c r="S6510" s="390">
        <v>3.665476638461505</v>
      </c>
      <c r="T6510" s="388">
        <v>6.7276106533229605</v>
      </c>
      <c r="U6510" s="388"/>
      <c r="V6510" s="391"/>
      <c r="W6510" s="391"/>
      <c r="X6510" s="391"/>
      <c r="Y6510" s="792"/>
      <c r="Z6510" s="388">
        <v>27</v>
      </c>
      <c r="AA6510" s="391">
        <v>1.5850561339585167</v>
      </c>
      <c r="AC6510" s="388"/>
      <c r="AD6510" s="388">
        <v>8.1686399999999999</v>
      </c>
      <c r="AE6510" s="388">
        <v>0.34137600000000007</v>
      </c>
      <c r="AF6510" s="388">
        <v>2.7777099999999999</v>
      </c>
      <c r="AG6510" s="391">
        <v>1.0149840000000001</v>
      </c>
      <c r="AH6510" s="397"/>
      <c r="AQ6510" s="397"/>
      <c r="AR6510" s="397"/>
      <c r="AS6510" s="397"/>
      <c r="AT6510" s="397"/>
      <c r="BE6510" s="397"/>
      <c r="BF6510" s="397"/>
      <c r="BG6510" s="397"/>
      <c r="BH6510" s="397"/>
      <c r="BI6510" s="397"/>
      <c r="BJ6510" s="397"/>
      <c r="BK6510" s="397"/>
      <c r="BL6510" s="397"/>
      <c r="BM6510" s="398"/>
      <c r="BN6510" s="398"/>
      <c r="BO6510" s="398"/>
      <c r="BP6510" s="398"/>
      <c r="BQ6510" s="398"/>
      <c r="BR6510" s="398"/>
      <c r="BS6510" s="397"/>
      <c r="BT6510" s="397"/>
      <c r="BU6510" s="397"/>
      <c r="BV6510" s="397"/>
      <c r="BW6510" s="397"/>
      <c r="BX6510" s="397"/>
      <c r="BY6510" s="397"/>
      <c r="CA6510" s="392" t="s">
        <v>408</v>
      </c>
    </row>
    <row r="6511" spans="1:79" s="392" customFormat="1" ht="15" x14ac:dyDescent="0.25">
      <c r="A6511" s="430"/>
      <c r="B6511" s="386"/>
      <c r="C6511" s="386"/>
      <c r="D6511" s="699"/>
      <c r="E6511" s="385"/>
      <c r="F6511" s="432"/>
      <c r="G6511" s="401"/>
      <c r="H6511" s="401">
        <v>3</v>
      </c>
      <c r="I6511" s="401"/>
      <c r="J6511" s="401"/>
      <c r="K6511" s="401"/>
      <c r="L6511" s="672"/>
      <c r="M6511" s="673">
        <v>32670</v>
      </c>
      <c r="N6511" s="624">
        <v>3.5770034399999995</v>
      </c>
      <c r="O6511" s="625">
        <v>0.8410255179456001</v>
      </c>
      <c r="P6511" s="390">
        <v>0.64859868771087259</v>
      </c>
      <c r="Q6511" s="390">
        <v>1.2296932339131867</v>
      </c>
      <c r="R6511" s="390">
        <v>1.73475128977742</v>
      </c>
      <c r="S6511" s="390">
        <v>3.9704730651960669</v>
      </c>
      <c r="T6511" s="388">
        <v>8.171490348660063</v>
      </c>
      <c r="U6511" s="388"/>
      <c r="V6511" s="391"/>
      <c r="W6511" s="391"/>
      <c r="X6511" s="391"/>
      <c r="Y6511" s="792"/>
      <c r="Z6511" s="388">
        <v>21</v>
      </c>
      <c r="AA6511" s="391">
        <v>1.73475128977742</v>
      </c>
      <c r="AC6511" s="388"/>
      <c r="AD6511" s="388">
        <v>8.4124800000000004</v>
      </c>
      <c r="AE6511" s="388">
        <v>0.38709600000000005</v>
      </c>
      <c r="AF6511" s="388">
        <v>3.2607900000000001</v>
      </c>
      <c r="AG6511" s="391">
        <v>1.09728</v>
      </c>
      <c r="AH6511" s="397"/>
      <c r="AQ6511" s="397"/>
      <c r="AR6511" s="397"/>
      <c r="AS6511" s="397"/>
      <c r="AT6511" s="397"/>
      <c r="BE6511" s="397"/>
      <c r="BF6511" s="397"/>
      <c r="BG6511" s="397"/>
      <c r="BH6511" s="397"/>
      <c r="BI6511" s="397"/>
      <c r="BJ6511" s="397"/>
      <c r="BK6511" s="397"/>
      <c r="BL6511" s="397"/>
      <c r="BM6511" s="398"/>
      <c r="BN6511" s="398"/>
      <c r="BO6511" s="398"/>
      <c r="BP6511" s="398"/>
      <c r="BQ6511" s="398"/>
      <c r="BR6511" s="398"/>
      <c r="BS6511" s="397"/>
      <c r="BT6511" s="397"/>
      <c r="BU6511" s="397"/>
      <c r="BV6511" s="397"/>
      <c r="BW6511" s="397"/>
      <c r="BX6511" s="397"/>
      <c r="BY6511" s="397"/>
      <c r="CA6511" s="392" t="s">
        <v>408</v>
      </c>
    </row>
    <row r="6512" spans="1:79" s="392" customFormat="1" ht="15" x14ac:dyDescent="0.25">
      <c r="A6512" s="430"/>
      <c r="B6512" s="386"/>
      <c r="C6512" s="386"/>
      <c r="D6512" s="699"/>
      <c r="E6512" s="385"/>
      <c r="F6512" s="432"/>
      <c r="G6512" s="401"/>
      <c r="H6512" s="401">
        <v>3</v>
      </c>
      <c r="I6512" s="401"/>
      <c r="J6512" s="401"/>
      <c r="K6512" s="401"/>
      <c r="L6512" s="672"/>
      <c r="M6512" s="673">
        <v>32670</v>
      </c>
      <c r="N6512" s="624">
        <v>3.5736053999999999</v>
      </c>
      <c r="O6512" s="625">
        <v>0.82298128736746645</v>
      </c>
      <c r="P6512" s="390">
        <v>0.67817999662661965</v>
      </c>
      <c r="Q6512" s="390">
        <v>1.1838723348115212</v>
      </c>
      <c r="R6512" s="390">
        <v>1.5931091043015586</v>
      </c>
      <c r="S6512" s="390">
        <v>3.7162244505186313</v>
      </c>
      <c r="T6512" s="388">
        <v>7.3764530094653518</v>
      </c>
      <c r="U6512" s="388"/>
      <c r="V6512" s="391"/>
      <c r="W6512" s="391"/>
      <c r="X6512" s="391"/>
      <c r="Y6512" s="792"/>
      <c r="Z6512" s="388">
        <v>31</v>
      </c>
      <c r="AA6512" s="391">
        <v>1.5931091043015586</v>
      </c>
      <c r="AC6512" s="388"/>
      <c r="AD6512" s="388">
        <v>8.4124800000000004</v>
      </c>
      <c r="AE6512" s="388">
        <v>0.38709600000000005</v>
      </c>
      <c r="AF6512" s="388">
        <v>3.2607900000000001</v>
      </c>
      <c r="AG6512" s="391">
        <v>1.09728</v>
      </c>
      <c r="AH6512" s="397"/>
      <c r="AQ6512" s="397"/>
      <c r="AR6512" s="397"/>
      <c r="AS6512" s="397"/>
      <c r="AT6512" s="397"/>
      <c r="BE6512" s="397"/>
      <c r="BF6512" s="397"/>
      <c r="BG6512" s="397"/>
      <c r="BH6512" s="397"/>
      <c r="BI6512" s="397"/>
      <c r="BJ6512" s="397"/>
      <c r="BK6512" s="397"/>
      <c r="BL6512" s="397"/>
      <c r="BM6512" s="398"/>
      <c r="BN6512" s="398"/>
      <c r="BO6512" s="398"/>
      <c r="BP6512" s="398"/>
      <c r="BQ6512" s="398"/>
      <c r="BR6512" s="398"/>
      <c r="BS6512" s="397"/>
      <c r="BT6512" s="397"/>
      <c r="BU6512" s="397"/>
      <c r="BV6512" s="397"/>
      <c r="BW6512" s="397"/>
      <c r="BX6512" s="397"/>
      <c r="BY6512" s="397"/>
      <c r="CA6512" s="392" t="s">
        <v>408</v>
      </c>
    </row>
    <row r="6513" spans="1:79" s="392" customFormat="1" ht="15" x14ac:dyDescent="0.25">
      <c r="A6513" s="430"/>
      <c r="B6513" s="386"/>
      <c r="C6513" s="386"/>
      <c r="D6513" s="699"/>
      <c r="E6513" s="385"/>
      <c r="F6513" s="432"/>
      <c r="G6513" s="401"/>
      <c r="H6513" s="401">
        <v>3</v>
      </c>
      <c r="I6513" s="401"/>
      <c r="J6513" s="401"/>
      <c r="K6513" s="401"/>
      <c r="L6513" s="672"/>
      <c r="M6513" s="673">
        <v>32671</v>
      </c>
      <c r="N6513" s="624">
        <v>4.1861021100000002</v>
      </c>
      <c r="O6513" s="625">
        <v>1.0015521968915999</v>
      </c>
      <c r="P6513" s="390">
        <v>0.5675838789815244</v>
      </c>
      <c r="Q6513" s="390">
        <v>1.0486926898841391</v>
      </c>
      <c r="R6513" s="390">
        <v>1.5414709291934565</v>
      </c>
      <c r="S6513" s="390">
        <v>3.8119746215946084</v>
      </c>
      <c r="T6513" s="388">
        <v>9.6476361542766504</v>
      </c>
      <c r="U6513" s="388"/>
      <c r="V6513" s="391"/>
      <c r="W6513" s="391"/>
      <c r="X6513" s="391"/>
      <c r="Y6513" s="792"/>
      <c r="Z6513" s="388">
        <v>37</v>
      </c>
      <c r="AA6513" s="391">
        <v>1.5414709291934565</v>
      </c>
      <c r="AC6513" s="388"/>
      <c r="AD6513" s="388">
        <v>8.5039200000000008</v>
      </c>
      <c r="AE6513" s="388">
        <v>0.39014400000000005</v>
      </c>
      <c r="AF6513" s="388">
        <v>3.3165300000000002</v>
      </c>
      <c r="AG6513" s="391">
        <v>1.2618719999999999</v>
      </c>
      <c r="AH6513" s="397"/>
      <c r="AQ6513" s="397"/>
      <c r="AR6513" s="397"/>
      <c r="AS6513" s="397"/>
      <c r="AT6513" s="397"/>
      <c r="BE6513" s="397"/>
      <c r="BF6513" s="397"/>
      <c r="BG6513" s="397"/>
      <c r="BH6513" s="397"/>
      <c r="BI6513" s="397"/>
      <c r="BJ6513" s="397"/>
      <c r="BK6513" s="397"/>
      <c r="BL6513" s="397"/>
      <c r="BM6513" s="398"/>
      <c r="BN6513" s="398"/>
      <c r="BO6513" s="398"/>
      <c r="BP6513" s="398"/>
      <c r="BQ6513" s="398"/>
      <c r="BR6513" s="398"/>
      <c r="BS6513" s="397"/>
      <c r="BT6513" s="397"/>
      <c r="BU6513" s="397"/>
      <c r="BV6513" s="397"/>
      <c r="BW6513" s="397"/>
      <c r="BX6513" s="397"/>
      <c r="BY6513" s="397"/>
      <c r="CA6513" s="392" t="s">
        <v>408</v>
      </c>
    </row>
    <row r="6514" spans="1:79" s="392" customFormat="1" ht="15" x14ac:dyDescent="0.25">
      <c r="A6514" s="430"/>
      <c r="B6514" s="386"/>
      <c r="C6514" s="386"/>
      <c r="D6514" s="699"/>
      <c r="E6514" s="385"/>
      <c r="F6514" s="432"/>
      <c r="G6514" s="401"/>
      <c r="H6514" s="401">
        <v>3</v>
      </c>
      <c r="I6514" s="401"/>
      <c r="J6514" s="401"/>
      <c r="K6514" s="401"/>
      <c r="L6514" s="672"/>
      <c r="M6514" s="673">
        <v>32672</v>
      </c>
      <c r="N6514" s="624">
        <v>3.4764780899999996</v>
      </c>
      <c r="O6514" s="625">
        <v>0.48459009748453336</v>
      </c>
      <c r="P6514" s="390">
        <v>0.61468972067946381</v>
      </c>
      <c r="Q6514" s="390">
        <v>1.0966787342413318</v>
      </c>
      <c r="R6514" s="390">
        <v>1.5056810861987322</v>
      </c>
      <c r="S6514" s="390">
        <v>3.6387050955255473</v>
      </c>
      <c r="T6514" s="388">
        <v>6.7864162612447023</v>
      </c>
      <c r="U6514" s="388"/>
      <c r="V6514" s="391"/>
      <c r="W6514" s="391"/>
      <c r="X6514" s="391"/>
      <c r="Y6514" s="792"/>
      <c r="Z6514" s="388">
        <v>24</v>
      </c>
      <c r="AA6514" s="391">
        <v>1.5056810861987322</v>
      </c>
      <c r="AC6514" s="388"/>
      <c r="AD6514" s="388">
        <v>8.4734400000000001</v>
      </c>
      <c r="AE6514" s="388">
        <v>0.37490400000000002</v>
      </c>
      <c r="AF6514" s="388">
        <v>3.1864699999999995</v>
      </c>
      <c r="AG6514" s="391">
        <v>1.0942320000000001</v>
      </c>
      <c r="AH6514" s="397"/>
      <c r="AQ6514" s="397"/>
      <c r="AR6514" s="397"/>
      <c r="AS6514" s="397"/>
      <c r="AT6514" s="397"/>
      <c r="BE6514" s="397"/>
      <c r="BF6514" s="397"/>
      <c r="BG6514" s="397"/>
      <c r="BH6514" s="397"/>
      <c r="BI6514" s="397"/>
      <c r="BJ6514" s="397"/>
      <c r="BK6514" s="397"/>
      <c r="BL6514" s="397"/>
      <c r="BM6514" s="398"/>
      <c r="BN6514" s="398"/>
      <c r="BO6514" s="398"/>
      <c r="BP6514" s="398"/>
      <c r="BQ6514" s="398"/>
      <c r="BR6514" s="398"/>
      <c r="BS6514" s="397"/>
      <c r="BT6514" s="397"/>
      <c r="BU6514" s="397"/>
      <c r="BV6514" s="397"/>
      <c r="BW6514" s="397"/>
      <c r="BX6514" s="397"/>
      <c r="BY6514" s="397"/>
      <c r="CA6514" s="392" t="s">
        <v>408</v>
      </c>
    </row>
    <row r="6515" spans="1:79" s="392" customFormat="1" ht="15" x14ac:dyDescent="0.25">
      <c r="A6515" s="430"/>
      <c r="B6515" s="386"/>
      <c r="C6515" s="386"/>
      <c r="D6515" s="699"/>
      <c r="E6515" s="385"/>
      <c r="F6515" s="432"/>
      <c r="G6515" s="401"/>
      <c r="H6515" s="401">
        <v>3</v>
      </c>
      <c r="I6515" s="401"/>
      <c r="J6515" s="401"/>
      <c r="K6515" s="401"/>
      <c r="L6515" s="672"/>
      <c r="M6515" s="673">
        <v>32675</v>
      </c>
      <c r="N6515" s="624">
        <v>4.2178171499999992</v>
      </c>
      <c r="O6515" s="625">
        <v>0.31684106631659997</v>
      </c>
      <c r="P6515" s="390">
        <v>0.52</v>
      </c>
      <c r="Q6515" s="390">
        <v>0.83</v>
      </c>
      <c r="R6515" s="390">
        <v>1.18</v>
      </c>
      <c r="S6515" s="390">
        <v>3.07</v>
      </c>
      <c r="T6515" s="388">
        <v>5.39</v>
      </c>
      <c r="U6515" s="388"/>
      <c r="V6515" s="391"/>
      <c r="W6515" s="391"/>
      <c r="X6515" s="391"/>
      <c r="Y6515" s="792"/>
      <c r="Z6515" s="388">
        <v>23</v>
      </c>
      <c r="AA6515" s="391">
        <v>1.18</v>
      </c>
      <c r="AC6515" s="388"/>
      <c r="AD6515" s="388">
        <v>8.5039200000000008</v>
      </c>
      <c r="AE6515" s="388">
        <v>0.40843200000000002</v>
      </c>
      <c r="AF6515" s="388">
        <v>3.4744599999999997</v>
      </c>
      <c r="AG6515" s="391">
        <v>1.213104</v>
      </c>
      <c r="AH6515" s="397"/>
      <c r="AQ6515" s="397"/>
      <c r="AR6515" s="397"/>
      <c r="AS6515" s="397"/>
      <c r="AT6515" s="397"/>
      <c r="BE6515" s="397"/>
      <c r="BF6515" s="397"/>
      <c r="BG6515" s="397"/>
      <c r="BH6515" s="397"/>
      <c r="BI6515" s="397"/>
      <c r="BJ6515" s="397"/>
      <c r="BK6515" s="397"/>
      <c r="BL6515" s="397"/>
      <c r="BM6515" s="398"/>
      <c r="BN6515" s="398"/>
      <c r="BO6515" s="398"/>
      <c r="BP6515" s="398"/>
      <c r="BQ6515" s="398"/>
      <c r="BR6515" s="398"/>
      <c r="BS6515" s="397"/>
      <c r="BT6515" s="397"/>
      <c r="BU6515" s="397"/>
      <c r="BV6515" s="397"/>
      <c r="BW6515" s="397"/>
      <c r="BX6515" s="397"/>
      <c r="BY6515" s="397"/>
      <c r="CA6515" s="392" t="s">
        <v>408</v>
      </c>
    </row>
    <row r="6516" spans="1:79" s="392" customFormat="1" ht="15" x14ac:dyDescent="0.25">
      <c r="A6516" s="430"/>
      <c r="B6516" s="386"/>
      <c r="C6516" s="386"/>
      <c r="D6516" s="699"/>
      <c r="E6516" s="385"/>
      <c r="F6516" s="432"/>
      <c r="G6516" s="401"/>
      <c r="H6516" s="401">
        <v>3</v>
      </c>
      <c r="I6516" s="401"/>
      <c r="J6516" s="401"/>
      <c r="K6516" s="401"/>
      <c r="L6516" s="672"/>
      <c r="M6516" s="673">
        <v>32677</v>
      </c>
      <c r="N6516" s="624">
        <v>2.63518002</v>
      </c>
      <c r="O6516" s="625">
        <v>6.4191704949666653E-2</v>
      </c>
      <c r="P6516" s="390">
        <v>0.38993170060351423</v>
      </c>
      <c r="Q6516" s="390">
        <v>0.65385262955505763</v>
      </c>
      <c r="R6516" s="390">
        <v>0.88755410699404269</v>
      </c>
      <c r="S6516" s="390">
        <v>2.2019443440669373</v>
      </c>
      <c r="T6516" s="388">
        <v>3.8712524939885662</v>
      </c>
      <c r="U6516" s="388"/>
      <c r="V6516" s="391"/>
      <c r="W6516" s="391"/>
      <c r="X6516" s="391"/>
      <c r="Y6516" s="792"/>
      <c r="Z6516" s="388">
        <v>11</v>
      </c>
      <c r="AA6516" s="391">
        <v>0.88755410699404269</v>
      </c>
      <c r="AC6516" s="388"/>
      <c r="AD6516" s="388">
        <v>8.0772000000000013</v>
      </c>
      <c r="AE6516" s="388">
        <v>0.35661599999999999</v>
      </c>
      <c r="AF6516" s="388">
        <v>2.8891900000000001</v>
      </c>
      <c r="AG6516" s="391">
        <v>0.97840800000000006</v>
      </c>
      <c r="AH6516" s="397"/>
      <c r="AQ6516" s="397"/>
      <c r="AR6516" s="397"/>
      <c r="AS6516" s="397"/>
      <c r="AT6516" s="397"/>
      <c r="BE6516" s="397"/>
      <c r="BF6516" s="397"/>
      <c r="BG6516" s="397"/>
      <c r="BH6516" s="397"/>
      <c r="BI6516" s="397"/>
      <c r="BJ6516" s="397"/>
      <c r="BK6516" s="397"/>
      <c r="BL6516" s="397"/>
      <c r="BM6516" s="398"/>
      <c r="BN6516" s="398"/>
      <c r="BO6516" s="398"/>
      <c r="BP6516" s="398"/>
      <c r="BQ6516" s="398"/>
      <c r="BR6516" s="398"/>
      <c r="BS6516" s="397"/>
      <c r="BT6516" s="397"/>
      <c r="BU6516" s="397"/>
      <c r="BV6516" s="397"/>
      <c r="BW6516" s="397"/>
      <c r="BX6516" s="397"/>
      <c r="BY6516" s="397"/>
      <c r="CA6516" s="392" t="s">
        <v>408</v>
      </c>
    </row>
    <row r="6517" spans="1:79" s="392" customFormat="1" ht="15" x14ac:dyDescent="0.25">
      <c r="A6517" s="430"/>
      <c r="B6517" s="386"/>
      <c r="C6517" s="386"/>
      <c r="D6517" s="699"/>
      <c r="E6517" s="385"/>
      <c r="F6517" s="432"/>
      <c r="G6517" s="401"/>
      <c r="H6517" s="401">
        <v>3</v>
      </c>
      <c r="I6517" s="401"/>
      <c r="J6517" s="401"/>
      <c r="K6517" s="401"/>
      <c r="L6517" s="672"/>
      <c r="M6517" s="673">
        <v>32680</v>
      </c>
      <c r="N6517" s="624">
        <v>2.3058533100000003</v>
      </c>
      <c r="O6517" s="625">
        <v>4.4652660694500003E-2</v>
      </c>
      <c r="P6517" s="390">
        <v>0.53380577181657851</v>
      </c>
      <c r="Q6517" s="390">
        <v>0.90440376512282028</v>
      </c>
      <c r="R6517" s="390">
        <v>1.2649590138614386</v>
      </c>
      <c r="S6517" s="390">
        <v>2.9857766217826156</v>
      </c>
      <c r="T6517" s="388">
        <v>4.7916564446826593</v>
      </c>
      <c r="U6517" s="388"/>
      <c r="V6517" s="391"/>
      <c r="W6517" s="391"/>
      <c r="X6517" s="391"/>
      <c r="Y6517" s="792"/>
      <c r="Z6517" s="388">
        <v>17</v>
      </c>
      <c r="AA6517" s="391">
        <v>1.2649590138614386</v>
      </c>
      <c r="AC6517" s="388"/>
      <c r="AD6517" s="388">
        <v>7.955280000000001</v>
      </c>
      <c r="AE6517" s="388">
        <v>0.32308800000000004</v>
      </c>
      <c r="AF6517" s="388">
        <v>2.5733299999999999</v>
      </c>
      <c r="AG6517" s="391">
        <v>0.87477600000000011</v>
      </c>
      <c r="AH6517" s="397"/>
      <c r="AQ6517" s="397"/>
      <c r="AR6517" s="397"/>
      <c r="AS6517" s="397"/>
      <c r="AT6517" s="397"/>
      <c r="BE6517" s="397"/>
      <c r="BF6517" s="397"/>
      <c r="BG6517" s="397"/>
      <c r="BH6517" s="397"/>
      <c r="BI6517" s="397"/>
      <c r="BJ6517" s="397"/>
      <c r="BK6517" s="397"/>
      <c r="BL6517" s="397"/>
      <c r="BM6517" s="398"/>
      <c r="BN6517" s="398"/>
      <c r="BO6517" s="398"/>
      <c r="BP6517" s="398"/>
      <c r="BQ6517" s="398"/>
      <c r="BR6517" s="398"/>
      <c r="BS6517" s="397"/>
      <c r="BT6517" s="397"/>
      <c r="BU6517" s="397"/>
      <c r="BV6517" s="397"/>
      <c r="BW6517" s="397"/>
      <c r="BX6517" s="397"/>
      <c r="BY6517" s="397"/>
      <c r="CA6517" s="392" t="s">
        <v>408</v>
      </c>
    </row>
    <row r="6518" spans="1:79" s="392" customFormat="1" ht="15" x14ac:dyDescent="0.25">
      <c r="A6518" s="430"/>
      <c r="B6518" s="386"/>
      <c r="C6518" s="386"/>
      <c r="D6518" s="699"/>
      <c r="E6518" s="385"/>
      <c r="F6518" s="432"/>
      <c r="G6518" s="401"/>
      <c r="H6518" s="401">
        <v>3</v>
      </c>
      <c r="I6518" s="401"/>
      <c r="J6518" s="401"/>
      <c r="K6518" s="401"/>
      <c r="L6518" s="672"/>
      <c r="M6518" s="673">
        <v>32682</v>
      </c>
      <c r="N6518" s="624">
        <v>2.0790341400000001</v>
      </c>
      <c r="O6518" s="625">
        <v>1.7195515608900005E-2</v>
      </c>
      <c r="P6518" s="390">
        <v>0.42404637500044651</v>
      </c>
      <c r="Q6518" s="390">
        <v>0.64758523338528429</v>
      </c>
      <c r="R6518" s="390">
        <v>0.83013618641191211</v>
      </c>
      <c r="S6518" s="390">
        <v>1.8098505863969876</v>
      </c>
      <c r="T6518" s="388">
        <v>3.2841734034573733</v>
      </c>
      <c r="U6518" s="388"/>
      <c r="V6518" s="391"/>
      <c r="W6518" s="391"/>
      <c r="X6518" s="391"/>
      <c r="Y6518" s="792"/>
      <c r="Z6518" s="388">
        <v>7</v>
      </c>
      <c r="AA6518" s="391">
        <v>0.83013618641191211</v>
      </c>
      <c r="AC6518" s="388"/>
      <c r="AD6518" s="388">
        <v>7.955280000000001</v>
      </c>
      <c r="AE6518" s="388">
        <v>0.31699200000000005</v>
      </c>
      <c r="AF6518" s="388">
        <v>2.5268799999999998</v>
      </c>
      <c r="AG6518" s="391">
        <v>0.82296000000000014</v>
      </c>
      <c r="AH6518" s="397"/>
      <c r="AQ6518" s="397"/>
      <c r="AR6518" s="397"/>
      <c r="AS6518" s="397"/>
      <c r="AT6518" s="397"/>
      <c r="BE6518" s="397"/>
      <c r="BF6518" s="397"/>
      <c r="BG6518" s="397"/>
      <c r="BH6518" s="397"/>
      <c r="BI6518" s="397"/>
      <c r="BJ6518" s="397"/>
      <c r="BK6518" s="397"/>
      <c r="BL6518" s="397"/>
      <c r="BM6518" s="398"/>
      <c r="BN6518" s="398"/>
      <c r="BO6518" s="398"/>
      <c r="BP6518" s="398"/>
      <c r="BQ6518" s="398"/>
      <c r="BR6518" s="398"/>
      <c r="BS6518" s="397"/>
      <c r="BT6518" s="397"/>
      <c r="BU6518" s="397"/>
      <c r="BV6518" s="397"/>
      <c r="BW6518" s="397"/>
      <c r="BX6518" s="397"/>
      <c r="BY6518" s="397"/>
      <c r="CA6518" s="392" t="s">
        <v>408</v>
      </c>
    </row>
    <row r="6519" spans="1:79" s="392" customFormat="1" ht="15" x14ac:dyDescent="0.25">
      <c r="A6519" s="430"/>
      <c r="B6519" s="386"/>
      <c r="C6519" s="386"/>
      <c r="D6519" s="699"/>
      <c r="E6519" s="385"/>
      <c r="F6519" s="432"/>
      <c r="G6519" s="401"/>
      <c r="H6519" s="401">
        <v>3</v>
      </c>
      <c r="I6519" s="401"/>
      <c r="J6519" s="401"/>
      <c r="K6519" s="401"/>
      <c r="L6519" s="672"/>
      <c r="M6519" s="673">
        <v>32687</v>
      </c>
      <c r="N6519" s="624">
        <v>1.9193262599999998</v>
      </c>
      <c r="O6519" s="625">
        <v>1.1619676760599999E-2</v>
      </c>
      <c r="P6519" s="390">
        <v>0.46027319995073795</v>
      </c>
      <c r="Q6519" s="390">
        <v>0.68876975122629214</v>
      </c>
      <c r="R6519" s="390">
        <v>0.89731737295283875</v>
      </c>
      <c r="S6519" s="390">
        <v>1.8916597353652618</v>
      </c>
      <c r="T6519" s="388">
        <v>3.6143727987074405</v>
      </c>
      <c r="U6519" s="388"/>
      <c r="V6519" s="391"/>
      <c r="W6519" s="391"/>
      <c r="X6519" s="391"/>
      <c r="Y6519" s="792"/>
      <c r="Z6519" s="388">
        <v>10</v>
      </c>
      <c r="AA6519" s="391">
        <v>0.89731737295283875</v>
      </c>
      <c r="AC6519" s="388"/>
      <c r="AD6519" s="388">
        <v>7.98576</v>
      </c>
      <c r="AE6519" s="388">
        <v>0.32308800000000004</v>
      </c>
      <c r="AF6519" s="388">
        <v>2.5826199999999999</v>
      </c>
      <c r="AG6519" s="391">
        <v>0.74371200000000004</v>
      </c>
      <c r="AH6519" s="397"/>
      <c r="AQ6519" s="397"/>
      <c r="AR6519" s="397"/>
      <c r="AS6519" s="397"/>
      <c r="AT6519" s="397"/>
      <c r="BE6519" s="397"/>
      <c r="BF6519" s="397"/>
      <c r="BG6519" s="397"/>
      <c r="BH6519" s="397"/>
      <c r="BI6519" s="397"/>
      <c r="BJ6519" s="397"/>
      <c r="BK6519" s="397"/>
      <c r="BL6519" s="397"/>
      <c r="BM6519" s="398"/>
      <c r="BN6519" s="398"/>
      <c r="BO6519" s="398"/>
      <c r="BP6519" s="398"/>
      <c r="BQ6519" s="398"/>
      <c r="BR6519" s="398"/>
      <c r="BS6519" s="397"/>
      <c r="BT6519" s="397"/>
      <c r="BU6519" s="397"/>
      <c r="BV6519" s="397"/>
      <c r="BW6519" s="397"/>
      <c r="BX6519" s="397"/>
      <c r="BY6519" s="397"/>
      <c r="CA6519" s="392" t="s">
        <v>408</v>
      </c>
    </row>
    <row r="6520" spans="1:79" s="392" customFormat="1" ht="15" x14ac:dyDescent="0.25">
      <c r="A6520" s="430"/>
      <c r="B6520" s="386"/>
      <c r="C6520" s="386"/>
      <c r="D6520" s="699"/>
      <c r="E6520" s="385"/>
      <c r="F6520" s="432"/>
      <c r="G6520" s="401"/>
      <c r="H6520" s="401">
        <v>3</v>
      </c>
      <c r="I6520" s="401"/>
      <c r="J6520" s="401"/>
      <c r="K6520" s="401"/>
      <c r="L6520" s="672"/>
      <c r="M6520" s="673">
        <v>32693</v>
      </c>
      <c r="N6520" s="624">
        <v>2.1070679699999997</v>
      </c>
      <c r="O6520" s="625">
        <v>1.0244179511599999E-2</v>
      </c>
      <c r="P6520" s="390">
        <v>0.46901797944774481</v>
      </c>
      <c r="Q6520" s="390">
        <v>0.75284839009382876</v>
      </c>
      <c r="R6520" s="390">
        <v>1.0440977672464569</v>
      </c>
      <c r="S6520" s="390">
        <v>2.3195873809609182</v>
      </c>
      <c r="T6520" s="388">
        <v>3.8725802317400975</v>
      </c>
      <c r="U6520" s="388"/>
      <c r="V6520" s="391"/>
      <c r="W6520" s="391"/>
      <c r="X6520" s="391"/>
      <c r="Y6520" s="792"/>
      <c r="Z6520" s="388">
        <v>7</v>
      </c>
      <c r="AA6520" s="391">
        <v>1.0440977672464569</v>
      </c>
      <c r="AC6520" s="388"/>
      <c r="AD6520" s="388">
        <v>7.98576</v>
      </c>
      <c r="AE6520" s="388">
        <v>0.34137600000000007</v>
      </c>
      <c r="AF6520" s="388">
        <v>2.736834</v>
      </c>
      <c r="AG6520" s="391">
        <v>0.77114399999999994</v>
      </c>
      <c r="AH6520" s="397"/>
      <c r="AQ6520" s="397"/>
      <c r="AR6520" s="397"/>
      <c r="AS6520" s="397"/>
      <c r="AT6520" s="397"/>
      <c r="BE6520" s="397"/>
      <c r="BF6520" s="397"/>
      <c r="BG6520" s="397"/>
      <c r="BH6520" s="397"/>
      <c r="BI6520" s="397"/>
      <c r="BJ6520" s="397"/>
      <c r="BK6520" s="397"/>
      <c r="BL6520" s="397"/>
      <c r="BM6520" s="398"/>
      <c r="BN6520" s="398"/>
      <c r="BO6520" s="398"/>
      <c r="BP6520" s="398"/>
      <c r="BQ6520" s="398"/>
      <c r="BR6520" s="398"/>
      <c r="BS6520" s="397"/>
      <c r="BT6520" s="397"/>
      <c r="BU6520" s="397"/>
      <c r="BV6520" s="397"/>
      <c r="BW6520" s="397"/>
      <c r="BX6520" s="397"/>
      <c r="BY6520" s="397"/>
      <c r="CA6520" s="392" t="s">
        <v>408</v>
      </c>
    </row>
    <row r="6521" spans="1:79" s="392" customFormat="1" ht="15" x14ac:dyDescent="0.25">
      <c r="A6521" s="430"/>
      <c r="B6521" s="386"/>
      <c r="C6521" s="386"/>
      <c r="D6521" s="699"/>
      <c r="E6521" s="385"/>
      <c r="F6521" s="432"/>
      <c r="G6521" s="401"/>
      <c r="H6521" s="401">
        <v>3</v>
      </c>
      <c r="I6521" s="401"/>
      <c r="J6521" s="401"/>
      <c r="K6521" s="401"/>
      <c r="L6521" s="672"/>
      <c r="M6521" s="673">
        <v>32703</v>
      </c>
      <c r="N6521" s="624">
        <v>1.32098805</v>
      </c>
      <c r="O6521" s="625">
        <v>3.3319933359999996E-3</v>
      </c>
      <c r="P6521" s="390">
        <v>0.3</v>
      </c>
      <c r="Q6521" s="390">
        <v>0.42</v>
      </c>
      <c r="R6521" s="390">
        <v>0.54</v>
      </c>
      <c r="S6521" s="390">
        <v>1.29</v>
      </c>
      <c r="T6521" s="388">
        <v>2.5499999999999998</v>
      </c>
      <c r="U6521" s="388"/>
      <c r="V6521" s="391"/>
      <c r="W6521" s="391"/>
      <c r="X6521" s="391"/>
      <c r="Y6521" s="792"/>
      <c r="Z6521" s="388">
        <v>5</v>
      </c>
      <c r="AA6521" s="391">
        <v>0.54</v>
      </c>
      <c r="AC6521" s="388"/>
      <c r="AD6521" s="388">
        <v>7.7724000000000002</v>
      </c>
      <c r="AE6521" s="388">
        <v>0.29260799999999998</v>
      </c>
      <c r="AF6521" s="388">
        <v>2.263973</v>
      </c>
      <c r="AG6521" s="391">
        <v>0.58216800000000002</v>
      </c>
      <c r="AH6521" s="397"/>
      <c r="AQ6521" s="397"/>
      <c r="AR6521" s="397"/>
      <c r="AS6521" s="397"/>
      <c r="AT6521" s="397"/>
      <c r="BE6521" s="397"/>
      <c r="BF6521" s="397"/>
      <c r="BG6521" s="397"/>
      <c r="BH6521" s="397"/>
      <c r="BI6521" s="397"/>
      <c r="BJ6521" s="397"/>
      <c r="BK6521" s="397"/>
      <c r="BL6521" s="397"/>
      <c r="BM6521" s="398"/>
      <c r="BN6521" s="398"/>
      <c r="BO6521" s="398"/>
      <c r="BP6521" s="398"/>
      <c r="BQ6521" s="398"/>
      <c r="BR6521" s="398"/>
      <c r="BS6521" s="397"/>
      <c r="BT6521" s="397"/>
      <c r="BU6521" s="397"/>
      <c r="BV6521" s="397"/>
      <c r="BW6521" s="397"/>
      <c r="BX6521" s="397"/>
      <c r="BY6521" s="397"/>
      <c r="CA6521" s="392" t="s">
        <v>408</v>
      </c>
    </row>
    <row r="6522" spans="1:79" s="189" customFormat="1" ht="15.75" thickBot="1" x14ac:dyDescent="0.3">
      <c r="A6522" s="24" t="s">
        <v>426</v>
      </c>
      <c r="B6522" s="14" t="s">
        <v>34</v>
      </c>
      <c r="C6522" s="14"/>
      <c r="D6522" s="4" t="e">
        <f>VLOOKUP(E6522,'Quality Code'!D57:E77,2,TRUE)*VLOOKUP(MROUND(F6522,10),'Quality Code'!D81:E122,2,TRUE)*VLOOKUP(COUNTA(CB6522:CB6532),'Quality Code'!D126:E146,2,TRUE)</f>
        <v>#N/A</v>
      </c>
      <c r="E6522" s="14">
        <v>0.6</v>
      </c>
      <c r="F6522" s="18">
        <v>37</v>
      </c>
      <c r="G6522" s="2">
        <v>76.526173084316383</v>
      </c>
      <c r="H6522" s="2" t="s">
        <v>105</v>
      </c>
      <c r="I6522" s="2"/>
      <c r="J6522" s="2"/>
      <c r="K6522" s="2"/>
      <c r="L6522" s="640"/>
      <c r="M6522" s="640">
        <v>1989</v>
      </c>
      <c r="N6522" s="578" t="s">
        <v>110</v>
      </c>
      <c r="O6522" s="622"/>
      <c r="P6522" s="376" t="s">
        <v>402</v>
      </c>
      <c r="Q6522" s="376" t="s">
        <v>403</v>
      </c>
      <c r="R6522" s="376" t="s">
        <v>404</v>
      </c>
      <c r="S6522" s="376" t="s">
        <v>405</v>
      </c>
      <c r="T6522" s="376" t="s">
        <v>406</v>
      </c>
      <c r="U6522" s="141" t="s">
        <v>20</v>
      </c>
      <c r="V6522" s="2"/>
      <c r="W6522" s="2"/>
      <c r="X6522" s="2"/>
      <c r="Y6522" s="2"/>
      <c r="Z6522" s="26"/>
      <c r="AA6522" s="26"/>
      <c r="AB6522" s="377"/>
      <c r="AC6522" s="26">
        <v>1.2800000000000001E-2</v>
      </c>
      <c r="AD6522" s="26"/>
      <c r="AE6522" s="26"/>
      <c r="AF6522" s="26"/>
      <c r="AG6522" s="26"/>
      <c r="AH6522" s="4"/>
      <c r="AI6522" s="376"/>
      <c r="AJ6522" s="376"/>
      <c r="AK6522" s="376"/>
      <c r="AL6522" s="376"/>
      <c r="AM6522" s="376"/>
      <c r="AN6522" s="376"/>
      <c r="AO6522" s="376"/>
      <c r="AP6522" s="376"/>
      <c r="AQ6522" s="378"/>
      <c r="AR6522" s="378"/>
      <c r="AS6522" s="378"/>
      <c r="AT6522" s="378"/>
      <c r="AU6522" s="379"/>
      <c r="AV6522" s="379"/>
      <c r="AW6522" s="379"/>
      <c r="AX6522" s="379"/>
      <c r="AY6522" s="379"/>
      <c r="AZ6522" s="380"/>
      <c r="BA6522" s="380"/>
      <c r="BB6522" s="380"/>
      <c r="BC6522" s="380"/>
      <c r="BD6522" s="380"/>
      <c r="BE6522" s="4"/>
      <c r="BF6522" s="4"/>
      <c r="BG6522" s="4"/>
      <c r="BH6522" s="4"/>
      <c r="BI6522" s="12"/>
      <c r="BJ6522" s="2"/>
      <c r="BK6522" s="2"/>
      <c r="BL6522" s="4"/>
      <c r="BM6522" s="12">
        <v>9.5217713033763314</v>
      </c>
      <c r="BN6522" s="12">
        <v>14.325600000000001</v>
      </c>
      <c r="BO6522" s="12">
        <v>0.47535829787234041</v>
      </c>
      <c r="BP6522" s="4">
        <v>6.8097928320000003</v>
      </c>
      <c r="BQ6522" s="4">
        <v>30.136425648021831</v>
      </c>
      <c r="BR6522" s="4"/>
      <c r="BS6522" s="2"/>
      <c r="BT6522" s="9"/>
      <c r="BU6522" s="381"/>
      <c r="BV6522" s="382"/>
      <c r="BW6522" s="383"/>
      <c r="BX6522" s="383"/>
      <c r="BY6522" s="383"/>
      <c r="BZ6522" s="384"/>
      <c r="CA6522" s="411" t="s">
        <v>408</v>
      </c>
    </row>
    <row r="6523" spans="1:79" s="392" customFormat="1" ht="15" x14ac:dyDescent="0.25">
      <c r="A6523" s="430"/>
      <c r="B6523" s="386"/>
      <c r="C6523" s="386"/>
      <c r="D6523" s="434"/>
      <c r="E6523" s="385"/>
      <c r="F6523" s="432"/>
      <c r="G6523" s="401"/>
      <c r="H6523" s="401">
        <v>3</v>
      </c>
      <c r="I6523" s="401"/>
      <c r="J6523" s="401"/>
      <c r="K6523" s="401"/>
      <c r="L6523" s="672"/>
      <c r="M6523" s="673">
        <v>32620</v>
      </c>
      <c r="N6523" s="624">
        <v>1.7188418999999999</v>
      </c>
      <c r="O6523" s="625">
        <v>9.5929808140000005E-4</v>
      </c>
      <c r="P6523" s="390">
        <v>0.68</v>
      </c>
      <c r="Q6523" s="390">
        <v>1.4432766112190527</v>
      </c>
      <c r="R6523" s="390">
        <v>2.1042896964014326</v>
      </c>
      <c r="S6523" s="390">
        <v>3.7162992221549298</v>
      </c>
      <c r="T6523" s="388">
        <v>5.0673325301831431</v>
      </c>
      <c r="U6523" s="388"/>
      <c r="V6523" s="391"/>
      <c r="W6523" s="391"/>
      <c r="X6523" s="391"/>
      <c r="Y6523" s="792"/>
      <c r="Z6523" s="388">
        <v>6</v>
      </c>
      <c r="AA6523" s="391">
        <v>2.1042896964014326</v>
      </c>
      <c r="AC6523" s="388"/>
      <c r="AD6523" s="388">
        <v>9.6926400000000008</v>
      </c>
      <c r="AE6523" s="388">
        <v>0.20299680000000003</v>
      </c>
      <c r="AF6523" s="388">
        <v>1.9694799999999999</v>
      </c>
      <c r="AG6523" s="391">
        <v>0.87477600000000011</v>
      </c>
      <c r="AH6523" s="393"/>
      <c r="AI6523" s="394"/>
      <c r="AJ6523" s="394"/>
      <c r="AK6523" s="394"/>
      <c r="AL6523" s="394"/>
      <c r="AM6523" s="394"/>
      <c r="AN6523" s="394"/>
      <c r="AO6523" s="394"/>
      <c r="AP6523" s="395"/>
      <c r="AQ6523" s="396"/>
      <c r="AR6523" s="396"/>
      <c r="AS6523" s="396"/>
      <c r="AT6523" s="396"/>
      <c r="AU6523" s="394"/>
      <c r="AV6523" s="394"/>
      <c r="AW6523" s="394"/>
      <c r="AX6523" s="394"/>
      <c r="AY6523" s="394"/>
      <c r="AZ6523" s="394"/>
      <c r="BA6523" s="394"/>
      <c r="BB6523" s="394"/>
      <c r="BC6523" s="394"/>
      <c r="BD6523" s="395"/>
      <c r="BE6523" s="397"/>
      <c r="BF6523" s="397"/>
      <c r="BG6523" s="397"/>
      <c r="BH6523" s="397"/>
      <c r="BI6523" s="397"/>
      <c r="BJ6523" s="397"/>
      <c r="BK6523" s="397"/>
      <c r="BL6523" s="397"/>
      <c r="BM6523" s="398"/>
      <c r="BN6523" s="398"/>
      <c r="BO6523" s="398"/>
      <c r="BP6523" s="398"/>
      <c r="BQ6523" s="398"/>
      <c r="BR6523" s="398"/>
      <c r="BS6523" s="397"/>
      <c r="BT6523" s="397"/>
      <c r="BU6523" s="397"/>
      <c r="BV6523" s="397"/>
      <c r="BW6523" s="397"/>
      <c r="BX6523" s="397"/>
      <c r="BY6523" s="397"/>
      <c r="CA6523" s="392" t="s">
        <v>408</v>
      </c>
    </row>
    <row r="6524" spans="1:79" s="392" customFormat="1" ht="15" x14ac:dyDescent="0.25">
      <c r="A6524" s="430"/>
      <c r="B6524" s="386"/>
      <c r="C6524" s="386"/>
      <c r="D6524" s="434"/>
      <c r="E6524" s="385"/>
      <c r="F6524" s="432"/>
      <c r="G6524" s="401"/>
      <c r="H6524" s="401">
        <v>3</v>
      </c>
      <c r="I6524" s="401"/>
      <c r="J6524" s="401"/>
      <c r="K6524" s="401"/>
      <c r="L6524" s="672"/>
      <c r="M6524" s="673">
        <v>32621</v>
      </c>
      <c r="N6524" s="624">
        <v>1.7188418999999999</v>
      </c>
      <c r="O6524" s="625">
        <v>2.7029945939999997E-4</v>
      </c>
      <c r="P6524" s="390">
        <v>3.1656461439954118</v>
      </c>
      <c r="Q6524" s="390">
        <v>7.7888320627656746</v>
      </c>
      <c r="R6524" s="390">
        <v>12.145712970145492</v>
      </c>
      <c r="S6524" s="390">
        <v>14.649302685959203</v>
      </c>
      <c r="T6524" s="388">
        <v>15.565041600292041</v>
      </c>
      <c r="U6524" s="388"/>
      <c r="V6524" s="391"/>
      <c r="W6524" s="391"/>
      <c r="X6524" s="391"/>
      <c r="Y6524" s="792"/>
      <c r="Z6524" s="388">
        <v>12</v>
      </c>
      <c r="AA6524" s="391">
        <v>12.145712970145492</v>
      </c>
      <c r="AC6524" s="388"/>
      <c r="AD6524" s="388">
        <v>9.6926400000000008</v>
      </c>
      <c r="AE6524" s="388">
        <v>0.18745200000000001</v>
      </c>
      <c r="AF6524" s="388">
        <v>1.82084</v>
      </c>
      <c r="AG6524" s="391">
        <v>0.94488000000000005</v>
      </c>
      <c r="AH6524" s="385"/>
      <c r="AI6524" s="385"/>
      <c r="AJ6524" s="385"/>
      <c r="AK6524" s="385"/>
      <c r="AL6524" s="385"/>
      <c r="AM6524" s="385"/>
      <c r="AN6524" s="385"/>
      <c r="AO6524" s="385"/>
      <c r="AP6524" s="385"/>
      <c r="AQ6524" s="385"/>
      <c r="AR6524" s="385"/>
      <c r="AS6524" s="385"/>
      <c r="AT6524" s="385"/>
      <c r="AU6524" s="385"/>
      <c r="AV6524" s="385"/>
      <c r="AW6524" s="385"/>
      <c r="AX6524" s="385"/>
      <c r="AY6524" s="385"/>
      <c r="AZ6524" s="385"/>
      <c r="BA6524" s="385"/>
      <c r="BB6524" s="385"/>
      <c r="BC6524" s="385"/>
      <c r="BD6524" s="385"/>
      <c r="BE6524" s="397"/>
      <c r="BF6524" s="397"/>
      <c r="BG6524" s="397"/>
      <c r="BH6524" s="397"/>
      <c r="BI6524" s="397"/>
      <c r="BJ6524" s="397"/>
      <c r="BK6524" s="397"/>
      <c r="BL6524" s="397"/>
      <c r="BM6524" s="398"/>
      <c r="BN6524" s="398"/>
      <c r="BO6524" s="398"/>
      <c r="BP6524" s="398"/>
      <c r="BQ6524" s="398"/>
      <c r="BR6524" s="398"/>
      <c r="BS6524" s="397"/>
      <c r="BT6524" s="397"/>
      <c r="BU6524" s="397"/>
      <c r="BV6524" s="397"/>
      <c r="BW6524" s="397"/>
      <c r="BX6524" s="397"/>
      <c r="BY6524" s="397"/>
      <c r="CA6524" s="392" t="s">
        <v>408</v>
      </c>
    </row>
    <row r="6525" spans="1:79" s="392" customFormat="1" ht="15" x14ac:dyDescent="0.25">
      <c r="A6525" s="430"/>
      <c r="B6525" s="386"/>
      <c r="C6525" s="386"/>
      <c r="D6525" s="434"/>
      <c r="E6525" s="385"/>
      <c r="F6525" s="432"/>
      <c r="G6525" s="401"/>
      <c r="H6525" s="401">
        <v>3</v>
      </c>
      <c r="I6525" s="401"/>
      <c r="J6525" s="401"/>
      <c r="K6525" s="401"/>
      <c r="L6525" s="672"/>
      <c r="M6525" s="673">
        <v>32623</v>
      </c>
      <c r="N6525" s="624">
        <v>1.8745854</v>
      </c>
      <c r="O6525" s="625">
        <v>5.7666551333333337E-6</v>
      </c>
      <c r="P6525" s="390" t="e">
        <v>#N/A</v>
      </c>
      <c r="Q6525" s="390" t="e">
        <v>#N/A</v>
      </c>
      <c r="R6525" s="390" t="e">
        <v>#N/A</v>
      </c>
      <c r="S6525" s="390" t="e">
        <v>#N/A</v>
      </c>
      <c r="T6525" s="388" t="e">
        <v>#N/A</v>
      </c>
      <c r="U6525" s="388"/>
      <c r="V6525" s="391"/>
      <c r="W6525" s="391"/>
      <c r="X6525" s="391"/>
      <c r="Y6525" s="792"/>
      <c r="Z6525" s="388" t="e">
        <v>#N/A</v>
      </c>
      <c r="AA6525" s="391" t="e">
        <v>#N/A</v>
      </c>
      <c r="AC6525" s="388"/>
      <c r="AD6525" s="388">
        <v>10.546080000000002</v>
      </c>
      <c r="AE6525" s="388">
        <v>0.19354800000000003</v>
      </c>
      <c r="AF6525" s="388">
        <v>2.0438000000000001</v>
      </c>
      <c r="AG6525" s="391">
        <v>0.91744799999999993</v>
      </c>
      <c r="AH6525" s="385"/>
      <c r="AI6525" s="385"/>
      <c r="AJ6525" s="385"/>
      <c r="AK6525" s="385"/>
      <c r="AL6525" s="385"/>
      <c r="AM6525" s="385"/>
      <c r="AN6525" s="385"/>
      <c r="AO6525" s="385"/>
      <c r="AP6525" s="385"/>
      <c r="AQ6525" s="385"/>
      <c r="AR6525" s="385"/>
      <c r="AS6525" s="385"/>
      <c r="AT6525" s="385"/>
      <c r="AU6525" s="385"/>
      <c r="AV6525" s="385"/>
      <c r="AW6525" s="385"/>
      <c r="AX6525" s="385"/>
      <c r="AY6525" s="385"/>
      <c r="AZ6525" s="385"/>
      <c r="BA6525" s="385"/>
      <c r="BB6525" s="385"/>
      <c r="BC6525" s="385"/>
      <c r="BD6525" s="385"/>
      <c r="BE6525" s="397"/>
      <c r="BF6525" s="397"/>
      <c r="BG6525" s="397"/>
      <c r="BH6525" s="397"/>
      <c r="BI6525" s="397"/>
      <c r="BJ6525" s="397"/>
      <c r="BK6525" s="397"/>
      <c r="BL6525" s="397"/>
      <c r="BM6525" s="398"/>
      <c r="BN6525" s="398"/>
      <c r="BO6525" s="398"/>
      <c r="BP6525" s="398"/>
      <c r="BQ6525" s="398"/>
      <c r="BR6525" s="398"/>
      <c r="BS6525" s="397"/>
      <c r="BT6525" s="397"/>
      <c r="BU6525" s="397"/>
      <c r="BV6525" s="397"/>
      <c r="BW6525" s="397"/>
      <c r="BX6525" s="397"/>
      <c r="BY6525" s="397"/>
      <c r="CA6525" s="392" t="s">
        <v>408</v>
      </c>
    </row>
    <row r="6526" spans="1:79" s="392" customFormat="1" ht="15" x14ac:dyDescent="0.25">
      <c r="A6526" s="430"/>
      <c r="B6526" s="386"/>
      <c r="C6526" s="386"/>
      <c r="D6526" s="434"/>
      <c r="E6526" s="385"/>
      <c r="F6526" s="432"/>
      <c r="G6526" s="401"/>
      <c r="H6526" s="401">
        <v>3</v>
      </c>
      <c r="I6526" s="401"/>
      <c r="J6526" s="401"/>
      <c r="K6526" s="401"/>
      <c r="L6526" s="672"/>
      <c r="M6526" s="673">
        <v>32624</v>
      </c>
      <c r="N6526" s="624">
        <v>1.5942470999999998</v>
      </c>
      <c r="O6526" s="625">
        <v>5.8166550333333333E-6</v>
      </c>
      <c r="P6526" s="390" t="e">
        <v>#N/A</v>
      </c>
      <c r="Q6526" s="390" t="e">
        <v>#N/A</v>
      </c>
      <c r="R6526" s="390" t="e">
        <v>#N/A</v>
      </c>
      <c r="S6526" s="390" t="e">
        <v>#N/A</v>
      </c>
      <c r="T6526" s="388" t="e">
        <v>#N/A</v>
      </c>
      <c r="U6526" s="388"/>
      <c r="V6526" s="391"/>
      <c r="W6526" s="391"/>
      <c r="X6526" s="391"/>
      <c r="Y6526" s="792"/>
      <c r="Z6526" s="388" t="e">
        <v>#N/A</v>
      </c>
      <c r="AA6526" s="391" t="e">
        <v>#N/A</v>
      </c>
      <c r="AC6526" s="388"/>
      <c r="AD6526" s="388">
        <v>10.63752</v>
      </c>
      <c r="AE6526" s="388">
        <v>0.21214079999999999</v>
      </c>
      <c r="AF6526" s="388">
        <v>2.2574700000000001</v>
      </c>
      <c r="AG6526" s="391">
        <v>0.70713599999999999</v>
      </c>
      <c r="AH6526" s="385"/>
      <c r="AI6526" s="385"/>
      <c r="AJ6526" s="385"/>
      <c r="AK6526" s="385"/>
      <c r="AL6526" s="385"/>
      <c r="AM6526" s="385"/>
      <c r="AN6526" s="385"/>
      <c r="AO6526" s="385"/>
      <c r="AP6526" s="385"/>
      <c r="AQ6526" s="385"/>
      <c r="AR6526" s="385"/>
      <c r="AS6526" s="385"/>
      <c r="AT6526" s="385"/>
      <c r="AU6526" s="385"/>
      <c r="AV6526" s="385"/>
      <c r="AW6526" s="385"/>
      <c r="AX6526" s="385"/>
      <c r="AY6526" s="385"/>
      <c r="AZ6526" s="385"/>
      <c r="BA6526" s="385"/>
      <c r="BB6526" s="385"/>
      <c r="BC6526" s="385"/>
      <c r="BD6526" s="385"/>
      <c r="BE6526" s="397"/>
      <c r="BF6526" s="397"/>
      <c r="BG6526" s="397"/>
      <c r="BH6526" s="397"/>
      <c r="BI6526" s="397"/>
      <c r="BJ6526" s="397"/>
      <c r="BK6526" s="397"/>
      <c r="BL6526" s="397"/>
      <c r="BM6526" s="398"/>
      <c r="BN6526" s="398"/>
      <c r="BO6526" s="398"/>
      <c r="BP6526" s="398"/>
      <c r="BQ6526" s="398"/>
      <c r="BR6526" s="398"/>
      <c r="BS6526" s="397"/>
      <c r="BT6526" s="397"/>
      <c r="BU6526" s="397"/>
      <c r="BV6526" s="397"/>
      <c r="BW6526" s="397"/>
      <c r="BX6526" s="397"/>
      <c r="BY6526" s="397"/>
      <c r="CA6526" s="392" t="s">
        <v>408</v>
      </c>
    </row>
    <row r="6527" spans="1:79" s="392" customFormat="1" ht="15" x14ac:dyDescent="0.25">
      <c r="A6527" s="430"/>
      <c r="B6527" s="386"/>
      <c r="C6527" s="386"/>
      <c r="D6527" s="434"/>
      <c r="E6527" s="385"/>
      <c r="F6527" s="432"/>
      <c r="G6527" s="401"/>
      <c r="H6527" s="401">
        <v>3</v>
      </c>
      <c r="I6527" s="401"/>
      <c r="J6527" s="401"/>
      <c r="K6527" s="401"/>
      <c r="L6527" s="672"/>
      <c r="M6527" s="673">
        <v>32629</v>
      </c>
      <c r="N6527" s="624">
        <v>1.0986995999999998</v>
      </c>
      <c r="O6527" s="625">
        <v>4.9833233666666654E-6</v>
      </c>
      <c r="P6527" s="390" t="e">
        <v>#N/A</v>
      </c>
      <c r="Q6527" s="390" t="e">
        <v>#N/A</v>
      </c>
      <c r="R6527" s="390" t="e">
        <v>#N/A</v>
      </c>
      <c r="S6527" s="390" t="e">
        <v>#N/A</v>
      </c>
      <c r="T6527" s="388" t="e">
        <v>#N/A</v>
      </c>
      <c r="U6527" s="388"/>
      <c r="V6527" s="391"/>
      <c r="W6527" s="391"/>
      <c r="X6527" s="391"/>
      <c r="Y6527" s="792"/>
      <c r="Z6527" s="388" t="e">
        <v>#N/A</v>
      </c>
      <c r="AA6527" s="391" t="e">
        <v>#N/A</v>
      </c>
      <c r="AC6527" s="388"/>
      <c r="AD6527" s="388">
        <v>9.1135199999999994</v>
      </c>
      <c r="AE6527" s="388">
        <v>0.17343119999999998</v>
      </c>
      <c r="AF6527" s="388">
        <v>1.5792999999999999</v>
      </c>
      <c r="AG6527" s="391">
        <v>0.69494400000000001</v>
      </c>
      <c r="AH6527" s="385"/>
      <c r="AI6527" s="385"/>
      <c r="AJ6527" s="385"/>
      <c r="AK6527" s="385"/>
      <c r="AL6527" s="385"/>
      <c r="AM6527" s="385"/>
      <c r="AN6527" s="385"/>
      <c r="AO6527" s="385"/>
      <c r="AP6527" s="385"/>
      <c r="AQ6527" s="385"/>
      <c r="AR6527" s="385"/>
      <c r="AS6527" s="385"/>
      <c r="AT6527" s="385"/>
      <c r="AU6527" s="385"/>
      <c r="AV6527" s="385"/>
      <c r="AW6527" s="385"/>
      <c r="AX6527" s="385"/>
      <c r="AY6527" s="385"/>
      <c r="AZ6527" s="385"/>
      <c r="BA6527" s="385"/>
      <c r="BB6527" s="385"/>
      <c r="BC6527" s="385"/>
      <c r="BD6527" s="385"/>
      <c r="BE6527" s="397"/>
      <c r="BF6527" s="397"/>
      <c r="BG6527" s="397"/>
      <c r="BH6527" s="397"/>
      <c r="BI6527" s="397"/>
      <c r="BJ6527" s="397"/>
      <c r="BK6527" s="397"/>
      <c r="BL6527" s="397"/>
      <c r="BM6527" s="398"/>
      <c r="BN6527" s="398"/>
      <c r="BO6527" s="398"/>
      <c r="BP6527" s="398"/>
      <c r="BQ6527" s="398"/>
      <c r="BR6527" s="398"/>
      <c r="BS6527" s="397"/>
      <c r="BT6527" s="397"/>
      <c r="BU6527" s="397"/>
      <c r="BV6527" s="397"/>
      <c r="BW6527" s="397"/>
      <c r="BX6527" s="397"/>
      <c r="BY6527" s="397"/>
      <c r="CA6527" s="392" t="s">
        <v>408</v>
      </c>
    </row>
    <row r="6528" spans="1:79" s="392" customFormat="1" ht="15" x14ac:dyDescent="0.25">
      <c r="A6528" s="430"/>
      <c r="B6528" s="386"/>
      <c r="C6528" s="386"/>
      <c r="D6528" s="434"/>
      <c r="E6528" s="385"/>
      <c r="F6528" s="432"/>
      <c r="G6528" s="401"/>
      <c r="H6528" s="401">
        <v>3</v>
      </c>
      <c r="I6528" s="401"/>
      <c r="J6528" s="401"/>
      <c r="K6528" s="401"/>
      <c r="L6528" s="672"/>
      <c r="M6528" s="673">
        <v>32630</v>
      </c>
      <c r="N6528" s="624">
        <v>1.0250754</v>
      </c>
      <c r="O6528" s="625">
        <v>4.8999901999999989E-6</v>
      </c>
      <c r="P6528" s="390" t="e">
        <v>#N/A</v>
      </c>
      <c r="Q6528" s="390" t="e">
        <v>#N/A</v>
      </c>
      <c r="R6528" s="390" t="e">
        <v>#N/A</v>
      </c>
      <c r="S6528" s="390" t="e">
        <v>#N/A</v>
      </c>
      <c r="T6528" s="388" t="e">
        <v>#N/A</v>
      </c>
      <c r="U6528" s="388"/>
      <c r="V6528" s="391"/>
      <c r="W6528" s="391"/>
      <c r="X6528" s="391"/>
      <c r="Y6528" s="792"/>
      <c r="Z6528" s="388" t="e">
        <v>#N/A</v>
      </c>
      <c r="AA6528" s="391" t="e">
        <v>#N/A</v>
      </c>
      <c r="AC6528" s="388"/>
      <c r="AD6528" s="388">
        <v>8.9611199999999993</v>
      </c>
      <c r="AE6528" s="388">
        <v>0.17465039999999998</v>
      </c>
      <c r="AF6528" s="388">
        <v>1.5700099999999999</v>
      </c>
      <c r="AG6528" s="391">
        <v>0.65836800000000006</v>
      </c>
      <c r="AH6528" s="386"/>
      <c r="AI6528" s="385"/>
      <c r="AJ6528" s="385"/>
      <c r="AK6528" s="385"/>
      <c r="AL6528" s="385"/>
      <c r="AM6528" s="385"/>
      <c r="AN6528" s="385"/>
      <c r="AO6528" s="385"/>
      <c r="AP6528" s="385"/>
      <c r="AQ6528" s="386"/>
      <c r="AR6528" s="386"/>
      <c r="AS6528" s="386"/>
      <c r="AT6528" s="386"/>
      <c r="AU6528" s="385"/>
      <c r="AV6528" s="385"/>
      <c r="AW6528" s="385"/>
      <c r="AX6528" s="385"/>
      <c r="AY6528" s="385"/>
      <c r="AZ6528" s="385"/>
      <c r="BA6528" s="385"/>
      <c r="BB6528" s="385"/>
      <c r="BC6528" s="385"/>
      <c r="BD6528" s="385"/>
      <c r="BE6528" s="397"/>
      <c r="BF6528" s="397"/>
      <c r="BG6528" s="397"/>
      <c r="BH6528" s="397"/>
      <c r="BI6528" s="397"/>
      <c r="BJ6528" s="397"/>
      <c r="BK6528" s="397"/>
      <c r="BL6528" s="397"/>
      <c r="BM6528" s="398"/>
      <c r="BN6528" s="398"/>
      <c r="BO6528" s="398"/>
      <c r="BP6528" s="398"/>
      <c r="BQ6528" s="398"/>
      <c r="BR6528" s="398"/>
      <c r="BS6528" s="397"/>
      <c r="BT6528" s="397"/>
      <c r="BU6528" s="397"/>
      <c r="BV6528" s="397"/>
      <c r="BW6528" s="397"/>
      <c r="BX6528" s="397"/>
      <c r="BY6528" s="397"/>
      <c r="CA6528" s="392" t="s">
        <v>408</v>
      </c>
    </row>
    <row r="6529" spans="1:79" s="392" customFormat="1" ht="15" x14ac:dyDescent="0.25">
      <c r="A6529" s="430"/>
      <c r="B6529" s="386"/>
      <c r="C6529" s="386"/>
      <c r="D6529" s="434"/>
      <c r="E6529" s="385"/>
      <c r="F6529" s="432"/>
      <c r="G6529" s="401"/>
      <c r="H6529" s="401">
        <v>3</v>
      </c>
      <c r="I6529" s="401"/>
      <c r="J6529" s="401"/>
      <c r="K6529" s="401"/>
      <c r="L6529" s="672"/>
      <c r="M6529" s="673">
        <v>32632</v>
      </c>
      <c r="N6529" s="624">
        <v>0.91463909999999982</v>
      </c>
      <c r="O6529" s="625">
        <v>4.7999903999999997E-6</v>
      </c>
      <c r="P6529" s="390" t="e">
        <v>#N/A</v>
      </c>
      <c r="Q6529" s="390" t="e">
        <v>#N/A</v>
      </c>
      <c r="R6529" s="390" t="e">
        <v>#N/A</v>
      </c>
      <c r="S6529" s="390" t="e">
        <v>#N/A</v>
      </c>
      <c r="T6529" s="388" t="e">
        <v>#N/A</v>
      </c>
      <c r="U6529" s="388"/>
      <c r="V6529" s="391"/>
      <c r="W6529" s="391"/>
      <c r="X6529" s="391"/>
      <c r="Y6529" s="792"/>
      <c r="Z6529" s="388" t="e">
        <v>#N/A</v>
      </c>
      <c r="AA6529" s="391" t="e">
        <v>#N/A</v>
      </c>
      <c r="AC6529" s="388"/>
      <c r="AD6529" s="388">
        <v>8.7782400000000003</v>
      </c>
      <c r="AE6529" s="388">
        <v>0.1810512</v>
      </c>
      <c r="AF6529" s="388">
        <v>1.5885900000000002</v>
      </c>
      <c r="AG6529" s="391">
        <v>0.57607200000000003</v>
      </c>
      <c r="AH6529" s="397"/>
      <c r="AQ6529" s="397"/>
      <c r="AR6529" s="397"/>
      <c r="AS6529" s="397"/>
      <c r="AT6529" s="397"/>
      <c r="BE6529" s="397"/>
      <c r="BF6529" s="397"/>
      <c r="BG6529" s="397"/>
      <c r="BH6529" s="397"/>
      <c r="BI6529" s="397"/>
      <c r="BJ6529" s="397"/>
      <c r="BK6529" s="397"/>
      <c r="BL6529" s="397"/>
      <c r="BM6529" s="398"/>
      <c r="BN6529" s="398"/>
      <c r="BO6529" s="398"/>
      <c r="BP6529" s="398"/>
      <c r="BQ6529" s="398"/>
      <c r="BR6529" s="398"/>
      <c r="BS6529" s="397"/>
      <c r="BT6529" s="397"/>
      <c r="BU6529" s="397"/>
      <c r="BV6529" s="397"/>
      <c r="BW6529" s="397"/>
      <c r="BX6529" s="397"/>
      <c r="BY6529" s="397"/>
      <c r="CA6529" s="392" t="s">
        <v>408</v>
      </c>
    </row>
    <row r="6530" spans="1:79" s="392" customFormat="1" ht="15" x14ac:dyDescent="0.25">
      <c r="A6530" s="430"/>
      <c r="B6530" s="386"/>
      <c r="C6530" s="386"/>
      <c r="D6530" s="434"/>
      <c r="E6530" s="385"/>
      <c r="F6530" s="432"/>
      <c r="G6530" s="401"/>
      <c r="H6530" s="401">
        <v>3</v>
      </c>
      <c r="I6530" s="401"/>
      <c r="J6530" s="401"/>
      <c r="K6530" s="401"/>
      <c r="L6530" s="672"/>
      <c r="M6530" s="673">
        <v>32633</v>
      </c>
      <c r="N6530" s="624">
        <v>0.76172729999999989</v>
      </c>
      <c r="O6530" s="625">
        <v>4.8333236666666666E-6</v>
      </c>
      <c r="P6530" s="390" t="e">
        <v>#N/A</v>
      </c>
      <c r="Q6530" s="390" t="e">
        <v>#N/A</v>
      </c>
      <c r="R6530" s="390" t="e">
        <v>#N/A</v>
      </c>
      <c r="S6530" s="390" t="e">
        <v>#N/A</v>
      </c>
      <c r="T6530" s="388" t="e">
        <v>#N/A</v>
      </c>
      <c r="U6530" s="388"/>
      <c r="V6530" s="391"/>
      <c r="W6530" s="391"/>
      <c r="X6530" s="391"/>
      <c r="Y6530" s="792"/>
      <c r="Z6530" s="388" t="e">
        <v>#N/A</v>
      </c>
      <c r="AA6530" s="391" t="e">
        <v>#N/A</v>
      </c>
      <c r="AC6530" s="388"/>
      <c r="AD6530" s="388">
        <v>8.8391999999999999</v>
      </c>
      <c r="AE6530" s="388">
        <v>0.15057120000000002</v>
      </c>
      <c r="AF6530" s="388">
        <v>1.32847</v>
      </c>
      <c r="AG6530" s="391">
        <v>0.57302399999999998</v>
      </c>
      <c r="AH6530" s="397"/>
      <c r="AQ6530" s="397"/>
      <c r="AR6530" s="397"/>
      <c r="AS6530" s="397"/>
      <c r="AT6530" s="397"/>
      <c r="BE6530" s="397"/>
      <c r="BF6530" s="397"/>
      <c r="BG6530" s="397"/>
      <c r="BH6530" s="397"/>
      <c r="BI6530" s="397"/>
      <c r="BJ6530" s="397"/>
      <c r="BK6530" s="397"/>
      <c r="BL6530" s="397"/>
      <c r="BM6530" s="398"/>
      <c r="BN6530" s="398"/>
      <c r="BO6530" s="398"/>
      <c r="BP6530" s="398"/>
      <c r="BQ6530" s="398"/>
      <c r="BR6530" s="398"/>
      <c r="BS6530" s="397"/>
      <c r="BT6530" s="397"/>
      <c r="BU6530" s="397"/>
      <c r="BV6530" s="397"/>
      <c r="BW6530" s="397"/>
      <c r="BX6530" s="397"/>
      <c r="BY6530" s="397"/>
      <c r="CA6530" s="392" t="s">
        <v>408</v>
      </c>
    </row>
    <row r="6531" spans="1:79" s="392" customFormat="1" ht="15" x14ac:dyDescent="0.25">
      <c r="A6531" s="430"/>
      <c r="B6531" s="386"/>
      <c r="C6531" s="386"/>
      <c r="D6531" s="434"/>
      <c r="E6531" s="385"/>
      <c r="F6531" s="432"/>
      <c r="G6531" s="401"/>
      <c r="H6531" s="401">
        <v>3</v>
      </c>
      <c r="I6531" s="401"/>
      <c r="J6531" s="401"/>
      <c r="K6531" s="401"/>
      <c r="L6531" s="672"/>
      <c r="M6531" s="673">
        <v>32634</v>
      </c>
      <c r="N6531" s="624">
        <v>0.95145119999999994</v>
      </c>
      <c r="O6531" s="625">
        <v>4.8666569333333327E-6</v>
      </c>
      <c r="P6531" s="390" t="e">
        <v>#N/A</v>
      </c>
      <c r="Q6531" s="390" t="e">
        <v>#N/A</v>
      </c>
      <c r="R6531" s="390" t="e">
        <v>#N/A</v>
      </c>
      <c r="S6531" s="390" t="e">
        <v>#N/A</v>
      </c>
      <c r="T6531" s="388" t="e">
        <v>#N/A</v>
      </c>
      <c r="U6531" s="388"/>
      <c r="V6531" s="391"/>
      <c r="W6531" s="391"/>
      <c r="X6531" s="391"/>
      <c r="Y6531" s="792"/>
      <c r="Z6531" s="388" t="e">
        <v>#N/A</v>
      </c>
      <c r="AA6531" s="391" t="e">
        <v>#N/A</v>
      </c>
      <c r="AC6531" s="388"/>
      <c r="AD6531" s="388">
        <v>8.9001599999999996</v>
      </c>
      <c r="AE6531" s="388">
        <v>0.17038320000000001</v>
      </c>
      <c r="AF6531" s="388">
        <v>1.51427</v>
      </c>
      <c r="AG6531" s="391">
        <v>0.627888</v>
      </c>
      <c r="AH6531" s="397"/>
      <c r="AQ6531" s="397"/>
      <c r="AR6531" s="397"/>
      <c r="AS6531" s="397"/>
      <c r="AT6531" s="397"/>
      <c r="BE6531" s="397"/>
      <c r="BF6531" s="397"/>
      <c r="BG6531" s="397"/>
      <c r="BH6531" s="397"/>
      <c r="BI6531" s="397"/>
      <c r="BJ6531" s="397"/>
      <c r="BK6531" s="397"/>
      <c r="BL6531" s="397"/>
      <c r="BM6531" s="398"/>
      <c r="BN6531" s="398"/>
      <c r="BO6531" s="398"/>
      <c r="BP6531" s="398"/>
      <c r="BQ6531" s="398"/>
      <c r="BR6531" s="398"/>
      <c r="BS6531" s="397"/>
      <c r="BT6531" s="397"/>
      <c r="BU6531" s="397"/>
      <c r="BV6531" s="397"/>
      <c r="BW6531" s="397"/>
      <c r="BX6531" s="397"/>
      <c r="BY6531" s="397"/>
      <c r="CA6531" s="392" t="s">
        <v>408</v>
      </c>
    </row>
    <row r="6532" spans="1:79" s="392" customFormat="1" ht="15" x14ac:dyDescent="0.25">
      <c r="A6532" s="430"/>
      <c r="B6532" s="386"/>
      <c r="C6532" s="386"/>
      <c r="D6532" s="434"/>
      <c r="E6532" s="385"/>
      <c r="F6532" s="432"/>
      <c r="G6532" s="401"/>
      <c r="H6532" s="401">
        <v>3</v>
      </c>
      <c r="I6532" s="401"/>
      <c r="J6532" s="401"/>
      <c r="K6532" s="401"/>
      <c r="L6532" s="672"/>
      <c r="M6532" s="673">
        <v>32636</v>
      </c>
      <c r="N6532" s="624">
        <v>2.4579155999999998</v>
      </c>
      <c r="O6532" s="625">
        <v>5.966654733333332E-6</v>
      </c>
      <c r="P6532" s="390" t="e">
        <v>#N/A</v>
      </c>
      <c r="Q6532" s="390" t="e">
        <v>#N/A</v>
      </c>
      <c r="R6532" s="390" t="e">
        <v>#N/A</v>
      </c>
      <c r="S6532" s="390" t="e">
        <v>#N/A</v>
      </c>
      <c r="T6532" s="388" t="e">
        <v>#N/A</v>
      </c>
      <c r="U6532" s="388"/>
      <c r="V6532" s="391"/>
      <c r="W6532" s="391"/>
      <c r="X6532" s="391"/>
      <c r="Y6532" s="792"/>
      <c r="Z6532" s="388" t="e">
        <v>#N/A</v>
      </c>
      <c r="AA6532" s="391" t="e">
        <v>#N/A</v>
      </c>
      <c r="AC6532" s="388"/>
      <c r="AD6532" s="388">
        <v>10.91184</v>
      </c>
      <c r="AE6532" s="388">
        <v>0.23591520000000002</v>
      </c>
      <c r="AF6532" s="388">
        <v>2.5733299999999999</v>
      </c>
      <c r="AG6532" s="391">
        <v>0.95707200000000003</v>
      </c>
      <c r="AH6532" s="397"/>
      <c r="AQ6532" s="397"/>
      <c r="AR6532" s="397"/>
      <c r="AS6532" s="397"/>
      <c r="AT6532" s="397"/>
      <c r="BE6532" s="397"/>
      <c r="BF6532" s="397"/>
      <c r="BG6532" s="397"/>
      <c r="BH6532" s="397"/>
      <c r="BI6532" s="397"/>
      <c r="BJ6532" s="397"/>
      <c r="BK6532" s="397"/>
      <c r="BL6532" s="397"/>
      <c r="BM6532" s="398"/>
      <c r="BN6532" s="398"/>
      <c r="BO6532" s="398"/>
      <c r="BP6532" s="398"/>
      <c r="BQ6532" s="398"/>
      <c r="BR6532" s="398"/>
      <c r="BS6532" s="397"/>
      <c r="BT6532" s="397"/>
      <c r="BU6532" s="397"/>
      <c r="BV6532" s="397"/>
      <c r="BW6532" s="397"/>
      <c r="BX6532" s="397"/>
      <c r="BY6532" s="397"/>
      <c r="CA6532" s="392" t="s">
        <v>408</v>
      </c>
    </row>
    <row r="6533" spans="1:79" s="392" customFormat="1" ht="15" x14ac:dyDescent="0.25">
      <c r="A6533" s="430"/>
      <c r="B6533" s="386"/>
      <c r="C6533" s="386"/>
      <c r="D6533" s="434"/>
      <c r="E6533" s="385"/>
      <c r="F6533" s="432"/>
      <c r="G6533" s="401"/>
      <c r="H6533" s="401">
        <v>3</v>
      </c>
      <c r="I6533" s="401"/>
      <c r="J6533" s="401"/>
      <c r="K6533" s="401"/>
      <c r="L6533" s="672"/>
      <c r="M6533" s="673">
        <v>32637</v>
      </c>
      <c r="N6533" s="624">
        <v>2.6476394999999999</v>
      </c>
      <c r="O6533" s="625">
        <v>5.9999879999999998E-6</v>
      </c>
      <c r="P6533" s="390" t="e">
        <v>#N/A</v>
      </c>
      <c r="Q6533" s="390" t="e">
        <v>#N/A</v>
      </c>
      <c r="R6533" s="390" t="e">
        <v>#N/A</v>
      </c>
      <c r="S6533" s="390" t="e">
        <v>#N/A</v>
      </c>
      <c r="T6533" s="388" t="e">
        <v>#N/A</v>
      </c>
      <c r="U6533" s="388"/>
      <c r="V6533" s="391"/>
      <c r="W6533" s="391"/>
      <c r="X6533" s="391"/>
      <c r="Y6533" s="792"/>
      <c r="Z6533" s="388" t="e">
        <v>#N/A</v>
      </c>
      <c r="AA6533" s="391" t="e">
        <v>#N/A</v>
      </c>
      <c r="AC6533" s="388"/>
      <c r="AD6533" s="388">
        <v>10.972800000000001</v>
      </c>
      <c r="AE6533" s="388">
        <v>0.23652480000000001</v>
      </c>
      <c r="AF6533" s="388">
        <v>2.5919099999999999</v>
      </c>
      <c r="AG6533" s="391">
        <v>1.018032</v>
      </c>
      <c r="AH6533" s="397"/>
      <c r="AQ6533" s="397"/>
      <c r="AR6533" s="397"/>
      <c r="AS6533" s="397"/>
      <c r="AT6533" s="397"/>
      <c r="BE6533" s="397"/>
      <c r="BF6533" s="397"/>
      <c r="BG6533" s="397"/>
      <c r="BH6533" s="397"/>
      <c r="BI6533" s="397"/>
      <c r="BJ6533" s="397"/>
      <c r="BK6533" s="397"/>
      <c r="BL6533" s="397"/>
      <c r="BM6533" s="398"/>
      <c r="BN6533" s="398"/>
      <c r="BO6533" s="398"/>
      <c r="BP6533" s="398"/>
      <c r="BQ6533" s="398"/>
      <c r="BR6533" s="398"/>
      <c r="BS6533" s="397"/>
      <c r="BT6533" s="397"/>
      <c r="BU6533" s="397"/>
      <c r="BV6533" s="397"/>
      <c r="BW6533" s="397"/>
      <c r="BX6533" s="397"/>
      <c r="BY6533" s="397"/>
      <c r="CA6533" s="392" t="s">
        <v>408</v>
      </c>
    </row>
    <row r="6534" spans="1:79" s="392" customFormat="1" ht="15" x14ac:dyDescent="0.25">
      <c r="A6534" s="430"/>
      <c r="B6534" s="386"/>
      <c r="C6534" s="386"/>
      <c r="D6534" s="434"/>
      <c r="E6534" s="385"/>
      <c r="F6534" s="432"/>
      <c r="G6534" s="401"/>
      <c r="H6534" s="401">
        <v>3</v>
      </c>
      <c r="I6534" s="401"/>
      <c r="J6534" s="401"/>
      <c r="K6534" s="401"/>
      <c r="L6534" s="672"/>
      <c r="M6534" s="673">
        <v>32638</v>
      </c>
      <c r="N6534" s="624">
        <v>2.8770071999999995</v>
      </c>
      <c r="O6534" s="625">
        <v>6.0333212666666668E-6</v>
      </c>
      <c r="P6534" s="390" t="e">
        <v>#N/A</v>
      </c>
      <c r="Q6534" s="390" t="e">
        <v>#N/A</v>
      </c>
      <c r="R6534" s="390" t="e">
        <v>#N/A</v>
      </c>
      <c r="S6534" s="390" t="e">
        <v>#N/A</v>
      </c>
      <c r="T6534" s="388" t="e">
        <v>#N/A</v>
      </c>
      <c r="U6534" s="388"/>
      <c r="V6534" s="391"/>
      <c r="W6534" s="391"/>
      <c r="X6534" s="391"/>
      <c r="Y6534" s="792"/>
      <c r="Z6534" s="388" t="e">
        <v>#N/A</v>
      </c>
      <c r="AA6534" s="391" t="e">
        <v>#N/A</v>
      </c>
      <c r="AC6534" s="388"/>
      <c r="AD6534" s="388">
        <v>11.033760000000001</v>
      </c>
      <c r="AE6534" s="388">
        <v>0.26517600000000002</v>
      </c>
      <c r="AF6534" s="388">
        <v>2.9263499999999998</v>
      </c>
      <c r="AG6534" s="391">
        <v>0.98450400000000005</v>
      </c>
      <c r="AH6534" s="397"/>
      <c r="AQ6534" s="397"/>
      <c r="AR6534" s="397"/>
      <c r="AS6534" s="397"/>
      <c r="AT6534" s="397"/>
      <c r="BE6534" s="397"/>
      <c r="BF6534" s="397"/>
      <c r="BG6534" s="397"/>
      <c r="BH6534" s="397"/>
      <c r="BI6534" s="397"/>
      <c r="BJ6534" s="397"/>
      <c r="BK6534" s="397"/>
      <c r="BL6534" s="397"/>
      <c r="BM6534" s="398"/>
      <c r="BN6534" s="398"/>
      <c r="BO6534" s="398"/>
      <c r="BP6534" s="398"/>
      <c r="BQ6534" s="398"/>
      <c r="BR6534" s="398"/>
      <c r="BS6534" s="397"/>
      <c r="BT6534" s="397"/>
      <c r="BU6534" s="397"/>
      <c r="BV6534" s="397"/>
      <c r="BW6534" s="397"/>
      <c r="BX6534" s="397"/>
      <c r="BY6534" s="397"/>
      <c r="CA6534" s="392" t="s">
        <v>408</v>
      </c>
    </row>
    <row r="6535" spans="1:79" s="392" customFormat="1" ht="15" x14ac:dyDescent="0.25">
      <c r="A6535" s="430"/>
      <c r="B6535" s="386"/>
      <c r="C6535" s="386"/>
      <c r="D6535" s="434"/>
      <c r="E6535" s="385"/>
      <c r="F6535" s="432"/>
      <c r="G6535" s="401"/>
      <c r="H6535" s="401">
        <v>3</v>
      </c>
      <c r="I6535" s="401"/>
      <c r="J6535" s="401"/>
      <c r="K6535" s="401"/>
      <c r="L6535" s="672"/>
      <c r="M6535" s="673">
        <v>32641</v>
      </c>
      <c r="N6535" s="624">
        <v>2.0963075099999999</v>
      </c>
      <c r="O6535" s="625">
        <v>5.799988399999999E-6</v>
      </c>
      <c r="P6535" s="390" t="e">
        <v>#N/A</v>
      </c>
      <c r="Q6535" s="390" t="e">
        <v>#N/A</v>
      </c>
      <c r="R6535" s="390" t="e">
        <v>#N/A</v>
      </c>
      <c r="S6535" s="390" t="e">
        <v>#N/A</v>
      </c>
      <c r="T6535" s="388" t="e">
        <v>#N/A</v>
      </c>
      <c r="U6535" s="388"/>
      <c r="V6535" s="391"/>
      <c r="W6535" s="391"/>
      <c r="X6535" s="391"/>
      <c r="Y6535" s="792"/>
      <c r="Z6535" s="388" t="e">
        <v>#N/A</v>
      </c>
      <c r="AA6535" s="391" t="e">
        <v>#N/A</v>
      </c>
      <c r="AC6535" s="388"/>
      <c r="AD6535" s="388">
        <v>10.60704</v>
      </c>
      <c r="AE6535" s="388">
        <v>0.23195280000000001</v>
      </c>
      <c r="AF6535" s="388">
        <v>2.4618500000000001</v>
      </c>
      <c r="AG6535" s="391">
        <v>0.85039200000000004</v>
      </c>
      <c r="AH6535" s="397"/>
      <c r="AQ6535" s="397"/>
      <c r="AR6535" s="397"/>
      <c r="AS6535" s="397"/>
      <c r="AT6535" s="397"/>
      <c r="BE6535" s="397"/>
      <c r="BF6535" s="397"/>
      <c r="BG6535" s="397"/>
      <c r="BH6535" s="397"/>
      <c r="BI6535" s="397"/>
      <c r="BJ6535" s="397"/>
      <c r="BK6535" s="397"/>
      <c r="BL6535" s="397"/>
      <c r="BM6535" s="398"/>
      <c r="BN6535" s="398"/>
      <c r="BO6535" s="398"/>
      <c r="BP6535" s="398"/>
      <c r="BQ6535" s="398"/>
      <c r="BR6535" s="398"/>
      <c r="BS6535" s="397"/>
      <c r="BT6535" s="397"/>
      <c r="BU6535" s="397"/>
      <c r="BV6535" s="397"/>
      <c r="BW6535" s="397"/>
      <c r="BX6535" s="397"/>
      <c r="BY6535" s="397"/>
      <c r="CA6535" s="392" t="s">
        <v>408</v>
      </c>
    </row>
    <row r="6536" spans="1:79" s="392" customFormat="1" ht="15" x14ac:dyDescent="0.25">
      <c r="A6536" s="430"/>
      <c r="B6536" s="386"/>
      <c r="C6536" s="386"/>
      <c r="D6536" s="434"/>
      <c r="E6536" s="385"/>
      <c r="F6536" s="432"/>
      <c r="G6536" s="401"/>
      <c r="H6536" s="401">
        <v>3</v>
      </c>
      <c r="I6536" s="401"/>
      <c r="J6536" s="401"/>
      <c r="K6536" s="401"/>
      <c r="L6536" s="672"/>
      <c r="M6536" s="673">
        <v>32643</v>
      </c>
      <c r="N6536" s="624">
        <v>1.4866424999999999</v>
      </c>
      <c r="O6536" s="625">
        <v>5.7499884999999994E-6</v>
      </c>
      <c r="P6536" s="390" t="e">
        <v>#N/A</v>
      </c>
      <c r="Q6536" s="390" t="e">
        <v>#N/A</v>
      </c>
      <c r="R6536" s="390" t="e">
        <v>#N/A</v>
      </c>
      <c r="S6536" s="390" t="e">
        <v>#N/A</v>
      </c>
      <c r="T6536" s="388" t="e">
        <v>#N/A</v>
      </c>
      <c r="U6536" s="388"/>
      <c r="V6536" s="391"/>
      <c r="W6536" s="391"/>
      <c r="X6536" s="391"/>
      <c r="Y6536" s="792"/>
      <c r="Z6536" s="388" t="e">
        <v>#N/A</v>
      </c>
      <c r="AA6536" s="391" t="e">
        <v>#N/A</v>
      </c>
      <c r="AC6536" s="388"/>
      <c r="AD6536" s="388">
        <v>10.515600000000001</v>
      </c>
      <c r="AE6536" s="388">
        <v>0.1850136</v>
      </c>
      <c r="AF6536" s="388">
        <v>1.9416099999999998</v>
      </c>
      <c r="AG6536" s="391">
        <v>0.76504799999999995</v>
      </c>
      <c r="AH6536" s="397"/>
      <c r="AQ6536" s="397"/>
      <c r="AR6536" s="397"/>
      <c r="AS6536" s="397"/>
      <c r="AT6536" s="397"/>
      <c r="BE6536" s="397"/>
      <c r="BF6536" s="397"/>
      <c r="BG6536" s="397"/>
      <c r="BH6536" s="397"/>
      <c r="BI6536" s="397"/>
      <c r="BJ6536" s="397"/>
      <c r="BK6536" s="397"/>
      <c r="BL6536" s="397"/>
      <c r="BM6536" s="398"/>
      <c r="BN6536" s="398"/>
      <c r="BO6536" s="398"/>
      <c r="BP6536" s="398"/>
      <c r="BQ6536" s="398"/>
      <c r="BR6536" s="398"/>
      <c r="BS6536" s="397"/>
      <c r="BT6536" s="397"/>
      <c r="BU6536" s="397"/>
      <c r="BV6536" s="397"/>
      <c r="BW6536" s="397"/>
      <c r="BX6536" s="397"/>
      <c r="BY6536" s="397"/>
      <c r="CA6536" s="392" t="s">
        <v>408</v>
      </c>
    </row>
    <row r="6537" spans="1:79" s="392" customFormat="1" ht="15" x14ac:dyDescent="0.25">
      <c r="A6537" s="430"/>
      <c r="B6537" s="386"/>
      <c r="C6537" s="386"/>
      <c r="D6537" s="434"/>
      <c r="E6537" s="385"/>
      <c r="F6537" s="432"/>
      <c r="G6537" s="401"/>
      <c r="H6537" s="401">
        <v>3</v>
      </c>
      <c r="I6537" s="401"/>
      <c r="J6537" s="401"/>
      <c r="K6537" s="401"/>
      <c r="L6537" s="672"/>
      <c r="M6537" s="673">
        <v>32644</v>
      </c>
      <c r="N6537" s="624">
        <v>1.6112372999999998</v>
      </c>
      <c r="O6537" s="625">
        <v>5.6999885999999998E-6</v>
      </c>
      <c r="P6537" s="390" t="e">
        <v>#N/A</v>
      </c>
      <c r="Q6537" s="390" t="e">
        <v>#N/A</v>
      </c>
      <c r="R6537" s="390" t="e">
        <v>#N/A</v>
      </c>
      <c r="S6537" s="390" t="e">
        <v>#N/A</v>
      </c>
      <c r="T6537" s="388" t="e">
        <v>#N/A</v>
      </c>
      <c r="U6537" s="388"/>
      <c r="V6537" s="391"/>
      <c r="W6537" s="391"/>
      <c r="X6537" s="391"/>
      <c r="Y6537" s="792"/>
      <c r="Z6537" s="388" t="e">
        <v>#N/A</v>
      </c>
      <c r="AA6537" s="391" t="e">
        <v>#N/A</v>
      </c>
      <c r="AC6537" s="388"/>
      <c r="AD6537" s="388">
        <v>10.424160000000001</v>
      </c>
      <c r="AE6537" s="388">
        <v>0.20970239999999998</v>
      </c>
      <c r="AF6537" s="388">
        <v>2.1831499999999999</v>
      </c>
      <c r="AG6537" s="391">
        <v>0.73761600000000005</v>
      </c>
      <c r="AH6537" s="397"/>
      <c r="AQ6537" s="397"/>
      <c r="AR6537" s="397"/>
      <c r="AS6537" s="397"/>
      <c r="AT6537" s="397"/>
      <c r="BE6537" s="397"/>
      <c r="BF6537" s="397"/>
      <c r="BG6537" s="397"/>
      <c r="BH6537" s="397"/>
      <c r="BI6537" s="397"/>
      <c r="BJ6537" s="397"/>
      <c r="BK6537" s="397"/>
      <c r="BL6537" s="397"/>
      <c r="BM6537" s="398"/>
      <c r="BN6537" s="398"/>
      <c r="BO6537" s="398"/>
      <c r="BP6537" s="398"/>
      <c r="BQ6537" s="398"/>
      <c r="BR6537" s="398"/>
      <c r="BS6537" s="397"/>
      <c r="BT6537" s="397"/>
      <c r="BU6537" s="397"/>
      <c r="BV6537" s="397"/>
      <c r="BW6537" s="397"/>
      <c r="BX6537" s="397"/>
      <c r="BY6537" s="397"/>
      <c r="CA6537" s="392" t="s">
        <v>408</v>
      </c>
    </row>
    <row r="6538" spans="1:79" s="392" customFormat="1" ht="15" x14ac:dyDescent="0.25">
      <c r="A6538" s="430"/>
      <c r="B6538" s="386"/>
      <c r="C6538" s="386"/>
      <c r="D6538" s="434"/>
      <c r="E6538" s="385"/>
      <c r="F6538" s="432"/>
      <c r="G6538" s="401"/>
      <c r="H6538" s="401">
        <v>3</v>
      </c>
      <c r="I6538" s="401"/>
      <c r="J6538" s="401"/>
      <c r="K6538" s="401"/>
      <c r="L6538" s="672"/>
      <c r="M6538" s="673">
        <v>32645</v>
      </c>
      <c r="N6538" s="624">
        <v>1.5517715999999999</v>
      </c>
      <c r="O6538" s="625">
        <v>5.2999893999999997E-6</v>
      </c>
      <c r="P6538" s="390" t="e">
        <v>#N/A</v>
      </c>
      <c r="Q6538" s="390" t="e">
        <v>#N/A</v>
      </c>
      <c r="R6538" s="390" t="e">
        <v>#N/A</v>
      </c>
      <c r="S6538" s="390" t="e">
        <v>#N/A</v>
      </c>
      <c r="T6538" s="388" t="e">
        <v>#N/A</v>
      </c>
      <c r="U6538" s="388"/>
      <c r="V6538" s="391"/>
      <c r="W6538" s="391"/>
      <c r="X6538" s="391"/>
      <c r="Y6538" s="792"/>
      <c r="Z6538" s="388" t="e">
        <v>#N/A</v>
      </c>
      <c r="AA6538" s="391" t="e">
        <v>#N/A</v>
      </c>
      <c r="AC6538" s="388"/>
      <c r="AD6538" s="388">
        <v>9.6926400000000008</v>
      </c>
      <c r="AE6538" s="388">
        <v>0.21335999999999999</v>
      </c>
      <c r="AF6538" s="388">
        <v>2.0716700000000001</v>
      </c>
      <c r="AG6538" s="391">
        <v>0.76200000000000001</v>
      </c>
      <c r="AH6538" s="397"/>
      <c r="AQ6538" s="397"/>
      <c r="AR6538" s="397"/>
      <c r="AS6538" s="397"/>
      <c r="AT6538" s="397"/>
      <c r="BE6538" s="397"/>
      <c r="BF6538" s="397"/>
      <c r="BG6538" s="397"/>
      <c r="BH6538" s="397"/>
      <c r="BI6538" s="397"/>
      <c r="BJ6538" s="397"/>
      <c r="BK6538" s="397"/>
      <c r="BL6538" s="397"/>
      <c r="BM6538" s="398"/>
      <c r="BN6538" s="398"/>
      <c r="BO6538" s="398"/>
      <c r="BP6538" s="398"/>
      <c r="BQ6538" s="398"/>
      <c r="BR6538" s="398"/>
      <c r="BS6538" s="397"/>
      <c r="BT6538" s="397"/>
      <c r="BU6538" s="397"/>
      <c r="BV6538" s="397"/>
      <c r="BW6538" s="397"/>
      <c r="BX6538" s="397"/>
      <c r="BY6538" s="397"/>
      <c r="CA6538" s="392" t="s">
        <v>408</v>
      </c>
    </row>
    <row r="6539" spans="1:79" s="392" customFormat="1" ht="15" x14ac:dyDescent="0.25">
      <c r="A6539" s="430"/>
      <c r="B6539" s="386"/>
      <c r="C6539" s="386"/>
      <c r="D6539" s="434"/>
      <c r="E6539" s="385"/>
      <c r="F6539" s="432"/>
      <c r="G6539" s="401"/>
      <c r="H6539" s="401">
        <v>3</v>
      </c>
      <c r="I6539" s="401"/>
      <c r="J6539" s="401"/>
      <c r="K6539" s="401"/>
      <c r="L6539" s="672"/>
      <c r="M6539" s="673">
        <v>32646</v>
      </c>
      <c r="N6539" s="624">
        <v>1.6423859999999999</v>
      </c>
      <c r="O6539" s="625">
        <v>5.3166560333333324E-6</v>
      </c>
      <c r="P6539" s="390" t="e">
        <v>#N/A</v>
      </c>
      <c r="Q6539" s="390" t="e">
        <v>#N/A</v>
      </c>
      <c r="R6539" s="390" t="e">
        <v>#N/A</v>
      </c>
      <c r="S6539" s="390" t="e">
        <v>#N/A</v>
      </c>
      <c r="T6539" s="388" t="e">
        <v>#N/A</v>
      </c>
      <c r="U6539" s="388"/>
      <c r="V6539" s="391"/>
      <c r="W6539" s="391"/>
      <c r="X6539" s="391"/>
      <c r="Y6539" s="792"/>
      <c r="Z6539" s="388" t="e">
        <v>#N/A</v>
      </c>
      <c r="AA6539" s="391" t="e">
        <v>#N/A</v>
      </c>
      <c r="AC6539" s="388"/>
      <c r="AD6539" s="388">
        <v>9.7231199999999998</v>
      </c>
      <c r="AE6539" s="388">
        <v>0.21640799999999999</v>
      </c>
      <c r="AF6539" s="388">
        <v>2.1088299999999998</v>
      </c>
      <c r="AG6539" s="391">
        <v>0.77723999999999993</v>
      </c>
      <c r="AH6539" s="397"/>
      <c r="AQ6539" s="397"/>
      <c r="AR6539" s="397"/>
      <c r="AS6539" s="397"/>
      <c r="AT6539" s="397"/>
      <c r="BE6539" s="403"/>
      <c r="BF6539" s="403"/>
      <c r="BG6539" s="403"/>
      <c r="BH6539" s="403"/>
      <c r="BI6539" s="397"/>
      <c r="BJ6539" s="397"/>
      <c r="BK6539" s="397"/>
      <c r="BL6539" s="397"/>
      <c r="BM6539" s="398"/>
      <c r="BN6539" s="398"/>
      <c r="BO6539" s="398"/>
      <c r="BP6539" s="398"/>
      <c r="BQ6539" s="398"/>
      <c r="BR6539" s="398"/>
      <c r="BS6539" s="397"/>
      <c r="BT6539" s="397"/>
      <c r="BU6539" s="397"/>
      <c r="BV6539" s="397"/>
      <c r="BW6539" s="397"/>
      <c r="BX6539" s="397"/>
      <c r="BY6539" s="397"/>
      <c r="CA6539" s="392" t="s">
        <v>408</v>
      </c>
    </row>
    <row r="6540" spans="1:79" s="392" customFormat="1" ht="15" x14ac:dyDescent="0.25">
      <c r="A6540" s="430"/>
      <c r="B6540" s="386"/>
      <c r="C6540" s="386"/>
      <c r="D6540" s="434"/>
      <c r="E6540" s="385"/>
      <c r="F6540" s="432"/>
      <c r="G6540" s="401"/>
      <c r="H6540" s="401">
        <v>3</v>
      </c>
      <c r="I6540" s="401"/>
      <c r="J6540" s="401"/>
      <c r="K6540" s="401"/>
      <c r="L6540" s="672"/>
      <c r="M6540" s="673">
        <v>32647</v>
      </c>
      <c r="N6540" s="624">
        <v>2.8486901999999996</v>
      </c>
      <c r="O6540" s="625">
        <v>6.0333212666666668E-6</v>
      </c>
      <c r="P6540" s="390" t="e">
        <v>#N/A</v>
      </c>
      <c r="Q6540" s="390" t="e">
        <v>#N/A</v>
      </c>
      <c r="R6540" s="390" t="e">
        <v>#N/A</v>
      </c>
      <c r="S6540" s="390" t="e">
        <v>#N/A</v>
      </c>
      <c r="T6540" s="388" t="e">
        <v>#N/A</v>
      </c>
      <c r="U6540" s="388"/>
      <c r="V6540" s="391"/>
      <c r="W6540" s="391"/>
      <c r="X6540" s="391"/>
      <c r="Y6540" s="792"/>
      <c r="Z6540" s="388" t="e">
        <v>#N/A</v>
      </c>
      <c r="AA6540" s="391" t="e">
        <v>#N/A</v>
      </c>
      <c r="AC6540" s="388"/>
      <c r="AD6540" s="388">
        <v>11.033760000000001</v>
      </c>
      <c r="AE6540" s="388">
        <v>0.26517600000000002</v>
      </c>
      <c r="AF6540" s="388">
        <v>2.9263499999999998</v>
      </c>
      <c r="AG6540" s="391">
        <v>0.97536000000000012</v>
      </c>
      <c r="AH6540" s="397"/>
      <c r="AQ6540" s="397"/>
      <c r="AR6540" s="397"/>
      <c r="AS6540" s="397"/>
      <c r="AT6540" s="397"/>
      <c r="BE6540" s="403"/>
      <c r="BF6540" s="403"/>
      <c r="BG6540" s="403"/>
      <c r="BH6540" s="403"/>
      <c r="BI6540" s="397"/>
      <c r="BJ6540" s="397"/>
      <c r="BK6540" s="397"/>
      <c r="BL6540" s="397"/>
      <c r="BM6540" s="398"/>
      <c r="BN6540" s="398"/>
      <c r="BO6540" s="398"/>
      <c r="BP6540" s="398"/>
      <c r="BQ6540" s="398"/>
      <c r="BR6540" s="398"/>
      <c r="BS6540" s="397"/>
      <c r="BT6540" s="397"/>
      <c r="BU6540" s="397"/>
      <c r="BV6540" s="397"/>
      <c r="BW6540" s="397"/>
      <c r="BX6540" s="397"/>
      <c r="BY6540" s="397"/>
      <c r="CA6540" s="392" t="s">
        <v>408</v>
      </c>
    </row>
    <row r="6541" spans="1:79" s="392" customFormat="1" ht="15" x14ac:dyDescent="0.25">
      <c r="A6541" s="430"/>
      <c r="B6541" s="386"/>
      <c r="C6541" s="386"/>
      <c r="D6541" s="434"/>
      <c r="E6541" s="385"/>
      <c r="F6541" s="432"/>
      <c r="G6541" s="401"/>
      <c r="H6541" s="401">
        <v>3</v>
      </c>
      <c r="I6541" s="401"/>
      <c r="J6541" s="401"/>
      <c r="K6541" s="401"/>
      <c r="L6541" s="672"/>
      <c r="M6541" s="673">
        <v>32648</v>
      </c>
      <c r="N6541" s="624">
        <v>2.8939973999999999</v>
      </c>
      <c r="O6541" s="625">
        <v>3.6499926999999992E-4</v>
      </c>
      <c r="P6541" s="390">
        <v>0.84</v>
      </c>
      <c r="Q6541" s="390">
        <v>1.5</v>
      </c>
      <c r="R6541" s="390">
        <v>2.12</v>
      </c>
      <c r="S6541" s="390">
        <v>3.93</v>
      </c>
      <c r="T6541" s="388">
        <v>6.12</v>
      </c>
      <c r="U6541" s="388"/>
      <c r="V6541" s="391"/>
      <c r="W6541" s="391"/>
      <c r="X6541" s="391"/>
      <c r="Y6541" s="792"/>
      <c r="Z6541" s="388">
        <v>7.5</v>
      </c>
      <c r="AA6541" s="391">
        <v>2.12</v>
      </c>
      <c r="AC6541" s="388"/>
      <c r="AD6541" s="388">
        <v>11.125200000000001</v>
      </c>
      <c r="AE6541" s="388">
        <v>0.27432000000000001</v>
      </c>
      <c r="AF6541" s="388">
        <v>3.0647709999999999</v>
      </c>
      <c r="AG6541" s="391">
        <v>0.94488000000000005</v>
      </c>
      <c r="AH6541" s="385"/>
      <c r="AI6541" s="385"/>
      <c r="AJ6541" s="385"/>
      <c r="AK6541" s="385"/>
      <c r="AL6541" s="385"/>
      <c r="AM6541" s="385"/>
      <c r="AN6541" s="385"/>
      <c r="AO6541" s="385"/>
      <c r="AP6541" s="385"/>
      <c r="AQ6541" s="385"/>
      <c r="AR6541" s="385"/>
      <c r="AS6541" s="385"/>
      <c r="AT6541" s="385"/>
      <c r="AU6541" s="385"/>
      <c r="AV6541" s="385"/>
      <c r="AW6541" s="385"/>
      <c r="AX6541" s="385"/>
      <c r="AY6541" s="385"/>
      <c r="AZ6541" s="385"/>
      <c r="BA6541" s="385"/>
      <c r="BB6541" s="385"/>
      <c r="BC6541" s="385"/>
      <c r="BD6541" s="385"/>
      <c r="BE6541" s="397"/>
      <c r="BF6541" s="397"/>
      <c r="BG6541" s="397"/>
      <c r="BH6541" s="397"/>
      <c r="BI6541" s="397"/>
      <c r="BJ6541" s="397"/>
      <c r="BK6541" s="397"/>
      <c r="BL6541" s="397"/>
      <c r="BM6541" s="398"/>
      <c r="BN6541" s="398"/>
      <c r="BO6541" s="398"/>
      <c r="BP6541" s="398"/>
      <c r="BQ6541" s="398"/>
      <c r="BR6541" s="398"/>
      <c r="BS6541" s="397"/>
      <c r="BT6541" s="397"/>
      <c r="BU6541" s="397"/>
      <c r="BV6541" s="397"/>
      <c r="BW6541" s="397"/>
      <c r="BX6541" s="397"/>
      <c r="BY6541" s="397"/>
      <c r="CA6541" s="392" t="s">
        <v>408</v>
      </c>
    </row>
    <row r="6542" spans="1:79" s="392" customFormat="1" ht="15" x14ac:dyDescent="0.25">
      <c r="A6542" s="430"/>
      <c r="B6542" s="386"/>
      <c r="C6542" s="386"/>
      <c r="D6542" s="434"/>
      <c r="E6542" s="385"/>
      <c r="F6542" s="432"/>
      <c r="G6542" s="401"/>
      <c r="H6542" s="401">
        <v>6</v>
      </c>
      <c r="I6542" s="401"/>
      <c r="J6542" s="401"/>
      <c r="K6542" s="401"/>
      <c r="L6542" s="672"/>
      <c r="M6542" s="673">
        <v>32649</v>
      </c>
      <c r="N6542" s="624">
        <v>3.4150301999999995</v>
      </c>
      <c r="O6542" s="625">
        <v>2.7360845278199996E-2</v>
      </c>
      <c r="P6542" s="390">
        <v>1.7482523091765383</v>
      </c>
      <c r="Q6542" s="390">
        <v>3.9207373526564804</v>
      </c>
      <c r="R6542" s="390">
        <v>6.0965356609074703</v>
      </c>
      <c r="S6542" s="390">
        <v>14.845854918245319</v>
      </c>
      <c r="T6542" s="388">
        <v>26.380472582278902</v>
      </c>
      <c r="U6542" s="388"/>
      <c r="V6542" s="391"/>
      <c r="W6542" s="391"/>
      <c r="X6542" s="391"/>
      <c r="Y6542" s="792"/>
      <c r="Z6542" s="388">
        <v>31</v>
      </c>
      <c r="AA6542" s="391">
        <v>6.0965356609074703</v>
      </c>
      <c r="AC6542" s="388"/>
      <c r="AD6542" s="388">
        <v>11.52144</v>
      </c>
      <c r="AE6542" s="388">
        <v>0.29870400000000003</v>
      </c>
      <c r="AF6542" s="388">
        <v>3.4558800000000001</v>
      </c>
      <c r="AG6542" s="391">
        <v>0.9875520000000001</v>
      </c>
      <c r="AH6542" s="385"/>
      <c r="AI6542" s="385"/>
      <c r="AJ6542" s="385"/>
      <c r="AK6542" s="385"/>
      <c r="AL6542" s="385"/>
      <c r="AM6542" s="385"/>
      <c r="AN6542" s="385"/>
      <c r="AO6542" s="385"/>
      <c r="AP6542" s="385"/>
      <c r="AQ6542" s="385"/>
      <c r="AR6542" s="385"/>
      <c r="AS6542" s="385"/>
      <c r="AT6542" s="385"/>
      <c r="AU6542" s="385"/>
      <c r="AV6542" s="385"/>
      <c r="AW6542" s="385"/>
      <c r="AX6542" s="385"/>
      <c r="AY6542" s="385"/>
      <c r="AZ6542" s="385"/>
      <c r="BA6542" s="385"/>
      <c r="BB6542" s="385"/>
      <c r="BC6542" s="385"/>
      <c r="BD6542" s="385"/>
      <c r="BE6542" s="397"/>
      <c r="BF6542" s="397"/>
      <c r="BG6542" s="397"/>
      <c r="BH6542" s="397"/>
      <c r="BI6542" s="397"/>
      <c r="BJ6542" s="397"/>
      <c r="BK6542" s="397"/>
      <c r="BL6542" s="397"/>
      <c r="BM6542" s="398"/>
      <c r="BN6542" s="398"/>
      <c r="BO6542" s="398"/>
      <c r="BP6542" s="398"/>
      <c r="BQ6542" s="398"/>
      <c r="BR6542" s="398"/>
      <c r="BS6542" s="397"/>
      <c r="BT6542" s="397"/>
      <c r="BU6542" s="397"/>
      <c r="BV6542" s="397"/>
      <c r="BW6542" s="397"/>
      <c r="BX6542" s="397"/>
      <c r="BY6542" s="397"/>
      <c r="CA6542" s="392" t="s">
        <v>408</v>
      </c>
    </row>
    <row r="6543" spans="1:79" s="392" customFormat="1" ht="15" x14ac:dyDescent="0.25">
      <c r="A6543" s="430"/>
      <c r="B6543" s="386"/>
      <c r="C6543" s="386"/>
      <c r="D6543" s="434"/>
      <c r="E6543" s="385"/>
      <c r="F6543" s="432"/>
      <c r="G6543" s="401"/>
      <c r="H6543" s="401">
        <v>6</v>
      </c>
      <c r="I6543" s="401"/>
      <c r="J6543" s="401"/>
      <c r="K6543" s="401"/>
      <c r="L6543" s="672"/>
      <c r="M6543" s="673">
        <v>32650</v>
      </c>
      <c r="N6543" s="624">
        <v>3.2847719999999998</v>
      </c>
      <c r="O6543" s="625">
        <v>3.7448591769333336E-3</v>
      </c>
      <c r="P6543" s="390">
        <v>1.1815043983515481</v>
      </c>
      <c r="Q6543" s="390">
        <v>3.3568078273624016</v>
      </c>
      <c r="R6543" s="390">
        <v>6.1955079082468956</v>
      </c>
      <c r="S6543" s="390">
        <v>13.546897059199781</v>
      </c>
      <c r="T6543" s="388">
        <v>16.124035321470359</v>
      </c>
      <c r="U6543" s="388"/>
      <c r="V6543" s="391"/>
      <c r="W6543" s="391"/>
      <c r="X6543" s="391"/>
      <c r="Y6543" s="792"/>
      <c r="Z6543" s="388">
        <v>20</v>
      </c>
      <c r="AA6543" s="391">
        <v>6.1955079082468956</v>
      </c>
      <c r="AC6543" s="388"/>
      <c r="AD6543" s="388">
        <v>11.490960000000001</v>
      </c>
      <c r="AE6543" s="388">
        <v>0.30480000000000002</v>
      </c>
      <c r="AF6543" s="388">
        <v>3.5116199999999997</v>
      </c>
      <c r="AG6543" s="391">
        <v>0.93573600000000001</v>
      </c>
      <c r="AH6543" s="385"/>
      <c r="AI6543" s="385"/>
      <c r="AJ6543" s="385"/>
      <c r="AK6543" s="385"/>
      <c r="AL6543" s="385"/>
      <c r="AM6543" s="385"/>
      <c r="AN6543" s="385"/>
      <c r="AO6543" s="385"/>
      <c r="AP6543" s="385"/>
      <c r="AQ6543" s="385"/>
      <c r="AR6543" s="385"/>
      <c r="AS6543" s="385"/>
      <c r="AT6543" s="385"/>
      <c r="AU6543" s="385"/>
      <c r="AV6543" s="385"/>
      <c r="AW6543" s="385"/>
      <c r="AX6543" s="385"/>
      <c r="AY6543" s="385"/>
      <c r="AZ6543" s="385"/>
      <c r="BA6543" s="385"/>
      <c r="BB6543" s="385"/>
      <c r="BC6543" s="385"/>
      <c r="BD6543" s="385"/>
      <c r="BE6543" s="397"/>
      <c r="BF6543" s="397"/>
      <c r="BG6543" s="397"/>
      <c r="BH6543" s="397"/>
      <c r="BI6543" s="397"/>
      <c r="BJ6543" s="397"/>
      <c r="BK6543" s="397"/>
      <c r="BL6543" s="397"/>
      <c r="BM6543" s="398"/>
      <c r="BN6543" s="398"/>
      <c r="BO6543" s="398"/>
      <c r="BP6543" s="398"/>
      <c r="BQ6543" s="398"/>
      <c r="BR6543" s="398"/>
      <c r="BS6543" s="397"/>
      <c r="BT6543" s="397"/>
      <c r="BU6543" s="397"/>
      <c r="BV6543" s="397"/>
      <c r="BW6543" s="397"/>
      <c r="BX6543" s="397"/>
      <c r="BY6543" s="397"/>
      <c r="CA6543" s="392" t="s">
        <v>408</v>
      </c>
    </row>
    <row r="6544" spans="1:79" s="392" customFormat="1" ht="15" x14ac:dyDescent="0.25">
      <c r="A6544" s="430"/>
      <c r="B6544" s="386"/>
      <c r="C6544" s="386"/>
      <c r="D6544" s="434"/>
      <c r="E6544" s="385"/>
      <c r="F6544" s="432"/>
      <c r="G6544" s="401"/>
      <c r="H6544" s="401">
        <v>6</v>
      </c>
      <c r="I6544" s="401"/>
      <c r="J6544" s="401"/>
      <c r="K6544" s="401"/>
      <c r="L6544" s="672"/>
      <c r="M6544" s="673">
        <v>32651</v>
      </c>
      <c r="N6544" s="624">
        <v>4.3296692999999999</v>
      </c>
      <c r="O6544" s="625">
        <v>3.1921002824533334E-2</v>
      </c>
      <c r="P6544" s="390">
        <v>1.079718532235483</v>
      </c>
      <c r="Q6544" s="390">
        <v>2.2063705045279427</v>
      </c>
      <c r="R6544" s="390">
        <v>3.5764962337815263</v>
      </c>
      <c r="S6544" s="390">
        <v>20.268923793727318</v>
      </c>
      <c r="T6544" s="388">
        <v>27.824208151938031</v>
      </c>
      <c r="U6544" s="388"/>
      <c r="V6544" s="391"/>
      <c r="W6544" s="391"/>
      <c r="X6544" s="391"/>
      <c r="Y6544" s="792"/>
      <c r="Z6544" s="388">
        <v>27</v>
      </c>
      <c r="AA6544" s="391">
        <v>3.5764962337815263</v>
      </c>
      <c r="AC6544" s="388"/>
      <c r="AD6544" s="388">
        <v>12.679680000000001</v>
      </c>
      <c r="AE6544" s="388">
        <v>0.33528000000000002</v>
      </c>
      <c r="AF6544" s="388">
        <v>4.2548199999999996</v>
      </c>
      <c r="AG6544" s="391">
        <v>1.018032</v>
      </c>
      <c r="AH6544" s="385"/>
      <c r="AI6544" s="385"/>
      <c r="AJ6544" s="385"/>
      <c r="AK6544" s="385"/>
      <c r="AL6544" s="385"/>
      <c r="AM6544" s="385"/>
      <c r="AN6544" s="385"/>
      <c r="AO6544" s="385"/>
      <c r="AP6544" s="385"/>
      <c r="AQ6544" s="385"/>
      <c r="AR6544" s="385"/>
      <c r="AS6544" s="385"/>
      <c r="AT6544" s="385"/>
      <c r="AU6544" s="385"/>
      <c r="AV6544" s="385"/>
      <c r="AW6544" s="385"/>
      <c r="AX6544" s="385"/>
      <c r="AY6544" s="385"/>
      <c r="AZ6544" s="385"/>
      <c r="BA6544" s="385"/>
      <c r="BB6544" s="385"/>
      <c r="BC6544" s="385"/>
      <c r="BD6544" s="385"/>
      <c r="BE6544" s="397"/>
      <c r="BF6544" s="397"/>
      <c r="BG6544" s="397"/>
      <c r="BH6544" s="397"/>
      <c r="BI6544" s="397"/>
      <c r="BJ6544" s="397"/>
      <c r="BK6544" s="397"/>
      <c r="BL6544" s="397"/>
      <c r="BM6544" s="398"/>
      <c r="BN6544" s="398"/>
      <c r="BO6544" s="398"/>
      <c r="BP6544" s="398"/>
      <c r="BQ6544" s="398"/>
      <c r="BR6544" s="398"/>
      <c r="BS6544" s="397"/>
      <c r="BT6544" s="397"/>
      <c r="BU6544" s="397"/>
      <c r="BV6544" s="397"/>
      <c r="BW6544" s="397"/>
      <c r="BX6544" s="397"/>
      <c r="BY6544" s="397"/>
      <c r="CA6544" s="392" t="s">
        <v>408</v>
      </c>
    </row>
    <row r="6545" spans="1:79" s="392" customFormat="1" ht="15" x14ac:dyDescent="0.25">
      <c r="A6545" s="430"/>
      <c r="B6545" s="386"/>
      <c r="C6545" s="386"/>
      <c r="D6545" s="434"/>
      <c r="E6545" s="385"/>
      <c r="F6545" s="432"/>
      <c r="G6545" s="401"/>
      <c r="H6545" s="401">
        <v>6</v>
      </c>
      <c r="I6545" s="401"/>
      <c r="J6545" s="401"/>
      <c r="K6545" s="401"/>
      <c r="L6545" s="672"/>
      <c r="M6545" s="673">
        <v>32652</v>
      </c>
      <c r="N6545" s="624">
        <v>4.9951188000000002</v>
      </c>
      <c r="O6545" s="625">
        <v>3.7594591477333327E-3</v>
      </c>
      <c r="P6545" s="390">
        <v>0.69</v>
      </c>
      <c r="Q6545" s="390">
        <v>1.77992713391943</v>
      </c>
      <c r="R6545" s="390">
        <v>2.8556793434062477</v>
      </c>
      <c r="S6545" s="390">
        <v>11.309186236867454</v>
      </c>
      <c r="T6545" s="388">
        <v>14.35587892196418</v>
      </c>
      <c r="U6545" s="388"/>
      <c r="V6545" s="391"/>
      <c r="W6545" s="391"/>
      <c r="X6545" s="391"/>
      <c r="Y6545" s="792"/>
      <c r="Z6545" s="388">
        <v>15</v>
      </c>
      <c r="AA6545" s="391">
        <v>2.8556793434062477</v>
      </c>
      <c r="AC6545" s="388"/>
      <c r="AD6545" s="388">
        <v>12.92352</v>
      </c>
      <c r="AE6545" s="388">
        <v>0.347472</v>
      </c>
      <c r="AF6545" s="388">
        <v>4.5056500000000002</v>
      </c>
      <c r="AG6545" s="391">
        <v>1.109472</v>
      </c>
      <c r="AH6545" s="386"/>
      <c r="AI6545" s="385"/>
      <c r="AJ6545" s="385"/>
      <c r="AK6545" s="385"/>
      <c r="AL6545" s="385"/>
      <c r="AM6545" s="385"/>
      <c r="AN6545" s="385"/>
      <c r="AO6545" s="385"/>
      <c r="AP6545" s="385"/>
      <c r="AQ6545" s="386"/>
      <c r="AR6545" s="386"/>
      <c r="AS6545" s="386"/>
      <c r="AT6545" s="386"/>
      <c r="AU6545" s="385"/>
      <c r="AV6545" s="385"/>
      <c r="AW6545" s="385"/>
      <c r="AX6545" s="385"/>
      <c r="AY6545" s="385"/>
      <c r="AZ6545" s="385"/>
      <c r="BA6545" s="385"/>
      <c r="BB6545" s="385"/>
      <c r="BC6545" s="385"/>
      <c r="BD6545" s="385"/>
      <c r="BE6545" s="397"/>
      <c r="BF6545" s="397"/>
      <c r="BG6545" s="397"/>
      <c r="BH6545" s="397"/>
      <c r="BI6545" s="397"/>
      <c r="BJ6545" s="397"/>
      <c r="BK6545" s="397"/>
      <c r="BL6545" s="397"/>
      <c r="BM6545" s="398"/>
      <c r="BN6545" s="398"/>
      <c r="BO6545" s="398"/>
      <c r="BP6545" s="398"/>
      <c r="BQ6545" s="398"/>
      <c r="BR6545" s="398"/>
      <c r="BS6545" s="397"/>
      <c r="BT6545" s="397"/>
      <c r="BU6545" s="397"/>
      <c r="BV6545" s="397"/>
      <c r="BW6545" s="397"/>
      <c r="BX6545" s="397"/>
      <c r="BY6545" s="397"/>
      <c r="CA6545" s="392" t="s">
        <v>408</v>
      </c>
    </row>
    <row r="6546" spans="1:79" s="392" customFormat="1" ht="15" x14ac:dyDescent="0.25">
      <c r="A6546" s="430"/>
      <c r="B6546" s="386"/>
      <c r="C6546" s="386"/>
      <c r="D6546" s="434"/>
      <c r="E6546" s="385"/>
      <c r="F6546" s="432"/>
      <c r="G6546" s="401"/>
      <c r="H6546" s="401">
        <v>6</v>
      </c>
      <c r="I6546" s="401"/>
      <c r="J6546" s="401"/>
      <c r="K6546" s="401"/>
      <c r="L6546" s="672"/>
      <c r="M6546" s="673">
        <v>32653</v>
      </c>
      <c r="N6546" s="624">
        <v>4.9951188000000002</v>
      </c>
      <c r="O6546" s="625">
        <v>1.7949297434666663E-3</v>
      </c>
      <c r="P6546" s="390">
        <v>0.46</v>
      </c>
      <c r="Q6546" s="390">
        <v>1.0831659083849519</v>
      </c>
      <c r="R6546" s="390">
        <v>2.4966610978032246</v>
      </c>
      <c r="S6546" s="390">
        <v>9.2789024293485038</v>
      </c>
      <c r="T6546" s="388">
        <v>11.079773873678434</v>
      </c>
      <c r="U6546" s="388"/>
      <c r="V6546" s="391"/>
      <c r="W6546" s="391"/>
      <c r="X6546" s="391"/>
      <c r="Y6546" s="792"/>
      <c r="Z6546" s="388">
        <v>16</v>
      </c>
      <c r="AA6546" s="391">
        <v>2.4966610978032246</v>
      </c>
      <c r="AC6546" s="388"/>
      <c r="AD6546" s="388">
        <v>12.92352</v>
      </c>
      <c r="AE6546" s="388">
        <v>0.347472</v>
      </c>
      <c r="AF6546" s="388">
        <v>4.5056500000000002</v>
      </c>
      <c r="AG6546" s="391">
        <v>1.109472</v>
      </c>
      <c r="AH6546" s="397"/>
      <c r="AQ6546" s="397"/>
      <c r="AR6546" s="397"/>
      <c r="AS6546" s="397"/>
      <c r="AT6546" s="397"/>
      <c r="BE6546" s="397"/>
      <c r="BF6546" s="397"/>
      <c r="BG6546" s="397"/>
      <c r="BH6546" s="397"/>
      <c r="BI6546" s="397"/>
      <c r="BJ6546" s="397"/>
      <c r="BK6546" s="397"/>
      <c r="BL6546" s="397"/>
      <c r="BM6546" s="398"/>
      <c r="BN6546" s="398"/>
      <c r="BO6546" s="398"/>
      <c r="BP6546" s="398"/>
      <c r="BQ6546" s="398"/>
      <c r="BR6546" s="398"/>
      <c r="BS6546" s="397"/>
      <c r="BT6546" s="397"/>
      <c r="BU6546" s="397"/>
      <c r="BV6546" s="397"/>
      <c r="BW6546" s="397"/>
      <c r="BX6546" s="397"/>
      <c r="BY6546" s="397"/>
      <c r="CA6546" s="392" t="s">
        <v>408</v>
      </c>
    </row>
    <row r="6547" spans="1:79" s="392" customFormat="1" ht="15" x14ac:dyDescent="0.25">
      <c r="A6547" s="430"/>
      <c r="B6547" s="386"/>
      <c r="C6547" s="386"/>
      <c r="D6547" s="434"/>
      <c r="E6547" s="385"/>
      <c r="F6547" s="432"/>
      <c r="G6547" s="401"/>
      <c r="H6547" s="401">
        <v>6</v>
      </c>
      <c r="I6547" s="401"/>
      <c r="J6547" s="401"/>
      <c r="K6547" s="401"/>
      <c r="L6547" s="672"/>
      <c r="M6547" s="673">
        <v>32654</v>
      </c>
      <c r="N6547" s="624">
        <v>3.1261967999999998</v>
      </c>
      <c r="O6547" s="625">
        <v>2.0507625651333332E-3</v>
      </c>
      <c r="P6547" s="390">
        <v>0.62</v>
      </c>
      <c r="Q6547" s="390">
        <v>1.1719585690188694</v>
      </c>
      <c r="R6547" s="390">
        <v>1.65</v>
      </c>
      <c r="S6547" s="390">
        <v>3.94</v>
      </c>
      <c r="T6547" s="388">
        <v>12.18</v>
      </c>
      <c r="U6547" s="388"/>
      <c r="V6547" s="391"/>
      <c r="W6547" s="391"/>
      <c r="X6547" s="391"/>
      <c r="Y6547" s="792"/>
      <c r="Z6547" s="388">
        <v>14</v>
      </c>
      <c r="AA6547" s="391">
        <v>1.65</v>
      </c>
      <c r="AC6547" s="388"/>
      <c r="AD6547" s="388">
        <v>11.399520000000001</v>
      </c>
      <c r="AE6547" s="388">
        <v>0.29870400000000003</v>
      </c>
      <c r="AF6547" s="388">
        <v>3.4187199999999995</v>
      </c>
      <c r="AG6547" s="391">
        <v>0.9144000000000001</v>
      </c>
      <c r="AH6547" s="397"/>
      <c r="AQ6547" s="397"/>
      <c r="AR6547" s="397"/>
      <c r="AS6547" s="397"/>
      <c r="AT6547" s="397"/>
      <c r="BE6547" s="397"/>
      <c r="BF6547" s="397"/>
      <c r="BG6547" s="397"/>
      <c r="BH6547" s="397"/>
      <c r="BI6547" s="397"/>
      <c r="BJ6547" s="397"/>
      <c r="BK6547" s="397"/>
      <c r="BL6547" s="397"/>
      <c r="BM6547" s="398"/>
      <c r="BN6547" s="398"/>
      <c r="BO6547" s="398"/>
      <c r="BP6547" s="398"/>
      <c r="BQ6547" s="398"/>
      <c r="BR6547" s="398"/>
      <c r="BS6547" s="397"/>
      <c r="BT6547" s="397"/>
      <c r="BU6547" s="397"/>
      <c r="BV6547" s="397"/>
      <c r="BW6547" s="397"/>
      <c r="BX6547" s="397"/>
      <c r="BY6547" s="397"/>
      <c r="CA6547" s="392" t="s">
        <v>408</v>
      </c>
    </row>
    <row r="6548" spans="1:79" s="392" customFormat="1" ht="15" x14ac:dyDescent="0.25">
      <c r="A6548" s="430"/>
      <c r="B6548" s="386"/>
      <c r="C6548" s="386"/>
      <c r="D6548" s="434"/>
      <c r="E6548" s="385"/>
      <c r="F6548" s="432"/>
      <c r="G6548" s="401"/>
      <c r="H6548" s="401">
        <v>3</v>
      </c>
      <c r="I6548" s="401"/>
      <c r="J6548" s="401"/>
      <c r="K6548" s="401"/>
      <c r="L6548" s="672"/>
      <c r="M6548" s="673">
        <v>32655</v>
      </c>
      <c r="N6548" s="624">
        <v>2.9817800999999999</v>
      </c>
      <c r="O6548" s="625">
        <v>1.7103065793800002E-2</v>
      </c>
      <c r="P6548" s="390">
        <v>4.0070899019580004</v>
      </c>
      <c r="Q6548" s="390">
        <v>11.955175874317222</v>
      </c>
      <c r="R6548" s="390">
        <v>20.925919143946228</v>
      </c>
      <c r="S6548" s="390">
        <v>38.849239514205365</v>
      </c>
      <c r="T6548" s="388">
        <v>42.979923808708001</v>
      </c>
      <c r="U6548" s="388"/>
      <c r="V6548" s="391"/>
      <c r="W6548" s="391"/>
      <c r="X6548" s="391"/>
      <c r="Y6548" s="792"/>
      <c r="Z6548" s="388">
        <v>43</v>
      </c>
      <c r="AA6548" s="391">
        <v>20.925919143946228</v>
      </c>
      <c r="AC6548" s="388"/>
      <c r="AD6548" s="388">
        <v>11.30808</v>
      </c>
      <c r="AE6548" s="388">
        <v>0.29870400000000003</v>
      </c>
      <c r="AF6548" s="388">
        <v>3.3722699999999994</v>
      </c>
      <c r="AG6548" s="391">
        <v>0.88392000000000004</v>
      </c>
      <c r="AH6548" s="397"/>
      <c r="AQ6548" s="397"/>
      <c r="AR6548" s="397"/>
      <c r="AS6548" s="397"/>
      <c r="AT6548" s="397"/>
      <c r="BE6548" s="397"/>
      <c r="BF6548" s="397"/>
      <c r="BG6548" s="397"/>
      <c r="BH6548" s="397"/>
      <c r="BI6548" s="397"/>
      <c r="BJ6548" s="397"/>
      <c r="BK6548" s="397"/>
      <c r="BL6548" s="397"/>
      <c r="BM6548" s="398"/>
      <c r="BN6548" s="398"/>
      <c r="BO6548" s="398"/>
      <c r="BP6548" s="398"/>
      <c r="BQ6548" s="398"/>
      <c r="BR6548" s="398"/>
      <c r="BS6548" s="397"/>
      <c r="BT6548" s="397"/>
      <c r="BU6548" s="397"/>
      <c r="BV6548" s="397"/>
      <c r="BW6548" s="397"/>
      <c r="BX6548" s="397"/>
      <c r="BY6548" s="397"/>
      <c r="CA6548" s="392" t="s">
        <v>408</v>
      </c>
    </row>
    <row r="6549" spans="1:79" s="392" customFormat="1" ht="15" x14ac:dyDescent="0.25">
      <c r="A6549" s="430"/>
      <c r="B6549" s="386"/>
      <c r="C6549" s="386"/>
      <c r="D6549" s="434"/>
      <c r="E6549" s="385"/>
      <c r="F6549" s="432"/>
      <c r="G6549" s="401"/>
      <c r="H6549" s="401">
        <v>3</v>
      </c>
      <c r="I6549" s="401"/>
      <c r="J6549" s="401"/>
      <c r="K6549" s="401"/>
      <c r="L6549" s="672"/>
      <c r="M6549" s="673">
        <v>32656</v>
      </c>
      <c r="N6549" s="624">
        <v>5.7370241999999996</v>
      </c>
      <c r="O6549" s="625">
        <v>0.15593508812920001</v>
      </c>
      <c r="P6549" s="390">
        <v>1.3039995301577918</v>
      </c>
      <c r="Q6549" s="390">
        <v>3.426611731722633</v>
      </c>
      <c r="R6549" s="390">
        <v>6.1734091810106628</v>
      </c>
      <c r="S6549" s="390">
        <v>27.249834264864084</v>
      </c>
      <c r="T6549" s="388">
        <v>38.849625678772384</v>
      </c>
      <c r="U6549" s="388"/>
      <c r="V6549" s="391"/>
      <c r="W6549" s="391"/>
      <c r="X6549" s="391"/>
      <c r="Y6549" s="792"/>
      <c r="Z6549" s="388">
        <v>44</v>
      </c>
      <c r="AA6549" s="391">
        <v>6.1734091810106628</v>
      </c>
      <c r="AC6549" s="388"/>
      <c r="AD6549" s="388">
        <v>13.289280000000002</v>
      </c>
      <c r="AE6549" s="388">
        <v>0.40538400000000002</v>
      </c>
      <c r="AF6549" s="388">
        <v>5.3789099999999994</v>
      </c>
      <c r="AG6549" s="391">
        <v>1.0668</v>
      </c>
      <c r="AH6549" s="397"/>
      <c r="AQ6549" s="397"/>
      <c r="AR6549" s="397"/>
      <c r="AS6549" s="397"/>
      <c r="AT6549" s="397"/>
      <c r="BE6549" s="397"/>
      <c r="BF6549" s="397"/>
      <c r="BG6549" s="397"/>
      <c r="BH6549" s="397"/>
      <c r="BI6549" s="397"/>
      <c r="BJ6549" s="397"/>
      <c r="BK6549" s="397"/>
      <c r="BL6549" s="397"/>
      <c r="BM6549" s="398"/>
      <c r="BN6549" s="398"/>
      <c r="BO6549" s="398"/>
      <c r="BP6549" s="398"/>
      <c r="BQ6549" s="398"/>
      <c r="BR6549" s="398"/>
      <c r="BS6549" s="397"/>
      <c r="BT6549" s="397"/>
      <c r="BU6549" s="397"/>
      <c r="BV6549" s="397"/>
      <c r="BW6549" s="397"/>
      <c r="BX6549" s="397"/>
      <c r="BY6549" s="397"/>
      <c r="CA6549" s="392" t="s">
        <v>408</v>
      </c>
    </row>
    <row r="6550" spans="1:79" s="392" customFormat="1" ht="15" x14ac:dyDescent="0.25">
      <c r="A6550" s="430"/>
      <c r="B6550" s="386"/>
      <c r="C6550" s="386"/>
      <c r="D6550" s="434"/>
      <c r="E6550" s="385"/>
      <c r="F6550" s="432"/>
      <c r="G6550" s="401"/>
      <c r="H6550" s="401">
        <v>6</v>
      </c>
      <c r="I6550" s="401"/>
      <c r="J6550" s="401"/>
      <c r="K6550" s="401"/>
      <c r="L6550" s="672"/>
      <c r="M6550" s="673">
        <v>32657</v>
      </c>
      <c r="N6550" s="624">
        <v>5.0064456000000002</v>
      </c>
      <c r="O6550" s="625">
        <v>0.32670901324733331</v>
      </c>
      <c r="P6550" s="390">
        <v>1.48</v>
      </c>
      <c r="Q6550" s="390">
        <v>4.16</v>
      </c>
      <c r="R6550" s="390">
        <v>8.32</v>
      </c>
      <c r="S6550" s="390">
        <v>65.739999999999995</v>
      </c>
      <c r="T6550" s="388">
        <v>94.7</v>
      </c>
      <c r="U6550" s="388"/>
      <c r="V6550" s="391"/>
      <c r="W6550" s="391"/>
      <c r="X6550" s="391"/>
      <c r="Y6550" s="792"/>
      <c r="Z6550" s="388">
        <v>98</v>
      </c>
      <c r="AA6550" s="391">
        <v>8.32</v>
      </c>
      <c r="AC6550" s="388"/>
      <c r="AD6550" s="388">
        <v>12.92352</v>
      </c>
      <c r="AE6550" s="388">
        <v>0.347472</v>
      </c>
      <c r="AF6550" s="388">
        <v>4.5056500000000002</v>
      </c>
      <c r="AG6550" s="391">
        <v>1.109472</v>
      </c>
      <c r="AH6550" s="397"/>
      <c r="AQ6550" s="397"/>
      <c r="AR6550" s="397"/>
      <c r="AS6550" s="397"/>
      <c r="AT6550" s="397"/>
      <c r="BE6550" s="397"/>
      <c r="BF6550" s="397"/>
      <c r="BG6550" s="397"/>
      <c r="BH6550" s="397"/>
      <c r="BI6550" s="397"/>
      <c r="BJ6550" s="397"/>
      <c r="BK6550" s="397"/>
      <c r="BL6550" s="397"/>
      <c r="BM6550" s="398"/>
      <c r="BN6550" s="398"/>
      <c r="BO6550" s="398"/>
      <c r="BP6550" s="398"/>
      <c r="BQ6550" s="398"/>
      <c r="BR6550" s="398"/>
      <c r="BS6550" s="397"/>
      <c r="BT6550" s="397"/>
      <c r="BU6550" s="397"/>
      <c r="BV6550" s="397"/>
      <c r="BW6550" s="397"/>
      <c r="BX6550" s="397"/>
      <c r="BY6550" s="397"/>
      <c r="CA6550" s="392" t="s">
        <v>408</v>
      </c>
    </row>
    <row r="6551" spans="1:79" s="392" customFormat="1" ht="15" x14ac:dyDescent="0.25">
      <c r="A6551" s="430"/>
      <c r="B6551" s="386"/>
      <c r="C6551" s="386"/>
      <c r="D6551" s="434"/>
      <c r="E6551" s="385"/>
      <c r="F6551" s="432"/>
      <c r="G6551" s="401"/>
      <c r="H6551" s="401">
        <v>6</v>
      </c>
      <c r="I6551" s="401"/>
      <c r="J6551" s="401"/>
      <c r="K6551" s="401"/>
      <c r="L6551" s="672"/>
      <c r="M6551" s="673">
        <v>32657</v>
      </c>
      <c r="N6551" s="624">
        <v>6.7592678999999993</v>
      </c>
      <c r="O6551" s="625">
        <v>6.3401006531066659E-2</v>
      </c>
      <c r="P6551" s="390">
        <v>0.9</v>
      </c>
      <c r="Q6551" s="390">
        <v>2.1372893096615511</v>
      </c>
      <c r="R6551" s="390">
        <v>4.14550100636139</v>
      </c>
      <c r="S6551" s="390">
        <v>14.966645827183651</v>
      </c>
      <c r="T6551" s="388">
        <v>26.494747736815206</v>
      </c>
      <c r="U6551" s="388"/>
      <c r="V6551" s="391"/>
      <c r="W6551" s="391"/>
      <c r="X6551" s="391"/>
      <c r="Y6551" s="792"/>
      <c r="Z6551" s="388">
        <v>30</v>
      </c>
      <c r="AA6551" s="391">
        <v>4.14550100636139</v>
      </c>
      <c r="AC6551" s="388"/>
      <c r="AD6551" s="388">
        <v>13.929360000000001</v>
      </c>
      <c r="AE6551" s="388">
        <v>0.44500800000000001</v>
      </c>
      <c r="AF6551" s="388">
        <v>6.1778499999999994</v>
      </c>
      <c r="AG6551" s="391">
        <v>1.0942320000000001</v>
      </c>
      <c r="AH6551" s="397"/>
      <c r="AQ6551" s="397"/>
      <c r="AR6551" s="397"/>
      <c r="AS6551" s="397"/>
      <c r="AT6551" s="397"/>
      <c r="BE6551" s="397"/>
      <c r="BF6551" s="397"/>
      <c r="BG6551" s="397"/>
      <c r="BH6551" s="397"/>
      <c r="BI6551" s="397"/>
      <c r="BJ6551" s="397"/>
      <c r="BK6551" s="397"/>
      <c r="BL6551" s="397"/>
      <c r="BM6551" s="398"/>
      <c r="BN6551" s="398"/>
      <c r="BO6551" s="398"/>
      <c r="BP6551" s="398"/>
      <c r="BQ6551" s="398"/>
      <c r="BR6551" s="398"/>
      <c r="BS6551" s="397"/>
      <c r="BT6551" s="397"/>
      <c r="BU6551" s="397"/>
      <c r="BV6551" s="397"/>
      <c r="BW6551" s="397"/>
      <c r="BX6551" s="397"/>
      <c r="BY6551" s="397"/>
      <c r="CA6551" s="392" t="s">
        <v>408</v>
      </c>
    </row>
    <row r="6552" spans="1:79" s="392" customFormat="1" ht="15" x14ac:dyDescent="0.25">
      <c r="A6552" s="430"/>
      <c r="B6552" s="386"/>
      <c r="C6552" s="386"/>
      <c r="D6552" s="434"/>
      <c r="E6552" s="385"/>
      <c r="F6552" s="432"/>
      <c r="G6552" s="401"/>
      <c r="H6552" s="401">
        <v>3</v>
      </c>
      <c r="I6552" s="401"/>
      <c r="J6552" s="401"/>
      <c r="K6552" s="401"/>
      <c r="L6552" s="672"/>
      <c r="M6552" s="673">
        <v>32659</v>
      </c>
      <c r="N6552" s="624">
        <v>5.6614178099999997</v>
      </c>
      <c r="O6552" s="625">
        <v>6.5080869838000004E-3</v>
      </c>
      <c r="P6552" s="390">
        <v>0.63</v>
      </c>
      <c r="Q6552" s="390">
        <v>1.3197738134879646</v>
      </c>
      <c r="R6552" s="390">
        <v>2.31</v>
      </c>
      <c r="S6552" s="390">
        <v>7.81</v>
      </c>
      <c r="T6552" s="388">
        <v>13.34</v>
      </c>
      <c r="U6552" s="388"/>
      <c r="V6552" s="391"/>
      <c r="W6552" s="391"/>
      <c r="X6552" s="391"/>
      <c r="Y6552" s="792"/>
      <c r="Z6552" s="388">
        <v>14</v>
      </c>
      <c r="AA6552" s="391">
        <v>2.31</v>
      </c>
      <c r="AC6552" s="388"/>
      <c r="AD6552" s="388">
        <v>13.136880000000001</v>
      </c>
      <c r="AE6552" s="388">
        <v>0.40843200000000002</v>
      </c>
      <c r="AF6552" s="388">
        <v>5.3510400000000002</v>
      </c>
      <c r="AG6552" s="391">
        <v>1.0576560000000002</v>
      </c>
      <c r="AH6552" s="397"/>
      <c r="AQ6552" s="397"/>
      <c r="AR6552" s="397"/>
      <c r="AS6552" s="397"/>
      <c r="AT6552" s="397"/>
      <c r="BE6552" s="397"/>
      <c r="BF6552" s="397"/>
      <c r="BG6552" s="397"/>
      <c r="BH6552" s="397"/>
      <c r="BI6552" s="397"/>
      <c r="BJ6552" s="397"/>
      <c r="BK6552" s="397"/>
      <c r="BL6552" s="397"/>
      <c r="BM6552" s="398"/>
      <c r="BN6552" s="398"/>
      <c r="BO6552" s="398"/>
      <c r="BP6552" s="398"/>
      <c r="BQ6552" s="398"/>
      <c r="BR6552" s="398"/>
      <c r="BS6552" s="397"/>
      <c r="BT6552" s="397"/>
      <c r="BU6552" s="397"/>
      <c r="BV6552" s="397"/>
      <c r="BW6552" s="397"/>
      <c r="BX6552" s="397"/>
      <c r="BY6552" s="397"/>
      <c r="CA6552" s="392" t="s">
        <v>408</v>
      </c>
    </row>
    <row r="6553" spans="1:79" s="392" customFormat="1" ht="15" x14ac:dyDescent="0.25">
      <c r="A6553" s="430"/>
      <c r="B6553" s="386"/>
      <c r="C6553" s="386"/>
      <c r="D6553" s="434"/>
      <c r="E6553" s="385"/>
      <c r="F6553" s="432"/>
      <c r="G6553" s="401"/>
      <c r="H6553" s="401">
        <v>3</v>
      </c>
      <c r="I6553" s="401"/>
      <c r="J6553" s="401"/>
      <c r="K6553" s="401"/>
      <c r="L6553" s="672"/>
      <c r="M6553" s="673">
        <v>32661</v>
      </c>
      <c r="N6553" s="624">
        <v>5.0800697999999995</v>
      </c>
      <c r="O6553" s="625">
        <v>2.1008857982199997E-2</v>
      </c>
      <c r="P6553" s="390">
        <v>1.1001087896920241</v>
      </c>
      <c r="Q6553" s="390">
        <v>2.0099999999999998</v>
      </c>
      <c r="R6553" s="390">
        <v>3.0183288551868457</v>
      </c>
      <c r="S6553" s="390">
        <v>10.210000000000001</v>
      </c>
      <c r="T6553" s="388">
        <v>39.58</v>
      </c>
      <c r="U6553" s="388"/>
      <c r="V6553" s="391"/>
      <c r="W6553" s="391"/>
      <c r="X6553" s="391"/>
      <c r="Y6553" s="792"/>
      <c r="Z6553" s="388">
        <v>32</v>
      </c>
      <c r="AA6553" s="391">
        <v>3.0183288551868457</v>
      </c>
      <c r="AC6553" s="388"/>
      <c r="AD6553" s="388">
        <v>12.984480000000001</v>
      </c>
      <c r="AE6553" s="388">
        <v>0.420624</v>
      </c>
      <c r="AF6553" s="388">
        <v>5.4532300000000005</v>
      </c>
      <c r="AG6553" s="391">
        <v>0.93268800000000007</v>
      </c>
      <c r="AH6553" s="397"/>
      <c r="AQ6553" s="397"/>
      <c r="AR6553" s="397"/>
      <c r="AS6553" s="397"/>
      <c r="AT6553" s="397"/>
      <c r="BE6553" s="397"/>
      <c r="BF6553" s="397"/>
      <c r="BG6553" s="397"/>
      <c r="BH6553" s="397"/>
      <c r="BI6553" s="397"/>
      <c r="BJ6553" s="397"/>
      <c r="BK6553" s="397"/>
      <c r="BL6553" s="397"/>
      <c r="BM6553" s="398"/>
      <c r="BN6553" s="398"/>
      <c r="BO6553" s="398"/>
      <c r="BP6553" s="398"/>
      <c r="BQ6553" s="398"/>
      <c r="BR6553" s="398"/>
      <c r="BS6553" s="397"/>
      <c r="BT6553" s="397"/>
      <c r="BU6553" s="397"/>
      <c r="BV6553" s="397"/>
      <c r="BW6553" s="397"/>
      <c r="BX6553" s="397"/>
      <c r="BY6553" s="397"/>
      <c r="CA6553" s="392" t="s">
        <v>408</v>
      </c>
    </row>
    <row r="6554" spans="1:79" s="392" customFormat="1" ht="15" x14ac:dyDescent="0.25">
      <c r="A6554" s="430"/>
      <c r="B6554" s="386"/>
      <c r="C6554" s="386"/>
      <c r="D6554" s="434"/>
      <c r="E6554" s="385"/>
      <c r="F6554" s="432"/>
      <c r="G6554" s="401"/>
      <c r="H6554" s="401">
        <v>3</v>
      </c>
      <c r="I6554" s="401"/>
      <c r="J6554" s="401"/>
      <c r="K6554" s="401"/>
      <c r="L6554" s="672"/>
      <c r="M6554" s="673">
        <v>32663</v>
      </c>
      <c r="N6554" s="624">
        <v>3.8652704999999998</v>
      </c>
      <c r="O6554" s="625">
        <v>1.1135811061666665E-2</v>
      </c>
      <c r="P6554" s="390">
        <v>1.4810975522865646</v>
      </c>
      <c r="Q6554" s="390">
        <v>3.9513699914200973</v>
      </c>
      <c r="R6554" s="390">
        <v>6.714440362777264</v>
      </c>
      <c r="S6554" s="390">
        <v>37.291667943491412</v>
      </c>
      <c r="T6554" s="388">
        <v>42.433835980303179</v>
      </c>
      <c r="U6554" s="388"/>
      <c r="V6554" s="391"/>
      <c r="W6554" s="391"/>
      <c r="X6554" s="391"/>
      <c r="Y6554" s="792"/>
      <c r="Z6554" s="388">
        <v>32</v>
      </c>
      <c r="AA6554" s="391">
        <v>6.714440362777264</v>
      </c>
      <c r="AC6554" s="388"/>
      <c r="AD6554" s="388">
        <v>12.6492</v>
      </c>
      <c r="AE6554" s="388">
        <v>0.384048</v>
      </c>
      <c r="AF6554" s="388">
        <v>4.8679600000000001</v>
      </c>
      <c r="AG6554" s="391">
        <v>0.79248000000000007</v>
      </c>
      <c r="AH6554" s="397"/>
      <c r="AQ6554" s="397"/>
      <c r="AR6554" s="397"/>
      <c r="AS6554" s="397"/>
      <c r="AT6554" s="397"/>
      <c r="BE6554" s="397"/>
      <c r="BF6554" s="397"/>
      <c r="BG6554" s="397"/>
      <c r="BH6554" s="397"/>
      <c r="BI6554" s="397"/>
      <c r="BJ6554" s="397"/>
      <c r="BK6554" s="397"/>
      <c r="BL6554" s="397"/>
      <c r="BM6554" s="398"/>
      <c r="BN6554" s="398"/>
      <c r="BO6554" s="398"/>
      <c r="BP6554" s="398"/>
      <c r="BQ6554" s="398"/>
      <c r="BR6554" s="398"/>
      <c r="BS6554" s="397"/>
      <c r="BT6554" s="397"/>
      <c r="BU6554" s="397"/>
      <c r="BV6554" s="397"/>
      <c r="BW6554" s="397"/>
      <c r="BX6554" s="397"/>
      <c r="BY6554" s="397"/>
      <c r="CA6554" s="392" t="s">
        <v>408</v>
      </c>
    </row>
    <row r="6555" spans="1:79" s="392" customFormat="1" ht="15" x14ac:dyDescent="0.25">
      <c r="A6555" s="430"/>
      <c r="B6555" s="386"/>
      <c r="C6555" s="386"/>
      <c r="D6555" s="434"/>
      <c r="E6555" s="385"/>
      <c r="F6555" s="432"/>
      <c r="G6555" s="401"/>
      <c r="H6555" s="401">
        <v>3</v>
      </c>
      <c r="I6555" s="401"/>
      <c r="J6555" s="401"/>
      <c r="K6555" s="401"/>
      <c r="L6555" s="672"/>
      <c r="M6555" s="673">
        <v>32664</v>
      </c>
      <c r="N6555" s="624">
        <v>3.6472296000000002</v>
      </c>
      <c r="O6555" s="625">
        <v>1.7023965951999998E-2</v>
      </c>
      <c r="P6555" s="390">
        <v>2.04</v>
      </c>
      <c r="Q6555" s="390">
        <v>4.17</v>
      </c>
      <c r="R6555" s="390">
        <v>5.5</v>
      </c>
      <c r="S6555" s="390">
        <v>11.37</v>
      </c>
      <c r="T6555" s="388">
        <v>26.2</v>
      </c>
      <c r="U6555" s="388"/>
      <c r="V6555" s="391"/>
      <c r="W6555" s="391"/>
      <c r="X6555" s="391"/>
      <c r="Y6555" s="792"/>
      <c r="Z6555" s="388">
        <v>24</v>
      </c>
      <c r="AA6555" s="391">
        <v>5.5</v>
      </c>
      <c r="AC6555" s="388"/>
      <c r="AD6555" s="388">
        <v>12.161519999999999</v>
      </c>
      <c r="AE6555" s="388">
        <v>0.37185600000000002</v>
      </c>
      <c r="AF6555" s="388">
        <v>4.5335199999999993</v>
      </c>
      <c r="AG6555" s="391">
        <v>0.80467200000000005</v>
      </c>
      <c r="AH6555" s="397"/>
      <c r="AQ6555" s="397"/>
      <c r="AR6555" s="397"/>
      <c r="AS6555" s="397"/>
      <c r="AT6555" s="397"/>
      <c r="BE6555" s="397"/>
      <c r="BF6555" s="397"/>
      <c r="BG6555" s="397"/>
      <c r="BH6555" s="397"/>
      <c r="BI6555" s="397"/>
      <c r="BJ6555" s="397"/>
      <c r="BK6555" s="397"/>
      <c r="BL6555" s="397"/>
      <c r="BM6555" s="398"/>
      <c r="BN6555" s="398"/>
      <c r="BO6555" s="398"/>
      <c r="BP6555" s="398"/>
      <c r="BQ6555" s="398"/>
      <c r="BR6555" s="398"/>
      <c r="BS6555" s="397"/>
      <c r="BT6555" s="397"/>
      <c r="BU6555" s="397"/>
      <c r="BV6555" s="397"/>
      <c r="BW6555" s="397"/>
      <c r="BX6555" s="397"/>
      <c r="BY6555" s="397"/>
      <c r="CA6555" s="392" t="s">
        <v>408</v>
      </c>
    </row>
    <row r="6556" spans="1:79" s="392" customFormat="1" ht="15" x14ac:dyDescent="0.25">
      <c r="A6556" s="430"/>
      <c r="B6556" s="386"/>
      <c r="C6556" s="386"/>
      <c r="D6556" s="434"/>
      <c r="E6556" s="385"/>
      <c r="F6556" s="432"/>
      <c r="G6556" s="401"/>
      <c r="H6556" s="401">
        <v>3</v>
      </c>
      <c r="I6556" s="401"/>
      <c r="J6556" s="401"/>
      <c r="K6556" s="401"/>
      <c r="L6556" s="672"/>
      <c r="M6556" s="673">
        <v>32666</v>
      </c>
      <c r="N6556" s="624">
        <v>4.0125188999999999</v>
      </c>
      <c r="O6556" s="625">
        <v>1.3399973199999999E-3</v>
      </c>
      <c r="P6556" s="390">
        <v>0.69</v>
      </c>
      <c r="Q6556" s="390">
        <v>1.22</v>
      </c>
      <c r="R6556" s="390">
        <v>1.67</v>
      </c>
      <c r="S6556" s="390">
        <v>4</v>
      </c>
      <c r="T6556" s="388">
        <v>5.32</v>
      </c>
      <c r="U6556" s="388"/>
      <c r="V6556" s="391"/>
      <c r="W6556" s="391"/>
      <c r="X6556" s="391"/>
      <c r="Y6556" s="792"/>
      <c r="Z6556" s="388">
        <v>6</v>
      </c>
      <c r="AA6556" s="391">
        <v>1.67</v>
      </c>
      <c r="AC6556" s="388"/>
      <c r="AD6556" s="388">
        <v>12.252960000000002</v>
      </c>
      <c r="AE6556" s="388">
        <v>0.38709600000000005</v>
      </c>
      <c r="AF6556" s="388">
        <v>4.7286099999999998</v>
      </c>
      <c r="AG6556" s="391">
        <v>0.84734399999999999</v>
      </c>
      <c r="AH6556" s="397"/>
      <c r="AQ6556" s="397"/>
      <c r="AR6556" s="397"/>
      <c r="AS6556" s="397"/>
      <c r="AT6556" s="397"/>
      <c r="BE6556" s="397"/>
      <c r="BF6556" s="397"/>
      <c r="BG6556" s="397"/>
      <c r="BH6556" s="397"/>
      <c r="BI6556" s="397"/>
      <c r="BJ6556" s="397"/>
      <c r="BK6556" s="397"/>
      <c r="BL6556" s="397"/>
      <c r="BM6556" s="398"/>
      <c r="BN6556" s="398"/>
      <c r="BO6556" s="398"/>
      <c r="BP6556" s="398"/>
      <c r="BQ6556" s="398"/>
      <c r="BR6556" s="398"/>
      <c r="BS6556" s="397"/>
      <c r="BT6556" s="397"/>
      <c r="BU6556" s="397"/>
      <c r="BV6556" s="397"/>
      <c r="BW6556" s="397"/>
      <c r="BX6556" s="397"/>
      <c r="BY6556" s="397"/>
      <c r="CA6556" s="392" t="s">
        <v>408</v>
      </c>
    </row>
    <row r="6557" spans="1:79" s="392" customFormat="1" ht="15" x14ac:dyDescent="0.25">
      <c r="A6557" s="430"/>
      <c r="B6557" s="386"/>
      <c r="C6557" s="386"/>
      <c r="D6557" s="434"/>
      <c r="E6557" s="385"/>
      <c r="F6557" s="432"/>
      <c r="G6557" s="401"/>
      <c r="H6557" s="401">
        <v>6</v>
      </c>
      <c r="I6557" s="401"/>
      <c r="J6557" s="401"/>
      <c r="K6557" s="401"/>
      <c r="L6557" s="672"/>
      <c r="M6557" s="673">
        <v>32667</v>
      </c>
      <c r="N6557" s="624">
        <v>4.6655089199999997</v>
      </c>
      <c r="O6557" s="625">
        <v>0.49937400125000003</v>
      </c>
      <c r="P6557" s="390">
        <v>1.6228452060085274</v>
      </c>
      <c r="Q6557" s="390">
        <v>4.291875252588973</v>
      </c>
      <c r="R6557" s="390">
        <v>7.2980530894831981</v>
      </c>
      <c r="S6557" s="390">
        <v>28.516480279660239</v>
      </c>
      <c r="T6557" s="388">
        <v>52.91</v>
      </c>
      <c r="U6557" s="388"/>
      <c r="V6557" s="391"/>
      <c r="W6557" s="391"/>
      <c r="X6557" s="391"/>
      <c r="Y6557" s="792"/>
      <c r="Z6557" s="388">
        <v>60</v>
      </c>
      <c r="AA6557" s="391">
        <v>7.2980530894831981</v>
      </c>
      <c r="AC6557" s="388"/>
      <c r="AD6557" s="388">
        <v>12.954000000000001</v>
      </c>
      <c r="AE6557" s="388">
        <v>0.41452800000000006</v>
      </c>
      <c r="AF6557" s="388">
        <v>5.3696199999999994</v>
      </c>
      <c r="AG6557" s="391">
        <v>0.86868000000000012</v>
      </c>
      <c r="AH6557" s="386"/>
      <c r="AI6557" s="385"/>
      <c r="AJ6557" s="385"/>
      <c r="AK6557" s="385"/>
      <c r="AL6557" s="385"/>
      <c r="AM6557" s="385"/>
      <c r="AN6557" s="385"/>
      <c r="AO6557" s="385"/>
      <c r="AP6557" s="385"/>
      <c r="AQ6557" s="386"/>
      <c r="AR6557" s="386"/>
      <c r="AS6557" s="386"/>
      <c r="AT6557" s="386"/>
      <c r="AU6557" s="385"/>
      <c r="AV6557" s="385"/>
      <c r="AW6557" s="385"/>
      <c r="AX6557" s="385"/>
      <c r="AY6557" s="385"/>
      <c r="AZ6557" s="385"/>
      <c r="BA6557" s="385"/>
      <c r="BB6557" s="385"/>
      <c r="BC6557" s="385"/>
      <c r="BD6557" s="385"/>
      <c r="BE6557" s="397"/>
      <c r="BF6557" s="397"/>
      <c r="BG6557" s="397"/>
      <c r="BH6557" s="397"/>
      <c r="BI6557" s="397"/>
      <c r="BJ6557" s="397"/>
      <c r="BK6557" s="397"/>
      <c r="BL6557" s="397"/>
      <c r="BM6557" s="398"/>
      <c r="BN6557" s="398"/>
      <c r="BO6557" s="398"/>
      <c r="BP6557" s="398"/>
      <c r="BQ6557" s="398"/>
      <c r="BR6557" s="398"/>
      <c r="BS6557" s="397"/>
      <c r="BT6557" s="397"/>
      <c r="BU6557" s="397"/>
      <c r="BV6557" s="397"/>
      <c r="BW6557" s="397"/>
      <c r="BX6557" s="397"/>
      <c r="BY6557" s="397"/>
      <c r="CA6557" s="392" t="s">
        <v>408</v>
      </c>
    </row>
    <row r="6558" spans="1:79" s="392" customFormat="1" ht="15" x14ac:dyDescent="0.25">
      <c r="A6558" s="430"/>
      <c r="B6558" s="386"/>
      <c r="C6558" s="386"/>
      <c r="D6558" s="434"/>
      <c r="E6558" s="385"/>
      <c r="F6558" s="432"/>
      <c r="G6558" s="401"/>
      <c r="H6558" s="401">
        <v>6</v>
      </c>
      <c r="I6558" s="401"/>
      <c r="J6558" s="401"/>
      <c r="K6558" s="401"/>
      <c r="L6558" s="672"/>
      <c r="M6558" s="673">
        <v>32668</v>
      </c>
      <c r="N6558" s="624">
        <v>3.5883302399999999</v>
      </c>
      <c r="O6558" s="625">
        <v>8.2299542067253345E-2</v>
      </c>
      <c r="P6558" s="390">
        <v>1.8498703654855408</v>
      </c>
      <c r="Q6558" s="390">
        <v>4.318644998564638</v>
      </c>
      <c r="R6558" s="390">
        <v>6.8265747327404291</v>
      </c>
      <c r="S6558" s="390">
        <v>62.73</v>
      </c>
      <c r="T6558" s="388">
        <v>80.77</v>
      </c>
      <c r="U6558" s="388"/>
      <c r="V6558" s="391"/>
      <c r="W6558" s="391"/>
      <c r="X6558" s="391"/>
      <c r="Y6558" s="792"/>
      <c r="Z6558" s="388">
        <v>80</v>
      </c>
      <c r="AA6558" s="391">
        <v>6.8265747327404291</v>
      </c>
      <c r="AC6558" s="388"/>
      <c r="AD6558" s="388">
        <v>12.679680000000001</v>
      </c>
      <c r="AE6558" s="388">
        <v>0.384048</v>
      </c>
      <c r="AF6558" s="388">
        <v>4.8865400000000001</v>
      </c>
      <c r="AG6558" s="391">
        <v>0.73456800000000011</v>
      </c>
      <c r="AH6558" s="397"/>
      <c r="AQ6558" s="397"/>
      <c r="AR6558" s="397"/>
      <c r="AS6558" s="397"/>
      <c r="AT6558" s="397"/>
      <c r="BE6558" s="397"/>
      <c r="BF6558" s="397"/>
      <c r="BG6558" s="397"/>
      <c r="BH6558" s="397"/>
      <c r="BI6558" s="397"/>
      <c r="BJ6558" s="397"/>
      <c r="BK6558" s="397"/>
      <c r="BL6558" s="397"/>
      <c r="BM6558" s="398"/>
      <c r="BN6558" s="398"/>
      <c r="BO6558" s="398"/>
      <c r="BP6558" s="398"/>
      <c r="BQ6558" s="398"/>
      <c r="BR6558" s="398"/>
      <c r="BS6558" s="397"/>
      <c r="BT6558" s="397"/>
      <c r="BU6558" s="397"/>
      <c r="BV6558" s="397"/>
      <c r="BW6558" s="397"/>
      <c r="BX6558" s="397"/>
      <c r="BY6558" s="397"/>
      <c r="CA6558" s="392" t="s">
        <v>408</v>
      </c>
    </row>
    <row r="6559" spans="1:79" s="392" customFormat="1" ht="15" x14ac:dyDescent="0.25">
      <c r="A6559" s="430"/>
      <c r="B6559" s="386"/>
      <c r="C6559" s="386"/>
      <c r="D6559" s="434"/>
      <c r="E6559" s="385"/>
      <c r="F6559" s="432"/>
      <c r="G6559" s="401"/>
      <c r="H6559" s="401">
        <v>6</v>
      </c>
      <c r="I6559" s="401"/>
      <c r="J6559" s="401"/>
      <c r="K6559" s="401"/>
      <c r="L6559" s="672"/>
      <c r="M6559" s="673">
        <v>32669</v>
      </c>
      <c r="N6559" s="624">
        <v>3.7095269999999996</v>
      </c>
      <c r="O6559" s="625">
        <v>3.4873263586666668E-2</v>
      </c>
      <c r="P6559" s="390">
        <v>1.3745852805501824</v>
      </c>
      <c r="Q6559" s="390">
        <v>2.9956639996779848</v>
      </c>
      <c r="R6559" s="390">
        <v>4.7434217923661643</v>
      </c>
      <c r="S6559" s="390">
        <v>21.184372878326982</v>
      </c>
      <c r="T6559" s="388">
        <v>63.98</v>
      </c>
      <c r="U6559" s="388"/>
      <c r="V6559" s="391"/>
      <c r="W6559" s="391"/>
      <c r="X6559" s="391"/>
      <c r="Y6559" s="792"/>
      <c r="Z6559" s="388">
        <v>47</v>
      </c>
      <c r="AA6559" s="391">
        <v>4.7434217923661643</v>
      </c>
      <c r="AC6559" s="388"/>
      <c r="AD6559" s="388">
        <v>12.192</v>
      </c>
      <c r="AE6559" s="388">
        <v>0.384048</v>
      </c>
      <c r="AF6559" s="388">
        <v>4.6728699999999996</v>
      </c>
      <c r="AG6559" s="391">
        <v>0.79248000000000007</v>
      </c>
      <c r="AH6559" s="397"/>
      <c r="AQ6559" s="397"/>
      <c r="AR6559" s="397"/>
      <c r="AS6559" s="397"/>
      <c r="AT6559" s="397"/>
      <c r="BE6559" s="397"/>
      <c r="BF6559" s="397"/>
      <c r="BG6559" s="397"/>
      <c r="BH6559" s="397"/>
      <c r="BI6559" s="397"/>
      <c r="BJ6559" s="397"/>
      <c r="BK6559" s="397"/>
      <c r="BL6559" s="397"/>
      <c r="BM6559" s="398"/>
      <c r="BN6559" s="398"/>
      <c r="BO6559" s="398"/>
      <c r="BP6559" s="398"/>
      <c r="BQ6559" s="398"/>
      <c r="BR6559" s="398"/>
      <c r="BS6559" s="397"/>
      <c r="BT6559" s="397"/>
      <c r="BU6559" s="397"/>
      <c r="BV6559" s="397"/>
      <c r="BW6559" s="397"/>
      <c r="BX6559" s="397"/>
      <c r="BY6559" s="397"/>
      <c r="CA6559" s="392" t="s">
        <v>408</v>
      </c>
    </row>
    <row r="6560" spans="1:79" s="392" customFormat="1" ht="15" x14ac:dyDescent="0.25">
      <c r="A6560" s="430"/>
      <c r="B6560" s="386"/>
      <c r="C6560" s="386"/>
      <c r="D6560" s="434"/>
      <c r="E6560" s="385"/>
      <c r="F6560" s="432"/>
      <c r="G6560" s="401"/>
      <c r="H6560" s="401">
        <v>6</v>
      </c>
      <c r="I6560" s="401"/>
      <c r="J6560" s="401"/>
      <c r="K6560" s="401"/>
      <c r="L6560" s="672"/>
      <c r="M6560" s="673">
        <v>32670</v>
      </c>
      <c r="N6560" s="624">
        <v>6.3146909999999998</v>
      </c>
      <c r="O6560" s="625">
        <v>6.8902437194849994E-2</v>
      </c>
      <c r="P6560" s="390">
        <v>0.77139402981078364</v>
      </c>
      <c r="Q6560" s="390">
        <v>1.9082158400749472</v>
      </c>
      <c r="R6560" s="390">
        <v>3.3415909818644374</v>
      </c>
      <c r="S6560" s="390">
        <v>91.27</v>
      </c>
      <c r="T6560" s="388">
        <v>93.82</v>
      </c>
      <c r="U6560" s="388"/>
      <c r="V6560" s="391"/>
      <c r="W6560" s="391"/>
      <c r="X6560" s="391"/>
      <c r="Y6560" s="792"/>
      <c r="Z6560" s="388">
        <v>95</v>
      </c>
      <c r="AA6560" s="391">
        <v>3.3415909818644374</v>
      </c>
      <c r="AC6560" s="388"/>
      <c r="AD6560" s="388">
        <v>13.441680000000002</v>
      </c>
      <c r="AE6560" s="388">
        <v>0.46024800000000005</v>
      </c>
      <c r="AF6560" s="388">
        <v>6.1871399999999994</v>
      </c>
      <c r="AG6560" s="391">
        <v>1.02108</v>
      </c>
      <c r="AH6560" s="397"/>
      <c r="AQ6560" s="397"/>
      <c r="AR6560" s="397"/>
      <c r="AS6560" s="397"/>
      <c r="AT6560" s="397"/>
      <c r="BE6560" s="397"/>
      <c r="BF6560" s="397"/>
      <c r="BG6560" s="397"/>
      <c r="BH6560" s="397"/>
      <c r="BI6560" s="397"/>
      <c r="BJ6560" s="397"/>
      <c r="BK6560" s="397"/>
      <c r="BL6560" s="397"/>
      <c r="BM6560" s="398"/>
      <c r="BN6560" s="398"/>
      <c r="BO6560" s="398"/>
      <c r="BP6560" s="398"/>
      <c r="BQ6560" s="398"/>
      <c r="BR6560" s="398"/>
      <c r="BS6560" s="397"/>
      <c r="BT6560" s="397"/>
      <c r="BU6560" s="397"/>
      <c r="BV6560" s="397"/>
      <c r="BW6560" s="397"/>
      <c r="BX6560" s="397"/>
      <c r="BY6560" s="397"/>
      <c r="CA6560" s="392" t="s">
        <v>408</v>
      </c>
    </row>
    <row r="6561" spans="1:79" s="392" customFormat="1" ht="15" x14ac:dyDescent="0.25">
      <c r="A6561" s="430"/>
      <c r="B6561" s="386"/>
      <c r="C6561" s="386"/>
      <c r="D6561" s="434"/>
      <c r="E6561" s="385"/>
      <c r="F6561" s="432"/>
      <c r="G6561" s="401"/>
      <c r="H6561" s="401">
        <v>3</v>
      </c>
      <c r="I6561" s="401"/>
      <c r="J6561" s="401"/>
      <c r="K6561" s="401"/>
      <c r="L6561" s="672"/>
      <c r="M6561" s="673">
        <v>32671</v>
      </c>
      <c r="N6561" s="624">
        <v>5.4878346000000002</v>
      </c>
      <c r="O6561" s="625">
        <v>4.1373250586666663E-4</v>
      </c>
      <c r="P6561" s="390">
        <v>0.33878961060419571</v>
      </c>
      <c r="Q6561" s="390">
        <v>0.57624806442740539</v>
      </c>
      <c r="R6561" s="390">
        <v>0.76793048152074417</v>
      </c>
      <c r="S6561" s="390">
        <v>1.8680569804264897</v>
      </c>
      <c r="T6561" s="388">
        <v>4.0451154938016982</v>
      </c>
      <c r="U6561" s="388"/>
      <c r="V6561" s="391"/>
      <c r="W6561" s="391"/>
      <c r="X6561" s="391"/>
      <c r="Y6561" s="792"/>
      <c r="Z6561" s="388">
        <v>5</v>
      </c>
      <c r="AA6561" s="391">
        <v>0.76793048152074417</v>
      </c>
      <c r="AC6561" s="388"/>
      <c r="AD6561" s="388">
        <v>13.045439999999999</v>
      </c>
      <c r="AE6561" s="388">
        <v>0.420624</v>
      </c>
      <c r="AF6561" s="388">
        <v>5.4996799999999997</v>
      </c>
      <c r="AG6561" s="391">
        <v>0.99669600000000003</v>
      </c>
      <c r="AH6561" s="397"/>
      <c r="AQ6561" s="397"/>
      <c r="AR6561" s="397"/>
      <c r="AS6561" s="397"/>
      <c r="AT6561" s="397"/>
      <c r="BE6561" s="397"/>
      <c r="BF6561" s="397"/>
      <c r="BG6561" s="397"/>
      <c r="BH6561" s="397"/>
      <c r="BI6561" s="397"/>
      <c r="BJ6561" s="397"/>
      <c r="BK6561" s="397"/>
      <c r="BL6561" s="397"/>
      <c r="BM6561" s="398"/>
      <c r="BN6561" s="398"/>
      <c r="BO6561" s="398"/>
      <c r="BP6561" s="398"/>
      <c r="BQ6561" s="398"/>
      <c r="BR6561" s="398"/>
      <c r="BS6561" s="397"/>
      <c r="BT6561" s="397"/>
      <c r="BU6561" s="397"/>
      <c r="BV6561" s="397"/>
      <c r="BW6561" s="397"/>
      <c r="BX6561" s="397"/>
      <c r="BY6561" s="397"/>
      <c r="CA6561" s="392" t="s">
        <v>408</v>
      </c>
    </row>
    <row r="6562" spans="1:79" s="392" customFormat="1" ht="15" x14ac:dyDescent="0.25">
      <c r="A6562" s="430"/>
      <c r="B6562" s="386"/>
      <c r="C6562" s="386"/>
      <c r="D6562" s="434"/>
      <c r="E6562" s="385"/>
      <c r="F6562" s="432"/>
      <c r="G6562" s="401"/>
      <c r="H6562" s="401">
        <v>3</v>
      </c>
      <c r="I6562" s="401"/>
      <c r="J6562" s="401"/>
      <c r="K6562" s="401"/>
      <c r="L6562" s="672"/>
      <c r="M6562" s="673">
        <v>32675</v>
      </c>
      <c r="N6562" s="624">
        <v>5.612429399999999</v>
      </c>
      <c r="O6562" s="625">
        <v>3.4871596923333339E-4</v>
      </c>
      <c r="P6562" s="390">
        <v>0.57980366727805854</v>
      </c>
      <c r="Q6562" s="390">
        <v>1.0352649238413776</v>
      </c>
      <c r="R6562" s="390">
        <v>1.2919634150927433</v>
      </c>
      <c r="S6562" s="390">
        <v>2.4116156553815218</v>
      </c>
      <c r="T6562" s="388">
        <v>3.8470431191227781</v>
      </c>
      <c r="U6562" s="388"/>
      <c r="V6562" s="391"/>
      <c r="W6562" s="391"/>
      <c r="X6562" s="391"/>
      <c r="Y6562" s="792"/>
      <c r="Z6562" s="388">
        <v>5</v>
      </c>
      <c r="AA6562" s="391">
        <v>1.2919634150927433</v>
      </c>
      <c r="AC6562" s="388"/>
      <c r="AD6562" s="388">
        <v>13.014960000000002</v>
      </c>
      <c r="AE6562" s="388">
        <v>0.44805600000000001</v>
      </c>
      <c r="AF6562" s="388">
        <v>5.8434099999999995</v>
      </c>
      <c r="AG6562" s="391">
        <v>0.96011999999999997</v>
      </c>
      <c r="AH6562" s="397"/>
      <c r="AQ6562" s="397"/>
      <c r="AR6562" s="397"/>
      <c r="AS6562" s="397"/>
      <c r="AT6562" s="397"/>
      <c r="BE6562" s="397"/>
      <c r="BF6562" s="397"/>
      <c r="BG6562" s="397"/>
      <c r="BH6562" s="397"/>
      <c r="BI6562" s="397"/>
      <c r="BJ6562" s="397"/>
      <c r="BK6562" s="397"/>
      <c r="BL6562" s="397"/>
      <c r="BM6562" s="398"/>
      <c r="BN6562" s="398"/>
      <c r="BO6562" s="398"/>
      <c r="BP6562" s="398"/>
      <c r="BQ6562" s="398"/>
      <c r="BR6562" s="398"/>
      <c r="BS6562" s="397"/>
      <c r="BT6562" s="397"/>
      <c r="BU6562" s="397"/>
      <c r="BV6562" s="397"/>
      <c r="BW6562" s="397"/>
      <c r="BX6562" s="397"/>
      <c r="BY6562" s="397"/>
      <c r="CA6562" s="392" t="s">
        <v>408</v>
      </c>
    </row>
    <row r="6563" spans="1:79" s="392" customFormat="1" ht="15" x14ac:dyDescent="0.25">
      <c r="A6563" s="430"/>
      <c r="B6563" s="386"/>
      <c r="C6563" s="386"/>
      <c r="D6563" s="434"/>
      <c r="E6563" s="385"/>
      <c r="F6563" s="432"/>
      <c r="G6563" s="401"/>
      <c r="H6563" s="401">
        <v>6</v>
      </c>
      <c r="I6563" s="401"/>
      <c r="J6563" s="401"/>
      <c r="K6563" s="401"/>
      <c r="L6563" s="672"/>
      <c r="M6563" s="673">
        <v>32680</v>
      </c>
      <c r="N6563" s="624">
        <v>4.4854127999999998</v>
      </c>
      <c r="O6563" s="625">
        <v>3.7625774748299999E-2</v>
      </c>
      <c r="P6563" s="390">
        <v>0.73988516673727411</v>
      </c>
      <c r="Q6563" s="390">
        <v>1.3158903613933832</v>
      </c>
      <c r="R6563" s="390">
        <v>1.8704153591161772</v>
      </c>
      <c r="S6563" s="390">
        <v>6.1884757789531744</v>
      </c>
      <c r="T6563" s="388">
        <v>17.119777826290125</v>
      </c>
      <c r="U6563" s="388"/>
      <c r="V6563" s="391"/>
      <c r="W6563" s="391"/>
      <c r="X6563" s="391"/>
      <c r="Y6563" s="792"/>
      <c r="Z6563" s="388">
        <v>25</v>
      </c>
      <c r="AA6563" s="391">
        <v>1.8704153591161772</v>
      </c>
      <c r="AC6563" s="388"/>
      <c r="AD6563" s="388">
        <v>12.893039999999999</v>
      </c>
      <c r="AE6563" s="388">
        <v>0.40843200000000002</v>
      </c>
      <c r="AF6563" s="388">
        <v>5.2767199999999992</v>
      </c>
      <c r="AG6563" s="391">
        <v>0.85039200000000004</v>
      </c>
      <c r="AH6563" s="397"/>
      <c r="AQ6563" s="397"/>
      <c r="AR6563" s="397"/>
      <c r="AS6563" s="397"/>
      <c r="AT6563" s="397"/>
      <c r="BE6563" s="397"/>
      <c r="BF6563" s="397"/>
      <c r="BG6563" s="397"/>
      <c r="BH6563" s="397"/>
      <c r="BI6563" s="397"/>
      <c r="BJ6563" s="397"/>
      <c r="BK6563" s="397"/>
      <c r="BL6563" s="397"/>
      <c r="BM6563" s="398"/>
      <c r="BN6563" s="398"/>
      <c r="BO6563" s="398"/>
      <c r="BP6563" s="398"/>
      <c r="BQ6563" s="398"/>
      <c r="BR6563" s="398"/>
      <c r="BS6563" s="397"/>
      <c r="BT6563" s="397"/>
      <c r="BU6563" s="397"/>
      <c r="BV6563" s="397"/>
      <c r="BW6563" s="397"/>
      <c r="BX6563" s="397"/>
      <c r="BY6563" s="397"/>
      <c r="CA6563" s="392" t="s">
        <v>408</v>
      </c>
    </row>
    <row r="6564" spans="1:79" s="392" customFormat="1" ht="15" x14ac:dyDescent="0.25">
      <c r="A6564" s="430"/>
      <c r="B6564" s="386"/>
      <c r="C6564" s="386"/>
      <c r="D6564" s="434"/>
      <c r="E6564" s="385"/>
      <c r="F6564" s="432"/>
      <c r="G6564" s="401"/>
      <c r="H6564" s="401">
        <v>3</v>
      </c>
      <c r="I6564" s="401"/>
      <c r="J6564" s="401"/>
      <c r="K6564" s="401"/>
      <c r="L6564" s="672"/>
      <c r="M6564" s="673">
        <v>32682</v>
      </c>
      <c r="N6564" s="624">
        <v>2.9336411999999998</v>
      </c>
      <c r="O6564" s="625">
        <v>1.3365639935333333E-3</v>
      </c>
      <c r="P6564" s="390">
        <v>0.62633221931206395</v>
      </c>
      <c r="Q6564" s="390">
        <v>1.1502016340712689</v>
      </c>
      <c r="R6564" s="390">
        <v>1.7095124215883915</v>
      </c>
      <c r="S6564" s="390">
        <v>4.1399731440154497</v>
      </c>
      <c r="T6564" s="388">
        <v>5.0955491472527648</v>
      </c>
      <c r="U6564" s="388"/>
      <c r="V6564" s="391"/>
      <c r="W6564" s="391"/>
      <c r="X6564" s="391"/>
      <c r="Y6564" s="792"/>
      <c r="Z6564" s="388">
        <v>5</v>
      </c>
      <c r="AA6564" s="391">
        <v>1.7095124215883915</v>
      </c>
      <c r="AC6564" s="388"/>
      <c r="AD6564" s="388">
        <v>12.100560000000002</v>
      </c>
      <c r="AE6564" s="388">
        <v>0.34442400000000001</v>
      </c>
      <c r="AF6564" s="388">
        <v>4.1804999999999994</v>
      </c>
      <c r="AG6564" s="391">
        <v>0.70104</v>
      </c>
      <c r="AH6564" s="397"/>
      <c r="AQ6564" s="397"/>
      <c r="AR6564" s="397"/>
      <c r="AS6564" s="397"/>
      <c r="AT6564" s="397"/>
      <c r="BE6564" s="397"/>
      <c r="BF6564" s="397"/>
      <c r="BG6564" s="397"/>
      <c r="BH6564" s="397"/>
      <c r="BI6564" s="397"/>
      <c r="BJ6564" s="397"/>
      <c r="BK6564" s="397"/>
      <c r="BL6564" s="397"/>
      <c r="BM6564" s="398"/>
      <c r="BN6564" s="398"/>
      <c r="BO6564" s="398"/>
      <c r="BP6564" s="398"/>
      <c r="BQ6564" s="398"/>
      <c r="BR6564" s="398"/>
      <c r="BS6564" s="397"/>
      <c r="BT6564" s="397"/>
      <c r="BU6564" s="397"/>
      <c r="BV6564" s="397"/>
      <c r="BW6564" s="397"/>
      <c r="BX6564" s="397"/>
      <c r="BY6564" s="397"/>
      <c r="CA6564" s="392" t="s">
        <v>408</v>
      </c>
    </row>
    <row r="6565" spans="1:79" s="189" customFormat="1" ht="15.75" thickBot="1" x14ac:dyDescent="0.3">
      <c r="A6565" s="24" t="s">
        <v>427</v>
      </c>
      <c r="B6565" s="14" t="s">
        <v>34</v>
      </c>
      <c r="C6565" s="14"/>
      <c r="D6565" s="4">
        <f>VLOOKUP(E6565,'Quality Code'!D4:E24,2,TRUE)*VLOOKUP(MROUND(F6565,10),'Quality Code'!D28:E69,2,TRUE)*VLOOKUP(COUNTA(CB6565:CB6565),'Quality Code'!D73:E93,2,TRUE)</f>
        <v>0.6</v>
      </c>
      <c r="E6565" s="14">
        <v>0.6</v>
      </c>
      <c r="F6565" s="18">
        <v>41</v>
      </c>
      <c r="G6565" s="2">
        <v>228.64774083891464</v>
      </c>
      <c r="H6565" s="2" t="s">
        <v>105</v>
      </c>
      <c r="I6565" s="2"/>
      <c r="J6565" s="2"/>
      <c r="K6565" s="2"/>
      <c r="L6565" s="640"/>
      <c r="M6565" s="640">
        <v>1989</v>
      </c>
      <c r="N6565" s="578" t="s">
        <v>110</v>
      </c>
      <c r="O6565" s="622"/>
      <c r="P6565" s="376" t="s">
        <v>402</v>
      </c>
      <c r="Q6565" s="376" t="s">
        <v>403</v>
      </c>
      <c r="R6565" s="376" t="s">
        <v>404</v>
      </c>
      <c r="S6565" s="376" t="s">
        <v>405</v>
      </c>
      <c r="T6565" s="376" t="s">
        <v>406</v>
      </c>
      <c r="U6565" s="141" t="s">
        <v>20</v>
      </c>
      <c r="V6565" s="2"/>
      <c r="W6565" s="2"/>
      <c r="X6565" s="2"/>
      <c r="Y6565" s="2"/>
      <c r="Z6565" s="26"/>
      <c r="AA6565" s="26"/>
      <c r="AB6565" s="377"/>
      <c r="AC6565" s="26">
        <v>8.0000000000000002E-3</v>
      </c>
      <c r="AD6565" s="26"/>
      <c r="AE6565" s="26"/>
      <c r="AF6565" s="26"/>
      <c r="AG6565" s="26"/>
      <c r="AH6565" s="4"/>
      <c r="AI6565" s="376"/>
      <c r="AJ6565" s="376"/>
      <c r="AK6565" s="376"/>
      <c r="AL6565" s="376"/>
      <c r="AM6565" s="376"/>
      <c r="AN6565" s="376"/>
      <c r="AO6565" s="376"/>
      <c r="AP6565" s="376"/>
      <c r="AQ6565" s="378"/>
      <c r="AR6565" s="378"/>
      <c r="AS6565" s="378"/>
      <c r="AT6565" s="378"/>
      <c r="AU6565" s="379"/>
      <c r="AV6565" s="379"/>
      <c r="AW6565" s="379"/>
      <c r="AX6565" s="379"/>
      <c r="AY6565" s="379"/>
      <c r="AZ6565" s="380"/>
      <c r="BA6565" s="380"/>
      <c r="BB6565" s="380"/>
      <c r="BC6565" s="380"/>
      <c r="BD6565" s="380"/>
      <c r="BE6565" s="4"/>
      <c r="BF6565" s="4"/>
      <c r="BG6565" s="4"/>
      <c r="BH6565" s="4"/>
      <c r="BI6565" s="12"/>
      <c r="BJ6565" s="2"/>
      <c r="BK6565" s="2"/>
      <c r="BL6565" s="4"/>
      <c r="BM6565" s="12">
        <v>9.3517396729588977</v>
      </c>
      <c r="BN6565" s="12">
        <v>16.276320000000002</v>
      </c>
      <c r="BO6565" s="12">
        <v>0.40668539325842701</v>
      </c>
      <c r="BP6565" s="4">
        <v>6.6193416000000012</v>
      </c>
      <c r="BQ6565" s="4">
        <v>40.0218947368421</v>
      </c>
      <c r="BR6565" s="4"/>
      <c r="BS6565" s="2"/>
      <c r="BT6565" s="9"/>
      <c r="BU6565" s="381"/>
      <c r="BV6565" s="382"/>
      <c r="BW6565" s="383"/>
      <c r="BX6565" s="383"/>
      <c r="BY6565" s="383"/>
      <c r="BZ6565" s="384"/>
      <c r="CA6565" s="411" t="s">
        <v>408</v>
      </c>
    </row>
    <row r="6566" spans="1:79" s="392" customFormat="1" ht="15" x14ac:dyDescent="0.25">
      <c r="A6566" s="430"/>
      <c r="B6566" s="386"/>
      <c r="C6566" s="386"/>
      <c r="D6566" s="434"/>
      <c r="E6566" s="385"/>
      <c r="F6566" s="432"/>
      <c r="G6566" s="401"/>
      <c r="H6566" s="401">
        <v>3</v>
      </c>
      <c r="I6566" s="401"/>
      <c r="J6566" s="401"/>
      <c r="K6566" s="401"/>
      <c r="L6566" s="672"/>
      <c r="M6566" s="673">
        <v>32623</v>
      </c>
      <c r="N6566" s="624">
        <v>0.73624199999999995</v>
      </c>
      <c r="O6566" s="625">
        <v>3.3149933699999994E-3</v>
      </c>
      <c r="P6566" s="390">
        <v>0.41049491094508822</v>
      </c>
      <c r="Q6566" s="390">
        <v>0.79850695817502348</v>
      </c>
      <c r="R6566" s="390">
        <v>1.2056751679576081</v>
      </c>
      <c r="S6566" s="390">
        <v>3.1818924169025329</v>
      </c>
      <c r="T6566" s="388">
        <v>6.0379505500503425</v>
      </c>
      <c r="U6566" s="388"/>
      <c r="V6566" s="391"/>
      <c r="W6566" s="391"/>
      <c r="X6566" s="391"/>
      <c r="Y6566" s="792"/>
      <c r="Z6566" s="388">
        <v>14</v>
      </c>
      <c r="AA6566" s="391">
        <v>1.2056751679576081</v>
      </c>
      <c r="AC6566" s="388"/>
      <c r="AD6566" s="388">
        <v>7.62</v>
      </c>
      <c r="AE6566" s="388">
        <v>0.2298192</v>
      </c>
      <c r="AF6566" s="388">
        <v>1.7493069999999997</v>
      </c>
      <c r="AG6566" s="391">
        <v>0.420624</v>
      </c>
      <c r="AH6566" s="393"/>
      <c r="AI6566" s="394"/>
      <c r="AJ6566" s="394"/>
      <c r="AK6566" s="394"/>
      <c r="AL6566" s="394"/>
      <c r="AM6566" s="394"/>
      <c r="AN6566" s="394"/>
      <c r="AO6566" s="394"/>
      <c r="AP6566" s="395"/>
      <c r="AQ6566" s="396"/>
      <c r="AR6566" s="396"/>
      <c r="AS6566" s="396"/>
      <c r="AT6566" s="396"/>
      <c r="AU6566" s="394"/>
      <c r="AV6566" s="394"/>
      <c r="AW6566" s="394"/>
      <c r="AX6566" s="394"/>
      <c r="AY6566" s="394"/>
      <c r="AZ6566" s="394"/>
      <c r="BA6566" s="394"/>
      <c r="BB6566" s="394"/>
      <c r="BC6566" s="394"/>
      <c r="BD6566" s="395"/>
      <c r="BE6566" s="397"/>
      <c r="BF6566" s="397"/>
      <c r="BG6566" s="397"/>
      <c r="BH6566" s="397"/>
      <c r="BI6566" s="397"/>
      <c r="BJ6566" s="397"/>
      <c r="BK6566" s="397"/>
      <c r="BL6566" s="397"/>
      <c r="BM6566" s="398"/>
      <c r="BN6566" s="398"/>
      <c r="BO6566" s="397"/>
      <c r="BP6566" s="398"/>
      <c r="BQ6566" s="398"/>
      <c r="BR6566" s="398"/>
      <c r="BS6566" s="397"/>
      <c r="BT6566" s="397"/>
      <c r="BU6566" s="397"/>
      <c r="BV6566" s="397"/>
      <c r="BW6566" s="397"/>
      <c r="BX6566" s="397"/>
      <c r="BY6566" s="397"/>
      <c r="CA6566" s="392" t="s">
        <v>408</v>
      </c>
    </row>
    <row r="6567" spans="1:79" s="392" customFormat="1" ht="15" x14ac:dyDescent="0.25">
      <c r="A6567" s="430"/>
      <c r="B6567" s="386"/>
      <c r="C6567" s="386"/>
      <c r="D6567" s="434"/>
      <c r="E6567" s="385"/>
      <c r="F6567" s="432"/>
      <c r="G6567" s="401"/>
      <c r="H6567" s="401">
        <v>3</v>
      </c>
      <c r="I6567" s="401"/>
      <c r="J6567" s="401"/>
      <c r="K6567" s="401"/>
      <c r="L6567" s="672"/>
      <c r="M6567" s="673">
        <v>32629</v>
      </c>
      <c r="N6567" s="624">
        <v>0.53802299999999992</v>
      </c>
      <c r="O6567" s="625">
        <v>1.9666627333333331E-4</v>
      </c>
      <c r="P6567" s="390">
        <v>0.54697448992216036</v>
      </c>
      <c r="Q6567" s="390">
        <v>0.79328385411918134</v>
      </c>
      <c r="R6567" s="390">
        <v>1.0392592260318434</v>
      </c>
      <c r="S6567" s="390">
        <v>1.7393141341380549</v>
      </c>
      <c r="T6567" s="388">
        <v>2.3991111520818058</v>
      </c>
      <c r="U6567" s="388"/>
      <c r="V6567" s="391"/>
      <c r="W6567" s="391"/>
      <c r="X6567" s="391"/>
      <c r="Y6567" s="792"/>
      <c r="Z6567" s="388">
        <v>2</v>
      </c>
      <c r="AA6567" s="391">
        <v>1.0392592260318434</v>
      </c>
      <c r="AC6567" s="388"/>
      <c r="AD6567" s="388">
        <v>7.8638400000000006</v>
      </c>
      <c r="AE6567" s="388">
        <v>0.20421600000000001</v>
      </c>
      <c r="AF6567" s="388">
        <v>1.5997379999999999</v>
      </c>
      <c r="AG6567" s="391">
        <v>0.3361944</v>
      </c>
      <c r="AH6567" s="397"/>
      <c r="AQ6567" s="397"/>
      <c r="AR6567" s="397"/>
      <c r="AS6567" s="397"/>
      <c r="AT6567" s="397"/>
      <c r="BE6567" s="397"/>
      <c r="BF6567" s="397"/>
      <c r="BG6567" s="397"/>
      <c r="BH6567" s="397"/>
      <c r="BI6567" s="397"/>
      <c r="BJ6567" s="397"/>
      <c r="BK6567" s="397"/>
      <c r="BL6567" s="397"/>
      <c r="BM6567" s="398"/>
      <c r="BN6567" s="398"/>
      <c r="BO6567" s="397"/>
      <c r="BP6567" s="398"/>
      <c r="BQ6567" s="398"/>
      <c r="BR6567" s="398"/>
      <c r="BS6567" s="397"/>
      <c r="BT6567" s="397"/>
      <c r="BU6567" s="397"/>
      <c r="BV6567" s="397"/>
      <c r="BW6567" s="397"/>
      <c r="BX6567" s="397"/>
      <c r="BY6567" s="397"/>
      <c r="CA6567" s="392" t="s">
        <v>408</v>
      </c>
    </row>
    <row r="6568" spans="1:79" s="392" customFormat="1" ht="15" x14ac:dyDescent="0.25">
      <c r="A6568" s="430"/>
      <c r="B6568" s="386"/>
      <c r="C6568" s="386"/>
      <c r="D6568" s="434"/>
      <c r="E6568" s="385"/>
      <c r="F6568" s="432"/>
      <c r="G6568" s="401"/>
      <c r="H6568" s="401">
        <v>3</v>
      </c>
      <c r="I6568" s="401"/>
      <c r="J6568" s="401"/>
      <c r="K6568" s="401"/>
      <c r="L6568" s="672"/>
      <c r="M6568" s="673">
        <v>32630</v>
      </c>
      <c r="N6568" s="624">
        <v>0.57200339999999994</v>
      </c>
      <c r="O6568" s="625">
        <v>3.3333266666666669E-6</v>
      </c>
      <c r="P6568" s="390" t="e">
        <v>#N/A</v>
      </c>
      <c r="Q6568" s="390" t="e">
        <v>#N/A</v>
      </c>
      <c r="R6568" s="390" t="e">
        <v>#N/A</v>
      </c>
      <c r="S6568" s="390" t="e">
        <v>#N/A</v>
      </c>
      <c r="T6568" s="388" t="e">
        <v>#N/A</v>
      </c>
      <c r="U6568" s="388"/>
      <c r="V6568" s="391"/>
      <c r="W6568" s="391"/>
      <c r="X6568" s="391"/>
      <c r="Y6568" s="792"/>
      <c r="Z6568" s="388" t="e">
        <v>#N/A</v>
      </c>
      <c r="AA6568" s="391" t="e">
        <v>#N/A</v>
      </c>
      <c r="AC6568" s="388"/>
      <c r="AD6568" s="388">
        <v>7.5285600000000006</v>
      </c>
      <c r="AE6568" s="388">
        <v>0.16764000000000001</v>
      </c>
      <c r="AF6568" s="388">
        <v>1.269943</v>
      </c>
      <c r="AG6568" s="391">
        <v>0.44500800000000001</v>
      </c>
      <c r="AH6568" s="397"/>
      <c r="AQ6568" s="397"/>
      <c r="AR6568" s="397"/>
      <c r="AS6568" s="397"/>
      <c r="AT6568" s="397"/>
      <c r="BE6568" s="397"/>
      <c r="BF6568" s="397"/>
      <c r="BG6568" s="397"/>
      <c r="BH6568" s="397"/>
      <c r="BI6568" s="397"/>
      <c r="BJ6568" s="397"/>
      <c r="BK6568" s="397"/>
      <c r="BL6568" s="397"/>
      <c r="BM6568" s="398"/>
      <c r="BN6568" s="398"/>
      <c r="BO6568" s="397"/>
      <c r="BP6568" s="398"/>
      <c r="BQ6568" s="398"/>
      <c r="BR6568" s="398"/>
      <c r="BS6568" s="397"/>
      <c r="BT6568" s="397"/>
      <c r="BU6568" s="397"/>
      <c r="BV6568" s="397"/>
      <c r="BW6568" s="397"/>
      <c r="BX6568" s="397"/>
      <c r="BY6568" s="397"/>
      <c r="CA6568" s="392" t="s">
        <v>408</v>
      </c>
    </row>
    <row r="6569" spans="1:79" s="392" customFormat="1" ht="15" x14ac:dyDescent="0.25">
      <c r="A6569" s="430"/>
      <c r="B6569" s="386"/>
      <c r="C6569" s="386"/>
      <c r="D6569" s="434"/>
      <c r="E6569" s="385"/>
      <c r="F6569" s="432"/>
      <c r="G6569" s="401"/>
      <c r="H6569" s="401">
        <v>3</v>
      </c>
      <c r="I6569" s="401"/>
      <c r="J6569" s="401"/>
      <c r="K6569" s="401"/>
      <c r="L6569" s="672"/>
      <c r="M6569" s="673">
        <v>32631</v>
      </c>
      <c r="N6569" s="624">
        <v>0.54170420999999991</v>
      </c>
      <c r="O6569" s="625">
        <v>6.7666531333333336E-4</v>
      </c>
      <c r="P6569" s="390">
        <v>1.2668345069462255</v>
      </c>
      <c r="Q6569" s="390">
        <v>2.0371069697873749</v>
      </c>
      <c r="R6569" s="390">
        <v>2.4474923454995858</v>
      </c>
      <c r="S6569" s="390">
        <v>3.7101519164536167</v>
      </c>
      <c r="T6569" s="388">
        <v>4.7209353042921531</v>
      </c>
      <c r="U6569" s="388"/>
      <c r="V6569" s="391"/>
      <c r="W6569" s="391"/>
      <c r="X6569" s="391"/>
      <c r="Y6569" s="792"/>
      <c r="Z6569" s="388">
        <v>5</v>
      </c>
      <c r="AA6569" s="391">
        <v>2.4474923454995858</v>
      </c>
      <c r="AC6569" s="388"/>
      <c r="AD6569" s="388">
        <v>7.4980800000000007</v>
      </c>
      <c r="AE6569" s="388">
        <v>0.16764000000000001</v>
      </c>
      <c r="AF6569" s="388">
        <v>1.2495049999999999</v>
      </c>
      <c r="AG6569" s="391">
        <v>0.43281599999999998</v>
      </c>
      <c r="AH6569" s="385"/>
      <c r="AI6569" s="385"/>
      <c r="AJ6569" s="385"/>
      <c r="AK6569" s="385"/>
      <c r="AL6569" s="385"/>
      <c r="AM6569" s="385"/>
      <c r="AN6569" s="385"/>
      <c r="AO6569" s="385"/>
      <c r="AP6569" s="385"/>
      <c r="AQ6569" s="385"/>
      <c r="AR6569" s="385"/>
      <c r="AS6569" s="385"/>
      <c r="AT6569" s="385"/>
      <c r="AU6569" s="385"/>
      <c r="AV6569" s="385"/>
      <c r="AW6569" s="385"/>
      <c r="AX6569" s="385"/>
      <c r="AY6569" s="385"/>
      <c r="AZ6569" s="385"/>
      <c r="BA6569" s="385"/>
      <c r="BB6569" s="385"/>
      <c r="BC6569" s="385"/>
      <c r="BD6569" s="385"/>
      <c r="BE6569" s="397"/>
      <c r="BF6569" s="397"/>
      <c r="BG6569" s="397"/>
      <c r="BH6569" s="397"/>
      <c r="BI6569" s="397"/>
      <c r="BJ6569" s="397"/>
      <c r="BK6569" s="397"/>
      <c r="BL6569" s="397"/>
      <c r="BM6569" s="398"/>
      <c r="BN6569" s="398"/>
      <c r="BO6569" s="397"/>
      <c r="BP6569" s="398"/>
      <c r="BQ6569" s="398"/>
      <c r="BR6569" s="398"/>
      <c r="BS6569" s="397"/>
      <c r="BT6569" s="397"/>
      <c r="BU6569" s="397"/>
      <c r="BV6569" s="397"/>
      <c r="BW6569" s="397"/>
      <c r="BX6569" s="397"/>
      <c r="BY6569" s="397"/>
      <c r="CA6569" s="392" t="s">
        <v>408</v>
      </c>
    </row>
    <row r="6570" spans="1:79" s="392" customFormat="1" ht="15" x14ac:dyDescent="0.25">
      <c r="A6570" s="430"/>
      <c r="B6570" s="386"/>
      <c r="C6570" s="386"/>
      <c r="D6570" s="434"/>
      <c r="E6570" s="385"/>
      <c r="F6570" s="432"/>
      <c r="G6570" s="401"/>
      <c r="H6570" s="401">
        <v>3</v>
      </c>
      <c r="I6570" s="401"/>
      <c r="J6570" s="401"/>
      <c r="K6570" s="401"/>
      <c r="L6570" s="672"/>
      <c r="M6570" s="673">
        <v>32632</v>
      </c>
      <c r="N6570" s="624">
        <v>0.54255372000000002</v>
      </c>
      <c r="O6570" s="625">
        <v>3.0333272666666669E-4</v>
      </c>
      <c r="P6570" s="390">
        <v>1.1059701899136649</v>
      </c>
      <c r="Q6570" s="390">
        <v>1.6404168865003714</v>
      </c>
      <c r="R6570" s="390">
        <v>2.1469263896934612</v>
      </c>
      <c r="S6570" s="390">
        <v>3.4953926927370307</v>
      </c>
      <c r="T6570" s="388">
        <v>4.3388463073314103</v>
      </c>
      <c r="U6570" s="388"/>
      <c r="V6570" s="391"/>
      <c r="W6570" s="391"/>
      <c r="X6570" s="391"/>
      <c r="Y6570" s="792"/>
      <c r="Z6570" s="388">
        <v>4</v>
      </c>
      <c r="AA6570" s="391">
        <v>2.1469263896934612</v>
      </c>
      <c r="AC6570" s="388"/>
      <c r="AD6570" s="388">
        <v>7.4066400000000003</v>
      </c>
      <c r="AE6570" s="388">
        <v>0.17068800000000003</v>
      </c>
      <c r="AF6570" s="388">
        <v>1.256008</v>
      </c>
      <c r="AG6570" s="391">
        <v>0.42671999999999999</v>
      </c>
      <c r="AH6570" s="385"/>
      <c r="AI6570" s="385"/>
      <c r="AJ6570" s="385"/>
      <c r="AK6570" s="385"/>
      <c r="AL6570" s="385"/>
      <c r="AM6570" s="385"/>
      <c r="AN6570" s="385"/>
      <c r="AO6570" s="385"/>
      <c r="AP6570" s="385"/>
      <c r="AQ6570" s="385"/>
      <c r="AR6570" s="385"/>
      <c r="AS6570" s="385"/>
      <c r="AT6570" s="385"/>
      <c r="AU6570" s="385"/>
      <c r="AV6570" s="385"/>
      <c r="AW6570" s="385"/>
      <c r="AX6570" s="385"/>
      <c r="AY6570" s="385"/>
      <c r="AZ6570" s="385"/>
      <c r="BA6570" s="385"/>
      <c r="BB6570" s="385"/>
      <c r="BC6570" s="385"/>
      <c r="BD6570" s="385"/>
      <c r="BE6570" s="397"/>
      <c r="BF6570" s="397"/>
      <c r="BG6570" s="397"/>
      <c r="BH6570" s="397"/>
      <c r="BI6570" s="397"/>
      <c r="BJ6570" s="397"/>
      <c r="BK6570" s="397"/>
      <c r="BL6570" s="397"/>
      <c r="BM6570" s="398"/>
      <c r="BN6570" s="398"/>
      <c r="BO6570" s="397"/>
      <c r="BP6570" s="398"/>
      <c r="BQ6570" s="398"/>
      <c r="BR6570" s="398"/>
      <c r="BS6570" s="397"/>
      <c r="BT6570" s="397"/>
      <c r="BU6570" s="397"/>
      <c r="BV6570" s="397"/>
      <c r="BW6570" s="397"/>
      <c r="BX6570" s="397"/>
      <c r="BY6570" s="397"/>
      <c r="CA6570" s="392" t="s">
        <v>408</v>
      </c>
    </row>
    <row r="6571" spans="1:79" s="392" customFormat="1" ht="15" x14ac:dyDescent="0.25">
      <c r="A6571" s="430"/>
      <c r="B6571" s="386"/>
      <c r="C6571" s="386"/>
      <c r="D6571" s="434"/>
      <c r="E6571" s="385"/>
      <c r="F6571" s="432"/>
      <c r="G6571" s="401"/>
      <c r="H6571" s="401">
        <v>3</v>
      </c>
      <c r="I6571" s="401"/>
      <c r="J6571" s="401"/>
      <c r="K6571" s="401"/>
      <c r="L6571" s="672"/>
      <c r="M6571" s="673">
        <v>32633</v>
      </c>
      <c r="N6571" s="624">
        <v>0.49243262999999998</v>
      </c>
      <c r="O6571" s="625">
        <v>5.999988E-5</v>
      </c>
      <c r="P6571" s="390">
        <v>0.39914919317832487</v>
      </c>
      <c r="Q6571" s="390">
        <v>0.65217603488278209</v>
      </c>
      <c r="R6571" s="390">
        <v>0.89089871814033927</v>
      </c>
      <c r="S6571" s="390">
        <v>2.0562276533121335</v>
      </c>
      <c r="T6571" s="388">
        <v>3.2490095854249414</v>
      </c>
      <c r="U6571" s="388"/>
      <c r="V6571" s="391"/>
      <c r="W6571" s="391"/>
      <c r="X6571" s="391"/>
      <c r="Y6571" s="792"/>
      <c r="Z6571" s="388">
        <v>4</v>
      </c>
      <c r="AA6571" s="391">
        <v>0.89089871814033927</v>
      </c>
      <c r="AC6571" s="388"/>
      <c r="AD6571" s="388">
        <v>7.3456800000000007</v>
      </c>
      <c r="AE6571" s="388">
        <v>0.15849600000000003</v>
      </c>
      <c r="AF6571" s="388">
        <v>1.260653</v>
      </c>
      <c r="AG6571" s="391">
        <v>0.420624</v>
      </c>
      <c r="AH6571" s="385"/>
      <c r="AI6571" s="385"/>
      <c r="AJ6571" s="385"/>
      <c r="AK6571" s="385"/>
      <c r="AL6571" s="385"/>
      <c r="AM6571" s="385"/>
      <c r="AN6571" s="385"/>
      <c r="AO6571" s="385"/>
      <c r="AP6571" s="385"/>
      <c r="AQ6571" s="385"/>
      <c r="AR6571" s="385"/>
      <c r="AS6571" s="385"/>
      <c r="AT6571" s="385"/>
      <c r="AU6571" s="385"/>
      <c r="AV6571" s="385"/>
      <c r="AW6571" s="385"/>
      <c r="AX6571" s="385"/>
      <c r="AY6571" s="385"/>
      <c r="AZ6571" s="385"/>
      <c r="BA6571" s="385"/>
      <c r="BB6571" s="385"/>
      <c r="BC6571" s="385"/>
      <c r="BD6571" s="385"/>
      <c r="BE6571" s="397"/>
      <c r="BF6571" s="397"/>
      <c r="BG6571" s="397"/>
      <c r="BH6571" s="397"/>
      <c r="BI6571" s="397"/>
      <c r="BJ6571" s="397"/>
      <c r="BK6571" s="397"/>
      <c r="BL6571" s="397"/>
      <c r="BM6571" s="398"/>
      <c r="BN6571" s="398"/>
      <c r="BO6571" s="397"/>
      <c r="BP6571" s="398"/>
      <c r="BQ6571" s="398"/>
      <c r="BR6571" s="398"/>
      <c r="BS6571" s="397"/>
      <c r="BT6571" s="397"/>
      <c r="BU6571" s="397"/>
      <c r="BV6571" s="397"/>
      <c r="BW6571" s="397"/>
      <c r="BX6571" s="397"/>
      <c r="BY6571" s="397"/>
      <c r="CA6571" s="392" t="s">
        <v>408</v>
      </c>
    </row>
    <row r="6572" spans="1:79" s="392" customFormat="1" ht="15" x14ac:dyDescent="0.25">
      <c r="A6572" s="430"/>
      <c r="B6572" s="386"/>
      <c r="C6572" s="386"/>
      <c r="D6572" s="434"/>
      <c r="E6572" s="385"/>
      <c r="F6572" s="432"/>
      <c r="G6572" s="401"/>
      <c r="H6572" s="401">
        <v>3</v>
      </c>
      <c r="I6572" s="401"/>
      <c r="J6572" s="401"/>
      <c r="K6572" s="401"/>
      <c r="L6572" s="672"/>
      <c r="M6572" s="673">
        <v>32634</v>
      </c>
      <c r="N6572" s="624">
        <v>0.55246466999999999</v>
      </c>
      <c r="O6572" s="625">
        <v>3.3333266666666669E-6</v>
      </c>
      <c r="P6572" s="390" t="s">
        <v>428</v>
      </c>
      <c r="Q6572" s="390" t="s">
        <v>428</v>
      </c>
      <c r="R6572" s="390" t="s">
        <v>428</v>
      </c>
      <c r="S6572" s="390" t="s">
        <v>428</v>
      </c>
      <c r="T6572" s="388" t="s">
        <v>428</v>
      </c>
      <c r="U6572" s="388"/>
      <c r="V6572" s="391"/>
      <c r="W6572" s="391"/>
      <c r="X6572" s="391"/>
      <c r="Y6572" s="792"/>
      <c r="Z6572" s="388" t="s">
        <v>428</v>
      </c>
      <c r="AA6572" s="391" t="s">
        <v>428</v>
      </c>
      <c r="AC6572" s="388"/>
      <c r="AD6572" s="388">
        <v>7.4066400000000003</v>
      </c>
      <c r="AE6572" s="388">
        <v>0.173736</v>
      </c>
      <c r="AF6572" s="388">
        <v>1.275517</v>
      </c>
      <c r="AG6572" s="391">
        <v>0.43281599999999998</v>
      </c>
      <c r="AH6572" s="385"/>
      <c r="AI6572" s="385"/>
      <c r="AJ6572" s="385"/>
      <c r="AK6572" s="385"/>
      <c r="AL6572" s="385"/>
      <c r="AM6572" s="385"/>
      <c r="AN6572" s="385"/>
      <c r="AO6572" s="385"/>
      <c r="AP6572" s="385"/>
      <c r="AQ6572" s="385"/>
      <c r="AR6572" s="385"/>
      <c r="AS6572" s="385"/>
      <c r="AT6572" s="385"/>
      <c r="AU6572" s="385"/>
      <c r="AV6572" s="385"/>
      <c r="AW6572" s="385"/>
      <c r="AX6572" s="385"/>
      <c r="AY6572" s="385"/>
      <c r="AZ6572" s="385"/>
      <c r="BA6572" s="385"/>
      <c r="BB6572" s="385"/>
      <c r="BC6572" s="385"/>
      <c r="BD6572" s="385"/>
      <c r="BE6572" s="397"/>
      <c r="BF6572" s="397"/>
      <c r="BG6572" s="397"/>
      <c r="BH6572" s="397"/>
      <c r="BI6572" s="397"/>
      <c r="BJ6572" s="397"/>
      <c r="BK6572" s="397"/>
      <c r="BL6572" s="397"/>
      <c r="BM6572" s="398"/>
      <c r="BN6572" s="398"/>
      <c r="BO6572" s="397"/>
      <c r="BP6572" s="398"/>
      <c r="BQ6572" s="398"/>
      <c r="BR6572" s="398"/>
      <c r="BS6572" s="397"/>
      <c r="BT6572" s="397"/>
      <c r="BU6572" s="397"/>
      <c r="BV6572" s="397"/>
      <c r="BW6572" s="397"/>
      <c r="BX6572" s="397"/>
      <c r="BY6572" s="397"/>
      <c r="CA6572" s="392" t="s">
        <v>408</v>
      </c>
    </row>
    <row r="6573" spans="1:79" s="392" customFormat="1" ht="15" x14ac:dyDescent="0.25">
      <c r="A6573" s="430"/>
      <c r="B6573" s="386"/>
      <c r="C6573" s="386"/>
      <c r="D6573" s="434"/>
      <c r="E6573" s="385"/>
      <c r="F6573" s="432"/>
      <c r="G6573" s="401"/>
      <c r="H6573" s="401">
        <v>3</v>
      </c>
      <c r="I6573" s="401"/>
      <c r="J6573" s="401"/>
      <c r="K6573" s="401"/>
      <c r="L6573" s="672"/>
      <c r="M6573" s="673">
        <v>32636</v>
      </c>
      <c r="N6573" s="624">
        <v>0.99930692999999993</v>
      </c>
      <c r="O6573" s="625">
        <v>1.440997118E-3</v>
      </c>
      <c r="P6573" s="390">
        <v>1.0636506548497802</v>
      </c>
      <c r="Q6573" s="390">
        <v>1.6563973279241004</v>
      </c>
      <c r="R6573" s="390">
        <v>2.1867493709032377</v>
      </c>
      <c r="S6573" s="390">
        <v>3.4909903372292255</v>
      </c>
      <c r="T6573" s="388">
        <v>4.2515344039734906</v>
      </c>
      <c r="U6573" s="388"/>
      <c r="V6573" s="391"/>
      <c r="W6573" s="391"/>
      <c r="X6573" s="391"/>
      <c r="Y6573" s="792"/>
      <c r="Z6573" s="388">
        <v>5</v>
      </c>
      <c r="AA6573" s="391">
        <v>2.1867493709032377</v>
      </c>
      <c r="AC6573" s="388"/>
      <c r="AD6573" s="388">
        <v>9.2049599999999998</v>
      </c>
      <c r="AE6573" s="388">
        <v>0.20116800000000001</v>
      </c>
      <c r="AF6573" s="388">
        <v>1.8514969999999999</v>
      </c>
      <c r="AG6573" s="391">
        <v>0.53949600000000009</v>
      </c>
      <c r="AH6573" s="386"/>
      <c r="AI6573" s="385"/>
      <c r="AJ6573" s="385"/>
      <c r="AK6573" s="385"/>
      <c r="AL6573" s="385"/>
      <c r="AM6573" s="385"/>
      <c r="AN6573" s="385"/>
      <c r="AO6573" s="385"/>
      <c r="AP6573" s="385"/>
      <c r="AQ6573" s="386"/>
      <c r="AR6573" s="386"/>
      <c r="AS6573" s="386"/>
      <c r="AT6573" s="386"/>
      <c r="AU6573" s="385"/>
      <c r="AV6573" s="385"/>
      <c r="AW6573" s="385"/>
      <c r="AX6573" s="385"/>
      <c r="AY6573" s="385"/>
      <c r="AZ6573" s="385"/>
      <c r="BA6573" s="385"/>
      <c r="BB6573" s="385"/>
      <c r="BC6573" s="385"/>
      <c r="BD6573" s="385"/>
      <c r="BE6573" s="397"/>
      <c r="BF6573" s="397"/>
      <c r="BG6573" s="397"/>
      <c r="BH6573" s="397"/>
      <c r="BI6573" s="397"/>
      <c r="BJ6573" s="397"/>
      <c r="BK6573" s="397"/>
      <c r="BL6573" s="397"/>
      <c r="BM6573" s="398"/>
      <c r="BN6573" s="398"/>
      <c r="BO6573" s="397"/>
      <c r="BP6573" s="398"/>
      <c r="BQ6573" s="398"/>
      <c r="BR6573" s="398"/>
      <c r="BS6573" s="397"/>
      <c r="BT6573" s="397"/>
      <c r="BU6573" s="397"/>
      <c r="BV6573" s="397"/>
      <c r="BW6573" s="397"/>
      <c r="BX6573" s="397"/>
      <c r="BY6573" s="397"/>
      <c r="CA6573" s="392" t="s">
        <v>408</v>
      </c>
    </row>
    <row r="6574" spans="1:79" s="392" customFormat="1" ht="15" x14ac:dyDescent="0.25">
      <c r="A6574" s="430"/>
      <c r="B6574" s="386"/>
      <c r="C6574" s="386"/>
      <c r="D6574" s="434"/>
      <c r="E6574" s="385"/>
      <c r="F6574" s="432"/>
      <c r="G6574" s="401"/>
      <c r="H6574" s="401">
        <v>3</v>
      </c>
      <c r="I6574" s="401"/>
      <c r="J6574" s="401"/>
      <c r="K6574" s="401"/>
      <c r="L6574" s="672"/>
      <c r="M6574" s="673">
        <v>32637</v>
      </c>
      <c r="N6574" s="624">
        <v>1.3144751399999999</v>
      </c>
      <c r="O6574" s="625">
        <v>3.0757271818666661E-3</v>
      </c>
      <c r="P6574" s="390">
        <v>1.1432515357491477</v>
      </c>
      <c r="Q6574" s="390">
        <v>1.886129287993225</v>
      </c>
      <c r="R6574" s="390">
        <v>2.4182654275631892</v>
      </c>
      <c r="S6574" s="390">
        <v>4.048141222759587</v>
      </c>
      <c r="T6574" s="388">
        <v>5.403475647577034</v>
      </c>
      <c r="U6574" s="388"/>
      <c r="V6574" s="391"/>
      <c r="W6574" s="391"/>
      <c r="X6574" s="391"/>
      <c r="Y6574" s="792"/>
      <c r="Z6574" s="388">
        <v>7</v>
      </c>
      <c r="AA6574" s="391">
        <v>2.4182654275631892</v>
      </c>
      <c r="AC6574" s="388"/>
      <c r="AD6574" s="388">
        <v>8.9001599999999996</v>
      </c>
      <c r="AE6574" s="388">
        <v>0.21335999999999999</v>
      </c>
      <c r="AF6574" s="388">
        <v>1.8867989999999999</v>
      </c>
      <c r="AG6574" s="391">
        <v>0.69799200000000006</v>
      </c>
      <c r="AH6574" s="397"/>
      <c r="AQ6574" s="397"/>
      <c r="AR6574" s="397"/>
      <c r="AS6574" s="397"/>
      <c r="AT6574" s="397"/>
      <c r="BE6574" s="397"/>
      <c r="BF6574" s="397"/>
      <c r="BG6574" s="397"/>
      <c r="BH6574" s="397"/>
      <c r="BI6574" s="397"/>
      <c r="BJ6574" s="397"/>
      <c r="BK6574" s="397"/>
      <c r="BL6574" s="397"/>
      <c r="BM6574" s="398"/>
      <c r="BN6574" s="398"/>
      <c r="BO6574" s="397"/>
      <c r="BP6574" s="398"/>
      <c r="BQ6574" s="398"/>
      <c r="BR6574" s="398"/>
      <c r="BS6574" s="397"/>
      <c r="BT6574" s="397"/>
      <c r="BU6574" s="397"/>
      <c r="BV6574" s="397"/>
      <c r="BW6574" s="397"/>
      <c r="BX6574" s="397"/>
      <c r="BY6574" s="397"/>
      <c r="CA6574" s="392" t="s">
        <v>408</v>
      </c>
    </row>
    <row r="6575" spans="1:79" s="392" customFormat="1" ht="15" x14ac:dyDescent="0.25">
      <c r="A6575" s="430"/>
      <c r="B6575" s="386"/>
      <c r="C6575" s="386"/>
      <c r="D6575" s="434"/>
      <c r="E6575" s="385"/>
      <c r="F6575" s="432"/>
      <c r="G6575" s="401"/>
      <c r="H6575" s="401">
        <v>3</v>
      </c>
      <c r="I6575" s="401"/>
      <c r="J6575" s="401"/>
      <c r="K6575" s="401"/>
      <c r="L6575" s="672"/>
      <c r="M6575" s="673">
        <v>32638</v>
      </c>
      <c r="N6575" s="624">
        <v>1.53081702</v>
      </c>
      <c r="O6575" s="625">
        <v>9.4079811839999986E-3</v>
      </c>
      <c r="P6575" s="390">
        <v>0.76742599939389144</v>
      </c>
      <c r="Q6575" s="390">
        <v>1.5382567212929223</v>
      </c>
      <c r="R6575" s="390">
        <v>2.1903612532836276</v>
      </c>
      <c r="S6575" s="390">
        <v>3.7582939823517005</v>
      </c>
      <c r="T6575" s="388">
        <v>5.2824252623442636</v>
      </c>
      <c r="U6575" s="388"/>
      <c r="V6575" s="391"/>
      <c r="W6575" s="391"/>
      <c r="X6575" s="391"/>
      <c r="Y6575" s="792"/>
      <c r="Z6575" s="388">
        <v>11</v>
      </c>
      <c r="AA6575" s="391">
        <v>2.1903612532836276</v>
      </c>
      <c r="AC6575" s="388"/>
      <c r="AD6575" s="388">
        <v>9.7536000000000005</v>
      </c>
      <c r="AE6575" s="388">
        <v>0.21945600000000001</v>
      </c>
      <c r="AF6575" s="388">
        <v>2.1274099999999998</v>
      </c>
      <c r="AG6575" s="391">
        <v>0.71932799999999997</v>
      </c>
      <c r="AH6575" s="397"/>
      <c r="AQ6575" s="397"/>
      <c r="AR6575" s="397"/>
      <c r="AS6575" s="397"/>
      <c r="AT6575" s="397"/>
      <c r="BE6575" s="397"/>
      <c r="BF6575" s="397"/>
      <c r="BG6575" s="397"/>
      <c r="BH6575" s="397"/>
      <c r="BI6575" s="397"/>
      <c r="BJ6575" s="397"/>
      <c r="BK6575" s="397"/>
      <c r="BL6575" s="397"/>
      <c r="BM6575" s="398"/>
      <c r="BN6575" s="398"/>
      <c r="BO6575" s="397"/>
      <c r="BP6575" s="398"/>
      <c r="BQ6575" s="398"/>
      <c r="BR6575" s="398"/>
      <c r="BS6575" s="397"/>
      <c r="BT6575" s="397"/>
      <c r="BU6575" s="397"/>
      <c r="BV6575" s="397"/>
      <c r="BW6575" s="397"/>
      <c r="BX6575" s="397"/>
      <c r="BY6575" s="397"/>
      <c r="CA6575" s="392" t="s">
        <v>408</v>
      </c>
    </row>
    <row r="6576" spans="1:79" s="392" customFormat="1" ht="15" x14ac:dyDescent="0.25">
      <c r="A6576" s="430"/>
      <c r="B6576" s="386"/>
      <c r="C6576" s="386"/>
      <c r="D6576" s="434"/>
      <c r="E6576" s="385"/>
      <c r="F6576" s="432"/>
      <c r="G6576" s="401"/>
      <c r="H6576" s="401">
        <v>3</v>
      </c>
      <c r="I6576" s="401"/>
      <c r="J6576" s="401"/>
      <c r="K6576" s="401"/>
      <c r="L6576" s="672"/>
      <c r="M6576" s="673">
        <v>32639</v>
      </c>
      <c r="N6576" s="624">
        <v>1.78793538</v>
      </c>
      <c r="O6576" s="625">
        <v>6.2458541749333338E-3</v>
      </c>
      <c r="P6576" s="390">
        <v>0.63512567900975514</v>
      </c>
      <c r="Q6576" s="390">
        <v>1.1787120869810632</v>
      </c>
      <c r="R6576" s="390">
        <v>1.6054174568226072</v>
      </c>
      <c r="S6576" s="390">
        <v>3.4030702543037767</v>
      </c>
      <c r="T6576" s="388">
        <v>4.9622908790159936</v>
      </c>
      <c r="U6576" s="388"/>
      <c r="V6576" s="391"/>
      <c r="W6576" s="391"/>
      <c r="X6576" s="391"/>
      <c r="Y6576" s="792"/>
      <c r="Z6576" s="388">
        <v>11</v>
      </c>
      <c r="AA6576" s="391">
        <v>1.6054174568226072</v>
      </c>
      <c r="AC6576" s="388"/>
      <c r="AD6576" s="388">
        <v>12.4968</v>
      </c>
      <c r="AE6576" s="388">
        <v>0.192024</v>
      </c>
      <c r="AF6576" s="388">
        <v>2.3912459999999998</v>
      </c>
      <c r="AG6576" s="391">
        <v>0.74676000000000009</v>
      </c>
      <c r="AH6576" s="397"/>
      <c r="AQ6576" s="397"/>
      <c r="AR6576" s="397"/>
      <c r="AS6576" s="397"/>
      <c r="AT6576" s="397"/>
      <c r="BE6576" s="397"/>
      <c r="BF6576" s="397"/>
      <c r="BG6576" s="397"/>
      <c r="BH6576" s="397"/>
      <c r="BI6576" s="397"/>
      <c r="BJ6576" s="397"/>
      <c r="BK6576" s="397"/>
      <c r="BL6576" s="397"/>
      <c r="BM6576" s="398"/>
      <c r="BN6576" s="398"/>
      <c r="BO6576" s="397"/>
      <c r="BP6576" s="398"/>
      <c r="BQ6576" s="398"/>
      <c r="BR6576" s="398"/>
      <c r="BS6576" s="397"/>
      <c r="BT6576" s="397"/>
      <c r="BU6576" s="397"/>
      <c r="BV6576" s="397"/>
      <c r="BW6576" s="397"/>
      <c r="BX6576" s="397"/>
      <c r="BY6576" s="397"/>
      <c r="CA6576" s="392" t="s">
        <v>408</v>
      </c>
    </row>
    <row r="6577" spans="1:79" s="392" customFormat="1" ht="15" x14ac:dyDescent="0.25">
      <c r="A6577" s="430"/>
      <c r="B6577" s="386"/>
      <c r="C6577" s="386"/>
      <c r="D6577" s="434"/>
      <c r="E6577" s="385"/>
      <c r="F6577" s="432"/>
      <c r="G6577" s="401"/>
      <c r="H6577" s="401">
        <v>3</v>
      </c>
      <c r="I6577" s="401"/>
      <c r="J6577" s="401"/>
      <c r="K6577" s="401"/>
      <c r="L6577" s="672"/>
      <c r="M6577" s="673">
        <v>32640</v>
      </c>
      <c r="N6577" s="624">
        <v>1.9261223399999998</v>
      </c>
      <c r="O6577" s="625">
        <v>8.6096494473333323E-3</v>
      </c>
      <c r="P6577" s="390">
        <v>0.64075659359726678</v>
      </c>
      <c r="Q6577" s="390">
        <v>1.1764461310529841</v>
      </c>
      <c r="R6577" s="390">
        <v>2.1101218981572507</v>
      </c>
      <c r="S6577" s="390">
        <v>4.383841656481688</v>
      </c>
      <c r="T6577" s="388">
        <v>6.7028912885066685</v>
      </c>
      <c r="U6577" s="388"/>
      <c r="V6577" s="391"/>
      <c r="W6577" s="391"/>
      <c r="X6577" s="391"/>
      <c r="Y6577" s="792"/>
      <c r="Z6577" s="388">
        <v>9</v>
      </c>
      <c r="AA6577" s="391">
        <v>2.1101218981572507</v>
      </c>
      <c r="AC6577" s="388"/>
      <c r="AD6577" s="388">
        <v>12.557760000000002</v>
      </c>
      <c r="AE6577" s="388">
        <v>0.19812000000000002</v>
      </c>
      <c r="AF6577" s="388">
        <v>2.5045839999999999</v>
      </c>
      <c r="AG6577" s="391">
        <v>0.768096</v>
      </c>
      <c r="AH6577" s="397"/>
      <c r="AQ6577" s="397"/>
      <c r="AR6577" s="397"/>
      <c r="AS6577" s="397"/>
      <c r="AT6577" s="397"/>
      <c r="BE6577" s="397"/>
      <c r="BF6577" s="397"/>
      <c r="BG6577" s="397"/>
      <c r="BH6577" s="397"/>
      <c r="BI6577" s="397"/>
      <c r="BJ6577" s="397"/>
      <c r="BK6577" s="397"/>
      <c r="BL6577" s="397"/>
      <c r="BM6577" s="398"/>
      <c r="BN6577" s="398"/>
      <c r="BO6577" s="397"/>
      <c r="BP6577" s="398"/>
      <c r="BQ6577" s="398"/>
      <c r="BR6577" s="398"/>
      <c r="BS6577" s="397"/>
      <c r="BT6577" s="397"/>
      <c r="BU6577" s="397"/>
      <c r="BV6577" s="397"/>
      <c r="BW6577" s="397"/>
      <c r="BX6577" s="397"/>
      <c r="BY6577" s="397"/>
      <c r="CA6577" s="392" t="s">
        <v>408</v>
      </c>
    </row>
    <row r="6578" spans="1:79" s="392" customFormat="1" ht="15" x14ac:dyDescent="0.25">
      <c r="A6578" s="430"/>
      <c r="B6578" s="386"/>
      <c r="C6578" s="386"/>
      <c r="D6578" s="434"/>
      <c r="E6578" s="385"/>
      <c r="F6578" s="432"/>
      <c r="G6578" s="401"/>
      <c r="H6578" s="401">
        <v>3</v>
      </c>
      <c r="I6578" s="401"/>
      <c r="J6578" s="401"/>
      <c r="K6578" s="401"/>
      <c r="L6578" s="672"/>
      <c r="M6578" s="673">
        <v>32643</v>
      </c>
      <c r="N6578" s="624">
        <v>1.9615185899999998</v>
      </c>
      <c r="O6578" s="625">
        <v>1.1816009701266667E-2</v>
      </c>
      <c r="P6578" s="390">
        <v>0.9</v>
      </c>
      <c r="Q6578" s="390">
        <v>1.68</v>
      </c>
      <c r="R6578" s="390">
        <v>2.35</v>
      </c>
      <c r="S6578" s="390">
        <v>4.55</v>
      </c>
      <c r="T6578" s="388">
        <v>7.29</v>
      </c>
      <c r="U6578" s="388"/>
      <c r="V6578" s="391"/>
      <c r="W6578" s="391"/>
      <c r="X6578" s="391"/>
      <c r="Y6578" s="792"/>
      <c r="Z6578" s="388">
        <v>16</v>
      </c>
      <c r="AA6578" s="391">
        <v>2.35</v>
      </c>
      <c r="AC6578" s="388"/>
      <c r="AD6578" s="388">
        <v>12.527280000000001</v>
      </c>
      <c r="AE6578" s="388">
        <v>0.19507200000000002</v>
      </c>
      <c r="AF6578" s="388">
        <v>2.4581339999999998</v>
      </c>
      <c r="AG6578" s="391">
        <v>0.79857600000000006</v>
      </c>
      <c r="AH6578" s="397"/>
      <c r="AQ6578" s="397"/>
      <c r="AR6578" s="397"/>
      <c r="AS6578" s="397"/>
      <c r="AT6578" s="397"/>
      <c r="BE6578" s="397"/>
      <c r="BF6578" s="397"/>
      <c r="BG6578" s="397"/>
      <c r="BH6578" s="397"/>
      <c r="BI6578" s="397"/>
      <c r="BJ6578" s="397"/>
      <c r="BK6578" s="397"/>
      <c r="BL6578" s="397"/>
      <c r="BM6578" s="398"/>
      <c r="BN6578" s="398"/>
      <c r="BO6578" s="397"/>
      <c r="BP6578" s="398"/>
      <c r="BQ6578" s="398"/>
      <c r="BR6578" s="398"/>
      <c r="BS6578" s="397"/>
      <c r="BT6578" s="397"/>
      <c r="BU6578" s="397"/>
      <c r="BV6578" s="397"/>
      <c r="BW6578" s="397"/>
      <c r="BX6578" s="397"/>
      <c r="BY6578" s="397"/>
      <c r="CA6578" s="392" t="s">
        <v>408</v>
      </c>
    </row>
    <row r="6579" spans="1:79" s="392" customFormat="1" ht="15" x14ac:dyDescent="0.25">
      <c r="A6579" s="430"/>
      <c r="B6579" s="386"/>
      <c r="C6579" s="386"/>
      <c r="D6579" s="434"/>
      <c r="E6579" s="385"/>
      <c r="F6579" s="432"/>
      <c r="G6579" s="401"/>
      <c r="H6579" s="401">
        <v>3</v>
      </c>
      <c r="I6579" s="401"/>
      <c r="J6579" s="401"/>
      <c r="K6579" s="401"/>
      <c r="L6579" s="672"/>
      <c r="M6579" s="673">
        <v>32644</v>
      </c>
      <c r="N6579" s="624">
        <v>1.8428703599999998</v>
      </c>
      <c r="O6579" s="625">
        <v>9.1349817299999983E-3</v>
      </c>
      <c r="P6579" s="390">
        <v>0.86735245387134829</v>
      </c>
      <c r="Q6579" s="390">
        <v>1.4584732550862163</v>
      </c>
      <c r="R6579" s="390">
        <v>2.0231177786734009</v>
      </c>
      <c r="S6579" s="390">
        <v>3.6676605070225401</v>
      </c>
      <c r="T6579" s="388">
        <v>5.2915838188675739</v>
      </c>
      <c r="U6579" s="388"/>
      <c r="V6579" s="391"/>
      <c r="W6579" s="391"/>
      <c r="X6579" s="391"/>
      <c r="Y6579" s="792"/>
      <c r="Z6579" s="388">
        <v>7</v>
      </c>
      <c r="AA6579" s="391">
        <v>2.0231177786734009</v>
      </c>
      <c r="AC6579" s="388"/>
      <c r="AD6579" s="388">
        <v>12.527280000000001</v>
      </c>
      <c r="AE6579" s="388">
        <v>0.192024</v>
      </c>
      <c r="AF6579" s="388">
        <v>2.4191159999999998</v>
      </c>
      <c r="AG6579" s="391">
        <v>0.76200000000000001</v>
      </c>
      <c r="AH6579" s="397"/>
      <c r="AQ6579" s="397"/>
      <c r="AR6579" s="397"/>
      <c r="AS6579" s="397"/>
      <c r="AT6579" s="397"/>
      <c r="BE6579" s="397"/>
      <c r="BF6579" s="397"/>
      <c r="BG6579" s="397"/>
      <c r="BH6579" s="397"/>
      <c r="BI6579" s="397"/>
      <c r="BJ6579" s="397"/>
      <c r="BK6579" s="397"/>
      <c r="BL6579" s="397"/>
      <c r="BM6579" s="398"/>
      <c r="BN6579" s="398"/>
      <c r="BO6579" s="397"/>
      <c r="BP6579" s="398"/>
      <c r="BQ6579" s="398"/>
      <c r="BR6579" s="398"/>
      <c r="BS6579" s="397"/>
      <c r="BT6579" s="397"/>
      <c r="BU6579" s="397"/>
      <c r="BV6579" s="397"/>
      <c r="BW6579" s="397"/>
      <c r="BX6579" s="397"/>
      <c r="BY6579" s="397"/>
      <c r="CA6579" s="392" t="s">
        <v>408</v>
      </c>
    </row>
    <row r="6580" spans="1:79" s="392" customFormat="1" ht="15" x14ac:dyDescent="0.25">
      <c r="A6580" s="430"/>
      <c r="B6580" s="386"/>
      <c r="C6580" s="386"/>
      <c r="D6580" s="434"/>
      <c r="E6580" s="385"/>
      <c r="F6580" s="432"/>
      <c r="G6580" s="401"/>
      <c r="H6580" s="401">
        <v>3</v>
      </c>
      <c r="I6580" s="401"/>
      <c r="J6580" s="401"/>
      <c r="K6580" s="401"/>
      <c r="L6580" s="672"/>
      <c r="M6580" s="673">
        <v>32645</v>
      </c>
      <c r="N6580" s="624">
        <v>1.7658481199999998</v>
      </c>
      <c r="O6580" s="625">
        <v>9.7465714159090926E-3</v>
      </c>
      <c r="P6580" s="390">
        <v>0.95298463702046532</v>
      </c>
      <c r="Q6580" s="390">
        <v>1.5442348766515908</v>
      </c>
      <c r="R6580" s="390">
        <v>2.1296708500598931</v>
      </c>
      <c r="S6580" s="390">
        <v>3.8419037232396822</v>
      </c>
      <c r="T6580" s="388">
        <v>5.8371895786830743</v>
      </c>
      <c r="U6580" s="388"/>
      <c r="V6580" s="391"/>
      <c r="W6580" s="391"/>
      <c r="X6580" s="391"/>
      <c r="Y6580" s="792"/>
      <c r="Z6580" s="388">
        <v>9</v>
      </c>
      <c r="AA6580" s="391">
        <v>2.1296708500598931</v>
      </c>
      <c r="AC6580" s="388"/>
      <c r="AD6580" s="388">
        <v>12.527280000000001</v>
      </c>
      <c r="AE6580" s="388">
        <v>0.18592800000000001</v>
      </c>
      <c r="AF6580" s="388">
        <v>2.3447959999999997</v>
      </c>
      <c r="AG6580" s="391">
        <v>0.75285600000000008</v>
      </c>
      <c r="AH6580" s="397"/>
      <c r="AQ6580" s="397"/>
      <c r="AR6580" s="397"/>
      <c r="AS6580" s="397"/>
      <c r="AT6580" s="397"/>
      <c r="BE6580" s="397"/>
      <c r="BF6580" s="397"/>
      <c r="BG6580" s="397"/>
      <c r="BH6580" s="397"/>
      <c r="BI6580" s="397"/>
      <c r="BJ6580" s="397"/>
      <c r="BK6580" s="397"/>
      <c r="BL6580" s="397"/>
      <c r="BM6580" s="398"/>
      <c r="BN6580" s="398"/>
      <c r="BO6580" s="397"/>
      <c r="BP6580" s="398"/>
      <c r="BQ6580" s="398"/>
      <c r="BR6580" s="398"/>
      <c r="BS6580" s="397"/>
      <c r="BT6580" s="397"/>
      <c r="BU6580" s="397"/>
      <c r="BV6580" s="397"/>
      <c r="BW6580" s="397"/>
      <c r="BX6580" s="397"/>
      <c r="BY6580" s="397"/>
      <c r="CA6580" s="392" t="s">
        <v>408</v>
      </c>
    </row>
    <row r="6581" spans="1:79" s="392" customFormat="1" ht="15" x14ac:dyDescent="0.25">
      <c r="A6581" s="430"/>
      <c r="B6581" s="386"/>
      <c r="C6581" s="386"/>
      <c r="D6581" s="434"/>
      <c r="E6581" s="385"/>
      <c r="F6581" s="432"/>
      <c r="G6581" s="401"/>
      <c r="H6581" s="401">
        <v>3</v>
      </c>
      <c r="I6581" s="401"/>
      <c r="J6581" s="401"/>
      <c r="K6581" s="401"/>
      <c r="L6581" s="672"/>
      <c r="M6581" s="673">
        <v>32646</v>
      </c>
      <c r="N6581" s="624">
        <v>1.9286708699999999</v>
      </c>
      <c r="O6581" s="625">
        <v>9.6975806047999973E-3</v>
      </c>
      <c r="P6581" s="390">
        <v>1.0273126433118589</v>
      </c>
      <c r="Q6581" s="390">
        <v>1.5831919543047168</v>
      </c>
      <c r="R6581" s="390">
        <v>2.1514584232985774</v>
      </c>
      <c r="S6581" s="390">
        <v>3.8888152820187769</v>
      </c>
      <c r="T6581" s="388">
        <v>5.752235452047735</v>
      </c>
      <c r="U6581" s="388"/>
      <c r="V6581" s="391"/>
      <c r="W6581" s="391"/>
      <c r="X6581" s="391"/>
      <c r="Y6581" s="792"/>
      <c r="Z6581" s="388">
        <v>9</v>
      </c>
      <c r="AA6581" s="391">
        <v>2.1514584232985774</v>
      </c>
      <c r="AC6581" s="388"/>
      <c r="AD6581" s="388">
        <v>12.527280000000001</v>
      </c>
      <c r="AE6581" s="388">
        <v>0.19812000000000002</v>
      </c>
      <c r="AF6581" s="388">
        <v>2.4804299999999997</v>
      </c>
      <c r="AG6581" s="391">
        <v>0.77723999999999993</v>
      </c>
      <c r="AH6581" s="397"/>
      <c r="AQ6581" s="397"/>
      <c r="AR6581" s="397"/>
      <c r="AS6581" s="397"/>
      <c r="AT6581" s="397"/>
      <c r="BE6581" s="397"/>
      <c r="BF6581" s="397"/>
      <c r="BG6581" s="397"/>
      <c r="BH6581" s="397"/>
      <c r="BI6581" s="397"/>
      <c r="BJ6581" s="397"/>
      <c r="BK6581" s="397"/>
      <c r="BL6581" s="397"/>
      <c r="BM6581" s="398"/>
      <c r="BN6581" s="398"/>
      <c r="BO6581" s="397"/>
      <c r="BP6581" s="398"/>
      <c r="BQ6581" s="398"/>
      <c r="BR6581" s="398"/>
      <c r="BS6581" s="397"/>
      <c r="BT6581" s="397"/>
      <c r="BU6581" s="397"/>
      <c r="BV6581" s="397"/>
      <c r="BW6581" s="397"/>
      <c r="BX6581" s="397"/>
      <c r="BY6581" s="397"/>
      <c r="CA6581" s="392" t="s">
        <v>408</v>
      </c>
    </row>
    <row r="6582" spans="1:79" s="392" customFormat="1" ht="15" x14ac:dyDescent="0.25">
      <c r="A6582" s="430"/>
      <c r="B6582" s="386"/>
      <c r="C6582" s="386"/>
      <c r="D6582" s="434"/>
      <c r="E6582" s="385"/>
      <c r="F6582" s="432"/>
      <c r="G6582" s="401"/>
      <c r="H6582" s="401">
        <v>3</v>
      </c>
      <c r="I6582" s="401"/>
      <c r="J6582" s="401"/>
      <c r="K6582" s="401"/>
      <c r="L6582" s="672"/>
      <c r="M6582" s="673">
        <v>32648</v>
      </c>
      <c r="N6582" s="624">
        <v>2.2993404000000002</v>
      </c>
      <c r="O6582" s="625">
        <v>1.2198975601999999E-2</v>
      </c>
      <c r="P6582" s="390">
        <v>0.71879405690955001</v>
      </c>
      <c r="Q6582" s="390">
        <v>1.2664280995448824</v>
      </c>
      <c r="R6582" s="390">
        <v>1.716754062165502</v>
      </c>
      <c r="S6582" s="390">
        <v>3.4360348780063585</v>
      </c>
      <c r="T6582" s="388">
        <v>4.9491408331433373</v>
      </c>
      <c r="U6582" s="388"/>
      <c r="V6582" s="391"/>
      <c r="W6582" s="391"/>
      <c r="X6582" s="391"/>
      <c r="Y6582" s="792"/>
      <c r="Z6582" s="388">
        <v>10</v>
      </c>
      <c r="AA6582" s="391">
        <v>1.716754062165502</v>
      </c>
      <c r="AC6582" s="388"/>
      <c r="AD6582" s="388">
        <v>12.710160000000002</v>
      </c>
      <c r="AE6582" s="388">
        <v>0.225552</v>
      </c>
      <c r="AF6582" s="388">
        <v>2.881758</v>
      </c>
      <c r="AG6582" s="391">
        <v>0.79857600000000006</v>
      </c>
      <c r="AH6582" s="397"/>
      <c r="AQ6582" s="397"/>
      <c r="AR6582" s="397"/>
      <c r="AS6582" s="397"/>
      <c r="AT6582" s="397"/>
      <c r="BE6582" s="397"/>
      <c r="BF6582" s="397"/>
      <c r="BG6582" s="397"/>
      <c r="BH6582" s="397"/>
      <c r="BI6582" s="397"/>
      <c r="BJ6582" s="397"/>
      <c r="BK6582" s="397"/>
      <c r="BL6582" s="397"/>
      <c r="BM6582" s="398"/>
      <c r="BN6582" s="398"/>
      <c r="BO6582" s="397"/>
      <c r="BP6582" s="398"/>
      <c r="BQ6582" s="398"/>
      <c r="BR6582" s="398"/>
      <c r="BS6582" s="397"/>
      <c r="BT6582" s="397"/>
      <c r="BU6582" s="397"/>
      <c r="BV6582" s="397"/>
      <c r="BW6582" s="397"/>
      <c r="BX6582" s="397"/>
      <c r="BY6582" s="397"/>
      <c r="CA6582" s="392" t="s">
        <v>408</v>
      </c>
    </row>
    <row r="6583" spans="1:79" s="392" customFormat="1" ht="15" x14ac:dyDescent="0.25">
      <c r="A6583" s="430"/>
      <c r="B6583" s="386"/>
      <c r="C6583" s="386"/>
      <c r="D6583" s="434"/>
      <c r="E6583" s="385"/>
      <c r="F6583" s="432"/>
      <c r="G6583" s="401"/>
      <c r="H6583" s="401">
        <v>3</v>
      </c>
      <c r="I6583" s="401"/>
      <c r="J6583" s="401"/>
      <c r="K6583" s="401"/>
      <c r="L6583" s="672"/>
      <c r="M6583" s="673">
        <v>32649</v>
      </c>
      <c r="N6583" s="624">
        <v>2.6074293599999998</v>
      </c>
      <c r="O6583" s="625">
        <v>2.4621768938181816E-2</v>
      </c>
      <c r="P6583" s="390">
        <v>0.77693298538369682</v>
      </c>
      <c r="Q6583" s="390">
        <v>1.5388024320590943</v>
      </c>
      <c r="R6583" s="390">
        <v>2.2184117867479429</v>
      </c>
      <c r="S6583" s="390">
        <v>4.2130207550975953</v>
      </c>
      <c r="T6583" s="388">
        <v>6.9861451318449674</v>
      </c>
      <c r="U6583" s="388"/>
      <c r="V6583" s="391"/>
      <c r="W6583" s="391"/>
      <c r="X6583" s="391"/>
      <c r="Y6583" s="792"/>
      <c r="Z6583" s="388">
        <v>15</v>
      </c>
      <c r="AA6583" s="391">
        <v>2.2184117867479429</v>
      </c>
      <c r="AC6583" s="388"/>
      <c r="AD6583" s="388">
        <v>12.710160000000002</v>
      </c>
      <c r="AE6583" s="388">
        <v>0.23774400000000001</v>
      </c>
      <c r="AF6583" s="388">
        <v>3.0331849999999996</v>
      </c>
      <c r="AG6583" s="391">
        <v>0.85953599999999997</v>
      </c>
      <c r="AH6583" s="397"/>
      <c r="AQ6583" s="397"/>
      <c r="AR6583" s="397"/>
      <c r="AS6583" s="397"/>
      <c r="AT6583" s="397"/>
      <c r="BE6583" s="397"/>
      <c r="BF6583" s="397"/>
      <c r="BG6583" s="397"/>
      <c r="BH6583" s="397"/>
      <c r="BI6583" s="397"/>
      <c r="BJ6583" s="397"/>
      <c r="BK6583" s="397"/>
      <c r="BL6583" s="397"/>
      <c r="BM6583" s="398"/>
      <c r="BN6583" s="398"/>
      <c r="BO6583" s="397"/>
      <c r="BP6583" s="398"/>
      <c r="BQ6583" s="398"/>
      <c r="BR6583" s="398"/>
      <c r="BS6583" s="397"/>
      <c r="BT6583" s="397"/>
      <c r="BU6583" s="397"/>
      <c r="BV6583" s="397"/>
      <c r="BW6583" s="397"/>
      <c r="BX6583" s="397"/>
      <c r="BY6583" s="397"/>
      <c r="CA6583" s="392" t="s">
        <v>408</v>
      </c>
    </row>
    <row r="6584" spans="1:79" s="392" customFormat="1" ht="15" x14ac:dyDescent="0.25">
      <c r="A6584" s="430"/>
      <c r="B6584" s="386"/>
      <c r="C6584" s="386"/>
      <c r="D6584" s="434"/>
      <c r="E6584" s="385"/>
      <c r="F6584" s="432"/>
      <c r="G6584" s="401"/>
      <c r="H6584" s="401">
        <v>3</v>
      </c>
      <c r="I6584" s="401"/>
      <c r="J6584" s="401"/>
      <c r="K6584" s="401"/>
      <c r="L6584" s="672"/>
      <c r="M6584" s="673">
        <v>32651</v>
      </c>
      <c r="N6584" s="624">
        <v>4.095770879999999</v>
      </c>
      <c r="O6584" s="625">
        <v>2.9702849685090904E-2</v>
      </c>
      <c r="P6584" s="390">
        <v>0.97403525006752012</v>
      </c>
      <c r="Q6584" s="390">
        <v>1.6990208866081256</v>
      </c>
      <c r="R6584" s="390">
        <v>2.4582150783600216</v>
      </c>
      <c r="S6584" s="390">
        <v>6.3722554362144832</v>
      </c>
      <c r="T6584" s="388">
        <v>23.883935420948536</v>
      </c>
      <c r="U6584" s="388"/>
      <c r="V6584" s="391"/>
      <c r="W6584" s="391"/>
      <c r="X6584" s="391"/>
      <c r="Y6584" s="792"/>
      <c r="Z6584" s="388">
        <v>28</v>
      </c>
      <c r="AA6584" s="391">
        <v>2.4582150783600216</v>
      </c>
      <c r="AC6584" s="388"/>
      <c r="AD6584" s="388">
        <v>12.801600000000001</v>
      </c>
      <c r="AE6584" s="388">
        <v>0.27432000000000001</v>
      </c>
      <c r="AF6584" s="388">
        <v>3.4948979999999996</v>
      </c>
      <c r="AG6584" s="391">
        <v>0.92964000000000002</v>
      </c>
      <c r="AH6584" s="385"/>
      <c r="AI6584" s="385"/>
      <c r="AJ6584" s="385"/>
      <c r="AK6584" s="385"/>
      <c r="AL6584" s="385"/>
      <c r="AM6584" s="385"/>
      <c r="AN6584" s="385"/>
      <c r="AO6584" s="385"/>
      <c r="AP6584" s="385"/>
      <c r="AQ6584" s="385"/>
      <c r="AR6584" s="385"/>
      <c r="AS6584" s="385"/>
      <c r="AT6584" s="385"/>
      <c r="AU6584" s="385"/>
      <c r="AV6584" s="385"/>
      <c r="AW6584" s="385"/>
      <c r="AX6584" s="385"/>
      <c r="AY6584" s="385"/>
      <c r="AZ6584" s="385"/>
      <c r="BA6584" s="385"/>
      <c r="BB6584" s="385"/>
      <c r="BC6584" s="385"/>
      <c r="BD6584" s="385"/>
      <c r="BE6584" s="397"/>
      <c r="BF6584" s="397"/>
      <c r="BG6584" s="397"/>
      <c r="BH6584" s="397"/>
      <c r="BI6584" s="397"/>
      <c r="BJ6584" s="397"/>
      <c r="BK6584" s="397"/>
      <c r="BL6584" s="397"/>
      <c r="BM6584" s="398"/>
      <c r="BN6584" s="398"/>
      <c r="BO6584" s="397"/>
      <c r="BP6584" s="398"/>
      <c r="BQ6584" s="398"/>
      <c r="BR6584" s="398"/>
      <c r="BS6584" s="397"/>
      <c r="BT6584" s="397"/>
      <c r="BU6584" s="397"/>
      <c r="BV6584" s="397"/>
      <c r="BW6584" s="397"/>
      <c r="BX6584" s="397"/>
      <c r="BY6584" s="397"/>
      <c r="CA6584" s="392" t="s">
        <v>408</v>
      </c>
    </row>
    <row r="6585" spans="1:79" s="392" customFormat="1" ht="15" x14ac:dyDescent="0.25">
      <c r="A6585" s="430"/>
      <c r="B6585" s="386"/>
      <c r="C6585" s="386"/>
      <c r="D6585" s="434"/>
      <c r="E6585" s="385"/>
      <c r="F6585" s="432"/>
      <c r="G6585" s="401"/>
      <c r="H6585" s="401">
        <v>3</v>
      </c>
      <c r="I6585" s="401"/>
      <c r="J6585" s="401"/>
      <c r="K6585" s="401"/>
      <c r="L6585" s="672"/>
      <c r="M6585" s="673">
        <v>32651</v>
      </c>
      <c r="N6585" s="624">
        <v>2.9797979099999998</v>
      </c>
      <c r="O6585" s="625">
        <v>1.1878764121212122E-2</v>
      </c>
      <c r="P6585" s="390">
        <v>0.69930804136923075</v>
      </c>
      <c r="Q6585" s="390">
        <v>1.4453035723628793</v>
      </c>
      <c r="R6585" s="390">
        <v>2.1437909116185963</v>
      </c>
      <c r="S6585" s="390">
        <v>4.9624418607012846</v>
      </c>
      <c r="T6585" s="388">
        <v>8.6283498873299855</v>
      </c>
      <c r="U6585" s="388"/>
      <c r="V6585" s="391"/>
      <c r="W6585" s="391"/>
      <c r="X6585" s="391"/>
      <c r="Y6585" s="792"/>
      <c r="Z6585" s="388">
        <v>15</v>
      </c>
      <c r="AA6585" s="391">
        <v>2.1437909116185963</v>
      </c>
      <c r="AC6585" s="388"/>
      <c r="AD6585" s="388">
        <v>12.710160000000002</v>
      </c>
      <c r="AE6585" s="388">
        <v>0.25603199999999998</v>
      </c>
      <c r="AF6585" s="388">
        <v>3.2403520000000001</v>
      </c>
      <c r="AG6585" s="391">
        <v>0.92049600000000009</v>
      </c>
      <c r="AH6585" s="385"/>
      <c r="AI6585" s="385"/>
      <c r="AJ6585" s="385"/>
      <c r="AK6585" s="385"/>
      <c r="AL6585" s="385"/>
      <c r="AM6585" s="385"/>
      <c r="AN6585" s="385"/>
      <c r="AO6585" s="385"/>
      <c r="AP6585" s="385"/>
      <c r="AQ6585" s="385"/>
      <c r="AR6585" s="385"/>
      <c r="AS6585" s="385"/>
      <c r="AT6585" s="385"/>
      <c r="AU6585" s="385"/>
      <c r="AV6585" s="385"/>
      <c r="AW6585" s="385"/>
      <c r="AX6585" s="385"/>
      <c r="AY6585" s="385"/>
      <c r="AZ6585" s="385"/>
      <c r="BA6585" s="385"/>
      <c r="BB6585" s="385"/>
      <c r="BC6585" s="385"/>
      <c r="BD6585" s="385"/>
      <c r="BE6585" s="397"/>
      <c r="BF6585" s="397"/>
      <c r="BG6585" s="397"/>
      <c r="BH6585" s="397"/>
      <c r="BI6585" s="397"/>
      <c r="BJ6585" s="397"/>
      <c r="BK6585" s="397"/>
      <c r="BL6585" s="397"/>
      <c r="BM6585" s="398"/>
      <c r="BN6585" s="398"/>
      <c r="BO6585" s="397"/>
      <c r="BP6585" s="398"/>
      <c r="BQ6585" s="398"/>
      <c r="BR6585" s="398"/>
      <c r="BS6585" s="397"/>
      <c r="BT6585" s="397"/>
      <c r="BU6585" s="397"/>
      <c r="BV6585" s="397"/>
      <c r="BW6585" s="397"/>
      <c r="BX6585" s="397"/>
      <c r="BY6585" s="397"/>
      <c r="CA6585" s="392" t="s">
        <v>408</v>
      </c>
    </row>
    <row r="6586" spans="1:79" s="392" customFormat="1" ht="15" x14ac:dyDescent="0.25">
      <c r="A6586" s="430"/>
      <c r="B6586" s="386"/>
      <c r="C6586" s="386"/>
      <c r="D6586" s="434"/>
      <c r="E6586" s="385"/>
      <c r="F6586" s="432"/>
      <c r="G6586" s="401"/>
      <c r="H6586" s="401">
        <v>3</v>
      </c>
      <c r="I6586" s="401"/>
      <c r="J6586" s="401"/>
      <c r="K6586" s="401"/>
      <c r="L6586" s="672"/>
      <c r="M6586" s="673">
        <v>32652</v>
      </c>
      <c r="N6586" s="624">
        <v>4.4115054299999992</v>
      </c>
      <c r="O6586" s="625">
        <v>3.1450853764833343E-2</v>
      </c>
      <c r="P6586" s="390">
        <v>0.34114892294825822</v>
      </c>
      <c r="Q6586" s="390">
        <v>0.58508050308426018</v>
      </c>
      <c r="R6586" s="390">
        <v>0.81374189376929729</v>
      </c>
      <c r="S6586" s="390">
        <v>2.1625406813308525</v>
      </c>
      <c r="T6586" s="388">
        <v>3.9250941849207446</v>
      </c>
      <c r="U6586" s="388"/>
      <c r="V6586" s="391"/>
      <c r="W6586" s="391"/>
      <c r="X6586" s="391"/>
      <c r="Y6586" s="792"/>
      <c r="Z6586" s="388">
        <v>11</v>
      </c>
      <c r="AA6586" s="391">
        <v>0.81374189376929729</v>
      </c>
      <c r="AC6586" s="388"/>
      <c r="AD6586" s="388">
        <v>13.014960000000002</v>
      </c>
      <c r="AE6586" s="388">
        <v>0.33223200000000003</v>
      </c>
      <c r="AF6586" s="388">
        <v>4.3244949999999998</v>
      </c>
      <c r="AG6586" s="391">
        <v>1.02108</v>
      </c>
      <c r="AH6586" s="385"/>
      <c r="AI6586" s="385"/>
      <c r="AJ6586" s="385"/>
      <c r="AK6586" s="385"/>
      <c r="AL6586" s="385"/>
      <c r="AM6586" s="385"/>
      <c r="AN6586" s="385"/>
      <c r="AO6586" s="385"/>
      <c r="AP6586" s="385"/>
      <c r="AQ6586" s="385"/>
      <c r="AR6586" s="385"/>
      <c r="AS6586" s="385"/>
      <c r="AT6586" s="385"/>
      <c r="AU6586" s="385"/>
      <c r="AV6586" s="385"/>
      <c r="AW6586" s="385"/>
      <c r="AX6586" s="385"/>
      <c r="AY6586" s="385"/>
      <c r="AZ6586" s="385"/>
      <c r="BA6586" s="385"/>
      <c r="BB6586" s="385"/>
      <c r="BC6586" s="385"/>
      <c r="BD6586" s="385"/>
      <c r="BE6586" s="397"/>
      <c r="BF6586" s="397"/>
      <c r="BG6586" s="397"/>
      <c r="BH6586" s="397"/>
      <c r="BI6586" s="397"/>
      <c r="BJ6586" s="397"/>
      <c r="BK6586" s="397"/>
      <c r="BL6586" s="397"/>
      <c r="BM6586" s="398"/>
      <c r="BN6586" s="398"/>
      <c r="BO6586" s="397"/>
      <c r="BP6586" s="398"/>
      <c r="BQ6586" s="398"/>
      <c r="BR6586" s="398"/>
      <c r="BS6586" s="397"/>
      <c r="BT6586" s="397"/>
      <c r="BU6586" s="397"/>
      <c r="BV6586" s="397"/>
      <c r="BW6586" s="397"/>
      <c r="BX6586" s="397"/>
      <c r="BY6586" s="397"/>
      <c r="CA6586" s="392" t="s">
        <v>408</v>
      </c>
    </row>
    <row r="6587" spans="1:79" s="392" customFormat="1" ht="15" x14ac:dyDescent="0.25">
      <c r="A6587" s="430"/>
      <c r="B6587" s="386"/>
      <c r="C6587" s="386"/>
      <c r="D6587" s="434"/>
      <c r="E6587" s="385"/>
      <c r="F6587" s="432"/>
      <c r="G6587" s="401"/>
      <c r="H6587" s="401">
        <v>3</v>
      </c>
      <c r="I6587" s="401"/>
      <c r="J6587" s="401"/>
      <c r="K6587" s="401"/>
      <c r="L6587" s="672"/>
      <c r="M6587" s="673">
        <v>32653</v>
      </c>
      <c r="N6587" s="624">
        <v>4.7447965199999995</v>
      </c>
      <c r="O6587" s="625">
        <v>4.0715726260692302E-2</v>
      </c>
      <c r="P6587" s="390">
        <v>0.56454316832565155</v>
      </c>
      <c r="Q6587" s="390">
        <v>1.0780453356964805</v>
      </c>
      <c r="R6587" s="390">
        <v>1.9026258524327369</v>
      </c>
      <c r="S6587" s="390">
        <v>37.644712531973596</v>
      </c>
      <c r="T6587" s="388">
        <v>42.558969001458536</v>
      </c>
      <c r="U6587" s="388"/>
      <c r="V6587" s="391"/>
      <c r="W6587" s="391"/>
      <c r="X6587" s="391"/>
      <c r="Y6587" s="792"/>
      <c r="Z6587" s="388">
        <v>43</v>
      </c>
      <c r="AA6587" s="391">
        <v>1.9026258524327369</v>
      </c>
      <c r="AC6587" s="388"/>
      <c r="AD6587" s="388">
        <v>13.045439999999999</v>
      </c>
      <c r="AE6587" s="388">
        <v>0.347472</v>
      </c>
      <c r="AF6587" s="388">
        <v>4.532591</v>
      </c>
      <c r="AG6587" s="391">
        <v>1.0454640000000002</v>
      </c>
      <c r="AH6587" s="385"/>
      <c r="AI6587" s="385"/>
      <c r="AJ6587" s="385"/>
      <c r="AK6587" s="385"/>
      <c r="AL6587" s="385"/>
      <c r="AM6587" s="385"/>
      <c r="AN6587" s="385"/>
      <c r="AO6587" s="385"/>
      <c r="AP6587" s="385"/>
      <c r="AQ6587" s="385"/>
      <c r="AR6587" s="385"/>
      <c r="AS6587" s="385"/>
      <c r="AT6587" s="385"/>
      <c r="AU6587" s="385"/>
      <c r="AV6587" s="385"/>
      <c r="AW6587" s="385"/>
      <c r="AX6587" s="385"/>
      <c r="AY6587" s="385"/>
      <c r="AZ6587" s="385"/>
      <c r="BA6587" s="385"/>
      <c r="BB6587" s="385"/>
      <c r="BC6587" s="385"/>
      <c r="BD6587" s="385"/>
      <c r="BE6587" s="397"/>
      <c r="BF6587" s="397"/>
      <c r="BG6587" s="397"/>
      <c r="BH6587" s="397"/>
      <c r="BI6587" s="397"/>
      <c r="BJ6587" s="397"/>
      <c r="BK6587" s="397"/>
      <c r="BL6587" s="397"/>
      <c r="BM6587" s="398"/>
      <c r="BN6587" s="398"/>
      <c r="BO6587" s="397"/>
      <c r="BP6587" s="398"/>
      <c r="BQ6587" s="398"/>
      <c r="BR6587" s="398"/>
      <c r="BS6587" s="397"/>
      <c r="BT6587" s="397"/>
      <c r="BU6587" s="397"/>
      <c r="BV6587" s="397"/>
      <c r="BW6587" s="397"/>
      <c r="BX6587" s="397"/>
      <c r="BY6587" s="397"/>
      <c r="CA6587" s="392" t="s">
        <v>408</v>
      </c>
    </row>
    <row r="6588" spans="1:79" s="392" customFormat="1" ht="15" x14ac:dyDescent="0.25">
      <c r="A6588" s="430"/>
      <c r="B6588" s="386"/>
      <c r="C6588" s="386"/>
      <c r="D6588" s="434"/>
      <c r="E6588" s="385"/>
      <c r="F6588" s="432"/>
      <c r="G6588" s="401"/>
      <c r="H6588" s="401">
        <v>3</v>
      </c>
      <c r="I6588" s="401"/>
      <c r="J6588" s="401"/>
      <c r="K6588" s="401"/>
      <c r="L6588" s="672"/>
      <c r="M6588" s="673">
        <v>32655</v>
      </c>
      <c r="N6588" s="624">
        <v>3.6812099999999996</v>
      </c>
      <c r="O6588" s="625">
        <v>2.6587908362538458E-2</v>
      </c>
      <c r="P6588" s="390">
        <v>0.38453210233293172</v>
      </c>
      <c r="Q6588" s="390">
        <v>0.61819244569020293</v>
      </c>
      <c r="R6588" s="390">
        <v>0.80811188313419902</v>
      </c>
      <c r="S6588" s="390">
        <v>1.9266908514475716</v>
      </c>
      <c r="T6588" s="388">
        <v>3.6223266922337825</v>
      </c>
      <c r="U6588" s="388"/>
      <c r="V6588" s="391"/>
      <c r="W6588" s="391"/>
      <c r="X6588" s="391"/>
      <c r="Y6588" s="792"/>
      <c r="Z6588" s="388">
        <v>11</v>
      </c>
      <c r="AA6588" s="391">
        <v>0.80811188313419902</v>
      </c>
      <c r="AC6588" s="388"/>
      <c r="AD6588" s="388">
        <v>12.832080000000001</v>
      </c>
      <c r="AE6588" s="388">
        <v>0.32004000000000005</v>
      </c>
      <c r="AF6588" s="388">
        <v>4.0653039999999994</v>
      </c>
      <c r="AG6588" s="391">
        <v>0.90525600000000006</v>
      </c>
      <c r="AH6588" s="386"/>
      <c r="AI6588" s="385"/>
      <c r="AJ6588" s="385"/>
      <c r="AK6588" s="385"/>
      <c r="AL6588" s="385"/>
      <c r="AM6588" s="385"/>
      <c r="AN6588" s="385"/>
      <c r="AO6588" s="385"/>
      <c r="AP6588" s="385"/>
      <c r="AQ6588" s="386"/>
      <c r="AR6588" s="386"/>
      <c r="AS6588" s="386"/>
      <c r="AT6588" s="386"/>
      <c r="AU6588" s="385"/>
      <c r="AV6588" s="385"/>
      <c r="AW6588" s="385"/>
      <c r="AX6588" s="385"/>
      <c r="AY6588" s="385"/>
      <c r="AZ6588" s="385"/>
      <c r="BA6588" s="385"/>
      <c r="BB6588" s="385"/>
      <c r="BC6588" s="385"/>
      <c r="BD6588" s="385"/>
      <c r="BE6588" s="397"/>
      <c r="BF6588" s="397"/>
      <c r="BG6588" s="397"/>
      <c r="BH6588" s="397"/>
      <c r="BI6588" s="397"/>
      <c r="BJ6588" s="397"/>
      <c r="BK6588" s="397"/>
      <c r="BL6588" s="397"/>
      <c r="BM6588" s="398"/>
      <c r="BN6588" s="398"/>
      <c r="BO6588" s="397"/>
      <c r="BP6588" s="398"/>
      <c r="BQ6588" s="398"/>
      <c r="BR6588" s="398"/>
      <c r="BS6588" s="397"/>
      <c r="BT6588" s="397"/>
      <c r="BU6588" s="397"/>
      <c r="BV6588" s="397"/>
      <c r="BW6588" s="397"/>
      <c r="BX6588" s="397"/>
      <c r="BY6588" s="397"/>
      <c r="CA6588" s="392" t="s">
        <v>408</v>
      </c>
    </row>
    <row r="6589" spans="1:79" s="392" customFormat="1" ht="15" x14ac:dyDescent="0.25">
      <c r="A6589" s="430"/>
      <c r="B6589" s="386"/>
      <c r="C6589" s="386"/>
      <c r="D6589" s="434"/>
      <c r="E6589" s="385"/>
      <c r="F6589" s="432"/>
      <c r="G6589" s="401"/>
      <c r="H6589" s="401">
        <v>3</v>
      </c>
      <c r="I6589" s="401"/>
      <c r="J6589" s="401"/>
      <c r="K6589" s="401"/>
      <c r="L6589" s="672"/>
      <c r="M6589" s="673">
        <v>32656</v>
      </c>
      <c r="N6589" s="624">
        <v>3.8227949999999997</v>
      </c>
      <c r="O6589" s="625">
        <v>1.5001508458461533E-2</v>
      </c>
      <c r="P6589" s="390">
        <v>0.52681675466775202</v>
      </c>
      <c r="Q6589" s="390">
        <v>0.79520734358083622</v>
      </c>
      <c r="R6589" s="390">
        <v>1.1017756688324563</v>
      </c>
      <c r="S6589" s="390">
        <v>2.9311143970239604</v>
      </c>
      <c r="T6589" s="388">
        <v>5.2779650557142963</v>
      </c>
      <c r="U6589" s="388"/>
      <c r="V6589" s="391"/>
      <c r="W6589" s="391"/>
      <c r="X6589" s="391"/>
      <c r="Y6589" s="792"/>
      <c r="Z6589" s="388">
        <v>14</v>
      </c>
      <c r="AA6589" s="391">
        <v>1.1017756688324563</v>
      </c>
      <c r="AC6589" s="388"/>
      <c r="AD6589" s="388">
        <v>12.832080000000001</v>
      </c>
      <c r="AE6589" s="388">
        <v>0.32004000000000005</v>
      </c>
      <c r="AF6589" s="388">
        <v>4.0653039999999994</v>
      </c>
      <c r="AG6589" s="391">
        <v>0.941832</v>
      </c>
      <c r="AH6589" s="397"/>
      <c r="AQ6589" s="397"/>
      <c r="AR6589" s="397"/>
      <c r="AS6589" s="397"/>
      <c r="AT6589" s="397"/>
      <c r="BE6589" s="397"/>
      <c r="BF6589" s="397"/>
      <c r="BG6589" s="397"/>
      <c r="BH6589" s="397"/>
      <c r="BI6589" s="397"/>
      <c r="BJ6589" s="397"/>
      <c r="BK6589" s="397"/>
      <c r="BL6589" s="397"/>
      <c r="BM6589" s="398"/>
      <c r="BN6589" s="398"/>
      <c r="BO6589" s="397"/>
      <c r="BP6589" s="398"/>
      <c r="BQ6589" s="398"/>
      <c r="BR6589" s="398"/>
      <c r="BS6589" s="397"/>
      <c r="BT6589" s="397"/>
      <c r="BU6589" s="397"/>
      <c r="BV6589" s="397"/>
      <c r="BW6589" s="397"/>
      <c r="BX6589" s="397"/>
      <c r="BY6589" s="397"/>
      <c r="CA6589" s="392" t="s">
        <v>408</v>
      </c>
    </row>
    <row r="6590" spans="1:79" s="392" customFormat="1" ht="15" x14ac:dyDescent="0.25">
      <c r="A6590" s="430"/>
      <c r="B6590" s="386"/>
      <c r="C6590" s="386"/>
      <c r="D6590" s="434"/>
      <c r="E6590" s="385"/>
      <c r="F6590" s="432"/>
      <c r="G6590" s="401"/>
      <c r="H6590" s="401">
        <v>3</v>
      </c>
      <c r="I6590" s="401"/>
      <c r="J6590" s="401"/>
      <c r="K6590" s="401"/>
      <c r="L6590" s="672"/>
      <c r="M6590" s="673">
        <v>32657</v>
      </c>
      <c r="N6590" s="624">
        <v>4.2475499999999995</v>
      </c>
      <c r="O6590" s="625">
        <v>1.7353503754461541E-2</v>
      </c>
      <c r="P6590" s="390">
        <v>0.40172896378788531</v>
      </c>
      <c r="Q6590" s="390">
        <v>0.63322226921605651</v>
      </c>
      <c r="R6590" s="390">
        <v>0.81595856420722024</v>
      </c>
      <c r="S6590" s="390">
        <v>1.7719960746912629</v>
      </c>
      <c r="T6590" s="388">
        <v>3.2116915274535041</v>
      </c>
      <c r="U6590" s="388"/>
      <c r="V6590" s="391"/>
      <c r="W6590" s="391"/>
      <c r="X6590" s="391"/>
      <c r="Y6590" s="792"/>
      <c r="Z6590" s="388">
        <v>9</v>
      </c>
      <c r="AA6590" s="391">
        <v>0.81595856420722024</v>
      </c>
      <c r="AC6590" s="388"/>
      <c r="AD6590" s="388">
        <v>12.893039999999999</v>
      </c>
      <c r="AE6590" s="388">
        <v>0.33223200000000003</v>
      </c>
      <c r="AF6590" s="388">
        <v>4.3244949999999998</v>
      </c>
      <c r="AG6590" s="391">
        <v>0.98145600000000011</v>
      </c>
      <c r="AH6590" s="397"/>
      <c r="AQ6590" s="397"/>
      <c r="AR6590" s="397"/>
      <c r="AS6590" s="397"/>
      <c r="AT6590" s="397"/>
      <c r="BE6590" s="397"/>
      <c r="BF6590" s="397"/>
      <c r="BG6590" s="397"/>
      <c r="BH6590" s="397"/>
      <c r="BI6590" s="397"/>
      <c r="BJ6590" s="397"/>
      <c r="BK6590" s="397"/>
      <c r="BL6590" s="397"/>
      <c r="BM6590" s="398"/>
      <c r="BN6590" s="398"/>
      <c r="BO6590" s="397"/>
      <c r="BP6590" s="398"/>
      <c r="BQ6590" s="398"/>
      <c r="BR6590" s="398"/>
      <c r="BS6590" s="397"/>
      <c r="BT6590" s="397"/>
      <c r="BU6590" s="397"/>
      <c r="BV6590" s="397"/>
      <c r="BW6590" s="397"/>
      <c r="BX6590" s="397"/>
      <c r="BY6590" s="397"/>
      <c r="CA6590" s="392" t="s">
        <v>408</v>
      </c>
    </row>
    <row r="6591" spans="1:79" s="392" customFormat="1" ht="15" x14ac:dyDescent="0.25">
      <c r="A6591" s="430"/>
      <c r="B6591" s="386"/>
      <c r="C6591" s="386"/>
      <c r="D6591" s="434"/>
      <c r="E6591" s="385"/>
      <c r="F6591" s="432"/>
      <c r="G6591" s="401"/>
      <c r="H6591" s="401">
        <v>3</v>
      </c>
      <c r="I6591" s="401"/>
      <c r="J6591" s="401"/>
      <c r="K6591" s="401"/>
      <c r="L6591" s="672"/>
      <c r="M6591" s="673">
        <v>32658</v>
      </c>
      <c r="N6591" s="624">
        <v>6.3387604499999997</v>
      </c>
      <c r="O6591" s="625">
        <v>6.8164171363692294E-2</v>
      </c>
      <c r="P6591" s="390">
        <v>0.48311527298739598</v>
      </c>
      <c r="Q6591" s="390">
        <v>0.71856392152508197</v>
      </c>
      <c r="R6591" s="390">
        <v>0.95231615810437809</v>
      </c>
      <c r="S6591" s="390">
        <v>1.9715460846053021</v>
      </c>
      <c r="T6591" s="388">
        <v>3.5558841774034713</v>
      </c>
      <c r="U6591" s="388"/>
      <c r="V6591" s="391"/>
      <c r="W6591" s="391"/>
      <c r="X6591" s="391"/>
      <c r="Y6591" s="792"/>
      <c r="Z6591" s="388">
        <v>11</v>
      </c>
      <c r="AA6591" s="391">
        <v>0.95231615810437809</v>
      </c>
      <c r="AC6591" s="388"/>
      <c r="AD6591" s="388">
        <v>13.136880000000001</v>
      </c>
      <c r="AE6591" s="388">
        <v>0.42367199999999999</v>
      </c>
      <c r="AF6591" s="388">
        <v>5.5684259999999997</v>
      </c>
      <c r="AG6591" s="391">
        <v>1.1369040000000001</v>
      </c>
      <c r="AH6591" s="397"/>
      <c r="AQ6591" s="397"/>
      <c r="AR6591" s="397"/>
      <c r="AS6591" s="397"/>
      <c r="AT6591" s="397"/>
      <c r="BE6591" s="397"/>
      <c r="BF6591" s="397"/>
      <c r="BG6591" s="397"/>
      <c r="BH6591" s="397"/>
      <c r="BI6591" s="397"/>
      <c r="BJ6591" s="397"/>
      <c r="BK6591" s="397"/>
      <c r="BL6591" s="397"/>
      <c r="BM6591" s="398"/>
      <c r="BN6591" s="398"/>
      <c r="BO6591" s="397"/>
      <c r="BP6591" s="398"/>
      <c r="BQ6591" s="398"/>
      <c r="BR6591" s="398"/>
      <c r="BS6591" s="397"/>
      <c r="BT6591" s="397"/>
      <c r="BU6591" s="397"/>
      <c r="BV6591" s="397"/>
      <c r="BW6591" s="397"/>
      <c r="BX6591" s="397"/>
      <c r="BY6591" s="397"/>
      <c r="CA6591" s="392" t="s">
        <v>408</v>
      </c>
    </row>
    <row r="6592" spans="1:79" s="392" customFormat="1" ht="15" x14ac:dyDescent="0.25">
      <c r="A6592" s="430"/>
      <c r="B6592" s="386"/>
      <c r="C6592" s="386"/>
      <c r="D6592" s="434"/>
      <c r="E6592" s="385"/>
      <c r="F6592" s="432"/>
      <c r="G6592" s="401"/>
      <c r="H6592" s="401">
        <v>3</v>
      </c>
      <c r="I6592" s="401"/>
      <c r="J6592" s="401"/>
      <c r="K6592" s="401"/>
      <c r="L6592" s="672"/>
      <c r="M6592" s="673">
        <v>32659</v>
      </c>
      <c r="N6592" s="624">
        <v>6.3387604499999997</v>
      </c>
      <c r="O6592" s="625">
        <v>3.5225891086538466E-2</v>
      </c>
      <c r="P6592" s="390">
        <v>0.45079335687298377</v>
      </c>
      <c r="Q6592" s="390">
        <v>0.91595352487140824</v>
      </c>
      <c r="R6592" s="390">
        <v>1.4108437289493985</v>
      </c>
      <c r="S6592" s="390">
        <v>3.9818537503578191</v>
      </c>
      <c r="T6592" s="388">
        <v>10.459584351082219</v>
      </c>
      <c r="U6592" s="388"/>
      <c r="V6592" s="391"/>
      <c r="W6592" s="391"/>
      <c r="X6592" s="391"/>
      <c r="Y6592" s="792"/>
      <c r="Z6592" s="388">
        <v>20</v>
      </c>
      <c r="AA6592" s="391">
        <v>1.4108437289493985</v>
      </c>
      <c r="AC6592" s="388"/>
      <c r="AD6592" s="388">
        <v>13.136880000000001</v>
      </c>
      <c r="AE6592" s="388">
        <v>0.42367199999999999</v>
      </c>
      <c r="AF6592" s="388">
        <v>5.5684259999999997</v>
      </c>
      <c r="AG6592" s="391">
        <v>1.1369040000000001</v>
      </c>
      <c r="AH6592" s="397"/>
      <c r="AQ6592" s="397"/>
      <c r="AR6592" s="397"/>
      <c r="AS6592" s="397"/>
      <c r="AT6592" s="397"/>
      <c r="BE6592" s="397"/>
      <c r="BF6592" s="397"/>
      <c r="BG6592" s="397"/>
      <c r="BH6592" s="397"/>
      <c r="BI6592" s="397"/>
      <c r="BJ6592" s="397"/>
      <c r="BK6592" s="397"/>
      <c r="BL6592" s="397"/>
      <c r="BM6592" s="398"/>
      <c r="BN6592" s="398"/>
      <c r="BO6592" s="397"/>
      <c r="BP6592" s="398"/>
      <c r="BQ6592" s="398"/>
      <c r="BR6592" s="398"/>
      <c r="BS6592" s="397"/>
      <c r="BT6592" s="397"/>
      <c r="BU6592" s="397"/>
      <c r="BV6592" s="397"/>
      <c r="BW6592" s="397"/>
      <c r="BX6592" s="397"/>
      <c r="BY6592" s="397"/>
      <c r="CA6592" s="392" t="s">
        <v>408</v>
      </c>
    </row>
    <row r="6593" spans="1:79" s="392" customFormat="1" ht="15" x14ac:dyDescent="0.25">
      <c r="A6593" s="430"/>
      <c r="B6593" s="386"/>
      <c r="C6593" s="386"/>
      <c r="D6593" s="434"/>
      <c r="E6593" s="385"/>
      <c r="F6593" s="432"/>
      <c r="G6593" s="401"/>
      <c r="H6593" s="401">
        <v>3</v>
      </c>
      <c r="I6593" s="401"/>
      <c r="J6593" s="401"/>
      <c r="K6593" s="401"/>
      <c r="L6593" s="672"/>
      <c r="M6593" s="673">
        <v>32660</v>
      </c>
      <c r="N6593" s="624">
        <v>5.5138862399999997</v>
      </c>
      <c r="O6593" s="625">
        <v>1.4129471740999999E-2</v>
      </c>
      <c r="P6593" s="390">
        <v>0.38635427182503546</v>
      </c>
      <c r="Q6593" s="390">
        <v>0.69828153766014045</v>
      </c>
      <c r="R6593" s="390">
        <v>1.0398908010100465</v>
      </c>
      <c r="S6593" s="390">
        <v>2.3915682931853564</v>
      </c>
      <c r="T6593" s="388">
        <v>4.1766435783423752</v>
      </c>
      <c r="U6593" s="388"/>
      <c r="V6593" s="391"/>
      <c r="W6593" s="391"/>
      <c r="X6593" s="391"/>
      <c r="Y6593" s="792"/>
      <c r="Z6593" s="388">
        <v>18</v>
      </c>
      <c r="AA6593" s="391">
        <v>1.0398908010100465</v>
      </c>
      <c r="AC6593" s="388"/>
      <c r="AD6593" s="388">
        <v>13.07592</v>
      </c>
      <c r="AE6593" s="388">
        <v>0.40233600000000003</v>
      </c>
      <c r="AF6593" s="388">
        <v>5.2795069999999997</v>
      </c>
      <c r="AG6593" s="391">
        <v>1.0454640000000002</v>
      </c>
      <c r="AH6593" s="397"/>
      <c r="AQ6593" s="397"/>
      <c r="AR6593" s="397"/>
      <c r="AS6593" s="397"/>
      <c r="AT6593" s="397"/>
      <c r="BE6593" s="397"/>
      <c r="BF6593" s="397"/>
      <c r="BG6593" s="397"/>
      <c r="BH6593" s="397"/>
      <c r="BI6593" s="397"/>
      <c r="BJ6593" s="397"/>
      <c r="BK6593" s="397"/>
      <c r="BL6593" s="397"/>
      <c r="BM6593" s="398"/>
      <c r="BN6593" s="398"/>
      <c r="BO6593" s="397"/>
      <c r="BP6593" s="398"/>
      <c r="BQ6593" s="398"/>
      <c r="BR6593" s="398"/>
      <c r="BS6593" s="397"/>
      <c r="BT6593" s="397"/>
      <c r="BU6593" s="397"/>
      <c r="BV6593" s="397"/>
      <c r="BW6593" s="397"/>
      <c r="BX6593" s="397"/>
      <c r="BY6593" s="397"/>
      <c r="CA6593" s="392" t="s">
        <v>408</v>
      </c>
    </row>
    <row r="6594" spans="1:79" s="392" customFormat="1" ht="15" x14ac:dyDescent="0.25">
      <c r="A6594" s="430"/>
      <c r="B6594" s="386"/>
      <c r="C6594" s="386"/>
      <c r="D6594" s="434"/>
      <c r="E6594" s="385"/>
      <c r="F6594" s="432"/>
      <c r="G6594" s="401"/>
      <c r="H6594" s="401">
        <v>3</v>
      </c>
      <c r="I6594" s="401"/>
      <c r="J6594" s="401"/>
      <c r="K6594" s="401"/>
      <c r="L6594" s="672"/>
      <c r="M6594" s="673">
        <v>32661</v>
      </c>
      <c r="N6594" s="624">
        <v>5.4971792099999996</v>
      </c>
      <c r="O6594" s="625">
        <v>2.6738972162974353E-2</v>
      </c>
      <c r="P6594" s="390">
        <v>0.54491488775802244</v>
      </c>
      <c r="Q6594" s="390">
        <v>1.0317237089046349</v>
      </c>
      <c r="R6594" s="390">
        <v>1.4194702816958351</v>
      </c>
      <c r="S6594" s="390">
        <v>3.4294192493328772</v>
      </c>
      <c r="T6594" s="388">
        <v>5.974051636045953</v>
      </c>
      <c r="U6594" s="388"/>
      <c r="V6594" s="391"/>
      <c r="W6594" s="391"/>
      <c r="X6594" s="391"/>
      <c r="Y6594" s="792"/>
      <c r="Z6594" s="388">
        <v>11</v>
      </c>
      <c r="AA6594" s="391">
        <v>1.4194702816958351</v>
      </c>
      <c r="AC6594" s="388"/>
      <c r="AD6594" s="388">
        <v>13.045439999999999</v>
      </c>
      <c r="AE6594" s="388">
        <v>0.40843200000000002</v>
      </c>
      <c r="AF6594" s="388">
        <v>5.3343179999999997</v>
      </c>
      <c r="AG6594" s="391">
        <v>1.030224</v>
      </c>
      <c r="AH6594" s="397"/>
      <c r="AQ6594" s="397"/>
      <c r="AR6594" s="397"/>
      <c r="AS6594" s="397"/>
      <c r="AT6594" s="397"/>
      <c r="BE6594" s="397"/>
      <c r="BF6594" s="397"/>
      <c r="BG6594" s="397"/>
      <c r="BH6594" s="397"/>
      <c r="BI6594" s="397"/>
      <c r="BJ6594" s="397"/>
      <c r="BK6594" s="397"/>
      <c r="BL6594" s="397"/>
      <c r="BM6594" s="398"/>
      <c r="BN6594" s="398"/>
      <c r="BO6594" s="397"/>
      <c r="BP6594" s="398"/>
      <c r="BQ6594" s="398"/>
      <c r="BR6594" s="398"/>
      <c r="BS6594" s="397"/>
      <c r="BT6594" s="397"/>
      <c r="BU6594" s="397"/>
      <c r="BV6594" s="397"/>
      <c r="BW6594" s="397"/>
      <c r="BX6594" s="397"/>
      <c r="BY6594" s="397"/>
      <c r="CA6594" s="392" t="s">
        <v>408</v>
      </c>
    </row>
    <row r="6595" spans="1:79" s="392" customFormat="1" ht="15" x14ac:dyDescent="0.25">
      <c r="A6595" s="430"/>
      <c r="B6595" s="386"/>
      <c r="C6595" s="386"/>
      <c r="D6595" s="434"/>
      <c r="E6595" s="385"/>
      <c r="F6595" s="432"/>
      <c r="G6595" s="401"/>
      <c r="H6595" s="401">
        <v>3</v>
      </c>
      <c r="I6595" s="401"/>
      <c r="J6595" s="401"/>
      <c r="K6595" s="401"/>
      <c r="L6595" s="672"/>
      <c r="M6595" s="673">
        <v>32662</v>
      </c>
      <c r="N6595" s="624">
        <v>5.0585488799999991</v>
      </c>
      <c r="O6595" s="625">
        <v>1.9554371147589743E-2</v>
      </c>
      <c r="P6595" s="390">
        <v>0.56200359954345946</v>
      </c>
      <c r="Q6595" s="390">
        <v>1.0185155527973098</v>
      </c>
      <c r="R6595" s="390">
        <v>1.4103527931186952</v>
      </c>
      <c r="S6595" s="390">
        <v>3.707998521010909</v>
      </c>
      <c r="T6595" s="388">
        <v>8.2570710640684659</v>
      </c>
      <c r="U6595" s="388"/>
      <c r="V6595" s="391"/>
      <c r="W6595" s="391"/>
      <c r="X6595" s="391"/>
      <c r="Y6595" s="792"/>
      <c r="Z6595" s="388">
        <v>15</v>
      </c>
      <c r="AA6595" s="391">
        <v>1.4103527931186952</v>
      </c>
      <c r="AC6595" s="388"/>
      <c r="AD6595" s="388">
        <v>13.014960000000002</v>
      </c>
      <c r="AE6595" s="388">
        <v>0.36880800000000002</v>
      </c>
      <c r="AF6595" s="388">
        <v>4.8020009999999997</v>
      </c>
      <c r="AG6595" s="391">
        <v>1.054608</v>
      </c>
      <c r="AH6595" s="397"/>
      <c r="AQ6595" s="397"/>
      <c r="AR6595" s="397"/>
      <c r="AS6595" s="397"/>
      <c r="AT6595" s="397"/>
      <c r="BE6595" s="397"/>
      <c r="BF6595" s="397"/>
      <c r="BG6595" s="397"/>
      <c r="BH6595" s="397"/>
      <c r="BI6595" s="397"/>
      <c r="BJ6595" s="397"/>
      <c r="BK6595" s="397"/>
      <c r="BL6595" s="397"/>
      <c r="BM6595" s="398"/>
      <c r="BN6595" s="398"/>
      <c r="BO6595" s="397"/>
      <c r="BP6595" s="398"/>
      <c r="BQ6595" s="398"/>
      <c r="BR6595" s="398"/>
      <c r="BS6595" s="397"/>
      <c r="BT6595" s="397"/>
      <c r="BU6595" s="397"/>
      <c r="BV6595" s="397"/>
      <c r="BW6595" s="397"/>
      <c r="BX6595" s="397"/>
      <c r="BY6595" s="397"/>
      <c r="CA6595" s="392" t="s">
        <v>408</v>
      </c>
    </row>
    <row r="6596" spans="1:79" s="392" customFormat="1" ht="15" x14ac:dyDescent="0.25">
      <c r="A6596" s="430"/>
      <c r="B6596" s="386"/>
      <c r="C6596" s="386"/>
      <c r="D6596" s="434"/>
      <c r="E6596" s="385"/>
      <c r="F6596" s="432"/>
      <c r="G6596" s="401"/>
      <c r="H6596" s="401">
        <v>3</v>
      </c>
      <c r="I6596" s="401"/>
      <c r="J6596" s="401"/>
      <c r="K6596" s="401"/>
      <c r="L6596" s="672"/>
      <c r="M6596" s="673">
        <v>32665</v>
      </c>
      <c r="N6596" s="624">
        <v>4.4115054299999992</v>
      </c>
      <c r="O6596" s="625">
        <v>8.6692134307692313E-3</v>
      </c>
      <c r="P6596" s="390">
        <v>0.45723141688853303</v>
      </c>
      <c r="Q6596" s="390">
        <v>0.71386695271614109</v>
      </c>
      <c r="R6596" s="390">
        <v>0.96210053868619649</v>
      </c>
      <c r="S6596" s="390">
        <v>2.2609901899726812</v>
      </c>
      <c r="T6596" s="388">
        <v>3.8847423848105374</v>
      </c>
      <c r="U6596" s="388"/>
      <c r="V6596" s="391"/>
      <c r="W6596" s="391"/>
      <c r="X6596" s="391"/>
      <c r="Y6596" s="792"/>
      <c r="Z6596" s="388">
        <v>10</v>
      </c>
      <c r="AA6596" s="391">
        <v>0.96210053868619649</v>
      </c>
      <c r="AC6596" s="388"/>
      <c r="AD6596" s="388">
        <v>12.862560000000002</v>
      </c>
      <c r="AE6596" s="388">
        <v>0.33832800000000007</v>
      </c>
      <c r="AF6596" s="388">
        <v>4.334714</v>
      </c>
      <c r="AG6596" s="391">
        <v>1.018032</v>
      </c>
      <c r="AH6596" s="397"/>
      <c r="AQ6596" s="397"/>
      <c r="AR6596" s="397"/>
      <c r="AS6596" s="397"/>
      <c r="AT6596" s="397"/>
      <c r="BE6596" s="397"/>
      <c r="BF6596" s="397"/>
      <c r="BG6596" s="397"/>
      <c r="BH6596" s="397"/>
      <c r="BI6596" s="397"/>
      <c r="BJ6596" s="397"/>
      <c r="BK6596" s="397"/>
      <c r="BL6596" s="397"/>
      <c r="BM6596" s="398"/>
      <c r="BN6596" s="398"/>
      <c r="BO6596" s="397"/>
      <c r="BP6596" s="398"/>
      <c r="BQ6596" s="398"/>
      <c r="BR6596" s="398"/>
      <c r="BS6596" s="397"/>
      <c r="BT6596" s="397"/>
      <c r="BU6596" s="397"/>
      <c r="BV6596" s="397"/>
      <c r="BW6596" s="397"/>
      <c r="BX6596" s="397"/>
      <c r="BY6596" s="397"/>
      <c r="CA6596" s="392" t="s">
        <v>408</v>
      </c>
    </row>
    <row r="6597" spans="1:79" s="392" customFormat="1" ht="15" x14ac:dyDescent="0.25">
      <c r="A6597" s="430"/>
      <c r="B6597" s="386"/>
      <c r="C6597" s="386"/>
      <c r="D6597" s="434"/>
      <c r="E6597" s="385"/>
      <c r="F6597" s="432"/>
      <c r="G6597" s="401"/>
      <c r="H6597" s="401">
        <v>3</v>
      </c>
      <c r="I6597" s="401"/>
      <c r="J6597" s="401"/>
      <c r="K6597" s="401"/>
      <c r="L6597" s="672"/>
      <c r="M6597" s="673">
        <v>32666</v>
      </c>
      <c r="N6597" s="624">
        <v>4.7447965199999995</v>
      </c>
      <c r="O6597" s="625">
        <v>2.1381880313076921E-2</v>
      </c>
      <c r="P6597" s="390">
        <v>0.47922804587072027</v>
      </c>
      <c r="Q6597" s="390">
        <v>0.85005317685926163</v>
      </c>
      <c r="R6597" s="390">
        <v>1.2144449601749003</v>
      </c>
      <c r="S6597" s="390">
        <v>2.8111264011287482</v>
      </c>
      <c r="T6597" s="388">
        <v>4.0659631426655869</v>
      </c>
      <c r="U6597" s="388"/>
      <c r="V6597" s="391"/>
      <c r="W6597" s="391"/>
      <c r="X6597" s="391"/>
      <c r="Y6597" s="792"/>
      <c r="Z6597" s="388">
        <v>14</v>
      </c>
      <c r="AA6597" s="391">
        <v>1.2144449601749003</v>
      </c>
      <c r="AC6597" s="388"/>
      <c r="AD6597" s="388">
        <v>12.984480000000001</v>
      </c>
      <c r="AE6597" s="388">
        <v>0.35052</v>
      </c>
      <c r="AF6597" s="388">
        <v>4.532591</v>
      </c>
      <c r="AG6597" s="391">
        <v>1.0454640000000002</v>
      </c>
      <c r="AH6597" s="397"/>
      <c r="AQ6597" s="397"/>
      <c r="AR6597" s="397"/>
      <c r="AS6597" s="397"/>
      <c r="AT6597" s="397"/>
      <c r="BE6597" s="397"/>
      <c r="BF6597" s="397"/>
      <c r="BG6597" s="397"/>
      <c r="BH6597" s="397"/>
      <c r="BI6597" s="397"/>
      <c r="BJ6597" s="397"/>
      <c r="BK6597" s="397"/>
      <c r="BL6597" s="397"/>
      <c r="BM6597" s="398"/>
      <c r="BN6597" s="398"/>
      <c r="BO6597" s="397"/>
      <c r="BP6597" s="398"/>
      <c r="BQ6597" s="398"/>
      <c r="BR6597" s="398"/>
      <c r="BS6597" s="397"/>
      <c r="BT6597" s="397"/>
      <c r="BU6597" s="397"/>
      <c r="BV6597" s="397"/>
      <c r="BW6597" s="397"/>
      <c r="BX6597" s="397"/>
      <c r="BY6597" s="397"/>
      <c r="CA6597" s="392" t="s">
        <v>408</v>
      </c>
    </row>
    <row r="6598" spans="1:79" s="392" customFormat="1" ht="15" x14ac:dyDescent="0.25">
      <c r="A6598" s="430"/>
      <c r="B6598" s="386"/>
      <c r="C6598" s="386"/>
      <c r="D6598" s="434"/>
      <c r="E6598" s="385"/>
      <c r="F6598" s="432"/>
      <c r="G6598" s="401"/>
      <c r="H6598" s="401">
        <v>3</v>
      </c>
      <c r="I6598" s="401"/>
      <c r="J6598" s="401"/>
      <c r="K6598" s="401"/>
      <c r="L6598" s="672"/>
      <c r="M6598" s="673">
        <v>32667</v>
      </c>
      <c r="N6598" s="624">
        <v>4.7447965199999995</v>
      </c>
      <c r="O6598" s="625">
        <v>1.4866277959692307E-2</v>
      </c>
      <c r="P6598" s="390">
        <v>0.50995571670124684</v>
      </c>
      <c r="Q6598" s="390">
        <v>0.82520909822517718</v>
      </c>
      <c r="R6598" s="390">
        <v>1.1780380503375876</v>
      </c>
      <c r="S6598" s="390">
        <v>3.1400808108767779</v>
      </c>
      <c r="T6598" s="388">
        <v>4.9778661482494506</v>
      </c>
      <c r="U6598" s="388"/>
      <c r="V6598" s="391"/>
      <c r="W6598" s="391"/>
      <c r="X6598" s="391"/>
      <c r="Y6598" s="792"/>
      <c r="Z6598" s="388">
        <v>11</v>
      </c>
      <c r="AA6598" s="391">
        <v>1.1780380503375876</v>
      </c>
      <c r="AC6598" s="388"/>
      <c r="AD6598" s="388">
        <v>12.984480000000001</v>
      </c>
      <c r="AE6598" s="388">
        <v>0.35052</v>
      </c>
      <c r="AF6598" s="388">
        <v>4.532591</v>
      </c>
      <c r="AG6598" s="391">
        <v>1.0454640000000002</v>
      </c>
      <c r="AH6598" s="397"/>
      <c r="AQ6598" s="397"/>
      <c r="AR6598" s="397"/>
      <c r="AS6598" s="397"/>
      <c r="AT6598" s="397"/>
      <c r="BE6598" s="397"/>
      <c r="BF6598" s="397"/>
      <c r="BG6598" s="397"/>
      <c r="BH6598" s="397"/>
      <c r="BI6598" s="397"/>
      <c r="BJ6598" s="397"/>
      <c r="BK6598" s="397"/>
      <c r="BL6598" s="397"/>
      <c r="BM6598" s="398"/>
      <c r="BN6598" s="398"/>
      <c r="BO6598" s="397"/>
      <c r="BP6598" s="398"/>
      <c r="BQ6598" s="398"/>
      <c r="BR6598" s="398"/>
      <c r="BS6598" s="397"/>
      <c r="BT6598" s="397"/>
      <c r="BU6598" s="397"/>
      <c r="BV6598" s="397"/>
      <c r="BW6598" s="397"/>
      <c r="BX6598" s="397"/>
      <c r="BY6598" s="397"/>
      <c r="CA6598" s="392" t="s">
        <v>408</v>
      </c>
    </row>
    <row r="6599" spans="1:79" s="392" customFormat="1" ht="15" x14ac:dyDescent="0.25">
      <c r="A6599" s="430"/>
      <c r="B6599" s="386"/>
      <c r="C6599" s="386"/>
      <c r="D6599" s="434"/>
      <c r="E6599" s="385"/>
      <c r="F6599" s="432"/>
      <c r="G6599" s="401"/>
      <c r="H6599" s="401">
        <v>3</v>
      </c>
      <c r="I6599" s="401"/>
      <c r="J6599" s="401"/>
      <c r="K6599" s="401"/>
      <c r="L6599" s="672"/>
      <c r="M6599" s="673">
        <v>32674</v>
      </c>
      <c r="N6599" s="624">
        <v>3.5495359499999997</v>
      </c>
      <c r="O6599" s="625">
        <v>4.5784523815384608E-3</v>
      </c>
      <c r="P6599" s="390">
        <v>0.4238908428568442</v>
      </c>
      <c r="Q6599" s="390">
        <v>0.67503570303647664</v>
      </c>
      <c r="R6599" s="390">
        <v>0.90013561839321066</v>
      </c>
      <c r="S6599" s="390">
        <v>2.1213754827364335</v>
      </c>
      <c r="T6599" s="388">
        <v>3.8304131227942939</v>
      </c>
      <c r="U6599" s="388"/>
      <c r="V6599" s="391"/>
      <c r="W6599" s="391"/>
      <c r="X6599" s="391"/>
      <c r="Y6599" s="792"/>
      <c r="Z6599" s="388">
        <v>9</v>
      </c>
      <c r="AA6599" s="391">
        <v>0.90013561839321066</v>
      </c>
      <c r="AC6599" s="388"/>
      <c r="AD6599" s="388">
        <v>12.710160000000002</v>
      </c>
      <c r="AE6599" s="388">
        <v>0.32004000000000005</v>
      </c>
      <c r="AF6599" s="388">
        <v>4.0653039999999994</v>
      </c>
      <c r="AG6599" s="391">
        <v>0.87172800000000006</v>
      </c>
      <c r="AH6599" s="385"/>
      <c r="AI6599" s="385"/>
      <c r="AJ6599" s="385"/>
      <c r="AK6599" s="385"/>
      <c r="AL6599" s="385"/>
      <c r="AM6599" s="385"/>
      <c r="AN6599" s="385"/>
      <c r="AO6599" s="385"/>
      <c r="AP6599" s="385"/>
      <c r="AQ6599" s="385"/>
      <c r="AR6599" s="385"/>
      <c r="AS6599" s="385"/>
      <c r="AT6599" s="385"/>
      <c r="AU6599" s="385"/>
      <c r="AV6599" s="385"/>
      <c r="AW6599" s="385"/>
      <c r="AX6599" s="385"/>
      <c r="AY6599" s="385"/>
      <c r="AZ6599" s="385"/>
      <c r="BA6599" s="385"/>
      <c r="BB6599" s="385"/>
      <c r="BC6599" s="385"/>
      <c r="BD6599" s="385"/>
      <c r="BE6599" s="397"/>
      <c r="BF6599" s="397"/>
      <c r="BG6599" s="397"/>
      <c r="BH6599" s="397"/>
      <c r="BI6599" s="397"/>
      <c r="BJ6599" s="397"/>
      <c r="BK6599" s="397"/>
      <c r="BL6599" s="397"/>
      <c r="BM6599" s="398"/>
      <c r="BN6599" s="398"/>
      <c r="BO6599" s="397"/>
      <c r="BP6599" s="398"/>
      <c r="BQ6599" s="398"/>
      <c r="BR6599" s="398"/>
      <c r="BS6599" s="397"/>
      <c r="BT6599" s="397"/>
      <c r="BU6599" s="397"/>
      <c r="BV6599" s="397"/>
      <c r="BW6599" s="397"/>
      <c r="BX6599" s="397"/>
      <c r="BY6599" s="397"/>
      <c r="CA6599" s="392" t="s">
        <v>408</v>
      </c>
    </row>
    <row r="6600" spans="1:79" s="392" customFormat="1" ht="15" x14ac:dyDescent="0.25">
      <c r="A6600" s="430"/>
      <c r="B6600" s="386"/>
      <c r="C6600" s="386"/>
      <c r="D6600" s="434"/>
      <c r="E6600" s="385"/>
      <c r="F6600" s="432"/>
      <c r="G6600" s="401"/>
      <c r="H6600" s="401">
        <v>3</v>
      </c>
      <c r="I6600" s="401"/>
      <c r="J6600" s="401"/>
      <c r="K6600" s="401"/>
      <c r="L6600" s="672"/>
      <c r="M6600" s="673">
        <v>32675</v>
      </c>
      <c r="N6600" s="624">
        <v>4.0436676</v>
      </c>
      <c r="O6600" s="625">
        <v>1.2855564032410258E-2</v>
      </c>
      <c r="P6600" s="390">
        <v>0.49776590705063722</v>
      </c>
      <c r="Q6600" s="390">
        <v>0.80410975315164979</v>
      </c>
      <c r="R6600" s="390">
        <v>1.1515106988419119</v>
      </c>
      <c r="S6600" s="390">
        <v>3.1580214689930282</v>
      </c>
      <c r="T6600" s="388">
        <v>8.1403684688819862</v>
      </c>
      <c r="U6600" s="388"/>
      <c r="V6600" s="391"/>
      <c r="W6600" s="391"/>
      <c r="X6600" s="391"/>
      <c r="Y6600" s="792"/>
      <c r="Z6600" s="388">
        <v>13</v>
      </c>
      <c r="AA6600" s="391">
        <v>1.1515106988419119</v>
      </c>
      <c r="AC6600" s="388"/>
      <c r="AD6600" s="388">
        <v>12.893039999999999</v>
      </c>
      <c r="AE6600" s="388">
        <v>0.34137600000000007</v>
      </c>
      <c r="AF6600" s="388">
        <v>4.3904540000000001</v>
      </c>
      <c r="AG6600" s="391">
        <v>0.92049600000000009</v>
      </c>
      <c r="AH6600" s="385"/>
      <c r="AI6600" s="385"/>
      <c r="AJ6600" s="385"/>
      <c r="AK6600" s="385"/>
      <c r="AL6600" s="385"/>
      <c r="AM6600" s="385"/>
      <c r="AN6600" s="385"/>
      <c r="AO6600" s="385"/>
      <c r="AP6600" s="385"/>
      <c r="AQ6600" s="385"/>
      <c r="AR6600" s="385"/>
      <c r="AS6600" s="385"/>
      <c r="AT6600" s="385"/>
      <c r="AU6600" s="385"/>
      <c r="AV6600" s="385"/>
      <c r="AW6600" s="385"/>
      <c r="AX6600" s="385"/>
      <c r="AY6600" s="385"/>
      <c r="AZ6600" s="385"/>
      <c r="BA6600" s="385"/>
      <c r="BB6600" s="385"/>
      <c r="BC6600" s="385"/>
      <c r="BD6600" s="385"/>
      <c r="BE6600" s="397"/>
      <c r="BF6600" s="397"/>
      <c r="BG6600" s="397"/>
      <c r="BH6600" s="397"/>
      <c r="BI6600" s="397"/>
      <c r="BJ6600" s="397"/>
      <c r="BK6600" s="397"/>
      <c r="BL6600" s="397"/>
      <c r="BM6600" s="398"/>
      <c r="BN6600" s="398"/>
      <c r="BO6600" s="397"/>
      <c r="BP6600" s="398"/>
      <c r="BQ6600" s="398"/>
      <c r="BR6600" s="398"/>
      <c r="BS6600" s="397"/>
      <c r="BT6600" s="397"/>
      <c r="BU6600" s="397"/>
      <c r="BV6600" s="397"/>
      <c r="BW6600" s="397"/>
      <c r="BX6600" s="397"/>
      <c r="BY6600" s="397"/>
      <c r="CA6600" s="392" t="s">
        <v>408</v>
      </c>
    </row>
    <row r="6601" spans="1:79" s="392" customFormat="1" ht="15" x14ac:dyDescent="0.25">
      <c r="A6601" s="430"/>
      <c r="B6601" s="386"/>
      <c r="C6601" s="386"/>
      <c r="D6601" s="434"/>
      <c r="E6601" s="385"/>
      <c r="F6601" s="432"/>
      <c r="G6601" s="401"/>
      <c r="H6601" s="401">
        <v>3</v>
      </c>
      <c r="I6601" s="401"/>
      <c r="J6601" s="401"/>
      <c r="K6601" s="401"/>
      <c r="L6601" s="672"/>
      <c r="M6601" s="673">
        <v>32676</v>
      </c>
      <c r="N6601" s="624">
        <v>4.8178543799999991</v>
      </c>
      <c r="O6601" s="625">
        <v>1.1620361374615385E-2</v>
      </c>
      <c r="P6601" s="390">
        <v>0.34</v>
      </c>
      <c r="Q6601" s="390">
        <v>0.54</v>
      </c>
      <c r="R6601" s="390">
        <v>0.74</v>
      </c>
      <c r="S6601" s="390">
        <v>1.86</v>
      </c>
      <c r="T6601" s="388">
        <v>3.7</v>
      </c>
      <c r="U6601" s="388"/>
      <c r="V6601" s="391"/>
      <c r="W6601" s="391"/>
      <c r="X6601" s="391"/>
      <c r="Y6601" s="792"/>
      <c r="Z6601" s="388">
        <v>8</v>
      </c>
      <c r="AA6601" s="391">
        <v>0.74</v>
      </c>
      <c r="AC6601" s="388"/>
      <c r="AD6601" s="388">
        <v>12.954000000000001</v>
      </c>
      <c r="AE6601" s="388">
        <v>0.38709600000000005</v>
      </c>
      <c r="AF6601" s="388">
        <v>5.0333220000000001</v>
      </c>
      <c r="AG6601" s="391">
        <v>0.95707200000000003</v>
      </c>
      <c r="AH6601" s="385"/>
      <c r="AI6601" s="385"/>
      <c r="AJ6601" s="385"/>
      <c r="AK6601" s="385"/>
      <c r="AL6601" s="385"/>
      <c r="AM6601" s="385"/>
      <c r="AN6601" s="385"/>
      <c r="AO6601" s="385"/>
      <c r="AP6601" s="385"/>
      <c r="AQ6601" s="385"/>
      <c r="AR6601" s="385"/>
      <c r="AS6601" s="385"/>
      <c r="AT6601" s="385"/>
      <c r="AU6601" s="385"/>
      <c r="AV6601" s="385"/>
      <c r="AW6601" s="385"/>
      <c r="AX6601" s="385"/>
      <c r="AY6601" s="385"/>
      <c r="AZ6601" s="385"/>
      <c r="BA6601" s="385"/>
      <c r="BB6601" s="385"/>
      <c r="BC6601" s="385"/>
      <c r="BD6601" s="385"/>
      <c r="BE6601" s="397"/>
      <c r="BF6601" s="397"/>
      <c r="BG6601" s="397"/>
      <c r="BH6601" s="397"/>
      <c r="BI6601" s="397"/>
      <c r="BJ6601" s="397"/>
      <c r="BK6601" s="397"/>
      <c r="BL6601" s="397"/>
      <c r="BM6601" s="398"/>
      <c r="BN6601" s="398"/>
      <c r="BO6601" s="397"/>
      <c r="BP6601" s="398"/>
      <c r="BQ6601" s="398"/>
      <c r="BR6601" s="398"/>
      <c r="BS6601" s="397"/>
      <c r="BT6601" s="397"/>
      <c r="BU6601" s="397"/>
      <c r="BV6601" s="397"/>
      <c r="BW6601" s="397"/>
      <c r="BX6601" s="397"/>
      <c r="BY6601" s="397"/>
      <c r="CA6601" s="392" t="s">
        <v>408</v>
      </c>
    </row>
    <row r="6602" spans="1:79" s="392" customFormat="1" ht="15" x14ac:dyDescent="0.25">
      <c r="A6602" s="430"/>
      <c r="B6602" s="386"/>
      <c r="C6602" s="386"/>
      <c r="D6602" s="434"/>
      <c r="E6602" s="385"/>
      <c r="F6602" s="432"/>
      <c r="G6602" s="401"/>
      <c r="H6602" s="401">
        <v>3</v>
      </c>
      <c r="I6602" s="401"/>
      <c r="J6602" s="401"/>
      <c r="K6602" s="401"/>
      <c r="L6602" s="672"/>
      <c r="M6602" s="673">
        <v>32677</v>
      </c>
      <c r="N6602" s="624">
        <v>4.6723049999999997</v>
      </c>
      <c r="O6602" s="625">
        <v>8.3174192625641036E-3</v>
      </c>
      <c r="P6602" s="390">
        <v>0.44</v>
      </c>
      <c r="Q6602" s="390">
        <v>0.7</v>
      </c>
      <c r="R6602" s="390">
        <v>0.93</v>
      </c>
      <c r="S6602" s="390">
        <v>2.48</v>
      </c>
      <c r="T6602" s="388">
        <v>5.65</v>
      </c>
      <c r="U6602" s="388"/>
      <c r="V6602" s="391"/>
      <c r="W6602" s="391"/>
      <c r="X6602" s="391"/>
      <c r="Y6602" s="792"/>
      <c r="Z6602" s="388">
        <v>13</v>
      </c>
      <c r="AA6602" s="391">
        <v>0.93</v>
      </c>
      <c r="AC6602" s="388"/>
      <c r="AD6602" s="388">
        <v>12.893039999999999</v>
      </c>
      <c r="AE6602" s="388">
        <v>0.39014400000000005</v>
      </c>
      <c r="AF6602" s="388">
        <v>5.0333220000000001</v>
      </c>
      <c r="AG6602" s="391">
        <v>0.92964000000000002</v>
      </c>
      <c r="AH6602" s="385"/>
      <c r="AI6602" s="385"/>
      <c r="AJ6602" s="385"/>
      <c r="AK6602" s="385"/>
      <c r="AL6602" s="385"/>
      <c r="AM6602" s="385"/>
      <c r="AN6602" s="385"/>
      <c r="AO6602" s="385"/>
      <c r="AP6602" s="385"/>
      <c r="AQ6602" s="385"/>
      <c r="AR6602" s="385"/>
      <c r="AS6602" s="385"/>
      <c r="AT6602" s="385"/>
      <c r="AU6602" s="385"/>
      <c r="AV6602" s="385"/>
      <c r="AW6602" s="385"/>
      <c r="AX6602" s="385"/>
      <c r="AY6602" s="385"/>
      <c r="AZ6602" s="385"/>
      <c r="BA6602" s="385"/>
      <c r="BB6602" s="385"/>
      <c r="BC6602" s="385"/>
      <c r="BD6602" s="385"/>
      <c r="BE6602" s="397"/>
      <c r="BF6602" s="397"/>
      <c r="BG6602" s="397"/>
      <c r="BH6602" s="397"/>
      <c r="BI6602" s="397"/>
      <c r="BJ6602" s="397"/>
      <c r="BK6602" s="397"/>
      <c r="BL6602" s="397"/>
      <c r="BM6602" s="398"/>
      <c r="BN6602" s="398"/>
      <c r="BO6602" s="397"/>
      <c r="BP6602" s="398"/>
      <c r="BQ6602" s="398"/>
      <c r="BR6602" s="398"/>
      <c r="BS6602" s="397"/>
      <c r="BT6602" s="397"/>
      <c r="BU6602" s="397"/>
      <c r="BV6602" s="397"/>
      <c r="BW6602" s="397"/>
      <c r="BX6602" s="397"/>
      <c r="BY6602" s="397"/>
      <c r="CA6602" s="392" t="s">
        <v>408</v>
      </c>
    </row>
    <row r="6603" spans="1:79" s="392" customFormat="1" ht="15" x14ac:dyDescent="0.25">
      <c r="A6603" s="430"/>
      <c r="B6603" s="386"/>
      <c r="C6603" s="386"/>
      <c r="D6603" s="434"/>
      <c r="E6603" s="385"/>
      <c r="F6603" s="432"/>
      <c r="G6603" s="401"/>
      <c r="H6603" s="401">
        <v>3</v>
      </c>
      <c r="I6603" s="401"/>
      <c r="J6603" s="401"/>
      <c r="K6603" s="401"/>
      <c r="L6603" s="672"/>
      <c r="M6603" s="673">
        <v>32678</v>
      </c>
      <c r="N6603" s="624">
        <v>4.8178543799999991</v>
      </c>
      <c r="O6603" s="625">
        <v>1.7534426469538459E-2</v>
      </c>
      <c r="P6603" s="390">
        <v>0.37</v>
      </c>
      <c r="Q6603" s="390">
        <v>0.59</v>
      </c>
      <c r="R6603" s="390">
        <v>0.78</v>
      </c>
      <c r="S6603" s="390">
        <v>1.89</v>
      </c>
      <c r="T6603" s="388">
        <v>3.64</v>
      </c>
      <c r="U6603" s="388"/>
      <c r="V6603" s="391"/>
      <c r="W6603" s="391"/>
      <c r="X6603" s="391"/>
      <c r="Y6603" s="792"/>
      <c r="Z6603" s="388">
        <v>9</v>
      </c>
      <c r="AA6603" s="391">
        <v>0.78</v>
      </c>
      <c r="AC6603" s="388"/>
      <c r="AD6603" s="388">
        <v>12.954000000000001</v>
      </c>
      <c r="AE6603" s="388">
        <v>0.38709600000000005</v>
      </c>
      <c r="AF6603" s="388">
        <v>5.0333220000000001</v>
      </c>
      <c r="AG6603" s="391">
        <v>0.95707200000000003</v>
      </c>
      <c r="AH6603" s="386"/>
      <c r="AI6603" s="385"/>
      <c r="AJ6603" s="385"/>
      <c r="AK6603" s="385"/>
      <c r="AL6603" s="385"/>
      <c r="AM6603" s="385"/>
      <c r="AN6603" s="385"/>
      <c r="AO6603" s="385"/>
      <c r="AP6603" s="385"/>
      <c r="AQ6603" s="386"/>
      <c r="AR6603" s="386"/>
      <c r="AS6603" s="386"/>
      <c r="AT6603" s="386"/>
      <c r="AU6603" s="385"/>
      <c r="AV6603" s="385"/>
      <c r="AW6603" s="385"/>
      <c r="AX6603" s="385"/>
      <c r="AY6603" s="385"/>
      <c r="AZ6603" s="385"/>
      <c r="BA6603" s="385"/>
      <c r="BB6603" s="385"/>
      <c r="BC6603" s="385"/>
      <c r="BD6603" s="385"/>
      <c r="BE6603" s="397"/>
      <c r="BF6603" s="397"/>
      <c r="BG6603" s="397"/>
      <c r="BH6603" s="397"/>
      <c r="BI6603" s="397"/>
      <c r="BJ6603" s="397"/>
      <c r="BK6603" s="397"/>
      <c r="BL6603" s="397"/>
      <c r="BM6603" s="398"/>
      <c r="BN6603" s="398"/>
      <c r="BO6603" s="397"/>
      <c r="BP6603" s="398"/>
      <c r="BQ6603" s="398"/>
      <c r="BR6603" s="398"/>
      <c r="BS6603" s="397"/>
      <c r="BT6603" s="397"/>
      <c r="BU6603" s="397"/>
      <c r="BV6603" s="397"/>
      <c r="BW6603" s="397"/>
      <c r="BX6603" s="397"/>
      <c r="BY6603" s="397"/>
      <c r="CA6603" s="392" t="s">
        <v>408</v>
      </c>
    </row>
    <row r="6604" spans="1:79" s="392" customFormat="1" ht="15" x14ac:dyDescent="0.25">
      <c r="A6604" s="430"/>
      <c r="B6604" s="386"/>
      <c r="C6604" s="386"/>
      <c r="D6604" s="434"/>
      <c r="E6604" s="385"/>
      <c r="F6604" s="432"/>
      <c r="G6604" s="401"/>
      <c r="H6604" s="401">
        <v>3</v>
      </c>
      <c r="I6604" s="401"/>
      <c r="J6604" s="401"/>
      <c r="K6604" s="401"/>
      <c r="L6604" s="672"/>
      <c r="M6604" s="673">
        <v>32703</v>
      </c>
      <c r="N6604" s="624">
        <v>2.9797979099999998</v>
      </c>
      <c r="O6604" s="625">
        <v>8.2375219864615368E-3</v>
      </c>
      <c r="P6604" s="390">
        <v>0.54</v>
      </c>
      <c r="Q6604" s="390">
        <v>1.03</v>
      </c>
      <c r="R6604" s="390">
        <v>1.33</v>
      </c>
      <c r="S6604" s="390">
        <v>2.66</v>
      </c>
      <c r="T6604" s="388">
        <v>3.66</v>
      </c>
      <c r="U6604" s="388"/>
      <c r="V6604" s="391"/>
      <c r="W6604" s="391"/>
      <c r="X6604" s="391"/>
      <c r="Y6604" s="792"/>
      <c r="Z6604" s="388">
        <v>8</v>
      </c>
      <c r="AA6604" s="391">
        <v>1.33</v>
      </c>
      <c r="AC6604" s="388"/>
      <c r="AD6604" s="388">
        <v>12.862560000000002</v>
      </c>
      <c r="AE6604" s="388">
        <v>0.25298399999999999</v>
      </c>
      <c r="AF6604" s="388">
        <v>3.2403520000000001</v>
      </c>
      <c r="AG6604" s="391">
        <v>0.92049600000000009</v>
      </c>
      <c r="AH6604" s="397"/>
      <c r="AQ6604" s="397"/>
      <c r="AR6604" s="397"/>
      <c r="AS6604" s="397"/>
      <c r="AT6604" s="397"/>
      <c r="BE6604" s="397"/>
      <c r="BF6604" s="397"/>
      <c r="BG6604" s="397"/>
      <c r="BH6604" s="397"/>
      <c r="BI6604" s="397"/>
      <c r="BJ6604" s="397"/>
      <c r="BK6604" s="397"/>
      <c r="BL6604" s="397"/>
      <c r="BM6604" s="398"/>
      <c r="BN6604" s="398"/>
      <c r="BO6604" s="397"/>
      <c r="BP6604" s="398"/>
      <c r="BQ6604" s="398"/>
      <c r="BR6604" s="398"/>
      <c r="BS6604" s="397"/>
      <c r="BT6604" s="397"/>
      <c r="BU6604" s="397"/>
      <c r="BV6604" s="397"/>
      <c r="BW6604" s="397"/>
      <c r="BX6604" s="397"/>
      <c r="BY6604" s="397"/>
      <c r="CA6604" s="392" t="s">
        <v>408</v>
      </c>
    </row>
    <row r="6605" spans="1:79" s="392" customFormat="1" ht="15" x14ac:dyDescent="0.25">
      <c r="A6605" s="430"/>
      <c r="B6605" s="386"/>
      <c r="C6605" s="386"/>
      <c r="D6605" s="434"/>
      <c r="E6605" s="385"/>
      <c r="F6605" s="432"/>
      <c r="G6605" s="401"/>
      <c r="H6605" s="401">
        <v>3</v>
      </c>
      <c r="I6605" s="401"/>
      <c r="J6605" s="401"/>
      <c r="K6605" s="401"/>
      <c r="L6605" s="672"/>
      <c r="M6605" s="673">
        <v>32705</v>
      </c>
      <c r="N6605" s="624">
        <v>2.6074293599999998</v>
      </c>
      <c r="O6605" s="625">
        <v>8.6019058730769232E-3</v>
      </c>
      <c r="P6605" s="390">
        <v>0.56000000000000005</v>
      </c>
      <c r="Q6605" s="390">
        <v>0.96</v>
      </c>
      <c r="R6605" s="390">
        <v>1.41</v>
      </c>
      <c r="S6605" s="390">
        <v>3.58</v>
      </c>
      <c r="T6605" s="388">
        <v>8.61</v>
      </c>
      <c r="U6605" s="388"/>
      <c r="V6605" s="391"/>
      <c r="W6605" s="391"/>
      <c r="X6605" s="391"/>
      <c r="Y6605" s="792"/>
      <c r="Z6605" s="388">
        <v>16</v>
      </c>
      <c r="AA6605" s="391">
        <v>1.41</v>
      </c>
      <c r="AC6605" s="388"/>
      <c r="AD6605" s="388">
        <v>12.679680000000001</v>
      </c>
      <c r="AE6605" s="388">
        <v>0.23774400000000001</v>
      </c>
      <c r="AF6605" s="388">
        <v>3.0331849999999996</v>
      </c>
      <c r="AG6605" s="391">
        <v>0.85953599999999997</v>
      </c>
      <c r="AH6605" s="397"/>
      <c r="AQ6605" s="397"/>
      <c r="AR6605" s="397"/>
      <c r="AS6605" s="397"/>
      <c r="AT6605" s="397"/>
      <c r="BE6605" s="397"/>
      <c r="BF6605" s="397"/>
      <c r="BG6605" s="397"/>
      <c r="BH6605" s="397"/>
      <c r="BI6605" s="397"/>
      <c r="BJ6605" s="397"/>
      <c r="BK6605" s="397"/>
      <c r="BL6605" s="397"/>
      <c r="BM6605" s="398"/>
      <c r="BN6605" s="398"/>
      <c r="BO6605" s="397"/>
      <c r="BP6605" s="398"/>
      <c r="BQ6605" s="398"/>
      <c r="BR6605" s="398"/>
      <c r="BS6605" s="397"/>
      <c r="BT6605" s="397"/>
      <c r="BU6605" s="397"/>
      <c r="BV6605" s="397"/>
      <c r="BW6605" s="397"/>
      <c r="BX6605" s="397"/>
      <c r="BY6605" s="397"/>
      <c r="CA6605" s="392" t="s">
        <v>408</v>
      </c>
    </row>
    <row r="6606" spans="1:79" s="392" customFormat="1" ht="15" x14ac:dyDescent="0.25">
      <c r="A6606" s="430"/>
      <c r="B6606" s="386"/>
      <c r="C6606" s="386"/>
      <c r="D6606" s="434"/>
      <c r="E6606" s="385"/>
      <c r="F6606" s="432"/>
      <c r="G6606" s="401"/>
      <c r="H6606" s="401">
        <v>3</v>
      </c>
      <c r="I6606" s="401"/>
      <c r="J6606" s="401"/>
      <c r="K6606" s="401"/>
      <c r="L6606" s="672"/>
      <c r="M6606" s="673">
        <v>32708</v>
      </c>
      <c r="N6606" s="624">
        <v>2.3219939999999997</v>
      </c>
      <c r="O6606" s="625">
        <v>3.157352659641025E-3</v>
      </c>
      <c r="P6606" s="390">
        <v>0.54</v>
      </c>
      <c r="Q6606" s="390">
        <v>0.94</v>
      </c>
      <c r="R6606" s="390">
        <v>1.3</v>
      </c>
      <c r="S6606" s="390">
        <v>2.88</v>
      </c>
      <c r="T6606" s="388">
        <v>3.9</v>
      </c>
      <c r="U6606" s="388"/>
      <c r="V6606" s="391"/>
      <c r="W6606" s="391"/>
      <c r="X6606" s="391"/>
      <c r="Y6606" s="792"/>
      <c r="Z6606" s="388">
        <v>8</v>
      </c>
      <c r="AA6606" s="391">
        <v>1.3</v>
      </c>
      <c r="AC6606" s="388"/>
      <c r="AD6606" s="388">
        <v>12.405360000000002</v>
      </c>
      <c r="AE6606" s="388">
        <v>0.23164800000000002</v>
      </c>
      <c r="AF6606" s="388">
        <v>2.881758</v>
      </c>
      <c r="AG6606" s="391">
        <v>0.80467200000000005</v>
      </c>
      <c r="AH6606" s="397"/>
      <c r="AQ6606" s="397"/>
      <c r="AR6606" s="397"/>
      <c r="AS6606" s="397"/>
      <c r="AT6606" s="397"/>
      <c r="BE6606" s="397"/>
      <c r="BF6606" s="397"/>
      <c r="BG6606" s="397"/>
      <c r="BH6606" s="397"/>
      <c r="BI6606" s="397"/>
      <c r="BJ6606" s="397"/>
      <c r="BK6606" s="397"/>
      <c r="BL6606" s="397"/>
      <c r="BM6606" s="398"/>
      <c r="BN6606" s="398"/>
      <c r="BO6606" s="397"/>
      <c r="BP6606" s="398"/>
      <c r="BQ6606" s="398"/>
      <c r="BR6606" s="398"/>
      <c r="BS6606" s="397"/>
      <c r="BT6606" s="397"/>
      <c r="BU6606" s="397"/>
      <c r="BV6606" s="397"/>
      <c r="BW6606" s="397"/>
      <c r="BX6606" s="397"/>
      <c r="BY6606" s="397"/>
      <c r="CA6606" s="392" t="s">
        <v>408</v>
      </c>
    </row>
    <row r="6607" spans="1:79" s="392" customFormat="1" ht="15" x14ac:dyDescent="0.25">
      <c r="A6607" s="430"/>
      <c r="B6607" s="386"/>
      <c r="C6607" s="386"/>
      <c r="D6607" s="434"/>
      <c r="E6607" s="385"/>
      <c r="F6607" s="432"/>
      <c r="G6607" s="401"/>
      <c r="H6607" s="401">
        <v>3</v>
      </c>
      <c r="I6607" s="401"/>
      <c r="J6607" s="401"/>
      <c r="K6607" s="401"/>
      <c r="L6607" s="672"/>
      <c r="M6607" s="673">
        <v>32716</v>
      </c>
      <c r="N6607" s="624">
        <v>2.1520919999999997</v>
      </c>
      <c r="O6607" s="625">
        <v>3.733325866666666E-3</v>
      </c>
      <c r="P6607" s="390">
        <v>0.67</v>
      </c>
      <c r="Q6607" s="390">
        <v>1.18</v>
      </c>
      <c r="R6607" s="390">
        <v>1.59</v>
      </c>
      <c r="S6607" s="390">
        <v>3.66</v>
      </c>
      <c r="T6607" s="388">
        <v>6.77</v>
      </c>
      <c r="U6607" s="388"/>
      <c r="V6607" s="391"/>
      <c r="W6607" s="391"/>
      <c r="X6607" s="391"/>
      <c r="Y6607" s="792"/>
      <c r="Z6607" s="388">
        <v>10</v>
      </c>
      <c r="AA6607" s="391">
        <v>1.59</v>
      </c>
      <c r="AC6607" s="388"/>
      <c r="AD6607" s="388">
        <v>12.3444</v>
      </c>
      <c r="AE6607" s="388">
        <v>0.20421600000000001</v>
      </c>
      <c r="AF6607" s="388">
        <v>2.5045839999999999</v>
      </c>
      <c r="AG6607" s="391">
        <v>0.85953599999999997</v>
      </c>
      <c r="AH6607" s="397"/>
      <c r="AQ6607" s="397"/>
      <c r="AR6607" s="397"/>
      <c r="AS6607" s="397"/>
      <c r="AT6607" s="397"/>
      <c r="BE6607" s="397"/>
      <c r="BF6607" s="397"/>
      <c r="BG6607" s="397"/>
      <c r="BH6607" s="397"/>
      <c r="BI6607" s="397"/>
      <c r="BJ6607" s="397"/>
      <c r="BK6607" s="397"/>
      <c r="BL6607" s="397"/>
      <c r="BM6607" s="398"/>
      <c r="BN6607" s="398"/>
      <c r="BO6607" s="397"/>
      <c r="BP6607" s="398"/>
      <c r="BQ6607" s="398"/>
      <c r="BR6607" s="398"/>
      <c r="BS6607" s="397"/>
      <c r="BT6607" s="397"/>
      <c r="BU6607" s="397"/>
      <c r="BV6607" s="397"/>
      <c r="BW6607" s="397"/>
      <c r="BX6607" s="397"/>
      <c r="BY6607" s="397"/>
      <c r="CA6607" s="392" t="s">
        <v>408</v>
      </c>
    </row>
    <row r="6608" spans="1:79" s="189" customFormat="1" ht="15.75" thickBot="1" x14ac:dyDescent="0.3">
      <c r="A6608" s="24" t="s">
        <v>429</v>
      </c>
      <c r="B6608" s="14" t="s">
        <v>34</v>
      </c>
      <c r="C6608" s="14"/>
      <c r="D6608" s="4">
        <f>VLOOKUP(E6608,'Quality Code'!D4:E24,2,TRUE)*VLOOKUP(MROUND(F6608,10),'Quality Code'!D28:E69,2,TRUE)*VLOOKUP(COUNTA(CB6608:CB6618),'Quality Code'!D73:E93,2,TRUE)</f>
        <v>0.6</v>
      </c>
      <c r="E6608" s="14">
        <v>0.6</v>
      </c>
      <c r="F6608" s="18">
        <v>42</v>
      </c>
      <c r="G6608" s="2"/>
      <c r="H6608" s="2" t="s">
        <v>105</v>
      </c>
      <c r="I6608" s="2"/>
      <c r="J6608" s="2"/>
      <c r="K6608" s="2"/>
      <c r="L6608" s="640"/>
      <c r="M6608" s="640">
        <v>1989</v>
      </c>
      <c r="N6608" s="578" t="s">
        <v>110</v>
      </c>
      <c r="O6608" s="622"/>
      <c r="P6608" s="376" t="s">
        <v>402</v>
      </c>
      <c r="Q6608" s="376" t="s">
        <v>403</v>
      </c>
      <c r="R6608" s="376" t="s">
        <v>404</v>
      </c>
      <c r="S6608" s="376" t="s">
        <v>405</v>
      </c>
      <c r="T6608" s="376" t="s">
        <v>406</v>
      </c>
      <c r="U6608" s="141" t="s">
        <v>20</v>
      </c>
      <c r="V6608" s="2"/>
      <c r="W6608" s="2"/>
      <c r="X6608" s="2"/>
      <c r="Y6608" s="2"/>
      <c r="Z6608" s="26"/>
      <c r="AA6608" s="26"/>
      <c r="AB6608" s="377"/>
      <c r="AC6608" s="26">
        <v>2.2800000000000001E-2</v>
      </c>
      <c r="AD6608" s="26"/>
      <c r="AE6608" s="26"/>
      <c r="AF6608" s="26"/>
      <c r="AG6608" s="26"/>
      <c r="AH6608" s="4"/>
      <c r="AI6608" s="376"/>
      <c r="AJ6608" s="376"/>
      <c r="AK6608" s="376"/>
      <c r="AL6608" s="376"/>
      <c r="AM6608" s="376"/>
      <c r="AN6608" s="376"/>
      <c r="AO6608" s="376"/>
      <c r="AP6608" s="376"/>
      <c r="AQ6608" s="378"/>
      <c r="AR6608" s="378"/>
      <c r="AS6608" s="378"/>
      <c r="AT6608" s="378"/>
      <c r="AU6608" s="379"/>
      <c r="AV6608" s="379"/>
      <c r="AW6608" s="379"/>
      <c r="AX6608" s="379"/>
      <c r="AY6608" s="379"/>
      <c r="AZ6608" s="380"/>
      <c r="BA6608" s="380"/>
      <c r="BB6608" s="380"/>
      <c r="BC6608" s="380"/>
      <c r="BD6608" s="380"/>
      <c r="BE6608" s="4"/>
      <c r="BF6608" s="4"/>
      <c r="BG6608" s="4"/>
      <c r="BH6608" s="4"/>
      <c r="BI6608" s="12"/>
      <c r="BJ6608" s="2"/>
      <c r="BK6608" s="2"/>
      <c r="BL6608" s="4"/>
      <c r="BM6608" s="12">
        <v>1.5671248603473544</v>
      </c>
      <c r="BN6608" s="12">
        <v>7.1018400000000002</v>
      </c>
      <c r="BO6608" s="12">
        <v>0.32272171673819744</v>
      </c>
      <c r="BP6608" s="4">
        <v>2.2919179968000001</v>
      </c>
      <c r="BQ6608" s="4">
        <v>22.006080259424401</v>
      </c>
      <c r="BR6608" s="4"/>
      <c r="BS6608" s="2"/>
      <c r="BT6608" s="9"/>
      <c r="BU6608" s="381"/>
      <c r="BV6608" s="382"/>
      <c r="BW6608" s="383"/>
      <c r="BX6608" s="383"/>
      <c r="BY6608" s="383"/>
      <c r="BZ6608" s="384"/>
      <c r="CA6608" s="411" t="s">
        <v>408</v>
      </c>
    </row>
    <row r="6609" spans="1:79" s="392" customFormat="1" ht="15" x14ac:dyDescent="0.25">
      <c r="A6609" s="430"/>
      <c r="B6609" s="386"/>
      <c r="C6609" s="386"/>
      <c r="D6609" s="434"/>
      <c r="E6609" s="385"/>
      <c r="F6609" s="432"/>
      <c r="G6609" s="401"/>
      <c r="H6609" s="401">
        <v>3</v>
      </c>
      <c r="I6609" s="401"/>
      <c r="J6609" s="401"/>
      <c r="K6609" s="401"/>
      <c r="L6609" s="672"/>
      <c r="M6609" s="673">
        <v>32620</v>
      </c>
      <c r="N6609" s="624">
        <v>0.10845410999999999</v>
      </c>
      <c r="O6609" s="625">
        <v>1.6333300666666665E-6</v>
      </c>
      <c r="P6609" s="390">
        <v>0</v>
      </c>
      <c r="Q6609" s="390">
        <v>0</v>
      </c>
      <c r="R6609" s="390">
        <v>0</v>
      </c>
      <c r="S6609" s="390">
        <v>0</v>
      </c>
      <c r="T6609" s="388">
        <v>0</v>
      </c>
      <c r="U6609" s="388"/>
      <c r="V6609" s="391"/>
      <c r="W6609" s="391"/>
      <c r="X6609" s="391"/>
      <c r="Y6609" s="792"/>
      <c r="Z6609" s="388">
        <v>0</v>
      </c>
      <c r="AA6609" s="391">
        <v>0</v>
      </c>
      <c r="AC6609" s="115"/>
      <c r="AD6609" s="115">
        <v>3.6880800000000002</v>
      </c>
      <c r="AE6609" s="388">
        <v>9.7536000000000012E-2</v>
      </c>
      <c r="AF6609" s="388">
        <v>0.356736</v>
      </c>
      <c r="AG6609" s="391">
        <v>0.30480000000000002</v>
      </c>
      <c r="AH6609" s="393"/>
      <c r="AI6609" s="394"/>
      <c r="AJ6609" s="394"/>
      <c r="AK6609" s="394"/>
      <c r="AL6609" s="394"/>
      <c r="AM6609" s="394"/>
      <c r="AN6609" s="394"/>
      <c r="AO6609" s="394"/>
      <c r="AP6609" s="395"/>
      <c r="AQ6609" s="396"/>
      <c r="AR6609" s="396"/>
      <c r="AS6609" s="396"/>
      <c r="AT6609" s="396"/>
      <c r="AU6609" s="394"/>
      <c r="AV6609" s="394"/>
      <c r="AW6609" s="394"/>
      <c r="AX6609" s="394"/>
      <c r="AY6609" s="394"/>
      <c r="AZ6609" s="394"/>
      <c r="BA6609" s="394"/>
      <c r="BB6609" s="394"/>
      <c r="BC6609" s="394"/>
      <c r="BD6609" s="395"/>
      <c r="BE6609" s="397"/>
      <c r="BF6609" s="397"/>
      <c r="BG6609" s="397"/>
      <c r="BH6609" s="397"/>
      <c r="BI6609" s="397"/>
      <c r="BJ6609" s="397"/>
      <c r="BK6609" s="397"/>
      <c r="BL6609" s="397"/>
      <c r="BM6609" s="398"/>
      <c r="BN6609" s="398"/>
      <c r="BO6609" s="397"/>
      <c r="BP6609" s="398"/>
      <c r="BQ6609" s="398"/>
      <c r="BR6609" s="398"/>
      <c r="BS6609" s="397"/>
      <c r="BT6609" s="397"/>
      <c r="BU6609" s="397"/>
      <c r="BV6609" s="397"/>
      <c r="BW6609" s="397"/>
      <c r="BX6609" s="397"/>
      <c r="BY6609" s="397"/>
      <c r="CA6609" s="392" t="s">
        <v>408</v>
      </c>
    </row>
    <row r="6610" spans="1:79" s="392" customFormat="1" ht="15" x14ac:dyDescent="0.25">
      <c r="A6610" s="430"/>
      <c r="B6610" s="386"/>
      <c r="C6610" s="386"/>
      <c r="D6610" s="434"/>
      <c r="E6610" s="385"/>
      <c r="F6610" s="432"/>
      <c r="G6610" s="401"/>
      <c r="H6610" s="401">
        <v>3</v>
      </c>
      <c r="I6610" s="401"/>
      <c r="J6610" s="401"/>
      <c r="K6610" s="401"/>
      <c r="L6610" s="676"/>
      <c r="M6610" s="673">
        <v>32629</v>
      </c>
      <c r="N6610" s="624">
        <v>0.13450574999999998</v>
      </c>
      <c r="O6610" s="625">
        <v>7.954317424666668E-4</v>
      </c>
      <c r="P6610" s="390">
        <v>0.68122139540844651</v>
      </c>
      <c r="Q6610" s="390">
        <v>1.218384357888052</v>
      </c>
      <c r="R6610" s="390">
        <v>1.6622401565511953</v>
      </c>
      <c r="S6610" s="390">
        <v>5.6906072810403767</v>
      </c>
      <c r="T6610" s="388">
        <v>19.299815247434594</v>
      </c>
      <c r="U6610" s="388"/>
      <c r="V6610" s="391"/>
      <c r="W6610" s="391"/>
      <c r="X6610" s="391"/>
      <c r="Y6610" s="792"/>
      <c r="Z6610" s="388">
        <v>19</v>
      </c>
      <c r="AA6610" s="391">
        <v>1.6622401565511953</v>
      </c>
      <c r="AC6610" s="115"/>
      <c r="AD6610" s="115">
        <v>3.8404799999999999</v>
      </c>
      <c r="AE6610" s="388">
        <v>0.10668</v>
      </c>
      <c r="AF6610" s="388">
        <v>0.41433399999999998</v>
      </c>
      <c r="AG6610" s="391">
        <v>0.32613600000000004</v>
      </c>
      <c r="AH6610" s="385"/>
      <c r="AI6610" s="385"/>
      <c r="AJ6610" s="385"/>
      <c r="AK6610" s="385"/>
      <c r="AL6610" s="385"/>
      <c r="AM6610" s="385"/>
      <c r="AN6610" s="385"/>
      <c r="AO6610" s="385"/>
      <c r="AP6610" s="385"/>
      <c r="AQ6610" s="385"/>
      <c r="AR6610" s="385"/>
      <c r="AS6610" s="385"/>
      <c r="AT6610" s="385"/>
      <c r="AU6610" s="385"/>
      <c r="AV6610" s="385"/>
      <c r="AW6610" s="385"/>
      <c r="AX6610" s="385"/>
      <c r="AY6610" s="385"/>
      <c r="AZ6610" s="385"/>
      <c r="BA6610" s="385"/>
      <c r="BB6610" s="385"/>
      <c r="BC6610" s="385"/>
      <c r="BD6610" s="385"/>
      <c r="BE6610" s="397"/>
      <c r="BF6610" s="397"/>
      <c r="BG6610" s="397"/>
      <c r="BH6610" s="397"/>
      <c r="BI6610" s="397"/>
      <c r="BJ6610" s="397"/>
      <c r="BK6610" s="397"/>
      <c r="BL6610" s="397"/>
      <c r="BM6610" s="398"/>
      <c r="BN6610" s="398"/>
      <c r="BO6610" s="397"/>
      <c r="BP6610" s="398"/>
      <c r="BQ6610" s="398"/>
      <c r="BR6610" s="398"/>
      <c r="BS6610" s="397"/>
      <c r="BT6610" s="397"/>
      <c r="BU6610" s="397"/>
      <c r="BV6610" s="397"/>
      <c r="BW6610" s="397"/>
      <c r="BX6610" s="397"/>
      <c r="BY6610" s="397"/>
      <c r="CA6610" s="392" t="s">
        <v>408</v>
      </c>
    </row>
    <row r="6611" spans="1:79" s="392" customFormat="1" ht="15" x14ac:dyDescent="0.25">
      <c r="A6611" s="430"/>
      <c r="B6611" s="386"/>
      <c r="C6611" s="386"/>
      <c r="D6611" s="434"/>
      <c r="E6611" s="385"/>
      <c r="F6611" s="432"/>
      <c r="G6611" s="401"/>
      <c r="H6611" s="401">
        <v>3</v>
      </c>
      <c r="I6611" s="401"/>
      <c r="J6611" s="401"/>
      <c r="K6611" s="401"/>
      <c r="L6611" s="676"/>
      <c r="M6611" s="673">
        <v>32630</v>
      </c>
      <c r="N6611" s="624">
        <v>0.10052534999999999</v>
      </c>
      <c r="O6611" s="625">
        <v>5.1286564093333336E-4</v>
      </c>
      <c r="P6611" s="390">
        <v>0.8214966121401921</v>
      </c>
      <c r="Q6611" s="390">
        <v>1.326385370789678</v>
      </c>
      <c r="R6611" s="390">
        <v>1.7411011265922487</v>
      </c>
      <c r="S6611" s="390">
        <v>3.4017952188190357</v>
      </c>
      <c r="T6611" s="388">
        <v>4.5333538651596825</v>
      </c>
      <c r="U6611" s="388"/>
      <c r="V6611" s="391"/>
      <c r="W6611" s="391"/>
      <c r="X6611" s="391"/>
      <c r="Y6611" s="792"/>
      <c r="Z6611" s="388">
        <v>5</v>
      </c>
      <c r="AA6611" s="391">
        <v>1.7411011265922487</v>
      </c>
      <c r="AC6611" s="115"/>
      <c r="AD6611" s="115">
        <v>3.7490400000000004</v>
      </c>
      <c r="AE6611" s="388">
        <v>8.2296000000000008E-2</v>
      </c>
      <c r="AF6611" s="388">
        <v>0.30842799999999998</v>
      </c>
      <c r="AG6611" s="391">
        <v>0.32613600000000004</v>
      </c>
      <c r="AH6611" s="385"/>
      <c r="AI6611" s="385"/>
      <c r="AJ6611" s="385"/>
      <c r="AK6611" s="385"/>
      <c r="AL6611" s="385"/>
      <c r="AM6611" s="385"/>
      <c r="AN6611" s="385"/>
      <c r="AO6611" s="385"/>
      <c r="AP6611" s="385"/>
      <c r="AQ6611" s="385"/>
      <c r="AR6611" s="385"/>
      <c r="AS6611" s="385"/>
      <c r="AT6611" s="385"/>
      <c r="AU6611" s="385"/>
      <c r="AV6611" s="385"/>
      <c r="AW6611" s="385"/>
      <c r="AX6611" s="385"/>
      <c r="AY6611" s="385"/>
      <c r="AZ6611" s="385"/>
      <c r="BA6611" s="385"/>
      <c r="BB6611" s="385"/>
      <c r="BC6611" s="385"/>
      <c r="BD6611" s="385"/>
      <c r="BE6611" s="397"/>
      <c r="BF6611" s="397"/>
      <c r="BG6611" s="397"/>
      <c r="BH6611" s="397"/>
      <c r="BI6611" s="397"/>
      <c r="BJ6611" s="397"/>
      <c r="BK6611" s="397"/>
      <c r="BL6611" s="397"/>
      <c r="BM6611" s="398"/>
      <c r="BN6611" s="398"/>
      <c r="BO6611" s="397"/>
      <c r="BP6611" s="398"/>
      <c r="BQ6611" s="398"/>
      <c r="BR6611" s="398"/>
      <c r="BS6611" s="397"/>
      <c r="BT6611" s="397"/>
      <c r="BU6611" s="397"/>
      <c r="BV6611" s="397"/>
      <c r="BW6611" s="397"/>
      <c r="BX6611" s="397"/>
      <c r="BY6611" s="397"/>
      <c r="CA6611" s="392" t="s">
        <v>408</v>
      </c>
    </row>
    <row r="6612" spans="1:79" s="392" customFormat="1" ht="15" x14ac:dyDescent="0.25">
      <c r="A6612" s="430"/>
      <c r="B6612" s="386"/>
      <c r="C6612" s="386"/>
      <c r="D6612" s="434"/>
      <c r="E6612" s="385"/>
      <c r="F6612" s="432"/>
      <c r="G6612" s="401"/>
      <c r="H6612" s="401">
        <v>3</v>
      </c>
      <c r="I6612" s="401"/>
      <c r="J6612" s="401"/>
      <c r="K6612" s="401"/>
      <c r="L6612" s="676"/>
      <c r="M6612" s="673">
        <v>32631</v>
      </c>
      <c r="N6612" s="624">
        <v>9.1747079999999995E-2</v>
      </c>
      <c r="O6612" s="625">
        <v>1.7166632333333332E-6</v>
      </c>
      <c r="P6612" s="390">
        <v>0</v>
      </c>
      <c r="Q6612" s="390">
        <v>0</v>
      </c>
      <c r="R6612" s="390">
        <v>0</v>
      </c>
      <c r="S6612" s="390">
        <v>0</v>
      </c>
      <c r="T6612" s="388">
        <v>0</v>
      </c>
      <c r="U6612" s="388"/>
      <c r="V6612" s="391"/>
      <c r="W6612" s="391"/>
      <c r="X6612" s="391"/>
      <c r="Y6612" s="792"/>
      <c r="Z6612" s="388">
        <v>0</v>
      </c>
      <c r="AA6612" s="391">
        <v>0</v>
      </c>
      <c r="AC6612" s="115"/>
      <c r="AD6612" s="115">
        <v>3.7185600000000001</v>
      </c>
      <c r="AE6612" s="388">
        <v>7.9248000000000013E-2</v>
      </c>
      <c r="AF6612" s="388">
        <v>0.20530899999999999</v>
      </c>
      <c r="AG6612" s="391">
        <v>0.30784800000000001</v>
      </c>
      <c r="AH6612" s="385"/>
      <c r="AI6612" s="385"/>
      <c r="AJ6612" s="385"/>
      <c r="AK6612" s="385"/>
      <c r="AL6612" s="385"/>
      <c r="AM6612" s="385"/>
      <c r="AN6612" s="385"/>
      <c r="AO6612" s="385"/>
      <c r="AP6612" s="385"/>
      <c r="AQ6612" s="385"/>
      <c r="AR6612" s="385"/>
      <c r="AS6612" s="385"/>
      <c r="AT6612" s="385"/>
      <c r="AU6612" s="385"/>
      <c r="AV6612" s="385"/>
      <c r="AW6612" s="385"/>
      <c r="AX6612" s="385"/>
      <c r="AY6612" s="385"/>
      <c r="AZ6612" s="385"/>
      <c r="BA6612" s="385"/>
      <c r="BB6612" s="385"/>
      <c r="BC6612" s="385"/>
      <c r="BD6612" s="385"/>
      <c r="BE6612" s="397"/>
      <c r="BF6612" s="397"/>
      <c r="BG6612" s="397"/>
      <c r="BH6612" s="397"/>
      <c r="BI6612" s="397"/>
      <c r="BJ6612" s="397"/>
      <c r="BK6612" s="397"/>
      <c r="BL6612" s="397"/>
      <c r="BM6612" s="398"/>
      <c r="BN6612" s="398"/>
      <c r="BO6612" s="397"/>
      <c r="BP6612" s="398"/>
      <c r="BQ6612" s="398"/>
      <c r="BR6612" s="398"/>
      <c r="BS6612" s="397"/>
      <c r="BT6612" s="397"/>
      <c r="BU6612" s="397"/>
      <c r="BV6612" s="397"/>
      <c r="BW6612" s="397"/>
      <c r="BX6612" s="397"/>
      <c r="BY6612" s="397"/>
      <c r="CA6612" s="392" t="s">
        <v>408</v>
      </c>
    </row>
    <row r="6613" spans="1:79" s="392" customFormat="1" ht="15" x14ac:dyDescent="0.25">
      <c r="A6613" s="430"/>
      <c r="B6613" s="386"/>
      <c r="C6613" s="386"/>
      <c r="D6613" s="434"/>
      <c r="E6613" s="385"/>
      <c r="F6613" s="432"/>
      <c r="G6613" s="401"/>
      <c r="H6613" s="401">
        <v>3</v>
      </c>
      <c r="I6613" s="401"/>
      <c r="J6613" s="401"/>
      <c r="K6613" s="401"/>
      <c r="L6613" s="676"/>
      <c r="M6613" s="673">
        <v>32632</v>
      </c>
      <c r="N6613" s="624">
        <v>8.5517339999999997E-2</v>
      </c>
      <c r="O6613" s="625">
        <v>1.6333300666666665E-6</v>
      </c>
      <c r="P6613" s="390">
        <v>0</v>
      </c>
      <c r="Q6613" s="390">
        <v>0</v>
      </c>
      <c r="R6613" s="390">
        <v>0</v>
      </c>
      <c r="S6613" s="390">
        <v>0</v>
      </c>
      <c r="T6613" s="388">
        <v>0</v>
      </c>
      <c r="U6613" s="388"/>
      <c r="V6613" s="391"/>
      <c r="W6613" s="391"/>
      <c r="X6613" s="391"/>
      <c r="Y6613" s="792"/>
      <c r="Z6613" s="388">
        <v>0</v>
      </c>
      <c r="AA6613" s="391">
        <v>0</v>
      </c>
      <c r="AC6613" s="115"/>
      <c r="AD6613" s="115">
        <v>3.6880800000000002</v>
      </c>
      <c r="AE6613" s="388">
        <v>7.6200000000000004E-2</v>
      </c>
      <c r="AF6613" s="388">
        <v>0.28520299999999998</v>
      </c>
      <c r="AG6613" s="391">
        <v>0.29870400000000003</v>
      </c>
      <c r="AH6613" s="385"/>
      <c r="AI6613" s="385"/>
      <c r="AJ6613" s="385"/>
      <c r="AK6613" s="385"/>
      <c r="AL6613" s="385"/>
      <c r="AM6613" s="385"/>
      <c r="AN6613" s="385"/>
      <c r="AO6613" s="385"/>
      <c r="AP6613" s="385"/>
      <c r="AQ6613" s="385"/>
      <c r="AR6613" s="385"/>
      <c r="AS6613" s="385"/>
      <c r="AT6613" s="385"/>
      <c r="AU6613" s="385"/>
      <c r="AV6613" s="385"/>
      <c r="AW6613" s="385"/>
      <c r="AX6613" s="385"/>
      <c r="AY6613" s="385"/>
      <c r="AZ6613" s="385"/>
      <c r="BA6613" s="385"/>
      <c r="BB6613" s="385"/>
      <c r="BC6613" s="385"/>
      <c r="BD6613" s="385"/>
      <c r="BE6613" s="397"/>
      <c r="BF6613" s="397"/>
      <c r="BG6613" s="397"/>
      <c r="BH6613" s="397"/>
      <c r="BI6613" s="397"/>
      <c r="BJ6613" s="397"/>
      <c r="BK6613" s="397"/>
      <c r="BL6613" s="397"/>
      <c r="BM6613" s="398"/>
      <c r="BN6613" s="398"/>
      <c r="BO6613" s="397"/>
      <c r="BP6613" s="398"/>
      <c r="BQ6613" s="398"/>
      <c r="BR6613" s="398"/>
      <c r="BS6613" s="397"/>
      <c r="BT6613" s="397"/>
      <c r="BU6613" s="397"/>
      <c r="BV6613" s="397"/>
      <c r="BW6613" s="397"/>
      <c r="BX6613" s="397"/>
      <c r="BY6613" s="397"/>
      <c r="CA6613" s="392" t="s">
        <v>408</v>
      </c>
    </row>
    <row r="6614" spans="1:79" s="392" customFormat="1" ht="15" x14ac:dyDescent="0.25">
      <c r="A6614" s="430"/>
      <c r="B6614" s="386"/>
      <c r="C6614" s="386"/>
      <c r="D6614" s="434"/>
      <c r="E6614" s="385"/>
      <c r="F6614" s="432"/>
      <c r="G6614" s="401"/>
      <c r="H6614" s="401">
        <v>3</v>
      </c>
      <c r="I6614" s="401"/>
      <c r="J6614" s="401"/>
      <c r="K6614" s="401"/>
      <c r="L6614" s="676"/>
      <c r="M6614" s="673">
        <v>32634</v>
      </c>
      <c r="N6614" s="624">
        <v>9.0897569999999997E-2</v>
      </c>
      <c r="O6614" s="625">
        <v>3.7566591533333342E-5</v>
      </c>
      <c r="P6614" s="390">
        <v>0.40332087961106317</v>
      </c>
      <c r="Q6614" s="390">
        <v>0.63239106484766616</v>
      </c>
      <c r="R6614" s="390">
        <v>0.82486059433530234</v>
      </c>
      <c r="S6614" s="390">
        <v>1.5855682732205691</v>
      </c>
      <c r="T6614" s="388">
        <v>1.9741751606194498</v>
      </c>
      <c r="U6614" s="388"/>
      <c r="V6614" s="391"/>
      <c r="W6614" s="391"/>
      <c r="X6614" s="391"/>
      <c r="Y6614" s="792"/>
      <c r="Z6614" s="388">
        <v>2</v>
      </c>
      <c r="AA6614" s="391">
        <v>0.82486059433530234</v>
      </c>
      <c r="AC6614" s="115"/>
      <c r="AD6614" s="115">
        <v>3.6271200000000001</v>
      </c>
      <c r="AE6614" s="388">
        <v>8.5344000000000017E-2</v>
      </c>
      <c r="AF6614" s="388">
        <v>0.30656999999999995</v>
      </c>
      <c r="AG6614" s="391">
        <v>0.29565600000000003</v>
      </c>
      <c r="AH6614" s="386"/>
      <c r="AI6614" s="385"/>
      <c r="AJ6614" s="385"/>
      <c r="AK6614" s="385"/>
      <c r="AL6614" s="385"/>
      <c r="AM6614" s="385"/>
      <c r="AN6614" s="385"/>
      <c r="AO6614" s="385"/>
      <c r="AP6614" s="385"/>
      <c r="AQ6614" s="386"/>
      <c r="AR6614" s="386"/>
      <c r="AS6614" s="386"/>
      <c r="AT6614" s="386"/>
      <c r="AU6614" s="385"/>
      <c r="AV6614" s="385"/>
      <c r="AW6614" s="385"/>
      <c r="AX6614" s="385"/>
      <c r="AY6614" s="385"/>
      <c r="AZ6614" s="385"/>
      <c r="BA6614" s="385"/>
      <c r="BB6614" s="385"/>
      <c r="BC6614" s="385"/>
      <c r="BD6614" s="385"/>
      <c r="BE6614" s="397"/>
      <c r="BF6614" s="397"/>
      <c r="BG6614" s="397"/>
      <c r="BH6614" s="397"/>
      <c r="BI6614" s="397"/>
      <c r="BJ6614" s="397"/>
      <c r="BK6614" s="397"/>
      <c r="BL6614" s="397"/>
      <c r="BM6614" s="398"/>
      <c r="BN6614" s="398"/>
      <c r="BO6614" s="397"/>
      <c r="BP6614" s="398"/>
      <c r="BQ6614" s="398"/>
      <c r="BR6614" s="398"/>
      <c r="BS6614" s="397"/>
      <c r="BT6614" s="397"/>
      <c r="BU6614" s="397"/>
      <c r="BV6614" s="397"/>
      <c r="BW6614" s="397"/>
      <c r="BX6614" s="397"/>
      <c r="BY6614" s="397"/>
      <c r="CA6614" s="392" t="s">
        <v>408</v>
      </c>
    </row>
    <row r="6615" spans="1:79" s="392" customFormat="1" ht="15" x14ac:dyDescent="0.25">
      <c r="A6615" s="430"/>
      <c r="B6615" s="386"/>
      <c r="C6615" s="386"/>
      <c r="D6615" s="434"/>
      <c r="E6615" s="385"/>
      <c r="F6615" s="432"/>
      <c r="G6615" s="401"/>
      <c r="H6615" s="401">
        <v>3</v>
      </c>
      <c r="I6615" s="401"/>
      <c r="J6615" s="401"/>
      <c r="K6615" s="401"/>
      <c r="L6615" s="676"/>
      <c r="M6615" s="673">
        <v>32636</v>
      </c>
      <c r="N6615" s="624">
        <v>0.16452176999999998</v>
      </c>
      <c r="O6615" s="625">
        <v>7.7399845200000017E-5</v>
      </c>
      <c r="P6615" s="390">
        <v>1.1181479633284817</v>
      </c>
      <c r="Q6615" s="390">
        <v>2.1151635648693747</v>
      </c>
      <c r="R6615" s="390">
        <v>2.983328980982805</v>
      </c>
      <c r="S6615" s="390">
        <v>6.0908239145309988</v>
      </c>
      <c r="T6615" s="388">
        <v>7.3465870660468626</v>
      </c>
      <c r="U6615" s="388"/>
      <c r="V6615" s="391"/>
      <c r="W6615" s="391"/>
      <c r="X6615" s="391"/>
      <c r="Y6615" s="792"/>
      <c r="Z6615" s="388">
        <v>7</v>
      </c>
      <c r="AA6615" s="391">
        <v>2.983328980982805</v>
      </c>
      <c r="AC6615" s="115"/>
      <c r="AD6615" s="115">
        <v>3.9014400000000005</v>
      </c>
      <c r="AE6615" s="388">
        <v>0.112776</v>
      </c>
      <c r="AF6615" s="388">
        <v>0.44220399999999999</v>
      </c>
      <c r="AG6615" s="391">
        <v>0.37185600000000002</v>
      </c>
      <c r="AH6615" s="397"/>
      <c r="AQ6615" s="397"/>
      <c r="AR6615" s="397"/>
      <c r="AS6615" s="397"/>
      <c r="AT6615" s="397"/>
      <c r="BE6615" s="397"/>
      <c r="BF6615" s="397"/>
      <c r="BG6615" s="397"/>
      <c r="BH6615" s="397"/>
      <c r="BI6615" s="397"/>
      <c r="BJ6615" s="397"/>
      <c r="BK6615" s="397"/>
      <c r="BL6615" s="397"/>
      <c r="BM6615" s="398"/>
      <c r="BN6615" s="398"/>
      <c r="BO6615" s="397"/>
      <c r="BP6615" s="398"/>
      <c r="BQ6615" s="398"/>
      <c r="BR6615" s="398"/>
      <c r="BS6615" s="397"/>
      <c r="BT6615" s="397"/>
      <c r="BU6615" s="397"/>
      <c r="BV6615" s="397"/>
      <c r="BW6615" s="397"/>
      <c r="BX6615" s="397"/>
      <c r="BY6615" s="397"/>
      <c r="CA6615" s="392" t="s">
        <v>408</v>
      </c>
    </row>
    <row r="6616" spans="1:79" s="392" customFormat="1" ht="15" x14ac:dyDescent="0.25">
      <c r="A6616" s="430"/>
      <c r="B6616" s="386"/>
      <c r="C6616" s="386"/>
      <c r="D6616" s="434"/>
      <c r="E6616" s="385"/>
      <c r="F6616" s="432"/>
      <c r="G6616" s="401"/>
      <c r="H6616" s="401">
        <v>3</v>
      </c>
      <c r="I6616" s="401"/>
      <c r="J6616" s="401"/>
      <c r="K6616" s="401"/>
      <c r="L6616" s="676"/>
      <c r="M6616" s="673">
        <v>32637</v>
      </c>
      <c r="N6616" s="624">
        <v>0.19085658</v>
      </c>
      <c r="O6616" s="625">
        <v>1.9586627493333331E-3</v>
      </c>
      <c r="P6616" s="390">
        <v>0.67992094321308127</v>
      </c>
      <c r="Q6616" s="390">
        <v>1.1329504343072307</v>
      </c>
      <c r="R6616" s="390">
        <v>1.4246358697838044</v>
      </c>
      <c r="S6616" s="390">
        <v>2.9178159602814486</v>
      </c>
      <c r="T6616" s="388">
        <v>4.7011212058287342</v>
      </c>
      <c r="U6616" s="388"/>
      <c r="V6616" s="391"/>
      <c r="W6616" s="391"/>
      <c r="X6616" s="391"/>
      <c r="Y6616" s="792"/>
      <c r="Z6616" s="388">
        <v>11</v>
      </c>
      <c r="AA6616" s="391">
        <v>1.4246358697838044</v>
      </c>
      <c r="AC6616" s="115"/>
      <c r="AD6616" s="115">
        <v>4.0233600000000003</v>
      </c>
      <c r="AE6616" s="388">
        <v>0.124968</v>
      </c>
      <c r="AF6616" s="388">
        <v>0.50165999999999999</v>
      </c>
      <c r="AG6616" s="391">
        <v>0.38100000000000001</v>
      </c>
      <c r="AH6616" s="397"/>
      <c r="AQ6616" s="397"/>
      <c r="AR6616" s="397"/>
      <c r="AS6616" s="397"/>
      <c r="AT6616" s="397"/>
      <c r="BE6616" s="397"/>
      <c r="BF6616" s="397"/>
      <c r="BG6616" s="397"/>
      <c r="BH6616" s="397"/>
      <c r="BI6616" s="397"/>
      <c r="BJ6616" s="397"/>
      <c r="BK6616" s="397"/>
      <c r="BL6616" s="397"/>
      <c r="BM6616" s="398"/>
      <c r="BN6616" s="398"/>
      <c r="BO6616" s="397"/>
      <c r="BP6616" s="398"/>
      <c r="BQ6616" s="398"/>
      <c r="BR6616" s="398"/>
      <c r="BS6616" s="397"/>
      <c r="BT6616" s="397"/>
      <c r="BU6616" s="397"/>
      <c r="BV6616" s="397"/>
      <c r="BW6616" s="397"/>
      <c r="BX6616" s="397"/>
      <c r="BY6616" s="397"/>
      <c r="CA6616" s="392" t="s">
        <v>408</v>
      </c>
    </row>
    <row r="6617" spans="1:79" s="392" customFormat="1" ht="15" x14ac:dyDescent="0.25">
      <c r="A6617" s="430"/>
      <c r="B6617" s="386"/>
      <c r="C6617" s="386"/>
      <c r="D6617" s="434"/>
      <c r="E6617" s="385"/>
      <c r="F6617" s="432"/>
      <c r="G6617" s="401"/>
      <c r="H6617" s="401">
        <v>3</v>
      </c>
      <c r="I6617" s="401"/>
      <c r="J6617" s="401"/>
      <c r="K6617" s="401"/>
      <c r="L6617" s="676"/>
      <c r="M6617" s="673">
        <v>32639</v>
      </c>
      <c r="N6617" s="624">
        <v>0.21067848</v>
      </c>
      <c r="O6617" s="625">
        <v>2.1226624213333332E-3</v>
      </c>
      <c r="P6617" s="390">
        <v>0.59777018030395679</v>
      </c>
      <c r="Q6617" s="390">
        <v>1.0079077750992655</v>
      </c>
      <c r="R6617" s="390">
        <v>1.2608665459624711</v>
      </c>
      <c r="S6617" s="390">
        <v>2.3599555555381069</v>
      </c>
      <c r="T6617" s="388">
        <v>4.6539060028050345</v>
      </c>
      <c r="U6617" s="388"/>
      <c r="V6617" s="391"/>
      <c r="W6617" s="391"/>
      <c r="X6617" s="391"/>
      <c r="Y6617" s="792"/>
      <c r="Z6617" s="388">
        <v>11</v>
      </c>
      <c r="AA6617" s="391">
        <v>1.2608665459624711</v>
      </c>
      <c r="AC6617" s="115"/>
      <c r="AD6617" s="115">
        <v>4.0538400000000001</v>
      </c>
      <c r="AE6617" s="388">
        <v>0.12801599999999999</v>
      </c>
      <c r="AF6617" s="388">
        <v>0.51838200000000001</v>
      </c>
      <c r="AG6617" s="391">
        <v>0.40538400000000002</v>
      </c>
      <c r="AH6617" s="397"/>
      <c r="AQ6617" s="397"/>
      <c r="AR6617" s="397"/>
      <c r="AS6617" s="397"/>
      <c r="AT6617" s="397"/>
      <c r="BE6617" s="397"/>
      <c r="BF6617" s="397"/>
      <c r="BG6617" s="397"/>
      <c r="BH6617" s="397"/>
      <c r="BI6617" s="397"/>
      <c r="BJ6617" s="397"/>
      <c r="BK6617" s="397"/>
      <c r="BL6617" s="397"/>
      <c r="BM6617" s="398"/>
      <c r="BN6617" s="398"/>
      <c r="BO6617" s="397"/>
      <c r="BP6617" s="398"/>
      <c r="BQ6617" s="398"/>
      <c r="BR6617" s="398"/>
      <c r="BS6617" s="397"/>
      <c r="BT6617" s="397"/>
      <c r="BU6617" s="397"/>
      <c r="BV6617" s="397"/>
      <c r="BW6617" s="397"/>
      <c r="BX6617" s="397"/>
      <c r="BY6617" s="397"/>
      <c r="CA6617" s="392" t="s">
        <v>408</v>
      </c>
    </row>
    <row r="6618" spans="1:79" s="392" customFormat="1" ht="15" x14ac:dyDescent="0.25">
      <c r="A6618" s="430"/>
      <c r="B6618" s="386"/>
      <c r="C6618" s="386"/>
      <c r="D6618" s="434"/>
      <c r="E6618" s="385"/>
      <c r="F6618" s="432"/>
      <c r="G6618" s="401"/>
      <c r="H6618" s="401">
        <v>3</v>
      </c>
      <c r="I6618" s="401"/>
      <c r="J6618" s="401"/>
      <c r="K6618" s="401"/>
      <c r="L6618" s="676"/>
      <c r="M6618" s="673">
        <v>32640</v>
      </c>
      <c r="N6618" s="624">
        <v>0.21577553999999999</v>
      </c>
      <c r="O6618" s="625">
        <v>4.7213905571999995E-3</v>
      </c>
      <c r="P6618" s="390">
        <v>0.59677671793033915</v>
      </c>
      <c r="Q6618" s="390">
        <v>1.0823898257823217</v>
      </c>
      <c r="R6618" s="390">
        <v>1.4063663697796522</v>
      </c>
      <c r="S6618" s="390">
        <v>2.9344259946322682</v>
      </c>
      <c r="T6618" s="388">
        <v>3.9808550028930738</v>
      </c>
      <c r="U6618" s="388"/>
      <c r="V6618" s="391"/>
      <c r="W6618" s="391"/>
      <c r="X6618" s="391"/>
      <c r="Y6618" s="792"/>
      <c r="Z6618" s="388">
        <v>8</v>
      </c>
      <c r="AA6618" s="391">
        <v>1.4063663697796522</v>
      </c>
      <c r="AC6618" s="115"/>
      <c r="AD6618" s="115">
        <v>4.08432</v>
      </c>
      <c r="AE6618" s="388">
        <v>0.13411200000000001</v>
      </c>
      <c r="AF6618" s="388">
        <v>0.545323</v>
      </c>
      <c r="AG6618" s="391">
        <v>0.39624000000000004</v>
      </c>
      <c r="AH6618" s="397"/>
      <c r="AQ6618" s="397"/>
      <c r="AR6618" s="397"/>
      <c r="AS6618" s="397"/>
      <c r="AT6618" s="397"/>
      <c r="BE6618" s="397"/>
      <c r="BF6618" s="397"/>
      <c r="BG6618" s="397"/>
      <c r="BH6618" s="397"/>
      <c r="BI6618" s="397"/>
      <c r="BJ6618" s="397"/>
      <c r="BK6618" s="397"/>
      <c r="BL6618" s="397"/>
      <c r="BM6618" s="398"/>
      <c r="BN6618" s="398"/>
      <c r="BO6618" s="397"/>
      <c r="BP6618" s="398"/>
      <c r="BQ6618" s="398"/>
      <c r="BR6618" s="398"/>
      <c r="BS6618" s="397"/>
      <c r="BT6618" s="397"/>
      <c r="BU6618" s="397"/>
      <c r="BV6618" s="397"/>
      <c r="BW6618" s="397"/>
      <c r="BX6618" s="397"/>
      <c r="BY6618" s="397"/>
      <c r="CA6618" s="392" t="s">
        <v>408</v>
      </c>
    </row>
    <row r="6619" spans="1:79" s="392" customFormat="1" ht="15" x14ac:dyDescent="0.25">
      <c r="A6619" s="430"/>
      <c r="B6619" s="386"/>
      <c r="C6619" s="386"/>
      <c r="D6619" s="434"/>
      <c r="E6619" s="385"/>
      <c r="F6619" s="432"/>
      <c r="G6619" s="401"/>
      <c r="H6619" s="401">
        <v>3</v>
      </c>
      <c r="I6619" s="401"/>
      <c r="J6619" s="401"/>
      <c r="K6619" s="401"/>
      <c r="L6619" s="676"/>
      <c r="M6619" s="673">
        <v>32645</v>
      </c>
      <c r="N6619" s="624">
        <v>0.20133387</v>
      </c>
      <c r="O6619" s="625">
        <v>1.1754643157333333E-3</v>
      </c>
      <c r="P6619" s="390">
        <v>0.7754603919594083</v>
      </c>
      <c r="Q6619" s="390">
        <v>1.4458399855548616</v>
      </c>
      <c r="R6619" s="390">
        <v>2.0690036211812859</v>
      </c>
      <c r="S6619" s="390">
        <v>3.5953386326458996</v>
      </c>
      <c r="T6619" s="388">
        <v>4.7312391285931499</v>
      </c>
      <c r="U6619" s="388"/>
      <c r="V6619" s="391"/>
      <c r="W6619" s="391"/>
      <c r="X6619" s="391"/>
      <c r="Y6619" s="792"/>
      <c r="Z6619" s="388">
        <v>7</v>
      </c>
      <c r="AA6619" s="391">
        <v>2.0690036211812859</v>
      </c>
      <c r="AC6619" s="115"/>
      <c r="AD6619" s="115">
        <v>4.0538400000000001</v>
      </c>
      <c r="AE6619" s="388">
        <v>0.13106400000000001</v>
      </c>
      <c r="AF6619" s="388">
        <v>0.52952999999999995</v>
      </c>
      <c r="AG6619" s="391">
        <v>0.38100000000000001</v>
      </c>
      <c r="AH6619" s="397"/>
      <c r="AQ6619" s="397"/>
      <c r="AR6619" s="397"/>
      <c r="AS6619" s="397"/>
      <c r="AT6619" s="397"/>
      <c r="BE6619" s="397"/>
      <c r="BF6619" s="397"/>
      <c r="BG6619" s="397"/>
      <c r="BH6619" s="397"/>
      <c r="BI6619" s="397"/>
      <c r="BJ6619" s="397"/>
      <c r="BK6619" s="397"/>
      <c r="BL6619" s="397"/>
      <c r="BM6619" s="398"/>
      <c r="BN6619" s="398"/>
      <c r="BO6619" s="397"/>
      <c r="BP6619" s="398"/>
      <c r="BQ6619" s="398"/>
      <c r="BR6619" s="398"/>
      <c r="BS6619" s="397"/>
      <c r="BT6619" s="397"/>
      <c r="BU6619" s="397"/>
      <c r="BV6619" s="397"/>
      <c r="BW6619" s="397"/>
      <c r="BX6619" s="397"/>
      <c r="BY6619" s="397"/>
      <c r="CA6619" s="392" t="s">
        <v>408</v>
      </c>
    </row>
    <row r="6620" spans="1:79" s="392" customFormat="1" ht="15" x14ac:dyDescent="0.25">
      <c r="A6620" s="430"/>
      <c r="B6620" s="386"/>
      <c r="C6620" s="386"/>
      <c r="D6620" s="434"/>
      <c r="E6620" s="385"/>
      <c r="F6620" s="432"/>
      <c r="G6620" s="401"/>
      <c r="H6620" s="401">
        <v>3</v>
      </c>
      <c r="I6620" s="401"/>
      <c r="J6620" s="401"/>
      <c r="K6620" s="401"/>
      <c r="L6620" s="676"/>
      <c r="M6620" s="673">
        <v>32646</v>
      </c>
      <c r="N6620" s="624">
        <v>0.20586458999999999</v>
      </c>
      <c r="O6620" s="625">
        <v>3.0570605525333337E-3</v>
      </c>
      <c r="P6620" s="390">
        <v>0.65621220512800327</v>
      </c>
      <c r="Q6620" s="390">
        <v>1.0873508258052231</v>
      </c>
      <c r="R6620" s="390">
        <v>1.4433965190361884</v>
      </c>
      <c r="S6620" s="390">
        <v>2.9876969443024555</v>
      </c>
      <c r="T6620" s="388">
        <v>3.8900335790040121</v>
      </c>
      <c r="U6620" s="388"/>
      <c r="V6620" s="391"/>
      <c r="W6620" s="391"/>
      <c r="X6620" s="391"/>
      <c r="Y6620" s="792"/>
      <c r="Z6620" s="388">
        <v>8</v>
      </c>
      <c r="AA6620" s="391">
        <v>1.4433965190361884</v>
      </c>
      <c r="AC6620" s="115"/>
      <c r="AD6620" s="115">
        <v>4.0538400000000001</v>
      </c>
      <c r="AE6620" s="388">
        <v>0.13411200000000001</v>
      </c>
      <c r="AF6620" s="388">
        <v>0.53881999999999997</v>
      </c>
      <c r="AG6620" s="391">
        <v>0.38100000000000001</v>
      </c>
      <c r="AH6620" s="397"/>
      <c r="AQ6620" s="397"/>
      <c r="AR6620" s="397"/>
      <c r="AS6620" s="397"/>
      <c r="AT6620" s="397"/>
      <c r="BE6620" s="397"/>
      <c r="BF6620" s="397"/>
      <c r="BG6620" s="397"/>
      <c r="BH6620" s="397"/>
      <c r="BI6620" s="397"/>
      <c r="BJ6620" s="397"/>
      <c r="BK6620" s="397"/>
      <c r="BL6620" s="397"/>
      <c r="BM6620" s="398"/>
      <c r="BN6620" s="398"/>
      <c r="BO6620" s="397"/>
      <c r="BP6620" s="398"/>
      <c r="BQ6620" s="398"/>
      <c r="BR6620" s="398"/>
      <c r="BS6620" s="397"/>
      <c r="BT6620" s="397"/>
      <c r="BU6620" s="397"/>
      <c r="BV6620" s="397"/>
      <c r="BW6620" s="397"/>
      <c r="BX6620" s="397"/>
      <c r="BY6620" s="397"/>
      <c r="CA6620" s="392" t="s">
        <v>408</v>
      </c>
    </row>
    <row r="6621" spans="1:79" s="392" customFormat="1" ht="15" x14ac:dyDescent="0.25">
      <c r="A6621" s="430"/>
      <c r="B6621" s="386"/>
      <c r="C6621" s="386"/>
      <c r="D6621" s="434"/>
      <c r="E6621" s="385"/>
      <c r="F6621" s="432"/>
      <c r="G6621" s="401"/>
      <c r="H6621" s="401">
        <v>3</v>
      </c>
      <c r="I6621" s="401"/>
      <c r="J6621" s="401"/>
      <c r="K6621" s="401"/>
      <c r="L6621" s="676"/>
      <c r="M6621" s="673">
        <v>32647</v>
      </c>
      <c r="N6621" s="624">
        <v>0.22880135999999998</v>
      </c>
      <c r="O6621" s="625">
        <v>3.7006592653333337E-3</v>
      </c>
      <c r="P6621" s="390">
        <v>0.63145346765845778</v>
      </c>
      <c r="Q6621" s="390">
        <v>1.0478908445519544</v>
      </c>
      <c r="R6621" s="390">
        <v>1.3776883931186799</v>
      </c>
      <c r="S6621" s="390">
        <v>2.9107720629349974</v>
      </c>
      <c r="T6621" s="388">
        <v>3.9459531626374895</v>
      </c>
      <c r="U6621" s="388"/>
      <c r="V6621" s="391"/>
      <c r="W6621" s="391"/>
      <c r="X6621" s="391"/>
      <c r="Y6621" s="792"/>
      <c r="Z6621" s="388">
        <v>7</v>
      </c>
      <c r="AA6621" s="391">
        <v>1.3776883931186799</v>
      </c>
      <c r="AC6621" s="115"/>
      <c r="AD6621" s="115">
        <v>4.1147999999999998</v>
      </c>
      <c r="AE6621" s="388">
        <v>0.14325599999999999</v>
      </c>
      <c r="AF6621" s="388">
        <v>0.57690900000000001</v>
      </c>
      <c r="AG6621" s="391">
        <v>0.39624000000000004</v>
      </c>
      <c r="AH6621" s="397"/>
      <c r="AQ6621" s="397"/>
      <c r="AR6621" s="397"/>
      <c r="AS6621" s="397"/>
      <c r="AT6621" s="397"/>
      <c r="BE6621" s="397"/>
      <c r="BF6621" s="397"/>
      <c r="BG6621" s="397"/>
      <c r="BH6621" s="397"/>
      <c r="BI6621" s="397"/>
      <c r="BJ6621" s="397"/>
      <c r="BK6621" s="397"/>
      <c r="BL6621" s="397"/>
      <c r="BM6621" s="398"/>
      <c r="BN6621" s="398"/>
      <c r="BO6621" s="397"/>
      <c r="BP6621" s="398"/>
      <c r="BQ6621" s="398"/>
      <c r="BR6621" s="398"/>
      <c r="BS6621" s="397"/>
      <c r="BT6621" s="397"/>
      <c r="BU6621" s="397"/>
      <c r="BV6621" s="397"/>
      <c r="BW6621" s="397"/>
      <c r="BX6621" s="397"/>
      <c r="BY6621" s="397"/>
      <c r="CA6621" s="392" t="s">
        <v>408</v>
      </c>
    </row>
    <row r="6622" spans="1:79" s="392" customFormat="1" ht="15" x14ac:dyDescent="0.25">
      <c r="A6622" s="430"/>
      <c r="B6622" s="386"/>
      <c r="C6622" s="386"/>
      <c r="D6622" s="434"/>
      <c r="E6622" s="385"/>
      <c r="F6622" s="432"/>
      <c r="G6622" s="401"/>
      <c r="H6622" s="401">
        <v>3</v>
      </c>
      <c r="I6622" s="401"/>
      <c r="J6622" s="401"/>
      <c r="K6622" s="401"/>
      <c r="L6622" s="676"/>
      <c r="M6622" s="673">
        <v>32649</v>
      </c>
      <c r="N6622" s="624">
        <v>0.26986100999999996</v>
      </c>
      <c r="O6622" s="625">
        <v>2.6857946283999996E-3</v>
      </c>
      <c r="P6622" s="390">
        <v>0.55966884656724003</v>
      </c>
      <c r="Q6622" s="390">
        <v>0.84864126970667675</v>
      </c>
      <c r="R6622" s="390">
        <v>1.1511203487637218</v>
      </c>
      <c r="S6622" s="390">
        <v>2.5112000510320329</v>
      </c>
      <c r="T6622" s="388">
        <v>3.792892359795772</v>
      </c>
      <c r="U6622" s="388"/>
      <c r="V6622" s="391"/>
      <c r="W6622" s="391"/>
      <c r="X6622" s="391"/>
      <c r="Y6622" s="792"/>
      <c r="Z6622" s="388">
        <v>7</v>
      </c>
      <c r="AA6622" s="391">
        <v>1.1511203487637218</v>
      </c>
      <c r="AC6622" s="115"/>
      <c r="AD6622" s="115">
        <v>4.907280000000001</v>
      </c>
      <c r="AE6622" s="388">
        <v>0.13106400000000001</v>
      </c>
      <c r="AF6622" s="388">
        <v>0.64286799999999999</v>
      </c>
      <c r="AG6622" s="391">
        <v>0.420624</v>
      </c>
      <c r="AH6622" s="397"/>
      <c r="AQ6622" s="397"/>
      <c r="AR6622" s="397"/>
      <c r="AS6622" s="397"/>
      <c r="AT6622" s="397"/>
      <c r="BE6622" s="397"/>
      <c r="BF6622" s="397"/>
      <c r="BG6622" s="397"/>
      <c r="BH6622" s="397"/>
      <c r="BI6622" s="397"/>
      <c r="BJ6622" s="397"/>
      <c r="BK6622" s="397"/>
      <c r="BL6622" s="397"/>
      <c r="BM6622" s="398"/>
      <c r="BN6622" s="398"/>
      <c r="BO6622" s="397"/>
      <c r="BP6622" s="398"/>
      <c r="BQ6622" s="398"/>
      <c r="BR6622" s="398"/>
      <c r="BS6622" s="397"/>
      <c r="BT6622" s="397"/>
      <c r="BU6622" s="397"/>
      <c r="BV6622" s="397"/>
      <c r="BW6622" s="397"/>
      <c r="BX6622" s="397"/>
      <c r="BY6622" s="397"/>
      <c r="CA6622" s="392" t="s">
        <v>408</v>
      </c>
    </row>
    <row r="6623" spans="1:79" s="392" customFormat="1" ht="15" x14ac:dyDescent="0.25">
      <c r="A6623" s="430"/>
      <c r="B6623" s="386"/>
      <c r="C6623" s="386"/>
      <c r="D6623" s="434"/>
      <c r="E6623" s="385"/>
      <c r="F6623" s="432"/>
      <c r="G6623" s="401"/>
      <c r="H6623" s="401">
        <v>3</v>
      </c>
      <c r="I6623" s="401"/>
      <c r="J6623" s="401"/>
      <c r="K6623" s="401"/>
      <c r="L6623" s="676"/>
      <c r="M6623" s="673">
        <v>32651</v>
      </c>
      <c r="N6623" s="624">
        <v>0.38171316</v>
      </c>
      <c r="O6623" s="625">
        <v>6.6034701263666664E-3</v>
      </c>
      <c r="P6623" s="390">
        <v>0.53185986033349308</v>
      </c>
      <c r="Q6623" s="390">
        <v>0.78760689861757871</v>
      </c>
      <c r="R6623" s="390">
        <v>1.0532401597397898</v>
      </c>
      <c r="S6623" s="390">
        <v>1.9608017930807491</v>
      </c>
      <c r="T6623" s="388">
        <v>3.4207525004821417</v>
      </c>
      <c r="U6623" s="388"/>
      <c r="V6623" s="391"/>
      <c r="W6623" s="391"/>
      <c r="X6623" s="391"/>
      <c r="Y6623" s="792"/>
      <c r="Z6623" s="388">
        <v>8</v>
      </c>
      <c r="AA6623" s="391">
        <v>1.0532401597397898</v>
      </c>
      <c r="AC6623" s="115"/>
      <c r="AD6623" s="115">
        <v>6.2179199999999994</v>
      </c>
      <c r="AE6623" s="388">
        <v>0.13716</v>
      </c>
      <c r="AF6623" s="388">
        <v>0.84446099999999991</v>
      </c>
      <c r="AG6623" s="391">
        <v>0.451104</v>
      </c>
      <c r="AH6623" s="397"/>
      <c r="AQ6623" s="397"/>
      <c r="AR6623" s="397"/>
      <c r="AS6623" s="397"/>
      <c r="AT6623" s="397"/>
      <c r="BE6623" s="397"/>
      <c r="BF6623" s="397"/>
      <c r="BG6623" s="397"/>
      <c r="BH6623" s="397"/>
      <c r="BI6623" s="397"/>
      <c r="BJ6623" s="397"/>
      <c r="BK6623" s="397"/>
      <c r="BL6623" s="397"/>
      <c r="BM6623" s="398"/>
      <c r="BN6623" s="398"/>
      <c r="BO6623" s="397"/>
      <c r="BP6623" s="398"/>
      <c r="BQ6623" s="398"/>
      <c r="BR6623" s="398"/>
      <c r="BS6623" s="397"/>
      <c r="BT6623" s="397"/>
      <c r="BU6623" s="397"/>
      <c r="BV6623" s="397"/>
      <c r="BW6623" s="397"/>
      <c r="BX6623" s="397"/>
      <c r="BY6623" s="397"/>
      <c r="CA6623" s="392" t="s">
        <v>408</v>
      </c>
    </row>
    <row r="6624" spans="1:79" s="392" customFormat="1" ht="15" x14ac:dyDescent="0.25">
      <c r="A6624" s="430"/>
      <c r="B6624" s="386"/>
      <c r="C6624" s="386"/>
      <c r="D6624" s="434"/>
      <c r="E6624" s="385"/>
      <c r="F6624" s="432"/>
      <c r="G6624" s="401"/>
      <c r="H6624" s="401">
        <v>3</v>
      </c>
      <c r="I6624" s="401"/>
      <c r="J6624" s="401"/>
      <c r="K6624" s="401"/>
      <c r="L6624" s="676"/>
      <c r="M6624" s="673">
        <v>32654</v>
      </c>
      <c r="N6624" s="624">
        <v>0.33329108999999996</v>
      </c>
      <c r="O6624" s="625">
        <v>2.8716912263030306E-3</v>
      </c>
      <c r="P6624" s="390">
        <v>0.56873583699554375</v>
      </c>
      <c r="Q6624" s="390">
        <v>0.88013579990292734</v>
      </c>
      <c r="R6624" s="390">
        <v>1.2002981884594404</v>
      </c>
      <c r="S6624" s="390">
        <v>2.9995544102649987</v>
      </c>
      <c r="T6624" s="388">
        <v>8.035787064472391</v>
      </c>
      <c r="U6624" s="388"/>
      <c r="V6624" s="391"/>
      <c r="W6624" s="391"/>
      <c r="X6624" s="391"/>
      <c r="Y6624" s="792"/>
      <c r="Z6624" s="388">
        <v>11</v>
      </c>
      <c r="AA6624" s="391">
        <v>1.2002981884594404</v>
      </c>
      <c r="AC6624" s="115"/>
      <c r="AD6624" s="115">
        <v>6.1264800000000008</v>
      </c>
      <c r="AE6624" s="388">
        <v>0.13106400000000001</v>
      </c>
      <c r="AF6624" s="388">
        <v>0.79522400000000004</v>
      </c>
      <c r="AG6624" s="391">
        <v>0.420624</v>
      </c>
      <c r="AH6624" s="397"/>
      <c r="AQ6624" s="397"/>
      <c r="AR6624" s="397"/>
      <c r="AS6624" s="397"/>
      <c r="AT6624" s="397"/>
      <c r="BE6624" s="397"/>
      <c r="BF6624" s="397"/>
      <c r="BG6624" s="397"/>
      <c r="BH6624" s="397"/>
      <c r="BI6624" s="397"/>
      <c r="BJ6624" s="397"/>
      <c r="BK6624" s="397"/>
      <c r="BL6624" s="397"/>
      <c r="BM6624" s="398"/>
      <c r="BN6624" s="398"/>
      <c r="BO6624" s="397"/>
      <c r="BP6624" s="398"/>
      <c r="BQ6624" s="398"/>
      <c r="BR6624" s="398"/>
      <c r="BS6624" s="397"/>
      <c r="BT6624" s="397"/>
      <c r="BU6624" s="397"/>
      <c r="BV6624" s="397"/>
      <c r="BW6624" s="397"/>
      <c r="BX6624" s="397"/>
      <c r="BY6624" s="397"/>
      <c r="CA6624" s="392" t="s">
        <v>408</v>
      </c>
    </row>
    <row r="6625" spans="1:79" s="392" customFormat="1" ht="15" x14ac:dyDescent="0.25">
      <c r="A6625" s="430"/>
      <c r="B6625" s="386"/>
      <c r="C6625" s="386"/>
      <c r="D6625" s="434"/>
      <c r="E6625" s="385"/>
      <c r="F6625" s="432"/>
      <c r="G6625" s="401"/>
      <c r="H6625" s="401">
        <v>3</v>
      </c>
      <c r="I6625" s="401"/>
      <c r="J6625" s="401"/>
      <c r="K6625" s="401"/>
      <c r="L6625" s="676"/>
      <c r="M6625" s="673">
        <v>32655</v>
      </c>
      <c r="N6625" s="624">
        <v>0.31148699999999996</v>
      </c>
      <c r="O6625" s="625">
        <v>2.8568427711515147E-3</v>
      </c>
      <c r="P6625" s="390">
        <v>0.47734473378994413</v>
      </c>
      <c r="Q6625" s="390">
        <v>0.6901039023596921</v>
      </c>
      <c r="R6625" s="390">
        <v>0.89011341059862581</v>
      </c>
      <c r="S6625" s="390">
        <v>1.8100129257658109</v>
      </c>
      <c r="T6625" s="388">
        <v>3.0849615864959077</v>
      </c>
      <c r="U6625" s="388"/>
      <c r="V6625" s="391"/>
      <c r="W6625" s="391"/>
      <c r="X6625" s="391"/>
      <c r="Y6625" s="792"/>
      <c r="Z6625" s="388">
        <v>6</v>
      </c>
      <c r="AA6625" s="391">
        <v>0.89011341059862581</v>
      </c>
      <c r="AC6625" s="115"/>
      <c r="AD6625" s="115">
        <v>6.1264800000000008</v>
      </c>
      <c r="AE6625" s="388">
        <v>0.13106400000000001</v>
      </c>
      <c r="AF6625" s="388">
        <v>0.79522400000000004</v>
      </c>
      <c r="AG6625" s="391">
        <v>0.39014400000000005</v>
      </c>
      <c r="AH6625" s="397"/>
      <c r="AQ6625" s="397"/>
      <c r="AR6625" s="397"/>
      <c r="AS6625" s="397"/>
      <c r="AT6625" s="397"/>
      <c r="BE6625" s="397"/>
      <c r="BF6625" s="397"/>
      <c r="BG6625" s="397"/>
      <c r="BH6625" s="397"/>
      <c r="BI6625" s="397"/>
      <c r="BJ6625" s="397"/>
      <c r="BK6625" s="397"/>
      <c r="BL6625" s="397"/>
      <c r="BM6625" s="398"/>
      <c r="BN6625" s="398"/>
      <c r="BO6625" s="397"/>
      <c r="BP6625" s="398"/>
      <c r="BQ6625" s="398"/>
      <c r="BR6625" s="398"/>
      <c r="BS6625" s="397"/>
      <c r="BT6625" s="397"/>
      <c r="BU6625" s="397"/>
      <c r="BV6625" s="397"/>
      <c r="BW6625" s="397"/>
      <c r="BX6625" s="397"/>
      <c r="BY6625" s="397"/>
      <c r="CA6625" s="392" t="s">
        <v>408</v>
      </c>
    </row>
    <row r="6626" spans="1:79" s="392" customFormat="1" ht="15" x14ac:dyDescent="0.25">
      <c r="A6626" s="430"/>
      <c r="B6626" s="386"/>
      <c r="C6626" s="386"/>
      <c r="D6626" s="434"/>
      <c r="E6626" s="385"/>
      <c r="F6626" s="432"/>
      <c r="G6626" s="401"/>
      <c r="H6626" s="401">
        <v>6</v>
      </c>
      <c r="I6626" s="401"/>
      <c r="J6626" s="401"/>
      <c r="K6626" s="401"/>
      <c r="L6626" s="676"/>
      <c r="M6626" s="673">
        <v>32657</v>
      </c>
      <c r="N6626" s="624">
        <v>0.43721447999999996</v>
      </c>
      <c r="O6626" s="625">
        <v>8.1184610357727272E-3</v>
      </c>
      <c r="P6626" s="390">
        <v>0.5275458607276301</v>
      </c>
      <c r="Q6626" s="390">
        <v>0.94327411789930604</v>
      </c>
      <c r="R6626" s="390">
        <v>1.4422084043961585</v>
      </c>
      <c r="S6626" s="390">
        <v>5.9971443492029444</v>
      </c>
      <c r="T6626" s="388">
        <v>11.171472048940782</v>
      </c>
      <c r="U6626" s="388"/>
      <c r="V6626" s="391"/>
      <c r="W6626" s="391"/>
      <c r="X6626" s="391"/>
      <c r="Y6626" s="792"/>
      <c r="Z6626" s="388">
        <v>25</v>
      </c>
      <c r="AA6626" s="391">
        <v>1.4422084043961585</v>
      </c>
      <c r="AC6626" s="115"/>
      <c r="AD6626" s="115">
        <v>6.4617599999999999</v>
      </c>
      <c r="AE6626" s="388">
        <v>0.155448</v>
      </c>
      <c r="AF6626" s="388">
        <v>1.00332</v>
      </c>
      <c r="AG6626" s="391">
        <v>0.43586400000000003</v>
      </c>
      <c r="AH6626" s="397"/>
      <c r="AQ6626" s="397"/>
      <c r="AR6626" s="397"/>
      <c r="AS6626" s="397"/>
      <c r="AT6626" s="397"/>
      <c r="BE6626" s="397"/>
      <c r="BF6626" s="397"/>
      <c r="BG6626" s="397"/>
      <c r="BH6626" s="397"/>
      <c r="BI6626" s="397"/>
      <c r="BJ6626" s="397"/>
      <c r="BK6626" s="397"/>
      <c r="BL6626" s="397"/>
      <c r="BM6626" s="398"/>
      <c r="BN6626" s="398"/>
      <c r="BO6626" s="397"/>
      <c r="BP6626" s="398"/>
      <c r="BQ6626" s="398"/>
      <c r="BR6626" s="398"/>
      <c r="BS6626" s="397"/>
      <c r="BT6626" s="397"/>
      <c r="BU6626" s="397"/>
      <c r="BV6626" s="397"/>
      <c r="BW6626" s="397"/>
      <c r="BX6626" s="397"/>
      <c r="BY6626" s="397"/>
      <c r="CA6626" s="392" t="s">
        <v>408</v>
      </c>
    </row>
    <row r="6627" spans="1:79" s="392" customFormat="1" ht="15" x14ac:dyDescent="0.25">
      <c r="A6627" s="430"/>
      <c r="B6627" s="386"/>
      <c r="C6627" s="386"/>
      <c r="D6627" s="434"/>
      <c r="E6627" s="385"/>
      <c r="F6627" s="432"/>
      <c r="G6627" s="401"/>
      <c r="H6627" s="401">
        <v>6</v>
      </c>
      <c r="I6627" s="401"/>
      <c r="J6627" s="401"/>
      <c r="K6627" s="401"/>
      <c r="L6627" s="676"/>
      <c r="M6627" s="673">
        <v>32658</v>
      </c>
      <c r="N6627" s="624">
        <v>0.78211553999999994</v>
      </c>
      <c r="O6627" s="625">
        <v>1.2450162599624996E-2</v>
      </c>
      <c r="P6627" s="390">
        <v>0.48360862735684601</v>
      </c>
      <c r="Q6627" s="390">
        <v>0.86801611145291802</v>
      </c>
      <c r="R6627" s="390">
        <v>1.3009167031022904</v>
      </c>
      <c r="S6627" s="390">
        <v>4.3304099923785726</v>
      </c>
      <c r="T6627" s="388">
        <v>10.241090388865434</v>
      </c>
      <c r="U6627" s="388"/>
      <c r="V6627" s="391"/>
      <c r="W6627" s="391"/>
      <c r="X6627" s="391"/>
      <c r="Y6627" s="792"/>
      <c r="Z6627" s="388">
        <v>23</v>
      </c>
      <c r="AA6627" s="391">
        <v>1.3009167031022904</v>
      </c>
      <c r="AC6627" s="115"/>
      <c r="AD6627" s="115">
        <v>6.6446400000000008</v>
      </c>
      <c r="AE6627" s="388">
        <v>0.20421600000000001</v>
      </c>
      <c r="AF6627" s="388">
        <v>1.3609849999999999</v>
      </c>
      <c r="AG6627" s="391">
        <v>0.57607200000000003</v>
      </c>
      <c r="AH6627" s="397"/>
      <c r="AQ6627" s="397"/>
      <c r="AR6627" s="397"/>
      <c r="AS6627" s="397"/>
      <c r="AT6627" s="397"/>
      <c r="BE6627" s="397"/>
      <c r="BF6627" s="397"/>
      <c r="BG6627" s="397"/>
      <c r="BH6627" s="397"/>
      <c r="BI6627" s="397"/>
      <c r="BJ6627" s="397"/>
      <c r="BK6627" s="397"/>
      <c r="BL6627" s="397"/>
      <c r="BM6627" s="398"/>
      <c r="BN6627" s="398"/>
      <c r="BO6627" s="397"/>
      <c r="BP6627" s="398"/>
      <c r="BQ6627" s="398"/>
      <c r="BR6627" s="398"/>
      <c r="BS6627" s="397"/>
      <c r="BT6627" s="397"/>
      <c r="BU6627" s="397"/>
      <c r="BV6627" s="397"/>
      <c r="BW6627" s="397"/>
      <c r="BX6627" s="397"/>
      <c r="BY6627" s="397"/>
      <c r="CA6627" s="392" t="s">
        <v>408</v>
      </c>
    </row>
    <row r="6628" spans="1:79" s="392" customFormat="1" ht="15" x14ac:dyDescent="0.25">
      <c r="A6628" s="430"/>
      <c r="B6628" s="386"/>
      <c r="C6628" s="386"/>
      <c r="D6628" s="434"/>
      <c r="E6628" s="385"/>
      <c r="F6628" s="432"/>
      <c r="G6628" s="401"/>
      <c r="H6628" s="401">
        <v>3</v>
      </c>
      <c r="I6628" s="401"/>
      <c r="J6628" s="401"/>
      <c r="K6628" s="401"/>
      <c r="L6628" s="676"/>
      <c r="M6628" s="673">
        <v>32659</v>
      </c>
      <c r="N6628" s="624">
        <v>0.65129099999999995</v>
      </c>
      <c r="O6628" s="625">
        <v>8.609982779999999E-3</v>
      </c>
      <c r="P6628" s="390">
        <v>0.5411713253303525</v>
      </c>
      <c r="Q6628" s="390">
        <v>0.86676203298905841</v>
      </c>
      <c r="R6628" s="390">
        <v>1.2042401620917711</v>
      </c>
      <c r="S6628" s="390">
        <v>2.9164721529178852</v>
      </c>
      <c r="T6628" s="388">
        <v>5.5749330106819892</v>
      </c>
      <c r="U6628" s="388"/>
      <c r="V6628" s="391"/>
      <c r="W6628" s="391"/>
      <c r="X6628" s="391"/>
      <c r="Y6628" s="792"/>
      <c r="Z6628" s="388">
        <v>12</v>
      </c>
      <c r="AA6628" s="391">
        <v>1.2042401620917711</v>
      </c>
      <c r="AC6628" s="115"/>
      <c r="AD6628" s="115">
        <v>6.431280000000001</v>
      </c>
      <c r="AE6628" s="388">
        <v>0.19507200000000002</v>
      </c>
      <c r="AF6628" s="388">
        <v>1.245789</v>
      </c>
      <c r="AG6628" s="391">
        <v>0.52425600000000006</v>
      </c>
      <c r="AH6628" s="397"/>
      <c r="AQ6628" s="397"/>
      <c r="AR6628" s="397"/>
      <c r="AS6628" s="397"/>
      <c r="AT6628" s="397"/>
      <c r="BE6628" s="397"/>
      <c r="BF6628" s="397"/>
      <c r="BG6628" s="397"/>
      <c r="BH6628" s="397"/>
      <c r="BI6628" s="397"/>
      <c r="BJ6628" s="397"/>
      <c r="BK6628" s="397"/>
      <c r="BL6628" s="397"/>
      <c r="BM6628" s="398"/>
      <c r="BN6628" s="398"/>
      <c r="BO6628" s="397"/>
      <c r="BP6628" s="398"/>
      <c r="BQ6628" s="398"/>
      <c r="BR6628" s="398"/>
      <c r="BS6628" s="397"/>
      <c r="BT6628" s="397"/>
      <c r="BU6628" s="397"/>
      <c r="BV6628" s="397"/>
      <c r="BW6628" s="397"/>
      <c r="BX6628" s="397"/>
      <c r="BY6628" s="397"/>
      <c r="CA6628" s="392" t="s">
        <v>408</v>
      </c>
    </row>
    <row r="6629" spans="1:79" s="392" customFormat="1" ht="15" x14ac:dyDescent="0.25">
      <c r="A6629" s="430"/>
      <c r="B6629" s="386"/>
      <c r="C6629" s="386"/>
      <c r="D6629" s="434"/>
      <c r="E6629" s="385"/>
      <c r="F6629" s="432"/>
      <c r="G6629" s="401"/>
      <c r="H6629" s="401">
        <v>3</v>
      </c>
      <c r="I6629" s="401"/>
      <c r="J6629" s="401"/>
      <c r="K6629" s="401"/>
      <c r="L6629" s="676"/>
      <c r="M6629" s="673">
        <v>32660</v>
      </c>
      <c r="N6629" s="624">
        <v>0.58955994</v>
      </c>
      <c r="O6629" s="625">
        <v>7.6049153456944456E-3</v>
      </c>
      <c r="P6629" s="390">
        <v>0.54712819149973901</v>
      </c>
      <c r="Q6629" s="390">
        <v>0.86275532021289958</v>
      </c>
      <c r="R6629" s="390">
        <v>1.2065045308005218</v>
      </c>
      <c r="S6629" s="390">
        <v>3.035887070844554</v>
      </c>
      <c r="T6629" s="388">
        <v>5.3625632295243113</v>
      </c>
      <c r="U6629" s="388"/>
      <c r="V6629" s="391"/>
      <c r="W6629" s="391"/>
      <c r="X6629" s="391"/>
      <c r="Y6629" s="792"/>
      <c r="Z6629" s="388">
        <v>14</v>
      </c>
      <c r="AA6629" s="391">
        <v>1.2065045308005218</v>
      </c>
      <c r="AC6629" s="115"/>
      <c r="AD6629" s="115">
        <v>6.4008000000000003</v>
      </c>
      <c r="AE6629" s="388">
        <v>0.176784</v>
      </c>
      <c r="AF6629" s="388">
        <v>1.134309</v>
      </c>
      <c r="AG6629" s="391">
        <v>0.521208</v>
      </c>
      <c r="AH6629" s="397"/>
      <c r="AQ6629" s="397"/>
      <c r="AR6629" s="397"/>
      <c r="AS6629" s="397"/>
      <c r="AT6629" s="397"/>
      <c r="BE6629" s="397"/>
      <c r="BF6629" s="397"/>
      <c r="BG6629" s="397"/>
      <c r="BH6629" s="397"/>
      <c r="BI6629" s="397"/>
      <c r="BJ6629" s="397"/>
      <c r="BK6629" s="397"/>
      <c r="BL6629" s="397"/>
      <c r="BM6629" s="398"/>
      <c r="BN6629" s="398"/>
      <c r="BO6629" s="397"/>
      <c r="BP6629" s="398"/>
      <c r="BQ6629" s="398"/>
      <c r="BR6629" s="398"/>
      <c r="BS6629" s="397"/>
      <c r="BT6629" s="397"/>
      <c r="BU6629" s="397"/>
      <c r="BV6629" s="397"/>
      <c r="BW6629" s="397"/>
      <c r="BX6629" s="397"/>
      <c r="BY6629" s="397"/>
      <c r="CA6629" s="392" t="s">
        <v>408</v>
      </c>
    </row>
    <row r="6630" spans="1:79" s="392" customFormat="1" ht="15" x14ac:dyDescent="0.25">
      <c r="A6630" s="430"/>
      <c r="B6630" s="386"/>
      <c r="C6630" s="386"/>
      <c r="D6630" s="434"/>
      <c r="E6630" s="385"/>
      <c r="F6630" s="432"/>
      <c r="G6630" s="401"/>
      <c r="H6630" s="401">
        <v>3</v>
      </c>
      <c r="I6630" s="401"/>
      <c r="J6630" s="401"/>
      <c r="K6630" s="401"/>
      <c r="L6630" s="676"/>
      <c r="M6630" s="673">
        <v>32661</v>
      </c>
      <c r="N6630" s="624">
        <v>0.57851630999999992</v>
      </c>
      <c r="O6630" s="625">
        <v>1.0044979909999998E-2</v>
      </c>
      <c r="P6630" s="390">
        <v>0.51787516678322509</v>
      </c>
      <c r="Q6630" s="390">
        <v>0.80492437974959397</v>
      </c>
      <c r="R6630" s="390">
        <v>1.1157285811049242</v>
      </c>
      <c r="S6630" s="390">
        <v>2.6571085055560344</v>
      </c>
      <c r="T6630" s="388">
        <v>4.6766925593640307</v>
      </c>
      <c r="U6630" s="388"/>
      <c r="V6630" s="391"/>
      <c r="W6630" s="391"/>
      <c r="X6630" s="391"/>
      <c r="Y6630" s="792"/>
      <c r="Z6630" s="388">
        <v>10</v>
      </c>
      <c r="AA6630" s="391">
        <v>1.1157285811049242</v>
      </c>
      <c r="AC6630" s="115"/>
      <c r="AD6630" s="115">
        <v>6.4008000000000003</v>
      </c>
      <c r="AE6630" s="388">
        <v>0.17068800000000003</v>
      </c>
      <c r="AF6630" s="388">
        <v>1.0311899999999998</v>
      </c>
      <c r="AG6630" s="391">
        <v>0.52730399999999999</v>
      </c>
      <c r="AH6630" s="397"/>
      <c r="AQ6630" s="397"/>
      <c r="AR6630" s="397"/>
      <c r="AS6630" s="397"/>
      <c r="AT6630" s="397"/>
      <c r="BE6630" s="397"/>
      <c r="BF6630" s="397"/>
      <c r="BG6630" s="397"/>
      <c r="BH6630" s="397"/>
      <c r="BI6630" s="397"/>
      <c r="BJ6630" s="397"/>
      <c r="BK6630" s="397"/>
      <c r="BL6630" s="397"/>
      <c r="BM6630" s="398"/>
      <c r="BN6630" s="398"/>
      <c r="BO6630" s="397"/>
      <c r="BP6630" s="398"/>
      <c r="BQ6630" s="398"/>
      <c r="BR6630" s="398"/>
      <c r="BS6630" s="397"/>
      <c r="BT6630" s="397"/>
      <c r="BU6630" s="397"/>
      <c r="BV6630" s="397"/>
      <c r="BW6630" s="397"/>
      <c r="BX6630" s="397"/>
      <c r="BY6630" s="397"/>
      <c r="CA6630" s="392" t="s">
        <v>408</v>
      </c>
    </row>
    <row r="6631" spans="1:79" s="392" customFormat="1" ht="15" x14ac:dyDescent="0.25">
      <c r="A6631" s="430"/>
      <c r="B6631" s="386"/>
      <c r="C6631" s="386"/>
      <c r="D6631" s="434"/>
      <c r="E6631" s="385"/>
      <c r="F6631" s="432"/>
      <c r="G6631" s="401"/>
      <c r="H6631" s="401">
        <v>3</v>
      </c>
      <c r="I6631" s="401"/>
      <c r="J6631" s="401"/>
      <c r="K6631" s="401"/>
      <c r="L6631" s="676"/>
      <c r="M6631" s="673">
        <v>32662</v>
      </c>
      <c r="N6631" s="624">
        <v>0.69801404999999994</v>
      </c>
      <c r="O6631" s="625">
        <v>1.3361987164861111E-2</v>
      </c>
      <c r="P6631" s="390">
        <v>0.53311573202272622</v>
      </c>
      <c r="Q6631" s="390">
        <v>0.91270664523861977</v>
      </c>
      <c r="R6631" s="390">
        <v>1.2835318070566284</v>
      </c>
      <c r="S6631" s="390">
        <v>3.2305103888320126</v>
      </c>
      <c r="T6631" s="388">
        <v>5.5050878434948318</v>
      </c>
      <c r="U6631" s="388"/>
      <c r="V6631" s="391"/>
      <c r="W6631" s="391"/>
      <c r="X6631" s="391"/>
      <c r="Y6631" s="792"/>
      <c r="Z6631" s="388">
        <v>12</v>
      </c>
      <c r="AA6631" s="391">
        <v>1.2835318070566284</v>
      </c>
      <c r="AC6631" s="115"/>
      <c r="AD6631" s="115">
        <v>6.431280000000001</v>
      </c>
      <c r="AE6631" s="388">
        <v>0.19507200000000002</v>
      </c>
      <c r="AF6631" s="388">
        <v>1.2550789999999998</v>
      </c>
      <c r="AG6631" s="391">
        <v>0.55473600000000001</v>
      </c>
      <c r="AH6631" s="397"/>
      <c r="AQ6631" s="397"/>
      <c r="AR6631" s="397"/>
      <c r="AS6631" s="397"/>
      <c r="AT6631" s="397"/>
      <c r="BE6631" s="397"/>
      <c r="BF6631" s="397"/>
      <c r="BG6631" s="397"/>
      <c r="BH6631" s="397"/>
      <c r="BI6631" s="397"/>
      <c r="BJ6631" s="397"/>
      <c r="BK6631" s="397"/>
      <c r="BL6631" s="397"/>
      <c r="BM6631" s="398"/>
      <c r="BN6631" s="398"/>
      <c r="BO6631" s="397"/>
      <c r="BP6631" s="398"/>
      <c r="BQ6631" s="398"/>
      <c r="BR6631" s="398"/>
      <c r="BS6631" s="397"/>
      <c r="BT6631" s="397"/>
      <c r="BU6631" s="397"/>
      <c r="BV6631" s="397"/>
      <c r="BW6631" s="397"/>
      <c r="BX6631" s="397"/>
      <c r="BY6631" s="397"/>
      <c r="CA6631" s="392" t="s">
        <v>408</v>
      </c>
    </row>
    <row r="6632" spans="1:79" s="392" customFormat="1" ht="15" x14ac:dyDescent="0.25">
      <c r="A6632" s="430"/>
      <c r="B6632" s="386"/>
      <c r="C6632" s="386"/>
      <c r="D6632" s="434"/>
      <c r="E6632" s="385"/>
      <c r="F6632" s="432"/>
      <c r="G6632" s="401"/>
      <c r="H6632" s="401">
        <v>3</v>
      </c>
      <c r="I6632" s="401"/>
      <c r="J6632" s="401"/>
      <c r="K6632" s="401"/>
      <c r="L6632" s="676"/>
      <c r="M6632" s="673">
        <v>32665</v>
      </c>
      <c r="N6632" s="624">
        <v>0.70112892000000004</v>
      </c>
      <c r="O6632" s="625">
        <v>1.4893789656805554E-2</v>
      </c>
      <c r="P6632" s="390">
        <v>0.52022278457422433</v>
      </c>
      <c r="Q6632" s="390">
        <v>0.89375279971391763</v>
      </c>
      <c r="R6632" s="390">
        <v>1.2953619420159339</v>
      </c>
      <c r="S6632" s="390">
        <v>3.5196678515911839</v>
      </c>
      <c r="T6632" s="388">
        <v>6.6854691251588036</v>
      </c>
      <c r="U6632" s="388"/>
      <c r="V6632" s="391"/>
      <c r="W6632" s="391"/>
      <c r="X6632" s="391"/>
      <c r="Y6632" s="792"/>
      <c r="Z6632" s="388">
        <v>15</v>
      </c>
      <c r="AA6632" s="391">
        <v>1.2953619420159339</v>
      </c>
      <c r="AC6632" s="115"/>
      <c r="AD6632" s="115">
        <v>6.4008000000000003</v>
      </c>
      <c r="AE6632" s="388">
        <v>0.19507200000000002</v>
      </c>
      <c r="AF6632" s="388">
        <v>1.245789</v>
      </c>
      <c r="AG6632" s="391">
        <v>0.56388000000000005</v>
      </c>
      <c r="AH6632" s="397"/>
      <c r="AQ6632" s="397"/>
      <c r="AR6632" s="397"/>
      <c r="AS6632" s="397"/>
      <c r="AT6632" s="397"/>
      <c r="BE6632" s="397"/>
      <c r="BF6632" s="397"/>
      <c r="BG6632" s="397"/>
      <c r="BH6632" s="397"/>
      <c r="BI6632" s="397"/>
      <c r="BJ6632" s="397"/>
      <c r="BK6632" s="397"/>
      <c r="BL6632" s="397"/>
      <c r="BM6632" s="398"/>
      <c r="BN6632" s="398"/>
      <c r="BO6632" s="397"/>
      <c r="BP6632" s="398"/>
      <c r="BQ6632" s="398"/>
      <c r="BR6632" s="398"/>
      <c r="BS6632" s="397"/>
      <c r="BT6632" s="397"/>
      <c r="BU6632" s="397"/>
      <c r="BV6632" s="397"/>
      <c r="BW6632" s="397"/>
      <c r="BX6632" s="397"/>
      <c r="BY6632" s="397"/>
      <c r="CA6632" s="392" t="s">
        <v>408</v>
      </c>
    </row>
    <row r="6633" spans="1:79" s="392" customFormat="1" ht="15" x14ac:dyDescent="0.25">
      <c r="A6633" s="430"/>
      <c r="B6633" s="386"/>
      <c r="C6633" s="386"/>
      <c r="D6633" s="434"/>
      <c r="E6633" s="385"/>
      <c r="F6633" s="432"/>
      <c r="G6633" s="401"/>
      <c r="H6633" s="401">
        <v>3</v>
      </c>
      <c r="I6633" s="401"/>
      <c r="J6633" s="401"/>
      <c r="K6633" s="401"/>
      <c r="L6633" s="676"/>
      <c r="M6633" s="673">
        <v>32666</v>
      </c>
      <c r="N6633" s="624">
        <v>0.57851630999999992</v>
      </c>
      <c r="O6633" s="625">
        <v>7.9446507773333341E-3</v>
      </c>
      <c r="P6633" s="390">
        <v>0.56713489322939414</v>
      </c>
      <c r="Q6633" s="390">
        <v>1.0103274909804556</v>
      </c>
      <c r="R6633" s="390">
        <v>1.3948292231903503</v>
      </c>
      <c r="S6633" s="390">
        <v>3.2103083268529127</v>
      </c>
      <c r="T6633" s="388">
        <v>5.3029225622005836</v>
      </c>
      <c r="U6633" s="388"/>
      <c r="V6633" s="391"/>
      <c r="W6633" s="391"/>
      <c r="X6633" s="391"/>
      <c r="Y6633" s="792"/>
      <c r="Z6633" s="388">
        <v>10</v>
      </c>
      <c r="AA6633" s="391">
        <v>1.3948292231903503</v>
      </c>
      <c r="AC6633" s="115"/>
      <c r="AD6633" s="115">
        <v>6.3703199999999995</v>
      </c>
      <c r="AE6633" s="388">
        <v>0.16154400000000002</v>
      </c>
      <c r="AF6633" s="388">
        <v>1.0311899999999998</v>
      </c>
      <c r="AG6633" s="391">
        <v>0.560832</v>
      </c>
      <c r="AH6633" s="397"/>
      <c r="AQ6633" s="397"/>
      <c r="AR6633" s="397"/>
      <c r="AS6633" s="397"/>
      <c r="AT6633" s="397"/>
      <c r="BE6633" s="397"/>
      <c r="BF6633" s="397"/>
      <c r="BG6633" s="397"/>
      <c r="BH6633" s="397"/>
      <c r="BI6633" s="397"/>
      <c r="BJ6633" s="397"/>
      <c r="BK6633" s="397"/>
      <c r="BL6633" s="397"/>
      <c r="BM6633" s="398"/>
      <c r="BN6633" s="398"/>
      <c r="BO6633" s="397"/>
      <c r="BP6633" s="398"/>
      <c r="BQ6633" s="398"/>
      <c r="BR6633" s="398"/>
      <c r="BS6633" s="397"/>
      <c r="BT6633" s="397"/>
      <c r="BU6633" s="397"/>
      <c r="BV6633" s="397"/>
      <c r="BW6633" s="397"/>
      <c r="BX6633" s="397"/>
      <c r="BY6633" s="397"/>
      <c r="CA6633" s="392" t="s">
        <v>408</v>
      </c>
    </row>
    <row r="6634" spans="1:79" s="392" customFormat="1" ht="15" x14ac:dyDescent="0.25">
      <c r="A6634" s="430"/>
      <c r="B6634" s="386"/>
      <c r="C6634" s="386"/>
      <c r="D6634" s="434"/>
      <c r="E6634" s="385"/>
      <c r="F6634" s="432"/>
      <c r="G6634" s="401"/>
      <c r="H6634" s="401">
        <v>3</v>
      </c>
      <c r="I6634" s="401"/>
      <c r="J6634" s="401"/>
      <c r="K6634" s="401"/>
      <c r="L6634" s="676"/>
      <c r="M6634" s="673">
        <v>32667</v>
      </c>
      <c r="N6634" s="624">
        <v>0.70056257999999993</v>
      </c>
      <c r="O6634" s="625">
        <v>1.3979360930111113E-2</v>
      </c>
      <c r="P6634" s="390">
        <v>0.53228686167229222</v>
      </c>
      <c r="Q6634" s="390">
        <v>0.84921802386885592</v>
      </c>
      <c r="R6634" s="390">
        <v>1.2027599829106044</v>
      </c>
      <c r="S6634" s="390">
        <v>3.0658495888179496</v>
      </c>
      <c r="T6634" s="388">
        <v>5.0876177762856427</v>
      </c>
      <c r="U6634" s="388"/>
      <c r="V6634" s="391"/>
      <c r="W6634" s="391"/>
      <c r="X6634" s="391"/>
      <c r="Y6634" s="792"/>
      <c r="Z6634" s="388">
        <v>11</v>
      </c>
      <c r="AA6634" s="391">
        <v>1.2027599829106044</v>
      </c>
      <c r="AC6634" s="115"/>
      <c r="AD6634" s="115">
        <v>6.431280000000001</v>
      </c>
      <c r="AE6634" s="388">
        <v>0.19507200000000002</v>
      </c>
      <c r="AF6634" s="388">
        <v>1.245789</v>
      </c>
      <c r="AG6634" s="391">
        <v>0.560832</v>
      </c>
      <c r="AH6634" s="397"/>
      <c r="AQ6634" s="397"/>
      <c r="AR6634" s="397"/>
      <c r="AS6634" s="397"/>
      <c r="AT6634" s="397"/>
      <c r="BE6634" s="397"/>
      <c r="BF6634" s="397"/>
      <c r="BG6634" s="397"/>
      <c r="BH6634" s="397"/>
      <c r="BI6634" s="397"/>
      <c r="BJ6634" s="397"/>
      <c r="BK6634" s="397"/>
      <c r="BL6634" s="397"/>
      <c r="BM6634" s="398"/>
      <c r="BN6634" s="398"/>
      <c r="BO6634" s="397"/>
      <c r="BP6634" s="398"/>
      <c r="BQ6634" s="398"/>
      <c r="BR6634" s="398"/>
      <c r="BS6634" s="397"/>
      <c r="BT6634" s="397"/>
      <c r="BU6634" s="397"/>
      <c r="BV6634" s="397"/>
      <c r="BW6634" s="397"/>
      <c r="BX6634" s="397"/>
      <c r="BY6634" s="397"/>
      <c r="CA6634" s="392" t="s">
        <v>408</v>
      </c>
    </row>
    <row r="6635" spans="1:79" s="392" customFormat="1" ht="15" x14ac:dyDescent="0.25">
      <c r="A6635" s="430"/>
      <c r="B6635" s="386"/>
      <c r="C6635" s="386"/>
      <c r="D6635" s="434"/>
      <c r="E6635" s="385"/>
      <c r="F6635" s="432"/>
      <c r="G6635" s="401"/>
      <c r="H6635" s="401">
        <v>3</v>
      </c>
      <c r="I6635" s="401"/>
      <c r="J6635" s="401"/>
      <c r="K6635" s="401"/>
      <c r="L6635" s="676"/>
      <c r="M6635" s="673">
        <v>32668</v>
      </c>
      <c r="N6635" s="624">
        <v>0.70084574999999993</v>
      </c>
      <c r="O6635" s="625">
        <v>1.1568976861999997E-2</v>
      </c>
      <c r="P6635" s="390">
        <v>0.6</v>
      </c>
      <c r="Q6635" s="390">
        <v>1.05</v>
      </c>
      <c r="R6635" s="390">
        <v>1.47</v>
      </c>
      <c r="S6635" s="390">
        <v>3.6</v>
      </c>
      <c r="T6635" s="388">
        <v>5.65</v>
      </c>
      <c r="U6635" s="388"/>
      <c r="V6635" s="391"/>
      <c r="W6635" s="391"/>
      <c r="X6635" s="391"/>
      <c r="Y6635" s="792"/>
      <c r="Z6635" s="388">
        <v>10</v>
      </c>
      <c r="AA6635" s="391">
        <v>1.47</v>
      </c>
      <c r="AC6635" s="115"/>
      <c r="AD6635" s="115">
        <v>6.4617599999999999</v>
      </c>
      <c r="AE6635" s="388">
        <v>0.192024</v>
      </c>
      <c r="AF6635" s="388">
        <v>1.245789</v>
      </c>
      <c r="AG6635" s="391">
        <v>0.56388000000000005</v>
      </c>
      <c r="AH6635" s="397"/>
      <c r="AQ6635" s="397"/>
      <c r="AR6635" s="397"/>
      <c r="AS6635" s="397"/>
      <c r="AT6635" s="397"/>
      <c r="BE6635" s="397"/>
      <c r="BF6635" s="397"/>
      <c r="BG6635" s="397"/>
      <c r="BH6635" s="397"/>
      <c r="BI6635" s="397"/>
      <c r="BJ6635" s="397"/>
      <c r="BK6635" s="397"/>
      <c r="BL6635" s="397"/>
      <c r="BM6635" s="398"/>
      <c r="BN6635" s="398"/>
      <c r="BO6635" s="397"/>
      <c r="BP6635" s="398"/>
      <c r="BQ6635" s="398"/>
      <c r="BR6635" s="398"/>
      <c r="BS6635" s="397"/>
      <c r="BT6635" s="397"/>
      <c r="BU6635" s="397"/>
      <c r="BV6635" s="397"/>
      <c r="BW6635" s="397"/>
      <c r="BX6635" s="397"/>
      <c r="BY6635" s="397"/>
      <c r="CA6635" s="392" t="s">
        <v>408</v>
      </c>
    </row>
    <row r="6636" spans="1:79" s="392" customFormat="1" ht="15" x14ac:dyDescent="0.25">
      <c r="A6636" s="430"/>
      <c r="B6636" s="386"/>
      <c r="C6636" s="386"/>
      <c r="D6636" s="434"/>
      <c r="E6636" s="385"/>
      <c r="F6636" s="432"/>
      <c r="G6636" s="401"/>
      <c r="H6636" s="401">
        <v>3</v>
      </c>
      <c r="I6636" s="401"/>
      <c r="J6636" s="401"/>
      <c r="K6636" s="401"/>
      <c r="L6636" s="676"/>
      <c r="M6636" s="673">
        <v>32670</v>
      </c>
      <c r="N6636" s="624">
        <v>0.90784302000000006</v>
      </c>
      <c r="O6636" s="625">
        <v>1.2848349303249998E-2</v>
      </c>
      <c r="P6636" s="390">
        <v>0.50205536279459984</v>
      </c>
      <c r="Q6636" s="390">
        <v>0.88</v>
      </c>
      <c r="R6636" s="390">
        <v>1.31</v>
      </c>
      <c r="S6636" s="390">
        <v>3.46</v>
      </c>
      <c r="T6636" s="388">
        <v>5.67</v>
      </c>
      <c r="U6636" s="388"/>
      <c r="V6636" s="391"/>
      <c r="W6636" s="391"/>
      <c r="X6636" s="391"/>
      <c r="Y6636" s="792"/>
      <c r="Z6636" s="388">
        <v>11</v>
      </c>
      <c r="AA6636" s="391">
        <v>1.31</v>
      </c>
      <c r="AC6636" s="115"/>
      <c r="AD6636" s="115">
        <v>6.6446400000000008</v>
      </c>
      <c r="AE6636" s="388">
        <v>0.21945600000000001</v>
      </c>
      <c r="AF6636" s="388">
        <v>1.455743</v>
      </c>
      <c r="AG6636" s="391">
        <v>0.62483999999999995</v>
      </c>
      <c r="AH6636" s="397"/>
      <c r="AQ6636" s="397"/>
      <c r="AR6636" s="397"/>
      <c r="AS6636" s="397"/>
      <c r="AT6636" s="397"/>
      <c r="BE6636" s="397"/>
      <c r="BF6636" s="397"/>
      <c r="BG6636" s="397"/>
      <c r="BH6636" s="397"/>
      <c r="BI6636" s="397"/>
      <c r="BJ6636" s="397"/>
      <c r="BK6636" s="397"/>
      <c r="BL6636" s="397"/>
      <c r="BM6636" s="398"/>
      <c r="BN6636" s="398"/>
      <c r="BO6636" s="397"/>
      <c r="BP6636" s="398"/>
      <c r="BQ6636" s="398"/>
      <c r="BR6636" s="398"/>
      <c r="BS6636" s="397"/>
      <c r="BT6636" s="397"/>
      <c r="BU6636" s="397"/>
      <c r="BV6636" s="397"/>
      <c r="BW6636" s="397"/>
      <c r="BX6636" s="397"/>
      <c r="BY6636" s="397"/>
      <c r="CA6636" s="392" t="s">
        <v>408</v>
      </c>
    </row>
    <row r="6637" spans="1:79" s="392" customFormat="1" ht="15" x14ac:dyDescent="0.25">
      <c r="A6637" s="430"/>
      <c r="B6637" s="386"/>
      <c r="C6637" s="386"/>
      <c r="D6637" s="434"/>
      <c r="E6637" s="385"/>
      <c r="F6637" s="432"/>
      <c r="G6637" s="401"/>
      <c r="H6637" s="401">
        <v>3</v>
      </c>
      <c r="I6637" s="401"/>
      <c r="J6637" s="401"/>
      <c r="K6637" s="401"/>
      <c r="L6637" s="676"/>
      <c r="M6637" s="673">
        <v>32671</v>
      </c>
      <c r="N6637" s="624">
        <v>0.90784302000000006</v>
      </c>
      <c r="O6637" s="625">
        <v>1.6364467270999997E-2</v>
      </c>
      <c r="P6637" s="390">
        <v>0.54</v>
      </c>
      <c r="Q6637" s="390">
        <v>1.03</v>
      </c>
      <c r="R6637" s="390">
        <v>1.48</v>
      </c>
      <c r="S6637" s="390">
        <v>4.21</v>
      </c>
      <c r="T6637" s="388">
        <v>8.24</v>
      </c>
      <c r="U6637" s="388"/>
      <c r="V6637" s="391"/>
      <c r="W6637" s="391"/>
      <c r="X6637" s="391"/>
      <c r="Y6637" s="792"/>
      <c r="Z6637" s="388">
        <v>14</v>
      </c>
      <c r="AA6637" s="391">
        <v>1.48</v>
      </c>
      <c r="AC6637" s="115"/>
      <c r="AD6637" s="115">
        <v>6.6751199999999997</v>
      </c>
      <c r="AE6637" s="388">
        <v>0.21945600000000001</v>
      </c>
      <c r="AF6637" s="388">
        <v>1.455743</v>
      </c>
      <c r="AG6637" s="391">
        <v>0.62483999999999995</v>
      </c>
      <c r="AH6637" s="397"/>
      <c r="AQ6637" s="397"/>
      <c r="AR6637" s="397"/>
      <c r="AS6637" s="397"/>
      <c r="AT6637" s="397"/>
      <c r="BE6637" s="397"/>
      <c r="BF6637" s="397"/>
      <c r="BG6637" s="397"/>
      <c r="BH6637" s="397"/>
      <c r="BI6637" s="397"/>
      <c r="BJ6637" s="397"/>
      <c r="BK6637" s="397"/>
      <c r="BL6637" s="397"/>
      <c r="BM6637" s="398"/>
      <c r="BN6637" s="398"/>
      <c r="BO6637" s="397"/>
      <c r="BP6637" s="398"/>
      <c r="BQ6637" s="398"/>
      <c r="BR6637" s="398"/>
      <c r="BS6637" s="397"/>
      <c r="BT6637" s="397"/>
      <c r="BU6637" s="397"/>
      <c r="BV6637" s="397"/>
      <c r="BW6637" s="397"/>
      <c r="BX6637" s="397"/>
      <c r="BY6637" s="397"/>
      <c r="CA6637" s="392" t="s">
        <v>408</v>
      </c>
    </row>
    <row r="6638" spans="1:79" s="392" customFormat="1" ht="15" x14ac:dyDescent="0.25">
      <c r="A6638" s="430"/>
      <c r="B6638" s="386"/>
      <c r="C6638" s="386"/>
      <c r="D6638" s="434"/>
      <c r="E6638" s="385"/>
      <c r="F6638" s="432"/>
      <c r="G6638" s="401"/>
      <c r="H6638" s="401">
        <v>3</v>
      </c>
      <c r="I6638" s="401"/>
      <c r="J6638" s="401"/>
      <c r="K6638" s="401"/>
      <c r="L6638" s="676"/>
      <c r="M6638" s="673">
        <v>32672</v>
      </c>
      <c r="N6638" s="624">
        <v>0.79287599999999991</v>
      </c>
      <c r="O6638" s="625">
        <v>1.8224588550749998E-2</v>
      </c>
      <c r="P6638" s="390">
        <v>0.56999999999999995</v>
      </c>
      <c r="Q6638" s="390">
        <v>1.07</v>
      </c>
      <c r="R6638" s="390">
        <v>1.57</v>
      </c>
      <c r="S6638" s="390">
        <v>4.83</v>
      </c>
      <c r="T6638" s="388">
        <v>9.49</v>
      </c>
      <c r="U6638" s="388"/>
      <c r="V6638" s="391"/>
      <c r="W6638" s="391"/>
      <c r="X6638" s="391"/>
      <c r="Y6638" s="792"/>
      <c r="Z6638" s="388">
        <v>16</v>
      </c>
      <c r="AA6638" s="391">
        <v>1.57</v>
      </c>
      <c r="AC6638" s="115"/>
      <c r="AD6638" s="115">
        <v>6.5836800000000011</v>
      </c>
      <c r="AE6638" s="388">
        <v>0.22250400000000001</v>
      </c>
      <c r="AF6638" s="388">
        <v>1.455743</v>
      </c>
      <c r="AG6638" s="391">
        <v>0.54559200000000008</v>
      </c>
      <c r="AH6638" s="397"/>
      <c r="AQ6638" s="397"/>
      <c r="AR6638" s="397"/>
      <c r="AS6638" s="397"/>
      <c r="AT6638" s="397"/>
      <c r="BE6638" s="397"/>
      <c r="BF6638" s="397"/>
      <c r="BG6638" s="397"/>
      <c r="BH6638" s="397"/>
      <c r="BI6638" s="397"/>
      <c r="BJ6638" s="397"/>
      <c r="BK6638" s="397"/>
      <c r="BL6638" s="397"/>
      <c r="BM6638" s="398"/>
      <c r="BN6638" s="398"/>
      <c r="BO6638" s="397"/>
      <c r="BP6638" s="398"/>
      <c r="BQ6638" s="398"/>
      <c r="BR6638" s="398"/>
      <c r="BS6638" s="397"/>
      <c r="BT6638" s="397"/>
      <c r="BU6638" s="397"/>
      <c r="BV6638" s="397"/>
      <c r="BW6638" s="397"/>
      <c r="BX6638" s="397"/>
      <c r="BY6638" s="397"/>
      <c r="CA6638" s="392" t="s">
        <v>408</v>
      </c>
    </row>
    <row r="6639" spans="1:79" s="392" customFormat="1" ht="15" x14ac:dyDescent="0.25">
      <c r="A6639" s="430"/>
      <c r="B6639" s="386"/>
      <c r="C6639" s="386"/>
      <c r="D6639" s="434"/>
      <c r="E6639" s="385"/>
      <c r="F6639" s="432"/>
      <c r="G6639" s="401"/>
      <c r="H6639" s="401">
        <v>3</v>
      </c>
      <c r="I6639" s="401"/>
      <c r="J6639" s="401"/>
      <c r="K6639" s="401"/>
      <c r="L6639" s="676"/>
      <c r="M6639" s="673">
        <v>32673</v>
      </c>
      <c r="N6639" s="624">
        <v>0.72095081999999999</v>
      </c>
      <c r="O6639" s="625">
        <v>1.1568976861999997E-2</v>
      </c>
      <c r="P6639" s="390">
        <v>0.62533770963449498</v>
      </c>
      <c r="Q6639" s="390">
        <v>1.0968983310273412</v>
      </c>
      <c r="R6639" s="390">
        <v>1.4847171709980223</v>
      </c>
      <c r="S6639" s="390">
        <v>4.0358212145333692</v>
      </c>
      <c r="T6639" s="388">
        <v>11.81721881992673</v>
      </c>
      <c r="U6639" s="388"/>
      <c r="V6639" s="391"/>
      <c r="W6639" s="391"/>
      <c r="X6639" s="391"/>
      <c r="Y6639" s="792"/>
      <c r="Z6639" s="388">
        <v>17</v>
      </c>
      <c r="AA6639" s="391">
        <v>1.4847171709980223</v>
      </c>
      <c r="AC6639" s="115"/>
      <c r="AD6639" s="115">
        <v>6.5836800000000011</v>
      </c>
      <c r="AE6639" s="388">
        <v>0.20116800000000001</v>
      </c>
      <c r="AF6639" s="388">
        <v>1.32847</v>
      </c>
      <c r="AG6639" s="391">
        <v>0.54254400000000003</v>
      </c>
      <c r="AH6639" s="397"/>
      <c r="AQ6639" s="397"/>
      <c r="AR6639" s="397"/>
      <c r="AS6639" s="397"/>
      <c r="AT6639" s="397"/>
      <c r="BE6639" s="397"/>
      <c r="BF6639" s="397"/>
      <c r="BG6639" s="397"/>
      <c r="BH6639" s="397"/>
      <c r="BI6639" s="397"/>
      <c r="BJ6639" s="397"/>
      <c r="BK6639" s="397"/>
      <c r="BL6639" s="397"/>
      <c r="BM6639" s="398"/>
      <c r="BN6639" s="398"/>
      <c r="BO6639" s="397"/>
      <c r="BP6639" s="398"/>
      <c r="BQ6639" s="398"/>
      <c r="BR6639" s="398"/>
      <c r="BS6639" s="397"/>
      <c r="BT6639" s="397"/>
      <c r="BU6639" s="397"/>
      <c r="BV6639" s="397"/>
      <c r="BW6639" s="397"/>
      <c r="BX6639" s="397"/>
      <c r="BY6639" s="397"/>
      <c r="CA6639" s="392" t="s">
        <v>408</v>
      </c>
    </row>
    <row r="6640" spans="1:79" s="392" customFormat="1" ht="15" x14ac:dyDescent="0.25">
      <c r="A6640" s="430"/>
      <c r="B6640" s="386"/>
      <c r="C6640" s="386"/>
      <c r="D6640" s="434"/>
      <c r="E6640" s="385"/>
      <c r="F6640" s="432"/>
      <c r="G6640" s="401"/>
      <c r="H6640" s="401">
        <v>3</v>
      </c>
      <c r="I6640" s="401"/>
      <c r="J6640" s="401"/>
      <c r="K6640" s="401"/>
      <c r="L6640" s="676"/>
      <c r="M6640" s="673">
        <v>32674</v>
      </c>
      <c r="N6640" s="624">
        <v>0.70792499999999992</v>
      </c>
      <c r="O6640" s="625">
        <v>6.4985324574545452E-3</v>
      </c>
      <c r="P6640" s="390">
        <v>0.52673094402605736</v>
      </c>
      <c r="Q6640" s="390">
        <v>0.8939745767053966</v>
      </c>
      <c r="R6640" s="390">
        <v>1.2616732661448544</v>
      </c>
      <c r="S6640" s="390">
        <v>3.3341138544077999</v>
      </c>
      <c r="T6640" s="388">
        <v>6.7820914987935277</v>
      </c>
      <c r="U6640" s="388"/>
      <c r="V6640" s="391"/>
      <c r="W6640" s="391"/>
      <c r="X6640" s="391"/>
      <c r="Y6640" s="792"/>
      <c r="Z6640" s="388">
        <v>10</v>
      </c>
      <c r="AA6640" s="391">
        <v>1.2616732661448544</v>
      </c>
      <c r="AC6640" s="115"/>
      <c r="AD6640" s="115">
        <v>6.5836800000000011</v>
      </c>
      <c r="AE6640" s="388">
        <v>0.20116800000000001</v>
      </c>
      <c r="AF6640" s="388">
        <v>1.32847</v>
      </c>
      <c r="AG6640" s="391">
        <v>0.54254400000000003</v>
      </c>
      <c r="AH6640" s="397"/>
      <c r="AQ6640" s="397"/>
      <c r="AR6640" s="397"/>
      <c r="AS6640" s="397"/>
      <c r="AT6640" s="397"/>
      <c r="BE6640" s="397"/>
      <c r="BF6640" s="397"/>
      <c r="BG6640" s="397"/>
      <c r="BH6640" s="397"/>
      <c r="BI6640" s="397"/>
      <c r="BJ6640" s="397"/>
      <c r="BK6640" s="397"/>
      <c r="BL6640" s="397"/>
      <c r="BM6640" s="398"/>
      <c r="BN6640" s="398"/>
      <c r="BO6640" s="397"/>
      <c r="BP6640" s="398"/>
      <c r="BQ6640" s="398"/>
      <c r="BR6640" s="398"/>
      <c r="BS6640" s="397"/>
      <c r="BT6640" s="397"/>
      <c r="BU6640" s="397"/>
      <c r="BV6640" s="397"/>
      <c r="BW6640" s="397"/>
      <c r="BX6640" s="397"/>
      <c r="BY6640" s="397"/>
      <c r="CA6640" s="392" t="s">
        <v>408</v>
      </c>
    </row>
    <row r="6641" spans="1:79" s="392" customFormat="1" ht="15" x14ac:dyDescent="0.25">
      <c r="A6641" s="430"/>
      <c r="B6641" s="386"/>
      <c r="C6641" s="386"/>
      <c r="D6641" s="434"/>
      <c r="E6641" s="385"/>
      <c r="F6641" s="432"/>
      <c r="G6641" s="401"/>
      <c r="H6641" s="401">
        <v>3</v>
      </c>
      <c r="I6641" s="401"/>
      <c r="J6641" s="401"/>
      <c r="K6641" s="401"/>
      <c r="L6641" s="676"/>
      <c r="M6641" s="673">
        <v>32675</v>
      </c>
      <c r="N6641" s="624">
        <v>0.87188042999999993</v>
      </c>
      <c r="O6641" s="625">
        <v>1.4879820240300001E-2</v>
      </c>
      <c r="P6641" s="390">
        <v>0.62025131622294871</v>
      </c>
      <c r="Q6641" s="390">
        <v>1.0773945108762153</v>
      </c>
      <c r="R6641" s="390">
        <v>1.3991562751060886</v>
      </c>
      <c r="S6641" s="390">
        <v>3.3389986310332178</v>
      </c>
      <c r="T6641" s="388">
        <v>7.3027711880346216</v>
      </c>
      <c r="U6641" s="388"/>
      <c r="V6641" s="391"/>
      <c r="W6641" s="391"/>
      <c r="X6641" s="391"/>
      <c r="Y6641" s="792"/>
      <c r="Z6641" s="388">
        <v>15</v>
      </c>
      <c r="AA6641" s="391">
        <v>1.3991562751060886</v>
      </c>
      <c r="AC6641" s="115"/>
      <c r="AD6641" s="115">
        <v>6.6751199999999997</v>
      </c>
      <c r="AE6641" s="388">
        <v>0.21640799999999999</v>
      </c>
      <c r="AF6641" s="388">
        <v>1.4399499999999998</v>
      </c>
      <c r="AG6641" s="391">
        <v>0.60655199999999998</v>
      </c>
      <c r="AH6641" s="397"/>
      <c r="AQ6641" s="397"/>
      <c r="AR6641" s="397"/>
      <c r="AS6641" s="397"/>
      <c r="AT6641" s="397"/>
      <c r="BE6641" s="397"/>
      <c r="BF6641" s="397"/>
      <c r="BG6641" s="397"/>
      <c r="BH6641" s="397"/>
      <c r="BI6641" s="397"/>
      <c r="BJ6641" s="397"/>
      <c r="BK6641" s="397"/>
      <c r="BL6641" s="397"/>
      <c r="BM6641" s="398"/>
      <c r="BN6641" s="398"/>
      <c r="BO6641" s="397"/>
      <c r="BP6641" s="398"/>
      <c r="BQ6641" s="398"/>
      <c r="BR6641" s="398"/>
      <c r="BS6641" s="397"/>
      <c r="BT6641" s="397"/>
      <c r="BU6641" s="397"/>
      <c r="BV6641" s="397"/>
      <c r="BW6641" s="397"/>
      <c r="BX6641" s="397"/>
      <c r="BY6641" s="397"/>
      <c r="CA6641" s="392" t="s">
        <v>408</v>
      </c>
    </row>
    <row r="6642" spans="1:79" s="392" customFormat="1" ht="15" x14ac:dyDescent="0.25">
      <c r="A6642" s="430"/>
      <c r="B6642" s="386"/>
      <c r="C6642" s="386"/>
      <c r="D6642" s="434"/>
      <c r="E6642" s="385"/>
      <c r="F6642" s="432"/>
      <c r="G6642" s="401"/>
      <c r="H6642" s="401">
        <v>3</v>
      </c>
      <c r="I6642" s="401"/>
      <c r="J6642" s="401"/>
      <c r="K6642" s="401"/>
      <c r="L6642" s="676"/>
      <c r="M6642" s="673">
        <v>32676</v>
      </c>
      <c r="N6642" s="624">
        <v>0.82119299999999995</v>
      </c>
      <c r="O6642" s="625">
        <v>1.2005975987999998E-2</v>
      </c>
      <c r="P6642" s="390">
        <v>0.56521109938825276</v>
      </c>
      <c r="Q6642" s="390">
        <v>1.072259125973658</v>
      </c>
      <c r="R6642" s="390">
        <v>1.720713056678449</v>
      </c>
      <c r="S6642" s="390">
        <v>34.099847919063684</v>
      </c>
      <c r="T6642" s="388">
        <v>41.263754540252378</v>
      </c>
      <c r="U6642" s="388"/>
      <c r="V6642" s="391"/>
      <c r="W6642" s="391"/>
      <c r="X6642" s="391"/>
      <c r="Y6642" s="792"/>
      <c r="Z6642" s="388">
        <v>45</v>
      </c>
      <c r="AA6642" s="391">
        <v>1.720713056678449</v>
      </c>
      <c r="AC6642" s="115"/>
      <c r="AD6642" s="115">
        <v>6.6751199999999997</v>
      </c>
      <c r="AE6642" s="388">
        <v>0.21640799999999999</v>
      </c>
      <c r="AF6642" s="388">
        <v>1.4399499999999998</v>
      </c>
      <c r="AG6642" s="391">
        <v>0.56997600000000004</v>
      </c>
      <c r="AH6642" s="397"/>
      <c r="AQ6642" s="397"/>
      <c r="AR6642" s="397"/>
      <c r="AS6642" s="397"/>
      <c r="AT6642" s="397"/>
      <c r="BE6642" s="397"/>
      <c r="BF6642" s="397"/>
      <c r="BG6642" s="397"/>
      <c r="BH6642" s="397"/>
      <c r="BI6642" s="397"/>
      <c r="BJ6642" s="397"/>
      <c r="BK6642" s="397"/>
      <c r="BL6642" s="397"/>
      <c r="BM6642" s="398"/>
      <c r="BN6642" s="398"/>
      <c r="BO6642" s="397"/>
      <c r="BP6642" s="398"/>
      <c r="BQ6642" s="398"/>
      <c r="BR6642" s="398"/>
      <c r="BS6642" s="397"/>
      <c r="BT6642" s="397"/>
      <c r="BU6642" s="397"/>
      <c r="BV6642" s="397"/>
      <c r="BW6642" s="397"/>
      <c r="BX6642" s="397"/>
      <c r="BY6642" s="397"/>
      <c r="CA6642" s="392" t="s">
        <v>408</v>
      </c>
    </row>
    <row r="6643" spans="1:79" s="392" customFormat="1" ht="15" x14ac:dyDescent="0.25">
      <c r="A6643" s="430"/>
      <c r="B6643" s="386"/>
      <c r="C6643" s="386"/>
      <c r="D6643" s="434"/>
      <c r="E6643" s="385"/>
      <c r="F6643" s="432"/>
      <c r="G6643" s="401"/>
      <c r="H6643" s="401">
        <v>3</v>
      </c>
      <c r="I6643" s="401"/>
      <c r="J6643" s="401"/>
      <c r="K6643" s="401"/>
      <c r="L6643" s="676"/>
      <c r="M6643" s="673">
        <v>32677</v>
      </c>
      <c r="N6643" s="624">
        <v>0.70792499999999992</v>
      </c>
      <c r="O6643" s="625">
        <v>1.0798478402999998E-2</v>
      </c>
      <c r="P6643" s="390">
        <v>0.59257219440802167</v>
      </c>
      <c r="Q6643" s="390">
        <v>1.2756937693246564</v>
      </c>
      <c r="R6643" s="390">
        <v>2.2838839756036924</v>
      </c>
      <c r="S6643" s="390">
        <v>34.100016732574922</v>
      </c>
      <c r="T6643" s="388">
        <v>41.263818377298762</v>
      </c>
      <c r="U6643" s="388"/>
      <c r="V6643" s="391"/>
      <c r="W6643" s="391"/>
      <c r="X6643" s="391"/>
      <c r="Y6643" s="792"/>
      <c r="Z6643" s="388">
        <v>40</v>
      </c>
      <c r="AA6643" s="391">
        <v>2.2838839756036924</v>
      </c>
      <c r="AC6643" s="115"/>
      <c r="AD6643" s="115">
        <v>6.6751199999999997</v>
      </c>
      <c r="AE6643" s="388">
        <v>0.19812000000000002</v>
      </c>
      <c r="AF6643" s="388">
        <v>1.32847</v>
      </c>
      <c r="AG6643" s="391">
        <v>0.53339999999999999</v>
      </c>
      <c r="AH6643" s="397"/>
      <c r="AQ6643" s="397"/>
      <c r="AR6643" s="397"/>
      <c r="AS6643" s="397"/>
      <c r="AT6643" s="397"/>
      <c r="BE6643" s="397"/>
      <c r="BF6643" s="397"/>
      <c r="BG6643" s="397"/>
      <c r="BH6643" s="397"/>
      <c r="BI6643" s="397"/>
      <c r="BJ6643" s="397"/>
      <c r="BK6643" s="397"/>
      <c r="BL6643" s="397"/>
      <c r="BM6643" s="398"/>
      <c r="BN6643" s="398"/>
      <c r="BO6643" s="397"/>
      <c r="BP6643" s="398"/>
      <c r="BQ6643" s="398"/>
      <c r="BR6643" s="398"/>
      <c r="BS6643" s="397"/>
      <c r="BT6643" s="397"/>
      <c r="BU6643" s="397"/>
      <c r="BV6643" s="397"/>
      <c r="BW6643" s="397"/>
      <c r="BX6643" s="397"/>
      <c r="BY6643" s="397"/>
      <c r="CA6643" s="392" t="s">
        <v>408</v>
      </c>
    </row>
    <row r="6644" spans="1:79" s="392" customFormat="1" ht="15" x14ac:dyDescent="0.25">
      <c r="A6644" s="430"/>
      <c r="B6644" s="386"/>
      <c r="C6644" s="386"/>
      <c r="D6644" s="434"/>
      <c r="E6644" s="385"/>
      <c r="F6644" s="432"/>
      <c r="G6644" s="401"/>
      <c r="H6644" s="401">
        <v>3</v>
      </c>
      <c r="I6644" s="401"/>
      <c r="J6644" s="401"/>
      <c r="K6644" s="401"/>
      <c r="L6644" s="676"/>
      <c r="M6644" s="673">
        <v>32685</v>
      </c>
      <c r="N6644" s="624">
        <v>0.59465699999999999</v>
      </c>
      <c r="O6644" s="625">
        <v>8.5108996448333332E-3</v>
      </c>
      <c r="P6644" s="390">
        <v>0.42086383203862926</v>
      </c>
      <c r="Q6644" s="390">
        <v>0.69964633067523618</v>
      </c>
      <c r="R6644" s="390">
        <v>0.9694844560161735</v>
      </c>
      <c r="S6644" s="390">
        <v>2.7927966400209079</v>
      </c>
      <c r="T6644" s="388">
        <v>16.267276041147092</v>
      </c>
      <c r="U6644" s="388"/>
      <c r="V6644" s="391"/>
      <c r="W6644" s="391"/>
      <c r="X6644" s="391"/>
      <c r="Y6644" s="792"/>
      <c r="Z6644" s="388">
        <v>19</v>
      </c>
      <c r="AA6644" s="391">
        <v>0.9694844560161735</v>
      </c>
      <c r="AC6644" s="115"/>
      <c r="AD6644" s="115">
        <v>6.4008000000000003</v>
      </c>
      <c r="AE6644" s="388">
        <v>0.176784</v>
      </c>
      <c r="AF6644" s="388">
        <v>1.134309</v>
      </c>
      <c r="AG6644" s="391">
        <v>0.52425600000000006</v>
      </c>
      <c r="AH6644" s="397"/>
      <c r="AQ6644" s="397"/>
      <c r="AR6644" s="397"/>
      <c r="AS6644" s="397"/>
      <c r="AT6644" s="397"/>
      <c r="BE6644" s="397"/>
      <c r="BF6644" s="397"/>
      <c r="BG6644" s="397"/>
      <c r="BH6644" s="397"/>
      <c r="BI6644" s="397"/>
      <c r="BJ6644" s="397"/>
      <c r="BK6644" s="397"/>
      <c r="BL6644" s="397"/>
      <c r="BM6644" s="398"/>
      <c r="BN6644" s="398"/>
      <c r="BO6644" s="397"/>
      <c r="BP6644" s="398"/>
      <c r="BQ6644" s="398"/>
      <c r="BR6644" s="398"/>
      <c r="BS6644" s="397"/>
      <c r="BT6644" s="397"/>
      <c r="BU6644" s="397"/>
      <c r="BV6644" s="397"/>
      <c r="BW6644" s="397"/>
      <c r="BX6644" s="397"/>
      <c r="BY6644" s="397"/>
      <c r="CA6644" s="392" t="s">
        <v>408</v>
      </c>
    </row>
    <row r="6645" spans="1:79" s="392" customFormat="1" ht="15" x14ac:dyDescent="0.25">
      <c r="A6645" s="430"/>
      <c r="B6645" s="386"/>
      <c r="C6645" s="386"/>
      <c r="D6645" s="434"/>
      <c r="E6645" s="385"/>
      <c r="F6645" s="432"/>
      <c r="G6645" s="401"/>
      <c r="H6645" s="401">
        <v>3</v>
      </c>
      <c r="I6645" s="401"/>
      <c r="J6645" s="401"/>
      <c r="K6645" s="401"/>
      <c r="L6645" s="676"/>
      <c r="M6645" s="673">
        <v>32686</v>
      </c>
      <c r="N6645" s="624">
        <v>0.56633999999999995</v>
      </c>
      <c r="O6645" s="625">
        <v>6.4301538063333327E-3</v>
      </c>
      <c r="P6645" s="390">
        <v>0.501958857640043</v>
      </c>
      <c r="Q6645" s="390">
        <v>0.78407296917738734</v>
      </c>
      <c r="R6645" s="390">
        <v>1.1100963744974455</v>
      </c>
      <c r="S6645" s="390">
        <v>3.4131081806907173</v>
      </c>
      <c r="T6645" s="388">
        <v>10.202361403077495</v>
      </c>
      <c r="U6645" s="388"/>
      <c r="V6645" s="391"/>
      <c r="W6645" s="391"/>
      <c r="X6645" s="391"/>
      <c r="Y6645" s="792"/>
      <c r="Z6645" s="388">
        <v>19</v>
      </c>
      <c r="AA6645" s="391">
        <v>1.1100963744974455</v>
      </c>
      <c r="AC6645" s="115"/>
      <c r="AD6645" s="115">
        <v>6.4008000000000003</v>
      </c>
      <c r="AE6645" s="388">
        <v>0.16154400000000002</v>
      </c>
      <c r="AF6645" s="388">
        <v>1.0311899999999998</v>
      </c>
      <c r="AG6645" s="391">
        <v>0.54864000000000002</v>
      </c>
      <c r="AH6645" s="397"/>
      <c r="AQ6645" s="397"/>
      <c r="AR6645" s="397"/>
      <c r="AS6645" s="397"/>
      <c r="AT6645" s="397"/>
      <c r="BE6645" s="397"/>
      <c r="BF6645" s="397"/>
      <c r="BG6645" s="397"/>
      <c r="BH6645" s="397"/>
      <c r="BI6645" s="397"/>
      <c r="BJ6645" s="397"/>
      <c r="BK6645" s="397"/>
      <c r="BL6645" s="397"/>
      <c r="BM6645" s="398"/>
      <c r="BN6645" s="398"/>
      <c r="BO6645" s="397"/>
      <c r="BP6645" s="398"/>
      <c r="BQ6645" s="398"/>
      <c r="BR6645" s="398"/>
      <c r="BS6645" s="397"/>
      <c r="BT6645" s="397"/>
      <c r="BU6645" s="397"/>
      <c r="BV6645" s="397"/>
      <c r="BW6645" s="397"/>
      <c r="BX6645" s="397"/>
      <c r="BY6645" s="397"/>
      <c r="CA6645" s="392" t="s">
        <v>408</v>
      </c>
    </row>
    <row r="6646" spans="1:79" s="392" customFormat="1" ht="15" x14ac:dyDescent="0.25">
      <c r="A6646" s="430"/>
      <c r="B6646" s="386"/>
      <c r="C6646" s="386"/>
      <c r="D6646" s="434"/>
      <c r="E6646" s="385"/>
      <c r="F6646" s="432"/>
      <c r="G6646" s="401"/>
      <c r="H6646" s="401">
        <v>3</v>
      </c>
      <c r="I6646" s="401"/>
      <c r="J6646" s="401"/>
      <c r="K6646" s="401"/>
      <c r="L6646" s="676"/>
      <c r="M6646" s="673">
        <v>32687</v>
      </c>
      <c r="N6646" s="624">
        <v>0.50970599999999999</v>
      </c>
      <c r="O6646" s="625">
        <v>6.054321224666666E-3</v>
      </c>
      <c r="P6646" s="390">
        <v>0.50718829924963293</v>
      </c>
      <c r="Q6646" s="390">
        <v>0.7786746126968539</v>
      </c>
      <c r="R6646" s="390">
        <v>1.0669572534194514</v>
      </c>
      <c r="S6646" s="390">
        <v>2.1579183645496109</v>
      </c>
      <c r="T6646" s="388">
        <v>3.5083468041424237</v>
      </c>
      <c r="U6646" s="388"/>
      <c r="V6646" s="391"/>
      <c r="W6646" s="391"/>
      <c r="X6646" s="391"/>
      <c r="Y6646" s="792"/>
      <c r="Z6646" s="388">
        <v>6</v>
      </c>
      <c r="AA6646" s="391">
        <v>1.0669572534194514</v>
      </c>
      <c r="AC6646" s="115"/>
      <c r="AD6646" s="115">
        <v>6.4008000000000003</v>
      </c>
      <c r="AE6646" s="388">
        <v>0.16154400000000002</v>
      </c>
      <c r="AF6646" s="388">
        <v>1.0311899999999998</v>
      </c>
      <c r="AG6646" s="391">
        <v>0.49377600000000005</v>
      </c>
      <c r="AH6646" s="397"/>
      <c r="AQ6646" s="397"/>
      <c r="AR6646" s="397"/>
      <c r="AS6646" s="397"/>
      <c r="AT6646" s="397"/>
      <c r="BE6646" s="397"/>
      <c r="BF6646" s="397"/>
      <c r="BG6646" s="397"/>
      <c r="BH6646" s="397"/>
      <c r="BI6646" s="397"/>
      <c r="BJ6646" s="397"/>
      <c r="BK6646" s="397"/>
      <c r="BL6646" s="397"/>
      <c r="BM6646" s="398"/>
      <c r="BN6646" s="398"/>
      <c r="BO6646" s="397"/>
      <c r="BP6646" s="398"/>
      <c r="BQ6646" s="398"/>
      <c r="BR6646" s="398"/>
      <c r="BS6646" s="397"/>
      <c r="BT6646" s="397"/>
      <c r="BU6646" s="397"/>
      <c r="BV6646" s="397"/>
      <c r="BW6646" s="397"/>
      <c r="BX6646" s="397"/>
      <c r="BY6646" s="397"/>
      <c r="CA6646" s="392" t="s">
        <v>408</v>
      </c>
    </row>
    <row r="6647" spans="1:79" s="392" customFormat="1" ht="15" x14ac:dyDescent="0.25">
      <c r="A6647" s="430"/>
      <c r="B6647" s="386"/>
      <c r="C6647" s="386"/>
      <c r="D6647" s="434"/>
      <c r="E6647" s="385"/>
      <c r="F6647" s="432"/>
      <c r="G6647" s="401"/>
      <c r="H6647" s="401">
        <v>3</v>
      </c>
      <c r="I6647" s="401"/>
      <c r="J6647" s="401"/>
      <c r="K6647" s="401"/>
      <c r="L6647" s="676"/>
      <c r="M6647" s="673">
        <v>32689</v>
      </c>
      <c r="N6647" s="624">
        <v>0.48138899999999996</v>
      </c>
      <c r="O6647" s="625">
        <v>6.1765543135333329E-3</v>
      </c>
      <c r="P6647" s="390">
        <v>0.50555449287988119</v>
      </c>
      <c r="Q6647" s="390">
        <v>0.75688139975661617</v>
      </c>
      <c r="R6647" s="390">
        <v>1.0299499682004445</v>
      </c>
      <c r="S6647" s="390">
        <v>2.7375061214985772</v>
      </c>
      <c r="T6647" s="388">
        <v>5.1573322763457314</v>
      </c>
      <c r="U6647" s="388"/>
      <c r="V6647" s="391"/>
      <c r="W6647" s="391"/>
      <c r="X6647" s="391"/>
      <c r="Y6647" s="792"/>
      <c r="Z6647" s="388">
        <v>9</v>
      </c>
      <c r="AA6647" s="391">
        <v>1.0299499682004445</v>
      </c>
      <c r="AC6647" s="115"/>
      <c r="AD6647" s="115">
        <v>6.5532000000000004</v>
      </c>
      <c r="AE6647" s="388">
        <v>0.15240000000000001</v>
      </c>
      <c r="AF6647" s="388">
        <v>1.00332</v>
      </c>
      <c r="AG6647" s="391">
        <v>0.47853600000000002</v>
      </c>
      <c r="AH6647" s="397"/>
      <c r="AQ6647" s="397"/>
      <c r="AR6647" s="397"/>
      <c r="AS6647" s="397"/>
      <c r="AT6647" s="397"/>
      <c r="BE6647" s="397"/>
      <c r="BF6647" s="397"/>
      <c r="BG6647" s="397"/>
      <c r="BH6647" s="397"/>
      <c r="BI6647" s="397"/>
      <c r="BJ6647" s="397"/>
      <c r="BK6647" s="397"/>
      <c r="BL6647" s="397"/>
      <c r="BM6647" s="398"/>
      <c r="BN6647" s="398"/>
      <c r="BO6647" s="397"/>
      <c r="BP6647" s="398"/>
      <c r="BQ6647" s="398"/>
      <c r="BR6647" s="398"/>
      <c r="BS6647" s="397"/>
      <c r="BT6647" s="397"/>
      <c r="BU6647" s="397"/>
      <c r="BV6647" s="397"/>
      <c r="BW6647" s="397"/>
      <c r="BX6647" s="397"/>
      <c r="BY6647" s="397"/>
      <c r="CA6647" s="392" t="s">
        <v>408</v>
      </c>
    </row>
    <row r="6648" spans="1:79" s="392" customFormat="1" ht="15" x14ac:dyDescent="0.25">
      <c r="A6648" s="430"/>
      <c r="B6648" s="386"/>
      <c r="C6648" s="386"/>
      <c r="D6648" s="434"/>
      <c r="E6648" s="385"/>
      <c r="F6648" s="432"/>
      <c r="G6648" s="401"/>
      <c r="H6648" s="401">
        <v>3</v>
      </c>
      <c r="I6648" s="401"/>
      <c r="J6648" s="401"/>
      <c r="K6648" s="401"/>
      <c r="L6648" s="676"/>
      <c r="M6648" s="673">
        <v>32692</v>
      </c>
      <c r="N6648" s="624">
        <v>0.45307199999999997</v>
      </c>
      <c r="O6648" s="625">
        <v>3.2781601103333336E-3</v>
      </c>
      <c r="P6648" s="390">
        <v>0.48663402165841085</v>
      </c>
      <c r="Q6648" s="390">
        <v>0.76380547896270667</v>
      </c>
      <c r="R6648" s="390">
        <v>1.0708122152081405</v>
      </c>
      <c r="S6648" s="390">
        <v>3.0086748568587871</v>
      </c>
      <c r="T6648" s="388">
        <v>5.0510607576411299</v>
      </c>
      <c r="U6648" s="388"/>
      <c r="V6648" s="391"/>
      <c r="W6648" s="391"/>
      <c r="X6648" s="391"/>
      <c r="Y6648" s="792"/>
      <c r="Z6648" s="388">
        <v>8</v>
      </c>
      <c r="AA6648" s="391">
        <v>1.0708122152081405</v>
      </c>
      <c r="AC6648" s="115"/>
      <c r="AD6648" s="115">
        <v>6.431280000000001</v>
      </c>
      <c r="AE6648" s="388">
        <v>0.155448</v>
      </c>
      <c r="AF6648" s="388">
        <v>1.00332</v>
      </c>
      <c r="AG6648" s="391">
        <v>0.451104</v>
      </c>
      <c r="AH6648" s="397"/>
      <c r="AQ6648" s="397"/>
      <c r="AR6648" s="397"/>
      <c r="AS6648" s="397"/>
      <c r="AT6648" s="397"/>
      <c r="BE6648" s="397"/>
      <c r="BF6648" s="397"/>
      <c r="BG6648" s="397"/>
      <c r="BH6648" s="397"/>
      <c r="BI6648" s="397"/>
      <c r="BJ6648" s="397"/>
      <c r="BK6648" s="397"/>
      <c r="BL6648" s="397"/>
      <c r="BM6648" s="398"/>
      <c r="BN6648" s="398"/>
      <c r="BO6648" s="397"/>
      <c r="BP6648" s="398"/>
      <c r="BQ6648" s="398"/>
      <c r="BR6648" s="398"/>
      <c r="BS6648" s="397"/>
      <c r="BT6648" s="397"/>
      <c r="BU6648" s="397"/>
      <c r="BV6648" s="397"/>
      <c r="BW6648" s="397"/>
      <c r="BX6648" s="397"/>
      <c r="BY6648" s="397"/>
      <c r="CA6648" s="392" t="s">
        <v>408</v>
      </c>
    </row>
    <row r="6649" spans="1:79" s="392" customFormat="1" ht="15" x14ac:dyDescent="0.25">
      <c r="A6649" s="430"/>
      <c r="B6649" s="386"/>
      <c r="C6649" s="386"/>
      <c r="D6649" s="434"/>
      <c r="E6649" s="385"/>
      <c r="F6649" s="432"/>
      <c r="G6649" s="401"/>
      <c r="H6649" s="401">
        <v>3</v>
      </c>
      <c r="I6649" s="401"/>
      <c r="J6649" s="401"/>
      <c r="K6649" s="401"/>
      <c r="L6649" s="676"/>
      <c r="M6649" s="673">
        <v>32694</v>
      </c>
      <c r="N6649" s="624">
        <v>0.42475499999999999</v>
      </c>
      <c r="O6649" s="625">
        <v>2.69386961225E-3</v>
      </c>
      <c r="P6649" s="390">
        <v>0.51595855987335149</v>
      </c>
      <c r="Q6649" s="390">
        <v>0.77331479816262338</v>
      </c>
      <c r="R6649" s="390">
        <v>1.0523613267705176</v>
      </c>
      <c r="S6649" s="390">
        <v>2.5050942177456093</v>
      </c>
      <c r="T6649" s="388">
        <v>4.2176948654421968</v>
      </c>
      <c r="U6649" s="388"/>
      <c r="V6649" s="391"/>
      <c r="W6649" s="391"/>
      <c r="X6649" s="391"/>
      <c r="Y6649" s="792"/>
      <c r="Z6649" s="388">
        <v>11</v>
      </c>
      <c r="AA6649" s="391">
        <v>1.0523613267705176</v>
      </c>
      <c r="AC6649" s="115"/>
      <c r="AD6649" s="115">
        <v>6.4617599999999999</v>
      </c>
      <c r="AE6649" s="388">
        <v>0.155448</v>
      </c>
      <c r="AF6649" s="388">
        <v>1.00332</v>
      </c>
      <c r="AG6649" s="391">
        <v>0.42367199999999999</v>
      </c>
      <c r="AH6649" s="397"/>
      <c r="AQ6649" s="397"/>
      <c r="AR6649" s="397"/>
      <c r="AS6649" s="397"/>
      <c r="AT6649" s="397"/>
      <c r="BE6649" s="397"/>
      <c r="BF6649" s="397"/>
      <c r="BG6649" s="397"/>
      <c r="BH6649" s="397"/>
      <c r="BI6649" s="397"/>
      <c r="BJ6649" s="397"/>
      <c r="BK6649" s="397"/>
      <c r="BL6649" s="397"/>
      <c r="BM6649" s="398"/>
      <c r="BN6649" s="398"/>
      <c r="BO6649" s="397"/>
      <c r="BP6649" s="398"/>
      <c r="BQ6649" s="398"/>
      <c r="BR6649" s="398"/>
      <c r="BS6649" s="397"/>
      <c r="BT6649" s="397"/>
      <c r="BU6649" s="397"/>
      <c r="BV6649" s="397"/>
      <c r="BW6649" s="397"/>
      <c r="BX6649" s="397"/>
      <c r="BY6649" s="397"/>
      <c r="CA6649" s="392" t="s">
        <v>408</v>
      </c>
    </row>
    <row r="6650" spans="1:79" s="392" customFormat="1" ht="15" x14ac:dyDescent="0.25">
      <c r="A6650" s="430"/>
      <c r="B6650" s="386"/>
      <c r="C6650" s="386"/>
      <c r="D6650" s="434"/>
      <c r="E6650" s="385"/>
      <c r="F6650" s="432"/>
      <c r="G6650" s="401"/>
      <c r="H6650" s="401">
        <v>3</v>
      </c>
      <c r="I6650" s="401"/>
      <c r="J6650" s="401"/>
      <c r="K6650" s="401"/>
      <c r="L6650" s="676"/>
      <c r="M6650" s="673">
        <v>32698</v>
      </c>
      <c r="N6650" s="624">
        <v>0.33980399999999999</v>
      </c>
      <c r="O6650" s="625">
        <v>3.3188961399722217E-3</v>
      </c>
      <c r="P6650" s="390">
        <v>0.43908178035214018</v>
      </c>
      <c r="Q6650" s="390">
        <v>0.68860003005266246</v>
      </c>
      <c r="R6650" s="390">
        <v>0.91539130701893068</v>
      </c>
      <c r="S6650" s="390">
        <v>1.9140540619614808</v>
      </c>
      <c r="T6650" s="388">
        <v>3.7038467069190713</v>
      </c>
      <c r="U6650" s="388"/>
      <c r="V6650" s="391"/>
      <c r="W6650" s="391"/>
      <c r="X6650" s="391"/>
      <c r="Y6650" s="792"/>
      <c r="Z6650" s="388">
        <v>11</v>
      </c>
      <c r="AA6650" s="391">
        <v>0.91539130701893068</v>
      </c>
      <c r="AC6650" s="115"/>
      <c r="AD6650" s="115">
        <v>6.3093599999999999</v>
      </c>
      <c r="AE6650" s="388">
        <v>0.124968</v>
      </c>
      <c r="AF6650" s="388">
        <v>0.79522400000000004</v>
      </c>
      <c r="AG6650" s="391">
        <v>0.42671999999999999</v>
      </c>
      <c r="AH6650" s="397"/>
      <c r="AQ6650" s="397"/>
      <c r="AR6650" s="397"/>
      <c r="AS6650" s="397"/>
      <c r="AT6650" s="397"/>
      <c r="BE6650" s="397"/>
      <c r="BF6650" s="397"/>
      <c r="BG6650" s="397"/>
      <c r="BH6650" s="397"/>
      <c r="BI6650" s="397"/>
      <c r="BJ6650" s="397"/>
      <c r="BK6650" s="397"/>
      <c r="BL6650" s="397"/>
      <c r="BM6650" s="398"/>
      <c r="BN6650" s="398"/>
      <c r="BO6650" s="397"/>
      <c r="BP6650" s="398"/>
      <c r="BQ6650" s="398"/>
      <c r="BR6650" s="398"/>
      <c r="BS6650" s="397"/>
      <c r="BT6650" s="397"/>
      <c r="BU6650" s="397"/>
      <c r="BV6650" s="397"/>
      <c r="BW6650" s="397"/>
      <c r="BX6650" s="397"/>
      <c r="BY6650" s="397"/>
      <c r="CA6650" s="392" t="s">
        <v>408</v>
      </c>
    </row>
    <row r="6651" spans="1:79" s="392" customFormat="1" ht="15" x14ac:dyDescent="0.25">
      <c r="A6651" s="430"/>
      <c r="B6651" s="386"/>
      <c r="C6651" s="386"/>
      <c r="D6651" s="434"/>
      <c r="E6651" s="385"/>
      <c r="F6651" s="432"/>
      <c r="G6651" s="401"/>
      <c r="H6651" s="401">
        <v>3</v>
      </c>
      <c r="I6651" s="401"/>
      <c r="J6651" s="401"/>
      <c r="K6651" s="401"/>
      <c r="L6651" s="676"/>
      <c r="M6651" s="673">
        <v>32703</v>
      </c>
      <c r="N6651" s="624">
        <v>0.31148699999999996</v>
      </c>
      <c r="O6651" s="625">
        <v>2.1043707912499999E-3</v>
      </c>
      <c r="P6651" s="390">
        <v>0.49545233744442979</v>
      </c>
      <c r="Q6651" s="390">
        <v>0.72424444099456586</v>
      </c>
      <c r="R6651" s="390">
        <v>0.95875633547686634</v>
      </c>
      <c r="S6651" s="390">
        <v>2.0582467231065236</v>
      </c>
      <c r="T6651" s="388">
        <v>3.4768663484994518</v>
      </c>
      <c r="U6651" s="388"/>
      <c r="V6651" s="391"/>
      <c r="W6651" s="391"/>
      <c r="X6651" s="391"/>
      <c r="Y6651" s="792"/>
      <c r="Z6651" s="388">
        <v>8</v>
      </c>
      <c r="AA6651" s="391">
        <v>0.95875633547686634</v>
      </c>
      <c r="AC6651" s="115"/>
      <c r="AD6651" s="115">
        <v>6.3398400000000006</v>
      </c>
      <c r="AE6651" s="388">
        <v>0.124968</v>
      </c>
      <c r="AF6651" s="388">
        <v>0.79522400000000004</v>
      </c>
      <c r="AG6651" s="391">
        <v>0.39319200000000004</v>
      </c>
      <c r="AH6651" s="397"/>
      <c r="AQ6651" s="397"/>
      <c r="AR6651" s="397"/>
      <c r="AS6651" s="397"/>
      <c r="AT6651" s="397"/>
      <c r="BE6651" s="397"/>
      <c r="BF6651" s="397"/>
      <c r="BG6651" s="397"/>
      <c r="BH6651" s="397"/>
      <c r="BI6651" s="397"/>
      <c r="BJ6651" s="397"/>
      <c r="BK6651" s="397"/>
      <c r="BL6651" s="397"/>
      <c r="BM6651" s="398"/>
      <c r="BN6651" s="398"/>
      <c r="BO6651" s="397"/>
      <c r="BP6651" s="398"/>
      <c r="BQ6651" s="398"/>
      <c r="BR6651" s="398"/>
      <c r="BS6651" s="397"/>
      <c r="BT6651" s="397"/>
      <c r="BU6651" s="397"/>
      <c r="BV6651" s="397"/>
      <c r="BW6651" s="397"/>
      <c r="BX6651" s="397"/>
      <c r="BY6651" s="397"/>
      <c r="CA6651" s="392" t="s">
        <v>408</v>
      </c>
    </row>
    <row r="6652" spans="1:79" s="392" customFormat="1" ht="15" x14ac:dyDescent="0.25">
      <c r="A6652" s="430"/>
      <c r="B6652" s="386"/>
      <c r="C6652" s="386"/>
      <c r="D6652" s="434"/>
      <c r="E6652" s="385"/>
      <c r="F6652" s="432"/>
      <c r="G6652" s="401"/>
      <c r="H6652" s="401">
        <v>3</v>
      </c>
      <c r="I6652" s="401"/>
      <c r="J6652" s="401"/>
      <c r="K6652" s="401"/>
      <c r="L6652" s="676"/>
      <c r="M6652" s="673">
        <v>32708</v>
      </c>
      <c r="N6652" s="624">
        <v>0.22653599999999999</v>
      </c>
      <c r="O6652" s="625">
        <v>1.8493296346666665E-3</v>
      </c>
      <c r="P6652" s="390">
        <v>0.37</v>
      </c>
      <c r="Q6652" s="390">
        <v>0.61</v>
      </c>
      <c r="R6652" s="390">
        <v>0.8</v>
      </c>
      <c r="S6652" s="390">
        <v>1.79</v>
      </c>
      <c r="T6652" s="388">
        <v>3.65</v>
      </c>
      <c r="U6652" s="388"/>
      <c r="V6652" s="391"/>
      <c r="W6652" s="391"/>
      <c r="X6652" s="391"/>
      <c r="Y6652" s="792"/>
      <c r="Z6652" s="388">
        <v>8</v>
      </c>
      <c r="AA6652" s="391">
        <v>0.8</v>
      </c>
      <c r="AC6652" s="115"/>
      <c r="AD6652" s="115">
        <v>5.1511199999999997</v>
      </c>
      <c r="AE6652" s="388">
        <v>0.112776</v>
      </c>
      <c r="AF6652" s="388">
        <v>0.57690900000000001</v>
      </c>
      <c r="AG6652" s="391">
        <v>0.39319200000000004</v>
      </c>
      <c r="AH6652" s="397"/>
      <c r="AQ6652" s="397"/>
      <c r="AR6652" s="397"/>
      <c r="AS6652" s="397"/>
      <c r="AT6652" s="397"/>
      <c r="BE6652" s="397"/>
      <c r="BF6652" s="397"/>
      <c r="BG6652" s="397"/>
      <c r="BH6652" s="397"/>
      <c r="BI6652" s="397"/>
      <c r="BJ6652" s="397"/>
      <c r="BK6652" s="397"/>
      <c r="BL6652" s="397"/>
      <c r="BM6652" s="398"/>
      <c r="BN6652" s="398"/>
      <c r="BO6652" s="397"/>
      <c r="BP6652" s="398"/>
      <c r="BQ6652" s="398"/>
      <c r="BR6652" s="398"/>
      <c r="BS6652" s="397"/>
      <c r="BT6652" s="397"/>
      <c r="BU6652" s="397"/>
      <c r="BV6652" s="397"/>
      <c r="BW6652" s="397"/>
      <c r="BX6652" s="397"/>
      <c r="BY6652" s="397"/>
      <c r="CA6652" s="392" t="s">
        <v>408</v>
      </c>
    </row>
    <row r="6653" spans="1:79" s="392" customFormat="1" ht="15" x14ac:dyDescent="0.25">
      <c r="A6653" s="430"/>
      <c r="B6653" s="386"/>
      <c r="C6653" s="386"/>
      <c r="D6653" s="434"/>
      <c r="E6653" s="385"/>
      <c r="F6653" s="432"/>
      <c r="G6653" s="401"/>
      <c r="H6653" s="401">
        <v>3</v>
      </c>
      <c r="I6653" s="401"/>
      <c r="J6653" s="401"/>
      <c r="K6653" s="401"/>
      <c r="L6653" s="676"/>
      <c r="M6653" s="673">
        <v>32715</v>
      </c>
      <c r="N6653" s="624">
        <v>0.169902</v>
      </c>
      <c r="O6653" s="625">
        <v>6.7916530833333339E-4</v>
      </c>
      <c r="P6653" s="390">
        <v>0.37</v>
      </c>
      <c r="Q6653" s="390">
        <v>0.62</v>
      </c>
      <c r="R6653" s="390">
        <v>0.86</v>
      </c>
      <c r="S6653" s="390">
        <v>2.3199999999999998</v>
      </c>
      <c r="T6653" s="388">
        <v>4.78</v>
      </c>
      <c r="U6653" s="388"/>
      <c r="V6653" s="391"/>
      <c r="W6653" s="391"/>
      <c r="X6653" s="391"/>
      <c r="Y6653" s="792"/>
      <c r="Z6653" s="388">
        <v>10</v>
      </c>
      <c r="AA6653" s="391">
        <v>0.86</v>
      </c>
      <c r="AC6653" s="115"/>
      <c r="AD6653" s="115">
        <v>4.1452800000000005</v>
      </c>
      <c r="AE6653" s="388">
        <v>0.12192000000000001</v>
      </c>
      <c r="AF6653" s="388">
        <v>0.50165999999999999</v>
      </c>
      <c r="AG6653" s="391">
        <v>0.33832800000000007</v>
      </c>
      <c r="AH6653" s="397"/>
      <c r="AQ6653" s="397"/>
      <c r="AR6653" s="397"/>
      <c r="AS6653" s="397"/>
      <c r="AT6653" s="397"/>
      <c r="BE6653" s="397"/>
      <c r="BF6653" s="397"/>
      <c r="BG6653" s="397"/>
      <c r="BH6653" s="397"/>
      <c r="BI6653" s="397"/>
      <c r="BJ6653" s="397"/>
      <c r="BK6653" s="397"/>
      <c r="BL6653" s="397"/>
      <c r="BM6653" s="398"/>
      <c r="BN6653" s="398"/>
      <c r="BO6653" s="397"/>
      <c r="BP6653" s="398"/>
      <c r="BQ6653" s="398"/>
      <c r="BR6653" s="398"/>
      <c r="BS6653" s="397"/>
      <c r="BT6653" s="397"/>
      <c r="BU6653" s="397"/>
      <c r="BV6653" s="397"/>
      <c r="BW6653" s="397"/>
      <c r="BX6653" s="397"/>
      <c r="BY6653" s="397"/>
      <c r="CA6653" s="392" t="s">
        <v>408</v>
      </c>
    </row>
    <row r="6654" spans="1:79" s="189" customFormat="1" ht="15.75" thickBot="1" x14ac:dyDescent="0.3">
      <c r="A6654" s="24" t="s">
        <v>430</v>
      </c>
      <c r="B6654" s="14" t="s">
        <v>34</v>
      </c>
      <c r="C6654" s="14"/>
      <c r="D6654" s="4">
        <f>VLOOKUP(E6654,'Quality Code'!D4:E24,2,TRUE)*VLOOKUP(MROUND(F6654,10),'Quality Code'!D28:E69,2,TRUE)*VLOOKUP(COUNTA(CB6654:CB6664),'Quality Code'!D73:E93,2,TRUE)</f>
        <v>0.3</v>
      </c>
      <c r="E6654" s="14">
        <v>0.6</v>
      </c>
      <c r="F6654" s="18">
        <v>22</v>
      </c>
      <c r="G6654" s="2"/>
      <c r="H6654" s="2" t="s">
        <v>105</v>
      </c>
      <c r="I6654" s="2"/>
      <c r="J6654" s="2"/>
      <c r="K6654" s="2"/>
      <c r="L6654" s="640"/>
      <c r="M6654" s="640">
        <v>1989</v>
      </c>
      <c r="N6654" s="578" t="s">
        <v>110</v>
      </c>
      <c r="O6654" s="622"/>
      <c r="P6654" s="376" t="s">
        <v>402</v>
      </c>
      <c r="Q6654" s="376" t="s">
        <v>403</v>
      </c>
      <c r="R6654" s="376" t="s">
        <v>404</v>
      </c>
      <c r="S6654" s="376" t="s">
        <v>405</v>
      </c>
      <c r="T6654" s="376" t="s">
        <v>406</v>
      </c>
      <c r="U6654" s="141" t="s">
        <v>20</v>
      </c>
      <c r="V6654" s="2"/>
      <c r="W6654" s="2"/>
      <c r="X6654" s="2"/>
      <c r="Y6654" s="2"/>
      <c r="Z6654" s="26"/>
      <c r="AA6654" s="26"/>
      <c r="AB6654" s="377"/>
      <c r="AC6654" s="26">
        <v>0.06</v>
      </c>
      <c r="AD6654" s="26"/>
      <c r="AE6654" s="26"/>
      <c r="AF6654" s="26"/>
      <c r="AG6654" s="26"/>
      <c r="AH6654" s="4"/>
      <c r="AI6654" s="376"/>
      <c r="AJ6654" s="376"/>
      <c r="AK6654" s="376"/>
      <c r="AL6654" s="376"/>
      <c r="AM6654" s="376"/>
      <c r="AN6654" s="376"/>
      <c r="AO6654" s="376"/>
      <c r="AP6654" s="376"/>
      <c r="AQ6654" s="378"/>
      <c r="AR6654" s="378"/>
      <c r="AS6654" s="378"/>
      <c r="AT6654" s="378"/>
      <c r="AU6654" s="379"/>
      <c r="AV6654" s="379"/>
      <c r="AW6654" s="379"/>
      <c r="AX6654" s="379"/>
      <c r="AY6654" s="379"/>
      <c r="AZ6654" s="380"/>
      <c r="BA6654" s="380"/>
      <c r="BB6654" s="380"/>
      <c r="BC6654" s="380"/>
      <c r="BD6654" s="380"/>
      <c r="BE6654" s="4"/>
      <c r="BF6654" s="4"/>
      <c r="BG6654" s="4"/>
      <c r="BH6654" s="4"/>
      <c r="BI6654" s="12"/>
      <c r="BJ6654" s="2"/>
      <c r="BK6654" s="2"/>
      <c r="BL6654" s="4"/>
      <c r="BM6654" s="12">
        <v>4.2507907604358621</v>
      </c>
      <c r="BN6654" s="12">
        <v>8.1381600000000009</v>
      </c>
      <c r="BO6654" s="12">
        <v>0.28881797752808991</v>
      </c>
      <c r="BP6654" s="4">
        <v>2.3504469120000007</v>
      </c>
      <c r="BQ6654" s="4">
        <v>28.17747035573122</v>
      </c>
      <c r="BR6654" s="4"/>
      <c r="BS6654" s="2"/>
      <c r="BT6654" s="9"/>
      <c r="BU6654" s="381"/>
      <c r="BV6654" s="382"/>
      <c r="BW6654" s="383"/>
      <c r="BX6654" s="383"/>
      <c r="BY6654" s="383"/>
      <c r="BZ6654" s="384"/>
      <c r="CA6654" s="411" t="s">
        <v>408</v>
      </c>
    </row>
    <row r="6655" spans="1:79" s="392" customFormat="1" ht="15" x14ac:dyDescent="0.25">
      <c r="A6655" s="430"/>
      <c r="B6655" s="386"/>
      <c r="C6655" s="386"/>
      <c r="D6655" s="434"/>
      <c r="E6655" s="385"/>
      <c r="F6655" s="432"/>
      <c r="G6655" s="401"/>
      <c r="H6655" s="401">
        <v>6</v>
      </c>
      <c r="I6655" s="401"/>
      <c r="J6655" s="401"/>
      <c r="K6655" s="401"/>
      <c r="L6655" s="672"/>
      <c r="M6655" s="673">
        <v>32659</v>
      </c>
      <c r="N6655" s="624">
        <v>1.0157307899999999</v>
      </c>
      <c r="O6655" s="625">
        <v>5.9849413634266664E-2</v>
      </c>
      <c r="P6655" s="390">
        <v>2.8274620707314866</v>
      </c>
      <c r="Q6655" s="390">
        <v>8.5141417775500159</v>
      </c>
      <c r="R6655" s="390">
        <v>23.894765260248001</v>
      </c>
      <c r="S6655" s="390">
        <v>136.00000000000006</v>
      </c>
      <c r="T6655" s="388">
        <v>136.00000000000006</v>
      </c>
      <c r="U6655" s="388"/>
      <c r="V6655" s="391"/>
      <c r="W6655" s="391"/>
      <c r="X6655" s="391"/>
      <c r="Y6655" s="792"/>
      <c r="Z6655" s="388">
        <v>136</v>
      </c>
      <c r="AA6655" s="391">
        <v>23.894765260248001</v>
      </c>
      <c r="AB6655" s="404"/>
      <c r="AC6655" s="388"/>
      <c r="AD6655" s="388">
        <v>5.7911999999999999</v>
      </c>
      <c r="AE6655" s="388">
        <v>0.22860000000000003</v>
      </c>
      <c r="AF6655" s="388">
        <v>1.3238683200000001</v>
      </c>
      <c r="AG6655" s="391">
        <v>0.76504799999999995</v>
      </c>
      <c r="AH6655" s="393"/>
      <c r="AI6655" s="394"/>
      <c r="AJ6655" s="394"/>
      <c r="AK6655" s="394"/>
      <c r="AL6655" s="394"/>
      <c r="AM6655" s="394"/>
      <c r="AN6655" s="394"/>
      <c r="AO6655" s="394"/>
      <c r="AP6655" s="395"/>
      <c r="AQ6655" s="396"/>
      <c r="AR6655" s="396"/>
      <c r="AS6655" s="396"/>
      <c r="AT6655" s="396"/>
      <c r="AU6655" s="394"/>
      <c r="AV6655" s="394"/>
      <c r="AW6655" s="394"/>
      <c r="AX6655" s="394"/>
      <c r="AY6655" s="394"/>
      <c r="AZ6655" s="394"/>
      <c r="BA6655" s="394"/>
      <c r="BB6655" s="394"/>
      <c r="BC6655" s="394"/>
      <c r="BD6655" s="395"/>
      <c r="BE6655" s="397"/>
      <c r="BF6655" s="397"/>
      <c r="BG6655" s="397"/>
      <c r="BH6655" s="397"/>
      <c r="BI6655" s="397"/>
      <c r="BJ6655" s="397"/>
      <c r="BK6655" s="397"/>
      <c r="BL6655" s="397"/>
      <c r="BM6655" s="398"/>
      <c r="BN6655" s="398"/>
      <c r="BO6655" s="397"/>
      <c r="BP6655" s="398"/>
      <c r="BQ6655" s="398"/>
      <c r="BR6655" s="398"/>
      <c r="BS6655" s="397"/>
      <c r="BT6655" s="397"/>
      <c r="BU6655" s="397"/>
      <c r="BV6655" s="397"/>
      <c r="BW6655" s="397"/>
      <c r="BX6655" s="397"/>
      <c r="BY6655" s="397"/>
      <c r="CA6655" s="392" t="s">
        <v>408</v>
      </c>
    </row>
    <row r="6656" spans="1:79" s="392" customFormat="1" ht="15" x14ac:dyDescent="0.25">
      <c r="A6656" s="430"/>
      <c r="B6656" s="386"/>
      <c r="C6656" s="386"/>
      <c r="D6656" s="434"/>
      <c r="E6656" s="385"/>
      <c r="F6656" s="432"/>
      <c r="G6656" s="401"/>
      <c r="H6656" s="401">
        <v>6</v>
      </c>
      <c r="I6656" s="401"/>
      <c r="J6656" s="401"/>
      <c r="K6656" s="401"/>
      <c r="L6656" s="676"/>
      <c r="M6656" s="673" t="s">
        <v>900</v>
      </c>
      <c r="N6656" s="624">
        <v>0.92709858000000001</v>
      </c>
      <c r="O6656" s="625" t="e">
        <v>#DIV/0!</v>
      </c>
      <c r="P6656" s="390">
        <v>0</v>
      </c>
      <c r="Q6656" s="390">
        <v>0</v>
      </c>
      <c r="R6656" s="390">
        <v>0</v>
      </c>
      <c r="S6656" s="390">
        <v>0</v>
      </c>
      <c r="T6656" s="388">
        <v>0</v>
      </c>
      <c r="U6656" s="388"/>
      <c r="V6656" s="391"/>
      <c r="W6656" s="391"/>
      <c r="X6656" s="391"/>
      <c r="Y6656" s="792"/>
      <c r="Z6656" s="388">
        <v>0</v>
      </c>
      <c r="AA6656" s="391">
        <v>0</v>
      </c>
      <c r="AC6656" s="388"/>
      <c r="AD6656" s="388">
        <v>6.5532000000000004</v>
      </c>
      <c r="AE6656" s="388">
        <v>0.17983199999999999</v>
      </c>
      <c r="AF6656" s="388">
        <v>1.1784750624</v>
      </c>
      <c r="AG6656" s="391">
        <v>0.78638400000000008</v>
      </c>
      <c r="AH6656" s="385"/>
      <c r="AI6656" s="385"/>
      <c r="AJ6656" s="385"/>
      <c r="AK6656" s="385"/>
      <c r="AL6656" s="385"/>
      <c r="AM6656" s="385"/>
      <c r="AN6656" s="385"/>
      <c r="AO6656" s="385"/>
      <c r="AP6656" s="385"/>
      <c r="AQ6656" s="385"/>
      <c r="AR6656" s="385"/>
      <c r="AS6656" s="385"/>
      <c r="AT6656" s="385"/>
      <c r="AU6656" s="385"/>
      <c r="AV6656" s="385"/>
      <c r="AW6656" s="385"/>
      <c r="AX6656" s="385"/>
      <c r="AY6656" s="385"/>
      <c r="AZ6656" s="385"/>
      <c r="BA6656" s="385"/>
      <c r="BB6656" s="385"/>
      <c r="BC6656" s="385"/>
      <c r="BD6656" s="385"/>
      <c r="BE6656" s="397"/>
      <c r="BF6656" s="397"/>
      <c r="BG6656" s="397"/>
      <c r="BH6656" s="397"/>
      <c r="BI6656" s="397"/>
      <c r="BJ6656" s="397"/>
      <c r="BK6656" s="397"/>
      <c r="BL6656" s="397"/>
      <c r="BM6656" s="398"/>
      <c r="BN6656" s="398"/>
      <c r="BO6656" s="397"/>
      <c r="BP6656" s="398"/>
      <c r="BQ6656" s="398"/>
      <c r="BR6656" s="398"/>
      <c r="BS6656" s="397"/>
      <c r="BT6656" s="397"/>
      <c r="BU6656" s="397"/>
      <c r="BV6656" s="397"/>
      <c r="BW6656" s="397"/>
      <c r="BX6656" s="397"/>
      <c r="BY6656" s="397"/>
      <c r="CA6656" s="392" t="s">
        <v>408</v>
      </c>
    </row>
    <row r="6657" spans="1:79" s="392" customFormat="1" ht="15" x14ac:dyDescent="0.25">
      <c r="A6657" s="430"/>
      <c r="B6657" s="386"/>
      <c r="C6657" s="386"/>
      <c r="D6657" s="434"/>
      <c r="E6657" s="385"/>
      <c r="F6657" s="432"/>
      <c r="G6657" s="401"/>
      <c r="H6657" s="401">
        <v>6</v>
      </c>
      <c r="I6657" s="401"/>
      <c r="J6657" s="401"/>
      <c r="K6657" s="401"/>
      <c r="L6657" s="676"/>
      <c r="M6657" s="673">
        <v>32665</v>
      </c>
      <c r="N6657" s="624">
        <v>0.73256078999999996</v>
      </c>
      <c r="O6657" s="625">
        <v>8.273983451999999E-4</v>
      </c>
      <c r="P6657" s="390">
        <v>0.61835189776590149</v>
      </c>
      <c r="Q6657" s="390">
        <v>1.2441507390037274</v>
      </c>
      <c r="R6657" s="390">
        <v>1.8494506109192042</v>
      </c>
      <c r="S6657" s="390">
        <v>4.3287123054086214</v>
      </c>
      <c r="T6657" s="388">
        <v>7.9374708590650851</v>
      </c>
      <c r="U6657" s="388"/>
      <c r="V6657" s="391"/>
      <c r="W6657" s="391"/>
      <c r="X6657" s="391"/>
      <c r="Y6657" s="792"/>
      <c r="Z6657" s="388">
        <v>10</v>
      </c>
      <c r="AA6657" s="391">
        <v>1.8494506109192042</v>
      </c>
      <c r="AC6657" s="388"/>
      <c r="AD6657" s="388">
        <v>5.7911999999999999</v>
      </c>
      <c r="AE6657" s="388">
        <v>0.20421600000000001</v>
      </c>
      <c r="AF6657" s="388">
        <v>1.1826556992000001</v>
      </c>
      <c r="AG6657" s="391">
        <v>0.61569600000000002</v>
      </c>
      <c r="AH6657" s="385"/>
      <c r="AI6657" s="385"/>
      <c r="AJ6657" s="385"/>
      <c r="AK6657" s="385"/>
      <c r="AL6657" s="385"/>
      <c r="AM6657" s="385"/>
      <c r="AN6657" s="385"/>
      <c r="AO6657" s="385"/>
      <c r="AP6657" s="385"/>
      <c r="AQ6657" s="385"/>
      <c r="AR6657" s="385"/>
      <c r="AS6657" s="385"/>
      <c r="AT6657" s="385"/>
      <c r="AU6657" s="385"/>
      <c r="AV6657" s="385"/>
      <c r="AW6657" s="385"/>
      <c r="AX6657" s="385"/>
      <c r="AY6657" s="385"/>
      <c r="AZ6657" s="385"/>
      <c r="BA6657" s="385"/>
      <c r="BB6657" s="385"/>
      <c r="BC6657" s="385"/>
      <c r="BD6657" s="385"/>
      <c r="BE6657" s="397"/>
      <c r="BF6657" s="397"/>
      <c r="BG6657" s="397"/>
      <c r="BH6657" s="397"/>
      <c r="BI6657" s="397"/>
      <c r="BJ6657" s="397"/>
      <c r="BK6657" s="397"/>
      <c r="BL6657" s="397"/>
      <c r="BM6657" s="398"/>
      <c r="BN6657" s="398"/>
      <c r="BO6657" s="397"/>
      <c r="BP6657" s="398"/>
      <c r="BQ6657" s="398"/>
      <c r="BR6657" s="398"/>
      <c r="BS6657" s="397"/>
      <c r="BT6657" s="397"/>
      <c r="BU6657" s="397"/>
      <c r="BV6657" s="397"/>
      <c r="BW6657" s="397"/>
      <c r="BX6657" s="397"/>
      <c r="BY6657" s="397"/>
      <c r="CA6657" s="392" t="s">
        <v>408</v>
      </c>
    </row>
    <row r="6658" spans="1:79" s="392" customFormat="1" ht="15" x14ac:dyDescent="0.25">
      <c r="A6658" s="430"/>
      <c r="B6658" s="386"/>
      <c r="C6658" s="386"/>
      <c r="D6658" s="434"/>
      <c r="E6658" s="385"/>
      <c r="F6658" s="432"/>
      <c r="G6658" s="401"/>
      <c r="H6658" s="401">
        <v>6</v>
      </c>
      <c r="I6658" s="401"/>
      <c r="J6658" s="401"/>
      <c r="K6658" s="401"/>
      <c r="L6658" s="676"/>
      <c r="M6658" s="673" t="s">
        <v>901</v>
      </c>
      <c r="N6658" s="624">
        <v>0.63316812</v>
      </c>
      <c r="O6658" s="625">
        <v>1.8956628753333333E-4</v>
      </c>
      <c r="P6658" s="390">
        <v>0.54211343515070909</v>
      </c>
      <c r="Q6658" s="390">
        <v>1.007610108083369</v>
      </c>
      <c r="R6658" s="390">
        <v>1.4929077282912646</v>
      </c>
      <c r="S6658" s="390">
        <v>5.2414266594975798</v>
      </c>
      <c r="T6658" s="388">
        <v>7.046332180766929</v>
      </c>
      <c r="U6658" s="388"/>
      <c r="V6658" s="391"/>
      <c r="W6658" s="391"/>
      <c r="X6658" s="391"/>
      <c r="Y6658" s="792"/>
      <c r="Z6658" s="388">
        <v>8</v>
      </c>
      <c r="AA6658" s="391">
        <v>1.4929077282912646</v>
      </c>
      <c r="AC6658" s="388"/>
      <c r="AD6658" s="388">
        <v>6.3703199999999995</v>
      </c>
      <c r="AE6658" s="388">
        <v>0.176784</v>
      </c>
      <c r="AF6658" s="388">
        <v>1.1261706508799998</v>
      </c>
      <c r="AG6658" s="391">
        <v>0.560832</v>
      </c>
      <c r="AH6658" s="385"/>
      <c r="AI6658" s="385"/>
      <c r="AJ6658" s="385"/>
      <c r="AK6658" s="385"/>
      <c r="AL6658" s="385"/>
      <c r="AM6658" s="385"/>
      <c r="AN6658" s="385"/>
      <c r="AO6658" s="385"/>
      <c r="AP6658" s="385"/>
      <c r="AQ6658" s="385"/>
      <c r="AR6658" s="385"/>
      <c r="AS6658" s="385"/>
      <c r="AT6658" s="385"/>
      <c r="AU6658" s="385"/>
      <c r="AV6658" s="385"/>
      <c r="AW6658" s="385"/>
      <c r="AX6658" s="385"/>
      <c r="AY6658" s="385"/>
      <c r="AZ6658" s="385"/>
      <c r="BA6658" s="385"/>
      <c r="BB6658" s="385"/>
      <c r="BC6658" s="385"/>
      <c r="BD6658" s="385"/>
      <c r="BE6658" s="397"/>
      <c r="BF6658" s="397"/>
      <c r="BG6658" s="397"/>
      <c r="BH6658" s="397"/>
      <c r="BI6658" s="397"/>
      <c r="BJ6658" s="397"/>
      <c r="BK6658" s="397"/>
      <c r="BL6658" s="397"/>
      <c r="BM6658" s="398"/>
      <c r="BN6658" s="398"/>
      <c r="BO6658" s="397"/>
      <c r="BP6658" s="398"/>
      <c r="BQ6658" s="398"/>
      <c r="BR6658" s="398"/>
      <c r="BS6658" s="397"/>
      <c r="BT6658" s="397"/>
      <c r="BU6658" s="397"/>
      <c r="BV6658" s="397"/>
      <c r="BW6658" s="397"/>
      <c r="BX6658" s="397"/>
      <c r="BY6658" s="397"/>
      <c r="CA6658" s="392" t="s">
        <v>408</v>
      </c>
    </row>
    <row r="6659" spans="1:79" s="392" customFormat="1" ht="15" x14ac:dyDescent="0.25">
      <c r="A6659" s="430"/>
      <c r="B6659" s="386"/>
      <c r="C6659" s="386"/>
      <c r="D6659" s="434"/>
      <c r="E6659" s="385"/>
      <c r="F6659" s="432"/>
      <c r="G6659" s="401"/>
      <c r="H6659" s="401">
        <v>6</v>
      </c>
      <c r="I6659" s="401"/>
      <c r="J6659" s="401"/>
      <c r="K6659" s="401"/>
      <c r="L6659" s="676"/>
      <c r="M6659" s="673" t="s">
        <v>902</v>
      </c>
      <c r="N6659" s="624">
        <v>0.75181635000000002</v>
      </c>
      <c r="O6659" s="625">
        <v>1.3971972055999999E-3</v>
      </c>
      <c r="P6659" s="390">
        <v>0.81332550547600657</v>
      </c>
      <c r="Q6659" s="390">
        <v>1.7765324479639282</v>
      </c>
      <c r="R6659" s="390">
        <v>2.7143617905566311</v>
      </c>
      <c r="S6659" s="390">
        <v>9.1978937550198356</v>
      </c>
      <c r="T6659" s="388">
        <v>18.50916299522159</v>
      </c>
      <c r="U6659" s="388"/>
      <c r="V6659" s="391"/>
      <c r="W6659" s="391"/>
      <c r="X6659" s="391"/>
      <c r="Y6659" s="792"/>
      <c r="Z6659" s="388">
        <v>17</v>
      </c>
      <c r="AA6659" s="391">
        <v>2.7143617905566311</v>
      </c>
      <c r="AC6659" s="388"/>
      <c r="AD6659" s="388">
        <v>6.4008000000000003</v>
      </c>
      <c r="AE6659" s="388">
        <v>0.176784</v>
      </c>
      <c r="AF6659" s="388">
        <v>1.1315590272</v>
      </c>
      <c r="AG6659" s="391">
        <v>0.65836800000000006</v>
      </c>
      <c r="AH6659" s="385"/>
      <c r="AI6659" s="385"/>
      <c r="AJ6659" s="385"/>
      <c r="AK6659" s="385"/>
      <c r="AL6659" s="385"/>
      <c r="AM6659" s="385"/>
      <c r="AN6659" s="385"/>
      <c r="AO6659" s="385"/>
      <c r="AP6659" s="385"/>
      <c r="AQ6659" s="385"/>
      <c r="AR6659" s="385"/>
      <c r="AS6659" s="385"/>
      <c r="AT6659" s="385"/>
      <c r="AU6659" s="385"/>
      <c r="AV6659" s="385"/>
      <c r="AW6659" s="385"/>
      <c r="AX6659" s="385"/>
      <c r="AY6659" s="385"/>
      <c r="AZ6659" s="385"/>
      <c r="BA6659" s="385"/>
      <c r="BB6659" s="385"/>
      <c r="BC6659" s="385"/>
      <c r="BD6659" s="385"/>
      <c r="BE6659" s="397"/>
      <c r="BF6659" s="397"/>
      <c r="BG6659" s="397"/>
      <c r="BH6659" s="397"/>
      <c r="BI6659" s="397"/>
      <c r="BJ6659" s="397"/>
      <c r="BK6659" s="397"/>
      <c r="BL6659" s="397"/>
      <c r="BM6659" s="398"/>
      <c r="BN6659" s="398"/>
      <c r="BO6659" s="397"/>
      <c r="BP6659" s="398"/>
      <c r="BQ6659" s="398"/>
      <c r="BR6659" s="398"/>
      <c r="BS6659" s="397"/>
      <c r="BT6659" s="397"/>
      <c r="BU6659" s="397"/>
      <c r="BV6659" s="397"/>
      <c r="BW6659" s="397"/>
      <c r="BX6659" s="397"/>
      <c r="BY6659" s="397"/>
      <c r="CA6659" s="392" t="s">
        <v>408</v>
      </c>
    </row>
    <row r="6660" spans="1:79" s="392" customFormat="1" ht="15" x14ac:dyDescent="0.25">
      <c r="A6660" s="430"/>
      <c r="B6660" s="386"/>
      <c r="C6660" s="386"/>
      <c r="D6660" s="434"/>
      <c r="E6660" s="385"/>
      <c r="F6660" s="432"/>
      <c r="G6660" s="401"/>
      <c r="H6660" s="401">
        <v>6</v>
      </c>
      <c r="I6660" s="401"/>
      <c r="J6660" s="401"/>
      <c r="K6660" s="401"/>
      <c r="L6660" s="676"/>
      <c r="M6660" s="673" t="s">
        <v>903</v>
      </c>
      <c r="N6660" s="624">
        <v>0.73256078999999996</v>
      </c>
      <c r="O6660" s="625">
        <v>2.7145945708E-3</v>
      </c>
      <c r="P6660" s="390">
        <v>0.80729363019623113</v>
      </c>
      <c r="Q6660" s="390">
        <v>1.6097692839403943</v>
      </c>
      <c r="R6660" s="390">
        <v>2.5104083880596275</v>
      </c>
      <c r="S6660" s="390">
        <v>7.7272767572275445</v>
      </c>
      <c r="T6660" s="388">
        <v>12.926727998907808</v>
      </c>
      <c r="U6660" s="388"/>
      <c r="V6660" s="391"/>
      <c r="W6660" s="391"/>
      <c r="X6660" s="391"/>
      <c r="Y6660" s="792"/>
      <c r="Z6660" s="388">
        <v>15</v>
      </c>
      <c r="AA6660" s="391">
        <v>2.5104083880596275</v>
      </c>
      <c r="AC6660" s="388"/>
      <c r="AD6660" s="388">
        <v>6.4008000000000003</v>
      </c>
      <c r="AE6660" s="388">
        <v>0.18592800000000001</v>
      </c>
      <c r="AF6660" s="388">
        <v>1.1900879424000002</v>
      </c>
      <c r="AG6660" s="391">
        <v>0.61569600000000002</v>
      </c>
      <c r="AH6660" s="385"/>
      <c r="AI6660" s="385"/>
      <c r="AJ6660" s="385"/>
      <c r="AK6660" s="385"/>
      <c r="AL6660" s="385"/>
      <c r="AM6660" s="385"/>
      <c r="AN6660" s="385"/>
      <c r="AO6660" s="385"/>
      <c r="AP6660" s="385"/>
      <c r="AQ6660" s="385"/>
      <c r="AR6660" s="385"/>
      <c r="AS6660" s="385"/>
      <c r="AT6660" s="385"/>
      <c r="AU6660" s="385"/>
      <c r="AV6660" s="385"/>
      <c r="AW6660" s="385"/>
      <c r="AX6660" s="385"/>
      <c r="AY6660" s="385"/>
      <c r="AZ6660" s="385"/>
      <c r="BA6660" s="385"/>
      <c r="BB6660" s="385"/>
      <c r="BC6660" s="385"/>
      <c r="BD6660" s="385"/>
      <c r="BE6660" s="397"/>
      <c r="BF6660" s="397"/>
      <c r="BG6660" s="397"/>
      <c r="BH6660" s="397"/>
      <c r="BI6660" s="397"/>
      <c r="BJ6660" s="397"/>
      <c r="BK6660" s="397"/>
      <c r="BL6660" s="397"/>
      <c r="BM6660" s="398"/>
      <c r="BN6660" s="398"/>
      <c r="BO6660" s="397"/>
      <c r="BP6660" s="398"/>
      <c r="BQ6660" s="398"/>
      <c r="BR6660" s="398"/>
      <c r="BS6660" s="397"/>
      <c r="BT6660" s="397"/>
      <c r="BU6660" s="397"/>
      <c r="BV6660" s="397"/>
      <c r="BW6660" s="397"/>
      <c r="BX6660" s="397"/>
      <c r="BY6660" s="397"/>
      <c r="CA6660" s="392" t="s">
        <v>408</v>
      </c>
    </row>
    <row r="6661" spans="1:79" s="392" customFormat="1" ht="15" x14ac:dyDescent="0.25">
      <c r="A6661" s="430"/>
      <c r="B6661" s="386"/>
      <c r="C6661" s="386"/>
      <c r="D6661" s="434"/>
      <c r="E6661" s="385"/>
      <c r="F6661" s="432"/>
      <c r="G6661" s="401"/>
      <c r="H6661" s="401">
        <v>6</v>
      </c>
      <c r="I6661" s="401"/>
      <c r="J6661" s="401"/>
      <c r="K6661" s="401"/>
      <c r="L6661" s="676"/>
      <c r="M6661" s="673" t="s">
        <v>904</v>
      </c>
      <c r="N6661" s="624">
        <v>1.06670139</v>
      </c>
      <c r="O6661" s="625">
        <v>1.5358302616666666E-2</v>
      </c>
      <c r="P6661" s="390">
        <v>0.89236126537976612</v>
      </c>
      <c r="Q6661" s="390">
        <v>2.0248571624002429</v>
      </c>
      <c r="R6661" s="390">
        <v>3.0754637654004768</v>
      </c>
      <c r="S6661" s="390">
        <v>8.7323311766143643</v>
      </c>
      <c r="T6661" s="388">
        <v>14.703655030616501</v>
      </c>
      <c r="U6661" s="388"/>
      <c r="V6661" s="391"/>
      <c r="W6661" s="391"/>
      <c r="X6661" s="391"/>
      <c r="Y6661" s="792"/>
      <c r="Z6661" s="388">
        <v>21</v>
      </c>
      <c r="AA6661" s="391">
        <v>3.0754637654004768</v>
      </c>
      <c r="AC6661" s="388"/>
      <c r="AD6661" s="388">
        <v>6.5836800000000011</v>
      </c>
      <c r="AE6661" s="388">
        <v>0.20726400000000003</v>
      </c>
      <c r="AF6661" s="388">
        <v>1.3645598515200004</v>
      </c>
      <c r="AG6661" s="391">
        <v>0.78638400000000008</v>
      </c>
      <c r="AH6661" s="386"/>
      <c r="AI6661" s="385"/>
      <c r="AJ6661" s="385"/>
      <c r="AK6661" s="385"/>
      <c r="AL6661" s="385"/>
      <c r="AM6661" s="385"/>
      <c r="AN6661" s="385"/>
      <c r="AO6661" s="385"/>
      <c r="AP6661" s="385"/>
      <c r="AQ6661" s="386"/>
      <c r="AR6661" s="386"/>
      <c r="AS6661" s="386"/>
      <c r="AT6661" s="386"/>
      <c r="AU6661" s="385"/>
      <c r="AV6661" s="385"/>
      <c r="AW6661" s="385"/>
      <c r="AX6661" s="385"/>
      <c r="AY6661" s="385"/>
      <c r="AZ6661" s="385"/>
      <c r="BA6661" s="385"/>
      <c r="BB6661" s="385"/>
      <c r="BC6661" s="385"/>
      <c r="BD6661" s="385"/>
      <c r="BE6661" s="397"/>
      <c r="BF6661" s="397"/>
      <c r="BG6661" s="397"/>
      <c r="BH6661" s="397"/>
      <c r="BI6661" s="397"/>
      <c r="BJ6661" s="397"/>
      <c r="BK6661" s="397"/>
      <c r="BL6661" s="397"/>
      <c r="BM6661" s="398"/>
      <c r="BN6661" s="398"/>
      <c r="BO6661" s="397"/>
      <c r="BP6661" s="398"/>
      <c r="BQ6661" s="398"/>
      <c r="BR6661" s="398"/>
      <c r="BS6661" s="397"/>
      <c r="BT6661" s="397"/>
      <c r="BU6661" s="397"/>
      <c r="BV6661" s="397"/>
      <c r="BW6661" s="397"/>
      <c r="BX6661" s="397"/>
      <c r="BY6661" s="397"/>
      <c r="CA6661" s="392" t="s">
        <v>408</v>
      </c>
    </row>
    <row r="6662" spans="1:79" s="392" customFormat="1" ht="15" x14ac:dyDescent="0.25">
      <c r="A6662" s="430"/>
      <c r="B6662" s="386"/>
      <c r="C6662" s="386"/>
      <c r="D6662" s="434"/>
      <c r="E6662" s="385"/>
      <c r="F6662" s="432"/>
      <c r="G6662" s="401"/>
      <c r="H6662" s="401">
        <v>6</v>
      </c>
      <c r="I6662" s="401"/>
      <c r="J6662" s="401"/>
      <c r="K6662" s="401"/>
      <c r="L6662" s="676"/>
      <c r="M6662" s="673" t="s">
        <v>905</v>
      </c>
      <c r="N6662" s="624">
        <v>0.80618498999999988</v>
      </c>
      <c r="O6662" s="625">
        <v>6.6642366714999993E-3</v>
      </c>
      <c r="P6662" s="390">
        <v>0.79660727454836455</v>
      </c>
      <c r="Q6662" s="390">
        <v>1.6413899588387926</v>
      </c>
      <c r="R6662" s="390">
        <v>2.5916390174699155</v>
      </c>
      <c r="S6662" s="390">
        <v>7.4429503133185824</v>
      </c>
      <c r="T6662" s="388">
        <v>12.633568779027369</v>
      </c>
      <c r="U6662" s="388"/>
      <c r="V6662" s="391"/>
      <c r="W6662" s="391"/>
      <c r="X6662" s="391"/>
      <c r="Y6662" s="792"/>
      <c r="Z6662" s="388">
        <v>19</v>
      </c>
      <c r="AA6662" s="391">
        <v>2.5916390174699155</v>
      </c>
      <c r="AC6662" s="388"/>
      <c r="AD6662" s="388">
        <v>6.5227199999999996</v>
      </c>
      <c r="AE6662" s="388">
        <v>0.17983199999999999</v>
      </c>
      <c r="AF6662" s="388">
        <v>1.1729937830399999</v>
      </c>
      <c r="AG6662" s="391">
        <v>0.68884800000000002</v>
      </c>
      <c r="AH6662" s="397"/>
      <c r="AQ6662" s="397"/>
      <c r="AR6662" s="397"/>
      <c r="AS6662" s="397"/>
      <c r="AT6662" s="397"/>
      <c r="BE6662" s="397"/>
      <c r="BF6662" s="397"/>
      <c r="BG6662" s="397"/>
      <c r="BH6662" s="397"/>
      <c r="BI6662" s="397"/>
      <c r="BJ6662" s="397"/>
      <c r="BK6662" s="397"/>
      <c r="BL6662" s="397"/>
      <c r="BM6662" s="398"/>
      <c r="BN6662" s="398"/>
      <c r="BO6662" s="397"/>
      <c r="BP6662" s="398"/>
      <c r="BQ6662" s="398"/>
      <c r="BR6662" s="398"/>
      <c r="BS6662" s="397"/>
      <c r="BT6662" s="397"/>
      <c r="BU6662" s="397"/>
      <c r="BV6662" s="397"/>
      <c r="BW6662" s="397"/>
      <c r="BX6662" s="397"/>
      <c r="BY6662" s="397"/>
      <c r="CA6662" s="392" t="s">
        <v>408</v>
      </c>
    </row>
    <row r="6663" spans="1:79" s="392" customFormat="1" ht="15" x14ac:dyDescent="0.25">
      <c r="A6663" s="430"/>
      <c r="B6663" s="386"/>
      <c r="C6663" s="386"/>
      <c r="D6663" s="434"/>
      <c r="E6663" s="385"/>
      <c r="F6663" s="432"/>
      <c r="G6663" s="401"/>
      <c r="H6663" s="401">
        <v>6</v>
      </c>
      <c r="I6663" s="401"/>
      <c r="J6663" s="401"/>
      <c r="K6663" s="401"/>
      <c r="L6663" s="676"/>
      <c r="M6663" s="673" t="s">
        <v>906</v>
      </c>
      <c r="N6663" s="624">
        <v>0.81609593999999996</v>
      </c>
      <c r="O6663" s="625">
        <v>5.6579053508333333E-3</v>
      </c>
      <c r="P6663" s="390">
        <v>0.8297168884746664</v>
      </c>
      <c r="Q6663" s="390">
        <v>1.690624983738819</v>
      </c>
      <c r="R6663" s="390">
        <v>2.6689625639957222</v>
      </c>
      <c r="S6663" s="390">
        <v>9.1272542595014592</v>
      </c>
      <c r="T6663" s="388">
        <v>17.95306977908897</v>
      </c>
      <c r="U6663" s="388"/>
      <c r="V6663" s="391"/>
      <c r="W6663" s="391"/>
      <c r="X6663" s="391"/>
      <c r="Y6663" s="792"/>
      <c r="Z6663" s="388">
        <v>23</v>
      </c>
      <c r="AA6663" s="391">
        <v>2.6689625639957222</v>
      </c>
      <c r="AC6663" s="388"/>
      <c r="AD6663" s="388">
        <v>6.5227199999999996</v>
      </c>
      <c r="AE6663" s="388">
        <v>0.16764000000000001</v>
      </c>
      <c r="AF6663" s="388">
        <v>1.0934687808000001</v>
      </c>
      <c r="AG6663" s="391">
        <v>0.75285600000000008</v>
      </c>
      <c r="AH6663" s="397"/>
      <c r="AQ6663" s="397"/>
      <c r="AR6663" s="397"/>
      <c r="AS6663" s="397"/>
      <c r="AT6663" s="397"/>
      <c r="BE6663" s="397"/>
      <c r="BF6663" s="397"/>
      <c r="BG6663" s="397"/>
      <c r="BH6663" s="397"/>
      <c r="BI6663" s="397"/>
      <c r="BJ6663" s="397"/>
      <c r="BK6663" s="397"/>
      <c r="BL6663" s="397"/>
      <c r="BM6663" s="398"/>
      <c r="BN6663" s="398"/>
      <c r="BO6663" s="397"/>
      <c r="BP6663" s="398"/>
      <c r="BQ6663" s="398"/>
      <c r="BR6663" s="398"/>
      <c r="BS6663" s="397"/>
      <c r="BT6663" s="397"/>
      <c r="BU6663" s="397"/>
      <c r="BV6663" s="397"/>
      <c r="BW6663" s="397"/>
      <c r="BX6663" s="397"/>
      <c r="BY6663" s="397"/>
      <c r="CA6663" s="392" t="s">
        <v>408</v>
      </c>
    </row>
    <row r="6664" spans="1:79" s="392" customFormat="1" ht="15" x14ac:dyDescent="0.25">
      <c r="A6664" s="430"/>
      <c r="B6664" s="386"/>
      <c r="C6664" s="386"/>
      <c r="D6664" s="434"/>
      <c r="E6664" s="385"/>
      <c r="F6664" s="432"/>
      <c r="G6664" s="401"/>
      <c r="H6664" s="401">
        <v>6</v>
      </c>
      <c r="I6664" s="401"/>
      <c r="J6664" s="401"/>
      <c r="K6664" s="401"/>
      <c r="L6664" s="676"/>
      <c r="M6664" s="673">
        <v>32673</v>
      </c>
      <c r="N6664" s="624">
        <v>0.80618498999999988</v>
      </c>
      <c r="O6664" s="625">
        <v>6.4124871750000003E-4</v>
      </c>
      <c r="P6664" s="390">
        <v>0.44975842824675377</v>
      </c>
      <c r="Q6664" s="390">
        <v>1.099332578132751</v>
      </c>
      <c r="R6664" s="390">
        <v>1.7938052346965776</v>
      </c>
      <c r="S6664" s="390">
        <v>4.9299886550769303</v>
      </c>
      <c r="T6664" s="388">
        <v>9.2687464620957325</v>
      </c>
      <c r="U6664" s="388"/>
      <c r="V6664" s="391"/>
      <c r="W6664" s="391"/>
      <c r="X6664" s="391"/>
      <c r="Y6664" s="792"/>
      <c r="Z6664" s="388">
        <v>11</v>
      </c>
      <c r="AA6664" s="391">
        <v>1.7938052346965776</v>
      </c>
      <c r="AC6664" s="388"/>
      <c r="AD6664" s="388">
        <v>6.5227199999999996</v>
      </c>
      <c r="AE6664" s="388">
        <v>0.17983199999999999</v>
      </c>
      <c r="AF6664" s="388">
        <v>1.1729937830399999</v>
      </c>
      <c r="AG6664" s="391">
        <v>0.68884800000000002</v>
      </c>
      <c r="AH6664" s="397"/>
      <c r="AQ6664" s="397"/>
      <c r="AR6664" s="397"/>
      <c r="AS6664" s="397"/>
      <c r="AT6664" s="397"/>
      <c r="BE6664" s="397"/>
      <c r="BF6664" s="397"/>
      <c r="BG6664" s="397"/>
      <c r="BH6664" s="397"/>
      <c r="BI6664" s="397"/>
      <c r="BJ6664" s="397"/>
      <c r="BK6664" s="397"/>
      <c r="BL6664" s="397"/>
      <c r="BM6664" s="398"/>
      <c r="BN6664" s="398"/>
      <c r="BO6664" s="397"/>
      <c r="BP6664" s="398"/>
      <c r="BQ6664" s="398"/>
      <c r="BR6664" s="398"/>
      <c r="BS6664" s="397"/>
      <c r="BT6664" s="397"/>
      <c r="BU6664" s="397"/>
      <c r="BV6664" s="397"/>
      <c r="BW6664" s="397"/>
      <c r="BX6664" s="397"/>
      <c r="BY6664" s="397"/>
      <c r="CA6664" s="392" t="s">
        <v>408</v>
      </c>
    </row>
    <row r="6665" spans="1:79" s="392" customFormat="1" ht="15" x14ac:dyDescent="0.25">
      <c r="A6665" s="430"/>
      <c r="B6665" s="386"/>
      <c r="C6665" s="386"/>
      <c r="D6665" s="434"/>
      <c r="E6665" s="385"/>
      <c r="F6665" s="432"/>
      <c r="G6665" s="401"/>
      <c r="H6665" s="401">
        <v>6</v>
      </c>
      <c r="I6665" s="401"/>
      <c r="J6665" s="401"/>
      <c r="K6665" s="401"/>
      <c r="L6665" s="676"/>
      <c r="M6665" s="673" t="s">
        <v>907</v>
      </c>
      <c r="N6665" s="624">
        <v>0.80165426999999989</v>
      </c>
      <c r="O6665" s="625">
        <v>5.2309728713666659E-3</v>
      </c>
      <c r="P6665" s="390">
        <v>0.95842043227649676</v>
      </c>
      <c r="Q6665" s="390">
        <v>1.9900048986027306</v>
      </c>
      <c r="R6665" s="390">
        <v>3.0316791885950845</v>
      </c>
      <c r="S6665" s="390">
        <v>10.04320989310569</v>
      </c>
      <c r="T6665" s="388">
        <v>26.717047899791659</v>
      </c>
      <c r="U6665" s="388"/>
      <c r="V6665" s="391"/>
      <c r="W6665" s="391"/>
      <c r="X6665" s="391"/>
      <c r="Y6665" s="792"/>
      <c r="Z6665" s="388">
        <v>31</v>
      </c>
      <c r="AA6665" s="391">
        <v>3.0316791885950845</v>
      </c>
      <c r="AC6665" s="388"/>
      <c r="AD6665" s="388">
        <v>6.6446400000000008</v>
      </c>
      <c r="AE6665" s="388">
        <v>0.176784</v>
      </c>
      <c r="AF6665" s="388">
        <v>1.17466603776</v>
      </c>
      <c r="AG6665" s="391">
        <v>0.67665600000000015</v>
      </c>
      <c r="AH6665" s="397"/>
      <c r="AQ6665" s="397"/>
      <c r="AR6665" s="397"/>
      <c r="AS6665" s="397"/>
      <c r="AT6665" s="397"/>
      <c r="BE6665" s="397"/>
      <c r="BF6665" s="397"/>
      <c r="BG6665" s="397"/>
      <c r="BH6665" s="397"/>
      <c r="BI6665" s="397"/>
      <c r="BJ6665" s="397"/>
      <c r="BK6665" s="397"/>
      <c r="BL6665" s="397"/>
      <c r="BM6665" s="398"/>
      <c r="BN6665" s="398"/>
      <c r="BO6665" s="397"/>
      <c r="BP6665" s="398"/>
      <c r="BQ6665" s="398"/>
      <c r="BR6665" s="398"/>
      <c r="BS6665" s="397"/>
      <c r="BT6665" s="397"/>
      <c r="BU6665" s="397"/>
      <c r="BV6665" s="397"/>
      <c r="BW6665" s="397"/>
      <c r="BX6665" s="397"/>
      <c r="BY6665" s="397"/>
      <c r="CA6665" s="392" t="s">
        <v>408</v>
      </c>
    </row>
    <row r="6666" spans="1:79" s="392" customFormat="1" ht="15" x14ac:dyDescent="0.25">
      <c r="A6666" s="430"/>
      <c r="B6666" s="386"/>
      <c r="C6666" s="386"/>
      <c r="D6666" s="434"/>
      <c r="E6666" s="385"/>
      <c r="F6666" s="432"/>
      <c r="G6666" s="401"/>
      <c r="H6666" s="401">
        <v>6</v>
      </c>
      <c r="I6666" s="401"/>
      <c r="J6666" s="401"/>
      <c r="K6666" s="401"/>
      <c r="L6666" s="676"/>
      <c r="M6666" s="673" t="s">
        <v>908</v>
      </c>
      <c r="N6666" s="624">
        <v>0.95909678999999992</v>
      </c>
      <c r="O6666" s="625">
        <v>1.9413211173499995E-2</v>
      </c>
      <c r="P6666" s="390">
        <v>1.1146361588991871</v>
      </c>
      <c r="Q6666" s="390">
        <v>2.1119251327786057</v>
      </c>
      <c r="R6666" s="390">
        <v>3.0846599168723343</v>
      </c>
      <c r="S6666" s="390">
        <v>8.3476414755979444</v>
      </c>
      <c r="T6666" s="388">
        <v>16.046701897401494</v>
      </c>
      <c r="U6666" s="388"/>
      <c r="V6666" s="391"/>
      <c r="W6666" s="391"/>
      <c r="X6666" s="391"/>
      <c r="Y6666" s="792"/>
      <c r="Z6666" s="388">
        <v>32</v>
      </c>
      <c r="AA6666" s="391">
        <v>3.0846599168723343</v>
      </c>
      <c r="AC6666" s="388"/>
      <c r="AD6666" s="388">
        <v>6.6446400000000008</v>
      </c>
      <c r="AE6666" s="388">
        <v>0.19812000000000002</v>
      </c>
      <c r="AF6666" s="388">
        <v>1.3164360768000003</v>
      </c>
      <c r="AG6666" s="391">
        <v>0.73152000000000006</v>
      </c>
      <c r="AH6666" s="397"/>
      <c r="AQ6666" s="397"/>
      <c r="AR6666" s="397"/>
      <c r="AS6666" s="397"/>
      <c r="AT6666" s="397"/>
      <c r="BE6666" s="397"/>
      <c r="BF6666" s="397"/>
      <c r="BG6666" s="397"/>
      <c r="BH6666" s="397"/>
      <c r="BI6666" s="397"/>
      <c r="BJ6666" s="397"/>
      <c r="BK6666" s="397"/>
      <c r="BL6666" s="397"/>
      <c r="BM6666" s="398"/>
      <c r="BN6666" s="398"/>
      <c r="BO6666" s="397"/>
      <c r="BP6666" s="398"/>
      <c r="BQ6666" s="398"/>
      <c r="BR6666" s="398"/>
      <c r="BS6666" s="397"/>
      <c r="BT6666" s="397"/>
      <c r="BU6666" s="397"/>
      <c r="BV6666" s="397"/>
      <c r="BW6666" s="397"/>
      <c r="BX6666" s="397"/>
      <c r="BY6666" s="397"/>
      <c r="CA6666" s="392" t="s">
        <v>408</v>
      </c>
    </row>
    <row r="6667" spans="1:79" s="392" customFormat="1" ht="15" x14ac:dyDescent="0.25">
      <c r="A6667" s="430"/>
      <c r="B6667" s="386"/>
      <c r="C6667" s="386"/>
      <c r="D6667" s="434"/>
      <c r="E6667" s="385"/>
      <c r="F6667" s="432"/>
      <c r="G6667" s="401"/>
      <c r="H6667" s="401">
        <v>6</v>
      </c>
      <c r="I6667" s="401"/>
      <c r="J6667" s="401"/>
      <c r="K6667" s="401"/>
      <c r="L6667" s="676"/>
      <c r="M6667" s="673" t="s">
        <v>909</v>
      </c>
      <c r="N6667" s="624">
        <v>1.0157307899999999</v>
      </c>
      <c r="O6667" s="625">
        <v>1.3180873638200001E-2</v>
      </c>
      <c r="P6667" s="390">
        <v>1.5579490281585853</v>
      </c>
      <c r="Q6667" s="390">
        <v>4.0460493454847155</v>
      </c>
      <c r="R6667" s="390">
        <v>7.34352732742434</v>
      </c>
      <c r="S6667" s="390">
        <v>32.374554849367172</v>
      </c>
      <c r="T6667" s="388">
        <v>40.599650263575285</v>
      </c>
      <c r="U6667" s="388"/>
      <c r="V6667" s="391"/>
      <c r="W6667" s="391"/>
      <c r="X6667" s="391"/>
      <c r="Y6667" s="792"/>
      <c r="Z6667" s="388">
        <v>45</v>
      </c>
      <c r="AA6667" s="391">
        <v>7.34352732742434</v>
      </c>
      <c r="AC6667" s="388"/>
      <c r="AD6667" s="388">
        <v>6.6751199999999997</v>
      </c>
      <c r="AE6667" s="388">
        <v>0.19812000000000002</v>
      </c>
      <c r="AF6667" s="388">
        <v>1.3224747744000001</v>
      </c>
      <c r="AG6667" s="391">
        <v>0.76504799999999995</v>
      </c>
      <c r="AH6667" s="397"/>
      <c r="AQ6667" s="397"/>
      <c r="AR6667" s="397"/>
      <c r="AS6667" s="397"/>
      <c r="AT6667" s="397"/>
      <c r="BE6667" s="397"/>
      <c r="BF6667" s="397"/>
      <c r="BG6667" s="397"/>
      <c r="BH6667" s="397"/>
      <c r="BI6667" s="397"/>
      <c r="BJ6667" s="397"/>
      <c r="BK6667" s="397"/>
      <c r="BL6667" s="397"/>
      <c r="BM6667" s="398"/>
      <c r="BN6667" s="398"/>
      <c r="BO6667" s="397"/>
      <c r="BP6667" s="398"/>
      <c r="BQ6667" s="398"/>
      <c r="BR6667" s="398"/>
      <c r="BS6667" s="397"/>
      <c r="BT6667" s="397"/>
      <c r="BU6667" s="397"/>
      <c r="BV6667" s="397"/>
      <c r="BW6667" s="397"/>
      <c r="BX6667" s="397"/>
      <c r="BY6667" s="397"/>
      <c r="CA6667" s="392" t="s">
        <v>408</v>
      </c>
    </row>
    <row r="6668" spans="1:79" s="392" customFormat="1" ht="15" x14ac:dyDescent="0.25">
      <c r="A6668" s="430"/>
      <c r="B6668" s="386"/>
      <c r="C6668" s="386"/>
      <c r="D6668" s="434"/>
      <c r="E6668" s="385"/>
      <c r="F6668" s="432"/>
      <c r="G6668" s="401"/>
      <c r="H6668" s="401">
        <v>6</v>
      </c>
      <c r="I6668" s="401"/>
      <c r="J6668" s="401"/>
      <c r="K6668" s="401"/>
      <c r="L6668" s="676"/>
      <c r="M6668" s="673">
        <v>32677</v>
      </c>
      <c r="N6668" s="624">
        <v>0.95909678999999992</v>
      </c>
      <c r="O6668" s="625">
        <v>6.8930362138999992E-3</v>
      </c>
      <c r="P6668" s="390">
        <v>1.1030968675135246</v>
      </c>
      <c r="Q6668" s="390">
        <v>2.7120596103730699</v>
      </c>
      <c r="R6668" s="390">
        <v>4.5715056748929541</v>
      </c>
      <c r="S6668" s="390">
        <v>20.126366923054817</v>
      </c>
      <c r="T6668" s="388">
        <v>34.931587161626624</v>
      </c>
      <c r="U6668" s="388"/>
      <c r="V6668" s="391"/>
      <c r="W6668" s="391"/>
      <c r="X6668" s="391"/>
      <c r="Y6668" s="792"/>
      <c r="Z6668" s="388">
        <v>37</v>
      </c>
      <c r="AA6668" s="391">
        <v>4.5715056748929541</v>
      </c>
      <c r="AC6668" s="388"/>
      <c r="AD6668" s="388">
        <v>6.5532000000000004</v>
      </c>
      <c r="AE6668" s="388">
        <v>0.20116800000000001</v>
      </c>
      <c r="AF6668" s="388">
        <v>1.3182941376000001</v>
      </c>
      <c r="AG6668" s="391">
        <v>0.73152000000000006</v>
      </c>
      <c r="AH6668" s="397"/>
      <c r="AQ6668" s="397"/>
      <c r="AR6668" s="397"/>
      <c r="AS6668" s="397"/>
      <c r="AT6668" s="397"/>
      <c r="BE6668" s="397"/>
      <c r="BF6668" s="397"/>
      <c r="BG6668" s="397"/>
      <c r="BH6668" s="397"/>
      <c r="BI6668" s="397"/>
      <c r="BJ6668" s="397"/>
      <c r="BK6668" s="397"/>
      <c r="BL6668" s="397"/>
      <c r="BM6668" s="398"/>
      <c r="BN6668" s="398"/>
      <c r="BO6668" s="397"/>
      <c r="BP6668" s="398"/>
      <c r="BQ6668" s="398"/>
      <c r="BR6668" s="398"/>
      <c r="BS6668" s="397"/>
      <c r="BT6668" s="397"/>
      <c r="BU6668" s="397"/>
      <c r="BV6668" s="397"/>
      <c r="BW6668" s="397"/>
      <c r="BX6668" s="397"/>
      <c r="BY6668" s="397"/>
      <c r="CA6668" s="392" t="s">
        <v>408</v>
      </c>
    </row>
    <row r="6669" spans="1:79" s="392" customFormat="1" ht="15" x14ac:dyDescent="0.25">
      <c r="A6669" s="430"/>
      <c r="B6669" s="386"/>
      <c r="C6669" s="386"/>
      <c r="D6669" s="434"/>
      <c r="E6669" s="385"/>
      <c r="F6669" s="432"/>
      <c r="G6669" s="401"/>
      <c r="H6669" s="401">
        <v>6</v>
      </c>
      <c r="I6669" s="401"/>
      <c r="J6669" s="401"/>
      <c r="K6669" s="401"/>
      <c r="L6669" s="676"/>
      <c r="M6669" s="673">
        <v>32678</v>
      </c>
      <c r="N6669" s="624">
        <v>0.90727667999999995</v>
      </c>
      <c r="O6669" s="625">
        <v>3.7767074465699997E-2</v>
      </c>
      <c r="P6669" s="390">
        <v>1.1230061517894603</v>
      </c>
      <c r="Q6669" s="390">
        <v>2.4641087186665436</v>
      </c>
      <c r="R6669" s="390">
        <v>4.1440384288663692</v>
      </c>
      <c r="S6669" s="390">
        <v>19.140182144119628</v>
      </c>
      <c r="T6669" s="388">
        <v>50.000000000000014</v>
      </c>
      <c r="U6669" s="388"/>
      <c r="V6669" s="391"/>
      <c r="W6669" s="391"/>
      <c r="X6669" s="391"/>
      <c r="Y6669" s="792"/>
      <c r="Z6669" s="388">
        <v>50</v>
      </c>
      <c r="AA6669" s="391">
        <v>4.1440384288663692</v>
      </c>
      <c r="AC6669" s="388"/>
      <c r="AD6669" s="388">
        <v>6.61416</v>
      </c>
      <c r="AE6669" s="388">
        <v>0.19812000000000002</v>
      </c>
      <c r="AF6669" s="388">
        <v>1.3103973792000001</v>
      </c>
      <c r="AG6669" s="391">
        <v>0.69494400000000001</v>
      </c>
      <c r="AH6669" s="397"/>
      <c r="AQ6669" s="397"/>
      <c r="AR6669" s="397"/>
      <c r="AS6669" s="397"/>
      <c r="AT6669" s="397"/>
      <c r="BE6669" s="397"/>
      <c r="BF6669" s="397"/>
      <c r="BG6669" s="397"/>
      <c r="BH6669" s="397"/>
      <c r="BI6669" s="397"/>
      <c r="BJ6669" s="397"/>
      <c r="BK6669" s="397"/>
      <c r="BL6669" s="397"/>
      <c r="BM6669" s="398"/>
      <c r="BN6669" s="398"/>
      <c r="BO6669" s="397"/>
      <c r="BP6669" s="398"/>
      <c r="BQ6669" s="398"/>
      <c r="BR6669" s="398"/>
      <c r="BS6669" s="397"/>
      <c r="BT6669" s="397"/>
      <c r="BU6669" s="397"/>
      <c r="BV6669" s="397"/>
      <c r="BW6669" s="397"/>
      <c r="BX6669" s="397"/>
      <c r="BY6669" s="397"/>
      <c r="CA6669" s="392" t="s">
        <v>408</v>
      </c>
    </row>
    <row r="6670" spans="1:79" s="392" customFormat="1" ht="15" x14ac:dyDescent="0.25">
      <c r="A6670" s="430"/>
      <c r="B6670" s="386"/>
      <c r="C6670" s="386"/>
      <c r="D6670" s="434"/>
      <c r="E6670" s="385"/>
      <c r="F6670" s="432"/>
      <c r="G6670" s="401"/>
      <c r="H6670" s="401">
        <v>6</v>
      </c>
      <c r="I6670" s="401"/>
      <c r="J6670" s="401"/>
      <c r="K6670" s="401"/>
      <c r="L6670" s="676"/>
      <c r="M6670" s="673" t="s">
        <v>910</v>
      </c>
      <c r="N6670" s="624">
        <v>0.90727667999999995</v>
      </c>
      <c r="O6670" s="625">
        <v>2.0117668097916666E-2</v>
      </c>
      <c r="P6670" s="390">
        <v>1.2398178171867071</v>
      </c>
      <c r="Q6670" s="390">
        <v>2.8939484346797015</v>
      </c>
      <c r="R6670" s="390">
        <v>5.0777410307032778</v>
      </c>
      <c r="S6670" s="390">
        <v>27.297091223805303</v>
      </c>
      <c r="T6670" s="388">
        <v>52.000000000000028</v>
      </c>
      <c r="U6670" s="388"/>
      <c r="V6670" s="391"/>
      <c r="W6670" s="391"/>
      <c r="X6670" s="391"/>
      <c r="Y6670" s="792"/>
      <c r="Z6670" s="388">
        <v>52</v>
      </c>
      <c r="AA6670" s="391">
        <v>5.0777410307032778</v>
      </c>
      <c r="AC6670" s="388"/>
      <c r="AD6670" s="388">
        <v>6.6446400000000008</v>
      </c>
      <c r="AE6670" s="388">
        <v>0.19507200000000002</v>
      </c>
      <c r="AF6670" s="388">
        <v>1.2961832140800003</v>
      </c>
      <c r="AG6670" s="391">
        <v>0.69494400000000001</v>
      </c>
      <c r="AH6670" s="397"/>
      <c r="AQ6670" s="397"/>
      <c r="AR6670" s="397"/>
      <c r="AS6670" s="397"/>
      <c r="AT6670" s="397"/>
      <c r="BE6670" s="397"/>
      <c r="BF6670" s="397"/>
      <c r="BG6670" s="397"/>
      <c r="BH6670" s="397"/>
      <c r="BI6670" s="397"/>
      <c r="BJ6670" s="397"/>
      <c r="BK6670" s="397"/>
      <c r="BL6670" s="397"/>
      <c r="BM6670" s="398"/>
      <c r="BN6670" s="398"/>
      <c r="BO6670" s="397"/>
      <c r="BP6670" s="398"/>
      <c r="BQ6670" s="398"/>
      <c r="BR6670" s="398"/>
      <c r="BS6670" s="397"/>
      <c r="BT6670" s="397"/>
      <c r="BU6670" s="397"/>
      <c r="BV6670" s="397"/>
      <c r="BW6670" s="397"/>
      <c r="BX6670" s="397"/>
      <c r="BY6670" s="397"/>
      <c r="CA6670" s="392" t="s">
        <v>408</v>
      </c>
    </row>
    <row r="6671" spans="1:79" s="392" customFormat="1" ht="15" x14ac:dyDescent="0.25">
      <c r="A6671" s="430"/>
      <c r="B6671" s="386"/>
      <c r="C6671" s="386"/>
      <c r="D6671" s="434"/>
      <c r="E6671" s="385"/>
      <c r="F6671" s="432"/>
      <c r="G6671" s="401"/>
      <c r="H6671" s="401">
        <v>6</v>
      </c>
      <c r="I6671" s="401"/>
      <c r="J6671" s="401"/>
      <c r="K6671" s="401"/>
      <c r="L6671" s="676"/>
      <c r="M6671" s="673">
        <v>32680</v>
      </c>
      <c r="N6671" s="624">
        <v>0.75181635000000002</v>
      </c>
      <c r="O6671" s="625">
        <v>3.2112435774999996E-3</v>
      </c>
      <c r="P6671" s="390">
        <v>0.83699967579497736</v>
      </c>
      <c r="Q6671" s="390">
        <v>1.54811993283264</v>
      </c>
      <c r="R6671" s="390">
        <v>2.2522143903795455</v>
      </c>
      <c r="S6671" s="390">
        <v>5.9208251763548709</v>
      </c>
      <c r="T6671" s="388">
        <v>11.836816964413476</v>
      </c>
      <c r="U6671" s="388"/>
      <c r="V6671" s="391"/>
      <c r="W6671" s="391"/>
      <c r="X6671" s="391"/>
      <c r="Y6671" s="792"/>
      <c r="Z6671" s="388">
        <v>18</v>
      </c>
      <c r="AA6671" s="391">
        <v>2.2522143903795455</v>
      </c>
      <c r="AC6671" s="388"/>
      <c r="AD6671" s="388">
        <v>6.6446400000000008</v>
      </c>
      <c r="AE6671" s="388">
        <v>0.17068800000000003</v>
      </c>
      <c r="AF6671" s="388">
        <v>1.1341603123200004</v>
      </c>
      <c r="AG6671" s="391">
        <v>0.661416</v>
      </c>
      <c r="AH6671" s="397"/>
      <c r="AQ6671" s="397"/>
      <c r="AR6671" s="397"/>
      <c r="AS6671" s="397"/>
      <c r="AT6671" s="397"/>
      <c r="BE6671" s="397"/>
      <c r="BF6671" s="397"/>
      <c r="BG6671" s="397"/>
      <c r="BH6671" s="397"/>
      <c r="BI6671" s="397"/>
      <c r="BJ6671" s="397"/>
      <c r="BK6671" s="397"/>
      <c r="BL6671" s="397"/>
      <c r="BM6671" s="398"/>
      <c r="BN6671" s="398"/>
      <c r="BO6671" s="397"/>
      <c r="BP6671" s="398"/>
      <c r="BQ6671" s="398"/>
      <c r="BR6671" s="398"/>
      <c r="BS6671" s="397"/>
      <c r="BT6671" s="397"/>
      <c r="BU6671" s="397"/>
      <c r="BV6671" s="397"/>
      <c r="BW6671" s="397"/>
      <c r="BX6671" s="397"/>
      <c r="BY6671" s="397"/>
      <c r="CA6671" s="392" t="s">
        <v>408</v>
      </c>
    </row>
    <row r="6672" spans="1:79" s="392" customFormat="1" ht="15" x14ac:dyDescent="0.25">
      <c r="A6672" s="430"/>
      <c r="B6672" s="386"/>
      <c r="C6672" s="386"/>
      <c r="D6672" s="434"/>
      <c r="E6672" s="385"/>
      <c r="F6672" s="432"/>
      <c r="G6672" s="401"/>
      <c r="H6672" s="401">
        <v>6</v>
      </c>
      <c r="I6672" s="401"/>
      <c r="J6672" s="401"/>
      <c r="K6672" s="401"/>
      <c r="L6672" s="676"/>
      <c r="M6672" s="673">
        <v>32685</v>
      </c>
      <c r="N6672" s="624">
        <v>0.53434179000000004</v>
      </c>
      <c r="O6672" s="625">
        <v>8.0184839629999984E-4</v>
      </c>
      <c r="P6672" s="390">
        <v>0.66493006208554706</v>
      </c>
      <c r="Q6672" s="390">
        <v>1.2536451393743344</v>
      </c>
      <c r="R6672" s="390">
        <v>1.816662377037221</v>
      </c>
      <c r="S6672" s="390">
        <v>5.149118985355738</v>
      </c>
      <c r="T6672" s="388">
        <v>10.116901060900343</v>
      </c>
      <c r="U6672" s="388"/>
      <c r="V6672" s="391"/>
      <c r="W6672" s="391"/>
      <c r="X6672" s="391"/>
      <c r="Y6672" s="792"/>
      <c r="Z6672" s="388">
        <v>12</v>
      </c>
      <c r="AA6672" s="391">
        <v>1.816662377037221</v>
      </c>
      <c r="AC6672" s="388"/>
      <c r="AD6672" s="388">
        <v>6.5532000000000004</v>
      </c>
      <c r="AE6672" s="388">
        <v>0.16764000000000001</v>
      </c>
      <c r="AF6672" s="388">
        <v>1.098578448</v>
      </c>
      <c r="AG6672" s="391">
        <v>0.48463200000000006</v>
      </c>
      <c r="AH6672" s="397"/>
      <c r="AQ6672" s="397"/>
      <c r="AR6672" s="397"/>
      <c r="AS6672" s="397"/>
      <c r="AT6672" s="397"/>
      <c r="BE6672" s="397"/>
      <c r="BF6672" s="397"/>
      <c r="BG6672" s="397"/>
      <c r="BH6672" s="397"/>
      <c r="BI6672" s="397"/>
      <c r="BJ6672" s="397"/>
      <c r="BK6672" s="397"/>
      <c r="BL6672" s="397"/>
      <c r="BM6672" s="398"/>
      <c r="BN6672" s="398"/>
      <c r="BO6672" s="397"/>
      <c r="BP6672" s="398"/>
      <c r="BQ6672" s="398"/>
      <c r="BR6672" s="398"/>
      <c r="BS6672" s="397"/>
      <c r="BT6672" s="397"/>
      <c r="BU6672" s="397"/>
      <c r="BV6672" s="397"/>
      <c r="BW6672" s="397"/>
      <c r="BX6672" s="397"/>
      <c r="BY6672" s="397"/>
      <c r="CA6672" s="392" t="s">
        <v>408</v>
      </c>
    </row>
    <row r="6673" spans="1:79" s="392" customFormat="1" ht="15" x14ac:dyDescent="0.25">
      <c r="A6673" s="430"/>
      <c r="B6673" s="386"/>
      <c r="C6673" s="386"/>
      <c r="D6673" s="434"/>
      <c r="E6673" s="385"/>
      <c r="F6673" s="432"/>
      <c r="G6673" s="401"/>
      <c r="H6673" s="401">
        <v>6</v>
      </c>
      <c r="I6673" s="401"/>
      <c r="J6673" s="401"/>
      <c r="K6673" s="401"/>
      <c r="L6673" s="676"/>
      <c r="M6673" s="673" t="s">
        <v>911</v>
      </c>
      <c r="N6673" s="624">
        <v>0.53434179000000004</v>
      </c>
      <c r="O6673" s="625">
        <v>2.6737946524000001E-3</v>
      </c>
      <c r="P6673" s="390">
        <v>0.80163749688597452</v>
      </c>
      <c r="Q6673" s="390">
        <v>1.5225245775821059</v>
      </c>
      <c r="R6673" s="390">
        <v>2.328037373756775</v>
      </c>
      <c r="S6673" s="390">
        <v>7.6530765505753706</v>
      </c>
      <c r="T6673" s="388">
        <v>25.784527622948247</v>
      </c>
      <c r="U6673" s="388"/>
      <c r="V6673" s="391"/>
      <c r="W6673" s="391"/>
      <c r="X6673" s="391"/>
      <c r="Y6673" s="792"/>
      <c r="Z6673" s="388">
        <v>24</v>
      </c>
      <c r="AA6673" s="391">
        <v>2.328037373756775</v>
      </c>
      <c r="AC6673" s="388"/>
      <c r="AD6673" s="388">
        <v>6.4008000000000003</v>
      </c>
      <c r="AE6673" s="388">
        <v>0.17068800000000003</v>
      </c>
      <c r="AF6673" s="388">
        <v>1.0925397504000003</v>
      </c>
      <c r="AG6673" s="391">
        <v>0.48463200000000006</v>
      </c>
      <c r="AH6673" s="397"/>
      <c r="AQ6673" s="397"/>
      <c r="AR6673" s="397"/>
      <c r="AS6673" s="397"/>
      <c r="AT6673" s="397"/>
      <c r="BE6673" s="397"/>
      <c r="BF6673" s="397"/>
      <c r="BG6673" s="397"/>
      <c r="BH6673" s="397"/>
      <c r="BI6673" s="397"/>
      <c r="BJ6673" s="397"/>
      <c r="BK6673" s="397"/>
      <c r="BL6673" s="397"/>
      <c r="BM6673" s="398"/>
      <c r="BN6673" s="398"/>
      <c r="BO6673" s="397"/>
      <c r="BP6673" s="398"/>
      <c r="BQ6673" s="398"/>
      <c r="BR6673" s="398"/>
      <c r="BS6673" s="397"/>
      <c r="BT6673" s="397"/>
      <c r="BU6673" s="397"/>
      <c r="BV6673" s="397"/>
      <c r="BW6673" s="397"/>
      <c r="BX6673" s="397"/>
      <c r="BY6673" s="397"/>
      <c r="CA6673" s="392" t="s">
        <v>408</v>
      </c>
    </row>
    <row r="6674" spans="1:79" s="392" customFormat="1" ht="15" x14ac:dyDescent="0.25">
      <c r="A6674" s="430"/>
      <c r="B6674" s="386"/>
      <c r="C6674" s="386"/>
      <c r="D6674" s="434"/>
      <c r="E6674" s="385"/>
      <c r="F6674" s="432"/>
      <c r="G6674" s="401"/>
      <c r="H6674" s="401">
        <v>6</v>
      </c>
      <c r="I6674" s="401"/>
      <c r="J6674" s="401"/>
      <c r="K6674" s="401"/>
      <c r="L6674" s="676"/>
      <c r="M6674" s="673">
        <v>32690</v>
      </c>
      <c r="N6674" s="624">
        <v>0.45307199999999997</v>
      </c>
      <c r="O6674" s="625">
        <v>3.6249927499999992E-5</v>
      </c>
      <c r="P6674" s="390">
        <v>0.40262258298731357</v>
      </c>
      <c r="Q6674" s="390">
        <v>1.1387886347566913</v>
      </c>
      <c r="R6674" s="390">
        <v>2.1810154653305149</v>
      </c>
      <c r="S6674" s="390">
        <v>8.5568830058005521</v>
      </c>
      <c r="T6674" s="388">
        <v>10.296414410519088</v>
      </c>
      <c r="U6674" s="388"/>
      <c r="V6674" s="391"/>
      <c r="W6674" s="391"/>
      <c r="X6674" s="391"/>
      <c r="Y6674" s="792"/>
      <c r="Z6674" s="388">
        <v>10</v>
      </c>
      <c r="AA6674" s="391">
        <v>2.1810154653305149</v>
      </c>
      <c r="AC6674" s="388"/>
      <c r="AD6674" s="388">
        <v>6.4008000000000003</v>
      </c>
      <c r="AE6674" s="388">
        <v>0.17068800000000003</v>
      </c>
      <c r="AF6674" s="388">
        <v>1.0925397504000003</v>
      </c>
      <c r="AG6674" s="391">
        <v>0.41148000000000007</v>
      </c>
      <c r="AH6674" s="397"/>
      <c r="AQ6674" s="397"/>
      <c r="AR6674" s="397"/>
      <c r="AS6674" s="397"/>
      <c r="AT6674" s="397"/>
      <c r="BE6674" s="397"/>
      <c r="BF6674" s="397"/>
      <c r="BG6674" s="397"/>
      <c r="BH6674" s="397"/>
      <c r="BI6674" s="397"/>
      <c r="BJ6674" s="397"/>
      <c r="BK6674" s="397"/>
      <c r="BL6674" s="397"/>
      <c r="BM6674" s="398"/>
      <c r="BN6674" s="398"/>
      <c r="BO6674" s="397"/>
      <c r="BP6674" s="398"/>
      <c r="BQ6674" s="398"/>
      <c r="BR6674" s="398"/>
      <c r="BS6674" s="397"/>
      <c r="BT6674" s="397"/>
      <c r="BU6674" s="397"/>
      <c r="BV6674" s="397"/>
      <c r="BW6674" s="397"/>
      <c r="BX6674" s="397"/>
      <c r="BY6674" s="397"/>
      <c r="CA6674" s="392" t="s">
        <v>408</v>
      </c>
    </row>
    <row r="6675" spans="1:79" s="392" customFormat="1" ht="15" x14ac:dyDescent="0.25">
      <c r="A6675" s="430"/>
      <c r="B6675" s="386"/>
      <c r="C6675" s="386"/>
      <c r="D6675" s="434"/>
      <c r="E6675" s="385"/>
      <c r="F6675" s="432"/>
      <c r="G6675" s="401"/>
      <c r="H6675" s="401">
        <v>6</v>
      </c>
      <c r="I6675" s="401"/>
      <c r="J6675" s="401"/>
      <c r="K6675" s="401"/>
      <c r="L6675" s="676"/>
      <c r="M6675" s="673">
        <v>32693</v>
      </c>
      <c r="N6675" s="624">
        <v>0.41059649999999998</v>
      </c>
      <c r="O6675" s="625">
        <v>3.6133927731999997E-3</v>
      </c>
      <c r="P6675" s="390">
        <v>1.0222040187237984</v>
      </c>
      <c r="Q6675" s="390">
        <v>2.2938737296960543</v>
      </c>
      <c r="R6675" s="390">
        <v>3.6998168986469047</v>
      </c>
      <c r="S6675" s="390">
        <v>11.077344202222553</v>
      </c>
      <c r="T6675" s="388">
        <v>19.291945516598577</v>
      </c>
      <c r="U6675" s="388"/>
      <c r="V6675" s="391"/>
      <c r="W6675" s="391"/>
      <c r="X6675" s="391"/>
      <c r="Y6675" s="792"/>
      <c r="Z6675" s="388">
        <v>23</v>
      </c>
      <c r="AA6675" s="391">
        <v>3.6998168986469047</v>
      </c>
      <c r="AC6675" s="388"/>
      <c r="AD6675" s="388">
        <v>5.7911999999999999</v>
      </c>
      <c r="AE6675" s="388">
        <v>0.18897600000000001</v>
      </c>
      <c r="AF6675" s="388">
        <v>1.0943978111999999</v>
      </c>
      <c r="AG6675" s="391">
        <v>0.37185600000000002</v>
      </c>
      <c r="AH6675" s="397"/>
      <c r="AQ6675" s="397"/>
      <c r="AR6675" s="397"/>
      <c r="AS6675" s="397"/>
      <c r="AT6675" s="397"/>
      <c r="BE6675" s="397"/>
      <c r="BF6675" s="397"/>
      <c r="BG6675" s="397"/>
      <c r="BH6675" s="397"/>
      <c r="BI6675" s="397"/>
      <c r="BJ6675" s="397"/>
      <c r="BK6675" s="397"/>
      <c r="BL6675" s="397"/>
      <c r="BM6675" s="398"/>
      <c r="BN6675" s="398"/>
      <c r="BO6675" s="397"/>
      <c r="BP6675" s="398"/>
      <c r="BQ6675" s="398"/>
      <c r="BR6675" s="398"/>
      <c r="BS6675" s="397"/>
      <c r="BT6675" s="397"/>
      <c r="BU6675" s="397"/>
      <c r="BV6675" s="397"/>
      <c r="BW6675" s="397"/>
      <c r="BX6675" s="397"/>
      <c r="BY6675" s="397"/>
      <c r="CA6675" s="392" t="s">
        <v>408</v>
      </c>
    </row>
    <row r="6676" spans="1:79" s="392" customFormat="1" ht="15" x14ac:dyDescent="0.25">
      <c r="A6676" s="430"/>
      <c r="B6676" s="386"/>
      <c r="C6676" s="386"/>
      <c r="D6676" s="434"/>
      <c r="E6676" s="385"/>
      <c r="F6676" s="432"/>
      <c r="G6676" s="401"/>
      <c r="H6676" s="401">
        <v>6</v>
      </c>
      <c r="I6676" s="401"/>
      <c r="J6676" s="401"/>
      <c r="K6676" s="401"/>
      <c r="L6676" s="676"/>
      <c r="M6676" s="673">
        <v>32696</v>
      </c>
      <c r="N6676" s="624">
        <v>0.36812099999999998</v>
      </c>
      <c r="O6676" s="625">
        <v>3.8912422175E-4</v>
      </c>
      <c r="P6676" s="390">
        <v>0.76577899854719145</v>
      </c>
      <c r="Q6676" s="390">
        <v>1.9165898941024722</v>
      </c>
      <c r="R6676" s="390">
        <v>3.3526061674231915</v>
      </c>
      <c r="S6676" s="390">
        <v>11.583525730230997</v>
      </c>
      <c r="T6676" s="388">
        <v>14.463810659600739</v>
      </c>
      <c r="U6676" s="388"/>
      <c r="V6676" s="391"/>
      <c r="W6676" s="391"/>
      <c r="X6676" s="391"/>
      <c r="Y6676" s="792"/>
      <c r="Z6676" s="388">
        <v>14</v>
      </c>
      <c r="AA6676" s="391">
        <v>3.3526061674231915</v>
      </c>
      <c r="AC6676" s="388"/>
      <c r="AD6676" s="388">
        <v>5.6388000000000007</v>
      </c>
      <c r="AE6676" s="388">
        <v>0.14325599999999999</v>
      </c>
      <c r="AF6676" s="388">
        <v>0.80779193280000006</v>
      </c>
      <c r="AG6676" s="391">
        <v>0.451104</v>
      </c>
      <c r="AH6676" s="397"/>
      <c r="AQ6676" s="397"/>
      <c r="AR6676" s="397"/>
      <c r="AS6676" s="397"/>
      <c r="AT6676" s="397"/>
      <c r="BE6676" s="397"/>
      <c r="BF6676" s="397"/>
      <c r="BG6676" s="397"/>
      <c r="BH6676" s="397"/>
      <c r="BI6676" s="397"/>
      <c r="BJ6676" s="397"/>
      <c r="BK6676" s="397"/>
      <c r="BL6676" s="397"/>
      <c r="BM6676" s="398"/>
      <c r="BN6676" s="398"/>
      <c r="BO6676" s="397"/>
      <c r="BP6676" s="398"/>
      <c r="BQ6676" s="398"/>
      <c r="BR6676" s="398"/>
      <c r="BS6676" s="397"/>
      <c r="BT6676" s="397"/>
      <c r="BU6676" s="397"/>
      <c r="BV6676" s="397"/>
      <c r="BW6676" s="397"/>
      <c r="BX6676" s="397"/>
      <c r="BY6676" s="397"/>
      <c r="CA6676" s="392" t="s">
        <v>408</v>
      </c>
    </row>
    <row r="6677" spans="1:79" s="392" customFormat="1" ht="15" x14ac:dyDescent="0.25">
      <c r="A6677" s="430"/>
      <c r="B6677" s="386"/>
      <c r="C6677" s="386"/>
      <c r="D6677" s="434"/>
      <c r="E6677" s="385"/>
      <c r="F6677" s="432"/>
      <c r="G6677" s="401"/>
      <c r="H6677" s="401">
        <v>6</v>
      </c>
      <c r="I6677" s="401"/>
      <c r="J6677" s="401"/>
      <c r="K6677" s="401"/>
      <c r="L6677" s="676"/>
      <c r="M6677" s="673" t="s">
        <v>912</v>
      </c>
      <c r="N6677" s="624">
        <v>0.36217442999999994</v>
      </c>
      <c r="O6677" s="625">
        <v>3.7157425684999999E-4</v>
      </c>
      <c r="P6677" s="390">
        <v>1.0730123392580257</v>
      </c>
      <c r="Q6677" s="390">
        <v>3.063362886721368</v>
      </c>
      <c r="R6677" s="390">
        <v>8.5981127821452894</v>
      </c>
      <c r="S6677" s="390">
        <v>14.046266629439019</v>
      </c>
      <c r="T6677" s="388">
        <v>15.361911960764591</v>
      </c>
      <c r="U6677" s="388"/>
      <c r="V6677" s="391"/>
      <c r="W6677" s="391"/>
      <c r="X6677" s="391"/>
      <c r="Y6677" s="792"/>
      <c r="Z6677" s="388">
        <v>15</v>
      </c>
      <c r="AA6677" s="391">
        <v>8.5981127821452894</v>
      </c>
      <c r="AC6677" s="388"/>
      <c r="AD6677" s="388">
        <v>5.6388000000000007</v>
      </c>
      <c r="AE6677" s="388">
        <v>0.14325599999999999</v>
      </c>
      <c r="AF6677" s="388">
        <v>0.80779193280000006</v>
      </c>
      <c r="AG6677" s="391">
        <v>0.44500800000000001</v>
      </c>
      <c r="AH6677" s="397"/>
      <c r="AQ6677" s="397"/>
      <c r="AR6677" s="397"/>
      <c r="AS6677" s="397"/>
      <c r="AT6677" s="397"/>
      <c r="BE6677" s="397"/>
      <c r="BF6677" s="397"/>
      <c r="BG6677" s="397"/>
      <c r="BH6677" s="397"/>
      <c r="BI6677" s="397"/>
      <c r="BJ6677" s="397"/>
      <c r="BK6677" s="397"/>
      <c r="BL6677" s="397"/>
      <c r="BM6677" s="398"/>
      <c r="BN6677" s="398"/>
      <c r="BO6677" s="397"/>
      <c r="BP6677" s="398"/>
      <c r="BQ6677" s="398"/>
      <c r="BR6677" s="398"/>
      <c r="BS6677" s="397"/>
      <c r="BT6677" s="397"/>
      <c r="BU6677" s="397"/>
      <c r="BV6677" s="397"/>
      <c r="BW6677" s="397"/>
      <c r="BX6677" s="397"/>
      <c r="BY6677" s="397"/>
      <c r="CA6677" s="392" t="s">
        <v>408</v>
      </c>
    </row>
    <row r="6678" spans="1:79" s="189" customFormat="1" ht="15" x14ac:dyDescent="0.25">
      <c r="A6678" s="24" t="s">
        <v>431</v>
      </c>
      <c r="B6678" s="14" t="s">
        <v>34</v>
      </c>
      <c r="C6678" s="14"/>
      <c r="D6678" s="4">
        <f>VLOOKUP(E6678,'Quality Code'!D4:E24,2,TRUE)*VLOOKUP(MROUND(F6678,10),'Quality Code'!D28:E69,2,TRUE)*VLOOKUP(COUNTA(CB6678:CB6688),'Quality Code'!D73:E93,2,TRUE)</f>
        <v>0.3</v>
      </c>
      <c r="E6678" s="14">
        <v>0.6</v>
      </c>
      <c r="F6678" s="18">
        <v>18</v>
      </c>
      <c r="G6678" s="2"/>
      <c r="H6678" s="2" t="s">
        <v>105</v>
      </c>
      <c r="I6678" s="2"/>
      <c r="J6678" s="2"/>
      <c r="K6678" s="2"/>
      <c r="L6678" s="640"/>
      <c r="M6678" s="640">
        <v>1988</v>
      </c>
      <c r="N6678" s="578" t="s">
        <v>110</v>
      </c>
      <c r="O6678" s="622"/>
      <c r="P6678" s="376" t="s">
        <v>402</v>
      </c>
      <c r="Q6678" s="376" t="s">
        <v>403</v>
      </c>
      <c r="R6678" s="376" t="s">
        <v>404</v>
      </c>
      <c r="S6678" s="376" t="s">
        <v>405</v>
      </c>
      <c r="T6678" s="376" t="s">
        <v>406</v>
      </c>
      <c r="U6678" s="141" t="s">
        <v>20</v>
      </c>
      <c r="V6678" s="2"/>
      <c r="W6678" s="2"/>
      <c r="X6678" s="2"/>
      <c r="Y6678" s="2"/>
      <c r="Z6678" s="26"/>
      <c r="AA6678" s="26"/>
      <c r="AB6678" s="377"/>
      <c r="AC6678" s="26">
        <v>1.0200000000000001E-2</v>
      </c>
      <c r="AD6678" s="26"/>
      <c r="AE6678" s="26"/>
      <c r="AF6678" s="26"/>
      <c r="AG6678" s="26"/>
      <c r="AH6678" s="4"/>
      <c r="AI6678" s="376"/>
      <c r="AJ6678" s="376"/>
      <c r="AK6678" s="376"/>
      <c r="AL6678" s="376"/>
      <c r="AM6678" s="376"/>
      <c r="AN6678" s="376"/>
      <c r="AO6678" s="376"/>
      <c r="AP6678" s="376"/>
      <c r="AQ6678" s="378"/>
      <c r="AR6678" s="378"/>
      <c r="AS6678" s="378"/>
      <c r="AT6678" s="378"/>
      <c r="AU6678" s="379"/>
      <c r="AV6678" s="379"/>
      <c r="AW6678" s="379"/>
      <c r="AX6678" s="379"/>
      <c r="AY6678" s="379"/>
      <c r="AZ6678" s="380"/>
      <c r="BA6678" s="380"/>
      <c r="BB6678" s="380"/>
      <c r="BC6678" s="380"/>
      <c r="BD6678" s="380"/>
      <c r="BE6678" s="4"/>
      <c r="BF6678" s="4"/>
      <c r="BG6678" s="4"/>
      <c r="BH6678" s="4"/>
      <c r="BI6678" s="12"/>
      <c r="BJ6678" s="2"/>
      <c r="BK6678" s="2"/>
      <c r="BL6678" s="4"/>
      <c r="BM6678" s="12">
        <v>9.3517396729588977</v>
      </c>
      <c r="BN6678" s="12">
        <v>19.501104000000002</v>
      </c>
      <c r="BO6678" s="12">
        <v>0.41165626758361989</v>
      </c>
      <c r="BP6678" s="4">
        <v>8.0274889999999992</v>
      </c>
      <c r="BQ6678" s="4">
        <v>47.372299502372414</v>
      </c>
      <c r="BR6678" s="4"/>
      <c r="BS6678" s="2"/>
      <c r="BT6678" s="9"/>
      <c r="BU6678" s="381"/>
      <c r="BV6678" s="382"/>
      <c r="BW6678" s="383"/>
      <c r="BX6678" s="383"/>
      <c r="BY6678" s="383"/>
      <c r="BZ6678" s="384"/>
      <c r="CA6678" s="411" t="s">
        <v>408</v>
      </c>
    </row>
    <row r="6679" spans="1:79" s="392" customFormat="1" ht="15" x14ac:dyDescent="0.25">
      <c r="A6679" s="430"/>
      <c r="B6679" s="386"/>
      <c r="C6679" s="386"/>
      <c r="D6679" s="434"/>
      <c r="E6679" s="385"/>
      <c r="F6679" s="432"/>
      <c r="G6679" s="401"/>
      <c r="H6679" s="401">
        <v>3</v>
      </c>
      <c r="I6679" s="401"/>
      <c r="J6679" s="401"/>
      <c r="K6679" s="401"/>
      <c r="L6679" s="672"/>
      <c r="M6679" s="673">
        <v>32295</v>
      </c>
      <c r="N6679" s="624">
        <v>5.6195413910258507</v>
      </c>
      <c r="O6679" s="625">
        <v>7.2062998730857142E-2</v>
      </c>
      <c r="P6679" s="390">
        <v>0.28593594939692329</v>
      </c>
      <c r="Q6679" s="390">
        <v>0.48276147809427761</v>
      </c>
      <c r="R6679" s="390">
        <v>0.71504025813615968</v>
      </c>
      <c r="S6679" s="390">
        <v>2.8090082310950648</v>
      </c>
      <c r="T6679" s="388">
        <v>8.0790134598284258</v>
      </c>
      <c r="U6679" s="388"/>
      <c r="V6679" s="391"/>
      <c r="W6679" s="391"/>
      <c r="X6679" s="391"/>
      <c r="Y6679" s="792"/>
      <c r="Z6679" s="388">
        <v>25</v>
      </c>
      <c r="AA6679" s="391">
        <v>0.71504025813615968</v>
      </c>
      <c r="AC6679" s="388"/>
      <c r="AD6679" s="388">
        <v>12.359640000000001</v>
      </c>
      <c r="AE6679" s="388">
        <v>0.33832800000000007</v>
      </c>
      <c r="AF6679" s="388">
        <v>4.1814754499999998</v>
      </c>
      <c r="AG6679" s="391">
        <v>1.3429308730651588</v>
      </c>
      <c r="AH6679" s="397"/>
      <c r="AQ6679" s="397"/>
      <c r="AR6679" s="397"/>
      <c r="AS6679" s="397"/>
      <c r="AT6679" s="397"/>
      <c r="BE6679" s="397"/>
      <c r="BF6679" s="397"/>
      <c r="BG6679" s="397"/>
      <c r="BH6679" s="397"/>
      <c r="BI6679" s="397"/>
      <c r="BJ6679" s="397"/>
      <c r="BK6679" s="397"/>
      <c r="BL6679" s="397"/>
      <c r="BM6679" s="397"/>
      <c r="BN6679" s="397"/>
      <c r="BO6679" s="397"/>
      <c r="BP6679" s="397"/>
      <c r="BQ6679" s="397"/>
      <c r="BR6679" s="397"/>
      <c r="BS6679" s="397"/>
      <c r="BT6679" s="397"/>
      <c r="BU6679" s="397"/>
      <c r="BV6679" s="397"/>
      <c r="BW6679" s="397"/>
      <c r="BX6679" s="397"/>
      <c r="BY6679" s="397"/>
      <c r="CA6679" s="392" t="s">
        <v>408</v>
      </c>
    </row>
    <row r="6680" spans="1:79" s="392" customFormat="1" ht="15" x14ac:dyDescent="0.25">
      <c r="A6680" s="430"/>
      <c r="B6680" s="386"/>
      <c r="C6680" s="386"/>
      <c r="D6680" s="434"/>
      <c r="E6680" s="385"/>
      <c r="F6680" s="432"/>
      <c r="G6680" s="401"/>
      <c r="H6680" s="401">
        <v>3</v>
      </c>
      <c r="I6680" s="401"/>
      <c r="J6680" s="401"/>
      <c r="K6680" s="401"/>
      <c r="L6680" s="672"/>
      <c r="M6680" s="673">
        <v>32300</v>
      </c>
      <c r="N6680" s="624">
        <v>8.1199150234773363</v>
      </c>
      <c r="O6680" s="625">
        <v>0.13721897556150001</v>
      </c>
      <c r="P6680" s="390">
        <v>0.38384638172120444</v>
      </c>
      <c r="Q6680" s="390">
        <v>0.77466127125158935</v>
      </c>
      <c r="R6680" s="390">
        <v>1.3108891410861816</v>
      </c>
      <c r="S6680" s="390">
        <v>5.6145747368712753</v>
      </c>
      <c r="T6680" s="388">
        <v>10.621018505057499</v>
      </c>
      <c r="U6680" s="388"/>
      <c r="V6680" s="391"/>
      <c r="W6680" s="391"/>
      <c r="X6680" s="391"/>
      <c r="Y6680" s="792"/>
      <c r="Z6680" s="388">
        <v>18</v>
      </c>
      <c r="AA6680" s="391">
        <v>1.3108891410861816</v>
      </c>
      <c r="AC6680" s="388"/>
      <c r="AD6680" s="388">
        <v>18.903696000000004</v>
      </c>
      <c r="AE6680" s="388">
        <v>0.46939200000000003</v>
      </c>
      <c r="AF6680" s="388">
        <v>8.8729533200000006</v>
      </c>
      <c r="AG6680" s="391">
        <v>0.91446191424646672</v>
      </c>
      <c r="AH6680" s="397"/>
      <c r="AQ6680" s="397"/>
      <c r="AR6680" s="397"/>
      <c r="AS6680" s="397"/>
      <c r="AT6680" s="397"/>
      <c r="BE6680" s="397"/>
      <c r="BF6680" s="397"/>
      <c r="BG6680" s="397"/>
      <c r="BH6680" s="397"/>
      <c r="BI6680" s="397"/>
      <c r="BJ6680" s="397"/>
      <c r="BK6680" s="397"/>
      <c r="BL6680" s="397"/>
      <c r="BM6680" s="397"/>
      <c r="BN6680" s="397"/>
      <c r="BO6680" s="397"/>
      <c r="BP6680" s="397"/>
      <c r="BQ6680" s="397"/>
      <c r="BR6680" s="397"/>
      <c r="BS6680" s="397"/>
      <c r="BT6680" s="397"/>
      <c r="BU6680" s="397"/>
      <c r="BV6680" s="397"/>
      <c r="BW6680" s="397"/>
      <c r="BX6680" s="397"/>
      <c r="BY6680" s="397"/>
      <c r="CA6680" s="392" t="s">
        <v>408</v>
      </c>
    </row>
    <row r="6681" spans="1:79" s="392" customFormat="1" ht="15" x14ac:dyDescent="0.25">
      <c r="A6681" s="430"/>
      <c r="B6681" s="386"/>
      <c r="C6681" s="386"/>
      <c r="D6681" s="434"/>
      <c r="E6681" s="385"/>
      <c r="F6681" s="432"/>
      <c r="G6681" s="401"/>
      <c r="H6681" s="401">
        <v>3</v>
      </c>
      <c r="I6681" s="401"/>
      <c r="J6681" s="401"/>
      <c r="K6681" s="401"/>
      <c r="L6681" s="672"/>
      <c r="M6681" s="673">
        <v>32300</v>
      </c>
      <c r="N6681" s="624">
        <v>10.342034731917137</v>
      </c>
      <c r="O6681" s="625">
        <v>0.1188943399886222</v>
      </c>
      <c r="P6681" s="390">
        <v>0.37858276779304578</v>
      </c>
      <c r="Q6681" s="390">
        <v>0.79419077601330268</v>
      </c>
      <c r="R6681" s="390">
        <v>1.3464363580106899</v>
      </c>
      <c r="S6681" s="390">
        <v>6.3896763420840772</v>
      </c>
      <c r="T6681" s="388">
        <v>16.82693611692218</v>
      </c>
      <c r="U6681" s="388"/>
      <c r="V6681" s="391"/>
      <c r="W6681" s="391"/>
      <c r="X6681" s="391"/>
      <c r="Y6681" s="792"/>
      <c r="Z6681" s="388">
        <v>30</v>
      </c>
      <c r="AA6681" s="391">
        <v>1.3464363580106899</v>
      </c>
      <c r="AC6681" s="388"/>
      <c r="AD6681" s="388">
        <v>12.387072000000002</v>
      </c>
      <c r="AE6681" s="388">
        <v>0.48158400000000007</v>
      </c>
      <c r="AF6681" s="388">
        <v>5.9652204800000002</v>
      </c>
      <c r="AG6681" s="391">
        <v>1.7324544573861822</v>
      </c>
      <c r="AH6681" s="397"/>
      <c r="AQ6681" s="397"/>
      <c r="AR6681" s="397"/>
      <c r="AS6681" s="397"/>
      <c r="AT6681" s="397"/>
      <c r="BE6681" s="397"/>
      <c r="BF6681" s="397"/>
      <c r="BG6681" s="397"/>
      <c r="BH6681" s="397"/>
      <c r="BI6681" s="397"/>
      <c r="BJ6681" s="397"/>
      <c r="BK6681" s="397"/>
      <c r="BL6681" s="397"/>
      <c r="BM6681" s="397"/>
      <c r="BN6681" s="397"/>
      <c r="BO6681" s="397"/>
      <c r="BP6681" s="397"/>
      <c r="BQ6681" s="397"/>
      <c r="BR6681" s="397"/>
      <c r="BS6681" s="397"/>
      <c r="BT6681" s="397"/>
      <c r="BU6681" s="397"/>
      <c r="BV6681" s="397"/>
      <c r="BW6681" s="397"/>
      <c r="BX6681" s="397"/>
      <c r="BY6681" s="397"/>
      <c r="CA6681" s="392" t="s">
        <v>408</v>
      </c>
    </row>
    <row r="6682" spans="1:79" s="392" customFormat="1" ht="15" x14ac:dyDescent="0.25">
      <c r="A6682" s="430"/>
      <c r="B6682" s="386"/>
      <c r="C6682" s="386"/>
      <c r="D6682" s="434"/>
      <c r="E6682" s="385"/>
      <c r="F6682" s="432"/>
      <c r="G6682" s="401"/>
      <c r="H6682" s="401">
        <v>3</v>
      </c>
      <c r="I6682" s="401"/>
      <c r="J6682" s="401"/>
      <c r="K6682" s="401"/>
      <c r="L6682" s="672"/>
      <c r="M6682" s="673">
        <v>32300</v>
      </c>
      <c r="N6682" s="624">
        <v>13.294088192495101</v>
      </c>
      <c r="O6682" s="625">
        <v>0.23032666661847265</v>
      </c>
      <c r="P6682" s="390">
        <v>0.31662347755010223</v>
      </c>
      <c r="Q6682" s="390">
        <v>0.51891096495921318</v>
      </c>
      <c r="R6682" s="390">
        <v>0.75163180297264676</v>
      </c>
      <c r="S6682" s="390">
        <v>2.1183471447126396</v>
      </c>
      <c r="T6682" s="388">
        <v>4.7306913542911042</v>
      </c>
      <c r="U6682" s="388"/>
      <c r="V6682" s="391"/>
      <c r="W6682" s="391"/>
      <c r="X6682" s="391"/>
      <c r="Y6682" s="792"/>
      <c r="Z6682" s="388">
        <v>19</v>
      </c>
      <c r="AA6682" s="391">
        <v>0.75163180297264676</v>
      </c>
      <c r="AC6682" s="388"/>
      <c r="AD6682" s="388">
        <v>18.964656000000002</v>
      </c>
      <c r="AE6682" s="388">
        <v>0.60045599999999999</v>
      </c>
      <c r="AF6682" s="388">
        <v>11.387068859999999</v>
      </c>
      <c r="AG6682" s="391">
        <v>1.1666187270733193</v>
      </c>
      <c r="AH6682" s="397"/>
      <c r="AQ6682" s="397"/>
      <c r="AR6682" s="397"/>
      <c r="AS6682" s="397"/>
      <c r="AT6682" s="397"/>
      <c r="BE6682" s="397"/>
      <c r="BF6682" s="397"/>
      <c r="BG6682" s="397"/>
      <c r="BH6682" s="397"/>
      <c r="BI6682" s="397"/>
      <c r="BJ6682" s="397"/>
      <c r="BK6682" s="397"/>
      <c r="BL6682" s="397"/>
      <c r="BM6682" s="397"/>
      <c r="BN6682" s="397"/>
      <c r="BO6682" s="397"/>
      <c r="BP6682" s="397"/>
      <c r="BQ6682" s="397"/>
      <c r="BR6682" s="397"/>
      <c r="BS6682" s="397"/>
      <c r="BT6682" s="397"/>
      <c r="BU6682" s="397"/>
      <c r="BV6682" s="397"/>
      <c r="BW6682" s="397"/>
      <c r="BX6682" s="397"/>
      <c r="BY6682" s="397"/>
      <c r="CA6682" s="392" t="s">
        <v>408</v>
      </c>
    </row>
    <row r="6683" spans="1:79" s="392" customFormat="1" ht="15" x14ac:dyDescent="0.25">
      <c r="A6683" s="430"/>
      <c r="B6683" s="386"/>
      <c r="C6683" s="386"/>
      <c r="D6683" s="434"/>
      <c r="E6683" s="385"/>
      <c r="F6683" s="432"/>
      <c r="G6683" s="401"/>
      <c r="H6683" s="401">
        <v>3</v>
      </c>
      <c r="I6683" s="401"/>
      <c r="J6683" s="401"/>
      <c r="K6683" s="401"/>
      <c r="L6683" s="672"/>
      <c r="M6683" s="673">
        <v>32304</v>
      </c>
      <c r="N6683" s="624">
        <v>8.8340716907352075</v>
      </c>
      <c r="O6683" s="625">
        <v>5.6524899071187878E-2</v>
      </c>
      <c r="P6683" s="390">
        <v>0.36592793222415615</v>
      </c>
      <c r="Q6683" s="390">
        <v>0.72928450386550447</v>
      </c>
      <c r="R6683" s="390">
        <v>1.2214695390383739</v>
      </c>
      <c r="S6683" s="390">
        <v>5.9414722254901342</v>
      </c>
      <c r="T6683" s="388">
        <v>14.28683877381328</v>
      </c>
      <c r="U6683" s="388"/>
      <c r="V6683" s="391"/>
      <c r="W6683" s="391"/>
      <c r="X6683" s="391"/>
      <c r="Y6683" s="792"/>
      <c r="Z6683" s="388">
        <v>24</v>
      </c>
      <c r="AA6683" s="391">
        <v>1.2214695390383739</v>
      </c>
      <c r="AC6683" s="388"/>
      <c r="AD6683" s="388">
        <v>18.720816000000003</v>
      </c>
      <c r="AE6683" s="388">
        <v>0.38100000000000001</v>
      </c>
      <c r="AF6683" s="388">
        <v>7.1323975000000006</v>
      </c>
      <c r="AG6683" s="391">
        <v>1.2376781251924538</v>
      </c>
      <c r="AH6683" s="397"/>
      <c r="AQ6683" s="397"/>
      <c r="AR6683" s="397"/>
      <c r="AS6683" s="397"/>
      <c r="AT6683" s="397"/>
      <c r="BE6683" s="397"/>
      <c r="BF6683" s="397"/>
      <c r="BG6683" s="397"/>
      <c r="BH6683" s="397"/>
      <c r="BI6683" s="397"/>
      <c r="BJ6683" s="397"/>
      <c r="BK6683" s="397"/>
      <c r="BL6683" s="397"/>
      <c r="BM6683" s="397"/>
      <c r="BN6683" s="397"/>
      <c r="BO6683" s="397"/>
      <c r="BP6683" s="397"/>
      <c r="BQ6683" s="397"/>
      <c r="BR6683" s="397"/>
      <c r="BS6683" s="397"/>
      <c r="BT6683" s="397"/>
      <c r="BU6683" s="397"/>
      <c r="BV6683" s="397"/>
      <c r="BW6683" s="397"/>
      <c r="BX6683" s="397"/>
      <c r="BY6683" s="397"/>
      <c r="CA6683" s="392" t="s">
        <v>408</v>
      </c>
    </row>
    <row r="6684" spans="1:79" s="392" customFormat="1" ht="15" x14ac:dyDescent="0.25">
      <c r="A6684" s="430"/>
      <c r="B6684" s="386"/>
      <c r="C6684" s="386"/>
      <c r="D6684" s="434"/>
      <c r="E6684" s="385"/>
      <c r="F6684" s="432"/>
      <c r="G6684" s="401"/>
      <c r="H6684" s="401">
        <v>3</v>
      </c>
      <c r="I6684" s="401"/>
      <c r="J6684" s="401"/>
      <c r="K6684" s="401"/>
      <c r="L6684" s="672"/>
      <c r="M6684" s="673">
        <v>32309</v>
      </c>
      <c r="N6684" s="624">
        <v>6.4979718023730531</v>
      </c>
      <c r="O6684" s="625">
        <v>8.0589827708911099E-2</v>
      </c>
      <c r="P6684" s="390">
        <v>1.0863955073336526</v>
      </c>
      <c r="Q6684" s="390">
        <v>3.4602099197579812</v>
      </c>
      <c r="R6684" s="390">
        <v>11.166403267533603</v>
      </c>
      <c r="S6684" s="390">
        <v>49.344036323594537</v>
      </c>
      <c r="T6684" s="388">
        <v>57.730473751221005</v>
      </c>
      <c r="U6684" s="388"/>
      <c r="V6684" s="391"/>
      <c r="W6684" s="391"/>
      <c r="X6684" s="391"/>
      <c r="Y6684" s="792"/>
      <c r="Z6684" s="388">
        <v>62</v>
      </c>
      <c r="AA6684" s="391">
        <v>11.166403267533603</v>
      </c>
      <c r="AC6684" s="388"/>
      <c r="AD6684" s="388">
        <v>17.559528</v>
      </c>
      <c r="AE6684" s="388">
        <v>0.32308800000000004</v>
      </c>
      <c r="AF6684" s="388">
        <v>5.6730871399999998</v>
      </c>
      <c r="AG6684" s="391">
        <v>1.1445656367191079</v>
      </c>
      <c r="AH6684" s="397"/>
      <c r="AQ6684" s="397"/>
      <c r="AR6684" s="397"/>
      <c r="AS6684" s="397"/>
      <c r="AT6684" s="397"/>
      <c r="BE6684" s="397"/>
      <c r="BF6684" s="397"/>
      <c r="BG6684" s="397"/>
      <c r="BH6684" s="397"/>
      <c r="BI6684" s="397"/>
      <c r="BJ6684" s="397"/>
      <c r="BK6684" s="397"/>
      <c r="BL6684" s="397"/>
      <c r="BM6684" s="397"/>
      <c r="BN6684" s="397"/>
      <c r="BO6684" s="397"/>
      <c r="BP6684" s="397"/>
      <c r="BQ6684" s="397"/>
      <c r="BR6684" s="397"/>
      <c r="BS6684" s="397"/>
      <c r="BT6684" s="397"/>
      <c r="BU6684" s="397"/>
      <c r="BV6684" s="397"/>
      <c r="BW6684" s="397"/>
      <c r="BX6684" s="397"/>
      <c r="BY6684" s="397"/>
      <c r="CA6684" s="392" t="s">
        <v>408</v>
      </c>
    </row>
    <row r="6685" spans="1:79" s="392" customFormat="1" ht="15" x14ac:dyDescent="0.25">
      <c r="A6685" s="430"/>
      <c r="B6685" s="386"/>
      <c r="C6685" s="386"/>
      <c r="D6685" s="434"/>
      <c r="E6685" s="385"/>
      <c r="F6685" s="432"/>
      <c r="G6685" s="401"/>
      <c r="H6685" s="401">
        <v>3</v>
      </c>
      <c r="I6685" s="401"/>
      <c r="J6685" s="401"/>
      <c r="K6685" s="401"/>
      <c r="L6685" s="672"/>
      <c r="M6685" s="673">
        <v>32309</v>
      </c>
      <c r="N6685" s="624">
        <v>6.4979718023730531</v>
      </c>
      <c r="O6685" s="625">
        <v>8.4622519643511099E-2</v>
      </c>
      <c r="P6685" s="390">
        <v>0.38942208730060696</v>
      </c>
      <c r="Q6685" s="390">
        <v>0.78193045776742076</v>
      </c>
      <c r="R6685" s="390">
        <v>1.1929088089844657</v>
      </c>
      <c r="S6685" s="390">
        <v>3.2342935705553004</v>
      </c>
      <c r="T6685" s="388">
        <v>7.5825719471732365</v>
      </c>
      <c r="U6685" s="388"/>
      <c r="V6685" s="391"/>
      <c r="W6685" s="391"/>
      <c r="X6685" s="391"/>
      <c r="Y6685" s="792"/>
      <c r="Z6685" s="388">
        <v>22</v>
      </c>
      <c r="AA6685" s="391">
        <v>1.1929088089844657</v>
      </c>
      <c r="AC6685" s="388"/>
      <c r="AD6685" s="388">
        <v>17.559528</v>
      </c>
      <c r="AE6685" s="388">
        <v>0.32308800000000004</v>
      </c>
      <c r="AF6685" s="388">
        <v>5.6730871399999998</v>
      </c>
      <c r="AG6685" s="391">
        <v>1.1445656367191079</v>
      </c>
      <c r="AH6685" s="397"/>
      <c r="AQ6685" s="397"/>
      <c r="AR6685" s="397"/>
      <c r="AS6685" s="397"/>
      <c r="AT6685" s="397"/>
      <c r="BE6685" s="397"/>
      <c r="BF6685" s="397"/>
      <c r="BG6685" s="397"/>
      <c r="BH6685" s="397"/>
      <c r="BI6685" s="397"/>
      <c r="BJ6685" s="397"/>
      <c r="BK6685" s="397"/>
      <c r="BL6685" s="397"/>
      <c r="BM6685" s="397"/>
      <c r="BN6685" s="397"/>
      <c r="BO6685" s="397"/>
      <c r="BP6685" s="397"/>
      <c r="BQ6685" s="397"/>
      <c r="BR6685" s="397"/>
      <c r="BS6685" s="397"/>
      <c r="BT6685" s="397"/>
      <c r="BU6685" s="397"/>
      <c r="BV6685" s="397"/>
      <c r="BW6685" s="397"/>
      <c r="BX6685" s="397"/>
      <c r="BY6685" s="397"/>
      <c r="CA6685" s="392" t="s">
        <v>408</v>
      </c>
    </row>
    <row r="6686" spans="1:79" s="392" customFormat="1" ht="15" x14ac:dyDescent="0.25">
      <c r="A6686" s="430"/>
      <c r="B6686" s="386"/>
      <c r="C6686" s="386"/>
      <c r="D6686" s="434"/>
      <c r="E6686" s="385"/>
      <c r="F6686" s="432"/>
      <c r="G6686" s="401"/>
      <c r="H6686" s="401">
        <v>3</v>
      </c>
      <c r="I6686" s="401"/>
      <c r="J6686" s="401"/>
      <c r="K6686" s="401"/>
      <c r="L6686" s="672"/>
      <c r="M6686" s="673">
        <v>32309</v>
      </c>
      <c r="N6686" s="624">
        <v>6.9583293517599039</v>
      </c>
      <c r="O6686" s="625">
        <v>2.9324941349999994E-2</v>
      </c>
      <c r="P6686" s="390">
        <v>0.36141465382244375</v>
      </c>
      <c r="Q6686" s="390">
        <v>0.71442745957881704</v>
      </c>
      <c r="R6686" s="390">
        <v>1.2383747296147971</v>
      </c>
      <c r="S6686" s="390">
        <v>8.1941462132839824</v>
      </c>
      <c r="T6686" s="388">
        <v>16.89511532780817</v>
      </c>
      <c r="U6686" s="388"/>
      <c r="V6686" s="391"/>
      <c r="W6686" s="391"/>
      <c r="X6686" s="391"/>
      <c r="Y6686" s="792"/>
      <c r="Z6686" s="388">
        <v>23</v>
      </c>
      <c r="AA6686" s="391">
        <v>1.2383747296147971</v>
      </c>
      <c r="AC6686" s="388"/>
      <c r="AD6686" s="388">
        <v>17.526</v>
      </c>
      <c r="AE6686" s="388">
        <v>0.33832800000000007</v>
      </c>
      <c r="AF6686" s="388">
        <v>5.9293424999999997</v>
      </c>
      <c r="AG6686" s="391">
        <v>1.172683402626485</v>
      </c>
      <c r="AH6686" s="397"/>
      <c r="AQ6686" s="397"/>
      <c r="AR6686" s="397"/>
      <c r="AS6686" s="397"/>
      <c r="AT6686" s="397"/>
      <c r="BE6686" s="397"/>
      <c r="BF6686" s="397"/>
      <c r="BG6686" s="397"/>
      <c r="BH6686" s="397"/>
      <c r="BI6686" s="397"/>
      <c r="BJ6686" s="397"/>
      <c r="BK6686" s="397"/>
      <c r="BL6686" s="397"/>
      <c r="BM6686" s="397"/>
      <c r="BN6686" s="397"/>
      <c r="BO6686" s="397"/>
      <c r="BP6686" s="397"/>
      <c r="BQ6686" s="397"/>
      <c r="BR6686" s="397"/>
      <c r="BS6686" s="397"/>
      <c r="BT6686" s="397"/>
      <c r="BU6686" s="397"/>
      <c r="BV6686" s="397"/>
      <c r="BW6686" s="397"/>
      <c r="BX6686" s="397"/>
      <c r="BY6686" s="397"/>
      <c r="CA6686" s="392" t="s">
        <v>408</v>
      </c>
    </row>
    <row r="6687" spans="1:79" s="392" customFormat="1" ht="15" x14ac:dyDescent="0.25">
      <c r="A6687" s="430"/>
      <c r="B6687" s="386"/>
      <c r="C6687" s="386"/>
      <c r="D6687" s="434"/>
      <c r="E6687" s="385"/>
      <c r="F6687" s="432"/>
      <c r="G6687" s="401"/>
      <c r="H6687" s="401">
        <v>3</v>
      </c>
      <c r="I6687" s="401"/>
      <c r="J6687" s="401"/>
      <c r="K6687" s="401"/>
      <c r="L6687" s="672"/>
      <c r="M6687" s="673">
        <v>32309</v>
      </c>
      <c r="N6687" s="624">
        <v>7.8220612315544233</v>
      </c>
      <c r="O6687" s="625">
        <v>2.6925854481516662E-2</v>
      </c>
      <c r="P6687" s="390">
        <v>0.30186666538782453</v>
      </c>
      <c r="Q6687" s="390">
        <v>0.46562036838943549</v>
      </c>
      <c r="R6687" s="390">
        <v>0.64445794144074953</v>
      </c>
      <c r="S6687" s="390">
        <v>1.5690767980763256</v>
      </c>
      <c r="T6687" s="388">
        <v>2.8571107531135302</v>
      </c>
      <c r="U6687" s="388"/>
      <c r="V6687" s="391"/>
      <c r="W6687" s="391"/>
      <c r="X6687" s="391"/>
      <c r="Y6687" s="792"/>
      <c r="Z6687" s="388">
        <v>12</v>
      </c>
      <c r="AA6687" s="391">
        <v>0.64445794144074953</v>
      </c>
      <c r="AC6687" s="388"/>
      <c r="AD6687" s="388">
        <v>17.477232000000001</v>
      </c>
      <c r="AE6687" s="388">
        <v>0.36576000000000003</v>
      </c>
      <c r="AF6687" s="388">
        <v>6.3922632000000004</v>
      </c>
      <c r="AG6687" s="391">
        <v>1.2227816075834517</v>
      </c>
      <c r="AH6687" s="397"/>
      <c r="AQ6687" s="397"/>
      <c r="AR6687" s="397"/>
      <c r="AS6687" s="397"/>
      <c r="AT6687" s="397"/>
      <c r="BE6687" s="397"/>
      <c r="BF6687" s="397"/>
      <c r="BG6687" s="397"/>
      <c r="BH6687" s="397"/>
      <c r="BI6687" s="397"/>
      <c r="BJ6687" s="397"/>
      <c r="BK6687" s="397"/>
      <c r="BL6687" s="397"/>
      <c r="BM6687" s="397"/>
      <c r="BN6687" s="397"/>
      <c r="BO6687" s="397"/>
      <c r="BP6687" s="397"/>
      <c r="BQ6687" s="397"/>
      <c r="BR6687" s="397"/>
      <c r="BS6687" s="397"/>
      <c r="BT6687" s="397"/>
      <c r="BU6687" s="397"/>
      <c r="BV6687" s="397"/>
      <c r="BW6687" s="397"/>
      <c r="BX6687" s="397"/>
      <c r="BY6687" s="397"/>
      <c r="CA6687" s="392" t="s">
        <v>408</v>
      </c>
    </row>
    <row r="6688" spans="1:79" s="392" customFormat="1" ht="15" x14ac:dyDescent="0.25">
      <c r="A6688" s="430"/>
      <c r="B6688" s="386"/>
      <c r="C6688" s="386"/>
      <c r="D6688" s="434"/>
      <c r="E6688" s="385"/>
      <c r="F6688" s="432"/>
      <c r="G6688" s="401"/>
      <c r="H6688" s="401">
        <v>3</v>
      </c>
      <c r="I6688" s="401"/>
      <c r="J6688" s="401"/>
      <c r="K6688" s="401"/>
      <c r="L6688" s="672"/>
      <c r="M6688" s="673">
        <v>32310</v>
      </c>
      <c r="N6688" s="624">
        <v>8.2202977098582561</v>
      </c>
      <c r="O6688" s="625">
        <v>3.9104279686021058E-2</v>
      </c>
      <c r="P6688" s="390">
        <v>0.35157937753074209</v>
      </c>
      <c r="Q6688" s="390">
        <v>0.69099642732404143</v>
      </c>
      <c r="R6688" s="390">
        <v>1.1678022808515249</v>
      </c>
      <c r="S6688" s="390">
        <v>6.6078859172348663</v>
      </c>
      <c r="T6688" s="388">
        <v>16.979144619796447</v>
      </c>
      <c r="U6688" s="388"/>
      <c r="V6688" s="391"/>
      <c r="W6688" s="391"/>
      <c r="X6688" s="391"/>
      <c r="Y6688" s="792"/>
      <c r="Z6688" s="388">
        <v>24</v>
      </c>
      <c r="AA6688" s="391">
        <v>1.1678022808515249</v>
      </c>
      <c r="AC6688" s="388"/>
      <c r="AD6688" s="388">
        <v>17.455896000000003</v>
      </c>
      <c r="AE6688" s="388">
        <v>0.37795200000000001</v>
      </c>
      <c r="AF6688" s="388">
        <v>6.5972749200000003</v>
      </c>
      <c r="AG6688" s="391">
        <v>1.2451030563197765</v>
      </c>
      <c r="AH6688" s="397"/>
      <c r="AQ6688" s="397"/>
      <c r="AR6688" s="397"/>
      <c r="AS6688" s="397"/>
      <c r="AT6688" s="397"/>
      <c r="BE6688" s="397"/>
      <c r="BF6688" s="397"/>
      <c r="BG6688" s="397"/>
      <c r="BH6688" s="397"/>
      <c r="BI6688" s="397"/>
      <c r="BJ6688" s="397"/>
      <c r="BK6688" s="397"/>
      <c r="BL6688" s="397"/>
      <c r="BM6688" s="397"/>
      <c r="BN6688" s="397"/>
      <c r="BO6688" s="397"/>
      <c r="BP6688" s="397"/>
      <c r="BQ6688" s="397"/>
      <c r="BR6688" s="397"/>
      <c r="BS6688" s="397"/>
      <c r="BT6688" s="397"/>
      <c r="BU6688" s="397"/>
      <c r="BV6688" s="397"/>
      <c r="BW6688" s="397"/>
      <c r="BX6688" s="397"/>
      <c r="BY6688" s="397"/>
      <c r="CA6688" s="392" t="s">
        <v>408</v>
      </c>
    </row>
    <row r="6689" spans="1:79" s="392" customFormat="1" ht="15" x14ac:dyDescent="0.25">
      <c r="A6689" s="430"/>
      <c r="B6689" s="386"/>
      <c r="C6689" s="386"/>
      <c r="D6689" s="434"/>
      <c r="E6689" s="385"/>
      <c r="F6689" s="432"/>
      <c r="G6689" s="401"/>
      <c r="H6689" s="401">
        <v>3</v>
      </c>
      <c r="I6689" s="401"/>
      <c r="J6689" s="401"/>
      <c r="K6689" s="401"/>
      <c r="L6689" s="672"/>
      <c r="M6689" s="673">
        <v>32317</v>
      </c>
      <c r="N6689" s="624">
        <v>7.4326380503070126</v>
      </c>
      <c r="O6689" s="625">
        <v>7.8211400243553317E-2</v>
      </c>
      <c r="P6689" s="390">
        <v>0.36963148221104075</v>
      </c>
      <c r="Q6689" s="390">
        <v>0.70498746724586014</v>
      </c>
      <c r="R6689" s="390">
        <v>1.1019804297821976</v>
      </c>
      <c r="S6689" s="390">
        <v>3.1015490264410337</v>
      </c>
      <c r="T6689" s="388">
        <v>11.180620151448462</v>
      </c>
      <c r="U6689" s="388"/>
      <c r="V6689" s="391"/>
      <c r="W6689" s="391"/>
      <c r="X6689" s="391"/>
      <c r="Y6689" s="792"/>
      <c r="Z6689" s="388">
        <v>25</v>
      </c>
      <c r="AA6689" s="391">
        <v>1.1019804297821976</v>
      </c>
      <c r="AC6689" s="388"/>
      <c r="AD6689" s="388">
        <v>17.498567999999999</v>
      </c>
      <c r="AE6689" s="388">
        <v>0.35356799999999999</v>
      </c>
      <c r="AF6689" s="388">
        <v>6.1867312399999985</v>
      </c>
      <c r="AG6689" s="391">
        <v>1.2005052655613577</v>
      </c>
      <c r="AH6689" s="397"/>
      <c r="AQ6689" s="397"/>
      <c r="AR6689" s="397"/>
      <c r="AS6689" s="397"/>
      <c r="AT6689" s="397"/>
      <c r="BE6689" s="397"/>
      <c r="BF6689" s="397"/>
      <c r="BG6689" s="397"/>
      <c r="BH6689" s="397"/>
      <c r="BI6689" s="397"/>
      <c r="BJ6689" s="397"/>
      <c r="BK6689" s="397"/>
      <c r="BL6689" s="397"/>
      <c r="BM6689" s="397"/>
      <c r="BN6689" s="397"/>
      <c r="BO6689" s="397"/>
      <c r="BP6689" s="397"/>
      <c r="BQ6689" s="397"/>
      <c r="BR6689" s="397"/>
      <c r="BS6689" s="397"/>
      <c r="BT6689" s="397"/>
      <c r="BU6689" s="397"/>
      <c r="BV6689" s="397"/>
      <c r="BW6689" s="397"/>
      <c r="BX6689" s="397"/>
      <c r="BY6689" s="397"/>
      <c r="CA6689" s="392" t="s">
        <v>408</v>
      </c>
    </row>
    <row r="6690" spans="1:79" s="392" customFormat="1" ht="15" x14ac:dyDescent="0.25">
      <c r="A6690" s="430"/>
      <c r="B6690" s="386"/>
      <c r="C6690" s="386"/>
      <c r="D6690" s="434"/>
      <c r="E6690" s="385"/>
      <c r="F6690" s="432"/>
      <c r="G6690" s="401"/>
      <c r="H6690" s="401">
        <v>3</v>
      </c>
      <c r="I6690" s="401"/>
      <c r="J6690" s="401"/>
      <c r="K6690" s="401"/>
      <c r="L6690" s="672"/>
      <c r="M6690" s="673">
        <v>32321</v>
      </c>
      <c r="N6690" s="624">
        <v>5.4506826220864886</v>
      </c>
      <c r="O6690" s="625">
        <v>4.7347018639106661E-2</v>
      </c>
      <c r="P6690" s="390">
        <v>0.45558590353606393</v>
      </c>
      <c r="Q6690" s="390">
        <v>1.100071327456662</v>
      </c>
      <c r="R6690" s="390">
        <v>1.7449956538658176</v>
      </c>
      <c r="S6690" s="390">
        <v>25.192710660843233</v>
      </c>
      <c r="T6690" s="388">
        <v>32.200037328130406</v>
      </c>
      <c r="U6690" s="388"/>
      <c r="V6690" s="391"/>
      <c r="W6690" s="391"/>
      <c r="X6690" s="391"/>
      <c r="Y6690" s="792"/>
      <c r="Z6690" s="388">
        <v>36</v>
      </c>
      <c r="AA6690" s="391">
        <v>1.7449956538658176</v>
      </c>
      <c r="AC6690" s="388"/>
      <c r="AD6690" s="388">
        <v>12.865608000000002</v>
      </c>
      <c r="AE6690" s="388">
        <v>0.37795200000000001</v>
      </c>
      <c r="AF6690" s="388">
        <v>4.8624231599999996</v>
      </c>
      <c r="AG6690" s="391">
        <v>1.1201610792189234</v>
      </c>
      <c r="AH6690" s="397"/>
      <c r="AQ6690" s="397"/>
      <c r="AR6690" s="397"/>
      <c r="AS6690" s="397"/>
      <c r="AT6690" s="397"/>
      <c r="BE6690" s="397"/>
      <c r="BF6690" s="397"/>
      <c r="BG6690" s="397"/>
      <c r="BH6690" s="397"/>
      <c r="BI6690" s="397"/>
      <c r="BJ6690" s="397"/>
      <c r="BK6690" s="397"/>
      <c r="BL6690" s="397"/>
      <c r="BM6690" s="397"/>
      <c r="BN6690" s="397"/>
      <c r="BO6690" s="397"/>
      <c r="BP6690" s="397"/>
      <c r="BQ6690" s="397"/>
      <c r="BR6690" s="397"/>
      <c r="BS6690" s="397"/>
      <c r="BT6690" s="397"/>
      <c r="BU6690" s="397"/>
      <c r="BV6690" s="397"/>
      <c r="BW6690" s="397"/>
      <c r="BX6690" s="397"/>
      <c r="BY6690" s="397"/>
      <c r="CA6690" s="392" t="s">
        <v>408</v>
      </c>
    </row>
    <row r="6691" spans="1:79" s="392" customFormat="1" ht="15" x14ac:dyDescent="0.25">
      <c r="A6691" s="430"/>
      <c r="B6691" s="386"/>
      <c r="C6691" s="386"/>
      <c r="D6691" s="434"/>
      <c r="E6691" s="385"/>
      <c r="F6691" s="432"/>
      <c r="G6691" s="401"/>
      <c r="H6691" s="401">
        <v>3</v>
      </c>
      <c r="I6691" s="401"/>
      <c r="J6691" s="401"/>
      <c r="K6691" s="401"/>
      <c r="L6691" s="672"/>
      <c r="M6691" s="673">
        <v>32321</v>
      </c>
      <c r="N6691" s="624">
        <v>6.0516719427885333</v>
      </c>
      <c r="O6691" s="625">
        <v>4.2345231309367994E-2</v>
      </c>
      <c r="P6691" s="390">
        <v>0.52630856174458274</v>
      </c>
      <c r="Q6691" s="390">
        <v>1.2279974611746078</v>
      </c>
      <c r="R6691" s="390">
        <v>1.7253032075446035</v>
      </c>
      <c r="S6691" s="390">
        <v>3.9200618157711182</v>
      </c>
      <c r="T6691" s="388">
        <v>6.7642670608128626</v>
      </c>
      <c r="U6691" s="388"/>
      <c r="V6691" s="391"/>
      <c r="W6691" s="391"/>
      <c r="X6691" s="391"/>
      <c r="Y6691" s="792"/>
      <c r="Z6691" s="388">
        <v>18</v>
      </c>
      <c r="AA6691" s="391">
        <v>1.7253032075446035</v>
      </c>
      <c r="AC6691" s="388"/>
      <c r="AD6691" s="388">
        <v>17.593056000000001</v>
      </c>
      <c r="AE6691" s="388">
        <v>0.30784800000000001</v>
      </c>
      <c r="AF6691" s="388">
        <v>5.4158098799999994</v>
      </c>
      <c r="AG6691" s="391">
        <v>1.1165914601736453</v>
      </c>
      <c r="AH6691" s="397"/>
      <c r="AQ6691" s="397"/>
      <c r="AR6691" s="397"/>
      <c r="AS6691" s="397"/>
      <c r="AT6691" s="397"/>
      <c r="BE6691" s="397"/>
      <c r="BF6691" s="397"/>
      <c r="BG6691" s="397"/>
      <c r="BH6691" s="397"/>
      <c r="BI6691" s="397"/>
      <c r="BJ6691" s="397"/>
      <c r="BK6691" s="397"/>
      <c r="BL6691" s="397"/>
      <c r="BM6691" s="397"/>
      <c r="BN6691" s="397"/>
      <c r="BO6691" s="397"/>
      <c r="BP6691" s="397"/>
      <c r="BQ6691" s="397"/>
      <c r="BR6691" s="397"/>
      <c r="BS6691" s="397"/>
      <c r="BT6691" s="397"/>
      <c r="BU6691" s="397"/>
      <c r="BV6691" s="397"/>
      <c r="BW6691" s="397"/>
      <c r="BX6691" s="397"/>
      <c r="BY6691" s="397"/>
      <c r="CA6691" s="392" t="s">
        <v>408</v>
      </c>
    </row>
    <row r="6692" spans="1:79" s="392" customFormat="1" ht="15" x14ac:dyDescent="0.25">
      <c r="A6692" s="430"/>
      <c r="B6692" s="386"/>
      <c r="C6692" s="386"/>
      <c r="D6692" s="434"/>
      <c r="E6692" s="385"/>
      <c r="F6692" s="432"/>
      <c r="G6692" s="401"/>
      <c r="H6692" s="401">
        <v>3</v>
      </c>
      <c r="I6692" s="401"/>
      <c r="J6692" s="401"/>
      <c r="K6692" s="401"/>
      <c r="L6692" s="672"/>
      <c r="M6692" s="673">
        <v>32323</v>
      </c>
      <c r="N6692" s="624">
        <v>4.6409527164668614</v>
      </c>
      <c r="O6692" s="625">
        <v>2.0669402139373912E-2</v>
      </c>
      <c r="P6692" s="390">
        <v>0.41464542605463112</v>
      </c>
      <c r="Q6692" s="390">
        <v>0.90380067469202308</v>
      </c>
      <c r="R6692" s="390">
        <v>1.2743394132701518</v>
      </c>
      <c r="S6692" s="390">
        <v>2.8460888800403441</v>
      </c>
      <c r="T6692" s="388">
        <v>4.1759897729406594</v>
      </c>
      <c r="U6692" s="388"/>
      <c r="V6692" s="391"/>
      <c r="W6692" s="391"/>
      <c r="X6692" s="391"/>
      <c r="Y6692" s="792"/>
      <c r="Z6692" s="388">
        <v>14</v>
      </c>
      <c r="AA6692" s="391">
        <v>1.2743394132701518</v>
      </c>
      <c r="AC6692" s="388"/>
      <c r="AD6692" s="388">
        <v>12.868656</v>
      </c>
      <c r="AE6692" s="388">
        <v>0.347472</v>
      </c>
      <c r="AF6692" s="388">
        <v>4.4712769999999997</v>
      </c>
      <c r="AG6692" s="391">
        <v>1.0371890021147396</v>
      </c>
      <c r="AH6692" s="397"/>
      <c r="AQ6692" s="397"/>
      <c r="AR6692" s="397"/>
      <c r="AS6692" s="397"/>
      <c r="AT6692" s="397"/>
      <c r="BE6692" s="397"/>
      <c r="BF6692" s="397"/>
      <c r="BG6692" s="397"/>
      <c r="BH6692" s="397"/>
      <c r="BI6692" s="397"/>
      <c r="BJ6692" s="397"/>
      <c r="BK6692" s="397"/>
      <c r="BL6692" s="397"/>
      <c r="BM6692" s="397"/>
      <c r="BN6692" s="397"/>
      <c r="BO6692" s="397"/>
      <c r="BP6692" s="397"/>
      <c r="BQ6692" s="397"/>
      <c r="BR6692" s="397"/>
      <c r="BS6692" s="397"/>
      <c r="BT6692" s="397"/>
      <c r="BU6692" s="397"/>
      <c r="BV6692" s="397"/>
      <c r="BW6692" s="397"/>
      <c r="BX6692" s="397"/>
      <c r="BY6692" s="397"/>
      <c r="CA6692" s="392" t="s">
        <v>408</v>
      </c>
    </row>
    <row r="6693" spans="1:79" s="392" customFormat="1" ht="15" x14ac:dyDescent="0.25">
      <c r="A6693" s="430"/>
      <c r="B6693" s="386"/>
      <c r="C6693" s="386"/>
      <c r="D6693" s="434"/>
      <c r="E6693" s="385"/>
      <c r="F6693" s="432"/>
      <c r="G6693" s="401"/>
      <c r="H6693" s="401">
        <v>3</v>
      </c>
      <c r="I6693" s="401"/>
      <c r="J6693" s="401"/>
      <c r="K6693" s="401"/>
      <c r="L6693" s="672"/>
      <c r="M6693" s="673">
        <v>32323</v>
      </c>
      <c r="N6693" s="624">
        <v>4.5631726553741148</v>
      </c>
      <c r="O6693" s="625">
        <v>4.7427713144384001E-2</v>
      </c>
      <c r="P6693" s="390">
        <v>0.41145735434118397</v>
      </c>
      <c r="Q6693" s="390">
        <v>0.89717690444010612</v>
      </c>
      <c r="R6693" s="390">
        <v>1.3339680732320334</v>
      </c>
      <c r="S6693" s="390">
        <v>3.8819798424189678</v>
      </c>
      <c r="T6693" s="388">
        <v>9.7080017054700125</v>
      </c>
      <c r="U6693" s="388"/>
      <c r="V6693" s="391"/>
      <c r="W6693" s="391"/>
      <c r="X6693" s="391"/>
      <c r="Y6693" s="792"/>
      <c r="Z6693" s="388">
        <v>16</v>
      </c>
      <c r="AA6693" s="391">
        <v>1.3339680732320334</v>
      </c>
      <c r="AC6693" s="388"/>
      <c r="AD6693" s="388">
        <v>17.577816000000002</v>
      </c>
      <c r="AE6693" s="388">
        <v>0.26212800000000003</v>
      </c>
      <c r="AF6693" s="388">
        <v>4.60748698</v>
      </c>
      <c r="AG6693" s="391">
        <v>0.98965795453855099</v>
      </c>
      <c r="AH6693" s="397"/>
      <c r="AQ6693" s="397"/>
      <c r="AR6693" s="397"/>
      <c r="AS6693" s="397"/>
      <c r="AT6693" s="397"/>
      <c r="BE6693" s="397"/>
      <c r="BF6693" s="397"/>
      <c r="BG6693" s="397"/>
      <c r="BH6693" s="397"/>
      <c r="BI6693" s="397"/>
      <c r="BJ6693" s="397"/>
      <c r="BK6693" s="397"/>
      <c r="BL6693" s="397"/>
      <c r="BM6693" s="397"/>
      <c r="BN6693" s="397"/>
      <c r="BO6693" s="397"/>
      <c r="BP6693" s="397"/>
      <c r="BQ6693" s="397"/>
      <c r="BR6693" s="397"/>
      <c r="BS6693" s="397"/>
      <c r="BT6693" s="397"/>
      <c r="BU6693" s="397"/>
      <c r="BV6693" s="397"/>
      <c r="BW6693" s="397"/>
      <c r="BX6693" s="397"/>
      <c r="BY6693" s="397"/>
      <c r="CA6693" s="392" t="s">
        <v>408</v>
      </c>
    </row>
    <row r="6694" spans="1:79" s="392" customFormat="1" ht="15" x14ac:dyDescent="0.25">
      <c r="A6694" s="430"/>
      <c r="B6694" s="386"/>
      <c r="C6694" s="386"/>
      <c r="D6694" s="434"/>
      <c r="E6694" s="385"/>
      <c r="F6694" s="432"/>
      <c r="G6694" s="401"/>
      <c r="H6694" s="401">
        <v>3</v>
      </c>
      <c r="I6694" s="401"/>
      <c r="J6694" s="401"/>
      <c r="K6694" s="401"/>
      <c r="L6694" s="672"/>
      <c r="M6694" s="673">
        <v>32325</v>
      </c>
      <c r="N6694" s="624">
        <v>4.1830669612010825</v>
      </c>
      <c r="O6694" s="625">
        <v>3.1606336787199998E-2</v>
      </c>
      <c r="P6694" s="390">
        <v>0.40564935083207904</v>
      </c>
      <c r="Q6694" s="390">
        <v>0.88498739598957488</v>
      </c>
      <c r="R6694" s="390">
        <v>1.2589396327548776</v>
      </c>
      <c r="S6694" s="390">
        <v>2.8970873312866154</v>
      </c>
      <c r="T6694" s="388">
        <v>4.7556682655381231</v>
      </c>
      <c r="U6694" s="388"/>
      <c r="V6694" s="391"/>
      <c r="W6694" s="391"/>
      <c r="X6694" s="391"/>
      <c r="Y6694" s="792"/>
      <c r="Z6694" s="388">
        <v>11</v>
      </c>
      <c r="AA6694" s="391">
        <v>1.2589396327548776</v>
      </c>
      <c r="AC6694" s="388"/>
      <c r="AD6694" s="388">
        <v>17.410176</v>
      </c>
      <c r="AE6694" s="388">
        <v>0.24993599999999999</v>
      </c>
      <c r="AF6694" s="388">
        <v>4.3512873599999988</v>
      </c>
      <c r="AG6694" s="391">
        <v>0.96063716943635236</v>
      </c>
      <c r="AH6694" s="397"/>
      <c r="AQ6694" s="397"/>
      <c r="AR6694" s="397"/>
      <c r="AS6694" s="397"/>
      <c r="AT6694" s="397"/>
      <c r="BE6694" s="397"/>
      <c r="BF6694" s="397"/>
      <c r="BG6694" s="397"/>
      <c r="BH6694" s="397"/>
      <c r="BI6694" s="397"/>
      <c r="BJ6694" s="397"/>
      <c r="BK6694" s="397"/>
      <c r="BL6694" s="397"/>
      <c r="BM6694" s="397"/>
      <c r="BN6694" s="397"/>
      <c r="BO6694" s="397"/>
      <c r="BP6694" s="397"/>
      <c r="BQ6694" s="397"/>
      <c r="BR6694" s="397"/>
      <c r="BS6694" s="397"/>
      <c r="BT6694" s="397"/>
      <c r="BU6694" s="397"/>
      <c r="BV6694" s="397"/>
      <c r="BW6694" s="397"/>
      <c r="BX6694" s="397"/>
      <c r="BY6694" s="397"/>
      <c r="CA6694" s="392" t="s">
        <v>408</v>
      </c>
    </row>
    <row r="6695" spans="1:79" s="392" customFormat="1" ht="15" x14ac:dyDescent="0.25">
      <c r="A6695" s="430"/>
      <c r="B6695" s="386"/>
      <c r="C6695" s="386"/>
      <c r="D6695" s="434"/>
      <c r="E6695" s="385"/>
      <c r="F6695" s="432"/>
      <c r="G6695" s="401"/>
      <c r="H6695" s="401">
        <v>3</v>
      </c>
      <c r="I6695" s="401"/>
      <c r="J6695" s="401"/>
      <c r="K6695" s="401"/>
      <c r="L6695" s="672"/>
      <c r="M6695" s="673">
        <v>32328</v>
      </c>
      <c r="N6695" s="624">
        <v>3.8177243094761057</v>
      </c>
      <c r="O6695" s="625">
        <v>5.136243060826667E-3</v>
      </c>
      <c r="P6695" s="390">
        <v>0.3794738927515387</v>
      </c>
      <c r="Q6695" s="390">
        <v>0.72850217331336142</v>
      </c>
      <c r="R6695" s="390">
        <v>1.131140216837093</v>
      </c>
      <c r="S6695" s="390">
        <v>3.2475569800303865</v>
      </c>
      <c r="T6695" s="388">
        <v>8.1776451895736724</v>
      </c>
      <c r="U6695" s="388"/>
      <c r="V6695" s="391"/>
      <c r="W6695" s="391"/>
      <c r="X6695" s="391"/>
      <c r="Y6695" s="792"/>
      <c r="Z6695" s="388">
        <v>12</v>
      </c>
      <c r="AA6695" s="391">
        <v>1.131140216837093</v>
      </c>
      <c r="AC6695" s="388"/>
      <c r="AD6695" s="388">
        <v>10.344911999999999</v>
      </c>
      <c r="AE6695" s="388">
        <v>0.35356799999999999</v>
      </c>
      <c r="AF6695" s="388">
        <v>3.6575101599999997</v>
      </c>
      <c r="AG6695" s="391">
        <v>1.0430409449905083</v>
      </c>
      <c r="AH6695" s="397"/>
      <c r="AQ6695" s="397"/>
      <c r="AR6695" s="397"/>
      <c r="AS6695" s="397"/>
      <c r="AT6695" s="397"/>
      <c r="BE6695" s="397"/>
      <c r="BF6695" s="397"/>
      <c r="BG6695" s="397"/>
      <c r="BH6695" s="397"/>
      <c r="BI6695" s="397"/>
      <c r="BJ6695" s="397"/>
      <c r="BK6695" s="397"/>
      <c r="BL6695" s="397"/>
      <c r="BM6695" s="397"/>
      <c r="BN6695" s="397"/>
      <c r="BO6695" s="397"/>
      <c r="BP6695" s="397"/>
      <c r="BQ6695" s="397"/>
      <c r="BR6695" s="397"/>
      <c r="BS6695" s="397"/>
      <c r="BT6695" s="397"/>
      <c r="BU6695" s="397"/>
      <c r="BV6695" s="397"/>
      <c r="BW6695" s="397"/>
      <c r="BX6695" s="397"/>
      <c r="BY6695" s="397"/>
      <c r="CA6695" s="392" t="s">
        <v>408</v>
      </c>
    </row>
    <row r="6696" spans="1:79" s="392" customFormat="1" ht="15" x14ac:dyDescent="0.25">
      <c r="A6696" s="430"/>
      <c r="B6696" s="386"/>
      <c r="C6696" s="386"/>
      <c r="D6696" s="434"/>
      <c r="E6696" s="385"/>
      <c r="F6696" s="432"/>
      <c r="G6696" s="401"/>
      <c r="H6696" s="401">
        <v>3</v>
      </c>
      <c r="I6696" s="401"/>
      <c r="J6696" s="401"/>
      <c r="K6696" s="401"/>
      <c r="L6696" s="672"/>
      <c r="M6696" s="673">
        <v>32329</v>
      </c>
      <c r="N6696" s="624">
        <v>3.5016627253071011</v>
      </c>
      <c r="O6696" s="625">
        <v>3.2369335261199996E-3</v>
      </c>
      <c r="P6696" s="390">
        <v>0.34609278456345821</v>
      </c>
      <c r="Q6696" s="390">
        <v>0.61557220667245827</v>
      </c>
      <c r="R6696" s="390">
        <v>0.94807751433917142</v>
      </c>
      <c r="S6696" s="390">
        <v>3.2860709643875943</v>
      </c>
      <c r="T6696" s="388">
        <v>9.126823378562797</v>
      </c>
      <c r="U6696" s="388"/>
      <c r="V6696" s="391"/>
      <c r="W6696" s="391"/>
      <c r="X6696" s="391"/>
      <c r="Y6696" s="792"/>
      <c r="Z6696" s="388">
        <v>12</v>
      </c>
      <c r="AA6696" s="391">
        <v>0.94807751433917142</v>
      </c>
      <c r="AC6696" s="388"/>
      <c r="AD6696" s="388">
        <v>15.660624000000002</v>
      </c>
      <c r="AE6696" s="388">
        <v>0.24993599999999999</v>
      </c>
      <c r="AF6696" s="388">
        <v>3.9140256399999998</v>
      </c>
      <c r="AG6696" s="391">
        <v>0.89399066081495837</v>
      </c>
      <c r="AH6696" s="397"/>
      <c r="AQ6696" s="397"/>
      <c r="AR6696" s="397"/>
      <c r="AS6696" s="397"/>
      <c r="AT6696" s="397"/>
      <c r="BE6696" s="397"/>
      <c r="BF6696" s="397"/>
      <c r="BG6696" s="397"/>
      <c r="BH6696" s="397"/>
      <c r="BI6696" s="397"/>
      <c r="BJ6696" s="397"/>
      <c r="BK6696" s="397"/>
      <c r="BL6696" s="397"/>
      <c r="BM6696" s="397"/>
      <c r="BN6696" s="397"/>
      <c r="BO6696" s="397"/>
      <c r="BP6696" s="397"/>
      <c r="BQ6696" s="397"/>
      <c r="BR6696" s="397"/>
      <c r="BS6696" s="397"/>
      <c r="BT6696" s="397"/>
      <c r="BU6696" s="397"/>
      <c r="BV6696" s="397"/>
      <c r="BW6696" s="397"/>
      <c r="BX6696" s="397"/>
      <c r="BY6696" s="397"/>
      <c r="CA6696" s="392" t="s">
        <v>408</v>
      </c>
    </row>
    <row r="6697" spans="1:79" s="189" customFormat="1" ht="15" x14ac:dyDescent="0.25">
      <c r="A6697" s="24" t="s">
        <v>432</v>
      </c>
      <c r="B6697" s="14" t="s">
        <v>34</v>
      </c>
      <c r="C6697" s="14"/>
      <c r="D6697" s="4">
        <f>VLOOKUP(E6697,'Quality Code'!$D$4:$E$24,2,TRUE)*VLOOKUP(MROUND(F6697,10),'Quality Code'!$D$28:$E$69,2,TRUE)*VLOOKUP(COUNTA(CB6697:CB6707),'Quality Code'!$D$73:$E$93,2,TRUE)</f>
        <v>0.3</v>
      </c>
      <c r="E6697" s="14">
        <v>0.6</v>
      </c>
      <c r="F6697" s="18">
        <v>22</v>
      </c>
      <c r="G6697" s="2"/>
      <c r="H6697" s="2" t="s">
        <v>105</v>
      </c>
      <c r="I6697" s="2"/>
      <c r="J6697" s="2"/>
      <c r="K6697" s="2"/>
      <c r="L6697" s="640"/>
      <c r="M6697" s="640">
        <v>1988</v>
      </c>
      <c r="N6697" s="578" t="s">
        <v>110</v>
      </c>
      <c r="O6697" s="622"/>
      <c r="P6697" s="376" t="s">
        <v>402</v>
      </c>
      <c r="Q6697" s="376" t="s">
        <v>403</v>
      </c>
      <c r="R6697" s="376" t="s">
        <v>404</v>
      </c>
      <c r="S6697" s="376" t="s">
        <v>405</v>
      </c>
      <c r="T6697" s="376" t="s">
        <v>406</v>
      </c>
      <c r="U6697" s="141" t="s">
        <v>20</v>
      </c>
      <c r="V6697" s="2"/>
      <c r="W6697" s="2"/>
      <c r="X6697" s="2"/>
      <c r="Y6697" s="2"/>
      <c r="Z6697" s="26"/>
      <c r="AA6697" s="26"/>
      <c r="AB6697" s="377"/>
      <c r="AC6697" s="26">
        <v>1.7999999999999999E-2</v>
      </c>
      <c r="AD6697" s="26"/>
      <c r="AE6697" s="26"/>
      <c r="AF6697" s="26"/>
      <c r="AG6697" s="26"/>
      <c r="AH6697" s="4"/>
      <c r="AI6697" s="376"/>
      <c r="AJ6697" s="376"/>
      <c r="AK6697" s="376"/>
      <c r="AL6697" s="376"/>
      <c r="AM6697" s="376"/>
      <c r="AN6697" s="376"/>
      <c r="AO6697" s="376"/>
      <c r="AP6697" s="376"/>
      <c r="AQ6697" s="378"/>
      <c r="AR6697" s="378"/>
      <c r="AS6697" s="378"/>
      <c r="AT6697" s="378"/>
      <c r="AU6697" s="379"/>
      <c r="AV6697" s="379"/>
      <c r="AW6697" s="379"/>
      <c r="AX6697" s="379"/>
      <c r="AY6697" s="379"/>
      <c r="AZ6697" s="380"/>
      <c r="BA6697" s="380"/>
      <c r="BB6697" s="380"/>
      <c r="BC6697" s="380"/>
      <c r="BD6697" s="380"/>
      <c r="BE6697" s="4"/>
      <c r="BF6697" s="4"/>
      <c r="BG6697" s="4"/>
      <c r="BH6697" s="4"/>
      <c r="BI6697" s="12"/>
      <c r="BJ6697" s="2"/>
      <c r="BK6697" s="2"/>
      <c r="BL6697" s="4"/>
      <c r="BM6697" s="12">
        <v>4.2507907604358621</v>
      </c>
      <c r="BN6697" s="12">
        <v>6.6964560000000004</v>
      </c>
      <c r="BO6697" s="12">
        <v>0.26012744651797909</v>
      </c>
      <c r="BP6697" s="4">
        <v>1.7418749999999998</v>
      </c>
      <c r="BQ6697" s="4">
        <v>25.742981333333329</v>
      </c>
      <c r="BR6697" s="4"/>
      <c r="BS6697" s="2"/>
      <c r="BT6697" s="9"/>
      <c r="BU6697" s="381"/>
      <c r="BV6697" s="382"/>
      <c r="BW6697" s="383"/>
      <c r="BX6697" s="383"/>
      <c r="BY6697" s="383"/>
      <c r="BZ6697" s="384"/>
      <c r="CA6697" s="411" t="s">
        <v>408</v>
      </c>
    </row>
    <row r="6698" spans="1:79" s="392" customFormat="1" ht="15" x14ac:dyDescent="0.25">
      <c r="A6698" s="385"/>
      <c r="B6698" s="386"/>
      <c r="C6698" s="386"/>
      <c r="D6698" s="700"/>
      <c r="E6698" s="385"/>
      <c r="F6698" s="400"/>
      <c r="G6698" s="401"/>
      <c r="H6698" s="401">
        <v>3</v>
      </c>
      <c r="I6698" s="401"/>
      <c r="J6698" s="401"/>
      <c r="K6698" s="401"/>
      <c r="L6698" s="672"/>
      <c r="M6698" s="673">
        <v>32294</v>
      </c>
      <c r="N6698" s="627">
        <v>1.1026888944975217</v>
      </c>
      <c r="O6698" s="625">
        <v>3.9336032438888884E-4</v>
      </c>
      <c r="P6698" s="390">
        <v>0.436219146757021</v>
      </c>
      <c r="Q6698" s="390">
        <v>1.0994368237422223</v>
      </c>
      <c r="R6698" s="390">
        <v>1.5820165647831206</v>
      </c>
      <c r="S6698" s="390">
        <v>3.3919273342272023</v>
      </c>
      <c r="T6698" s="388">
        <v>5.0199156001300738</v>
      </c>
      <c r="U6698" s="388"/>
      <c r="V6698" s="391"/>
      <c r="W6698" s="391"/>
      <c r="X6698" s="391"/>
      <c r="Y6698" s="792"/>
      <c r="Z6698" s="388">
        <v>9</v>
      </c>
      <c r="AA6698" s="391">
        <f t="shared" ref="AA6698:AA6719" si="57">R6698</f>
        <v>1.5820165647831206</v>
      </c>
      <c r="AC6698" s="388"/>
      <c r="AD6698" s="388">
        <v>3.5204400000000002</v>
      </c>
      <c r="AE6698" s="388">
        <v>0.29565600000000003</v>
      </c>
      <c r="AF6698" s="388">
        <v>1.04080515</v>
      </c>
      <c r="AG6698" s="391">
        <v>1.0586829118812859</v>
      </c>
      <c r="AH6698" s="397"/>
      <c r="AQ6698" s="397"/>
      <c r="AR6698" s="397"/>
      <c r="AS6698" s="397"/>
      <c r="AT6698" s="397"/>
      <c r="BE6698" s="397"/>
      <c r="BF6698" s="397"/>
      <c r="BG6698" s="397"/>
      <c r="BH6698" s="397"/>
      <c r="BI6698" s="397"/>
      <c r="BJ6698" s="397"/>
      <c r="BK6698" s="397"/>
      <c r="BL6698" s="397"/>
      <c r="BM6698" s="397"/>
      <c r="BN6698" s="397"/>
      <c r="BO6698" s="397"/>
      <c r="BP6698" s="397"/>
      <c r="BQ6698" s="397"/>
      <c r="BR6698" s="397"/>
      <c r="BS6698" s="397"/>
      <c r="BT6698" s="397"/>
      <c r="BU6698" s="397"/>
      <c r="BV6698" s="397"/>
      <c r="BW6698" s="397"/>
      <c r="BX6698" s="397"/>
      <c r="BY6698" s="397"/>
    </row>
    <row r="6699" spans="1:79" s="392" customFormat="1" ht="15" x14ac:dyDescent="0.25">
      <c r="A6699" s="385"/>
      <c r="B6699" s="386"/>
      <c r="C6699" s="386"/>
      <c r="D6699" s="700"/>
      <c r="E6699" s="385"/>
      <c r="F6699" s="400"/>
      <c r="G6699" s="401"/>
      <c r="H6699" s="401">
        <v>3</v>
      </c>
      <c r="I6699" s="401"/>
      <c r="J6699" s="401"/>
      <c r="K6699" s="401"/>
      <c r="L6699" s="672"/>
      <c r="M6699" s="673">
        <v>32294</v>
      </c>
      <c r="N6699" s="627">
        <v>1.1026888944975217</v>
      </c>
      <c r="O6699" s="625">
        <v>5.2201228930666664E-3</v>
      </c>
      <c r="P6699" s="390">
        <v>0.36303089878605538</v>
      </c>
      <c r="Q6699" s="390">
        <v>0.87640027112064389</v>
      </c>
      <c r="R6699" s="390">
        <v>1.8133980669775835</v>
      </c>
      <c r="S6699" s="390">
        <v>6.7607044088746449</v>
      </c>
      <c r="T6699" s="388">
        <v>8.9766161665625877</v>
      </c>
      <c r="U6699" s="388"/>
      <c r="V6699" s="391"/>
      <c r="W6699" s="391"/>
      <c r="X6699" s="391"/>
      <c r="Y6699" s="792"/>
      <c r="Z6699" s="388">
        <v>10</v>
      </c>
      <c r="AA6699" s="391">
        <f t="shared" si="57"/>
        <v>1.8133980669775835</v>
      </c>
      <c r="AC6699" s="388"/>
      <c r="AD6699" s="388">
        <v>3.5204400000000002</v>
      </c>
      <c r="AE6699" s="388">
        <v>0.29565600000000003</v>
      </c>
      <c r="AF6699" s="388">
        <v>1.04080515</v>
      </c>
      <c r="AG6699" s="391">
        <v>1.0586829118812859</v>
      </c>
      <c r="AH6699" s="397"/>
      <c r="AQ6699" s="397"/>
      <c r="AR6699" s="397"/>
      <c r="AS6699" s="397"/>
      <c r="AT6699" s="397"/>
      <c r="BE6699" s="397"/>
      <c r="BF6699" s="397"/>
      <c r="BG6699" s="397"/>
      <c r="BH6699" s="397"/>
      <c r="BI6699" s="397"/>
      <c r="BJ6699" s="397"/>
      <c r="BK6699" s="397"/>
      <c r="BL6699" s="397"/>
      <c r="BM6699" s="397"/>
      <c r="BN6699" s="397"/>
      <c r="BO6699" s="397"/>
      <c r="BP6699" s="397"/>
      <c r="BQ6699" s="397"/>
      <c r="BR6699" s="397"/>
      <c r="BS6699" s="397"/>
      <c r="BT6699" s="397"/>
      <c r="BU6699" s="397"/>
      <c r="BV6699" s="397"/>
      <c r="BW6699" s="397"/>
      <c r="BX6699" s="397"/>
      <c r="BY6699" s="397"/>
    </row>
    <row r="6700" spans="1:79" s="392" customFormat="1" ht="15" x14ac:dyDescent="0.25">
      <c r="A6700" s="385"/>
      <c r="B6700" s="386"/>
      <c r="C6700" s="386"/>
      <c r="D6700" s="700"/>
      <c r="E6700" s="385"/>
      <c r="F6700" s="400"/>
      <c r="G6700" s="401"/>
      <c r="H6700" s="401">
        <v>3</v>
      </c>
      <c r="I6700" s="401"/>
      <c r="J6700" s="401"/>
      <c r="K6700" s="401"/>
      <c r="L6700" s="672"/>
      <c r="M6700" s="673">
        <v>32299</v>
      </c>
      <c r="N6700" s="627">
        <v>1.6003285229196071</v>
      </c>
      <c r="O6700" s="625">
        <v>1.0296040013939392E-2</v>
      </c>
      <c r="P6700" s="390">
        <v>0.69092412397118219</v>
      </c>
      <c r="Q6700" s="390">
        <v>1.628216090376468</v>
      </c>
      <c r="R6700" s="390">
        <v>2.496939300083175</v>
      </c>
      <c r="S6700" s="390">
        <v>7.8872960259480767</v>
      </c>
      <c r="T6700" s="388">
        <v>16.069089682179104</v>
      </c>
      <c r="U6700" s="388"/>
      <c r="V6700" s="391"/>
      <c r="W6700" s="391"/>
      <c r="X6700" s="391"/>
      <c r="Y6700" s="792"/>
      <c r="Z6700" s="388">
        <v>21</v>
      </c>
      <c r="AA6700" s="391">
        <f t="shared" si="57"/>
        <v>2.496939300083175</v>
      </c>
      <c r="AC6700" s="388"/>
      <c r="AD6700" s="388">
        <v>3.4137599999999999</v>
      </c>
      <c r="AE6700" s="388">
        <v>0.35052</v>
      </c>
      <c r="AF6700" s="388">
        <v>1.1965519999999998</v>
      </c>
      <c r="AG6700" s="391">
        <v>1.3364721212192765</v>
      </c>
      <c r="AH6700" s="397"/>
      <c r="AQ6700" s="397"/>
      <c r="AR6700" s="397"/>
      <c r="AS6700" s="397"/>
      <c r="AT6700" s="397"/>
      <c r="BE6700" s="397"/>
      <c r="BF6700" s="397"/>
      <c r="BG6700" s="397"/>
      <c r="BH6700" s="397"/>
      <c r="BI6700" s="397"/>
      <c r="BJ6700" s="397"/>
      <c r="BK6700" s="397"/>
      <c r="BL6700" s="397"/>
      <c r="BM6700" s="397"/>
      <c r="BN6700" s="397"/>
      <c r="BO6700" s="397"/>
      <c r="BP6700" s="397"/>
      <c r="BQ6700" s="397"/>
      <c r="BR6700" s="397"/>
      <c r="BS6700" s="397"/>
      <c r="BT6700" s="397"/>
      <c r="BU6700" s="397"/>
      <c r="BV6700" s="397"/>
      <c r="BW6700" s="397"/>
      <c r="BX6700" s="397"/>
      <c r="BY6700" s="397"/>
    </row>
    <row r="6701" spans="1:79" s="392" customFormat="1" ht="15" x14ac:dyDescent="0.25">
      <c r="A6701" s="385"/>
      <c r="B6701" s="386"/>
      <c r="C6701" s="386"/>
      <c r="D6701" s="700"/>
      <c r="E6701" s="385"/>
      <c r="F6701" s="400"/>
      <c r="G6701" s="401"/>
      <c r="H6701" s="401">
        <v>3</v>
      </c>
      <c r="I6701" s="401"/>
      <c r="J6701" s="401"/>
      <c r="K6701" s="401"/>
      <c r="L6701" s="672"/>
      <c r="M6701" s="673">
        <v>32300</v>
      </c>
      <c r="N6701" s="627">
        <v>2.834585417192502</v>
      </c>
      <c r="O6701" s="625">
        <v>1.6058782697185182E-2</v>
      </c>
      <c r="P6701" s="390">
        <v>0.32793462555986175</v>
      </c>
      <c r="Q6701" s="390">
        <v>0.66799357762063372</v>
      </c>
      <c r="R6701" s="390">
        <v>1.1572470785559787</v>
      </c>
      <c r="S6701" s="390">
        <v>4.8676365313362755</v>
      </c>
      <c r="T6701" s="388">
        <v>9.0799552380652226</v>
      </c>
      <c r="U6701" s="388"/>
      <c r="V6701" s="391"/>
      <c r="W6701" s="391"/>
      <c r="X6701" s="391"/>
      <c r="Y6701" s="792"/>
      <c r="Z6701" s="388">
        <v>10</v>
      </c>
      <c r="AA6701" s="391">
        <f t="shared" si="57"/>
        <v>1.1572470785559787</v>
      </c>
      <c r="AC6701" s="388"/>
      <c r="AD6701" s="388">
        <v>3.3893759999999999</v>
      </c>
      <c r="AE6701" s="388">
        <v>0.46939200000000003</v>
      </c>
      <c r="AF6701" s="388">
        <v>1.5908939200000001</v>
      </c>
      <c r="AG6701" s="391">
        <v>1.7804536055782312</v>
      </c>
      <c r="AH6701" s="397"/>
      <c r="AQ6701" s="397"/>
      <c r="AR6701" s="397"/>
      <c r="AS6701" s="397"/>
      <c r="AT6701" s="397"/>
      <c r="BE6701" s="397"/>
      <c r="BF6701" s="397"/>
      <c r="BG6701" s="397"/>
      <c r="BH6701" s="397"/>
      <c r="BI6701" s="397"/>
      <c r="BJ6701" s="397"/>
      <c r="BK6701" s="397"/>
      <c r="BL6701" s="397"/>
      <c r="BM6701" s="397"/>
      <c r="BN6701" s="397"/>
      <c r="BO6701" s="397"/>
      <c r="BP6701" s="397"/>
      <c r="BQ6701" s="397"/>
      <c r="BR6701" s="397"/>
      <c r="BS6701" s="397"/>
      <c r="BT6701" s="397"/>
      <c r="BU6701" s="397"/>
      <c r="BV6701" s="397"/>
      <c r="BW6701" s="397"/>
      <c r="BX6701" s="397"/>
      <c r="BY6701" s="397"/>
    </row>
    <row r="6702" spans="1:79" s="392" customFormat="1" ht="15" x14ac:dyDescent="0.25">
      <c r="A6702" s="385"/>
      <c r="B6702" s="386"/>
      <c r="C6702" s="386"/>
      <c r="D6702" s="700"/>
      <c r="E6702" s="385"/>
      <c r="F6702" s="400"/>
      <c r="G6702" s="401"/>
      <c r="H6702" s="401">
        <v>3</v>
      </c>
      <c r="I6702" s="401"/>
      <c r="J6702" s="401"/>
      <c r="K6702" s="401"/>
      <c r="L6702" s="672"/>
      <c r="M6702" s="673">
        <v>32300</v>
      </c>
      <c r="N6702" s="627">
        <v>2.834585417192502</v>
      </c>
      <c r="O6702" s="625">
        <v>2.9599940799999998E-2</v>
      </c>
      <c r="P6702" s="390">
        <v>0.33344235085678658</v>
      </c>
      <c r="Q6702" s="390">
        <v>0.60373642093268454</v>
      </c>
      <c r="R6702" s="390">
        <v>0.94236107372397859</v>
      </c>
      <c r="S6702" s="390">
        <v>4.5288526937109257</v>
      </c>
      <c r="T6702" s="388">
        <v>10.412918297212837</v>
      </c>
      <c r="U6702" s="388"/>
      <c r="V6702" s="391"/>
      <c r="W6702" s="391"/>
      <c r="X6702" s="391"/>
      <c r="Y6702" s="792"/>
      <c r="Z6702" s="388">
        <v>20</v>
      </c>
      <c r="AA6702" s="391">
        <f t="shared" si="57"/>
        <v>0.94236107372397859</v>
      </c>
      <c r="AC6702" s="388"/>
      <c r="AD6702" s="388">
        <v>3.4777680000000002</v>
      </c>
      <c r="AE6702" s="388">
        <v>0.454152</v>
      </c>
      <c r="AF6702" s="388">
        <v>1.57938361</v>
      </c>
      <c r="AG6702" s="391">
        <v>1.7934292834382939</v>
      </c>
      <c r="AH6702" s="397"/>
      <c r="AQ6702" s="397"/>
      <c r="AR6702" s="397"/>
      <c r="AS6702" s="397"/>
      <c r="AT6702" s="397"/>
      <c r="BE6702" s="397"/>
      <c r="BF6702" s="397"/>
      <c r="BG6702" s="397"/>
      <c r="BH6702" s="397"/>
      <c r="BI6702" s="397"/>
      <c r="BJ6702" s="397"/>
      <c r="BK6702" s="397"/>
      <c r="BL6702" s="397"/>
      <c r="BM6702" s="397"/>
      <c r="BN6702" s="397"/>
      <c r="BO6702" s="397"/>
      <c r="BP6702" s="397"/>
      <c r="BQ6702" s="397"/>
      <c r="BR6702" s="397"/>
      <c r="BS6702" s="397"/>
      <c r="BT6702" s="397"/>
      <c r="BU6702" s="397"/>
      <c r="BV6702" s="397"/>
      <c r="BW6702" s="397"/>
      <c r="BX6702" s="397"/>
      <c r="BY6702" s="397"/>
    </row>
    <row r="6703" spans="1:79" s="392" customFormat="1" ht="15" x14ac:dyDescent="0.25">
      <c r="A6703" s="385"/>
      <c r="B6703" s="386"/>
      <c r="C6703" s="386"/>
      <c r="D6703" s="700"/>
      <c r="E6703" s="385"/>
      <c r="F6703" s="400"/>
      <c r="G6703" s="401"/>
      <c r="H6703" s="401">
        <v>3</v>
      </c>
      <c r="I6703" s="401"/>
      <c r="J6703" s="401"/>
      <c r="K6703" s="401"/>
      <c r="L6703" s="672"/>
      <c r="M6703" s="673">
        <v>32302</v>
      </c>
      <c r="N6703" s="627">
        <v>2.834585417192502</v>
      </c>
      <c r="O6703" s="625">
        <v>9.8712602574399996E-2</v>
      </c>
      <c r="P6703" s="390">
        <v>0.80662573870897991</v>
      </c>
      <c r="Q6703" s="390">
        <v>3.1280726654862567</v>
      </c>
      <c r="R6703" s="390">
        <v>5.5877515197204009</v>
      </c>
      <c r="S6703" s="390">
        <v>15.810174744030903</v>
      </c>
      <c r="T6703" s="388">
        <v>21.750908306856747</v>
      </c>
      <c r="U6703" s="388"/>
      <c r="V6703" s="391"/>
      <c r="W6703" s="391"/>
      <c r="X6703" s="391"/>
      <c r="Y6703" s="792"/>
      <c r="Z6703" s="388">
        <v>24</v>
      </c>
      <c r="AA6703" s="391">
        <f t="shared" si="57"/>
        <v>5.5877515197204009</v>
      </c>
      <c r="AC6703" s="388"/>
      <c r="AD6703" s="388">
        <v>4.83108</v>
      </c>
      <c r="AE6703" s="388">
        <v>0.32613600000000004</v>
      </c>
      <c r="AF6703" s="388">
        <v>1.5755375500000002</v>
      </c>
      <c r="AG6703" s="391">
        <v>1.7978072410628905</v>
      </c>
      <c r="AH6703" s="397"/>
      <c r="AQ6703" s="397"/>
      <c r="AR6703" s="397"/>
      <c r="AS6703" s="397"/>
      <c r="AT6703" s="397"/>
      <c r="BE6703" s="397"/>
      <c r="BF6703" s="397"/>
      <c r="BG6703" s="397"/>
      <c r="BH6703" s="397"/>
      <c r="BI6703" s="397"/>
      <c r="BJ6703" s="397"/>
      <c r="BK6703" s="397"/>
      <c r="BL6703" s="397"/>
      <c r="BM6703" s="397"/>
      <c r="BN6703" s="397"/>
      <c r="BO6703" s="397"/>
      <c r="BP6703" s="397"/>
      <c r="BQ6703" s="397"/>
      <c r="BR6703" s="397"/>
      <c r="BS6703" s="397"/>
      <c r="BT6703" s="397"/>
      <c r="BU6703" s="397"/>
      <c r="BV6703" s="397"/>
      <c r="BW6703" s="397"/>
      <c r="BX6703" s="397"/>
      <c r="BY6703" s="397"/>
    </row>
    <row r="6704" spans="1:79" s="392" customFormat="1" ht="15" x14ac:dyDescent="0.25">
      <c r="A6704" s="385"/>
      <c r="B6704" s="386"/>
      <c r="C6704" s="386"/>
      <c r="D6704" s="700"/>
      <c r="E6704" s="385"/>
      <c r="F6704" s="400"/>
      <c r="G6704" s="401"/>
      <c r="H6704" s="401">
        <v>3</v>
      </c>
      <c r="I6704" s="401"/>
      <c r="J6704" s="401"/>
      <c r="K6704" s="401"/>
      <c r="L6704" s="672"/>
      <c r="M6704" s="673">
        <v>32306</v>
      </c>
      <c r="N6704" s="627">
        <v>2.3994239143999212</v>
      </c>
      <c r="O6704" s="625">
        <v>1.5015727544242423E-2</v>
      </c>
      <c r="P6704" s="390">
        <v>0.33081914239475119</v>
      </c>
      <c r="Q6704" s="390">
        <v>0.61453850462139004</v>
      </c>
      <c r="R6704" s="390">
        <v>0.97784034093984085</v>
      </c>
      <c r="S6704" s="390">
        <v>3.7375535269116313</v>
      </c>
      <c r="T6704" s="388">
        <v>8.8528993078005076</v>
      </c>
      <c r="U6704" s="388"/>
      <c r="V6704" s="391"/>
      <c r="W6704" s="391"/>
      <c r="X6704" s="391"/>
      <c r="Y6704" s="792"/>
      <c r="Z6704" s="388">
        <v>20</v>
      </c>
      <c r="AA6704" s="391">
        <f t="shared" si="57"/>
        <v>0.97784034093984085</v>
      </c>
      <c r="AC6704" s="388"/>
      <c r="AD6704" s="388">
        <v>4.8036479999999999</v>
      </c>
      <c r="AE6704" s="388">
        <v>0.28346400000000005</v>
      </c>
      <c r="AF6704" s="388">
        <v>1.36161672</v>
      </c>
      <c r="AG6704" s="391">
        <v>1.7608989818691663</v>
      </c>
      <c r="AH6704" s="397"/>
      <c r="AQ6704" s="397"/>
      <c r="AR6704" s="397"/>
      <c r="AS6704" s="397"/>
      <c r="AT6704" s="397"/>
      <c r="BE6704" s="397"/>
      <c r="BF6704" s="397"/>
      <c r="BG6704" s="397"/>
      <c r="BH6704" s="397"/>
      <c r="BI6704" s="397"/>
      <c r="BJ6704" s="397"/>
      <c r="BK6704" s="397"/>
      <c r="BL6704" s="397"/>
      <c r="BM6704" s="397"/>
      <c r="BN6704" s="397"/>
      <c r="BO6704" s="397"/>
      <c r="BP6704" s="397"/>
      <c r="BQ6704" s="397"/>
      <c r="BR6704" s="397"/>
      <c r="BS6704" s="397"/>
      <c r="BT6704" s="397"/>
      <c r="BU6704" s="397"/>
      <c r="BV6704" s="397"/>
      <c r="BW6704" s="397"/>
      <c r="BX6704" s="397"/>
      <c r="BY6704" s="397"/>
    </row>
    <row r="6705" spans="1:80" s="392" customFormat="1" ht="15" x14ac:dyDescent="0.25">
      <c r="A6705" s="385"/>
      <c r="B6705" s="386"/>
      <c r="C6705" s="386"/>
      <c r="D6705" s="700"/>
      <c r="E6705" s="385"/>
      <c r="F6705" s="400"/>
      <c r="G6705" s="401"/>
      <c r="H6705" s="401">
        <v>3</v>
      </c>
      <c r="I6705" s="401"/>
      <c r="J6705" s="401"/>
      <c r="K6705" s="401"/>
      <c r="L6705" s="672"/>
      <c r="M6705" s="673">
        <v>32308</v>
      </c>
      <c r="N6705" s="627">
        <v>2.0265906806003686</v>
      </c>
      <c r="O6705" s="625">
        <v>1.3501806329666667E-2</v>
      </c>
      <c r="P6705" s="390">
        <v>0.42008678428696899</v>
      </c>
      <c r="Q6705" s="390">
        <v>0.98760765603700984</v>
      </c>
      <c r="R6705" s="390">
        <v>1.8279645537751499</v>
      </c>
      <c r="S6705" s="390">
        <v>22.8258842439988</v>
      </c>
      <c r="T6705" s="388">
        <v>27.544157364699238</v>
      </c>
      <c r="U6705" s="388"/>
      <c r="V6705" s="391"/>
      <c r="W6705" s="391"/>
      <c r="X6705" s="391"/>
      <c r="Y6705" s="792"/>
      <c r="Z6705" s="388">
        <v>30</v>
      </c>
      <c r="AA6705" s="391">
        <f t="shared" si="57"/>
        <v>1.8279645537751499</v>
      </c>
      <c r="AC6705" s="388"/>
      <c r="AD6705" s="388">
        <v>4.7945040000000008</v>
      </c>
      <c r="AE6705" s="388">
        <v>0.25908000000000003</v>
      </c>
      <c r="AF6705" s="388">
        <v>1.2421194499999999</v>
      </c>
      <c r="AG6705" s="391">
        <v>1.6303656395859809</v>
      </c>
      <c r="AH6705" s="397"/>
      <c r="AQ6705" s="397"/>
      <c r="AR6705" s="397"/>
      <c r="AS6705" s="397"/>
      <c r="AT6705" s="397"/>
      <c r="BE6705" s="397"/>
      <c r="BF6705" s="397"/>
      <c r="BG6705" s="397"/>
      <c r="BH6705" s="397"/>
      <c r="BI6705" s="397"/>
      <c r="BJ6705" s="397"/>
      <c r="BK6705" s="397"/>
      <c r="BL6705" s="397"/>
      <c r="BM6705" s="397"/>
      <c r="BN6705" s="397"/>
      <c r="BO6705" s="397"/>
      <c r="BP6705" s="397"/>
      <c r="BQ6705" s="397"/>
      <c r="BR6705" s="397"/>
      <c r="BS6705" s="397"/>
      <c r="BT6705" s="397"/>
      <c r="BU6705" s="397"/>
      <c r="BV6705" s="397"/>
      <c r="BW6705" s="397"/>
      <c r="BX6705" s="397"/>
      <c r="BY6705" s="397"/>
    </row>
    <row r="6706" spans="1:80" s="392" customFormat="1" ht="15" x14ac:dyDescent="0.25">
      <c r="A6706" s="385"/>
      <c r="B6706" s="386"/>
      <c r="C6706" s="386"/>
      <c r="D6706" s="700"/>
      <c r="E6706" s="385"/>
      <c r="F6706" s="400"/>
      <c r="G6706" s="401"/>
      <c r="H6706" s="401">
        <v>3</v>
      </c>
      <c r="I6706" s="401"/>
      <c r="J6706" s="401"/>
      <c r="K6706" s="401"/>
      <c r="L6706" s="672"/>
      <c r="M6706" s="673">
        <v>32308</v>
      </c>
      <c r="N6706" s="627">
        <v>1.9377728934571896</v>
      </c>
      <c r="O6706" s="625">
        <v>8.1173837651999994E-3</v>
      </c>
      <c r="P6706" s="390">
        <v>0.37942317329545611</v>
      </c>
      <c r="Q6706" s="390">
        <v>0.82655800406176483</v>
      </c>
      <c r="R6706" s="390">
        <v>1.6704028499053645</v>
      </c>
      <c r="S6706" s="390">
        <v>19.742303150142732</v>
      </c>
      <c r="T6706" s="388">
        <v>26.294934415696702</v>
      </c>
      <c r="U6706" s="388"/>
      <c r="V6706" s="391"/>
      <c r="W6706" s="391"/>
      <c r="X6706" s="391"/>
      <c r="Y6706" s="792"/>
      <c r="Z6706" s="388">
        <v>29</v>
      </c>
      <c r="AA6706" s="391">
        <f t="shared" si="57"/>
        <v>1.6704028499053645</v>
      </c>
      <c r="AC6706" s="388"/>
      <c r="AD6706" s="388">
        <v>4.8097440000000002</v>
      </c>
      <c r="AE6706" s="388">
        <v>0.24993599999999999</v>
      </c>
      <c r="AF6706" s="388">
        <v>1.2020888399999998</v>
      </c>
      <c r="AG6706" s="391">
        <v>1.6108260571423976</v>
      </c>
      <c r="AH6706" s="397"/>
      <c r="AQ6706" s="397"/>
      <c r="AR6706" s="397"/>
      <c r="AS6706" s="397"/>
      <c r="AT6706" s="397"/>
      <c r="BE6706" s="397"/>
      <c r="BF6706" s="397"/>
      <c r="BG6706" s="397"/>
      <c r="BH6706" s="397"/>
      <c r="BI6706" s="397"/>
      <c r="BJ6706" s="397"/>
      <c r="BK6706" s="397"/>
      <c r="BL6706" s="397"/>
      <c r="BM6706" s="397"/>
      <c r="BN6706" s="397"/>
      <c r="BO6706" s="397"/>
      <c r="BP6706" s="397"/>
      <c r="BQ6706" s="397"/>
      <c r="BR6706" s="397"/>
      <c r="BS6706" s="397"/>
      <c r="BT6706" s="397"/>
      <c r="BU6706" s="397"/>
      <c r="BV6706" s="397"/>
      <c r="BW6706" s="397"/>
      <c r="BX6706" s="397"/>
      <c r="BY6706" s="397"/>
    </row>
    <row r="6707" spans="1:80" s="392" customFormat="1" ht="15" x14ac:dyDescent="0.25">
      <c r="A6707" s="385"/>
      <c r="B6707" s="386"/>
      <c r="C6707" s="386"/>
      <c r="D6707" s="700"/>
      <c r="E6707" s="385"/>
      <c r="F6707" s="400"/>
      <c r="G6707" s="401"/>
      <c r="H6707" s="401">
        <v>3</v>
      </c>
      <c r="I6707" s="401"/>
      <c r="J6707" s="401"/>
      <c r="K6707" s="401"/>
      <c r="L6707" s="672"/>
      <c r="M6707" s="673">
        <v>32311</v>
      </c>
      <c r="N6707" s="627">
        <v>1.4942571769799622</v>
      </c>
      <c r="O6707" s="625">
        <v>4.9759900479999994E-3</v>
      </c>
      <c r="P6707" s="390">
        <v>0.43363445032522879</v>
      </c>
      <c r="Q6707" s="390">
        <v>0.99357799560510318</v>
      </c>
      <c r="R6707" s="390">
        <v>1.4269778717036263</v>
      </c>
      <c r="S6707" s="390">
        <v>3.8068560030532419</v>
      </c>
      <c r="T6707" s="388">
        <v>8.0189942247991315</v>
      </c>
      <c r="U6707" s="388"/>
      <c r="V6707" s="391"/>
      <c r="W6707" s="391"/>
      <c r="X6707" s="391"/>
      <c r="Y6707" s="792"/>
      <c r="Z6707" s="388">
        <v>11</v>
      </c>
      <c r="AA6707" s="391">
        <f t="shared" si="57"/>
        <v>1.4269778717036263</v>
      </c>
      <c r="AC6707" s="388"/>
      <c r="AD6707" s="388">
        <v>4.1818560000000007</v>
      </c>
      <c r="AE6707" s="388">
        <v>0.23774400000000001</v>
      </c>
      <c r="AF6707" s="388">
        <v>0.99417864</v>
      </c>
      <c r="AG6707" s="391">
        <v>1.5019077469172695</v>
      </c>
      <c r="AH6707" s="397"/>
      <c r="AQ6707" s="397"/>
      <c r="AR6707" s="397"/>
      <c r="AS6707" s="397"/>
      <c r="AT6707" s="397"/>
      <c r="BE6707" s="397"/>
      <c r="BF6707" s="397"/>
      <c r="BG6707" s="397"/>
      <c r="BH6707" s="397"/>
      <c r="BI6707" s="397"/>
      <c r="BJ6707" s="397"/>
      <c r="BK6707" s="397"/>
      <c r="BL6707" s="397"/>
      <c r="BM6707" s="397"/>
      <c r="BN6707" s="397"/>
      <c r="BO6707" s="397"/>
      <c r="BP6707" s="397"/>
      <c r="BQ6707" s="397"/>
      <c r="BR6707" s="397"/>
      <c r="BS6707" s="397"/>
      <c r="BT6707" s="397"/>
      <c r="BU6707" s="397"/>
      <c r="BV6707" s="397"/>
      <c r="BW6707" s="397"/>
      <c r="BX6707" s="397"/>
      <c r="BY6707" s="397"/>
    </row>
    <row r="6708" spans="1:80" s="392" customFormat="1" ht="15" x14ac:dyDescent="0.25">
      <c r="A6708" s="385"/>
      <c r="B6708" s="386"/>
      <c r="C6708" s="386"/>
      <c r="D6708" s="700"/>
      <c r="E6708" s="385"/>
      <c r="F6708" s="400"/>
      <c r="G6708" s="401"/>
      <c r="H6708" s="401">
        <v>3</v>
      </c>
      <c r="I6708" s="401"/>
      <c r="J6708" s="401"/>
      <c r="K6708" s="401"/>
      <c r="L6708" s="672"/>
      <c r="M6708" s="673">
        <v>32311</v>
      </c>
      <c r="N6708" s="627">
        <v>1.6003285229196071</v>
      </c>
      <c r="O6708" s="625">
        <v>6.2133209066666658E-3</v>
      </c>
      <c r="P6708" s="390">
        <v>0.41262593393204372</v>
      </c>
      <c r="Q6708" s="390">
        <v>0.91426839582593356</v>
      </c>
      <c r="R6708" s="390">
        <v>1.8877486253633877</v>
      </c>
      <c r="S6708" s="390">
        <v>8.8881065775114596</v>
      </c>
      <c r="T6708" s="388">
        <v>13.396766558292756</v>
      </c>
      <c r="U6708" s="388"/>
      <c r="V6708" s="391"/>
      <c r="W6708" s="391"/>
      <c r="X6708" s="391"/>
      <c r="Y6708" s="792"/>
      <c r="Z6708" s="388">
        <v>16</v>
      </c>
      <c r="AA6708" s="391">
        <f t="shared" si="57"/>
        <v>1.8877486253633877</v>
      </c>
      <c r="AC6708" s="388"/>
      <c r="AD6708" s="388">
        <v>4.812792</v>
      </c>
      <c r="AE6708" s="388">
        <v>0.21640799999999999</v>
      </c>
      <c r="AF6708" s="388">
        <v>1.0414926099999999</v>
      </c>
      <c r="AG6708" s="391">
        <v>1.5354486188713021</v>
      </c>
      <c r="AH6708" s="397"/>
      <c r="AQ6708" s="397"/>
      <c r="AR6708" s="397"/>
      <c r="AS6708" s="397"/>
      <c r="AT6708" s="397"/>
      <c r="BE6708" s="397"/>
      <c r="BF6708" s="397"/>
      <c r="BG6708" s="397"/>
      <c r="BH6708" s="397"/>
      <c r="BI6708" s="397"/>
      <c r="BJ6708" s="397"/>
      <c r="BK6708" s="397"/>
      <c r="BL6708" s="397"/>
      <c r="BM6708" s="397"/>
      <c r="BN6708" s="397"/>
      <c r="BO6708" s="397"/>
      <c r="BP6708" s="397"/>
      <c r="BQ6708" s="397"/>
      <c r="BR6708" s="397"/>
      <c r="BS6708" s="397"/>
      <c r="BT6708" s="397"/>
      <c r="BU6708" s="397"/>
      <c r="BV6708" s="397"/>
      <c r="BW6708" s="397"/>
      <c r="BX6708" s="397"/>
      <c r="BY6708" s="397"/>
    </row>
    <row r="6709" spans="1:80" s="392" customFormat="1" ht="15" x14ac:dyDescent="0.25">
      <c r="A6709" s="385"/>
      <c r="B6709" s="386"/>
      <c r="C6709" s="386"/>
      <c r="D6709" s="700"/>
      <c r="E6709" s="385"/>
      <c r="F6709" s="400"/>
      <c r="G6709" s="401"/>
      <c r="H6709" s="401">
        <v>3</v>
      </c>
      <c r="I6709" s="401"/>
      <c r="J6709" s="401"/>
      <c r="K6709" s="401"/>
      <c r="L6709" s="672"/>
      <c r="M6709" s="673">
        <v>32311</v>
      </c>
      <c r="N6709" s="627">
        <v>1.7374438845850382</v>
      </c>
      <c r="O6709" s="625">
        <v>4.6933239466666662E-3</v>
      </c>
      <c r="P6709" s="390">
        <v>0.3627969022518942</v>
      </c>
      <c r="Q6709" s="390">
        <v>0.69419085038909745</v>
      </c>
      <c r="R6709" s="390">
        <v>1.1237860111741418</v>
      </c>
      <c r="S6709" s="390">
        <v>3.7849395800030616</v>
      </c>
      <c r="T6709" s="388">
        <v>7.0037386893700404</v>
      </c>
      <c r="U6709" s="388"/>
      <c r="V6709" s="391"/>
      <c r="W6709" s="391"/>
      <c r="X6709" s="391"/>
      <c r="Y6709" s="792"/>
      <c r="Z6709" s="388">
        <v>13</v>
      </c>
      <c r="AA6709" s="391">
        <f t="shared" si="57"/>
        <v>1.1237860111741418</v>
      </c>
      <c r="AC6709" s="388"/>
      <c r="AD6709" s="388">
        <v>4.7853599999999998</v>
      </c>
      <c r="AE6709" s="388">
        <v>0.23164800000000002</v>
      </c>
      <c r="AF6709" s="388">
        <v>1.1084828</v>
      </c>
      <c r="AG6709" s="391">
        <v>1.5662611046429289</v>
      </c>
      <c r="AH6709" s="397"/>
      <c r="AQ6709" s="397"/>
      <c r="AR6709" s="397"/>
      <c r="AS6709" s="397"/>
      <c r="AT6709" s="397"/>
      <c r="BE6709" s="397"/>
      <c r="BF6709" s="397"/>
      <c r="BG6709" s="397"/>
      <c r="BH6709" s="397"/>
      <c r="BI6709" s="397"/>
      <c r="BJ6709" s="397"/>
      <c r="BK6709" s="397"/>
      <c r="BL6709" s="397"/>
      <c r="BM6709" s="397"/>
      <c r="BN6709" s="397"/>
      <c r="BO6709" s="397"/>
      <c r="BP6709" s="397"/>
      <c r="BQ6709" s="397"/>
      <c r="BR6709" s="397"/>
      <c r="BS6709" s="397"/>
      <c r="BT6709" s="397"/>
      <c r="BU6709" s="397"/>
      <c r="BV6709" s="397"/>
      <c r="BW6709" s="397"/>
      <c r="BX6709" s="397"/>
      <c r="BY6709" s="397"/>
    </row>
    <row r="6710" spans="1:80" s="392" customFormat="1" ht="15" x14ac:dyDescent="0.25">
      <c r="A6710" s="385"/>
      <c r="B6710" s="386"/>
      <c r="C6710" s="386"/>
      <c r="D6710" s="700"/>
      <c r="E6710" s="385"/>
      <c r="F6710" s="400"/>
      <c r="G6710" s="401"/>
      <c r="H6710" s="401">
        <v>3</v>
      </c>
      <c r="I6710" s="401"/>
      <c r="J6710" s="401"/>
      <c r="K6710" s="401"/>
      <c r="L6710" s="672"/>
      <c r="M6710" s="673">
        <v>32317</v>
      </c>
      <c r="N6710" s="627">
        <v>1.3412429977620735</v>
      </c>
      <c r="O6710" s="625">
        <v>1.8399963199999998E-3</v>
      </c>
      <c r="P6710" s="390">
        <v>0.42135992122520527</v>
      </c>
      <c r="Q6710" s="390">
        <v>0.93505621068879974</v>
      </c>
      <c r="R6710" s="390">
        <v>1.350626078013234</v>
      </c>
      <c r="S6710" s="390">
        <v>3.2731907373239348</v>
      </c>
      <c r="T6710" s="388">
        <v>5.3543195778050023</v>
      </c>
      <c r="U6710" s="388"/>
      <c r="V6710" s="391"/>
      <c r="W6710" s="391"/>
      <c r="X6710" s="391"/>
      <c r="Y6710" s="792"/>
      <c r="Z6710" s="388">
        <v>10</v>
      </c>
      <c r="AA6710" s="391">
        <f t="shared" si="57"/>
        <v>1.350626078013234</v>
      </c>
      <c r="AC6710" s="388"/>
      <c r="AD6710" s="388">
        <v>4.7335440000000002</v>
      </c>
      <c r="AE6710" s="388">
        <v>0.22860000000000003</v>
      </c>
      <c r="AF6710" s="388">
        <v>1.0820527499999999</v>
      </c>
      <c r="AG6710" s="391">
        <v>1.2386293583330314</v>
      </c>
      <c r="AH6710" s="397"/>
      <c r="AQ6710" s="397"/>
      <c r="AR6710" s="397"/>
      <c r="AS6710" s="397"/>
      <c r="AT6710" s="397"/>
      <c r="BE6710" s="397"/>
      <c r="BF6710" s="397"/>
      <c r="BG6710" s="397"/>
      <c r="BH6710" s="397"/>
      <c r="BI6710" s="397"/>
      <c r="BJ6710" s="397"/>
      <c r="BK6710" s="397"/>
      <c r="BL6710" s="397"/>
      <c r="BM6710" s="397"/>
      <c r="BN6710" s="397"/>
      <c r="BO6710" s="397"/>
      <c r="BP6710" s="397"/>
      <c r="BQ6710" s="397"/>
      <c r="BR6710" s="397"/>
      <c r="BS6710" s="397"/>
      <c r="BT6710" s="397"/>
      <c r="BU6710" s="397"/>
      <c r="BV6710" s="397"/>
      <c r="BW6710" s="397"/>
      <c r="BX6710" s="397"/>
      <c r="BY6710" s="397"/>
    </row>
    <row r="6711" spans="1:80" s="392" customFormat="1" ht="15" x14ac:dyDescent="0.25">
      <c r="A6711" s="385"/>
      <c r="B6711" s="386"/>
      <c r="C6711" s="386"/>
      <c r="D6711" s="700"/>
      <c r="E6711" s="385"/>
      <c r="F6711" s="400"/>
      <c r="G6711" s="401"/>
      <c r="H6711" s="401">
        <v>3</v>
      </c>
      <c r="I6711" s="401"/>
      <c r="J6711" s="401"/>
      <c r="K6711" s="401"/>
      <c r="L6711" s="672"/>
      <c r="M6711" s="673">
        <v>32317</v>
      </c>
      <c r="N6711" s="627">
        <v>1.468245421201376</v>
      </c>
      <c r="O6711" s="625">
        <v>1.1899976200000001E-3</v>
      </c>
      <c r="P6711" s="390">
        <v>0.40478790695111683</v>
      </c>
      <c r="Q6711" s="390">
        <v>0.85913239708876554</v>
      </c>
      <c r="R6711" s="390">
        <v>1.5107218870420942</v>
      </c>
      <c r="S6711" s="390">
        <v>5.7335687723537454</v>
      </c>
      <c r="T6711" s="388">
        <v>8.4401155054598629</v>
      </c>
      <c r="U6711" s="388"/>
      <c r="V6711" s="391"/>
      <c r="W6711" s="391"/>
      <c r="X6711" s="391"/>
      <c r="Y6711" s="792"/>
      <c r="Z6711" s="388">
        <v>10</v>
      </c>
      <c r="AA6711" s="391">
        <f t="shared" si="57"/>
        <v>1.5107218870420942</v>
      </c>
      <c r="AC6711" s="388"/>
      <c r="AD6711" s="388">
        <v>4.7609760000000003</v>
      </c>
      <c r="AE6711" s="388">
        <v>0.24079200000000003</v>
      </c>
      <c r="AF6711" s="388">
        <v>1.14636742</v>
      </c>
      <c r="AG6711" s="391">
        <v>1.2798443493935971</v>
      </c>
      <c r="AH6711" s="397"/>
      <c r="AQ6711" s="397"/>
      <c r="AR6711" s="397"/>
      <c r="AS6711" s="397"/>
      <c r="AT6711" s="397"/>
      <c r="BE6711" s="397"/>
      <c r="BF6711" s="397"/>
      <c r="BG6711" s="397"/>
      <c r="BH6711" s="397"/>
      <c r="BI6711" s="397"/>
      <c r="BJ6711" s="397"/>
      <c r="BK6711" s="397"/>
      <c r="BL6711" s="397"/>
      <c r="BM6711" s="397"/>
      <c r="BN6711" s="397"/>
      <c r="BO6711" s="397"/>
      <c r="BP6711" s="397"/>
      <c r="BQ6711" s="397"/>
      <c r="BR6711" s="397"/>
      <c r="BS6711" s="397"/>
      <c r="BT6711" s="397"/>
      <c r="BU6711" s="397"/>
      <c r="BV6711" s="397"/>
      <c r="BW6711" s="397"/>
      <c r="BX6711" s="397"/>
      <c r="BY6711" s="397"/>
    </row>
    <row r="6712" spans="1:80" s="392" customFormat="1" ht="15" x14ac:dyDescent="0.25">
      <c r="A6712" s="385"/>
      <c r="B6712" s="386"/>
      <c r="C6712" s="386"/>
      <c r="D6712" s="700"/>
      <c r="E6712" s="385"/>
      <c r="F6712" s="400"/>
      <c r="G6712" s="401"/>
      <c r="H6712" s="401">
        <v>3</v>
      </c>
      <c r="I6712" s="401"/>
      <c r="J6712" s="401"/>
      <c r="K6712" s="401"/>
      <c r="L6712" s="672"/>
      <c r="M6712" s="673">
        <v>32318</v>
      </c>
      <c r="N6712" s="627">
        <v>1.291876015917282</v>
      </c>
      <c r="O6712" s="625">
        <v>1.2635974727999999E-3</v>
      </c>
      <c r="P6712" s="390">
        <v>0.45850202160233561</v>
      </c>
      <c r="Q6712" s="390">
        <v>1.1004990461140423</v>
      </c>
      <c r="R6712" s="390">
        <v>1.5922342834824657</v>
      </c>
      <c r="S6712" s="390">
        <v>4.6620125903240686</v>
      </c>
      <c r="T6712" s="388">
        <v>8.2163144839016358</v>
      </c>
      <c r="U6712" s="388"/>
      <c r="V6712" s="391"/>
      <c r="W6712" s="391"/>
      <c r="X6712" s="391"/>
      <c r="Y6712" s="792"/>
      <c r="Z6712" s="388">
        <v>10</v>
      </c>
      <c r="AA6712" s="391">
        <f t="shared" si="57"/>
        <v>1.5922342834824657</v>
      </c>
      <c r="AC6712" s="388"/>
      <c r="AD6712" s="388">
        <v>3.56616</v>
      </c>
      <c r="AE6712" s="388">
        <v>0.48463200000000006</v>
      </c>
      <c r="AF6712" s="388">
        <v>1.7282187</v>
      </c>
      <c r="AG6712" s="391">
        <v>0.74697225407754264</v>
      </c>
      <c r="AH6712" s="397"/>
      <c r="AQ6712" s="397"/>
      <c r="AR6712" s="397"/>
      <c r="AS6712" s="397"/>
      <c r="AT6712" s="397"/>
      <c r="BE6712" s="397"/>
      <c r="BF6712" s="397"/>
      <c r="BG6712" s="397"/>
      <c r="BH6712" s="397"/>
      <c r="BI6712" s="397"/>
      <c r="BJ6712" s="397"/>
      <c r="BK6712" s="397"/>
      <c r="BL6712" s="397"/>
      <c r="BM6712" s="397"/>
      <c r="BN6712" s="397"/>
      <c r="BO6712" s="397"/>
      <c r="BP6712" s="397"/>
      <c r="BQ6712" s="397"/>
      <c r="BR6712" s="397"/>
      <c r="BS6712" s="397"/>
      <c r="BT6712" s="397"/>
      <c r="BU6712" s="397"/>
      <c r="BV6712" s="397"/>
      <c r="BW6712" s="397"/>
      <c r="BX6712" s="397"/>
      <c r="BY6712" s="397"/>
    </row>
    <row r="6713" spans="1:80" s="392" customFormat="1" ht="15" x14ac:dyDescent="0.25">
      <c r="A6713" s="385"/>
      <c r="B6713" s="386"/>
      <c r="C6713" s="386"/>
      <c r="D6713" s="700"/>
      <c r="E6713" s="385"/>
      <c r="F6713" s="400"/>
      <c r="G6713" s="401"/>
      <c r="H6713" s="401">
        <v>3</v>
      </c>
      <c r="I6713" s="401"/>
      <c r="J6713" s="401"/>
      <c r="K6713" s="401"/>
      <c r="L6713" s="672"/>
      <c r="M6713" s="673">
        <v>32318</v>
      </c>
      <c r="N6713" s="627">
        <v>1.6003285229196071</v>
      </c>
      <c r="O6713" s="625">
        <v>7.904650857333332E-3</v>
      </c>
      <c r="P6713" s="390">
        <v>0.42228422719417152</v>
      </c>
      <c r="Q6713" s="390">
        <v>1.0271875990358954</v>
      </c>
      <c r="R6713" s="390">
        <v>1.7583734232083958</v>
      </c>
      <c r="S6713" s="390">
        <v>6.4536377516661769</v>
      </c>
      <c r="T6713" s="388">
        <v>18.546183306392596</v>
      </c>
      <c r="U6713" s="388"/>
      <c r="V6713" s="391"/>
      <c r="W6713" s="391"/>
      <c r="X6713" s="391"/>
      <c r="Y6713" s="792"/>
      <c r="Z6713" s="388">
        <v>26</v>
      </c>
      <c r="AA6713" s="391">
        <f t="shared" si="57"/>
        <v>1.7583734232083958</v>
      </c>
      <c r="AC6713" s="388"/>
      <c r="AD6713" s="388">
        <v>4.3281599999999996</v>
      </c>
      <c r="AE6713" s="388">
        <v>0.37795200000000001</v>
      </c>
      <c r="AF6713" s="388">
        <v>1.6357831999999999</v>
      </c>
      <c r="AG6713" s="391">
        <v>0.97761022951523624</v>
      </c>
      <c r="AH6713" s="397"/>
      <c r="AQ6713" s="397"/>
      <c r="AR6713" s="397"/>
      <c r="AS6713" s="397"/>
      <c r="AT6713" s="397"/>
      <c r="BE6713" s="397"/>
      <c r="BF6713" s="397"/>
      <c r="BG6713" s="397"/>
      <c r="BH6713" s="397"/>
      <c r="BI6713" s="397"/>
      <c r="BJ6713" s="397"/>
      <c r="BK6713" s="397"/>
      <c r="BL6713" s="397"/>
      <c r="BM6713" s="397"/>
      <c r="BN6713" s="397"/>
      <c r="BO6713" s="397"/>
      <c r="BP6713" s="397"/>
      <c r="BQ6713" s="397"/>
      <c r="BR6713" s="397"/>
      <c r="BS6713" s="397"/>
      <c r="BT6713" s="397"/>
      <c r="BU6713" s="397"/>
      <c r="BV6713" s="397"/>
      <c r="BW6713" s="397"/>
      <c r="BX6713" s="397"/>
      <c r="BY6713" s="397"/>
    </row>
    <row r="6714" spans="1:80" s="392" customFormat="1" ht="15" x14ac:dyDescent="0.25">
      <c r="A6714" s="385"/>
      <c r="B6714" s="386"/>
      <c r="C6714" s="386"/>
      <c r="D6714" s="700"/>
      <c r="E6714" s="385"/>
      <c r="F6714" s="400"/>
      <c r="G6714" s="401"/>
      <c r="H6714" s="401">
        <v>3</v>
      </c>
      <c r="I6714" s="401"/>
      <c r="J6714" s="401"/>
      <c r="K6714" s="401"/>
      <c r="L6714" s="672"/>
      <c r="M6714" s="673">
        <v>32319</v>
      </c>
      <c r="N6714" s="627">
        <v>1.3412429977620735</v>
      </c>
      <c r="O6714" s="625">
        <v>3.7370591925333326E-3</v>
      </c>
      <c r="P6714" s="390">
        <v>0.45402008478125944</v>
      </c>
      <c r="Q6714" s="390">
        <v>1.0418454455198367</v>
      </c>
      <c r="R6714" s="390">
        <v>1.3899849401344837</v>
      </c>
      <c r="S6714" s="390">
        <v>3.3646297603086022</v>
      </c>
      <c r="T6714" s="388">
        <v>9.0651920715609329</v>
      </c>
      <c r="U6714" s="388"/>
      <c r="V6714" s="391"/>
      <c r="W6714" s="391"/>
      <c r="X6714" s="391"/>
      <c r="Y6714" s="792"/>
      <c r="Z6714" s="388">
        <v>17</v>
      </c>
      <c r="AA6714" s="391">
        <f t="shared" si="57"/>
        <v>1.3899849401344837</v>
      </c>
      <c r="AC6714" s="388"/>
      <c r="AD6714" s="388">
        <v>3.4137599999999999</v>
      </c>
      <c r="AE6714" s="388">
        <v>0.37490400000000002</v>
      </c>
      <c r="AF6714" s="388">
        <v>1.2797904</v>
      </c>
      <c r="AG6714" s="391">
        <v>1.0472514119616714</v>
      </c>
      <c r="AH6714" s="397"/>
      <c r="AQ6714" s="397"/>
      <c r="AR6714" s="397"/>
      <c r="AS6714" s="397"/>
      <c r="AT6714" s="397"/>
      <c r="BE6714" s="397"/>
      <c r="BF6714" s="397"/>
      <c r="BG6714" s="397"/>
      <c r="BH6714" s="397"/>
      <c r="BI6714" s="397"/>
      <c r="BJ6714" s="397"/>
      <c r="BK6714" s="397"/>
      <c r="BL6714" s="397"/>
      <c r="BM6714" s="397"/>
      <c r="BN6714" s="397"/>
      <c r="BO6714" s="397"/>
      <c r="BP6714" s="397"/>
      <c r="BQ6714" s="397"/>
      <c r="BR6714" s="397"/>
      <c r="BS6714" s="397"/>
      <c r="BT6714" s="397"/>
      <c r="BU6714" s="397"/>
      <c r="BV6714" s="397"/>
      <c r="BW6714" s="397"/>
      <c r="BX6714" s="397"/>
      <c r="BY6714" s="397"/>
    </row>
    <row r="6715" spans="1:80" s="392" customFormat="1" ht="15" x14ac:dyDescent="0.25">
      <c r="A6715" s="385"/>
      <c r="B6715" s="386"/>
      <c r="C6715" s="386"/>
      <c r="D6715" s="700"/>
      <c r="E6715" s="385"/>
      <c r="F6715" s="400"/>
      <c r="G6715" s="401"/>
      <c r="H6715" s="401">
        <v>3</v>
      </c>
      <c r="I6715" s="401"/>
      <c r="J6715" s="401"/>
      <c r="K6715" s="401"/>
      <c r="L6715" s="672"/>
      <c r="M6715" s="673">
        <v>32322</v>
      </c>
      <c r="N6715" s="627">
        <v>0.92693036713491062</v>
      </c>
      <c r="O6715" s="625">
        <v>6.8199863599999991E-4</v>
      </c>
      <c r="P6715" s="390">
        <v>0.65975395538644699</v>
      </c>
      <c r="Q6715" s="390">
        <v>1.4465869693337432</v>
      </c>
      <c r="R6715" s="390">
        <v>2.1300821788799253</v>
      </c>
      <c r="S6715" s="390">
        <v>5.0569441748298543</v>
      </c>
      <c r="T6715" s="388">
        <v>6.9673155067327155</v>
      </c>
      <c r="U6715" s="388"/>
      <c r="V6715" s="391"/>
      <c r="W6715" s="391"/>
      <c r="X6715" s="391"/>
      <c r="Y6715" s="792"/>
      <c r="Z6715" s="388">
        <v>8</v>
      </c>
      <c r="AA6715" s="391">
        <f t="shared" si="57"/>
        <v>2.1300821788799253</v>
      </c>
      <c r="AC6715" s="388"/>
      <c r="AD6715" s="388">
        <v>3.0083759999999997</v>
      </c>
      <c r="AE6715" s="388">
        <v>0.29870400000000003</v>
      </c>
      <c r="AF6715" s="388">
        <v>0.89858453999999988</v>
      </c>
      <c r="AG6715" s="391">
        <v>1.0307907269614185</v>
      </c>
      <c r="AH6715" s="397"/>
      <c r="AQ6715" s="397"/>
      <c r="AR6715" s="397"/>
      <c r="AS6715" s="397"/>
      <c r="AT6715" s="397"/>
      <c r="BE6715" s="397"/>
      <c r="BF6715" s="397"/>
      <c r="BG6715" s="397"/>
      <c r="BH6715" s="397"/>
      <c r="BI6715" s="397"/>
      <c r="BJ6715" s="397"/>
      <c r="BK6715" s="397"/>
      <c r="BL6715" s="397"/>
      <c r="BM6715" s="397"/>
      <c r="BN6715" s="397"/>
      <c r="BO6715" s="397"/>
      <c r="BP6715" s="397"/>
      <c r="BQ6715" s="397"/>
      <c r="BR6715" s="397"/>
      <c r="BS6715" s="397"/>
      <c r="BT6715" s="397"/>
      <c r="BU6715" s="397"/>
      <c r="BV6715" s="397"/>
      <c r="BW6715" s="397"/>
      <c r="BX6715" s="397"/>
      <c r="BY6715" s="397"/>
    </row>
    <row r="6716" spans="1:80" s="392" customFormat="1" ht="15" x14ac:dyDescent="0.25">
      <c r="A6716" s="385"/>
      <c r="B6716" s="386"/>
      <c r="C6716" s="386"/>
      <c r="D6716" s="700"/>
      <c r="E6716" s="385"/>
      <c r="F6716" s="400"/>
      <c r="G6716" s="401"/>
      <c r="H6716" s="401">
        <v>3</v>
      </c>
      <c r="I6716" s="401"/>
      <c r="J6716" s="401"/>
      <c r="K6716" s="401"/>
      <c r="L6716" s="672"/>
      <c r="M6716" s="673">
        <v>32323</v>
      </c>
      <c r="N6716" s="627">
        <v>0.84416748454230228</v>
      </c>
      <c r="O6716" s="625">
        <v>1.9999959999999998E-4</v>
      </c>
      <c r="P6716" s="390">
        <v>1.4594801056814459</v>
      </c>
      <c r="Q6716" s="390">
        <v>2.7638257599355525</v>
      </c>
      <c r="R6716" s="390">
        <v>4.1048813588222011</v>
      </c>
      <c r="S6716" s="390">
        <v>7.3400713419615311</v>
      </c>
      <c r="T6716" s="388">
        <v>9.0788603908294121</v>
      </c>
      <c r="U6716" s="388"/>
      <c r="V6716" s="391"/>
      <c r="W6716" s="391"/>
      <c r="X6716" s="391"/>
      <c r="Y6716" s="792"/>
      <c r="Z6716" s="388">
        <v>10</v>
      </c>
      <c r="AA6716" s="391">
        <f t="shared" si="57"/>
        <v>4.1048813588222011</v>
      </c>
      <c r="AC6716" s="388"/>
      <c r="AD6716" s="388">
        <v>3.005328</v>
      </c>
      <c r="AE6716" s="388">
        <v>0.28955999999999998</v>
      </c>
      <c r="AF6716" s="388">
        <v>0.87019429999999987</v>
      </c>
      <c r="AG6716" s="391">
        <v>0.96938148578957462</v>
      </c>
      <c r="AH6716" s="397"/>
      <c r="AQ6716" s="397"/>
      <c r="AR6716" s="397"/>
      <c r="AS6716" s="397"/>
      <c r="AT6716" s="397"/>
      <c r="BE6716" s="397"/>
      <c r="BF6716" s="397"/>
      <c r="BG6716" s="397"/>
      <c r="BH6716" s="397"/>
      <c r="BI6716" s="397"/>
      <c r="BJ6716" s="397"/>
      <c r="BK6716" s="397"/>
      <c r="BL6716" s="397"/>
      <c r="BM6716" s="397"/>
      <c r="BN6716" s="397"/>
      <c r="BO6716" s="397"/>
      <c r="BP6716" s="397"/>
      <c r="BQ6716" s="397"/>
      <c r="BR6716" s="397"/>
      <c r="BS6716" s="397"/>
      <c r="BT6716" s="397"/>
      <c r="BU6716" s="397"/>
      <c r="BV6716" s="397"/>
      <c r="BW6716" s="397"/>
      <c r="BX6716" s="397"/>
      <c r="BY6716" s="397"/>
    </row>
    <row r="6717" spans="1:80" s="392" customFormat="1" ht="15" x14ac:dyDescent="0.25">
      <c r="A6717" s="385"/>
      <c r="B6717" s="386"/>
      <c r="C6717" s="386"/>
      <c r="D6717" s="700"/>
      <c r="E6717" s="385"/>
      <c r="F6717" s="400"/>
      <c r="G6717" s="401"/>
      <c r="H6717" s="401">
        <v>3</v>
      </c>
      <c r="I6717" s="401"/>
      <c r="J6717" s="401"/>
      <c r="K6717" s="401"/>
      <c r="L6717" s="672"/>
      <c r="M6717" s="673">
        <v>32324</v>
      </c>
      <c r="N6717" s="627">
        <v>0.72651855301942503</v>
      </c>
      <c r="O6717" s="625">
        <v>4.733323866666666E-4</v>
      </c>
      <c r="P6717" s="390">
        <v>0.52495667644908617</v>
      </c>
      <c r="Q6717" s="390">
        <v>1.1929598216615023</v>
      </c>
      <c r="R6717" s="390">
        <v>1.6685979333196383</v>
      </c>
      <c r="S6717" s="390">
        <v>3.6183923155589071</v>
      </c>
      <c r="T6717" s="388">
        <v>5.1516728288007512</v>
      </c>
      <c r="U6717" s="388"/>
      <c r="V6717" s="391"/>
      <c r="W6717" s="391"/>
      <c r="X6717" s="391"/>
      <c r="Y6717" s="792"/>
      <c r="Z6717" s="388">
        <v>8</v>
      </c>
      <c r="AA6717" s="391">
        <f t="shared" si="57"/>
        <v>1.6685979333196383</v>
      </c>
      <c r="AC6717" s="388"/>
      <c r="AD6717" s="388">
        <v>3.0236160000000001</v>
      </c>
      <c r="AE6717" s="388">
        <v>0.27432000000000001</v>
      </c>
      <c r="AF6717" s="388">
        <v>0.82941120000000002</v>
      </c>
      <c r="AG6717" s="391">
        <v>0.87530447485995955</v>
      </c>
      <c r="AH6717" s="397"/>
      <c r="AQ6717" s="397"/>
      <c r="AR6717" s="397"/>
      <c r="AS6717" s="397"/>
      <c r="AT6717" s="397"/>
      <c r="BE6717" s="397"/>
      <c r="BF6717" s="397"/>
      <c r="BG6717" s="397"/>
      <c r="BH6717" s="397"/>
      <c r="BI6717" s="397"/>
      <c r="BJ6717" s="397"/>
      <c r="BK6717" s="397"/>
      <c r="BL6717" s="397"/>
      <c r="BM6717" s="397"/>
      <c r="BN6717" s="397"/>
      <c r="BO6717" s="397"/>
      <c r="BP6717" s="397"/>
      <c r="BQ6717" s="397"/>
      <c r="BR6717" s="397"/>
      <c r="BS6717" s="397"/>
      <c r="BT6717" s="397"/>
      <c r="BU6717" s="397"/>
      <c r="BV6717" s="397"/>
      <c r="BW6717" s="397"/>
      <c r="BX6717" s="397"/>
      <c r="BY6717" s="397"/>
    </row>
    <row r="6718" spans="1:80" s="392" customFormat="1" ht="15" x14ac:dyDescent="0.25">
      <c r="A6718" s="385"/>
      <c r="B6718" s="386"/>
      <c r="C6718" s="386"/>
      <c r="D6718" s="700"/>
      <c r="E6718" s="385"/>
      <c r="F6718" s="400"/>
      <c r="G6718" s="401"/>
      <c r="H6718" s="401">
        <v>3</v>
      </c>
      <c r="I6718" s="401"/>
      <c r="J6718" s="401"/>
      <c r="K6718" s="401"/>
      <c r="L6718" s="672"/>
      <c r="M6718" s="673">
        <v>32325</v>
      </c>
      <c r="N6718" s="627">
        <v>0.72651855301942503</v>
      </c>
      <c r="O6718" s="625">
        <v>1.3333306666666667E-4</v>
      </c>
      <c r="P6718" s="390">
        <v>0.44942548659777087</v>
      </c>
      <c r="Q6718" s="390">
        <v>1.0250642119658746</v>
      </c>
      <c r="R6718" s="390">
        <v>1.379634120345405</v>
      </c>
      <c r="S6718" s="390">
        <v>3.288995555951236</v>
      </c>
      <c r="T6718" s="388">
        <v>4.4721359549995796</v>
      </c>
      <c r="U6718" s="388"/>
      <c r="V6718" s="391"/>
      <c r="W6718" s="391"/>
      <c r="X6718" s="391"/>
      <c r="Y6718" s="792"/>
      <c r="Z6718" s="388">
        <v>5</v>
      </c>
      <c r="AA6718" s="391">
        <f t="shared" si="57"/>
        <v>1.379634120345405</v>
      </c>
      <c r="AC6718" s="388"/>
      <c r="AD6718" s="388">
        <v>3.0236160000000001</v>
      </c>
      <c r="AE6718" s="388">
        <v>0.27432000000000001</v>
      </c>
      <c r="AF6718" s="388">
        <v>0.82941120000000002</v>
      </c>
      <c r="AG6718" s="391">
        <v>0.87530447485995955</v>
      </c>
      <c r="AH6718" s="397"/>
      <c r="AQ6718" s="397"/>
      <c r="AR6718" s="397"/>
      <c r="AS6718" s="397"/>
      <c r="AT6718" s="397"/>
      <c r="BE6718" s="397"/>
      <c r="BF6718" s="397"/>
      <c r="BG6718" s="397"/>
      <c r="BH6718" s="397"/>
      <c r="BI6718" s="397"/>
      <c r="BJ6718" s="397"/>
      <c r="BK6718" s="397"/>
      <c r="BL6718" s="397"/>
      <c r="BM6718" s="397"/>
      <c r="BN6718" s="397"/>
      <c r="BO6718" s="397"/>
      <c r="BP6718" s="397"/>
      <c r="BQ6718" s="397"/>
      <c r="BR6718" s="397"/>
      <c r="BS6718" s="397"/>
      <c r="BT6718" s="397"/>
      <c r="BU6718" s="397"/>
      <c r="BV6718" s="397"/>
      <c r="BW6718" s="397"/>
      <c r="BX6718" s="397"/>
      <c r="BY6718" s="397"/>
    </row>
    <row r="6719" spans="1:80" s="392" customFormat="1" ht="15" x14ac:dyDescent="0.25">
      <c r="A6719" s="385"/>
      <c r="B6719" s="386"/>
      <c r="C6719" s="386"/>
      <c r="D6719" s="700"/>
      <c r="E6719" s="385"/>
      <c r="F6719" s="400"/>
      <c r="G6719" s="401"/>
      <c r="H6719" s="401">
        <v>3</v>
      </c>
      <c r="I6719" s="401"/>
      <c r="J6719" s="401"/>
      <c r="K6719" s="401"/>
      <c r="L6719" s="672"/>
      <c r="M6719" s="673">
        <v>32328</v>
      </c>
      <c r="N6719" s="627">
        <v>0.65247276427871215</v>
      </c>
      <c r="O6719" s="625">
        <v>2.1413290506666667E-4</v>
      </c>
      <c r="P6719" s="390">
        <v>1.1304702899565551</v>
      </c>
      <c r="Q6719" s="390">
        <v>1.8995280624480302</v>
      </c>
      <c r="R6719" s="390">
        <v>2.6026837108838676</v>
      </c>
      <c r="S6719" s="390">
        <v>5.0042559270181499</v>
      </c>
      <c r="T6719" s="388">
        <v>6.6423182407413766</v>
      </c>
      <c r="U6719" s="388"/>
      <c r="V6719" s="391"/>
      <c r="W6719" s="391"/>
      <c r="X6719" s="391"/>
      <c r="Y6719" s="792"/>
      <c r="Z6719" s="388">
        <v>8</v>
      </c>
      <c r="AA6719" s="391">
        <f t="shared" si="57"/>
        <v>2.6026837108838676</v>
      </c>
      <c r="AC6719" s="388"/>
      <c r="AD6719" s="388">
        <v>2.4993599999999998</v>
      </c>
      <c r="AE6719" s="388">
        <v>0.277368</v>
      </c>
      <c r="AF6719" s="388">
        <v>0.69321979999999994</v>
      </c>
      <c r="AG6719" s="391">
        <v>0.94053240711678177</v>
      </c>
      <c r="AH6719" s="397"/>
      <c r="AQ6719" s="397"/>
      <c r="AR6719" s="397"/>
      <c r="AS6719" s="397"/>
      <c r="AT6719" s="397"/>
      <c r="BE6719" s="397"/>
      <c r="BF6719" s="397"/>
      <c r="BG6719" s="397"/>
      <c r="BH6719" s="397"/>
      <c r="BI6719" s="397"/>
      <c r="BJ6719" s="397"/>
      <c r="BK6719" s="397"/>
      <c r="BL6719" s="397"/>
      <c r="BM6719" s="397"/>
      <c r="BN6719" s="397"/>
      <c r="BO6719" s="397"/>
      <c r="BP6719" s="397"/>
      <c r="BQ6719" s="397"/>
      <c r="BR6719" s="397"/>
      <c r="BS6719" s="397"/>
      <c r="BT6719" s="397"/>
      <c r="BU6719" s="397"/>
      <c r="BV6719" s="397"/>
      <c r="BW6719" s="397"/>
      <c r="BX6719" s="397"/>
      <c r="BY6719" s="397"/>
    </row>
    <row r="6720" spans="1:80" s="189" customFormat="1" ht="15" x14ac:dyDescent="0.25">
      <c r="A6720" s="9" t="s">
        <v>433</v>
      </c>
      <c r="B6720" s="639"/>
      <c r="C6720" s="639"/>
      <c r="D6720" s="4">
        <f>VLOOKUP(E6720,'Quality Code'!$D$4:$E$24,2,TRUE)*VLOOKUP(MROUND(F6720,10),'Quality Code'!$D$28:$E$69,2,TRUE)*VLOOKUP(COUNTA(CB6720:CB6730),'Quality Code'!$D$73:$E$93,2,TRUE)</f>
        <v>0.1</v>
      </c>
      <c r="E6720" s="14">
        <v>0.4</v>
      </c>
      <c r="F6720" s="2">
        <v>7</v>
      </c>
      <c r="G6720" s="12"/>
      <c r="H6720" s="2" t="s">
        <v>105</v>
      </c>
      <c r="I6720" s="2"/>
      <c r="J6720" s="2"/>
      <c r="K6720" s="2"/>
      <c r="L6720" s="639"/>
      <c r="M6720" s="640">
        <v>1984</v>
      </c>
      <c r="N6720" s="578" t="s">
        <v>110</v>
      </c>
      <c r="O6720" s="578"/>
      <c r="P6720" s="580"/>
      <c r="Q6720" s="580"/>
      <c r="R6720" s="580"/>
      <c r="S6720" s="580"/>
      <c r="T6720" s="580"/>
      <c r="U6720" s="580"/>
      <c r="V6720" s="640"/>
      <c r="W6720" s="640"/>
      <c r="X6720" s="640"/>
      <c r="Y6720" s="640"/>
      <c r="Z6720" s="2"/>
      <c r="AA6720" s="26"/>
      <c r="AB6720" s="26"/>
      <c r="AC6720" s="377">
        <v>4.3999999999999997E-2</v>
      </c>
      <c r="AD6720" s="406"/>
      <c r="AE6720" s="26"/>
      <c r="AF6720" s="26"/>
      <c r="AG6720" s="26"/>
      <c r="AH6720" s="26"/>
      <c r="AI6720" s="4"/>
      <c r="AJ6720" s="378"/>
      <c r="AK6720" s="376"/>
      <c r="AL6720" s="376"/>
      <c r="AM6720" s="376"/>
      <c r="AN6720" s="376"/>
      <c r="AO6720" s="376"/>
      <c r="AP6720" s="376"/>
      <c r="AQ6720" s="376"/>
      <c r="AR6720" s="376"/>
      <c r="AS6720" s="376"/>
      <c r="AT6720" s="376"/>
      <c r="AU6720" s="378"/>
      <c r="AV6720" s="378"/>
      <c r="AW6720" s="378"/>
      <c r="AX6720" s="378"/>
      <c r="AY6720" s="379"/>
      <c r="AZ6720" s="379"/>
      <c r="BA6720" s="380"/>
      <c r="BB6720" s="380"/>
      <c r="BC6720" s="380"/>
      <c r="BD6720" s="380"/>
      <c r="BE6720" s="380"/>
      <c r="BF6720" s="380"/>
      <c r="BG6720" s="380"/>
      <c r="BH6720" s="380"/>
      <c r="BI6720" s="4"/>
      <c r="BJ6720" s="12"/>
      <c r="BK6720" s="2"/>
      <c r="BL6720" s="2"/>
      <c r="BM6720" s="4"/>
      <c r="BN6720" s="12"/>
      <c r="BO6720" s="12"/>
      <c r="BP6720" s="12"/>
      <c r="BQ6720" s="4"/>
      <c r="BR6720" s="4"/>
      <c r="BS6720" s="4"/>
      <c r="BT6720" s="2"/>
      <c r="BU6720" s="9"/>
      <c r="BV6720" s="381"/>
      <c r="BW6720" s="382"/>
      <c r="BX6720" s="383"/>
      <c r="BY6720" s="383" t="s">
        <v>86</v>
      </c>
      <c r="BZ6720" s="383"/>
      <c r="CA6720" s="384" t="s">
        <v>412</v>
      </c>
      <c r="CB6720" s="411"/>
    </row>
    <row r="6721" spans="1:80" s="392" customFormat="1" ht="15" x14ac:dyDescent="0.25">
      <c r="A6721" s="385"/>
      <c r="B6721" s="385"/>
      <c r="C6721" s="385"/>
      <c r="D6721" s="700"/>
      <c r="E6721" s="386"/>
      <c r="F6721" s="385"/>
      <c r="G6721" s="400"/>
      <c r="H6721" s="402"/>
      <c r="I6721" s="402"/>
      <c r="J6721" s="402"/>
      <c r="K6721" s="402"/>
      <c r="L6721" s="674"/>
      <c r="M6721" s="672">
        <v>30797</v>
      </c>
      <c r="N6721" s="623">
        <v>0.65372626806460754</v>
      </c>
      <c r="O6721" s="624">
        <v>2.8957824E-2</v>
      </c>
      <c r="P6721" s="397"/>
      <c r="Q6721" s="397"/>
      <c r="R6721" s="397"/>
      <c r="S6721" s="397"/>
      <c r="T6721" s="397"/>
      <c r="U6721" s="397"/>
      <c r="V6721" s="397"/>
      <c r="W6721" s="397"/>
      <c r="X6721" s="397"/>
      <c r="Y6721" s="397"/>
      <c r="Z6721" s="397"/>
      <c r="AD6721" s="407">
        <v>4.3281599999999996</v>
      </c>
      <c r="AE6721" s="388">
        <v>0.277368</v>
      </c>
      <c r="AF6721" s="388">
        <v>1.2011969999999998</v>
      </c>
      <c r="AG6721" s="388">
        <v>0.54254400000000003</v>
      </c>
      <c r="AH6721" s="391"/>
      <c r="AI6721" s="397"/>
      <c r="AJ6721" s="397"/>
      <c r="AU6721" s="397"/>
      <c r="AV6721" s="397"/>
      <c r="AW6721" s="397"/>
      <c r="AX6721" s="397"/>
      <c r="BI6721" s="397"/>
      <c r="BJ6721" s="397"/>
      <c r="BK6721" s="397"/>
      <c r="BL6721" s="397"/>
      <c r="BM6721" s="397"/>
      <c r="BN6721" s="397"/>
      <c r="BO6721" s="397"/>
      <c r="BP6721" s="397"/>
      <c r="BQ6721" s="397"/>
      <c r="BR6721" s="397"/>
      <c r="BS6721" s="397"/>
      <c r="BT6721" s="397"/>
      <c r="BU6721" s="397"/>
      <c r="BV6721" s="397"/>
      <c r="BW6721" s="397"/>
      <c r="BX6721" s="397"/>
      <c r="BY6721" s="397"/>
      <c r="BZ6721" s="397"/>
      <c r="CA6721" s="392" t="s">
        <v>412</v>
      </c>
    </row>
    <row r="6722" spans="1:80" s="392" customFormat="1" ht="15" x14ac:dyDescent="0.25">
      <c r="A6722" s="385"/>
      <c r="B6722" s="385"/>
      <c r="C6722" s="385"/>
      <c r="D6722" s="700"/>
      <c r="E6722" s="386"/>
      <c r="F6722" s="385"/>
      <c r="G6722" s="400"/>
      <c r="H6722" s="402"/>
      <c r="I6722" s="402"/>
      <c r="J6722" s="402"/>
      <c r="K6722" s="402"/>
      <c r="L6722" s="674"/>
      <c r="M6722" s="672">
        <v>30799</v>
      </c>
      <c r="N6722" s="623">
        <v>0.85349957495041096</v>
      </c>
      <c r="O6722" s="624">
        <v>2.2453200000000003E-2</v>
      </c>
      <c r="P6722" s="397"/>
      <c r="Q6722" s="397"/>
      <c r="R6722" s="397"/>
      <c r="S6722" s="397"/>
      <c r="T6722" s="397"/>
      <c r="U6722" s="397"/>
      <c r="V6722" s="397"/>
      <c r="W6722" s="397"/>
      <c r="X6722" s="397"/>
      <c r="Y6722" s="397"/>
      <c r="Z6722" s="397"/>
      <c r="AD6722" s="407">
        <v>4.3433999999999999</v>
      </c>
      <c r="AE6722" s="388">
        <v>0.31089600000000001</v>
      </c>
      <c r="AF6722" s="388">
        <v>1.3507659999999999</v>
      </c>
      <c r="AG6722" s="388">
        <v>0.63093599999999994</v>
      </c>
      <c r="AH6722" s="391"/>
      <c r="AI6722" s="397"/>
      <c r="AJ6722" s="397"/>
      <c r="AU6722" s="397"/>
      <c r="AV6722" s="397"/>
      <c r="AW6722" s="397"/>
      <c r="AX6722" s="397"/>
      <c r="BI6722" s="397"/>
      <c r="BJ6722" s="397"/>
      <c r="BK6722" s="397"/>
      <c r="BL6722" s="397"/>
      <c r="BM6722" s="397"/>
      <c r="BN6722" s="397"/>
      <c r="BO6722" s="397"/>
      <c r="BP6722" s="397"/>
      <c r="BQ6722" s="397"/>
      <c r="BR6722" s="397"/>
      <c r="BS6722" s="397"/>
      <c r="BT6722" s="397"/>
      <c r="BU6722" s="397"/>
      <c r="BV6722" s="397"/>
      <c r="BW6722" s="397"/>
      <c r="BX6722" s="397"/>
      <c r="BY6722" s="397"/>
      <c r="BZ6722" s="397"/>
      <c r="CA6722" s="392" t="s">
        <v>412</v>
      </c>
    </row>
    <row r="6723" spans="1:80" s="392" customFormat="1" ht="15" x14ac:dyDescent="0.25">
      <c r="A6723" s="385"/>
      <c r="B6723" s="385"/>
      <c r="C6723" s="385"/>
      <c r="D6723" s="700"/>
      <c r="E6723" s="386"/>
      <c r="F6723" s="385"/>
      <c r="G6723" s="400"/>
      <c r="H6723" s="402"/>
      <c r="I6723" s="402"/>
      <c r="J6723" s="402"/>
      <c r="K6723" s="402"/>
      <c r="L6723" s="674"/>
      <c r="M6723" s="672">
        <v>30805</v>
      </c>
      <c r="N6723" s="623">
        <v>0.87928591669028056</v>
      </c>
      <c r="O6723" s="624">
        <v>1.1138904000000003E-2</v>
      </c>
      <c r="P6723" s="397"/>
      <c r="Q6723" s="397"/>
      <c r="R6723" s="397"/>
      <c r="S6723" s="397"/>
      <c r="T6723" s="397"/>
      <c r="U6723" s="397"/>
      <c r="V6723" s="397"/>
      <c r="W6723" s="397"/>
      <c r="X6723" s="397"/>
      <c r="Y6723" s="397"/>
      <c r="Z6723" s="397"/>
      <c r="AD6723" s="407">
        <v>4.3891200000000001</v>
      </c>
      <c r="AE6723" s="388">
        <v>0.34137600000000007</v>
      </c>
      <c r="AF6723" s="388">
        <v>1.4984769999999998</v>
      </c>
      <c r="AG6723" s="388">
        <v>0.58521599999999996</v>
      </c>
      <c r="AH6723" s="391"/>
      <c r="AI6723" s="397"/>
      <c r="AJ6723" s="397"/>
      <c r="AU6723" s="397"/>
      <c r="AV6723" s="397"/>
      <c r="AW6723" s="397"/>
      <c r="AX6723" s="397"/>
      <c r="BI6723" s="397"/>
      <c r="BJ6723" s="397"/>
      <c r="BK6723" s="397"/>
      <c r="BL6723" s="397"/>
      <c r="BM6723" s="397"/>
      <c r="BN6723" s="397"/>
      <c r="BO6723" s="397"/>
      <c r="BP6723" s="397"/>
      <c r="BQ6723" s="397"/>
      <c r="BR6723" s="397"/>
      <c r="BS6723" s="397"/>
      <c r="BT6723" s="397"/>
      <c r="BU6723" s="397"/>
      <c r="BV6723" s="397"/>
      <c r="BW6723" s="397"/>
      <c r="BX6723" s="397"/>
      <c r="BY6723" s="397"/>
      <c r="BZ6723" s="397"/>
      <c r="CA6723" s="392" t="s">
        <v>412</v>
      </c>
    </row>
    <row r="6724" spans="1:80" s="392" customFormat="1" ht="15" x14ac:dyDescent="0.25">
      <c r="A6724" s="385"/>
      <c r="B6724" s="385"/>
      <c r="C6724" s="385"/>
      <c r="D6724" s="700"/>
      <c r="E6724" s="386"/>
      <c r="F6724" s="385"/>
      <c r="G6724" s="400"/>
      <c r="H6724" s="402"/>
      <c r="I6724" s="402"/>
      <c r="J6724" s="402"/>
      <c r="K6724" s="402"/>
      <c r="L6724" s="674"/>
      <c r="M6724" s="672">
        <v>30811</v>
      </c>
      <c r="N6724" s="623">
        <v>1.126381411164636</v>
      </c>
      <c r="O6724" s="624">
        <v>6.4774080000000012E-2</v>
      </c>
      <c r="P6724" s="397"/>
      <c r="Q6724" s="397"/>
      <c r="R6724" s="397"/>
      <c r="S6724" s="397"/>
      <c r="T6724" s="397"/>
      <c r="U6724" s="397"/>
      <c r="V6724" s="397"/>
      <c r="W6724" s="397"/>
      <c r="X6724" s="397"/>
      <c r="Y6724" s="397"/>
      <c r="Z6724" s="397"/>
      <c r="AD6724" s="407">
        <v>4.4805599999999997</v>
      </c>
      <c r="AE6724" s="388">
        <v>0.33223200000000003</v>
      </c>
      <c r="AF6724" s="388">
        <v>1.4817549999999999</v>
      </c>
      <c r="AG6724" s="388">
        <v>0.75895200000000007</v>
      </c>
      <c r="AH6724" s="391"/>
      <c r="AI6724" s="397"/>
      <c r="AJ6724" s="397"/>
      <c r="AU6724" s="397"/>
      <c r="AV6724" s="397"/>
      <c r="AW6724" s="397"/>
      <c r="AX6724" s="397"/>
      <c r="BI6724" s="397"/>
      <c r="BJ6724" s="397"/>
      <c r="BK6724" s="397"/>
      <c r="BL6724" s="397"/>
      <c r="BM6724" s="397"/>
      <c r="BN6724" s="397"/>
      <c r="BO6724" s="397"/>
      <c r="BP6724" s="397"/>
      <c r="BQ6724" s="397"/>
      <c r="BR6724" s="397"/>
      <c r="BS6724" s="397"/>
      <c r="BT6724" s="397"/>
      <c r="BU6724" s="397"/>
      <c r="BV6724" s="397"/>
      <c r="BW6724" s="397"/>
      <c r="BX6724" s="397"/>
      <c r="BY6724" s="397"/>
      <c r="BZ6724" s="397"/>
      <c r="CA6724" s="392" t="s">
        <v>412</v>
      </c>
    </row>
    <row r="6725" spans="1:80" s="392" customFormat="1" ht="15" x14ac:dyDescent="0.25">
      <c r="A6725" s="385"/>
      <c r="B6725" s="385"/>
      <c r="C6725" s="385"/>
      <c r="D6725" s="700"/>
      <c r="E6725" s="386"/>
      <c r="F6725" s="385"/>
      <c r="G6725" s="400"/>
      <c r="H6725" s="402"/>
      <c r="I6725" s="402"/>
      <c r="J6725" s="402"/>
      <c r="K6725" s="402"/>
      <c r="L6725" s="674"/>
      <c r="M6725" s="672">
        <v>30823</v>
      </c>
      <c r="N6725" s="623">
        <v>2.2555964862567297</v>
      </c>
      <c r="O6725" s="624">
        <v>0.15452640000000001</v>
      </c>
      <c r="P6725" s="397"/>
      <c r="Q6725" s="397"/>
      <c r="R6725" s="397"/>
      <c r="S6725" s="397"/>
      <c r="T6725" s="397"/>
      <c r="U6725" s="397"/>
      <c r="V6725" s="397"/>
      <c r="W6725" s="397"/>
      <c r="X6725" s="397"/>
      <c r="Y6725" s="397"/>
      <c r="Z6725" s="397"/>
      <c r="AD6725" s="407">
        <v>0</v>
      </c>
      <c r="AE6725" s="388">
        <v>0.44805600000000001</v>
      </c>
      <c r="AF6725" s="388">
        <v>2.0131429999999999</v>
      </c>
      <c r="AG6725" s="388">
        <v>0</v>
      </c>
      <c r="AH6725" s="391"/>
      <c r="AI6725" s="397"/>
      <c r="AJ6725" s="397"/>
      <c r="AU6725" s="397"/>
      <c r="AV6725" s="397"/>
      <c r="AW6725" s="397"/>
      <c r="AX6725" s="397"/>
      <c r="BI6725" s="397"/>
      <c r="BJ6725" s="397"/>
      <c r="BK6725" s="397"/>
      <c r="BL6725" s="397"/>
      <c r="BM6725" s="397"/>
      <c r="BN6725" s="397"/>
      <c r="BO6725" s="397"/>
      <c r="BP6725" s="397"/>
      <c r="BQ6725" s="397"/>
      <c r="BR6725" s="397"/>
      <c r="BS6725" s="397"/>
      <c r="BT6725" s="397"/>
      <c r="BU6725" s="397"/>
      <c r="BV6725" s="397"/>
      <c r="BW6725" s="397"/>
      <c r="BX6725" s="397"/>
      <c r="BY6725" s="397"/>
      <c r="BZ6725" s="397"/>
      <c r="CA6725" s="392" t="s">
        <v>412</v>
      </c>
    </row>
    <row r="6726" spans="1:80" s="392" customFormat="1" ht="15" x14ac:dyDescent="0.25">
      <c r="A6726" s="385"/>
      <c r="B6726" s="385"/>
      <c r="C6726" s="385"/>
      <c r="D6726" s="700"/>
      <c r="E6726" s="386"/>
      <c r="F6726" s="385"/>
      <c r="G6726" s="400"/>
      <c r="H6726" s="402"/>
      <c r="I6726" s="402"/>
      <c r="J6726" s="402"/>
      <c r="K6726" s="402"/>
      <c r="L6726" s="674"/>
      <c r="M6726" s="672">
        <v>30834</v>
      </c>
      <c r="N6726" s="623">
        <v>0.35647492207424203</v>
      </c>
      <c r="O6726" s="624">
        <v>2.4312959999999999E-3</v>
      </c>
      <c r="P6726" s="397"/>
      <c r="Q6726" s="397"/>
      <c r="R6726" s="397"/>
      <c r="S6726" s="397"/>
      <c r="T6726" s="397"/>
      <c r="U6726" s="397"/>
      <c r="V6726" s="397"/>
      <c r="W6726" s="397"/>
      <c r="X6726" s="397"/>
      <c r="Y6726" s="397"/>
      <c r="Z6726" s="397"/>
      <c r="AD6726" s="407">
        <v>4.4805599999999997</v>
      </c>
      <c r="AE6726" s="388">
        <v>0.24079200000000003</v>
      </c>
      <c r="AF6726" s="388">
        <v>1.050699</v>
      </c>
      <c r="AG6726" s="388">
        <v>1.1186160000000001</v>
      </c>
      <c r="AH6726" s="391"/>
      <c r="AI6726" s="397"/>
      <c r="AJ6726" s="397"/>
      <c r="AU6726" s="397"/>
      <c r="AV6726" s="397"/>
      <c r="AW6726" s="397"/>
      <c r="AX6726" s="397"/>
      <c r="BI6726" s="397"/>
      <c r="BJ6726" s="397"/>
      <c r="BK6726" s="397"/>
      <c r="BL6726" s="397"/>
      <c r="BM6726" s="397"/>
      <c r="BN6726" s="397"/>
      <c r="BO6726" s="397"/>
      <c r="BP6726" s="397"/>
      <c r="BQ6726" s="397"/>
      <c r="BR6726" s="397"/>
      <c r="BS6726" s="397"/>
      <c r="BT6726" s="397"/>
      <c r="BU6726" s="397"/>
      <c r="BV6726" s="397"/>
      <c r="BW6726" s="397"/>
      <c r="BX6726" s="397"/>
      <c r="BY6726" s="397"/>
      <c r="BZ6726" s="397"/>
      <c r="CA6726" s="392" t="s">
        <v>412</v>
      </c>
    </row>
    <row r="6727" spans="1:80" s="392" customFormat="1" ht="15" x14ac:dyDescent="0.25">
      <c r="A6727" s="385"/>
      <c r="B6727" s="385"/>
      <c r="C6727" s="385"/>
      <c r="D6727" s="700"/>
      <c r="E6727" s="386"/>
      <c r="F6727" s="385"/>
      <c r="G6727" s="400"/>
      <c r="H6727" s="402"/>
      <c r="I6727" s="402"/>
      <c r="J6727" s="402"/>
      <c r="K6727" s="402"/>
      <c r="L6727" s="674"/>
      <c r="M6727" s="672">
        <v>30840</v>
      </c>
      <c r="N6727" s="623">
        <v>0.33607254179654295</v>
      </c>
      <c r="O6727" s="624">
        <v>1.5966720000000002E-3</v>
      </c>
      <c r="P6727" s="397"/>
      <c r="Q6727" s="397"/>
      <c r="R6727" s="397"/>
      <c r="S6727" s="397"/>
      <c r="T6727" s="397"/>
      <c r="U6727" s="397"/>
      <c r="V6727" s="397"/>
      <c r="W6727" s="397"/>
      <c r="X6727" s="397"/>
      <c r="Y6727" s="397"/>
      <c r="Z6727" s="397"/>
      <c r="AD6727" s="407">
        <v>4.3891200000000001</v>
      </c>
      <c r="AE6727" s="388">
        <v>0.24384000000000003</v>
      </c>
      <c r="AF6727" s="388">
        <v>1.0051779999999999</v>
      </c>
      <c r="AG6727" s="388">
        <v>0.33832800000000007</v>
      </c>
      <c r="AH6727" s="391"/>
      <c r="AI6727" s="397"/>
      <c r="AJ6727" s="397"/>
      <c r="AU6727" s="397"/>
      <c r="AV6727" s="397"/>
      <c r="AW6727" s="397"/>
      <c r="AX6727" s="397"/>
      <c r="BI6727" s="397"/>
      <c r="BJ6727" s="397"/>
      <c r="BK6727" s="397"/>
      <c r="BL6727" s="397"/>
      <c r="BM6727" s="397"/>
      <c r="BN6727" s="397"/>
      <c r="BO6727" s="397"/>
      <c r="BP6727" s="397"/>
      <c r="BQ6727" s="397"/>
      <c r="BR6727" s="397"/>
      <c r="BS6727" s="397"/>
      <c r="BT6727" s="397"/>
      <c r="BU6727" s="397"/>
      <c r="BV6727" s="397"/>
      <c r="BW6727" s="397"/>
      <c r="BX6727" s="397"/>
      <c r="BY6727" s="397"/>
      <c r="BZ6727" s="397"/>
      <c r="CA6727" s="392" t="s">
        <v>412</v>
      </c>
    </row>
    <row r="6728" spans="1:80" s="392" customFormat="1" ht="15" x14ac:dyDescent="0.25">
      <c r="A6728" s="385"/>
      <c r="B6728" s="385"/>
      <c r="C6728" s="385"/>
      <c r="D6728" s="700"/>
      <c r="E6728" s="386"/>
      <c r="F6728" s="385"/>
      <c r="G6728" s="400"/>
      <c r="H6728" s="402"/>
      <c r="I6728" s="402"/>
      <c r="J6728" s="402"/>
      <c r="K6728" s="402"/>
      <c r="L6728" s="674"/>
      <c r="M6728" s="672">
        <v>30895</v>
      </c>
      <c r="N6728" s="623">
        <v>1.7001983564749221E-2</v>
      </c>
      <c r="O6728" s="624">
        <v>0</v>
      </c>
      <c r="P6728" s="397"/>
      <c r="Q6728" s="397"/>
      <c r="R6728" s="397"/>
      <c r="S6728" s="397"/>
      <c r="T6728" s="397"/>
      <c r="U6728" s="397"/>
      <c r="V6728" s="397"/>
      <c r="W6728" s="397"/>
      <c r="X6728" s="397"/>
      <c r="Y6728" s="397"/>
      <c r="Z6728" s="397"/>
      <c r="AD6728" s="407">
        <v>4.1452800000000005</v>
      </c>
      <c r="AE6728" s="388">
        <v>7.0104E-2</v>
      </c>
      <c r="AF6728" s="388">
        <v>0.248972</v>
      </c>
      <c r="AG6728" s="388">
        <v>0.33528000000000002</v>
      </c>
      <c r="AH6728" s="391"/>
      <c r="AI6728" s="397"/>
      <c r="AJ6728" s="397"/>
      <c r="AU6728" s="397"/>
      <c r="AV6728" s="397"/>
      <c r="AW6728" s="397"/>
      <c r="AX6728" s="397"/>
      <c r="BI6728" s="397"/>
      <c r="BJ6728" s="397"/>
      <c r="BK6728" s="397"/>
      <c r="BL6728" s="397"/>
      <c r="BM6728" s="397"/>
      <c r="BN6728" s="397"/>
      <c r="BO6728" s="397"/>
      <c r="BP6728" s="397"/>
      <c r="BQ6728" s="397"/>
      <c r="BR6728" s="397"/>
      <c r="BS6728" s="397"/>
      <c r="BT6728" s="397"/>
      <c r="BU6728" s="397"/>
      <c r="BV6728" s="397"/>
      <c r="BW6728" s="397"/>
      <c r="BX6728" s="397"/>
      <c r="BY6728" s="397"/>
      <c r="BZ6728" s="397"/>
      <c r="CA6728" s="392" t="s">
        <v>412</v>
      </c>
    </row>
    <row r="6729" spans="1:80" s="189" customFormat="1" ht="15" x14ac:dyDescent="0.25">
      <c r="A6729" s="9" t="s">
        <v>434</v>
      </c>
      <c r="B6729" s="639" t="s">
        <v>34</v>
      </c>
      <c r="C6729" s="639"/>
      <c r="D6729" s="4">
        <f>VLOOKUP(E6729,'Quality Code'!$D$4:$E$24,2,TRUE)*VLOOKUP(MROUND(F6729,10),'Quality Code'!$D$28:$E$69,2,TRUE)*VLOOKUP(COUNTA(CB6729:CB6739),'Quality Code'!$D$73:$E$93,2,TRUE)</f>
        <v>0.2</v>
      </c>
      <c r="E6729" s="14">
        <v>0.4</v>
      </c>
      <c r="F6729" s="2">
        <v>15</v>
      </c>
      <c r="G6729" s="12"/>
      <c r="H6729" s="2" t="s">
        <v>105</v>
      </c>
      <c r="I6729" s="2"/>
      <c r="J6729" s="2"/>
      <c r="K6729" s="2"/>
      <c r="L6729" s="639"/>
      <c r="M6729" s="640">
        <v>1984</v>
      </c>
      <c r="N6729" s="578" t="s">
        <v>110</v>
      </c>
      <c r="O6729" s="578"/>
      <c r="P6729" s="26"/>
      <c r="Q6729" s="26"/>
      <c r="R6729" s="26"/>
      <c r="S6729" s="26"/>
      <c r="T6729" s="26"/>
      <c r="U6729" s="26"/>
      <c r="V6729" s="10"/>
      <c r="W6729" s="10"/>
      <c r="X6729" s="10"/>
      <c r="Y6729" s="10"/>
      <c r="Z6729" s="2"/>
      <c r="AA6729" s="26"/>
      <c r="AB6729" s="26"/>
      <c r="AC6729" s="377">
        <v>1.6299999999999999E-2</v>
      </c>
      <c r="AD6729" s="406"/>
      <c r="AE6729" s="26"/>
      <c r="AF6729" s="26"/>
      <c r="AG6729" s="26"/>
      <c r="AH6729" s="26"/>
      <c r="AI6729" s="4"/>
      <c r="AJ6729" s="378"/>
      <c r="AK6729" s="376"/>
      <c r="AL6729" s="376"/>
      <c r="AM6729" s="376"/>
      <c r="AN6729" s="376"/>
      <c r="AO6729" s="376"/>
      <c r="AP6729" s="376"/>
      <c r="AQ6729" s="376"/>
      <c r="AR6729" s="376"/>
      <c r="AS6729" s="376"/>
      <c r="AT6729" s="376"/>
      <c r="AU6729" s="378"/>
      <c r="AV6729" s="378"/>
      <c r="AW6729" s="378"/>
      <c r="AX6729" s="378"/>
      <c r="AY6729" s="379"/>
      <c r="AZ6729" s="379"/>
      <c r="BA6729" s="380"/>
      <c r="BB6729" s="380"/>
      <c r="BC6729" s="380"/>
      <c r="BD6729" s="380"/>
      <c r="BE6729" s="380"/>
      <c r="BF6729" s="380"/>
      <c r="BG6729" s="380"/>
      <c r="BH6729" s="380"/>
      <c r="BI6729" s="4"/>
      <c r="BJ6729" s="12"/>
      <c r="BK6729" s="2"/>
      <c r="BL6729" s="2"/>
      <c r="BM6729" s="4"/>
      <c r="BN6729" s="12"/>
      <c r="BO6729" s="12"/>
      <c r="BP6729" s="12"/>
      <c r="BQ6729" s="4"/>
      <c r="BR6729" s="4"/>
      <c r="BS6729" s="4"/>
      <c r="BT6729" s="2"/>
      <c r="BU6729" s="9"/>
      <c r="BV6729" s="381"/>
      <c r="BW6729" s="382"/>
      <c r="BX6729" s="383"/>
      <c r="BY6729" s="383" t="s">
        <v>435</v>
      </c>
      <c r="BZ6729" s="383"/>
      <c r="CA6729" s="384" t="s">
        <v>412</v>
      </c>
      <c r="CB6729" s="411"/>
    </row>
    <row r="6730" spans="1:80" s="392" customFormat="1" ht="15" x14ac:dyDescent="0.25">
      <c r="A6730" s="385"/>
      <c r="B6730" s="385"/>
      <c r="C6730" s="385"/>
      <c r="D6730" s="700"/>
      <c r="E6730" s="386"/>
      <c r="F6730" s="385"/>
      <c r="G6730" s="400"/>
      <c r="H6730" s="402"/>
      <c r="I6730" s="402"/>
      <c r="J6730" s="402"/>
      <c r="K6730" s="402"/>
      <c r="L6730" s="674"/>
      <c r="M6730" s="672">
        <v>30816</v>
      </c>
      <c r="N6730" s="623">
        <v>3.6837631056956646</v>
      </c>
      <c r="O6730" s="624">
        <v>3.2133024000000003E-2</v>
      </c>
      <c r="P6730" s="397"/>
      <c r="Q6730" s="397"/>
      <c r="R6730" s="397"/>
      <c r="S6730" s="397"/>
      <c r="T6730" s="397"/>
      <c r="U6730" s="397"/>
      <c r="V6730" s="397"/>
      <c r="W6730" s="397"/>
      <c r="X6730" s="397"/>
      <c r="Y6730" s="397"/>
      <c r="Z6730" s="397"/>
      <c r="AD6730" s="388">
        <v>14.11224</v>
      </c>
      <c r="AE6730" s="387">
        <v>0.31089600000000001</v>
      </c>
      <c r="AF6730" s="388">
        <v>4.3941699999999999</v>
      </c>
      <c r="AG6730" s="388">
        <v>0.83820000000000006</v>
      </c>
      <c r="AH6730" s="391"/>
      <c r="AI6730" s="397"/>
      <c r="AJ6730" s="397"/>
      <c r="AU6730" s="397"/>
      <c r="AV6730" s="397"/>
      <c r="AW6730" s="397"/>
      <c r="AX6730" s="397"/>
      <c r="BI6730" s="397"/>
      <c r="BJ6730" s="397"/>
      <c r="BK6730" s="397"/>
      <c r="BL6730" s="397"/>
      <c r="BM6730" s="397"/>
      <c r="BN6730" s="397"/>
      <c r="BO6730" s="397"/>
      <c r="BP6730" s="397"/>
      <c r="BQ6730" s="397"/>
      <c r="BR6730" s="397"/>
      <c r="BS6730" s="397"/>
      <c r="BT6730" s="397"/>
      <c r="BU6730" s="397"/>
      <c r="BV6730" s="397"/>
      <c r="BW6730" s="397"/>
      <c r="BX6730" s="397"/>
      <c r="BY6730" s="397"/>
      <c r="BZ6730" s="397"/>
      <c r="CA6730" s="392" t="s">
        <v>412</v>
      </c>
    </row>
    <row r="6731" spans="1:80" s="392" customFormat="1" ht="15" x14ac:dyDescent="0.25">
      <c r="A6731" s="385"/>
      <c r="B6731" s="385"/>
      <c r="C6731" s="385"/>
      <c r="D6731" s="700"/>
      <c r="E6731" s="386"/>
      <c r="F6731" s="385"/>
      <c r="G6731" s="400"/>
      <c r="H6731" s="402"/>
      <c r="I6731" s="402"/>
      <c r="J6731" s="402"/>
      <c r="K6731" s="402"/>
      <c r="L6731" s="674"/>
      <c r="M6731" s="672">
        <v>30819</v>
      </c>
      <c r="N6731" s="623">
        <v>5.0155851516010204</v>
      </c>
      <c r="O6731" s="624">
        <v>1.1866176000000001E-2</v>
      </c>
      <c r="P6731" s="397"/>
      <c r="Q6731" s="397"/>
      <c r="R6731" s="397"/>
      <c r="S6731" s="397"/>
      <c r="T6731" s="397"/>
      <c r="U6731" s="397"/>
      <c r="V6731" s="397"/>
      <c r="W6731" s="397"/>
      <c r="X6731" s="397"/>
      <c r="Y6731" s="397"/>
      <c r="Z6731" s="397"/>
      <c r="AD6731" s="388">
        <v>16.33728</v>
      </c>
      <c r="AE6731" s="387">
        <v>0.32004000000000005</v>
      </c>
      <c r="AF6731" s="388">
        <v>5.23027</v>
      </c>
      <c r="AG6731" s="388">
        <v>0.95707200000000003</v>
      </c>
      <c r="AH6731" s="391"/>
      <c r="AI6731" s="397"/>
      <c r="AJ6731" s="397"/>
      <c r="AU6731" s="397"/>
      <c r="AV6731" s="397"/>
      <c r="AW6731" s="397"/>
      <c r="AX6731" s="397"/>
      <c r="BI6731" s="397"/>
      <c r="BJ6731" s="397"/>
      <c r="BK6731" s="397"/>
      <c r="BL6731" s="397"/>
      <c r="BM6731" s="397"/>
      <c r="BN6731" s="397"/>
      <c r="BO6731" s="397"/>
      <c r="BP6731" s="397"/>
      <c r="BQ6731" s="397"/>
      <c r="BR6731" s="397"/>
      <c r="BS6731" s="397"/>
      <c r="BT6731" s="397"/>
      <c r="BU6731" s="397"/>
      <c r="BV6731" s="397"/>
      <c r="BW6731" s="397"/>
      <c r="BX6731" s="397"/>
      <c r="BY6731" s="397"/>
      <c r="BZ6731" s="397"/>
      <c r="CA6731" s="392" t="s">
        <v>412</v>
      </c>
    </row>
    <row r="6732" spans="1:80" s="392" customFormat="1" ht="15" x14ac:dyDescent="0.25">
      <c r="A6732" s="385"/>
      <c r="B6732" s="385"/>
      <c r="C6732" s="385"/>
      <c r="D6732" s="700"/>
      <c r="E6732" s="386"/>
      <c r="F6732" s="385"/>
      <c r="G6732" s="400"/>
      <c r="H6732" s="402"/>
      <c r="I6732" s="402"/>
      <c r="J6732" s="402"/>
      <c r="K6732" s="402"/>
      <c r="L6732" s="674"/>
      <c r="M6732" s="672">
        <v>30825</v>
      </c>
      <c r="N6732" s="623">
        <v>7.7642391612354773</v>
      </c>
      <c r="O6732" s="624">
        <v>1.3396320000000001E-2</v>
      </c>
      <c r="P6732" s="397"/>
      <c r="Q6732" s="397"/>
      <c r="R6732" s="397"/>
      <c r="S6732" s="397"/>
      <c r="T6732" s="397"/>
      <c r="U6732" s="397"/>
      <c r="V6732" s="397"/>
      <c r="W6732" s="397"/>
      <c r="X6732" s="397"/>
      <c r="Y6732" s="397"/>
      <c r="Z6732" s="397"/>
      <c r="AD6732" s="388">
        <v>20.116800000000001</v>
      </c>
      <c r="AE6732" s="387">
        <v>0.33223200000000003</v>
      </c>
      <c r="AF6732" s="388">
        <v>6.6795100000000005</v>
      </c>
      <c r="AG6732" s="388">
        <v>1.1582399999999999</v>
      </c>
      <c r="AH6732" s="391"/>
      <c r="AI6732" s="397"/>
      <c r="AJ6732" s="397"/>
      <c r="AU6732" s="397"/>
      <c r="AV6732" s="397"/>
      <c r="AW6732" s="397"/>
      <c r="AX6732" s="397"/>
      <c r="BI6732" s="397"/>
      <c r="BJ6732" s="397"/>
      <c r="BK6732" s="397"/>
      <c r="BL6732" s="397"/>
      <c r="BM6732" s="397"/>
      <c r="BN6732" s="397"/>
      <c r="BO6732" s="397"/>
      <c r="BP6732" s="397"/>
      <c r="BQ6732" s="397"/>
      <c r="BR6732" s="397"/>
      <c r="BS6732" s="397"/>
      <c r="BT6732" s="397"/>
      <c r="BU6732" s="397"/>
      <c r="BV6732" s="397"/>
      <c r="BW6732" s="397"/>
      <c r="BX6732" s="397"/>
      <c r="BY6732" s="397"/>
      <c r="BZ6732" s="397"/>
      <c r="CA6732" s="392" t="s">
        <v>412</v>
      </c>
    </row>
    <row r="6733" spans="1:80" s="392" customFormat="1" ht="15" x14ac:dyDescent="0.25">
      <c r="A6733" s="385"/>
      <c r="B6733" s="385"/>
      <c r="C6733" s="385"/>
      <c r="D6733" s="700"/>
      <c r="E6733" s="386"/>
      <c r="F6733" s="385"/>
      <c r="G6733" s="400"/>
      <c r="H6733" s="402"/>
      <c r="I6733" s="402"/>
      <c r="J6733" s="402"/>
      <c r="K6733" s="402"/>
      <c r="L6733" s="674"/>
      <c r="M6733" s="672">
        <v>30837</v>
      </c>
      <c r="N6733" s="623">
        <v>6.7724567866251064</v>
      </c>
      <c r="O6733" s="624">
        <v>1.3426560000000002E-2</v>
      </c>
      <c r="P6733" s="397"/>
      <c r="Q6733" s="397"/>
      <c r="R6733" s="397"/>
      <c r="S6733" s="397"/>
      <c r="T6733" s="397"/>
      <c r="U6733" s="397"/>
      <c r="V6733" s="397"/>
      <c r="W6733" s="397"/>
      <c r="X6733" s="397"/>
      <c r="Y6733" s="397"/>
      <c r="Z6733" s="397"/>
      <c r="AD6733" s="388">
        <v>18.86712</v>
      </c>
      <c r="AE6733" s="387">
        <v>0.32613600000000004</v>
      </c>
      <c r="AF6733" s="388">
        <v>6.1871399999999994</v>
      </c>
      <c r="AG6733" s="388">
        <v>1.09728</v>
      </c>
      <c r="AH6733" s="391"/>
      <c r="AI6733" s="397"/>
      <c r="AJ6733" s="397"/>
      <c r="AU6733" s="397"/>
      <c r="AV6733" s="397"/>
      <c r="AW6733" s="397"/>
      <c r="AX6733" s="397"/>
      <c r="BI6733" s="397"/>
      <c r="BJ6733" s="397"/>
      <c r="BK6733" s="397"/>
      <c r="BL6733" s="397"/>
      <c r="BM6733" s="397"/>
      <c r="BN6733" s="397"/>
      <c r="BO6733" s="397"/>
      <c r="BP6733" s="397"/>
      <c r="BQ6733" s="397"/>
      <c r="BR6733" s="397"/>
      <c r="BS6733" s="397"/>
      <c r="BT6733" s="397"/>
      <c r="BU6733" s="397"/>
      <c r="BV6733" s="397"/>
      <c r="BW6733" s="397"/>
      <c r="BX6733" s="397"/>
      <c r="BY6733" s="397"/>
      <c r="BZ6733" s="397"/>
      <c r="CA6733" s="392" t="s">
        <v>412</v>
      </c>
    </row>
    <row r="6734" spans="1:80" s="392" customFormat="1" ht="15" x14ac:dyDescent="0.25">
      <c r="A6734" s="385"/>
      <c r="B6734" s="385"/>
      <c r="C6734" s="385"/>
      <c r="D6734" s="700"/>
      <c r="E6734" s="386"/>
      <c r="F6734" s="385"/>
      <c r="G6734" s="400"/>
      <c r="H6734" s="402"/>
      <c r="I6734" s="402"/>
      <c r="J6734" s="402"/>
      <c r="K6734" s="402"/>
      <c r="L6734" s="674"/>
      <c r="M6734" s="672">
        <v>30841</v>
      </c>
      <c r="N6734" s="623">
        <v>4.533862283933126</v>
      </c>
      <c r="O6734" s="624">
        <v>2.2259663999999995E-3</v>
      </c>
      <c r="P6734" s="397"/>
      <c r="Q6734" s="397"/>
      <c r="R6734" s="397"/>
      <c r="S6734" s="397"/>
      <c r="T6734" s="397"/>
      <c r="U6734" s="397"/>
      <c r="V6734" s="397"/>
      <c r="W6734" s="397"/>
      <c r="X6734" s="397"/>
      <c r="Y6734" s="397"/>
      <c r="Z6734" s="397"/>
      <c r="AD6734" s="388">
        <v>15.575280000000001</v>
      </c>
      <c r="AE6734" s="387">
        <v>0.31699200000000005</v>
      </c>
      <c r="AF6734" s="388">
        <v>4.9422800000000002</v>
      </c>
      <c r="AG6734" s="388">
        <v>0.9144000000000001</v>
      </c>
      <c r="AH6734" s="391"/>
      <c r="AI6734" s="397"/>
      <c r="AJ6734" s="397"/>
      <c r="AU6734" s="397"/>
      <c r="AV6734" s="397"/>
      <c r="AW6734" s="397"/>
      <c r="AX6734" s="397"/>
      <c r="BI6734" s="397"/>
      <c r="BJ6734" s="397"/>
      <c r="BK6734" s="397"/>
      <c r="BL6734" s="397"/>
      <c r="BM6734" s="397"/>
      <c r="BN6734" s="397"/>
      <c r="BO6734" s="397"/>
      <c r="BP6734" s="397"/>
      <c r="BQ6734" s="397"/>
      <c r="BR6734" s="397"/>
      <c r="BS6734" s="397"/>
      <c r="BT6734" s="397"/>
      <c r="BU6734" s="397"/>
      <c r="BV6734" s="397"/>
      <c r="BW6734" s="397"/>
      <c r="BX6734" s="397"/>
      <c r="BY6734" s="397"/>
      <c r="BZ6734" s="397"/>
      <c r="CA6734" s="392" t="s">
        <v>412</v>
      </c>
    </row>
    <row r="6735" spans="1:80" s="392" customFormat="1" ht="15" x14ac:dyDescent="0.25">
      <c r="A6735" s="385"/>
      <c r="B6735" s="385"/>
      <c r="C6735" s="385"/>
      <c r="D6735" s="700"/>
      <c r="E6735" s="386"/>
      <c r="F6735" s="385"/>
      <c r="G6735" s="400"/>
      <c r="H6735" s="402"/>
      <c r="I6735" s="402"/>
      <c r="J6735" s="402"/>
      <c r="K6735" s="402"/>
      <c r="L6735" s="674"/>
      <c r="M6735" s="672">
        <v>30848</v>
      </c>
      <c r="N6735" s="623">
        <v>7.8492490790592235</v>
      </c>
      <c r="O6735" s="624">
        <v>2.3950079999999999E-2</v>
      </c>
      <c r="P6735" s="397"/>
      <c r="Q6735" s="397"/>
      <c r="R6735" s="397"/>
      <c r="S6735" s="397"/>
      <c r="T6735" s="397"/>
      <c r="U6735" s="397"/>
      <c r="V6735" s="397"/>
      <c r="W6735" s="397"/>
      <c r="X6735" s="397"/>
      <c r="Y6735" s="397"/>
      <c r="Z6735" s="397"/>
      <c r="AD6735" s="388">
        <v>20.238720000000004</v>
      </c>
      <c r="AE6735" s="387">
        <v>0.33223200000000003</v>
      </c>
      <c r="AF6735" s="388">
        <v>6.7166699999999997</v>
      </c>
      <c r="AG6735" s="388">
        <v>1.1582399999999999</v>
      </c>
      <c r="AH6735" s="391"/>
      <c r="AI6735" s="397"/>
      <c r="AJ6735" s="397"/>
      <c r="AU6735" s="397"/>
      <c r="AV6735" s="397"/>
      <c r="AW6735" s="397"/>
      <c r="AX6735" s="397"/>
      <c r="BI6735" s="397"/>
      <c r="BJ6735" s="397"/>
      <c r="BK6735" s="397"/>
      <c r="BL6735" s="397"/>
      <c r="BM6735" s="397"/>
      <c r="BN6735" s="397"/>
      <c r="BO6735" s="397"/>
      <c r="BP6735" s="397"/>
      <c r="BQ6735" s="397"/>
      <c r="BR6735" s="397"/>
      <c r="BS6735" s="397"/>
      <c r="BT6735" s="397"/>
      <c r="BU6735" s="397"/>
      <c r="BV6735" s="397"/>
      <c r="BW6735" s="397"/>
      <c r="BX6735" s="397"/>
      <c r="BY6735" s="397"/>
      <c r="BZ6735" s="397"/>
      <c r="CA6735" s="392" t="s">
        <v>412</v>
      </c>
    </row>
    <row r="6736" spans="1:80" s="392" customFormat="1" ht="15" x14ac:dyDescent="0.25">
      <c r="A6736" s="385"/>
      <c r="B6736" s="385"/>
      <c r="C6736" s="385"/>
      <c r="D6736" s="700"/>
      <c r="E6736" s="386"/>
      <c r="F6736" s="385"/>
      <c r="G6736" s="400"/>
      <c r="H6736" s="402"/>
      <c r="I6736" s="402"/>
      <c r="J6736" s="402"/>
      <c r="K6736" s="402"/>
      <c r="L6736" s="674"/>
      <c r="M6736" s="672">
        <v>30853</v>
      </c>
      <c r="N6736" s="623">
        <v>8.2176253896287896</v>
      </c>
      <c r="O6736" s="624">
        <v>1.6075583999999997E-2</v>
      </c>
      <c r="P6736" s="397"/>
      <c r="Q6736" s="397"/>
      <c r="R6736" s="397"/>
      <c r="S6736" s="397"/>
      <c r="T6736" s="397"/>
      <c r="U6736" s="397"/>
      <c r="V6736" s="397"/>
      <c r="W6736" s="397"/>
      <c r="X6736" s="397"/>
      <c r="Y6736" s="397"/>
      <c r="Z6736" s="397"/>
      <c r="AD6736" s="388">
        <v>20.66544</v>
      </c>
      <c r="AE6736" s="387">
        <v>0.33528000000000002</v>
      </c>
      <c r="AF6736" s="388">
        <v>6.8931800000000001</v>
      </c>
      <c r="AG6736" s="388">
        <v>1.18872</v>
      </c>
      <c r="AH6736" s="391"/>
      <c r="AI6736" s="397"/>
      <c r="AJ6736" s="397"/>
      <c r="AU6736" s="397"/>
      <c r="AV6736" s="397"/>
      <c r="AW6736" s="397"/>
      <c r="AX6736" s="397"/>
      <c r="BI6736" s="397"/>
      <c r="BJ6736" s="397"/>
      <c r="BK6736" s="397"/>
      <c r="BL6736" s="397"/>
      <c r="BM6736" s="397"/>
      <c r="BN6736" s="397"/>
      <c r="BO6736" s="397"/>
      <c r="BP6736" s="397"/>
      <c r="BQ6736" s="397"/>
      <c r="BR6736" s="397"/>
      <c r="BS6736" s="397"/>
      <c r="BT6736" s="397"/>
      <c r="BU6736" s="397"/>
      <c r="BV6736" s="397"/>
      <c r="BW6736" s="397"/>
      <c r="BX6736" s="397"/>
      <c r="BY6736" s="397"/>
      <c r="BZ6736" s="397"/>
      <c r="CA6736" s="392" t="s">
        <v>412</v>
      </c>
    </row>
    <row r="6737" spans="1:80" s="392" customFormat="1" ht="15" x14ac:dyDescent="0.25">
      <c r="A6737" s="385"/>
      <c r="B6737" s="385"/>
      <c r="C6737" s="385"/>
      <c r="D6737" s="700"/>
      <c r="E6737" s="386"/>
      <c r="F6737" s="385"/>
      <c r="G6737" s="400"/>
      <c r="H6737" s="402"/>
      <c r="I6737" s="402"/>
      <c r="J6737" s="402"/>
      <c r="K6737" s="402"/>
      <c r="L6737" s="674"/>
      <c r="M6737" s="672">
        <v>30860</v>
      </c>
      <c r="N6737" s="623">
        <v>8.2176253896287896</v>
      </c>
      <c r="O6737" s="624">
        <v>1.0717056000000001E-2</v>
      </c>
      <c r="P6737" s="397"/>
      <c r="Q6737" s="397"/>
      <c r="R6737" s="397"/>
      <c r="S6737" s="397"/>
      <c r="T6737" s="397"/>
      <c r="U6737" s="397"/>
      <c r="V6737" s="397"/>
      <c r="W6737" s="397"/>
      <c r="X6737" s="397"/>
      <c r="Y6737" s="397"/>
      <c r="Z6737" s="397"/>
      <c r="AD6737" s="388">
        <v>20.66544</v>
      </c>
      <c r="AE6737" s="387">
        <v>0.33528000000000002</v>
      </c>
      <c r="AF6737" s="388">
        <v>6.8931800000000001</v>
      </c>
      <c r="AG6737" s="388">
        <v>1.18872</v>
      </c>
      <c r="AH6737" s="391"/>
      <c r="AI6737" s="397"/>
      <c r="AJ6737" s="397"/>
      <c r="AU6737" s="397"/>
      <c r="AV6737" s="397"/>
      <c r="AW6737" s="397"/>
      <c r="AX6737" s="397"/>
      <c r="BI6737" s="397"/>
      <c r="BJ6737" s="397"/>
      <c r="BK6737" s="397"/>
      <c r="BL6737" s="397"/>
      <c r="BM6737" s="397"/>
      <c r="BN6737" s="397"/>
      <c r="BO6737" s="397"/>
      <c r="BP6737" s="397"/>
      <c r="BQ6737" s="397"/>
      <c r="BR6737" s="397"/>
      <c r="BS6737" s="397"/>
      <c r="BT6737" s="397"/>
      <c r="BU6737" s="397"/>
      <c r="BV6737" s="397"/>
      <c r="BW6737" s="397"/>
      <c r="BX6737" s="397"/>
      <c r="BY6737" s="397"/>
      <c r="BZ6737" s="397"/>
      <c r="CA6737" s="392" t="s">
        <v>412</v>
      </c>
    </row>
    <row r="6738" spans="1:80" s="392" customFormat="1" ht="15" x14ac:dyDescent="0.25">
      <c r="A6738" s="385"/>
      <c r="B6738" s="385"/>
      <c r="C6738" s="385"/>
      <c r="D6738" s="700"/>
      <c r="E6738" s="386"/>
      <c r="F6738" s="385"/>
      <c r="G6738" s="400"/>
      <c r="H6738" s="402"/>
      <c r="I6738" s="402"/>
      <c r="J6738" s="402"/>
      <c r="K6738" s="402"/>
      <c r="L6738" s="674"/>
      <c r="M6738" s="672">
        <v>30865</v>
      </c>
      <c r="N6738" s="623">
        <v>9.5211107962595634</v>
      </c>
      <c r="O6738" s="624">
        <v>6.1236000000000013E-2</v>
      </c>
      <c r="P6738" s="397"/>
      <c r="Q6738" s="397"/>
      <c r="R6738" s="397"/>
      <c r="S6738" s="397"/>
      <c r="T6738" s="397"/>
      <c r="U6738" s="397"/>
      <c r="V6738" s="397"/>
      <c r="W6738" s="397"/>
      <c r="X6738" s="397"/>
      <c r="Y6738" s="397"/>
      <c r="Z6738" s="397"/>
      <c r="AD6738" s="388">
        <v>22.219920000000002</v>
      </c>
      <c r="AE6738" s="387">
        <v>0.33832800000000007</v>
      </c>
      <c r="AF6738" s="388">
        <v>7.4877399999999996</v>
      </c>
      <c r="AG6738" s="388">
        <v>1.2801600000000002</v>
      </c>
      <c r="AH6738" s="391"/>
      <c r="AI6738" s="397"/>
      <c r="AJ6738" s="397"/>
      <c r="AU6738" s="397"/>
      <c r="AV6738" s="397"/>
      <c r="AW6738" s="397"/>
      <c r="AX6738" s="397"/>
      <c r="BI6738" s="397"/>
      <c r="BJ6738" s="397"/>
      <c r="BK6738" s="397"/>
      <c r="BL6738" s="397"/>
      <c r="BM6738" s="397"/>
      <c r="BN6738" s="397"/>
      <c r="BO6738" s="397"/>
      <c r="BP6738" s="397"/>
      <c r="BQ6738" s="397"/>
      <c r="BR6738" s="397"/>
      <c r="BS6738" s="397"/>
      <c r="BT6738" s="397"/>
      <c r="BU6738" s="397"/>
      <c r="BV6738" s="397"/>
      <c r="BW6738" s="397"/>
      <c r="BX6738" s="397"/>
      <c r="BY6738" s="397"/>
      <c r="BZ6738" s="397"/>
      <c r="CA6738" s="392" t="s">
        <v>412</v>
      </c>
    </row>
    <row r="6739" spans="1:80" s="392" customFormat="1" ht="15" x14ac:dyDescent="0.25">
      <c r="A6739" s="385"/>
      <c r="B6739" s="385"/>
      <c r="C6739" s="385"/>
      <c r="D6739" s="700"/>
      <c r="E6739" s="386"/>
      <c r="F6739" s="385"/>
      <c r="G6739" s="400"/>
      <c r="H6739" s="402"/>
      <c r="I6739" s="402"/>
      <c r="J6739" s="402"/>
      <c r="K6739" s="402"/>
      <c r="L6739" s="674"/>
      <c r="M6739" s="672">
        <v>30874</v>
      </c>
      <c r="N6739" s="623">
        <v>6.2623972796826299</v>
      </c>
      <c r="O6739" s="624">
        <v>1.4636160000000002E-2</v>
      </c>
      <c r="P6739" s="397"/>
      <c r="Q6739" s="397"/>
      <c r="R6739" s="397"/>
      <c r="S6739" s="397"/>
      <c r="T6739" s="397"/>
      <c r="U6739" s="397"/>
      <c r="V6739" s="397"/>
      <c r="W6739" s="397"/>
      <c r="X6739" s="397"/>
      <c r="Y6739" s="397"/>
      <c r="Z6739" s="397"/>
      <c r="AD6739" s="388">
        <v>18.166080000000001</v>
      </c>
      <c r="AE6739" s="387">
        <v>0.32613600000000004</v>
      </c>
      <c r="AF6739" s="388">
        <v>5.9177299999999997</v>
      </c>
      <c r="AG6739" s="388">
        <v>1.0668</v>
      </c>
      <c r="AH6739" s="391"/>
      <c r="AI6739" s="397"/>
      <c r="AJ6739" s="397"/>
      <c r="AU6739" s="397"/>
      <c r="AV6739" s="397"/>
      <c r="AW6739" s="397"/>
      <c r="AX6739" s="397"/>
      <c r="BI6739" s="397"/>
      <c r="BJ6739" s="397"/>
      <c r="BK6739" s="397"/>
      <c r="BL6739" s="397"/>
      <c r="BM6739" s="397"/>
      <c r="BN6739" s="397"/>
      <c r="BO6739" s="397"/>
      <c r="BP6739" s="397"/>
      <c r="BQ6739" s="397"/>
      <c r="BR6739" s="397"/>
      <c r="BS6739" s="397"/>
      <c r="BT6739" s="397"/>
      <c r="BU6739" s="397"/>
      <c r="BV6739" s="397"/>
      <c r="BW6739" s="397"/>
      <c r="BX6739" s="397"/>
      <c r="BY6739" s="397"/>
      <c r="BZ6739" s="397"/>
      <c r="CA6739" s="392" t="s">
        <v>412</v>
      </c>
    </row>
    <row r="6740" spans="1:80" s="392" customFormat="1" ht="15" x14ac:dyDescent="0.25">
      <c r="A6740" s="385"/>
      <c r="B6740" s="385"/>
      <c r="C6740" s="385"/>
      <c r="D6740" s="700"/>
      <c r="E6740" s="386"/>
      <c r="F6740" s="385"/>
      <c r="G6740" s="400"/>
      <c r="H6740" s="402"/>
      <c r="I6740" s="402"/>
      <c r="J6740" s="402"/>
      <c r="K6740" s="402"/>
      <c r="L6740" s="674"/>
      <c r="M6740" s="672">
        <v>30882</v>
      </c>
      <c r="N6740" s="623">
        <v>3.7971096627939929</v>
      </c>
      <c r="O6740" s="624">
        <v>2.6006400000000006E-2</v>
      </c>
      <c r="P6740" s="397"/>
      <c r="Q6740" s="397"/>
      <c r="R6740" s="397"/>
      <c r="S6740" s="397"/>
      <c r="T6740" s="397"/>
      <c r="U6740" s="397"/>
      <c r="V6740" s="397"/>
      <c r="W6740" s="397"/>
      <c r="X6740" s="397"/>
      <c r="Y6740" s="397"/>
      <c r="Z6740" s="397"/>
      <c r="AD6740" s="388">
        <v>14.325600000000001</v>
      </c>
      <c r="AE6740" s="387">
        <v>0.313944</v>
      </c>
      <c r="AF6740" s="388">
        <v>4.4684900000000001</v>
      </c>
      <c r="AG6740" s="388">
        <v>0.85343999999999998</v>
      </c>
      <c r="AH6740" s="391"/>
      <c r="AI6740" s="397"/>
      <c r="AJ6740" s="397"/>
      <c r="AU6740" s="397"/>
      <c r="AV6740" s="397"/>
      <c r="AW6740" s="397"/>
      <c r="AX6740" s="397"/>
      <c r="BI6740" s="397"/>
      <c r="BJ6740" s="397"/>
      <c r="BK6740" s="397"/>
      <c r="BL6740" s="397"/>
      <c r="BM6740" s="397"/>
      <c r="BN6740" s="397"/>
      <c r="BO6740" s="397"/>
      <c r="BP6740" s="397"/>
      <c r="BQ6740" s="397"/>
      <c r="BR6740" s="397"/>
      <c r="BS6740" s="397"/>
      <c r="BT6740" s="397"/>
      <c r="BU6740" s="397"/>
      <c r="BV6740" s="397"/>
      <c r="BW6740" s="397"/>
      <c r="BX6740" s="397"/>
      <c r="BY6740" s="397"/>
      <c r="BZ6740" s="397"/>
      <c r="CA6740" s="392" t="s">
        <v>412</v>
      </c>
    </row>
    <row r="6741" spans="1:80" s="392" customFormat="1" ht="15" x14ac:dyDescent="0.25">
      <c r="A6741" s="385"/>
      <c r="B6741" s="385"/>
      <c r="C6741" s="385"/>
      <c r="D6741" s="700"/>
      <c r="E6741" s="386"/>
      <c r="F6741" s="385"/>
      <c r="G6741" s="400"/>
      <c r="H6741" s="402"/>
      <c r="I6741" s="402"/>
      <c r="J6741" s="402"/>
      <c r="K6741" s="402"/>
      <c r="L6741" s="674"/>
      <c r="M6741" s="672">
        <v>30890</v>
      </c>
      <c r="N6741" s="623">
        <v>4.4488523661093797</v>
      </c>
      <c r="O6741" s="624">
        <v>2.3677920000000002E-2</v>
      </c>
      <c r="P6741" s="397"/>
      <c r="Q6741" s="397"/>
      <c r="R6741" s="397"/>
      <c r="S6741" s="397"/>
      <c r="T6741" s="397"/>
      <c r="U6741" s="397"/>
      <c r="V6741" s="397"/>
      <c r="W6741" s="397"/>
      <c r="X6741" s="397"/>
      <c r="Y6741" s="397"/>
      <c r="Z6741" s="397"/>
      <c r="AD6741" s="388">
        <v>15.453360000000002</v>
      </c>
      <c r="AE6741" s="387">
        <v>0.31699200000000005</v>
      </c>
      <c r="AF6741" s="388">
        <v>4.8865400000000001</v>
      </c>
      <c r="AG6741" s="388">
        <v>0.9144000000000001</v>
      </c>
      <c r="AH6741" s="391"/>
      <c r="AI6741" s="397"/>
      <c r="AJ6741" s="397"/>
      <c r="AU6741" s="397"/>
      <c r="AV6741" s="397"/>
      <c r="AW6741" s="397"/>
      <c r="AX6741" s="397"/>
      <c r="BI6741" s="397"/>
      <c r="BJ6741" s="397"/>
      <c r="BK6741" s="397"/>
      <c r="BL6741" s="397"/>
      <c r="BM6741" s="397"/>
      <c r="BN6741" s="397"/>
      <c r="BO6741" s="397"/>
      <c r="BP6741" s="397"/>
      <c r="BQ6741" s="397"/>
      <c r="BR6741" s="397"/>
      <c r="BS6741" s="397"/>
      <c r="BT6741" s="397"/>
      <c r="BU6741" s="397"/>
      <c r="BV6741" s="397"/>
      <c r="BW6741" s="397"/>
      <c r="BX6741" s="397"/>
      <c r="BY6741" s="397"/>
      <c r="BZ6741" s="397"/>
      <c r="CA6741" s="392" t="s">
        <v>412</v>
      </c>
    </row>
    <row r="6742" spans="1:80" s="392" customFormat="1" ht="15" x14ac:dyDescent="0.25">
      <c r="A6742" s="385"/>
      <c r="B6742" s="385"/>
      <c r="C6742" s="385"/>
      <c r="D6742" s="700"/>
      <c r="E6742" s="386"/>
      <c r="F6742" s="385"/>
      <c r="G6742" s="400"/>
      <c r="H6742" s="402"/>
      <c r="I6742" s="402"/>
      <c r="J6742" s="402"/>
      <c r="K6742" s="402"/>
      <c r="L6742" s="674"/>
      <c r="M6742" s="672">
        <v>30897</v>
      </c>
      <c r="N6742" s="623">
        <v>3.315386795126098</v>
      </c>
      <c r="O6742" s="624">
        <v>5.1408000000000009E-4</v>
      </c>
      <c r="P6742" s="397"/>
      <c r="Q6742" s="397"/>
      <c r="R6742" s="397"/>
      <c r="S6742" s="397"/>
      <c r="T6742" s="397"/>
      <c r="U6742" s="397"/>
      <c r="V6742" s="397"/>
      <c r="W6742" s="397"/>
      <c r="X6742" s="397"/>
      <c r="Y6742" s="397"/>
      <c r="Z6742" s="397"/>
      <c r="AD6742" s="388">
        <v>13.411200000000001</v>
      </c>
      <c r="AE6742" s="387">
        <v>0.30784800000000001</v>
      </c>
      <c r="AF6742" s="388">
        <v>4.1433400000000002</v>
      </c>
      <c r="AG6742" s="388">
        <v>0.79248000000000007</v>
      </c>
      <c r="AH6742" s="391"/>
      <c r="AI6742" s="397"/>
      <c r="AJ6742" s="397"/>
      <c r="AU6742" s="397"/>
      <c r="AV6742" s="397"/>
      <c r="AW6742" s="397"/>
      <c r="AX6742" s="397"/>
      <c r="BI6742" s="397"/>
      <c r="BJ6742" s="397"/>
      <c r="BK6742" s="397"/>
      <c r="BL6742" s="397"/>
      <c r="BM6742" s="397"/>
      <c r="BN6742" s="397"/>
      <c r="BO6742" s="397"/>
      <c r="BP6742" s="397"/>
      <c r="BQ6742" s="397"/>
      <c r="BR6742" s="397"/>
      <c r="BS6742" s="397"/>
      <c r="BT6742" s="397"/>
      <c r="BU6742" s="397"/>
      <c r="BV6742" s="397"/>
      <c r="BW6742" s="397"/>
      <c r="BX6742" s="397"/>
      <c r="BY6742" s="397"/>
      <c r="BZ6742" s="397"/>
      <c r="CA6742" s="392" t="s">
        <v>412</v>
      </c>
    </row>
    <row r="6743" spans="1:80" s="392" customFormat="1" ht="15" x14ac:dyDescent="0.25">
      <c r="A6743" s="385"/>
      <c r="B6743" s="385"/>
      <c r="C6743" s="385"/>
      <c r="D6743" s="700"/>
      <c r="E6743" s="386"/>
      <c r="F6743" s="385"/>
      <c r="G6743" s="400"/>
      <c r="H6743" s="402"/>
      <c r="I6743" s="402"/>
      <c r="J6743" s="402"/>
      <c r="K6743" s="402"/>
      <c r="L6743" s="674"/>
      <c r="M6743" s="672">
        <v>30904</v>
      </c>
      <c r="N6743" s="623">
        <v>2.6636440918107112</v>
      </c>
      <c r="O6743" s="624">
        <v>1.3205808000000005E-3</v>
      </c>
      <c r="P6743" s="397"/>
      <c r="Q6743" s="397"/>
      <c r="R6743" s="397"/>
      <c r="S6743" s="397"/>
      <c r="T6743" s="397"/>
      <c r="U6743" s="397"/>
      <c r="V6743" s="397"/>
      <c r="W6743" s="397"/>
      <c r="X6743" s="397"/>
      <c r="Y6743" s="397"/>
      <c r="Z6743" s="397"/>
      <c r="AD6743" s="388">
        <v>12.100560000000002</v>
      </c>
      <c r="AE6743" s="387">
        <v>0.30175200000000002</v>
      </c>
      <c r="AF6743" s="388">
        <v>3.6602599999999996</v>
      </c>
      <c r="AG6743" s="388">
        <v>0.73152000000000006</v>
      </c>
      <c r="AH6743" s="391"/>
      <c r="AI6743" s="397"/>
      <c r="AJ6743" s="397"/>
      <c r="AU6743" s="397"/>
      <c r="AV6743" s="397"/>
      <c r="AW6743" s="397"/>
      <c r="AX6743" s="397"/>
      <c r="BI6743" s="397"/>
      <c r="BJ6743" s="397"/>
      <c r="BK6743" s="397"/>
      <c r="BL6743" s="397"/>
      <c r="BM6743" s="397"/>
      <c r="BN6743" s="397"/>
      <c r="BO6743" s="397"/>
      <c r="BP6743" s="397"/>
      <c r="BQ6743" s="397"/>
      <c r="BR6743" s="397"/>
      <c r="BS6743" s="397"/>
      <c r="BT6743" s="397"/>
      <c r="BU6743" s="397"/>
      <c r="BV6743" s="397"/>
      <c r="BW6743" s="397"/>
      <c r="BX6743" s="397"/>
      <c r="BY6743" s="397"/>
      <c r="BZ6743" s="397"/>
      <c r="CA6743" s="392" t="s">
        <v>412</v>
      </c>
    </row>
    <row r="6744" spans="1:80" s="392" customFormat="1" ht="15" x14ac:dyDescent="0.25">
      <c r="A6744" s="385"/>
      <c r="B6744" s="385"/>
      <c r="C6744" s="385"/>
      <c r="D6744" s="700"/>
      <c r="E6744" s="386"/>
      <c r="F6744" s="385"/>
      <c r="G6744" s="400"/>
      <c r="H6744" s="402"/>
      <c r="I6744" s="402"/>
      <c r="J6744" s="402"/>
      <c r="K6744" s="402"/>
      <c r="L6744" s="674"/>
      <c r="M6744" s="672">
        <v>30909</v>
      </c>
      <c r="N6744" s="623">
        <v>2.5786341739869654</v>
      </c>
      <c r="O6744" s="624">
        <v>1.3006224000000003E-3</v>
      </c>
      <c r="P6744" s="397"/>
      <c r="Q6744" s="397"/>
      <c r="R6744" s="397"/>
      <c r="S6744" s="397"/>
      <c r="T6744" s="397"/>
      <c r="U6744" s="397"/>
      <c r="V6744" s="397"/>
      <c r="W6744" s="397"/>
      <c r="X6744" s="397"/>
      <c r="Y6744" s="397"/>
      <c r="Z6744" s="397"/>
      <c r="AD6744" s="388">
        <v>11.917680000000001</v>
      </c>
      <c r="AE6744" s="387">
        <v>0.30175200000000002</v>
      </c>
      <c r="AF6744" s="388">
        <v>3.5952299999999999</v>
      </c>
      <c r="AG6744" s="388">
        <v>0.70104</v>
      </c>
      <c r="AH6744" s="391"/>
      <c r="AI6744" s="397"/>
      <c r="AJ6744" s="397"/>
      <c r="AU6744" s="397"/>
      <c r="AV6744" s="397"/>
      <c r="AW6744" s="397"/>
      <c r="AX6744" s="397"/>
      <c r="BI6744" s="397"/>
      <c r="BJ6744" s="397"/>
      <c r="BK6744" s="397"/>
      <c r="BL6744" s="397"/>
      <c r="BM6744" s="397"/>
      <c r="BN6744" s="397"/>
      <c r="BO6744" s="397"/>
      <c r="BP6744" s="397"/>
      <c r="BQ6744" s="397"/>
      <c r="BR6744" s="397"/>
      <c r="BS6744" s="397"/>
      <c r="BT6744" s="397"/>
      <c r="BU6744" s="397"/>
      <c r="BV6744" s="397"/>
      <c r="BW6744" s="397"/>
      <c r="BX6744" s="397"/>
      <c r="BY6744" s="397"/>
      <c r="BZ6744" s="397"/>
      <c r="CA6744" s="392" t="s">
        <v>412</v>
      </c>
    </row>
    <row r="6745" spans="1:80" s="392" customFormat="1" ht="15" x14ac:dyDescent="0.25">
      <c r="A6745" s="385"/>
      <c r="B6745" s="385"/>
      <c r="C6745" s="385"/>
      <c r="D6745" s="700"/>
      <c r="E6745" s="386"/>
      <c r="F6745" s="385"/>
      <c r="G6745" s="400"/>
      <c r="H6745" s="402"/>
      <c r="I6745" s="402"/>
      <c r="J6745" s="402"/>
      <c r="K6745" s="402"/>
      <c r="L6745" s="674"/>
      <c r="M6745" s="672">
        <v>30943</v>
      </c>
      <c r="N6745" s="623">
        <v>1.1618022102578633</v>
      </c>
      <c r="O6745" s="624">
        <v>0</v>
      </c>
      <c r="P6745" s="397"/>
      <c r="Q6745" s="397"/>
      <c r="R6745" s="397"/>
      <c r="S6745" s="397"/>
      <c r="T6745" s="397"/>
      <c r="U6745" s="397"/>
      <c r="V6745" s="397"/>
      <c r="W6745" s="397"/>
      <c r="X6745" s="397"/>
      <c r="Y6745" s="397"/>
      <c r="Z6745" s="397"/>
      <c r="AD6745" s="388">
        <v>8.1381600000000009</v>
      </c>
      <c r="AE6745" s="387">
        <v>0.28346400000000005</v>
      </c>
      <c r="AF6745" s="388">
        <v>2.2946299999999997</v>
      </c>
      <c r="AG6745" s="388">
        <v>0.48768000000000006</v>
      </c>
      <c r="AH6745" s="391"/>
      <c r="AI6745" s="397"/>
      <c r="AJ6745" s="397"/>
      <c r="AU6745" s="397"/>
      <c r="AV6745" s="397"/>
      <c r="AW6745" s="397"/>
      <c r="AX6745" s="397"/>
      <c r="BI6745" s="397"/>
      <c r="BJ6745" s="397"/>
      <c r="BK6745" s="397"/>
      <c r="BL6745" s="397"/>
      <c r="BM6745" s="397"/>
      <c r="BN6745" s="397"/>
      <c r="BO6745" s="397"/>
      <c r="BP6745" s="397"/>
      <c r="BQ6745" s="397"/>
      <c r="BR6745" s="397"/>
      <c r="BS6745" s="397"/>
      <c r="BT6745" s="397"/>
      <c r="BU6745" s="397"/>
      <c r="BV6745" s="397"/>
      <c r="BW6745" s="397"/>
      <c r="BX6745" s="397"/>
      <c r="BY6745" s="397"/>
      <c r="BZ6745" s="397"/>
      <c r="CA6745" s="392" t="s">
        <v>412</v>
      </c>
    </row>
    <row r="6746" spans="1:80" s="189" customFormat="1" ht="15" x14ac:dyDescent="0.25">
      <c r="A6746" s="9" t="s">
        <v>436</v>
      </c>
      <c r="B6746" s="639" t="s">
        <v>34</v>
      </c>
      <c r="C6746" s="639"/>
      <c r="D6746" s="4">
        <f>VLOOKUP(E6746,'Quality Code'!$D$4:$E$24,2,TRUE)*VLOOKUP(MROUND(F6746,10),'Quality Code'!$D$28:$E$69,2,TRUE)*VLOOKUP(COUNTA(CB6746:CB6756),'Quality Code'!$D$73:$E$93,2,TRUE)</f>
        <v>0.2</v>
      </c>
      <c r="E6746" s="14">
        <v>0.4</v>
      </c>
      <c r="F6746" s="2">
        <v>24</v>
      </c>
      <c r="G6746" s="12"/>
      <c r="H6746" s="2" t="s">
        <v>105</v>
      </c>
      <c r="I6746" s="2"/>
      <c r="J6746" s="2"/>
      <c r="K6746" s="2"/>
      <c r="L6746" s="639"/>
      <c r="M6746" s="640">
        <v>1984</v>
      </c>
      <c r="N6746" s="578" t="s">
        <v>110</v>
      </c>
      <c r="O6746" s="578"/>
      <c r="P6746" s="26"/>
      <c r="Q6746" s="26"/>
      <c r="R6746" s="26"/>
      <c r="S6746" s="26"/>
      <c r="T6746" s="26"/>
      <c r="U6746" s="26"/>
      <c r="V6746" s="10"/>
      <c r="W6746" s="10"/>
      <c r="X6746" s="10"/>
      <c r="Y6746" s="10"/>
      <c r="Z6746" s="2"/>
      <c r="AA6746" s="26"/>
      <c r="AB6746" s="26"/>
      <c r="AC6746" s="377" t="s">
        <v>29</v>
      </c>
      <c r="AD6746" s="406"/>
      <c r="AE6746" s="26"/>
      <c r="AF6746" s="26"/>
      <c r="AG6746" s="26"/>
      <c r="AH6746" s="26"/>
      <c r="AI6746" s="4"/>
      <c r="AJ6746" s="378"/>
      <c r="AK6746" s="376"/>
      <c r="AL6746" s="376"/>
      <c r="AM6746" s="376"/>
      <c r="AN6746" s="376"/>
      <c r="AO6746" s="376"/>
      <c r="AP6746" s="376"/>
      <c r="AQ6746" s="376"/>
      <c r="AR6746" s="376"/>
      <c r="AS6746" s="376"/>
      <c r="AT6746" s="376"/>
      <c r="AU6746" s="378"/>
      <c r="AV6746" s="378"/>
      <c r="AW6746" s="378"/>
      <c r="AX6746" s="378"/>
      <c r="AY6746" s="379"/>
      <c r="AZ6746" s="379"/>
      <c r="BA6746" s="380"/>
      <c r="BB6746" s="380"/>
      <c r="BC6746" s="380"/>
      <c r="BD6746" s="380"/>
      <c r="BE6746" s="380"/>
      <c r="BF6746" s="380"/>
      <c r="BG6746" s="380"/>
      <c r="BH6746" s="380"/>
      <c r="BI6746" s="4"/>
      <c r="BJ6746" s="12"/>
      <c r="BK6746" s="2"/>
      <c r="BL6746" s="2"/>
      <c r="BM6746" s="4"/>
      <c r="BN6746" s="12"/>
      <c r="BO6746" s="12"/>
      <c r="BP6746" s="12"/>
      <c r="BQ6746" s="4"/>
      <c r="BR6746" s="4"/>
      <c r="BS6746" s="4"/>
      <c r="BT6746" s="2"/>
      <c r="BU6746" s="9"/>
      <c r="BV6746" s="381"/>
      <c r="BW6746" s="382"/>
      <c r="BX6746" s="383"/>
      <c r="BY6746" s="383" t="s">
        <v>437</v>
      </c>
      <c r="BZ6746" s="383"/>
      <c r="CA6746" s="384" t="s">
        <v>412</v>
      </c>
      <c r="CB6746" s="411"/>
    </row>
    <row r="6747" spans="1:80" s="392" customFormat="1" ht="15" x14ac:dyDescent="0.25">
      <c r="A6747" s="385"/>
      <c r="B6747" s="385"/>
      <c r="C6747" s="385"/>
      <c r="D6747" s="700"/>
      <c r="E6747" s="386"/>
      <c r="F6747" s="385"/>
      <c r="G6747" s="400"/>
      <c r="H6747" s="402"/>
      <c r="I6747" s="408"/>
      <c r="J6747" s="408"/>
      <c r="K6747" s="408"/>
      <c r="L6747" s="677"/>
      <c r="M6747" s="678">
        <v>30788</v>
      </c>
      <c r="N6747" s="623">
        <v>5.1005950694247668E-2</v>
      </c>
      <c r="O6747" s="624">
        <v>1.0584000000000001E-3</v>
      </c>
      <c r="P6747" s="397"/>
      <c r="Q6747" s="397"/>
      <c r="R6747" s="397"/>
      <c r="S6747" s="397"/>
      <c r="T6747" s="397"/>
      <c r="U6747" s="397"/>
      <c r="V6747" s="397"/>
      <c r="W6747" s="397"/>
      <c r="X6747" s="397"/>
      <c r="Y6747" s="397"/>
      <c r="Z6747" s="397"/>
      <c r="AC6747" s="409">
        <v>2.1299999999999999E-2</v>
      </c>
      <c r="AD6747" s="388">
        <v>4.3281599999999996</v>
      </c>
      <c r="AE6747" s="388">
        <v>0.24993599999999999</v>
      </c>
      <c r="AF6747" s="388">
        <v>1.0785689999999999</v>
      </c>
      <c r="AG6747" s="388">
        <v>4.8768000000000006E-2</v>
      </c>
      <c r="AH6747" s="391"/>
      <c r="AI6747" s="397"/>
      <c r="AJ6747" s="397"/>
      <c r="AU6747" s="397"/>
      <c r="AV6747" s="397"/>
      <c r="AW6747" s="397"/>
      <c r="AX6747" s="397"/>
      <c r="BI6747" s="397"/>
      <c r="BJ6747" s="397"/>
      <c r="BK6747" s="397"/>
      <c r="BL6747" s="397"/>
      <c r="BM6747" s="397"/>
      <c r="BN6747" s="397"/>
      <c r="BO6747" s="397"/>
      <c r="BP6747" s="397"/>
      <c r="BQ6747" s="397"/>
      <c r="BR6747" s="397"/>
      <c r="BS6747" s="397"/>
      <c r="BT6747" s="397"/>
      <c r="BU6747" s="397"/>
      <c r="BV6747" s="397"/>
      <c r="BW6747" s="397"/>
      <c r="BX6747" s="397"/>
      <c r="BY6747" s="397"/>
      <c r="BZ6747" s="397"/>
      <c r="CA6747" s="392" t="s">
        <v>412</v>
      </c>
    </row>
    <row r="6748" spans="1:80" s="392" customFormat="1" ht="15" x14ac:dyDescent="0.25">
      <c r="A6748" s="385"/>
      <c r="B6748" s="385"/>
      <c r="C6748" s="385"/>
      <c r="D6748" s="700"/>
      <c r="E6748" s="386"/>
      <c r="F6748" s="385"/>
      <c r="G6748" s="400"/>
      <c r="H6748" s="402"/>
      <c r="I6748" s="402"/>
      <c r="J6748" s="402"/>
      <c r="K6748" s="402"/>
      <c r="L6748" s="674"/>
      <c r="M6748" s="672">
        <v>30798</v>
      </c>
      <c r="N6748" s="623">
        <v>0.37971096627939926</v>
      </c>
      <c r="O6748" s="624">
        <v>4.3092000000000009E-3</v>
      </c>
      <c r="P6748" s="397"/>
      <c r="Q6748" s="397"/>
      <c r="R6748" s="397"/>
      <c r="S6748" s="397"/>
      <c r="T6748" s="397"/>
      <c r="U6748" s="397"/>
      <c r="V6748" s="397"/>
      <c r="W6748" s="397"/>
      <c r="X6748" s="397"/>
      <c r="Y6748" s="397"/>
      <c r="Z6748" s="397"/>
      <c r="AC6748" s="409">
        <v>2.1299999999999999E-2</v>
      </c>
      <c r="AD6748" s="388">
        <v>6.4008000000000003</v>
      </c>
      <c r="AE6748" s="388">
        <v>0.192024</v>
      </c>
      <c r="AF6748" s="388">
        <v>1.2262799999999998</v>
      </c>
      <c r="AG6748" s="388">
        <v>0.30784800000000001</v>
      </c>
      <c r="AH6748" s="391"/>
      <c r="AI6748" s="397"/>
      <c r="AJ6748" s="397"/>
      <c r="AU6748" s="397"/>
      <c r="AV6748" s="397"/>
      <c r="AW6748" s="397"/>
      <c r="AX6748" s="397"/>
      <c r="BI6748" s="397"/>
      <c r="BJ6748" s="397"/>
      <c r="BK6748" s="397"/>
      <c r="BL6748" s="397"/>
      <c r="BM6748" s="397"/>
      <c r="BN6748" s="397"/>
      <c r="BO6748" s="397"/>
      <c r="BP6748" s="397"/>
      <c r="BQ6748" s="397"/>
      <c r="BR6748" s="397"/>
      <c r="BS6748" s="397"/>
      <c r="BT6748" s="397"/>
      <c r="BU6748" s="397"/>
      <c r="BV6748" s="397"/>
      <c r="BW6748" s="397"/>
      <c r="BX6748" s="397"/>
      <c r="BY6748" s="397"/>
      <c r="BZ6748" s="397"/>
      <c r="CA6748" s="392" t="s">
        <v>412</v>
      </c>
    </row>
    <row r="6749" spans="1:80" s="392" customFormat="1" ht="15" x14ac:dyDescent="0.25">
      <c r="A6749" s="385"/>
      <c r="B6749" s="385"/>
      <c r="C6749" s="385"/>
      <c r="D6749" s="700"/>
      <c r="E6749" s="386"/>
      <c r="F6749" s="385"/>
      <c r="G6749" s="400"/>
      <c r="H6749" s="402"/>
      <c r="I6749" s="402"/>
      <c r="J6749" s="402"/>
      <c r="K6749" s="402"/>
      <c r="L6749" s="674"/>
      <c r="M6749" s="672">
        <v>30802</v>
      </c>
      <c r="N6749" s="623">
        <v>0.35137432700481724</v>
      </c>
      <c r="O6749" s="624">
        <v>6.5318400000000014E-3</v>
      </c>
      <c r="P6749" s="397"/>
      <c r="Q6749" s="397"/>
      <c r="R6749" s="397"/>
      <c r="S6749" s="397"/>
      <c r="T6749" s="397"/>
      <c r="U6749" s="397"/>
      <c r="V6749" s="397"/>
      <c r="W6749" s="397"/>
      <c r="X6749" s="397"/>
      <c r="Y6749" s="397"/>
      <c r="Z6749" s="397"/>
      <c r="AC6749" s="409">
        <v>2.1299999999999999E-2</v>
      </c>
      <c r="AD6749" s="388">
        <v>6.2484000000000002</v>
      </c>
      <c r="AE6749" s="388">
        <v>0.16154400000000002</v>
      </c>
      <c r="AF6749" s="388">
        <v>1.0163259999999998</v>
      </c>
      <c r="AG6749" s="388">
        <v>0.347472</v>
      </c>
      <c r="AH6749" s="391"/>
      <c r="AI6749" s="397"/>
      <c r="AJ6749" s="397"/>
      <c r="AU6749" s="397"/>
      <c r="AV6749" s="397"/>
      <c r="AW6749" s="397"/>
      <c r="AX6749" s="397"/>
      <c r="BI6749" s="397"/>
      <c r="BJ6749" s="397"/>
      <c r="BK6749" s="397"/>
      <c r="BL6749" s="397"/>
      <c r="BM6749" s="397"/>
      <c r="BN6749" s="397"/>
      <c r="BO6749" s="397"/>
      <c r="BP6749" s="397"/>
      <c r="BQ6749" s="397"/>
      <c r="BR6749" s="397"/>
      <c r="BS6749" s="397"/>
      <c r="BT6749" s="397"/>
      <c r="BU6749" s="397"/>
      <c r="BV6749" s="397"/>
      <c r="BW6749" s="397"/>
      <c r="BX6749" s="397"/>
      <c r="BY6749" s="397"/>
      <c r="BZ6749" s="397"/>
      <c r="CA6749" s="392" t="s">
        <v>412</v>
      </c>
    </row>
    <row r="6750" spans="1:80" s="392" customFormat="1" ht="15" x14ac:dyDescent="0.25">
      <c r="A6750" s="385"/>
      <c r="B6750" s="385"/>
      <c r="C6750" s="385"/>
      <c r="D6750" s="700"/>
      <c r="E6750" s="386"/>
      <c r="F6750" s="385"/>
      <c r="G6750" s="400"/>
      <c r="H6750" s="402"/>
      <c r="I6750" s="402"/>
      <c r="J6750" s="402"/>
      <c r="K6750" s="402"/>
      <c r="L6750" s="674"/>
      <c r="M6750" s="672">
        <v>30805</v>
      </c>
      <c r="N6750" s="623">
        <v>0.31170303202040239</v>
      </c>
      <c r="O6750" s="624">
        <v>2.2740480000000007E-3</v>
      </c>
      <c r="P6750" s="397"/>
      <c r="Q6750" s="397"/>
      <c r="R6750" s="397"/>
      <c r="S6750" s="397"/>
      <c r="T6750" s="397"/>
      <c r="U6750" s="397"/>
      <c r="V6750" s="397"/>
      <c r="W6750" s="397"/>
      <c r="X6750" s="397"/>
      <c r="Y6750" s="397"/>
      <c r="Z6750" s="397"/>
      <c r="AC6750" s="409">
        <v>2.1299999999999999E-2</v>
      </c>
      <c r="AD6750" s="388">
        <v>5.4864000000000006</v>
      </c>
      <c r="AE6750" s="388">
        <v>0.22250400000000001</v>
      </c>
      <c r="AF6750" s="388">
        <v>1.2142029999999999</v>
      </c>
      <c r="AG6750" s="388">
        <v>0.25908000000000003</v>
      </c>
      <c r="AH6750" s="391"/>
      <c r="AI6750" s="397"/>
      <c r="AJ6750" s="397"/>
      <c r="AU6750" s="397"/>
      <c r="AV6750" s="397"/>
      <c r="AW6750" s="397"/>
      <c r="AX6750" s="397"/>
      <c r="BI6750" s="397"/>
      <c r="BJ6750" s="397"/>
      <c r="BK6750" s="397"/>
      <c r="BL6750" s="397"/>
      <c r="BM6750" s="397"/>
      <c r="BN6750" s="397"/>
      <c r="BO6750" s="397"/>
      <c r="BP6750" s="397"/>
      <c r="BQ6750" s="397"/>
      <c r="BR6750" s="397"/>
      <c r="BS6750" s="397"/>
      <c r="BT6750" s="397"/>
      <c r="BU6750" s="397"/>
      <c r="BV6750" s="397"/>
      <c r="BW6750" s="397"/>
      <c r="BX6750" s="397"/>
      <c r="BY6750" s="397"/>
      <c r="BZ6750" s="397"/>
      <c r="CA6750" s="392" t="s">
        <v>412</v>
      </c>
    </row>
    <row r="6751" spans="1:80" s="392" customFormat="1" ht="15" x14ac:dyDescent="0.25">
      <c r="A6751" s="385"/>
      <c r="B6751" s="385"/>
      <c r="C6751" s="385"/>
      <c r="D6751" s="700"/>
      <c r="E6751" s="386"/>
      <c r="F6751" s="385"/>
      <c r="G6751" s="400"/>
      <c r="H6751" s="402"/>
      <c r="I6751" s="402"/>
      <c r="J6751" s="402"/>
      <c r="K6751" s="402"/>
      <c r="L6751" s="674"/>
      <c r="M6751" s="672">
        <v>30812</v>
      </c>
      <c r="N6751" s="623">
        <v>0.69424766222725987</v>
      </c>
      <c r="O6751" s="624">
        <v>1.1188799999999999E-2</v>
      </c>
      <c r="P6751" s="397"/>
      <c r="Q6751" s="397"/>
      <c r="R6751" s="397"/>
      <c r="S6751" s="397"/>
      <c r="T6751" s="397"/>
      <c r="U6751" s="397"/>
      <c r="V6751" s="397"/>
      <c r="W6751" s="397"/>
      <c r="X6751" s="397"/>
      <c r="Y6751" s="397"/>
      <c r="Z6751" s="397"/>
      <c r="AC6751" s="409">
        <v>2.1299999999999999E-2</v>
      </c>
      <c r="AD6751" s="388">
        <v>6.61416</v>
      </c>
      <c r="AE6751" s="388">
        <v>0.23774400000000001</v>
      </c>
      <c r="AF6751" s="388">
        <v>1.5811579999999998</v>
      </c>
      <c r="AG6751" s="388">
        <v>0.43891200000000002</v>
      </c>
      <c r="AH6751" s="391"/>
      <c r="AI6751" s="397"/>
      <c r="AJ6751" s="397"/>
      <c r="AU6751" s="397"/>
      <c r="AV6751" s="397"/>
      <c r="AW6751" s="397"/>
      <c r="AX6751" s="397"/>
      <c r="BI6751" s="397"/>
      <c r="BJ6751" s="397"/>
      <c r="BK6751" s="397"/>
      <c r="BL6751" s="397"/>
      <c r="BM6751" s="397"/>
      <c r="BN6751" s="397"/>
      <c r="BO6751" s="397"/>
      <c r="BP6751" s="397"/>
      <c r="BQ6751" s="397"/>
      <c r="BR6751" s="397"/>
      <c r="BS6751" s="397"/>
      <c r="BT6751" s="397"/>
      <c r="BU6751" s="397"/>
      <c r="BV6751" s="397"/>
      <c r="BW6751" s="397"/>
      <c r="BX6751" s="397"/>
      <c r="BY6751" s="397"/>
      <c r="BZ6751" s="397"/>
      <c r="CA6751" s="392" t="s">
        <v>412</v>
      </c>
    </row>
    <row r="6752" spans="1:80" s="392" customFormat="1" ht="15" x14ac:dyDescent="0.25">
      <c r="A6752" s="385"/>
      <c r="B6752" s="385"/>
      <c r="C6752" s="385"/>
      <c r="D6752" s="700"/>
      <c r="E6752" s="386"/>
      <c r="F6752" s="385"/>
      <c r="G6752" s="400"/>
      <c r="H6752" s="402"/>
      <c r="I6752" s="402"/>
      <c r="J6752" s="402"/>
      <c r="K6752" s="402"/>
      <c r="L6752" s="674"/>
      <c r="M6752" s="672">
        <v>30817</v>
      </c>
      <c r="N6752" s="623">
        <v>1.3884953244545197</v>
      </c>
      <c r="O6752" s="624">
        <v>2.3514624000000001E-2</v>
      </c>
      <c r="P6752" s="397"/>
      <c r="Q6752" s="397"/>
      <c r="R6752" s="397"/>
      <c r="S6752" s="397"/>
      <c r="T6752" s="397"/>
      <c r="U6752" s="397"/>
      <c r="V6752" s="397"/>
      <c r="W6752" s="397"/>
      <c r="X6752" s="397"/>
      <c r="Y6752" s="397"/>
      <c r="Z6752" s="397"/>
      <c r="AC6752" s="409">
        <v>2.1299999999999999E-2</v>
      </c>
      <c r="AD6752" s="388">
        <v>6.8884800000000004</v>
      </c>
      <c r="AE6752" s="388">
        <v>0.32918400000000003</v>
      </c>
      <c r="AF6752" s="388">
        <v>2.2611859999999999</v>
      </c>
      <c r="AG6752" s="388">
        <v>0.61569600000000002</v>
      </c>
      <c r="AH6752" s="391"/>
      <c r="AI6752" s="397"/>
      <c r="AJ6752" s="397"/>
      <c r="AU6752" s="397"/>
      <c r="AV6752" s="397"/>
      <c r="AW6752" s="397"/>
      <c r="AX6752" s="397"/>
      <c r="BI6752" s="397"/>
      <c r="BJ6752" s="397"/>
      <c r="BK6752" s="397"/>
      <c r="BL6752" s="397"/>
      <c r="BM6752" s="397"/>
      <c r="BN6752" s="397"/>
      <c r="BO6752" s="397"/>
      <c r="BP6752" s="397"/>
      <c r="BQ6752" s="397"/>
      <c r="BR6752" s="397"/>
      <c r="BS6752" s="397"/>
      <c r="BT6752" s="397"/>
      <c r="BU6752" s="397"/>
      <c r="BV6752" s="397"/>
      <c r="BW6752" s="397"/>
      <c r="BX6752" s="397"/>
      <c r="BY6752" s="397"/>
      <c r="BZ6752" s="397"/>
      <c r="CA6752" s="392" t="s">
        <v>412</v>
      </c>
    </row>
    <row r="6753" spans="1:79" s="392" customFormat="1" ht="15" x14ac:dyDescent="0.25">
      <c r="A6753" s="385"/>
      <c r="B6753" s="385"/>
      <c r="C6753" s="385"/>
      <c r="D6753" s="700"/>
      <c r="E6753" s="386"/>
      <c r="F6753" s="385"/>
      <c r="G6753" s="400"/>
      <c r="H6753" s="402"/>
      <c r="I6753" s="402"/>
      <c r="J6753" s="402"/>
      <c r="K6753" s="402"/>
      <c r="L6753" s="674"/>
      <c r="M6753" s="672">
        <v>30819</v>
      </c>
      <c r="N6753" s="623">
        <v>1.6520260697081326</v>
      </c>
      <c r="O6753" s="624">
        <v>1.3843872000000002E-2</v>
      </c>
      <c r="P6753" s="397"/>
      <c r="Q6753" s="397"/>
      <c r="R6753" s="397"/>
      <c r="S6753" s="397"/>
      <c r="T6753" s="397"/>
      <c r="U6753" s="397"/>
      <c r="V6753" s="397"/>
      <c r="W6753" s="397"/>
      <c r="X6753" s="397"/>
      <c r="Y6753" s="397"/>
      <c r="Z6753" s="397"/>
      <c r="AC6753" s="409">
        <v>2.1299999999999999E-2</v>
      </c>
      <c r="AD6753" s="388">
        <v>6.9494400000000009</v>
      </c>
      <c r="AE6753" s="388">
        <v>0.347472</v>
      </c>
      <c r="AF6753" s="388">
        <v>2.42469</v>
      </c>
      <c r="AG6753" s="388">
        <v>0.67970399999999997</v>
      </c>
      <c r="AH6753" s="391"/>
      <c r="AI6753" s="397"/>
      <c r="AJ6753" s="397"/>
      <c r="AU6753" s="397"/>
      <c r="AV6753" s="397"/>
      <c r="AW6753" s="397"/>
      <c r="AX6753" s="397"/>
      <c r="BI6753" s="397"/>
      <c r="BJ6753" s="397"/>
      <c r="BK6753" s="397"/>
      <c r="BL6753" s="397"/>
      <c r="BM6753" s="397"/>
      <c r="BN6753" s="397"/>
      <c r="BO6753" s="397"/>
      <c r="BP6753" s="397"/>
      <c r="BQ6753" s="397"/>
      <c r="BR6753" s="397"/>
      <c r="BS6753" s="397"/>
      <c r="BT6753" s="397"/>
      <c r="BU6753" s="397"/>
      <c r="BV6753" s="397"/>
      <c r="BW6753" s="397"/>
      <c r="BX6753" s="397"/>
      <c r="BY6753" s="397"/>
      <c r="BZ6753" s="397"/>
      <c r="CA6753" s="392" t="s">
        <v>412</v>
      </c>
    </row>
    <row r="6754" spans="1:79" s="392" customFormat="1" ht="15" x14ac:dyDescent="0.25">
      <c r="A6754" s="385"/>
      <c r="B6754" s="385"/>
      <c r="C6754" s="385"/>
      <c r="D6754" s="700"/>
      <c r="E6754" s="386"/>
      <c r="F6754" s="385"/>
      <c r="G6754" s="400"/>
      <c r="H6754" s="402"/>
      <c r="I6754" s="402"/>
      <c r="J6754" s="402"/>
      <c r="K6754" s="402"/>
      <c r="L6754" s="674"/>
      <c r="M6754" s="672">
        <v>30824</v>
      </c>
      <c r="N6754" s="623">
        <v>1.8333805610654577</v>
      </c>
      <c r="O6754" s="624">
        <v>0</v>
      </c>
      <c r="P6754" s="397"/>
      <c r="Q6754" s="397"/>
      <c r="R6754" s="397"/>
      <c r="S6754" s="397"/>
      <c r="T6754" s="397"/>
      <c r="U6754" s="397"/>
      <c r="V6754" s="397"/>
      <c r="W6754" s="397"/>
      <c r="X6754" s="397"/>
      <c r="Y6754" s="397"/>
      <c r="Z6754" s="397"/>
      <c r="AC6754" s="409">
        <v>2.1299999999999999E-2</v>
      </c>
      <c r="AD6754" s="388">
        <v>6.7970400000000009</v>
      </c>
      <c r="AE6754" s="388">
        <v>0.35661599999999999</v>
      </c>
      <c r="AF6754" s="388">
        <v>2.4154</v>
      </c>
      <c r="AG6754" s="388">
        <v>0.75895200000000007</v>
      </c>
      <c r="AH6754" s="391"/>
      <c r="AI6754" s="397"/>
      <c r="AJ6754" s="397"/>
      <c r="AU6754" s="397"/>
      <c r="AV6754" s="397"/>
      <c r="AW6754" s="397"/>
      <c r="AX6754" s="397"/>
      <c r="BI6754" s="397"/>
      <c r="BJ6754" s="397"/>
      <c r="BK6754" s="397"/>
      <c r="BL6754" s="397"/>
      <c r="BM6754" s="397"/>
      <c r="BN6754" s="397"/>
      <c r="BO6754" s="397"/>
      <c r="BP6754" s="397"/>
      <c r="BQ6754" s="397"/>
      <c r="BR6754" s="397"/>
      <c r="BS6754" s="397"/>
      <c r="BT6754" s="397"/>
      <c r="BU6754" s="397"/>
      <c r="BV6754" s="397"/>
      <c r="BW6754" s="397"/>
      <c r="BX6754" s="397"/>
      <c r="BY6754" s="397"/>
      <c r="BZ6754" s="397"/>
      <c r="CA6754" s="392" t="s">
        <v>412</v>
      </c>
    </row>
    <row r="6755" spans="1:79" s="392" customFormat="1" ht="15" x14ac:dyDescent="0.25">
      <c r="A6755" s="385"/>
      <c r="B6755" s="385"/>
      <c r="C6755" s="385"/>
      <c r="D6755" s="700"/>
      <c r="E6755" s="386"/>
      <c r="F6755" s="385"/>
      <c r="G6755" s="400"/>
      <c r="H6755" s="402"/>
      <c r="I6755" s="402"/>
      <c r="J6755" s="402"/>
      <c r="K6755" s="402"/>
      <c r="L6755" s="674"/>
      <c r="M6755" s="672">
        <v>30826</v>
      </c>
      <c r="N6755" s="623">
        <v>2.0515726834797396</v>
      </c>
      <c r="O6755" s="624">
        <v>1.93914E-2</v>
      </c>
      <c r="P6755" s="397"/>
      <c r="Q6755" s="397"/>
      <c r="R6755" s="397"/>
      <c r="S6755" s="397"/>
      <c r="T6755" s="397"/>
      <c r="U6755" s="397"/>
      <c r="V6755" s="397"/>
      <c r="W6755" s="397"/>
      <c r="X6755" s="397"/>
      <c r="Y6755" s="397"/>
      <c r="Z6755" s="397"/>
      <c r="AC6755" s="409">
        <v>2.1299999999999999E-2</v>
      </c>
      <c r="AD6755" s="388">
        <v>6.8580000000000005</v>
      </c>
      <c r="AE6755" s="388">
        <v>0.41452800000000006</v>
      </c>
      <c r="AF6755" s="388">
        <v>2.8483139999999998</v>
      </c>
      <c r="AG6755" s="388">
        <v>0.71932799999999997</v>
      </c>
      <c r="AH6755" s="391"/>
      <c r="AI6755" s="397"/>
      <c r="AJ6755" s="397"/>
      <c r="AU6755" s="397"/>
      <c r="AV6755" s="397"/>
      <c r="AW6755" s="397"/>
      <c r="AX6755" s="397"/>
      <c r="BI6755" s="397"/>
      <c r="BJ6755" s="397"/>
      <c r="BK6755" s="397"/>
      <c r="BL6755" s="397"/>
      <c r="BM6755" s="397"/>
      <c r="BN6755" s="397"/>
      <c r="BO6755" s="397"/>
      <c r="BP6755" s="397"/>
      <c r="BQ6755" s="397"/>
      <c r="BR6755" s="397"/>
      <c r="BS6755" s="397"/>
      <c r="BT6755" s="397"/>
      <c r="BU6755" s="397"/>
      <c r="BV6755" s="397"/>
      <c r="BW6755" s="397"/>
      <c r="BX6755" s="397"/>
      <c r="BY6755" s="397"/>
      <c r="BZ6755" s="397"/>
      <c r="CA6755" s="392" t="s">
        <v>412</v>
      </c>
    </row>
    <row r="6756" spans="1:79" s="392" customFormat="1" ht="15" x14ac:dyDescent="0.25">
      <c r="A6756" s="385"/>
      <c r="B6756" s="385"/>
      <c r="C6756" s="385"/>
      <c r="D6756" s="700"/>
      <c r="E6756" s="386"/>
      <c r="F6756" s="385"/>
      <c r="G6756" s="400"/>
      <c r="H6756" s="402"/>
      <c r="I6756" s="402"/>
      <c r="J6756" s="402"/>
      <c r="K6756" s="402"/>
      <c r="L6756" s="674"/>
      <c r="M6756" s="672">
        <v>30831</v>
      </c>
      <c r="N6756" s="623">
        <v>2.2527628223292719</v>
      </c>
      <c r="O6756" s="624">
        <v>1.8144000000000004E-2</v>
      </c>
      <c r="P6756" s="397"/>
      <c r="Q6756" s="397"/>
      <c r="R6756" s="397"/>
      <c r="S6756" s="397"/>
      <c r="T6756" s="397"/>
      <c r="U6756" s="397"/>
      <c r="V6756" s="397"/>
      <c r="W6756" s="397"/>
      <c r="X6756" s="397"/>
      <c r="Y6756" s="397"/>
      <c r="Z6756" s="397"/>
      <c r="AC6756" s="409">
        <v>2.1299999999999999E-2</v>
      </c>
      <c r="AD6756" s="388">
        <v>6.7360800000000012</v>
      </c>
      <c r="AE6756" s="388">
        <v>0.39014400000000005</v>
      </c>
      <c r="AF6756" s="388">
        <v>2.62907</v>
      </c>
      <c r="AG6756" s="388">
        <v>0.85648800000000003</v>
      </c>
      <c r="AH6756" s="391"/>
      <c r="AI6756" s="397"/>
      <c r="AJ6756" s="397"/>
      <c r="AU6756" s="397"/>
      <c r="AV6756" s="397"/>
      <c r="AW6756" s="397"/>
      <c r="AX6756" s="397"/>
      <c r="BI6756" s="397"/>
      <c r="BJ6756" s="397"/>
      <c r="BK6756" s="397"/>
      <c r="BL6756" s="397"/>
      <c r="BM6756" s="397"/>
      <c r="BN6756" s="397"/>
      <c r="BO6756" s="397"/>
      <c r="BP6756" s="397"/>
      <c r="BQ6756" s="397"/>
      <c r="BR6756" s="397"/>
      <c r="BS6756" s="397"/>
      <c r="BT6756" s="397"/>
      <c r="BU6756" s="397"/>
      <c r="BV6756" s="397"/>
      <c r="BW6756" s="397"/>
      <c r="BX6756" s="397"/>
      <c r="BY6756" s="397"/>
      <c r="BZ6756" s="397"/>
      <c r="CA6756" s="392" t="s">
        <v>412</v>
      </c>
    </row>
    <row r="6757" spans="1:79" s="392" customFormat="1" ht="15" x14ac:dyDescent="0.25">
      <c r="A6757" s="385"/>
      <c r="B6757" s="385"/>
      <c r="C6757" s="385"/>
      <c r="D6757" s="700"/>
      <c r="E6757" s="386"/>
      <c r="F6757" s="385"/>
      <c r="G6757" s="400"/>
      <c r="H6757" s="402"/>
      <c r="I6757" s="402"/>
      <c r="J6757" s="402"/>
      <c r="K6757" s="402"/>
      <c r="L6757" s="674"/>
      <c r="M6757" s="672">
        <v>30833</v>
      </c>
      <c r="N6757" s="623">
        <v>1.8135449135732502</v>
      </c>
      <c r="O6757" s="624">
        <v>7.7565600000000009E-3</v>
      </c>
      <c r="P6757" s="397"/>
      <c r="Q6757" s="397"/>
      <c r="R6757" s="397"/>
      <c r="S6757" s="397"/>
      <c r="T6757" s="397"/>
      <c r="U6757" s="397"/>
      <c r="V6757" s="397"/>
      <c r="W6757" s="397"/>
      <c r="X6757" s="397"/>
      <c r="Y6757" s="397"/>
      <c r="Z6757" s="397"/>
      <c r="AC6757" s="409">
        <v>2.1299999999999999E-2</v>
      </c>
      <c r="AD6757" s="388">
        <v>6.7970400000000009</v>
      </c>
      <c r="AE6757" s="388">
        <v>0.35052</v>
      </c>
      <c r="AF6757" s="388">
        <v>2.3782399999999999</v>
      </c>
      <c r="AG6757" s="388">
        <v>0.76200000000000001</v>
      </c>
      <c r="AH6757" s="391"/>
      <c r="AI6757" s="397"/>
      <c r="AJ6757" s="397"/>
      <c r="AU6757" s="397"/>
      <c r="AV6757" s="397"/>
      <c r="AW6757" s="397"/>
      <c r="AX6757" s="397"/>
      <c r="BI6757" s="397"/>
      <c r="BJ6757" s="397"/>
      <c r="BK6757" s="397"/>
      <c r="BL6757" s="397"/>
      <c r="BM6757" s="397"/>
      <c r="BN6757" s="397"/>
      <c r="BO6757" s="397"/>
      <c r="BP6757" s="397"/>
      <c r="BQ6757" s="397"/>
      <c r="BR6757" s="397"/>
      <c r="BS6757" s="397"/>
      <c r="BT6757" s="397"/>
      <c r="BU6757" s="397"/>
      <c r="BV6757" s="397"/>
      <c r="BW6757" s="397"/>
      <c r="BX6757" s="397"/>
      <c r="BY6757" s="397"/>
      <c r="BZ6757" s="397"/>
      <c r="CA6757" s="392" t="s">
        <v>412</v>
      </c>
    </row>
    <row r="6758" spans="1:79" s="392" customFormat="1" ht="15" x14ac:dyDescent="0.25">
      <c r="A6758" s="385"/>
      <c r="B6758" s="385"/>
      <c r="C6758" s="385"/>
      <c r="D6758" s="700"/>
      <c r="E6758" s="386"/>
      <c r="F6758" s="385"/>
      <c r="G6758" s="400"/>
      <c r="H6758" s="402"/>
      <c r="I6758" s="402"/>
      <c r="J6758" s="402"/>
      <c r="K6758" s="402"/>
      <c r="L6758" s="674"/>
      <c r="M6758" s="672">
        <v>30837</v>
      </c>
      <c r="N6758" s="623">
        <v>1.7710399546613773</v>
      </c>
      <c r="O6758" s="624">
        <v>4.4724960000000012E-3</v>
      </c>
      <c r="P6758" s="397"/>
      <c r="Q6758" s="397"/>
      <c r="R6758" s="397"/>
      <c r="S6758" s="397"/>
      <c r="T6758" s="397"/>
      <c r="U6758" s="397"/>
      <c r="V6758" s="397"/>
      <c r="W6758" s="397"/>
      <c r="X6758" s="397"/>
      <c r="Y6758" s="397"/>
      <c r="Z6758" s="397"/>
      <c r="AC6758" s="409">
        <v>2.1299999999999999E-2</v>
      </c>
      <c r="AD6758" s="388">
        <v>0</v>
      </c>
      <c r="AE6758" s="388">
        <v>0</v>
      </c>
      <c r="AF6758" s="388">
        <v>0</v>
      </c>
      <c r="AG6758" s="388">
        <v>0</v>
      </c>
      <c r="AH6758" s="391"/>
      <c r="AI6758" s="397"/>
      <c r="AJ6758" s="397"/>
      <c r="AU6758" s="397"/>
      <c r="AV6758" s="397"/>
      <c r="AW6758" s="397"/>
      <c r="AX6758" s="397"/>
      <c r="BI6758" s="397"/>
      <c r="BJ6758" s="397"/>
      <c r="BK6758" s="397"/>
      <c r="BL6758" s="397"/>
      <c r="BM6758" s="397"/>
      <c r="BN6758" s="397"/>
      <c r="BO6758" s="397"/>
      <c r="BP6758" s="397"/>
      <c r="BQ6758" s="397"/>
      <c r="BR6758" s="397"/>
      <c r="BS6758" s="397"/>
      <c r="BT6758" s="397"/>
      <c r="BU6758" s="397"/>
      <c r="BV6758" s="397"/>
      <c r="BW6758" s="397"/>
      <c r="BX6758" s="397"/>
      <c r="BY6758" s="397"/>
      <c r="BZ6758" s="397"/>
      <c r="CA6758" s="392" t="s">
        <v>412</v>
      </c>
    </row>
    <row r="6759" spans="1:79" s="392" customFormat="1" ht="15" x14ac:dyDescent="0.25">
      <c r="A6759" s="385"/>
      <c r="B6759" s="385"/>
      <c r="C6759" s="385"/>
      <c r="D6759" s="700"/>
      <c r="E6759" s="386"/>
      <c r="F6759" s="385"/>
      <c r="G6759" s="400"/>
      <c r="H6759" s="402"/>
      <c r="I6759" s="402"/>
      <c r="J6759" s="402"/>
      <c r="K6759" s="402"/>
      <c r="L6759" s="674"/>
      <c r="M6759" s="672">
        <v>30839</v>
      </c>
      <c r="N6759" s="623">
        <v>1.3856616605270615</v>
      </c>
      <c r="O6759" s="624">
        <v>1.7992800000000003E-3</v>
      </c>
      <c r="P6759" s="397"/>
      <c r="Q6759" s="397"/>
      <c r="R6759" s="397"/>
      <c r="S6759" s="397"/>
      <c r="T6759" s="397"/>
      <c r="U6759" s="397"/>
      <c r="V6759" s="397"/>
      <c r="W6759" s="397"/>
      <c r="X6759" s="397"/>
      <c r="Y6759" s="397"/>
      <c r="Z6759" s="397"/>
      <c r="AC6759" s="409">
        <v>2.1299999999999999E-2</v>
      </c>
      <c r="AD6759" s="388">
        <v>6.7665600000000001</v>
      </c>
      <c r="AE6759" s="388">
        <v>0.31089600000000001</v>
      </c>
      <c r="AF6759" s="388">
        <v>2.0995400000000002</v>
      </c>
      <c r="AG6759" s="388">
        <v>0.65836800000000006</v>
      </c>
      <c r="AH6759" s="391"/>
      <c r="AI6759" s="397"/>
      <c r="AJ6759" s="397"/>
      <c r="AU6759" s="397"/>
      <c r="AV6759" s="397"/>
      <c r="AW6759" s="397"/>
      <c r="AX6759" s="397"/>
      <c r="BI6759" s="397"/>
      <c r="BJ6759" s="397"/>
      <c r="BK6759" s="397"/>
      <c r="BL6759" s="397"/>
      <c r="BM6759" s="397"/>
      <c r="BN6759" s="397"/>
      <c r="BO6759" s="397"/>
      <c r="BP6759" s="397"/>
      <c r="BQ6759" s="397"/>
      <c r="BR6759" s="397"/>
      <c r="BS6759" s="397"/>
      <c r="BT6759" s="397"/>
      <c r="BU6759" s="397"/>
      <c r="BV6759" s="397"/>
      <c r="BW6759" s="397"/>
      <c r="BX6759" s="397"/>
      <c r="BY6759" s="397"/>
      <c r="BZ6759" s="397"/>
      <c r="CA6759" s="392" t="s">
        <v>412</v>
      </c>
    </row>
    <row r="6760" spans="1:79" s="392" customFormat="1" ht="15" x14ac:dyDescent="0.25">
      <c r="A6760" s="385"/>
      <c r="B6760" s="385"/>
      <c r="C6760" s="385"/>
      <c r="D6760" s="700"/>
      <c r="E6760" s="386"/>
      <c r="F6760" s="385"/>
      <c r="G6760" s="400"/>
      <c r="H6760" s="402"/>
      <c r="I6760" s="402"/>
      <c r="J6760" s="402"/>
      <c r="K6760" s="402"/>
      <c r="L6760" s="674"/>
      <c r="M6760" s="672">
        <v>30844</v>
      </c>
      <c r="N6760" s="623">
        <v>1.2779824312836499</v>
      </c>
      <c r="O6760" s="624">
        <v>3.3415200000000006E-3</v>
      </c>
      <c r="P6760" s="397"/>
      <c r="Q6760" s="397"/>
      <c r="R6760" s="397"/>
      <c r="S6760" s="397"/>
      <c r="T6760" s="397"/>
      <c r="U6760" s="397"/>
      <c r="V6760" s="397"/>
      <c r="W6760" s="397"/>
      <c r="X6760" s="397"/>
      <c r="Y6760" s="397"/>
      <c r="Z6760" s="397"/>
      <c r="AC6760" s="409">
        <v>2.5000000000000001E-2</v>
      </c>
      <c r="AD6760" s="388">
        <v>6.6751199999999997</v>
      </c>
      <c r="AE6760" s="388">
        <v>0.31089600000000001</v>
      </c>
      <c r="AF6760" s="388">
        <v>2.0809599999999997</v>
      </c>
      <c r="AG6760" s="388">
        <v>0.61264799999999997</v>
      </c>
      <c r="AH6760" s="391"/>
      <c r="AI6760" s="397"/>
      <c r="AJ6760" s="397"/>
      <c r="AU6760" s="397"/>
      <c r="AV6760" s="397"/>
      <c r="AW6760" s="397"/>
      <c r="AX6760" s="397"/>
      <c r="BI6760" s="397"/>
      <c r="BJ6760" s="397"/>
      <c r="BK6760" s="397"/>
      <c r="BL6760" s="397"/>
      <c r="BM6760" s="397"/>
      <c r="BN6760" s="397"/>
      <c r="BO6760" s="397"/>
      <c r="BP6760" s="397"/>
      <c r="BQ6760" s="397"/>
      <c r="BR6760" s="397"/>
      <c r="BS6760" s="397"/>
      <c r="BT6760" s="397"/>
      <c r="BU6760" s="397"/>
      <c r="BV6760" s="397"/>
      <c r="BW6760" s="397"/>
      <c r="BX6760" s="397"/>
      <c r="BY6760" s="397"/>
      <c r="BZ6760" s="397"/>
      <c r="CA6760" s="392" t="s">
        <v>412</v>
      </c>
    </row>
    <row r="6761" spans="1:79" s="392" customFormat="1" ht="15" x14ac:dyDescent="0.25">
      <c r="A6761" s="385"/>
      <c r="B6761" s="385"/>
      <c r="C6761" s="385"/>
      <c r="D6761" s="700"/>
      <c r="E6761" s="386"/>
      <c r="F6761" s="385"/>
      <c r="G6761" s="400"/>
      <c r="H6761" s="402"/>
      <c r="I6761" s="402"/>
      <c r="J6761" s="402"/>
      <c r="K6761" s="402"/>
      <c r="L6761" s="674"/>
      <c r="M6761" s="672">
        <v>30846</v>
      </c>
      <c r="N6761" s="623">
        <v>1.3289883819778974</v>
      </c>
      <c r="O6761" s="624">
        <v>1.2096000000000003E-3</v>
      </c>
      <c r="P6761" s="397"/>
      <c r="Q6761" s="397"/>
      <c r="R6761" s="397"/>
      <c r="S6761" s="397"/>
      <c r="T6761" s="397"/>
      <c r="U6761" s="397"/>
      <c r="V6761" s="397"/>
      <c r="W6761" s="397"/>
      <c r="X6761" s="397"/>
      <c r="Y6761" s="397"/>
      <c r="Z6761" s="397"/>
      <c r="AC6761" s="409">
        <v>2.5000000000000001E-2</v>
      </c>
      <c r="AD6761" s="388">
        <v>6.6751199999999997</v>
      </c>
      <c r="AE6761" s="388">
        <v>0.30784800000000001</v>
      </c>
      <c r="AF6761" s="388">
        <v>2.0623799999999997</v>
      </c>
      <c r="AG6761" s="388">
        <v>0.64312800000000003</v>
      </c>
      <c r="AH6761" s="391"/>
      <c r="AI6761" s="397"/>
      <c r="AJ6761" s="397"/>
      <c r="AU6761" s="397"/>
      <c r="AV6761" s="397"/>
      <c r="AW6761" s="397"/>
      <c r="AX6761" s="397"/>
      <c r="BI6761" s="397"/>
      <c r="BJ6761" s="397"/>
      <c r="BK6761" s="397"/>
      <c r="BL6761" s="397"/>
      <c r="BM6761" s="397"/>
      <c r="BN6761" s="397"/>
      <c r="BO6761" s="397"/>
      <c r="BP6761" s="397"/>
      <c r="BQ6761" s="397"/>
      <c r="BR6761" s="397"/>
      <c r="BS6761" s="397"/>
      <c r="BT6761" s="397"/>
      <c r="BU6761" s="397"/>
      <c r="BV6761" s="397"/>
      <c r="BW6761" s="397"/>
      <c r="BX6761" s="397"/>
      <c r="BY6761" s="397"/>
      <c r="BZ6761" s="397"/>
      <c r="CA6761" s="392" t="s">
        <v>412</v>
      </c>
    </row>
    <row r="6762" spans="1:79" s="392" customFormat="1" ht="15" x14ac:dyDescent="0.25">
      <c r="A6762" s="385"/>
      <c r="B6762" s="385"/>
      <c r="C6762" s="385"/>
      <c r="D6762" s="700"/>
      <c r="E6762" s="386"/>
      <c r="F6762" s="385"/>
      <c r="G6762" s="400"/>
      <c r="H6762" s="402"/>
      <c r="I6762" s="402"/>
      <c r="J6762" s="402"/>
      <c r="K6762" s="402"/>
      <c r="L6762" s="674"/>
      <c r="M6762" s="672">
        <v>30852</v>
      </c>
      <c r="N6762" s="623">
        <v>1.255313119863984</v>
      </c>
      <c r="O6762" s="624">
        <v>2.1772800000000002E-3</v>
      </c>
      <c r="P6762" s="397"/>
      <c r="Q6762" s="397"/>
      <c r="R6762" s="397"/>
      <c r="S6762" s="397"/>
      <c r="T6762" s="397"/>
      <c r="U6762" s="397"/>
      <c r="V6762" s="397"/>
      <c r="W6762" s="397"/>
      <c r="X6762" s="397"/>
      <c r="Y6762" s="397"/>
      <c r="Z6762" s="397"/>
      <c r="AC6762" s="409">
        <v>2.5000000000000001E-2</v>
      </c>
      <c r="AD6762" s="388">
        <v>6.6751199999999997</v>
      </c>
      <c r="AE6762" s="388">
        <v>0.30480000000000002</v>
      </c>
      <c r="AF6762" s="388">
        <v>2.02522</v>
      </c>
      <c r="AG6762" s="388">
        <v>0.61874399999999996</v>
      </c>
      <c r="AH6762" s="391"/>
      <c r="AI6762" s="397"/>
      <c r="AJ6762" s="397"/>
      <c r="AU6762" s="397"/>
      <c r="AV6762" s="397"/>
      <c r="AW6762" s="397"/>
      <c r="AX6762" s="397"/>
      <c r="BI6762" s="397"/>
      <c r="BJ6762" s="397"/>
      <c r="BK6762" s="397"/>
      <c r="BL6762" s="397"/>
      <c r="BM6762" s="397"/>
      <c r="BN6762" s="397"/>
      <c r="BO6762" s="397"/>
      <c r="BP6762" s="397"/>
      <c r="BQ6762" s="397"/>
      <c r="BR6762" s="397"/>
      <c r="BS6762" s="397"/>
      <c r="BT6762" s="397"/>
      <c r="BU6762" s="397"/>
      <c r="BV6762" s="397"/>
      <c r="BW6762" s="397"/>
      <c r="BX6762" s="397"/>
      <c r="BY6762" s="397"/>
      <c r="BZ6762" s="397"/>
      <c r="CA6762" s="392" t="s">
        <v>412</v>
      </c>
    </row>
    <row r="6763" spans="1:79" s="392" customFormat="1" ht="15" x14ac:dyDescent="0.25">
      <c r="A6763" s="385"/>
      <c r="B6763" s="385"/>
      <c r="C6763" s="385"/>
      <c r="D6763" s="700"/>
      <c r="E6763" s="386"/>
      <c r="F6763" s="385"/>
      <c r="G6763" s="400"/>
      <c r="H6763" s="402"/>
      <c r="I6763" s="402"/>
      <c r="J6763" s="402"/>
      <c r="K6763" s="402"/>
      <c r="L6763" s="674"/>
      <c r="M6763" s="672">
        <v>30859</v>
      </c>
      <c r="N6763" s="623">
        <v>0.87560215358458482</v>
      </c>
      <c r="O6763" s="624">
        <v>1.9686240000000001E-2</v>
      </c>
      <c r="P6763" s="397"/>
      <c r="Q6763" s="397"/>
      <c r="R6763" s="397"/>
      <c r="S6763" s="397"/>
      <c r="T6763" s="397"/>
      <c r="U6763" s="397"/>
      <c r="V6763" s="397"/>
      <c r="W6763" s="397"/>
      <c r="X6763" s="397"/>
      <c r="Y6763" s="397"/>
      <c r="Z6763" s="397"/>
      <c r="AC6763" s="409">
        <v>2.5000000000000001E-2</v>
      </c>
      <c r="AD6763" s="388">
        <v>6.6751199999999997</v>
      </c>
      <c r="AE6763" s="388">
        <v>0.23774400000000001</v>
      </c>
      <c r="AF6763" s="388">
        <v>1.5885900000000002</v>
      </c>
      <c r="AG6763" s="388">
        <v>0.55168800000000007</v>
      </c>
      <c r="AH6763" s="391"/>
      <c r="AI6763" s="397"/>
      <c r="AJ6763" s="397"/>
      <c r="AU6763" s="397"/>
      <c r="AV6763" s="397"/>
      <c r="AW6763" s="397"/>
      <c r="AX6763" s="397"/>
      <c r="BI6763" s="397"/>
      <c r="BJ6763" s="397"/>
      <c r="BK6763" s="397"/>
      <c r="BL6763" s="397"/>
      <c r="BM6763" s="397"/>
      <c r="BN6763" s="397"/>
      <c r="BO6763" s="397"/>
      <c r="BP6763" s="397"/>
      <c r="BQ6763" s="397"/>
      <c r="BR6763" s="397"/>
      <c r="BS6763" s="397"/>
      <c r="BT6763" s="397"/>
      <c r="BU6763" s="397"/>
      <c r="BV6763" s="397"/>
      <c r="BW6763" s="397"/>
      <c r="BX6763" s="397"/>
      <c r="BY6763" s="397"/>
      <c r="BZ6763" s="397"/>
      <c r="CA6763" s="392" t="s">
        <v>412</v>
      </c>
    </row>
    <row r="6764" spans="1:79" s="392" customFormat="1" ht="15" x14ac:dyDescent="0.25">
      <c r="A6764" s="385"/>
      <c r="B6764" s="385"/>
      <c r="C6764" s="385"/>
      <c r="D6764" s="700"/>
      <c r="E6764" s="386"/>
      <c r="F6764" s="385"/>
      <c r="G6764" s="400"/>
      <c r="H6764" s="402"/>
      <c r="I6764" s="402"/>
      <c r="J6764" s="402"/>
      <c r="K6764" s="402"/>
      <c r="L6764" s="674"/>
      <c r="M6764" s="672">
        <v>30866</v>
      </c>
      <c r="N6764" s="623">
        <v>0.65741003117030317</v>
      </c>
      <c r="O6764" s="624">
        <v>5.3222400000000007E-3</v>
      </c>
      <c r="P6764" s="397"/>
      <c r="Q6764" s="397"/>
      <c r="R6764" s="397"/>
      <c r="S6764" s="397"/>
      <c r="T6764" s="397"/>
      <c r="U6764" s="397"/>
      <c r="V6764" s="397"/>
      <c r="W6764" s="397"/>
      <c r="X6764" s="397"/>
      <c r="Y6764" s="397"/>
      <c r="Z6764" s="397"/>
      <c r="AC6764" s="409">
        <v>2.5000000000000001E-2</v>
      </c>
      <c r="AD6764" s="388">
        <v>6.7056000000000004</v>
      </c>
      <c r="AE6764" s="388">
        <v>0.24688800000000002</v>
      </c>
      <c r="AF6764" s="388">
        <v>1.6536200000000001</v>
      </c>
      <c r="AG6764" s="388">
        <v>0.39624000000000004</v>
      </c>
      <c r="AH6764" s="391"/>
      <c r="AI6764" s="397"/>
      <c r="AJ6764" s="397"/>
      <c r="AU6764" s="397"/>
      <c r="AV6764" s="397"/>
      <c r="AW6764" s="397"/>
      <c r="AX6764" s="397"/>
      <c r="BI6764" s="397"/>
      <c r="BJ6764" s="397"/>
      <c r="BK6764" s="397"/>
      <c r="BL6764" s="397"/>
      <c r="BM6764" s="397"/>
      <c r="BN6764" s="397"/>
      <c r="BO6764" s="397"/>
      <c r="BP6764" s="397"/>
      <c r="BQ6764" s="397"/>
      <c r="BR6764" s="397"/>
      <c r="BS6764" s="397"/>
      <c r="BT6764" s="397"/>
      <c r="BU6764" s="397"/>
      <c r="BV6764" s="397"/>
      <c r="BW6764" s="397"/>
      <c r="BX6764" s="397"/>
      <c r="BY6764" s="397"/>
      <c r="BZ6764" s="397"/>
      <c r="CA6764" s="392" t="s">
        <v>412</v>
      </c>
    </row>
    <row r="6765" spans="1:79" s="392" customFormat="1" ht="15" x14ac:dyDescent="0.25">
      <c r="A6765" s="385"/>
      <c r="B6765" s="385"/>
      <c r="C6765" s="385"/>
      <c r="D6765" s="700"/>
      <c r="E6765" s="386"/>
      <c r="F6765" s="385"/>
      <c r="G6765" s="400"/>
      <c r="H6765" s="402"/>
      <c r="I6765" s="402"/>
      <c r="J6765" s="402"/>
      <c r="K6765" s="402"/>
      <c r="L6765" s="674"/>
      <c r="M6765" s="672">
        <v>30875</v>
      </c>
      <c r="N6765" s="623">
        <v>0.46188722017568717</v>
      </c>
      <c r="O6765" s="624">
        <v>9.6163200000000029E-3</v>
      </c>
      <c r="P6765" s="397"/>
      <c r="Q6765" s="397"/>
      <c r="R6765" s="397"/>
      <c r="S6765" s="397"/>
      <c r="T6765" s="397"/>
      <c r="U6765" s="397"/>
      <c r="V6765" s="397"/>
      <c r="W6765" s="397"/>
      <c r="X6765" s="397"/>
      <c r="Y6765" s="397"/>
      <c r="Z6765" s="397"/>
      <c r="AC6765" s="409">
        <v>2.5000000000000001E-2</v>
      </c>
      <c r="AD6765" s="388">
        <v>6.61416</v>
      </c>
      <c r="AE6765" s="388">
        <v>0.19507200000000002</v>
      </c>
      <c r="AF6765" s="388">
        <v>1.2820199999999999</v>
      </c>
      <c r="AG6765" s="388">
        <v>0.35966399999999998</v>
      </c>
      <c r="AH6765" s="391"/>
      <c r="AI6765" s="397"/>
      <c r="AJ6765" s="397"/>
      <c r="AU6765" s="397"/>
      <c r="AV6765" s="397"/>
      <c r="AW6765" s="397"/>
      <c r="AX6765" s="397"/>
      <c r="BI6765" s="397"/>
      <c r="BJ6765" s="397"/>
      <c r="BK6765" s="397"/>
      <c r="BL6765" s="397"/>
      <c r="BM6765" s="397"/>
      <c r="BN6765" s="397"/>
      <c r="BO6765" s="397"/>
      <c r="BP6765" s="397"/>
      <c r="BQ6765" s="397"/>
      <c r="BR6765" s="397"/>
      <c r="BS6765" s="397"/>
      <c r="BT6765" s="397"/>
      <c r="BU6765" s="397"/>
      <c r="BV6765" s="397"/>
      <c r="BW6765" s="397"/>
      <c r="BX6765" s="397"/>
      <c r="BY6765" s="397"/>
      <c r="BZ6765" s="397"/>
      <c r="CA6765" s="392" t="s">
        <v>412</v>
      </c>
    </row>
    <row r="6766" spans="1:79" s="392" customFormat="1" ht="15" x14ac:dyDescent="0.25">
      <c r="A6766" s="385"/>
      <c r="B6766" s="385"/>
      <c r="C6766" s="385"/>
      <c r="D6766" s="700"/>
      <c r="E6766" s="386"/>
      <c r="F6766" s="385"/>
      <c r="G6766" s="400"/>
      <c r="H6766" s="402"/>
      <c r="I6766" s="402"/>
      <c r="J6766" s="402"/>
      <c r="K6766" s="402"/>
      <c r="L6766" s="674"/>
      <c r="M6766" s="672">
        <v>30879</v>
      </c>
      <c r="N6766" s="623">
        <v>0.47888920374043636</v>
      </c>
      <c r="O6766" s="624">
        <v>1.3608000000000001E-3</v>
      </c>
      <c r="P6766" s="397"/>
      <c r="Q6766" s="397"/>
      <c r="R6766" s="397"/>
      <c r="S6766" s="397"/>
      <c r="T6766" s="397"/>
      <c r="U6766" s="397"/>
      <c r="V6766" s="397"/>
      <c r="W6766" s="397"/>
      <c r="X6766" s="397"/>
      <c r="Y6766" s="397"/>
      <c r="Z6766" s="397"/>
      <c r="AC6766" s="409">
        <v>2.5000000000000001E-2</v>
      </c>
      <c r="AD6766" s="388">
        <v>6.5836800000000011</v>
      </c>
      <c r="AE6766" s="388">
        <v>0.19812000000000002</v>
      </c>
      <c r="AF6766" s="388">
        <v>1.3006</v>
      </c>
      <c r="AG6766" s="388">
        <v>0.36576000000000003</v>
      </c>
      <c r="AH6766" s="391"/>
      <c r="AI6766" s="397"/>
      <c r="AJ6766" s="397"/>
      <c r="AU6766" s="397"/>
      <c r="AV6766" s="397"/>
      <c r="AW6766" s="397"/>
      <c r="AX6766" s="397"/>
      <c r="BI6766" s="397"/>
      <c r="BJ6766" s="397"/>
      <c r="BK6766" s="397"/>
      <c r="BL6766" s="397"/>
      <c r="BM6766" s="397"/>
      <c r="BN6766" s="397"/>
      <c r="BO6766" s="397"/>
      <c r="BP6766" s="397"/>
      <c r="BQ6766" s="397"/>
      <c r="BR6766" s="397"/>
      <c r="BS6766" s="397"/>
      <c r="BT6766" s="397"/>
      <c r="BU6766" s="397"/>
      <c r="BV6766" s="397"/>
      <c r="BW6766" s="397"/>
      <c r="BX6766" s="397"/>
      <c r="BY6766" s="397"/>
      <c r="BZ6766" s="397"/>
      <c r="CA6766" s="392" t="s">
        <v>412</v>
      </c>
    </row>
    <row r="6767" spans="1:79" s="392" customFormat="1" ht="15" x14ac:dyDescent="0.25">
      <c r="A6767" s="385"/>
      <c r="B6767" s="385"/>
      <c r="C6767" s="385"/>
      <c r="D6767" s="700"/>
      <c r="E6767" s="386"/>
      <c r="F6767" s="385"/>
      <c r="G6767" s="400"/>
      <c r="H6767" s="402"/>
      <c r="I6767" s="402"/>
      <c r="J6767" s="402"/>
      <c r="K6767" s="402"/>
      <c r="L6767" s="674"/>
      <c r="M6767" s="672">
        <v>30895</v>
      </c>
      <c r="N6767" s="623">
        <v>0.57523377727401537</v>
      </c>
      <c r="O6767" s="624">
        <v>1.6511040000000001E-2</v>
      </c>
      <c r="P6767" s="397"/>
      <c r="Q6767" s="397"/>
      <c r="R6767" s="397"/>
      <c r="S6767" s="397"/>
      <c r="T6767" s="397"/>
      <c r="U6767" s="397"/>
      <c r="V6767" s="397"/>
      <c r="W6767" s="397"/>
      <c r="X6767" s="397"/>
      <c r="Y6767" s="397"/>
      <c r="Z6767" s="397"/>
      <c r="AC6767" s="409">
        <v>2.5000000000000001E-2</v>
      </c>
      <c r="AD6767" s="388">
        <v>6.61416</v>
      </c>
      <c r="AE6767" s="388">
        <v>0.192024</v>
      </c>
      <c r="AF6767" s="388">
        <v>1.2634399999999999</v>
      </c>
      <c r="AG6767" s="388">
        <v>0.454152</v>
      </c>
      <c r="AH6767" s="391"/>
      <c r="AI6767" s="397"/>
      <c r="AJ6767" s="397"/>
      <c r="AU6767" s="397"/>
      <c r="AV6767" s="397"/>
      <c r="AW6767" s="397"/>
      <c r="AX6767" s="397"/>
      <c r="BI6767" s="397"/>
      <c r="BJ6767" s="397"/>
      <c r="BK6767" s="397"/>
      <c r="BL6767" s="397"/>
      <c r="BM6767" s="397"/>
      <c r="BN6767" s="397"/>
      <c r="BO6767" s="397"/>
      <c r="BP6767" s="397"/>
      <c r="BQ6767" s="397"/>
      <c r="BR6767" s="397"/>
      <c r="BS6767" s="397"/>
      <c r="BT6767" s="397"/>
      <c r="BU6767" s="397"/>
      <c r="BV6767" s="397"/>
      <c r="BW6767" s="397"/>
      <c r="BX6767" s="397"/>
      <c r="BY6767" s="397"/>
      <c r="BZ6767" s="397"/>
      <c r="CA6767" s="392" t="s">
        <v>412</v>
      </c>
    </row>
    <row r="6768" spans="1:79" s="392" customFormat="1" ht="15" x14ac:dyDescent="0.25">
      <c r="A6768" s="385"/>
      <c r="B6768" s="385"/>
      <c r="C6768" s="385"/>
      <c r="D6768" s="700"/>
      <c r="E6768" s="386"/>
      <c r="F6768" s="385"/>
      <c r="G6768" s="400"/>
      <c r="H6768" s="402"/>
      <c r="I6768" s="402"/>
      <c r="J6768" s="402"/>
      <c r="K6768" s="402"/>
      <c r="L6768" s="674"/>
      <c r="M6768" s="672">
        <v>30909</v>
      </c>
      <c r="N6768" s="623">
        <v>0.48739019552281099</v>
      </c>
      <c r="O6768" s="624">
        <v>4.7174400000000007E-3</v>
      </c>
      <c r="P6768" s="397"/>
      <c r="Q6768" s="397"/>
      <c r="R6768" s="397"/>
      <c r="S6768" s="397"/>
      <c r="T6768" s="397"/>
      <c r="U6768" s="397"/>
      <c r="V6768" s="397"/>
      <c r="W6768" s="397"/>
      <c r="X6768" s="397"/>
      <c r="Y6768" s="397"/>
      <c r="Z6768" s="397"/>
      <c r="AC6768" s="409">
        <v>2.5000000000000001E-2</v>
      </c>
      <c r="AD6768" s="388">
        <v>6.5836800000000011</v>
      </c>
      <c r="AE6768" s="388">
        <v>0.16764000000000001</v>
      </c>
      <c r="AF6768" s="388">
        <v>1.09622</v>
      </c>
      <c r="AG6768" s="388">
        <v>0.44500800000000001</v>
      </c>
      <c r="AH6768" s="391"/>
      <c r="AI6768" s="397"/>
      <c r="AJ6768" s="397"/>
      <c r="AU6768" s="397"/>
      <c r="AV6768" s="397"/>
      <c r="AW6768" s="397"/>
      <c r="AX6768" s="397"/>
      <c r="BI6768" s="397"/>
      <c r="BJ6768" s="397"/>
      <c r="BK6768" s="397"/>
      <c r="BL6768" s="397"/>
      <c r="BM6768" s="397"/>
      <c r="BN6768" s="397"/>
      <c r="BO6768" s="397"/>
      <c r="BP6768" s="397"/>
      <c r="BQ6768" s="397"/>
      <c r="BR6768" s="397"/>
      <c r="BS6768" s="397"/>
      <c r="BT6768" s="397"/>
      <c r="BU6768" s="397"/>
      <c r="BV6768" s="397"/>
      <c r="BW6768" s="397"/>
      <c r="BX6768" s="397"/>
      <c r="BY6768" s="397"/>
      <c r="BZ6768" s="397"/>
      <c r="CA6768" s="392" t="s">
        <v>412</v>
      </c>
    </row>
    <row r="6769" spans="1:80" s="392" customFormat="1" ht="15" x14ac:dyDescent="0.25">
      <c r="A6769" s="385"/>
      <c r="B6769" s="385"/>
      <c r="C6769" s="385"/>
      <c r="D6769" s="700"/>
      <c r="E6769" s="386"/>
      <c r="F6769" s="385"/>
      <c r="G6769" s="400"/>
      <c r="H6769" s="402"/>
      <c r="I6769" s="402"/>
      <c r="J6769" s="402"/>
      <c r="K6769" s="402"/>
      <c r="L6769" s="674"/>
      <c r="M6769" s="672">
        <v>30915</v>
      </c>
      <c r="N6769" s="623">
        <v>1.4508359308586003</v>
      </c>
      <c r="O6769" s="624">
        <v>1.2096000000000003E-2</v>
      </c>
      <c r="P6769" s="397"/>
      <c r="Q6769" s="397"/>
      <c r="R6769" s="397"/>
      <c r="S6769" s="397"/>
      <c r="T6769" s="397"/>
      <c r="U6769" s="397"/>
      <c r="V6769" s="397"/>
      <c r="W6769" s="397"/>
      <c r="X6769" s="397"/>
      <c r="Y6769" s="397"/>
      <c r="Z6769" s="397"/>
      <c r="AC6769" s="409">
        <v>2.5000000000000001E-2</v>
      </c>
      <c r="AD6769" s="388">
        <v>6.7056000000000004</v>
      </c>
      <c r="AE6769" s="388">
        <v>0.47548800000000002</v>
      </c>
      <c r="AF6769" s="388">
        <v>3.1957599999999999</v>
      </c>
      <c r="AG6769" s="388">
        <v>0.454152</v>
      </c>
      <c r="AH6769" s="391"/>
      <c r="AI6769" s="397"/>
      <c r="AJ6769" s="397"/>
      <c r="AU6769" s="397"/>
      <c r="AV6769" s="397"/>
      <c r="AW6769" s="397"/>
      <c r="AX6769" s="397"/>
      <c r="BI6769" s="397"/>
      <c r="BJ6769" s="397"/>
      <c r="BK6769" s="397"/>
      <c r="BL6769" s="397"/>
      <c r="BM6769" s="397"/>
      <c r="BN6769" s="397"/>
      <c r="BO6769" s="397"/>
      <c r="BP6769" s="397"/>
      <c r="BQ6769" s="397"/>
      <c r="BR6769" s="397"/>
      <c r="BS6769" s="397"/>
      <c r="BT6769" s="397"/>
      <c r="BU6769" s="397"/>
      <c r="BV6769" s="397"/>
      <c r="BW6769" s="397"/>
      <c r="BX6769" s="397"/>
      <c r="BY6769" s="397"/>
      <c r="BZ6769" s="397"/>
      <c r="CA6769" s="392" t="s">
        <v>412</v>
      </c>
    </row>
    <row r="6770" spans="1:80" s="392" customFormat="1" ht="15" x14ac:dyDescent="0.25">
      <c r="A6770" s="385"/>
      <c r="B6770" s="385"/>
      <c r="C6770" s="385"/>
      <c r="D6770" s="700"/>
      <c r="E6770" s="386"/>
      <c r="F6770" s="385"/>
      <c r="G6770" s="400"/>
      <c r="H6770" s="402"/>
      <c r="I6770" s="402"/>
      <c r="J6770" s="402"/>
      <c r="K6770" s="402"/>
      <c r="L6770" s="674"/>
      <c r="M6770" s="672">
        <v>30930</v>
      </c>
      <c r="N6770" s="623">
        <v>0.74241994899404928</v>
      </c>
      <c r="O6770" s="624">
        <v>1.5724800000000004E-3</v>
      </c>
      <c r="P6770" s="397"/>
      <c r="Q6770" s="397"/>
      <c r="R6770" s="397"/>
      <c r="S6770" s="397"/>
      <c r="T6770" s="397"/>
      <c r="U6770" s="397"/>
      <c r="V6770" s="397"/>
      <c r="W6770" s="397"/>
      <c r="X6770" s="397"/>
      <c r="Y6770" s="397"/>
      <c r="Z6770" s="397"/>
      <c r="AC6770" s="409">
        <v>2.5000000000000001E-2</v>
      </c>
      <c r="AD6770" s="388">
        <v>6.6751199999999997</v>
      </c>
      <c r="AE6770" s="388">
        <v>0.21945600000000001</v>
      </c>
      <c r="AF6770" s="388">
        <v>1.4585299999999999</v>
      </c>
      <c r="AG6770" s="388">
        <v>0.50901600000000002</v>
      </c>
      <c r="AH6770" s="391"/>
      <c r="AI6770" s="397"/>
      <c r="AJ6770" s="397"/>
      <c r="AU6770" s="397"/>
      <c r="AV6770" s="397"/>
      <c r="AW6770" s="397"/>
      <c r="AX6770" s="397"/>
      <c r="BI6770" s="397"/>
      <c r="BJ6770" s="397"/>
      <c r="BK6770" s="397"/>
      <c r="BL6770" s="397"/>
      <c r="BM6770" s="397"/>
      <c r="BN6770" s="397"/>
      <c r="BO6770" s="397"/>
      <c r="BP6770" s="397"/>
      <c r="BQ6770" s="397"/>
      <c r="BR6770" s="397"/>
      <c r="BS6770" s="397"/>
      <c r="BT6770" s="397"/>
      <c r="BU6770" s="397"/>
      <c r="BV6770" s="397"/>
      <c r="BW6770" s="397"/>
      <c r="BX6770" s="397"/>
      <c r="BY6770" s="397"/>
      <c r="BZ6770" s="397"/>
      <c r="CA6770" s="392" t="s">
        <v>412</v>
      </c>
    </row>
    <row r="6771" spans="1:80" s="189" customFormat="1" ht="15" x14ac:dyDescent="0.25">
      <c r="A6771" s="9" t="s">
        <v>438</v>
      </c>
      <c r="B6771" s="639" t="s">
        <v>34</v>
      </c>
      <c r="C6771" s="639"/>
      <c r="D6771" s="4">
        <f>VLOOKUP(E6771,'Quality Code'!$D$4:$E$24,2,TRUE)*VLOOKUP(MROUND(F6771,10),'Quality Code'!$D$28:$E$69,2,TRUE)*VLOOKUP(COUNTA(CB6771:CB6781),'Quality Code'!$D$73:$E$93,2,TRUE)</f>
        <v>0.2</v>
      </c>
      <c r="E6771" s="14">
        <v>0.4</v>
      </c>
      <c r="F6771" s="2">
        <v>20</v>
      </c>
      <c r="G6771" s="12"/>
      <c r="H6771" s="2" t="s">
        <v>105</v>
      </c>
      <c r="I6771" s="2"/>
      <c r="J6771" s="2"/>
      <c r="K6771" s="2"/>
      <c r="L6771" s="639"/>
      <c r="M6771" s="640">
        <v>1984</v>
      </c>
      <c r="N6771" s="578" t="s">
        <v>110</v>
      </c>
      <c r="O6771" s="578"/>
      <c r="P6771" s="26"/>
      <c r="Q6771" s="26"/>
      <c r="R6771" s="26"/>
      <c r="S6771" s="26"/>
      <c r="T6771" s="26"/>
      <c r="U6771" s="26"/>
      <c r="V6771" s="10"/>
      <c r="W6771" s="10"/>
      <c r="X6771" s="10"/>
      <c r="Y6771" s="10"/>
      <c r="Z6771" s="2"/>
      <c r="AA6771" s="26"/>
      <c r="AB6771" s="26"/>
      <c r="AC6771" s="377" t="s">
        <v>29</v>
      </c>
      <c r="AD6771" s="406"/>
      <c r="AE6771" s="26"/>
      <c r="AF6771" s="26"/>
      <c r="AG6771" s="26"/>
      <c r="AH6771" s="26"/>
      <c r="AI6771" s="4"/>
      <c r="AJ6771" s="378"/>
      <c r="AK6771" s="376"/>
      <c r="AL6771" s="376"/>
      <c r="AM6771" s="376"/>
      <c r="AN6771" s="376"/>
      <c r="AO6771" s="376"/>
      <c r="AP6771" s="376"/>
      <c r="AQ6771" s="376"/>
      <c r="AR6771" s="376"/>
      <c r="AS6771" s="376"/>
      <c r="AT6771" s="376"/>
      <c r="AU6771" s="378"/>
      <c r="AV6771" s="378"/>
      <c r="AW6771" s="378"/>
      <c r="AX6771" s="378"/>
      <c r="AY6771" s="379"/>
      <c r="AZ6771" s="379"/>
      <c r="BA6771" s="380"/>
      <c r="BB6771" s="380"/>
      <c r="BC6771" s="380"/>
      <c r="BD6771" s="380"/>
      <c r="BE6771" s="380"/>
      <c r="BF6771" s="380"/>
      <c r="BG6771" s="380"/>
      <c r="BH6771" s="380"/>
      <c r="BI6771" s="4"/>
      <c r="BJ6771" s="12"/>
      <c r="BK6771" s="2"/>
      <c r="BL6771" s="2"/>
      <c r="BM6771" s="4"/>
      <c r="BN6771" s="12"/>
      <c r="BO6771" s="12"/>
      <c r="BP6771" s="12"/>
      <c r="BQ6771" s="4"/>
      <c r="BR6771" s="4"/>
      <c r="BS6771" s="4"/>
      <c r="BT6771" s="2"/>
      <c r="BU6771" s="9"/>
      <c r="BV6771" s="381"/>
      <c r="BW6771" s="382"/>
      <c r="BX6771" s="383"/>
      <c r="BY6771" s="383" t="s">
        <v>435</v>
      </c>
      <c r="BZ6771" s="383"/>
      <c r="CA6771" s="384" t="s">
        <v>412</v>
      </c>
      <c r="CB6771" s="411"/>
    </row>
    <row r="6772" spans="1:80" s="392" customFormat="1" ht="15" x14ac:dyDescent="0.25">
      <c r="A6772" s="385"/>
      <c r="B6772" s="385"/>
      <c r="C6772" s="385"/>
      <c r="D6772" s="700"/>
      <c r="E6772" s="386"/>
      <c r="F6772" s="385"/>
      <c r="G6772" s="400"/>
      <c r="H6772" s="402"/>
      <c r="I6772" s="402"/>
      <c r="J6772" s="402"/>
      <c r="K6772" s="402"/>
      <c r="L6772" s="674"/>
      <c r="M6772" s="672">
        <v>30818</v>
      </c>
      <c r="N6772" s="623">
        <v>0.43638424482856336</v>
      </c>
      <c r="O6772" s="624">
        <v>1.0160640000000003E-3</v>
      </c>
      <c r="P6772" s="397"/>
      <c r="Q6772" s="397"/>
      <c r="R6772" s="397"/>
      <c r="S6772" s="397"/>
      <c r="T6772" s="397"/>
      <c r="U6772" s="397"/>
      <c r="V6772" s="397"/>
      <c r="W6772" s="397"/>
      <c r="X6772" s="397"/>
      <c r="Y6772" s="397"/>
      <c r="Z6772" s="397"/>
      <c r="AC6772" s="409">
        <v>1.6E-2</v>
      </c>
      <c r="AD6772" s="388">
        <v>3.1699200000000003</v>
      </c>
      <c r="AE6772" s="388">
        <v>0.19812000000000002</v>
      </c>
      <c r="AF6772" s="388">
        <v>0.62521700000000002</v>
      </c>
      <c r="AG6772" s="388">
        <v>0.70104</v>
      </c>
      <c r="AH6772" s="391"/>
      <c r="AI6772" s="397"/>
      <c r="AJ6772" s="397"/>
      <c r="AU6772" s="397"/>
      <c r="AV6772" s="397"/>
      <c r="AW6772" s="397"/>
      <c r="AX6772" s="397"/>
      <c r="BI6772" s="397"/>
      <c r="BJ6772" s="397"/>
      <c r="BK6772" s="397"/>
      <c r="BL6772" s="397"/>
      <c r="BM6772" s="397"/>
      <c r="BN6772" s="397"/>
      <c r="BO6772" s="397"/>
      <c r="BP6772" s="397"/>
      <c r="BQ6772" s="397"/>
      <c r="BR6772" s="397"/>
      <c r="BS6772" s="397"/>
      <c r="BT6772" s="397"/>
      <c r="BU6772" s="397"/>
      <c r="BV6772" s="397"/>
      <c r="BW6772" s="397"/>
      <c r="BX6772" s="397"/>
      <c r="BY6772" s="397"/>
      <c r="BZ6772" s="397"/>
      <c r="CA6772" s="392" t="s">
        <v>412</v>
      </c>
    </row>
    <row r="6773" spans="1:80" s="392" customFormat="1" ht="15" x14ac:dyDescent="0.25">
      <c r="A6773" s="385"/>
      <c r="B6773" s="385"/>
      <c r="C6773" s="385"/>
      <c r="D6773" s="700"/>
      <c r="E6773" s="386"/>
      <c r="F6773" s="385"/>
      <c r="G6773" s="400"/>
      <c r="H6773" s="402"/>
      <c r="I6773" s="402"/>
      <c r="J6773" s="402"/>
      <c r="K6773" s="402"/>
      <c r="L6773" s="674"/>
      <c r="M6773" s="672">
        <v>30826</v>
      </c>
      <c r="N6773" s="623">
        <v>1.2298101445168603</v>
      </c>
      <c r="O6773" s="624">
        <v>1.9268928000000001E-2</v>
      </c>
      <c r="P6773" s="397"/>
      <c r="Q6773" s="397"/>
      <c r="R6773" s="397"/>
      <c r="S6773" s="397"/>
      <c r="T6773" s="397"/>
      <c r="U6773" s="397"/>
      <c r="V6773" s="397"/>
      <c r="W6773" s="397"/>
      <c r="X6773" s="397"/>
      <c r="Y6773" s="397"/>
      <c r="Z6773" s="397"/>
      <c r="AC6773" s="409">
        <v>1.6E-2</v>
      </c>
      <c r="AD6773" s="388">
        <v>3.3954720000000003</v>
      </c>
      <c r="AE6773" s="388">
        <v>0.35661599999999999</v>
      </c>
      <c r="AF6773" s="388">
        <v>1.2355700000000001</v>
      </c>
      <c r="AG6773" s="388">
        <v>1.0058400000000001</v>
      </c>
      <c r="AH6773" s="391"/>
      <c r="AI6773" s="397"/>
      <c r="AJ6773" s="397"/>
      <c r="AU6773" s="397"/>
      <c r="AV6773" s="397"/>
      <c r="AW6773" s="397"/>
      <c r="AX6773" s="397"/>
      <c r="BI6773" s="397"/>
      <c r="BJ6773" s="397"/>
      <c r="BK6773" s="397"/>
      <c r="BL6773" s="397"/>
      <c r="BM6773" s="397"/>
      <c r="BN6773" s="397"/>
      <c r="BO6773" s="397"/>
      <c r="BP6773" s="397"/>
      <c r="BQ6773" s="397"/>
      <c r="BR6773" s="397"/>
      <c r="BS6773" s="397"/>
      <c r="BT6773" s="397"/>
      <c r="BU6773" s="397"/>
      <c r="BV6773" s="397"/>
      <c r="BW6773" s="397"/>
      <c r="BX6773" s="397"/>
      <c r="BY6773" s="397"/>
      <c r="BZ6773" s="397"/>
      <c r="CA6773" s="392" t="s">
        <v>412</v>
      </c>
    </row>
    <row r="6774" spans="1:80" s="392" customFormat="1" ht="15" x14ac:dyDescent="0.25">
      <c r="A6774" s="385"/>
      <c r="B6774" s="385"/>
      <c r="C6774" s="385"/>
      <c r="D6774" s="700"/>
      <c r="E6774" s="386"/>
      <c r="F6774" s="385"/>
      <c r="G6774" s="400"/>
      <c r="H6774" s="402"/>
      <c r="I6774" s="402"/>
      <c r="J6774" s="402"/>
      <c r="K6774" s="402"/>
      <c r="L6774" s="674"/>
      <c r="M6774" s="672">
        <v>30831</v>
      </c>
      <c r="N6774" s="623">
        <v>1.2411448002266932</v>
      </c>
      <c r="O6774" s="624">
        <v>1.0901520000000001E-2</v>
      </c>
      <c r="P6774" s="397"/>
      <c r="Q6774" s="397"/>
      <c r="R6774" s="397"/>
      <c r="S6774" s="397"/>
      <c r="T6774" s="397"/>
      <c r="U6774" s="397"/>
      <c r="V6774" s="397"/>
      <c r="W6774" s="397"/>
      <c r="X6774" s="397"/>
      <c r="Y6774" s="397"/>
      <c r="Z6774" s="397"/>
      <c r="AC6774" s="409">
        <v>1.6E-2</v>
      </c>
      <c r="AD6774" s="388">
        <v>3.4442400000000002</v>
      </c>
      <c r="AE6774" s="388">
        <v>0.34137600000000007</v>
      </c>
      <c r="AF6774" s="388">
        <v>1.177972</v>
      </c>
      <c r="AG6774" s="388">
        <v>1.0515600000000001</v>
      </c>
      <c r="AH6774" s="391"/>
      <c r="AI6774" s="397"/>
      <c r="AJ6774" s="397"/>
      <c r="AU6774" s="397"/>
      <c r="AV6774" s="397"/>
      <c r="AW6774" s="397"/>
      <c r="AX6774" s="397"/>
      <c r="BI6774" s="397"/>
      <c r="BJ6774" s="397"/>
      <c r="BK6774" s="397"/>
      <c r="BL6774" s="397"/>
      <c r="BM6774" s="397"/>
      <c r="BN6774" s="397"/>
      <c r="BO6774" s="397"/>
      <c r="BP6774" s="397"/>
      <c r="BQ6774" s="397"/>
      <c r="BR6774" s="397"/>
      <c r="BS6774" s="397"/>
      <c r="BT6774" s="397"/>
      <c r="BU6774" s="397"/>
      <c r="BV6774" s="397"/>
      <c r="BW6774" s="397"/>
      <c r="BX6774" s="397"/>
      <c r="BY6774" s="397"/>
      <c r="BZ6774" s="397"/>
      <c r="CA6774" s="392" t="s">
        <v>412</v>
      </c>
    </row>
    <row r="6775" spans="1:80" s="392" customFormat="1" ht="15" x14ac:dyDescent="0.25">
      <c r="A6775" s="385"/>
      <c r="B6775" s="385"/>
      <c r="C6775" s="385"/>
      <c r="D6775" s="700"/>
      <c r="E6775" s="386"/>
      <c r="F6775" s="385"/>
      <c r="G6775" s="400"/>
      <c r="H6775" s="402"/>
      <c r="I6775" s="402"/>
      <c r="J6775" s="402"/>
      <c r="K6775" s="402"/>
      <c r="L6775" s="674"/>
      <c r="M6775" s="672">
        <v>30833</v>
      </c>
      <c r="N6775" s="623">
        <v>1.2128081609521111</v>
      </c>
      <c r="O6775" s="624">
        <v>6.9552000000000017E-3</v>
      </c>
      <c r="P6775" s="397"/>
      <c r="Q6775" s="397"/>
      <c r="R6775" s="397"/>
      <c r="S6775" s="397"/>
      <c r="T6775" s="397"/>
      <c r="U6775" s="397"/>
      <c r="V6775" s="397"/>
      <c r="W6775" s="397"/>
      <c r="X6775" s="397"/>
      <c r="Y6775" s="397"/>
      <c r="Z6775" s="397"/>
      <c r="AC6775" s="409">
        <v>1.6E-2</v>
      </c>
      <c r="AD6775" s="388">
        <v>3.4442400000000002</v>
      </c>
      <c r="AE6775" s="388">
        <v>0.37795200000000001</v>
      </c>
      <c r="AF6775" s="388">
        <v>1.2968839999999999</v>
      </c>
      <c r="AG6775" s="388">
        <v>0.93573600000000001</v>
      </c>
      <c r="AH6775" s="391"/>
      <c r="AI6775" s="397"/>
      <c r="AJ6775" s="397"/>
      <c r="AU6775" s="397"/>
      <c r="AV6775" s="397"/>
      <c r="AW6775" s="397"/>
      <c r="AX6775" s="397"/>
      <c r="BI6775" s="397"/>
      <c r="BJ6775" s="397"/>
      <c r="BK6775" s="397"/>
      <c r="BL6775" s="397"/>
      <c r="BM6775" s="397"/>
      <c r="BN6775" s="397"/>
      <c r="BO6775" s="397"/>
      <c r="BP6775" s="397"/>
      <c r="BQ6775" s="397"/>
      <c r="BR6775" s="397"/>
      <c r="BS6775" s="397"/>
      <c r="BT6775" s="397"/>
      <c r="BU6775" s="397"/>
      <c r="BV6775" s="397"/>
      <c r="BW6775" s="397"/>
      <c r="BX6775" s="397"/>
      <c r="BY6775" s="397"/>
      <c r="BZ6775" s="397"/>
      <c r="CA6775" s="392" t="s">
        <v>412</v>
      </c>
    </row>
    <row r="6776" spans="1:80" s="392" customFormat="1" ht="15" x14ac:dyDescent="0.25">
      <c r="A6776" s="385"/>
      <c r="B6776" s="385"/>
      <c r="C6776" s="385"/>
      <c r="D6776" s="700"/>
      <c r="E6776" s="386"/>
      <c r="F6776" s="385"/>
      <c r="G6776" s="400"/>
      <c r="H6776" s="402"/>
      <c r="I6776" s="402"/>
      <c r="J6776" s="402"/>
      <c r="K6776" s="402"/>
      <c r="L6776" s="674"/>
      <c r="M6776" s="672">
        <v>30839</v>
      </c>
      <c r="N6776" s="623">
        <v>0.96344573533578914</v>
      </c>
      <c r="O6776" s="624">
        <v>9.2534400000000004E-4</v>
      </c>
      <c r="P6776" s="397"/>
      <c r="Q6776" s="397"/>
      <c r="R6776" s="397"/>
      <c r="S6776" s="397"/>
      <c r="T6776" s="397"/>
      <c r="U6776" s="397"/>
      <c r="V6776" s="397"/>
      <c r="W6776" s="397"/>
      <c r="X6776" s="397"/>
      <c r="Y6776" s="397"/>
      <c r="Z6776" s="397"/>
      <c r="AC6776" s="409">
        <v>1.6E-2</v>
      </c>
      <c r="AD6776" s="388">
        <v>3.2613599999999998</v>
      </c>
      <c r="AE6776" s="388">
        <v>0.33223200000000003</v>
      </c>
      <c r="AF6776" s="388">
        <v>1.08693</v>
      </c>
      <c r="AG6776" s="388">
        <v>0.88392000000000004</v>
      </c>
      <c r="AH6776" s="391"/>
      <c r="AI6776" s="397"/>
      <c r="AJ6776" s="397"/>
      <c r="AU6776" s="397"/>
      <c r="AV6776" s="397"/>
      <c r="AW6776" s="397"/>
      <c r="AX6776" s="397"/>
      <c r="BI6776" s="397"/>
      <c r="BJ6776" s="397"/>
      <c r="BK6776" s="397"/>
      <c r="BL6776" s="397"/>
      <c r="BM6776" s="397"/>
      <c r="BN6776" s="397"/>
      <c r="BO6776" s="397"/>
      <c r="BP6776" s="397"/>
      <c r="BQ6776" s="397"/>
      <c r="BR6776" s="397"/>
      <c r="BS6776" s="397"/>
      <c r="BT6776" s="397"/>
      <c r="BU6776" s="397"/>
      <c r="BV6776" s="397"/>
      <c r="BW6776" s="397"/>
      <c r="BX6776" s="397"/>
      <c r="BY6776" s="397"/>
      <c r="BZ6776" s="397"/>
      <c r="CA6776" s="392" t="s">
        <v>412</v>
      </c>
    </row>
    <row r="6777" spans="1:80" s="392" customFormat="1" ht="15" x14ac:dyDescent="0.25">
      <c r="A6777" s="385"/>
      <c r="B6777" s="385"/>
      <c r="C6777" s="385"/>
      <c r="D6777" s="700"/>
      <c r="E6777" s="386"/>
      <c r="F6777" s="385"/>
      <c r="G6777" s="400"/>
      <c r="H6777" s="402"/>
      <c r="I6777" s="402"/>
      <c r="J6777" s="402"/>
      <c r="K6777" s="402"/>
      <c r="L6777" s="674"/>
      <c r="M6777" s="672">
        <v>30845</v>
      </c>
      <c r="N6777" s="623">
        <v>0.7905922357608387</v>
      </c>
      <c r="O6777" s="624">
        <v>1.2906432000000001E-2</v>
      </c>
      <c r="P6777" s="397"/>
      <c r="Q6777" s="397"/>
      <c r="R6777" s="397"/>
      <c r="S6777" s="397"/>
      <c r="T6777" s="397"/>
      <c r="U6777" s="397"/>
      <c r="V6777" s="397"/>
      <c r="W6777" s="397"/>
      <c r="X6777" s="397"/>
      <c r="Y6777" s="397"/>
      <c r="Z6777" s="397"/>
      <c r="AC6777" s="409">
        <v>1.6E-2</v>
      </c>
      <c r="AD6777" s="388">
        <v>3.23088</v>
      </c>
      <c r="AE6777" s="388">
        <v>0.33223200000000003</v>
      </c>
      <c r="AF6777" s="388">
        <v>1.071137</v>
      </c>
      <c r="AG6777" s="388">
        <v>0.73456800000000011</v>
      </c>
      <c r="AH6777" s="391"/>
      <c r="AI6777" s="397"/>
      <c r="AJ6777" s="397"/>
      <c r="AU6777" s="397"/>
      <c r="AV6777" s="397"/>
      <c r="AW6777" s="397"/>
      <c r="AX6777" s="397"/>
      <c r="BI6777" s="397"/>
      <c r="BJ6777" s="397"/>
      <c r="BK6777" s="397"/>
      <c r="BL6777" s="397"/>
      <c r="BM6777" s="397"/>
      <c r="BN6777" s="397"/>
      <c r="BO6777" s="397"/>
      <c r="BP6777" s="397"/>
      <c r="BQ6777" s="397"/>
      <c r="BR6777" s="397"/>
      <c r="BS6777" s="397"/>
      <c r="BT6777" s="397"/>
      <c r="BU6777" s="397"/>
      <c r="BV6777" s="397"/>
      <c r="BW6777" s="397"/>
      <c r="BX6777" s="397"/>
      <c r="BY6777" s="397"/>
      <c r="BZ6777" s="397"/>
      <c r="CA6777" s="392" t="s">
        <v>412</v>
      </c>
    </row>
    <row r="6778" spans="1:80" s="392" customFormat="1" ht="15" x14ac:dyDescent="0.25">
      <c r="A6778" s="385"/>
      <c r="B6778" s="385"/>
      <c r="C6778" s="385"/>
      <c r="D6778" s="700"/>
      <c r="E6778" s="386"/>
      <c r="F6778" s="385"/>
      <c r="G6778" s="400"/>
      <c r="H6778" s="402"/>
      <c r="I6778" s="402"/>
      <c r="J6778" s="402"/>
      <c r="K6778" s="402"/>
      <c r="L6778" s="674"/>
      <c r="M6778" s="672">
        <v>30847</v>
      </c>
      <c r="N6778" s="623">
        <v>1.4536695947860583</v>
      </c>
      <c r="O6778" s="624">
        <v>2.9181600000000005E-2</v>
      </c>
      <c r="P6778" s="397"/>
      <c r="Q6778" s="397"/>
      <c r="R6778" s="397"/>
      <c r="S6778" s="397"/>
      <c r="T6778" s="397"/>
      <c r="U6778" s="397"/>
      <c r="V6778" s="397"/>
      <c r="W6778" s="397"/>
      <c r="X6778" s="397"/>
      <c r="Y6778" s="397"/>
      <c r="Z6778" s="397"/>
      <c r="AC6778" s="409">
        <v>1.6E-2</v>
      </c>
      <c r="AD6778" s="388">
        <v>3.4747200000000005</v>
      </c>
      <c r="AE6778" s="388">
        <v>0.39624000000000004</v>
      </c>
      <c r="AF6778" s="388">
        <v>1.377707</v>
      </c>
      <c r="AG6778" s="388">
        <v>1.054608</v>
      </c>
      <c r="AH6778" s="391"/>
      <c r="AI6778" s="397"/>
      <c r="AJ6778" s="397"/>
      <c r="AU6778" s="397"/>
      <c r="AV6778" s="397"/>
      <c r="AW6778" s="397"/>
      <c r="AX6778" s="397"/>
      <c r="BI6778" s="397"/>
      <c r="BJ6778" s="397"/>
      <c r="BK6778" s="397"/>
      <c r="BL6778" s="397"/>
      <c r="BM6778" s="397"/>
      <c r="BN6778" s="397"/>
      <c r="BO6778" s="397"/>
      <c r="BP6778" s="397"/>
      <c r="BQ6778" s="397"/>
      <c r="BR6778" s="397"/>
      <c r="BS6778" s="397"/>
      <c r="BT6778" s="397"/>
      <c r="BU6778" s="397"/>
      <c r="BV6778" s="397"/>
      <c r="BW6778" s="397"/>
      <c r="BX6778" s="397"/>
      <c r="BY6778" s="397"/>
      <c r="BZ6778" s="397"/>
      <c r="CA6778" s="392" t="s">
        <v>412</v>
      </c>
    </row>
    <row r="6779" spans="1:80" s="392" customFormat="1" ht="15" x14ac:dyDescent="0.25">
      <c r="A6779" s="385"/>
      <c r="B6779" s="385"/>
      <c r="C6779" s="385"/>
      <c r="D6779" s="700"/>
      <c r="E6779" s="386"/>
      <c r="F6779" s="385"/>
      <c r="G6779" s="400"/>
      <c r="H6779" s="402"/>
      <c r="I6779" s="402"/>
      <c r="J6779" s="402"/>
      <c r="K6779" s="402"/>
      <c r="L6779" s="674"/>
      <c r="M6779" s="672">
        <v>30851</v>
      </c>
      <c r="N6779" s="623">
        <v>1.3941626523094361</v>
      </c>
      <c r="O6779" s="624">
        <v>4.2336000000000006E-3</v>
      </c>
      <c r="P6779" s="397"/>
      <c r="Q6779" s="397"/>
      <c r="R6779" s="397"/>
      <c r="S6779" s="397"/>
      <c r="T6779" s="397"/>
      <c r="U6779" s="397"/>
      <c r="V6779" s="397"/>
      <c r="W6779" s="397"/>
      <c r="X6779" s="397"/>
      <c r="Y6779" s="397"/>
      <c r="Z6779" s="397"/>
      <c r="AC6779" s="409">
        <v>1.6E-2</v>
      </c>
      <c r="AD6779" s="388">
        <v>3.4137599999999999</v>
      </c>
      <c r="AE6779" s="388">
        <v>0.38100000000000001</v>
      </c>
      <c r="AF6779" s="388">
        <v>1.3006</v>
      </c>
      <c r="AG6779" s="388">
        <v>1.0668</v>
      </c>
      <c r="AH6779" s="391"/>
      <c r="AI6779" s="397"/>
      <c r="AJ6779" s="397"/>
      <c r="AU6779" s="397"/>
      <c r="AV6779" s="397"/>
      <c r="AW6779" s="397"/>
      <c r="AX6779" s="397"/>
      <c r="BI6779" s="397"/>
      <c r="BJ6779" s="397"/>
      <c r="BK6779" s="397"/>
      <c r="BL6779" s="397"/>
      <c r="BM6779" s="397"/>
      <c r="BN6779" s="397"/>
      <c r="BO6779" s="397"/>
      <c r="BP6779" s="397"/>
      <c r="BQ6779" s="397"/>
      <c r="BR6779" s="397"/>
      <c r="BS6779" s="397"/>
      <c r="BT6779" s="397"/>
      <c r="BU6779" s="397"/>
      <c r="BV6779" s="397"/>
      <c r="BW6779" s="397"/>
      <c r="BX6779" s="397"/>
      <c r="BY6779" s="397"/>
      <c r="BZ6779" s="397"/>
      <c r="CA6779" s="392" t="s">
        <v>412</v>
      </c>
    </row>
    <row r="6780" spans="1:80" s="392" customFormat="1" ht="15" x14ac:dyDescent="0.25">
      <c r="A6780" s="385"/>
      <c r="B6780" s="385"/>
      <c r="C6780" s="385"/>
      <c r="D6780" s="700"/>
      <c r="E6780" s="386"/>
      <c r="F6780" s="385"/>
      <c r="G6780" s="400"/>
      <c r="H6780" s="402"/>
      <c r="I6780" s="402"/>
      <c r="J6780" s="402"/>
      <c r="K6780" s="402"/>
      <c r="L6780" s="674"/>
      <c r="M6780" s="672">
        <v>30855</v>
      </c>
      <c r="N6780" s="623">
        <v>1.4820062340606404</v>
      </c>
      <c r="O6780" s="624">
        <v>9.5800320000000022E-3</v>
      </c>
      <c r="P6780" s="397"/>
      <c r="Q6780" s="397"/>
      <c r="R6780" s="397"/>
      <c r="S6780" s="397"/>
      <c r="T6780" s="397"/>
      <c r="U6780" s="397"/>
      <c r="V6780" s="397"/>
      <c r="W6780" s="397"/>
      <c r="X6780" s="397"/>
      <c r="Y6780" s="397"/>
      <c r="Z6780" s="397"/>
      <c r="AC6780" s="409">
        <v>1.6E-2</v>
      </c>
      <c r="AD6780" s="388">
        <v>3.4137599999999999</v>
      </c>
      <c r="AE6780" s="388">
        <v>0.39319200000000004</v>
      </c>
      <c r="AF6780" s="388">
        <v>1.3470499999999999</v>
      </c>
      <c r="AG6780" s="388">
        <v>1.100328</v>
      </c>
      <c r="AH6780" s="391"/>
      <c r="AI6780" s="397"/>
      <c r="AJ6780" s="397"/>
      <c r="AU6780" s="397"/>
      <c r="AV6780" s="397"/>
      <c r="AW6780" s="397"/>
      <c r="AX6780" s="397"/>
      <c r="BI6780" s="397"/>
      <c r="BJ6780" s="397"/>
      <c r="BK6780" s="397"/>
      <c r="BL6780" s="397"/>
      <c r="BM6780" s="397"/>
      <c r="BN6780" s="397"/>
      <c r="BO6780" s="397"/>
      <c r="BP6780" s="397"/>
      <c r="BQ6780" s="397"/>
      <c r="BR6780" s="397"/>
      <c r="BS6780" s="397"/>
      <c r="BT6780" s="397"/>
      <c r="BU6780" s="397"/>
      <c r="BV6780" s="397"/>
      <c r="BW6780" s="397"/>
      <c r="BX6780" s="397"/>
      <c r="BY6780" s="397"/>
      <c r="BZ6780" s="397"/>
      <c r="CA6780" s="392" t="s">
        <v>412</v>
      </c>
    </row>
    <row r="6781" spans="1:80" s="392" customFormat="1" ht="15" x14ac:dyDescent="0.25">
      <c r="A6781" s="385"/>
      <c r="B6781" s="385"/>
      <c r="C6781" s="385"/>
      <c r="D6781" s="700"/>
      <c r="E6781" s="386"/>
      <c r="F6781" s="385"/>
      <c r="G6781" s="400"/>
      <c r="H6781" s="402"/>
      <c r="I6781" s="402"/>
      <c r="J6781" s="402"/>
      <c r="K6781" s="402"/>
      <c r="L6781" s="674"/>
      <c r="M6781" s="672">
        <v>30859</v>
      </c>
      <c r="N6781" s="623">
        <v>1.4026636440918108</v>
      </c>
      <c r="O6781" s="624">
        <v>3.8556E-2</v>
      </c>
      <c r="P6781" s="397"/>
      <c r="Q6781" s="397"/>
      <c r="R6781" s="397"/>
      <c r="S6781" s="397"/>
      <c r="T6781" s="397"/>
      <c r="U6781" s="397"/>
      <c r="V6781" s="397"/>
      <c r="W6781" s="397"/>
      <c r="X6781" s="397"/>
      <c r="Y6781" s="397"/>
      <c r="Z6781" s="397"/>
      <c r="AC6781" s="409">
        <v>1.6E-2</v>
      </c>
      <c r="AD6781" s="388">
        <v>3.4747200000000005</v>
      </c>
      <c r="AE6781" s="388">
        <v>0.40843200000000002</v>
      </c>
      <c r="AF6781" s="388">
        <v>1.4120799999999998</v>
      </c>
      <c r="AG6781" s="388">
        <v>0.99364799999999998</v>
      </c>
      <c r="AH6781" s="391"/>
      <c r="AI6781" s="397"/>
      <c r="AJ6781" s="397"/>
      <c r="AU6781" s="397"/>
      <c r="AV6781" s="397"/>
      <c r="AW6781" s="397"/>
      <c r="AX6781" s="397"/>
      <c r="BI6781" s="397"/>
      <c r="BJ6781" s="397"/>
      <c r="BK6781" s="397"/>
      <c r="BL6781" s="397"/>
      <c r="BM6781" s="397"/>
      <c r="BN6781" s="397"/>
      <c r="BO6781" s="397"/>
      <c r="BP6781" s="397"/>
      <c r="BQ6781" s="397"/>
      <c r="BR6781" s="397"/>
      <c r="BS6781" s="397"/>
      <c r="BT6781" s="397"/>
      <c r="BU6781" s="397"/>
      <c r="BV6781" s="397"/>
      <c r="BW6781" s="397"/>
      <c r="BX6781" s="397"/>
      <c r="BY6781" s="397"/>
      <c r="BZ6781" s="397"/>
      <c r="CA6781" s="392" t="s">
        <v>412</v>
      </c>
    </row>
    <row r="6782" spans="1:80" s="392" customFormat="1" ht="15" x14ac:dyDescent="0.25">
      <c r="A6782" s="385"/>
      <c r="B6782" s="385"/>
      <c r="C6782" s="385"/>
      <c r="D6782" s="700"/>
      <c r="E6782" s="386"/>
      <c r="F6782" s="385"/>
      <c r="G6782" s="400"/>
      <c r="H6782" s="402"/>
      <c r="I6782" s="402"/>
      <c r="J6782" s="402"/>
      <c r="K6782" s="402"/>
      <c r="L6782" s="674"/>
      <c r="M6782" s="672">
        <v>30862</v>
      </c>
      <c r="N6782" s="623">
        <v>1.5358458486823463</v>
      </c>
      <c r="O6782" s="624">
        <v>9.1309679999999997E-3</v>
      </c>
      <c r="P6782" s="397"/>
      <c r="Q6782" s="397"/>
      <c r="R6782" s="397"/>
      <c r="S6782" s="397"/>
      <c r="T6782" s="397"/>
      <c r="U6782" s="397"/>
      <c r="V6782" s="397"/>
      <c r="W6782" s="397"/>
      <c r="X6782" s="397"/>
      <c r="Y6782" s="397"/>
      <c r="Z6782" s="397"/>
      <c r="AC6782" s="409">
        <v>1.6E-2</v>
      </c>
      <c r="AD6782" s="388">
        <v>3.5356800000000002</v>
      </c>
      <c r="AE6782" s="388">
        <v>0.38100000000000001</v>
      </c>
      <c r="AF6782" s="388">
        <v>1.3470499999999999</v>
      </c>
      <c r="AG6782" s="388">
        <v>1.1399520000000001</v>
      </c>
      <c r="AH6782" s="391"/>
      <c r="AI6782" s="397"/>
      <c r="AJ6782" s="397"/>
      <c r="AU6782" s="397"/>
      <c r="AV6782" s="397"/>
      <c r="AW6782" s="397"/>
      <c r="AX6782" s="397"/>
      <c r="BI6782" s="397"/>
      <c r="BJ6782" s="397"/>
      <c r="BK6782" s="397"/>
      <c r="BL6782" s="397"/>
      <c r="BM6782" s="397"/>
      <c r="BN6782" s="397"/>
      <c r="BO6782" s="397"/>
      <c r="BP6782" s="397"/>
      <c r="BQ6782" s="397"/>
      <c r="BR6782" s="397"/>
      <c r="BS6782" s="397"/>
      <c r="BT6782" s="397"/>
      <c r="BU6782" s="397"/>
      <c r="BV6782" s="397"/>
      <c r="BW6782" s="397"/>
      <c r="BX6782" s="397"/>
      <c r="BY6782" s="397"/>
      <c r="BZ6782" s="397"/>
      <c r="CA6782" s="392" t="s">
        <v>412</v>
      </c>
    </row>
    <row r="6783" spans="1:80" s="392" customFormat="1" ht="15" x14ac:dyDescent="0.25">
      <c r="A6783" s="385"/>
      <c r="B6783" s="385"/>
      <c r="C6783" s="385"/>
      <c r="D6783" s="700"/>
      <c r="E6783" s="386"/>
      <c r="F6783" s="385"/>
      <c r="G6783" s="400"/>
      <c r="H6783" s="402"/>
      <c r="I6783" s="402"/>
      <c r="J6783" s="402"/>
      <c r="K6783" s="402"/>
      <c r="L6783" s="674"/>
      <c r="M6783" s="672">
        <v>30866</v>
      </c>
      <c r="N6783" s="623">
        <v>1.657693397563049</v>
      </c>
      <c r="O6783" s="624">
        <v>4.6478880000000002E-3</v>
      </c>
      <c r="P6783" s="397"/>
      <c r="Q6783" s="397"/>
      <c r="R6783" s="397"/>
      <c r="S6783" s="397"/>
      <c r="T6783" s="397"/>
      <c r="U6783" s="397"/>
      <c r="V6783" s="397"/>
      <c r="W6783" s="397"/>
      <c r="X6783" s="397"/>
      <c r="Y6783" s="397"/>
      <c r="Z6783" s="397"/>
      <c r="AC6783" s="409">
        <v>1.6E-2</v>
      </c>
      <c r="AD6783" s="388">
        <v>3.56616</v>
      </c>
      <c r="AE6783" s="388">
        <v>0.39624000000000004</v>
      </c>
      <c r="AF6783" s="388">
        <v>1.4120799999999998</v>
      </c>
      <c r="AG6783" s="388">
        <v>1.1734800000000001</v>
      </c>
      <c r="AH6783" s="391"/>
      <c r="AI6783" s="397"/>
      <c r="AJ6783" s="397"/>
      <c r="AU6783" s="397"/>
      <c r="AV6783" s="397"/>
      <c r="AW6783" s="397"/>
      <c r="AX6783" s="397"/>
      <c r="BI6783" s="397"/>
      <c r="BJ6783" s="397"/>
      <c r="BK6783" s="397"/>
      <c r="BL6783" s="397"/>
      <c r="BM6783" s="397"/>
      <c r="BN6783" s="397"/>
      <c r="BO6783" s="397"/>
      <c r="BP6783" s="397"/>
      <c r="BQ6783" s="397"/>
      <c r="BR6783" s="397"/>
      <c r="BS6783" s="397"/>
      <c r="BT6783" s="397"/>
      <c r="BU6783" s="397"/>
      <c r="BV6783" s="397"/>
      <c r="BW6783" s="397"/>
      <c r="BX6783" s="397"/>
      <c r="BY6783" s="397"/>
      <c r="BZ6783" s="397"/>
      <c r="CA6783" s="392" t="s">
        <v>412</v>
      </c>
    </row>
    <row r="6784" spans="1:80" s="392" customFormat="1" ht="15" x14ac:dyDescent="0.25">
      <c r="A6784" s="385"/>
      <c r="B6784" s="385"/>
      <c r="C6784" s="385"/>
      <c r="D6784" s="700"/>
      <c r="E6784" s="386"/>
      <c r="F6784" s="385"/>
      <c r="G6784" s="400"/>
      <c r="H6784" s="402"/>
      <c r="I6784" s="402"/>
      <c r="J6784" s="402"/>
      <c r="K6784" s="402"/>
      <c r="L6784" s="674"/>
      <c r="M6784" s="672">
        <v>30869</v>
      </c>
      <c r="N6784" s="623">
        <v>1.405497308019269</v>
      </c>
      <c r="O6784" s="624">
        <v>2.8848960000000001E-3</v>
      </c>
      <c r="P6784" s="397"/>
      <c r="Q6784" s="397"/>
      <c r="R6784" s="397"/>
      <c r="S6784" s="397"/>
      <c r="T6784" s="397"/>
      <c r="U6784" s="397"/>
      <c r="V6784" s="397"/>
      <c r="W6784" s="397"/>
      <c r="X6784" s="397"/>
      <c r="Y6784" s="397"/>
      <c r="Z6784" s="397"/>
      <c r="AC6784" s="409">
        <v>1.6E-2</v>
      </c>
      <c r="AD6784" s="388">
        <v>3.4137599999999999</v>
      </c>
      <c r="AE6784" s="388">
        <v>0.37795200000000001</v>
      </c>
      <c r="AF6784" s="388">
        <v>1.2885229999999999</v>
      </c>
      <c r="AG6784" s="388">
        <v>1.0911840000000002</v>
      </c>
      <c r="AH6784" s="391"/>
      <c r="AI6784" s="397"/>
      <c r="AJ6784" s="397"/>
      <c r="AU6784" s="397"/>
      <c r="AV6784" s="397"/>
      <c r="AW6784" s="397"/>
      <c r="AX6784" s="397"/>
      <c r="BI6784" s="397"/>
      <c r="BJ6784" s="397"/>
      <c r="BK6784" s="397"/>
      <c r="BL6784" s="397"/>
      <c r="BM6784" s="397"/>
      <c r="BN6784" s="397"/>
      <c r="BO6784" s="397"/>
      <c r="BP6784" s="397"/>
      <c r="BQ6784" s="397"/>
      <c r="BR6784" s="397"/>
      <c r="BS6784" s="397"/>
      <c r="BT6784" s="397"/>
      <c r="BU6784" s="397"/>
      <c r="BV6784" s="397"/>
      <c r="BW6784" s="397"/>
      <c r="BX6784" s="397"/>
      <c r="BY6784" s="397"/>
      <c r="BZ6784" s="397"/>
      <c r="CA6784" s="392" t="s">
        <v>412</v>
      </c>
    </row>
    <row r="6785" spans="1:80" s="392" customFormat="1" ht="15" x14ac:dyDescent="0.25">
      <c r="A6785" s="385"/>
      <c r="B6785" s="385"/>
      <c r="C6785" s="385"/>
      <c r="D6785" s="700"/>
      <c r="E6785" s="386"/>
      <c r="F6785" s="385"/>
      <c r="G6785" s="400"/>
      <c r="H6785" s="402"/>
      <c r="I6785" s="402"/>
      <c r="J6785" s="402"/>
      <c r="K6785" s="402"/>
      <c r="L6785" s="674"/>
      <c r="M6785" s="672">
        <v>30873</v>
      </c>
      <c r="N6785" s="623">
        <v>2.184754888070275</v>
      </c>
      <c r="O6785" s="624">
        <v>9.9020879999999999E-3</v>
      </c>
      <c r="P6785" s="397"/>
      <c r="Q6785" s="397"/>
      <c r="R6785" s="397"/>
      <c r="S6785" s="397"/>
      <c r="T6785" s="397"/>
      <c r="U6785" s="397"/>
      <c r="V6785" s="397"/>
      <c r="W6785" s="397"/>
      <c r="X6785" s="397"/>
      <c r="Y6785" s="397"/>
      <c r="Z6785" s="397"/>
      <c r="AC6785" s="409">
        <v>1.7999999999999999E-2</v>
      </c>
      <c r="AD6785" s="388">
        <v>3.6271200000000001</v>
      </c>
      <c r="AE6785" s="388">
        <v>0.44805600000000001</v>
      </c>
      <c r="AF6785" s="388">
        <v>1.6294659999999999</v>
      </c>
      <c r="AG6785" s="388">
        <v>1.3380719999999999</v>
      </c>
      <c r="AH6785" s="391"/>
      <c r="AI6785" s="397"/>
      <c r="AJ6785" s="397"/>
      <c r="AU6785" s="397"/>
      <c r="AV6785" s="397"/>
      <c r="AW6785" s="397"/>
      <c r="AX6785" s="397"/>
      <c r="BI6785" s="397"/>
      <c r="BJ6785" s="397"/>
      <c r="BK6785" s="397"/>
      <c r="BL6785" s="397"/>
      <c r="BM6785" s="397"/>
      <c r="BN6785" s="397"/>
      <c r="BO6785" s="397"/>
      <c r="BP6785" s="397"/>
      <c r="BQ6785" s="397"/>
      <c r="BR6785" s="397"/>
      <c r="BS6785" s="397"/>
      <c r="BT6785" s="397"/>
      <c r="BU6785" s="397"/>
      <c r="BV6785" s="397"/>
      <c r="BW6785" s="397"/>
      <c r="BX6785" s="397"/>
      <c r="BY6785" s="397"/>
      <c r="BZ6785" s="397"/>
      <c r="CA6785" s="392" t="s">
        <v>412</v>
      </c>
    </row>
    <row r="6786" spans="1:80" s="392" customFormat="1" ht="15" x14ac:dyDescent="0.25">
      <c r="A6786" s="385"/>
      <c r="B6786" s="385"/>
      <c r="C6786" s="385"/>
      <c r="D6786" s="700"/>
      <c r="E6786" s="386"/>
      <c r="F6786" s="385"/>
      <c r="G6786" s="400"/>
      <c r="H6786" s="402"/>
      <c r="I6786" s="402"/>
      <c r="J6786" s="402"/>
      <c r="K6786" s="402"/>
      <c r="L6786" s="674"/>
      <c r="M6786" s="672">
        <v>30880</v>
      </c>
      <c r="N6786" s="623">
        <v>1.0824596202890338</v>
      </c>
      <c r="O6786" s="624">
        <v>3.2081616000000007E-2</v>
      </c>
      <c r="P6786" s="397"/>
      <c r="Q6786" s="397"/>
      <c r="R6786" s="397"/>
      <c r="S6786" s="397"/>
      <c r="T6786" s="397"/>
      <c r="U6786" s="397"/>
      <c r="V6786" s="397"/>
      <c r="W6786" s="397"/>
      <c r="X6786" s="397"/>
      <c r="Y6786" s="397"/>
      <c r="Z6786" s="397"/>
      <c r="AC6786" s="409">
        <v>1.7999999999999999E-2</v>
      </c>
      <c r="AD6786" s="388">
        <v>3.2918400000000005</v>
      </c>
      <c r="AE6786" s="388">
        <v>0.32004000000000005</v>
      </c>
      <c r="AF6786" s="388">
        <v>1.0590599999999999</v>
      </c>
      <c r="AG6786" s="388">
        <v>1.02108</v>
      </c>
      <c r="AH6786" s="391"/>
      <c r="AI6786" s="397"/>
      <c r="AJ6786" s="397"/>
      <c r="AU6786" s="397"/>
      <c r="AV6786" s="397"/>
      <c r="AW6786" s="397"/>
      <c r="AX6786" s="397"/>
      <c r="BI6786" s="397"/>
      <c r="BJ6786" s="397"/>
      <c r="BK6786" s="397"/>
      <c r="BL6786" s="397"/>
      <c r="BM6786" s="397"/>
      <c r="BN6786" s="397"/>
      <c r="BO6786" s="397"/>
      <c r="BP6786" s="397"/>
      <c r="BQ6786" s="397"/>
      <c r="BR6786" s="397"/>
      <c r="BS6786" s="397"/>
      <c r="BT6786" s="397"/>
      <c r="BU6786" s="397"/>
      <c r="BV6786" s="397"/>
      <c r="BW6786" s="397"/>
      <c r="BX6786" s="397"/>
      <c r="BY6786" s="397"/>
      <c r="BZ6786" s="397"/>
      <c r="CA6786" s="392" t="s">
        <v>412</v>
      </c>
    </row>
    <row r="6787" spans="1:80" s="392" customFormat="1" ht="15" x14ac:dyDescent="0.25">
      <c r="A6787" s="385"/>
      <c r="B6787" s="385"/>
      <c r="C6787" s="385"/>
      <c r="D6787" s="700"/>
      <c r="E6787" s="386"/>
      <c r="F6787" s="385"/>
      <c r="G6787" s="400"/>
      <c r="H6787" s="402"/>
      <c r="I6787" s="402"/>
      <c r="J6787" s="402"/>
      <c r="K6787" s="402"/>
      <c r="L6787" s="674"/>
      <c r="M6787" s="672">
        <v>30887</v>
      </c>
      <c r="N6787" s="623">
        <v>1.0824596202890338</v>
      </c>
      <c r="O6787" s="624">
        <v>2.6786592000000008E-2</v>
      </c>
      <c r="P6787" s="397"/>
      <c r="Q6787" s="397"/>
      <c r="R6787" s="397"/>
      <c r="S6787" s="397"/>
      <c r="T6787" s="397"/>
      <c r="U6787" s="397"/>
      <c r="V6787" s="397"/>
      <c r="W6787" s="397"/>
      <c r="X6787" s="397"/>
      <c r="Y6787" s="397"/>
      <c r="Z6787" s="397"/>
      <c r="AC6787" s="409">
        <v>1.7999999999999999E-2</v>
      </c>
      <c r="AD6787" s="388">
        <v>3.3223200000000004</v>
      </c>
      <c r="AE6787" s="388">
        <v>0.32613600000000004</v>
      </c>
      <c r="AF6787" s="388">
        <v>1.0776399999999999</v>
      </c>
      <c r="AG6787" s="388">
        <v>1.0058400000000001</v>
      </c>
      <c r="AH6787" s="391"/>
      <c r="AI6787" s="397"/>
      <c r="AJ6787" s="397"/>
      <c r="AU6787" s="397"/>
      <c r="AV6787" s="397"/>
      <c r="AW6787" s="397"/>
      <c r="AX6787" s="397"/>
      <c r="BI6787" s="397"/>
      <c r="BJ6787" s="397"/>
      <c r="BK6787" s="397"/>
      <c r="BL6787" s="397"/>
      <c r="BM6787" s="397"/>
      <c r="BN6787" s="397"/>
      <c r="BO6787" s="397"/>
      <c r="BP6787" s="397"/>
      <c r="BQ6787" s="397"/>
      <c r="BR6787" s="397"/>
      <c r="BS6787" s="397"/>
      <c r="BT6787" s="397"/>
      <c r="BU6787" s="397"/>
      <c r="BV6787" s="397"/>
      <c r="BW6787" s="397"/>
      <c r="BX6787" s="397"/>
      <c r="BY6787" s="397"/>
      <c r="BZ6787" s="397"/>
      <c r="CA6787" s="392" t="s">
        <v>412</v>
      </c>
    </row>
    <row r="6788" spans="1:80" s="392" customFormat="1" ht="15" x14ac:dyDescent="0.25">
      <c r="A6788" s="385"/>
      <c r="B6788" s="385"/>
      <c r="C6788" s="385"/>
      <c r="D6788" s="700"/>
      <c r="E6788" s="386"/>
      <c r="F6788" s="385"/>
      <c r="G6788" s="400"/>
      <c r="H6788" s="402"/>
      <c r="I6788" s="402"/>
      <c r="J6788" s="402"/>
      <c r="K6788" s="402"/>
      <c r="L6788" s="674"/>
      <c r="M6788" s="672">
        <v>30894</v>
      </c>
      <c r="N6788" s="623">
        <v>1.0796259563615755</v>
      </c>
      <c r="O6788" s="624">
        <v>0</v>
      </c>
      <c r="P6788" s="397"/>
      <c r="Q6788" s="397"/>
      <c r="R6788" s="397"/>
      <c r="S6788" s="397"/>
      <c r="T6788" s="397"/>
      <c r="U6788" s="397"/>
      <c r="V6788" s="397"/>
      <c r="W6788" s="397"/>
      <c r="X6788" s="397"/>
      <c r="Y6788" s="397"/>
      <c r="Z6788" s="397"/>
      <c r="AC6788" s="409">
        <v>1.7999999999999999E-2</v>
      </c>
      <c r="AD6788" s="388">
        <v>3.23088</v>
      </c>
      <c r="AE6788" s="388">
        <v>0.30480000000000002</v>
      </c>
      <c r="AF6788" s="388">
        <v>0.97544999999999993</v>
      </c>
      <c r="AG6788" s="388">
        <v>1.09728</v>
      </c>
      <c r="AH6788" s="391"/>
      <c r="AI6788" s="397"/>
      <c r="AJ6788" s="397"/>
      <c r="AU6788" s="397"/>
      <c r="AV6788" s="397"/>
      <c r="AW6788" s="397"/>
      <c r="AX6788" s="397"/>
      <c r="BI6788" s="397"/>
      <c r="BJ6788" s="397"/>
      <c r="BK6788" s="397"/>
      <c r="BL6788" s="397"/>
      <c r="BM6788" s="397"/>
      <c r="BN6788" s="397"/>
      <c r="BO6788" s="397"/>
      <c r="BP6788" s="397"/>
      <c r="BQ6788" s="397"/>
      <c r="BR6788" s="397"/>
      <c r="BS6788" s="397"/>
      <c r="BT6788" s="397"/>
      <c r="BU6788" s="397"/>
      <c r="BV6788" s="397"/>
      <c r="BW6788" s="397"/>
      <c r="BX6788" s="397"/>
      <c r="BY6788" s="397"/>
      <c r="BZ6788" s="397"/>
      <c r="CA6788" s="392" t="s">
        <v>412</v>
      </c>
    </row>
    <row r="6789" spans="1:80" s="392" customFormat="1" ht="15" x14ac:dyDescent="0.25">
      <c r="A6789" s="385"/>
      <c r="B6789" s="385"/>
      <c r="C6789" s="385"/>
      <c r="D6789" s="700"/>
      <c r="E6789" s="386"/>
      <c r="F6789" s="385"/>
      <c r="G6789" s="400"/>
      <c r="H6789" s="402"/>
      <c r="I6789" s="402"/>
      <c r="J6789" s="402"/>
      <c r="K6789" s="402"/>
      <c r="L6789" s="674"/>
      <c r="M6789" s="672">
        <v>30897</v>
      </c>
      <c r="N6789" s="623">
        <v>0.88126948143950135</v>
      </c>
      <c r="O6789" s="624">
        <v>3.2598720000000009E-3</v>
      </c>
      <c r="P6789" s="397"/>
      <c r="Q6789" s="397"/>
      <c r="R6789" s="397"/>
      <c r="S6789" s="397"/>
      <c r="T6789" s="397"/>
      <c r="U6789" s="397"/>
      <c r="V6789" s="397"/>
      <c r="W6789" s="397"/>
      <c r="X6789" s="397"/>
      <c r="Y6789" s="397"/>
      <c r="Z6789" s="397"/>
      <c r="AC6789" s="409">
        <v>1.7999999999999999E-2</v>
      </c>
      <c r="AD6789" s="388">
        <v>3.2004000000000001</v>
      </c>
      <c r="AE6789" s="388">
        <v>0.30784800000000001</v>
      </c>
      <c r="AF6789" s="388">
        <v>0.98938499999999996</v>
      </c>
      <c r="AG6789" s="388">
        <v>0.89001600000000003</v>
      </c>
      <c r="AH6789" s="391"/>
      <c r="AI6789" s="397"/>
      <c r="AJ6789" s="397"/>
      <c r="AU6789" s="397"/>
      <c r="AV6789" s="397"/>
      <c r="AW6789" s="397"/>
      <c r="AX6789" s="397"/>
      <c r="BI6789" s="397"/>
      <c r="BJ6789" s="397"/>
      <c r="BK6789" s="397"/>
      <c r="BL6789" s="397"/>
      <c r="BM6789" s="397"/>
      <c r="BN6789" s="397"/>
      <c r="BO6789" s="397"/>
      <c r="BP6789" s="397"/>
      <c r="BQ6789" s="397"/>
      <c r="BR6789" s="397"/>
      <c r="BS6789" s="397"/>
      <c r="BT6789" s="397"/>
      <c r="BU6789" s="397"/>
      <c r="BV6789" s="397"/>
      <c r="BW6789" s="397"/>
      <c r="BX6789" s="397"/>
      <c r="BY6789" s="397"/>
      <c r="BZ6789" s="397"/>
      <c r="CA6789" s="392" t="s">
        <v>412</v>
      </c>
    </row>
    <row r="6790" spans="1:80" s="392" customFormat="1" ht="15" x14ac:dyDescent="0.25">
      <c r="A6790" s="385"/>
      <c r="B6790" s="385"/>
      <c r="C6790" s="385"/>
      <c r="D6790" s="700"/>
      <c r="E6790" s="386"/>
      <c r="F6790" s="385"/>
      <c r="G6790" s="400"/>
      <c r="H6790" s="402"/>
      <c r="I6790" s="402"/>
      <c r="J6790" s="402"/>
      <c r="K6790" s="402"/>
      <c r="L6790" s="674"/>
      <c r="M6790" s="672">
        <v>30902</v>
      </c>
      <c r="N6790" s="623">
        <v>0.95494474355341463</v>
      </c>
      <c r="O6790" s="624">
        <v>1.1854080000000004E-3</v>
      </c>
      <c r="P6790" s="397"/>
      <c r="Q6790" s="397"/>
      <c r="R6790" s="397"/>
      <c r="S6790" s="397"/>
      <c r="T6790" s="397"/>
      <c r="U6790" s="397"/>
      <c r="V6790" s="397"/>
      <c r="W6790" s="397"/>
      <c r="X6790" s="397"/>
      <c r="Y6790" s="397"/>
      <c r="Z6790" s="397"/>
      <c r="AC6790" s="409">
        <v>1.7999999999999999E-2</v>
      </c>
      <c r="AD6790" s="388">
        <v>3.2918400000000005</v>
      </c>
      <c r="AE6790" s="388">
        <v>0.30480000000000002</v>
      </c>
      <c r="AF6790" s="388">
        <v>0.99402999999999986</v>
      </c>
      <c r="AG6790" s="388">
        <v>0.96011999999999997</v>
      </c>
      <c r="AH6790" s="391"/>
      <c r="AI6790" s="397"/>
      <c r="AJ6790" s="397"/>
      <c r="AU6790" s="397"/>
      <c r="AV6790" s="397"/>
      <c r="AW6790" s="397"/>
      <c r="AX6790" s="397"/>
      <c r="BI6790" s="397"/>
      <c r="BJ6790" s="397"/>
      <c r="BK6790" s="397"/>
      <c r="BL6790" s="397"/>
      <c r="BM6790" s="397"/>
      <c r="BN6790" s="397"/>
      <c r="BO6790" s="397"/>
      <c r="BP6790" s="397"/>
      <c r="BQ6790" s="397"/>
      <c r="BR6790" s="397"/>
      <c r="BS6790" s="397"/>
      <c r="BT6790" s="397"/>
      <c r="BU6790" s="397"/>
      <c r="BV6790" s="397"/>
      <c r="BW6790" s="397"/>
      <c r="BX6790" s="397"/>
      <c r="BY6790" s="397"/>
      <c r="BZ6790" s="397"/>
      <c r="CA6790" s="392" t="s">
        <v>412</v>
      </c>
    </row>
    <row r="6791" spans="1:80" s="392" customFormat="1" ht="15" x14ac:dyDescent="0.25">
      <c r="A6791" s="385"/>
      <c r="B6791" s="385"/>
      <c r="C6791" s="385"/>
      <c r="D6791" s="700"/>
      <c r="E6791" s="386"/>
      <c r="F6791" s="385"/>
      <c r="G6791" s="400"/>
      <c r="H6791" s="402"/>
      <c r="I6791" s="402"/>
      <c r="J6791" s="402"/>
      <c r="K6791" s="402"/>
      <c r="L6791" s="674"/>
      <c r="M6791" s="672">
        <v>30922</v>
      </c>
      <c r="N6791" s="623">
        <v>1.3261547180504392</v>
      </c>
      <c r="O6791" s="624">
        <v>6.6679200000000008E-3</v>
      </c>
      <c r="P6791" s="397"/>
      <c r="Q6791" s="397"/>
      <c r="R6791" s="397"/>
      <c r="S6791" s="397"/>
      <c r="T6791" s="397"/>
      <c r="U6791" s="397"/>
      <c r="V6791" s="397"/>
      <c r="W6791" s="397"/>
      <c r="X6791" s="397"/>
      <c r="Y6791" s="397"/>
      <c r="Z6791" s="397"/>
      <c r="AC6791" s="409">
        <v>1.7999999999999999E-2</v>
      </c>
      <c r="AD6791" s="388">
        <v>3.3223200000000004</v>
      </c>
      <c r="AE6791" s="388">
        <v>0.36271199999999998</v>
      </c>
      <c r="AF6791" s="388">
        <v>1.19841</v>
      </c>
      <c r="AG6791" s="388">
        <v>1.1064240000000001</v>
      </c>
      <c r="AH6791" s="391"/>
      <c r="AI6791" s="397"/>
      <c r="AJ6791" s="397"/>
      <c r="AU6791" s="397"/>
      <c r="AV6791" s="397"/>
      <c r="AW6791" s="397"/>
      <c r="AX6791" s="397"/>
      <c r="BI6791" s="397"/>
      <c r="BJ6791" s="397"/>
      <c r="BK6791" s="397"/>
      <c r="BL6791" s="397"/>
      <c r="BM6791" s="397"/>
      <c r="BN6791" s="397"/>
      <c r="BO6791" s="397"/>
      <c r="BP6791" s="397"/>
      <c r="BQ6791" s="397"/>
      <c r="BR6791" s="397"/>
      <c r="BS6791" s="397"/>
      <c r="BT6791" s="397"/>
      <c r="BU6791" s="397"/>
      <c r="BV6791" s="397"/>
      <c r="BW6791" s="397"/>
      <c r="BX6791" s="397"/>
      <c r="BY6791" s="397"/>
      <c r="BZ6791" s="397"/>
      <c r="CA6791" s="392" t="s">
        <v>412</v>
      </c>
    </row>
    <row r="6792" spans="1:80" s="189" customFormat="1" ht="15" x14ac:dyDescent="0.25">
      <c r="A6792" s="381" t="s">
        <v>439</v>
      </c>
      <c r="B6792" s="641" t="s">
        <v>34</v>
      </c>
      <c r="C6792" s="639"/>
      <c r="D6792" s="4">
        <f>VLOOKUP(E6792,'Quality Code'!$D$4:$E$24,2,TRUE)*VLOOKUP(MROUND(F6792,10),'Quality Code'!$D$28:$E$69,2,TRUE)*VLOOKUP(COUNTA(CB6792:CB6802),'Quality Code'!$D$73:$E$93,2,TRUE)</f>
        <v>0.1</v>
      </c>
      <c r="E6792" s="14">
        <v>0.4</v>
      </c>
      <c r="F6792" s="2">
        <v>12</v>
      </c>
      <c r="G6792" s="12"/>
      <c r="H6792" s="2" t="s">
        <v>105</v>
      </c>
      <c r="I6792" s="2"/>
      <c r="J6792" s="2"/>
      <c r="K6792" s="2"/>
      <c r="L6792" s="639"/>
      <c r="M6792" s="640">
        <v>1984</v>
      </c>
      <c r="N6792" s="578" t="s">
        <v>110</v>
      </c>
      <c r="O6792" s="578"/>
      <c r="P6792" s="26"/>
      <c r="Q6792" s="26"/>
      <c r="R6792" s="26"/>
      <c r="S6792" s="26"/>
      <c r="T6792" s="26"/>
      <c r="U6792" s="26"/>
      <c r="V6792" s="10"/>
      <c r="W6792" s="10"/>
      <c r="X6792" s="10"/>
      <c r="Y6792" s="10"/>
      <c r="Z6792" s="2"/>
      <c r="AA6792" s="26"/>
      <c r="AB6792" s="26"/>
      <c r="AC6792" s="377">
        <v>0.01</v>
      </c>
      <c r="AD6792" s="406"/>
      <c r="AE6792" s="26"/>
      <c r="AF6792" s="26"/>
      <c r="AG6792" s="26"/>
      <c r="AH6792" s="26"/>
      <c r="AI6792" s="4"/>
      <c r="AJ6792" s="378"/>
      <c r="AK6792" s="376"/>
      <c r="AL6792" s="376"/>
      <c r="AM6792" s="376"/>
      <c r="AN6792" s="376"/>
      <c r="AO6792" s="376"/>
      <c r="AP6792" s="376"/>
      <c r="AQ6792" s="376"/>
      <c r="AR6792" s="376"/>
      <c r="AS6792" s="376"/>
      <c r="AT6792" s="376"/>
      <c r="AU6792" s="378"/>
      <c r="AV6792" s="378"/>
      <c r="AW6792" s="378"/>
      <c r="AX6792" s="378"/>
      <c r="AY6792" s="379"/>
      <c r="AZ6792" s="379"/>
      <c r="BA6792" s="380"/>
      <c r="BB6792" s="380"/>
      <c r="BC6792" s="380"/>
      <c r="BD6792" s="380"/>
      <c r="BE6792" s="380"/>
      <c r="BF6792" s="380"/>
      <c r="BG6792" s="380"/>
      <c r="BH6792" s="380"/>
      <c r="BI6792" s="4"/>
      <c r="BJ6792" s="12"/>
      <c r="BK6792" s="2"/>
      <c r="BL6792" s="2"/>
      <c r="BM6792" s="4"/>
      <c r="BN6792" s="12"/>
      <c r="BO6792" s="12"/>
      <c r="BP6792" s="12"/>
      <c r="BQ6792" s="4"/>
      <c r="BR6792" s="4"/>
      <c r="BS6792" s="4"/>
      <c r="BT6792" s="2"/>
      <c r="BU6792" s="9"/>
      <c r="BV6792" s="381"/>
      <c r="BW6792" s="382"/>
      <c r="BX6792" s="383"/>
      <c r="BY6792" s="383" t="s">
        <v>440</v>
      </c>
      <c r="BZ6792" s="383"/>
      <c r="CA6792" s="384" t="s">
        <v>412</v>
      </c>
      <c r="CB6792" s="411"/>
    </row>
    <row r="6793" spans="1:80" s="392" customFormat="1" ht="15" x14ac:dyDescent="0.25">
      <c r="A6793" s="385"/>
      <c r="B6793" s="385"/>
      <c r="C6793" s="385"/>
      <c r="D6793" s="700"/>
      <c r="E6793" s="386"/>
      <c r="F6793" s="385"/>
      <c r="G6793" s="400"/>
      <c r="H6793" s="402"/>
      <c r="I6793" s="402"/>
      <c r="J6793" s="402"/>
      <c r="K6793" s="402"/>
      <c r="L6793" s="674"/>
      <c r="M6793" s="672">
        <v>30812</v>
      </c>
      <c r="N6793" s="623">
        <v>0.40153017852082745</v>
      </c>
      <c r="O6793" s="624">
        <v>3.2205600000000008E-3</v>
      </c>
      <c r="P6793" s="397"/>
      <c r="Q6793" s="397"/>
      <c r="R6793" s="397"/>
      <c r="S6793" s="397"/>
      <c r="T6793" s="397"/>
      <c r="U6793" s="397"/>
      <c r="V6793" s="397"/>
      <c r="W6793" s="397"/>
      <c r="X6793" s="397"/>
      <c r="Y6793" s="397"/>
      <c r="Z6793" s="397"/>
      <c r="AC6793" s="410"/>
      <c r="AD6793" s="388">
        <v>6.5227199999999996</v>
      </c>
      <c r="AE6793" s="388">
        <v>0.14935200000000001</v>
      </c>
      <c r="AF6793" s="388">
        <v>1.0339769999999999</v>
      </c>
      <c r="AG6793" s="388">
        <v>0.34137600000000007</v>
      </c>
      <c r="AH6793" s="391"/>
      <c r="AI6793" s="397"/>
      <c r="AJ6793" s="397"/>
      <c r="AU6793" s="397"/>
      <c r="AV6793" s="397"/>
      <c r="AW6793" s="397"/>
      <c r="AX6793" s="397"/>
      <c r="BI6793" s="397"/>
      <c r="BJ6793" s="397"/>
      <c r="BK6793" s="397"/>
      <c r="BL6793" s="397"/>
      <c r="BM6793" s="397"/>
      <c r="BN6793" s="397"/>
      <c r="BO6793" s="397"/>
      <c r="BP6793" s="397"/>
      <c r="BQ6793" s="397"/>
      <c r="BR6793" s="397"/>
      <c r="BS6793" s="397"/>
      <c r="BT6793" s="397"/>
      <c r="BU6793" s="397"/>
      <c r="BV6793" s="397"/>
      <c r="BW6793" s="397"/>
      <c r="BX6793" s="397"/>
      <c r="BY6793" s="397"/>
      <c r="BZ6793" s="397"/>
      <c r="CA6793" s="392" t="s">
        <v>412</v>
      </c>
    </row>
    <row r="6794" spans="1:80" s="392" customFormat="1" ht="15" x14ac:dyDescent="0.25">
      <c r="A6794" s="385"/>
      <c r="B6794" s="385"/>
      <c r="C6794" s="385"/>
      <c r="D6794" s="700"/>
      <c r="E6794" s="386"/>
      <c r="F6794" s="385"/>
      <c r="G6794" s="400"/>
      <c r="H6794" s="402"/>
      <c r="I6794" s="402"/>
      <c r="J6794" s="402"/>
      <c r="K6794" s="402"/>
      <c r="L6794" s="674"/>
      <c r="M6794" s="672">
        <v>30818</v>
      </c>
      <c r="N6794" s="623">
        <v>0.92717483706432413</v>
      </c>
      <c r="O6794" s="624">
        <v>6.5620800000000003E-4</v>
      </c>
      <c r="P6794" s="397"/>
      <c r="Q6794" s="397"/>
      <c r="R6794" s="397"/>
      <c r="S6794" s="397"/>
      <c r="T6794" s="397"/>
      <c r="U6794" s="397"/>
      <c r="V6794" s="397"/>
      <c r="W6794" s="397"/>
      <c r="X6794" s="397"/>
      <c r="Y6794" s="397"/>
      <c r="Z6794" s="397"/>
      <c r="AC6794" s="410"/>
      <c r="AD6794" s="388">
        <v>6.6751199999999997</v>
      </c>
      <c r="AE6794" s="388">
        <v>0.210312</v>
      </c>
      <c r="AF6794" s="388">
        <v>1.456672</v>
      </c>
      <c r="AG6794" s="388">
        <v>0.560832</v>
      </c>
      <c r="AH6794" s="391"/>
      <c r="AI6794" s="397"/>
      <c r="AJ6794" s="397"/>
      <c r="AU6794" s="397"/>
      <c r="AV6794" s="397"/>
      <c r="AW6794" s="397"/>
      <c r="AX6794" s="397"/>
      <c r="BI6794" s="397"/>
      <c r="BJ6794" s="397"/>
      <c r="BK6794" s="397"/>
      <c r="BL6794" s="397"/>
      <c r="BM6794" s="397"/>
      <c r="BN6794" s="397"/>
      <c r="BO6794" s="397"/>
      <c r="BP6794" s="397"/>
      <c r="BQ6794" s="397"/>
      <c r="BR6794" s="397"/>
      <c r="BS6794" s="397"/>
      <c r="BT6794" s="397"/>
      <c r="BU6794" s="397"/>
      <c r="BV6794" s="397"/>
      <c r="BW6794" s="397"/>
      <c r="BX6794" s="397"/>
      <c r="BY6794" s="397"/>
      <c r="BZ6794" s="397"/>
      <c r="CA6794" s="392" t="s">
        <v>412</v>
      </c>
    </row>
    <row r="6795" spans="1:80" s="392" customFormat="1" ht="15" x14ac:dyDescent="0.25">
      <c r="A6795" s="385"/>
      <c r="B6795" s="385"/>
      <c r="C6795" s="385"/>
      <c r="D6795" s="700"/>
      <c r="E6795" s="386"/>
      <c r="F6795" s="385"/>
      <c r="G6795" s="400"/>
      <c r="H6795" s="402"/>
      <c r="I6795" s="402"/>
      <c r="J6795" s="402"/>
      <c r="K6795" s="402"/>
      <c r="L6795" s="674"/>
      <c r="M6795" s="672">
        <v>30828</v>
      </c>
      <c r="N6795" s="623">
        <v>2.1569849815811848</v>
      </c>
      <c r="O6795" s="624">
        <v>4.2216551999999997E-2</v>
      </c>
      <c r="P6795" s="397"/>
      <c r="Q6795" s="397"/>
      <c r="R6795" s="397"/>
      <c r="S6795" s="397"/>
      <c r="T6795" s="397"/>
      <c r="U6795" s="397"/>
      <c r="V6795" s="397"/>
      <c r="W6795" s="397"/>
      <c r="X6795" s="397"/>
      <c r="Y6795" s="397"/>
      <c r="Z6795" s="397"/>
      <c r="AC6795" s="410"/>
      <c r="AD6795" s="388">
        <v>6.9799199999999999</v>
      </c>
      <c r="AE6795" s="388">
        <v>0.27127200000000001</v>
      </c>
      <c r="AF6795" s="388">
        <v>2.236103</v>
      </c>
      <c r="AG6795" s="388">
        <v>0.71628000000000003</v>
      </c>
      <c r="AH6795" s="391"/>
      <c r="AI6795" s="397"/>
      <c r="AJ6795" s="397"/>
      <c r="AU6795" s="397"/>
      <c r="AV6795" s="397"/>
      <c r="AW6795" s="397"/>
      <c r="AX6795" s="397"/>
      <c r="BI6795" s="397"/>
      <c r="BJ6795" s="397"/>
      <c r="BK6795" s="397"/>
      <c r="BL6795" s="397"/>
      <c r="BM6795" s="397"/>
      <c r="BN6795" s="397"/>
      <c r="BO6795" s="397"/>
      <c r="BP6795" s="397"/>
      <c r="BQ6795" s="397"/>
      <c r="BR6795" s="397"/>
      <c r="BS6795" s="397"/>
      <c r="BT6795" s="397"/>
      <c r="BU6795" s="397"/>
      <c r="BV6795" s="397"/>
      <c r="BW6795" s="397"/>
      <c r="BX6795" s="397"/>
      <c r="BY6795" s="397"/>
      <c r="BZ6795" s="397"/>
      <c r="CA6795" s="392" t="s">
        <v>412</v>
      </c>
    </row>
    <row r="6796" spans="1:80" s="392" customFormat="1" ht="15" x14ac:dyDescent="0.25">
      <c r="A6796" s="385"/>
      <c r="B6796" s="385"/>
      <c r="C6796" s="385"/>
      <c r="D6796" s="700"/>
      <c r="E6796" s="386"/>
      <c r="F6796" s="385"/>
      <c r="G6796" s="400"/>
      <c r="H6796" s="402"/>
      <c r="I6796" s="402"/>
      <c r="J6796" s="402"/>
      <c r="K6796" s="402"/>
      <c r="L6796" s="674"/>
      <c r="M6796" s="672">
        <v>30840</v>
      </c>
      <c r="N6796" s="623">
        <v>1.8175120430716918</v>
      </c>
      <c r="O6796" s="624">
        <v>1.3547520000000004E-2</v>
      </c>
      <c r="P6796" s="397"/>
      <c r="Q6796" s="397"/>
      <c r="R6796" s="397"/>
      <c r="S6796" s="397"/>
      <c r="T6796" s="397"/>
      <c r="U6796" s="397"/>
      <c r="V6796" s="397"/>
      <c r="W6796" s="397"/>
      <c r="X6796" s="397"/>
      <c r="Y6796" s="397"/>
      <c r="Z6796" s="397"/>
      <c r="AC6796" s="410"/>
      <c r="AD6796" s="388">
        <v>6.9494400000000009</v>
      </c>
      <c r="AE6796" s="388">
        <v>0.26822400000000002</v>
      </c>
      <c r="AF6796" s="388">
        <v>1.9880599999999997</v>
      </c>
      <c r="AG6796" s="388">
        <v>0.75895200000000007</v>
      </c>
      <c r="AH6796" s="391"/>
      <c r="AI6796" s="397"/>
      <c r="AJ6796" s="397"/>
      <c r="AU6796" s="397"/>
      <c r="AV6796" s="397"/>
      <c r="AW6796" s="397"/>
      <c r="AX6796" s="397"/>
      <c r="BI6796" s="397"/>
      <c r="BJ6796" s="397"/>
      <c r="BK6796" s="397"/>
      <c r="BL6796" s="397"/>
      <c r="BM6796" s="397"/>
      <c r="BN6796" s="397"/>
      <c r="BO6796" s="397"/>
      <c r="BP6796" s="397"/>
      <c r="BQ6796" s="397"/>
      <c r="BR6796" s="397"/>
      <c r="BS6796" s="397"/>
      <c r="BT6796" s="397"/>
      <c r="BU6796" s="397"/>
      <c r="BV6796" s="397"/>
      <c r="BW6796" s="397"/>
      <c r="BX6796" s="397"/>
      <c r="BY6796" s="397"/>
      <c r="BZ6796" s="397"/>
      <c r="CA6796" s="392" t="s">
        <v>412</v>
      </c>
    </row>
    <row r="6797" spans="1:80" s="392" customFormat="1" ht="15" x14ac:dyDescent="0.25">
      <c r="A6797" s="385"/>
      <c r="B6797" s="385"/>
      <c r="C6797" s="385"/>
      <c r="D6797" s="700"/>
      <c r="E6797" s="386"/>
      <c r="F6797" s="385"/>
      <c r="G6797" s="400"/>
      <c r="H6797" s="402"/>
      <c r="I6797" s="402"/>
      <c r="J6797" s="402"/>
      <c r="K6797" s="402"/>
      <c r="L6797" s="674"/>
      <c r="M6797" s="672">
        <v>30846</v>
      </c>
      <c r="N6797" s="623">
        <v>1.4190988948710683</v>
      </c>
      <c r="O6797" s="624">
        <v>1.2029472000000001E-2</v>
      </c>
      <c r="P6797" s="397"/>
      <c r="Q6797" s="397"/>
      <c r="R6797" s="397"/>
      <c r="S6797" s="397"/>
      <c r="T6797" s="397"/>
      <c r="U6797" s="397"/>
      <c r="V6797" s="397"/>
      <c r="W6797" s="397"/>
      <c r="X6797" s="397"/>
      <c r="Y6797" s="397"/>
      <c r="Z6797" s="397"/>
      <c r="AC6797" s="410"/>
      <c r="AD6797" s="388">
        <v>6.8884800000000004</v>
      </c>
      <c r="AE6797" s="388">
        <v>0.23164800000000002</v>
      </c>
      <c r="AF6797" s="388">
        <v>1.791112</v>
      </c>
      <c r="AG6797" s="388">
        <v>0.64008000000000009</v>
      </c>
      <c r="AH6797" s="391"/>
      <c r="AI6797" s="397"/>
      <c r="AJ6797" s="397"/>
      <c r="AU6797" s="397"/>
      <c r="AV6797" s="397"/>
      <c r="AW6797" s="397"/>
      <c r="AX6797" s="397"/>
      <c r="BI6797" s="397"/>
      <c r="BJ6797" s="397"/>
      <c r="BK6797" s="397"/>
      <c r="BL6797" s="397"/>
      <c r="BM6797" s="397"/>
      <c r="BN6797" s="397"/>
      <c r="BO6797" s="397"/>
      <c r="BP6797" s="397"/>
      <c r="BQ6797" s="397"/>
      <c r="BR6797" s="397"/>
      <c r="BS6797" s="397"/>
      <c r="BT6797" s="397"/>
      <c r="BU6797" s="397"/>
      <c r="BV6797" s="397"/>
      <c r="BW6797" s="397"/>
      <c r="BX6797" s="397"/>
      <c r="BY6797" s="397"/>
      <c r="BZ6797" s="397"/>
      <c r="CA6797" s="392" t="s">
        <v>412</v>
      </c>
    </row>
    <row r="6798" spans="1:80" s="392" customFormat="1" ht="15" x14ac:dyDescent="0.25">
      <c r="A6798" s="385"/>
      <c r="B6798" s="385"/>
      <c r="C6798" s="385"/>
      <c r="D6798" s="700"/>
      <c r="E6798" s="386"/>
      <c r="F6798" s="385"/>
      <c r="G6798" s="400"/>
      <c r="H6798" s="402"/>
      <c r="I6798" s="402"/>
      <c r="J6798" s="402"/>
      <c r="K6798" s="402"/>
      <c r="L6798" s="674"/>
      <c r="M6798" s="672">
        <v>30854</v>
      </c>
      <c r="N6798" s="623">
        <v>2.5233777274015301</v>
      </c>
      <c r="O6798" s="624">
        <v>3.5625743999999994E-2</v>
      </c>
      <c r="P6798" s="397"/>
      <c r="Q6798" s="397"/>
      <c r="R6798" s="397"/>
      <c r="S6798" s="397"/>
      <c r="T6798" s="397"/>
      <c r="U6798" s="397"/>
      <c r="V6798" s="397"/>
      <c r="W6798" s="397"/>
      <c r="X6798" s="397"/>
      <c r="Y6798" s="397"/>
      <c r="Z6798" s="397"/>
      <c r="AC6798" s="410"/>
      <c r="AD6798" s="388">
        <v>7.4066400000000003</v>
      </c>
      <c r="AE6798" s="388">
        <v>0.29565600000000003</v>
      </c>
      <c r="AF6798" s="388">
        <v>2.3485119999999999</v>
      </c>
      <c r="AG6798" s="388">
        <v>0.85953599999999997</v>
      </c>
      <c r="AH6798" s="391"/>
      <c r="AI6798" s="397"/>
      <c r="AJ6798" s="397"/>
      <c r="AU6798" s="397"/>
      <c r="AV6798" s="397"/>
      <c r="AW6798" s="397"/>
      <c r="AX6798" s="397"/>
      <c r="BI6798" s="397"/>
      <c r="BJ6798" s="397"/>
      <c r="BK6798" s="397"/>
      <c r="BL6798" s="397"/>
      <c r="BM6798" s="397"/>
      <c r="BN6798" s="397"/>
      <c r="BO6798" s="397"/>
      <c r="BP6798" s="397"/>
      <c r="BQ6798" s="397"/>
      <c r="BR6798" s="397"/>
      <c r="BS6798" s="397"/>
      <c r="BT6798" s="397"/>
      <c r="BU6798" s="397"/>
      <c r="BV6798" s="397"/>
      <c r="BW6798" s="397"/>
      <c r="BX6798" s="397"/>
      <c r="BY6798" s="397"/>
      <c r="BZ6798" s="397"/>
      <c r="CA6798" s="392" t="s">
        <v>412</v>
      </c>
    </row>
    <row r="6799" spans="1:80" s="392" customFormat="1" ht="15" x14ac:dyDescent="0.25">
      <c r="A6799" s="385"/>
      <c r="B6799" s="385"/>
      <c r="C6799" s="385"/>
      <c r="D6799" s="700"/>
      <c r="E6799" s="386"/>
      <c r="F6799" s="385"/>
      <c r="G6799" s="400"/>
      <c r="H6799" s="402"/>
      <c r="I6799" s="402"/>
      <c r="J6799" s="402"/>
      <c r="K6799" s="402"/>
      <c r="L6799" s="674"/>
      <c r="M6799" s="672">
        <v>30861</v>
      </c>
      <c r="N6799" s="623">
        <v>2.6871635024086142</v>
      </c>
      <c r="O6799" s="624">
        <v>3.2060448000000005E-2</v>
      </c>
      <c r="P6799" s="397"/>
      <c r="Q6799" s="397"/>
      <c r="R6799" s="397"/>
      <c r="S6799" s="397"/>
      <c r="T6799" s="397"/>
      <c r="U6799" s="397"/>
      <c r="V6799" s="397"/>
      <c r="W6799" s="397"/>
      <c r="X6799" s="397"/>
      <c r="Y6799" s="397"/>
      <c r="Z6799" s="397"/>
      <c r="AC6799" s="410"/>
      <c r="AD6799" s="388">
        <v>7.1628000000000007</v>
      </c>
      <c r="AE6799" s="388">
        <v>0.313944</v>
      </c>
      <c r="AF6799" s="388">
        <v>2.3596599999999999</v>
      </c>
      <c r="AG6799" s="388">
        <v>0.99364799999999998</v>
      </c>
      <c r="AH6799" s="391"/>
      <c r="AI6799" s="397"/>
      <c r="AJ6799" s="397"/>
      <c r="AU6799" s="397"/>
      <c r="AV6799" s="397"/>
      <c r="AW6799" s="397"/>
      <c r="AX6799" s="397"/>
      <c r="BI6799" s="397"/>
      <c r="BJ6799" s="397"/>
      <c r="BK6799" s="397"/>
      <c r="BL6799" s="397"/>
      <c r="BM6799" s="397"/>
      <c r="BN6799" s="397"/>
      <c r="BO6799" s="397"/>
      <c r="BP6799" s="397"/>
      <c r="BQ6799" s="397"/>
      <c r="BR6799" s="397"/>
      <c r="BS6799" s="397"/>
      <c r="BT6799" s="397"/>
      <c r="BU6799" s="397"/>
      <c r="BV6799" s="397"/>
      <c r="BW6799" s="397"/>
      <c r="BX6799" s="397"/>
      <c r="BY6799" s="397"/>
      <c r="BZ6799" s="397"/>
      <c r="CA6799" s="392" t="s">
        <v>412</v>
      </c>
    </row>
    <row r="6800" spans="1:80" s="392" customFormat="1" ht="15" x14ac:dyDescent="0.25">
      <c r="A6800" s="385"/>
      <c r="B6800" s="385"/>
      <c r="C6800" s="385"/>
      <c r="D6800" s="700"/>
      <c r="E6800" s="386"/>
      <c r="F6800" s="385"/>
      <c r="G6800" s="400"/>
      <c r="H6800" s="402"/>
      <c r="I6800" s="402"/>
      <c r="J6800" s="402"/>
      <c r="K6800" s="402"/>
      <c r="L6800" s="674"/>
      <c r="M6800" s="672">
        <v>30873</v>
      </c>
      <c r="N6800" s="623">
        <v>2.3955794842731652</v>
      </c>
      <c r="O6800" s="624">
        <v>2.9992032000000005E-2</v>
      </c>
      <c r="P6800" s="397"/>
      <c r="Q6800" s="397"/>
      <c r="R6800" s="397"/>
      <c r="S6800" s="397"/>
      <c r="T6800" s="397"/>
      <c r="U6800" s="397"/>
      <c r="V6800" s="397"/>
      <c r="W6800" s="397"/>
      <c r="X6800" s="397"/>
      <c r="Y6800" s="397"/>
      <c r="Z6800" s="397"/>
      <c r="AC6800" s="410"/>
      <c r="AD6800" s="388">
        <v>7.1932800000000006</v>
      </c>
      <c r="AE6800" s="388">
        <v>0.31699200000000005</v>
      </c>
      <c r="AF6800" s="388">
        <v>2.385672</v>
      </c>
      <c r="AG6800" s="388">
        <v>0.85953599999999997</v>
      </c>
      <c r="AH6800" s="391"/>
      <c r="AI6800" s="397"/>
      <c r="AJ6800" s="397"/>
      <c r="AU6800" s="397"/>
      <c r="AV6800" s="397"/>
      <c r="AW6800" s="397"/>
      <c r="AX6800" s="397"/>
      <c r="BI6800" s="397"/>
      <c r="BJ6800" s="397"/>
      <c r="BK6800" s="397"/>
      <c r="BL6800" s="397"/>
      <c r="BM6800" s="397"/>
      <c r="BN6800" s="397"/>
      <c r="BO6800" s="397"/>
      <c r="BP6800" s="397"/>
      <c r="BQ6800" s="397"/>
      <c r="BR6800" s="397"/>
      <c r="BS6800" s="397"/>
      <c r="BT6800" s="397"/>
      <c r="BU6800" s="397"/>
      <c r="BV6800" s="397"/>
      <c r="BW6800" s="397"/>
      <c r="BX6800" s="397"/>
      <c r="BY6800" s="397"/>
      <c r="BZ6800" s="397"/>
      <c r="CA6800" s="392" t="s">
        <v>412</v>
      </c>
    </row>
    <row r="6801" spans="1:80" s="392" customFormat="1" ht="15" x14ac:dyDescent="0.25">
      <c r="A6801" s="385"/>
      <c r="B6801" s="385"/>
      <c r="C6801" s="385"/>
      <c r="D6801" s="700"/>
      <c r="E6801" s="386"/>
      <c r="F6801" s="385"/>
      <c r="G6801" s="400"/>
      <c r="H6801" s="402"/>
      <c r="I6801" s="402"/>
      <c r="J6801" s="402"/>
      <c r="K6801" s="402"/>
      <c r="L6801" s="674"/>
      <c r="M6801" s="672">
        <v>30881</v>
      </c>
      <c r="N6801" s="623">
        <v>1.0937942759988666</v>
      </c>
      <c r="O6801" s="624">
        <v>7.1124479999999986E-3</v>
      </c>
      <c r="P6801" s="397"/>
      <c r="Q6801" s="397"/>
      <c r="R6801" s="397"/>
      <c r="S6801" s="397"/>
      <c r="T6801" s="397"/>
      <c r="U6801" s="397"/>
      <c r="V6801" s="397"/>
      <c r="W6801" s="397"/>
      <c r="X6801" s="397"/>
      <c r="Y6801" s="397"/>
      <c r="Z6801" s="397"/>
      <c r="AC6801" s="410"/>
      <c r="AD6801" s="388">
        <v>6.9189600000000002</v>
      </c>
      <c r="AE6801" s="388">
        <v>0.23164800000000002</v>
      </c>
      <c r="AF6801" s="388">
        <v>1.7502359999999999</v>
      </c>
      <c r="AG6801" s="388">
        <v>0.51511200000000001</v>
      </c>
      <c r="AH6801" s="391"/>
      <c r="AI6801" s="397"/>
      <c r="AJ6801" s="397"/>
      <c r="AU6801" s="397"/>
      <c r="AV6801" s="397"/>
      <c r="AW6801" s="397"/>
      <c r="AX6801" s="397"/>
      <c r="BI6801" s="397"/>
      <c r="BJ6801" s="397"/>
      <c r="BK6801" s="397"/>
      <c r="BL6801" s="397"/>
      <c r="BM6801" s="397"/>
      <c r="BN6801" s="397"/>
      <c r="BO6801" s="397"/>
      <c r="BP6801" s="397"/>
      <c r="BQ6801" s="397"/>
      <c r="BR6801" s="397"/>
      <c r="BS6801" s="397"/>
      <c r="BT6801" s="397"/>
      <c r="BU6801" s="397"/>
      <c r="BV6801" s="397"/>
      <c r="BW6801" s="397"/>
      <c r="BX6801" s="397"/>
      <c r="BY6801" s="397"/>
      <c r="BZ6801" s="397"/>
      <c r="CA6801" s="392" t="s">
        <v>412</v>
      </c>
    </row>
    <row r="6802" spans="1:80" s="392" customFormat="1" ht="15" x14ac:dyDescent="0.25">
      <c r="A6802" s="385"/>
      <c r="B6802" s="385"/>
      <c r="C6802" s="385"/>
      <c r="D6802" s="700"/>
      <c r="E6802" s="386"/>
      <c r="F6802" s="385"/>
      <c r="G6802" s="400"/>
      <c r="H6802" s="402"/>
      <c r="I6802" s="402"/>
      <c r="J6802" s="402"/>
      <c r="K6802" s="402"/>
      <c r="L6802" s="674"/>
      <c r="M6802" s="672">
        <v>30888</v>
      </c>
      <c r="N6802" s="623">
        <v>1.2983848115613488</v>
      </c>
      <c r="O6802" s="624">
        <v>1.4161392000000002E-2</v>
      </c>
      <c r="P6802" s="397"/>
      <c r="Q6802" s="397"/>
      <c r="R6802" s="397"/>
      <c r="S6802" s="397"/>
      <c r="T6802" s="397"/>
      <c r="U6802" s="397"/>
      <c r="V6802" s="397"/>
      <c r="W6802" s="397"/>
      <c r="X6802" s="397"/>
      <c r="Y6802" s="397"/>
      <c r="Z6802" s="397"/>
      <c r="AC6802" s="410"/>
      <c r="AD6802" s="388">
        <v>6.8884800000000004</v>
      </c>
      <c r="AE6802" s="388">
        <v>0.24993599999999999</v>
      </c>
      <c r="AF6802" s="388">
        <v>1.8579999999999999</v>
      </c>
      <c r="AG6802" s="388">
        <v>0.58521599999999996</v>
      </c>
      <c r="AH6802" s="391"/>
      <c r="AI6802" s="397"/>
      <c r="AJ6802" s="397"/>
      <c r="AU6802" s="397"/>
      <c r="AV6802" s="397"/>
      <c r="AW6802" s="397"/>
      <c r="AX6802" s="397"/>
      <c r="BI6802" s="397"/>
      <c r="BJ6802" s="397"/>
      <c r="BK6802" s="397"/>
      <c r="BL6802" s="397"/>
      <c r="BM6802" s="397"/>
      <c r="BN6802" s="397"/>
      <c r="BO6802" s="397"/>
      <c r="BP6802" s="397"/>
      <c r="BQ6802" s="397"/>
      <c r="BR6802" s="397"/>
      <c r="BS6802" s="397"/>
      <c r="BT6802" s="397"/>
      <c r="BU6802" s="397"/>
      <c r="BV6802" s="397"/>
      <c r="BW6802" s="397"/>
      <c r="BX6802" s="397"/>
      <c r="BY6802" s="397"/>
      <c r="BZ6802" s="397"/>
      <c r="CA6802" s="392" t="s">
        <v>412</v>
      </c>
    </row>
    <row r="6803" spans="1:80" s="392" customFormat="1" ht="15" x14ac:dyDescent="0.25">
      <c r="A6803" s="385"/>
      <c r="B6803" s="385"/>
      <c r="C6803" s="385"/>
      <c r="D6803" s="700"/>
      <c r="E6803" s="386"/>
      <c r="F6803" s="385"/>
      <c r="G6803" s="400"/>
      <c r="H6803" s="402"/>
      <c r="I6803" s="402"/>
      <c r="J6803" s="402"/>
      <c r="K6803" s="402"/>
      <c r="L6803" s="674"/>
      <c r="M6803" s="672">
        <v>30896</v>
      </c>
      <c r="N6803" s="623">
        <v>1.3431567016151884</v>
      </c>
      <c r="O6803" s="624">
        <v>2.0230560000000005E-2</v>
      </c>
      <c r="P6803" s="397"/>
      <c r="Q6803" s="397"/>
      <c r="R6803" s="397"/>
      <c r="S6803" s="397"/>
      <c r="T6803" s="397"/>
      <c r="U6803" s="397"/>
      <c r="V6803" s="397"/>
      <c r="W6803" s="397"/>
      <c r="X6803" s="397"/>
      <c r="Y6803" s="397"/>
      <c r="Z6803" s="397"/>
      <c r="AC6803" s="410"/>
      <c r="AD6803" s="388">
        <v>6.8884800000000004</v>
      </c>
      <c r="AE6803" s="388">
        <v>0.23164800000000002</v>
      </c>
      <c r="AF6803" s="388">
        <v>1.7474489999999998</v>
      </c>
      <c r="AG6803" s="388">
        <v>0.63703200000000004</v>
      </c>
      <c r="AH6803" s="391"/>
      <c r="AI6803" s="397"/>
      <c r="AJ6803" s="397"/>
      <c r="AU6803" s="397"/>
      <c r="AV6803" s="397"/>
      <c r="AW6803" s="397"/>
      <c r="AX6803" s="397"/>
      <c r="BI6803" s="397"/>
      <c r="BJ6803" s="397"/>
      <c r="BK6803" s="397"/>
      <c r="BL6803" s="397"/>
      <c r="BM6803" s="397"/>
      <c r="BN6803" s="397"/>
      <c r="BO6803" s="397"/>
      <c r="BP6803" s="397"/>
      <c r="BQ6803" s="397"/>
      <c r="BR6803" s="397"/>
      <c r="BS6803" s="397"/>
      <c r="BT6803" s="397"/>
      <c r="BU6803" s="397"/>
      <c r="BV6803" s="397"/>
      <c r="BW6803" s="397"/>
      <c r="BX6803" s="397"/>
      <c r="BY6803" s="397"/>
      <c r="BZ6803" s="397"/>
      <c r="CA6803" s="392" t="s">
        <v>412</v>
      </c>
    </row>
    <row r="6804" spans="1:80" s="392" customFormat="1" ht="15" x14ac:dyDescent="0.25">
      <c r="A6804" s="385"/>
      <c r="B6804" s="385"/>
      <c r="C6804" s="385"/>
      <c r="D6804" s="700"/>
      <c r="E6804" s="386"/>
      <c r="F6804" s="385"/>
      <c r="G6804" s="400"/>
      <c r="H6804" s="402"/>
      <c r="I6804" s="402"/>
      <c r="J6804" s="402"/>
      <c r="K6804" s="402"/>
      <c r="L6804" s="674"/>
      <c r="M6804" s="672">
        <v>30914</v>
      </c>
      <c r="N6804" s="623">
        <v>1.3802776990648911</v>
      </c>
      <c r="O6804" s="624">
        <v>3.2514047999999997E-2</v>
      </c>
      <c r="P6804" s="397"/>
      <c r="Q6804" s="397"/>
      <c r="R6804" s="397"/>
      <c r="S6804" s="397"/>
      <c r="T6804" s="397"/>
      <c r="U6804" s="397"/>
      <c r="V6804" s="397"/>
      <c r="W6804" s="397"/>
      <c r="X6804" s="397"/>
      <c r="Y6804" s="397"/>
      <c r="Z6804" s="397"/>
      <c r="AC6804" s="410"/>
      <c r="AD6804" s="388">
        <v>6.9494400000000009</v>
      </c>
      <c r="AE6804" s="388">
        <v>0.24384000000000003</v>
      </c>
      <c r="AF6804" s="388">
        <v>1.733514</v>
      </c>
      <c r="AG6804" s="388">
        <v>0.71323199999999998</v>
      </c>
      <c r="AH6804" s="391"/>
      <c r="AI6804" s="397"/>
      <c r="AJ6804" s="397"/>
      <c r="AU6804" s="397"/>
      <c r="AV6804" s="397"/>
      <c r="AW6804" s="397"/>
      <c r="AX6804" s="397"/>
      <c r="BI6804" s="397"/>
      <c r="BJ6804" s="397"/>
      <c r="BK6804" s="397"/>
      <c r="BL6804" s="397"/>
      <c r="BM6804" s="397"/>
      <c r="BN6804" s="397"/>
      <c r="BO6804" s="397"/>
      <c r="BP6804" s="397"/>
      <c r="BQ6804" s="397"/>
      <c r="BR6804" s="397"/>
      <c r="BS6804" s="397"/>
      <c r="BT6804" s="397"/>
      <c r="BU6804" s="397"/>
      <c r="BV6804" s="397"/>
      <c r="BW6804" s="397"/>
      <c r="BX6804" s="397"/>
      <c r="BY6804" s="397"/>
      <c r="BZ6804" s="397"/>
      <c r="CA6804" s="392" t="s">
        <v>412</v>
      </c>
    </row>
    <row r="6805" spans="1:80" s="392" customFormat="1" ht="15" x14ac:dyDescent="0.25">
      <c r="A6805" s="385"/>
      <c r="B6805" s="385"/>
      <c r="C6805" s="385"/>
      <c r="D6805" s="700"/>
      <c r="E6805" s="386"/>
      <c r="F6805" s="385"/>
      <c r="G6805" s="400"/>
      <c r="H6805" s="402"/>
      <c r="I6805" s="402"/>
      <c r="J6805" s="402"/>
      <c r="K6805" s="402"/>
      <c r="L6805" s="674"/>
      <c r="M6805" s="672">
        <v>30944</v>
      </c>
      <c r="N6805" s="623">
        <v>0.47463870784924911</v>
      </c>
      <c r="O6805" s="624">
        <v>0</v>
      </c>
      <c r="P6805" s="397"/>
      <c r="Q6805" s="397"/>
      <c r="R6805" s="397"/>
      <c r="S6805" s="397"/>
      <c r="T6805" s="397"/>
      <c r="U6805" s="397"/>
      <c r="V6805" s="397"/>
      <c r="W6805" s="397"/>
      <c r="X6805" s="397"/>
      <c r="Y6805" s="397"/>
      <c r="Z6805" s="397"/>
      <c r="AC6805" s="410"/>
      <c r="AD6805" s="388">
        <v>6.6751199999999997</v>
      </c>
      <c r="AE6805" s="388">
        <v>0.14935200000000001</v>
      </c>
      <c r="AF6805" s="388">
        <v>0.96894699999999989</v>
      </c>
      <c r="AG6805" s="388">
        <v>0.44196000000000002</v>
      </c>
      <c r="AH6805" s="391"/>
      <c r="AI6805" s="397"/>
      <c r="AJ6805" s="397"/>
      <c r="AU6805" s="397"/>
      <c r="AV6805" s="397"/>
      <c r="AW6805" s="397"/>
      <c r="AX6805" s="397"/>
      <c r="BI6805" s="397"/>
      <c r="BJ6805" s="397"/>
      <c r="BK6805" s="397"/>
      <c r="BL6805" s="397"/>
      <c r="BM6805" s="397"/>
      <c r="BN6805" s="397"/>
      <c r="BO6805" s="397"/>
      <c r="BP6805" s="397"/>
      <c r="BQ6805" s="397"/>
      <c r="BR6805" s="397"/>
      <c r="BS6805" s="397"/>
      <c r="BT6805" s="397"/>
      <c r="BU6805" s="397"/>
      <c r="BV6805" s="397"/>
      <c r="BW6805" s="397"/>
      <c r="BX6805" s="397"/>
      <c r="BY6805" s="397"/>
      <c r="BZ6805" s="397"/>
      <c r="CA6805" s="392" t="s">
        <v>412</v>
      </c>
    </row>
    <row r="6806" spans="1:80" s="189" customFormat="1" ht="15" x14ac:dyDescent="0.25">
      <c r="A6806" s="381" t="s">
        <v>441</v>
      </c>
      <c r="B6806" s="641" t="s">
        <v>34</v>
      </c>
      <c r="C6806" s="639"/>
      <c r="D6806" s="4">
        <f>VLOOKUP(E6806,'Quality Code'!$D$4:$E$24,2,TRUE)*VLOOKUP(MROUND(F6806,10),'Quality Code'!$D$28:$E$69,2,TRUE)*VLOOKUP(COUNTA(CB6806:CB6816),'Quality Code'!$D$73:$E$93,2,TRUE)</f>
        <v>0.1</v>
      </c>
      <c r="E6806" s="14">
        <v>0.4</v>
      </c>
      <c r="F6806" s="2">
        <v>13</v>
      </c>
      <c r="G6806" s="12"/>
      <c r="H6806" s="2" t="s">
        <v>105</v>
      </c>
      <c r="I6806" s="2"/>
      <c r="J6806" s="2"/>
      <c r="K6806" s="2"/>
      <c r="L6806" s="639"/>
      <c r="M6806" s="640">
        <v>1984</v>
      </c>
      <c r="N6806" s="578" t="s">
        <v>110</v>
      </c>
      <c r="O6806" s="578"/>
      <c r="P6806" s="26"/>
      <c r="Q6806" s="26"/>
      <c r="R6806" s="26"/>
      <c r="S6806" s="26"/>
      <c r="T6806" s="26"/>
      <c r="U6806" s="26"/>
      <c r="V6806" s="10"/>
      <c r="W6806" s="10"/>
      <c r="X6806" s="10"/>
      <c r="Y6806" s="10"/>
      <c r="Z6806" s="2"/>
      <c r="AA6806" s="26"/>
      <c r="AB6806" s="26"/>
      <c r="AC6806" s="377">
        <v>1.6E-2</v>
      </c>
      <c r="AD6806" s="406"/>
      <c r="AE6806" s="26"/>
      <c r="AF6806" s="26"/>
      <c r="AG6806" s="26"/>
      <c r="AH6806" s="26"/>
      <c r="AI6806" s="4"/>
      <c r="AJ6806" s="378"/>
      <c r="AK6806" s="376"/>
      <c r="AL6806" s="376"/>
      <c r="AM6806" s="376"/>
      <c r="AN6806" s="376"/>
      <c r="AO6806" s="376"/>
      <c r="AP6806" s="376"/>
      <c r="AQ6806" s="376"/>
      <c r="AR6806" s="376"/>
      <c r="AS6806" s="376"/>
      <c r="AT6806" s="376"/>
      <c r="AU6806" s="378"/>
      <c r="AV6806" s="378"/>
      <c r="AW6806" s="378"/>
      <c r="AX6806" s="378"/>
      <c r="AY6806" s="379"/>
      <c r="AZ6806" s="379"/>
      <c r="BA6806" s="380"/>
      <c r="BB6806" s="380"/>
      <c r="BC6806" s="380"/>
      <c r="BD6806" s="380"/>
      <c r="BE6806" s="380"/>
      <c r="BF6806" s="380"/>
      <c r="BG6806" s="380"/>
      <c r="BH6806" s="380"/>
      <c r="BI6806" s="4"/>
      <c r="BJ6806" s="12"/>
      <c r="BK6806" s="2"/>
      <c r="BL6806" s="2"/>
      <c r="BM6806" s="4"/>
      <c r="BN6806" s="12"/>
      <c r="BO6806" s="12"/>
      <c r="BP6806" s="12"/>
      <c r="BQ6806" s="4"/>
      <c r="BR6806" s="4"/>
      <c r="BS6806" s="4"/>
      <c r="BT6806" s="2"/>
      <c r="BU6806" s="9"/>
      <c r="BV6806" s="381"/>
      <c r="BW6806" s="382"/>
      <c r="BX6806" s="383"/>
      <c r="BY6806" s="383" t="s">
        <v>440</v>
      </c>
      <c r="BZ6806" s="383"/>
      <c r="CA6806" s="384" t="s">
        <v>412</v>
      </c>
      <c r="CB6806" s="411"/>
    </row>
    <row r="6807" spans="1:80" s="392" customFormat="1" ht="15" x14ac:dyDescent="0.25">
      <c r="A6807" s="385"/>
      <c r="B6807" s="385"/>
      <c r="C6807" s="385"/>
      <c r="D6807" s="700"/>
      <c r="E6807" s="386"/>
      <c r="F6807" s="385"/>
      <c r="G6807" s="400"/>
      <c r="H6807" s="402"/>
      <c r="I6807" s="402"/>
      <c r="J6807" s="402"/>
      <c r="K6807" s="402"/>
      <c r="L6807" s="674"/>
      <c r="M6807" s="672">
        <v>30812</v>
      </c>
      <c r="N6807" s="623">
        <v>9.2660810427883253E-2</v>
      </c>
      <c r="O6807" s="624">
        <v>1.3668480000000004E-4</v>
      </c>
      <c r="P6807" s="397"/>
      <c r="Q6807" s="397"/>
      <c r="R6807" s="397"/>
      <c r="S6807" s="397"/>
      <c r="T6807" s="397"/>
      <c r="U6807" s="397"/>
      <c r="V6807" s="397"/>
      <c r="W6807" s="397"/>
      <c r="X6807" s="397"/>
      <c r="Y6807" s="397"/>
      <c r="Z6807" s="397"/>
      <c r="AD6807" s="388">
        <v>3.5356800000000002</v>
      </c>
      <c r="AE6807" s="388">
        <v>0.10058400000000001</v>
      </c>
      <c r="AF6807" s="388">
        <v>0.36230999999999997</v>
      </c>
      <c r="AG6807" s="388">
        <v>0.20726400000000003</v>
      </c>
      <c r="AH6807" s="391"/>
      <c r="AI6807" s="397"/>
      <c r="AJ6807" s="397"/>
      <c r="AU6807" s="397"/>
      <c r="AV6807" s="397"/>
      <c r="AW6807" s="397"/>
      <c r="AX6807" s="397"/>
      <c r="BI6807" s="397"/>
      <c r="BJ6807" s="397"/>
      <c r="BK6807" s="397"/>
      <c r="BL6807" s="397"/>
      <c r="BM6807" s="397"/>
      <c r="BN6807" s="397"/>
      <c r="BO6807" s="397"/>
      <c r="BP6807" s="397"/>
      <c r="BQ6807" s="397"/>
      <c r="BR6807" s="397"/>
      <c r="BS6807" s="397"/>
      <c r="BT6807" s="397"/>
      <c r="BU6807" s="397"/>
      <c r="BV6807" s="397"/>
      <c r="BW6807" s="397"/>
      <c r="BX6807" s="397"/>
      <c r="BY6807" s="397"/>
      <c r="BZ6807" s="397"/>
      <c r="CA6807" s="392" t="s">
        <v>412</v>
      </c>
    </row>
    <row r="6808" spans="1:80" s="392" customFormat="1" ht="15" x14ac:dyDescent="0.25">
      <c r="A6808" s="385"/>
      <c r="B6808" s="385"/>
      <c r="C6808" s="385"/>
      <c r="D6808" s="700"/>
      <c r="E6808" s="386"/>
      <c r="F6808" s="385"/>
      <c r="G6808" s="400"/>
      <c r="H6808" s="402"/>
      <c r="I6808" s="402"/>
      <c r="J6808" s="402"/>
      <c r="K6808" s="402"/>
      <c r="L6808" s="674"/>
      <c r="M6808" s="672">
        <v>30818</v>
      </c>
      <c r="N6808" s="623">
        <v>0.41569849815811843</v>
      </c>
      <c r="O6808" s="624">
        <v>9.2262240000000034E-3</v>
      </c>
      <c r="P6808" s="397"/>
      <c r="Q6808" s="397"/>
      <c r="R6808" s="397"/>
      <c r="S6808" s="397"/>
      <c r="T6808" s="397"/>
      <c r="U6808" s="397"/>
      <c r="V6808" s="397"/>
      <c r="W6808" s="397"/>
      <c r="X6808" s="397"/>
      <c r="Y6808" s="397"/>
      <c r="Z6808" s="397"/>
      <c r="AD6808" s="388">
        <v>3.6271200000000001</v>
      </c>
      <c r="AE6808" s="388">
        <v>0.18592800000000001</v>
      </c>
      <c r="AF6808" s="388">
        <v>0.713472</v>
      </c>
      <c r="AG6808" s="388">
        <v>0.49377600000000005</v>
      </c>
      <c r="AH6808" s="391"/>
      <c r="AI6808" s="397"/>
      <c r="AJ6808" s="397"/>
      <c r="AU6808" s="397"/>
      <c r="AV6808" s="397"/>
      <c r="AW6808" s="397"/>
      <c r="AX6808" s="397"/>
      <c r="BI6808" s="397"/>
      <c r="BJ6808" s="397"/>
      <c r="BK6808" s="397"/>
      <c r="BL6808" s="397"/>
      <c r="BM6808" s="397"/>
      <c r="BN6808" s="397"/>
      <c r="BO6808" s="397"/>
      <c r="BP6808" s="397"/>
      <c r="BQ6808" s="397"/>
      <c r="BR6808" s="397"/>
      <c r="BS6808" s="397"/>
      <c r="BT6808" s="397"/>
      <c r="BU6808" s="397"/>
      <c r="BV6808" s="397"/>
      <c r="BW6808" s="397"/>
      <c r="BX6808" s="397"/>
      <c r="BY6808" s="397"/>
      <c r="BZ6808" s="397"/>
      <c r="CA6808" s="392" t="s">
        <v>412</v>
      </c>
    </row>
    <row r="6809" spans="1:80" s="392" customFormat="1" ht="15" x14ac:dyDescent="0.25">
      <c r="A6809" s="385"/>
      <c r="B6809" s="385"/>
      <c r="C6809" s="385"/>
      <c r="D6809" s="700"/>
      <c r="E6809" s="386"/>
      <c r="F6809" s="385"/>
      <c r="G6809" s="400"/>
      <c r="H6809" s="402"/>
      <c r="I6809" s="402"/>
      <c r="J6809" s="402"/>
      <c r="K6809" s="402"/>
      <c r="L6809" s="674"/>
      <c r="M6809" s="672">
        <v>30828</v>
      </c>
      <c r="N6809" s="623">
        <v>1.1569849815811843</v>
      </c>
      <c r="O6809" s="624">
        <v>9.7251839999999996E-3</v>
      </c>
      <c r="P6809" s="397"/>
      <c r="Q6809" s="397"/>
      <c r="R6809" s="397"/>
      <c r="S6809" s="397"/>
      <c r="T6809" s="397"/>
      <c r="U6809" s="397"/>
      <c r="V6809" s="397"/>
      <c r="W6809" s="397"/>
      <c r="X6809" s="397"/>
      <c r="Y6809" s="397"/>
      <c r="Z6809" s="397"/>
      <c r="AD6809" s="388">
        <v>4.1147999999999998</v>
      </c>
      <c r="AE6809" s="388">
        <v>0.313944</v>
      </c>
      <c r="AF6809" s="388">
        <v>1.352624</v>
      </c>
      <c r="AG6809" s="388">
        <v>0.71932799999999997</v>
      </c>
      <c r="AH6809" s="391"/>
      <c r="AI6809" s="397"/>
      <c r="AJ6809" s="397"/>
      <c r="AU6809" s="397"/>
      <c r="AV6809" s="397"/>
      <c r="AW6809" s="397"/>
      <c r="AX6809" s="397"/>
      <c r="BI6809" s="397"/>
      <c r="BJ6809" s="397"/>
      <c r="BK6809" s="397"/>
      <c r="BL6809" s="397"/>
      <c r="BM6809" s="397"/>
      <c r="BN6809" s="397"/>
      <c r="BO6809" s="397"/>
      <c r="BP6809" s="397"/>
      <c r="BQ6809" s="397"/>
      <c r="BR6809" s="397"/>
      <c r="BS6809" s="397"/>
      <c r="BT6809" s="397"/>
      <c r="BU6809" s="397"/>
      <c r="BV6809" s="397"/>
      <c r="BW6809" s="397"/>
      <c r="BX6809" s="397"/>
      <c r="BY6809" s="397"/>
      <c r="BZ6809" s="397"/>
      <c r="CA6809" s="392" t="s">
        <v>412</v>
      </c>
    </row>
    <row r="6810" spans="1:80" s="392" customFormat="1" ht="15" x14ac:dyDescent="0.25">
      <c r="A6810" s="385"/>
      <c r="B6810" s="385"/>
      <c r="C6810" s="385"/>
      <c r="D6810" s="700"/>
      <c r="E6810" s="386"/>
      <c r="F6810" s="385"/>
      <c r="G6810" s="400"/>
      <c r="H6810" s="402"/>
      <c r="I6810" s="402"/>
      <c r="J6810" s="402"/>
      <c r="K6810" s="402"/>
      <c r="L6810" s="674"/>
      <c r="M6810" s="672">
        <v>30840</v>
      </c>
      <c r="N6810" s="623">
        <v>0.77018985548313967</v>
      </c>
      <c r="O6810" s="624">
        <v>4.0068000000000005E-3</v>
      </c>
      <c r="P6810" s="397"/>
      <c r="Q6810" s="397"/>
      <c r="R6810" s="397"/>
      <c r="S6810" s="397"/>
      <c r="T6810" s="397"/>
      <c r="U6810" s="397"/>
      <c r="V6810" s="397"/>
      <c r="W6810" s="397"/>
      <c r="X6810" s="397"/>
      <c r="Y6810" s="397"/>
      <c r="Z6810" s="397"/>
      <c r="AD6810" s="388">
        <v>4.1147999999999998</v>
      </c>
      <c r="AE6810" s="388">
        <v>0.24688800000000002</v>
      </c>
      <c r="AF6810" s="388">
        <v>1.022829</v>
      </c>
      <c r="AG6810" s="388">
        <v>0.65836800000000006</v>
      </c>
      <c r="AH6810" s="391"/>
      <c r="AI6810" s="397"/>
      <c r="AJ6810" s="397"/>
      <c r="AU6810" s="397"/>
      <c r="AV6810" s="397"/>
      <c r="AW6810" s="397"/>
      <c r="AX6810" s="397"/>
      <c r="BI6810" s="397"/>
      <c r="BJ6810" s="397"/>
      <c r="BK6810" s="397"/>
      <c r="BL6810" s="397"/>
      <c r="BM6810" s="397"/>
      <c r="BN6810" s="397"/>
      <c r="BO6810" s="397"/>
      <c r="BP6810" s="397"/>
      <c r="BQ6810" s="397"/>
      <c r="BR6810" s="397"/>
      <c r="BS6810" s="397"/>
      <c r="BT6810" s="397"/>
      <c r="BU6810" s="397"/>
      <c r="BV6810" s="397"/>
      <c r="BW6810" s="397"/>
      <c r="BX6810" s="397"/>
      <c r="BY6810" s="397"/>
      <c r="BZ6810" s="397"/>
      <c r="CA6810" s="392" t="s">
        <v>412</v>
      </c>
    </row>
    <row r="6811" spans="1:80" s="392" customFormat="1" ht="15" x14ac:dyDescent="0.25">
      <c r="A6811" s="385"/>
      <c r="B6811" s="385"/>
      <c r="C6811" s="385"/>
      <c r="D6811" s="700"/>
      <c r="E6811" s="386"/>
      <c r="F6811" s="385"/>
      <c r="G6811" s="400"/>
      <c r="H6811" s="402"/>
      <c r="I6811" s="402"/>
      <c r="J6811" s="402"/>
      <c r="K6811" s="402"/>
      <c r="L6811" s="674"/>
      <c r="M6811" s="672">
        <v>30846</v>
      </c>
      <c r="N6811" s="623">
        <v>0.60810427883253049</v>
      </c>
      <c r="O6811" s="624">
        <v>4.1413680000000003E-3</v>
      </c>
      <c r="P6811" s="397"/>
      <c r="Q6811" s="397"/>
      <c r="R6811" s="397"/>
      <c r="S6811" s="397"/>
      <c r="T6811" s="397"/>
      <c r="U6811" s="397"/>
      <c r="V6811" s="397"/>
      <c r="W6811" s="397"/>
      <c r="X6811" s="397"/>
      <c r="Y6811" s="397"/>
      <c r="Z6811" s="397"/>
      <c r="AD6811" s="388">
        <v>3.9319200000000003</v>
      </c>
      <c r="AE6811" s="388">
        <v>0.21945600000000001</v>
      </c>
      <c r="AF6811" s="388">
        <v>0.89927199999999996</v>
      </c>
      <c r="AG6811" s="388">
        <v>0.57607200000000003</v>
      </c>
      <c r="AH6811" s="391"/>
      <c r="AI6811" s="397"/>
      <c r="AJ6811" s="397"/>
      <c r="AU6811" s="397"/>
      <c r="AV6811" s="397"/>
      <c r="AW6811" s="397"/>
      <c r="AX6811" s="397"/>
      <c r="BI6811" s="397"/>
      <c r="BJ6811" s="397"/>
      <c r="BK6811" s="397"/>
      <c r="BL6811" s="397"/>
      <c r="BM6811" s="397"/>
      <c r="BN6811" s="397"/>
      <c r="BO6811" s="397"/>
      <c r="BP6811" s="397"/>
      <c r="BQ6811" s="397"/>
      <c r="BR6811" s="397"/>
      <c r="BS6811" s="397"/>
      <c r="BT6811" s="397"/>
      <c r="BU6811" s="397"/>
      <c r="BV6811" s="397"/>
      <c r="BW6811" s="397"/>
      <c r="BX6811" s="397"/>
      <c r="BY6811" s="397"/>
      <c r="BZ6811" s="397"/>
      <c r="CA6811" s="392" t="s">
        <v>412</v>
      </c>
    </row>
    <row r="6812" spans="1:80" s="392" customFormat="1" ht="15" x14ac:dyDescent="0.25">
      <c r="A6812" s="385"/>
      <c r="B6812" s="385"/>
      <c r="C6812" s="385"/>
      <c r="D6812" s="700"/>
      <c r="E6812" s="386"/>
      <c r="F6812" s="385"/>
      <c r="G6812" s="400"/>
      <c r="H6812" s="402"/>
      <c r="I6812" s="402"/>
      <c r="J6812" s="402"/>
      <c r="K6812" s="402"/>
      <c r="L6812" s="674"/>
      <c r="M6812" s="672">
        <v>30854</v>
      </c>
      <c r="N6812" s="623">
        <v>1.0784924907905924</v>
      </c>
      <c r="O6812" s="624">
        <v>1.5966720000000002E-3</v>
      </c>
      <c r="P6812" s="397"/>
      <c r="Q6812" s="397"/>
      <c r="R6812" s="397"/>
      <c r="S6812" s="397"/>
      <c r="T6812" s="397"/>
      <c r="U6812" s="397"/>
      <c r="V6812" s="397"/>
      <c r="W6812" s="397"/>
      <c r="X6812" s="397"/>
      <c r="Y6812" s="397"/>
      <c r="Z6812" s="397"/>
      <c r="AD6812" s="388">
        <v>4.08432</v>
      </c>
      <c r="AE6812" s="388">
        <v>0.32918400000000003</v>
      </c>
      <c r="AF6812" s="388">
        <v>1.3572689999999998</v>
      </c>
      <c r="AG6812" s="388">
        <v>0.70713599999999999</v>
      </c>
      <c r="AH6812" s="391"/>
      <c r="AI6812" s="397"/>
      <c r="AJ6812" s="397"/>
      <c r="AU6812" s="397"/>
      <c r="AV6812" s="397"/>
      <c r="AW6812" s="397"/>
      <c r="AX6812" s="397"/>
      <c r="BI6812" s="397"/>
      <c r="BJ6812" s="397"/>
      <c r="BK6812" s="397"/>
      <c r="BL6812" s="397"/>
      <c r="BM6812" s="397"/>
      <c r="BN6812" s="397"/>
      <c r="BO6812" s="397"/>
      <c r="BP6812" s="397"/>
      <c r="BQ6812" s="397"/>
      <c r="BR6812" s="397"/>
      <c r="BS6812" s="397"/>
      <c r="BT6812" s="397"/>
      <c r="BU6812" s="397"/>
      <c r="BV6812" s="397"/>
      <c r="BW6812" s="397"/>
      <c r="BX6812" s="397"/>
      <c r="BY6812" s="397"/>
      <c r="BZ6812" s="397"/>
      <c r="CA6812" s="392" t="s">
        <v>412</v>
      </c>
    </row>
    <row r="6813" spans="1:80" s="392" customFormat="1" ht="15" x14ac:dyDescent="0.25">
      <c r="A6813" s="385"/>
      <c r="B6813" s="385"/>
      <c r="C6813" s="385"/>
      <c r="D6813" s="700"/>
      <c r="E6813" s="386"/>
      <c r="F6813" s="385"/>
      <c r="G6813" s="400"/>
      <c r="H6813" s="402"/>
      <c r="I6813" s="402"/>
      <c r="J6813" s="402"/>
      <c r="K6813" s="402"/>
      <c r="L6813" s="674"/>
      <c r="M6813" s="672">
        <v>30861</v>
      </c>
      <c r="N6813" s="623">
        <v>1.0518560498724852</v>
      </c>
      <c r="O6813" s="624">
        <v>5.1695280000000014E-3</v>
      </c>
      <c r="P6813" s="397"/>
      <c r="Q6813" s="397"/>
      <c r="R6813" s="397"/>
      <c r="S6813" s="397"/>
      <c r="T6813" s="397"/>
      <c r="U6813" s="397"/>
      <c r="V6813" s="397"/>
      <c r="W6813" s="397"/>
      <c r="X6813" s="397"/>
      <c r="Y6813" s="397"/>
      <c r="Z6813" s="397"/>
      <c r="AD6813" s="388">
        <v>4.0233600000000003</v>
      </c>
      <c r="AE6813" s="388">
        <v>0.32613600000000004</v>
      </c>
      <c r="AF6813" s="388">
        <v>1.320109</v>
      </c>
      <c r="AG6813" s="388">
        <v>0.67970399999999997</v>
      </c>
      <c r="AH6813" s="391"/>
      <c r="AI6813" s="397"/>
      <c r="AJ6813" s="397"/>
      <c r="AU6813" s="397"/>
      <c r="AV6813" s="397"/>
      <c r="AW6813" s="397"/>
      <c r="AX6813" s="397"/>
      <c r="BI6813" s="397"/>
      <c r="BJ6813" s="397"/>
      <c r="BK6813" s="397"/>
      <c r="BL6813" s="397"/>
      <c r="BM6813" s="397"/>
      <c r="BN6813" s="397"/>
      <c r="BO6813" s="397"/>
      <c r="BP6813" s="397"/>
      <c r="BQ6813" s="397"/>
      <c r="BR6813" s="397"/>
      <c r="BS6813" s="397"/>
      <c r="BT6813" s="397"/>
      <c r="BU6813" s="397"/>
      <c r="BV6813" s="397"/>
      <c r="BW6813" s="397"/>
      <c r="BX6813" s="397"/>
      <c r="BY6813" s="397"/>
      <c r="BZ6813" s="397"/>
      <c r="CA6813" s="392" t="s">
        <v>412</v>
      </c>
    </row>
    <row r="6814" spans="1:80" s="392" customFormat="1" ht="15" x14ac:dyDescent="0.25">
      <c r="A6814" s="385"/>
      <c r="B6814" s="385"/>
      <c r="C6814" s="385"/>
      <c r="D6814" s="700"/>
      <c r="E6814" s="386"/>
      <c r="F6814" s="385"/>
      <c r="G6814" s="400"/>
      <c r="H6814" s="402"/>
      <c r="I6814" s="402"/>
      <c r="J6814" s="402"/>
      <c r="K6814" s="402"/>
      <c r="L6814" s="674"/>
      <c r="M6814" s="672">
        <v>30873</v>
      </c>
      <c r="N6814" s="623">
        <v>1.2431283649759137</v>
      </c>
      <c r="O6814" s="624">
        <v>5.9648400000000008E-3</v>
      </c>
      <c r="P6814" s="397"/>
      <c r="Q6814" s="397"/>
      <c r="R6814" s="397"/>
      <c r="S6814" s="397"/>
      <c r="T6814" s="397"/>
      <c r="U6814" s="397"/>
      <c r="V6814" s="397"/>
      <c r="W6814" s="397"/>
      <c r="X6814" s="397"/>
      <c r="Y6814" s="397"/>
      <c r="Z6814" s="397"/>
      <c r="AD6814" s="388">
        <v>4.0538400000000001</v>
      </c>
      <c r="AE6814" s="388">
        <v>0.34137600000000007</v>
      </c>
      <c r="AF6814" s="388">
        <v>1.4037189999999999</v>
      </c>
      <c r="AG6814" s="388">
        <v>0.78028800000000009</v>
      </c>
      <c r="AH6814" s="391"/>
      <c r="AI6814" s="397"/>
      <c r="AJ6814" s="397"/>
      <c r="AU6814" s="397"/>
      <c r="AV6814" s="397"/>
      <c r="AW6814" s="397"/>
      <c r="AX6814" s="397"/>
      <c r="BI6814" s="397"/>
      <c r="BJ6814" s="397"/>
      <c r="BK6814" s="397"/>
      <c r="BL6814" s="397"/>
      <c r="BM6814" s="397"/>
      <c r="BN6814" s="397"/>
      <c r="BO6814" s="397"/>
      <c r="BP6814" s="397"/>
      <c r="BQ6814" s="397"/>
      <c r="BR6814" s="397"/>
      <c r="BS6814" s="397"/>
      <c r="BT6814" s="397"/>
      <c r="BU6814" s="397"/>
      <c r="BV6814" s="397"/>
      <c r="BW6814" s="397"/>
      <c r="BX6814" s="397"/>
      <c r="BY6814" s="397"/>
      <c r="BZ6814" s="397"/>
      <c r="CA6814" s="392" t="s">
        <v>412</v>
      </c>
    </row>
    <row r="6815" spans="1:80" s="392" customFormat="1" ht="15" x14ac:dyDescent="0.25">
      <c r="A6815" s="385"/>
      <c r="B6815" s="385"/>
      <c r="C6815" s="385"/>
      <c r="D6815" s="700"/>
      <c r="E6815" s="386"/>
      <c r="F6815" s="385"/>
      <c r="G6815" s="400"/>
      <c r="H6815" s="402"/>
      <c r="I6815" s="402"/>
      <c r="J6815" s="402"/>
      <c r="K6815" s="402"/>
      <c r="L6815" s="674"/>
      <c r="M6815" s="672">
        <v>30881</v>
      </c>
      <c r="N6815" s="623">
        <v>0.55681496174553691</v>
      </c>
      <c r="O6815" s="624">
        <v>1.7962559999999998E-3</v>
      </c>
      <c r="P6815" s="397"/>
      <c r="Q6815" s="397"/>
      <c r="R6815" s="397"/>
      <c r="S6815" s="397"/>
      <c r="T6815" s="397"/>
      <c r="U6815" s="397"/>
      <c r="V6815" s="397"/>
      <c r="W6815" s="397"/>
      <c r="X6815" s="397"/>
      <c r="Y6815" s="397"/>
      <c r="Z6815" s="397"/>
      <c r="AD6815" s="388">
        <v>4.08432</v>
      </c>
      <c r="AE6815" s="388">
        <v>0.21335999999999999</v>
      </c>
      <c r="AF6815" s="388">
        <v>0.89648499999999998</v>
      </c>
      <c r="AG6815" s="388">
        <v>0.53035200000000005</v>
      </c>
      <c r="AH6815" s="391"/>
      <c r="AI6815" s="397"/>
      <c r="AJ6815" s="397"/>
      <c r="AU6815" s="397"/>
      <c r="AV6815" s="397"/>
      <c r="AW6815" s="397"/>
      <c r="AX6815" s="397"/>
      <c r="BI6815" s="397"/>
      <c r="BJ6815" s="397"/>
      <c r="BK6815" s="397"/>
      <c r="BL6815" s="397"/>
      <c r="BM6815" s="397"/>
      <c r="BN6815" s="397"/>
      <c r="BO6815" s="397"/>
      <c r="BP6815" s="397"/>
      <c r="BQ6815" s="397"/>
      <c r="BR6815" s="397"/>
      <c r="BS6815" s="397"/>
      <c r="BT6815" s="397"/>
      <c r="BU6815" s="397"/>
      <c r="BV6815" s="397"/>
      <c r="BW6815" s="397"/>
      <c r="BX6815" s="397"/>
      <c r="BY6815" s="397"/>
      <c r="BZ6815" s="397"/>
      <c r="CA6815" s="392" t="s">
        <v>412</v>
      </c>
    </row>
    <row r="6816" spans="1:80" s="392" customFormat="1" ht="15" x14ac:dyDescent="0.25">
      <c r="A6816" s="385"/>
      <c r="B6816" s="385"/>
      <c r="C6816" s="385"/>
      <c r="D6816" s="700"/>
      <c r="E6816" s="386"/>
      <c r="F6816" s="385"/>
      <c r="G6816" s="400"/>
      <c r="H6816" s="402"/>
      <c r="I6816" s="402"/>
      <c r="J6816" s="402"/>
      <c r="K6816" s="402"/>
      <c r="L6816" s="674"/>
      <c r="M6816" s="672">
        <v>30888</v>
      </c>
      <c r="N6816" s="623">
        <v>1.3754604703882121</v>
      </c>
      <c r="O6816" s="624">
        <v>2.0434680000000004E-2</v>
      </c>
      <c r="P6816" s="397"/>
      <c r="Q6816" s="397"/>
      <c r="R6816" s="397"/>
      <c r="S6816" s="397"/>
      <c r="T6816" s="397"/>
      <c r="U6816" s="397"/>
      <c r="V6816" s="397"/>
      <c r="W6816" s="397"/>
      <c r="X6816" s="397"/>
      <c r="Y6816" s="397"/>
      <c r="Z6816" s="397"/>
      <c r="AD6816" s="388">
        <v>4.1147999999999998</v>
      </c>
      <c r="AE6816" s="388">
        <v>0.347472</v>
      </c>
      <c r="AF6816" s="388">
        <v>1.4817549999999999</v>
      </c>
      <c r="AG6816" s="388">
        <v>0.78028800000000009</v>
      </c>
      <c r="AH6816" s="391"/>
      <c r="AI6816" s="397"/>
      <c r="AJ6816" s="397"/>
      <c r="AU6816" s="397"/>
      <c r="AV6816" s="397"/>
      <c r="AW6816" s="397"/>
      <c r="AX6816" s="397"/>
      <c r="BI6816" s="397"/>
      <c r="BJ6816" s="397"/>
      <c r="BK6816" s="397"/>
      <c r="BL6816" s="397"/>
      <c r="BM6816" s="397"/>
      <c r="BN6816" s="397"/>
      <c r="BO6816" s="397"/>
      <c r="BP6816" s="397"/>
      <c r="BQ6816" s="397"/>
      <c r="BR6816" s="397"/>
      <c r="BS6816" s="397"/>
      <c r="BT6816" s="397"/>
      <c r="BU6816" s="397"/>
      <c r="BV6816" s="397"/>
      <c r="BW6816" s="397"/>
      <c r="BX6816" s="397"/>
      <c r="BY6816" s="397"/>
      <c r="BZ6816" s="397"/>
      <c r="CA6816" s="392" t="s">
        <v>412</v>
      </c>
    </row>
    <row r="6817" spans="1:80" s="392" customFormat="1" ht="15" x14ac:dyDescent="0.25">
      <c r="A6817" s="385"/>
      <c r="B6817" s="385"/>
      <c r="C6817" s="385"/>
      <c r="D6817" s="700"/>
      <c r="E6817" s="386"/>
      <c r="F6817" s="385"/>
      <c r="G6817" s="400"/>
      <c r="H6817" s="402"/>
      <c r="I6817" s="402"/>
      <c r="J6817" s="402"/>
      <c r="K6817" s="402"/>
      <c r="L6817" s="674"/>
      <c r="M6817" s="672">
        <v>30896</v>
      </c>
      <c r="N6817" s="623">
        <v>1.0527061490507226</v>
      </c>
      <c r="O6817" s="624">
        <v>1.5240960000000002E-3</v>
      </c>
      <c r="P6817" s="397"/>
      <c r="Q6817" s="397"/>
      <c r="R6817" s="397"/>
      <c r="S6817" s="397"/>
      <c r="T6817" s="397"/>
      <c r="U6817" s="397"/>
      <c r="V6817" s="397"/>
      <c r="W6817" s="397"/>
      <c r="X6817" s="397"/>
      <c r="Y6817" s="397"/>
      <c r="Z6817" s="397"/>
      <c r="AD6817" s="388">
        <v>4.0233600000000003</v>
      </c>
      <c r="AE6817" s="388">
        <v>0.29565600000000003</v>
      </c>
      <c r="AF6817" s="388">
        <v>1.159392</v>
      </c>
      <c r="AG6817" s="388">
        <v>0.841248</v>
      </c>
      <c r="AH6817" s="391"/>
      <c r="AI6817" s="397"/>
      <c r="AJ6817" s="397"/>
      <c r="AU6817" s="397"/>
      <c r="AV6817" s="397"/>
      <c r="AW6817" s="397"/>
      <c r="AX6817" s="397"/>
      <c r="BI6817" s="397"/>
      <c r="BJ6817" s="397"/>
      <c r="BK6817" s="397"/>
      <c r="BL6817" s="397"/>
      <c r="BM6817" s="397"/>
      <c r="BN6817" s="397"/>
      <c r="BO6817" s="397"/>
      <c r="BP6817" s="397"/>
      <c r="BQ6817" s="397"/>
      <c r="BR6817" s="397"/>
      <c r="BS6817" s="397"/>
      <c r="BT6817" s="397"/>
      <c r="BU6817" s="397"/>
      <c r="BV6817" s="397"/>
      <c r="BW6817" s="397"/>
      <c r="BX6817" s="397"/>
      <c r="BY6817" s="397"/>
      <c r="BZ6817" s="397"/>
      <c r="CA6817" s="392" t="s">
        <v>412</v>
      </c>
    </row>
    <row r="6818" spans="1:80" s="392" customFormat="1" ht="15" x14ac:dyDescent="0.25">
      <c r="A6818" s="385"/>
      <c r="B6818" s="385"/>
      <c r="C6818" s="385"/>
      <c r="D6818" s="700"/>
      <c r="E6818" s="386"/>
      <c r="F6818" s="385"/>
      <c r="G6818" s="400"/>
      <c r="H6818" s="402"/>
      <c r="I6818" s="402"/>
      <c r="J6818" s="402"/>
      <c r="K6818" s="402"/>
      <c r="L6818" s="674"/>
      <c r="M6818" s="672">
        <v>30914</v>
      </c>
      <c r="N6818" s="623">
        <v>0.69368092944176829</v>
      </c>
      <c r="O6818" s="624">
        <v>1.5240960000000005E-2</v>
      </c>
      <c r="P6818" s="397"/>
      <c r="Q6818" s="397"/>
      <c r="R6818" s="397"/>
      <c r="S6818" s="397"/>
      <c r="T6818" s="397"/>
      <c r="U6818" s="397"/>
      <c r="V6818" s="397"/>
      <c r="W6818" s="397"/>
      <c r="X6818" s="397"/>
      <c r="Y6818" s="397"/>
      <c r="Z6818" s="397"/>
      <c r="AD6818" s="388">
        <v>4.0233600000000003</v>
      </c>
      <c r="AE6818" s="388">
        <v>0.23774400000000001</v>
      </c>
      <c r="AF6818" s="388">
        <v>0.94479299999999999</v>
      </c>
      <c r="AG6818" s="388">
        <v>0.66751199999999999</v>
      </c>
      <c r="AH6818" s="391"/>
      <c r="AI6818" s="397"/>
      <c r="AJ6818" s="397"/>
      <c r="AU6818" s="397"/>
      <c r="AV6818" s="397"/>
      <c r="AW6818" s="397"/>
      <c r="AX6818" s="397"/>
      <c r="BI6818" s="397"/>
      <c r="BJ6818" s="397"/>
      <c r="BK6818" s="397"/>
      <c r="BL6818" s="397"/>
      <c r="BM6818" s="397"/>
      <c r="BN6818" s="397"/>
      <c r="BO6818" s="397"/>
      <c r="BP6818" s="397"/>
      <c r="BQ6818" s="397"/>
      <c r="BR6818" s="397"/>
      <c r="BS6818" s="397"/>
      <c r="BT6818" s="397"/>
      <c r="BU6818" s="397"/>
      <c r="BV6818" s="397"/>
      <c r="BW6818" s="397"/>
      <c r="BX6818" s="397"/>
      <c r="BY6818" s="397"/>
      <c r="BZ6818" s="397"/>
      <c r="CA6818" s="392" t="s">
        <v>412</v>
      </c>
    </row>
    <row r="6819" spans="1:80" s="392" customFormat="1" ht="15" x14ac:dyDescent="0.25">
      <c r="A6819" s="385"/>
      <c r="B6819" s="385"/>
      <c r="C6819" s="385"/>
      <c r="D6819" s="700"/>
      <c r="E6819" s="386"/>
      <c r="F6819" s="385"/>
      <c r="G6819" s="400"/>
      <c r="H6819" s="402"/>
      <c r="I6819" s="402"/>
      <c r="J6819" s="402"/>
      <c r="K6819" s="402"/>
      <c r="L6819" s="674"/>
      <c r="M6819" s="672">
        <v>30944</v>
      </c>
      <c r="N6819" s="623">
        <v>0.36469254746387075</v>
      </c>
      <c r="O6819" s="624">
        <v>2.068416E-3</v>
      </c>
      <c r="P6819" s="397"/>
      <c r="Q6819" s="397"/>
      <c r="R6819" s="397"/>
      <c r="S6819" s="397"/>
      <c r="T6819" s="397"/>
      <c r="U6819" s="397"/>
      <c r="V6819" s="397"/>
      <c r="W6819" s="397"/>
      <c r="X6819" s="397"/>
      <c r="Y6819" s="397"/>
      <c r="Z6819" s="397"/>
      <c r="AD6819" s="388">
        <v>3.6271200000000001</v>
      </c>
      <c r="AE6819" s="388">
        <v>0.176784</v>
      </c>
      <c r="AF6819" s="388">
        <v>0.64100999999999997</v>
      </c>
      <c r="AG6819" s="388">
        <v>0.50292000000000003</v>
      </c>
      <c r="AH6819" s="391"/>
      <c r="AI6819" s="397"/>
      <c r="AJ6819" s="397"/>
      <c r="AU6819" s="397"/>
      <c r="AV6819" s="397"/>
      <c r="AW6819" s="397"/>
      <c r="AX6819" s="397"/>
      <c r="BI6819" s="397"/>
      <c r="BJ6819" s="397"/>
      <c r="BK6819" s="397"/>
      <c r="BL6819" s="397"/>
      <c r="BM6819" s="397"/>
      <c r="BN6819" s="397"/>
      <c r="BO6819" s="397"/>
      <c r="BP6819" s="397"/>
      <c r="BQ6819" s="397"/>
      <c r="BR6819" s="397"/>
      <c r="BS6819" s="397"/>
      <c r="BT6819" s="397"/>
      <c r="BU6819" s="397"/>
      <c r="BV6819" s="397"/>
      <c r="BW6819" s="397"/>
      <c r="BX6819" s="397"/>
      <c r="BY6819" s="397"/>
      <c r="BZ6819" s="397"/>
      <c r="CA6819" s="392" t="s">
        <v>412</v>
      </c>
    </row>
    <row r="6820" spans="1:80" s="189" customFormat="1" ht="15" x14ac:dyDescent="0.25">
      <c r="A6820" s="381" t="s">
        <v>442</v>
      </c>
      <c r="B6820" s="641" t="s">
        <v>34</v>
      </c>
      <c r="C6820" s="639"/>
      <c r="D6820" s="4">
        <f>VLOOKUP(E6820,'Quality Code'!$D$4:$E$24,2,TRUE)*VLOOKUP(MROUND(F6820,10),'Quality Code'!$D$28:$E$69,2,TRUE)*VLOOKUP(COUNTA(CB6820:CB6830),'Quality Code'!$D$73:$E$93,2,TRUE)</f>
        <v>0.1</v>
      </c>
      <c r="E6820" s="14">
        <v>0.4</v>
      </c>
      <c r="F6820" s="2">
        <v>7</v>
      </c>
      <c r="G6820" s="12"/>
      <c r="H6820" s="2" t="s">
        <v>105</v>
      </c>
      <c r="I6820" s="2"/>
      <c r="J6820" s="2"/>
      <c r="K6820" s="2"/>
      <c r="L6820" s="639"/>
      <c r="M6820" s="640">
        <v>1984</v>
      </c>
      <c r="N6820" s="578" t="s">
        <v>110</v>
      </c>
      <c r="O6820" s="578"/>
      <c r="P6820" s="26"/>
      <c r="Q6820" s="26"/>
      <c r="R6820" s="26"/>
      <c r="S6820" s="26"/>
      <c r="T6820" s="26"/>
      <c r="U6820" s="26"/>
      <c r="V6820" s="10"/>
      <c r="W6820" s="10"/>
      <c r="X6820" s="10"/>
      <c r="Y6820" s="10"/>
      <c r="Z6820" s="2"/>
      <c r="AA6820" s="26"/>
      <c r="AB6820" s="26"/>
      <c r="AC6820" s="377">
        <v>0.188</v>
      </c>
      <c r="AD6820" s="406"/>
      <c r="AE6820" s="26"/>
      <c r="AF6820" s="26"/>
      <c r="AG6820" s="26"/>
      <c r="AH6820" s="26"/>
      <c r="AI6820" s="4"/>
      <c r="AJ6820" s="378"/>
      <c r="AK6820" s="376"/>
      <c r="AL6820" s="376"/>
      <c r="AM6820" s="376"/>
      <c r="AN6820" s="376"/>
      <c r="AO6820" s="376"/>
      <c r="AP6820" s="376"/>
      <c r="AQ6820" s="376"/>
      <c r="AR6820" s="376"/>
      <c r="AS6820" s="376"/>
      <c r="AT6820" s="376"/>
      <c r="AU6820" s="378"/>
      <c r="AV6820" s="378"/>
      <c r="AW6820" s="378"/>
      <c r="AX6820" s="378"/>
      <c r="AY6820" s="379"/>
      <c r="AZ6820" s="379"/>
      <c r="BA6820" s="380"/>
      <c r="BB6820" s="380"/>
      <c r="BC6820" s="380"/>
      <c r="BD6820" s="380"/>
      <c r="BE6820" s="380"/>
      <c r="BF6820" s="380"/>
      <c r="BG6820" s="380"/>
      <c r="BH6820" s="380"/>
      <c r="BI6820" s="4"/>
      <c r="BJ6820" s="12"/>
      <c r="BK6820" s="2"/>
      <c r="BL6820" s="2"/>
      <c r="BM6820" s="4"/>
      <c r="BN6820" s="12"/>
      <c r="BO6820" s="12"/>
      <c r="BP6820" s="12"/>
      <c r="BQ6820" s="4"/>
      <c r="BR6820" s="4"/>
      <c r="BS6820" s="4"/>
      <c r="BT6820" s="2"/>
      <c r="BU6820" s="9"/>
      <c r="BV6820" s="381"/>
      <c r="BW6820" s="382"/>
      <c r="BX6820" s="383"/>
      <c r="BY6820" s="383" t="s">
        <v>417</v>
      </c>
      <c r="BZ6820" s="383"/>
      <c r="CA6820" s="384" t="s">
        <v>412</v>
      </c>
      <c r="CB6820" s="411"/>
    </row>
    <row r="6821" spans="1:80" s="392" customFormat="1" ht="15" x14ac:dyDescent="0.25">
      <c r="A6821" s="385"/>
      <c r="B6821" s="385"/>
      <c r="C6821" s="385"/>
      <c r="D6821" s="700"/>
      <c r="E6821" s="386"/>
      <c r="F6821" s="385"/>
      <c r="G6821" s="400"/>
      <c r="H6821" s="402"/>
      <c r="I6821" s="402"/>
      <c r="J6821" s="402"/>
      <c r="K6821" s="402"/>
      <c r="L6821" s="674"/>
      <c r="M6821" s="672">
        <v>30824</v>
      </c>
      <c r="N6821" s="623">
        <v>2.9470104845565316E-2</v>
      </c>
      <c r="O6821" s="624">
        <v>4.8384000000000003E-5</v>
      </c>
      <c r="P6821" s="397"/>
      <c r="Q6821" s="397"/>
      <c r="R6821" s="397"/>
      <c r="S6821" s="397"/>
      <c r="T6821" s="397"/>
      <c r="U6821" s="397"/>
      <c r="V6821" s="397"/>
      <c r="W6821" s="397"/>
      <c r="X6821" s="397"/>
      <c r="Y6821" s="397"/>
      <c r="Z6821" s="397"/>
      <c r="AC6821" s="410"/>
      <c r="AD6821" s="388">
        <v>1.2496799999999999</v>
      </c>
      <c r="AE6821" s="388">
        <v>0.11582400000000001</v>
      </c>
      <c r="AF6821" s="388">
        <v>0.14956900000000001</v>
      </c>
      <c r="AG6821" s="388">
        <v>0.16154400000000002</v>
      </c>
      <c r="AH6821" s="391"/>
      <c r="AI6821" s="397"/>
      <c r="AJ6821" s="397"/>
      <c r="AU6821" s="397"/>
      <c r="AV6821" s="397"/>
      <c r="AW6821" s="397"/>
      <c r="AX6821" s="397"/>
      <c r="BI6821" s="397"/>
      <c r="BJ6821" s="397"/>
      <c r="BK6821" s="397"/>
      <c r="BL6821" s="397"/>
      <c r="BM6821" s="397"/>
      <c r="BN6821" s="397"/>
      <c r="BO6821" s="397"/>
      <c r="BP6821" s="397"/>
      <c r="BQ6821" s="397"/>
      <c r="BR6821" s="397"/>
      <c r="BS6821" s="397"/>
      <c r="BT6821" s="397"/>
      <c r="BU6821" s="397"/>
      <c r="BV6821" s="397"/>
      <c r="BW6821" s="397"/>
      <c r="BX6821" s="397"/>
      <c r="BY6821" s="397"/>
      <c r="BZ6821" s="397"/>
      <c r="CA6821" s="392" t="s">
        <v>412</v>
      </c>
    </row>
    <row r="6822" spans="1:80" s="392" customFormat="1" ht="15" x14ac:dyDescent="0.25">
      <c r="A6822" s="385"/>
      <c r="B6822" s="385"/>
      <c r="C6822" s="385"/>
      <c r="D6822" s="700"/>
      <c r="E6822" s="386"/>
      <c r="F6822" s="385"/>
      <c r="G6822" s="400"/>
      <c r="H6822" s="402"/>
      <c r="I6822" s="402"/>
      <c r="J6822" s="402"/>
      <c r="K6822" s="402"/>
      <c r="L6822" s="674"/>
      <c r="M6822" s="672">
        <v>30831</v>
      </c>
      <c r="N6822" s="623">
        <v>0.11362992349107395</v>
      </c>
      <c r="O6822" s="624">
        <v>1.4696640000000001E-3</v>
      </c>
      <c r="P6822" s="397"/>
      <c r="Q6822" s="397"/>
      <c r="R6822" s="397"/>
      <c r="S6822" s="397"/>
      <c r="T6822" s="397"/>
      <c r="U6822" s="397"/>
      <c r="V6822" s="397"/>
      <c r="W6822" s="397"/>
      <c r="X6822" s="397"/>
      <c r="Y6822" s="397"/>
      <c r="Z6822" s="397"/>
      <c r="AD6822" s="388">
        <v>1.7678400000000001</v>
      </c>
      <c r="AE6822" s="388">
        <v>0.17983199999999999</v>
      </c>
      <c r="AF6822" s="388">
        <v>0.317718</v>
      </c>
      <c r="AG6822" s="388">
        <v>0.30480000000000002</v>
      </c>
      <c r="AH6822" s="391"/>
      <c r="AI6822" s="397"/>
      <c r="AJ6822" s="397"/>
      <c r="AU6822" s="397"/>
      <c r="AV6822" s="397"/>
      <c r="AW6822" s="397"/>
      <c r="AX6822" s="397"/>
      <c r="BI6822" s="397"/>
      <c r="BJ6822" s="397"/>
      <c r="BK6822" s="397"/>
      <c r="BL6822" s="397"/>
      <c r="BM6822" s="397"/>
      <c r="BN6822" s="397"/>
      <c r="BO6822" s="397"/>
      <c r="BP6822" s="397"/>
      <c r="BQ6822" s="397"/>
      <c r="BR6822" s="397"/>
      <c r="BS6822" s="397"/>
      <c r="BT6822" s="397"/>
      <c r="BU6822" s="397"/>
      <c r="BV6822" s="397"/>
      <c r="BW6822" s="397"/>
      <c r="BX6822" s="397"/>
      <c r="BY6822" s="397"/>
      <c r="BZ6822" s="397"/>
      <c r="CA6822" s="392" t="s">
        <v>412</v>
      </c>
    </row>
    <row r="6823" spans="1:80" s="392" customFormat="1" ht="15" x14ac:dyDescent="0.25">
      <c r="A6823" s="385"/>
      <c r="B6823" s="385"/>
      <c r="C6823" s="385"/>
      <c r="D6823" s="700"/>
      <c r="E6823" s="386"/>
      <c r="F6823" s="385"/>
      <c r="G6823" s="400"/>
      <c r="H6823" s="402"/>
      <c r="I6823" s="402"/>
      <c r="J6823" s="402"/>
      <c r="K6823" s="402"/>
      <c r="L6823" s="674"/>
      <c r="M6823" s="672">
        <v>30839</v>
      </c>
      <c r="N6823" s="623">
        <v>0.14508359308586002</v>
      </c>
      <c r="O6823" s="624">
        <v>6.0782399999999997E-4</v>
      </c>
      <c r="P6823" s="397"/>
      <c r="Q6823" s="397"/>
      <c r="R6823" s="397"/>
      <c r="S6823" s="397"/>
      <c r="T6823" s="397"/>
      <c r="U6823" s="397"/>
      <c r="V6823" s="397"/>
      <c r="W6823" s="397"/>
      <c r="X6823" s="397"/>
      <c r="Y6823" s="397"/>
      <c r="Z6823" s="397"/>
      <c r="AD6823" s="388">
        <v>2.0726400000000003</v>
      </c>
      <c r="AE6823" s="388">
        <v>0.16764000000000001</v>
      </c>
      <c r="AF6823" s="388">
        <v>0.35952299999999998</v>
      </c>
      <c r="AG6823" s="388">
        <v>0.31089600000000001</v>
      </c>
      <c r="AH6823" s="391"/>
      <c r="AI6823" s="397"/>
      <c r="AJ6823" s="397"/>
      <c r="AU6823" s="397"/>
      <c r="AV6823" s="397"/>
      <c r="AW6823" s="397"/>
      <c r="AX6823" s="397"/>
      <c r="BI6823" s="397"/>
      <c r="BJ6823" s="397"/>
      <c r="BK6823" s="397"/>
      <c r="BL6823" s="397"/>
      <c r="BM6823" s="397"/>
      <c r="BN6823" s="397"/>
      <c r="BO6823" s="397"/>
      <c r="BP6823" s="397"/>
      <c r="BQ6823" s="397"/>
      <c r="BR6823" s="397"/>
      <c r="BS6823" s="397"/>
      <c r="BT6823" s="397"/>
      <c r="BU6823" s="397"/>
      <c r="BV6823" s="397"/>
      <c r="BW6823" s="397"/>
      <c r="BX6823" s="397"/>
      <c r="BY6823" s="397"/>
      <c r="BZ6823" s="397"/>
      <c r="CA6823" s="392" t="s">
        <v>412</v>
      </c>
    </row>
    <row r="6824" spans="1:80" s="392" customFormat="1" ht="15" x14ac:dyDescent="0.25">
      <c r="A6824" s="385"/>
      <c r="B6824" s="385"/>
      <c r="C6824" s="385"/>
      <c r="D6824" s="700"/>
      <c r="E6824" s="386"/>
      <c r="F6824" s="385"/>
      <c r="G6824" s="400"/>
      <c r="H6824" s="402"/>
      <c r="I6824" s="402"/>
      <c r="J6824" s="402"/>
      <c r="K6824" s="402"/>
      <c r="L6824" s="674"/>
      <c r="M6824" s="672">
        <v>30844</v>
      </c>
      <c r="N6824" s="623">
        <v>7.5942193255879864E-2</v>
      </c>
      <c r="O6824" s="624">
        <v>0</v>
      </c>
      <c r="P6824" s="397"/>
      <c r="Q6824" s="397"/>
      <c r="R6824" s="397"/>
      <c r="S6824" s="397"/>
      <c r="T6824" s="397"/>
      <c r="U6824" s="397"/>
      <c r="V6824" s="397"/>
      <c r="W6824" s="397"/>
      <c r="X6824" s="397"/>
      <c r="Y6824" s="397"/>
      <c r="Z6824" s="397"/>
      <c r="AD6824" s="388">
        <v>1.2801600000000002</v>
      </c>
      <c r="AE6824" s="388">
        <v>0.155448</v>
      </c>
      <c r="AF6824" s="388">
        <v>0.20252200000000001</v>
      </c>
      <c r="AG6824" s="388">
        <v>0.32613600000000004</v>
      </c>
      <c r="AH6824" s="391"/>
      <c r="AI6824" s="397"/>
      <c r="AJ6824" s="397"/>
      <c r="AU6824" s="397"/>
      <c r="AV6824" s="397"/>
      <c r="AW6824" s="397"/>
      <c r="AX6824" s="397"/>
      <c r="BI6824" s="397"/>
      <c r="BJ6824" s="397"/>
      <c r="BK6824" s="397"/>
      <c r="BL6824" s="397"/>
      <c r="BM6824" s="397"/>
      <c r="BN6824" s="397"/>
      <c r="BO6824" s="397"/>
      <c r="BP6824" s="397"/>
      <c r="BQ6824" s="397"/>
      <c r="BR6824" s="397"/>
      <c r="BS6824" s="397"/>
      <c r="BT6824" s="397"/>
      <c r="BU6824" s="397"/>
      <c r="BV6824" s="397"/>
      <c r="BW6824" s="397"/>
      <c r="BX6824" s="397"/>
      <c r="BY6824" s="397"/>
      <c r="BZ6824" s="397"/>
      <c r="CA6824" s="392" t="s">
        <v>412</v>
      </c>
    </row>
    <row r="6825" spans="1:80" s="392" customFormat="1" ht="15" x14ac:dyDescent="0.25">
      <c r="A6825" s="385"/>
      <c r="B6825" s="385"/>
      <c r="C6825" s="385"/>
      <c r="D6825" s="700"/>
      <c r="E6825" s="386"/>
      <c r="F6825" s="385"/>
      <c r="G6825" s="400"/>
      <c r="H6825" s="402"/>
      <c r="I6825" s="402"/>
      <c r="J6825" s="402"/>
      <c r="K6825" s="402"/>
      <c r="L6825" s="674"/>
      <c r="M6825" s="672">
        <v>30851</v>
      </c>
      <c r="N6825" s="623">
        <v>0.18645508642674979</v>
      </c>
      <c r="O6825" s="624">
        <v>1.945944E-3</v>
      </c>
      <c r="P6825" s="397"/>
      <c r="Q6825" s="397"/>
      <c r="R6825" s="397"/>
      <c r="S6825" s="397"/>
      <c r="T6825" s="397"/>
      <c r="U6825" s="397"/>
      <c r="V6825" s="397"/>
      <c r="W6825" s="397"/>
      <c r="X6825" s="397"/>
      <c r="Y6825" s="397"/>
      <c r="Z6825" s="397"/>
      <c r="AD6825" s="388">
        <v>2.2250399999999999</v>
      </c>
      <c r="AE6825" s="388">
        <v>0.18288000000000001</v>
      </c>
      <c r="AF6825" s="388">
        <v>0.42176599999999997</v>
      </c>
      <c r="AG6825" s="388">
        <v>0.35052</v>
      </c>
      <c r="AH6825" s="391"/>
      <c r="AI6825" s="397"/>
      <c r="AJ6825" s="397"/>
      <c r="AU6825" s="397"/>
      <c r="AV6825" s="397"/>
      <c r="AW6825" s="397"/>
      <c r="AX6825" s="397"/>
      <c r="BI6825" s="397"/>
      <c r="BJ6825" s="397"/>
      <c r="BK6825" s="397"/>
      <c r="BL6825" s="397"/>
      <c r="BM6825" s="397"/>
      <c r="BN6825" s="397"/>
      <c r="BO6825" s="397"/>
      <c r="BP6825" s="397"/>
      <c r="BQ6825" s="397"/>
      <c r="BR6825" s="397"/>
      <c r="BS6825" s="397"/>
      <c r="BT6825" s="397"/>
      <c r="BU6825" s="397"/>
      <c r="BV6825" s="397"/>
      <c r="BW6825" s="397"/>
      <c r="BX6825" s="397"/>
      <c r="BY6825" s="397"/>
      <c r="BZ6825" s="397"/>
      <c r="CA6825" s="392" t="s">
        <v>412</v>
      </c>
    </row>
    <row r="6826" spans="1:80" s="392" customFormat="1" ht="15" x14ac:dyDescent="0.25">
      <c r="A6826" s="385"/>
      <c r="B6826" s="385"/>
      <c r="C6826" s="385"/>
      <c r="D6826" s="700"/>
      <c r="E6826" s="386"/>
      <c r="F6826" s="385"/>
      <c r="G6826" s="400"/>
      <c r="H6826" s="402"/>
      <c r="I6826" s="402"/>
      <c r="J6826" s="402"/>
      <c r="K6826" s="402"/>
      <c r="L6826" s="674"/>
      <c r="M6826" s="672">
        <v>30858</v>
      </c>
      <c r="N6826" s="623">
        <v>0.20969113063190706</v>
      </c>
      <c r="O6826" s="624">
        <v>1.5346800000000003E-3</v>
      </c>
      <c r="P6826" s="397"/>
      <c r="Q6826" s="397"/>
      <c r="R6826" s="397"/>
      <c r="S6826" s="397"/>
      <c r="T6826" s="397"/>
      <c r="U6826" s="397"/>
      <c r="V6826" s="397"/>
      <c r="W6826" s="397"/>
      <c r="X6826" s="397"/>
      <c r="Y6826" s="397"/>
      <c r="Z6826" s="397"/>
      <c r="AD6826" s="388">
        <v>2.286</v>
      </c>
      <c r="AE6826" s="388">
        <v>0.19507200000000002</v>
      </c>
      <c r="AF6826" s="388">
        <v>0.44777800000000001</v>
      </c>
      <c r="AG6826" s="388">
        <v>0.37490400000000002</v>
      </c>
      <c r="AH6826" s="391"/>
      <c r="AI6826" s="397"/>
      <c r="AJ6826" s="397"/>
      <c r="AU6826" s="397"/>
      <c r="AV6826" s="397"/>
      <c r="AW6826" s="397"/>
      <c r="AX6826" s="397"/>
      <c r="BI6826" s="397"/>
      <c r="BJ6826" s="397"/>
      <c r="BK6826" s="397"/>
      <c r="BL6826" s="397"/>
      <c r="BM6826" s="397"/>
      <c r="BN6826" s="397"/>
      <c r="BO6826" s="397"/>
      <c r="BP6826" s="397"/>
      <c r="BQ6826" s="397"/>
      <c r="BR6826" s="397"/>
      <c r="BS6826" s="397"/>
      <c r="BT6826" s="397"/>
      <c r="BU6826" s="397"/>
      <c r="BV6826" s="397"/>
      <c r="BW6826" s="397"/>
      <c r="BX6826" s="397"/>
      <c r="BY6826" s="397"/>
      <c r="BZ6826" s="397"/>
      <c r="CA6826" s="392" t="s">
        <v>412</v>
      </c>
    </row>
    <row r="6827" spans="1:80" s="392" customFormat="1" ht="15" x14ac:dyDescent="0.25">
      <c r="A6827" s="385"/>
      <c r="B6827" s="385"/>
      <c r="C6827" s="385"/>
      <c r="D6827" s="700"/>
      <c r="E6827" s="386"/>
      <c r="F6827" s="385"/>
      <c r="G6827" s="400"/>
      <c r="H6827" s="402"/>
      <c r="I6827" s="402"/>
      <c r="J6827" s="402"/>
      <c r="K6827" s="402"/>
      <c r="L6827" s="674"/>
      <c r="M6827" s="672">
        <v>30866</v>
      </c>
      <c r="N6827" s="623">
        <v>0.23746103712099748</v>
      </c>
      <c r="O6827" s="624">
        <v>1.5921360000000001E-3</v>
      </c>
      <c r="P6827" s="397"/>
      <c r="Q6827" s="397"/>
      <c r="R6827" s="397"/>
      <c r="S6827" s="397"/>
      <c r="T6827" s="397"/>
      <c r="U6827" s="397"/>
      <c r="V6827" s="397"/>
      <c r="W6827" s="397"/>
      <c r="X6827" s="397"/>
      <c r="Y6827" s="397"/>
      <c r="Z6827" s="397"/>
      <c r="AD6827" s="388">
        <v>1.8897600000000001</v>
      </c>
      <c r="AE6827" s="388">
        <v>0.23469600000000002</v>
      </c>
      <c r="AF6827" s="388">
        <v>0.42362399999999995</v>
      </c>
      <c r="AG6827" s="388">
        <v>0.521208</v>
      </c>
      <c r="AH6827" s="391"/>
      <c r="AI6827" s="397"/>
      <c r="AJ6827" s="397"/>
      <c r="AU6827" s="397"/>
      <c r="AV6827" s="397"/>
      <c r="AW6827" s="397"/>
      <c r="AX6827" s="397"/>
      <c r="BI6827" s="397"/>
      <c r="BJ6827" s="397"/>
      <c r="BK6827" s="397"/>
      <c r="BL6827" s="397"/>
      <c r="BM6827" s="397"/>
      <c r="BN6827" s="397"/>
      <c r="BO6827" s="397"/>
      <c r="BP6827" s="397"/>
      <c r="BQ6827" s="397"/>
      <c r="BR6827" s="397"/>
      <c r="BS6827" s="397"/>
      <c r="BT6827" s="397"/>
      <c r="BU6827" s="397"/>
      <c r="BV6827" s="397"/>
      <c r="BW6827" s="397"/>
      <c r="BX6827" s="397"/>
      <c r="BY6827" s="397"/>
      <c r="BZ6827" s="397"/>
      <c r="CA6827" s="392" t="s">
        <v>412</v>
      </c>
    </row>
    <row r="6828" spans="1:80" s="392" customFormat="1" ht="15" x14ac:dyDescent="0.25">
      <c r="A6828" s="385"/>
      <c r="B6828" s="385"/>
      <c r="C6828" s="385"/>
      <c r="D6828" s="700"/>
      <c r="E6828" s="386"/>
      <c r="F6828" s="385"/>
      <c r="G6828" s="400"/>
      <c r="H6828" s="402"/>
      <c r="I6828" s="402"/>
      <c r="J6828" s="402"/>
      <c r="K6828" s="402"/>
      <c r="L6828" s="674"/>
      <c r="M6828" s="672">
        <v>30875</v>
      </c>
      <c r="N6828" s="623">
        <v>0.14423349390762255</v>
      </c>
      <c r="O6828" s="624">
        <v>1.2247200000000002E-4</v>
      </c>
      <c r="P6828" s="397"/>
      <c r="Q6828" s="397"/>
      <c r="R6828" s="397"/>
      <c r="S6828" s="397"/>
      <c r="T6828" s="397"/>
      <c r="U6828" s="397"/>
      <c r="V6828" s="397"/>
      <c r="W6828" s="397"/>
      <c r="X6828" s="397"/>
      <c r="Y6828" s="397"/>
      <c r="Z6828" s="397"/>
      <c r="AD6828" s="388">
        <v>2.1945600000000001</v>
      </c>
      <c r="AE6828" s="388">
        <v>0.176784</v>
      </c>
      <c r="AF6828" s="388">
        <v>0.37159999999999999</v>
      </c>
      <c r="AG6828" s="388">
        <v>0.30175200000000002</v>
      </c>
      <c r="AH6828" s="391"/>
      <c r="AI6828" s="397"/>
      <c r="AJ6828" s="397"/>
      <c r="AU6828" s="397"/>
      <c r="AV6828" s="397"/>
      <c r="AW6828" s="397"/>
      <c r="AX6828" s="397"/>
      <c r="BI6828" s="397"/>
      <c r="BJ6828" s="397"/>
      <c r="BK6828" s="397"/>
      <c r="BL6828" s="397"/>
      <c r="BM6828" s="397"/>
      <c r="BN6828" s="397"/>
      <c r="BO6828" s="397"/>
      <c r="BP6828" s="397"/>
      <c r="BQ6828" s="397"/>
      <c r="BR6828" s="397"/>
      <c r="BS6828" s="397"/>
      <c r="BT6828" s="397"/>
      <c r="BU6828" s="397"/>
      <c r="BV6828" s="397"/>
      <c r="BW6828" s="397"/>
      <c r="BX6828" s="397"/>
      <c r="BY6828" s="397"/>
      <c r="BZ6828" s="397"/>
      <c r="CA6828" s="392" t="s">
        <v>412</v>
      </c>
    </row>
    <row r="6829" spans="1:80" s="392" customFormat="1" ht="15" x14ac:dyDescent="0.25">
      <c r="A6829" s="385"/>
      <c r="B6829" s="385"/>
      <c r="C6829" s="385"/>
      <c r="D6829" s="700"/>
      <c r="E6829" s="386"/>
      <c r="F6829" s="385"/>
      <c r="G6829" s="400"/>
      <c r="H6829" s="402"/>
      <c r="I6829" s="402"/>
      <c r="J6829" s="402"/>
      <c r="K6829" s="402"/>
      <c r="L6829" s="674"/>
      <c r="M6829" s="672">
        <v>30883</v>
      </c>
      <c r="N6829" s="623">
        <v>7.1124964579200908E-2</v>
      </c>
      <c r="O6829" s="624">
        <v>0</v>
      </c>
      <c r="P6829" s="397"/>
      <c r="Q6829" s="397"/>
      <c r="R6829" s="397"/>
      <c r="S6829" s="397"/>
      <c r="T6829" s="397"/>
      <c r="U6829" s="397"/>
      <c r="V6829" s="397"/>
      <c r="W6829" s="397"/>
      <c r="X6829" s="397"/>
      <c r="Y6829" s="397"/>
      <c r="Z6829" s="397"/>
      <c r="AD6829" s="388">
        <v>1.9202399999999999</v>
      </c>
      <c r="AE6829" s="388">
        <v>0.140208</v>
      </c>
      <c r="AF6829" s="388">
        <v>0.24990099999999998</v>
      </c>
      <c r="AG6829" s="388">
        <v>0.19507200000000002</v>
      </c>
      <c r="AH6829" s="391"/>
      <c r="AI6829" s="397"/>
      <c r="AJ6829" s="397"/>
      <c r="AU6829" s="397"/>
      <c r="AV6829" s="397"/>
      <c r="AW6829" s="397"/>
      <c r="AX6829" s="397"/>
      <c r="BI6829" s="397"/>
      <c r="BJ6829" s="397"/>
      <c r="BK6829" s="397"/>
      <c r="BL6829" s="397"/>
      <c r="BM6829" s="397"/>
      <c r="BN6829" s="397"/>
      <c r="BO6829" s="397"/>
      <c r="BP6829" s="397"/>
      <c r="BQ6829" s="397"/>
      <c r="BR6829" s="397"/>
      <c r="BS6829" s="397"/>
      <c r="BT6829" s="397"/>
      <c r="BU6829" s="397"/>
      <c r="BV6829" s="397"/>
      <c r="BW6829" s="397"/>
      <c r="BX6829" s="397"/>
      <c r="BY6829" s="397"/>
      <c r="BZ6829" s="397"/>
      <c r="CA6829" s="392" t="s">
        <v>412</v>
      </c>
    </row>
    <row r="6830" spans="1:80" s="392" customFormat="1" ht="15" x14ac:dyDescent="0.25">
      <c r="A6830" s="385"/>
      <c r="B6830" s="385"/>
      <c r="C6830" s="385"/>
      <c r="D6830" s="700"/>
      <c r="E6830" s="386"/>
      <c r="F6830" s="385"/>
      <c r="G6830" s="400"/>
      <c r="H6830" s="402"/>
      <c r="I6830" s="402"/>
      <c r="J6830" s="402"/>
      <c r="K6830" s="402"/>
      <c r="L6830" s="674"/>
      <c r="M6830" s="672">
        <v>30894</v>
      </c>
      <c r="N6830" s="623">
        <v>3.3153867951260976E-2</v>
      </c>
      <c r="O6830" s="624">
        <v>0</v>
      </c>
      <c r="P6830" s="397"/>
      <c r="Q6830" s="397"/>
      <c r="R6830" s="397"/>
      <c r="S6830" s="397"/>
      <c r="T6830" s="397"/>
      <c r="U6830" s="397"/>
      <c r="V6830" s="397"/>
      <c r="W6830" s="397"/>
      <c r="X6830" s="397"/>
      <c r="Y6830" s="397"/>
      <c r="Z6830" s="397"/>
      <c r="AD6830" s="388">
        <v>0</v>
      </c>
      <c r="AE6830" s="388">
        <v>0</v>
      </c>
      <c r="AF6830" s="388">
        <v>0</v>
      </c>
      <c r="AG6830" s="388">
        <v>0</v>
      </c>
      <c r="AH6830" s="391"/>
      <c r="AI6830" s="397"/>
      <c r="AJ6830" s="397"/>
      <c r="AU6830" s="397"/>
      <c r="AV6830" s="397"/>
      <c r="AW6830" s="397"/>
      <c r="AX6830" s="397"/>
      <c r="BI6830" s="397"/>
      <c r="BJ6830" s="397"/>
      <c r="BK6830" s="397"/>
      <c r="BL6830" s="397"/>
      <c r="BM6830" s="397"/>
      <c r="BN6830" s="397"/>
      <c r="BO6830" s="397"/>
      <c r="BP6830" s="397"/>
      <c r="BQ6830" s="397"/>
      <c r="BR6830" s="397"/>
      <c r="BS6830" s="397"/>
      <c r="BT6830" s="397"/>
      <c r="BU6830" s="397"/>
      <c r="BV6830" s="397"/>
      <c r="BW6830" s="397"/>
      <c r="BX6830" s="397"/>
      <c r="BY6830" s="397"/>
      <c r="BZ6830" s="397"/>
      <c r="CA6830" s="392" t="s">
        <v>412</v>
      </c>
    </row>
    <row r="6831" spans="1:80" s="392" customFormat="1" ht="15" x14ac:dyDescent="0.25">
      <c r="A6831" s="385"/>
      <c r="B6831" s="385"/>
      <c r="C6831" s="385"/>
      <c r="D6831" s="700"/>
      <c r="E6831" s="386"/>
      <c r="F6831" s="385"/>
      <c r="G6831" s="400"/>
      <c r="H6831" s="402"/>
      <c r="I6831" s="402"/>
      <c r="J6831" s="402"/>
      <c r="K6831" s="402"/>
      <c r="L6831" s="674"/>
      <c r="M6831" s="672">
        <v>30902</v>
      </c>
      <c r="N6831" s="623">
        <v>4.137149334088977E-2</v>
      </c>
      <c r="O6831" s="624">
        <v>0</v>
      </c>
      <c r="P6831" s="397"/>
      <c r="Q6831" s="397"/>
      <c r="R6831" s="397"/>
      <c r="S6831" s="397"/>
      <c r="T6831" s="397"/>
      <c r="U6831" s="397"/>
      <c r="V6831" s="397"/>
      <c r="W6831" s="397"/>
      <c r="X6831" s="397"/>
      <c r="Y6831" s="397"/>
      <c r="Z6831" s="397"/>
      <c r="AD6831" s="388">
        <v>1.2801600000000002</v>
      </c>
      <c r="AE6831" s="388">
        <v>0.14935200000000001</v>
      </c>
      <c r="AF6831" s="388">
        <v>0.17743899999999999</v>
      </c>
      <c r="AG6831" s="388">
        <v>0.20726400000000003</v>
      </c>
      <c r="AH6831" s="391"/>
      <c r="AI6831" s="397"/>
      <c r="AJ6831" s="397"/>
      <c r="AU6831" s="397"/>
      <c r="AV6831" s="397"/>
      <c r="AW6831" s="397"/>
      <c r="AX6831" s="397"/>
      <c r="BI6831" s="397"/>
      <c r="BJ6831" s="397"/>
      <c r="BK6831" s="397"/>
      <c r="BL6831" s="397"/>
      <c r="BM6831" s="397"/>
      <c r="BN6831" s="397"/>
      <c r="BO6831" s="397"/>
      <c r="BP6831" s="397"/>
      <c r="BQ6831" s="397"/>
      <c r="BR6831" s="397"/>
      <c r="BS6831" s="397"/>
      <c r="BT6831" s="397"/>
      <c r="BU6831" s="397"/>
      <c r="BV6831" s="397"/>
      <c r="BW6831" s="397"/>
      <c r="BX6831" s="397"/>
      <c r="BY6831" s="397"/>
      <c r="BZ6831" s="397"/>
      <c r="CA6831" s="392" t="s">
        <v>412</v>
      </c>
    </row>
    <row r="6832" spans="1:80" s="392" customFormat="1" ht="15" x14ac:dyDescent="0.25">
      <c r="A6832" s="385"/>
      <c r="B6832" s="385"/>
      <c r="C6832" s="385"/>
      <c r="D6832" s="700"/>
      <c r="E6832" s="386"/>
      <c r="F6832" s="385"/>
      <c r="G6832" s="400"/>
      <c r="H6832" s="402"/>
      <c r="I6832" s="402"/>
      <c r="J6832" s="402"/>
      <c r="K6832" s="402"/>
      <c r="L6832" s="674"/>
      <c r="M6832" s="672">
        <v>30910</v>
      </c>
      <c r="N6832" s="623">
        <v>1.8418815528478325E-2</v>
      </c>
      <c r="O6832" s="624">
        <v>0</v>
      </c>
      <c r="P6832" s="397"/>
      <c r="Q6832" s="397"/>
      <c r="R6832" s="397"/>
      <c r="S6832" s="397"/>
      <c r="T6832" s="397"/>
      <c r="U6832" s="397"/>
      <c r="V6832" s="397"/>
      <c r="W6832" s="397"/>
      <c r="X6832" s="397"/>
      <c r="Y6832" s="397"/>
      <c r="Z6832" s="397"/>
      <c r="AD6832" s="388">
        <v>1.2496799999999999</v>
      </c>
      <c r="AE6832" s="388">
        <v>0.12192000000000001</v>
      </c>
      <c r="AF6832" s="388">
        <v>0.146782</v>
      </c>
      <c r="AG6832" s="388">
        <v>0.11582400000000001</v>
      </c>
      <c r="AH6832" s="391"/>
      <c r="AI6832" s="397"/>
      <c r="AJ6832" s="397"/>
      <c r="AU6832" s="397"/>
      <c r="AV6832" s="397"/>
      <c r="AW6832" s="397"/>
      <c r="AX6832" s="397"/>
      <c r="BI6832" s="397"/>
      <c r="BJ6832" s="397"/>
      <c r="BK6832" s="397"/>
      <c r="BL6832" s="397"/>
      <c r="BM6832" s="397"/>
      <c r="BN6832" s="397"/>
      <c r="BO6832" s="397"/>
      <c r="BP6832" s="397"/>
      <c r="BQ6832" s="397"/>
      <c r="BR6832" s="397"/>
      <c r="BS6832" s="397"/>
      <c r="BT6832" s="397"/>
      <c r="BU6832" s="397"/>
      <c r="BV6832" s="397"/>
      <c r="BW6832" s="397"/>
      <c r="BX6832" s="397"/>
      <c r="BY6832" s="397"/>
      <c r="BZ6832" s="397"/>
      <c r="CA6832" s="392" t="s">
        <v>412</v>
      </c>
    </row>
    <row r="6833" spans="1:80" s="392" customFormat="1" ht="15" x14ac:dyDescent="0.25">
      <c r="A6833" s="385"/>
      <c r="B6833" s="385"/>
      <c r="C6833" s="385"/>
      <c r="D6833" s="700"/>
      <c r="E6833" s="386"/>
      <c r="F6833" s="385"/>
      <c r="G6833" s="400"/>
      <c r="H6833" s="402"/>
      <c r="I6833" s="402"/>
      <c r="J6833" s="402"/>
      <c r="K6833" s="402"/>
      <c r="L6833" s="674"/>
      <c r="M6833" s="672">
        <v>30923</v>
      </c>
      <c r="N6833" s="623">
        <v>2.2385945026919808E-2</v>
      </c>
      <c r="O6833" s="624">
        <v>0</v>
      </c>
      <c r="P6833" s="397"/>
      <c r="Q6833" s="397"/>
      <c r="R6833" s="397"/>
      <c r="S6833" s="397"/>
      <c r="T6833" s="397"/>
      <c r="U6833" s="397"/>
      <c r="V6833" s="397"/>
      <c r="W6833" s="397"/>
      <c r="X6833" s="397"/>
      <c r="Y6833" s="397"/>
      <c r="Z6833" s="397"/>
      <c r="AD6833" s="388">
        <v>1.2496799999999999</v>
      </c>
      <c r="AE6833" s="388">
        <v>0.124968</v>
      </c>
      <c r="AF6833" s="388">
        <v>0.14863999999999999</v>
      </c>
      <c r="AG6833" s="388">
        <v>0.155448</v>
      </c>
      <c r="AH6833" s="391"/>
      <c r="AI6833" s="397"/>
      <c r="AJ6833" s="397"/>
      <c r="AU6833" s="397"/>
      <c r="AV6833" s="397"/>
      <c r="AW6833" s="397"/>
      <c r="AX6833" s="397"/>
      <c r="BI6833" s="397"/>
      <c r="BJ6833" s="397"/>
      <c r="BK6833" s="397"/>
      <c r="BL6833" s="397"/>
      <c r="BM6833" s="397"/>
      <c r="BN6833" s="397"/>
      <c r="BO6833" s="397"/>
      <c r="BP6833" s="397"/>
      <c r="BQ6833" s="397"/>
      <c r="BR6833" s="397"/>
      <c r="BS6833" s="397"/>
      <c r="BT6833" s="397"/>
      <c r="BU6833" s="397"/>
      <c r="BV6833" s="397"/>
      <c r="BW6833" s="397"/>
      <c r="BX6833" s="397"/>
      <c r="BY6833" s="397"/>
      <c r="BZ6833" s="397"/>
      <c r="CA6833" s="392" t="s">
        <v>412</v>
      </c>
    </row>
    <row r="6834" spans="1:80" s="392" customFormat="1" ht="15" x14ac:dyDescent="0.25">
      <c r="A6834" s="385"/>
      <c r="B6834" s="385"/>
      <c r="C6834" s="385"/>
      <c r="D6834" s="700"/>
      <c r="E6834" s="386"/>
      <c r="F6834" s="385"/>
      <c r="G6834" s="400"/>
      <c r="H6834" s="402"/>
      <c r="I6834" s="402"/>
      <c r="J6834" s="402"/>
      <c r="K6834" s="402"/>
      <c r="L6834" s="674"/>
      <c r="M6834" s="672">
        <v>30942</v>
      </c>
      <c r="N6834" s="623">
        <v>7.367526211391329E-3</v>
      </c>
      <c r="O6834" s="624">
        <v>0</v>
      </c>
      <c r="P6834" s="397"/>
      <c r="Q6834" s="397"/>
      <c r="R6834" s="397"/>
      <c r="S6834" s="397"/>
      <c r="T6834" s="397"/>
      <c r="U6834" s="397"/>
      <c r="V6834" s="397"/>
      <c r="W6834" s="397"/>
      <c r="X6834" s="397"/>
      <c r="Y6834" s="397"/>
      <c r="Z6834" s="397"/>
      <c r="AD6834" s="388">
        <v>1.09728</v>
      </c>
      <c r="AE6834" s="388">
        <v>8.5344000000000017E-2</v>
      </c>
      <c r="AF6834" s="388">
        <v>8.6397000000000002E-2</v>
      </c>
      <c r="AG6834" s="388">
        <v>7.3151999999999995E-2</v>
      </c>
      <c r="AH6834" s="391"/>
      <c r="AI6834" s="397"/>
      <c r="AJ6834" s="397"/>
      <c r="AU6834" s="397"/>
      <c r="AV6834" s="397"/>
      <c r="AW6834" s="397"/>
      <c r="AX6834" s="397"/>
      <c r="BI6834" s="397"/>
      <c r="BJ6834" s="397"/>
      <c r="BK6834" s="397"/>
      <c r="BL6834" s="397"/>
      <c r="BM6834" s="397"/>
      <c r="BN6834" s="397"/>
      <c r="BO6834" s="397"/>
      <c r="BP6834" s="397"/>
      <c r="BQ6834" s="397"/>
      <c r="BR6834" s="397"/>
      <c r="BS6834" s="397"/>
      <c r="BT6834" s="397"/>
      <c r="BU6834" s="397"/>
      <c r="BV6834" s="397"/>
      <c r="BW6834" s="397"/>
      <c r="BX6834" s="397"/>
      <c r="BY6834" s="397"/>
      <c r="BZ6834" s="397"/>
      <c r="CA6834" s="392" t="s">
        <v>412</v>
      </c>
    </row>
    <row r="6835" spans="1:80" s="189" customFormat="1" ht="15" x14ac:dyDescent="0.25">
      <c r="A6835" s="381" t="s">
        <v>442</v>
      </c>
      <c r="B6835" s="641" t="s">
        <v>34</v>
      </c>
      <c r="C6835" s="639"/>
      <c r="D6835" s="4">
        <f>VLOOKUP(E6835,'Quality Code'!$D$4:$E$24,2,TRUE)*VLOOKUP(MROUND(F6835,10),'Quality Code'!$D$28:$E$69,2,TRUE)*VLOOKUP(COUNTA(CB6835:CB6845),'Quality Code'!$D$73:$E$93,2,TRUE)</f>
        <v>0</v>
      </c>
      <c r="E6835" s="14">
        <v>0.4</v>
      </c>
      <c r="F6835" s="2">
        <v>3</v>
      </c>
      <c r="G6835" s="12"/>
      <c r="H6835" s="2" t="s">
        <v>105</v>
      </c>
      <c r="I6835" s="2"/>
      <c r="J6835" s="2"/>
      <c r="K6835" s="2"/>
      <c r="L6835" s="639"/>
      <c r="M6835" s="640">
        <v>1983</v>
      </c>
      <c r="N6835" s="578" t="s">
        <v>110</v>
      </c>
      <c r="O6835" s="578"/>
      <c r="P6835" s="26"/>
      <c r="Q6835" s="26"/>
      <c r="R6835" s="26"/>
      <c r="S6835" s="26"/>
      <c r="T6835" s="26"/>
      <c r="U6835" s="26"/>
      <c r="V6835" s="10"/>
      <c r="W6835" s="10"/>
      <c r="X6835" s="10"/>
      <c r="Y6835" s="10"/>
      <c r="Z6835" s="2"/>
      <c r="AA6835" s="26"/>
      <c r="AB6835" s="26"/>
      <c r="AC6835" s="377">
        <v>0.19</v>
      </c>
      <c r="AD6835" s="406"/>
      <c r="AE6835" s="26"/>
      <c r="AF6835" s="26"/>
      <c r="AG6835" s="26"/>
      <c r="AH6835" s="26"/>
      <c r="AI6835" s="4"/>
      <c r="AJ6835" s="378"/>
      <c r="AK6835" s="376"/>
      <c r="AL6835" s="376"/>
      <c r="AM6835" s="376"/>
      <c r="AN6835" s="376"/>
      <c r="AO6835" s="376"/>
      <c r="AP6835" s="376"/>
      <c r="AQ6835" s="376"/>
      <c r="AR6835" s="376"/>
      <c r="AS6835" s="376"/>
      <c r="AT6835" s="376"/>
      <c r="AU6835" s="378"/>
      <c r="AV6835" s="378"/>
      <c r="AW6835" s="378"/>
      <c r="AX6835" s="378"/>
      <c r="AY6835" s="379"/>
      <c r="AZ6835" s="379"/>
      <c r="BA6835" s="380"/>
      <c r="BB6835" s="380"/>
      <c r="BC6835" s="380"/>
      <c r="BD6835" s="380"/>
      <c r="BE6835" s="380"/>
      <c r="BF6835" s="380"/>
      <c r="BG6835" s="380"/>
      <c r="BH6835" s="380"/>
      <c r="BI6835" s="4"/>
      <c r="BJ6835" s="12"/>
      <c r="BK6835" s="2"/>
      <c r="BL6835" s="2"/>
      <c r="BM6835" s="4"/>
      <c r="BN6835" s="12"/>
      <c r="BO6835" s="12"/>
      <c r="BP6835" s="12"/>
      <c r="BQ6835" s="4"/>
      <c r="BR6835" s="4"/>
      <c r="BS6835" s="4"/>
      <c r="BT6835" s="2"/>
      <c r="BU6835" s="9"/>
      <c r="BV6835" s="381"/>
      <c r="BW6835" s="382"/>
      <c r="BX6835" s="383"/>
      <c r="BY6835" s="383" t="s">
        <v>417</v>
      </c>
      <c r="BZ6835" s="383"/>
      <c r="CA6835" s="384" t="s">
        <v>412</v>
      </c>
      <c r="CB6835" s="411"/>
    </row>
    <row r="6836" spans="1:80" s="392" customFormat="1" ht="15" x14ac:dyDescent="0.25">
      <c r="A6836" s="385"/>
      <c r="B6836" s="385"/>
      <c r="C6836" s="385"/>
      <c r="D6836" s="700"/>
      <c r="E6836" s="386"/>
      <c r="F6836" s="385"/>
      <c r="G6836" s="400"/>
      <c r="H6836" s="402"/>
      <c r="I6836" s="402"/>
      <c r="J6836" s="402"/>
      <c r="K6836" s="402"/>
      <c r="L6836" s="674"/>
      <c r="M6836" s="672">
        <v>30483</v>
      </c>
      <c r="N6836" s="623">
        <v>0.10314536695947861</v>
      </c>
      <c r="O6836" s="624">
        <v>9.8431200000000021E-4</v>
      </c>
      <c r="P6836" s="397"/>
      <c r="Q6836" s="397"/>
      <c r="R6836" s="397"/>
      <c r="S6836" s="397"/>
      <c r="T6836" s="397"/>
      <c r="U6836" s="397"/>
      <c r="V6836" s="397"/>
      <c r="W6836" s="397"/>
      <c r="X6836" s="397"/>
      <c r="Y6836" s="397"/>
      <c r="Z6836" s="397"/>
      <c r="AC6836" s="410"/>
      <c r="AD6836" s="388">
        <v>2.1031200000000001</v>
      </c>
      <c r="AE6836" s="388">
        <v>0.16154400000000002</v>
      </c>
      <c r="AF6836" s="388">
        <v>0.31864700000000001</v>
      </c>
      <c r="AG6836" s="388">
        <v>0.38709600000000005</v>
      </c>
      <c r="AH6836" s="391"/>
      <c r="AI6836" s="397"/>
      <c r="AJ6836" s="397"/>
      <c r="AU6836" s="397"/>
      <c r="AV6836" s="397"/>
      <c r="AW6836" s="397"/>
      <c r="AX6836" s="397"/>
      <c r="BI6836" s="397"/>
      <c r="BJ6836" s="397"/>
      <c r="BK6836" s="397"/>
      <c r="BL6836" s="397"/>
      <c r="BM6836" s="397"/>
      <c r="BN6836" s="397"/>
      <c r="BO6836" s="397"/>
      <c r="BP6836" s="397"/>
      <c r="BQ6836" s="397"/>
      <c r="BR6836" s="397"/>
      <c r="BS6836" s="397"/>
      <c r="BT6836" s="397"/>
      <c r="BU6836" s="397"/>
      <c r="BV6836" s="397"/>
      <c r="BW6836" s="397"/>
      <c r="BX6836" s="397"/>
      <c r="BY6836" s="397"/>
      <c r="BZ6836" s="397"/>
      <c r="CA6836" s="392" t="s">
        <v>412</v>
      </c>
    </row>
    <row r="6837" spans="1:80" s="392" customFormat="1" ht="15" x14ac:dyDescent="0.25">
      <c r="A6837" s="385"/>
      <c r="B6837" s="385"/>
      <c r="C6837" s="385"/>
      <c r="D6837" s="700"/>
      <c r="E6837" s="386"/>
      <c r="F6837" s="385"/>
      <c r="G6837" s="400"/>
      <c r="H6837" s="402"/>
      <c r="I6837" s="402"/>
      <c r="J6837" s="402"/>
      <c r="K6837" s="402"/>
      <c r="L6837" s="674"/>
      <c r="M6837" s="672">
        <v>30511</v>
      </c>
      <c r="N6837" s="623">
        <v>0.30915273448569003</v>
      </c>
      <c r="O6837" s="624">
        <v>7.5479040000000022E-4</v>
      </c>
      <c r="P6837" s="397"/>
      <c r="Q6837" s="397"/>
      <c r="R6837" s="397"/>
      <c r="S6837" s="397"/>
      <c r="T6837" s="397"/>
      <c r="U6837" s="397"/>
      <c r="V6837" s="397"/>
      <c r="W6837" s="397"/>
      <c r="X6837" s="397"/>
      <c r="Y6837" s="397"/>
      <c r="Z6837" s="397"/>
      <c r="AD6837" s="388">
        <v>2.286</v>
      </c>
      <c r="AE6837" s="388">
        <v>0.225552</v>
      </c>
      <c r="AF6837" s="388">
        <v>0.48308000000000001</v>
      </c>
      <c r="AG6837" s="388">
        <v>0.35356799999999999</v>
      </c>
      <c r="AH6837" s="391"/>
      <c r="AI6837" s="397"/>
      <c r="AJ6837" s="397"/>
      <c r="AU6837" s="397"/>
      <c r="AV6837" s="397"/>
      <c r="AW6837" s="397"/>
      <c r="AX6837" s="397"/>
      <c r="BI6837" s="397"/>
      <c r="BJ6837" s="397"/>
      <c r="BK6837" s="397"/>
      <c r="BL6837" s="397"/>
      <c r="BM6837" s="397"/>
      <c r="BN6837" s="397"/>
      <c r="BO6837" s="397"/>
      <c r="BP6837" s="397"/>
      <c r="BQ6837" s="397"/>
      <c r="BR6837" s="397"/>
      <c r="BS6837" s="397"/>
      <c r="BT6837" s="397"/>
      <c r="BU6837" s="397"/>
      <c r="BV6837" s="397"/>
      <c r="BW6837" s="397"/>
      <c r="BX6837" s="397"/>
      <c r="BY6837" s="397"/>
      <c r="BZ6837" s="397"/>
      <c r="CA6837" s="392" t="s">
        <v>412</v>
      </c>
    </row>
    <row r="6838" spans="1:80" s="392" customFormat="1" ht="15" x14ac:dyDescent="0.25">
      <c r="A6838" s="385"/>
      <c r="B6838" s="385"/>
      <c r="C6838" s="385"/>
      <c r="D6838" s="700"/>
      <c r="E6838" s="386"/>
      <c r="F6838" s="385"/>
      <c r="G6838" s="400"/>
      <c r="H6838" s="402"/>
      <c r="I6838" s="402"/>
      <c r="J6838" s="402"/>
      <c r="K6838" s="402"/>
      <c r="L6838" s="674"/>
      <c r="M6838" s="672">
        <v>30525</v>
      </c>
      <c r="N6838" s="623">
        <v>0.24709549447435536</v>
      </c>
      <c r="O6838" s="624">
        <v>1.6934400000000001E-4</v>
      </c>
      <c r="P6838" s="397"/>
      <c r="Q6838" s="397"/>
      <c r="R6838" s="397"/>
      <c r="S6838" s="397"/>
      <c r="T6838" s="397"/>
      <c r="U6838" s="397"/>
      <c r="V6838" s="397"/>
      <c r="W6838" s="397"/>
      <c r="X6838" s="397"/>
      <c r="Y6838" s="397"/>
      <c r="Z6838" s="397"/>
      <c r="AD6838" s="388">
        <v>1.85928</v>
      </c>
      <c r="AE6838" s="388">
        <v>0.20726400000000003</v>
      </c>
      <c r="AF6838" s="388">
        <v>0.36230999999999997</v>
      </c>
      <c r="AG6838" s="388">
        <v>0.25908000000000003</v>
      </c>
      <c r="AH6838" s="391"/>
      <c r="AI6838" s="397"/>
      <c r="AJ6838" s="397"/>
      <c r="AU6838" s="397"/>
      <c r="AV6838" s="397"/>
      <c r="AW6838" s="397"/>
      <c r="AX6838" s="397"/>
      <c r="BI6838" s="397"/>
      <c r="BJ6838" s="397"/>
      <c r="BK6838" s="397"/>
      <c r="BL6838" s="397"/>
      <c r="BM6838" s="397"/>
      <c r="BN6838" s="397"/>
      <c r="BO6838" s="397"/>
      <c r="BP6838" s="397"/>
      <c r="BQ6838" s="397"/>
      <c r="BR6838" s="397"/>
      <c r="BS6838" s="397"/>
      <c r="BT6838" s="397"/>
      <c r="BU6838" s="397"/>
      <c r="BV6838" s="397"/>
      <c r="BW6838" s="397"/>
      <c r="BX6838" s="397"/>
      <c r="BY6838" s="397"/>
      <c r="BZ6838" s="397"/>
      <c r="CA6838" s="392" t="s">
        <v>412</v>
      </c>
    </row>
    <row r="6839" spans="1:80" s="189" customFormat="1" ht="15" x14ac:dyDescent="0.25">
      <c r="A6839" s="381" t="s">
        <v>443</v>
      </c>
      <c r="B6839" s="641" t="s">
        <v>34</v>
      </c>
      <c r="C6839" s="639"/>
      <c r="D6839" s="4">
        <f>VLOOKUP(E6839,'Quality Code'!$D$4:$E$24,2,TRUE)*VLOOKUP(MROUND(F6839,10),'Quality Code'!$D$28:$E$69,2,TRUE)*VLOOKUP(COUNTA(CB6839:CB6849),'Quality Code'!$D$73:$E$93,2,TRUE)</f>
        <v>0.1</v>
      </c>
      <c r="E6839" s="14">
        <v>0.4</v>
      </c>
      <c r="F6839" s="2">
        <v>10</v>
      </c>
      <c r="G6839" s="12"/>
      <c r="H6839" s="2" t="s">
        <v>105</v>
      </c>
      <c r="I6839" s="2"/>
      <c r="J6839" s="2"/>
      <c r="K6839" s="2"/>
      <c r="L6839" s="639"/>
      <c r="M6839" s="640">
        <v>1984</v>
      </c>
      <c r="N6839" s="578" t="s">
        <v>110</v>
      </c>
      <c r="O6839" s="578"/>
      <c r="P6839" s="26"/>
      <c r="Q6839" s="26"/>
      <c r="R6839" s="26"/>
      <c r="S6839" s="26"/>
      <c r="T6839" s="26"/>
      <c r="U6839" s="26"/>
      <c r="V6839" s="10"/>
      <c r="W6839" s="10"/>
      <c r="X6839" s="10"/>
      <c r="Y6839" s="10"/>
      <c r="Z6839" s="2"/>
      <c r="AA6839" s="26"/>
      <c r="AB6839" s="26"/>
      <c r="AC6839" s="377">
        <v>0.13100000000000001</v>
      </c>
      <c r="AD6839" s="406"/>
      <c r="AE6839" s="26"/>
      <c r="AF6839" s="26"/>
      <c r="AG6839" s="26"/>
      <c r="AH6839" s="26"/>
      <c r="AI6839" s="4"/>
      <c r="AJ6839" s="378"/>
      <c r="AK6839" s="376"/>
      <c r="AL6839" s="376"/>
      <c r="AM6839" s="376"/>
      <c r="AN6839" s="376"/>
      <c r="AO6839" s="376"/>
      <c r="AP6839" s="376"/>
      <c r="AQ6839" s="376"/>
      <c r="AR6839" s="376"/>
      <c r="AS6839" s="376"/>
      <c r="AT6839" s="376"/>
      <c r="AU6839" s="378"/>
      <c r="AV6839" s="378"/>
      <c r="AW6839" s="378"/>
      <c r="AX6839" s="378"/>
      <c r="AY6839" s="379"/>
      <c r="AZ6839" s="379"/>
      <c r="BA6839" s="380"/>
      <c r="BB6839" s="380"/>
      <c r="BC6839" s="380"/>
      <c r="BD6839" s="380"/>
      <c r="BE6839" s="380"/>
      <c r="BF6839" s="380"/>
      <c r="BG6839" s="380"/>
      <c r="BH6839" s="380"/>
      <c r="BI6839" s="4"/>
      <c r="BJ6839" s="12"/>
      <c r="BK6839" s="2"/>
      <c r="BL6839" s="2"/>
      <c r="BM6839" s="4"/>
      <c r="BN6839" s="12"/>
      <c r="BO6839" s="12"/>
      <c r="BP6839" s="12"/>
      <c r="BQ6839" s="4"/>
      <c r="BR6839" s="4"/>
      <c r="BS6839" s="4"/>
      <c r="BT6839" s="2"/>
      <c r="BU6839" s="9"/>
      <c r="BV6839" s="381"/>
      <c r="BW6839" s="382"/>
      <c r="BX6839" s="383"/>
      <c r="BY6839" s="383" t="s">
        <v>417</v>
      </c>
      <c r="BZ6839" s="383"/>
      <c r="CA6839" s="384" t="s">
        <v>412</v>
      </c>
      <c r="CB6839" s="411"/>
    </row>
    <row r="6840" spans="1:80" s="392" customFormat="1" ht="15" x14ac:dyDescent="0.25">
      <c r="A6840" s="385"/>
      <c r="B6840" s="385"/>
      <c r="C6840" s="385"/>
      <c r="D6840" s="700"/>
      <c r="E6840" s="386"/>
      <c r="F6840" s="385"/>
      <c r="G6840" s="400"/>
      <c r="H6840" s="402"/>
      <c r="I6840" s="402"/>
      <c r="J6840" s="402"/>
      <c r="K6840" s="402"/>
      <c r="L6840" s="674"/>
      <c r="M6840" s="672">
        <v>30831</v>
      </c>
      <c r="N6840" s="623">
        <v>0.17937092660810428</v>
      </c>
      <c r="O6840" s="624">
        <v>1.1158560000000001E-3</v>
      </c>
      <c r="P6840" s="397"/>
      <c r="Q6840" s="397"/>
      <c r="R6840" s="397"/>
      <c r="S6840" s="397"/>
      <c r="T6840" s="397"/>
      <c r="U6840" s="397"/>
      <c r="V6840" s="397"/>
      <c r="W6840" s="397"/>
      <c r="X6840" s="397"/>
      <c r="Y6840" s="397"/>
      <c r="Z6840" s="397"/>
      <c r="AD6840" s="388">
        <v>1.9202399999999999</v>
      </c>
      <c r="AE6840" s="388">
        <v>0.21640799999999999</v>
      </c>
      <c r="AF6840" s="388">
        <v>0.42176599999999997</v>
      </c>
      <c r="AG6840" s="388">
        <v>0.38709600000000005</v>
      </c>
      <c r="AH6840" s="391"/>
      <c r="AI6840" s="397"/>
      <c r="AJ6840" s="397"/>
      <c r="AU6840" s="397"/>
      <c r="AV6840" s="397"/>
      <c r="AW6840" s="397"/>
      <c r="AX6840" s="397"/>
      <c r="BI6840" s="397"/>
      <c r="BJ6840" s="397"/>
      <c r="BK6840" s="397"/>
      <c r="BL6840" s="397"/>
      <c r="BM6840" s="397"/>
      <c r="BN6840" s="397"/>
      <c r="BO6840" s="397"/>
      <c r="BP6840" s="397"/>
      <c r="BQ6840" s="397"/>
      <c r="BR6840" s="397"/>
      <c r="BS6840" s="397"/>
      <c r="BT6840" s="397"/>
      <c r="BU6840" s="397"/>
      <c r="BV6840" s="397"/>
      <c r="BW6840" s="397"/>
      <c r="BX6840" s="397"/>
      <c r="BY6840" s="397"/>
      <c r="BZ6840" s="397"/>
      <c r="CA6840" s="392" t="s">
        <v>412</v>
      </c>
    </row>
    <row r="6841" spans="1:80" s="392" customFormat="1" ht="15" x14ac:dyDescent="0.25">
      <c r="A6841" s="385"/>
      <c r="B6841" s="385"/>
      <c r="C6841" s="385"/>
      <c r="D6841" s="700"/>
      <c r="E6841" s="386"/>
      <c r="F6841" s="385"/>
      <c r="G6841" s="400"/>
      <c r="H6841" s="402"/>
      <c r="I6841" s="402"/>
      <c r="J6841" s="402"/>
      <c r="K6841" s="402"/>
      <c r="L6841" s="674"/>
      <c r="M6841" s="672">
        <v>30839</v>
      </c>
      <c r="N6841" s="623">
        <v>0.20600736752621138</v>
      </c>
      <c r="O6841" s="624">
        <v>1.3124160000000003E-3</v>
      </c>
      <c r="P6841" s="397"/>
      <c r="Q6841" s="397"/>
      <c r="R6841" s="397"/>
      <c r="S6841" s="397"/>
      <c r="T6841" s="397"/>
      <c r="U6841" s="397"/>
      <c r="V6841" s="397"/>
      <c r="W6841" s="397"/>
      <c r="X6841" s="397"/>
      <c r="Y6841" s="397"/>
      <c r="Z6841" s="397"/>
      <c r="AD6841" s="388">
        <v>1.9812000000000001</v>
      </c>
      <c r="AE6841" s="388">
        <v>0.26517600000000002</v>
      </c>
      <c r="AF6841" s="388">
        <v>0.52674299999999996</v>
      </c>
      <c r="AG6841" s="388">
        <v>0.35356799999999999</v>
      </c>
      <c r="AH6841" s="391"/>
      <c r="AI6841" s="397"/>
      <c r="AJ6841" s="397"/>
      <c r="AU6841" s="397"/>
      <c r="AV6841" s="397"/>
      <c r="AW6841" s="397"/>
      <c r="AX6841" s="397"/>
      <c r="BI6841" s="397"/>
      <c r="BJ6841" s="397"/>
      <c r="BK6841" s="397"/>
      <c r="BL6841" s="397"/>
      <c r="BM6841" s="397"/>
      <c r="BN6841" s="397"/>
      <c r="BO6841" s="397"/>
      <c r="BP6841" s="397"/>
      <c r="BQ6841" s="397"/>
      <c r="BR6841" s="397"/>
      <c r="BS6841" s="397"/>
      <c r="BT6841" s="397"/>
      <c r="BU6841" s="397"/>
      <c r="BV6841" s="397"/>
      <c r="BW6841" s="397"/>
      <c r="BX6841" s="397"/>
      <c r="BY6841" s="397"/>
      <c r="BZ6841" s="397"/>
      <c r="CA6841" s="392" t="s">
        <v>412</v>
      </c>
    </row>
    <row r="6842" spans="1:80" s="392" customFormat="1" ht="15" x14ac:dyDescent="0.25">
      <c r="A6842" s="385"/>
      <c r="B6842" s="385"/>
      <c r="C6842" s="385"/>
      <c r="D6842" s="700"/>
      <c r="E6842" s="386"/>
      <c r="F6842" s="385"/>
      <c r="G6842" s="400"/>
      <c r="H6842" s="402"/>
      <c r="I6842" s="402"/>
      <c r="J6842" s="402"/>
      <c r="K6842" s="402"/>
      <c r="L6842" s="674"/>
      <c r="M6842" s="672">
        <v>30844</v>
      </c>
      <c r="N6842" s="623">
        <v>0.12723151034287333</v>
      </c>
      <c r="O6842" s="624">
        <v>3.6892800000000003E-4</v>
      </c>
      <c r="P6842" s="397"/>
      <c r="Q6842" s="397"/>
      <c r="R6842" s="397"/>
      <c r="S6842" s="397"/>
      <c r="T6842" s="397"/>
      <c r="U6842" s="397"/>
      <c r="V6842" s="397"/>
      <c r="W6842" s="397"/>
      <c r="X6842" s="397"/>
      <c r="Y6842" s="397"/>
      <c r="Z6842" s="397"/>
      <c r="AD6842" s="388">
        <v>1.9507200000000002</v>
      </c>
      <c r="AE6842" s="388">
        <v>0.22860000000000003</v>
      </c>
      <c r="AF6842" s="388">
        <v>0.44777800000000001</v>
      </c>
      <c r="AG6842" s="388">
        <v>0.25908000000000003</v>
      </c>
      <c r="AH6842" s="391"/>
      <c r="AI6842" s="397"/>
      <c r="AJ6842" s="397"/>
      <c r="AU6842" s="397"/>
      <c r="AV6842" s="397"/>
      <c r="AW6842" s="397"/>
      <c r="AX6842" s="397"/>
      <c r="BI6842" s="397"/>
      <c r="BJ6842" s="397"/>
      <c r="BK6842" s="397"/>
      <c r="BL6842" s="397"/>
      <c r="BM6842" s="397"/>
      <c r="BN6842" s="397"/>
      <c r="BO6842" s="397"/>
      <c r="BP6842" s="397"/>
      <c r="BQ6842" s="397"/>
      <c r="BR6842" s="397"/>
      <c r="BS6842" s="397"/>
      <c r="BT6842" s="397"/>
      <c r="BU6842" s="397"/>
      <c r="BV6842" s="397"/>
      <c r="BW6842" s="397"/>
      <c r="BX6842" s="397"/>
      <c r="BY6842" s="397"/>
      <c r="BZ6842" s="397"/>
      <c r="CA6842" s="392" t="s">
        <v>412</v>
      </c>
    </row>
    <row r="6843" spans="1:80" s="392" customFormat="1" ht="15" x14ac:dyDescent="0.25">
      <c r="A6843" s="385"/>
      <c r="B6843" s="385"/>
      <c r="C6843" s="385"/>
      <c r="D6843" s="700"/>
      <c r="E6843" s="386"/>
      <c r="F6843" s="385"/>
      <c r="G6843" s="400"/>
      <c r="H6843" s="402"/>
      <c r="I6843" s="402"/>
      <c r="J6843" s="402"/>
      <c r="K6843" s="402"/>
      <c r="L6843" s="674"/>
      <c r="M6843" s="672">
        <v>30851</v>
      </c>
      <c r="N6843" s="623">
        <v>0.20232360442051572</v>
      </c>
      <c r="O6843" s="624">
        <v>3.7285919999999993E-3</v>
      </c>
      <c r="P6843" s="397"/>
      <c r="Q6843" s="397"/>
      <c r="R6843" s="397"/>
      <c r="S6843" s="397"/>
      <c r="T6843" s="397"/>
      <c r="U6843" s="397"/>
      <c r="V6843" s="397"/>
      <c r="W6843" s="397"/>
      <c r="X6843" s="397"/>
      <c r="Y6843" s="397"/>
      <c r="Z6843" s="397"/>
      <c r="AD6843" s="388">
        <v>2.1335999999999999</v>
      </c>
      <c r="AE6843" s="388">
        <v>0.26212800000000003</v>
      </c>
      <c r="AF6843" s="388">
        <v>0.58062499999999995</v>
      </c>
      <c r="AG6843" s="388">
        <v>0.24993599999999999</v>
      </c>
      <c r="AH6843" s="391"/>
      <c r="AI6843" s="397"/>
      <c r="AJ6843" s="397"/>
      <c r="AU6843" s="397"/>
      <c r="AV6843" s="397"/>
      <c r="AW6843" s="397"/>
      <c r="AX6843" s="397"/>
      <c r="BI6843" s="397"/>
      <c r="BJ6843" s="397"/>
      <c r="BK6843" s="397"/>
      <c r="BL6843" s="397"/>
      <c r="BM6843" s="397"/>
      <c r="BN6843" s="397"/>
      <c r="BO6843" s="397"/>
      <c r="BP6843" s="397"/>
      <c r="BQ6843" s="397"/>
      <c r="BR6843" s="397"/>
      <c r="BS6843" s="397"/>
      <c r="BT6843" s="397"/>
      <c r="BU6843" s="397"/>
      <c r="BV6843" s="397"/>
      <c r="BW6843" s="397"/>
      <c r="BX6843" s="397"/>
      <c r="BY6843" s="397"/>
      <c r="BZ6843" s="397"/>
      <c r="CA6843" s="392" t="s">
        <v>412</v>
      </c>
    </row>
    <row r="6844" spans="1:80" s="392" customFormat="1" ht="15" x14ac:dyDescent="0.25">
      <c r="A6844" s="385"/>
      <c r="B6844" s="385"/>
      <c r="C6844" s="385"/>
      <c r="D6844" s="700"/>
      <c r="E6844" s="386"/>
      <c r="F6844" s="385"/>
      <c r="G6844" s="400"/>
      <c r="H6844" s="402"/>
      <c r="I6844" s="402"/>
      <c r="J6844" s="402"/>
      <c r="K6844" s="402"/>
      <c r="L6844" s="674"/>
      <c r="M6844" s="672">
        <v>30858</v>
      </c>
      <c r="N6844" s="623">
        <v>0.19948994049305752</v>
      </c>
      <c r="O6844" s="624">
        <v>9.8703360000000004E-3</v>
      </c>
      <c r="P6844" s="397"/>
      <c r="Q6844" s="397"/>
      <c r="R6844" s="397"/>
      <c r="S6844" s="397"/>
      <c r="T6844" s="397"/>
      <c r="U6844" s="397"/>
      <c r="V6844" s="397"/>
      <c r="W6844" s="397"/>
      <c r="X6844" s="397"/>
      <c r="Y6844" s="397"/>
      <c r="Z6844" s="397"/>
      <c r="AD6844" s="388">
        <v>2.1335999999999999</v>
      </c>
      <c r="AE6844" s="388">
        <v>0.277368</v>
      </c>
      <c r="AF6844" s="388">
        <v>0.59270199999999995</v>
      </c>
      <c r="AG6844" s="388">
        <v>0.25298399999999999</v>
      </c>
      <c r="AH6844" s="391"/>
      <c r="AI6844" s="397"/>
      <c r="AJ6844" s="397"/>
      <c r="AU6844" s="397"/>
      <c r="AV6844" s="397"/>
      <c r="AW6844" s="397"/>
      <c r="AX6844" s="397"/>
      <c r="BI6844" s="397"/>
      <c r="BJ6844" s="397"/>
      <c r="BK6844" s="397"/>
      <c r="BL6844" s="397"/>
      <c r="BM6844" s="397"/>
      <c r="BN6844" s="397"/>
      <c r="BO6844" s="397"/>
      <c r="BP6844" s="397"/>
      <c r="BQ6844" s="397"/>
      <c r="BR6844" s="397"/>
      <c r="BS6844" s="397"/>
      <c r="BT6844" s="397"/>
      <c r="BU6844" s="397"/>
      <c r="BV6844" s="397"/>
      <c r="BW6844" s="397"/>
      <c r="BX6844" s="397"/>
      <c r="BY6844" s="397"/>
      <c r="BZ6844" s="397"/>
      <c r="CA6844" s="392" t="s">
        <v>412</v>
      </c>
    </row>
    <row r="6845" spans="1:80" s="392" customFormat="1" ht="15" x14ac:dyDescent="0.25">
      <c r="A6845" s="385"/>
      <c r="B6845" s="385"/>
      <c r="C6845" s="385"/>
      <c r="D6845" s="700"/>
      <c r="E6845" s="386"/>
      <c r="F6845" s="385"/>
      <c r="G6845" s="400"/>
      <c r="H6845" s="402"/>
      <c r="I6845" s="402"/>
      <c r="J6845" s="402"/>
      <c r="K6845" s="402"/>
      <c r="L6845" s="674"/>
      <c r="M6845" s="672">
        <v>30866</v>
      </c>
      <c r="N6845" s="623">
        <v>0.29980164352507793</v>
      </c>
      <c r="O6845" s="624">
        <v>8.0438400000000011E-4</v>
      </c>
      <c r="P6845" s="397"/>
      <c r="Q6845" s="397"/>
      <c r="R6845" s="397"/>
      <c r="S6845" s="397"/>
      <c r="T6845" s="397"/>
      <c r="U6845" s="397"/>
      <c r="V6845" s="397"/>
      <c r="W6845" s="397"/>
      <c r="X6845" s="397"/>
      <c r="Y6845" s="397"/>
      <c r="Z6845" s="397"/>
      <c r="AD6845" s="388">
        <v>2.1335999999999999</v>
      </c>
      <c r="AE6845" s="388">
        <v>0.27432000000000001</v>
      </c>
      <c r="AF6845" s="388">
        <v>0.58991499999999997</v>
      </c>
      <c r="AG6845" s="388">
        <v>0.40843200000000002</v>
      </c>
      <c r="AH6845" s="391"/>
      <c r="AI6845" s="397"/>
      <c r="AJ6845" s="397"/>
      <c r="AU6845" s="397"/>
      <c r="AV6845" s="397"/>
      <c r="AW6845" s="397"/>
      <c r="AX6845" s="397"/>
      <c r="BI6845" s="397"/>
      <c r="BJ6845" s="397"/>
      <c r="BK6845" s="397"/>
      <c r="BL6845" s="397"/>
      <c r="BM6845" s="397"/>
      <c r="BN6845" s="397"/>
      <c r="BO6845" s="397"/>
      <c r="BP6845" s="397"/>
      <c r="BQ6845" s="397"/>
      <c r="BR6845" s="397"/>
      <c r="BS6845" s="397"/>
      <c r="BT6845" s="397"/>
      <c r="BU6845" s="397"/>
      <c r="BV6845" s="397"/>
      <c r="BW6845" s="397"/>
      <c r="BX6845" s="397"/>
      <c r="BY6845" s="397"/>
      <c r="BZ6845" s="397"/>
      <c r="CA6845" s="392" t="s">
        <v>412</v>
      </c>
    </row>
    <row r="6846" spans="1:80" s="392" customFormat="1" ht="15" x14ac:dyDescent="0.25">
      <c r="A6846" s="385"/>
      <c r="B6846" s="385"/>
      <c r="C6846" s="385"/>
      <c r="D6846" s="700"/>
      <c r="E6846" s="386"/>
      <c r="F6846" s="385"/>
      <c r="G6846" s="400"/>
      <c r="H6846" s="402"/>
      <c r="I6846" s="402"/>
      <c r="J6846" s="402"/>
      <c r="K6846" s="402"/>
      <c r="L6846" s="674"/>
      <c r="M6846" s="672">
        <v>30875</v>
      </c>
      <c r="N6846" s="623">
        <v>0.1878719183904789</v>
      </c>
      <c r="O6846" s="624">
        <v>1.9353600000000007E-4</v>
      </c>
      <c r="P6846" s="397"/>
      <c r="Q6846" s="397"/>
      <c r="R6846" s="397"/>
      <c r="S6846" s="397"/>
      <c r="T6846" s="397"/>
      <c r="U6846" s="397"/>
      <c r="V6846" s="397"/>
      <c r="W6846" s="397"/>
      <c r="X6846" s="397"/>
      <c r="Y6846" s="397"/>
      <c r="Z6846" s="397"/>
      <c r="AD6846" s="388">
        <v>2.0726400000000003</v>
      </c>
      <c r="AE6846" s="388">
        <v>0.23774400000000001</v>
      </c>
      <c r="AF6846" s="388">
        <v>0.47286099999999998</v>
      </c>
      <c r="AG6846" s="388">
        <v>0.35052</v>
      </c>
      <c r="AH6846" s="391"/>
      <c r="AI6846" s="397"/>
      <c r="AJ6846" s="397"/>
      <c r="AU6846" s="397"/>
      <c r="AV6846" s="397"/>
      <c r="AW6846" s="397"/>
      <c r="AX6846" s="397"/>
      <c r="BI6846" s="397"/>
      <c r="BJ6846" s="397"/>
      <c r="BK6846" s="397"/>
      <c r="BL6846" s="397"/>
      <c r="BM6846" s="397"/>
      <c r="BN6846" s="397"/>
      <c r="BO6846" s="397"/>
      <c r="BP6846" s="397"/>
      <c r="BQ6846" s="397"/>
      <c r="BR6846" s="397"/>
      <c r="BS6846" s="397"/>
      <c r="BT6846" s="397"/>
      <c r="BU6846" s="397"/>
      <c r="BV6846" s="397"/>
      <c r="BW6846" s="397"/>
      <c r="BX6846" s="397"/>
      <c r="BY6846" s="397"/>
      <c r="BZ6846" s="397"/>
      <c r="CA6846" s="392" t="s">
        <v>412</v>
      </c>
    </row>
    <row r="6847" spans="1:80" s="392" customFormat="1" ht="15" x14ac:dyDescent="0.25">
      <c r="A6847" s="385"/>
      <c r="B6847" s="385"/>
      <c r="C6847" s="385"/>
      <c r="D6847" s="700"/>
      <c r="E6847" s="386"/>
      <c r="F6847" s="385"/>
      <c r="G6847" s="400"/>
      <c r="H6847" s="402"/>
      <c r="I6847" s="402"/>
      <c r="J6847" s="402"/>
      <c r="K6847" s="402"/>
      <c r="L6847" s="674"/>
      <c r="M6847" s="672">
        <v>30883</v>
      </c>
      <c r="N6847" s="623">
        <v>0.10796259563615755</v>
      </c>
      <c r="O6847" s="624">
        <v>5.7607199999999996E-4</v>
      </c>
      <c r="P6847" s="397"/>
      <c r="Q6847" s="397"/>
      <c r="R6847" s="397"/>
      <c r="S6847" s="397"/>
      <c r="T6847" s="397"/>
      <c r="U6847" s="397"/>
      <c r="V6847" s="397"/>
      <c r="W6847" s="397"/>
      <c r="X6847" s="397"/>
      <c r="Y6847" s="397"/>
      <c r="Z6847" s="397"/>
      <c r="AD6847" s="388">
        <v>2.04216</v>
      </c>
      <c r="AE6847" s="388">
        <v>0.19507200000000002</v>
      </c>
      <c r="AF6847" s="388">
        <v>0.39668299999999995</v>
      </c>
      <c r="AG6847" s="388">
        <v>0.24688800000000002</v>
      </c>
      <c r="AH6847" s="391"/>
      <c r="AI6847" s="397"/>
      <c r="AJ6847" s="397"/>
      <c r="AU6847" s="397"/>
      <c r="AV6847" s="397"/>
      <c r="AW6847" s="397"/>
      <c r="AX6847" s="397"/>
      <c r="BI6847" s="397"/>
      <c r="BJ6847" s="397"/>
      <c r="BK6847" s="397"/>
      <c r="BL6847" s="397"/>
      <c r="BM6847" s="397"/>
      <c r="BN6847" s="397"/>
      <c r="BO6847" s="397"/>
      <c r="BP6847" s="397"/>
      <c r="BQ6847" s="397"/>
      <c r="BR6847" s="397"/>
      <c r="BS6847" s="397"/>
      <c r="BT6847" s="397"/>
      <c r="BU6847" s="397"/>
      <c r="BV6847" s="397"/>
      <c r="BW6847" s="397"/>
      <c r="BX6847" s="397"/>
      <c r="BY6847" s="397"/>
      <c r="BZ6847" s="397"/>
      <c r="CA6847" s="392" t="s">
        <v>412</v>
      </c>
    </row>
    <row r="6848" spans="1:80" s="392" customFormat="1" ht="15" x14ac:dyDescent="0.25">
      <c r="A6848" s="385"/>
      <c r="B6848" s="385"/>
      <c r="C6848" s="385"/>
      <c r="D6848" s="700"/>
      <c r="E6848" s="386"/>
      <c r="F6848" s="385"/>
      <c r="G6848" s="400"/>
      <c r="H6848" s="402"/>
      <c r="I6848" s="402"/>
      <c r="J6848" s="402"/>
      <c r="K6848" s="402"/>
      <c r="L6848" s="674"/>
      <c r="M6848" s="672">
        <v>30894</v>
      </c>
      <c r="N6848" s="623">
        <v>8.5009917823746103E-2</v>
      </c>
      <c r="O6848" s="624">
        <v>1.0886400000000001E-3</v>
      </c>
      <c r="P6848" s="397"/>
      <c r="Q6848" s="397"/>
      <c r="R6848" s="397"/>
      <c r="S6848" s="397"/>
      <c r="T6848" s="397"/>
      <c r="U6848" s="397"/>
      <c r="V6848" s="397"/>
      <c r="W6848" s="397"/>
      <c r="X6848" s="397"/>
      <c r="Y6848" s="397"/>
      <c r="Z6848" s="397"/>
      <c r="AD6848" s="388">
        <v>1.9812000000000001</v>
      </c>
      <c r="AE6848" s="388">
        <v>0.176784</v>
      </c>
      <c r="AF6848" s="388">
        <v>0.34558800000000001</v>
      </c>
      <c r="AG6848" s="388">
        <v>0.21335999999999999</v>
      </c>
      <c r="AH6848" s="391"/>
      <c r="AI6848" s="397"/>
      <c r="AJ6848" s="397"/>
      <c r="AU6848" s="397"/>
      <c r="AV6848" s="397"/>
      <c r="AW6848" s="397"/>
      <c r="AX6848" s="397"/>
      <c r="BI6848" s="397"/>
      <c r="BJ6848" s="397"/>
      <c r="BK6848" s="397"/>
      <c r="BL6848" s="397"/>
      <c r="BM6848" s="397"/>
      <c r="BN6848" s="397"/>
      <c r="BO6848" s="397"/>
      <c r="BP6848" s="397"/>
      <c r="BQ6848" s="397"/>
      <c r="BR6848" s="397"/>
      <c r="BS6848" s="397"/>
      <c r="BT6848" s="397"/>
      <c r="BU6848" s="397"/>
      <c r="BV6848" s="397"/>
      <c r="BW6848" s="397"/>
      <c r="BX6848" s="397"/>
      <c r="BY6848" s="397"/>
      <c r="BZ6848" s="397"/>
      <c r="CA6848" s="392" t="s">
        <v>412</v>
      </c>
    </row>
    <row r="6849" spans="1:80" s="392" customFormat="1" ht="15" x14ac:dyDescent="0.25">
      <c r="A6849" s="385"/>
      <c r="B6849" s="385"/>
      <c r="C6849" s="385"/>
      <c r="D6849" s="700"/>
      <c r="E6849" s="386"/>
      <c r="F6849" s="385"/>
      <c r="G6849" s="400"/>
      <c r="H6849" s="402"/>
      <c r="I6849" s="402"/>
      <c r="J6849" s="402"/>
      <c r="K6849" s="402"/>
      <c r="L6849" s="674"/>
      <c r="M6849" s="672">
        <v>30902</v>
      </c>
      <c r="N6849" s="623">
        <v>7.7925758005100598E-2</v>
      </c>
      <c r="O6849" s="624">
        <v>5.3071200000000002E-4</v>
      </c>
      <c r="P6849" s="397"/>
      <c r="Q6849" s="397"/>
      <c r="R6849" s="397"/>
      <c r="S6849" s="397"/>
      <c r="T6849" s="397"/>
      <c r="U6849" s="397"/>
      <c r="V6849" s="397"/>
      <c r="W6849" s="397"/>
      <c r="X6849" s="397"/>
      <c r="Y6849" s="397"/>
      <c r="Z6849" s="397"/>
      <c r="AD6849" s="388">
        <v>1.9202399999999999</v>
      </c>
      <c r="AE6849" s="388">
        <v>0.14935200000000001</v>
      </c>
      <c r="AF6849" s="388">
        <v>0.26848100000000003</v>
      </c>
      <c r="AG6849" s="388">
        <v>0.25603199999999998</v>
      </c>
      <c r="AH6849" s="391"/>
      <c r="AI6849" s="397"/>
      <c r="AJ6849" s="397"/>
      <c r="AU6849" s="397"/>
      <c r="AV6849" s="397"/>
      <c r="AW6849" s="397"/>
      <c r="AX6849" s="397"/>
      <c r="BI6849" s="397"/>
      <c r="BJ6849" s="397"/>
      <c r="BK6849" s="397"/>
      <c r="BL6849" s="397"/>
      <c r="BM6849" s="397"/>
      <c r="BN6849" s="397"/>
      <c r="BO6849" s="397"/>
      <c r="BP6849" s="397"/>
      <c r="BQ6849" s="397"/>
      <c r="BR6849" s="397"/>
      <c r="BS6849" s="397"/>
      <c r="BT6849" s="397"/>
      <c r="BU6849" s="397"/>
      <c r="BV6849" s="397"/>
      <c r="BW6849" s="397"/>
      <c r="BX6849" s="397"/>
      <c r="BY6849" s="397"/>
      <c r="BZ6849" s="397"/>
      <c r="CA6849" s="392" t="s">
        <v>412</v>
      </c>
    </row>
    <row r="6850" spans="1:80" s="392" customFormat="1" ht="15" x14ac:dyDescent="0.25">
      <c r="A6850" s="385"/>
      <c r="B6850" s="385"/>
      <c r="C6850" s="385"/>
      <c r="D6850" s="700"/>
      <c r="E6850" s="386"/>
      <c r="F6850" s="385"/>
      <c r="G6850" s="400"/>
      <c r="H6850" s="402"/>
      <c r="I6850" s="402"/>
      <c r="J6850" s="402"/>
      <c r="K6850" s="402"/>
      <c r="L6850" s="674"/>
      <c r="M6850" s="672">
        <v>30910</v>
      </c>
      <c r="N6850" s="623">
        <v>4.1088126948143948E-2</v>
      </c>
      <c r="O6850" s="624">
        <v>0</v>
      </c>
      <c r="P6850" s="397"/>
      <c r="Q6850" s="397"/>
      <c r="R6850" s="397"/>
      <c r="S6850" s="397"/>
      <c r="T6850" s="397"/>
      <c r="U6850" s="397"/>
      <c r="V6850" s="397"/>
      <c r="W6850" s="397"/>
      <c r="X6850" s="397"/>
      <c r="Y6850" s="397"/>
      <c r="Z6850" s="397"/>
      <c r="AD6850" s="388">
        <v>1.9812000000000001</v>
      </c>
      <c r="AE6850" s="388">
        <v>0.124968</v>
      </c>
      <c r="AF6850" s="388">
        <v>0.23968200000000001</v>
      </c>
      <c r="AG6850" s="388">
        <v>0.15240000000000001</v>
      </c>
      <c r="AH6850" s="391"/>
      <c r="AI6850" s="397"/>
      <c r="AJ6850" s="397"/>
      <c r="AU6850" s="397"/>
      <c r="AV6850" s="397"/>
      <c r="AW6850" s="397"/>
      <c r="AX6850" s="397"/>
      <c r="BI6850" s="397"/>
      <c r="BJ6850" s="397"/>
      <c r="BK6850" s="397"/>
      <c r="BL6850" s="397"/>
      <c r="BM6850" s="397"/>
      <c r="BN6850" s="397"/>
      <c r="BO6850" s="397"/>
      <c r="BP6850" s="397"/>
      <c r="BQ6850" s="397"/>
      <c r="BR6850" s="397"/>
      <c r="BS6850" s="397"/>
      <c r="BT6850" s="397"/>
      <c r="BU6850" s="397"/>
      <c r="BV6850" s="397"/>
      <c r="BW6850" s="397"/>
      <c r="BX6850" s="397"/>
      <c r="BY6850" s="397"/>
      <c r="BZ6850" s="397"/>
      <c r="CA6850" s="392" t="s">
        <v>412</v>
      </c>
    </row>
    <row r="6851" spans="1:80" s="392" customFormat="1" ht="15" x14ac:dyDescent="0.25">
      <c r="A6851" s="385"/>
      <c r="B6851" s="385"/>
      <c r="C6851" s="385"/>
      <c r="D6851" s="700"/>
      <c r="E6851" s="386"/>
      <c r="F6851" s="385"/>
      <c r="G6851" s="400"/>
      <c r="H6851" s="402"/>
      <c r="I6851" s="402"/>
      <c r="J6851" s="402"/>
      <c r="K6851" s="402"/>
      <c r="L6851" s="674"/>
      <c r="M6851" s="672">
        <v>30923</v>
      </c>
      <c r="N6851" s="623">
        <v>3.7971096627939932E-2</v>
      </c>
      <c r="O6851" s="624">
        <v>0</v>
      </c>
      <c r="P6851" s="397"/>
      <c r="Q6851" s="397"/>
      <c r="R6851" s="397"/>
      <c r="S6851" s="397"/>
      <c r="T6851" s="397"/>
      <c r="U6851" s="397"/>
      <c r="V6851" s="397"/>
      <c r="W6851" s="397"/>
      <c r="X6851" s="397"/>
      <c r="Y6851" s="397"/>
      <c r="Z6851" s="397"/>
      <c r="AD6851" s="388">
        <v>2.0116800000000001</v>
      </c>
      <c r="AE6851" s="388">
        <v>0.10363200000000002</v>
      </c>
      <c r="AF6851" s="388">
        <v>0.21645700000000001</v>
      </c>
      <c r="AG6851" s="388">
        <v>0.14630399999999999</v>
      </c>
      <c r="AH6851" s="391"/>
      <c r="AI6851" s="397"/>
      <c r="AJ6851" s="397"/>
      <c r="AU6851" s="397"/>
      <c r="AV6851" s="397"/>
      <c r="AW6851" s="397"/>
      <c r="AX6851" s="397"/>
      <c r="BI6851" s="397"/>
      <c r="BJ6851" s="397"/>
      <c r="BK6851" s="397"/>
      <c r="BL6851" s="397"/>
      <c r="BM6851" s="397"/>
      <c r="BN6851" s="397"/>
      <c r="BO6851" s="397"/>
      <c r="BP6851" s="397"/>
      <c r="BQ6851" s="397"/>
      <c r="BR6851" s="397"/>
      <c r="BS6851" s="397"/>
      <c r="BT6851" s="397"/>
      <c r="BU6851" s="397"/>
      <c r="BV6851" s="397"/>
      <c r="BW6851" s="397"/>
      <c r="BX6851" s="397"/>
      <c r="BY6851" s="397"/>
      <c r="BZ6851" s="397"/>
      <c r="CA6851" s="392" t="s">
        <v>412</v>
      </c>
    </row>
    <row r="6852" spans="1:80" s="392" customFormat="1" ht="15" x14ac:dyDescent="0.25">
      <c r="A6852" s="385"/>
      <c r="B6852" s="385"/>
      <c r="C6852" s="385"/>
      <c r="D6852" s="700"/>
      <c r="E6852" s="386"/>
      <c r="F6852" s="385"/>
      <c r="G6852" s="400"/>
      <c r="H6852" s="402"/>
      <c r="I6852" s="402"/>
      <c r="J6852" s="402"/>
      <c r="K6852" s="402"/>
      <c r="L6852" s="674"/>
      <c r="M6852" s="672">
        <v>30942</v>
      </c>
      <c r="N6852" s="623">
        <v>1.3601586851799376E-2</v>
      </c>
      <c r="O6852" s="624">
        <v>0</v>
      </c>
      <c r="P6852" s="397"/>
      <c r="Q6852" s="397"/>
      <c r="R6852" s="397"/>
      <c r="S6852" s="397"/>
      <c r="T6852" s="397"/>
      <c r="U6852" s="397"/>
      <c r="V6852" s="397"/>
      <c r="W6852" s="397"/>
      <c r="X6852" s="397"/>
      <c r="Y6852" s="397"/>
      <c r="Z6852" s="397"/>
      <c r="AD6852" s="388">
        <v>2.04216</v>
      </c>
      <c r="AE6852" s="388">
        <v>7.9248000000000013E-2</v>
      </c>
      <c r="AF6852" s="388">
        <v>0.16164599999999998</v>
      </c>
      <c r="AG6852" s="388">
        <v>7.0104E-2</v>
      </c>
      <c r="AH6852" s="391"/>
      <c r="AI6852" s="397"/>
      <c r="AJ6852" s="397"/>
      <c r="AU6852" s="397"/>
      <c r="AV6852" s="397"/>
      <c r="AW6852" s="397"/>
      <c r="AX6852" s="397"/>
      <c r="BI6852" s="397"/>
      <c r="BJ6852" s="397"/>
      <c r="BK6852" s="397"/>
      <c r="BL6852" s="397"/>
      <c r="BM6852" s="397"/>
      <c r="BN6852" s="397"/>
      <c r="BO6852" s="397"/>
      <c r="BP6852" s="397"/>
      <c r="BQ6852" s="397"/>
      <c r="BR6852" s="397"/>
      <c r="BS6852" s="397"/>
      <c r="BT6852" s="397"/>
      <c r="BU6852" s="397"/>
      <c r="BV6852" s="397"/>
      <c r="BW6852" s="397"/>
      <c r="BX6852" s="397"/>
      <c r="BY6852" s="397"/>
      <c r="BZ6852" s="397"/>
      <c r="CA6852" s="392" t="s">
        <v>412</v>
      </c>
    </row>
    <row r="6853" spans="1:80" s="189" customFormat="1" ht="15" x14ac:dyDescent="0.25">
      <c r="A6853" s="381" t="s">
        <v>444</v>
      </c>
      <c r="B6853" s="641" t="s">
        <v>34</v>
      </c>
      <c r="C6853" s="639"/>
      <c r="D6853" s="4">
        <f>VLOOKUP(E6853,'Quality Code'!$D$4:$E$24,2,TRUE)*VLOOKUP(MROUND(F6853,10),'Quality Code'!$D$28:$E$69,2,TRUE)*VLOOKUP(COUNTA(CB6853:CB6863),'Quality Code'!$D$73:$E$93,2,TRUE)</f>
        <v>0.1</v>
      </c>
      <c r="E6853" s="14">
        <v>0.4</v>
      </c>
      <c r="F6853" s="2">
        <v>12</v>
      </c>
      <c r="G6853" s="12"/>
      <c r="H6853" s="2" t="s">
        <v>105</v>
      </c>
      <c r="I6853" s="2"/>
      <c r="J6853" s="2"/>
      <c r="K6853" s="2"/>
      <c r="L6853" s="639"/>
      <c r="M6853" s="640">
        <v>1984</v>
      </c>
      <c r="N6853" s="578" t="s">
        <v>110</v>
      </c>
      <c r="O6853" s="578"/>
      <c r="P6853" s="26"/>
      <c r="Q6853" s="26"/>
      <c r="R6853" s="26"/>
      <c r="S6853" s="26"/>
      <c r="T6853" s="26"/>
      <c r="U6853" s="26"/>
      <c r="V6853" s="10"/>
      <c r="W6853" s="10"/>
      <c r="X6853" s="10"/>
      <c r="Y6853" s="10"/>
      <c r="Z6853" s="2"/>
      <c r="AA6853" s="26"/>
      <c r="AB6853" s="26"/>
      <c r="AC6853" s="377">
        <v>8.5599999999999996E-2</v>
      </c>
      <c r="AD6853" s="406"/>
      <c r="AE6853" s="26"/>
      <c r="AF6853" s="26"/>
      <c r="AG6853" s="26"/>
      <c r="AH6853" s="26"/>
      <c r="AI6853" s="4"/>
      <c r="AJ6853" s="378"/>
      <c r="AK6853" s="376"/>
      <c r="AL6853" s="376"/>
      <c r="AM6853" s="376"/>
      <c r="AN6853" s="376"/>
      <c r="AO6853" s="376"/>
      <c r="AP6853" s="376"/>
      <c r="AQ6853" s="376"/>
      <c r="AR6853" s="376"/>
      <c r="AS6853" s="376"/>
      <c r="AT6853" s="376"/>
      <c r="AU6853" s="378"/>
      <c r="AV6853" s="378"/>
      <c r="AW6853" s="378"/>
      <c r="AX6853" s="378"/>
      <c r="AY6853" s="379"/>
      <c r="AZ6853" s="379"/>
      <c r="BA6853" s="380"/>
      <c r="BB6853" s="380"/>
      <c r="BC6853" s="380"/>
      <c r="BD6853" s="380"/>
      <c r="BE6853" s="380"/>
      <c r="BF6853" s="380"/>
      <c r="BG6853" s="380"/>
      <c r="BH6853" s="380"/>
      <c r="BI6853" s="4"/>
      <c r="BJ6853" s="12"/>
      <c r="BK6853" s="2"/>
      <c r="BL6853" s="2"/>
      <c r="BM6853" s="4"/>
      <c r="BN6853" s="12"/>
      <c r="BO6853" s="12"/>
      <c r="BP6853" s="12"/>
      <c r="BQ6853" s="4"/>
      <c r="BR6853" s="4"/>
      <c r="BS6853" s="4"/>
      <c r="BT6853" s="2"/>
      <c r="BU6853" s="9"/>
      <c r="BV6853" s="381"/>
      <c r="BW6853" s="382"/>
      <c r="BX6853" s="383"/>
      <c r="BY6853" s="383" t="s">
        <v>417</v>
      </c>
      <c r="BZ6853" s="383"/>
      <c r="CA6853" s="384" t="s">
        <v>412</v>
      </c>
      <c r="CB6853" s="411"/>
    </row>
    <row r="6854" spans="1:80" s="392" customFormat="1" ht="15" x14ac:dyDescent="0.25">
      <c r="A6854" s="385"/>
      <c r="B6854" s="385"/>
      <c r="C6854" s="385"/>
      <c r="D6854" s="700"/>
      <c r="E6854" s="386"/>
      <c r="F6854" s="385"/>
      <c r="G6854" s="400"/>
      <c r="H6854" s="402"/>
      <c r="I6854" s="402"/>
      <c r="J6854" s="402"/>
      <c r="K6854" s="402"/>
      <c r="L6854" s="674"/>
      <c r="M6854" s="672">
        <v>30831</v>
      </c>
      <c r="N6854" s="623">
        <v>0.19353924624539531</v>
      </c>
      <c r="O6854" s="624">
        <v>5.902848E-4</v>
      </c>
      <c r="P6854" s="397"/>
      <c r="Q6854" s="397"/>
      <c r="R6854" s="397"/>
      <c r="S6854" s="397"/>
      <c r="T6854" s="397"/>
      <c r="U6854" s="397"/>
      <c r="V6854" s="397"/>
      <c r="W6854" s="397"/>
      <c r="X6854" s="397"/>
      <c r="Y6854" s="397"/>
      <c r="Z6854" s="397"/>
      <c r="AD6854" s="388">
        <v>1.8897600000000001</v>
      </c>
      <c r="AE6854" s="388">
        <v>0.18288000000000001</v>
      </c>
      <c r="AF6854" s="388">
        <v>0.36230999999999997</v>
      </c>
      <c r="AG6854" s="388">
        <v>0.39624000000000004</v>
      </c>
      <c r="AH6854" s="391"/>
      <c r="AI6854" s="397"/>
      <c r="AJ6854" s="397"/>
      <c r="AU6854" s="397"/>
      <c r="AV6854" s="397"/>
      <c r="AW6854" s="397"/>
      <c r="AX6854" s="397"/>
      <c r="BI6854" s="397"/>
      <c r="BJ6854" s="397"/>
      <c r="BK6854" s="397"/>
      <c r="BL6854" s="397"/>
      <c r="BM6854" s="397"/>
      <c r="BN6854" s="397"/>
      <c r="BO6854" s="397"/>
      <c r="BP6854" s="397"/>
      <c r="BQ6854" s="397"/>
      <c r="BR6854" s="397"/>
      <c r="BS6854" s="397"/>
      <c r="BT6854" s="397"/>
      <c r="BU6854" s="397"/>
      <c r="BV6854" s="397"/>
      <c r="BW6854" s="397"/>
      <c r="BX6854" s="397"/>
      <c r="BY6854" s="397"/>
      <c r="BZ6854" s="397"/>
      <c r="CA6854" s="392" t="s">
        <v>412</v>
      </c>
    </row>
    <row r="6855" spans="1:80" s="392" customFormat="1" ht="15" x14ac:dyDescent="0.25">
      <c r="A6855" s="385"/>
      <c r="B6855" s="385"/>
      <c r="C6855" s="385"/>
      <c r="D6855" s="700"/>
      <c r="E6855" s="386"/>
      <c r="F6855" s="385"/>
      <c r="G6855" s="400"/>
      <c r="H6855" s="402"/>
      <c r="I6855" s="402"/>
      <c r="J6855" s="402"/>
      <c r="K6855" s="402"/>
      <c r="L6855" s="674"/>
      <c r="M6855" s="672">
        <v>30839</v>
      </c>
      <c r="N6855" s="623">
        <v>0.23859450269198074</v>
      </c>
      <c r="O6855" s="624">
        <v>8.3689200000000019E-3</v>
      </c>
      <c r="P6855" s="397"/>
      <c r="Q6855" s="397"/>
      <c r="R6855" s="397"/>
      <c r="S6855" s="397"/>
      <c r="T6855" s="397"/>
      <c r="U6855" s="397"/>
      <c r="V6855" s="397"/>
      <c r="W6855" s="397"/>
      <c r="X6855" s="397"/>
      <c r="Y6855" s="397"/>
      <c r="Z6855" s="397"/>
      <c r="AD6855" s="388">
        <v>1.9507200000000002</v>
      </c>
      <c r="AE6855" s="388">
        <v>0.225552</v>
      </c>
      <c r="AF6855" s="388">
        <v>0.43198500000000001</v>
      </c>
      <c r="AG6855" s="388">
        <v>0.454152</v>
      </c>
      <c r="AH6855" s="391"/>
      <c r="AI6855" s="397"/>
      <c r="AJ6855" s="397"/>
      <c r="AU6855" s="397"/>
      <c r="AV6855" s="397"/>
      <c r="AW6855" s="397"/>
      <c r="AX6855" s="397"/>
      <c r="BI6855" s="397"/>
      <c r="BJ6855" s="397"/>
      <c r="BK6855" s="397"/>
      <c r="BL6855" s="397"/>
      <c r="BM6855" s="397"/>
      <c r="BN6855" s="397"/>
      <c r="BO6855" s="397"/>
      <c r="BP6855" s="397"/>
      <c r="BQ6855" s="397"/>
      <c r="BR6855" s="397"/>
      <c r="BS6855" s="397"/>
      <c r="BT6855" s="397"/>
      <c r="BU6855" s="397"/>
      <c r="BV6855" s="397"/>
      <c r="BW6855" s="397"/>
      <c r="BX6855" s="397"/>
      <c r="BY6855" s="397"/>
      <c r="BZ6855" s="397"/>
      <c r="CA6855" s="392" t="s">
        <v>412</v>
      </c>
    </row>
    <row r="6856" spans="1:80" s="392" customFormat="1" ht="15" x14ac:dyDescent="0.25">
      <c r="A6856" s="385"/>
      <c r="B6856" s="385"/>
      <c r="C6856" s="385"/>
      <c r="D6856" s="700"/>
      <c r="E6856" s="386"/>
      <c r="F6856" s="385"/>
      <c r="G6856" s="400"/>
      <c r="H6856" s="402"/>
      <c r="I6856" s="402"/>
      <c r="J6856" s="402"/>
      <c r="K6856" s="402"/>
      <c r="L6856" s="674"/>
      <c r="M6856" s="672">
        <v>30844</v>
      </c>
      <c r="N6856" s="623">
        <v>0.12156418248795693</v>
      </c>
      <c r="O6856" s="624">
        <v>3.6590400000000007E-4</v>
      </c>
      <c r="P6856" s="397"/>
      <c r="Q6856" s="397"/>
      <c r="R6856" s="397"/>
      <c r="S6856" s="397"/>
      <c r="T6856" s="397"/>
      <c r="U6856" s="397"/>
      <c r="V6856" s="397"/>
      <c r="W6856" s="397"/>
      <c r="X6856" s="397"/>
      <c r="Y6856" s="397"/>
      <c r="Z6856" s="397"/>
      <c r="AD6856" s="388">
        <v>1.8897600000000001</v>
      </c>
      <c r="AE6856" s="388">
        <v>0.15849600000000003</v>
      </c>
      <c r="AF6856" s="388">
        <v>0.29356399999999999</v>
      </c>
      <c r="AG6856" s="388">
        <v>0.32918400000000003</v>
      </c>
      <c r="AH6856" s="391"/>
      <c r="AI6856" s="397"/>
      <c r="AJ6856" s="397"/>
      <c r="AU6856" s="397"/>
      <c r="AV6856" s="397"/>
      <c r="AW6856" s="397"/>
      <c r="AX6856" s="397"/>
      <c r="BI6856" s="397"/>
      <c r="BJ6856" s="397"/>
      <c r="BK6856" s="397"/>
      <c r="BL6856" s="397"/>
      <c r="BM6856" s="397"/>
      <c r="BN6856" s="397"/>
      <c r="BO6856" s="397"/>
      <c r="BP6856" s="397"/>
      <c r="BQ6856" s="397"/>
      <c r="BR6856" s="397"/>
      <c r="BS6856" s="397"/>
      <c r="BT6856" s="397"/>
      <c r="BU6856" s="397"/>
      <c r="BV6856" s="397"/>
      <c r="BW6856" s="397"/>
      <c r="BX6856" s="397"/>
      <c r="BY6856" s="397"/>
      <c r="BZ6856" s="397"/>
      <c r="CA6856" s="392" t="s">
        <v>412</v>
      </c>
    </row>
    <row r="6857" spans="1:80" s="392" customFormat="1" ht="15" x14ac:dyDescent="0.25">
      <c r="A6857" s="385"/>
      <c r="B6857" s="385"/>
      <c r="C6857" s="385"/>
      <c r="D6857" s="700"/>
      <c r="E6857" s="386"/>
      <c r="F6857" s="385"/>
      <c r="G6857" s="400"/>
      <c r="H6857" s="402"/>
      <c r="I6857" s="402"/>
      <c r="J6857" s="402"/>
      <c r="K6857" s="402"/>
      <c r="L6857" s="674"/>
      <c r="M6857" s="672">
        <v>30851</v>
      </c>
      <c r="N6857" s="623">
        <v>0.35052422782657977</v>
      </c>
      <c r="O6857" s="624">
        <v>3.8102400000000012E-3</v>
      </c>
      <c r="P6857" s="397"/>
      <c r="Q6857" s="397"/>
      <c r="R6857" s="397"/>
      <c r="S6857" s="397"/>
      <c r="T6857" s="397"/>
      <c r="U6857" s="397"/>
      <c r="V6857" s="397"/>
      <c r="W6857" s="397"/>
      <c r="X6857" s="397"/>
      <c r="Y6857" s="397"/>
      <c r="Z6857" s="397"/>
      <c r="AD6857" s="388">
        <v>2.0116800000000001</v>
      </c>
      <c r="AE6857" s="388">
        <v>0.24993599999999999</v>
      </c>
      <c r="AF6857" s="388">
        <v>0.48493799999999998</v>
      </c>
      <c r="AG6857" s="388">
        <v>0.61569600000000002</v>
      </c>
      <c r="AH6857" s="391"/>
      <c r="AI6857" s="397"/>
      <c r="AJ6857" s="397"/>
      <c r="AU6857" s="397"/>
      <c r="AV6857" s="397"/>
      <c r="AW6857" s="397"/>
      <c r="AX6857" s="397"/>
      <c r="BI6857" s="397"/>
      <c r="BJ6857" s="397"/>
      <c r="BK6857" s="397"/>
      <c r="BL6857" s="397"/>
      <c r="BM6857" s="397"/>
      <c r="BN6857" s="397"/>
      <c r="BO6857" s="397"/>
      <c r="BP6857" s="397"/>
      <c r="BQ6857" s="397"/>
      <c r="BR6857" s="397"/>
      <c r="BS6857" s="397"/>
      <c r="BT6857" s="397"/>
      <c r="BU6857" s="397"/>
      <c r="BV6857" s="397"/>
      <c r="BW6857" s="397"/>
      <c r="BX6857" s="397"/>
      <c r="BY6857" s="397"/>
      <c r="BZ6857" s="397"/>
      <c r="CA6857" s="392" t="s">
        <v>412</v>
      </c>
    </row>
    <row r="6858" spans="1:80" s="392" customFormat="1" ht="15" x14ac:dyDescent="0.25">
      <c r="A6858" s="385"/>
      <c r="B6858" s="385"/>
      <c r="C6858" s="385"/>
      <c r="D6858" s="700"/>
      <c r="E6858" s="386"/>
      <c r="F6858" s="385"/>
      <c r="G6858" s="400"/>
      <c r="H6858" s="402"/>
      <c r="I6858" s="402"/>
      <c r="J6858" s="402"/>
      <c r="K6858" s="402"/>
      <c r="L6858" s="674"/>
      <c r="M6858" s="672">
        <v>30858</v>
      </c>
      <c r="N6858" s="623">
        <v>0.46018702181921223</v>
      </c>
      <c r="O6858" s="624">
        <v>1.1340000000000001E-2</v>
      </c>
      <c r="P6858" s="397"/>
      <c r="Q6858" s="397"/>
      <c r="R6858" s="397"/>
      <c r="S6858" s="397"/>
      <c r="T6858" s="397"/>
      <c r="U6858" s="397"/>
      <c r="V6858" s="397"/>
      <c r="W6858" s="397"/>
      <c r="X6858" s="397"/>
      <c r="Y6858" s="397"/>
      <c r="Z6858" s="397"/>
      <c r="AD6858" s="388">
        <v>1.9812000000000001</v>
      </c>
      <c r="AE6858" s="388">
        <v>0.30175200000000002</v>
      </c>
      <c r="AF6858" s="388">
        <v>0.58991499999999997</v>
      </c>
      <c r="AG6858" s="388">
        <v>0.67665600000000015</v>
      </c>
      <c r="AH6858" s="391"/>
      <c r="AI6858" s="397"/>
      <c r="AJ6858" s="397"/>
      <c r="AU6858" s="397"/>
      <c r="AV6858" s="397"/>
      <c r="AW6858" s="397"/>
      <c r="AX6858" s="397"/>
      <c r="BI6858" s="397"/>
      <c r="BJ6858" s="397"/>
      <c r="BK6858" s="397"/>
      <c r="BL6858" s="397"/>
      <c r="BM6858" s="397"/>
      <c r="BN6858" s="397"/>
      <c r="BO6858" s="397"/>
      <c r="BP6858" s="397"/>
      <c r="BQ6858" s="397"/>
      <c r="BR6858" s="397"/>
      <c r="BS6858" s="397"/>
      <c r="BT6858" s="397"/>
      <c r="BU6858" s="397"/>
      <c r="BV6858" s="397"/>
      <c r="BW6858" s="397"/>
      <c r="BX6858" s="397"/>
      <c r="BY6858" s="397"/>
      <c r="BZ6858" s="397"/>
      <c r="CA6858" s="392" t="s">
        <v>412</v>
      </c>
    </row>
    <row r="6859" spans="1:80" s="392" customFormat="1" ht="15" x14ac:dyDescent="0.25">
      <c r="A6859" s="385"/>
      <c r="B6859" s="385"/>
      <c r="C6859" s="385"/>
      <c r="D6859" s="700"/>
      <c r="E6859" s="386"/>
      <c r="F6859" s="385"/>
      <c r="G6859" s="400"/>
      <c r="H6859" s="402"/>
      <c r="I6859" s="402"/>
      <c r="J6859" s="402"/>
      <c r="K6859" s="402"/>
      <c r="L6859" s="674"/>
      <c r="M6859" s="672">
        <v>30866</v>
      </c>
      <c r="N6859" s="623">
        <v>0.55454803060357039</v>
      </c>
      <c r="O6859" s="624">
        <v>9.1808640000000021E-3</v>
      </c>
      <c r="P6859" s="397"/>
      <c r="Q6859" s="397"/>
      <c r="R6859" s="397"/>
      <c r="S6859" s="397"/>
      <c r="T6859" s="397"/>
      <c r="U6859" s="397"/>
      <c r="V6859" s="397"/>
      <c r="W6859" s="397"/>
      <c r="X6859" s="397"/>
      <c r="Y6859" s="397"/>
      <c r="Z6859" s="397"/>
      <c r="AD6859" s="388">
        <v>2.1031200000000001</v>
      </c>
      <c r="AE6859" s="388">
        <v>0.26212800000000003</v>
      </c>
      <c r="AF6859" s="388">
        <v>0.533246</v>
      </c>
      <c r="AG6859" s="388">
        <v>0.95707200000000003</v>
      </c>
      <c r="AH6859" s="391"/>
      <c r="AI6859" s="397"/>
      <c r="AJ6859" s="397"/>
      <c r="AU6859" s="397"/>
      <c r="AV6859" s="397"/>
      <c r="AW6859" s="397"/>
      <c r="AX6859" s="397"/>
      <c r="BI6859" s="397"/>
      <c r="BJ6859" s="397"/>
      <c r="BK6859" s="397"/>
      <c r="BL6859" s="397"/>
      <c r="BM6859" s="397"/>
      <c r="BN6859" s="397"/>
      <c r="BO6859" s="397"/>
      <c r="BP6859" s="397"/>
      <c r="BQ6859" s="397"/>
      <c r="BR6859" s="397"/>
      <c r="BS6859" s="397"/>
      <c r="BT6859" s="397"/>
      <c r="BU6859" s="397"/>
      <c r="BV6859" s="397"/>
      <c r="BW6859" s="397"/>
      <c r="BX6859" s="397"/>
      <c r="BY6859" s="397"/>
      <c r="BZ6859" s="397"/>
      <c r="CA6859" s="392" t="s">
        <v>412</v>
      </c>
    </row>
    <row r="6860" spans="1:80" s="392" customFormat="1" ht="15" x14ac:dyDescent="0.25">
      <c r="A6860" s="385"/>
      <c r="B6860" s="385"/>
      <c r="C6860" s="385"/>
      <c r="D6860" s="700"/>
      <c r="E6860" s="386"/>
      <c r="F6860" s="385"/>
      <c r="G6860" s="400"/>
      <c r="H6860" s="402"/>
      <c r="I6860" s="402"/>
      <c r="J6860" s="402"/>
      <c r="K6860" s="402"/>
      <c r="L6860" s="674"/>
      <c r="M6860" s="672">
        <v>30875</v>
      </c>
      <c r="N6860" s="623">
        <v>0.35987531878719181</v>
      </c>
      <c r="O6860" s="624">
        <v>5.8968000000000015E-3</v>
      </c>
      <c r="P6860" s="397"/>
      <c r="Q6860" s="397"/>
      <c r="R6860" s="397"/>
      <c r="S6860" s="397"/>
      <c r="T6860" s="397"/>
      <c r="U6860" s="397"/>
      <c r="V6860" s="397"/>
      <c r="W6860" s="397"/>
      <c r="X6860" s="397"/>
      <c r="Y6860" s="397"/>
      <c r="Z6860" s="397"/>
      <c r="AD6860" s="388">
        <v>2.04216</v>
      </c>
      <c r="AE6860" s="388">
        <v>0.23469600000000002</v>
      </c>
      <c r="AF6860" s="388">
        <v>0.462642</v>
      </c>
      <c r="AG6860" s="388">
        <v>0.73152000000000006</v>
      </c>
      <c r="AH6860" s="391"/>
      <c r="AI6860" s="397"/>
      <c r="AJ6860" s="397"/>
      <c r="AU6860" s="397"/>
      <c r="AV6860" s="397"/>
      <c r="AW6860" s="397"/>
      <c r="AX6860" s="397"/>
      <c r="BI6860" s="397"/>
      <c r="BJ6860" s="397"/>
      <c r="BK6860" s="397"/>
      <c r="BL6860" s="397"/>
      <c r="BM6860" s="397"/>
      <c r="BN6860" s="397"/>
      <c r="BO6860" s="397"/>
      <c r="BP6860" s="397"/>
      <c r="BQ6860" s="397"/>
      <c r="BR6860" s="397"/>
      <c r="BS6860" s="397"/>
      <c r="BT6860" s="397"/>
      <c r="BU6860" s="397"/>
      <c r="BV6860" s="397"/>
      <c r="BW6860" s="397"/>
      <c r="BX6860" s="397"/>
      <c r="BY6860" s="397"/>
      <c r="BZ6860" s="397"/>
      <c r="CA6860" s="392" t="s">
        <v>412</v>
      </c>
    </row>
    <row r="6861" spans="1:80" s="392" customFormat="1" ht="15" x14ac:dyDescent="0.25">
      <c r="A6861" s="385"/>
      <c r="B6861" s="385"/>
      <c r="C6861" s="385"/>
      <c r="D6861" s="700"/>
      <c r="E6861" s="386"/>
      <c r="F6861" s="385"/>
      <c r="G6861" s="400"/>
      <c r="H6861" s="402"/>
      <c r="I6861" s="402"/>
      <c r="J6861" s="402"/>
      <c r="K6861" s="402"/>
      <c r="L6861" s="674"/>
      <c r="M6861" s="672">
        <v>30883</v>
      </c>
      <c r="N6861" s="623">
        <v>0.21677529045055258</v>
      </c>
      <c r="O6861" s="624">
        <v>6.6150000000000009E-4</v>
      </c>
      <c r="P6861" s="397"/>
      <c r="Q6861" s="397"/>
      <c r="R6861" s="397"/>
      <c r="S6861" s="397"/>
      <c r="T6861" s="397"/>
      <c r="U6861" s="397"/>
      <c r="V6861" s="397"/>
      <c r="W6861" s="397"/>
      <c r="X6861" s="397"/>
      <c r="Y6861" s="397"/>
      <c r="Z6861" s="397"/>
      <c r="AD6861" s="388">
        <v>1.9812000000000001</v>
      </c>
      <c r="AE6861" s="388">
        <v>0.18897600000000001</v>
      </c>
      <c r="AF6861" s="388">
        <v>0.356736</v>
      </c>
      <c r="AG6861" s="388">
        <v>0.60350400000000004</v>
      </c>
      <c r="AH6861" s="391"/>
      <c r="AI6861" s="397"/>
      <c r="AJ6861" s="397"/>
      <c r="AU6861" s="397"/>
      <c r="AV6861" s="397"/>
      <c r="AW6861" s="397"/>
      <c r="AX6861" s="397"/>
      <c r="BI6861" s="397"/>
      <c r="BJ6861" s="397"/>
      <c r="BK6861" s="397"/>
      <c r="BL6861" s="397"/>
      <c r="BM6861" s="397"/>
      <c r="BN6861" s="397"/>
      <c r="BO6861" s="397"/>
      <c r="BP6861" s="397"/>
      <c r="BQ6861" s="397"/>
      <c r="BR6861" s="397"/>
      <c r="BS6861" s="397"/>
      <c r="BT6861" s="397"/>
      <c r="BU6861" s="397"/>
      <c r="BV6861" s="397"/>
      <c r="BW6861" s="397"/>
      <c r="BX6861" s="397"/>
      <c r="BY6861" s="397"/>
      <c r="BZ6861" s="397"/>
      <c r="CA6861" s="392" t="s">
        <v>412</v>
      </c>
    </row>
    <row r="6862" spans="1:80" s="392" customFormat="1" ht="15" x14ac:dyDescent="0.25">
      <c r="A6862" s="385"/>
      <c r="B6862" s="385"/>
      <c r="C6862" s="385"/>
      <c r="D6862" s="700"/>
      <c r="E6862" s="386"/>
      <c r="F6862" s="385"/>
      <c r="G6862" s="400"/>
      <c r="H6862" s="402"/>
      <c r="I6862" s="402"/>
      <c r="J6862" s="402"/>
      <c r="K6862" s="402"/>
      <c r="L6862" s="674"/>
      <c r="M6862" s="672">
        <v>30894</v>
      </c>
      <c r="N6862" s="623">
        <v>0.1952394446018702</v>
      </c>
      <c r="O6862" s="624">
        <v>4.6872000000000016E-4</v>
      </c>
      <c r="P6862" s="397"/>
      <c r="Q6862" s="397"/>
      <c r="R6862" s="397"/>
      <c r="S6862" s="397"/>
      <c r="T6862" s="397"/>
      <c r="U6862" s="397"/>
      <c r="V6862" s="397"/>
      <c r="W6862" s="397"/>
      <c r="X6862" s="397"/>
      <c r="Y6862" s="397"/>
      <c r="Z6862" s="397"/>
      <c r="AD6862" s="388">
        <v>1.9507200000000002</v>
      </c>
      <c r="AE6862" s="388">
        <v>0.16459200000000002</v>
      </c>
      <c r="AF6862" s="388">
        <v>0.30471199999999998</v>
      </c>
      <c r="AG6862" s="388">
        <v>0.65227200000000007</v>
      </c>
      <c r="AH6862" s="391"/>
      <c r="AI6862" s="397"/>
      <c r="AJ6862" s="397"/>
      <c r="AU6862" s="397"/>
      <c r="AV6862" s="397"/>
      <c r="AW6862" s="397"/>
      <c r="AX6862" s="397"/>
      <c r="BI6862" s="397"/>
      <c r="BJ6862" s="397"/>
      <c r="BK6862" s="397"/>
      <c r="BL6862" s="397"/>
      <c r="BM6862" s="397"/>
      <c r="BN6862" s="397"/>
      <c r="BO6862" s="397"/>
      <c r="BP6862" s="397"/>
      <c r="BQ6862" s="397"/>
      <c r="BR6862" s="397"/>
      <c r="BS6862" s="397"/>
      <c r="BT6862" s="397"/>
      <c r="BU6862" s="397"/>
      <c r="BV6862" s="397"/>
      <c r="BW6862" s="397"/>
      <c r="BX6862" s="397"/>
      <c r="BY6862" s="397"/>
      <c r="BZ6862" s="397"/>
      <c r="CA6862" s="392" t="s">
        <v>412</v>
      </c>
    </row>
    <row r="6863" spans="1:80" s="392" customFormat="1" ht="15" x14ac:dyDescent="0.25">
      <c r="A6863" s="385"/>
      <c r="B6863" s="385"/>
      <c r="C6863" s="385"/>
      <c r="D6863" s="700"/>
      <c r="E6863" s="386"/>
      <c r="F6863" s="385"/>
      <c r="G6863" s="400"/>
      <c r="H6863" s="402"/>
      <c r="I6863" s="402"/>
      <c r="J6863" s="402"/>
      <c r="K6863" s="402"/>
      <c r="L6863" s="674"/>
      <c r="M6863" s="672">
        <v>30902</v>
      </c>
      <c r="N6863" s="623">
        <v>0.14565032587135165</v>
      </c>
      <c r="O6863" s="624">
        <v>3.3899040000000003E-4</v>
      </c>
      <c r="P6863" s="397"/>
      <c r="Q6863" s="397"/>
      <c r="R6863" s="397"/>
      <c r="S6863" s="397"/>
      <c r="T6863" s="397"/>
      <c r="U6863" s="397"/>
      <c r="V6863" s="397"/>
      <c r="W6863" s="397"/>
      <c r="X6863" s="397"/>
      <c r="Y6863" s="397"/>
      <c r="Z6863" s="397"/>
      <c r="AD6863" s="388">
        <v>1.9507200000000002</v>
      </c>
      <c r="AE6863" s="388">
        <v>0.13411200000000001</v>
      </c>
      <c r="AF6863" s="388">
        <v>0.24246899999999999</v>
      </c>
      <c r="AG6863" s="388">
        <v>0.61874399999999996</v>
      </c>
      <c r="AH6863" s="391"/>
      <c r="AI6863" s="397"/>
      <c r="AJ6863" s="397"/>
      <c r="AU6863" s="397"/>
      <c r="AV6863" s="397"/>
      <c r="AW6863" s="397"/>
      <c r="AX6863" s="397"/>
      <c r="BI6863" s="397"/>
      <c r="BJ6863" s="397"/>
      <c r="BK6863" s="397"/>
      <c r="BL6863" s="397"/>
      <c r="BM6863" s="397"/>
      <c r="BN6863" s="397"/>
      <c r="BO6863" s="397"/>
      <c r="BP6863" s="397"/>
      <c r="BQ6863" s="397"/>
      <c r="BR6863" s="397"/>
      <c r="BS6863" s="397"/>
      <c r="BT6863" s="397"/>
      <c r="BU6863" s="397"/>
      <c r="BV6863" s="397"/>
      <c r="BW6863" s="397"/>
      <c r="BX6863" s="397"/>
      <c r="BY6863" s="397"/>
      <c r="BZ6863" s="397"/>
      <c r="CA6863" s="392" t="s">
        <v>412</v>
      </c>
    </row>
    <row r="6864" spans="1:80" s="392" customFormat="1" ht="15" x14ac:dyDescent="0.25">
      <c r="A6864" s="385"/>
      <c r="B6864" s="385"/>
      <c r="C6864" s="385"/>
      <c r="D6864" s="700"/>
      <c r="E6864" s="386"/>
      <c r="F6864" s="385"/>
      <c r="G6864" s="400"/>
      <c r="H6864" s="402"/>
      <c r="I6864" s="402"/>
      <c r="J6864" s="402"/>
      <c r="K6864" s="402"/>
      <c r="L6864" s="674"/>
      <c r="M6864" s="672">
        <v>30910</v>
      </c>
      <c r="N6864" s="623">
        <v>8.3026353074525369E-2</v>
      </c>
      <c r="O6864" s="624">
        <v>6.1387200000000001E-4</v>
      </c>
      <c r="P6864" s="397"/>
      <c r="Q6864" s="397"/>
      <c r="R6864" s="397"/>
      <c r="S6864" s="397"/>
      <c r="T6864" s="397"/>
      <c r="U6864" s="397"/>
      <c r="V6864" s="397"/>
      <c r="W6864" s="397"/>
      <c r="X6864" s="397"/>
      <c r="Y6864" s="397"/>
      <c r="Z6864" s="397"/>
      <c r="AD6864" s="388">
        <v>1.8897600000000001</v>
      </c>
      <c r="AE6864" s="388">
        <v>0.12192000000000001</v>
      </c>
      <c r="AF6864" s="388">
        <v>0.21181199999999997</v>
      </c>
      <c r="AG6864" s="388">
        <v>0.37490400000000002</v>
      </c>
      <c r="AH6864" s="391"/>
      <c r="AI6864" s="397"/>
      <c r="AJ6864" s="397"/>
      <c r="AU6864" s="397"/>
      <c r="AV6864" s="397"/>
      <c r="AW6864" s="397"/>
      <c r="AX6864" s="397"/>
      <c r="BI6864" s="397"/>
      <c r="BJ6864" s="397"/>
      <c r="BK6864" s="397"/>
      <c r="BL6864" s="397"/>
      <c r="BM6864" s="397"/>
      <c r="BN6864" s="397"/>
      <c r="BO6864" s="397"/>
      <c r="BP6864" s="397"/>
      <c r="BQ6864" s="397"/>
      <c r="BR6864" s="397"/>
      <c r="BS6864" s="397"/>
      <c r="BT6864" s="397"/>
      <c r="BU6864" s="397"/>
      <c r="BV6864" s="397"/>
      <c r="BW6864" s="397"/>
      <c r="BX6864" s="397"/>
      <c r="BY6864" s="397"/>
      <c r="BZ6864" s="397"/>
      <c r="CA6864" s="392" t="s">
        <v>412</v>
      </c>
    </row>
    <row r="6865" spans="1:80" s="392" customFormat="1" ht="15" x14ac:dyDescent="0.25">
      <c r="A6865" s="385"/>
      <c r="B6865" s="385"/>
      <c r="C6865" s="385"/>
      <c r="D6865" s="700"/>
      <c r="E6865" s="386"/>
      <c r="F6865" s="385"/>
      <c r="G6865" s="400"/>
      <c r="H6865" s="402"/>
      <c r="I6865" s="402"/>
      <c r="J6865" s="402"/>
      <c r="K6865" s="402"/>
      <c r="L6865" s="674"/>
      <c r="M6865" s="672">
        <v>30923</v>
      </c>
      <c r="N6865" s="623">
        <v>0.11674695381127799</v>
      </c>
      <c r="O6865" s="624">
        <v>3.5380800000000005E-4</v>
      </c>
      <c r="P6865" s="397"/>
      <c r="Q6865" s="397"/>
      <c r="R6865" s="397"/>
      <c r="S6865" s="397"/>
      <c r="T6865" s="397"/>
      <c r="U6865" s="397"/>
      <c r="V6865" s="397"/>
      <c r="W6865" s="397"/>
      <c r="X6865" s="397"/>
      <c r="Y6865" s="397"/>
      <c r="Z6865" s="397"/>
      <c r="AD6865" s="388">
        <v>1.9202399999999999</v>
      </c>
      <c r="AE6865" s="388">
        <v>0.15240000000000001</v>
      </c>
      <c r="AF6865" s="388">
        <v>0.27219700000000002</v>
      </c>
      <c r="AG6865" s="388">
        <v>0.43281599999999998</v>
      </c>
      <c r="AH6865" s="391"/>
      <c r="AI6865" s="397"/>
      <c r="AJ6865" s="397"/>
      <c r="AU6865" s="397"/>
      <c r="AV6865" s="397"/>
      <c r="AW6865" s="397"/>
      <c r="AX6865" s="397"/>
      <c r="BI6865" s="397"/>
      <c r="BJ6865" s="397"/>
      <c r="BK6865" s="397"/>
      <c r="BL6865" s="397"/>
      <c r="BM6865" s="397"/>
      <c r="BN6865" s="397"/>
      <c r="BO6865" s="397"/>
      <c r="BP6865" s="397"/>
      <c r="BQ6865" s="397"/>
      <c r="BR6865" s="397"/>
      <c r="BS6865" s="397"/>
      <c r="BT6865" s="397"/>
      <c r="BU6865" s="397"/>
      <c r="BV6865" s="397"/>
      <c r="BW6865" s="397"/>
      <c r="BX6865" s="397"/>
      <c r="BY6865" s="397"/>
      <c r="BZ6865" s="397"/>
      <c r="CA6865" s="392" t="s">
        <v>412</v>
      </c>
    </row>
    <row r="6866" spans="1:80" s="392" customFormat="1" ht="15" x14ac:dyDescent="0.25">
      <c r="A6866" s="385"/>
      <c r="B6866" s="385"/>
      <c r="C6866" s="385"/>
      <c r="D6866" s="700"/>
      <c r="E6866" s="386"/>
      <c r="F6866" s="385"/>
      <c r="G6866" s="400"/>
      <c r="H6866" s="402"/>
      <c r="I6866" s="402"/>
      <c r="J6866" s="402"/>
      <c r="K6866" s="402"/>
      <c r="L6866" s="674"/>
      <c r="M6866" s="672">
        <v>30942</v>
      </c>
      <c r="N6866" s="623">
        <v>1.501841881552848E-2</v>
      </c>
      <c r="O6866" s="624">
        <v>0</v>
      </c>
      <c r="P6866" s="397"/>
      <c r="Q6866" s="397"/>
      <c r="R6866" s="397"/>
      <c r="S6866" s="397"/>
      <c r="T6866" s="397"/>
      <c r="U6866" s="397"/>
      <c r="V6866" s="397"/>
      <c r="W6866" s="397"/>
      <c r="X6866" s="397"/>
      <c r="Y6866" s="397"/>
      <c r="Z6866" s="397"/>
      <c r="AD6866" s="388">
        <v>1.9507200000000002</v>
      </c>
      <c r="AE6866" s="388">
        <v>6.7056000000000004E-2</v>
      </c>
      <c r="AF6866" s="388">
        <v>0.119841</v>
      </c>
      <c r="AG6866" s="388">
        <v>0.12801599999999999</v>
      </c>
      <c r="AH6866" s="391"/>
      <c r="AI6866" s="397"/>
      <c r="AJ6866" s="397"/>
      <c r="AU6866" s="397"/>
      <c r="AV6866" s="397"/>
      <c r="AW6866" s="397"/>
      <c r="AX6866" s="397"/>
      <c r="BI6866" s="397"/>
      <c r="BJ6866" s="397"/>
      <c r="BK6866" s="397"/>
      <c r="BL6866" s="397"/>
      <c r="BM6866" s="397"/>
      <c r="BN6866" s="397"/>
      <c r="BO6866" s="397"/>
      <c r="BP6866" s="397"/>
      <c r="BQ6866" s="397"/>
      <c r="BR6866" s="397"/>
      <c r="BS6866" s="397"/>
      <c r="BT6866" s="397"/>
      <c r="BU6866" s="397"/>
      <c r="BV6866" s="397"/>
      <c r="BW6866" s="397"/>
      <c r="BX6866" s="397"/>
      <c r="BY6866" s="397"/>
      <c r="BZ6866" s="397"/>
      <c r="CA6866" s="392" t="s">
        <v>412</v>
      </c>
    </row>
    <row r="6867" spans="1:80" s="189" customFormat="1" ht="15" x14ac:dyDescent="0.25">
      <c r="A6867" s="381" t="s">
        <v>445</v>
      </c>
      <c r="B6867" s="641" t="s">
        <v>34</v>
      </c>
      <c r="C6867" s="639"/>
      <c r="D6867" s="4">
        <f>VLOOKUP(E6867,'Quality Code'!$D$4:$E$24,2,TRUE)*VLOOKUP(MROUND(F6867,10),'Quality Code'!$D$28:$E$69,2,TRUE)*VLOOKUP(COUNTA(CB6867:CB6877),'Quality Code'!$D$73:$E$93,2,TRUE)</f>
        <v>0.2</v>
      </c>
      <c r="E6867" s="14">
        <v>0.4</v>
      </c>
      <c r="F6867" s="2">
        <v>15</v>
      </c>
      <c r="G6867" s="12"/>
      <c r="H6867" s="2" t="s">
        <v>105</v>
      </c>
      <c r="I6867" s="2"/>
      <c r="J6867" s="2"/>
      <c r="K6867" s="2"/>
      <c r="L6867" s="639"/>
      <c r="M6867" s="640">
        <v>1984</v>
      </c>
      <c r="N6867" s="578" t="s">
        <v>110</v>
      </c>
      <c r="O6867" s="578"/>
      <c r="P6867" s="26"/>
      <c r="Q6867" s="26"/>
      <c r="R6867" s="26"/>
      <c r="S6867" s="26"/>
      <c r="T6867" s="26"/>
      <c r="U6867" s="26"/>
      <c r="V6867" s="10"/>
      <c r="W6867" s="10"/>
      <c r="X6867" s="10"/>
      <c r="Y6867" s="10"/>
      <c r="Z6867" s="2"/>
      <c r="AA6867" s="26"/>
      <c r="AB6867" s="26"/>
      <c r="AC6867" s="377">
        <v>0.22439999999999999</v>
      </c>
      <c r="AD6867" s="406"/>
      <c r="AE6867" s="26"/>
      <c r="AF6867" s="26"/>
      <c r="AG6867" s="26"/>
      <c r="AH6867" s="26"/>
      <c r="AI6867" s="4"/>
      <c r="AJ6867" s="378"/>
      <c r="AK6867" s="376"/>
      <c r="AL6867" s="376"/>
      <c r="AM6867" s="376"/>
      <c r="AN6867" s="376"/>
      <c r="AO6867" s="376"/>
      <c r="AP6867" s="376"/>
      <c r="AQ6867" s="376"/>
      <c r="AR6867" s="376"/>
      <c r="AS6867" s="376"/>
      <c r="AT6867" s="376"/>
      <c r="AU6867" s="378"/>
      <c r="AV6867" s="378"/>
      <c r="AW6867" s="378"/>
      <c r="AX6867" s="378"/>
      <c r="AY6867" s="379"/>
      <c r="AZ6867" s="379"/>
      <c r="BA6867" s="380"/>
      <c r="BB6867" s="380"/>
      <c r="BC6867" s="380"/>
      <c r="BD6867" s="380"/>
      <c r="BE6867" s="380"/>
      <c r="BF6867" s="380"/>
      <c r="BG6867" s="380"/>
      <c r="BH6867" s="380"/>
      <c r="BI6867" s="4"/>
      <c r="BJ6867" s="12"/>
      <c r="BK6867" s="2"/>
      <c r="BL6867" s="2"/>
      <c r="BM6867" s="4"/>
      <c r="BN6867" s="12"/>
      <c r="BO6867" s="12"/>
      <c r="BP6867" s="12"/>
      <c r="BQ6867" s="4"/>
      <c r="BR6867" s="4"/>
      <c r="BS6867" s="4"/>
      <c r="BT6867" s="2"/>
      <c r="BU6867" s="9"/>
      <c r="BV6867" s="381"/>
      <c r="BW6867" s="382"/>
      <c r="BX6867" s="383"/>
      <c r="BY6867" s="383" t="s">
        <v>417</v>
      </c>
      <c r="BZ6867" s="383"/>
      <c r="CA6867" s="384" t="s">
        <v>412</v>
      </c>
      <c r="CB6867" s="411"/>
    </row>
    <row r="6868" spans="1:80" s="392" customFormat="1" ht="15" x14ac:dyDescent="0.25">
      <c r="A6868" s="385"/>
      <c r="B6868" s="385"/>
      <c r="C6868" s="385"/>
      <c r="D6868" s="700"/>
      <c r="E6868" s="386"/>
      <c r="F6868" s="385"/>
      <c r="G6868" s="400"/>
      <c r="H6868" s="402"/>
      <c r="I6868" s="402"/>
      <c r="J6868" s="402"/>
      <c r="K6868" s="402"/>
      <c r="L6868" s="674"/>
      <c r="M6868" s="672">
        <v>30817</v>
      </c>
      <c r="N6868" s="623">
        <v>5.6673278549164069E-2</v>
      </c>
      <c r="O6868" s="624">
        <v>1.6934400000000001E-4</v>
      </c>
      <c r="P6868" s="397"/>
      <c r="Q6868" s="397"/>
      <c r="R6868" s="397"/>
      <c r="S6868" s="397"/>
      <c r="T6868" s="397"/>
      <c r="U6868" s="397"/>
      <c r="V6868" s="397"/>
      <c r="W6868" s="397"/>
      <c r="X6868" s="397"/>
      <c r="Y6868" s="397"/>
      <c r="Z6868" s="397"/>
      <c r="AD6868" s="388">
        <v>2.2250399999999999</v>
      </c>
      <c r="AE6868" s="388">
        <v>0.19507200000000002</v>
      </c>
      <c r="AF6868" s="388">
        <v>0.43105599999999994</v>
      </c>
      <c r="AG6868" s="388">
        <v>0.112776</v>
      </c>
      <c r="AH6868" s="391"/>
      <c r="AI6868" s="397"/>
      <c r="AJ6868" s="397"/>
      <c r="AU6868" s="397"/>
      <c r="AV6868" s="397"/>
      <c r="AW6868" s="397"/>
      <c r="AX6868" s="397"/>
      <c r="BI6868" s="397"/>
      <c r="BJ6868" s="397"/>
      <c r="BK6868" s="397"/>
      <c r="BL6868" s="397"/>
      <c r="BM6868" s="397"/>
      <c r="BN6868" s="397"/>
      <c r="BO6868" s="397"/>
      <c r="BP6868" s="397"/>
      <c r="BQ6868" s="397"/>
      <c r="BR6868" s="397"/>
      <c r="BS6868" s="397"/>
      <c r="BT6868" s="397"/>
      <c r="BU6868" s="397"/>
      <c r="BV6868" s="397"/>
      <c r="BW6868" s="397"/>
      <c r="BX6868" s="397"/>
      <c r="BY6868" s="397"/>
      <c r="BZ6868" s="397"/>
      <c r="CA6868" s="392" t="s">
        <v>412</v>
      </c>
    </row>
    <row r="6869" spans="1:80" s="392" customFormat="1" ht="15" x14ac:dyDescent="0.25">
      <c r="A6869" s="385"/>
      <c r="B6869" s="385"/>
      <c r="C6869" s="385"/>
      <c r="D6869" s="700"/>
      <c r="E6869" s="386"/>
      <c r="F6869" s="385"/>
      <c r="G6869" s="400"/>
      <c r="H6869" s="402"/>
      <c r="I6869" s="402"/>
      <c r="J6869" s="402"/>
      <c r="K6869" s="402"/>
      <c r="L6869" s="674"/>
      <c r="M6869" s="672">
        <v>30824</v>
      </c>
      <c r="N6869" s="623">
        <v>0.22470954944743554</v>
      </c>
      <c r="O6869" s="624">
        <v>5.2617600000000005E-4</v>
      </c>
      <c r="P6869" s="397"/>
      <c r="Q6869" s="397"/>
      <c r="R6869" s="397"/>
      <c r="S6869" s="397"/>
      <c r="T6869" s="397"/>
      <c r="U6869" s="397"/>
      <c r="V6869" s="397"/>
      <c r="W6869" s="397"/>
      <c r="X6869" s="397"/>
      <c r="Y6869" s="397"/>
      <c r="Z6869" s="397"/>
      <c r="AD6869" s="388">
        <v>2.7127200000000005</v>
      </c>
      <c r="AE6869" s="388">
        <v>0.26517600000000002</v>
      </c>
      <c r="AF6869" s="388">
        <v>0.76735399999999998</v>
      </c>
      <c r="AG6869" s="388">
        <v>0.20726400000000003</v>
      </c>
      <c r="AH6869" s="391"/>
      <c r="AI6869" s="397"/>
      <c r="AJ6869" s="397"/>
      <c r="AU6869" s="397"/>
      <c r="AV6869" s="397"/>
      <c r="AW6869" s="397"/>
      <c r="AX6869" s="397"/>
      <c r="BI6869" s="397"/>
      <c r="BJ6869" s="397"/>
      <c r="BK6869" s="397"/>
      <c r="BL6869" s="397"/>
      <c r="BM6869" s="397"/>
      <c r="BN6869" s="397"/>
      <c r="BO6869" s="397"/>
      <c r="BP6869" s="397"/>
      <c r="BQ6869" s="397"/>
      <c r="BR6869" s="397"/>
      <c r="BS6869" s="397"/>
      <c r="BT6869" s="397"/>
      <c r="BU6869" s="397"/>
      <c r="BV6869" s="397"/>
      <c r="BW6869" s="397"/>
      <c r="BX6869" s="397"/>
      <c r="BY6869" s="397"/>
      <c r="BZ6869" s="397"/>
      <c r="CA6869" s="392" t="s">
        <v>412</v>
      </c>
    </row>
    <row r="6870" spans="1:80" s="392" customFormat="1" ht="15" x14ac:dyDescent="0.25">
      <c r="A6870" s="385"/>
      <c r="B6870" s="385"/>
      <c r="C6870" s="385"/>
      <c r="D6870" s="700"/>
      <c r="E6870" s="386"/>
      <c r="F6870" s="385"/>
      <c r="G6870" s="400"/>
      <c r="H6870" s="402"/>
      <c r="I6870" s="402"/>
      <c r="J6870" s="402"/>
      <c r="K6870" s="402"/>
      <c r="L6870" s="674"/>
      <c r="M6870" s="672">
        <v>30831</v>
      </c>
      <c r="N6870" s="623">
        <v>0.41059790308869371</v>
      </c>
      <c r="O6870" s="624">
        <v>5.6246400000000015E-4</v>
      </c>
      <c r="P6870" s="397"/>
      <c r="Q6870" s="397"/>
      <c r="R6870" s="397"/>
      <c r="S6870" s="397"/>
      <c r="T6870" s="397"/>
      <c r="U6870" s="397"/>
      <c r="V6870" s="397"/>
      <c r="W6870" s="397"/>
      <c r="X6870" s="397"/>
      <c r="Y6870" s="397"/>
      <c r="Z6870" s="397"/>
      <c r="AD6870" s="388">
        <v>2.9260800000000002</v>
      </c>
      <c r="AE6870" s="388">
        <v>0.36271199999999998</v>
      </c>
      <c r="AF6870" s="388">
        <v>1.115729</v>
      </c>
      <c r="AG6870" s="388">
        <v>0.28651199999999999</v>
      </c>
      <c r="AH6870" s="391"/>
      <c r="AI6870" s="397"/>
      <c r="AJ6870" s="397"/>
      <c r="AU6870" s="397"/>
      <c r="AV6870" s="397"/>
      <c r="AW6870" s="397"/>
      <c r="AX6870" s="397"/>
      <c r="BI6870" s="397"/>
      <c r="BJ6870" s="397"/>
      <c r="BK6870" s="397"/>
      <c r="BL6870" s="397"/>
      <c r="BM6870" s="397"/>
      <c r="BN6870" s="397"/>
      <c r="BO6870" s="397"/>
      <c r="BP6870" s="397"/>
      <c r="BQ6870" s="397"/>
      <c r="BR6870" s="397"/>
      <c r="BS6870" s="397"/>
      <c r="BT6870" s="397"/>
      <c r="BU6870" s="397"/>
      <c r="BV6870" s="397"/>
      <c r="BW6870" s="397"/>
      <c r="BX6870" s="397"/>
      <c r="BY6870" s="397"/>
      <c r="BZ6870" s="397"/>
      <c r="CA6870" s="392" t="s">
        <v>412</v>
      </c>
    </row>
    <row r="6871" spans="1:80" s="392" customFormat="1" ht="15" x14ac:dyDescent="0.25">
      <c r="A6871" s="385"/>
      <c r="B6871" s="385"/>
      <c r="C6871" s="385"/>
      <c r="D6871" s="700"/>
      <c r="E6871" s="386"/>
      <c r="F6871" s="385"/>
      <c r="G6871" s="400"/>
      <c r="H6871" s="402"/>
      <c r="I6871" s="402"/>
      <c r="J6871" s="402"/>
      <c r="K6871" s="402"/>
      <c r="L6871" s="674"/>
      <c r="M6871" s="672">
        <v>30839</v>
      </c>
      <c r="N6871" s="623">
        <v>0.47293850949277422</v>
      </c>
      <c r="O6871" s="624">
        <v>2.8425600000000009E-4</v>
      </c>
      <c r="P6871" s="397"/>
      <c r="Q6871" s="397"/>
      <c r="R6871" s="397"/>
      <c r="S6871" s="397"/>
      <c r="T6871" s="397"/>
      <c r="U6871" s="397"/>
      <c r="V6871" s="397"/>
      <c r="W6871" s="397"/>
      <c r="X6871" s="397"/>
      <c r="Y6871" s="397"/>
      <c r="Z6871" s="397"/>
      <c r="AD6871" s="388">
        <v>2.9565600000000001</v>
      </c>
      <c r="AE6871" s="388">
        <v>0.39014400000000005</v>
      </c>
      <c r="AF6871" s="388">
        <v>1.212345</v>
      </c>
      <c r="AG6871" s="388">
        <v>0.28651199999999999</v>
      </c>
      <c r="AH6871" s="391"/>
      <c r="AI6871" s="397"/>
      <c r="AJ6871" s="397"/>
      <c r="AU6871" s="397"/>
      <c r="AV6871" s="397"/>
      <c r="AW6871" s="397"/>
      <c r="AX6871" s="397"/>
      <c r="BI6871" s="397"/>
      <c r="BJ6871" s="397"/>
      <c r="BK6871" s="397"/>
      <c r="BL6871" s="397"/>
      <c r="BM6871" s="397"/>
      <c r="BN6871" s="397"/>
      <c r="BO6871" s="397"/>
      <c r="BP6871" s="397"/>
      <c r="BQ6871" s="397"/>
      <c r="BR6871" s="397"/>
      <c r="BS6871" s="397"/>
      <c r="BT6871" s="397"/>
      <c r="BU6871" s="397"/>
      <c r="BV6871" s="397"/>
      <c r="BW6871" s="397"/>
      <c r="BX6871" s="397"/>
      <c r="BY6871" s="397"/>
      <c r="BZ6871" s="397"/>
      <c r="CA6871" s="392" t="s">
        <v>412</v>
      </c>
    </row>
    <row r="6872" spans="1:80" s="392" customFormat="1" ht="15" x14ac:dyDescent="0.25">
      <c r="A6872" s="385"/>
      <c r="B6872" s="385"/>
      <c r="C6872" s="385"/>
      <c r="D6872" s="700"/>
      <c r="E6872" s="386"/>
      <c r="F6872" s="385"/>
      <c r="G6872" s="400"/>
      <c r="H6872" s="402"/>
      <c r="I6872" s="402"/>
      <c r="J6872" s="402"/>
      <c r="K6872" s="402"/>
      <c r="L6872" s="674"/>
      <c r="M6872" s="672">
        <v>30844</v>
      </c>
      <c r="N6872" s="623">
        <v>0.36242561632190423</v>
      </c>
      <c r="O6872" s="624">
        <v>1.9474560000000001E-4</v>
      </c>
      <c r="P6872" s="397"/>
      <c r="Q6872" s="397"/>
      <c r="R6872" s="397"/>
      <c r="S6872" s="397"/>
      <c r="T6872" s="397"/>
      <c r="U6872" s="397"/>
      <c r="V6872" s="397"/>
      <c r="W6872" s="397"/>
      <c r="X6872" s="397"/>
      <c r="Y6872" s="397"/>
      <c r="Z6872" s="397"/>
      <c r="AD6872" s="388">
        <v>2.8346400000000003</v>
      </c>
      <c r="AE6872" s="388">
        <v>0.31699200000000005</v>
      </c>
      <c r="AF6872" s="388">
        <v>0.98473999999999995</v>
      </c>
      <c r="AG6872" s="388">
        <v>0.26212800000000003</v>
      </c>
      <c r="AH6872" s="391"/>
      <c r="AI6872" s="397"/>
      <c r="AJ6872" s="397"/>
      <c r="AU6872" s="397"/>
      <c r="AV6872" s="397"/>
      <c r="AW6872" s="397"/>
      <c r="AX6872" s="397"/>
      <c r="BI6872" s="397"/>
      <c r="BJ6872" s="397"/>
      <c r="BK6872" s="397"/>
      <c r="BL6872" s="397"/>
      <c r="BM6872" s="397"/>
      <c r="BN6872" s="397"/>
      <c r="BO6872" s="397"/>
      <c r="BP6872" s="397"/>
      <c r="BQ6872" s="397"/>
      <c r="BR6872" s="397"/>
      <c r="BS6872" s="397"/>
      <c r="BT6872" s="397"/>
      <c r="BU6872" s="397"/>
      <c r="BV6872" s="397"/>
      <c r="BW6872" s="397"/>
      <c r="BX6872" s="397"/>
      <c r="BY6872" s="397"/>
      <c r="BZ6872" s="397"/>
      <c r="CA6872" s="392" t="s">
        <v>412</v>
      </c>
    </row>
    <row r="6873" spans="1:80" s="392" customFormat="1" ht="15" x14ac:dyDescent="0.25">
      <c r="A6873" s="385"/>
      <c r="B6873" s="385"/>
      <c r="C6873" s="385"/>
      <c r="D6873" s="700"/>
      <c r="E6873" s="386"/>
      <c r="F6873" s="385"/>
      <c r="G6873" s="400"/>
      <c r="H6873" s="402"/>
      <c r="I6873" s="402"/>
      <c r="J6873" s="402"/>
      <c r="K6873" s="402"/>
      <c r="L6873" s="674"/>
      <c r="M6873" s="672">
        <v>30855</v>
      </c>
      <c r="N6873" s="623">
        <v>0.77557381694531036</v>
      </c>
      <c r="O6873" s="624">
        <v>7.5600000000000016E-4</v>
      </c>
      <c r="P6873" s="397"/>
      <c r="Q6873" s="397"/>
      <c r="R6873" s="397"/>
      <c r="S6873" s="397"/>
      <c r="T6873" s="397"/>
      <c r="U6873" s="397"/>
      <c r="V6873" s="397"/>
      <c r="W6873" s="397"/>
      <c r="X6873" s="397"/>
      <c r="Y6873" s="397"/>
      <c r="Z6873" s="397"/>
      <c r="AD6873" s="388">
        <v>3.9624000000000001</v>
      </c>
      <c r="AE6873" s="388">
        <v>0.39319200000000004</v>
      </c>
      <c r="AF6873" s="388">
        <v>1.50498</v>
      </c>
      <c r="AG6873" s="388">
        <v>0.35966399999999998</v>
      </c>
      <c r="AH6873" s="391"/>
      <c r="AI6873" s="397"/>
      <c r="AJ6873" s="397"/>
      <c r="AU6873" s="397"/>
      <c r="AV6873" s="397"/>
      <c r="AW6873" s="397"/>
      <c r="AX6873" s="397"/>
      <c r="BI6873" s="397"/>
      <c r="BJ6873" s="397"/>
      <c r="BK6873" s="397"/>
      <c r="BL6873" s="397"/>
      <c r="BM6873" s="397"/>
      <c r="BN6873" s="397"/>
      <c r="BO6873" s="397"/>
      <c r="BP6873" s="397"/>
      <c r="BQ6873" s="397"/>
      <c r="BR6873" s="397"/>
      <c r="BS6873" s="397"/>
      <c r="BT6873" s="397"/>
      <c r="BU6873" s="397"/>
      <c r="BV6873" s="397"/>
      <c r="BW6873" s="397"/>
      <c r="BX6873" s="397"/>
      <c r="BY6873" s="397"/>
      <c r="BZ6873" s="397"/>
      <c r="CA6873" s="392" t="s">
        <v>412</v>
      </c>
    </row>
    <row r="6874" spans="1:80" s="392" customFormat="1" ht="15" x14ac:dyDescent="0.25">
      <c r="A6874" s="385"/>
      <c r="B6874" s="385"/>
      <c r="C6874" s="385"/>
      <c r="D6874" s="700"/>
      <c r="E6874" s="386"/>
      <c r="F6874" s="385"/>
      <c r="G6874" s="400"/>
      <c r="H6874" s="402"/>
      <c r="I6874" s="402"/>
      <c r="J6874" s="402"/>
      <c r="K6874" s="402"/>
      <c r="L6874" s="674"/>
      <c r="M6874" s="672">
        <v>30858</v>
      </c>
      <c r="N6874" s="623">
        <v>0.57608387645225267</v>
      </c>
      <c r="O6874" s="624">
        <v>3.0240000000000006E-3</v>
      </c>
      <c r="P6874" s="397"/>
      <c r="Q6874" s="397"/>
      <c r="R6874" s="397"/>
      <c r="S6874" s="397"/>
      <c r="T6874" s="397"/>
      <c r="U6874" s="397"/>
      <c r="V6874" s="397"/>
      <c r="W6874" s="397"/>
      <c r="X6874" s="397"/>
      <c r="Y6874" s="397"/>
      <c r="Z6874" s="397"/>
      <c r="AD6874" s="388">
        <v>3.9319200000000003</v>
      </c>
      <c r="AE6874" s="388">
        <v>0.40843200000000002</v>
      </c>
      <c r="AF6874" s="388">
        <v>1.5616489999999998</v>
      </c>
      <c r="AG6874" s="388">
        <v>0.24993599999999999</v>
      </c>
      <c r="AH6874" s="391"/>
      <c r="AI6874" s="397"/>
      <c r="AJ6874" s="397"/>
      <c r="AU6874" s="397"/>
      <c r="AV6874" s="397"/>
      <c r="AW6874" s="397"/>
      <c r="AX6874" s="397"/>
      <c r="BI6874" s="397"/>
      <c r="BJ6874" s="397"/>
      <c r="BK6874" s="397"/>
      <c r="BL6874" s="397"/>
      <c r="BM6874" s="397"/>
      <c r="BN6874" s="397"/>
      <c r="BO6874" s="397"/>
      <c r="BP6874" s="397"/>
      <c r="BQ6874" s="397"/>
      <c r="BR6874" s="397"/>
      <c r="BS6874" s="397"/>
      <c r="BT6874" s="397"/>
      <c r="BU6874" s="397"/>
      <c r="BV6874" s="397"/>
      <c r="BW6874" s="397"/>
      <c r="BX6874" s="397"/>
      <c r="BY6874" s="397"/>
      <c r="BZ6874" s="397"/>
      <c r="CA6874" s="392" t="s">
        <v>412</v>
      </c>
    </row>
    <row r="6875" spans="1:80" s="392" customFormat="1" ht="15" x14ac:dyDescent="0.25">
      <c r="A6875" s="385"/>
      <c r="B6875" s="385"/>
      <c r="C6875" s="385"/>
      <c r="D6875" s="700"/>
      <c r="E6875" s="386"/>
      <c r="F6875" s="385"/>
      <c r="G6875" s="400"/>
      <c r="H6875" s="402"/>
      <c r="I6875" s="402"/>
      <c r="J6875" s="402"/>
      <c r="K6875" s="402"/>
      <c r="L6875" s="674"/>
      <c r="M6875" s="672">
        <v>30866</v>
      </c>
      <c r="N6875" s="623">
        <v>1.2408614338339472</v>
      </c>
      <c r="O6875" s="624">
        <v>1.1339999999999998E-3</v>
      </c>
      <c r="P6875" s="397"/>
      <c r="Q6875" s="397"/>
      <c r="R6875" s="397"/>
      <c r="S6875" s="397"/>
      <c r="T6875" s="397"/>
      <c r="U6875" s="397"/>
      <c r="V6875" s="397"/>
      <c r="W6875" s="397"/>
      <c r="X6875" s="397"/>
      <c r="Y6875" s="397"/>
      <c r="Z6875" s="397"/>
      <c r="AD6875" s="388">
        <v>3.9319200000000003</v>
      </c>
      <c r="AE6875" s="388">
        <v>0.41148000000000007</v>
      </c>
      <c r="AF6875" s="388">
        <v>1.6080989999999997</v>
      </c>
      <c r="AG6875" s="388">
        <v>0.54559200000000008</v>
      </c>
      <c r="AH6875" s="391"/>
      <c r="AI6875" s="397"/>
      <c r="AJ6875" s="397"/>
      <c r="AU6875" s="397"/>
      <c r="AV6875" s="397"/>
      <c r="AW6875" s="397"/>
      <c r="AX6875" s="397"/>
      <c r="BI6875" s="397"/>
      <c r="BJ6875" s="397"/>
      <c r="BK6875" s="397"/>
      <c r="BL6875" s="397"/>
      <c r="BM6875" s="397"/>
      <c r="BN6875" s="397"/>
      <c r="BO6875" s="397"/>
      <c r="BP6875" s="397"/>
      <c r="BQ6875" s="397"/>
      <c r="BR6875" s="397"/>
      <c r="BS6875" s="397"/>
      <c r="BT6875" s="397"/>
      <c r="BU6875" s="397"/>
      <c r="BV6875" s="397"/>
      <c r="BW6875" s="397"/>
      <c r="BX6875" s="397"/>
      <c r="BY6875" s="397"/>
      <c r="BZ6875" s="397"/>
      <c r="CA6875" s="392" t="s">
        <v>412</v>
      </c>
    </row>
    <row r="6876" spans="1:80" s="392" customFormat="1" ht="15" x14ac:dyDescent="0.25">
      <c r="A6876" s="385"/>
      <c r="B6876" s="385"/>
      <c r="C6876" s="385"/>
      <c r="D6876" s="700"/>
      <c r="E6876" s="386"/>
      <c r="F6876" s="385"/>
      <c r="G6876" s="400"/>
      <c r="H6876" s="402"/>
      <c r="I6876" s="402"/>
      <c r="J6876" s="402"/>
      <c r="K6876" s="402"/>
      <c r="L6876" s="674"/>
      <c r="M6876" s="672">
        <v>30875</v>
      </c>
      <c r="N6876" s="623">
        <v>0.73590252196089545</v>
      </c>
      <c r="O6876" s="624">
        <v>3.5985600000000006E-3</v>
      </c>
      <c r="P6876" s="397"/>
      <c r="Q6876" s="397"/>
      <c r="R6876" s="397"/>
      <c r="S6876" s="397"/>
      <c r="T6876" s="397"/>
      <c r="U6876" s="397"/>
      <c r="V6876" s="397"/>
      <c r="W6876" s="397"/>
      <c r="X6876" s="397"/>
      <c r="Y6876" s="397"/>
      <c r="Z6876" s="397"/>
      <c r="AD6876" s="388">
        <v>3.8709600000000002</v>
      </c>
      <c r="AE6876" s="388">
        <v>0.36271199999999998</v>
      </c>
      <c r="AF6876" s="388">
        <v>1.2968839999999999</v>
      </c>
      <c r="AG6876" s="388">
        <v>0.420624</v>
      </c>
      <c r="AH6876" s="391"/>
      <c r="AI6876" s="397"/>
      <c r="AJ6876" s="397"/>
      <c r="AU6876" s="397"/>
      <c r="AV6876" s="397"/>
      <c r="AW6876" s="397"/>
      <c r="AX6876" s="397"/>
      <c r="BI6876" s="397"/>
      <c r="BJ6876" s="397"/>
      <c r="BK6876" s="397"/>
      <c r="BL6876" s="397"/>
      <c r="BM6876" s="397"/>
      <c r="BN6876" s="397"/>
      <c r="BO6876" s="397"/>
      <c r="BP6876" s="397"/>
      <c r="BQ6876" s="397"/>
      <c r="BR6876" s="397"/>
      <c r="BS6876" s="397"/>
      <c r="BT6876" s="397"/>
      <c r="BU6876" s="397"/>
      <c r="BV6876" s="397"/>
      <c r="BW6876" s="397"/>
      <c r="BX6876" s="397"/>
      <c r="BY6876" s="397"/>
      <c r="BZ6876" s="397"/>
      <c r="CA6876" s="392" t="s">
        <v>412</v>
      </c>
    </row>
    <row r="6877" spans="1:80" s="392" customFormat="1" ht="15" x14ac:dyDescent="0.25">
      <c r="A6877" s="385"/>
      <c r="B6877" s="385"/>
      <c r="C6877" s="385"/>
      <c r="D6877" s="700"/>
      <c r="E6877" s="386"/>
      <c r="F6877" s="385"/>
      <c r="G6877" s="400"/>
      <c r="H6877" s="402"/>
      <c r="I6877" s="402"/>
      <c r="J6877" s="402"/>
      <c r="K6877" s="402"/>
      <c r="L6877" s="674"/>
      <c r="M6877" s="672">
        <v>30887</v>
      </c>
      <c r="N6877" s="623">
        <v>0.41484839897988102</v>
      </c>
      <c r="O6877" s="624">
        <v>1.7055360000000003E-4</v>
      </c>
      <c r="P6877" s="397"/>
      <c r="Q6877" s="397"/>
      <c r="R6877" s="397"/>
      <c r="S6877" s="397"/>
      <c r="T6877" s="397"/>
      <c r="U6877" s="397"/>
      <c r="V6877" s="397"/>
      <c r="W6877" s="397"/>
      <c r="X6877" s="397"/>
      <c r="Y6877" s="397"/>
      <c r="Z6877" s="397"/>
      <c r="AD6877" s="388">
        <v>2.9565600000000001</v>
      </c>
      <c r="AE6877" s="388">
        <v>0.34137600000000007</v>
      </c>
      <c r="AF6877" s="388">
        <v>1.0729949999999999</v>
      </c>
      <c r="AG6877" s="388">
        <v>0.29565600000000003</v>
      </c>
      <c r="AH6877" s="391"/>
      <c r="AI6877" s="397"/>
      <c r="AJ6877" s="397"/>
      <c r="AU6877" s="397"/>
      <c r="AV6877" s="397"/>
      <c r="AW6877" s="397"/>
      <c r="AX6877" s="397"/>
      <c r="BI6877" s="397"/>
      <c r="BJ6877" s="397"/>
      <c r="BK6877" s="397"/>
      <c r="BL6877" s="397"/>
      <c r="BM6877" s="397"/>
      <c r="BN6877" s="397"/>
      <c r="BO6877" s="397"/>
      <c r="BP6877" s="397"/>
      <c r="BQ6877" s="397"/>
      <c r="BR6877" s="397"/>
      <c r="BS6877" s="397"/>
      <c r="BT6877" s="397"/>
      <c r="BU6877" s="397"/>
      <c r="BV6877" s="397"/>
      <c r="BW6877" s="397"/>
      <c r="BX6877" s="397"/>
      <c r="BY6877" s="397"/>
      <c r="BZ6877" s="397"/>
      <c r="CA6877" s="392" t="s">
        <v>412</v>
      </c>
    </row>
    <row r="6878" spans="1:80" s="392" customFormat="1" ht="15" x14ac:dyDescent="0.25">
      <c r="A6878" s="385"/>
      <c r="B6878" s="385"/>
      <c r="C6878" s="385"/>
      <c r="D6878" s="700"/>
      <c r="E6878" s="386"/>
      <c r="F6878" s="385"/>
      <c r="G6878" s="400"/>
      <c r="H6878" s="402"/>
      <c r="I6878" s="402"/>
      <c r="J6878" s="402"/>
      <c r="K6878" s="402"/>
      <c r="L6878" s="674"/>
      <c r="M6878" s="672">
        <v>30895</v>
      </c>
      <c r="N6878" s="623">
        <v>0.33777274015301784</v>
      </c>
      <c r="O6878" s="624">
        <v>1.3456800000000003E-4</v>
      </c>
      <c r="P6878" s="397"/>
      <c r="Q6878" s="397"/>
      <c r="R6878" s="397"/>
      <c r="S6878" s="397"/>
      <c r="T6878" s="397"/>
      <c r="U6878" s="397"/>
      <c r="V6878" s="397"/>
      <c r="W6878" s="397"/>
      <c r="X6878" s="397"/>
      <c r="Y6878" s="397"/>
      <c r="Z6878" s="397"/>
      <c r="AD6878" s="388">
        <v>2.8346400000000003</v>
      </c>
      <c r="AE6878" s="388">
        <v>0.31699200000000005</v>
      </c>
      <c r="AF6878" s="388">
        <v>0.94200600000000001</v>
      </c>
      <c r="AG6878" s="388">
        <v>0.29260799999999998</v>
      </c>
      <c r="AH6878" s="391"/>
      <c r="AI6878" s="397"/>
      <c r="AJ6878" s="397"/>
      <c r="AU6878" s="397"/>
      <c r="AV6878" s="397"/>
      <c r="AW6878" s="397"/>
      <c r="AX6878" s="397"/>
      <c r="BI6878" s="397"/>
      <c r="BJ6878" s="397"/>
      <c r="BK6878" s="397"/>
      <c r="BL6878" s="397"/>
      <c r="BM6878" s="397"/>
      <c r="BN6878" s="397"/>
      <c r="BO6878" s="397"/>
      <c r="BP6878" s="397"/>
      <c r="BQ6878" s="397"/>
      <c r="BR6878" s="397"/>
      <c r="BS6878" s="397"/>
      <c r="BT6878" s="397"/>
      <c r="BU6878" s="397"/>
      <c r="BV6878" s="397"/>
      <c r="BW6878" s="397"/>
      <c r="BX6878" s="397"/>
      <c r="BY6878" s="397"/>
      <c r="BZ6878" s="397"/>
      <c r="CA6878" s="392" t="s">
        <v>412</v>
      </c>
    </row>
    <row r="6879" spans="1:80" s="392" customFormat="1" ht="15" x14ac:dyDescent="0.25">
      <c r="A6879" s="385"/>
      <c r="B6879" s="385"/>
      <c r="C6879" s="385"/>
      <c r="D6879" s="700"/>
      <c r="E6879" s="386"/>
      <c r="F6879" s="385"/>
      <c r="G6879" s="400"/>
      <c r="H6879" s="402"/>
      <c r="I6879" s="402"/>
      <c r="J6879" s="402"/>
      <c r="K6879" s="402"/>
      <c r="L6879" s="674"/>
      <c r="M6879" s="672">
        <v>30902</v>
      </c>
      <c r="N6879" s="623">
        <v>0.26211391328988382</v>
      </c>
      <c r="O6879" s="624">
        <v>3.4987680000000011E-3</v>
      </c>
      <c r="P6879" s="397"/>
      <c r="Q6879" s="397"/>
      <c r="R6879" s="397"/>
      <c r="S6879" s="397"/>
      <c r="T6879" s="397"/>
      <c r="U6879" s="397"/>
      <c r="V6879" s="397"/>
      <c r="W6879" s="397"/>
      <c r="X6879" s="397"/>
      <c r="Y6879" s="397"/>
      <c r="Z6879" s="397"/>
      <c r="AD6879" s="388">
        <v>2.8346400000000003</v>
      </c>
      <c r="AE6879" s="388">
        <v>0.30480000000000002</v>
      </c>
      <c r="AF6879" s="388">
        <v>0.89462700000000006</v>
      </c>
      <c r="AG6879" s="388">
        <v>0.24993599999999999</v>
      </c>
      <c r="AH6879" s="391"/>
      <c r="AI6879" s="397"/>
      <c r="AJ6879" s="397"/>
      <c r="AU6879" s="397"/>
      <c r="AV6879" s="397"/>
      <c r="AW6879" s="397"/>
      <c r="AX6879" s="397"/>
      <c r="BI6879" s="397"/>
      <c r="BJ6879" s="397"/>
      <c r="BK6879" s="397"/>
      <c r="BL6879" s="397"/>
      <c r="BM6879" s="397"/>
      <c r="BN6879" s="397"/>
      <c r="BO6879" s="397"/>
      <c r="BP6879" s="397"/>
      <c r="BQ6879" s="397"/>
      <c r="BR6879" s="397"/>
      <c r="BS6879" s="397"/>
      <c r="BT6879" s="397"/>
      <c r="BU6879" s="397"/>
      <c r="BV6879" s="397"/>
      <c r="BW6879" s="397"/>
      <c r="BX6879" s="397"/>
      <c r="BY6879" s="397"/>
      <c r="BZ6879" s="397"/>
      <c r="CA6879" s="392" t="s">
        <v>412</v>
      </c>
    </row>
    <row r="6880" spans="1:80" s="392" customFormat="1" ht="15" x14ac:dyDescent="0.25">
      <c r="A6880" s="385"/>
      <c r="B6880" s="385"/>
      <c r="C6880" s="385"/>
      <c r="D6880" s="700"/>
      <c r="E6880" s="386"/>
      <c r="F6880" s="385"/>
      <c r="G6880" s="400"/>
      <c r="H6880" s="402"/>
      <c r="I6880" s="402"/>
      <c r="J6880" s="402"/>
      <c r="K6880" s="402"/>
      <c r="L6880" s="674"/>
      <c r="M6880" s="672">
        <v>30911</v>
      </c>
      <c r="N6880" s="623">
        <v>0.1572683479739303</v>
      </c>
      <c r="O6880" s="624">
        <v>5.6851200000000018E-4</v>
      </c>
      <c r="P6880" s="397"/>
      <c r="Q6880" s="397"/>
      <c r="R6880" s="397"/>
      <c r="S6880" s="397"/>
      <c r="T6880" s="397"/>
      <c r="U6880" s="397"/>
      <c r="V6880" s="397"/>
      <c r="W6880" s="397"/>
      <c r="X6880" s="397"/>
      <c r="Y6880" s="397"/>
      <c r="Z6880" s="397"/>
      <c r="AD6880" s="388">
        <v>3.0175200000000002</v>
      </c>
      <c r="AE6880" s="388">
        <v>0.277368</v>
      </c>
      <c r="AF6880" s="388">
        <v>0.79150799999999988</v>
      </c>
      <c r="AG6880" s="388">
        <v>0.173736</v>
      </c>
      <c r="AH6880" s="391"/>
      <c r="AI6880" s="397"/>
      <c r="AJ6880" s="397"/>
      <c r="AU6880" s="397"/>
      <c r="AV6880" s="397"/>
      <c r="AW6880" s="397"/>
      <c r="AX6880" s="397"/>
      <c r="BI6880" s="397"/>
      <c r="BJ6880" s="397"/>
      <c r="BK6880" s="397"/>
      <c r="BL6880" s="397"/>
      <c r="BM6880" s="397"/>
      <c r="BN6880" s="397"/>
      <c r="BO6880" s="397"/>
      <c r="BP6880" s="397"/>
      <c r="BQ6880" s="397"/>
      <c r="BR6880" s="397"/>
      <c r="BS6880" s="397"/>
      <c r="BT6880" s="397"/>
      <c r="BU6880" s="397"/>
      <c r="BV6880" s="397"/>
      <c r="BW6880" s="397"/>
      <c r="BX6880" s="397"/>
      <c r="BY6880" s="397"/>
      <c r="BZ6880" s="397"/>
      <c r="CA6880" s="392" t="s">
        <v>412</v>
      </c>
    </row>
    <row r="6881" spans="1:80" s="392" customFormat="1" ht="15" x14ac:dyDescent="0.25">
      <c r="A6881" s="385"/>
      <c r="B6881" s="385"/>
      <c r="C6881" s="385"/>
      <c r="D6881" s="700"/>
      <c r="E6881" s="386"/>
      <c r="F6881" s="385"/>
      <c r="G6881" s="400"/>
      <c r="H6881" s="402"/>
      <c r="I6881" s="402"/>
      <c r="J6881" s="402"/>
      <c r="K6881" s="402"/>
      <c r="L6881" s="674"/>
      <c r="M6881" s="672">
        <v>30925</v>
      </c>
      <c r="N6881" s="623">
        <v>0.1459336922640975</v>
      </c>
      <c r="O6881" s="624">
        <v>2.3587200000000006E-4</v>
      </c>
      <c r="P6881" s="397"/>
      <c r="Q6881" s="397"/>
      <c r="R6881" s="397"/>
      <c r="S6881" s="397"/>
      <c r="T6881" s="397"/>
      <c r="U6881" s="397"/>
      <c r="V6881" s="397"/>
      <c r="W6881" s="397"/>
      <c r="X6881" s="397"/>
      <c r="Y6881" s="397"/>
      <c r="Z6881" s="397"/>
      <c r="AD6881" s="388">
        <v>2.5603200000000004</v>
      </c>
      <c r="AE6881" s="388">
        <v>0.28955999999999998</v>
      </c>
      <c r="AF6881" s="388">
        <v>0.73855499999999996</v>
      </c>
      <c r="AG6881" s="388">
        <v>0.176784</v>
      </c>
      <c r="AH6881" s="391"/>
      <c r="AI6881" s="397"/>
      <c r="AJ6881" s="397"/>
      <c r="AU6881" s="397"/>
      <c r="AV6881" s="397"/>
      <c r="AW6881" s="397"/>
      <c r="AX6881" s="397"/>
      <c r="BI6881" s="397"/>
      <c r="BJ6881" s="397"/>
      <c r="BK6881" s="397"/>
      <c r="BL6881" s="397"/>
      <c r="BM6881" s="397"/>
      <c r="BN6881" s="397"/>
      <c r="BO6881" s="397"/>
      <c r="BP6881" s="397"/>
      <c r="BQ6881" s="397"/>
      <c r="BR6881" s="397"/>
      <c r="BS6881" s="397"/>
      <c r="BT6881" s="397"/>
      <c r="BU6881" s="397"/>
      <c r="BV6881" s="397"/>
      <c r="BW6881" s="397"/>
      <c r="BX6881" s="397"/>
      <c r="BY6881" s="397"/>
      <c r="BZ6881" s="397"/>
      <c r="CA6881" s="392" t="s">
        <v>412</v>
      </c>
    </row>
    <row r="6882" spans="1:80" s="392" customFormat="1" ht="15" x14ac:dyDescent="0.25">
      <c r="A6882" s="385"/>
      <c r="B6882" s="385"/>
      <c r="C6882" s="385"/>
      <c r="D6882" s="700"/>
      <c r="E6882" s="386"/>
      <c r="F6882" s="385"/>
      <c r="G6882" s="400"/>
      <c r="H6882" s="402"/>
      <c r="I6882" s="402"/>
      <c r="J6882" s="402"/>
      <c r="K6882" s="402"/>
      <c r="L6882" s="674"/>
      <c r="M6882" s="672">
        <v>30950</v>
      </c>
      <c r="N6882" s="623">
        <v>4.137149334088977E-2</v>
      </c>
      <c r="O6882" s="624">
        <v>0</v>
      </c>
      <c r="P6882" s="397"/>
      <c r="Q6882" s="397"/>
      <c r="R6882" s="397"/>
      <c r="S6882" s="397"/>
      <c r="T6882" s="397"/>
      <c r="U6882" s="397"/>
      <c r="V6882" s="397"/>
      <c r="W6882" s="397"/>
      <c r="X6882" s="397"/>
      <c r="Y6882" s="397"/>
      <c r="Z6882" s="397"/>
      <c r="AD6882" s="388">
        <v>2.37744</v>
      </c>
      <c r="AE6882" s="388">
        <v>0.19507200000000002</v>
      </c>
      <c r="AF6882" s="388">
        <v>0.47750599999999993</v>
      </c>
      <c r="AG6882" s="388">
        <v>7.6200000000000004E-2</v>
      </c>
      <c r="AH6882" s="391"/>
      <c r="AI6882" s="397"/>
      <c r="AJ6882" s="397"/>
      <c r="AU6882" s="397"/>
      <c r="AV6882" s="397"/>
      <c r="AW6882" s="397"/>
      <c r="AX6882" s="397"/>
      <c r="BI6882" s="397"/>
      <c r="BJ6882" s="397"/>
      <c r="BK6882" s="397"/>
      <c r="BL6882" s="397"/>
      <c r="BM6882" s="397"/>
      <c r="BN6882" s="397"/>
      <c r="BO6882" s="397"/>
      <c r="BP6882" s="397"/>
      <c r="BQ6882" s="397"/>
      <c r="BR6882" s="397"/>
      <c r="BS6882" s="397"/>
      <c r="BT6882" s="397"/>
      <c r="BU6882" s="397"/>
      <c r="BV6882" s="397"/>
      <c r="BW6882" s="397"/>
      <c r="BX6882" s="397"/>
      <c r="BY6882" s="397"/>
      <c r="BZ6882" s="397"/>
      <c r="CA6882" s="392" t="s">
        <v>412</v>
      </c>
    </row>
    <row r="6883" spans="1:80" s="189" customFormat="1" ht="15" x14ac:dyDescent="0.25">
      <c r="A6883" s="381" t="s">
        <v>446</v>
      </c>
      <c r="B6883" s="641" t="s">
        <v>34</v>
      </c>
      <c r="C6883" s="639"/>
      <c r="D6883" s="4">
        <f>VLOOKUP(E6883,'Quality Code'!$D$4:$E$24,2,TRUE)*VLOOKUP(MROUND(F6883,10),'Quality Code'!$D$28:$E$69,2,TRUE)*VLOOKUP(COUNTA(CB6883:CB6893),'Quality Code'!$D$73:$E$93,2,TRUE)</f>
        <v>0.2</v>
      </c>
      <c r="E6883" s="14">
        <v>0.4</v>
      </c>
      <c r="F6883" s="2">
        <v>17</v>
      </c>
      <c r="G6883" s="12"/>
      <c r="H6883" s="2" t="s">
        <v>105</v>
      </c>
      <c r="I6883" s="2"/>
      <c r="J6883" s="2"/>
      <c r="K6883" s="2"/>
      <c r="L6883" s="639"/>
      <c r="M6883" s="640">
        <v>1984</v>
      </c>
      <c r="N6883" s="578" t="s">
        <v>110</v>
      </c>
      <c r="O6883" s="578"/>
      <c r="P6883" s="26"/>
      <c r="Q6883" s="26"/>
      <c r="R6883" s="26"/>
      <c r="S6883" s="26"/>
      <c r="T6883" s="26"/>
      <c r="U6883" s="26"/>
      <c r="V6883" s="10"/>
      <c r="W6883" s="10"/>
      <c r="X6883" s="10"/>
      <c r="Y6883" s="10"/>
      <c r="Z6883" s="2"/>
      <c r="AA6883" s="26"/>
      <c r="AB6883" s="26"/>
      <c r="AC6883" s="377"/>
      <c r="AD6883" s="406"/>
      <c r="AE6883" s="26"/>
      <c r="AF6883" s="26"/>
      <c r="AG6883" s="26"/>
      <c r="AH6883" s="26"/>
      <c r="AI6883" s="4"/>
      <c r="AJ6883" s="378"/>
      <c r="AK6883" s="376"/>
      <c r="AL6883" s="376"/>
      <c r="AM6883" s="376"/>
      <c r="AN6883" s="376"/>
      <c r="AO6883" s="376"/>
      <c r="AP6883" s="376"/>
      <c r="AQ6883" s="376"/>
      <c r="AR6883" s="376"/>
      <c r="AS6883" s="376"/>
      <c r="AT6883" s="376"/>
      <c r="AU6883" s="378"/>
      <c r="AV6883" s="378"/>
      <c r="AW6883" s="378"/>
      <c r="AX6883" s="378"/>
      <c r="AY6883" s="379"/>
      <c r="AZ6883" s="379"/>
      <c r="BA6883" s="380"/>
      <c r="BB6883" s="380"/>
      <c r="BC6883" s="380"/>
      <c r="BD6883" s="380"/>
      <c r="BE6883" s="380"/>
      <c r="BF6883" s="380"/>
      <c r="BG6883" s="380"/>
      <c r="BH6883" s="380"/>
      <c r="BI6883" s="4"/>
      <c r="BJ6883" s="12"/>
      <c r="BK6883" s="2"/>
      <c r="BL6883" s="2"/>
      <c r="BM6883" s="4"/>
      <c r="BN6883" s="12"/>
      <c r="BO6883" s="12"/>
      <c r="BP6883" s="12"/>
      <c r="BQ6883" s="4"/>
      <c r="BR6883" s="4"/>
      <c r="BS6883" s="4"/>
      <c r="BT6883" s="2"/>
      <c r="BU6883" s="9"/>
      <c r="BV6883" s="381"/>
      <c r="BW6883" s="382"/>
      <c r="BX6883" s="383"/>
      <c r="BY6883" s="383" t="s">
        <v>447</v>
      </c>
      <c r="BZ6883" s="383"/>
      <c r="CA6883" s="384" t="s">
        <v>412</v>
      </c>
      <c r="CB6883" s="411"/>
    </row>
    <row r="6884" spans="1:80" s="392" customFormat="1" ht="15" x14ac:dyDescent="0.25">
      <c r="A6884" s="385"/>
      <c r="B6884" s="385"/>
      <c r="C6884" s="385"/>
      <c r="D6884" s="700"/>
      <c r="E6884" s="386"/>
      <c r="F6884" s="385"/>
      <c r="G6884" s="400"/>
      <c r="H6884" s="402"/>
      <c r="I6884" s="402"/>
      <c r="J6884" s="402"/>
      <c r="K6884" s="402"/>
      <c r="L6884" s="674"/>
      <c r="M6884" s="672">
        <v>30818</v>
      </c>
      <c r="N6884" s="623">
        <v>5.6673278549164069E-2</v>
      </c>
      <c r="O6884" s="624">
        <v>2.8448280000000002E-3</v>
      </c>
      <c r="P6884" s="397"/>
      <c r="Q6884" s="397"/>
      <c r="R6884" s="397"/>
      <c r="S6884" s="397"/>
      <c r="T6884" s="397"/>
      <c r="U6884" s="397"/>
      <c r="V6884" s="397"/>
      <c r="W6884" s="397"/>
      <c r="X6884" s="397"/>
      <c r="Y6884" s="397"/>
      <c r="Z6884" s="397"/>
      <c r="AC6884" s="409">
        <v>5.0000000000000001E-3</v>
      </c>
      <c r="AD6884" s="388">
        <v>1.0820399999999999</v>
      </c>
      <c r="AE6884" s="388">
        <v>9.7536000000000012E-2</v>
      </c>
      <c r="AF6884" s="388">
        <v>0.104048</v>
      </c>
      <c r="AG6884" s="388">
        <v>0.54559200000000008</v>
      </c>
      <c r="AH6884" s="391"/>
      <c r="AI6884" s="397"/>
      <c r="AJ6884" s="397"/>
      <c r="AU6884" s="397"/>
      <c r="AV6884" s="397"/>
      <c r="AW6884" s="397"/>
      <c r="AX6884" s="397"/>
      <c r="BI6884" s="397"/>
      <c r="BJ6884" s="397"/>
      <c r="BK6884" s="397"/>
      <c r="BL6884" s="397"/>
      <c r="BM6884" s="397"/>
      <c r="BN6884" s="397"/>
      <c r="BO6884" s="397"/>
      <c r="BP6884" s="397"/>
      <c r="BQ6884" s="397"/>
      <c r="BR6884" s="397"/>
      <c r="BS6884" s="397"/>
      <c r="BT6884" s="397"/>
      <c r="BU6884" s="397"/>
      <c r="BV6884" s="397"/>
      <c r="BW6884" s="397"/>
      <c r="BX6884" s="397"/>
      <c r="BY6884" s="397"/>
      <c r="BZ6884" s="397"/>
      <c r="CA6884" s="392" t="s">
        <v>412</v>
      </c>
    </row>
    <row r="6885" spans="1:80" s="392" customFormat="1" ht="15" x14ac:dyDescent="0.25">
      <c r="A6885" s="385"/>
      <c r="B6885" s="385"/>
      <c r="C6885" s="385"/>
      <c r="D6885" s="700"/>
      <c r="E6885" s="386"/>
      <c r="F6885" s="385"/>
      <c r="G6885" s="400"/>
      <c r="H6885" s="402"/>
      <c r="I6885" s="402"/>
      <c r="J6885" s="402"/>
      <c r="K6885" s="402"/>
      <c r="L6885" s="674"/>
      <c r="M6885" s="672">
        <v>30826</v>
      </c>
      <c r="N6885" s="623">
        <v>6.8007934258996885E-2</v>
      </c>
      <c r="O6885" s="624">
        <v>9.5255999999999997E-4</v>
      </c>
      <c r="P6885" s="397"/>
      <c r="Q6885" s="397"/>
      <c r="R6885" s="397"/>
      <c r="S6885" s="397"/>
      <c r="T6885" s="397"/>
      <c r="U6885" s="397"/>
      <c r="V6885" s="397"/>
      <c r="W6885" s="397"/>
      <c r="X6885" s="397"/>
      <c r="Y6885" s="397"/>
      <c r="Z6885" s="397"/>
      <c r="AC6885" s="409">
        <v>5.0000000000000001E-3</v>
      </c>
      <c r="AD6885" s="388">
        <v>1.09728</v>
      </c>
      <c r="AE6885" s="388">
        <v>9.4488000000000003E-2</v>
      </c>
      <c r="AF6885" s="388">
        <v>0.10219</v>
      </c>
      <c r="AG6885" s="388">
        <v>0.66446400000000005</v>
      </c>
      <c r="AH6885" s="391"/>
      <c r="AI6885" s="397"/>
      <c r="AJ6885" s="397"/>
      <c r="AU6885" s="397"/>
      <c r="AV6885" s="397"/>
      <c r="AW6885" s="397"/>
      <c r="AX6885" s="397"/>
      <c r="BI6885" s="397"/>
      <c r="BJ6885" s="397"/>
      <c r="BK6885" s="397"/>
      <c r="BL6885" s="397"/>
      <c r="BM6885" s="397"/>
      <c r="BN6885" s="397"/>
      <c r="BO6885" s="397"/>
      <c r="BP6885" s="397"/>
      <c r="BQ6885" s="397"/>
      <c r="BR6885" s="397"/>
      <c r="BS6885" s="397"/>
      <c r="BT6885" s="397"/>
      <c r="BU6885" s="397"/>
      <c r="BV6885" s="397"/>
      <c r="BW6885" s="397"/>
      <c r="BX6885" s="397"/>
      <c r="BY6885" s="397"/>
      <c r="BZ6885" s="397"/>
      <c r="CA6885" s="392" t="s">
        <v>412</v>
      </c>
    </row>
    <row r="6886" spans="1:80" s="392" customFormat="1" ht="15" x14ac:dyDescent="0.25">
      <c r="A6886" s="385"/>
      <c r="B6886" s="385"/>
      <c r="C6886" s="385"/>
      <c r="D6886" s="700"/>
      <c r="E6886" s="386"/>
      <c r="F6886" s="385"/>
      <c r="G6886" s="400"/>
      <c r="H6886" s="402"/>
      <c r="I6886" s="402"/>
      <c r="J6886" s="402"/>
      <c r="K6886" s="402"/>
      <c r="L6886" s="674"/>
      <c r="M6886" s="672">
        <v>30831</v>
      </c>
      <c r="N6886" s="623">
        <v>5.3839614621705861E-2</v>
      </c>
      <c r="O6886" s="624">
        <v>5.9875199999999992E-4</v>
      </c>
      <c r="P6886" s="397"/>
      <c r="Q6886" s="397"/>
      <c r="R6886" s="397"/>
      <c r="S6886" s="397"/>
      <c r="T6886" s="397"/>
      <c r="U6886" s="397"/>
      <c r="V6886" s="397"/>
      <c r="W6886" s="397"/>
      <c r="X6886" s="397"/>
      <c r="Y6886" s="397"/>
      <c r="Z6886" s="397"/>
      <c r="AC6886" s="409">
        <v>5.0000000000000001E-3</v>
      </c>
      <c r="AD6886" s="388">
        <v>1.1277600000000001</v>
      </c>
      <c r="AE6886" s="388">
        <v>0.112776</v>
      </c>
      <c r="AF6886" s="388">
        <v>0.12820199999999998</v>
      </c>
      <c r="AG6886" s="388">
        <v>0.420624</v>
      </c>
      <c r="AH6886" s="391"/>
      <c r="AI6886" s="397"/>
      <c r="AJ6886" s="397"/>
      <c r="AU6886" s="397"/>
      <c r="AV6886" s="397"/>
      <c r="AW6886" s="397"/>
      <c r="AX6886" s="397"/>
      <c r="BI6886" s="397"/>
      <c r="BJ6886" s="397"/>
      <c r="BK6886" s="397"/>
      <c r="BL6886" s="397"/>
      <c r="BM6886" s="397"/>
      <c r="BN6886" s="397"/>
      <c r="BO6886" s="397"/>
      <c r="BP6886" s="397"/>
      <c r="BQ6886" s="397"/>
      <c r="BR6886" s="397"/>
      <c r="BS6886" s="397"/>
      <c r="BT6886" s="397"/>
      <c r="BU6886" s="397"/>
      <c r="BV6886" s="397"/>
      <c r="BW6886" s="397"/>
      <c r="BX6886" s="397"/>
      <c r="BY6886" s="397"/>
      <c r="BZ6886" s="397"/>
      <c r="CA6886" s="392" t="s">
        <v>412</v>
      </c>
    </row>
    <row r="6887" spans="1:80" s="392" customFormat="1" ht="15" x14ac:dyDescent="0.25">
      <c r="A6887" s="385"/>
      <c r="B6887" s="385"/>
      <c r="C6887" s="385"/>
      <c r="D6887" s="700"/>
      <c r="E6887" s="386"/>
      <c r="F6887" s="385"/>
      <c r="G6887" s="400"/>
      <c r="H6887" s="402"/>
      <c r="I6887" s="402"/>
      <c r="J6887" s="402"/>
      <c r="K6887" s="402"/>
      <c r="L6887" s="674"/>
      <c r="M6887" s="672">
        <v>30839</v>
      </c>
      <c r="N6887" s="623">
        <v>4.817228676678946E-2</v>
      </c>
      <c r="O6887" s="624">
        <v>3.9916800000000004E-4</v>
      </c>
      <c r="P6887" s="397"/>
      <c r="Q6887" s="397"/>
      <c r="R6887" s="397"/>
      <c r="S6887" s="397"/>
      <c r="T6887" s="397"/>
      <c r="U6887" s="397"/>
      <c r="V6887" s="397"/>
      <c r="W6887" s="397"/>
      <c r="X6887" s="397"/>
      <c r="Y6887" s="397"/>
      <c r="Z6887" s="397"/>
      <c r="AC6887" s="409">
        <v>5.0000000000000001E-3</v>
      </c>
      <c r="AD6887" s="388">
        <v>1.09728</v>
      </c>
      <c r="AE6887" s="388">
        <v>0.124968</v>
      </c>
      <c r="AF6887" s="388">
        <v>0.137492</v>
      </c>
      <c r="AG6887" s="388">
        <v>0.35052</v>
      </c>
      <c r="AH6887" s="391"/>
      <c r="AI6887" s="397"/>
      <c r="AJ6887" s="397"/>
      <c r="AU6887" s="397"/>
      <c r="AV6887" s="397"/>
      <c r="AW6887" s="397"/>
      <c r="AX6887" s="397"/>
      <c r="BI6887" s="397"/>
      <c r="BJ6887" s="397"/>
      <c r="BK6887" s="397"/>
      <c r="BL6887" s="397"/>
      <c r="BM6887" s="397"/>
      <c r="BN6887" s="397"/>
      <c r="BO6887" s="397"/>
      <c r="BP6887" s="397"/>
      <c r="BQ6887" s="397"/>
      <c r="BR6887" s="397"/>
      <c r="BS6887" s="397"/>
      <c r="BT6887" s="397"/>
      <c r="BU6887" s="397"/>
      <c r="BV6887" s="397"/>
      <c r="BW6887" s="397"/>
      <c r="BX6887" s="397"/>
      <c r="BY6887" s="397"/>
      <c r="BZ6887" s="397"/>
      <c r="CA6887" s="392" t="s">
        <v>412</v>
      </c>
    </row>
    <row r="6888" spans="1:80" s="392" customFormat="1" ht="15" x14ac:dyDescent="0.25">
      <c r="A6888" s="385"/>
      <c r="B6888" s="385"/>
      <c r="C6888" s="385"/>
      <c r="D6888" s="700"/>
      <c r="E6888" s="386"/>
      <c r="F6888" s="385"/>
      <c r="G6888" s="400"/>
      <c r="H6888" s="402"/>
      <c r="I6888" s="402"/>
      <c r="J6888" s="402"/>
      <c r="K6888" s="402"/>
      <c r="L6888" s="674"/>
      <c r="M6888" s="672">
        <v>30845</v>
      </c>
      <c r="N6888" s="623">
        <v>4.2504958911873052E-2</v>
      </c>
      <c r="O6888" s="624">
        <v>1.0054800000000002E-3</v>
      </c>
      <c r="P6888" s="397"/>
      <c r="Q6888" s="397"/>
      <c r="R6888" s="397"/>
      <c r="S6888" s="397"/>
      <c r="T6888" s="397"/>
      <c r="U6888" s="397"/>
      <c r="V6888" s="397"/>
      <c r="W6888" s="397"/>
      <c r="X6888" s="397"/>
      <c r="Y6888" s="397"/>
      <c r="Z6888" s="397"/>
      <c r="AC6888" s="409">
        <v>5.0000000000000001E-3</v>
      </c>
      <c r="AD6888" s="388">
        <v>1.0668</v>
      </c>
      <c r="AE6888" s="388">
        <v>8.5344000000000017E-2</v>
      </c>
      <c r="AF6888" s="388">
        <v>9.1970999999999997E-2</v>
      </c>
      <c r="AG6888" s="388">
        <v>0.46634400000000004</v>
      </c>
      <c r="AH6888" s="391"/>
      <c r="AI6888" s="397"/>
      <c r="AJ6888" s="397"/>
      <c r="AU6888" s="397"/>
      <c r="AV6888" s="397"/>
      <c r="AW6888" s="397"/>
      <c r="AX6888" s="397"/>
      <c r="BI6888" s="397"/>
      <c r="BJ6888" s="397"/>
      <c r="BK6888" s="397"/>
      <c r="BL6888" s="397"/>
      <c r="BM6888" s="397"/>
      <c r="BN6888" s="397"/>
      <c r="BO6888" s="397"/>
      <c r="BP6888" s="397"/>
      <c r="BQ6888" s="397"/>
      <c r="BR6888" s="397"/>
      <c r="BS6888" s="397"/>
      <c r="BT6888" s="397"/>
      <c r="BU6888" s="397"/>
      <c r="BV6888" s="397"/>
      <c r="BW6888" s="397"/>
      <c r="BX6888" s="397"/>
      <c r="BY6888" s="397"/>
      <c r="BZ6888" s="397"/>
      <c r="CA6888" s="392" t="s">
        <v>412</v>
      </c>
    </row>
    <row r="6889" spans="1:80" s="392" customFormat="1" ht="15" x14ac:dyDescent="0.25">
      <c r="A6889" s="385"/>
      <c r="B6889" s="385"/>
      <c r="C6889" s="385"/>
      <c r="D6889" s="700"/>
      <c r="E6889" s="386"/>
      <c r="F6889" s="385"/>
      <c r="G6889" s="400"/>
      <c r="H6889" s="402"/>
      <c r="I6889" s="402"/>
      <c r="J6889" s="402"/>
      <c r="K6889" s="402"/>
      <c r="L6889" s="674"/>
      <c r="M6889" s="672">
        <v>30847</v>
      </c>
      <c r="N6889" s="623">
        <v>3.9671294984414844E-2</v>
      </c>
      <c r="O6889" s="624">
        <v>1.0160640000000003E-3</v>
      </c>
      <c r="P6889" s="397"/>
      <c r="Q6889" s="397"/>
      <c r="R6889" s="397"/>
      <c r="S6889" s="397"/>
      <c r="T6889" s="397"/>
      <c r="U6889" s="397"/>
      <c r="V6889" s="397"/>
      <c r="W6889" s="397"/>
      <c r="X6889" s="397"/>
      <c r="Y6889" s="397"/>
      <c r="Z6889" s="397"/>
      <c r="AC6889" s="409">
        <v>5.0000000000000001E-3</v>
      </c>
      <c r="AD6889" s="388">
        <v>1.09728</v>
      </c>
      <c r="AE6889" s="388">
        <v>0.10668</v>
      </c>
      <c r="AF6889" s="388">
        <v>0.11798299999999999</v>
      </c>
      <c r="AG6889" s="388">
        <v>0.33528000000000002</v>
      </c>
      <c r="AH6889" s="391"/>
      <c r="AI6889" s="397"/>
      <c r="AJ6889" s="397"/>
      <c r="AU6889" s="397"/>
      <c r="AV6889" s="397"/>
      <c r="AW6889" s="397"/>
      <c r="AX6889" s="397"/>
      <c r="BI6889" s="397"/>
      <c r="BJ6889" s="397"/>
      <c r="BK6889" s="397"/>
      <c r="BL6889" s="397"/>
      <c r="BM6889" s="397"/>
      <c r="BN6889" s="397"/>
      <c r="BO6889" s="397"/>
      <c r="BP6889" s="397"/>
      <c r="BQ6889" s="397"/>
      <c r="BR6889" s="397"/>
      <c r="BS6889" s="397"/>
      <c r="BT6889" s="397"/>
      <c r="BU6889" s="397"/>
      <c r="BV6889" s="397"/>
      <c r="BW6889" s="397"/>
      <c r="BX6889" s="397"/>
      <c r="BY6889" s="397"/>
      <c r="BZ6889" s="397"/>
      <c r="CA6889" s="392" t="s">
        <v>412</v>
      </c>
    </row>
    <row r="6890" spans="1:80" s="392" customFormat="1" ht="15" x14ac:dyDescent="0.25">
      <c r="A6890" s="385"/>
      <c r="B6890" s="385"/>
      <c r="C6890" s="385"/>
      <c r="D6890" s="700"/>
      <c r="E6890" s="386"/>
      <c r="F6890" s="385"/>
      <c r="G6890" s="400"/>
      <c r="H6890" s="402"/>
      <c r="I6890" s="402"/>
      <c r="J6890" s="402"/>
      <c r="K6890" s="402"/>
      <c r="L6890" s="674"/>
      <c r="M6890" s="672">
        <v>30852</v>
      </c>
      <c r="N6890" s="623">
        <v>3.683763105695665E-2</v>
      </c>
      <c r="O6890" s="624">
        <v>7.2576000000000021E-4</v>
      </c>
      <c r="P6890" s="397"/>
      <c r="Q6890" s="397"/>
      <c r="R6890" s="397"/>
      <c r="S6890" s="397"/>
      <c r="T6890" s="397"/>
      <c r="U6890" s="397"/>
      <c r="V6890" s="397"/>
      <c r="W6890" s="397"/>
      <c r="X6890" s="397"/>
      <c r="Y6890" s="397"/>
      <c r="Z6890" s="397"/>
      <c r="AC6890" s="409">
        <v>5.0000000000000001E-3</v>
      </c>
      <c r="AD6890" s="388">
        <v>1.0668</v>
      </c>
      <c r="AE6890" s="388">
        <v>0.10363200000000002</v>
      </c>
      <c r="AF6890" s="388">
        <v>0.11148</v>
      </c>
      <c r="AG6890" s="388">
        <v>0.34137600000000007</v>
      </c>
      <c r="AH6890" s="391"/>
      <c r="AI6890" s="397"/>
      <c r="AJ6890" s="397"/>
      <c r="AU6890" s="397"/>
      <c r="AV6890" s="397"/>
      <c r="AW6890" s="397"/>
      <c r="AX6890" s="397"/>
      <c r="BI6890" s="397"/>
      <c r="BJ6890" s="397"/>
      <c r="BK6890" s="397"/>
      <c r="BL6890" s="397"/>
      <c r="BM6890" s="397"/>
      <c r="BN6890" s="397"/>
      <c r="BO6890" s="397"/>
      <c r="BP6890" s="397"/>
      <c r="BQ6890" s="397"/>
      <c r="BR6890" s="397"/>
      <c r="BS6890" s="397"/>
      <c r="BT6890" s="397"/>
      <c r="BU6890" s="397"/>
      <c r="BV6890" s="397"/>
      <c r="BW6890" s="397"/>
      <c r="BX6890" s="397"/>
      <c r="BY6890" s="397"/>
      <c r="BZ6890" s="397"/>
      <c r="CA6890" s="392" t="s">
        <v>412</v>
      </c>
    </row>
    <row r="6891" spans="1:80" s="392" customFormat="1" ht="15" x14ac:dyDescent="0.25">
      <c r="A6891" s="385"/>
      <c r="B6891" s="385"/>
      <c r="C6891" s="385"/>
      <c r="D6891" s="700"/>
      <c r="E6891" s="386"/>
      <c r="F6891" s="385"/>
      <c r="G6891" s="400"/>
      <c r="H6891" s="402"/>
      <c r="I6891" s="402"/>
      <c r="J6891" s="402"/>
      <c r="K6891" s="402"/>
      <c r="L6891" s="674"/>
      <c r="M6891" s="672">
        <v>30855</v>
      </c>
      <c r="N6891" s="623">
        <v>3.683763105695665E-2</v>
      </c>
      <c r="O6891" s="624">
        <v>4.9896000000000012E-4</v>
      </c>
      <c r="P6891" s="397"/>
      <c r="Q6891" s="397"/>
      <c r="R6891" s="397"/>
      <c r="S6891" s="397"/>
      <c r="T6891" s="397"/>
      <c r="U6891" s="397"/>
      <c r="V6891" s="397"/>
      <c r="W6891" s="397"/>
      <c r="X6891" s="397"/>
      <c r="Y6891" s="397"/>
      <c r="Z6891" s="397"/>
      <c r="AC6891" s="409">
        <v>5.0000000000000001E-3</v>
      </c>
      <c r="AD6891" s="388">
        <v>1.0058400000000001</v>
      </c>
      <c r="AE6891" s="388">
        <v>0.10058400000000001</v>
      </c>
      <c r="AF6891" s="388">
        <v>0.10219</v>
      </c>
      <c r="AG6891" s="388">
        <v>0.35966399999999998</v>
      </c>
      <c r="AH6891" s="391"/>
      <c r="AI6891" s="397"/>
      <c r="AJ6891" s="397"/>
      <c r="AU6891" s="397"/>
      <c r="AV6891" s="397"/>
      <c r="AW6891" s="397"/>
      <c r="AX6891" s="397"/>
      <c r="BI6891" s="397"/>
      <c r="BJ6891" s="397"/>
      <c r="BK6891" s="397"/>
      <c r="BL6891" s="397"/>
      <c r="BM6891" s="397"/>
      <c r="BN6891" s="397"/>
      <c r="BO6891" s="397"/>
      <c r="BP6891" s="397"/>
      <c r="BQ6891" s="397"/>
      <c r="BR6891" s="397"/>
      <c r="BS6891" s="397"/>
      <c r="BT6891" s="397"/>
      <c r="BU6891" s="397"/>
      <c r="BV6891" s="397"/>
      <c r="BW6891" s="397"/>
      <c r="BX6891" s="397"/>
      <c r="BY6891" s="397"/>
      <c r="BZ6891" s="397"/>
      <c r="CA6891" s="392" t="s">
        <v>412</v>
      </c>
    </row>
    <row r="6892" spans="1:80" s="392" customFormat="1" ht="15" x14ac:dyDescent="0.25">
      <c r="A6892" s="385"/>
      <c r="B6892" s="385"/>
      <c r="C6892" s="385"/>
      <c r="D6892" s="700"/>
      <c r="E6892" s="386"/>
      <c r="F6892" s="385"/>
      <c r="G6892" s="400"/>
      <c r="H6892" s="402"/>
      <c r="I6892" s="402"/>
      <c r="J6892" s="402"/>
      <c r="K6892" s="402"/>
      <c r="L6892" s="674"/>
      <c r="M6892" s="672">
        <v>30859</v>
      </c>
      <c r="N6892" s="623">
        <v>3.1170303202040242E-2</v>
      </c>
      <c r="O6892" s="624">
        <v>7.7414400000000026E-4</v>
      </c>
      <c r="P6892" s="397"/>
      <c r="Q6892" s="397"/>
      <c r="R6892" s="397"/>
      <c r="S6892" s="397"/>
      <c r="T6892" s="397"/>
      <c r="U6892" s="397"/>
      <c r="V6892" s="397"/>
      <c r="W6892" s="397"/>
      <c r="X6892" s="397"/>
      <c r="Y6892" s="397"/>
      <c r="Z6892" s="397"/>
      <c r="AC6892" s="409">
        <v>5.0000000000000001E-3</v>
      </c>
      <c r="AD6892" s="388">
        <v>1.09728</v>
      </c>
      <c r="AE6892" s="388">
        <v>9.7536000000000012E-2</v>
      </c>
      <c r="AF6892" s="388">
        <v>0.10776399999999998</v>
      </c>
      <c r="AG6892" s="388">
        <v>0.28955999999999998</v>
      </c>
      <c r="AH6892" s="391"/>
      <c r="AI6892" s="397"/>
      <c r="AJ6892" s="397"/>
      <c r="AU6892" s="397"/>
      <c r="AV6892" s="397"/>
      <c r="AW6892" s="397"/>
      <c r="AX6892" s="397"/>
      <c r="BI6892" s="397"/>
      <c r="BJ6892" s="397"/>
      <c r="BK6892" s="397"/>
      <c r="BL6892" s="397"/>
      <c r="BM6892" s="397"/>
      <c r="BN6892" s="397"/>
      <c r="BO6892" s="397"/>
      <c r="BP6892" s="397"/>
      <c r="BQ6892" s="397"/>
      <c r="BR6892" s="397"/>
      <c r="BS6892" s="397"/>
      <c r="BT6892" s="397"/>
      <c r="BU6892" s="397"/>
      <c r="BV6892" s="397"/>
      <c r="BW6892" s="397"/>
      <c r="BX6892" s="397"/>
      <c r="BY6892" s="397"/>
      <c r="BZ6892" s="397"/>
      <c r="CA6892" s="392" t="s">
        <v>412</v>
      </c>
    </row>
    <row r="6893" spans="1:80" s="392" customFormat="1" ht="15" x14ac:dyDescent="0.25">
      <c r="A6893" s="385"/>
      <c r="B6893" s="385"/>
      <c r="C6893" s="385"/>
      <c r="D6893" s="700"/>
      <c r="E6893" s="386"/>
      <c r="F6893" s="385"/>
      <c r="G6893" s="400"/>
      <c r="H6893" s="402"/>
      <c r="I6893" s="402"/>
      <c r="J6893" s="402"/>
      <c r="K6893" s="402"/>
      <c r="L6893" s="674"/>
      <c r="M6893" s="672">
        <v>30862</v>
      </c>
      <c r="N6893" s="623">
        <v>2.8336639274582034E-2</v>
      </c>
      <c r="O6893" s="624">
        <v>3.8707200000000013E-4</v>
      </c>
      <c r="P6893" s="397"/>
      <c r="Q6893" s="397"/>
      <c r="R6893" s="397"/>
      <c r="S6893" s="397"/>
      <c r="T6893" s="397"/>
      <c r="U6893" s="397"/>
      <c r="V6893" s="397"/>
      <c r="W6893" s="397"/>
      <c r="X6893" s="397"/>
      <c r="Y6893" s="397"/>
      <c r="Z6893" s="397"/>
      <c r="AC6893" s="409">
        <v>5.0000000000000001E-3</v>
      </c>
      <c r="AD6893" s="388">
        <v>1.09728</v>
      </c>
      <c r="AE6893" s="388">
        <v>9.4488000000000003E-2</v>
      </c>
      <c r="AF6893" s="388">
        <v>0.10497699999999999</v>
      </c>
      <c r="AG6893" s="388">
        <v>0.26212800000000003</v>
      </c>
      <c r="AH6893" s="391"/>
      <c r="AI6893" s="397"/>
      <c r="AJ6893" s="397"/>
      <c r="AU6893" s="397"/>
      <c r="AV6893" s="397"/>
      <c r="AW6893" s="397"/>
      <c r="AX6893" s="397"/>
      <c r="BI6893" s="397"/>
      <c r="BJ6893" s="397"/>
      <c r="BK6893" s="397"/>
      <c r="BL6893" s="397"/>
      <c r="BM6893" s="397"/>
      <c r="BN6893" s="397"/>
      <c r="BO6893" s="397"/>
      <c r="BP6893" s="397"/>
      <c r="BQ6893" s="397"/>
      <c r="BR6893" s="397"/>
      <c r="BS6893" s="397"/>
      <c r="BT6893" s="397"/>
      <c r="BU6893" s="397"/>
      <c r="BV6893" s="397"/>
      <c r="BW6893" s="397"/>
      <c r="BX6893" s="397"/>
      <c r="BY6893" s="397"/>
      <c r="BZ6893" s="397"/>
      <c r="CA6893" s="392" t="s">
        <v>412</v>
      </c>
    </row>
    <row r="6894" spans="1:80" s="392" customFormat="1" ht="15" x14ac:dyDescent="0.25">
      <c r="A6894" s="385"/>
      <c r="B6894" s="385"/>
      <c r="C6894" s="385"/>
      <c r="D6894" s="700"/>
      <c r="E6894" s="386"/>
      <c r="F6894" s="385"/>
      <c r="G6894" s="400"/>
      <c r="H6894" s="402"/>
      <c r="I6894" s="402"/>
      <c r="J6894" s="402"/>
      <c r="K6894" s="402"/>
      <c r="L6894" s="674"/>
      <c r="M6894" s="672">
        <v>30866</v>
      </c>
      <c r="N6894" s="623">
        <v>2.266931141966563E-2</v>
      </c>
      <c r="O6894" s="624">
        <v>5.322240000000002E-4</v>
      </c>
      <c r="P6894" s="397"/>
      <c r="Q6894" s="397"/>
      <c r="R6894" s="397"/>
      <c r="S6894" s="397"/>
      <c r="T6894" s="397"/>
      <c r="U6894" s="397"/>
      <c r="V6894" s="397"/>
      <c r="W6894" s="397"/>
      <c r="X6894" s="397"/>
      <c r="Y6894" s="397"/>
      <c r="Z6894" s="397"/>
      <c r="AC6894" s="409">
        <v>5.0000000000000001E-3</v>
      </c>
      <c r="AD6894" s="388">
        <v>1.09728</v>
      </c>
      <c r="AE6894" s="388">
        <v>9.1440000000000007E-2</v>
      </c>
      <c r="AF6894" s="388">
        <v>0.101261</v>
      </c>
      <c r="AG6894" s="388">
        <v>0.225552</v>
      </c>
      <c r="AH6894" s="391"/>
      <c r="AI6894" s="397"/>
      <c r="AJ6894" s="397"/>
      <c r="AU6894" s="397"/>
      <c r="AV6894" s="397"/>
      <c r="AW6894" s="397"/>
      <c r="AX6894" s="397"/>
      <c r="BI6894" s="397"/>
      <c r="BJ6894" s="397"/>
      <c r="BK6894" s="397"/>
      <c r="BL6894" s="397"/>
      <c r="BM6894" s="397"/>
      <c r="BN6894" s="397"/>
      <c r="BO6894" s="397"/>
      <c r="BP6894" s="397"/>
      <c r="BQ6894" s="397"/>
      <c r="BR6894" s="397"/>
      <c r="BS6894" s="397"/>
      <c r="BT6894" s="397"/>
      <c r="BU6894" s="397"/>
      <c r="BV6894" s="397"/>
      <c r="BW6894" s="397"/>
      <c r="BX6894" s="397"/>
      <c r="BY6894" s="397"/>
      <c r="BZ6894" s="397"/>
      <c r="CA6894" s="392" t="s">
        <v>412</v>
      </c>
    </row>
    <row r="6895" spans="1:80" s="392" customFormat="1" ht="15" x14ac:dyDescent="0.25">
      <c r="A6895" s="385"/>
      <c r="B6895" s="385"/>
      <c r="C6895" s="385"/>
      <c r="D6895" s="700"/>
      <c r="E6895" s="386"/>
      <c r="F6895" s="385"/>
      <c r="G6895" s="400"/>
      <c r="H6895" s="402"/>
      <c r="I6895" s="402"/>
      <c r="J6895" s="402"/>
      <c r="K6895" s="402"/>
      <c r="L6895" s="674"/>
      <c r="M6895" s="672">
        <v>30869</v>
      </c>
      <c r="N6895" s="623">
        <v>2.5502975347123834E-2</v>
      </c>
      <c r="O6895" s="624">
        <v>8.4672000000000013E-4</v>
      </c>
      <c r="P6895" s="397"/>
      <c r="Q6895" s="397"/>
      <c r="R6895" s="397"/>
      <c r="S6895" s="397"/>
      <c r="T6895" s="397"/>
      <c r="U6895" s="397"/>
      <c r="V6895" s="397"/>
      <c r="W6895" s="397"/>
      <c r="X6895" s="397"/>
      <c r="Y6895" s="397"/>
      <c r="Z6895" s="397"/>
      <c r="AC6895" s="409">
        <v>5.0000000000000001E-3</v>
      </c>
      <c r="AD6895" s="388">
        <v>1.0668</v>
      </c>
      <c r="AE6895" s="388">
        <v>9.4488000000000003E-2</v>
      </c>
      <c r="AF6895" s="388">
        <v>0.101261</v>
      </c>
      <c r="AG6895" s="388">
        <v>0.25298399999999999</v>
      </c>
      <c r="AH6895" s="391"/>
      <c r="AI6895" s="397"/>
      <c r="AJ6895" s="397"/>
      <c r="AU6895" s="397"/>
      <c r="AV6895" s="397"/>
      <c r="AW6895" s="397"/>
      <c r="AX6895" s="397"/>
      <c r="BI6895" s="397"/>
      <c r="BJ6895" s="397"/>
      <c r="BK6895" s="397"/>
      <c r="BL6895" s="397"/>
      <c r="BM6895" s="397"/>
      <c r="BN6895" s="397"/>
      <c r="BO6895" s="397"/>
      <c r="BP6895" s="397"/>
      <c r="BQ6895" s="397"/>
      <c r="BR6895" s="397"/>
      <c r="BS6895" s="397"/>
      <c r="BT6895" s="397"/>
      <c r="BU6895" s="397"/>
      <c r="BV6895" s="397"/>
      <c r="BW6895" s="397"/>
      <c r="BX6895" s="397"/>
      <c r="BY6895" s="397"/>
      <c r="BZ6895" s="397"/>
      <c r="CA6895" s="392" t="s">
        <v>412</v>
      </c>
    </row>
    <row r="6896" spans="1:80" s="392" customFormat="1" ht="15" x14ac:dyDescent="0.25">
      <c r="A6896" s="385"/>
      <c r="B6896" s="385"/>
      <c r="C6896" s="385"/>
      <c r="D6896" s="700"/>
      <c r="E6896" s="386"/>
      <c r="F6896" s="385"/>
      <c r="G6896" s="400"/>
      <c r="H6896" s="402"/>
      <c r="I6896" s="402"/>
      <c r="J6896" s="402"/>
      <c r="K6896" s="402"/>
      <c r="L6896" s="674"/>
      <c r="M6896" s="672">
        <v>30873</v>
      </c>
      <c r="N6896" s="623">
        <v>2.9470104845565316E-2</v>
      </c>
      <c r="O6896" s="624">
        <v>1.9837440000000004E-3</v>
      </c>
      <c r="P6896" s="397"/>
      <c r="Q6896" s="397"/>
      <c r="R6896" s="397"/>
      <c r="S6896" s="397"/>
      <c r="T6896" s="397"/>
      <c r="U6896" s="397"/>
      <c r="V6896" s="397"/>
      <c r="W6896" s="397"/>
      <c r="X6896" s="397"/>
      <c r="Y6896" s="397"/>
      <c r="Z6896" s="397"/>
      <c r="AC6896" s="409">
        <v>6.0000000000000001E-3</v>
      </c>
      <c r="AD6896" s="388">
        <v>1.0668</v>
      </c>
      <c r="AE6896" s="388">
        <v>0.10058400000000001</v>
      </c>
      <c r="AF6896" s="388">
        <v>0.10590599999999999</v>
      </c>
      <c r="AG6896" s="388">
        <v>0.277368</v>
      </c>
      <c r="AH6896" s="391"/>
      <c r="AI6896" s="397"/>
      <c r="AJ6896" s="397"/>
      <c r="AU6896" s="397"/>
      <c r="AV6896" s="397"/>
      <c r="AW6896" s="397"/>
      <c r="AX6896" s="397"/>
      <c r="BI6896" s="397"/>
      <c r="BJ6896" s="397"/>
      <c r="BK6896" s="397"/>
      <c r="BL6896" s="397"/>
      <c r="BM6896" s="397"/>
      <c r="BN6896" s="397"/>
      <c r="BO6896" s="397"/>
      <c r="BP6896" s="397"/>
      <c r="BQ6896" s="397"/>
      <c r="BR6896" s="397"/>
      <c r="BS6896" s="397"/>
      <c r="BT6896" s="397"/>
      <c r="BU6896" s="397"/>
      <c r="BV6896" s="397"/>
      <c r="BW6896" s="397"/>
      <c r="BX6896" s="397"/>
      <c r="BY6896" s="397"/>
      <c r="BZ6896" s="397"/>
      <c r="CA6896" s="392" t="s">
        <v>412</v>
      </c>
    </row>
    <row r="6897" spans="1:80" s="392" customFormat="1" ht="15" x14ac:dyDescent="0.25">
      <c r="A6897" s="385"/>
      <c r="B6897" s="385"/>
      <c r="C6897" s="385"/>
      <c r="D6897" s="700"/>
      <c r="E6897" s="386"/>
      <c r="F6897" s="385"/>
      <c r="G6897" s="400"/>
      <c r="H6897" s="402"/>
      <c r="I6897" s="402"/>
      <c r="J6897" s="402"/>
      <c r="K6897" s="402"/>
      <c r="L6897" s="674"/>
      <c r="M6897" s="672">
        <v>30887</v>
      </c>
      <c r="N6897" s="623">
        <v>2.7203173703598753E-2</v>
      </c>
      <c r="O6897" s="624">
        <v>3.628800000000001E-4</v>
      </c>
      <c r="P6897" s="397"/>
      <c r="Q6897" s="397"/>
      <c r="R6897" s="397"/>
      <c r="S6897" s="397"/>
      <c r="T6897" s="397"/>
      <c r="U6897" s="397"/>
      <c r="V6897" s="397"/>
      <c r="W6897" s="397"/>
      <c r="X6897" s="397"/>
      <c r="Y6897" s="397"/>
      <c r="Z6897" s="397"/>
      <c r="AC6897" s="409">
        <v>6.0000000000000001E-3</v>
      </c>
      <c r="AD6897" s="388">
        <v>1.0668</v>
      </c>
      <c r="AE6897" s="388">
        <v>9.7536000000000012E-2</v>
      </c>
      <c r="AF6897" s="388">
        <v>0.103119</v>
      </c>
      <c r="AG6897" s="388">
        <v>0.26212800000000003</v>
      </c>
      <c r="AH6897" s="391"/>
      <c r="AI6897" s="397"/>
      <c r="AJ6897" s="397"/>
      <c r="AU6897" s="397"/>
      <c r="AV6897" s="397"/>
      <c r="AW6897" s="397"/>
      <c r="AX6897" s="397"/>
      <c r="BI6897" s="397"/>
      <c r="BJ6897" s="397"/>
      <c r="BK6897" s="397"/>
      <c r="BL6897" s="397"/>
      <c r="BM6897" s="397"/>
      <c r="BN6897" s="397"/>
      <c r="BO6897" s="397"/>
      <c r="BP6897" s="397"/>
      <c r="BQ6897" s="397"/>
      <c r="BR6897" s="397"/>
      <c r="BS6897" s="397"/>
      <c r="BT6897" s="397"/>
      <c r="BU6897" s="397"/>
      <c r="BV6897" s="397"/>
      <c r="BW6897" s="397"/>
      <c r="BX6897" s="397"/>
      <c r="BY6897" s="397"/>
      <c r="BZ6897" s="397"/>
      <c r="CA6897" s="392" t="s">
        <v>412</v>
      </c>
    </row>
    <row r="6898" spans="1:80" s="392" customFormat="1" ht="15" x14ac:dyDescent="0.25">
      <c r="A6898" s="385"/>
      <c r="B6898" s="385"/>
      <c r="C6898" s="385"/>
      <c r="D6898" s="700"/>
      <c r="E6898" s="386"/>
      <c r="F6898" s="385"/>
      <c r="G6898" s="400"/>
      <c r="H6898" s="402"/>
      <c r="I6898" s="402"/>
      <c r="J6898" s="402"/>
      <c r="K6898" s="402"/>
      <c r="L6898" s="674"/>
      <c r="M6898" s="672">
        <v>30897</v>
      </c>
      <c r="N6898" s="623">
        <v>2.8053272881836216E-2</v>
      </c>
      <c r="O6898" s="624">
        <v>1.1838960000000003E-3</v>
      </c>
      <c r="P6898" s="397"/>
      <c r="Q6898" s="397"/>
      <c r="R6898" s="397"/>
      <c r="S6898" s="397"/>
      <c r="T6898" s="397"/>
      <c r="U6898" s="397"/>
      <c r="V6898" s="397"/>
      <c r="W6898" s="397"/>
      <c r="X6898" s="397"/>
      <c r="Y6898" s="397"/>
      <c r="Z6898" s="397"/>
      <c r="AC6898" s="409">
        <v>6.0000000000000001E-3</v>
      </c>
      <c r="AD6898" s="388">
        <v>1.0668</v>
      </c>
      <c r="AE6898" s="388">
        <v>0.10363200000000002</v>
      </c>
      <c r="AF6898" s="388">
        <v>0.10962199999999998</v>
      </c>
      <c r="AG6898" s="388">
        <v>0.25603199999999998</v>
      </c>
      <c r="AH6898" s="391"/>
      <c r="AI6898" s="397"/>
      <c r="AJ6898" s="397"/>
      <c r="AU6898" s="397"/>
      <c r="AV6898" s="397"/>
      <c r="AW6898" s="397"/>
      <c r="AX6898" s="397"/>
      <c r="BI6898" s="397"/>
      <c r="BJ6898" s="397"/>
      <c r="BK6898" s="397"/>
      <c r="BL6898" s="397"/>
      <c r="BM6898" s="397"/>
      <c r="BN6898" s="397"/>
      <c r="BO6898" s="397"/>
      <c r="BP6898" s="397"/>
      <c r="BQ6898" s="397"/>
      <c r="BR6898" s="397"/>
      <c r="BS6898" s="397"/>
      <c r="BT6898" s="397"/>
      <c r="BU6898" s="397"/>
      <c r="BV6898" s="397"/>
      <c r="BW6898" s="397"/>
      <c r="BX6898" s="397"/>
      <c r="BY6898" s="397"/>
      <c r="BZ6898" s="397"/>
      <c r="CA6898" s="392" t="s">
        <v>412</v>
      </c>
    </row>
    <row r="6899" spans="1:80" s="392" customFormat="1" ht="15" x14ac:dyDescent="0.25">
      <c r="A6899" s="385"/>
      <c r="B6899" s="385"/>
      <c r="C6899" s="385"/>
      <c r="D6899" s="700"/>
      <c r="E6899" s="386"/>
      <c r="F6899" s="385"/>
      <c r="G6899" s="400"/>
      <c r="H6899" s="402"/>
      <c r="I6899" s="402"/>
      <c r="J6899" s="402"/>
      <c r="K6899" s="402"/>
      <c r="L6899" s="674"/>
      <c r="M6899" s="672">
        <v>30922</v>
      </c>
      <c r="N6899" s="623">
        <v>3.683763105695665E-2</v>
      </c>
      <c r="O6899" s="624">
        <v>1.2700799999999998E-3</v>
      </c>
      <c r="P6899" s="397"/>
      <c r="Q6899" s="397"/>
      <c r="R6899" s="397"/>
      <c r="S6899" s="397"/>
      <c r="T6899" s="397"/>
      <c r="U6899" s="397"/>
      <c r="V6899" s="397"/>
      <c r="W6899" s="397"/>
      <c r="X6899" s="397"/>
      <c r="Y6899" s="397"/>
      <c r="Z6899" s="397"/>
      <c r="AC6899" s="409">
        <v>6.0000000000000001E-3</v>
      </c>
      <c r="AD6899" s="388">
        <v>1.09728</v>
      </c>
      <c r="AE6899" s="388">
        <v>8.5344000000000017E-2</v>
      </c>
      <c r="AF6899" s="388">
        <v>9.2899999999999996E-2</v>
      </c>
      <c r="AG6899" s="388">
        <v>0.41148000000000007</v>
      </c>
      <c r="AH6899" s="391"/>
      <c r="AI6899" s="397"/>
      <c r="AJ6899" s="397"/>
      <c r="AU6899" s="397"/>
      <c r="AV6899" s="397"/>
      <c r="AW6899" s="397"/>
      <c r="AX6899" s="397"/>
      <c r="BI6899" s="397"/>
      <c r="BJ6899" s="397"/>
      <c r="BK6899" s="397"/>
      <c r="BL6899" s="397"/>
      <c r="BM6899" s="397"/>
      <c r="BN6899" s="397"/>
      <c r="BO6899" s="397"/>
      <c r="BP6899" s="397"/>
      <c r="BQ6899" s="397"/>
      <c r="BR6899" s="397"/>
      <c r="BS6899" s="397"/>
      <c r="BT6899" s="397"/>
      <c r="BU6899" s="397"/>
      <c r="BV6899" s="397"/>
      <c r="BW6899" s="397"/>
      <c r="BX6899" s="397"/>
      <c r="BY6899" s="397"/>
      <c r="BZ6899" s="397"/>
      <c r="CA6899" s="392" t="s">
        <v>412</v>
      </c>
    </row>
    <row r="6900" spans="1:80" s="189" customFormat="1" ht="15" x14ac:dyDescent="0.25">
      <c r="A6900" s="381" t="s">
        <v>448</v>
      </c>
      <c r="B6900" s="641"/>
      <c r="C6900" s="639"/>
      <c r="D6900" s="4">
        <f>VLOOKUP(E6900,'Quality Code'!$D$4:$E$24,2,TRUE)*VLOOKUP(MROUND(F6900,10),'Quality Code'!$D$28:$E$69,2,TRUE)*VLOOKUP(COUNTA(CB6900:CB6910),'Quality Code'!$D$73:$E$93,2,TRUE)</f>
        <v>0</v>
      </c>
      <c r="E6900" s="14">
        <v>0.4</v>
      </c>
      <c r="F6900" s="2"/>
      <c r="G6900" s="12"/>
      <c r="H6900" s="2" t="s">
        <v>105</v>
      </c>
      <c r="I6900" s="2"/>
      <c r="J6900" s="2"/>
      <c r="K6900" s="2"/>
      <c r="L6900" s="639"/>
      <c r="M6900" s="640">
        <v>1984</v>
      </c>
      <c r="N6900" s="578" t="s">
        <v>110</v>
      </c>
      <c r="O6900" s="578"/>
      <c r="P6900" s="26"/>
      <c r="Q6900" s="26"/>
      <c r="R6900" s="26"/>
      <c r="S6900" s="26"/>
      <c r="T6900" s="26"/>
      <c r="U6900" s="26"/>
      <c r="V6900" s="10"/>
      <c r="W6900" s="10"/>
      <c r="X6900" s="10"/>
      <c r="Y6900" s="10"/>
      <c r="Z6900" s="2"/>
      <c r="AA6900" s="26"/>
      <c r="AB6900" s="26"/>
      <c r="AC6900" s="377">
        <v>3.9E-2</v>
      </c>
      <c r="AD6900" s="406"/>
      <c r="AE6900" s="26"/>
      <c r="AF6900" s="26"/>
      <c r="AG6900" s="26"/>
      <c r="AH6900" s="26"/>
      <c r="AI6900" s="4"/>
      <c r="AJ6900" s="378"/>
      <c r="AK6900" s="376"/>
      <c r="AL6900" s="376"/>
      <c r="AM6900" s="376"/>
      <c r="AN6900" s="376"/>
      <c r="AO6900" s="376"/>
      <c r="AP6900" s="376"/>
      <c r="AQ6900" s="376"/>
      <c r="AR6900" s="376"/>
      <c r="AS6900" s="376"/>
      <c r="AT6900" s="376"/>
      <c r="AU6900" s="378"/>
      <c r="AV6900" s="378"/>
      <c r="AW6900" s="378"/>
      <c r="AX6900" s="378"/>
      <c r="AY6900" s="379"/>
      <c r="AZ6900" s="379"/>
      <c r="BA6900" s="380"/>
      <c r="BB6900" s="380"/>
      <c r="BC6900" s="380"/>
      <c r="BD6900" s="380"/>
      <c r="BE6900" s="380"/>
      <c r="BF6900" s="380"/>
      <c r="BG6900" s="380"/>
      <c r="BH6900" s="380"/>
      <c r="BI6900" s="4"/>
      <c r="BJ6900" s="12"/>
      <c r="BK6900" s="2"/>
      <c r="BL6900" s="2"/>
      <c r="BM6900" s="4"/>
      <c r="BN6900" s="12"/>
      <c r="BO6900" s="12"/>
      <c r="BP6900" s="12"/>
      <c r="BQ6900" s="4"/>
      <c r="BR6900" s="4"/>
      <c r="BS6900" s="4"/>
      <c r="BT6900" s="2"/>
      <c r="BU6900" s="9"/>
      <c r="BV6900" s="381"/>
      <c r="BW6900" s="382"/>
      <c r="BX6900" s="383"/>
      <c r="BY6900" s="383" t="s">
        <v>86</v>
      </c>
      <c r="BZ6900" s="383"/>
      <c r="CA6900" s="384" t="s">
        <v>412</v>
      </c>
      <c r="CB6900" s="411"/>
    </row>
    <row r="6901" spans="1:80" s="392" customFormat="1" ht="15" x14ac:dyDescent="0.25">
      <c r="A6901" s="385"/>
      <c r="B6901" s="385"/>
      <c r="C6901" s="385"/>
      <c r="D6901" s="700"/>
      <c r="E6901" s="386"/>
      <c r="F6901" s="385"/>
      <c r="G6901" s="400"/>
      <c r="H6901" s="402"/>
      <c r="I6901" s="402"/>
      <c r="J6901" s="402"/>
      <c r="K6901" s="402"/>
      <c r="L6901" s="674"/>
      <c r="M6901" s="672">
        <v>30818</v>
      </c>
      <c r="N6901" s="623">
        <v>0.291867384528195</v>
      </c>
      <c r="O6901" s="624">
        <v>3.2508000000000007E-3</v>
      </c>
      <c r="P6901" s="397"/>
      <c r="Q6901" s="397"/>
      <c r="R6901" s="397"/>
      <c r="S6901" s="397"/>
      <c r="T6901" s="397"/>
      <c r="U6901" s="397"/>
      <c r="V6901" s="397"/>
      <c r="W6901" s="397"/>
      <c r="X6901" s="397"/>
      <c r="Y6901" s="397"/>
      <c r="Z6901" s="397"/>
      <c r="AD6901" s="388">
        <v>3.048</v>
      </c>
      <c r="AE6901" s="388">
        <v>0.16154400000000002</v>
      </c>
      <c r="AF6901" s="388">
        <v>0.79893999999999998</v>
      </c>
      <c r="AG6901" s="388">
        <v>0.59740800000000005</v>
      </c>
      <c r="AH6901" s="391"/>
      <c r="AI6901" s="397"/>
      <c r="AJ6901" s="397"/>
      <c r="AU6901" s="397"/>
      <c r="AV6901" s="397"/>
      <c r="AW6901" s="397"/>
      <c r="AX6901" s="397"/>
      <c r="BI6901" s="397"/>
      <c r="BJ6901" s="397"/>
      <c r="BK6901" s="397"/>
      <c r="BL6901" s="397"/>
      <c r="BM6901" s="397"/>
      <c r="BN6901" s="397"/>
      <c r="BO6901" s="397"/>
      <c r="BP6901" s="397"/>
      <c r="BQ6901" s="397"/>
      <c r="BR6901" s="397"/>
      <c r="BS6901" s="397"/>
      <c r="BT6901" s="397"/>
      <c r="BU6901" s="397"/>
      <c r="BV6901" s="397"/>
      <c r="BW6901" s="397"/>
      <c r="BX6901" s="397"/>
      <c r="BY6901" s="397"/>
      <c r="BZ6901" s="397"/>
      <c r="CA6901" s="392" t="s">
        <v>412</v>
      </c>
    </row>
    <row r="6902" spans="1:80" s="392" customFormat="1" ht="15" x14ac:dyDescent="0.25">
      <c r="A6902" s="385"/>
      <c r="B6902" s="385"/>
      <c r="C6902" s="385"/>
      <c r="D6902" s="700"/>
      <c r="E6902" s="386"/>
      <c r="F6902" s="385"/>
      <c r="G6902" s="400"/>
      <c r="H6902" s="402"/>
      <c r="I6902" s="402"/>
      <c r="J6902" s="402"/>
      <c r="K6902" s="402"/>
      <c r="L6902" s="674"/>
      <c r="M6902" s="672">
        <v>30826</v>
      </c>
      <c r="N6902" s="623">
        <v>1.5103428733352224</v>
      </c>
      <c r="O6902" s="624">
        <v>2.8189728000000008E-2</v>
      </c>
      <c r="P6902" s="397"/>
      <c r="Q6902" s="397"/>
      <c r="R6902" s="397"/>
      <c r="S6902" s="397"/>
      <c r="T6902" s="397"/>
      <c r="U6902" s="397"/>
      <c r="V6902" s="397"/>
      <c r="W6902" s="397"/>
      <c r="X6902" s="397"/>
      <c r="Y6902" s="397"/>
      <c r="Z6902" s="397"/>
      <c r="AD6902" s="388">
        <v>4.23672</v>
      </c>
      <c r="AE6902" s="388">
        <v>0.29565600000000003</v>
      </c>
      <c r="AF6902" s="388">
        <v>1.2541499999999999</v>
      </c>
      <c r="AG6902" s="388">
        <v>1.2039600000000001</v>
      </c>
      <c r="AH6902" s="391"/>
      <c r="AI6902" s="397"/>
      <c r="AJ6902" s="397"/>
      <c r="AU6902" s="397"/>
      <c r="AV6902" s="397"/>
      <c r="AW6902" s="397"/>
      <c r="AX6902" s="397"/>
      <c r="BI6902" s="397"/>
      <c r="BJ6902" s="397"/>
      <c r="BK6902" s="397"/>
      <c r="BL6902" s="397"/>
      <c r="BM6902" s="397"/>
      <c r="BN6902" s="397"/>
      <c r="BO6902" s="397"/>
      <c r="BP6902" s="397"/>
      <c r="BQ6902" s="397"/>
      <c r="BR6902" s="397"/>
      <c r="BS6902" s="397"/>
      <c r="BT6902" s="397"/>
      <c r="BU6902" s="397"/>
      <c r="BV6902" s="397"/>
      <c r="BW6902" s="397"/>
      <c r="BX6902" s="397"/>
      <c r="BY6902" s="397"/>
      <c r="BZ6902" s="397"/>
      <c r="CA6902" s="392" t="s">
        <v>412</v>
      </c>
    </row>
    <row r="6903" spans="1:80" s="392" customFormat="1" ht="15" x14ac:dyDescent="0.25">
      <c r="A6903" s="385"/>
      <c r="B6903" s="385"/>
      <c r="C6903" s="385"/>
      <c r="D6903" s="700"/>
      <c r="E6903" s="386"/>
      <c r="F6903" s="385"/>
      <c r="G6903" s="400"/>
      <c r="H6903" s="402"/>
      <c r="I6903" s="402"/>
      <c r="J6903" s="402"/>
      <c r="K6903" s="402"/>
      <c r="L6903" s="674"/>
      <c r="M6903" s="672">
        <v>30831</v>
      </c>
      <c r="N6903" s="623">
        <v>1.252479455936526</v>
      </c>
      <c r="O6903" s="624">
        <v>1.3538448E-2</v>
      </c>
      <c r="P6903" s="397"/>
      <c r="Q6903" s="397"/>
      <c r="R6903" s="397"/>
      <c r="S6903" s="397"/>
      <c r="T6903" s="397"/>
      <c r="U6903" s="397"/>
      <c r="V6903" s="397"/>
      <c r="W6903" s="397"/>
      <c r="X6903" s="397"/>
      <c r="Y6903" s="397"/>
      <c r="Z6903" s="397"/>
      <c r="AD6903" s="388">
        <v>4.907280000000001</v>
      </c>
      <c r="AE6903" s="388">
        <v>0.27127200000000001</v>
      </c>
      <c r="AF6903" s="388">
        <v>1.32847</v>
      </c>
      <c r="AG6903" s="388">
        <v>0.941832</v>
      </c>
      <c r="AH6903" s="391"/>
      <c r="AI6903" s="397"/>
      <c r="AJ6903" s="397"/>
      <c r="AU6903" s="397"/>
      <c r="AV6903" s="397"/>
      <c r="AW6903" s="397"/>
      <c r="AX6903" s="397"/>
      <c r="BI6903" s="397"/>
      <c r="BJ6903" s="397"/>
      <c r="BK6903" s="397"/>
      <c r="BL6903" s="397"/>
      <c r="BM6903" s="397"/>
      <c r="BN6903" s="397"/>
      <c r="BO6903" s="397"/>
      <c r="BP6903" s="397"/>
      <c r="BQ6903" s="397"/>
      <c r="BR6903" s="397"/>
      <c r="BS6903" s="397"/>
      <c r="BT6903" s="397"/>
      <c r="BU6903" s="397"/>
      <c r="BV6903" s="397"/>
      <c r="BW6903" s="397"/>
      <c r="BX6903" s="397"/>
      <c r="BY6903" s="397"/>
      <c r="BZ6903" s="397"/>
      <c r="CA6903" s="392" t="s">
        <v>412</v>
      </c>
    </row>
    <row r="6904" spans="1:80" s="392" customFormat="1" ht="15" x14ac:dyDescent="0.25">
      <c r="A6904" s="385"/>
      <c r="B6904" s="385"/>
      <c r="C6904" s="385"/>
      <c r="D6904" s="700"/>
      <c r="E6904" s="386"/>
      <c r="F6904" s="385"/>
      <c r="G6904" s="400"/>
      <c r="H6904" s="402"/>
      <c r="I6904" s="402"/>
      <c r="J6904" s="402"/>
      <c r="K6904" s="402"/>
      <c r="L6904" s="674"/>
      <c r="M6904" s="672">
        <v>30833</v>
      </c>
      <c r="N6904" s="623">
        <v>1.4621705865684331</v>
      </c>
      <c r="O6904" s="624">
        <v>7.009632E-3</v>
      </c>
      <c r="P6904" s="397"/>
      <c r="Q6904" s="397"/>
      <c r="R6904" s="397"/>
      <c r="S6904" s="397"/>
      <c r="T6904" s="397"/>
      <c r="U6904" s="397"/>
      <c r="V6904" s="397"/>
      <c r="W6904" s="397"/>
      <c r="X6904" s="397"/>
      <c r="Y6904" s="397"/>
      <c r="Z6904" s="397"/>
      <c r="AD6904" s="388">
        <v>4.9987199999999996</v>
      </c>
      <c r="AE6904" s="388">
        <v>0.277368</v>
      </c>
      <c r="AF6904" s="388">
        <v>1.3749199999999999</v>
      </c>
      <c r="AG6904" s="388">
        <v>1.0576560000000002</v>
      </c>
      <c r="AH6904" s="391"/>
      <c r="AI6904" s="397"/>
      <c r="AJ6904" s="397"/>
      <c r="AU6904" s="397"/>
      <c r="AV6904" s="397"/>
      <c r="AW6904" s="397"/>
      <c r="AX6904" s="397"/>
      <c r="BI6904" s="397"/>
      <c r="BJ6904" s="397"/>
      <c r="BK6904" s="397"/>
      <c r="BL6904" s="397"/>
      <c r="BM6904" s="397"/>
      <c r="BN6904" s="397"/>
      <c r="BO6904" s="397"/>
      <c r="BP6904" s="397"/>
      <c r="BQ6904" s="397"/>
      <c r="BR6904" s="397"/>
      <c r="BS6904" s="397"/>
      <c r="BT6904" s="397"/>
      <c r="BU6904" s="397"/>
      <c r="BV6904" s="397"/>
      <c r="BW6904" s="397"/>
      <c r="BX6904" s="397"/>
      <c r="BY6904" s="397"/>
      <c r="BZ6904" s="397"/>
      <c r="CA6904" s="392" t="s">
        <v>412</v>
      </c>
    </row>
    <row r="6905" spans="1:80" s="392" customFormat="1" ht="15" x14ac:dyDescent="0.25">
      <c r="A6905" s="385"/>
      <c r="B6905" s="385"/>
      <c r="C6905" s="385"/>
      <c r="D6905" s="700"/>
      <c r="E6905" s="386"/>
      <c r="F6905" s="385"/>
      <c r="G6905" s="400"/>
      <c r="H6905" s="402"/>
      <c r="I6905" s="402"/>
      <c r="J6905" s="402"/>
      <c r="K6905" s="402"/>
      <c r="L6905" s="674"/>
      <c r="M6905" s="672">
        <v>30839</v>
      </c>
      <c r="N6905" s="623">
        <v>1.1306319070558231</v>
      </c>
      <c r="O6905" s="624">
        <v>2.6671680000000003E-2</v>
      </c>
      <c r="P6905" s="397"/>
      <c r="Q6905" s="397"/>
      <c r="R6905" s="397"/>
      <c r="S6905" s="397"/>
      <c r="T6905" s="397"/>
      <c r="U6905" s="397"/>
      <c r="V6905" s="397"/>
      <c r="W6905" s="397"/>
      <c r="X6905" s="397"/>
      <c r="Y6905" s="397"/>
      <c r="Z6905" s="397"/>
      <c r="AD6905" s="388">
        <v>4.4805599999999997</v>
      </c>
      <c r="AE6905" s="388">
        <v>0.25908000000000003</v>
      </c>
      <c r="AF6905" s="388">
        <v>1.1519600000000001</v>
      </c>
      <c r="AG6905" s="388">
        <v>0.97536000000000012</v>
      </c>
      <c r="AH6905" s="391"/>
      <c r="AI6905" s="397"/>
      <c r="AJ6905" s="397"/>
      <c r="AU6905" s="397"/>
      <c r="AV6905" s="397"/>
      <c r="AW6905" s="397"/>
      <c r="AX6905" s="397"/>
      <c r="BI6905" s="397"/>
      <c r="BJ6905" s="397"/>
      <c r="BK6905" s="397"/>
      <c r="BL6905" s="397"/>
      <c r="BM6905" s="397"/>
      <c r="BN6905" s="397"/>
      <c r="BO6905" s="397"/>
      <c r="BP6905" s="397"/>
      <c r="BQ6905" s="397"/>
      <c r="BR6905" s="397"/>
      <c r="BS6905" s="397"/>
      <c r="BT6905" s="397"/>
      <c r="BU6905" s="397"/>
      <c r="BV6905" s="397"/>
      <c r="BW6905" s="397"/>
      <c r="BX6905" s="397"/>
      <c r="BY6905" s="397"/>
      <c r="BZ6905" s="397"/>
      <c r="CA6905" s="392" t="s">
        <v>412</v>
      </c>
    </row>
    <row r="6906" spans="1:80" s="392" customFormat="1" ht="15" x14ac:dyDescent="0.25">
      <c r="A6906" s="385"/>
      <c r="B6906" s="385"/>
      <c r="C6906" s="385"/>
      <c r="D6906" s="700"/>
      <c r="E6906" s="386"/>
      <c r="F6906" s="385"/>
      <c r="G6906" s="400"/>
      <c r="H6906" s="402"/>
      <c r="I6906" s="402"/>
      <c r="J6906" s="402"/>
      <c r="K6906" s="402"/>
      <c r="L6906" s="674"/>
      <c r="M6906" s="672">
        <v>30845</v>
      </c>
      <c r="N6906" s="623">
        <v>0.73391895721167466</v>
      </c>
      <c r="O6906" s="624">
        <v>7.8593760000000013E-3</v>
      </c>
      <c r="P6906" s="397"/>
      <c r="Q6906" s="397"/>
      <c r="R6906" s="397"/>
      <c r="S6906" s="397"/>
      <c r="T6906" s="397"/>
      <c r="U6906" s="397"/>
      <c r="V6906" s="397"/>
      <c r="W6906" s="397"/>
      <c r="X6906" s="397"/>
      <c r="Y6906" s="397"/>
      <c r="Z6906" s="397"/>
      <c r="AD6906" s="388">
        <v>4.4196</v>
      </c>
      <c r="AE6906" s="388">
        <v>0.21945600000000001</v>
      </c>
      <c r="AF6906" s="388">
        <v>0.96616000000000002</v>
      </c>
      <c r="AG6906" s="388">
        <v>0.75895200000000007</v>
      </c>
      <c r="AH6906" s="391"/>
      <c r="AI6906" s="397"/>
      <c r="AJ6906" s="397"/>
      <c r="AU6906" s="397"/>
      <c r="AV6906" s="397"/>
      <c r="AW6906" s="397"/>
      <c r="AX6906" s="397"/>
      <c r="BI6906" s="397"/>
      <c r="BJ6906" s="397"/>
      <c r="BK6906" s="397"/>
      <c r="BL6906" s="397"/>
      <c r="BM6906" s="397"/>
      <c r="BN6906" s="397"/>
      <c r="BO6906" s="397"/>
      <c r="BP6906" s="397"/>
      <c r="BQ6906" s="397"/>
      <c r="BR6906" s="397"/>
      <c r="BS6906" s="397"/>
      <c r="BT6906" s="397"/>
      <c r="BU6906" s="397"/>
      <c r="BV6906" s="397"/>
      <c r="BW6906" s="397"/>
      <c r="BX6906" s="397"/>
      <c r="BY6906" s="397"/>
      <c r="BZ6906" s="397"/>
      <c r="CA6906" s="392" t="s">
        <v>412</v>
      </c>
    </row>
    <row r="6907" spans="1:80" s="392" customFormat="1" ht="15" x14ac:dyDescent="0.25">
      <c r="A6907" s="385"/>
      <c r="B6907" s="385"/>
      <c r="C6907" s="385"/>
      <c r="D6907" s="700"/>
      <c r="E6907" s="386"/>
      <c r="F6907" s="385"/>
      <c r="G6907" s="400"/>
      <c r="H6907" s="402"/>
      <c r="I6907" s="402"/>
      <c r="J6907" s="402"/>
      <c r="K6907" s="402"/>
      <c r="L6907" s="674"/>
      <c r="M6907" s="672">
        <v>30847</v>
      </c>
      <c r="N6907" s="623">
        <v>0.93510909606120718</v>
      </c>
      <c r="O6907" s="624">
        <v>1.2623688000000001E-2</v>
      </c>
      <c r="P6907" s="397"/>
      <c r="Q6907" s="397"/>
      <c r="R6907" s="397"/>
      <c r="S6907" s="397"/>
      <c r="T6907" s="397"/>
      <c r="U6907" s="397"/>
      <c r="V6907" s="397"/>
      <c r="W6907" s="397"/>
      <c r="X6907" s="397"/>
      <c r="Y6907" s="397"/>
      <c r="Z6907" s="397"/>
      <c r="AD6907" s="388">
        <v>4.5415200000000002</v>
      </c>
      <c r="AE6907" s="388">
        <v>0.26212800000000003</v>
      </c>
      <c r="AF6907" s="388">
        <v>1.18912</v>
      </c>
      <c r="AG6907" s="388">
        <v>0.78943200000000002</v>
      </c>
      <c r="AH6907" s="391"/>
      <c r="AI6907" s="397"/>
      <c r="AJ6907" s="397"/>
      <c r="AU6907" s="397"/>
      <c r="AV6907" s="397"/>
      <c r="AW6907" s="397"/>
      <c r="AX6907" s="397"/>
      <c r="BI6907" s="397"/>
      <c r="BJ6907" s="397"/>
      <c r="BK6907" s="397"/>
      <c r="BL6907" s="397"/>
      <c r="BM6907" s="397"/>
      <c r="BN6907" s="397"/>
      <c r="BO6907" s="397"/>
      <c r="BP6907" s="397"/>
      <c r="BQ6907" s="397"/>
      <c r="BR6907" s="397"/>
      <c r="BS6907" s="397"/>
      <c r="BT6907" s="397"/>
      <c r="BU6907" s="397"/>
      <c r="BV6907" s="397"/>
      <c r="BW6907" s="397"/>
      <c r="BX6907" s="397"/>
      <c r="BY6907" s="397"/>
      <c r="BZ6907" s="397"/>
      <c r="CA6907" s="392" t="s">
        <v>412</v>
      </c>
    </row>
    <row r="6908" spans="1:80" s="392" customFormat="1" ht="15" x14ac:dyDescent="0.25">
      <c r="A6908" s="385"/>
      <c r="B6908" s="385"/>
      <c r="C6908" s="385"/>
      <c r="D6908" s="700"/>
      <c r="E6908" s="386"/>
      <c r="F6908" s="385"/>
      <c r="G6908" s="400"/>
      <c r="H6908" s="402"/>
      <c r="I6908" s="402"/>
      <c r="J6908" s="402"/>
      <c r="K6908" s="402"/>
      <c r="L6908" s="674"/>
      <c r="M6908" s="672">
        <v>30851</v>
      </c>
      <c r="N6908" s="623">
        <v>1.1334655709832815</v>
      </c>
      <c r="O6908" s="624">
        <v>2.9030400000000008E-3</v>
      </c>
      <c r="P6908" s="397"/>
      <c r="Q6908" s="397"/>
      <c r="R6908" s="397"/>
      <c r="S6908" s="397"/>
      <c r="T6908" s="397"/>
      <c r="U6908" s="397"/>
      <c r="V6908" s="397"/>
      <c r="W6908" s="397"/>
      <c r="X6908" s="397"/>
      <c r="Y6908" s="397"/>
      <c r="Z6908" s="397"/>
      <c r="AD6908" s="388">
        <v>4.5720000000000001</v>
      </c>
      <c r="AE6908" s="388">
        <v>0.24384000000000003</v>
      </c>
      <c r="AF6908" s="388">
        <v>1.1148</v>
      </c>
      <c r="AG6908" s="388">
        <v>1.018032</v>
      </c>
      <c r="AH6908" s="391"/>
      <c r="AI6908" s="397"/>
      <c r="AJ6908" s="397"/>
      <c r="AU6908" s="397"/>
      <c r="AV6908" s="397"/>
      <c r="AW6908" s="397"/>
      <c r="AX6908" s="397"/>
      <c r="BI6908" s="397"/>
      <c r="BJ6908" s="397"/>
      <c r="BK6908" s="397"/>
      <c r="BL6908" s="397"/>
      <c r="BM6908" s="397"/>
      <c r="BN6908" s="397"/>
      <c r="BO6908" s="397"/>
      <c r="BP6908" s="397"/>
      <c r="BQ6908" s="397"/>
      <c r="BR6908" s="397"/>
      <c r="BS6908" s="397"/>
      <c r="BT6908" s="397"/>
      <c r="BU6908" s="397"/>
      <c r="BV6908" s="397"/>
      <c r="BW6908" s="397"/>
      <c r="BX6908" s="397"/>
      <c r="BY6908" s="397"/>
      <c r="BZ6908" s="397"/>
      <c r="CA6908" s="392" t="s">
        <v>412</v>
      </c>
    </row>
    <row r="6909" spans="1:80" s="392" customFormat="1" ht="15" x14ac:dyDescent="0.25">
      <c r="A6909" s="385"/>
      <c r="B6909" s="385"/>
      <c r="C6909" s="385"/>
      <c r="D6909" s="700"/>
      <c r="E6909" s="386"/>
      <c r="F6909" s="385"/>
      <c r="G6909" s="400"/>
      <c r="H6909" s="402"/>
      <c r="I6909" s="402"/>
      <c r="J6909" s="402"/>
      <c r="K6909" s="402"/>
      <c r="L6909" s="674"/>
      <c r="M6909" s="672">
        <v>30856</v>
      </c>
      <c r="N6909" s="623">
        <v>1.0399546613771609</v>
      </c>
      <c r="O6909" s="624">
        <v>2.9756160000000004E-3</v>
      </c>
      <c r="P6909" s="397"/>
      <c r="Q6909" s="397"/>
      <c r="R6909" s="397"/>
      <c r="S6909" s="397"/>
      <c r="T6909" s="397"/>
      <c r="U6909" s="397"/>
      <c r="V6909" s="397"/>
      <c r="W6909" s="397"/>
      <c r="X6909" s="397"/>
      <c r="Y6909" s="397"/>
      <c r="Z6909" s="397"/>
      <c r="AD6909" s="388">
        <v>4.5720000000000001</v>
      </c>
      <c r="AE6909" s="388">
        <v>0.25908000000000003</v>
      </c>
      <c r="AF6909" s="388">
        <v>1.18912</v>
      </c>
      <c r="AG6909" s="388">
        <v>0.87477600000000011</v>
      </c>
      <c r="AH6909" s="391"/>
      <c r="AI6909" s="397"/>
      <c r="AJ6909" s="397"/>
      <c r="AU6909" s="397"/>
      <c r="AV6909" s="397"/>
      <c r="AW6909" s="397"/>
      <c r="AX6909" s="397"/>
      <c r="BI6909" s="397"/>
      <c r="BJ6909" s="397"/>
      <c r="BK6909" s="397"/>
      <c r="BL6909" s="397"/>
      <c r="BM6909" s="397"/>
      <c r="BN6909" s="397"/>
      <c r="BO6909" s="397"/>
      <c r="BP6909" s="397"/>
      <c r="BQ6909" s="397"/>
      <c r="BR6909" s="397"/>
      <c r="BS6909" s="397"/>
      <c r="BT6909" s="397"/>
      <c r="BU6909" s="397"/>
      <c r="BV6909" s="397"/>
      <c r="BW6909" s="397"/>
      <c r="BX6909" s="397"/>
      <c r="BY6909" s="397"/>
      <c r="BZ6909" s="397"/>
      <c r="CA6909" s="392" t="s">
        <v>412</v>
      </c>
    </row>
    <row r="6910" spans="1:80" s="392" customFormat="1" ht="15" x14ac:dyDescent="0.25">
      <c r="A6910" s="385"/>
      <c r="B6910" s="385"/>
      <c r="C6910" s="385"/>
      <c r="D6910" s="700"/>
      <c r="E6910" s="386"/>
      <c r="F6910" s="385"/>
      <c r="G6910" s="400"/>
      <c r="H6910" s="402"/>
      <c r="I6910" s="402"/>
      <c r="J6910" s="402"/>
      <c r="K6910" s="402"/>
      <c r="L6910" s="674"/>
      <c r="M6910" s="672">
        <v>30859</v>
      </c>
      <c r="N6910" s="623">
        <v>1.1306319070558231</v>
      </c>
      <c r="O6910" s="624">
        <v>2.5855200000000004E-3</v>
      </c>
      <c r="P6910" s="397"/>
      <c r="Q6910" s="397"/>
      <c r="R6910" s="397"/>
      <c r="S6910" s="397"/>
      <c r="T6910" s="397"/>
      <c r="U6910" s="397"/>
      <c r="V6910" s="397"/>
      <c r="W6910" s="397"/>
      <c r="X6910" s="397"/>
      <c r="Y6910" s="397"/>
      <c r="Z6910" s="397"/>
      <c r="AD6910" s="388">
        <v>4.5720000000000001</v>
      </c>
      <c r="AE6910" s="388">
        <v>0.25298399999999999</v>
      </c>
      <c r="AF6910" s="388">
        <v>1.1612499999999999</v>
      </c>
      <c r="AG6910" s="388">
        <v>0.97231200000000007</v>
      </c>
      <c r="AH6910" s="391"/>
      <c r="AI6910" s="397"/>
      <c r="AJ6910" s="397"/>
      <c r="AU6910" s="397"/>
      <c r="AV6910" s="397"/>
      <c r="AW6910" s="397"/>
      <c r="AX6910" s="397"/>
      <c r="BI6910" s="397"/>
      <c r="BJ6910" s="397"/>
      <c r="BK6910" s="397"/>
      <c r="BL6910" s="397"/>
      <c r="BM6910" s="397"/>
      <c r="BN6910" s="397"/>
      <c r="BO6910" s="397"/>
      <c r="BP6910" s="397"/>
      <c r="BQ6910" s="397"/>
      <c r="BR6910" s="397"/>
      <c r="BS6910" s="397"/>
      <c r="BT6910" s="397"/>
      <c r="BU6910" s="397"/>
      <c r="BV6910" s="397"/>
      <c r="BW6910" s="397"/>
      <c r="BX6910" s="397"/>
      <c r="BY6910" s="397"/>
      <c r="BZ6910" s="397"/>
      <c r="CA6910" s="392" t="s">
        <v>412</v>
      </c>
    </row>
    <row r="6911" spans="1:80" s="392" customFormat="1" ht="15" x14ac:dyDescent="0.25">
      <c r="A6911" s="385"/>
      <c r="B6911" s="385"/>
      <c r="C6911" s="385"/>
      <c r="D6911" s="700"/>
      <c r="E6911" s="386"/>
      <c r="F6911" s="385"/>
      <c r="G6911" s="400"/>
      <c r="H6911" s="402"/>
      <c r="I6911" s="402"/>
      <c r="J6911" s="402"/>
      <c r="K6911" s="402"/>
      <c r="L6911" s="674"/>
      <c r="M6911" s="672">
        <v>30862</v>
      </c>
      <c r="N6911" s="623">
        <v>0.73108529328421656</v>
      </c>
      <c r="O6911" s="624">
        <v>1.1959920000000003E-3</v>
      </c>
      <c r="P6911" s="397"/>
      <c r="Q6911" s="397"/>
      <c r="R6911" s="397"/>
      <c r="S6911" s="397"/>
      <c r="T6911" s="397"/>
      <c r="U6911" s="397"/>
      <c r="V6911" s="397"/>
      <c r="W6911" s="397"/>
      <c r="X6911" s="397"/>
      <c r="Y6911" s="397"/>
      <c r="Z6911" s="397"/>
      <c r="AD6911" s="388">
        <v>4.5720000000000001</v>
      </c>
      <c r="AE6911" s="388">
        <v>0.225552</v>
      </c>
      <c r="AF6911" s="388">
        <v>1.0311899999999998</v>
      </c>
      <c r="AG6911" s="388">
        <v>0.70713599999999999</v>
      </c>
      <c r="AH6911" s="391"/>
      <c r="AI6911" s="397"/>
      <c r="AJ6911" s="397"/>
      <c r="AU6911" s="397"/>
      <c r="AV6911" s="397"/>
      <c r="AW6911" s="397"/>
      <c r="AX6911" s="397"/>
      <c r="BI6911" s="397"/>
      <c r="BJ6911" s="397"/>
      <c r="BK6911" s="397"/>
      <c r="BL6911" s="397"/>
      <c r="BM6911" s="397"/>
      <c r="BN6911" s="397"/>
      <c r="BO6911" s="397"/>
      <c r="BP6911" s="397"/>
      <c r="BQ6911" s="397"/>
      <c r="BR6911" s="397"/>
      <c r="BS6911" s="397"/>
      <c r="BT6911" s="397"/>
      <c r="BU6911" s="397"/>
      <c r="BV6911" s="397"/>
      <c r="BW6911" s="397"/>
      <c r="BX6911" s="397"/>
      <c r="BY6911" s="397"/>
      <c r="BZ6911" s="397"/>
      <c r="CA6911" s="392" t="s">
        <v>412</v>
      </c>
    </row>
    <row r="6912" spans="1:80" s="392" customFormat="1" ht="15" x14ac:dyDescent="0.25">
      <c r="A6912" s="385"/>
      <c r="B6912" s="385"/>
      <c r="C6912" s="385"/>
      <c r="D6912" s="700"/>
      <c r="E6912" s="386"/>
      <c r="F6912" s="385"/>
      <c r="G6912" s="400"/>
      <c r="H6912" s="402"/>
      <c r="I6912" s="402"/>
      <c r="J6912" s="402"/>
      <c r="K6912" s="402"/>
      <c r="L6912" s="674"/>
      <c r="M6912" s="672">
        <v>30866</v>
      </c>
      <c r="N6912" s="623">
        <v>0.62057240011334658</v>
      </c>
      <c r="O6912" s="624">
        <v>8.297856000000001E-3</v>
      </c>
      <c r="P6912" s="397"/>
      <c r="Q6912" s="397"/>
      <c r="R6912" s="397"/>
      <c r="S6912" s="397"/>
      <c r="T6912" s="397"/>
      <c r="U6912" s="397"/>
      <c r="V6912" s="397"/>
      <c r="W6912" s="397"/>
      <c r="X6912" s="397"/>
      <c r="Y6912" s="397"/>
      <c r="Z6912" s="397"/>
      <c r="AD6912" s="388">
        <v>4.3586400000000003</v>
      </c>
      <c r="AE6912" s="388">
        <v>0.225552</v>
      </c>
      <c r="AF6912" s="388">
        <v>0.97544999999999993</v>
      </c>
      <c r="AG6912" s="388">
        <v>0.63703200000000004</v>
      </c>
      <c r="AH6912" s="391"/>
      <c r="AI6912" s="397"/>
      <c r="AJ6912" s="397"/>
      <c r="AU6912" s="397"/>
      <c r="AV6912" s="397"/>
      <c r="AW6912" s="397"/>
      <c r="AX6912" s="397"/>
      <c r="BI6912" s="397"/>
      <c r="BJ6912" s="397"/>
      <c r="BK6912" s="397"/>
      <c r="BL6912" s="397"/>
      <c r="BM6912" s="397"/>
      <c r="BN6912" s="397"/>
      <c r="BO6912" s="397"/>
      <c r="BP6912" s="397"/>
      <c r="BQ6912" s="397"/>
      <c r="BR6912" s="397"/>
      <c r="BS6912" s="397"/>
      <c r="BT6912" s="397"/>
      <c r="BU6912" s="397"/>
      <c r="BV6912" s="397"/>
      <c r="BW6912" s="397"/>
      <c r="BX6912" s="397"/>
      <c r="BY6912" s="397"/>
      <c r="BZ6912" s="397"/>
      <c r="CA6912" s="392" t="s">
        <v>412</v>
      </c>
    </row>
    <row r="6913" spans="1:80" s="392" customFormat="1" ht="15" x14ac:dyDescent="0.25">
      <c r="A6913" s="385"/>
      <c r="B6913" s="385"/>
      <c r="C6913" s="385"/>
      <c r="D6913" s="700"/>
      <c r="E6913" s="386"/>
      <c r="F6913" s="385"/>
      <c r="G6913" s="400"/>
      <c r="H6913" s="402"/>
      <c r="I6913" s="402"/>
      <c r="J6913" s="402"/>
      <c r="K6913" s="402"/>
      <c r="L6913" s="674"/>
      <c r="M6913" s="672">
        <v>30869</v>
      </c>
      <c r="N6913" s="623">
        <v>0.68858033437234345</v>
      </c>
      <c r="O6913" s="624">
        <v>3.5925120000000004E-3</v>
      </c>
      <c r="P6913" s="397"/>
      <c r="Q6913" s="397"/>
      <c r="R6913" s="397"/>
      <c r="S6913" s="397"/>
      <c r="T6913" s="397"/>
      <c r="U6913" s="397"/>
      <c r="V6913" s="397"/>
      <c r="W6913" s="397"/>
      <c r="X6913" s="397"/>
      <c r="Y6913" s="397"/>
      <c r="Z6913" s="397"/>
      <c r="AD6913" s="388">
        <v>4.3586400000000003</v>
      </c>
      <c r="AE6913" s="388">
        <v>0.20726400000000003</v>
      </c>
      <c r="AF6913" s="388">
        <v>0.90112999999999988</v>
      </c>
      <c r="AG6913" s="388">
        <v>0.76504799999999995</v>
      </c>
      <c r="AH6913" s="391"/>
      <c r="AI6913" s="397"/>
      <c r="AJ6913" s="397"/>
      <c r="AU6913" s="397"/>
      <c r="AV6913" s="397"/>
      <c r="AW6913" s="397"/>
      <c r="AX6913" s="397"/>
      <c r="BI6913" s="397"/>
      <c r="BJ6913" s="397"/>
      <c r="BK6913" s="397"/>
      <c r="BL6913" s="397"/>
      <c r="BM6913" s="397"/>
      <c r="BN6913" s="397"/>
      <c r="BO6913" s="397"/>
      <c r="BP6913" s="397"/>
      <c r="BQ6913" s="397"/>
      <c r="BR6913" s="397"/>
      <c r="BS6913" s="397"/>
      <c r="BT6913" s="397"/>
      <c r="BU6913" s="397"/>
      <c r="BV6913" s="397"/>
      <c r="BW6913" s="397"/>
      <c r="BX6913" s="397"/>
      <c r="BY6913" s="397"/>
      <c r="BZ6913" s="397"/>
      <c r="CA6913" s="392" t="s">
        <v>412</v>
      </c>
    </row>
    <row r="6914" spans="1:80" s="392" customFormat="1" ht="15" x14ac:dyDescent="0.25">
      <c r="A6914" s="385"/>
      <c r="B6914" s="385"/>
      <c r="C6914" s="385"/>
      <c r="D6914" s="700"/>
      <c r="E6914" s="386"/>
      <c r="F6914" s="385"/>
      <c r="G6914" s="400"/>
      <c r="H6914" s="402"/>
      <c r="I6914" s="402"/>
      <c r="J6914" s="402"/>
      <c r="K6914" s="402"/>
      <c r="L6914" s="674"/>
      <c r="M6914" s="672">
        <v>30873</v>
      </c>
      <c r="N6914" s="623">
        <v>0.60073675262113913</v>
      </c>
      <c r="O6914" s="624">
        <v>1.537704E-3</v>
      </c>
      <c r="P6914" s="397"/>
      <c r="Q6914" s="397"/>
      <c r="R6914" s="397"/>
      <c r="S6914" s="397"/>
      <c r="T6914" s="397"/>
      <c r="U6914" s="397"/>
      <c r="V6914" s="397"/>
      <c r="W6914" s="397"/>
      <c r="X6914" s="397"/>
      <c r="Y6914" s="397"/>
      <c r="Z6914" s="397"/>
      <c r="AD6914" s="388">
        <v>4.4196</v>
      </c>
      <c r="AE6914" s="388">
        <v>0.23774400000000001</v>
      </c>
      <c r="AF6914" s="388">
        <v>1.0497700000000001</v>
      </c>
      <c r="AG6914" s="388">
        <v>0.57302399999999998</v>
      </c>
      <c r="AH6914" s="391"/>
      <c r="AI6914" s="397"/>
      <c r="AJ6914" s="397"/>
      <c r="AU6914" s="397"/>
      <c r="AV6914" s="397"/>
      <c r="AW6914" s="397"/>
      <c r="AX6914" s="397"/>
      <c r="BI6914" s="397"/>
      <c r="BJ6914" s="397"/>
      <c r="BK6914" s="397"/>
      <c r="BL6914" s="397"/>
      <c r="BM6914" s="397"/>
      <c r="BN6914" s="397"/>
      <c r="BO6914" s="397"/>
      <c r="BP6914" s="397"/>
      <c r="BQ6914" s="397"/>
      <c r="BR6914" s="397"/>
      <c r="BS6914" s="397"/>
      <c r="BT6914" s="397"/>
      <c r="BU6914" s="397"/>
      <c r="BV6914" s="397"/>
      <c r="BW6914" s="397"/>
      <c r="BX6914" s="397"/>
      <c r="BY6914" s="397"/>
      <c r="BZ6914" s="397"/>
      <c r="CA6914" s="392" t="s">
        <v>412</v>
      </c>
    </row>
    <row r="6915" spans="1:80" s="392" customFormat="1" ht="15" x14ac:dyDescent="0.25">
      <c r="A6915" s="385"/>
      <c r="B6915" s="385"/>
      <c r="C6915" s="385"/>
      <c r="D6915" s="700"/>
      <c r="E6915" s="386"/>
      <c r="F6915" s="385"/>
      <c r="G6915" s="400"/>
      <c r="H6915" s="402"/>
      <c r="I6915" s="402"/>
      <c r="J6915" s="402"/>
      <c r="K6915" s="402"/>
      <c r="L6915" s="674"/>
      <c r="M6915" s="672">
        <v>30880</v>
      </c>
      <c r="N6915" s="623">
        <v>0.37687730235194111</v>
      </c>
      <c r="O6915" s="624">
        <v>3.9296880000000006E-3</v>
      </c>
      <c r="P6915" s="397"/>
      <c r="Q6915" s="397"/>
      <c r="R6915" s="397"/>
      <c r="S6915" s="397"/>
      <c r="T6915" s="397"/>
      <c r="U6915" s="397"/>
      <c r="V6915" s="397"/>
      <c r="W6915" s="397"/>
      <c r="X6915" s="397"/>
      <c r="Y6915" s="397"/>
      <c r="Z6915" s="397"/>
      <c r="AD6915" s="388">
        <v>3.9624000000000001</v>
      </c>
      <c r="AE6915" s="388">
        <v>0.18288000000000001</v>
      </c>
      <c r="AF6915" s="388">
        <v>0.72461999999999993</v>
      </c>
      <c r="AG6915" s="388">
        <v>0.521208</v>
      </c>
      <c r="AH6915" s="391"/>
      <c r="AI6915" s="397"/>
      <c r="AJ6915" s="397"/>
      <c r="AU6915" s="397"/>
      <c r="AV6915" s="397"/>
      <c r="AW6915" s="397"/>
      <c r="AX6915" s="397"/>
      <c r="BI6915" s="397"/>
      <c r="BJ6915" s="397"/>
      <c r="BK6915" s="397"/>
      <c r="BL6915" s="397"/>
      <c r="BM6915" s="397"/>
      <c r="BN6915" s="397"/>
      <c r="BO6915" s="397"/>
      <c r="BP6915" s="397"/>
      <c r="BQ6915" s="397"/>
      <c r="BR6915" s="397"/>
      <c r="BS6915" s="397"/>
      <c r="BT6915" s="397"/>
      <c r="BU6915" s="397"/>
      <c r="BV6915" s="397"/>
      <c r="BW6915" s="397"/>
      <c r="BX6915" s="397"/>
      <c r="BY6915" s="397"/>
      <c r="BZ6915" s="397"/>
      <c r="CA6915" s="392" t="s">
        <v>412</v>
      </c>
    </row>
    <row r="6916" spans="1:80" s="392" customFormat="1" ht="15" x14ac:dyDescent="0.25">
      <c r="A6916" s="385"/>
      <c r="B6916" s="385"/>
      <c r="C6916" s="385"/>
      <c r="D6916" s="700"/>
      <c r="E6916" s="386"/>
      <c r="F6916" s="385"/>
      <c r="G6916" s="400"/>
      <c r="H6916" s="402"/>
      <c r="I6916" s="402"/>
      <c r="J6916" s="402"/>
      <c r="K6916" s="402"/>
      <c r="L6916" s="674"/>
      <c r="M6916" s="672">
        <v>30894</v>
      </c>
      <c r="N6916" s="623">
        <v>0.26069708132615471</v>
      </c>
      <c r="O6916" s="624">
        <v>0</v>
      </c>
      <c r="P6916" s="397"/>
      <c r="Q6916" s="397"/>
      <c r="R6916" s="397"/>
      <c r="S6916" s="397"/>
      <c r="T6916" s="397"/>
      <c r="U6916" s="397"/>
      <c r="V6916" s="397"/>
      <c r="W6916" s="397"/>
      <c r="X6916" s="397"/>
      <c r="Y6916" s="397"/>
      <c r="Z6916" s="397"/>
      <c r="AD6916" s="388">
        <v>3.6576000000000004</v>
      </c>
      <c r="AE6916" s="388">
        <v>0.16154400000000002</v>
      </c>
      <c r="AF6916" s="388">
        <v>0.58526999999999996</v>
      </c>
      <c r="AG6916" s="388">
        <v>0.44196000000000002</v>
      </c>
      <c r="AH6916" s="391"/>
      <c r="AI6916" s="397"/>
      <c r="AJ6916" s="397"/>
      <c r="AU6916" s="397"/>
      <c r="AV6916" s="397"/>
      <c r="AW6916" s="397"/>
      <c r="AX6916" s="397"/>
      <c r="BI6916" s="397"/>
      <c r="BJ6916" s="397"/>
      <c r="BK6916" s="397"/>
      <c r="BL6916" s="397"/>
      <c r="BM6916" s="397"/>
      <c r="BN6916" s="397"/>
      <c r="BO6916" s="397"/>
      <c r="BP6916" s="397"/>
      <c r="BQ6916" s="397"/>
      <c r="BR6916" s="397"/>
      <c r="BS6916" s="397"/>
      <c r="BT6916" s="397"/>
      <c r="BU6916" s="397"/>
      <c r="BV6916" s="397"/>
      <c r="BW6916" s="397"/>
      <c r="BX6916" s="397"/>
      <c r="BY6916" s="397"/>
      <c r="BZ6916" s="397"/>
      <c r="CA6916" s="392" t="s">
        <v>412</v>
      </c>
    </row>
    <row r="6917" spans="1:80" s="392" customFormat="1" ht="15" x14ac:dyDescent="0.25">
      <c r="A6917" s="385"/>
      <c r="B6917" s="385"/>
      <c r="C6917" s="385"/>
      <c r="D6917" s="700"/>
      <c r="E6917" s="386"/>
      <c r="F6917" s="385"/>
      <c r="G6917" s="400"/>
      <c r="H6917" s="402"/>
      <c r="I6917" s="402"/>
      <c r="J6917" s="402"/>
      <c r="K6917" s="402"/>
      <c r="L6917" s="674"/>
      <c r="M6917" s="672">
        <v>30902</v>
      </c>
      <c r="N6917" s="623">
        <v>0.18418815528478322</v>
      </c>
      <c r="O6917" s="624">
        <v>2.8728000000000005E-4</v>
      </c>
      <c r="P6917" s="397"/>
      <c r="Q6917" s="397"/>
      <c r="R6917" s="397"/>
      <c r="S6917" s="397"/>
      <c r="T6917" s="397"/>
      <c r="U6917" s="397"/>
      <c r="V6917" s="397"/>
      <c r="W6917" s="397"/>
      <c r="X6917" s="397"/>
      <c r="Y6917" s="397"/>
      <c r="Z6917" s="397"/>
      <c r="AD6917" s="388">
        <v>3.6576000000000004</v>
      </c>
      <c r="AE6917" s="388">
        <v>0.15849600000000003</v>
      </c>
      <c r="AF6917" s="388">
        <v>0.57598000000000005</v>
      </c>
      <c r="AG6917" s="388">
        <v>0.32004000000000005</v>
      </c>
      <c r="AH6917" s="391"/>
      <c r="AI6917" s="397"/>
      <c r="AJ6917" s="397"/>
      <c r="AU6917" s="397"/>
      <c r="AV6917" s="397"/>
      <c r="AW6917" s="397"/>
      <c r="AX6917" s="397"/>
      <c r="BI6917" s="397"/>
      <c r="BJ6917" s="397"/>
      <c r="BK6917" s="397"/>
      <c r="BL6917" s="397"/>
      <c r="BM6917" s="397"/>
      <c r="BN6917" s="397"/>
      <c r="BO6917" s="397"/>
      <c r="BP6917" s="397"/>
      <c r="BQ6917" s="397"/>
      <c r="BR6917" s="397"/>
      <c r="BS6917" s="397"/>
      <c r="BT6917" s="397"/>
      <c r="BU6917" s="397"/>
      <c r="BV6917" s="397"/>
      <c r="BW6917" s="397"/>
      <c r="BX6917" s="397"/>
      <c r="BY6917" s="397"/>
      <c r="BZ6917" s="397"/>
      <c r="CA6917" s="392" t="s">
        <v>412</v>
      </c>
    </row>
    <row r="6918" spans="1:80" s="392" customFormat="1" ht="15" x14ac:dyDescent="0.25">
      <c r="A6918" s="385"/>
      <c r="B6918" s="385"/>
      <c r="C6918" s="385"/>
      <c r="D6918" s="700"/>
      <c r="E6918" s="386"/>
      <c r="F6918" s="385"/>
      <c r="G6918" s="400"/>
      <c r="H6918" s="402"/>
      <c r="I6918" s="402"/>
      <c r="J6918" s="402"/>
      <c r="K6918" s="402"/>
      <c r="L6918" s="674"/>
      <c r="M6918" s="672">
        <v>30922</v>
      </c>
      <c r="N6918" s="623">
        <v>0.25219608954378014</v>
      </c>
      <c r="O6918" s="624">
        <v>6.6528000000000008E-4</v>
      </c>
      <c r="P6918" s="397"/>
      <c r="Q6918" s="397"/>
      <c r="R6918" s="397"/>
      <c r="S6918" s="397"/>
      <c r="T6918" s="397"/>
      <c r="U6918" s="397"/>
      <c r="V6918" s="397"/>
      <c r="W6918" s="397"/>
      <c r="X6918" s="397"/>
      <c r="Y6918" s="397"/>
      <c r="Z6918" s="397"/>
      <c r="AD6918" s="388">
        <v>3.8404799999999999</v>
      </c>
      <c r="AE6918" s="388">
        <v>0.155448</v>
      </c>
      <c r="AF6918" s="388">
        <v>0.59455999999999998</v>
      </c>
      <c r="AG6918" s="388">
        <v>0.42367199999999999</v>
      </c>
      <c r="AH6918" s="391"/>
      <c r="AI6918" s="397"/>
      <c r="AJ6918" s="397"/>
      <c r="AU6918" s="397"/>
      <c r="AV6918" s="397"/>
      <c r="AW6918" s="397"/>
      <c r="AX6918" s="397"/>
      <c r="BI6918" s="397"/>
      <c r="BJ6918" s="397"/>
      <c r="BK6918" s="397"/>
      <c r="BL6918" s="397"/>
      <c r="BM6918" s="397"/>
      <c r="BN6918" s="397"/>
      <c r="BO6918" s="397"/>
      <c r="BP6918" s="397"/>
      <c r="BQ6918" s="397"/>
      <c r="BR6918" s="397"/>
      <c r="BS6918" s="397"/>
      <c r="BT6918" s="397"/>
      <c r="BU6918" s="397"/>
      <c r="BV6918" s="397"/>
      <c r="BW6918" s="397"/>
      <c r="BX6918" s="397"/>
      <c r="BY6918" s="397"/>
      <c r="BZ6918" s="397"/>
      <c r="CA6918" s="392" t="s">
        <v>412</v>
      </c>
    </row>
    <row r="6919" spans="1:80" s="189" customFormat="1" ht="15" x14ac:dyDescent="0.25">
      <c r="A6919" s="381" t="s">
        <v>449</v>
      </c>
      <c r="B6919" s="641"/>
      <c r="C6919" s="639"/>
      <c r="D6919" s="4">
        <f>VLOOKUP(E6919,'Quality Code'!$D$4:$E$24,2,TRUE)*VLOOKUP(MROUND(F6919,10),'Quality Code'!$D$28:$E$69,2,TRUE)*VLOOKUP(COUNTA(CB6919:CB6929),'Quality Code'!$D$73:$E$93,2,TRUE)</f>
        <v>0.1</v>
      </c>
      <c r="E6919" s="14">
        <v>0.4</v>
      </c>
      <c r="F6919" s="2">
        <v>6</v>
      </c>
      <c r="G6919" s="12"/>
      <c r="H6919" s="2" t="s">
        <v>105</v>
      </c>
      <c r="I6919" s="2"/>
      <c r="J6919" s="2"/>
      <c r="K6919" s="2"/>
      <c r="L6919" s="639"/>
      <c r="M6919" s="640">
        <v>1984</v>
      </c>
      <c r="N6919" s="578" t="s">
        <v>110</v>
      </c>
      <c r="O6919" s="578"/>
      <c r="P6919" s="26"/>
      <c r="Q6919" s="26"/>
      <c r="R6919" s="26"/>
      <c r="S6919" s="26"/>
      <c r="T6919" s="26"/>
      <c r="U6919" s="26"/>
      <c r="V6919" s="10"/>
      <c r="W6919" s="10"/>
      <c r="X6919" s="10"/>
      <c r="Y6919" s="10"/>
      <c r="Z6919" s="2"/>
      <c r="AA6919" s="26"/>
      <c r="AB6919" s="26"/>
      <c r="AC6919" s="377">
        <v>4.2000000000000003E-2</v>
      </c>
      <c r="AD6919" s="406"/>
      <c r="AE6919" s="26"/>
      <c r="AF6919" s="26"/>
      <c r="AG6919" s="26"/>
      <c r="AH6919" s="26"/>
      <c r="AI6919" s="4"/>
      <c r="AJ6919" s="378"/>
      <c r="AK6919" s="376"/>
      <c r="AL6919" s="376"/>
      <c r="AM6919" s="376"/>
      <c r="AN6919" s="376"/>
      <c r="AO6919" s="376"/>
      <c r="AP6919" s="376"/>
      <c r="AQ6919" s="376"/>
      <c r="AR6919" s="376"/>
      <c r="AS6919" s="376"/>
      <c r="AT6919" s="376"/>
      <c r="AU6919" s="378"/>
      <c r="AV6919" s="378"/>
      <c r="AW6919" s="378"/>
      <c r="AX6919" s="378"/>
      <c r="AY6919" s="379"/>
      <c r="AZ6919" s="379"/>
      <c r="BA6919" s="380"/>
      <c r="BB6919" s="380"/>
      <c r="BC6919" s="380"/>
      <c r="BD6919" s="380"/>
      <c r="BE6919" s="380"/>
      <c r="BF6919" s="380"/>
      <c r="BG6919" s="380"/>
      <c r="BH6919" s="380"/>
      <c r="BI6919" s="4"/>
      <c r="BJ6919" s="12"/>
      <c r="BK6919" s="2"/>
      <c r="BL6919" s="2"/>
      <c r="BM6919" s="4"/>
      <c r="BN6919" s="12"/>
      <c r="BO6919" s="12"/>
      <c r="BP6919" s="12"/>
      <c r="BQ6919" s="4"/>
      <c r="BR6919" s="4"/>
      <c r="BS6919" s="4"/>
      <c r="BT6919" s="2"/>
      <c r="BU6919" s="9"/>
      <c r="BV6919" s="381"/>
      <c r="BW6919" s="382"/>
      <c r="BX6919" s="383"/>
      <c r="BY6919" s="383" t="s">
        <v>84</v>
      </c>
      <c r="BZ6919" s="383"/>
      <c r="CA6919" s="384" t="s">
        <v>412</v>
      </c>
      <c r="CB6919" s="411"/>
    </row>
    <row r="6920" spans="1:80" s="392" customFormat="1" ht="15" x14ac:dyDescent="0.25">
      <c r="A6920" s="385"/>
      <c r="B6920" s="385"/>
      <c r="C6920" s="385"/>
      <c r="D6920" s="700"/>
      <c r="E6920" s="386"/>
      <c r="F6920" s="385"/>
      <c r="G6920" s="400"/>
      <c r="H6920" s="402"/>
      <c r="I6920" s="402"/>
      <c r="J6920" s="402"/>
      <c r="K6920" s="402"/>
      <c r="L6920" s="674"/>
      <c r="M6920" s="672">
        <v>30816</v>
      </c>
      <c r="N6920" s="623">
        <v>0.17568716350240862</v>
      </c>
      <c r="O6920" s="624">
        <v>2.1178584000000004E-2</v>
      </c>
      <c r="P6920" s="397"/>
      <c r="Q6920" s="397"/>
      <c r="R6920" s="397"/>
      <c r="S6920" s="397"/>
      <c r="T6920" s="397"/>
      <c r="U6920" s="397"/>
      <c r="V6920" s="397"/>
      <c r="W6920" s="397"/>
      <c r="X6920" s="397"/>
      <c r="Y6920" s="397"/>
      <c r="Z6920" s="397"/>
      <c r="AD6920" s="388">
        <v>1.09728</v>
      </c>
      <c r="AE6920" s="388">
        <v>0.225552</v>
      </c>
      <c r="AF6920" s="388">
        <v>0.243398</v>
      </c>
      <c r="AG6920" s="388">
        <v>0.64008000000000009</v>
      </c>
      <c r="AH6920" s="391"/>
      <c r="AI6920" s="397"/>
      <c r="AJ6920" s="397"/>
      <c r="AU6920" s="397"/>
      <c r="AV6920" s="397"/>
      <c r="AW6920" s="397"/>
      <c r="AX6920" s="397"/>
      <c r="BI6920" s="397"/>
      <c r="BJ6920" s="397"/>
      <c r="BK6920" s="397"/>
      <c r="BL6920" s="397"/>
      <c r="BM6920" s="397"/>
      <c r="BN6920" s="397"/>
      <c r="BO6920" s="397"/>
      <c r="BP6920" s="397"/>
      <c r="BQ6920" s="397"/>
      <c r="BR6920" s="397"/>
      <c r="BS6920" s="397"/>
      <c r="BT6920" s="397"/>
      <c r="BU6920" s="397"/>
      <c r="BV6920" s="397"/>
      <c r="BW6920" s="397"/>
      <c r="BX6920" s="397"/>
      <c r="BY6920" s="397"/>
      <c r="BZ6920" s="397"/>
      <c r="CA6920" s="392" t="s">
        <v>412</v>
      </c>
    </row>
    <row r="6921" spans="1:80" s="392" customFormat="1" ht="15" x14ac:dyDescent="0.25">
      <c r="A6921" s="385"/>
      <c r="B6921" s="385"/>
      <c r="C6921" s="385"/>
      <c r="D6921" s="700"/>
      <c r="E6921" s="386"/>
      <c r="F6921" s="385"/>
      <c r="G6921" s="400"/>
      <c r="H6921" s="402"/>
      <c r="I6921" s="402"/>
      <c r="J6921" s="402"/>
      <c r="K6921" s="402"/>
      <c r="L6921" s="674"/>
      <c r="M6921" s="672">
        <v>30819</v>
      </c>
      <c r="N6921" s="623">
        <v>0.11958061773873618</v>
      </c>
      <c r="O6921" s="624">
        <v>5.769792000000001E-3</v>
      </c>
      <c r="P6921" s="397"/>
      <c r="Q6921" s="397"/>
      <c r="R6921" s="397"/>
      <c r="S6921" s="397"/>
      <c r="T6921" s="397"/>
      <c r="U6921" s="397"/>
      <c r="V6921" s="397"/>
      <c r="W6921" s="397"/>
      <c r="X6921" s="397"/>
      <c r="Y6921" s="397"/>
      <c r="Z6921" s="397"/>
      <c r="AD6921" s="388">
        <v>1.1277600000000001</v>
      </c>
      <c r="AE6921" s="388">
        <v>0.17983199999999999</v>
      </c>
      <c r="AF6921" s="388">
        <v>0.20252200000000001</v>
      </c>
      <c r="AG6921" s="388">
        <v>0.51511200000000001</v>
      </c>
      <c r="AH6921" s="391"/>
      <c r="AI6921" s="397"/>
      <c r="AJ6921" s="397"/>
      <c r="AU6921" s="397"/>
      <c r="AV6921" s="397"/>
      <c r="AW6921" s="397"/>
      <c r="AX6921" s="397"/>
      <c r="BI6921" s="397"/>
      <c r="BJ6921" s="397"/>
      <c r="BK6921" s="397"/>
      <c r="BL6921" s="397"/>
      <c r="BM6921" s="397"/>
      <c r="BN6921" s="397"/>
      <c r="BO6921" s="397"/>
      <c r="BP6921" s="397"/>
      <c r="BQ6921" s="397"/>
      <c r="BR6921" s="397"/>
      <c r="BS6921" s="397"/>
      <c r="BT6921" s="397"/>
      <c r="BU6921" s="397"/>
      <c r="BV6921" s="397"/>
      <c r="BW6921" s="397"/>
      <c r="BX6921" s="397"/>
      <c r="BY6921" s="397"/>
      <c r="BZ6921" s="397"/>
      <c r="CA6921" s="392" t="s">
        <v>412</v>
      </c>
    </row>
    <row r="6922" spans="1:80" s="392" customFormat="1" ht="15" x14ac:dyDescent="0.25">
      <c r="A6922" s="385"/>
      <c r="B6922" s="385"/>
      <c r="C6922" s="385"/>
      <c r="D6922" s="700"/>
      <c r="E6922" s="386"/>
      <c r="F6922" s="385"/>
      <c r="G6922" s="400"/>
      <c r="H6922" s="402"/>
      <c r="I6922" s="402"/>
      <c r="J6922" s="402"/>
      <c r="K6922" s="402"/>
      <c r="L6922" s="674"/>
      <c r="M6922" s="672">
        <v>30825</v>
      </c>
      <c r="N6922" s="623">
        <v>7.679229243411731E-2</v>
      </c>
      <c r="O6922" s="624">
        <v>2.3284800000000004E-3</v>
      </c>
      <c r="P6922" s="397"/>
      <c r="Q6922" s="397"/>
      <c r="R6922" s="397"/>
      <c r="S6922" s="397"/>
      <c r="T6922" s="397"/>
      <c r="U6922" s="397"/>
      <c r="V6922" s="397"/>
      <c r="W6922" s="397"/>
      <c r="X6922" s="397"/>
      <c r="Y6922" s="397"/>
      <c r="Z6922" s="397"/>
      <c r="AD6922" s="388">
        <v>1.09728</v>
      </c>
      <c r="AE6922" s="388">
        <v>0.14325599999999999</v>
      </c>
      <c r="AF6922" s="388">
        <v>0.164433</v>
      </c>
      <c r="AG6922" s="388">
        <v>0.37185600000000002</v>
      </c>
      <c r="AH6922" s="391"/>
      <c r="AI6922" s="397"/>
      <c r="AJ6922" s="397"/>
      <c r="AU6922" s="397"/>
      <c r="AV6922" s="397"/>
      <c r="AW6922" s="397"/>
      <c r="AX6922" s="397"/>
      <c r="BI6922" s="397"/>
      <c r="BJ6922" s="397"/>
      <c r="BK6922" s="397"/>
      <c r="BL6922" s="397"/>
      <c r="BM6922" s="397"/>
      <c r="BN6922" s="397"/>
      <c r="BO6922" s="397"/>
      <c r="BP6922" s="397"/>
      <c r="BQ6922" s="397"/>
      <c r="BR6922" s="397"/>
      <c r="BS6922" s="397"/>
      <c r="BT6922" s="397"/>
      <c r="BU6922" s="397"/>
      <c r="BV6922" s="397"/>
      <c r="BW6922" s="397"/>
      <c r="BX6922" s="397"/>
      <c r="BY6922" s="397"/>
      <c r="BZ6922" s="397"/>
      <c r="CA6922" s="392" t="s">
        <v>412</v>
      </c>
    </row>
    <row r="6923" spans="1:80" s="392" customFormat="1" ht="15" x14ac:dyDescent="0.25">
      <c r="A6923" s="385"/>
      <c r="B6923" s="385"/>
      <c r="C6923" s="385"/>
      <c r="D6923" s="700"/>
      <c r="E6923" s="386"/>
      <c r="F6923" s="385"/>
      <c r="G6923" s="400"/>
      <c r="H6923" s="402"/>
      <c r="I6923" s="402"/>
      <c r="J6923" s="402"/>
      <c r="K6923" s="402"/>
      <c r="L6923" s="674"/>
      <c r="M6923" s="672">
        <v>30837</v>
      </c>
      <c r="N6923" s="623">
        <v>2.3236044205157267E-2</v>
      </c>
      <c r="O6923" s="624">
        <v>2.0563200000000005E-4</v>
      </c>
      <c r="P6923" s="397"/>
      <c r="Q6923" s="397"/>
      <c r="R6923" s="397"/>
      <c r="S6923" s="397"/>
      <c r="T6923" s="397"/>
      <c r="U6923" s="397"/>
      <c r="V6923" s="397"/>
      <c r="W6923" s="397"/>
      <c r="X6923" s="397"/>
      <c r="Y6923" s="397"/>
      <c r="Z6923" s="397"/>
      <c r="AD6923" s="388">
        <v>1.0668</v>
      </c>
      <c r="AE6923" s="388">
        <v>8.2296000000000008E-2</v>
      </c>
      <c r="AF6923" s="388">
        <v>9.1041999999999998E-2</v>
      </c>
      <c r="AG6923" s="388">
        <v>0.19812000000000002</v>
      </c>
      <c r="AH6923" s="391"/>
      <c r="AI6923" s="397"/>
      <c r="AJ6923" s="397"/>
      <c r="AU6923" s="397"/>
      <c r="AV6923" s="397"/>
      <c r="AW6923" s="397"/>
      <c r="AX6923" s="397"/>
      <c r="BI6923" s="397"/>
      <c r="BJ6923" s="397"/>
      <c r="BK6923" s="397"/>
      <c r="BL6923" s="397"/>
      <c r="BM6923" s="397"/>
      <c r="BN6923" s="397"/>
      <c r="BO6923" s="397"/>
      <c r="BP6923" s="397"/>
      <c r="BQ6923" s="397"/>
      <c r="BR6923" s="397"/>
      <c r="BS6923" s="397"/>
      <c r="BT6923" s="397"/>
      <c r="BU6923" s="397"/>
      <c r="BV6923" s="397"/>
      <c r="BW6923" s="397"/>
      <c r="BX6923" s="397"/>
      <c r="BY6923" s="397"/>
      <c r="BZ6923" s="397"/>
      <c r="CA6923" s="392" t="s">
        <v>412</v>
      </c>
    </row>
    <row r="6924" spans="1:80" s="392" customFormat="1" ht="15" x14ac:dyDescent="0.25">
      <c r="A6924" s="385"/>
      <c r="B6924" s="385"/>
      <c r="C6924" s="385"/>
      <c r="D6924" s="700"/>
      <c r="E6924" s="386"/>
      <c r="F6924" s="385"/>
      <c r="G6924" s="400"/>
      <c r="H6924" s="402"/>
      <c r="I6924" s="402"/>
      <c r="J6924" s="402"/>
      <c r="K6924" s="402"/>
      <c r="L6924" s="674"/>
      <c r="M6924" s="672">
        <v>30841</v>
      </c>
      <c r="N6924" s="623">
        <v>1.5301785208274301E-2</v>
      </c>
      <c r="O6924" s="624">
        <v>5.9875199999999992E-4</v>
      </c>
      <c r="P6924" s="397"/>
      <c r="Q6924" s="397"/>
      <c r="R6924" s="397"/>
      <c r="S6924" s="397"/>
      <c r="T6924" s="397"/>
      <c r="U6924" s="397"/>
      <c r="V6924" s="397"/>
      <c r="W6924" s="397"/>
      <c r="X6924" s="397"/>
      <c r="Y6924" s="397"/>
      <c r="Z6924" s="397"/>
      <c r="AD6924" s="388">
        <v>1.0363200000000001</v>
      </c>
      <c r="AE6924" s="388">
        <v>7.6200000000000004E-2</v>
      </c>
      <c r="AF6924" s="388">
        <v>8.0822999999999992E-2</v>
      </c>
      <c r="AG6924" s="388">
        <v>0.14935200000000001</v>
      </c>
      <c r="AH6924" s="391"/>
      <c r="AI6924" s="397"/>
      <c r="AJ6924" s="397"/>
      <c r="AU6924" s="397"/>
      <c r="AV6924" s="397"/>
      <c r="AW6924" s="397"/>
      <c r="AX6924" s="397"/>
      <c r="BI6924" s="397"/>
      <c r="BJ6924" s="397"/>
      <c r="BK6924" s="397"/>
      <c r="BL6924" s="397"/>
      <c r="BM6924" s="397"/>
      <c r="BN6924" s="397"/>
      <c r="BO6924" s="397"/>
      <c r="BP6924" s="397"/>
      <c r="BQ6924" s="397"/>
      <c r="BR6924" s="397"/>
      <c r="BS6924" s="397"/>
      <c r="BT6924" s="397"/>
      <c r="BU6924" s="397"/>
      <c r="BV6924" s="397"/>
      <c r="BW6924" s="397"/>
      <c r="BX6924" s="397"/>
      <c r="BY6924" s="397"/>
      <c r="BZ6924" s="397"/>
      <c r="CA6924" s="392" t="s">
        <v>412</v>
      </c>
    </row>
    <row r="6925" spans="1:80" s="392" customFormat="1" ht="15" x14ac:dyDescent="0.25">
      <c r="A6925" s="385"/>
      <c r="B6925" s="385"/>
      <c r="C6925" s="385"/>
      <c r="D6925" s="700"/>
      <c r="E6925" s="386"/>
      <c r="F6925" s="385"/>
      <c r="G6925" s="400"/>
      <c r="H6925" s="402"/>
      <c r="I6925" s="402"/>
      <c r="J6925" s="402"/>
      <c r="K6925" s="402"/>
      <c r="L6925" s="674"/>
      <c r="M6925" s="672">
        <v>30848</v>
      </c>
      <c r="N6925" s="623">
        <v>9.917823746103711E-3</v>
      </c>
      <c r="O6925" s="624">
        <v>2.676240000000001E-5</v>
      </c>
      <c r="P6925" s="397"/>
      <c r="Q6925" s="397"/>
      <c r="R6925" s="397"/>
      <c r="S6925" s="397"/>
      <c r="T6925" s="397"/>
      <c r="U6925" s="397"/>
      <c r="V6925" s="397"/>
      <c r="W6925" s="397"/>
      <c r="X6925" s="397"/>
      <c r="Y6925" s="397"/>
      <c r="Z6925" s="397"/>
      <c r="AD6925" s="388">
        <v>0.97536000000000012</v>
      </c>
      <c r="AE6925" s="388">
        <v>6.0960000000000007E-2</v>
      </c>
      <c r="AF6925" s="388">
        <v>5.3881999999999992E-2</v>
      </c>
      <c r="AG6925" s="388">
        <v>0.173736</v>
      </c>
      <c r="AH6925" s="391"/>
      <c r="AI6925" s="397"/>
      <c r="AJ6925" s="397"/>
      <c r="AU6925" s="397"/>
      <c r="AV6925" s="397"/>
      <c r="AW6925" s="397"/>
      <c r="AX6925" s="397"/>
      <c r="BI6925" s="397"/>
      <c r="BJ6925" s="397"/>
      <c r="BK6925" s="397"/>
      <c r="BL6925" s="397"/>
      <c r="BM6925" s="397"/>
      <c r="BN6925" s="397"/>
      <c r="BO6925" s="397"/>
      <c r="BP6925" s="397"/>
      <c r="BQ6925" s="397"/>
      <c r="BR6925" s="397"/>
      <c r="BS6925" s="397"/>
      <c r="BT6925" s="397"/>
      <c r="BU6925" s="397"/>
      <c r="BV6925" s="397"/>
      <c r="BW6925" s="397"/>
      <c r="BX6925" s="397"/>
      <c r="BY6925" s="397"/>
      <c r="BZ6925" s="397"/>
      <c r="CA6925" s="392" t="s">
        <v>412</v>
      </c>
    </row>
    <row r="6926" spans="1:80" s="392" customFormat="1" ht="15" x14ac:dyDescent="0.25">
      <c r="A6926" s="385"/>
      <c r="B6926" s="385"/>
      <c r="C6926" s="385"/>
      <c r="D6926" s="700"/>
      <c r="E6926" s="386"/>
      <c r="F6926" s="385"/>
      <c r="G6926" s="400"/>
      <c r="H6926" s="402"/>
      <c r="I6926" s="402"/>
      <c r="J6926" s="402"/>
      <c r="K6926" s="402"/>
      <c r="L6926" s="674"/>
      <c r="M6926" s="672">
        <v>30853</v>
      </c>
      <c r="N6926" s="623">
        <v>9.0677245678662515E-3</v>
      </c>
      <c r="O6926" s="624">
        <v>0</v>
      </c>
      <c r="P6926" s="397"/>
      <c r="Q6926" s="397"/>
      <c r="R6926" s="397"/>
      <c r="S6926" s="397"/>
      <c r="T6926" s="397"/>
      <c r="U6926" s="397"/>
      <c r="V6926" s="397"/>
      <c r="W6926" s="397"/>
      <c r="X6926" s="397"/>
      <c r="Y6926" s="397"/>
      <c r="Z6926" s="397"/>
      <c r="AD6926" s="388">
        <v>0.97536000000000012</v>
      </c>
      <c r="AE6926" s="388">
        <v>4.5720000000000004E-2</v>
      </c>
      <c r="AF6926" s="388">
        <v>4.2734000000000001E-2</v>
      </c>
      <c r="AG6926" s="388">
        <v>0.176784</v>
      </c>
      <c r="AH6926" s="391"/>
      <c r="AI6926" s="397"/>
      <c r="AJ6926" s="397"/>
      <c r="AU6926" s="397"/>
      <c r="AV6926" s="397"/>
      <c r="AW6926" s="397"/>
      <c r="AX6926" s="397"/>
      <c r="BI6926" s="397"/>
      <c r="BJ6926" s="397"/>
      <c r="BK6926" s="397"/>
      <c r="BL6926" s="397"/>
      <c r="BM6926" s="397"/>
      <c r="BN6926" s="397"/>
      <c r="BO6926" s="397"/>
      <c r="BP6926" s="397"/>
      <c r="BQ6926" s="397"/>
      <c r="BR6926" s="397"/>
      <c r="BS6926" s="397"/>
      <c r="BT6926" s="397"/>
      <c r="BU6926" s="397"/>
      <c r="BV6926" s="397"/>
      <c r="BW6926" s="397"/>
      <c r="BX6926" s="397"/>
      <c r="BY6926" s="397"/>
      <c r="BZ6926" s="397"/>
      <c r="CA6926" s="392" t="s">
        <v>412</v>
      </c>
    </row>
    <row r="6927" spans="1:80" s="392" customFormat="1" ht="15" x14ac:dyDescent="0.25">
      <c r="A6927" s="385"/>
      <c r="B6927" s="385"/>
      <c r="C6927" s="385"/>
      <c r="D6927" s="700"/>
      <c r="E6927" s="386"/>
      <c r="F6927" s="385"/>
      <c r="G6927" s="400"/>
      <c r="H6927" s="402"/>
      <c r="I6927" s="402"/>
      <c r="J6927" s="402"/>
      <c r="K6927" s="402"/>
      <c r="L6927" s="674"/>
      <c r="M6927" s="672">
        <v>30860</v>
      </c>
      <c r="N6927" s="623">
        <v>0</v>
      </c>
      <c r="O6927" s="624">
        <v>0</v>
      </c>
      <c r="P6927" s="397"/>
      <c r="Q6927" s="397"/>
      <c r="R6927" s="397"/>
      <c r="S6927" s="397"/>
      <c r="T6927" s="397"/>
      <c r="U6927" s="397"/>
      <c r="V6927" s="397"/>
      <c r="W6927" s="397"/>
      <c r="X6927" s="397"/>
      <c r="Y6927" s="397"/>
      <c r="Z6927" s="397"/>
      <c r="AD6927" s="388">
        <v>0.97536000000000012</v>
      </c>
      <c r="AE6927" s="388">
        <v>0</v>
      </c>
      <c r="AF6927" s="388">
        <v>0</v>
      </c>
      <c r="AG6927" s="388">
        <v>0</v>
      </c>
      <c r="AH6927" s="391"/>
      <c r="AI6927" s="397"/>
      <c r="AJ6927" s="397"/>
      <c r="AU6927" s="397"/>
      <c r="AV6927" s="397"/>
      <c r="AW6927" s="397"/>
      <c r="AX6927" s="397"/>
      <c r="BI6927" s="397"/>
      <c r="BJ6927" s="397"/>
      <c r="BK6927" s="397"/>
      <c r="BL6927" s="397"/>
      <c r="BM6927" s="397"/>
      <c r="BN6927" s="397"/>
      <c r="BO6927" s="397"/>
      <c r="BP6927" s="397"/>
      <c r="BQ6927" s="397"/>
      <c r="BR6927" s="397"/>
      <c r="BS6927" s="397"/>
      <c r="BT6927" s="397"/>
      <c r="BU6927" s="397"/>
      <c r="BV6927" s="397"/>
      <c r="BW6927" s="397"/>
      <c r="BX6927" s="397"/>
      <c r="BY6927" s="397"/>
      <c r="BZ6927" s="397"/>
      <c r="CA6927" s="392" t="s">
        <v>412</v>
      </c>
    </row>
    <row r="6928" spans="1:80" s="392" customFormat="1" ht="15" x14ac:dyDescent="0.25">
      <c r="A6928" s="385"/>
      <c r="B6928" s="385"/>
      <c r="C6928" s="385"/>
      <c r="D6928" s="700"/>
      <c r="E6928" s="386"/>
      <c r="F6928" s="385"/>
      <c r="G6928" s="400"/>
      <c r="H6928" s="402"/>
      <c r="I6928" s="402"/>
      <c r="J6928" s="402"/>
      <c r="K6928" s="402"/>
      <c r="L6928" s="674"/>
      <c r="M6928" s="672">
        <v>30865</v>
      </c>
      <c r="N6928" s="623">
        <v>3.6837631056956645E-3</v>
      </c>
      <c r="O6928" s="624">
        <v>0</v>
      </c>
      <c r="P6928" s="397"/>
      <c r="Q6928" s="397"/>
      <c r="R6928" s="397"/>
      <c r="S6928" s="397"/>
      <c r="T6928" s="397"/>
      <c r="U6928" s="397"/>
      <c r="V6928" s="397"/>
      <c r="W6928" s="397"/>
      <c r="X6928" s="397"/>
      <c r="Y6928" s="397"/>
      <c r="Z6928" s="397"/>
      <c r="AD6928" s="388">
        <v>0.82296000000000014</v>
      </c>
      <c r="AE6928" s="388">
        <v>2.7432000000000002E-2</v>
      </c>
      <c r="AF6928" s="388">
        <v>2.2296E-2</v>
      </c>
      <c r="AG6928" s="388">
        <v>0.13411200000000001</v>
      </c>
      <c r="AH6928" s="391"/>
      <c r="AI6928" s="397"/>
      <c r="AJ6928" s="397"/>
      <c r="AU6928" s="397"/>
      <c r="AV6928" s="397"/>
      <c r="AW6928" s="397"/>
      <c r="AX6928" s="397"/>
      <c r="BI6928" s="397"/>
      <c r="BJ6928" s="397"/>
      <c r="BK6928" s="397"/>
      <c r="BL6928" s="397"/>
      <c r="BM6928" s="397"/>
      <c r="BN6928" s="397"/>
      <c r="BO6928" s="397"/>
      <c r="BP6928" s="397"/>
      <c r="BQ6928" s="397"/>
      <c r="BR6928" s="397"/>
      <c r="BS6928" s="397"/>
      <c r="BT6928" s="397"/>
      <c r="BU6928" s="397"/>
      <c r="BV6928" s="397"/>
      <c r="BW6928" s="397"/>
      <c r="BX6928" s="397"/>
      <c r="BY6928" s="397"/>
      <c r="BZ6928" s="397"/>
      <c r="CA6928" s="392" t="s">
        <v>412</v>
      </c>
    </row>
    <row r="6929" spans="1:81" s="392" customFormat="1" ht="15" x14ac:dyDescent="0.25">
      <c r="A6929" s="385"/>
      <c r="B6929" s="385"/>
      <c r="C6929" s="385"/>
      <c r="D6929" s="700"/>
      <c r="E6929" s="386"/>
      <c r="F6929" s="385"/>
      <c r="G6929" s="400"/>
      <c r="H6929" s="402"/>
      <c r="I6929" s="402"/>
      <c r="J6929" s="402"/>
      <c r="K6929" s="402"/>
      <c r="L6929" s="674"/>
      <c r="M6929" s="672">
        <v>30874</v>
      </c>
      <c r="N6929" s="623">
        <v>1.7001983564749221E-3</v>
      </c>
      <c r="O6929" s="624">
        <v>0</v>
      </c>
      <c r="P6929" s="397"/>
      <c r="Q6929" s="397"/>
      <c r="R6929" s="397"/>
      <c r="S6929" s="397"/>
      <c r="T6929" s="397"/>
      <c r="U6929" s="397"/>
      <c r="V6929" s="397"/>
      <c r="W6929" s="397"/>
      <c r="X6929" s="397"/>
      <c r="Y6929" s="397"/>
      <c r="Z6929" s="397"/>
      <c r="AD6929" s="388">
        <v>0.70104</v>
      </c>
      <c r="AE6929" s="388">
        <v>1.8287999999999999E-2</v>
      </c>
      <c r="AF6929" s="388">
        <v>1.1148E-2</v>
      </c>
      <c r="AG6929" s="388">
        <v>0.112776</v>
      </c>
      <c r="AH6929" s="391"/>
      <c r="AI6929" s="397"/>
      <c r="AJ6929" s="397"/>
      <c r="AU6929" s="397"/>
      <c r="AV6929" s="397"/>
      <c r="AW6929" s="397"/>
      <c r="AX6929" s="397"/>
      <c r="BI6929" s="397"/>
      <c r="BJ6929" s="397"/>
      <c r="BK6929" s="397"/>
      <c r="BL6929" s="397"/>
      <c r="BM6929" s="397"/>
      <c r="BN6929" s="397"/>
      <c r="BO6929" s="397"/>
      <c r="BP6929" s="397"/>
      <c r="BQ6929" s="397"/>
      <c r="BR6929" s="397"/>
      <c r="BS6929" s="397"/>
      <c r="BT6929" s="397"/>
      <c r="BU6929" s="397"/>
      <c r="BV6929" s="397"/>
      <c r="BW6929" s="397"/>
      <c r="BX6929" s="397"/>
      <c r="BY6929" s="397"/>
      <c r="BZ6929" s="397"/>
      <c r="CA6929" s="392" t="s">
        <v>412</v>
      </c>
    </row>
    <row r="6930" spans="1:81" s="392" customFormat="1" ht="15" x14ac:dyDescent="0.25">
      <c r="A6930" s="385"/>
      <c r="B6930" s="385"/>
      <c r="C6930" s="385"/>
      <c r="D6930" s="700"/>
      <c r="E6930" s="386"/>
      <c r="F6930" s="385"/>
      <c r="G6930" s="400"/>
      <c r="H6930" s="402"/>
      <c r="I6930" s="402"/>
      <c r="J6930" s="402"/>
      <c r="K6930" s="402"/>
      <c r="L6930" s="674"/>
      <c r="M6930" s="672">
        <v>30882</v>
      </c>
      <c r="N6930" s="623">
        <v>8.5009917823746103E-4</v>
      </c>
      <c r="O6930" s="624">
        <v>0</v>
      </c>
      <c r="P6930" s="397"/>
      <c r="Q6930" s="397"/>
      <c r="R6930" s="397"/>
      <c r="S6930" s="397"/>
      <c r="T6930" s="397"/>
      <c r="U6930" s="397"/>
      <c r="V6930" s="397"/>
      <c r="W6930" s="397"/>
      <c r="X6930" s="397"/>
      <c r="Y6930" s="397"/>
      <c r="Z6930" s="397"/>
      <c r="AD6930" s="388">
        <v>0.73152000000000006</v>
      </c>
      <c r="AE6930" s="388">
        <v>1.8287999999999999E-2</v>
      </c>
      <c r="AF6930" s="388">
        <v>1.1148E-2</v>
      </c>
      <c r="AG6930" s="388">
        <v>6.4007999999999995E-2</v>
      </c>
      <c r="AH6930" s="391"/>
      <c r="AI6930" s="397"/>
      <c r="AJ6930" s="397"/>
      <c r="AU6930" s="397"/>
      <c r="AV6930" s="397"/>
      <c r="AW6930" s="397"/>
      <c r="AX6930" s="397"/>
      <c r="BI6930" s="397"/>
      <c r="BJ6930" s="397"/>
      <c r="BK6930" s="397"/>
      <c r="BL6930" s="397"/>
      <c r="BM6930" s="397"/>
      <c r="BN6930" s="397"/>
      <c r="BO6930" s="397"/>
      <c r="BP6930" s="397"/>
      <c r="BQ6930" s="397"/>
      <c r="BR6930" s="397"/>
      <c r="BS6930" s="397"/>
      <c r="BT6930" s="397"/>
      <c r="BU6930" s="397"/>
      <c r="BV6930" s="397"/>
      <c r="BW6930" s="397"/>
      <c r="BX6930" s="397"/>
      <c r="BY6930" s="397"/>
      <c r="BZ6930" s="397"/>
      <c r="CA6930" s="392" t="s">
        <v>412</v>
      </c>
    </row>
    <row r="6931" spans="1:81" s="392" customFormat="1" ht="15" x14ac:dyDescent="0.25">
      <c r="A6931" s="385"/>
      <c r="B6931" s="385"/>
      <c r="C6931" s="385"/>
      <c r="D6931" s="700"/>
      <c r="E6931" s="386"/>
      <c r="F6931" s="385"/>
      <c r="G6931" s="400"/>
      <c r="H6931" s="402"/>
      <c r="I6931" s="402"/>
      <c r="J6931" s="402"/>
      <c r="K6931" s="402"/>
      <c r="L6931" s="674"/>
      <c r="M6931" s="672">
        <v>30890</v>
      </c>
      <c r="N6931" s="623">
        <v>1.7001983564749221E-3</v>
      </c>
      <c r="O6931" s="624">
        <v>0</v>
      </c>
      <c r="P6931" s="397"/>
      <c r="Q6931" s="397"/>
      <c r="R6931" s="397"/>
      <c r="S6931" s="397"/>
      <c r="T6931" s="397"/>
      <c r="U6931" s="397"/>
      <c r="V6931" s="397"/>
      <c r="W6931" s="397"/>
      <c r="X6931" s="397"/>
      <c r="Y6931" s="397"/>
      <c r="Z6931" s="397"/>
      <c r="AD6931" s="388">
        <v>0.70104</v>
      </c>
      <c r="AE6931" s="388">
        <v>1.8287999999999999E-2</v>
      </c>
      <c r="AF6931" s="388">
        <v>1.2076999999999999E-2</v>
      </c>
      <c r="AG6931" s="388">
        <v>0.11582400000000001</v>
      </c>
      <c r="AH6931" s="391"/>
      <c r="AI6931" s="397"/>
      <c r="AJ6931" s="397"/>
      <c r="AU6931" s="397"/>
      <c r="AV6931" s="397"/>
      <c r="AW6931" s="397"/>
      <c r="AX6931" s="397"/>
      <c r="BI6931" s="397"/>
      <c r="BJ6931" s="397"/>
      <c r="BK6931" s="397"/>
      <c r="BL6931" s="397"/>
      <c r="BM6931" s="397"/>
      <c r="BN6931" s="397"/>
      <c r="BO6931" s="397"/>
      <c r="BP6931" s="397"/>
      <c r="BQ6931" s="397"/>
      <c r="BR6931" s="397"/>
      <c r="BS6931" s="397"/>
      <c r="BT6931" s="397"/>
      <c r="BU6931" s="397"/>
      <c r="BV6931" s="397"/>
      <c r="BW6931" s="397"/>
      <c r="BX6931" s="397"/>
      <c r="BY6931" s="397"/>
      <c r="BZ6931" s="397"/>
      <c r="CA6931" s="392" t="s">
        <v>412</v>
      </c>
    </row>
    <row r="6932" spans="1:81" s="392" customFormat="1" ht="15" x14ac:dyDescent="0.25">
      <c r="A6932" s="385"/>
      <c r="B6932" s="385"/>
      <c r="C6932" s="385"/>
      <c r="D6932" s="700"/>
      <c r="E6932" s="386"/>
      <c r="F6932" s="385"/>
      <c r="G6932" s="400"/>
      <c r="H6932" s="402"/>
      <c r="I6932" s="402"/>
      <c r="J6932" s="402"/>
      <c r="K6932" s="402"/>
      <c r="L6932" s="674"/>
      <c r="M6932" s="672">
        <v>30897</v>
      </c>
      <c r="N6932" s="623">
        <v>3.4003967129498441E-3</v>
      </c>
      <c r="O6932" s="624">
        <v>0</v>
      </c>
      <c r="P6932" s="397"/>
      <c r="Q6932" s="397"/>
      <c r="R6932" s="397"/>
      <c r="S6932" s="397"/>
      <c r="T6932" s="397"/>
      <c r="U6932" s="397"/>
      <c r="V6932" s="397"/>
      <c r="W6932" s="397"/>
      <c r="X6932" s="397"/>
      <c r="Y6932" s="397"/>
      <c r="Z6932" s="397"/>
      <c r="AD6932" s="388">
        <v>0.85343999999999998</v>
      </c>
      <c r="AE6932" s="388">
        <v>3.9624000000000006E-2</v>
      </c>
      <c r="AF6932" s="388">
        <v>2.9728000000000001E-2</v>
      </c>
      <c r="AG6932" s="388">
        <v>0.11582400000000001</v>
      </c>
      <c r="AH6932" s="391"/>
      <c r="AI6932" s="397"/>
      <c r="AJ6932" s="397"/>
      <c r="AU6932" s="397"/>
      <c r="AV6932" s="397"/>
      <c r="AW6932" s="397"/>
      <c r="AX6932" s="397"/>
      <c r="BI6932" s="397"/>
      <c r="BJ6932" s="397"/>
      <c r="BK6932" s="397"/>
      <c r="BL6932" s="397"/>
      <c r="BM6932" s="397"/>
      <c r="BN6932" s="397"/>
      <c r="BO6932" s="397"/>
      <c r="BP6932" s="397"/>
      <c r="BQ6932" s="397"/>
      <c r="BR6932" s="397"/>
      <c r="BS6932" s="397"/>
      <c r="BT6932" s="397"/>
      <c r="BU6932" s="397"/>
      <c r="BV6932" s="397"/>
      <c r="BW6932" s="397"/>
      <c r="BX6932" s="397"/>
      <c r="BY6932" s="397"/>
      <c r="BZ6932" s="397"/>
      <c r="CA6932" s="392" t="s">
        <v>412</v>
      </c>
    </row>
    <row r="6933" spans="1:81" s="392" customFormat="1" ht="15" x14ac:dyDescent="0.25">
      <c r="A6933" s="385"/>
      <c r="B6933" s="385"/>
      <c r="C6933" s="385"/>
      <c r="D6933" s="700"/>
      <c r="E6933" s="386"/>
      <c r="F6933" s="385"/>
      <c r="G6933" s="400"/>
      <c r="H6933" s="402"/>
      <c r="I6933" s="402"/>
      <c r="J6933" s="402"/>
      <c r="K6933" s="402"/>
      <c r="L6933" s="674"/>
      <c r="M6933" s="672">
        <v>30904</v>
      </c>
      <c r="N6933" s="623">
        <v>1.7001983564749221E-3</v>
      </c>
      <c r="O6933" s="624">
        <v>0</v>
      </c>
      <c r="P6933" s="397"/>
      <c r="Q6933" s="397"/>
      <c r="R6933" s="397"/>
      <c r="S6933" s="397"/>
      <c r="T6933" s="397"/>
      <c r="U6933" s="397"/>
      <c r="V6933" s="397"/>
      <c r="W6933" s="397"/>
      <c r="X6933" s="397"/>
      <c r="Y6933" s="397"/>
      <c r="Z6933" s="397"/>
      <c r="AD6933" s="388">
        <v>0.82296000000000014</v>
      </c>
      <c r="AE6933" s="388">
        <v>2.7432000000000002E-2</v>
      </c>
      <c r="AF6933" s="388">
        <v>1.9508999999999999E-2</v>
      </c>
      <c r="AG6933" s="388">
        <v>7.9248000000000013E-2</v>
      </c>
      <c r="AH6933" s="391"/>
      <c r="AI6933" s="397"/>
      <c r="AJ6933" s="397"/>
      <c r="AU6933" s="397"/>
      <c r="AV6933" s="397"/>
      <c r="AW6933" s="397"/>
      <c r="AX6933" s="397"/>
      <c r="BI6933" s="397"/>
      <c r="BJ6933" s="397"/>
      <c r="BK6933" s="397"/>
      <c r="BL6933" s="397"/>
      <c r="BM6933" s="397"/>
      <c r="BN6933" s="397"/>
      <c r="BO6933" s="397"/>
      <c r="BP6933" s="397"/>
      <c r="BQ6933" s="397"/>
      <c r="BR6933" s="397"/>
      <c r="BS6933" s="397"/>
      <c r="BT6933" s="397"/>
      <c r="BU6933" s="397"/>
      <c r="BV6933" s="397"/>
      <c r="BW6933" s="397"/>
      <c r="BX6933" s="397"/>
      <c r="BY6933" s="397"/>
      <c r="BZ6933" s="397"/>
      <c r="CA6933" s="392" t="s">
        <v>412</v>
      </c>
    </row>
    <row r="6934" spans="1:81" s="392" customFormat="1" ht="15" x14ac:dyDescent="0.25">
      <c r="A6934" s="385"/>
      <c r="B6934" s="385"/>
      <c r="C6934" s="385"/>
      <c r="D6934" s="700"/>
      <c r="E6934" s="386"/>
      <c r="F6934" s="385"/>
      <c r="G6934" s="400"/>
      <c r="H6934" s="402"/>
      <c r="I6934" s="402"/>
      <c r="J6934" s="402"/>
      <c r="K6934" s="402"/>
      <c r="L6934" s="674"/>
      <c r="M6934" s="672">
        <v>30909</v>
      </c>
      <c r="N6934" s="623">
        <v>1.9835647492207425E-3</v>
      </c>
      <c r="O6934" s="624">
        <v>0</v>
      </c>
      <c r="P6934" s="397"/>
      <c r="Q6934" s="397"/>
      <c r="R6934" s="397"/>
      <c r="S6934" s="397"/>
      <c r="T6934" s="397"/>
      <c r="U6934" s="397"/>
      <c r="V6934" s="397"/>
      <c r="W6934" s="397"/>
      <c r="X6934" s="397"/>
      <c r="Y6934" s="397"/>
      <c r="Z6934" s="397"/>
      <c r="AD6934" s="388">
        <v>0.82296000000000014</v>
      </c>
      <c r="AE6934" s="388">
        <v>3.0480000000000004E-2</v>
      </c>
      <c r="AF6934" s="388">
        <v>2.1367000000000001E-2</v>
      </c>
      <c r="AG6934" s="388">
        <v>9.4488000000000003E-2</v>
      </c>
      <c r="AH6934" s="391"/>
      <c r="AI6934" s="397"/>
      <c r="AJ6934" s="397"/>
      <c r="AU6934" s="397"/>
      <c r="AV6934" s="397"/>
      <c r="AW6934" s="397"/>
      <c r="AX6934" s="397"/>
      <c r="BI6934" s="397"/>
      <c r="BJ6934" s="397"/>
      <c r="BK6934" s="397"/>
      <c r="BL6934" s="397"/>
      <c r="BM6934" s="397"/>
      <c r="BN6934" s="397"/>
      <c r="BO6934" s="397"/>
      <c r="BP6934" s="397"/>
      <c r="BQ6934" s="397"/>
      <c r="BR6934" s="397"/>
      <c r="BS6934" s="397"/>
      <c r="BT6934" s="397"/>
      <c r="BU6934" s="397"/>
      <c r="BV6934" s="397"/>
      <c r="BW6934" s="397"/>
      <c r="BX6934" s="397"/>
      <c r="BY6934" s="397"/>
      <c r="BZ6934" s="397"/>
      <c r="CA6934" s="392" t="s">
        <v>412</v>
      </c>
    </row>
    <row r="6935" spans="1:81" s="392" customFormat="1" ht="15" x14ac:dyDescent="0.25">
      <c r="A6935" s="385"/>
      <c r="B6935" s="385"/>
      <c r="C6935" s="385"/>
      <c r="D6935" s="700"/>
      <c r="E6935" s="386"/>
      <c r="F6935" s="385"/>
      <c r="G6935" s="400"/>
      <c r="H6935" s="402"/>
      <c r="I6935" s="402"/>
      <c r="J6935" s="402"/>
      <c r="K6935" s="402"/>
      <c r="L6935" s="674"/>
      <c r="M6935" s="672">
        <v>30944</v>
      </c>
      <c r="N6935" s="623">
        <v>0</v>
      </c>
      <c r="O6935" s="624">
        <v>0</v>
      </c>
      <c r="P6935" s="397"/>
      <c r="Q6935" s="397"/>
      <c r="R6935" s="397"/>
      <c r="S6935" s="397"/>
      <c r="T6935" s="397"/>
      <c r="U6935" s="397"/>
      <c r="V6935" s="397"/>
      <c r="W6935" s="397"/>
      <c r="X6935" s="397"/>
      <c r="Y6935" s="397"/>
      <c r="Z6935" s="397"/>
      <c r="AD6935" s="388">
        <v>0.82296000000000014</v>
      </c>
      <c r="AE6935" s="388">
        <v>0</v>
      </c>
      <c r="AF6935" s="388">
        <v>0</v>
      </c>
      <c r="AG6935" s="388">
        <v>0</v>
      </c>
      <c r="AH6935" s="391"/>
      <c r="AI6935" s="397"/>
      <c r="AJ6935" s="397"/>
      <c r="AU6935" s="397"/>
      <c r="AV6935" s="397"/>
      <c r="AW6935" s="397"/>
      <c r="AX6935" s="397"/>
      <c r="BI6935" s="397"/>
      <c r="BJ6935" s="397"/>
      <c r="BK6935" s="397"/>
      <c r="BL6935" s="397"/>
      <c r="BM6935" s="397"/>
      <c r="BN6935" s="397"/>
      <c r="BO6935" s="397"/>
      <c r="BP6935" s="397"/>
      <c r="BQ6935" s="397"/>
      <c r="BR6935" s="397"/>
      <c r="BS6935" s="397"/>
      <c r="BT6935" s="397"/>
      <c r="BU6935" s="397"/>
      <c r="BV6935" s="397"/>
      <c r="BW6935" s="397"/>
      <c r="BX6935" s="397"/>
      <c r="BY6935" s="397"/>
      <c r="BZ6935" s="397"/>
      <c r="CA6935" s="392" t="s">
        <v>412</v>
      </c>
    </row>
    <row r="6936" spans="1:81" s="189" customFormat="1" ht="15" x14ac:dyDescent="0.25">
      <c r="A6936" s="381" t="s">
        <v>450</v>
      </c>
      <c r="B6936" s="641" t="s">
        <v>34</v>
      </c>
      <c r="C6936" s="639"/>
      <c r="D6936" s="4">
        <f>VLOOKUP(E6936,'Quality Code'!$D$4:$E$24,2,TRUE)*VLOOKUP(MROUND(F6936,10),'Quality Code'!$D$28:$E$69,2,TRUE)*VLOOKUP(COUNTA(CB6936:CB6946),'Quality Code'!$D$73:$E$93,2,TRUE)</f>
        <v>0.1</v>
      </c>
      <c r="E6936" s="14">
        <v>0.4</v>
      </c>
      <c r="F6936" s="2">
        <v>13</v>
      </c>
      <c r="G6936" s="12"/>
      <c r="H6936" s="2" t="s">
        <v>105</v>
      </c>
      <c r="I6936" s="2"/>
      <c r="J6936" s="2"/>
      <c r="K6936" s="2"/>
      <c r="L6936" s="639"/>
      <c r="M6936" s="640">
        <v>1984</v>
      </c>
      <c r="N6936" s="578" t="s">
        <v>110</v>
      </c>
      <c r="O6936" s="578"/>
      <c r="P6936" s="26"/>
      <c r="Q6936" s="26"/>
      <c r="R6936" s="26"/>
      <c r="S6936" s="26"/>
      <c r="T6936" s="26"/>
      <c r="U6936" s="26"/>
      <c r="V6936" s="10"/>
      <c r="W6936" s="10"/>
      <c r="X6936" s="10"/>
      <c r="Y6936" s="10"/>
      <c r="Z6936" s="2"/>
      <c r="AA6936" s="26"/>
      <c r="AB6936" s="26"/>
      <c r="AC6936" s="377">
        <v>1.7999999999999999E-2</v>
      </c>
      <c r="AD6936" s="406"/>
      <c r="AE6936" s="26"/>
      <c r="AF6936" s="26"/>
      <c r="AG6936" s="26"/>
      <c r="AH6936" s="26"/>
      <c r="AI6936" s="4"/>
      <c r="AJ6936" s="378"/>
      <c r="AK6936" s="376"/>
      <c r="AL6936" s="376"/>
      <c r="AM6936" s="376"/>
      <c r="AN6936" s="376"/>
      <c r="AO6936" s="376"/>
      <c r="AP6936" s="376"/>
      <c r="AQ6936" s="376"/>
      <c r="AR6936" s="376"/>
      <c r="AS6936" s="376"/>
      <c r="AT6936" s="376"/>
      <c r="AU6936" s="378"/>
      <c r="AV6936" s="378"/>
      <c r="AW6936" s="378"/>
      <c r="AX6936" s="378"/>
      <c r="AY6936" s="379"/>
      <c r="AZ6936" s="379"/>
      <c r="BA6936" s="380"/>
      <c r="BB6936" s="380"/>
      <c r="BC6936" s="380"/>
      <c r="BD6936" s="380"/>
      <c r="BE6936" s="380"/>
      <c r="BF6936" s="380"/>
      <c r="BG6936" s="380"/>
      <c r="BH6936" s="380"/>
      <c r="BI6936" s="4"/>
      <c r="BJ6936" s="12"/>
      <c r="BK6936" s="2"/>
      <c r="BL6936" s="2"/>
      <c r="BM6936" s="4"/>
      <c r="BN6936" s="12"/>
      <c r="BO6936" s="12"/>
      <c r="BP6936" s="12"/>
      <c r="BQ6936" s="4"/>
      <c r="BR6936" s="4"/>
      <c r="BS6936" s="4"/>
      <c r="BT6936" s="2"/>
      <c r="BU6936" s="9"/>
      <c r="BV6936" s="381"/>
      <c r="BW6936" s="382"/>
      <c r="BX6936" s="383"/>
      <c r="BY6936" s="383" t="s">
        <v>447</v>
      </c>
      <c r="BZ6936" s="383"/>
      <c r="CA6936" s="384" t="s">
        <v>412</v>
      </c>
      <c r="CB6936" s="411"/>
    </row>
    <row r="6937" spans="1:81" s="392" customFormat="1" ht="15" x14ac:dyDescent="0.25">
      <c r="A6937" s="385"/>
      <c r="B6937" s="385"/>
      <c r="C6937" s="385"/>
      <c r="D6937" s="700"/>
      <c r="E6937" s="386"/>
      <c r="F6937" s="385"/>
      <c r="G6937" s="400"/>
      <c r="H6937" s="402"/>
      <c r="I6937" s="402"/>
      <c r="J6937" s="402"/>
      <c r="K6937" s="402"/>
      <c r="L6937" s="674"/>
      <c r="M6937" s="672">
        <v>30804</v>
      </c>
      <c r="N6937" s="623">
        <v>9.9744970246528758E-2</v>
      </c>
      <c r="O6937" s="624">
        <v>1.4700000000000002E-5</v>
      </c>
      <c r="P6937" s="397"/>
      <c r="Q6937" s="397"/>
      <c r="R6937" s="397"/>
      <c r="S6937" s="397"/>
      <c r="T6937" s="397"/>
      <c r="U6937" s="397"/>
      <c r="V6937" s="397"/>
      <c r="W6937" s="397"/>
      <c r="X6937" s="397"/>
      <c r="Y6937" s="397"/>
      <c r="Z6937" s="397"/>
      <c r="AD6937" s="388">
        <v>0.17983199999999999</v>
      </c>
      <c r="AE6937" s="388">
        <v>1.4325600000000001</v>
      </c>
      <c r="AF6937" s="388">
        <v>0.46821599999999997</v>
      </c>
      <c r="AG6937" s="388">
        <v>0.28346400000000005</v>
      </c>
      <c r="AH6937" s="391"/>
      <c r="AI6937" s="397"/>
      <c r="AJ6937" s="397"/>
      <c r="AU6937" s="397"/>
      <c r="AV6937" s="397"/>
      <c r="AW6937" s="397"/>
      <c r="AX6937" s="397"/>
      <c r="BI6937" s="397"/>
      <c r="BJ6937" s="397"/>
      <c r="BK6937" s="397"/>
      <c r="BL6937" s="397"/>
      <c r="BM6937" s="397"/>
      <c r="BN6937" s="397"/>
      <c r="BO6937" s="397"/>
      <c r="BP6937" s="397"/>
      <c r="BQ6937" s="397"/>
      <c r="BR6937" s="397"/>
      <c r="BS6937" s="397"/>
      <c r="BT6937" s="397"/>
      <c r="BU6937" s="397"/>
      <c r="BV6937" s="397"/>
      <c r="BW6937" s="397"/>
      <c r="BX6937" s="397"/>
      <c r="BY6937" s="397"/>
      <c r="BZ6937" s="397"/>
      <c r="CC6937" s="392">
        <v>1.0643888149729988</v>
      </c>
    </row>
    <row r="6938" spans="1:81" s="392" customFormat="1" ht="15" x14ac:dyDescent="0.25">
      <c r="A6938" s="385"/>
      <c r="B6938" s="385"/>
      <c r="C6938" s="385"/>
      <c r="D6938" s="700"/>
      <c r="E6938" s="386"/>
      <c r="F6938" s="385"/>
      <c r="G6938" s="400"/>
      <c r="H6938" s="402"/>
      <c r="I6938" s="402"/>
      <c r="J6938" s="402"/>
      <c r="K6938" s="402"/>
      <c r="L6938" s="674"/>
      <c r="M6938" s="672">
        <v>30810</v>
      </c>
      <c r="N6938" s="623">
        <v>9.8044771890053839E-2</v>
      </c>
      <c r="O6938" s="624">
        <v>3.0449999999999998E-5</v>
      </c>
      <c r="P6938" s="397"/>
      <c r="Q6938" s="397"/>
      <c r="R6938" s="397"/>
      <c r="S6938" s="397"/>
      <c r="T6938" s="397"/>
      <c r="U6938" s="397"/>
      <c r="V6938" s="397"/>
      <c r="W6938" s="397"/>
      <c r="X6938" s="397"/>
      <c r="Y6938" s="397"/>
      <c r="Z6938" s="397"/>
      <c r="AD6938" s="388">
        <v>0.19507200000000002</v>
      </c>
      <c r="AE6938" s="388">
        <v>3.5052000000000003</v>
      </c>
      <c r="AF6938" s="388">
        <v>0.54346499999999998</v>
      </c>
      <c r="AG6938" s="388">
        <v>0.60045599999999999</v>
      </c>
      <c r="AH6938" s="391"/>
      <c r="AI6938" s="397"/>
      <c r="AJ6938" s="397"/>
      <c r="AU6938" s="397"/>
      <c r="AV6938" s="397"/>
      <c r="AW6938" s="397"/>
      <c r="AX6938" s="397"/>
      <c r="BI6938" s="397"/>
      <c r="BJ6938" s="397"/>
      <c r="BK6938" s="397"/>
      <c r="BL6938" s="397"/>
      <c r="BM6938" s="397"/>
      <c r="BN6938" s="397"/>
      <c r="BO6938" s="397"/>
      <c r="BP6938" s="397"/>
      <c r="BQ6938" s="397"/>
      <c r="BR6938" s="397"/>
      <c r="BS6938" s="397"/>
      <c r="BT6938" s="397"/>
      <c r="BU6938" s="397"/>
      <c r="BV6938" s="397"/>
      <c r="BW6938" s="397"/>
      <c r="BX6938" s="397"/>
      <c r="BY6938" s="397"/>
      <c r="BZ6938" s="397"/>
      <c r="CC6938" s="392">
        <v>0.64607639871776235</v>
      </c>
    </row>
    <row r="6939" spans="1:81" s="392" customFormat="1" ht="15" x14ac:dyDescent="0.25">
      <c r="A6939" s="385"/>
      <c r="B6939" s="385"/>
      <c r="C6939" s="385"/>
      <c r="D6939" s="700"/>
      <c r="E6939" s="386"/>
      <c r="F6939" s="385"/>
      <c r="G6939" s="400"/>
      <c r="H6939" s="402"/>
      <c r="I6939" s="402"/>
      <c r="J6939" s="402"/>
      <c r="K6939" s="402"/>
      <c r="L6939" s="674"/>
      <c r="M6939" s="672">
        <v>30813</v>
      </c>
      <c r="N6939" s="623">
        <v>9.1810711249645793E-2</v>
      </c>
      <c r="O6939" s="624">
        <v>2.2400000000000002E-5</v>
      </c>
      <c r="P6939" s="397"/>
      <c r="Q6939" s="397"/>
      <c r="R6939" s="397"/>
      <c r="S6939" s="397"/>
      <c r="T6939" s="397"/>
      <c r="U6939" s="397"/>
      <c r="V6939" s="397"/>
      <c r="W6939" s="397"/>
      <c r="X6939" s="397"/>
      <c r="Y6939" s="397"/>
      <c r="Z6939" s="397"/>
      <c r="AD6939" s="388">
        <v>0.25298399999999999</v>
      </c>
      <c r="AE6939" s="388">
        <v>5.3035199999999998</v>
      </c>
      <c r="AF6939" s="388">
        <v>0.76735399999999998</v>
      </c>
      <c r="AG6939" s="388">
        <v>0.64312800000000003</v>
      </c>
      <c r="AH6939" s="391"/>
      <c r="AI6939" s="397"/>
      <c r="AJ6939" s="397"/>
      <c r="AU6939" s="397"/>
      <c r="AV6939" s="397"/>
      <c r="AW6939" s="397"/>
      <c r="AX6939" s="397"/>
      <c r="BI6939" s="397"/>
      <c r="BJ6939" s="397"/>
      <c r="BK6939" s="397"/>
      <c r="BL6939" s="397"/>
      <c r="BM6939" s="397"/>
      <c r="BN6939" s="397"/>
      <c r="BO6939" s="397"/>
      <c r="BP6939" s="397"/>
      <c r="BQ6939" s="397"/>
      <c r="BR6939" s="397"/>
      <c r="BS6939" s="397"/>
      <c r="BT6939" s="397"/>
      <c r="BU6939" s="397"/>
      <c r="BV6939" s="397"/>
      <c r="BW6939" s="397"/>
      <c r="BX6939" s="397"/>
      <c r="BY6939" s="397"/>
      <c r="BZ6939" s="397"/>
      <c r="CC6939" s="392">
        <v>8.0984429003624236E-2</v>
      </c>
    </row>
    <row r="6940" spans="1:81" s="392" customFormat="1" ht="15" x14ac:dyDescent="0.25">
      <c r="A6940" s="385"/>
      <c r="B6940" s="385"/>
      <c r="C6940" s="385"/>
      <c r="D6940" s="700"/>
      <c r="E6940" s="386"/>
      <c r="F6940" s="385"/>
      <c r="G6940" s="400"/>
      <c r="H6940" s="402"/>
      <c r="I6940" s="402"/>
      <c r="J6940" s="402"/>
      <c r="K6940" s="402"/>
      <c r="L6940" s="674"/>
      <c r="M6940" s="672">
        <v>30817</v>
      </c>
      <c r="N6940" s="623">
        <v>8.6143383394729392E-2</v>
      </c>
      <c r="O6940" s="624">
        <v>1.645E-5</v>
      </c>
      <c r="P6940" s="397"/>
      <c r="Q6940" s="397"/>
      <c r="R6940" s="397"/>
      <c r="S6940" s="397"/>
      <c r="T6940" s="397"/>
      <c r="U6940" s="397"/>
      <c r="V6940" s="397"/>
      <c r="W6940" s="397"/>
      <c r="X6940" s="397"/>
      <c r="Y6940" s="397"/>
      <c r="Z6940" s="397"/>
      <c r="AD6940" s="388">
        <v>0.16459200000000002</v>
      </c>
      <c r="AE6940" s="388">
        <v>6.3703199999999995</v>
      </c>
      <c r="AF6940" s="388">
        <v>1.1798299999999999</v>
      </c>
      <c r="AG6940" s="388">
        <v>0.50292000000000003</v>
      </c>
      <c r="AH6940" s="391"/>
      <c r="AI6940" s="397"/>
      <c r="AJ6940" s="397"/>
      <c r="AU6940" s="397"/>
      <c r="AV6940" s="397"/>
      <c r="AW6940" s="397"/>
      <c r="AX6940" s="397"/>
      <c r="BI6940" s="397"/>
      <c r="BJ6940" s="397"/>
      <c r="BK6940" s="397"/>
      <c r="BL6940" s="397"/>
      <c r="BM6940" s="397"/>
      <c r="BN6940" s="397"/>
      <c r="BO6940" s="397"/>
      <c r="BP6940" s="397"/>
      <c r="BQ6940" s="397"/>
      <c r="BR6940" s="397"/>
      <c r="BS6940" s="397"/>
      <c r="BT6940" s="397"/>
      <c r="BU6940" s="397"/>
      <c r="BV6940" s="397"/>
      <c r="BW6940" s="397"/>
      <c r="BX6940" s="397"/>
      <c r="BY6940" s="397"/>
      <c r="BZ6940" s="397"/>
      <c r="CC6940" s="392">
        <v>6.6486500823713504E-2</v>
      </c>
    </row>
    <row r="6941" spans="1:81" s="392" customFormat="1" ht="15" x14ac:dyDescent="0.25">
      <c r="A6941" s="385"/>
      <c r="B6941" s="385"/>
      <c r="C6941" s="385"/>
      <c r="D6941" s="700"/>
      <c r="E6941" s="386"/>
      <c r="F6941" s="385"/>
      <c r="G6941" s="400"/>
      <c r="H6941" s="402"/>
      <c r="I6941" s="402"/>
      <c r="J6941" s="402"/>
      <c r="K6941" s="402"/>
      <c r="L6941" s="674"/>
      <c r="M6941" s="672">
        <v>30820</v>
      </c>
      <c r="N6941" s="623">
        <v>9.039387928591669E-2</v>
      </c>
      <c r="O6941" s="624">
        <v>0</v>
      </c>
      <c r="P6941" s="397"/>
      <c r="Q6941" s="397"/>
      <c r="R6941" s="397"/>
      <c r="S6941" s="397"/>
      <c r="T6941" s="397"/>
      <c r="U6941" s="397"/>
      <c r="V6941" s="397"/>
      <c r="W6941" s="397"/>
      <c r="X6941" s="397"/>
      <c r="Y6941" s="397"/>
      <c r="Z6941" s="397"/>
      <c r="AD6941" s="388">
        <v>0.280416</v>
      </c>
      <c r="AE6941" s="388">
        <v>4.8463200000000004</v>
      </c>
      <c r="AF6941" s="388">
        <v>0.75248999999999999</v>
      </c>
      <c r="AG6941" s="388">
        <v>0.59740800000000005</v>
      </c>
      <c r="AH6941" s="391"/>
      <c r="AI6941" s="397"/>
      <c r="AJ6941" s="397"/>
      <c r="AU6941" s="397"/>
      <c r="AV6941" s="397"/>
      <c r="AW6941" s="397"/>
      <c r="AX6941" s="397"/>
      <c r="BI6941" s="397"/>
      <c r="BJ6941" s="397"/>
      <c r="BK6941" s="397"/>
      <c r="BL6941" s="397"/>
      <c r="BM6941" s="397"/>
      <c r="BN6941" s="397"/>
      <c r="BO6941" s="397"/>
      <c r="BP6941" s="397"/>
      <c r="BQ6941" s="397"/>
      <c r="BR6941" s="397"/>
      <c r="BS6941" s="397"/>
      <c r="BT6941" s="397"/>
      <c r="BU6941" s="397"/>
      <c r="BV6941" s="397"/>
      <c r="BW6941" s="397"/>
      <c r="BX6941" s="397"/>
      <c r="BY6941" s="397"/>
      <c r="BZ6941" s="397"/>
      <c r="CC6941" s="392">
        <v>0</v>
      </c>
    </row>
    <row r="6942" spans="1:81" s="392" customFormat="1" ht="15" x14ac:dyDescent="0.25">
      <c r="A6942" s="385"/>
      <c r="B6942" s="385"/>
      <c r="C6942" s="385"/>
      <c r="D6942" s="700"/>
      <c r="E6942" s="386"/>
      <c r="F6942" s="385"/>
      <c r="G6942" s="400"/>
      <c r="H6942" s="402"/>
      <c r="I6942" s="402"/>
      <c r="J6942" s="402"/>
      <c r="K6942" s="402"/>
      <c r="L6942" s="674"/>
      <c r="M6942" s="672">
        <v>30824</v>
      </c>
      <c r="N6942" s="623">
        <v>9.549447435534146E-2</v>
      </c>
      <c r="O6942" s="624">
        <v>2.1700000000000002E-5</v>
      </c>
      <c r="P6942" s="397"/>
      <c r="Q6942" s="397"/>
      <c r="R6942" s="397"/>
      <c r="S6942" s="397"/>
      <c r="T6942" s="397"/>
      <c r="U6942" s="397"/>
      <c r="V6942" s="397"/>
      <c r="W6942" s="397"/>
      <c r="X6942" s="397"/>
      <c r="Y6942" s="397"/>
      <c r="Z6942" s="397"/>
      <c r="AD6942" s="388">
        <v>0.20726400000000003</v>
      </c>
      <c r="AE6942" s="388">
        <v>3.56616</v>
      </c>
      <c r="AF6942" s="388">
        <v>0.57133500000000004</v>
      </c>
      <c r="AG6942" s="388">
        <v>0.57911999999999997</v>
      </c>
      <c r="AH6942" s="391"/>
      <c r="AI6942" s="397"/>
      <c r="AJ6942" s="397"/>
      <c r="AU6942" s="397"/>
      <c r="AV6942" s="397"/>
      <c r="AW6942" s="397"/>
      <c r="AX6942" s="397"/>
      <c r="BI6942" s="397"/>
      <c r="BJ6942" s="397"/>
      <c r="BK6942" s="397"/>
      <c r="BL6942" s="397"/>
      <c r="BM6942" s="397"/>
      <c r="BN6942" s="397"/>
      <c r="BO6942" s="397"/>
      <c r="BP6942" s="397"/>
      <c r="BQ6942" s="397"/>
      <c r="BR6942" s="397"/>
      <c r="BS6942" s="397"/>
      <c r="BT6942" s="397"/>
      <c r="BU6942" s="397"/>
      <c r="BV6942" s="397"/>
      <c r="BW6942" s="397"/>
      <c r="BX6942" s="397"/>
      <c r="BY6942" s="397"/>
      <c r="BZ6942" s="397"/>
      <c r="CC6942" s="392" t="e">
        <v>#DIV/0!</v>
      </c>
    </row>
    <row r="6943" spans="1:81" s="392" customFormat="1" ht="15" x14ac:dyDescent="0.25">
      <c r="A6943" s="385"/>
      <c r="B6943" s="385"/>
      <c r="C6943" s="385"/>
      <c r="D6943" s="700"/>
      <c r="E6943" s="386"/>
      <c r="F6943" s="385"/>
      <c r="G6943" s="400"/>
      <c r="H6943" s="402"/>
      <c r="I6943" s="402"/>
      <c r="J6943" s="402"/>
      <c r="K6943" s="402"/>
      <c r="L6943" s="674"/>
      <c r="M6943" s="672">
        <v>30828</v>
      </c>
      <c r="N6943" s="623">
        <v>9.7761405497308024E-2</v>
      </c>
      <c r="O6943" s="624">
        <v>7.3500000000000008E-6</v>
      </c>
      <c r="P6943" s="397"/>
      <c r="Q6943" s="397"/>
      <c r="R6943" s="397"/>
      <c r="S6943" s="397"/>
      <c r="T6943" s="397"/>
      <c r="U6943" s="397"/>
      <c r="V6943" s="397"/>
      <c r="W6943" s="397"/>
      <c r="X6943" s="397"/>
      <c r="Y6943" s="397"/>
      <c r="Z6943" s="397"/>
      <c r="AD6943" s="388">
        <v>0.22860000000000003</v>
      </c>
      <c r="AE6943" s="388">
        <v>3.1089599999999997</v>
      </c>
      <c r="AF6943" s="388">
        <v>0.50909199999999999</v>
      </c>
      <c r="AG6943" s="388">
        <v>0.56997600000000004</v>
      </c>
      <c r="AH6943" s="391"/>
      <c r="AI6943" s="397"/>
      <c r="AJ6943" s="397"/>
      <c r="AU6943" s="397"/>
      <c r="AV6943" s="397"/>
      <c r="AW6943" s="397"/>
      <c r="AX6943" s="397"/>
      <c r="BI6943" s="397"/>
      <c r="BJ6943" s="397"/>
      <c r="BK6943" s="397"/>
      <c r="BL6943" s="397"/>
      <c r="BM6943" s="397"/>
      <c r="BN6943" s="397"/>
      <c r="BO6943" s="397"/>
      <c r="BP6943" s="397"/>
      <c r="BQ6943" s="397"/>
      <c r="BR6943" s="397"/>
      <c r="BS6943" s="397"/>
      <c r="BT6943" s="397"/>
      <c r="BU6943" s="397"/>
      <c r="BV6943" s="397"/>
      <c r="BW6943" s="397"/>
      <c r="BX6943" s="397"/>
      <c r="BY6943" s="397"/>
      <c r="BZ6943" s="397"/>
      <c r="CC6943" s="392">
        <v>0.13089648112149643</v>
      </c>
    </row>
    <row r="6944" spans="1:81" s="392" customFormat="1" ht="15" x14ac:dyDescent="0.25">
      <c r="A6944" s="385"/>
      <c r="B6944" s="385"/>
      <c r="C6944" s="385"/>
      <c r="D6944" s="700"/>
      <c r="E6944" s="386"/>
      <c r="F6944" s="385"/>
      <c r="G6944" s="400"/>
      <c r="H6944" s="402"/>
      <c r="I6944" s="402"/>
      <c r="J6944" s="402"/>
      <c r="K6944" s="402"/>
      <c r="L6944" s="674"/>
      <c r="M6944" s="672">
        <v>30834</v>
      </c>
      <c r="N6944" s="623">
        <v>0.10002833663927457</v>
      </c>
      <c r="O6944" s="624">
        <v>1.26E-5</v>
      </c>
      <c r="P6944" s="397"/>
      <c r="Q6944" s="397"/>
      <c r="R6944" s="397"/>
      <c r="S6944" s="397"/>
      <c r="T6944" s="397"/>
      <c r="U6944" s="397"/>
      <c r="V6944" s="397"/>
      <c r="W6944" s="397"/>
      <c r="X6944" s="397"/>
      <c r="Y6944" s="397"/>
      <c r="Z6944" s="397"/>
      <c r="AD6944" s="388">
        <v>0.17068800000000003</v>
      </c>
      <c r="AE6944" s="388">
        <v>2.4384000000000001</v>
      </c>
      <c r="AF6944" s="388">
        <v>0.43477199999999994</v>
      </c>
      <c r="AG6944" s="388">
        <v>0.521208</v>
      </c>
      <c r="AH6944" s="391"/>
      <c r="AI6944" s="397"/>
      <c r="AJ6944" s="397"/>
      <c r="AU6944" s="397"/>
      <c r="AV6944" s="397"/>
      <c r="AW6944" s="397"/>
      <c r="AX6944" s="397"/>
      <c r="BI6944" s="397"/>
      <c r="BJ6944" s="397"/>
      <c r="BK6944" s="397"/>
      <c r="BL6944" s="397"/>
      <c r="BM6944" s="397"/>
      <c r="BN6944" s="397"/>
      <c r="BO6944" s="397"/>
      <c r="BP6944" s="397"/>
      <c r="BQ6944" s="397"/>
      <c r="BR6944" s="397"/>
      <c r="BS6944" s="397"/>
      <c r="BT6944" s="397"/>
      <c r="BU6944" s="397"/>
      <c r="BV6944" s="397"/>
      <c r="BW6944" s="397"/>
      <c r="BX6944" s="397"/>
      <c r="BY6944" s="397"/>
      <c r="BZ6944" s="397"/>
      <c r="CC6944" s="392">
        <v>0.32383124287343207</v>
      </c>
    </row>
    <row r="6945" spans="1:81" s="392" customFormat="1" ht="15" x14ac:dyDescent="0.25">
      <c r="A6945" s="385"/>
      <c r="B6945" s="385"/>
      <c r="C6945" s="385"/>
      <c r="D6945" s="700"/>
      <c r="E6945" s="386"/>
      <c r="F6945" s="385"/>
      <c r="G6945" s="400"/>
      <c r="H6945" s="402"/>
      <c r="I6945" s="402"/>
      <c r="J6945" s="402"/>
      <c r="K6945" s="402"/>
      <c r="L6945" s="674"/>
      <c r="M6945" s="672">
        <v>30841</v>
      </c>
      <c r="N6945" s="623">
        <v>0.10229526778124115</v>
      </c>
      <c r="O6945" s="624">
        <v>1.225E-5</v>
      </c>
      <c r="P6945" s="397"/>
      <c r="Q6945" s="397"/>
      <c r="R6945" s="397"/>
      <c r="S6945" s="397"/>
      <c r="T6945" s="397"/>
      <c r="U6945" s="397"/>
      <c r="V6945" s="397"/>
      <c r="W6945" s="397"/>
      <c r="X6945" s="397"/>
      <c r="Y6945" s="397"/>
      <c r="Z6945" s="397"/>
      <c r="AD6945" s="388">
        <v>0.15849600000000003</v>
      </c>
      <c r="AE6945" s="388">
        <v>2.2555200000000002</v>
      </c>
      <c r="AF6945" s="388">
        <v>0.38274799999999998</v>
      </c>
      <c r="AG6945" s="388">
        <v>0.54864000000000002</v>
      </c>
      <c r="AH6945" s="391"/>
      <c r="AI6945" s="397"/>
      <c r="AJ6945" s="397"/>
      <c r="AU6945" s="397"/>
      <c r="AV6945" s="397"/>
      <c r="AW6945" s="397"/>
      <c r="AX6945" s="397"/>
      <c r="BI6945" s="397"/>
      <c r="BJ6945" s="397"/>
      <c r="BK6945" s="397"/>
      <c r="BL6945" s="397"/>
      <c r="BM6945" s="397"/>
      <c r="BN6945" s="397"/>
      <c r="BO6945" s="397"/>
      <c r="BP6945" s="397"/>
      <c r="BQ6945" s="397"/>
      <c r="BR6945" s="397"/>
      <c r="BS6945" s="397"/>
      <c r="BT6945" s="397"/>
      <c r="BU6945" s="397"/>
      <c r="BV6945" s="397"/>
      <c r="BW6945" s="397"/>
      <c r="BX6945" s="397"/>
      <c r="BY6945" s="397"/>
      <c r="BZ6945" s="397"/>
      <c r="CC6945" s="392">
        <v>0.31103853545283872</v>
      </c>
    </row>
    <row r="6946" spans="1:81" s="392" customFormat="1" ht="15" x14ac:dyDescent="0.25">
      <c r="A6946" s="385"/>
      <c r="B6946" s="385"/>
      <c r="C6946" s="385"/>
      <c r="D6946" s="700"/>
      <c r="E6946" s="386"/>
      <c r="F6946" s="385"/>
      <c r="G6946" s="400"/>
      <c r="H6946" s="402"/>
      <c r="I6946" s="402"/>
      <c r="J6946" s="402"/>
      <c r="K6946" s="402"/>
      <c r="L6946" s="674"/>
      <c r="M6946" s="672">
        <v>30849</v>
      </c>
      <c r="N6946" s="623">
        <v>0.10314536695947861</v>
      </c>
      <c r="O6946" s="624">
        <v>1.0500000000000001E-5</v>
      </c>
      <c r="P6946" s="397"/>
      <c r="Q6946" s="397"/>
      <c r="R6946" s="397"/>
      <c r="S6946" s="397"/>
      <c r="T6946" s="397"/>
      <c r="U6946" s="397"/>
      <c r="V6946" s="397"/>
      <c r="W6946" s="397"/>
      <c r="X6946" s="397"/>
      <c r="Y6946" s="397"/>
      <c r="Z6946" s="397"/>
      <c r="AD6946" s="388">
        <v>0.140208</v>
      </c>
      <c r="AE6946" s="388">
        <v>1.7373600000000002</v>
      </c>
      <c r="AF6946" s="388">
        <v>0.33536899999999997</v>
      </c>
      <c r="AG6946" s="388">
        <v>0.48158400000000007</v>
      </c>
      <c r="AH6946" s="391"/>
      <c r="AI6946" s="397"/>
      <c r="AJ6946" s="397"/>
      <c r="AU6946" s="397"/>
      <c r="AV6946" s="397"/>
      <c r="AW6946" s="397"/>
      <c r="AX6946" s="397"/>
      <c r="BI6946" s="397"/>
      <c r="BJ6946" s="397"/>
      <c r="BK6946" s="397"/>
      <c r="BL6946" s="397"/>
      <c r="BM6946" s="397"/>
      <c r="BN6946" s="397"/>
      <c r="BO6946" s="397"/>
      <c r="BP6946" s="397"/>
      <c r="BQ6946" s="397"/>
      <c r="BR6946" s="397"/>
      <c r="BS6946" s="397"/>
      <c r="BT6946" s="397"/>
      <c r="BU6946" s="397"/>
      <c r="BV6946" s="397"/>
      <c r="BW6946" s="397"/>
      <c r="BX6946" s="397"/>
      <c r="BY6946" s="397"/>
      <c r="BZ6946" s="397"/>
      <c r="CC6946" s="392">
        <v>0.84258674129577804</v>
      </c>
    </row>
    <row r="6947" spans="1:81" s="392" customFormat="1" ht="15" x14ac:dyDescent="0.25">
      <c r="A6947" s="385"/>
      <c r="B6947" s="385"/>
      <c r="C6947" s="385"/>
      <c r="D6947" s="700"/>
      <c r="E6947" s="386"/>
      <c r="F6947" s="385"/>
      <c r="G6947" s="400"/>
      <c r="H6947" s="402"/>
      <c r="I6947" s="402"/>
      <c r="J6947" s="402"/>
      <c r="K6947" s="402"/>
      <c r="L6947" s="674"/>
      <c r="M6947" s="672">
        <v>30859</v>
      </c>
      <c r="N6947" s="623">
        <v>0.10257863417398697</v>
      </c>
      <c r="O6947" s="624">
        <v>1.295E-5</v>
      </c>
      <c r="P6947" s="397"/>
      <c r="Q6947" s="397"/>
      <c r="R6947" s="397"/>
      <c r="S6947" s="397"/>
      <c r="T6947" s="397"/>
      <c r="U6947" s="397"/>
      <c r="V6947" s="397"/>
      <c r="W6947" s="397"/>
      <c r="X6947" s="397"/>
      <c r="Y6947" s="397"/>
      <c r="Z6947" s="397"/>
      <c r="AD6947" s="388">
        <v>0.14935200000000001</v>
      </c>
      <c r="AE6947" s="388">
        <v>1.8288000000000002</v>
      </c>
      <c r="AF6947" s="388">
        <v>0.35859399999999997</v>
      </c>
      <c r="AG6947" s="388">
        <v>0.47244000000000003</v>
      </c>
      <c r="AH6947" s="391"/>
      <c r="AI6947" s="397"/>
      <c r="AJ6947" s="397"/>
      <c r="AU6947" s="397"/>
      <c r="AV6947" s="397"/>
      <c r="AW6947" s="397"/>
      <c r="AX6947" s="397"/>
      <c r="BI6947" s="397"/>
      <c r="BJ6947" s="397"/>
      <c r="BK6947" s="397"/>
      <c r="BL6947" s="397"/>
      <c r="BM6947" s="397"/>
      <c r="BN6947" s="397"/>
      <c r="BO6947" s="397"/>
      <c r="BP6947" s="397"/>
      <c r="BQ6947" s="397"/>
      <c r="BR6947" s="397"/>
      <c r="BS6947" s="397"/>
      <c r="BT6947" s="397"/>
      <c r="BU6947" s="397"/>
      <c r="BV6947" s="397"/>
      <c r="BW6947" s="397"/>
      <c r="BX6947" s="397"/>
      <c r="BY6947" s="397"/>
      <c r="BZ6947" s="397"/>
      <c r="CC6947" s="392">
        <v>0.41258462763839115</v>
      </c>
    </row>
    <row r="6948" spans="1:81" s="392" customFormat="1" ht="15" x14ac:dyDescent="0.25">
      <c r="A6948" s="385"/>
      <c r="B6948" s="385"/>
      <c r="C6948" s="385"/>
      <c r="D6948" s="700"/>
      <c r="E6948" s="386"/>
      <c r="F6948" s="385"/>
      <c r="G6948" s="400"/>
      <c r="H6948" s="402"/>
      <c r="I6948" s="402"/>
      <c r="J6948" s="402"/>
      <c r="K6948" s="402"/>
      <c r="L6948" s="674"/>
      <c r="M6948" s="672">
        <v>30873</v>
      </c>
      <c r="N6948" s="623">
        <v>0.10314536695947861</v>
      </c>
      <c r="O6948" s="624">
        <v>4.1999999999999996E-6</v>
      </c>
      <c r="P6948" s="397"/>
      <c r="Q6948" s="397"/>
      <c r="R6948" s="397"/>
      <c r="S6948" s="397"/>
      <c r="T6948" s="397"/>
      <c r="U6948" s="397"/>
      <c r="V6948" s="397"/>
      <c r="W6948" s="397"/>
      <c r="X6948" s="397"/>
      <c r="Y6948" s="397"/>
      <c r="Z6948" s="397"/>
      <c r="AD6948" s="388">
        <v>0.124968</v>
      </c>
      <c r="AE6948" s="388">
        <v>1.3716000000000002</v>
      </c>
      <c r="AF6948" s="388">
        <v>0.26383599999999996</v>
      </c>
      <c r="AG6948" s="388">
        <v>0.48158400000000007</v>
      </c>
      <c r="AH6948" s="391"/>
      <c r="AI6948" s="397"/>
      <c r="AJ6948" s="397"/>
      <c r="AU6948" s="397"/>
      <c r="AV6948" s="397"/>
      <c r="AW6948" s="397"/>
      <c r="AX6948" s="397"/>
      <c r="BI6948" s="397"/>
      <c r="BJ6948" s="397"/>
      <c r="BK6948" s="397"/>
      <c r="BL6948" s="397"/>
      <c r="BM6948" s="397"/>
      <c r="BN6948" s="397"/>
      <c r="BO6948" s="397"/>
      <c r="BP6948" s="397"/>
      <c r="BQ6948" s="397"/>
      <c r="BR6948" s="397"/>
      <c r="BS6948" s="397"/>
      <c r="BT6948" s="397"/>
      <c r="BU6948" s="397"/>
      <c r="BV6948" s="397"/>
      <c r="BW6948" s="397"/>
      <c r="BX6948" s="397"/>
      <c r="BY6948" s="397"/>
      <c r="BZ6948" s="397"/>
      <c r="CC6948" s="392">
        <v>0.37140427234979234</v>
      </c>
    </row>
    <row r="6949" spans="1:81" s="392" customFormat="1" ht="15" x14ac:dyDescent="0.25">
      <c r="A6949" s="385"/>
      <c r="B6949" s="385"/>
      <c r="C6949" s="385"/>
      <c r="D6949" s="700"/>
      <c r="E6949" s="386"/>
      <c r="F6949" s="385"/>
      <c r="G6949" s="400"/>
      <c r="H6949" s="402"/>
      <c r="I6949" s="402"/>
      <c r="J6949" s="402"/>
      <c r="K6949" s="402"/>
      <c r="L6949" s="674"/>
      <c r="M6949" s="672">
        <v>30890</v>
      </c>
      <c r="N6949" s="623">
        <v>0.10682913006517428</v>
      </c>
      <c r="O6949" s="624">
        <v>5.6000000000000006E-6</v>
      </c>
      <c r="P6949" s="397"/>
      <c r="Q6949" s="397"/>
      <c r="R6949" s="397"/>
      <c r="S6949" s="397"/>
      <c r="T6949" s="397"/>
      <c r="U6949" s="397"/>
      <c r="V6949" s="397"/>
      <c r="W6949" s="397"/>
      <c r="X6949" s="397"/>
      <c r="Y6949" s="397"/>
      <c r="Z6949" s="397"/>
      <c r="AD6949" s="388">
        <v>9.7536000000000012E-2</v>
      </c>
      <c r="AE6949" s="388">
        <v>0.76200000000000001</v>
      </c>
      <c r="AF6949" s="388">
        <v>0.19230299999999997</v>
      </c>
      <c r="AG6949" s="388">
        <v>0.36880800000000002</v>
      </c>
      <c r="AH6949" s="391"/>
      <c r="AI6949" s="397"/>
      <c r="AJ6949" s="397"/>
      <c r="AU6949" s="397"/>
      <c r="AV6949" s="397"/>
      <c r="AW6949" s="397"/>
      <c r="AX6949" s="397"/>
      <c r="BI6949" s="397"/>
      <c r="BJ6949" s="397"/>
      <c r="BK6949" s="397"/>
      <c r="BL6949" s="397"/>
      <c r="BM6949" s="397"/>
      <c r="BN6949" s="397"/>
      <c r="BO6949" s="397"/>
      <c r="BP6949" s="397"/>
      <c r="BQ6949" s="397"/>
      <c r="BR6949" s="397"/>
      <c r="BS6949" s="397"/>
      <c r="BT6949" s="397"/>
      <c r="BU6949" s="397"/>
      <c r="BV6949" s="397"/>
      <c r="BW6949" s="397"/>
      <c r="BX6949" s="397"/>
      <c r="BY6949" s="397"/>
      <c r="BZ6949" s="397"/>
      <c r="CC6949" s="392">
        <v>1.1805825242718446</v>
      </c>
    </row>
    <row r="6950" spans="1:81" s="392" customFormat="1" ht="15" x14ac:dyDescent="0.25">
      <c r="A6950" s="385"/>
      <c r="B6950" s="385"/>
      <c r="C6950" s="385"/>
      <c r="D6950" s="700"/>
      <c r="E6950" s="386"/>
      <c r="F6950" s="385"/>
      <c r="G6950" s="400"/>
      <c r="H6950" s="402"/>
      <c r="I6950" s="402"/>
      <c r="J6950" s="402"/>
      <c r="K6950" s="402"/>
      <c r="L6950" s="674"/>
      <c r="M6950" s="672">
        <v>30907</v>
      </c>
      <c r="N6950" s="623">
        <v>9.8894871068291312E-2</v>
      </c>
      <c r="O6950" s="624">
        <v>8.9600000000000009E-5</v>
      </c>
      <c r="P6950" s="397"/>
      <c r="Q6950" s="397"/>
      <c r="R6950" s="397"/>
      <c r="S6950" s="397"/>
      <c r="T6950" s="397"/>
      <c r="U6950" s="397"/>
      <c r="V6950" s="397"/>
      <c r="W6950" s="397"/>
      <c r="X6950" s="397"/>
      <c r="Y6950" s="397"/>
      <c r="Z6950" s="397"/>
      <c r="AD6950" s="388">
        <v>0.176784</v>
      </c>
      <c r="AE6950" s="388">
        <v>2.1335999999999999</v>
      </c>
      <c r="AF6950" s="388">
        <v>0.45056499999999994</v>
      </c>
      <c r="AG6950" s="388">
        <v>0.43891200000000002</v>
      </c>
      <c r="AH6950" s="391"/>
      <c r="AI6950" s="397"/>
      <c r="AJ6950" s="397"/>
      <c r="AU6950" s="397"/>
      <c r="AV6950" s="397"/>
      <c r="AW6950" s="397"/>
      <c r="AX6950" s="397"/>
      <c r="BI6950" s="397"/>
      <c r="BJ6950" s="397"/>
      <c r="BK6950" s="397"/>
      <c r="BL6950" s="397"/>
      <c r="BM6950" s="397"/>
      <c r="BN6950" s="397"/>
      <c r="BO6950" s="397"/>
      <c r="BP6950" s="397"/>
      <c r="BQ6950" s="397"/>
      <c r="BR6950" s="397"/>
      <c r="BS6950" s="397"/>
      <c r="BT6950" s="397"/>
      <c r="BU6950" s="397"/>
      <c r="BV6950" s="397"/>
      <c r="BW6950" s="397"/>
      <c r="BX6950" s="397"/>
      <c r="BY6950" s="397"/>
      <c r="BZ6950" s="397"/>
      <c r="CC6950" s="392">
        <v>0.70882220607067448</v>
      </c>
    </row>
    <row r="6951" spans="1:81" s="392" customFormat="1" ht="15" x14ac:dyDescent="0.25">
      <c r="A6951" s="385"/>
      <c r="B6951" s="385"/>
      <c r="C6951" s="385"/>
      <c r="D6951" s="700"/>
      <c r="E6951" s="386"/>
      <c r="F6951" s="385"/>
      <c r="G6951" s="400"/>
      <c r="H6951" s="402"/>
      <c r="I6951" s="402"/>
      <c r="J6951" s="402"/>
      <c r="K6951" s="402"/>
      <c r="L6951" s="674"/>
      <c r="M6951" s="672">
        <v>30929</v>
      </c>
      <c r="N6951" s="623">
        <v>9.6911306319070564E-2</v>
      </c>
      <c r="O6951" s="624">
        <v>8.4000000000000003E-4</v>
      </c>
      <c r="P6951" s="397"/>
      <c r="Q6951" s="397"/>
      <c r="R6951" s="397"/>
      <c r="S6951" s="397"/>
      <c r="T6951" s="397"/>
      <c r="U6951" s="397"/>
      <c r="V6951" s="397"/>
      <c r="W6951" s="397"/>
      <c r="X6951" s="397"/>
      <c r="Y6951" s="397"/>
      <c r="Z6951" s="397"/>
      <c r="AD6951" s="388">
        <v>0.18288000000000001</v>
      </c>
      <c r="AE6951" s="388">
        <v>3.3832800000000001</v>
      </c>
      <c r="AF6951" s="388">
        <v>0.45799699999999993</v>
      </c>
      <c r="AG6951" s="388">
        <v>0.68580000000000008</v>
      </c>
      <c r="AH6951" s="391"/>
      <c r="AI6951" s="397"/>
      <c r="AJ6951" s="397"/>
      <c r="AU6951" s="397"/>
      <c r="AV6951" s="397"/>
      <c r="AW6951" s="397"/>
      <c r="AX6951" s="397"/>
      <c r="BI6951" s="397"/>
      <c r="BJ6951" s="397"/>
      <c r="BK6951" s="397"/>
      <c r="BL6951" s="397"/>
      <c r="BM6951" s="397"/>
      <c r="BN6951" s="397"/>
      <c r="BO6951" s="397"/>
      <c r="BP6951" s="397"/>
      <c r="BQ6951" s="397"/>
      <c r="BR6951" s="397"/>
      <c r="BS6951" s="397"/>
      <c r="BT6951" s="397"/>
      <c r="BU6951" s="397"/>
      <c r="BV6951" s="397"/>
      <c r="BW6951" s="397"/>
      <c r="BX6951" s="397"/>
      <c r="BY6951" s="397"/>
      <c r="BZ6951" s="397"/>
      <c r="CC6951" s="392">
        <v>7.7532077532077546</v>
      </c>
    </row>
    <row r="6952" spans="1:81" s="189" customFormat="1" ht="15" x14ac:dyDescent="0.25">
      <c r="A6952" s="381" t="s">
        <v>40</v>
      </c>
      <c r="B6952" s="641" t="s">
        <v>34</v>
      </c>
      <c r="C6952" s="639"/>
      <c r="D6952" s="4">
        <f>VLOOKUP(E6952,'Quality Code'!$D$4:$E$24,2,TRUE)*VLOOKUP(MROUND(F6952,10),'Quality Code'!$D$28:$E$69,2,TRUE)*VLOOKUP(COUNTA(CB6952:CB6962),'Quality Code'!$D$73:$E$93,2,TRUE)</f>
        <v>7.4999999999999997E-2</v>
      </c>
      <c r="E6952" s="14">
        <v>0.3</v>
      </c>
      <c r="F6952" s="2">
        <v>10</v>
      </c>
      <c r="G6952" s="12"/>
      <c r="H6952" s="2" t="s">
        <v>105</v>
      </c>
      <c r="I6952" s="2"/>
      <c r="J6952" s="2"/>
      <c r="K6952" s="2"/>
      <c r="L6952" s="639"/>
      <c r="M6952" s="640">
        <v>1984</v>
      </c>
      <c r="N6952" s="578" t="s">
        <v>110</v>
      </c>
      <c r="O6952" s="578"/>
      <c r="P6952" s="26"/>
      <c r="Q6952" s="26"/>
      <c r="R6952" s="26"/>
      <c r="S6952" s="26"/>
      <c r="T6952" s="26"/>
      <c r="U6952" s="26"/>
      <c r="V6952" s="10"/>
      <c r="W6952" s="10"/>
      <c r="X6952" s="10"/>
      <c r="Y6952" s="10"/>
      <c r="Z6952" s="2"/>
      <c r="AA6952" s="26"/>
      <c r="AB6952" s="26"/>
      <c r="AC6952" s="377">
        <v>5.8999999999999997E-2</v>
      </c>
      <c r="AD6952" s="406"/>
      <c r="AE6952" s="26"/>
      <c r="AF6952" s="26"/>
      <c r="AG6952" s="26"/>
      <c r="AH6952" s="26"/>
      <c r="AI6952" s="4"/>
      <c r="AJ6952" s="378"/>
      <c r="AK6952" s="376"/>
      <c r="AL6952" s="376"/>
      <c r="AM6952" s="376"/>
      <c r="AN6952" s="376"/>
      <c r="AO6952" s="376"/>
      <c r="AP6952" s="376"/>
      <c r="AQ6952" s="376"/>
      <c r="AR6952" s="376"/>
      <c r="AS6952" s="376"/>
      <c r="AT6952" s="376"/>
      <c r="AU6952" s="378"/>
      <c r="AV6952" s="378"/>
      <c r="AW6952" s="378"/>
      <c r="AX6952" s="378"/>
      <c r="AY6952" s="379"/>
      <c r="AZ6952" s="379"/>
      <c r="BA6952" s="380"/>
      <c r="BB6952" s="380"/>
      <c r="BC6952" s="380"/>
      <c r="BD6952" s="380"/>
      <c r="BE6952" s="380"/>
      <c r="BF6952" s="380"/>
      <c r="BG6952" s="380"/>
      <c r="BH6952" s="380"/>
      <c r="BI6952" s="4"/>
      <c r="BJ6952" s="12"/>
      <c r="BK6952" s="2"/>
      <c r="BL6952" s="2"/>
      <c r="BM6952" s="4"/>
      <c r="BN6952" s="12"/>
      <c r="BO6952" s="12"/>
      <c r="BP6952" s="12"/>
      <c r="BQ6952" s="4"/>
      <c r="BR6952" s="4"/>
      <c r="BS6952" s="4"/>
      <c r="BT6952" s="2"/>
      <c r="BU6952" s="9"/>
      <c r="BV6952" s="381"/>
      <c r="BW6952" s="382"/>
      <c r="BX6952" s="383"/>
      <c r="BY6952" s="383"/>
      <c r="BZ6952" s="383"/>
      <c r="CA6952" s="384" t="s">
        <v>413</v>
      </c>
      <c r="CB6952" s="411"/>
    </row>
    <row r="6953" spans="1:81" s="392" customFormat="1" ht="15" x14ac:dyDescent="0.25">
      <c r="A6953" s="385"/>
      <c r="B6953" s="385"/>
      <c r="C6953" s="385"/>
      <c r="D6953" s="700"/>
      <c r="E6953" s="386"/>
      <c r="F6953" s="385"/>
      <c r="G6953" s="400"/>
      <c r="H6953" s="401">
        <v>3</v>
      </c>
      <c r="I6953" s="401"/>
      <c r="J6953" s="401"/>
      <c r="K6953" s="401"/>
      <c r="L6953" s="675"/>
      <c r="M6953" s="672">
        <v>28242</v>
      </c>
      <c r="N6953" s="623">
        <v>8.5009917823746107E-3</v>
      </c>
      <c r="O6953" s="624" t="s">
        <v>71</v>
      </c>
      <c r="P6953" s="397"/>
      <c r="Q6953" s="397"/>
      <c r="R6953" s="397"/>
      <c r="S6953" s="397"/>
      <c r="T6953" s="397"/>
      <c r="U6953" s="397"/>
      <c r="V6953" s="397"/>
      <c r="W6953" s="397"/>
      <c r="X6953" s="397"/>
      <c r="Y6953" s="397"/>
      <c r="Z6953" s="397"/>
      <c r="AD6953" s="388"/>
      <c r="AE6953" s="388"/>
      <c r="AF6953" s="388"/>
      <c r="AG6953" s="388"/>
      <c r="AH6953" s="391"/>
      <c r="AI6953" s="397"/>
      <c r="AJ6953" s="397"/>
      <c r="AU6953" s="397"/>
      <c r="AV6953" s="397"/>
      <c r="AW6953" s="397"/>
      <c r="AX6953" s="397"/>
      <c r="BI6953" s="397"/>
      <c r="BJ6953" s="397"/>
      <c r="BK6953" s="397"/>
      <c r="BL6953" s="397"/>
      <c r="BM6953" s="397"/>
      <c r="BN6953" s="397"/>
      <c r="BO6953" s="397"/>
      <c r="BP6953" s="397"/>
      <c r="BQ6953" s="397"/>
      <c r="BR6953" s="397"/>
      <c r="BS6953" s="397"/>
      <c r="BT6953" s="397"/>
      <c r="BU6953" s="397"/>
      <c r="BV6953" s="397"/>
      <c r="BW6953" s="397"/>
      <c r="BX6953" s="397"/>
      <c r="BY6953" s="397"/>
      <c r="BZ6953" s="397"/>
      <c r="CA6953" s="392" t="s">
        <v>413</v>
      </c>
    </row>
    <row r="6954" spans="1:81" s="392" customFormat="1" ht="15" x14ac:dyDescent="0.25">
      <c r="A6954" s="385"/>
      <c r="B6954" s="385"/>
      <c r="C6954" s="385"/>
      <c r="D6954" s="700"/>
      <c r="E6954" s="386"/>
      <c r="F6954" s="385"/>
      <c r="G6954" s="400"/>
      <c r="H6954" s="401">
        <v>3</v>
      </c>
      <c r="I6954" s="401"/>
      <c r="J6954" s="401"/>
      <c r="K6954" s="401"/>
      <c r="L6954" s="675"/>
      <c r="M6954" s="672">
        <v>28243</v>
      </c>
      <c r="N6954" s="623">
        <v>8.5009917823746107E-3</v>
      </c>
      <c r="O6954" s="624" t="s">
        <v>71</v>
      </c>
      <c r="P6954" s="397"/>
      <c r="Q6954" s="397"/>
      <c r="R6954" s="397"/>
      <c r="S6954" s="397"/>
      <c r="T6954" s="397"/>
      <c r="U6954" s="397"/>
      <c r="V6954" s="397"/>
      <c r="W6954" s="397"/>
      <c r="X6954" s="397"/>
      <c r="Y6954" s="397"/>
      <c r="Z6954" s="397"/>
      <c r="AD6954" s="388"/>
      <c r="AE6954" s="388"/>
      <c r="AF6954" s="388"/>
      <c r="AG6954" s="388"/>
      <c r="AH6954" s="391"/>
      <c r="AI6954" s="397"/>
      <c r="AJ6954" s="397"/>
      <c r="AU6954" s="397"/>
      <c r="AV6954" s="397"/>
      <c r="AW6954" s="397"/>
      <c r="AX6954" s="397"/>
      <c r="BI6954" s="397"/>
      <c r="BJ6954" s="397"/>
      <c r="BK6954" s="397"/>
      <c r="BL6954" s="397"/>
      <c r="BM6954" s="397"/>
      <c r="BN6954" s="397"/>
      <c r="BO6954" s="397"/>
      <c r="BP6954" s="397"/>
      <c r="BQ6954" s="397"/>
      <c r="BR6954" s="397"/>
      <c r="BS6954" s="397"/>
      <c r="BT6954" s="397"/>
      <c r="BU6954" s="397"/>
      <c r="BV6954" s="397"/>
      <c r="BW6954" s="397"/>
      <c r="BX6954" s="397"/>
      <c r="BY6954" s="397"/>
      <c r="BZ6954" s="397"/>
      <c r="CA6954" s="392" t="s">
        <v>413</v>
      </c>
    </row>
    <row r="6955" spans="1:81" s="392" customFormat="1" ht="15" x14ac:dyDescent="0.25">
      <c r="A6955" s="385"/>
      <c r="B6955" s="385"/>
      <c r="C6955" s="385"/>
      <c r="D6955" s="700"/>
      <c r="E6955" s="386"/>
      <c r="F6955" s="385"/>
      <c r="G6955" s="400"/>
      <c r="H6955" s="401">
        <v>3</v>
      </c>
      <c r="I6955" s="401"/>
      <c r="J6955" s="401"/>
      <c r="K6955" s="401"/>
      <c r="L6955" s="675"/>
      <c r="M6955" s="672">
        <v>28250</v>
      </c>
      <c r="N6955" s="623">
        <v>2.8336639274582034E-2</v>
      </c>
      <c r="O6955" s="624" t="s">
        <v>71</v>
      </c>
      <c r="P6955" s="397"/>
      <c r="Q6955" s="397"/>
      <c r="R6955" s="397"/>
      <c r="S6955" s="397"/>
      <c r="T6955" s="397"/>
      <c r="U6955" s="397"/>
      <c r="V6955" s="397"/>
      <c r="W6955" s="397"/>
      <c r="X6955" s="397"/>
      <c r="Y6955" s="397"/>
      <c r="Z6955" s="397"/>
      <c r="AD6955" s="388"/>
      <c r="AE6955" s="388"/>
      <c r="AF6955" s="388"/>
      <c r="AG6955" s="388"/>
      <c r="AH6955" s="391"/>
      <c r="AI6955" s="397"/>
      <c r="AJ6955" s="397"/>
      <c r="AU6955" s="397"/>
      <c r="AV6955" s="397"/>
      <c r="AW6955" s="397"/>
      <c r="AX6955" s="397"/>
      <c r="BI6955" s="397"/>
      <c r="BJ6955" s="397"/>
      <c r="BK6955" s="397"/>
      <c r="BL6955" s="397"/>
      <c r="BM6955" s="397"/>
      <c r="BN6955" s="397"/>
      <c r="BO6955" s="397"/>
      <c r="BP6955" s="397"/>
      <c r="BQ6955" s="397"/>
      <c r="BR6955" s="397"/>
      <c r="BS6955" s="397"/>
      <c r="BT6955" s="397"/>
      <c r="BU6955" s="397"/>
      <c r="BV6955" s="397"/>
      <c r="BW6955" s="397"/>
      <c r="BX6955" s="397"/>
      <c r="BY6955" s="397"/>
      <c r="BZ6955" s="397"/>
      <c r="CA6955" s="392" t="s">
        <v>413</v>
      </c>
    </row>
    <row r="6956" spans="1:81" s="392" customFormat="1" ht="15" x14ac:dyDescent="0.25">
      <c r="A6956" s="385"/>
      <c r="B6956" s="385"/>
      <c r="C6956" s="385"/>
      <c r="D6956" s="700"/>
      <c r="E6956" s="386"/>
      <c r="F6956" s="385"/>
      <c r="G6956" s="400"/>
      <c r="H6956" s="401">
        <v>3</v>
      </c>
      <c r="I6956" s="401"/>
      <c r="J6956" s="401"/>
      <c r="K6956" s="401"/>
      <c r="L6956" s="675"/>
      <c r="M6956" s="672">
        <v>28256</v>
      </c>
      <c r="N6956" s="623">
        <v>6.2340606404080484E-2</v>
      </c>
      <c r="O6956" s="624">
        <v>4.4633333333333339E-3</v>
      </c>
      <c r="P6956" s="397"/>
      <c r="Q6956" s="397"/>
      <c r="R6956" s="397"/>
      <c r="S6956" s="397"/>
      <c r="T6956" s="397"/>
      <c r="U6956" s="397"/>
      <c r="V6956" s="397"/>
      <c r="W6956" s="397"/>
      <c r="X6956" s="397"/>
      <c r="Y6956" s="397"/>
      <c r="Z6956" s="397"/>
      <c r="AD6956" s="388">
        <v>3.1394400000000005</v>
      </c>
      <c r="AE6956" s="388"/>
      <c r="AF6956" s="388"/>
      <c r="AG6956" s="388"/>
      <c r="AH6956" s="391"/>
      <c r="AI6956" s="397"/>
      <c r="AJ6956" s="397"/>
      <c r="AU6956" s="397"/>
      <c r="AV6956" s="397"/>
      <c r="AW6956" s="397"/>
      <c r="AX6956" s="397"/>
      <c r="BI6956" s="397"/>
      <c r="BJ6956" s="397"/>
      <c r="BK6956" s="397"/>
      <c r="BL6956" s="397"/>
      <c r="BM6956" s="397"/>
      <c r="BN6956" s="397"/>
      <c r="BO6956" s="397"/>
      <c r="BP6956" s="397"/>
      <c r="BQ6956" s="397"/>
      <c r="BR6956" s="397"/>
      <c r="BS6956" s="397"/>
      <c r="BT6956" s="397"/>
      <c r="BU6956" s="397"/>
      <c r="BV6956" s="397"/>
      <c r="BW6956" s="397"/>
      <c r="BX6956" s="397"/>
      <c r="BY6956" s="397"/>
      <c r="BZ6956" s="397"/>
      <c r="CA6956" s="392" t="s">
        <v>413</v>
      </c>
    </row>
    <row r="6957" spans="1:81" s="392" customFormat="1" ht="15" x14ac:dyDescent="0.25">
      <c r="A6957" s="385"/>
      <c r="B6957" s="385"/>
      <c r="C6957" s="385"/>
      <c r="D6957" s="700"/>
      <c r="E6957" s="386"/>
      <c r="F6957" s="385"/>
      <c r="G6957" s="400"/>
      <c r="H6957" s="401">
        <v>3</v>
      </c>
      <c r="I6957" s="401"/>
      <c r="J6957" s="401"/>
      <c r="K6957" s="401"/>
      <c r="L6957" s="675"/>
      <c r="M6957" s="672">
        <v>28261</v>
      </c>
      <c r="N6957" s="623">
        <v>3.683763105695665E-2</v>
      </c>
      <c r="O6957" s="624">
        <v>1.7333333333333335E-3</v>
      </c>
      <c r="P6957" s="397"/>
      <c r="Q6957" s="397"/>
      <c r="R6957" s="397"/>
      <c r="S6957" s="397"/>
      <c r="T6957" s="397"/>
      <c r="U6957" s="397"/>
      <c r="V6957" s="397"/>
      <c r="W6957" s="397"/>
      <c r="X6957" s="397"/>
      <c r="Y6957" s="397"/>
      <c r="Z6957" s="397"/>
      <c r="AD6957" s="388">
        <v>3.048</v>
      </c>
      <c r="AE6957" s="388"/>
      <c r="AF6957" s="388"/>
      <c r="AG6957" s="388"/>
      <c r="AH6957" s="391"/>
      <c r="AI6957" s="397"/>
      <c r="AJ6957" s="397"/>
      <c r="AU6957" s="397"/>
      <c r="AV6957" s="397"/>
      <c r="AW6957" s="397"/>
      <c r="AX6957" s="397"/>
      <c r="BI6957" s="397"/>
      <c r="BJ6957" s="397"/>
      <c r="BK6957" s="397"/>
      <c r="BL6957" s="397"/>
      <c r="BM6957" s="397"/>
      <c r="BN6957" s="397"/>
      <c r="BO6957" s="397"/>
      <c r="BP6957" s="397"/>
      <c r="BQ6957" s="397"/>
      <c r="BR6957" s="397"/>
      <c r="BS6957" s="397"/>
      <c r="BT6957" s="397"/>
      <c r="BU6957" s="397"/>
      <c r="BV6957" s="397"/>
      <c r="BW6957" s="397"/>
      <c r="BX6957" s="397"/>
      <c r="BY6957" s="397"/>
      <c r="BZ6957" s="397"/>
      <c r="CA6957" s="392" t="s">
        <v>413</v>
      </c>
    </row>
    <row r="6958" spans="1:81" s="392" customFormat="1" ht="15" x14ac:dyDescent="0.25">
      <c r="A6958" s="385"/>
      <c r="B6958" s="385"/>
      <c r="C6958" s="385"/>
      <c r="D6958" s="700"/>
      <c r="E6958" s="386"/>
      <c r="F6958" s="385"/>
      <c r="G6958" s="400"/>
      <c r="H6958" s="401">
        <v>3</v>
      </c>
      <c r="I6958" s="401"/>
      <c r="J6958" s="401"/>
      <c r="K6958" s="401"/>
      <c r="L6958" s="675"/>
      <c r="M6958" s="672">
        <v>28268</v>
      </c>
      <c r="N6958" s="623">
        <v>3.9671294984414844E-2</v>
      </c>
      <c r="O6958" s="624">
        <v>4.5333333333333328E-3</v>
      </c>
      <c r="P6958" s="397"/>
      <c r="Q6958" s="397"/>
      <c r="R6958" s="397"/>
      <c r="S6958" s="397"/>
      <c r="T6958" s="397"/>
      <c r="U6958" s="397"/>
      <c r="V6958" s="397"/>
      <c r="W6958" s="397"/>
      <c r="X6958" s="397"/>
      <c r="Y6958" s="397"/>
      <c r="Z6958" s="397"/>
      <c r="AD6958" s="388">
        <v>3.048</v>
      </c>
      <c r="AE6958" s="388"/>
      <c r="AF6958" s="388"/>
      <c r="AG6958" s="388"/>
      <c r="AH6958" s="391"/>
      <c r="AI6958" s="397"/>
      <c r="AJ6958" s="397"/>
      <c r="AU6958" s="397"/>
      <c r="AV6958" s="397"/>
      <c r="AW6958" s="397"/>
      <c r="AX6958" s="397"/>
      <c r="BI6958" s="397"/>
      <c r="BJ6958" s="397"/>
      <c r="BK6958" s="397"/>
      <c r="BL6958" s="397"/>
      <c r="BM6958" s="397"/>
      <c r="BN6958" s="397"/>
      <c r="BO6958" s="397"/>
      <c r="BP6958" s="397"/>
      <c r="BQ6958" s="397"/>
      <c r="BR6958" s="397"/>
      <c r="BS6958" s="397"/>
      <c r="BT6958" s="397"/>
      <c r="BU6958" s="397"/>
      <c r="BV6958" s="397"/>
      <c r="BW6958" s="397"/>
      <c r="BX6958" s="397"/>
      <c r="BY6958" s="397"/>
      <c r="BZ6958" s="397"/>
      <c r="CA6958" s="392" t="s">
        <v>413</v>
      </c>
    </row>
    <row r="6959" spans="1:81" s="392" customFormat="1" ht="15" x14ac:dyDescent="0.25">
      <c r="A6959" s="385"/>
      <c r="B6959" s="385"/>
      <c r="C6959" s="385"/>
      <c r="D6959" s="700"/>
      <c r="E6959" s="386"/>
      <c r="F6959" s="385"/>
      <c r="G6959" s="400"/>
      <c r="H6959" s="401">
        <v>3</v>
      </c>
      <c r="I6959" s="401"/>
      <c r="J6959" s="401"/>
      <c r="K6959" s="401"/>
      <c r="L6959" s="675"/>
      <c r="M6959" s="672">
        <v>28275</v>
      </c>
      <c r="N6959" s="623">
        <v>6.8007934258996885E-2</v>
      </c>
      <c r="O6959" s="624">
        <v>1.7853333333333334E-3</v>
      </c>
      <c r="P6959" s="397"/>
      <c r="Q6959" s="397"/>
      <c r="R6959" s="397"/>
      <c r="S6959" s="397"/>
      <c r="T6959" s="397"/>
      <c r="U6959" s="397"/>
      <c r="V6959" s="397"/>
      <c r="W6959" s="397"/>
      <c r="X6959" s="397"/>
      <c r="Y6959" s="397"/>
      <c r="Z6959" s="397"/>
      <c r="AD6959" s="388">
        <v>3.1394400000000005</v>
      </c>
      <c r="AE6959" s="388"/>
      <c r="AF6959" s="388"/>
      <c r="AG6959" s="388"/>
      <c r="AH6959" s="391"/>
      <c r="AI6959" s="397"/>
      <c r="AJ6959" s="397"/>
      <c r="AU6959" s="397"/>
      <c r="AV6959" s="397"/>
      <c r="AW6959" s="397"/>
      <c r="AX6959" s="397"/>
      <c r="BI6959" s="397"/>
      <c r="BJ6959" s="397"/>
      <c r="BK6959" s="397"/>
      <c r="BL6959" s="397"/>
      <c r="BM6959" s="397"/>
      <c r="BN6959" s="397"/>
      <c r="BO6959" s="397"/>
      <c r="BP6959" s="397"/>
      <c r="BQ6959" s="397"/>
      <c r="BR6959" s="397"/>
      <c r="BS6959" s="397"/>
      <c r="BT6959" s="397"/>
      <c r="BU6959" s="397"/>
      <c r="BV6959" s="397"/>
      <c r="BW6959" s="397"/>
      <c r="BX6959" s="397"/>
      <c r="BY6959" s="397"/>
      <c r="BZ6959" s="397"/>
      <c r="CA6959" s="392" t="s">
        <v>413</v>
      </c>
    </row>
    <row r="6960" spans="1:81" s="392" customFormat="1" ht="15" x14ac:dyDescent="0.25">
      <c r="A6960" s="385"/>
      <c r="B6960" s="385"/>
      <c r="C6960" s="385"/>
      <c r="D6960" s="700"/>
      <c r="E6960" s="386"/>
      <c r="F6960" s="385"/>
      <c r="G6960" s="400"/>
      <c r="H6960" s="401">
        <v>3</v>
      </c>
      <c r="I6960" s="401"/>
      <c r="J6960" s="401"/>
      <c r="K6960" s="401"/>
      <c r="L6960" s="675"/>
      <c r="M6960" s="672">
        <v>28282</v>
      </c>
      <c r="N6960" s="623">
        <v>0.10767922924341172</v>
      </c>
      <c r="O6960" s="624">
        <v>1.2909333333333335E-2</v>
      </c>
      <c r="P6960" s="397"/>
      <c r="Q6960" s="397"/>
      <c r="R6960" s="397"/>
      <c r="S6960" s="397"/>
      <c r="T6960" s="397"/>
      <c r="U6960" s="397"/>
      <c r="V6960" s="397"/>
      <c r="W6960" s="397"/>
      <c r="X6960" s="397"/>
      <c r="Y6960" s="397"/>
      <c r="Z6960" s="397"/>
      <c r="AD6960" s="388">
        <v>3.1394400000000005</v>
      </c>
      <c r="AE6960" s="388"/>
      <c r="AF6960" s="388"/>
      <c r="AG6960" s="388"/>
      <c r="AH6960" s="391"/>
      <c r="AI6960" s="397"/>
      <c r="AJ6960" s="397"/>
      <c r="AU6960" s="397"/>
      <c r="AV6960" s="397"/>
      <c r="AW6960" s="397"/>
      <c r="AX6960" s="397"/>
      <c r="BI6960" s="397"/>
      <c r="BJ6960" s="397"/>
      <c r="BK6960" s="397"/>
      <c r="BL6960" s="397"/>
      <c r="BM6960" s="397"/>
      <c r="BN6960" s="397"/>
      <c r="BO6960" s="397"/>
      <c r="BP6960" s="397"/>
      <c r="BQ6960" s="397"/>
      <c r="BR6960" s="397"/>
      <c r="BS6960" s="397"/>
      <c r="BT6960" s="397"/>
      <c r="BU6960" s="397"/>
      <c r="BV6960" s="397"/>
      <c r="BW6960" s="397"/>
      <c r="BX6960" s="397"/>
      <c r="BY6960" s="397"/>
      <c r="BZ6960" s="397"/>
      <c r="CA6960" s="392" t="s">
        <v>413</v>
      </c>
    </row>
    <row r="6961" spans="1:80" s="392" customFormat="1" ht="15" x14ac:dyDescent="0.25">
      <c r="A6961" s="385"/>
      <c r="B6961" s="385"/>
      <c r="C6961" s="385"/>
      <c r="D6961" s="700"/>
      <c r="E6961" s="386"/>
      <c r="F6961" s="385"/>
      <c r="G6961" s="400"/>
      <c r="H6961" s="401">
        <v>3</v>
      </c>
      <c r="I6961" s="401"/>
      <c r="J6961" s="401"/>
      <c r="K6961" s="401"/>
      <c r="L6961" s="675"/>
      <c r="M6961" s="672">
        <v>28287</v>
      </c>
      <c r="N6961" s="623">
        <v>8.5009917823746103E-2</v>
      </c>
      <c r="O6961" s="624">
        <v>2.4720000000000002E-3</v>
      </c>
      <c r="P6961" s="397"/>
      <c r="Q6961" s="397"/>
      <c r="R6961" s="397"/>
      <c r="S6961" s="397"/>
      <c r="T6961" s="397"/>
      <c r="U6961" s="397"/>
      <c r="V6961" s="397"/>
      <c r="W6961" s="397"/>
      <c r="X6961" s="397"/>
      <c r="Y6961" s="397"/>
      <c r="Z6961" s="397"/>
      <c r="AD6961" s="388">
        <v>3.1394400000000005</v>
      </c>
      <c r="AE6961" s="388"/>
      <c r="AF6961" s="388"/>
      <c r="AG6961" s="388"/>
      <c r="AH6961" s="391"/>
      <c r="AI6961" s="397"/>
      <c r="AJ6961" s="397"/>
      <c r="AU6961" s="397"/>
      <c r="AV6961" s="397"/>
      <c r="AW6961" s="397"/>
      <c r="AX6961" s="397"/>
      <c r="BI6961" s="397"/>
      <c r="BJ6961" s="397"/>
      <c r="BK6961" s="397"/>
      <c r="BL6961" s="397"/>
      <c r="BM6961" s="397"/>
      <c r="BN6961" s="397"/>
      <c r="BO6961" s="397"/>
      <c r="BP6961" s="397"/>
      <c r="BQ6961" s="397"/>
      <c r="BR6961" s="397"/>
      <c r="BS6961" s="397"/>
      <c r="BT6961" s="397"/>
      <c r="BU6961" s="397"/>
      <c r="BV6961" s="397"/>
      <c r="BW6961" s="397"/>
      <c r="BX6961" s="397"/>
      <c r="BY6961" s="397"/>
      <c r="BZ6961" s="397"/>
      <c r="CA6961" s="392" t="s">
        <v>413</v>
      </c>
    </row>
    <row r="6962" spans="1:80" s="392" customFormat="1" ht="15" x14ac:dyDescent="0.25">
      <c r="A6962" s="385"/>
      <c r="B6962" s="385"/>
      <c r="C6962" s="385"/>
      <c r="D6962" s="700"/>
      <c r="E6962" s="386"/>
      <c r="F6962" s="385"/>
      <c r="G6962" s="400"/>
      <c r="H6962" s="401">
        <v>3</v>
      </c>
      <c r="I6962" s="401"/>
      <c r="J6962" s="401"/>
      <c r="K6962" s="401"/>
      <c r="L6962" s="675"/>
      <c r="M6962" s="672">
        <v>28291</v>
      </c>
      <c r="N6962" s="623">
        <v>7.0841598186455093E-2</v>
      </c>
      <c r="O6962" s="624">
        <v>0</v>
      </c>
      <c r="P6962" s="397"/>
      <c r="Q6962" s="397"/>
      <c r="R6962" s="397"/>
      <c r="S6962" s="397"/>
      <c r="T6962" s="397"/>
      <c r="U6962" s="397"/>
      <c r="V6962" s="397"/>
      <c r="W6962" s="397"/>
      <c r="X6962" s="397"/>
      <c r="Y6962" s="397"/>
      <c r="Z6962" s="397"/>
      <c r="AD6962" s="388"/>
      <c r="AE6962" s="388"/>
      <c r="AF6962" s="388"/>
      <c r="AG6962" s="388"/>
      <c r="AH6962" s="391"/>
      <c r="AI6962" s="397"/>
      <c r="AJ6962" s="397"/>
      <c r="AU6962" s="397"/>
      <c r="AV6962" s="397"/>
      <c r="AW6962" s="397"/>
      <c r="AX6962" s="397"/>
      <c r="BI6962" s="397"/>
      <c r="BJ6962" s="397"/>
      <c r="BK6962" s="397"/>
      <c r="BL6962" s="397"/>
      <c r="BM6962" s="397"/>
      <c r="BN6962" s="397"/>
      <c r="BO6962" s="397"/>
      <c r="BP6962" s="397"/>
      <c r="BQ6962" s="397"/>
      <c r="BR6962" s="397"/>
      <c r="BS6962" s="397"/>
      <c r="BT6962" s="397"/>
      <c r="BU6962" s="397"/>
      <c r="BV6962" s="397"/>
      <c r="BW6962" s="397"/>
      <c r="BX6962" s="397"/>
      <c r="BY6962" s="397"/>
      <c r="BZ6962" s="397"/>
      <c r="CA6962" s="392" t="s">
        <v>413</v>
      </c>
    </row>
    <row r="6963" spans="1:80" s="392" customFormat="1" ht="15" x14ac:dyDescent="0.25">
      <c r="A6963" s="385"/>
      <c r="B6963" s="385"/>
      <c r="C6963" s="385"/>
      <c r="D6963" s="700"/>
      <c r="E6963" s="386"/>
      <c r="F6963" s="385"/>
      <c r="G6963" s="400"/>
      <c r="H6963" s="401">
        <v>3</v>
      </c>
      <c r="I6963" s="401"/>
      <c r="J6963" s="401"/>
      <c r="K6963" s="401"/>
      <c r="L6963" s="675"/>
      <c r="M6963" s="672">
        <v>28294</v>
      </c>
      <c r="N6963" s="623">
        <v>4.817228676678946E-2</v>
      </c>
      <c r="O6963" s="624">
        <v>1.1333333333333332E-3</v>
      </c>
      <c r="P6963" s="397"/>
      <c r="Q6963" s="397"/>
      <c r="R6963" s="397"/>
      <c r="S6963" s="397"/>
      <c r="T6963" s="397"/>
      <c r="U6963" s="397"/>
      <c r="V6963" s="397"/>
      <c r="W6963" s="397"/>
      <c r="X6963" s="397"/>
      <c r="Y6963" s="397"/>
      <c r="Z6963" s="397"/>
      <c r="AD6963" s="388">
        <v>3.048</v>
      </c>
      <c r="AE6963" s="388"/>
      <c r="AF6963" s="388"/>
      <c r="AG6963" s="388"/>
      <c r="AH6963" s="391"/>
      <c r="AI6963" s="397"/>
      <c r="AJ6963" s="397"/>
      <c r="AU6963" s="397"/>
      <c r="AV6963" s="397"/>
      <c r="AW6963" s="397"/>
      <c r="AX6963" s="397"/>
      <c r="BI6963" s="397"/>
      <c r="BJ6963" s="397"/>
      <c r="BK6963" s="397"/>
      <c r="BL6963" s="397"/>
      <c r="BM6963" s="397"/>
      <c r="BN6963" s="397"/>
      <c r="BO6963" s="397"/>
      <c r="BP6963" s="397"/>
      <c r="BQ6963" s="397"/>
      <c r="BR6963" s="397"/>
      <c r="BS6963" s="397"/>
      <c r="BT6963" s="397"/>
      <c r="BU6963" s="397"/>
      <c r="BV6963" s="397"/>
      <c r="BW6963" s="397"/>
      <c r="BX6963" s="397"/>
      <c r="BY6963" s="397"/>
      <c r="BZ6963" s="397"/>
      <c r="CA6963" s="392" t="s">
        <v>413</v>
      </c>
    </row>
    <row r="6964" spans="1:80" s="392" customFormat="1" ht="15" x14ac:dyDescent="0.25">
      <c r="A6964" s="385"/>
      <c r="B6964" s="385"/>
      <c r="C6964" s="385"/>
      <c r="D6964" s="700"/>
      <c r="E6964" s="386"/>
      <c r="F6964" s="385"/>
      <c r="G6964" s="400"/>
      <c r="H6964" s="401">
        <v>3</v>
      </c>
      <c r="I6964" s="401"/>
      <c r="J6964" s="401"/>
      <c r="K6964" s="401"/>
      <c r="L6964" s="675"/>
      <c r="M6964" s="672">
        <v>28301</v>
      </c>
      <c r="N6964" s="623">
        <v>3.683763105695665E-2</v>
      </c>
      <c r="O6964" s="624">
        <v>9.3333333333333322E-4</v>
      </c>
      <c r="P6964" s="397"/>
      <c r="Q6964" s="397"/>
      <c r="R6964" s="397"/>
      <c r="S6964" s="397"/>
      <c r="T6964" s="397"/>
      <c r="U6964" s="397"/>
      <c r="V6964" s="397"/>
      <c r="W6964" s="397"/>
      <c r="X6964" s="397"/>
      <c r="Y6964" s="397"/>
      <c r="Z6964" s="397"/>
      <c r="AD6964" s="388">
        <v>3.048</v>
      </c>
      <c r="AE6964" s="388"/>
      <c r="AF6964" s="388"/>
      <c r="AG6964" s="388"/>
      <c r="AH6964" s="391"/>
      <c r="AI6964" s="397"/>
      <c r="AJ6964" s="397"/>
      <c r="AU6964" s="397"/>
      <c r="AV6964" s="397"/>
      <c r="AW6964" s="397"/>
      <c r="AX6964" s="397"/>
      <c r="BI6964" s="397"/>
      <c r="BJ6964" s="397"/>
      <c r="BK6964" s="397"/>
      <c r="BL6964" s="397"/>
      <c r="BM6964" s="397"/>
      <c r="BN6964" s="397"/>
      <c r="BO6964" s="397"/>
      <c r="BP6964" s="397"/>
      <c r="BQ6964" s="397"/>
      <c r="BR6964" s="397"/>
      <c r="BS6964" s="397"/>
      <c r="BT6964" s="397"/>
      <c r="BU6964" s="397"/>
      <c r="BV6964" s="397"/>
      <c r="BW6964" s="397"/>
      <c r="BX6964" s="397"/>
      <c r="BY6964" s="397"/>
      <c r="BZ6964" s="397"/>
      <c r="CA6964" s="392" t="s">
        <v>413</v>
      </c>
    </row>
    <row r="6965" spans="1:80" s="392" customFormat="1" ht="15" x14ac:dyDescent="0.25">
      <c r="A6965" s="385"/>
      <c r="B6965" s="385"/>
      <c r="C6965" s="385"/>
      <c r="D6965" s="700"/>
      <c r="E6965" s="386"/>
      <c r="F6965" s="385"/>
      <c r="G6965" s="400"/>
      <c r="H6965" s="401">
        <v>3</v>
      </c>
      <c r="I6965" s="401"/>
      <c r="J6965" s="401"/>
      <c r="K6965" s="401"/>
      <c r="L6965" s="675"/>
      <c r="M6965" s="672">
        <v>28304</v>
      </c>
      <c r="N6965" s="623">
        <v>3.1170303202040242E-2</v>
      </c>
      <c r="O6965" s="624" t="s">
        <v>71</v>
      </c>
      <c r="P6965" s="397"/>
      <c r="Q6965" s="397"/>
      <c r="R6965" s="397"/>
      <c r="S6965" s="397"/>
      <c r="T6965" s="397"/>
      <c r="U6965" s="397"/>
      <c r="V6965" s="397"/>
      <c r="W6965" s="397"/>
      <c r="X6965" s="397"/>
      <c r="Y6965" s="397"/>
      <c r="Z6965" s="397"/>
      <c r="AD6965" s="388">
        <v>3.048</v>
      </c>
      <c r="AE6965" s="388"/>
      <c r="AF6965" s="388"/>
      <c r="AG6965" s="388"/>
      <c r="AH6965" s="391"/>
      <c r="AI6965" s="397"/>
      <c r="AJ6965" s="397"/>
      <c r="AU6965" s="397"/>
      <c r="AV6965" s="397"/>
      <c r="AW6965" s="397"/>
      <c r="AX6965" s="397"/>
      <c r="BI6965" s="397"/>
      <c r="BJ6965" s="397"/>
      <c r="BK6965" s="397"/>
      <c r="BL6965" s="397"/>
      <c r="BM6965" s="397"/>
      <c r="BN6965" s="397"/>
      <c r="BO6965" s="397"/>
      <c r="BP6965" s="397"/>
      <c r="BQ6965" s="397"/>
      <c r="BR6965" s="397"/>
      <c r="BS6965" s="397"/>
      <c r="BT6965" s="397"/>
      <c r="BU6965" s="397"/>
      <c r="BV6965" s="397"/>
      <c r="BW6965" s="397"/>
      <c r="BX6965" s="397"/>
      <c r="BY6965" s="397"/>
      <c r="BZ6965" s="397"/>
      <c r="CA6965" s="392" t="s">
        <v>413</v>
      </c>
    </row>
    <row r="6966" spans="1:80" s="392" customFormat="1" ht="15" x14ac:dyDescent="0.25">
      <c r="A6966" s="385"/>
      <c r="B6966" s="385"/>
      <c r="C6966" s="385"/>
      <c r="D6966" s="700"/>
      <c r="E6966" s="386"/>
      <c r="F6966" s="385"/>
      <c r="G6966" s="400"/>
      <c r="H6966" s="401">
        <v>3</v>
      </c>
      <c r="I6966" s="401"/>
      <c r="J6966" s="401"/>
      <c r="K6966" s="401"/>
      <c r="L6966" s="675"/>
      <c r="M6966" s="672">
        <v>28310</v>
      </c>
      <c r="N6966" s="623">
        <v>2.7203173703598753E-2</v>
      </c>
      <c r="O6966" s="624" t="s">
        <v>71</v>
      </c>
      <c r="P6966" s="397"/>
      <c r="Q6966" s="397"/>
      <c r="R6966" s="397"/>
      <c r="S6966" s="397"/>
      <c r="T6966" s="397"/>
      <c r="U6966" s="397"/>
      <c r="V6966" s="397"/>
      <c r="W6966" s="397"/>
      <c r="X6966" s="397"/>
      <c r="Y6966" s="397"/>
      <c r="Z6966" s="397"/>
      <c r="AD6966" s="388"/>
      <c r="AE6966" s="388"/>
      <c r="AF6966" s="388"/>
      <c r="AG6966" s="388"/>
      <c r="AH6966" s="391"/>
      <c r="AI6966" s="397"/>
      <c r="AJ6966" s="397"/>
      <c r="AU6966" s="397"/>
      <c r="AV6966" s="397"/>
      <c r="AW6966" s="397"/>
      <c r="AX6966" s="397"/>
      <c r="BI6966" s="397"/>
      <c r="BJ6966" s="397"/>
      <c r="BK6966" s="397"/>
      <c r="BL6966" s="397"/>
      <c r="BM6966" s="397"/>
      <c r="BN6966" s="397"/>
      <c r="BO6966" s="397"/>
      <c r="BP6966" s="397"/>
      <c r="BQ6966" s="397"/>
      <c r="BR6966" s="397"/>
      <c r="BS6966" s="397"/>
      <c r="BT6966" s="397"/>
      <c r="BU6966" s="397"/>
      <c r="BV6966" s="397"/>
      <c r="BW6966" s="397"/>
      <c r="BX6966" s="397"/>
      <c r="BY6966" s="397"/>
      <c r="BZ6966" s="397"/>
      <c r="CA6966" s="392" t="s">
        <v>413</v>
      </c>
    </row>
    <row r="6967" spans="1:80" s="392" customFormat="1" ht="15" x14ac:dyDescent="0.25">
      <c r="A6967" s="385"/>
      <c r="B6967" s="385"/>
      <c r="C6967" s="385"/>
      <c r="D6967" s="700"/>
      <c r="E6967" s="386"/>
      <c r="F6967" s="385"/>
      <c r="G6967" s="400"/>
      <c r="H6967" s="401">
        <v>3</v>
      </c>
      <c r="I6967" s="401"/>
      <c r="J6967" s="401"/>
      <c r="K6967" s="401"/>
      <c r="L6967" s="675"/>
      <c r="M6967" s="672">
        <v>28318</v>
      </c>
      <c r="N6967" s="623">
        <v>1.7568716350240862E-2</v>
      </c>
      <c r="O6967" s="624">
        <v>1.32E-3</v>
      </c>
      <c r="P6967" s="397"/>
      <c r="Q6967" s="397"/>
      <c r="R6967" s="397"/>
      <c r="S6967" s="397"/>
      <c r="T6967" s="397"/>
      <c r="U6967" s="397"/>
      <c r="V6967" s="397"/>
      <c r="W6967" s="397"/>
      <c r="X6967" s="397"/>
      <c r="Y6967" s="397"/>
      <c r="Z6967" s="397"/>
      <c r="AD6967" s="388">
        <v>2.7432000000000003</v>
      </c>
      <c r="AE6967" s="388"/>
      <c r="AF6967" s="388"/>
      <c r="AG6967" s="388"/>
      <c r="AH6967" s="391"/>
      <c r="AI6967" s="397"/>
      <c r="AJ6967" s="397"/>
      <c r="AU6967" s="397"/>
      <c r="AV6967" s="397"/>
      <c r="AW6967" s="397"/>
      <c r="AX6967" s="397"/>
      <c r="BI6967" s="397"/>
      <c r="BJ6967" s="397"/>
      <c r="BK6967" s="397"/>
      <c r="BL6967" s="397"/>
      <c r="BM6967" s="397"/>
      <c r="BN6967" s="397"/>
      <c r="BO6967" s="397"/>
      <c r="BP6967" s="397"/>
      <c r="BQ6967" s="397"/>
      <c r="BR6967" s="397"/>
      <c r="BS6967" s="397"/>
      <c r="BT6967" s="397"/>
      <c r="BU6967" s="397"/>
      <c r="BV6967" s="397"/>
      <c r="BW6967" s="397"/>
      <c r="BX6967" s="397"/>
      <c r="BY6967" s="397"/>
      <c r="BZ6967" s="397"/>
      <c r="CA6967" s="392" t="s">
        <v>413</v>
      </c>
    </row>
    <row r="6968" spans="1:80" s="392" customFormat="1" ht="15" x14ac:dyDescent="0.25">
      <c r="A6968" s="385"/>
      <c r="B6968" s="385"/>
      <c r="C6968" s="385"/>
      <c r="D6968" s="700"/>
      <c r="E6968" s="386"/>
      <c r="F6968" s="385"/>
      <c r="G6968" s="400"/>
      <c r="H6968" s="401">
        <v>3</v>
      </c>
      <c r="I6968" s="401"/>
      <c r="J6968" s="401"/>
      <c r="K6968" s="401"/>
      <c r="L6968" s="675"/>
      <c r="M6968" s="672">
        <v>28324</v>
      </c>
      <c r="N6968" s="623">
        <v>1.6435250779257581E-2</v>
      </c>
      <c r="O6968" s="624" t="s">
        <v>71</v>
      </c>
      <c r="P6968" s="397"/>
      <c r="Q6968" s="397"/>
      <c r="R6968" s="397"/>
      <c r="S6968" s="397"/>
      <c r="T6968" s="397"/>
      <c r="U6968" s="397"/>
      <c r="V6968" s="397"/>
      <c r="W6968" s="397"/>
      <c r="X6968" s="397"/>
      <c r="Y6968" s="397"/>
      <c r="Z6968" s="397"/>
      <c r="AD6968" s="388"/>
      <c r="AE6968" s="388"/>
      <c r="AF6968" s="388"/>
      <c r="AG6968" s="388"/>
      <c r="AH6968" s="391"/>
      <c r="AI6968" s="397"/>
      <c r="AJ6968" s="397"/>
      <c r="AU6968" s="397"/>
      <c r="AV6968" s="397"/>
      <c r="AW6968" s="397"/>
      <c r="AX6968" s="397"/>
      <c r="BI6968" s="397"/>
      <c r="BJ6968" s="397"/>
      <c r="BK6968" s="397"/>
      <c r="BL6968" s="397"/>
      <c r="BM6968" s="397"/>
      <c r="BN6968" s="397"/>
      <c r="BO6968" s="397"/>
      <c r="BP6968" s="397"/>
      <c r="BQ6968" s="397"/>
      <c r="BR6968" s="397"/>
      <c r="BS6968" s="397"/>
      <c r="BT6968" s="397"/>
      <c r="BU6968" s="397"/>
      <c r="BV6968" s="397"/>
      <c r="BW6968" s="397"/>
      <c r="BX6968" s="397"/>
      <c r="BY6968" s="397"/>
      <c r="BZ6968" s="397"/>
      <c r="CA6968" s="392" t="s">
        <v>413</v>
      </c>
    </row>
    <row r="6969" spans="1:80" s="392" customFormat="1" ht="15" x14ac:dyDescent="0.25">
      <c r="A6969" s="385"/>
      <c r="B6969" s="385"/>
      <c r="C6969" s="385"/>
      <c r="D6969" s="700"/>
      <c r="E6969" s="386"/>
      <c r="F6969" s="385"/>
      <c r="G6969" s="400"/>
      <c r="H6969" s="401">
        <v>3</v>
      </c>
      <c r="I6969" s="401"/>
      <c r="J6969" s="401"/>
      <c r="K6969" s="401"/>
      <c r="L6969" s="675"/>
      <c r="M6969" s="672">
        <v>28331</v>
      </c>
      <c r="N6969" s="623">
        <v>3.4003967129498443E-2</v>
      </c>
      <c r="O6969" s="624" t="s">
        <v>71</v>
      </c>
      <c r="P6969" s="397"/>
      <c r="Q6969" s="397"/>
      <c r="R6969" s="397"/>
      <c r="S6969" s="397"/>
      <c r="T6969" s="397"/>
      <c r="U6969" s="397"/>
      <c r="V6969" s="397"/>
      <c r="W6969" s="397"/>
      <c r="X6969" s="397"/>
      <c r="Y6969" s="397"/>
      <c r="Z6969" s="397"/>
      <c r="AD6969" s="388"/>
      <c r="AE6969" s="388"/>
      <c r="AF6969" s="388"/>
      <c r="AG6969" s="388"/>
      <c r="AH6969" s="391"/>
      <c r="AI6969" s="397"/>
      <c r="AJ6969" s="397"/>
      <c r="AU6969" s="397"/>
      <c r="AV6969" s="397"/>
      <c r="AW6969" s="397"/>
      <c r="AX6969" s="397"/>
      <c r="BI6969" s="397"/>
      <c r="BJ6969" s="397"/>
      <c r="BK6969" s="397"/>
      <c r="BL6969" s="397"/>
      <c r="BM6969" s="397"/>
      <c r="BN6969" s="397"/>
      <c r="BO6969" s="397"/>
      <c r="BP6969" s="397"/>
      <c r="BQ6969" s="397"/>
      <c r="BR6969" s="397"/>
      <c r="BS6969" s="397"/>
      <c r="BT6969" s="397"/>
      <c r="BU6969" s="397"/>
      <c r="BV6969" s="397"/>
      <c r="BW6969" s="397"/>
      <c r="BX6969" s="397"/>
      <c r="BY6969" s="397"/>
      <c r="BZ6969" s="397"/>
      <c r="CA6969" s="392" t="s">
        <v>413</v>
      </c>
    </row>
    <row r="6970" spans="1:80" s="392" customFormat="1" ht="15" x14ac:dyDescent="0.25">
      <c r="A6970" s="385"/>
      <c r="B6970" s="385"/>
      <c r="C6970" s="385"/>
      <c r="D6970" s="700"/>
      <c r="E6970" s="386"/>
      <c r="F6970" s="385"/>
      <c r="G6970" s="400"/>
      <c r="H6970" s="401">
        <v>3</v>
      </c>
      <c r="I6970" s="401"/>
      <c r="J6970" s="401"/>
      <c r="K6970" s="401"/>
      <c r="L6970" s="675"/>
      <c r="M6970" s="672">
        <v>28338</v>
      </c>
      <c r="N6970" s="623">
        <v>1.6435250779257581E-2</v>
      </c>
      <c r="O6970" s="624" t="s">
        <v>71</v>
      </c>
      <c r="P6970" s="397"/>
      <c r="Q6970" s="397"/>
      <c r="R6970" s="397"/>
      <c r="S6970" s="397"/>
      <c r="T6970" s="397"/>
      <c r="U6970" s="397"/>
      <c r="V6970" s="397"/>
      <c r="W6970" s="397"/>
      <c r="X6970" s="397"/>
      <c r="Y6970" s="397"/>
      <c r="Z6970" s="397"/>
      <c r="AD6970" s="388"/>
      <c r="AE6970" s="388"/>
      <c r="AF6970" s="388"/>
      <c r="AG6970" s="388"/>
      <c r="AH6970" s="391"/>
      <c r="AI6970" s="397"/>
      <c r="AJ6970" s="397"/>
      <c r="AU6970" s="397"/>
      <c r="AV6970" s="397"/>
      <c r="AW6970" s="397"/>
      <c r="AX6970" s="397"/>
      <c r="BI6970" s="397"/>
      <c r="BJ6970" s="397"/>
      <c r="BK6970" s="397"/>
      <c r="BL6970" s="397"/>
      <c r="BM6970" s="397"/>
      <c r="BN6970" s="397"/>
      <c r="BO6970" s="397"/>
      <c r="BP6970" s="397"/>
      <c r="BQ6970" s="397"/>
      <c r="BR6970" s="397"/>
      <c r="BS6970" s="397"/>
      <c r="BT6970" s="397"/>
      <c r="BU6970" s="397"/>
      <c r="BV6970" s="397"/>
      <c r="BW6970" s="397"/>
      <c r="BX6970" s="397"/>
      <c r="BY6970" s="397"/>
      <c r="BZ6970" s="397"/>
      <c r="CA6970" s="392" t="s">
        <v>413</v>
      </c>
    </row>
    <row r="6971" spans="1:80" s="392" customFormat="1" ht="15" x14ac:dyDescent="0.25">
      <c r="A6971" s="385"/>
      <c r="B6971" s="385"/>
      <c r="C6971" s="385"/>
      <c r="D6971" s="700"/>
      <c r="E6971" s="386"/>
      <c r="F6971" s="385"/>
      <c r="G6971" s="400"/>
      <c r="H6971" s="401">
        <v>3</v>
      </c>
      <c r="I6971" s="401"/>
      <c r="J6971" s="401"/>
      <c r="K6971" s="401"/>
      <c r="L6971" s="675"/>
      <c r="M6971" s="672">
        <v>28368</v>
      </c>
      <c r="N6971" s="623">
        <v>9.917823746103711E-3</v>
      </c>
      <c r="O6971" s="624" t="s">
        <v>71</v>
      </c>
      <c r="P6971" s="397"/>
      <c r="Q6971" s="397"/>
      <c r="R6971" s="397"/>
      <c r="S6971" s="397"/>
      <c r="T6971" s="397"/>
      <c r="U6971" s="397"/>
      <c r="V6971" s="397"/>
      <c r="W6971" s="397"/>
      <c r="X6971" s="397"/>
      <c r="Y6971" s="397"/>
      <c r="Z6971" s="397"/>
      <c r="AD6971" s="388"/>
      <c r="AE6971" s="388"/>
      <c r="AF6971" s="388"/>
      <c r="AG6971" s="388"/>
      <c r="AH6971" s="391"/>
      <c r="AI6971" s="397"/>
      <c r="AJ6971" s="397"/>
      <c r="AU6971" s="397"/>
      <c r="AV6971" s="397"/>
      <c r="AW6971" s="397"/>
      <c r="AX6971" s="397"/>
      <c r="BI6971" s="397"/>
      <c r="BJ6971" s="397"/>
      <c r="BK6971" s="397"/>
      <c r="BL6971" s="397"/>
      <c r="BM6971" s="397"/>
      <c r="BN6971" s="397"/>
      <c r="BO6971" s="397"/>
      <c r="BP6971" s="397"/>
      <c r="BQ6971" s="397"/>
      <c r="BR6971" s="397"/>
      <c r="BS6971" s="397"/>
      <c r="BT6971" s="397"/>
      <c r="BU6971" s="397"/>
      <c r="BV6971" s="397"/>
      <c r="BW6971" s="397"/>
      <c r="BX6971" s="397"/>
      <c r="BY6971" s="397"/>
      <c r="BZ6971" s="397"/>
      <c r="CA6971" s="392" t="s">
        <v>413</v>
      </c>
    </row>
    <row r="6972" spans="1:80" s="189" customFormat="1" ht="15" x14ac:dyDescent="0.25">
      <c r="A6972" s="381" t="s">
        <v>451</v>
      </c>
      <c r="B6972" s="641" t="s">
        <v>34</v>
      </c>
      <c r="C6972" s="639"/>
      <c r="D6972" s="4">
        <f>VLOOKUP(E6972,'Quality Code'!$D$4:$E$24,2,TRUE)*VLOOKUP(MROUND(F6972,10),'Quality Code'!$D$28:$E$69,2,TRUE)*VLOOKUP(COUNTA(CB6972:CB6982),'Quality Code'!$D$73:$E$93,2,TRUE)</f>
        <v>0.15</v>
      </c>
      <c r="E6972" s="14">
        <v>0.3</v>
      </c>
      <c r="F6972" s="2">
        <v>15</v>
      </c>
      <c r="G6972" s="12"/>
      <c r="H6972" s="2" t="s">
        <v>105</v>
      </c>
      <c r="I6972" s="2"/>
      <c r="J6972" s="2"/>
      <c r="K6972" s="2"/>
      <c r="L6972" s="639"/>
      <c r="M6972" s="640">
        <v>1977</v>
      </c>
      <c r="N6972" s="578" t="s">
        <v>110</v>
      </c>
      <c r="O6972" s="578"/>
      <c r="P6972" s="26"/>
      <c r="Q6972" s="26"/>
      <c r="R6972" s="26"/>
      <c r="S6972" s="26"/>
      <c r="T6972" s="26"/>
      <c r="U6972" s="26"/>
      <c r="V6972" s="10"/>
      <c r="W6972" s="10"/>
      <c r="X6972" s="10"/>
      <c r="Y6972" s="10"/>
      <c r="Z6972" s="2"/>
      <c r="AA6972" s="26"/>
      <c r="AB6972" s="26"/>
      <c r="AC6972" s="377">
        <v>1.14E-2</v>
      </c>
      <c r="AD6972" s="406"/>
      <c r="AE6972" s="26"/>
      <c r="AF6972" s="26"/>
      <c r="AG6972" s="26"/>
      <c r="AH6972" s="26"/>
      <c r="AI6972" s="4"/>
      <c r="AJ6972" s="4"/>
      <c r="AK6972" s="26"/>
      <c r="AL6972" s="26"/>
      <c r="AM6972" s="26"/>
      <c r="AN6972" s="26"/>
      <c r="AO6972" s="26"/>
      <c r="AP6972" s="26"/>
      <c r="AQ6972" s="26"/>
      <c r="AR6972" s="26"/>
      <c r="AS6972" s="26"/>
      <c r="AT6972" s="26"/>
      <c r="AU6972" s="4"/>
      <c r="AV6972" s="4"/>
      <c r="AW6972" s="4"/>
      <c r="AX6972" s="4"/>
      <c r="AY6972" s="2"/>
      <c r="AZ6972" s="2"/>
      <c r="BA6972" s="12"/>
      <c r="BB6972" s="12"/>
      <c r="BC6972" s="12"/>
      <c r="BD6972" s="12"/>
      <c r="BE6972" s="12"/>
      <c r="BF6972" s="12"/>
      <c r="BG6972" s="12"/>
      <c r="BH6972" s="12"/>
      <c r="BI6972" s="4"/>
      <c r="BJ6972" s="12"/>
      <c r="BK6972" s="2"/>
      <c r="BL6972" s="2"/>
      <c r="BM6972" s="4"/>
      <c r="BN6972" s="12"/>
      <c r="BO6972" s="12"/>
      <c r="BP6972" s="12"/>
      <c r="BQ6972" s="4"/>
      <c r="BR6972" s="4"/>
      <c r="BS6972" s="4"/>
      <c r="BT6972" s="2"/>
      <c r="BU6972" s="9"/>
      <c r="BV6972" s="381"/>
      <c r="BW6972" s="382"/>
      <c r="BX6972" s="383"/>
      <c r="BY6972" s="383"/>
      <c r="BZ6972" s="383"/>
      <c r="CA6972" s="384" t="s">
        <v>413</v>
      </c>
      <c r="CB6972" s="411"/>
    </row>
    <row r="6973" spans="1:80" s="392" customFormat="1" ht="15" x14ac:dyDescent="0.25">
      <c r="A6973" s="385"/>
      <c r="B6973" s="385"/>
      <c r="C6973" s="385"/>
      <c r="D6973" s="700"/>
      <c r="E6973" s="386"/>
      <c r="F6973" s="385"/>
      <c r="G6973" s="400"/>
      <c r="H6973" s="401">
        <v>3</v>
      </c>
      <c r="I6973" s="401"/>
      <c r="J6973" s="401"/>
      <c r="K6973" s="401"/>
      <c r="L6973" s="675"/>
      <c r="M6973" s="672">
        <v>28223</v>
      </c>
      <c r="N6973" s="623">
        <v>0.27344856899971665</v>
      </c>
      <c r="O6973" s="624" t="s">
        <v>71</v>
      </c>
      <c r="P6973" s="397"/>
      <c r="Q6973" s="397"/>
      <c r="R6973" s="397"/>
      <c r="S6973" s="397"/>
      <c r="T6973" s="397"/>
      <c r="U6973" s="397"/>
      <c r="V6973" s="397"/>
      <c r="W6973" s="397"/>
      <c r="X6973" s="397"/>
      <c r="Y6973" s="397"/>
      <c r="Z6973" s="397"/>
      <c r="AD6973" s="388">
        <v>11</v>
      </c>
      <c r="AE6973" s="388"/>
      <c r="AF6973" s="388"/>
      <c r="AG6973" s="388"/>
      <c r="AH6973" s="391"/>
      <c r="AI6973" s="397"/>
      <c r="AJ6973" s="397"/>
      <c r="AU6973" s="397"/>
      <c r="AV6973" s="397"/>
      <c r="AW6973" s="397"/>
      <c r="AX6973" s="397"/>
      <c r="BI6973" s="397"/>
      <c r="BJ6973" s="397"/>
      <c r="BK6973" s="397"/>
      <c r="BL6973" s="397"/>
      <c r="BM6973" s="397"/>
      <c r="BN6973" s="397"/>
      <c r="BO6973" s="397"/>
      <c r="BP6973" s="397"/>
      <c r="BQ6973" s="397"/>
      <c r="BR6973" s="397"/>
      <c r="BS6973" s="397"/>
      <c r="BT6973" s="397"/>
      <c r="BU6973" s="397"/>
      <c r="BV6973" s="397"/>
      <c r="BW6973" s="397"/>
      <c r="BX6973" s="397"/>
      <c r="BY6973" s="397"/>
      <c r="BZ6973" s="397"/>
      <c r="CA6973" s="392" t="s">
        <v>413</v>
      </c>
    </row>
    <row r="6974" spans="1:80" s="392" customFormat="1" ht="15" x14ac:dyDescent="0.25">
      <c r="A6974" s="385"/>
      <c r="B6974" s="385"/>
      <c r="C6974" s="385"/>
      <c r="D6974" s="700"/>
      <c r="E6974" s="386"/>
      <c r="F6974" s="385"/>
      <c r="G6974" s="400"/>
      <c r="H6974" s="401">
        <v>3</v>
      </c>
      <c r="I6974" s="401"/>
      <c r="J6974" s="401"/>
      <c r="K6974" s="401"/>
      <c r="L6974" s="675"/>
      <c r="M6974" s="672">
        <v>28236</v>
      </c>
      <c r="N6974" s="623">
        <v>9.1243978464154163E-2</v>
      </c>
      <c r="O6974" s="624" t="s">
        <v>71</v>
      </c>
      <c r="P6974" s="397"/>
      <c r="Q6974" s="397"/>
      <c r="R6974" s="397"/>
      <c r="S6974" s="397"/>
      <c r="T6974" s="397"/>
      <c r="U6974" s="397"/>
      <c r="V6974" s="397"/>
      <c r="W6974" s="397"/>
      <c r="X6974" s="397"/>
      <c r="Y6974" s="397"/>
      <c r="Z6974" s="397"/>
      <c r="AD6974" s="388"/>
      <c r="AE6974" s="388"/>
      <c r="AF6974" s="388"/>
      <c r="AG6974" s="388"/>
      <c r="AH6974" s="391"/>
      <c r="AI6974" s="397"/>
      <c r="AJ6974" s="397"/>
      <c r="AU6974" s="397"/>
      <c r="AV6974" s="397"/>
      <c r="AW6974" s="397"/>
      <c r="AX6974" s="397"/>
      <c r="BI6974" s="397"/>
      <c r="BJ6974" s="397"/>
      <c r="BK6974" s="397"/>
      <c r="BL6974" s="397"/>
      <c r="BM6974" s="397"/>
      <c r="BN6974" s="397"/>
      <c r="BO6974" s="397"/>
      <c r="BP6974" s="397"/>
      <c r="BQ6974" s="397"/>
      <c r="BR6974" s="397"/>
      <c r="BS6974" s="397"/>
      <c r="BT6974" s="397"/>
      <c r="BU6974" s="397"/>
      <c r="BV6974" s="397"/>
      <c r="BW6974" s="397"/>
      <c r="BX6974" s="397"/>
      <c r="BY6974" s="397"/>
      <c r="BZ6974" s="397"/>
      <c r="CA6974" s="392" t="s">
        <v>413</v>
      </c>
    </row>
    <row r="6975" spans="1:80" s="392" customFormat="1" ht="15" x14ac:dyDescent="0.25">
      <c r="A6975" s="385"/>
      <c r="B6975" s="385"/>
      <c r="C6975" s="385"/>
      <c r="D6975" s="700"/>
      <c r="E6975" s="386"/>
      <c r="F6975" s="385"/>
      <c r="G6975" s="400"/>
      <c r="H6975" s="401">
        <v>3</v>
      </c>
      <c r="I6975" s="401"/>
      <c r="J6975" s="401"/>
      <c r="K6975" s="401"/>
      <c r="L6975" s="675"/>
      <c r="M6975" s="672">
        <v>28244</v>
      </c>
      <c r="N6975" s="623">
        <v>7.1408330971946724E-2</v>
      </c>
      <c r="O6975" s="624">
        <v>2.9333333333333329E-3</v>
      </c>
      <c r="P6975" s="397"/>
      <c r="Q6975" s="397"/>
      <c r="R6975" s="397"/>
      <c r="S6975" s="397"/>
      <c r="T6975" s="397"/>
      <c r="U6975" s="397"/>
      <c r="V6975" s="397"/>
      <c r="W6975" s="397"/>
      <c r="X6975" s="397"/>
      <c r="Y6975" s="397"/>
      <c r="Z6975" s="397"/>
      <c r="AD6975" s="388">
        <v>22</v>
      </c>
      <c r="AE6975" s="388"/>
      <c r="AF6975" s="388"/>
      <c r="AG6975" s="388"/>
      <c r="AH6975" s="391"/>
      <c r="AI6975" s="397"/>
      <c r="AJ6975" s="397"/>
      <c r="AU6975" s="397"/>
      <c r="AV6975" s="397"/>
      <c r="AW6975" s="397"/>
      <c r="AX6975" s="397"/>
      <c r="BI6975" s="397"/>
      <c r="BJ6975" s="397"/>
      <c r="BK6975" s="397"/>
      <c r="BL6975" s="397"/>
      <c r="BM6975" s="397"/>
      <c r="BN6975" s="397"/>
      <c r="BO6975" s="397"/>
      <c r="BP6975" s="397"/>
      <c r="BQ6975" s="397"/>
      <c r="BR6975" s="397"/>
      <c r="BS6975" s="397"/>
      <c r="BT6975" s="397"/>
      <c r="BU6975" s="397"/>
      <c r="BV6975" s="397"/>
      <c r="BW6975" s="397"/>
      <c r="BX6975" s="397"/>
      <c r="BY6975" s="397"/>
      <c r="BZ6975" s="397"/>
      <c r="CA6975" s="392" t="s">
        <v>413</v>
      </c>
    </row>
    <row r="6976" spans="1:80" s="392" customFormat="1" ht="15" x14ac:dyDescent="0.25">
      <c r="A6976" s="385"/>
      <c r="B6976" s="385"/>
      <c r="C6976" s="385"/>
      <c r="D6976" s="700"/>
      <c r="E6976" s="386"/>
      <c r="F6976" s="385"/>
      <c r="G6976" s="400"/>
      <c r="H6976" s="401">
        <v>3</v>
      </c>
      <c r="I6976" s="401"/>
      <c r="J6976" s="401"/>
      <c r="K6976" s="401"/>
      <c r="L6976" s="675"/>
      <c r="M6976" s="672">
        <v>28250</v>
      </c>
      <c r="N6976" s="623">
        <v>0.13856616605270614</v>
      </c>
      <c r="O6976" s="624">
        <v>1.7359999999999999E-3</v>
      </c>
      <c r="P6976" s="397"/>
      <c r="Q6976" s="397"/>
      <c r="R6976" s="397"/>
      <c r="S6976" s="397"/>
      <c r="T6976" s="397"/>
      <c r="U6976" s="397"/>
      <c r="V6976" s="397"/>
      <c r="W6976" s="397"/>
      <c r="X6976" s="397"/>
      <c r="Y6976" s="397"/>
      <c r="Z6976" s="397"/>
      <c r="AD6976" s="388">
        <v>21.7</v>
      </c>
      <c r="AE6976" s="388"/>
      <c r="AF6976" s="388"/>
      <c r="AG6976" s="388"/>
      <c r="AH6976" s="391"/>
      <c r="AI6976" s="397"/>
      <c r="AJ6976" s="397"/>
      <c r="AU6976" s="397"/>
      <c r="AV6976" s="397"/>
      <c r="AW6976" s="397"/>
      <c r="AX6976" s="397"/>
      <c r="BI6976" s="397"/>
      <c r="BJ6976" s="397"/>
      <c r="BK6976" s="397"/>
      <c r="BL6976" s="397"/>
      <c r="BM6976" s="397"/>
      <c r="BN6976" s="397"/>
      <c r="BO6976" s="397"/>
      <c r="BP6976" s="397"/>
      <c r="BQ6976" s="397"/>
      <c r="BR6976" s="397"/>
      <c r="BS6976" s="397"/>
      <c r="BT6976" s="397"/>
      <c r="BU6976" s="397"/>
      <c r="BV6976" s="397"/>
      <c r="BW6976" s="397"/>
      <c r="BX6976" s="397"/>
      <c r="BY6976" s="397"/>
      <c r="BZ6976" s="397"/>
      <c r="CA6976" s="392" t="s">
        <v>413</v>
      </c>
    </row>
    <row r="6977" spans="1:79" s="392" customFormat="1" ht="15" x14ac:dyDescent="0.25">
      <c r="A6977" s="385"/>
      <c r="B6977" s="385"/>
      <c r="C6977" s="385"/>
      <c r="D6977" s="700"/>
      <c r="E6977" s="386"/>
      <c r="F6977" s="385"/>
      <c r="G6977" s="400"/>
      <c r="H6977" s="401">
        <v>3</v>
      </c>
      <c r="I6977" s="401"/>
      <c r="J6977" s="401"/>
      <c r="K6977" s="401"/>
      <c r="L6977" s="675"/>
      <c r="M6977" s="672">
        <v>28256</v>
      </c>
      <c r="N6977" s="623">
        <v>0.11901388495324455</v>
      </c>
      <c r="O6977" s="624" t="s">
        <v>71</v>
      </c>
      <c r="P6977" s="397"/>
      <c r="Q6977" s="397"/>
      <c r="R6977" s="397"/>
      <c r="S6977" s="397"/>
      <c r="T6977" s="397"/>
      <c r="U6977" s="397"/>
      <c r="V6977" s="397"/>
      <c r="W6977" s="397"/>
      <c r="X6977" s="397"/>
      <c r="Y6977" s="397"/>
      <c r="Z6977" s="397"/>
      <c r="AD6977" s="388"/>
      <c r="AE6977" s="388"/>
      <c r="AF6977" s="388"/>
      <c r="AG6977" s="388"/>
      <c r="AH6977" s="391"/>
      <c r="AI6977" s="397"/>
      <c r="AJ6977" s="397"/>
      <c r="AU6977" s="397"/>
      <c r="AV6977" s="397"/>
      <c r="AW6977" s="397"/>
      <c r="AX6977" s="397"/>
      <c r="BI6977" s="397"/>
      <c r="BJ6977" s="397"/>
      <c r="BK6977" s="397"/>
      <c r="BL6977" s="397"/>
      <c r="BM6977" s="397"/>
      <c r="BN6977" s="397"/>
      <c r="BO6977" s="397"/>
      <c r="BP6977" s="397"/>
      <c r="BQ6977" s="397"/>
      <c r="BR6977" s="397"/>
      <c r="BS6977" s="397"/>
      <c r="BT6977" s="397"/>
      <c r="BU6977" s="397"/>
      <c r="BV6977" s="397"/>
      <c r="BW6977" s="397"/>
      <c r="BX6977" s="397"/>
      <c r="BY6977" s="397"/>
      <c r="BZ6977" s="397"/>
      <c r="CA6977" s="392" t="s">
        <v>413</v>
      </c>
    </row>
    <row r="6978" spans="1:79" s="392" customFormat="1" ht="15" x14ac:dyDescent="0.25">
      <c r="A6978" s="385"/>
      <c r="B6978" s="385"/>
      <c r="C6978" s="385"/>
      <c r="D6978" s="700"/>
      <c r="E6978" s="386"/>
      <c r="F6978" s="385"/>
      <c r="G6978" s="400"/>
      <c r="H6978" s="401">
        <v>3</v>
      </c>
      <c r="I6978" s="401"/>
      <c r="J6978" s="401"/>
      <c r="K6978" s="401"/>
      <c r="L6978" s="675"/>
      <c r="M6978" s="672">
        <v>28261</v>
      </c>
      <c r="N6978" s="623">
        <v>0.17767072825162936</v>
      </c>
      <c r="O6978" s="624" t="s">
        <v>71</v>
      </c>
      <c r="P6978" s="397"/>
      <c r="Q6978" s="397"/>
      <c r="R6978" s="397"/>
      <c r="S6978" s="397"/>
      <c r="T6978" s="397"/>
      <c r="U6978" s="397"/>
      <c r="V6978" s="397"/>
      <c r="W6978" s="397"/>
      <c r="X6978" s="397"/>
      <c r="Y6978" s="397"/>
      <c r="Z6978" s="397"/>
      <c r="AD6978" s="388"/>
      <c r="AE6978" s="388"/>
      <c r="AF6978" s="388"/>
      <c r="AG6978" s="388"/>
      <c r="AH6978" s="391"/>
      <c r="AI6978" s="397"/>
      <c r="AJ6978" s="397"/>
      <c r="AU6978" s="397"/>
      <c r="AV6978" s="397"/>
      <c r="AW6978" s="397"/>
      <c r="AX6978" s="397"/>
      <c r="BI6978" s="397"/>
      <c r="BJ6978" s="397"/>
      <c r="BK6978" s="397"/>
      <c r="BL6978" s="397"/>
      <c r="BM6978" s="397"/>
      <c r="BN6978" s="397"/>
      <c r="BO6978" s="397"/>
      <c r="BP6978" s="397"/>
      <c r="BQ6978" s="397"/>
      <c r="BR6978" s="397"/>
      <c r="BS6978" s="397"/>
      <c r="BT6978" s="397"/>
      <c r="BU6978" s="397"/>
      <c r="BV6978" s="397"/>
      <c r="BW6978" s="397"/>
      <c r="BX6978" s="397"/>
      <c r="BY6978" s="397"/>
      <c r="BZ6978" s="397"/>
      <c r="CA6978" s="392" t="s">
        <v>413</v>
      </c>
    </row>
    <row r="6979" spans="1:79" s="392" customFormat="1" ht="15" x14ac:dyDescent="0.25">
      <c r="A6979" s="385"/>
      <c r="B6979" s="385"/>
      <c r="C6979" s="385"/>
      <c r="D6979" s="700"/>
      <c r="E6979" s="386"/>
      <c r="F6979" s="385"/>
      <c r="G6979" s="400"/>
      <c r="H6979" s="401">
        <v>3</v>
      </c>
      <c r="I6979" s="401"/>
      <c r="J6979" s="401"/>
      <c r="K6979" s="401"/>
      <c r="L6979" s="675"/>
      <c r="M6979" s="672">
        <v>28268</v>
      </c>
      <c r="N6979" s="623">
        <v>0.19410597903088694</v>
      </c>
      <c r="O6979" s="624" t="s">
        <v>71</v>
      </c>
      <c r="P6979" s="397"/>
      <c r="Q6979" s="397"/>
      <c r="R6979" s="397"/>
      <c r="S6979" s="397"/>
      <c r="T6979" s="397"/>
      <c r="U6979" s="397"/>
      <c r="V6979" s="397"/>
      <c r="W6979" s="397"/>
      <c r="X6979" s="397"/>
      <c r="Y6979" s="397"/>
      <c r="Z6979" s="397"/>
      <c r="AD6979" s="388"/>
      <c r="AE6979" s="388"/>
      <c r="AF6979" s="388"/>
      <c r="AG6979" s="388"/>
      <c r="AH6979" s="391"/>
      <c r="AI6979" s="397"/>
      <c r="AJ6979" s="397"/>
      <c r="AU6979" s="397"/>
      <c r="AV6979" s="397"/>
      <c r="AW6979" s="397"/>
      <c r="AX6979" s="397"/>
      <c r="BI6979" s="397"/>
      <c r="BJ6979" s="397"/>
      <c r="BK6979" s="397"/>
      <c r="BL6979" s="397"/>
      <c r="BM6979" s="397"/>
      <c r="BN6979" s="397"/>
      <c r="BO6979" s="397"/>
      <c r="BP6979" s="397"/>
      <c r="BQ6979" s="397"/>
      <c r="BR6979" s="397"/>
      <c r="BS6979" s="397"/>
      <c r="BT6979" s="397"/>
      <c r="BU6979" s="397"/>
      <c r="BV6979" s="397"/>
      <c r="BW6979" s="397"/>
      <c r="BX6979" s="397"/>
      <c r="BY6979" s="397"/>
      <c r="BZ6979" s="397"/>
      <c r="CA6979" s="392" t="s">
        <v>413</v>
      </c>
    </row>
    <row r="6980" spans="1:79" s="392" customFormat="1" ht="15" x14ac:dyDescent="0.25">
      <c r="A6980" s="385"/>
      <c r="B6980" s="385"/>
      <c r="C6980" s="385"/>
      <c r="D6980" s="700"/>
      <c r="E6980" s="386"/>
      <c r="F6980" s="385"/>
      <c r="G6980" s="400"/>
      <c r="H6980" s="401">
        <v>3</v>
      </c>
      <c r="I6980" s="401"/>
      <c r="J6980" s="401"/>
      <c r="K6980" s="401"/>
      <c r="L6980" s="675"/>
      <c r="M6980" s="672">
        <v>28275</v>
      </c>
      <c r="N6980" s="623">
        <v>0.46472088410314533</v>
      </c>
      <c r="O6980" s="624">
        <v>1.9259999999999999E-2</v>
      </c>
      <c r="P6980" s="397"/>
      <c r="Q6980" s="397"/>
      <c r="R6980" s="397"/>
      <c r="S6980" s="397"/>
      <c r="T6980" s="397"/>
      <c r="U6980" s="397"/>
      <c r="V6980" s="397"/>
      <c r="W6980" s="397"/>
      <c r="X6980" s="397"/>
      <c r="Y6980" s="397"/>
      <c r="Z6980" s="397"/>
      <c r="AD6980" s="388">
        <v>21.4</v>
      </c>
      <c r="AE6980" s="388"/>
      <c r="AF6980" s="388"/>
      <c r="AG6980" s="388"/>
      <c r="AH6980" s="391"/>
      <c r="AI6980" s="397"/>
      <c r="AJ6980" s="397"/>
      <c r="AU6980" s="397"/>
      <c r="AV6980" s="397"/>
      <c r="AW6980" s="397"/>
      <c r="AX6980" s="397"/>
      <c r="BI6980" s="397"/>
      <c r="BJ6980" s="397"/>
      <c r="BK6980" s="397"/>
      <c r="BL6980" s="397"/>
      <c r="BM6980" s="397"/>
      <c r="BN6980" s="397"/>
      <c r="BO6980" s="397"/>
      <c r="BP6980" s="397"/>
      <c r="BQ6980" s="397"/>
      <c r="BR6980" s="397"/>
      <c r="BS6980" s="397"/>
      <c r="BT6980" s="397"/>
      <c r="BU6980" s="397"/>
      <c r="BV6980" s="397"/>
      <c r="BW6980" s="397"/>
      <c r="BX6980" s="397"/>
      <c r="BY6980" s="397"/>
      <c r="BZ6980" s="397"/>
      <c r="CA6980" s="392" t="s">
        <v>413</v>
      </c>
    </row>
    <row r="6981" spans="1:79" s="392" customFormat="1" ht="15" x14ac:dyDescent="0.25">
      <c r="A6981" s="385"/>
      <c r="B6981" s="385"/>
      <c r="C6981" s="385"/>
      <c r="D6981" s="700"/>
      <c r="E6981" s="386"/>
      <c r="F6981" s="385"/>
      <c r="G6981" s="400"/>
      <c r="H6981" s="401">
        <v>3</v>
      </c>
      <c r="I6981" s="401"/>
      <c r="J6981" s="401"/>
      <c r="K6981" s="401"/>
      <c r="L6981" s="675"/>
      <c r="M6981" s="672">
        <v>28282</v>
      </c>
      <c r="N6981" s="623">
        <v>0.87843581751204314</v>
      </c>
      <c r="O6981" s="624">
        <v>7.4760000000000007E-2</v>
      </c>
      <c r="P6981" s="397"/>
      <c r="Q6981" s="397"/>
      <c r="R6981" s="397"/>
      <c r="S6981" s="397"/>
      <c r="T6981" s="397"/>
      <c r="U6981" s="397"/>
      <c r="V6981" s="397"/>
      <c r="W6981" s="397"/>
      <c r="X6981" s="397"/>
      <c r="Y6981" s="397"/>
      <c r="Z6981" s="397"/>
      <c r="AD6981" s="388">
        <v>21</v>
      </c>
      <c r="AE6981" s="388"/>
      <c r="AF6981" s="388"/>
      <c r="AG6981" s="388"/>
      <c r="AH6981" s="391"/>
      <c r="AI6981" s="397"/>
      <c r="AJ6981" s="397"/>
      <c r="AU6981" s="397"/>
      <c r="AV6981" s="397"/>
      <c r="AW6981" s="397"/>
      <c r="AX6981" s="397"/>
      <c r="BI6981" s="397"/>
      <c r="BJ6981" s="397"/>
      <c r="BK6981" s="397"/>
      <c r="BL6981" s="397"/>
      <c r="BM6981" s="397"/>
      <c r="BN6981" s="397"/>
      <c r="BO6981" s="397"/>
      <c r="BP6981" s="397"/>
      <c r="BQ6981" s="397"/>
      <c r="BR6981" s="397"/>
      <c r="BS6981" s="397"/>
      <c r="BT6981" s="397"/>
      <c r="BU6981" s="397"/>
      <c r="BV6981" s="397"/>
      <c r="BW6981" s="397"/>
      <c r="BX6981" s="397"/>
      <c r="BY6981" s="397"/>
      <c r="BZ6981" s="397"/>
      <c r="CA6981" s="392" t="s">
        <v>413</v>
      </c>
    </row>
    <row r="6982" spans="1:79" s="392" customFormat="1" ht="15" x14ac:dyDescent="0.25">
      <c r="A6982" s="385"/>
      <c r="B6982" s="385"/>
      <c r="C6982" s="385"/>
      <c r="D6982" s="700"/>
      <c r="E6982" s="386"/>
      <c r="F6982" s="385"/>
      <c r="G6982" s="400"/>
      <c r="H6982" s="401">
        <v>3</v>
      </c>
      <c r="I6982" s="401"/>
      <c r="J6982" s="401"/>
      <c r="K6982" s="401"/>
      <c r="L6982" s="675"/>
      <c r="M6982" s="672">
        <v>28287</v>
      </c>
      <c r="N6982" s="623">
        <v>0.87843581751204314</v>
      </c>
      <c r="O6982" s="624">
        <v>3.9882000000000001E-2</v>
      </c>
      <c r="P6982" s="397"/>
      <c r="Q6982" s="397"/>
      <c r="R6982" s="397"/>
      <c r="S6982" s="397"/>
      <c r="T6982" s="397"/>
      <c r="U6982" s="397"/>
      <c r="V6982" s="397"/>
      <c r="W6982" s="397"/>
      <c r="X6982" s="397"/>
      <c r="Y6982" s="397"/>
      <c r="Z6982" s="397"/>
      <c r="AD6982" s="388">
        <v>20.7</v>
      </c>
      <c r="AE6982" s="388"/>
      <c r="AF6982" s="388"/>
      <c r="AG6982" s="388"/>
      <c r="AH6982" s="391"/>
      <c r="AI6982" s="397"/>
      <c r="AJ6982" s="397"/>
      <c r="AU6982" s="397"/>
      <c r="AV6982" s="397"/>
      <c r="AW6982" s="397"/>
      <c r="AX6982" s="397"/>
      <c r="BI6982" s="397"/>
      <c r="BJ6982" s="397"/>
      <c r="BK6982" s="397"/>
      <c r="BL6982" s="397"/>
      <c r="BM6982" s="397"/>
      <c r="BN6982" s="397"/>
      <c r="BO6982" s="397"/>
      <c r="BP6982" s="397"/>
      <c r="BQ6982" s="397"/>
      <c r="BR6982" s="397"/>
      <c r="BS6982" s="397"/>
      <c r="BT6982" s="397"/>
      <c r="BU6982" s="397"/>
      <c r="BV6982" s="397"/>
      <c r="BW6982" s="397"/>
      <c r="BX6982" s="397"/>
      <c r="BY6982" s="397"/>
      <c r="BZ6982" s="397"/>
      <c r="CA6982" s="392" t="s">
        <v>413</v>
      </c>
    </row>
    <row r="6983" spans="1:79" s="392" customFormat="1" ht="15" x14ac:dyDescent="0.25">
      <c r="A6983" s="385"/>
      <c r="B6983" s="385"/>
      <c r="C6983" s="385"/>
      <c r="D6983" s="700"/>
      <c r="E6983" s="386"/>
      <c r="F6983" s="385"/>
      <c r="G6983" s="400"/>
      <c r="H6983" s="401">
        <v>3</v>
      </c>
      <c r="I6983" s="401"/>
      <c r="J6983" s="401"/>
      <c r="K6983" s="401"/>
      <c r="L6983" s="675"/>
      <c r="M6983" s="672">
        <v>28292</v>
      </c>
      <c r="N6983" s="623">
        <v>0.82176253896287899</v>
      </c>
      <c r="O6983" s="624">
        <v>1.624E-3</v>
      </c>
      <c r="P6983" s="397"/>
      <c r="Q6983" s="397"/>
      <c r="R6983" s="397"/>
      <c r="S6983" s="397"/>
      <c r="T6983" s="397"/>
      <c r="U6983" s="397"/>
      <c r="V6983" s="397"/>
      <c r="W6983" s="397"/>
      <c r="X6983" s="397"/>
      <c r="Y6983" s="397"/>
      <c r="Z6983" s="397"/>
      <c r="AD6983" s="388">
        <v>20.3</v>
      </c>
      <c r="AE6983" s="388"/>
      <c r="AF6983" s="388"/>
      <c r="AG6983" s="388"/>
      <c r="AH6983" s="391"/>
      <c r="AI6983" s="397"/>
      <c r="AJ6983" s="397"/>
      <c r="AU6983" s="397"/>
      <c r="AV6983" s="397"/>
      <c r="AW6983" s="397"/>
      <c r="AX6983" s="397"/>
      <c r="BI6983" s="397"/>
      <c r="BJ6983" s="397"/>
      <c r="BK6983" s="397"/>
      <c r="BL6983" s="397"/>
      <c r="BM6983" s="397"/>
      <c r="BN6983" s="397"/>
      <c r="BO6983" s="397"/>
      <c r="BP6983" s="397"/>
      <c r="BQ6983" s="397"/>
      <c r="BR6983" s="397"/>
      <c r="BS6983" s="397"/>
      <c r="BT6983" s="397"/>
      <c r="BU6983" s="397"/>
      <c r="BV6983" s="397"/>
      <c r="BW6983" s="397"/>
      <c r="BX6983" s="397"/>
      <c r="BY6983" s="397"/>
      <c r="BZ6983" s="397"/>
      <c r="CA6983" s="392" t="s">
        <v>413</v>
      </c>
    </row>
    <row r="6984" spans="1:79" s="392" customFormat="1" ht="15" x14ac:dyDescent="0.25">
      <c r="A6984" s="385"/>
      <c r="B6984" s="385"/>
      <c r="C6984" s="385"/>
      <c r="D6984" s="700"/>
      <c r="E6984" s="386"/>
      <c r="F6984" s="385"/>
      <c r="G6984" s="400"/>
      <c r="H6984" s="401">
        <v>3</v>
      </c>
      <c r="I6984" s="401"/>
      <c r="J6984" s="401"/>
      <c r="K6984" s="401"/>
      <c r="L6984" s="675"/>
      <c r="M6984" s="672">
        <v>28294</v>
      </c>
      <c r="N6984" s="623">
        <v>0.77359025219608957</v>
      </c>
      <c r="O6984" s="624">
        <v>1.8133333333333331E-2</v>
      </c>
      <c r="P6984" s="397"/>
      <c r="Q6984" s="397"/>
      <c r="R6984" s="397"/>
      <c r="S6984" s="397"/>
      <c r="T6984" s="397"/>
      <c r="U6984" s="397"/>
      <c r="V6984" s="397"/>
      <c r="W6984" s="397"/>
      <c r="X6984" s="397"/>
      <c r="Y6984" s="397"/>
      <c r="Z6984" s="397"/>
      <c r="AD6984" s="388">
        <v>20</v>
      </c>
      <c r="AE6984" s="388"/>
      <c r="AF6984" s="388"/>
      <c r="AG6984" s="388"/>
      <c r="AH6984" s="391"/>
      <c r="AI6984" s="397"/>
      <c r="AJ6984" s="397"/>
      <c r="AU6984" s="397"/>
      <c r="AV6984" s="397"/>
      <c r="AW6984" s="397"/>
      <c r="AX6984" s="397"/>
      <c r="BI6984" s="397"/>
      <c r="BJ6984" s="397"/>
      <c r="BK6984" s="397"/>
      <c r="BL6984" s="397"/>
      <c r="BM6984" s="397"/>
      <c r="BN6984" s="397"/>
      <c r="BO6984" s="397"/>
      <c r="BP6984" s="397"/>
      <c r="BQ6984" s="397"/>
      <c r="BR6984" s="397"/>
      <c r="BS6984" s="397"/>
      <c r="BT6984" s="397"/>
      <c r="BU6984" s="397"/>
      <c r="BV6984" s="397"/>
      <c r="BW6984" s="397"/>
      <c r="BX6984" s="397"/>
      <c r="BY6984" s="397"/>
      <c r="BZ6984" s="397"/>
      <c r="CA6984" s="392" t="s">
        <v>413</v>
      </c>
    </row>
    <row r="6985" spans="1:79" s="392" customFormat="1" ht="15" x14ac:dyDescent="0.25">
      <c r="A6985" s="385"/>
      <c r="B6985" s="385"/>
      <c r="C6985" s="385"/>
      <c r="D6985" s="700"/>
      <c r="E6985" s="386"/>
      <c r="F6985" s="385"/>
      <c r="G6985" s="400"/>
      <c r="H6985" s="401">
        <v>3</v>
      </c>
      <c r="I6985" s="401"/>
      <c r="J6985" s="401"/>
      <c r="K6985" s="401"/>
      <c r="L6985" s="675"/>
      <c r="M6985" s="672">
        <v>28301</v>
      </c>
      <c r="N6985" s="623">
        <v>0.70274865400963449</v>
      </c>
      <c r="O6985" s="624">
        <v>1.0845333333333334E-2</v>
      </c>
      <c r="P6985" s="397"/>
      <c r="Q6985" s="397"/>
      <c r="R6985" s="397"/>
      <c r="S6985" s="397"/>
      <c r="T6985" s="397"/>
      <c r="U6985" s="397"/>
      <c r="V6985" s="397"/>
      <c r="W6985" s="397"/>
      <c r="X6985" s="397"/>
      <c r="Y6985" s="397"/>
      <c r="Z6985" s="397"/>
      <c r="AD6985" s="388">
        <v>19.600000000000001</v>
      </c>
      <c r="AE6985" s="388"/>
      <c r="AF6985" s="388"/>
      <c r="AG6985" s="388"/>
      <c r="AH6985" s="391"/>
      <c r="AI6985" s="397"/>
      <c r="AJ6985" s="397"/>
      <c r="AU6985" s="397"/>
      <c r="AV6985" s="397"/>
      <c r="AW6985" s="397"/>
      <c r="AX6985" s="397"/>
      <c r="BI6985" s="397"/>
      <c r="BJ6985" s="397"/>
      <c r="BK6985" s="397"/>
      <c r="BL6985" s="397"/>
      <c r="BM6985" s="397"/>
      <c r="BN6985" s="397"/>
      <c r="BO6985" s="397"/>
      <c r="BP6985" s="397"/>
      <c r="BQ6985" s="397"/>
      <c r="BR6985" s="397"/>
      <c r="BS6985" s="397"/>
      <c r="BT6985" s="397"/>
      <c r="BU6985" s="397"/>
      <c r="BV6985" s="397"/>
      <c r="BW6985" s="397"/>
      <c r="BX6985" s="397"/>
      <c r="BY6985" s="397"/>
      <c r="BZ6985" s="397"/>
      <c r="CA6985" s="392" t="s">
        <v>413</v>
      </c>
    </row>
    <row r="6986" spans="1:79" s="392" customFormat="1" ht="15" x14ac:dyDescent="0.25">
      <c r="A6986" s="385"/>
      <c r="B6986" s="385"/>
      <c r="C6986" s="385"/>
      <c r="D6986" s="700"/>
      <c r="E6986" s="386"/>
      <c r="F6986" s="385"/>
      <c r="G6986" s="400"/>
      <c r="H6986" s="401">
        <v>3</v>
      </c>
      <c r="I6986" s="401"/>
      <c r="J6986" s="401"/>
      <c r="K6986" s="401"/>
      <c r="L6986" s="675"/>
      <c r="M6986" s="672">
        <v>28304</v>
      </c>
      <c r="N6986" s="623">
        <v>0.70274865400963449</v>
      </c>
      <c r="O6986" s="624">
        <v>2.496E-2</v>
      </c>
      <c r="P6986" s="397"/>
      <c r="Q6986" s="397"/>
      <c r="R6986" s="397"/>
      <c r="S6986" s="397"/>
      <c r="T6986" s="397"/>
      <c r="U6986" s="397"/>
      <c r="V6986" s="397"/>
      <c r="W6986" s="397"/>
      <c r="X6986" s="397"/>
      <c r="Y6986" s="397"/>
      <c r="Z6986" s="397"/>
      <c r="AD6986" s="388">
        <v>19.2</v>
      </c>
      <c r="AE6986" s="388"/>
      <c r="AF6986" s="388"/>
      <c r="AG6986" s="388"/>
      <c r="AH6986" s="391"/>
      <c r="AI6986" s="397"/>
      <c r="AJ6986" s="397"/>
      <c r="AU6986" s="397"/>
      <c r="AV6986" s="397"/>
      <c r="AW6986" s="397"/>
      <c r="AX6986" s="397"/>
      <c r="BI6986" s="397"/>
      <c r="BJ6986" s="397"/>
      <c r="BK6986" s="397"/>
      <c r="BL6986" s="397"/>
      <c r="BM6986" s="397"/>
      <c r="BN6986" s="397"/>
      <c r="BO6986" s="397"/>
      <c r="BP6986" s="397"/>
      <c r="BQ6986" s="397"/>
      <c r="BR6986" s="397"/>
      <c r="BS6986" s="397"/>
      <c r="BT6986" s="397"/>
      <c r="BU6986" s="397"/>
      <c r="BV6986" s="397"/>
      <c r="BW6986" s="397"/>
      <c r="BX6986" s="397"/>
      <c r="BY6986" s="397"/>
      <c r="BZ6986" s="397"/>
      <c r="CA6986" s="392" t="s">
        <v>413</v>
      </c>
    </row>
    <row r="6987" spans="1:79" s="392" customFormat="1" ht="15" x14ac:dyDescent="0.25">
      <c r="A6987" s="385"/>
      <c r="B6987" s="385"/>
      <c r="C6987" s="385"/>
      <c r="D6987" s="700"/>
      <c r="E6987" s="386"/>
      <c r="F6987" s="385"/>
      <c r="G6987" s="400"/>
      <c r="H6987" s="401">
        <v>3</v>
      </c>
      <c r="I6987" s="401"/>
      <c r="J6987" s="401"/>
      <c r="K6987" s="401"/>
      <c r="L6987" s="675"/>
      <c r="M6987" s="672">
        <v>28310</v>
      </c>
      <c r="N6987" s="623">
        <v>0.72825162935675825</v>
      </c>
      <c r="O6987" s="624">
        <v>5.4809999999999998E-2</v>
      </c>
      <c r="P6987" s="397"/>
      <c r="Q6987" s="397"/>
      <c r="R6987" s="397"/>
      <c r="S6987" s="397"/>
      <c r="T6987" s="397"/>
      <c r="U6987" s="397"/>
      <c r="V6987" s="397"/>
      <c r="W6987" s="397"/>
      <c r="X6987" s="397"/>
      <c r="Y6987" s="397"/>
      <c r="Z6987" s="397"/>
      <c r="AD6987" s="388">
        <v>18.899999999999999</v>
      </c>
      <c r="AE6987" s="388"/>
      <c r="AF6987" s="388"/>
      <c r="AG6987" s="388"/>
      <c r="AH6987" s="391"/>
      <c r="AI6987" s="397"/>
      <c r="AJ6987" s="397"/>
      <c r="AU6987" s="397"/>
      <c r="AV6987" s="397"/>
      <c r="AW6987" s="397"/>
      <c r="AX6987" s="397"/>
      <c r="BI6987" s="397"/>
      <c r="BJ6987" s="397"/>
      <c r="BK6987" s="397"/>
      <c r="BL6987" s="397"/>
      <c r="BM6987" s="397"/>
      <c r="BN6987" s="397"/>
      <c r="BO6987" s="397"/>
      <c r="BP6987" s="397"/>
      <c r="BQ6987" s="397"/>
      <c r="BR6987" s="397"/>
      <c r="BS6987" s="397"/>
      <c r="BT6987" s="397"/>
      <c r="BU6987" s="397"/>
      <c r="BV6987" s="397"/>
      <c r="BW6987" s="397"/>
      <c r="BX6987" s="397"/>
      <c r="BY6987" s="397"/>
      <c r="BZ6987" s="397"/>
      <c r="CA6987" s="392" t="s">
        <v>413</v>
      </c>
    </row>
    <row r="6988" spans="1:79" s="392" customFormat="1" ht="15" x14ac:dyDescent="0.25">
      <c r="A6988" s="385"/>
      <c r="B6988" s="385"/>
      <c r="C6988" s="385"/>
      <c r="D6988" s="700"/>
      <c r="E6988" s="386"/>
      <c r="F6988" s="385"/>
      <c r="G6988" s="400"/>
      <c r="H6988" s="401">
        <v>3</v>
      </c>
      <c r="I6988" s="401"/>
      <c r="J6988" s="401"/>
      <c r="K6988" s="401"/>
      <c r="L6988" s="675"/>
      <c r="M6988" s="672">
        <v>28318</v>
      </c>
      <c r="N6988" s="623">
        <v>0.51572683479739301</v>
      </c>
      <c r="O6988" s="624">
        <v>2.8983333333333333E-2</v>
      </c>
      <c r="P6988" s="397"/>
      <c r="Q6988" s="397"/>
      <c r="R6988" s="397"/>
      <c r="S6988" s="397"/>
      <c r="T6988" s="397"/>
      <c r="U6988" s="397"/>
      <c r="V6988" s="397"/>
      <c r="W6988" s="397"/>
      <c r="X6988" s="397"/>
      <c r="Y6988" s="397"/>
      <c r="Z6988" s="397"/>
      <c r="AD6988" s="388">
        <v>18.5</v>
      </c>
      <c r="AE6988" s="388"/>
      <c r="AF6988" s="388"/>
      <c r="AG6988" s="388"/>
      <c r="AH6988" s="391"/>
      <c r="AI6988" s="397"/>
      <c r="AJ6988" s="397"/>
      <c r="AU6988" s="397"/>
      <c r="AV6988" s="397"/>
      <c r="AW6988" s="397"/>
      <c r="AX6988" s="397"/>
      <c r="BI6988" s="397"/>
      <c r="BJ6988" s="397"/>
      <c r="BK6988" s="397"/>
      <c r="BL6988" s="397"/>
      <c r="BM6988" s="397"/>
      <c r="BN6988" s="397"/>
      <c r="BO6988" s="397"/>
      <c r="BP6988" s="397"/>
      <c r="BQ6988" s="397"/>
      <c r="BR6988" s="397"/>
      <c r="BS6988" s="397"/>
      <c r="BT6988" s="397"/>
      <c r="BU6988" s="397"/>
      <c r="BV6988" s="397"/>
      <c r="BW6988" s="397"/>
      <c r="BX6988" s="397"/>
      <c r="BY6988" s="397"/>
      <c r="BZ6988" s="397"/>
      <c r="CA6988" s="392" t="s">
        <v>413</v>
      </c>
    </row>
    <row r="6989" spans="1:79" s="392" customFormat="1" ht="15" x14ac:dyDescent="0.25">
      <c r="A6989" s="385"/>
      <c r="B6989" s="385"/>
      <c r="C6989" s="385"/>
      <c r="D6989" s="700"/>
      <c r="E6989" s="386"/>
      <c r="F6989" s="385"/>
      <c r="G6989" s="400"/>
      <c r="H6989" s="401">
        <v>3</v>
      </c>
      <c r="I6989" s="401"/>
      <c r="J6989" s="401"/>
      <c r="K6989" s="401"/>
      <c r="L6989" s="675"/>
      <c r="M6989" s="672">
        <v>28324</v>
      </c>
      <c r="N6989" s="623">
        <v>0.7084159818645509</v>
      </c>
      <c r="O6989" s="624">
        <v>2.2806E-2</v>
      </c>
      <c r="P6989" s="397"/>
      <c r="Q6989" s="397"/>
      <c r="R6989" s="397"/>
      <c r="S6989" s="397"/>
      <c r="T6989" s="397"/>
      <c r="U6989" s="397"/>
      <c r="V6989" s="397"/>
      <c r="W6989" s="397"/>
      <c r="X6989" s="397"/>
      <c r="Y6989" s="397"/>
      <c r="Z6989" s="397"/>
      <c r="AD6989" s="388">
        <v>18.100000000000001</v>
      </c>
      <c r="AE6989" s="388"/>
      <c r="AF6989" s="388"/>
      <c r="AG6989" s="388"/>
      <c r="AH6989" s="391"/>
      <c r="AI6989" s="397"/>
      <c r="AJ6989" s="397"/>
      <c r="AU6989" s="397"/>
      <c r="AV6989" s="397"/>
      <c r="AW6989" s="397"/>
      <c r="AX6989" s="397"/>
      <c r="BI6989" s="397"/>
      <c r="BJ6989" s="397"/>
      <c r="BK6989" s="397"/>
      <c r="BL6989" s="397"/>
      <c r="BM6989" s="397"/>
      <c r="BN6989" s="397"/>
      <c r="BO6989" s="397"/>
      <c r="BP6989" s="397"/>
      <c r="BQ6989" s="397"/>
      <c r="BR6989" s="397"/>
      <c r="BS6989" s="397"/>
      <c r="BT6989" s="397"/>
      <c r="BU6989" s="397"/>
      <c r="BV6989" s="397"/>
      <c r="BW6989" s="397"/>
      <c r="BX6989" s="397"/>
      <c r="BY6989" s="397"/>
      <c r="BZ6989" s="397"/>
      <c r="CA6989" s="392" t="s">
        <v>413</v>
      </c>
    </row>
    <row r="6990" spans="1:79" s="392" customFormat="1" ht="15" x14ac:dyDescent="0.25">
      <c r="A6990" s="385"/>
      <c r="B6990" s="385"/>
      <c r="C6990" s="385"/>
      <c r="D6990" s="700"/>
      <c r="E6990" s="386"/>
      <c r="F6990" s="385"/>
      <c r="G6990" s="400"/>
      <c r="H6990" s="401">
        <v>3</v>
      </c>
      <c r="I6990" s="401"/>
      <c r="J6990" s="401"/>
      <c r="K6990" s="401"/>
      <c r="L6990" s="675"/>
      <c r="M6990" s="672">
        <v>28331</v>
      </c>
      <c r="N6990" s="623">
        <v>1.0484556531595353</v>
      </c>
      <c r="O6990" s="624">
        <v>4.4974666666666663E-2</v>
      </c>
      <c r="P6990" s="397"/>
      <c r="Q6990" s="397"/>
      <c r="R6990" s="397"/>
      <c r="S6990" s="397"/>
      <c r="T6990" s="397"/>
      <c r="U6990" s="397"/>
      <c r="V6990" s="397"/>
      <c r="W6990" s="397"/>
      <c r="X6990" s="397"/>
      <c r="Y6990" s="397"/>
      <c r="Z6990" s="397"/>
      <c r="AD6990" s="388">
        <v>17.8</v>
      </c>
      <c r="AE6990" s="388"/>
      <c r="AF6990" s="388"/>
      <c r="AG6990" s="388"/>
      <c r="AH6990" s="391"/>
      <c r="AI6990" s="397"/>
      <c r="AJ6990" s="397"/>
      <c r="AU6990" s="397"/>
      <c r="AV6990" s="397"/>
      <c r="AW6990" s="397"/>
      <c r="AX6990" s="397"/>
      <c r="BI6990" s="397"/>
      <c r="BJ6990" s="397"/>
      <c r="BK6990" s="397"/>
      <c r="BL6990" s="397"/>
      <c r="BM6990" s="397"/>
      <c r="BN6990" s="397"/>
      <c r="BO6990" s="397"/>
      <c r="BP6990" s="397"/>
      <c r="BQ6990" s="397"/>
      <c r="BR6990" s="397"/>
      <c r="BS6990" s="397"/>
      <c r="BT6990" s="397"/>
      <c r="BU6990" s="397"/>
      <c r="BV6990" s="397"/>
      <c r="BW6990" s="397"/>
      <c r="BX6990" s="397"/>
      <c r="BY6990" s="397"/>
      <c r="BZ6990" s="397"/>
      <c r="CA6990" s="392" t="s">
        <v>413</v>
      </c>
    </row>
    <row r="6991" spans="1:79" s="392" customFormat="1" ht="15" x14ac:dyDescent="0.25">
      <c r="A6991" s="385"/>
      <c r="B6991" s="385"/>
      <c r="C6991" s="385"/>
      <c r="D6991" s="700"/>
      <c r="E6991" s="386"/>
      <c r="F6991" s="385"/>
      <c r="G6991" s="400"/>
      <c r="H6991" s="401">
        <v>3</v>
      </c>
      <c r="I6991" s="401"/>
      <c r="J6991" s="401"/>
      <c r="K6991" s="401"/>
      <c r="L6991" s="675"/>
      <c r="M6991" s="672">
        <v>28338</v>
      </c>
      <c r="N6991" s="623">
        <v>0.39671294984414851</v>
      </c>
      <c r="O6991" s="624">
        <v>4.2919999999999998E-3</v>
      </c>
      <c r="P6991" s="397"/>
      <c r="Q6991" s="397"/>
      <c r="R6991" s="397"/>
      <c r="S6991" s="397"/>
      <c r="T6991" s="397"/>
      <c r="U6991" s="397"/>
      <c r="V6991" s="397"/>
      <c r="W6991" s="397"/>
      <c r="X6991" s="397"/>
      <c r="Y6991" s="397"/>
      <c r="Z6991" s="397"/>
      <c r="AD6991" s="388">
        <v>17.399999999999999</v>
      </c>
      <c r="AE6991" s="388"/>
      <c r="AF6991" s="388"/>
      <c r="AG6991" s="388"/>
      <c r="AH6991" s="391"/>
      <c r="AI6991" s="397"/>
      <c r="AJ6991" s="397"/>
      <c r="AU6991" s="397"/>
      <c r="AV6991" s="397"/>
      <c r="AW6991" s="397"/>
      <c r="AX6991" s="397"/>
      <c r="BI6991" s="397"/>
      <c r="BJ6991" s="397"/>
      <c r="BK6991" s="397"/>
      <c r="BL6991" s="397"/>
      <c r="BM6991" s="397"/>
      <c r="BN6991" s="397"/>
      <c r="BO6991" s="397"/>
      <c r="BP6991" s="397"/>
      <c r="BQ6991" s="397"/>
      <c r="BR6991" s="397"/>
      <c r="BS6991" s="397"/>
      <c r="BT6991" s="397"/>
      <c r="BU6991" s="397"/>
      <c r="BV6991" s="397"/>
      <c r="BW6991" s="397"/>
      <c r="BX6991" s="397"/>
      <c r="BY6991" s="397"/>
      <c r="BZ6991" s="397"/>
      <c r="CA6991" s="392" t="s">
        <v>413</v>
      </c>
    </row>
    <row r="6992" spans="1:79" s="392" customFormat="1" ht="15" x14ac:dyDescent="0.25">
      <c r="A6992" s="385"/>
      <c r="B6992" s="385"/>
      <c r="C6992" s="385"/>
      <c r="D6992" s="700"/>
      <c r="E6992" s="386"/>
      <c r="F6992" s="385"/>
      <c r="G6992" s="400"/>
      <c r="H6992" s="401">
        <v>3</v>
      </c>
      <c r="I6992" s="401"/>
      <c r="J6992" s="401"/>
      <c r="K6992" s="401"/>
      <c r="L6992" s="675"/>
      <c r="M6992" s="672">
        <v>28367</v>
      </c>
      <c r="N6992" s="623">
        <v>0.28336639274582037</v>
      </c>
      <c r="O6992" s="624">
        <v>3.2866666666666665E-3</v>
      </c>
      <c r="P6992" s="397"/>
      <c r="Q6992" s="397"/>
      <c r="R6992" s="397"/>
      <c r="S6992" s="397"/>
      <c r="T6992" s="397"/>
      <c r="U6992" s="397"/>
      <c r="V6992" s="397"/>
      <c r="W6992" s="397"/>
      <c r="X6992" s="397"/>
      <c r="Y6992" s="397"/>
      <c r="Z6992" s="397"/>
      <c r="AD6992" s="388">
        <v>17</v>
      </c>
      <c r="AE6992" s="388"/>
      <c r="AF6992" s="388"/>
      <c r="AG6992" s="388"/>
      <c r="AH6992" s="391"/>
      <c r="AI6992" s="397"/>
      <c r="AJ6992" s="397"/>
      <c r="AU6992" s="397"/>
      <c r="AV6992" s="397"/>
      <c r="AW6992" s="397"/>
      <c r="AX6992" s="397"/>
      <c r="BI6992" s="397"/>
      <c r="BJ6992" s="397"/>
      <c r="BK6992" s="397"/>
      <c r="BL6992" s="397"/>
      <c r="BM6992" s="397"/>
      <c r="BN6992" s="397"/>
      <c r="BO6992" s="397"/>
      <c r="BP6992" s="397"/>
      <c r="BQ6992" s="397"/>
      <c r="BR6992" s="397"/>
      <c r="BS6992" s="397"/>
      <c r="BT6992" s="397"/>
      <c r="BU6992" s="397"/>
      <c r="BV6992" s="397"/>
      <c r="BW6992" s="397"/>
      <c r="BX6992" s="397"/>
      <c r="BY6992" s="397"/>
      <c r="BZ6992" s="397"/>
      <c r="CA6992" s="392" t="s">
        <v>413</v>
      </c>
    </row>
    <row r="6993" spans="1:80" s="189" customFormat="1" ht="15" x14ac:dyDescent="0.25">
      <c r="A6993" s="381" t="s">
        <v>33</v>
      </c>
      <c r="B6993" s="641" t="s">
        <v>34</v>
      </c>
      <c r="C6993" s="639"/>
      <c r="D6993" s="4">
        <f>VLOOKUP(E6993,'Quality Code'!$D$4:$E$24,2,TRUE)*VLOOKUP(MROUND(F6993,10),'Quality Code'!$D$28:$E$69,2,TRUE)*VLOOKUP(COUNTA(CB6993:CB7003),'Quality Code'!$D$73:$E$93,2,TRUE)</f>
        <v>7.4999999999999997E-2</v>
      </c>
      <c r="E6993" s="14">
        <v>0.3</v>
      </c>
      <c r="F6993" s="2">
        <v>8</v>
      </c>
      <c r="G6993" s="12"/>
      <c r="H6993" s="2" t="s">
        <v>105</v>
      </c>
      <c r="I6993" s="2"/>
      <c r="J6993" s="2"/>
      <c r="K6993" s="2"/>
      <c r="L6993" s="639"/>
      <c r="M6993" s="640">
        <v>1977</v>
      </c>
      <c r="N6993" s="578" t="s">
        <v>110</v>
      </c>
      <c r="O6993" s="578"/>
      <c r="P6993" s="26"/>
      <c r="Q6993" s="26"/>
      <c r="R6993" s="26"/>
      <c r="S6993" s="26"/>
      <c r="T6993" s="26"/>
      <c r="U6993" s="26"/>
      <c r="V6993" s="10"/>
      <c r="W6993" s="10"/>
      <c r="X6993" s="10"/>
      <c r="Y6993" s="10"/>
      <c r="Z6993" s="2"/>
      <c r="AA6993" s="26"/>
      <c r="AB6993" s="26"/>
      <c r="AC6993" s="377">
        <v>9.8500000000000004E-2</v>
      </c>
      <c r="AD6993" s="406"/>
      <c r="AE6993" s="26"/>
      <c r="AF6993" s="26"/>
      <c r="AG6993" s="26"/>
      <c r="AH6993" s="26"/>
      <c r="AI6993" s="4"/>
      <c r="AJ6993" s="4"/>
      <c r="AK6993" s="26"/>
      <c r="AL6993" s="26"/>
      <c r="AM6993" s="26"/>
      <c r="AN6993" s="26"/>
      <c r="AO6993" s="26"/>
      <c r="AP6993" s="26"/>
      <c r="AQ6993" s="26"/>
      <c r="AR6993" s="26"/>
      <c r="AS6993" s="26"/>
      <c r="AT6993" s="26"/>
      <c r="AU6993" s="4"/>
      <c r="AV6993" s="4"/>
      <c r="AW6993" s="4"/>
      <c r="AX6993" s="4"/>
      <c r="AY6993" s="2"/>
      <c r="AZ6993" s="2"/>
      <c r="BA6993" s="12"/>
      <c r="BB6993" s="12"/>
      <c r="BC6993" s="12"/>
      <c r="BD6993" s="12"/>
      <c r="BE6993" s="12"/>
      <c r="BF6993" s="12"/>
      <c r="BG6993" s="12"/>
      <c r="BH6993" s="12"/>
      <c r="BI6993" s="4"/>
      <c r="BJ6993" s="12"/>
      <c r="BK6993" s="2"/>
      <c r="BL6993" s="2"/>
      <c r="BM6993" s="4"/>
      <c r="BN6993" s="12"/>
      <c r="BO6993" s="12"/>
      <c r="BP6993" s="12"/>
      <c r="BQ6993" s="4"/>
      <c r="BR6993" s="4"/>
      <c r="BS6993" s="4"/>
      <c r="BT6993" s="2"/>
      <c r="BU6993" s="9"/>
      <c r="BV6993" s="381"/>
      <c r="BW6993" s="382"/>
      <c r="BX6993" s="383"/>
      <c r="BY6993" s="383"/>
      <c r="BZ6993" s="383"/>
      <c r="CA6993" s="384" t="s">
        <v>413</v>
      </c>
      <c r="CB6993" s="411"/>
    </row>
    <row r="6994" spans="1:80" s="392" customFormat="1" ht="15" x14ac:dyDescent="0.25">
      <c r="A6994" s="385"/>
      <c r="B6994" s="385"/>
      <c r="C6994" s="385"/>
      <c r="D6994" s="700"/>
      <c r="E6994" s="386"/>
      <c r="F6994" s="385"/>
      <c r="G6994" s="400"/>
      <c r="H6994" s="401">
        <v>3</v>
      </c>
      <c r="I6994" s="401"/>
      <c r="J6994" s="401"/>
      <c r="K6994" s="401"/>
      <c r="L6994" s="675"/>
      <c r="M6994" s="672">
        <v>28250</v>
      </c>
      <c r="N6994" s="623">
        <v>2.5502975347123834E-2</v>
      </c>
      <c r="O6994" s="624">
        <v>0</v>
      </c>
      <c r="P6994" s="397"/>
      <c r="Q6994" s="397"/>
      <c r="R6994" s="397"/>
      <c r="S6994" s="397"/>
      <c r="T6994" s="397"/>
      <c r="U6994" s="397"/>
      <c r="V6994" s="397"/>
      <c r="W6994" s="397"/>
      <c r="X6994" s="397"/>
      <c r="Y6994" s="397"/>
      <c r="Z6994" s="397"/>
      <c r="AD6994" s="388"/>
      <c r="AE6994" s="388"/>
      <c r="AF6994" s="388"/>
      <c r="AG6994" s="388"/>
      <c r="AH6994" s="391"/>
      <c r="AI6994" s="397"/>
      <c r="AJ6994" s="397"/>
      <c r="AU6994" s="397"/>
      <c r="AV6994" s="397"/>
      <c r="AW6994" s="397"/>
      <c r="AX6994" s="397"/>
      <c r="BI6994" s="397"/>
      <c r="BJ6994" s="397"/>
      <c r="BK6994" s="397"/>
      <c r="BL6994" s="397"/>
      <c r="BM6994" s="397"/>
      <c r="BN6994" s="397"/>
      <c r="BO6994" s="397"/>
      <c r="BP6994" s="397"/>
      <c r="BQ6994" s="397"/>
      <c r="BR6994" s="397"/>
      <c r="BS6994" s="397"/>
      <c r="BT6994" s="397"/>
      <c r="BU6994" s="397"/>
      <c r="BV6994" s="397"/>
      <c r="BW6994" s="397"/>
      <c r="BX6994" s="397"/>
      <c r="BY6994" s="397"/>
      <c r="BZ6994" s="397"/>
      <c r="CA6994" s="392" t="s">
        <v>413</v>
      </c>
    </row>
    <row r="6995" spans="1:80" s="392" customFormat="1" ht="15" x14ac:dyDescent="0.25">
      <c r="A6995" s="385"/>
      <c r="B6995" s="385"/>
      <c r="C6995" s="385"/>
      <c r="D6995" s="700"/>
      <c r="E6995" s="386"/>
      <c r="F6995" s="385"/>
      <c r="G6995" s="400"/>
      <c r="H6995" s="401">
        <v>3</v>
      </c>
      <c r="I6995" s="401"/>
      <c r="J6995" s="401"/>
      <c r="K6995" s="401"/>
      <c r="L6995" s="675"/>
      <c r="M6995" s="672">
        <v>28256</v>
      </c>
      <c r="N6995" s="623">
        <v>0.11051289317086993</v>
      </c>
      <c r="O6995" s="624" t="s">
        <v>71</v>
      </c>
      <c r="P6995" s="397"/>
      <c r="Q6995" s="397"/>
      <c r="R6995" s="397"/>
      <c r="S6995" s="397"/>
      <c r="T6995" s="397"/>
      <c r="U6995" s="397"/>
      <c r="V6995" s="397"/>
      <c r="W6995" s="397"/>
      <c r="X6995" s="397"/>
      <c r="Y6995" s="397"/>
      <c r="Z6995" s="397"/>
      <c r="AD6995" s="388"/>
      <c r="AE6995" s="388"/>
      <c r="AF6995" s="388"/>
      <c r="AG6995" s="388"/>
      <c r="AH6995" s="391"/>
      <c r="AI6995" s="397"/>
      <c r="AJ6995" s="397"/>
      <c r="AU6995" s="397"/>
      <c r="AV6995" s="397"/>
      <c r="AW6995" s="397"/>
      <c r="AX6995" s="397"/>
      <c r="BI6995" s="397"/>
      <c r="BJ6995" s="397"/>
      <c r="BK6995" s="397"/>
      <c r="BL6995" s="397"/>
      <c r="BM6995" s="397"/>
      <c r="BN6995" s="397"/>
      <c r="BO6995" s="397"/>
      <c r="BP6995" s="397"/>
      <c r="BQ6995" s="397"/>
      <c r="BR6995" s="397"/>
      <c r="BS6995" s="397"/>
      <c r="BT6995" s="397"/>
      <c r="BU6995" s="397"/>
      <c r="BV6995" s="397"/>
      <c r="BW6995" s="397"/>
      <c r="BX6995" s="397"/>
      <c r="BY6995" s="397"/>
      <c r="BZ6995" s="397"/>
      <c r="CA6995" s="392" t="s">
        <v>413</v>
      </c>
    </row>
    <row r="6996" spans="1:80" s="392" customFormat="1" ht="15" x14ac:dyDescent="0.25">
      <c r="A6996" s="385"/>
      <c r="B6996" s="385"/>
      <c r="C6996" s="385"/>
      <c r="D6996" s="700"/>
      <c r="E6996" s="386"/>
      <c r="F6996" s="385"/>
      <c r="G6996" s="400"/>
      <c r="H6996" s="401">
        <v>3</v>
      </c>
      <c r="I6996" s="401"/>
      <c r="J6996" s="401"/>
      <c r="K6996" s="401"/>
      <c r="L6996" s="675"/>
      <c r="M6996" s="672">
        <v>28261</v>
      </c>
      <c r="N6996" s="623">
        <v>6.2340606404080484E-2</v>
      </c>
      <c r="O6996" s="624" t="s">
        <v>71</v>
      </c>
      <c r="P6996" s="397"/>
      <c r="Q6996" s="397"/>
      <c r="R6996" s="397"/>
      <c r="S6996" s="397"/>
      <c r="T6996" s="397"/>
      <c r="U6996" s="397"/>
      <c r="V6996" s="397"/>
      <c r="W6996" s="397"/>
      <c r="X6996" s="397"/>
      <c r="Y6996" s="397"/>
      <c r="Z6996" s="397"/>
      <c r="AD6996" s="388"/>
      <c r="AE6996" s="388"/>
      <c r="AF6996" s="388"/>
      <c r="AG6996" s="388"/>
      <c r="AH6996" s="391"/>
      <c r="AI6996" s="397"/>
      <c r="AJ6996" s="397"/>
      <c r="AU6996" s="397"/>
      <c r="AV6996" s="397"/>
      <c r="AW6996" s="397"/>
      <c r="AX6996" s="397"/>
      <c r="BI6996" s="397"/>
      <c r="BJ6996" s="397"/>
      <c r="BK6996" s="397"/>
      <c r="BL6996" s="397"/>
      <c r="BM6996" s="397"/>
      <c r="BN6996" s="397"/>
      <c r="BO6996" s="397"/>
      <c r="BP6996" s="397"/>
      <c r="BQ6996" s="397"/>
      <c r="BR6996" s="397"/>
      <c r="BS6996" s="397"/>
      <c r="BT6996" s="397"/>
      <c r="BU6996" s="397"/>
      <c r="BV6996" s="397"/>
      <c r="BW6996" s="397"/>
      <c r="BX6996" s="397"/>
      <c r="BY6996" s="397"/>
      <c r="BZ6996" s="397"/>
      <c r="CA6996" s="392" t="s">
        <v>413</v>
      </c>
    </row>
    <row r="6997" spans="1:80" s="392" customFormat="1" ht="15" x14ac:dyDescent="0.25">
      <c r="A6997" s="385"/>
      <c r="B6997" s="385"/>
      <c r="C6997" s="385"/>
      <c r="D6997" s="700"/>
      <c r="E6997" s="386"/>
      <c r="F6997" s="385"/>
      <c r="G6997" s="400"/>
      <c r="H6997" s="401">
        <v>3</v>
      </c>
      <c r="I6997" s="401"/>
      <c r="J6997" s="401"/>
      <c r="K6997" s="401"/>
      <c r="L6997" s="675"/>
      <c r="M6997" s="672">
        <v>28268</v>
      </c>
      <c r="N6997" s="623">
        <v>6.2340606404080484E-2</v>
      </c>
      <c r="O6997" s="624" t="s">
        <v>71</v>
      </c>
      <c r="P6997" s="397"/>
      <c r="Q6997" s="397"/>
      <c r="R6997" s="397"/>
      <c r="S6997" s="397"/>
      <c r="T6997" s="397"/>
      <c r="U6997" s="397"/>
      <c r="V6997" s="397"/>
      <c r="W6997" s="397"/>
      <c r="X6997" s="397"/>
      <c r="Y6997" s="397"/>
      <c r="Z6997" s="397"/>
      <c r="AD6997" s="388"/>
      <c r="AE6997" s="388"/>
      <c r="AF6997" s="388"/>
      <c r="AG6997" s="388"/>
      <c r="AH6997" s="391"/>
      <c r="AI6997" s="397"/>
      <c r="AJ6997" s="397"/>
      <c r="AU6997" s="397"/>
      <c r="AV6997" s="397"/>
      <c r="AW6997" s="397"/>
      <c r="AX6997" s="397"/>
      <c r="BI6997" s="397"/>
      <c r="BJ6997" s="397"/>
      <c r="BK6997" s="397"/>
      <c r="BL6997" s="397"/>
      <c r="BM6997" s="397"/>
      <c r="BN6997" s="397"/>
      <c r="BO6997" s="397"/>
      <c r="BP6997" s="397"/>
      <c r="BQ6997" s="397"/>
      <c r="BR6997" s="397"/>
      <c r="BS6997" s="397"/>
      <c r="BT6997" s="397"/>
      <c r="BU6997" s="397"/>
      <c r="BV6997" s="397"/>
      <c r="BW6997" s="397"/>
      <c r="BX6997" s="397"/>
      <c r="BY6997" s="397"/>
      <c r="BZ6997" s="397"/>
      <c r="CA6997" s="392" t="s">
        <v>413</v>
      </c>
    </row>
    <row r="6998" spans="1:80" s="392" customFormat="1" ht="15" x14ac:dyDescent="0.25">
      <c r="A6998" s="385"/>
      <c r="B6998" s="385"/>
      <c r="C6998" s="385"/>
      <c r="D6998" s="700"/>
      <c r="E6998" s="386"/>
      <c r="F6998" s="385"/>
      <c r="G6998" s="400"/>
      <c r="H6998" s="401">
        <v>3</v>
      </c>
      <c r="I6998" s="401"/>
      <c r="J6998" s="401"/>
      <c r="K6998" s="401"/>
      <c r="L6998" s="675"/>
      <c r="M6998" s="672">
        <v>28275</v>
      </c>
      <c r="N6998" s="623">
        <v>0.10484556531595353</v>
      </c>
      <c r="O6998" s="624" t="s">
        <v>71</v>
      </c>
      <c r="P6998" s="397"/>
      <c r="Q6998" s="397"/>
      <c r="R6998" s="397"/>
      <c r="S6998" s="397"/>
      <c r="T6998" s="397"/>
      <c r="U6998" s="397"/>
      <c r="V6998" s="397"/>
      <c r="W6998" s="397"/>
      <c r="X6998" s="397"/>
      <c r="Y6998" s="397"/>
      <c r="Z6998" s="397"/>
      <c r="AD6998" s="388">
        <v>12</v>
      </c>
      <c r="AE6998" s="388"/>
      <c r="AF6998" s="388"/>
      <c r="AG6998" s="388"/>
      <c r="AH6998" s="391"/>
      <c r="AI6998" s="397"/>
      <c r="AJ6998" s="397"/>
      <c r="AU6998" s="397"/>
      <c r="AV6998" s="397"/>
      <c r="AW6998" s="397"/>
      <c r="AX6998" s="397"/>
      <c r="BI6998" s="397"/>
      <c r="BJ6998" s="397"/>
      <c r="BK6998" s="397"/>
      <c r="BL6998" s="397"/>
      <c r="BM6998" s="397"/>
      <c r="BN6998" s="397"/>
      <c r="BO6998" s="397"/>
      <c r="BP6998" s="397"/>
      <c r="BQ6998" s="397"/>
      <c r="BR6998" s="397"/>
      <c r="BS6998" s="397"/>
      <c r="BT6998" s="397"/>
      <c r="BU6998" s="397"/>
      <c r="BV6998" s="397"/>
      <c r="BW6998" s="397"/>
      <c r="BX6998" s="397"/>
      <c r="BY6998" s="397"/>
      <c r="BZ6998" s="397"/>
      <c r="CA6998" s="392" t="s">
        <v>413</v>
      </c>
    </row>
    <row r="6999" spans="1:80" s="392" customFormat="1" ht="15" x14ac:dyDescent="0.25">
      <c r="A6999" s="385"/>
      <c r="B6999" s="385"/>
      <c r="C6999" s="385"/>
      <c r="D6999" s="700"/>
      <c r="E6999" s="386"/>
      <c r="F6999" s="385"/>
      <c r="G6999" s="400"/>
      <c r="H6999" s="401">
        <v>3</v>
      </c>
      <c r="I6999" s="401"/>
      <c r="J6999" s="401"/>
      <c r="K6999" s="401"/>
      <c r="L6999" s="675"/>
      <c r="M6999" s="672">
        <v>28282</v>
      </c>
      <c r="N6999" s="623">
        <v>0.43071691697364689</v>
      </c>
      <c r="O6999" s="624">
        <v>8.2133333333333329E-3</v>
      </c>
      <c r="P6999" s="397"/>
      <c r="Q6999" s="397"/>
      <c r="R6999" s="397"/>
      <c r="S6999" s="397"/>
      <c r="T6999" s="397"/>
      <c r="U6999" s="397"/>
      <c r="V6999" s="397"/>
      <c r="W6999" s="397"/>
      <c r="X6999" s="397"/>
      <c r="Y6999" s="397"/>
      <c r="Z6999" s="397"/>
      <c r="AD6999" s="388">
        <v>16</v>
      </c>
      <c r="AE6999" s="388"/>
      <c r="AF6999" s="388"/>
      <c r="AG6999" s="388"/>
      <c r="AH6999" s="391"/>
      <c r="AI6999" s="397"/>
      <c r="AJ6999" s="397"/>
      <c r="AU6999" s="397"/>
      <c r="AV6999" s="397"/>
      <c r="AW6999" s="397"/>
      <c r="AX6999" s="397"/>
      <c r="BI6999" s="397"/>
      <c r="BJ6999" s="397"/>
      <c r="BK6999" s="397"/>
      <c r="BL6999" s="397"/>
      <c r="BM6999" s="397"/>
      <c r="BN6999" s="397"/>
      <c r="BO6999" s="397"/>
      <c r="BP6999" s="397"/>
      <c r="BQ6999" s="397"/>
      <c r="BR6999" s="397"/>
      <c r="BS6999" s="397"/>
      <c r="BT6999" s="397"/>
      <c r="BU6999" s="397"/>
      <c r="BV6999" s="397"/>
      <c r="BW6999" s="397"/>
      <c r="BX6999" s="397"/>
      <c r="BY6999" s="397"/>
      <c r="BZ6999" s="397"/>
      <c r="CA6999" s="392" t="s">
        <v>413</v>
      </c>
    </row>
    <row r="7000" spans="1:80" s="392" customFormat="1" ht="15" x14ac:dyDescent="0.25">
      <c r="A7000" s="385"/>
      <c r="B7000" s="385"/>
      <c r="C7000" s="385"/>
      <c r="D7000" s="700"/>
      <c r="E7000" s="386"/>
      <c r="F7000" s="385"/>
      <c r="G7000" s="400"/>
      <c r="H7000" s="401">
        <v>3</v>
      </c>
      <c r="I7000" s="401"/>
      <c r="J7000" s="401"/>
      <c r="K7000" s="401"/>
      <c r="L7000" s="675"/>
      <c r="M7000" s="672">
        <v>28287</v>
      </c>
      <c r="N7000" s="623">
        <v>0.34570699914990083</v>
      </c>
      <c r="O7000" s="624">
        <v>1.3013333333333332E-2</v>
      </c>
      <c r="P7000" s="397"/>
      <c r="Q7000" s="397"/>
      <c r="R7000" s="397"/>
      <c r="S7000" s="397"/>
      <c r="T7000" s="397"/>
      <c r="U7000" s="397"/>
      <c r="V7000" s="397"/>
      <c r="W7000" s="397"/>
      <c r="X7000" s="397"/>
      <c r="Y7000" s="397"/>
      <c r="Z7000" s="397"/>
      <c r="AD7000" s="388">
        <v>16</v>
      </c>
      <c r="AE7000" s="388"/>
      <c r="AF7000" s="388"/>
      <c r="AG7000" s="388"/>
      <c r="AH7000" s="391"/>
      <c r="AI7000" s="397"/>
      <c r="AJ7000" s="397"/>
      <c r="AU7000" s="397"/>
      <c r="AV7000" s="397"/>
      <c r="AW7000" s="397"/>
      <c r="AX7000" s="397"/>
      <c r="BI7000" s="397"/>
      <c r="BJ7000" s="397"/>
      <c r="BK7000" s="397"/>
      <c r="BL7000" s="397"/>
      <c r="BM7000" s="397"/>
      <c r="BN7000" s="397"/>
      <c r="BO7000" s="397"/>
      <c r="BP7000" s="397"/>
      <c r="BQ7000" s="397"/>
      <c r="BR7000" s="397"/>
      <c r="BS7000" s="397"/>
      <c r="BT7000" s="397"/>
      <c r="BU7000" s="397"/>
      <c r="BV7000" s="397"/>
      <c r="BW7000" s="397"/>
      <c r="BX7000" s="397"/>
      <c r="BY7000" s="397"/>
      <c r="BZ7000" s="397"/>
      <c r="CA7000" s="392" t="s">
        <v>413</v>
      </c>
    </row>
    <row r="7001" spans="1:80" s="392" customFormat="1" ht="15" x14ac:dyDescent="0.25">
      <c r="A7001" s="385"/>
      <c r="B7001" s="385"/>
      <c r="C7001" s="385"/>
      <c r="D7001" s="700"/>
      <c r="E7001" s="386"/>
      <c r="F7001" s="385"/>
      <c r="G7001" s="400"/>
      <c r="H7001" s="401">
        <v>3</v>
      </c>
      <c r="I7001" s="401"/>
      <c r="J7001" s="401"/>
      <c r="K7001" s="401"/>
      <c r="L7001" s="675"/>
      <c r="M7001" s="672">
        <v>28291</v>
      </c>
      <c r="N7001" s="623">
        <v>0.23802776990648911</v>
      </c>
      <c r="O7001" s="624">
        <v>2.8E-3</v>
      </c>
      <c r="P7001" s="397"/>
      <c r="Q7001" s="397"/>
      <c r="R7001" s="397"/>
      <c r="S7001" s="397"/>
      <c r="T7001" s="397"/>
      <c r="U7001" s="397"/>
      <c r="V7001" s="397"/>
      <c r="W7001" s="397"/>
      <c r="X7001" s="397"/>
      <c r="Y7001" s="397"/>
      <c r="Z7001" s="397"/>
      <c r="AD7001" s="388">
        <v>15</v>
      </c>
      <c r="AE7001" s="388"/>
      <c r="AF7001" s="388"/>
      <c r="AG7001" s="388"/>
      <c r="AH7001" s="391"/>
      <c r="AI7001" s="397"/>
      <c r="AJ7001" s="397"/>
      <c r="AU7001" s="397"/>
      <c r="AV7001" s="397"/>
      <c r="AW7001" s="397"/>
      <c r="AX7001" s="397"/>
      <c r="BI7001" s="397"/>
      <c r="BJ7001" s="397"/>
      <c r="BK7001" s="397"/>
      <c r="BL7001" s="397"/>
      <c r="BM7001" s="397"/>
      <c r="BN7001" s="397"/>
      <c r="BO7001" s="397"/>
      <c r="BP7001" s="397"/>
      <c r="BQ7001" s="397"/>
      <c r="BR7001" s="397"/>
      <c r="BS7001" s="397"/>
      <c r="BT7001" s="397"/>
      <c r="BU7001" s="397"/>
      <c r="BV7001" s="397"/>
      <c r="BW7001" s="397"/>
      <c r="BX7001" s="397"/>
      <c r="BY7001" s="397"/>
      <c r="BZ7001" s="397"/>
      <c r="CA7001" s="392" t="s">
        <v>413</v>
      </c>
    </row>
    <row r="7002" spans="1:80" s="392" customFormat="1" ht="15" x14ac:dyDescent="0.25">
      <c r="A7002" s="385"/>
      <c r="B7002" s="385"/>
      <c r="C7002" s="385"/>
      <c r="D7002" s="700"/>
      <c r="E7002" s="386"/>
      <c r="F7002" s="385"/>
      <c r="G7002" s="400"/>
      <c r="H7002" s="401">
        <v>3</v>
      </c>
      <c r="I7002" s="401"/>
      <c r="J7002" s="401"/>
      <c r="K7002" s="401"/>
      <c r="L7002" s="675"/>
      <c r="M7002" s="672">
        <v>28294</v>
      </c>
      <c r="N7002" s="623">
        <v>0.20685746670444885</v>
      </c>
      <c r="O7002" s="624">
        <v>3.5466666666666659E-3</v>
      </c>
      <c r="P7002" s="397"/>
      <c r="Q7002" s="397"/>
      <c r="R7002" s="397"/>
      <c r="S7002" s="397"/>
      <c r="T7002" s="397"/>
      <c r="U7002" s="397"/>
      <c r="V7002" s="397"/>
      <c r="W7002" s="397"/>
      <c r="X7002" s="397"/>
      <c r="Y7002" s="397"/>
      <c r="Z7002" s="397"/>
      <c r="AD7002" s="388">
        <v>14</v>
      </c>
      <c r="AE7002" s="388"/>
      <c r="AF7002" s="388"/>
      <c r="AG7002" s="388"/>
      <c r="AH7002" s="391"/>
      <c r="AI7002" s="397"/>
      <c r="AJ7002" s="397"/>
      <c r="AU7002" s="397"/>
      <c r="AV7002" s="397"/>
      <c r="AW7002" s="397"/>
      <c r="AX7002" s="397"/>
      <c r="BI7002" s="397"/>
      <c r="BJ7002" s="397"/>
      <c r="BK7002" s="397"/>
      <c r="BL7002" s="397"/>
      <c r="BM7002" s="397"/>
      <c r="BN7002" s="397"/>
      <c r="BO7002" s="397"/>
      <c r="BP7002" s="397"/>
      <c r="BQ7002" s="397"/>
      <c r="BR7002" s="397"/>
      <c r="BS7002" s="397"/>
      <c r="BT7002" s="397"/>
      <c r="BU7002" s="397"/>
      <c r="BV7002" s="397"/>
      <c r="BW7002" s="397"/>
      <c r="BX7002" s="397"/>
      <c r="BY7002" s="397"/>
      <c r="BZ7002" s="397"/>
      <c r="CA7002" s="392" t="s">
        <v>413</v>
      </c>
    </row>
    <row r="7003" spans="1:80" s="392" customFormat="1" ht="15" x14ac:dyDescent="0.25">
      <c r="A7003" s="385"/>
      <c r="B7003" s="385"/>
      <c r="C7003" s="385"/>
      <c r="D7003" s="700"/>
      <c r="E7003" s="386"/>
      <c r="F7003" s="385"/>
      <c r="G7003" s="400"/>
      <c r="H7003" s="401">
        <v>3</v>
      </c>
      <c r="I7003" s="401"/>
      <c r="J7003" s="401"/>
      <c r="K7003" s="401"/>
      <c r="L7003" s="675"/>
      <c r="M7003" s="672">
        <v>28301</v>
      </c>
      <c r="N7003" s="623">
        <v>0.13318220459053556</v>
      </c>
      <c r="O7003" s="624">
        <v>2.1666666666666666E-3</v>
      </c>
      <c r="P7003" s="397"/>
      <c r="Q7003" s="397"/>
      <c r="R7003" s="397"/>
      <c r="S7003" s="397"/>
      <c r="T7003" s="397"/>
      <c r="U7003" s="397"/>
      <c r="V7003" s="397"/>
      <c r="W7003" s="397"/>
      <c r="X7003" s="397"/>
      <c r="Y7003" s="397"/>
      <c r="Z7003" s="397"/>
      <c r="AD7003" s="388">
        <v>13</v>
      </c>
      <c r="AE7003" s="388"/>
      <c r="AF7003" s="388"/>
      <c r="AG7003" s="388"/>
      <c r="AH7003" s="391"/>
      <c r="AI7003" s="397"/>
      <c r="AJ7003" s="397"/>
      <c r="AU7003" s="397"/>
      <c r="AV7003" s="397"/>
      <c r="AW7003" s="397"/>
      <c r="AX7003" s="397"/>
      <c r="BI7003" s="397"/>
      <c r="BJ7003" s="397"/>
      <c r="BK7003" s="397"/>
      <c r="BL7003" s="397"/>
      <c r="BM7003" s="397"/>
      <c r="BN7003" s="397"/>
      <c r="BO7003" s="397"/>
      <c r="BP7003" s="397"/>
      <c r="BQ7003" s="397"/>
      <c r="BR7003" s="397"/>
      <c r="BS7003" s="397"/>
      <c r="BT7003" s="397"/>
      <c r="BU7003" s="397"/>
      <c r="BV7003" s="397"/>
      <c r="BW7003" s="397"/>
      <c r="BX7003" s="397"/>
      <c r="BY7003" s="397"/>
      <c r="BZ7003" s="397"/>
      <c r="CA7003" s="392" t="s">
        <v>413</v>
      </c>
    </row>
    <row r="7004" spans="1:80" s="392" customFormat="1" ht="15" x14ac:dyDescent="0.25">
      <c r="A7004" s="385"/>
      <c r="B7004" s="385"/>
      <c r="C7004" s="385"/>
      <c r="D7004" s="700"/>
      <c r="E7004" s="386"/>
      <c r="F7004" s="385"/>
      <c r="G7004" s="400"/>
      <c r="H7004" s="401">
        <v>3</v>
      </c>
      <c r="I7004" s="401"/>
      <c r="J7004" s="401"/>
      <c r="K7004" s="401"/>
      <c r="L7004" s="675"/>
      <c r="M7004" s="672">
        <v>28304</v>
      </c>
      <c r="N7004" s="623">
        <v>0.12609804477189007</v>
      </c>
      <c r="O7004" s="624">
        <v>3.1199999999999999E-3</v>
      </c>
      <c r="P7004" s="397"/>
      <c r="Q7004" s="397"/>
      <c r="R7004" s="397"/>
      <c r="S7004" s="397"/>
      <c r="T7004" s="397"/>
      <c r="U7004" s="397"/>
      <c r="V7004" s="397"/>
      <c r="W7004" s="397"/>
      <c r="X7004" s="397"/>
      <c r="Y7004" s="397"/>
      <c r="Z7004" s="397"/>
      <c r="AD7004" s="388">
        <v>13</v>
      </c>
      <c r="AE7004" s="388"/>
      <c r="AF7004" s="388"/>
      <c r="AG7004" s="388"/>
      <c r="AH7004" s="391"/>
      <c r="AI7004" s="397"/>
      <c r="AJ7004" s="397"/>
      <c r="AU7004" s="397"/>
      <c r="AV7004" s="397"/>
      <c r="AW7004" s="397"/>
      <c r="AX7004" s="397"/>
      <c r="BI7004" s="397"/>
      <c r="BJ7004" s="397"/>
      <c r="BK7004" s="397"/>
      <c r="BL7004" s="397"/>
      <c r="BM7004" s="397"/>
      <c r="BN7004" s="397"/>
      <c r="BO7004" s="397"/>
      <c r="BP7004" s="397"/>
      <c r="BQ7004" s="397"/>
      <c r="BR7004" s="397"/>
      <c r="BS7004" s="397"/>
      <c r="BT7004" s="397"/>
      <c r="BU7004" s="397"/>
      <c r="BV7004" s="397"/>
      <c r="BW7004" s="397"/>
      <c r="BX7004" s="397"/>
      <c r="BY7004" s="397"/>
      <c r="BZ7004" s="397"/>
      <c r="CA7004" s="392" t="s">
        <v>413</v>
      </c>
    </row>
    <row r="7005" spans="1:80" s="392" customFormat="1" ht="15" x14ac:dyDescent="0.25">
      <c r="A7005" s="385"/>
      <c r="B7005" s="385"/>
      <c r="C7005" s="385"/>
      <c r="D7005" s="700"/>
      <c r="E7005" s="386"/>
      <c r="F7005" s="385"/>
      <c r="G7005" s="400"/>
      <c r="H7005" s="401">
        <v>3</v>
      </c>
      <c r="I7005" s="401"/>
      <c r="J7005" s="401"/>
      <c r="K7005" s="401"/>
      <c r="L7005" s="675"/>
      <c r="M7005" s="672">
        <v>28310</v>
      </c>
      <c r="N7005" s="623">
        <v>0.10342873335222443</v>
      </c>
      <c r="O7005" s="624">
        <v>9.5999999999999992E-4</v>
      </c>
      <c r="P7005" s="397"/>
      <c r="Q7005" s="397"/>
      <c r="R7005" s="397"/>
      <c r="S7005" s="397"/>
      <c r="T7005" s="397"/>
      <c r="U7005" s="397"/>
      <c r="V7005" s="397"/>
      <c r="W7005" s="397"/>
      <c r="X7005" s="397"/>
      <c r="Y7005" s="397"/>
      <c r="Z7005" s="397"/>
      <c r="AD7005" s="388">
        <v>12</v>
      </c>
      <c r="AE7005" s="388"/>
      <c r="AF7005" s="388"/>
      <c r="AG7005" s="388"/>
      <c r="AH7005" s="391"/>
      <c r="AI7005" s="397"/>
      <c r="AJ7005" s="397"/>
      <c r="AU7005" s="397"/>
      <c r="AV7005" s="397"/>
      <c r="AW7005" s="397"/>
      <c r="AX7005" s="397"/>
      <c r="BI7005" s="397"/>
      <c r="BJ7005" s="397"/>
      <c r="BK7005" s="397"/>
      <c r="BL7005" s="397"/>
      <c r="BM7005" s="397"/>
      <c r="BN7005" s="397"/>
      <c r="BO7005" s="397"/>
      <c r="BP7005" s="397"/>
      <c r="BQ7005" s="397"/>
      <c r="BR7005" s="397"/>
      <c r="BS7005" s="397"/>
      <c r="BT7005" s="397"/>
      <c r="BU7005" s="397"/>
      <c r="BV7005" s="397"/>
      <c r="BW7005" s="397"/>
      <c r="BX7005" s="397"/>
      <c r="BY7005" s="397"/>
      <c r="BZ7005" s="397"/>
      <c r="CA7005" s="392" t="s">
        <v>413</v>
      </c>
    </row>
    <row r="7006" spans="1:80" s="392" customFormat="1" ht="15" x14ac:dyDescent="0.25">
      <c r="A7006" s="385"/>
      <c r="B7006" s="385"/>
      <c r="C7006" s="385"/>
      <c r="D7006" s="700"/>
      <c r="E7006" s="386"/>
      <c r="F7006" s="385"/>
      <c r="G7006" s="400"/>
      <c r="H7006" s="401">
        <v>3</v>
      </c>
      <c r="I7006" s="401"/>
      <c r="J7006" s="401"/>
      <c r="K7006" s="401"/>
      <c r="L7006" s="675"/>
      <c r="M7006" s="672">
        <v>28318</v>
      </c>
      <c r="N7006" s="623">
        <v>7.3108529328421656E-2</v>
      </c>
      <c r="O7006" s="624" t="s">
        <v>71</v>
      </c>
      <c r="P7006" s="397"/>
      <c r="Q7006" s="397"/>
      <c r="R7006" s="397"/>
      <c r="S7006" s="397"/>
      <c r="T7006" s="397"/>
      <c r="U7006" s="397"/>
      <c r="V7006" s="397"/>
      <c r="W7006" s="397"/>
      <c r="X7006" s="397"/>
      <c r="Y7006" s="397"/>
      <c r="Z7006" s="397"/>
      <c r="AD7006" s="388"/>
      <c r="AE7006" s="388"/>
      <c r="AF7006" s="388"/>
      <c r="AG7006" s="388"/>
      <c r="AH7006" s="391"/>
      <c r="AI7006" s="397"/>
      <c r="AJ7006" s="397"/>
      <c r="AU7006" s="397"/>
      <c r="AV7006" s="397"/>
      <c r="AW7006" s="397"/>
      <c r="AX7006" s="397"/>
      <c r="BI7006" s="397"/>
      <c r="BJ7006" s="397"/>
      <c r="BK7006" s="397"/>
      <c r="BL7006" s="397"/>
      <c r="BM7006" s="397"/>
      <c r="BN7006" s="397"/>
      <c r="BO7006" s="397"/>
      <c r="BP7006" s="397"/>
      <c r="BQ7006" s="397"/>
      <c r="BR7006" s="397"/>
      <c r="BS7006" s="397"/>
      <c r="BT7006" s="397"/>
      <c r="BU7006" s="397"/>
      <c r="BV7006" s="397"/>
      <c r="BW7006" s="397"/>
      <c r="BX7006" s="397"/>
      <c r="BY7006" s="397"/>
      <c r="BZ7006" s="397"/>
      <c r="CA7006" s="392" t="s">
        <v>413</v>
      </c>
    </row>
    <row r="7007" spans="1:80" s="392" customFormat="1" ht="15" x14ac:dyDescent="0.25">
      <c r="A7007" s="385"/>
      <c r="B7007" s="385"/>
      <c r="C7007" s="385"/>
      <c r="D7007" s="700"/>
      <c r="E7007" s="386"/>
      <c r="F7007" s="385"/>
      <c r="G7007" s="400"/>
      <c r="H7007" s="401">
        <v>3</v>
      </c>
      <c r="I7007" s="401"/>
      <c r="J7007" s="401"/>
      <c r="K7007" s="401"/>
      <c r="L7007" s="675"/>
      <c r="M7007" s="672">
        <v>28324</v>
      </c>
      <c r="N7007" s="623">
        <v>6.8858033437234345E-2</v>
      </c>
      <c r="O7007" s="624" t="s">
        <v>71</v>
      </c>
      <c r="P7007" s="397"/>
      <c r="Q7007" s="397"/>
      <c r="R7007" s="397"/>
      <c r="S7007" s="397"/>
      <c r="T7007" s="397"/>
      <c r="U7007" s="397"/>
      <c r="V7007" s="397"/>
      <c r="W7007" s="397"/>
      <c r="X7007" s="397"/>
      <c r="Y7007" s="397"/>
      <c r="Z7007" s="397"/>
      <c r="AD7007" s="388"/>
      <c r="AE7007" s="388"/>
      <c r="AF7007" s="388"/>
      <c r="AG7007" s="388"/>
      <c r="AH7007" s="391"/>
      <c r="AI7007" s="397"/>
      <c r="AJ7007" s="397"/>
      <c r="AU7007" s="397"/>
      <c r="AV7007" s="397"/>
      <c r="AW7007" s="397"/>
      <c r="AX7007" s="397"/>
      <c r="BI7007" s="397"/>
      <c r="BJ7007" s="397"/>
      <c r="BK7007" s="397"/>
      <c r="BL7007" s="397"/>
      <c r="BM7007" s="397"/>
      <c r="BN7007" s="397"/>
      <c r="BO7007" s="397"/>
      <c r="BP7007" s="397"/>
      <c r="BQ7007" s="397"/>
      <c r="BR7007" s="397"/>
      <c r="BS7007" s="397"/>
      <c r="BT7007" s="397"/>
      <c r="BU7007" s="397"/>
      <c r="BV7007" s="397"/>
      <c r="BW7007" s="397"/>
      <c r="BX7007" s="397"/>
      <c r="BY7007" s="397"/>
      <c r="BZ7007" s="397"/>
      <c r="CA7007" s="392" t="s">
        <v>413</v>
      </c>
    </row>
    <row r="7008" spans="1:80" s="392" customFormat="1" ht="15" x14ac:dyDescent="0.25">
      <c r="A7008" s="385"/>
      <c r="B7008" s="385"/>
      <c r="C7008" s="385"/>
      <c r="D7008" s="700"/>
      <c r="E7008" s="386"/>
      <c r="F7008" s="385"/>
      <c r="G7008" s="400"/>
      <c r="H7008" s="401">
        <v>3</v>
      </c>
      <c r="I7008" s="401"/>
      <c r="J7008" s="401"/>
      <c r="K7008" s="401"/>
      <c r="L7008" s="675"/>
      <c r="M7008" s="672">
        <v>28331</v>
      </c>
      <c r="N7008" s="623">
        <v>0.10909606120714084</v>
      </c>
      <c r="O7008" s="624">
        <v>1.7600000000000001E-3</v>
      </c>
      <c r="P7008" s="397"/>
      <c r="Q7008" s="397"/>
      <c r="R7008" s="397"/>
      <c r="S7008" s="397"/>
      <c r="T7008" s="397"/>
      <c r="U7008" s="397"/>
      <c r="V7008" s="397"/>
      <c r="W7008" s="397"/>
      <c r="X7008" s="397"/>
      <c r="Y7008" s="397"/>
      <c r="Z7008" s="397"/>
      <c r="AD7008" s="388">
        <v>12</v>
      </c>
      <c r="AE7008" s="388"/>
      <c r="AF7008" s="388"/>
      <c r="AG7008" s="388"/>
      <c r="AH7008" s="391"/>
      <c r="AI7008" s="397"/>
      <c r="AJ7008" s="397"/>
      <c r="AU7008" s="397"/>
      <c r="AV7008" s="397"/>
      <c r="AW7008" s="397"/>
      <c r="AX7008" s="397"/>
      <c r="BI7008" s="397"/>
      <c r="BJ7008" s="397"/>
      <c r="BK7008" s="397"/>
      <c r="BL7008" s="397"/>
      <c r="BM7008" s="397"/>
      <c r="BN7008" s="397"/>
      <c r="BO7008" s="397"/>
      <c r="BP7008" s="397"/>
      <c r="BQ7008" s="397"/>
      <c r="BR7008" s="397"/>
      <c r="BS7008" s="397"/>
      <c r="BT7008" s="397"/>
      <c r="BU7008" s="397"/>
      <c r="BV7008" s="397"/>
      <c r="BW7008" s="397"/>
      <c r="BX7008" s="397"/>
      <c r="BY7008" s="397"/>
      <c r="BZ7008" s="397"/>
      <c r="CA7008" s="392" t="s">
        <v>413</v>
      </c>
    </row>
    <row r="7009" spans="1:80" s="392" customFormat="1" ht="15" x14ac:dyDescent="0.25">
      <c r="A7009" s="385"/>
      <c r="B7009" s="385"/>
      <c r="C7009" s="385"/>
      <c r="D7009" s="700"/>
      <c r="E7009" s="386"/>
      <c r="F7009" s="385"/>
      <c r="G7009" s="400"/>
      <c r="H7009" s="401">
        <v>3</v>
      </c>
      <c r="I7009" s="401"/>
      <c r="J7009" s="401"/>
      <c r="K7009" s="401"/>
      <c r="L7009" s="675"/>
      <c r="M7009" s="672">
        <v>28338</v>
      </c>
      <c r="N7009" s="623">
        <v>5.5256446585434965E-2</v>
      </c>
      <c r="O7009" s="624" t="s">
        <v>71</v>
      </c>
      <c r="P7009" s="397"/>
      <c r="Q7009" s="397"/>
      <c r="R7009" s="397"/>
      <c r="S7009" s="397"/>
      <c r="T7009" s="397"/>
      <c r="U7009" s="397"/>
      <c r="V7009" s="397"/>
      <c r="W7009" s="397"/>
      <c r="X7009" s="397"/>
      <c r="Y7009" s="397"/>
      <c r="Z7009" s="397"/>
      <c r="AD7009" s="388"/>
      <c r="AE7009" s="388"/>
      <c r="AF7009" s="388"/>
      <c r="AG7009" s="388"/>
      <c r="AH7009" s="391"/>
      <c r="AI7009" s="397"/>
      <c r="AJ7009" s="397"/>
      <c r="AU7009" s="397"/>
      <c r="AV7009" s="397"/>
      <c r="AW7009" s="397"/>
      <c r="AX7009" s="397"/>
      <c r="BI7009" s="397"/>
      <c r="BJ7009" s="397"/>
      <c r="BK7009" s="397"/>
      <c r="BL7009" s="397"/>
      <c r="BM7009" s="397"/>
      <c r="BN7009" s="397"/>
      <c r="BO7009" s="397"/>
      <c r="BP7009" s="397"/>
      <c r="BQ7009" s="397"/>
      <c r="BR7009" s="397"/>
      <c r="BS7009" s="397"/>
      <c r="BT7009" s="397"/>
      <c r="BU7009" s="397"/>
      <c r="BV7009" s="397"/>
      <c r="BW7009" s="397"/>
      <c r="BX7009" s="397"/>
      <c r="BY7009" s="397"/>
      <c r="BZ7009" s="397"/>
      <c r="CA7009" s="392" t="s">
        <v>413</v>
      </c>
    </row>
    <row r="7010" spans="1:80" s="392" customFormat="1" ht="15" x14ac:dyDescent="0.25">
      <c r="A7010" s="385"/>
      <c r="B7010" s="385"/>
      <c r="C7010" s="385"/>
      <c r="D7010" s="700"/>
      <c r="E7010" s="386"/>
      <c r="F7010" s="385"/>
      <c r="G7010" s="400"/>
      <c r="H7010" s="401">
        <v>3</v>
      </c>
      <c r="I7010" s="401"/>
      <c r="J7010" s="401"/>
      <c r="K7010" s="401"/>
      <c r="L7010" s="675"/>
      <c r="M7010" s="672">
        <v>28368</v>
      </c>
      <c r="N7010" s="623">
        <v>3.8537829413431569E-2</v>
      </c>
      <c r="O7010" s="624" t="s">
        <v>71</v>
      </c>
      <c r="P7010" s="397"/>
      <c r="Q7010" s="397"/>
      <c r="R7010" s="397"/>
      <c r="S7010" s="397"/>
      <c r="T7010" s="397"/>
      <c r="U7010" s="397"/>
      <c r="V7010" s="397"/>
      <c r="W7010" s="397"/>
      <c r="X7010" s="397"/>
      <c r="Y7010" s="397"/>
      <c r="Z7010" s="397"/>
      <c r="AD7010" s="388"/>
      <c r="AE7010" s="388"/>
      <c r="AF7010" s="388"/>
      <c r="AG7010" s="388"/>
      <c r="AH7010" s="391"/>
      <c r="AI7010" s="397"/>
      <c r="AJ7010" s="397"/>
      <c r="AU7010" s="397"/>
      <c r="AV7010" s="397"/>
      <c r="AW7010" s="397"/>
      <c r="AX7010" s="397"/>
      <c r="BI7010" s="397"/>
      <c r="BJ7010" s="397"/>
      <c r="BK7010" s="397"/>
      <c r="BL7010" s="397"/>
      <c r="BM7010" s="397"/>
      <c r="BN7010" s="397"/>
      <c r="BO7010" s="397"/>
      <c r="BP7010" s="397"/>
      <c r="BQ7010" s="397"/>
      <c r="BR7010" s="397"/>
      <c r="BS7010" s="397"/>
      <c r="BT7010" s="397"/>
      <c r="BU7010" s="397"/>
      <c r="BV7010" s="397"/>
      <c r="BW7010" s="397"/>
      <c r="BX7010" s="397"/>
      <c r="BY7010" s="397"/>
      <c r="BZ7010" s="397"/>
      <c r="CA7010" s="392" t="s">
        <v>413</v>
      </c>
    </row>
    <row r="7011" spans="1:80" s="189" customFormat="1" ht="15" x14ac:dyDescent="0.25">
      <c r="A7011" s="381" t="s">
        <v>452</v>
      </c>
      <c r="B7011" s="641"/>
      <c r="C7011" s="639"/>
      <c r="D7011" s="4">
        <f>VLOOKUP(E7011,'Quality Code'!$D$4:$E$24,2,TRUE)*VLOOKUP(MROUND(F7011,10),'Quality Code'!$D$28:$E$69,2,TRUE)*VLOOKUP(COUNTA(CB7011:CB7021),'Quality Code'!$D$73:$E$93,2,TRUE)</f>
        <v>0.22499999999999998</v>
      </c>
      <c r="E7011" s="14">
        <v>0.3</v>
      </c>
      <c r="F7011" s="2">
        <v>31</v>
      </c>
      <c r="G7011" s="12"/>
      <c r="H7011" s="2" t="s">
        <v>105</v>
      </c>
      <c r="I7011" s="2"/>
      <c r="J7011" s="2"/>
      <c r="K7011" s="2"/>
      <c r="L7011" s="639"/>
      <c r="M7011" s="640" t="s">
        <v>913</v>
      </c>
      <c r="N7011" s="578" t="s">
        <v>110</v>
      </c>
      <c r="O7011" s="578"/>
      <c r="P7011" s="26"/>
      <c r="Q7011" s="26"/>
      <c r="R7011" s="26"/>
      <c r="S7011" s="26"/>
      <c r="T7011" s="26"/>
      <c r="U7011" s="26"/>
      <c r="V7011" s="10"/>
      <c r="W7011" s="10"/>
      <c r="X7011" s="10"/>
      <c r="Y7011" s="10"/>
      <c r="Z7011" s="2"/>
      <c r="AA7011" s="26"/>
      <c r="AB7011" s="26"/>
      <c r="AC7011" s="377">
        <v>0.1056</v>
      </c>
      <c r="AD7011" s="406"/>
      <c r="AE7011" s="26"/>
      <c r="AF7011" s="26"/>
      <c r="AG7011" s="26"/>
      <c r="AH7011" s="26"/>
      <c r="AI7011" s="4"/>
      <c r="AJ7011" s="4"/>
      <c r="AK7011" s="26"/>
      <c r="AL7011" s="26"/>
      <c r="AM7011" s="26"/>
      <c r="AN7011" s="26"/>
      <c r="AO7011" s="26"/>
      <c r="AP7011" s="26"/>
      <c r="AQ7011" s="26"/>
      <c r="AR7011" s="26"/>
      <c r="AS7011" s="26"/>
      <c r="AT7011" s="26"/>
      <c r="AU7011" s="4"/>
      <c r="AV7011" s="4"/>
      <c r="AW7011" s="4"/>
      <c r="AX7011" s="4"/>
      <c r="AY7011" s="2"/>
      <c r="AZ7011" s="2"/>
      <c r="BA7011" s="12"/>
      <c r="BB7011" s="12"/>
      <c r="BC7011" s="12"/>
      <c r="BD7011" s="12"/>
      <c r="BE7011" s="12"/>
      <c r="BF7011" s="12"/>
      <c r="BG7011" s="12"/>
      <c r="BH7011" s="12"/>
      <c r="BI7011" s="4"/>
      <c r="BJ7011" s="12"/>
      <c r="BK7011" s="2"/>
      <c r="BL7011" s="2"/>
      <c r="BM7011" s="4"/>
      <c r="BN7011" s="12"/>
      <c r="BO7011" s="12"/>
      <c r="BP7011" s="12"/>
      <c r="BQ7011" s="4"/>
      <c r="BR7011" s="4"/>
      <c r="BS7011" s="4"/>
      <c r="BT7011" s="2"/>
      <c r="BU7011" s="9"/>
      <c r="BV7011" s="381"/>
      <c r="BW7011" s="382"/>
      <c r="BX7011" s="383"/>
      <c r="BY7011" s="383"/>
      <c r="BZ7011" s="383"/>
      <c r="CA7011" s="384" t="s">
        <v>413</v>
      </c>
      <c r="CB7011" s="411"/>
    </row>
    <row r="7012" spans="1:80" s="392" customFormat="1" ht="15" x14ac:dyDescent="0.25">
      <c r="A7012" s="385"/>
      <c r="D7012" s="700"/>
      <c r="E7012" s="397"/>
      <c r="H7012" s="401">
        <v>3</v>
      </c>
      <c r="I7012" s="401"/>
      <c r="J7012" s="401"/>
      <c r="K7012" s="401"/>
      <c r="L7012" s="675"/>
      <c r="M7012" s="672">
        <v>28250</v>
      </c>
      <c r="N7012" s="623">
        <v>2.266931141966563E-2</v>
      </c>
      <c r="O7012" s="624">
        <v>5.3333333333333336E-4</v>
      </c>
      <c r="P7012" s="397"/>
      <c r="Q7012" s="397"/>
      <c r="R7012" s="397"/>
      <c r="S7012" s="397"/>
      <c r="T7012" s="397"/>
      <c r="U7012" s="397"/>
      <c r="V7012" s="397"/>
      <c r="W7012" s="397"/>
      <c r="X7012" s="397"/>
      <c r="Y7012" s="397"/>
      <c r="Z7012" s="397"/>
      <c r="AD7012" s="388">
        <v>8</v>
      </c>
      <c r="AE7012" s="388"/>
      <c r="AF7012" s="115"/>
      <c r="AG7012" s="388"/>
      <c r="AH7012" s="391"/>
      <c r="AI7012" s="397"/>
      <c r="AJ7012" s="397"/>
      <c r="AU7012" s="397"/>
      <c r="AV7012" s="397"/>
      <c r="AW7012" s="397"/>
      <c r="AX7012" s="397"/>
      <c r="BI7012" s="397"/>
      <c r="BJ7012" s="397"/>
      <c r="BK7012" s="397"/>
      <c r="BL7012" s="397"/>
      <c r="BM7012" s="397"/>
      <c r="BN7012" s="397"/>
      <c r="BO7012" s="397"/>
      <c r="BP7012" s="397"/>
      <c r="BQ7012" s="397"/>
      <c r="BR7012" s="397"/>
      <c r="BS7012" s="397"/>
      <c r="BT7012" s="397"/>
      <c r="BU7012" s="397"/>
      <c r="BV7012" s="397"/>
      <c r="BW7012" s="397"/>
      <c r="BX7012" s="397"/>
      <c r="BY7012" s="397"/>
      <c r="BZ7012" s="397"/>
      <c r="CA7012" s="392" t="s">
        <v>413</v>
      </c>
    </row>
    <row r="7013" spans="1:80" s="392" customFormat="1" ht="15" x14ac:dyDescent="0.25">
      <c r="A7013" s="385"/>
      <c r="D7013" s="700"/>
      <c r="E7013" s="397"/>
      <c r="H7013" s="401">
        <v>3</v>
      </c>
      <c r="I7013" s="401"/>
      <c r="J7013" s="401"/>
      <c r="K7013" s="401"/>
      <c r="L7013" s="675"/>
      <c r="M7013" s="672">
        <v>28261</v>
      </c>
      <c r="N7013" s="623">
        <v>2.8336639274582034E-2</v>
      </c>
      <c r="O7013" s="624" t="s">
        <v>71</v>
      </c>
      <c r="P7013" s="397"/>
      <c r="Q7013" s="397"/>
      <c r="R7013" s="397"/>
      <c r="S7013" s="397"/>
      <c r="T7013" s="397"/>
      <c r="U7013" s="397"/>
      <c r="V7013" s="397"/>
      <c r="W7013" s="397"/>
      <c r="X7013" s="397"/>
      <c r="Y7013" s="397"/>
      <c r="Z7013" s="397"/>
      <c r="AD7013" s="388">
        <v>10</v>
      </c>
      <c r="AE7013" s="388"/>
      <c r="AF7013" s="115"/>
      <c r="AG7013" s="388"/>
      <c r="AH7013" s="391"/>
      <c r="AI7013" s="397"/>
      <c r="AJ7013" s="397"/>
      <c r="AU7013" s="397"/>
      <c r="AV7013" s="397"/>
      <c r="AW7013" s="397"/>
      <c r="AX7013" s="397"/>
      <c r="BI7013" s="397"/>
      <c r="BJ7013" s="397"/>
      <c r="BK7013" s="397"/>
      <c r="BL7013" s="397"/>
      <c r="BM7013" s="397"/>
      <c r="BN7013" s="397"/>
      <c r="BO7013" s="397"/>
      <c r="BP7013" s="397"/>
      <c r="BQ7013" s="397"/>
      <c r="BR7013" s="397"/>
      <c r="BS7013" s="397"/>
      <c r="BT7013" s="397"/>
      <c r="BU7013" s="397"/>
      <c r="BV7013" s="397"/>
      <c r="BW7013" s="397"/>
      <c r="BX7013" s="397"/>
      <c r="BY7013" s="397"/>
      <c r="BZ7013" s="397"/>
      <c r="CA7013" s="392" t="s">
        <v>413</v>
      </c>
    </row>
    <row r="7014" spans="1:80" s="392" customFormat="1" ht="15" x14ac:dyDescent="0.25">
      <c r="A7014" s="385"/>
      <c r="D7014" s="700"/>
      <c r="E7014" s="397"/>
      <c r="H7014" s="401">
        <v>3</v>
      </c>
      <c r="I7014" s="401"/>
      <c r="J7014" s="401"/>
      <c r="K7014" s="401"/>
      <c r="L7014" s="675"/>
      <c r="M7014" s="672">
        <v>28268</v>
      </c>
      <c r="N7014" s="623">
        <v>2.7769906489090394E-2</v>
      </c>
      <c r="O7014" s="624">
        <v>1.8666666666666664E-3</v>
      </c>
      <c r="P7014" s="397"/>
      <c r="Q7014" s="397"/>
      <c r="R7014" s="397"/>
      <c r="S7014" s="397"/>
      <c r="T7014" s="397"/>
      <c r="U7014" s="397"/>
      <c r="V7014" s="397"/>
      <c r="W7014" s="397"/>
      <c r="X7014" s="397"/>
      <c r="Y7014" s="397"/>
      <c r="Z7014" s="397"/>
      <c r="AD7014" s="388">
        <v>10</v>
      </c>
      <c r="AE7014" s="388"/>
      <c r="AF7014" s="115"/>
      <c r="AG7014" s="388"/>
      <c r="AH7014" s="391"/>
      <c r="AI7014" s="397"/>
      <c r="AJ7014" s="397"/>
      <c r="AU7014" s="397"/>
      <c r="AV7014" s="397"/>
      <c r="AW7014" s="397"/>
      <c r="AX7014" s="397"/>
      <c r="BI7014" s="397"/>
      <c r="BJ7014" s="397"/>
      <c r="BK7014" s="397"/>
      <c r="BL7014" s="397"/>
      <c r="BM7014" s="397"/>
      <c r="BN7014" s="397"/>
      <c r="BO7014" s="397"/>
      <c r="BP7014" s="397"/>
      <c r="BQ7014" s="397"/>
      <c r="BR7014" s="397"/>
      <c r="BS7014" s="397"/>
      <c r="BT7014" s="397"/>
      <c r="BU7014" s="397"/>
      <c r="BV7014" s="397"/>
      <c r="BW7014" s="397"/>
      <c r="BX7014" s="397"/>
      <c r="BY7014" s="397"/>
      <c r="BZ7014" s="397"/>
      <c r="CA7014" s="392" t="s">
        <v>413</v>
      </c>
    </row>
    <row r="7015" spans="1:80" s="392" customFormat="1" ht="15" x14ac:dyDescent="0.25">
      <c r="A7015" s="385"/>
      <c r="D7015" s="700"/>
      <c r="E7015" s="397"/>
      <c r="H7015" s="401">
        <v>3</v>
      </c>
      <c r="I7015" s="401"/>
      <c r="J7015" s="401"/>
      <c r="K7015" s="401"/>
      <c r="L7015" s="675"/>
      <c r="M7015" s="672">
        <v>28275</v>
      </c>
      <c r="N7015" s="623">
        <v>3.683763105695665E-2</v>
      </c>
      <c r="O7015" s="624">
        <v>3.9333333333333338E-3</v>
      </c>
      <c r="P7015" s="397"/>
      <c r="Q7015" s="397"/>
      <c r="R7015" s="397"/>
      <c r="S7015" s="397"/>
      <c r="T7015" s="397"/>
      <c r="U7015" s="397"/>
      <c r="V7015" s="397"/>
      <c r="W7015" s="397"/>
      <c r="X7015" s="397"/>
      <c r="Y7015" s="397"/>
      <c r="Z7015" s="397"/>
      <c r="AD7015" s="388">
        <v>10</v>
      </c>
      <c r="AE7015" s="388"/>
      <c r="AF7015" s="115"/>
      <c r="AG7015" s="388"/>
      <c r="AH7015" s="391"/>
      <c r="AI7015" s="397"/>
      <c r="AJ7015" s="397"/>
      <c r="AU7015" s="397"/>
      <c r="AV7015" s="397"/>
      <c r="AW7015" s="397"/>
      <c r="AX7015" s="397"/>
      <c r="BI7015" s="397"/>
      <c r="BJ7015" s="397"/>
      <c r="BK7015" s="397"/>
      <c r="BL7015" s="397"/>
      <c r="BM7015" s="397"/>
      <c r="BN7015" s="397"/>
      <c r="BO7015" s="397"/>
      <c r="BP7015" s="397"/>
      <c r="BQ7015" s="397"/>
      <c r="BR7015" s="397"/>
      <c r="BS7015" s="397"/>
      <c r="BT7015" s="397"/>
      <c r="BU7015" s="397"/>
      <c r="BV7015" s="397"/>
      <c r="BW7015" s="397"/>
      <c r="BX7015" s="397"/>
      <c r="BY7015" s="397"/>
      <c r="BZ7015" s="397"/>
      <c r="CA7015" s="392" t="s">
        <v>413</v>
      </c>
    </row>
    <row r="7016" spans="1:80" s="392" customFormat="1" ht="15" x14ac:dyDescent="0.25">
      <c r="A7016" s="385"/>
      <c r="D7016" s="700"/>
      <c r="E7016" s="397"/>
      <c r="H7016" s="401">
        <v>3</v>
      </c>
      <c r="I7016" s="401"/>
      <c r="J7016" s="401"/>
      <c r="K7016" s="401"/>
      <c r="L7016" s="675"/>
      <c r="M7016" s="672">
        <v>28282</v>
      </c>
      <c r="N7016" s="623">
        <v>5.6673278549164069E-2</v>
      </c>
      <c r="O7016" s="624">
        <v>1.4000000000000002E-3</v>
      </c>
      <c r="P7016" s="397"/>
      <c r="Q7016" s="397"/>
      <c r="R7016" s="397"/>
      <c r="S7016" s="397"/>
      <c r="T7016" s="397"/>
      <c r="U7016" s="397"/>
      <c r="V7016" s="397"/>
      <c r="W7016" s="397"/>
      <c r="X7016" s="397"/>
      <c r="Y7016" s="397"/>
      <c r="Z7016" s="397"/>
      <c r="AD7016" s="388">
        <v>10</v>
      </c>
      <c r="AE7016" s="388"/>
      <c r="AF7016" s="115"/>
      <c r="AG7016" s="388"/>
      <c r="AH7016" s="391"/>
      <c r="AI7016" s="397"/>
      <c r="AJ7016" s="397"/>
      <c r="AU7016" s="397"/>
      <c r="AV7016" s="397"/>
      <c r="AW7016" s="397"/>
      <c r="AX7016" s="397"/>
      <c r="BI7016" s="397"/>
      <c r="BJ7016" s="397"/>
      <c r="BK7016" s="397"/>
      <c r="BL7016" s="397"/>
      <c r="BM7016" s="397"/>
      <c r="BN7016" s="397"/>
      <c r="BO7016" s="397"/>
      <c r="BP7016" s="397"/>
      <c r="BQ7016" s="397"/>
      <c r="BR7016" s="397"/>
      <c r="BS7016" s="397"/>
      <c r="BT7016" s="397"/>
      <c r="BU7016" s="397"/>
      <c r="BV7016" s="397"/>
      <c r="BW7016" s="397"/>
      <c r="BX7016" s="397"/>
      <c r="BY7016" s="397"/>
      <c r="BZ7016" s="397"/>
      <c r="CA7016" s="392" t="s">
        <v>413</v>
      </c>
    </row>
    <row r="7017" spans="1:80" s="392" customFormat="1" ht="15" x14ac:dyDescent="0.25">
      <c r="A7017" s="385"/>
      <c r="D7017" s="700"/>
      <c r="E7017" s="397"/>
      <c r="H7017" s="401">
        <v>3</v>
      </c>
      <c r="I7017" s="401"/>
      <c r="J7017" s="401"/>
      <c r="K7017" s="401"/>
      <c r="L7017" s="675"/>
      <c r="M7017" s="672">
        <v>28287</v>
      </c>
      <c r="N7017" s="623">
        <v>5.6673278549164069E-2</v>
      </c>
      <c r="O7017" s="624">
        <v>1.4000000000000002E-3</v>
      </c>
      <c r="P7017" s="397"/>
      <c r="Q7017" s="397"/>
      <c r="R7017" s="397"/>
      <c r="S7017" s="397"/>
      <c r="T7017" s="397"/>
      <c r="U7017" s="397"/>
      <c r="V7017" s="397"/>
      <c r="W7017" s="397"/>
      <c r="X7017" s="397"/>
      <c r="Y7017" s="397"/>
      <c r="Z7017" s="397"/>
      <c r="AD7017" s="388">
        <v>10</v>
      </c>
      <c r="AE7017" s="388"/>
      <c r="AF7017" s="115"/>
      <c r="AG7017" s="388"/>
      <c r="AH7017" s="391"/>
      <c r="AI7017" s="397"/>
      <c r="AJ7017" s="397"/>
      <c r="AU7017" s="397"/>
      <c r="AV7017" s="397"/>
      <c r="AW7017" s="397"/>
      <c r="AX7017" s="397"/>
      <c r="BI7017" s="397"/>
      <c r="BJ7017" s="397"/>
      <c r="BK7017" s="397"/>
      <c r="BL7017" s="397"/>
      <c r="BM7017" s="397"/>
      <c r="BN7017" s="397"/>
      <c r="BO7017" s="397"/>
      <c r="BP7017" s="397"/>
      <c r="BQ7017" s="397"/>
      <c r="BR7017" s="397"/>
      <c r="BS7017" s="397"/>
      <c r="BT7017" s="397"/>
      <c r="BU7017" s="397"/>
      <c r="BV7017" s="397"/>
      <c r="BW7017" s="397"/>
      <c r="BX7017" s="397"/>
      <c r="BY7017" s="397"/>
      <c r="BZ7017" s="397"/>
      <c r="CA7017" s="392" t="s">
        <v>413</v>
      </c>
    </row>
    <row r="7018" spans="1:80" s="392" customFormat="1" ht="15" x14ac:dyDescent="0.25">
      <c r="A7018" s="385"/>
      <c r="D7018" s="700"/>
      <c r="E7018" s="397"/>
      <c r="H7018" s="401">
        <v>3</v>
      </c>
      <c r="I7018" s="401"/>
      <c r="J7018" s="401"/>
      <c r="K7018" s="401"/>
      <c r="L7018" s="675"/>
      <c r="M7018" s="672">
        <v>28290</v>
      </c>
      <c r="N7018" s="623">
        <v>5.6673278549164069E-2</v>
      </c>
      <c r="O7018" s="624" t="s">
        <v>71</v>
      </c>
      <c r="P7018" s="397"/>
      <c r="Q7018" s="397"/>
      <c r="R7018" s="397"/>
      <c r="S7018" s="397"/>
      <c r="T7018" s="397"/>
      <c r="U7018" s="397"/>
      <c r="V7018" s="397"/>
      <c r="W7018" s="397"/>
      <c r="X7018" s="397"/>
      <c r="Y7018" s="397"/>
      <c r="Z7018" s="397"/>
      <c r="AD7018" s="388">
        <v>10</v>
      </c>
      <c r="AE7018" s="388"/>
      <c r="AF7018" s="115"/>
      <c r="AG7018" s="388"/>
      <c r="AH7018" s="391"/>
      <c r="AI7018" s="397"/>
      <c r="AJ7018" s="397"/>
      <c r="AU7018" s="397"/>
      <c r="AV7018" s="397"/>
      <c r="AW7018" s="397"/>
      <c r="AX7018" s="397"/>
      <c r="BI7018" s="397"/>
      <c r="BJ7018" s="397"/>
      <c r="BK7018" s="397"/>
      <c r="BL7018" s="397"/>
      <c r="BM7018" s="397"/>
      <c r="BN7018" s="397"/>
      <c r="BO7018" s="397"/>
      <c r="BP7018" s="397"/>
      <c r="BQ7018" s="397"/>
      <c r="BR7018" s="397"/>
      <c r="BS7018" s="397"/>
      <c r="BT7018" s="397"/>
      <c r="BU7018" s="397"/>
      <c r="BV7018" s="397"/>
      <c r="BW7018" s="397"/>
      <c r="BX7018" s="397"/>
      <c r="BY7018" s="397"/>
      <c r="BZ7018" s="397"/>
      <c r="CA7018" s="392" t="s">
        <v>413</v>
      </c>
    </row>
    <row r="7019" spans="1:80" s="392" customFormat="1" ht="15" x14ac:dyDescent="0.25">
      <c r="A7019" s="385"/>
      <c r="D7019" s="700"/>
      <c r="E7019" s="397"/>
      <c r="H7019" s="401">
        <v>3</v>
      </c>
      <c r="I7019" s="401"/>
      <c r="J7019" s="401"/>
      <c r="K7019" s="401"/>
      <c r="L7019" s="675"/>
      <c r="M7019" s="672">
        <v>28294</v>
      </c>
      <c r="N7019" s="623">
        <v>4.2504958911873052E-2</v>
      </c>
      <c r="O7019" s="624">
        <v>2.2000000000000001E-3</v>
      </c>
      <c r="P7019" s="397"/>
      <c r="Q7019" s="397"/>
      <c r="R7019" s="397"/>
      <c r="S7019" s="397"/>
      <c r="T7019" s="397"/>
      <c r="U7019" s="397"/>
      <c r="V7019" s="397"/>
      <c r="W7019" s="397"/>
      <c r="X7019" s="397"/>
      <c r="Y7019" s="397"/>
      <c r="Z7019" s="397"/>
      <c r="AD7019" s="388">
        <v>10</v>
      </c>
      <c r="AE7019" s="388"/>
      <c r="AF7019" s="115"/>
      <c r="AG7019" s="388"/>
      <c r="AH7019" s="391"/>
      <c r="AI7019" s="397"/>
      <c r="AJ7019" s="397"/>
      <c r="AU7019" s="397"/>
      <c r="AV7019" s="397"/>
      <c r="AW7019" s="397"/>
      <c r="AX7019" s="397"/>
      <c r="BI7019" s="397"/>
      <c r="BJ7019" s="397"/>
      <c r="BK7019" s="397"/>
      <c r="BL7019" s="397"/>
      <c r="BM7019" s="397"/>
      <c r="BN7019" s="397"/>
      <c r="BO7019" s="397"/>
      <c r="BP7019" s="397"/>
      <c r="BQ7019" s="397"/>
      <c r="BR7019" s="397"/>
      <c r="BS7019" s="397"/>
      <c r="BT7019" s="397"/>
      <c r="BU7019" s="397"/>
      <c r="BV7019" s="397"/>
      <c r="BW7019" s="397"/>
      <c r="BX7019" s="397"/>
      <c r="BY7019" s="397"/>
      <c r="BZ7019" s="397"/>
      <c r="CA7019" s="392" t="s">
        <v>413</v>
      </c>
    </row>
    <row r="7020" spans="1:80" s="392" customFormat="1" ht="15" x14ac:dyDescent="0.25">
      <c r="A7020" s="385"/>
      <c r="D7020" s="700"/>
      <c r="E7020" s="397"/>
      <c r="H7020" s="401">
        <v>3</v>
      </c>
      <c r="I7020" s="401"/>
      <c r="J7020" s="401"/>
      <c r="K7020" s="401"/>
      <c r="L7020" s="675"/>
      <c r="M7020" s="672">
        <v>28298</v>
      </c>
      <c r="N7020" s="623">
        <v>3.9671294984414844E-2</v>
      </c>
      <c r="O7020" s="624">
        <v>1.5333333333333332E-3</v>
      </c>
      <c r="P7020" s="397"/>
      <c r="Q7020" s="397"/>
      <c r="R7020" s="397"/>
      <c r="S7020" s="397"/>
      <c r="T7020" s="397"/>
      <c r="U7020" s="397"/>
      <c r="V7020" s="397"/>
      <c r="W7020" s="397"/>
      <c r="X7020" s="397"/>
      <c r="Y7020" s="397"/>
      <c r="Z7020" s="397"/>
      <c r="AD7020" s="388">
        <v>10</v>
      </c>
      <c r="AE7020" s="388"/>
      <c r="AF7020" s="115"/>
      <c r="AG7020" s="388"/>
      <c r="AH7020" s="391"/>
      <c r="AI7020" s="397"/>
      <c r="AJ7020" s="397"/>
      <c r="AU7020" s="397"/>
      <c r="AV7020" s="397"/>
      <c r="AW7020" s="397"/>
      <c r="AX7020" s="397"/>
      <c r="BI7020" s="397"/>
      <c r="BJ7020" s="397"/>
      <c r="BK7020" s="397"/>
      <c r="BL7020" s="397"/>
      <c r="BM7020" s="397"/>
      <c r="BN7020" s="397"/>
      <c r="BO7020" s="397"/>
      <c r="BP7020" s="397"/>
      <c r="BQ7020" s="397"/>
      <c r="BR7020" s="397"/>
      <c r="BS7020" s="397"/>
      <c r="BT7020" s="397"/>
      <c r="BU7020" s="397"/>
      <c r="BV7020" s="397"/>
      <c r="BW7020" s="397"/>
      <c r="BX7020" s="397"/>
      <c r="BY7020" s="397"/>
      <c r="BZ7020" s="397"/>
      <c r="CA7020" s="392" t="s">
        <v>413</v>
      </c>
    </row>
    <row r="7021" spans="1:80" s="392" customFormat="1" ht="15" x14ac:dyDescent="0.25">
      <c r="A7021" s="385"/>
      <c r="D7021" s="700"/>
      <c r="E7021" s="397"/>
      <c r="H7021" s="401">
        <v>3</v>
      </c>
      <c r="I7021" s="401"/>
      <c r="J7021" s="401"/>
      <c r="K7021" s="401"/>
      <c r="L7021" s="675"/>
      <c r="M7021" s="672">
        <v>28303</v>
      </c>
      <c r="N7021" s="623">
        <v>3.4003967129498443E-2</v>
      </c>
      <c r="O7021" s="624" t="s">
        <v>71</v>
      </c>
      <c r="P7021" s="397"/>
      <c r="Q7021" s="397"/>
      <c r="R7021" s="397"/>
      <c r="S7021" s="397"/>
      <c r="T7021" s="397"/>
      <c r="U7021" s="397"/>
      <c r="V7021" s="397"/>
      <c r="W7021" s="397"/>
      <c r="X7021" s="397"/>
      <c r="Y7021" s="397"/>
      <c r="Z7021" s="397"/>
      <c r="AD7021" s="388">
        <v>10</v>
      </c>
      <c r="AE7021" s="388"/>
      <c r="AF7021" s="115"/>
      <c r="AG7021" s="388"/>
      <c r="AH7021" s="391"/>
      <c r="AI7021" s="397"/>
      <c r="AJ7021" s="397"/>
      <c r="AU7021" s="397"/>
      <c r="AV7021" s="397"/>
      <c r="AW7021" s="397"/>
      <c r="AX7021" s="397"/>
      <c r="BI7021" s="397"/>
      <c r="BJ7021" s="397"/>
      <c r="BK7021" s="397"/>
      <c r="BL7021" s="397"/>
      <c r="BM7021" s="397"/>
      <c r="BN7021" s="397"/>
      <c r="BO7021" s="397"/>
      <c r="BP7021" s="397"/>
      <c r="BQ7021" s="397"/>
      <c r="BR7021" s="397"/>
      <c r="BS7021" s="397"/>
      <c r="BT7021" s="397"/>
      <c r="BU7021" s="397"/>
      <c r="BV7021" s="397"/>
      <c r="BW7021" s="397"/>
      <c r="BX7021" s="397"/>
      <c r="BY7021" s="397"/>
      <c r="BZ7021" s="397"/>
      <c r="CA7021" s="392" t="s">
        <v>413</v>
      </c>
    </row>
    <row r="7022" spans="1:80" s="392" customFormat="1" ht="15" x14ac:dyDescent="0.25">
      <c r="A7022" s="385"/>
      <c r="D7022" s="700"/>
      <c r="E7022" s="397"/>
      <c r="H7022" s="401">
        <v>3</v>
      </c>
      <c r="I7022" s="401"/>
      <c r="J7022" s="401"/>
      <c r="K7022" s="401"/>
      <c r="L7022" s="675"/>
      <c r="M7022" s="672">
        <v>28309</v>
      </c>
      <c r="N7022" s="623">
        <v>2.8336639274582034E-2</v>
      </c>
      <c r="O7022" s="624">
        <v>3.5333333333333332E-3</v>
      </c>
      <c r="P7022" s="397"/>
      <c r="Q7022" s="397"/>
      <c r="R7022" s="397"/>
      <c r="S7022" s="397"/>
      <c r="T7022" s="397"/>
      <c r="U7022" s="397"/>
      <c r="V7022" s="397"/>
      <c r="W7022" s="397"/>
      <c r="X7022" s="397"/>
      <c r="Y7022" s="397"/>
      <c r="Z7022" s="397"/>
      <c r="AD7022" s="388">
        <v>10</v>
      </c>
      <c r="AE7022" s="388"/>
      <c r="AF7022" s="115"/>
      <c r="AG7022" s="388"/>
      <c r="AH7022" s="391"/>
      <c r="AI7022" s="397"/>
      <c r="AJ7022" s="397"/>
      <c r="AU7022" s="397"/>
      <c r="AV7022" s="397"/>
      <c r="AW7022" s="397"/>
      <c r="AX7022" s="397"/>
      <c r="BI7022" s="397"/>
      <c r="BJ7022" s="397"/>
      <c r="BK7022" s="397"/>
      <c r="BL7022" s="397"/>
      <c r="BM7022" s="397"/>
      <c r="BN7022" s="397"/>
      <c r="BO7022" s="397"/>
      <c r="BP7022" s="397"/>
      <c r="BQ7022" s="397"/>
      <c r="BR7022" s="397"/>
      <c r="BS7022" s="397"/>
      <c r="BT7022" s="397"/>
      <c r="BU7022" s="397"/>
      <c r="BV7022" s="397"/>
      <c r="BW7022" s="397"/>
      <c r="BX7022" s="397"/>
      <c r="BY7022" s="397"/>
      <c r="BZ7022" s="397"/>
      <c r="CA7022" s="392" t="s">
        <v>413</v>
      </c>
    </row>
    <row r="7023" spans="1:80" s="392" customFormat="1" ht="15" x14ac:dyDescent="0.25">
      <c r="A7023" s="385"/>
      <c r="D7023" s="700"/>
      <c r="E7023" s="397"/>
      <c r="H7023" s="401">
        <v>3</v>
      </c>
      <c r="I7023" s="401"/>
      <c r="J7023" s="401"/>
      <c r="K7023" s="401"/>
      <c r="L7023" s="675"/>
      <c r="M7023" s="672">
        <v>28318</v>
      </c>
      <c r="N7023" s="623">
        <v>2.266931141966563E-2</v>
      </c>
      <c r="O7023" s="624" t="s">
        <v>71</v>
      </c>
      <c r="P7023" s="397"/>
      <c r="Q7023" s="397"/>
      <c r="R7023" s="397"/>
      <c r="S7023" s="397"/>
      <c r="T7023" s="397"/>
      <c r="U7023" s="397"/>
      <c r="V7023" s="397"/>
      <c r="W7023" s="397"/>
      <c r="X7023" s="397"/>
      <c r="Y7023" s="397"/>
      <c r="Z7023" s="397"/>
      <c r="AD7023" s="388">
        <v>8</v>
      </c>
      <c r="AE7023" s="388"/>
      <c r="AF7023" s="115"/>
      <c r="AG7023" s="388"/>
      <c r="AH7023" s="391"/>
      <c r="AI7023" s="397"/>
      <c r="AJ7023" s="397"/>
      <c r="AU7023" s="397"/>
      <c r="AV7023" s="397"/>
      <c r="AW7023" s="397"/>
      <c r="AX7023" s="397"/>
      <c r="BI7023" s="397"/>
      <c r="BJ7023" s="397"/>
      <c r="BK7023" s="397"/>
      <c r="BL7023" s="397"/>
      <c r="BM7023" s="397"/>
      <c r="BN7023" s="397"/>
      <c r="BO7023" s="397"/>
      <c r="BP7023" s="397"/>
      <c r="BQ7023" s="397"/>
      <c r="BR7023" s="397"/>
      <c r="BS7023" s="397"/>
      <c r="BT7023" s="397"/>
      <c r="BU7023" s="397"/>
      <c r="BV7023" s="397"/>
      <c r="BW7023" s="397"/>
      <c r="BX7023" s="397"/>
      <c r="BY7023" s="397"/>
      <c r="BZ7023" s="397"/>
      <c r="CA7023" s="392" t="s">
        <v>413</v>
      </c>
    </row>
    <row r="7024" spans="1:80" s="392" customFormat="1" ht="15" x14ac:dyDescent="0.25">
      <c r="A7024" s="385"/>
      <c r="D7024" s="700"/>
      <c r="E7024" s="397"/>
      <c r="H7024" s="401">
        <v>3</v>
      </c>
      <c r="I7024" s="401"/>
      <c r="J7024" s="401"/>
      <c r="K7024" s="401"/>
      <c r="L7024" s="675"/>
      <c r="M7024" s="672">
        <v>28323</v>
      </c>
      <c r="N7024" s="623">
        <v>1.9835647492207422E-2</v>
      </c>
      <c r="O7024" s="624">
        <v>8.8666666666666646E-4</v>
      </c>
      <c r="P7024" s="397"/>
      <c r="Q7024" s="397"/>
      <c r="R7024" s="397"/>
      <c r="S7024" s="397"/>
      <c r="T7024" s="397"/>
      <c r="U7024" s="397"/>
      <c r="V7024" s="397"/>
      <c r="W7024" s="397"/>
      <c r="X7024" s="397"/>
      <c r="Y7024" s="397"/>
      <c r="Z7024" s="397"/>
      <c r="AD7024" s="388">
        <v>7</v>
      </c>
      <c r="AE7024" s="388"/>
      <c r="AF7024" s="115"/>
      <c r="AG7024" s="388"/>
      <c r="AH7024" s="391"/>
      <c r="AI7024" s="397"/>
      <c r="AJ7024" s="397"/>
      <c r="AU7024" s="397"/>
      <c r="AV7024" s="397"/>
      <c r="AW7024" s="397"/>
      <c r="AX7024" s="397"/>
      <c r="BI7024" s="397"/>
      <c r="BJ7024" s="397"/>
      <c r="BK7024" s="397"/>
      <c r="BL7024" s="397"/>
      <c r="BM7024" s="397"/>
      <c r="BN7024" s="397"/>
      <c r="BO7024" s="397"/>
      <c r="BP7024" s="397"/>
      <c r="BQ7024" s="397"/>
      <c r="BR7024" s="397"/>
      <c r="BS7024" s="397"/>
      <c r="BT7024" s="397"/>
      <c r="BU7024" s="397"/>
      <c r="BV7024" s="397"/>
      <c r="BW7024" s="397"/>
      <c r="BX7024" s="397"/>
      <c r="BY7024" s="397"/>
      <c r="BZ7024" s="397"/>
      <c r="CA7024" s="392" t="s">
        <v>413</v>
      </c>
    </row>
    <row r="7025" spans="1:79" s="392" customFormat="1" ht="15" x14ac:dyDescent="0.25">
      <c r="A7025" s="385"/>
      <c r="D7025" s="700"/>
      <c r="E7025" s="397"/>
      <c r="H7025" s="401">
        <v>3</v>
      </c>
      <c r="I7025" s="401"/>
      <c r="J7025" s="401"/>
      <c r="K7025" s="401"/>
      <c r="L7025" s="675"/>
      <c r="M7025" s="672">
        <v>28329</v>
      </c>
      <c r="N7025" s="623">
        <v>1.8985548313969966E-2</v>
      </c>
      <c r="O7025" s="624" t="s">
        <v>71</v>
      </c>
      <c r="P7025" s="397"/>
      <c r="Q7025" s="397"/>
      <c r="R7025" s="397"/>
      <c r="S7025" s="397"/>
      <c r="T7025" s="397"/>
      <c r="U7025" s="397"/>
      <c r="V7025" s="397"/>
      <c r="W7025" s="397"/>
      <c r="X7025" s="397"/>
      <c r="Y7025" s="397"/>
      <c r="Z7025" s="397"/>
      <c r="AD7025" s="388">
        <v>7</v>
      </c>
      <c r="AE7025" s="388"/>
      <c r="AF7025" s="115"/>
      <c r="AG7025" s="388"/>
      <c r="AH7025" s="391"/>
      <c r="AI7025" s="397"/>
      <c r="AJ7025" s="397"/>
      <c r="AU7025" s="397"/>
      <c r="AV7025" s="397"/>
      <c r="AW7025" s="397"/>
      <c r="AX7025" s="397"/>
      <c r="BI7025" s="397"/>
      <c r="BJ7025" s="397"/>
      <c r="BK7025" s="397"/>
      <c r="BL7025" s="397"/>
      <c r="BM7025" s="397"/>
      <c r="BN7025" s="397"/>
      <c r="BO7025" s="397"/>
      <c r="BP7025" s="397"/>
      <c r="BQ7025" s="397"/>
      <c r="BR7025" s="397"/>
      <c r="BS7025" s="397"/>
      <c r="BT7025" s="397"/>
      <c r="BU7025" s="397"/>
      <c r="BV7025" s="397"/>
      <c r="BW7025" s="397"/>
      <c r="BX7025" s="397"/>
      <c r="BY7025" s="397"/>
      <c r="BZ7025" s="397"/>
      <c r="CA7025" s="392" t="s">
        <v>413</v>
      </c>
    </row>
    <row r="7026" spans="1:79" s="392" customFormat="1" ht="15" x14ac:dyDescent="0.25">
      <c r="A7026" s="385"/>
      <c r="D7026" s="700"/>
      <c r="E7026" s="397"/>
      <c r="H7026" s="401">
        <v>3</v>
      </c>
      <c r="I7026" s="401"/>
      <c r="J7026" s="401"/>
      <c r="K7026" s="401"/>
      <c r="L7026" s="675"/>
      <c r="M7026" s="672">
        <v>28332</v>
      </c>
      <c r="N7026" s="623">
        <v>1.6435250779257581E-2</v>
      </c>
      <c r="O7026" s="624">
        <v>1.7999999999999997E-3</v>
      </c>
      <c r="P7026" s="397"/>
      <c r="Q7026" s="397"/>
      <c r="R7026" s="397"/>
      <c r="S7026" s="397"/>
      <c r="T7026" s="397"/>
      <c r="U7026" s="397"/>
      <c r="V7026" s="397"/>
      <c r="W7026" s="397"/>
      <c r="X7026" s="397"/>
      <c r="Y7026" s="397"/>
      <c r="Z7026" s="397"/>
      <c r="AD7026" s="388">
        <v>6</v>
      </c>
      <c r="AE7026" s="388"/>
      <c r="AF7026" s="115"/>
      <c r="AG7026" s="388"/>
      <c r="AH7026" s="391"/>
      <c r="AI7026" s="397"/>
      <c r="AJ7026" s="397"/>
      <c r="AU7026" s="397"/>
      <c r="AV7026" s="397"/>
      <c r="AW7026" s="397"/>
      <c r="AX7026" s="397"/>
      <c r="BI7026" s="397"/>
      <c r="BJ7026" s="397"/>
      <c r="BK7026" s="397"/>
      <c r="BL7026" s="397"/>
      <c r="BM7026" s="397"/>
      <c r="BN7026" s="397"/>
      <c r="BO7026" s="397"/>
      <c r="BP7026" s="397"/>
      <c r="BQ7026" s="397"/>
      <c r="BR7026" s="397"/>
      <c r="BS7026" s="397"/>
      <c r="BT7026" s="397"/>
      <c r="BU7026" s="397"/>
      <c r="BV7026" s="397"/>
      <c r="BW7026" s="397"/>
      <c r="BX7026" s="397"/>
      <c r="BY7026" s="397"/>
      <c r="BZ7026" s="397"/>
      <c r="CA7026" s="392" t="s">
        <v>413</v>
      </c>
    </row>
    <row r="7027" spans="1:79" s="392" customFormat="1" ht="15" x14ac:dyDescent="0.25">
      <c r="A7027" s="385"/>
      <c r="D7027" s="700"/>
      <c r="E7027" s="397"/>
      <c r="H7027" s="401">
        <v>3</v>
      </c>
      <c r="I7027" s="401"/>
      <c r="J7027" s="401"/>
      <c r="K7027" s="401"/>
      <c r="L7027" s="675"/>
      <c r="M7027" s="672">
        <v>28336</v>
      </c>
      <c r="N7027" s="623">
        <v>1.501841881552848E-2</v>
      </c>
      <c r="O7027" s="624" t="s">
        <v>71</v>
      </c>
      <c r="P7027" s="397"/>
      <c r="Q7027" s="397"/>
      <c r="R7027" s="397"/>
      <c r="S7027" s="397"/>
      <c r="T7027" s="397"/>
      <c r="U7027" s="397"/>
      <c r="V7027" s="397"/>
      <c r="W7027" s="397"/>
      <c r="X7027" s="397"/>
      <c r="Y7027" s="397"/>
      <c r="Z7027" s="397"/>
      <c r="AD7027" s="388">
        <v>5.5</v>
      </c>
      <c r="AE7027" s="388"/>
      <c r="AF7027" s="115"/>
      <c r="AG7027" s="388"/>
      <c r="AH7027" s="391"/>
      <c r="AI7027" s="397"/>
      <c r="AJ7027" s="397"/>
      <c r="AU7027" s="397"/>
      <c r="AV7027" s="397"/>
      <c r="AW7027" s="397"/>
      <c r="AX7027" s="397"/>
      <c r="BI7027" s="397"/>
      <c r="BJ7027" s="397"/>
      <c r="BK7027" s="397"/>
      <c r="BL7027" s="397"/>
      <c r="BM7027" s="397"/>
      <c r="BN7027" s="397"/>
      <c r="BO7027" s="397"/>
      <c r="BP7027" s="397"/>
      <c r="BQ7027" s="397"/>
      <c r="BR7027" s="397"/>
      <c r="BS7027" s="397"/>
      <c r="BT7027" s="397"/>
      <c r="BU7027" s="397"/>
      <c r="BV7027" s="397"/>
      <c r="BW7027" s="397"/>
      <c r="BX7027" s="397"/>
      <c r="BY7027" s="397"/>
      <c r="BZ7027" s="397"/>
      <c r="CA7027" s="392" t="s">
        <v>413</v>
      </c>
    </row>
    <row r="7028" spans="1:79" s="392" customFormat="1" ht="15" x14ac:dyDescent="0.25">
      <c r="A7028" s="385"/>
      <c r="D7028" s="700"/>
      <c r="E7028" s="397"/>
      <c r="H7028" s="401">
        <v>3</v>
      </c>
      <c r="I7028" s="401"/>
      <c r="J7028" s="401"/>
      <c r="K7028" s="401"/>
      <c r="L7028" s="675"/>
      <c r="M7028" s="672">
        <v>28367</v>
      </c>
      <c r="N7028" s="623">
        <v>1.1901388495324454E-2</v>
      </c>
      <c r="O7028" s="624" t="s">
        <v>71</v>
      </c>
      <c r="P7028" s="397"/>
      <c r="Q7028" s="397"/>
      <c r="R7028" s="397"/>
      <c r="S7028" s="397"/>
      <c r="T7028" s="397"/>
      <c r="U7028" s="397"/>
      <c r="V7028" s="397"/>
      <c r="W7028" s="397"/>
      <c r="X7028" s="397"/>
      <c r="Y7028" s="397"/>
      <c r="Z7028" s="397"/>
      <c r="AD7028" s="388">
        <v>5</v>
      </c>
      <c r="AE7028" s="388"/>
      <c r="AF7028" s="115"/>
      <c r="AG7028" s="388"/>
      <c r="AH7028" s="391"/>
      <c r="AI7028" s="397"/>
      <c r="AJ7028" s="397"/>
      <c r="AU7028" s="397"/>
      <c r="AV7028" s="397"/>
      <c r="AW7028" s="397"/>
      <c r="AX7028" s="397"/>
      <c r="BI7028" s="397"/>
      <c r="BJ7028" s="397"/>
      <c r="BK7028" s="397"/>
      <c r="BL7028" s="397"/>
      <c r="BM7028" s="397"/>
      <c r="BN7028" s="397"/>
      <c r="BO7028" s="397"/>
      <c r="BP7028" s="397"/>
      <c r="BQ7028" s="397"/>
      <c r="BR7028" s="397"/>
      <c r="BS7028" s="397"/>
      <c r="BT7028" s="397"/>
      <c r="BU7028" s="397"/>
      <c r="BV7028" s="397"/>
      <c r="BW7028" s="397"/>
      <c r="BX7028" s="397"/>
      <c r="BY7028" s="397"/>
      <c r="BZ7028" s="397"/>
      <c r="CA7028" s="392" t="s">
        <v>413</v>
      </c>
    </row>
    <row r="7029" spans="1:79" s="392" customFormat="1" ht="15" x14ac:dyDescent="0.25">
      <c r="A7029" s="385"/>
      <c r="D7029" s="700"/>
      <c r="E7029" s="397"/>
      <c r="H7029" s="401">
        <v>3</v>
      </c>
      <c r="I7029" s="401"/>
      <c r="J7029" s="401"/>
      <c r="K7029" s="401"/>
      <c r="L7029" s="675"/>
      <c r="M7029" s="672">
        <v>28655</v>
      </c>
      <c r="N7029" s="623">
        <v>0.23236044205157266</v>
      </c>
      <c r="O7029" s="624">
        <v>8.0593333333333336E-2</v>
      </c>
      <c r="P7029" s="397"/>
      <c r="Q7029" s="397"/>
      <c r="R7029" s="397"/>
      <c r="S7029" s="397"/>
      <c r="T7029" s="397"/>
      <c r="U7029" s="397"/>
      <c r="V7029" s="397"/>
      <c r="W7029" s="397"/>
      <c r="X7029" s="397"/>
      <c r="Y7029" s="397"/>
      <c r="Z7029" s="397"/>
      <c r="AD7029" s="388">
        <v>11</v>
      </c>
      <c r="AE7029" s="388"/>
      <c r="AF7029" s="115"/>
      <c r="AG7029" s="388"/>
      <c r="AH7029" s="391"/>
      <c r="AI7029" s="397"/>
      <c r="AJ7029" s="397"/>
      <c r="AU7029" s="397"/>
      <c r="AV7029" s="397"/>
      <c r="AW7029" s="397"/>
      <c r="AX7029" s="397"/>
      <c r="BI7029" s="397"/>
      <c r="BJ7029" s="397"/>
      <c r="BK7029" s="397"/>
      <c r="BL7029" s="397"/>
      <c r="BM7029" s="397"/>
      <c r="BN7029" s="397"/>
      <c r="BO7029" s="397"/>
      <c r="BP7029" s="397"/>
      <c r="BQ7029" s="397"/>
      <c r="BR7029" s="397"/>
      <c r="BS7029" s="397"/>
      <c r="BT7029" s="397"/>
      <c r="BU7029" s="397"/>
      <c r="BV7029" s="397"/>
      <c r="BW7029" s="397"/>
      <c r="BX7029" s="397"/>
      <c r="BY7029" s="397"/>
      <c r="BZ7029" s="397"/>
      <c r="CA7029" s="392" t="s">
        <v>413</v>
      </c>
    </row>
    <row r="7030" spans="1:79" s="392" customFormat="1" ht="15" x14ac:dyDescent="0.25">
      <c r="A7030" s="385"/>
      <c r="D7030" s="700"/>
      <c r="E7030" s="397"/>
      <c r="H7030" s="401">
        <v>3</v>
      </c>
      <c r="I7030" s="401"/>
      <c r="J7030" s="401"/>
      <c r="K7030" s="401"/>
      <c r="L7030" s="675"/>
      <c r="M7030" s="672">
        <v>28664</v>
      </c>
      <c r="N7030" s="623">
        <v>0.19268914706715784</v>
      </c>
      <c r="O7030" s="624">
        <v>1.7013333333333332E-2</v>
      </c>
      <c r="P7030" s="397"/>
      <c r="Q7030" s="397"/>
      <c r="R7030" s="397"/>
      <c r="S7030" s="397"/>
      <c r="T7030" s="397"/>
      <c r="U7030" s="397"/>
      <c r="V7030" s="397"/>
      <c r="W7030" s="397"/>
      <c r="X7030" s="397"/>
      <c r="Y7030" s="397"/>
      <c r="Z7030" s="397"/>
      <c r="AD7030" s="388">
        <v>11</v>
      </c>
      <c r="AE7030" s="388"/>
      <c r="AF7030" s="115"/>
      <c r="AG7030" s="388"/>
      <c r="AH7030" s="391"/>
      <c r="AI7030" s="397"/>
      <c r="AJ7030" s="397"/>
      <c r="AU7030" s="397"/>
      <c r="AV7030" s="397"/>
      <c r="AW7030" s="397"/>
      <c r="AX7030" s="397"/>
      <c r="BI7030" s="397"/>
      <c r="BJ7030" s="397"/>
      <c r="BK7030" s="397"/>
      <c r="BL7030" s="397"/>
      <c r="BM7030" s="397"/>
      <c r="BN7030" s="397"/>
      <c r="BO7030" s="397"/>
      <c r="BP7030" s="397"/>
      <c r="BQ7030" s="397"/>
      <c r="BR7030" s="397"/>
      <c r="BS7030" s="397"/>
      <c r="BT7030" s="397"/>
      <c r="BU7030" s="397"/>
      <c r="BV7030" s="397"/>
      <c r="BW7030" s="397"/>
      <c r="BX7030" s="397"/>
      <c r="BY7030" s="397"/>
      <c r="BZ7030" s="397"/>
      <c r="CA7030" s="392" t="s">
        <v>413</v>
      </c>
    </row>
    <row r="7031" spans="1:79" s="392" customFormat="1" ht="15" x14ac:dyDescent="0.25">
      <c r="A7031" s="385"/>
      <c r="D7031" s="700"/>
      <c r="E7031" s="397"/>
      <c r="H7031" s="401">
        <v>3</v>
      </c>
      <c r="I7031" s="401"/>
      <c r="J7031" s="401"/>
      <c r="K7031" s="401"/>
      <c r="L7031" s="675"/>
      <c r="M7031" s="672">
        <v>28669</v>
      </c>
      <c r="N7031" s="623">
        <v>0.15301785208274299</v>
      </c>
      <c r="O7031" s="624">
        <v>1.0853333333333333E-2</v>
      </c>
      <c r="P7031" s="397"/>
      <c r="Q7031" s="397"/>
      <c r="R7031" s="397"/>
      <c r="S7031" s="397"/>
      <c r="T7031" s="397"/>
      <c r="U7031" s="397"/>
      <c r="V7031" s="397"/>
      <c r="W7031" s="397"/>
      <c r="X7031" s="397"/>
      <c r="Y7031" s="397"/>
      <c r="Z7031" s="397"/>
      <c r="AD7031" s="388">
        <v>11</v>
      </c>
      <c r="AE7031" s="388"/>
      <c r="AF7031" s="115"/>
      <c r="AG7031" s="388"/>
      <c r="AH7031" s="391"/>
      <c r="AI7031" s="397"/>
      <c r="AJ7031" s="397"/>
      <c r="AU7031" s="397"/>
      <c r="AV7031" s="397"/>
      <c r="AW7031" s="397"/>
      <c r="AX7031" s="397"/>
      <c r="BI7031" s="397"/>
      <c r="BJ7031" s="397"/>
      <c r="BK7031" s="397"/>
      <c r="BL7031" s="397"/>
      <c r="BM7031" s="397"/>
      <c r="BN7031" s="397"/>
      <c r="BO7031" s="397"/>
      <c r="BP7031" s="397"/>
      <c r="BQ7031" s="397"/>
      <c r="BR7031" s="397"/>
      <c r="BS7031" s="397"/>
      <c r="BT7031" s="397"/>
      <c r="BU7031" s="397"/>
      <c r="BV7031" s="397"/>
      <c r="BW7031" s="397"/>
      <c r="BX7031" s="397"/>
      <c r="BY7031" s="397"/>
      <c r="BZ7031" s="397"/>
      <c r="CA7031" s="392" t="s">
        <v>413</v>
      </c>
    </row>
    <row r="7032" spans="1:79" s="392" customFormat="1" ht="15" x14ac:dyDescent="0.25">
      <c r="A7032" s="385"/>
      <c r="D7032" s="700"/>
      <c r="E7032" s="397"/>
      <c r="H7032" s="401">
        <v>3</v>
      </c>
      <c r="I7032" s="401"/>
      <c r="J7032" s="401"/>
      <c r="K7032" s="401"/>
      <c r="L7032" s="675"/>
      <c r="M7032" s="672">
        <v>28676</v>
      </c>
      <c r="N7032" s="623">
        <v>0.11334655709832814</v>
      </c>
      <c r="O7032" s="624">
        <v>8.5066666666666658E-3</v>
      </c>
      <c r="P7032" s="397"/>
      <c r="Q7032" s="397"/>
      <c r="R7032" s="397"/>
      <c r="S7032" s="397"/>
      <c r="T7032" s="397"/>
      <c r="U7032" s="397"/>
      <c r="V7032" s="397"/>
      <c r="W7032" s="397"/>
      <c r="X7032" s="397"/>
      <c r="Y7032" s="397"/>
      <c r="Z7032" s="397"/>
      <c r="AD7032" s="388">
        <v>11</v>
      </c>
      <c r="AE7032" s="388"/>
      <c r="AF7032" s="115"/>
      <c r="AG7032" s="388"/>
      <c r="AH7032" s="391"/>
      <c r="AI7032" s="397"/>
      <c r="AJ7032" s="397"/>
      <c r="AU7032" s="397"/>
      <c r="AV7032" s="397"/>
      <c r="AW7032" s="397"/>
      <c r="AX7032" s="397"/>
      <c r="BI7032" s="397"/>
      <c r="BJ7032" s="397"/>
      <c r="BK7032" s="397"/>
      <c r="BL7032" s="397"/>
      <c r="BM7032" s="397"/>
      <c r="BN7032" s="397"/>
      <c r="BO7032" s="397"/>
      <c r="BP7032" s="397"/>
      <c r="BQ7032" s="397"/>
      <c r="BR7032" s="397"/>
      <c r="BS7032" s="397"/>
      <c r="BT7032" s="397"/>
      <c r="BU7032" s="397"/>
      <c r="BV7032" s="397"/>
      <c r="BW7032" s="397"/>
      <c r="BX7032" s="397"/>
      <c r="BY7032" s="397"/>
      <c r="BZ7032" s="397"/>
      <c r="CA7032" s="392" t="s">
        <v>413</v>
      </c>
    </row>
    <row r="7033" spans="1:79" s="392" customFormat="1" ht="15" x14ac:dyDescent="0.25">
      <c r="A7033" s="385"/>
      <c r="D7033" s="700"/>
      <c r="E7033" s="397"/>
      <c r="H7033" s="401">
        <v>3</v>
      </c>
      <c r="I7033" s="401"/>
      <c r="J7033" s="401"/>
      <c r="K7033" s="401"/>
      <c r="L7033" s="675"/>
      <c r="M7033" s="672">
        <v>28681</v>
      </c>
      <c r="N7033" s="623">
        <v>8.5009917823746103E-2</v>
      </c>
      <c r="O7033" s="624">
        <v>6.8200000000000005E-3</v>
      </c>
      <c r="P7033" s="397"/>
      <c r="Q7033" s="397"/>
      <c r="R7033" s="397"/>
      <c r="S7033" s="397"/>
      <c r="T7033" s="397"/>
      <c r="U7033" s="397"/>
      <c r="V7033" s="397"/>
      <c r="W7033" s="397"/>
      <c r="X7033" s="397"/>
      <c r="Y7033" s="397"/>
      <c r="Z7033" s="397"/>
      <c r="AD7033" s="388">
        <v>11</v>
      </c>
      <c r="AE7033" s="388"/>
      <c r="AF7033" s="115"/>
      <c r="AG7033" s="388"/>
      <c r="AH7033" s="391"/>
      <c r="AI7033" s="397"/>
      <c r="AJ7033" s="397"/>
      <c r="AU7033" s="397"/>
      <c r="AV7033" s="397"/>
      <c r="AW7033" s="397"/>
      <c r="AX7033" s="397"/>
      <c r="BI7033" s="397"/>
      <c r="BJ7033" s="397"/>
      <c r="BK7033" s="397"/>
      <c r="BL7033" s="397"/>
      <c r="BM7033" s="397"/>
      <c r="BN7033" s="397"/>
      <c r="BO7033" s="397"/>
      <c r="BP7033" s="397"/>
      <c r="BQ7033" s="397"/>
      <c r="BR7033" s="397"/>
      <c r="BS7033" s="397"/>
      <c r="BT7033" s="397"/>
      <c r="BU7033" s="397"/>
      <c r="BV7033" s="397"/>
      <c r="BW7033" s="397"/>
      <c r="BX7033" s="397"/>
      <c r="BY7033" s="397"/>
      <c r="BZ7033" s="397"/>
      <c r="CA7033" s="392" t="s">
        <v>413</v>
      </c>
    </row>
    <row r="7034" spans="1:79" s="392" customFormat="1" ht="15" x14ac:dyDescent="0.25">
      <c r="A7034" s="385"/>
      <c r="D7034" s="700"/>
      <c r="E7034" s="397"/>
      <c r="H7034" s="401">
        <v>3</v>
      </c>
      <c r="I7034" s="401"/>
      <c r="J7034" s="401"/>
      <c r="K7034" s="401"/>
      <c r="L7034" s="675"/>
      <c r="M7034" s="672">
        <v>28684</v>
      </c>
      <c r="N7034" s="623">
        <v>7.6508926041371494E-2</v>
      </c>
      <c r="O7034" s="624">
        <v>2.2733333333333334E-3</v>
      </c>
      <c r="P7034" s="397"/>
      <c r="Q7034" s="397"/>
      <c r="R7034" s="397"/>
      <c r="S7034" s="397"/>
      <c r="T7034" s="397"/>
      <c r="U7034" s="397"/>
      <c r="V7034" s="397"/>
      <c r="W7034" s="397"/>
      <c r="X7034" s="397"/>
      <c r="Y7034" s="397"/>
      <c r="Z7034" s="397"/>
      <c r="AD7034" s="388">
        <v>11</v>
      </c>
      <c r="AE7034" s="388"/>
      <c r="AF7034" s="115"/>
      <c r="AG7034" s="388"/>
      <c r="AH7034" s="391"/>
      <c r="AI7034" s="397"/>
      <c r="AJ7034" s="397"/>
      <c r="AU7034" s="397"/>
      <c r="AV7034" s="397"/>
      <c r="AW7034" s="397"/>
      <c r="AX7034" s="397"/>
      <c r="BI7034" s="397"/>
      <c r="BJ7034" s="397"/>
      <c r="BK7034" s="397"/>
      <c r="BL7034" s="397"/>
      <c r="BM7034" s="397"/>
      <c r="BN7034" s="397"/>
      <c r="BO7034" s="397"/>
      <c r="BP7034" s="397"/>
      <c r="BQ7034" s="397"/>
      <c r="BR7034" s="397"/>
      <c r="BS7034" s="397"/>
      <c r="BT7034" s="397"/>
      <c r="BU7034" s="397"/>
      <c r="BV7034" s="397"/>
      <c r="BW7034" s="397"/>
      <c r="BX7034" s="397"/>
      <c r="BY7034" s="397"/>
      <c r="BZ7034" s="397"/>
      <c r="CA7034" s="392" t="s">
        <v>413</v>
      </c>
    </row>
    <row r="7035" spans="1:79" s="392" customFormat="1" ht="15" x14ac:dyDescent="0.25">
      <c r="A7035" s="385"/>
      <c r="D7035" s="700"/>
      <c r="E7035" s="397"/>
      <c r="H7035" s="401">
        <v>3</v>
      </c>
      <c r="I7035" s="401"/>
      <c r="J7035" s="401"/>
      <c r="K7035" s="401"/>
      <c r="L7035" s="675"/>
      <c r="M7035" s="672">
        <v>28688</v>
      </c>
      <c r="N7035" s="623">
        <v>6.2340606404080484E-2</v>
      </c>
      <c r="O7035" s="624">
        <v>3.3733333333333332E-3</v>
      </c>
      <c r="P7035" s="397"/>
      <c r="Q7035" s="397"/>
      <c r="R7035" s="397"/>
      <c r="S7035" s="397"/>
      <c r="T7035" s="397"/>
      <c r="U7035" s="397"/>
      <c r="V7035" s="397"/>
      <c r="W7035" s="397"/>
      <c r="X7035" s="397"/>
      <c r="Y7035" s="397"/>
      <c r="Z7035" s="397"/>
      <c r="AD7035" s="388">
        <v>11</v>
      </c>
      <c r="AE7035" s="388"/>
      <c r="AF7035" s="115"/>
      <c r="AG7035" s="388"/>
      <c r="AH7035" s="391"/>
      <c r="AI7035" s="397"/>
      <c r="AJ7035" s="397"/>
      <c r="AU7035" s="397"/>
      <c r="AV7035" s="397"/>
      <c r="AW7035" s="397"/>
      <c r="AX7035" s="397"/>
      <c r="BI7035" s="397"/>
      <c r="BJ7035" s="397"/>
      <c r="BK7035" s="397"/>
      <c r="BL7035" s="397"/>
      <c r="BM7035" s="397"/>
      <c r="BN7035" s="397"/>
      <c r="BO7035" s="397"/>
      <c r="BP7035" s="397"/>
      <c r="BQ7035" s="397"/>
      <c r="BR7035" s="397"/>
      <c r="BS7035" s="397"/>
      <c r="BT7035" s="397"/>
      <c r="BU7035" s="397"/>
      <c r="BV7035" s="397"/>
      <c r="BW7035" s="397"/>
      <c r="BX7035" s="397"/>
      <c r="BY7035" s="397"/>
      <c r="BZ7035" s="397"/>
      <c r="CA7035" s="392" t="s">
        <v>413</v>
      </c>
    </row>
    <row r="7036" spans="1:79" s="392" customFormat="1" ht="15" x14ac:dyDescent="0.25">
      <c r="A7036" s="385"/>
      <c r="D7036" s="700"/>
      <c r="E7036" s="397"/>
      <c r="H7036" s="401">
        <v>3</v>
      </c>
      <c r="I7036" s="401"/>
      <c r="J7036" s="401"/>
      <c r="K7036" s="401"/>
      <c r="L7036" s="675"/>
      <c r="M7036" s="672">
        <v>28695</v>
      </c>
      <c r="N7036" s="623">
        <v>4.817228676678946E-2</v>
      </c>
      <c r="O7036" s="624">
        <v>3.2000000000000002E-3</v>
      </c>
      <c r="P7036" s="397"/>
      <c r="Q7036" s="397"/>
      <c r="R7036" s="397"/>
      <c r="S7036" s="397"/>
      <c r="T7036" s="397"/>
      <c r="U7036" s="397"/>
      <c r="V7036" s="397"/>
      <c r="W7036" s="397"/>
      <c r="X7036" s="397"/>
      <c r="Y7036" s="397"/>
      <c r="Z7036" s="397"/>
      <c r="AD7036" s="388">
        <v>10</v>
      </c>
      <c r="AE7036" s="388"/>
      <c r="AF7036" s="115"/>
      <c r="AG7036" s="388"/>
      <c r="AH7036" s="391"/>
      <c r="AI7036" s="397"/>
      <c r="AJ7036" s="397"/>
      <c r="AU7036" s="397"/>
      <c r="AV7036" s="397"/>
      <c r="AW7036" s="397"/>
      <c r="AX7036" s="397"/>
      <c r="BI7036" s="397"/>
      <c r="BJ7036" s="397"/>
      <c r="BK7036" s="397"/>
      <c r="BL7036" s="397"/>
      <c r="BM7036" s="397"/>
      <c r="BN7036" s="397"/>
      <c r="BO7036" s="397"/>
      <c r="BP7036" s="397"/>
      <c r="BQ7036" s="397"/>
      <c r="BR7036" s="397"/>
      <c r="BS7036" s="397"/>
      <c r="BT7036" s="397"/>
      <c r="BU7036" s="397"/>
      <c r="BV7036" s="397"/>
      <c r="BW7036" s="397"/>
      <c r="BX7036" s="397"/>
      <c r="BY7036" s="397"/>
      <c r="BZ7036" s="397"/>
      <c r="CA7036" s="392" t="s">
        <v>413</v>
      </c>
    </row>
    <row r="7037" spans="1:79" s="392" customFormat="1" ht="15" x14ac:dyDescent="0.25">
      <c r="A7037" s="385"/>
      <c r="D7037" s="700"/>
      <c r="E7037" s="397"/>
      <c r="H7037" s="401">
        <v>3</v>
      </c>
      <c r="I7037" s="401"/>
      <c r="J7037" s="401"/>
      <c r="K7037" s="401"/>
      <c r="L7037" s="675"/>
      <c r="M7037" s="672">
        <v>28698</v>
      </c>
      <c r="N7037" s="623">
        <v>4.5338622839331259E-2</v>
      </c>
      <c r="O7037" s="624">
        <v>2.2000000000000001E-3</v>
      </c>
      <c r="P7037" s="397"/>
      <c r="Q7037" s="397"/>
      <c r="R7037" s="397"/>
      <c r="S7037" s="397"/>
      <c r="T7037" s="397"/>
      <c r="U7037" s="397"/>
      <c r="V7037" s="397"/>
      <c r="W7037" s="397"/>
      <c r="X7037" s="397"/>
      <c r="Y7037" s="397"/>
      <c r="Z7037" s="397"/>
      <c r="AD7037" s="388">
        <v>10</v>
      </c>
      <c r="AE7037" s="388"/>
      <c r="AF7037" s="115"/>
      <c r="AG7037" s="388"/>
      <c r="AH7037" s="391"/>
      <c r="AI7037" s="397"/>
      <c r="AJ7037" s="397"/>
      <c r="AU7037" s="397"/>
      <c r="AV7037" s="397"/>
      <c r="AW7037" s="397"/>
      <c r="AX7037" s="397"/>
      <c r="BI7037" s="397"/>
      <c r="BJ7037" s="397"/>
      <c r="BK7037" s="397"/>
      <c r="BL7037" s="397"/>
      <c r="BM7037" s="397"/>
      <c r="BN7037" s="397"/>
      <c r="BO7037" s="397"/>
      <c r="BP7037" s="397"/>
      <c r="BQ7037" s="397"/>
      <c r="BR7037" s="397"/>
      <c r="BS7037" s="397"/>
      <c r="BT7037" s="397"/>
      <c r="BU7037" s="397"/>
      <c r="BV7037" s="397"/>
      <c r="BW7037" s="397"/>
      <c r="BX7037" s="397"/>
      <c r="BY7037" s="397"/>
      <c r="BZ7037" s="397"/>
      <c r="CA7037" s="392" t="s">
        <v>413</v>
      </c>
    </row>
    <row r="7038" spans="1:79" s="392" customFormat="1" ht="15" x14ac:dyDescent="0.25">
      <c r="A7038" s="385"/>
      <c r="D7038" s="700"/>
      <c r="E7038" s="397"/>
      <c r="H7038" s="401">
        <v>3</v>
      </c>
      <c r="I7038" s="401"/>
      <c r="J7038" s="401"/>
      <c r="K7038" s="401"/>
      <c r="L7038" s="675"/>
      <c r="M7038" s="672">
        <v>28703</v>
      </c>
      <c r="N7038" s="623">
        <v>3.9671294984414844E-2</v>
      </c>
      <c r="O7038" s="624">
        <v>1.6000000000000001E-3</v>
      </c>
      <c r="P7038" s="397"/>
      <c r="Q7038" s="397"/>
      <c r="R7038" s="397"/>
      <c r="S7038" s="397"/>
      <c r="T7038" s="397"/>
      <c r="U7038" s="397"/>
      <c r="V7038" s="397"/>
      <c r="W7038" s="397"/>
      <c r="X7038" s="397"/>
      <c r="Y7038" s="397"/>
      <c r="Z7038" s="397"/>
      <c r="AD7038" s="388">
        <v>10</v>
      </c>
      <c r="AE7038" s="388"/>
      <c r="AF7038" s="115"/>
      <c r="AG7038" s="388"/>
      <c r="AH7038" s="391"/>
      <c r="AI7038" s="397"/>
      <c r="AJ7038" s="397"/>
      <c r="AU7038" s="397"/>
      <c r="AV7038" s="397"/>
      <c r="AW7038" s="397"/>
      <c r="AX7038" s="397"/>
      <c r="BI7038" s="397"/>
      <c r="BJ7038" s="397"/>
      <c r="BK7038" s="397"/>
      <c r="BL7038" s="397"/>
      <c r="BM7038" s="397"/>
      <c r="BN7038" s="397"/>
      <c r="BO7038" s="397"/>
      <c r="BP7038" s="397"/>
      <c r="BQ7038" s="397"/>
      <c r="BR7038" s="397"/>
      <c r="BS7038" s="397"/>
      <c r="BT7038" s="397"/>
      <c r="BU7038" s="397"/>
      <c r="BV7038" s="397"/>
      <c r="BW7038" s="397"/>
      <c r="BX7038" s="397"/>
      <c r="BY7038" s="397"/>
      <c r="BZ7038" s="397"/>
      <c r="CA7038" s="392" t="s">
        <v>413</v>
      </c>
    </row>
    <row r="7039" spans="1:79" s="392" customFormat="1" ht="15" x14ac:dyDescent="0.25">
      <c r="A7039" s="385"/>
      <c r="D7039" s="700"/>
      <c r="E7039" s="397"/>
      <c r="H7039" s="401">
        <v>3</v>
      </c>
      <c r="I7039" s="401"/>
      <c r="J7039" s="401"/>
      <c r="K7039" s="401"/>
      <c r="L7039" s="675"/>
      <c r="M7039" s="672">
        <v>28705</v>
      </c>
      <c r="N7039" s="623">
        <v>3.683763105695665E-2</v>
      </c>
      <c r="O7039" s="624">
        <v>1.6666666666666666E-3</v>
      </c>
      <c r="P7039" s="397"/>
      <c r="Q7039" s="397"/>
      <c r="R7039" s="397"/>
      <c r="S7039" s="397"/>
      <c r="T7039" s="397"/>
      <c r="U7039" s="397"/>
      <c r="V7039" s="397"/>
      <c r="W7039" s="397"/>
      <c r="X7039" s="397"/>
      <c r="Y7039" s="397"/>
      <c r="Z7039" s="397"/>
      <c r="AD7039" s="388">
        <v>10</v>
      </c>
      <c r="AE7039" s="388"/>
      <c r="AF7039" s="115"/>
      <c r="AG7039" s="388"/>
      <c r="AH7039" s="391"/>
      <c r="AI7039" s="397"/>
      <c r="AJ7039" s="397"/>
      <c r="AU7039" s="397"/>
      <c r="AV7039" s="397"/>
      <c r="AW7039" s="397"/>
      <c r="AX7039" s="397"/>
      <c r="BI7039" s="397"/>
      <c r="BJ7039" s="397"/>
      <c r="BK7039" s="397"/>
      <c r="BL7039" s="397"/>
      <c r="BM7039" s="397"/>
      <c r="BN7039" s="397"/>
      <c r="BO7039" s="397"/>
      <c r="BP7039" s="397"/>
      <c r="BQ7039" s="397"/>
      <c r="BR7039" s="397"/>
      <c r="BS7039" s="397"/>
      <c r="BT7039" s="397"/>
      <c r="BU7039" s="397"/>
      <c r="BV7039" s="397"/>
      <c r="BW7039" s="397"/>
      <c r="BX7039" s="397"/>
      <c r="BY7039" s="397"/>
      <c r="BZ7039" s="397"/>
      <c r="CA7039" s="392" t="s">
        <v>413</v>
      </c>
    </row>
    <row r="7040" spans="1:79" s="392" customFormat="1" ht="15" x14ac:dyDescent="0.25">
      <c r="A7040" s="385"/>
      <c r="D7040" s="700"/>
      <c r="E7040" s="397"/>
      <c r="H7040" s="401">
        <v>3</v>
      </c>
      <c r="I7040" s="401"/>
      <c r="J7040" s="401"/>
      <c r="K7040" s="401"/>
      <c r="L7040" s="675"/>
      <c r="M7040" s="672">
        <v>28709</v>
      </c>
      <c r="N7040" s="623">
        <v>3.1170303202040242E-2</v>
      </c>
      <c r="O7040" s="624">
        <v>6.0000000000000006E-4</v>
      </c>
      <c r="P7040" s="397"/>
      <c r="Q7040" s="397"/>
      <c r="R7040" s="397"/>
      <c r="S7040" s="397"/>
      <c r="T7040" s="397"/>
      <c r="U7040" s="397"/>
      <c r="V7040" s="397"/>
      <c r="W7040" s="397"/>
      <c r="X7040" s="397"/>
      <c r="Y7040" s="397"/>
      <c r="Z7040" s="397"/>
      <c r="AD7040" s="388">
        <v>10</v>
      </c>
      <c r="AE7040" s="388"/>
      <c r="AF7040" s="115"/>
      <c r="AG7040" s="388"/>
      <c r="AH7040" s="391"/>
      <c r="AI7040" s="397"/>
      <c r="AJ7040" s="397"/>
      <c r="AU7040" s="397"/>
      <c r="AV7040" s="397"/>
      <c r="AW7040" s="397"/>
      <c r="AX7040" s="397"/>
      <c r="BI7040" s="397"/>
      <c r="BJ7040" s="397"/>
      <c r="BK7040" s="397"/>
      <c r="BL7040" s="397"/>
      <c r="BM7040" s="397"/>
      <c r="BN7040" s="397"/>
      <c r="BO7040" s="397"/>
      <c r="BP7040" s="397"/>
      <c r="BQ7040" s="397"/>
      <c r="BR7040" s="397"/>
      <c r="BS7040" s="397"/>
      <c r="BT7040" s="397"/>
      <c r="BU7040" s="397"/>
      <c r="BV7040" s="397"/>
      <c r="BW7040" s="397"/>
      <c r="BX7040" s="397"/>
      <c r="BY7040" s="397"/>
      <c r="BZ7040" s="397"/>
      <c r="CA7040" s="392" t="s">
        <v>413</v>
      </c>
    </row>
    <row r="7041" spans="1:79" s="392" customFormat="1" ht="15" x14ac:dyDescent="0.25">
      <c r="A7041" s="385"/>
      <c r="D7041" s="700"/>
      <c r="E7041" s="397"/>
      <c r="H7041" s="401">
        <v>3</v>
      </c>
      <c r="I7041" s="401"/>
      <c r="J7041" s="401"/>
      <c r="K7041" s="401"/>
      <c r="L7041" s="675"/>
      <c r="M7041" s="672">
        <v>28712</v>
      </c>
      <c r="N7041" s="623">
        <v>2.8336639274582034E-2</v>
      </c>
      <c r="O7041" s="624">
        <v>5.3333333333333336E-4</v>
      </c>
      <c r="P7041" s="397"/>
      <c r="Q7041" s="397"/>
      <c r="R7041" s="397"/>
      <c r="S7041" s="397"/>
      <c r="T7041" s="397"/>
      <c r="U7041" s="397"/>
      <c r="V7041" s="397"/>
      <c r="W7041" s="397"/>
      <c r="X7041" s="397"/>
      <c r="Y7041" s="397"/>
      <c r="Z7041" s="397"/>
      <c r="AD7041" s="388">
        <v>10</v>
      </c>
      <c r="AE7041" s="388"/>
      <c r="AF7041" s="115"/>
      <c r="AG7041" s="388"/>
      <c r="AH7041" s="391"/>
      <c r="AI7041" s="397"/>
      <c r="AJ7041" s="397"/>
      <c r="AU7041" s="397"/>
      <c r="AV7041" s="397"/>
      <c r="AW7041" s="397"/>
      <c r="AX7041" s="397"/>
      <c r="BI7041" s="397"/>
      <c r="BJ7041" s="397"/>
      <c r="BK7041" s="397"/>
      <c r="BL7041" s="397"/>
      <c r="BM7041" s="397"/>
      <c r="BN7041" s="397"/>
      <c r="BO7041" s="397"/>
      <c r="BP7041" s="397"/>
      <c r="BQ7041" s="397"/>
      <c r="BR7041" s="397"/>
      <c r="BS7041" s="397"/>
      <c r="BT7041" s="397"/>
      <c r="BU7041" s="397"/>
      <c r="BV7041" s="397"/>
      <c r="BW7041" s="397"/>
      <c r="BX7041" s="397"/>
      <c r="BY7041" s="397"/>
      <c r="BZ7041" s="397"/>
      <c r="CA7041" s="392" t="s">
        <v>413</v>
      </c>
    </row>
    <row r="7042" spans="1:79" s="392" customFormat="1" ht="15" x14ac:dyDescent="0.25">
      <c r="A7042" s="385"/>
      <c r="D7042" s="700"/>
      <c r="E7042" s="397"/>
      <c r="H7042" s="401">
        <v>3</v>
      </c>
      <c r="I7042" s="401"/>
      <c r="J7042" s="401"/>
      <c r="K7042" s="401"/>
      <c r="L7042" s="675"/>
      <c r="M7042" s="672">
        <v>28717</v>
      </c>
      <c r="N7042" s="623">
        <v>2.7486540096344575E-2</v>
      </c>
      <c r="O7042" s="624" t="s">
        <v>71</v>
      </c>
      <c r="P7042" s="397"/>
      <c r="Q7042" s="397"/>
      <c r="R7042" s="397"/>
      <c r="S7042" s="397"/>
      <c r="T7042" s="397"/>
      <c r="U7042" s="397"/>
      <c r="V7042" s="397"/>
      <c r="W7042" s="397"/>
      <c r="X7042" s="397"/>
      <c r="Y7042" s="397"/>
      <c r="Z7042" s="397"/>
      <c r="AD7042" s="388">
        <v>9</v>
      </c>
      <c r="AE7042" s="388"/>
      <c r="AF7042" s="115"/>
      <c r="AG7042" s="388"/>
      <c r="AH7042" s="391"/>
      <c r="AI7042" s="397"/>
      <c r="AJ7042" s="397"/>
      <c r="AU7042" s="397"/>
      <c r="AV7042" s="397"/>
      <c r="AW7042" s="397"/>
      <c r="AX7042" s="397"/>
      <c r="BI7042" s="397"/>
      <c r="BJ7042" s="397"/>
      <c r="BK7042" s="397"/>
      <c r="BL7042" s="397"/>
      <c r="BM7042" s="397"/>
      <c r="BN7042" s="397"/>
      <c r="BO7042" s="397"/>
      <c r="BP7042" s="397"/>
      <c r="BQ7042" s="397"/>
      <c r="BR7042" s="397"/>
      <c r="BS7042" s="397"/>
      <c r="BT7042" s="397"/>
      <c r="BU7042" s="397"/>
      <c r="BV7042" s="397"/>
      <c r="BW7042" s="397"/>
      <c r="BX7042" s="397"/>
      <c r="BY7042" s="397"/>
      <c r="BZ7042" s="397"/>
      <c r="CA7042" s="392" t="s">
        <v>413</v>
      </c>
    </row>
    <row r="7043" spans="1:79" s="392" customFormat="1" ht="15" x14ac:dyDescent="0.25">
      <c r="A7043" s="385"/>
      <c r="D7043" s="700"/>
      <c r="E7043" s="397"/>
      <c r="H7043" s="401">
        <v>3</v>
      </c>
      <c r="I7043" s="401"/>
      <c r="J7043" s="401"/>
      <c r="K7043" s="401"/>
      <c r="L7043" s="675"/>
      <c r="M7043" s="672">
        <v>28723</v>
      </c>
      <c r="N7043" s="623">
        <v>2.1252479455936526E-2</v>
      </c>
      <c r="O7043" s="624" t="s">
        <v>71</v>
      </c>
      <c r="P7043" s="397"/>
      <c r="Q7043" s="397"/>
      <c r="R7043" s="397"/>
      <c r="S7043" s="397"/>
      <c r="T7043" s="397"/>
      <c r="U7043" s="397"/>
      <c r="V7043" s="397"/>
      <c r="W7043" s="397"/>
      <c r="X7043" s="397"/>
      <c r="Y7043" s="397"/>
      <c r="Z7043" s="397"/>
      <c r="AD7043" s="388">
        <v>8</v>
      </c>
      <c r="AE7043" s="388"/>
      <c r="AF7043" s="115"/>
      <c r="AG7043" s="388"/>
      <c r="AH7043" s="391"/>
      <c r="AI7043" s="397"/>
      <c r="AJ7043" s="397"/>
      <c r="AU7043" s="397"/>
      <c r="AV7043" s="397"/>
      <c r="AW7043" s="397"/>
      <c r="AX7043" s="397"/>
      <c r="BI7043" s="397"/>
      <c r="BJ7043" s="397"/>
      <c r="BK7043" s="397"/>
      <c r="BL7043" s="397"/>
      <c r="BM7043" s="397"/>
      <c r="BN7043" s="397"/>
      <c r="BO7043" s="397"/>
      <c r="BP7043" s="397"/>
      <c r="BQ7043" s="397"/>
      <c r="BR7043" s="397"/>
      <c r="BS7043" s="397"/>
      <c r="BT7043" s="397"/>
      <c r="BU7043" s="397"/>
      <c r="BV7043" s="397"/>
      <c r="BW7043" s="397"/>
      <c r="BX7043" s="397"/>
      <c r="BY7043" s="397"/>
      <c r="BZ7043" s="397"/>
      <c r="CA7043" s="392" t="s">
        <v>413</v>
      </c>
    </row>
    <row r="7044" spans="1:79" s="392" customFormat="1" ht="15" x14ac:dyDescent="0.25">
      <c r="A7044" s="385"/>
      <c r="D7044" s="700"/>
      <c r="E7044" s="397"/>
      <c r="H7044" s="401">
        <v>3</v>
      </c>
      <c r="I7044" s="401"/>
      <c r="J7044" s="401"/>
      <c r="K7044" s="401"/>
      <c r="L7044" s="675"/>
      <c r="M7044" s="672">
        <v>28726</v>
      </c>
      <c r="N7044" s="623">
        <v>2.1252479455936526E-2</v>
      </c>
      <c r="O7044" s="624" t="s">
        <v>71</v>
      </c>
      <c r="P7044" s="397"/>
      <c r="Q7044" s="397"/>
      <c r="R7044" s="397"/>
      <c r="S7044" s="397"/>
      <c r="T7044" s="397"/>
      <c r="U7044" s="397"/>
      <c r="V7044" s="397"/>
      <c r="W7044" s="397"/>
      <c r="X7044" s="397"/>
      <c r="Y7044" s="397"/>
      <c r="Z7044" s="397"/>
      <c r="AD7044" s="388">
        <v>8</v>
      </c>
      <c r="AE7044" s="388"/>
      <c r="AF7044" s="115"/>
      <c r="AG7044" s="388"/>
      <c r="AH7044" s="391"/>
      <c r="AI7044" s="397"/>
      <c r="AJ7044" s="397"/>
      <c r="AU7044" s="397"/>
      <c r="AV7044" s="397"/>
      <c r="AW7044" s="397"/>
      <c r="AX7044" s="397"/>
      <c r="BI7044" s="397"/>
      <c r="BJ7044" s="397"/>
      <c r="BK7044" s="397"/>
      <c r="BL7044" s="397"/>
      <c r="BM7044" s="397"/>
      <c r="BN7044" s="397"/>
      <c r="BO7044" s="397"/>
      <c r="BP7044" s="397"/>
      <c r="BQ7044" s="397"/>
      <c r="BR7044" s="397"/>
      <c r="BS7044" s="397"/>
      <c r="BT7044" s="397"/>
      <c r="BU7044" s="397"/>
      <c r="BV7044" s="397"/>
      <c r="BW7044" s="397"/>
      <c r="BX7044" s="397"/>
      <c r="BY7044" s="397"/>
      <c r="BZ7044" s="397"/>
      <c r="CA7044" s="392" t="s">
        <v>413</v>
      </c>
    </row>
    <row r="7045" spans="1:79" s="392" customFormat="1" ht="15" x14ac:dyDescent="0.25">
      <c r="A7045" s="385"/>
      <c r="D7045" s="700"/>
      <c r="E7045" s="397"/>
      <c r="H7045" s="401">
        <v>3</v>
      </c>
      <c r="I7045" s="401"/>
      <c r="J7045" s="401"/>
      <c r="K7045" s="401"/>
      <c r="L7045" s="675"/>
      <c r="M7045" s="672">
        <v>28731</v>
      </c>
      <c r="N7045" s="623">
        <v>1.9835647492207422E-2</v>
      </c>
      <c r="O7045" s="624" t="s">
        <v>71</v>
      </c>
      <c r="P7045" s="397"/>
      <c r="Q7045" s="397"/>
      <c r="R7045" s="397"/>
      <c r="S7045" s="397"/>
      <c r="T7045" s="397"/>
      <c r="U7045" s="397"/>
      <c r="V7045" s="397"/>
      <c r="W7045" s="397"/>
      <c r="X7045" s="397"/>
      <c r="Y7045" s="397"/>
      <c r="Z7045" s="397"/>
      <c r="AD7045" s="388">
        <v>7</v>
      </c>
      <c r="AE7045" s="388"/>
      <c r="AF7045" s="115"/>
      <c r="AG7045" s="388"/>
      <c r="AH7045" s="391"/>
      <c r="AI7045" s="397"/>
      <c r="AJ7045" s="397"/>
      <c r="AU7045" s="397"/>
      <c r="AV7045" s="397"/>
      <c r="AW7045" s="397"/>
      <c r="AX7045" s="397"/>
      <c r="BI7045" s="397"/>
      <c r="BJ7045" s="397"/>
      <c r="BK7045" s="397"/>
      <c r="BL7045" s="397"/>
      <c r="BM7045" s="397"/>
      <c r="BN7045" s="397"/>
      <c r="BO7045" s="397"/>
      <c r="BP7045" s="397"/>
      <c r="BQ7045" s="397"/>
      <c r="BR7045" s="397"/>
      <c r="BS7045" s="397"/>
      <c r="BT7045" s="397"/>
      <c r="BU7045" s="397"/>
      <c r="BV7045" s="397"/>
      <c r="BW7045" s="397"/>
      <c r="BX7045" s="397"/>
      <c r="BY7045" s="397"/>
      <c r="BZ7045" s="397"/>
      <c r="CA7045" s="392" t="s">
        <v>413</v>
      </c>
    </row>
    <row r="7046" spans="1:79" s="392" customFormat="1" ht="15" x14ac:dyDescent="0.25">
      <c r="A7046" s="385"/>
      <c r="D7046" s="700"/>
      <c r="E7046" s="397"/>
      <c r="H7046" s="401">
        <v>3</v>
      </c>
      <c r="I7046" s="401"/>
      <c r="J7046" s="401"/>
      <c r="K7046" s="401"/>
      <c r="L7046" s="675"/>
      <c r="M7046" s="672">
        <v>28745</v>
      </c>
      <c r="N7046" s="623">
        <v>1.6435250779257581E-2</v>
      </c>
      <c r="O7046" s="624" t="s">
        <v>71</v>
      </c>
      <c r="P7046" s="397"/>
      <c r="Q7046" s="397"/>
      <c r="R7046" s="397"/>
      <c r="S7046" s="397"/>
      <c r="T7046" s="397"/>
      <c r="U7046" s="397"/>
      <c r="V7046" s="397"/>
      <c r="W7046" s="397"/>
      <c r="X7046" s="397"/>
      <c r="Y7046" s="397"/>
      <c r="Z7046" s="397"/>
      <c r="AD7046" s="388">
        <v>6</v>
      </c>
      <c r="AE7046" s="388"/>
      <c r="AF7046" s="115"/>
      <c r="AG7046" s="388"/>
      <c r="AH7046" s="391"/>
      <c r="AI7046" s="397"/>
      <c r="AJ7046" s="397"/>
      <c r="AU7046" s="397"/>
      <c r="AV7046" s="397"/>
      <c r="AW7046" s="397"/>
      <c r="AX7046" s="397"/>
      <c r="BI7046" s="397"/>
      <c r="BJ7046" s="397"/>
      <c r="BK7046" s="397"/>
      <c r="BL7046" s="397"/>
      <c r="BM7046" s="397"/>
      <c r="BN7046" s="397"/>
      <c r="BO7046" s="397"/>
      <c r="BP7046" s="397"/>
      <c r="BQ7046" s="397"/>
      <c r="BR7046" s="397"/>
      <c r="BS7046" s="397"/>
      <c r="BT7046" s="397"/>
      <c r="BU7046" s="397"/>
      <c r="BV7046" s="397"/>
      <c r="BW7046" s="397"/>
      <c r="BX7046" s="397"/>
      <c r="BY7046" s="397"/>
      <c r="BZ7046" s="397"/>
      <c r="CA7046" s="392" t="s">
        <v>413</v>
      </c>
    </row>
    <row r="7047" spans="1:79" s="392" customFormat="1" ht="15" x14ac:dyDescent="0.25">
      <c r="A7047" s="385"/>
      <c r="D7047" s="700"/>
      <c r="E7047" s="397"/>
      <c r="H7047" s="401">
        <v>3</v>
      </c>
      <c r="I7047" s="401"/>
      <c r="J7047" s="401"/>
      <c r="K7047" s="401"/>
      <c r="L7047" s="675"/>
      <c r="M7047" s="672">
        <v>28753</v>
      </c>
      <c r="N7047" s="623">
        <v>1.5301785208274301E-2</v>
      </c>
      <c r="O7047" s="624" t="s">
        <v>71</v>
      </c>
      <c r="P7047" s="397"/>
      <c r="Q7047" s="397"/>
      <c r="R7047" s="397"/>
      <c r="S7047" s="397"/>
      <c r="T7047" s="397"/>
      <c r="U7047" s="397"/>
      <c r="V7047" s="397"/>
      <c r="W7047" s="397"/>
      <c r="X7047" s="397"/>
      <c r="Y7047" s="397"/>
      <c r="Z7047" s="397"/>
      <c r="AD7047" s="388">
        <v>5.5</v>
      </c>
      <c r="AE7047" s="388"/>
      <c r="AF7047" s="115"/>
      <c r="AG7047" s="388"/>
      <c r="AH7047" s="391"/>
      <c r="AI7047" s="397"/>
      <c r="AJ7047" s="397"/>
      <c r="AU7047" s="397"/>
      <c r="AV7047" s="397"/>
      <c r="AW7047" s="397"/>
      <c r="AX7047" s="397"/>
      <c r="BI7047" s="397"/>
      <c r="BJ7047" s="397"/>
      <c r="BK7047" s="397"/>
      <c r="BL7047" s="397"/>
      <c r="BM7047" s="397"/>
      <c r="BN7047" s="397"/>
      <c r="BO7047" s="397"/>
      <c r="BP7047" s="397"/>
      <c r="BQ7047" s="397"/>
      <c r="BR7047" s="397"/>
      <c r="BS7047" s="397"/>
      <c r="BT7047" s="397"/>
      <c r="BU7047" s="397"/>
      <c r="BV7047" s="397"/>
      <c r="BW7047" s="397"/>
      <c r="BX7047" s="397"/>
      <c r="BY7047" s="397"/>
      <c r="BZ7047" s="397"/>
      <c r="CA7047" s="392" t="s">
        <v>413</v>
      </c>
    </row>
    <row r="7048" spans="1:79" s="392" customFormat="1" ht="15" x14ac:dyDescent="0.25">
      <c r="A7048" s="385"/>
      <c r="D7048" s="700"/>
      <c r="E7048" s="397"/>
      <c r="H7048" s="401">
        <v>3</v>
      </c>
      <c r="I7048" s="401"/>
      <c r="J7048" s="401"/>
      <c r="K7048" s="401"/>
      <c r="L7048" s="675"/>
      <c r="M7048" s="672">
        <v>28998</v>
      </c>
      <c r="N7048" s="623">
        <v>5.1005950694247668E-2</v>
      </c>
      <c r="O7048" s="624">
        <v>4.2000000000000002E-4</v>
      </c>
      <c r="P7048" s="397"/>
      <c r="Q7048" s="397"/>
      <c r="R7048" s="397"/>
      <c r="S7048" s="397"/>
      <c r="T7048" s="397"/>
      <c r="U7048" s="397"/>
      <c r="V7048" s="397"/>
      <c r="W7048" s="397"/>
      <c r="X7048" s="397"/>
      <c r="Y7048" s="397"/>
      <c r="Z7048" s="397"/>
      <c r="AD7048" s="388">
        <v>10</v>
      </c>
      <c r="AE7048" s="388"/>
      <c r="AF7048" s="115"/>
      <c r="AG7048" s="388"/>
      <c r="AH7048" s="391"/>
      <c r="AI7048" s="397"/>
      <c r="AJ7048" s="397"/>
      <c r="AU7048" s="397"/>
      <c r="AV7048" s="397"/>
      <c r="AW7048" s="397"/>
      <c r="AX7048" s="397"/>
      <c r="BI7048" s="397"/>
      <c r="BJ7048" s="397"/>
      <c r="BK7048" s="397"/>
      <c r="BL7048" s="397"/>
      <c r="BM7048" s="397"/>
      <c r="BN7048" s="397"/>
      <c r="BO7048" s="397"/>
      <c r="BP7048" s="397"/>
      <c r="BQ7048" s="397"/>
      <c r="BR7048" s="397"/>
      <c r="BS7048" s="397"/>
      <c r="BT7048" s="397"/>
      <c r="BU7048" s="397"/>
      <c r="BV7048" s="397"/>
      <c r="BW7048" s="397"/>
      <c r="BX7048" s="397"/>
      <c r="BY7048" s="397"/>
      <c r="BZ7048" s="397"/>
      <c r="CA7048" s="392" t="s">
        <v>413</v>
      </c>
    </row>
    <row r="7049" spans="1:79" s="392" customFormat="1" ht="15" x14ac:dyDescent="0.25">
      <c r="A7049" s="385"/>
      <c r="D7049" s="700"/>
      <c r="E7049" s="397"/>
      <c r="H7049" s="401">
        <v>3</v>
      </c>
      <c r="I7049" s="401"/>
      <c r="J7049" s="401"/>
      <c r="K7049" s="401"/>
      <c r="L7049" s="675"/>
      <c r="M7049" s="672">
        <v>29004</v>
      </c>
      <c r="N7049" s="623">
        <v>0.12751487673561915</v>
      </c>
      <c r="O7049" s="624">
        <v>1.9740000000000001E-3</v>
      </c>
      <c r="P7049" s="397"/>
      <c r="Q7049" s="397"/>
      <c r="R7049" s="397"/>
      <c r="S7049" s="397"/>
      <c r="T7049" s="397"/>
      <c r="U7049" s="397"/>
      <c r="V7049" s="397"/>
      <c r="W7049" s="397"/>
      <c r="X7049" s="397"/>
      <c r="Y7049" s="397"/>
      <c r="Z7049" s="397"/>
      <c r="AD7049" s="388">
        <v>10.5</v>
      </c>
      <c r="AE7049" s="388"/>
      <c r="AF7049" s="115"/>
      <c r="AG7049" s="388"/>
      <c r="AH7049" s="391"/>
      <c r="AI7049" s="397"/>
      <c r="AJ7049" s="397"/>
      <c r="AU7049" s="397"/>
      <c r="AV7049" s="397"/>
      <c r="AW7049" s="397"/>
      <c r="AX7049" s="397"/>
      <c r="BI7049" s="397"/>
      <c r="BJ7049" s="397"/>
      <c r="BK7049" s="397"/>
      <c r="BL7049" s="397"/>
      <c r="BM7049" s="397"/>
      <c r="BN7049" s="397"/>
      <c r="BO7049" s="397"/>
      <c r="BP7049" s="397"/>
      <c r="BQ7049" s="397"/>
      <c r="BR7049" s="397"/>
      <c r="BS7049" s="397"/>
      <c r="BT7049" s="397"/>
      <c r="BU7049" s="397"/>
      <c r="BV7049" s="397"/>
      <c r="BW7049" s="397"/>
      <c r="BX7049" s="397"/>
      <c r="BY7049" s="397"/>
      <c r="BZ7049" s="397"/>
      <c r="CA7049" s="392" t="s">
        <v>413</v>
      </c>
    </row>
    <row r="7050" spans="1:79" s="392" customFormat="1" ht="15" x14ac:dyDescent="0.25">
      <c r="A7050" s="385"/>
      <c r="D7050" s="700"/>
      <c r="E7050" s="397"/>
      <c r="H7050" s="401">
        <v>3</v>
      </c>
      <c r="I7050" s="401"/>
      <c r="J7050" s="401"/>
      <c r="K7050" s="401"/>
      <c r="L7050" s="675"/>
      <c r="M7050" s="672">
        <v>29011</v>
      </c>
      <c r="N7050" s="623">
        <v>0.10201190138849534</v>
      </c>
      <c r="O7050" s="624">
        <v>6.7932000000000001E-3</v>
      </c>
      <c r="P7050" s="397"/>
      <c r="Q7050" s="397"/>
      <c r="R7050" s="397"/>
      <c r="S7050" s="397"/>
      <c r="T7050" s="397"/>
      <c r="U7050" s="397"/>
      <c r="V7050" s="397"/>
      <c r="W7050" s="397"/>
      <c r="X7050" s="397"/>
      <c r="Y7050" s="397"/>
      <c r="Z7050" s="397"/>
      <c r="AD7050" s="388">
        <v>10.199999999999999</v>
      </c>
      <c r="AE7050" s="388"/>
      <c r="AF7050" s="115"/>
      <c r="AG7050" s="388"/>
      <c r="AH7050" s="391"/>
      <c r="AI7050" s="397"/>
      <c r="AJ7050" s="397"/>
      <c r="AU7050" s="397"/>
      <c r="AV7050" s="397"/>
      <c r="AW7050" s="397"/>
      <c r="AX7050" s="397"/>
      <c r="BI7050" s="397"/>
      <c r="BJ7050" s="397"/>
      <c r="BK7050" s="397"/>
      <c r="BL7050" s="397"/>
      <c r="BM7050" s="397"/>
      <c r="BN7050" s="397"/>
      <c r="BO7050" s="397"/>
      <c r="BP7050" s="397"/>
      <c r="BQ7050" s="397"/>
      <c r="BR7050" s="397"/>
      <c r="BS7050" s="397"/>
      <c r="BT7050" s="397"/>
      <c r="BU7050" s="397"/>
      <c r="BV7050" s="397"/>
      <c r="BW7050" s="397"/>
      <c r="BX7050" s="397"/>
      <c r="BY7050" s="397"/>
      <c r="BZ7050" s="397"/>
      <c r="CA7050" s="392" t="s">
        <v>413</v>
      </c>
    </row>
    <row r="7051" spans="1:79" s="392" customFormat="1" ht="15" x14ac:dyDescent="0.25">
      <c r="A7051" s="385"/>
      <c r="D7051" s="700"/>
      <c r="E7051" s="397"/>
      <c r="H7051" s="401">
        <v>3</v>
      </c>
      <c r="I7051" s="401"/>
      <c r="J7051" s="401"/>
      <c r="K7051" s="401"/>
      <c r="L7051" s="675"/>
      <c r="M7051" s="672">
        <v>29017</v>
      </c>
      <c r="N7051" s="623">
        <v>0.12184754888070275</v>
      </c>
      <c r="O7051" s="624">
        <v>1.8938666666666667E-3</v>
      </c>
      <c r="P7051" s="397"/>
      <c r="Q7051" s="397"/>
      <c r="R7051" s="397"/>
      <c r="S7051" s="397"/>
      <c r="T7051" s="397"/>
      <c r="U7051" s="397"/>
      <c r="V7051" s="397"/>
      <c r="W7051" s="397"/>
      <c r="X7051" s="397"/>
      <c r="Y7051" s="397"/>
      <c r="Z7051" s="397"/>
      <c r="AD7051" s="388">
        <v>10.6</v>
      </c>
      <c r="AE7051" s="388"/>
      <c r="AF7051" s="115"/>
      <c r="AG7051" s="388"/>
      <c r="AH7051" s="391"/>
      <c r="AI7051" s="397"/>
      <c r="AJ7051" s="397"/>
      <c r="AU7051" s="397"/>
      <c r="AV7051" s="397"/>
      <c r="AW7051" s="397"/>
      <c r="AX7051" s="397"/>
      <c r="BI7051" s="397"/>
      <c r="BJ7051" s="397"/>
      <c r="BK7051" s="397"/>
      <c r="BL7051" s="397"/>
      <c r="BM7051" s="397"/>
      <c r="BN7051" s="397"/>
      <c r="BO7051" s="397"/>
      <c r="BP7051" s="397"/>
      <c r="BQ7051" s="397"/>
      <c r="BR7051" s="397"/>
      <c r="BS7051" s="397"/>
      <c r="BT7051" s="397"/>
      <c r="BU7051" s="397"/>
      <c r="BV7051" s="397"/>
      <c r="BW7051" s="397"/>
      <c r="BX7051" s="397"/>
      <c r="BY7051" s="397"/>
      <c r="BZ7051" s="397"/>
      <c r="CA7051" s="392" t="s">
        <v>413</v>
      </c>
    </row>
    <row r="7052" spans="1:79" s="392" customFormat="1" ht="15" x14ac:dyDescent="0.25">
      <c r="A7052" s="385"/>
      <c r="D7052" s="700"/>
      <c r="E7052" s="397"/>
      <c r="H7052" s="401">
        <v>3</v>
      </c>
      <c r="I7052" s="401"/>
      <c r="J7052" s="401"/>
      <c r="K7052" s="401"/>
      <c r="L7052" s="675"/>
      <c r="M7052" s="672">
        <v>29025</v>
      </c>
      <c r="N7052" s="623">
        <v>0.14168319637291019</v>
      </c>
      <c r="O7052" s="624">
        <v>8.4960000000000016E-4</v>
      </c>
      <c r="P7052" s="397"/>
      <c r="Q7052" s="397"/>
      <c r="R7052" s="397"/>
      <c r="S7052" s="397"/>
      <c r="T7052" s="397"/>
      <c r="U7052" s="397"/>
      <c r="V7052" s="397"/>
      <c r="W7052" s="397"/>
      <c r="X7052" s="397"/>
      <c r="Y7052" s="397"/>
      <c r="Z7052" s="397"/>
      <c r="AD7052" s="388">
        <v>10.8</v>
      </c>
      <c r="AE7052" s="388"/>
      <c r="AF7052" s="115"/>
      <c r="AG7052" s="388"/>
      <c r="AH7052" s="391"/>
      <c r="AI7052" s="397"/>
      <c r="AJ7052" s="397"/>
      <c r="AU7052" s="397"/>
      <c r="AV7052" s="397"/>
      <c r="AW7052" s="397"/>
      <c r="AX7052" s="397"/>
      <c r="BI7052" s="397"/>
      <c r="BJ7052" s="397"/>
      <c r="BK7052" s="397"/>
      <c r="BL7052" s="397"/>
      <c r="BM7052" s="397"/>
      <c r="BN7052" s="397"/>
      <c r="BO7052" s="397"/>
      <c r="BP7052" s="397"/>
      <c r="BQ7052" s="397"/>
      <c r="BR7052" s="397"/>
      <c r="BS7052" s="397"/>
      <c r="BT7052" s="397"/>
      <c r="BU7052" s="397"/>
      <c r="BV7052" s="397"/>
      <c r="BW7052" s="397"/>
      <c r="BX7052" s="397"/>
      <c r="BY7052" s="397"/>
      <c r="BZ7052" s="397"/>
      <c r="CA7052" s="392" t="s">
        <v>413</v>
      </c>
    </row>
    <row r="7053" spans="1:79" s="392" customFormat="1" ht="15" x14ac:dyDescent="0.25">
      <c r="A7053" s="385"/>
      <c r="D7053" s="700"/>
      <c r="E7053" s="397"/>
      <c r="H7053" s="401">
        <v>3</v>
      </c>
      <c r="I7053" s="401"/>
      <c r="J7053" s="401"/>
      <c r="K7053" s="401"/>
      <c r="L7053" s="675"/>
      <c r="M7053" s="672">
        <v>29031</v>
      </c>
      <c r="N7053" s="623">
        <v>0.11334655709832814</v>
      </c>
      <c r="O7053" s="624">
        <v>8.8560000000000006E-4</v>
      </c>
      <c r="P7053" s="397"/>
      <c r="Q7053" s="397"/>
      <c r="R7053" s="397"/>
      <c r="S7053" s="397"/>
      <c r="T7053" s="397"/>
      <c r="U7053" s="397"/>
      <c r="V7053" s="397"/>
      <c r="W7053" s="397"/>
      <c r="X7053" s="397"/>
      <c r="Y7053" s="397"/>
      <c r="Z7053" s="397"/>
      <c r="AD7053" s="388">
        <v>10.8</v>
      </c>
      <c r="AE7053" s="388"/>
      <c r="AF7053" s="115"/>
      <c r="AG7053" s="388"/>
      <c r="AH7053" s="391"/>
      <c r="AI7053" s="397"/>
      <c r="AJ7053" s="397"/>
      <c r="AU7053" s="397"/>
      <c r="AV7053" s="397"/>
      <c r="AW7053" s="397"/>
      <c r="AX7053" s="397"/>
      <c r="BI7053" s="397"/>
      <c r="BJ7053" s="397"/>
      <c r="BK7053" s="397"/>
      <c r="BL7053" s="397"/>
      <c r="BM7053" s="397"/>
      <c r="BN7053" s="397"/>
      <c r="BO7053" s="397"/>
      <c r="BP7053" s="397"/>
      <c r="BQ7053" s="397"/>
      <c r="BR7053" s="397"/>
      <c r="BS7053" s="397"/>
      <c r="BT7053" s="397"/>
      <c r="BU7053" s="397"/>
      <c r="BV7053" s="397"/>
      <c r="BW7053" s="397"/>
      <c r="BX7053" s="397"/>
      <c r="BY7053" s="397"/>
      <c r="BZ7053" s="397"/>
      <c r="CA7053" s="392" t="s">
        <v>413</v>
      </c>
    </row>
    <row r="7054" spans="1:79" s="392" customFormat="1" ht="15" x14ac:dyDescent="0.25">
      <c r="A7054" s="385"/>
      <c r="D7054" s="700"/>
      <c r="E7054" s="397"/>
      <c r="H7054" s="401">
        <v>3</v>
      </c>
      <c r="I7054" s="401"/>
      <c r="J7054" s="401"/>
      <c r="K7054" s="401"/>
      <c r="L7054" s="675"/>
      <c r="M7054" s="672">
        <v>29038</v>
      </c>
      <c r="N7054" s="623">
        <v>9.9178237461037128E-2</v>
      </c>
      <c r="O7054" s="624">
        <v>1.272E-4</v>
      </c>
      <c r="P7054" s="397"/>
      <c r="Q7054" s="397"/>
      <c r="R7054" s="397"/>
      <c r="S7054" s="397"/>
      <c r="T7054" s="397"/>
      <c r="U7054" s="397"/>
      <c r="V7054" s="397"/>
      <c r="W7054" s="397"/>
      <c r="X7054" s="397"/>
      <c r="Y7054" s="397"/>
      <c r="Z7054" s="397"/>
      <c r="AD7054" s="388">
        <v>10.6</v>
      </c>
      <c r="AE7054" s="388"/>
      <c r="AF7054" s="115"/>
      <c r="AG7054" s="388"/>
      <c r="AH7054" s="391"/>
      <c r="AI7054" s="397"/>
      <c r="AJ7054" s="397"/>
      <c r="AU7054" s="397"/>
      <c r="AV7054" s="397"/>
      <c r="AW7054" s="397"/>
      <c r="AX7054" s="397"/>
      <c r="BI7054" s="397"/>
      <c r="BJ7054" s="397"/>
      <c r="BK7054" s="397"/>
      <c r="BL7054" s="397"/>
      <c r="BM7054" s="397"/>
      <c r="BN7054" s="397"/>
      <c r="BO7054" s="397"/>
      <c r="BP7054" s="397"/>
      <c r="BQ7054" s="397"/>
      <c r="BR7054" s="397"/>
      <c r="BS7054" s="397"/>
      <c r="BT7054" s="397"/>
      <c r="BU7054" s="397"/>
      <c r="BV7054" s="397"/>
      <c r="BW7054" s="397"/>
      <c r="BX7054" s="397"/>
      <c r="BY7054" s="397"/>
      <c r="BZ7054" s="397"/>
      <c r="CA7054" s="392" t="s">
        <v>413</v>
      </c>
    </row>
    <row r="7055" spans="1:79" s="392" customFormat="1" ht="15" x14ac:dyDescent="0.25">
      <c r="A7055" s="385"/>
      <c r="D7055" s="700"/>
      <c r="E7055" s="397"/>
      <c r="H7055" s="401">
        <v>3</v>
      </c>
      <c r="I7055" s="401"/>
      <c r="J7055" s="401"/>
      <c r="K7055" s="401"/>
      <c r="L7055" s="675"/>
      <c r="M7055" s="672">
        <v>29047</v>
      </c>
      <c r="N7055" s="623">
        <v>6.5174270331538678E-2</v>
      </c>
      <c r="O7055" s="624">
        <v>2.8153333333333331E-4</v>
      </c>
      <c r="P7055" s="397"/>
      <c r="Q7055" s="397"/>
      <c r="R7055" s="397"/>
      <c r="S7055" s="397"/>
      <c r="T7055" s="397"/>
      <c r="U7055" s="397"/>
      <c r="V7055" s="397"/>
      <c r="W7055" s="397"/>
      <c r="X7055" s="397"/>
      <c r="Y7055" s="397"/>
      <c r="Z7055" s="397"/>
      <c r="AD7055" s="388">
        <v>10.3</v>
      </c>
      <c r="AE7055" s="388"/>
      <c r="AF7055" s="115"/>
      <c r="AG7055" s="388"/>
      <c r="AH7055" s="391"/>
      <c r="AI7055" s="397"/>
      <c r="AJ7055" s="397"/>
      <c r="AU7055" s="397"/>
      <c r="AV7055" s="397"/>
      <c r="AW7055" s="397"/>
      <c r="AX7055" s="397"/>
      <c r="BI7055" s="397"/>
      <c r="BJ7055" s="397"/>
      <c r="BK7055" s="397"/>
      <c r="BL7055" s="397"/>
      <c r="BM7055" s="397"/>
      <c r="BN7055" s="397"/>
      <c r="BO7055" s="397"/>
      <c r="BP7055" s="397"/>
      <c r="BQ7055" s="397"/>
      <c r="BR7055" s="397"/>
      <c r="BS7055" s="397"/>
      <c r="BT7055" s="397"/>
      <c r="BU7055" s="397"/>
      <c r="BV7055" s="397"/>
      <c r="BW7055" s="397"/>
      <c r="BX7055" s="397"/>
      <c r="BY7055" s="397"/>
      <c r="BZ7055" s="397"/>
      <c r="CA7055" s="392" t="s">
        <v>413</v>
      </c>
    </row>
    <row r="7056" spans="1:79" s="392" customFormat="1" ht="15" x14ac:dyDescent="0.25">
      <c r="A7056" s="385"/>
      <c r="D7056" s="700"/>
      <c r="E7056" s="397"/>
      <c r="H7056" s="401">
        <v>3</v>
      </c>
      <c r="I7056" s="401"/>
      <c r="J7056" s="401"/>
      <c r="K7056" s="401"/>
      <c r="L7056" s="675"/>
      <c r="M7056" s="672">
        <v>29053</v>
      </c>
      <c r="N7056" s="623">
        <v>5.1005950694247668E-2</v>
      </c>
      <c r="O7056" s="624" t="s">
        <v>71</v>
      </c>
      <c r="P7056" s="397"/>
      <c r="Q7056" s="397"/>
      <c r="R7056" s="397"/>
      <c r="S7056" s="397"/>
      <c r="T7056" s="397"/>
      <c r="U7056" s="397"/>
      <c r="V7056" s="397"/>
      <c r="W7056" s="397"/>
      <c r="X7056" s="397"/>
      <c r="Y7056" s="397"/>
      <c r="Z7056" s="397"/>
      <c r="AD7056" s="388">
        <v>10</v>
      </c>
      <c r="AE7056" s="388"/>
      <c r="AF7056" s="115"/>
      <c r="AG7056" s="388"/>
      <c r="AH7056" s="391"/>
      <c r="AI7056" s="397"/>
      <c r="AJ7056" s="397"/>
      <c r="AU7056" s="397"/>
      <c r="AV7056" s="397"/>
      <c r="AW7056" s="397"/>
      <c r="AX7056" s="397"/>
      <c r="BI7056" s="397"/>
      <c r="BJ7056" s="397"/>
      <c r="BK7056" s="397"/>
      <c r="BL7056" s="397"/>
      <c r="BM7056" s="397"/>
      <c r="BN7056" s="397"/>
      <c r="BO7056" s="397"/>
      <c r="BP7056" s="397"/>
      <c r="BQ7056" s="397"/>
      <c r="BR7056" s="397"/>
      <c r="BS7056" s="397"/>
      <c r="BT7056" s="397"/>
      <c r="BU7056" s="397"/>
      <c r="BV7056" s="397"/>
      <c r="BW7056" s="397"/>
      <c r="BX7056" s="397"/>
      <c r="BY7056" s="397"/>
      <c r="BZ7056" s="397"/>
      <c r="CA7056" s="392" t="s">
        <v>413</v>
      </c>
    </row>
    <row r="7057" spans="1:80" s="392" customFormat="1" ht="15" x14ac:dyDescent="0.25">
      <c r="A7057" s="385"/>
      <c r="D7057" s="700"/>
      <c r="E7057" s="397"/>
      <c r="H7057" s="401">
        <v>3</v>
      </c>
      <c r="I7057" s="401"/>
      <c r="J7057" s="401"/>
      <c r="K7057" s="401"/>
      <c r="L7057" s="675"/>
      <c r="M7057" s="672">
        <v>29061</v>
      </c>
      <c r="N7057" s="623">
        <v>3.683763105695665E-2</v>
      </c>
      <c r="O7057" s="624" t="s">
        <v>71</v>
      </c>
      <c r="P7057" s="397"/>
      <c r="Q7057" s="397"/>
      <c r="R7057" s="397"/>
      <c r="S7057" s="397"/>
      <c r="T7057" s="397"/>
      <c r="U7057" s="397"/>
      <c r="V7057" s="397"/>
      <c r="W7057" s="397"/>
      <c r="X7057" s="397"/>
      <c r="Y7057" s="397"/>
      <c r="Z7057" s="397"/>
      <c r="AD7057" s="388">
        <v>10</v>
      </c>
      <c r="AE7057" s="388"/>
      <c r="AF7057" s="115"/>
      <c r="AG7057" s="388"/>
      <c r="AH7057" s="391"/>
      <c r="AI7057" s="397"/>
      <c r="AJ7057" s="397"/>
      <c r="AU7057" s="397"/>
      <c r="AV7057" s="397"/>
      <c r="AW7057" s="397"/>
      <c r="AX7057" s="397"/>
      <c r="BI7057" s="397"/>
      <c r="BJ7057" s="397"/>
      <c r="BK7057" s="397"/>
      <c r="BL7057" s="397"/>
      <c r="BM7057" s="397"/>
      <c r="BN7057" s="397"/>
      <c r="BO7057" s="397"/>
      <c r="BP7057" s="397"/>
      <c r="BQ7057" s="397"/>
      <c r="BR7057" s="397"/>
      <c r="BS7057" s="397"/>
      <c r="BT7057" s="397"/>
      <c r="BU7057" s="397"/>
      <c r="BV7057" s="397"/>
      <c r="BW7057" s="397"/>
      <c r="BX7057" s="397"/>
      <c r="BY7057" s="397"/>
      <c r="BZ7057" s="397"/>
      <c r="CA7057" s="392" t="s">
        <v>413</v>
      </c>
    </row>
    <row r="7058" spans="1:80" s="392" customFormat="1" ht="15" x14ac:dyDescent="0.25">
      <c r="A7058" s="385"/>
      <c r="D7058" s="700"/>
      <c r="E7058" s="397"/>
      <c r="H7058" s="401">
        <v>3</v>
      </c>
      <c r="I7058" s="401"/>
      <c r="J7058" s="401"/>
      <c r="K7058" s="401"/>
      <c r="L7058" s="675"/>
      <c r="M7058" s="672">
        <v>29067</v>
      </c>
      <c r="N7058" s="623">
        <v>3.4003967129498443E-2</v>
      </c>
      <c r="O7058" s="624" t="s">
        <v>71</v>
      </c>
      <c r="P7058" s="397"/>
      <c r="Q7058" s="397"/>
      <c r="R7058" s="397"/>
      <c r="S7058" s="397"/>
      <c r="T7058" s="397"/>
      <c r="U7058" s="397"/>
      <c r="V7058" s="397"/>
      <c r="W7058" s="397"/>
      <c r="X7058" s="397"/>
      <c r="Y7058" s="397"/>
      <c r="Z7058" s="397"/>
      <c r="AD7058" s="388">
        <v>10</v>
      </c>
      <c r="AE7058" s="388"/>
      <c r="AF7058" s="115"/>
      <c r="AG7058" s="388"/>
      <c r="AH7058" s="391"/>
      <c r="AI7058" s="397"/>
      <c r="AJ7058" s="397"/>
      <c r="AU7058" s="397"/>
      <c r="AV7058" s="397"/>
      <c r="AW7058" s="397"/>
      <c r="AX7058" s="397"/>
      <c r="BI7058" s="397"/>
      <c r="BJ7058" s="397"/>
      <c r="BK7058" s="397"/>
      <c r="BL7058" s="397"/>
      <c r="BM7058" s="397"/>
      <c r="BN7058" s="397"/>
      <c r="BO7058" s="397"/>
      <c r="BP7058" s="397"/>
      <c r="BQ7058" s="397"/>
      <c r="BR7058" s="397"/>
      <c r="BS7058" s="397"/>
      <c r="BT7058" s="397"/>
      <c r="BU7058" s="397"/>
      <c r="BV7058" s="397"/>
      <c r="BW7058" s="397"/>
      <c r="BX7058" s="397"/>
      <c r="BY7058" s="397"/>
      <c r="BZ7058" s="397"/>
      <c r="CA7058" s="392" t="s">
        <v>413</v>
      </c>
    </row>
    <row r="7059" spans="1:80" s="392" customFormat="1" ht="15" x14ac:dyDescent="0.25">
      <c r="A7059" s="385"/>
      <c r="D7059" s="700"/>
      <c r="E7059" s="397"/>
      <c r="H7059" s="401">
        <v>3</v>
      </c>
      <c r="I7059" s="401"/>
      <c r="J7059" s="401"/>
      <c r="K7059" s="401"/>
      <c r="L7059" s="675"/>
      <c r="M7059" s="672">
        <v>29073</v>
      </c>
      <c r="N7059" s="623">
        <v>2.6069708132615475E-2</v>
      </c>
      <c r="O7059" s="624" t="s">
        <v>71</v>
      </c>
      <c r="P7059" s="397"/>
      <c r="Q7059" s="397"/>
      <c r="R7059" s="397"/>
      <c r="S7059" s="397"/>
      <c r="T7059" s="397"/>
      <c r="U7059" s="397"/>
      <c r="V7059" s="397"/>
      <c r="W7059" s="397"/>
      <c r="X7059" s="397"/>
      <c r="Y7059" s="397"/>
      <c r="Z7059" s="397"/>
      <c r="AD7059" s="388">
        <v>9</v>
      </c>
      <c r="AE7059" s="388"/>
      <c r="AF7059" s="115"/>
      <c r="AG7059" s="388"/>
      <c r="AH7059" s="391"/>
      <c r="AI7059" s="397"/>
      <c r="AJ7059" s="397"/>
      <c r="AU7059" s="397"/>
      <c r="AV7059" s="397"/>
      <c r="AW7059" s="397"/>
      <c r="AX7059" s="397"/>
      <c r="BI7059" s="397"/>
      <c r="BJ7059" s="397"/>
      <c r="BK7059" s="397"/>
      <c r="BL7059" s="397"/>
      <c r="BM7059" s="397"/>
      <c r="BN7059" s="397"/>
      <c r="BO7059" s="397"/>
      <c r="BP7059" s="397"/>
      <c r="BQ7059" s="397"/>
      <c r="BR7059" s="397"/>
      <c r="BS7059" s="397"/>
      <c r="BT7059" s="397"/>
      <c r="BU7059" s="397"/>
      <c r="BV7059" s="397"/>
      <c r="BW7059" s="397"/>
      <c r="BX7059" s="397"/>
      <c r="BY7059" s="397"/>
      <c r="BZ7059" s="397"/>
      <c r="CA7059" s="392" t="s">
        <v>413</v>
      </c>
    </row>
    <row r="7060" spans="1:80" s="392" customFormat="1" ht="15" x14ac:dyDescent="0.25">
      <c r="A7060" s="385"/>
      <c r="D7060" s="700"/>
      <c r="E7060" s="397"/>
      <c r="H7060" s="401">
        <v>3</v>
      </c>
      <c r="I7060" s="401"/>
      <c r="J7060" s="401"/>
      <c r="K7060" s="401"/>
      <c r="L7060" s="675"/>
      <c r="M7060" s="672">
        <v>29080</v>
      </c>
      <c r="N7060" s="623">
        <v>2.266931141966563E-2</v>
      </c>
      <c r="O7060" s="624" t="s">
        <v>71</v>
      </c>
      <c r="P7060" s="397"/>
      <c r="Q7060" s="397"/>
      <c r="R7060" s="397"/>
      <c r="S7060" s="397"/>
      <c r="T7060" s="397"/>
      <c r="U7060" s="397"/>
      <c r="V7060" s="397"/>
      <c r="W7060" s="397"/>
      <c r="X7060" s="397"/>
      <c r="Y7060" s="397"/>
      <c r="Z7060" s="397"/>
      <c r="AD7060" s="388">
        <v>8</v>
      </c>
      <c r="AE7060" s="388"/>
      <c r="AF7060" s="115"/>
      <c r="AG7060" s="388"/>
      <c r="AH7060" s="391"/>
      <c r="AI7060" s="397"/>
      <c r="AJ7060" s="397"/>
      <c r="AU7060" s="397"/>
      <c r="AV7060" s="397"/>
      <c r="AW7060" s="397"/>
      <c r="AX7060" s="397"/>
      <c r="BI7060" s="397"/>
      <c r="BJ7060" s="397"/>
      <c r="BK7060" s="397"/>
      <c r="BL7060" s="397"/>
      <c r="BM7060" s="397"/>
      <c r="BN7060" s="397"/>
      <c r="BO7060" s="397"/>
      <c r="BP7060" s="397"/>
      <c r="BQ7060" s="397"/>
      <c r="BR7060" s="397"/>
      <c r="BS7060" s="397"/>
      <c r="BT7060" s="397"/>
      <c r="BU7060" s="397"/>
      <c r="BV7060" s="397"/>
      <c r="BW7060" s="397"/>
      <c r="BX7060" s="397"/>
      <c r="BY7060" s="397"/>
      <c r="BZ7060" s="397"/>
      <c r="CA7060" s="392" t="s">
        <v>413</v>
      </c>
    </row>
    <row r="7061" spans="1:80" s="392" customFormat="1" ht="15" x14ac:dyDescent="0.25">
      <c r="A7061" s="385"/>
      <c r="D7061" s="700"/>
      <c r="E7061" s="397"/>
      <c r="H7061" s="401">
        <v>3</v>
      </c>
      <c r="I7061" s="401"/>
      <c r="J7061" s="401"/>
      <c r="K7061" s="401"/>
      <c r="L7061" s="675"/>
      <c r="M7061" s="672">
        <v>29091</v>
      </c>
      <c r="N7061" s="623">
        <v>1.9835647492207422E-2</v>
      </c>
      <c r="O7061" s="624" t="s">
        <v>71</v>
      </c>
      <c r="P7061" s="397"/>
      <c r="Q7061" s="397"/>
      <c r="R7061" s="397"/>
      <c r="S7061" s="397"/>
      <c r="T7061" s="397"/>
      <c r="U7061" s="397"/>
      <c r="V7061" s="397"/>
      <c r="W7061" s="397"/>
      <c r="X7061" s="397"/>
      <c r="Y7061" s="397"/>
      <c r="Z7061" s="397"/>
      <c r="AD7061" s="388">
        <v>7</v>
      </c>
      <c r="AE7061" s="388"/>
      <c r="AF7061" s="115"/>
      <c r="AG7061" s="388"/>
      <c r="AH7061" s="391"/>
      <c r="AI7061" s="397"/>
      <c r="AJ7061" s="397"/>
      <c r="AU7061" s="397"/>
      <c r="AV7061" s="397"/>
      <c r="AW7061" s="397"/>
      <c r="AX7061" s="397"/>
      <c r="BI7061" s="397"/>
      <c r="BJ7061" s="397"/>
      <c r="BK7061" s="397"/>
      <c r="BL7061" s="397"/>
      <c r="BM7061" s="397"/>
      <c r="BN7061" s="397"/>
      <c r="BO7061" s="397"/>
      <c r="BP7061" s="397"/>
      <c r="BQ7061" s="397"/>
      <c r="BR7061" s="397"/>
      <c r="BS7061" s="397"/>
      <c r="BT7061" s="397"/>
      <c r="BU7061" s="397"/>
      <c r="BV7061" s="397"/>
      <c r="BW7061" s="397"/>
      <c r="BX7061" s="397"/>
      <c r="BY7061" s="397"/>
      <c r="BZ7061" s="397"/>
      <c r="CA7061" s="392" t="s">
        <v>413</v>
      </c>
    </row>
    <row r="7062" spans="1:80" s="392" customFormat="1" ht="15" x14ac:dyDescent="0.25">
      <c r="A7062" s="385"/>
      <c r="D7062" s="700"/>
      <c r="E7062" s="397"/>
      <c r="H7062" s="401">
        <v>3</v>
      </c>
      <c r="I7062" s="401"/>
      <c r="J7062" s="401"/>
      <c r="K7062" s="401"/>
      <c r="L7062" s="675"/>
      <c r="M7062" s="672">
        <v>29098</v>
      </c>
      <c r="N7062" s="623">
        <v>1.7568716350240862E-2</v>
      </c>
      <c r="O7062" s="624" t="s">
        <v>71</v>
      </c>
      <c r="P7062" s="397"/>
      <c r="Q7062" s="397"/>
      <c r="R7062" s="397"/>
      <c r="S7062" s="397"/>
      <c r="T7062" s="397"/>
      <c r="U7062" s="397"/>
      <c r="V7062" s="397"/>
      <c r="W7062" s="397"/>
      <c r="X7062" s="397"/>
      <c r="Y7062" s="397"/>
      <c r="Z7062" s="397"/>
      <c r="AD7062" s="388">
        <v>6</v>
      </c>
      <c r="AE7062" s="388"/>
      <c r="AF7062" s="115"/>
      <c r="AG7062" s="388"/>
      <c r="AH7062" s="391"/>
      <c r="AI7062" s="397"/>
      <c r="AJ7062" s="397"/>
      <c r="AU7062" s="397"/>
      <c r="AV7062" s="397"/>
      <c r="AW7062" s="397"/>
      <c r="AX7062" s="397"/>
      <c r="BI7062" s="397"/>
      <c r="BJ7062" s="397"/>
      <c r="BK7062" s="397"/>
      <c r="BL7062" s="397"/>
      <c r="BM7062" s="397"/>
      <c r="BN7062" s="397"/>
      <c r="BO7062" s="397"/>
      <c r="BP7062" s="397"/>
      <c r="BQ7062" s="397"/>
      <c r="BR7062" s="397"/>
      <c r="BS7062" s="397"/>
      <c r="BT7062" s="397"/>
      <c r="BU7062" s="397"/>
      <c r="BV7062" s="397"/>
      <c r="BW7062" s="397"/>
      <c r="BX7062" s="397"/>
      <c r="BY7062" s="397"/>
      <c r="BZ7062" s="397"/>
      <c r="CA7062" s="392" t="s">
        <v>413</v>
      </c>
    </row>
    <row r="7063" spans="1:80" s="392" customFormat="1" ht="15" x14ac:dyDescent="0.25">
      <c r="A7063" s="385"/>
      <c r="D7063" s="700"/>
      <c r="E7063" s="397"/>
      <c r="H7063" s="401">
        <v>3</v>
      </c>
      <c r="I7063" s="401"/>
      <c r="J7063" s="401"/>
      <c r="K7063" s="401"/>
      <c r="L7063" s="675"/>
      <c r="M7063" s="672">
        <v>29104</v>
      </c>
      <c r="N7063" s="623">
        <v>1.6435250779257581E-2</v>
      </c>
      <c r="O7063" s="624" t="s">
        <v>71</v>
      </c>
      <c r="P7063" s="397"/>
      <c r="Q7063" s="397"/>
      <c r="R7063" s="397"/>
      <c r="S7063" s="397"/>
      <c r="T7063" s="397"/>
      <c r="U7063" s="397"/>
      <c r="V7063" s="397"/>
      <c r="W7063" s="397"/>
      <c r="X7063" s="397"/>
      <c r="Y7063" s="397"/>
      <c r="Z7063" s="397"/>
      <c r="AD7063" s="388">
        <v>5.5</v>
      </c>
      <c r="AE7063" s="388"/>
      <c r="AF7063" s="115"/>
      <c r="AG7063" s="388"/>
      <c r="AH7063" s="391"/>
      <c r="AI7063" s="397"/>
      <c r="AJ7063" s="397"/>
      <c r="AU7063" s="397"/>
      <c r="AV7063" s="397"/>
      <c r="AW7063" s="397"/>
      <c r="AX7063" s="397"/>
      <c r="BI7063" s="397"/>
      <c r="BJ7063" s="397"/>
      <c r="BK7063" s="397"/>
      <c r="BL7063" s="397"/>
      <c r="BM7063" s="397"/>
      <c r="BN7063" s="397"/>
      <c r="BO7063" s="397"/>
      <c r="BP7063" s="397"/>
      <c r="BQ7063" s="397"/>
      <c r="BR7063" s="397"/>
      <c r="BS7063" s="397"/>
      <c r="BT7063" s="397"/>
      <c r="BU7063" s="397"/>
      <c r="BV7063" s="397"/>
      <c r="BW7063" s="397"/>
      <c r="BX7063" s="397"/>
      <c r="BY7063" s="397"/>
      <c r="BZ7063" s="397"/>
      <c r="CA7063" s="392" t="s">
        <v>413</v>
      </c>
    </row>
    <row r="7064" spans="1:80" s="189" customFormat="1" ht="15" x14ac:dyDescent="0.25">
      <c r="A7064" s="381" t="s">
        <v>453</v>
      </c>
      <c r="B7064" s="641" t="s">
        <v>34</v>
      </c>
      <c r="C7064" s="639"/>
      <c r="D7064" s="4">
        <f>VLOOKUP(E7064,'Quality Code'!$D$4:$E$24,2,TRUE)*VLOOKUP(MROUND(F7064,10),'Quality Code'!$D$28:$E$69,2,TRUE)*VLOOKUP(COUNTA(CB7064:CB7074),'Quality Code'!$D$73:$E$93,2,TRUE)</f>
        <v>8.7499999999999994E-2</v>
      </c>
      <c r="E7064" s="14">
        <v>0.35</v>
      </c>
      <c r="F7064" s="2">
        <v>8</v>
      </c>
      <c r="G7064" s="12"/>
      <c r="H7064" s="2" t="s">
        <v>105</v>
      </c>
      <c r="I7064" s="2"/>
      <c r="J7064" s="2"/>
      <c r="K7064" s="2"/>
      <c r="L7064" s="639"/>
      <c r="M7064" s="640">
        <v>1977</v>
      </c>
      <c r="N7064" s="578" t="s">
        <v>110</v>
      </c>
      <c r="O7064" s="578"/>
      <c r="P7064" s="26"/>
      <c r="Q7064" s="26"/>
      <c r="R7064" s="26"/>
      <c r="S7064" s="26"/>
      <c r="T7064" s="26"/>
      <c r="U7064" s="26"/>
      <c r="V7064" s="10"/>
      <c r="W7064" s="10"/>
      <c r="X7064" s="10"/>
      <c r="Y7064" s="10"/>
      <c r="Z7064" s="2"/>
      <c r="AA7064" s="26"/>
      <c r="AB7064" s="26"/>
      <c r="AC7064" s="377">
        <v>0.02</v>
      </c>
      <c r="AD7064" s="406"/>
      <c r="AE7064" s="26"/>
      <c r="AF7064" s="26"/>
      <c r="AG7064" s="26"/>
      <c r="AH7064" s="26"/>
      <c r="AI7064" s="4"/>
      <c r="AJ7064" s="4"/>
      <c r="AK7064" s="26"/>
      <c r="AL7064" s="26"/>
      <c r="AM7064" s="26"/>
      <c r="AN7064" s="26"/>
      <c r="AO7064" s="26"/>
      <c r="AP7064" s="26"/>
      <c r="AQ7064" s="26"/>
      <c r="AR7064" s="26"/>
      <c r="AS7064" s="26"/>
      <c r="AT7064" s="26"/>
      <c r="AU7064" s="4"/>
      <c r="AV7064" s="4"/>
      <c r="AW7064" s="4"/>
      <c r="AX7064" s="4"/>
      <c r="AY7064" s="2"/>
      <c r="AZ7064" s="2"/>
      <c r="BA7064" s="12"/>
      <c r="BB7064" s="12"/>
      <c r="BC7064" s="12"/>
      <c r="BD7064" s="12"/>
      <c r="BE7064" s="12"/>
      <c r="BF7064" s="12"/>
      <c r="BG7064" s="12"/>
      <c r="BH7064" s="12"/>
      <c r="BI7064" s="4"/>
      <c r="BJ7064" s="12"/>
      <c r="BK7064" s="2"/>
      <c r="BL7064" s="2"/>
      <c r="BM7064" s="4"/>
      <c r="BN7064" s="12"/>
      <c r="BO7064" s="12"/>
      <c r="BP7064" s="12"/>
      <c r="BQ7064" s="4"/>
      <c r="BR7064" s="4"/>
      <c r="BS7064" s="4"/>
      <c r="BT7064" s="2"/>
      <c r="BU7064" s="9"/>
      <c r="BV7064" s="381"/>
      <c r="BW7064" s="382"/>
      <c r="BX7064" s="383"/>
      <c r="BY7064" s="383"/>
      <c r="BZ7064" s="383"/>
      <c r="CA7064" s="384" t="s">
        <v>413</v>
      </c>
      <c r="CB7064" s="411"/>
    </row>
    <row r="7065" spans="1:80" s="392" customFormat="1" ht="15" x14ac:dyDescent="0.25">
      <c r="A7065" s="385"/>
      <c r="D7065" s="700"/>
      <c r="E7065" s="397"/>
      <c r="H7065" s="401">
        <v>3</v>
      </c>
      <c r="I7065" s="401"/>
      <c r="J7065" s="401"/>
      <c r="K7065" s="401"/>
      <c r="L7065" s="675"/>
      <c r="M7065" s="672">
        <v>28271</v>
      </c>
      <c r="N7065" s="623">
        <v>0.67526211391328983</v>
      </c>
      <c r="O7065" s="624">
        <v>1.2979999999999998E-2</v>
      </c>
      <c r="P7065" s="397"/>
      <c r="Q7065" s="397"/>
      <c r="R7065" s="397"/>
      <c r="S7065" s="397"/>
      <c r="T7065" s="397"/>
      <c r="U7065" s="397"/>
      <c r="V7065" s="397"/>
      <c r="W7065" s="397"/>
      <c r="X7065" s="397"/>
      <c r="Y7065" s="397"/>
      <c r="Z7065" s="397"/>
      <c r="AD7065" s="388">
        <v>5.3949600000000002</v>
      </c>
      <c r="AE7065" s="388">
        <v>0.20726400000000003</v>
      </c>
      <c r="AF7065" s="388">
        <v>1.1181809894400001</v>
      </c>
      <c r="AG7065" s="388">
        <v>0.51206399999999996</v>
      </c>
      <c r="AH7065" s="391"/>
      <c r="AI7065" s="397"/>
      <c r="AJ7065" s="397"/>
      <c r="AU7065" s="397"/>
      <c r="AV7065" s="397"/>
      <c r="AW7065" s="397"/>
      <c r="AX7065" s="397"/>
      <c r="BI7065" s="397"/>
      <c r="BJ7065" s="397"/>
      <c r="BK7065" s="397"/>
      <c r="BL7065" s="397"/>
      <c r="BM7065" s="397"/>
      <c r="BN7065" s="397"/>
      <c r="BO7065" s="397"/>
      <c r="BP7065" s="397"/>
      <c r="BQ7065" s="397"/>
      <c r="BR7065" s="397"/>
      <c r="BS7065" s="397"/>
      <c r="BT7065" s="397"/>
      <c r="BU7065" s="397"/>
      <c r="BV7065" s="397"/>
      <c r="BW7065" s="397"/>
      <c r="BX7065" s="397"/>
      <c r="BY7065" s="397"/>
      <c r="BZ7065" s="397"/>
      <c r="CA7065" s="392" t="s">
        <v>413</v>
      </c>
    </row>
    <row r="7066" spans="1:80" s="392" customFormat="1" ht="15" x14ac:dyDescent="0.25">
      <c r="A7066" s="385"/>
      <c r="D7066" s="700"/>
      <c r="E7066" s="397"/>
      <c r="H7066" s="401">
        <v>3</v>
      </c>
      <c r="I7066" s="401"/>
      <c r="J7066" s="401"/>
      <c r="K7066" s="401"/>
      <c r="L7066" s="675"/>
      <c r="M7066" s="672">
        <v>28278</v>
      </c>
      <c r="N7066" s="623">
        <v>1.0529895154434683</v>
      </c>
      <c r="O7066" s="624">
        <v>5.7493333333333346E-3</v>
      </c>
      <c r="P7066" s="397"/>
      <c r="Q7066" s="397"/>
      <c r="R7066" s="397"/>
      <c r="S7066" s="397"/>
      <c r="T7066" s="397"/>
      <c r="U7066" s="397"/>
      <c r="V7066" s="397"/>
      <c r="W7066" s="397"/>
      <c r="X7066" s="397"/>
      <c r="Y7066" s="397"/>
      <c r="Z7066" s="397"/>
      <c r="AD7066" s="388">
        <v>5.3644800000000004</v>
      </c>
      <c r="AE7066" s="388">
        <v>0.28955999999999998</v>
      </c>
      <c r="AF7066" s="388">
        <v>1.5533388288000001</v>
      </c>
      <c r="AG7066" s="388">
        <v>0.61874399999999996</v>
      </c>
      <c r="AH7066" s="391"/>
      <c r="AI7066" s="397"/>
      <c r="AJ7066" s="397"/>
      <c r="AU7066" s="397"/>
      <c r="AV7066" s="397"/>
      <c r="AW7066" s="397"/>
      <c r="AX7066" s="397"/>
      <c r="BI7066" s="397"/>
      <c r="BJ7066" s="397"/>
      <c r="BK7066" s="397"/>
      <c r="BL7066" s="397"/>
      <c r="BM7066" s="397"/>
      <c r="BN7066" s="397"/>
      <c r="BO7066" s="397"/>
      <c r="BP7066" s="397"/>
      <c r="BQ7066" s="397"/>
      <c r="BR7066" s="397"/>
      <c r="BS7066" s="397"/>
      <c r="BT7066" s="397"/>
      <c r="BU7066" s="397"/>
      <c r="BV7066" s="397"/>
      <c r="BW7066" s="397"/>
      <c r="BX7066" s="397"/>
      <c r="BY7066" s="397"/>
      <c r="BZ7066" s="397"/>
      <c r="CA7066" s="392" t="s">
        <v>413</v>
      </c>
    </row>
    <row r="7067" spans="1:80" s="392" customFormat="1" ht="15" x14ac:dyDescent="0.25">
      <c r="A7067" s="385"/>
      <c r="D7067" s="700"/>
      <c r="E7067" s="397"/>
      <c r="H7067" s="401">
        <v>3</v>
      </c>
      <c r="I7067" s="401"/>
      <c r="J7067" s="401"/>
      <c r="K7067" s="401"/>
      <c r="L7067" s="675"/>
      <c r="M7067" s="672">
        <v>28284</v>
      </c>
      <c r="N7067" s="623">
        <v>2.0954944743553416</v>
      </c>
      <c r="O7067" s="624">
        <v>6.7260000000000002E-3</v>
      </c>
      <c r="P7067" s="397"/>
      <c r="Q7067" s="397"/>
      <c r="R7067" s="397"/>
      <c r="S7067" s="397"/>
      <c r="T7067" s="397"/>
      <c r="U7067" s="397"/>
      <c r="V7067" s="397"/>
      <c r="W7067" s="397"/>
      <c r="X7067" s="397"/>
      <c r="Y7067" s="397"/>
      <c r="Z7067" s="397"/>
      <c r="AD7067" s="388">
        <v>5.3949600000000002</v>
      </c>
      <c r="AE7067" s="388">
        <v>0.347472</v>
      </c>
      <c r="AF7067" s="388">
        <v>1.87459754112</v>
      </c>
      <c r="AG7067" s="388">
        <v>0.98145600000000011</v>
      </c>
      <c r="AH7067" s="391"/>
      <c r="AI7067" s="397"/>
      <c r="AJ7067" s="397"/>
      <c r="AU7067" s="397"/>
      <c r="AV7067" s="397"/>
      <c r="AW7067" s="397"/>
      <c r="AX7067" s="397"/>
      <c r="BI7067" s="397"/>
      <c r="BJ7067" s="397"/>
      <c r="BK7067" s="397"/>
      <c r="BL7067" s="397"/>
      <c r="BM7067" s="397"/>
      <c r="BN7067" s="397"/>
      <c r="BO7067" s="397"/>
      <c r="BP7067" s="397"/>
      <c r="BQ7067" s="397"/>
      <c r="BR7067" s="397"/>
      <c r="BS7067" s="397"/>
      <c r="BT7067" s="397"/>
      <c r="BU7067" s="397"/>
      <c r="BV7067" s="397"/>
      <c r="BW7067" s="397"/>
      <c r="BX7067" s="397"/>
      <c r="BY7067" s="397"/>
      <c r="BZ7067" s="397"/>
      <c r="CA7067" s="392" t="s">
        <v>413</v>
      </c>
    </row>
    <row r="7068" spans="1:80" s="392" customFormat="1" ht="15" x14ac:dyDescent="0.25">
      <c r="A7068" s="385"/>
      <c r="D7068" s="700"/>
      <c r="E7068" s="397"/>
      <c r="H7068" s="401">
        <v>3</v>
      </c>
      <c r="I7068" s="401"/>
      <c r="J7068" s="401"/>
      <c r="K7068" s="401"/>
      <c r="L7068" s="675"/>
      <c r="M7068" s="672">
        <v>28290</v>
      </c>
      <c r="N7068" s="623">
        <v>1.1561348824029469</v>
      </c>
      <c r="O7068" s="624" t="s">
        <v>71</v>
      </c>
      <c r="P7068" s="397"/>
      <c r="Q7068" s="397"/>
      <c r="R7068" s="397"/>
      <c r="S7068" s="397"/>
      <c r="T7068" s="397"/>
      <c r="U7068" s="397"/>
      <c r="V7068" s="397"/>
      <c r="W7068" s="397"/>
      <c r="X7068" s="397"/>
      <c r="Y7068" s="397"/>
      <c r="Z7068" s="397"/>
      <c r="AD7068" s="388">
        <v>5.3644800000000004</v>
      </c>
      <c r="AE7068" s="388">
        <v>0.30480000000000002</v>
      </c>
      <c r="AF7068" s="388">
        <v>1.6350935040000001</v>
      </c>
      <c r="AG7068" s="388">
        <v>0.74371200000000004</v>
      </c>
      <c r="AH7068" s="391"/>
      <c r="AI7068" s="397"/>
      <c r="AJ7068" s="397"/>
      <c r="AU7068" s="397"/>
      <c r="AV7068" s="397"/>
      <c r="AW7068" s="397"/>
      <c r="AX7068" s="397"/>
      <c r="BI7068" s="397"/>
      <c r="BJ7068" s="397"/>
      <c r="BK7068" s="397"/>
      <c r="BL7068" s="397"/>
      <c r="BM7068" s="397"/>
      <c r="BN7068" s="397"/>
      <c r="BO7068" s="397"/>
      <c r="BP7068" s="397"/>
      <c r="BQ7068" s="397"/>
      <c r="BR7068" s="397"/>
      <c r="BS7068" s="397"/>
      <c r="BT7068" s="397"/>
      <c r="BU7068" s="397"/>
      <c r="BV7068" s="397"/>
      <c r="BW7068" s="397"/>
      <c r="BX7068" s="397"/>
      <c r="BY7068" s="397"/>
      <c r="BZ7068" s="397"/>
      <c r="CA7068" s="392" t="s">
        <v>413</v>
      </c>
    </row>
    <row r="7069" spans="1:80" s="392" customFormat="1" ht="15" x14ac:dyDescent="0.25">
      <c r="A7069" s="385"/>
      <c r="D7069" s="700"/>
      <c r="E7069" s="397"/>
      <c r="H7069" s="401">
        <v>3</v>
      </c>
      <c r="I7069" s="401"/>
      <c r="J7069" s="401"/>
      <c r="K7069" s="401"/>
      <c r="L7069" s="675"/>
      <c r="M7069" s="672">
        <v>28298</v>
      </c>
      <c r="N7069" s="623">
        <v>0.80136015868517996</v>
      </c>
      <c r="O7069" s="624">
        <v>1.8666666666666666E-3</v>
      </c>
      <c r="P7069" s="397"/>
      <c r="Q7069" s="397"/>
      <c r="R7069" s="397"/>
      <c r="S7069" s="397"/>
      <c r="T7069" s="397"/>
      <c r="U7069" s="397"/>
      <c r="V7069" s="397"/>
      <c r="W7069" s="397"/>
      <c r="X7069" s="397"/>
      <c r="Y7069" s="397"/>
      <c r="Z7069" s="397"/>
      <c r="AD7069" s="388">
        <v>5.3340000000000005</v>
      </c>
      <c r="AE7069" s="388">
        <v>0.225552</v>
      </c>
      <c r="AF7069" s="388">
        <v>1.2030943680000001</v>
      </c>
      <c r="AG7069" s="388">
        <v>0.57607200000000003</v>
      </c>
      <c r="AH7069" s="391"/>
      <c r="AI7069" s="397"/>
      <c r="AJ7069" s="397"/>
      <c r="AU7069" s="397"/>
      <c r="AV7069" s="397"/>
      <c r="AW7069" s="397"/>
      <c r="AX7069" s="397"/>
      <c r="BI7069" s="397"/>
      <c r="BJ7069" s="397"/>
      <c r="BK7069" s="397"/>
      <c r="BL7069" s="397"/>
      <c r="BM7069" s="397"/>
      <c r="BN7069" s="397"/>
      <c r="BO7069" s="397"/>
      <c r="BP7069" s="397"/>
      <c r="BQ7069" s="397"/>
      <c r="BR7069" s="397"/>
      <c r="BS7069" s="397"/>
      <c r="BT7069" s="397"/>
      <c r="BU7069" s="397"/>
      <c r="BV7069" s="397"/>
      <c r="BW7069" s="397"/>
      <c r="BX7069" s="397"/>
      <c r="BY7069" s="397"/>
      <c r="BZ7069" s="397"/>
      <c r="CA7069" s="392" t="s">
        <v>413</v>
      </c>
    </row>
    <row r="7070" spans="1:80" s="392" customFormat="1" ht="15" x14ac:dyDescent="0.25">
      <c r="A7070" s="385"/>
      <c r="D7070" s="700"/>
      <c r="E7070" s="397"/>
      <c r="H7070" s="401">
        <v>3</v>
      </c>
      <c r="I7070" s="401"/>
      <c r="J7070" s="401"/>
      <c r="K7070" s="401"/>
      <c r="L7070" s="675"/>
      <c r="M7070" s="672">
        <v>28303</v>
      </c>
      <c r="N7070" s="623">
        <v>0.65599319920657406</v>
      </c>
      <c r="O7070" s="624">
        <v>5.2199999999999998E-3</v>
      </c>
      <c r="P7070" s="397"/>
      <c r="Q7070" s="397"/>
      <c r="R7070" s="397"/>
      <c r="S7070" s="397"/>
      <c r="T7070" s="397"/>
      <c r="U7070" s="397"/>
      <c r="V7070" s="397"/>
      <c r="W7070" s="397"/>
      <c r="X7070" s="397"/>
      <c r="Y7070" s="397"/>
      <c r="Z7070" s="397"/>
      <c r="AD7070" s="388">
        <v>5.3035199999999998</v>
      </c>
      <c r="AE7070" s="388">
        <v>0.20421600000000001</v>
      </c>
      <c r="AF7070" s="388">
        <v>1.08306364032</v>
      </c>
      <c r="AG7070" s="388">
        <v>0.51816000000000006</v>
      </c>
      <c r="AH7070" s="391"/>
      <c r="AI7070" s="397"/>
      <c r="AJ7070" s="397"/>
      <c r="AU7070" s="397"/>
      <c r="AV7070" s="397"/>
      <c r="AW7070" s="397"/>
      <c r="AX7070" s="397"/>
      <c r="BI7070" s="397"/>
      <c r="BJ7070" s="397"/>
      <c r="BK7070" s="397"/>
      <c r="BL7070" s="397"/>
      <c r="BM7070" s="397"/>
      <c r="BN7070" s="397"/>
      <c r="BO7070" s="397"/>
      <c r="BP7070" s="397"/>
      <c r="BQ7070" s="397"/>
      <c r="BR7070" s="397"/>
      <c r="BS7070" s="397"/>
      <c r="BT7070" s="397"/>
      <c r="BU7070" s="397"/>
      <c r="BV7070" s="397"/>
      <c r="BW7070" s="397"/>
      <c r="BX7070" s="397"/>
      <c r="BY7070" s="397"/>
      <c r="BZ7070" s="397"/>
      <c r="CA7070" s="392" t="s">
        <v>413</v>
      </c>
    </row>
    <row r="7071" spans="1:80" s="392" customFormat="1" ht="15" x14ac:dyDescent="0.25">
      <c r="A7071" s="385"/>
      <c r="D7071" s="700"/>
      <c r="E7071" s="397"/>
      <c r="H7071" s="401">
        <v>3</v>
      </c>
      <c r="I7071" s="401"/>
      <c r="J7071" s="401"/>
      <c r="K7071" s="401"/>
      <c r="L7071" s="675"/>
      <c r="M7071" s="672">
        <v>28309</v>
      </c>
      <c r="N7071" s="623">
        <v>0.64890903938792854</v>
      </c>
      <c r="O7071" s="624">
        <v>2.7139999999999994E-3</v>
      </c>
      <c r="P7071" s="397"/>
      <c r="Q7071" s="397"/>
      <c r="R7071" s="397"/>
      <c r="S7071" s="397"/>
      <c r="T7071" s="397"/>
      <c r="U7071" s="397"/>
      <c r="V7071" s="397"/>
      <c r="W7071" s="397"/>
      <c r="X7071" s="397"/>
      <c r="Y7071" s="397"/>
      <c r="Z7071" s="397"/>
      <c r="AD7071" s="388">
        <v>5.3949600000000002</v>
      </c>
      <c r="AE7071" s="388">
        <v>0.19507200000000002</v>
      </c>
      <c r="AF7071" s="388">
        <v>1.0524056371200001</v>
      </c>
      <c r="AG7071" s="388">
        <v>0.54254400000000003</v>
      </c>
      <c r="AH7071" s="391"/>
      <c r="AI7071" s="397"/>
      <c r="AJ7071" s="397"/>
      <c r="AU7071" s="397"/>
      <c r="AV7071" s="397"/>
      <c r="AW7071" s="397"/>
      <c r="AX7071" s="397"/>
      <c r="BI7071" s="397"/>
      <c r="BJ7071" s="397"/>
      <c r="BK7071" s="397"/>
      <c r="BL7071" s="397"/>
      <c r="BM7071" s="397"/>
      <c r="BN7071" s="397"/>
      <c r="BO7071" s="397"/>
      <c r="BP7071" s="397"/>
      <c r="BQ7071" s="397"/>
      <c r="BR7071" s="397"/>
      <c r="BS7071" s="397"/>
      <c r="BT7071" s="397"/>
      <c r="BU7071" s="397"/>
      <c r="BV7071" s="397"/>
      <c r="BW7071" s="397"/>
      <c r="BX7071" s="397"/>
      <c r="BY7071" s="397"/>
      <c r="BZ7071" s="397"/>
      <c r="CA7071" s="392" t="s">
        <v>413</v>
      </c>
    </row>
    <row r="7072" spans="1:80" s="392" customFormat="1" ht="15" x14ac:dyDescent="0.25">
      <c r="A7072" s="385"/>
      <c r="D7072" s="700"/>
      <c r="E7072" s="397"/>
      <c r="H7072" s="401">
        <v>3</v>
      </c>
      <c r="I7072" s="401"/>
      <c r="J7072" s="401"/>
      <c r="K7072" s="401"/>
      <c r="L7072" s="675"/>
      <c r="M7072" s="672">
        <v>28318</v>
      </c>
      <c r="N7072" s="623">
        <v>0.45083593085860019</v>
      </c>
      <c r="O7072" s="624" t="s">
        <v>71</v>
      </c>
      <c r="P7072" s="397"/>
      <c r="Q7072" s="397"/>
      <c r="R7072" s="397"/>
      <c r="S7072" s="397"/>
      <c r="T7072" s="397"/>
      <c r="U7072" s="397"/>
      <c r="V7072" s="397"/>
      <c r="W7072" s="397"/>
      <c r="X7072" s="397"/>
      <c r="Y7072" s="397"/>
      <c r="Z7072" s="397"/>
      <c r="AD7072" s="388">
        <v>5.2425600000000001</v>
      </c>
      <c r="AE7072" s="388">
        <v>0.173736</v>
      </c>
      <c r="AF7072" s="388">
        <v>0.91082140416000001</v>
      </c>
      <c r="AG7072" s="388">
        <v>0.39624000000000004</v>
      </c>
      <c r="AH7072" s="391"/>
      <c r="AI7072" s="397"/>
      <c r="AJ7072" s="397"/>
      <c r="AU7072" s="397"/>
      <c r="AV7072" s="397"/>
      <c r="AW7072" s="397"/>
      <c r="AX7072" s="397"/>
      <c r="BI7072" s="397"/>
      <c r="BJ7072" s="397"/>
      <c r="BK7072" s="397"/>
      <c r="BL7072" s="397"/>
      <c r="BM7072" s="397"/>
      <c r="BN7072" s="397"/>
      <c r="BO7072" s="397"/>
      <c r="BP7072" s="397"/>
      <c r="BQ7072" s="397"/>
      <c r="BR7072" s="397"/>
      <c r="BS7072" s="397"/>
      <c r="BT7072" s="397"/>
      <c r="BU7072" s="397"/>
      <c r="BV7072" s="397"/>
      <c r="BW7072" s="397"/>
      <c r="BX7072" s="397"/>
      <c r="BY7072" s="397"/>
      <c r="BZ7072" s="397"/>
      <c r="CA7072" s="392" t="s">
        <v>413</v>
      </c>
    </row>
    <row r="7073" spans="1:80" s="392" customFormat="1" ht="15" x14ac:dyDescent="0.25">
      <c r="A7073" s="385"/>
      <c r="D7073" s="700"/>
      <c r="E7073" s="397"/>
      <c r="H7073" s="401">
        <v>3</v>
      </c>
      <c r="I7073" s="401"/>
      <c r="J7073" s="401"/>
      <c r="K7073" s="401"/>
      <c r="L7073" s="675"/>
      <c r="M7073" s="672">
        <v>28324</v>
      </c>
      <c r="N7073" s="623">
        <v>0.3910456219892321</v>
      </c>
      <c r="O7073" s="624" t="s">
        <v>71</v>
      </c>
      <c r="P7073" s="397"/>
      <c r="Q7073" s="397"/>
      <c r="R7073" s="397"/>
      <c r="S7073" s="397"/>
      <c r="T7073" s="397"/>
      <c r="U7073" s="397"/>
      <c r="V7073" s="397"/>
      <c r="W7073" s="397"/>
      <c r="X7073" s="397"/>
      <c r="Y7073" s="397"/>
      <c r="Z7073" s="397"/>
      <c r="AD7073" s="388">
        <v>5.2730400000000008</v>
      </c>
      <c r="AE7073" s="388">
        <v>0.17068800000000003</v>
      </c>
      <c r="AF7073" s="388">
        <v>0.90004465152000035</v>
      </c>
      <c r="AG7073" s="388">
        <v>0.34442400000000001</v>
      </c>
      <c r="AH7073" s="391"/>
      <c r="AI7073" s="397"/>
      <c r="AJ7073" s="397"/>
      <c r="AU7073" s="397"/>
      <c r="AV7073" s="397"/>
      <c r="AW7073" s="397"/>
      <c r="AX7073" s="397"/>
      <c r="BI7073" s="397"/>
      <c r="BJ7073" s="397"/>
      <c r="BK7073" s="397"/>
      <c r="BL7073" s="397"/>
      <c r="BM7073" s="397"/>
      <c r="BN7073" s="397"/>
      <c r="BO7073" s="397"/>
      <c r="BP7073" s="397"/>
      <c r="BQ7073" s="397"/>
      <c r="BR7073" s="397"/>
      <c r="BS7073" s="397"/>
      <c r="BT7073" s="397"/>
      <c r="BU7073" s="397"/>
      <c r="BV7073" s="397"/>
      <c r="BW7073" s="397"/>
      <c r="BX7073" s="397"/>
      <c r="BY7073" s="397"/>
      <c r="BZ7073" s="397"/>
      <c r="CA7073" s="392" t="s">
        <v>413</v>
      </c>
    </row>
    <row r="7074" spans="1:80" s="392" customFormat="1" ht="15" x14ac:dyDescent="0.25">
      <c r="A7074" s="385"/>
      <c r="D7074" s="700"/>
      <c r="E7074" s="397"/>
      <c r="H7074" s="401">
        <v>3</v>
      </c>
      <c r="I7074" s="401"/>
      <c r="J7074" s="401"/>
      <c r="K7074" s="401"/>
      <c r="L7074" s="675"/>
      <c r="M7074" s="672">
        <v>28331</v>
      </c>
      <c r="N7074" s="623">
        <v>0.61660527061490511</v>
      </c>
      <c r="O7074" s="624">
        <v>1.9719999999999998E-3</v>
      </c>
      <c r="P7074" s="397"/>
      <c r="Q7074" s="397"/>
      <c r="R7074" s="397"/>
      <c r="S7074" s="397"/>
      <c r="T7074" s="397"/>
      <c r="U7074" s="397"/>
      <c r="V7074" s="397"/>
      <c r="W7074" s="397"/>
      <c r="X7074" s="397"/>
      <c r="Y7074" s="397"/>
      <c r="Z7074" s="397"/>
      <c r="AD7074" s="388">
        <v>5.3035199999999998</v>
      </c>
      <c r="AE7074" s="388">
        <v>0.20726400000000003</v>
      </c>
      <c r="AF7074" s="388">
        <v>1.09922876928</v>
      </c>
      <c r="AG7074" s="388">
        <v>0.48158400000000007</v>
      </c>
      <c r="AH7074" s="391"/>
      <c r="AI7074" s="397"/>
      <c r="AJ7074" s="397"/>
      <c r="AU7074" s="397"/>
      <c r="AV7074" s="397"/>
      <c r="AW7074" s="397"/>
      <c r="AX7074" s="397"/>
      <c r="BI7074" s="397"/>
      <c r="BJ7074" s="397"/>
      <c r="BK7074" s="397"/>
      <c r="BL7074" s="397"/>
      <c r="BM7074" s="397"/>
      <c r="BN7074" s="397"/>
      <c r="BO7074" s="397"/>
      <c r="BP7074" s="397"/>
      <c r="BQ7074" s="397"/>
      <c r="BR7074" s="397"/>
      <c r="BS7074" s="397"/>
      <c r="BT7074" s="397"/>
      <c r="BU7074" s="397"/>
      <c r="BV7074" s="397"/>
      <c r="BW7074" s="397"/>
      <c r="BX7074" s="397"/>
      <c r="BY7074" s="397"/>
      <c r="BZ7074" s="397"/>
      <c r="CA7074" s="392" t="s">
        <v>413</v>
      </c>
    </row>
    <row r="7075" spans="1:80" s="392" customFormat="1" ht="15" x14ac:dyDescent="0.25">
      <c r="A7075" s="385"/>
      <c r="D7075" s="700"/>
      <c r="E7075" s="397"/>
      <c r="H7075" s="401">
        <v>3</v>
      </c>
      <c r="I7075" s="401"/>
      <c r="J7075" s="401"/>
      <c r="K7075" s="401"/>
      <c r="L7075" s="675"/>
      <c r="M7075" s="672">
        <v>28338</v>
      </c>
      <c r="N7075" s="623">
        <v>0.36129215075092097</v>
      </c>
      <c r="O7075" s="624" t="s">
        <v>71</v>
      </c>
      <c r="P7075" s="397"/>
      <c r="Q7075" s="397"/>
      <c r="R7075" s="397"/>
      <c r="S7075" s="397"/>
      <c r="T7075" s="397"/>
      <c r="U7075" s="397"/>
      <c r="V7075" s="397"/>
      <c r="W7075" s="397"/>
      <c r="X7075" s="397"/>
      <c r="Y7075" s="397"/>
      <c r="Z7075" s="397"/>
      <c r="AD7075" s="388">
        <v>4.9682400000000007</v>
      </c>
      <c r="AE7075" s="388">
        <v>0.16764000000000001</v>
      </c>
      <c r="AF7075" s="388">
        <v>0.83287575360000021</v>
      </c>
      <c r="AG7075" s="388">
        <v>0.37185600000000002</v>
      </c>
      <c r="AH7075" s="391"/>
      <c r="AI7075" s="397"/>
      <c r="AJ7075" s="397"/>
      <c r="AU7075" s="397"/>
      <c r="AV7075" s="397"/>
      <c r="AW7075" s="397"/>
      <c r="AX7075" s="397"/>
      <c r="BI7075" s="397"/>
      <c r="BJ7075" s="397"/>
      <c r="BK7075" s="397"/>
      <c r="BL7075" s="397"/>
      <c r="BM7075" s="397"/>
      <c r="BN7075" s="397"/>
      <c r="BO7075" s="397"/>
      <c r="BP7075" s="397"/>
      <c r="BQ7075" s="397"/>
      <c r="BR7075" s="397"/>
      <c r="BS7075" s="397"/>
      <c r="BT7075" s="397"/>
      <c r="BU7075" s="397"/>
      <c r="BV7075" s="397"/>
      <c r="BW7075" s="397"/>
      <c r="BX7075" s="397"/>
      <c r="BY7075" s="397"/>
      <c r="BZ7075" s="397"/>
      <c r="CA7075" s="392" t="s">
        <v>413</v>
      </c>
    </row>
    <row r="7076" spans="1:80" s="392" customFormat="1" ht="15" x14ac:dyDescent="0.25">
      <c r="A7076" s="385"/>
      <c r="D7076" s="700"/>
      <c r="E7076" s="397"/>
      <c r="H7076" s="401">
        <v>3</v>
      </c>
      <c r="I7076" s="401"/>
      <c r="J7076" s="401"/>
      <c r="K7076" s="401"/>
      <c r="L7076" s="675"/>
      <c r="M7076" s="672">
        <v>28367</v>
      </c>
      <c r="N7076" s="623">
        <v>0.29583451402663641</v>
      </c>
      <c r="O7076" s="624">
        <v>1.6960000000000002E-3</v>
      </c>
      <c r="P7076" s="397"/>
      <c r="Q7076" s="397"/>
      <c r="R7076" s="397"/>
      <c r="S7076" s="397"/>
      <c r="T7076" s="397"/>
      <c r="U7076" s="397"/>
      <c r="V7076" s="397"/>
      <c r="W7076" s="397"/>
      <c r="X7076" s="397"/>
      <c r="Y7076" s="397"/>
      <c r="Z7076" s="397"/>
      <c r="AD7076" s="388">
        <v>4.8463200000000004</v>
      </c>
      <c r="AE7076" s="388">
        <v>0.14935200000000001</v>
      </c>
      <c r="AF7076" s="388">
        <v>0.72380758464000017</v>
      </c>
      <c r="AG7076" s="388">
        <v>0.22860000000000003</v>
      </c>
      <c r="AH7076" s="391"/>
      <c r="AI7076" s="397"/>
      <c r="AJ7076" s="397"/>
      <c r="AU7076" s="397"/>
      <c r="AV7076" s="397"/>
      <c r="AW7076" s="397"/>
      <c r="AX7076" s="397"/>
      <c r="BI7076" s="397"/>
      <c r="BJ7076" s="397"/>
      <c r="BK7076" s="397"/>
      <c r="BL7076" s="397"/>
      <c r="BM7076" s="397"/>
      <c r="BN7076" s="397"/>
      <c r="BO7076" s="397"/>
      <c r="BP7076" s="397"/>
      <c r="BQ7076" s="397"/>
      <c r="BR7076" s="397"/>
      <c r="BS7076" s="397"/>
      <c r="BT7076" s="397"/>
      <c r="BU7076" s="397"/>
      <c r="BV7076" s="397"/>
      <c r="BW7076" s="397"/>
      <c r="BX7076" s="397"/>
      <c r="BY7076" s="397"/>
      <c r="BZ7076" s="397"/>
      <c r="CA7076" s="392" t="s">
        <v>413</v>
      </c>
    </row>
    <row r="7077" spans="1:80" s="189" customFormat="1" ht="15" x14ac:dyDescent="0.25">
      <c r="A7077" s="381" t="s">
        <v>454</v>
      </c>
      <c r="B7077" s="641" t="s">
        <v>34</v>
      </c>
      <c r="C7077" s="639"/>
      <c r="D7077" s="4">
        <f>VLOOKUP(E7077,'Quality Code'!$D$4:$E$24,2,TRUE)*VLOOKUP(MROUND(F7077,10),'Quality Code'!$D$28:$E$69,2,TRUE)*VLOOKUP(COUNTA(CB7077:CB7087),'Quality Code'!$D$73:$E$93,2,TRUE)</f>
        <v>0.17499999999999999</v>
      </c>
      <c r="E7077" s="14">
        <v>0.35</v>
      </c>
      <c r="F7077" s="2">
        <v>17</v>
      </c>
      <c r="G7077" s="12"/>
      <c r="H7077" s="2" t="s">
        <v>105</v>
      </c>
      <c r="I7077" s="2"/>
      <c r="J7077" s="2"/>
      <c r="K7077" s="2"/>
      <c r="L7077" s="639"/>
      <c r="M7077" s="640" t="s">
        <v>914</v>
      </c>
      <c r="N7077" s="578" t="s">
        <v>110</v>
      </c>
      <c r="O7077" s="578"/>
      <c r="P7077" s="26"/>
      <c r="Q7077" s="26"/>
      <c r="R7077" s="26"/>
      <c r="S7077" s="26"/>
      <c r="T7077" s="26"/>
      <c r="U7077" s="26"/>
      <c r="V7077" s="10"/>
      <c r="W7077" s="10"/>
      <c r="X7077" s="10"/>
      <c r="Y7077" s="10"/>
      <c r="Z7077" s="2"/>
      <c r="AA7077" s="26"/>
      <c r="AB7077" s="26"/>
      <c r="AC7077" s="377">
        <v>3.1E-2</v>
      </c>
      <c r="AD7077" s="406"/>
      <c r="AE7077" s="26"/>
      <c r="AF7077" s="26"/>
      <c r="AG7077" s="26"/>
      <c r="AH7077" s="26"/>
      <c r="AI7077" s="4"/>
      <c r="AJ7077" s="4"/>
      <c r="AK7077" s="26"/>
      <c r="AL7077" s="26"/>
      <c r="AM7077" s="26"/>
      <c r="AN7077" s="26"/>
      <c r="AO7077" s="26"/>
      <c r="AP7077" s="26"/>
      <c r="AQ7077" s="26"/>
      <c r="AR7077" s="26"/>
      <c r="AS7077" s="26"/>
      <c r="AT7077" s="26"/>
      <c r="AU7077" s="4"/>
      <c r="AV7077" s="4"/>
      <c r="AW7077" s="4"/>
      <c r="AX7077" s="4"/>
      <c r="AY7077" s="2"/>
      <c r="AZ7077" s="2"/>
      <c r="BA7077" s="12"/>
      <c r="BB7077" s="12"/>
      <c r="BC7077" s="12"/>
      <c r="BD7077" s="12"/>
      <c r="BE7077" s="12"/>
      <c r="BF7077" s="12"/>
      <c r="BG7077" s="12"/>
      <c r="BH7077" s="12"/>
      <c r="BI7077" s="4"/>
      <c r="BJ7077" s="12"/>
      <c r="BK7077" s="2"/>
      <c r="BL7077" s="2"/>
      <c r="BM7077" s="4"/>
      <c r="BN7077" s="12"/>
      <c r="BO7077" s="12"/>
      <c r="BP7077" s="12"/>
      <c r="BQ7077" s="4"/>
      <c r="BR7077" s="4"/>
      <c r="BS7077" s="4"/>
      <c r="BT7077" s="2"/>
      <c r="BU7077" s="9"/>
      <c r="BV7077" s="381"/>
      <c r="BW7077" s="382"/>
      <c r="BX7077" s="383"/>
      <c r="BY7077" s="383"/>
      <c r="BZ7077" s="383"/>
      <c r="CA7077" s="384" t="s">
        <v>413</v>
      </c>
      <c r="CB7077" s="411"/>
    </row>
    <row r="7078" spans="1:80" s="392" customFormat="1" ht="15" x14ac:dyDescent="0.25">
      <c r="A7078" s="385"/>
      <c r="D7078" s="700"/>
      <c r="E7078" s="397"/>
      <c r="H7078" s="401">
        <v>3</v>
      </c>
      <c r="I7078" s="401"/>
      <c r="J7078" s="401"/>
      <c r="K7078" s="401"/>
      <c r="L7078" s="675"/>
      <c r="M7078" s="672">
        <v>28270</v>
      </c>
      <c r="N7078" s="623">
        <v>0.26778124114480023</v>
      </c>
      <c r="O7078" s="624">
        <v>2.6866666666666666E-3</v>
      </c>
      <c r="P7078" s="397"/>
      <c r="Q7078" s="397"/>
      <c r="R7078" s="397"/>
      <c r="S7078" s="397"/>
      <c r="T7078" s="397"/>
      <c r="U7078" s="397"/>
      <c r="V7078" s="397"/>
      <c r="W7078" s="397"/>
      <c r="X7078" s="397"/>
      <c r="Y7078" s="397"/>
      <c r="Z7078" s="397"/>
      <c r="AD7078" s="388">
        <v>3.9624000000000001</v>
      </c>
      <c r="AE7078" s="388">
        <v>0.15240000000000001</v>
      </c>
      <c r="AF7078" s="388">
        <v>0.60386976000000003</v>
      </c>
      <c r="AG7078" s="388">
        <v>0.38709600000000005</v>
      </c>
      <c r="AH7078" s="391"/>
      <c r="AI7078" s="397"/>
      <c r="AJ7078" s="397"/>
      <c r="AU7078" s="397"/>
      <c r="AV7078" s="397"/>
      <c r="AW7078" s="397"/>
      <c r="AX7078" s="397"/>
      <c r="BI7078" s="397"/>
      <c r="BJ7078" s="397"/>
      <c r="BK7078" s="397"/>
      <c r="BL7078" s="397"/>
      <c r="BM7078" s="397"/>
      <c r="BN7078" s="397"/>
      <c r="BO7078" s="397"/>
      <c r="BP7078" s="397"/>
      <c r="BQ7078" s="397"/>
      <c r="BR7078" s="397"/>
      <c r="BS7078" s="397"/>
      <c r="BT7078" s="397"/>
      <c r="BU7078" s="397"/>
      <c r="BV7078" s="397"/>
      <c r="BW7078" s="397"/>
      <c r="BX7078" s="397"/>
      <c r="BY7078" s="397"/>
      <c r="BZ7078" s="397"/>
      <c r="CA7078" s="392" t="s">
        <v>413</v>
      </c>
    </row>
    <row r="7079" spans="1:80" s="392" customFormat="1" ht="15" x14ac:dyDescent="0.25">
      <c r="A7079" s="385"/>
      <c r="D7079" s="700"/>
      <c r="E7079" s="397"/>
      <c r="H7079" s="401">
        <v>3</v>
      </c>
      <c r="I7079" s="401"/>
      <c r="J7079" s="401"/>
      <c r="K7079" s="401"/>
      <c r="L7079" s="675"/>
      <c r="M7079" s="672">
        <v>28279</v>
      </c>
      <c r="N7079" s="623">
        <v>0.48058940209691137</v>
      </c>
      <c r="O7079" s="624">
        <v>1.7333333333333335E-3</v>
      </c>
      <c r="P7079" s="397"/>
      <c r="Q7079" s="397"/>
      <c r="R7079" s="397"/>
      <c r="S7079" s="397"/>
      <c r="T7079" s="397"/>
      <c r="U7079" s="397"/>
      <c r="V7079" s="397"/>
      <c r="W7079" s="397"/>
      <c r="X7079" s="397"/>
      <c r="Y7079" s="397"/>
      <c r="Z7079" s="397"/>
      <c r="AD7079" s="388">
        <v>3.9624000000000001</v>
      </c>
      <c r="AE7079" s="388">
        <v>0.20726400000000003</v>
      </c>
      <c r="AF7079" s="388">
        <v>0.82126287360000017</v>
      </c>
      <c r="AG7079" s="388">
        <v>0.55778400000000006</v>
      </c>
      <c r="AH7079" s="391"/>
      <c r="AI7079" s="397"/>
      <c r="AJ7079" s="397"/>
      <c r="AU7079" s="397"/>
      <c r="AV7079" s="397"/>
      <c r="AW7079" s="397"/>
      <c r="AX7079" s="397"/>
      <c r="BI7079" s="397"/>
      <c r="BJ7079" s="397"/>
      <c r="BK7079" s="397"/>
      <c r="BL7079" s="397"/>
      <c r="BM7079" s="397"/>
      <c r="BN7079" s="397"/>
      <c r="BO7079" s="397"/>
      <c r="BP7079" s="397"/>
      <c r="BQ7079" s="397"/>
      <c r="BR7079" s="397"/>
      <c r="BS7079" s="397"/>
      <c r="BT7079" s="397"/>
      <c r="BU7079" s="397"/>
      <c r="BV7079" s="397"/>
      <c r="BW7079" s="397"/>
      <c r="BX7079" s="397"/>
      <c r="BY7079" s="397"/>
      <c r="BZ7079" s="397"/>
      <c r="CA7079" s="392" t="s">
        <v>413</v>
      </c>
    </row>
    <row r="7080" spans="1:80" s="392" customFormat="1" ht="15" x14ac:dyDescent="0.25">
      <c r="A7080" s="385"/>
      <c r="D7080" s="700"/>
      <c r="E7080" s="397"/>
      <c r="H7080" s="401">
        <v>3</v>
      </c>
      <c r="I7080" s="401"/>
      <c r="J7080" s="401"/>
      <c r="K7080" s="401"/>
      <c r="L7080" s="675"/>
      <c r="M7080" s="672">
        <v>28284</v>
      </c>
      <c r="N7080" s="623">
        <v>0.71436667611221316</v>
      </c>
      <c r="O7080" s="624">
        <v>2.2533333333333333E-3</v>
      </c>
      <c r="P7080" s="397"/>
      <c r="Q7080" s="397"/>
      <c r="R7080" s="397"/>
      <c r="S7080" s="397"/>
      <c r="T7080" s="397"/>
      <c r="U7080" s="397"/>
      <c r="V7080" s="397"/>
      <c r="W7080" s="397"/>
      <c r="X7080" s="397"/>
      <c r="Y7080" s="397"/>
      <c r="Z7080" s="397"/>
      <c r="AD7080" s="388">
        <v>3.9624000000000001</v>
      </c>
      <c r="AE7080" s="388">
        <v>0.23774400000000001</v>
      </c>
      <c r="AF7080" s="388">
        <v>0.94203682560000013</v>
      </c>
      <c r="AG7080" s="388">
        <v>0.75285600000000008</v>
      </c>
      <c r="AH7080" s="391"/>
      <c r="AI7080" s="397"/>
      <c r="AJ7080" s="397"/>
      <c r="AU7080" s="397"/>
      <c r="AV7080" s="397"/>
      <c r="AW7080" s="397"/>
      <c r="AX7080" s="397"/>
      <c r="BI7080" s="397"/>
      <c r="BJ7080" s="397"/>
      <c r="BK7080" s="397"/>
      <c r="BL7080" s="397"/>
      <c r="BM7080" s="397"/>
      <c r="BN7080" s="397"/>
      <c r="BO7080" s="397"/>
      <c r="BP7080" s="397"/>
      <c r="BQ7080" s="397"/>
      <c r="BR7080" s="397"/>
      <c r="BS7080" s="397"/>
      <c r="BT7080" s="397"/>
      <c r="BU7080" s="397"/>
      <c r="BV7080" s="397"/>
      <c r="BW7080" s="397"/>
      <c r="BX7080" s="397"/>
      <c r="BY7080" s="397"/>
      <c r="BZ7080" s="397"/>
      <c r="CA7080" s="392" t="s">
        <v>413</v>
      </c>
    </row>
    <row r="7081" spans="1:80" s="392" customFormat="1" ht="15" x14ac:dyDescent="0.25">
      <c r="A7081" s="385"/>
      <c r="D7081" s="700"/>
      <c r="E7081" s="397"/>
      <c r="H7081" s="401">
        <v>3</v>
      </c>
      <c r="I7081" s="401"/>
      <c r="J7081" s="401"/>
      <c r="K7081" s="401"/>
      <c r="L7081" s="675"/>
      <c r="M7081" s="672">
        <v>28295</v>
      </c>
      <c r="N7081" s="623">
        <v>0.49079059223576088</v>
      </c>
      <c r="O7081" s="624">
        <v>6.3333333333333323E-3</v>
      </c>
      <c r="P7081" s="397"/>
      <c r="Q7081" s="397"/>
      <c r="R7081" s="397"/>
      <c r="S7081" s="397"/>
      <c r="T7081" s="397"/>
      <c r="U7081" s="397"/>
      <c r="V7081" s="397"/>
      <c r="W7081" s="397"/>
      <c r="X7081" s="397"/>
      <c r="Y7081" s="397"/>
      <c r="Z7081" s="397"/>
      <c r="AD7081" s="388">
        <v>3.81</v>
      </c>
      <c r="AE7081" s="388">
        <v>0.21945600000000001</v>
      </c>
      <c r="AF7081" s="388">
        <v>0.8361273600000001</v>
      </c>
      <c r="AG7081" s="388">
        <v>0.59131200000000006</v>
      </c>
      <c r="AH7081" s="391"/>
      <c r="AI7081" s="397"/>
      <c r="AJ7081" s="397"/>
      <c r="AU7081" s="397"/>
      <c r="AV7081" s="397"/>
      <c r="AW7081" s="397"/>
      <c r="AX7081" s="397"/>
      <c r="BI7081" s="397"/>
      <c r="BJ7081" s="397"/>
      <c r="BK7081" s="397"/>
      <c r="BL7081" s="397"/>
      <c r="BM7081" s="397"/>
      <c r="BN7081" s="397"/>
      <c r="BO7081" s="397"/>
      <c r="BP7081" s="397"/>
      <c r="BQ7081" s="397"/>
      <c r="BR7081" s="397"/>
      <c r="BS7081" s="397"/>
      <c r="BT7081" s="397"/>
      <c r="BU7081" s="397"/>
      <c r="BV7081" s="397"/>
      <c r="BW7081" s="397"/>
      <c r="BX7081" s="397"/>
      <c r="BY7081" s="397"/>
      <c r="BZ7081" s="397"/>
      <c r="CA7081" s="392" t="s">
        <v>413</v>
      </c>
    </row>
    <row r="7082" spans="1:80" s="392" customFormat="1" ht="15" x14ac:dyDescent="0.25">
      <c r="A7082" s="385"/>
      <c r="D7082" s="700"/>
      <c r="E7082" s="397"/>
      <c r="H7082" s="401">
        <v>3</v>
      </c>
      <c r="I7082" s="401"/>
      <c r="J7082" s="401"/>
      <c r="K7082" s="401"/>
      <c r="L7082" s="675"/>
      <c r="M7082" s="672">
        <v>28302</v>
      </c>
      <c r="N7082" s="623">
        <v>0.37064324171153301</v>
      </c>
      <c r="O7082" s="624">
        <v>2.0833333333333329E-3</v>
      </c>
      <c r="P7082" s="397"/>
      <c r="Q7082" s="397"/>
      <c r="R7082" s="397"/>
      <c r="S7082" s="397"/>
      <c r="T7082" s="397"/>
      <c r="U7082" s="397"/>
      <c r="V7082" s="397"/>
      <c r="W7082" s="397"/>
      <c r="X7082" s="397"/>
      <c r="Y7082" s="397"/>
      <c r="Z7082" s="397"/>
      <c r="AD7082" s="388">
        <v>3.81</v>
      </c>
      <c r="AE7082" s="388">
        <v>0.18897600000000001</v>
      </c>
      <c r="AF7082" s="388">
        <v>0.71999856000000007</v>
      </c>
      <c r="AG7082" s="388">
        <v>0.48158400000000007</v>
      </c>
      <c r="AH7082" s="391"/>
      <c r="AI7082" s="397"/>
      <c r="AJ7082" s="397"/>
      <c r="AU7082" s="397"/>
      <c r="AV7082" s="397"/>
      <c r="AW7082" s="397"/>
      <c r="AX7082" s="397"/>
      <c r="BI7082" s="397"/>
      <c r="BJ7082" s="397"/>
      <c r="BK7082" s="397"/>
      <c r="BL7082" s="397"/>
      <c r="BM7082" s="397"/>
      <c r="BN7082" s="397"/>
      <c r="BO7082" s="397"/>
      <c r="BP7082" s="397"/>
      <c r="BQ7082" s="397"/>
      <c r="BR7082" s="397"/>
      <c r="BS7082" s="397"/>
      <c r="BT7082" s="397"/>
      <c r="BU7082" s="397"/>
      <c r="BV7082" s="397"/>
      <c r="BW7082" s="397"/>
      <c r="BX7082" s="397"/>
      <c r="BY7082" s="397"/>
      <c r="BZ7082" s="397"/>
      <c r="CA7082" s="392" t="s">
        <v>413</v>
      </c>
    </row>
    <row r="7083" spans="1:80" s="392" customFormat="1" ht="15" x14ac:dyDescent="0.25">
      <c r="A7083" s="385"/>
      <c r="D7083" s="700"/>
      <c r="E7083" s="397"/>
      <c r="H7083" s="401">
        <v>3</v>
      </c>
      <c r="I7083" s="401"/>
      <c r="J7083" s="401"/>
      <c r="K7083" s="401"/>
      <c r="L7083" s="675"/>
      <c r="M7083" s="672">
        <v>28308</v>
      </c>
      <c r="N7083" s="623">
        <v>0.30348540663077361</v>
      </c>
      <c r="O7083" s="624">
        <v>2.5400000000000002E-3</v>
      </c>
      <c r="P7083" s="397"/>
      <c r="Q7083" s="397"/>
      <c r="R7083" s="397"/>
      <c r="S7083" s="397"/>
      <c r="T7083" s="397"/>
      <c r="U7083" s="397"/>
      <c r="V7083" s="397"/>
      <c r="W7083" s="397"/>
      <c r="X7083" s="397"/>
      <c r="Y7083" s="397"/>
      <c r="Z7083" s="397"/>
      <c r="AD7083" s="388">
        <v>3.8709600000000002</v>
      </c>
      <c r="AE7083" s="388">
        <v>0.16764000000000001</v>
      </c>
      <c r="AF7083" s="388">
        <v>0.64892773440000007</v>
      </c>
      <c r="AG7083" s="388">
        <v>0.43281599999999998</v>
      </c>
      <c r="AH7083" s="391"/>
      <c r="AI7083" s="397"/>
      <c r="AJ7083" s="397"/>
      <c r="AU7083" s="397"/>
      <c r="AV7083" s="397"/>
      <c r="AW7083" s="397"/>
      <c r="AX7083" s="397"/>
      <c r="BI7083" s="397"/>
      <c r="BJ7083" s="397"/>
      <c r="BK7083" s="397"/>
      <c r="BL7083" s="397"/>
      <c r="BM7083" s="397"/>
      <c r="BN7083" s="397"/>
      <c r="BO7083" s="397"/>
      <c r="BP7083" s="397"/>
      <c r="BQ7083" s="397"/>
      <c r="BR7083" s="397"/>
      <c r="BS7083" s="397"/>
      <c r="BT7083" s="397"/>
      <c r="BU7083" s="397"/>
      <c r="BV7083" s="397"/>
      <c r="BW7083" s="397"/>
      <c r="BX7083" s="397"/>
      <c r="BY7083" s="397"/>
      <c r="BZ7083" s="397"/>
      <c r="CA7083" s="392" t="s">
        <v>413</v>
      </c>
    </row>
    <row r="7084" spans="1:80" s="392" customFormat="1" ht="15" x14ac:dyDescent="0.25">
      <c r="A7084" s="385"/>
      <c r="D7084" s="700"/>
      <c r="E7084" s="397"/>
      <c r="H7084" s="401">
        <v>3</v>
      </c>
      <c r="I7084" s="401"/>
      <c r="J7084" s="401"/>
      <c r="K7084" s="401"/>
      <c r="L7084" s="675"/>
      <c r="M7084" s="672">
        <v>28315</v>
      </c>
      <c r="N7084" s="623">
        <v>0.28478322470954948</v>
      </c>
      <c r="O7084" s="624">
        <v>3.5000000000000005E-3</v>
      </c>
      <c r="P7084" s="397"/>
      <c r="Q7084" s="397"/>
      <c r="R7084" s="397"/>
      <c r="S7084" s="397"/>
      <c r="T7084" s="397"/>
      <c r="U7084" s="397"/>
      <c r="V7084" s="397"/>
      <c r="W7084" s="397"/>
      <c r="X7084" s="397"/>
      <c r="Y7084" s="397"/>
      <c r="Z7084" s="397"/>
      <c r="AD7084" s="388">
        <v>3.81</v>
      </c>
      <c r="AE7084" s="388">
        <v>0.15849600000000003</v>
      </c>
      <c r="AF7084" s="388">
        <v>0.60386976000000014</v>
      </c>
      <c r="AG7084" s="388">
        <v>0.40233600000000003</v>
      </c>
      <c r="AH7084" s="391"/>
      <c r="AI7084" s="397"/>
      <c r="AJ7084" s="397"/>
      <c r="AU7084" s="397"/>
      <c r="AV7084" s="397"/>
      <c r="AW7084" s="397"/>
      <c r="AX7084" s="397"/>
      <c r="BI7084" s="397"/>
      <c r="BJ7084" s="397"/>
      <c r="BK7084" s="397"/>
      <c r="BL7084" s="397"/>
      <c r="BM7084" s="397"/>
      <c r="BN7084" s="397"/>
      <c r="BO7084" s="397"/>
      <c r="BP7084" s="397"/>
      <c r="BQ7084" s="397"/>
      <c r="BR7084" s="397"/>
      <c r="BS7084" s="397"/>
      <c r="BT7084" s="397"/>
      <c r="BU7084" s="397"/>
      <c r="BV7084" s="397"/>
      <c r="BW7084" s="397"/>
      <c r="BX7084" s="397"/>
      <c r="BY7084" s="397"/>
      <c r="BZ7084" s="397"/>
      <c r="CA7084" s="392" t="s">
        <v>413</v>
      </c>
    </row>
    <row r="7085" spans="1:80" s="392" customFormat="1" ht="15" x14ac:dyDescent="0.25">
      <c r="A7085" s="385"/>
      <c r="D7085" s="700"/>
      <c r="E7085" s="397"/>
      <c r="H7085" s="401">
        <v>3</v>
      </c>
      <c r="I7085" s="401"/>
      <c r="J7085" s="401"/>
      <c r="K7085" s="401"/>
      <c r="L7085" s="675"/>
      <c r="M7085" s="672">
        <v>28322</v>
      </c>
      <c r="N7085" s="623">
        <v>0.2312269764805894</v>
      </c>
      <c r="O7085" s="624" t="s">
        <v>71</v>
      </c>
      <c r="P7085" s="397"/>
      <c r="Q7085" s="397"/>
      <c r="R7085" s="397"/>
      <c r="S7085" s="397"/>
      <c r="T7085" s="397"/>
      <c r="U7085" s="397"/>
      <c r="V7085" s="397"/>
      <c r="W7085" s="397"/>
      <c r="X7085" s="397"/>
      <c r="Y7085" s="397"/>
      <c r="Z7085" s="397"/>
      <c r="AD7085" s="388">
        <v>3.81</v>
      </c>
      <c r="AE7085" s="388">
        <v>0.140208</v>
      </c>
      <c r="AF7085" s="388">
        <v>0.53419247999999997</v>
      </c>
      <c r="AG7085" s="388">
        <v>0.38100000000000001</v>
      </c>
      <c r="AH7085" s="391"/>
      <c r="AI7085" s="397"/>
      <c r="AJ7085" s="397"/>
      <c r="AU7085" s="397"/>
      <c r="AV7085" s="397"/>
      <c r="AW7085" s="397"/>
      <c r="AX7085" s="397"/>
      <c r="BI7085" s="397"/>
      <c r="BJ7085" s="397"/>
      <c r="BK7085" s="397"/>
      <c r="BL7085" s="397"/>
      <c r="BM7085" s="397"/>
      <c r="BN7085" s="397"/>
      <c r="BO7085" s="397"/>
      <c r="BP7085" s="397"/>
      <c r="BQ7085" s="397"/>
      <c r="BR7085" s="397"/>
      <c r="BS7085" s="397"/>
      <c r="BT7085" s="397"/>
      <c r="BU7085" s="397"/>
      <c r="BV7085" s="397"/>
      <c r="BW7085" s="397"/>
      <c r="BX7085" s="397"/>
      <c r="BY7085" s="397"/>
      <c r="BZ7085" s="397"/>
      <c r="CA7085" s="392" t="s">
        <v>413</v>
      </c>
    </row>
    <row r="7086" spans="1:80" s="392" customFormat="1" ht="15" x14ac:dyDescent="0.25">
      <c r="A7086" s="385"/>
      <c r="D7086" s="700"/>
      <c r="E7086" s="397"/>
      <c r="H7086" s="401">
        <v>3</v>
      </c>
      <c r="I7086" s="401"/>
      <c r="J7086" s="401"/>
      <c r="K7086" s="401"/>
      <c r="L7086" s="675"/>
      <c r="M7086" s="672">
        <v>28325</v>
      </c>
      <c r="N7086" s="623">
        <v>0.18248795692830833</v>
      </c>
      <c r="O7086" s="624" t="s">
        <v>71</v>
      </c>
      <c r="P7086" s="397"/>
      <c r="Q7086" s="397"/>
      <c r="R7086" s="397"/>
      <c r="S7086" s="397"/>
      <c r="T7086" s="397"/>
      <c r="U7086" s="397"/>
      <c r="V7086" s="397"/>
      <c r="W7086" s="397"/>
      <c r="X7086" s="397"/>
      <c r="Y7086" s="397"/>
      <c r="Z7086" s="397"/>
      <c r="AD7086" s="388">
        <v>3.7795200000000002</v>
      </c>
      <c r="AE7086" s="388">
        <v>0.155448</v>
      </c>
      <c r="AF7086" s="388">
        <v>0.58751882496000007</v>
      </c>
      <c r="AG7086" s="388">
        <v>0.28955999999999998</v>
      </c>
      <c r="AH7086" s="391"/>
      <c r="AI7086" s="397"/>
      <c r="AJ7086" s="397"/>
      <c r="AU7086" s="397"/>
      <c r="AV7086" s="397"/>
      <c r="AW7086" s="397"/>
      <c r="AX7086" s="397"/>
      <c r="BI7086" s="397"/>
      <c r="BJ7086" s="397"/>
      <c r="BK7086" s="397"/>
      <c r="BL7086" s="397"/>
      <c r="BM7086" s="397"/>
      <c r="BN7086" s="397"/>
      <c r="BO7086" s="397"/>
      <c r="BP7086" s="397"/>
      <c r="BQ7086" s="397"/>
      <c r="BR7086" s="397"/>
      <c r="BS7086" s="397"/>
      <c r="BT7086" s="397"/>
      <c r="BU7086" s="397"/>
      <c r="BV7086" s="397"/>
      <c r="BW7086" s="397"/>
      <c r="BX7086" s="397"/>
      <c r="BY7086" s="397"/>
      <c r="BZ7086" s="397"/>
      <c r="CA7086" s="392" t="s">
        <v>413</v>
      </c>
    </row>
    <row r="7087" spans="1:80" s="392" customFormat="1" ht="15" x14ac:dyDescent="0.25">
      <c r="A7087" s="385"/>
      <c r="D7087" s="700"/>
      <c r="E7087" s="397"/>
      <c r="H7087" s="401">
        <v>3</v>
      </c>
      <c r="I7087" s="401"/>
      <c r="J7087" s="401"/>
      <c r="K7087" s="401"/>
      <c r="L7087" s="675"/>
      <c r="M7087" s="672">
        <v>28329</v>
      </c>
      <c r="N7087" s="623">
        <v>0.17086993482572968</v>
      </c>
      <c r="O7087" s="624" t="s">
        <v>71</v>
      </c>
      <c r="P7087" s="397"/>
      <c r="Q7087" s="397"/>
      <c r="R7087" s="397"/>
      <c r="S7087" s="397"/>
      <c r="T7087" s="397"/>
      <c r="U7087" s="397"/>
      <c r="V7087" s="397"/>
      <c r="W7087" s="397"/>
      <c r="X7087" s="397"/>
      <c r="Y7087" s="397"/>
      <c r="Z7087" s="397"/>
      <c r="AD7087" s="388">
        <v>3.7490400000000004</v>
      </c>
      <c r="AE7087" s="388">
        <v>0.14325599999999999</v>
      </c>
      <c r="AF7087" s="388">
        <v>0.53707247424000004</v>
      </c>
      <c r="AG7087" s="388">
        <v>0.277368</v>
      </c>
      <c r="AH7087" s="391"/>
      <c r="AI7087" s="397"/>
      <c r="AJ7087" s="397"/>
      <c r="AU7087" s="397"/>
      <c r="AV7087" s="397"/>
      <c r="AW7087" s="397"/>
      <c r="AX7087" s="397"/>
      <c r="BI7087" s="397"/>
      <c r="BJ7087" s="397"/>
      <c r="BK7087" s="397"/>
      <c r="BL7087" s="397"/>
      <c r="BM7087" s="397"/>
      <c r="BN7087" s="397"/>
      <c r="BO7087" s="397"/>
      <c r="BP7087" s="397"/>
      <c r="BQ7087" s="397"/>
      <c r="BR7087" s="397"/>
      <c r="BS7087" s="397"/>
      <c r="BT7087" s="397"/>
      <c r="BU7087" s="397"/>
      <c r="BV7087" s="397"/>
      <c r="BW7087" s="397"/>
      <c r="BX7087" s="397"/>
      <c r="BY7087" s="397"/>
      <c r="BZ7087" s="397"/>
      <c r="CA7087" s="392" t="s">
        <v>413</v>
      </c>
    </row>
    <row r="7088" spans="1:80" s="392" customFormat="1" ht="15" x14ac:dyDescent="0.25">
      <c r="A7088" s="385"/>
      <c r="D7088" s="700"/>
      <c r="E7088" s="397"/>
      <c r="H7088" s="401">
        <v>3</v>
      </c>
      <c r="I7088" s="401"/>
      <c r="J7088" s="401"/>
      <c r="K7088" s="401"/>
      <c r="L7088" s="675"/>
      <c r="M7088" s="672">
        <v>28332</v>
      </c>
      <c r="N7088" s="623">
        <v>0.20884103145366961</v>
      </c>
      <c r="O7088" s="624">
        <v>5.0000000000000001E-3</v>
      </c>
      <c r="P7088" s="397"/>
      <c r="Q7088" s="397"/>
      <c r="R7088" s="397"/>
      <c r="S7088" s="397"/>
      <c r="T7088" s="397"/>
      <c r="U7088" s="397"/>
      <c r="V7088" s="397"/>
      <c r="W7088" s="397"/>
      <c r="X7088" s="397"/>
      <c r="Y7088" s="397"/>
      <c r="Z7088" s="397"/>
      <c r="AD7088" s="388">
        <v>3.81</v>
      </c>
      <c r="AE7088" s="388">
        <v>0.15240000000000001</v>
      </c>
      <c r="AF7088" s="388">
        <v>0.58064400000000005</v>
      </c>
      <c r="AG7088" s="388">
        <v>0.34442400000000001</v>
      </c>
      <c r="AH7088" s="391"/>
      <c r="AI7088" s="397"/>
      <c r="AJ7088" s="397"/>
      <c r="AU7088" s="397"/>
      <c r="AV7088" s="397"/>
      <c r="AW7088" s="397"/>
      <c r="AX7088" s="397"/>
      <c r="BI7088" s="397"/>
      <c r="BJ7088" s="397"/>
      <c r="BK7088" s="397"/>
      <c r="BL7088" s="397"/>
      <c r="BM7088" s="397"/>
      <c r="BN7088" s="397"/>
      <c r="BO7088" s="397"/>
      <c r="BP7088" s="397"/>
      <c r="BQ7088" s="397"/>
      <c r="BR7088" s="397"/>
      <c r="BS7088" s="397"/>
      <c r="BT7088" s="397"/>
      <c r="BU7088" s="397"/>
      <c r="BV7088" s="397"/>
      <c r="BW7088" s="397"/>
      <c r="BX7088" s="397"/>
      <c r="BY7088" s="397"/>
      <c r="BZ7088" s="397"/>
      <c r="CA7088" s="392" t="s">
        <v>413</v>
      </c>
    </row>
    <row r="7089" spans="1:79" s="392" customFormat="1" ht="15" x14ac:dyDescent="0.25">
      <c r="A7089" s="385"/>
      <c r="D7089" s="700"/>
      <c r="E7089" s="397"/>
      <c r="H7089" s="401">
        <v>3</v>
      </c>
      <c r="I7089" s="401"/>
      <c r="J7089" s="401"/>
      <c r="K7089" s="401"/>
      <c r="L7089" s="675"/>
      <c r="M7089" s="672">
        <v>28336</v>
      </c>
      <c r="N7089" s="623">
        <v>0.16321904222159253</v>
      </c>
      <c r="O7089" s="624" t="s">
        <v>71</v>
      </c>
      <c r="P7089" s="397"/>
      <c r="Q7089" s="397"/>
      <c r="R7089" s="397"/>
      <c r="S7089" s="397"/>
      <c r="T7089" s="397"/>
      <c r="U7089" s="397"/>
      <c r="V7089" s="397"/>
      <c r="W7089" s="397"/>
      <c r="X7089" s="397"/>
      <c r="Y7089" s="397"/>
      <c r="Z7089" s="397"/>
      <c r="AD7089" s="388">
        <v>3.7795200000000002</v>
      </c>
      <c r="AE7089" s="388">
        <v>0.124968</v>
      </c>
      <c r="AF7089" s="388">
        <v>0.47231905536000002</v>
      </c>
      <c r="AG7089" s="388">
        <v>0.277368</v>
      </c>
      <c r="AH7089" s="391"/>
      <c r="AI7089" s="397"/>
      <c r="AJ7089" s="397"/>
      <c r="AU7089" s="397"/>
      <c r="AV7089" s="397"/>
      <c r="AW7089" s="397"/>
      <c r="AX7089" s="397"/>
      <c r="BI7089" s="397"/>
      <c r="BJ7089" s="397"/>
      <c r="BK7089" s="397"/>
      <c r="BL7089" s="397"/>
      <c r="BM7089" s="397"/>
      <c r="BN7089" s="397"/>
      <c r="BO7089" s="397"/>
      <c r="BP7089" s="397"/>
      <c r="BQ7089" s="397"/>
      <c r="BR7089" s="397"/>
      <c r="BS7089" s="397"/>
      <c r="BT7089" s="397"/>
      <c r="BU7089" s="397"/>
      <c r="BV7089" s="397"/>
      <c r="BW7089" s="397"/>
      <c r="BX7089" s="397"/>
      <c r="BY7089" s="397"/>
      <c r="BZ7089" s="397"/>
      <c r="CA7089" s="392" t="s">
        <v>413</v>
      </c>
    </row>
    <row r="7090" spans="1:79" s="392" customFormat="1" ht="15" x14ac:dyDescent="0.25">
      <c r="A7090" s="385"/>
      <c r="D7090" s="700"/>
      <c r="E7090" s="397"/>
      <c r="H7090" s="401">
        <v>3</v>
      </c>
      <c r="I7090" s="401"/>
      <c r="J7090" s="401"/>
      <c r="K7090" s="401"/>
      <c r="L7090" s="675"/>
      <c r="M7090" s="672">
        <v>28366</v>
      </c>
      <c r="N7090" s="623">
        <v>0.12043071691697364</v>
      </c>
      <c r="O7090" s="624" t="s">
        <v>71</v>
      </c>
      <c r="P7090" s="397"/>
      <c r="Q7090" s="397"/>
      <c r="R7090" s="397"/>
      <c r="S7090" s="397"/>
      <c r="T7090" s="397"/>
      <c r="U7090" s="397"/>
      <c r="V7090" s="397"/>
      <c r="W7090" s="397"/>
      <c r="X7090" s="397"/>
      <c r="Y7090" s="397"/>
      <c r="Z7090" s="397"/>
      <c r="AD7090" s="388">
        <v>3.81</v>
      </c>
      <c r="AE7090" s="388">
        <v>0.10972800000000001</v>
      </c>
      <c r="AF7090" s="388">
        <v>0.41806368000000005</v>
      </c>
      <c r="AG7090" s="388">
        <v>0.23469600000000002</v>
      </c>
      <c r="AH7090" s="391"/>
      <c r="AI7090" s="397"/>
      <c r="AJ7090" s="397"/>
      <c r="AU7090" s="397"/>
      <c r="AV7090" s="397"/>
      <c r="AW7090" s="397"/>
      <c r="AX7090" s="397"/>
      <c r="BI7090" s="397"/>
      <c r="BJ7090" s="397"/>
      <c r="BK7090" s="397"/>
      <c r="BL7090" s="397"/>
      <c r="BM7090" s="397"/>
      <c r="BN7090" s="397"/>
      <c r="BO7090" s="397"/>
      <c r="BP7090" s="397"/>
      <c r="BQ7090" s="397"/>
      <c r="BR7090" s="397"/>
      <c r="BS7090" s="397"/>
      <c r="BT7090" s="397"/>
      <c r="BU7090" s="397"/>
      <c r="BV7090" s="397"/>
      <c r="BW7090" s="397"/>
      <c r="BX7090" s="397"/>
      <c r="BY7090" s="397"/>
      <c r="BZ7090" s="397"/>
      <c r="CA7090" s="392" t="s">
        <v>413</v>
      </c>
    </row>
    <row r="7091" spans="1:79" s="392" customFormat="1" ht="15" x14ac:dyDescent="0.25">
      <c r="A7091" s="385"/>
      <c r="D7091" s="700"/>
      <c r="E7091" s="397"/>
      <c r="H7091" s="401">
        <v>3</v>
      </c>
      <c r="I7091" s="401"/>
      <c r="J7091" s="401"/>
      <c r="K7091" s="401"/>
      <c r="L7091" s="675"/>
      <c r="M7091" s="672">
        <v>28655</v>
      </c>
      <c r="N7091" s="623">
        <v>1.2782657976763956</v>
      </c>
      <c r="O7091" s="624">
        <v>1.3482666666666669E-2</v>
      </c>
      <c r="P7091" s="397"/>
      <c r="Q7091" s="397"/>
      <c r="R7091" s="397"/>
      <c r="S7091" s="397"/>
      <c r="T7091" s="397"/>
      <c r="U7091" s="397"/>
      <c r="V7091" s="397"/>
      <c r="W7091" s="397"/>
      <c r="X7091" s="397"/>
      <c r="Y7091" s="397"/>
      <c r="Z7091" s="397"/>
      <c r="AD7091" s="388">
        <v>3.9014400000000005</v>
      </c>
      <c r="AE7091" s="388">
        <v>0.32308800000000004</v>
      </c>
      <c r="AF7091" s="388">
        <v>1.2605084467200003</v>
      </c>
      <c r="AG7091" s="388">
        <v>1.0271760000000001</v>
      </c>
      <c r="AH7091" s="391"/>
      <c r="AI7091" s="397"/>
      <c r="AJ7091" s="397"/>
      <c r="AU7091" s="397"/>
      <c r="AV7091" s="397"/>
      <c r="AW7091" s="397"/>
      <c r="AX7091" s="397"/>
      <c r="BI7091" s="397"/>
      <c r="BJ7091" s="397"/>
      <c r="BK7091" s="397"/>
      <c r="BL7091" s="397"/>
      <c r="BM7091" s="397"/>
      <c r="BN7091" s="397"/>
      <c r="BO7091" s="397"/>
      <c r="BP7091" s="397"/>
      <c r="BQ7091" s="397"/>
      <c r="BR7091" s="397"/>
      <c r="BS7091" s="397"/>
      <c r="BT7091" s="397"/>
      <c r="BU7091" s="397"/>
      <c r="BV7091" s="397"/>
      <c r="BW7091" s="397"/>
      <c r="BX7091" s="397"/>
      <c r="BY7091" s="397"/>
      <c r="BZ7091" s="397"/>
      <c r="CA7091" s="392" t="s">
        <v>413</v>
      </c>
    </row>
    <row r="7092" spans="1:79" s="392" customFormat="1" ht="15" x14ac:dyDescent="0.25">
      <c r="A7092" s="385"/>
      <c r="D7092" s="700"/>
      <c r="E7092" s="397"/>
      <c r="H7092" s="401">
        <v>3</v>
      </c>
      <c r="I7092" s="401"/>
      <c r="J7092" s="401"/>
      <c r="K7092" s="401"/>
      <c r="L7092" s="675"/>
      <c r="M7092" s="672">
        <v>28663</v>
      </c>
      <c r="N7092" s="623">
        <v>1.3896287900255029</v>
      </c>
      <c r="O7092" s="624">
        <v>2.0827999999999999E-2</v>
      </c>
      <c r="P7092" s="397"/>
      <c r="Q7092" s="397"/>
      <c r="R7092" s="397"/>
      <c r="S7092" s="397"/>
      <c r="T7092" s="397"/>
      <c r="U7092" s="397"/>
      <c r="V7092" s="397"/>
      <c r="W7092" s="397"/>
      <c r="X7092" s="397"/>
      <c r="Y7092" s="397"/>
      <c r="Z7092" s="397"/>
      <c r="AD7092" s="388">
        <v>3.8709600000000002</v>
      </c>
      <c r="AE7092" s="388">
        <v>0.33223200000000003</v>
      </c>
      <c r="AF7092" s="388">
        <v>1.2860567827200002</v>
      </c>
      <c r="AG7092" s="388">
        <v>1.075944</v>
      </c>
      <c r="AH7092" s="391"/>
      <c r="AI7092" s="397"/>
      <c r="AJ7092" s="397"/>
      <c r="AU7092" s="397"/>
      <c r="AV7092" s="397"/>
      <c r="AW7092" s="397"/>
      <c r="AX7092" s="397"/>
      <c r="BI7092" s="397"/>
      <c r="BJ7092" s="397"/>
      <c r="BK7092" s="397"/>
      <c r="BL7092" s="397"/>
      <c r="BM7092" s="397"/>
      <c r="BN7092" s="397"/>
      <c r="BO7092" s="397"/>
      <c r="BP7092" s="397"/>
      <c r="BQ7092" s="397"/>
      <c r="BR7092" s="397"/>
      <c r="BS7092" s="397"/>
      <c r="BT7092" s="397"/>
      <c r="BU7092" s="397"/>
      <c r="BV7092" s="397"/>
      <c r="BW7092" s="397"/>
      <c r="BX7092" s="397"/>
      <c r="BY7092" s="397"/>
      <c r="BZ7092" s="397"/>
      <c r="CA7092" s="392" t="s">
        <v>413</v>
      </c>
    </row>
    <row r="7093" spans="1:79" s="392" customFormat="1" ht="15" x14ac:dyDescent="0.25">
      <c r="A7093" s="385"/>
      <c r="D7093" s="700"/>
      <c r="E7093" s="397"/>
      <c r="H7093" s="401">
        <v>3</v>
      </c>
      <c r="I7093" s="401"/>
      <c r="J7093" s="401"/>
      <c r="K7093" s="401"/>
      <c r="L7093" s="675"/>
      <c r="M7093" s="672">
        <v>28671</v>
      </c>
      <c r="N7093" s="623">
        <v>1.6732785491640692</v>
      </c>
      <c r="O7093" s="624">
        <v>4.5933333333333333E-2</v>
      </c>
      <c r="P7093" s="397"/>
      <c r="Q7093" s="397"/>
      <c r="R7093" s="397"/>
      <c r="S7093" s="397"/>
      <c r="T7093" s="397"/>
      <c r="U7093" s="397"/>
      <c r="V7093" s="397"/>
      <c r="W7093" s="397"/>
      <c r="X7093" s="397"/>
      <c r="Y7093" s="397"/>
      <c r="Z7093" s="397"/>
      <c r="AD7093" s="388">
        <v>3.9624000000000001</v>
      </c>
      <c r="AE7093" s="388">
        <v>0.34137600000000007</v>
      </c>
      <c r="AF7093" s="388">
        <v>1.3526682624000004</v>
      </c>
      <c r="AG7093" s="388">
        <v>1.2801600000000002</v>
      </c>
      <c r="AH7093" s="391"/>
      <c r="AI7093" s="397"/>
      <c r="AJ7093" s="397"/>
      <c r="AU7093" s="397"/>
      <c r="AV7093" s="397"/>
      <c r="AW7093" s="397"/>
      <c r="AX7093" s="397"/>
      <c r="BI7093" s="397"/>
      <c r="BJ7093" s="397"/>
      <c r="BK7093" s="397"/>
      <c r="BL7093" s="397"/>
      <c r="BM7093" s="397"/>
      <c r="BN7093" s="397"/>
      <c r="BO7093" s="397"/>
      <c r="BP7093" s="397"/>
      <c r="BQ7093" s="397"/>
      <c r="BR7093" s="397"/>
      <c r="BS7093" s="397"/>
      <c r="BT7093" s="397"/>
      <c r="BU7093" s="397"/>
      <c r="BV7093" s="397"/>
      <c r="BW7093" s="397"/>
      <c r="BX7093" s="397"/>
      <c r="BY7093" s="397"/>
      <c r="BZ7093" s="397"/>
      <c r="CA7093" s="392" t="s">
        <v>413</v>
      </c>
    </row>
    <row r="7094" spans="1:79" s="392" customFormat="1" ht="15" x14ac:dyDescent="0.25">
      <c r="A7094" s="385"/>
      <c r="D7094" s="700"/>
      <c r="E7094" s="397"/>
      <c r="H7094" s="401">
        <v>3</v>
      </c>
      <c r="I7094" s="401"/>
      <c r="J7094" s="401"/>
      <c r="K7094" s="401"/>
      <c r="L7094" s="675"/>
      <c r="M7094" s="672">
        <v>28678</v>
      </c>
      <c r="N7094" s="623">
        <v>1.1314820062340607</v>
      </c>
      <c r="O7094" s="624">
        <v>3.0720000000000005E-3</v>
      </c>
      <c r="P7094" s="397"/>
      <c r="Q7094" s="397"/>
      <c r="R7094" s="397"/>
      <c r="S7094" s="397"/>
      <c r="T7094" s="397"/>
      <c r="U7094" s="397"/>
      <c r="V7094" s="397"/>
      <c r="W7094" s="397"/>
      <c r="X7094" s="397"/>
      <c r="Y7094" s="397"/>
      <c r="Z7094" s="397"/>
      <c r="AD7094" s="388">
        <v>3.9014400000000005</v>
      </c>
      <c r="AE7094" s="388">
        <v>0.29565600000000003</v>
      </c>
      <c r="AF7094" s="388">
        <v>1.1534841446400002</v>
      </c>
      <c r="AG7094" s="388">
        <v>0.99974399999999997</v>
      </c>
      <c r="AH7094" s="391"/>
      <c r="AI7094" s="397"/>
      <c r="AJ7094" s="397"/>
      <c r="AU7094" s="397"/>
      <c r="AV7094" s="397"/>
      <c r="AW7094" s="397"/>
      <c r="AX7094" s="397"/>
      <c r="BI7094" s="397"/>
      <c r="BJ7094" s="397"/>
      <c r="BK7094" s="397"/>
      <c r="BL7094" s="397"/>
      <c r="BM7094" s="397"/>
      <c r="BN7094" s="397"/>
      <c r="BO7094" s="397"/>
      <c r="BP7094" s="397"/>
      <c r="BQ7094" s="397"/>
      <c r="BR7094" s="397"/>
      <c r="BS7094" s="397"/>
      <c r="BT7094" s="397"/>
      <c r="BU7094" s="397"/>
      <c r="BV7094" s="397"/>
      <c r="BW7094" s="397"/>
      <c r="BX7094" s="397"/>
      <c r="BY7094" s="397"/>
      <c r="BZ7094" s="397"/>
      <c r="CA7094" s="392" t="s">
        <v>413</v>
      </c>
    </row>
    <row r="7095" spans="1:79" s="392" customFormat="1" ht="15" x14ac:dyDescent="0.25">
      <c r="A7095" s="385"/>
      <c r="D7095" s="700"/>
      <c r="E7095" s="397"/>
      <c r="H7095" s="401">
        <v>3</v>
      </c>
      <c r="I7095" s="401"/>
      <c r="J7095" s="401"/>
      <c r="K7095" s="401"/>
      <c r="L7095" s="675"/>
      <c r="M7095" s="672">
        <v>28683</v>
      </c>
      <c r="N7095" s="623">
        <v>0.96571266647775567</v>
      </c>
      <c r="O7095" s="624">
        <v>8.1066666666666665E-3</v>
      </c>
      <c r="P7095" s="397"/>
      <c r="Q7095" s="397"/>
      <c r="R7095" s="397"/>
      <c r="S7095" s="397"/>
      <c r="T7095" s="397"/>
      <c r="U7095" s="397"/>
      <c r="V7095" s="397"/>
      <c r="W7095" s="397"/>
      <c r="X7095" s="397"/>
      <c r="Y7095" s="397"/>
      <c r="Z7095" s="397"/>
      <c r="AD7095" s="388">
        <v>3.9014400000000005</v>
      </c>
      <c r="AE7095" s="388">
        <v>0.277368</v>
      </c>
      <c r="AF7095" s="388">
        <v>1.0821346099200002</v>
      </c>
      <c r="AG7095" s="388">
        <v>0.908304</v>
      </c>
      <c r="AH7095" s="391"/>
      <c r="AI7095" s="397"/>
      <c r="AJ7095" s="397"/>
      <c r="AU7095" s="397"/>
      <c r="AV7095" s="397"/>
      <c r="AW7095" s="397"/>
      <c r="AX7095" s="397"/>
      <c r="BI7095" s="397"/>
      <c r="BJ7095" s="397"/>
      <c r="BK7095" s="397"/>
      <c r="BL7095" s="397"/>
      <c r="BM7095" s="397"/>
      <c r="BN7095" s="397"/>
      <c r="BO7095" s="397"/>
      <c r="BP7095" s="397"/>
      <c r="BQ7095" s="397"/>
      <c r="BR7095" s="397"/>
      <c r="BS7095" s="397"/>
      <c r="BT7095" s="397"/>
      <c r="BU7095" s="397"/>
      <c r="BV7095" s="397"/>
      <c r="BW7095" s="397"/>
      <c r="BX7095" s="397"/>
      <c r="BY7095" s="397"/>
      <c r="BZ7095" s="397"/>
      <c r="CA7095" s="392" t="s">
        <v>413</v>
      </c>
    </row>
    <row r="7096" spans="1:79" s="392" customFormat="1" ht="15" x14ac:dyDescent="0.25">
      <c r="A7096" s="385"/>
      <c r="D7096" s="700"/>
      <c r="E7096" s="397"/>
      <c r="H7096" s="401">
        <v>3</v>
      </c>
      <c r="I7096" s="401"/>
      <c r="J7096" s="401"/>
      <c r="K7096" s="401"/>
      <c r="L7096" s="675"/>
      <c r="M7096" s="672">
        <v>28691</v>
      </c>
      <c r="N7096" s="623">
        <v>0.68489657126664782</v>
      </c>
      <c r="O7096" s="624">
        <v>1.3568000000000002E-2</v>
      </c>
      <c r="P7096" s="397"/>
      <c r="Q7096" s="397"/>
      <c r="R7096" s="397"/>
      <c r="S7096" s="397"/>
      <c r="T7096" s="397"/>
      <c r="U7096" s="397"/>
      <c r="V7096" s="397"/>
      <c r="W7096" s="397"/>
      <c r="X7096" s="397"/>
      <c r="Y7096" s="397"/>
      <c r="Z7096" s="397"/>
      <c r="AD7096" s="388">
        <v>3.9014400000000005</v>
      </c>
      <c r="AE7096" s="388">
        <v>0.24993599999999999</v>
      </c>
      <c r="AF7096" s="388">
        <v>0.97511030784000008</v>
      </c>
      <c r="AG7096" s="388">
        <v>0.70713599999999999</v>
      </c>
      <c r="AH7096" s="391"/>
      <c r="AI7096" s="397"/>
      <c r="AJ7096" s="397"/>
      <c r="AU7096" s="397"/>
      <c r="AV7096" s="397"/>
      <c r="AW7096" s="397"/>
      <c r="AX7096" s="397"/>
      <c r="BI7096" s="397"/>
      <c r="BJ7096" s="397"/>
      <c r="BK7096" s="397"/>
      <c r="BL7096" s="397"/>
      <c r="BM7096" s="397"/>
      <c r="BN7096" s="397"/>
      <c r="BO7096" s="397"/>
      <c r="BP7096" s="397"/>
      <c r="BQ7096" s="397"/>
      <c r="BR7096" s="397"/>
      <c r="BS7096" s="397"/>
      <c r="BT7096" s="397"/>
      <c r="BU7096" s="397"/>
      <c r="BV7096" s="397"/>
      <c r="BW7096" s="397"/>
      <c r="BX7096" s="397"/>
      <c r="BY7096" s="397"/>
      <c r="BZ7096" s="397"/>
      <c r="CA7096" s="392" t="s">
        <v>413</v>
      </c>
    </row>
    <row r="7097" spans="1:79" s="392" customFormat="1" ht="15" x14ac:dyDescent="0.25">
      <c r="A7097" s="385"/>
      <c r="D7097" s="700"/>
      <c r="E7097" s="397"/>
      <c r="H7097" s="401">
        <v>3</v>
      </c>
      <c r="I7097" s="401"/>
      <c r="J7097" s="401"/>
      <c r="K7097" s="401"/>
      <c r="L7097" s="675"/>
      <c r="M7097" s="672">
        <v>28697</v>
      </c>
      <c r="N7097" s="623">
        <v>0.53641258146783788</v>
      </c>
      <c r="O7097" s="624">
        <v>2.8786666666666661E-3</v>
      </c>
      <c r="P7097" s="397"/>
      <c r="Q7097" s="397"/>
      <c r="R7097" s="397"/>
      <c r="S7097" s="397"/>
      <c r="T7097" s="397"/>
      <c r="U7097" s="397"/>
      <c r="V7097" s="397"/>
      <c r="W7097" s="397"/>
      <c r="X7097" s="397"/>
      <c r="Y7097" s="397"/>
      <c r="Z7097" s="397"/>
      <c r="AD7097" s="388">
        <v>3.8709600000000002</v>
      </c>
      <c r="AE7097" s="388">
        <v>0.21945600000000001</v>
      </c>
      <c r="AF7097" s="388">
        <v>0.84950539776000011</v>
      </c>
      <c r="AG7097" s="388">
        <v>0.63703200000000004</v>
      </c>
      <c r="AH7097" s="391"/>
      <c r="AI7097" s="397"/>
      <c r="AJ7097" s="397"/>
      <c r="AU7097" s="397"/>
      <c r="AV7097" s="397"/>
      <c r="AW7097" s="397"/>
      <c r="AX7097" s="397"/>
      <c r="BI7097" s="397"/>
      <c r="BJ7097" s="397"/>
      <c r="BK7097" s="397"/>
      <c r="BL7097" s="397"/>
      <c r="BM7097" s="397"/>
      <c r="BN7097" s="397"/>
      <c r="BO7097" s="397"/>
      <c r="BP7097" s="397"/>
      <c r="BQ7097" s="397"/>
      <c r="BR7097" s="397"/>
      <c r="BS7097" s="397"/>
      <c r="BT7097" s="397"/>
      <c r="BU7097" s="397"/>
      <c r="BV7097" s="397"/>
      <c r="BW7097" s="397"/>
      <c r="BX7097" s="397"/>
      <c r="BY7097" s="397"/>
      <c r="BZ7097" s="397"/>
      <c r="CA7097" s="392" t="s">
        <v>413</v>
      </c>
    </row>
    <row r="7098" spans="1:79" s="392" customFormat="1" ht="15" x14ac:dyDescent="0.25">
      <c r="A7098" s="385"/>
      <c r="D7098" s="700"/>
      <c r="E7098" s="397"/>
      <c r="H7098" s="401">
        <v>3</v>
      </c>
      <c r="I7098" s="401"/>
      <c r="J7098" s="401"/>
      <c r="K7098" s="401"/>
      <c r="L7098" s="675"/>
      <c r="M7098" s="672">
        <v>28704</v>
      </c>
      <c r="N7098" s="623">
        <v>0.50325871351657703</v>
      </c>
      <c r="O7098" s="624">
        <v>1.024E-3</v>
      </c>
      <c r="P7098" s="397"/>
      <c r="Q7098" s="397"/>
      <c r="R7098" s="397"/>
      <c r="S7098" s="397"/>
      <c r="T7098" s="397"/>
      <c r="U7098" s="397"/>
      <c r="V7098" s="397"/>
      <c r="W7098" s="397"/>
      <c r="X7098" s="397"/>
      <c r="Y7098" s="397"/>
      <c r="Z7098" s="397"/>
      <c r="AD7098" s="388">
        <v>3.9014400000000005</v>
      </c>
      <c r="AE7098" s="388">
        <v>0.21945600000000001</v>
      </c>
      <c r="AF7098" s="388">
        <v>0.85619441664000018</v>
      </c>
      <c r="AG7098" s="388">
        <v>0.59436</v>
      </c>
      <c r="AH7098" s="391"/>
      <c r="AI7098" s="397"/>
      <c r="AJ7098" s="397"/>
      <c r="AU7098" s="397"/>
      <c r="AV7098" s="397"/>
      <c r="AW7098" s="397"/>
      <c r="AX7098" s="397"/>
      <c r="BI7098" s="397"/>
      <c r="BJ7098" s="397"/>
      <c r="BK7098" s="397"/>
      <c r="BL7098" s="397"/>
      <c r="BM7098" s="397"/>
      <c r="BN7098" s="397"/>
      <c r="BO7098" s="397"/>
      <c r="BP7098" s="397"/>
      <c r="BQ7098" s="397"/>
      <c r="BR7098" s="397"/>
      <c r="BS7098" s="397"/>
      <c r="BT7098" s="397"/>
      <c r="BU7098" s="397"/>
      <c r="BV7098" s="397"/>
      <c r="BW7098" s="397"/>
      <c r="BX7098" s="397"/>
      <c r="BY7098" s="397"/>
      <c r="BZ7098" s="397"/>
      <c r="CA7098" s="392" t="s">
        <v>413</v>
      </c>
    </row>
    <row r="7099" spans="1:79" s="392" customFormat="1" ht="15" x14ac:dyDescent="0.25">
      <c r="A7099" s="385"/>
      <c r="D7099" s="700"/>
      <c r="E7099" s="397"/>
      <c r="H7099" s="401">
        <v>3</v>
      </c>
      <c r="I7099" s="401"/>
      <c r="J7099" s="401"/>
      <c r="K7099" s="401"/>
      <c r="L7099" s="675"/>
      <c r="M7099" s="672">
        <v>28711</v>
      </c>
      <c r="N7099" s="623">
        <v>0.34400680079342594</v>
      </c>
      <c r="O7099" s="624">
        <v>7.6199999999999998E-4</v>
      </c>
      <c r="P7099" s="397"/>
      <c r="Q7099" s="397"/>
      <c r="R7099" s="397"/>
      <c r="S7099" s="397"/>
      <c r="T7099" s="397"/>
      <c r="U7099" s="397"/>
      <c r="V7099" s="397"/>
      <c r="W7099" s="397"/>
      <c r="X7099" s="397"/>
      <c r="Y7099" s="397"/>
      <c r="Z7099" s="397"/>
      <c r="AD7099" s="388">
        <v>3.8709600000000002</v>
      </c>
      <c r="AE7099" s="388">
        <v>0.19812000000000002</v>
      </c>
      <c r="AF7099" s="388">
        <v>0.76691459520000016</v>
      </c>
      <c r="AG7099" s="388">
        <v>0.44805600000000001</v>
      </c>
      <c r="AH7099" s="391"/>
      <c r="AI7099" s="397"/>
      <c r="AJ7099" s="397"/>
      <c r="AU7099" s="397"/>
      <c r="AV7099" s="397"/>
      <c r="AW7099" s="397"/>
      <c r="AX7099" s="397"/>
      <c r="BI7099" s="397"/>
      <c r="BJ7099" s="397"/>
      <c r="BK7099" s="397"/>
      <c r="BL7099" s="397"/>
      <c r="BM7099" s="397"/>
      <c r="BN7099" s="397"/>
      <c r="BO7099" s="397"/>
      <c r="BP7099" s="397"/>
      <c r="BQ7099" s="397"/>
      <c r="BR7099" s="397"/>
      <c r="BS7099" s="397"/>
      <c r="BT7099" s="397"/>
      <c r="BU7099" s="397"/>
      <c r="BV7099" s="397"/>
      <c r="BW7099" s="397"/>
      <c r="BX7099" s="397"/>
      <c r="BY7099" s="397"/>
      <c r="BZ7099" s="397"/>
      <c r="CA7099" s="392" t="s">
        <v>413</v>
      </c>
    </row>
    <row r="7100" spans="1:79" s="392" customFormat="1" ht="15" x14ac:dyDescent="0.25">
      <c r="A7100" s="385"/>
      <c r="D7100" s="700"/>
      <c r="E7100" s="397"/>
      <c r="H7100" s="401">
        <v>3</v>
      </c>
      <c r="I7100" s="401"/>
      <c r="J7100" s="401"/>
      <c r="K7100" s="401"/>
      <c r="L7100" s="675"/>
      <c r="M7100" s="672">
        <v>28719</v>
      </c>
      <c r="N7100" s="623">
        <v>0.2672145083593086</v>
      </c>
      <c r="O7100" s="624" t="s">
        <v>71</v>
      </c>
      <c r="P7100" s="397"/>
      <c r="Q7100" s="397"/>
      <c r="R7100" s="397"/>
      <c r="S7100" s="397"/>
      <c r="T7100" s="397"/>
      <c r="U7100" s="397"/>
      <c r="V7100" s="397"/>
      <c r="W7100" s="397"/>
      <c r="X7100" s="397"/>
      <c r="Y7100" s="397"/>
      <c r="Z7100" s="397"/>
      <c r="AD7100" s="388">
        <v>3.9319200000000003</v>
      </c>
      <c r="AE7100" s="388">
        <v>0.176784</v>
      </c>
      <c r="AF7100" s="388">
        <v>0.69510054528000009</v>
      </c>
      <c r="AG7100" s="388">
        <v>0.36576000000000003</v>
      </c>
      <c r="AH7100" s="391"/>
      <c r="AI7100" s="397"/>
      <c r="AJ7100" s="397"/>
      <c r="AU7100" s="397"/>
      <c r="AV7100" s="397"/>
      <c r="AW7100" s="397"/>
      <c r="AX7100" s="397"/>
      <c r="BI7100" s="397"/>
      <c r="BJ7100" s="397"/>
      <c r="BK7100" s="397"/>
      <c r="BL7100" s="397"/>
      <c r="BM7100" s="397"/>
      <c r="BN7100" s="397"/>
      <c r="BO7100" s="397"/>
      <c r="BP7100" s="397"/>
      <c r="BQ7100" s="397"/>
      <c r="BR7100" s="397"/>
      <c r="BS7100" s="397"/>
      <c r="BT7100" s="397"/>
      <c r="BU7100" s="397"/>
      <c r="BV7100" s="397"/>
      <c r="BW7100" s="397"/>
      <c r="BX7100" s="397"/>
      <c r="BY7100" s="397"/>
      <c r="BZ7100" s="397"/>
      <c r="CA7100" s="392" t="s">
        <v>413</v>
      </c>
    </row>
    <row r="7101" spans="1:79" s="392" customFormat="1" ht="15" x14ac:dyDescent="0.25">
      <c r="A7101" s="385"/>
      <c r="D7101" s="700"/>
      <c r="E7101" s="397"/>
      <c r="H7101" s="401">
        <v>3</v>
      </c>
      <c r="I7101" s="401"/>
      <c r="J7101" s="401"/>
      <c r="K7101" s="401"/>
      <c r="L7101" s="675"/>
      <c r="M7101" s="672">
        <v>28725</v>
      </c>
      <c r="N7101" s="623">
        <v>0.24709549447435536</v>
      </c>
      <c r="O7101" s="624" t="s">
        <v>71</v>
      </c>
      <c r="P7101" s="397"/>
      <c r="Q7101" s="397"/>
      <c r="R7101" s="397"/>
      <c r="S7101" s="397"/>
      <c r="T7101" s="397"/>
      <c r="U7101" s="397"/>
      <c r="V7101" s="397"/>
      <c r="W7101" s="397"/>
      <c r="X7101" s="397"/>
      <c r="Y7101" s="397"/>
      <c r="Z7101" s="397"/>
      <c r="AD7101" s="388">
        <v>3.81</v>
      </c>
      <c r="AE7101" s="388">
        <v>0.16764000000000001</v>
      </c>
      <c r="AF7101" s="388">
        <v>0.63870840000000006</v>
      </c>
      <c r="AG7101" s="388">
        <v>0.36271199999999998</v>
      </c>
      <c r="AH7101" s="391"/>
      <c r="AI7101" s="397"/>
      <c r="AJ7101" s="397"/>
      <c r="AU7101" s="397"/>
      <c r="AV7101" s="397"/>
      <c r="AW7101" s="397"/>
      <c r="AX7101" s="397"/>
      <c r="BI7101" s="397"/>
      <c r="BJ7101" s="397"/>
      <c r="BK7101" s="397"/>
      <c r="BL7101" s="397"/>
      <c r="BM7101" s="397"/>
      <c r="BN7101" s="397"/>
      <c r="BO7101" s="397"/>
      <c r="BP7101" s="397"/>
      <c r="BQ7101" s="397"/>
      <c r="BR7101" s="397"/>
      <c r="BS7101" s="397"/>
      <c r="BT7101" s="397"/>
      <c r="BU7101" s="397"/>
      <c r="BV7101" s="397"/>
      <c r="BW7101" s="397"/>
      <c r="BX7101" s="397"/>
      <c r="BY7101" s="397"/>
      <c r="BZ7101" s="397"/>
      <c r="CA7101" s="392" t="s">
        <v>413</v>
      </c>
    </row>
    <row r="7102" spans="1:79" s="392" customFormat="1" ht="15" x14ac:dyDescent="0.25">
      <c r="A7102" s="385"/>
      <c r="D7102" s="700"/>
      <c r="E7102" s="397"/>
      <c r="H7102" s="401">
        <v>3</v>
      </c>
      <c r="I7102" s="401"/>
      <c r="J7102" s="401"/>
      <c r="K7102" s="401"/>
      <c r="L7102" s="675"/>
      <c r="M7102" s="672">
        <v>28732</v>
      </c>
      <c r="N7102" s="623">
        <v>0.17965429300085009</v>
      </c>
      <c r="O7102" s="624" t="s">
        <v>71</v>
      </c>
      <c r="P7102" s="397"/>
      <c r="Q7102" s="397"/>
      <c r="R7102" s="397"/>
      <c r="S7102" s="397"/>
      <c r="T7102" s="397"/>
      <c r="U7102" s="397"/>
      <c r="V7102" s="397"/>
      <c r="W7102" s="397"/>
      <c r="X7102" s="397"/>
      <c r="Y7102" s="397"/>
      <c r="Z7102" s="397"/>
      <c r="AD7102" s="388">
        <v>3.81</v>
      </c>
      <c r="AE7102" s="388">
        <v>0.155448</v>
      </c>
      <c r="AF7102" s="388">
        <v>0.59225687999999999</v>
      </c>
      <c r="AG7102" s="388">
        <v>0.28955999999999998</v>
      </c>
      <c r="AH7102" s="391"/>
      <c r="AI7102" s="397"/>
      <c r="AJ7102" s="397"/>
      <c r="AU7102" s="397"/>
      <c r="AV7102" s="397"/>
      <c r="AW7102" s="397"/>
      <c r="AX7102" s="397"/>
      <c r="BI7102" s="397"/>
      <c r="BJ7102" s="397"/>
      <c r="BK7102" s="397"/>
      <c r="BL7102" s="397"/>
      <c r="BM7102" s="397"/>
      <c r="BN7102" s="397"/>
      <c r="BO7102" s="397"/>
      <c r="BP7102" s="397"/>
      <c r="BQ7102" s="397"/>
      <c r="BR7102" s="397"/>
      <c r="BS7102" s="397"/>
      <c r="BT7102" s="397"/>
      <c r="BU7102" s="397"/>
      <c r="BV7102" s="397"/>
      <c r="BW7102" s="397"/>
      <c r="BX7102" s="397"/>
      <c r="BY7102" s="397"/>
      <c r="BZ7102" s="397"/>
      <c r="CA7102" s="392" t="s">
        <v>413</v>
      </c>
    </row>
    <row r="7103" spans="1:79" s="392" customFormat="1" ht="15" x14ac:dyDescent="0.25">
      <c r="A7103" s="385"/>
      <c r="D7103" s="700"/>
      <c r="E7103" s="397"/>
      <c r="H7103" s="401">
        <v>3</v>
      </c>
      <c r="I7103" s="401"/>
      <c r="J7103" s="401"/>
      <c r="K7103" s="401"/>
      <c r="L7103" s="675"/>
      <c r="M7103" s="672">
        <v>28748</v>
      </c>
      <c r="N7103" s="623">
        <v>0.1266647775573817</v>
      </c>
      <c r="O7103" s="624" t="s">
        <v>71</v>
      </c>
      <c r="P7103" s="397"/>
      <c r="Q7103" s="397"/>
      <c r="R7103" s="397"/>
      <c r="S7103" s="397"/>
      <c r="T7103" s="397"/>
      <c r="U7103" s="397"/>
      <c r="V7103" s="397"/>
      <c r="W7103" s="397"/>
      <c r="X7103" s="397"/>
      <c r="Y7103" s="397"/>
      <c r="Z7103" s="397"/>
      <c r="AD7103" s="388">
        <v>3.81</v>
      </c>
      <c r="AE7103" s="388">
        <v>0.13716</v>
      </c>
      <c r="AF7103" s="388">
        <v>0.52257960000000003</v>
      </c>
      <c r="AG7103" s="388">
        <v>0.225552</v>
      </c>
      <c r="AH7103" s="391"/>
      <c r="AI7103" s="397"/>
      <c r="AJ7103" s="397"/>
      <c r="AU7103" s="397"/>
      <c r="AV7103" s="397"/>
      <c r="AW7103" s="397"/>
      <c r="AX7103" s="397"/>
      <c r="BI7103" s="397"/>
      <c r="BJ7103" s="397"/>
      <c r="BK7103" s="397"/>
      <c r="BL7103" s="397"/>
      <c r="BM7103" s="397"/>
      <c r="BN7103" s="397"/>
      <c r="BO7103" s="397"/>
      <c r="BP7103" s="397"/>
      <c r="BQ7103" s="397"/>
      <c r="BR7103" s="397"/>
      <c r="BS7103" s="397"/>
      <c r="BT7103" s="397"/>
      <c r="BU7103" s="397"/>
      <c r="BV7103" s="397"/>
      <c r="BW7103" s="397"/>
      <c r="BX7103" s="397"/>
      <c r="BY7103" s="397"/>
      <c r="BZ7103" s="397"/>
      <c r="CA7103" s="392" t="s">
        <v>413</v>
      </c>
    </row>
    <row r="7104" spans="1:79" s="392" customFormat="1" ht="15" x14ac:dyDescent="0.25">
      <c r="A7104" s="385"/>
      <c r="D7104" s="700"/>
      <c r="E7104" s="397"/>
      <c r="H7104" s="401">
        <v>3</v>
      </c>
      <c r="I7104" s="401"/>
      <c r="J7104" s="401"/>
      <c r="K7104" s="401"/>
      <c r="L7104" s="675"/>
      <c r="M7104" s="672">
        <v>28755</v>
      </c>
      <c r="N7104" s="623">
        <v>0.15471805043921791</v>
      </c>
      <c r="O7104" s="624" t="s">
        <v>71</v>
      </c>
      <c r="P7104" s="397"/>
      <c r="Q7104" s="397"/>
      <c r="R7104" s="397"/>
      <c r="S7104" s="397"/>
      <c r="T7104" s="397"/>
      <c r="U7104" s="397"/>
      <c r="V7104" s="397"/>
      <c r="W7104" s="397"/>
      <c r="X7104" s="397"/>
      <c r="Y7104" s="397"/>
      <c r="Z7104" s="397"/>
      <c r="AD7104" s="388">
        <v>3.8404799999999999</v>
      </c>
      <c r="AE7104" s="388">
        <v>0.14325599999999999</v>
      </c>
      <c r="AF7104" s="388">
        <v>0.55017180288</v>
      </c>
      <c r="AG7104" s="388">
        <v>0.25908000000000003</v>
      </c>
      <c r="AH7104" s="391"/>
      <c r="AI7104" s="397"/>
      <c r="AJ7104" s="397"/>
      <c r="AU7104" s="397"/>
      <c r="AV7104" s="397"/>
      <c r="AW7104" s="397"/>
      <c r="AX7104" s="397"/>
      <c r="BI7104" s="397"/>
      <c r="BJ7104" s="397"/>
      <c r="BK7104" s="397"/>
      <c r="BL7104" s="397"/>
      <c r="BM7104" s="397"/>
      <c r="BN7104" s="397"/>
      <c r="BO7104" s="397"/>
      <c r="BP7104" s="397"/>
      <c r="BQ7104" s="397"/>
      <c r="BR7104" s="397"/>
      <c r="BS7104" s="397"/>
      <c r="BT7104" s="397"/>
      <c r="BU7104" s="397"/>
      <c r="BV7104" s="397"/>
      <c r="BW7104" s="397"/>
      <c r="BX7104" s="397"/>
      <c r="BY7104" s="397"/>
      <c r="BZ7104" s="397"/>
      <c r="CA7104" s="392" t="s">
        <v>413</v>
      </c>
    </row>
    <row r="7105" spans="1:80" s="392" customFormat="1" ht="15" x14ac:dyDescent="0.25">
      <c r="A7105" s="385"/>
      <c r="D7105" s="700"/>
      <c r="E7105" s="397"/>
      <c r="H7105" s="401">
        <v>3</v>
      </c>
      <c r="I7105" s="401"/>
      <c r="J7105" s="401"/>
      <c r="K7105" s="401"/>
      <c r="L7105" s="675"/>
      <c r="M7105" s="672">
        <v>28762</v>
      </c>
      <c r="N7105" s="623">
        <v>0.12213091527344856</v>
      </c>
      <c r="O7105" s="624" t="s">
        <v>71</v>
      </c>
      <c r="P7105" s="397"/>
      <c r="Q7105" s="397"/>
      <c r="R7105" s="397"/>
      <c r="S7105" s="397"/>
      <c r="T7105" s="397"/>
      <c r="U7105" s="397"/>
      <c r="V7105" s="397"/>
      <c r="W7105" s="397"/>
      <c r="X7105" s="397"/>
      <c r="Y7105" s="397"/>
      <c r="Z7105" s="397"/>
      <c r="AD7105" s="388">
        <v>3.8709600000000002</v>
      </c>
      <c r="AE7105" s="388">
        <v>0.124968</v>
      </c>
      <c r="AF7105" s="388">
        <v>0.48374612927999999</v>
      </c>
      <c r="AG7105" s="388">
        <v>0.20726400000000003</v>
      </c>
      <c r="AH7105" s="391"/>
      <c r="AI7105" s="397"/>
      <c r="AJ7105" s="397"/>
      <c r="AU7105" s="397"/>
      <c r="AV7105" s="397"/>
      <c r="AW7105" s="397"/>
      <c r="AX7105" s="397"/>
      <c r="BI7105" s="397"/>
      <c r="BJ7105" s="397"/>
      <c r="BK7105" s="397"/>
      <c r="BL7105" s="397"/>
      <c r="BM7105" s="397"/>
      <c r="BN7105" s="397"/>
      <c r="BO7105" s="397"/>
      <c r="BP7105" s="397"/>
      <c r="BQ7105" s="397"/>
      <c r="BR7105" s="397"/>
      <c r="BS7105" s="397"/>
      <c r="BT7105" s="397"/>
      <c r="BU7105" s="397"/>
      <c r="BV7105" s="397"/>
      <c r="BW7105" s="397"/>
      <c r="BX7105" s="397"/>
      <c r="BY7105" s="397"/>
      <c r="BZ7105" s="397"/>
      <c r="CA7105" s="392" t="s">
        <v>413</v>
      </c>
    </row>
    <row r="7106" spans="1:80" s="189" customFormat="1" ht="15" x14ac:dyDescent="0.25">
      <c r="A7106" s="381" t="s">
        <v>455</v>
      </c>
      <c r="B7106" s="641"/>
      <c r="C7106" s="639"/>
      <c r="D7106" s="4">
        <f>VLOOKUP(E7106,'Quality Code'!$D$4:$E$24,2,TRUE)*VLOOKUP(MROUND(F7106,10),'Quality Code'!$D$28:$E$69,2,TRUE)*VLOOKUP(COUNTA(CB7106:CB7116),'Quality Code'!$D$73:$E$93,2,TRUE)</f>
        <v>8.7499999999999994E-2</v>
      </c>
      <c r="E7106" s="14">
        <v>0.35</v>
      </c>
      <c r="F7106" s="2">
        <v>12</v>
      </c>
      <c r="G7106" s="12"/>
      <c r="H7106" s="2" t="s">
        <v>105</v>
      </c>
      <c r="I7106" s="2"/>
      <c r="J7106" s="2"/>
      <c r="K7106" s="2"/>
      <c r="L7106" s="639"/>
      <c r="M7106" s="640" t="s">
        <v>914</v>
      </c>
      <c r="N7106" s="578" t="s">
        <v>110</v>
      </c>
      <c r="O7106" s="578"/>
      <c r="P7106" s="26"/>
      <c r="Q7106" s="26"/>
      <c r="R7106" s="26"/>
      <c r="S7106" s="26"/>
      <c r="T7106" s="26"/>
      <c r="U7106" s="26"/>
      <c r="V7106" s="10"/>
      <c r="W7106" s="10"/>
      <c r="X7106" s="10"/>
      <c r="Y7106" s="10"/>
      <c r="Z7106" s="2"/>
      <c r="AA7106" s="26"/>
      <c r="AB7106" s="26"/>
      <c r="AC7106" s="377">
        <v>1.6E-2</v>
      </c>
      <c r="AD7106" s="406"/>
      <c r="AE7106" s="26"/>
      <c r="AF7106" s="26"/>
      <c r="AG7106" s="26"/>
      <c r="AH7106" s="26"/>
      <c r="AI7106" s="4"/>
      <c r="AJ7106" s="4"/>
      <c r="AK7106" s="26"/>
      <c r="AL7106" s="26"/>
      <c r="AM7106" s="26"/>
      <c r="AN7106" s="26"/>
      <c r="AO7106" s="26"/>
      <c r="AP7106" s="26"/>
      <c r="AQ7106" s="26"/>
      <c r="AR7106" s="26"/>
      <c r="AS7106" s="26"/>
      <c r="AT7106" s="26"/>
      <c r="AU7106" s="4"/>
      <c r="AV7106" s="4"/>
      <c r="AW7106" s="4"/>
      <c r="AX7106" s="4"/>
      <c r="AY7106" s="2"/>
      <c r="AZ7106" s="2"/>
      <c r="BA7106" s="12"/>
      <c r="BB7106" s="12"/>
      <c r="BC7106" s="12"/>
      <c r="BD7106" s="12"/>
      <c r="BE7106" s="12"/>
      <c r="BF7106" s="12"/>
      <c r="BG7106" s="12"/>
      <c r="BH7106" s="12"/>
      <c r="BI7106" s="4"/>
      <c r="BJ7106" s="12"/>
      <c r="BK7106" s="2"/>
      <c r="BL7106" s="2"/>
      <c r="BM7106" s="4"/>
      <c r="BN7106" s="12"/>
      <c r="BO7106" s="12"/>
      <c r="BP7106" s="12"/>
      <c r="BQ7106" s="4"/>
      <c r="BR7106" s="4"/>
      <c r="BS7106" s="4"/>
      <c r="BT7106" s="2"/>
      <c r="BU7106" s="9"/>
      <c r="BV7106" s="381"/>
      <c r="BW7106" s="382"/>
      <c r="BX7106" s="383"/>
      <c r="BY7106" s="383"/>
      <c r="BZ7106" s="383"/>
      <c r="CA7106" s="384" t="s">
        <v>413</v>
      </c>
      <c r="CB7106" s="411"/>
    </row>
    <row r="7107" spans="1:80" s="392" customFormat="1" ht="15" x14ac:dyDescent="0.25">
      <c r="A7107" s="385"/>
      <c r="D7107" s="700"/>
      <c r="E7107" s="397"/>
      <c r="H7107" s="401">
        <v>3</v>
      </c>
      <c r="I7107" s="401"/>
      <c r="J7107" s="401"/>
      <c r="K7107" s="401"/>
      <c r="L7107" s="675"/>
      <c r="M7107" s="672">
        <v>28270</v>
      </c>
      <c r="N7107" s="623">
        <v>0.3051856049872485</v>
      </c>
      <c r="O7107" s="624" t="s">
        <v>71</v>
      </c>
      <c r="P7107" s="397"/>
      <c r="Q7107" s="397"/>
      <c r="R7107" s="397"/>
      <c r="S7107" s="397"/>
      <c r="T7107" s="397"/>
      <c r="U7107" s="397"/>
      <c r="V7107" s="397"/>
      <c r="W7107" s="397"/>
      <c r="X7107" s="397"/>
      <c r="Y7107" s="397"/>
      <c r="Z7107" s="397"/>
      <c r="AD7107" s="388">
        <v>4.8768000000000002</v>
      </c>
      <c r="AE7107" s="388">
        <v>0.16459200000000002</v>
      </c>
      <c r="AF7107" s="388">
        <v>0.80268226560000011</v>
      </c>
      <c r="AG7107" s="388">
        <v>0.32918400000000003</v>
      </c>
      <c r="AH7107" s="391"/>
      <c r="AI7107" s="397"/>
      <c r="AJ7107" s="397"/>
      <c r="AU7107" s="397"/>
      <c r="AV7107" s="397"/>
      <c r="AW7107" s="397"/>
      <c r="AX7107" s="397"/>
      <c r="BI7107" s="397"/>
      <c r="BJ7107" s="397"/>
      <c r="BK7107" s="397"/>
      <c r="BL7107" s="397"/>
      <c r="BM7107" s="397"/>
      <c r="BN7107" s="397"/>
      <c r="BO7107" s="397"/>
      <c r="BP7107" s="397"/>
      <c r="BQ7107" s="397"/>
      <c r="BR7107" s="397"/>
      <c r="BS7107" s="397"/>
      <c r="BT7107" s="397"/>
      <c r="BU7107" s="397"/>
      <c r="BV7107" s="397"/>
      <c r="BW7107" s="397"/>
      <c r="BX7107" s="397"/>
      <c r="BY7107" s="397"/>
      <c r="BZ7107" s="397"/>
      <c r="CA7107" s="392" t="s">
        <v>413</v>
      </c>
    </row>
    <row r="7108" spans="1:80" s="392" customFormat="1" ht="15" x14ac:dyDescent="0.25">
      <c r="A7108" s="385"/>
      <c r="D7108" s="700"/>
      <c r="E7108" s="397"/>
      <c r="H7108" s="401">
        <v>3</v>
      </c>
      <c r="I7108" s="401"/>
      <c r="J7108" s="401"/>
      <c r="K7108" s="401"/>
      <c r="L7108" s="675"/>
      <c r="M7108" s="672">
        <v>28279</v>
      </c>
      <c r="N7108" s="623">
        <v>0.23377727401530179</v>
      </c>
      <c r="O7108" s="624">
        <v>1.0666666666666667E-3</v>
      </c>
      <c r="P7108" s="397"/>
      <c r="Q7108" s="397"/>
      <c r="R7108" s="397"/>
      <c r="S7108" s="397"/>
      <c r="T7108" s="397"/>
      <c r="U7108" s="397"/>
      <c r="V7108" s="397"/>
      <c r="W7108" s="397"/>
      <c r="X7108" s="397"/>
      <c r="Y7108" s="397"/>
      <c r="Z7108" s="397"/>
      <c r="AD7108" s="388">
        <v>4.8768000000000002</v>
      </c>
      <c r="AE7108" s="388">
        <v>0.16459200000000002</v>
      </c>
      <c r="AF7108" s="388">
        <v>0.80268226560000011</v>
      </c>
      <c r="AG7108" s="388">
        <v>0.280416</v>
      </c>
      <c r="AH7108" s="391"/>
      <c r="AI7108" s="397"/>
      <c r="AJ7108" s="397"/>
      <c r="AU7108" s="397"/>
      <c r="AV7108" s="397"/>
      <c r="AW7108" s="397"/>
      <c r="AX7108" s="397"/>
      <c r="BI7108" s="397"/>
      <c r="BJ7108" s="397"/>
      <c r="BK7108" s="397"/>
      <c r="BL7108" s="397"/>
      <c r="BM7108" s="397"/>
      <c r="BN7108" s="397"/>
      <c r="BO7108" s="397"/>
      <c r="BP7108" s="397"/>
      <c r="BQ7108" s="397"/>
      <c r="BR7108" s="397"/>
      <c r="BS7108" s="397"/>
      <c r="BT7108" s="397"/>
      <c r="BU7108" s="397"/>
      <c r="BV7108" s="397"/>
      <c r="BW7108" s="397"/>
      <c r="BX7108" s="397"/>
      <c r="BY7108" s="397"/>
      <c r="BZ7108" s="397"/>
      <c r="CA7108" s="392" t="s">
        <v>413</v>
      </c>
    </row>
    <row r="7109" spans="1:80" s="392" customFormat="1" ht="15" x14ac:dyDescent="0.25">
      <c r="A7109" s="385"/>
      <c r="D7109" s="700"/>
      <c r="E7109" s="397"/>
      <c r="H7109" s="401">
        <v>3</v>
      </c>
      <c r="I7109" s="401"/>
      <c r="J7109" s="401"/>
      <c r="K7109" s="401"/>
      <c r="L7109" s="675"/>
      <c r="M7109" s="672">
        <v>28284</v>
      </c>
      <c r="N7109" s="623">
        <v>0.20912439784641543</v>
      </c>
      <c r="O7109" s="624">
        <v>1.3866666666666667E-3</v>
      </c>
      <c r="P7109" s="397"/>
      <c r="Q7109" s="397"/>
      <c r="R7109" s="397"/>
      <c r="S7109" s="397"/>
      <c r="T7109" s="397"/>
      <c r="U7109" s="397"/>
      <c r="V7109" s="397"/>
      <c r="W7109" s="397"/>
      <c r="X7109" s="397"/>
      <c r="Y7109" s="397"/>
      <c r="Z7109" s="397"/>
      <c r="AD7109" s="388">
        <v>4.8768000000000002</v>
      </c>
      <c r="AE7109" s="388">
        <v>0.14325599999999999</v>
      </c>
      <c r="AF7109" s="388">
        <v>0.69863086080000003</v>
      </c>
      <c r="AG7109" s="388">
        <v>0.28651199999999999</v>
      </c>
      <c r="AH7109" s="391"/>
      <c r="AI7109" s="397"/>
      <c r="AJ7109" s="397"/>
      <c r="AU7109" s="397"/>
      <c r="AV7109" s="397"/>
      <c r="AW7109" s="397"/>
      <c r="AX7109" s="397"/>
      <c r="BI7109" s="397"/>
      <c r="BJ7109" s="397"/>
      <c r="BK7109" s="397"/>
      <c r="BL7109" s="397"/>
      <c r="BM7109" s="397"/>
      <c r="BN7109" s="397"/>
      <c r="BO7109" s="397"/>
      <c r="BP7109" s="397"/>
      <c r="BQ7109" s="397"/>
      <c r="BR7109" s="397"/>
      <c r="BS7109" s="397"/>
      <c r="BT7109" s="397"/>
      <c r="BU7109" s="397"/>
      <c r="BV7109" s="397"/>
      <c r="BW7109" s="397"/>
      <c r="BX7109" s="397"/>
      <c r="BY7109" s="397"/>
      <c r="BZ7109" s="397"/>
      <c r="CA7109" s="392" t="s">
        <v>413</v>
      </c>
    </row>
    <row r="7110" spans="1:80" s="392" customFormat="1" ht="15" x14ac:dyDescent="0.25">
      <c r="A7110" s="385"/>
      <c r="D7110" s="700"/>
      <c r="E7110" s="397"/>
      <c r="H7110" s="401">
        <v>3</v>
      </c>
      <c r="I7110" s="401"/>
      <c r="J7110" s="401"/>
      <c r="K7110" s="401"/>
      <c r="L7110" s="675"/>
      <c r="M7110" s="672">
        <v>28291</v>
      </c>
      <c r="N7110" s="623">
        <v>0.2298101445168603</v>
      </c>
      <c r="O7110" s="624" t="s">
        <v>71</v>
      </c>
      <c r="P7110" s="397"/>
      <c r="Q7110" s="397"/>
      <c r="R7110" s="397"/>
      <c r="S7110" s="397"/>
      <c r="T7110" s="397"/>
      <c r="U7110" s="397"/>
      <c r="V7110" s="397"/>
      <c r="W7110" s="397"/>
      <c r="X7110" s="397"/>
      <c r="Y7110" s="397"/>
      <c r="Z7110" s="397"/>
      <c r="AD7110" s="388">
        <v>4.6634400000000005</v>
      </c>
      <c r="AE7110" s="388">
        <v>0.16764000000000001</v>
      </c>
      <c r="AF7110" s="388">
        <v>0.78177908160000009</v>
      </c>
      <c r="AG7110" s="388">
        <v>0.313944</v>
      </c>
      <c r="AH7110" s="391"/>
      <c r="AI7110" s="397"/>
      <c r="AJ7110" s="397"/>
      <c r="AU7110" s="397"/>
      <c r="AV7110" s="397"/>
      <c r="AW7110" s="397"/>
      <c r="AX7110" s="397"/>
      <c r="BI7110" s="397"/>
      <c r="BJ7110" s="397"/>
      <c r="BK7110" s="397"/>
      <c r="BL7110" s="397"/>
      <c r="BM7110" s="397"/>
      <c r="BN7110" s="397"/>
      <c r="BO7110" s="397"/>
      <c r="BP7110" s="397"/>
      <c r="BQ7110" s="397"/>
      <c r="BR7110" s="397"/>
      <c r="BS7110" s="397"/>
      <c r="BT7110" s="397"/>
      <c r="BU7110" s="397"/>
      <c r="BV7110" s="397"/>
      <c r="BW7110" s="397"/>
      <c r="BX7110" s="397"/>
      <c r="BY7110" s="397"/>
      <c r="BZ7110" s="397"/>
      <c r="CA7110" s="392" t="s">
        <v>413</v>
      </c>
    </row>
    <row r="7111" spans="1:80" s="392" customFormat="1" ht="15" x14ac:dyDescent="0.25">
      <c r="A7111" s="385"/>
      <c r="D7111" s="700"/>
      <c r="E7111" s="397"/>
      <c r="H7111" s="401">
        <v>3</v>
      </c>
      <c r="I7111" s="401"/>
      <c r="J7111" s="401"/>
      <c r="K7111" s="401"/>
      <c r="L7111" s="675"/>
      <c r="M7111" s="672">
        <v>28295</v>
      </c>
      <c r="N7111" s="623">
        <v>0.28194956078209121</v>
      </c>
      <c r="O7111" s="624">
        <v>1.32E-3</v>
      </c>
      <c r="P7111" s="397"/>
      <c r="Q7111" s="397"/>
      <c r="R7111" s="397"/>
      <c r="S7111" s="397"/>
      <c r="T7111" s="397"/>
      <c r="U7111" s="397"/>
      <c r="V7111" s="397"/>
      <c r="W7111" s="397"/>
      <c r="X7111" s="397"/>
      <c r="Y7111" s="397"/>
      <c r="Z7111" s="397"/>
      <c r="AD7111" s="388">
        <v>5.0292000000000003</v>
      </c>
      <c r="AE7111" s="388">
        <v>0.16764000000000001</v>
      </c>
      <c r="AF7111" s="388">
        <v>0.8430950880000001</v>
      </c>
      <c r="AG7111" s="388">
        <v>0.29260799999999998</v>
      </c>
      <c r="AH7111" s="391"/>
      <c r="AI7111" s="397"/>
      <c r="AJ7111" s="397"/>
      <c r="AU7111" s="397"/>
      <c r="AV7111" s="397"/>
      <c r="AW7111" s="397"/>
      <c r="AX7111" s="397"/>
      <c r="BI7111" s="397"/>
      <c r="BJ7111" s="397"/>
      <c r="BK7111" s="397"/>
      <c r="BL7111" s="397"/>
      <c r="BM7111" s="397"/>
      <c r="BN7111" s="397"/>
      <c r="BO7111" s="397"/>
      <c r="BP7111" s="397"/>
      <c r="BQ7111" s="397"/>
      <c r="BR7111" s="397"/>
      <c r="BS7111" s="397"/>
      <c r="BT7111" s="397"/>
      <c r="BU7111" s="397"/>
      <c r="BV7111" s="397"/>
      <c r="BW7111" s="397"/>
      <c r="BX7111" s="397"/>
      <c r="BY7111" s="397"/>
      <c r="BZ7111" s="397"/>
      <c r="CA7111" s="392" t="s">
        <v>413</v>
      </c>
    </row>
    <row r="7112" spans="1:80" s="392" customFormat="1" ht="15" x14ac:dyDescent="0.25">
      <c r="A7112" s="385"/>
      <c r="D7112" s="700"/>
      <c r="E7112" s="397"/>
      <c r="H7112" s="401">
        <v>3</v>
      </c>
      <c r="I7112" s="401"/>
      <c r="J7112" s="401"/>
      <c r="K7112" s="401"/>
      <c r="L7112" s="675"/>
      <c r="M7112" s="672">
        <v>28297</v>
      </c>
      <c r="N7112" s="623">
        <v>0.32275432133748938</v>
      </c>
      <c r="O7112" s="624" t="s">
        <v>71</v>
      </c>
      <c r="P7112" s="397"/>
      <c r="Q7112" s="397"/>
      <c r="R7112" s="397"/>
      <c r="S7112" s="397"/>
      <c r="T7112" s="397"/>
      <c r="U7112" s="397"/>
      <c r="V7112" s="397"/>
      <c r="W7112" s="397"/>
      <c r="X7112" s="397"/>
      <c r="Y7112" s="397"/>
      <c r="Z7112" s="397"/>
      <c r="AD7112" s="388">
        <v>4.8768000000000002</v>
      </c>
      <c r="AE7112" s="388">
        <v>0.16154400000000002</v>
      </c>
      <c r="AF7112" s="388">
        <v>0.78781777920000018</v>
      </c>
      <c r="AG7112" s="388">
        <v>0.36576000000000003</v>
      </c>
      <c r="AH7112" s="391"/>
      <c r="AI7112" s="397"/>
      <c r="AJ7112" s="397"/>
      <c r="AU7112" s="397"/>
      <c r="AV7112" s="397"/>
      <c r="AW7112" s="397"/>
      <c r="AX7112" s="397"/>
      <c r="BI7112" s="397"/>
      <c r="BJ7112" s="397"/>
      <c r="BK7112" s="397"/>
      <c r="BL7112" s="397"/>
      <c r="BM7112" s="397"/>
      <c r="BN7112" s="397"/>
      <c r="BO7112" s="397"/>
      <c r="BP7112" s="397"/>
      <c r="BQ7112" s="397"/>
      <c r="BR7112" s="397"/>
      <c r="BS7112" s="397"/>
      <c r="BT7112" s="397"/>
      <c r="BU7112" s="397"/>
      <c r="BV7112" s="397"/>
      <c r="BW7112" s="397"/>
      <c r="BX7112" s="397"/>
      <c r="BY7112" s="397"/>
      <c r="BZ7112" s="397"/>
      <c r="CA7112" s="392" t="s">
        <v>413</v>
      </c>
    </row>
    <row r="7113" spans="1:80" s="392" customFormat="1" ht="15" x14ac:dyDescent="0.25">
      <c r="A7113" s="385"/>
      <c r="D7113" s="700"/>
      <c r="E7113" s="397"/>
      <c r="H7113" s="401">
        <v>3</v>
      </c>
      <c r="I7113" s="401"/>
      <c r="J7113" s="401"/>
      <c r="K7113" s="401"/>
      <c r="L7113" s="675"/>
      <c r="M7113" s="672">
        <v>28302</v>
      </c>
      <c r="N7113" s="623">
        <v>0.19693964295834515</v>
      </c>
      <c r="O7113" s="624" t="s">
        <v>71</v>
      </c>
      <c r="P7113" s="397"/>
      <c r="Q7113" s="397"/>
      <c r="R7113" s="397"/>
      <c r="S7113" s="397"/>
      <c r="T7113" s="397"/>
      <c r="U7113" s="397"/>
      <c r="V7113" s="397"/>
      <c r="W7113" s="397"/>
      <c r="X7113" s="397"/>
      <c r="Y7113" s="397"/>
      <c r="Z7113" s="397"/>
      <c r="AD7113" s="388">
        <v>4.7244000000000002</v>
      </c>
      <c r="AE7113" s="388">
        <v>0.13716</v>
      </c>
      <c r="AF7113" s="388">
        <v>0.64799870400000004</v>
      </c>
      <c r="AG7113" s="388">
        <v>0.27127200000000001</v>
      </c>
      <c r="AH7113" s="391"/>
      <c r="AI7113" s="397"/>
      <c r="AJ7113" s="397"/>
      <c r="AU7113" s="397"/>
      <c r="AV7113" s="397"/>
      <c r="AW7113" s="397"/>
      <c r="AX7113" s="397"/>
      <c r="BI7113" s="397"/>
      <c r="BJ7113" s="397"/>
      <c r="BK7113" s="397"/>
      <c r="BL7113" s="397"/>
      <c r="BM7113" s="397"/>
      <c r="BN7113" s="397"/>
      <c r="BO7113" s="397"/>
      <c r="BP7113" s="397"/>
      <c r="BQ7113" s="397"/>
      <c r="BR7113" s="397"/>
      <c r="BS7113" s="397"/>
      <c r="BT7113" s="397"/>
      <c r="BU7113" s="397"/>
      <c r="BV7113" s="397"/>
      <c r="BW7113" s="397"/>
      <c r="BX7113" s="397"/>
      <c r="BY7113" s="397"/>
      <c r="BZ7113" s="397"/>
      <c r="CA7113" s="392" t="s">
        <v>413</v>
      </c>
    </row>
    <row r="7114" spans="1:80" s="392" customFormat="1" ht="15" x14ac:dyDescent="0.25">
      <c r="A7114" s="385"/>
      <c r="D7114" s="700"/>
      <c r="E7114" s="397"/>
      <c r="H7114" s="401">
        <v>3</v>
      </c>
      <c r="I7114" s="401"/>
      <c r="J7114" s="401"/>
      <c r="K7114" s="401"/>
      <c r="L7114" s="675"/>
      <c r="M7114" s="672">
        <v>28308</v>
      </c>
      <c r="N7114" s="623">
        <v>0.16888637007650892</v>
      </c>
      <c r="O7114" s="624" t="s">
        <v>71</v>
      </c>
      <c r="P7114" s="397"/>
      <c r="Q7114" s="397"/>
      <c r="R7114" s="397"/>
      <c r="S7114" s="397"/>
      <c r="T7114" s="397"/>
      <c r="U7114" s="397"/>
      <c r="V7114" s="397"/>
      <c r="W7114" s="397"/>
      <c r="X7114" s="397"/>
      <c r="Y7114" s="397"/>
      <c r="Z7114" s="397"/>
      <c r="AD7114" s="388">
        <v>4.8768000000000002</v>
      </c>
      <c r="AE7114" s="388">
        <v>0.13716</v>
      </c>
      <c r="AF7114" s="388">
        <v>0.66890188800000006</v>
      </c>
      <c r="AG7114" s="388">
        <v>0.21640799999999999</v>
      </c>
      <c r="AH7114" s="391"/>
      <c r="AI7114" s="397"/>
      <c r="AJ7114" s="397"/>
      <c r="AU7114" s="397"/>
      <c r="AV7114" s="397"/>
      <c r="AW7114" s="397"/>
      <c r="AX7114" s="397"/>
      <c r="BI7114" s="397"/>
      <c r="BJ7114" s="397"/>
      <c r="BK7114" s="397"/>
      <c r="BL7114" s="397"/>
      <c r="BM7114" s="397"/>
      <c r="BN7114" s="397"/>
      <c r="BO7114" s="397"/>
      <c r="BP7114" s="397"/>
      <c r="BQ7114" s="397"/>
      <c r="BR7114" s="397"/>
      <c r="BS7114" s="397"/>
      <c r="BT7114" s="397"/>
      <c r="BU7114" s="397"/>
      <c r="BV7114" s="397"/>
      <c r="BW7114" s="397"/>
      <c r="BX7114" s="397"/>
      <c r="BY7114" s="397"/>
      <c r="BZ7114" s="397"/>
      <c r="CA7114" s="392" t="s">
        <v>413</v>
      </c>
    </row>
    <row r="7115" spans="1:80" s="392" customFormat="1" ht="15" x14ac:dyDescent="0.25">
      <c r="A7115" s="385"/>
      <c r="D7115" s="700"/>
      <c r="E7115" s="397"/>
      <c r="H7115" s="401">
        <v>3</v>
      </c>
      <c r="I7115" s="401"/>
      <c r="J7115" s="401"/>
      <c r="K7115" s="401"/>
      <c r="L7115" s="675"/>
      <c r="M7115" s="672">
        <v>28315</v>
      </c>
      <c r="N7115" s="623">
        <v>0.25077925758005098</v>
      </c>
      <c r="O7115" s="624" t="s">
        <v>71</v>
      </c>
      <c r="P7115" s="397"/>
      <c r="Q7115" s="397"/>
      <c r="R7115" s="397"/>
      <c r="S7115" s="397"/>
      <c r="T7115" s="397"/>
      <c r="U7115" s="397"/>
      <c r="V7115" s="397"/>
      <c r="W7115" s="397"/>
      <c r="X7115" s="397"/>
      <c r="Y7115" s="397"/>
      <c r="Z7115" s="397"/>
      <c r="AD7115" s="388">
        <v>4.6634400000000005</v>
      </c>
      <c r="AE7115" s="388">
        <v>0.17068800000000003</v>
      </c>
      <c r="AF7115" s="388">
        <v>0.79599324672000027</v>
      </c>
      <c r="AG7115" s="388">
        <v>0.280416</v>
      </c>
      <c r="AH7115" s="391"/>
      <c r="AI7115" s="397"/>
      <c r="AJ7115" s="397"/>
      <c r="AU7115" s="397"/>
      <c r="AV7115" s="397"/>
      <c r="AW7115" s="397"/>
      <c r="AX7115" s="397"/>
      <c r="BI7115" s="397"/>
      <c r="BJ7115" s="397"/>
      <c r="BK7115" s="397"/>
      <c r="BL7115" s="397"/>
      <c r="BM7115" s="397"/>
      <c r="BN7115" s="397"/>
      <c r="BO7115" s="397"/>
      <c r="BP7115" s="397"/>
      <c r="BQ7115" s="397"/>
      <c r="BR7115" s="397"/>
      <c r="BS7115" s="397"/>
      <c r="BT7115" s="397"/>
      <c r="BU7115" s="397"/>
      <c r="BV7115" s="397"/>
      <c r="BW7115" s="397"/>
      <c r="BX7115" s="397"/>
      <c r="BY7115" s="397"/>
      <c r="BZ7115" s="397"/>
      <c r="CA7115" s="392" t="s">
        <v>413</v>
      </c>
    </row>
    <row r="7116" spans="1:80" s="392" customFormat="1" ht="15" x14ac:dyDescent="0.25">
      <c r="A7116" s="385"/>
      <c r="D7116" s="700"/>
      <c r="E7116" s="397"/>
      <c r="H7116" s="401">
        <v>3</v>
      </c>
      <c r="I7116" s="401"/>
      <c r="J7116" s="401"/>
      <c r="K7116" s="401"/>
      <c r="L7116" s="675"/>
      <c r="M7116" s="672">
        <v>28322</v>
      </c>
      <c r="N7116" s="623">
        <v>0.21025786341739869</v>
      </c>
      <c r="O7116" s="624" t="s">
        <v>71</v>
      </c>
      <c r="P7116" s="397"/>
      <c r="Q7116" s="397"/>
      <c r="R7116" s="397"/>
      <c r="S7116" s="397"/>
      <c r="T7116" s="397"/>
      <c r="U7116" s="397"/>
      <c r="V7116" s="397"/>
      <c r="W7116" s="397"/>
      <c r="X7116" s="397"/>
      <c r="Y7116" s="397"/>
      <c r="Z7116" s="397"/>
      <c r="AD7116" s="388">
        <v>4.5720000000000001</v>
      </c>
      <c r="AE7116" s="388">
        <v>0.14325599999999999</v>
      </c>
      <c r="AF7116" s="388">
        <v>0.65496643199999993</v>
      </c>
      <c r="AG7116" s="388">
        <v>0.27127200000000001</v>
      </c>
      <c r="AH7116" s="391"/>
      <c r="AI7116" s="397"/>
      <c r="AJ7116" s="397"/>
      <c r="AU7116" s="397"/>
      <c r="AV7116" s="397"/>
      <c r="AW7116" s="397"/>
      <c r="AX7116" s="397"/>
      <c r="BI7116" s="397"/>
      <c r="BJ7116" s="397"/>
      <c r="BK7116" s="397"/>
      <c r="BL7116" s="397"/>
      <c r="BM7116" s="397"/>
      <c r="BN7116" s="397"/>
      <c r="BO7116" s="397"/>
      <c r="BP7116" s="397"/>
      <c r="BQ7116" s="397"/>
      <c r="BR7116" s="397"/>
      <c r="BS7116" s="397"/>
      <c r="BT7116" s="397"/>
      <c r="BU7116" s="397"/>
      <c r="BV7116" s="397"/>
      <c r="BW7116" s="397"/>
      <c r="BX7116" s="397"/>
      <c r="BY7116" s="397"/>
      <c r="BZ7116" s="397"/>
      <c r="CA7116" s="392" t="s">
        <v>413</v>
      </c>
    </row>
    <row r="7117" spans="1:80" s="392" customFormat="1" ht="15" x14ac:dyDescent="0.25">
      <c r="A7117" s="385"/>
      <c r="D7117" s="700"/>
      <c r="E7117" s="397"/>
      <c r="H7117" s="401">
        <v>3</v>
      </c>
      <c r="I7117" s="401"/>
      <c r="J7117" s="401"/>
      <c r="K7117" s="401"/>
      <c r="L7117" s="675"/>
      <c r="M7117" s="672">
        <v>28325</v>
      </c>
      <c r="N7117" s="623">
        <v>0.20175687163502409</v>
      </c>
      <c r="O7117" s="624" t="s">
        <v>71</v>
      </c>
      <c r="P7117" s="397"/>
      <c r="Q7117" s="397"/>
      <c r="R7117" s="397"/>
      <c r="S7117" s="397"/>
      <c r="T7117" s="397"/>
      <c r="U7117" s="397"/>
      <c r="V7117" s="397"/>
      <c r="W7117" s="397"/>
      <c r="X7117" s="397"/>
      <c r="Y7117" s="397"/>
      <c r="Z7117" s="397"/>
      <c r="AD7117" s="388">
        <v>4.5720000000000001</v>
      </c>
      <c r="AE7117" s="388">
        <v>0.155448</v>
      </c>
      <c r="AF7117" s="388">
        <v>0.71070825599999998</v>
      </c>
      <c r="AG7117" s="388">
        <v>0.26517600000000002</v>
      </c>
      <c r="AH7117" s="391"/>
      <c r="AI7117" s="397"/>
      <c r="AJ7117" s="397"/>
      <c r="AU7117" s="397"/>
      <c r="AV7117" s="397"/>
      <c r="AW7117" s="397"/>
      <c r="AX7117" s="397"/>
      <c r="BI7117" s="397"/>
      <c r="BJ7117" s="397"/>
      <c r="BK7117" s="397"/>
      <c r="BL7117" s="397"/>
      <c r="BM7117" s="397"/>
      <c r="BN7117" s="397"/>
      <c r="BO7117" s="397"/>
      <c r="BP7117" s="397"/>
      <c r="BQ7117" s="397"/>
      <c r="BR7117" s="397"/>
      <c r="BS7117" s="397"/>
      <c r="BT7117" s="397"/>
      <c r="BU7117" s="397"/>
      <c r="BV7117" s="397"/>
      <c r="BW7117" s="397"/>
      <c r="BX7117" s="397"/>
      <c r="BY7117" s="397"/>
      <c r="BZ7117" s="397"/>
      <c r="CA7117" s="392" t="s">
        <v>413</v>
      </c>
    </row>
    <row r="7118" spans="1:80" s="392" customFormat="1" ht="15" x14ac:dyDescent="0.25">
      <c r="A7118" s="385"/>
      <c r="D7118" s="700"/>
      <c r="E7118" s="397"/>
      <c r="H7118" s="401">
        <v>3</v>
      </c>
      <c r="I7118" s="401"/>
      <c r="J7118" s="401"/>
      <c r="K7118" s="401"/>
      <c r="L7118" s="675"/>
      <c r="M7118" s="672">
        <v>28329</v>
      </c>
      <c r="N7118" s="623">
        <v>0.24737886086710117</v>
      </c>
      <c r="O7118" s="624" t="s">
        <v>71</v>
      </c>
      <c r="P7118" s="397"/>
      <c r="Q7118" s="397"/>
      <c r="R7118" s="397"/>
      <c r="S7118" s="397"/>
      <c r="T7118" s="397"/>
      <c r="U7118" s="397"/>
      <c r="V7118" s="397"/>
      <c r="W7118" s="397"/>
      <c r="X7118" s="397"/>
      <c r="Y7118" s="397"/>
      <c r="Z7118" s="397"/>
      <c r="AD7118" s="388">
        <v>4.6329599999999997</v>
      </c>
      <c r="AE7118" s="388">
        <v>0.16459200000000002</v>
      </c>
      <c r="AF7118" s="388">
        <v>0.76254815232000006</v>
      </c>
      <c r="AG7118" s="388">
        <v>0.31699200000000005</v>
      </c>
      <c r="AH7118" s="391"/>
      <c r="AI7118" s="397"/>
      <c r="AJ7118" s="397"/>
      <c r="AU7118" s="397"/>
      <c r="AV7118" s="397"/>
      <c r="AW7118" s="397"/>
      <c r="AX7118" s="397"/>
      <c r="BI7118" s="397"/>
      <c r="BJ7118" s="397"/>
      <c r="BK7118" s="397"/>
      <c r="BL7118" s="397"/>
      <c r="BM7118" s="397"/>
      <c r="BN7118" s="397"/>
      <c r="BO7118" s="397"/>
      <c r="BP7118" s="397"/>
      <c r="BQ7118" s="397"/>
      <c r="BR7118" s="397"/>
      <c r="BS7118" s="397"/>
      <c r="BT7118" s="397"/>
      <c r="BU7118" s="397"/>
      <c r="BV7118" s="397"/>
      <c r="BW7118" s="397"/>
      <c r="BX7118" s="397"/>
      <c r="BY7118" s="397"/>
      <c r="BZ7118" s="397"/>
      <c r="CA7118" s="392" t="s">
        <v>413</v>
      </c>
    </row>
    <row r="7119" spans="1:80" s="392" customFormat="1" ht="15" x14ac:dyDescent="0.25">
      <c r="A7119" s="385"/>
      <c r="D7119" s="700"/>
      <c r="E7119" s="397"/>
      <c r="H7119" s="401">
        <v>3</v>
      </c>
      <c r="I7119" s="401"/>
      <c r="J7119" s="401"/>
      <c r="K7119" s="401"/>
      <c r="L7119" s="675"/>
      <c r="M7119" s="672">
        <v>28332</v>
      </c>
      <c r="N7119" s="623">
        <v>0.19863984131482007</v>
      </c>
      <c r="O7119" s="624" t="s">
        <v>71</v>
      </c>
      <c r="P7119" s="397"/>
      <c r="Q7119" s="397"/>
      <c r="R7119" s="397"/>
      <c r="S7119" s="397"/>
      <c r="T7119" s="397"/>
      <c r="U7119" s="397"/>
      <c r="V7119" s="397"/>
      <c r="W7119" s="397"/>
      <c r="X7119" s="397"/>
      <c r="Y7119" s="397"/>
      <c r="Z7119" s="397"/>
      <c r="AD7119" s="388">
        <v>4.5720000000000001</v>
      </c>
      <c r="AE7119" s="388">
        <v>0.15849600000000003</v>
      </c>
      <c r="AF7119" s="388">
        <v>0.72464371200000011</v>
      </c>
      <c r="AG7119" s="388">
        <v>0.28346400000000005</v>
      </c>
      <c r="AH7119" s="391"/>
      <c r="AI7119" s="397"/>
      <c r="AJ7119" s="397"/>
      <c r="AU7119" s="397"/>
      <c r="AV7119" s="397"/>
      <c r="AW7119" s="397"/>
      <c r="AX7119" s="397"/>
      <c r="BI7119" s="397"/>
      <c r="BJ7119" s="397"/>
      <c r="BK7119" s="397"/>
      <c r="BL7119" s="397"/>
      <c r="BM7119" s="397"/>
      <c r="BN7119" s="397"/>
      <c r="BO7119" s="397"/>
      <c r="BP7119" s="397"/>
      <c r="BQ7119" s="397"/>
      <c r="BR7119" s="397"/>
      <c r="BS7119" s="397"/>
      <c r="BT7119" s="397"/>
      <c r="BU7119" s="397"/>
      <c r="BV7119" s="397"/>
      <c r="BW7119" s="397"/>
      <c r="BX7119" s="397"/>
      <c r="BY7119" s="397"/>
      <c r="BZ7119" s="397"/>
      <c r="CA7119" s="392" t="s">
        <v>413</v>
      </c>
    </row>
    <row r="7120" spans="1:80" s="392" customFormat="1" ht="15" x14ac:dyDescent="0.25">
      <c r="A7120" s="385"/>
      <c r="D7120" s="700"/>
      <c r="E7120" s="397"/>
      <c r="H7120" s="401">
        <v>3</v>
      </c>
      <c r="I7120" s="401"/>
      <c r="J7120" s="401"/>
      <c r="K7120" s="401"/>
      <c r="L7120" s="675"/>
      <c r="M7120" s="672">
        <v>28336</v>
      </c>
      <c r="N7120" s="623">
        <v>0.19977330688580333</v>
      </c>
      <c r="O7120" s="624" t="s">
        <v>71</v>
      </c>
      <c r="P7120" s="397"/>
      <c r="Q7120" s="397"/>
      <c r="R7120" s="397"/>
      <c r="S7120" s="397"/>
      <c r="T7120" s="397"/>
      <c r="U7120" s="397"/>
      <c r="V7120" s="397"/>
      <c r="W7120" s="397"/>
      <c r="X7120" s="397"/>
      <c r="Y7120" s="397"/>
      <c r="Z7120" s="397"/>
      <c r="AD7120" s="388">
        <v>4.5415200000000002</v>
      </c>
      <c r="AE7120" s="388">
        <v>0.155448</v>
      </c>
      <c r="AF7120" s="388">
        <v>0.70597020096000007</v>
      </c>
      <c r="AG7120" s="388">
        <v>0.25908000000000003</v>
      </c>
      <c r="AH7120" s="391"/>
      <c r="AI7120" s="397"/>
      <c r="AJ7120" s="397"/>
      <c r="AU7120" s="397"/>
      <c r="AV7120" s="397"/>
      <c r="AW7120" s="397"/>
      <c r="AX7120" s="397"/>
      <c r="BI7120" s="397"/>
      <c r="BJ7120" s="397"/>
      <c r="BK7120" s="397"/>
      <c r="BL7120" s="397"/>
      <c r="BM7120" s="397"/>
      <c r="BN7120" s="397"/>
      <c r="BO7120" s="397"/>
      <c r="BP7120" s="397"/>
      <c r="BQ7120" s="397"/>
      <c r="BR7120" s="397"/>
      <c r="BS7120" s="397"/>
      <c r="BT7120" s="397"/>
      <c r="BU7120" s="397"/>
      <c r="BV7120" s="397"/>
      <c r="BW7120" s="397"/>
      <c r="BX7120" s="397"/>
      <c r="BY7120" s="397"/>
      <c r="BZ7120" s="397"/>
      <c r="CA7120" s="392" t="s">
        <v>413</v>
      </c>
    </row>
    <row r="7121" spans="1:80" s="392" customFormat="1" ht="15" x14ac:dyDescent="0.25">
      <c r="A7121" s="385"/>
      <c r="D7121" s="700"/>
      <c r="E7121" s="397"/>
      <c r="H7121" s="401">
        <v>3</v>
      </c>
      <c r="I7121" s="401"/>
      <c r="J7121" s="401"/>
      <c r="K7121" s="401"/>
      <c r="L7121" s="675"/>
      <c r="M7121" s="672">
        <v>28366</v>
      </c>
      <c r="N7121" s="623">
        <v>0.22896004533862285</v>
      </c>
      <c r="O7121" s="624" t="s">
        <v>71</v>
      </c>
      <c r="P7121" s="397"/>
      <c r="Q7121" s="397"/>
      <c r="R7121" s="397"/>
      <c r="S7121" s="397"/>
      <c r="T7121" s="397"/>
      <c r="U7121" s="397"/>
      <c r="V7121" s="397"/>
      <c r="W7121" s="397"/>
      <c r="X7121" s="397"/>
      <c r="Y7121" s="397"/>
      <c r="Z7121" s="397"/>
      <c r="AD7121" s="388">
        <v>4.5110400000000004</v>
      </c>
      <c r="AE7121" s="388">
        <v>0.15849600000000003</v>
      </c>
      <c r="AF7121" s="388">
        <v>0.71498179584000021</v>
      </c>
      <c r="AG7121" s="388">
        <v>0.27127200000000001</v>
      </c>
      <c r="AH7121" s="391"/>
      <c r="AI7121" s="397"/>
      <c r="AJ7121" s="397"/>
      <c r="AU7121" s="397"/>
      <c r="AV7121" s="397"/>
      <c r="AW7121" s="397"/>
      <c r="AX7121" s="397"/>
      <c r="BI7121" s="397"/>
      <c r="BJ7121" s="397"/>
      <c r="BK7121" s="397"/>
      <c r="BL7121" s="397"/>
      <c r="BM7121" s="397"/>
      <c r="BN7121" s="397"/>
      <c r="BO7121" s="397"/>
      <c r="BP7121" s="397"/>
      <c r="BQ7121" s="397"/>
      <c r="BR7121" s="397"/>
      <c r="BS7121" s="397"/>
      <c r="BT7121" s="397"/>
      <c r="BU7121" s="397"/>
      <c r="BV7121" s="397"/>
      <c r="BW7121" s="397"/>
      <c r="BX7121" s="397"/>
      <c r="BY7121" s="397"/>
      <c r="BZ7121" s="397"/>
      <c r="CA7121" s="392" t="s">
        <v>413</v>
      </c>
    </row>
    <row r="7122" spans="1:80" s="392" customFormat="1" ht="15" x14ac:dyDescent="0.25">
      <c r="A7122" s="385"/>
      <c r="D7122" s="700"/>
      <c r="E7122" s="397"/>
      <c r="H7122" s="401">
        <v>3</v>
      </c>
      <c r="I7122" s="401"/>
      <c r="J7122" s="401"/>
      <c r="K7122" s="401"/>
      <c r="L7122" s="675"/>
      <c r="M7122" s="672">
        <v>28655</v>
      </c>
      <c r="N7122" s="623">
        <v>0.23774440351374329</v>
      </c>
      <c r="O7122" s="624">
        <v>2.0533333333333332E-3</v>
      </c>
      <c r="P7122" s="397"/>
      <c r="Q7122" s="397"/>
      <c r="R7122" s="397"/>
      <c r="S7122" s="397"/>
      <c r="T7122" s="397"/>
      <c r="U7122" s="397"/>
      <c r="V7122" s="397"/>
      <c r="W7122" s="397"/>
      <c r="X7122" s="397"/>
      <c r="Y7122" s="397"/>
      <c r="Z7122" s="397"/>
      <c r="AD7122" s="388">
        <v>4.6939200000000003</v>
      </c>
      <c r="AE7122" s="388">
        <v>0.16459200000000002</v>
      </c>
      <c r="AF7122" s="388">
        <v>0.7725816806400001</v>
      </c>
      <c r="AG7122" s="388">
        <v>0.192024</v>
      </c>
      <c r="AH7122" s="391"/>
      <c r="AI7122" s="397"/>
      <c r="AJ7122" s="397"/>
      <c r="AU7122" s="397"/>
      <c r="AV7122" s="397"/>
      <c r="AW7122" s="397"/>
      <c r="AX7122" s="397"/>
      <c r="BI7122" s="397"/>
      <c r="BJ7122" s="397"/>
      <c r="BK7122" s="397"/>
      <c r="BL7122" s="397"/>
      <c r="BM7122" s="397"/>
      <c r="BN7122" s="397"/>
      <c r="BO7122" s="397"/>
      <c r="BP7122" s="397"/>
      <c r="BQ7122" s="397"/>
      <c r="BR7122" s="397"/>
      <c r="BS7122" s="397"/>
      <c r="BT7122" s="397"/>
      <c r="BU7122" s="397"/>
      <c r="BV7122" s="397"/>
      <c r="BW7122" s="397"/>
      <c r="BX7122" s="397"/>
      <c r="BY7122" s="397"/>
      <c r="BZ7122" s="397"/>
      <c r="CA7122" s="392" t="s">
        <v>413</v>
      </c>
    </row>
    <row r="7123" spans="1:80" s="392" customFormat="1" ht="15" x14ac:dyDescent="0.25">
      <c r="A7123" s="385"/>
      <c r="D7123" s="700"/>
      <c r="E7123" s="397"/>
      <c r="H7123" s="401">
        <v>3</v>
      </c>
      <c r="I7123" s="401"/>
      <c r="J7123" s="401"/>
      <c r="K7123" s="401"/>
      <c r="L7123" s="675"/>
      <c r="M7123" s="672">
        <v>28663</v>
      </c>
      <c r="N7123" s="623">
        <v>0.26438084443185039</v>
      </c>
      <c r="O7123" s="624">
        <v>3.6720000000000008E-3</v>
      </c>
      <c r="P7123" s="397"/>
      <c r="Q7123" s="397"/>
      <c r="R7123" s="397"/>
      <c r="S7123" s="397"/>
      <c r="T7123" s="397"/>
      <c r="U7123" s="397"/>
      <c r="V7123" s="397"/>
      <c r="W7123" s="397"/>
      <c r="X7123" s="397"/>
      <c r="Y7123" s="397"/>
      <c r="Z7123" s="397"/>
      <c r="AD7123" s="388">
        <v>4.6634400000000005</v>
      </c>
      <c r="AE7123" s="388">
        <v>0.173736</v>
      </c>
      <c r="AF7123" s="388">
        <v>0.81020741184000011</v>
      </c>
      <c r="AG7123" s="388">
        <v>0.210312</v>
      </c>
      <c r="AH7123" s="391"/>
      <c r="AI7123" s="397"/>
      <c r="AJ7123" s="397"/>
      <c r="AU7123" s="397"/>
      <c r="AV7123" s="397"/>
      <c r="AW7123" s="397"/>
      <c r="AX7123" s="397"/>
      <c r="BI7123" s="397"/>
      <c r="BJ7123" s="397"/>
      <c r="BK7123" s="397"/>
      <c r="BL7123" s="397"/>
      <c r="BM7123" s="397"/>
      <c r="BN7123" s="397"/>
      <c r="BO7123" s="397"/>
      <c r="BP7123" s="397"/>
      <c r="BQ7123" s="397"/>
      <c r="BR7123" s="397"/>
      <c r="BS7123" s="397"/>
      <c r="BT7123" s="397"/>
      <c r="BU7123" s="397"/>
      <c r="BV7123" s="397"/>
      <c r="BW7123" s="397"/>
      <c r="BX7123" s="397"/>
      <c r="BY7123" s="397"/>
      <c r="BZ7123" s="397"/>
      <c r="CA7123" s="392" t="s">
        <v>413</v>
      </c>
    </row>
    <row r="7124" spans="1:80" s="392" customFormat="1" ht="15" x14ac:dyDescent="0.25">
      <c r="A7124" s="385"/>
      <c r="D7124" s="700"/>
      <c r="E7124" s="397"/>
      <c r="H7124" s="401">
        <v>3</v>
      </c>
      <c r="I7124" s="401"/>
      <c r="J7124" s="401"/>
      <c r="K7124" s="401"/>
      <c r="L7124" s="675"/>
      <c r="M7124" s="672">
        <v>28671</v>
      </c>
      <c r="N7124" s="623">
        <v>1.320487390195523</v>
      </c>
      <c r="O7124" s="624">
        <v>1.7906666666666671E-2</v>
      </c>
      <c r="P7124" s="397"/>
      <c r="Q7124" s="397"/>
      <c r="R7124" s="397"/>
      <c r="S7124" s="397"/>
      <c r="T7124" s="397"/>
      <c r="U7124" s="397"/>
      <c r="V7124" s="397"/>
      <c r="W7124" s="397"/>
      <c r="X7124" s="397"/>
      <c r="Y7124" s="397"/>
      <c r="Z7124" s="397"/>
      <c r="AD7124" s="388">
        <v>5.1816000000000004</v>
      </c>
      <c r="AE7124" s="388">
        <v>0.28346400000000005</v>
      </c>
      <c r="AF7124" s="388">
        <v>1.4687970624000004</v>
      </c>
      <c r="AG7124" s="388">
        <v>0.66751199999999999</v>
      </c>
      <c r="AH7124" s="391"/>
      <c r="AI7124" s="397"/>
      <c r="AJ7124" s="397"/>
      <c r="AU7124" s="397"/>
      <c r="AV7124" s="397"/>
      <c r="AW7124" s="397"/>
      <c r="AX7124" s="397"/>
      <c r="BI7124" s="397"/>
      <c r="BJ7124" s="397"/>
      <c r="BK7124" s="397"/>
      <c r="BL7124" s="397"/>
      <c r="BM7124" s="397"/>
      <c r="BN7124" s="397"/>
      <c r="BO7124" s="397"/>
      <c r="BP7124" s="397"/>
      <c r="BQ7124" s="397"/>
      <c r="BR7124" s="397"/>
      <c r="BS7124" s="397"/>
      <c r="BT7124" s="397"/>
      <c r="BU7124" s="397"/>
      <c r="BV7124" s="397"/>
      <c r="BW7124" s="397"/>
      <c r="BX7124" s="397"/>
      <c r="BY7124" s="397"/>
      <c r="BZ7124" s="397"/>
      <c r="CA7124" s="392" t="s">
        <v>413</v>
      </c>
    </row>
    <row r="7125" spans="1:80" s="392" customFormat="1" ht="15" x14ac:dyDescent="0.25">
      <c r="A7125" s="385"/>
      <c r="D7125" s="700"/>
      <c r="E7125" s="397"/>
      <c r="H7125" s="401">
        <v>3</v>
      </c>
      <c r="I7125" s="401"/>
      <c r="J7125" s="401"/>
      <c r="K7125" s="401"/>
      <c r="L7125" s="675"/>
      <c r="M7125" s="672">
        <v>28678</v>
      </c>
      <c r="N7125" s="623">
        <v>0.19608954378010768</v>
      </c>
      <c r="O7125" s="624">
        <v>4.4000000000000003E-3</v>
      </c>
      <c r="P7125" s="397"/>
      <c r="Q7125" s="397"/>
      <c r="R7125" s="397"/>
      <c r="S7125" s="397"/>
      <c r="T7125" s="397"/>
      <c r="U7125" s="397"/>
      <c r="V7125" s="397"/>
      <c r="W7125" s="397"/>
      <c r="X7125" s="397"/>
      <c r="Y7125" s="397"/>
      <c r="Z7125" s="397"/>
      <c r="AD7125" s="388">
        <v>4.5720000000000001</v>
      </c>
      <c r="AE7125" s="388">
        <v>0.14630399999999999</v>
      </c>
      <c r="AF7125" s="388">
        <v>0.66890188799999994</v>
      </c>
      <c r="AG7125" s="388">
        <v>0.20421600000000001</v>
      </c>
      <c r="AH7125" s="391"/>
      <c r="AI7125" s="397"/>
      <c r="AJ7125" s="397"/>
      <c r="AU7125" s="397"/>
      <c r="AV7125" s="397"/>
      <c r="AW7125" s="397"/>
      <c r="AX7125" s="397"/>
      <c r="BI7125" s="397"/>
      <c r="BJ7125" s="397"/>
      <c r="BK7125" s="397"/>
      <c r="BL7125" s="397"/>
      <c r="BM7125" s="397"/>
      <c r="BN7125" s="397"/>
      <c r="BO7125" s="397"/>
      <c r="BP7125" s="397"/>
      <c r="BQ7125" s="397"/>
      <c r="BR7125" s="397"/>
      <c r="BS7125" s="397"/>
      <c r="BT7125" s="397"/>
      <c r="BU7125" s="397"/>
      <c r="BV7125" s="397"/>
      <c r="BW7125" s="397"/>
      <c r="BX7125" s="397"/>
      <c r="BY7125" s="397"/>
      <c r="BZ7125" s="397"/>
      <c r="CA7125" s="392" t="s">
        <v>413</v>
      </c>
    </row>
    <row r="7126" spans="1:80" s="392" customFormat="1" ht="15" x14ac:dyDescent="0.25">
      <c r="A7126" s="385"/>
      <c r="D7126" s="700"/>
      <c r="E7126" s="397"/>
      <c r="H7126" s="401">
        <v>3</v>
      </c>
      <c r="I7126" s="401"/>
      <c r="J7126" s="401"/>
      <c r="K7126" s="401"/>
      <c r="L7126" s="675"/>
      <c r="M7126" s="672">
        <v>28683</v>
      </c>
      <c r="N7126" s="623">
        <v>0.15755171436667612</v>
      </c>
      <c r="O7126" s="624">
        <v>6.9999999999999999E-4</v>
      </c>
      <c r="P7126" s="397"/>
      <c r="Q7126" s="397"/>
      <c r="R7126" s="397"/>
      <c r="S7126" s="397"/>
      <c r="T7126" s="397"/>
      <c r="U7126" s="397"/>
      <c r="V7126" s="397"/>
      <c r="W7126" s="397"/>
      <c r="X7126" s="397"/>
      <c r="Y7126" s="397"/>
      <c r="Z7126" s="397"/>
      <c r="AD7126" s="388">
        <v>4.5720000000000001</v>
      </c>
      <c r="AE7126" s="388">
        <v>0.13106400000000001</v>
      </c>
      <c r="AF7126" s="388">
        <v>0.5992246080000001</v>
      </c>
      <c r="AG7126" s="388">
        <v>0.14630399999999999</v>
      </c>
      <c r="AH7126" s="391"/>
      <c r="AI7126" s="397"/>
      <c r="AJ7126" s="397"/>
      <c r="AU7126" s="397"/>
      <c r="AV7126" s="397"/>
      <c r="AW7126" s="397"/>
      <c r="AX7126" s="397"/>
      <c r="BI7126" s="397"/>
      <c r="BJ7126" s="397"/>
      <c r="BK7126" s="397"/>
      <c r="BL7126" s="397"/>
      <c r="BM7126" s="397"/>
      <c r="BN7126" s="397"/>
      <c r="BO7126" s="397"/>
      <c r="BP7126" s="397"/>
      <c r="BQ7126" s="397"/>
      <c r="BR7126" s="397"/>
      <c r="BS7126" s="397"/>
      <c r="BT7126" s="397"/>
      <c r="BU7126" s="397"/>
      <c r="BV7126" s="397"/>
      <c r="BW7126" s="397"/>
      <c r="BX7126" s="397"/>
      <c r="BY7126" s="397"/>
      <c r="BZ7126" s="397"/>
      <c r="CA7126" s="392" t="s">
        <v>413</v>
      </c>
    </row>
    <row r="7127" spans="1:80" s="392" customFormat="1" ht="15" x14ac:dyDescent="0.25">
      <c r="A7127" s="385"/>
      <c r="D7127" s="700"/>
      <c r="E7127" s="397"/>
      <c r="H7127" s="401">
        <v>3</v>
      </c>
      <c r="I7127" s="401"/>
      <c r="J7127" s="401"/>
      <c r="K7127" s="401"/>
      <c r="L7127" s="675"/>
      <c r="M7127" s="672">
        <v>28691</v>
      </c>
      <c r="N7127" s="623">
        <v>0.18107112496457919</v>
      </c>
      <c r="O7127" s="624">
        <v>2.0800000000000003E-3</v>
      </c>
      <c r="P7127" s="397"/>
      <c r="Q7127" s="397"/>
      <c r="R7127" s="397"/>
      <c r="S7127" s="397"/>
      <c r="T7127" s="397"/>
      <c r="U7127" s="397"/>
      <c r="V7127" s="397"/>
      <c r="W7127" s="397"/>
      <c r="X7127" s="397"/>
      <c r="Y7127" s="397"/>
      <c r="Z7127" s="397"/>
      <c r="AD7127" s="388">
        <v>4.75488</v>
      </c>
      <c r="AE7127" s="388">
        <v>0.14935200000000001</v>
      </c>
      <c r="AF7127" s="388">
        <v>0.7101508377600001</v>
      </c>
      <c r="AG7127" s="388">
        <v>0.16154400000000002</v>
      </c>
      <c r="AH7127" s="391"/>
      <c r="AI7127" s="397"/>
      <c r="AJ7127" s="397"/>
      <c r="AU7127" s="397"/>
      <c r="AV7127" s="397"/>
      <c r="AW7127" s="397"/>
      <c r="AX7127" s="397"/>
      <c r="BI7127" s="397"/>
      <c r="BJ7127" s="397"/>
      <c r="BK7127" s="397"/>
      <c r="BL7127" s="397"/>
      <c r="BM7127" s="397"/>
      <c r="BN7127" s="397"/>
      <c r="BO7127" s="397"/>
      <c r="BP7127" s="397"/>
      <c r="BQ7127" s="397"/>
      <c r="BR7127" s="397"/>
      <c r="BS7127" s="397"/>
      <c r="BT7127" s="397"/>
      <c r="BU7127" s="397"/>
      <c r="BV7127" s="397"/>
      <c r="BW7127" s="397"/>
      <c r="BX7127" s="397"/>
      <c r="BY7127" s="397"/>
      <c r="BZ7127" s="397"/>
      <c r="CA7127" s="392" t="s">
        <v>413</v>
      </c>
    </row>
    <row r="7128" spans="1:80" s="392" customFormat="1" ht="15" x14ac:dyDescent="0.25">
      <c r="A7128" s="385"/>
      <c r="D7128" s="700"/>
      <c r="E7128" s="397"/>
      <c r="H7128" s="401">
        <v>3</v>
      </c>
      <c r="I7128" s="401"/>
      <c r="J7128" s="401"/>
      <c r="K7128" s="401"/>
      <c r="L7128" s="675"/>
      <c r="M7128" s="672">
        <v>28697</v>
      </c>
      <c r="N7128" s="623">
        <v>0.2045905355624823</v>
      </c>
      <c r="O7128" s="624">
        <v>2.9193333333333332E-3</v>
      </c>
      <c r="P7128" s="397"/>
      <c r="Q7128" s="397"/>
      <c r="R7128" s="397"/>
      <c r="S7128" s="397"/>
      <c r="T7128" s="397"/>
      <c r="U7128" s="397"/>
      <c r="V7128" s="397"/>
      <c r="W7128" s="397"/>
      <c r="X7128" s="397"/>
      <c r="Y7128" s="397"/>
      <c r="Z7128" s="397"/>
      <c r="AD7128" s="388">
        <v>4.6024799999999999</v>
      </c>
      <c r="AE7128" s="388">
        <v>0.155448</v>
      </c>
      <c r="AF7128" s="388">
        <v>0.71544631104</v>
      </c>
      <c r="AG7128" s="388">
        <v>0.20116800000000001</v>
      </c>
      <c r="AH7128" s="391"/>
      <c r="AI7128" s="397"/>
      <c r="AJ7128" s="397"/>
      <c r="AU7128" s="397"/>
      <c r="AV7128" s="397"/>
      <c r="AW7128" s="397"/>
      <c r="AX7128" s="397"/>
      <c r="BI7128" s="397"/>
      <c r="BJ7128" s="397"/>
      <c r="BK7128" s="397"/>
      <c r="BL7128" s="397"/>
      <c r="BM7128" s="397"/>
      <c r="BN7128" s="397"/>
      <c r="BO7128" s="397"/>
      <c r="BP7128" s="397"/>
      <c r="BQ7128" s="397"/>
      <c r="BR7128" s="397"/>
      <c r="BS7128" s="397"/>
      <c r="BT7128" s="397"/>
      <c r="BU7128" s="397"/>
      <c r="BV7128" s="397"/>
      <c r="BW7128" s="397"/>
      <c r="BX7128" s="397"/>
      <c r="BY7128" s="397"/>
      <c r="BZ7128" s="397"/>
      <c r="CA7128" s="392" t="s">
        <v>413</v>
      </c>
    </row>
    <row r="7129" spans="1:80" s="392" customFormat="1" ht="15" x14ac:dyDescent="0.25">
      <c r="A7129" s="385"/>
      <c r="D7129" s="700"/>
      <c r="E7129" s="397"/>
      <c r="H7129" s="401">
        <v>3</v>
      </c>
      <c r="I7129" s="401"/>
      <c r="J7129" s="401"/>
      <c r="K7129" s="401"/>
      <c r="L7129" s="675"/>
      <c r="M7129" s="672">
        <v>28704</v>
      </c>
      <c r="N7129" s="623">
        <v>0.14168319637291019</v>
      </c>
      <c r="O7129" s="624">
        <v>1.2079999999999999E-3</v>
      </c>
      <c r="P7129" s="397"/>
      <c r="Q7129" s="397"/>
      <c r="R7129" s="397"/>
      <c r="S7129" s="397"/>
      <c r="T7129" s="397"/>
      <c r="U7129" s="397"/>
      <c r="V7129" s="397"/>
      <c r="W7129" s="397"/>
      <c r="X7129" s="397"/>
      <c r="Y7129" s="397"/>
      <c r="Z7129" s="397"/>
      <c r="AD7129" s="388">
        <v>4.6024799999999999</v>
      </c>
      <c r="AE7129" s="388">
        <v>0.16154400000000002</v>
      </c>
      <c r="AF7129" s="388">
        <v>0.7435030291200001</v>
      </c>
      <c r="AG7129" s="388">
        <v>0.13716</v>
      </c>
      <c r="AH7129" s="391"/>
      <c r="AI7129" s="397"/>
      <c r="AJ7129" s="397"/>
      <c r="AU7129" s="397"/>
      <c r="AV7129" s="397"/>
      <c r="AW7129" s="397"/>
      <c r="AX7129" s="397"/>
      <c r="BI7129" s="397"/>
      <c r="BJ7129" s="397"/>
      <c r="BK7129" s="397"/>
      <c r="BL7129" s="397"/>
      <c r="BM7129" s="397"/>
      <c r="BN7129" s="397"/>
      <c r="BO7129" s="397"/>
      <c r="BP7129" s="397"/>
      <c r="BQ7129" s="397"/>
      <c r="BR7129" s="397"/>
      <c r="BS7129" s="397"/>
      <c r="BT7129" s="397"/>
      <c r="BU7129" s="397"/>
      <c r="BV7129" s="397"/>
      <c r="BW7129" s="397"/>
      <c r="BX7129" s="397"/>
      <c r="BY7129" s="397"/>
      <c r="BZ7129" s="397"/>
      <c r="CA7129" s="392" t="s">
        <v>413</v>
      </c>
    </row>
    <row r="7130" spans="1:80" s="392" customFormat="1" ht="15" x14ac:dyDescent="0.25">
      <c r="A7130" s="385"/>
      <c r="D7130" s="700"/>
      <c r="E7130" s="397"/>
      <c r="H7130" s="401">
        <v>3</v>
      </c>
      <c r="I7130" s="401"/>
      <c r="J7130" s="401"/>
      <c r="K7130" s="401"/>
      <c r="L7130" s="675"/>
      <c r="M7130" s="672">
        <v>28711</v>
      </c>
      <c r="N7130" s="623">
        <v>0.16916973646925473</v>
      </c>
      <c r="O7130" s="624" t="s">
        <v>71</v>
      </c>
      <c r="P7130" s="397"/>
      <c r="Q7130" s="397"/>
      <c r="R7130" s="397"/>
      <c r="S7130" s="397"/>
      <c r="T7130" s="397"/>
      <c r="U7130" s="397"/>
      <c r="V7130" s="397"/>
      <c r="W7130" s="397"/>
      <c r="X7130" s="397"/>
      <c r="Y7130" s="397"/>
      <c r="Z7130" s="397"/>
      <c r="AD7130" s="388">
        <v>4.6024799999999999</v>
      </c>
      <c r="AE7130" s="388">
        <v>0.16764000000000001</v>
      </c>
      <c r="AF7130" s="388">
        <v>0.77155974720000009</v>
      </c>
      <c r="AG7130" s="388">
        <v>0.16764000000000001</v>
      </c>
      <c r="AH7130" s="391"/>
      <c r="AI7130" s="397"/>
      <c r="AJ7130" s="397"/>
      <c r="AU7130" s="397"/>
      <c r="AV7130" s="397"/>
      <c r="AW7130" s="397"/>
      <c r="AX7130" s="397"/>
      <c r="BI7130" s="397"/>
      <c r="BJ7130" s="397"/>
      <c r="BK7130" s="397"/>
      <c r="BL7130" s="397"/>
      <c r="BM7130" s="397"/>
      <c r="BN7130" s="397"/>
      <c r="BO7130" s="397"/>
      <c r="BP7130" s="397"/>
      <c r="BQ7130" s="397"/>
      <c r="BR7130" s="397"/>
      <c r="BS7130" s="397"/>
      <c r="BT7130" s="397"/>
      <c r="BU7130" s="397"/>
      <c r="BV7130" s="397"/>
      <c r="BW7130" s="397"/>
      <c r="BX7130" s="397"/>
      <c r="BY7130" s="397"/>
      <c r="BZ7130" s="397"/>
      <c r="CA7130" s="392" t="s">
        <v>413</v>
      </c>
    </row>
    <row r="7131" spans="1:80" s="392" customFormat="1" ht="15" x14ac:dyDescent="0.25">
      <c r="A7131" s="385"/>
      <c r="D7131" s="700"/>
      <c r="E7131" s="397"/>
      <c r="H7131" s="401">
        <v>3</v>
      </c>
      <c r="I7131" s="401"/>
      <c r="J7131" s="401"/>
      <c r="K7131" s="401"/>
      <c r="L7131" s="675"/>
      <c r="M7131" s="672">
        <v>28719</v>
      </c>
      <c r="N7131" s="623">
        <v>0.19722300935109097</v>
      </c>
      <c r="O7131" s="624" t="s">
        <v>71</v>
      </c>
      <c r="P7131" s="397"/>
      <c r="Q7131" s="397"/>
      <c r="R7131" s="397"/>
      <c r="S7131" s="397"/>
      <c r="T7131" s="397"/>
      <c r="U7131" s="397"/>
      <c r="V7131" s="397"/>
      <c r="W7131" s="397"/>
      <c r="X7131" s="397"/>
      <c r="Y7131" s="397"/>
      <c r="Z7131" s="397"/>
      <c r="AD7131" s="388">
        <v>4.6024799999999999</v>
      </c>
      <c r="AE7131" s="388">
        <v>0.16154400000000002</v>
      </c>
      <c r="AF7131" s="388">
        <v>0.7435030291200001</v>
      </c>
      <c r="AG7131" s="388">
        <v>0.192024</v>
      </c>
      <c r="AH7131" s="391"/>
      <c r="AI7131" s="397"/>
      <c r="AJ7131" s="397"/>
      <c r="AU7131" s="397"/>
      <c r="AV7131" s="397"/>
      <c r="AW7131" s="397"/>
      <c r="AX7131" s="397"/>
      <c r="BI7131" s="397"/>
      <c r="BJ7131" s="397"/>
      <c r="BK7131" s="397"/>
      <c r="BL7131" s="397"/>
      <c r="BM7131" s="397"/>
      <c r="BN7131" s="397"/>
      <c r="BO7131" s="397"/>
      <c r="BP7131" s="397"/>
      <c r="BQ7131" s="397"/>
      <c r="BR7131" s="397"/>
      <c r="BS7131" s="397"/>
      <c r="BT7131" s="397"/>
      <c r="BU7131" s="397"/>
      <c r="BV7131" s="397"/>
      <c r="BW7131" s="397"/>
      <c r="BX7131" s="397"/>
      <c r="BY7131" s="397"/>
      <c r="BZ7131" s="397"/>
      <c r="CA7131" s="392" t="s">
        <v>413</v>
      </c>
    </row>
    <row r="7132" spans="1:80" s="392" customFormat="1" ht="15" x14ac:dyDescent="0.25">
      <c r="A7132" s="385"/>
      <c r="D7132" s="700"/>
      <c r="E7132" s="397"/>
      <c r="H7132" s="401">
        <v>3</v>
      </c>
      <c r="I7132" s="401"/>
      <c r="J7132" s="401"/>
      <c r="K7132" s="401"/>
      <c r="L7132" s="675"/>
      <c r="M7132" s="672">
        <v>28725</v>
      </c>
      <c r="N7132" s="623">
        <v>0.24142816661943892</v>
      </c>
      <c r="O7132" s="624" t="s">
        <v>71</v>
      </c>
      <c r="P7132" s="397"/>
      <c r="Q7132" s="397"/>
      <c r="R7132" s="397"/>
      <c r="S7132" s="397"/>
      <c r="T7132" s="397"/>
      <c r="U7132" s="397"/>
      <c r="V7132" s="397"/>
      <c r="W7132" s="397"/>
      <c r="X7132" s="397"/>
      <c r="Y7132" s="397"/>
      <c r="Z7132" s="397"/>
      <c r="AD7132" s="388">
        <v>4.75488</v>
      </c>
      <c r="AE7132" s="388">
        <v>0.176784</v>
      </c>
      <c r="AF7132" s="388">
        <v>0.84058670591999995</v>
      </c>
      <c r="AG7132" s="388">
        <v>0.20726400000000003</v>
      </c>
      <c r="AH7132" s="391"/>
      <c r="AI7132" s="397"/>
      <c r="AJ7132" s="397"/>
      <c r="AU7132" s="397"/>
      <c r="AV7132" s="397"/>
      <c r="AW7132" s="397"/>
      <c r="AX7132" s="397"/>
      <c r="BI7132" s="397"/>
      <c r="BJ7132" s="397"/>
      <c r="BK7132" s="397"/>
      <c r="BL7132" s="397"/>
      <c r="BM7132" s="397"/>
      <c r="BN7132" s="397"/>
      <c r="BO7132" s="397"/>
      <c r="BP7132" s="397"/>
      <c r="BQ7132" s="397"/>
      <c r="BR7132" s="397"/>
      <c r="BS7132" s="397"/>
      <c r="BT7132" s="397"/>
      <c r="BU7132" s="397"/>
      <c r="BV7132" s="397"/>
      <c r="BW7132" s="397"/>
      <c r="BX7132" s="397"/>
      <c r="BY7132" s="397"/>
      <c r="BZ7132" s="397"/>
      <c r="CA7132" s="392" t="s">
        <v>413</v>
      </c>
    </row>
    <row r="7133" spans="1:80" s="392" customFormat="1" ht="15" x14ac:dyDescent="0.25">
      <c r="A7133" s="385"/>
      <c r="D7133" s="700"/>
      <c r="E7133" s="397"/>
      <c r="H7133" s="401">
        <v>3</v>
      </c>
      <c r="I7133" s="401"/>
      <c r="J7133" s="401"/>
      <c r="K7133" s="401"/>
      <c r="L7133" s="675"/>
      <c r="M7133" s="672">
        <v>28732</v>
      </c>
      <c r="N7133" s="623">
        <v>0.18588835364125814</v>
      </c>
      <c r="O7133" s="624">
        <v>2.3306666666666662E-3</v>
      </c>
      <c r="P7133" s="397"/>
      <c r="Q7133" s="397"/>
      <c r="R7133" s="397"/>
      <c r="S7133" s="397"/>
      <c r="T7133" s="397"/>
      <c r="U7133" s="397"/>
      <c r="V7133" s="397"/>
      <c r="W7133" s="397"/>
      <c r="X7133" s="397"/>
      <c r="Y7133" s="397"/>
      <c r="Z7133" s="397"/>
      <c r="AD7133" s="388">
        <v>4.6329599999999997</v>
      </c>
      <c r="AE7133" s="388">
        <v>0.15849600000000003</v>
      </c>
      <c r="AF7133" s="388">
        <v>0.73430562816000011</v>
      </c>
      <c r="AG7133" s="388">
        <v>0.20116800000000001</v>
      </c>
      <c r="AH7133" s="391"/>
      <c r="AI7133" s="397"/>
      <c r="AJ7133" s="397"/>
      <c r="AU7133" s="397"/>
      <c r="AV7133" s="397"/>
      <c r="AW7133" s="397"/>
      <c r="AX7133" s="397"/>
      <c r="BI7133" s="397"/>
      <c r="BJ7133" s="397"/>
      <c r="BK7133" s="397"/>
      <c r="BL7133" s="397"/>
      <c r="BM7133" s="397"/>
      <c r="BN7133" s="397"/>
      <c r="BO7133" s="397"/>
      <c r="BP7133" s="397"/>
      <c r="BQ7133" s="397"/>
      <c r="BR7133" s="397"/>
      <c r="BS7133" s="397"/>
      <c r="BT7133" s="397"/>
      <c r="BU7133" s="397"/>
      <c r="BV7133" s="397"/>
      <c r="BW7133" s="397"/>
      <c r="BX7133" s="397"/>
      <c r="BY7133" s="397"/>
      <c r="BZ7133" s="397"/>
      <c r="CA7133" s="392" t="s">
        <v>413</v>
      </c>
    </row>
    <row r="7134" spans="1:80" s="392" customFormat="1" ht="15" x14ac:dyDescent="0.25">
      <c r="A7134" s="385"/>
      <c r="D7134" s="700"/>
      <c r="E7134" s="397"/>
      <c r="H7134" s="401">
        <v>3</v>
      </c>
      <c r="I7134" s="401"/>
      <c r="J7134" s="401"/>
      <c r="K7134" s="401"/>
      <c r="L7134" s="675"/>
      <c r="M7134" s="672">
        <v>28748</v>
      </c>
      <c r="N7134" s="623">
        <v>0.31737035987531875</v>
      </c>
      <c r="O7134" s="624" t="s">
        <v>71</v>
      </c>
      <c r="P7134" s="397"/>
      <c r="Q7134" s="397"/>
      <c r="R7134" s="397"/>
      <c r="S7134" s="397"/>
      <c r="T7134" s="397"/>
      <c r="U7134" s="397"/>
      <c r="V7134" s="397"/>
      <c r="W7134" s="397"/>
      <c r="X7134" s="397"/>
      <c r="Y7134" s="397"/>
      <c r="Z7134" s="397"/>
      <c r="AD7134" s="388">
        <v>4.9987199999999996</v>
      </c>
      <c r="AE7134" s="388">
        <v>0.20726400000000003</v>
      </c>
      <c r="AF7134" s="388">
        <v>1.0360547020800002</v>
      </c>
      <c r="AG7134" s="388">
        <v>0.280416</v>
      </c>
      <c r="AH7134" s="391"/>
      <c r="AI7134" s="397"/>
      <c r="AJ7134" s="397"/>
      <c r="AU7134" s="397"/>
      <c r="AV7134" s="397"/>
      <c r="AW7134" s="397"/>
      <c r="AX7134" s="397"/>
      <c r="BI7134" s="397"/>
      <c r="BJ7134" s="397"/>
      <c r="BK7134" s="397"/>
      <c r="BL7134" s="397"/>
      <c r="BM7134" s="397"/>
      <c r="BN7134" s="397"/>
      <c r="BO7134" s="397"/>
      <c r="BP7134" s="397"/>
      <c r="BQ7134" s="397"/>
      <c r="BR7134" s="397"/>
      <c r="BS7134" s="397"/>
      <c r="BT7134" s="397"/>
      <c r="BU7134" s="397"/>
      <c r="BV7134" s="397"/>
      <c r="BW7134" s="397"/>
      <c r="BX7134" s="397"/>
      <c r="BY7134" s="397"/>
      <c r="BZ7134" s="397"/>
      <c r="CA7134" s="392" t="s">
        <v>413</v>
      </c>
    </row>
    <row r="7135" spans="1:80" s="189" customFormat="1" ht="15" x14ac:dyDescent="0.25">
      <c r="A7135" s="381" t="s">
        <v>456</v>
      </c>
      <c r="B7135" s="641"/>
      <c r="C7135" s="639"/>
      <c r="D7135" s="4">
        <f>VLOOKUP(E7135,'Quality Code'!$D$4:$E$24,2,TRUE)*VLOOKUP(MROUND(F7135,10),'Quality Code'!$D$28:$E$69,2,TRUE)*VLOOKUP(COUNTA(CB7135:CB7145),'Quality Code'!$D$73:$E$93,2,TRUE)</f>
        <v>0.17499999999999999</v>
      </c>
      <c r="E7135" s="14">
        <v>0.35</v>
      </c>
      <c r="F7135" s="2">
        <v>19</v>
      </c>
      <c r="G7135" s="12"/>
      <c r="H7135" s="2" t="s">
        <v>105</v>
      </c>
      <c r="I7135" s="2"/>
      <c r="J7135" s="2"/>
      <c r="K7135" s="2"/>
      <c r="L7135" s="639"/>
      <c r="M7135" s="640">
        <v>1977</v>
      </c>
      <c r="N7135" s="578" t="s">
        <v>110</v>
      </c>
      <c r="O7135" s="578"/>
      <c r="P7135" s="26"/>
      <c r="Q7135" s="26"/>
      <c r="R7135" s="26"/>
      <c r="S7135" s="26"/>
      <c r="T7135" s="26"/>
      <c r="U7135" s="26"/>
      <c r="V7135" s="10"/>
      <c r="W7135" s="10"/>
      <c r="X7135" s="10"/>
      <c r="Y7135" s="10"/>
      <c r="Z7135" s="2"/>
      <c r="AA7135" s="26"/>
      <c r="AB7135" s="26"/>
      <c r="AC7135" s="377">
        <v>3.9E-2</v>
      </c>
      <c r="AD7135" s="406"/>
      <c r="AE7135" s="26"/>
      <c r="AF7135" s="26"/>
      <c r="AG7135" s="26"/>
      <c r="AH7135" s="26"/>
      <c r="AI7135" s="4"/>
      <c r="AJ7135" s="4"/>
      <c r="AK7135" s="26"/>
      <c r="AL7135" s="26"/>
      <c r="AM7135" s="26"/>
      <c r="AN7135" s="26"/>
      <c r="AO7135" s="26"/>
      <c r="AP7135" s="26"/>
      <c r="AQ7135" s="26"/>
      <c r="AR7135" s="26"/>
      <c r="AS7135" s="26"/>
      <c r="AT7135" s="26"/>
      <c r="AU7135" s="4"/>
      <c r="AV7135" s="4"/>
      <c r="AW7135" s="4"/>
      <c r="AX7135" s="4"/>
      <c r="AY7135" s="2"/>
      <c r="AZ7135" s="2"/>
      <c r="BA7135" s="12"/>
      <c r="BB7135" s="12"/>
      <c r="BC7135" s="12"/>
      <c r="BD7135" s="12"/>
      <c r="BE7135" s="12"/>
      <c r="BF7135" s="12"/>
      <c r="BG7135" s="12"/>
      <c r="BH7135" s="12"/>
      <c r="BI7135" s="4"/>
      <c r="BJ7135" s="12"/>
      <c r="BK7135" s="2"/>
      <c r="BL7135" s="2"/>
      <c r="BM7135" s="4"/>
      <c r="BN7135" s="12"/>
      <c r="BO7135" s="12"/>
      <c r="BP7135" s="12"/>
      <c r="BQ7135" s="4"/>
      <c r="BR7135" s="4"/>
      <c r="BS7135" s="4"/>
      <c r="BT7135" s="2"/>
      <c r="BU7135" s="9"/>
      <c r="BV7135" s="381"/>
      <c r="BW7135" s="382"/>
      <c r="BX7135" s="383"/>
      <c r="BY7135" s="383"/>
      <c r="BZ7135" s="383"/>
      <c r="CA7135" s="384" t="s">
        <v>413</v>
      </c>
      <c r="CB7135" s="411"/>
    </row>
    <row r="7136" spans="1:80" s="392" customFormat="1" ht="15" x14ac:dyDescent="0.25">
      <c r="A7136" s="385"/>
      <c r="D7136" s="700"/>
      <c r="E7136" s="397"/>
      <c r="H7136" s="401">
        <v>3</v>
      </c>
      <c r="I7136" s="401"/>
      <c r="J7136" s="401"/>
      <c r="K7136" s="401"/>
      <c r="L7136" s="675"/>
      <c r="M7136" s="672">
        <v>28244</v>
      </c>
      <c r="N7136" s="623">
        <v>7.4808727684896575E-2</v>
      </c>
      <c r="O7136" s="624">
        <v>6.3000000000000003E-4</v>
      </c>
      <c r="P7136" s="397"/>
      <c r="Q7136" s="397"/>
      <c r="R7136" s="397"/>
      <c r="S7136" s="397"/>
      <c r="T7136" s="397"/>
      <c r="U7136" s="397"/>
      <c r="V7136" s="397"/>
      <c r="W7136" s="397"/>
      <c r="X7136" s="397"/>
      <c r="Y7136" s="397"/>
      <c r="Z7136" s="397"/>
      <c r="AD7136" s="388">
        <v>3.2004000000000001</v>
      </c>
      <c r="AE7136" s="388">
        <v>7.0104E-2</v>
      </c>
      <c r="AF7136" s="388">
        <v>0.2243608416</v>
      </c>
      <c r="AG7136" s="388">
        <v>0.25908000000000003</v>
      </c>
      <c r="AH7136" s="391"/>
      <c r="AI7136" s="397"/>
      <c r="AJ7136" s="397"/>
      <c r="AU7136" s="397"/>
      <c r="AV7136" s="397"/>
      <c r="AW7136" s="397"/>
      <c r="AX7136" s="397"/>
      <c r="BI7136" s="397"/>
      <c r="BJ7136" s="397"/>
      <c r="BK7136" s="397"/>
      <c r="BL7136" s="397"/>
      <c r="BM7136" s="397"/>
      <c r="BN7136" s="397"/>
      <c r="BO7136" s="397"/>
      <c r="BP7136" s="397"/>
      <c r="BQ7136" s="397"/>
      <c r="BR7136" s="397"/>
      <c r="BS7136" s="397"/>
      <c r="BT7136" s="397"/>
      <c r="BU7136" s="397"/>
      <c r="BV7136" s="397"/>
      <c r="BW7136" s="397"/>
      <c r="BX7136" s="397"/>
      <c r="BY7136" s="397"/>
      <c r="BZ7136" s="397"/>
      <c r="CA7136" s="392" t="s">
        <v>413</v>
      </c>
    </row>
    <row r="7137" spans="1:79" s="392" customFormat="1" ht="15" x14ac:dyDescent="0.25">
      <c r="A7137" s="385"/>
      <c r="D7137" s="700"/>
      <c r="E7137" s="397"/>
      <c r="H7137" s="401">
        <v>3</v>
      </c>
      <c r="I7137" s="401"/>
      <c r="J7137" s="401"/>
      <c r="K7137" s="401"/>
      <c r="L7137" s="675"/>
      <c r="M7137" s="672">
        <v>28254</v>
      </c>
      <c r="N7137" s="623">
        <v>0.53952961178804193</v>
      </c>
      <c r="O7137" s="624">
        <v>3.0186666666666667E-2</v>
      </c>
      <c r="P7137" s="397"/>
      <c r="Q7137" s="397"/>
      <c r="R7137" s="397"/>
      <c r="S7137" s="397"/>
      <c r="T7137" s="397"/>
      <c r="U7137" s="397"/>
      <c r="V7137" s="397"/>
      <c r="W7137" s="397"/>
      <c r="X7137" s="397"/>
      <c r="Y7137" s="397"/>
      <c r="Z7137" s="397"/>
      <c r="AD7137" s="388">
        <v>4.8768000000000002</v>
      </c>
      <c r="AE7137" s="388">
        <v>0.14630399999999999</v>
      </c>
      <c r="AF7137" s="388">
        <v>0.71349534719999996</v>
      </c>
      <c r="AG7137" s="388">
        <v>0.67665600000000015</v>
      </c>
      <c r="AH7137" s="391"/>
      <c r="AI7137" s="397"/>
      <c r="AJ7137" s="397"/>
      <c r="AU7137" s="397"/>
      <c r="AV7137" s="397"/>
      <c r="AW7137" s="397"/>
      <c r="AX7137" s="397"/>
      <c r="BI7137" s="397"/>
      <c r="BJ7137" s="397"/>
      <c r="BK7137" s="397"/>
      <c r="BL7137" s="397"/>
      <c r="BM7137" s="397"/>
      <c r="BN7137" s="397"/>
      <c r="BO7137" s="397"/>
      <c r="BP7137" s="397"/>
      <c r="BQ7137" s="397"/>
      <c r="BR7137" s="397"/>
      <c r="BS7137" s="397"/>
      <c r="BT7137" s="397"/>
      <c r="BU7137" s="397"/>
      <c r="BV7137" s="397"/>
      <c r="BW7137" s="397"/>
      <c r="BX7137" s="397"/>
      <c r="BY7137" s="397"/>
      <c r="BZ7137" s="397"/>
      <c r="CA7137" s="392" t="s">
        <v>413</v>
      </c>
    </row>
    <row r="7138" spans="1:79" s="392" customFormat="1" ht="15" x14ac:dyDescent="0.25">
      <c r="A7138" s="385"/>
      <c r="D7138" s="700"/>
      <c r="E7138" s="397"/>
      <c r="H7138" s="401">
        <v>3</v>
      </c>
      <c r="I7138" s="401"/>
      <c r="J7138" s="401"/>
      <c r="K7138" s="401"/>
      <c r="L7138" s="675"/>
      <c r="M7138" s="672">
        <v>28256</v>
      </c>
      <c r="N7138" s="623">
        <v>0.37489373760272032</v>
      </c>
      <c r="O7138" s="624">
        <v>9.7066666666666673E-3</v>
      </c>
      <c r="P7138" s="397"/>
      <c r="Q7138" s="397"/>
      <c r="R7138" s="397"/>
      <c r="S7138" s="397"/>
      <c r="T7138" s="397"/>
      <c r="U7138" s="397"/>
      <c r="V7138" s="397"/>
      <c r="W7138" s="397"/>
      <c r="X7138" s="397"/>
      <c r="Y7138" s="397"/>
      <c r="Z7138" s="397"/>
      <c r="AD7138" s="388">
        <v>4.2671999999999999</v>
      </c>
      <c r="AE7138" s="388">
        <v>0.140208</v>
      </c>
      <c r="AF7138" s="388">
        <v>0.59829557759999996</v>
      </c>
      <c r="AG7138" s="388">
        <v>0.51206399999999996</v>
      </c>
      <c r="AH7138" s="391"/>
      <c r="AI7138" s="397"/>
      <c r="AJ7138" s="397"/>
      <c r="AU7138" s="397"/>
      <c r="AV7138" s="397"/>
      <c r="AW7138" s="397"/>
      <c r="AX7138" s="397"/>
      <c r="BI7138" s="397"/>
      <c r="BJ7138" s="397"/>
      <c r="BK7138" s="397"/>
      <c r="BL7138" s="397"/>
      <c r="BM7138" s="397"/>
      <c r="BN7138" s="397"/>
      <c r="BO7138" s="397"/>
      <c r="BP7138" s="397"/>
      <c r="BQ7138" s="397"/>
      <c r="BR7138" s="397"/>
      <c r="BS7138" s="397"/>
      <c r="BT7138" s="397"/>
      <c r="BU7138" s="397"/>
      <c r="BV7138" s="397"/>
      <c r="BW7138" s="397"/>
      <c r="BX7138" s="397"/>
      <c r="BY7138" s="397"/>
      <c r="BZ7138" s="397"/>
      <c r="CA7138" s="392" t="s">
        <v>413</v>
      </c>
    </row>
    <row r="7139" spans="1:79" s="392" customFormat="1" ht="15" x14ac:dyDescent="0.25">
      <c r="A7139" s="385"/>
      <c r="D7139" s="700"/>
      <c r="E7139" s="397"/>
      <c r="H7139" s="401">
        <v>3</v>
      </c>
      <c r="I7139" s="401"/>
      <c r="J7139" s="401"/>
      <c r="K7139" s="401"/>
      <c r="L7139" s="675"/>
      <c r="M7139" s="672">
        <v>28261</v>
      </c>
      <c r="N7139" s="623">
        <v>0.23462737319353924</v>
      </c>
      <c r="O7139" s="624">
        <v>1.464E-2</v>
      </c>
      <c r="P7139" s="397"/>
      <c r="Q7139" s="397"/>
      <c r="R7139" s="397"/>
      <c r="S7139" s="397"/>
      <c r="T7139" s="397"/>
      <c r="U7139" s="397"/>
      <c r="V7139" s="397"/>
      <c r="W7139" s="397"/>
      <c r="X7139" s="397"/>
      <c r="Y7139" s="397"/>
      <c r="Z7139" s="397"/>
      <c r="AD7139" s="388">
        <v>3.6576000000000004</v>
      </c>
      <c r="AE7139" s="388">
        <v>0.13106400000000001</v>
      </c>
      <c r="AF7139" s="388">
        <v>0.47937968640000012</v>
      </c>
      <c r="AG7139" s="388">
        <v>0.42671999999999999</v>
      </c>
      <c r="AH7139" s="391"/>
      <c r="AI7139" s="397"/>
      <c r="AJ7139" s="397"/>
      <c r="AU7139" s="397"/>
      <c r="AV7139" s="397"/>
      <c r="AW7139" s="397"/>
      <c r="AX7139" s="397"/>
      <c r="BI7139" s="397"/>
      <c r="BJ7139" s="397"/>
      <c r="BK7139" s="397"/>
      <c r="BL7139" s="397"/>
      <c r="BM7139" s="397"/>
      <c r="BN7139" s="397"/>
      <c r="BO7139" s="397"/>
      <c r="BP7139" s="397"/>
      <c r="BQ7139" s="397"/>
      <c r="BR7139" s="397"/>
      <c r="BS7139" s="397"/>
      <c r="BT7139" s="397"/>
      <c r="BU7139" s="397"/>
      <c r="BV7139" s="397"/>
      <c r="BW7139" s="397"/>
      <c r="BX7139" s="397"/>
      <c r="BY7139" s="397"/>
      <c r="BZ7139" s="397"/>
      <c r="CA7139" s="392" t="s">
        <v>413</v>
      </c>
    </row>
    <row r="7140" spans="1:79" s="392" customFormat="1" ht="15" x14ac:dyDescent="0.25">
      <c r="A7140" s="385"/>
      <c r="D7140" s="700"/>
      <c r="E7140" s="397"/>
      <c r="H7140" s="401">
        <v>3</v>
      </c>
      <c r="I7140" s="401"/>
      <c r="J7140" s="401"/>
      <c r="K7140" s="401"/>
      <c r="L7140" s="675"/>
      <c r="M7140" s="672">
        <v>28268</v>
      </c>
      <c r="N7140" s="623">
        <v>0.19353924624539531</v>
      </c>
      <c r="O7140" s="624">
        <v>4.2533333333333329E-3</v>
      </c>
      <c r="P7140" s="397"/>
      <c r="Q7140" s="397"/>
      <c r="R7140" s="397"/>
      <c r="S7140" s="397"/>
      <c r="T7140" s="397"/>
      <c r="U7140" s="397"/>
      <c r="V7140" s="397"/>
      <c r="W7140" s="397"/>
      <c r="X7140" s="397"/>
      <c r="Y7140" s="397"/>
      <c r="Z7140" s="397"/>
      <c r="AD7140" s="388">
        <v>3.3528000000000002</v>
      </c>
      <c r="AE7140" s="388">
        <v>0.10972800000000001</v>
      </c>
      <c r="AF7140" s="388">
        <v>0.36789603840000007</v>
      </c>
      <c r="AG7140" s="388">
        <v>0.39928800000000003</v>
      </c>
      <c r="AH7140" s="391"/>
      <c r="AI7140" s="397"/>
      <c r="AJ7140" s="397"/>
      <c r="AU7140" s="397"/>
      <c r="AV7140" s="397"/>
      <c r="AW7140" s="397"/>
      <c r="AX7140" s="397"/>
      <c r="BI7140" s="397"/>
      <c r="BJ7140" s="397"/>
      <c r="BK7140" s="397"/>
      <c r="BL7140" s="397"/>
      <c r="BM7140" s="397"/>
      <c r="BN7140" s="397"/>
      <c r="BO7140" s="397"/>
      <c r="BP7140" s="397"/>
      <c r="BQ7140" s="397"/>
      <c r="BR7140" s="397"/>
      <c r="BS7140" s="397"/>
      <c r="BT7140" s="397"/>
      <c r="BU7140" s="397"/>
      <c r="BV7140" s="397"/>
      <c r="BW7140" s="397"/>
      <c r="BX7140" s="397"/>
      <c r="BY7140" s="397"/>
      <c r="BZ7140" s="397"/>
      <c r="CA7140" s="392" t="s">
        <v>413</v>
      </c>
    </row>
    <row r="7141" spans="1:79" s="392" customFormat="1" ht="15" x14ac:dyDescent="0.25">
      <c r="A7141" s="385"/>
      <c r="D7141" s="700"/>
      <c r="E7141" s="397"/>
      <c r="H7141" s="401">
        <v>3</v>
      </c>
      <c r="I7141" s="401"/>
      <c r="J7141" s="401"/>
      <c r="K7141" s="401"/>
      <c r="L7141" s="675"/>
      <c r="M7141" s="672">
        <v>28275</v>
      </c>
      <c r="N7141" s="623">
        <v>0.48342306602436946</v>
      </c>
      <c r="O7141" s="624">
        <v>1.9140000000000001E-2</v>
      </c>
      <c r="P7141" s="397"/>
      <c r="Q7141" s="397"/>
      <c r="R7141" s="397"/>
      <c r="S7141" s="397"/>
      <c r="T7141" s="397"/>
      <c r="U7141" s="397"/>
      <c r="V7141" s="397"/>
      <c r="W7141" s="397"/>
      <c r="X7141" s="397"/>
      <c r="Y7141" s="397"/>
      <c r="Z7141" s="397"/>
      <c r="AD7141" s="388">
        <v>4.4196</v>
      </c>
      <c r="AE7141" s="388">
        <v>0.14630399999999999</v>
      </c>
      <c r="AF7141" s="388">
        <v>0.64660515839999999</v>
      </c>
      <c r="AG7141" s="388">
        <v>0.58216800000000002</v>
      </c>
      <c r="AH7141" s="391"/>
      <c r="AI7141" s="397"/>
      <c r="AJ7141" s="397"/>
      <c r="AU7141" s="397"/>
      <c r="AV7141" s="397"/>
      <c r="AW7141" s="397"/>
      <c r="AX7141" s="397"/>
      <c r="BI7141" s="397"/>
      <c r="BJ7141" s="397"/>
      <c r="BK7141" s="397"/>
      <c r="BL7141" s="397"/>
      <c r="BM7141" s="397"/>
      <c r="BN7141" s="397"/>
      <c r="BO7141" s="397"/>
      <c r="BP7141" s="397"/>
      <c r="BQ7141" s="397"/>
      <c r="BR7141" s="397"/>
      <c r="BS7141" s="397"/>
      <c r="BT7141" s="397"/>
      <c r="BU7141" s="397"/>
      <c r="BV7141" s="397"/>
      <c r="BW7141" s="397"/>
      <c r="BX7141" s="397"/>
      <c r="BY7141" s="397"/>
      <c r="BZ7141" s="397"/>
      <c r="CA7141" s="392" t="s">
        <v>413</v>
      </c>
    </row>
    <row r="7142" spans="1:79" s="392" customFormat="1" ht="15" x14ac:dyDescent="0.25">
      <c r="A7142" s="385"/>
      <c r="D7142" s="700"/>
      <c r="E7142" s="397"/>
      <c r="H7142" s="401">
        <v>3</v>
      </c>
      <c r="I7142" s="401"/>
      <c r="J7142" s="401"/>
      <c r="K7142" s="401"/>
      <c r="L7142" s="675"/>
      <c r="M7142" s="672">
        <v>28282</v>
      </c>
      <c r="N7142" s="623">
        <v>2.5383961462170586</v>
      </c>
      <c r="O7142" s="624">
        <v>8.4613333333333332E-2</v>
      </c>
      <c r="P7142" s="397"/>
      <c r="Q7142" s="397"/>
      <c r="R7142" s="397"/>
      <c r="S7142" s="397"/>
      <c r="T7142" s="397"/>
      <c r="U7142" s="397"/>
      <c r="V7142" s="397"/>
      <c r="W7142" s="397"/>
      <c r="X7142" s="397"/>
      <c r="Y7142" s="397"/>
      <c r="Z7142" s="397"/>
      <c r="AD7142" s="388">
        <v>5.7911999999999999</v>
      </c>
      <c r="AE7142" s="388">
        <v>0.24688800000000002</v>
      </c>
      <c r="AF7142" s="388">
        <v>1.4297777856</v>
      </c>
      <c r="AG7142" s="388">
        <v>1.502664</v>
      </c>
      <c r="AH7142" s="391"/>
      <c r="AI7142" s="397"/>
      <c r="AJ7142" s="397"/>
      <c r="AU7142" s="397"/>
      <c r="AV7142" s="397"/>
      <c r="AW7142" s="397"/>
      <c r="AX7142" s="397"/>
      <c r="BI7142" s="397"/>
      <c r="BJ7142" s="397"/>
      <c r="BK7142" s="397"/>
      <c r="BL7142" s="397"/>
      <c r="BM7142" s="397"/>
      <c r="BN7142" s="397"/>
      <c r="BO7142" s="397"/>
      <c r="BP7142" s="397"/>
      <c r="BQ7142" s="397"/>
      <c r="BR7142" s="397"/>
      <c r="BS7142" s="397"/>
      <c r="BT7142" s="397"/>
      <c r="BU7142" s="397"/>
      <c r="BV7142" s="397"/>
      <c r="BW7142" s="397"/>
      <c r="BX7142" s="397"/>
      <c r="BY7142" s="397"/>
      <c r="BZ7142" s="397"/>
      <c r="CA7142" s="392" t="s">
        <v>413</v>
      </c>
    </row>
    <row r="7143" spans="1:79" s="392" customFormat="1" ht="15" x14ac:dyDescent="0.25">
      <c r="A7143" s="385"/>
      <c r="D7143" s="700"/>
      <c r="E7143" s="397"/>
      <c r="H7143" s="401">
        <v>3</v>
      </c>
      <c r="I7143" s="401"/>
      <c r="J7143" s="401"/>
      <c r="K7143" s="401"/>
      <c r="L7143" s="675"/>
      <c r="M7143" s="672">
        <v>28289</v>
      </c>
      <c r="N7143" s="623">
        <v>0.57013318220459053</v>
      </c>
      <c r="O7143" s="624">
        <v>6.4400000000000004E-3</v>
      </c>
      <c r="P7143" s="397"/>
      <c r="Q7143" s="397"/>
      <c r="R7143" s="397"/>
      <c r="S7143" s="397"/>
      <c r="T7143" s="397"/>
      <c r="U7143" s="397"/>
      <c r="V7143" s="397"/>
      <c r="W7143" s="397"/>
      <c r="X7143" s="397"/>
      <c r="Y7143" s="397"/>
      <c r="Z7143" s="397"/>
      <c r="AD7143" s="388">
        <v>3.5052000000000003</v>
      </c>
      <c r="AE7143" s="388">
        <v>0.23469600000000002</v>
      </c>
      <c r="AF7143" s="388">
        <v>0.8226564192000001</v>
      </c>
      <c r="AG7143" s="388">
        <v>0.661416</v>
      </c>
      <c r="AH7143" s="391"/>
      <c r="AI7143" s="397"/>
      <c r="AJ7143" s="397"/>
      <c r="AU7143" s="397"/>
      <c r="AV7143" s="397"/>
      <c r="AW7143" s="397"/>
      <c r="AX7143" s="397"/>
      <c r="BI7143" s="397"/>
      <c r="BJ7143" s="397"/>
      <c r="BK7143" s="397"/>
      <c r="BL7143" s="397"/>
      <c r="BM7143" s="397"/>
      <c r="BN7143" s="397"/>
      <c r="BO7143" s="397"/>
      <c r="BP7143" s="397"/>
      <c r="BQ7143" s="397"/>
      <c r="BR7143" s="397"/>
      <c r="BS7143" s="397"/>
      <c r="BT7143" s="397"/>
      <c r="BU7143" s="397"/>
      <c r="BV7143" s="397"/>
      <c r="BW7143" s="397"/>
      <c r="BX7143" s="397"/>
      <c r="BY7143" s="397"/>
      <c r="BZ7143" s="397"/>
      <c r="CA7143" s="392" t="s">
        <v>413</v>
      </c>
    </row>
    <row r="7144" spans="1:79" s="392" customFormat="1" ht="15" x14ac:dyDescent="0.25">
      <c r="A7144" s="385"/>
      <c r="D7144" s="700"/>
      <c r="E7144" s="397"/>
      <c r="H7144" s="401">
        <v>3</v>
      </c>
      <c r="I7144" s="401"/>
      <c r="J7144" s="401"/>
      <c r="K7144" s="401"/>
      <c r="L7144" s="675"/>
      <c r="M7144" s="672">
        <v>28295</v>
      </c>
      <c r="N7144" s="623">
        <v>0.40578067441201476</v>
      </c>
      <c r="O7144" s="624">
        <v>4.62E-3</v>
      </c>
      <c r="P7144" s="397"/>
      <c r="Q7144" s="397"/>
      <c r="R7144" s="397"/>
      <c r="S7144" s="397"/>
      <c r="T7144" s="397"/>
      <c r="U7144" s="397"/>
      <c r="V7144" s="397"/>
      <c r="W7144" s="397"/>
      <c r="X7144" s="397"/>
      <c r="Y7144" s="397"/>
      <c r="Z7144" s="397"/>
      <c r="AD7144" s="388">
        <v>3.3528000000000002</v>
      </c>
      <c r="AE7144" s="388">
        <v>0.192024</v>
      </c>
      <c r="AF7144" s="388">
        <v>0.64381806720000001</v>
      </c>
      <c r="AG7144" s="388">
        <v>0.51511200000000001</v>
      </c>
      <c r="AH7144" s="391"/>
      <c r="AI7144" s="397"/>
      <c r="AJ7144" s="397"/>
      <c r="AU7144" s="397"/>
      <c r="AV7144" s="397"/>
      <c r="AW7144" s="397"/>
      <c r="AX7144" s="397"/>
      <c r="BI7144" s="397"/>
      <c r="BJ7144" s="397"/>
      <c r="BK7144" s="397"/>
      <c r="BL7144" s="397"/>
      <c r="BM7144" s="397"/>
      <c r="BN7144" s="397"/>
      <c r="BO7144" s="397"/>
      <c r="BP7144" s="397"/>
      <c r="BQ7144" s="397"/>
      <c r="BR7144" s="397"/>
      <c r="BS7144" s="397"/>
      <c r="BT7144" s="397"/>
      <c r="BU7144" s="397"/>
      <c r="BV7144" s="397"/>
      <c r="BW7144" s="397"/>
      <c r="BX7144" s="397"/>
      <c r="BY7144" s="397"/>
      <c r="BZ7144" s="397"/>
      <c r="CA7144" s="392" t="s">
        <v>413</v>
      </c>
    </row>
    <row r="7145" spans="1:79" s="392" customFormat="1" ht="15" x14ac:dyDescent="0.25">
      <c r="A7145" s="385"/>
      <c r="D7145" s="700"/>
      <c r="E7145" s="397"/>
      <c r="H7145" s="401">
        <v>3</v>
      </c>
      <c r="I7145" s="401"/>
      <c r="J7145" s="401"/>
      <c r="K7145" s="401"/>
      <c r="L7145" s="675"/>
      <c r="M7145" s="672">
        <v>28302</v>
      </c>
      <c r="N7145" s="623">
        <v>0.24284499858316805</v>
      </c>
      <c r="O7145" s="624">
        <v>4.2000000000000006E-3</v>
      </c>
      <c r="P7145" s="397"/>
      <c r="Q7145" s="397"/>
      <c r="R7145" s="397"/>
      <c r="S7145" s="397"/>
      <c r="T7145" s="397"/>
      <c r="U7145" s="397"/>
      <c r="V7145" s="397"/>
      <c r="W7145" s="397"/>
      <c r="X7145" s="397"/>
      <c r="Y7145" s="397"/>
      <c r="Z7145" s="397"/>
      <c r="AD7145" s="388">
        <v>3.2004000000000001</v>
      </c>
      <c r="AE7145" s="388">
        <v>0.173736</v>
      </c>
      <c r="AF7145" s="388">
        <v>0.55602469440000002</v>
      </c>
      <c r="AG7145" s="388">
        <v>0.40538400000000002</v>
      </c>
      <c r="AH7145" s="391"/>
      <c r="AI7145" s="397"/>
      <c r="AJ7145" s="397"/>
      <c r="AU7145" s="397"/>
      <c r="AV7145" s="397"/>
      <c r="AW7145" s="397"/>
      <c r="AX7145" s="397"/>
      <c r="BI7145" s="397"/>
      <c r="BJ7145" s="397"/>
      <c r="BK7145" s="397"/>
      <c r="BL7145" s="397"/>
      <c r="BM7145" s="397"/>
      <c r="BN7145" s="397"/>
      <c r="BO7145" s="397"/>
      <c r="BP7145" s="397"/>
      <c r="BQ7145" s="397"/>
      <c r="BR7145" s="397"/>
      <c r="BS7145" s="397"/>
      <c r="BT7145" s="397"/>
      <c r="BU7145" s="397"/>
      <c r="BV7145" s="397"/>
      <c r="BW7145" s="397"/>
      <c r="BX7145" s="397"/>
      <c r="BY7145" s="397"/>
      <c r="BZ7145" s="397"/>
      <c r="CA7145" s="392" t="s">
        <v>413</v>
      </c>
    </row>
    <row r="7146" spans="1:79" s="392" customFormat="1" ht="15" x14ac:dyDescent="0.25">
      <c r="A7146" s="385"/>
      <c r="D7146" s="700"/>
      <c r="E7146" s="397"/>
      <c r="H7146" s="401">
        <v>3</v>
      </c>
      <c r="I7146" s="401"/>
      <c r="J7146" s="401"/>
      <c r="K7146" s="401"/>
      <c r="L7146" s="675"/>
      <c r="M7146" s="672">
        <v>28308</v>
      </c>
      <c r="N7146" s="623">
        <v>0.17908756021535846</v>
      </c>
      <c r="O7146" s="624">
        <v>8.8666666666666668E-3</v>
      </c>
      <c r="P7146" s="397"/>
      <c r="Q7146" s="397"/>
      <c r="R7146" s="397"/>
      <c r="S7146" s="397"/>
      <c r="T7146" s="397"/>
      <c r="U7146" s="397"/>
      <c r="V7146" s="397"/>
      <c r="W7146" s="397"/>
      <c r="X7146" s="397"/>
      <c r="Y7146" s="397"/>
      <c r="Z7146" s="397"/>
      <c r="AD7146" s="388">
        <v>3.048</v>
      </c>
      <c r="AE7146" s="388">
        <v>0.14630399999999999</v>
      </c>
      <c r="AF7146" s="388">
        <v>0.44593459199999996</v>
      </c>
      <c r="AG7146" s="388">
        <v>0.35661599999999999</v>
      </c>
      <c r="AH7146" s="391"/>
      <c r="AI7146" s="397"/>
      <c r="AJ7146" s="397"/>
      <c r="AU7146" s="397"/>
      <c r="AV7146" s="397"/>
      <c r="AW7146" s="397"/>
      <c r="AX7146" s="397"/>
      <c r="BI7146" s="397"/>
      <c r="BJ7146" s="397"/>
      <c r="BK7146" s="397"/>
      <c r="BL7146" s="397"/>
      <c r="BM7146" s="397"/>
      <c r="BN7146" s="397"/>
      <c r="BO7146" s="397"/>
      <c r="BP7146" s="397"/>
      <c r="BQ7146" s="397"/>
      <c r="BR7146" s="397"/>
      <c r="BS7146" s="397"/>
      <c r="BT7146" s="397"/>
      <c r="BU7146" s="397"/>
      <c r="BV7146" s="397"/>
      <c r="BW7146" s="397"/>
      <c r="BX7146" s="397"/>
      <c r="BY7146" s="397"/>
      <c r="BZ7146" s="397"/>
      <c r="CA7146" s="392" t="s">
        <v>413</v>
      </c>
    </row>
    <row r="7147" spans="1:79" s="392" customFormat="1" ht="15" x14ac:dyDescent="0.25">
      <c r="A7147" s="385"/>
      <c r="D7147" s="700"/>
      <c r="E7147" s="397"/>
      <c r="H7147" s="401">
        <v>3</v>
      </c>
      <c r="I7147" s="401"/>
      <c r="J7147" s="401"/>
      <c r="K7147" s="401"/>
      <c r="L7147" s="675"/>
      <c r="M7147" s="672">
        <v>28315</v>
      </c>
      <c r="N7147" s="623">
        <v>0.16350240861433832</v>
      </c>
      <c r="O7147" s="624">
        <v>1.0666666666666666E-2</v>
      </c>
      <c r="P7147" s="397"/>
      <c r="Q7147" s="397"/>
      <c r="R7147" s="397"/>
      <c r="S7147" s="397"/>
      <c r="T7147" s="397"/>
      <c r="U7147" s="397"/>
      <c r="V7147" s="397"/>
      <c r="W7147" s="397"/>
      <c r="X7147" s="397"/>
      <c r="Y7147" s="397"/>
      <c r="Z7147" s="397"/>
      <c r="AD7147" s="388">
        <v>3.048</v>
      </c>
      <c r="AE7147" s="388">
        <v>0.14935200000000001</v>
      </c>
      <c r="AF7147" s="388">
        <v>0.45522489600000005</v>
      </c>
      <c r="AG7147" s="388">
        <v>0.30784800000000001</v>
      </c>
      <c r="AH7147" s="391"/>
      <c r="AI7147" s="397"/>
      <c r="AJ7147" s="397"/>
      <c r="AU7147" s="397"/>
      <c r="AV7147" s="397"/>
      <c r="AW7147" s="397"/>
      <c r="AX7147" s="397"/>
      <c r="BI7147" s="397"/>
      <c r="BJ7147" s="397"/>
      <c r="BK7147" s="397"/>
      <c r="BL7147" s="397"/>
      <c r="BM7147" s="397"/>
      <c r="BN7147" s="397"/>
      <c r="BO7147" s="397"/>
      <c r="BP7147" s="397"/>
      <c r="BQ7147" s="397"/>
      <c r="BR7147" s="397"/>
      <c r="BS7147" s="397"/>
      <c r="BT7147" s="397"/>
      <c r="BU7147" s="397"/>
      <c r="BV7147" s="397"/>
      <c r="BW7147" s="397"/>
      <c r="BX7147" s="397"/>
      <c r="BY7147" s="397"/>
      <c r="BZ7147" s="397"/>
      <c r="CA7147" s="392" t="s">
        <v>413</v>
      </c>
    </row>
    <row r="7148" spans="1:79" s="392" customFormat="1" ht="15" x14ac:dyDescent="0.25">
      <c r="A7148" s="385"/>
      <c r="D7148" s="700"/>
      <c r="E7148" s="397"/>
      <c r="H7148" s="401">
        <v>3</v>
      </c>
      <c r="I7148" s="401"/>
      <c r="J7148" s="401"/>
      <c r="K7148" s="401"/>
      <c r="L7148" s="675"/>
      <c r="M7148" s="672">
        <v>28318</v>
      </c>
      <c r="N7148" s="623">
        <v>0.14650042504958913</v>
      </c>
      <c r="O7148" s="624">
        <v>6.0720000000000001E-3</v>
      </c>
      <c r="P7148" s="397"/>
      <c r="Q7148" s="397"/>
      <c r="R7148" s="397"/>
      <c r="S7148" s="397"/>
      <c r="T7148" s="397"/>
      <c r="U7148" s="397"/>
      <c r="V7148" s="397"/>
      <c r="W7148" s="397"/>
      <c r="X7148" s="397"/>
      <c r="Y7148" s="397"/>
      <c r="Z7148" s="397"/>
      <c r="AD7148" s="388">
        <v>2.80416</v>
      </c>
      <c r="AE7148" s="388">
        <v>0.14630399999999999</v>
      </c>
      <c r="AF7148" s="388">
        <v>0.41025982463999999</v>
      </c>
      <c r="AG7148" s="388">
        <v>0.29260799999999998</v>
      </c>
      <c r="AH7148" s="391"/>
      <c r="AI7148" s="397"/>
      <c r="AJ7148" s="397"/>
      <c r="AU7148" s="397"/>
      <c r="AV7148" s="397"/>
      <c r="AW7148" s="397"/>
      <c r="AX7148" s="397"/>
      <c r="BI7148" s="397"/>
      <c r="BJ7148" s="397"/>
      <c r="BK7148" s="397"/>
      <c r="BL7148" s="397"/>
      <c r="BM7148" s="397"/>
      <c r="BN7148" s="397"/>
      <c r="BO7148" s="397"/>
      <c r="BP7148" s="397"/>
      <c r="BQ7148" s="397"/>
      <c r="BR7148" s="397"/>
      <c r="BS7148" s="397"/>
      <c r="BT7148" s="397"/>
      <c r="BU7148" s="397"/>
      <c r="BV7148" s="397"/>
      <c r="BW7148" s="397"/>
      <c r="BX7148" s="397"/>
      <c r="BY7148" s="397"/>
      <c r="BZ7148" s="397"/>
      <c r="CA7148" s="392" t="s">
        <v>413</v>
      </c>
    </row>
    <row r="7149" spans="1:79" s="392" customFormat="1" ht="15" x14ac:dyDescent="0.25">
      <c r="A7149" s="385"/>
      <c r="D7149" s="700"/>
      <c r="E7149" s="397"/>
      <c r="H7149" s="401">
        <v>3</v>
      </c>
      <c r="I7149" s="401"/>
      <c r="J7149" s="401"/>
      <c r="K7149" s="401"/>
      <c r="L7149" s="675"/>
      <c r="M7149" s="672">
        <v>28322</v>
      </c>
      <c r="N7149" s="623">
        <v>0.11731368659676962</v>
      </c>
      <c r="O7149" s="624">
        <v>2.3400000000000001E-3</v>
      </c>
      <c r="P7149" s="397"/>
      <c r="Q7149" s="397"/>
      <c r="R7149" s="397"/>
      <c r="S7149" s="397"/>
      <c r="T7149" s="397"/>
      <c r="U7149" s="397"/>
      <c r="V7149" s="397"/>
      <c r="W7149" s="397"/>
      <c r="X7149" s="397"/>
      <c r="Y7149" s="397"/>
      <c r="Z7149" s="397"/>
      <c r="AD7149" s="388">
        <v>2.7432000000000003</v>
      </c>
      <c r="AE7149" s="388">
        <v>0.124968</v>
      </c>
      <c r="AF7149" s="388">
        <v>0.34281221760000002</v>
      </c>
      <c r="AG7149" s="388">
        <v>0.26517600000000002</v>
      </c>
      <c r="AH7149" s="391"/>
      <c r="AI7149" s="397"/>
      <c r="AJ7149" s="397"/>
      <c r="AU7149" s="397"/>
      <c r="AV7149" s="397"/>
      <c r="AW7149" s="397"/>
      <c r="AX7149" s="397"/>
      <c r="BI7149" s="397"/>
      <c r="BJ7149" s="397"/>
      <c r="BK7149" s="397"/>
      <c r="BL7149" s="397"/>
      <c r="BM7149" s="397"/>
      <c r="BN7149" s="397"/>
      <c r="BO7149" s="397"/>
      <c r="BP7149" s="397"/>
      <c r="BQ7149" s="397"/>
      <c r="BR7149" s="397"/>
      <c r="BS7149" s="397"/>
      <c r="BT7149" s="397"/>
      <c r="BU7149" s="397"/>
      <c r="BV7149" s="397"/>
      <c r="BW7149" s="397"/>
      <c r="BX7149" s="397"/>
      <c r="BY7149" s="397"/>
      <c r="BZ7149" s="397"/>
      <c r="CA7149" s="392" t="s">
        <v>413</v>
      </c>
    </row>
    <row r="7150" spans="1:79" s="392" customFormat="1" ht="15" x14ac:dyDescent="0.25">
      <c r="A7150" s="385"/>
      <c r="D7150" s="700"/>
      <c r="E7150" s="397"/>
      <c r="H7150" s="401">
        <v>3</v>
      </c>
      <c r="I7150" s="401"/>
      <c r="J7150" s="401"/>
      <c r="K7150" s="401"/>
      <c r="L7150" s="675"/>
      <c r="M7150" s="672">
        <v>28325</v>
      </c>
      <c r="N7150" s="623">
        <v>0.2578634173986965</v>
      </c>
      <c r="O7150" s="624">
        <v>7.4239999999999992E-3</v>
      </c>
      <c r="P7150" s="397"/>
      <c r="Q7150" s="397"/>
      <c r="R7150" s="397"/>
      <c r="S7150" s="397"/>
      <c r="T7150" s="397"/>
      <c r="U7150" s="397"/>
      <c r="V7150" s="397"/>
      <c r="W7150" s="397"/>
      <c r="X7150" s="397"/>
      <c r="Y7150" s="397"/>
      <c r="Z7150" s="397"/>
      <c r="AD7150" s="388">
        <v>2.9260800000000002</v>
      </c>
      <c r="AE7150" s="388">
        <v>0.16764000000000001</v>
      </c>
      <c r="AF7150" s="388">
        <v>0.49052805120000009</v>
      </c>
      <c r="AG7150" s="388">
        <v>0.44500800000000001</v>
      </c>
      <c r="AH7150" s="391"/>
      <c r="AI7150" s="397"/>
      <c r="AJ7150" s="397"/>
      <c r="AU7150" s="397"/>
      <c r="AV7150" s="397"/>
      <c r="AW7150" s="397"/>
      <c r="AX7150" s="397"/>
      <c r="BI7150" s="397"/>
      <c r="BJ7150" s="397"/>
      <c r="BK7150" s="397"/>
      <c r="BL7150" s="397"/>
      <c r="BM7150" s="397"/>
      <c r="BN7150" s="397"/>
      <c r="BO7150" s="397"/>
      <c r="BP7150" s="397"/>
      <c r="BQ7150" s="397"/>
      <c r="BR7150" s="397"/>
      <c r="BS7150" s="397"/>
      <c r="BT7150" s="397"/>
      <c r="BU7150" s="397"/>
      <c r="BV7150" s="397"/>
      <c r="BW7150" s="397"/>
      <c r="BX7150" s="397"/>
      <c r="BY7150" s="397"/>
      <c r="BZ7150" s="397"/>
      <c r="CA7150" s="392" t="s">
        <v>413</v>
      </c>
    </row>
    <row r="7151" spans="1:79" s="392" customFormat="1" ht="15" x14ac:dyDescent="0.25">
      <c r="A7151" s="385"/>
      <c r="D7151" s="700"/>
      <c r="E7151" s="397"/>
      <c r="H7151" s="401">
        <v>3</v>
      </c>
      <c r="I7151" s="401"/>
      <c r="J7151" s="401"/>
      <c r="K7151" s="401"/>
      <c r="L7151" s="675"/>
      <c r="M7151" s="672">
        <v>28329</v>
      </c>
      <c r="N7151" s="623">
        <v>0.15018418815528478</v>
      </c>
      <c r="O7151" s="624">
        <v>2.2439999999999999E-3</v>
      </c>
      <c r="P7151" s="397"/>
      <c r="Q7151" s="397"/>
      <c r="R7151" s="397"/>
      <c r="S7151" s="397"/>
      <c r="T7151" s="397"/>
      <c r="U7151" s="397"/>
      <c r="V7151" s="397"/>
      <c r="W7151" s="397"/>
      <c r="X7151" s="397"/>
      <c r="Y7151" s="397"/>
      <c r="Z7151" s="397"/>
      <c r="AD7151" s="388">
        <v>3.1089599999999997</v>
      </c>
      <c r="AE7151" s="388">
        <v>0.14630399999999999</v>
      </c>
      <c r="AF7151" s="388">
        <v>0.4548532838399999</v>
      </c>
      <c r="AG7151" s="388">
        <v>0.30784800000000001</v>
      </c>
      <c r="AH7151" s="391"/>
      <c r="AI7151" s="397"/>
      <c r="AJ7151" s="397"/>
      <c r="AU7151" s="397"/>
      <c r="AV7151" s="397"/>
      <c r="AW7151" s="397"/>
      <c r="AX7151" s="397"/>
      <c r="BI7151" s="397"/>
      <c r="BJ7151" s="397"/>
      <c r="BK7151" s="397"/>
      <c r="BL7151" s="397"/>
      <c r="BM7151" s="397"/>
      <c r="BN7151" s="397"/>
      <c r="BO7151" s="397"/>
      <c r="BP7151" s="397"/>
      <c r="BQ7151" s="397"/>
      <c r="BR7151" s="397"/>
      <c r="BS7151" s="397"/>
      <c r="BT7151" s="397"/>
      <c r="BU7151" s="397"/>
      <c r="BV7151" s="397"/>
      <c r="BW7151" s="397"/>
      <c r="BX7151" s="397"/>
      <c r="BY7151" s="397"/>
      <c r="BZ7151" s="397"/>
      <c r="CA7151" s="392" t="s">
        <v>413</v>
      </c>
    </row>
    <row r="7152" spans="1:79" s="392" customFormat="1" ht="15" x14ac:dyDescent="0.25">
      <c r="A7152" s="385"/>
      <c r="D7152" s="700"/>
      <c r="E7152" s="397"/>
      <c r="H7152" s="401">
        <v>3</v>
      </c>
      <c r="I7152" s="401"/>
      <c r="J7152" s="401"/>
      <c r="K7152" s="401"/>
      <c r="L7152" s="675"/>
      <c r="M7152" s="672">
        <v>28332</v>
      </c>
      <c r="N7152" s="623">
        <v>0.17993765939359591</v>
      </c>
      <c r="O7152" s="624">
        <v>1.0199999999999999E-2</v>
      </c>
      <c r="P7152" s="397"/>
      <c r="Q7152" s="397"/>
      <c r="R7152" s="397"/>
      <c r="S7152" s="397"/>
      <c r="T7152" s="397"/>
      <c r="U7152" s="397"/>
      <c r="V7152" s="397"/>
      <c r="W7152" s="397"/>
      <c r="X7152" s="397"/>
      <c r="Y7152" s="397"/>
      <c r="Z7152" s="397"/>
      <c r="AD7152" s="388">
        <v>3.048</v>
      </c>
      <c r="AE7152" s="388">
        <v>0.15240000000000001</v>
      </c>
      <c r="AF7152" s="388">
        <v>0.46451520000000002</v>
      </c>
      <c r="AG7152" s="388">
        <v>0.35052</v>
      </c>
      <c r="AH7152" s="391"/>
      <c r="AI7152" s="397"/>
      <c r="AJ7152" s="397"/>
      <c r="AU7152" s="397"/>
      <c r="AV7152" s="397"/>
      <c r="AW7152" s="397"/>
      <c r="AX7152" s="397"/>
      <c r="BI7152" s="397"/>
      <c r="BJ7152" s="397"/>
      <c r="BK7152" s="397"/>
      <c r="BL7152" s="397"/>
      <c r="BM7152" s="397"/>
      <c r="BN7152" s="397"/>
      <c r="BO7152" s="397"/>
      <c r="BP7152" s="397"/>
      <c r="BQ7152" s="397"/>
      <c r="BR7152" s="397"/>
      <c r="BS7152" s="397"/>
      <c r="BT7152" s="397"/>
      <c r="BU7152" s="397"/>
      <c r="BV7152" s="397"/>
      <c r="BW7152" s="397"/>
      <c r="BX7152" s="397"/>
      <c r="BY7152" s="397"/>
      <c r="BZ7152" s="397"/>
      <c r="CA7152" s="392" t="s">
        <v>413</v>
      </c>
    </row>
    <row r="7153" spans="1:80" s="392" customFormat="1" ht="15" x14ac:dyDescent="0.25">
      <c r="A7153" s="385"/>
      <c r="D7153" s="700"/>
      <c r="E7153" s="397"/>
      <c r="H7153" s="401">
        <v>3</v>
      </c>
      <c r="I7153" s="401"/>
      <c r="J7153" s="401"/>
      <c r="K7153" s="401"/>
      <c r="L7153" s="675"/>
      <c r="M7153" s="672">
        <v>28336</v>
      </c>
      <c r="N7153" s="623">
        <v>0.15953527911589685</v>
      </c>
      <c r="O7153" s="624">
        <v>3.9480000000000001E-3</v>
      </c>
      <c r="P7153" s="397"/>
      <c r="Q7153" s="397"/>
      <c r="R7153" s="397"/>
      <c r="S7153" s="397"/>
      <c r="T7153" s="397"/>
      <c r="U7153" s="397"/>
      <c r="V7153" s="397"/>
      <c r="W7153" s="397"/>
      <c r="X7153" s="397"/>
      <c r="Y7153" s="397"/>
      <c r="Z7153" s="397"/>
      <c r="AD7153" s="388">
        <v>2.8651200000000001</v>
      </c>
      <c r="AE7153" s="388">
        <v>0.15240000000000001</v>
      </c>
      <c r="AF7153" s="388">
        <v>0.43664428800000005</v>
      </c>
      <c r="AG7153" s="388">
        <v>0.32918400000000003</v>
      </c>
      <c r="AH7153" s="391"/>
      <c r="AI7153" s="397"/>
      <c r="AJ7153" s="397"/>
      <c r="AU7153" s="397"/>
      <c r="AV7153" s="397"/>
      <c r="AW7153" s="397"/>
      <c r="AX7153" s="397"/>
      <c r="BI7153" s="397"/>
      <c r="BJ7153" s="397"/>
      <c r="BK7153" s="397"/>
      <c r="BL7153" s="397"/>
      <c r="BM7153" s="397"/>
      <c r="BN7153" s="397"/>
      <c r="BO7153" s="397"/>
      <c r="BP7153" s="397"/>
      <c r="BQ7153" s="397"/>
      <c r="BR7153" s="397"/>
      <c r="BS7153" s="397"/>
      <c r="BT7153" s="397"/>
      <c r="BU7153" s="397"/>
      <c r="BV7153" s="397"/>
      <c r="BW7153" s="397"/>
      <c r="BX7153" s="397"/>
      <c r="BY7153" s="397"/>
      <c r="BZ7153" s="397"/>
      <c r="CA7153" s="392" t="s">
        <v>413</v>
      </c>
    </row>
    <row r="7154" spans="1:80" s="392" customFormat="1" ht="15" x14ac:dyDescent="0.25">
      <c r="A7154" s="385"/>
      <c r="D7154" s="700"/>
      <c r="E7154" s="397"/>
      <c r="H7154" s="401">
        <v>3</v>
      </c>
      <c r="I7154" s="401"/>
      <c r="J7154" s="401"/>
      <c r="K7154" s="401"/>
      <c r="L7154" s="675"/>
      <c r="M7154" s="672">
        <v>28366</v>
      </c>
      <c r="N7154" s="623">
        <v>0.11929725134599037</v>
      </c>
      <c r="O7154" s="624">
        <v>1.4399999999999999E-3</v>
      </c>
      <c r="P7154" s="397"/>
      <c r="Q7154" s="397"/>
      <c r="R7154" s="397"/>
      <c r="S7154" s="397"/>
      <c r="T7154" s="397"/>
      <c r="U7154" s="397"/>
      <c r="V7154" s="397"/>
      <c r="W7154" s="397"/>
      <c r="X7154" s="397"/>
      <c r="Y7154" s="397"/>
      <c r="Z7154" s="397"/>
      <c r="AD7154" s="388">
        <v>2.7432000000000003</v>
      </c>
      <c r="AE7154" s="388">
        <v>0.13106400000000001</v>
      </c>
      <c r="AF7154" s="388">
        <v>0.35953476480000007</v>
      </c>
      <c r="AG7154" s="388">
        <v>0.28651199999999999</v>
      </c>
      <c r="AH7154" s="391"/>
      <c r="AI7154" s="397"/>
      <c r="AJ7154" s="397"/>
      <c r="AU7154" s="397"/>
      <c r="AV7154" s="397"/>
      <c r="AW7154" s="397"/>
      <c r="AX7154" s="397"/>
      <c r="BI7154" s="397"/>
      <c r="BJ7154" s="397"/>
      <c r="BK7154" s="397"/>
      <c r="BL7154" s="397"/>
      <c r="BM7154" s="397"/>
      <c r="BN7154" s="397"/>
      <c r="BO7154" s="397"/>
      <c r="BP7154" s="397"/>
      <c r="BQ7154" s="397"/>
      <c r="BR7154" s="397"/>
      <c r="BS7154" s="397"/>
      <c r="BT7154" s="397"/>
      <c r="BU7154" s="397"/>
      <c r="BV7154" s="397"/>
      <c r="BW7154" s="397"/>
      <c r="BX7154" s="397"/>
      <c r="BY7154" s="397"/>
      <c r="BZ7154" s="397"/>
      <c r="CA7154" s="392" t="s">
        <v>413</v>
      </c>
    </row>
    <row r="7155" spans="1:80" s="189" customFormat="1" ht="15" x14ac:dyDescent="0.25">
      <c r="A7155" s="381" t="s">
        <v>457</v>
      </c>
      <c r="B7155" s="641"/>
      <c r="C7155" s="639"/>
      <c r="D7155" s="4">
        <f>VLOOKUP(E7155,'Quality Code'!$D$4:$E$24,2,TRUE)*VLOOKUP(MROUND(F7155,10),'Quality Code'!$D$28:$E$69,2,TRUE)*VLOOKUP(COUNTA(CB7155:CB7165),'Quality Code'!$D$73:$E$93,2,TRUE)</f>
        <v>7.4999999999999997E-2</v>
      </c>
      <c r="E7155" s="14">
        <v>0.3</v>
      </c>
      <c r="F7155" s="2">
        <v>14</v>
      </c>
      <c r="G7155" s="12"/>
      <c r="H7155" s="2" t="s">
        <v>105</v>
      </c>
      <c r="I7155" s="2"/>
      <c r="J7155" s="2"/>
      <c r="K7155" s="2"/>
      <c r="L7155" s="639"/>
      <c r="M7155" s="640">
        <v>1977</v>
      </c>
      <c r="N7155" s="578" t="s">
        <v>110</v>
      </c>
      <c r="O7155" s="578"/>
      <c r="P7155" s="26"/>
      <c r="Q7155" s="26"/>
      <c r="R7155" s="26"/>
      <c r="S7155" s="26"/>
      <c r="T7155" s="26"/>
      <c r="U7155" s="26"/>
      <c r="V7155" s="10"/>
      <c r="W7155" s="10"/>
      <c r="X7155" s="10"/>
      <c r="Y7155" s="10"/>
      <c r="Z7155" s="2"/>
      <c r="AA7155" s="26"/>
      <c r="AB7155" s="26"/>
      <c r="AC7155" s="377">
        <v>1.8499999999999999E-2</v>
      </c>
      <c r="AD7155" s="406"/>
      <c r="AE7155" s="26"/>
      <c r="AF7155" s="26"/>
      <c r="AG7155" s="26"/>
      <c r="AH7155" s="26"/>
      <c r="AI7155" s="4"/>
      <c r="AJ7155" s="4"/>
      <c r="AK7155" s="26"/>
      <c r="AL7155" s="26"/>
      <c r="AM7155" s="26"/>
      <c r="AN7155" s="26"/>
      <c r="AO7155" s="26"/>
      <c r="AP7155" s="26"/>
      <c r="AQ7155" s="26"/>
      <c r="AR7155" s="26"/>
      <c r="AS7155" s="26"/>
      <c r="AT7155" s="26"/>
      <c r="AU7155" s="4"/>
      <c r="AV7155" s="4"/>
      <c r="AW7155" s="4"/>
      <c r="AX7155" s="4"/>
      <c r="AY7155" s="2"/>
      <c r="AZ7155" s="2"/>
      <c r="BA7155" s="12"/>
      <c r="BB7155" s="12"/>
      <c r="BC7155" s="12"/>
      <c r="BD7155" s="12"/>
      <c r="BE7155" s="12"/>
      <c r="BF7155" s="12"/>
      <c r="BG7155" s="12"/>
      <c r="BH7155" s="12"/>
      <c r="BI7155" s="4"/>
      <c r="BJ7155" s="12"/>
      <c r="BK7155" s="2"/>
      <c r="BL7155" s="2"/>
      <c r="BM7155" s="4"/>
      <c r="BN7155" s="12"/>
      <c r="BO7155" s="12"/>
      <c r="BP7155" s="12"/>
      <c r="BQ7155" s="4"/>
      <c r="BR7155" s="4"/>
      <c r="BS7155" s="4"/>
      <c r="BT7155" s="2"/>
      <c r="BU7155" s="9"/>
      <c r="BV7155" s="381"/>
      <c r="BW7155" s="382"/>
      <c r="BX7155" s="383"/>
      <c r="BY7155" s="383"/>
      <c r="BZ7155" s="383"/>
      <c r="CA7155" s="384" t="s">
        <v>413</v>
      </c>
      <c r="CB7155" s="411"/>
    </row>
    <row r="7156" spans="1:80" s="392" customFormat="1" ht="15" x14ac:dyDescent="0.25">
      <c r="A7156" s="385"/>
      <c r="D7156" s="700"/>
      <c r="E7156" s="397"/>
      <c r="H7156" s="401">
        <v>3</v>
      </c>
      <c r="I7156" s="401"/>
      <c r="J7156" s="401"/>
      <c r="K7156" s="401"/>
      <c r="L7156" s="675"/>
      <c r="M7156" s="672">
        <v>28244</v>
      </c>
      <c r="N7156" s="623">
        <v>0.21790875602153587</v>
      </c>
      <c r="O7156" s="624">
        <v>8.5599999999999999E-4</v>
      </c>
      <c r="P7156" s="397"/>
      <c r="Q7156" s="397"/>
      <c r="R7156" s="397"/>
      <c r="S7156" s="397"/>
      <c r="T7156" s="397"/>
      <c r="U7156" s="397"/>
      <c r="V7156" s="397"/>
      <c r="W7156" s="397"/>
      <c r="X7156" s="397"/>
      <c r="Y7156" s="397"/>
      <c r="Z7156" s="397"/>
      <c r="AD7156" s="388">
        <v>3.2613599999999998</v>
      </c>
      <c r="AE7156" s="388"/>
      <c r="AF7156" s="388"/>
      <c r="AG7156" s="388"/>
      <c r="AH7156" s="391"/>
      <c r="AI7156" s="397"/>
      <c r="AJ7156" s="397"/>
      <c r="AU7156" s="397"/>
      <c r="AV7156" s="397"/>
      <c r="AW7156" s="397"/>
      <c r="AX7156" s="397"/>
      <c r="BI7156" s="397"/>
      <c r="BJ7156" s="397"/>
      <c r="BK7156" s="397"/>
      <c r="BL7156" s="397"/>
      <c r="BM7156" s="397"/>
      <c r="BN7156" s="397"/>
      <c r="BO7156" s="397"/>
      <c r="BP7156" s="397"/>
      <c r="BQ7156" s="397"/>
      <c r="BR7156" s="397"/>
      <c r="BS7156" s="397"/>
      <c r="BT7156" s="397"/>
      <c r="BU7156" s="397"/>
      <c r="BV7156" s="397"/>
      <c r="BW7156" s="397"/>
      <c r="BX7156" s="397"/>
      <c r="BY7156" s="397"/>
      <c r="BZ7156" s="397"/>
      <c r="CA7156" s="392" t="s">
        <v>413</v>
      </c>
    </row>
    <row r="7157" spans="1:80" s="392" customFormat="1" ht="15" x14ac:dyDescent="0.25">
      <c r="A7157" s="385"/>
      <c r="D7157" s="700"/>
      <c r="E7157" s="397"/>
      <c r="H7157" s="401">
        <v>3</v>
      </c>
      <c r="I7157" s="401"/>
      <c r="J7157" s="401"/>
      <c r="K7157" s="401"/>
      <c r="L7157" s="675"/>
      <c r="M7157" s="672">
        <v>28250</v>
      </c>
      <c r="N7157" s="623">
        <v>0.20034003967129499</v>
      </c>
      <c r="O7157" s="624">
        <v>2.7299999999999998E-3</v>
      </c>
      <c r="P7157" s="397"/>
      <c r="Q7157" s="397"/>
      <c r="R7157" s="397"/>
      <c r="S7157" s="397"/>
      <c r="T7157" s="397"/>
      <c r="U7157" s="397"/>
      <c r="V7157" s="397"/>
      <c r="W7157" s="397"/>
      <c r="X7157" s="397"/>
      <c r="Y7157" s="397"/>
      <c r="Z7157" s="397"/>
      <c r="AD7157" s="388">
        <v>3.2004000000000001</v>
      </c>
      <c r="AE7157" s="388"/>
      <c r="AF7157" s="388"/>
      <c r="AG7157" s="388"/>
      <c r="AH7157" s="391"/>
      <c r="AI7157" s="397"/>
      <c r="AJ7157" s="397"/>
      <c r="AU7157" s="397"/>
      <c r="AV7157" s="397"/>
      <c r="AW7157" s="397"/>
      <c r="AX7157" s="397"/>
      <c r="BI7157" s="397"/>
      <c r="BJ7157" s="397"/>
      <c r="BK7157" s="397"/>
      <c r="BL7157" s="397"/>
      <c r="BM7157" s="397"/>
      <c r="BN7157" s="397"/>
      <c r="BO7157" s="397"/>
      <c r="BP7157" s="397"/>
      <c r="BQ7157" s="397"/>
      <c r="BR7157" s="397"/>
      <c r="BS7157" s="397"/>
      <c r="BT7157" s="397"/>
      <c r="BU7157" s="397"/>
      <c r="BV7157" s="397"/>
      <c r="BW7157" s="397"/>
      <c r="BX7157" s="397"/>
      <c r="BY7157" s="397"/>
      <c r="BZ7157" s="397"/>
      <c r="CA7157" s="392" t="s">
        <v>413</v>
      </c>
    </row>
    <row r="7158" spans="1:80" s="392" customFormat="1" ht="15" x14ac:dyDescent="0.25">
      <c r="A7158" s="385"/>
      <c r="D7158" s="700"/>
      <c r="E7158" s="397"/>
      <c r="H7158" s="401">
        <v>3</v>
      </c>
      <c r="I7158" s="401"/>
      <c r="J7158" s="401"/>
      <c r="K7158" s="401"/>
      <c r="L7158" s="675"/>
      <c r="M7158" s="672">
        <v>28256</v>
      </c>
      <c r="N7158" s="623">
        <v>0.22669311419665628</v>
      </c>
      <c r="O7158" s="624" t="s">
        <v>71</v>
      </c>
      <c r="P7158" s="397"/>
      <c r="Q7158" s="397"/>
      <c r="R7158" s="397"/>
      <c r="S7158" s="397"/>
      <c r="T7158" s="397"/>
      <c r="U7158" s="397"/>
      <c r="V7158" s="397"/>
      <c r="W7158" s="397"/>
      <c r="X7158" s="397"/>
      <c r="Y7158" s="397"/>
      <c r="Z7158" s="397"/>
      <c r="AD7158" s="388">
        <v>3.3223200000000004</v>
      </c>
      <c r="AE7158" s="388"/>
      <c r="AF7158" s="388"/>
      <c r="AG7158" s="388"/>
      <c r="AH7158" s="391"/>
      <c r="AI7158" s="397"/>
      <c r="AJ7158" s="397"/>
      <c r="AU7158" s="397"/>
      <c r="AV7158" s="397"/>
      <c r="AW7158" s="397"/>
      <c r="AX7158" s="397"/>
      <c r="BI7158" s="397"/>
      <c r="BJ7158" s="397"/>
      <c r="BK7158" s="397"/>
      <c r="BL7158" s="397"/>
      <c r="BM7158" s="397"/>
      <c r="BN7158" s="397"/>
      <c r="BO7158" s="397"/>
      <c r="BP7158" s="397"/>
      <c r="BQ7158" s="397"/>
      <c r="BR7158" s="397"/>
      <c r="BS7158" s="397"/>
      <c r="BT7158" s="397"/>
      <c r="BU7158" s="397"/>
      <c r="BV7158" s="397"/>
      <c r="BW7158" s="397"/>
      <c r="BX7158" s="397"/>
      <c r="BY7158" s="397"/>
      <c r="BZ7158" s="397"/>
      <c r="CA7158" s="392" t="s">
        <v>413</v>
      </c>
    </row>
    <row r="7159" spans="1:80" s="392" customFormat="1" ht="15" x14ac:dyDescent="0.25">
      <c r="A7159" s="385"/>
      <c r="D7159" s="700"/>
      <c r="E7159" s="397"/>
      <c r="H7159" s="401">
        <v>3</v>
      </c>
      <c r="I7159" s="401"/>
      <c r="J7159" s="401"/>
      <c r="K7159" s="401"/>
      <c r="L7159" s="675"/>
      <c r="M7159" s="672">
        <v>28261</v>
      </c>
      <c r="N7159" s="623">
        <v>0.32303768773023522</v>
      </c>
      <c r="O7159" s="624" t="s">
        <v>71</v>
      </c>
      <c r="P7159" s="397"/>
      <c r="Q7159" s="397"/>
      <c r="R7159" s="397"/>
      <c r="S7159" s="397"/>
      <c r="T7159" s="397"/>
      <c r="U7159" s="397"/>
      <c r="V7159" s="397"/>
      <c r="W7159" s="397"/>
      <c r="X7159" s="397"/>
      <c r="Y7159" s="397"/>
      <c r="Z7159" s="397"/>
      <c r="AD7159" s="388">
        <v>3.7185600000000001</v>
      </c>
      <c r="AE7159" s="388"/>
      <c r="AF7159" s="388"/>
      <c r="AG7159" s="388"/>
      <c r="AH7159" s="391"/>
      <c r="AI7159" s="397"/>
      <c r="AJ7159" s="397"/>
      <c r="AU7159" s="397"/>
      <c r="AV7159" s="397"/>
      <c r="AW7159" s="397"/>
      <c r="AX7159" s="397"/>
      <c r="BI7159" s="397"/>
      <c r="BJ7159" s="397"/>
      <c r="BK7159" s="397"/>
      <c r="BL7159" s="397"/>
      <c r="BM7159" s="397"/>
      <c r="BN7159" s="397"/>
      <c r="BO7159" s="397"/>
      <c r="BP7159" s="397"/>
      <c r="BQ7159" s="397"/>
      <c r="BR7159" s="397"/>
      <c r="BS7159" s="397"/>
      <c r="BT7159" s="397"/>
      <c r="BU7159" s="397"/>
      <c r="BV7159" s="397"/>
      <c r="BW7159" s="397"/>
      <c r="BX7159" s="397"/>
      <c r="BY7159" s="397"/>
      <c r="BZ7159" s="397"/>
      <c r="CA7159" s="392" t="s">
        <v>413</v>
      </c>
    </row>
    <row r="7160" spans="1:80" s="392" customFormat="1" ht="15" x14ac:dyDescent="0.25">
      <c r="A7160" s="385"/>
      <c r="D7160" s="700"/>
      <c r="E7160" s="397"/>
      <c r="H7160" s="401">
        <v>3</v>
      </c>
      <c r="I7160" s="401"/>
      <c r="J7160" s="401"/>
      <c r="K7160" s="401"/>
      <c r="L7160" s="675"/>
      <c r="M7160" s="672">
        <v>28268</v>
      </c>
      <c r="N7160" s="623">
        <v>0.27543213374893738</v>
      </c>
      <c r="O7160" s="624" t="s">
        <v>71</v>
      </c>
      <c r="P7160" s="397"/>
      <c r="Q7160" s="397"/>
      <c r="R7160" s="397"/>
      <c r="S7160" s="397"/>
      <c r="T7160" s="397"/>
      <c r="U7160" s="397"/>
      <c r="V7160" s="397"/>
      <c r="W7160" s="397"/>
      <c r="X7160" s="397"/>
      <c r="Y7160" s="397"/>
      <c r="Z7160" s="397"/>
      <c r="AD7160" s="388">
        <v>3.5052000000000003</v>
      </c>
      <c r="AE7160" s="388"/>
      <c r="AF7160" s="388"/>
      <c r="AG7160" s="388"/>
      <c r="AH7160" s="391"/>
      <c r="AI7160" s="397"/>
      <c r="AJ7160" s="397"/>
      <c r="AU7160" s="397"/>
      <c r="AV7160" s="397"/>
      <c r="AW7160" s="397"/>
      <c r="AX7160" s="397"/>
      <c r="BI7160" s="397"/>
      <c r="BJ7160" s="397"/>
      <c r="BK7160" s="397"/>
      <c r="BL7160" s="397"/>
      <c r="BM7160" s="397"/>
      <c r="BN7160" s="397"/>
      <c r="BO7160" s="397"/>
      <c r="BP7160" s="397"/>
      <c r="BQ7160" s="397"/>
      <c r="BR7160" s="397"/>
      <c r="BS7160" s="397"/>
      <c r="BT7160" s="397"/>
      <c r="BU7160" s="397"/>
      <c r="BV7160" s="397"/>
      <c r="BW7160" s="397"/>
      <c r="BX7160" s="397"/>
      <c r="BY7160" s="397"/>
      <c r="BZ7160" s="397"/>
      <c r="CA7160" s="392" t="s">
        <v>413</v>
      </c>
    </row>
    <row r="7161" spans="1:80" s="392" customFormat="1" ht="15" x14ac:dyDescent="0.25">
      <c r="A7161" s="385"/>
      <c r="D7161" s="700"/>
      <c r="E7161" s="397"/>
      <c r="H7161" s="401">
        <v>3</v>
      </c>
      <c r="I7161" s="401"/>
      <c r="J7161" s="401"/>
      <c r="K7161" s="401"/>
      <c r="L7161" s="675"/>
      <c r="M7161" s="672">
        <v>28275</v>
      </c>
      <c r="N7161" s="623">
        <v>0.36270898271465007</v>
      </c>
      <c r="O7161" s="624">
        <v>1.1853333333333332E-3</v>
      </c>
      <c r="P7161" s="397"/>
      <c r="Q7161" s="397"/>
      <c r="R7161" s="397"/>
      <c r="S7161" s="397"/>
      <c r="T7161" s="397"/>
      <c r="U7161" s="397"/>
      <c r="V7161" s="397"/>
      <c r="W7161" s="397"/>
      <c r="X7161" s="397"/>
      <c r="Y7161" s="397"/>
      <c r="Z7161" s="397"/>
      <c r="AD7161" s="388">
        <v>3.8709600000000002</v>
      </c>
      <c r="AE7161" s="388"/>
      <c r="AF7161" s="388"/>
      <c r="AG7161" s="388"/>
      <c r="AH7161" s="391"/>
      <c r="AI7161" s="397"/>
      <c r="AJ7161" s="397"/>
      <c r="AU7161" s="397"/>
      <c r="AV7161" s="397"/>
      <c r="AW7161" s="397"/>
      <c r="AX7161" s="397"/>
      <c r="BI7161" s="397"/>
      <c r="BJ7161" s="397"/>
      <c r="BK7161" s="397"/>
      <c r="BL7161" s="397"/>
      <c r="BM7161" s="397"/>
      <c r="BN7161" s="397"/>
      <c r="BO7161" s="397"/>
      <c r="BP7161" s="397"/>
      <c r="BQ7161" s="397"/>
      <c r="BR7161" s="397"/>
      <c r="BS7161" s="397"/>
      <c r="BT7161" s="397"/>
      <c r="BU7161" s="397"/>
      <c r="BV7161" s="397"/>
      <c r="BW7161" s="397"/>
      <c r="BX7161" s="397"/>
      <c r="BY7161" s="397"/>
      <c r="BZ7161" s="397"/>
      <c r="CA7161" s="392" t="s">
        <v>413</v>
      </c>
    </row>
    <row r="7162" spans="1:80" s="392" customFormat="1" ht="15" x14ac:dyDescent="0.25">
      <c r="A7162" s="385"/>
      <c r="D7162" s="700"/>
      <c r="E7162" s="397"/>
      <c r="H7162" s="401">
        <v>3</v>
      </c>
      <c r="I7162" s="401"/>
      <c r="J7162" s="401"/>
      <c r="K7162" s="401"/>
      <c r="L7162" s="675"/>
      <c r="M7162" s="672">
        <v>28282</v>
      </c>
      <c r="N7162" s="623">
        <v>0.76792292434117315</v>
      </c>
      <c r="O7162" s="624">
        <v>3.2940000000000005E-3</v>
      </c>
      <c r="P7162" s="397"/>
      <c r="Q7162" s="397"/>
      <c r="R7162" s="397"/>
      <c r="S7162" s="397"/>
      <c r="T7162" s="397"/>
      <c r="U7162" s="397"/>
      <c r="V7162" s="397"/>
      <c r="W7162" s="397"/>
      <c r="X7162" s="397"/>
      <c r="Y7162" s="397"/>
      <c r="Z7162" s="397"/>
      <c r="AD7162" s="388">
        <v>5.5778400000000001</v>
      </c>
      <c r="AE7162" s="388"/>
      <c r="AF7162" s="388"/>
      <c r="AG7162" s="388"/>
      <c r="AH7162" s="391"/>
      <c r="AI7162" s="397"/>
      <c r="AJ7162" s="397"/>
      <c r="AU7162" s="397"/>
      <c r="AV7162" s="397"/>
      <c r="AW7162" s="397"/>
      <c r="AX7162" s="397"/>
      <c r="BI7162" s="397"/>
      <c r="BJ7162" s="397"/>
      <c r="BK7162" s="397"/>
      <c r="BL7162" s="397"/>
      <c r="BM7162" s="397"/>
      <c r="BN7162" s="397"/>
      <c r="BO7162" s="397"/>
      <c r="BP7162" s="397"/>
      <c r="BQ7162" s="397"/>
      <c r="BR7162" s="397"/>
      <c r="BS7162" s="397"/>
      <c r="BT7162" s="397"/>
      <c r="BU7162" s="397"/>
      <c r="BV7162" s="397"/>
      <c r="BW7162" s="397"/>
      <c r="BX7162" s="397"/>
      <c r="BY7162" s="397"/>
      <c r="BZ7162" s="397"/>
      <c r="CA7162" s="392" t="s">
        <v>413</v>
      </c>
    </row>
    <row r="7163" spans="1:80" s="392" customFormat="1" ht="15" x14ac:dyDescent="0.25">
      <c r="A7163" s="385"/>
      <c r="D7163" s="700"/>
      <c r="E7163" s="397"/>
      <c r="H7163" s="401">
        <v>3</v>
      </c>
      <c r="I7163" s="401"/>
      <c r="J7163" s="401"/>
      <c r="K7163" s="401"/>
      <c r="L7163" s="675"/>
      <c r="M7163" s="672">
        <v>28291</v>
      </c>
      <c r="N7163" s="623">
        <v>0.26324737886086708</v>
      </c>
      <c r="O7163" s="624" t="s">
        <v>71</v>
      </c>
      <c r="P7163" s="397"/>
      <c r="Q7163" s="397"/>
      <c r="R7163" s="397"/>
      <c r="S7163" s="397"/>
      <c r="T7163" s="397"/>
      <c r="U7163" s="397"/>
      <c r="V7163" s="397"/>
      <c r="W7163" s="397"/>
      <c r="X7163" s="397"/>
      <c r="Y7163" s="397"/>
      <c r="Z7163" s="397"/>
      <c r="AD7163" s="388">
        <v>3.4747200000000005</v>
      </c>
      <c r="AE7163" s="388"/>
      <c r="AF7163" s="388"/>
      <c r="AG7163" s="388"/>
      <c r="AH7163" s="391"/>
      <c r="AI7163" s="397"/>
      <c r="AJ7163" s="397"/>
      <c r="AU7163" s="397"/>
      <c r="AV7163" s="397"/>
      <c r="AW7163" s="397"/>
      <c r="AX7163" s="397"/>
      <c r="BI7163" s="397"/>
      <c r="BJ7163" s="397"/>
      <c r="BK7163" s="397"/>
      <c r="BL7163" s="397"/>
      <c r="BM7163" s="397"/>
      <c r="BN7163" s="397"/>
      <c r="BO7163" s="397"/>
      <c r="BP7163" s="397"/>
      <c r="BQ7163" s="397"/>
      <c r="BR7163" s="397"/>
      <c r="BS7163" s="397"/>
      <c r="BT7163" s="397"/>
      <c r="BU7163" s="397"/>
      <c r="BV7163" s="397"/>
      <c r="BW7163" s="397"/>
      <c r="BX7163" s="397"/>
      <c r="BY7163" s="397"/>
      <c r="BZ7163" s="397"/>
      <c r="CA7163" s="392" t="s">
        <v>413</v>
      </c>
    </row>
    <row r="7164" spans="1:80" s="392" customFormat="1" ht="15" x14ac:dyDescent="0.25">
      <c r="A7164" s="385"/>
      <c r="D7164" s="700"/>
      <c r="E7164" s="397"/>
      <c r="H7164" s="401">
        <v>3</v>
      </c>
      <c r="I7164" s="401"/>
      <c r="J7164" s="401"/>
      <c r="K7164" s="401"/>
      <c r="L7164" s="675"/>
      <c r="M7164" s="672">
        <v>28295</v>
      </c>
      <c r="N7164" s="623">
        <v>0.20912439784641543</v>
      </c>
      <c r="O7164" s="624">
        <v>3.5333333333333332E-3</v>
      </c>
      <c r="P7164" s="397"/>
      <c r="Q7164" s="397"/>
      <c r="R7164" s="397"/>
      <c r="S7164" s="397"/>
      <c r="T7164" s="397"/>
      <c r="U7164" s="397"/>
      <c r="V7164" s="397"/>
      <c r="W7164" s="397"/>
      <c r="X7164" s="397"/>
      <c r="Y7164" s="397"/>
      <c r="Z7164" s="397"/>
      <c r="AD7164" s="388">
        <v>3.23088</v>
      </c>
      <c r="AE7164" s="388"/>
      <c r="AF7164" s="388"/>
      <c r="AG7164" s="388"/>
      <c r="AH7164" s="391"/>
      <c r="AI7164" s="397"/>
      <c r="AJ7164" s="397"/>
      <c r="AU7164" s="397"/>
      <c r="AV7164" s="397"/>
      <c r="AW7164" s="397"/>
      <c r="AX7164" s="397"/>
      <c r="BI7164" s="397"/>
      <c r="BJ7164" s="397"/>
      <c r="BK7164" s="397"/>
      <c r="BL7164" s="397"/>
      <c r="BM7164" s="397"/>
      <c r="BN7164" s="397"/>
      <c r="BO7164" s="397"/>
      <c r="BP7164" s="397"/>
      <c r="BQ7164" s="397"/>
      <c r="BR7164" s="397"/>
      <c r="BS7164" s="397"/>
      <c r="BT7164" s="397"/>
      <c r="BU7164" s="397"/>
      <c r="BV7164" s="397"/>
      <c r="BW7164" s="397"/>
      <c r="BX7164" s="397"/>
      <c r="BY7164" s="397"/>
      <c r="BZ7164" s="397"/>
      <c r="CA7164" s="392" t="s">
        <v>413</v>
      </c>
    </row>
    <row r="7165" spans="1:80" s="392" customFormat="1" ht="15" x14ac:dyDescent="0.25">
      <c r="A7165" s="385"/>
      <c r="D7165" s="700"/>
      <c r="E7165" s="397"/>
      <c r="H7165" s="401">
        <v>3</v>
      </c>
      <c r="I7165" s="401"/>
      <c r="J7165" s="401"/>
      <c r="K7165" s="401"/>
      <c r="L7165" s="675"/>
      <c r="M7165" s="672">
        <v>28302</v>
      </c>
      <c r="N7165" s="623">
        <v>0.39671294984414851</v>
      </c>
      <c r="O7165" s="624">
        <v>2.4453333333333332E-3</v>
      </c>
      <c r="P7165" s="397"/>
      <c r="Q7165" s="397"/>
      <c r="R7165" s="397"/>
      <c r="S7165" s="397"/>
      <c r="T7165" s="397"/>
      <c r="U7165" s="397"/>
      <c r="V7165" s="397"/>
      <c r="W7165" s="397"/>
      <c r="X7165" s="397"/>
      <c r="Y7165" s="397"/>
      <c r="Z7165" s="397"/>
      <c r="AD7165" s="388">
        <v>3.99288</v>
      </c>
      <c r="AE7165" s="388"/>
      <c r="AF7165" s="388"/>
      <c r="AG7165" s="388"/>
      <c r="AH7165" s="391"/>
      <c r="AI7165" s="397"/>
      <c r="AJ7165" s="397"/>
      <c r="AU7165" s="397"/>
      <c r="AV7165" s="397"/>
      <c r="AW7165" s="397"/>
      <c r="AX7165" s="397"/>
      <c r="BI7165" s="397"/>
      <c r="BJ7165" s="397"/>
      <c r="BK7165" s="397"/>
      <c r="BL7165" s="397"/>
      <c r="BM7165" s="397"/>
      <c r="BN7165" s="397"/>
      <c r="BO7165" s="397"/>
      <c r="BP7165" s="397"/>
      <c r="BQ7165" s="397"/>
      <c r="BR7165" s="397"/>
      <c r="BS7165" s="397"/>
      <c r="BT7165" s="397"/>
      <c r="BU7165" s="397"/>
      <c r="BV7165" s="397"/>
      <c r="BW7165" s="397"/>
      <c r="BX7165" s="397"/>
      <c r="BY7165" s="397"/>
      <c r="BZ7165" s="397"/>
      <c r="CA7165" s="392" t="s">
        <v>413</v>
      </c>
    </row>
    <row r="7166" spans="1:80" s="392" customFormat="1" ht="15" x14ac:dyDescent="0.25">
      <c r="A7166" s="385"/>
      <c r="D7166" s="700"/>
      <c r="E7166" s="397"/>
      <c r="H7166" s="401">
        <v>3</v>
      </c>
      <c r="I7166" s="401"/>
      <c r="J7166" s="401"/>
      <c r="K7166" s="401"/>
      <c r="L7166" s="675"/>
      <c r="M7166" s="672">
        <v>28308</v>
      </c>
      <c r="N7166" s="623">
        <v>0.27543213374893738</v>
      </c>
      <c r="O7166" s="624">
        <v>1.6866666666666668E-3</v>
      </c>
      <c r="P7166" s="397"/>
      <c r="Q7166" s="397"/>
      <c r="R7166" s="397"/>
      <c r="S7166" s="397"/>
      <c r="T7166" s="397"/>
      <c r="U7166" s="397"/>
      <c r="V7166" s="397"/>
      <c r="W7166" s="397"/>
      <c r="X7166" s="397"/>
      <c r="Y7166" s="397"/>
      <c r="Z7166" s="397"/>
      <c r="AD7166" s="388">
        <v>3.5052000000000003</v>
      </c>
      <c r="AE7166" s="388"/>
      <c r="AF7166" s="388"/>
      <c r="AG7166" s="388"/>
      <c r="AH7166" s="391"/>
      <c r="AI7166" s="397"/>
      <c r="AJ7166" s="397"/>
      <c r="AU7166" s="397"/>
      <c r="AV7166" s="397"/>
      <c r="AW7166" s="397"/>
      <c r="AX7166" s="397"/>
      <c r="BI7166" s="397"/>
      <c r="BJ7166" s="397"/>
      <c r="BK7166" s="397"/>
      <c r="BL7166" s="397"/>
      <c r="BM7166" s="397"/>
      <c r="BN7166" s="397"/>
      <c r="BO7166" s="397"/>
      <c r="BP7166" s="397"/>
      <c r="BQ7166" s="397"/>
      <c r="BR7166" s="397"/>
      <c r="BS7166" s="397"/>
      <c r="BT7166" s="397"/>
      <c r="BU7166" s="397"/>
      <c r="BV7166" s="397"/>
      <c r="BW7166" s="397"/>
      <c r="BX7166" s="397"/>
      <c r="BY7166" s="397"/>
      <c r="BZ7166" s="397"/>
      <c r="CA7166" s="392" t="s">
        <v>413</v>
      </c>
    </row>
    <row r="7167" spans="1:80" s="392" customFormat="1" ht="15" x14ac:dyDescent="0.25">
      <c r="A7167" s="385"/>
      <c r="D7167" s="700"/>
      <c r="E7167" s="397"/>
      <c r="H7167" s="401">
        <v>3</v>
      </c>
      <c r="I7167" s="401"/>
      <c r="J7167" s="401"/>
      <c r="K7167" s="401"/>
      <c r="L7167" s="675"/>
      <c r="M7167" s="672">
        <v>28317</v>
      </c>
      <c r="N7167" s="623">
        <v>0.23887786908472655</v>
      </c>
      <c r="O7167" s="624">
        <v>1.0266666666666666E-3</v>
      </c>
      <c r="P7167" s="397"/>
      <c r="Q7167" s="397"/>
      <c r="R7167" s="397"/>
      <c r="S7167" s="397"/>
      <c r="T7167" s="397"/>
      <c r="U7167" s="397"/>
      <c r="V7167" s="397"/>
      <c r="W7167" s="397"/>
      <c r="X7167" s="397"/>
      <c r="Y7167" s="397"/>
      <c r="Z7167" s="397"/>
      <c r="AD7167" s="388">
        <v>3.3528000000000002</v>
      </c>
      <c r="AE7167" s="388"/>
      <c r="AF7167" s="388"/>
      <c r="AG7167" s="388"/>
      <c r="AH7167" s="391"/>
      <c r="AI7167" s="397"/>
      <c r="AJ7167" s="397"/>
      <c r="AU7167" s="397"/>
      <c r="AV7167" s="397"/>
      <c r="AW7167" s="397"/>
      <c r="AX7167" s="397"/>
      <c r="BI7167" s="397"/>
      <c r="BJ7167" s="397"/>
      <c r="BK7167" s="397"/>
      <c r="BL7167" s="397"/>
      <c r="BM7167" s="397"/>
      <c r="BN7167" s="397"/>
      <c r="BO7167" s="397"/>
      <c r="BP7167" s="397"/>
      <c r="BQ7167" s="397"/>
      <c r="BR7167" s="397"/>
      <c r="BS7167" s="397"/>
      <c r="BT7167" s="397"/>
      <c r="BU7167" s="397"/>
      <c r="BV7167" s="397"/>
      <c r="BW7167" s="397"/>
      <c r="BX7167" s="397"/>
      <c r="BY7167" s="397"/>
      <c r="BZ7167" s="397"/>
      <c r="CA7167" s="392" t="s">
        <v>413</v>
      </c>
    </row>
    <row r="7168" spans="1:80" s="392" customFormat="1" ht="15" x14ac:dyDescent="0.25">
      <c r="A7168" s="385"/>
      <c r="D7168" s="700"/>
      <c r="E7168" s="397"/>
      <c r="H7168" s="401">
        <v>3</v>
      </c>
      <c r="I7168" s="401"/>
      <c r="J7168" s="401"/>
      <c r="K7168" s="401"/>
      <c r="L7168" s="675"/>
      <c r="M7168" s="672">
        <v>28322</v>
      </c>
      <c r="N7168" s="623">
        <v>0.25106262397279683</v>
      </c>
      <c r="O7168" s="624">
        <v>1.3440000000000001E-3</v>
      </c>
      <c r="P7168" s="397"/>
      <c r="Q7168" s="397"/>
      <c r="R7168" s="397"/>
      <c r="S7168" s="397"/>
      <c r="T7168" s="397"/>
      <c r="U7168" s="397"/>
      <c r="V7168" s="397"/>
      <c r="W7168" s="397"/>
      <c r="X7168" s="397"/>
      <c r="Y7168" s="397"/>
      <c r="Z7168" s="397"/>
      <c r="AD7168" s="388">
        <v>3.4137599999999999</v>
      </c>
      <c r="AE7168" s="388"/>
      <c r="AF7168" s="388"/>
      <c r="AG7168" s="388"/>
      <c r="AH7168" s="391"/>
      <c r="AI7168" s="397"/>
      <c r="AJ7168" s="397"/>
      <c r="AU7168" s="397"/>
      <c r="AV7168" s="397"/>
      <c r="AW7168" s="397"/>
      <c r="AX7168" s="397"/>
      <c r="BI7168" s="397"/>
      <c r="BJ7168" s="397"/>
      <c r="BK7168" s="397"/>
      <c r="BL7168" s="397"/>
      <c r="BM7168" s="397"/>
      <c r="BN7168" s="397"/>
      <c r="BO7168" s="397"/>
      <c r="BP7168" s="397"/>
      <c r="BQ7168" s="397"/>
      <c r="BR7168" s="397"/>
      <c r="BS7168" s="397"/>
      <c r="BT7168" s="397"/>
      <c r="BU7168" s="397"/>
      <c r="BV7168" s="397"/>
      <c r="BW7168" s="397"/>
      <c r="BX7168" s="397"/>
      <c r="BY7168" s="397"/>
      <c r="BZ7168" s="397"/>
      <c r="CA7168" s="392" t="s">
        <v>413</v>
      </c>
    </row>
    <row r="7169" spans="1:80" s="392" customFormat="1" ht="15" x14ac:dyDescent="0.25">
      <c r="A7169" s="385"/>
      <c r="D7169" s="700"/>
      <c r="E7169" s="397"/>
      <c r="H7169" s="401">
        <v>3</v>
      </c>
      <c r="I7169" s="401"/>
      <c r="J7169" s="401"/>
      <c r="K7169" s="401"/>
      <c r="L7169" s="675"/>
      <c r="M7169" s="672">
        <v>28325</v>
      </c>
      <c r="N7169" s="623">
        <v>0.2550297534712383</v>
      </c>
      <c r="O7169" s="624">
        <v>8.9599999999999988E-4</v>
      </c>
      <c r="P7169" s="397"/>
      <c r="Q7169" s="397"/>
      <c r="R7169" s="397"/>
      <c r="S7169" s="397"/>
      <c r="T7169" s="397"/>
      <c r="U7169" s="397"/>
      <c r="V7169" s="397"/>
      <c r="W7169" s="397"/>
      <c r="X7169" s="397"/>
      <c r="Y7169" s="397"/>
      <c r="Z7169" s="397"/>
      <c r="AD7169" s="388">
        <v>3.4137599999999999</v>
      </c>
      <c r="AE7169" s="388"/>
      <c r="AF7169" s="388"/>
      <c r="AG7169" s="388"/>
      <c r="AH7169" s="391"/>
      <c r="AI7169" s="397"/>
      <c r="AJ7169" s="397"/>
      <c r="AU7169" s="397"/>
      <c r="AV7169" s="397"/>
      <c r="AW7169" s="397"/>
      <c r="AX7169" s="397"/>
      <c r="BI7169" s="397"/>
      <c r="BJ7169" s="397"/>
      <c r="BK7169" s="397"/>
      <c r="BL7169" s="397"/>
      <c r="BM7169" s="397"/>
      <c r="BN7169" s="397"/>
      <c r="BO7169" s="397"/>
      <c r="BP7169" s="397"/>
      <c r="BQ7169" s="397"/>
      <c r="BR7169" s="397"/>
      <c r="BS7169" s="397"/>
      <c r="BT7169" s="397"/>
      <c r="BU7169" s="397"/>
      <c r="BV7169" s="397"/>
      <c r="BW7169" s="397"/>
      <c r="BX7169" s="397"/>
      <c r="BY7169" s="397"/>
      <c r="BZ7169" s="397"/>
      <c r="CA7169" s="392" t="s">
        <v>413</v>
      </c>
    </row>
    <row r="7170" spans="1:80" s="392" customFormat="1" ht="15" x14ac:dyDescent="0.25">
      <c r="A7170" s="385"/>
      <c r="D7170" s="700"/>
      <c r="E7170" s="397"/>
      <c r="H7170" s="401">
        <v>3</v>
      </c>
      <c r="I7170" s="401"/>
      <c r="J7170" s="401"/>
      <c r="K7170" s="401"/>
      <c r="L7170" s="675"/>
      <c r="M7170" s="672">
        <v>28329</v>
      </c>
      <c r="N7170" s="623">
        <v>0.22102578634173986</v>
      </c>
      <c r="O7170" s="624">
        <v>1.5120000000000003E-3</v>
      </c>
      <c r="P7170" s="397"/>
      <c r="Q7170" s="397"/>
      <c r="R7170" s="397"/>
      <c r="S7170" s="397"/>
      <c r="T7170" s="397"/>
      <c r="U7170" s="397"/>
      <c r="V7170" s="397"/>
      <c r="W7170" s="397"/>
      <c r="X7170" s="397"/>
      <c r="Y7170" s="397"/>
      <c r="Z7170" s="397"/>
      <c r="AD7170" s="388">
        <v>3.2918400000000005</v>
      </c>
      <c r="AE7170" s="388"/>
      <c r="AF7170" s="388"/>
      <c r="AG7170" s="388"/>
      <c r="AH7170" s="391"/>
      <c r="AI7170" s="397"/>
      <c r="AJ7170" s="397"/>
      <c r="AU7170" s="397"/>
      <c r="AV7170" s="397"/>
      <c r="AW7170" s="397"/>
      <c r="AX7170" s="397"/>
      <c r="BI7170" s="397"/>
      <c r="BJ7170" s="397"/>
      <c r="BK7170" s="397"/>
      <c r="BL7170" s="397"/>
      <c r="BM7170" s="397"/>
      <c r="BN7170" s="397"/>
      <c r="BO7170" s="397"/>
      <c r="BP7170" s="397"/>
      <c r="BQ7170" s="397"/>
      <c r="BR7170" s="397"/>
      <c r="BS7170" s="397"/>
      <c r="BT7170" s="397"/>
      <c r="BU7170" s="397"/>
      <c r="BV7170" s="397"/>
      <c r="BW7170" s="397"/>
      <c r="BX7170" s="397"/>
      <c r="BY7170" s="397"/>
      <c r="BZ7170" s="397"/>
      <c r="CA7170" s="392" t="s">
        <v>413</v>
      </c>
    </row>
    <row r="7171" spans="1:80" s="392" customFormat="1" ht="15" x14ac:dyDescent="0.25">
      <c r="A7171" s="385"/>
      <c r="D7171" s="700"/>
      <c r="E7171" s="397"/>
      <c r="H7171" s="401">
        <v>3</v>
      </c>
      <c r="I7171" s="401"/>
      <c r="J7171" s="401"/>
      <c r="K7171" s="401"/>
      <c r="L7171" s="675"/>
      <c r="M7171" s="672">
        <v>28331</v>
      </c>
      <c r="N7171" s="623">
        <v>0.22669311419665628</v>
      </c>
      <c r="O7171" s="624">
        <v>3.0240000000000006E-3</v>
      </c>
      <c r="P7171" s="397"/>
      <c r="Q7171" s="397"/>
      <c r="R7171" s="397"/>
      <c r="S7171" s="397"/>
      <c r="T7171" s="397"/>
      <c r="U7171" s="397"/>
      <c r="V7171" s="397"/>
      <c r="W7171" s="397"/>
      <c r="X7171" s="397"/>
      <c r="Y7171" s="397"/>
      <c r="Z7171" s="397"/>
      <c r="AD7171" s="388">
        <v>3.2918400000000005</v>
      </c>
      <c r="AE7171" s="388"/>
      <c r="AF7171" s="388"/>
      <c r="AG7171" s="388"/>
      <c r="AH7171" s="391"/>
      <c r="AI7171" s="397"/>
      <c r="AJ7171" s="397"/>
      <c r="AU7171" s="397"/>
      <c r="AV7171" s="397"/>
      <c r="AW7171" s="397"/>
      <c r="AX7171" s="397"/>
      <c r="BI7171" s="397"/>
      <c r="BJ7171" s="397"/>
      <c r="BK7171" s="397"/>
      <c r="BL7171" s="397"/>
      <c r="BM7171" s="397"/>
      <c r="BN7171" s="397"/>
      <c r="BO7171" s="397"/>
      <c r="BP7171" s="397"/>
      <c r="BQ7171" s="397"/>
      <c r="BR7171" s="397"/>
      <c r="BS7171" s="397"/>
      <c r="BT7171" s="397"/>
      <c r="BU7171" s="397"/>
      <c r="BV7171" s="397"/>
      <c r="BW7171" s="397"/>
      <c r="BX7171" s="397"/>
      <c r="BY7171" s="397"/>
      <c r="BZ7171" s="397"/>
      <c r="CA7171" s="392" t="s">
        <v>413</v>
      </c>
    </row>
    <row r="7172" spans="1:80" s="392" customFormat="1" ht="15" x14ac:dyDescent="0.25">
      <c r="A7172" s="385"/>
      <c r="D7172" s="700"/>
      <c r="E7172" s="397"/>
      <c r="H7172" s="401">
        <v>3</v>
      </c>
      <c r="I7172" s="401"/>
      <c r="J7172" s="401"/>
      <c r="K7172" s="401"/>
      <c r="L7172" s="675"/>
      <c r="M7172" s="672">
        <v>28336</v>
      </c>
      <c r="N7172" s="623">
        <v>0.21819212241428168</v>
      </c>
      <c r="O7172" s="624">
        <v>2.0686666666666666E-3</v>
      </c>
      <c r="P7172" s="397"/>
      <c r="Q7172" s="397"/>
      <c r="R7172" s="397"/>
      <c r="S7172" s="397"/>
      <c r="T7172" s="397"/>
      <c r="U7172" s="397"/>
      <c r="V7172" s="397"/>
      <c r="W7172" s="397"/>
      <c r="X7172" s="397"/>
      <c r="Y7172" s="397"/>
      <c r="Z7172" s="397"/>
      <c r="AD7172" s="388">
        <v>3.2613599999999998</v>
      </c>
      <c r="AE7172" s="388"/>
      <c r="AF7172" s="388"/>
      <c r="AG7172" s="388"/>
      <c r="AH7172" s="391"/>
      <c r="AI7172" s="397"/>
      <c r="AJ7172" s="397"/>
      <c r="AU7172" s="397"/>
      <c r="AV7172" s="397"/>
      <c r="AW7172" s="397"/>
      <c r="AX7172" s="397"/>
      <c r="BI7172" s="397"/>
      <c r="BJ7172" s="397"/>
      <c r="BK7172" s="397"/>
      <c r="BL7172" s="397"/>
      <c r="BM7172" s="397"/>
      <c r="BN7172" s="397"/>
      <c r="BO7172" s="397"/>
      <c r="BP7172" s="397"/>
      <c r="BQ7172" s="397"/>
      <c r="BR7172" s="397"/>
      <c r="BS7172" s="397"/>
      <c r="BT7172" s="397"/>
      <c r="BU7172" s="397"/>
      <c r="BV7172" s="397"/>
      <c r="BW7172" s="397"/>
      <c r="BX7172" s="397"/>
      <c r="BY7172" s="397"/>
      <c r="BZ7172" s="397"/>
      <c r="CA7172" s="392" t="s">
        <v>413</v>
      </c>
    </row>
    <row r="7173" spans="1:80" s="392" customFormat="1" ht="15" x14ac:dyDescent="0.25">
      <c r="A7173" s="385"/>
      <c r="D7173" s="700"/>
      <c r="E7173" s="397"/>
      <c r="H7173" s="401">
        <v>3</v>
      </c>
      <c r="I7173" s="401"/>
      <c r="J7173" s="401"/>
      <c r="K7173" s="401"/>
      <c r="L7173" s="675"/>
      <c r="M7173" s="672">
        <v>28366</v>
      </c>
      <c r="N7173" s="623">
        <v>0.23519410597903093</v>
      </c>
      <c r="O7173" s="624">
        <v>1.2466666666666665E-3</v>
      </c>
      <c r="P7173" s="397"/>
      <c r="Q7173" s="397"/>
      <c r="R7173" s="397"/>
      <c r="S7173" s="397"/>
      <c r="T7173" s="397"/>
      <c r="U7173" s="397"/>
      <c r="V7173" s="397"/>
      <c r="W7173" s="397"/>
      <c r="X7173" s="397"/>
      <c r="Y7173" s="397"/>
      <c r="Z7173" s="397"/>
      <c r="AD7173" s="388">
        <v>3.3528000000000002</v>
      </c>
      <c r="AE7173" s="388"/>
      <c r="AF7173" s="388"/>
      <c r="AG7173" s="388"/>
      <c r="AH7173" s="391"/>
      <c r="AI7173" s="397"/>
      <c r="AJ7173" s="397"/>
      <c r="AU7173" s="397"/>
      <c r="AV7173" s="397"/>
      <c r="AW7173" s="397"/>
      <c r="AX7173" s="397"/>
      <c r="BI7173" s="397"/>
      <c r="BJ7173" s="397"/>
      <c r="BK7173" s="397"/>
      <c r="BL7173" s="397"/>
      <c r="BM7173" s="397"/>
      <c r="BN7173" s="397"/>
      <c r="BO7173" s="397"/>
      <c r="BP7173" s="397"/>
      <c r="BQ7173" s="397"/>
      <c r="BR7173" s="397"/>
      <c r="BS7173" s="397"/>
      <c r="BT7173" s="397"/>
      <c r="BU7173" s="397"/>
      <c r="BV7173" s="397"/>
      <c r="BW7173" s="397"/>
      <c r="BX7173" s="397"/>
      <c r="BY7173" s="397"/>
      <c r="BZ7173" s="397"/>
      <c r="CA7173" s="392" t="s">
        <v>413</v>
      </c>
    </row>
    <row r="7174" spans="1:80" s="189" customFormat="1" ht="15" x14ac:dyDescent="0.25">
      <c r="A7174" s="381" t="s">
        <v>458</v>
      </c>
      <c r="B7174" s="641" t="s">
        <v>34</v>
      </c>
      <c r="C7174" s="639"/>
      <c r="D7174" s="4">
        <f>VLOOKUP(E7174,'Quality Code'!$D$4:$E$24,2,TRUE)*VLOOKUP(MROUND(F7174,10),'Quality Code'!$D$28:$E$69,2,TRUE)*VLOOKUP(COUNTA(CB7174:CB7184),'Quality Code'!$D$73:$E$93,2,TRUE)</f>
        <v>8.7499999999999994E-2</v>
      </c>
      <c r="E7174" s="14">
        <v>0.35</v>
      </c>
      <c r="F7174" s="2">
        <v>12</v>
      </c>
      <c r="G7174" s="12"/>
      <c r="H7174" s="2" t="s">
        <v>105</v>
      </c>
      <c r="I7174" s="2"/>
      <c r="J7174" s="2"/>
      <c r="K7174" s="2"/>
      <c r="L7174" s="639"/>
      <c r="M7174" s="640">
        <v>1977</v>
      </c>
      <c r="N7174" s="578" t="s">
        <v>110</v>
      </c>
      <c r="O7174" s="578"/>
      <c r="P7174" s="26"/>
      <c r="Q7174" s="26"/>
      <c r="R7174" s="26"/>
      <c r="S7174" s="26"/>
      <c r="T7174" s="26"/>
      <c r="U7174" s="26"/>
      <c r="V7174" s="10"/>
      <c r="W7174" s="10"/>
      <c r="X7174" s="10"/>
      <c r="Y7174" s="10"/>
      <c r="Z7174" s="2"/>
      <c r="AA7174" s="26"/>
      <c r="AB7174" s="26"/>
      <c r="AC7174" s="377">
        <v>2.1999999999999999E-2</v>
      </c>
      <c r="AD7174" s="406"/>
      <c r="AE7174" s="26"/>
      <c r="AF7174" s="26"/>
      <c r="AG7174" s="26"/>
      <c r="AH7174" s="26"/>
      <c r="AI7174" s="4"/>
      <c r="AJ7174" s="4"/>
      <c r="AK7174" s="26"/>
      <c r="AL7174" s="26"/>
      <c r="AM7174" s="26"/>
      <c r="AN7174" s="26"/>
      <c r="AO7174" s="26"/>
      <c r="AP7174" s="26"/>
      <c r="AQ7174" s="26"/>
      <c r="AR7174" s="26"/>
      <c r="AS7174" s="26"/>
      <c r="AT7174" s="26"/>
      <c r="AU7174" s="4"/>
      <c r="AV7174" s="4"/>
      <c r="AW7174" s="4"/>
      <c r="AX7174" s="4"/>
      <c r="AY7174" s="2"/>
      <c r="AZ7174" s="2"/>
      <c r="BA7174" s="12"/>
      <c r="BB7174" s="12"/>
      <c r="BC7174" s="12"/>
      <c r="BD7174" s="12"/>
      <c r="BE7174" s="12"/>
      <c r="BF7174" s="12"/>
      <c r="BG7174" s="12"/>
      <c r="BH7174" s="12"/>
      <c r="BI7174" s="4"/>
      <c r="BJ7174" s="12"/>
      <c r="BK7174" s="2"/>
      <c r="BL7174" s="2"/>
      <c r="BM7174" s="4"/>
      <c r="BN7174" s="12"/>
      <c r="BO7174" s="12"/>
      <c r="BP7174" s="12"/>
      <c r="BQ7174" s="4"/>
      <c r="BR7174" s="4"/>
      <c r="BS7174" s="4"/>
      <c r="BT7174" s="2"/>
      <c r="BU7174" s="9"/>
      <c r="BV7174" s="381"/>
      <c r="BW7174" s="382"/>
      <c r="BX7174" s="383"/>
      <c r="BY7174" s="383"/>
      <c r="BZ7174" s="383"/>
      <c r="CA7174" s="384" t="s">
        <v>413</v>
      </c>
      <c r="CB7174" s="411"/>
    </row>
    <row r="7175" spans="1:80" s="392" customFormat="1" ht="15" x14ac:dyDescent="0.25">
      <c r="A7175" s="385"/>
      <c r="D7175" s="700"/>
      <c r="E7175" s="397"/>
      <c r="H7175" s="401">
        <v>3</v>
      </c>
      <c r="I7175" s="401"/>
      <c r="J7175" s="401"/>
      <c r="K7175" s="401"/>
      <c r="L7175" s="675"/>
      <c r="M7175" s="672">
        <v>28243</v>
      </c>
      <c r="N7175" s="623">
        <v>0.29810144516860299</v>
      </c>
      <c r="O7175" s="624">
        <v>1.983333333333333E-3</v>
      </c>
      <c r="P7175" s="397"/>
      <c r="Q7175" s="397"/>
      <c r="R7175" s="397"/>
      <c r="S7175" s="397"/>
      <c r="T7175" s="397"/>
      <c r="U7175" s="397"/>
      <c r="V7175" s="397"/>
      <c r="W7175" s="397"/>
      <c r="X7175" s="397"/>
      <c r="Y7175" s="397"/>
      <c r="Z7175" s="397"/>
      <c r="AD7175" s="388">
        <v>5.3340000000000005</v>
      </c>
      <c r="AE7175" s="388">
        <v>0.16764000000000001</v>
      </c>
      <c r="AF7175" s="388">
        <v>0.89419176000000011</v>
      </c>
      <c r="AG7175" s="388">
        <v>0.36576000000000003</v>
      </c>
      <c r="AH7175" s="391"/>
      <c r="AI7175" s="397"/>
      <c r="AJ7175" s="397"/>
      <c r="AU7175" s="397"/>
      <c r="AV7175" s="397"/>
      <c r="AW7175" s="397"/>
      <c r="AX7175" s="397"/>
      <c r="BI7175" s="397"/>
      <c r="BJ7175" s="397"/>
      <c r="BK7175" s="397"/>
      <c r="BL7175" s="397"/>
      <c r="BM7175" s="397"/>
      <c r="BN7175" s="397"/>
      <c r="BO7175" s="397"/>
      <c r="BP7175" s="397"/>
      <c r="BQ7175" s="397"/>
      <c r="BR7175" s="397"/>
      <c r="BS7175" s="397"/>
      <c r="BT7175" s="397"/>
      <c r="BU7175" s="397"/>
      <c r="BV7175" s="397"/>
      <c r="BW7175" s="397"/>
      <c r="BX7175" s="397"/>
      <c r="BY7175" s="397"/>
      <c r="BZ7175" s="397"/>
      <c r="CA7175" s="392" t="s">
        <v>413</v>
      </c>
    </row>
    <row r="7176" spans="1:80" s="392" customFormat="1" ht="15" x14ac:dyDescent="0.25">
      <c r="A7176" s="385"/>
      <c r="D7176" s="700"/>
      <c r="E7176" s="397"/>
      <c r="H7176" s="401">
        <v>3</v>
      </c>
      <c r="I7176" s="401"/>
      <c r="J7176" s="401"/>
      <c r="K7176" s="401"/>
      <c r="L7176" s="675"/>
      <c r="M7176" s="672">
        <v>28249</v>
      </c>
      <c r="N7176" s="623">
        <v>0.37602720317370358</v>
      </c>
      <c r="O7176" s="624">
        <v>2.0266666666666662E-3</v>
      </c>
      <c r="P7176" s="397"/>
      <c r="Q7176" s="397"/>
      <c r="R7176" s="397"/>
      <c r="S7176" s="397"/>
      <c r="T7176" s="397"/>
      <c r="U7176" s="397"/>
      <c r="V7176" s="397"/>
      <c r="W7176" s="397"/>
      <c r="X7176" s="397"/>
      <c r="Y7176" s="397"/>
      <c r="Z7176" s="397"/>
      <c r="AD7176" s="388">
        <v>4.8768000000000002</v>
      </c>
      <c r="AE7176" s="388">
        <v>0.176784</v>
      </c>
      <c r="AF7176" s="388">
        <v>0.86214021120000006</v>
      </c>
      <c r="AG7176" s="388">
        <v>0.42976799999999998</v>
      </c>
      <c r="AH7176" s="391"/>
      <c r="AI7176" s="397"/>
      <c r="AJ7176" s="397"/>
      <c r="AU7176" s="397"/>
      <c r="AV7176" s="397"/>
      <c r="AW7176" s="397"/>
      <c r="AX7176" s="397"/>
      <c r="BI7176" s="397"/>
      <c r="BJ7176" s="397"/>
      <c r="BK7176" s="397"/>
      <c r="BL7176" s="397"/>
      <c r="BM7176" s="397"/>
      <c r="BN7176" s="397"/>
      <c r="BO7176" s="397"/>
      <c r="BP7176" s="397"/>
      <c r="BQ7176" s="397"/>
      <c r="BR7176" s="397"/>
      <c r="BS7176" s="397"/>
      <c r="BT7176" s="397"/>
      <c r="BU7176" s="397"/>
      <c r="BV7176" s="397"/>
      <c r="BW7176" s="397"/>
      <c r="BX7176" s="397"/>
      <c r="BY7176" s="397"/>
      <c r="BZ7176" s="397"/>
      <c r="CA7176" s="392" t="s">
        <v>413</v>
      </c>
    </row>
    <row r="7177" spans="1:80" s="392" customFormat="1" ht="15" x14ac:dyDescent="0.25">
      <c r="A7177" s="385"/>
      <c r="D7177" s="700"/>
      <c r="E7177" s="397"/>
      <c r="H7177" s="401">
        <v>3</v>
      </c>
      <c r="I7177" s="401"/>
      <c r="J7177" s="401"/>
      <c r="K7177" s="401"/>
      <c r="L7177" s="675"/>
      <c r="M7177" s="672">
        <v>28255</v>
      </c>
      <c r="N7177" s="623">
        <v>0.88778690847265507</v>
      </c>
      <c r="O7177" s="624">
        <v>8.7466666666666682E-3</v>
      </c>
      <c r="P7177" s="397"/>
      <c r="Q7177" s="397"/>
      <c r="R7177" s="397"/>
      <c r="S7177" s="397"/>
      <c r="T7177" s="397"/>
      <c r="U7177" s="397"/>
      <c r="V7177" s="397"/>
      <c r="W7177" s="397"/>
      <c r="X7177" s="397"/>
      <c r="Y7177" s="397"/>
      <c r="Z7177" s="397"/>
      <c r="AD7177" s="388">
        <v>6.2484000000000002</v>
      </c>
      <c r="AE7177" s="388">
        <v>0.24384000000000003</v>
      </c>
      <c r="AF7177" s="388">
        <v>1.5236098560000002</v>
      </c>
      <c r="AG7177" s="388">
        <v>0.53339999999999999</v>
      </c>
      <c r="AH7177" s="391"/>
      <c r="AI7177" s="397"/>
      <c r="AJ7177" s="397"/>
      <c r="AU7177" s="397"/>
      <c r="AV7177" s="397"/>
      <c r="AW7177" s="397"/>
      <c r="AX7177" s="397"/>
      <c r="BI7177" s="397"/>
      <c r="BJ7177" s="397"/>
      <c r="BK7177" s="397"/>
      <c r="BL7177" s="397"/>
      <c r="BM7177" s="397"/>
      <c r="BN7177" s="397"/>
      <c r="BO7177" s="397"/>
      <c r="BP7177" s="397"/>
      <c r="BQ7177" s="397"/>
      <c r="BR7177" s="397"/>
      <c r="BS7177" s="397"/>
      <c r="BT7177" s="397"/>
      <c r="BU7177" s="397"/>
      <c r="BV7177" s="397"/>
      <c r="BW7177" s="397"/>
      <c r="BX7177" s="397"/>
      <c r="BY7177" s="397"/>
      <c r="BZ7177" s="397"/>
      <c r="CA7177" s="392" t="s">
        <v>413</v>
      </c>
    </row>
    <row r="7178" spans="1:80" s="392" customFormat="1" ht="15" x14ac:dyDescent="0.25">
      <c r="A7178" s="385"/>
      <c r="D7178" s="700"/>
      <c r="E7178" s="397"/>
      <c r="H7178" s="401">
        <v>3</v>
      </c>
      <c r="I7178" s="401"/>
      <c r="J7178" s="401"/>
      <c r="K7178" s="401"/>
      <c r="L7178" s="675"/>
      <c r="M7178" s="672">
        <v>28257</v>
      </c>
      <c r="N7178" s="623">
        <v>0.96486256729951825</v>
      </c>
      <c r="O7178" s="624">
        <v>3.2266666666666666E-2</v>
      </c>
      <c r="P7178" s="397"/>
      <c r="Q7178" s="397"/>
      <c r="R7178" s="397"/>
      <c r="S7178" s="397"/>
      <c r="T7178" s="397"/>
      <c r="U7178" s="397"/>
      <c r="V7178" s="397"/>
      <c r="W7178" s="397"/>
      <c r="X7178" s="397"/>
      <c r="Y7178" s="397"/>
      <c r="Z7178" s="397"/>
      <c r="AD7178" s="388">
        <v>6.0960000000000001</v>
      </c>
      <c r="AE7178" s="388">
        <v>0.23774400000000001</v>
      </c>
      <c r="AF7178" s="388">
        <v>1.449287424</v>
      </c>
      <c r="AG7178" s="388">
        <v>0.6339840000000001</v>
      </c>
      <c r="AH7178" s="391"/>
      <c r="AI7178" s="397"/>
      <c r="AJ7178" s="397"/>
      <c r="AU7178" s="397"/>
      <c r="AV7178" s="397"/>
      <c r="AW7178" s="397"/>
      <c r="AX7178" s="397"/>
      <c r="BI7178" s="397"/>
      <c r="BJ7178" s="397"/>
      <c r="BK7178" s="397"/>
      <c r="BL7178" s="397"/>
      <c r="BM7178" s="397"/>
      <c r="BN7178" s="397"/>
      <c r="BO7178" s="397"/>
      <c r="BP7178" s="397"/>
      <c r="BQ7178" s="397"/>
      <c r="BR7178" s="397"/>
      <c r="BS7178" s="397"/>
      <c r="BT7178" s="397"/>
      <c r="BU7178" s="397"/>
      <c r="BV7178" s="397"/>
      <c r="BW7178" s="397"/>
      <c r="BX7178" s="397"/>
      <c r="BY7178" s="397"/>
      <c r="BZ7178" s="397"/>
      <c r="CA7178" s="392" t="s">
        <v>413</v>
      </c>
    </row>
    <row r="7179" spans="1:80" s="392" customFormat="1" ht="15" x14ac:dyDescent="0.25">
      <c r="A7179" s="385"/>
      <c r="D7179" s="700"/>
      <c r="E7179" s="397"/>
      <c r="H7179" s="401">
        <v>3</v>
      </c>
      <c r="I7179" s="401"/>
      <c r="J7179" s="401"/>
      <c r="K7179" s="401"/>
      <c r="L7179" s="675"/>
      <c r="M7179" s="672">
        <v>28263</v>
      </c>
      <c r="N7179" s="623">
        <v>0.50014168319637287</v>
      </c>
      <c r="O7179" s="624">
        <v>6.4546666666666676E-3</v>
      </c>
      <c r="P7179" s="397"/>
      <c r="Q7179" s="397"/>
      <c r="R7179" s="397"/>
      <c r="S7179" s="397"/>
      <c r="T7179" s="397"/>
      <c r="U7179" s="397"/>
      <c r="V7179" s="397"/>
      <c r="W7179" s="397"/>
      <c r="X7179" s="397"/>
      <c r="Y7179" s="397"/>
      <c r="Z7179" s="397"/>
      <c r="AD7179" s="388">
        <v>6.2788800000000009</v>
      </c>
      <c r="AE7179" s="388">
        <v>0.18288000000000001</v>
      </c>
      <c r="AF7179" s="388">
        <v>1.1482815744000003</v>
      </c>
      <c r="AG7179" s="388">
        <v>0.43586400000000003</v>
      </c>
      <c r="AH7179" s="391"/>
      <c r="AI7179" s="397"/>
      <c r="AJ7179" s="397"/>
      <c r="AU7179" s="397"/>
      <c r="AV7179" s="397"/>
      <c r="AW7179" s="397"/>
      <c r="AX7179" s="397"/>
      <c r="BI7179" s="397"/>
      <c r="BJ7179" s="397"/>
      <c r="BK7179" s="397"/>
      <c r="BL7179" s="397"/>
      <c r="BM7179" s="397"/>
      <c r="BN7179" s="397"/>
      <c r="BO7179" s="397"/>
      <c r="BP7179" s="397"/>
      <c r="BQ7179" s="397"/>
      <c r="BR7179" s="397"/>
      <c r="BS7179" s="397"/>
      <c r="BT7179" s="397"/>
      <c r="BU7179" s="397"/>
      <c r="BV7179" s="397"/>
      <c r="BW7179" s="397"/>
      <c r="BX7179" s="397"/>
      <c r="BY7179" s="397"/>
      <c r="BZ7179" s="397"/>
      <c r="CA7179" s="392" t="s">
        <v>413</v>
      </c>
    </row>
    <row r="7180" spans="1:80" s="392" customFormat="1" ht="15" x14ac:dyDescent="0.25">
      <c r="A7180" s="385"/>
      <c r="D7180" s="700"/>
      <c r="E7180" s="397"/>
      <c r="H7180" s="401">
        <v>3</v>
      </c>
      <c r="I7180" s="401"/>
      <c r="J7180" s="401"/>
      <c r="K7180" s="401"/>
      <c r="L7180" s="675"/>
      <c r="M7180" s="672">
        <v>28269</v>
      </c>
      <c r="N7180" s="623">
        <v>0.46472088410314533</v>
      </c>
      <c r="O7180" s="624">
        <v>8.9833333333333328E-3</v>
      </c>
      <c r="P7180" s="397"/>
      <c r="Q7180" s="397"/>
      <c r="R7180" s="397"/>
      <c r="S7180" s="397"/>
      <c r="T7180" s="397"/>
      <c r="U7180" s="397"/>
      <c r="V7180" s="397"/>
      <c r="W7180" s="397"/>
      <c r="X7180" s="397"/>
      <c r="Y7180" s="397"/>
      <c r="Z7180" s="397"/>
      <c r="AD7180" s="388">
        <v>5.3340000000000005</v>
      </c>
      <c r="AE7180" s="388">
        <v>0.192024</v>
      </c>
      <c r="AF7180" s="388">
        <v>1.024256016</v>
      </c>
      <c r="AG7180" s="388">
        <v>0.39624000000000004</v>
      </c>
      <c r="AH7180" s="391"/>
      <c r="AI7180" s="397"/>
      <c r="AJ7180" s="397"/>
      <c r="AU7180" s="397"/>
      <c r="AV7180" s="397"/>
      <c r="AW7180" s="397"/>
      <c r="AX7180" s="397"/>
      <c r="BI7180" s="397"/>
      <c r="BJ7180" s="397"/>
      <c r="BK7180" s="397"/>
      <c r="BL7180" s="397"/>
      <c r="BM7180" s="397"/>
      <c r="BN7180" s="397"/>
      <c r="BO7180" s="397"/>
      <c r="BP7180" s="397"/>
      <c r="BQ7180" s="397"/>
      <c r="BR7180" s="397"/>
      <c r="BS7180" s="397"/>
      <c r="BT7180" s="397"/>
      <c r="BU7180" s="397"/>
      <c r="BV7180" s="397"/>
      <c r="BW7180" s="397"/>
      <c r="BX7180" s="397"/>
      <c r="BY7180" s="397"/>
      <c r="BZ7180" s="397"/>
      <c r="CA7180" s="392" t="s">
        <v>413</v>
      </c>
    </row>
    <row r="7181" spans="1:80" s="392" customFormat="1" ht="15" x14ac:dyDescent="0.25">
      <c r="A7181" s="385"/>
      <c r="D7181" s="700"/>
      <c r="E7181" s="397"/>
      <c r="H7181" s="401">
        <v>3</v>
      </c>
      <c r="I7181" s="401"/>
      <c r="J7181" s="401"/>
      <c r="K7181" s="401"/>
      <c r="L7181" s="675"/>
      <c r="M7181" s="672">
        <v>28276</v>
      </c>
      <c r="N7181" s="623">
        <v>0.34627373193539251</v>
      </c>
      <c r="O7181" s="624">
        <v>4.5599999999999998E-3</v>
      </c>
      <c r="P7181" s="397"/>
      <c r="Q7181" s="397"/>
      <c r="R7181" s="397"/>
      <c r="S7181" s="397"/>
      <c r="T7181" s="397"/>
      <c r="U7181" s="397"/>
      <c r="V7181" s="397"/>
      <c r="W7181" s="397"/>
      <c r="X7181" s="397"/>
      <c r="Y7181" s="397"/>
      <c r="Z7181" s="397"/>
      <c r="AD7181" s="388">
        <v>5.4864000000000006</v>
      </c>
      <c r="AE7181" s="388">
        <v>0.16764000000000001</v>
      </c>
      <c r="AF7181" s="388">
        <v>0.91974009600000017</v>
      </c>
      <c r="AG7181" s="388">
        <v>0.38709600000000005</v>
      </c>
      <c r="AH7181" s="391"/>
      <c r="AI7181" s="397"/>
      <c r="AJ7181" s="397"/>
      <c r="AU7181" s="397"/>
      <c r="AV7181" s="397"/>
      <c r="AW7181" s="397"/>
      <c r="AX7181" s="397"/>
      <c r="BI7181" s="397"/>
      <c r="BJ7181" s="397"/>
      <c r="BK7181" s="397"/>
      <c r="BL7181" s="397"/>
      <c r="BM7181" s="397"/>
      <c r="BN7181" s="397"/>
      <c r="BO7181" s="397"/>
      <c r="BP7181" s="397"/>
      <c r="BQ7181" s="397"/>
      <c r="BR7181" s="397"/>
      <c r="BS7181" s="397"/>
      <c r="BT7181" s="397"/>
      <c r="BU7181" s="397"/>
      <c r="BV7181" s="397"/>
      <c r="BW7181" s="397"/>
      <c r="BX7181" s="397"/>
      <c r="BY7181" s="397"/>
      <c r="BZ7181" s="397"/>
      <c r="CA7181" s="392" t="s">
        <v>413</v>
      </c>
    </row>
    <row r="7182" spans="1:80" s="392" customFormat="1" ht="15" x14ac:dyDescent="0.25">
      <c r="A7182" s="385"/>
      <c r="D7182" s="700"/>
      <c r="E7182" s="397"/>
      <c r="H7182" s="401">
        <v>3</v>
      </c>
      <c r="I7182" s="401"/>
      <c r="J7182" s="401"/>
      <c r="K7182" s="401"/>
      <c r="L7182" s="675"/>
      <c r="M7182" s="672">
        <v>28283</v>
      </c>
      <c r="N7182" s="623">
        <v>0.27458203457069991</v>
      </c>
      <c r="O7182" s="624">
        <v>6.1833333333333332E-3</v>
      </c>
      <c r="P7182" s="397"/>
      <c r="Q7182" s="397"/>
      <c r="R7182" s="397"/>
      <c r="S7182" s="397"/>
      <c r="T7182" s="397"/>
      <c r="U7182" s="397"/>
      <c r="V7182" s="397"/>
      <c r="W7182" s="397"/>
      <c r="X7182" s="397"/>
      <c r="Y7182" s="397"/>
      <c r="Z7182" s="397"/>
      <c r="AD7182" s="388">
        <v>5.3340000000000005</v>
      </c>
      <c r="AE7182" s="388">
        <v>0.155448</v>
      </c>
      <c r="AF7182" s="388">
        <v>0.82915963200000009</v>
      </c>
      <c r="AG7182" s="388">
        <v>0.32918400000000003</v>
      </c>
      <c r="AH7182" s="391"/>
      <c r="AI7182" s="397"/>
      <c r="AJ7182" s="397"/>
      <c r="AU7182" s="397"/>
      <c r="AV7182" s="397"/>
      <c r="AW7182" s="397"/>
      <c r="AX7182" s="397"/>
      <c r="BI7182" s="397"/>
      <c r="BJ7182" s="397"/>
      <c r="BK7182" s="397"/>
      <c r="BL7182" s="397"/>
      <c r="BM7182" s="397"/>
      <c r="BN7182" s="397"/>
      <c r="BO7182" s="397"/>
      <c r="BP7182" s="397"/>
      <c r="BQ7182" s="397"/>
      <c r="BR7182" s="397"/>
      <c r="BS7182" s="397"/>
      <c r="BT7182" s="397"/>
      <c r="BU7182" s="397"/>
      <c r="BV7182" s="397"/>
      <c r="BW7182" s="397"/>
      <c r="BX7182" s="397"/>
      <c r="BY7182" s="397"/>
      <c r="BZ7182" s="397"/>
      <c r="CA7182" s="392" t="s">
        <v>413</v>
      </c>
    </row>
    <row r="7183" spans="1:80" s="392" customFormat="1" ht="15" x14ac:dyDescent="0.25">
      <c r="A7183" s="385"/>
      <c r="D7183" s="700"/>
      <c r="E7183" s="397"/>
      <c r="H7183" s="401">
        <v>3</v>
      </c>
      <c r="I7183" s="401"/>
      <c r="J7183" s="401"/>
      <c r="K7183" s="401"/>
      <c r="L7183" s="675"/>
      <c r="M7183" s="672">
        <v>28292</v>
      </c>
      <c r="N7183" s="623">
        <v>0.1765372626806461</v>
      </c>
      <c r="O7183" s="624">
        <v>1.3066666666666667E-3</v>
      </c>
      <c r="P7183" s="397"/>
      <c r="Q7183" s="397"/>
      <c r="R7183" s="397"/>
      <c r="S7183" s="397"/>
      <c r="T7183" s="397"/>
      <c r="U7183" s="397"/>
      <c r="V7183" s="397"/>
      <c r="W7183" s="397"/>
      <c r="X7183" s="397"/>
      <c r="Y7183" s="397"/>
      <c r="Z7183" s="397"/>
      <c r="AD7183" s="388">
        <v>4.2671999999999999</v>
      </c>
      <c r="AE7183" s="388">
        <v>0.13716</v>
      </c>
      <c r="AF7183" s="388">
        <v>0.58528915199999998</v>
      </c>
      <c r="AG7183" s="388">
        <v>0.30480000000000002</v>
      </c>
      <c r="AH7183" s="391"/>
      <c r="AI7183" s="397"/>
      <c r="AJ7183" s="397"/>
      <c r="AU7183" s="397"/>
      <c r="AV7183" s="397"/>
      <c r="AW7183" s="397"/>
      <c r="AX7183" s="397"/>
      <c r="BI7183" s="397"/>
      <c r="BJ7183" s="397"/>
      <c r="BK7183" s="397"/>
      <c r="BL7183" s="397"/>
      <c r="BM7183" s="397"/>
      <c r="BN7183" s="397"/>
      <c r="BO7183" s="397"/>
      <c r="BP7183" s="397"/>
      <c r="BQ7183" s="397"/>
      <c r="BR7183" s="397"/>
      <c r="BS7183" s="397"/>
      <c r="BT7183" s="397"/>
      <c r="BU7183" s="397"/>
      <c r="BV7183" s="397"/>
      <c r="BW7183" s="397"/>
      <c r="BX7183" s="397"/>
      <c r="BY7183" s="397"/>
      <c r="BZ7183" s="397"/>
      <c r="CA7183" s="392" t="s">
        <v>413</v>
      </c>
    </row>
    <row r="7184" spans="1:80" s="392" customFormat="1" ht="15" x14ac:dyDescent="0.25">
      <c r="A7184" s="385"/>
      <c r="D7184" s="700"/>
      <c r="E7184" s="397"/>
      <c r="H7184" s="401">
        <v>3</v>
      </c>
      <c r="I7184" s="401"/>
      <c r="J7184" s="401"/>
      <c r="K7184" s="401"/>
      <c r="L7184" s="675"/>
      <c r="M7184" s="672">
        <v>28296</v>
      </c>
      <c r="N7184" s="623">
        <v>0.14536695947860584</v>
      </c>
      <c r="O7184" s="624">
        <v>1.9600000000000004E-3</v>
      </c>
      <c r="P7184" s="397"/>
      <c r="Q7184" s="397"/>
      <c r="R7184" s="397"/>
      <c r="S7184" s="397"/>
      <c r="T7184" s="397"/>
      <c r="U7184" s="397"/>
      <c r="V7184" s="397"/>
      <c r="W7184" s="397"/>
      <c r="X7184" s="397"/>
      <c r="Y7184" s="397"/>
      <c r="Z7184" s="397"/>
      <c r="AD7184" s="388">
        <v>4.2671999999999999</v>
      </c>
      <c r="AE7184" s="388">
        <v>0.12801599999999999</v>
      </c>
      <c r="AF7184" s="388">
        <v>0.54626987519999992</v>
      </c>
      <c r="AG7184" s="388">
        <v>0.28955999999999998</v>
      </c>
      <c r="AH7184" s="391"/>
      <c r="AI7184" s="397"/>
      <c r="AJ7184" s="397"/>
      <c r="AU7184" s="397"/>
      <c r="AV7184" s="397"/>
      <c r="AW7184" s="397"/>
      <c r="AX7184" s="397"/>
      <c r="BI7184" s="397"/>
      <c r="BJ7184" s="397"/>
      <c r="BK7184" s="397"/>
      <c r="BL7184" s="397"/>
      <c r="BM7184" s="397"/>
      <c r="BN7184" s="397"/>
      <c r="BO7184" s="397"/>
      <c r="BP7184" s="397"/>
      <c r="BQ7184" s="397"/>
      <c r="BR7184" s="397"/>
      <c r="BS7184" s="397"/>
      <c r="BT7184" s="397"/>
      <c r="BU7184" s="397"/>
      <c r="BV7184" s="397"/>
      <c r="BW7184" s="397"/>
      <c r="BX7184" s="397"/>
      <c r="BY7184" s="397"/>
      <c r="BZ7184" s="397"/>
      <c r="CA7184" s="392" t="s">
        <v>413</v>
      </c>
    </row>
    <row r="7185" spans="1:80" s="392" customFormat="1" ht="15" x14ac:dyDescent="0.25">
      <c r="A7185" s="385"/>
      <c r="D7185" s="700"/>
      <c r="E7185" s="397"/>
      <c r="H7185" s="401">
        <v>3</v>
      </c>
      <c r="I7185" s="401"/>
      <c r="J7185" s="401"/>
      <c r="K7185" s="401"/>
      <c r="L7185" s="675"/>
      <c r="M7185" s="672">
        <v>28301</v>
      </c>
      <c r="N7185" s="623">
        <v>8.2176253896287896E-2</v>
      </c>
      <c r="O7185" s="624">
        <v>1.4733333333333332E-3</v>
      </c>
      <c r="P7185" s="397"/>
      <c r="Q7185" s="397"/>
      <c r="R7185" s="397"/>
      <c r="S7185" s="397"/>
      <c r="T7185" s="397"/>
      <c r="U7185" s="397"/>
      <c r="V7185" s="397"/>
      <c r="W7185" s="397"/>
      <c r="X7185" s="397"/>
      <c r="Y7185" s="397"/>
      <c r="Z7185" s="397"/>
      <c r="AD7185" s="388">
        <v>3.9624000000000001</v>
      </c>
      <c r="AE7185" s="388">
        <v>0.112776</v>
      </c>
      <c r="AF7185" s="388">
        <v>0.44686362239999999</v>
      </c>
      <c r="AG7185" s="388">
        <v>0.20726400000000003</v>
      </c>
      <c r="AH7185" s="391"/>
      <c r="AI7185" s="397"/>
      <c r="AJ7185" s="397"/>
      <c r="AU7185" s="397"/>
      <c r="AV7185" s="397"/>
      <c r="AW7185" s="397"/>
      <c r="AX7185" s="397"/>
      <c r="BI7185" s="397"/>
      <c r="BJ7185" s="397"/>
      <c r="BK7185" s="397"/>
      <c r="BL7185" s="397"/>
      <c r="BM7185" s="397"/>
      <c r="BN7185" s="397"/>
      <c r="BO7185" s="397"/>
      <c r="BP7185" s="397"/>
      <c r="BQ7185" s="397"/>
      <c r="BR7185" s="397"/>
      <c r="BS7185" s="397"/>
      <c r="BT7185" s="397"/>
      <c r="BU7185" s="397"/>
      <c r="BV7185" s="397"/>
      <c r="BW7185" s="397"/>
      <c r="BX7185" s="397"/>
      <c r="BY7185" s="397"/>
      <c r="BZ7185" s="397"/>
      <c r="CA7185" s="392" t="s">
        <v>413</v>
      </c>
    </row>
    <row r="7186" spans="1:80" s="392" customFormat="1" ht="15" x14ac:dyDescent="0.25">
      <c r="A7186" s="385"/>
      <c r="D7186" s="700"/>
      <c r="E7186" s="397"/>
      <c r="H7186" s="401">
        <v>3</v>
      </c>
      <c r="I7186" s="401"/>
      <c r="J7186" s="401"/>
      <c r="K7186" s="401"/>
      <c r="L7186" s="675"/>
      <c r="M7186" s="672">
        <v>28304</v>
      </c>
      <c r="N7186" s="623">
        <v>7.1408330971946724E-2</v>
      </c>
      <c r="O7186" s="624">
        <v>1.2999999999999999E-3</v>
      </c>
      <c r="P7186" s="397"/>
      <c r="Q7186" s="397"/>
      <c r="R7186" s="397"/>
      <c r="S7186" s="397"/>
      <c r="T7186" s="397"/>
      <c r="U7186" s="397"/>
      <c r="V7186" s="397"/>
      <c r="W7186" s="397"/>
      <c r="X7186" s="397"/>
      <c r="Y7186" s="397"/>
      <c r="Z7186" s="397"/>
      <c r="AD7186" s="388">
        <v>3.9624000000000001</v>
      </c>
      <c r="AE7186" s="388">
        <v>8.8391999999999998E-2</v>
      </c>
      <c r="AF7186" s="388">
        <v>0.35024446079999999</v>
      </c>
      <c r="AG7186" s="388">
        <v>0.18897600000000001</v>
      </c>
      <c r="AH7186" s="391"/>
      <c r="AI7186" s="397"/>
      <c r="AJ7186" s="397"/>
      <c r="AU7186" s="397"/>
      <c r="AV7186" s="397"/>
      <c r="AW7186" s="397"/>
      <c r="AX7186" s="397"/>
      <c r="BI7186" s="397"/>
      <c r="BJ7186" s="397"/>
      <c r="BK7186" s="397"/>
      <c r="BL7186" s="397"/>
      <c r="BM7186" s="397"/>
      <c r="BN7186" s="397"/>
      <c r="BO7186" s="397"/>
      <c r="BP7186" s="397"/>
      <c r="BQ7186" s="397"/>
      <c r="BR7186" s="397"/>
      <c r="BS7186" s="397"/>
      <c r="BT7186" s="397"/>
      <c r="BU7186" s="397"/>
      <c r="BV7186" s="397"/>
      <c r="BW7186" s="397"/>
      <c r="BX7186" s="397"/>
      <c r="BY7186" s="397"/>
      <c r="BZ7186" s="397"/>
      <c r="CA7186" s="392" t="s">
        <v>413</v>
      </c>
    </row>
    <row r="7187" spans="1:80" s="189" customFormat="1" ht="15" x14ac:dyDescent="0.25">
      <c r="A7187" s="381" t="s">
        <v>459</v>
      </c>
      <c r="B7187" s="641"/>
      <c r="C7187" s="639"/>
      <c r="D7187" s="4">
        <f>VLOOKUP(E7187,'Quality Code'!$D$4:$E$24,2,TRUE)*VLOOKUP(MROUND(F7187,10),'Quality Code'!$D$28:$E$69,2,TRUE)*VLOOKUP(COUNTA(CB7187:CB7197),'Quality Code'!$D$73:$E$93,2,TRUE)</f>
        <v>8.7499999999999994E-2</v>
      </c>
      <c r="E7187" s="14">
        <v>0.35</v>
      </c>
      <c r="F7187" s="2">
        <v>9</v>
      </c>
      <c r="G7187" s="12"/>
      <c r="H7187" s="2" t="s">
        <v>105</v>
      </c>
      <c r="I7187" s="2"/>
      <c r="J7187" s="2"/>
      <c r="K7187" s="2"/>
      <c r="L7187" s="639"/>
      <c r="M7187" s="640">
        <v>1977</v>
      </c>
      <c r="N7187" s="578" t="s">
        <v>110</v>
      </c>
      <c r="O7187" s="578"/>
      <c r="P7187" s="26"/>
      <c r="Q7187" s="26"/>
      <c r="R7187" s="26"/>
      <c r="S7187" s="26"/>
      <c r="T7187" s="26"/>
      <c r="U7187" s="26"/>
      <c r="V7187" s="10"/>
      <c r="W7187" s="10"/>
      <c r="X7187" s="10"/>
      <c r="Y7187" s="10"/>
      <c r="Z7187" s="2"/>
      <c r="AA7187" s="26"/>
      <c r="AB7187" s="26"/>
      <c r="AC7187" s="377">
        <v>2.8000000000000001E-2</v>
      </c>
      <c r="AD7187" s="406"/>
      <c r="AE7187" s="26"/>
      <c r="AF7187" s="26"/>
      <c r="AG7187" s="26"/>
      <c r="AH7187" s="26"/>
      <c r="AI7187" s="4"/>
      <c r="AJ7187" s="4"/>
      <c r="AK7187" s="26"/>
      <c r="AL7187" s="26"/>
      <c r="AM7187" s="26"/>
      <c r="AN7187" s="26"/>
      <c r="AO7187" s="26"/>
      <c r="AP7187" s="26"/>
      <c r="AQ7187" s="26"/>
      <c r="AR7187" s="26"/>
      <c r="AS7187" s="26"/>
      <c r="AT7187" s="26"/>
      <c r="AU7187" s="4"/>
      <c r="AV7187" s="4"/>
      <c r="AW7187" s="4"/>
      <c r="AX7187" s="4"/>
      <c r="AY7187" s="2"/>
      <c r="AZ7187" s="2"/>
      <c r="BA7187" s="12"/>
      <c r="BB7187" s="12"/>
      <c r="BC7187" s="12"/>
      <c r="BD7187" s="12"/>
      <c r="BE7187" s="12"/>
      <c r="BF7187" s="12"/>
      <c r="BG7187" s="12"/>
      <c r="BH7187" s="12"/>
      <c r="BI7187" s="4"/>
      <c r="BJ7187" s="12"/>
      <c r="BK7187" s="2"/>
      <c r="BL7187" s="2"/>
      <c r="BM7187" s="4"/>
      <c r="BN7187" s="12"/>
      <c r="BO7187" s="12"/>
      <c r="BP7187" s="12"/>
      <c r="BQ7187" s="4"/>
      <c r="BR7187" s="4"/>
      <c r="BS7187" s="4"/>
      <c r="BT7187" s="2"/>
      <c r="BU7187" s="9"/>
      <c r="BV7187" s="381"/>
      <c r="BW7187" s="382"/>
      <c r="BX7187" s="383"/>
      <c r="BY7187" s="383"/>
      <c r="BZ7187" s="383"/>
      <c r="CA7187" s="384" t="s">
        <v>413</v>
      </c>
      <c r="CB7187" s="411"/>
    </row>
    <row r="7188" spans="1:80" s="392" customFormat="1" ht="15" x14ac:dyDescent="0.25">
      <c r="A7188" s="385"/>
      <c r="D7188" s="700"/>
      <c r="E7188" s="397"/>
      <c r="H7188" s="401">
        <v>3</v>
      </c>
      <c r="I7188" s="401"/>
      <c r="J7188" s="401"/>
      <c r="K7188" s="401"/>
      <c r="L7188" s="675"/>
      <c r="M7188" s="672">
        <v>28249</v>
      </c>
      <c r="N7188" s="623">
        <v>0.43015018418815526</v>
      </c>
      <c r="O7188" s="624">
        <v>9.1866666666666676E-3</v>
      </c>
      <c r="P7188" s="397"/>
      <c r="Q7188" s="397"/>
      <c r="R7188" s="397"/>
      <c r="S7188" s="397"/>
      <c r="T7188" s="397"/>
      <c r="U7188" s="397"/>
      <c r="V7188" s="397"/>
      <c r="W7188" s="397"/>
      <c r="X7188" s="397"/>
      <c r="Y7188" s="397"/>
      <c r="Z7188" s="397"/>
      <c r="AD7188" s="388">
        <v>3.9624000000000001</v>
      </c>
      <c r="AE7188" s="388">
        <v>0.155448</v>
      </c>
      <c r="AF7188" s="388">
        <v>0.61594715519999998</v>
      </c>
      <c r="AG7188" s="388">
        <v>0.44500800000000001</v>
      </c>
      <c r="AH7188" s="391"/>
      <c r="AI7188" s="397"/>
      <c r="AJ7188" s="397"/>
      <c r="AU7188" s="397"/>
      <c r="AV7188" s="397"/>
      <c r="AW7188" s="397"/>
      <c r="AX7188" s="397"/>
      <c r="BI7188" s="397"/>
      <c r="BJ7188" s="397"/>
      <c r="BK7188" s="397"/>
      <c r="BL7188" s="397"/>
      <c r="BM7188" s="397"/>
      <c r="BN7188" s="397"/>
      <c r="BO7188" s="397"/>
      <c r="BP7188" s="397"/>
      <c r="BQ7188" s="397"/>
      <c r="BR7188" s="397"/>
      <c r="BS7188" s="397"/>
      <c r="BT7188" s="397"/>
      <c r="BU7188" s="397"/>
      <c r="BV7188" s="397"/>
      <c r="BW7188" s="397"/>
      <c r="BX7188" s="397"/>
      <c r="BY7188" s="397"/>
      <c r="BZ7188" s="397"/>
      <c r="CA7188" s="392" t="s">
        <v>413</v>
      </c>
    </row>
    <row r="7189" spans="1:80" s="392" customFormat="1" ht="15" x14ac:dyDescent="0.25">
      <c r="A7189" s="385"/>
      <c r="D7189" s="700"/>
      <c r="E7189" s="397"/>
      <c r="H7189" s="401">
        <v>3</v>
      </c>
      <c r="I7189" s="401"/>
      <c r="J7189" s="401"/>
      <c r="K7189" s="401"/>
      <c r="L7189" s="675"/>
      <c r="M7189" s="672">
        <v>28255</v>
      </c>
      <c r="N7189" s="623">
        <v>0.8517993765939359</v>
      </c>
      <c r="O7189" s="624">
        <v>8.6999999999999994E-3</v>
      </c>
      <c r="P7189" s="397"/>
      <c r="Q7189" s="397"/>
      <c r="R7189" s="397"/>
      <c r="S7189" s="397"/>
      <c r="T7189" s="397"/>
      <c r="U7189" s="397"/>
      <c r="V7189" s="397"/>
      <c r="W7189" s="397"/>
      <c r="X7189" s="397"/>
      <c r="Y7189" s="397"/>
      <c r="Z7189" s="397"/>
      <c r="AD7189" s="388">
        <v>4.5720000000000001</v>
      </c>
      <c r="AE7189" s="388">
        <v>0.23164800000000002</v>
      </c>
      <c r="AF7189" s="388">
        <v>1.0590946560000001</v>
      </c>
      <c r="AG7189" s="388">
        <v>0.6339840000000001</v>
      </c>
      <c r="AH7189" s="391"/>
      <c r="AI7189" s="397"/>
      <c r="AJ7189" s="397"/>
      <c r="AU7189" s="397"/>
      <c r="AV7189" s="397"/>
      <c r="AW7189" s="397"/>
      <c r="AX7189" s="397"/>
      <c r="BI7189" s="397"/>
      <c r="BJ7189" s="397"/>
      <c r="BK7189" s="397"/>
      <c r="BL7189" s="397"/>
      <c r="BM7189" s="397"/>
      <c r="BN7189" s="397"/>
      <c r="BO7189" s="397"/>
      <c r="BP7189" s="397"/>
      <c r="BQ7189" s="397"/>
      <c r="BR7189" s="397"/>
      <c r="BS7189" s="397"/>
      <c r="BT7189" s="397"/>
      <c r="BU7189" s="397"/>
      <c r="BV7189" s="397"/>
      <c r="BW7189" s="397"/>
      <c r="BX7189" s="397"/>
      <c r="BY7189" s="397"/>
      <c r="BZ7189" s="397"/>
      <c r="CA7189" s="392" t="s">
        <v>413</v>
      </c>
    </row>
    <row r="7190" spans="1:80" s="392" customFormat="1" ht="15" x14ac:dyDescent="0.25">
      <c r="A7190" s="385"/>
      <c r="D7190" s="700"/>
      <c r="E7190" s="397"/>
      <c r="H7190" s="401">
        <v>3</v>
      </c>
      <c r="I7190" s="401"/>
      <c r="J7190" s="401"/>
      <c r="K7190" s="401"/>
      <c r="L7190" s="675"/>
      <c r="M7190" s="672">
        <v>28257</v>
      </c>
      <c r="N7190" s="623">
        <v>0.68461320487390198</v>
      </c>
      <c r="O7190" s="624">
        <v>9.5199999999999989E-3</v>
      </c>
      <c r="P7190" s="397"/>
      <c r="Q7190" s="397"/>
      <c r="R7190" s="397"/>
      <c r="S7190" s="397"/>
      <c r="T7190" s="397"/>
      <c r="U7190" s="397"/>
      <c r="V7190" s="397"/>
      <c r="W7190" s="397"/>
      <c r="X7190" s="397"/>
      <c r="Y7190" s="397"/>
      <c r="Z7190" s="397"/>
      <c r="AD7190" s="388">
        <v>4.2671999999999999</v>
      </c>
      <c r="AE7190" s="388">
        <v>0.210312</v>
      </c>
      <c r="AF7190" s="388">
        <v>0.8974433664</v>
      </c>
      <c r="AG7190" s="388">
        <v>0.58826400000000001</v>
      </c>
      <c r="AH7190" s="391"/>
      <c r="AI7190" s="397"/>
      <c r="AJ7190" s="397"/>
      <c r="AU7190" s="397"/>
      <c r="AV7190" s="397"/>
      <c r="AW7190" s="397"/>
      <c r="AX7190" s="397"/>
      <c r="BI7190" s="397"/>
      <c r="BJ7190" s="397"/>
      <c r="BK7190" s="397"/>
      <c r="BL7190" s="397"/>
      <c r="BM7190" s="397"/>
      <c r="BN7190" s="397"/>
      <c r="BO7190" s="397"/>
      <c r="BP7190" s="397"/>
      <c r="BQ7190" s="397"/>
      <c r="BR7190" s="397"/>
      <c r="BS7190" s="397"/>
      <c r="BT7190" s="397"/>
      <c r="BU7190" s="397"/>
      <c r="BV7190" s="397"/>
      <c r="BW7190" s="397"/>
      <c r="BX7190" s="397"/>
      <c r="BY7190" s="397"/>
      <c r="BZ7190" s="397"/>
      <c r="CA7190" s="392" t="s">
        <v>413</v>
      </c>
    </row>
    <row r="7191" spans="1:80" s="392" customFormat="1" ht="15" x14ac:dyDescent="0.25">
      <c r="A7191" s="385"/>
      <c r="D7191" s="700"/>
      <c r="E7191" s="397"/>
      <c r="H7191" s="401">
        <v>3</v>
      </c>
      <c r="I7191" s="401"/>
      <c r="J7191" s="401"/>
      <c r="K7191" s="401"/>
      <c r="L7191" s="675"/>
      <c r="M7191" s="672">
        <v>28263</v>
      </c>
      <c r="N7191" s="623">
        <v>0.50920940776423917</v>
      </c>
      <c r="O7191" s="624">
        <v>1.1800000000000001E-2</v>
      </c>
      <c r="P7191" s="397"/>
      <c r="Q7191" s="397"/>
      <c r="R7191" s="397"/>
      <c r="S7191" s="397"/>
      <c r="T7191" s="397"/>
      <c r="U7191" s="397"/>
      <c r="V7191" s="397"/>
      <c r="W7191" s="397"/>
      <c r="X7191" s="397"/>
      <c r="Y7191" s="397"/>
      <c r="Z7191" s="397"/>
      <c r="AD7191" s="388">
        <v>4.5720000000000001</v>
      </c>
      <c r="AE7191" s="388">
        <v>0.15849600000000003</v>
      </c>
      <c r="AF7191" s="388">
        <v>0.72464371200000011</v>
      </c>
      <c r="AG7191" s="388">
        <v>0.46024800000000005</v>
      </c>
      <c r="AH7191" s="391"/>
      <c r="AI7191" s="397"/>
      <c r="AJ7191" s="397"/>
      <c r="AU7191" s="397"/>
      <c r="AV7191" s="397"/>
      <c r="AW7191" s="397"/>
      <c r="AX7191" s="397"/>
      <c r="BI7191" s="397"/>
      <c r="BJ7191" s="397"/>
      <c r="BK7191" s="397"/>
      <c r="BL7191" s="397"/>
      <c r="BM7191" s="397"/>
      <c r="BN7191" s="397"/>
      <c r="BO7191" s="397"/>
      <c r="BP7191" s="397"/>
      <c r="BQ7191" s="397"/>
      <c r="BR7191" s="397"/>
      <c r="BS7191" s="397"/>
      <c r="BT7191" s="397"/>
      <c r="BU7191" s="397"/>
      <c r="BV7191" s="397"/>
      <c r="BW7191" s="397"/>
      <c r="BX7191" s="397"/>
      <c r="BY7191" s="397"/>
      <c r="BZ7191" s="397"/>
      <c r="CA7191" s="392" t="s">
        <v>413</v>
      </c>
    </row>
    <row r="7192" spans="1:80" s="392" customFormat="1" ht="15" x14ac:dyDescent="0.25">
      <c r="A7192" s="385"/>
      <c r="D7192" s="700"/>
      <c r="E7192" s="397"/>
      <c r="H7192" s="401">
        <v>3</v>
      </c>
      <c r="I7192" s="401"/>
      <c r="J7192" s="401"/>
      <c r="K7192" s="401"/>
      <c r="L7192" s="675"/>
      <c r="M7192" s="672">
        <v>28269</v>
      </c>
      <c r="N7192" s="623">
        <v>0.39472938509492772</v>
      </c>
      <c r="O7192" s="624">
        <v>7.4666666666666666E-3</v>
      </c>
      <c r="P7192" s="397"/>
      <c r="Q7192" s="397"/>
      <c r="R7192" s="397"/>
      <c r="S7192" s="397"/>
      <c r="T7192" s="397"/>
      <c r="U7192" s="397"/>
      <c r="V7192" s="397"/>
      <c r="W7192" s="397"/>
      <c r="X7192" s="397"/>
      <c r="Y7192" s="397"/>
      <c r="Z7192" s="397"/>
      <c r="AD7192" s="388">
        <v>4.2671999999999999</v>
      </c>
      <c r="AE7192" s="388">
        <v>0.15849600000000003</v>
      </c>
      <c r="AF7192" s="388">
        <v>0.67633413120000008</v>
      </c>
      <c r="AG7192" s="388">
        <v>0.42976799999999998</v>
      </c>
      <c r="AH7192" s="391"/>
      <c r="AI7192" s="397"/>
      <c r="AJ7192" s="397"/>
      <c r="AU7192" s="397"/>
      <c r="AV7192" s="397"/>
      <c r="AW7192" s="397"/>
      <c r="AX7192" s="397"/>
      <c r="BI7192" s="397"/>
      <c r="BJ7192" s="397"/>
      <c r="BK7192" s="397"/>
      <c r="BL7192" s="397"/>
      <c r="BM7192" s="397"/>
      <c r="BN7192" s="397"/>
      <c r="BO7192" s="397"/>
      <c r="BP7192" s="397"/>
      <c r="BQ7192" s="397"/>
      <c r="BR7192" s="397"/>
      <c r="BS7192" s="397"/>
      <c r="BT7192" s="397"/>
      <c r="BU7192" s="397"/>
      <c r="BV7192" s="397"/>
      <c r="BW7192" s="397"/>
      <c r="BX7192" s="397"/>
      <c r="BY7192" s="397"/>
      <c r="BZ7192" s="397"/>
      <c r="CA7192" s="392" t="s">
        <v>413</v>
      </c>
    </row>
    <row r="7193" spans="1:80" s="392" customFormat="1" ht="15" x14ac:dyDescent="0.25">
      <c r="A7193" s="385"/>
      <c r="D7193" s="700"/>
      <c r="E7193" s="397"/>
      <c r="H7193" s="401">
        <v>3</v>
      </c>
      <c r="I7193" s="401"/>
      <c r="J7193" s="401"/>
      <c r="K7193" s="401"/>
      <c r="L7193" s="675"/>
      <c r="M7193" s="672">
        <v>28276</v>
      </c>
      <c r="N7193" s="623">
        <v>0.33267214508359311</v>
      </c>
      <c r="O7193" s="624">
        <v>9.5333333333333338E-4</v>
      </c>
      <c r="P7193" s="397"/>
      <c r="Q7193" s="397"/>
      <c r="R7193" s="397"/>
      <c r="S7193" s="397"/>
      <c r="T7193" s="397"/>
      <c r="U7193" s="397"/>
      <c r="V7193" s="397"/>
      <c r="W7193" s="397"/>
      <c r="X7193" s="397"/>
      <c r="Y7193" s="397"/>
      <c r="Z7193" s="397"/>
      <c r="AD7193" s="388">
        <v>3.9624000000000001</v>
      </c>
      <c r="AE7193" s="388">
        <v>0.15849600000000003</v>
      </c>
      <c r="AF7193" s="388">
        <v>0.62802455040000016</v>
      </c>
      <c r="AG7193" s="388">
        <v>0.40843200000000002</v>
      </c>
      <c r="AH7193" s="391"/>
      <c r="AI7193" s="397"/>
      <c r="AJ7193" s="397"/>
      <c r="AU7193" s="397"/>
      <c r="AV7193" s="397"/>
      <c r="AW7193" s="397"/>
      <c r="AX7193" s="397"/>
      <c r="BI7193" s="397"/>
      <c r="BJ7193" s="397"/>
      <c r="BK7193" s="397"/>
      <c r="BL7193" s="397"/>
      <c r="BM7193" s="397"/>
      <c r="BN7193" s="397"/>
      <c r="BO7193" s="397"/>
      <c r="BP7193" s="397"/>
      <c r="BQ7193" s="397"/>
      <c r="BR7193" s="397"/>
      <c r="BS7193" s="397"/>
      <c r="BT7193" s="397"/>
      <c r="BU7193" s="397"/>
      <c r="BV7193" s="397"/>
      <c r="BW7193" s="397"/>
      <c r="BX7193" s="397"/>
      <c r="BY7193" s="397"/>
      <c r="BZ7193" s="397"/>
      <c r="CA7193" s="392" t="s">
        <v>413</v>
      </c>
    </row>
    <row r="7194" spans="1:80" s="392" customFormat="1" ht="15" x14ac:dyDescent="0.25">
      <c r="A7194" s="385"/>
      <c r="D7194" s="700"/>
      <c r="E7194" s="397"/>
      <c r="H7194" s="401">
        <v>3</v>
      </c>
      <c r="I7194" s="401"/>
      <c r="J7194" s="401"/>
      <c r="K7194" s="401"/>
      <c r="L7194" s="675"/>
      <c r="M7194" s="672">
        <v>28283</v>
      </c>
      <c r="N7194" s="623">
        <v>0.26381411164635876</v>
      </c>
      <c r="O7194" s="624">
        <v>4.4999999999999997E-3</v>
      </c>
      <c r="P7194" s="397"/>
      <c r="Q7194" s="397"/>
      <c r="R7194" s="397"/>
      <c r="S7194" s="397"/>
      <c r="T7194" s="397"/>
      <c r="U7194" s="397"/>
      <c r="V7194" s="397"/>
      <c r="W7194" s="397"/>
      <c r="X7194" s="397"/>
      <c r="Y7194" s="397"/>
      <c r="Z7194" s="397"/>
      <c r="AD7194" s="388">
        <v>4.1147999999999998</v>
      </c>
      <c r="AE7194" s="388">
        <v>0.140208</v>
      </c>
      <c r="AF7194" s="388">
        <v>0.57692787839999993</v>
      </c>
      <c r="AG7194" s="388">
        <v>0.35052</v>
      </c>
      <c r="AH7194" s="391"/>
      <c r="AI7194" s="397"/>
      <c r="AJ7194" s="397"/>
      <c r="AU7194" s="397"/>
      <c r="AV7194" s="397"/>
      <c r="AW7194" s="397"/>
      <c r="AX7194" s="397"/>
      <c r="BI7194" s="397"/>
      <c r="BJ7194" s="397"/>
      <c r="BK7194" s="397"/>
      <c r="BL7194" s="397"/>
      <c r="BM7194" s="397"/>
      <c r="BN7194" s="397"/>
      <c r="BO7194" s="397"/>
      <c r="BP7194" s="397"/>
      <c r="BQ7194" s="397"/>
      <c r="BR7194" s="397"/>
      <c r="BS7194" s="397"/>
      <c r="BT7194" s="397"/>
      <c r="BU7194" s="397"/>
      <c r="BV7194" s="397"/>
      <c r="BW7194" s="397"/>
      <c r="BX7194" s="397"/>
      <c r="BY7194" s="397"/>
      <c r="BZ7194" s="397"/>
      <c r="CA7194" s="392" t="s">
        <v>413</v>
      </c>
    </row>
    <row r="7195" spans="1:80" s="392" customFormat="1" ht="15" x14ac:dyDescent="0.25">
      <c r="A7195" s="385"/>
      <c r="D7195" s="700"/>
      <c r="E7195" s="397"/>
      <c r="H7195" s="401">
        <v>3</v>
      </c>
      <c r="I7195" s="401"/>
      <c r="J7195" s="401"/>
      <c r="K7195" s="401"/>
      <c r="L7195" s="675"/>
      <c r="M7195" s="672">
        <v>28292</v>
      </c>
      <c r="N7195" s="623">
        <v>0.11986398413148203</v>
      </c>
      <c r="O7195" s="624">
        <v>3.2066666666666667E-3</v>
      </c>
      <c r="P7195" s="397"/>
      <c r="Q7195" s="397"/>
      <c r="R7195" s="397"/>
      <c r="S7195" s="397"/>
      <c r="T7195" s="397"/>
      <c r="U7195" s="397"/>
      <c r="V7195" s="397"/>
      <c r="W7195" s="397"/>
      <c r="X7195" s="397"/>
      <c r="Y7195" s="397"/>
      <c r="Z7195" s="397"/>
      <c r="AD7195" s="388">
        <v>3.9624000000000001</v>
      </c>
      <c r="AE7195" s="388">
        <v>9.4488000000000003E-2</v>
      </c>
      <c r="AF7195" s="388">
        <v>0.37439925120000001</v>
      </c>
      <c r="AG7195" s="388">
        <v>0.25603199999999998</v>
      </c>
      <c r="AH7195" s="391"/>
      <c r="AI7195" s="397"/>
      <c r="AJ7195" s="397"/>
      <c r="AU7195" s="397"/>
      <c r="AV7195" s="397"/>
      <c r="AW7195" s="397"/>
      <c r="AX7195" s="397"/>
      <c r="BI7195" s="397"/>
      <c r="BJ7195" s="397"/>
      <c r="BK7195" s="397"/>
      <c r="BL7195" s="397"/>
      <c r="BM7195" s="397"/>
      <c r="BN7195" s="397"/>
      <c r="BO7195" s="397"/>
      <c r="BP7195" s="397"/>
      <c r="BQ7195" s="397"/>
      <c r="BR7195" s="397"/>
      <c r="BS7195" s="397"/>
      <c r="BT7195" s="397"/>
      <c r="BU7195" s="397"/>
      <c r="BV7195" s="397"/>
      <c r="BW7195" s="397"/>
      <c r="BX7195" s="397"/>
      <c r="BY7195" s="397"/>
      <c r="BZ7195" s="397"/>
      <c r="CA7195" s="392" t="s">
        <v>413</v>
      </c>
    </row>
    <row r="7196" spans="1:80" s="392" customFormat="1" ht="15" x14ac:dyDescent="0.25">
      <c r="A7196" s="385"/>
      <c r="D7196" s="700"/>
      <c r="E7196" s="397"/>
      <c r="H7196" s="401">
        <v>3</v>
      </c>
      <c r="I7196" s="401"/>
      <c r="J7196" s="401"/>
      <c r="K7196" s="401"/>
      <c r="L7196" s="675"/>
      <c r="M7196" s="672">
        <v>28296</v>
      </c>
      <c r="N7196" s="623">
        <v>0.10796259563615755</v>
      </c>
      <c r="O7196" s="624">
        <v>1.0400000000000001E-3</v>
      </c>
      <c r="P7196" s="397"/>
      <c r="Q7196" s="397"/>
      <c r="R7196" s="397"/>
      <c r="S7196" s="397"/>
      <c r="T7196" s="397"/>
      <c r="U7196" s="397"/>
      <c r="V7196" s="397"/>
      <c r="W7196" s="397"/>
      <c r="X7196" s="397"/>
      <c r="Y7196" s="397"/>
      <c r="Z7196" s="397"/>
      <c r="AD7196" s="388">
        <v>3.9624000000000001</v>
      </c>
      <c r="AE7196" s="388">
        <v>9.7536000000000012E-2</v>
      </c>
      <c r="AF7196" s="388">
        <v>0.38647664640000007</v>
      </c>
      <c r="AG7196" s="388">
        <v>0.225552</v>
      </c>
      <c r="AH7196" s="391"/>
      <c r="AI7196" s="397"/>
      <c r="AJ7196" s="397"/>
      <c r="AU7196" s="397"/>
      <c r="AV7196" s="397"/>
      <c r="AW7196" s="397"/>
      <c r="AX7196" s="397"/>
      <c r="BI7196" s="397"/>
      <c r="BJ7196" s="397"/>
      <c r="BK7196" s="397"/>
      <c r="BL7196" s="397"/>
      <c r="BM7196" s="397"/>
      <c r="BN7196" s="397"/>
      <c r="BO7196" s="397"/>
      <c r="BP7196" s="397"/>
      <c r="BQ7196" s="397"/>
      <c r="BR7196" s="397"/>
      <c r="BS7196" s="397"/>
      <c r="BT7196" s="397"/>
      <c r="BU7196" s="397"/>
      <c r="BV7196" s="397"/>
      <c r="BW7196" s="397"/>
      <c r="BX7196" s="397"/>
      <c r="BY7196" s="397"/>
      <c r="BZ7196" s="397"/>
      <c r="CA7196" s="392" t="s">
        <v>413</v>
      </c>
    </row>
    <row r="7197" spans="1:80" s="392" customFormat="1" ht="15" x14ac:dyDescent="0.25">
      <c r="A7197" s="385"/>
      <c r="D7197" s="700"/>
      <c r="E7197" s="397"/>
      <c r="H7197" s="401">
        <v>3</v>
      </c>
      <c r="I7197" s="401"/>
      <c r="J7197" s="401"/>
      <c r="K7197" s="401"/>
      <c r="L7197" s="675"/>
      <c r="M7197" s="672">
        <v>28301</v>
      </c>
      <c r="N7197" s="623">
        <v>6.8858033437234345E-2</v>
      </c>
      <c r="O7197" s="624" t="s">
        <v>71</v>
      </c>
      <c r="P7197" s="397"/>
      <c r="Q7197" s="397"/>
      <c r="R7197" s="397"/>
      <c r="S7197" s="397"/>
      <c r="T7197" s="397"/>
      <c r="U7197" s="397"/>
      <c r="V7197" s="397"/>
      <c r="W7197" s="397"/>
      <c r="X7197" s="397"/>
      <c r="Y7197" s="397"/>
      <c r="Z7197" s="397"/>
      <c r="AD7197" s="388">
        <v>3.6576000000000004</v>
      </c>
      <c r="AE7197" s="388">
        <v>7.6200000000000004E-2</v>
      </c>
      <c r="AF7197" s="388">
        <v>0.27870912000000003</v>
      </c>
      <c r="AG7197" s="388">
        <v>0.19507200000000002</v>
      </c>
      <c r="AH7197" s="391"/>
      <c r="AI7197" s="397"/>
      <c r="AJ7197" s="397"/>
      <c r="AU7197" s="397"/>
      <c r="AV7197" s="397"/>
      <c r="AW7197" s="397"/>
      <c r="AX7197" s="397"/>
      <c r="BI7197" s="397"/>
      <c r="BJ7197" s="397"/>
      <c r="BK7197" s="397"/>
      <c r="BL7197" s="397"/>
      <c r="BM7197" s="397"/>
      <c r="BN7197" s="397"/>
      <c r="BO7197" s="397"/>
      <c r="BP7197" s="397"/>
      <c r="BQ7197" s="397"/>
      <c r="BR7197" s="397"/>
      <c r="BS7197" s="397"/>
      <c r="BT7197" s="397"/>
      <c r="BU7197" s="397"/>
      <c r="BV7197" s="397"/>
      <c r="BW7197" s="397"/>
      <c r="BX7197" s="397"/>
      <c r="BY7197" s="397"/>
      <c r="BZ7197" s="397"/>
      <c r="CA7197" s="392" t="s">
        <v>413</v>
      </c>
    </row>
    <row r="7198" spans="1:80" s="392" customFormat="1" ht="15" x14ac:dyDescent="0.25">
      <c r="A7198" s="385"/>
      <c r="D7198" s="700"/>
      <c r="E7198" s="397"/>
      <c r="H7198" s="401">
        <v>3</v>
      </c>
      <c r="I7198" s="401"/>
      <c r="J7198" s="401"/>
      <c r="K7198" s="401"/>
      <c r="L7198" s="675"/>
      <c r="M7198" s="672">
        <v>28304</v>
      </c>
      <c r="N7198" s="623">
        <v>5.4406347407197506E-2</v>
      </c>
      <c r="O7198" s="624" t="s">
        <v>71</v>
      </c>
      <c r="P7198" s="397"/>
      <c r="Q7198" s="397"/>
      <c r="R7198" s="397"/>
      <c r="S7198" s="397"/>
      <c r="T7198" s="397"/>
      <c r="U7198" s="397"/>
      <c r="V7198" s="397"/>
      <c r="W7198" s="397"/>
      <c r="X7198" s="397"/>
      <c r="Y7198" s="397"/>
      <c r="Z7198" s="397"/>
      <c r="AD7198" s="388">
        <v>3.6576000000000004</v>
      </c>
      <c r="AE7198" s="388">
        <v>6.7056000000000004E-2</v>
      </c>
      <c r="AF7198" s="388">
        <v>0.24526402560000005</v>
      </c>
      <c r="AG7198" s="388">
        <v>0.16764000000000001</v>
      </c>
      <c r="AH7198" s="391"/>
      <c r="AI7198" s="397"/>
      <c r="AJ7198" s="397"/>
      <c r="AU7198" s="397"/>
      <c r="AV7198" s="397"/>
      <c r="AW7198" s="397"/>
      <c r="AX7198" s="397"/>
      <c r="BI7198" s="397"/>
      <c r="BJ7198" s="397"/>
      <c r="BK7198" s="397"/>
      <c r="BL7198" s="397"/>
      <c r="BM7198" s="397"/>
      <c r="BN7198" s="397"/>
      <c r="BO7198" s="397"/>
      <c r="BP7198" s="397"/>
      <c r="BQ7198" s="397"/>
      <c r="BR7198" s="397"/>
      <c r="BS7198" s="397"/>
      <c r="BT7198" s="397"/>
      <c r="BU7198" s="397"/>
      <c r="BV7198" s="397"/>
      <c r="BW7198" s="397"/>
      <c r="BX7198" s="397"/>
      <c r="BY7198" s="397"/>
      <c r="BZ7198" s="397"/>
      <c r="CA7198" s="392" t="s">
        <v>413</v>
      </c>
    </row>
    <row r="7199" spans="1:80" s="392" customFormat="1" ht="15" x14ac:dyDescent="0.25">
      <c r="A7199" s="385"/>
      <c r="D7199" s="700"/>
      <c r="E7199" s="397"/>
      <c r="H7199" s="401">
        <v>3</v>
      </c>
      <c r="I7199" s="401"/>
      <c r="J7199" s="401"/>
      <c r="K7199" s="401"/>
      <c r="L7199" s="675"/>
      <c r="M7199" s="672">
        <v>28309</v>
      </c>
      <c r="N7199" s="623">
        <v>2.9753471238311138E-2</v>
      </c>
      <c r="O7199" s="624" t="s">
        <v>71</v>
      </c>
      <c r="P7199" s="397"/>
      <c r="Q7199" s="397"/>
      <c r="R7199" s="397"/>
      <c r="S7199" s="397"/>
      <c r="T7199" s="397"/>
      <c r="U7199" s="397"/>
      <c r="V7199" s="397"/>
      <c r="W7199" s="397"/>
      <c r="X7199" s="397"/>
      <c r="Y7199" s="397"/>
      <c r="Z7199" s="397"/>
      <c r="AD7199" s="388">
        <v>3.6576000000000004</v>
      </c>
      <c r="AE7199" s="388">
        <v>5.7912000000000005E-2</v>
      </c>
      <c r="AF7199" s="388">
        <v>0.21181893120000003</v>
      </c>
      <c r="AG7199" s="388">
        <v>0.10972800000000001</v>
      </c>
      <c r="AH7199" s="391"/>
      <c r="AI7199" s="397"/>
      <c r="AJ7199" s="397"/>
      <c r="AU7199" s="397"/>
      <c r="AV7199" s="397"/>
      <c r="AW7199" s="397"/>
      <c r="AX7199" s="397"/>
      <c r="BI7199" s="397"/>
      <c r="BJ7199" s="397"/>
      <c r="BK7199" s="397"/>
      <c r="BL7199" s="397"/>
      <c r="BM7199" s="397"/>
      <c r="BN7199" s="397"/>
      <c r="BO7199" s="397"/>
      <c r="BP7199" s="397"/>
      <c r="BQ7199" s="397"/>
      <c r="BR7199" s="397"/>
      <c r="BS7199" s="397"/>
      <c r="BT7199" s="397"/>
      <c r="BU7199" s="397"/>
      <c r="BV7199" s="397"/>
      <c r="BW7199" s="397"/>
      <c r="BX7199" s="397"/>
      <c r="BY7199" s="397"/>
      <c r="BZ7199" s="397"/>
      <c r="CA7199" s="392" t="s">
        <v>413</v>
      </c>
    </row>
    <row r="7200" spans="1:80" s="392" customFormat="1" ht="15" x14ac:dyDescent="0.25">
      <c r="A7200" s="385"/>
      <c r="D7200" s="700"/>
      <c r="E7200" s="397"/>
      <c r="H7200" s="401">
        <v>3</v>
      </c>
      <c r="I7200" s="401"/>
      <c r="J7200" s="401"/>
      <c r="K7200" s="401"/>
      <c r="L7200" s="675"/>
      <c r="M7200" s="672">
        <v>28316</v>
      </c>
      <c r="N7200" s="623">
        <v>3.1453669594786064E-2</v>
      </c>
      <c r="O7200" s="624" t="s">
        <v>71</v>
      </c>
      <c r="P7200" s="397"/>
      <c r="Q7200" s="397"/>
      <c r="R7200" s="397"/>
      <c r="S7200" s="397"/>
      <c r="T7200" s="397"/>
      <c r="U7200" s="397"/>
      <c r="V7200" s="397"/>
      <c r="W7200" s="397"/>
      <c r="X7200" s="397"/>
      <c r="Y7200" s="397"/>
      <c r="Z7200" s="397"/>
      <c r="AD7200" s="388">
        <v>3.5052000000000003</v>
      </c>
      <c r="AE7200" s="388">
        <v>5.1816000000000008E-2</v>
      </c>
      <c r="AF7200" s="388">
        <v>0.18162544320000004</v>
      </c>
      <c r="AG7200" s="388">
        <v>0.13411200000000001</v>
      </c>
      <c r="AH7200" s="391"/>
      <c r="AI7200" s="397"/>
      <c r="AJ7200" s="397"/>
      <c r="AU7200" s="397"/>
      <c r="AV7200" s="397"/>
      <c r="AW7200" s="397"/>
      <c r="AX7200" s="397"/>
      <c r="BI7200" s="397"/>
      <c r="BJ7200" s="397"/>
      <c r="BK7200" s="397"/>
      <c r="BL7200" s="397"/>
      <c r="BM7200" s="397"/>
      <c r="BN7200" s="397"/>
      <c r="BO7200" s="397"/>
      <c r="BP7200" s="397"/>
      <c r="BQ7200" s="397"/>
      <c r="BR7200" s="397"/>
      <c r="BS7200" s="397"/>
      <c r="BT7200" s="397"/>
      <c r="BU7200" s="397"/>
      <c r="BV7200" s="397"/>
      <c r="BW7200" s="397"/>
      <c r="BX7200" s="397"/>
      <c r="BY7200" s="397"/>
      <c r="BZ7200" s="397"/>
      <c r="CA7200" s="392" t="s">
        <v>413</v>
      </c>
    </row>
    <row r="7201" spans="1:80" s="392" customFormat="1" ht="15" x14ac:dyDescent="0.25">
      <c r="A7201" s="385"/>
      <c r="D7201" s="700"/>
      <c r="E7201" s="397"/>
      <c r="H7201" s="401">
        <v>3</v>
      </c>
      <c r="I7201" s="401"/>
      <c r="J7201" s="401"/>
      <c r="K7201" s="401"/>
      <c r="L7201" s="675"/>
      <c r="M7201" s="672">
        <v>28323</v>
      </c>
      <c r="N7201" s="623">
        <v>3.003683763105696E-2</v>
      </c>
      <c r="O7201" s="624" t="s">
        <v>71</v>
      </c>
      <c r="P7201" s="397"/>
      <c r="Q7201" s="397"/>
      <c r="R7201" s="397"/>
      <c r="S7201" s="397"/>
      <c r="T7201" s="397"/>
      <c r="U7201" s="397"/>
      <c r="V7201" s="397"/>
      <c r="W7201" s="397"/>
      <c r="X7201" s="397"/>
      <c r="Y7201" s="397"/>
      <c r="Z7201" s="397"/>
      <c r="AD7201" s="388">
        <v>3.5052000000000003</v>
      </c>
      <c r="AE7201" s="388">
        <v>5.4864000000000003E-2</v>
      </c>
      <c r="AF7201" s="388">
        <v>0.19230929280000003</v>
      </c>
      <c r="AG7201" s="388">
        <v>0.11582400000000001</v>
      </c>
      <c r="AH7201" s="391"/>
      <c r="AI7201" s="397"/>
      <c r="AJ7201" s="397"/>
      <c r="AU7201" s="397"/>
      <c r="AV7201" s="397"/>
      <c r="AW7201" s="397"/>
      <c r="AX7201" s="397"/>
      <c r="BI7201" s="397"/>
      <c r="BJ7201" s="397"/>
      <c r="BK7201" s="397"/>
      <c r="BL7201" s="397"/>
      <c r="BM7201" s="397"/>
      <c r="BN7201" s="397"/>
      <c r="BO7201" s="397"/>
      <c r="BP7201" s="397"/>
      <c r="BQ7201" s="397"/>
      <c r="BR7201" s="397"/>
      <c r="BS7201" s="397"/>
      <c r="BT7201" s="397"/>
      <c r="BU7201" s="397"/>
      <c r="BV7201" s="397"/>
      <c r="BW7201" s="397"/>
      <c r="BX7201" s="397"/>
      <c r="BY7201" s="397"/>
      <c r="BZ7201" s="397"/>
      <c r="CA7201" s="392" t="s">
        <v>413</v>
      </c>
    </row>
    <row r="7202" spans="1:80" s="392" customFormat="1" ht="15" x14ac:dyDescent="0.25">
      <c r="A7202" s="385"/>
      <c r="D7202" s="700"/>
      <c r="E7202" s="397"/>
      <c r="H7202" s="401">
        <v>3</v>
      </c>
      <c r="I7202" s="401"/>
      <c r="J7202" s="401"/>
      <c r="K7202" s="401"/>
      <c r="L7202" s="675"/>
      <c r="M7202" s="672">
        <v>28330</v>
      </c>
      <c r="N7202" s="623">
        <v>6.0923774440351373E-2</v>
      </c>
      <c r="O7202" s="624" t="s">
        <v>71</v>
      </c>
      <c r="P7202" s="397"/>
      <c r="Q7202" s="397"/>
      <c r="R7202" s="397"/>
      <c r="S7202" s="397"/>
      <c r="T7202" s="397"/>
      <c r="U7202" s="397"/>
      <c r="V7202" s="397"/>
      <c r="W7202" s="397"/>
      <c r="X7202" s="397"/>
      <c r="Y7202" s="397"/>
      <c r="Z7202" s="397"/>
      <c r="AD7202" s="388">
        <v>3.7490400000000004</v>
      </c>
      <c r="AE7202" s="388">
        <v>7.6200000000000004E-2</v>
      </c>
      <c r="AF7202" s="388">
        <v>0.28567684800000004</v>
      </c>
      <c r="AG7202" s="388">
        <v>0.16459200000000002</v>
      </c>
      <c r="AH7202" s="391"/>
      <c r="AI7202" s="397"/>
      <c r="AJ7202" s="397"/>
      <c r="AU7202" s="397"/>
      <c r="AV7202" s="397"/>
      <c r="AW7202" s="397"/>
      <c r="AX7202" s="397"/>
      <c r="BI7202" s="397"/>
      <c r="BJ7202" s="397"/>
      <c r="BK7202" s="397"/>
      <c r="BL7202" s="397"/>
      <c r="BM7202" s="397"/>
      <c r="BN7202" s="397"/>
      <c r="BO7202" s="397"/>
      <c r="BP7202" s="397"/>
      <c r="BQ7202" s="397"/>
      <c r="BR7202" s="397"/>
      <c r="BS7202" s="397"/>
      <c r="BT7202" s="397"/>
      <c r="BU7202" s="397"/>
      <c r="BV7202" s="397"/>
      <c r="BW7202" s="397"/>
      <c r="BX7202" s="397"/>
      <c r="BY7202" s="397"/>
      <c r="BZ7202" s="397"/>
      <c r="CA7202" s="392" t="s">
        <v>413</v>
      </c>
    </row>
    <row r="7203" spans="1:80" s="392" customFormat="1" ht="15" x14ac:dyDescent="0.25">
      <c r="A7203" s="385"/>
      <c r="D7203" s="700"/>
      <c r="E7203" s="397"/>
      <c r="H7203" s="401">
        <v>3</v>
      </c>
      <c r="I7203" s="401"/>
      <c r="J7203" s="401"/>
      <c r="K7203" s="401"/>
      <c r="L7203" s="675"/>
      <c r="M7203" s="672">
        <v>28337</v>
      </c>
      <c r="N7203" s="623">
        <v>3.5987531878719184E-2</v>
      </c>
      <c r="O7203" s="624" t="s">
        <v>71</v>
      </c>
      <c r="P7203" s="397"/>
      <c r="Q7203" s="397"/>
      <c r="R7203" s="397"/>
      <c r="S7203" s="397"/>
      <c r="T7203" s="397"/>
      <c r="U7203" s="397"/>
      <c r="V7203" s="397"/>
      <c r="W7203" s="397"/>
      <c r="X7203" s="397"/>
      <c r="Y7203" s="397"/>
      <c r="Z7203" s="397"/>
      <c r="AD7203" s="388">
        <v>3.6271200000000001</v>
      </c>
      <c r="AE7203" s="388">
        <v>6.0960000000000007E-2</v>
      </c>
      <c r="AF7203" s="388">
        <v>0.22110923520000003</v>
      </c>
      <c r="AG7203" s="388">
        <v>0.12801599999999999</v>
      </c>
      <c r="AH7203" s="391"/>
      <c r="AI7203" s="397"/>
      <c r="AJ7203" s="397"/>
      <c r="AU7203" s="397"/>
      <c r="AV7203" s="397"/>
      <c r="AW7203" s="397"/>
      <c r="AX7203" s="397"/>
      <c r="BI7203" s="397"/>
      <c r="BJ7203" s="397"/>
      <c r="BK7203" s="397"/>
      <c r="BL7203" s="397"/>
      <c r="BM7203" s="397"/>
      <c r="BN7203" s="397"/>
      <c r="BO7203" s="397"/>
      <c r="BP7203" s="397"/>
      <c r="BQ7203" s="397"/>
      <c r="BR7203" s="397"/>
      <c r="BS7203" s="397"/>
      <c r="BT7203" s="397"/>
      <c r="BU7203" s="397"/>
      <c r="BV7203" s="397"/>
      <c r="BW7203" s="397"/>
      <c r="BX7203" s="397"/>
      <c r="BY7203" s="397"/>
      <c r="BZ7203" s="397"/>
      <c r="CA7203" s="392" t="s">
        <v>413</v>
      </c>
    </row>
    <row r="7204" spans="1:80" s="392" customFormat="1" ht="15" x14ac:dyDescent="0.25">
      <c r="A7204" s="385"/>
      <c r="D7204" s="700"/>
      <c r="E7204" s="397"/>
      <c r="H7204" s="401">
        <v>3</v>
      </c>
      <c r="I7204" s="401"/>
      <c r="J7204" s="401"/>
      <c r="K7204" s="401"/>
      <c r="L7204" s="675"/>
      <c r="M7204" s="672">
        <v>28367</v>
      </c>
      <c r="N7204" s="623">
        <v>4.1088126948143948E-2</v>
      </c>
      <c r="O7204" s="624" t="s">
        <v>71</v>
      </c>
      <c r="P7204" s="397"/>
      <c r="Q7204" s="397"/>
      <c r="R7204" s="397"/>
      <c r="S7204" s="397"/>
      <c r="T7204" s="397"/>
      <c r="U7204" s="397"/>
      <c r="V7204" s="397"/>
      <c r="W7204" s="397"/>
      <c r="X7204" s="397"/>
      <c r="Y7204" s="397"/>
      <c r="Z7204" s="397"/>
      <c r="AD7204" s="388">
        <v>3.5966400000000003</v>
      </c>
      <c r="AE7204" s="388">
        <v>6.7056000000000004E-2</v>
      </c>
      <c r="AF7204" s="388">
        <v>0.24117629184000003</v>
      </c>
      <c r="AG7204" s="388">
        <v>0.12801599999999999</v>
      </c>
      <c r="AH7204" s="391"/>
      <c r="AI7204" s="397"/>
      <c r="AJ7204" s="397"/>
      <c r="AU7204" s="397"/>
      <c r="AV7204" s="397"/>
      <c r="AW7204" s="397"/>
      <c r="AX7204" s="397"/>
      <c r="BI7204" s="397"/>
      <c r="BJ7204" s="397"/>
      <c r="BK7204" s="397"/>
      <c r="BL7204" s="397"/>
      <c r="BM7204" s="397"/>
      <c r="BN7204" s="397"/>
      <c r="BO7204" s="397"/>
      <c r="BP7204" s="397"/>
      <c r="BQ7204" s="397"/>
      <c r="BR7204" s="397"/>
      <c r="BS7204" s="397"/>
      <c r="BT7204" s="397"/>
      <c r="BU7204" s="397"/>
      <c r="BV7204" s="397"/>
      <c r="BW7204" s="397"/>
      <c r="BX7204" s="397"/>
      <c r="BY7204" s="397"/>
      <c r="BZ7204" s="397"/>
      <c r="CA7204" s="392" t="s">
        <v>413</v>
      </c>
    </row>
    <row r="7205" spans="1:80" s="189" customFormat="1" ht="15" x14ac:dyDescent="0.25">
      <c r="A7205" s="381" t="s">
        <v>460</v>
      </c>
      <c r="B7205" s="641"/>
      <c r="C7205" s="639"/>
      <c r="D7205" s="4">
        <f>VLOOKUP(E7205,'Quality Code'!$D$4:$E$24,2,TRUE)*VLOOKUP(MROUND(F7205,10),'Quality Code'!$D$28:$E$69,2,TRUE)*VLOOKUP(COUNTA(CB7205:CB7215),'Quality Code'!$D$73:$E$93,2,TRUE)</f>
        <v>8.7499999999999994E-2</v>
      </c>
      <c r="E7205" s="14">
        <v>0.35</v>
      </c>
      <c r="F7205" s="2">
        <v>6</v>
      </c>
      <c r="G7205" s="12"/>
      <c r="H7205" s="2" t="s">
        <v>105</v>
      </c>
      <c r="I7205" s="2"/>
      <c r="J7205" s="2"/>
      <c r="K7205" s="2"/>
      <c r="L7205" s="639"/>
      <c r="M7205" s="640">
        <v>1977</v>
      </c>
      <c r="N7205" s="578" t="s">
        <v>110</v>
      </c>
      <c r="O7205" s="578"/>
      <c r="P7205" s="26"/>
      <c r="Q7205" s="26"/>
      <c r="R7205" s="26"/>
      <c r="S7205" s="26"/>
      <c r="T7205" s="26"/>
      <c r="U7205" s="26"/>
      <c r="V7205" s="10"/>
      <c r="W7205" s="10"/>
      <c r="X7205" s="10"/>
      <c r="Y7205" s="10"/>
      <c r="Z7205" s="2"/>
      <c r="AA7205" s="26"/>
      <c r="AB7205" s="26"/>
      <c r="AC7205" s="377">
        <v>3.5999999999999997E-2</v>
      </c>
      <c r="AD7205" s="406"/>
      <c r="AE7205" s="26"/>
      <c r="AF7205" s="26"/>
      <c r="AG7205" s="26"/>
      <c r="AH7205" s="26"/>
      <c r="AI7205" s="4"/>
      <c r="AJ7205" s="4"/>
      <c r="AK7205" s="26"/>
      <c r="AL7205" s="26"/>
      <c r="AM7205" s="26"/>
      <c r="AN7205" s="26"/>
      <c r="AO7205" s="26"/>
      <c r="AP7205" s="26"/>
      <c r="AQ7205" s="26"/>
      <c r="AR7205" s="26"/>
      <c r="AS7205" s="26"/>
      <c r="AT7205" s="26"/>
      <c r="AU7205" s="4"/>
      <c r="AV7205" s="4"/>
      <c r="AW7205" s="4"/>
      <c r="AX7205" s="4"/>
      <c r="AY7205" s="2"/>
      <c r="AZ7205" s="2"/>
      <c r="BA7205" s="12"/>
      <c r="BB7205" s="12"/>
      <c r="BC7205" s="12"/>
      <c r="BD7205" s="12"/>
      <c r="BE7205" s="12"/>
      <c r="BF7205" s="12"/>
      <c r="BG7205" s="12"/>
      <c r="BH7205" s="12"/>
      <c r="BI7205" s="4"/>
      <c r="BJ7205" s="12"/>
      <c r="BK7205" s="2"/>
      <c r="BL7205" s="2"/>
      <c r="BM7205" s="4"/>
      <c r="BN7205" s="12"/>
      <c r="BO7205" s="12"/>
      <c r="BP7205" s="12"/>
      <c r="BQ7205" s="4"/>
      <c r="BR7205" s="4"/>
      <c r="BS7205" s="4"/>
      <c r="BT7205" s="2"/>
      <c r="BU7205" s="9"/>
      <c r="BV7205" s="381"/>
      <c r="BW7205" s="382"/>
      <c r="BX7205" s="383"/>
      <c r="BY7205" s="383"/>
      <c r="BZ7205" s="383"/>
      <c r="CA7205" s="384" t="s">
        <v>413</v>
      </c>
      <c r="CB7205" s="411"/>
    </row>
    <row r="7206" spans="1:80" s="392" customFormat="1" ht="15" x14ac:dyDescent="0.25">
      <c r="A7206" s="385"/>
      <c r="D7206" s="700"/>
      <c r="E7206" s="397"/>
      <c r="H7206" s="401">
        <v>3</v>
      </c>
      <c r="I7206" s="401"/>
      <c r="J7206" s="401"/>
      <c r="K7206" s="401"/>
      <c r="L7206" s="675"/>
      <c r="M7206" s="672">
        <v>28268</v>
      </c>
      <c r="N7206" s="623">
        <v>0.27883253046188722</v>
      </c>
      <c r="O7206" s="624" t="s">
        <v>71</v>
      </c>
      <c r="P7206" s="397"/>
      <c r="Q7206" s="397"/>
      <c r="R7206" s="397"/>
      <c r="S7206" s="397"/>
      <c r="T7206" s="397"/>
      <c r="U7206" s="397"/>
      <c r="V7206" s="397"/>
      <c r="W7206" s="397"/>
      <c r="X7206" s="397"/>
      <c r="Y7206" s="397"/>
      <c r="Z7206" s="397"/>
      <c r="AD7206" s="388">
        <v>2.8956</v>
      </c>
      <c r="AE7206" s="388">
        <v>0.140208</v>
      </c>
      <c r="AF7206" s="388">
        <v>0.40598628479999999</v>
      </c>
      <c r="AG7206" s="388">
        <v>0.47548800000000002</v>
      </c>
      <c r="AH7206" s="391"/>
      <c r="AI7206" s="397"/>
      <c r="AJ7206" s="397"/>
      <c r="AU7206" s="397"/>
      <c r="AV7206" s="397"/>
      <c r="AW7206" s="397"/>
      <c r="AX7206" s="397"/>
      <c r="BI7206" s="397"/>
      <c r="BJ7206" s="397"/>
      <c r="BK7206" s="397"/>
      <c r="BL7206" s="397"/>
      <c r="BM7206" s="397"/>
      <c r="BN7206" s="397"/>
      <c r="BO7206" s="397"/>
      <c r="BP7206" s="397"/>
      <c r="BQ7206" s="397"/>
      <c r="BR7206" s="397"/>
      <c r="BS7206" s="397"/>
      <c r="BT7206" s="397"/>
      <c r="BU7206" s="397"/>
      <c r="BV7206" s="397"/>
      <c r="BW7206" s="397"/>
      <c r="BX7206" s="397"/>
      <c r="BY7206" s="397"/>
      <c r="BZ7206" s="397"/>
      <c r="CA7206" s="392" t="s">
        <v>413</v>
      </c>
    </row>
    <row r="7207" spans="1:80" s="392" customFormat="1" ht="15" x14ac:dyDescent="0.25">
      <c r="A7207" s="385"/>
      <c r="D7207" s="700"/>
      <c r="E7207" s="397"/>
      <c r="H7207" s="401">
        <v>3</v>
      </c>
      <c r="I7207" s="401"/>
      <c r="J7207" s="401"/>
      <c r="K7207" s="401"/>
      <c r="L7207" s="675"/>
      <c r="M7207" s="672">
        <v>28275</v>
      </c>
      <c r="N7207" s="623">
        <v>0.33267214508359311</v>
      </c>
      <c r="O7207" s="624">
        <v>3.7366666666666668E-3</v>
      </c>
      <c r="P7207" s="397"/>
      <c r="Q7207" s="397"/>
      <c r="R7207" s="397"/>
      <c r="S7207" s="397"/>
      <c r="T7207" s="397"/>
      <c r="U7207" s="397"/>
      <c r="V7207" s="397"/>
      <c r="W7207" s="397"/>
      <c r="X7207" s="397"/>
      <c r="Y7207" s="397"/>
      <c r="Z7207" s="397"/>
      <c r="AD7207" s="388">
        <v>2.8956</v>
      </c>
      <c r="AE7207" s="388">
        <v>0.14935200000000001</v>
      </c>
      <c r="AF7207" s="388">
        <v>0.43246365120000002</v>
      </c>
      <c r="AG7207" s="388">
        <v>0.50901600000000002</v>
      </c>
      <c r="AH7207" s="391"/>
      <c r="AI7207" s="397"/>
      <c r="AJ7207" s="397"/>
      <c r="AU7207" s="397"/>
      <c r="AV7207" s="397"/>
      <c r="AW7207" s="397"/>
      <c r="AX7207" s="397"/>
      <c r="BI7207" s="397"/>
      <c r="BJ7207" s="397"/>
      <c r="BK7207" s="397"/>
      <c r="BL7207" s="397"/>
      <c r="BM7207" s="397"/>
      <c r="BN7207" s="397"/>
      <c r="BO7207" s="397"/>
      <c r="BP7207" s="397"/>
      <c r="BQ7207" s="397"/>
      <c r="BR7207" s="397"/>
      <c r="BS7207" s="397"/>
      <c r="BT7207" s="397"/>
      <c r="BU7207" s="397"/>
      <c r="BV7207" s="397"/>
      <c r="BW7207" s="397"/>
      <c r="BX7207" s="397"/>
      <c r="BY7207" s="397"/>
      <c r="BZ7207" s="397"/>
      <c r="CA7207" s="392" t="s">
        <v>413</v>
      </c>
    </row>
    <row r="7208" spans="1:80" s="392" customFormat="1" ht="15" x14ac:dyDescent="0.25">
      <c r="A7208" s="385"/>
      <c r="D7208" s="700"/>
      <c r="E7208" s="397"/>
      <c r="H7208" s="401">
        <v>3</v>
      </c>
      <c r="I7208" s="401"/>
      <c r="J7208" s="401"/>
      <c r="K7208" s="401"/>
      <c r="L7208" s="675"/>
      <c r="M7208" s="672">
        <v>28287</v>
      </c>
      <c r="N7208" s="623">
        <v>0.21875885519977331</v>
      </c>
      <c r="O7208" s="624">
        <v>4.0800000000000003E-3</v>
      </c>
      <c r="P7208" s="397"/>
      <c r="Q7208" s="397"/>
      <c r="R7208" s="397"/>
      <c r="S7208" s="397"/>
      <c r="T7208" s="397"/>
      <c r="U7208" s="397"/>
      <c r="V7208" s="397"/>
      <c r="W7208" s="397"/>
      <c r="X7208" s="397"/>
      <c r="Y7208" s="397"/>
      <c r="Z7208" s="397"/>
      <c r="AD7208" s="388">
        <v>2.7432000000000003</v>
      </c>
      <c r="AE7208" s="388">
        <v>0.13411200000000001</v>
      </c>
      <c r="AF7208" s="388">
        <v>0.36789603840000007</v>
      </c>
      <c r="AG7208" s="388">
        <v>0.42976799999999998</v>
      </c>
      <c r="AH7208" s="391"/>
      <c r="AI7208" s="397"/>
      <c r="AJ7208" s="397"/>
      <c r="AU7208" s="397"/>
      <c r="AV7208" s="397"/>
      <c r="AW7208" s="397"/>
      <c r="AX7208" s="397"/>
      <c r="BI7208" s="397"/>
      <c r="BJ7208" s="397"/>
      <c r="BK7208" s="397"/>
      <c r="BL7208" s="397"/>
      <c r="BM7208" s="397"/>
      <c r="BN7208" s="397"/>
      <c r="BO7208" s="397"/>
      <c r="BP7208" s="397"/>
      <c r="BQ7208" s="397"/>
      <c r="BR7208" s="397"/>
      <c r="BS7208" s="397"/>
      <c r="BT7208" s="397"/>
      <c r="BU7208" s="397"/>
      <c r="BV7208" s="397"/>
      <c r="BW7208" s="397"/>
      <c r="BX7208" s="397"/>
      <c r="BY7208" s="397"/>
      <c r="BZ7208" s="397"/>
      <c r="CA7208" s="392" t="s">
        <v>413</v>
      </c>
    </row>
    <row r="7209" spans="1:80" s="392" customFormat="1" ht="15" x14ac:dyDescent="0.25">
      <c r="A7209" s="385"/>
      <c r="D7209" s="700"/>
      <c r="E7209" s="397"/>
      <c r="H7209" s="401">
        <v>3</v>
      </c>
      <c r="I7209" s="401"/>
      <c r="J7209" s="401"/>
      <c r="K7209" s="401"/>
      <c r="L7209" s="675"/>
      <c r="M7209" s="672">
        <v>28292</v>
      </c>
      <c r="N7209" s="623">
        <v>0.17993765939359591</v>
      </c>
      <c r="O7209" s="624">
        <v>1.74E-3</v>
      </c>
      <c r="P7209" s="397"/>
      <c r="Q7209" s="397"/>
      <c r="R7209" s="397"/>
      <c r="S7209" s="397"/>
      <c r="T7209" s="397"/>
      <c r="U7209" s="397"/>
      <c r="V7209" s="397"/>
      <c r="W7209" s="397"/>
      <c r="X7209" s="397"/>
      <c r="Y7209" s="397"/>
      <c r="Z7209" s="397"/>
      <c r="AD7209" s="388">
        <v>2.7432000000000003</v>
      </c>
      <c r="AE7209" s="388">
        <v>0.12192000000000001</v>
      </c>
      <c r="AF7209" s="388">
        <v>0.33445094400000008</v>
      </c>
      <c r="AG7209" s="388">
        <v>0.42976799999999998</v>
      </c>
      <c r="AH7209" s="391"/>
      <c r="AI7209" s="397"/>
      <c r="AJ7209" s="397"/>
      <c r="AU7209" s="397"/>
      <c r="AV7209" s="397"/>
      <c r="AW7209" s="397"/>
      <c r="AX7209" s="397"/>
      <c r="BI7209" s="397"/>
      <c r="BJ7209" s="397"/>
      <c r="BK7209" s="397"/>
      <c r="BL7209" s="397"/>
      <c r="BM7209" s="397"/>
      <c r="BN7209" s="397"/>
      <c r="BO7209" s="397"/>
      <c r="BP7209" s="397"/>
      <c r="BQ7209" s="397"/>
      <c r="BR7209" s="397"/>
      <c r="BS7209" s="397"/>
      <c r="BT7209" s="397"/>
      <c r="BU7209" s="397"/>
      <c r="BV7209" s="397"/>
      <c r="BW7209" s="397"/>
      <c r="BX7209" s="397"/>
      <c r="BY7209" s="397"/>
      <c r="BZ7209" s="397"/>
      <c r="CA7209" s="392" t="s">
        <v>413</v>
      </c>
    </row>
    <row r="7210" spans="1:80" s="392" customFormat="1" ht="15" x14ac:dyDescent="0.25">
      <c r="A7210" s="385"/>
      <c r="D7210" s="700"/>
      <c r="E7210" s="397"/>
      <c r="H7210" s="401">
        <v>3</v>
      </c>
      <c r="I7210" s="401"/>
      <c r="J7210" s="401"/>
      <c r="K7210" s="401"/>
      <c r="L7210" s="675"/>
      <c r="M7210" s="672">
        <v>28294</v>
      </c>
      <c r="N7210" s="623">
        <v>0.22074241994899405</v>
      </c>
      <c r="O7210" s="624">
        <v>1.98E-3</v>
      </c>
      <c r="P7210" s="397"/>
      <c r="Q7210" s="397"/>
      <c r="R7210" s="397"/>
      <c r="S7210" s="397"/>
      <c r="T7210" s="397"/>
      <c r="U7210" s="397"/>
      <c r="V7210" s="397"/>
      <c r="W7210" s="397"/>
      <c r="X7210" s="397"/>
      <c r="Y7210" s="397"/>
      <c r="Z7210" s="397"/>
      <c r="AD7210" s="388">
        <v>2.7432000000000003</v>
      </c>
      <c r="AE7210" s="388">
        <v>0.10972800000000001</v>
      </c>
      <c r="AF7210" s="388">
        <v>0.30100584960000004</v>
      </c>
      <c r="AG7210" s="388">
        <v>0.45720000000000005</v>
      </c>
      <c r="AH7210" s="391"/>
      <c r="AI7210" s="397"/>
      <c r="AJ7210" s="397"/>
      <c r="AU7210" s="397"/>
      <c r="AV7210" s="397"/>
      <c r="AW7210" s="397"/>
      <c r="AX7210" s="397"/>
      <c r="BI7210" s="397"/>
      <c r="BJ7210" s="397"/>
      <c r="BK7210" s="397"/>
      <c r="BL7210" s="397"/>
      <c r="BM7210" s="397"/>
      <c r="BN7210" s="397"/>
      <c r="BO7210" s="397"/>
      <c r="BP7210" s="397"/>
      <c r="BQ7210" s="397"/>
      <c r="BR7210" s="397"/>
      <c r="BS7210" s="397"/>
      <c r="BT7210" s="397"/>
      <c r="BU7210" s="397"/>
      <c r="BV7210" s="397"/>
      <c r="BW7210" s="397"/>
      <c r="BX7210" s="397"/>
      <c r="BY7210" s="397"/>
      <c r="BZ7210" s="397"/>
      <c r="CA7210" s="392" t="s">
        <v>413</v>
      </c>
    </row>
    <row r="7211" spans="1:80" s="392" customFormat="1" ht="15" x14ac:dyDescent="0.25">
      <c r="A7211" s="385"/>
      <c r="D7211" s="700"/>
      <c r="E7211" s="397"/>
      <c r="H7211" s="401">
        <v>3</v>
      </c>
      <c r="I7211" s="401"/>
      <c r="J7211" s="401"/>
      <c r="K7211" s="401"/>
      <c r="L7211" s="675"/>
      <c r="M7211" s="672">
        <v>28302</v>
      </c>
      <c r="N7211" s="623">
        <v>0.12553131198639841</v>
      </c>
      <c r="O7211" s="624">
        <v>1.3799999999999999E-3</v>
      </c>
      <c r="P7211" s="397"/>
      <c r="Q7211" s="397"/>
      <c r="R7211" s="397"/>
      <c r="S7211" s="397"/>
      <c r="T7211" s="397"/>
      <c r="U7211" s="397"/>
      <c r="V7211" s="397"/>
      <c r="W7211" s="397"/>
      <c r="X7211" s="397"/>
      <c r="Y7211" s="397"/>
      <c r="Z7211" s="397"/>
      <c r="AD7211" s="388">
        <v>2.7432000000000003</v>
      </c>
      <c r="AE7211" s="388">
        <v>0.10363200000000002</v>
      </c>
      <c r="AF7211" s="388">
        <v>0.28428330240000005</v>
      </c>
      <c r="AG7211" s="388">
        <v>0.32004000000000005</v>
      </c>
      <c r="AH7211" s="391"/>
      <c r="AI7211" s="397"/>
      <c r="AJ7211" s="397"/>
      <c r="AU7211" s="397"/>
      <c r="AV7211" s="397"/>
      <c r="AW7211" s="397"/>
      <c r="AX7211" s="397"/>
      <c r="BI7211" s="397"/>
      <c r="BJ7211" s="397"/>
      <c r="BK7211" s="397"/>
      <c r="BL7211" s="397"/>
      <c r="BM7211" s="397"/>
      <c r="BN7211" s="397"/>
      <c r="BO7211" s="397"/>
      <c r="BP7211" s="397"/>
      <c r="BQ7211" s="397"/>
      <c r="BR7211" s="397"/>
      <c r="BS7211" s="397"/>
      <c r="BT7211" s="397"/>
      <c r="BU7211" s="397"/>
      <c r="BV7211" s="397"/>
      <c r="BW7211" s="397"/>
      <c r="BX7211" s="397"/>
      <c r="BY7211" s="397"/>
      <c r="BZ7211" s="397"/>
      <c r="CA7211" s="392" t="s">
        <v>413</v>
      </c>
    </row>
    <row r="7212" spans="1:80" s="392" customFormat="1" ht="15" x14ac:dyDescent="0.25">
      <c r="A7212" s="385"/>
      <c r="D7212" s="700"/>
      <c r="E7212" s="397"/>
      <c r="H7212" s="401">
        <v>3</v>
      </c>
      <c r="I7212" s="401"/>
      <c r="J7212" s="401"/>
      <c r="K7212" s="401"/>
      <c r="L7212" s="675"/>
      <c r="M7212" s="672">
        <v>28308</v>
      </c>
      <c r="N7212" s="623">
        <v>0.10597903088693682</v>
      </c>
      <c r="O7212" s="624" t="s">
        <v>71</v>
      </c>
      <c r="P7212" s="397"/>
      <c r="Q7212" s="397"/>
      <c r="R7212" s="397"/>
      <c r="S7212" s="397"/>
      <c r="T7212" s="397"/>
      <c r="U7212" s="397"/>
      <c r="V7212" s="397"/>
      <c r="W7212" s="397"/>
      <c r="X7212" s="397"/>
      <c r="Y7212" s="397"/>
      <c r="Z7212" s="397"/>
      <c r="AD7212" s="388">
        <v>2.6822400000000002</v>
      </c>
      <c r="AE7212" s="388">
        <v>8.5344000000000017E-2</v>
      </c>
      <c r="AF7212" s="388">
        <v>0.22891309056000006</v>
      </c>
      <c r="AG7212" s="388">
        <v>0.28651199999999999</v>
      </c>
      <c r="AH7212" s="391"/>
      <c r="AI7212" s="397"/>
      <c r="AJ7212" s="397"/>
      <c r="AU7212" s="397"/>
      <c r="AV7212" s="397"/>
      <c r="AW7212" s="397"/>
      <c r="AX7212" s="397"/>
      <c r="BI7212" s="397"/>
      <c r="BJ7212" s="397"/>
      <c r="BK7212" s="397"/>
      <c r="BL7212" s="397"/>
      <c r="BM7212" s="397"/>
      <c r="BN7212" s="397"/>
      <c r="BO7212" s="397"/>
      <c r="BP7212" s="397"/>
      <c r="BQ7212" s="397"/>
      <c r="BR7212" s="397"/>
      <c r="BS7212" s="397"/>
      <c r="BT7212" s="397"/>
      <c r="BU7212" s="397"/>
      <c r="BV7212" s="397"/>
      <c r="BW7212" s="397"/>
      <c r="BX7212" s="397"/>
      <c r="BY7212" s="397"/>
      <c r="BZ7212" s="397"/>
      <c r="CA7212" s="392" t="s">
        <v>413</v>
      </c>
    </row>
    <row r="7213" spans="1:80" s="392" customFormat="1" ht="15" x14ac:dyDescent="0.25">
      <c r="A7213" s="385"/>
      <c r="D7213" s="700"/>
      <c r="E7213" s="397"/>
      <c r="H7213" s="401">
        <v>3</v>
      </c>
      <c r="I7213" s="401"/>
      <c r="J7213" s="401"/>
      <c r="K7213" s="401"/>
      <c r="L7213" s="675"/>
      <c r="M7213" s="672">
        <v>28317</v>
      </c>
      <c r="N7213" s="623">
        <v>7.8209124397846413E-2</v>
      </c>
      <c r="O7213" s="624" t="s">
        <v>71</v>
      </c>
      <c r="P7213" s="397"/>
      <c r="Q7213" s="397"/>
      <c r="R7213" s="397"/>
      <c r="S7213" s="397"/>
      <c r="T7213" s="397"/>
      <c r="U7213" s="397"/>
      <c r="V7213" s="397"/>
      <c r="W7213" s="397"/>
      <c r="X7213" s="397"/>
      <c r="Y7213" s="397"/>
      <c r="Z7213" s="397"/>
      <c r="AD7213" s="388">
        <v>2.6517599999999999</v>
      </c>
      <c r="AE7213" s="388">
        <v>7.6200000000000004E-2</v>
      </c>
      <c r="AF7213" s="388">
        <v>0.20206411199999999</v>
      </c>
      <c r="AG7213" s="388">
        <v>0.23164800000000002</v>
      </c>
      <c r="AH7213" s="391"/>
      <c r="AI7213" s="397"/>
      <c r="AJ7213" s="397"/>
      <c r="AU7213" s="397"/>
      <c r="AV7213" s="397"/>
      <c r="AW7213" s="397"/>
      <c r="AX7213" s="397"/>
      <c r="BI7213" s="397"/>
      <c r="BJ7213" s="397"/>
      <c r="BK7213" s="397"/>
      <c r="BL7213" s="397"/>
      <c r="BM7213" s="397"/>
      <c r="BN7213" s="397"/>
      <c r="BO7213" s="397"/>
      <c r="BP7213" s="397"/>
      <c r="BQ7213" s="397"/>
      <c r="BR7213" s="397"/>
      <c r="BS7213" s="397"/>
      <c r="BT7213" s="397"/>
      <c r="BU7213" s="397"/>
      <c r="BV7213" s="397"/>
      <c r="BW7213" s="397"/>
      <c r="BX7213" s="397"/>
      <c r="BY7213" s="397"/>
      <c r="BZ7213" s="397"/>
      <c r="CA7213" s="392" t="s">
        <v>413</v>
      </c>
    </row>
    <row r="7214" spans="1:80" s="392" customFormat="1" ht="15" x14ac:dyDescent="0.25">
      <c r="A7214" s="385"/>
      <c r="D7214" s="700"/>
      <c r="E7214" s="397"/>
      <c r="H7214" s="401">
        <v>3</v>
      </c>
      <c r="I7214" s="401"/>
      <c r="J7214" s="401"/>
      <c r="K7214" s="401"/>
      <c r="L7214" s="675"/>
      <c r="M7214" s="672">
        <v>28322</v>
      </c>
      <c r="N7214" s="623">
        <v>5.3272881836214224E-2</v>
      </c>
      <c r="O7214" s="624" t="s">
        <v>71</v>
      </c>
      <c r="P7214" s="397"/>
      <c r="Q7214" s="397"/>
      <c r="R7214" s="397"/>
      <c r="S7214" s="397"/>
      <c r="T7214" s="397"/>
      <c r="U7214" s="397"/>
      <c r="V7214" s="397"/>
      <c r="W7214" s="397"/>
      <c r="X7214" s="397"/>
      <c r="Y7214" s="397"/>
      <c r="Z7214" s="397"/>
      <c r="AD7214" s="388">
        <v>2.5908000000000002</v>
      </c>
      <c r="AE7214" s="388">
        <v>7.0104E-2</v>
      </c>
      <c r="AF7214" s="388">
        <v>0.18162544320000001</v>
      </c>
      <c r="AG7214" s="388">
        <v>0.18592800000000001</v>
      </c>
      <c r="AH7214" s="391"/>
      <c r="AI7214" s="397"/>
      <c r="AJ7214" s="397"/>
      <c r="AU7214" s="397"/>
      <c r="AV7214" s="397"/>
      <c r="AW7214" s="397"/>
      <c r="AX7214" s="397"/>
      <c r="BI7214" s="397"/>
      <c r="BJ7214" s="397"/>
      <c r="BK7214" s="397"/>
      <c r="BL7214" s="397"/>
      <c r="BM7214" s="397"/>
      <c r="BN7214" s="397"/>
      <c r="BO7214" s="397"/>
      <c r="BP7214" s="397"/>
      <c r="BQ7214" s="397"/>
      <c r="BR7214" s="397"/>
      <c r="BS7214" s="397"/>
      <c r="BT7214" s="397"/>
      <c r="BU7214" s="397"/>
      <c r="BV7214" s="397"/>
      <c r="BW7214" s="397"/>
      <c r="BX7214" s="397"/>
      <c r="BY7214" s="397"/>
      <c r="BZ7214" s="397"/>
      <c r="CA7214" s="392" t="s">
        <v>413</v>
      </c>
    </row>
    <row r="7215" spans="1:80" s="392" customFormat="1" ht="15" x14ac:dyDescent="0.25">
      <c r="A7215" s="385"/>
      <c r="D7215" s="700"/>
      <c r="E7215" s="397"/>
      <c r="H7215" s="401">
        <v>3</v>
      </c>
      <c r="I7215" s="401"/>
      <c r="J7215" s="401"/>
      <c r="K7215" s="401"/>
      <c r="L7215" s="675"/>
      <c r="M7215" s="672">
        <v>28325</v>
      </c>
      <c r="N7215" s="623">
        <v>0.11476338906205724</v>
      </c>
      <c r="O7215" s="624">
        <v>1.4166666666666666E-3</v>
      </c>
      <c r="P7215" s="397"/>
      <c r="Q7215" s="397"/>
      <c r="R7215" s="397"/>
      <c r="S7215" s="397"/>
      <c r="T7215" s="397"/>
      <c r="U7215" s="397"/>
      <c r="V7215" s="397"/>
      <c r="W7215" s="397"/>
      <c r="X7215" s="397"/>
      <c r="Y7215" s="397"/>
      <c r="Z7215" s="397"/>
      <c r="AD7215" s="388">
        <v>2.5908000000000002</v>
      </c>
      <c r="AE7215" s="388">
        <v>0.10972800000000001</v>
      </c>
      <c r="AF7215" s="388">
        <v>0.28428330240000005</v>
      </c>
      <c r="AG7215" s="388">
        <v>0.26822400000000002</v>
      </c>
      <c r="AH7215" s="391"/>
      <c r="AI7215" s="397"/>
      <c r="AJ7215" s="397"/>
      <c r="AU7215" s="397"/>
      <c r="AV7215" s="397"/>
      <c r="AW7215" s="397"/>
      <c r="AX7215" s="397"/>
      <c r="BI7215" s="397"/>
      <c r="BJ7215" s="397"/>
      <c r="BK7215" s="397"/>
      <c r="BL7215" s="397"/>
      <c r="BM7215" s="397"/>
      <c r="BN7215" s="397"/>
      <c r="BO7215" s="397"/>
      <c r="BP7215" s="397"/>
      <c r="BQ7215" s="397"/>
      <c r="BR7215" s="397"/>
      <c r="BS7215" s="397"/>
      <c r="BT7215" s="397"/>
      <c r="BU7215" s="397"/>
      <c r="BV7215" s="397"/>
      <c r="BW7215" s="397"/>
      <c r="BX7215" s="397"/>
      <c r="BY7215" s="397"/>
      <c r="BZ7215" s="397"/>
      <c r="CA7215" s="392" t="s">
        <v>413</v>
      </c>
    </row>
    <row r="7216" spans="1:80" s="392" customFormat="1" ht="15" x14ac:dyDescent="0.25">
      <c r="A7216" s="385"/>
      <c r="D7216" s="700"/>
      <c r="E7216" s="397"/>
      <c r="H7216" s="401">
        <v>3</v>
      </c>
      <c r="I7216" s="401"/>
      <c r="J7216" s="401"/>
      <c r="K7216" s="401"/>
      <c r="L7216" s="675"/>
      <c r="M7216" s="672">
        <v>28330</v>
      </c>
      <c r="N7216" s="623">
        <v>7.1408330971946724E-2</v>
      </c>
      <c r="O7216" s="624" t="s">
        <v>71</v>
      </c>
      <c r="P7216" s="397"/>
      <c r="Q7216" s="397"/>
      <c r="R7216" s="397"/>
      <c r="S7216" s="397"/>
      <c r="T7216" s="397"/>
      <c r="U7216" s="397"/>
      <c r="V7216" s="397"/>
      <c r="W7216" s="397"/>
      <c r="X7216" s="397"/>
      <c r="Y7216" s="397"/>
      <c r="Z7216" s="397"/>
      <c r="AD7216" s="388">
        <v>2.6212800000000001</v>
      </c>
      <c r="AE7216" s="388">
        <v>8.5344000000000017E-2</v>
      </c>
      <c r="AF7216" s="388">
        <v>0.22371052032000005</v>
      </c>
      <c r="AG7216" s="388">
        <v>0.19812000000000002</v>
      </c>
      <c r="AH7216" s="391"/>
      <c r="AI7216" s="397"/>
      <c r="AJ7216" s="397"/>
      <c r="AU7216" s="397"/>
      <c r="AV7216" s="397"/>
      <c r="AW7216" s="397"/>
      <c r="AX7216" s="397"/>
      <c r="BI7216" s="397"/>
      <c r="BJ7216" s="397"/>
      <c r="BK7216" s="397"/>
      <c r="BL7216" s="397"/>
      <c r="BM7216" s="397"/>
      <c r="BN7216" s="397"/>
      <c r="BO7216" s="397"/>
      <c r="BP7216" s="397"/>
      <c r="BQ7216" s="397"/>
      <c r="BR7216" s="397"/>
      <c r="BS7216" s="397"/>
      <c r="BT7216" s="397"/>
      <c r="BU7216" s="397"/>
      <c r="BV7216" s="397"/>
      <c r="BW7216" s="397"/>
      <c r="BX7216" s="397"/>
      <c r="BY7216" s="397"/>
      <c r="BZ7216" s="397"/>
      <c r="CA7216" s="392" t="s">
        <v>413</v>
      </c>
    </row>
    <row r="7217" spans="1:80" s="392" customFormat="1" ht="15" x14ac:dyDescent="0.25">
      <c r="A7217" s="385"/>
      <c r="D7217" s="700"/>
      <c r="E7217" s="397"/>
      <c r="H7217" s="401">
        <v>3</v>
      </c>
      <c r="I7217" s="401"/>
      <c r="J7217" s="401"/>
      <c r="K7217" s="401"/>
      <c r="L7217" s="675"/>
      <c r="M7217" s="672">
        <v>28332</v>
      </c>
      <c r="N7217" s="623">
        <v>5.6106545763672432E-2</v>
      </c>
      <c r="O7217" s="624" t="s">
        <v>71</v>
      </c>
      <c r="P7217" s="397"/>
      <c r="Q7217" s="397"/>
      <c r="R7217" s="397"/>
      <c r="S7217" s="397"/>
      <c r="T7217" s="397"/>
      <c r="U7217" s="397"/>
      <c r="V7217" s="397"/>
      <c r="W7217" s="397"/>
      <c r="X7217" s="397"/>
      <c r="Y7217" s="397"/>
      <c r="Z7217" s="397"/>
      <c r="AD7217" s="388">
        <v>2.6212800000000001</v>
      </c>
      <c r="AE7217" s="388">
        <v>7.9248000000000013E-2</v>
      </c>
      <c r="AF7217" s="388">
        <v>0.20773119744000004</v>
      </c>
      <c r="AG7217" s="388">
        <v>0.16459200000000002</v>
      </c>
      <c r="AH7217" s="391"/>
      <c r="AI7217" s="397"/>
      <c r="AJ7217" s="397"/>
      <c r="AU7217" s="397"/>
      <c r="AV7217" s="397"/>
      <c r="AW7217" s="397"/>
      <c r="AX7217" s="397"/>
      <c r="BI7217" s="397"/>
      <c r="BJ7217" s="397"/>
      <c r="BK7217" s="397"/>
      <c r="BL7217" s="397"/>
      <c r="BM7217" s="397"/>
      <c r="BN7217" s="397"/>
      <c r="BO7217" s="397"/>
      <c r="BP7217" s="397"/>
      <c r="BQ7217" s="397"/>
      <c r="BR7217" s="397"/>
      <c r="BS7217" s="397"/>
      <c r="BT7217" s="397"/>
      <c r="BU7217" s="397"/>
      <c r="BV7217" s="397"/>
      <c r="BW7217" s="397"/>
      <c r="BX7217" s="397"/>
      <c r="BY7217" s="397"/>
      <c r="BZ7217" s="397"/>
      <c r="CA7217" s="392" t="s">
        <v>413</v>
      </c>
    </row>
    <row r="7218" spans="1:80" s="392" customFormat="1" ht="15" x14ac:dyDescent="0.25">
      <c r="A7218" s="385"/>
      <c r="D7218" s="700"/>
      <c r="E7218" s="397"/>
      <c r="H7218" s="401">
        <v>3</v>
      </c>
      <c r="I7218" s="401"/>
      <c r="J7218" s="401"/>
      <c r="K7218" s="401"/>
      <c r="L7218" s="675"/>
      <c r="M7218" s="672">
        <v>28337</v>
      </c>
      <c r="N7218" s="623">
        <v>3.9387928591669029E-2</v>
      </c>
      <c r="O7218" s="624" t="s">
        <v>71</v>
      </c>
      <c r="P7218" s="397"/>
      <c r="Q7218" s="397"/>
      <c r="R7218" s="397"/>
      <c r="S7218" s="397"/>
      <c r="T7218" s="397"/>
      <c r="U7218" s="397"/>
      <c r="V7218" s="397"/>
      <c r="W7218" s="397"/>
      <c r="X7218" s="397"/>
      <c r="Y7218" s="397"/>
      <c r="Z7218" s="397"/>
      <c r="AD7218" s="388">
        <v>2.4993599999999998</v>
      </c>
      <c r="AE7218" s="388">
        <v>6.7056000000000004E-2</v>
      </c>
      <c r="AF7218" s="388">
        <v>0.16759708415999999</v>
      </c>
      <c r="AG7218" s="388">
        <v>0.13716</v>
      </c>
      <c r="AH7218" s="391"/>
      <c r="AI7218" s="397"/>
      <c r="AJ7218" s="397"/>
      <c r="AU7218" s="397"/>
      <c r="AV7218" s="397"/>
      <c r="AW7218" s="397"/>
      <c r="AX7218" s="397"/>
      <c r="BI7218" s="397"/>
      <c r="BJ7218" s="397"/>
      <c r="BK7218" s="397"/>
      <c r="BL7218" s="397"/>
      <c r="BM7218" s="397"/>
      <c r="BN7218" s="397"/>
      <c r="BO7218" s="397"/>
      <c r="BP7218" s="397"/>
      <c r="BQ7218" s="397"/>
      <c r="BR7218" s="397"/>
      <c r="BS7218" s="397"/>
      <c r="BT7218" s="397"/>
      <c r="BU7218" s="397"/>
      <c r="BV7218" s="397"/>
      <c r="BW7218" s="397"/>
      <c r="BX7218" s="397"/>
      <c r="BY7218" s="397"/>
      <c r="BZ7218" s="397"/>
      <c r="CA7218" s="392" t="s">
        <v>413</v>
      </c>
    </row>
    <row r="7219" spans="1:80" s="392" customFormat="1" ht="15" x14ac:dyDescent="0.25">
      <c r="A7219" s="385"/>
      <c r="D7219" s="700"/>
      <c r="E7219" s="397"/>
      <c r="H7219" s="401">
        <v>3</v>
      </c>
      <c r="I7219" s="401"/>
      <c r="J7219" s="401"/>
      <c r="K7219" s="401"/>
      <c r="L7219" s="675"/>
      <c r="M7219" s="672">
        <v>28366</v>
      </c>
      <c r="N7219" s="623">
        <v>3.2020402380277695E-2</v>
      </c>
      <c r="O7219" s="624" t="s">
        <v>71</v>
      </c>
      <c r="P7219" s="397"/>
      <c r="Q7219" s="397"/>
      <c r="R7219" s="397"/>
      <c r="S7219" s="397"/>
      <c r="T7219" s="397"/>
      <c r="U7219" s="397"/>
      <c r="V7219" s="397"/>
      <c r="W7219" s="397"/>
      <c r="X7219" s="397"/>
      <c r="Y7219" s="397"/>
      <c r="Z7219" s="397"/>
      <c r="AD7219" s="388">
        <v>2.4384000000000001</v>
      </c>
      <c r="AE7219" s="388">
        <v>6.7056000000000004E-2</v>
      </c>
      <c r="AF7219" s="388">
        <v>0.16350935040000003</v>
      </c>
      <c r="AG7219" s="388">
        <v>0.10668</v>
      </c>
      <c r="AH7219" s="391"/>
      <c r="AI7219" s="397"/>
      <c r="AJ7219" s="397"/>
      <c r="AU7219" s="397"/>
      <c r="AV7219" s="397"/>
      <c r="AW7219" s="397"/>
      <c r="AX7219" s="397"/>
      <c r="BI7219" s="397"/>
      <c r="BJ7219" s="397"/>
      <c r="BK7219" s="397"/>
      <c r="BL7219" s="397"/>
      <c r="BM7219" s="397"/>
      <c r="BN7219" s="397"/>
      <c r="BO7219" s="397"/>
      <c r="BP7219" s="397"/>
      <c r="BQ7219" s="397"/>
      <c r="BR7219" s="397"/>
      <c r="BS7219" s="397"/>
      <c r="BT7219" s="397"/>
      <c r="BU7219" s="397"/>
      <c r="BV7219" s="397"/>
      <c r="BW7219" s="397"/>
      <c r="BX7219" s="397"/>
      <c r="BY7219" s="397"/>
      <c r="BZ7219" s="397"/>
      <c r="CA7219" s="392" t="s">
        <v>413</v>
      </c>
    </row>
    <row r="7220" spans="1:80" s="189" customFormat="1" ht="15" x14ac:dyDescent="0.25">
      <c r="A7220" s="381" t="s">
        <v>461</v>
      </c>
      <c r="B7220" s="641"/>
      <c r="C7220" s="639"/>
      <c r="D7220" s="4">
        <f>VLOOKUP(E7220,'Quality Code'!$D$4:$E$24,2,TRUE)*VLOOKUP(MROUND(F7220,10),'Quality Code'!$D$28:$E$69,2,TRUE)*VLOOKUP(COUNTA(CB7220:CB7230),'Quality Code'!$D$73:$E$93,2,TRUE)</f>
        <v>7.4999999999999997E-2</v>
      </c>
      <c r="E7220" s="14">
        <v>0.3</v>
      </c>
      <c r="F7220" s="2">
        <v>10</v>
      </c>
      <c r="G7220" s="12"/>
      <c r="H7220" s="2" t="s">
        <v>105</v>
      </c>
      <c r="I7220" s="2"/>
      <c r="J7220" s="2"/>
      <c r="K7220" s="2"/>
      <c r="L7220" s="639"/>
      <c r="M7220" s="640">
        <v>1978</v>
      </c>
      <c r="N7220" s="578" t="s">
        <v>110</v>
      </c>
      <c r="O7220" s="578"/>
      <c r="P7220" s="26"/>
      <c r="Q7220" s="26"/>
      <c r="R7220" s="26"/>
      <c r="S7220" s="26"/>
      <c r="T7220" s="26"/>
      <c r="U7220" s="26"/>
      <c r="V7220" s="10"/>
      <c r="W7220" s="10"/>
      <c r="X7220" s="10"/>
      <c r="Y7220" s="10"/>
      <c r="Z7220" s="2"/>
      <c r="AA7220" s="26"/>
      <c r="AB7220" s="26"/>
      <c r="AC7220" s="377">
        <v>0.17499999999999999</v>
      </c>
      <c r="AD7220" s="406"/>
      <c r="AE7220" s="26"/>
      <c r="AF7220" s="26"/>
      <c r="AG7220" s="26"/>
      <c r="AH7220" s="26"/>
      <c r="AI7220" s="4"/>
      <c r="AJ7220" s="4"/>
      <c r="AK7220" s="26"/>
      <c r="AL7220" s="26"/>
      <c r="AM7220" s="26"/>
      <c r="AN7220" s="26"/>
      <c r="AO7220" s="26"/>
      <c r="AP7220" s="26"/>
      <c r="AQ7220" s="26"/>
      <c r="AR7220" s="26"/>
      <c r="AS7220" s="26"/>
      <c r="AT7220" s="26"/>
      <c r="AU7220" s="4"/>
      <c r="AV7220" s="4"/>
      <c r="AW7220" s="4"/>
      <c r="AX7220" s="4"/>
      <c r="AY7220" s="2"/>
      <c r="AZ7220" s="2"/>
      <c r="BA7220" s="12"/>
      <c r="BB7220" s="12"/>
      <c r="BC7220" s="12"/>
      <c r="BD7220" s="12"/>
      <c r="BE7220" s="12"/>
      <c r="BF7220" s="12"/>
      <c r="BG7220" s="12"/>
      <c r="BH7220" s="12"/>
      <c r="BI7220" s="4"/>
      <c r="BJ7220" s="12"/>
      <c r="BK7220" s="2"/>
      <c r="BL7220" s="2"/>
      <c r="BM7220" s="4"/>
      <c r="BN7220" s="12"/>
      <c r="BO7220" s="12"/>
      <c r="BP7220" s="12"/>
      <c r="BQ7220" s="4"/>
      <c r="BR7220" s="4"/>
      <c r="BS7220" s="4"/>
      <c r="BT7220" s="2"/>
      <c r="BU7220" s="9"/>
      <c r="BV7220" s="381"/>
      <c r="BW7220" s="382"/>
      <c r="BX7220" s="383"/>
      <c r="BY7220" s="383"/>
      <c r="BZ7220" s="383"/>
      <c r="CA7220" s="384" t="s">
        <v>413</v>
      </c>
      <c r="CB7220" s="411"/>
    </row>
    <row r="7221" spans="1:80" s="392" customFormat="1" ht="15" x14ac:dyDescent="0.25">
      <c r="A7221" s="385"/>
      <c r="D7221" s="700"/>
      <c r="E7221" s="397"/>
      <c r="H7221" s="401">
        <v>3</v>
      </c>
      <c r="I7221" s="401"/>
      <c r="J7221" s="401"/>
      <c r="K7221" s="401"/>
      <c r="L7221" s="675"/>
      <c r="M7221" s="672">
        <v>28655</v>
      </c>
      <c r="N7221" s="623">
        <v>0.17001983564749221</v>
      </c>
      <c r="O7221" s="624">
        <v>7.3920000000000001E-3</v>
      </c>
      <c r="P7221" s="397"/>
      <c r="Q7221" s="397"/>
      <c r="R7221" s="397"/>
      <c r="S7221" s="397"/>
      <c r="T7221" s="397"/>
      <c r="U7221" s="397"/>
      <c r="V7221" s="397"/>
      <c r="W7221" s="397"/>
      <c r="X7221" s="397"/>
      <c r="Y7221" s="397"/>
      <c r="Z7221" s="397"/>
      <c r="AD7221" s="388">
        <v>2.5603200000000004</v>
      </c>
      <c r="AE7221" s="388"/>
      <c r="AF7221" s="388"/>
      <c r="AG7221" s="388"/>
      <c r="AH7221" s="391"/>
      <c r="AI7221" s="397"/>
      <c r="AJ7221" s="397"/>
      <c r="AU7221" s="397"/>
      <c r="AV7221" s="397"/>
      <c r="AW7221" s="397"/>
      <c r="AX7221" s="397"/>
      <c r="BI7221" s="397"/>
      <c r="BJ7221" s="397"/>
      <c r="BK7221" s="397"/>
      <c r="BL7221" s="397"/>
      <c r="BM7221" s="397"/>
      <c r="BN7221" s="397"/>
      <c r="BO7221" s="397"/>
      <c r="BP7221" s="397"/>
      <c r="BQ7221" s="397"/>
      <c r="BR7221" s="397"/>
      <c r="BS7221" s="397"/>
      <c r="BT7221" s="397"/>
      <c r="BU7221" s="397"/>
      <c r="BV7221" s="397"/>
      <c r="BW7221" s="397"/>
      <c r="BX7221" s="397"/>
      <c r="BY7221" s="397"/>
      <c r="BZ7221" s="397"/>
      <c r="CA7221" s="392" t="s">
        <v>413</v>
      </c>
    </row>
    <row r="7222" spans="1:80" s="392" customFormat="1" ht="15" x14ac:dyDescent="0.25">
      <c r="A7222" s="385"/>
      <c r="D7222" s="700"/>
      <c r="E7222" s="397"/>
      <c r="H7222" s="401">
        <v>3</v>
      </c>
      <c r="I7222" s="401"/>
      <c r="J7222" s="401"/>
      <c r="K7222" s="401"/>
      <c r="L7222" s="675"/>
      <c r="M7222" s="672">
        <v>28664</v>
      </c>
      <c r="N7222" s="623">
        <v>0.13318220459053556</v>
      </c>
      <c r="O7222" s="624">
        <v>1.4666400000000002E-3</v>
      </c>
      <c r="P7222" s="397"/>
      <c r="Q7222" s="397"/>
      <c r="R7222" s="397"/>
      <c r="S7222" s="397"/>
      <c r="T7222" s="397"/>
      <c r="U7222" s="397"/>
      <c r="V7222" s="397"/>
      <c r="W7222" s="397"/>
      <c r="X7222" s="397"/>
      <c r="Y7222" s="397"/>
      <c r="Z7222" s="397"/>
      <c r="AD7222" s="388">
        <v>2.5603200000000004</v>
      </c>
      <c r="AE7222" s="388"/>
      <c r="AF7222" s="388"/>
      <c r="AG7222" s="388"/>
      <c r="AH7222" s="391"/>
      <c r="AI7222" s="397"/>
      <c r="AJ7222" s="397"/>
      <c r="AU7222" s="397"/>
      <c r="AV7222" s="397"/>
      <c r="AW7222" s="397"/>
      <c r="AX7222" s="397"/>
      <c r="BI7222" s="397"/>
      <c r="BJ7222" s="397"/>
      <c r="BK7222" s="397"/>
      <c r="BL7222" s="397"/>
      <c r="BM7222" s="397"/>
      <c r="BN7222" s="397"/>
      <c r="BO7222" s="397"/>
      <c r="BP7222" s="397"/>
      <c r="BQ7222" s="397"/>
      <c r="BR7222" s="397"/>
      <c r="BS7222" s="397"/>
      <c r="BT7222" s="397"/>
      <c r="BU7222" s="397"/>
      <c r="BV7222" s="397"/>
      <c r="BW7222" s="397"/>
      <c r="BX7222" s="397"/>
      <c r="BY7222" s="397"/>
      <c r="BZ7222" s="397"/>
      <c r="CA7222" s="392" t="s">
        <v>413</v>
      </c>
    </row>
    <row r="7223" spans="1:80" s="392" customFormat="1" ht="15" x14ac:dyDescent="0.25">
      <c r="A7223" s="385"/>
      <c r="D7223" s="700"/>
      <c r="E7223" s="397"/>
      <c r="H7223" s="401">
        <v>3</v>
      </c>
      <c r="I7223" s="401"/>
      <c r="J7223" s="401"/>
      <c r="K7223" s="401"/>
      <c r="L7223" s="675"/>
      <c r="M7223" s="672">
        <v>28669</v>
      </c>
      <c r="N7223" s="623">
        <v>0.10767922924341172</v>
      </c>
      <c r="O7223" s="624">
        <v>6.1740000000000007E-3</v>
      </c>
      <c r="P7223" s="397"/>
      <c r="Q7223" s="397"/>
      <c r="R7223" s="397"/>
      <c r="S7223" s="397"/>
      <c r="T7223" s="397"/>
      <c r="U7223" s="397"/>
      <c r="V7223" s="397"/>
      <c r="W7223" s="397"/>
      <c r="X7223" s="397"/>
      <c r="Y7223" s="397"/>
      <c r="Z7223" s="397"/>
      <c r="AD7223" s="388">
        <v>2.5603200000000004</v>
      </c>
      <c r="AE7223" s="388"/>
      <c r="AF7223" s="388"/>
      <c r="AG7223" s="388"/>
      <c r="AH7223" s="391"/>
      <c r="AI7223" s="397"/>
      <c r="AJ7223" s="397"/>
      <c r="AU7223" s="397"/>
      <c r="AV7223" s="397"/>
      <c r="AW7223" s="397"/>
      <c r="AX7223" s="397"/>
      <c r="BI7223" s="397"/>
      <c r="BJ7223" s="397"/>
      <c r="BK7223" s="397"/>
      <c r="BL7223" s="397"/>
      <c r="BM7223" s="397"/>
      <c r="BN7223" s="397"/>
      <c r="BO7223" s="397"/>
      <c r="BP7223" s="397"/>
      <c r="BQ7223" s="397"/>
      <c r="BR7223" s="397"/>
      <c r="BS7223" s="397"/>
      <c r="BT7223" s="397"/>
      <c r="BU7223" s="397"/>
      <c r="BV7223" s="397"/>
      <c r="BW7223" s="397"/>
      <c r="BX7223" s="397"/>
      <c r="BY7223" s="397"/>
      <c r="BZ7223" s="397"/>
      <c r="CA7223" s="392" t="s">
        <v>413</v>
      </c>
    </row>
    <row r="7224" spans="1:80" s="392" customFormat="1" ht="15" x14ac:dyDescent="0.25">
      <c r="A7224" s="385"/>
      <c r="D7224" s="700"/>
      <c r="E7224" s="397"/>
      <c r="H7224" s="401">
        <v>3</v>
      </c>
      <c r="I7224" s="401"/>
      <c r="J7224" s="401"/>
      <c r="K7224" s="401"/>
      <c r="L7224" s="675"/>
      <c r="M7224" s="672">
        <v>28676</v>
      </c>
      <c r="N7224" s="623">
        <v>7.0841598186455093E-2</v>
      </c>
      <c r="O7224" s="624">
        <v>1.1760000000000002E-3</v>
      </c>
      <c r="P7224" s="397"/>
      <c r="Q7224" s="397"/>
      <c r="R7224" s="397"/>
      <c r="S7224" s="397"/>
      <c r="T7224" s="397"/>
      <c r="U7224" s="397"/>
      <c r="V7224" s="397"/>
      <c r="W7224" s="397"/>
      <c r="X7224" s="397"/>
      <c r="Y7224" s="397"/>
      <c r="Z7224" s="397"/>
      <c r="AD7224" s="388">
        <v>2.5603200000000004</v>
      </c>
      <c r="AE7224" s="388"/>
      <c r="AF7224" s="388"/>
      <c r="AG7224" s="388"/>
      <c r="AH7224" s="391"/>
      <c r="AI7224" s="397"/>
      <c r="AJ7224" s="397"/>
      <c r="AU7224" s="397"/>
      <c r="AV7224" s="397"/>
      <c r="AW7224" s="397"/>
      <c r="AX7224" s="397"/>
      <c r="BI7224" s="397"/>
      <c r="BJ7224" s="397"/>
      <c r="BK7224" s="397"/>
      <c r="BL7224" s="397"/>
      <c r="BM7224" s="397"/>
      <c r="BN7224" s="397"/>
      <c r="BO7224" s="397"/>
      <c r="BP7224" s="397"/>
      <c r="BQ7224" s="397"/>
      <c r="BR7224" s="397"/>
      <c r="BS7224" s="397"/>
      <c r="BT7224" s="397"/>
      <c r="BU7224" s="397"/>
      <c r="BV7224" s="397"/>
      <c r="BW7224" s="397"/>
      <c r="BX7224" s="397"/>
      <c r="BY7224" s="397"/>
      <c r="BZ7224" s="397"/>
      <c r="CA7224" s="392" t="s">
        <v>413</v>
      </c>
    </row>
    <row r="7225" spans="1:80" s="392" customFormat="1" ht="15" x14ac:dyDescent="0.25">
      <c r="A7225" s="385"/>
      <c r="D7225" s="700"/>
      <c r="E7225" s="397"/>
      <c r="H7225" s="401">
        <v>3</v>
      </c>
      <c r="I7225" s="401"/>
      <c r="J7225" s="401"/>
      <c r="K7225" s="401"/>
      <c r="L7225" s="675"/>
      <c r="M7225" s="672">
        <v>28681</v>
      </c>
      <c r="N7225" s="623">
        <v>5.3839614621705861E-2</v>
      </c>
      <c r="O7225" s="624">
        <v>1.0920000000000001E-3</v>
      </c>
      <c r="P7225" s="397"/>
      <c r="Q7225" s="397"/>
      <c r="R7225" s="397"/>
      <c r="S7225" s="397"/>
      <c r="T7225" s="397"/>
      <c r="U7225" s="397"/>
      <c r="V7225" s="397"/>
      <c r="W7225" s="397"/>
      <c r="X7225" s="397"/>
      <c r="Y7225" s="397"/>
      <c r="Z7225" s="397"/>
      <c r="AD7225" s="388">
        <v>2.286</v>
      </c>
      <c r="AE7225" s="388"/>
      <c r="AF7225" s="388"/>
      <c r="AG7225" s="388"/>
      <c r="AH7225" s="391"/>
      <c r="AI7225" s="397"/>
      <c r="AJ7225" s="397"/>
      <c r="AU7225" s="397"/>
      <c r="AV7225" s="397"/>
      <c r="AW7225" s="397"/>
      <c r="AX7225" s="397"/>
      <c r="BI7225" s="397"/>
      <c r="BJ7225" s="397"/>
      <c r="BK7225" s="397"/>
      <c r="BL7225" s="397"/>
      <c r="BM7225" s="397"/>
      <c r="BN7225" s="397"/>
      <c r="BO7225" s="397"/>
      <c r="BP7225" s="397"/>
      <c r="BQ7225" s="397"/>
      <c r="BR7225" s="397"/>
      <c r="BS7225" s="397"/>
      <c r="BT7225" s="397"/>
      <c r="BU7225" s="397"/>
      <c r="BV7225" s="397"/>
      <c r="BW7225" s="397"/>
      <c r="BX7225" s="397"/>
      <c r="BY7225" s="397"/>
      <c r="BZ7225" s="397"/>
      <c r="CA7225" s="392" t="s">
        <v>413</v>
      </c>
    </row>
    <row r="7226" spans="1:80" s="392" customFormat="1" ht="15" x14ac:dyDescent="0.25">
      <c r="A7226" s="385"/>
      <c r="D7226" s="700"/>
      <c r="E7226" s="397"/>
      <c r="H7226" s="401">
        <v>3</v>
      </c>
      <c r="I7226" s="401"/>
      <c r="J7226" s="401"/>
      <c r="K7226" s="401"/>
      <c r="L7226" s="675"/>
      <c r="M7226" s="672">
        <v>28684</v>
      </c>
      <c r="N7226" s="623">
        <v>4.817228676678946E-2</v>
      </c>
      <c r="O7226" s="624">
        <v>1.029E-3</v>
      </c>
      <c r="P7226" s="397"/>
      <c r="Q7226" s="397"/>
      <c r="R7226" s="397"/>
      <c r="S7226" s="397"/>
      <c r="T7226" s="397"/>
      <c r="U7226" s="397"/>
      <c r="V7226" s="397"/>
      <c r="W7226" s="397"/>
      <c r="X7226" s="397"/>
      <c r="Y7226" s="397"/>
      <c r="Z7226" s="397"/>
      <c r="AD7226" s="388">
        <v>2.286</v>
      </c>
      <c r="AE7226" s="388"/>
      <c r="AF7226" s="388"/>
      <c r="AG7226" s="388"/>
      <c r="AH7226" s="391"/>
      <c r="AI7226" s="397"/>
      <c r="AJ7226" s="397"/>
      <c r="AU7226" s="397"/>
      <c r="AV7226" s="397"/>
      <c r="AW7226" s="397"/>
      <c r="AX7226" s="397"/>
      <c r="BI7226" s="397"/>
      <c r="BJ7226" s="397"/>
      <c r="BK7226" s="397"/>
      <c r="BL7226" s="397"/>
      <c r="BM7226" s="397"/>
      <c r="BN7226" s="397"/>
      <c r="BO7226" s="397"/>
      <c r="BP7226" s="397"/>
      <c r="BQ7226" s="397"/>
      <c r="BR7226" s="397"/>
      <c r="BS7226" s="397"/>
      <c r="BT7226" s="397"/>
      <c r="BU7226" s="397"/>
      <c r="BV7226" s="397"/>
      <c r="BW7226" s="397"/>
      <c r="BX7226" s="397"/>
      <c r="BY7226" s="397"/>
      <c r="BZ7226" s="397"/>
      <c r="CA7226" s="392" t="s">
        <v>413</v>
      </c>
    </row>
    <row r="7227" spans="1:80" s="392" customFormat="1" ht="15" x14ac:dyDescent="0.25">
      <c r="A7227" s="385"/>
      <c r="D7227" s="700"/>
      <c r="E7227" s="397"/>
      <c r="H7227" s="401">
        <v>3</v>
      </c>
      <c r="I7227" s="401"/>
      <c r="J7227" s="401"/>
      <c r="K7227" s="401"/>
      <c r="L7227" s="675"/>
      <c r="M7227" s="672">
        <v>28688</v>
      </c>
      <c r="N7227" s="623">
        <v>4.2504958911873052E-2</v>
      </c>
      <c r="O7227" s="624">
        <v>5.04E-4</v>
      </c>
      <c r="P7227" s="397"/>
      <c r="Q7227" s="397"/>
      <c r="R7227" s="397"/>
      <c r="S7227" s="397"/>
      <c r="T7227" s="397"/>
      <c r="U7227" s="397"/>
      <c r="V7227" s="397"/>
      <c r="W7227" s="397"/>
      <c r="X7227" s="397"/>
      <c r="Y7227" s="397"/>
      <c r="Z7227" s="397"/>
      <c r="AD7227" s="388">
        <v>2.286</v>
      </c>
      <c r="AE7227" s="388"/>
      <c r="AF7227" s="388"/>
      <c r="AG7227" s="388"/>
      <c r="AH7227" s="391"/>
      <c r="AI7227" s="397"/>
      <c r="AJ7227" s="397"/>
      <c r="AU7227" s="397"/>
      <c r="AV7227" s="397"/>
      <c r="AW7227" s="397"/>
      <c r="AX7227" s="397"/>
      <c r="BI7227" s="397"/>
      <c r="BJ7227" s="397"/>
      <c r="BK7227" s="397"/>
      <c r="BL7227" s="397"/>
      <c r="BM7227" s="397"/>
      <c r="BN7227" s="397"/>
      <c r="BO7227" s="397"/>
      <c r="BP7227" s="397"/>
      <c r="BQ7227" s="397"/>
      <c r="BR7227" s="397"/>
      <c r="BS7227" s="397"/>
      <c r="BT7227" s="397"/>
      <c r="BU7227" s="397"/>
      <c r="BV7227" s="397"/>
      <c r="BW7227" s="397"/>
      <c r="BX7227" s="397"/>
      <c r="BY7227" s="397"/>
      <c r="BZ7227" s="397"/>
      <c r="CA7227" s="392" t="s">
        <v>413</v>
      </c>
    </row>
    <row r="7228" spans="1:80" s="392" customFormat="1" ht="15" x14ac:dyDescent="0.25">
      <c r="A7228" s="385"/>
      <c r="D7228" s="700"/>
      <c r="E7228" s="397"/>
      <c r="H7228" s="401">
        <v>3</v>
      </c>
      <c r="I7228" s="401"/>
      <c r="J7228" s="401"/>
      <c r="K7228" s="401"/>
      <c r="L7228" s="675"/>
      <c r="M7228" s="672">
        <v>28695</v>
      </c>
      <c r="N7228" s="623">
        <v>3.5420799093227547E-2</v>
      </c>
      <c r="O7228" s="624">
        <v>5.04E-4</v>
      </c>
      <c r="P7228" s="397"/>
      <c r="Q7228" s="397"/>
      <c r="R7228" s="397"/>
      <c r="S7228" s="397"/>
      <c r="T7228" s="397"/>
      <c r="U7228" s="397"/>
      <c r="V7228" s="397"/>
      <c r="W7228" s="397"/>
      <c r="X7228" s="397"/>
      <c r="Y7228" s="397"/>
      <c r="Z7228" s="397"/>
      <c r="AD7228" s="388">
        <v>2.286</v>
      </c>
      <c r="AE7228" s="388"/>
      <c r="AF7228" s="388"/>
      <c r="AG7228" s="388"/>
      <c r="AH7228" s="391"/>
      <c r="AI7228" s="397"/>
      <c r="AJ7228" s="397"/>
      <c r="AU7228" s="397"/>
      <c r="AV7228" s="397"/>
      <c r="AW7228" s="397"/>
      <c r="AX7228" s="397"/>
      <c r="BI7228" s="397"/>
      <c r="BJ7228" s="397"/>
      <c r="BK7228" s="397"/>
      <c r="BL7228" s="397"/>
      <c r="BM7228" s="397"/>
      <c r="BN7228" s="397"/>
      <c r="BO7228" s="397"/>
      <c r="BP7228" s="397"/>
      <c r="BQ7228" s="397"/>
      <c r="BR7228" s="397"/>
      <c r="BS7228" s="397"/>
      <c r="BT7228" s="397"/>
      <c r="BU7228" s="397"/>
      <c r="BV7228" s="397"/>
      <c r="BW7228" s="397"/>
      <c r="BX7228" s="397"/>
      <c r="BY7228" s="397"/>
      <c r="BZ7228" s="397"/>
      <c r="CA7228" s="392" t="s">
        <v>413</v>
      </c>
    </row>
    <row r="7229" spans="1:80" s="392" customFormat="1" ht="15" x14ac:dyDescent="0.25">
      <c r="A7229" s="385"/>
      <c r="D7229" s="700"/>
      <c r="E7229" s="397"/>
      <c r="H7229" s="401">
        <v>3</v>
      </c>
      <c r="I7229" s="401"/>
      <c r="J7229" s="401"/>
      <c r="K7229" s="401"/>
      <c r="L7229" s="675"/>
      <c r="M7229" s="672">
        <v>28698</v>
      </c>
      <c r="N7229" s="623">
        <v>3.4003967129498443E-2</v>
      </c>
      <c r="O7229" s="624">
        <v>5.04E-4</v>
      </c>
      <c r="P7229" s="397"/>
      <c r="Q7229" s="397"/>
      <c r="R7229" s="397"/>
      <c r="S7229" s="397"/>
      <c r="T7229" s="397"/>
      <c r="U7229" s="397"/>
      <c r="V7229" s="397"/>
      <c r="W7229" s="397"/>
      <c r="X7229" s="397"/>
      <c r="Y7229" s="397"/>
      <c r="Z7229" s="397"/>
      <c r="AD7229" s="388">
        <v>2.286</v>
      </c>
      <c r="AE7229" s="388"/>
      <c r="AF7229" s="388"/>
      <c r="AG7229" s="388"/>
      <c r="AH7229" s="391"/>
      <c r="AI7229" s="397"/>
      <c r="AJ7229" s="397"/>
      <c r="AU7229" s="397"/>
      <c r="AV7229" s="397"/>
      <c r="AW7229" s="397"/>
      <c r="AX7229" s="397"/>
      <c r="BI7229" s="397"/>
      <c r="BJ7229" s="397"/>
      <c r="BK7229" s="397"/>
      <c r="BL7229" s="397"/>
      <c r="BM7229" s="397"/>
      <c r="BN7229" s="397"/>
      <c r="BO7229" s="397"/>
      <c r="BP7229" s="397"/>
      <c r="BQ7229" s="397"/>
      <c r="BR7229" s="397"/>
      <c r="BS7229" s="397"/>
      <c r="BT7229" s="397"/>
      <c r="BU7229" s="397"/>
      <c r="BV7229" s="397"/>
      <c r="BW7229" s="397"/>
      <c r="BX7229" s="397"/>
      <c r="BY7229" s="397"/>
      <c r="BZ7229" s="397"/>
      <c r="CA7229" s="392" t="s">
        <v>413</v>
      </c>
    </row>
    <row r="7230" spans="1:80" s="392" customFormat="1" ht="15" x14ac:dyDescent="0.25">
      <c r="A7230" s="385"/>
      <c r="D7230" s="700"/>
      <c r="E7230" s="397"/>
      <c r="H7230" s="401">
        <v>3</v>
      </c>
      <c r="I7230" s="401"/>
      <c r="J7230" s="401"/>
      <c r="K7230" s="401"/>
      <c r="L7230" s="675"/>
      <c r="M7230" s="672">
        <v>28703</v>
      </c>
      <c r="N7230" s="623">
        <v>2.7486540096344575E-2</v>
      </c>
      <c r="O7230" s="624">
        <v>2.8139999999999997E-3</v>
      </c>
      <c r="P7230" s="397"/>
      <c r="Q7230" s="397"/>
      <c r="R7230" s="397"/>
      <c r="S7230" s="397"/>
      <c r="T7230" s="397"/>
      <c r="U7230" s="397"/>
      <c r="V7230" s="397"/>
      <c r="W7230" s="397"/>
      <c r="X7230" s="397"/>
      <c r="Y7230" s="397"/>
      <c r="Z7230" s="397"/>
      <c r="AD7230" s="388">
        <v>2.1335999999999999</v>
      </c>
      <c r="AE7230" s="388"/>
      <c r="AF7230" s="388"/>
      <c r="AG7230" s="388"/>
      <c r="AH7230" s="391"/>
      <c r="AI7230" s="397"/>
      <c r="AJ7230" s="397"/>
      <c r="AU7230" s="397"/>
      <c r="AV7230" s="397"/>
      <c r="AW7230" s="397"/>
      <c r="AX7230" s="397"/>
      <c r="BI7230" s="397"/>
      <c r="BJ7230" s="397"/>
      <c r="BK7230" s="397"/>
      <c r="BL7230" s="397"/>
      <c r="BM7230" s="397"/>
      <c r="BN7230" s="397"/>
      <c r="BO7230" s="397"/>
      <c r="BP7230" s="397"/>
      <c r="BQ7230" s="397"/>
      <c r="BR7230" s="397"/>
      <c r="BS7230" s="397"/>
      <c r="BT7230" s="397"/>
      <c r="BU7230" s="397"/>
      <c r="BV7230" s="397"/>
      <c r="BW7230" s="397"/>
      <c r="BX7230" s="397"/>
      <c r="BY7230" s="397"/>
      <c r="BZ7230" s="397"/>
      <c r="CA7230" s="392" t="s">
        <v>413</v>
      </c>
    </row>
    <row r="7231" spans="1:80" s="189" customFormat="1" ht="15" x14ac:dyDescent="0.25">
      <c r="A7231" s="381" t="s">
        <v>462</v>
      </c>
      <c r="B7231" s="641"/>
      <c r="C7231" s="639"/>
      <c r="D7231" s="4">
        <f>VLOOKUP(E7231,'Quality Code'!$D$4:$E$24,2,TRUE)*VLOOKUP(MROUND(F7231,10),'Quality Code'!$D$28:$E$69,2,TRUE)*VLOOKUP(COUNTA(CB7231:CB7241),'Quality Code'!$D$73:$E$93,2,TRUE)</f>
        <v>8.7499999999999994E-2</v>
      </c>
      <c r="E7231" s="14">
        <v>0.35</v>
      </c>
      <c r="F7231" s="2">
        <v>5</v>
      </c>
      <c r="G7231" s="12"/>
      <c r="H7231" s="2" t="s">
        <v>105</v>
      </c>
      <c r="I7231" s="2"/>
      <c r="J7231" s="2"/>
      <c r="K7231" s="2"/>
      <c r="L7231" s="639"/>
      <c r="M7231" s="640">
        <v>1977</v>
      </c>
      <c r="N7231" s="578" t="s">
        <v>110</v>
      </c>
      <c r="O7231" s="578"/>
      <c r="P7231" s="26"/>
      <c r="Q7231" s="26"/>
      <c r="R7231" s="26"/>
      <c r="S7231" s="26"/>
      <c r="T7231" s="26"/>
      <c r="U7231" s="26"/>
      <c r="V7231" s="10"/>
      <c r="W7231" s="10"/>
      <c r="X7231" s="10"/>
      <c r="Y7231" s="10"/>
      <c r="Z7231" s="2"/>
      <c r="AA7231" s="26"/>
      <c r="AB7231" s="26"/>
      <c r="AC7231" s="377">
        <v>1.4E-2</v>
      </c>
      <c r="AD7231" s="406"/>
      <c r="AE7231" s="26"/>
      <c r="AF7231" s="26"/>
      <c r="AG7231" s="26"/>
      <c r="AH7231" s="26"/>
      <c r="AI7231" s="4"/>
      <c r="AJ7231" s="4"/>
      <c r="AK7231" s="26"/>
      <c r="AL7231" s="26"/>
      <c r="AM7231" s="26"/>
      <c r="AN7231" s="26"/>
      <c r="AO7231" s="26"/>
      <c r="AP7231" s="26"/>
      <c r="AQ7231" s="26"/>
      <c r="AR7231" s="26"/>
      <c r="AS7231" s="26"/>
      <c r="AT7231" s="26"/>
      <c r="AU7231" s="4"/>
      <c r="AV7231" s="4"/>
      <c r="AW7231" s="4"/>
      <c r="AX7231" s="4"/>
      <c r="AY7231" s="2"/>
      <c r="AZ7231" s="2"/>
      <c r="BA7231" s="12"/>
      <c r="BB7231" s="12"/>
      <c r="BC7231" s="12"/>
      <c r="BD7231" s="12"/>
      <c r="BE7231" s="12"/>
      <c r="BF7231" s="12"/>
      <c r="BG7231" s="12"/>
      <c r="BH7231" s="12"/>
      <c r="BI7231" s="4"/>
      <c r="BJ7231" s="12"/>
      <c r="BK7231" s="2"/>
      <c r="BL7231" s="2"/>
      <c r="BM7231" s="4"/>
      <c r="BN7231" s="12"/>
      <c r="BO7231" s="12"/>
      <c r="BP7231" s="12"/>
      <c r="BQ7231" s="4"/>
      <c r="BR7231" s="4"/>
      <c r="BS7231" s="4"/>
      <c r="BT7231" s="2"/>
      <c r="BU7231" s="9"/>
      <c r="BV7231" s="381"/>
      <c r="BW7231" s="382"/>
      <c r="BX7231" s="383"/>
      <c r="BY7231" s="383"/>
      <c r="BZ7231" s="383"/>
      <c r="CA7231" s="384" t="s">
        <v>413</v>
      </c>
      <c r="CB7231" s="411"/>
    </row>
    <row r="7232" spans="1:80" s="392" customFormat="1" ht="15" x14ac:dyDescent="0.25">
      <c r="A7232" s="385"/>
      <c r="D7232" s="700"/>
      <c r="E7232" s="397"/>
      <c r="H7232" s="401">
        <v>3</v>
      </c>
      <c r="I7232" s="401"/>
      <c r="J7232" s="401"/>
      <c r="K7232" s="401"/>
      <c r="L7232" s="675"/>
      <c r="M7232" s="672">
        <v>28256</v>
      </c>
      <c r="N7232" s="623">
        <v>0.4077642391612355</v>
      </c>
      <c r="O7232" s="624">
        <v>1.92E-3</v>
      </c>
      <c r="P7232" s="397"/>
      <c r="Q7232" s="397"/>
      <c r="R7232" s="397"/>
      <c r="S7232" s="397"/>
      <c r="T7232" s="397"/>
      <c r="U7232" s="397"/>
      <c r="V7232" s="397"/>
      <c r="W7232" s="397"/>
      <c r="X7232" s="397"/>
      <c r="Y7232" s="397"/>
      <c r="Z7232" s="397"/>
      <c r="AD7232" s="388">
        <v>4.8768000000000002</v>
      </c>
      <c r="AE7232" s="388">
        <v>0.210312</v>
      </c>
      <c r="AF7232" s="388">
        <v>1.0256495616000001</v>
      </c>
      <c r="AG7232" s="388">
        <v>0.384048</v>
      </c>
      <c r="AH7232" s="391"/>
      <c r="AI7232" s="397"/>
      <c r="AJ7232" s="397"/>
      <c r="AU7232" s="397"/>
      <c r="AV7232" s="397"/>
      <c r="AW7232" s="397"/>
      <c r="AX7232" s="397"/>
      <c r="BI7232" s="397"/>
      <c r="BJ7232" s="397"/>
      <c r="BK7232" s="397"/>
      <c r="BL7232" s="397"/>
      <c r="BM7232" s="397"/>
      <c r="BN7232" s="397"/>
      <c r="BO7232" s="397"/>
      <c r="BP7232" s="397"/>
      <c r="BQ7232" s="397"/>
      <c r="BR7232" s="397"/>
      <c r="BS7232" s="397"/>
      <c r="BT7232" s="397"/>
      <c r="BU7232" s="397"/>
      <c r="BV7232" s="397"/>
      <c r="BW7232" s="397"/>
      <c r="BX7232" s="397"/>
      <c r="BY7232" s="397"/>
      <c r="BZ7232" s="397"/>
      <c r="CA7232" s="392" t="s">
        <v>413</v>
      </c>
    </row>
    <row r="7233" spans="1:80" s="392" customFormat="1" ht="15" x14ac:dyDescent="0.25">
      <c r="A7233" s="385"/>
      <c r="D7233" s="700"/>
      <c r="E7233" s="397"/>
      <c r="H7233" s="401">
        <v>3</v>
      </c>
      <c r="I7233" s="401"/>
      <c r="J7233" s="401"/>
      <c r="K7233" s="401"/>
      <c r="L7233" s="675"/>
      <c r="M7233" s="672">
        <v>28271</v>
      </c>
      <c r="N7233" s="623">
        <v>0.49985831680362713</v>
      </c>
      <c r="O7233" s="624">
        <v>1.4300000000000001E-3</v>
      </c>
      <c r="P7233" s="397"/>
      <c r="Q7233" s="397"/>
      <c r="R7233" s="397"/>
      <c r="S7233" s="397"/>
      <c r="T7233" s="397"/>
      <c r="U7233" s="397"/>
      <c r="V7233" s="397"/>
      <c r="W7233" s="397"/>
      <c r="X7233" s="397"/>
      <c r="Y7233" s="397"/>
      <c r="Z7233" s="397"/>
      <c r="AD7233" s="388">
        <v>4.3586400000000003</v>
      </c>
      <c r="AE7233" s="388">
        <v>0.277368</v>
      </c>
      <c r="AF7233" s="388">
        <v>1.2089472595200002</v>
      </c>
      <c r="AG7233" s="388">
        <v>0.44500800000000001</v>
      </c>
      <c r="AH7233" s="391"/>
      <c r="AI7233" s="397"/>
      <c r="AJ7233" s="397"/>
      <c r="AU7233" s="397"/>
      <c r="AV7233" s="397"/>
      <c r="AW7233" s="397"/>
      <c r="AX7233" s="397"/>
      <c r="BI7233" s="397"/>
      <c r="BJ7233" s="397"/>
      <c r="BK7233" s="397"/>
      <c r="BL7233" s="397"/>
      <c r="BM7233" s="397"/>
      <c r="BN7233" s="397"/>
      <c r="BO7233" s="397"/>
      <c r="BP7233" s="397"/>
      <c r="BQ7233" s="397"/>
      <c r="BR7233" s="397"/>
      <c r="BS7233" s="397"/>
      <c r="BT7233" s="397"/>
      <c r="BU7233" s="397"/>
      <c r="BV7233" s="397"/>
      <c r="BW7233" s="397"/>
      <c r="BX7233" s="397"/>
      <c r="BY7233" s="397"/>
      <c r="BZ7233" s="397"/>
      <c r="CA7233" s="392" t="s">
        <v>413</v>
      </c>
    </row>
    <row r="7234" spans="1:80" s="392" customFormat="1" ht="15" x14ac:dyDescent="0.25">
      <c r="A7234" s="385"/>
      <c r="D7234" s="700"/>
      <c r="E7234" s="397"/>
      <c r="H7234" s="401">
        <v>3</v>
      </c>
      <c r="I7234" s="401"/>
      <c r="J7234" s="401"/>
      <c r="K7234" s="401"/>
      <c r="L7234" s="675"/>
      <c r="M7234" s="672">
        <v>28277</v>
      </c>
      <c r="N7234" s="623">
        <v>0.40946443751771039</v>
      </c>
      <c r="O7234" s="624">
        <v>1.5039999999999999E-3</v>
      </c>
      <c r="P7234" s="397"/>
      <c r="Q7234" s="397"/>
      <c r="R7234" s="397"/>
      <c r="S7234" s="397"/>
      <c r="T7234" s="397"/>
      <c r="U7234" s="397"/>
      <c r="V7234" s="397"/>
      <c r="W7234" s="397"/>
      <c r="X7234" s="397"/>
      <c r="Y7234" s="397"/>
      <c r="Z7234" s="397"/>
      <c r="AD7234" s="388">
        <v>4.2976799999999997</v>
      </c>
      <c r="AE7234" s="388">
        <v>0.24688800000000002</v>
      </c>
      <c r="AF7234" s="388">
        <v>1.06104561984</v>
      </c>
      <c r="AG7234" s="388">
        <v>0.39624000000000004</v>
      </c>
      <c r="AH7234" s="391"/>
      <c r="AI7234" s="397"/>
      <c r="AJ7234" s="397"/>
      <c r="AU7234" s="397"/>
      <c r="AV7234" s="397"/>
      <c r="AW7234" s="397"/>
      <c r="AX7234" s="397"/>
      <c r="BI7234" s="397"/>
      <c r="BJ7234" s="397"/>
      <c r="BK7234" s="397"/>
      <c r="BL7234" s="397"/>
      <c r="BM7234" s="397"/>
      <c r="BN7234" s="397"/>
      <c r="BO7234" s="397"/>
      <c r="BP7234" s="397"/>
      <c r="BQ7234" s="397"/>
      <c r="BR7234" s="397"/>
      <c r="BS7234" s="397"/>
      <c r="BT7234" s="397"/>
      <c r="BU7234" s="397"/>
      <c r="BV7234" s="397"/>
      <c r="BW7234" s="397"/>
      <c r="BX7234" s="397"/>
      <c r="BY7234" s="397"/>
      <c r="BZ7234" s="397"/>
      <c r="CA7234" s="392" t="s">
        <v>413</v>
      </c>
    </row>
    <row r="7235" spans="1:80" s="392" customFormat="1" ht="15" x14ac:dyDescent="0.25">
      <c r="A7235" s="385"/>
      <c r="D7235" s="700"/>
      <c r="E7235" s="397"/>
      <c r="H7235" s="401">
        <v>3</v>
      </c>
      <c r="I7235" s="401"/>
      <c r="J7235" s="401"/>
      <c r="K7235" s="401"/>
      <c r="L7235" s="675"/>
      <c r="M7235" s="672">
        <v>28282</v>
      </c>
      <c r="N7235" s="623">
        <v>0.29130065174270331</v>
      </c>
      <c r="O7235" s="624">
        <v>1.1279999999999999E-3</v>
      </c>
      <c r="P7235" s="397"/>
      <c r="Q7235" s="397"/>
      <c r="R7235" s="397"/>
      <c r="S7235" s="397"/>
      <c r="T7235" s="397"/>
      <c r="U7235" s="397"/>
      <c r="V7235" s="397"/>
      <c r="W7235" s="397"/>
      <c r="X7235" s="397"/>
      <c r="Y7235" s="397"/>
      <c r="Z7235" s="397"/>
      <c r="AD7235" s="388">
        <v>4.2976799999999997</v>
      </c>
      <c r="AE7235" s="388">
        <v>0.210312</v>
      </c>
      <c r="AF7235" s="388">
        <v>0.9038536761599999</v>
      </c>
      <c r="AG7235" s="388">
        <v>0.33528000000000002</v>
      </c>
      <c r="AH7235" s="391"/>
      <c r="AI7235" s="397"/>
      <c r="AJ7235" s="397"/>
      <c r="AU7235" s="397"/>
      <c r="AV7235" s="397"/>
      <c r="AW7235" s="397"/>
      <c r="AX7235" s="397"/>
      <c r="BI7235" s="397"/>
      <c r="BJ7235" s="397"/>
      <c r="BK7235" s="397"/>
      <c r="BL7235" s="397"/>
      <c r="BM7235" s="397"/>
      <c r="BN7235" s="397"/>
      <c r="BO7235" s="397"/>
      <c r="BP7235" s="397"/>
      <c r="BQ7235" s="397"/>
      <c r="BR7235" s="397"/>
      <c r="BS7235" s="397"/>
      <c r="BT7235" s="397"/>
      <c r="BU7235" s="397"/>
      <c r="BV7235" s="397"/>
      <c r="BW7235" s="397"/>
      <c r="BX7235" s="397"/>
      <c r="BY7235" s="397"/>
      <c r="BZ7235" s="397"/>
      <c r="CA7235" s="392" t="s">
        <v>413</v>
      </c>
    </row>
    <row r="7236" spans="1:80" s="392" customFormat="1" ht="15" x14ac:dyDescent="0.25">
      <c r="A7236" s="385"/>
      <c r="D7236" s="700"/>
      <c r="E7236" s="397"/>
      <c r="H7236" s="401">
        <v>3</v>
      </c>
      <c r="I7236" s="401"/>
      <c r="J7236" s="401"/>
      <c r="K7236" s="401"/>
      <c r="L7236" s="675"/>
      <c r="M7236" s="672">
        <v>28290</v>
      </c>
      <c r="N7236" s="623">
        <v>0.11022952677812412</v>
      </c>
      <c r="O7236" s="624">
        <v>1.6560000000000001E-3</v>
      </c>
      <c r="P7236" s="397"/>
      <c r="Q7236" s="397"/>
      <c r="R7236" s="397"/>
      <c r="S7236" s="397"/>
      <c r="T7236" s="397"/>
      <c r="U7236" s="397"/>
      <c r="V7236" s="397"/>
      <c r="W7236" s="397"/>
      <c r="X7236" s="397"/>
      <c r="Y7236" s="397"/>
      <c r="Z7236" s="397"/>
      <c r="AD7236" s="388">
        <v>4.2062400000000002</v>
      </c>
      <c r="AE7236" s="388">
        <v>0.17068800000000003</v>
      </c>
      <c r="AF7236" s="388">
        <v>0.71795469312000015</v>
      </c>
      <c r="AG7236" s="388">
        <v>0.24384000000000003</v>
      </c>
      <c r="AH7236" s="391"/>
      <c r="AI7236" s="397"/>
      <c r="AJ7236" s="397"/>
      <c r="AU7236" s="397"/>
      <c r="AV7236" s="397"/>
      <c r="AW7236" s="397"/>
      <c r="AX7236" s="397"/>
      <c r="BI7236" s="397"/>
      <c r="BJ7236" s="397"/>
      <c r="BK7236" s="397"/>
      <c r="BL7236" s="397"/>
      <c r="BM7236" s="397"/>
      <c r="BN7236" s="397"/>
      <c r="BO7236" s="397"/>
      <c r="BP7236" s="397"/>
      <c r="BQ7236" s="397"/>
      <c r="BR7236" s="397"/>
      <c r="BS7236" s="397"/>
      <c r="BT7236" s="397"/>
      <c r="BU7236" s="397"/>
      <c r="BV7236" s="397"/>
      <c r="BW7236" s="397"/>
      <c r="BX7236" s="397"/>
      <c r="BY7236" s="397"/>
      <c r="BZ7236" s="397"/>
      <c r="CA7236" s="392" t="s">
        <v>413</v>
      </c>
    </row>
    <row r="7237" spans="1:80" s="392" customFormat="1" ht="15" x14ac:dyDescent="0.25">
      <c r="A7237" s="385"/>
      <c r="D7237" s="700"/>
      <c r="E7237" s="397"/>
      <c r="H7237" s="401">
        <v>3</v>
      </c>
      <c r="I7237" s="401"/>
      <c r="J7237" s="401"/>
      <c r="K7237" s="401"/>
      <c r="L7237" s="675"/>
      <c r="M7237" s="672">
        <v>28297</v>
      </c>
      <c r="N7237" s="623">
        <v>5.1289317086993483E-2</v>
      </c>
      <c r="O7237" s="624" t="s">
        <v>71</v>
      </c>
      <c r="P7237" s="397"/>
      <c r="Q7237" s="397"/>
      <c r="R7237" s="397"/>
      <c r="S7237" s="397"/>
      <c r="T7237" s="397"/>
      <c r="U7237" s="397"/>
      <c r="V7237" s="397"/>
      <c r="W7237" s="397"/>
      <c r="X7237" s="397"/>
      <c r="Y7237" s="397"/>
      <c r="Z7237" s="397"/>
      <c r="AD7237" s="388">
        <v>2.3469600000000002</v>
      </c>
      <c r="AE7237" s="388">
        <v>0.12801599999999999</v>
      </c>
      <c r="AF7237" s="388">
        <v>0.30044843135999999</v>
      </c>
      <c r="AG7237" s="388">
        <v>0.12192000000000001</v>
      </c>
      <c r="AH7237" s="391"/>
      <c r="AI7237" s="397"/>
      <c r="AJ7237" s="397"/>
      <c r="AU7237" s="397"/>
      <c r="AV7237" s="397"/>
      <c r="AW7237" s="397"/>
      <c r="AX7237" s="397"/>
      <c r="BI7237" s="397"/>
      <c r="BJ7237" s="397"/>
      <c r="BK7237" s="397"/>
      <c r="BL7237" s="397"/>
      <c r="BM7237" s="397"/>
      <c r="BN7237" s="397"/>
      <c r="BO7237" s="397"/>
      <c r="BP7237" s="397"/>
      <c r="BQ7237" s="397"/>
      <c r="BR7237" s="397"/>
      <c r="BS7237" s="397"/>
      <c r="BT7237" s="397"/>
      <c r="BU7237" s="397"/>
      <c r="BV7237" s="397"/>
      <c r="BW7237" s="397"/>
      <c r="BX7237" s="397"/>
      <c r="BY7237" s="397"/>
      <c r="BZ7237" s="397"/>
      <c r="CA7237" s="392" t="s">
        <v>413</v>
      </c>
    </row>
    <row r="7238" spans="1:80" s="392" customFormat="1" ht="15" x14ac:dyDescent="0.25">
      <c r="A7238" s="385"/>
      <c r="D7238" s="700"/>
      <c r="E7238" s="397"/>
      <c r="H7238" s="401">
        <v>3</v>
      </c>
      <c r="I7238" s="401"/>
      <c r="J7238" s="401"/>
      <c r="K7238" s="401"/>
      <c r="L7238" s="675"/>
      <c r="M7238" s="672">
        <v>28304</v>
      </c>
      <c r="N7238" s="623">
        <v>3.457069991499008E-2</v>
      </c>
      <c r="O7238" s="624" t="s">
        <v>71</v>
      </c>
      <c r="P7238" s="397"/>
      <c r="Q7238" s="397"/>
      <c r="R7238" s="397"/>
      <c r="S7238" s="397"/>
      <c r="T7238" s="397"/>
      <c r="U7238" s="397"/>
      <c r="V7238" s="397"/>
      <c r="W7238" s="397"/>
      <c r="X7238" s="397"/>
      <c r="Y7238" s="397"/>
      <c r="Z7238" s="397"/>
      <c r="AD7238" s="388">
        <v>2.3164799999999999</v>
      </c>
      <c r="AE7238" s="388">
        <v>0.124968</v>
      </c>
      <c r="AF7238" s="388">
        <v>0.28948587263999997</v>
      </c>
      <c r="AG7238" s="388">
        <v>9.1440000000000007E-2</v>
      </c>
      <c r="AH7238" s="391"/>
      <c r="AI7238" s="397"/>
      <c r="AJ7238" s="397"/>
      <c r="AU7238" s="397"/>
      <c r="AV7238" s="397"/>
      <c r="AW7238" s="397"/>
      <c r="AX7238" s="397"/>
      <c r="BI7238" s="397"/>
      <c r="BJ7238" s="397"/>
      <c r="BK7238" s="397"/>
      <c r="BL7238" s="397"/>
      <c r="BM7238" s="397"/>
      <c r="BN7238" s="397"/>
      <c r="BO7238" s="397"/>
      <c r="BP7238" s="397"/>
      <c r="BQ7238" s="397"/>
      <c r="BR7238" s="397"/>
      <c r="BS7238" s="397"/>
      <c r="BT7238" s="397"/>
      <c r="BU7238" s="397"/>
      <c r="BV7238" s="397"/>
      <c r="BW7238" s="397"/>
      <c r="BX7238" s="397"/>
      <c r="BY7238" s="397"/>
      <c r="BZ7238" s="397"/>
      <c r="CA7238" s="392" t="s">
        <v>413</v>
      </c>
    </row>
    <row r="7239" spans="1:80" s="392" customFormat="1" ht="15" x14ac:dyDescent="0.25">
      <c r="A7239" s="385"/>
      <c r="D7239" s="700"/>
      <c r="E7239" s="397"/>
      <c r="H7239" s="401">
        <v>3</v>
      </c>
      <c r="I7239" s="401"/>
      <c r="J7239" s="401"/>
      <c r="K7239" s="401"/>
      <c r="L7239" s="675"/>
      <c r="M7239" s="672">
        <v>28312</v>
      </c>
      <c r="N7239" s="623">
        <v>7.5942193255879864E-2</v>
      </c>
      <c r="O7239" s="624" t="s">
        <v>71</v>
      </c>
      <c r="P7239" s="397"/>
      <c r="Q7239" s="397"/>
      <c r="R7239" s="397"/>
      <c r="S7239" s="397"/>
      <c r="T7239" s="397"/>
      <c r="U7239" s="397"/>
      <c r="V7239" s="397"/>
      <c r="W7239" s="397"/>
      <c r="X7239" s="397"/>
      <c r="Y7239" s="397"/>
      <c r="Z7239" s="397"/>
      <c r="AD7239" s="388">
        <v>2.4079200000000003</v>
      </c>
      <c r="AE7239" s="388">
        <v>0.13716</v>
      </c>
      <c r="AF7239" s="388">
        <v>0.33027030720000006</v>
      </c>
      <c r="AG7239" s="388">
        <v>0.18288000000000001</v>
      </c>
      <c r="AH7239" s="391"/>
      <c r="AI7239" s="397"/>
      <c r="AJ7239" s="397"/>
      <c r="AU7239" s="397"/>
      <c r="AV7239" s="397"/>
      <c r="AW7239" s="397"/>
      <c r="AX7239" s="397"/>
      <c r="BI7239" s="397"/>
      <c r="BJ7239" s="397"/>
      <c r="BK7239" s="397"/>
      <c r="BL7239" s="397"/>
      <c r="BM7239" s="397"/>
      <c r="BN7239" s="397"/>
      <c r="BO7239" s="397"/>
      <c r="BP7239" s="397"/>
      <c r="BQ7239" s="397"/>
      <c r="BR7239" s="397"/>
      <c r="BS7239" s="397"/>
      <c r="BT7239" s="397"/>
      <c r="BU7239" s="397"/>
      <c r="BV7239" s="397"/>
      <c r="BW7239" s="397"/>
      <c r="BX7239" s="397"/>
      <c r="BY7239" s="397"/>
      <c r="BZ7239" s="397"/>
      <c r="CA7239" s="392" t="s">
        <v>413</v>
      </c>
    </row>
    <row r="7240" spans="1:80" s="392" customFormat="1" ht="15" x14ac:dyDescent="0.25">
      <c r="A7240" s="385"/>
      <c r="D7240" s="700"/>
      <c r="E7240" s="397"/>
      <c r="H7240" s="401">
        <v>3</v>
      </c>
      <c r="I7240" s="401"/>
      <c r="J7240" s="401"/>
      <c r="K7240" s="401"/>
      <c r="L7240" s="675"/>
      <c r="M7240" s="672">
        <v>28318</v>
      </c>
      <c r="N7240" s="623">
        <v>3.3720600736752621E-2</v>
      </c>
      <c r="O7240" s="624" t="s">
        <v>71</v>
      </c>
      <c r="P7240" s="397"/>
      <c r="Q7240" s="397"/>
      <c r="R7240" s="397"/>
      <c r="S7240" s="397"/>
      <c r="T7240" s="397"/>
      <c r="U7240" s="397"/>
      <c r="V7240" s="397"/>
      <c r="W7240" s="397"/>
      <c r="X7240" s="397"/>
      <c r="Y7240" s="397"/>
      <c r="Z7240" s="397"/>
      <c r="AD7240" s="388">
        <v>2.1640799999999998</v>
      </c>
      <c r="AE7240" s="388">
        <v>0.12801599999999999</v>
      </c>
      <c r="AF7240" s="388">
        <v>0.27703686527999993</v>
      </c>
      <c r="AG7240" s="388">
        <v>6.0960000000000007E-2</v>
      </c>
      <c r="AH7240" s="391"/>
      <c r="AI7240" s="397"/>
      <c r="AJ7240" s="397"/>
      <c r="AU7240" s="397"/>
      <c r="AV7240" s="397"/>
      <c r="AW7240" s="397"/>
      <c r="AX7240" s="397"/>
      <c r="BI7240" s="397"/>
      <c r="BJ7240" s="397"/>
      <c r="BK7240" s="397"/>
      <c r="BL7240" s="397"/>
      <c r="BM7240" s="397"/>
      <c r="BN7240" s="397"/>
      <c r="BO7240" s="397"/>
      <c r="BP7240" s="397"/>
      <c r="BQ7240" s="397"/>
      <c r="BR7240" s="397"/>
      <c r="BS7240" s="397"/>
      <c r="BT7240" s="397"/>
      <c r="BU7240" s="397"/>
      <c r="BV7240" s="397"/>
      <c r="BW7240" s="397"/>
      <c r="BX7240" s="397"/>
      <c r="BY7240" s="397"/>
      <c r="BZ7240" s="397"/>
      <c r="CA7240" s="392" t="s">
        <v>413</v>
      </c>
    </row>
    <row r="7241" spans="1:80" s="392" customFormat="1" ht="15" x14ac:dyDescent="0.25">
      <c r="A7241" s="385"/>
      <c r="D7241" s="700"/>
      <c r="E7241" s="397"/>
      <c r="H7241" s="401">
        <v>3</v>
      </c>
      <c r="I7241" s="401"/>
      <c r="J7241" s="401"/>
      <c r="K7241" s="401"/>
      <c r="L7241" s="675"/>
      <c r="M7241" s="672">
        <v>28325</v>
      </c>
      <c r="N7241" s="623">
        <v>1.3034854066307737E-2</v>
      </c>
      <c r="O7241" s="624" t="s">
        <v>71</v>
      </c>
      <c r="P7241" s="397"/>
      <c r="Q7241" s="397"/>
      <c r="R7241" s="397"/>
      <c r="S7241" s="397"/>
      <c r="T7241" s="397"/>
      <c r="U7241" s="397"/>
      <c r="V7241" s="397"/>
      <c r="W7241" s="397"/>
      <c r="X7241" s="397"/>
      <c r="Y7241" s="397"/>
      <c r="Z7241" s="397"/>
      <c r="AD7241" s="388">
        <v>2.0116800000000001</v>
      </c>
      <c r="AE7241" s="388">
        <v>0.11887200000000001</v>
      </c>
      <c r="AF7241" s="388">
        <v>0.23913242496000003</v>
      </c>
      <c r="AG7241" s="388">
        <v>6.0960000000000007E-2</v>
      </c>
      <c r="AH7241" s="391"/>
      <c r="AI7241" s="397"/>
      <c r="AJ7241" s="397"/>
      <c r="AU7241" s="397"/>
      <c r="AV7241" s="397"/>
      <c r="AW7241" s="397"/>
      <c r="AX7241" s="397"/>
      <c r="BI7241" s="397"/>
      <c r="BJ7241" s="397"/>
      <c r="BK7241" s="397"/>
      <c r="BL7241" s="397"/>
      <c r="BM7241" s="397"/>
      <c r="BN7241" s="397"/>
      <c r="BO7241" s="397"/>
      <c r="BP7241" s="397"/>
      <c r="BQ7241" s="397"/>
      <c r="BR7241" s="397"/>
      <c r="BS7241" s="397"/>
      <c r="BT7241" s="397"/>
      <c r="BU7241" s="397"/>
      <c r="BV7241" s="397"/>
      <c r="BW7241" s="397"/>
      <c r="BX7241" s="397"/>
      <c r="BY7241" s="397"/>
      <c r="BZ7241" s="397"/>
      <c r="CA7241" s="392" t="s">
        <v>413</v>
      </c>
    </row>
    <row r="7242" spans="1:80" s="392" customFormat="1" ht="15" x14ac:dyDescent="0.25">
      <c r="A7242" s="385"/>
      <c r="D7242" s="700"/>
      <c r="E7242" s="397"/>
      <c r="H7242" s="401">
        <v>3</v>
      </c>
      <c r="I7242" s="401"/>
      <c r="J7242" s="401"/>
      <c r="K7242" s="401"/>
      <c r="L7242" s="675"/>
      <c r="M7242" s="672">
        <v>28332</v>
      </c>
      <c r="N7242" s="623">
        <v>6.7441201473505241E-2</v>
      </c>
      <c r="O7242" s="624" t="s">
        <v>71</v>
      </c>
      <c r="P7242" s="397"/>
      <c r="Q7242" s="397"/>
      <c r="R7242" s="397"/>
      <c r="S7242" s="397"/>
      <c r="T7242" s="397"/>
      <c r="U7242" s="397"/>
      <c r="V7242" s="397"/>
      <c r="W7242" s="397"/>
      <c r="X7242" s="397"/>
      <c r="Y7242" s="397"/>
      <c r="Z7242" s="397"/>
      <c r="AD7242" s="388">
        <v>2.4384000000000001</v>
      </c>
      <c r="AE7242" s="388">
        <v>0.13411200000000001</v>
      </c>
      <c r="AF7242" s="388">
        <v>0.32701870080000006</v>
      </c>
      <c r="AG7242" s="388">
        <v>0.12192000000000001</v>
      </c>
      <c r="AH7242" s="391"/>
      <c r="AI7242" s="397"/>
      <c r="AJ7242" s="397"/>
      <c r="AU7242" s="397"/>
      <c r="AV7242" s="397"/>
      <c r="AW7242" s="397"/>
      <c r="AX7242" s="397"/>
      <c r="BI7242" s="397"/>
      <c r="BJ7242" s="397"/>
      <c r="BK7242" s="397"/>
      <c r="BL7242" s="397"/>
      <c r="BM7242" s="397"/>
      <c r="BN7242" s="397"/>
      <c r="BO7242" s="397"/>
      <c r="BP7242" s="397"/>
      <c r="BQ7242" s="397"/>
      <c r="BR7242" s="397"/>
      <c r="BS7242" s="397"/>
      <c r="BT7242" s="397"/>
      <c r="BU7242" s="397"/>
      <c r="BV7242" s="397"/>
      <c r="BW7242" s="397"/>
      <c r="BX7242" s="397"/>
      <c r="BY7242" s="397"/>
      <c r="BZ7242" s="397"/>
      <c r="CA7242" s="392" t="s">
        <v>413</v>
      </c>
    </row>
    <row r="7243" spans="1:80" s="189" customFormat="1" ht="15" x14ac:dyDescent="0.25">
      <c r="A7243" s="381" t="s">
        <v>463</v>
      </c>
      <c r="B7243" s="641"/>
      <c r="C7243" s="639"/>
      <c r="D7243" s="4">
        <f>VLOOKUP(E7243,'Quality Code'!$D$4:$E$24,2,TRUE)*VLOOKUP(MROUND(F7243,10),'Quality Code'!$D$28:$E$69,2,TRUE)*VLOOKUP(COUNTA(CB7243:CB7253),'Quality Code'!$D$73:$E$93,2,TRUE)</f>
        <v>8.7499999999999994E-2</v>
      </c>
      <c r="E7243" s="14">
        <v>0.35</v>
      </c>
      <c r="F7243" s="2">
        <v>5</v>
      </c>
      <c r="G7243" s="12"/>
      <c r="H7243" s="2" t="s">
        <v>105</v>
      </c>
      <c r="I7243" s="2"/>
      <c r="J7243" s="2"/>
      <c r="K7243" s="2"/>
      <c r="L7243" s="639"/>
      <c r="M7243" s="640">
        <v>1977</v>
      </c>
      <c r="N7243" s="578" t="s">
        <v>110</v>
      </c>
      <c r="O7243" s="578"/>
      <c r="P7243" s="26"/>
      <c r="Q7243" s="26"/>
      <c r="R7243" s="26"/>
      <c r="S7243" s="26"/>
      <c r="T7243" s="26"/>
      <c r="U7243" s="26"/>
      <c r="V7243" s="10"/>
      <c r="W7243" s="10"/>
      <c r="X7243" s="10"/>
      <c r="Y7243" s="10"/>
      <c r="Z7243" s="2"/>
      <c r="AA7243" s="26"/>
      <c r="AB7243" s="26"/>
      <c r="AC7243" s="377">
        <v>3.7999999999999999E-2</v>
      </c>
      <c r="AD7243" s="406"/>
      <c r="AE7243" s="26"/>
      <c r="AF7243" s="26"/>
      <c r="AG7243" s="26"/>
      <c r="AH7243" s="26"/>
      <c r="AI7243" s="4"/>
      <c r="AJ7243" s="4"/>
      <c r="AK7243" s="26"/>
      <c r="AL7243" s="26"/>
      <c r="AM7243" s="26"/>
      <c r="AN7243" s="26"/>
      <c r="AO7243" s="26"/>
      <c r="AP7243" s="26"/>
      <c r="AQ7243" s="26"/>
      <c r="AR7243" s="26"/>
      <c r="AS7243" s="26"/>
      <c r="AT7243" s="26"/>
      <c r="AU7243" s="4"/>
      <c r="AV7243" s="4"/>
      <c r="AW7243" s="4"/>
      <c r="AX7243" s="4"/>
      <c r="AY7243" s="2"/>
      <c r="AZ7243" s="2"/>
      <c r="BA7243" s="12"/>
      <c r="BB7243" s="12"/>
      <c r="BC7243" s="12"/>
      <c r="BD7243" s="12"/>
      <c r="BE7243" s="12"/>
      <c r="BF7243" s="12"/>
      <c r="BG7243" s="12"/>
      <c r="BH7243" s="12"/>
      <c r="BI7243" s="4"/>
      <c r="BJ7243" s="12"/>
      <c r="BK7243" s="2"/>
      <c r="BL7243" s="2"/>
      <c r="BM7243" s="4"/>
      <c r="BN7243" s="12"/>
      <c r="BO7243" s="12"/>
      <c r="BP7243" s="12"/>
      <c r="BQ7243" s="4"/>
      <c r="BR7243" s="4"/>
      <c r="BS7243" s="4"/>
      <c r="BT7243" s="2"/>
      <c r="BU7243" s="9"/>
      <c r="BV7243" s="381"/>
      <c r="BW7243" s="382"/>
      <c r="BX7243" s="383"/>
      <c r="BY7243" s="383"/>
      <c r="BZ7243" s="383"/>
      <c r="CA7243" s="384" t="s">
        <v>413</v>
      </c>
      <c r="CB7243" s="411"/>
    </row>
    <row r="7244" spans="1:80" s="392" customFormat="1" ht="15" x14ac:dyDescent="0.25">
      <c r="A7244" s="385"/>
      <c r="D7244" s="700"/>
      <c r="E7244" s="397"/>
      <c r="H7244" s="401">
        <v>3</v>
      </c>
      <c r="I7244" s="401"/>
      <c r="J7244" s="401"/>
      <c r="K7244" s="401"/>
      <c r="L7244" s="675"/>
      <c r="M7244" s="672">
        <v>28256</v>
      </c>
      <c r="N7244" s="623">
        <v>0.35477472371776708</v>
      </c>
      <c r="O7244" s="624">
        <v>8.5866666666666661E-3</v>
      </c>
      <c r="P7244" s="397"/>
      <c r="Q7244" s="397"/>
      <c r="R7244" s="397"/>
      <c r="S7244" s="397"/>
      <c r="T7244" s="397"/>
      <c r="U7244" s="397"/>
      <c r="V7244" s="397"/>
      <c r="W7244" s="397"/>
      <c r="X7244" s="397"/>
      <c r="Y7244" s="397"/>
      <c r="Z7244" s="397"/>
      <c r="AD7244" s="388">
        <v>4.2671999999999999</v>
      </c>
      <c r="AE7244" s="388">
        <v>0.13106400000000001</v>
      </c>
      <c r="AF7244" s="388">
        <v>0.55927630080000001</v>
      </c>
      <c r="AG7244" s="388">
        <v>0.64008000000000009</v>
      </c>
      <c r="AH7244" s="391"/>
      <c r="AI7244" s="397"/>
      <c r="AJ7244" s="397"/>
      <c r="AU7244" s="397"/>
      <c r="AV7244" s="397"/>
      <c r="AW7244" s="397"/>
      <c r="AX7244" s="397"/>
      <c r="BI7244" s="397"/>
      <c r="BJ7244" s="397"/>
      <c r="BK7244" s="397"/>
      <c r="BL7244" s="397"/>
      <c r="BM7244" s="397"/>
      <c r="BN7244" s="397"/>
      <c r="BO7244" s="397"/>
      <c r="BP7244" s="397"/>
      <c r="BQ7244" s="397"/>
      <c r="BR7244" s="397"/>
      <c r="BS7244" s="397"/>
      <c r="BT7244" s="397"/>
      <c r="BU7244" s="397"/>
      <c r="BV7244" s="397"/>
      <c r="BW7244" s="397"/>
      <c r="BX7244" s="397"/>
      <c r="BY7244" s="397"/>
      <c r="BZ7244" s="397"/>
      <c r="CA7244" s="392" t="s">
        <v>413</v>
      </c>
    </row>
    <row r="7245" spans="1:80" s="392" customFormat="1" ht="15" x14ac:dyDescent="0.25">
      <c r="A7245" s="385"/>
      <c r="D7245" s="700"/>
      <c r="E7245" s="397"/>
      <c r="H7245" s="401">
        <v>3</v>
      </c>
      <c r="I7245" s="401"/>
      <c r="J7245" s="401"/>
      <c r="K7245" s="401"/>
      <c r="L7245" s="675"/>
      <c r="M7245" s="672">
        <v>28271</v>
      </c>
      <c r="N7245" s="623">
        <v>0.38566166052706147</v>
      </c>
      <c r="O7245" s="624">
        <v>5.827999999999999E-3</v>
      </c>
      <c r="P7245" s="397"/>
      <c r="Q7245" s="397"/>
      <c r="R7245" s="397"/>
      <c r="S7245" s="397"/>
      <c r="T7245" s="397"/>
      <c r="U7245" s="397"/>
      <c r="V7245" s="397"/>
      <c r="W7245" s="397"/>
      <c r="X7245" s="397"/>
      <c r="Y7245" s="397"/>
      <c r="Z7245" s="397"/>
      <c r="AD7245" s="388">
        <v>4.2976799999999997</v>
      </c>
      <c r="AE7245" s="388">
        <v>0.140208</v>
      </c>
      <c r="AF7245" s="388">
        <v>0.60256911743999997</v>
      </c>
      <c r="AG7245" s="388">
        <v>0.60960000000000003</v>
      </c>
      <c r="AH7245" s="391"/>
      <c r="AI7245" s="397"/>
      <c r="AJ7245" s="397"/>
      <c r="AU7245" s="397"/>
      <c r="AV7245" s="397"/>
      <c r="AW7245" s="397"/>
      <c r="AX7245" s="397"/>
      <c r="BI7245" s="397"/>
      <c r="BJ7245" s="397"/>
      <c r="BK7245" s="397"/>
      <c r="BL7245" s="397"/>
      <c r="BM7245" s="397"/>
      <c r="BN7245" s="397"/>
      <c r="BO7245" s="397"/>
      <c r="BP7245" s="397"/>
      <c r="BQ7245" s="397"/>
      <c r="BR7245" s="397"/>
      <c r="BS7245" s="397"/>
      <c r="BT7245" s="397"/>
      <c r="BU7245" s="397"/>
      <c r="BV7245" s="397"/>
      <c r="BW7245" s="397"/>
      <c r="BX7245" s="397"/>
      <c r="BY7245" s="397"/>
      <c r="BZ7245" s="397"/>
      <c r="CA7245" s="392" t="s">
        <v>413</v>
      </c>
    </row>
    <row r="7246" spans="1:80" s="392" customFormat="1" ht="15" x14ac:dyDescent="0.25">
      <c r="A7246" s="385"/>
      <c r="D7246" s="700"/>
      <c r="E7246" s="397"/>
      <c r="H7246" s="401">
        <v>3</v>
      </c>
      <c r="I7246" s="401"/>
      <c r="J7246" s="401"/>
      <c r="K7246" s="401"/>
      <c r="L7246" s="675"/>
      <c r="M7246" s="672">
        <v>28277</v>
      </c>
      <c r="N7246" s="623">
        <v>0.46018702181921223</v>
      </c>
      <c r="O7246" s="624">
        <v>1.7479999999999998E-3</v>
      </c>
      <c r="P7246" s="397"/>
      <c r="Q7246" s="397"/>
      <c r="R7246" s="397"/>
      <c r="S7246" s="397"/>
      <c r="T7246" s="397"/>
      <c r="U7246" s="397"/>
      <c r="V7246" s="397"/>
      <c r="W7246" s="397"/>
      <c r="X7246" s="397"/>
      <c r="Y7246" s="397"/>
      <c r="Z7246" s="397"/>
      <c r="AD7246" s="388">
        <v>4.2062400000000002</v>
      </c>
      <c r="AE7246" s="388">
        <v>0.15240000000000001</v>
      </c>
      <c r="AF7246" s="388">
        <v>0.64103097600000003</v>
      </c>
      <c r="AG7246" s="388">
        <v>0.70104</v>
      </c>
      <c r="AH7246" s="391"/>
      <c r="AI7246" s="397"/>
      <c r="AJ7246" s="397"/>
      <c r="AU7246" s="397"/>
      <c r="AV7246" s="397"/>
      <c r="AW7246" s="397"/>
      <c r="AX7246" s="397"/>
      <c r="BI7246" s="397"/>
      <c r="BJ7246" s="397"/>
      <c r="BK7246" s="397"/>
      <c r="BL7246" s="397"/>
      <c r="BM7246" s="397"/>
      <c r="BN7246" s="397"/>
      <c r="BO7246" s="397"/>
      <c r="BP7246" s="397"/>
      <c r="BQ7246" s="397"/>
      <c r="BR7246" s="397"/>
      <c r="BS7246" s="397"/>
      <c r="BT7246" s="397"/>
      <c r="BU7246" s="397"/>
      <c r="BV7246" s="397"/>
      <c r="BW7246" s="397"/>
      <c r="BX7246" s="397"/>
      <c r="BY7246" s="397"/>
      <c r="BZ7246" s="397"/>
      <c r="CA7246" s="392" t="s">
        <v>413</v>
      </c>
    </row>
    <row r="7247" spans="1:80" s="392" customFormat="1" ht="15" x14ac:dyDescent="0.25">
      <c r="A7247" s="385"/>
      <c r="D7247" s="700"/>
      <c r="E7247" s="397"/>
      <c r="H7247" s="401">
        <v>3</v>
      </c>
      <c r="I7247" s="401"/>
      <c r="J7247" s="401"/>
      <c r="K7247" s="401"/>
      <c r="L7247" s="675"/>
      <c r="M7247" s="672">
        <v>28282</v>
      </c>
      <c r="N7247" s="623">
        <v>0.42731652026069711</v>
      </c>
      <c r="O7247" s="624">
        <v>1.1786666666666668E-3</v>
      </c>
      <c r="P7247" s="397"/>
      <c r="Q7247" s="397"/>
      <c r="R7247" s="397"/>
      <c r="S7247" s="397"/>
      <c r="T7247" s="397"/>
      <c r="U7247" s="397"/>
      <c r="V7247" s="397"/>
      <c r="W7247" s="397"/>
      <c r="X7247" s="397"/>
      <c r="Y7247" s="397"/>
      <c r="Z7247" s="397"/>
      <c r="AD7247" s="388">
        <v>4.1452800000000005</v>
      </c>
      <c r="AE7247" s="388">
        <v>0.14630399999999999</v>
      </c>
      <c r="AF7247" s="388">
        <v>0.60647104512000005</v>
      </c>
      <c r="AG7247" s="388">
        <v>0.67056000000000004</v>
      </c>
      <c r="AH7247" s="391"/>
      <c r="AI7247" s="397"/>
      <c r="AJ7247" s="397"/>
      <c r="AU7247" s="397"/>
      <c r="AV7247" s="397"/>
      <c r="AW7247" s="397"/>
      <c r="AX7247" s="397"/>
      <c r="BI7247" s="397"/>
      <c r="BJ7247" s="397"/>
      <c r="BK7247" s="397"/>
      <c r="BL7247" s="397"/>
      <c r="BM7247" s="397"/>
      <c r="BN7247" s="397"/>
      <c r="BO7247" s="397"/>
      <c r="BP7247" s="397"/>
      <c r="BQ7247" s="397"/>
      <c r="BR7247" s="397"/>
      <c r="BS7247" s="397"/>
      <c r="BT7247" s="397"/>
      <c r="BU7247" s="397"/>
      <c r="BV7247" s="397"/>
      <c r="BW7247" s="397"/>
      <c r="BX7247" s="397"/>
      <c r="BY7247" s="397"/>
      <c r="BZ7247" s="397"/>
      <c r="CA7247" s="392" t="s">
        <v>413</v>
      </c>
    </row>
    <row r="7248" spans="1:80" s="392" customFormat="1" ht="15" x14ac:dyDescent="0.25">
      <c r="A7248" s="385"/>
      <c r="D7248" s="700"/>
      <c r="E7248" s="397"/>
      <c r="H7248" s="401">
        <v>3</v>
      </c>
      <c r="I7248" s="401"/>
      <c r="J7248" s="401"/>
      <c r="K7248" s="401"/>
      <c r="L7248" s="675"/>
      <c r="M7248" s="672">
        <v>28290</v>
      </c>
      <c r="N7248" s="623">
        <v>0.25871351657693398</v>
      </c>
      <c r="O7248" s="624">
        <v>8.5333333333333344E-4</v>
      </c>
      <c r="P7248" s="397"/>
      <c r="Q7248" s="397"/>
      <c r="R7248" s="397"/>
      <c r="S7248" s="397"/>
      <c r="T7248" s="397"/>
      <c r="U7248" s="397"/>
      <c r="V7248" s="397"/>
      <c r="W7248" s="397"/>
      <c r="X7248" s="397"/>
      <c r="Y7248" s="397"/>
      <c r="Z7248" s="397"/>
      <c r="AD7248" s="388">
        <v>3.9014400000000005</v>
      </c>
      <c r="AE7248" s="388">
        <v>0.12801599999999999</v>
      </c>
      <c r="AF7248" s="388">
        <v>0.49944674304000003</v>
      </c>
      <c r="AG7248" s="388">
        <v>0.51816000000000006</v>
      </c>
      <c r="AH7248" s="391"/>
      <c r="AI7248" s="397"/>
      <c r="AJ7248" s="397"/>
      <c r="AU7248" s="397"/>
      <c r="AV7248" s="397"/>
      <c r="AW7248" s="397"/>
      <c r="AX7248" s="397"/>
      <c r="BI7248" s="397"/>
      <c r="BJ7248" s="397"/>
      <c r="BK7248" s="397"/>
      <c r="BL7248" s="397"/>
      <c r="BM7248" s="397"/>
      <c r="BN7248" s="397"/>
      <c r="BO7248" s="397"/>
      <c r="BP7248" s="397"/>
      <c r="BQ7248" s="397"/>
      <c r="BR7248" s="397"/>
      <c r="BS7248" s="397"/>
      <c r="BT7248" s="397"/>
      <c r="BU7248" s="397"/>
      <c r="BV7248" s="397"/>
      <c r="BW7248" s="397"/>
      <c r="BX7248" s="397"/>
      <c r="BY7248" s="397"/>
      <c r="BZ7248" s="397"/>
      <c r="CA7248" s="392" t="s">
        <v>413</v>
      </c>
    </row>
    <row r="7249" spans="1:80" s="392" customFormat="1" ht="15" x14ac:dyDescent="0.25">
      <c r="A7249" s="385"/>
      <c r="D7249" s="700"/>
      <c r="E7249" s="397"/>
      <c r="H7249" s="401">
        <v>3</v>
      </c>
      <c r="I7249" s="401"/>
      <c r="J7249" s="401"/>
      <c r="K7249" s="401"/>
      <c r="L7249" s="675"/>
      <c r="M7249" s="672">
        <v>28297</v>
      </c>
      <c r="N7249" s="623">
        <v>0.15755171436667612</v>
      </c>
      <c r="O7249" s="624" t="s">
        <v>71</v>
      </c>
      <c r="P7249" s="397"/>
      <c r="Q7249" s="397"/>
      <c r="R7249" s="397"/>
      <c r="S7249" s="397"/>
      <c r="T7249" s="397"/>
      <c r="U7249" s="397"/>
      <c r="V7249" s="397"/>
      <c r="W7249" s="397"/>
      <c r="X7249" s="397"/>
      <c r="Y7249" s="397"/>
      <c r="Z7249" s="397"/>
      <c r="AD7249" s="388">
        <v>3.7795200000000002</v>
      </c>
      <c r="AE7249" s="388">
        <v>9.7536000000000012E-2</v>
      </c>
      <c r="AF7249" s="388">
        <v>0.36863926272000008</v>
      </c>
      <c r="AG7249" s="388">
        <v>0.39624000000000004</v>
      </c>
      <c r="AH7249" s="391"/>
      <c r="AI7249" s="397"/>
      <c r="AJ7249" s="397"/>
      <c r="AU7249" s="397"/>
      <c r="AV7249" s="397"/>
      <c r="AW7249" s="397"/>
      <c r="AX7249" s="397"/>
      <c r="BI7249" s="397"/>
      <c r="BJ7249" s="397"/>
      <c r="BK7249" s="397"/>
      <c r="BL7249" s="397"/>
      <c r="BM7249" s="397"/>
      <c r="BN7249" s="397"/>
      <c r="BO7249" s="397"/>
      <c r="BP7249" s="397"/>
      <c r="BQ7249" s="397"/>
      <c r="BR7249" s="397"/>
      <c r="BS7249" s="397"/>
      <c r="BT7249" s="397"/>
      <c r="BU7249" s="397"/>
      <c r="BV7249" s="397"/>
      <c r="BW7249" s="397"/>
      <c r="BX7249" s="397"/>
      <c r="BY7249" s="397"/>
      <c r="BZ7249" s="397"/>
      <c r="CA7249" s="392" t="s">
        <v>413</v>
      </c>
    </row>
    <row r="7250" spans="1:80" s="392" customFormat="1" ht="15" x14ac:dyDescent="0.25">
      <c r="A7250" s="385"/>
      <c r="D7250" s="700"/>
      <c r="E7250" s="397"/>
      <c r="H7250" s="401">
        <v>3</v>
      </c>
      <c r="I7250" s="401"/>
      <c r="J7250" s="401"/>
      <c r="K7250" s="401"/>
      <c r="L7250" s="675"/>
      <c r="M7250" s="672">
        <v>28304</v>
      </c>
      <c r="N7250" s="623">
        <v>0.12609804477189007</v>
      </c>
      <c r="O7250" s="624" t="s">
        <v>71</v>
      </c>
      <c r="P7250" s="397"/>
      <c r="Q7250" s="397"/>
      <c r="R7250" s="397"/>
      <c r="S7250" s="397"/>
      <c r="T7250" s="397"/>
      <c r="U7250" s="397"/>
      <c r="V7250" s="397"/>
      <c r="W7250" s="397"/>
      <c r="X7250" s="397"/>
      <c r="Y7250" s="397"/>
      <c r="Z7250" s="397"/>
      <c r="AD7250" s="388">
        <v>3.7185600000000001</v>
      </c>
      <c r="AE7250" s="388">
        <v>8.8391999999999998E-2</v>
      </c>
      <c r="AF7250" s="388">
        <v>0.32869095551999999</v>
      </c>
      <c r="AG7250" s="388">
        <v>0.33528000000000002</v>
      </c>
      <c r="AH7250" s="391"/>
      <c r="AI7250" s="397"/>
      <c r="AJ7250" s="397"/>
      <c r="AU7250" s="397"/>
      <c r="AV7250" s="397"/>
      <c r="AW7250" s="397"/>
      <c r="AX7250" s="397"/>
      <c r="BI7250" s="397"/>
      <c r="BJ7250" s="397"/>
      <c r="BK7250" s="397"/>
      <c r="BL7250" s="397"/>
      <c r="BM7250" s="397"/>
      <c r="BN7250" s="397"/>
      <c r="BO7250" s="397"/>
      <c r="BP7250" s="397"/>
      <c r="BQ7250" s="397"/>
      <c r="BR7250" s="397"/>
      <c r="BS7250" s="397"/>
      <c r="BT7250" s="397"/>
      <c r="BU7250" s="397"/>
      <c r="BV7250" s="397"/>
      <c r="BW7250" s="397"/>
      <c r="BX7250" s="397"/>
      <c r="BY7250" s="397"/>
      <c r="BZ7250" s="397"/>
      <c r="CA7250" s="392" t="s">
        <v>413</v>
      </c>
    </row>
    <row r="7251" spans="1:80" s="392" customFormat="1" ht="15" x14ac:dyDescent="0.25">
      <c r="A7251" s="385"/>
      <c r="D7251" s="700"/>
      <c r="E7251" s="397"/>
      <c r="H7251" s="401">
        <v>3</v>
      </c>
      <c r="I7251" s="401"/>
      <c r="J7251" s="401"/>
      <c r="K7251" s="401"/>
      <c r="L7251" s="675"/>
      <c r="M7251" s="672">
        <v>28312</v>
      </c>
      <c r="N7251" s="623">
        <v>9.549447435534146E-2</v>
      </c>
      <c r="O7251" s="624" t="s">
        <v>71</v>
      </c>
      <c r="P7251" s="397"/>
      <c r="Q7251" s="397"/>
      <c r="R7251" s="397"/>
      <c r="S7251" s="397"/>
      <c r="T7251" s="397"/>
      <c r="U7251" s="397"/>
      <c r="V7251" s="397"/>
      <c r="W7251" s="397"/>
      <c r="X7251" s="397"/>
      <c r="Y7251" s="397"/>
      <c r="Z7251" s="397"/>
      <c r="AD7251" s="388">
        <v>3.7185600000000001</v>
      </c>
      <c r="AE7251" s="388">
        <v>7.9248000000000013E-2</v>
      </c>
      <c r="AF7251" s="388">
        <v>0.29468844288000007</v>
      </c>
      <c r="AG7251" s="388">
        <v>0.27432000000000001</v>
      </c>
      <c r="AH7251" s="391"/>
      <c r="AI7251" s="397"/>
      <c r="AJ7251" s="397"/>
      <c r="AU7251" s="397"/>
      <c r="AV7251" s="397"/>
      <c r="AW7251" s="397"/>
      <c r="AX7251" s="397"/>
      <c r="BI7251" s="397"/>
      <c r="BJ7251" s="397"/>
      <c r="BK7251" s="397"/>
      <c r="BL7251" s="397"/>
      <c r="BM7251" s="397"/>
      <c r="BN7251" s="397"/>
      <c r="BO7251" s="397"/>
      <c r="BP7251" s="397"/>
      <c r="BQ7251" s="397"/>
      <c r="BR7251" s="397"/>
      <c r="BS7251" s="397"/>
      <c r="BT7251" s="397"/>
      <c r="BU7251" s="397"/>
      <c r="BV7251" s="397"/>
      <c r="BW7251" s="397"/>
      <c r="BX7251" s="397"/>
      <c r="BY7251" s="397"/>
      <c r="BZ7251" s="397"/>
      <c r="CA7251" s="392" t="s">
        <v>413</v>
      </c>
    </row>
    <row r="7252" spans="1:80" s="392" customFormat="1" ht="15" x14ac:dyDescent="0.25">
      <c r="A7252" s="385"/>
      <c r="D7252" s="700"/>
      <c r="E7252" s="397"/>
      <c r="H7252" s="401">
        <v>3</v>
      </c>
      <c r="I7252" s="401"/>
      <c r="J7252" s="401"/>
      <c r="K7252" s="401"/>
      <c r="L7252" s="675"/>
      <c r="M7252" s="672">
        <v>28318</v>
      </c>
      <c r="N7252" s="623">
        <v>5.1572683479739305E-2</v>
      </c>
      <c r="O7252" s="624" t="s">
        <v>71</v>
      </c>
      <c r="P7252" s="397"/>
      <c r="Q7252" s="397"/>
      <c r="R7252" s="397"/>
      <c r="S7252" s="397"/>
      <c r="T7252" s="397"/>
      <c r="U7252" s="397"/>
      <c r="V7252" s="397"/>
      <c r="W7252" s="397"/>
      <c r="X7252" s="397"/>
      <c r="Y7252" s="397"/>
      <c r="Z7252" s="397"/>
      <c r="AD7252" s="388">
        <v>3.6576000000000004</v>
      </c>
      <c r="AE7252" s="388">
        <v>6.0960000000000007E-2</v>
      </c>
      <c r="AF7252" s="388">
        <v>0.22296729600000006</v>
      </c>
      <c r="AG7252" s="388">
        <v>0.21335999999999999</v>
      </c>
      <c r="AH7252" s="391"/>
      <c r="AI7252" s="397"/>
      <c r="AJ7252" s="397"/>
      <c r="AU7252" s="397"/>
      <c r="AV7252" s="397"/>
      <c r="AW7252" s="397"/>
      <c r="AX7252" s="397"/>
      <c r="BI7252" s="397"/>
      <c r="BJ7252" s="397"/>
      <c r="BK7252" s="397"/>
      <c r="BL7252" s="397"/>
      <c r="BM7252" s="397"/>
      <c r="BN7252" s="397"/>
      <c r="BO7252" s="397"/>
      <c r="BP7252" s="397"/>
      <c r="BQ7252" s="397"/>
      <c r="BR7252" s="397"/>
      <c r="BS7252" s="397"/>
      <c r="BT7252" s="397"/>
      <c r="BU7252" s="397"/>
      <c r="BV7252" s="397"/>
      <c r="BW7252" s="397"/>
      <c r="BX7252" s="397"/>
      <c r="BY7252" s="397"/>
      <c r="BZ7252" s="397"/>
      <c r="CA7252" s="392" t="s">
        <v>413</v>
      </c>
    </row>
    <row r="7253" spans="1:80" s="392" customFormat="1" ht="15" x14ac:dyDescent="0.25">
      <c r="A7253" s="385"/>
      <c r="D7253" s="700"/>
      <c r="E7253" s="397"/>
      <c r="H7253" s="401">
        <v>3</v>
      </c>
      <c r="I7253" s="401"/>
      <c r="J7253" s="401"/>
      <c r="K7253" s="401"/>
      <c r="L7253" s="675"/>
      <c r="M7253" s="672">
        <v>28325</v>
      </c>
      <c r="N7253" s="623">
        <v>7.0841598186455093E-2</v>
      </c>
      <c r="O7253" s="624" t="s">
        <v>71</v>
      </c>
      <c r="P7253" s="397"/>
      <c r="Q7253" s="397"/>
      <c r="R7253" s="397"/>
      <c r="S7253" s="397"/>
      <c r="T7253" s="397"/>
      <c r="U7253" s="397"/>
      <c r="V7253" s="397"/>
      <c r="W7253" s="397"/>
      <c r="X7253" s="397"/>
      <c r="Y7253" s="397"/>
      <c r="Z7253" s="397"/>
      <c r="AD7253" s="388">
        <v>3.6576000000000004</v>
      </c>
      <c r="AE7253" s="388">
        <v>7.6200000000000004E-2</v>
      </c>
      <c r="AF7253" s="388">
        <v>0.27870912000000003</v>
      </c>
      <c r="AG7253" s="388">
        <v>0.24384000000000003</v>
      </c>
      <c r="AH7253" s="391"/>
      <c r="AI7253" s="397"/>
      <c r="AJ7253" s="397"/>
      <c r="AU7253" s="397"/>
      <c r="AV7253" s="397"/>
      <c r="AW7253" s="397"/>
      <c r="AX7253" s="397"/>
      <c r="BI7253" s="397"/>
      <c r="BJ7253" s="397"/>
      <c r="BK7253" s="397"/>
      <c r="BL7253" s="397"/>
      <c r="BM7253" s="397"/>
      <c r="BN7253" s="397"/>
      <c r="BO7253" s="397"/>
      <c r="BP7253" s="397"/>
      <c r="BQ7253" s="397"/>
      <c r="BR7253" s="397"/>
      <c r="BS7253" s="397"/>
      <c r="BT7253" s="397"/>
      <c r="BU7253" s="397"/>
      <c r="BV7253" s="397"/>
      <c r="BW7253" s="397"/>
      <c r="BX7253" s="397"/>
      <c r="BY7253" s="397"/>
      <c r="BZ7253" s="397"/>
      <c r="CA7253" s="392" t="s">
        <v>413</v>
      </c>
    </row>
    <row r="7254" spans="1:80" s="392" customFormat="1" ht="15" x14ac:dyDescent="0.25">
      <c r="A7254" s="385"/>
      <c r="D7254" s="700"/>
      <c r="E7254" s="397"/>
      <c r="H7254" s="401">
        <v>3</v>
      </c>
      <c r="I7254" s="401"/>
      <c r="J7254" s="401"/>
      <c r="K7254" s="401"/>
      <c r="L7254" s="675"/>
      <c r="M7254" s="672">
        <v>28332</v>
      </c>
      <c r="N7254" s="623">
        <v>6.3757438367809574E-2</v>
      </c>
      <c r="O7254" s="624" t="s">
        <v>71</v>
      </c>
      <c r="P7254" s="397"/>
      <c r="Q7254" s="397"/>
      <c r="R7254" s="397"/>
      <c r="S7254" s="397"/>
      <c r="T7254" s="397"/>
      <c r="U7254" s="397"/>
      <c r="V7254" s="397"/>
      <c r="W7254" s="397"/>
      <c r="X7254" s="397"/>
      <c r="Y7254" s="397"/>
      <c r="Z7254" s="397"/>
      <c r="AD7254" s="388">
        <v>3.5966400000000003</v>
      </c>
      <c r="AE7254" s="388">
        <v>8.2296000000000008E-2</v>
      </c>
      <c r="AF7254" s="388">
        <v>0.29598908544000008</v>
      </c>
      <c r="AG7254" s="388">
        <v>0.21335999999999999</v>
      </c>
      <c r="AH7254" s="391"/>
      <c r="AI7254" s="397"/>
      <c r="AJ7254" s="397"/>
      <c r="AU7254" s="397"/>
      <c r="AV7254" s="397"/>
      <c r="AW7254" s="397"/>
      <c r="AX7254" s="397"/>
      <c r="BI7254" s="397"/>
      <c r="BJ7254" s="397"/>
      <c r="BK7254" s="397"/>
      <c r="BL7254" s="397"/>
      <c r="BM7254" s="397"/>
      <c r="BN7254" s="397"/>
      <c r="BO7254" s="397"/>
      <c r="BP7254" s="397"/>
      <c r="BQ7254" s="397"/>
      <c r="BR7254" s="397"/>
      <c r="BS7254" s="397"/>
      <c r="BT7254" s="397"/>
      <c r="BU7254" s="397"/>
      <c r="BV7254" s="397"/>
      <c r="BW7254" s="397"/>
      <c r="BX7254" s="397"/>
      <c r="BY7254" s="397"/>
      <c r="BZ7254" s="397"/>
      <c r="CA7254" s="392" t="s">
        <v>413</v>
      </c>
    </row>
    <row r="7255" spans="1:80" s="189" customFormat="1" ht="15" x14ac:dyDescent="0.25">
      <c r="A7255" s="381" t="s">
        <v>464</v>
      </c>
      <c r="B7255" s="641"/>
      <c r="C7255" s="639"/>
      <c r="D7255" s="4">
        <f>VLOOKUP(E7255,'Quality Code'!$D$4:$E$24,2,TRUE)*VLOOKUP(MROUND(F7255,10),'Quality Code'!$D$28:$E$69,2,TRUE)*VLOOKUP(COUNTA(CB7255:CB7265),'Quality Code'!$D$73:$E$93,2,TRUE)</f>
        <v>0</v>
      </c>
      <c r="E7255" s="14">
        <v>0.35</v>
      </c>
      <c r="F7255" s="2">
        <v>2</v>
      </c>
      <c r="G7255" s="12"/>
      <c r="H7255" s="2" t="s">
        <v>105</v>
      </c>
      <c r="I7255" s="2"/>
      <c r="J7255" s="2"/>
      <c r="K7255" s="2"/>
      <c r="L7255" s="639"/>
      <c r="M7255" s="640">
        <v>1977</v>
      </c>
      <c r="N7255" s="578" t="s">
        <v>110</v>
      </c>
      <c r="O7255" s="578"/>
      <c r="P7255" s="26"/>
      <c r="Q7255" s="26"/>
      <c r="R7255" s="26"/>
      <c r="S7255" s="26"/>
      <c r="T7255" s="26"/>
      <c r="U7255" s="26"/>
      <c r="V7255" s="10"/>
      <c r="W7255" s="10"/>
      <c r="X7255" s="10"/>
      <c r="Y7255" s="10"/>
      <c r="Z7255" s="2"/>
      <c r="AA7255" s="26"/>
      <c r="AB7255" s="26"/>
      <c r="AC7255" s="377">
        <v>3.3000000000000002E-2</v>
      </c>
      <c r="AD7255" s="406"/>
      <c r="AE7255" s="26"/>
      <c r="AF7255" s="26"/>
      <c r="AG7255" s="26"/>
      <c r="AH7255" s="26"/>
      <c r="AI7255" s="4"/>
      <c r="AJ7255" s="4"/>
      <c r="AK7255" s="26"/>
      <c r="AL7255" s="26"/>
      <c r="AM7255" s="26"/>
      <c r="AN7255" s="26"/>
      <c r="AO7255" s="26"/>
      <c r="AP7255" s="26"/>
      <c r="AQ7255" s="26"/>
      <c r="AR7255" s="26"/>
      <c r="AS7255" s="26"/>
      <c r="AT7255" s="26"/>
      <c r="AU7255" s="4"/>
      <c r="AV7255" s="4"/>
      <c r="AW7255" s="4"/>
      <c r="AX7255" s="4"/>
      <c r="AY7255" s="2"/>
      <c r="AZ7255" s="2"/>
      <c r="BA7255" s="12"/>
      <c r="BB7255" s="12"/>
      <c r="BC7255" s="12"/>
      <c r="BD7255" s="12"/>
      <c r="BE7255" s="12"/>
      <c r="BF7255" s="12"/>
      <c r="BG7255" s="12"/>
      <c r="BH7255" s="12"/>
      <c r="BI7255" s="4"/>
      <c r="BJ7255" s="12"/>
      <c r="BK7255" s="2"/>
      <c r="BL7255" s="2"/>
      <c r="BM7255" s="4"/>
      <c r="BN7255" s="12"/>
      <c r="BO7255" s="12"/>
      <c r="BP7255" s="12"/>
      <c r="BQ7255" s="4"/>
      <c r="BR7255" s="4"/>
      <c r="BS7255" s="4"/>
      <c r="BT7255" s="2"/>
      <c r="BU7255" s="9"/>
      <c r="BV7255" s="381"/>
      <c r="BW7255" s="382"/>
      <c r="BX7255" s="383"/>
      <c r="BY7255" s="383"/>
      <c r="BZ7255" s="383"/>
      <c r="CA7255" s="384" t="s">
        <v>413</v>
      </c>
      <c r="CB7255" s="411"/>
    </row>
    <row r="7256" spans="1:80" s="392" customFormat="1" ht="15" x14ac:dyDescent="0.25">
      <c r="A7256" s="385"/>
      <c r="D7256" s="700"/>
      <c r="E7256" s="397"/>
      <c r="H7256" s="401">
        <v>3</v>
      </c>
      <c r="I7256" s="401"/>
      <c r="J7256" s="401"/>
      <c r="K7256" s="401"/>
      <c r="L7256" s="675"/>
      <c r="M7256" s="672">
        <v>28278</v>
      </c>
      <c r="N7256" s="623">
        <v>2.8186455086426752</v>
      </c>
      <c r="O7256" s="624" t="s">
        <v>71</v>
      </c>
      <c r="P7256" s="397"/>
      <c r="Q7256" s="397"/>
      <c r="R7256" s="397"/>
      <c r="S7256" s="397"/>
      <c r="T7256" s="397"/>
      <c r="U7256" s="397"/>
      <c r="V7256" s="397"/>
      <c r="W7256" s="397"/>
      <c r="X7256" s="397"/>
      <c r="Y7256" s="397"/>
      <c r="Z7256" s="397"/>
      <c r="AD7256" s="388">
        <v>5.809488</v>
      </c>
      <c r="AE7256" s="388">
        <v>0.43586400000000003</v>
      </c>
      <c r="AF7256" s="388">
        <v>2.5321466776320003</v>
      </c>
      <c r="AG7256" s="388">
        <v>1.0058400000000001</v>
      </c>
      <c r="AH7256" s="391"/>
      <c r="AI7256" s="397"/>
      <c r="AJ7256" s="397"/>
      <c r="AU7256" s="397"/>
      <c r="AV7256" s="397"/>
      <c r="AW7256" s="397"/>
      <c r="AX7256" s="397"/>
      <c r="BI7256" s="397"/>
      <c r="BJ7256" s="397"/>
      <c r="BK7256" s="397"/>
      <c r="BL7256" s="397"/>
      <c r="BM7256" s="397"/>
      <c r="BN7256" s="397"/>
      <c r="BO7256" s="397"/>
      <c r="BP7256" s="397"/>
      <c r="BQ7256" s="397"/>
      <c r="BR7256" s="397"/>
      <c r="BS7256" s="397"/>
      <c r="BT7256" s="397"/>
      <c r="BU7256" s="397"/>
      <c r="BV7256" s="397"/>
      <c r="BW7256" s="397"/>
      <c r="BX7256" s="397"/>
      <c r="BY7256" s="397"/>
      <c r="BZ7256" s="397"/>
      <c r="CA7256" s="392" t="s">
        <v>413</v>
      </c>
    </row>
    <row r="7257" spans="1:80" s="392" customFormat="1" ht="15" x14ac:dyDescent="0.25">
      <c r="A7257" s="385"/>
      <c r="D7257" s="700"/>
      <c r="E7257" s="397"/>
      <c r="H7257" s="401">
        <v>3</v>
      </c>
      <c r="I7257" s="401"/>
      <c r="J7257" s="401"/>
      <c r="K7257" s="401"/>
      <c r="L7257" s="675"/>
      <c r="M7257" s="672">
        <v>28293</v>
      </c>
      <c r="N7257" s="623">
        <v>2.3652592802493624</v>
      </c>
      <c r="O7257" s="624">
        <v>2.0200000000000001E-3</v>
      </c>
      <c r="P7257" s="397"/>
      <c r="Q7257" s="397"/>
      <c r="R7257" s="397"/>
      <c r="S7257" s="397"/>
      <c r="T7257" s="397"/>
      <c r="U7257" s="397"/>
      <c r="V7257" s="397"/>
      <c r="W7257" s="397"/>
      <c r="X7257" s="397"/>
      <c r="Y7257" s="397"/>
      <c r="Z7257" s="397"/>
      <c r="AD7257" s="388">
        <v>9.2354400000000005</v>
      </c>
      <c r="AE7257" s="388">
        <v>0.43281599999999998</v>
      </c>
      <c r="AF7257" s="388">
        <v>3.9972461990400001</v>
      </c>
      <c r="AG7257" s="388">
        <v>0.60960000000000003</v>
      </c>
      <c r="AH7257" s="391"/>
      <c r="AI7257" s="397"/>
      <c r="AJ7257" s="397"/>
      <c r="AU7257" s="397"/>
      <c r="AV7257" s="397"/>
      <c r="AW7257" s="397"/>
      <c r="AX7257" s="397"/>
      <c r="BI7257" s="397"/>
      <c r="BJ7257" s="397"/>
      <c r="BK7257" s="397"/>
      <c r="BL7257" s="397"/>
      <c r="BM7257" s="397"/>
      <c r="BN7257" s="397"/>
      <c r="BO7257" s="397"/>
      <c r="BP7257" s="397"/>
      <c r="BQ7257" s="397"/>
      <c r="BR7257" s="397"/>
      <c r="BS7257" s="397"/>
      <c r="BT7257" s="397"/>
      <c r="BU7257" s="397"/>
      <c r="BV7257" s="397"/>
      <c r="BW7257" s="397"/>
      <c r="BX7257" s="397"/>
      <c r="BY7257" s="397"/>
      <c r="BZ7257" s="397"/>
      <c r="CA7257" s="392" t="s">
        <v>413</v>
      </c>
    </row>
    <row r="7258" spans="1:80" s="392" customFormat="1" ht="15" x14ac:dyDescent="0.25">
      <c r="A7258" s="385"/>
      <c r="D7258" s="700"/>
      <c r="E7258" s="397"/>
      <c r="H7258" s="401">
        <v>3</v>
      </c>
      <c r="I7258" s="401"/>
      <c r="J7258" s="401"/>
      <c r="K7258" s="401"/>
      <c r="L7258" s="675"/>
      <c r="M7258" s="672">
        <v>28299</v>
      </c>
      <c r="N7258" s="623">
        <v>1.9433267214508358</v>
      </c>
      <c r="O7258" s="624">
        <v>2.4159999999999997E-3</v>
      </c>
      <c r="P7258" s="397"/>
      <c r="Q7258" s="397"/>
      <c r="R7258" s="397"/>
      <c r="S7258" s="397"/>
      <c r="T7258" s="397"/>
      <c r="U7258" s="397"/>
      <c r="V7258" s="397"/>
      <c r="W7258" s="397"/>
      <c r="X7258" s="397"/>
      <c r="Y7258" s="397"/>
      <c r="Z7258" s="397"/>
      <c r="AD7258" s="388">
        <v>9.2049599999999998</v>
      </c>
      <c r="AE7258" s="388">
        <v>0.37185600000000002</v>
      </c>
      <c r="AF7258" s="388">
        <v>3.4229196057600002</v>
      </c>
      <c r="AG7258" s="388">
        <v>0.54864000000000002</v>
      </c>
      <c r="AH7258" s="391"/>
      <c r="AI7258" s="397"/>
      <c r="AJ7258" s="397"/>
      <c r="AU7258" s="397"/>
      <c r="AV7258" s="397"/>
      <c r="AW7258" s="397"/>
      <c r="AX7258" s="397"/>
      <c r="BI7258" s="397"/>
      <c r="BJ7258" s="397"/>
      <c r="BK7258" s="397"/>
      <c r="BL7258" s="397"/>
      <c r="BM7258" s="397"/>
      <c r="BN7258" s="397"/>
      <c r="BO7258" s="397"/>
      <c r="BP7258" s="397"/>
      <c r="BQ7258" s="397"/>
      <c r="BR7258" s="397"/>
      <c r="BS7258" s="397"/>
      <c r="BT7258" s="397"/>
      <c r="BU7258" s="397"/>
      <c r="BV7258" s="397"/>
      <c r="BW7258" s="397"/>
      <c r="BX7258" s="397"/>
      <c r="BY7258" s="397"/>
      <c r="BZ7258" s="397"/>
      <c r="CA7258" s="392" t="s">
        <v>413</v>
      </c>
    </row>
    <row r="7259" spans="1:80" s="392" customFormat="1" ht="15" x14ac:dyDescent="0.25">
      <c r="A7259" s="385"/>
      <c r="D7259" s="700"/>
      <c r="E7259" s="397"/>
      <c r="H7259" s="401">
        <v>3</v>
      </c>
      <c r="I7259" s="401"/>
      <c r="J7259" s="401"/>
      <c r="K7259" s="401"/>
      <c r="L7259" s="675"/>
      <c r="M7259" s="672">
        <v>28320</v>
      </c>
      <c r="N7259" s="623">
        <v>1.1209974497024653</v>
      </c>
      <c r="O7259" s="624" t="s">
        <v>71</v>
      </c>
      <c r="P7259" s="397"/>
      <c r="Q7259" s="397"/>
      <c r="R7259" s="397"/>
      <c r="S7259" s="397"/>
      <c r="T7259" s="397"/>
      <c r="U7259" s="397"/>
      <c r="V7259" s="397"/>
      <c r="W7259" s="397"/>
      <c r="X7259" s="397"/>
      <c r="Y7259" s="397"/>
      <c r="Z7259" s="397"/>
      <c r="AD7259" s="388">
        <v>8.9916</v>
      </c>
      <c r="AE7259" s="388">
        <v>0.29870400000000003</v>
      </c>
      <c r="AF7259" s="388">
        <v>2.6858268864000001</v>
      </c>
      <c r="AG7259" s="388">
        <v>0.39624000000000004</v>
      </c>
      <c r="AH7259" s="391"/>
      <c r="AI7259" s="397"/>
      <c r="AJ7259" s="397"/>
      <c r="AU7259" s="397"/>
      <c r="AV7259" s="397"/>
      <c r="AW7259" s="397"/>
      <c r="AX7259" s="397"/>
      <c r="BI7259" s="397"/>
      <c r="BJ7259" s="397"/>
      <c r="BK7259" s="397"/>
      <c r="BL7259" s="397"/>
      <c r="BM7259" s="397"/>
      <c r="BN7259" s="397"/>
      <c r="BO7259" s="397"/>
      <c r="BP7259" s="397"/>
      <c r="BQ7259" s="397"/>
      <c r="BR7259" s="397"/>
      <c r="BS7259" s="397"/>
      <c r="BT7259" s="397"/>
      <c r="BU7259" s="397"/>
      <c r="BV7259" s="397"/>
      <c r="BW7259" s="397"/>
      <c r="BX7259" s="397"/>
      <c r="BY7259" s="397"/>
      <c r="BZ7259" s="397"/>
      <c r="CA7259" s="392" t="s">
        <v>413</v>
      </c>
    </row>
    <row r="7260" spans="1:80" s="392" customFormat="1" ht="15" x14ac:dyDescent="0.25">
      <c r="A7260" s="385"/>
      <c r="D7260" s="700"/>
      <c r="E7260" s="397"/>
      <c r="H7260" s="401">
        <v>3</v>
      </c>
      <c r="I7260" s="401"/>
      <c r="J7260" s="401"/>
      <c r="K7260" s="401"/>
      <c r="L7260" s="675"/>
      <c r="M7260" s="672">
        <v>28326</v>
      </c>
      <c r="N7260" s="623">
        <v>0.90365542646642116</v>
      </c>
      <c r="O7260" s="624" t="s">
        <v>71</v>
      </c>
      <c r="P7260" s="397"/>
      <c r="Q7260" s="397"/>
      <c r="R7260" s="397"/>
      <c r="S7260" s="397"/>
      <c r="T7260" s="397"/>
      <c r="U7260" s="397"/>
      <c r="V7260" s="397"/>
      <c r="W7260" s="397"/>
      <c r="X7260" s="397"/>
      <c r="Y7260" s="397"/>
      <c r="Z7260" s="397"/>
      <c r="AD7260" s="388">
        <v>8.8696800000000007</v>
      </c>
      <c r="AE7260" s="388">
        <v>0.32613600000000004</v>
      </c>
      <c r="AF7260" s="388">
        <v>2.8927219564800004</v>
      </c>
      <c r="AG7260" s="388">
        <v>0.30480000000000002</v>
      </c>
      <c r="AH7260" s="391"/>
      <c r="AI7260" s="397"/>
      <c r="AJ7260" s="397"/>
      <c r="AU7260" s="397"/>
      <c r="AV7260" s="397"/>
      <c r="AW7260" s="397"/>
      <c r="AX7260" s="397"/>
      <c r="BI7260" s="397"/>
      <c r="BJ7260" s="397"/>
      <c r="BK7260" s="397"/>
      <c r="BL7260" s="397"/>
      <c r="BM7260" s="397"/>
      <c r="BN7260" s="397"/>
      <c r="BO7260" s="397"/>
      <c r="BP7260" s="397"/>
      <c r="BQ7260" s="397"/>
      <c r="BR7260" s="397"/>
      <c r="BS7260" s="397"/>
      <c r="BT7260" s="397"/>
      <c r="BU7260" s="397"/>
      <c r="BV7260" s="397"/>
      <c r="BW7260" s="397"/>
      <c r="BX7260" s="397"/>
      <c r="BY7260" s="397"/>
      <c r="BZ7260" s="397"/>
      <c r="CA7260" s="392" t="s">
        <v>413</v>
      </c>
    </row>
    <row r="7261" spans="1:80" s="189" customFormat="1" ht="15" x14ac:dyDescent="0.25">
      <c r="A7261" s="381" t="s">
        <v>465</v>
      </c>
      <c r="B7261" s="641"/>
      <c r="C7261" s="639"/>
      <c r="D7261" s="4">
        <f>VLOOKUP(E7261,'Quality Code'!$D$4:$E$24,2,TRUE)*VLOOKUP(MROUND(F7261,10),'Quality Code'!$D$28:$E$69,2,TRUE)*VLOOKUP(COUNTA(CB7261:CB7271),'Quality Code'!$D$73:$E$93,2,TRUE)</f>
        <v>8.7499999999999994E-2</v>
      </c>
      <c r="E7261" s="14">
        <v>0.35</v>
      </c>
      <c r="F7261" s="2">
        <v>10</v>
      </c>
      <c r="G7261" s="12"/>
      <c r="H7261" s="2" t="s">
        <v>105</v>
      </c>
      <c r="I7261" s="2"/>
      <c r="J7261" s="2"/>
      <c r="K7261" s="2"/>
      <c r="L7261" s="639"/>
      <c r="M7261" s="640">
        <v>1977</v>
      </c>
      <c r="N7261" s="578" t="s">
        <v>110</v>
      </c>
      <c r="O7261" s="578"/>
      <c r="P7261" s="26"/>
      <c r="Q7261" s="26"/>
      <c r="R7261" s="26"/>
      <c r="S7261" s="26"/>
      <c r="T7261" s="26"/>
      <c r="U7261" s="26"/>
      <c r="V7261" s="10"/>
      <c r="W7261" s="10"/>
      <c r="X7261" s="10"/>
      <c r="Y7261" s="10"/>
      <c r="Z7261" s="2"/>
      <c r="AA7261" s="26"/>
      <c r="AB7261" s="26"/>
      <c r="AC7261" s="377">
        <v>2.3E-2</v>
      </c>
      <c r="AD7261" s="406"/>
      <c r="AE7261" s="26"/>
      <c r="AF7261" s="26"/>
      <c r="AG7261" s="26"/>
      <c r="AH7261" s="26"/>
      <c r="AI7261" s="4"/>
      <c r="AJ7261" s="4"/>
      <c r="AK7261" s="26"/>
      <c r="AL7261" s="26"/>
      <c r="AM7261" s="26"/>
      <c r="AN7261" s="26"/>
      <c r="AO7261" s="26"/>
      <c r="AP7261" s="26"/>
      <c r="AQ7261" s="26"/>
      <c r="AR7261" s="26"/>
      <c r="AS7261" s="26"/>
      <c r="AT7261" s="26"/>
      <c r="AU7261" s="4"/>
      <c r="AV7261" s="4"/>
      <c r="AW7261" s="4"/>
      <c r="AX7261" s="4"/>
      <c r="AY7261" s="2"/>
      <c r="AZ7261" s="2"/>
      <c r="BA7261" s="12"/>
      <c r="BB7261" s="12"/>
      <c r="BC7261" s="12"/>
      <c r="BD7261" s="12"/>
      <c r="BE7261" s="12"/>
      <c r="BF7261" s="12"/>
      <c r="BG7261" s="12"/>
      <c r="BH7261" s="12"/>
      <c r="BI7261" s="4"/>
      <c r="BJ7261" s="12"/>
      <c r="BK7261" s="2"/>
      <c r="BL7261" s="2"/>
      <c r="BM7261" s="4"/>
      <c r="BN7261" s="12"/>
      <c r="BO7261" s="12"/>
      <c r="BP7261" s="12"/>
      <c r="BQ7261" s="4"/>
      <c r="BR7261" s="4"/>
      <c r="BS7261" s="4"/>
      <c r="BT7261" s="2"/>
      <c r="BU7261" s="9"/>
      <c r="BV7261" s="381"/>
      <c r="BW7261" s="382"/>
      <c r="BX7261" s="383"/>
      <c r="BY7261" s="383"/>
      <c r="BZ7261" s="383"/>
      <c r="CA7261" s="384" t="s">
        <v>413</v>
      </c>
      <c r="CB7261" s="411"/>
    </row>
    <row r="7262" spans="1:80" s="392" customFormat="1" ht="15" x14ac:dyDescent="0.25">
      <c r="A7262" s="385"/>
      <c r="D7262" s="700"/>
      <c r="E7262" s="397"/>
      <c r="H7262" s="401">
        <v>3</v>
      </c>
      <c r="I7262" s="401"/>
      <c r="J7262" s="401"/>
      <c r="K7262" s="401"/>
      <c r="L7262" s="675"/>
      <c r="M7262" s="672">
        <v>28257</v>
      </c>
      <c r="N7262" s="623">
        <v>1.3904788892037405</v>
      </c>
      <c r="O7262" s="624">
        <v>1.9599999999999999E-3</v>
      </c>
      <c r="P7262" s="397"/>
      <c r="Q7262" s="397"/>
      <c r="R7262" s="397"/>
      <c r="S7262" s="397"/>
      <c r="T7262" s="397"/>
      <c r="U7262" s="397"/>
      <c r="V7262" s="397"/>
      <c r="W7262" s="397"/>
      <c r="X7262" s="397"/>
      <c r="Y7262" s="397"/>
      <c r="Z7262" s="397"/>
      <c r="AD7262" s="388">
        <v>7.4676</v>
      </c>
      <c r="AE7262" s="388">
        <v>0.30480000000000002</v>
      </c>
      <c r="AF7262" s="388">
        <v>2.27612448</v>
      </c>
      <c r="AG7262" s="388">
        <v>0.54864000000000002</v>
      </c>
      <c r="AH7262" s="391"/>
      <c r="AI7262" s="397"/>
      <c r="AJ7262" s="397"/>
      <c r="AU7262" s="397"/>
      <c r="AV7262" s="397"/>
      <c r="AW7262" s="397"/>
      <c r="AX7262" s="397"/>
      <c r="BI7262" s="397"/>
      <c r="BJ7262" s="397"/>
      <c r="BK7262" s="397"/>
      <c r="BL7262" s="397"/>
      <c r="BM7262" s="397"/>
      <c r="BN7262" s="397"/>
      <c r="BO7262" s="397"/>
      <c r="BP7262" s="397"/>
      <c r="BQ7262" s="397"/>
      <c r="BR7262" s="397"/>
      <c r="BS7262" s="397"/>
      <c r="BT7262" s="397"/>
      <c r="BU7262" s="397"/>
      <c r="BV7262" s="397"/>
      <c r="BW7262" s="397"/>
      <c r="BX7262" s="397"/>
      <c r="BY7262" s="397"/>
      <c r="BZ7262" s="397"/>
      <c r="CA7262" s="392" t="s">
        <v>413</v>
      </c>
    </row>
    <row r="7263" spans="1:80" s="392" customFormat="1" ht="15" x14ac:dyDescent="0.25">
      <c r="A7263" s="385"/>
      <c r="D7263" s="700"/>
      <c r="E7263" s="397"/>
      <c r="H7263" s="401">
        <v>3</v>
      </c>
      <c r="I7263" s="401"/>
      <c r="J7263" s="401"/>
      <c r="K7263" s="401"/>
      <c r="L7263" s="675"/>
      <c r="M7263" s="672">
        <v>28272</v>
      </c>
      <c r="N7263" s="623">
        <v>1.5111929725134599</v>
      </c>
      <c r="O7263" s="624">
        <v>2.1406666666666666E-3</v>
      </c>
      <c r="P7263" s="397"/>
      <c r="Q7263" s="397"/>
      <c r="R7263" s="397"/>
      <c r="S7263" s="397"/>
      <c r="T7263" s="397"/>
      <c r="U7263" s="397"/>
      <c r="V7263" s="397"/>
      <c r="W7263" s="397"/>
      <c r="X7263" s="397"/>
      <c r="Y7263" s="397"/>
      <c r="Z7263" s="397"/>
      <c r="AD7263" s="388">
        <v>7.5285600000000006</v>
      </c>
      <c r="AE7263" s="388">
        <v>0.32613600000000004</v>
      </c>
      <c r="AF7263" s="388">
        <v>2.4553344441600005</v>
      </c>
      <c r="AG7263" s="388">
        <v>0.60960000000000003</v>
      </c>
      <c r="AH7263" s="391"/>
      <c r="AI7263" s="397"/>
      <c r="AJ7263" s="397"/>
      <c r="AU7263" s="397"/>
      <c r="AV7263" s="397"/>
      <c r="AW7263" s="397"/>
      <c r="AX7263" s="397"/>
      <c r="BI7263" s="397"/>
      <c r="BJ7263" s="397"/>
      <c r="BK7263" s="397"/>
      <c r="BL7263" s="397"/>
      <c r="BM7263" s="397"/>
      <c r="BN7263" s="397"/>
      <c r="BO7263" s="397"/>
      <c r="BP7263" s="397"/>
      <c r="BQ7263" s="397"/>
      <c r="BR7263" s="397"/>
      <c r="BS7263" s="397"/>
      <c r="BT7263" s="397"/>
      <c r="BU7263" s="397"/>
      <c r="BV7263" s="397"/>
      <c r="BW7263" s="397"/>
      <c r="BX7263" s="397"/>
      <c r="BY7263" s="397"/>
      <c r="BZ7263" s="397"/>
      <c r="CA7263" s="392" t="s">
        <v>413</v>
      </c>
    </row>
    <row r="7264" spans="1:80" s="392" customFormat="1" ht="15" x14ac:dyDescent="0.25">
      <c r="A7264" s="385"/>
      <c r="D7264" s="700"/>
      <c r="E7264" s="397"/>
      <c r="H7264" s="401">
        <v>3</v>
      </c>
      <c r="I7264" s="401"/>
      <c r="J7264" s="401"/>
      <c r="K7264" s="401"/>
      <c r="L7264" s="675"/>
      <c r="M7264" s="672">
        <v>28276</v>
      </c>
      <c r="N7264" s="623">
        <v>2.2272598469821476</v>
      </c>
      <c r="O7264" s="624">
        <v>5.1000000000000004E-3</v>
      </c>
      <c r="P7264" s="397"/>
      <c r="Q7264" s="397"/>
      <c r="R7264" s="397"/>
      <c r="S7264" s="397"/>
      <c r="T7264" s="397"/>
      <c r="U7264" s="397"/>
      <c r="V7264" s="397"/>
      <c r="W7264" s="397"/>
      <c r="X7264" s="397"/>
      <c r="Y7264" s="397"/>
      <c r="Z7264" s="397"/>
      <c r="AD7264" s="388">
        <v>7.7724000000000002</v>
      </c>
      <c r="AE7264" s="388">
        <v>0.41757600000000006</v>
      </c>
      <c r="AF7264" s="388">
        <v>3.2455677024000007</v>
      </c>
      <c r="AG7264" s="388">
        <v>0.64008000000000009</v>
      </c>
      <c r="AH7264" s="391"/>
      <c r="AI7264" s="397"/>
      <c r="AJ7264" s="397"/>
      <c r="AU7264" s="397"/>
      <c r="AV7264" s="397"/>
      <c r="AW7264" s="397"/>
      <c r="AX7264" s="397"/>
      <c r="BI7264" s="397"/>
      <c r="BJ7264" s="397"/>
      <c r="BK7264" s="397"/>
      <c r="BL7264" s="397"/>
      <c r="BM7264" s="397"/>
      <c r="BN7264" s="397"/>
      <c r="BO7264" s="397"/>
      <c r="BP7264" s="397"/>
      <c r="BQ7264" s="397"/>
      <c r="BR7264" s="397"/>
      <c r="BS7264" s="397"/>
      <c r="BT7264" s="397"/>
      <c r="BU7264" s="397"/>
      <c r="BV7264" s="397"/>
      <c r="BW7264" s="397"/>
      <c r="BX7264" s="397"/>
      <c r="BY7264" s="397"/>
      <c r="BZ7264" s="397"/>
      <c r="CA7264" s="392" t="s">
        <v>413</v>
      </c>
    </row>
    <row r="7265" spans="1:80" s="392" customFormat="1" ht="15" x14ac:dyDescent="0.25">
      <c r="A7265" s="385"/>
      <c r="D7265" s="700"/>
      <c r="E7265" s="397"/>
      <c r="H7265" s="401">
        <v>3</v>
      </c>
      <c r="I7265" s="401"/>
      <c r="J7265" s="401"/>
      <c r="K7265" s="401"/>
      <c r="L7265" s="675"/>
      <c r="M7265" s="672">
        <v>28282</v>
      </c>
      <c r="N7265" s="623">
        <v>5.8588835364125815</v>
      </c>
      <c r="O7265" s="624">
        <v>3.880200000000001E-2</v>
      </c>
      <c r="P7265" s="397"/>
      <c r="Q7265" s="397"/>
      <c r="R7265" s="397"/>
      <c r="S7265" s="397"/>
      <c r="T7265" s="397"/>
      <c r="U7265" s="397"/>
      <c r="V7265" s="397"/>
      <c r="W7265" s="397"/>
      <c r="X7265" s="397"/>
      <c r="Y7265" s="397"/>
      <c r="Z7265" s="397"/>
      <c r="AD7265" s="388">
        <v>7.955280000000001</v>
      </c>
      <c r="AE7265" s="388">
        <v>0.41452800000000006</v>
      </c>
      <c r="AF7265" s="388">
        <v>3.2976863078400007</v>
      </c>
      <c r="AG7265" s="388">
        <v>1.8288000000000002</v>
      </c>
      <c r="AH7265" s="391"/>
      <c r="AI7265" s="397"/>
      <c r="AJ7265" s="397"/>
      <c r="AU7265" s="397"/>
      <c r="AV7265" s="397"/>
      <c r="AW7265" s="397"/>
      <c r="AX7265" s="397"/>
      <c r="BI7265" s="397"/>
      <c r="BJ7265" s="397"/>
      <c r="BK7265" s="397"/>
      <c r="BL7265" s="397"/>
      <c r="BM7265" s="397"/>
      <c r="BN7265" s="397"/>
      <c r="BO7265" s="397"/>
      <c r="BP7265" s="397"/>
      <c r="BQ7265" s="397"/>
      <c r="BR7265" s="397"/>
      <c r="BS7265" s="397"/>
      <c r="BT7265" s="397"/>
      <c r="BU7265" s="397"/>
      <c r="BV7265" s="397"/>
      <c r="BW7265" s="397"/>
      <c r="BX7265" s="397"/>
      <c r="BY7265" s="397"/>
      <c r="BZ7265" s="397"/>
      <c r="CA7265" s="392" t="s">
        <v>413</v>
      </c>
    </row>
    <row r="7266" spans="1:80" s="392" customFormat="1" ht="15" x14ac:dyDescent="0.25">
      <c r="A7266" s="385"/>
      <c r="D7266" s="700"/>
      <c r="E7266" s="397"/>
      <c r="H7266" s="401">
        <v>3</v>
      </c>
      <c r="I7266" s="401"/>
      <c r="J7266" s="401"/>
      <c r="K7266" s="401"/>
      <c r="L7266" s="675"/>
      <c r="M7266" s="672">
        <v>28290</v>
      </c>
      <c r="N7266" s="623">
        <v>2.0300368376310569</v>
      </c>
      <c r="O7266" s="624">
        <v>1.5807999999999999E-2</v>
      </c>
      <c r="P7266" s="397"/>
      <c r="Q7266" s="397"/>
      <c r="R7266" s="397"/>
      <c r="S7266" s="397"/>
      <c r="T7266" s="397"/>
      <c r="U7266" s="397"/>
      <c r="V7266" s="397"/>
      <c r="W7266" s="397"/>
      <c r="X7266" s="397"/>
      <c r="Y7266" s="397"/>
      <c r="Z7266" s="397"/>
      <c r="AD7266" s="388">
        <v>7.5285600000000006</v>
      </c>
      <c r="AE7266" s="388">
        <v>0.35966399999999998</v>
      </c>
      <c r="AF7266" s="388">
        <v>2.70775200384</v>
      </c>
      <c r="AG7266" s="388">
        <v>0.67056000000000004</v>
      </c>
      <c r="AH7266" s="391"/>
      <c r="AI7266" s="397"/>
      <c r="AJ7266" s="397"/>
      <c r="AU7266" s="397"/>
      <c r="AV7266" s="397"/>
      <c r="AW7266" s="397"/>
      <c r="AX7266" s="397"/>
      <c r="BI7266" s="397"/>
      <c r="BJ7266" s="397"/>
      <c r="BK7266" s="397"/>
      <c r="BL7266" s="397"/>
      <c r="BM7266" s="397"/>
      <c r="BN7266" s="397"/>
      <c r="BO7266" s="397"/>
      <c r="BP7266" s="397"/>
      <c r="BQ7266" s="397"/>
      <c r="BR7266" s="397"/>
      <c r="BS7266" s="397"/>
      <c r="BT7266" s="397"/>
      <c r="BU7266" s="397"/>
      <c r="BV7266" s="397"/>
      <c r="BW7266" s="397"/>
      <c r="BX7266" s="397"/>
      <c r="BY7266" s="397"/>
      <c r="BZ7266" s="397"/>
      <c r="CA7266" s="392" t="s">
        <v>413</v>
      </c>
    </row>
    <row r="7267" spans="1:80" s="392" customFormat="1" ht="15" x14ac:dyDescent="0.25">
      <c r="A7267" s="385"/>
      <c r="D7267" s="700"/>
      <c r="E7267" s="397"/>
      <c r="H7267" s="401">
        <v>3</v>
      </c>
      <c r="I7267" s="401"/>
      <c r="J7267" s="401"/>
      <c r="K7267" s="401"/>
      <c r="L7267" s="675"/>
      <c r="M7267" s="672">
        <v>28298</v>
      </c>
      <c r="N7267" s="623">
        <v>1.0960612071408331</v>
      </c>
      <c r="O7267" s="624">
        <v>6.1666666666666667E-3</v>
      </c>
      <c r="P7267" s="397"/>
      <c r="Q7267" s="397"/>
      <c r="R7267" s="397"/>
      <c r="S7267" s="397"/>
      <c r="T7267" s="397"/>
      <c r="U7267" s="397"/>
      <c r="V7267" s="397"/>
      <c r="W7267" s="397"/>
      <c r="X7267" s="397"/>
      <c r="Y7267" s="397"/>
      <c r="Z7267" s="397"/>
      <c r="AD7267" s="388">
        <v>7.62</v>
      </c>
      <c r="AE7267" s="388">
        <v>0.28651199999999999</v>
      </c>
      <c r="AF7267" s="388">
        <v>2.1832214400000001</v>
      </c>
      <c r="AG7267" s="388">
        <v>0.42671999999999999</v>
      </c>
      <c r="AH7267" s="391"/>
      <c r="AI7267" s="397"/>
      <c r="AJ7267" s="397"/>
      <c r="AU7267" s="397"/>
      <c r="AV7267" s="397"/>
      <c r="AW7267" s="397"/>
      <c r="AX7267" s="397"/>
      <c r="BI7267" s="397"/>
      <c r="BJ7267" s="397"/>
      <c r="BK7267" s="397"/>
      <c r="BL7267" s="397"/>
      <c r="BM7267" s="397"/>
      <c r="BN7267" s="397"/>
      <c r="BO7267" s="397"/>
      <c r="BP7267" s="397"/>
      <c r="BQ7267" s="397"/>
      <c r="BR7267" s="397"/>
      <c r="BS7267" s="397"/>
      <c r="BT7267" s="397"/>
      <c r="BU7267" s="397"/>
      <c r="BV7267" s="397"/>
      <c r="BW7267" s="397"/>
      <c r="BX7267" s="397"/>
      <c r="BY7267" s="397"/>
      <c r="BZ7267" s="397"/>
      <c r="CA7267" s="392" t="s">
        <v>413</v>
      </c>
    </row>
    <row r="7268" spans="1:80" s="392" customFormat="1" ht="15" x14ac:dyDescent="0.25">
      <c r="A7268" s="385"/>
      <c r="D7268" s="700"/>
      <c r="E7268" s="397"/>
      <c r="H7268" s="401">
        <v>3</v>
      </c>
      <c r="I7268" s="401"/>
      <c r="J7268" s="401"/>
      <c r="K7268" s="401"/>
      <c r="L7268" s="675"/>
      <c r="M7268" s="672">
        <v>28304</v>
      </c>
      <c r="N7268" s="623">
        <v>0.74752054406347401</v>
      </c>
      <c r="O7268" s="624">
        <v>1.8160000000000001E-3</v>
      </c>
      <c r="P7268" s="397"/>
      <c r="Q7268" s="397"/>
      <c r="R7268" s="397"/>
      <c r="S7268" s="397"/>
      <c r="T7268" s="397"/>
      <c r="U7268" s="397"/>
      <c r="V7268" s="397"/>
      <c r="W7268" s="397"/>
      <c r="X7268" s="397"/>
      <c r="Y7268" s="397"/>
      <c r="Z7268" s="397"/>
      <c r="AD7268" s="388">
        <v>6.9189600000000002</v>
      </c>
      <c r="AE7268" s="388">
        <v>0.24079200000000003</v>
      </c>
      <c r="AF7268" s="388">
        <v>1.6660302163200003</v>
      </c>
      <c r="AG7268" s="388">
        <v>0.39624000000000004</v>
      </c>
      <c r="AH7268" s="391"/>
      <c r="AI7268" s="397"/>
      <c r="AJ7268" s="397"/>
      <c r="AU7268" s="397"/>
      <c r="AV7268" s="397"/>
      <c r="AW7268" s="397"/>
      <c r="AX7268" s="397"/>
      <c r="BI7268" s="397"/>
      <c r="BJ7268" s="397"/>
      <c r="BK7268" s="397"/>
      <c r="BL7268" s="397"/>
      <c r="BM7268" s="397"/>
      <c r="BN7268" s="397"/>
      <c r="BO7268" s="397"/>
      <c r="BP7268" s="397"/>
      <c r="BQ7268" s="397"/>
      <c r="BR7268" s="397"/>
      <c r="BS7268" s="397"/>
      <c r="BT7268" s="397"/>
      <c r="BU7268" s="397"/>
      <c r="BV7268" s="397"/>
      <c r="BW7268" s="397"/>
      <c r="BX7268" s="397"/>
      <c r="BY7268" s="397"/>
      <c r="BZ7268" s="397"/>
      <c r="CA7268" s="392" t="s">
        <v>413</v>
      </c>
    </row>
    <row r="7269" spans="1:80" s="392" customFormat="1" ht="15" x14ac:dyDescent="0.25">
      <c r="A7269" s="385"/>
      <c r="D7269" s="700"/>
      <c r="E7269" s="397"/>
      <c r="H7269" s="401">
        <v>3</v>
      </c>
      <c r="I7269" s="401"/>
      <c r="J7269" s="401"/>
      <c r="K7269" s="401"/>
      <c r="L7269" s="675"/>
      <c r="M7269" s="672">
        <v>28312</v>
      </c>
      <c r="N7269" s="623">
        <v>0.76650609237744405</v>
      </c>
      <c r="O7269" s="624">
        <v>1.9066666666666668E-3</v>
      </c>
      <c r="P7269" s="397"/>
      <c r="Q7269" s="397"/>
      <c r="R7269" s="397"/>
      <c r="S7269" s="397"/>
      <c r="T7269" s="397"/>
      <c r="U7269" s="397"/>
      <c r="V7269" s="397"/>
      <c r="W7269" s="397"/>
      <c r="X7269" s="397"/>
      <c r="Y7269" s="397"/>
      <c r="Z7269" s="397"/>
      <c r="AD7269" s="388">
        <v>6.7056000000000004</v>
      </c>
      <c r="AE7269" s="388">
        <v>0.26212800000000003</v>
      </c>
      <c r="AF7269" s="388">
        <v>1.7577255168000003</v>
      </c>
      <c r="AG7269" s="388">
        <v>0.36576000000000003</v>
      </c>
      <c r="AH7269" s="391"/>
      <c r="AI7269" s="397"/>
      <c r="AJ7269" s="397"/>
      <c r="AU7269" s="397"/>
      <c r="AV7269" s="397"/>
      <c r="AW7269" s="397"/>
      <c r="AX7269" s="397"/>
      <c r="BI7269" s="397"/>
      <c r="BJ7269" s="397"/>
      <c r="BK7269" s="397"/>
      <c r="BL7269" s="397"/>
      <c r="BM7269" s="397"/>
      <c r="BN7269" s="397"/>
      <c r="BO7269" s="397"/>
      <c r="BP7269" s="397"/>
      <c r="BQ7269" s="397"/>
      <c r="BR7269" s="397"/>
      <c r="BS7269" s="397"/>
      <c r="BT7269" s="397"/>
      <c r="BU7269" s="397"/>
      <c r="BV7269" s="397"/>
      <c r="BW7269" s="397"/>
      <c r="BX7269" s="397"/>
      <c r="BY7269" s="397"/>
      <c r="BZ7269" s="397"/>
      <c r="CA7269" s="392" t="s">
        <v>413</v>
      </c>
    </row>
    <row r="7270" spans="1:80" s="392" customFormat="1" ht="15" x14ac:dyDescent="0.25">
      <c r="A7270" s="385"/>
      <c r="D7270" s="700"/>
      <c r="E7270" s="397"/>
      <c r="H7270" s="401">
        <v>3</v>
      </c>
      <c r="I7270" s="401"/>
      <c r="J7270" s="401"/>
      <c r="K7270" s="401"/>
      <c r="L7270" s="675"/>
      <c r="M7270" s="672">
        <v>28318</v>
      </c>
      <c r="N7270" s="623">
        <v>0.44148483989798809</v>
      </c>
      <c r="O7270" s="624">
        <v>1.7766666666666668E-3</v>
      </c>
      <c r="P7270" s="397"/>
      <c r="Q7270" s="397"/>
      <c r="R7270" s="397"/>
      <c r="S7270" s="397"/>
      <c r="T7270" s="397"/>
      <c r="U7270" s="397"/>
      <c r="V7270" s="397"/>
      <c r="W7270" s="397"/>
      <c r="X7270" s="397"/>
      <c r="Y7270" s="397"/>
      <c r="Z7270" s="397"/>
      <c r="AD7270" s="388">
        <v>6.2484000000000002</v>
      </c>
      <c r="AE7270" s="388">
        <v>0.23164800000000002</v>
      </c>
      <c r="AF7270" s="388">
        <v>1.4474293632000002</v>
      </c>
      <c r="AG7270" s="388">
        <v>0.24384000000000003</v>
      </c>
      <c r="AH7270" s="391"/>
      <c r="AI7270" s="397"/>
      <c r="AJ7270" s="397"/>
      <c r="AU7270" s="397"/>
      <c r="AV7270" s="397"/>
      <c r="AW7270" s="397"/>
      <c r="AX7270" s="397"/>
      <c r="BI7270" s="397"/>
      <c r="BJ7270" s="397"/>
      <c r="BK7270" s="397"/>
      <c r="BL7270" s="397"/>
      <c r="BM7270" s="397"/>
      <c r="BN7270" s="397"/>
      <c r="BO7270" s="397"/>
      <c r="BP7270" s="397"/>
      <c r="BQ7270" s="397"/>
      <c r="BR7270" s="397"/>
      <c r="BS7270" s="397"/>
      <c r="BT7270" s="397"/>
      <c r="BU7270" s="397"/>
      <c r="BV7270" s="397"/>
      <c r="BW7270" s="397"/>
      <c r="BX7270" s="397"/>
      <c r="BY7270" s="397"/>
      <c r="BZ7270" s="397"/>
      <c r="CA7270" s="392" t="s">
        <v>413</v>
      </c>
    </row>
    <row r="7271" spans="1:80" s="392" customFormat="1" ht="15" x14ac:dyDescent="0.25">
      <c r="A7271" s="385"/>
      <c r="D7271" s="700"/>
      <c r="E7271" s="397"/>
      <c r="H7271" s="401">
        <v>3</v>
      </c>
      <c r="I7271" s="401"/>
      <c r="J7271" s="401"/>
      <c r="K7271" s="401"/>
      <c r="L7271" s="675"/>
      <c r="M7271" s="672">
        <v>28325</v>
      </c>
      <c r="N7271" s="623">
        <v>0.33493907622555968</v>
      </c>
      <c r="O7271" s="624">
        <v>1.3333333333333333E-3</v>
      </c>
      <c r="P7271" s="397"/>
      <c r="Q7271" s="397"/>
      <c r="R7271" s="397"/>
      <c r="S7271" s="397"/>
      <c r="T7271" s="397"/>
      <c r="U7271" s="397"/>
      <c r="V7271" s="397"/>
      <c r="W7271" s="397"/>
      <c r="X7271" s="397"/>
      <c r="Y7271" s="397"/>
      <c r="Z7271" s="397"/>
      <c r="AD7271" s="388">
        <v>6.0960000000000001</v>
      </c>
      <c r="AE7271" s="388">
        <v>0.23164800000000002</v>
      </c>
      <c r="AF7271" s="388">
        <v>1.4121262080000001</v>
      </c>
      <c r="AG7271" s="388">
        <v>0.21335999999999999</v>
      </c>
      <c r="AH7271" s="391"/>
      <c r="AI7271" s="397"/>
      <c r="AJ7271" s="397"/>
      <c r="AU7271" s="397"/>
      <c r="AV7271" s="397"/>
      <c r="AW7271" s="397"/>
      <c r="AX7271" s="397"/>
      <c r="BI7271" s="397"/>
      <c r="BJ7271" s="397"/>
      <c r="BK7271" s="397"/>
      <c r="BL7271" s="397"/>
      <c r="BM7271" s="397"/>
      <c r="BN7271" s="397"/>
      <c r="BO7271" s="397"/>
      <c r="BP7271" s="397"/>
      <c r="BQ7271" s="397"/>
      <c r="BR7271" s="397"/>
      <c r="BS7271" s="397"/>
      <c r="BT7271" s="397"/>
      <c r="BU7271" s="397"/>
      <c r="BV7271" s="397"/>
      <c r="BW7271" s="397"/>
      <c r="BX7271" s="397"/>
      <c r="BY7271" s="397"/>
      <c r="BZ7271" s="397"/>
      <c r="CA7271" s="392" t="s">
        <v>413</v>
      </c>
    </row>
    <row r="7272" spans="1:80" s="392" customFormat="1" ht="15" x14ac:dyDescent="0.25">
      <c r="A7272" s="385"/>
      <c r="D7272" s="700"/>
      <c r="E7272" s="397"/>
      <c r="H7272" s="401">
        <v>3</v>
      </c>
      <c r="I7272" s="401"/>
      <c r="J7272" s="401"/>
      <c r="K7272" s="401"/>
      <c r="L7272" s="675"/>
      <c r="M7272" s="672">
        <v>28332</v>
      </c>
      <c r="N7272" s="623">
        <v>0.57750070841598189</v>
      </c>
      <c r="O7272" s="624" t="s">
        <v>71</v>
      </c>
      <c r="P7272" s="397"/>
      <c r="Q7272" s="397"/>
      <c r="R7272" s="397"/>
      <c r="S7272" s="397"/>
      <c r="T7272" s="397"/>
      <c r="U7272" s="397"/>
      <c r="V7272" s="397"/>
      <c r="W7272" s="397"/>
      <c r="X7272" s="397"/>
      <c r="Y7272" s="397"/>
      <c r="Z7272" s="397"/>
      <c r="AD7272" s="388">
        <v>6.431280000000001</v>
      </c>
      <c r="AE7272" s="388">
        <v>0.23469600000000002</v>
      </c>
      <c r="AF7272" s="388">
        <v>1.5093956908800004</v>
      </c>
      <c r="AG7272" s="388">
        <v>0.33528000000000002</v>
      </c>
      <c r="AH7272" s="391"/>
      <c r="AI7272" s="397"/>
      <c r="AJ7272" s="397"/>
      <c r="AU7272" s="397"/>
      <c r="AV7272" s="397"/>
      <c r="AW7272" s="397"/>
      <c r="AX7272" s="397"/>
      <c r="BI7272" s="397"/>
      <c r="BJ7272" s="397"/>
      <c r="BK7272" s="397"/>
      <c r="BL7272" s="397"/>
      <c r="BM7272" s="397"/>
      <c r="BN7272" s="397"/>
      <c r="BO7272" s="397"/>
      <c r="BP7272" s="397"/>
      <c r="BQ7272" s="397"/>
      <c r="BR7272" s="397"/>
      <c r="BS7272" s="397"/>
      <c r="BT7272" s="397"/>
      <c r="BU7272" s="397"/>
      <c r="BV7272" s="397"/>
      <c r="BW7272" s="397"/>
      <c r="BX7272" s="397"/>
      <c r="BY7272" s="397"/>
      <c r="BZ7272" s="397"/>
      <c r="CA7272" s="392" t="s">
        <v>413</v>
      </c>
    </row>
    <row r="7273" spans="1:80" s="189" customFormat="1" ht="15" x14ac:dyDescent="0.25">
      <c r="A7273" s="381" t="s">
        <v>466</v>
      </c>
      <c r="B7273" s="641"/>
      <c r="C7273" s="639"/>
      <c r="D7273" s="4">
        <f>VLOOKUP(E7273,'Quality Code'!$D$4:$E$24,2,TRUE)*VLOOKUP(MROUND(F7273,10),'Quality Code'!$D$28:$E$69,2,TRUE)*VLOOKUP(COUNTA(CB7273:CB7283),'Quality Code'!$D$73:$E$93,2,TRUE)</f>
        <v>0</v>
      </c>
      <c r="E7273" s="14">
        <v>0.35</v>
      </c>
      <c r="F7273" s="2">
        <v>4</v>
      </c>
      <c r="G7273" s="12"/>
      <c r="H7273" s="2" t="s">
        <v>105</v>
      </c>
      <c r="I7273" s="2"/>
      <c r="J7273" s="2"/>
      <c r="K7273" s="2"/>
      <c r="L7273" s="639"/>
      <c r="M7273" s="640">
        <v>1977</v>
      </c>
      <c r="N7273" s="578" t="s">
        <v>110</v>
      </c>
      <c r="O7273" s="578"/>
      <c r="P7273" s="26"/>
      <c r="Q7273" s="26"/>
      <c r="R7273" s="26"/>
      <c r="S7273" s="26"/>
      <c r="T7273" s="26"/>
      <c r="U7273" s="26"/>
      <c r="V7273" s="10"/>
      <c r="W7273" s="10"/>
      <c r="X7273" s="10"/>
      <c r="Y7273" s="10"/>
      <c r="Z7273" s="2"/>
      <c r="AA7273" s="26"/>
      <c r="AB7273" s="26"/>
      <c r="AC7273" s="377">
        <v>1.4E-2</v>
      </c>
      <c r="AD7273" s="406"/>
      <c r="AE7273" s="26"/>
      <c r="AF7273" s="26"/>
      <c r="AG7273" s="26"/>
      <c r="AH7273" s="26"/>
      <c r="AI7273" s="4"/>
      <c r="AJ7273" s="4"/>
      <c r="AK7273" s="26"/>
      <c r="AL7273" s="26"/>
      <c r="AM7273" s="26"/>
      <c r="AN7273" s="26"/>
      <c r="AO7273" s="26"/>
      <c r="AP7273" s="26"/>
      <c r="AQ7273" s="26"/>
      <c r="AR7273" s="26"/>
      <c r="AS7273" s="26"/>
      <c r="AT7273" s="26"/>
      <c r="AU7273" s="4"/>
      <c r="AV7273" s="4"/>
      <c r="AW7273" s="4"/>
      <c r="AX7273" s="4"/>
      <c r="AY7273" s="2"/>
      <c r="AZ7273" s="2"/>
      <c r="BA7273" s="12"/>
      <c r="BB7273" s="12"/>
      <c r="BC7273" s="12"/>
      <c r="BD7273" s="12"/>
      <c r="BE7273" s="12"/>
      <c r="BF7273" s="12"/>
      <c r="BG7273" s="12"/>
      <c r="BH7273" s="12"/>
      <c r="BI7273" s="4"/>
      <c r="BJ7273" s="12"/>
      <c r="BK7273" s="2"/>
      <c r="BL7273" s="2"/>
      <c r="BM7273" s="4"/>
      <c r="BN7273" s="12"/>
      <c r="BO7273" s="12"/>
      <c r="BP7273" s="12"/>
      <c r="BQ7273" s="4"/>
      <c r="BR7273" s="4"/>
      <c r="BS7273" s="4"/>
      <c r="BT7273" s="2"/>
      <c r="BU7273" s="9"/>
      <c r="BV7273" s="381"/>
      <c r="BW7273" s="382"/>
      <c r="BX7273" s="383"/>
      <c r="BY7273" s="383"/>
      <c r="BZ7273" s="383"/>
      <c r="CA7273" s="384" t="s">
        <v>413</v>
      </c>
      <c r="CB7273" s="411"/>
    </row>
    <row r="7274" spans="1:80" s="392" customFormat="1" ht="15" x14ac:dyDescent="0.25">
      <c r="A7274" s="385"/>
      <c r="D7274" s="700"/>
      <c r="E7274" s="397"/>
      <c r="H7274" s="401">
        <v>3</v>
      </c>
      <c r="I7274" s="401"/>
      <c r="J7274" s="401"/>
      <c r="K7274" s="401"/>
      <c r="L7274" s="675"/>
      <c r="M7274" s="672">
        <v>28257</v>
      </c>
      <c r="N7274" s="623">
        <v>1.9722300935109096E-2</v>
      </c>
      <c r="O7274" s="624">
        <v>4.3333333333333337E-4</v>
      </c>
      <c r="P7274" s="397"/>
      <c r="Q7274" s="397"/>
      <c r="R7274" s="397"/>
      <c r="S7274" s="397"/>
      <c r="T7274" s="397"/>
      <c r="U7274" s="397"/>
      <c r="V7274" s="397"/>
      <c r="W7274" s="397"/>
      <c r="X7274" s="397"/>
      <c r="Y7274" s="397"/>
      <c r="Z7274" s="397"/>
      <c r="AD7274" s="388">
        <v>1.524</v>
      </c>
      <c r="AE7274" s="388">
        <v>6.7056000000000004E-2</v>
      </c>
      <c r="AF7274" s="388">
        <v>0.10219334400000001</v>
      </c>
      <c r="AG7274" s="388">
        <v>0.18897600000000001</v>
      </c>
      <c r="AH7274" s="391"/>
      <c r="AI7274" s="397"/>
      <c r="AJ7274" s="397"/>
      <c r="AU7274" s="397"/>
      <c r="AV7274" s="397"/>
      <c r="AW7274" s="397"/>
      <c r="AX7274" s="397"/>
      <c r="BI7274" s="397"/>
      <c r="BJ7274" s="397"/>
      <c r="BK7274" s="397"/>
      <c r="BL7274" s="397"/>
      <c r="BM7274" s="397"/>
      <c r="BN7274" s="397"/>
      <c r="BO7274" s="397"/>
      <c r="BP7274" s="397"/>
      <c r="BQ7274" s="397"/>
      <c r="BR7274" s="397"/>
      <c r="BS7274" s="397"/>
      <c r="BT7274" s="397"/>
      <c r="BU7274" s="397"/>
      <c r="BV7274" s="397"/>
      <c r="BW7274" s="397"/>
      <c r="BX7274" s="397"/>
      <c r="BY7274" s="397"/>
      <c r="BZ7274" s="397"/>
      <c r="CA7274" s="392" t="s">
        <v>413</v>
      </c>
    </row>
    <row r="7275" spans="1:80" s="392" customFormat="1" ht="15" x14ac:dyDescent="0.25">
      <c r="A7275" s="385"/>
      <c r="D7275" s="700"/>
      <c r="E7275" s="397"/>
      <c r="H7275" s="401">
        <v>3</v>
      </c>
      <c r="I7275" s="401"/>
      <c r="J7275" s="401"/>
      <c r="K7275" s="401"/>
      <c r="L7275" s="675"/>
      <c r="M7275" s="672">
        <v>28271</v>
      </c>
      <c r="N7275" s="623">
        <v>4.3638424482856333E-2</v>
      </c>
      <c r="O7275" s="624">
        <v>9.1666666666666665E-4</v>
      </c>
      <c r="P7275" s="397"/>
      <c r="Q7275" s="397"/>
      <c r="R7275" s="397"/>
      <c r="S7275" s="397"/>
      <c r="T7275" s="397"/>
      <c r="U7275" s="397"/>
      <c r="V7275" s="397"/>
      <c r="W7275" s="397"/>
      <c r="X7275" s="397"/>
      <c r="Y7275" s="397"/>
      <c r="Z7275" s="397"/>
      <c r="AD7275" s="388">
        <v>1.6764000000000001</v>
      </c>
      <c r="AE7275" s="388">
        <v>8.8391999999999998E-2</v>
      </c>
      <c r="AF7275" s="388">
        <v>0.1481803488</v>
      </c>
      <c r="AG7275" s="388">
        <v>0.27432000000000001</v>
      </c>
      <c r="AH7275" s="391"/>
      <c r="AI7275" s="397"/>
      <c r="AJ7275" s="397"/>
      <c r="AU7275" s="397"/>
      <c r="AV7275" s="397"/>
      <c r="AW7275" s="397"/>
      <c r="AX7275" s="397"/>
      <c r="BI7275" s="397"/>
      <c r="BJ7275" s="397"/>
      <c r="BK7275" s="397"/>
      <c r="BL7275" s="397"/>
      <c r="BM7275" s="397"/>
      <c r="BN7275" s="397"/>
      <c r="BO7275" s="397"/>
      <c r="BP7275" s="397"/>
      <c r="BQ7275" s="397"/>
      <c r="BR7275" s="397"/>
      <c r="BS7275" s="397"/>
      <c r="BT7275" s="397"/>
      <c r="BU7275" s="397"/>
      <c r="BV7275" s="397"/>
      <c r="BW7275" s="397"/>
      <c r="BX7275" s="397"/>
      <c r="BY7275" s="397"/>
      <c r="BZ7275" s="397"/>
      <c r="CA7275" s="392" t="s">
        <v>413</v>
      </c>
    </row>
    <row r="7276" spans="1:80" s="392" customFormat="1" ht="15" x14ac:dyDescent="0.25">
      <c r="A7276" s="385"/>
      <c r="D7276" s="700"/>
      <c r="E7276" s="397"/>
      <c r="H7276" s="401">
        <v>3</v>
      </c>
      <c r="I7276" s="401"/>
      <c r="J7276" s="401"/>
      <c r="K7276" s="401"/>
      <c r="L7276" s="675"/>
      <c r="M7276" s="672">
        <v>28277</v>
      </c>
      <c r="N7276" s="623">
        <v>4.0804760555398133E-2</v>
      </c>
      <c r="O7276" s="624">
        <v>8.5066666666666667E-4</v>
      </c>
      <c r="P7276" s="397"/>
      <c r="Q7276" s="397"/>
      <c r="R7276" s="397"/>
      <c r="S7276" s="397"/>
      <c r="T7276" s="397"/>
      <c r="U7276" s="397"/>
      <c r="V7276" s="397"/>
      <c r="W7276" s="397"/>
      <c r="X7276" s="397"/>
      <c r="Y7276" s="397"/>
      <c r="Z7276" s="397"/>
      <c r="AD7276" s="388">
        <v>1.7678400000000001</v>
      </c>
      <c r="AE7276" s="388">
        <v>8.5344000000000017E-2</v>
      </c>
      <c r="AF7276" s="388">
        <v>0.15087453696000003</v>
      </c>
      <c r="AG7276" s="388">
        <v>0.25298399999999999</v>
      </c>
      <c r="AH7276" s="391"/>
      <c r="AI7276" s="397"/>
      <c r="AJ7276" s="397"/>
      <c r="AU7276" s="397"/>
      <c r="AV7276" s="397"/>
      <c r="AW7276" s="397"/>
      <c r="AX7276" s="397"/>
      <c r="BI7276" s="397"/>
      <c r="BJ7276" s="397"/>
      <c r="BK7276" s="397"/>
      <c r="BL7276" s="397"/>
      <c r="BM7276" s="397"/>
      <c r="BN7276" s="397"/>
      <c r="BO7276" s="397"/>
      <c r="BP7276" s="397"/>
      <c r="BQ7276" s="397"/>
      <c r="BR7276" s="397"/>
      <c r="BS7276" s="397"/>
      <c r="BT7276" s="397"/>
      <c r="BU7276" s="397"/>
      <c r="BV7276" s="397"/>
      <c r="BW7276" s="397"/>
      <c r="BX7276" s="397"/>
      <c r="BY7276" s="397"/>
      <c r="BZ7276" s="397"/>
      <c r="CA7276" s="392" t="s">
        <v>413</v>
      </c>
    </row>
    <row r="7277" spans="1:80" s="392" customFormat="1" ht="15" x14ac:dyDescent="0.25">
      <c r="A7277" s="385"/>
      <c r="D7277" s="700"/>
      <c r="E7277" s="397"/>
      <c r="H7277" s="401">
        <v>3</v>
      </c>
      <c r="I7277" s="401"/>
      <c r="J7277" s="401"/>
      <c r="K7277" s="401"/>
      <c r="L7277" s="675"/>
      <c r="M7277" s="672">
        <v>28282</v>
      </c>
      <c r="N7277" s="623">
        <v>3.1170303202040242E-2</v>
      </c>
      <c r="O7277" s="624">
        <v>8.3600000000000005E-4</v>
      </c>
      <c r="P7277" s="397"/>
      <c r="Q7277" s="397"/>
      <c r="R7277" s="397"/>
      <c r="S7277" s="397"/>
      <c r="T7277" s="397"/>
      <c r="U7277" s="397"/>
      <c r="V7277" s="397"/>
      <c r="W7277" s="397"/>
      <c r="X7277" s="397"/>
      <c r="Y7277" s="397"/>
      <c r="Z7277" s="397"/>
      <c r="AD7277" s="388">
        <v>1.7373600000000002</v>
      </c>
      <c r="AE7277" s="388">
        <v>7.6200000000000004E-2</v>
      </c>
      <c r="AF7277" s="388">
        <v>0.13238683200000004</v>
      </c>
      <c r="AG7277" s="388">
        <v>0.21335999999999999</v>
      </c>
      <c r="AH7277" s="391"/>
      <c r="AI7277" s="397"/>
      <c r="AJ7277" s="397"/>
      <c r="AU7277" s="397"/>
      <c r="AV7277" s="397"/>
      <c r="AW7277" s="397"/>
      <c r="AX7277" s="397"/>
      <c r="BI7277" s="397"/>
      <c r="BJ7277" s="397"/>
      <c r="BK7277" s="397"/>
      <c r="BL7277" s="397"/>
      <c r="BM7277" s="397"/>
      <c r="BN7277" s="397"/>
      <c r="BO7277" s="397"/>
      <c r="BP7277" s="397"/>
      <c r="BQ7277" s="397"/>
      <c r="BR7277" s="397"/>
      <c r="BS7277" s="397"/>
      <c r="BT7277" s="397"/>
      <c r="BU7277" s="397"/>
      <c r="BV7277" s="397"/>
      <c r="BW7277" s="397"/>
      <c r="BX7277" s="397"/>
      <c r="BY7277" s="397"/>
      <c r="BZ7277" s="397"/>
      <c r="CA7277" s="392" t="s">
        <v>413</v>
      </c>
    </row>
    <row r="7278" spans="1:80" s="392" customFormat="1" ht="15" x14ac:dyDescent="0.25">
      <c r="A7278" s="385"/>
      <c r="D7278" s="700"/>
      <c r="E7278" s="397"/>
      <c r="H7278" s="401">
        <v>3</v>
      </c>
      <c r="I7278" s="401"/>
      <c r="J7278" s="401"/>
      <c r="K7278" s="401"/>
      <c r="L7278" s="675"/>
      <c r="M7278" s="672">
        <v>28290</v>
      </c>
      <c r="N7278" s="623">
        <v>2.0770756588268633E-2</v>
      </c>
      <c r="O7278" s="624" t="s">
        <v>71</v>
      </c>
      <c r="P7278" s="397"/>
      <c r="Q7278" s="397"/>
      <c r="R7278" s="397"/>
      <c r="S7278" s="397"/>
      <c r="T7278" s="397"/>
      <c r="U7278" s="397"/>
      <c r="V7278" s="397"/>
      <c r="W7278" s="397"/>
      <c r="X7278" s="397"/>
      <c r="Y7278" s="397"/>
      <c r="Z7278" s="397"/>
      <c r="AD7278" s="388">
        <v>1.6764000000000001</v>
      </c>
      <c r="AE7278" s="388">
        <v>6.0960000000000007E-2</v>
      </c>
      <c r="AF7278" s="388">
        <v>0.10219334400000002</v>
      </c>
      <c r="AG7278" s="388">
        <v>0.16459200000000002</v>
      </c>
      <c r="AH7278" s="391"/>
      <c r="AI7278" s="397"/>
      <c r="AJ7278" s="397"/>
      <c r="AU7278" s="397"/>
      <c r="AV7278" s="397"/>
      <c r="AW7278" s="397"/>
      <c r="AX7278" s="397"/>
      <c r="BI7278" s="397"/>
      <c r="BJ7278" s="397"/>
      <c r="BK7278" s="397"/>
      <c r="BL7278" s="397"/>
      <c r="BM7278" s="397"/>
      <c r="BN7278" s="397"/>
      <c r="BO7278" s="397"/>
      <c r="BP7278" s="397"/>
      <c r="BQ7278" s="397"/>
      <c r="BR7278" s="397"/>
      <c r="BS7278" s="397"/>
      <c r="BT7278" s="397"/>
      <c r="BU7278" s="397"/>
      <c r="BV7278" s="397"/>
      <c r="BW7278" s="397"/>
      <c r="BX7278" s="397"/>
      <c r="BY7278" s="397"/>
      <c r="BZ7278" s="397"/>
      <c r="CA7278" s="392" t="s">
        <v>413</v>
      </c>
    </row>
    <row r="7279" spans="1:80" s="392" customFormat="1" ht="15" x14ac:dyDescent="0.25">
      <c r="A7279" s="385"/>
      <c r="D7279" s="700"/>
      <c r="E7279" s="397"/>
      <c r="H7279" s="401">
        <v>3</v>
      </c>
      <c r="I7279" s="401"/>
      <c r="J7279" s="401"/>
      <c r="K7279" s="401"/>
      <c r="L7279" s="675"/>
      <c r="M7279" s="672">
        <v>28297</v>
      </c>
      <c r="N7279" s="623">
        <v>1.0767922924341174E-2</v>
      </c>
      <c r="O7279" s="624" t="s">
        <v>71</v>
      </c>
      <c r="P7279" s="397"/>
      <c r="Q7279" s="397"/>
      <c r="R7279" s="397"/>
      <c r="S7279" s="397"/>
      <c r="T7279" s="397"/>
      <c r="U7279" s="397"/>
      <c r="V7279" s="397"/>
      <c r="W7279" s="397"/>
      <c r="X7279" s="397"/>
      <c r="Y7279" s="397"/>
      <c r="Z7279" s="397"/>
      <c r="AD7279" s="388">
        <v>1.4325600000000001</v>
      </c>
      <c r="AE7279" s="388">
        <v>5.4864000000000003E-2</v>
      </c>
      <c r="AF7279" s="388">
        <v>7.8595971840000001E-2</v>
      </c>
      <c r="AG7279" s="388">
        <v>0.11582400000000001</v>
      </c>
      <c r="AH7279" s="391"/>
      <c r="AI7279" s="397"/>
      <c r="AJ7279" s="397"/>
      <c r="AU7279" s="397"/>
      <c r="AV7279" s="397"/>
      <c r="AW7279" s="397"/>
      <c r="AX7279" s="397"/>
      <c r="BI7279" s="397"/>
      <c r="BJ7279" s="397"/>
      <c r="BK7279" s="397"/>
      <c r="BL7279" s="397"/>
      <c r="BM7279" s="397"/>
      <c r="BN7279" s="397"/>
      <c r="BO7279" s="397"/>
      <c r="BP7279" s="397"/>
      <c r="BQ7279" s="397"/>
      <c r="BR7279" s="397"/>
      <c r="BS7279" s="397"/>
      <c r="BT7279" s="397"/>
      <c r="BU7279" s="397"/>
      <c r="BV7279" s="397"/>
      <c r="BW7279" s="397"/>
      <c r="BX7279" s="397"/>
      <c r="BY7279" s="397"/>
      <c r="BZ7279" s="397"/>
      <c r="CA7279" s="392" t="s">
        <v>413</v>
      </c>
    </row>
    <row r="7280" spans="1:80" s="392" customFormat="1" ht="15" x14ac:dyDescent="0.25">
      <c r="A7280" s="385"/>
      <c r="D7280" s="700"/>
      <c r="E7280" s="397"/>
      <c r="H7280" s="401">
        <v>3</v>
      </c>
      <c r="I7280" s="401"/>
      <c r="J7280" s="401"/>
      <c r="K7280" s="401"/>
      <c r="L7280" s="675"/>
      <c r="M7280" s="672">
        <v>28300</v>
      </c>
      <c r="N7280" s="623">
        <v>1.1901388495324454E-2</v>
      </c>
      <c r="O7280" s="624" t="s">
        <v>71</v>
      </c>
      <c r="P7280" s="397"/>
      <c r="Q7280" s="397"/>
      <c r="R7280" s="397"/>
      <c r="S7280" s="397"/>
      <c r="T7280" s="397"/>
      <c r="U7280" s="397"/>
      <c r="V7280" s="397"/>
      <c r="W7280" s="397"/>
      <c r="X7280" s="397"/>
      <c r="Y7280" s="397"/>
      <c r="Z7280" s="397"/>
      <c r="AD7280" s="388">
        <v>1.5697200000000002</v>
      </c>
      <c r="AE7280" s="388">
        <v>4.8768000000000006E-2</v>
      </c>
      <c r="AF7280" s="388">
        <v>7.655210496000002E-2</v>
      </c>
      <c r="AG7280" s="388">
        <v>0.12801599999999999</v>
      </c>
      <c r="AH7280" s="391"/>
      <c r="AI7280" s="397"/>
      <c r="AJ7280" s="397"/>
      <c r="AU7280" s="397"/>
      <c r="AV7280" s="397"/>
      <c r="AW7280" s="397"/>
      <c r="AX7280" s="397"/>
      <c r="BI7280" s="397"/>
      <c r="BJ7280" s="397"/>
      <c r="BK7280" s="397"/>
      <c r="BL7280" s="397"/>
      <c r="BM7280" s="397"/>
      <c r="BN7280" s="397"/>
      <c r="BO7280" s="397"/>
      <c r="BP7280" s="397"/>
      <c r="BQ7280" s="397"/>
      <c r="BR7280" s="397"/>
      <c r="BS7280" s="397"/>
      <c r="BT7280" s="397"/>
      <c r="BU7280" s="397"/>
      <c r="BV7280" s="397"/>
      <c r="BW7280" s="397"/>
      <c r="BX7280" s="397"/>
      <c r="BY7280" s="397"/>
      <c r="BZ7280" s="397"/>
      <c r="CA7280" s="392" t="s">
        <v>413</v>
      </c>
    </row>
    <row r="7281" spans="1:80" s="392" customFormat="1" ht="15" x14ac:dyDescent="0.25">
      <c r="A7281" s="385"/>
      <c r="D7281" s="700"/>
      <c r="E7281" s="397"/>
      <c r="H7281" s="401">
        <v>3</v>
      </c>
      <c r="I7281" s="401"/>
      <c r="J7281" s="401"/>
      <c r="K7281" s="401"/>
      <c r="L7281" s="675"/>
      <c r="M7281" s="672">
        <v>28304</v>
      </c>
      <c r="N7281" s="623">
        <v>8.5009917823746107E-3</v>
      </c>
      <c r="O7281" s="624" t="s">
        <v>71</v>
      </c>
      <c r="P7281" s="397"/>
      <c r="Q7281" s="397"/>
      <c r="R7281" s="397"/>
      <c r="S7281" s="397"/>
      <c r="T7281" s="397"/>
      <c r="U7281" s="397"/>
      <c r="V7281" s="397"/>
      <c r="W7281" s="397"/>
      <c r="X7281" s="397"/>
      <c r="Y7281" s="397"/>
      <c r="Z7281" s="397"/>
      <c r="AD7281" s="388">
        <v>1.524</v>
      </c>
      <c r="AE7281" s="388">
        <v>4.8768000000000006E-2</v>
      </c>
      <c r="AF7281" s="388">
        <v>7.4322432000000008E-2</v>
      </c>
      <c r="AG7281" s="388">
        <v>9.1440000000000007E-2</v>
      </c>
      <c r="AH7281" s="391"/>
      <c r="AI7281" s="397"/>
      <c r="AJ7281" s="397"/>
      <c r="AU7281" s="397"/>
      <c r="AV7281" s="397"/>
      <c r="AW7281" s="397"/>
      <c r="AX7281" s="397"/>
      <c r="BI7281" s="397"/>
      <c r="BJ7281" s="397"/>
      <c r="BK7281" s="397"/>
      <c r="BL7281" s="397"/>
      <c r="BM7281" s="397"/>
      <c r="BN7281" s="397"/>
      <c r="BO7281" s="397"/>
      <c r="BP7281" s="397"/>
      <c r="BQ7281" s="397"/>
      <c r="BR7281" s="397"/>
      <c r="BS7281" s="397"/>
      <c r="BT7281" s="397"/>
      <c r="BU7281" s="397"/>
      <c r="BV7281" s="397"/>
      <c r="BW7281" s="397"/>
      <c r="BX7281" s="397"/>
      <c r="BY7281" s="397"/>
      <c r="BZ7281" s="397"/>
      <c r="CA7281" s="392" t="s">
        <v>413</v>
      </c>
    </row>
    <row r="7282" spans="1:80" s="392" customFormat="1" ht="15" x14ac:dyDescent="0.25">
      <c r="A7282" s="385"/>
      <c r="D7282" s="700"/>
      <c r="E7282" s="397"/>
      <c r="H7282" s="401">
        <v>3</v>
      </c>
      <c r="I7282" s="401"/>
      <c r="J7282" s="401"/>
      <c r="K7282" s="401"/>
      <c r="L7282" s="675"/>
      <c r="M7282" s="672">
        <v>28312</v>
      </c>
      <c r="N7282" s="623">
        <v>7.9342589968829699E-3</v>
      </c>
      <c r="O7282" s="624" t="s">
        <v>71</v>
      </c>
      <c r="P7282" s="397"/>
      <c r="Q7282" s="397"/>
      <c r="R7282" s="397"/>
      <c r="S7282" s="397"/>
      <c r="T7282" s="397"/>
      <c r="U7282" s="397"/>
      <c r="V7282" s="397"/>
      <c r="W7282" s="397"/>
      <c r="X7282" s="397"/>
      <c r="Y7282" s="397"/>
      <c r="Z7282" s="397"/>
      <c r="AD7282" s="388">
        <v>1.5544799999999999</v>
      </c>
      <c r="AE7282" s="388">
        <v>4.5720000000000004E-2</v>
      </c>
      <c r="AF7282" s="388">
        <v>7.1070825599999998E-2</v>
      </c>
      <c r="AG7282" s="388">
        <v>8.5344000000000017E-2</v>
      </c>
      <c r="AH7282" s="391"/>
      <c r="AI7282" s="397"/>
      <c r="AJ7282" s="397"/>
      <c r="AU7282" s="397"/>
      <c r="AV7282" s="397"/>
      <c r="AW7282" s="397"/>
      <c r="AX7282" s="397"/>
      <c r="BI7282" s="397"/>
      <c r="BJ7282" s="397"/>
      <c r="BK7282" s="397"/>
      <c r="BL7282" s="397"/>
      <c r="BM7282" s="397"/>
      <c r="BN7282" s="397"/>
      <c r="BO7282" s="397"/>
      <c r="BP7282" s="397"/>
      <c r="BQ7282" s="397"/>
      <c r="BR7282" s="397"/>
      <c r="BS7282" s="397"/>
      <c r="BT7282" s="397"/>
      <c r="BU7282" s="397"/>
      <c r="BV7282" s="397"/>
      <c r="BW7282" s="397"/>
      <c r="BX7282" s="397"/>
      <c r="BY7282" s="397"/>
      <c r="BZ7282" s="397"/>
      <c r="CA7282" s="392" t="s">
        <v>413</v>
      </c>
    </row>
    <row r="7283" spans="1:80" s="392" customFormat="1" ht="15" x14ac:dyDescent="0.25">
      <c r="A7283" s="385"/>
      <c r="D7283" s="700"/>
      <c r="E7283" s="397"/>
      <c r="H7283" s="401">
        <v>3</v>
      </c>
      <c r="I7283" s="401"/>
      <c r="J7283" s="401"/>
      <c r="K7283" s="401"/>
      <c r="L7283" s="675"/>
      <c r="M7283" s="672">
        <v>28318</v>
      </c>
      <c r="N7283" s="623">
        <v>5.1005950694247666E-3</v>
      </c>
      <c r="O7283" s="624" t="s">
        <v>71</v>
      </c>
      <c r="P7283" s="397"/>
      <c r="Q7283" s="397"/>
      <c r="R7283" s="397"/>
      <c r="S7283" s="397"/>
      <c r="T7283" s="397"/>
      <c r="U7283" s="397"/>
      <c r="V7283" s="397"/>
      <c r="W7283" s="397"/>
      <c r="X7283" s="397"/>
      <c r="Y7283" s="397"/>
      <c r="Z7283" s="397"/>
      <c r="AD7283" s="388">
        <v>1.524</v>
      </c>
      <c r="AE7283" s="388">
        <v>4.5720000000000004E-2</v>
      </c>
      <c r="AF7283" s="388">
        <v>6.9677280000000008E-2</v>
      </c>
      <c r="AG7283" s="388">
        <v>6.4007999999999995E-2</v>
      </c>
      <c r="AH7283" s="391"/>
      <c r="AI7283" s="397"/>
      <c r="AJ7283" s="397"/>
      <c r="AU7283" s="397"/>
      <c r="AV7283" s="397"/>
      <c r="AW7283" s="397"/>
      <c r="AX7283" s="397"/>
      <c r="BI7283" s="397"/>
      <c r="BJ7283" s="397"/>
      <c r="BK7283" s="397"/>
      <c r="BL7283" s="397"/>
      <c r="BM7283" s="397"/>
      <c r="BN7283" s="397"/>
      <c r="BO7283" s="397"/>
      <c r="BP7283" s="397"/>
      <c r="BQ7283" s="397"/>
      <c r="BR7283" s="397"/>
      <c r="BS7283" s="397"/>
      <c r="BT7283" s="397"/>
      <c r="BU7283" s="397"/>
      <c r="BV7283" s="397"/>
      <c r="BW7283" s="397"/>
      <c r="BX7283" s="397"/>
      <c r="BY7283" s="397"/>
      <c r="BZ7283" s="397"/>
      <c r="CA7283" s="392" t="s">
        <v>413</v>
      </c>
    </row>
    <row r="7284" spans="1:80" s="392" customFormat="1" ht="15" x14ac:dyDescent="0.25">
      <c r="A7284" s="385"/>
      <c r="D7284" s="700"/>
      <c r="E7284" s="397"/>
      <c r="H7284" s="401">
        <v>3</v>
      </c>
      <c r="I7284" s="401"/>
      <c r="J7284" s="401"/>
      <c r="K7284" s="401"/>
      <c r="L7284" s="675"/>
      <c r="M7284" s="672">
        <v>28325</v>
      </c>
      <c r="N7284" s="623">
        <v>6.7724567866251058E-3</v>
      </c>
      <c r="O7284" s="624" t="s">
        <v>71</v>
      </c>
      <c r="P7284" s="397"/>
      <c r="Q7284" s="397"/>
      <c r="R7284" s="397"/>
      <c r="S7284" s="397"/>
      <c r="T7284" s="397"/>
      <c r="U7284" s="397"/>
      <c r="V7284" s="397"/>
      <c r="W7284" s="397"/>
      <c r="X7284" s="397"/>
      <c r="Y7284" s="397"/>
      <c r="Z7284" s="397"/>
      <c r="AD7284" s="388">
        <v>1.3411200000000001</v>
      </c>
      <c r="AE7284" s="388">
        <v>3.9624000000000006E-2</v>
      </c>
      <c r="AF7284" s="388">
        <v>5.3140538880000011E-2</v>
      </c>
      <c r="AG7284" s="388">
        <v>8.8391999999999998E-2</v>
      </c>
      <c r="AH7284" s="391"/>
      <c r="AI7284" s="397"/>
      <c r="AJ7284" s="397"/>
      <c r="AU7284" s="397"/>
      <c r="AV7284" s="397"/>
      <c r="AW7284" s="397"/>
      <c r="AX7284" s="397"/>
      <c r="BI7284" s="397"/>
      <c r="BJ7284" s="397"/>
      <c r="BK7284" s="397"/>
      <c r="BL7284" s="397"/>
      <c r="BM7284" s="397"/>
      <c r="BN7284" s="397"/>
      <c r="BO7284" s="397"/>
      <c r="BP7284" s="397"/>
      <c r="BQ7284" s="397"/>
      <c r="BR7284" s="397"/>
      <c r="BS7284" s="397"/>
      <c r="BT7284" s="397"/>
      <c r="BU7284" s="397"/>
      <c r="BV7284" s="397"/>
      <c r="BW7284" s="397"/>
      <c r="BX7284" s="397"/>
      <c r="BY7284" s="397"/>
      <c r="BZ7284" s="397"/>
      <c r="CA7284" s="392" t="s">
        <v>413</v>
      </c>
    </row>
    <row r="7285" spans="1:80" s="392" customFormat="1" ht="15" x14ac:dyDescent="0.25">
      <c r="A7285" s="385"/>
      <c r="D7285" s="700"/>
      <c r="E7285" s="397"/>
      <c r="H7285" s="401">
        <v>3</v>
      </c>
      <c r="I7285" s="401"/>
      <c r="J7285" s="401"/>
      <c r="K7285" s="401"/>
      <c r="L7285" s="675"/>
      <c r="M7285" s="672">
        <v>28332</v>
      </c>
      <c r="N7285" s="623">
        <v>7.2258430150184188E-3</v>
      </c>
      <c r="O7285" s="624" t="s">
        <v>71</v>
      </c>
      <c r="P7285" s="397"/>
      <c r="Q7285" s="397"/>
      <c r="R7285" s="397"/>
      <c r="S7285" s="397"/>
      <c r="T7285" s="397"/>
      <c r="U7285" s="397"/>
      <c r="V7285" s="397"/>
      <c r="W7285" s="397"/>
      <c r="X7285" s="397"/>
      <c r="Y7285" s="397"/>
      <c r="Z7285" s="397"/>
      <c r="AD7285" s="388">
        <v>1.4935200000000002</v>
      </c>
      <c r="AE7285" s="388">
        <v>4.5720000000000004E-2</v>
      </c>
      <c r="AF7285" s="388">
        <v>6.8283734400000018E-2</v>
      </c>
      <c r="AG7285" s="388">
        <v>8.2296000000000008E-2</v>
      </c>
      <c r="AH7285" s="391"/>
      <c r="AI7285" s="397"/>
      <c r="AJ7285" s="397"/>
      <c r="AU7285" s="397"/>
      <c r="AV7285" s="397"/>
      <c r="AW7285" s="397"/>
      <c r="AX7285" s="397"/>
      <c r="BI7285" s="397"/>
      <c r="BJ7285" s="397"/>
      <c r="BK7285" s="397"/>
      <c r="BL7285" s="397"/>
      <c r="BM7285" s="397"/>
      <c r="BN7285" s="397"/>
      <c r="BO7285" s="397"/>
      <c r="BP7285" s="397"/>
      <c r="BQ7285" s="397"/>
      <c r="BR7285" s="397"/>
      <c r="BS7285" s="397"/>
      <c r="BT7285" s="397"/>
      <c r="BU7285" s="397"/>
      <c r="BV7285" s="397"/>
      <c r="BW7285" s="397"/>
      <c r="BX7285" s="397"/>
      <c r="BY7285" s="397"/>
      <c r="BZ7285" s="397"/>
      <c r="CA7285" s="392" t="s">
        <v>413</v>
      </c>
    </row>
    <row r="7286" spans="1:80" s="189" customFormat="1" ht="15" x14ac:dyDescent="0.25">
      <c r="A7286" s="381" t="s">
        <v>467</v>
      </c>
      <c r="B7286" s="641"/>
      <c r="C7286" s="639"/>
      <c r="D7286" s="4">
        <f>VLOOKUP(E7286,'Quality Code'!$D$4:$E$24,2,TRUE)*VLOOKUP(MROUND(F7286,10),'Quality Code'!$D$28:$E$69,2,TRUE)*VLOOKUP(COUNTA(CB7286:CB7296),'Quality Code'!$D$73:$E$93,2,TRUE)</f>
        <v>0</v>
      </c>
      <c r="E7286" s="14">
        <v>0.35</v>
      </c>
      <c r="F7286" s="2">
        <v>4</v>
      </c>
      <c r="G7286" s="12"/>
      <c r="H7286" s="2" t="s">
        <v>105</v>
      </c>
      <c r="I7286" s="2"/>
      <c r="J7286" s="2"/>
      <c r="K7286" s="2"/>
      <c r="L7286" s="639"/>
      <c r="M7286" s="640">
        <v>1977</v>
      </c>
      <c r="N7286" s="578" t="s">
        <v>110</v>
      </c>
      <c r="O7286" s="578"/>
      <c r="P7286" s="26"/>
      <c r="Q7286" s="26"/>
      <c r="R7286" s="26"/>
      <c r="S7286" s="26"/>
      <c r="T7286" s="26"/>
      <c r="U7286" s="26"/>
      <c r="V7286" s="10"/>
      <c r="W7286" s="10"/>
      <c r="X7286" s="10"/>
      <c r="Y7286" s="10"/>
      <c r="Z7286" s="2"/>
      <c r="AA7286" s="26"/>
      <c r="AB7286" s="26"/>
      <c r="AC7286" s="377">
        <v>0.01</v>
      </c>
      <c r="AD7286" s="406"/>
      <c r="AE7286" s="26"/>
      <c r="AF7286" s="26"/>
      <c r="AG7286" s="26"/>
      <c r="AH7286" s="26"/>
      <c r="AI7286" s="4"/>
      <c r="AJ7286" s="4"/>
      <c r="AK7286" s="26"/>
      <c r="AL7286" s="26"/>
      <c r="AM7286" s="26"/>
      <c r="AN7286" s="26"/>
      <c r="AO7286" s="26"/>
      <c r="AP7286" s="26"/>
      <c r="AQ7286" s="26"/>
      <c r="AR7286" s="26"/>
      <c r="AS7286" s="26"/>
      <c r="AT7286" s="26"/>
      <c r="AU7286" s="4"/>
      <c r="AV7286" s="4"/>
      <c r="AW7286" s="4"/>
      <c r="AX7286" s="4"/>
      <c r="AY7286" s="2"/>
      <c r="AZ7286" s="2"/>
      <c r="BA7286" s="12"/>
      <c r="BB7286" s="12"/>
      <c r="BC7286" s="12"/>
      <c r="BD7286" s="12"/>
      <c r="BE7286" s="12"/>
      <c r="BF7286" s="12"/>
      <c r="BG7286" s="12"/>
      <c r="BH7286" s="12"/>
      <c r="BI7286" s="4"/>
      <c r="BJ7286" s="12"/>
      <c r="BK7286" s="2"/>
      <c r="BL7286" s="2"/>
      <c r="BM7286" s="4"/>
      <c r="BN7286" s="12"/>
      <c r="BO7286" s="12"/>
      <c r="BP7286" s="12"/>
      <c r="BQ7286" s="4"/>
      <c r="BR7286" s="4"/>
      <c r="BS7286" s="4"/>
      <c r="BT7286" s="2"/>
      <c r="BU7286" s="9"/>
      <c r="BV7286" s="381"/>
      <c r="BW7286" s="382"/>
      <c r="BX7286" s="383"/>
      <c r="BY7286" s="383"/>
      <c r="BZ7286" s="383"/>
      <c r="CA7286" s="384" t="s">
        <v>413</v>
      </c>
      <c r="CB7286" s="411"/>
    </row>
    <row r="7287" spans="1:80" s="392" customFormat="1" ht="15" x14ac:dyDescent="0.25">
      <c r="A7287" s="385"/>
      <c r="D7287" s="700"/>
      <c r="E7287" s="397"/>
      <c r="H7287" s="401">
        <v>3</v>
      </c>
      <c r="I7287" s="401"/>
      <c r="J7287" s="401"/>
      <c r="K7287" s="401"/>
      <c r="L7287" s="675"/>
      <c r="M7287" s="672">
        <v>28277</v>
      </c>
      <c r="N7287" s="623">
        <v>0.93284216491924066</v>
      </c>
      <c r="O7287" s="624" t="s">
        <v>71</v>
      </c>
      <c r="P7287" s="397"/>
      <c r="Q7287" s="397"/>
      <c r="R7287" s="397"/>
      <c r="S7287" s="397"/>
      <c r="T7287" s="397"/>
      <c r="U7287" s="397"/>
      <c r="V7287" s="397"/>
      <c r="W7287" s="397"/>
      <c r="X7287" s="397"/>
      <c r="Y7287" s="397"/>
      <c r="Z7287" s="397"/>
      <c r="AD7287" s="388">
        <v>2.5298400000000005</v>
      </c>
      <c r="AE7287" s="388">
        <v>0.28651199999999999</v>
      </c>
      <c r="AF7287" s="388">
        <v>0.72482951808000018</v>
      </c>
      <c r="AG7287" s="388">
        <v>0.97536000000000012</v>
      </c>
      <c r="AH7287" s="391"/>
      <c r="AI7287" s="397"/>
      <c r="AJ7287" s="397"/>
      <c r="AU7287" s="397"/>
      <c r="AV7287" s="397"/>
      <c r="AW7287" s="397"/>
      <c r="AX7287" s="397"/>
      <c r="BI7287" s="397"/>
      <c r="BJ7287" s="397"/>
      <c r="BK7287" s="397"/>
      <c r="BL7287" s="397"/>
      <c r="BM7287" s="397"/>
      <c r="BN7287" s="397"/>
      <c r="BO7287" s="397"/>
      <c r="BP7287" s="397"/>
      <c r="BQ7287" s="397"/>
      <c r="BR7287" s="397"/>
      <c r="BS7287" s="397"/>
      <c r="BT7287" s="397"/>
      <c r="BU7287" s="397"/>
      <c r="BV7287" s="397"/>
      <c r="BW7287" s="397"/>
      <c r="BX7287" s="397"/>
      <c r="BY7287" s="397"/>
      <c r="BZ7287" s="397"/>
      <c r="CA7287" s="392" t="s">
        <v>413</v>
      </c>
    </row>
    <row r="7288" spans="1:80" s="392" customFormat="1" ht="15" x14ac:dyDescent="0.25">
      <c r="A7288" s="385"/>
      <c r="D7288" s="700"/>
      <c r="E7288" s="397"/>
      <c r="H7288" s="401">
        <v>3</v>
      </c>
      <c r="I7288" s="401"/>
      <c r="J7288" s="401"/>
      <c r="K7288" s="401"/>
      <c r="L7288" s="675"/>
      <c r="M7288" s="672">
        <v>28282</v>
      </c>
      <c r="N7288" s="623">
        <v>0.6902805327288184</v>
      </c>
      <c r="O7288" s="624">
        <v>5.4780000000000002E-3</v>
      </c>
      <c r="P7288" s="397"/>
      <c r="Q7288" s="397"/>
      <c r="R7288" s="397"/>
      <c r="S7288" s="397"/>
      <c r="T7288" s="397"/>
      <c r="U7288" s="397"/>
      <c r="V7288" s="397"/>
      <c r="W7288" s="397"/>
      <c r="X7288" s="397"/>
      <c r="Y7288" s="397"/>
      <c r="Z7288" s="397"/>
      <c r="AD7288" s="388">
        <v>2.5298400000000005</v>
      </c>
      <c r="AE7288" s="388">
        <v>0.24688800000000002</v>
      </c>
      <c r="AF7288" s="388">
        <v>0.6245871379200002</v>
      </c>
      <c r="AG7288" s="388">
        <v>0.89916000000000007</v>
      </c>
      <c r="AH7288" s="391"/>
      <c r="AI7288" s="397"/>
      <c r="AJ7288" s="397"/>
      <c r="AU7288" s="397"/>
      <c r="AV7288" s="397"/>
      <c r="AW7288" s="397"/>
      <c r="AX7288" s="397"/>
      <c r="BI7288" s="397"/>
      <c r="BJ7288" s="397"/>
      <c r="BK7288" s="397"/>
      <c r="BL7288" s="397"/>
      <c r="BM7288" s="397"/>
      <c r="BN7288" s="397"/>
      <c r="BO7288" s="397"/>
      <c r="BP7288" s="397"/>
      <c r="BQ7288" s="397"/>
      <c r="BR7288" s="397"/>
      <c r="BS7288" s="397"/>
      <c r="BT7288" s="397"/>
      <c r="BU7288" s="397"/>
      <c r="BV7288" s="397"/>
      <c r="BW7288" s="397"/>
      <c r="BX7288" s="397"/>
      <c r="BY7288" s="397"/>
      <c r="BZ7288" s="397"/>
      <c r="CA7288" s="392" t="s">
        <v>413</v>
      </c>
    </row>
    <row r="7289" spans="1:80" s="392" customFormat="1" ht="15" x14ac:dyDescent="0.25">
      <c r="A7289" s="385"/>
      <c r="D7289" s="700"/>
      <c r="E7289" s="397"/>
      <c r="H7289" s="401">
        <v>3</v>
      </c>
      <c r="I7289" s="401"/>
      <c r="J7289" s="401"/>
      <c r="K7289" s="401"/>
      <c r="L7289" s="675"/>
      <c r="M7289" s="672">
        <v>28293</v>
      </c>
      <c r="N7289" s="623">
        <v>0.19750637574383678</v>
      </c>
      <c r="O7289" s="624">
        <v>2.4840000000000005E-3</v>
      </c>
      <c r="P7289" s="397"/>
      <c r="Q7289" s="397"/>
      <c r="R7289" s="397"/>
      <c r="S7289" s="397"/>
      <c r="T7289" s="397"/>
      <c r="U7289" s="397"/>
      <c r="V7289" s="397"/>
      <c r="W7289" s="397"/>
      <c r="X7289" s="397"/>
      <c r="Y7289" s="397"/>
      <c r="Z7289" s="397"/>
      <c r="AD7289" s="388">
        <v>4.2062400000000002</v>
      </c>
      <c r="AE7289" s="388">
        <v>0.16154400000000002</v>
      </c>
      <c r="AF7289" s="388">
        <v>0.67949283456000009</v>
      </c>
      <c r="AG7289" s="388">
        <v>0.42671999999999999</v>
      </c>
      <c r="AH7289" s="391"/>
      <c r="AI7289" s="397"/>
      <c r="AJ7289" s="397"/>
      <c r="AU7289" s="397"/>
      <c r="AV7289" s="397"/>
      <c r="AW7289" s="397"/>
      <c r="AX7289" s="397"/>
      <c r="BI7289" s="397"/>
      <c r="BJ7289" s="397"/>
      <c r="BK7289" s="397"/>
      <c r="BL7289" s="397"/>
      <c r="BM7289" s="397"/>
      <c r="BN7289" s="397"/>
      <c r="BO7289" s="397"/>
      <c r="BP7289" s="397"/>
      <c r="BQ7289" s="397"/>
      <c r="BR7289" s="397"/>
      <c r="BS7289" s="397"/>
      <c r="BT7289" s="397"/>
      <c r="BU7289" s="397"/>
      <c r="BV7289" s="397"/>
      <c r="BW7289" s="397"/>
      <c r="BX7289" s="397"/>
      <c r="BY7289" s="397"/>
      <c r="BZ7289" s="397"/>
      <c r="CA7289" s="392" t="s">
        <v>413</v>
      </c>
    </row>
    <row r="7290" spans="1:80" s="392" customFormat="1" ht="15" x14ac:dyDescent="0.25">
      <c r="A7290" s="385"/>
      <c r="D7290" s="700"/>
      <c r="E7290" s="397"/>
      <c r="H7290" s="401">
        <v>3</v>
      </c>
      <c r="I7290" s="401"/>
      <c r="J7290" s="401"/>
      <c r="K7290" s="401"/>
      <c r="L7290" s="675"/>
      <c r="M7290" s="672">
        <v>28298</v>
      </c>
      <c r="N7290" s="623">
        <v>0.10172853499574951</v>
      </c>
      <c r="O7290" s="624">
        <v>2.4553333333333328E-3</v>
      </c>
      <c r="P7290" s="397"/>
      <c r="Q7290" s="397"/>
      <c r="R7290" s="397"/>
      <c r="S7290" s="397"/>
      <c r="T7290" s="397"/>
      <c r="U7290" s="397"/>
      <c r="V7290" s="397"/>
      <c r="W7290" s="397"/>
      <c r="X7290" s="397"/>
      <c r="Y7290" s="397"/>
      <c r="Z7290" s="397"/>
      <c r="AD7290" s="388">
        <v>3.8709600000000002</v>
      </c>
      <c r="AE7290" s="388">
        <v>0.124968</v>
      </c>
      <c r="AF7290" s="388">
        <v>0.48374612927999999</v>
      </c>
      <c r="AG7290" s="388">
        <v>0.24384000000000003</v>
      </c>
      <c r="AH7290" s="391"/>
      <c r="AI7290" s="397"/>
      <c r="AJ7290" s="397"/>
      <c r="AU7290" s="397"/>
      <c r="AV7290" s="397"/>
      <c r="AW7290" s="397"/>
      <c r="AX7290" s="397"/>
      <c r="BI7290" s="397"/>
      <c r="BJ7290" s="397"/>
      <c r="BK7290" s="397"/>
      <c r="BL7290" s="397"/>
      <c r="BM7290" s="397"/>
      <c r="BN7290" s="397"/>
      <c r="BO7290" s="397"/>
      <c r="BP7290" s="397"/>
      <c r="BQ7290" s="397"/>
      <c r="BR7290" s="397"/>
      <c r="BS7290" s="397"/>
      <c r="BT7290" s="397"/>
      <c r="BU7290" s="397"/>
      <c r="BV7290" s="397"/>
      <c r="BW7290" s="397"/>
      <c r="BX7290" s="397"/>
      <c r="BY7290" s="397"/>
      <c r="BZ7290" s="397"/>
      <c r="CA7290" s="392" t="s">
        <v>413</v>
      </c>
    </row>
    <row r="7291" spans="1:80" s="392" customFormat="1" ht="15" x14ac:dyDescent="0.25">
      <c r="A7291" s="385"/>
      <c r="D7291" s="700"/>
      <c r="E7291" s="397"/>
      <c r="H7291" s="401">
        <v>3</v>
      </c>
      <c r="I7291" s="401"/>
      <c r="J7291" s="401"/>
      <c r="K7291" s="401"/>
      <c r="L7291" s="675"/>
      <c r="M7291" s="672">
        <v>28304</v>
      </c>
      <c r="N7291" s="623">
        <v>7.3675262113913301E-2</v>
      </c>
      <c r="O7291" s="624" t="s">
        <v>71</v>
      </c>
      <c r="P7291" s="397"/>
      <c r="Q7291" s="397"/>
      <c r="R7291" s="397"/>
      <c r="S7291" s="397"/>
      <c r="T7291" s="397"/>
      <c r="U7291" s="397"/>
      <c r="V7291" s="397"/>
      <c r="W7291" s="397"/>
      <c r="X7291" s="397"/>
      <c r="Y7291" s="397"/>
      <c r="Z7291" s="397"/>
      <c r="AD7291" s="388">
        <v>4.7244000000000002</v>
      </c>
      <c r="AE7291" s="388">
        <v>0</v>
      </c>
      <c r="AF7291" s="388">
        <v>0</v>
      </c>
      <c r="AG7291" s="388">
        <v>0</v>
      </c>
      <c r="AH7291" s="391"/>
      <c r="AI7291" s="397"/>
      <c r="AJ7291" s="397"/>
      <c r="AU7291" s="397"/>
      <c r="AV7291" s="397"/>
      <c r="AW7291" s="397"/>
      <c r="AX7291" s="397"/>
      <c r="BI7291" s="397"/>
      <c r="BJ7291" s="397"/>
      <c r="BK7291" s="397"/>
      <c r="BL7291" s="397"/>
      <c r="BM7291" s="397"/>
      <c r="BN7291" s="397"/>
      <c r="BO7291" s="397"/>
      <c r="BP7291" s="397"/>
      <c r="BQ7291" s="397"/>
      <c r="BR7291" s="397"/>
      <c r="BS7291" s="397"/>
      <c r="BT7291" s="397"/>
      <c r="BU7291" s="397"/>
      <c r="BV7291" s="397"/>
      <c r="BW7291" s="397"/>
      <c r="BX7291" s="397"/>
      <c r="BY7291" s="397"/>
      <c r="BZ7291" s="397"/>
      <c r="CA7291" s="392" t="s">
        <v>413</v>
      </c>
    </row>
    <row r="7292" spans="1:80" s="392" customFormat="1" ht="15" x14ac:dyDescent="0.25">
      <c r="A7292" s="385"/>
      <c r="D7292" s="700"/>
      <c r="E7292" s="397"/>
      <c r="H7292" s="401">
        <v>3</v>
      </c>
      <c r="I7292" s="401"/>
      <c r="J7292" s="401"/>
      <c r="K7292" s="401"/>
      <c r="L7292" s="675"/>
      <c r="M7292" s="672">
        <v>28312</v>
      </c>
      <c r="N7292" s="623">
        <v>9.8044771890053839E-2</v>
      </c>
      <c r="O7292" s="624">
        <v>1.0333333333333332E-3</v>
      </c>
      <c r="P7292" s="397"/>
      <c r="Q7292" s="397"/>
      <c r="R7292" s="397"/>
      <c r="S7292" s="397"/>
      <c r="T7292" s="397"/>
      <c r="U7292" s="397"/>
      <c r="V7292" s="397"/>
      <c r="W7292" s="397"/>
      <c r="X7292" s="397"/>
      <c r="Y7292" s="397"/>
      <c r="Z7292" s="397"/>
      <c r="AD7292" s="388">
        <v>4.7244000000000002</v>
      </c>
      <c r="AE7292" s="388">
        <v>0.11582400000000001</v>
      </c>
      <c r="AF7292" s="388">
        <v>0.54719890560000006</v>
      </c>
      <c r="AG7292" s="388">
        <v>0.24384000000000003</v>
      </c>
      <c r="AH7292" s="391"/>
      <c r="AI7292" s="397"/>
      <c r="AJ7292" s="397"/>
      <c r="AU7292" s="397"/>
      <c r="AV7292" s="397"/>
      <c r="AW7292" s="397"/>
      <c r="AX7292" s="397"/>
      <c r="BI7292" s="397"/>
      <c r="BJ7292" s="397"/>
      <c r="BK7292" s="397"/>
      <c r="BL7292" s="397"/>
      <c r="BM7292" s="397"/>
      <c r="BN7292" s="397"/>
      <c r="BO7292" s="397"/>
      <c r="BP7292" s="397"/>
      <c r="BQ7292" s="397"/>
      <c r="BR7292" s="397"/>
      <c r="BS7292" s="397"/>
      <c r="BT7292" s="397"/>
      <c r="BU7292" s="397"/>
      <c r="BV7292" s="397"/>
      <c r="BW7292" s="397"/>
      <c r="BX7292" s="397"/>
      <c r="BY7292" s="397"/>
      <c r="BZ7292" s="397"/>
      <c r="CA7292" s="392" t="s">
        <v>413</v>
      </c>
    </row>
    <row r="7293" spans="1:80" s="392" customFormat="1" ht="15" x14ac:dyDescent="0.25">
      <c r="A7293" s="385"/>
      <c r="D7293" s="700"/>
      <c r="E7293" s="397"/>
      <c r="H7293" s="401">
        <v>3</v>
      </c>
      <c r="I7293" s="401"/>
      <c r="J7293" s="401"/>
      <c r="K7293" s="401"/>
      <c r="L7293" s="675"/>
      <c r="M7293" s="672">
        <v>28319</v>
      </c>
      <c r="N7293" s="623">
        <v>0.11901388495324455</v>
      </c>
      <c r="O7293" s="624" t="s">
        <v>71</v>
      </c>
      <c r="P7293" s="397"/>
      <c r="Q7293" s="397"/>
      <c r="R7293" s="397"/>
      <c r="S7293" s="397"/>
      <c r="T7293" s="397"/>
      <c r="U7293" s="397"/>
      <c r="V7293" s="397"/>
      <c r="W7293" s="397"/>
      <c r="X7293" s="397"/>
      <c r="Y7293" s="397"/>
      <c r="Z7293" s="397"/>
      <c r="AD7293" s="388">
        <v>3.8709600000000002</v>
      </c>
      <c r="AE7293" s="388">
        <v>8.2296000000000008E-2</v>
      </c>
      <c r="AF7293" s="388">
        <v>0.31856452416000003</v>
      </c>
      <c r="AG7293" s="388">
        <v>6.0960000000000007E-2</v>
      </c>
      <c r="AH7293" s="391"/>
      <c r="AI7293" s="397"/>
      <c r="AJ7293" s="397"/>
      <c r="AU7293" s="397"/>
      <c r="AV7293" s="397"/>
      <c r="AW7293" s="397"/>
      <c r="AX7293" s="397"/>
      <c r="BI7293" s="397"/>
      <c r="BJ7293" s="397"/>
      <c r="BK7293" s="397"/>
      <c r="BL7293" s="397"/>
      <c r="BM7293" s="397"/>
      <c r="BN7293" s="397"/>
      <c r="BO7293" s="397"/>
      <c r="BP7293" s="397"/>
      <c r="BQ7293" s="397"/>
      <c r="BR7293" s="397"/>
      <c r="BS7293" s="397"/>
      <c r="BT7293" s="397"/>
      <c r="BU7293" s="397"/>
      <c r="BV7293" s="397"/>
      <c r="BW7293" s="397"/>
      <c r="BX7293" s="397"/>
      <c r="BY7293" s="397"/>
      <c r="BZ7293" s="397"/>
      <c r="CA7293" s="392" t="s">
        <v>413</v>
      </c>
    </row>
    <row r="7294" spans="1:80" s="392" customFormat="1" ht="15" x14ac:dyDescent="0.25">
      <c r="A7294" s="385"/>
      <c r="D7294" s="700"/>
      <c r="E7294" s="397"/>
      <c r="H7294" s="401">
        <v>3</v>
      </c>
      <c r="I7294" s="401"/>
      <c r="J7294" s="401"/>
      <c r="K7294" s="401"/>
      <c r="L7294" s="675"/>
      <c r="M7294" s="672">
        <v>28325</v>
      </c>
      <c r="N7294" s="623">
        <v>5.6673278549164069E-2</v>
      </c>
      <c r="O7294" s="624" t="s">
        <v>71</v>
      </c>
      <c r="P7294" s="397"/>
      <c r="Q7294" s="397"/>
      <c r="R7294" s="397"/>
      <c r="S7294" s="397"/>
      <c r="T7294" s="397"/>
      <c r="U7294" s="397"/>
      <c r="V7294" s="397"/>
      <c r="W7294" s="397"/>
      <c r="X7294" s="397"/>
      <c r="Y7294" s="397"/>
      <c r="Z7294" s="397"/>
      <c r="AD7294" s="388">
        <v>5.0596800000000011</v>
      </c>
      <c r="AE7294" s="388">
        <v>7.6200000000000004E-2</v>
      </c>
      <c r="AF7294" s="388">
        <v>0.38554761600000009</v>
      </c>
      <c r="AG7294" s="388">
        <v>9.1440000000000007E-2</v>
      </c>
      <c r="AH7294" s="391"/>
      <c r="AI7294" s="397"/>
      <c r="AJ7294" s="397"/>
      <c r="AU7294" s="397"/>
      <c r="AV7294" s="397"/>
      <c r="AW7294" s="397"/>
      <c r="AX7294" s="397"/>
      <c r="BI7294" s="397"/>
      <c r="BJ7294" s="397"/>
      <c r="BK7294" s="397"/>
      <c r="BL7294" s="397"/>
      <c r="BM7294" s="397"/>
      <c r="BN7294" s="397"/>
      <c r="BO7294" s="397"/>
      <c r="BP7294" s="397"/>
      <c r="BQ7294" s="397"/>
      <c r="BR7294" s="397"/>
      <c r="BS7294" s="397"/>
      <c r="BT7294" s="397"/>
      <c r="BU7294" s="397"/>
      <c r="BV7294" s="397"/>
      <c r="BW7294" s="397"/>
      <c r="BX7294" s="397"/>
      <c r="BY7294" s="397"/>
      <c r="BZ7294" s="397"/>
      <c r="CA7294" s="392" t="s">
        <v>413</v>
      </c>
    </row>
    <row r="7295" spans="1:80" s="392" customFormat="1" ht="15" x14ac:dyDescent="0.25">
      <c r="A7295" s="385"/>
      <c r="D7295" s="700"/>
      <c r="E7295" s="397"/>
      <c r="H7295" s="401">
        <v>3</v>
      </c>
      <c r="I7295" s="401"/>
      <c r="J7295" s="401"/>
      <c r="K7295" s="401"/>
      <c r="L7295" s="675"/>
      <c r="M7295" s="672">
        <v>28332</v>
      </c>
      <c r="N7295" s="623">
        <v>4.222159251912723E-2</v>
      </c>
      <c r="O7295" s="624" t="s">
        <v>71</v>
      </c>
      <c r="P7295" s="397"/>
      <c r="Q7295" s="397"/>
      <c r="R7295" s="397"/>
      <c r="S7295" s="397"/>
      <c r="T7295" s="397"/>
      <c r="U7295" s="397"/>
      <c r="V7295" s="397"/>
      <c r="W7295" s="397"/>
      <c r="X7295" s="397"/>
      <c r="Y7295" s="397"/>
      <c r="Z7295" s="397"/>
      <c r="AD7295" s="388">
        <v>4.3891200000000001</v>
      </c>
      <c r="AE7295" s="388">
        <v>0.10363200000000002</v>
      </c>
      <c r="AF7295" s="388">
        <v>0.45485328384000007</v>
      </c>
      <c r="AG7295" s="388">
        <v>0.12192000000000001</v>
      </c>
      <c r="AH7295" s="391"/>
      <c r="AI7295" s="397"/>
      <c r="AJ7295" s="397"/>
      <c r="AU7295" s="397"/>
      <c r="AV7295" s="397"/>
      <c r="AW7295" s="397"/>
      <c r="AX7295" s="397"/>
      <c r="BI7295" s="397"/>
      <c r="BJ7295" s="397"/>
      <c r="BK7295" s="397"/>
      <c r="BL7295" s="397"/>
      <c r="BM7295" s="397"/>
      <c r="BN7295" s="397"/>
      <c r="BO7295" s="397"/>
      <c r="BP7295" s="397"/>
      <c r="BQ7295" s="397"/>
      <c r="BR7295" s="397"/>
      <c r="BS7295" s="397"/>
      <c r="BT7295" s="397"/>
      <c r="BU7295" s="397"/>
      <c r="BV7295" s="397"/>
      <c r="BW7295" s="397"/>
      <c r="BX7295" s="397"/>
      <c r="BY7295" s="397"/>
      <c r="BZ7295" s="397"/>
      <c r="CA7295" s="392" t="s">
        <v>413</v>
      </c>
    </row>
    <row r="7296" spans="1:80" s="189" customFormat="1" ht="15" x14ac:dyDescent="0.25">
      <c r="A7296" s="381" t="s">
        <v>524</v>
      </c>
      <c r="B7296" s="641" t="s">
        <v>34</v>
      </c>
      <c r="C7296" s="639"/>
      <c r="D7296" s="4">
        <f>VLOOKUP(E7296,'Quality Code'!$D$4:$E$24,2,TRUE)*VLOOKUP(MROUND(F7296,10),'Quality Code'!$D$28:$E$69,2,TRUE)*VLOOKUP(COUNTA(CB7296:CB7306),'Quality Code'!$D$73:$E$93,2,TRUE)</f>
        <v>0.2</v>
      </c>
      <c r="E7296" s="14">
        <v>0.4</v>
      </c>
      <c r="F7296" s="2">
        <v>15</v>
      </c>
      <c r="G7296" s="12"/>
      <c r="H7296" s="2" t="s">
        <v>105</v>
      </c>
      <c r="I7296" s="2"/>
      <c r="J7296" s="2"/>
      <c r="K7296" s="2"/>
      <c r="L7296" s="639"/>
      <c r="M7296" s="640">
        <v>1984</v>
      </c>
      <c r="N7296" s="578" t="s">
        <v>110</v>
      </c>
      <c r="O7296" s="578"/>
      <c r="P7296" s="26"/>
      <c r="Q7296" s="26"/>
      <c r="R7296" s="26"/>
      <c r="S7296" s="26"/>
      <c r="T7296" s="26"/>
      <c r="U7296" s="26"/>
      <c r="V7296" s="10"/>
      <c r="W7296" s="10"/>
      <c r="X7296" s="10"/>
      <c r="Y7296" s="10"/>
      <c r="Z7296" s="2"/>
      <c r="AA7296" s="26"/>
      <c r="AB7296" s="26"/>
      <c r="AC7296" s="377">
        <v>1.6299999999999999E-2</v>
      </c>
      <c r="AD7296" s="406"/>
      <c r="AE7296" s="26"/>
      <c r="AF7296" s="26"/>
      <c r="AG7296" s="26"/>
      <c r="AH7296" s="26"/>
      <c r="AI7296" s="4"/>
      <c r="AJ7296" s="4"/>
      <c r="AK7296" s="26"/>
      <c r="AL7296" s="26"/>
      <c r="AM7296" s="26"/>
      <c r="AN7296" s="26"/>
      <c r="AO7296" s="26"/>
      <c r="AP7296" s="26"/>
      <c r="AQ7296" s="26"/>
      <c r="AR7296" s="26"/>
      <c r="AS7296" s="26"/>
      <c r="AT7296" s="26"/>
      <c r="AU7296" s="4"/>
      <c r="AV7296" s="4"/>
      <c r="AW7296" s="4"/>
      <c r="AX7296" s="4"/>
      <c r="AY7296" s="2"/>
      <c r="AZ7296" s="2"/>
      <c r="BA7296" s="12"/>
      <c r="BB7296" s="12"/>
      <c r="BC7296" s="12"/>
      <c r="BD7296" s="12"/>
      <c r="BE7296" s="12"/>
      <c r="BF7296" s="12"/>
      <c r="BG7296" s="12"/>
      <c r="BH7296" s="12"/>
      <c r="BI7296" s="4"/>
      <c r="BJ7296" s="12"/>
      <c r="BK7296" s="2"/>
      <c r="BL7296" s="2"/>
      <c r="BM7296" s="4"/>
      <c r="BN7296" s="12"/>
      <c r="BO7296" s="12"/>
      <c r="BP7296" s="12"/>
      <c r="BQ7296" s="4"/>
      <c r="BR7296" s="4"/>
      <c r="BS7296" s="4"/>
      <c r="BT7296" s="2"/>
      <c r="BU7296" s="9"/>
      <c r="BV7296" s="381"/>
      <c r="BW7296" s="382"/>
      <c r="BX7296" s="383"/>
      <c r="BY7296" s="383" t="s">
        <v>84</v>
      </c>
      <c r="BZ7296" s="383"/>
      <c r="CA7296" s="384" t="s">
        <v>413</v>
      </c>
      <c r="CB7296" s="411"/>
    </row>
    <row r="7297" spans="1:79" s="392" customFormat="1" ht="15" x14ac:dyDescent="0.25">
      <c r="A7297" s="385"/>
      <c r="D7297" s="700"/>
      <c r="E7297" s="397"/>
      <c r="H7297" s="401">
        <v>3</v>
      </c>
      <c r="I7297" s="401"/>
      <c r="J7297" s="401"/>
      <c r="K7297" s="401"/>
      <c r="L7297" s="675"/>
      <c r="M7297" s="672">
        <v>30816</v>
      </c>
      <c r="N7297" s="623">
        <v>3.6837631056956646</v>
      </c>
      <c r="O7297" s="624">
        <v>3.2202036450666667E-2</v>
      </c>
      <c r="P7297" s="397"/>
      <c r="Q7297" s="397"/>
      <c r="R7297" s="397"/>
      <c r="S7297" s="397"/>
      <c r="T7297" s="397"/>
      <c r="U7297" s="397"/>
      <c r="V7297" s="397"/>
      <c r="W7297" s="397"/>
      <c r="X7297" s="397"/>
      <c r="Y7297" s="397"/>
      <c r="Z7297" s="397"/>
      <c r="AD7297" s="388">
        <v>14.11224</v>
      </c>
      <c r="AE7297" s="388">
        <v>0.31089600000000001</v>
      </c>
      <c r="AF7297" s="388">
        <v>4.3874389670400005</v>
      </c>
      <c r="AG7297" s="388">
        <v>0.83820000000000006</v>
      </c>
      <c r="AH7297" s="391"/>
      <c r="AI7297" s="397"/>
      <c r="AJ7297" s="397"/>
      <c r="AU7297" s="397"/>
      <c r="AV7297" s="397"/>
      <c r="AW7297" s="397"/>
      <c r="AX7297" s="397"/>
      <c r="BI7297" s="397"/>
      <c r="BJ7297" s="397"/>
      <c r="BK7297" s="397"/>
      <c r="BL7297" s="397"/>
      <c r="BM7297" s="397"/>
      <c r="BN7297" s="397"/>
      <c r="BO7297" s="397"/>
      <c r="BP7297" s="397"/>
      <c r="BQ7297" s="397"/>
      <c r="BR7297" s="397"/>
      <c r="BS7297" s="397"/>
      <c r="BT7297" s="397"/>
      <c r="BU7297" s="397"/>
      <c r="BV7297" s="397"/>
      <c r="BW7297" s="397"/>
      <c r="BX7297" s="397"/>
      <c r="BY7297" s="397"/>
      <c r="BZ7297" s="397"/>
      <c r="CA7297" s="392" t="s">
        <v>413</v>
      </c>
    </row>
    <row r="7298" spans="1:79" s="392" customFormat="1" ht="15" x14ac:dyDescent="0.25">
      <c r="A7298" s="385"/>
      <c r="D7298" s="700"/>
      <c r="E7298" s="397"/>
      <c r="H7298" s="401">
        <v>3</v>
      </c>
      <c r="I7298" s="401"/>
      <c r="J7298" s="401"/>
      <c r="K7298" s="401"/>
      <c r="L7298" s="675"/>
      <c r="M7298" s="672">
        <v>30819</v>
      </c>
      <c r="N7298" s="623">
        <v>5.0155851516010204</v>
      </c>
      <c r="O7298" s="624">
        <v>1.4587531583999998E-2</v>
      </c>
      <c r="P7298" s="397"/>
      <c r="Q7298" s="397"/>
      <c r="R7298" s="397"/>
      <c r="S7298" s="397"/>
      <c r="T7298" s="397"/>
      <c r="U7298" s="397"/>
      <c r="V7298" s="397"/>
      <c r="W7298" s="397"/>
      <c r="X7298" s="397"/>
      <c r="Y7298" s="397"/>
      <c r="Z7298" s="397"/>
      <c r="AD7298" s="388">
        <v>16.33728</v>
      </c>
      <c r="AE7298" s="388">
        <v>0.32004000000000005</v>
      </c>
      <c r="AF7298" s="388">
        <v>5.2285830912000009</v>
      </c>
      <c r="AG7298" s="388">
        <v>0.95707200000000003</v>
      </c>
      <c r="AH7298" s="391"/>
      <c r="AI7298" s="397"/>
      <c r="AJ7298" s="397"/>
      <c r="AU7298" s="397"/>
      <c r="AV7298" s="397"/>
      <c r="AW7298" s="397"/>
      <c r="AX7298" s="397"/>
      <c r="BI7298" s="397"/>
      <c r="BJ7298" s="397"/>
      <c r="BK7298" s="397"/>
      <c r="BL7298" s="397"/>
      <c r="BM7298" s="397"/>
      <c r="BN7298" s="397"/>
      <c r="BO7298" s="397"/>
      <c r="BP7298" s="397"/>
      <c r="BQ7298" s="397"/>
      <c r="BR7298" s="397"/>
      <c r="BS7298" s="397"/>
      <c r="BT7298" s="397"/>
      <c r="BU7298" s="397"/>
      <c r="BV7298" s="397"/>
      <c r="BW7298" s="397"/>
      <c r="BX7298" s="397"/>
      <c r="BY7298" s="397"/>
      <c r="BZ7298" s="397"/>
      <c r="CA7298" s="392" t="s">
        <v>413</v>
      </c>
    </row>
    <row r="7299" spans="1:79" s="392" customFormat="1" ht="15" x14ac:dyDescent="0.25">
      <c r="A7299" s="385"/>
      <c r="D7299" s="700"/>
      <c r="E7299" s="397"/>
      <c r="H7299" s="401">
        <v>3</v>
      </c>
      <c r="I7299" s="401"/>
      <c r="J7299" s="401"/>
      <c r="K7299" s="401"/>
      <c r="L7299" s="675"/>
      <c r="M7299" s="672">
        <v>30825</v>
      </c>
      <c r="N7299" s="623">
        <v>7.7642391612354773</v>
      </c>
      <c r="O7299" s="624">
        <v>1.9958065599999998E-2</v>
      </c>
      <c r="P7299" s="397"/>
      <c r="Q7299" s="397"/>
      <c r="R7299" s="397"/>
      <c r="S7299" s="397"/>
      <c r="T7299" s="397"/>
      <c r="U7299" s="397"/>
      <c r="V7299" s="397"/>
      <c r="W7299" s="397"/>
      <c r="X7299" s="397"/>
      <c r="Y7299" s="397"/>
      <c r="Z7299" s="397"/>
      <c r="AD7299" s="388">
        <v>20.116800000000001</v>
      </c>
      <c r="AE7299" s="388">
        <v>0.33223200000000003</v>
      </c>
      <c r="AF7299" s="388">
        <v>6.6834446976000006</v>
      </c>
      <c r="AG7299" s="388">
        <v>1.1582399999999999</v>
      </c>
      <c r="AH7299" s="391"/>
      <c r="AI7299" s="397"/>
      <c r="AJ7299" s="397"/>
      <c r="AU7299" s="397"/>
      <c r="AV7299" s="397"/>
      <c r="AW7299" s="397"/>
      <c r="AX7299" s="397"/>
      <c r="BI7299" s="397"/>
      <c r="BJ7299" s="397"/>
      <c r="BK7299" s="397"/>
      <c r="BL7299" s="397"/>
      <c r="BM7299" s="397"/>
      <c r="BN7299" s="397"/>
      <c r="BO7299" s="397"/>
      <c r="BP7299" s="397"/>
      <c r="BQ7299" s="397"/>
      <c r="BR7299" s="397"/>
      <c r="BS7299" s="397"/>
      <c r="BT7299" s="397"/>
      <c r="BU7299" s="397"/>
      <c r="BV7299" s="397"/>
      <c r="BW7299" s="397"/>
      <c r="BX7299" s="397"/>
      <c r="BY7299" s="397"/>
      <c r="BZ7299" s="397"/>
      <c r="CA7299" s="392" t="s">
        <v>413</v>
      </c>
    </row>
    <row r="7300" spans="1:79" s="392" customFormat="1" ht="15" x14ac:dyDescent="0.25">
      <c r="A7300" s="385"/>
      <c r="D7300" s="700"/>
      <c r="E7300" s="397"/>
      <c r="H7300" s="401">
        <v>3</v>
      </c>
      <c r="I7300" s="401"/>
      <c r="J7300" s="401"/>
      <c r="K7300" s="401"/>
      <c r="L7300" s="675"/>
      <c r="M7300" s="672">
        <v>30837</v>
      </c>
      <c r="N7300" s="623">
        <v>6.7724567866251064</v>
      </c>
      <c r="O7300" s="624">
        <v>1.871824637333333E-2</v>
      </c>
      <c r="P7300" s="397"/>
      <c r="Q7300" s="397"/>
      <c r="R7300" s="397"/>
      <c r="S7300" s="397"/>
      <c r="T7300" s="397"/>
      <c r="U7300" s="397"/>
      <c r="V7300" s="397"/>
      <c r="W7300" s="397"/>
      <c r="X7300" s="397"/>
      <c r="Y7300" s="397"/>
      <c r="Z7300" s="397"/>
      <c r="AD7300" s="388">
        <v>18.86712</v>
      </c>
      <c r="AE7300" s="388">
        <v>0.32613600000000004</v>
      </c>
      <c r="AF7300" s="388">
        <v>6.1532470483200008</v>
      </c>
      <c r="AG7300" s="388">
        <v>1.09728</v>
      </c>
      <c r="AH7300" s="391"/>
      <c r="AI7300" s="397"/>
      <c r="AJ7300" s="397"/>
      <c r="AU7300" s="397"/>
      <c r="AV7300" s="397"/>
      <c r="AW7300" s="397"/>
      <c r="AX7300" s="397"/>
      <c r="BI7300" s="397"/>
      <c r="BJ7300" s="397"/>
      <c r="BK7300" s="397"/>
      <c r="BL7300" s="397"/>
      <c r="BM7300" s="397"/>
      <c r="BN7300" s="397"/>
      <c r="BO7300" s="397"/>
      <c r="BP7300" s="397"/>
      <c r="BQ7300" s="397"/>
      <c r="BR7300" s="397"/>
      <c r="BS7300" s="397"/>
      <c r="BT7300" s="397"/>
      <c r="BU7300" s="397"/>
      <c r="BV7300" s="397"/>
      <c r="BW7300" s="397"/>
      <c r="BX7300" s="397"/>
      <c r="BY7300" s="397"/>
      <c r="BZ7300" s="397"/>
      <c r="CA7300" s="392" t="s">
        <v>413</v>
      </c>
    </row>
    <row r="7301" spans="1:79" s="392" customFormat="1" ht="15" x14ac:dyDescent="0.25">
      <c r="A7301" s="385"/>
      <c r="D7301" s="700"/>
      <c r="E7301" s="397"/>
      <c r="H7301" s="401">
        <v>3</v>
      </c>
      <c r="I7301" s="401"/>
      <c r="J7301" s="401"/>
      <c r="K7301" s="401"/>
      <c r="L7301" s="675"/>
      <c r="M7301" s="672">
        <v>30841</v>
      </c>
      <c r="N7301" s="623">
        <v>4.533862283933126</v>
      </c>
      <c r="O7301" s="624">
        <v>2.6269047858666667E-3</v>
      </c>
      <c r="P7301" s="397"/>
      <c r="Q7301" s="397"/>
      <c r="R7301" s="397"/>
      <c r="S7301" s="397"/>
      <c r="T7301" s="397"/>
      <c r="U7301" s="397"/>
      <c r="V7301" s="397"/>
      <c r="W7301" s="397"/>
      <c r="X7301" s="397"/>
      <c r="Y7301" s="397"/>
      <c r="Z7301" s="397"/>
      <c r="AD7301" s="388">
        <v>15.575280000000001</v>
      </c>
      <c r="AE7301" s="388">
        <v>0.31699200000000005</v>
      </c>
      <c r="AF7301" s="388">
        <v>4.9372391577600014</v>
      </c>
      <c r="AG7301" s="388">
        <v>0.9144000000000001</v>
      </c>
      <c r="AH7301" s="391"/>
      <c r="AI7301" s="397"/>
      <c r="AJ7301" s="397"/>
      <c r="AU7301" s="397"/>
      <c r="AV7301" s="397"/>
      <c r="AW7301" s="397"/>
      <c r="AX7301" s="397"/>
      <c r="BI7301" s="397"/>
      <c r="BJ7301" s="397"/>
      <c r="BK7301" s="397"/>
      <c r="BL7301" s="397"/>
      <c r="BM7301" s="397"/>
      <c r="BN7301" s="397"/>
      <c r="BO7301" s="397"/>
      <c r="BP7301" s="397"/>
      <c r="BQ7301" s="397"/>
      <c r="BR7301" s="397"/>
      <c r="BS7301" s="397"/>
      <c r="BT7301" s="397"/>
      <c r="BU7301" s="397"/>
      <c r="BV7301" s="397"/>
      <c r="BW7301" s="397"/>
      <c r="BX7301" s="397"/>
      <c r="BY7301" s="397"/>
      <c r="BZ7301" s="397"/>
      <c r="CA7301" s="392" t="s">
        <v>413</v>
      </c>
    </row>
    <row r="7302" spans="1:79" s="392" customFormat="1" ht="15" x14ac:dyDescent="0.25">
      <c r="A7302" s="385"/>
      <c r="D7302" s="700"/>
      <c r="E7302" s="397"/>
      <c r="H7302" s="401">
        <v>3</v>
      </c>
      <c r="I7302" s="401"/>
      <c r="J7302" s="401"/>
      <c r="K7302" s="401"/>
      <c r="L7302" s="675"/>
      <c r="M7302" s="672">
        <v>30848</v>
      </c>
      <c r="N7302" s="623">
        <v>7.8492490790592235</v>
      </c>
      <c r="O7302" s="624">
        <v>3.6142242431999996E-2</v>
      </c>
      <c r="P7302" s="397"/>
      <c r="Q7302" s="397"/>
      <c r="R7302" s="397"/>
      <c r="S7302" s="397"/>
      <c r="T7302" s="397"/>
      <c r="U7302" s="397"/>
      <c r="V7302" s="397"/>
      <c r="W7302" s="397"/>
      <c r="X7302" s="397"/>
      <c r="Y7302" s="397"/>
      <c r="Z7302" s="397"/>
      <c r="AD7302" s="388">
        <v>20.238720000000004</v>
      </c>
      <c r="AE7302" s="388">
        <v>0.33223200000000003</v>
      </c>
      <c r="AF7302" s="388">
        <v>6.7239504230400016</v>
      </c>
      <c r="AG7302" s="388">
        <v>1.1582399999999999</v>
      </c>
      <c r="AH7302" s="391"/>
      <c r="AI7302" s="397"/>
      <c r="AJ7302" s="397"/>
      <c r="AU7302" s="397"/>
      <c r="AV7302" s="397"/>
      <c r="AW7302" s="397"/>
      <c r="AX7302" s="397"/>
      <c r="BI7302" s="397"/>
      <c r="BJ7302" s="397"/>
      <c r="BK7302" s="397"/>
      <c r="BL7302" s="397"/>
      <c r="BM7302" s="397"/>
      <c r="BN7302" s="397"/>
      <c r="BO7302" s="397"/>
      <c r="BP7302" s="397"/>
      <c r="BQ7302" s="397"/>
      <c r="BR7302" s="397"/>
      <c r="BS7302" s="397"/>
      <c r="BT7302" s="397"/>
      <c r="BU7302" s="397"/>
      <c r="BV7302" s="397"/>
      <c r="BW7302" s="397"/>
      <c r="BX7302" s="397"/>
      <c r="BY7302" s="397"/>
      <c r="BZ7302" s="397"/>
      <c r="CA7302" s="392" t="s">
        <v>413</v>
      </c>
    </row>
    <row r="7303" spans="1:79" s="392" customFormat="1" ht="15" x14ac:dyDescent="0.25">
      <c r="A7303" s="385"/>
      <c r="D7303" s="700"/>
      <c r="E7303" s="397"/>
      <c r="H7303" s="401">
        <v>3</v>
      </c>
      <c r="I7303" s="401"/>
      <c r="J7303" s="401"/>
      <c r="K7303" s="401"/>
      <c r="L7303" s="675"/>
      <c r="M7303" s="672">
        <v>30853</v>
      </c>
      <c r="N7303" s="623">
        <v>8.2176253896287896</v>
      </c>
      <c r="O7303" s="624">
        <v>2.4602851775999999E-2</v>
      </c>
      <c r="P7303" s="397"/>
      <c r="Q7303" s="397"/>
      <c r="R7303" s="397"/>
      <c r="S7303" s="397"/>
      <c r="T7303" s="397"/>
      <c r="U7303" s="397"/>
      <c r="V7303" s="397"/>
      <c r="W7303" s="397"/>
      <c r="X7303" s="397"/>
      <c r="Y7303" s="397"/>
      <c r="Z7303" s="397"/>
      <c r="AD7303" s="388">
        <v>20.66544</v>
      </c>
      <c r="AE7303" s="388">
        <v>0.33528000000000002</v>
      </c>
      <c r="AF7303" s="388">
        <v>6.9287087232000006</v>
      </c>
      <c r="AG7303" s="388">
        <v>1.18872</v>
      </c>
      <c r="AH7303" s="391"/>
      <c r="AI7303" s="397"/>
      <c r="AJ7303" s="397"/>
      <c r="AU7303" s="397"/>
      <c r="AV7303" s="397"/>
      <c r="AW7303" s="397"/>
      <c r="AX7303" s="397"/>
      <c r="BI7303" s="397"/>
      <c r="BJ7303" s="397"/>
      <c r="BK7303" s="397"/>
      <c r="BL7303" s="397"/>
      <c r="BM7303" s="397"/>
      <c r="BN7303" s="397"/>
      <c r="BO7303" s="397"/>
      <c r="BP7303" s="397"/>
      <c r="BQ7303" s="397"/>
      <c r="BR7303" s="397"/>
      <c r="BS7303" s="397"/>
      <c r="BT7303" s="397"/>
      <c r="BU7303" s="397"/>
      <c r="BV7303" s="397"/>
      <c r="BW7303" s="397"/>
      <c r="BX7303" s="397"/>
      <c r="BY7303" s="397"/>
      <c r="BZ7303" s="397"/>
      <c r="CA7303" s="392" t="s">
        <v>413</v>
      </c>
    </row>
    <row r="7304" spans="1:79" s="392" customFormat="1" ht="15" x14ac:dyDescent="0.25">
      <c r="A7304" s="385"/>
      <c r="D7304" s="700"/>
      <c r="E7304" s="397"/>
      <c r="H7304" s="401">
        <v>3</v>
      </c>
      <c r="I7304" s="401"/>
      <c r="J7304" s="401"/>
      <c r="K7304" s="401"/>
      <c r="L7304" s="675"/>
      <c r="M7304" s="672">
        <v>30860</v>
      </c>
      <c r="N7304" s="623">
        <v>8.2176253896287896</v>
      </c>
      <c r="O7304" s="624">
        <v>1.6401901183999999E-2</v>
      </c>
      <c r="P7304" s="397"/>
      <c r="Q7304" s="397"/>
      <c r="R7304" s="397"/>
      <c r="S7304" s="397"/>
      <c r="T7304" s="397"/>
      <c r="U7304" s="397"/>
      <c r="V7304" s="397"/>
      <c r="W7304" s="397"/>
      <c r="X7304" s="397"/>
      <c r="Y7304" s="397"/>
      <c r="Z7304" s="397"/>
      <c r="AD7304" s="388">
        <v>20.66544</v>
      </c>
      <c r="AE7304" s="388">
        <v>0.33528000000000002</v>
      </c>
      <c r="AF7304" s="388">
        <v>6.9287087232000006</v>
      </c>
      <c r="AG7304" s="388">
        <v>1.18872</v>
      </c>
      <c r="AH7304" s="391"/>
      <c r="AI7304" s="397"/>
      <c r="AJ7304" s="397"/>
      <c r="AU7304" s="397"/>
      <c r="AV7304" s="397"/>
      <c r="AW7304" s="397"/>
      <c r="AX7304" s="397"/>
      <c r="BI7304" s="397"/>
      <c r="BJ7304" s="397"/>
      <c r="BK7304" s="397"/>
      <c r="BL7304" s="397"/>
      <c r="BM7304" s="397"/>
      <c r="BN7304" s="397"/>
      <c r="BO7304" s="397"/>
      <c r="BP7304" s="397"/>
      <c r="BQ7304" s="397"/>
      <c r="BR7304" s="397"/>
      <c r="BS7304" s="397"/>
      <c r="BT7304" s="397"/>
      <c r="BU7304" s="397"/>
      <c r="BV7304" s="397"/>
      <c r="BW7304" s="397"/>
      <c r="BX7304" s="397"/>
      <c r="BY7304" s="397"/>
      <c r="BZ7304" s="397"/>
      <c r="CA7304" s="392" t="s">
        <v>413</v>
      </c>
    </row>
    <row r="7305" spans="1:79" s="392" customFormat="1" ht="15" x14ac:dyDescent="0.25">
      <c r="A7305" s="385"/>
      <c r="D7305" s="700"/>
      <c r="E7305" s="397"/>
      <c r="H7305" s="401">
        <v>3</v>
      </c>
      <c r="I7305" s="401"/>
      <c r="J7305" s="401"/>
      <c r="K7305" s="401"/>
      <c r="L7305" s="675"/>
      <c r="M7305" s="672">
        <v>30865</v>
      </c>
      <c r="N7305" s="623">
        <v>9.5211107962595634</v>
      </c>
      <c r="O7305" s="624">
        <v>9.9200657880000015E-2</v>
      </c>
      <c r="P7305" s="397"/>
      <c r="Q7305" s="397"/>
      <c r="R7305" s="397"/>
      <c r="S7305" s="397"/>
      <c r="T7305" s="397"/>
      <c r="U7305" s="397"/>
      <c r="V7305" s="397"/>
      <c r="W7305" s="397"/>
      <c r="X7305" s="397"/>
      <c r="Y7305" s="397"/>
      <c r="Z7305" s="397"/>
      <c r="AD7305" s="388">
        <v>22.219920000000002</v>
      </c>
      <c r="AE7305" s="388">
        <v>0.33832800000000007</v>
      </c>
      <c r="AF7305" s="388">
        <v>7.5176210937600025</v>
      </c>
      <c r="AG7305" s="388">
        <v>1.2801600000000002</v>
      </c>
      <c r="AH7305" s="391"/>
      <c r="AI7305" s="397"/>
      <c r="AJ7305" s="397"/>
      <c r="AU7305" s="397"/>
      <c r="AV7305" s="397"/>
      <c r="AW7305" s="397"/>
      <c r="AX7305" s="397"/>
      <c r="BI7305" s="397"/>
      <c r="BJ7305" s="397"/>
      <c r="BK7305" s="397"/>
      <c r="BL7305" s="397"/>
      <c r="BM7305" s="397"/>
      <c r="BN7305" s="397"/>
      <c r="BO7305" s="397"/>
      <c r="BP7305" s="397"/>
      <c r="BQ7305" s="397"/>
      <c r="BR7305" s="397"/>
      <c r="BS7305" s="397"/>
      <c r="BT7305" s="397"/>
      <c r="BU7305" s="397"/>
      <c r="BV7305" s="397"/>
      <c r="BW7305" s="397"/>
      <c r="BX7305" s="397"/>
      <c r="BY7305" s="397"/>
      <c r="BZ7305" s="397"/>
      <c r="CA7305" s="392" t="s">
        <v>413</v>
      </c>
    </row>
    <row r="7306" spans="1:79" s="392" customFormat="1" ht="15" x14ac:dyDescent="0.25">
      <c r="A7306" s="385"/>
      <c r="D7306" s="700"/>
      <c r="E7306" s="397"/>
      <c r="H7306" s="401">
        <v>3</v>
      </c>
      <c r="I7306" s="401"/>
      <c r="J7306" s="401"/>
      <c r="K7306" s="401"/>
      <c r="L7306" s="675"/>
      <c r="M7306" s="672">
        <v>30874</v>
      </c>
      <c r="N7306" s="623">
        <v>6.2623972796826299</v>
      </c>
      <c r="O7306" s="624">
        <v>1.9825011829333335E-2</v>
      </c>
      <c r="P7306" s="397"/>
      <c r="Q7306" s="397"/>
      <c r="R7306" s="397"/>
      <c r="S7306" s="397"/>
      <c r="T7306" s="397"/>
      <c r="U7306" s="397"/>
      <c r="V7306" s="397"/>
      <c r="W7306" s="397"/>
      <c r="X7306" s="397"/>
      <c r="Y7306" s="397"/>
      <c r="Z7306" s="397"/>
      <c r="AD7306" s="388">
        <v>18.166080000000001</v>
      </c>
      <c r="AE7306" s="388">
        <v>0.32613600000000004</v>
      </c>
      <c r="AF7306" s="388">
        <v>5.9246126668800008</v>
      </c>
      <c r="AG7306" s="388">
        <v>1.0668</v>
      </c>
      <c r="AH7306" s="391"/>
      <c r="AI7306" s="397"/>
      <c r="AJ7306" s="397"/>
      <c r="AU7306" s="397"/>
      <c r="AV7306" s="397"/>
      <c r="AW7306" s="397"/>
      <c r="AX7306" s="397"/>
      <c r="BI7306" s="397"/>
      <c r="BJ7306" s="397"/>
      <c r="BK7306" s="397"/>
      <c r="BL7306" s="397"/>
      <c r="BM7306" s="397"/>
      <c r="BN7306" s="397"/>
      <c r="BO7306" s="397"/>
      <c r="BP7306" s="397"/>
      <c r="BQ7306" s="397"/>
      <c r="BR7306" s="397"/>
      <c r="BS7306" s="397"/>
      <c r="BT7306" s="397"/>
      <c r="BU7306" s="397"/>
      <c r="BV7306" s="397"/>
      <c r="BW7306" s="397"/>
      <c r="BX7306" s="397"/>
      <c r="BY7306" s="397"/>
      <c r="BZ7306" s="397"/>
      <c r="CA7306" s="392" t="s">
        <v>413</v>
      </c>
    </row>
    <row r="7307" spans="1:79" s="392" customFormat="1" ht="15" x14ac:dyDescent="0.25">
      <c r="A7307" s="385"/>
      <c r="D7307" s="700"/>
      <c r="E7307" s="397"/>
      <c r="H7307" s="401">
        <v>3</v>
      </c>
      <c r="I7307" s="401"/>
      <c r="J7307" s="401"/>
      <c r="K7307" s="401"/>
      <c r="L7307" s="675"/>
      <c r="M7307" s="672">
        <v>30882</v>
      </c>
      <c r="N7307" s="623">
        <v>3.7971096627939929</v>
      </c>
      <c r="O7307" s="624">
        <v>2.8425123733333328E-2</v>
      </c>
      <c r="P7307" s="397"/>
      <c r="Q7307" s="397"/>
      <c r="R7307" s="397"/>
      <c r="S7307" s="397"/>
      <c r="T7307" s="397"/>
      <c r="U7307" s="397"/>
      <c r="V7307" s="397"/>
      <c r="W7307" s="397"/>
      <c r="X7307" s="397"/>
      <c r="Y7307" s="397"/>
      <c r="Z7307" s="397"/>
      <c r="AD7307" s="388">
        <v>14.325600000000001</v>
      </c>
      <c r="AE7307" s="388">
        <v>0.313944</v>
      </c>
      <c r="AF7307" s="388">
        <v>4.4974361664000009</v>
      </c>
      <c r="AG7307" s="388">
        <v>0.85343999999999998</v>
      </c>
      <c r="AH7307" s="391"/>
      <c r="AI7307" s="397"/>
      <c r="AJ7307" s="397"/>
      <c r="AU7307" s="397"/>
      <c r="AV7307" s="397"/>
      <c r="AW7307" s="397"/>
      <c r="AX7307" s="397"/>
      <c r="BI7307" s="397"/>
      <c r="BJ7307" s="397"/>
      <c r="BK7307" s="397"/>
      <c r="BL7307" s="397"/>
      <c r="BM7307" s="397"/>
      <c r="BN7307" s="397"/>
      <c r="BO7307" s="397"/>
      <c r="BP7307" s="397"/>
      <c r="BQ7307" s="397"/>
      <c r="BR7307" s="397"/>
      <c r="BS7307" s="397"/>
      <c r="BT7307" s="397"/>
      <c r="BU7307" s="397"/>
      <c r="BV7307" s="397"/>
      <c r="BW7307" s="397"/>
      <c r="BX7307" s="397"/>
      <c r="BY7307" s="397"/>
      <c r="BZ7307" s="397"/>
      <c r="CA7307" s="392" t="s">
        <v>413</v>
      </c>
    </row>
    <row r="7308" spans="1:79" s="392" customFormat="1" ht="15" x14ac:dyDescent="0.25">
      <c r="A7308" s="385"/>
      <c r="D7308" s="700"/>
      <c r="E7308" s="397"/>
      <c r="H7308" s="401">
        <v>3</v>
      </c>
      <c r="I7308" s="401"/>
      <c r="J7308" s="401"/>
      <c r="K7308" s="401"/>
      <c r="L7308" s="675"/>
      <c r="M7308" s="672">
        <v>30890</v>
      </c>
      <c r="N7308" s="623">
        <v>4.4488523661093797</v>
      </c>
      <c r="O7308" s="624">
        <v>2.7596561616E-2</v>
      </c>
      <c r="P7308" s="397"/>
      <c r="Q7308" s="397"/>
      <c r="R7308" s="397"/>
      <c r="S7308" s="397"/>
      <c r="T7308" s="397"/>
      <c r="U7308" s="397"/>
      <c r="V7308" s="397"/>
      <c r="W7308" s="397"/>
      <c r="X7308" s="397"/>
      <c r="Y7308" s="397"/>
      <c r="Z7308" s="397"/>
      <c r="AD7308" s="388">
        <v>15.453360000000002</v>
      </c>
      <c r="AE7308" s="388">
        <v>0.31699200000000005</v>
      </c>
      <c r="AF7308" s="388">
        <v>4.8985914931200014</v>
      </c>
      <c r="AG7308" s="388">
        <v>0.9144000000000001</v>
      </c>
      <c r="AH7308" s="391"/>
      <c r="AI7308" s="397"/>
      <c r="AJ7308" s="397"/>
      <c r="AU7308" s="397"/>
      <c r="AV7308" s="397"/>
      <c r="AW7308" s="397"/>
      <c r="AX7308" s="397"/>
      <c r="BI7308" s="397"/>
      <c r="BJ7308" s="397"/>
      <c r="BK7308" s="397"/>
      <c r="BL7308" s="397"/>
      <c r="BM7308" s="397"/>
      <c r="BN7308" s="397"/>
      <c r="BO7308" s="397"/>
      <c r="BP7308" s="397"/>
      <c r="BQ7308" s="397"/>
      <c r="BR7308" s="397"/>
      <c r="BS7308" s="397"/>
      <c r="BT7308" s="397"/>
      <c r="BU7308" s="397"/>
      <c r="BV7308" s="397"/>
      <c r="BW7308" s="397"/>
      <c r="BX7308" s="397"/>
      <c r="BY7308" s="397"/>
      <c r="BZ7308" s="397"/>
      <c r="CA7308" s="392" t="s">
        <v>413</v>
      </c>
    </row>
    <row r="7309" spans="1:79" s="392" customFormat="1" ht="15" x14ac:dyDescent="0.25">
      <c r="A7309" s="385"/>
      <c r="D7309" s="700"/>
      <c r="E7309" s="397"/>
      <c r="H7309" s="401">
        <v>3</v>
      </c>
      <c r="I7309" s="401"/>
      <c r="J7309" s="401"/>
      <c r="K7309" s="401"/>
      <c r="L7309" s="675"/>
      <c r="M7309" s="672">
        <v>30897</v>
      </c>
      <c r="N7309" s="623">
        <v>3.315386795126098</v>
      </c>
      <c r="O7309" s="624">
        <v>5.3221508266666664E-4</v>
      </c>
      <c r="P7309" s="397"/>
      <c r="Q7309" s="397"/>
      <c r="R7309" s="397"/>
      <c r="S7309" s="397"/>
      <c r="T7309" s="397"/>
      <c r="U7309" s="397"/>
      <c r="V7309" s="397"/>
      <c r="W7309" s="397"/>
      <c r="X7309" s="397"/>
      <c r="Y7309" s="397"/>
      <c r="Z7309" s="397"/>
      <c r="AD7309" s="388">
        <v>13.411200000000001</v>
      </c>
      <c r="AE7309" s="388">
        <v>0.30784800000000001</v>
      </c>
      <c r="AF7309" s="388">
        <v>4.1286110976000003</v>
      </c>
      <c r="AG7309" s="388">
        <v>0.79248000000000007</v>
      </c>
      <c r="AH7309" s="391"/>
      <c r="AI7309" s="397"/>
      <c r="AJ7309" s="397"/>
      <c r="AU7309" s="397"/>
      <c r="AV7309" s="397"/>
      <c r="AW7309" s="397"/>
      <c r="AX7309" s="397"/>
      <c r="BI7309" s="397"/>
      <c r="BJ7309" s="397"/>
      <c r="BK7309" s="397"/>
      <c r="BL7309" s="397"/>
      <c r="BM7309" s="397"/>
      <c r="BN7309" s="397"/>
      <c r="BO7309" s="397"/>
      <c r="BP7309" s="397"/>
      <c r="BQ7309" s="397"/>
      <c r="BR7309" s="397"/>
      <c r="BS7309" s="397"/>
      <c r="BT7309" s="397"/>
      <c r="BU7309" s="397"/>
      <c r="BV7309" s="397"/>
      <c r="BW7309" s="397"/>
      <c r="BX7309" s="397"/>
      <c r="BY7309" s="397"/>
      <c r="BZ7309" s="397"/>
      <c r="CA7309" s="392" t="s">
        <v>413</v>
      </c>
    </row>
    <row r="7310" spans="1:79" s="392" customFormat="1" ht="15" x14ac:dyDescent="0.25">
      <c r="A7310" s="385"/>
      <c r="D7310" s="700"/>
      <c r="E7310" s="397"/>
      <c r="H7310" s="401">
        <v>3</v>
      </c>
      <c r="I7310" s="401"/>
      <c r="J7310" s="401"/>
      <c r="K7310" s="401"/>
      <c r="L7310" s="675"/>
      <c r="M7310" s="672">
        <v>30904</v>
      </c>
      <c r="N7310" s="623">
        <v>2.6636440918107112</v>
      </c>
      <c r="O7310" s="624">
        <v>1.3205586738666668E-3</v>
      </c>
      <c r="P7310" s="397"/>
      <c r="Q7310" s="397"/>
      <c r="R7310" s="397"/>
      <c r="S7310" s="397"/>
      <c r="T7310" s="397"/>
      <c r="U7310" s="397"/>
      <c r="V7310" s="397"/>
      <c r="W7310" s="397"/>
      <c r="X7310" s="397"/>
      <c r="Y7310" s="397"/>
      <c r="Z7310" s="397"/>
      <c r="AD7310" s="388">
        <v>12.100560000000002</v>
      </c>
      <c r="AE7310" s="388">
        <v>0.30175200000000002</v>
      </c>
      <c r="AF7310" s="388">
        <v>3.6513681811200005</v>
      </c>
      <c r="AG7310" s="388">
        <v>0.73152000000000006</v>
      </c>
      <c r="AH7310" s="391"/>
      <c r="AI7310" s="397"/>
      <c r="AJ7310" s="397"/>
      <c r="AU7310" s="397"/>
      <c r="AV7310" s="397"/>
      <c r="AW7310" s="397"/>
      <c r="AX7310" s="397"/>
      <c r="BI7310" s="397"/>
      <c r="BJ7310" s="397"/>
      <c r="BK7310" s="397"/>
      <c r="BL7310" s="397"/>
      <c r="BM7310" s="397"/>
      <c r="BN7310" s="397"/>
      <c r="BO7310" s="397"/>
      <c r="BP7310" s="397"/>
      <c r="BQ7310" s="397"/>
      <c r="BR7310" s="397"/>
      <c r="BS7310" s="397"/>
      <c r="BT7310" s="397"/>
      <c r="BU7310" s="397"/>
      <c r="BV7310" s="397"/>
      <c r="BW7310" s="397"/>
      <c r="BX7310" s="397"/>
      <c r="BY7310" s="397"/>
      <c r="BZ7310" s="397"/>
      <c r="CA7310" s="392" t="s">
        <v>413</v>
      </c>
    </row>
    <row r="7311" spans="1:79" s="392" customFormat="1" ht="15" x14ac:dyDescent="0.25">
      <c r="A7311" s="385"/>
      <c r="D7311" s="700"/>
      <c r="E7311" s="397"/>
      <c r="H7311" s="401">
        <v>3</v>
      </c>
      <c r="I7311" s="401"/>
      <c r="J7311" s="401"/>
      <c r="K7311" s="401"/>
      <c r="L7311" s="675"/>
      <c r="M7311" s="672">
        <v>30909</v>
      </c>
      <c r="N7311" s="623">
        <v>2.5786341739869654</v>
      </c>
      <c r="O7311" s="624">
        <v>1.3006006082666667E-3</v>
      </c>
      <c r="P7311" s="397"/>
      <c r="Q7311" s="397"/>
      <c r="R7311" s="397"/>
      <c r="S7311" s="397"/>
      <c r="T7311" s="397"/>
      <c r="U7311" s="397"/>
      <c r="V7311" s="397"/>
      <c r="W7311" s="397"/>
      <c r="X7311" s="397"/>
      <c r="Y7311" s="397"/>
      <c r="Z7311" s="397"/>
      <c r="AD7311" s="388">
        <v>11.917680000000001</v>
      </c>
      <c r="AE7311" s="388">
        <v>0.30175200000000002</v>
      </c>
      <c r="AF7311" s="388">
        <v>3.5961837753600006</v>
      </c>
      <c r="AG7311" s="388">
        <v>0.70104</v>
      </c>
      <c r="AH7311" s="391"/>
      <c r="AI7311" s="397"/>
      <c r="AJ7311" s="397"/>
      <c r="AU7311" s="397"/>
      <c r="AV7311" s="397"/>
      <c r="AW7311" s="397"/>
      <c r="AX7311" s="397"/>
      <c r="BI7311" s="397"/>
      <c r="BJ7311" s="397"/>
      <c r="BK7311" s="397"/>
      <c r="BL7311" s="397"/>
      <c r="BM7311" s="397"/>
      <c r="BN7311" s="397"/>
      <c r="BO7311" s="397"/>
      <c r="BP7311" s="397"/>
      <c r="BQ7311" s="397"/>
      <c r="BR7311" s="397"/>
      <c r="BS7311" s="397"/>
      <c r="BT7311" s="397"/>
      <c r="BU7311" s="397"/>
      <c r="BV7311" s="397"/>
      <c r="BW7311" s="397"/>
      <c r="BX7311" s="397"/>
      <c r="BY7311" s="397"/>
      <c r="BZ7311" s="397"/>
      <c r="CA7311" s="392" t="s">
        <v>413</v>
      </c>
    </row>
    <row r="7312" spans="1:79" s="392" customFormat="1" ht="15" x14ac:dyDescent="0.25">
      <c r="A7312" s="385"/>
      <c r="D7312" s="700"/>
      <c r="E7312" s="397"/>
      <c r="H7312" s="401">
        <v>3</v>
      </c>
      <c r="I7312" s="401"/>
      <c r="J7312" s="401"/>
      <c r="K7312" s="401"/>
      <c r="L7312" s="675"/>
      <c r="M7312" s="672">
        <v>30943</v>
      </c>
      <c r="N7312" s="623">
        <v>1.1618022102578633</v>
      </c>
      <c r="O7312" s="624" t="s">
        <v>71</v>
      </c>
      <c r="P7312" s="397"/>
      <c r="Q7312" s="397"/>
      <c r="R7312" s="397"/>
      <c r="S7312" s="397"/>
      <c r="T7312" s="397"/>
      <c r="U7312" s="397"/>
      <c r="V7312" s="397"/>
      <c r="W7312" s="397"/>
      <c r="X7312" s="397"/>
      <c r="Y7312" s="397"/>
      <c r="Z7312" s="397"/>
      <c r="AD7312" s="388">
        <v>8.1381600000000009</v>
      </c>
      <c r="AE7312" s="388">
        <v>0.28346400000000005</v>
      </c>
      <c r="AF7312" s="388">
        <v>2.3068753862400007</v>
      </c>
      <c r="AG7312" s="388">
        <v>0.48768000000000006</v>
      </c>
      <c r="AH7312" s="391"/>
      <c r="AI7312" s="397"/>
      <c r="AJ7312" s="397"/>
      <c r="AU7312" s="397"/>
      <c r="AV7312" s="397"/>
      <c r="AW7312" s="397"/>
      <c r="AX7312" s="397"/>
      <c r="BI7312" s="397"/>
      <c r="BJ7312" s="397"/>
      <c r="BK7312" s="397"/>
      <c r="BL7312" s="397"/>
      <c r="BM7312" s="397"/>
      <c r="BN7312" s="397"/>
      <c r="BO7312" s="397"/>
      <c r="BP7312" s="397"/>
      <c r="BQ7312" s="397"/>
      <c r="BR7312" s="397"/>
      <c r="BS7312" s="397"/>
      <c r="BT7312" s="397"/>
      <c r="BU7312" s="397"/>
      <c r="BV7312" s="397"/>
      <c r="BW7312" s="397"/>
      <c r="BX7312" s="397"/>
      <c r="BY7312" s="397"/>
      <c r="BZ7312" s="397"/>
      <c r="CA7312" s="392" t="s">
        <v>413</v>
      </c>
    </row>
    <row r="7313" spans="1:80" s="189" customFormat="1" ht="15" x14ac:dyDescent="0.25">
      <c r="A7313" s="381" t="s">
        <v>449</v>
      </c>
      <c r="B7313" s="641"/>
      <c r="C7313" s="639"/>
      <c r="D7313" s="4">
        <f>VLOOKUP(E7313,'Quality Code'!$D$4:$E$24,2,TRUE)*VLOOKUP(MROUND(F7313,10),'Quality Code'!$D$28:$E$69,2,TRUE)*VLOOKUP(COUNTA(CB7313:CB7323),'Quality Code'!$D$73:$E$93,2,TRUE)</f>
        <v>0.1</v>
      </c>
      <c r="E7313" s="14">
        <v>0.4</v>
      </c>
      <c r="F7313" s="2">
        <v>6</v>
      </c>
      <c r="G7313" s="12"/>
      <c r="H7313" s="2" t="s">
        <v>105</v>
      </c>
      <c r="I7313" s="2"/>
      <c r="J7313" s="2"/>
      <c r="K7313" s="2"/>
      <c r="L7313" s="639"/>
      <c r="M7313" s="640">
        <v>1984</v>
      </c>
      <c r="N7313" s="578" t="s">
        <v>110</v>
      </c>
      <c r="O7313" s="578"/>
      <c r="P7313" s="26"/>
      <c r="Q7313" s="26"/>
      <c r="R7313" s="26"/>
      <c r="S7313" s="26"/>
      <c r="T7313" s="26"/>
      <c r="U7313" s="26"/>
      <c r="V7313" s="10"/>
      <c r="W7313" s="10"/>
      <c r="X7313" s="10"/>
      <c r="Y7313" s="10"/>
      <c r="Z7313" s="2"/>
      <c r="AA7313" s="26"/>
      <c r="AB7313" s="26"/>
      <c r="AC7313" s="377">
        <v>4.2000000000000003E-2</v>
      </c>
      <c r="AD7313" s="406"/>
      <c r="AE7313" s="26"/>
      <c r="AF7313" s="26"/>
      <c r="AG7313" s="26"/>
      <c r="AH7313" s="26"/>
      <c r="AI7313" s="4"/>
      <c r="AJ7313" s="4"/>
      <c r="AK7313" s="26"/>
      <c r="AL7313" s="26"/>
      <c r="AM7313" s="26"/>
      <c r="AN7313" s="26"/>
      <c r="AO7313" s="26"/>
      <c r="AP7313" s="26"/>
      <c r="AQ7313" s="26"/>
      <c r="AR7313" s="26"/>
      <c r="AS7313" s="26"/>
      <c r="AT7313" s="26"/>
      <c r="AU7313" s="4"/>
      <c r="AV7313" s="4"/>
      <c r="AW7313" s="4"/>
      <c r="AX7313" s="4"/>
      <c r="AY7313" s="2"/>
      <c r="AZ7313" s="2"/>
      <c r="BA7313" s="12"/>
      <c r="BB7313" s="12"/>
      <c r="BC7313" s="12"/>
      <c r="BD7313" s="12"/>
      <c r="BE7313" s="12"/>
      <c r="BF7313" s="12"/>
      <c r="BG7313" s="12"/>
      <c r="BH7313" s="12"/>
      <c r="BI7313" s="4"/>
      <c r="BJ7313" s="12"/>
      <c r="BK7313" s="2"/>
      <c r="BL7313" s="2"/>
      <c r="BM7313" s="4"/>
      <c r="BN7313" s="12"/>
      <c r="BO7313" s="12"/>
      <c r="BP7313" s="12"/>
      <c r="BQ7313" s="4"/>
      <c r="BR7313" s="4"/>
      <c r="BS7313" s="4"/>
      <c r="BT7313" s="2"/>
      <c r="BU7313" s="9"/>
      <c r="BV7313" s="381"/>
      <c r="BW7313" s="382"/>
      <c r="BX7313" s="383"/>
      <c r="BY7313" s="383" t="s">
        <v>414</v>
      </c>
      <c r="BZ7313" s="383"/>
      <c r="CA7313" s="384" t="s">
        <v>413</v>
      </c>
      <c r="CB7313" s="411"/>
    </row>
    <row r="7314" spans="1:80" s="392" customFormat="1" ht="15" x14ac:dyDescent="0.25">
      <c r="A7314" s="385"/>
      <c r="D7314" s="700"/>
      <c r="E7314" s="397"/>
      <c r="H7314" s="401">
        <v>3</v>
      </c>
      <c r="I7314" s="401"/>
      <c r="J7314" s="401"/>
      <c r="K7314" s="401"/>
      <c r="L7314" s="675"/>
      <c r="M7314" s="672">
        <v>30816</v>
      </c>
      <c r="N7314" s="623">
        <v>0.17568716350240862</v>
      </c>
      <c r="O7314" s="624">
        <v>2.2099021728000001E-2</v>
      </c>
      <c r="P7314" s="397"/>
      <c r="Q7314" s="397"/>
      <c r="R7314" s="397"/>
      <c r="S7314" s="397"/>
      <c r="T7314" s="397"/>
      <c r="U7314" s="397"/>
      <c r="V7314" s="397"/>
      <c r="W7314" s="397"/>
      <c r="X7314" s="397"/>
      <c r="Y7314" s="397"/>
      <c r="Z7314" s="397"/>
      <c r="AD7314" s="388">
        <v>1.09728</v>
      </c>
      <c r="AE7314" s="388">
        <v>0.225552</v>
      </c>
      <c r="AF7314" s="388">
        <v>0.24749369856</v>
      </c>
      <c r="AG7314" s="388">
        <v>0.64008000000000009</v>
      </c>
      <c r="AH7314" s="391"/>
      <c r="AI7314" s="397"/>
      <c r="AJ7314" s="397"/>
      <c r="AU7314" s="397"/>
      <c r="AV7314" s="397"/>
      <c r="AW7314" s="397"/>
      <c r="AX7314" s="397"/>
      <c r="BI7314" s="397"/>
      <c r="BJ7314" s="397"/>
      <c r="BK7314" s="397"/>
      <c r="BL7314" s="397"/>
      <c r="BM7314" s="397"/>
      <c r="BN7314" s="397"/>
      <c r="BO7314" s="397"/>
      <c r="BP7314" s="397"/>
      <c r="BQ7314" s="397"/>
      <c r="BR7314" s="397"/>
      <c r="BS7314" s="397"/>
      <c r="BT7314" s="397"/>
      <c r="BU7314" s="397"/>
      <c r="BV7314" s="397"/>
      <c r="BW7314" s="397"/>
      <c r="BX7314" s="397"/>
      <c r="BY7314" s="397"/>
      <c r="BZ7314" s="397"/>
      <c r="CA7314" s="392" t="s">
        <v>413</v>
      </c>
    </row>
    <row r="7315" spans="1:80" s="392" customFormat="1" ht="15" x14ac:dyDescent="0.25">
      <c r="A7315" s="385"/>
      <c r="D7315" s="700"/>
      <c r="E7315" s="397"/>
      <c r="H7315" s="401">
        <v>3</v>
      </c>
      <c r="I7315" s="401"/>
      <c r="J7315" s="401"/>
      <c r="K7315" s="401"/>
      <c r="L7315" s="675"/>
      <c r="M7315" s="672">
        <v>30819</v>
      </c>
      <c r="N7315" s="623">
        <v>0.11958061773873618</v>
      </c>
      <c r="O7315" s="624">
        <v>5.9299646426666675E-3</v>
      </c>
      <c r="P7315" s="397"/>
      <c r="Q7315" s="397"/>
      <c r="R7315" s="397"/>
      <c r="S7315" s="397"/>
      <c r="T7315" s="397"/>
      <c r="U7315" s="397"/>
      <c r="V7315" s="397"/>
      <c r="W7315" s="397"/>
      <c r="X7315" s="397"/>
      <c r="Y7315" s="397"/>
      <c r="Z7315" s="397"/>
      <c r="AD7315" s="388">
        <v>1.1277600000000001</v>
      </c>
      <c r="AE7315" s="388">
        <v>0.17983199999999999</v>
      </c>
      <c r="AF7315" s="388">
        <v>0.20280733632</v>
      </c>
      <c r="AG7315" s="388">
        <v>0.51511200000000001</v>
      </c>
      <c r="AH7315" s="391"/>
      <c r="AI7315" s="397"/>
      <c r="AJ7315" s="397"/>
      <c r="AU7315" s="397"/>
      <c r="AV7315" s="397"/>
      <c r="AW7315" s="397"/>
      <c r="AX7315" s="397"/>
      <c r="BI7315" s="397"/>
      <c r="BJ7315" s="397"/>
      <c r="BK7315" s="397"/>
      <c r="BL7315" s="397"/>
      <c r="BM7315" s="397"/>
      <c r="BN7315" s="397"/>
      <c r="BO7315" s="397"/>
      <c r="BP7315" s="397"/>
      <c r="BQ7315" s="397"/>
      <c r="BR7315" s="397"/>
      <c r="BS7315" s="397"/>
      <c r="BT7315" s="397"/>
      <c r="BU7315" s="397"/>
      <c r="BV7315" s="397"/>
      <c r="BW7315" s="397"/>
      <c r="BX7315" s="397"/>
      <c r="BY7315" s="397"/>
      <c r="BZ7315" s="397"/>
      <c r="CA7315" s="392" t="s">
        <v>413</v>
      </c>
    </row>
    <row r="7316" spans="1:80" s="392" customFormat="1" ht="15" x14ac:dyDescent="0.25">
      <c r="A7316" s="385"/>
      <c r="D7316" s="700"/>
      <c r="E7316" s="397"/>
      <c r="H7316" s="401">
        <v>3</v>
      </c>
      <c r="I7316" s="401"/>
      <c r="J7316" s="401"/>
      <c r="K7316" s="401"/>
      <c r="L7316" s="675"/>
      <c r="M7316" s="672">
        <v>30825</v>
      </c>
      <c r="N7316" s="623">
        <v>7.679229243411731E-2</v>
      </c>
      <c r="O7316" s="624">
        <v>2.3949678720000004E-3</v>
      </c>
      <c r="P7316" s="397"/>
      <c r="Q7316" s="397"/>
      <c r="R7316" s="397"/>
      <c r="S7316" s="397"/>
      <c r="T7316" s="397"/>
      <c r="U7316" s="397"/>
      <c r="V7316" s="397"/>
      <c r="W7316" s="397"/>
      <c r="X7316" s="397"/>
      <c r="Y7316" s="397"/>
      <c r="Z7316" s="397"/>
      <c r="AD7316" s="388">
        <v>1.09728</v>
      </c>
      <c r="AE7316" s="388">
        <v>0.14325599999999999</v>
      </c>
      <c r="AF7316" s="388">
        <v>0.15719194368</v>
      </c>
      <c r="AG7316" s="388">
        <v>0.37185600000000002</v>
      </c>
      <c r="AH7316" s="391"/>
      <c r="AI7316" s="397"/>
      <c r="AJ7316" s="397"/>
      <c r="AU7316" s="397"/>
      <c r="AV7316" s="397"/>
      <c r="AW7316" s="397"/>
      <c r="AX7316" s="397"/>
      <c r="BI7316" s="397"/>
      <c r="BJ7316" s="397"/>
      <c r="BK7316" s="397"/>
      <c r="BL7316" s="397"/>
      <c r="BM7316" s="397"/>
      <c r="BN7316" s="397"/>
      <c r="BO7316" s="397"/>
      <c r="BP7316" s="397"/>
      <c r="BQ7316" s="397"/>
      <c r="BR7316" s="397"/>
      <c r="BS7316" s="397"/>
      <c r="BT7316" s="397"/>
      <c r="BU7316" s="397"/>
      <c r="BV7316" s="397"/>
      <c r="BW7316" s="397"/>
      <c r="BX7316" s="397"/>
      <c r="BY7316" s="397"/>
      <c r="BZ7316" s="397"/>
      <c r="CA7316" s="392" t="s">
        <v>413</v>
      </c>
    </row>
    <row r="7317" spans="1:80" s="392" customFormat="1" ht="15" x14ac:dyDescent="0.25">
      <c r="A7317" s="385"/>
      <c r="D7317" s="700"/>
      <c r="E7317" s="397"/>
      <c r="H7317" s="401">
        <v>3</v>
      </c>
      <c r="I7317" s="401"/>
      <c r="J7317" s="401"/>
      <c r="K7317" s="401"/>
      <c r="L7317" s="675"/>
      <c r="M7317" s="672">
        <v>30837</v>
      </c>
      <c r="N7317" s="623">
        <v>2.3236044205157267E-2</v>
      </c>
      <c r="O7317" s="624">
        <v>2.1167645333333335E-4</v>
      </c>
      <c r="P7317" s="397"/>
      <c r="Q7317" s="397"/>
      <c r="R7317" s="397"/>
      <c r="S7317" s="397"/>
      <c r="T7317" s="397"/>
      <c r="U7317" s="397"/>
      <c r="V7317" s="397"/>
      <c r="W7317" s="397"/>
      <c r="X7317" s="397"/>
      <c r="Y7317" s="397"/>
      <c r="Z7317" s="397"/>
      <c r="AD7317" s="388">
        <v>1.0668</v>
      </c>
      <c r="AE7317" s="388">
        <v>8.2296000000000008E-2</v>
      </c>
      <c r="AF7317" s="388">
        <v>8.7793372800000005E-2</v>
      </c>
      <c r="AG7317" s="388">
        <v>0.19812000000000002</v>
      </c>
      <c r="AH7317" s="391"/>
      <c r="AI7317" s="397"/>
      <c r="AJ7317" s="397"/>
      <c r="AU7317" s="397"/>
      <c r="AV7317" s="397"/>
      <c r="AW7317" s="397"/>
      <c r="AX7317" s="397"/>
      <c r="BI7317" s="397"/>
      <c r="BJ7317" s="397"/>
      <c r="BK7317" s="397"/>
      <c r="BL7317" s="397"/>
      <c r="BM7317" s="397"/>
      <c r="BN7317" s="397"/>
      <c r="BO7317" s="397"/>
      <c r="BP7317" s="397"/>
      <c r="BQ7317" s="397"/>
      <c r="BR7317" s="397"/>
      <c r="BS7317" s="397"/>
      <c r="BT7317" s="397"/>
      <c r="BU7317" s="397"/>
      <c r="BV7317" s="397"/>
      <c r="BW7317" s="397"/>
      <c r="BX7317" s="397"/>
      <c r="BY7317" s="397"/>
      <c r="BZ7317" s="397"/>
      <c r="CA7317" s="392" t="s">
        <v>413</v>
      </c>
    </row>
    <row r="7318" spans="1:80" s="392" customFormat="1" ht="15" x14ac:dyDescent="0.25">
      <c r="A7318" s="385"/>
      <c r="D7318" s="700"/>
      <c r="E7318" s="397"/>
      <c r="H7318" s="401">
        <v>3</v>
      </c>
      <c r="I7318" s="401"/>
      <c r="J7318" s="401"/>
      <c r="K7318" s="401"/>
      <c r="L7318" s="675"/>
      <c r="M7318" s="672">
        <v>30841</v>
      </c>
      <c r="N7318" s="623">
        <v>1.5301785208274301E-2</v>
      </c>
      <c r="O7318" s="624">
        <v>6.1688566399999991E-4</v>
      </c>
      <c r="P7318" s="397"/>
      <c r="Q7318" s="397"/>
      <c r="R7318" s="397"/>
      <c r="S7318" s="397"/>
      <c r="T7318" s="397"/>
      <c r="U7318" s="397"/>
      <c r="V7318" s="397"/>
      <c r="W7318" s="397"/>
      <c r="X7318" s="397"/>
      <c r="Y7318" s="397"/>
      <c r="Z7318" s="397"/>
      <c r="AD7318" s="388">
        <v>1.0363200000000001</v>
      </c>
      <c r="AE7318" s="388">
        <v>7.6200000000000004E-2</v>
      </c>
      <c r="AF7318" s="388">
        <v>7.8967584000000007E-2</v>
      </c>
      <c r="AG7318" s="388">
        <v>0.14935200000000001</v>
      </c>
      <c r="AH7318" s="391"/>
      <c r="AI7318" s="397"/>
      <c r="AJ7318" s="397"/>
      <c r="AU7318" s="397"/>
      <c r="AV7318" s="397"/>
      <c r="AW7318" s="397"/>
      <c r="AX7318" s="397"/>
      <c r="BI7318" s="397"/>
      <c r="BJ7318" s="397"/>
      <c r="BK7318" s="397"/>
      <c r="BL7318" s="397"/>
      <c r="BM7318" s="397"/>
      <c r="BN7318" s="397"/>
      <c r="BO7318" s="397"/>
      <c r="BP7318" s="397"/>
      <c r="BQ7318" s="397"/>
      <c r="BR7318" s="397"/>
      <c r="BS7318" s="397"/>
      <c r="BT7318" s="397"/>
      <c r="BU7318" s="397"/>
      <c r="BV7318" s="397"/>
      <c r="BW7318" s="397"/>
      <c r="BX7318" s="397"/>
      <c r="BY7318" s="397"/>
      <c r="BZ7318" s="397"/>
      <c r="CA7318" s="392" t="s">
        <v>413</v>
      </c>
    </row>
    <row r="7319" spans="1:80" s="392" customFormat="1" ht="15" x14ac:dyDescent="0.25">
      <c r="A7319" s="385"/>
      <c r="D7319" s="700"/>
      <c r="E7319" s="397"/>
      <c r="H7319" s="401">
        <v>3</v>
      </c>
      <c r="I7319" s="401"/>
      <c r="J7319" s="401"/>
      <c r="K7319" s="401"/>
      <c r="L7319" s="675"/>
      <c r="M7319" s="672">
        <v>30848</v>
      </c>
      <c r="N7319" s="623">
        <v>9.917823746103711E-3</v>
      </c>
      <c r="O7319" s="624">
        <v>2.9029913600000003E-5</v>
      </c>
      <c r="P7319" s="397"/>
      <c r="Q7319" s="397"/>
      <c r="R7319" s="397"/>
      <c r="S7319" s="397"/>
      <c r="T7319" s="397"/>
      <c r="U7319" s="397"/>
      <c r="V7319" s="397"/>
      <c r="W7319" s="397"/>
      <c r="X7319" s="397"/>
      <c r="Y7319" s="397"/>
      <c r="Z7319" s="397"/>
      <c r="AD7319" s="388">
        <v>0.97536000000000012</v>
      </c>
      <c r="AE7319" s="388">
        <v>6.0960000000000007E-2</v>
      </c>
      <c r="AF7319" s="388">
        <v>5.9457945600000013E-2</v>
      </c>
      <c r="AG7319" s="388">
        <v>0.173736</v>
      </c>
      <c r="AH7319" s="391"/>
      <c r="AI7319" s="397"/>
      <c r="AJ7319" s="397"/>
      <c r="AU7319" s="397"/>
      <c r="AV7319" s="397"/>
      <c r="AW7319" s="397"/>
      <c r="AX7319" s="397"/>
      <c r="BI7319" s="397"/>
      <c r="BJ7319" s="397"/>
      <c r="BK7319" s="397"/>
      <c r="BL7319" s="397"/>
      <c r="BM7319" s="397"/>
      <c r="BN7319" s="397"/>
      <c r="BO7319" s="397"/>
      <c r="BP7319" s="397"/>
      <c r="BQ7319" s="397"/>
      <c r="BR7319" s="397"/>
      <c r="BS7319" s="397"/>
      <c r="BT7319" s="397"/>
      <c r="BU7319" s="397"/>
      <c r="BV7319" s="397"/>
      <c r="BW7319" s="397"/>
      <c r="BX7319" s="397"/>
      <c r="BY7319" s="397"/>
      <c r="BZ7319" s="397"/>
      <c r="CA7319" s="392" t="s">
        <v>413</v>
      </c>
    </row>
    <row r="7320" spans="1:80" s="392" customFormat="1" ht="15" x14ac:dyDescent="0.25">
      <c r="A7320" s="385"/>
      <c r="D7320" s="700"/>
      <c r="E7320" s="397"/>
      <c r="H7320" s="401">
        <v>3</v>
      </c>
      <c r="I7320" s="401"/>
      <c r="J7320" s="401"/>
      <c r="K7320" s="401"/>
      <c r="L7320" s="675"/>
      <c r="M7320" s="672">
        <v>30853</v>
      </c>
      <c r="N7320" s="623">
        <v>9.0677245678662515E-3</v>
      </c>
      <c r="O7320" s="624" t="s">
        <v>71</v>
      </c>
      <c r="P7320" s="397"/>
      <c r="Q7320" s="397"/>
      <c r="R7320" s="397"/>
      <c r="S7320" s="397"/>
      <c r="T7320" s="397"/>
      <c r="U7320" s="397"/>
      <c r="V7320" s="397"/>
      <c r="W7320" s="397"/>
      <c r="X7320" s="397"/>
      <c r="Y7320" s="397"/>
      <c r="Z7320" s="397"/>
      <c r="AD7320" s="388">
        <v>0.97536000000000012</v>
      </c>
      <c r="AE7320" s="388">
        <v>4.5720000000000004E-2</v>
      </c>
      <c r="AF7320" s="388">
        <v>4.4593459200000012E-2</v>
      </c>
      <c r="AG7320" s="388">
        <v>0.176784</v>
      </c>
      <c r="AH7320" s="391"/>
      <c r="AI7320" s="397"/>
      <c r="AJ7320" s="397"/>
      <c r="AU7320" s="397"/>
      <c r="AV7320" s="397"/>
      <c r="AW7320" s="397"/>
      <c r="AX7320" s="397"/>
      <c r="BI7320" s="397"/>
      <c r="BJ7320" s="397"/>
      <c r="BK7320" s="397"/>
      <c r="BL7320" s="397"/>
      <c r="BM7320" s="397"/>
      <c r="BN7320" s="397"/>
      <c r="BO7320" s="397"/>
      <c r="BP7320" s="397"/>
      <c r="BQ7320" s="397"/>
      <c r="BR7320" s="397"/>
      <c r="BS7320" s="397"/>
      <c r="BT7320" s="397"/>
      <c r="BU7320" s="397"/>
      <c r="BV7320" s="397"/>
      <c r="BW7320" s="397"/>
      <c r="BX7320" s="397"/>
      <c r="BY7320" s="397"/>
      <c r="BZ7320" s="397"/>
      <c r="CA7320" s="392" t="s">
        <v>413</v>
      </c>
    </row>
    <row r="7321" spans="1:80" s="392" customFormat="1" ht="15" x14ac:dyDescent="0.25">
      <c r="A7321" s="385"/>
      <c r="D7321" s="700"/>
      <c r="E7321" s="397"/>
      <c r="H7321" s="401">
        <v>3</v>
      </c>
      <c r="I7321" s="401"/>
      <c r="J7321" s="401"/>
      <c r="K7321" s="401"/>
      <c r="L7321" s="675"/>
      <c r="M7321" s="672">
        <v>30860</v>
      </c>
      <c r="N7321" s="623">
        <v>0</v>
      </c>
      <c r="O7321" s="624" t="s">
        <v>71</v>
      </c>
      <c r="P7321" s="397"/>
      <c r="Q7321" s="397"/>
      <c r="R7321" s="397"/>
      <c r="S7321" s="397"/>
      <c r="T7321" s="397"/>
      <c r="U7321" s="397"/>
      <c r="V7321" s="397"/>
      <c r="W7321" s="397"/>
      <c r="X7321" s="397"/>
      <c r="Y7321" s="397"/>
      <c r="Z7321" s="397"/>
      <c r="AD7321" s="388">
        <v>0.97536000000000012</v>
      </c>
      <c r="AE7321" s="388">
        <v>0</v>
      </c>
      <c r="AF7321" s="388">
        <v>0</v>
      </c>
      <c r="AG7321" s="388">
        <v>0</v>
      </c>
      <c r="AH7321" s="391"/>
      <c r="AI7321" s="397"/>
      <c r="AJ7321" s="397"/>
      <c r="AU7321" s="397"/>
      <c r="AV7321" s="397"/>
      <c r="AW7321" s="397"/>
      <c r="AX7321" s="397"/>
      <c r="BI7321" s="397"/>
      <c r="BJ7321" s="397"/>
      <c r="BK7321" s="397"/>
      <c r="BL7321" s="397"/>
      <c r="BM7321" s="397"/>
      <c r="BN7321" s="397"/>
      <c r="BO7321" s="397"/>
      <c r="BP7321" s="397"/>
      <c r="BQ7321" s="397"/>
      <c r="BR7321" s="397"/>
      <c r="BS7321" s="397"/>
      <c r="BT7321" s="397"/>
      <c r="BU7321" s="397"/>
      <c r="BV7321" s="397"/>
      <c r="BW7321" s="397"/>
      <c r="BX7321" s="397"/>
      <c r="BY7321" s="397"/>
      <c r="BZ7321" s="397"/>
      <c r="CA7321" s="392" t="s">
        <v>413</v>
      </c>
    </row>
    <row r="7322" spans="1:80" s="392" customFormat="1" ht="15" x14ac:dyDescent="0.25">
      <c r="A7322" s="385"/>
      <c r="D7322" s="700"/>
      <c r="E7322" s="397"/>
      <c r="H7322" s="401">
        <v>3</v>
      </c>
      <c r="I7322" s="401"/>
      <c r="J7322" s="401"/>
      <c r="K7322" s="401"/>
      <c r="L7322" s="675"/>
      <c r="M7322" s="672">
        <v>30865</v>
      </c>
      <c r="N7322" s="623">
        <v>3.6837631056956645E-3</v>
      </c>
      <c r="O7322" s="624" t="s">
        <v>71</v>
      </c>
      <c r="P7322" s="397"/>
      <c r="Q7322" s="397"/>
      <c r="R7322" s="397"/>
      <c r="S7322" s="397"/>
      <c r="T7322" s="397"/>
      <c r="U7322" s="397"/>
      <c r="V7322" s="397"/>
      <c r="W7322" s="397"/>
      <c r="X7322" s="397"/>
      <c r="Y7322" s="397"/>
      <c r="Z7322" s="397"/>
      <c r="AD7322" s="388">
        <v>0.82296000000000014</v>
      </c>
      <c r="AE7322" s="388">
        <v>2.7432000000000002E-2</v>
      </c>
      <c r="AF7322" s="388">
        <v>2.2575438720000004E-2</v>
      </c>
      <c r="AG7322" s="388">
        <v>0.13411200000000001</v>
      </c>
      <c r="AH7322" s="391"/>
      <c r="AI7322" s="397"/>
      <c r="AJ7322" s="397"/>
      <c r="AU7322" s="397"/>
      <c r="AV7322" s="397"/>
      <c r="AW7322" s="397"/>
      <c r="AX7322" s="397"/>
      <c r="BI7322" s="397"/>
      <c r="BJ7322" s="397"/>
      <c r="BK7322" s="397"/>
      <c r="BL7322" s="397"/>
      <c r="BM7322" s="397"/>
      <c r="BN7322" s="397"/>
      <c r="BO7322" s="397"/>
      <c r="BP7322" s="397"/>
      <c r="BQ7322" s="397"/>
      <c r="BR7322" s="397"/>
      <c r="BS7322" s="397"/>
      <c r="BT7322" s="397"/>
      <c r="BU7322" s="397"/>
      <c r="BV7322" s="397"/>
      <c r="BW7322" s="397"/>
      <c r="BX7322" s="397"/>
      <c r="BY7322" s="397"/>
      <c r="BZ7322" s="397"/>
      <c r="CA7322" s="392" t="s">
        <v>413</v>
      </c>
    </row>
    <row r="7323" spans="1:80" s="392" customFormat="1" ht="15" x14ac:dyDescent="0.25">
      <c r="A7323" s="385"/>
      <c r="D7323" s="700"/>
      <c r="E7323" s="397"/>
      <c r="H7323" s="401">
        <v>3</v>
      </c>
      <c r="I7323" s="401"/>
      <c r="J7323" s="401"/>
      <c r="K7323" s="401"/>
      <c r="L7323" s="675"/>
      <c r="M7323" s="672">
        <v>30874</v>
      </c>
      <c r="N7323" s="623">
        <v>1.7001983564749221E-3</v>
      </c>
      <c r="O7323" s="624" t="s">
        <v>71</v>
      </c>
      <c r="P7323" s="397"/>
      <c r="Q7323" s="397"/>
      <c r="R7323" s="397"/>
      <c r="S7323" s="397"/>
      <c r="T7323" s="397"/>
      <c r="U7323" s="397"/>
      <c r="V7323" s="397"/>
      <c r="W7323" s="397"/>
      <c r="X7323" s="397"/>
      <c r="Y7323" s="397"/>
      <c r="Z7323" s="397"/>
      <c r="AD7323" s="388">
        <v>0.70104</v>
      </c>
      <c r="AE7323" s="388">
        <v>1.8287999999999999E-2</v>
      </c>
      <c r="AF7323" s="388">
        <v>1.282061952E-2</v>
      </c>
      <c r="AG7323" s="388">
        <v>0.112776</v>
      </c>
      <c r="AH7323" s="391"/>
      <c r="AI7323" s="397"/>
      <c r="AJ7323" s="397"/>
      <c r="AU7323" s="397"/>
      <c r="AV7323" s="397"/>
      <c r="AW7323" s="397"/>
      <c r="AX7323" s="397"/>
      <c r="BI7323" s="397"/>
      <c r="BJ7323" s="397"/>
      <c r="BK7323" s="397"/>
      <c r="BL7323" s="397"/>
      <c r="BM7323" s="397"/>
      <c r="BN7323" s="397"/>
      <c r="BO7323" s="397"/>
      <c r="BP7323" s="397"/>
      <c r="BQ7323" s="397"/>
      <c r="BR7323" s="397"/>
      <c r="BS7323" s="397"/>
      <c r="BT7323" s="397"/>
      <c r="BU7323" s="397"/>
      <c r="BV7323" s="397"/>
      <c r="BW7323" s="397"/>
      <c r="BX7323" s="397"/>
      <c r="BY7323" s="397"/>
      <c r="BZ7323" s="397"/>
      <c r="CA7323" s="392" t="s">
        <v>413</v>
      </c>
    </row>
    <row r="7324" spans="1:80" s="392" customFormat="1" ht="15" x14ac:dyDescent="0.25">
      <c r="A7324" s="385"/>
      <c r="D7324" s="700"/>
      <c r="E7324" s="397"/>
      <c r="H7324" s="401">
        <v>3</v>
      </c>
      <c r="I7324" s="401"/>
      <c r="J7324" s="401"/>
      <c r="K7324" s="401"/>
      <c r="L7324" s="675"/>
      <c r="M7324" s="672">
        <v>30882</v>
      </c>
      <c r="N7324" s="623">
        <v>8.5009917823746103E-4</v>
      </c>
      <c r="O7324" s="624" t="s">
        <v>71</v>
      </c>
      <c r="P7324" s="397"/>
      <c r="Q7324" s="397"/>
      <c r="R7324" s="397"/>
      <c r="S7324" s="397"/>
      <c r="T7324" s="397"/>
      <c r="U7324" s="397"/>
      <c r="V7324" s="397"/>
      <c r="W7324" s="397"/>
      <c r="X7324" s="397"/>
      <c r="Y7324" s="397"/>
      <c r="Z7324" s="397"/>
      <c r="AD7324" s="388">
        <v>0.73152000000000006</v>
      </c>
      <c r="AE7324" s="388">
        <v>1.8287999999999999E-2</v>
      </c>
      <c r="AF7324" s="388">
        <v>1.3378037759999999E-2</v>
      </c>
      <c r="AG7324" s="388">
        <v>6.4007999999999995E-2</v>
      </c>
      <c r="AH7324" s="391"/>
      <c r="AI7324" s="397"/>
      <c r="AJ7324" s="397"/>
      <c r="AU7324" s="397"/>
      <c r="AV7324" s="397"/>
      <c r="AW7324" s="397"/>
      <c r="AX7324" s="397"/>
      <c r="BI7324" s="397"/>
      <c r="BJ7324" s="397"/>
      <c r="BK7324" s="397"/>
      <c r="BL7324" s="397"/>
      <c r="BM7324" s="397"/>
      <c r="BN7324" s="397"/>
      <c r="BO7324" s="397"/>
      <c r="BP7324" s="397"/>
      <c r="BQ7324" s="397"/>
      <c r="BR7324" s="397"/>
      <c r="BS7324" s="397"/>
      <c r="BT7324" s="397"/>
      <c r="BU7324" s="397"/>
      <c r="BV7324" s="397"/>
      <c r="BW7324" s="397"/>
      <c r="BX7324" s="397"/>
      <c r="BY7324" s="397"/>
      <c r="BZ7324" s="397"/>
      <c r="CA7324" s="392" t="s">
        <v>413</v>
      </c>
    </row>
    <row r="7325" spans="1:80" s="392" customFormat="1" ht="15" x14ac:dyDescent="0.25">
      <c r="A7325" s="385"/>
      <c r="D7325" s="700"/>
      <c r="E7325" s="397"/>
      <c r="H7325" s="401">
        <v>3</v>
      </c>
      <c r="I7325" s="401"/>
      <c r="J7325" s="401"/>
      <c r="K7325" s="401"/>
      <c r="L7325" s="675"/>
      <c r="M7325" s="672">
        <v>30890</v>
      </c>
      <c r="N7325" s="623">
        <v>1.7001983564749221E-3</v>
      </c>
      <c r="O7325" s="624" t="s">
        <v>71</v>
      </c>
      <c r="P7325" s="397"/>
      <c r="Q7325" s="397"/>
      <c r="R7325" s="397"/>
      <c r="S7325" s="397"/>
      <c r="T7325" s="397"/>
      <c r="U7325" s="397"/>
      <c r="V7325" s="397"/>
      <c r="W7325" s="397"/>
      <c r="X7325" s="397"/>
      <c r="Y7325" s="397"/>
      <c r="Z7325" s="397"/>
      <c r="AD7325" s="388">
        <v>0.70104</v>
      </c>
      <c r="AE7325" s="388">
        <v>1.8287999999999999E-2</v>
      </c>
      <c r="AF7325" s="388">
        <v>1.282061952E-2</v>
      </c>
      <c r="AG7325" s="388">
        <v>0.11582400000000001</v>
      </c>
      <c r="AH7325" s="391"/>
      <c r="AI7325" s="397"/>
      <c r="AJ7325" s="397"/>
      <c r="AU7325" s="397"/>
      <c r="AV7325" s="397"/>
      <c r="AW7325" s="397"/>
      <c r="AX7325" s="397"/>
      <c r="BI7325" s="397"/>
      <c r="BJ7325" s="397"/>
      <c r="BK7325" s="397"/>
      <c r="BL7325" s="397"/>
      <c r="BM7325" s="397"/>
      <c r="BN7325" s="397"/>
      <c r="BO7325" s="397"/>
      <c r="BP7325" s="397"/>
      <c r="BQ7325" s="397"/>
      <c r="BR7325" s="397"/>
      <c r="BS7325" s="397"/>
      <c r="BT7325" s="397"/>
      <c r="BU7325" s="397"/>
      <c r="BV7325" s="397"/>
      <c r="BW7325" s="397"/>
      <c r="BX7325" s="397"/>
      <c r="BY7325" s="397"/>
      <c r="BZ7325" s="397"/>
      <c r="CA7325" s="392" t="s">
        <v>413</v>
      </c>
    </row>
    <row r="7326" spans="1:80" s="392" customFormat="1" ht="15" x14ac:dyDescent="0.25">
      <c r="A7326" s="385"/>
      <c r="D7326" s="700"/>
      <c r="E7326" s="397"/>
      <c r="H7326" s="401">
        <v>3</v>
      </c>
      <c r="I7326" s="401"/>
      <c r="J7326" s="401"/>
      <c r="K7326" s="401"/>
      <c r="L7326" s="675"/>
      <c r="M7326" s="672">
        <v>30897</v>
      </c>
      <c r="N7326" s="623">
        <v>3.4003967129498441E-3</v>
      </c>
      <c r="O7326" s="624" t="s">
        <v>71</v>
      </c>
      <c r="P7326" s="397"/>
      <c r="Q7326" s="397"/>
      <c r="R7326" s="397"/>
      <c r="S7326" s="397"/>
      <c r="T7326" s="397"/>
      <c r="U7326" s="397"/>
      <c r="V7326" s="397"/>
      <c r="W7326" s="397"/>
      <c r="X7326" s="397"/>
      <c r="Y7326" s="397"/>
      <c r="Z7326" s="397"/>
      <c r="AD7326" s="388">
        <v>0.85343999999999998</v>
      </c>
      <c r="AE7326" s="388">
        <v>3.9624000000000006E-2</v>
      </c>
      <c r="AF7326" s="388">
        <v>3.3816706560000007E-2</v>
      </c>
      <c r="AG7326" s="388">
        <v>0.11582400000000001</v>
      </c>
      <c r="AH7326" s="391"/>
      <c r="AI7326" s="397"/>
      <c r="AJ7326" s="397"/>
      <c r="AU7326" s="397"/>
      <c r="AV7326" s="397"/>
      <c r="AW7326" s="397"/>
      <c r="AX7326" s="397"/>
      <c r="BI7326" s="397"/>
      <c r="BJ7326" s="397"/>
      <c r="BK7326" s="397"/>
      <c r="BL7326" s="397"/>
      <c r="BM7326" s="397"/>
      <c r="BN7326" s="397"/>
      <c r="BO7326" s="397"/>
      <c r="BP7326" s="397"/>
      <c r="BQ7326" s="397"/>
      <c r="BR7326" s="397"/>
      <c r="BS7326" s="397"/>
      <c r="BT7326" s="397"/>
      <c r="BU7326" s="397"/>
      <c r="BV7326" s="397"/>
      <c r="BW7326" s="397"/>
      <c r="BX7326" s="397"/>
      <c r="BY7326" s="397"/>
      <c r="BZ7326" s="397"/>
      <c r="CA7326" s="392" t="s">
        <v>413</v>
      </c>
    </row>
    <row r="7327" spans="1:80" s="392" customFormat="1" ht="15" x14ac:dyDescent="0.25">
      <c r="A7327" s="385"/>
      <c r="D7327" s="700"/>
      <c r="E7327" s="397"/>
      <c r="H7327" s="401">
        <v>3</v>
      </c>
      <c r="I7327" s="401"/>
      <c r="J7327" s="401"/>
      <c r="K7327" s="401"/>
      <c r="L7327" s="675"/>
      <c r="M7327" s="672">
        <v>30904</v>
      </c>
      <c r="N7327" s="623">
        <v>1.7001983564749221E-3</v>
      </c>
      <c r="O7327" s="624" t="s">
        <v>71</v>
      </c>
      <c r="P7327" s="397"/>
      <c r="Q7327" s="397"/>
      <c r="R7327" s="397"/>
      <c r="S7327" s="397"/>
      <c r="T7327" s="397"/>
      <c r="U7327" s="397"/>
      <c r="V7327" s="397"/>
      <c r="W7327" s="397"/>
      <c r="X7327" s="397"/>
      <c r="Y7327" s="397"/>
      <c r="Z7327" s="397"/>
      <c r="AD7327" s="388">
        <v>0.82296000000000014</v>
      </c>
      <c r="AE7327" s="388">
        <v>2.7432000000000002E-2</v>
      </c>
      <c r="AF7327" s="388">
        <v>2.2575438720000004E-2</v>
      </c>
      <c r="AG7327" s="388">
        <v>7.9248000000000013E-2</v>
      </c>
      <c r="AH7327" s="391"/>
      <c r="AI7327" s="397"/>
      <c r="AJ7327" s="397"/>
      <c r="AU7327" s="397"/>
      <c r="AV7327" s="397"/>
      <c r="AW7327" s="397"/>
      <c r="AX7327" s="397"/>
      <c r="BI7327" s="397"/>
      <c r="BJ7327" s="397"/>
      <c r="BK7327" s="397"/>
      <c r="BL7327" s="397"/>
      <c r="BM7327" s="397"/>
      <c r="BN7327" s="397"/>
      <c r="BO7327" s="397"/>
      <c r="BP7327" s="397"/>
      <c r="BQ7327" s="397"/>
      <c r="BR7327" s="397"/>
      <c r="BS7327" s="397"/>
      <c r="BT7327" s="397"/>
      <c r="BU7327" s="397"/>
      <c r="BV7327" s="397"/>
      <c r="BW7327" s="397"/>
      <c r="BX7327" s="397"/>
      <c r="BY7327" s="397"/>
      <c r="BZ7327" s="397"/>
      <c r="CA7327" s="392" t="s">
        <v>413</v>
      </c>
    </row>
    <row r="7328" spans="1:80" s="392" customFormat="1" ht="15" x14ac:dyDescent="0.25">
      <c r="A7328" s="385"/>
      <c r="D7328" s="700"/>
      <c r="E7328" s="397"/>
      <c r="H7328" s="401">
        <v>3</v>
      </c>
      <c r="I7328" s="401"/>
      <c r="J7328" s="401"/>
      <c r="K7328" s="401"/>
      <c r="L7328" s="675"/>
      <c r="M7328" s="672">
        <v>30909</v>
      </c>
      <c r="N7328" s="623">
        <v>1.9835647492207425E-3</v>
      </c>
      <c r="O7328" s="624" t="s">
        <v>71</v>
      </c>
      <c r="P7328" s="397"/>
      <c r="Q7328" s="397"/>
      <c r="R7328" s="397"/>
      <c r="S7328" s="397"/>
      <c r="T7328" s="397"/>
      <c r="U7328" s="397"/>
      <c r="V7328" s="397"/>
      <c r="W7328" s="397"/>
      <c r="X7328" s="397"/>
      <c r="Y7328" s="397"/>
      <c r="Z7328" s="397"/>
      <c r="AD7328" s="388">
        <v>0.82296000000000014</v>
      </c>
      <c r="AE7328" s="388">
        <v>3.0480000000000004E-2</v>
      </c>
      <c r="AF7328" s="388">
        <v>2.5083820800000007E-2</v>
      </c>
      <c r="AG7328" s="388">
        <v>9.4488000000000003E-2</v>
      </c>
      <c r="AH7328" s="391"/>
      <c r="AI7328" s="397"/>
      <c r="AJ7328" s="397"/>
      <c r="AU7328" s="397"/>
      <c r="AV7328" s="397"/>
      <c r="AW7328" s="397"/>
      <c r="AX7328" s="397"/>
      <c r="BI7328" s="397"/>
      <c r="BJ7328" s="397"/>
      <c r="BK7328" s="397"/>
      <c r="BL7328" s="397"/>
      <c r="BM7328" s="397"/>
      <c r="BN7328" s="397"/>
      <c r="BO7328" s="397"/>
      <c r="BP7328" s="397"/>
      <c r="BQ7328" s="397"/>
      <c r="BR7328" s="397"/>
      <c r="BS7328" s="397"/>
      <c r="BT7328" s="397"/>
      <c r="BU7328" s="397"/>
      <c r="BV7328" s="397"/>
      <c r="BW7328" s="397"/>
      <c r="BX7328" s="397"/>
      <c r="BY7328" s="397"/>
      <c r="BZ7328" s="397"/>
      <c r="CA7328" s="392" t="s">
        <v>413</v>
      </c>
    </row>
    <row r="7329" spans="1:80" s="392" customFormat="1" ht="15" x14ac:dyDescent="0.25">
      <c r="A7329" s="385"/>
      <c r="D7329" s="700"/>
      <c r="E7329" s="397"/>
      <c r="H7329" s="401">
        <v>3</v>
      </c>
      <c r="I7329" s="401"/>
      <c r="J7329" s="401"/>
      <c r="K7329" s="401"/>
      <c r="L7329" s="675"/>
      <c r="M7329" s="672">
        <v>30944</v>
      </c>
      <c r="N7329" s="623">
        <v>0</v>
      </c>
      <c r="O7329" s="624" t="s">
        <v>71</v>
      </c>
      <c r="P7329" s="397"/>
      <c r="Q7329" s="397"/>
      <c r="R7329" s="397"/>
      <c r="S7329" s="397"/>
      <c r="T7329" s="397"/>
      <c r="U7329" s="397"/>
      <c r="V7329" s="397"/>
      <c r="W7329" s="397"/>
      <c r="X7329" s="397"/>
      <c r="Y7329" s="397"/>
      <c r="Z7329" s="397"/>
      <c r="AD7329" s="388">
        <v>0.82296000000000014</v>
      </c>
      <c r="AE7329" s="388"/>
      <c r="AF7329" s="388"/>
      <c r="AG7329" s="388"/>
      <c r="AH7329" s="391"/>
      <c r="AI7329" s="397"/>
      <c r="AJ7329" s="397"/>
      <c r="AU7329" s="397"/>
      <c r="AV7329" s="397"/>
      <c r="AW7329" s="397"/>
      <c r="AX7329" s="397"/>
      <c r="BI7329" s="397"/>
      <c r="BJ7329" s="397"/>
      <c r="BK7329" s="397"/>
      <c r="BL7329" s="397"/>
      <c r="BM7329" s="397"/>
      <c r="BN7329" s="397"/>
      <c r="BO7329" s="397"/>
      <c r="BP7329" s="397"/>
      <c r="BQ7329" s="397"/>
      <c r="BR7329" s="397"/>
      <c r="BS7329" s="397"/>
      <c r="BT7329" s="397"/>
      <c r="BU7329" s="397"/>
      <c r="BV7329" s="397"/>
      <c r="BW7329" s="397"/>
      <c r="BX7329" s="397"/>
      <c r="BY7329" s="397"/>
      <c r="BZ7329" s="397"/>
      <c r="CA7329" s="392" t="s">
        <v>413</v>
      </c>
    </row>
    <row r="7330" spans="1:80" s="189" customFormat="1" ht="15" x14ac:dyDescent="0.25">
      <c r="A7330" s="381" t="s">
        <v>468</v>
      </c>
      <c r="B7330" s="641"/>
      <c r="C7330" s="639"/>
      <c r="D7330" s="4">
        <f>VLOOKUP(E7330,'Quality Code'!$D$4:$E$24,2,TRUE)*VLOOKUP(MROUND(F7330,10),'Quality Code'!$D$28:$E$69,2,TRUE)*VLOOKUP(COUNTA(CB7330:CB7340),'Quality Code'!$D$73:$E$93,2,TRUE)</f>
        <v>7.4999999999999997E-2</v>
      </c>
      <c r="E7330" s="14">
        <v>0.3</v>
      </c>
      <c r="F7330" s="2">
        <v>6</v>
      </c>
      <c r="G7330" s="12"/>
      <c r="H7330" s="2" t="s">
        <v>105</v>
      </c>
      <c r="I7330" s="2"/>
      <c r="J7330" s="2"/>
      <c r="K7330" s="2"/>
      <c r="L7330" s="639"/>
      <c r="M7330" s="640">
        <v>1979</v>
      </c>
      <c r="N7330" s="578" t="s">
        <v>110</v>
      </c>
      <c r="O7330" s="578"/>
      <c r="P7330" s="26"/>
      <c r="Q7330" s="26"/>
      <c r="R7330" s="26"/>
      <c r="S7330" s="26"/>
      <c r="T7330" s="26"/>
      <c r="U7330" s="26"/>
      <c r="V7330" s="10"/>
      <c r="W7330" s="10"/>
      <c r="X7330" s="10"/>
      <c r="Y7330" s="10"/>
      <c r="Z7330" s="2"/>
      <c r="AA7330" s="26"/>
      <c r="AB7330" s="26"/>
      <c r="AC7330" s="377"/>
      <c r="AD7330" s="406"/>
      <c r="AE7330" s="26"/>
      <c r="AF7330" s="26"/>
      <c r="AG7330" s="26"/>
      <c r="AH7330" s="26"/>
      <c r="AI7330" s="4"/>
      <c r="AJ7330" s="4"/>
      <c r="AK7330" s="26"/>
      <c r="AL7330" s="26"/>
      <c r="AM7330" s="26"/>
      <c r="AN7330" s="26"/>
      <c r="AO7330" s="26"/>
      <c r="AP7330" s="26"/>
      <c r="AQ7330" s="26"/>
      <c r="AR7330" s="26"/>
      <c r="AS7330" s="26"/>
      <c r="AT7330" s="26"/>
      <c r="AU7330" s="4"/>
      <c r="AV7330" s="4"/>
      <c r="AW7330" s="4"/>
      <c r="AX7330" s="4"/>
      <c r="AY7330" s="2"/>
      <c r="AZ7330" s="2"/>
      <c r="BA7330" s="12"/>
      <c r="BB7330" s="12"/>
      <c r="BC7330" s="12"/>
      <c r="BD7330" s="12"/>
      <c r="BE7330" s="12"/>
      <c r="BF7330" s="12"/>
      <c r="BG7330" s="12"/>
      <c r="BH7330" s="12"/>
      <c r="BI7330" s="4"/>
      <c r="BJ7330" s="12"/>
      <c r="BK7330" s="2"/>
      <c r="BL7330" s="2"/>
      <c r="BM7330" s="4"/>
      <c r="BN7330" s="12"/>
      <c r="BO7330" s="12"/>
      <c r="BP7330" s="12"/>
      <c r="BQ7330" s="4"/>
      <c r="BR7330" s="4"/>
      <c r="BS7330" s="4"/>
      <c r="BT7330" s="2"/>
      <c r="BU7330" s="9"/>
      <c r="BV7330" s="381"/>
      <c r="BW7330" s="382"/>
      <c r="BX7330" s="383"/>
      <c r="BY7330" s="383"/>
      <c r="BZ7330" s="383"/>
      <c r="CA7330" s="384" t="s">
        <v>413</v>
      </c>
      <c r="CB7330" s="411"/>
    </row>
    <row r="7331" spans="1:80" s="392" customFormat="1" ht="15" x14ac:dyDescent="0.25">
      <c r="A7331" s="385"/>
      <c r="D7331" s="700"/>
      <c r="E7331" s="397"/>
      <c r="H7331" s="401">
        <v>3</v>
      </c>
      <c r="I7331" s="401"/>
      <c r="J7331" s="401"/>
      <c r="K7331" s="401"/>
      <c r="L7331" s="675"/>
      <c r="M7331" s="672">
        <v>29014</v>
      </c>
      <c r="N7331" s="623">
        <v>3.0631783948837521</v>
      </c>
      <c r="O7331" s="624">
        <v>1.6819944171676628E-2</v>
      </c>
      <c r="P7331" s="397"/>
      <c r="Q7331" s="397"/>
      <c r="R7331" s="397"/>
      <c r="S7331" s="397"/>
      <c r="T7331" s="397"/>
      <c r="U7331" s="397"/>
      <c r="V7331" s="397"/>
      <c r="W7331" s="397"/>
      <c r="X7331" s="397"/>
      <c r="Y7331" s="397"/>
      <c r="Z7331" s="397"/>
      <c r="AD7331" s="388">
        <v>7.4588540012517512</v>
      </c>
      <c r="AE7331" s="388"/>
      <c r="AF7331" s="388"/>
      <c r="AG7331" s="388"/>
      <c r="AH7331" s="391"/>
      <c r="AI7331" s="397"/>
      <c r="AJ7331" s="397"/>
      <c r="AU7331" s="397"/>
      <c r="AV7331" s="397"/>
      <c r="AW7331" s="397"/>
      <c r="AX7331" s="397"/>
      <c r="BI7331" s="397"/>
      <c r="BJ7331" s="397"/>
      <c r="BK7331" s="397"/>
      <c r="BL7331" s="397"/>
      <c r="BM7331" s="397"/>
      <c r="BN7331" s="397"/>
      <c r="BO7331" s="397"/>
      <c r="BP7331" s="397"/>
      <c r="BQ7331" s="397"/>
      <c r="BR7331" s="397"/>
      <c r="BS7331" s="397"/>
      <c r="BT7331" s="397"/>
      <c r="BU7331" s="397"/>
      <c r="BV7331" s="397"/>
      <c r="BW7331" s="397"/>
      <c r="BX7331" s="397"/>
      <c r="BY7331" s="397"/>
      <c r="BZ7331" s="397"/>
      <c r="CA7331" s="392" t="s">
        <v>413</v>
      </c>
    </row>
    <row r="7332" spans="1:80" s="392" customFormat="1" ht="15" x14ac:dyDescent="0.25">
      <c r="A7332" s="385"/>
      <c r="D7332" s="700"/>
      <c r="E7332" s="397"/>
      <c r="H7332" s="401">
        <v>3</v>
      </c>
      <c r="I7332" s="401"/>
      <c r="J7332" s="401"/>
      <c r="K7332" s="401"/>
      <c r="L7332" s="675"/>
      <c r="M7332" s="672">
        <v>29021</v>
      </c>
      <c r="N7332" s="623">
        <v>5.4720884103145373</v>
      </c>
      <c r="O7332" s="624" t="s">
        <v>71</v>
      </c>
      <c r="P7332" s="397"/>
      <c r="Q7332" s="397"/>
      <c r="R7332" s="397"/>
      <c r="S7332" s="397"/>
      <c r="T7332" s="397"/>
      <c r="U7332" s="397"/>
      <c r="V7332" s="397"/>
      <c r="W7332" s="397"/>
      <c r="X7332" s="397"/>
      <c r="Y7332" s="397"/>
      <c r="Z7332" s="397"/>
      <c r="AD7332" s="388">
        <v>9.3268800000000009</v>
      </c>
      <c r="AE7332" s="388">
        <v>0.83820000000000006</v>
      </c>
      <c r="AF7332" s="388">
        <v>7.8177908160000014</v>
      </c>
      <c r="AG7332" s="388">
        <v>0.64008000000000009</v>
      </c>
      <c r="AH7332" s="391"/>
      <c r="AI7332" s="397"/>
      <c r="AJ7332" s="397"/>
      <c r="AU7332" s="397"/>
      <c r="AV7332" s="397"/>
      <c r="AW7332" s="397"/>
      <c r="AX7332" s="397"/>
      <c r="BI7332" s="397"/>
      <c r="BJ7332" s="397"/>
      <c r="BK7332" s="397"/>
      <c r="BL7332" s="397"/>
      <c r="BM7332" s="397"/>
      <c r="BN7332" s="397"/>
      <c r="BO7332" s="397"/>
      <c r="BP7332" s="397"/>
      <c r="BQ7332" s="397"/>
      <c r="BR7332" s="397"/>
      <c r="BS7332" s="397"/>
      <c r="BT7332" s="397"/>
      <c r="BU7332" s="397"/>
      <c r="BV7332" s="397"/>
      <c r="BW7332" s="397"/>
      <c r="BX7332" s="397"/>
      <c r="BY7332" s="397"/>
      <c r="BZ7332" s="397"/>
      <c r="CA7332" s="392" t="s">
        <v>413</v>
      </c>
    </row>
    <row r="7333" spans="1:80" s="392" customFormat="1" ht="15" x14ac:dyDescent="0.25">
      <c r="A7333" s="385"/>
      <c r="D7333" s="700"/>
      <c r="E7333" s="397"/>
      <c r="H7333" s="401">
        <v>3</v>
      </c>
      <c r="I7333" s="401"/>
      <c r="J7333" s="401"/>
      <c r="K7333" s="401"/>
      <c r="L7333" s="675"/>
      <c r="M7333" s="672">
        <v>29031</v>
      </c>
      <c r="N7333" s="623">
        <v>1.7990932275432134</v>
      </c>
      <c r="O7333" s="624">
        <v>1.4444799999999999E-2</v>
      </c>
      <c r="P7333" s="397"/>
      <c r="Q7333" s="397"/>
      <c r="R7333" s="397"/>
      <c r="S7333" s="397"/>
      <c r="T7333" s="397"/>
      <c r="U7333" s="397"/>
      <c r="V7333" s="397"/>
      <c r="W7333" s="397"/>
      <c r="X7333" s="397"/>
      <c r="Y7333" s="397"/>
      <c r="Z7333" s="397"/>
      <c r="AD7333" s="388">
        <v>6.7665600000000001</v>
      </c>
      <c r="AE7333" s="388">
        <v>0.44805600000000001</v>
      </c>
      <c r="AF7333" s="388">
        <v>3.0317978073600003</v>
      </c>
      <c r="AG7333" s="388">
        <v>0.51816000000000006</v>
      </c>
      <c r="AH7333" s="391"/>
      <c r="AI7333" s="397"/>
      <c r="AJ7333" s="397"/>
      <c r="AU7333" s="397"/>
      <c r="AV7333" s="397"/>
      <c r="AW7333" s="397"/>
      <c r="AX7333" s="397"/>
      <c r="BI7333" s="397"/>
      <c r="BJ7333" s="397"/>
      <c r="BK7333" s="397"/>
      <c r="BL7333" s="397"/>
      <c r="BM7333" s="397"/>
      <c r="BN7333" s="397"/>
      <c r="BO7333" s="397"/>
      <c r="BP7333" s="397"/>
      <c r="BQ7333" s="397"/>
      <c r="BR7333" s="397"/>
      <c r="BS7333" s="397"/>
      <c r="BT7333" s="397"/>
      <c r="BU7333" s="397"/>
      <c r="BV7333" s="397"/>
      <c r="BW7333" s="397"/>
      <c r="BX7333" s="397"/>
      <c r="BY7333" s="397"/>
      <c r="BZ7333" s="397"/>
      <c r="CA7333" s="392" t="s">
        <v>413</v>
      </c>
    </row>
    <row r="7334" spans="1:80" s="392" customFormat="1" ht="15" x14ac:dyDescent="0.25">
      <c r="A7334" s="385"/>
      <c r="D7334" s="700"/>
      <c r="E7334" s="397"/>
      <c r="H7334" s="401">
        <v>3</v>
      </c>
      <c r="I7334" s="401"/>
      <c r="J7334" s="401"/>
      <c r="K7334" s="401"/>
      <c r="L7334" s="675"/>
      <c r="M7334" s="672">
        <v>29039</v>
      </c>
      <c r="N7334" s="623">
        <v>4.4905072258430154</v>
      </c>
      <c r="O7334" s="624">
        <v>1.02144E-2</v>
      </c>
      <c r="P7334" s="397"/>
      <c r="Q7334" s="397"/>
      <c r="R7334" s="397"/>
      <c r="S7334" s="397"/>
      <c r="T7334" s="397"/>
      <c r="U7334" s="397"/>
      <c r="V7334" s="397"/>
      <c r="W7334" s="397"/>
      <c r="X7334" s="397"/>
      <c r="Y7334" s="397"/>
      <c r="Z7334" s="397"/>
      <c r="AD7334" s="388">
        <v>7.6809599999999998</v>
      </c>
      <c r="AE7334" s="388"/>
      <c r="AF7334" s="388"/>
      <c r="AG7334" s="388"/>
      <c r="AH7334" s="391"/>
      <c r="AI7334" s="397"/>
      <c r="AJ7334" s="397"/>
      <c r="AU7334" s="397"/>
      <c r="AV7334" s="397"/>
      <c r="AW7334" s="397"/>
      <c r="AX7334" s="397"/>
      <c r="BI7334" s="397"/>
      <c r="BJ7334" s="397"/>
      <c r="BK7334" s="397"/>
      <c r="BL7334" s="397"/>
      <c r="BM7334" s="397"/>
      <c r="BN7334" s="397"/>
      <c r="BO7334" s="397"/>
      <c r="BP7334" s="397"/>
      <c r="BQ7334" s="397"/>
      <c r="BR7334" s="397"/>
      <c r="BS7334" s="397"/>
      <c r="BT7334" s="397"/>
      <c r="BU7334" s="397"/>
      <c r="BV7334" s="397"/>
      <c r="BW7334" s="397"/>
      <c r="BX7334" s="397"/>
      <c r="BY7334" s="397"/>
      <c r="BZ7334" s="397"/>
      <c r="CA7334" s="392" t="s">
        <v>413</v>
      </c>
    </row>
    <row r="7335" spans="1:80" s="392" customFormat="1" ht="15" x14ac:dyDescent="0.25">
      <c r="A7335" s="385"/>
      <c r="D7335" s="700"/>
      <c r="E7335" s="397"/>
      <c r="H7335" s="401">
        <v>3</v>
      </c>
      <c r="I7335" s="401"/>
      <c r="J7335" s="401"/>
      <c r="K7335" s="401"/>
      <c r="L7335" s="675"/>
      <c r="M7335" s="672">
        <v>29056</v>
      </c>
      <c r="N7335" s="623">
        <v>1.6418248795692831</v>
      </c>
      <c r="O7335" s="624">
        <v>8.3838666666666666E-3</v>
      </c>
      <c r="P7335" s="397"/>
      <c r="Q7335" s="397"/>
      <c r="R7335" s="397"/>
      <c r="S7335" s="397"/>
      <c r="T7335" s="397"/>
      <c r="U7335" s="397"/>
      <c r="V7335" s="397"/>
      <c r="W7335" s="397"/>
      <c r="X7335" s="397"/>
      <c r="Y7335" s="397"/>
      <c r="Z7335" s="397"/>
      <c r="AD7335" s="388">
        <v>6.9189600000000002</v>
      </c>
      <c r="AE7335" s="388">
        <v>0.43891200000000002</v>
      </c>
      <c r="AF7335" s="388">
        <v>3.0368145715200003</v>
      </c>
      <c r="AG7335" s="388">
        <v>0.42671999999999999</v>
      </c>
      <c r="AH7335" s="391"/>
      <c r="AI7335" s="397"/>
      <c r="AJ7335" s="397"/>
      <c r="AU7335" s="397"/>
      <c r="AV7335" s="397"/>
      <c r="AW7335" s="397"/>
      <c r="AX7335" s="397"/>
      <c r="BI7335" s="397"/>
      <c r="BJ7335" s="397"/>
      <c r="BK7335" s="397"/>
      <c r="BL7335" s="397"/>
      <c r="BM7335" s="397"/>
      <c r="BN7335" s="397"/>
      <c r="BO7335" s="397"/>
      <c r="BP7335" s="397"/>
      <c r="BQ7335" s="397"/>
      <c r="BR7335" s="397"/>
      <c r="BS7335" s="397"/>
      <c r="BT7335" s="397"/>
      <c r="BU7335" s="397"/>
      <c r="BV7335" s="397"/>
      <c r="BW7335" s="397"/>
      <c r="BX7335" s="397"/>
      <c r="BY7335" s="397"/>
      <c r="BZ7335" s="397"/>
      <c r="CA7335" s="392" t="s">
        <v>413</v>
      </c>
    </row>
    <row r="7336" spans="1:80" s="392" customFormat="1" ht="15" x14ac:dyDescent="0.25">
      <c r="A7336" s="385"/>
      <c r="D7336" s="700"/>
      <c r="E7336" s="397"/>
      <c r="H7336" s="401">
        <v>3</v>
      </c>
      <c r="I7336" s="401"/>
      <c r="J7336" s="401"/>
      <c r="K7336" s="401"/>
      <c r="L7336" s="675"/>
      <c r="M7336" s="672">
        <v>29062</v>
      </c>
      <c r="N7336" s="623">
        <v>1.5607820912439785</v>
      </c>
      <c r="O7336" s="624">
        <v>2.4174333333333332E-2</v>
      </c>
      <c r="P7336" s="397"/>
      <c r="Q7336" s="397"/>
      <c r="R7336" s="397"/>
      <c r="S7336" s="397"/>
      <c r="T7336" s="397"/>
      <c r="U7336" s="397"/>
      <c r="V7336" s="397"/>
      <c r="W7336" s="397"/>
      <c r="X7336" s="397"/>
      <c r="Y7336" s="397"/>
      <c r="Z7336" s="397"/>
      <c r="AD7336" s="388">
        <v>6.3703199999999995</v>
      </c>
      <c r="AE7336" s="388">
        <v>0.45720000000000005</v>
      </c>
      <c r="AF7336" s="388">
        <v>2.912510304</v>
      </c>
      <c r="AG7336" s="388">
        <v>0.48768000000000006</v>
      </c>
      <c r="AH7336" s="391"/>
      <c r="AI7336" s="397"/>
      <c r="AJ7336" s="397"/>
      <c r="AU7336" s="397"/>
      <c r="AV7336" s="397"/>
      <c r="AW7336" s="397"/>
      <c r="AX7336" s="397"/>
      <c r="BI7336" s="397"/>
      <c r="BJ7336" s="397"/>
      <c r="BK7336" s="397"/>
      <c r="BL7336" s="397"/>
      <c r="BM7336" s="397"/>
      <c r="BN7336" s="397"/>
      <c r="BO7336" s="397"/>
      <c r="BP7336" s="397"/>
      <c r="BQ7336" s="397"/>
      <c r="BR7336" s="397"/>
      <c r="BS7336" s="397"/>
      <c r="BT7336" s="397"/>
      <c r="BU7336" s="397"/>
      <c r="BV7336" s="397"/>
      <c r="BW7336" s="397"/>
      <c r="BX7336" s="397"/>
      <c r="BY7336" s="397"/>
      <c r="BZ7336" s="397"/>
      <c r="CA7336" s="392" t="s">
        <v>413</v>
      </c>
    </row>
    <row r="7337" spans="1:80" s="392" customFormat="1" ht="15" x14ac:dyDescent="0.25">
      <c r="A7337" s="385"/>
      <c r="D7337" s="700"/>
      <c r="E7337" s="397"/>
      <c r="H7337" s="401">
        <v>3</v>
      </c>
      <c r="I7337" s="401"/>
      <c r="J7337" s="401"/>
      <c r="K7337" s="401"/>
      <c r="L7337" s="675"/>
      <c r="M7337" s="672">
        <v>29067</v>
      </c>
      <c r="N7337" s="623">
        <v>1.3238877869084726</v>
      </c>
      <c r="O7337" s="624">
        <v>4.9466666666666661E-3</v>
      </c>
      <c r="P7337" s="397"/>
      <c r="Q7337" s="397"/>
      <c r="R7337" s="397"/>
      <c r="S7337" s="397"/>
      <c r="T7337" s="397"/>
      <c r="U7337" s="397"/>
      <c r="V7337" s="397"/>
      <c r="W7337" s="397"/>
      <c r="X7337" s="397"/>
      <c r="Y7337" s="397"/>
      <c r="Z7337" s="397"/>
      <c r="AD7337" s="388">
        <v>6.4617599999999999</v>
      </c>
      <c r="AE7337" s="388">
        <v>0.420624</v>
      </c>
      <c r="AF7337" s="388">
        <v>2.7179713382399999</v>
      </c>
      <c r="AG7337" s="388">
        <v>0.42671999999999999</v>
      </c>
      <c r="AH7337" s="391"/>
      <c r="AI7337" s="397"/>
      <c r="AJ7337" s="397"/>
      <c r="AU7337" s="397"/>
      <c r="AV7337" s="397"/>
      <c r="AW7337" s="397"/>
      <c r="AX7337" s="397"/>
      <c r="BI7337" s="397"/>
      <c r="BJ7337" s="397"/>
      <c r="BK7337" s="397"/>
      <c r="BL7337" s="397"/>
      <c r="BM7337" s="397"/>
      <c r="BN7337" s="397"/>
      <c r="BO7337" s="397"/>
      <c r="BP7337" s="397"/>
      <c r="BQ7337" s="397"/>
      <c r="BR7337" s="397"/>
      <c r="BS7337" s="397"/>
      <c r="BT7337" s="397"/>
      <c r="BU7337" s="397"/>
      <c r="BV7337" s="397"/>
      <c r="BW7337" s="397"/>
      <c r="BX7337" s="397"/>
      <c r="BY7337" s="397"/>
      <c r="BZ7337" s="397"/>
      <c r="CA7337" s="392" t="s">
        <v>413</v>
      </c>
    </row>
    <row r="7338" spans="1:80" s="189" customFormat="1" ht="15" x14ac:dyDescent="0.25">
      <c r="A7338" s="381" t="s">
        <v>469</v>
      </c>
      <c r="B7338" s="641"/>
      <c r="C7338" s="639"/>
      <c r="D7338" s="4">
        <f>VLOOKUP(E7338,'Quality Code'!$D$4:$E$24,2,TRUE)*VLOOKUP(MROUND(F7338,10),'Quality Code'!$D$28:$E$69,2,TRUE)*VLOOKUP(COUNTA(CB7338:CB7348),'Quality Code'!$D$73:$E$93,2,TRUE)</f>
        <v>7.4999999999999997E-2</v>
      </c>
      <c r="E7338" s="14">
        <v>0.3</v>
      </c>
      <c r="F7338" s="2">
        <v>6</v>
      </c>
      <c r="G7338" s="12"/>
      <c r="H7338" s="2" t="s">
        <v>105</v>
      </c>
      <c r="I7338" s="2"/>
      <c r="J7338" s="2"/>
      <c r="K7338" s="2"/>
      <c r="L7338" s="639"/>
      <c r="M7338" s="640">
        <v>1979</v>
      </c>
      <c r="N7338" s="578" t="s">
        <v>110</v>
      </c>
      <c r="O7338" s="578"/>
      <c r="P7338" s="26"/>
      <c r="Q7338" s="26"/>
      <c r="R7338" s="26"/>
      <c r="S7338" s="26"/>
      <c r="T7338" s="26"/>
      <c r="U7338" s="26"/>
      <c r="V7338" s="10"/>
      <c r="W7338" s="10"/>
      <c r="X7338" s="10"/>
      <c r="Y7338" s="10"/>
      <c r="Z7338" s="2"/>
      <c r="AA7338" s="26"/>
      <c r="AB7338" s="26"/>
      <c r="AC7338" s="377"/>
      <c r="AD7338" s="406"/>
      <c r="AE7338" s="26"/>
      <c r="AF7338" s="26"/>
      <c r="AG7338" s="26"/>
      <c r="AH7338" s="26"/>
      <c r="AI7338" s="4"/>
      <c r="AJ7338" s="4"/>
      <c r="AK7338" s="26"/>
      <c r="AL7338" s="26"/>
      <c r="AM7338" s="26"/>
      <c r="AN7338" s="26"/>
      <c r="AO7338" s="26"/>
      <c r="AP7338" s="26"/>
      <c r="AQ7338" s="26"/>
      <c r="AR7338" s="26"/>
      <c r="AS7338" s="26"/>
      <c r="AT7338" s="26"/>
      <c r="AU7338" s="4"/>
      <c r="AV7338" s="4"/>
      <c r="AW7338" s="4"/>
      <c r="AX7338" s="4"/>
      <c r="AY7338" s="2"/>
      <c r="AZ7338" s="2"/>
      <c r="BA7338" s="12"/>
      <c r="BB7338" s="12"/>
      <c r="BC7338" s="12"/>
      <c r="BD7338" s="12"/>
      <c r="BE7338" s="12"/>
      <c r="BF7338" s="12"/>
      <c r="BG7338" s="12"/>
      <c r="BH7338" s="12"/>
      <c r="BI7338" s="4"/>
      <c r="BJ7338" s="12"/>
      <c r="BK7338" s="2"/>
      <c r="BL7338" s="2"/>
      <c r="BM7338" s="4"/>
      <c r="BN7338" s="12"/>
      <c r="BO7338" s="12"/>
      <c r="BP7338" s="12"/>
      <c r="BQ7338" s="4"/>
      <c r="BR7338" s="4"/>
      <c r="BS7338" s="4"/>
      <c r="BT7338" s="2"/>
      <c r="BU7338" s="9"/>
      <c r="BV7338" s="381"/>
      <c r="BW7338" s="382"/>
      <c r="BX7338" s="383"/>
      <c r="BY7338" s="383"/>
      <c r="BZ7338" s="383"/>
      <c r="CA7338" s="384" t="s">
        <v>413</v>
      </c>
      <c r="CB7338" s="411"/>
    </row>
    <row r="7339" spans="1:80" s="392" customFormat="1" ht="15" x14ac:dyDescent="0.25">
      <c r="A7339" s="385"/>
      <c r="D7339" s="700"/>
      <c r="E7339" s="397"/>
      <c r="H7339" s="401">
        <v>3</v>
      </c>
      <c r="I7339" s="401"/>
      <c r="J7339" s="401"/>
      <c r="K7339" s="401"/>
      <c r="L7339" s="675"/>
      <c r="M7339" s="672">
        <v>29017</v>
      </c>
      <c r="N7339" s="623">
        <v>0.86936809294417683</v>
      </c>
      <c r="O7339" s="624">
        <v>1.5583333333333334E-3</v>
      </c>
      <c r="P7339" s="397"/>
      <c r="Q7339" s="397"/>
      <c r="R7339" s="397"/>
      <c r="S7339" s="397"/>
      <c r="T7339" s="397"/>
      <c r="U7339" s="397"/>
      <c r="V7339" s="397"/>
      <c r="W7339" s="397"/>
      <c r="X7339" s="397"/>
      <c r="Y7339" s="397"/>
      <c r="Z7339" s="397"/>
      <c r="AD7339" s="388">
        <v>3.81</v>
      </c>
      <c r="AE7339" s="388">
        <v>0.42976799999999998</v>
      </c>
      <c r="AF7339" s="388">
        <v>1.6374160799999999</v>
      </c>
      <c r="AG7339" s="388">
        <v>0.48768000000000006</v>
      </c>
      <c r="AH7339" s="391"/>
      <c r="AI7339" s="397"/>
      <c r="AJ7339" s="397"/>
      <c r="AU7339" s="397"/>
      <c r="AV7339" s="397"/>
      <c r="AW7339" s="397"/>
      <c r="AX7339" s="397"/>
      <c r="BI7339" s="397"/>
      <c r="BJ7339" s="397"/>
      <c r="BK7339" s="397"/>
      <c r="BL7339" s="397"/>
      <c r="BM7339" s="397"/>
      <c r="BN7339" s="397"/>
      <c r="BO7339" s="397"/>
      <c r="BP7339" s="397"/>
      <c r="BQ7339" s="397"/>
      <c r="BR7339" s="397"/>
      <c r="BS7339" s="397"/>
      <c r="BT7339" s="397"/>
      <c r="BU7339" s="397"/>
      <c r="BV7339" s="397"/>
      <c r="BW7339" s="397"/>
      <c r="BX7339" s="397"/>
      <c r="BY7339" s="397"/>
      <c r="BZ7339" s="397"/>
      <c r="CA7339" s="392" t="s">
        <v>413</v>
      </c>
    </row>
    <row r="7340" spans="1:80" s="392" customFormat="1" ht="15" x14ac:dyDescent="0.25">
      <c r="A7340" s="385"/>
      <c r="D7340" s="700"/>
      <c r="E7340" s="397"/>
      <c r="H7340" s="401">
        <v>3</v>
      </c>
      <c r="I7340" s="401"/>
      <c r="J7340" s="401"/>
      <c r="K7340" s="401"/>
      <c r="L7340" s="675"/>
      <c r="M7340" s="672">
        <v>29021</v>
      </c>
      <c r="N7340" s="623">
        <v>4.8690847265514314</v>
      </c>
      <c r="O7340" s="624">
        <v>0.10298864000000001</v>
      </c>
      <c r="P7340" s="397"/>
      <c r="Q7340" s="397"/>
      <c r="R7340" s="397"/>
      <c r="S7340" s="397"/>
      <c r="T7340" s="397"/>
      <c r="U7340" s="397"/>
      <c r="V7340" s="397"/>
      <c r="W7340" s="397"/>
      <c r="X7340" s="397"/>
      <c r="Y7340" s="397"/>
      <c r="Z7340" s="397"/>
      <c r="AD7340" s="388">
        <v>8.101583999999999</v>
      </c>
      <c r="AE7340" s="388">
        <v>0.6339840000000001</v>
      </c>
      <c r="AF7340" s="388">
        <v>5.1362746306560005</v>
      </c>
      <c r="AG7340" s="388">
        <v>0.73761600000000005</v>
      </c>
      <c r="AH7340" s="391"/>
      <c r="AI7340" s="397"/>
      <c r="AJ7340" s="397"/>
      <c r="AU7340" s="397"/>
      <c r="AV7340" s="397"/>
      <c r="AW7340" s="397"/>
      <c r="AX7340" s="397"/>
      <c r="BI7340" s="397"/>
      <c r="BJ7340" s="397"/>
      <c r="BK7340" s="397"/>
      <c r="BL7340" s="397"/>
      <c r="BM7340" s="397"/>
      <c r="BN7340" s="397"/>
      <c r="BO7340" s="397"/>
      <c r="BP7340" s="397"/>
      <c r="BQ7340" s="397"/>
      <c r="BR7340" s="397"/>
      <c r="BS7340" s="397"/>
      <c r="BT7340" s="397"/>
      <c r="BU7340" s="397"/>
      <c r="BV7340" s="397"/>
      <c r="BW7340" s="397"/>
      <c r="BX7340" s="397"/>
      <c r="BY7340" s="397"/>
      <c r="BZ7340" s="397"/>
      <c r="CA7340" s="392" t="s">
        <v>413</v>
      </c>
    </row>
    <row r="7341" spans="1:80" s="392" customFormat="1" ht="15" x14ac:dyDescent="0.25">
      <c r="A7341" s="385"/>
      <c r="D7341" s="700"/>
      <c r="E7341" s="397"/>
      <c r="H7341" s="401">
        <v>3</v>
      </c>
      <c r="I7341" s="401"/>
      <c r="J7341" s="401"/>
      <c r="K7341" s="401"/>
      <c r="L7341" s="675"/>
      <c r="M7341" s="672">
        <v>29031</v>
      </c>
      <c r="N7341" s="623">
        <v>0.81637857750070841</v>
      </c>
      <c r="O7341" s="624">
        <v>2.4041600000000002E-3</v>
      </c>
      <c r="P7341" s="397"/>
      <c r="Q7341" s="397"/>
      <c r="R7341" s="397"/>
      <c r="S7341" s="397"/>
      <c r="T7341" s="397"/>
      <c r="U7341" s="397"/>
      <c r="V7341" s="397"/>
      <c r="W7341" s="397"/>
      <c r="X7341" s="397"/>
      <c r="Y7341" s="397"/>
      <c r="Z7341" s="397"/>
      <c r="AD7341" s="388">
        <v>4.1635680000000006</v>
      </c>
      <c r="AE7341" s="388">
        <v>0.46634400000000004</v>
      </c>
      <c r="AF7341" s="388">
        <v>1.9416549553920004</v>
      </c>
      <c r="AG7341" s="388">
        <v>0.39624000000000004</v>
      </c>
      <c r="AH7341" s="391"/>
      <c r="AI7341" s="397"/>
      <c r="AJ7341" s="397"/>
      <c r="AU7341" s="397"/>
      <c r="AV7341" s="397"/>
      <c r="AW7341" s="397"/>
      <c r="AX7341" s="397"/>
      <c r="BI7341" s="397"/>
      <c r="BJ7341" s="397"/>
      <c r="BK7341" s="397"/>
      <c r="BL7341" s="397"/>
      <c r="BM7341" s="397"/>
      <c r="BN7341" s="397"/>
      <c r="BO7341" s="397"/>
      <c r="BP7341" s="397"/>
      <c r="BQ7341" s="397"/>
      <c r="BR7341" s="397"/>
      <c r="BS7341" s="397"/>
      <c r="BT7341" s="397"/>
      <c r="BU7341" s="397"/>
      <c r="BV7341" s="397"/>
      <c r="BW7341" s="397"/>
      <c r="BX7341" s="397"/>
      <c r="BY7341" s="397"/>
      <c r="BZ7341" s="397"/>
      <c r="CA7341" s="392" t="s">
        <v>413</v>
      </c>
    </row>
    <row r="7342" spans="1:80" s="392" customFormat="1" ht="15" x14ac:dyDescent="0.25">
      <c r="A7342" s="385"/>
      <c r="D7342" s="700"/>
      <c r="E7342" s="397"/>
      <c r="H7342" s="401">
        <v>3</v>
      </c>
      <c r="I7342" s="401"/>
      <c r="J7342" s="401"/>
      <c r="K7342" s="401"/>
      <c r="L7342" s="675"/>
      <c r="M7342" s="672">
        <v>29056</v>
      </c>
      <c r="N7342" s="623">
        <v>0.66421082459620295</v>
      </c>
      <c r="O7342" s="624">
        <v>2.5678400000000001E-3</v>
      </c>
      <c r="P7342" s="397"/>
      <c r="Q7342" s="397"/>
      <c r="R7342" s="397"/>
      <c r="S7342" s="397"/>
      <c r="T7342" s="397"/>
      <c r="U7342" s="397"/>
      <c r="V7342" s="397"/>
      <c r="W7342" s="397"/>
      <c r="X7342" s="397"/>
      <c r="Y7342" s="397"/>
      <c r="Z7342" s="397"/>
      <c r="AD7342" s="388">
        <v>4.4470320000000001</v>
      </c>
      <c r="AE7342" s="388">
        <v>0.347472</v>
      </c>
      <c r="AF7342" s="388">
        <v>1.5452191031040001</v>
      </c>
      <c r="AG7342" s="388">
        <v>0.39624000000000004</v>
      </c>
      <c r="AH7342" s="391"/>
      <c r="AI7342" s="397"/>
      <c r="AJ7342" s="397"/>
      <c r="AU7342" s="397"/>
      <c r="AV7342" s="397"/>
      <c r="AW7342" s="397"/>
      <c r="AX7342" s="397"/>
      <c r="BI7342" s="397"/>
      <c r="BJ7342" s="397"/>
      <c r="BK7342" s="397"/>
      <c r="BL7342" s="397"/>
      <c r="BM7342" s="397"/>
      <c r="BN7342" s="397"/>
      <c r="BO7342" s="397"/>
      <c r="BP7342" s="397"/>
      <c r="BQ7342" s="397"/>
      <c r="BR7342" s="397"/>
      <c r="BS7342" s="397"/>
      <c r="BT7342" s="397"/>
      <c r="BU7342" s="397"/>
      <c r="BV7342" s="397"/>
      <c r="BW7342" s="397"/>
      <c r="BX7342" s="397"/>
      <c r="BY7342" s="397"/>
      <c r="BZ7342" s="397"/>
      <c r="CA7342" s="392" t="s">
        <v>413</v>
      </c>
    </row>
    <row r="7343" spans="1:80" s="392" customFormat="1" ht="15" x14ac:dyDescent="0.25">
      <c r="A7343" s="385"/>
      <c r="D7343" s="700"/>
      <c r="E7343" s="397"/>
      <c r="H7343" s="401">
        <v>3</v>
      </c>
      <c r="I7343" s="401"/>
      <c r="J7343" s="401"/>
      <c r="K7343" s="401"/>
      <c r="L7343" s="675"/>
      <c r="M7343" s="672">
        <v>29062</v>
      </c>
      <c r="N7343" s="623">
        <v>0.55341456503258724</v>
      </c>
      <c r="O7343" s="624">
        <v>2.9150000000000005E-3</v>
      </c>
      <c r="P7343" s="397"/>
      <c r="Q7343" s="397"/>
      <c r="R7343" s="397"/>
      <c r="S7343" s="397"/>
      <c r="T7343" s="397"/>
      <c r="U7343" s="397"/>
      <c r="V7343" s="397"/>
      <c r="W7343" s="397"/>
      <c r="X7343" s="397"/>
      <c r="Y7343" s="397"/>
      <c r="Z7343" s="397"/>
      <c r="AD7343" s="388">
        <v>4.1909999999999998</v>
      </c>
      <c r="AE7343" s="388">
        <v>0.31089600000000001</v>
      </c>
      <c r="AF7343" s="388">
        <v>1.3029651360000001</v>
      </c>
      <c r="AG7343" s="388">
        <v>0.39624000000000004</v>
      </c>
      <c r="AH7343" s="391"/>
      <c r="AI7343" s="397"/>
      <c r="AJ7343" s="397"/>
      <c r="AU7343" s="397"/>
      <c r="AV7343" s="397"/>
      <c r="AW7343" s="397"/>
      <c r="AX7343" s="397"/>
      <c r="BI7343" s="397"/>
      <c r="BJ7343" s="397"/>
      <c r="BK7343" s="397"/>
      <c r="BL7343" s="397"/>
      <c r="BM7343" s="397"/>
      <c r="BN7343" s="397"/>
      <c r="BO7343" s="397"/>
      <c r="BP7343" s="397"/>
      <c r="BQ7343" s="397"/>
      <c r="BR7343" s="397"/>
      <c r="BS7343" s="397"/>
      <c r="BT7343" s="397"/>
      <c r="BU7343" s="397"/>
      <c r="BV7343" s="397"/>
      <c r="BW7343" s="397"/>
      <c r="BX7343" s="397"/>
      <c r="BY7343" s="397"/>
      <c r="BZ7343" s="397"/>
      <c r="CA7343" s="392" t="s">
        <v>413</v>
      </c>
    </row>
    <row r="7344" spans="1:80" s="392" customFormat="1" ht="15" x14ac:dyDescent="0.25">
      <c r="A7344" s="385"/>
      <c r="D7344" s="700"/>
      <c r="E7344" s="397"/>
      <c r="H7344" s="401">
        <v>3</v>
      </c>
      <c r="I7344" s="401"/>
      <c r="J7344" s="401"/>
      <c r="K7344" s="401"/>
      <c r="L7344" s="675"/>
      <c r="M7344" s="672">
        <v>29067</v>
      </c>
      <c r="N7344" s="623">
        <v>0.27854916406914143</v>
      </c>
      <c r="O7344" s="624">
        <v>1.2420599999999999E-3</v>
      </c>
      <c r="P7344" s="397"/>
      <c r="Q7344" s="397"/>
      <c r="R7344" s="397"/>
      <c r="S7344" s="397"/>
      <c r="T7344" s="397"/>
      <c r="U7344" s="397"/>
      <c r="V7344" s="397"/>
      <c r="W7344" s="397"/>
      <c r="X7344" s="397"/>
      <c r="Y7344" s="397"/>
      <c r="Z7344" s="397"/>
      <c r="AD7344" s="388">
        <v>4.4714160000000005</v>
      </c>
      <c r="AE7344" s="388">
        <v>0.225552</v>
      </c>
      <c r="AF7344" s="388">
        <v>1.0085368216320001</v>
      </c>
      <c r="AG7344" s="388">
        <v>0.24384000000000003</v>
      </c>
      <c r="AH7344" s="391"/>
      <c r="AI7344" s="397"/>
      <c r="AJ7344" s="397"/>
      <c r="AU7344" s="397"/>
      <c r="AV7344" s="397"/>
      <c r="AW7344" s="397"/>
      <c r="AX7344" s="397"/>
      <c r="BI7344" s="397"/>
      <c r="BJ7344" s="397"/>
      <c r="BK7344" s="397"/>
      <c r="BL7344" s="397"/>
      <c r="BM7344" s="397"/>
      <c r="BN7344" s="397"/>
      <c r="BO7344" s="397"/>
      <c r="BP7344" s="397"/>
      <c r="BQ7344" s="397"/>
      <c r="BR7344" s="397"/>
      <c r="BS7344" s="397"/>
      <c r="BT7344" s="397"/>
      <c r="BU7344" s="397"/>
      <c r="BV7344" s="397"/>
      <c r="BW7344" s="397"/>
      <c r="BX7344" s="397"/>
      <c r="BY7344" s="397"/>
      <c r="BZ7344" s="397"/>
      <c r="CA7344" s="392" t="s">
        <v>413</v>
      </c>
    </row>
    <row r="7345" spans="1:80" s="189" customFormat="1" ht="15" x14ac:dyDescent="0.25">
      <c r="A7345" s="381" t="s">
        <v>470</v>
      </c>
      <c r="B7345" s="641"/>
      <c r="C7345" s="639"/>
      <c r="D7345" s="4">
        <f>VLOOKUP(E7345,'Quality Code'!$D$4:$E$24,2,TRUE)*VLOOKUP(MROUND(F7345,10),'Quality Code'!$D$28:$E$69,2,TRUE)*VLOOKUP(COUNTA(CB7345:CB7355),'Quality Code'!$D$73:$E$93,2,TRUE)</f>
        <v>0.2</v>
      </c>
      <c r="E7345" s="14">
        <v>0.4</v>
      </c>
      <c r="F7345" s="2">
        <v>18</v>
      </c>
      <c r="G7345" s="12"/>
      <c r="H7345" s="2" t="s">
        <v>105</v>
      </c>
      <c r="I7345" s="2"/>
      <c r="J7345" s="2"/>
      <c r="K7345" s="2"/>
      <c r="L7345" s="639"/>
      <c r="M7345" s="640" t="s">
        <v>915</v>
      </c>
      <c r="N7345" s="578" t="s">
        <v>110</v>
      </c>
      <c r="O7345" s="578"/>
      <c r="P7345" s="26"/>
      <c r="Q7345" s="26"/>
      <c r="R7345" s="26"/>
      <c r="S7345" s="26"/>
      <c r="T7345" s="26"/>
      <c r="U7345" s="26"/>
      <c r="V7345" s="10"/>
      <c r="W7345" s="10"/>
      <c r="X7345" s="10"/>
      <c r="Y7345" s="10"/>
      <c r="Z7345" s="2"/>
      <c r="AA7345" s="26"/>
      <c r="AB7345" s="26"/>
      <c r="AC7345" s="377">
        <v>3.2000000000000001E-2</v>
      </c>
      <c r="AD7345" s="406"/>
      <c r="AE7345" s="26"/>
      <c r="AF7345" s="26"/>
      <c r="AG7345" s="26"/>
      <c r="AH7345" s="26"/>
      <c r="AI7345" s="4"/>
      <c r="AJ7345" s="4"/>
      <c r="AK7345" s="26"/>
      <c r="AL7345" s="26"/>
      <c r="AM7345" s="26"/>
      <c r="AN7345" s="26"/>
      <c r="AO7345" s="26"/>
      <c r="AP7345" s="26"/>
      <c r="AQ7345" s="26"/>
      <c r="AR7345" s="26"/>
      <c r="AS7345" s="26"/>
      <c r="AT7345" s="26"/>
      <c r="AU7345" s="4"/>
      <c r="AV7345" s="4"/>
      <c r="AW7345" s="4"/>
      <c r="AX7345" s="4"/>
      <c r="AY7345" s="2"/>
      <c r="AZ7345" s="2"/>
      <c r="BA7345" s="12"/>
      <c r="BB7345" s="12"/>
      <c r="BC7345" s="12"/>
      <c r="BD7345" s="12"/>
      <c r="BE7345" s="12"/>
      <c r="BF7345" s="12"/>
      <c r="BG7345" s="12"/>
      <c r="BH7345" s="12"/>
      <c r="BI7345" s="4"/>
      <c r="BJ7345" s="12"/>
      <c r="BK7345" s="2"/>
      <c r="BL7345" s="2"/>
      <c r="BM7345" s="4"/>
      <c r="BN7345" s="12"/>
      <c r="BO7345" s="12"/>
      <c r="BP7345" s="12"/>
      <c r="BQ7345" s="4"/>
      <c r="BR7345" s="4"/>
      <c r="BS7345" s="4"/>
      <c r="BT7345" s="2"/>
      <c r="BU7345" s="9"/>
      <c r="BV7345" s="381"/>
      <c r="BW7345" s="382"/>
      <c r="BX7345" s="383"/>
      <c r="BY7345" s="383" t="s">
        <v>415</v>
      </c>
      <c r="BZ7345" s="383"/>
      <c r="CA7345" s="384" t="s">
        <v>413</v>
      </c>
      <c r="CB7345" s="411"/>
    </row>
    <row r="7346" spans="1:80" s="392" customFormat="1" ht="15" x14ac:dyDescent="0.25">
      <c r="A7346" s="385"/>
      <c r="D7346" s="700"/>
      <c r="E7346" s="397"/>
      <c r="H7346" s="401">
        <v>3</v>
      </c>
      <c r="I7346" s="401"/>
      <c r="J7346" s="401"/>
      <c r="K7346" s="401"/>
      <c r="L7346" s="675"/>
      <c r="M7346" s="672">
        <v>28661</v>
      </c>
      <c r="N7346" s="623">
        <v>1.9113063190705584</v>
      </c>
      <c r="O7346" s="624">
        <v>3.7290666666666659E-2</v>
      </c>
      <c r="P7346" s="397"/>
      <c r="Q7346" s="397"/>
      <c r="R7346" s="397"/>
      <c r="S7346" s="397"/>
      <c r="T7346" s="397"/>
      <c r="U7346" s="397"/>
      <c r="V7346" s="397"/>
      <c r="W7346" s="397"/>
      <c r="X7346" s="397"/>
      <c r="Y7346" s="397"/>
      <c r="Z7346" s="397"/>
      <c r="AD7346" s="388">
        <v>5.60832</v>
      </c>
      <c r="AE7346" s="388">
        <v>0.31089600000000001</v>
      </c>
      <c r="AF7346" s="388">
        <v>1.7436042547199999</v>
      </c>
      <c r="AG7346" s="388">
        <v>0.82296000000000014</v>
      </c>
      <c r="AH7346" s="391"/>
      <c r="AI7346" s="397"/>
      <c r="AJ7346" s="397"/>
      <c r="AU7346" s="397"/>
      <c r="AV7346" s="397"/>
      <c r="AW7346" s="397"/>
      <c r="AX7346" s="397"/>
      <c r="BI7346" s="397"/>
      <c r="BJ7346" s="397"/>
      <c r="BK7346" s="397"/>
      <c r="BL7346" s="397"/>
      <c r="BM7346" s="397"/>
      <c r="BN7346" s="397"/>
      <c r="BO7346" s="397"/>
      <c r="BP7346" s="397"/>
      <c r="BQ7346" s="397"/>
      <c r="BR7346" s="397"/>
      <c r="BS7346" s="397"/>
      <c r="BT7346" s="397"/>
      <c r="BU7346" s="397"/>
      <c r="BV7346" s="397"/>
      <c r="BW7346" s="397"/>
      <c r="BX7346" s="397"/>
      <c r="BY7346" s="397"/>
      <c r="BZ7346" s="397"/>
      <c r="CA7346" s="392" t="s">
        <v>413</v>
      </c>
    </row>
    <row r="7347" spans="1:80" s="392" customFormat="1" ht="15" x14ac:dyDescent="0.25">
      <c r="A7347" s="385"/>
      <c r="D7347" s="700"/>
      <c r="E7347" s="397"/>
      <c r="H7347" s="401">
        <v>3</v>
      </c>
      <c r="I7347" s="401"/>
      <c r="J7347" s="401"/>
      <c r="K7347" s="401"/>
      <c r="L7347" s="675"/>
      <c r="M7347" s="672">
        <v>28668</v>
      </c>
      <c r="N7347" s="623">
        <v>1.0243695097761405</v>
      </c>
      <c r="O7347" s="624">
        <v>6.5306666666666673E-3</v>
      </c>
      <c r="P7347" s="397"/>
      <c r="Q7347" s="397"/>
      <c r="R7347" s="397"/>
      <c r="S7347" s="397"/>
      <c r="T7347" s="397"/>
      <c r="U7347" s="397"/>
      <c r="V7347" s="397"/>
      <c r="W7347" s="397"/>
      <c r="X7347" s="397"/>
      <c r="Y7347" s="397"/>
      <c r="Z7347" s="397"/>
      <c r="AD7347" s="388">
        <v>4.8158400000000006</v>
      </c>
      <c r="AE7347" s="388">
        <v>0.27432000000000001</v>
      </c>
      <c r="AF7347" s="388">
        <v>1.3210812288000002</v>
      </c>
      <c r="AG7347" s="388">
        <v>0.71628000000000003</v>
      </c>
      <c r="AH7347" s="391"/>
      <c r="AI7347" s="397"/>
      <c r="AJ7347" s="397"/>
      <c r="AU7347" s="397"/>
      <c r="AV7347" s="397"/>
      <c r="AW7347" s="397"/>
      <c r="AX7347" s="397"/>
      <c r="BI7347" s="397"/>
      <c r="BJ7347" s="397"/>
      <c r="BK7347" s="397"/>
      <c r="BL7347" s="397"/>
      <c r="BM7347" s="397"/>
      <c r="BN7347" s="397"/>
      <c r="BO7347" s="397"/>
      <c r="BP7347" s="397"/>
      <c r="BQ7347" s="397"/>
      <c r="BR7347" s="397"/>
      <c r="BS7347" s="397"/>
      <c r="BT7347" s="397"/>
      <c r="BU7347" s="397"/>
      <c r="BV7347" s="397"/>
      <c r="BW7347" s="397"/>
      <c r="BX7347" s="397"/>
      <c r="BY7347" s="397"/>
      <c r="BZ7347" s="397"/>
      <c r="CA7347" s="392" t="s">
        <v>413</v>
      </c>
    </row>
    <row r="7348" spans="1:80" s="392" customFormat="1" ht="15" x14ac:dyDescent="0.25">
      <c r="A7348" s="385"/>
      <c r="D7348" s="700"/>
      <c r="E7348" s="397"/>
      <c r="H7348" s="401">
        <v>3</v>
      </c>
      <c r="I7348" s="401"/>
      <c r="J7348" s="401"/>
      <c r="K7348" s="401"/>
      <c r="L7348" s="675"/>
      <c r="M7348" s="672">
        <v>28677</v>
      </c>
      <c r="N7348" s="623">
        <v>0.46188722017568717</v>
      </c>
      <c r="O7348" s="624">
        <v>1.1957333333333334E-2</v>
      </c>
      <c r="P7348" s="397"/>
      <c r="Q7348" s="397"/>
      <c r="R7348" s="397"/>
      <c r="S7348" s="397"/>
      <c r="T7348" s="397"/>
      <c r="U7348" s="397"/>
      <c r="V7348" s="397"/>
      <c r="W7348" s="397"/>
      <c r="X7348" s="397"/>
      <c r="Y7348" s="397"/>
      <c r="Z7348" s="397"/>
      <c r="AD7348" s="388">
        <v>4.6329599999999997</v>
      </c>
      <c r="AE7348" s="388">
        <v>0.20421600000000001</v>
      </c>
      <c r="AF7348" s="388">
        <v>0.94612455935999995</v>
      </c>
      <c r="AG7348" s="388">
        <v>0.42671999999999999</v>
      </c>
      <c r="AH7348" s="391"/>
      <c r="AI7348" s="397"/>
      <c r="AJ7348" s="397"/>
      <c r="AU7348" s="397"/>
      <c r="AV7348" s="397"/>
      <c r="AW7348" s="397"/>
      <c r="AX7348" s="397"/>
      <c r="BI7348" s="397"/>
      <c r="BJ7348" s="397"/>
      <c r="BK7348" s="397"/>
      <c r="BL7348" s="397"/>
      <c r="BM7348" s="397"/>
      <c r="BN7348" s="397"/>
      <c r="BO7348" s="397"/>
      <c r="BP7348" s="397"/>
      <c r="BQ7348" s="397"/>
      <c r="BR7348" s="397"/>
      <c r="BS7348" s="397"/>
      <c r="BT7348" s="397"/>
      <c r="BU7348" s="397"/>
      <c r="BV7348" s="397"/>
      <c r="BW7348" s="397"/>
      <c r="BX7348" s="397"/>
      <c r="BY7348" s="397"/>
      <c r="BZ7348" s="397"/>
      <c r="CA7348" s="392" t="s">
        <v>413</v>
      </c>
    </row>
    <row r="7349" spans="1:80" s="392" customFormat="1" ht="15" x14ac:dyDescent="0.25">
      <c r="A7349" s="385"/>
      <c r="D7349" s="700"/>
      <c r="E7349" s="397"/>
      <c r="H7349" s="401">
        <v>3</v>
      </c>
      <c r="I7349" s="401"/>
      <c r="J7349" s="401"/>
      <c r="K7349" s="401"/>
      <c r="L7349" s="675"/>
      <c r="M7349" s="672">
        <v>28682</v>
      </c>
      <c r="N7349" s="623">
        <v>0.31198639841314818</v>
      </c>
      <c r="O7349" s="624">
        <v>8.6359999999999996E-3</v>
      </c>
      <c r="P7349" s="397"/>
      <c r="Q7349" s="397"/>
      <c r="R7349" s="397"/>
      <c r="S7349" s="397"/>
      <c r="T7349" s="397"/>
      <c r="U7349" s="397"/>
      <c r="V7349" s="397"/>
      <c r="W7349" s="397"/>
      <c r="X7349" s="397"/>
      <c r="Y7349" s="397"/>
      <c r="Z7349" s="397"/>
      <c r="AD7349" s="388">
        <v>3.8709600000000002</v>
      </c>
      <c r="AE7349" s="388">
        <v>0.192024</v>
      </c>
      <c r="AF7349" s="388">
        <v>0.74331722304000003</v>
      </c>
      <c r="AG7349" s="388">
        <v>0.35052</v>
      </c>
      <c r="AH7349" s="391"/>
      <c r="AI7349" s="397"/>
      <c r="AJ7349" s="397"/>
      <c r="AU7349" s="397"/>
      <c r="AV7349" s="397"/>
      <c r="AW7349" s="397"/>
      <c r="AX7349" s="397"/>
      <c r="BI7349" s="397"/>
      <c r="BJ7349" s="397"/>
      <c r="BK7349" s="397"/>
      <c r="BL7349" s="397"/>
      <c r="BM7349" s="397"/>
      <c r="BN7349" s="397"/>
      <c r="BO7349" s="397"/>
      <c r="BP7349" s="397"/>
      <c r="BQ7349" s="397"/>
      <c r="BR7349" s="397"/>
      <c r="BS7349" s="397"/>
      <c r="BT7349" s="397"/>
      <c r="BU7349" s="397"/>
      <c r="BV7349" s="397"/>
      <c r="BW7349" s="397"/>
      <c r="BX7349" s="397"/>
      <c r="BY7349" s="397"/>
      <c r="BZ7349" s="397"/>
      <c r="CA7349" s="392" t="s">
        <v>413</v>
      </c>
    </row>
    <row r="7350" spans="1:80" s="392" customFormat="1" ht="15" x14ac:dyDescent="0.25">
      <c r="A7350" s="385"/>
      <c r="D7350" s="700"/>
      <c r="E7350" s="397"/>
      <c r="H7350" s="401">
        <v>3</v>
      </c>
      <c r="I7350" s="401"/>
      <c r="J7350" s="401"/>
      <c r="K7350" s="401"/>
      <c r="L7350" s="675"/>
      <c r="M7350" s="672">
        <v>28690</v>
      </c>
      <c r="N7350" s="623">
        <v>0.17937092660810428</v>
      </c>
      <c r="O7350" s="624">
        <v>1.0226666666666667E-3</v>
      </c>
      <c r="P7350" s="397"/>
      <c r="Q7350" s="397"/>
      <c r="R7350" s="397"/>
      <c r="S7350" s="397"/>
      <c r="T7350" s="397"/>
      <c r="U7350" s="397"/>
      <c r="V7350" s="397"/>
      <c r="W7350" s="397"/>
      <c r="X7350" s="397"/>
      <c r="Y7350" s="397"/>
      <c r="Z7350" s="397"/>
      <c r="AD7350" s="388">
        <v>3.5966400000000003</v>
      </c>
      <c r="AE7350" s="388">
        <v>0.17983199999999999</v>
      </c>
      <c r="AF7350" s="388">
        <v>0.64679096448000006</v>
      </c>
      <c r="AG7350" s="388">
        <v>0.21945600000000001</v>
      </c>
      <c r="AH7350" s="391"/>
      <c r="AI7350" s="397"/>
      <c r="AJ7350" s="397"/>
      <c r="AU7350" s="397"/>
      <c r="AV7350" s="397"/>
      <c r="AW7350" s="397"/>
      <c r="AX7350" s="397"/>
      <c r="BI7350" s="397"/>
      <c r="BJ7350" s="397"/>
      <c r="BK7350" s="397"/>
      <c r="BL7350" s="397"/>
      <c r="BM7350" s="397"/>
      <c r="BN7350" s="397"/>
      <c r="BO7350" s="397"/>
      <c r="BP7350" s="397"/>
      <c r="BQ7350" s="397"/>
      <c r="BR7350" s="397"/>
      <c r="BS7350" s="397"/>
      <c r="BT7350" s="397"/>
      <c r="BU7350" s="397"/>
      <c r="BV7350" s="397"/>
      <c r="BW7350" s="397"/>
      <c r="BX7350" s="397"/>
      <c r="BY7350" s="397"/>
      <c r="BZ7350" s="397"/>
      <c r="CA7350" s="392" t="s">
        <v>413</v>
      </c>
    </row>
    <row r="7351" spans="1:80" s="392" customFormat="1" ht="15" x14ac:dyDescent="0.25">
      <c r="A7351" s="385"/>
      <c r="D7351" s="700"/>
      <c r="E7351" s="397"/>
      <c r="H7351" s="401">
        <v>3</v>
      </c>
      <c r="I7351" s="401"/>
      <c r="J7351" s="401"/>
      <c r="K7351" s="401"/>
      <c r="L7351" s="675"/>
      <c r="M7351" s="672">
        <v>28696</v>
      </c>
      <c r="N7351" s="623">
        <v>0.14451686030036837</v>
      </c>
      <c r="O7351" s="624">
        <v>7.5333333333333339E-4</v>
      </c>
      <c r="P7351" s="397"/>
      <c r="Q7351" s="397"/>
      <c r="R7351" s="397"/>
      <c r="S7351" s="397"/>
      <c r="T7351" s="397"/>
      <c r="U7351" s="397"/>
      <c r="V7351" s="397"/>
      <c r="W7351" s="397"/>
      <c r="X7351" s="397"/>
      <c r="Y7351" s="397"/>
      <c r="Z7351" s="397"/>
      <c r="AD7351" s="388">
        <v>3.4442400000000002</v>
      </c>
      <c r="AE7351" s="388">
        <v>0.17983199999999999</v>
      </c>
      <c r="AF7351" s="388">
        <v>0.61938456768000005</v>
      </c>
      <c r="AG7351" s="388">
        <v>0.20421600000000001</v>
      </c>
      <c r="AH7351" s="391"/>
      <c r="AI7351" s="397"/>
      <c r="AJ7351" s="397"/>
      <c r="AU7351" s="397"/>
      <c r="AV7351" s="397"/>
      <c r="AW7351" s="397"/>
      <c r="AX7351" s="397"/>
      <c r="BI7351" s="397"/>
      <c r="BJ7351" s="397"/>
      <c r="BK7351" s="397"/>
      <c r="BL7351" s="397"/>
      <c r="BM7351" s="397"/>
      <c r="BN7351" s="397"/>
      <c r="BO7351" s="397"/>
      <c r="BP7351" s="397"/>
      <c r="BQ7351" s="397"/>
      <c r="BR7351" s="397"/>
      <c r="BS7351" s="397"/>
      <c r="BT7351" s="397"/>
      <c r="BU7351" s="397"/>
      <c r="BV7351" s="397"/>
      <c r="BW7351" s="397"/>
      <c r="BX7351" s="397"/>
      <c r="BY7351" s="397"/>
      <c r="BZ7351" s="397"/>
      <c r="CA7351" s="392" t="s">
        <v>413</v>
      </c>
    </row>
    <row r="7352" spans="1:80" s="392" customFormat="1" ht="15" x14ac:dyDescent="0.25">
      <c r="A7352" s="385"/>
      <c r="D7352" s="700"/>
      <c r="E7352" s="397"/>
      <c r="H7352" s="401">
        <v>3</v>
      </c>
      <c r="I7352" s="401"/>
      <c r="J7352" s="401"/>
      <c r="K7352" s="401"/>
      <c r="L7352" s="675"/>
      <c r="M7352" s="672">
        <v>28698</v>
      </c>
      <c r="N7352" s="623">
        <v>9.3794275998866541E-2</v>
      </c>
      <c r="O7352" s="624">
        <v>1.6099999999999999E-3</v>
      </c>
      <c r="P7352" s="397"/>
      <c r="Q7352" s="397"/>
      <c r="R7352" s="397"/>
      <c r="S7352" s="397"/>
      <c r="T7352" s="397"/>
      <c r="U7352" s="397"/>
      <c r="V7352" s="397"/>
      <c r="W7352" s="397"/>
      <c r="X7352" s="397"/>
      <c r="Y7352" s="397"/>
      <c r="Z7352" s="397"/>
      <c r="AD7352" s="388">
        <v>3.2004000000000001</v>
      </c>
      <c r="AE7352" s="388">
        <v>0.16459200000000002</v>
      </c>
      <c r="AF7352" s="388">
        <v>0.52676023680000006</v>
      </c>
      <c r="AG7352" s="388">
        <v>0.140208</v>
      </c>
      <c r="AH7352" s="391"/>
      <c r="AI7352" s="397"/>
      <c r="AJ7352" s="397"/>
      <c r="AU7352" s="397"/>
      <c r="AV7352" s="397"/>
      <c r="AW7352" s="397"/>
      <c r="AX7352" s="397"/>
      <c r="BI7352" s="397"/>
      <c r="BJ7352" s="397"/>
      <c r="BK7352" s="397"/>
      <c r="BL7352" s="397"/>
      <c r="BM7352" s="397"/>
      <c r="BN7352" s="397"/>
      <c r="BO7352" s="397"/>
      <c r="BP7352" s="397"/>
      <c r="BQ7352" s="397"/>
      <c r="BR7352" s="397"/>
      <c r="BS7352" s="397"/>
      <c r="BT7352" s="397"/>
      <c r="BU7352" s="397"/>
      <c r="BV7352" s="397"/>
      <c r="BW7352" s="397"/>
      <c r="BX7352" s="397"/>
      <c r="BY7352" s="397"/>
      <c r="BZ7352" s="397"/>
      <c r="CA7352" s="392" t="s">
        <v>413</v>
      </c>
    </row>
    <row r="7353" spans="1:80" s="392" customFormat="1" ht="15" x14ac:dyDescent="0.25">
      <c r="A7353" s="385"/>
      <c r="D7353" s="700"/>
      <c r="E7353" s="397"/>
      <c r="H7353" s="401">
        <v>3</v>
      </c>
      <c r="I7353" s="401"/>
      <c r="J7353" s="401"/>
      <c r="K7353" s="401"/>
      <c r="L7353" s="675"/>
      <c r="M7353" s="672">
        <v>28703</v>
      </c>
      <c r="N7353" s="623">
        <v>6.6024369509776137E-2</v>
      </c>
      <c r="O7353" s="624">
        <v>6.3600000000000006E-4</v>
      </c>
      <c r="P7353" s="397"/>
      <c r="Q7353" s="397"/>
      <c r="R7353" s="397"/>
      <c r="S7353" s="397"/>
      <c r="T7353" s="397"/>
      <c r="U7353" s="397"/>
      <c r="V7353" s="397"/>
      <c r="W7353" s="397"/>
      <c r="X7353" s="397"/>
      <c r="Y7353" s="397"/>
      <c r="Z7353" s="397"/>
      <c r="AD7353" s="388">
        <v>3.23088</v>
      </c>
      <c r="AE7353" s="388">
        <v>0.173736</v>
      </c>
      <c r="AF7353" s="388">
        <v>0.56132016768000004</v>
      </c>
      <c r="AG7353" s="388">
        <v>9.1440000000000007E-2</v>
      </c>
      <c r="AH7353" s="391"/>
      <c r="AI7353" s="397"/>
      <c r="AJ7353" s="397"/>
      <c r="AU7353" s="397"/>
      <c r="AV7353" s="397"/>
      <c r="AW7353" s="397"/>
      <c r="AX7353" s="397"/>
      <c r="BI7353" s="397"/>
      <c r="BJ7353" s="397"/>
      <c r="BK7353" s="397"/>
      <c r="BL7353" s="397"/>
      <c r="BM7353" s="397"/>
      <c r="BN7353" s="397"/>
      <c r="BO7353" s="397"/>
      <c r="BP7353" s="397"/>
      <c r="BQ7353" s="397"/>
      <c r="BR7353" s="397"/>
      <c r="BS7353" s="397"/>
      <c r="BT7353" s="397"/>
      <c r="BU7353" s="397"/>
      <c r="BV7353" s="397"/>
      <c r="BW7353" s="397"/>
      <c r="BX7353" s="397"/>
      <c r="BY7353" s="397"/>
      <c r="BZ7353" s="397"/>
      <c r="CA7353" s="392" t="s">
        <v>413</v>
      </c>
    </row>
    <row r="7354" spans="1:80" s="392" customFormat="1" ht="15" x14ac:dyDescent="0.25">
      <c r="A7354" s="385"/>
      <c r="D7354" s="700"/>
      <c r="E7354" s="397"/>
      <c r="H7354" s="401">
        <v>3</v>
      </c>
      <c r="I7354" s="401"/>
      <c r="J7354" s="401"/>
      <c r="K7354" s="401"/>
      <c r="L7354" s="675"/>
      <c r="M7354" s="672">
        <v>28710</v>
      </c>
      <c r="N7354" s="623">
        <v>5.1005950694247668E-2</v>
      </c>
      <c r="O7354" s="624">
        <v>6.4800000000000014E-4</v>
      </c>
      <c r="P7354" s="397"/>
      <c r="Q7354" s="397"/>
      <c r="R7354" s="397"/>
      <c r="S7354" s="397"/>
      <c r="T7354" s="397"/>
      <c r="U7354" s="397"/>
      <c r="V7354" s="397"/>
      <c r="W7354" s="397"/>
      <c r="X7354" s="397"/>
      <c r="Y7354" s="397"/>
      <c r="Z7354" s="397"/>
      <c r="AD7354" s="388">
        <v>3.2918400000000005</v>
      </c>
      <c r="AE7354" s="388">
        <v>0.14935200000000001</v>
      </c>
      <c r="AF7354" s="388">
        <v>0.49164288768000014</v>
      </c>
      <c r="AG7354" s="388">
        <v>8.5344000000000017E-2</v>
      </c>
      <c r="AH7354" s="391"/>
      <c r="AI7354" s="397"/>
      <c r="AJ7354" s="397"/>
      <c r="AU7354" s="397"/>
      <c r="AV7354" s="397"/>
      <c r="AW7354" s="397"/>
      <c r="AX7354" s="397"/>
      <c r="BI7354" s="397"/>
      <c r="BJ7354" s="397"/>
      <c r="BK7354" s="397"/>
      <c r="BL7354" s="397"/>
      <c r="BM7354" s="397"/>
      <c r="BN7354" s="397"/>
      <c r="BO7354" s="397"/>
      <c r="BP7354" s="397"/>
      <c r="BQ7354" s="397"/>
      <c r="BR7354" s="397"/>
      <c r="BS7354" s="397"/>
      <c r="BT7354" s="397"/>
      <c r="BU7354" s="397"/>
      <c r="BV7354" s="397"/>
      <c r="BW7354" s="397"/>
      <c r="BX7354" s="397"/>
      <c r="BY7354" s="397"/>
      <c r="BZ7354" s="397"/>
      <c r="CA7354" s="392" t="s">
        <v>413</v>
      </c>
    </row>
    <row r="7355" spans="1:80" s="392" customFormat="1" ht="15" x14ac:dyDescent="0.25">
      <c r="A7355" s="385"/>
      <c r="D7355" s="700"/>
      <c r="E7355" s="397"/>
      <c r="H7355" s="401">
        <v>3</v>
      </c>
      <c r="I7355" s="401"/>
      <c r="J7355" s="401"/>
      <c r="K7355" s="401"/>
      <c r="L7355" s="675"/>
      <c r="M7355" s="672">
        <v>28712</v>
      </c>
      <c r="N7355" s="623">
        <v>5.7523377727401528E-2</v>
      </c>
      <c r="O7355" s="624">
        <v>4.1600000000000003E-4</v>
      </c>
      <c r="P7355" s="397"/>
      <c r="Q7355" s="397"/>
      <c r="R7355" s="397"/>
      <c r="S7355" s="397"/>
      <c r="T7355" s="397"/>
      <c r="U7355" s="397"/>
      <c r="V7355" s="397"/>
      <c r="W7355" s="397"/>
      <c r="X7355" s="397"/>
      <c r="Y7355" s="397"/>
      <c r="Z7355" s="397"/>
      <c r="AD7355" s="388">
        <v>3.1699200000000003</v>
      </c>
      <c r="AE7355" s="388">
        <v>0.155448</v>
      </c>
      <c r="AF7355" s="388">
        <v>0.49275772416000008</v>
      </c>
      <c r="AG7355" s="388">
        <v>9.1440000000000007E-2</v>
      </c>
      <c r="AH7355" s="391"/>
      <c r="AI7355" s="397"/>
      <c r="AJ7355" s="397"/>
      <c r="AU7355" s="397"/>
      <c r="AV7355" s="397"/>
      <c r="AW7355" s="397"/>
      <c r="AX7355" s="397"/>
      <c r="BI7355" s="397"/>
      <c r="BJ7355" s="397"/>
      <c r="BK7355" s="397"/>
      <c r="BL7355" s="397"/>
      <c r="BM7355" s="397"/>
      <c r="BN7355" s="397"/>
      <c r="BO7355" s="397"/>
      <c r="BP7355" s="397"/>
      <c r="BQ7355" s="397"/>
      <c r="BR7355" s="397"/>
      <c r="BS7355" s="397"/>
      <c r="BT7355" s="397"/>
      <c r="BU7355" s="397"/>
      <c r="BV7355" s="397"/>
      <c r="BW7355" s="397"/>
      <c r="BX7355" s="397"/>
      <c r="BY7355" s="397"/>
      <c r="BZ7355" s="397"/>
      <c r="CA7355" s="392" t="s">
        <v>413</v>
      </c>
    </row>
    <row r="7356" spans="1:80" s="392" customFormat="1" ht="15" x14ac:dyDescent="0.25">
      <c r="A7356" s="385"/>
      <c r="D7356" s="700"/>
      <c r="E7356" s="397"/>
      <c r="H7356" s="401">
        <v>3</v>
      </c>
      <c r="I7356" s="401"/>
      <c r="J7356" s="401"/>
      <c r="K7356" s="401"/>
      <c r="L7356" s="675"/>
      <c r="M7356" s="672">
        <v>28718</v>
      </c>
      <c r="N7356" s="623">
        <v>6.772456786625107E-2</v>
      </c>
      <c r="O7356" s="624" t="s">
        <v>71</v>
      </c>
      <c r="P7356" s="397"/>
      <c r="Q7356" s="397"/>
      <c r="R7356" s="397"/>
      <c r="S7356" s="397"/>
      <c r="T7356" s="397"/>
      <c r="U7356" s="397"/>
      <c r="V7356" s="397"/>
      <c r="W7356" s="397"/>
      <c r="X7356" s="397"/>
      <c r="Y7356" s="397"/>
      <c r="Z7356" s="397"/>
      <c r="AD7356" s="388">
        <v>0</v>
      </c>
      <c r="AE7356" s="388">
        <v>0.155448</v>
      </c>
      <c r="AF7356" s="388">
        <v>0</v>
      </c>
      <c r="AG7356" s="388">
        <v>0.10363200000000002</v>
      </c>
      <c r="AH7356" s="391"/>
      <c r="AI7356" s="397"/>
      <c r="AJ7356" s="397"/>
      <c r="AU7356" s="397"/>
      <c r="AV7356" s="397"/>
      <c r="AW7356" s="397"/>
      <c r="AX7356" s="397"/>
      <c r="BI7356" s="397"/>
      <c r="BJ7356" s="397"/>
      <c r="BK7356" s="397"/>
      <c r="BL7356" s="397"/>
      <c r="BM7356" s="397"/>
      <c r="BN7356" s="397"/>
      <c r="BO7356" s="397"/>
      <c r="BP7356" s="397"/>
      <c r="BQ7356" s="397"/>
      <c r="BR7356" s="397"/>
      <c r="BS7356" s="397"/>
      <c r="BT7356" s="397"/>
      <c r="BU7356" s="397"/>
      <c r="BV7356" s="397"/>
      <c r="BW7356" s="397"/>
      <c r="BX7356" s="397"/>
      <c r="BY7356" s="397"/>
      <c r="BZ7356" s="397"/>
      <c r="CA7356" s="392" t="s">
        <v>413</v>
      </c>
    </row>
    <row r="7357" spans="1:80" s="392" customFormat="1" ht="15" x14ac:dyDescent="0.25">
      <c r="A7357" s="385"/>
      <c r="D7357" s="700"/>
      <c r="E7357" s="397"/>
      <c r="H7357" s="401">
        <v>3</v>
      </c>
      <c r="I7357" s="401"/>
      <c r="J7357" s="401"/>
      <c r="K7357" s="401"/>
      <c r="L7357" s="675"/>
      <c r="M7357" s="672">
        <v>28726</v>
      </c>
      <c r="N7357" s="623">
        <v>4.2504958911873052E-2</v>
      </c>
      <c r="O7357" s="624" t="s">
        <v>71</v>
      </c>
      <c r="P7357" s="397"/>
      <c r="Q7357" s="397"/>
      <c r="R7357" s="397"/>
      <c r="S7357" s="397"/>
      <c r="T7357" s="397"/>
      <c r="U7357" s="397"/>
      <c r="V7357" s="397"/>
      <c r="W7357" s="397"/>
      <c r="X7357" s="397"/>
      <c r="Y7357" s="397"/>
      <c r="Z7357" s="397"/>
      <c r="AD7357" s="388">
        <v>3.23088</v>
      </c>
      <c r="AE7357" s="388">
        <v>0.14630399999999999</v>
      </c>
      <c r="AF7357" s="388">
        <v>0.47269066751999994</v>
      </c>
      <c r="AG7357" s="388">
        <v>7.3151999999999995E-2</v>
      </c>
      <c r="AH7357" s="391"/>
      <c r="AI7357" s="397"/>
      <c r="AJ7357" s="397"/>
      <c r="AU7357" s="397"/>
      <c r="AV7357" s="397"/>
      <c r="AW7357" s="397"/>
      <c r="AX7357" s="397"/>
      <c r="BI7357" s="397"/>
      <c r="BJ7357" s="397"/>
      <c r="BK7357" s="397"/>
      <c r="BL7357" s="397"/>
      <c r="BM7357" s="397"/>
      <c r="BN7357" s="397"/>
      <c r="BO7357" s="397"/>
      <c r="BP7357" s="397"/>
      <c r="BQ7357" s="397"/>
      <c r="BR7357" s="397"/>
      <c r="BS7357" s="397"/>
      <c r="BT7357" s="397"/>
      <c r="BU7357" s="397"/>
      <c r="BV7357" s="397"/>
      <c r="BW7357" s="397"/>
      <c r="BX7357" s="397"/>
      <c r="BY7357" s="397"/>
      <c r="BZ7357" s="397"/>
      <c r="CA7357" s="392" t="s">
        <v>413</v>
      </c>
    </row>
    <row r="7358" spans="1:80" s="392" customFormat="1" ht="15" x14ac:dyDescent="0.25">
      <c r="A7358" s="385"/>
      <c r="D7358" s="700"/>
      <c r="E7358" s="397"/>
      <c r="H7358" s="401">
        <v>3</v>
      </c>
      <c r="I7358" s="401"/>
      <c r="J7358" s="401"/>
      <c r="K7358" s="401"/>
      <c r="L7358" s="675"/>
      <c r="M7358" s="672">
        <v>28733</v>
      </c>
      <c r="N7358" s="623">
        <v>3.5704165485973362E-2</v>
      </c>
      <c r="O7358" s="624" t="s">
        <v>71</v>
      </c>
      <c r="P7358" s="397"/>
      <c r="Q7358" s="397"/>
      <c r="R7358" s="397"/>
      <c r="S7358" s="397"/>
      <c r="T7358" s="397"/>
      <c r="U7358" s="397"/>
      <c r="V7358" s="397"/>
      <c r="W7358" s="397"/>
      <c r="X7358" s="397"/>
      <c r="Y7358" s="397"/>
      <c r="Z7358" s="397"/>
      <c r="AD7358" s="388">
        <v>0</v>
      </c>
      <c r="AE7358" s="388">
        <v>0.14325599999999999</v>
      </c>
      <c r="AF7358" s="388">
        <v>0</v>
      </c>
      <c r="AG7358" s="388">
        <v>6.4007999999999995E-2</v>
      </c>
      <c r="AH7358" s="391"/>
      <c r="AI7358" s="397"/>
      <c r="AJ7358" s="397"/>
      <c r="AU7358" s="397"/>
      <c r="AV7358" s="397"/>
      <c r="AW7358" s="397"/>
      <c r="AX7358" s="397"/>
      <c r="BI7358" s="397"/>
      <c r="BJ7358" s="397"/>
      <c r="BK7358" s="397"/>
      <c r="BL7358" s="397"/>
      <c r="BM7358" s="397"/>
      <c r="BN7358" s="397"/>
      <c r="BO7358" s="397"/>
      <c r="BP7358" s="397"/>
      <c r="BQ7358" s="397"/>
      <c r="BR7358" s="397"/>
      <c r="BS7358" s="397"/>
      <c r="BT7358" s="397"/>
      <c r="BU7358" s="397"/>
      <c r="BV7358" s="397"/>
      <c r="BW7358" s="397"/>
      <c r="BX7358" s="397"/>
      <c r="BY7358" s="397"/>
      <c r="BZ7358" s="397"/>
      <c r="CA7358" s="392" t="s">
        <v>413</v>
      </c>
    </row>
    <row r="7359" spans="1:80" s="392" customFormat="1" ht="15" x14ac:dyDescent="0.25">
      <c r="A7359" s="385"/>
      <c r="D7359" s="700"/>
      <c r="E7359" s="397"/>
      <c r="H7359" s="401">
        <v>3</v>
      </c>
      <c r="I7359" s="401"/>
      <c r="J7359" s="401"/>
      <c r="K7359" s="401"/>
      <c r="L7359" s="675"/>
      <c r="M7359" s="672">
        <v>28747</v>
      </c>
      <c r="N7359" s="623">
        <v>2.5219608954378012E-2</v>
      </c>
      <c r="O7359" s="624" t="s">
        <v>71</v>
      </c>
      <c r="P7359" s="397"/>
      <c r="Q7359" s="397"/>
      <c r="R7359" s="397"/>
      <c r="S7359" s="397"/>
      <c r="T7359" s="397"/>
      <c r="U7359" s="397"/>
      <c r="V7359" s="397"/>
      <c r="W7359" s="397"/>
      <c r="X7359" s="397"/>
      <c r="Y7359" s="397"/>
      <c r="Z7359" s="397"/>
      <c r="AD7359" s="388">
        <v>0</v>
      </c>
      <c r="AE7359" s="388">
        <v>0.15240000000000001</v>
      </c>
      <c r="AF7359" s="388">
        <v>0</v>
      </c>
      <c r="AG7359" s="388">
        <v>4.8768000000000006E-2</v>
      </c>
      <c r="AH7359" s="391"/>
      <c r="AI7359" s="397"/>
      <c r="AJ7359" s="397"/>
      <c r="AU7359" s="397"/>
      <c r="AV7359" s="397"/>
      <c r="AW7359" s="397"/>
      <c r="AX7359" s="397"/>
      <c r="BI7359" s="397"/>
      <c r="BJ7359" s="397"/>
      <c r="BK7359" s="397"/>
      <c r="BL7359" s="397"/>
      <c r="BM7359" s="397"/>
      <c r="BN7359" s="397"/>
      <c r="BO7359" s="397"/>
      <c r="BP7359" s="397"/>
      <c r="BQ7359" s="397"/>
      <c r="BR7359" s="397"/>
      <c r="BS7359" s="397"/>
      <c r="BT7359" s="397"/>
      <c r="BU7359" s="397"/>
      <c r="BV7359" s="397"/>
      <c r="BW7359" s="397"/>
      <c r="BX7359" s="397"/>
      <c r="BY7359" s="397"/>
      <c r="BZ7359" s="397"/>
      <c r="CA7359" s="392" t="s">
        <v>413</v>
      </c>
    </row>
    <row r="7360" spans="1:80" s="392" customFormat="1" ht="15" x14ac:dyDescent="0.25">
      <c r="A7360" s="385"/>
      <c r="D7360" s="700"/>
      <c r="E7360" s="397"/>
      <c r="H7360" s="401">
        <v>3</v>
      </c>
      <c r="I7360" s="401"/>
      <c r="J7360" s="401"/>
      <c r="K7360" s="401"/>
      <c r="L7360" s="675"/>
      <c r="M7360" s="672">
        <v>28998</v>
      </c>
      <c r="N7360" s="623">
        <v>2.8903372060073678</v>
      </c>
      <c r="O7360" s="624">
        <v>8.7507733333333351E-2</v>
      </c>
      <c r="P7360" s="397"/>
      <c r="Q7360" s="397"/>
      <c r="R7360" s="397"/>
      <c r="S7360" s="397"/>
      <c r="T7360" s="397"/>
      <c r="U7360" s="397"/>
      <c r="V7360" s="397"/>
      <c r="W7360" s="397"/>
      <c r="X7360" s="397"/>
      <c r="Y7360" s="397"/>
      <c r="Z7360" s="397"/>
      <c r="AD7360" s="388">
        <v>5.7302400000000002</v>
      </c>
      <c r="AE7360" s="388">
        <v>0</v>
      </c>
      <c r="AF7360" s="388">
        <v>0</v>
      </c>
      <c r="AG7360" s="388">
        <v>0</v>
      </c>
      <c r="AH7360" s="391"/>
      <c r="AI7360" s="397"/>
      <c r="AJ7360" s="397"/>
      <c r="AU7360" s="397"/>
      <c r="AV7360" s="397"/>
      <c r="AW7360" s="397"/>
      <c r="AX7360" s="397"/>
      <c r="BI7360" s="397"/>
      <c r="BJ7360" s="397"/>
      <c r="BK7360" s="397"/>
      <c r="BL7360" s="397"/>
      <c r="BM7360" s="397"/>
      <c r="BN7360" s="397"/>
      <c r="BO7360" s="397"/>
      <c r="BP7360" s="397"/>
      <c r="BQ7360" s="397"/>
      <c r="BR7360" s="397"/>
      <c r="BS7360" s="397"/>
      <c r="BT7360" s="397"/>
      <c r="BU7360" s="397"/>
      <c r="BV7360" s="397"/>
      <c r="BW7360" s="397"/>
      <c r="BX7360" s="397"/>
      <c r="BY7360" s="397"/>
      <c r="BZ7360" s="397"/>
      <c r="CA7360" s="392" t="s">
        <v>413</v>
      </c>
    </row>
    <row r="7361" spans="1:80" s="392" customFormat="1" ht="15" x14ac:dyDescent="0.25">
      <c r="A7361" s="385"/>
      <c r="D7361" s="700"/>
      <c r="E7361" s="397"/>
      <c r="H7361" s="401">
        <v>3</v>
      </c>
      <c r="I7361" s="401"/>
      <c r="J7361" s="401"/>
      <c r="K7361" s="401"/>
      <c r="L7361" s="675"/>
      <c r="M7361" s="672">
        <v>29005</v>
      </c>
      <c r="N7361" s="623">
        <v>2.9611788041938225</v>
      </c>
      <c r="O7361" s="624" t="s">
        <v>71</v>
      </c>
      <c r="P7361" s="397"/>
      <c r="Q7361" s="397"/>
      <c r="R7361" s="397"/>
      <c r="S7361" s="397"/>
      <c r="T7361" s="397"/>
      <c r="U7361" s="397"/>
      <c r="V7361" s="397"/>
      <c r="W7361" s="397"/>
      <c r="X7361" s="397"/>
      <c r="Y7361" s="397"/>
      <c r="Z7361" s="397"/>
      <c r="AD7361" s="388">
        <v>6.1874400000000005</v>
      </c>
      <c r="AE7361" s="388">
        <v>0.39928800000000003</v>
      </c>
      <c r="AF7361" s="388">
        <v>2.4705705427200004</v>
      </c>
      <c r="AG7361" s="388">
        <v>1.200912</v>
      </c>
      <c r="AH7361" s="391"/>
      <c r="AI7361" s="397"/>
      <c r="AJ7361" s="397"/>
      <c r="AU7361" s="397"/>
      <c r="AV7361" s="397"/>
      <c r="AW7361" s="397"/>
      <c r="AX7361" s="397"/>
      <c r="BI7361" s="397"/>
      <c r="BJ7361" s="397"/>
      <c r="BK7361" s="397"/>
      <c r="BL7361" s="397"/>
      <c r="BM7361" s="397"/>
      <c r="BN7361" s="397"/>
      <c r="BO7361" s="397"/>
      <c r="BP7361" s="397"/>
      <c r="BQ7361" s="397"/>
      <c r="BR7361" s="397"/>
      <c r="BS7361" s="397"/>
      <c r="BT7361" s="397"/>
      <c r="BU7361" s="397"/>
      <c r="BV7361" s="397"/>
      <c r="BW7361" s="397"/>
      <c r="BX7361" s="397"/>
      <c r="BY7361" s="397"/>
      <c r="BZ7361" s="397"/>
      <c r="CA7361" s="392" t="s">
        <v>413</v>
      </c>
    </row>
    <row r="7362" spans="1:80" s="392" customFormat="1" ht="15" x14ac:dyDescent="0.25">
      <c r="A7362" s="385"/>
      <c r="D7362" s="700"/>
      <c r="E7362" s="397"/>
      <c r="H7362" s="401">
        <v>3</v>
      </c>
      <c r="I7362" s="401"/>
      <c r="J7362" s="401"/>
      <c r="K7362" s="401"/>
      <c r="L7362" s="675"/>
      <c r="M7362" s="672">
        <v>29026</v>
      </c>
      <c r="N7362" s="623">
        <v>1.8362142249929159</v>
      </c>
      <c r="O7362" s="624">
        <v>1.1401E-2</v>
      </c>
      <c r="P7362" s="397"/>
      <c r="Q7362" s="397"/>
      <c r="R7362" s="397"/>
      <c r="S7362" s="397"/>
      <c r="T7362" s="397"/>
      <c r="U7362" s="397"/>
      <c r="V7362" s="397"/>
      <c r="W7362" s="397"/>
      <c r="X7362" s="397"/>
      <c r="Y7362" s="397"/>
      <c r="Z7362" s="397"/>
      <c r="AD7362" s="388">
        <v>5.9436</v>
      </c>
      <c r="AE7362" s="388">
        <v>0.27432000000000001</v>
      </c>
      <c r="AF7362" s="388">
        <v>1.6304483520000002</v>
      </c>
      <c r="AG7362" s="388">
        <v>1.146048</v>
      </c>
      <c r="AH7362" s="391"/>
      <c r="AI7362" s="397"/>
      <c r="AJ7362" s="397"/>
      <c r="AU7362" s="397"/>
      <c r="AV7362" s="397"/>
      <c r="AW7362" s="397"/>
      <c r="AX7362" s="397"/>
      <c r="BI7362" s="397"/>
      <c r="BJ7362" s="397"/>
      <c r="BK7362" s="397"/>
      <c r="BL7362" s="397"/>
      <c r="BM7362" s="397"/>
      <c r="BN7362" s="397"/>
      <c r="BO7362" s="397"/>
      <c r="BP7362" s="397"/>
      <c r="BQ7362" s="397"/>
      <c r="BR7362" s="397"/>
      <c r="BS7362" s="397"/>
      <c r="BT7362" s="397"/>
      <c r="BU7362" s="397"/>
      <c r="BV7362" s="397"/>
      <c r="BW7362" s="397"/>
      <c r="BX7362" s="397"/>
      <c r="BY7362" s="397"/>
      <c r="BZ7362" s="397"/>
      <c r="CA7362" s="392" t="s">
        <v>413</v>
      </c>
    </row>
    <row r="7363" spans="1:80" s="392" customFormat="1" ht="15" x14ac:dyDescent="0.25">
      <c r="A7363" s="385"/>
      <c r="D7363" s="700"/>
      <c r="E7363" s="397"/>
      <c r="H7363" s="401">
        <v>3</v>
      </c>
      <c r="I7363" s="401"/>
      <c r="J7363" s="401"/>
      <c r="K7363" s="401"/>
      <c r="L7363" s="675"/>
      <c r="M7363" s="672">
        <v>29032</v>
      </c>
      <c r="N7363" s="623">
        <v>1.2128081609521111</v>
      </c>
      <c r="O7363" s="624">
        <v>2.1783266666666669E-2</v>
      </c>
      <c r="P7363" s="397"/>
      <c r="Q7363" s="397"/>
      <c r="R7363" s="397"/>
      <c r="S7363" s="397"/>
      <c r="T7363" s="397"/>
      <c r="U7363" s="397"/>
      <c r="V7363" s="397"/>
      <c r="W7363" s="397"/>
      <c r="X7363" s="397"/>
      <c r="Y7363" s="397"/>
      <c r="Z7363" s="397"/>
      <c r="AD7363" s="388">
        <v>5.8826400000000003</v>
      </c>
      <c r="AE7363" s="388">
        <v>0.210312</v>
      </c>
      <c r="AF7363" s="388">
        <v>1.2371897836800001</v>
      </c>
      <c r="AG7363" s="388">
        <v>0.98145600000000011</v>
      </c>
      <c r="AH7363" s="391"/>
      <c r="AI7363" s="397"/>
      <c r="AJ7363" s="397"/>
      <c r="AU7363" s="397"/>
      <c r="AV7363" s="397"/>
      <c r="AW7363" s="397"/>
      <c r="AX7363" s="397"/>
      <c r="BI7363" s="397"/>
      <c r="BJ7363" s="397"/>
      <c r="BK7363" s="397"/>
      <c r="BL7363" s="397"/>
      <c r="BM7363" s="397"/>
      <c r="BN7363" s="397"/>
      <c r="BO7363" s="397"/>
      <c r="BP7363" s="397"/>
      <c r="BQ7363" s="397"/>
      <c r="BR7363" s="397"/>
      <c r="BS7363" s="397"/>
      <c r="BT7363" s="397"/>
      <c r="BU7363" s="397"/>
      <c r="BV7363" s="397"/>
      <c r="BW7363" s="397"/>
      <c r="BX7363" s="397"/>
      <c r="BY7363" s="397"/>
      <c r="BZ7363" s="397"/>
      <c r="CA7363" s="392" t="s">
        <v>413</v>
      </c>
    </row>
    <row r="7364" spans="1:80" s="392" customFormat="1" ht="15" x14ac:dyDescent="0.25">
      <c r="A7364" s="385"/>
      <c r="D7364" s="700"/>
      <c r="E7364" s="397"/>
      <c r="H7364" s="401">
        <v>3</v>
      </c>
      <c r="I7364" s="401"/>
      <c r="J7364" s="401"/>
      <c r="K7364" s="401"/>
      <c r="L7364" s="675"/>
      <c r="M7364" s="672">
        <v>29039</v>
      </c>
      <c r="N7364" s="623">
        <v>0.63190705582317941</v>
      </c>
      <c r="O7364" s="624">
        <v>4.2335999999999997E-3</v>
      </c>
      <c r="P7364" s="397"/>
      <c r="Q7364" s="397"/>
      <c r="R7364" s="397"/>
      <c r="S7364" s="397"/>
      <c r="T7364" s="397"/>
      <c r="U7364" s="397"/>
      <c r="V7364" s="397"/>
      <c r="W7364" s="397"/>
      <c r="X7364" s="397"/>
      <c r="Y7364" s="397"/>
      <c r="Z7364" s="397"/>
      <c r="AD7364" s="388">
        <v>5.7607200000000001</v>
      </c>
      <c r="AE7364" s="388">
        <v>0.192024</v>
      </c>
      <c r="AF7364" s="388">
        <v>1.10619649728</v>
      </c>
      <c r="AG7364" s="388">
        <v>0.58826400000000001</v>
      </c>
      <c r="AH7364" s="391"/>
      <c r="AI7364" s="397"/>
      <c r="AJ7364" s="397"/>
      <c r="AU7364" s="397"/>
      <c r="AV7364" s="397"/>
      <c r="AW7364" s="397"/>
      <c r="AX7364" s="397"/>
      <c r="BI7364" s="397"/>
      <c r="BJ7364" s="397"/>
      <c r="BK7364" s="397"/>
      <c r="BL7364" s="397"/>
      <c r="BM7364" s="397"/>
      <c r="BN7364" s="397"/>
      <c r="BO7364" s="397"/>
      <c r="BP7364" s="397"/>
      <c r="BQ7364" s="397"/>
      <c r="BR7364" s="397"/>
      <c r="BS7364" s="397"/>
      <c r="BT7364" s="397"/>
      <c r="BU7364" s="397"/>
      <c r="BV7364" s="397"/>
      <c r="BW7364" s="397"/>
      <c r="BX7364" s="397"/>
      <c r="BY7364" s="397"/>
      <c r="BZ7364" s="397"/>
      <c r="CA7364" s="392" t="s">
        <v>413</v>
      </c>
    </row>
    <row r="7365" spans="1:80" s="392" customFormat="1" ht="15" x14ac:dyDescent="0.25">
      <c r="A7365" s="385"/>
      <c r="D7365" s="700"/>
      <c r="E7365" s="397"/>
      <c r="H7365" s="401">
        <v>3</v>
      </c>
      <c r="I7365" s="401"/>
      <c r="J7365" s="401"/>
      <c r="K7365" s="401"/>
      <c r="L7365" s="675"/>
      <c r="M7365" s="672">
        <v>29047</v>
      </c>
      <c r="N7365" s="623">
        <v>0.22669311419665628</v>
      </c>
      <c r="O7365" s="624">
        <v>1.1420666666666666E-2</v>
      </c>
      <c r="P7365" s="397"/>
      <c r="Q7365" s="397"/>
      <c r="R7365" s="397"/>
      <c r="S7365" s="397"/>
      <c r="T7365" s="397"/>
      <c r="U7365" s="397"/>
      <c r="V7365" s="397"/>
      <c r="W7365" s="397"/>
      <c r="X7365" s="397"/>
      <c r="Y7365" s="397"/>
      <c r="Z7365" s="397"/>
      <c r="AD7365" s="388">
        <v>5.6388000000000007</v>
      </c>
      <c r="AE7365" s="388"/>
      <c r="AF7365" s="388"/>
      <c r="AG7365" s="388"/>
      <c r="AH7365" s="391"/>
      <c r="AI7365" s="397"/>
      <c r="AJ7365" s="397"/>
      <c r="AU7365" s="397"/>
      <c r="AV7365" s="397"/>
      <c r="AW7365" s="397"/>
      <c r="AX7365" s="397"/>
      <c r="BI7365" s="397"/>
      <c r="BJ7365" s="397"/>
      <c r="BK7365" s="397"/>
      <c r="BL7365" s="397"/>
      <c r="BM7365" s="397"/>
      <c r="BN7365" s="397"/>
      <c r="BO7365" s="397"/>
      <c r="BP7365" s="397"/>
      <c r="BQ7365" s="397"/>
      <c r="BR7365" s="397"/>
      <c r="BS7365" s="397"/>
      <c r="BT7365" s="397"/>
      <c r="BU7365" s="397"/>
      <c r="BV7365" s="397"/>
      <c r="BW7365" s="397"/>
      <c r="BX7365" s="397"/>
      <c r="BY7365" s="397"/>
      <c r="BZ7365" s="397"/>
      <c r="CA7365" s="392" t="s">
        <v>413</v>
      </c>
    </row>
    <row r="7366" spans="1:80" s="392" customFormat="1" ht="15" x14ac:dyDescent="0.25">
      <c r="A7366" s="385"/>
      <c r="D7366" s="700"/>
      <c r="E7366" s="397"/>
      <c r="H7366" s="401">
        <v>3</v>
      </c>
      <c r="I7366" s="401"/>
      <c r="J7366" s="401"/>
      <c r="K7366" s="401"/>
      <c r="L7366" s="675"/>
      <c r="M7366" s="672">
        <v>29054</v>
      </c>
      <c r="N7366" s="623">
        <v>0.13601586851799377</v>
      </c>
      <c r="O7366" s="624">
        <v>7.6800000000000002E-4</v>
      </c>
      <c r="P7366" s="397"/>
      <c r="Q7366" s="397"/>
      <c r="R7366" s="397"/>
      <c r="S7366" s="397"/>
      <c r="T7366" s="397"/>
      <c r="U7366" s="397"/>
      <c r="V7366" s="397"/>
      <c r="W7366" s="397"/>
      <c r="X7366" s="397"/>
      <c r="Y7366" s="397"/>
      <c r="Z7366" s="397"/>
      <c r="AD7366" s="388">
        <v>5.4864000000000006</v>
      </c>
      <c r="AE7366" s="388"/>
      <c r="AF7366" s="388"/>
      <c r="AG7366" s="388"/>
      <c r="AH7366" s="391"/>
      <c r="AI7366" s="397"/>
      <c r="AJ7366" s="397"/>
      <c r="AU7366" s="397"/>
      <c r="AV7366" s="397"/>
      <c r="AW7366" s="397"/>
      <c r="AX7366" s="397"/>
      <c r="BI7366" s="397"/>
      <c r="BJ7366" s="397"/>
      <c r="BK7366" s="397"/>
      <c r="BL7366" s="397"/>
      <c r="BM7366" s="397"/>
      <c r="BN7366" s="397"/>
      <c r="BO7366" s="397"/>
      <c r="BP7366" s="397"/>
      <c r="BQ7366" s="397"/>
      <c r="BR7366" s="397"/>
      <c r="BS7366" s="397"/>
      <c r="BT7366" s="397"/>
      <c r="BU7366" s="397"/>
      <c r="BV7366" s="397"/>
      <c r="BW7366" s="397"/>
      <c r="BX7366" s="397"/>
      <c r="BY7366" s="397"/>
      <c r="BZ7366" s="397"/>
      <c r="CA7366" s="392" t="s">
        <v>413</v>
      </c>
    </row>
    <row r="7367" spans="1:80" s="392" customFormat="1" ht="15" x14ac:dyDescent="0.25">
      <c r="A7367" s="385"/>
      <c r="D7367" s="700"/>
      <c r="E7367" s="397"/>
      <c r="H7367" s="401">
        <v>3</v>
      </c>
      <c r="I7367" s="401"/>
      <c r="J7367" s="401"/>
      <c r="K7367" s="401"/>
      <c r="L7367" s="675"/>
      <c r="M7367" s="672">
        <v>29061</v>
      </c>
      <c r="N7367" s="623">
        <v>9.634457353357892E-2</v>
      </c>
      <c r="O7367" s="624">
        <v>4.071E-3</v>
      </c>
      <c r="P7367" s="397"/>
      <c r="Q7367" s="397"/>
      <c r="R7367" s="397"/>
      <c r="S7367" s="397"/>
      <c r="T7367" s="397"/>
      <c r="U7367" s="397"/>
      <c r="V7367" s="397"/>
      <c r="W7367" s="397"/>
      <c r="X7367" s="397"/>
      <c r="Y7367" s="397"/>
      <c r="Z7367" s="397"/>
      <c r="AD7367" s="388">
        <v>5.3949600000000002</v>
      </c>
      <c r="AE7367" s="388"/>
      <c r="AF7367" s="388"/>
      <c r="AG7367" s="388"/>
      <c r="AH7367" s="391"/>
      <c r="AI7367" s="397"/>
      <c r="AJ7367" s="397"/>
      <c r="AU7367" s="397"/>
      <c r="AV7367" s="397"/>
      <c r="AW7367" s="397"/>
      <c r="AX7367" s="397"/>
      <c r="BI7367" s="397"/>
      <c r="BJ7367" s="397"/>
      <c r="BK7367" s="397"/>
      <c r="BL7367" s="397"/>
      <c r="BM7367" s="397"/>
      <c r="BN7367" s="397"/>
      <c r="BO7367" s="397"/>
      <c r="BP7367" s="397"/>
      <c r="BQ7367" s="397"/>
      <c r="BR7367" s="397"/>
      <c r="BS7367" s="397"/>
      <c r="BT7367" s="397"/>
      <c r="BU7367" s="397"/>
      <c r="BV7367" s="397"/>
      <c r="BW7367" s="397"/>
      <c r="BX7367" s="397"/>
      <c r="BY7367" s="397"/>
      <c r="BZ7367" s="397"/>
      <c r="CA7367" s="392" t="s">
        <v>413</v>
      </c>
    </row>
    <row r="7368" spans="1:80" s="392" customFormat="1" ht="15" x14ac:dyDescent="0.25">
      <c r="A7368" s="385"/>
      <c r="D7368" s="700"/>
      <c r="E7368" s="397"/>
      <c r="H7368" s="401">
        <v>3</v>
      </c>
      <c r="I7368" s="401"/>
      <c r="J7368" s="401"/>
      <c r="K7368" s="401"/>
      <c r="L7368" s="675"/>
      <c r="M7368" s="672">
        <v>29069</v>
      </c>
      <c r="N7368" s="623">
        <v>7.6508926041371494E-2</v>
      </c>
      <c r="O7368" s="624" t="s">
        <v>71</v>
      </c>
      <c r="P7368" s="397"/>
      <c r="Q7368" s="397"/>
      <c r="R7368" s="397"/>
      <c r="S7368" s="397"/>
      <c r="T7368" s="397"/>
      <c r="U7368" s="397"/>
      <c r="V7368" s="397"/>
      <c r="W7368" s="397"/>
      <c r="X7368" s="397"/>
      <c r="Y7368" s="397"/>
      <c r="Z7368" s="397"/>
      <c r="AD7368" s="388">
        <v>5.3340000000000005</v>
      </c>
      <c r="AE7368" s="388"/>
      <c r="AF7368" s="388"/>
      <c r="AG7368" s="388"/>
      <c r="AH7368" s="391"/>
      <c r="AI7368" s="397"/>
      <c r="AJ7368" s="397"/>
      <c r="AU7368" s="397"/>
      <c r="AV7368" s="397"/>
      <c r="AW7368" s="397"/>
      <c r="AX7368" s="397"/>
      <c r="BI7368" s="397"/>
      <c r="BJ7368" s="397"/>
      <c r="BK7368" s="397"/>
      <c r="BL7368" s="397"/>
      <c r="BM7368" s="397"/>
      <c r="BN7368" s="397"/>
      <c r="BO7368" s="397"/>
      <c r="BP7368" s="397"/>
      <c r="BQ7368" s="397"/>
      <c r="BR7368" s="397"/>
      <c r="BS7368" s="397"/>
      <c r="BT7368" s="397"/>
      <c r="BU7368" s="397"/>
      <c r="BV7368" s="397"/>
      <c r="BW7368" s="397"/>
      <c r="BX7368" s="397"/>
      <c r="BY7368" s="397"/>
      <c r="BZ7368" s="397"/>
      <c r="CA7368" s="392" t="s">
        <v>413</v>
      </c>
    </row>
    <row r="7369" spans="1:80" s="392" customFormat="1" ht="15" x14ac:dyDescent="0.25">
      <c r="A7369" s="385"/>
      <c r="D7369" s="700"/>
      <c r="E7369" s="397"/>
      <c r="H7369" s="401">
        <v>3</v>
      </c>
      <c r="I7369" s="401"/>
      <c r="J7369" s="401"/>
      <c r="K7369" s="401"/>
      <c r="L7369" s="675"/>
      <c r="M7369" s="672">
        <v>29087</v>
      </c>
      <c r="N7369" s="623">
        <v>6.5174270331538678E-2</v>
      </c>
      <c r="O7369" s="624">
        <v>4.7833333333333327E-4</v>
      </c>
      <c r="P7369" s="397"/>
      <c r="Q7369" s="397"/>
      <c r="R7369" s="397"/>
      <c r="S7369" s="397"/>
      <c r="T7369" s="397"/>
      <c r="U7369" s="397"/>
      <c r="V7369" s="397"/>
      <c r="W7369" s="397"/>
      <c r="X7369" s="397"/>
      <c r="Y7369" s="397"/>
      <c r="Z7369" s="397"/>
      <c r="AD7369" s="388">
        <v>5.3340000000000005</v>
      </c>
      <c r="AE7369" s="388"/>
      <c r="AF7369" s="388"/>
      <c r="AG7369" s="388"/>
      <c r="AH7369" s="391"/>
      <c r="AI7369" s="397"/>
      <c r="AJ7369" s="397"/>
      <c r="AU7369" s="397"/>
      <c r="AV7369" s="397"/>
      <c r="AW7369" s="397"/>
      <c r="AX7369" s="397"/>
      <c r="BI7369" s="397"/>
      <c r="BJ7369" s="397"/>
      <c r="BK7369" s="397"/>
      <c r="BL7369" s="397"/>
      <c r="BM7369" s="397"/>
      <c r="BN7369" s="397"/>
      <c r="BO7369" s="397"/>
      <c r="BP7369" s="397"/>
      <c r="BQ7369" s="397"/>
      <c r="BR7369" s="397"/>
      <c r="BS7369" s="397"/>
      <c r="BT7369" s="397"/>
      <c r="BU7369" s="397"/>
      <c r="BV7369" s="397"/>
      <c r="BW7369" s="397"/>
      <c r="BX7369" s="397"/>
      <c r="BY7369" s="397"/>
      <c r="BZ7369" s="397"/>
      <c r="CA7369" s="392" t="s">
        <v>413</v>
      </c>
    </row>
    <row r="7370" spans="1:80" s="189" customFormat="1" ht="15" x14ac:dyDescent="0.25">
      <c r="A7370" s="381" t="s">
        <v>471</v>
      </c>
      <c r="B7370" s="641"/>
      <c r="C7370" s="639"/>
      <c r="D7370" s="4">
        <f>VLOOKUP(E7370,'Quality Code'!$D$4:$E$24,2,TRUE)*VLOOKUP(MROUND(F7370,10),'Quality Code'!$D$28:$E$69,2,TRUE)*VLOOKUP(COUNTA(CB7370:CB7380),'Quality Code'!$D$73:$E$93,2,TRUE)</f>
        <v>8.7499999999999994E-2</v>
      </c>
      <c r="E7370" s="14">
        <v>0.35</v>
      </c>
      <c r="F7370" s="2">
        <v>12</v>
      </c>
      <c r="G7370" s="12"/>
      <c r="H7370" s="2" t="s">
        <v>105</v>
      </c>
      <c r="I7370" s="2"/>
      <c r="J7370" s="2"/>
      <c r="K7370" s="2"/>
      <c r="L7370" s="639"/>
      <c r="M7370" s="640" t="s">
        <v>916</v>
      </c>
      <c r="N7370" s="578" t="s">
        <v>110</v>
      </c>
      <c r="O7370" s="578"/>
      <c r="P7370" s="26"/>
      <c r="Q7370" s="26"/>
      <c r="R7370" s="26"/>
      <c r="S7370" s="26"/>
      <c r="T7370" s="26"/>
      <c r="U7370" s="26"/>
      <c r="V7370" s="10"/>
      <c r="W7370" s="10"/>
      <c r="X7370" s="10"/>
      <c r="Y7370" s="10"/>
      <c r="Z7370" s="2"/>
      <c r="AA7370" s="26"/>
      <c r="AB7370" s="26"/>
      <c r="AC7370" s="377">
        <v>5.1999999999999998E-2</v>
      </c>
      <c r="AD7370" s="406"/>
      <c r="AE7370" s="26"/>
      <c r="AF7370" s="26"/>
      <c r="AG7370" s="26"/>
      <c r="AH7370" s="26"/>
      <c r="AI7370" s="4"/>
      <c r="AJ7370" s="4"/>
      <c r="AK7370" s="26"/>
      <c r="AL7370" s="26"/>
      <c r="AM7370" s="26"/>
      <c r="AN7370" s="26"/>
      <c r="AO7370" s="26"/>
      <c r="AP7370" s="26"/>
      <c r="AQ7370" s="26"/>
      <c r="AR7370" s="26"/>
      <c r="AS7370" s="26"/>
      <c r="AT7370" s="26"/>
      <c r="AU7370" s="4"/>
      <c r="AV7370" s="4"/>
      <c r="AW7370" s="4"/>
      <c r="AX7370" s="4"/>
      <c r="AY7370" s="2"/>
      <c r="AZ7370" s="2"/>
      <c r="BA7370" s="12"/>
      <c r="BB7370" s="12"/>
      <c r="BC7370" s="12"/>
      <c r="BD7370" s="12"/>
      <c r="BE7370" s="12"/>
      <c r="BF7370" s="12"/>
      <c r="BG7370" s="12"/>
      <c r="BH7370" s="12"/>
      <c r="BI7370" s="4"/>
      <c r="BJ7370" s="12"/>
      <c r="BK7370" s="2"/>
      <c r="BL7370" s="2"/>
      <c r="BM7370" s="4"/>
      <c r="BN7370" s="12"/>
      <c r="BO7370" s="12"/>
      <c r="BP7370" s="12"/>
      <c r="BQ7370" s="4"/>
      <c r="BR7370" s="4"/>
      <c r="BS7370" s="4"/>
      <c r="BT7370" s="2"/>
      <c r="BU7370" s="9"/>
      <c r="BV7370" s="381"/>
      <c r="BW7370" s="382"/>
      <c r="BX7370" s="383"/>
      <c r="BY7370" s="383"/>
      <c r="BZ7370" s="383"/>
      <c r="CA7370" s="384" t="s">
        <v>413</v>
      </c>
      <c r="CB7370" s="411"/>
    </row>
    <row r="7371" spans="1:80" s="392" customFormat="1" ht="15" x14ac:dyDescent="0.25">
      <c r="A7371" s="385"/>
      <c r="D7371" s="700"/>
      <c r="E7371" s="397"/>
      <c r="H7371" s="401">
        <v>3</v>
      </c>
      <c r="I7371" s="401"/>
      <c r="J7371" s="401"/>
      <c r="K7371" s="401"/>
      <c r="L7371" s="675"/>
      <c r="M7371" s="672">
        <v>28661</v>
      </c>
      <c r="N7371" s="623">
        <v>0.44970246528761687</v>
      </c>
      <c r="O7371" s="624">
        <v>7.3720000000000001E-3</v>
      </c>
      <c r="P7371" s="397"/>
      <c r="Q7371" s="397"/>
      <c r="R7371" s="397"/>
      <c r="S7371" s="397"/>
      <c r="T7371" s="397"/>
      <c r="U7371" s="397"/>
      <c r="V7371" s="397"/>
      <c r="W7371" s="397"/>
      <c r="X7371" s="397"/>
      <c r="Y7371" s="397"/>
      <c r="Z7371" s="397"/>
      <c r="AD7371" s="388">
        <v>1.7373600000000002</v>
      </c>
      <c r="AE7371" s="388">
        <v>0.31699200000000005</v>
      </c>
      <c r="AF7371" s="388">
        <v>0.55072922112000011</v>
      </c>
      <c r="AG7371" s="388">
        <v>0.83515200000000012</v>
      </c>
      <c r="AH7371" s="391"/>
      <c r="AI7371" s="397"/>
      <c r="AJ7371" s="397"/>
      <c r="AU7371" s="397"/>
      <c r="AV7371" s="397"/>
      <c r="AW7371" s="397"/>
      <c r="AX7371" s="397"/>
      <c r="BI7371" s="397"/>
      <c r="BJ7371" s="397"/>
      <c r="BK7371" s="397"/>
      <c r="BL7371" s="397"/>
      <c r="BM7371" s="397"/>
      <c r="BN7371" s="397"/>
      <c r="BO7371" s="397"/>
      <c r="BP7371" s="397"/>
      <c r="BQ7371" s="397"/>
      <c r="BR7371" s="397"/>
      <c r="BS7371" s="397"/>
      <c r="BT7371" s="397"/>
      <c r="BU7371" s="397"/>
      <c r="BV7371" s="397"/>
      <c r="BW7371" s="397"/>
      <c r="BX7371" s="397"/>
      <c r="BY7371" s="397"/>
      <c r="BZ7371" s="397"/>
      <c r="CA7371" s="392" t="s">
        <v>413</v>
      </c>
    </row>
    <row r="7372" spans="1:80" s="392" customFormat="1" ht="15" x14ac:dyDescent="0.25">
      <c r="A7372" s="385"/>
      <c r="D7372" s="700"/>
      <c r="E7372" s="397"/>
      <c r="H7372" s="401">
        <v>3</v>
      </c>
      <c r="I7372" s="401"/>
      <c r="J7372" s="401"/>
      <c r="K7372" s="401"/>
      <c r="L7372" s="675"/>
      <c r="M7372" s="672">
        <v>28668</v>
      </c>
      <c r="N7372" s="623">
        <v>0.25361292150750919</v>
      </c>
      <c r="O7372" s="624">
        <v>1.336533333333333E-2</v>
      </c>
      <c r="P7372" s="397"/>
      <c r="Q7372" s="397"/>
      <c r="R7372" s="397"/>
      <c r="S7372" s="397"/>
      <c r="T7372" s="397"/>
      <c r="U7372" s="397"/>
      <c r="V7372" s="397"/>
      <c r="W7372" s="397"/>
      <c r="X7372" s="397"/>
      <c r="Y7372" s="397"/>
      <c r="Z7372" s="397"/>
      <c r="AD7372" s="388">
        <v>1.70688</v>
      </c>
      <c r="AE7372" s="388">
        <v>0.24993599999999999</v>
      </c>
      <c r="AF7372" s="388">
        <v>0.42661075967999995</v>
      </c>
      <c r="AG7372" s="388">
        <v>0.57911999999999997</v>
      </c>
      <c r="AH7372" s="391"/>
      <c r="AI7372" s="397"/>
      <c r="AJ7372" s="397"/>
      <c r="AU7372" s="397"/>
      <c r="AV7372" s="397"/>
      <c r="AW7372" s="397"/>
      <c r="AX7372" s="397"/>
      <c r="BI7372" s="397"/>
      <c r="BJ7372" s="397"/>
      <c r="BK7372" s="397"/>
      <c r="BL7372" s="397"/>
      <c r="BM7372" s="397"/>
      <c r="BN7372" s="397"/>
      <c r="BO7372" s="397"/>
      <c r="BP7372" s="397"/>
      <c r="BQ7372" s="397"/>
      <c r="BR7372" s="397"/>
      <c r="BS7372" s="397"/>
      <c r="BT7372" s="397"/>
      <c r="BU7372" s="397"/>
      <c r="BV7372" s="397"/>
      <c r="BW7372" s="397"/>
      <c r="BX7372" s="397"/>
      <c r="BY7372" s="397"/>
      <c r="BZ7372" s="397"/>
      <c r="CA7372" s="392" t="s">
        <v>413</v>
      </c>
    </row>
    <row r="7373" spans="1:80" s="392" customFormat="1" ht="15" x14ac:dyDescent="0.25">
      <c r="A7373" s="385"/>
      <c r="D7373" s="700"/>
      <c r="E7373" s="397"/>
      <c r="H7373" s="401">
        <v>3</v>
      </c>
      <c r="I7373" s="401"/>
      <c r="J7373" s="401"/>
      <c r="K7373" s="401"/>
      <c r="L7373" s="675"/>
      <c r="M7373" s="672">
        <v>28677</v>
      </c>
      <c r="N7373" s="623">
        <v>8.4443185038254459E-2</v>
      </c>
      <c r="O7373" s="624">
        <v>5.28E-3</v>
      </c>
      <c r="P7373" s="397"/>
      <c r="Q7373" s="397"/>
      <c r="R7373" s="397"/>
      <c r="S7373" s="397"/>
      <c r="T7373" s="397"/>
      <c r="U7373" s="397"/>
      <c r="V7373" s="397"/>
      <c r="W7373" s="397"/>
      <c r="X7373" s="397"/>
      <c r="Y7373" s="397"/>
      <c r="Z7373" s="397"/>
      <c r="AD7373" s="388">
        <v>1.6764000000000001</v>
      </c>
      <c r="AE7373" s="388">
        <v>0.18288000000000001</v>
      </c>
      <c r="AF7373" s="388">
        <v>0.30658003200000006</v>
      </c>
      <c r="AG7373" s="388">
        <v>0.24079200000000003</v>
      </c>
      <c r="AH7373" s="391"/>
      <c r="AI7373" s="397"/>
      <c r="AJ7373" s="397"/>
      <c r="AU7373" s="397"/>
      <c r="AV7373" s="397"/>
      <c r="AW7373" s="397"/>
      <c r="AX7373" s="397"/>
      <c r="BI7373" s="397"/>
      <c r="BJ7373" s="397"/>
      <c r="BK7373" s="397"/>
      <c r="BL7373" s="397"/>
      <c r="BM7373" s="397"/>
      <c r="BN7373" s="397"/>
      <c r="BO7373" s="397"/>
      <c r="BP7373" s="397"/>
      <c r="BQ7373" s="397"/>
      <c r="BR7373" s="397"/>
      <c r="BS7373" s="397"/>
      <c r="BT7373" s="397"/>
      <c r="BU7373" s="397"/>
      <c r="BV7373" s="397"/>
      <c r="BW7373" s="397"/>
      <c r="BX7373" s="397"/>
      <c r="BY7373" s="397"/>
      <c r="BZ7373" s="397"/>
      <c r="CA7373" s="392" t="s">
        <v>413</v>
      </c>
    </row>
    <row r="7374" spans="1:80" s="392" customFormat="1" ht="15" x14ac:dyDescent="0.25">
      <c r="A7374" s="385"/>
      <c r="D7374" s="700"/>
      <c r="E7374" s="397"/>
      <c r="H7374" s="401">
        <v>3</v>
      </c>
      <c r="I7374" s="401"/>
      <c r="J7374" s="401"/>
      <c r="K7374" s="401"/>
      <c r="L7374" s="675"/>
      <c r="M7374" s="672">
        <v>28682</v>
      </c>
      <c r="N7374" s="623">
        <v>5.9790308869368092E-2</v>
      </c>
      <c r="O7374" s="624">
        <v>1.6999999999999997E-3</v>
      </c>
      <c r="P7374" s="397"/>
      <c r="Q7374" s="397"/>
      <c r="R7374" s="397"/>
      <c r="S7374" s="397"/>
      <c r="T7374" s="397"/>
      <c r="U7374" s="397"/>
      <c r="V7374" s="397"/>
      <c r="W7374" s="397"/>
      <c r="X7374" s="397"/>
      <c r="Y7374" s="397"/>
      <c r="Z7374" s="397"/>
      <c r="AD7374" s="388">
        <v>1.524</v>
      </c>
      <c r="AE7374" s="388">
        <v>0.15240000000000001</v>
      </c>
      <c r="AF7374" s="388">
        <v>0.23225760000000001</v>
      </c>
      <c r="AG7374" s="388">
        <v>0.23774400000000001</v>
      </c>
      <c r="AH7374" s="391"/>
      <c r="AI7374" s="397"/>
      <c r="AJ7374" s="397"/>
      <c r="AU7374" s="397"/>
      <c r="AV7374" s="397"/>
      <c r="AW7374" s="397"/>
      <c r="AX7374" s="397"/>
      <c r="BI7374" s="397"/>
      <c r="BJ7374" s="397"/>
      <c r="BK7374" s="397"/>
      <c r="BL7374" s="397"/>
      <c r="BM7374" s="397"/>
      <c r="BN7374" s="397"/>
      <c r="BO7374" s="397"/>
      <c r="BP7374" s="397"/>
      <c r="BQ7374" s="397"/>
      <c r="BR7374" s="397"/>
      <c r="BS7374" s="397"/>
      <c r="BT7374" s="397"/>
      <c r="BU7374" s="397"/>
      <c r="BV7374" s="397"/>
      <c r="BW7374" s="397"/>
      <c r="BX7374" s="397"/>
      <c r="BY7374" s="397"/>
      <c r="BZ7374" s="397"/>
      <c r="CA7374" s="392" t="s">
        <v>413</v>
      </c>
    </row>
    <row r="7375" spans="1:80" s="392" customFormat="1" ht="15" x14ac:dyDescent="0.25">
      <c r="A7375" s="385"/>
      <c r="D7375" s="700"/>
      <c r="E7375" s="397"/>
      <c r="H7375" s="401">
        <v>3</v>
      </c>
      <c r="I7375" s="401"/>
      <c r="J7375" s="401"/>
      <c r="K7375" s="401"/>
      <c r="L7375" s="675"/>
      <c r="M7375" s="672">
        <v>28691</v>
      </c>
      <c r="N7375" s="623">
        <v>1.5585151601020121E-2</v>
      </c>
      <c r="O7375" s="624">
        <v>5.44E-4</v>
      </c>
      <c r="P7375" s="397"/>
      <c r="Q7375" s="397"/>
      <c r="R7375" s="397"/>
      <c r="S7375" s="397"/>
      <c r="T7375" s="397"/>
      <c r="U7375" s="397"/>
      <c r="V7375" s="397"/>
      <c r="W7375" s="397"/>
      <c r="X7375" s="397"/>
      <c r="Y7375" s="397"/>
      <c r="Z7375" s="397"/>
      <c r="AD7375" s="388">
        <v>1.5544799999999999</v>
      </c>
      <c r="AE7375" s="388">
        <v>0.12801599999999999</v>
      </c>
      <c r="AF7375" s="388">
        <v>0.19899831167999996</v>
      </c>
      <c r="AG7375" s="388">
        <v>7.9248000000000013E-2</v>
      </c>
      <c r="AH7375" s="391"/>
      <c r="AI7375" s="397"/>
      <c r="AJ7375" s="397"/>
      <c r="AU7375" s="397"/>
      <c r="AV7375" s="397"/>
      <c r="AW7375" s="397"/>
      <c r="AX7375" s="397"/>
      <c r="BI7375" s="397"/>
      <c r="BJ7375" s="397"/>
      <c r="BK7375" s="397"/>
      <c r="BL7375" s="397"/>
      <c r="BM7375" s="397"/>
      <c r="BN7375" s="397"/>
      <c r="BO7375" s="397"/>
      <c r="BP7375" s="397"/>
      <c r="BQ7375" s="397"/>
      <c r="BR7375" s="397"/>
      <c r="BS7375" s="397"/>
      <c r="BT7375" s="397"/>
      <c r="BU7375" s="397"/>
      <c r="BV7375" s="397"/>
      <c r="BW7375" s="397"/>
      <c r="BX7375" s="397"/>
      <c r="BY7375" s="397"/>
      <c r="BZ7375" s="397"/>
      <c r="CA7375" s="392" t="s">
        <v>413</v>
      </c>
    </row>
    <row r="7376" spans="1:80" s="392" customFormat="1" ht="15" x14ac:dyDescent="0.25">
      <c r="A7376" s="385"/>
      <c r="D7376" s="700"/>
      <c r="E7376" s="397"/>
      <c r="H7376" s="401">
        <v>3</v>
      </c>
      <c r="I7376" s="401"/>
      <c r="J7376" s="401"/>
      <c r="K7376" s="401"/>
      <c r="L7376" s="675"/>
      <c r="M7376" s="672">
        <v>28696</v>
      </c>
      <c r="N7376" s="623">
        <v>2.408614338339473E-2</v>
      </c>
      <c r="O7376" s="624">
        <v>2.333333333333333E-4</v>
      </c>
      <c r="P7376" s="397"/>
      <c r="Q7376" s="397"/>
      <c r="R7376" s="397"/>
      <c r="S7376" s="397"/>
      <c r="T7376" s="397"/>
      <c r="U7376" s="397"/>
      <c r="V7376" s="397"/>
      <c r="W7376" s="397"/>
      <c r="X7376" s="397"/>
      <c r="Y7376" s="397"/>
      <c r="Z7376" s="397"/>
      <c r="AD7376" s="388">
        <v>1.524</v>
      </c>
      <c r="AE7376" s="388">
        <v>0.10972800000000001</v>
      </c>
      <c r="AF7376" s="388">
        <v>0.16722547200000001</v>
      </c>
      <c r="AG7376" s="388">
        <v>4.8768000000000006E-2</v>
      </c>
      <c r="AH7376" s="391"/>
      <c r="AI7376" s="397"/>
      <c r="AJ7376" s="397"/>
      <c r="AU7376" s="397"/>
      <c r="AV7376" s="397"/>
      <c r="AW7376" s="397"/>
      <c r="AX7376" s="397"/>
      <c r="BI7376" s="397"/>
      <c r="BJ7376" s="397"/>
      <c r="BK7376" s="397"/>
      <c r="BL7376" s="397"/>
      <c r="BM7376" s="397"/>
      <c r="BN7376" s="397"/>
      <c r="BO7376" s="397"/>
      <c r="BP7376" s="397"/>
      <c r="BQ7376" s="397"/>
      <c r="BR7376" s="397"/>
      <c r="BS7376" s="397"/>
      <c r="BT7376" s="397"/>
      <c r="BU7376" s="397"/>
      <c r="BV7376" s="397"/>
      <c r="BW7376" s="397"/>
      <c r="BX7376" s="397"/>
      <c r="BY7376" s="397"/>
      <c r="BZ7376" s="397"/>
      <c r="CA7376" s="392" t="s">
        <v>413</v>
      </c>
    </row>
    <row r="7377" spans="1:80" s="392" customFormat="1" ht="15" x14ac:dyDescent="0.25">
      <c r="A7377" s="385"/>
      <c r="D7377" s="700"/>
      <c r="E7377" s="397"/>
      <c r="H7377" s="401">
        <v>3</v>
      </c>
      <c r="I7377" s="401"/>
      <c r="J7377" s="401"/>
      <c r="K7377" s="401"/>
      <c r="L7377" s="675"/>
      <c r="M7377" s="672">
        <v>28698</v>
      </c>
      <c r="N7377" s="623">
        <v>1.1051289317086994E-2</v>
      </c>
      <c r="O7377" s="624" t="s">
        <v>71</v>
      </c>
      <c r="P7377" s="397"/>
      <c r="Q7377" s="397"/>
      <c r="R7377" s="397"/>
      <c r="S7377" s="397"/>
      <c r="T7377" s="397"/>
      <c r="U7377" s="397"/>
      <c r="V7377" s="397"/>
      <c r="W7377" s="397"/>
      <c r="X7377" s="397"/>
      <c r="Y7377" s="397"/>
      <c r="Z7377" s="397"/>
      <c r="AD7377" s="388">
        <v>1.524</v>
      </c>
      <c r="AE7377" s="388">
        <v>0.10668</v>
      </c>
      <c r="AF7377" s="388">
        <v>0.16258032</v>
      </c>
      <c r="AG7377" s="388">
        <v>2.4384000000000003E-2</v>
      </c>
      <c r="AH7377" s="391"/>
      <c r="AI7377" s="397"/>
      <c r="AJ7377" s="397"/>
      <c r="AU7377" s="397"/>
      <c r="AV7377" s="397"/>
      <c r="AW7377" s="397"/>
      <c r="AX7377" s="397"/>
      <c r="BI7377" s="397"/>
      <c r="BJ7377" s="397"/>
      <c r="BK7377" s="397"/>
      <c r="BL7377" s="397"/>
      <c r="BM7377" s="397"/>
      <c r="BN7377" s="397"/>
      <c r="BO7377" s="397"/>
      <c r="BP7377" s="397"/>
      <c r="BQ7377" s="397"/>
      <c r="BR7377" s="397"/>
      <c r="BS7377" s="397"/>
      <c r="BT7377" s="397"/>
      <c r="BU7377" s="397"/>
      <c r="BV7377" s="397"/>
      <c r="BW7377" s="397"/>
      <c r="BX7377" s="397"/>
      <c r="BY7377" s="397"/>
      <c r="BZ7377" s="397"/>
      <c r="CA7377" s="392" t="s">
        <v>413</v>
      </c>
    </row>
    <row r="7378" spans="1:80" s="392" customFormat="1" ht="15" x14ac:dyDescent="0.25">
      <c r="A7378" s="385"/>
      <c r="D7378" s="700"/>
      <c r="E7378" s="397"/>
      <c r="H7378" s="401">
        <v>3</v>
      </c>
      <c r="I7378" s="401"/>
      <c r="J7378" s="401"/>
      <c r="K7378" s="401"/>
      <c r="L7378" s="675"/>
      <c r="M7378" s="672">
        <v>28703</v>
      </c>
      <c r="N7378" s="623">
        <v>1.1334655709832814E-3</v>
      </c>
      <c r="O7378" s="624" t="s">
        <v>71</v>
      </c>
      <c r="P7378" s="397"/>
      <c r="Q7378" s="397"/>
      <c r="R7378" s="397"/>
      <c r="S7378" s="397"/>
      <c r="T7378" s="397"/>
      <c r="U7378" s="397"/>
      <c r="V7378" s="397"/>
      <c r="W7378" s="397"/>
      <c r="X7378" s="397"/>
      <c r="Y7378" s="397"/>
      <c r="Z7378" s="397"/>
      <c r="AD7378" s="388">
        <v>1.524</v>
      </c>
      <c r="AE7378" s="388">
        <v>0.10668</v>
      </c>
      <c r="AF7378" s="388">
        <v>0.16258032</v>
      </c>
      <c r="AG7378" s="388">
        <v>6.0960000000000007E-3</v>
      </c>
      <c r="AH7378" s="391"/>
      <c r="AI7378" s="397"/>
      <c r="AJ7378" s="397"/>
      <c r="AU7378" s="397"/>
      <c r="AV7378" s="397"/>
      <c r="AW7378" s="397"/>
      <c r="AX7378" s="397"/>
      <c r="BI7378" s="397"/>
      <c r="BJ7378" s="397"/>
      <c r="BK7378" s="397"/>
      <c r="BL7378" s="397"/>
      <c r="BM7378" s="397"/>
      <c r="BN7378" s="397"/>
      <c r="BO7378" s="397"/>
      <c r="BP7378" s="397"/>
      <c r="BQ7378" s="397"/>
      <c r="BR7378" s="397"/>
      <c r="BS7378" s="397"/>
      <c r="BT7378" s="397"/>
      <c r="BU7378" s="397"/>
      <c r="BV7378" s="397"/>
      <c r="BW7378" s="397"/>
      <c r="BX7378" s="397"/>
      <c r="BY7378" s="397"/>
      <c r="BZ7378" s="397"/>
      <c r="CA7378" s="392" t="s">
        <v>413</v>
      </c>
    </row>
    <row r="7379" spans="1:80" s="392" customFormat="1" ht="15" x14ac:dyDescent="0.25">
      <c r="A7379" s="385"/>
      <c r="D7379" s="700"/>
      <c r="E7379" s="397"/>
      <c r="H7379" s="401">
        <v>3</v>
      </c>
      <c r="I7379" s="401"/>
      <c r="J7379" s="401"/>
      <c r="K7379" s="401"/>
      <c r="L7379" s="675"/>
      <c r="M7379" s="672">
        <v>28710</v>
      </c>
      <c r="N7379" s="623">
        <v>2.5502975347123833E-3</v>
      </c>
      <c r="O7379" s="624" t="s">
        <v>71</v>
      </c>
      <c r="P7379" s="397"/>
      <c r="Q7379" s="397"/>
      <c r="R7379" s="397"/>
      <c r="S7379" s="397"/>
      <c r="T7379" s="397"/>
      <c r="U7379" s="397"/>
      <c r="V7379" s="397"/>
      <c r="W7379" s="397"/>
      <c r="X7379" s="397"/>
      <c r="Y7379" s="397"/>
      <c r="Z7379" s="397"/>
      <c r="AD7379" s="388">
        <v>1.4630400000000001</v>
      </c>
      <c r="AE7379" s="388">
        <v>0.10363200000000002</v>
      </c>
      <c r="AF7379" s="388">
        <v>0.15161776128000004</v>
      </c>
      <c r="AG7379" s="388">
        <v>1.8287999999999999E-2</v>
      </c>
      <c r="AH7379" s="391"/>
      <c r="AI7379" s="397"/>
      <c r="AJ7379" s="397"/>
      <c r="AU7379" s="397"/>
      <c r="AV7379" s="397"/>
      <c r="AW7379" s="397"/>
      <c r="AX7379" s="397"/>
      <c r="BI7379" s="397"/>
      <c r="BJ7379" s="397"/>
      <c r="BK7379" s="397"/>
      <c r="BL7379" s="397"/>
      <c r="BM7379" s="397"/>
      <c r="BN7379" s="397"/>
      <c r="BO7379" s="397"/>
      <c r="BP7379" s="397"/>
      <c r="BQ7379" s="397"/>
      <c r="BR7379" s="397"/>
      <c r="BS7379" s="397"/>
      <c r="BT7379" s="397"/>
      <c r="BU7379" s="397"/>
      <c r="BV7379" s="397"/>
      <c r="BW7379" s="397"/>
      <c r="BX7379" s="397"/>
      <c r="BY7379" s="397"/>
      <c r="BZ7379" s="397"/>
      <c r="CA7379" s="392" t="s">
        <v>413</v>
      </c>
    </row>
    <row r="7380" spans="1:80" s="392" customFormat="1" ht="15" x14ac:dyDescent="0.25">
      <c r="A7380" s="385"/>
      <c r="D7380" s="700"/>
      <c r="E7380" s="397"/>
      <c r="H7380" s="401">
        <v>3</v>
      </c>
      <c r="I7380" s="401"/>
      <c r="J7380" s="401"/>
      <c r="K7380" s="401"/>
      <c r="L7380" s="675"/>
      <c r="M7380" s="672">
        <v>28718</v>
      </c>
      <c r="N7380" s="623">
        <v>6.2340606404080474E-3</v>
      </c>
      <c r="O7380" s="624" t="s">
        <v>71</v>
      </c>
      <c r="P7380" s="397"/>
      <c r="Q7380" s="397"/>
      <c r="R7380" s="397"/>
      <c r="S7380" s="397"/>
      <c r="T7380" s="397"/>
      <c r="U7380" s="397"/>
      <c r="V7380" s="397"/>
      <c r="W7380" s="397"/>
      <c r="X7380" s="397"/>
      <c r="Y7380" s="397"/>
      <c r="Z7380" s="397"/>
      <c r="AD7380" s="388">
        <v>1.4630400000000001</v>
      </c>
      <c r="AE7380" s="388">
        <v>9.1440000000000007E-2</v>
      </c>
      <c r="AF7380" s="388">
        <v>0.13378037760000003</v>
      </c>
      <c r="AG7380" s="388">
        <v>4.2672000000000009E-2</v>
      </c>
      <c r="AH7380" s="391"/>
      <c r="AI7380" s="397"/>
      <c r="AJ7380" s="397"/>
      <c r="AU7380" s="397"/>
      <c r="AV7380" s="397"/>
      <c r="AW7380" s="397"/>
      <c r="AX7380" s="397"/>
      <c r="BI7380" s="397"/>
      <c r="BJ7380" s="397"/>
      <c r="BK7380" s="397"/>
      <c r="BL7380" s="397"/>
      <c r="BM7380" s="397"/>
      <c r="BN7380" s="397"/>
      <c r="BO7380" s="397"/>
      <c r="BP7380" s="397"/>
      <c r="BQ7380" s="397"/>
      <c r="BR7380" s="397"/>
      <c r="BS7380" s="397"/>
      <c r="BT7380" s="397"/>
      <c r="BU7380" s="397"/>
      <c r="BV7380" s="397"/>
      <c r="BW7380" s="397"/>
      <c r="BX7380" s="397"/>
      <c r="BY7380" s="397"/>
      <c r="BZ7380" s="397"/>
      <c r="CA7380" s="392" t="s">
        <v>413</v>
      </c>
    </row>
    <row r="7381" spans="1:80" s="392" customFormat="1" ht="15" x14ac:dyDescent="0.25">
      <c r="A7381" s="385"/>
      <c r="D7381" s="700"/>
      <c r="E7381" s="397"/>
      <c r="H7381" s="401">
        <v>3</v>
      </c>
      <c r="I7381" s="401"/>
      <c r="J7381" s="401"/>
      <c r="K7381" s="401"/>
      <c r="L7381" s="675"/>
      <c r="M7381" s="672">
        <v>28726</v>
      </c>
      <c r="N7381" s="623">
        <v>3.9671294984414849E-3</v>
      </c>
      <c r="O7381" s="624" t="s">
        <v>71</v>
      </c>
      <c r="P7381" s="397"/>
      <c r="Q7381" s="397"/>
      <c r="R7381" s="397"/>
      <c r="S7381" s="397"/>
      <c r="T7381" s="397"/>
      <c r="U7381" s="397"/>
      <c r="V7381" s="397"/>
      <c r="W7381" s="397"/>
      <c r="X7381" s="397"/>
      <c r="Y7381" s="397"/>
      <c r="Z7381" s="397"/>
      <c r="AD7381" s="388">
        <v>1.4935200000000002</v>
      </c>
      <c r="AE7381" s="388">
        <v>8.5344000000000017E-2</v>
      </c>
      <c r="AF7381" s="388">
        <v>0.12746297088000005</v>
      </c>
      <c r="AG7381" s="388">
        <v>3.0480000000000004E-2</v>
      </c>
      <c r="AH7381" s="391"/>
      <c r="AI7381" s="397"/>
      <c r="AJ7381" s="397"/>
      <c r="AU7381" s="397"/>
      <c r="AV7381" s="397"/>
      <c r="AW7381" s="397"/>
      <c r="AX7381" s="397"/>
      <c r="BI7381" s="397"/>
      <c r="BJ7381" s="397"/>
      <c r="BK7381" s="397"/>
      <c r="BL7381" s="397"/>
      <c r="BM7381" s="397"/>
      <c r="BN7381" s="397"/>
      <c r="BO7381" s="397"/>
      <c r="BP7381" s="397"/>
      <c r="BQ7381" s="397"/>
      <c r="BR7381" s="397"/>
      <c r="BS7381" s="397"/>
      <c r="BT7381" s="397"/>
      <c r="BU7381" s="397"/>
      <c r="BV7381" s="397"/>
      <c r="BW7381" s="397"/>
      <c r="BX7381" s="397"/>
      <c r="BY7381" s="397"/>
      <c r="BZ7381" s="397"/>
      <c r="CA7381" s="392" t="s">
        <v>413</v>
      </c>
    </row>
    <row r="7382" spans="1:80" s="392" customFormat="1" ht="15" x14ac:dyDescent="0.25">
      <c r="A7382" s="385"/>
      <c r="D7382" s="700"/>
      <c r="E7382" s="397"/>
      <c r="H7382" s="401">
        <v>3</v>
      </c>
      <c r="I7382" s="401"/>
      <c r="J7382" s="401"/>
      <c r="K7382" s="401"/>
      <c r="L7382" s="675"/>
      <c r="M7382" s="672">
        <v>28733</v>
      </c>
      <c r="N7382" s="623">
        <v>2.2669311419665629E-3</v>
      </c>
      <c r="O7382" s="624" t="s">
        <v>71</v>
      </c>
      <c r="P7382" s="397"/>
      <c r="Q7382" s="397"/>
      <c r="R7382" s="397"/>
      <c r="S7382" s="397"/>
      <c r="T7382" s="397"/>
      <c r="U7382" s="397"/>
      <c r="V7382" s="397"/>
      <c r="W7382" s="397"/>
      <c r="X7382" s="397"/>
      <c r="Y7382" s="397"/>
      <c r="Z7382" s="397"/>
      <c r="AD7382" s="388">
        <v>1.3716000000000002</v>
      </c>
      <c r="AE7382" s="388">
        <v>8.2296000000000008E-2</v>
      </c>
      <c r="AF7382" s="388">
        <v>0.11287719360000002</v>
      </c>
      <c r="AG7382" s="388">
        <v>1.8287999999999999E-2</v>
      </c>
      <c r="AH7382" s="391"/>
      <c r="AI7382" s="397"/>
      <c r="AJ7382" s="397"/>
      <c r="AU7382" s="397"/>
      <c r="AV7382" s="397"/>
      <c r="AW7382" s="397"/>
      <c r="AX7382" s="397"/>
      <c r="BI7382" s="397"/>
      <c r="BJ7382" s="397"/>
      <c r="BK7382" s="397"/>
      <c r="BL7382" s="397"/>
      <c r="BM7382" s="397"/>
      <c r="BN7382" s="397"/>
      <c r="BO7382" s="397"/>
      <c r="BP7382" s="397"/>
      <c r="BQ7382" s="397"/>
      <c r="BR7382" s="397"/>
      <c r="BS7382" s="397"/>
      <c r="BT7382" s="397"/>
      <c r="BU7382" s="397"/>
      <c r="BV7382" s="397"/>
      <c r="BW7382" s="397"/>
      <c r="BX7382" s="397"/>
      <c r="BY7382" s="397"/>
      <c r="BZ7382" s="397"/>
      <c r="CA7382" s="392" t="s">
        <v>413</v>
      </c>
    </row>
    <row r="7383" spans="1:80" s="392" customFormat="1" ht="15" x14ac:dyDescent="0.25">
      <c r="A7383" s="385"/>
      <c r="D7383" s="700"/>
      <c r="E7383" s="397"/>
      <c r="H7383" s="401">
        <v>3</v>
      </c>
      <c r="I7383" s="401"/>
      <c r="J7383" s="401"/>
      <c r="K7383" s="401"/>
      <c r="L7383" s="675"/>
      <c r="M7383" s="672">
        <v>28747</v>
      </c>
      <c r="N7383" s="623">
        <v>1.9835647492207425E-3</v>
      </c>
      <c r="O7383" s="624" t="s">
        <v>71</v>
      </c>
      <c r="P7383" s="397"/>
      <c r="Q7383" s="397"/>
      <c r="R7383" s="397"/>
      <c r="S7383" s="397"/>
      <c r="T7383" s="397"/>
      <c r="U7383" s="397"/>
      <c r="V7383" s="397"/>
      <c r="W7383" s="397"/>
      <c r="X7383" s="397"/>
      <c r="Y7383" s="397"/>
      <c r="Z7383" s="397"/>
      <c r="AD7383" s="388">
        <v>1.09728</v>
      </c>
      <c r="AE7383" s="388">
        <v>7.3151999999999995E-2</v>
      </c>
      <c r="AF7383" s="388">
        <v>8.0268226560000003E-2</v>
      </c>
      <c r="AG7383" s="388">
        <v>1.8287999999999999E-2</v>
      </c>
      <c r="AH7383" s="391"/>
      <c r="AI7383" s="397"/>
      <c r="AJ7383" s="397"/>
      <c r="AU7383" s="397"/>
      <c r="AV7383" s="397"/>
      <c r="AW7383" s="397"/>
      <c r="AX7383" s="397"/>
      <c r="BI7383" s="397"/>
      <c r="BJ7383" s="397"/>
      <c r="BK7383" s="397"/>
      <c r="BL7383" s="397"/>
      <c r="BM7383" s="397"/>
      <c r="BN7383" s="397"/>
      <c r="BO7383" s="397"/>
      <c r="BP7383" s="397"/>
      <c r="BQ7383" s="397"/>
      <c r="BR7383" s="397"/>
      <c r="BS7383" s="397"/>
      <c r="BT7383" s="397"/>
      <c r="BU7383" s="397"/>
      <c r="BV7383" s="397"/>
      <c r="BW7383" s="397"/>
      <c r="BX7383" s="397"/>
      <c r="BY7383" s="397"/>
      <c r="BZ7383" s="397"/>
      <c r="CA7383" s="392" t="s">
        <v>413</v>
      </c>
    </row>
    <row r="7384" spans="1:80" s="392" customFormat="1" ht="15" x14ac:dyDescent="0.25">
      <c r="A7384" s="385"/>
      <c r="D7384" s="700"/>
      <c r="E7384" s="397"/>
      <c r="H7384" s="401">
        <v>3</v>
      </c>
      <c r="I7384" s="401"/>
      <c r="J7384" s="401"/>
      <c r="K7384" s="401"/>
      <c r="L7384" s="675"/>
      <c r="M7384" s="672">
        <v>28998</v>
      </c>
      <c r="N7384" s="623">
        <v>0.36837631056956643</v>
      </c>
      <c r="O7384" s="624">
        <v>1.0352000000000002E-2</v>
      </c>
      <c r="P7384" s="397"/>
      <c r="Q7384" s="397"/>
      <c r="R7384" s="397"/>
      <c r="S7384" s="397"/>
      <c r="T7384" s="397"/>
      <c r="U7384" s="397"/>
      <c r="V7384" s="397"/>
      <c r="W7384" s="397"/>
      <c r="X7384" s="397"/>
      <c r="Y7384" s="397"/>
      <c r="Z7384" s="397"/>
      <c r="AD7384" s="388">
        <v>1.8288000000000002</v>
      </c>
      <c r="AE7384" s="388"/>
      <c r="AF7384" s="388"/>
      <c r="AG7384" s="388"/>
      <c r="AH7384" s="391"/>
      <c r="AI7384" s="397"/>
      <c r="AJ7384" s="397"/>
      <c r="AU7384" s="397"/>
      <c r="AV7384" s="397"/>
      <c r="AW7384" s="397"/>
      <c r="AX7384" s="397"/>
      <c r="BI7384" s="397"/>
      <c r="BJ7384" s="397"/>
      <c r="BK7384" s="397"/>
      <c r="BL7384" s="397"/>
      <c r="BM7384" s="397"/>
      <c r="BN7384" s="397"/>
      <c r="BO7384" s="397"/>
      <c r="BP7384" s="397"/>
      <c r="BQ7384" s="397"/>
      <c r="BR7384" s="397"/>
      <c r="BS7384" s="397"/>
      <c r="BT7384" s="397"/>
      <c r="BU7384" s="397"/>
      <c r="BV7384" s="397"/>
      <c r="BW7384" s="397"/>
      <c r="BX7384" s="397"/>
      <c r="BY7384" s="397"/>
      <c r="BZ7384" s="397"/>
      <c r="CA7384" s="392" t="s">
        <v>413</v>
      </c>
    </row>
    <row r="7385" spans="1:80" s="392" customFormat="1" ht="15" x14ac:dyDescent="0.25">
      <c r="A7385" s="385"/>
      <c r="D7385" s="700"/>
      <c r="E7385" s="397"/>
      <c r="H7385" s="401">
        <v>3</v>
      </c>
      <c r="I7385" s="401"/>
      <c r="J7385" s="401"/>
      <c r="K7385" s="401"/>
      <c r="L7385" s="675"/>
      <c r="M7385" s="672">
        <v>29026</v>
      </c>
      <c r="N7385" s="623">
        <v>0.44318503825446304</v>
      </c>
      <c r="O7385" s="624">
        <v>1.0166666666666666E-3</v>
      </c>
      <c r="P7385" s="397"/>
      <c r="Q7385" s="397"/>
      <c r="R7385" s="397"/>
      <c r="S7385" s="397"/>
      <c r="T7385" s="397"/>
      <c r="U7385" s="397"/>
      <c r="V7385" s="397"/>
      <c r="W7385" s="397"/>
      <c r="X7385" s="397"/>
      <c r="Y7385" s="397"/>
      <c r="Z7385" s="397"/>
      <c r="AD7385" s="388">
        <v>1.85928</v>
      </c>
      <c r="AE7385" s="388">
        <v>1.231392</v>
      </c>
      <c r="AF7385" s="388">
        <v>2.2895025177599999</v>
      </c>
      <c r="AG7385" s="388">
        <v>0.79248000000000007</v>
      </c>
      <c r="AH7385" s="391"/>
      <c r="AI7385" s="397"/>
      <c r="AJ7385" s="397"/>
      <c r="AU7385" s="397"/>
      <c r="AV7385" s="397"/>
      <c r="AW7385" s="397"/>
      <c r="AX7385" s="397"/>
      <c r="BI7385" s="397"/>
      <c r="BJ7385" s="397"/>
      <c r="BK7385" s="397"/>
      <c r="BL7385" s="397"/>
      <c r="BM7385" s="397"/>
      <c r="BN7385" s="397"/>
      <c r="BO7385" s="397"/>
      <c r="BP7385" s="397"/>
      <c r="BQ7385" s="397"/>
      <c r="BR7385" s="397"/>
      <c r="BS7385" s="397"/>
      <c r="BT7385" s="397"/>
      <c r="BU7385" s="397"/>
      <c r="BV7385" s="397"/>
      <c r="BW7385" s="397"/>
      <c r="BX7385" s="397"/>
      <c r="BY7385" s="397"/>
      <c r="BZ7385" s="397"/>
      <c r="CA7385" s="392" t="s">
        <v>413</v>
      </c>
    </row>
    <row r="7386" spans="1:80" s="392" customFormat="1" ht="15" x14ac:dyDescent="0.25">
      <c r="A7386" s="385"/>
      <c r="D7386" s="700"/>
      <c r="E7386" s="397"/>
      <c r="H7386" s="401">
        <v>3</v>
      </c>
      <c r="I7386" s="401"/>
      <c r="J7386" s="401"/>
      <c r="K7386" s="401"/>
      <c r="L7386" s="675"/>
      <c r="M7386" s="672">
        <v>29032</v>
      </c>
      <c r="N7386" s="623">
        <v>0.30121847548880704</v>
      </c>
      <c r="O7386" s="624">
        <v>0</v>
      </c>
      <c r="P7386" s="397"/>
      <c r="Q7386" s="397"/>
      <c r="R7386" s="397"/>
      <c r="S7386" s="397"/>
      <c r="T7386" s="397"/>
      <c r="U7386" s="397"/>
      <c r="V7386" s="397"/>
      <c r="W7386" s="397"/>
      <c r="X7386" s="397"/>
      <c r="Y7386" s="397"/>
      <c r="Z7386" s="397"/>
      <c r="AD7386" s="388">
        <v>1.8288000000000002</v>
      </c>
      <c r="AE7386" s="388">
        <v>0.26822400000000002</v>
      </c>
      <c r="AF7386" s="388">
        <v>0.49052805120000009</v>
      </c>
      <c r="AG7386" s="388">
        <v>0.61264799999999997</v>
      </c>
      <c r="AH7386" s="391"/>
      <c r="AI7386" s="397"/>
      <c r="AJ7386" s="397"/>
      <c r="AU7386" s="397"/>
      <c r="AV7386" s="397"/>
      <c r="AW7386" s="397"/>
      <c r="AX7386" s="397"/>
      <c r="BI7386" s="397"/>
      <c r="BJ7386" s="397"/>
      <c r="BK7386" s="397"/>
      <c r="BL7386" s="397"/>
      <c r="BM7386" s="397"/>
      <c r="BN7386" s="397"/>
      <c r="BO7386" s="397"/>
      <c r="BP7386" s="397"/>
      <c r="BQ7386" s="397"/>
      <c r="BR7386" s="397"/>
      <c r="BS7386" s="397"/>
      <c r="BT7386" s="397"/>
      <c r="BU7386" s="397"/>
      <c r="BV7386" s="397"/>
      <c r="BW7386" s="397"/>
      <c r="BX7386" s="397"/>
      <c r="BY7386" s="397"/>
      <c r="BZ7386" s="397"/>
      <c r="CA7386" s="392" t="s">
        <v>413</v>
      </c>
    </row>
    <row r="7387" spans="1:80" s="392" customFormat="1" ht="15" x14ac:dyDescent="0.25">
      <c r="A7387" s="385"/>
      <c r="D7387" s="700"/>
      <c r="E7387" s="397"/>
      <c r="H7387" s="401">
        <v>3</v>
      </c>
      <c r="I7387" s="401"/>
      <c r="J7387" s="401"/>
      <c r="K7387" s="401"/>
      <c r="L7387" s="675"/>
      <c r="M7387" s="672">
        <v>29046</v>
      </c>
      <c r="N7387" s="623">
        <v>7.0841598186455093E-2</v>
      </c>
      <c r="O7387" s="624">
        <v>7.4666666666666664E-4</v>
      </c>
      <c r="P7387" s="397"/>
      <c r="Q7387" s="397"/>
      <c r="R7387" s="397"/>
      <c r="S7387" s="397"/>
      <c r="T7387" s="397"/>
      <c r="U7387" s="397"/>
      <c r="V7387" s="397"/>
      <c r="W7387" s="397"/>
      <c r="X7387" s="397"/>
      <c r="Y7387" s="397"/>
      <c r="Z7387" s="397"/>
      <c r="AD7387" s="388">
        <v>1.70688</v>
      </c>
      <c r="AE7387" s="388"/>
      <c r="AF7387" s="388"/>
      <c r="AG7387" s="388"/>
      <c r="AH7387" s="391"/>
      <c r="AI7387" s="397"/>
      <c r="AJ7387" s="397"/>
      <c r="AU7387" s="397"/>
      <c r="AV7387" s="397"/>
      <c r="AW7387" s="397"/>
      <c r="AX7387" s="397"/>
      <c r="BI7387" s="397"/>
      <c r="BJ7387" s="397"/>
      <c r="BK7387" s="397"/>
      <c r="BL7387" s="397"/>
      <c r="BM7387" s="397"/>
      <c r="BN7387" s="397"/>
      <c r="BO7387" s="397"/>
      <c r="BP7387" s="397"/>
      <c r="BQ7387" s="397"/>
      <c r="BR7387" s="397"/>
      <c r="BS7387" s="397"/>
      <c r="BT7387" s="397"/>
      <c r="BU7387" s="397"/>
      <c r="BV7387" s="397"/>
      <c r="BW7387" s="397"/>
      <c r="BX7387" s="397"/>
      <c r="BY7387" s="397"/>
      <c r="BZ7387" s="397"/>
      <c r="CA7387" s="392" t="s">
        <v>413</v>
      </c>
    </row>
    <row r="7388" spans="1:80" s="392" customFormat="1" ht="15" x14ac:dyDescent="0.25">
      <c r="A7388" s="385"/>
      <c r="D7388" s="700"/>
      <c r="E7388" s="397"/>
      <c r="H7388" s="401">
        <v>3</v>
      </c>
      <c r="I7388" s="401"/>
      <c r="J7388" s="401"/>
      <c r="K7388" s="401"/>
      <c r="L7388" s="675"/>
      <c r="M7388" s="672">
        <v>29061</v>
      </c>
      <c r="N7388" s="623">
        <v>1.1334655709832815E-2</v>
      </c>
      <c r="O7388" s="624">
        <v>7.2640000000000009E-4</v>
      </c>
      <c r="P7388" s="397"/>
      <c r="Q7388" s="397"/>
      <c r="R7388" s="397"/>
      <c r="S7388" s="397"/>
      <c r="T7388" s="397"/>
      <c r="U7388" s="397"/>
      <c r="V7388" s="397"/>
      <c r="W7388" s="397"/>
      <c r="X7388" s="397"/>
      <c r="Y7388" s="397"/>
      <c r="Z7388" s="397"/>
      <c r="AD7388" s="388">
        <v>1.4630400000000001</v>
      </c>
      <c r="AE7388" s="388"/>
      <c r="AF7388" s="388"/>
      <c r="AG7388" s="388"/>
      <c r="AH7388" s="391"/>
      <c r="AI7388" s="397"/>
      <c r="AJ7388" s="397"/>
      <c r="AU7388" s="397"/>
      <c r="AV7388" s="397"/>
      <c r="AW7388" s="397"/>
      <c r="AX7388" s="397"/>
      <c r="BI7388" s="397"/>
      <c r="BJ7388" s="397"/>
      <c r="BK7388" s="397"/>
      <c r="BL7388" s="397"/>
      <c r="BM7388" s="397"/>
      <c r="BN7388" s="397"/>
      <c r="BO7388" s="397"/>
      <c r="BP7388" s="397"/>
      <c r="BQ7388" s="397"/>
      <c r="BR7388" s="397"/>
      <c r="BS7388" s="397"/>
      <c r="BT7388" s="397"/>
      <c r="BU7388" s="397"/>
      <c r="BV7388" s="397"/>
      <c r="BW7388" s="397"/>
      <c r="BX7388" s="397"/>
      <c r="BY7388" s="397"/>
      <c r="BZ7388" s="397"/>
      <c r="CA7388" s="392" t="s">
        <v>413</v>
      </c>
    </row>
    <row r="7389" spans="1:80" s="392" customFormat="1" ht="15" x14ac:dyDescent="0.25">
      <c r="A7389" s="385"/>
      <c r="D7389" s="700"/>
      <c r="E7389" s="397"/>
      <c r="H7389" s="401">
        <v>3</v>
      </c>
      <c r="I7389" s="401"/>
      <c r="J7389" s="401"/>
      <c r="K7389" s="401"/>
      <c r="L7389" s="675"/>
      <c r="M7389" s="672">
        <v>29069</v>
      </c>
      <c r="N7389" s="623">
        <v>7.9342589968829699E-3</v>
      </c>
      <c r="O7389" s="624">
        <v>6.1199999999999997E-5</v>
      </c>
      <c r="P7389" s="397"/>
      <c r="Q7389" s="397"/>
      <c r="R7389" s="397"/>
      <c r="S7389" s="397"/>
      <c r="T7389" s="397"/>
      <c r="U7389" s="397"/>
      <c r="V7389" s="397"/>
      <c r="W7389" s="397"/>
      <c r="X7389" s="397"/>
      <c r="Y7389" s="397"/>
      <c r="Z7389" s="397"/>
      <c r="AD7389" s="388">
        <v>1.5544799999999999</v>
      </c>
      <c r="AE7389" s="388"/>
      <c r="AF7389" s="388"/>
      <c r="AG7389" s="388"/>
      <c r="AH7389" s="391"/>
      <c r="AI7389" s="397"/>
      <c r="AJ7389" s="397"/>
      <c r="AU7389" s="397"/>
      <c r="AV7389" s="397"/>
      <c r="AW7389" s="397"/>
      <c r="AX7389" s="397"/>
      <c r="BI7389" s="397"/>
      <c r="BJ7389" s="397"/>
      <c r="BK7389" s="397"/>
      <c r="BL7389" s="397"/>
      <c r="BM7389" s="397"/>
      <c r="BN7389" s="397"/>
      <c r="BO7389" s="397"/>
      <c r="BP7389" s="397"/>
      <c r="BQ7389" s="397"/>
      <c r="BR7389" s="397"/>
      <c r="BS7389" s="397"/>
      <c r="BT7389" s="397"/>
      <c r="BU7389" s="397"/>
      <c r="BV7389" s="397"/>
      <c r="BW7389" s="397"/>
      <c r="BX7389" s="397"/>
      <c r="BY7389" s="397"/>
      <c r="BZ7389" s="397"/>
      <c r="CA7389" s="392" t="s">
        <v>413</v>
      </c>
    </row>
    <row r="7390" spans="1:80" s="189" customFormat="1" ht="15" x14ac:dyDescent="0.25">
      <c r="A7390" s="381" t="s">
        <v>472</v>
      </c>
      <c r="B7390" s="641" t="s">
        <v>34</v>
      </c>
      <c r="C7390" s="639"/>
      <c r="D7390" s="4">
        <f>VLOOKUP(E7390,'Quality Code'!$D$4:$E$24,2,TRUE)*VLOOKUP(MROUND(F7390,10),'Quality Code'!$D$28:$E$69,2,TRUE)*VLOOKUP(COUNTA(CB7390:CB7400),'Quality Code'!$D$73:$E$93,2,TRUE)</f>
        <v>0.1</v>
      </c>
      <c r="E7390" s="14">
        <v>0.4</v>
      </c>
      <c r="F7390" s="2">
        <v>13</v>
      </c>
      <c r="G7390" s="12"/>
      <c r="H7390" s="2" t="s">
        <v>105</v>
      </c>
      <c r="I7390" s="2"/>
      <c r="J7390" s="2"/>
      <c r="K7390" s="2"/>
      <c r="L7390" s="639"/>
      <c r="M7390" s="640" t="s">
        <v>916</v>
      </c>
      <c r="N7390" s="578" t="s">
        <v>110</v>
      </c>
      <c r="O7390" s="578"/>
      <c r="P7390" s="26"/>
      <c r="Q7390" s="26"/>
      <c r="R7390" s="26"/>
      <c r="S7390" s="26"/>
      <c r="T7390" s="26"/>
      <c r="U7390" s="26"/>
      <c r="V7390" s="10"/>
      <c r="W7390" s="10"/>
      <c r="X7390" s="10"/>
      <c r="Y7390" s="10"/>
      <c r="Z7390" s="2"/>
      <c r="AA7390" s="26"/>
      <c r="AB7390" s="26"/>
      <c r="AC7390" s="377">
        <v>3.7999999999999999E-2</v>
      </c>
      <c r="AD7390" s="406"/>
      <c r="AE7390" s="26"/>
      <c r="AF7390" s="26"/>
      <c r="AG7390" s="26"/>
      <c r="AH7390" s="26"/>
      <c r="AI7390" s="4"/>
      <c r="AJ7390" s="4"/>
      <c r="AK7390" s="26"/>
      <c r="AL7390" s="26"/>
      <c r="AM7390" s="26"/>
      <c r="AN7390" s="26"/>
      <c r="AO7390" s="26"/>
      <c r="AP7390" s="26"/>
      <c r="AQ7390" s="26"/>
      <c r="AR7390" s="26"/>
      <c r="AS7390" s="26"/>
      <c r="AT7390" s="26"/>
      <c r="AU7390" s="4"/>
      <c r="AV7390" s="4"/>
      <c r="AW7390" s="4"/>
      <c r="AX7390" s="4"/>
      <c r="AY7390" s="2"/>
      <c r="AZ7390" s="2"/>
      <c r="BA7390" s="12"/>
      <c r="BB7390" s="12"/>
      <c r="BC7390" s="12"/>
      <c r="BD7390" s="12"/>
      <c r="BE7390" s="12"/>
      <c r="BF7390" s="12"/>
      <c r="BG7390" s="12"/>
      <c r="BH7390" s="12"/>
      <c r="BI7390" s="4"/>
      <c r="BJ7390" s="12"/>
      <c r="BK7390" s="2"/>
      <c r="BL7390" s="2"/>
      <c r="BM7390" s="4"/>
      <c r="BN7390" s="12"/>
      <c r="BO7390" s="12"/>
      <c r="BP7390" s="12"/>
      <c r="BQ7390" s="4"/>
      <c r="BR7390" s="4"/>
      <c r="BS7390" s="4"/>
      <c r="BT7390" s="2"/>
      <c r="BU7390" s="9"/>
      <c r="BV7390" s="381"/>
      <c r="BW7390" s="382"/>
      <c r="BX7390" s="383"/>
      <c r="BY7390" s="383" t="s">
        <v>415</v>
      </c>
      <c r="BZ7390" s="383"/>
      <c r="CA7390" s="384" t="s">
        <v>413</v>
      </c>
      <c r="CB7390" s="411"/>
    </row>
    <row r="7391" spans="1:80" s="392" customFormat="1" ht="15" x14ac:dyDescent="0.25">
      <c r="A7391" s="385"/>
      <c r="D7391" s="700"/>
      <c r="E7391" s="397"/>
      <c r="H7391" s="401">
        <v>3</v>
      </c>
      <c r="I7391" s="401"/>
      <c r="J7391" s="401"/>
      <c r="K7391" s="401"/>
      <c r="L7391" s="675"/>
      <c r="M7391" s="672">
        <v>28663</v>
      </c>
      <c r="N7391" s="623">
        <v>1.1192972513459905</v>
      </c>
      <c r="O7391" s="624">
        <v>2.5984E-2</v>
      </c>
      <c r="P7391" s="397"/>
      <c r="Q7391" s="397"/>
      <c r="R7391" s="397"/>
      <c r="S7391" s="397"/>
      <c r="T7391" s="397"/>
      <c r="U7391" s="397"/>
      <c r="V7391" s="397"/>
      <c r="W7391" s="397"/>
      <c r="X7391" s="397"/>
      <c r="Y7391" s="397"/>
      <c r="Z7391" s="397"/>
      <c r="AD7391" s="388">
        <v>3.5356800000000002</v>
      </c>
      <c r="AE7391" s="388">
        <v>0.30480000000000002</v>
      </c>
      <c r="AF7391" s="388">
        <v>1.077675264</v>
      </c>
      <c r="AG7391" s="388">
        <v>0.93878400000000006</v>
      </c>
      <c r="AH7391" s="391"/>
      <c r="AI7391" s="397"/>
      <c r="AJ7391" s="397"/>
      <c r="AU7391" s="397"/>
      <c r="AV7391" s="397"/>
      <c r="AW7391" s="397"/>
      <c r="AX7391" s="397"/>
      <c r="BI7391" s="397"/>
      <c r="BJ7391" s="397"/>
      <c r="BK7391" s="397"/>
      <c r="BL7391" s="397"/>
      <c r="BM7391" s="397"/>
      <c r="BN7391" s="397"/>
      <c r="BO7391" s="397"/>
      <c r="BP7391" s="397"/>
      <c r="BQ7391" s="397"/>
      <c r="BR7391" s="397"/>
      <c r="BS7391" s="397"/>
      <c r="BT7391" s="397"/>
      <c r="BU7391" s="397"/>
      <c r="BV7391" s="397"/>
      <c r="BW7391" s="397"/>
      <c r="BX7391" s="397"/>
      <c r="BY7391" s="397"/>
      <c r="BZ7391" s="397"/>
      <c r="CA7391" s="392" t="s">
        <v>413</v>
      </c>
    </row>
    <row r="7392" spans="1:80" s="392" customFormat="1" ht="15" x14ac:dyDescent="0.25">
      <c r="A7392" s="385"/>
      <c r="D7392" s="700"/>
      <c r="E7392" s="397"/>
      <c r="H7392" s="401">
        <v>3</v>
      </c>
      <c r="I7392" s="401"/>
      <c r="J7392" s="401"/>
      <c r="K7392" s="401"/>
      <c r="L7392" s="675"/>
      <c r="M7392" s="672">
        <v>28668</v>
      </c>
      <c r="N7392" s="623">
        <v>0.73958628506659119</v>
      </c>
      <c r="O7392" s="624">
        <v>7.5133333333333345E-3</v>
      </c>
      <c r="P7392" s="397"/>
      <c r="Q7392" s="397"/>
      <c r="R7392" s="397"/>
      <c r="S7392" s="397"/>
      <c r="T7392" s="397"/>
      <c r="U7392" s="397"/>
      <c r="V7392" s="397"/>
      <c r="W7392" s="397"/>
      <c r="X7392" s="397"/>
      <c r="Y7392" s="397"/>
      <c r="Z7392" s="397"/>
      <c r="AD7392" s="388">
        <v>3.5052000000000003</v>
      </c>
      <c r="AE7392" s="388">
        <v>0.26212800000000003</v>
      </c>
      <c r="AF7392" s="388">
        <v>0.91881106560000014</v>
      </c>
      <c r="AG7392" s="388">
        <v>0.80771999999999999</v>
      </c>
      <c r="AH7392" s="391"/>
      <c r="AI7392" s="397"/>
      <c r="AJ7392" s="397"/>
      <c r="AU7392" s="397"/>
      <c r="AV7392" s="397"/>
      <c r="AW7392" s="397"/>
      <c r="AX7392" s="397"/>
      <c r="BI7392" s="397"/>
      <c r="BJ7392" s="397"/>
      <c r="BK7392" s="397"/>
      <c r="BL7392" s="397"/>
      <c r="BM7392" s="397"/>
      <c r="BN7392" s="397"/>
      <c r="BO7392" s="397"/>
      <c r="BP7392" s="397"/>
      <c r="BQ7392" s="397"/>
      <c r="BR7392" s="397"/>
      <c r="BS7392" s="397"/>
      <c r="BT7392" s="397"/>
      <c r="BU7392" s="397"/>
      <c r="BV7392" s="397"/>
      <c r="BW7392" s="397"/>
      <c r="BX7392" s="397"/>
      <c r="BY7392" s="397"/>
      <c r="BZ7392" s="397"/>
      <c r="CA7392" s="392" t="s">
        <v>413</v>
      </c>
    </row>
    <row r="7393" spans="1:79" s="392" customFormat="1" ht="15" x14ac:dyDescent="0.25">
      <c r="A7393" s="385"/>
      <c r="D7393" s="700"/>
      <c r="E7393" s="397"/>
      <c r="H7393" s="401">
        <v>3</v>
      </c>
      <c r="I7393" s="401"/>
      <c r="J7393" s="401"/>
      <c r="K7393" s="401"/>
      <c r="L7393" s="675"/>
      <c r="M7393" s="672">
        <v>28677</v>
      </c>
      <c r="N7393" s="623">
        <v>0.2686313403230377</v>
      </c>
      <c r="O7393" s="624">
        <v>4.069999999999999E-3</v>
      </c>
      <c r="P7393" s="397"/>
      <c r="Q7393" s="397"/>
      <c r="R7393" s="397"/>
      <c r="S7393" s="397"/>
      <c r="T7393" s="397"/>
      <c r="U7393" s="397"/>
      <c r="V7393" s="397"/>
      <c r="W7393" s="397"/>
      <c r="X7393" s="397"/>
      <c r="Y7393" s="397"/>
      <c r="Z7393" s="397"/>
      <c r="AD7393" s="388">
        <v>3.3832800000000001</v>
      </c>
      <c r="AE7393" s="388">
        <v>0.18592800000000001</v>
      </c>
      <c r="AF7393" s="388">
        <v>0.62904648384000006</v>
      </c>
      <c r="AG7393" s="388">
        <v>0.42671999999999999</v>
      </c>
      <c r="AH7393" s="391"/>
      <c r="AI7393" s="397"/>
      <c r="AJ7393" s="397"/>
      <c r="AU7393" s="397"/>
      <c r="AV7393" s="397"/>
      <c r="AW7393" s="397"/>
      <c r="AX7393" s="397"/>
      <c r="BI7393" s="397"/>
      <c r="BJ7393" s="397"/>
      <c r="BK7393" s="397"/>
      <c r="BL7393" s="397"/>
      <c r="BM7393" s="397"/>
      <c r="BN7393" s="397"/>
      <c r="BO7393" s="397"/>
      <c r="BP7393" s="397"/>
      <c r="BQ7393" s="397"/>
      <c r="BR7393" s="397"/>
      <c r="BS7393" s="397"/>
      <c r="BT7393" s="397"/>
      <c r="BU7393" s="397"/>
      <c r="BV7393" s="397"/>
      <c r="BW7393" s="397"/>
      <c r="BX7393" s="397"/>
      <c r="BY7393" s="397"/>
      <c r="BZ7393" s="397"/>
      <c r="CA7393" s="392" t="s">
        <v>413</v>
      </c>
    </row>
    <row r="7394" spans="1:79" s="392" customFormat="1" ht="15" x14ac:dyDescent="0.25">
      <c r="A7394" s="385"/>
      <c r="D7394" s="700"/>
      <c r="E7394" s="397"/>
      <c r="H7394" s="401">
        <v>3</v>
      </c>
      <c r="I7394" s="401"/>
      <c r="J7394" s="401"/>
      <c r="K7394" s="401"/>
      <c r="L7394" s="675"/>
      <c r="M7394" s="672">
        <v>28682</v>
      </c>
      <c r="N7394" s="623">
        <v>0.13459903655426467</v>
      </c>
      <c r="O7394" s="624">
        <v>6.6E-4</v>
      </c>
      <c r="P7394" s="397"/>
      <c r="Q7394" s="397"/>
      <c r="R7394" s="397"/>
      <c r="S7394" s="397"/>
      <c r="T7394" s="397"/>
      <c r="U7394" s="397"/>
      <c r="V7394" s="397"/>
      <c r="W7394" s="397"/>
      <c r="X7394" s="397"/>
      <c r="Y7394" s="397"/>
      <c r="Z7394" s="397"/>
      <c r="AD7394" s="388">
        <v>3.3528000000000002</v>
      </c>
      <c r="AE7394" s="388">
        <v>0.155448</v>
      </c>
      <c r="AF7394" s="388">
        <v>0.5211860544000001</v>
      </c>
      <c r="AG7394" s="388">
        <v>0.28346400000000005</v>
      </c>
      <c r="AH7394" s="391"/>
      <c r="AI7394" s="397"/>
      <c r="AJ7394" s="397"/>
      <c r="AU7394" s="397"/>
      <c r="AV7394" s="397"/>
      <c r="AW7394" s="397"/>
      <c r="AX7394" s="397"/>
      <c r="BI7394" s="397"/>
      <c r="BJ7394" s="397"/>
      <c r="BK7394" s="397"/>
      <c r="BL7394" s="397"/>
      <c r="BM7394" s="397"/>
      <c r="BN7394" s="397"/>
      <c r="BO7394" s="397"/>
      <c r="BP7394" s="397"/>
      <c r="BQ7394" s="397"/>
      <c r="BR7394" s="397"/>
      <c r="BS7394" s="397"/>
      <c r="BT7394" s="397"/>
      <c r="BU7394" s="397"/>
      <c r="BV7394" s="397"/>
      <c r="BW7394" s="397"/>
      <c r="BX7394" s="397"/>
      <c r="BY7394" s="397"/>
      <c r="BZ7394" s="397"/>
      <c r="CA7394" s="392" t="s">
        <v>413</v>
      </c>
    </row>
    <row r="7395" spans="1:79" s="392" customFormat="1" ht="15" x14ac:dyDescent="0.25">
      <c r="A7395" s="385"/>
      <c r="D7395" s="700"/>
      <c r="E7395" s="397"/>
      <c r="H7395" s="401">
        <v>3</v>
      </c>
      <c r="I7395" s="401"/>
      <c r="J7395" s="401"/>
      <c r="K7395" s="401"/>
      <c r="L7395" s="675"/>
      <c r="M7395" s="672">
        <v>28691</v>
      </c>
      <c r="N7395" s="623">
        <v>8.9827146500425045E-2</v>
      </c>
      <c r="O7395" s="624">
        <v>7.4666666666666664E-4</v>
      </c>
      <c r="P7395" s="397"/>
      <c r="Q7395" s="397"/>
      <c r="R7395" s="397"/>
      <c r="S7395" s="397"/>
      <c r="T7395" s="397"/>
      <c r="U7395" s="397"/>
      <c r="V7395" s="397"/>
      <c r="W7395" s="397"/>
      <c r="X7395" s="397"/>
      <c r="Y7395" s="397"/>
      <c r="Z7395" s="397"/>
      <c r="AD7395" s="388">
        <v>3.4137599999999999</v>
      </c>
      <c r="AE7395" s="388">
        <v>0.13411200000000001</v>
      </c>
      <c r="AF7395" s="388">
        <v>0.45782618112000001</v>
      </c>
      <c r="AG7395" s="388">
        <v>0.19507200000000002</v>
      </c>
      <c r="AH7395" s="391"/>
      <c r="AI7395" s="397"/>
      <c r="AJ7395" s="397"/>
      <c r="AU7395" s="397"/>
      <c r="AV7395" s="397"/>
      <c r="AW7395" s="397"/>
      <c r="AX7395" s="397"/>
      <c r="BI7395" s="397"/>
      <c r="BJ7395" s="397"/>
      <c r="BK7395" s="397"/>
      <c r="BL7395" s="397"/>
      <c r="BM7395" s="397"/>
      <c r="BN7395" s="397"/>
      <c r="BO7395" s="397"/>
      <c r="BP7395" s="397"/>
      <c r="BQ7395" s="397"/>
      <c r="BR7395" s="397"/>
      <c r="BS7395" s="397"/>
      <c r="BT7395" s="397"/>
      <c r="BU7395" s="397"/>
      <c r="BV7395" s="397"/>
      <c r="BW7395" s="397"/>
      <c r="BX7395" s="397"/>
      <c r="BY7395" s="397"/>
      <c r="BZ7395" s="397"/>
      <c r="CA7395" s="392" t="s">
        <v>413</v>
      </c>
    </row>
    <row r="7396" spans="1:79" s="392" customFormat="1" ht="15" x14ac:dyDescent="0.25">
      <c r="A7396" s="385"/>
      <c r="D7396" s="700"/>
      <c r="E7396" s="397"/>
      <c r="H7396" s="401">
        <v>3</v>
      </c>
      <c r="I7396" s="401"/>
      <c r="J7396" s="401"/>
      <c r="K7396" s="401"/>
      <c r="L7396" s="675"/>
      <c r="M7396" s="672">
        <v>28696</v>
      </c>
      <c r="N7396" s="623">
        <v>6.6307735902521953E-2</v>
      </c>
      <c r="O7396" s="624">
        <v>6.0266666666666682E-4</v>
      </c>
      <c r="P7396" s="397"/>
      <c r="Q7396" s="397"/>
      <c r="R7396" s="397"/>
      <c r="S7396" s="397"/>
      <c r="T7396" s="397"/>
      <c r="U7396" s="397"/>
      <c r="V7396" s="397"/>
      <c r="W7396" s="397"/>
      <c r="X7396" s="397"/>
      <c r="Y7396" s="397"/>
      <c r="Z7396" s="397"/>
      <c r="AD7396" s="388">
        <v>3.4442400000000002</v>
      </c>
      <c r="AE7396" s="388">
        <v>0.12801599999999999</v>
      </c>
      <c r="AF7396" s="388">
        <v>0.44091782784</v>
      </c>
      <c r="AG7396" s="388">
        <v>0.15240000000000001</v>
      </c>
      <c r="AH7396" s="391"/>
      <c r="AI7396" s="397"/>
      <c r="AJ7396" s="397"/>
      <c r="AU7396" s="397"/>
      <c r="AV7396" s="397"/>
      <c r="AW7396" s="397"/>
      <c r="AX7396" s="397"/>
      <c r="BI7396" s="397"/>
      <c r="BJ7396" s="397"/>
      <c r="BK7396" s="397"/>
      <c r="BL7396" s="397"/>
      <c r="BM7396" s="397"/>
      <c r="BN7396" s="397"/>
      <c r="BO7396" s="397"/>
      <c r="BP7396" s="397"/>
      <c r="BQ7396" s="397"/>
      <c r="BR7396" s="397"/>
      <c r="BS7396" s="397"/>
      <c r="BT7396" s="397"/>
      <c r="BU7396" s="397"/>
      <c r="BV7396" s="397"/>
      <c r="BW7396" s="397"/>
      <c r="BX7396" s="397"/>
      <c r="BY7396" s="397"/>
      <c r="BZ7396" s="397"/>
      <c r="CA7396" s="392" t="s">
        <v>413</v>
      </c>
    </row>
    <row r="7397" spans="1:79" s="392" customFormat="1" ht="15" x14ac:dyDescent="0.25">
      <c r="A7397" s="385"/>
      <c r="D7397" s="700"/>
      <c r="E7397" s="397"/>
      <c r="H7397" s="401">
        <v>3</v>
      </c>
      <c r="I7397" s="401"/>
      <c r="J7397" s="401"/>
      <c r="K7397" s="401"/>
      <c r="L7397" s="675"/>
      <c r="M7397" s="672">
        <v>28704</v>
      </c>
      <c r="N7397" s="623">
        <v>3.2303768773023517E-2</v>
      </c>
      <c r="O7397" s="624" t="s">
        <v>71</v>
      </c>
      <c r="P7397" s="397"/>
      <c r="Q7397" s="397"/>
      <c r="R7397" s="397"/>
      <c r="S7397" s="397"/>
      <c r="T7397" s="397"/>
      <c r="U7397" s="397"/>
      <c r="V7397" s="397"/>
      <c r="W7397" s="397"/>
      <c r="X7397" s="397"/>
      <c r="Y7397" s="397"/>
      <c r="Z7397" s="397"/>
      <c r="AD7397" s="388">
        <v>3.3528000000000002</v>
      </c>
      <c r="AE7397" s="388">
        <v>0.11887200000000001</v>
      </c>
      <c r="AF7397" s="388">
        <v>0.39855404160000002</v>
      </c>
      <c r="AG7397" s="388">
        <v>8.2296000000000008E-2</v>
      </c>
      <c r="AH7397" s="391"/>
      <c r="AI7397" s="397"/>
      <c r="AJ7397" s="397"/>
      <c r="AU7397" s="397"/>
      <c r="AV7397" s="397"/>
      <c r="AW7397" s="397"/>
      <c r="AX7397" s="397"/>
      <c r="BI7397" s="397"/>
      <c r="BJ7397" s="397"/>
      <c r="BK7397" s="397"/>
      <c r="BL7397" s="397"/>
      <c r="BM7397" s="397"/>
      <c r="BN7397" s="397"/>
      <c r="BO7397" s="397"/>
      <c r="BP7397" s="397"/>
      <c r="BQ7397" s="397"/>
      <c r="BR7397" s="397"/>
      <c r="BS7397" s="397"/>
      <c r="BT7397" s="397"/>
      <c r="BU7397" s="397"/>
      <c r="BV7397" s="397"/>
      <c r="BW7397" s="397"/>
      <c r="BX7397" s="397"/>
      <c r="BY7397" s="397"/>
      <c r="BZ7397" s="397"/>
      <c r="CA7397" s="392" t="s">
        <v>413</v>
      </c>
    </row>
    <row r="7398" spans="1:79" s="392" customFormat="1" ht="15" x14ac:dyDescent="0.25">
      <c r="A7398" s="385"/>
      <c r="D7398" s="700"/>
      <c r="E7398" s="397"/>
      <c r="H7398" s="401">
        <v>3</v>
      </c>
      <c r="I7398" s="401"/>
      <c r="J7398" s="401"/>
      <c r="K7398" s="401"/>
      <c r="L7398" s="675"/>
      <c r="M7398" s="672">
        <v>28710</v>
      </c>
      <c r="N7398" s="623">
        <v>2.6919807310852931E-2</v>
      </c>
      <c r="O7398" s="624" t="s">
        <v>71</v>
      </c>
      <c r="P7398" s="397"/>
      <c r="Q7398" s="397"/>
      <c r="R7398" s="397"/>
      <c r="S7398" s="397"/>
      <c r="T7398" s="397"/>
      <c r="U7398" s="397"/>
      <c r="V7398" s="397"/>
      <c r="W7398" s="397"/>
      <c r="X7398" s="397"/>
      <c r="Y7398" s="397"/>
      <c r="Z7398" s="397"/>
      <c r="AD7398" s="388">
        <v>3.3528000000000002</v>
      </c>
      <c r="AE7398" s="388">
        <v>0.112776</v>
      </c>
      <c r="AF7398" s="388">
        <v>0.37811537280000002</v>
      </c>
      <c r="AG7398" s="388">
        <v>6.7056000000000004E-2</v>
      </c>
      <c r="AH7398" s="391"/>
      <c r="AI7398" s="397"/>
      <c r="AJ7398" s="397"/>
      <c r="AU7398" s="397"/>
      <c r="AV7398" s="397"/>
      <c r="AW7398" s="397"/>
      <c r="AX7398" s="397"/>
      <c r="BI7398" s="397"/>
      <c r="BJ7398" s="397"/>
      <c r="BK7398" s="397"/>
      <c r="BL7398" s="397"/>
      <c r="BM7398" s="397"/>
      <c r="BN7398" s="397"/>
      <c r="BO7398" s="397"/>
      <c r="BP7398" s="397"/>
      <c r="BQ7398" s="397"/>
      <c r="BR7398" s="397"/>
      <c r="BS7398" s="397"/>
      <c r="BT7398" s="397"/>
      <c r="BU7398" s="397"/>
      <c r="BV7398" s="397"/>
      <c r="BW7398" s="397"/>
      <c r="BX7398" s="397"/>
      <c r="BY7398" s="397"/>
      <c r="BZ7398" s="397"/>
      <c r="CA7398" s="392" t="s">
        <v>413</v>
      </c>
    </row>
    <row r="7399" spans="1:79" s="392" customFormat="1" ht="15" x14ac:dyDescent="0.25">
      <c r="A7399" s="385"/>
      <c r="D7399" s="700"/>
      <c r="E7399" s="397"/>
      <c r="H7399" s="401">
        <v>3</v>
      </c>
      <c r="I7399" s="401"/>
      <c r="J7399" s="401"/>
      <c r="K7399" s="401"/>
      <c r="L7399" s="675"/>
      <c r="M7399" s="672">
        <v>28712</v>
      </c>
      <c r="N7399" s="623">
        <v>3.0603570416548601E-2</v>
      </c>
      <c r="O7399" s="624" t="s">
        <v>71</v>
      </c>
      <c r="P7399" s="397"/>
      <c r="Q7399" s="397"/>
      <c r="R7399" s="397"/>
      <c r="S7399" s="397"/>
      <c r="T7399" s="397"/>
      <c r="U7399" s="397"/>
      <c r="V7399" s="397"/>
      <c r="W7399" s="397"/>
      <c r="X7399" s="397"/>
      <c r="Y7399" s="397"/>
      <c r="Z7399" s="397"/>
      <c r="AD7399" s="388">
        <v>3.4137599999999999</v>
      </c>
      <c r="AE7399" s="388">
        <v>0.10668</v>
      </c>
      <c r="AF7399" s="388">
        <v>0.3641799168</v>
      </c>
      <c r="AG7399" s="388">
        <v>8.5344000000000017E-2</v>
      </c>
      <c r="AH7399" s="391"/>
      <c r="AI7399" s="397"/>
      <c r="AJ7399" s="397"/>
      <c r="AU7399" s="397"/>
      <c r="AV7399" s="397"/>
      <c r="AW7399" s="397"/>
      <c r="AX7399" s="397"/>
      <c r="BI7399" s="397"/>
      <c r="BJ7399" s="397"/>
      <c r="BK7399" s="397"/>
      <c r="BL7399" s="397"/>
      <c r="BM7399" s="397"/>
      <c r="BN7399" s="397"/>
      <c r="BO7399" s="397"/>
      <c r="BP7399" s="397"/>
      <c r="BQ7399" s="397"/>
      <c r="BR7399" s="397"/>
      <c r="BS7399" s="397"/>
      <c r="BT7399" s="397"/>
      <c r="BU7399" s="397"/>
      <c r="BV7399" s="397"/>
      <c r="BW7399" s="397"/>
      <c r="BX7399" s="397"/>
      <c r="BY7399" s="397"/>
      <c r="BZ7399" s="397"/>
      <c r="CA7399" s="392" t="s">
        <v>413</v>
      </c>
    </row>
    <row r="7400" spans="1:79" s="392" customFormat="1" ht="15" x14ac:dyDescent="0.25">
      <c r="A7400" s="385"/>
      <c r="D7400" s="700"/>
      <c r="E7400" s="397"/>
      <c r="H7400" s="401">
        <v>3</v>
      </c>
      <c r="I7400" s="401"/>
      <c r="J7400" s="401"/>
      <c r="K7400" s="401"/>
      <c r="L7400" s="675"/>
      <c r="M7400" s="672">
        <v>28718</v>
      </c>
      <c r="N7400" s="623">
        <v>2.5502975347123834E-2</v>
      </c>
      <c r="O7400" s="624" t="s">
        <v>71</v>
      </c>
      <c r="P7400" s="397"/>
      <c r="Q7400" s="397"/>
      <c r="R7400" s="397"/>
      <c r="S7400" s="397"/>
      <c r="T7400" s="397"/>
      <c r="U7400" s="397"/>
      <c r="V7400" s="397"/>
      <c r="W7400" s="397"/>
      <c r="X7400" s="397"/>
      <c r="Y7400" s="397"/>
      <c r="Z7400" s="397"/>
      <c r="AD7400" s="388">
        <v>3.3528000000000002</v>
      </c>
      <c r="AE7400" s="388">
        <v>0.10972800000000001</v>
      </c>
      <c r="AF7400" s="388">
        <v>0.36789603840000007</v>
      </c>
      <c r="AG7400" s="388">
        <v>7.3151999999999995E-2</v>
      </c>
      <c r="AH7400" s="391"/>
      <c r="AI7400" s="397"/>
      <c r="AJ7400" s="397"/>
      <c r="AU7400" s="397"/>
      <c r="AV7400" s="397"/>
      <c r="AW7400" s="397"/>
      <c r="AX7400" s="397"/>
      <c r="BI7400" s="397"/>
      <c r="BJ7400" s="397"/>
      <c r="BK7400" s="397"/>
      <c r="BL7400" s="397"/>
      <c r="BM7400" s="397"/>
      <c r="BN7400" s="397"/>
      <c r="BO7400" s="397"/>
      <c r="BP7400" s="397"/>
      <c r="BQ7400" s="397"/>
      <c r="BR7400" s="397"/>
      <c r="BS7400" s="397"/>
      <c r="BT7400" s="397"/>
      <c r="BU7400" s="397"/>
      <c r="BV7400" s="397"/>
      <c r="BW7400" s="397"/>
      <c r="BX7400" s="397"/>
      <c r="BY7400" s="397"/>
      <c r="BZ7400" s="397"/>
      <c r="CA7400" s="392" t="s">
        <v>413</v>
      </c>
    </row>
    <row r="7401" spans="1:79" s="392" customFormat="1" ht="15" x14ac:dyDescent="0.25">
      <c r="A7401" s="385"/>
      <c r="D7401" s="700"/>
      <c r="E7401" s="397"/>
      <c r="H7401" s="401">
        <v>3</v>
      </c>
      <c r="I7401" s="401"/>
      <c r="J7401" s="401"/>
      <c r="K7401" s="401"/>
      <c r="L7401" s="675"/>
      <c r="M7401" s="672">
        <v>28724</v>
      </c>
      <c r="N7401" s="623">
        <v>2.9470104845565316E-2</v>
      </c>
      <c r="O7401" s="624" t="s">
        <v>71</v>
      </c>
      <c r="P7401" s="397"/>
      <c r="Q7401" s="397"/>
      <c r="R7401" s="397"/>
      <c r="S7401" s="397"/>
      <c r="T7401" s="397"/>
      <c r="U7401" s="397"/>
      <c r="V7401" s="397"/>
      <c r="W7401" s="397"/>
      <c r="X7401" s="397"/>
      <c r="Y7401" s="397"/>
      <c r="Z7401" s="397"/>
      <c r="AD7401" s="388">
        <v>3.4137599999999999</v>
      </c>
      <c r="AE7401" s="388">
        <v>0.10058400000000001</v>
      </c>
      <c r="AF7401" s="388">
        <v>0.34336963584000002</v>
      </c>
      <c r="AG7401" s="388">
        <v>9.1440000000000007E-2</v>
      </c>
      <c r="AH7401" s="391"/>
      <c r="AI7401" s="397"/>
      <c r="AJ7401" s="397"/>
      <c r="AU7401" s="397"/>
      <c r="AV7401" s="397"/>
      <c r="AW7401" s="397"/>
      <c r="AX7401" s="397"/>
      <c r="BI7401" s="397"/>
      <c r="BJ7401" s="397"/>
      <c r="BK7401" s="397"/>
      <c r="BL7401" s="397"/>
      <c r="BM7401" s="397"/>
      <c r="BN7401" s="397"/>
      <c r="BO7401" s="397"/>
      <c r="BP7401" s="397"/>
      <c r="BQ7401" s="397"/>
      <c r="BR7401" s="397"/>
      <c r="BS7401" s="397"/>
      <c r="BT7401" s="397"/>
      <c r="BU7401" s="397"/>
      <c r="BV7401" s="397"/>
      <c r="BW7401" s="397"/>
      <c r="BX7401" s="397"/>
      <c r="BY7401" s="397"/>
      <c r="BZ7401" s="397"/>
      <c r="CA7401" s="392" t="s">
        <v>413</v>
      </c>
    </row>
    <row r="7402" spans="1:79" s="392" customFormat="1" ht="15" x14ac:dyDescent="0.25">
      <c r="A7402" s="385"/>
      <c r="D7402" s="700"/>
      <c r="E7402" s="397"/>
      <c r="H7402" s="401">
        <v>3</v>
      </c>
      <c r="I7402" s="401"/>
      <c r="J7402" s="401"/>
      <c r="K7402" s="401"/>
      <c r="L7402" s="675"/>
      <c r="M7402" s="672">
        <v>28733</v>
      </c>
      <c r="N7402" s="623">
        <v>1.728534995749504E-2</v>
      </c>
      <c r="O7402" s="624" t="s">
        <v>71</v>
      </c>
      <c r="P7402" s="397"/>
      <c r="Q7402" s="397"/>
      <c r="R7402" s="397"/>
      <c r="S7402" s="397"/>
      <c r="T7402" s="397"/>
      <c r="U7402" s="397"/>
      <c r="V7402" s="397"/>
      <c r="W7402" s="397"/>
      <c r="X7402" s="397"/>
      <c r="Y7402" s="397"/>
      <c r="Z7402" s="397"/>
      <c r="AD7402" s="388">
        <v>3.3832800000000001</v>
      </c>
      <c r="AE7402" s="388">
        <v>9.7536000000000012E-2</v>
      </c>
      <c r="AF7402" s="388">
        <v>0.32999159808000006</v>
      </c>
      <c r="AG7402" s="388">
        <v>5.7912000000000005E-2</v>
      </c>
      <c r="AH7402" s="391"/>
      <c r="AI7402" s="397"/>
      <c r="AJ7402" s="397"/>
      <c r="AU7402" s="397"/>
      <c r="AV7402" s="397"/>
      <c r="AW7402" s="397"/>
      <c r="AX7402" s="397"/>
      <c r="BI7402" s="397"/>
      <c r="BJ7402" s="397"/>
      <c r="BK7402" s="397"/>
      <c r="BL7402" s="397"/>
      <c r="BM7402" s="397"/>
      <c r="BN7402" s="397"/>
      <c r="BO7402" s="397"/>
      <c r="BP7402" s="397"/>
      <c r="BQ7402" s="397"/>
      <c r="BR7402" s="397"/>
      <c r="BS7402" s="397"/>
      <c r="BT7402" s="397"/>
      <c r="BU7402" s="397"/>
      <c r="BV7402" s="397"/>
      <c r="BW7402" s="397"/>
      <c r="BX7402" s="397"/>
      <c r="BY7402" s="397"/>
      <c r="BZ7402" s="397"/>
      <c r="CA7402" s="392" t="s">
        <v>413</v>
      </c>
    </row>
    <row r="7403" spans="1:79" s="392" customFormat="1" ht="15" x14ac:dyDescent="0.25">
      <c r="A7403" s="385"/>
      <c r="D7403" s="700"/>
      <c r="E7403" s="397"/>
      <c r="H7403" s="401">
        <v>3</v>
      </c>
      <c r="I7403" s="401"/>
      <c r="J7403" s="401"/>
      <c r="K7403" s="401"/>
      <c r="L7403" s="675"/>
      <c r="M7403" s="672">
        <v>28752</v>
      </c>
      <c r="N7403" s="623">
        <v>1.6718617172003399E-2</v>
      </c>
      <c r="O7403" s="624" t="s">
        <v>71</v>
      </c>
      <c r="P7403" s="397"/>
      <c r="Q7403" s="397"/>
      <c r="R7403" s="397"/>
      <c r="S7403" s="397"/>
      <c r="T7403" s="397"/>
      <c r="U7403" s="397"/>
      <c r="V7403" s="397"/>
      <c r="W7403" s="397"/>
      <c r="X7403" s="397"/>
      <c r="Y7403" s="397"/>
      <c r="Z7403" s="397"/>
      <c r="AD7403" s="388">
        <v>3.3832800000000001</v>
      </c>
      <c r="AE7403" s="388">
        <v>9.7536000000000012E-2</v>
      </c>
      <c r="AF7403" s="388">
        <v>0.32999159808000006</v>
      </c>
      <c r="AG7403" s="388">
        <v>6.0960000000000007E-2</v>
      </c>
      <c r="AH7403" s="391"/>
      <c r="AI7403" s="397"/>
      <c r="AJ7403" s="397"/>
      <c r="AU7403" s="397"/>
      <c r="AV7403" s="397"/>
      <c r="AW7403" s="397"/>
      <c r="AX7403" s="397"/>
      <c r="BI7403" s="397"/>
      <c r="BJ7403" s="397"/>
      <c r="BK7403" s="397"/>
      <c r="BL7403" s="397"/>
      <c r="BM7403" s="397"/>
      <c r="BN7403" s="397"/>
      <c r="BO7403" s="397"/>
      <c r="BP7403" s="397"/>
      <c r="BQ7403" s="397"/>
      <c r="BR7403" s="397"/>
      <c r="BS7403" s="397"/>
      <c r="BT7403" s="397"/>
      <c r="BU7403" s="397"/>
      <c r="BV7403" s="397"/>
      <c r="BW7403" s="397"/>
      <c r="BX7403" s="397"/>
      <c r="BY7403" s="397"/>
      <c r="BZ7403" s="397"/>
      <c r="CA7403" s="392" t="s">
        <v>413</v>
      </c>
    </row>
    <row r="7404" spans="1:79" s="392" customFormat="1" ht="15" x14ac:dyDescent="0.25">
      <c r="A7404" s="385"/>
      <c r="D7404" s="700"/>
      <c r="E7404" s="397"/>
      <c r="H7404" s="401">
        <v>3</v>
      </c>
      <c r="I7404" s="401"/>
      <c r="J7404" s="401"/>
      <c r="K7404" s="401"/>
      <c r="L7404" s="675"/>
      <c r="M7404" s="672">
        <v>28998</v>
      </c>
      <c r="N7404" s="623">
        <v>1.2751487673561916</v>
      </c>
      <c r="O7404" s="624">
        <v>5.3666666666666668E-2</v>
      </c>
      <c r="P7404" s="397"/>
      <c r="Q7404" s="397"/>
      <c r="R7404" s="397"/>
      <c r="S7404" s="397"/>
      <c r="T7404" s="397"/>
      <c r="U7404" s="397"/>
      <c r="V7404" s="397"/>
      <c r="W7404" s="397"/>
      <c r="X7404" s="397"/>
      <c r="Y7404" s="397"/>
      <c r="Z7404" s="397"/>
      <c r="AD7404" s="388">
        <v>3.5052000000000003</v>
      </c>
      <c r="AE7404" s="388">
        <v>0</v>
      </c>
      <c r="AF7404" s="388">
        <v>0</v>
      </c>
      <c r="AG7404" s="388">
        <v>0</v>
      </c>
      <c r="AH7404" s="391"/>
      <c r="AI7404" s="397"/>
      <c r="AJ7404" s="397"/>
      <c r="AU7404" s="397"/>
      <c r="AV7404" s="397"/>
      <c r="AW7404" s="397"/>
      <c r="AX7404" s="397"/>
      <c r="BI7404" s="397"/>
      <c r="BJ7404" s="397"/>
      <c r="BK7404" s="397"/>
      <c r="BL7404" s="397"/>
      <c r="BM7404" s="397"/>
      <c r="BN7404" s="397"/>
      <c r="BO7404" s="397"/>
      <c r="BP7404" s="397"/>
      <c r="BQ7404" s="397"/>
      <c r="BR7404" s="397"/>
      <c r="BS7404" s="397"/>
      <c r="BT7404" s="397"/>
      <c r="BU7404" s="397"/>
      <c r="BV7404" s="397"/>
      <c r="BW7404" s="397"/>
      <c r="BX7404" s="397"/>
      <c r="BY7404" s="397"/>
      <c r="BZ7404" s="397"/>
      <c r="CA7404" s="392" t="s">
        <v>413</v>
      </c>
    </row>
    <row r="7405" spans="1:79" s="392" customFormat="1" ht="15" x14ac:dyDescent="0.25">
      <c r="A7405" s="385"/>
      <c r="D7405" s="700"/>
      <c r="E7405" s="397"/>
      <c r="H7405" s="401">
        <v>3</v>
      </c>
      <c r="I7405" s="401"/>
      <c r="J7405" s="401"/>
      <c r="K7405" s="401"/>
      <c r="L7405" s="675"/>
      <c r="M7405" s="672">
        <v>29025</v>
      </c>
      <c r="N7405" s="623">
        <v>1.1635024086143384</v>
      </c>
      <c r="O7405" s="624">
        <v>4.3263200000000002E-2</v>
      </c>
      <c r="P7405" s="397"/>
      <c r="Q7405" s="397"/>
      <c r="R7405" s="397"/>
      <c r="S7405" s="397"/>
      <c r="T7405" s="397"/>
      <c r="U7405" s="397"/>
      <c r="V7405" s="397"/>
      <c r="W7405" s="397"/>
      <c r="X7405" s="397"/>
      <c r="Y7405" s="397"/>
      <c r="Z7405" s="397"/>
      <c r="AD7405" s="388">
        <v>3.7490400000000004</v>
      </c>
      <c r="AE7405" s="388">
        <v>0.27432000000000001</v>
      </c>
      <c r="AF7405" s="388">
        <v>1.0284366528000002</v>
      </c>
      <c r="AG7405" s="388">
        <v>1.1277600000000001</v>
      </c>
      <c r="AH7405" s="391"/>
      <c r="AI7405" s="397"/>
      <c r="AJ7405" s="397"/>
      <c r="AU7405" s="397"/>
      <c r="AV7405" s="397"/>
      <c r="AW7405" s="397"/>
      <c r="AX7405" s="397"/>
      <c r="BI7405" s="397"/>
      <c r="BJ7405" s="397"/>
      <c r="BK7405" s="397"/>
      <c r="BL7405" s="397"/>
      <c r="BM7405" s="397"/>
      <c r="BN7405" s="397"/>
      <c r="BO7405" s="397"/>
      <c r="BP7405" s="397"/>
      <c r="BQ7405" s="397"/>
      <c r="BR7405" s="397"/>
      <c r="BS7405" s="397"/>
      <c r="BT7405" s="397"/>
      <c r="BU7405" s="397"/>
      <c r="BV7405" s="397"/>
      <c r="BW7405" s="397"/>
      <c r="BX7405" s="397"/>
      <c r="BY7405" s="397"/>
      <c r="BZ7405" s="397"/>
      <c r="CA7405" s="392" t="s">
        <v>413</v>
      </c>
    </row>
    <row r="7406" spans="1:79" s="392" customFormat="1" ht="15" x14ac:dyDescent="0.25">
      <c r="A7406" s="385"/>
      <c r="D7406" s="700"/>
      <c r="E7406" s="397"/>
      <c r="H7406" s="401">
        <v>3</v>
      </c>
      <c r="I7406" s="401"/>
      <c r="J7406" s="401"/>
      <c r="K7406" s="401"/>
      <c r="L7406" s="675"/>
      <c r="M7406" s="672">
        <v>29032</v>
      </c>
      <c r="N7406" s="623">
        <v>0.64890903938792854</v>
      </c>
      <c r="O7406" s="624">
        <v>1.1516800000000001E-2</v>
      </c>
      <c r="P7406" s="397"/>
      <c r="Q7406" s="397"/>
      <c r="R7406" s="397"/>
      <c r="S7406" s="397"/>
      <c r="T7406" s="397"/>
      <c r="U7406" s="397"/>
      <c r="V7406" s="397"/>
      <c r="W7406" s="397"/>
      <c r="X7406" s="397"/>
      <c r="Y7406" s="397"/>
      <c r="Z7406" s="397"/>
      <c r="AD7406" s="388">
        <v>3.7185600000000001</v>
      </c>
      <c r="AE7406" s="388">
        <v>0.21640799999999999</v>
      </c>
      <c r="AF7406" s="388">
        <v>0.80472613248000002</v>
      </c>
      <c r="AG7406" s="388">
        <v>0.73152000000000006</v>
      </c>
      <c r="AH7406" s="391"/>
      <c r="AI7406" s="397"/>
      <c r="AJ7406" s="397"/>
      <c r="AU7406" s="397"/>
      <c r="AV7406" s="397"/>
      <c r="AW7406" s="397"/>
      <c r="AX7406" s="397"/>
      <c r="BI7406" s="397"/>
      <c r="BJ7406" s="397"/>
      <c r="BK7406" s="397"/>
      <c r="BL7406" s="397"/>
      <c r="BM7406" s="397"/>
      <c r="BN7406" s="397"/>
      <c r="BO7406" s="397"/>
      <c r="BP7406" s="397"/>
      <c r="BQ7406" s="397"/>
      <c r="BR7406" s="397"/>
      <c r="BS7406" s="397"/>
      <c r="BT7406" s="397"/>
      <c r="BU7406" s="397"/>
      <c r="BV7406" s="397"/>
      <c r="BW7406" s="397"/>
      <c r="BX7406" s="397"/>
      <c r="BY7406" s="397"/>
      <c r="BZ7406" s="397"/>
      <c r="CA7406" s="392" t="s">
        <v>413</v>
      </c>
    </row>
    <row r="7407" spans="1:79" s="392" customFormat="1" ht="15" x14ac:dyDescent="0.25">
      <c r="A7407" s="385"/>
      <c r="D7407" s="700"/>
      <c r="E7407" s="397"/>
      <c r="H7407" s="401">
        <v>3</v>
      </c>
      <c r="I7407" s="401"/>
      <c r="J7407" s="401"/>
      <c r="K7407" s="401"/>
      <c r="L7407" s="675"/>
      <c r="M7407" s="672">
        <v>29039</v>
      </c>
      <c r="N7407" s="623">
        <v>0.15868517993765938</v>
      </c>
      <c r="O7407" s="624">
        <v>2.5652000000000006E-3</v>
      </c>
      <c r="P7407" s="397"/>
      <c r="Q7407" s="397"/>
      <c r="R7407" s="397"/>
      <c r="S7407" s="397"/>
      <c r="T7407" s="397"/>
      <c r="U7407" s="397"/>
      <c r="V7407" s="397"/>
      <c r="W7407" s="397"/>
      <c r="X7407" s="397"/>
      <c r="Y7407" s="397"/>
      <c r="Z7407" s="397"/>
      <c r="AD7407" s="388">
        <v>3.6880800000000002</v>
      </c>
      <c r="AE7407" s="388"/>
      <c r="AF7407" s="388"/>
      <c r="AG7407" s="388"/>
      <c r="AH7407" s="391"/>
      <c r="AI7407" s="397"/>
      <c r="AJ7407" s="397"/>
      <c r="AU7407" s="397"/>
      <c r="AV7407" s="397"/>
      <c r="AW7407" s="397"/>
      <c r="AX7407" s="397"/>
      <c r="BI7407" s="397"/>
      <c r="BJ7407" s="397"/>
      <c r="BK7407" s="397"/>
      <c r="BL7407" s="397"/>
      <c r="BM7407" s="397"/>
      <c r="BN7407" s="397"/>
      <c r="BO7407" s="397"/>
      <c r="BP7407" s="397"/>
      <c r="BQ7407" s="397"/>
      <c r="BR7407" s="397"/>
      <c r="BS7407" s="397"/>
      <c r="BT7407" s="397"/>
      <c r="BU7407" s="397"/>
      <c r="BV7407" s="397"/>
      <c r="BW7407" s="397"/>
      <c r="BX7407" s="397"/>
      <c r="BY7407" s="397"/>
      <c r="BZ7407" s="397"/>
      <c r="CA7407" s="392" t="s">
        <v>413</v>
      </c>
    </row>
    <row r="7408" spans="1:79" s="392" customFormat="1" ht="15" x14ac:dyDescent="0.25">
      <c r="A7408" s="385"/>
      <c r="D7408" s="700"/>
      <c r="E7408" s="397"/>
      <c r="H7408" s="401">
        <v>3</v>
      </c>
      <c r="I7408" s="401"/>
      <c r="J7408" s="401"/>
      <c r="K7408" s="401"/>
      <c r="L7408" s="675"/>
      <c r="M7408" s="672">
        <v>29046</v>
      </c>
      <c r="N7408" s="623">
        <v>5.1005950694247668E-2</v>
      </c>
      <c r="O7408" s="624">
        <v>2.0897999999999997E-3</v>
      </c>
      <c r="P7408" s="397"/>
      <c r="Q7408" s="397"/>
      <c r="R7408" s="397"/>
      <c r="S7408" s="397"/>
      <c r="T7408" s="397"/>
      <c r="U7408" s="397"/>
      <c r="V7408" s="397"/>
      <c r="W7408" s="397"/>
      <c r="X7408" s="397"/>
      <c r="Y7408" s="397"/>
      <c r="Z7408" s="397"/>
      <c r="AD7408" s="388">
        <v>2.46888</v>
      </c>
      <c r="AE7408" s="388"/>
      <c r="AF7408" s="388"/>
      <c r="AG7408" s="388"/>
      <c r="AH7408" s="391"/>
      <c r="AI7408" s="397"/>
      <c r="AJ7408" s="397"/>
      <c r="AU7408" s="397"/>
      <c r="AV7408" s="397"/>
      <c r="AW7408" s="397"/>
      <c r="AX7408" s="397"/>
      <c r="BI7408" s="397"/>
      <c r="BJ7408" s="397"/>
      <c r="BK7408" s="397"/>
      <c r="BL7408" s="397"/>
      <c r="BM7408" s="397"/>
      <c r="BN7408" s="397"/>
      <c r="BO7408" s="397"/>
      <c r="BP7408" s="397"/>
      <c r="BQ7408" s="397"/>
      <c r="BR7408" s="397"/>
      <c r="BS7408" s="397"/>
      <c r="BT7408" s="397"/>
      <c r="BU7408" s="397"/>
      <c r="BV7408" s="397"/>
      <c r="BW7408" s="397"/>
      <c r="BX7408" s="397"/>
      <c r="BY7408" s="397"/>
      <c r="BZ7408" s="397"/>
      <c r="CA7408" s="392" t="s">
        <v>413</v>
      </c>
    </row>
    <row r="7409" spans="1:80" s="392" customFormat="1" ht="15" x14ac:dyDescent="0.25">
      <c r="A7409" s="385"/>
      <c r="D7409" s="700"/>
      <c r="E7409" s="397"/>
      <c r="H7409" s="401">
        <v>3</v>
      </c>
      <c r="I7409" s="401"/>
      <c r="J7409" s="401"/>
      <c r="K7409" s="401"/>
      <c r="L7409" s="675"/>
      <c r="M7409" s="672">
        <v>29052</v>
      </c>
      <c r="N7409" s="623">
        <v>2.4369509776140549E-2</v>
      </c>
      <c r="O7409" s="624">
        <v>5.9386666666666661E-4</v>
      </c>
      <c r="P7409" s="397"/>
      <c r="Q7409" s="397"/>
      <c r="R7409" s="397"/>
      <c r="S7409" s="397"/>
      <c r="T7409" s="397"/>
      <c r="U7409" s="397"/>
      <c r="V7409" s="397"/>
      <c r="W7409" s="397"/>
      <c r="X7409" s="397"/>
      <c r="Y7409" s="397"/>
      <c r="Z7409" s="397"/>
      <c r="AD7409" s="388">
        <v>2.0726400000000003</v>
      </c>
      <c r="AE7409" s="388"/>
      <c r="AF7409" s="388"/>
      <c r="AG7409" s="388"/>
      <c r="AH7409" s="391"/>
      <c r="AI7409" s="397"/>
      <c r="AJ7409" s="397"/>
      <c r="AU7409" s="397"/>
      <c r="AV7409" s="397"/>
      <c r="AW7409" s="397"/>
      <c r="AX7409" s="397"/>
      <c r="BI7409" s="397"/>
      <c r="BJ7409" s="397"/>
      <c r="BK7409" s="397"/>
      <c r="BL7409" s="397"/>
      <c r="BM7409" s="397"/>
      <c r="BN7409" s="397"/>
      <c r="BO7409" s="397"/>
      <c r="BP7409" s="397"/>
      <c r="BQ7409" s="397"/>
      <c r="BR7409" s="397"/>
      <c r="BS7409" s="397"/>
      <c r="BT7409" s="397"/>
      <c r="BU7409" s="397"/>
      <c r="BV7409" s="397"/>
      <c r="BW7409" s="397"/>
      <c r="BX7409" s="397"/>
      <c r="BY7409" s="397"/>
      <c r="BZ7409" s="397"/>
      <c r="CA7409" s="392" t="s">
        <v>413</v>
      </c>
    </row>
    <row r="7410" spans="1:80" s="392" customFormat="1" ht="15" x14ac:dyDescent="0.25">
      <c r="A7410" s="385"/>
      <c r="D7410" s="700"/>
      <c r="E7410" s="397"/>
      <c r="H7410" s="401">
        <v>3</v>
      </c>
      <c r="I7410" s="401"/>
      <c r="J7410" s="401"/>
      <c r="K7410" s="401"/>
      <c r="L7410" s="675"/>
      <c r="M7410" s="672">
        <v>29061</v>
      </c>
      <c r="N7410" s="623">
        <v>1.2751487673561917E-2</v>
      </c>
      <c r="O7410" s="624">
        <v>0</v>
      </c>
      <c r="P7410" s="397"/>
      <c r="Q7410" s="397"/>
      <c r="R7410" s="397"/>
      <c r="S7410" s="397"/>
      <c r="T7410" s="397"/>
      <c r="U7410" s="397"/>
      <c r="V7410" s="397"/>
      <c r="W7410" s="397"/>
      <c r="X7410" s="397"/>
      <c r="Y7410" s="397"/>
      <c r="Z7410" s="397"/>
      <c r="AD7410" s="388">
        <v>2.0116800000000001</v>
      </c>
      <c r="AE7410" s="388"/>
      <c r="AF7410" s="388"/>
      <c r="AG7410" s="388"/>
      <c r="AH7410" s="391"/>
      <c r="AI7410" s="397"/>
      <c r="AJ7410" s="397"/>
      <c r="AU7410" s="397"/>
      <c r="AV7410" s="397"/>
      <c r="AW7410" s="397"/>
      <c r="AX7410" s="397"/>
      <c r="BI7410" s="397"/>
      <c r="BJ7410" s="397"/>
      <c r="BK7410" s="397"/>
      <c r="BL7410" s="397"/>
      <c r="BM7410" s="397"/>
      <c r="BN7410" s="397"/>
      <c r="BO7410" s="397"/>
      <c r="BP7410" s="397"/>
      <c r="BQ7410" s="397"/>
      <c r="BR7410" s="397"/>
      <c r="BS7410" s="397"/>
      <c r="BT7410" s="397"/>
      <c r="BU7410" s="397"/>
      <c r="BV7410" s="397"/>
      <c r="BW7410" s="397"/>
      <c r="BX7410" s="397"/>
      <c r="BY7410" s="397"/>
      <c r="BZ7410" s="397"/>
      <c r="CA7410" s="392" t="s">
        <v>413</v>
      </c>
    </row>
    <row r="7411" spans="1:80" s="189" customFormat="1" ht="15" x14ac:dyDescent="0.25">
      <c r="A7411" s="381" t="s">
        <v>473</v>
      </c>
      <c r="B7411" s="641" t="s">
        <v>34</v>
      </c>
      <c r="C7411" s="639"/>
      <c r="D7411" s="4">
        <f>VLOOKUP(E7411,'Quality Code'!$D$4:$E$24,2,TRUE)*VLOOKUP(MROUND(F7411,10),'Quality Code'!$D$28:$E$69,2,TRUE)*VLOOKUP(COUNTA(CB7411:CB7421),'Quality Code'!$D$73:$E$93,2,TRUE)</f>
        <v>0.1</v>
      </c>
      <c r="E7411" s="14">
        <v>0.4</v>
      </c>
      <c r="F7411" s="2">
        <v>10</v>
      </c>
      <c r="G7411" s="12"/>
      <c r="H7411" s="2" t="s">
        <v>105</v>
      </c>
      <c r="I7411" s="2"/>
      <c r="J7411" s="2"/>
      <c r="K7411" s="2"/>
      <c r="L7411" s="639"/>
      <c r="M7411" s="640" t="s">
        <v>916</v>
      </c>
      <c r="N7411" s="578" t="s">
        <v>110</v>
      </c>
      <c r="O7411" s="578"/>
      <c r="P7411" s="26"/>
      <c r="Q7411" s="26"/>
      <c r="R7411" s="26"/>
      <c r="S7411" s="26"/>
      <c r="T7411" s="26"/>
      <c r="U7411" s="26"/>
      <c r="V7411" s="10"/>
      <c r="W7411" s="10"/>
      <c r="X7411" s="10"/>
      <c r="Y7411" s="10"/>
      <c r="Z7411" s="2"/>
      <c r="AA7411" s="26"/>
      <c r="AB7411" s="26"/>
      <c r="AC7411" s="377">
        <v>4.8000000000000001E-2</v>
      </c>
      <c r="AD7411" s="406"/>
      <c r="AE7411" s="26"/>
      <c r="AF7411" s="26"/>
      <c r="AG7411" s="26"/>
      <c r="AH7411" s="26"/>
      <c r="AI7411" s="4"/>
      <c r="AJ7411" s="4"/>
      <c r="AK7411" s="26"/>
      <c r="AL7411" s="26"/>
      <c r="AM7411" s="26"/>
      <c r="AN7411" s="26"/>
      <c r="AO7411" s="26"/>
      <c r="AP7411" s="26"/>
      <c r="AQ7411" s="26"/>
      <c r="AR7411" s="26"/>
      <c r="AS7411" s="26"/>
      <c r="AT7411" s="26"/>
      <c r="AU7411" s="4"/>
      <c r="AV7411" s="4"/>
      <c r="AW7411" s="4"/>
      <c r="AX7411" s="4"/>
      <c r="AY7411" s="2"/>
      <c r="AZ7411" s="2"/>
      <c r="BA7411" s="12"/>
      <c r="BB7411" s="12"/>
      <c r="BC7411" s="12"/>
      <c r="BD7411" s="12"/>
      <c r="BE7411" s="12"/>
      <c r="BF7411" s="12"/>
      <c r="BG7411" s="12"/>
      <c r="BH7411" s="12"/>
      <c r="BI7411" s="4"/>
      <c r="BJ7411" s="12"/>
      <c r="BK7411" s="2"/>
      <c r="BL7411" s="2"/>
      <c r="BM7411" s="4"/>
      <c r="BN7411" s="12"/>
      <c r="BO7411" s="12"/>
      <c r="BP7411" s="12"/>
      <c r="BQ7411" s="4"/>
      <c r="BR7411" s="4"/>
      <c r="BS7411" s="4"/>
      <c r="BT7411" s="2"/>
      <c r="BU7411" s="9"/>
      <c r="BV7411" s="381"/>
      <c r="BW7411" s="382"/>
      <c r="BX7411" s="383"/>
      <c r="BY7411" s="383" t="s">
        <v>416</v>
      </c>
      <c r="BZ7411" s="383"/>
      <c r="CA7411" s="384" t="s">
        <v>413</v>
      </c>
      <c r="CB7411" s="411"/>
    </row>
    <row r="7412" spans="1:80" s="392" customFormat="1" ht="15" x14ac:dyDescent="0.25">
      <c r="A7412" s="385"/>
      <c r="D7412" s="700"/>
      <c r="E7412" s="397"/>
      <c r="H7412" s="401">
        <v>3</v>
      </c>
      <c r="I7412" s="401"/>
      <c r="J7412" s="401"/>
      <c r="K7412" s="401"/>
      <c r="L7412" s="675"/>
      <c r="M7412" s="672">
        <v>28661</v>
      </c>
      <c r="N7412" s="623">
        <v>0.47407197506375748</v>
      </c>
      <c r="O7412" s="624">
        <v>5.8219999999999999E-3</v>
      </c>
      <c r="P7412" s="397"/>
      <c r="Q7412" s="397"/>
      <c r="R7412" s="397"/>
      <c r="S7412" s="397"/>
      <c r="T7412" s="397"/>
      <c r="U7412" s="397"/>
      <c r="V7412" s="397"/>
      <c r="W7412" s="397"/>
      <c r="X7412" s="397"/>
      <c r="Y7412" s="397"/>
      <c r="Z7412" s="397"/>
      <c r="AD7412" s="388">
        <v>2.1640799999999998</v>
      </c>
      <c r="AE7412" s="388">
        <v>0.22250400000000001</v>
      </c>
      <c r="AF7412" s="388">
        <v>0.48151645631999995</v>
      </c>
      <c r="AG7412" s="388">
        <v>0.9144000000000001</v>
      </c>
      <c r="AH7412" s="391"/>
      <c r="AI7412" s="397"/>
      <c r="AJ7412" s="397"/>
      <c r="AU7412" s="397"/>
      <c r="AV7412" s="397"/>
      <c r="AW7412" s="397"/>
      <c r="AX7412" s="397"/>
      <c r="BI7412" s="397"/>
      <c r="BJ7412" s="397"/>
      <c r="BK7412" s="397"/>
      <c r="BL7412" s="397"/>
      <c r="BM7412" s="397"/>
      <c r="BN7412" s="397"/>
      <c r="BO7412" s="397"/>
      <c r="BP7412" s="397"/>
      <c r="BQ7412" s="397"/>
      <c r="BR7412" s="397"/>
      <c r="BS7412" s="397"/>
      <c r="BT7412" s="397"/>
      <c r="BU7412" s="397"/>
      <c r="BV7412" s="397"/>
      <c r="BW7412" s="397"/>
      <c r="BX7412" s="397"/>
      <c r="BY7412" s="397"/>
      <c r="BZ7412" s="397"/>
      <c r="CA7412" s="392" t="s">
        <v>413</v>
      </c>
    </row>
    <row r="7413" spans="1:80" s="392" customFormat="1" ht="15" x14ac:dyDescent="0.25">
      <c r="A7413" s="385"/>
      <c r="D7413" s="700"/>
      <c r="E7413" s="397"/>
      <c r="H7413" s="401">
        <v>3</v>
      </c>
      <c r="I7413" s="401"/>
      <c r="J7413" s="401"/>
      <c r="K7413" s="401"/>
      <c r="L7413" s="675"/>
      <c r="M7413" s="672">
        <v>28669</v>
      </c>
      <c r="N7413" s="623">
        <v>0.22414281666194391</v>
      </c>
      <c r="O7413" s="624">
        <v>6.5599999999999999E-3</v>
      </c>
      <c r="P7413" s="397"/>
      <c r="Q7413" s="397"/>
      <c r="R7413" s="397"/>
      <c r="S7413" s="397"/>
      <c r="T7413" s="397"/>
      <c r="U7413" s="397"/>
      <c r="V7413" s="397"/>
      <c r="W7413" s="397"/>
      <c r="X7413" s="397"/>
      <c r="Y7413" s="397"/>
      <c r="Z7413" s="397"/>
      <c r="AD7413" s="388">
        <v>1.8288000000000002</v>
      </c>
      <c r="AE7413" s="388">
        <v>0.18897600000000001</v>
      </c>
      <c r="AF7413" s="388">
        <v>0.34559930880000006</v>
      </c>
      <c r="AG7413" s="388">
        <v>0.60960000000000003</v>
      </c>
      <c r="AH7413" s="391"/>
      <c r="AI7413" s="397"/>
      <c r="AJ7413" s="397"/>
      <c r="AU7413" s="397"/>
      <c r="AV7413" s="397"/>
      <c r="AW7413" s="397"/>
      <c r="AX7413" s="397"/>
      <c r="BI7413" s="397"/>
      <c r="BJ7413" s="397"/>
      <c r="BK7413" s="397"/>
      <c r="BL7413" s="397"/>
      <c r="BM7413" s="397"/>
      <c r="BN7413" s="397"/>
      <c r="BO7413" s="397"/>
      <c r="BP7413" s="397"/>
      <c r="BQ7413" s="397"/>
      <c r="BR7413" s="397"/>
      <c r="BS7413" s="397"/>
      <c r="BT7413" s="397"/>
      <c r="BU7413" s="397"/>
      <c r="BV7413" s="397"/>
      <c r="BW7413" s="397"/>
      <c r="BX7413" s="397"/>
      <c r="BY7413" s="397"/>
      <c r="BZ7413" s="397"/>
      <c r="CA7413" s="392" t="s">
        <v>413</v>
      </c>
    </row>
    <row r="7414" spans="1:80" s="392" customFormat="1" ht="15" x14ac:dyDescent="0.25">
      <c r="A7414" s="385"/>
      <c r="D7414" s="700"/>
      <c r="E7414" s="397"/>
      <c r="H7414" s="401">
        <v>3</v>
      </c>
      <c r="I7414" s="401"/>
      <c r="J7414" s="401"/>
      <c r="K7414" s="401"/>
      <c r="L7414" s="675"/>
      <c r="M7414" s="672">
        <v>28677</v>
      </c>
      <c r="N7414" s="623">
        <v>8.5009917823746103E-2</v>
      </c>
      <c r="O7414" s="624">
        <v>2.8613333333333334E-3</v>
      </c>
      <c r="P7414" s="397"/>
      <c r="Q7414" s="397"/>
      <c r="R7414" s="397"/>
      <c r="S7414" s="397"/>
      <c r="T7414" s="397"/>
      <c r="U7414" s="397"/>
      <c r="V7414" s="397"/>
      <c r="W7414" s="397"/>
      <c r="X7414" s="397"/>
      <c r="Y7414" s="397"/>
      <c r="Z7414" s="397"/>
      <c r="AD7414" s="388">
        <v>1.7678400000000001</v>
      </c>
      <c r="AE7414" s="388">
        <v>0.13106400000000001</v>
      </c>
      <c r="AF7414" s="388">
        <v>0.23170018176000004</v>
      </c>
      <c r="AG7414" s="388">
        <v>0.33528000000000002</v>
      </c>
      <c r="AH7414" s="391"/>
      <c r="AI7414" s="397"/>
      <c r="AJ7414" s="397"/>
      <c r="AU7414" s="397"/>
      <c r="AV7414" s="397"/>
      <c r="AW7414" s="397"/>
      <c r="AX7414" s="397"/>
      <c r="BI7414" s="397"/>
      <c r="BJ7414" s="397"/>
      <c r="BK7414" s="397"/>
      <c r="BL7414" s="397"/>
      <c r="BM7414" s="397"/>
      <c r="BN7414" s="397"/>
      <c r="BO7414" s="397"/>
      <c r="BP7414" s="397"/>
      <c r="BQ7414" s="397"/>
      <c r="BR7414" s="397"/>
      <c r="BS7414" s="397"/>
      <c r="BT7414" s="397"/>
      <c r="BU7414" s="397"/>
      <c r="BV7414" s="397"/>
      <c r="BW7414" s="397"/>
      <c r="BX7414" s="397"/>
      <c r="BY7414" s="397"/>
      <c r="BZ7414" s="397"/>
      <c r="CA7414" s="392" t="s">
        <v>413</v>
      </c>
    </row>
    <row r="7415" spans="1:80" s="392" customFormat="1" ht="15" x14ac:dyDescent="0.25">
      <c r="A7415" s="385"/>
      <c r="D7415" s="700"/>
      <c r="E7415" s="397"/>
      <c r="H7415" s="401">
        <v>3</v>
      </c>
      <c r="I7415" s="401"/>
      <c r="J7415" s="401"/>
      <c r="K7415" s="401"/>
      <c r="L7415" s="675"/>
      <c r="M7415" s="672">
        <v>28682</v>
      </c>
      <c r="N7415" s="623">
        <v>6.6024369509776137E-2</v>
      </c>
      <c r="O7415" s="624">
        <v>4.1800000000000002E-4</v>
      </c>
      <c r="P7415" s="397"/>
      <c r="Q7415" s="397"/>
      <c r="R7415" s="397"/>
      <c r="S7415" s="397"/>
      <c r="T7415" s="397"/>
      <c r="U7415" s="397"/>
      <c r="V7415" s="397"/>
      <c r="W7415" s="397"/>
      <c r="X7415" s="397"/>
      <c r="Y7415" s="397"/>
      <c r="Z7415" s="397"/>
      <c r="AD7415" s="388">
        <v>1.7373600000000002</v>
      </c>
      <c r="AE7415" s="388">
        <v>0.10972800000000001</v>
      </c>
      <c r="AF7415" s="388">
        <v>0.19063703808000004</v>
      </c>
      <c r="AG7415" s="388">
        <v>0.30480000000000002</v>
      </c>
      <c r="AH7415" s="391"/>
      <c r="AI7415" s="397"/>
      <c r="AJ7415" s="397"/>
      <c r="AU7415" s="397"/>
      <c r="AV7415" s="397"/>
      <c r="AW7415" s="397"/>
      <c r="AX7415" s="397"/>
      <c r="BI7415" s="397"/>
      <c r="BJ7415" s="397"/>
      <c r="BK7415" s="397"/>
      <c r="BL7415" s="397"/>
      <c r="BM7415" s="397"/>
      <c r="BN7415" s="397"/>
      <c r="BO7415" s="397"/>
      <c r="BP7415" s="397"/>
      <c r="BQ7415" s="397"/>
      <c r="BR7415" s="397"/>
      <c r="BS7415" s="397"/>
      <c r="BT7415" s="397"/>
      <c r="BU7415" s="397"/>
      <c r="BV7415" s="397"/>
      <c r="BW7415" s="397"/>
      <c r="BX7415" s="397"/>
      <c r="BY7415" s="397"/>
      <c r="BZ7415" s="397"/>
      <c r="CA7415" s="392" t="s">
        <v>413</v>
      </c>
    </row>
    <row r="7416" spans="1:80" s="392" customFormat="1" ht="15" x14ac:dyDescent="0.25">
      <c r="A7416" s="385"/>
      <c r="D7416" s="700"/>
      <c r="E7416" s="397"/>
      <c r="H7416" s="401">
        <v>3</v>
      </c>
      <c r="I7416" s="401"/>
      <c r="J7416" s="401"/>
      <c r="K7416" s="401"/>
      <c r="L7416" s="675"/>
      <c r="M7416" s="672">
        <v>28691</v>
      </c>
      <c r="N7416" s="623">
        <v>3.3437234344006798E-2</v>
      </c>
      <c r="O7416" s="624">
        <v>2.6599999999999996E-4</v>
      </c>
      <c r="P7416" s="397"/>
      <c r="Q7416" s="397"/>
      <c r="R7416" s="397"/>
      <c r="S7416" s="397"/>
      <c r="T7416" s="397"/>
      <c r="U7416" s="397"/>
      <c r="V7416" s="397"/>
      <c r="W7416" s="397"/>
      <c r="X7416" s="397"/>
      <c r="Y7416" s="397"/>
      <c r="Z7416" s="397"/>
      <c r="AD7416" s="388">
        <v>1.7373600000000002</v>
      </c>
      <c r="AE7416" s="388">
        <v>8.8391999999999998E-2</v>
      </c>
      <c r="AF7416" s="388">
        <v>0.15356872512000003</v>
      </c>
      <c r="AG7416" s="388">
        <v>0.18288000000000001</v>
      </c>
      <c r="AH7416" s="391"/>
      <c r="AI7416" s="397"/>
      <c r="AJ7416" s="397"/>
      <c r="AU7416" s="397"/>
      <c r="AV7416" s="397"/>
      <c r="AW7416" s="397"/>
      <c r="AX7416" s="397"/>
      <c r="BI7416" s="397"/>
      <c r="BJ7416" s="397"/>
      <c r="BK7416" s="397"/>
      <c r="BL7416" s="397"/>
      <c r="BM7416" s="397"/>
      <c r="BN7416" s="397"/>
      <c r="BO7416" s="397"/>
      <c r="BP7416" s="397"/>
      <c r="BQ7416" s="397"/>
      <c r="BR7416" s="397"/>
      <c r="BS7416" s="397"/>
      <c r="BT7416" s="397"/>
      <c r="BU7416" s="397"/>
      <c r="BV7416" s="397"/>
      <c r="BW7416" s="397"/>
      <c r="BX7416" s="397"/>
      <c r="BY7416" s="397"/>
      <c r="BZ7416" s="397"/>
      <c r="CA7416" s="392" t="s">
        <v>413</v>
      </c>
    </row>
    <row r="7417" spans="1:80" s="392" customFormat="1" ht="15" x14ac:dyDescent="0.25">
      <c r="A7417" s="385"/>
      <c r="D7417" s="700"/>
      <c r="E7417" s="397"/>
      <c r="H7417" s="401">
        <v>3</v>
      </c>
      <c r="I7417" s="401"/>
      <c r="J7417" s="401"/>
      <c r="K7417" s="401"/>
      <c r="L7417" s="675"/>
      <c r="M7417" s="672">
        <v>28696</v>
      </c>
      <c r="N7417" s="623">
        <v>1.728534995749504E-2</v>
      </c>
      <c r="O7417" s="624">
        <v>1.9600000000000002E-4</v>
      </c>
      <c r="P7417" s="397"/>
      <c r="Q7417" s="397"/>
      <c r="R7417" s="397"/>
      <c r="S7417" s="397"/>
      <c r="T7417" s="397"/>
      <c r="U7417" s="397"/>
      <c r="V7417" s="397"/>
      <c r="W7417" s="397"/>
      <c r="X7417" s="397"/>
      <c r="Y7417" s="397"/>
      <c r="Z7417" s="397"/>
      <c r="AD7417" s="388">
        <v>1.4935200000000002</v>
      </c>
      <c r="AE7417" s="388">
        <v>8.2296000000000008E-2</v>
      </c>
      <c r="AF7417" s="388">
        <v>0.12291072192000002</v>
      </c>
      <c r="AG7417" s="388">
        <v>0.12192000000000001</v>
      </c>
      <c r="AH7417" s="391"/>
      <c r="AI7417" s="397"/>
      <c r="AJ7417" s="397"/>
      <c r="AU7417" s="397"/>
      <c r="AV7417" s="397"/>
      <c r="AW7417" s="397"/>
      <c r="AX7417" s="397"/>
      <c r="BI7417" s="397"/>
      <c r="BJ7417" s="397"/>
      <c r="BK7417" s="397"/>
      <c r="BL7417" s="397"/>
      <c r="BM7417" s="397"/>
      <c r="BN7417" s="397"/>
      <c r="BO7417" s="397"/>
      <c r="BP7417" s="397"/>
      <c r="BQ7417" s="397"/>
      <c r="BR7417" s="397"/>
      <c r="BS7417" s="397"/>
      <c r="BT7417" s="397"/>
      <c r="BU7417" s="397"/>
      <c r="BV7417" s="397"/>
      <c r="BW7417" s="397"/>
      <c r="BX7417" s="397"/>
      <c r="BY7417" s="397"/>
      <c r="BZ7417" s="397"/>
      <c r="CA7417" s="392" t="s">
        <v>413</v>
      </c>
    </row>
    <row r="7418" spans="1:80" s="392" customFormat="1" ht="15" x14ac:dyDescent="0.25">
      <c r="A7418" s="385"/>
      <c r="D7418" s="700"/>
      <c r="E7418" s="397"/>
      <c r="H7418" s="401">
        <v>3</v>
      </c>
      <c r="I7418" s="401"/>
      <c r="J7418" s="401"/>
      <c r="K7418" s="401"/>
      <c r="L7418" s="675"/>
      <c r="M7418" s="672">
        <v>28698</v>
      </c>
      <c r="N7418" s="623">
        <v>1.501841881552848E-2</v>
      </c>
      <c r="O7418" s="624">
        <v>1.7333333333333334E-4</v>
      </c>
      <c r="P7418" s="397"/>
      <c r="Q7418" s="397"/>
      <c r="R7418" s="397"/>
      <c r="S7418" s="397"/>
      <c r="T7418" s="397"/>
      <c r="U7418" s="397"/>
      <c r="V7418" s="397"/>
      <c r="W7418" s="397"/>
      <c r="X7418" s="397"/>
      <c r="Y7418" s="397"/>
      <c r="Z7418" s="397"/>
      <c r="AD7418" s="388">
        <v>1.5849600000000001</v>
      </c>
      <c r="AE7418" s="388">
        <v>7.9248000000000013E-2</v>
      </c>
      <c r="AF7418" s="388">
        <v>0.12560491008000002</v>
      </c>
      <c r="AG7418" s="388">
        <v>9.1440000000000007E-2</v>
      </c>
      <c r="AH7418" s="391"/>
      <c r="AI7418" s="397"/>
      <c r="AJ7418" s="397"/>
      <c r="AU7418" s="397"/>
      <c r="AV7418" s="397"/>
      <c r="AW7418" s="397"/>
      <c r="AX7418" s="397"/>
      <c r="BI7418" s="397"/>
      <c r="BJ7418" s="397"/>
      <c r="BK7418" s="397"/>
      <c r="BL7418" s="397"/>
      <c r="BM7418" s="397"/>
      <c r="BN7418" s="397"/>
      <c r="BO7418" s="397"/>
      <c r="BP7418" s="397"/>
      <c r="BQ7418" s="397"/>
      <c r="BR7418" s="397"/>
      <c r="BS7418" s="397"/>
      <c r="BT7418" s="397"/>
      <c r="BU7418" s="397"/>
      <c r="BV7418" s="397"/>
      <c r="BW7418" s="397"/>
      <c r="BX7418" s="397"/>
      <c r="BY7418" s="397"/>
      <c r="BZ7418" s="397"/>
      <c r="CA7418" s="392" t="s">
        <v>413</v>
      </c>
    </row>
    <row r="7419" spans="1:80" s="392" customFormat="1" ht="15" x14ac:dyDescent="0.25">
      <c r="A7419" s="385"/>
      <c r="D7419" s="700"/>
      <c r="E7419" s="397"/>
      <c r="H7419" s="401">
        <v>3</v>
      </c>
      <c r="I7419" s="401"/>
      <c r="J7419" s="401"/>
      <c r="K7419" s="401"/>
      <c r="L7419" s="675"/>
      <c r="M7419" s="672">
        <v>28704</v>
      </c>
      <c r="N7419" s="623">
        <v>1.4735052422782658E-2</v>
      </c>
      <c r="O7419" s="624" t="s">
        <v>71</v>
      </c>
      <c r="P7419" s="397"/>
      <c r="Q7419" s="397"/>
      <c r="R7419" s="397"/>
      <c r="S7419" s="397"/>
      <c r="T7419" s="397"/>
      <c r="U7419" s="397"/>
      <c r="V7419" s="397"/>
      <c r="W7419" s="397"/>
      <c r="X7419" s="397"/>
      <c r="Y7419" s="397"/>
      <c r="Z7419" s="397"/>
      <c r="AD7419" s="388">
        <v>1.4935200000000002</v>
      </c>
      <c r="AE7419" s="388">
        <v>8.2296000000000008E-2</v>
      </c>
      <c r="AF7419" s="388">
        <v>0.12291072192000002</v>
      </c>
      <c r="AG7419" s="388">
        <v>9.1440000000000007E-2</v>
      </c>
      <c r="AH7419" s="391"/>
      <c r="AI7419" s="397"/>
      <c r="AJ7419" s="397"/>
      <c r="AU7419" s="397"/>
      <c r="AV7419" s="397"/>
      <c r="AW7419" s="397"/>
      <c r="AX7419" s="397"/>
      <c r="BI7419" s="397"/>
      <c r="BJ7419" s="397"/>
      <c r="BK7419" s="397"/>
      <c r="BL7419" s="397"/>
      <c r="BM7419" s="397"/>
      <c r="BN7419" s="397"/>
      <c r="BO7419" s="397"/>
      <c r="BP7419" s="397"/>
      <c r="BQ7419" s="397"/>
      <c r="BR7419" s="397"/>
      <c r="BS7419" s="397"/>
      <c r="BT7419" s="397"/>
      <c r="BU7419" s="397"/>
      <c r="BV7419" s="397"/>
      <c r="BW7419" s="397"/>
      <c r="BX7419" s="397"/>
      <c r="BY7419" s="397"/>
      <c r="BZ7419" s="397"/>
      <c r="CA7419" s="392" t="s">
        <v>413</v>
      </c>
    </row>
    <row r="7420" spans="1:80" s="392" customFormat="1" ht="15" x14ac:dyDescent="0.25">
      <c r="A7420" s="385"/>
      <c r="D7420" s="700"/>
      <c r="E7420" s="397"/>
      <c r="H7420" s="401">
        <v>3</v>
      </c>
      <c r="I7420" s="401"/>
      <c r="J7420" s="401"/>
      <c r="K7420" s="401"/>
      <c r="L7420" s="675"/>
      <c r="M7420" s="672">
        <v>28710</v>
      </c>
      <c r="N7420" s="623">
        <v>7.367526211391329E-3</v>
      </c>
      <c r="O7420" s="624" t="s">
        <v>71</v>
      </c>
      <c r="P7420" s="397"/>
      <c r="Q7420" s="397"/>
      <c r="R7420" s="397"/>
      <c r="S7420" s="397"/>
      <c r="T7420" s="397"/>
      <c r="U7420" s="397"/>
      <c r="V7420" s="397"/>
      <c r="W7420" s="397"/>
      <c r="X7420" s="397"/>
      <c r="Y7420" s="397"/>
      <c r="Z7420" s="397"/>
      <c r="AD7420" s="388">
        <v>1.4630400000000001</v>
      </c>
      <c r="AE7420" s="388">
        <v>8.2296000000000008E-2</v>
      </c>
      <c r="AF7420" s="388">
        <v>0.12040233984000002</v>
      </c>
      <c r="AG7420" s="388">
        <v>6.0960000000000007E-2</v>
      </c>
      <c r="AH7420" s="391"/>
      <c r="AI7420" s="397"/>
      <c r="AJ7420" s="397"/>
      <c r="AU7420" s="397"/>
      <c r="AV7420" s="397"/>
      <c r="AW7420" s="397"/>
      <c r="AX7420" s="397"/>
      <c r="BI7420" s="397"/>
      <c r="BJ7420" s="397"/>
      <c r="BK7420" s="397"/>
      <c r="BL7420" s="397"/>
      <c r="BM7420" s="397"/>
      <c r="BN7420" s="397"/>
      <c r="BO7420" s="397"/>
      <c r="BP7420" s="397"/>
      <c r="BQ7420" s="397"/>
      <c r="BR7420" s="397"/>
      <c r="BS7420" s="397"/>
      <c r="BT7420" s="397"/>
      <c r="BU7420" s="397"/>
      <c r="BV7420" s="397"/>
      <c r="BW7420" s="397"/>
      <c r="BX7420" s="397"/>
      <c r="BY7420" s="397"/>
      <c r="BZ7420" s="397"/>
      <c r="CA7420" s="392" t="s">
        <v>413</v>
      </c>
    </row>
    <row r="7421" spans="1:80" s="392" customFormat="1" ht="15" x14ac:dyDescent="0.25">
      <c r="A7421" s="385"/>
      <c r="D7421" s="700"/>
      <c r="E7421" s="397"/>
      <c r="H7421" s="401">
        <v>3</v>
      </c>
      <c r="I7421" s="401"/>
      <c r="J7421" s="401"/>
      <c r="K7421" s="401"/>
      <c r="L7421" s="675"/>
      <c r="M7421" s="672">
        <v>28712</v>
      </c>
      <c r="N7421" s="623">
        <v>9.917823746103711E-3</v>
      </c>
      <c r="O7421" s="624">
        <v>1.8799999999999999E-4</v>
      </c>
      <c r="P7421" s="397"/>
      <c r="Q7421" s="397"/>
      <c r="R7421" s="397"/>
      <c r="S7421" s="397"/>
      <c r="T7421" s="397"/>
      <c r="U7421" s="397"/>
      <c r="V7421" s="397"/>
      <c r="W7421" s="397"/>
      <c r="X7421" s="397"/>
      <c r="Y7421" s="397"/>
      <c r="Z7421" s="397"/>
      <c r="AD7421" s="388">
        <v>1.4325600000000001</v>
      </c>
      <c r="AE7421" s="388">
        <v>8.5344000000000017E-2</v>
      </c>
      <c r="AF7421" s="388">
        <v>0.12226040064000003</v>
      </c>
      <c r="AG7421" s="388">
        <v>6.0960000000000007E-2</v>
      </c>
      <c r="AH7421" s="391"/>
      <c r="AI7421" s="397"/>
      <c r="AJ7421" s="397"/>
      <c r="AU7421" s="397"/>
      <c r="AV7421" s="397"/>
      <c r="AW7421" s="397"/>
      <c r="AX7421" s="397"/>
      <c r="BI7421" s="397"/>
      <c r="BJ7421" s="397"/>
      <c r="BK7421" s="397"/>
      <c r="BL7421" s="397"/>
      <c r="BM7421" s="397"/>
      <c r="BN7421" s="397"/>
      <c r="BO7421" s="397"/>
      <c r="BP7421" s="397"/>
      <c r="BQ7421" s="397"/>
      <c r="BR7421" s="397"/>
      <c r="BS7421" s="397"/>
      <c r="BT7421" s="397"/>
      <c r="BU7421" s="397"/>
      <c r="BV7421" s="397"/>
      <c r="BW7421" s="397"/>
      <c r="BX7421" s="397"/>
      <c r="BY7421" s="397"/>
      <c r="BZ7421" s="397"/>
      <c r="CA7421" s="392" t="s">
        <v>413</v>
      </c>
    </row>
    <row r="7422" spans="1:80" s="392" customFormat="1" ht="15" x14ac:dyDescent="0.25">
      <c r="A7422" s="385"/>
      <c r="D7422" s="700"/>
      <c r="E7422" s="397"/>
      <c r="H7422" s="401">
        <v>3</v>
      </c>
      <c r="I7422" s="401"/>
      <c r="J7422" s="401"/>
      <c r="K7422" s="401"/>
      <c r="L7422" s="675"/>
      <c r="M7422" s="672">
        <v>28718</v>
      </c>
      <c r="N7422" s="623">
        <v>5.383961462170587E-3</v>
      </c>
      <c r="O7422" s="624" t="s">
        <v>71</v>
      </c>
      <c r="P7422" s="397"/>
      <c r="Q7422" s="397"/>
      <c r="R7422" s="397"/>
      <c r="S7422" s="397"/>
      <c r="T7422" s="397"/>
      <c r="U7422" s="397"/>
      <c r="V7422" s="397"/>
      <c r="W7422" s="397"/>
      <c r="X7422" s="397"/>
      <c r="Y7422" s="397"/>
      <c r="Z7422" s="397"/>
      <c r="AD7422" s="388">
        <v>1.3411200000000001</v>
      </c>
      <c r="AE7422" s="388">
        <v>8.5344000000000017E-2</v>
      </c>
      <c r="AF7422" s="388">
        <v>0.11445654528000003</v>
      </c>
      <c r="AG7422" s="388">
        <v>6.0960000000000007E-2</v>
      </c>
      <c r="AH7422" s="391"/>
      <c r="AI7422" s="397"/>
      <c r="AJ7422" s="397"/>
      <c r="AU7422" s="397"/>
      <c r="AV7422" s="397"/>
      <c r="AW7422" s="397"/>
      <c r="AX7422" s="397"/>
      <c r="BI7422" s="397"/>
      <c r="BJ7422" s="397"/>
      <c r="BK7422" s="397"/>
      <c r="BL7422" s="397"/>
      <c r="BM7422" s="397"/>
      <c r="BN7422" s="397"/>
      <c r="BO7422" s="397"/>
      <c r="BP7422" s="397"/>
      <c r="BQ7422" s="397"/>
      <c r="BR7422" s="397"/>
      <c r="BS7422" s="397"/>
      <c r="BT7422" s="397"/>
      <c r="BU7422" s="397"/>
      <c r="BV7422" s="397"/>
      <c r="BW7422" s="397"/>
      <c r="BX7422" s="397"/>
      <c r="BY7422" s="397"/>
      <c r="BZ7422" s="397"/>
      <c r="CA7422" s="392" t="s">
        <v>413</v>
      </c>
    </row>
    <row r="7423" spans="1:80" s="392" customFormat="1" ht="15" x14ac:dyDescent="0.25">
      <c r="A7423" s="385"/>
      <c r="D7423" s="700"/>
      <c r="E7423" s="397"/>
      <c r="H7423" s="401">
        <v>3</v>
      </c>
      <c r="I7423" s="401"/>
      <c r="J7423" s="401"/>
      <c r="K7423" s="401"/>
      <c r="L7423" s="675"/>
      <c r="M7423" s="672">
        <v>28724</v>
      </c>
      <c r="N7423" s="623">
        <v>6.8007934258996882E-3</v>
      </c>
      <c r="O7423" s="624" t="s">
        <v>71</v>
      </c>
      <c r="P7423" s="397"/>
      <c r="Q7423" s="397"/>
      <c r="R7423" s="397"/>
      <c r="S7423" s="397"/>
      <c r="T7423" s="397"/>
      <c r="U7423" s="397"/>
      <c r="V7423" s="397"/>
      <c r="W7423" s="397"/>
      <c r="X7423" s="397"/>
      <c r="Y7423" s="397"/>
      <c r="Z7423" s="397"/>
      <c r="AD7423" s="388">
        <v>1.3411200000000001</v>
      </c>
      <c r="AE7423" s="388">
        <v>7.9248000000000013E-2</v>
      </c>
      <c r="AF7423" s="388">
        <v>0.10628107776000002</v>
      </c>
      <c r="AG7423" s="388">
        <v>6.0960000000000007E-2</v>
      </c>
      <c r="AH7423" s="391"/>
      <c r="AI7423" s="397"/>
      <c r="AJ7423" s="397"/>
      <c r="AU7423" s="397"/>
      <c r="AV7423" s="397"/>
      <c r="AW7423" s="397"/>
      <c r="AX7423" s="397"/>
      <c r="BI7423" s="397"/>
      <c r="BJ7423" s="397"/>
      <c r="BK7423" s="397"/>
      <c r="BL7423" s="397"/>
      <c r="BM7423" s="397"/>
      <c r="BN7423" s="397"/>
      <c r="BO7423" s="397"/>
      <c r="BP7423" s="397"/>
      <c r="BQ7423" s="397"/>
      <c r="BR7423" s="397"/>
      <c r="BS7423" s="397"/>
      <c r="BT7423" s="397"/>
      <c r="BU7423" s="397"/>
      <c r="BV7423" s="397"/>
      <c r="BW7423" s="397"/>
      <c r="BX7423" s="397"/>
      <c r="BY7423" s="397"/>
      <c r="BZ7423" s="397"/>
      <c r="CA7423" s="392" t="s">
        <v>413</v>
      </c>
    </row>
    <row r="7424" spans="1:80" s="392" customFormat="1" ht="15" x14ac:dyDescent="0.25">
      <c r="A7424" s="385"/>
      <c r="D7424" s="700"/>
      <c r="E7424" s="397"/>
      <c r="H7424" s="401">
        <v>3</v>
      </c>
      <c r="I7424" s="401"/>
      <c r="J7424" s="401"/>
      <c r="K7424" s="401"/>
      <c r="L7424" s="675"/>
      <c r="M7424" s="672">
        <v>28732</v>
      </c>
      <c r="N7424" s="623">
        <v>3.4003967129498441E-3</v>
      </c>
      <c r="O7424" s="624" t="s">
        <v>71</v>
      </c>
      <c r="P7424" s="397"/>
      <c r="Q7424" s="397"/>
      <c r="R7424" s="397"/>
      <c r="S7424" s="397"/>
      <c r="T7424" s="397"/>
      <c r="U7424" s="397"/>
      <c r="V7424" s="397"/>
      <c r="W7424" s="397"/>
      <c r="X7424" s="397"/>
      <c r="Y7424" s="397"/>
      <c r="Z7424" s="397"/>
      <c r="AD7424" s="388">
        <v>1.31064</v>
      </c>
      <c r="AE7424" s="388">
        <v>7.3151999999999995E-2</v>
      </c>
      <c r="AF7424" s="388">
        <v>9.587593727999999E-2</v>
      </c>
      <c r="AG7424" s="388">
        <v>3.0480000000000004E-2</v>
      </c>
      <c r="AH7424" s="391"/>
      <c r="AI7424" s="397"/>
      <c r="AJ7424" s="397"/>
      <c r="AU7424" s="397"/>
      <c r="AV7424" s="397"/>
      <c r="AW7424" s="397"/>
      <c r="AX7424" s="397"/>
      <c r="BI7424" s="397"/>
      <c r="BJ7424" s="397"/>
      <c r="BK7424" s="397"/>
      <c r="BL7424" s="397"/>
      <c r="BM7424" s="397"/>
      <c r="BN7424" s="397"/>
      <c r="BO7424" s="397"/>
      <c r="BP7424" s="397"/>
      <c r="BQ7424" s="397"/>
      <c r="BR7424" s="397"/>
      <c r="BS7424" s="397"/>
      <c r="BT7424" s="397"/>
      <c r="BU7424" s="397"/>
      <c r="BV7424" s="397"/>
      <c r="BW7424" s="397"/>
      <c r="BX7424" s="397"/>
      <c r="BY7424" s="397"/>
      <c r="BZ7424" s="397"/>
      <c r="CA7424" s="392" t="s">
        <v>413</v>
      </c>
    </row>
    <row r="7425" spans="1:80" s="392" customFormat="1" ht="15" x14ac:dyDescent="0.25">
      <c r="A7425" s="385"/>
      <c r="D7425" s="700"/>
      <c r="E7425" s="397"/>
      <c r="H7425" s="401">
        <v>3</v>
      </c>
      <c r="I7425" s="401"/>
      <c r="J7425" s="401"/>
      <c r="K7425" s="401"/>
      <c r="L7425" s="675"/>
      <c r="M7425" s="672">
        <v>28754</v>
      </c>
      <c r="N7425" s="623">
        <v>3.4003967129498441E-3</v>
      </c>
      <c r="O7425" s="624" t="s">
        <v>71</v>
      </c>
      <c r="P7425" s="397"/>
      <c r="Q7425" s="397"/>
      <c r="R7425" s="397"/>
      <c r="S7425" s="397"/>
      <c r="T7425" s="397"/>
      <c r="U7425" s="397"/>
      <c r="V7425" s="397"/>
      <c r="W7425" s="397"/>
      <c r="X7425" s="397"/>
      <c r="Y7425" s="397"/>
      <c r="Z7425" s="397"/>
      <c r="AD7425" s="388">
        <v>1.31064</v>
      </c>
      <c r="AE7425" s="388">
        <v>7.3151999999999995E-2</v>
      </c>
      <c r="AF7425" s="388">
        <v>9.587593727999999E-2</v>
      </c>
      <c r="AG7425" s="388">
        <v>3.0480000000000004E-2</v>
      </c>
      <c r="AH7425" s="391"/>
      <c r="AI7425" s="397"/>
      <c r="AJ7425" s="397"/>
      <c r="AU7425" s="397"/>
      <c r="AV7425" s="397"/>
      <c r="AW7425" s="397"/>
      <c r="AX7425" s="397"/>
      <c r="BI7425" s="397"/>
      <c r="BJ7425" s="397"/>
      <c r="BK7425" s="397"/>
      <c r="BL7425" s="397"/>
      <c r="BM7425" s="397"/>
      <c r="BN7425" s="397"/>
      <c r="BO7425" s="397"/>
      <c r="BP7425" s="397"/>
      <c r="BQ7425" s="397"/>
      <c r="BR7425" s="397"/>
      <c r="BS7425" s="397"/>
      <c r="BT7425" s="397"/>
      <c r="BU7425" s="397"/>
      <c r="BV7425" s="397"/>
      <c r="BW7425" s="397"/>
      <c r="BX7425" s="397"/>
      <c r="BY7425" s="397"/>
      <c r="BZ7425" s="397"/>
      <c r="CA7425" s="392" t="s">
        <v>413</v>
      </c>
    </row>
    <row r="7426" spans="1:80" s="392" customFormat="1" ht="15" x14ac:dyDescent="0.25">
      <c r="A7426" s="385"/>
      <c r="D7426" s="700"/>
      <c r="E7426" s="397"/>
      <c r="H7426" s="401">
        <v>3</v>
      </c>
      <c r="I7426" s="401"/>
      <c r="J7426" s="401"/>
      <c r="K7426" s="401"/>
      <c r="L7426" s="675"/>
      <c r="M7426" s="672">
        <v>29024</v>
      </c>
      <c r="N7426" s="623">
        <v>0.44856899971663361</v>
      </c>
      <c r="O7426" s="624">
        <v>5.6888000000000008E-3</v>
      </c>
      <c r="P7426" s="397"/>
      <c r="Q7426" s="397"/>
      <c r="R7426" s="397"/>
      <c r="S7426" s="397"/>
      <c r="T7426" s="397"/>
      <c r="U7426" s="397"/>
      <c r="V7426" s="397"/>
      <c r="W7426" s="397"/>
      <c r="X7426" s="397"/>
      <c r="Y7426" s="397"/>
      <c r="Z7426" s="397"/>
      <c r="AD7426" s="388">
        <v>2.37744</v>
      </c>
      <c r="AE7426" s="388">
        <v>0.22860000000000003</v>
      </c>
      <c r="AF7426" s="388">
        <v>0.54348278400000005</v>
      </c>
      <c r="AG7426" s="388">
        <v>0.70104</v>
      </c>
      <c r="AH7426" s="391"/>
      <c r="AI7426" s="397"/>
      <c r="AJ7426" s="397"/>
      <c r="AU7426" s="397"/>
      <c r="AV7426" s="397"/>
      <c r="AW7426" s="397"/>
      <c r="AX7426" s="397"/>
      <c r="BI7426" s="397"/>
      <c r="BJ7426" s="397"/>
      <c r="BK7426" s="397"/>
      <c r="BL7426" s="397"/>
      <c r="BM7426" s="397"/>
      <c r="BN7426" s="397"/>
      <c r="BO7426" s="397"/>
      <c r="BP7426" s="397"/>
      <c r="BQ7426" s="397"/>
      <c r="BR7426" s="397"/>
      <c r="BS7426" s="397"/>
      <c r="BT7426" s="397"/>
      <c r="BU7426" s="397"/>
      <c r="BV7426" s="397"/>
      <c r="BW7426" s="397"/>
      <c r="BX7426" s="397"/>
      <c r="BY7426" s="397"/>
      <c r="BZ7426" s="397"/>
      <c r="CA7426" s="392" t="s">
        <v>413</v>
      </c>
    </row>
    <row r="7427" spans="1:80" s="392" customFormat="1" ht="15" x14ac:dyDescent="0.25">
      <c r="A7427" s="385"/>
      <c r="D7427" s="700"/>
      <c r="E7427" s="397"/>
      <c r="H7427" s="401">
        <v>3</v>
      </c>
      <c r="I7427" s="401"/>
      <c r="J7427" s="401"/>
      <c r="K7427" s="401"/>
      <c r="L7427" s="675"/>
      <c r="M7427" s="672">
        <v>29031</v>
      </c>
      <c r="N7427" s="623">
        <v>0.27004817228676675</v>
      </c>
      <c r="O7427" s="624">
        <v>2.4419999999999997E-3</v>
      </c>
      <c r="P7427" s="397"/>
      <c r="Q7427" s="397"/>
      <c r="R7427" s="397"/>
      <c r="S7427" s="397"/>
      <c r="T7427" s="397"/>
      <c r="U7427" s="397"/>
      <c r="V7427" s="397"/>
      <c r="W7427" s="397"/>
      <c r="X7427" s="397"/>
      <c r="Y7427" s="397"/>
      <c r="Z7427" s="397"/>
      <c r="AD7427" s="388">
        <v>2.0116800000000001</v>
      </c>
      <c r="AE7427" s="388">
        <v>0.18288000000000001</v>
      </c>
      <c r="AF7427" s="388">
        <v>0.36789603840000007</v>
      </c>
      <c r="AG7427" s="388">
        <v>0.64008000000000009</v>
      </c>
      <c r="AH7427" s="391"/>
      <c r="AI7427" s="397"/>
      <c r="AJ7427" s="397"/>
      <c r="AU7427" s="397"/>
      <c r="AV7427" s="397"/>
      <c r="AW7427" s="397"/>
      <c r="AX7427" s="397"/>
      <c r="BI7427" s="397"/>
      <c r="BJ7427" s="397"/>
      <c r="BK7427" s="397"/>
      <c r="BL7427" s="397"/>
      <c r="BM7427" s="397"/>
      <c r="BN7427" s="397"/>
      <c r="BO7427" s="397"/>
      <c r="BP7427" s="397"/>
      <c r="BQ7427" s="397"/>
      <c r="BR7427" s="397"/>
      <c r="BS7427" s="397"/>
      <c r="BT7427" s="397"/>
      <c r="BU7427" s="397"/>
      <c r="BV7427" s="397"/>
      <c r="BW7427" s="397"/>
      <c r="BX7427" s="397"/>
      <c r="BY7427" s="397"/>
      <c r="BZ7427" s="397"/>
      <c r="CA7427" s="392" t="s">
        <v>413</v>
      </c>
    </row>
    <row r="7428" spans="1:80" s="189" customFormat="1" ht="15" x14ac:dyDescent="0.25">
      <c r="A7428" s="381" t="s">
        <v>474</v>
      </c>
      <c r="B7428" s="641" t="s">
        <v>34</v>
      </c>
      <c r="C7428" s="639"/>
      <c r="D7428" s="4">
        <f>VLOOKUP(E7428,'Quality Code'!$D$4:$E$24,2,TRUE)*VLOOKUP(MROUND(F7428,10),'Quality Code'!$D$28:$E$69,2,TRUE)*VLOOKUP(COUNTA(CB7428:CB7438),'Quality Code'!$D$73:$E$93,2,TRUE)</f>
        <v>0.1</v>
      </c>
      <c r="E7428" s="14">
        <v>0.4</v>
      </c>
      <c r="F7428" s="2">
        <v>12</v>
      </c>
      <c r="G7428" s="12"/>
      <c r="H7428" s="2" t="s">
        <v>105</v>
      </c>
      <c r="I7428" s="2"/>
      <c r="J7428" s="2"/>
      <c r="K7428" s="2"/>
      <c r="L7428" s="639"/>
      <c r="M7428" s="640" t="s">
        <v>916</v>
      </c>
      <c r="N7428" s="578" t="s">
        <v>110</v>
      </c>
      <c r="O7428" s="578"/>
      <c r="P7428" s="26"/>
      <c r="Q7428" s="26"/>
      <c r="R7428" s="26"/>
      <c r="S7428" s="26"/>
      <c r="T7428" s="26"/>
      <c r="U7428" s="26"/>
      <c r="V7428" s="10"/>
      <c r="W7428" s="10"/>
      <c r="X7428" s="10"/>
      <c r="Y7428" s="10"/>
      <c r="Z7428" s="2"/>
      <c r="AA7428" s="26"/>
      <c r="AB7428" s="26"/>
      <c r="AC7428" s="377">
        <v>5.1999999999999998E-2</v>
      </c>
      <c r="AD7428" s="406"/>
      <c r="AE7428" s="26"/>
      <c r="AF7428" s="26"/>
      <c r="AG7428" s="26"/>
      <c r="AH7428" s="26"/>
      <c r="AI7428" s="4"/>
      <c r="AJ7428" s="4"/>
      <c r="AK7428" s="26"/>
      <c r="AL7428" s="26"/>
      <c r="AM7428" s="26"/>
      <c r="AN7428" s="26"/>
      <c r="AO7428" s="26"/>
      <c r="AP7428" s="26"/>
      <c r="AQ7428" s="26"/>
      <c r="AR7428" s="26"/>
      <c r="AS7428" s="26"/>
      <c r="AT7428" s="26"/>
      <c r="AU7428" s="4"/>
      <c r="AV7428" s="4"/>
      <c r="AW7428" s="4"/>
      <c r="AX7428" s="4"/>
      <c r="AY7428" s="2"/>
      <c r="AZ7428" s="2"/>
      <c r="BA7428" s="12"/>
      <c r="BB7428" s="12"/>
      <c r="BC7428" s="12"/>
      <c r="BD7428" s="12"/>
      <c r="BE7428" s="12"/>
      <c r="BF7428" s="12"/>
      <c r="BG7428" s="12"/>
      <c r="BH7428" s="12"/>
      <c r="BI7428" s="4"/>
      <c r="BJ7428" s="12"/>
      <c r="BK7428" s="2"/>
      <c r="BL7428" s="2"/>
      <c r="BM7428" s="4"/>
      <c r="BN7428" s="12"/>
      <c r="BO7428" s="12"/>
      <c r="BP7428" s="12"/>
      <c r="BQ7428" s="4"/>
      <c r="BR7428" s="4"/>
      <c r="BS7428" s="4"/>
      <c r="BT7428" s="2"/>
      <c r="BU7428" s="9"/>
      <c r="BV7428" s="381"/>
      <c r="BW7428" s="382"/>
      <c r="BX7428" s="383"/>
      <c r="BY7428" s="383" t="s">
        <v>416</v>
      </c>
      <c r="BZ7428" s="383"/>
      <c r="CA7428" s="384" t="s">
        <v>413</v>
      </c>
      <c r="CB7428" s="411"/>
    </row>
    <row r="7429" spans="1:80" s="392" customFormat="1" ht="15" x14ac:dyDescent="0.25">
      <c r="A7429" s="385"/>
      <c r="D7429" s="700"/>
      <c r="E7429" s="397"/>
      <c r="H7429" s="401">
        <v>3</v>
      </c>
      <c r="I7429" s="401"/>
      <c r="J7429" s="401"/>
      <c r="K7429" s="401"/>
      <c r="L7429" s="675"/>
      <c r="M7429" s="672">
        <v>28662</v>
      </c>
      <c r="N7429" s="623">
        <v>0.62425616321904231</v>
      </c>
      <c r="O7429" s="624">
        <v>1.7660666666666668E-2</v>
      </c>
      <c r="P7429" s="397"/>
      <c r="Q7429" s="397"/>
      <c r="R7429" s="397"/>
      <c r="S7429" s="397"/>
      <c r="T7429" s="397"/>
      <c r="U7429" s="397"/>
      <c r="V7429" s="397"/>
      <c r="W7429" s="397"/>
      <c r="X7429" s="397"/>
      <c r="Y7429" s="397"/>
      <c r="Z7429" s="397"/>
      <c r="AD7429" s="388">
        <v>1.7983200000000001</v>
      </c>
      <c r="AE7429" s="388">
        <v>0.32004000000000005</v>
      </c>
      <c r="AF7429" s="388">
        <v>0.5755343328000001</v>
      </c>
      <c r="AG7429" s="388">
        <v>0.88392000000000004</v>
      </c>
      <c r="AH7429" s="391"/>
      <c r="AI7429" s="397"/>
      <c r="AJ7429" s="397"/>
      <c r="AU7429" s="397"/>
      <c r="AV7429" s="397"/>
      <c r="AW7429" s="397"/>
      <c r="AX7429" s="397"/>
      <c r="BI7429" s="397"/>
      <c r="BJ7429" s="397"/>
      <c r="BK7429" s="397"/>
      <c r="BL7429" s="397"/>
      <c r="BM7429" s="397"/>
      <c r="BN7429" s="397"/>
      <c r="BO7429" s="397"/>
      <c r="BP7429" s="397"/>
      <c r="BQ7429" s="397"/>
      <c r="BR7429" s="397"/>
      <c r="BS7429" s="397"/>
      <c r="BT7429" s="397"/>
      <c r="BU7429" s="397"/>
      <c r="BV7429" s="397"/>
      <c r="BW7429" s="397"/>
      <c r="BX7429" s="397"/>
      <c r="BY7429" s="397"/>
      <c r="BZ7429" s="397"/>
      <c r="CA7429" s="392" t="s">
        <v>413</v>
      </c>
    </row>
    <row r="7430" spans="1:80" s="392" customFormat="1" ht="15" x14ac:dyDescent="0.25">
      <c r="A7430" s="385"/>
      <c r="D7430" s="700"/>
      <c r="E7430" s="397"/>
      <c r="H7430" s="401">
        <v>3</v>
      </c>
      <c r="I7430" s="401"/>
      <c r="J7430" s="401"/>
      <c r="K7430" s="401"/>
      <c r="L7430" s="675"/>
      <c r="M7430" s="672">
        <v>28669</v>
      </c>
      <c r="N7430" s="623">
        <v>0.38169453102862005</v>
      </c>
      <c r="O7430" s="624">
        <v>1.7346E-2</v>
      </c>
      <c r="P7430" s="397"/>
      <c r="Q7430" s="397"/>
      <c r="R7430" s="397"/>
      <c r="S7430" s="397"/>
      <c r="T7430" s="397"/>
      <c r="U7430" s="397"/>
      <c r="V7430" s="397"/>
      <c r="W7430" s="397"/>
      <c r="X7430" s="397"/>
      <c r="Y7430" s="397"/>
      <c r="Z7430" s="397"/>
      <c r="AD7430" s="388">
        <v>1.7983200000000001</v>
      </c>
      <c r="AE7430" s="388">
        <v>0.277368</v>
      </c>
      <c r="AF7430" s="388">
        <v>0.49879642176000005</v>
      </c>
      <c r="AG7430" s="388">
        <v>0.70104</v>
      </c>
      <c r="AH7430" s="391"/>
      <c r="AI7430" s="397"/>
      <c r="AJ7430" s="397"/>
      <c r="AU7430" s="397"/>
      <c r="AV7430" s="397"/>
      <c r="AW7430" s="397"/>
      <c r="AX7430" s="397"/>
      <c r="BI7430" s="397"/>
      <c r="BJ7430" s="397"/>
      <c r="BK7430" s="397"/>
      <c r="BL7430" s="397"/>
      <c r="BM7430" s="397"/>
      <c r="BN7430" s="397"/>
      <c r="BO7430" s="397"/>
      <c r="BP7430" s="397"/>
      <c r="BQ7430" s="397"/>
      <c r="BR7430" s="397"/>
      <c r="BS7430" s="397"/>
      <c r="BT7430" s="397"/>
      <c r="BU7430" s="397"/>
      <c r="BV7430" s="397"/>
      <c r="BW7430" s="397"/>
      <c r="BX7430" s="397"/>
      <c r="BY7430" s="397"/>
      <c r="BZ7430" s="397"/>
      <c r="CA7430" s="392" t="s">
        <v>413</v>
      </c>
    </row>
    <row r="7431" spans="1:80" s="392" customFormat="1" ht="15" x14ac:dyDescent="0.25">
      <c r="A7431" s="385"/>
      <c r="D7431" s="700"/>
      <c r="E7431" s="397"/>
      <c r="H7431" s="401">
        <v>3</v>
      </c>
      <c r="I7431" s="401"/>
      <c r="J7431" s="401"/>
      <c r="K7431" s="401"/>
      <c r="L7431" s="675"/>
      <c r="M7431" s="672">
        <v>28677</v>
      </c>
      <c r="N7431" s="623">
        <v>0.16038537829413432</v>
      </c>
      <c r="O7431" s="624">
        <v>4.816E-3</v>
      </c>
      <c r="P7431" s="397"/>
      <c r="Q7431" s="397"/>
      <c r="R7431" s="397"/>
      <c r="S7431" s="397"/>
      <c r="T7431" s="397"/>
      <c r="U7431" s="397"/>
      <c r="V7431" s="397"/>
      <c r="W7431" s="397"/>
      <c r="X7431" s="397"/>
      <c r="Y7431" s="397"/>
      <c r="Z7431" s="397"/>
      <c r="AD7431" s="388">
        <v>1.70688</v>
      </c>
      <c r="AE7431" s="388">
        <v>0.20421600000000001</v>
      </c>
      <c r="AF7431" s="388">
        <v>0.34857220608</v>
      </c>
      <c r="AG7431" s="388">
        <v>0.39624000000000004</v>
      </c>
      <c r="AH7431" s="391"/>
      <c r="AI7431" s="397"/>
      <c r="AJ7431" s="397"/>
      <c r="AU7431" s="397"/>
      <c r="AV7431" s="397"/>
      <c r="AW7431" s="397"/>
      <c r="AX7431" s="397"/>
      <c r="BI7431" s="397"/>
      <c r="BJ7431" s="397"/>
      <c r="BK7431" s="397"/>
      <c r="BL7431" s="397"/>
      <c r="BM7431" s="397"/>
      <c r="BN7431" s="397"/>
      <c r="BO7431" s="397"/>
      <c r="BP7431" s="397"/>
      <c r="BQ7431" s="397"/>
      <c r="BR7431" s="397"/>
      <c r="BS7431" s="397"/>
      <c r="BT7431" s="397"/>
      <c r="BU7431" s="397"/>
      <c r="BV7431" s="397"/>
      <c r="BW7431" s="397"/>
      <c r="BX7431" s="397"/>
      <c r="BY7431" s="397"/>
      <c r="BZ7431" s="397"/>
      <c r="CA7431" s="392" t="s">
        <v>413</v>
      </c>
    </row>
    <row r="7432" spans="1:80" s="392" customFormat="1" ht="15" x14ac:dyDescent="0.25">
      <c r="A7432" s="385"/>
      <c r="D7432" s="700"/>
      <c r="E7432" s="397"/>
      <c r="H7432" s="401">
        <v>3</v>
      </c>
      <c r="I7432" s="401"/>
      <c r="J7432" s="401"/>
      <c r="K7432" s="401"/>
      <c r="L7432" s="675"/>
      <c r="M7432" s="672">
        <v>28682</v>
      </c>
      <c r="N7432" s="623">
        <v>9.6627939926324749E-2</v>
      </c>
      <c r="O7432" s="624">
        <v>2.4566666666666665E-3</v>
      </c>
      <c r="P7432" s="397"/>
      <c r="Q7432" s="397"/>
      <c r="R7432" s="397"/>
      <c r="S7432" s="397"/>
      <c r="T7432" s="397"/>
      <c r="U7432" s="397"/>
      <c r="V7432" s="397"/>
      <c r="W7432" s="397"/>
      <c r="X7432" s="397"/>
      <c r="Y7432" s="397"/>
      <c r="Z7432" s="397"/>
      <c r="AD7432" s="388">
        <v>1.6764000000000001</v>
      </c>
      <c r="AE7432" s="388">
        <v>0.18897600000000001</v>
      </c>
      <c r="AF7432" s="388">
        <v>0.3167993664</v>
      </c>
      <c r="AG7432" s="388">
        <v>0.27432000000000001</v>
      </c>
      <c r="AH7432" s="391"/>
      <c r="AI7432" s="397"/>
      <c r="AJ7432" s="397"/>
      <c r="AU7432" s="397"/>
      <c r="AV7432" s="397"/>
      <c r="AW7432" s="397"/>
      <c r="AX7432" s="397"/>
      <c r="BI7432" s="397"/>
      <c r="BJ7432" s="397"/>
      <c r="BK7432" s="397"/>
      <c r="BL7432" s="397"/>
      <c r="BM7432" s="397"/>
      <c r="BN7432" s="397"/>
      <c r="BO7432" s="397"/>
      <c r="BP7432" s="397"/>
      <c r="BQ7432" s="397"/>
      <c r="BR7432" s="397"/>
      <c r="BS7432" s="397"/>
      <c r="BT7432" s="397"/>
      <c r="BU7432" s="397"/>
      <c r="BV7432" s="397"/>
      <c r="BW7432" s="397"/>
      <c r="BX7432" s="397"/>
      <c r="BY7432" s="397"/>
      <c r="BZ7432" s="397"/>
      <c r="CA7432" s="392" t="s">
        <v>413</v>
      </c>
    </row>
    <row r="7433" spans="1:80" s="392" customFormat="1" ht="15" x14ac:dyDescent="0.25">
      <c r="A7433" s="385"/>
      <c r="D7433" s="700"/>
      <c r="E7433" s="397"/>
      <c r="H7433" s="401">
        <v>3</v>
      </c>
      <c r="I7433" s="401"/>
      <c r="J7433" s="401"/>
      <c r="K7433" s="401"/>
      <c r="L7433" s="675"/>
      <c r="M7433" s="672">
        <v>28691</v>
      </c>
      <c r="N7433" s="623">
        <v>5.0722584301501845E-2</v>
      </c>
      <c r="O7433" s="624">
        <v>6.240000000000001E-4</v>
      </c>
      <c r="P7433" s="397"/>
      <c r="Q7433" s="397"/>
      <c r="R7433" s="397"/>
      <c r="S7433" s="397"/>
      <c r="T7433" s="397"/>
      <c r="U7433" s="397"/>
      <c r="V7433" s="397"/>
      <c r="W7433" s="397"/>
      <c r="X7433" s="397"/>
      <c r="Y7433" s="397"/>
      <c r="Z7433" s="397"/>
      <c r="AD7433" s="388">
        <v>1.5849600000000001</v>
      </c>
      <c r="AE7433" s="388">
        <v>0.17068800000000003</v>
      </c>
      <c r="AF7433" s="388">
        <v>0.27053365248000005</v>
      </c>
      <c r="AG7433" s="388">
        <v>0.18288000000000001</v>
      </c>
      <c r="AH7433" s="391"/>
      <c r="AI7433" s="397"/>
      <c r="AJ7433" s="397"/>
      <c r="AU7433" s="397"/>
      <c r="AV7433" s="397"/>
      <c r="AW7433" s="397"/>
      <c r="AX7433" s="397"/>
      <c r="BI7433" s="397"/>
      <c r="BJ7433" s="397"/>
      <c r="BK7433" s="397"/>
      <c r="BL7433" s="397"/>
      <c r="BM7433" s="397"/>
      <c r="BN7433" s="397"/>
      <c r="BO7433" s="397"/>
      <c r="BP7433" s="397"/>
      <c r="BQ7433" s="397"/>
      <c r="BR7433" s="397"/>
      <c r="BS7433" s="397"/>
      <c r="BT7433" s="397"/>
      <c r="BU7433" s="397"/>
      <c r="BV7433" s="397"/>
      <c r="BW7433" s="397"/>
      <c r="BX7433" s="397"/>
      <c r="BY7433" s="397"/>
      <c r="BZ7433" s="397"/>
      <c r="CA7433" s="392" t="s">
        <v>413</v>
      </c>
    </row>
    <row r="7434" spans="1:80" s="392" customFormat="1" ht="15" x14ac:dyDescent="0.25">
      <c r="A7434" s="385"/>
      <c r="D7434" s="700"/>
      <c r="E7434" s="397"/>
      <c r="H7434" s="401">
        <v>3</v>
      </c>
      <c r="I7434" s="401"/>
      <c r="J7434" s="401"/>
      <c r="K7434" s="401"/>
      <c r="L7434" s="675"/>
      <c r="M7434" s="672">
        <v>28696</v>
      </c>
      <c r="N7434" s="623">
        <v>2.7769906489090394E-2</v>
      </c>
      <c r="O7434" s="624">
        <v>5.0000000000000001E-4</v>
      </c>
      <c r="P7434" s="397"/>
      <c r="Q7434" s="397"/>
      <c r="R7434" s="397"/>
      <c r="S7434" s="397"/>
      <c r="T7434" s="397"/>
      <c r="U7434" s="397"/>
      <c r="V7434" s="397"/>
      <c r="W7434" s="397"/>
      <c r="X7434" s="397"/>
      <c r="Y7434" s="397"/>
      <c r="Z7434" s="397"/>
      <c r="AD7434" s="388">
        <v>1.524</v>
      </c>
      <c r="AE7434" s="388">
        <v>0.15240000000000001</v>
      </c>
      <c r="AF7434" s="388">
        <v>0.23225760000000001</v>
      </c>
      <c r="AG7434" s="388">
        <v>0.12192000000000001</v>
      </c>
      <c r="AH7434" s="391"/>
      <c r="AI7434" s="397"/>
      <c r="AJ7434" s="397"/>
      <c r="AU7434" s="397"/>
      <c r="AV7434" s="397"/>
      <c r="AW7434" s="397"/>
      <c r="AX7434" s="397"/>
      <c r="BI7434" s="397"/>
      <c r="BJ7434" s="397"/>
      <c r="BK7434" s="397"/>
      <c r="BL7434" s="397"/>
      <c r="BM7434" s="397"/>
      <c r="BN7434" s="397"/>
      <c r="BO7434" s="397"/>
      <c r="BP7434" s="397"/>
      <c r="BQ7434" s="397"/>
      <c r="BR7434" s="397"/>
      <c r="BS7434" s="397"/>
      <c r="BT7434" s="397"/>
      <c r="BU7434" s="397"/>
      <c r="BV7434" s="397"/>
      <c r="BW7434" s="397"/>
      <c r="BX7434" s="397"/>
      <c r="BY7434" s="397"/>
      <c r="BZ7434" s="397"/>
      <c r="CA7434" s="392" t="s">
        <v>413</v>
      </c>
    </row>
    <row r="7435" spans="1:80" s="392" customFormat="1" ht="15" x14ac:dyDescent="0.25">
      <c r="A7435" s="385"/>
      <c r="D7435" s="700"/>
      <c r="E7435" s="397"/>
      <c r="H7435" s="401">
        <v>3</v>
      </c>
      <c r="I7435" s="401"/>
      <c r="J7435" s="401"/>
      <c r="K7435" s="401"/>
      <c r="L7435" s="675"/>
      <c r="M7435" s="672">
        <v>28705</v>
      </c>
      <c r="N7435" s="623">
        <v>1.8985548313969966E-2</v>
      </c>
      <c r="O7435" s="624">
        <v>9.146666666666666E-4</v>
      </c>
      <c r="P7435" s="397"/>
      <c r="Q7435" s="397"/>
      <c r="R7435" s="397"/>
      <c r="S7435" s="397"/>
      <c r="T7435" s="397"/>
      <c r="U7435" s="397"/>
      <c r="V7435" s="397"/>
      <c r="W7435" s="397"/>
      <c r="X7435" s="397"/>
      <c r="Y7435" s="397"/>
      <c r="Z7435" s="397"/>
      <c r="AD7435" s="388">
        <v>1.4935200000000002</v>
      </c>
      <c r="AE7435" s="388">
        <v>0.140208</v>
      </c>
      <c r="AF7435" s="388">
        <v>0.20940345216000003</v>
      </c>
      <c r="AG7435" s="388">
        <v>9.1440000000000007E-2</v>
      </c>
      <c r="AH7435" s="391"/>
      <c r="AI7435" s="397"/>
      <c r="AJ7435" s="397"/>
      <c r="AU7435" s="397"/>
      <c r="AV7435" s="397"/>
      <c r="AW7435" s="397"/>
      <c r="AX7435" s="397"/>
      <c r="BI7435" s="397"/>
      <c r="BJ7435" s="397"/>
      <c r="BK7435" s="397"/>
      <c r="BL7435" s="397"/>
      <c r="BM7435" s="397"/>
      <c r="BN7435" s="397"/>
      <c r="BO7435" s="397"/>
      <c r="BP7435" s="397"/>
      <c r="BQ7435" s="397"/>
      <c r="BR7435" s="397"/>
      <c r="BS7435" s="397"/>
      <c r="BT7435" s="397"/>
      <c r="BU7435" s="397"/>
      <c r="BV7435" s="397"/>
      <c r="BW7435" s="397"/>
      <c r="BX7435" s="397"/>
      <c r="BY7435" s="397"/>
      <c r="BZ7435" s="397"/>
      <c r="CA7435" s="392" t="s">
        <v>413</v>
      </c>
    </row>
    <row r="7436" spans="1:80" s="392" customFormat="1" ht="15" x14ac:dyDescent="0.25">
      <c r="A7436" s="385"/>
      <c r="D7436" s="700"/>
      <c r="E7436" s="397"/>
      <c r="H7436" s="401">
        <v>3</v>
      </c>
      <c r="I7436" s="401"/>
      <c r="J7436" s="401"/>
      <c r="K7436" s="401"/>
      <c r="L7436" s="675"/>
      <c r="M7436" s="672">
        <v>28710</v>
      </c>
      <c r="N7436" s="623">
        <v>1.3318220459053556E-2</v>
      </c>
      <c r="O7436" s="624">
        <v>9.1800000000000009E-4</v>
      </c>
      <c r="P7436" s="397"/>
      <c r="Q7436" s="397"/>
      <c r="R7436" s="397"/>
      <c r="S7436" s="397"/>
      <c r="T7436" s="397"/>
      <c r="U7436" s="397"/>
      <c r="V7436" s="397"/>
      <c r="W7436" s="397"/>
      <c r="X7436" s="397"/>
      <c r="Y7436" s="397"/>
      <c r="Z7436" s="397"/>
      <c r="AD7436" s="388">
        <v>1.5544799999999999</v>
      </c>
      <c r="AE7436" s="388">
        <v>0.14325599999999999</v>
      </c>
      <c r="AF7436" s="388">
        <v>0.22268858687999998</v>
      </c>
      <c r="AG7436" s="388">
        <v>6.0960000000000007E-2</v>
      </c>
      <c r="AH7436" s="391"/>
      <c r="AI7436" s="397"/>
      <c r="AJ7436" s="397"/>
      <c r="AU7436" s="397"/>
      <c r="AV7436" s="397"/>
      <c r="AW7436" s="397"/>
      <c r="AX7436" s="397"/>
      <c r="BI7436" s="397"/>
      <c r="BJ7436" s="397"/>
      <c r="BK7436" s="397"/>
      <c r="BL7436" s="397"/>
      <c r="BM7436" s="397"/>
      <c r="BN7436" s="397"/>
      <c r="BO7436" s="397"/>
      <c r="BP7436" s="397"/>
      <c r="BQ7436" s="397"/>
      <c r="BR7436" s="397"/>
      <c r="BS7436" s="397"/>
      <c r="BT7436" s="397"/>
      <c r="BU7436" s="397"/>
      <c r="BV7436" s="397"/>
      <c r="BW7436" s="397"/>
      <c r="BX7436" s="397"/>
      <c r="BY7436" s="397"/>
      <c r="BZ7436" s="397"/>
      <c r="CA7436" s="392" t="s">
        <v>413</v>
      </c>
    </row>
    <row r="7437" spans="1:80" s="392" customFormat="1" ht="15" x14ac:dyDescent="0.25">
      <c r="A7437" s="385"/>
      <c r="D7437" s="700"/>
      <c r="E7437" s="397"/>
      <c r="H7437" s="401">
        <v>3</v>
      </c>
      <c r="I7437" s="401"/>
      <c r="J7437" s="401"/>
      <c r="K7437" s="401"/>
      <c r="L7437" s="675"/>
      <c r="M7437" s="672">
        <v>28718</v>
      </c>
      <c r="N7437" s="623">
        <v>1.4735052422782658E-2</v>
      </c>
      <c r="O7437" s="624" t="s">
        <v>71</v>
      </c>
      <c r="P7437" s="397"/>
      <c r="Q7437" s="397"/>
      <c r="R7437" s="397"/>
      <c r="S7437" s="397"/>
      <c r="T7437" s="397"/>
      <c r="U7437" s="397"/>
      <c r="V7437" s="397"/>
      <c r="W7437" s="397"/>
      <c r="X7437" s="397"/>
      <c r="Y7437" s="397"/>
      <c r="Z7437" s="397"/>
      <c r="AD7437" s="388">
        <v>1.4935200000000002</v>
      </c>
      <c r="AE7437" s="388">
        <v>0.13716</v>
      </c>
      <c r="AF7437" s="388">
        <v>0.20485120320000003</v>
      </c>
      <c r="AG7437" s="388">
        <v>6.0960000000000007E-2</v>
      </c>
      <c r="AH7437" s="391"/>
      <c r="AI7437" s="397"/>
      <c r="AJ7437" s="397"/>
      <c r="AU7437" s="397"/>
      <c r="AV7437" s="397"/>
      <c r="AW7437" s="397"/>
      <c r="AX7437" s="397"/>
      <c r="BI7437" s="397"/>
      <c r="BJ7437" s="397"/>
      <c r="BK7437" s="397"/>
      <c r="BL7437" s="397"/>
      <c r="BM7437" s="397"/>
      <c r="BN7437" s="397"/>
      <c r="BO7437" s="397"/>
      <c r="BP7437" s="397"/>
      <c r="BQ7437" s="397"/>
      <c r="BR7437" s="397"/>
      <c r="BS7437" s="397"/>
      <c r="BT7437" s="397"/>
      <c r="BU7437" s="397"/>
      <c r="BV7437" s="397"/>
      <c r="BW7437" s="397"/>
      <c r="BX7437" s="397"/>
      <c r="BY7437" s="397"/>
      <c r="BZ7437" s="397"/>
      <c r="CA7437" s="392" t="s">
        <v>413</v>
      </c>
    </row>
    <row r="7438" spans="1:80" s="392" customFormat="1" ht="15" x14ac:dyDescent="0.25">
      <c r="A7438" s="385"/>
      <c r="D7438" s="700"/>
      <c r="E7438" s="397"/>
      <c r="H7438" s="401">
        <v>3</v>
      </c>
      <c r="I7438" s="401"/>
      <c r="J7438" s="401"/>
      <c r="K7438" s="401"/>
      <c r="L7438" s="675"/>
      <c r="M7438" s="672">
        <v>28724</v>
      </c>
      <c r="N7438" s="623">
        <v>1.4168319637291017E-2</v>
      </c>
      <c r="O7438" s="624" t="s">
        <v>71</v>
      </c>
      <c r="P7438" s="397"/>
      <c r="Q7438" s="397"/>
      <c r="R7438" s="397"/>
      <c r="S7438" s="397"/>
      <c r="T7438" s="397"/>
      <c r="U7438" s="397"/>
      <c r="V7438" s="397"/>
      <c r="W7438" s="397"/>
      <c r="X7438" s="397"/>
      <c r="Y7438" s="397"/>
      <c r="Z7438" s="397"/>
      <c r="AD7438" s="388">
        <v>1.4935200000000002</v>
      </c>
      <c r="AE7438" s="388">
        <v>0.14630399999999999</v>
      </c>
      <c r="AF7438" s="388">
        <v>0.21850795008000001</v>
      </c>
      <c r="AG7438" s="388">
        <v>6.0960000000000007E-2</v>
      </c>
      <c r="AH7438" s="391"/>
      <c r="AI7438" s="397"/>
      <c r="AJ7438" s="397"/>
      <c r="AU7438" s="397"/>
      <c r="AV7438" s="397"/>
      <c r="AW7438" s="397"/>
      <c r="AX7438" s="397"/>
      <c r="BI7438" s="397"/>
      <c r="BJ7438" s="397"/>
      <c r="BK7438" s="397"/>
      <c r="BL7438" s="397"/>
      <c r="BM7438" s="397"/>
      <c r="BN7438" s="397"/>
      <c r="BO7438" s="397"/>
      <c r="BP7438" s="397"/>
      <c r="BQ7438" s="397"/>
      <c r="BR7438" s="397"/>
      <c r="BS7438" s="397"/>
      <c r="BT7438" s="397"/>
      <c r="BU7438" s="397"/>
      <c r="BV7438" s="397"/>
      <c r="BW7438" s="397"/>
      <c r="BX7438" s="397"/>
      <c r="BY7438" s="397"/>
      <c r="BZ7438" s="397"/>
      <c r="CA7438" s="392" t="s">
        <v>413</v>
      </c>
    </row>
    <row r="7439" spans="1:80" s="392" customFormat="1" ht="15" x14ac:dyDescent="0.25">
      <c r="A7439" s="385"/>
      <c r="D7439" s="700"/>
      <c r="E7439" s="397"/>
      <c r="H7439" s="401">
        <v>3</v>
      </c>
      <c r="I7439" s="401"/>
      <c r="J7439" s="401"/>
      <c r="K7439" s="401"/>
      <c r="L7439" s="675"/>
      <c r="M7439" s="672">
        <v>28731</v>
      </c>
      <c r="N7439" s="623">
        <v>1.0484556531595354E-2</v>
      </c>
      <c r="O7439" s="624" t="s">
        <v>71</v>
      </c>
      <c r="P7439" s="397"/>
      <c r="Q7439" s="397"/>
      <c r="R7439" s="397"/>
      <c r="S7439" s="397"/>
      <c r="T7439" s="397"/>
      <c r="U7439" s="397"/>
      <c r="V7439" s="397"/>
      <c r="W7439" s="397"/>
      <c r="X7439" s="397"/>
      <c r="Y7439" s="397"/>
      <c r="Z7439" s="397"/>
      <c r="AD7439" s="388">
        <v>1.524</v>
      </c>
      <c r="AE7439" s="388">
        <v>0.13716</v>
      </c>
      <c r="AF7439" s="388">
        <v>0.20903184</v>
      </c>
      <c r="AG7439" s="388">
        <v>6.0960000000000007E-2</v>
      </c>
      <c r="AH7439" s="391"/>
      <c r="AI7439" s="397"/>
      <c r="AJ7439" s="397"/>
      <c r="AU7439" s="397"/>
      <c r="AV7439" s="397"/>
      <c r="AW7439" s="397"/>
      <c r="AX7439" s="397"/>
      <c r="BI7439" s="397"/>
      <c r="BJ7439" s="397"/>
      <c r="BK7439" s="397"/>
      <c r="BL7439" s="397"/>
      <c r="BM7439" s="397"/>
      <c r="BN7439" s="397"/>
      <c r="BO7439" s="397"/>
      <c r="BP7439" s="397"/>
      <c r="BQ7439" s="397"/>
      <c r="BR7439" s="397"/>
      <c r="BS7439" s="397"/>
      <c r="BT7439" s="397"/>
      <c r="BU7439" s="397"/>
      <c r="BV7439" s="397"/>
      <c r="BW7439" s="397"/>
      <c r="BX7439" s="397"/>
      <c r="BY7439" s="397"/>
      <c r="BZ7439" s="397"/>
      <c r="CA7439" s="392" t="s">
        <v>413</v>
      </c>
    </row>
    <row r="7440" spans="1:80" s="392" customFormat="1" ht="15" x14ac:dyDescent="0.25">
      <c r="A7440" s="385"/>
      <c r="D7440" s="700"/>
      <c r="E7440" s="397"/>
      <c r="H7440" s="401">
        <v>3</v>
      </c>
      <c r="I7440" s="401"/>
      <c r="J7440" s="401"/>
      <c r="K7440" s="401"/>
      <c r="L7440" s="675"/>
      <c r="M7440" s="672">
        <v>28754</v>
      </c>
      <c r="N7440" s="623">
        <v>8.5009917823746107E-3</v>
      </c>
      <c r="O7440" s="624" t="s">
        <v>71</v>
      </c>
      <c r="P7440" s="397"/>
      <c r="Q7440" s="397"/>
      <c r="R7440" s="397"/>
      <c r="S7440" s="397"/>
      <c r="T7440" s="397"/>
      <c r="U7440" s="397"/>
      <c r="V7440" s="397"/>
      <c r="W7440" s="397"/>
      <c r="X7440" s="397"/>
      <c r="Y7440" s="397"/>
      <c r="Z7440" s="397"/>
      <c r="AD7440" s="388">
        <v>1.4325600000000001</v>
      </c>
      <c r="AE7440" s="388">
        <v>0.140208</v>
      </c>
      <c r="AF7440" s="388">
        <v>0.20085637248000002</v>
      </c>
      <c r="AG7440" s="388">
        <v>3.0480000000000004E-2</v>
      </c>
      <c r="AH7440" s="391"/>
      <c r="AI7440" s="397"/>
      <c r="AJ7440" s="397"/>
      <c r="AU7440" s="397"/>
      <c r="AV7440" s="397"/>
      <c r="AW7440" s="397"/>
      <c r="AX7440" s="397"/>
      <c r="BI7440" s="397"/>
      <c r="BJ7440" s="397"/>
      <c r="BK7440" s="397"/>
      <c r="BL7440" s="397"/>
      <c r="BM7440" s="397"/>
      <c r="BN7440" s="397"/>
      <c r="BO7440" s="397"/>
      <c r="BP7440" s="397"/>
      <c r="BQ7440" s="397"/>
      <c r="BR7440" s="397"/>
      <c r="BS7440" s="397"/>
      <c r="BT7440" s="397"/>
      <c r="BU7440" s="397"/>
      <c r="BV7440" s="397"/>
      <c r="BW7440" s="397"/>
      <c r="BX7440" s="397"/>
      <c r="BY7440" s="397"/>
      <c r="BZ7440" s="397"/>
      <c r="CA7440" s="392" t="s">
        <v>413</v>
      </c>
    </row>
    <row r="7441" spans="1:80" s="392" customFormat="1" ht="15" x14ac:dyDescent="0.25">
      <c r="A7441" s="385"/>
      <c r="D7441" s="700"/>
      <c r="E7441" s="397"/>
      <c r="H7441" s="401">
        <v>3</v>
      </c>
      <c r="I7441" s="401"/>
      <c r="J7441" s="401"/>
      <c r="K7441" s="401"/>
      <c r="L7441" s="675"/>
      <c r="M7441" s="672">
        <v>29024</v>
      </c>
      <c r="N7441" s="623">
        <v>0.6715783508075942</v>
      </c>
      <c r="O7441" s="624">
        <v>3.5224000000000002E-3</v>
      </c>
      <c r="P7441" s="397"/>
      <c r="Q7441" s="397"/>
      <c r="R7441" s="397"/>
      <c r="S7441" s="397"/>
      <c r="T7441" s="397"/>
      <c r="U7441" s="397"/>
      <c r="V7441" s="397"/>
      <c r="W7441" s="397"/>
      <c r="X7441" s="397"/>
      <c r="Y7441" s="397"/>
      <c r="Z7441" s="397"/>
      <c r="AD7441" s="388">
        <v>2.0726400000000003</v>
      </c>
      <c r="AE7441" s="388">
        <v>0.24384000000000003</v>
      </c>
      <c r="AF7441" s="388">
        <v>0.50539253760000014</v>
      </c>
      <c r="AG7441" s="388">
        <v>1.18872</v>
      </c>
      <c r="AH7441" s="391"/>
      <c r="AI7441" s="397"/>
      <c r="AJ7441" s="397"/>
      <c r="AU7441" s="397"/>
      <c r="AV7441" s="397"/>
      <c r="AW7441" s="397"/>
      <c r="AX7441" s="397"/>
      <c r="BI7441" s="397"/>
      <c r="BJ7441" s="397"/>
      <c r="BK7441" s="397"/>
      <c r="BL7441" s="397"/>
      <c r="BM7441" s="397"/>
      <c r="BN7441" s="397"/>
      <c r="BO7441" s="397"/>
      <c r="BP7441" s="397"/>
      <c r="BQ7441" s="397"/>
      <c r="BR7441" s="397"/>
      <c r="BS7441" s="397"/>
      <c r="BT7441" s="397"/>
      <c r="BU7441" s="397"/>
      <c r="BV7441" s="397"/>
      <c r="BW7441" s="397"/>
      <c r="BX7441" s="397"/>
      <c r="BY7441" s="397"/>
      <c r="BZ7441" s="397"/>
      <c r="CA7441" s="392" t="s">
        <v>413</v>
      </c>
    </row>
    <row r="7442" spans="1:80" s="392" customFormat="1" ht="15" x14ac:dyDescent="0.25">
      <c r="A7442" s="385"/>
      <c r="D7442" s="700"/>
      <c r="E7442" s="397"/>
      <c r="H7442" s="401">
        <v>3</v>
      </c>
      <c r="I7442" s="401"/>
      <c r="J7442" s="401"/>
      <c r="K7442" s="401"/>
      <c r="L7442" s="675"/>
      <c r="M7442" s="672">
        <v>29031</v>
      </c>
      <c r="N7442" s="623">
        <v>0.40266364409181077</v>
      </c>
      <c r="O7442" s="624">
        <v>1.3722666666666668E-3</v>
      </c>
      <c r="P7442" s="397"/>
      <c r="Q7442" s="397"/>
      <c r="R7442" s="397"/>
      <c r="S7442" s="397"/>
      <c r="T7442" s="397"/>
      <c r="U7442" s="397"/>
      <c r="V7442" s="397"/>
      <c r="W7442" s="397"/>
      <c r="X7442" s="397"/>
      <c r="Y7442" s="397"/>
      <c r="Z7442" s="397"/>
      <c r="AD7442" s="388">
        <v>1.8897600000000001</v>
      </c>
      <c r="AE7442" s="388">
        <v>0.22860000000000003</v>
      </c>
      <c r="AF7442" s="388">
        <v>0.43199913600000006</v>
      </c>
      <c r="AG7442" s="388">
        <v>0.94488000000000005</v>
      </c>
      <c r="AH7442" s="391"/>
      <c r="AI7442" s="397"/>
      <c r="AJ7442" s="397"/>
      <c r="AU7442" s="397"/>
      <c r="AV7442" s="397"/>
      <c r="AW7442" s="397"/>
      <c r="AX7442" s="397"/>
      <c r="BI7442" s="397"/>
      <c r="BJ7442" s="397"/>
      <c r="BK7442" s="397"/>
      <c r="BL7442" s="397"/>
      <c r="BM7442" s="397"/>
      <c r="BN7442" s="397"/>
      <c r="BO7442" s="397"/>
      <c r="BP7442" s="397"/>
      <c r="BQ7442" s="397"/>
      <c r="BR7442" s="397"/>
      <c r="BS7442" s="397"/>
      <c r="BT7442" s="397"/>
      <c r="BU7442" s="397"/>
      <c r="BV7442" s="397"/>
      <c r="BW7442" s="397"/>
      <c r="BX7442" s="397"/>
      <c r="BY7442" s="397"/>
      <c r="BZ7442" s="397"/>
      <c r="CA7442" s="392" t="s">
        <v>413</v>
      </c>
    </row>
    <row r="7443" spans="1:80" s="392" customFormat="1" ht="15" x14ac:dyDescent="0.25">
      <c r="A7443" s="385"/>
      <c r="D7443" s="700"/>
      <c r="E7443" s="397"/>
      <c r="H7443" s="401">
        <v>3</v>
      </c>
      <c r="I7443" s="401"/>
      <c r="J7443" s="401"/>
      <c r="K7443" s="401"/>
      <c r="L7443" s="675"/>
      <c r="M7443" s="672">
        <v>29039</v>
      </c>
      <c r="N7443" s="623">
        <v>9.9178237461037128E-2</v>
      </c>
      <c r="O7443" s="624">
        <v>0</v>
      </c>
      <c r="P7443" s="397"/>
      <c r="Q7443" s="397"/>
      <c r="R7443" s="397"/>
      <c r="S7443" s="397"/>
      <c r="T7443" s="397"/>
      <c r="U7443" s="397"/>
      <c r="V7443" s="397"/>
      <c r="W7443" s="397"/>
      <c r="X7443" s="397"/>
      <c r="Y7443" s="397"/>
      <c r="Z7443" s="397"/>
      <c r="AD7443" s="388">
        <v>1.7983200000000001</v>
      </c>
      <c r="AE7443" s="388"/>
      <c r="AF7443" s="388"/>
      <c r="AG7443" s="388"/>
      <c r="AH7443" s="391"/>
      <c r="AI7443" s="397"/>
      <c r="AJ7443" s="397"/>
      <c r="AU7443" s="397"/>
      <c r="AV7443" s="397"/>
      <c r="AW7443" s="397"/>
      <c r="AX7443" s="397"/>
      <c r="BI7443" s="397"/>
      <c r="BJ7443" s="397"/>
      <c r="BK7443" s="397"/>
      <c r="BL7443" s="397"/>
      <c r="BM7443" s="397"/>
      <c r="BN7443" s="397"/>
      <c r="BO7443" s="397"/>
      <c r="BP7443" s="397"/>
      <c r="BQ7443" s="397"/>
      <c r="BR7443" s="397"/>
      <c r="BS7443" s="397"/>
      <c r="BT7443" s="397"/>
      <c r="BU7443" s="397"/>
      <c r="BV7443" s="397"/>
      <c r="BW7443" s="397"/>
      <c r="BX7443" s="397"/>
      <c r="BY7443" s="397"/>
      <c r="BZ7443" s="397"/>
      <c r="CA7443" s="392" t="s">
        <v>413</v>
      </c>
    </row>
    <row r="7444" spans="1:80" s="392" customFormat="1" ht="15" x14ac:dyDescent="0.25">
      <c r="A7444" s="385"/>
      <c r="D7444" s="700"/>
      <c r="E7444" s="397"/>
      <c r="H7444" s="401">
        <v>3</v>
      </c>
      <c r="I7444" s="401"/>
      <c r="J7444" s="401"/>
      <c r="K7444" s="401"/>
      <c r="L7444" s="675"/>
      <c r="M7444" s="672">
        <v>29045</v>
      </c>
      <c r="N7444" s="623">
        <v>3.683763105695665E-2</v>
      </c>
      <c r="O7444" s="624">
        <v>3.3717333333333332E-3</v>
      </c>
      <c r="P7444" s="397"/>
      <c r="Q7444" s="397"/>
      <c r="R7444" s="397"/>
      <c r="S7444" s="397"/>
      <c r="T7444" s="397"/>
      <c r="U7444" s="397"/>
      <c r="V7444" s="397"/>
      <c r="W7444" s="397"/>
      <c r="X7444" s="397"/>
      <c r="Y7444" s="397"/>
      <c r="Z7444" s="397"/>
      <c r="AD7444" s="388">
        <v>1.7678400000000001</v>
      </c>
      <c r="AE7444" s="388"/>
      <c r="AF7444" s="388"/>
      <c r="AG7444" s="388"/>
      <c r="AH7444" s="391"/>
      <c r="AI7444" s="397"/>
      <c r="AJ7444" s="397"/>
      <c r="AU7444" s="397"/>
      <c r="AV7444" s="397"/>
      <c r="AW7444" s="397"/>
      <c r="AX7444" s="397"/>
      <c r="BI7444" s="397"/>
      <c r="BJ7444" s="397"/>
      <c r="BK7444" s="397"/>
      <c r="BL7444" s="397"/>
      <c r="BM7444" s="397"/>
      <c r="BN7444" s="397"/>
      <c r="BO7444" s="397"/>
      <c r="BP7444" s="397"/>
      <c r="BQ7444" s="397"/>
      <c r="BR7444" s="397"/>
      <c r="BS7444" s="397"/>
      <c r="BT7444" s="397"/>
      <c r="BU7444" s="397"/>
      <c r="BV7444" s="397"/>
      <c r="BW7444" s="397"/>
      <c r="BX7444" s="397"/>
      <c r="BY7444" s="397"/>
      <c r="BZ7444" s="397"/>
      <c r="CA7444" s="392" t="s">
        <v>413</v>
      </c>
    </row>
    <row r="7445" spans="1:80" s="392" customFormat="1" ht="15" x14ac:dyDescent="0.25">
      <c r="A7445" s="385"/>
      <c r="D7445" s="700"/>
      <c r="E7445" s="397"/>
      <c r="H7445" s="401">
        <v>3</v>
      </c>
      <c r="I7445" s="401"/>
      <c r="J7445" s="401"/>
      <c r="K7445" s="401"/>
      <c r="L7445" s="675"/>
      <c r="M7445" s="672">
        <v>29052</v>
      </c>
      <c r="N7445" s="623">
        <v>1.9835647492207422E-2</v>
      </c>
      <c r="O7445" s="624">
        <v>2.1759999999999998E-4</v>
      </c>
      <c r="P7445" s="397"/>
      <c r="Q7445" s="397"/>
      <c r="R7445" s="397"/>
      <c r="S7445" s="397"/>
      <c r="T7445" s="397"/>
      <c r="U7445" s="397"/>
      <c r="V7445" s="397"/>
      <c r="W7445" s="397"/>
      <c r="X7445" s="397"/>
      <c r="Y7445" s="397"/>
      <c r="Z7445" s="397"/>
      <c r="AD7445" s="388">
        <v>1.5544799999999999</v>
      </c>
      <c r="AE7445" s="388"/>
      <c r="AF7445" s="388"/>
      <c r="AG7445" s="388"/>
      <c r="AH7445" s="391"/>
      <c r="AI7445" s="397"/>
      <c r="AJ7445" s="397"/>
      <c r="AU7445" s="397"/>
      <c r="AV7445" s="397"/>
      <c r="AW7445" s="397"/>
      <c r="AX7445" s="397"/>
      <c r="BI7445" s="397"/>
      <c r="BJ7445" s="397"/>
      <c r="BK7445" s="397"/>
      <c r="BL7445" s="397"/>
      <c r="BM7445" s="397"/>
      <c r="BN7445" s="397"/>
      <c r="BO7445" s="397"/>
      <c r="BP7445" s="397"/>
      <c r="BQ7445" s="397"/>
      <c r="BR7445" s="397"/>
      <c r="BS7445" s="397"/>
      <c r="BT7445" s="397"/>
      <c r="BU7445" s="397"/>
      <c r="BV7445" s="397"/>
      <c r="BW7445" s="397"/>
      <c r="BX7445" s="397"/>
      <c r="BY7445" s="397"/>
      <c r="BZ7445" s="397"/>
      <c r="CA7445" s="392" t="s">
        <v>413</v>
      </c>
    </row>
    <row r="7446" spans="1:80" s="189" customFormat="1" ht="15" x14ac:dyDescent="0.25">
      <c r="A7446" s="381" t="s">
        <v>475</v>
      </c>
      <c r="B7446" s="641" t="s">
        <v>34</v>
      </c>
      <c r="C7446" s="639"/>
      <c r="D7446" s="4">
        <f>VLOOKUP(E7446,'Quality Code'!$D$4:$E$24,2,TRUE)*VLOOKUP(MROUND(F7446,10),'Quality Code'!$D$28:$E$69,2,TRUE)*VLOOKUP(COUNTA(CB7446:CB7456),'Quality Code'!$D$73:$E$93,2,TRUE)</f>
        <v>0.1</v>
      </c>
      <c r="E7446" s="14">
        <v>0.4</v>
      </c>
      <c r="F7446" s="2">
        <v>12</v>
      </c>
      <c r="G7446" s="12"/>
      <c r="H7446" s="2" t="s">
        <v>105</v>
      </c>
      <c r="I7446" s="2"/>
      <c r="J7446" s="2"/>
      <c r="K7446" s="2"/>
      <c r="L7446" s="639"/>
      <c r="M7446" s="640" t="s">
        <v>916</v>
      </c>
      <c r="N7446" s="578" t="s">
        <v>110</v>
      </c>
      <c r="O7446" s="578"/>
      <c r="P7446" s="26"/>
      <c r="Q7446" s="26"/>
      <c r="R7446" s="26"/>
      <c r="S7446" s="26"/>
      <c r="T7446" s="26"/>
      <c r="U7446" s="26"/>
      <c r="V7446" s="10"/>
      <c r="W7446" s="10"/>
      <c r="X7446" s="10"/>
      <c r="Y7446" s="10"/>
      <c r="Z7446" s="2"/>
      <c r="AA7446" s="26"/>
      <c r="AB7446" s="26"/>
      <c r="AC7446" s="377">
        <v>5.8000000000000003E-2</v>
      </c>
      <c r="AD7446" s="406"/>
      <c r="AE7446" s="26"/>
      <c r="AF7446" s="26"/>
      <c r="AG7446" s="26"/>
      <c r="AH7446" s="26"/>
      <c r="AI7446" s="4"/>
      <c r="AJ7446" s="4"/>
      <c r="AK7446" s="26"/>
      <c r="AL7446" s="26"/>
      <c r="AM7446" s="26"/>
      <c r="AN7446" s="26"/>
      <c r="AO7446" s="26"/>
      <c r="AP7446" s="26"/>
      <c r="AQ7446" s="26"/>
      <c r="AR7446" s="26"/>
      <c r="AS7446" s="26"/>
      <c r="AT7446" s="26"/>
      <c r="AU7446" s="4"/>
      <c r="AV7446" s="4"/>
      <c r="AW7446" s="4"/>
      <c r="AX7446" s="4"/>
      <c r="AY7446" s="2"/>
      <c r="AZ7446" s="2"/>
      <c r="BA7446" s="12"/>
      <c r="BB7446" s="12"/>
      <c r="BC7446" s="12"/>
      <c r="BD7446" s="12"/>
      <c r="BE7446" s="12"/>
      <c r="BF7446" s="12"/>
      <c r="BG7446" s="12"/>
      <c r="BH7446" s="12"/>
      <c r="BI7446" s="4"/>
      <c r="BJ7446" s="12"/>
      <c r="BK7446" s="2"/>
      <c r="BL7446" s="2"/>
      <c r="BM7446" s="4"/>
      <c r="BN7446" s="12"/>
      <c r="BO7446" s="12"/>
      <c r="BP7446" s="12"/>
      <c r="BQ7446" s="4"/>
      <c r="BR7446" s="4"/>
      <c r="BS7446" s="4"/>
      <c r="BT7446" s="2"/>
      <c r="BU7446" s="9"/>
      <c r="BV7446" s="381"/>
      <c r="BW7446" s="382"/>
      <c r="BX7446" s="383"/>
      <c r="BY7446" s="383" t="s">
        <v>416</v>
      </c>
      <c r="BZ7446" s="383"/>
      <c r="CA7446" s="384" t="s">
        <v>413</v>
      </c>
      <c r="CB7446" s="411"/>
    </row>
    <row r="7447" spans="1:80" s="392" customFormat="1" ht="15" x14ac:dyDescent="0.25">
      <c r="A7447" s="385"/>
      <c r="D7447" s="700"/>
      <c r="E7447" s="397"/>
      <c r="H7447" s="401">
        <v>3</v>
      </c>
      <c r="I7447" s="401"/>
      <c r="J7447" s="401"/>
      <c r="K7447" s="401"/>
      <c r="L7447" s="675"/>
      <c r="M7447" s="672">
        <v>28662</v>
      </c>
      <c r="N7447" s="623">
        <v>0.34684046472088415</v>
      </c>
      <c r="O7447" s="624">
        <v>5.2215333333333343E-2</v>
      </c>
      <c r="P7447" s="397"/>
      <c r="Q7447" s="397"/>
      <c r="R7447" s="397"/>
      <c r="S7447" s="397"/>
      <c r="T7447" s="397"/>
      <c r="U7447" s="397"/>
      <c r="V7447" s="397"/>
      <c r="W7447" s="397"/>
      <c r="X7447" s="397"/>
      <c r="Y7447" s="397"/>
      <c r="Z7447" s="397"/>
      <c r="AD7447" s="388">
        <v>2.04216</v>
      </c>
      <c r="AE7447" s="388">
        <v>0.225552</v>
      </c>
      <c r="AF7447" s="388">
        <v>0.46061327231999999</v>
      </c>
      <c r="AG7447" s="388">
        <v>0.67056000000000004</v>
      </c>
      <c r="AH7447" s="391"/>
      <c r="AI7447" s="397"/>
      <c r="AJ7447" s="397"/>
      <c r="AU7447" s="397"/>
      <c r="AV7447" s="397"/>
      <c r="AW7447" s="397"/>
      <c r="AX7447" s="397"/>
      <c r="BI7447" s="397"/>
      <c r="BJ7447" s="397"/>
      <c r="BK7447" s="397"/>
      <c r="BL7447" s="397"/>
      <c r="BM7447" s="397"/>
      <c r="BN7447" s="397"/>
      <c r="BO7447" s="397"/>
      <c r="BP7447" s="397"/>
      <c r="BQ7447" s="397"/>
      <c r="BR7447" s="397"/>
      <c r="BS7447" s="397"/>
      <c r="BT7447" s="397"/>
      <c r="BU7447" s="397"/>
      <c r="BV7447" s="397"/>
      <c r="BW7447" s="397"/>
      <c r="BX7447" s="397"/>
      <c r="BY7447" s="397"/>
      <c r="BZ7447" s="397"/>
      <c r="CA7447" s="392" t="s">
        <v>413</v>
      </c>
    </row>
    <row r="7448" spans="1:80" s="392" customFormat="1" ht="15" x14ac:dyDescent="0.25">
      <c r="A7448" s="385"/>
      <c r="D7448" s="700"/>
      <c r="E7448" s="397"/>
      <c r="H7448" s="401">
        <v>3</v>
      </c>
      <c r="I7448" s="401"/>
      <c r="J7448" s="401"/>
      <c r="K7448" s="401"/>
      <c r="L7448" s="675"/>
      <c r="M7448" s="672">
        <v>28669</v>
      </c>
      <c r="N7448" s="623">
        <v>0.20940776423916124</v>
      </c>
      <c r="O7448" s="624">
        <v>1.4355333333333331E-2</v>
      </c>
      <c r="P7448" s="397"/>
      <c r="Q7448" s="397"/>
      <c r="R7448" s="397"/>
      <c r="S7448" s="397"/>
      <c r="T7448" s="397"/>
      <c r="U7448" s="397"/>
      <c r="V7448" s="397"/>
      <c r="W7448" s="397"/>
      <c r="X7448" s="397"/>
      <c r="Y7448" s="397"/>
      <c r="Z7448" s="397"/>
      <c r="AD7448" s="388">
        <v>1.85928</v>
      </c>
      <c r="AE7448" s="388">
        <v>0.16459200000000002</v>
      </c>
      <c r="AF7448" s="388">
        <v>0.30602261376000006</v>
      </c>
      <c r="AG7448" s="388">
        <v>0.51816000000000006</v>
      </c>
      <c r="AH7448" s="391"/>
      <c r="AI7448" s="397"/>
      <c r="AJ7448" s="397"/>
      <c r="AU7448" s="397"/>
      <c r="AV7448" s="397"/>
      <c r="AW7448" s="397"/>
      <c r="AX7448" s="397"/>
      <c r="BI7448" s="397"/>
      <c r="BJ7448" s="397"/>
      <c r="BK7448" s="397"/>
      <c r="BL7448" s="397"/>
      <c r="BM7448" s="397"/>
      <c r="BN7448" s="397"/>
      <c r="BO7448" s="397"/>
      <c r="BP7448" s="397"/>
      <c r="BQ7448" s="397"/>
      <c r="BR7448" s="397"/>
      <c r="BS7448" s="397"/>
      <c r="BT7448" s="397"/>
      <c r="BU7448" s="397"/>
      <c r="BV7448" s="397"/>
      <c r="BW7448" s="397"/>
      <c r="BX7448" s="397"/>
      <c r="BY7448" s="397"/>
      <c r="BZ7448" s="397"/>
      <c r="CA7448" s="392" t="s">
        <v>413</v>
      </c>
    </row>
    <row r="7449" spans="1:80" s="392" customFormat="1" ht="15" x14ac:dyDescent="0.25">
      <c r="A7449" s="385"/>
      <c r="D7449" s="700"/>
      <c r="E7449" s="397"/>
      <c r="H7449" s="401">
        <v>3</v>
      </c>
      <c r="I7449" s="401"/>
      <c r="J7449" s="401"/>
      <c r="K7449" s="401"/>
      <c r="L7449" s="675"/>
      <c r="M7449" s="672">
        <v>28677</v>
      </c>
      <c r="N7449" s="623">
        <v>8.4159818645508644E-2</v>
      </c>
      <c r="O7449" s="624">
        <v>1.1786666666666668E-3</v>
      </c>
      <c r="P7449" s="397"/>
      <c r="Q7449" s="397"/>
      <c r="R7449" s="397"/>
      <c r="S7449" s="397"/>
      <c r="T7449" s="397"/>
      <c r="U7449" s="397"/>
      <c r="V7449" s="397"/>
      <c r="W7449" s="397"/>
      <c r="X7449" s="397"/>
      <c r="Y7449" s="397"/>
      <c r="Z7449" s="397"/>
      <c r="AD7449" s="388">
        <v>1.5849600000000001</v>
      </c>
      <c r="AE7449" s="388">
        <v>0.140208</v>
      </c>
      <c r="AF7449" s="388">
        <v>0.22222407168000002</v>
      </c>
      <c r="AG7449" s="388">
        <v>0.30480000000000002</v>
      </c>
      <c r="AH7449" s="391"/>
      <c r="AI7449" s="397"/>
      <c r="AJ7449" s="397"/>
      <c r="AU7449" s="397"/>
      <c r="AV7449" s="397"/>
      <c r="AW7449" s="397"/>
      <c r="AX7449" s="397"/>
      <c r="BI7449" s="397"/>
      <c r="BJ7449" s="397"/>
      <c r="BK7449" s="397"/>
      <c r="BL7449" s="397"/>
      <c r="BM7449" s="397"/>
      <c r="BN7449" s="397"/>
      <c r="BO7449" s="397"/>
      <c r="BP7449" s="397"/>
      <c r="BQ7449" s="397"/>
      <c r="BR7449" s="397"/>
      <c r="BS7449" s="397"/>
      <c r="BT7449" s="397"/>
      <c r="BU7449" s="397"/>
      <c r="BV7449" s="397"/>
      <c r="BW7449" s="397"/>
      <c r="BX7449" s="397"/>
      <c r="BY7449" s="397"/>
      <c r="BZ7449" s="397"/>
      <c r="CA7449" s="392" t="s">
        <v>413</v>
      </c>
    </row>
    <row r="7450" spans="1:80" s="392" customFormat="1" ht="15" x14ac:dyDescent="0.25">
      <c r="A7450" s="385"/>
      <c r="D7450" s="700"/>
      <c r="E7450" s="397"/>
      <c r="H7450" s="401">
        <v>3</v>
      </c>
      <c r="I7450" s="401"/>
      <c r="J7450" s="401"/>
      <c r="K7450" s="401"/>
      <c r="L7450" s="675"/>
      <c r="M7450" s="672">
        <v>28682</v>
      </c>
      <c r="N7450" s="623">
        <v>5.9506942476622277E-2</v>
      </c>
      <c r="O7450" s="624">
        <v>1.6006666666666671E-3</v>
      </c>
      <c r="P7450" s="397"/>
      <c r="Q7450" s="397"/>
      <c r="R7450" s="397"/>
      <c r="S7450" s="397"/>
      <c r="T7450" s="397"/>
      <c r="U7450" s="397"/>
      <c r="V7450" s="397"/>
      <c r="W7450" s="397"/>
      <c r="X7450" s="397"/>
      <c r="Y7450" s="397"/>
      <c r="Z7450" s="397"/>
      <c r="AD7450" s="388">
        <v>1.4935200000000002</v>
      </c>
      <c r="AE7450" s="388">
        <v>0.10668</v>
      </c>
      <c r="AF7450" s="388">
        <v>0.1593287136</v>
      </c>
      <c r="AG7450" s="388">
        <v>0.27432000000000001</v>
      </c>
      <c r="AH7450" s="391"/>
      <c r="AI7450" s="397"/>
      <c r="AJ7450" s="397"/>
      <c r="AU7450" s="397"/>
      <c r="AV7450" s="397"/>
      <c r="AW7450" s="397"/>
      <c r="AX7450" s="397"/>
      <c r="BI7450" s="397"/>
      <c r="BJ7450" s="397"/>
      <c r="BK7450" s="397"/>
      <c r="BL7450" s="397"/>
      <c r="BM7450" s="397"/>
      <c r="BN7450" s="397"/>
      <c r="BO7450" s="397"/>
      <c r="BP7450" s="397"/>
      <c r="BQ7450" s="397"/>
      <c r="BR7450" s="397"/>
      <c r="BS7450" s="397"/>
      <c r="BT7450" s="397"/>
      <c r="BU7450" s="397"/>
      <c r="BV7450" s="397"/>
      <c r="BW7450" s="397"/>
      <c r="BX7450" s="397"/>
      <c r="BY7450" s="397"/>
      <c r="BZ7450" s="397"/>
      <c r="CA7450" s="392" t="s">
        <v>413</v>
      </c>
    </row>
    <row r="7451" spans="1:80" s="392" customFormat="1" ht="15" x14ac:dyDescent="0.25">
      <c r="A7451" s="385"/>
      <c r="D7451" s="700"/>
      <c r="E7451" s="397"/>
      <c r="H7451" s="401">
        <v>3</v>
      </c>
      <c r="I7451" s="401"/>
      <c r="J7451" s="401"/>
      <c r="K7451" s="401"/>
      <c r="L7451" s="675"/>
      <c r="M7451" s="672">
        <v>28691</v>
      </c>
      <c r="N7451" s="623">
        <v>2.1819212241428167E-2</v>
      </c>
      <c r="O7451" s="624">
        <v>2.1866666666666665E-4</v>
      </c>
      <c r="P7451" s="397"/>
      <c r="Q7451" s="397"/>
      <c r="R7451" s="397"/>
      <c r="S7451" s="397"/>
      <c r="T7451" s="397"/>
      <c r="U7451" s="397"/>
      <c r="V7451" s="397"/>
      <c r="W7451" s="397"/>
      <c r="X7451" s="397"/>
      <c r="Y7451" s="397"/>
      <c r="Z7451" s="397"/>
      <c r="AD7451" s="388">
        <v>1.2496799999999999</v>
      </c>
      <c r="AE7451" s="388">
        <v>8.5344000000000017E-2</v>
      </c>
      <c r="AF7451" s="388">
        <v>0.10665268992000002</v>
      </c>
      <c r="AG7451" s="388">
        <v>0.12192000000000001</v>
      </c>
      <c r="AH7451" s="391"/>
      <c r="AI7451" s="397"/>
      <c r="AJ7451" s="397"/>
      <c r="AU7451" s="397"/>
      <c r="AV7451" s="397"/>
      <c r="AW7451" s="397"/>
      <c r="AX7451" s="397"/>
      <c r="BI7451" s="397"/>
      <c r="BJ7451" s="397"/>
      <c r="BK7451" s="397"/>
      <c r="BL7451" s="397"/>
      <c r="BM7451" s="397"/>
      <c r="BN7451" s="397"/>
      <c r="BO7451" s="397"/>
      <c r="BP7451" s="397"/>
      <c r="BQ7451" s="397"/>
      <c r="BR7451" s="397"/>
      <c r="BS7451" s="397"/>
      <c r="BT7451" s="397"/>
      <c r="BU7451" s="397"/>
      <c r="BV7451" s="397"/>
      <c r="BW7451" s="397"/>
      <c r="BX7451" s="397"/>
      <c r="BY7451" s="397"/>
      <c r="BZ7451" s="397"/>
      <c r="CA7451" s="392" t="s">
        <v>413</v>
      </c>
    </row>
    <row r="7452" spans="1:80" s="392" customFormat="1" ht="15" x14ac:dyDescent="0.25">
      <c r="A7452" s="385"/>
      <c r="D7452" s="700"/>
      <c r="E7452" s="397"/>
      <c r="H7452" s="401">
        <v>3</v>
      </c>
      <c r="I7452" s="401"/>
      <c r="J7452" s="401"/>
      <c r="K7452" s="401"/>
      <c r="L7452" s="675"/>
      <c r="M7452" s="672">
        <v>28696</v>
      </c>
      <c r="N7452" s="623">
        <v>1.3601586851799376E-2</v>
      </c>
      <c r="O7452" s="624">
        <v>2.6000000000000003E-4</v>
      </c>
      <c r="P7452" s="397"/>
      <c r="Q7452" s="397"/>
      <c r="R7452" s="397"/>
      <c r="S7452" s="397"/>
      <c r="T7452" s="397"/>
      <c r="U7452" s="397"/>
      <c r="V7452" s="397"/>
      <c r="W7452" s="397"/>
      <c r="X7452" s="397"/>
      <c r="Y7452" s="397"/>
      <c r="Z7452" s="397"/>
      <c r="AD7452" s="388">
        <v>1.18872</v>
      </c>
      <c r="AE7452" s="388">
        <v>7.0104E-2</v>
      </c>
      <c r="AF7452" s="388">
        <v>8.3334026879999995E-2</v>
      </c>
      <c r="AG7452" s="388">
        <v>0.12192000000000001</v>
      </c>
      <c r="AH7452" s="391"/>
      <c r="AI7452" s="397"/>
      <c r="AJ7452" s="397"/>
      <c r="AU7452" s="397"/>
      <c r="AV7452" s="397"/>
      <c r="AW7452" s="397"/>
      <c r="AX7452" s="397"/>
      <c r="BI7452" s="397"/>
      <c r="BJ7452" s="397"/>
      <c r="BK7452" s="397"/>
      <c r="BL7452" s="397"/>
      <c r="BM7452" s="397"/>
      <c r="BN7452" s="397"/>
      <c r="BO7452" s="397"/>
      <c r="BP7452" s="397"/>
      <c r="BQ7452" s="397"/>
      <c r="BR7452" s="397"/>
      <c r="BS7452" s="397"/>
      <c r="BT7452" s="397"/>
      <c r="BU7452" s="397"/>
      <c r="BV7452" s="397"/>
      <c r="BW7452" s="397"/>
      <c r="BX7452" s="397"/>
      <c r="BY7452" s="397"/>
      <c r="BZ7452" s="397"/>
      <c r="CA7452" s="392" t="s">
        <v>413</v>
      </c>
    </row>
    <row r="7453" spans="1:80" s="392" customFormat="1" ht="15" x14ac:dyDescent="0.25">
      <c r="A7453" s="385"/>
      <c r="D7453" s="700"/>
      <c r="E7453" s="397"/>
      <c r="H7453" s="401">
        <v>3</v>
      </c>
      <c r="I7453" s="401"/>
      <c r="J7453" s="401"/>
      <c r="K7453" s="401"/>
      <c r="L7453" s="675"/>
      <c r="M7453" s="672">
        <v>28698</v>
      </c>
      <c r="N7453" s="623">
        <v>1.4168319637291017E-2</v>
      </c>
      <c r="O7453" s="624">
        <v>1.7733333333333333E-4</v>
      </c>
      <c r="P7453" s="397"/>
      <c r="Q7453" s="397"/>
      <c r="R7453" s="397"/>
      <c r="S7453" s="397"/>
      <c r="T7453" s="397"/>
      <c r="U7453" s="397"/>
      <c r="V7453" s="397"/>
      <c r="W7453" s="397"/>
      <c r="X7453" s="397"/>
      <c r="Y7453" s="397"/>
      <c r="Z7453" s="397"/>
      <c r="AD7453" s="388">
        <v>1.1582399999999999</v>
      </c>
      <c r="AE7453" s="388">
        <v>7.6200000000000004E-2</v>
      </c>
      <c r="AF7453" s="388">
        <v>8.8257887999999993E-2</v>
      </c>
      <c r="AG7453" s="388">
        <v>0.15240000000000001</v>
      </c>
      <c r="AH7453" s="391"/>
      <c r="AI7453" s="397"/>
      <c r="AJ7453" s="397"/>
      <c r="AU7453" s="397"/>
      <c r="AV7453" s="397"/>
      <c r="AW7453" s="397"/>
      <c r="AX7453" s="397"/>
      <c r="BI7453" s="397"/>
      <c r="BJ7453" s="397"/>
      <c r="BK7453" s="397"/>
      <c r="BL7453" s="397"/>
      <c r="BM7453" s="397"/>
      <c r="BN7453" s="397"/>
      <c r="BO7453" s="397"/>
      <c r="BP7453" s="397"/>
      <c r="BQ7453" s="397"/>
      <c r="BR7453" s="397"/>
      <c r="BS7453" s="397"/>
      <c r="BT7453" s="397"/>
      <c r="BU7453" s="397"/>
      <c r="BV7453" s="397"/>
      <c r="BW7453" s="397"/>
      <c r="BX7453" s="397"/>
      <c r="BY7453" s="397"/>
      <c r="BZ7453" s="397"/>
      <c r="CA7453" s="392" t="s">
        <v>413</v>
      </c>
    </row>
    <row r="7454" spans="1:80" s="392" customFormat="1" ht="15" x14ac:dyDescent="0.25">
      <c r="A7454" s="385"/>
      <c r="D7454" s="700"/>
      <c r="E7454" s="397"/>
      <c r="H7454" s="401">
        <v>3</v>
      </c>
      <c r="I7454" s="401"/>
      <c r="J7454" s="401"/>
      <c r="K7454" s="401"/>
      <c r="L7454" s="675"/>
      <c r="M7454" s="672">
        <v>28705</v>
      </c>
      <c r="N7454" s="623">
        <v>7.6508926041371503E-3</v>
      </c>
      <c r="O7454" s="624">
        <v>1.9200000000000003E-4</v>
      </c>
      <c r="P7454" s="397"/>
      <c r="Q7454" s="397"/>
      <c r="R7454" s="397"/>
      <c r="S7454" s="397"/>
      <c r="T7454" s="397"/>
      <c r="U7454" s="397"/>
      <c r="V7454" s="397"/>
      <c r="W7454" s="397"/>
      <c r="X7454" s="397"/>
      <c r="Y7454" s="397"/>
      <c r="Z7454" s="397"/>
      <c r="AD7454" s="388">
        <v>0.97536000000000012</v>
      </c>
      <c r="AE7454" s="388">
        <v>7.3151999999999995E-2</v>
      </c>
      <c r="AF7454" s="388">
        <v>7.134953472000001E-2</v>
      </c>
      <c r="AG7454" s="388">
        <v>9.1440000000000007E-2</v>
      </c>
      <c r="AH7454" s="391"/>
      <c r="AI7454" s="397"/>
      <c r="AJ7454" s="397"/>
      <c r="AU7454" s="397"/>
      <c r="AV7454" s="397"/>
      <c r="AW7454" s="397"/>
      <c r="AX7454" s="397"/>
      <c r="BI7454" s="397"/>
      <c r="BJ7454" s="397"/>
      <c r="BK7454" s="397"/>
      <c r="BL7454" s="397"/>
      <c r="BM7454" s="397"/>
      <c r="BN7454" s="397"/>
      <c r="BO7454" s="397"/>
      <c r="BP7454" s="397"/>
      <c r="BQ7454" s="397"/>
      <c r="BR7454" s="397"/>
      <c r="BS7454" s="397"/>
      <c r="BT7454" s="397"/>
      <c r="BU7454" s="397"/>
      <c r="BV7454" s="397"/>
      <c r="BW7454" s="397"/>
      <c r="BX7454" s="397"/>
      <c r="BY7454" s="397"/>
      <c r="BZ7454" s="397"/>
      <c r="CA7454" s="392" t="s">
        <v>413</v>
      </c>
    </row>
    <row r="7455" spans="1:80" s="392" customFormat="1" ht="15" x14ac:dyDescent="0.25">
      <c r="A7455" s="385"/>
      <c r="D7455" s="700"/>
      <c r="E7455" s="397"/>
      <c r="H7455" s="401">
        <v>3</v>
      </c>
      <c r="I7455" s="401"/>
      <c r="J7455" s="401"/>
      <c r="K7455" s="401"/>
      <c r="L7455" s="675"/>
      <c r="M7455" s="672">
        <v>28710</v>
      </c>
      <c r="N7455" s="623">
        <v>6.8007934258996882E-3</v>
      </c>
      <c r="O7455" s="624">
        <v>2.1600000000000002E-4</v>
      </c>
      <c r="P7455" s="397"/>
      <c r="Q7455" s="397"/>
      <c r="R7455" s="397"/>
      <c r="S7455" s="397"/>
      <c r="T7455" s="397"/>
      <c r="U7455" s="397"/>
      <c r="V7455" s="397"/>
      <c r="W7455" s="397"/>
      <c r="X7455" s="397"/>
      <c r="Y7455" s="397"/>
      <c r="Z7455" s="397"/>
      <c r="AD7455" s="388">
        <v>1.09728</v>
      </c>
      <c r="AE7455" s="388">
        <v>7.0104E-2</v>
      </c>
      <c r="AF7455" s="388">
        <v>7.6923717119999999E-2</v>
      </c>
      <c r="AG7455" s="388">
        <v>9.1440000000000007E-2</v>
      </c>
      <c r="AH7455" s="391"/>
      <c r="AI7455" s="397"/>
      <c r="AJ7455" s="397"/>
      <c r="AU7455" s="397"/>
      <c r="AV7455" s="397"/>
      <c r="AW7455" s="397"/>
      <c r="AX7455" s="397"/>
      <c r="BI7455" s="397"/>
      <c r="BJ7455" s="397"/>
      <c r="BK7455" s="397"/>
      <c r="BL7455" s="397"/>
      <c r="BM7455" s="397"/>
      <c r="BN7455" s="397"/>
      <c r="BO7455" s="397"/>
      <c r="BP7455" s="397"/>
      <c r="BQ7455" s="397"/>
      <c r="BR7455" s="397"/>
      <c r="BS7455" s="397"/>
      <c r="BT7455" s="397"/>
      <c r="BU7455" s="397"/>
      <c r="BV7455" s="397"/>
      <c r="BW7455" s="397"/>
      <c r="BX7455" s="397"/>
      <c r="BY7455" s="397"/>
      <c r="BZ7455" s="397"/>
      <c r="CA7455" s="392" t="s">
        <v>413</v>
      </c>
    </row>
    <row r="7456" spans="1:80" s="392" customFormat="1" ht="15" x14ac:dyDescent="0.25">
      <c r="A7456" s="385"/>
      <c r="D7456" s="700"/>
      <c r="E7456" s="397"/>
      <c r="H7456" s="401">
        <v>3</v>
      </c>
      <c r="I7456" s="401"/>
      <c r="J7456" s="401"/>
      <c r="K7456" s="401"/>
      <c r="L7456" s="675"/>
      <c r="M7456" s="672">
        <v>28712</v>
      </c>
      <c r="N7456" s="623">
        <v>7.367526211391329E-3</v>
      </c>
      <c r="O7456" s="624">
        <v>1.6799999999999999E-4</v>
      </c>
      <c r="P7456" s="397"/>
      <c r="Q7456" s="397"/>
      <c r="R7456" s="397"/>
      <c r="S7456" s="397"/>
      <c r="T7456" s="397"/>
      <c r="U7456" s="397"/>
      <c r="V7456" s="397"/>
      <c r="W7456" s="397"/>
      <c r="X7456" s="397"/>
      <c r="Y7456" s="397"/>
      <c r="Z7456" s="397"/>
      <c r="AD7456" s="388">
        <v>1.09728</v>
      </c>
      <c r="AE7456" s="388">
        <v>5.7912000000000005E-2</v>
      </c>
      <c r="AF7456" s="388">
        <v>6.354567936000001E-2</v>
      </c>
      <c r="AG7456" s="388">
        <v>9.1440000000000007E-2</v>
      </c>
      <c r="AH7456" s="391"/>
      <c r="AI7456" s="397"/>
      <c r="AJ7456" s="397"/>
      <c r="AU7456" s="397"/>
      <c r="AV7456" s="397"/>
      <c r="AW7456" s="397"/>
      <c r="AX7456" s="397"/>
      <c r="BI7456" s="397"/>
      <c r="BJ7456" s="397"/>
      <c r="BK7456" s="397"/>
      <c r="BL7456" s="397"/>
      <c r="BM7456" s="397"/>
      <c r="BN7456" s="397"/>
      <c r="BO7456" s="397"/>
      <c r="BP7456" s="397"/>
      <c r="BQ7456" s="397"/>
      <c r="BR7456" s="397"/>
      <c r="BS7456" s="397"/>
      <c r="BT7456" s="397"/>
      <c r="BU7456" s="397"/>
      <c r="BV7456" s="397"/>
      <c r="BW7456" s="397"/>
      <c r="BX7456" s="397"/>
      <c r="BY7456" s="397"/>
      <c r="BZ7456" s="397"/>
      <c r="CA7456" s="392" t="s">
        <v>413</v>
      </c>
    </row>
    <row r="7457" spans="1:80" s="392" customFormat="1" ht="15" x14ac:dyDescent="0.25">
      <c r="A7457" s="385"/>
      <c r="D7457" s="700"/>
      <c r="E7457" s="397"/>
      <c r="H7457" s="401">
        <v>3</v>
      </c>
      <c r="I7457" s="401"/>
      <c r="J7457" s="401"/>
      <c r="K7457" s="401"/>
      <c r="L7457" s="675"/>
      <c r="M7457" s="672">
        <v>28719</v>
      </c>
      <c r="N7457" s="623">
        <v>5.1005950694247666E-3</v>
      </c>
      <c r="O7457" s="624" t="s">
        <v>71</v>
      </c>
      <c r="P7457" s="397"/>
      <c r="Q7457" s="397"/>
      <c r="R7457" s="397"/>
      <c r="S7457" s="397"/>
      <c r="T7457" s="397"/>
      <c r="U7457" s="397"/>
      <c r="V7457" s="397"/>
      <c r="W7457" s="397"/>
      <c r="X7457" s="397"/>
      <c r="Y7457" s="397"/>
      <c r="Z7457" s="397"/>
      <c r="AD7457" s="388">
        <v>0.88392000000000004</v>
      </c>
      <c r="AE7457" s="388">
        <v>6.0960000000000007E-2</v>
      </c>
      <c r="AF7457" s="388">
        <v>5.3883763200000011E-2</v>
      </c>
      <c r="AG7457" s="388">
        <v>9.1440000000000007E-2</v>
      </c>
      <c r="AH7457" s="391"/>
      <c r="AI7457" s="397"/>
      <c r="AJ7457" s="397"/>
      <c r="AU7457" s="397"/>
      <c r="AV7457" s="397"/>
      <c r="AW7457" s="397"/>
      <c r="AX7457" s="397"/>
      <c r="BI7457" s="397"/>
      <c r="BJ7457" s="397"/>
      <c r="BK7457" s="397"/>
      <c r="BL7457" s="397"/>
      <c r="BM7457" s="397"/>
      <c r="BN7457" s="397"/>
      <c r="BO7457" s="397"/>
      <c r="BP7457" s="397"/>
      <c r="BQ7457" s="397"/>
      <c r="BR7457" s="397"/>
      <c r="BS7457" s="397"/>
      <c r="BT7457" s="397"/>
      <c r="BU7457" s="397"/>
      <c r="BV7457" s="397"/>
      <c r="BW7457" s="397"/>
      <c r="BX7457" s="397"/>
      <c r="BY7457" s="397"/>
      <c r="BZ7457" s="397"/>
      <c r="CA7457" s="392" t="s">
        <v>413</v>
      </c>
    </row>
    <row r="7458" spans="1:80" s="392" customFormat="1" ht="15" x14ac:dyDescent="0.25">
      <c r="A7458" s="385"/>
      <c r="D7458" s="700"/>
      <c r="E7458" s="397"/>
      <c r="H7458" s="401">
        <v>3</v>
      </c>
      <c r="I7458" s="401"/>
      <c r="J7458" s="401"/>
      <c r="K7458" s="401"/>
      <c r="L7458" s="675"/>
      <c r="M7458" s="672">
        <v>28724</v>
      </c>
      <c r="N7458" s="623">
        <v>5.6673278549164074E-3</v>
      </c>
      <c r="O7458" s="624" t="s">
        <v>71</v>
      </c>
      <c r="P7458" s="397"/>
      <c r="Q7458" s="397"/>
      <c r="R7458" s="397"/>
      <c r="S7458" s="397"/>
      <c r="T7458" s="397"/>
      <c r="U7458" s="397"/>
      <c r="V7458" s="397"/>
      <c r="W7458" s="397"/>
      <c r="X7458" s="397"/>
      <c r="Y7458" s="397"/>
      <c r="Z7458" s="397"/>
      <c r="AD7458" s="388">
        <v>0.97536000000000012</v>
      </c>
      <c r="AE7458" s="388">
        <v>5.7912000000000005E-2</v>
      </c>
      <c r="AF7458" s="388">
        <v>5.6485048320000009E-2</v>
      </c>
      <c r="AG7458" s="388">
        <v>9.1440000000000007E-2</v>
      </c>
      <c r="AH7458" s="391"/>
      <c r="AI7458" s="397"/>
      <c r="AJ7458" s="397"/>
      <c r="AU7458" s="397"/>
      <c r="AV7458" s="397"/>
      <c r="AW7458" s="397"/>
      <c r="AX7458" s="397"/>
      <c r="BI7458" s="397"/>
      <c r="BJ7458" s="397"/>
      <c r="BK7458" s="397"/>
      <c r="BL7458" s="397"/>
      <c r="BM7458" s="397"/>
      <c r="BN7458" s="397"/>
      <c r="BO7458" s="397"/>
      <c r="BP7458" s="397"/>
      <c r="BQ7458" s="397"/>
      <c r="BR7458" s="397"/>
      <c r="BS7458" s="397"/>
      <c r="BT7458" s="397"/>
      <c r="BU7458" s="397"/>
      <c r="BV7458" s="397"/>
      <c r="BW7458" s="397"/>
      <c r="BX7458" s="397"/>
      <c r="BY7458" s="397"/>
      <c r="BZ7458" s="397"/>
      <c r="CA7458" s="392" t="s">
        <v>413</v>
      </c>
    </row>
    <row r="7459" spans="1:80" s="392" customFormat="1" ht="15" x14ac:dyDescent="0.25">
      <c r="A7459" s="385"/>
      <c r="D7459" s="700"/>
      <c r="E7459" s="397"/>
      <c r="H7459" s="401">
        <v>3</v>
      </c>
      <c r="I7459" s="401"/>
      <c r="J7459" s="401"/>
      <c r="K7459" s="401"/>
      <c r="L7459" s="675"/>
      <c r="M7459" s="672">
        <v>28731</v>
      </c>
      <c r="N7459" s="623">
        <v>3.9671294984414849E-3</v>
      </c>
      <c r="O7459" s="624" t="s">
        <v>71</v>
      </c>
      <c r="P7459" s="397"/>
      <c r="Q7459" s="397"/>
      <c r="R7459" s="397"/>
      <c r="S7459" s="397"/>
      <c r="T7459" s="397"/>
      <c r="U7459" s="397"/>
      <c r="V7459" s="397"/>
      <c r="W7459" s="397"/>
      <c r="X7459" s="397"/>
      <c r="Y7459" s="397"/>
      <c r="Z7459" s="397"/>
      <c r="AD7459" s="388">
        <v>0.9144000000000001</v>
      </c>
      <c r="AE7459" s="388">
        <v>5.4864000000000003E-2</v>
      </c>
      <c r="AF7459" s="388">
        <v>5.0167641600000007E-2</v>
      </c>
      <c r="AG7459" s="388">
        <v>6.0960000000000007E-2</v>
      </c>
      <c r="AH7459" s="391"/>
      <c r="AI7459" s="397"/>
      <c r="AJ7459" s="397"/>
      <c r="AU7459" s="397"/>
      <c r="AV7459" s="397"/>
      <c r="AW7459" s="397"/>
      <c r="AX7459" s="397"/>
      <c r="BI7459" s="397"/>
      <c r="BJ7459" s="397"/>
      <c r="BK7459" s="397"/>
      <c r="BL7459" s="397"/>
      <c r="BM7459" s="397"/>
      <c r="BN7459" s="397"/>
      <c r="BO7459" s="397"/>
      <c r="BP7459" s="397"/>
      <c r="BQ7459" s="397"/>
      <c r="BR7459" s="397"/>
      <c r="BS7459" s="397"/>
      <c r="BT7459" s="397"/>
      <c r="BU7459" s="397"/>
      <c r="BV7459" s="397"/>
      <c r="BW7459" s="397"/>
      <c r="BX7459" s="397"/>
      <c r="BY7459" s="397"/>
      <c r="BZ7459" s="397"/>
      <c r="CA7459" s="392" t="s">
        <v>413</v>
      </c>
    </row>
    <row r="7460" spans="1:80" s="392" customFormat="1" ht="15" x14ac:dyDescent="0.25">
      <c r="A7460" s="385"/>
      <c r="D7460" s="700"/>
      <c r="E7460" s="397"/>
      <c r="H7460" s="401">
        <v>3</v>
      </c>
      <c r="I7460" s="401"/>
      <c r="J7460" s="401"/>
      <c r="K7460" s="401"/>
      <c r="L7460" s="675"/>
      <c r="M7460" s="672">
        <v>28754</v>
      </c>
      <c r="N7460" s="623">
        <v>3.4003967129498441E-3</v>
      </c>
      <c r="O7460" s="624" t="s">
        <v>71</v>
      </c>
      <c r="P7460" s="397"/>
      <c r="Q7460" s="397"/>
      <c r="R7460" s="397"/>
      <c r="S7460" s="397"/>
      <c r="T7460" s="397"/>
      <c r="U7460" s="397"/>
      <c r="V7460" s="397"/>
      <c r="W7460" s="397"/>
      <c r="X7460" s="397"/>
      <c r="Y7460" s="397"/>
      <c r="Z7460" s="397"/>
      <c r="AD7460" s="388">
        <v>0.9144000000000001</v>
      </c>
      <c r="AE7460" s="388">
        <v>5.1816000000000008E-2</v>
      </c>
      <c r="AF7460" s="388">
        <v>4.7380550400000013E-2</v>
      </c>
      <c r="AG7460" s="388">
        <v>6.0960000000000007E-2</v>
      </c>
      <c r="AH7460" s="391"/>
      <c r="AI7460" s="397"/>
      <c r="AJ7460" s="397"/>
      <c r="AU7460" s="397"/>
      <c r="AV7460" s="397"/>
      <c r="AW7460" s="397"/>
      <c r="AX7460" s="397"/>
      <c r="BI7460" s="397"/>
      <c r="BJ7460" s="397"/>
      <c r="BK7460" s="397"/>
      <c r="BL7460" s="397"/>
      <c r="BM7460" s="397"/>
      <c r="BN7460" s="397"/>
      <c r="BO7460" s="397"/>
      <c r="BP7460" s="397"/>
      <c r="BQ7460" s="397"/>
      <c r="BR7460" s="397"/>
      <c r="BS7460" s="397"/>
      <c r="BT7460" s="397"/>
      <c r="BU7460" s="397"/>
      <c r="BV7460" s="397"/>
      <c r="BW7460" s="397"/>
      <c r="BX7460" s="397"/>
      <c r="BY7460" s="397"/>
      <c r="BZ7460" s="397"/>
      <c r="CA7460" s="392" t="s">
        <v>413</v>
      </c>
    </row>
    <row r="7461" spans="1:80" s="392" customFormat="1" ht="15" x14ac:dyDescent="0.25">
      <c r="A7461" s="385"/>
      <c r="D7461" s="700"/>
      <c r="E7461" s="397"/>
      <c r="H7461" s="401">
        <v>3</v>
      </c>
      <c r="I7461" s="401"/>
      <c r="J7461" s="401"/>
      <c r="K7461" s="401"/>
      <c r="L7461" s="675"/>
      <c r="M7461" s="672">
        <v>29024</v>
      </c>
      <c r="N7461" s="623">
        <v>0.33890620572400115</v>
      </c>
      <c r="O7461" s="624">
        <v>1.2859200000000001E-2</v>
      </c>
      <c r="P7461" s="397"/>
      <c r="Q7461" s="397"/>
      <c r="R7461" s="397"/>
      <c r="S7461" s="397"/>
      <c r="T7461" s="397"/>
      <c r="U7461" s="397"/>
      <c r="V7461" s="397"/>
      <c r="W7461" s="397"/>
      <c r="X7461" s="397"/>
      <c r="Y7461" s="397"/>
      <c r="Z7461" s="397"/>
      <c r="AD7461" s="388">
        <v>2.1945600000000001</v>
      </c>
      <c r="AE7461" s="388">
        <v>0.18288000000000001</v>
      </c>
      <c r="AF7461" s="388">
        <v>0.40134113280000006</v>
      </c>
      <c r="AG7461" s="388">
        <v>0.70104</v>
      </c>
      <c r="AH7461" s="391"/>
      <c r="AI7461" s="397"/>
      <c r="AJ7461" s="397"/>
      <c r="AU7461" s="397"/>
      <c r="AV7461" s="397"/>
      <c r="AW7461" s="397"/>
      <c r="AX7461" s="397"/>
      <c r="BI7461" s="397"/>
      <c r="BJ7461" s="397"/>
      <c r="BK7461" s="397"/>
      <c r="BL7461" s="397"/>
      <c r="BM7461" s="397"/>
      <c r="BN7461" s="397"/>
      <c r="BO7461" s="397"/>
      <c r="BP7461" s="397"/>
      <c r="BQ7461" s="397"/>
      <c r="BR7461" s="397"/>
      <c r="BS7461" s="397"/>
      <c r="BT7461" s="397"/>
      <c r="BU7461" s="397"/>
      <c r="BV7461" s="397"/>
      <c r="BW7461" s="397"/>
      <c r="BX7461" s="397"/>
      <c r="BY7461" s="397"/>
      <c r="BZ7461" s="397"/>
      <c r="CA7461" s="392" t="s">
        <v>413</v>
      </c>
    </row>
    <row r="7462" spans="1:80" s="392" customFormat="1" ht="15" x14ac:dyDescent="0.25">
      <c r="A7462" s="385"/>
      <c r="D7462" s="700"/>
      <c r="E7462" s="397"/>
      <c r="H7462" s="401">
        <v>3</v>
      </c>
      <c r="I7462" s="401"/>
      <c r="J7462" s="401"/>
      <c r="K7462" s="401"/>
      <c r="L7462" s="675"/>
      <c r="M7462" s="672">
        <v>29031</v>
      </c>
      <c r="N7462" s="623">
        <v>0.24766222725984699</v>
      </c>
      <c r="O7462" s="624">
        <v>2.7642666666666663E-3</v>
      </c>
      <c r="P7462" s="397"/>
      <c r="Q7462" s="397"/>
      <c r="R7462" s="397"/>
      <c r="S7462" s="397"/>
      <c r="T7462" s="397"/>
      <c r="U7462" s="397"/>
      <c r="V7462" s="397"/>
      <c r="W7462" s="397"/>
      <c r="X7462" s="397"/>
      <c r="Y7462" s="397"/>
      <c r="Z7462" s="397"/>
      <c r="AD7462" s="388">
        <v>2.2250399999999999</v>
      </c>
      <c r="AE7462" s="388">
        <v>0.176784</v>
      </c>
      <c r="AF7462" s="388">
        <v>0.39335147135999998</v>
      </c>
      <c r="AG7462" s="388">
        <v>0.67056000000000004</v>
      </c>
      <c r="AH7462" s="391"/>
      <c r="AI7462" s="397"/>
      <c r="AJ7462" s="397"/>
      <c r="AU7462" s="397"/>
      <c r="AV7462" s="397"/>
      <c r="AW7462" s="397"/>
      <c r="AX7462" s="397"/>
      <c r="BI7462" s="397"/>
      <c r="BJ7462" s="397"/>
      <c r="BK7462" s="397"/>
      <c r="BL7462" s="397"/>
      <c r="BM7462" s="397"/>
      <c r="BN7462" s="397"/>
      <c r="BO7462" s="397"/>
      <c r="BP7462" s="397"/>
      <c r="BQ7462" s="397"/>
      <c r="BR7462" s="397"/>
      <c r="BS7462" s="397"/>
      <c r="BT7462" s="397"/>
      <c r="BU7462" s="397"/>
      <c r="BV7462" s="397"/>
      <c r="BW7462" s="397"/>
      <c r="BX7462" s="397"/>
      <c r="BY7462" s="397"/>
      <c r="BZ7462" s="397"/>
      <c r="CA7462" s="392" t="s">
        <v>413</v>
      </c>
    </row>
    <row r="7463" spans="1:80" s="189" customFormat="1" ht="15" x14ac:dyDescent="0.25">
      <c r="A7463" s="381" t="s">
        <v>476</v>
      </c>
      <c r="B7463" s="641"/>
      <c r="C7463" s="639"/>
      <c r="D7463" s="4">
        <f>VLOOKUP(E7463,'Quality Code'!$D$4:$E$24,2,TRUE)*VLOOKUP(MROUND(F7463,10),'Quality Code'!$D$28:$E$69,2,TRUE)*VLOOKUP(COUNTA(CB7463:CB7473),'Quality Code'!$D$73:$E$93,2,TRUE)</f>
        <v>0.26249999999999996</v>
      </c>
      <c r="E7463" s="14">
        <v>0.35</v>
      </c>
      <c r="F7463" s="2">
        <v>25</v>
      </c>
      <c r="G7463" s="12"/>
      <c r="H7463" s="2" t="s">
        <v>105</v>
      </c>
      <c r="I7463" s="2"/>
      <c r="J7463" s="2"/>
      <c r="K7463" s="2"/>
      <c r="L7463" s="639"/>
      <c r="M7463" s="640" t="s">
        <v>916</v>
      </c>
      <c r="N7463" s="578" t="s">
        <v>110</v>
      </c>
      <c r="O7463" s="578"/>
      <c r="P7463" s="26"/>
      <c r="Q7463" s="26"/>
      <c r="R7463" s="26"/>
      <c r="S7463" s="26"/>
      <c r="T7463" s="26"/>
      <c r="U7463" s="26"/>
      <c r="V7463" s="10"/>
      <c r="W7463" s="10"/>
      <c r="X7463" s="10"/>
      <c r="Y7463" s="10"/>
      <c r="Z7463" s="2"/>
      <c r="AA7463" s="26"/>
      <c r="AB7463" s="26"/>
      <c r="AC7463" s="377">
        <v>4.2000000000000003E-2</v>
      </c>
      <c r="AD7463" s="406"/>
      <c r="AE7463" s="26"/>
      <c r="AF7463" s="26"/>
      <c r="AG7463" s="26"/>
      <c r="AH7463" s="26"/>
      <c r="AI7463" s="4"/>
      <c r="AJ7463" s="4"/>
      <c r="AK7463" s="26"/>
      <c r="AL7463" s="26"/>
      <c r="AM7463" s="26"/>
      <c r="AN7463" s="26"/>
      <c r="AO7463" s="26"/>
      <c r="AP7463" s="26"/>
      <c r="AQ7463" s="26"/>
      <c r="AR7463" s="26"/>
      <c r="AS7463" s="26"/>
      <c r="AT7463" s="26"/>
      <c r="AU7463" s="4"/>
      <c r="AV7463" s="4"/>
      <c r="AW7463" s="4"/>
      <c r="AX7463" s="4"/>
      <c r="AY7463" s="2"/>
      <c r="AZ7463" s="2"/>
      <c r="BA7463" s="12"/>
      <c r="BB7463" s="12"/>
      <c r="BC7463" s="12"/>
      <c r="BD7463" s="12"/>
      <c r="BE7463" s="12"/>
      <c r="BF7463" s="12"/>
      <c r="BG7463" s="12"/>
      <c r="BH7463" s="12"/>
      <c r="BI7463" s="4"/>
      <c r="BJ7463" s="12"/>
      <c r="BK7463" s="2"/>
      <c r="BL7463" s="2"/>
      <c r="BM7463" s="4"/>
      <c r="BN7463" s="12"/>
      <c r="BO7463" s="12"/>
      <c r="BP7463" s="12"/>
      <c r="BQ7463" s="4"/>
      <c r="BR7463" s="4"/>
      <c r="BS7463" s="4"/>
      <c r="BT7463" s="2"/>
      <c r="BU7463" s="9"/>
      <c r="BV7463" s="381"/>
      <c r="BW7463" s="382"/>
      <c r="BX7463" s="383"/>
      <c r="BY7463" s="383"/>
      <c r="BZ7463" s="383"/>
      <c r="CA7463" s="384" t="s">
        <v>413</v>
      </c>
      <c r="CB7463" s="411"/>
    </row>
    <row r="7464" spans="1:80" s="392" customFormat="1" ht="15" x14ac:dyDescent="0.25">
      <c r="A7464" s="385"/>
      <c r="D7464" s="700"/>
      <c r="E7464" s="397"/>
      <c r="H7464" s="401">
        <v>3</v>
      </c>
      <c r="I7464" s="401"/>
      <c r="J7464" s="401"/>
      <c r="K7464" s="401"/>
      <c r="L7464" s="675"/>
      <c r="M7464" s="672">
        <v>28660</v>
      </c>
      <c r="N7464" s="623">
        <v>0.51204307169169738</v>
      </c>
      <c r="O7464" s="624">
        <v>2.0504000000000001E-2</v>
      </c>
      <c r="P7464" s="397"/>
      <c r="Q7464" s="397"/>
      <c r="R7464" s="397"/>
      <c r="S7464" s="397"/>
      <c r="T7464" s="397"/>
      <c r="U7464" s="397"/>
      <c r="V7464" s="397"/>
      <c r="W7464" s="397"/>
      <c r="X7464" s="397"/>
      <c r="Y7464" s="397"/>
      <c r="Z7464" s="397"/>
      <c r="AD7464" s="388">
        <v>2.0116800000000001</v>
      </c>
      <c r="AE7464" s="388">
        <v>0.25908000000000003</v>
      </c>
      <c r="AF7464" s="388">
        <v>0.5211860544000001</v>
      </c>
      <c r="AG7464" s="388">
        <v>1.09728</v>
      </c>
      <c r="AH7464" s="391"/>
      <c r="AI7464" s="397"/>
      <c r="AJ7464" s="397"/>
      <c r="AU7464" s="397"/>
      <c r="AV7464" s="397"/>
      <c r="AW7464" s="397"/>
      <c r="AX7464" s="397"/>
      <c r="BI7464" s="397"/>
      <c r="BJ7464" s="397"/>
      <c r="BK7464" s="397"/>
      <c r="BL7464" s="397"/>
      <c r="BM7464" s="397"/>
      <c r="BN7464" s="397"/>
      <c r="BO7464" s="397"/>
      <c r="BP7464" s="397"/>
      <c r="BQ7464" s="397"/>
      <c r="BR7464" s="397"/>
      <c r="BS7464" s="397"/>
      <c r="BT7464" s="397"/>
      <c r="BU7464" s="397"/>
      <c r="BV7464" s="397"/>
      <c r="BW7464" s="397"/>
      <c r="BX7464" s="397"/>
      <c r="BY7464" s="397"/>
      <c r="BZ7464" s="397"/>
      <c r="CA7464" s="392" t="s">
        <v>413</v>
      </c>
    </row>
    <row r="7465" spans="1:80" s="392" customFormat="1" ht="15" x14ac:dyDescent="0.25">
      <c r="A7465" s="385"/>
      <c r="D7465" s="700"/>
      <c r="E7465" s="397"/>
      <c r="H7465" s="401">
        <v>3</v>
      </c>
      <c r="I7465" s="401"/>
      <c r="J7465" s="401"/>
      <c r="K7465" s="401"/>
      <c r="L7465" s="675"/>
      <c r="M7465" s="672">
        <v>28667</v>
      </c>
      <c r="N7465" s="623">
        <v>0.386511759705299</v>
      </c>
      <c r="O7465" s="624">
        <v>7.012666666666667E-3</v>
      </c>
      <c r="P7465" s="397"/>
      <c r="Q7465" s="397"/>
      <c r="R7465" s="397"/>
      <c r="S7465" s="397"/>
      <c r="T7465" s="397"/>
      <c r="U7465" s="397"/>
      <c r="V7465" s="397"/>
      <c r="W7465" s="397"/>
      <c r="X7465" s="397"/>
      <c r="Y7465" s="397"/>
      <c r="Z7465" s="397"/>
      <c r="AD7465" s="388">
        <v>2.04216</v>
      </c>
      <c r="AE7465" s="388">
        <v>0.22250400000000001</v>
      </c>
      <c r="AF7465" s="388">
        <v>0.45438876864</v>
      </c>
      <c r="AG7465" s="388">
        <v>0.85343999999999998</v>
      </c>
      <c r="AH7465" s="391"/>
      <c r="AI7465" s="397"/>
      <c r="AJ7465" s="397"/>
      <c r="AU7465" s="397"/>
      <c r="AV7465" s="397"/>
      <c r="AW7465" s="397"/>
      <c r="AX7465" s="397"/>
      <c r="BI7465" s="397"/>
      <c r="BJ7465" s="397"/>
      <c r="BK7465" s="397"/>
      <c r="BL7465" s="397"/>
      <c r="BM7465" s="397"/>
      <c r="BN7465" s="397"/>
      <c r="BO7465" s="397"/>
      <c r="BP7465" s="397"/>
      <c r="BQ7465" s="397"/>
      <c r="BR7465" s="397"/>
      <c r="BS7465" s="397"/>
      <c r="BT7465" s="397"/>
      <c r="BU7465" s="397"/>
      <c r="BV7465" s="397"/>
      <c r="BW7465" s="397"/>
      <c r="BX7465" s="397"/>
      <c r="BY7465" s="397"/>
      <c r="BZ7465" s="397"/>
      <c r="CA7465" s="392" t="s">
        <v>413</v>
      </c>
    </row>
    <row r="7466" spans="1:80" s="392" customFormat="1" ht="15" x14ac:dyDescent="0.25">
      <c r="A7466" s="385"/>
      <c r="D7466" s="700"/>
      <c r="E7466" s="397"/>
      <c r="H7466" s="401">
        <v>3</v>
      </c>
      <c r="I7466" s="401"/>
      <c r="J7466" s="401"/>
      <c r="K7466" s="401"/>
      <c r="L7466" s="675"/>
      <c r="M7466" s="672">
        <v>28676</v>
      </c>
      <c r="N7466" s="623">
        <v>0.2405780674412015</v>
      </c>
      <c r="O7466" s="624">
        <v>4.6620000000000003E-3</v>
      </c>
      <c r="P7466" s="397"/>
      <c r="Q7466" s="397"/>
      <c r="R7466" s="397"/>
      <c r="S7466" s="397"/>
      <c r="T7466" s="397"/>
      <c r="U7466" s="397"/>
      <c r="V7466" s="397"/>
      <c r="W7466" s="397"/>
      <c r="X7466" s="397"/>
      <c r="Y7466" s="397"/>
      <c r="Z7466" s="397"/>
      <c r="AD7466" s="388">
        <v>1.9202399999999999</v>
      </c>
      <c r="AE7466" s="388">
        <v>0.19507200000000002</v>
      </c>
      <c r="AF7466" s="388">
        <v>0.37458505728000002</v>
      </c>
      <c r="AG7466" s="388">
        <v>0.67056000000000004</v>
      </c>
      <c r="AH7466" s="391"/>
      <c r="AI7466" s="397"/>
      <c r="AJ7466" s="397"/>
      <c r="AU7466" s="397"/>
      <c r="AV7466" s="397"/>
      <c r="AW7466" s="397"/>
      <c r="AX7466" s="397"/>
      <c r="BI7466" s="397"/>
      <c r="BJ7466" s="397"/>
      <c r="BK7466" s="397"/>
      <c r="BL7466" s="397"/>
      <c r="BM7466" s="397"/>
      <c r="BN7466" s="397"/>
      <c r="BO7466" s="397"/>
      <c r="BP7466" s="397"/>
      <c r="BQ7466" s="397"/>
      <c r="BR7466" s="397"/>
      <c r="BS7466" s="397"/>
      <c r="BT7466" s="397"/>
      <c r="BU7466" s="397"/>
      <c r="BV7466" s="397"/>
      <c r="BW7466" s="397"/>
      <c r="BX7466" s="397"/>
      <c r="BY7466" s="397"/>
      <c r="BZ7466" s="397"/>
      <c r="CA7466" s="392" t="s">
        <v>413</v>
      </c>
    </row>
    <row r="7467" spans="1:80" s="392" customFormat="1" ht="15" x14ac:dyDescent="0.25">
      <c r="A7467" s="385"/>
      <c r="D7467" s="700"/>
      <c r="E7467" s="397"/>
      <c r="H7467" s="401">
        <v>3</v>
      </c>
      <c r="I7467" s="401"/>
      <c r="J7467" s="401"/>
      <c r="K7467" s="401"/>
      <c r="L7467" s="675"/>
      <c r="M7467" s="672">
        <v>28681</v>
      </c>
      <c r="N7467" s="623">
        <v>0.18078775857183338</v>
      </c>
      <c r="O7467" s="624">
        <v>1.1532000000000001E-2</v>
      </c>
      <c r="P7467" s="397"/>
      <c r="Q7467" s="397"/>
      <c r="R7467" s="397"/>
      <c r="S7467" s="397"/>
      <c r="T7467" s="397"/>
      <c r="U7467" s="397"/>
      <c r="V7467" s="397"/>
      <c r="W7467" s="397"/>
      <c r="X7467" s="397"/>
      <c r="Y7467" s="397"/>
      <c r="Z7467" s="397"/>
      <c r="AD7467" s="388">
        <v>1.8897600000000001</v>
      </c>
      <c r="AE7467" s="388">
        <v>0.16459200000000002</v>
      </c>
      <c r="AF7467" s="388">
        <v>0.31103937792000003</v>
      </c>
      <c r="AG7467" s="388">
        <v>0.64008000000000009</v>
      </c>
      <c r="AH7467" s="391"/>
      <c r="AI7467" s="397"/>
      <c r="AJ7467" s="397"/>
      <c r="AU7467" s="397"/>
      <c r="AV7467" s="397"/>
      <c r="AW7467" s="397"/>
      <c r="AX7467" s="397"/>
      <c r="BI7467" s="397"/>
      <c r="BJ7467" s="397"/>
      <c r="BK7467" s="397"/>
      <c r="BL7467" s="397"/>
      <c r="BM7467" s="397"/>
      <c r="BN7467" s="397"/>
      <c r="BO7467" s="397"/>
      <c r="BP7467" s="397"/>
      <c r="BQ7467" s="397"/>
      <c r="BR7467" s="397"/>
      <c r="BS7467" s="397"/>
      <c r="BT7467" s="397"/>
      <c r="BU7467" s="397"/>
      <c r="BV7467" s="397"/>
      <c r="BW7467" s="397"/>
      <c r="BX7467" s="397"/>
      <c r="BY7467" s="397"/>
      <c r="BZ7467" s="397"/>
      <c r="CA7467" s="392" t="s">
        <v>413</v>
      </c>
    </row>
    <row r="7468" spans="1:80" s="392" customFormat="1" ht="15" x14ac:dyDescent="0.25">
      <c r="A7468" s="385"/>
      <c r="D7468" s="700"/>
      <c r="E7468" s="397"/>
      <c r="H7468" s="401">
        <v>3</v>
      </c>
      <c r="I7468" s="401"/>
      <c r="J7468" s="401"/>
      <c r="K7468" s="401"/>
      <c r="L7468" s="675"/>
      <c r="M7468" s="672">
        <v>28684</v>
      </c>
      <c r="N7468" s="623">
        <v>0.14820062340606405</v>
      </c>
      <c r="O7468" s="624">
        <v>5.1646666666666655E-3</v>
      </c>
      <c r="P7468" s="397"/>
      <c r="Q7468" s="397"/>
      <c r="R7468" s="397"/>
      <c r="S7468" s="397"/>
      <c r="T7468" s="397"/>
      <c r="U7468" s="397"/>
      <c r="V7468" s="397"/>
      <c r="W7468" s="397"/>
      <c r="X7468" s="397"/>
      <c r="Y7468" s="397"/>
      <c r="Z7468" s="397"/>
      <c r="AD7468" s="388">
        <v>1.85928</v>
      </c>
      <c r="AE7468" s="388">
        <v>0.16459200000000002</v>
      </c>
      <c r="AF7468" s="388">
        <v>0.30602261376000006</v>
      </c>
      <c r="AG7468" s="388">
        <v>0.48768000000000006</v>
      </c>
      <c r="AH7468" s="391"/>
      <c r="AI7468" s="397"/>
      <c r="AJ7468" s="397"/>
      <c r="AU7468" s="397"/>
      <c r="AV7468" s="397"/>
      <c r="AW7468" s="397"/>
      <c r="AX7468" s="397"/>
      <c r="BI7468" s="397"/>
      <c r="BJ7468" s="397"/>
      <c r="BK7468" s="397"/>
      <c r="BL7468" s="397"/>
      <c r="BM7468" s="397"/>
      <c r="BN7468" s="397"/>
      <c r="BO7468" s="397"/>
      <c r="BP7468" s="397"/>
      <c r="BQ7468" s="397"/>
      <c r="BR7468" s="397"/>
      <c r="BS7468" s="397"/>
      <c r="BT7468" s="397"/>
      <c r="BU7468" s="397"/>
      <c r="BV7468" s="397"/>
      <c r="BW7468" s="397"/>
      <c r="BX7468" s="397"/>
      <c r="BY7468" s="397"/>
      <c r="BZ7468" s="397"/>
      <c r="CA7468" s="392" t="s">
        <v>413</v>
      </c>
    </row>
    <row r="7469" spans="1:80" s="392" customFormat="1" ht="15" x14ac:dyDescent="0.25">
      <c r="A7469" s="385"/>
      <c r="D7469" s="700"/>
      <c r="E7469" s="397"/>
      <c r="H7469" s="401">
        <v>3</v>
      </c>
      <c r="I7469" s="401"/>
      <c r="J7469" s="401"/>
      <c r="K7469" s="401"/>
      <c r="L7469" s="675"/>
      <c r="M7469" s="672">
        <v>28688</v>
      </c>
      <c r="N7469" s="623">
        <v>0.14565032587135165</v>
      </c>
      <c r="O7469" s="624">
        <v>2.3993333333333332E-3</v>
      </c>
      <c r="P7469" s="397"/>
      <c r="Q7469" s="397"/>
      <c r="R7469" s="397"/>
      <c r="S7469" s="397"/>
      <c r="T7469" s="397"/>
      <c r="U7469" s="397"/>
      <c r="V7469" s="397"/>
      <c r="W7469" s="397"/>
      <c r="X7469" s="397"/>
      <c r="Y7469" s="397"/>
      <c r="Z7469" s="397"/>
      <c r="AD7469" s="388">
        <v>1.85928</v>
      </c>
      <c r="AE7469" s="388">
        <v>0.15240000000000001</v>
      </c>
      <c r="AF7469" s="388">
        <v>0.28335427200000002</v>
      </c>
      <c r="AG7469" s="388">
        <v>0.51816000000000006</v>
      </c>
      <c r="AH7469" s="391"/>
      <c r="AI7469" s="397"/>
      <c r="AJ7469" s="397"/>
      <c r="AU7469" s="397"/>
      <c r="AV7469" s="397"/>
      <c r="AW7469" s="397"/>
      <c r="AX7469" s="397"/>
      <c r="BI7469" s="397"/>
      <c r="BJ7469" s="397"/>
      <c r="BK7469" s="397"/>
      <c r="BL7469" s="397"/>
      <c r="BM7469" s="397"/>
      <c r="BN7469" s="397"/>
      <c r="BO7469" s="397"/>
      <c r="BP7469" s="397"/>
      <c r="BQ7469" s="397"/>
      <c r="BR7469" s="397"/>
      <c r="BS7469" s="397"/>
      <c r="BT7469" s="397"/>
      <c r="BU7469" s="397"/>
      <c r="BV7469" s="397"/>
      <c r="BW7469" s="397"/>
      <c r="BX7469" s="397"/>
      <c r="BY7469" s="397"/>
      <c r="BZ7469" s="397"/>
      <c r="CA7469" s="392" t="s">
        <v>413</v>
      </c>
    </row>
    <row r="7470" spans="1:80" s="392" customFormat="1" ht="15" x14ac:dyDescent="0.25">
      <c r="A7470" s="385"/>
      <c r="D7470" s="700"/>
      <c r="E7470" s="397"/>
      <c r="H7470" s="401">
        <v>3</v>
      </c>
      <c r="I7470" s="401"/>
      <c r="J7470" s="401"/>
      <c r="K7470" s="401"/>
      <c r="L7470" s="675"/>
      <c r="M7470" s="672">
        <v>28695</v>
      </c>
      <c r="N7470" s="623">
        <v>7.0274865400963449E-2</v>
      </c>
      <c r="O7470" s="624">
        <v>1.508E-3</v>
      </c>
      <c r="P7470" s="397"/>
      <c r="Q7470" s="397"/>
      <c r="R7470" s="397"/>
      <c r="S7470" s="397"/>
      <c r="T7470" s="397"/>
      <c r="U7470" s="397"/>
      <c r="V7470" s="397"/>
      <c r="W7470" s="397"/>
      <c r="X7470" s="397"/>
      <c r="Y7470" s="397"/>
      <c r="Z7470" s="397"/>
      <c r="AD7470" s="388">
        <v>1.7678400000000001</v>
      </c>
      <c r="AE7470" s="388">
        <v>0.13411200000000001</v>
      </c>
      <c r="AF7470" s="388">
        <v>0.23708855808000004</v>
      </c>
      <c r="AG7470" s="388">
        <v>0.27432000000000001</v>
      </c>
      <c r="AH7470" s="391"/>
      <c r="AI7470" s="397"/>
      <c r="AJ7470" s="397"/>
      <c r="AU7470" s="397"/>
      <c r="AV7470" s="397"/>
      <c r="AW7470" s="397"/>
      <c r="AX7470" s="397"/>
      <c r="BI7470" s="397"/>
      <c r="BJ7470" s="397"/>
      <c r="BK7470" s="397"/>
      <c r="BL7470" s="397"/>
      <c r="BM7470" s="397"/>
      <c r="BN7470" s="397"/>
      <c r="BO7470" s="397"/>
      <c r="BP7470" s="397"/>
      <c r="BQ7470" s="397"/>
      <c r="BR7470" s="397"/>
      <c r="BS7470" s="397"/>
      <c r="BT7470" s="397"/>
      <c r="BU7470" s="397"/>
      <c r="BV7470" s="397"/>
      <c r="BW7470" s="397"/>
      <c r="BX7470" s="397"/>
      <c r="BY7470" s="397"/>
      <c r="BZ7470" s="397"/>
      <c r="CA7470" s="392" t="s">
        <v>413</v>
      </c>
    </row>
    <row r="7471" spans="1:80" s="392" customFormat="1" ht="15" x14ac:dyDescent="0.25">
      <c r="A7471" s="385"/>
      <c r="D7471" s="700"/>
      <c r="E7471" s="397"/>
      <c r="H7471" s="401">
        <v>3</v>
      </c>
      <c r="I7471" s="401"/>
      <c r="J7471" s="401"/>
      <c r="K7471" s="401"/>
      <c r="L7471" s="675"/>
      <c r="M7471" s="672">
        <v>28697</v>
      </c>
      <c r="N7471" s="623">
        <v>7.3391895721167472E-2</v>
      </c>
      <c r="O7471" s="624">
        <v>1.0053333333333333E-3</v>
      </c>
      <c r="P7471" s="397"/>
      <c r="Q7471" s="397"/>
      <c r="R7471" s="397"/>
      <c r="S7471" s="397"/>
      <c r="T7471" s="397"/>
      <c r="U7471" s="397"/>
      <c r="V7471" s="397"/>
      <c r="W7471" s="397"/>
      <c r="X7471" s="397"/>
      <c r="Y7471" s="397"/>
      <c r="Z7471" s="397"/>
      <c r="AD7471" s="388">
        <v>1.7678400000000001</v>
      </c>
      <c r="AE7471" s="388">
        <v>0.10668</v>
      </c>
      <c r="AF7471" s="388">
        <v>0.18859317119999999</v>
      </c>
      <c r="AG7471" s="388">
        <v>0.36576000000000003</v>
      </c>
      <c r="AH7471" s="391"/>
      <c r="AI7471" s="397"/>
      <c r="AJ7471" s="397"/>
      <c r="AU7471" s="397"/>
      <c r="AV7471" s="397"/>
      <c r="AW7471" s="397"/>
      <c r="AX7471" s="397"/>
      <c r="BI7471" s="397"/>
      <c r="BJ7471" s="397"/>
      <c r="BK7471" s="397"/>
      <c r="BL7471" s="397"/>
      <c r="BM7471" s="397"/>
      <c r="BN7471" s="397"/>
      <c r="BO7471" s="397"/>
      <c r="BP7471" s="397"/>
      <c r="BQ7471" s="397"/>
      <c r="BR7471" s="397"/>
      <c r="BS7471" s="397"/>
      <c r="BT7471" s="397"/>
      <c r="BU7471" s="397"/>
      <c r="BV7471" s="397"/>
      <c r="BW7471" s="397"/>
      <c r="BX7471" s="397"/>
      <c r="BY7471" s="397"/>
      <c r="BZ7471" s="397"/>
      <c r="CA7471" s="392" t="s">
        <v>413</v>
      </c>
    </row>
    <row r="7472" spans="1:80" s="392" customFormat="1" ht="15" x14ac:dyDescent="0.25">
      <c r="A7472" s="385"/>
      <c r="D7472" s="700"/>
      <c r="E7472" s="397"/>
      <c r="H7472" s="401">
        <v>3</v>
      </c>
      <c r="I7472" s="401"/>
      <c r="J7472" s="401"/>
      <c r="K7472" s="401"/>
      <c r="L7472" s="675"/>
      <c r="M7472" s="672">
        <v>28703</v>
      </c>
      <c r="N7472" s="623">
        <v>6.772456786625107E-2</v>
      </c>
      <c r="O7472" s="624">
        <v>8.5066666666666667E-4</v>
      </c>
      <c r="P7472" s="397"/>
      <c r="Q7472" s="397"/>
      <c r="R7472" s="397"/>
      <c r="S7472" s="397"/>
      <c r="T7472" s="397"/>
      <c r="U7472" s="397"/>
      <c r="V7472" s="397"/>
      <c r="W7472" s="397"/>
      <c r="X7472" s="397"/>
      <c r="Y7472" s="397"/>
      <c r="Z7472" s="397"/>
      <c r="AD7472" s="388">
        <v>1.7678400000000001</v>
      </c>
      <c r="AE7472" s="388">
        <v>0.11582400000000001</v>
      </c>
      <c r="AF7472" s="388">
        <v>0.20475830016000002</v>
      </c>
      <c r="AG7472" s="388">
        <v>0.30480000000000002</v>
      </c>
      <c r="AH7472" s="391"/>
      <c r="AI7472" s="397"/>
      <c r="AJ7472" s="397"/>
      <c r="AU7472" s="397"/>
      <c r="AV7472" s="397"/>
      <c r="AW7472" s="397"/>
      <c r="AX7472" s="397"/>
      <c r="BI7472" s="397"/>
      <c r="BJ7472" s="397"/>
      <c r="BK7472" s="397"/>
      <c r="BL7472" s="397"/>
      <c r="BM7472" s="397"/>
      <c r="BN7472" s="397"/>
      <c r="BO7472" s="397"/>
      <c r="BP7472" s="397"/>
      <c r="BQ7472" s="397"/>
      <c r="BR7472" s="397"/>
      <c r="BS7472" s="397"/>
      <c r="BT7472" s="397"/>
      <c r="BU7472" s="397"/>
      <c r="BV7472" s="397"/>
      <c r="BW7472" s="397"/>
      <c r="BX7472" s="397"/>
      <c r="BY7472" s="397"/>
      <c r="BZ7472" s="397"/>
      <c r="CA7472" s="392" t="s">
        <v>413</v>
      </c>
    </row>
    <row r="7473" spans="1:79" s="392" customFormat="1" ht="15" x14ac:dyDescent="0.25">
      <c r="A7473" s="385"/>
      <c r="D7473" s="700"/>
      <c r="E7473" s="397"/>
      <c r="H7473" s="401">
        <v>3</v>
      </c>
      <c r="I7473" s="401"/>
      <c r="J7473" s="401"/>
      <c r="K7473" s="401"/>
      <c r="L7473" s="675"/>
      <c r="M7473" s="672">
        <v>28705</v>
      </c>
      <c r="N7473" s="623">
        <v>5.4689713799943328E-2</v>
      </c>
      <c r="O7473" s="624">
        <v>1.1199999999999999E-3</v>
      </c>
      <c r="P7473" s="397"/>
      <c r="Q7473" s="397"/>
      <c r="R7473" s="397"/>
      <c r="S7473" s="397"/>
      <c r="T7473" s="397"/>
      <c r="U7473" s="397"/>
      <c r="V7473" s="397"/>
      <c r="W7473" s="397"/>
      <c r="X7473" s="397"/>
      <c r="Y7473" s="397"/>
      <c r="Z7473" s="397"/>
      <c r="AD7473" s="388">
        <v>1.70688</v>
      </c>
      <c r="AE7473" s="388">
        <v>0.10972800000000001</v>
      </c>
      <c r="AF7473" s="388">
        <v>0.18729252864000001</v>
      </c>
      <c r="AG7473" s="388">
        <v>0.30480000000000002</v>
      </c>
      <c r="AH7473" s="391"/>
      <c r="AI7473" s="397"/>
      <c r="AJ7473" s="397"/>
      <c r="AU7473" s="397"/>
      <c r="AV7473" s="397"/>
      <c r="AW7473" s="397"/>
      <c r="AX7473" s="397"/>
      <c r="BI7473" s="397"/>
      <c r="BJ7473" s="397"/>
      <c r="BK7473" s="397"/>
      <c r="BL7473" s="397"/>
      <c r="BM7473" s="397"/>
      <c r="BN7473" s="397"/>
      <c r="BO7473" s="397"/>
      <c r="BP7473" s="397"/>
      <c r="BQ7473" s="397"/>
      <c r="BR7473" s="397"/>
      <c r="BS7473" s="397"/>
      <c r="BT7473" s="397"/>
      <c r="BU7473" s="397"/>
      <c r="BV7473" s="397"/>
      <c r="BW7473" s="397"/>
      <c r="BX7473" s="397"/>
      <c r="BY7473" s="397"/>
      <c r="BZ7473" s="397"/>
      <c r="CA7473" s="392" t="s">
        <v>413</v>
      </c>
    </row>
    <row r="7474" spans="1:79" s="392" customFormat="1" ht="15" x14ac:dyDescent="0.25">
      <c r="A7474" s="385"/>
      <c r="D7474" s="700"/>
      <c r="E7474" s="397"/>
      <c r="H7474" s="401">
        <v>3</v>
      </c>
      <c r="I7474" s="401"/>
      <c r="J7474" s="401"/>
      <c r="K7474" s="401"/>
      <c r="L7474" s="675"/>
      <c r="M7474" s="672">
        <v>28709</v>
      </c>
      <c r="N7474" s="623">
        <v>4.222159251912723E-2</v>
      </c>
      <c r="O7474" s="624">
        <v>1.0260000000000002E-3</v>
      </c>
      <c r="P7474" s="397"/>
      <c r="Q7474" s="397"/>
      <c r="R7474" s="397"/>
      <c r="S7474" s="397"/>
      <c r="T7474" s="397"/>
      <c r="U7474" s="397"/>
      <c r="V7474" s="397"/>
      <c r="W7474" s="397"/>
      <c r="X7474" s="397"/>
      <c r="Y7474" s="397"/>
      <c r="Z7474" s="397"/>
      <c r="AD7474" s="388">
        <v>1.7373600000000002</v>
      </c>
      <c r="AE7474" s="388">
        <v>0.10058400000000001</v>
      </c>
      <c r="AF7474" s="388">
        <v>0.17475061824000004</v>
      </c>
      <c r="AG7474" s="388">
        <v>0.24384000000000003</v>
      </c>
      <c r="AH7474" s="391"/>
      <c r="AI7474" s="397"/>
      <c r="AJ7474" s="397"/>
      <c r="AU7474" s="397"/>
      <c r="AV7474" s="397"/>
      <c r="AW7474" s="397"/>
      <c r="AX7474" s="397"/>
      <c r="BI7474" s="397"/>
      <c r="BJ7474" s="397"/>
      <c r="BK7474" s="397"/>
      <c r="BL7474" s="397"/>
      <c r="BM7474" s="397"/>
      <c r="BN7474" s="397"/>
      <c r="BO7474" s="397"/>
      <c r="BP7474" s="397"/>
      <c r="BQ7474" s="397"/>
      <c r="BR7474" s="397"/>
      <c r="BS7474" s="397"/>
      <c r="BT7474" s="397"/>
      <c r="BU7474" s="397"/>
      <c r="BV7474" s="397"/>
      <c r="BW7474" s="397"/>
      <c r="BX7474" s="397"/>
      <c r="BY7474" s="397"/>
      <c r="BZ7474" s="397"/>
      <c r="CA7474" s="392" t="s">
        <v>413</v>
      </c>
    </row>
    <row r="7475" spans="1:79" s="392" customFormat="1" ht="15" x14ac:dyDescent="0.25">
      <c r="A7475" s="385"/>
      <c r="D7475" s="700"/>
      <c r="E7475" s="397"/>
      <c r="H7475" s="401">
        <v>3</v>
      </c>
      <c r="I7475" s="401"/>
      <c r="J7475" s="401"/>
      <c r="K7475" s="401"/>
      <c r="L7475" s="675"/>
      <c r="M7475" s="672">
        <v>28711</v>
      </c>
      <c r="N7475" s="623">
        <v>3.8821195806177392E-2</v>
      </c>
      <c r="O7475" s="624">
        <v>1.2099999999999999E-3</v>
      </c>
      <c r="P7475" s="397"/>
      <c r="Q7475" s="397"/>
      <c r="R7475" s="397"/>
      <c r="S7475" s="397"/>
      <c r="T7475" s="397"/>
      <c r="U7475" s="397"/>
      <c r="V7475" s="397"/>
      <c r="W7475" s="397"/>
      <c r="X7475" s="397"/>
      <c r="Y7475" s="397"/>
      <c r="Z7475" s="397"/>
      <c r="AD7475" s="388">
        <v>1.6764000000000001</v>
      </c>
      <c r="AE7475" s="388">
        <v>9.7536000000000012E-2</v>
      </c>
      <c r="AF7475" s="388">
        <v>0.16350935040000003</v>
      </c>
      <c r="AG7475" s="388">
        <v>0.21335999999999999</v>
      </c>
      <c r="AH7475" s="391"/>
      <c r="AI7475" s="397"/>
      <c r="AJ7475" s="397"/>
      <c r="AU7475" s="397"/>
      <c r="AV7475" s="397"/>
      <c r="AW7475" s="397"/>
      <c r="AX7475" s="397"/>
      <c r="BI7475" s="397"/>
      <c r="BJ7475" s="397"/>
      <c r="BK7475" s="397"/>
      <c r="BL7475" s="397"/>
      <c r="BM7475" s="397"/>
      <c r="BN7475" s="397"/>
      <c r="BO7475" s="397"/>
      <c r="BP7475" s="397"/>
      <c r="BQ7475" s="397"/>
      <c r="BR7475" s="397"/>
      <c r="BS7475" s="397"/>
      <c r="BT7475" s="397"/>
      <c r="BU7475" s="397"/>
      <c r="BV7475" s="397"/>
      <c r="BW7475" s="397"/>
      <c r="BX7475" s="397"/>
      <c r="BY7475" s="397"/>
      <c r="BZ7475" s="397"/>
      <c r="CA7475" s="392" t="s">
        <v>413</v>
      </c>
    </row>
    <row r="7476" spans="1:79" s="392" customFormat="1" ht="15" x14ac:dyDescent="0.25">
      <c r="A7476" s="385"/>
      <c r="D7476" s="700"/>
      <c r="E7476" s="397"/>
      <c r="H7476" s="401">
        <v>3</v>
      </c>
      <c r="I7476" s="401"/>
      <c r="J7476" s="401"/>
      <c r="K7476" s="401"/>
      <c r="L7476" s="675"/>
      <c r="M7476" s="672">
        <v>28717</v>
      </c>
      <c r="N7476" s="623">
        <v>4.2504958911873052E-2</v>
      </c>
      <c r="O7476" s="624">
        <v>2.3226666666666665E-3</v>
      </c>
      <c r="P7476" s="397"/>
      <c r="Q7476" s="397"/>
      <c r="R7476" s="397"/>
      <c r="S7476" s="397"/>
      <c r="T7476" s="397"/>
      <c r="U7476" s="397"/>
      <c r="V7476" s="397"/>
      <c r="W7476" s="397"/>
      <c r="X7476" s="397"/>
      <c r="Y7476" s="397"/>
      <c r="Z7476" s="397"/>
      <c r="AD7476" s="388">
        <v>1.5849600000000001</v>
      </c>
      <c r="AE7476" s="388">
        <v>9.7536000000000012E-2</v>
      </c>
      <c r="AF7476" s="388">
        <v>0.15459065856000004</v>
      </c>
      <c r="AG7476" s="388">
        <v>0.24384000000000003</v>
      </c>
      <c r="AH7476" s="391"/>
      <c r="AI7476" s="397"/>
      <c r="AJ7476" s="397"/>
      <c r="AU7476" s="397"/>
      <c r="AV7476" s="397"/>
      <c r="AW7476" s="397"/>
      <c r="AX7476" s="397"/>
      <c r="BI7476" s="397"/>
      <c r="BJ7476" s="397"/>
      <c r="BK7476" s="397"/>
      <c r="BL7476" s="397"/>
      <c r="BM7476" s="397"/>
      <c r="BN7476" s="397"/>
      <c r="BO7476" s="397"/>
      <c r="BP7476" s="397"/>
      <c r="BQ7476" s="397"/>
      <c r="BR7476" s="397"/>
      <c r="BS7476" s="397"/>
      <c r="BT7476" s="397"/>
      <c r="BU7476" s="397"/>
      <c r="BV7476" s="397"/>
      <c r="BW7476" s="397"/>
      <c r="BX7476" s="397"/>
      <c r="BY7476" s="397"/>
      <c r="BZ7476" s="397"/>
      <c r="CA7476" s="392" t="s">
        <v>413</v>
      </c>
    </row>
    <row r="7477" spans="1:79" s="392" customFormat="1" ht="15" x14ac:dyDescent="0.25">
      <c r="A7477" s="385"/>
      <c r="D7477" s="700"/>
      <c r="E7477" s="397"/>
      <c r="H7477" s="401">
        <v>3</v>
      </c>
      <c r="I7477" s="401"/>
      <c r="J7477" s="401"/>
      <c r="K7477" s="401"/>
      <c r="L7477" s="675"/>
      <c r="M7477" s="672">
        <v>28723</v>
      </c>
      <c r="N7477" s="623">
        <v>3.4287333522244265E-2</v>
      </c>
      <c r="O7477" s="624" t="s">
        <v>71</v>
      </c>
      <c r="P7477" s="397"/>
      <c r="Q7477" s="397"/>
      <c r="R7477" s="397"/>
      <c r="S7477" s="397"/>
      <c r="T7477" s="397"/>
      <c r="U7477" s="397"/>
      <c r="V7477" s="397"/>
      <c r="W7477" s="397"/>
      <c r="X7477" s="397"/>
      <c r="Y7477" s="397"/>
      <c r="Z7477" s="397"/>
      <c r="AD7477" s="388">
        <v>1.61544</v>
      </c>
      <c r="AE7477" s="388">
        <v>8.8391999999999998E-2</v>
      </c>
      <c r="AF7477" s="388">
        <v>0.14279197248</v>
      </c>
      <c r="AG7477" s="388">
        <v>0.21335999999999999</v>
      </c>
      <c r="AH7477" s="391"/>
      <c r="AI7477" s="397"/>
      <c r="AJ7477" s="397"/>
      <c r="AU7477" s="397"/>
      <c r="AV7477" s="397"/>
      <c r="AW7477" s="397"/>
      <c r="AX7477" s="397"/>
      <c r="BI7477" s="397"/>
      <c r="BJ7477" s="397"/>
      <c r="BK7477" s="397"/>
      <c r="BL7477" s="397"/>
      <c r="BM7477" s="397"/>
      <c r="BN7477" s="397"/>
      <c r="BO7477" s="397"/>
      <c r="BP7477" s="397"/>
      <c r="BQ7477" s="397"/>
      <c r="BR7477" s="397"/>
      <c r="BS7477" s="397"/>
      <c r="BT7477" s="397"/>
      <c r="BU7477" s="397"/>
      <c r="BV7477" s="397"/>
      <c r="BW7477" s="397"/>
      <c r="BX7477" s="397"/>
      <c r="BY7477" s="397"/>
      <c r="BZ7477" s="397"/>
      <c r="CA7477" s="392" t="s">
        <v>413</v>
      </c>
    </row>
    <row r="7478" spans="1:79" s="392" customFormat="1" ht="15" x14ac:dyDescent="0.25">
      <c r="A7478" s="385"/>
      <c r="D7478" s="700"/>
      <c r="E7478" s="397"/>
      <c r="H7478" s="401">
        <v>3</v>
      </c>
      <c r="I7478" s="401"/>
      <c r="J7478" s="401"/>
      <c r="K7478" s="401"/>
      <c r="L7478" s="675"/>
      <c r="M7478" s="672">
        <v>28730</v>
      </c>
      <c r="N7478" s="623">
        <v>3.003683763105696E-2</v>
      </c>
      <c r="O7478" s="624">
        <v>3.7399999999999998E-4</v>
      </c>
      <c r="P7478" s="397"/>
      <c r="Q7478" s="397"/>
      <c r="R7478" s="397"/>
      <c r="S7478" s="397"/>
      <c r="T7478" s="397"/>
      <c r="U7478" s="397"/>
      <c r="V7478" s="397"/>
      <c r="W7478" s="397"/>
      <c r="X7478" s="397"/>
      <c r="Y7478" s="397"/>
      <c r="Z7478" s="397"/>
      <c r="AD7478" s="388">
        <v>1.5544799999999999</v>
      </c>
      <c r="AE7478" s="388">
        <v>8.2296000000000008E-2</v>
      </c>
      <c r="AF7478" s="388">
        <v>0.12792748608000001</v>
      </c>
      <c r="AG7478" s="388">
        <v>0.24384000000000003</v>
      </c>
      <c r="AH7478" s="391"/>
      <c r="AI7478" s="397"/>
      <c r="AJ7478" s="397"/>
      <c r="AU7478" s="397"/>
      <c r="AV7478" s="397"/>
      <c r="AW7478" s="397"/>
      <c r="AX7478" s="397"/>
      <c r="BI7478" s="397"/>
      <c r="BJ7478" s="397"/>
      <c r="BK7478" s="397"/>
      <c r="BL7478" s="397"/>
      <c r="BM7478" s="397"/>
      <c r="BN7478" s="397"/>
      <c r="BO7478" s="397"/>
      <c r="BP7478" s="397"/>
      <c r="BQ7478" s="397"/>
      <c r="BR7478" s="397"/>
      <c r="BS7478" s="397"/>
      <c r="BT7478" s="397"/>
      <c r="BU7478" s="397"/>
      <c r="BV7478" s="397"/>
      <c r="BW7478" s="397"/>
      <c r="BX7478" s="397"/>
      <c r="BY7478" s="397"/>
      <c r="BZ7478" s="397"/>
      <c r="CA7478" s="392" t="s">
        <v>413</v>
      </c>
    </row>
    <row r="7479" spans="1:79" s="392" customFormat="1" ht="15" x14ac:dyDescent="0.25">
      <c r="A7479" s="385"/>
      <c r="D7479" s="700"/>
      <c r="E7479" s="397"/>
      <c r="H7479" s="401">
        <v>3</v>
      </c>
      <c r="I7479" s="401"/>
      <c r="J7479" s="401"/>
      <c r="K7479" s="401"/>
      <c r="L7479" s="675"/>
      <c r="M7479" s="672">
        <v>28745</v>
      </c>
      <c r="N7479" s="623">
        <v>3.003683763105696E-2</v>
      </c>
      <c r="O7479" s="624" t="s">
        <v>71</v>
      </c>
      <c r="P7479" s="397"/>
      <c r="Q7479" s="397"/>
      <c r="R7479" s="397"/>
      <c r="S7479" s="397"/>
      <c r="T7479" s="397"/>
      <c r="U7479" s="397"/>
      <c r="V7479" s="397"/>
      <c r="W7479" s="397"/>
      <c r="X7479" s="397"/>
      <c r="Y7479" s="397"/>
      <c r="Z7479" s="397"/>
      <c r="AD7479" s="388">
        <v>1.61544</v>
      </c>
      <c r="AE7479" s="388">
        <v>7.6200000000000004E-2</v>
      </c>
      <c r="AF7479" s="388">
        <v>0.12309652800000001</v>
      </c>
      <c r="AG7479" s="388">
        <v>0.21335999999999999</v>
      </c>
      <c r="AH7479" s="391"/>
      <c r="AI7479" s="397"/>
      <c r="AJ7479" s="397"/>
      <c r="AU7479" s="397"/>
      <c r="AV7479" s="397"/>
      <c r="AW7479" s="397"/>
      <c r="AX7479" s="397"/>
      <c r="BI7479" s="397"/>
      <c r="BJ7479" s="397"/>
      <c r="BK7479" s="397"/>
      <c r="BL7479" s="397"/>
      <c r="BM7479" s="397"/>
      <c r="BN7479" s="397"/>
      <c r="BO7479" s="397"/>
      <c r="BP7479" s="397"/>
      <c r="BQ7479" s="397"/>
      <c r="BR7479" s="397"/>
      <c r="BS7479" s="397"/>
      <c r="BT7479" s="397"/>
      <c r="BU7479" s="397"/>
      <c r="BV7479" s="397"/>
      <c r="BW7479" s="397"/>
      <c r="BX7479" s="397"/>
      <c r="BY7479" s="397"/>
      <c r="BZ7479" s="397"/>
      <c r="CA7479" s="392" t="s">
        <v>413</v>
      </c>
    </row>
    <row r="7480" spans="1:79" s="392" customFormat="1" ht="15" x14ac:dyDescent="0.25">
      <c r="A7480" s="385"/>
      <c r="D7480" s="700"/>
      <c r="E7480" s="397"/>
      <c r="H7480" s="401">
        <v>3</v>
      </c>
      <c r="I7480" s="401"/>
      <c r="J7480" s="401"/>
      <c r="K7480" s="401"/>
      <c r="L7480" s="675"/>
      <c r="M7480" s="672">
        <v>28998</v>
      </c>
      <c r="N7480" s="623">
        <v>0.51005950694247659</v>
      </c>
      <c r="O7480" s="624">
        <v>2.1000466666666669E-2</v>
      </c>
      <c r="P7480" s="397"/>
      <c r="Q7480" s="397"/>
      <c r="R7480" s="397"/>
      <c r="S7480" s="397"/>
      <c r="T7480" s="397"/>
      <c r="U7480" s="397"/>
      <c r="V7480" s="397"/>
      <c r="W7480" s="397"/>
      <c r="X7480" s="397"/>
      <c r="Y7480" s="397"/>
      <c r="Z7480" s="397"/>
      <c r="AD7480" s="388">
        <v>2.3469600000000002</v>
      </c>
      <c r="AE7480" s="388"/>
      <c r="AF7480" s="388"/>
      <c r="AG7480" s="388"/>
      <c r="AH7480" s="391"/>
      <c r="AI7480" s="397"/>
      <c r="AJ7480" s="397"/>
      <c r="AU7480" s="397"/>
      <c r="AV7480" s="397"/>
      <c r="AW7480" s="397"/>
      <c r="AX7480" s="397"/>
      <c r="BI7480" s="397"/>
      <c r="BJ7480" s="397"/>
      <c r="BK7480" s="397"/>
      <c r="BL7480" s="397"/>
      <c r="BM7480" s="397"/>
      <c r="BN7480" s="397"/>
      <c r="BO7480" s="397"/>
      <c r="BP7480" s="397"/>
      <c r="BQ7480" s="397"/>
      <c r="BR7480" s="397"/>
      <c r="BS7480" s="397"/>
      <c r="BT7480" s="397"/>
      <c r="BU7480" s="397"/>
      <c r="BV7480" s="397"/>
      <c r="BW7480" s="397"/>
      <c r="BX7480" s="397"/>
      <c r="BY7480" s="397"/>
      <c r="BZ7480" s="397"/>
      <c r="CA7480" s="392" t="s">
        <v>413</v>
      </c>
    </row>
    <row r="7481" spans="1:79" s="392" customFormat="1" ht="15" x14ac:dyDescent="0.25">
      <c r="A7481" s="385"/>
      <c r="D7481" s="700"/>
      <c r="E7481" s="397"/>
      <c r="H7481" s="401">
        <v>3</v>
      </c>
      <c r="I7481" s="401"/>
      <c r="J7481" s="401"/>
      <c r="K7481" s="401"/>
      <c r="L7481" s="675"/>
      <c r="M7481" s="672">
        <v>29005</v>
      </c>
      <c r="N7481" s="623">
        <v>0.73675262113913287</v>
      </c>
      <c r="O7481" s="624">
        <v>3.1528E-2</v>
      </c>
      <c r="P7481" s="397"/>
      <c r="Q7481" s="397"/>
      <c r="R7481" s="397"/>
      <c r="S7481" s="397"/>
      <c r="T7481" s="397"/>
      <c r="U7481" s="397"/>
      <c r="V7481" s="397"/>
      <c r="W7481" s="397"/>
      <c r="X7481" s="397"/>
      <c r="Y7481" s="397"/>
      <c r="Z7481" s="397"/>
      <c r="AD7481" s="388">
        <v>3.2004000000000001</v>
      </c>
      <c r="AE7481" s="388"/>
      <c r="AF7481" s="388"/>
      <c r="AG7481" s="388"/>
      <c r="AH7481" s="391"/>
      <c r="AI7481" s="397"/>
      <c r="AJ7481" s="397"/>
      <c r="AU7481" s="397"/>
      <c r="AV7481" s="397"/>
      <c r="AW7481" s="397"/>
      <c r="AX7481" s="397"/>
      <c r="BI7481" s="397"/>
      <c r="BJ7481" s="397"/>
      <c r="BK7481" s="397"/>
      <c r="BL7481" s="397"/>
      <c r="BM7481" s="397"/>
      <c r="BN7481" s="397"/>
      <c r="BO7481" s="397"/>
      <c r="BP7481" s="397"/>
      <c r="BQ7481" s="397"/>
      <c r="BR7481" s="397"/>
      <c r="BS7481" s="397"/>
      <c r="BT7481" s="397"/>
      <c r="BU7481" s="397"/>
      <c r="BV7481" s="397"/>
      <c r="BW7481" s="397"/>
      <c r="BX7481" s="397"/>
      <c r="BY7481" s="397"/>
      <c r="BZ7481" s="397"/>
      <c r="CA7481" s="392" t="s">
        <v>413</v>
      </c>
    </row>
    <row r="7482" spans="1:79" s="392" customFormat="1" ht="15" x14ac:dyDescent="0.25">
      <c r="A7482" s="385"/>
      <c r="D7482" s="700"/>
      <c r="E7482" s="397"/>
      <c r="H7482" s="401">
        <v>3</v>
      </c>
      <c r="I7482" s="401"/>
      <c r="J7482" s="401"/>
      <c r="K7482" s="401"/>
      <c r="L7482" s="675"/>
      <c r="M7482" s="672">
        <v>29011</v>
      </c>
      <c r="N7482" s="623">
        <v>0.78379144233493914</v>
      </c>
      <c r="O7482" s="624">
        <v>7.2085866666666665E-2</v>
      </c>
      <c r="P7482" s="397"/>
      <c r="Q7482" s="397"/>
      <c r="R7482" s="397"/>
      <c r="S7482" s="397"/>
      <c r="T7482" s="397"/>
      <c r="U7482" s="397"/>
      <c r="V7482" s="397"/>
      <c r="W7482" s="397"/>
      <c r="X7482" s="397"/>
      <c r="Y7482" s="397"/>
      <c r="Z7482" s="397"/>
      <c r="AD7482" s="388">
        <v>3.1699200000000003</v>
      </c>
      <c r="AE7482" s="388">
        <v>0.20726400000000003</v>
      </c>
      <c r="AF7482" s="388">
        <v>0.65701029888000018</v>
      </c>
      <c r="AG7482" s="388">
        <v>0.94488000000000005</v>
      </c>
      <c r="AH7482" s="391"/>
      <c r="AI7482" s="397"/>
      <c r="AJ7482" s="397"/>
      <c r="AU7482" s="397"/>
      <c r="AV7482" s="397"/>
      <c r="AW7482" s="397"/>
      <c r="AX7482" s="397"/>
      <c r="BI7482" s="397"/>
      <c r="BJ7482" s="397"/>
      <c r="BK7482" s="397"/>
      <c r="BL7482" s="397"/>
      <c r="BM7482" s="397"/>
      <c r="BN7482" s="397"/>
      <c r="BO7482" s="397"/>
      <c r="BP7482" s="397"/>
      <c r="BQ7482" s="397"/>
      <c r="BR7482" s="397"/>
      <c r="BS7482" s="397"/>
      <c r="BT7482" s="397"/>
      <c r="BU7482" s="397"/>
      <c r="BV7482" s="397"/>
      <c r="BW7482" s="397"/>
      <c r="BX7482" s="397"/>
      <c r="BY7482" s="397"/>
      <c r="BZ7482" s="397"/>
      <c r="CA7482" s="392" t="s">
        <v>413</v>
      </c>
    </row>
    <row r="7483" spans="1:79" s="392" customFormat="1" ht="15" x14ac:dyDescent="0.25">
      <c r="A7483" s="385"/>
      <c r="D7483" s="700"/>
      <c r="E7483" s="397"/>
      <c r="H7483" s="401">
        <v>3</v>
      </c>
      <c r="I7483" s="401"/>
      <c r="J7483" s="401"/>
      <c r="K7483" s="401"/>
      <c r="L7483" s="675"/>
      <c r="M7483" s="672">
        <v>29017</v>
      </c>
      <c r="N7483" s="623">
        <v>0.57098328138282795</v>
      </c>
      <c r="O7483" s="624">
        <v>2.2990799999999995E-2</v>
      </c>
      <c r="P7483" s="397"/>
      <c r="Q7483" s="397"/>
      <c r="R7483" s="397"/>
      <c r="S7483" s="397"/>
      <c r="T7483" s="397"/>
      <c r="U7483" s="397"/>
      <c r="V7483" s="397"/>
      <c r="W7483" s="397"/>
      <c r="X7483" s="397"/>
      <c r="Y7483" s="397"/>
      <c r="Z7483" s="397"/>
      <c r="AD7483" s="388">
        <v>2.9870400000000004</v>
      </c>
      <c r="AE7483" s="388">
        <v>0.17983199999999999</v>
      </c>
      <c r="AF7483" s="388">
        <v>0.53716537728000002</v>
      </c>
      <c r="AG7483" s="388">
        <v>0.9144000000000001</v>
      </c>
      <c r="AH7483" s="391"/>
      <c r="AI7483" s="397"/>
      <c r="AJ7483" s="397"/>
      <c r="AU7483" s="397"/>
      <c r="AV7483" s="397"/>
      <c r="AW7483" s="397"/>
      <c r="AX7483" s="397"/>
      <c r="BI7483" s="397"/>
      <c r="BJ7483" s="397"/>
      <c r="BK7483" s="397"/>
      <c r="BL7483" s="397"/>
      <c r="BM7483" s="397"/>
      <c r="BN7483" s="397"/>
      <c r="BO7483" s="397"/>
      <c r="BP7483" s="397"/>
      <c r="BQ7483" s="397"/>
      <c r="BR7483" s="397"/>
      <c r="BS7483" s="397"/>
      <c r="BT7483" s="397"/>
      <c r="BU7483" s="397"/>
      <c r="BV7483" s="397"/>
      <c r="BW7483" s="397"/>
      <c r="BX7483" s="397"/>
      <c r="BY7483" s="397"/>
      <c r="BZ7483" s="397"/>
      <c r="CA7483" s="392" t="s">
        <v>413</v>
      </c>
    </row>
    <row r="7484" spans="1:79" s="392" customFormat="1" ht="15" x14ac:dyDescent="0.25">
      <c r="A7484" s="385"/>
      <c r="D7484" s="700"/>
      <c r="E7484" s="397"/>
      <c r="H7484" s="401">
        <v>3</v>
      </c>
      <c r="I7484" s="401"/>
      <c r="J7484" s="401"/>
      <c r="K7484" s="401"/>
      <c r="L7484" s="675"/>
      <c r="M7484" s="672">
        <v>29026</v>
      </c>
      <c r="N7484" s="623">
        <v>0.45565315953527907</v>
      </c>
      <c r="O7484" s="624">
        <v>7.3831333333333332E-3</v>
      </c>
      <c r="P7484" s="397"/>
      <c r="Q7484" s="397"/>
      <c r="R7484" s="397"/>
      <c r="S7484" s="397"/>
      <c r="T7484" s="397"/>
      <c r="U7484" s="397"/>
      <c r="V7484" s="397"/>
      <c r="W7484" s="397"/>
      <c r="X7484" s="397"/>
      <c r="Y7484" s="397"/>
      <c r="Z7484" s="397"/>
      <c r="AD7484" s="388">
        <v>2.7736800000000001</v>
      </c>
      <c r="AE7484" s="388">
        <v>0.14325599999999999</v>
      </c>
      <c r="AF7484" s="388">
        <v>0.39734630207999999</v>
      </c>
      <c r="AG7484" s="388">
        <v>0.85343999999999998</v>
      </c>
      <c r="AH7484" s="391"/>
      <c r="AI7484" s="397"/>
      <c r="AJ7484" s="397"/>
      <c r="AU7484" s="397"/>
      <c r="AV7484" s="397"/>
      <c r="AW7484" s="397"/>
      <c r="AX7484" s="397"/>
      <c r="BI7484" s="397"/>
      <c r="BJ7484" s="397"/>
      <c r="BK7484" s="397"/>
      <c r="BL7484" s="397"/>
      <c r="BM7484" s="397"/>
      <c r="BN7484" s="397"/>
      <c r="BO7484" s="397"/>
      <c r="BP7484" s="397"/>
      <c r="BQ7484" s="397"/>
      <c r="BR7484" s="397"/>
      <c r="BS7484" s="397"/>
      <c r="BT7484" s="397"/>
      <c r="BU7484" s="397"/>
      <c r="BV7484" s="397"/>
      <c r="BW7484" s="397"/>
      <c r="BX7484" s="397"/>
      <c r="BY7484" s="397"/>
      <c r="BZ7484" s="397"/>
      <c r="CA7484" s="392" t="s">
        <v>413</v>
      </c>
    </row>
    <row r="7485" spans="1:79" s="392" customFormat="1" ht="15" x14ac:dyDescent="0.25">
      <c r="A7485" s="385"/>
      <c r="D7485" s="700"/>
      <c r="E7485" s="397"/>
      <c r="H7485" s="401">
        <v>3</v>
      </c>
      <c r="I7485" s="401"/>
      <c r="J7485" s="401"/>
      <c r="K7485" s="401"/>
      <c r="L7485" s="675"/>
      <c r="M7485" s="672">
        <v>29032</v>
      </c>
      <c r="N7485" s="623">
        <v>0.32473788608671017</v>
      </c>
      <c r="O7485" s="624">
        <v>2.2316800000000001E-2</v>
      </c>
      <c r="P7485" s="397"/>
      <c r="Q7485" s="397"/>
      <c r="R7485" s="397"/>
      <c r="S7485" s="397"/>
      <c r="T7485" s="397"/>
      <c r="U7485" s="397"/>
      <c r="V7485" s="397"/>
      <c r="W7485" s="397"/>
      <c r="X7485" s="397"/>
      <c r="Y7485" s="397"/>
      <c r="Z7485" s="397"/>
      <c r="AD7485" s="388">
        <v>2.6822400000000002</v>
      </c>
      <c r="AE7485" s="388">
        <v>0.14630399999999999</v>
      </c>
      <c r="AF7485" s="388">
        <v>0.39242244096000001</v>
      </c>
      <c r="AG7485" s="388">
        <v>0.70104</v>
      </c>
      <c r="AH7485" s="391"/>
      <c r="AI7485" s="397"/>
      <c r="AJ7485" s="397"/>
      <c r="AU7485" s="397"/>
      <c r="AV7485" s="397"/>
      <c r="AW7485" s="397"/>
      <c r="AX7485" s="397"/>
      <c r="BI7485" s="397"/>
      <c r="BJ7485" s="397"/>
      <c r="BK7485" s="397"/>
      <c r="BL7485" s="397"/>
      <c r="BM7485" s="397"/>
      <c r="BN7485" s="397"/>
      <c r="BO7485" s="397"/>
      <c r="BP7485" s="397"/>
      <c r="BQ7485" s="397"/>
      <c r="BR7485" s="397"/>
      <c r="BS7485" s="397"/>
      <c r="BT7485" s="397"/>
      <c r="BU7485" s="397"/>
      <c r="BV7485" s="397"/>
      <c r="BW7485" s="397"/>
      <c r="BX7485" s="397"/>
      <c r="BY7485" s="397"/>
      <c r="BZ7485" s="397"/>
      <c r="CA7485" s="392" t="s">
        <v>413</v>
      </c>
    </row>
    <row r="7486" spans="1:79" s="392" customFormat="1" ht="15" x14ac:dyDescent="0.25">
      <c r="A7486" s="385"/>
      <c r="D7486" s="700"/>
      <c r="E7486" s="397"/>
      <c r="H7486" s="401">
        <v>3</v>
      </c>
      <c r="I7486" s="401"/>
      <c r="J7486" s="401"/>
      <c r="K7486" s="401"/>
      <c r="L7486" s="675"/>
      <c r="M7486" s="672">
        <v>29041</v>
      </c>
      <c r="N7486" s="623">
        <v>0.28053272881836216</v>
      </c>
      <c r="O7486" s="624">
        <v>2.1765333333333334E-2</v>
      </c>
      <c r="P7486" s="397"/>
      <c r="Q7486" s="397"/>
      <c r="R7486" s="397"/>
      <c r="S7486" s="397"/>
      <c r="T7486" s="397"/>
      <c r="U7486" s="397"/>
      <c r="V7486" s="397"/>
      <c r="W7486" s="397"/>
      <c r="X7486" s="397"/>
      <c r="Y7486" s="397"/>
      <c r="Z7486" s="397"/>
      <c r="AD7486" s="388">
        <v>2.4384000000000001</v>
      </c>
      <c r="AE7486" s="388"/>
      <c r="AF7486" s="388"/>
      <c r="AG7486" s="388"/>
      <c r="AH7486" s="391"/>
      <c r="AI7486" s="397"/>
      <c r="AJ7486" s="397"/>
      <c r="AU7486" s="397"/>
      <c r="AV7486" s="397"/>
      <c r="AW7486" s="397"/>
      <c r="AX7486" s="397"/>
      <c r="BI7486" s="397"/>
      <c r="BJ7486" s="397"/>
      <c r="BK7486" s="397"/>
      <c r="BL7486" s="397"/>
      <c r="BM7486" s="397"/>
      <c r="BN7486" s="397"/>
      <c r="BO7486" s="397"/>
      <c r="BP7486" s="397"/>
      <c r="BQ7486" s="397"/>
      <c r="BR7486" s="397"/>
      <c r="BS7486" s="397"/>
      <c r="BT7486" s="397"/>
      <c r="BU7486" s="397"/>
      <c r="BV7486" s="397"/>
      <c r="BW7486" s="397"/>
      <c r="BX7486" s="397"/>
      <c r="BY7486" s="397"/>
      <c r="BZ7486" s="397"/>
      <c r="CA7486" s="392" t="s">
        <v>413</v>
      </c>
    </row>
    <row r="7487" spans="1:79" s="392" customFormat="1" ht="15" x14ac:dyDescent="0.25">
      <c r="A7487" s="385"/>
      <c r="D7487" s="700"/>
      <c r="E7487" s="397"/>
      <c r="H7487" s="401">
        <v>3</v>
      </c>
      <c r="I7487" s="401"/>
      <c r="J7487" s="401"/>
      <c r="K7487" s="401"/>
      <c r="L7487" s="675"/>
      <c r="M7487" s="672">
        <v>29046</v>
      </c>
      <c r="N7487" s="623">
        <v>0.20685746670444885</v>
      </c>
      <c r="O7487" s="624">
        <v>5.9860000000000009E-3</v>
      </c>
      <c r="P7487" s="397"/>
      <c r="Q7487" s="397"/>
      <c r="R7487" s="397"/>
      <c r="S7487" s="397"/>
      <c r="T7487" s="397"/>
      <c r="U7487" s="397"/>
      <c r="V7487" s="397"/>
      <c r="W7487" s="397"/>
      <c r="X7487" s="397"/>
      <c r="Y7487" s="397"/>
      <c r="Z7487" s="397"/>
      <c r="AD7487" s="388">
        <v>2.2250399999999999</v>
      </c>
      <c r="AE7487" s="388"/>
      <c r="AF7487" s="388"/>
      <c r="AG7487" s="388"/>
      <c r="AH7487" s="391"/>
      <c r="AI7487" s="397"/>
      <c r="AJ7487" s="397"/>
      <c r="AU7487" s="397"/>
      <c r="AV7487" s="397"/>
      <c r="AW7487" s="397"/>
      <c r="AX7487" s="397"/>
      <c r="BI7487" s="397"/>
      <c r="BJ7487" s="397"/>
      <c r="BK7487" s="397"/>
      <c r="BL7487" s="397"/>
      <c r="BM7487" s="397"/>
      <c r="BN7487" s="397"/>
      <c r="BO7487" s="397"/>
      <c r="BP7487" s="397"/>
      <c r="BQ7487" s="397"/>
      <c r="BR7487" s="397"/>
      <c r="BS7487" s="397"/>
      <c r="BT7487" s="397"/>
      <c r="BU7487" s="397"/>
      <c r="BV7487" s="397"/>
      <c r="BW7487" s="397"/>
      <c r="BX7487" s="397"/>
      <c r="BY7487" s="397"/>
      <c r="BZ7487" s="397"/>
      <c r="CA7487" s="392" t="s">
        <v>413</v>
      </c>
    </row>
    <row r="7488" spans="1:79" s="392" customFormat="1" ht="15" x14ac:dyDescent="0.25">
      <c r="A7488" s="385"/>
      <c r="D7488" s="700"/>
      <c r="E7488" s="397"/>
      <c r="H7488" s="401">
        <v>3</v>
      </c>
      <c r="I7488" s="401"/>
      <c r="J7488" s="401"/>
      <c r="K7488" s="401"/>
      <c r="L7488" s="675"/>
      <c r="M7488" s="672">
        <v>29054</v>
      </c>
      <c r="N7488" s="623">
        <v>0.15868517993765938</v>
      </c>
      <c r="O7488" s="624">
        <v>2.6766666666666662E-3</v>
      </c>
      <c r="P7488" s="397"/>
      <c r="Q7488" s="397"/>
      <c r="R7488" s="397"/>
      <c r="S7488" s="397"/>
      <c r="T7488" s="397"/>
      <c r="U7488" s="397"/>
      <c r="V7488" s="397"/>
      <c r="W7488" s="397"/>
      <c r="X7488" s="397"/>
      <c r="Y7488" s="397"/>
      <c r="Z7488" s="397"/>
      <c r="AD7488" s="388">
        <v>2.2250399999999999</v>
      </c>
      <c r="AE7488" s="388"/>
      <c r="AF7488" s="388"/>
      <c r="AG7488" s="388"/>
      <c r="AH7488" s="391"/>
      <c r="AI7488" s="397"/>
      <c r="AJ7488" s="397"/>
      <c r="AU7488" s="397"/>
      <c r="AV7488" s="397"/>
      <c r="AW7488" s="397"/>
      <c r="AX7488" s="397"/>
      <c r="BI7488" s="397"/>
      <c r="BJ7488" s="397"/>
      <c r="BK7488" s="397"/>
      <c r="BL7488" s="397"/>
      <c r="BM7488" s="397"/>
      <c r="BN7488" s="397"/>
      <c r="BO7488" s="397"/>
      <c r="BP7488" s="397"/>
      <c r="BQ7488" s="397"/>
      <c r="BR7488" s="397"/>
      <c r="BS7488" s="397"/>
      <c r="BT7488" s="397"/>
      <c r="BU7488" s="397"/>
      <c r="BV7488" s="397"/>
      <c r="BW7488" s="397"/>
      <c r="BX7488" s="397"/>
      <c r="BY7488" s="397"/>
      <c r="BZ7488" s="397"/>
      <c r="CA7488" s="392" t="s">
        <v>413</v>
      </c>
    </row>
    <row r="7489" spans="1:80" s="392" customFormat="1" ht="15" x14ac:dyDescent="0.25">
      <c r="A7489" s="385"/>
      <c r="D7489" s="700"/>
      <c r="E7489" s="397"/>
      <c r="H7489" s="401">
        <v>3</v>
      </c>
      <c r="I7489" s="401"/>
      <c r="J7489" s="401"/>
      <c r="K7489" s="401"/>
      <c r="L7489" s="675"/>
      <c r="M7489" s="672">
        <v>29066</v>
      </c>
      <c r="N7489" s="623">
        <v>9.634457353357892E-2</v>
      </c>
      <c r="O7489" s="624">
        <v>9.8366666666666676E-4</v>
      </c>
      <c r="P7489" s="397"/>
      <c r="Q7489" s="397"/>
      <c r="R7489" s="397"/>
      <c r="S7489" s="397"/>
      <c r="T7489" s="397"/>
      <c r="U7489" s="397"/>
      <c r="V7489" s="397"/>
      <c r="W7489" s="397"/>
      <c r="X7489" s="397"/>
      <c r="Y7489" s="397"/>
      <c r="Z7489" s="397"/>
      <c r="AD7489" s="388">
        <v>1.9812000000000001</v>
      </c>
      <c r="AE7489" s="388"/>
      <c r="AF7489" s="388"/>
      <c r="AG7489" s="388"/>
      <c r="AH7489" s="391"/>
      <c r="AI7489" s="397"/>
      <c r="AJ7489" s="397"/>
      <c r="AU7489" s="397"/>
      <c r="AV7489" s="397"/>
      <c r="AW7489" s="397"/>
      <c r="AX7489" s="397"/>
      <c r="BI7489" s="397"/>
      <c r="BJ7489" s="397"/>
      <c r="BK7489" s="397"/>
      <c r="BL7489" s="397"/>
      <c r="BM7489" s="397"/>
      <c r="BN7489" s="397"/>
      <c r="BO7489" s="397"/>
      <c r="BP7489" s="397"/>
      <c r="BQ7489" s="397"/>
      <c r="BR7489" s="397"/>
      <c r="BS7489" s="397"/>
      <c r="BT7489" s="397"/>
      <c r="BU7489" s="397"/>
      <c r="BV7489" s="397"/>
      <c r="BW7489" s="397"/>
      <c r="BX7489" s="397"/>
      <c r="BY7489" s="397"/>
      <c r="BZ7489" s="397"/>
      <c r="CA7489" s="392" t="s">
        <v>413</v>
      </c>
    </row>
    <row r="7490" spans="1:80" s="392" customFormat="1" ht="15" x14ac:dyDescent="0.25">
      <c r="A7490" s="385"/>
      <c r="D7490" s="700"/>
      <c r="E7490" s="397"/>
      <c r="H7490" s="401">
        <v>3</v>
      </c>
      <c r="I7490" s="401"/>
      <c r="J7490" s="401"/>
      <c r="K7490" s="401"/>
      <c r="L7490" s="675"/>
      <c r="M7490" s="672">
        <v>29087</v>
      </c>
      <c r="N7490" s="623">
        <v>8.5009917823746103E-2</v>
      </c>
      <c r="O7490" s="624">
        <v>1.2999999999999999E-3</v>
      </c>
      <c r="P7490" s="397"/>
      <c r="Q7490" s="397"/>
      <c r="R7490" s="397"/>
      <c r="S7490" s="397"/>
      <c r="T7490" s="397"/>
      <c r="U7490" s="397"/>
      <c r="V7490" s="397"/>
      <c r="W7490" s="397"/>
      <c r="X7490" s="397"/>
      <c r="Y7490" s="397"/>
      <c r="Z7490" s="397"/>
      <c r="AD7490" s="388">
        <v>1.9812000000000001</v>
      </c>
      <c r="AE7490" s="388"/>
      <c r="AF7490" s="388"/>
      <c r="AG7490" s="388"/>
      <c r="AH7490" s="391"/>
      <c r="AI7490" s="397"/>
      <c r="AJ7490" s="397"/>
      <c r="AU7490" s="397"/>
      <c r="AV7490" s="397"/>
      <c r="AW7490" s="397"/>
      <c r="AX7490" s="397"/>
      <c r="BI7490" s="397"/>
      <c r="BJ7490" s="397"/>
      <c r="BK7490" s="397"/>
      <c r="BL7490" s="397"/>
      <c r="BM7490" s="397"/>
      <c r="BN7490" s="397"/>
      <c r="BO7490" s="397"/>
      <c r="BP7490" s="397"/>
      <c r="BQ7490" s="397"/>
      <c r="BR7490" s="397"/>
      <c r="BS7490" s="397"/>
      <c r="BT7490" s="397"/>
      <c r="BU7490" s="397"/>
      <c r="BV7490" s="397"/>
      <c r="BW7490" s="397"/>
      <c r="BX7490" s="397"/>
      <c r="BY7490" s="397"/>
      <c r="BZ7490" s="397"/>
      <c r="CA7490" s="392" t="s">
        <v>413</v>
      </c>
    </row>
    <row r="7491" spans="1:80" s="189" customFormat="1" ht="15" x14ac:dyDescent="0.25">
      <c r="A7491" s="381" t="s">
        <v>477</v>
      </c>
      <c r="B7491" s="641"/>
      <c r="C7491" s="639"/>
      <c r="D7491" s="4">
        <f>VLOOKUP(E7491,'Quality Code'!$D$4:$E$24,2,TRUE)*VLOOKUP(MROUND(F7491,10),'Quality Code'!$D$28:$E$69,2,TRUE)*VLOOKUP(COUNTA(CB7491:CB7501),'Quality Code'!$D$73:$E$93,2,TRUE)</f>
        <v>0.17499999999999999</v>
      </c>
      <c r="E7491" s="14">
        <v>0.35</v>
      </c>
      <c r="F7491" s="2">
        <v>18</v>
      </c>
      <c r="G7491" s="12"/>
      <c r="H7491" s="2" t="s">
        <v>105</v>
      </c>
      <c r="I7491" s="2"/>
      <c r="J7491" s="2"/>
      <c r="K7491" s="2"/>
      <c r="L7491" s="639"/>
      <c r="M7491" s="640" t="s">
        <v>916</v>
      </c>
      <c r="N7491" s="578" t="s">
        <v>110</v>
      </c>
      <c r="O7491" s="578"/>
      <c r="P7491" s="26"/>
      <c r="Q7491" s="26"/>
      <c r="R7491" s="26"/>
      <c r="S7491" s="26"/>
      <c r="T7491" s="26"/>
      <c r="U7491" s="26"/>
      <c r="V7491" s="10"/>
      <c r="W7491" s="10"/>
      <c r="X7491" s="10"/>
      <c r="Y7491" s="10"/>
      <c r="Z7491" s="2"/>
      <c r="AA7491" s="26"/>
      <c r="AB7491" s="26"/>
      <c r="AC7491" s="377">
        <v>6.0999999999999999E-2</v>
      </c>
      <c r="AD7491" s="406"/>
      <c r="AE7491" s="26"/>
      <c r="AF7491" s="26"/>
      <c r="AG7491" s="26"/>
      <c r="AH7491" s="26"/>
      <c r="AI7491" s="4"/>
      <c r="AJ7491" s="4"/>
      <c r="AK7491" s="26"/>
      <c r="AL7491" s="26"/>
      <c r="AM7491" s="26"/>
      <c r="AN7491" s="26"/>
      <c r="AO7491" s="26"/>
      <c r="AP7491" s="26"/>
      <c r="AQ7491" s="26"/>
      <c r="AR7491" s="26"/>
      <c r="AS7491" s="26"/>
      <c r="AT7491" s="26"/>
      <c r="AU7491" s="4"/>
      <c r="AV7491" s="4"/>
      <c r="AW7491" s="4"/>
      <c r="AX7491" s="4"/>
      <c r="AY7491" s="2"/>
      <c r="AZ7491" s="2"/>
      <c r="BA7491" s="12"/>
      <c r="BB7491" s="12"/>
      <c r="BC7491" s="12"/>
      <c r="BD7491" s="12"/>
      <c r="BE7491" s="12"/>
      <c r="BF7491" s="12"/>
      <c r="BG7491" s="12"/>
      <c r="BH7491" s="12"/>
      <c r="BI7491" s="4"/>
      <c r="BJ7491" s="12"/>
      <c r="BK7491" s="2"/>
      <c r="BL7491" s="2"/>
      <c r="BM7491" s="4"/>
      <c r="BN7491" s="12"/>
      <c r="BO7491" s="12"/>
      <c r="BP7491" s="12"/>
      <c r="BQ7491" s="4"/>
      <c r="BR7491" s="4"/>
      <c r="BS7491" s="4"/>
      <c r="BT7491" s="2"/>
      <c r="BU7491" s="9"/>
      <c r="BV7491" s="381"/>
      <c r="BW7491" s="382"/>
      <c r="BX7491" s="383"/>
      <c r="BY7491" s="383"/>
      <c r="BZ7491" s="383"/>
      <c r="CA7491" s="384" t="s">
        <v>413</v>
      </c>
      <c r="CB7491" s="411"/>
    </row>
    <row r="7492" spans="1:80" s="392" customFormat="1" ht="15" x14ac:dyDescent="0.25">
      <c r="A7492" s="385"/>
      <c r="D7492" s="700"/>
      <c r="E7492" s="397"/>
      <c r="H7492" s="401">
        <v>3</v>
      </c>
      <c r="I7492" s="401"/>
      <c r="J7492" s="401"/>
      <c r="K7492" s="401"/>
      <c r="L7492" s="675"/>
      <c r="M7492" s="672">
        <v>28660</v>
      </c>
      <c r="N7492" s="623">
        <v>0.23944460187021818</v>
      </c>
      <c r="O7492" s="624">
        <v>8.8666666666666668E-3</v>
      </c>
      <c r="P7492" s="397"/>
      <c r="Q7492" s="397"/>
      <c r="R7492" s="397"/>
      <c r="S7492" s="397"/>
      <c r="T7492" s="397"/>
      <c r="U7492" s="397"/>
      <c r="V7492" s="397"/>
      <c r="W7492" s="397"/>
      <c r="X7492" s="397"/>
      <c r="Y7492" s="397"/>
      <c r="Z7492" s="397"/>
      <c r="AD7492" s="388">
        <v>1.524</v>
      </c>
      <c r="AE7492" s="388">
        <v>0.20726400000000003</v>
      </c>
      <c r="AF7492" s="388">
        <v>0.31587033600000003</v>
      </c>
      <c r="AG7492" s="388">
        <v>0.73152000000000006</v>
      </c>
      <c r="AH7492" s="391"/>
      <c r="AI7492" s="397"/>
      <c r="AJ7492" s="397"/>
      <c r="AU7492" s="397"/>
      <c r="AV7492" s="397"/>
      <c r="AW7492" s="397"/>
      <c r="AX7492" s="397"/>
      <c r="BI7492" s="397"/>
      <c r="BJ7492" s="397"/>
      <c r="BK7492" s="397"/>
      <c r="BL7492" s="397"/>
      <c r="BM7492" s="397"/>
      <c r="BN7492" s="397"/>
      <c r="BO7492" s="397"/>
      <c r="BP7492" s="397"/>
      <c r="BQ7492" s="397"/>
      <c r="BR7492" s="397"/>
      <c r="BS7492" s="397"/>
      <c r="BT7492" s="397"/>
      <c r="BU7492" s="397"/>
      <c r="BV7492" s="397"/>
      <c r="BW7492" s="397"/>
      <c r="BX7492" s="397"/>
      <c r="BY7492" s="397"/>
      <c r="BZ7492" s="397"/>
      <c r="CA7492" s="392" t="s">
        <v>413</v>
      </c>
    </row>
    <row r="7493" spans="1:80" s="392" customFormat="1" ht="15" x14ac:dyDescent="0.25">
      <c r="A7493" s="385"/>
      <c r="D7493" s="700"/>
      <c r="E7493" s="397"/>
      <c r="H7493" s="401">
        <v>3</v>
      </c>
      <c r="I7493" s="401"/>
      <c r="J7493" s="401"/>
      <c r="K7493" s="401"/>
      <c r="L7493" s="675"/>
      <c r="M7493" s="672">
        <v>28667</v>
      </c>
      <c r="N7493" s="623">
        <v>0.23604420515726834</v>
      </c>
      <c r="O7493" s="624">
        <v>4.4026666666666667E-3</v>
      </c>
      <c r="P7493" s="397"/>
      <c r="Q7493" s="397"/>
      <c r="R7493" s="397"/>
      <c r="S7493" s="397"/>
      <c r="T7493" s="397"/>
      <c r="U7493" s="397"/>
      <c r="V7493" s="397"/>
      <c r="W7493" s="397"/>
      <c r="X7493" s="397"/>
      <c r="Y7493" s="397"/>
      <c r="Z7493" s="397"/>
      <c r="AD7493" s="388">
        <v>1.5849600000000001</v>
      </c>
      <c r="AE7493" s="388">
        <v>0.19812000000000002</v>
      </c>
      <c r="AF7493" s="388">
        <v>0.31401227520000008</v>
      </c>
      <c r="AG7493" s="388">
        <v>0.67056000000000004</v>
      </c>
      <c r="AH7493" s="391"/>
      <c r="AI7493" s="397"/>
      <c r="AJ7493" s="397"/>
      <c r="AU7493" s="397"/>
      <c r="AV7493" s="397"/>
      <c r="AW7493" s="397"/>
      <c r="AX7493" s="397"/>
      <c r="BI7493" s="397"/>
      <c r="BJ7493" s="397"/>
      <c r="BK7493" s="397"/>
      <c r="BL7493" s="397"/>
      <c r="BM7493" s="397"/>
      <c r="BN7493" s="397"/>
      <c r="BO7493" s="397"/>
      <c r="BP7493" s="397"/>
      <c r="BQ7493" s="397"/>
      <c r="BR7493" s="397"/>
      <c r="BS7493" s="397"/>
      <c r="BT7493" s="397"/>
      <c r="BU7493" s="397"/>
      <c r="BV7493" s="397"/>
      <c r="BW7493" s="397"/>
      <c r="BX7493" s="397"/>
      <c r="BY7493" s="397"/>
      <c r="BZ7493" s="397"/>
      <c r="CA7493" s="392" t="s">
        <v>413</v>
      </c>
    </row>
    <row r="7494" spans="1:80" s="392" customFormat="1" ht="15" x14ac:dyDescent="0.25">
      <c r="A7494" s="385"/>
      <c r="D7494" s="700"/>
      <c r="E7494" s="397"/>
      <c r="H7494" s="401">
        <v>3</v>
      </c>
      <c r="I7494" s="401"/>
      <c r="J7494" s="401"/>
      <c r="K7494" s="401"/>
      <c r="L7494" s="675"/>
      <c r="M7494" s="672">
        <v>28676</v>
      </c>
      <c r="N7494" s="623">
        <v>0.15925191272315103</v>
      </c>
      <c r="O7494" s="624">
        <v>1.1433333333333334E-2</v>
      </c>
      <c r="P7494" s="397"/>
      <c r="Q7494" s="397"/>
      <c r="R7494" s="397"/>
      <c r="S7494" s="397"/>
      <c r="T7494" s="397"/>
      <c r="U7494" s="397"/>
      <c r="V7494" s="397"/>
      <c r="W7494" s="397"/>
      <c r="X7494" s="397"/>
      <c r="Y7494" s="397"/>
      <c r="Z7494" s="397"/>
      <c r="AD7494" s="388">
        <v>1.524</v>
      </c>
      <c r="AE7494" s="388">
        <v>0.16764000000000001</v>
      </c>
      <c r="AF7494" s="388">
        <v>0.25548336000000005</v>
      </c>
      <c r="AG7494" s="388">
        <v>0.60960000000000003</v>
      </c>
      <c r="AH7494" s="391"/>
      <c r="AI7494" s="397"/>
      <c r="AJ7494" s="397"/>
      <c r="AU7494" s="397"/>
      <c r="AV7494" s="397"/>
      <c r="AW7494" s="397"/>
      <c r="AX7494" s="397"/>
      <c r="BI7494" s="397"/>
      <c r="BJ7494" s="397"/>
      <c r="BK7494" s="397"/>
      <c r="BL7494" s="397"/>
      <c r="BM7494" s="397"/>
      <c r="BN7494" s="397"/>
      <c r="BO7494" s="397"/>
      <c r="BP7494" s="397"/>
      <c r="BQ7494" s="397"/>
      <c r="BR7494" s="397"/>
      <c r="BS7494" s="397"/>
      <c r="BT7494" s="397"/>
      <c r="BU7494" s="397"/>
      <c r="BV7494" s="397"/>
      <c r="BW7494" s="397"/>
      <c r="BX7494" s="397"/>
      <c r="BY7494" s="397"/>
      <c r="BZ7494" s="397"/>
      <c r="CA7494" s="392" t="s">
        <v>413</v>
      </c>
    </row>
    <row r="7495" spans="1:80" s="392" customFormat="1" ht="15" x14ac:dyDescent="0.25">
      <c r="A7495" s="385"/>
      <c r="D7495" s="700"/>
      <c r="E7495" s="397"/>
      <c r="H7495" s="401">
        <v>3</v>
      </c>
      <c r="I7495" s="401"/>
      <c r="J7495" s="401"/>
      <c r="K7495" s="401"/>
      <c r="L7495" s="675"/>
      <c r="M7495" s="672">
        <v>28681</v>
      </c>
      <c r="N7495" s="623">
        <v>0.12354774723717768</v>
      </c>
      <c r="O7495" s="624">
        <v>3.552E-3</v>
      </c>
      <c r="P7495" s="397"/>
      <c r="Q7495" s="397"/>
      <c r="R7495" s="397"/>
      <c r="S7495" s="397"/>
      <c r="T7495" s="397"/>
      <c r="U7495" s="397"/>
      <c r="V7495" s="397"/>
      <c r="W7495" s="397"/>
      <c r="X7495" s="397"/>
      <c r="Y7495" s="397"/>
      <c r="Z7495" s="397"/>
      <c r="AD7495" s="388">
        <v>1.4630400000000001</v>
      </c>
      <c r="AE7495" s="388">
        <v>0.12801599999999999</v>
      </c>
      <c r="AF7495" s="388">
        <v>0.18729252864000001</v>
      </c>
      <c r="AG7495" s="388">
        <v>0.73152000000000006</v>
      </c>
      <c r="AH7495" s="391"/>
      <c r="AI7495" s="397"/>
      <c r="AJ7495" s="397"/>
      <c r="AU7495" s="397"/>
      <c r="AV7495" s="397"/>
      <c r="AW7495" s="397"/>
      <c r="AX7495" s="397"/>
      <c r="BI7495" s="397"/>
      <c r="BJ7495" s="397"/>
      <c r="BK7495" s="397"/>
      <c r="BL7495" s="397"/>
      <c r="BM7495" s="397"/>
      <c r="BN7495" s="397"/>
      <c r="BO7495" s="397"/>
      <c r="BP7495" s="397"/>
      <c r="BQ7495" s="397"/>
      <c r="BR7495" s="397"/>
      <c r="BS7495" s="397"/>
      <c r="BT7495" s="397"/>
      <c r="BU7495" s="397"/>
      <c r="BV7495" s="397"/>
      <c r="BW7495" s="397"/>
      <c r="BX7495" s="397"/>
      <c r="BY7495" s="397"/>
      <c r="BZ7495" s="397"/>
      <c r="CA7495" s="392" t="s">
        <v>413</v>
      </c>
    </row>
    <row r="7496" spans="1:80" s="392" customFormat="1" ht="15" x14ac:dyDescent="0.25">
      <c r="A7496" s="385"/>
      <c r="D7496" s="700"/>
      <c r="E7496" s="397"/>
      <c r="H7496" s="401">
        <v>3</v>
      </c>
      <c r="I7496" s="401"/>
      <c r="J7496" s="401"/>
      <c r="K7496" s="401"/>
      <c r="L7496" s="675"/>
      <c r="M7496" s="672">
        <v>28684</v>
      </c>
      <c r="N7496" s="623">
        <v>9.4644375177103987E-2</v>
      </c>
      <c r="O7496" s="624">
        <v>3.979333333333333E-3</v>
      </c>
      <c r="P7496" s="397"/>
      <c r="Q7496" s="397"/>
      <c r="R7496" s="397"/>
      <c r="S7496" s="397"/>
      <c r="T7496" s="397"/>
      <c r="U7496" s="397"/>
      <c r="V7496" s="397"/>
      <c r="W7496" s="397"/>
      <c r="X7496" s="397"/>
      <c r="Y7496" s="397"/>
      <c r="Z7496" s="397"/>
      <c r="AD7496" s="388">
        <v>1.4325600000000001</v>
      </c>
      <c r="AE7496" s="388">
        <v>0.11887200000000001</v>
      </c>
      <c r="AF7496" s="388">
        <v>0.17029127232000002</v>
      </c>
      <c r="AG7496" s="388">
        <v>0.54864000000000002</v>
      </c>
      <c r="AH7496" s="391"/>
      <c r="AI7496" s="397"/>
      <c r="AJ7496" s="397"/>
      <c r="AU7496" s="397"/>
      <c r="AV7496" s="397"/>
      <c r="AW7496" s="397"/>
      <c r="AX7496" s="397"/>
      <c r="BI7496" s="397"/>
      <c r="BJ7496" s="397"/>
      <c r="BK7496" s="397"/>
      <c r="BL7496" s="397"/>
      <c r="BM7496" s="397"/>
      <c r="BN7496" s="397"/>
      <c r="BO7496" s="397"/>
      <c r="BP7496" s="397"/>
      <c r="BQ7496" s="397"/>
      <c r="BR7496" s="397"/>
      <c r="BS7496" s="397"/>
      <c r="BT7496" s="397"/>
      <c r="BU7496" s="397"/>
      <c r="BV7496" s="397"/>
      <c r="BW7496" s="397"/>
      <c r="BX7496" s="397"/>
      <c r="BY7496" s="397"/>
      <c r="BZ7496" s="397"/>
      <c r="CA7496" s="392" t="s">
        <v>413</v>
      </c>
    </row>
    <row r="7497" spans="1:80" s="392" customFormat="1" ht="15" x14ac:dyDescent="0.25">
      <c r="A7497" s="385"/>
      <c r="D7497" s="700"/>
      <c r="E7497" s="397"/>
      <c r="H7497" s="401">
        <v>3</v>
      </c>
      <c r="I7497" s="401"/>
      <c r="J7497" s="401"/>
      <c r="K7497" s="401"/>
      <c r="L7497" s="675"/>
      <c r="M7497" s="672">
        <v>28688</v>
      </c>
      <c r="N7497" s="623">
        <v>9.634457353357892E-2</v>
      </c>
      <c r="O7497" s="624">
        <v>1.9426666666666668E-3</v>
      </c>
      <c r="P7497" s="397"/>
      <c r="Q7497" s="397"/>
      <c r="R7497" s="397"/>
      <c r="S7497" s="397"/>
      <c r="T7497" s="397"/>
      <c r="U7497" s="397"/>
      <c r="V7497" s="397"/>
      <c r="W7497" s="397"/>
      <c r="X7497" s="397"/>
      <c r="Y7497" s="397"/>
      <c r="Z7497" s="397"/>
      <c r="AD7497" s="388">
        <v>1.4325600000000001</v>
      </c>
      <c r="AE7497" s="388">
        <v>0.10363200000000002</v>
      </c>
      <c r="AF7497" s="388">
        <v>0.14845905792000003</v>
      </c>
      <c r="AG7497" s="388">
        <v>0.64008000000000009</v>
      </c>
      <c r="AH7497" s="391"/>
      <c r="AI7497" s="397"/>
      <c r="AJ7497" s="397"/>
      <c r="AU7497" s="397"/>
      <c r="AV7497" s="397"/>
      <c r="AW7497" s="397"/>
      <c r="AX7497" s="397"/>
      <c r="BI7497" s="397"/>
      <c r="BJ7497" s="397"/>
      <c r="BK7497" s="397"/>
      <c r="BL7497" s="397"/>
      <c r="BM7497" s="397"/>
      <c r="BN7497" s="397"/>
      <c r="BO7497" s="397"/>
      <c r="BP7497" s="397"/>
      <c r="BQ7497" s="397"/>
      <c r="BR7497" s="397"/>
      <c r="BS7497" s="397"/>
      <c r="BT7497" s="397"/>
      <c r="BU7497" s="397"/>
      <c r="BV7497" s="397"/>
      <c r="BW7497" s="397"/>
      <c r="BX7497" s="397"/>
      <c r="BY7497" s="397"/>
      <c r="BZ7497" s="397"/>
      <c r="CA7497" s="392" t="s">
        <v>413</v>
      </c>
    </row>
    <row r="7498" spans="1:80" s="392" customFormat="1" ht="15" x14ac:dyDescent="0.25">
      <c r="A7498" s="385"/>
      <c r="D7498" s="700"/>
      <c r="E7498" s="397"/>
      <c r="H7498" s="401">
        <v>3</v>
      </c>
      <c r="I7498" s="401"/>
      <c r="J7498" s="401"/>
      <c r="K7498" s="401"/>
      <c r="L7498" s="675"/>
      <c r="M7498" s="672">
        <v>28695</v>
      </c>
      <c r="N7498" s="623">
        <v>5.0439217908756023E-2</v>
      </c>
      <c r="O7498" s="624">
        <v>7.7999999999999999E-4</v>
      </c>
      <c r="P7498" s="397"/>
      <c r="Q7498" s="397"/>
      <c r="R7498" s="397"/>
      <c r="S7498" s="397"/>
      <c r="T7498" s="397"/>
      <c r="U7498" s="397"/>
      <c r="V7498" s="397"/>
      <c r="W7498" s="397"/>
      <c r="X7498" s="397"/>
      <c r="Y7498" s="397"/>
      <c r="Z7498" s="397"/>
      <c r="AD7498" s="388">
        <v>1.3716000000000002</v>
      </c>
      <c r="AE7498" s="388">
        <v>6.4007999999999995E-2</v>
      </c>
      <c r="AF7498" s="388">
        <v>8.7793372800000005E-2</v>
      </c>
      <c r="AG7498" s="388">
        <v>0.60960000000000003</v>
      </c>
      <c r="AH7498" s="391"/>
      <c r="AI7498" s="397"/>
      <c r="AJ7498" s="397"/>
      <c r="AU7498" s="397"/>
      <c r="AV7498" s="397"/>
      <c r="AW7498" s="397"/>
      <c r="AX7498" s="397"/>
      <c r="BI7498" s="397"/>
      <c r="BJ7498" s="397"/>
      <c r="BK7498" s="397"/>
      <c r="BL7498" s="397"/>
      <c r="BM7498" s="397"/>
      <c r="BN7498" s="397"/>
      <c r="BO7498" s="397"/>
      <c r="BP7498" s="397"/>
      <c r="BQ7498" s="397"/>
      <c r="BR7498" s="397"/>
      <c r="BS7498" s="397"/>
      <c r="BT7498" s="397"/>
      <c r="BU7498" s="397"/>
      <c r="BV7498" s="397"/>
      <c r="BW7498" s="397"/>
      <c r="BX7498" s="397"/>
      <c r="BY7498" s="397"/>
      <c r="BZ7498" s="397"/>
      <c r="CA7498" s="392" t="s">
        <v>413</v>
      </c>
    </row>
    <row r="7499" spans="1:80" s="392" customFormat="1" ht="15" x14ac:dyDescent="0.25">
      <c r="A7499" s="385"/>
      <c r="D7499" s="700"/>
      <c r="E7499" s="397"/>
      <c r="H7499" s="401">
        <v>3</v>
      </c>
      <c r="I7499" s="401"/>
      <c r="J7499" s="401"/>
      <c r="K7499" s="401"/>
      <c r="L7499" s="675"/>
      <c r="M7499" s="672">
        <v>28697</v>
      </c>
      <c r="N7499" s="623">
        <v>5.0439217908756023E-2</v>
      </c>
      <c r="O7499" s="624">
        <v>1.3786666666666667E-3</v>
      </c>
      <c r="P7499" s="397"/>
      <c r="Q7499" s="397"/>
      <c r="R7499" s="397"/>
      <c r="S7499" s="397"/>
      <c r="T7499" s="397"/>
      <c r="U7499" s="397"/>
      <c r="V7499" s="397"/>
      <c r="W7499" s="397"/>
      <c r="X7499" s="397"/>
      <c r="Y7499" s="397"/>
      <c r="Z7499" s="397"/>
      <c r="AD7499" s="388">
        <v>1.4325600000000001</v>
      </c>
      <c r="AE7499" s="388">
        <v>5.4864000000000003E-2</v>
      </c>
      <c r="AF7499" s="388">
        <v>7.8595971840000001E-2</v>
      </c>
      <c r="AG7499" s="388">
        <v>0.60960000000000003</v>
      </c>
      <c r="AH7499" s="391"/>
      <c r="AI7499" s="397"/>
      <c r="AJ7499" s="397"/>
      <c r="AU7499" s="397"/>
      <c r="AV7499" s="397"/>
      <c r="AW7499" s="397"/>
      <c r="AX7499" s="397"/>
      <c r="BI7499" s="397"/>
      <c r="BJ7499" s="397"/>
      <c r="BK7499" s="397"/>
      <c r="BL7499" s="397"/>
      <c r="BM7499" s="397"/>
      <c r="BN7499" s="397"/>
      <c r="BO7499" s="397"/>
      <c r="BP7499" s="397"/>
      <c r="BQ7499" s="397"/>
      <c r="BR7499" s="397"/>
      <c r="BS7499" s="397"/>
      <c r="BT7499" s="397"/>
      <c r="BU7499" s="397"/>
      <c r="BV7499" s="397"/>
      <c r="BW7499" s="397"/>
      <c r="BX7499" s="397"/>
      <c r="BY7499" s="397"/>
      <c r="BZ7499" s="397"/>
      <c r="CA7499" s="392" t="s">
        <v>413</v>
      </c>
    </row>
    <row r="7500" spans="1:80" s="392" customFormat="1" ht="15" x14ac:dyDescent="0.25">
      <c r="A7500" s="385"/>
      <c r="D7500" s="700"/>
      <c r="E7500" s="397"/>
      <c r="H7500" s="401">
        <v>3</v>
      </c>
      <c r="I7500" s="401"/>
      <c r="J7500" s="401"/>
      <c r="K7500" s="401"/>
      <c r="L7500" s="675"/>
      <c r="M7500" s="672">
        <v>28702</v>
      </c>
      <c r="N7500" s="623">
        <v>3.0320204023802779E-2</v>
      </c>
      <c r="O7500" s="624">
        <v>4.2999999999999999E-4</v>
      </c>
      <c r="P7500" s="397"/>
      <c r="Q7500" s="397"/>
      <c r="R7500" s="397"/>
      <c r="S7500" s="397"/>
      <c r="T7500" s="397"/>
      <c r="U7500" s="397"/>
      <c r="V7500" s="397"/>
      <c r="W7500" s="397"/>
      <c r="X7500" s="397"/>
      <c r="Y7500" s="397"/>
      <c r="Z7500" s="397"/>
      <c r="AD7500" s="388">
        <v>1.31064</v>
      </c>
      <c r="AE7500" s="388">
        <v>4.8768000000000006E-2</v>
      </c>
      <c r="AF7500" s="388">
        <v>6.3917291520000002E-2</v>
      </c>
      <c r="AG7500" s="388">
        <v>0.64008000000000009</v>
      </c>
      <c r="AH7500" s="391"/>
      <c r="AI7500" s="397"/>
      <c r="AJ7500" s="397"/>
      <c r="AU7500" s="397"/>
      <c r="AV7500" s="397"/>
      <c r="AW7500" s="397"/>
      <c r="AX7500" s="397"/>
      <c r="BI7500" s="397"/>
      <c r="BJ7500" s="397"/>
      <c r="BK7500" s="397"/>
      <c r="BL7500" s="397"/>
      <c r="BM7500" s="397"/>
      <c r="BN7500" s="397"/>
      <c r="BO7500" s="397"/>
      <c r="BP7500" s="397"/>
      <c r="BQ7500" s="397"/>
      <c r="BR7500" s="397"/>
      <c r="BS7500" s="397"/>
      <c r="BT7500" s="397"/>
      <c r="BU7500" s="397"/>
      <c r="BV7500" s="397"/>
      <c r="BW7500" s="397"/>
      <c r="BX7500" s="397"/>
      <c r="BY7500" s="397"/>
      <c r="BZ7500" s="397"/>
      <c r="CA7500" s="392" t="s">
        <v>413</v>
      </c>
    </row>
    <row r="7501" spans="1:80" s="392" customFormat="1" ht="15" x14ac:dyDescent="0.25">
      <c r="A7501" s="385"/>
      <c r="D7501" s="700"/>
      <c r="E7501" s="397"/>
      <c r="H7501" s="401">
        <v>3</v>
      </c>
      <c r="I7501" s="401"/>
      <c r="J7501" s="401"/>
      <c r="K7501" s="401"/>
      <c r="L7501" s="675"/>
      <c r="M7501" s="672">
        <v>28705</v>
      </c>
      <c r="N7501" s="623">
        <v>2.8336639274582034E-2</v>
      </c>
      <c r="O7501" s="624">
        <v>4.1066666666666666E-4</v>
      </c>
      <c r="P7501" s="397"/>
      <c r="Q7501" s="397"/>
      <c r="R7501" s="397"/>
      <c r="S7501" s="397"/>
      <c r="T7501" s="397"/>
      <c r="U7501" s="397"/>
      <c r="V7501" s="397"/>
      <c r="W7501" s="397"/>
      <c r="X7501" s="397"/>
      <c r="Y7501" s="397"/>
      <c r="Z7501" s="397"/>
      <c r="AD7501" s="388">
        <v>1.3411200000000001</v>
      </c>
      <c r="AE7501" s="388">
        <v>4.2672000000000009E-2</v>
      </c>
      <c r="AF7501" s="388">
        <v>5.7228272640000015E-2</v>
      </c>
      <c r="AG7501" s="388">
        <v>0.51816000000000006</v>
      </c>
      <c r="AH7501" s="391"/>
      <c r="AI7501" s="397"/>
      <c r="AJ7501" s="397"/>
      <c r="AU7501" s="397"/>
      <c r="AV7501" s="397"/>
      <c r="AW7501" s="397"/>
      <c r="AX7501" s="397"/>
      <c r="BI7501" s="397"/>
      <c r="BJ7501" s="397"/>
      <c r="BK7501" s="397"/>
      <c r="BL7501" s="397"/>
      <c r="BM7501" s="397"/>
      <c r="BN7501" s="397"/>
      <c r="BO7501" s="397"/>
      <c r="BP7501" s="397"/>
      <c r="BQ7501" s="397"/>
      <c r="BR7501" s="397"/>
      <c r="BS7501" s="397"/>
      <c r="BT7501" s="397"/>
      <c r="BU7501" s="397"/>
      <c r="BV7501" s="397"/>
      <c r="BW7501" s="397"/>
      <c r="BX7501" s="397"/>
      <c r="BY7501" s="397"/>
      <c r="BZ7501" s="397"/>
      <c r="CA7501" s="392" t="s">
        <v>413</v>
      </c>
    </row>
    <row r="7502" spans="1:80" s="392" customFormat="1" ht="15" x14ac:dyDescent="0.25">
      <c r="A7502" s="385"/>
      <c r="D7502" s="700"/>
      <c r="E7502" s="397"/>
      <c r="H7502" s="401">
        <v>3</v>
      </c>
      <c r="I7502" s="401"/>
      <c r="J7502" s="401"/>
      <c r="K7502" s="401"/>
      <c r="L7502" s="675"/>
      <c r="M7502" s="672">
        <v>28709</v>
      </c>
      <c r="N7502" s="623">
        <v>2.4936242561632189E-2</v>
      </c>
      <c r="O7502" s="624">
        <v>3.1199999999999999E-4</v>
      </c>
      <c r="P7502" s="397"/>
      <c r="Q7502" s="397"/>
      <c r="R7502" s="397"/>
      <c r="S7502" s="397"/>
      <c r="T7502" s="397"/>
      <c r="U7502" s="397"/>
      <c r="V7502" s="397"/>
      <c r="W7502" s="397"/>
      <c r="X7502" s="397"/>
      <c r="Y7502" s="397"/>
      <c r="Z7502" s="397"/>
      <c r="AD7502" s="388">
        <v>1.18872</v>
      </c>
      <c r="AE7502" s="388">
        <v>4.8768000000000006E-2</v>
      </c>
      <c r="AF7502" s="388">
        <v>5.7971496960000007E-2</v>
      </c>
      <c r="AG7502" s="388">
        <v>0.45720000000000005</v>
      </c>
      <c r="AH7502" s="391"/>
      <c r="AI7502" s="397"/>
      <c r="AJ7502" s="397"/>
      <c r="AU7502" s="397"/>
      <c r="AV7502" s="397"/>
      <c r="AW7502" s="397"/>
      <c r="AX7502" s="397"/>
      <c r="BI7502" s="397"/>
      <c r="BJ7502" s="397"/>
      <c r="BK7502" s="397"/>
      <c r="BL7502" s="397"/>
      <c r="BM7502" s="397"/>
      <c r="BN7502" s="397"/>
      <c r="BO7502" s="397"/>
      <c r="BP7502" s="397"/>
      <c r="BQ7502" s="397"/>
      <c r="BR7502" s="397"/>
      <c r="BS7502" s="397"/>
      <c r="BT7502" s="397"/>
      <c r="BU7502" s="397"/>
      <c r="BV7502" s="397"/>
      <c r="BW7502" s="397"/>
      <c r="BX7502" s="397"/>
      <c r="BY7502" s="397"/>
      <c r="BZ7502" s="397"/>
      <c r="CA7502" s="392" t="s">
        <v>413</v>
      </c>
    </row>
    <row r="7503" spans="1:80" s="392" customFormat="1" ht="15" x14ac:dyDescent="0.25">
      <c r="A7503" s="385"/>
      <c r="D7503" s="700"/>
      <c r="E7503" s="397"/>
      <c r="H7503" s="401">
        <v>3</v>
      </c>
      <c r="I7503" s="401"/>
      <c r="J7503" s="401"/>
      <c r="K7503" s="401"/>
      <c r="L7503" s="675"/>
      <c r="M7503" s="672">
        <v>28711</v>
      </c>
      <c r="N7503" s="623">
        <v>2.5502975347123834E-2</v>
      </c>
      <c r="O7503" s="624" t="s">
        <v>71</v>
      </c>
      <c r="P7503" s="397"/>
      <c r="Q7503" s="397"/>
      <c r="R7503" s="397"/>
      <c r="S7503" s="397"/>
      <c r="T7503" s="397"/>
      <c r="U7503" s="397"/>
      <c r="V7503" s="397"/>
      <c r="W7503" s="397"/>
      <c r="X7503" s="397"/>
      <c r="Y7503" s="397"/>
      <c r="Z7503" s="397"/>
      <c r="AD7503" s="388">
        <v>1.2801600000000002</v>
      </c>
      <c r="AE7503" s="388">
        <v>3.6575999999999997E-2</v>
      </c>
      <c r="AF7503" s="388">
        <v>4.6823132160000003E-2</v>
      </c>
      <c r="AG7503" s="388">
        <v>0.45720000000000005</v>
      </c>
      <c r="AH7503" s="391"/>
      <c r="AI7503" s="397"/>
      <c r="AJ7503" s="397"/>
      <c r="AU7503" s="397"/>
      <c r="AV7503" s="397"/>
      <c r="AW7503" s="397"/>
      <c r="AX7503" s="397"/>
      <c r="BI7503" s="397"/>
      <c r="BJ7503" s="397"/>
      <c r="BK7503" s="397"/>
      <c r="BL7503" s="397"/>
      <c r="BM7503" s="397"/>
      <c r="BN7503" s="397"/>
      <c r="BO7503" s="397"/>
      <c r="BP7503" s="397"/>
      <c r="BQ7503" s="397"/>
      <c r="BR7503" s="397"/>
      <c r="BS7503" s="397"/>
      <c r="BT7503" s="397"/>
      <c r="BU7503" s="397"/>
      <c r="BV7503" s="397"/>
      <c r="BW7503" s="397"/>
      <c r="BX7503" s="397"/>
      <c r="BY7503" s="397"/>
      <c r="BZ7503" s="397"/>
      <c r="CA7503" s="392" t="s">
        <v>413</v>
      </c>
    </row>
    <row r="7504" spans="1:80" s="392" customFormat="1" ht="15" x14ac:dyDescent="0.25">
      <c r="A7504" s="385"/>
      <c r="D7504" s="700"/>
      <c r="E7504" s="397"/>
      <c r="H7504" s="401">
        <v>3</v>
      </c>
      <c r="I7504" s="401"/>
      <c r="J7504" s="401"/>
      <c r="K7504" s="401"/>
      <c r="L7504" s="675"/>
      <c r="M7504" s="672">
        <v>28717</v>
      </c>
      <c r="N7504" s="623">
        <v>2.5219608954378012E-2</v>
      </c>
      <c r="O7504" s="624">
        <v>3.8266666666666663E-4</v>
      </c>
      <c r="P7504" s="397"/>
      <c r="Q7504" s="397"/>
      <c r="R7504" s="397"/>
      <c r="S7504" s="397"/>
      <c r="T7504" s="397"/>
      <c r="U7504" s="397"/>
      <c r="V7504" s="397"/>
      <c r="W7504" s="397"/>
      <c r="X7504" s="397"/>
      <c r="Y7504" s="397"/>
      <c r="Z7504" s="397"/>
      <c r="AD7504" s="388">
        <v>1.2496799999999999</v>
      </c>
      <c r="AE7504" s="388">
        <v>3.6575999999999997E-2</v>
      </c>
      <c r="AF7504" s="388">
        <v>4.570829567999999E-2</v>
      </c>
      <c r="AG7504" s="388">
        <v>0.51816000000000006</v>
      </c>
      <c r="AH7504" s="391"/>
      <c r="AI7504" s="397"/>
      <c r="AJ7504" s="397"/>
      <c r="AU7504" s="397"/>
      <c r="AV7504" s="397"/>
      <c r="AW7504" s="397"/>
      <c r="AX7504" s="397"/>
      <c r="BI7504" s="397"/>
      <c r="BJ7504" s="397"/>
      <c r="BK7504" s="397"/>
      <c r="BL7504" s="397"/>
      <c r="BM7504" s="397"/>
      <c r="BN7504" s="397"/>
      <c r="BO7504" s="397"/>
      <c r="BP7504" s="397"/>
      <c r="BQ7504" s="397"/>
      <c r="BR7504" s="397"/>
      <c r="BS7504" s="397"/>
      <c r="BT7504" s="397"/>
      <c r="BU7504" s="397"/>
      <c r="BV7504" s="397"/>
      <c r="BW7504" s="397"/>
      <c r="BX7504" s="397"/>
      <c r="BY7504" s="397"/>
      <c r="BZ7504" s="397"/>
      <c r="CA7504" s="392" t="s">
        <v>413</v>
      </c>
    </row>
    <row r="7505" spans="1:80" s="392" customFormat="1" ht="15" x14ac:dyDescent="0.25">
      <c r="A7505" s="385"/>
      <c r="D7505" s="700"/>
      <c r="E7505" s="397"/>
      <c r="H7505" s="401">
        <v>3</v>
      </c>
      <c r="I7505" s="401"/>
      <c r="J7505" s="401"/>
      <c r="K7505" s="401"/>
      <c r="L7505" s="675"/>
      <c r="M7505" s="672">
        <v>28723</v>
      </c>
      <c r="N7505" s="623">
        <v>1.9552281099461603E-2</v>
      </c>
      <c r="O7505" s="624" t="s">
        <v>71</v>
      </c>
      <c r="P7505" s="397"/>
      <c r="Q7505" s="397"/>
      <c r="R7505" s="397"/>
      <c r="S7505" s="397"/>
      <c r="T7505" s="397"/>
      <c r="U7505" s="397"/>
      <c r="V7505" s="397"/>
      <c r="W7505" s="397"/>
      <c r="X7505" s="397"/>
      <c r="Y7505" s="397"/>
      <c r="Z7505" s="397"/>
      <c r="AD7505" s="388">
        <v>1.18872</v>
      </c>
      <c r="AE7505" s="388">
        <v>3.0480000000000004E-2</v>
      </c>
      <c r="AF7505" s="388">
        <v>3.6232185600000001E-2</v>
      </c>
      <c r="AG7505" s="388">
        <v>0.51816000000000006</v>
      </c>
      <c r="AH7505" s="391"/>
      <c r="AI7505" s="397"/>
      <c r="AJ7505" s="397"/>
      <c r="AU7505" s="397"/>
      <c r="AV7505" s="397"/>
      <c r="AW7505" s="397"/>
      <c r="AX7505" s="397"/>
      <c r="BI7505" s="397"/>
      <c r="BJ7505" s="397"/>
      <c r="BK7505" s="397"/>
      <c r="BL7505" s="397"/>
      <c r="BM7505" s="397"/>
      <c r="BN7505" s="397"/>
      <c r="BO7505" s="397"/>
      <c r="BP7505" s="397"/>
      <c r="BQ7505" s="397"/>
      <c r="BR7505" s="397"/>
      <c r="BS7505" s="397"/>
      <c r="BT7505" s="397"/>
      <c r="BU7505" s="397"/>
      <c r="BV7505" s="397"/>
      <c r="BW7505" s="397"/>
      <c r="BX7505" s="397"/>
      <c r="BY7505" s="397"/>
      <c r="BZ7505" s="397"/>
      <c r="CA7505" s="392" t="s">
        <v>413</v>
      </c>
    </row>
    <row r="7506" spans="1:80" s="392" customFormat="1" ht="15" x14ac:dyDescent="0.25">
      <c r="A7506" s="385"/>
      <c r="D7506" s="700"/>
      <c r="E7506" s="397"/>
      <c r="H7506" s="401">
        <v>3</v>
      </c>
      <c r="I7506" s="401"/>
      <c r="J7506" s="401"/>
      <c r="K7506" s="401"/>
      <c r="L7506" s="675"/>
      <c r="M7506" s="672">
        <v>28730</v>
      </c>
      <c r="N7506" s="623">
        <v>1.2184754888070274E-2</v>
      </c>
      <c r="O7506" s="624">
        <v>2.9466666666666671E-4</v>
      </c>
      <c r="P7506" s="397"/>
      <c r="Q7506" s="397"/>
      <c r="R7506" s="397"/>
      <c r="S7506" s="397"/>
      <c r="T7506" s="397"/>
      <c r="U7506" s="397"/>
      <c r="V7506" s="397"/>
      <c r="W7506" s="397"/>
      <c r="X7506" s="397"/>
      <c r="Y7506" s="397"/>
      <c r="Z7506" s="397"/>
      <c r="AD7506" s="388">
        <v>1.0363200000000001</v>
      </c>
      <c r="AE7506" s="388">
        <v>3.6575999999999997E-2</v>
      </c>
      <c r="AF7506" s="388">
        <v>3.7904440320000003E-2</v>
      </c>
      <c r="AG7506" s="388">
        <v>0.30480000000000002</v>
      </c>
      <c r="AH7506" s="391"/>
      <c r="AI7506" s="397"/>
      <c r="AJ7506" s="397"/>
      <c r="AU7506" s="397"/>
      <c r="AV7506" s="397"/>
      <c r="AW7506" s="397"/>
      <c r="AX7506" s="397"/>
      <c r="BI7506" s="397"/>
      <c r="BJ7506" s="397"/>
      <c r="BK7506" s="397"/>
      <c r="BL7506" s="397"/>
      <c r="BM7506" s="397"/>
      <c r="BN7506" s="397"/>
      <c r="BO7506" s="397"/>
      <c r="BP7506" s="397"/>
      <c r="BQ7506" s="397"/>
      <c r="BR7506" s="397"/>
      <c r="BS7506" s="397"/>
      <c r="BT7506" s="397"/>
      <c r="BU7506" s="397"/>
      <c r="BV7506" s="397"/>
      <c r="BW7506" s="397"/>
      <c r="BX7506" s="397"/>
      <c r="BY7506" s="397"/>
      <c r="BZ7506" s="397"/>
      <c r="CA7506" s="392" t="s">
        <v>413</v>
      </c>
    </row>
    <row r="7507" spans="1:80" s="392" customFormat="1" ht="15" x14ac:dyDescent="0.25">
      <c r="A7507" s="385"/>
      <c r="D7507" s="700"/>
      <c r="E7507" s="397"/>
      <c r="H7507" s="401">
        <v>3</v>
      </c>
      <c r="I7507" s="401"/>
      <c r="J7507" s="401"/>
      <c r="K7507" s="401"/>
      <c r="L7507" s="675"/>
      <c r="M7507" s="672">
        <v>28744</v>
      </c>
      <c r="N7507" s="623">
        <v>1.0767922924341174E-2</v>
      </c>
      <c r="O7507" s="624" t="s">
        <v>71</v>
      </c>
      <c r="P7507" s="397"/>
      <c r="Q7507" s="397"/>
      <c r="R7507" s="397"/>
      <c r="S7507" s="397"/>
      <c r="T7507" s="397"/>
      <c r="U7507" s="397"/>
      <c r="V7507" s="397"/>
      <c r="W7507" s="397"/>
      <c r="X7507" s="397"/>
      <c r="Y7507" s="397"/>
      <c r="Z7507" s="397"/>
      <c r="AD7507" s="388">
        <v>1.0058400000000001</v>
      </c>
      <c r="AE7507" s="388">
        <v>3.6575999999999997E-2</v>
      </c>
      <c r="AF7507" s="388">
        <v>3.6789603839999997E-2</v>
      </c>
      <c r="AG7507" s="388">
        <v>0.30480000000000002</v>
      </c>
      <c r="AH7507" s="391"/>
      <c r="AI7507" s="397"/>
      <c r="AJ7507" s="397"/>
      <c r="AU7507" s="397"/>
      <c r="AV7507" s="397"/>
      <c r="AW7507" s="397"/>
      <c r="AX7507" s="397"/>
      <c r="BI7507" s="397"/>
      <c r="BJ7507" s="397"/>
      <c r="BK7507" s="397"/>
      <c r="BL7507" s="397"/>
      <c r="BM7507" s="397"/>
      <c r="BN7507" s="397"/>
      <c r="BO7507" s="397"/>
      <c r="BP7507" s="397"/>
      <c r="BQ7507" s="397"/>
      <c r="BR7507" s="397"/>
      <c r="BS7507" s="397"/>
      <c r="BT7507" s="397"/>
      <c r="BU7507" s="397"/>
      <c r="BV7507" s="397"/>
      <c r="BW7507" s="397"/>
      <c r="BX7507" s="397"/>
      <c r="BY7507" s="397"/>
      <c r="BZ7507" s="397"/>
      <c r="CA7507" s="392" t="s">
        <v>413</v>
      </c>
    </row>
    <row r="7508" spans="1:80" s="392" customFormat="1" ht="15" x14ac:dyDescent="0.25">
      <c r="A7508" s="385"/>
      <c r="D7508" s="700"/>
      <c r="E7508" s="397"/>
      <c r="H7508" s="401">
        <v>3</v>
      </c>
      <c r="I7508" s="401"/>
      <c r="J7508" s="401"/>
      <c r="K7508" s="401"/>
      <c r="L7508" s="675"/>
      <c r="M7508" s="672">
        <v>29026</v>
      </c>
      <c r="N7508" s="623">
        <v>0.16095211107962595</v>
      </c>
      <c r="O7508" s="624">
        <v>4.2986666666666668E-3</v>
      </c>
      <c r="P7508" s="397"/>
      <c r="Q7508" s="397"/>
      <c r="R7508" s="397"/>
      <c r="S7508" s="397"/>
      <c r="T7508" s="397"/>
      <c r="U7508" s="397"/>
      <c r="V7508" s="397"/>
      <c r="W7508" s="397"/>
      <c r="X7508" s="397"/>
      <c r="Y7508" s="397"/>
      <c r="Z7508" s="397"/>
      <c r="AD7508" s="388">
        <v>1.5849600000000001</v>
      </c>
      <c r="AE7508" s="388">
        <v>0.13106400000000001</v>
      </c>
      <c r="AF7508" s="388">
        <v>0.20773119744000004</v>
      </c>
      <c r="AG7508" s="388">
        <v>0.76200000000000001</v>
      </c>
      <c r="AH7508" s="391"/>
      <c r="AI7508" s="397"/>
      <c r="AJ7508" s="397"/>
      <c r="AU7508" s="397"/>
      <c r="AV7508" s="397"/>
      <c r="AW7508" s="397"/>
      <c r="AX7508" s="397"/>
      <c r="BI7508" s="397"/>
      <c r="BJ7508" s="397"/>
      <c r="BK7508" s="397"/>
      <c r="BL7508" s="397"/>
      <c r="BM7508" s="397"/>
      <c r="BN7508" s="397"/>
      <c r="BO7508" s="397"/>
      <c r="BP7508" s="397"/>
      <c r="BQ7508" s="397"/>
      <c r="BR7508" s="397"/>
      <c r="BS7508" s="397"/>
      <c r="BT7508" s="397"/>
      <c r="BU7508" s="397"/>
      <c r="BV7508" s="397"/>
      <c r="BW7508" s="397"/>
      <c r="BX7508" s="397"/>
      <c r="BY7508" s="397"/>
      <c r="BZ7508" s="397"/>
      <c r="CA7508" s="392" t="s">
        <v>413</v>
      </c>
    </row>
    <row r="7509" spans="1:80" s="392" customFormat="1" ht="15" x14ac:dyDescent="0.25">
      <c r="A7509" s="385"/>
      <c r="D7509" s="700"/>
      <c r="E7509" s="397"/>
      <c r="H7509" s="401">
        <v>3</v>
      </c>
      <c r="I7509" s="401"/>
      <c r="J7509" s="401"/>
      <c r="K7509" s="401"/>
      <c r="L7509" s="675"/>
      <c r="M7509" s="672">
        <v>29032</v>
      </c>
      <c r="N7509" s="623">
        <v>0.1657693397563049</v>
      </c>
      <c r="O7509" s="624">
        <v>1.7207333333333333E-3</v>
      </c>
      <c r="P7509" s="397"/>
      <c r="Q7509" s="397"/>
      <c r="R7509" s="397"/>
      <c r="S7509" s="397"/>
      <c r="T7509" s="397"/>
      <c r="U7509" s="397"/>
      <c r="V7509" s="397"/>
      <c r="W7509" s="397"/>
      <c r="X7509" s="397"/>
      <c r="Y7509" s="397"/>
      <c r="Z7509" s="397"/>
      <c r="AD7509" s="388">
        <v>1.61544</v>
      </c>
      <c r="AE7509" s="388">
        <v>0.14630399999999999</v>
      </c>
      <c r="AF7509" s="388">
        <v>0.23634533375999997</v>
      </c>
      <c r="AG7509" s="388">
        <v>0.73152000000000006</v>
      </c>
      <c r="AH7509" s="391"/>
      <c r="AI7509" s="397"/>
      <c r="AJ7509" s="397"/>
      <c r="AU7509" s="397"/>
      <c r="AV7509" s="397"/>
      <c r="AW7509" s="397"/>
      <c r="AX7509" s="397"/>
      <c r="BI7509" s="397"/>
      <c r="BJ7509" s="397"/>
      <c r="BK7509" s="397"/>
      <c r="BL7509" s="397"/>
      <c r="BM7509" s="397"/>
      <c r="BN7509" s="397"/>
      <c r="BO7509" s="397"/>
      <c r="BP7509" s="397"/>
      <c r="BQ7509" s="397"/>
      <c r="BR7509" s="397"/>
      <c r="BS7509" s="397"/>
      <c r="BT7509" s="397"/>
      <c r="BU7509" s="397"/>
      <c r="BV7509" s="397"/>
      <c r="BW7509" s="397"/>
      <c r="BX7509" s="397"/>
      <c r="BY7509" s="397"/>
      <c r="BZ7509" s="397"/>
      <c r="CA7509" s="392" t="s">
        <v>413</v>
      </c>
    </row>
    <row r="7510" spans="1:80" s="392" customFormat="1" ht="15" x14ac:dyDescent="0.25">
      <c r="A7510" s="385"/>
      <c r="D7510" s="700"/>
      <c r="E7510" s="397"/>
      <c r="H7510" s="401">
        <v>3</v>
      </c>
      <c r="I7510" s="401"/>
      <c r="J7510" s="401"/>
      <c r="K7510" s="401"/>
      <c r="L7510" s="675"/>
      <c r="M7510" s="672">
        <v>29041</v>
      </c>
      <c r="N7510" s="623">
        <v>0.14139982998016437</v>
      </c>
      <c r="O7510" s="624">
        <v>2.6104000000000001E-3</v>
      </c>
      <c r="P7510" s="397"/>
      <c r="Q7510" s="397"/>
      <c r="R7510" s="397"/>
      <c r="S7510" s="397"/>
      <c r="T7510" s="397"/>
      <c r="U7510" s="397"/>
      <c r="V7510" s="397"/>
      <c r="W7510" s="397"/>
      <c r="X7510" s="397"/>
      <c r="Y7510" s="397"/>
      <c r="Z7510" s="397"/>
      <c r="AD7510" s="388">
        <v>1.5849600000000001</v>
      </c>
      <c r="AE7510" s="388"/>
      <c r="AF7510" s="388"/>
      <c r="AG7510" s="388"/>
      <c r="AH7510" s="391"/>
      <c r="AI7510" s="397"/>
      <c r="AJ7510" s="397"/>
      <c r="AU7510" s="397"/>
      <c r="AV7510" s="397"/>
      <c r="AW7510" s="397"/>
      <c r="AX7510" s="397"/>
      <c r="BI7510" s="397"/>
      <c r="BJ7510" s="397"/>
      <c r="BK7510" s="397"/>
      <c r="BL7510" s="397"/>
      <c r="BM7510" s="397"/>
      <c r="BN7510" s="397"/>
      <c r="BO7510" s="397"/>
      <c r="BP7510" s="397"/>
      <c r="BQ7510" s="397"/>
      <c r="BR7510" s="397"/>
      <c r="BS7510" s="397"/>
      <c r="BT7510" s="397"/>
      <c r="BU7510" s="397"/>
      <c r="BV7510" s="397"/>
      <c r="BW7510" s="397"/>
      <c r="BX7510" s="397"/>
      <c r="BY7510" s="397"/>
      <c r="BZ7510" s="397"/>
      <c r="CA7510" s="392" t="s">
        <v>413</v>
      </c>
    </row>
    <row r="7511" spans="1:80" s="392" customFormat="1" ht="15" x14ac:dyDescent="0.25">
      <c r="A7511" s="385"/>
      <c r="D7511" s="700"/>
      <c r="E7511" s="397"/>
      <c r="H7511" s="401">
        <v>3</v>
      </c>
      <c r="I7511" s="401"/>
      <c r="J7511" s="401"/>
      <c r="K7511" s="401"/>
      <c r="L7511" s="675"/>
      <c r="M7511" s="672">
        <v>29046</v>
      </c>
      <c r="N7511" s="623">
        <v>0.10456219892320771</v>
      </c>
      <c r="O7511" s="624">
        <v>2.6264000000000001E-3</v>
      </c>
      <c r="P7511" s="397"/>
      <c r="Q7511" s="397"/>
      <c r="R7511" s="397"/>
      <c r="S7511" s="397"/>
      <c r="T7511" s="397"/>
      <c r="U7511" s="397"/>
      <c r="V7511" s="397"/>
      <c r="W7511" s="397"/>
      <c r="X7511" s="397"/>
      <c r="Y7511" s="397"/>
      <c r="Z7511" s="397"/>
      <c r="AD7511" s="388">
        <v>1.4935200000000002</v>
      </c>
      <c r="AE7511" s="388"/>
      <c r="AF7511" s="388"/>
      <c r="AG7511" s="388"/>
      <c r="AH7511" s="391"/>
      <c r="AI7511" s="397"/>
      <c r="AJ7511" s="397"/>
      <c r="AU7511" s="397"/>
      <c r="AV7511" s="397"/>
      <c r="AW7511" s="397"/>
      <c r="AX7511" s="397"/>
      <c r="BI7511" s="397"/>
      <c r="BJ7511" s="397"/>
      <c r="BK7511" s="397"/>
      <c r="BL7511" s="397"/>
      <c r="BM7511" s="397"/>
      <c r="BN7511" s="397"/>
      <c r="BO7511" s="397"/>
      <c r="BP7511" s="397"/>
      <c r="BQ7511" s="397"/>
      <c r="BR7511" s="397"/>
      <c r="BS7511" s="397"/>
      <c r="BT7511" s="397"/>
      <c r="BU7511" s="397"/>
      <c r="BV7511" s="397"/>
      <c r="BW7511" s="397"/>
      <c r="BX7511" s="397"/>
      <c r="BY7511" s="397"/>
      <c r="BZ7511" s="397"/>
      <c r="CA7511" s="392" t="s">
        <v>413</v>
      </c>
    </row>
    <row r="7512" spans="1:80" s="392" customFormat="1" ht="15" x14ac:dyDescent="0.25">
      <c r="A7512" s="385"/>
      <c r="D7512" s="700"/>
      <c r="E7512" s="397"/>
      <c r="H7512" s="401">
        <v>3</v>
      </c>
      <c r="I7512" s="401"/>
      <c r="J7512" s="401"/>
      <c r="K7512" s="401"/>
      <c r="L7512" s="675"/>
      <c r="M7512" s="672">
        <v>29054</v>
      </c>
      <c r="N7512" s="623">
        <v>7.3675262113913301E-2</v>
      </c>
      <c r="O7512" s="624">
        <v>1.1867999999999998E-3</v>
      </c>
      <c r="P7512" s="397"/>
      <c r="Q7512" s="397"/>
      <c r="R7512" s="397"/>
      <c r="S7512" s="397"/>
      <c r="T7512" s="397"/>
      <c r="U7512" s="397"/>
      <c r="V7512" s="397"/>
      <c r="W7512" s="397"/>
      <c r="X7512" s="397"/>
      <c r="Y7512" s="397"/>
      <c r="Z7512" s="397"/>
      <c r="AD7512" s="388">
        <v>1.40208</v>
      </c>
      <c r="AE7512" s="388"/>
      <c r="AF7512" s="388"/>
      <c r="AG7512" s="388"/>
      <c r="AH7512" s="391"/>
      <c r="AI7512" s="397"/>
      <c r="AJ7512" s="397"/>
      <c r="AU7512" s="397"/>
      <c r="AV7512" s="397"/>
      <c r="AW7512" s="397"/>
      <c r="AX7512" s="397"/>
      <c r="BI7512" s="397"/>
      <c r="BJ7512" s="397"/>
      <c r="BK7512" s="397"/>
      <c r="BL7512" s="397"/>
      <c r="BM7512" s="397"/>
      <c r="BN7512" s="397"/>
      <c r="BO7512" s="397"/>
      <c r="BP7512" s="397"/>
      <c r="BQ7512" s="397"/>
      <c r="BR7512" s="397"/>
      <c r="BS7512" s="397"/>
      <c r="BT7512" s="397"/>
      <c r="BU7512" s="397"/>
      <c r="BV7512" s="397"/>
      <c r="BW7512" s="397"/>
      <c r="BX7512" s="397"/>
      <c r="BY7512" s="397"/>
      <c r="BZ7512" s="397"/>
      <c r="CA7512" s="392" t="s">
        <v>413</v>
      </c>
    </row>
    <row r="7513" spans="1:80" s="189" customFormat="1" ht="15" x14ac:dyDescent="0.25">
      <c r="A7513" s="381" t="s">
        <v>478</v>
      </c>
      <c r="B7513" s="641"/>
      <c r="C7513" s="639"/>
      <c r="D7513" s="4">
        <f>VLOOKUP(E7513,'Quality Code'!$D$4:$E$24,2,TRUE)*VLOOKUP(MROUND(F7513,10),'Quality Code'!$D$28:$E$69,2,TRUE)*VLOOKUP(1,'Quality Code'!$D$73:$E$93,2,TRUE)</f>
        <v>0</v>
      </c>
      <c r="E7513" s="14">
        <v>0.3</v>
      </c>
      <c r="F7513" s="2">
        <v>1</v>
      </c>
      <c r="G7513" s="12"/>
      <c r="H7513" s="2" t="s">
        <v>105</v>
      </c>
      <c r="I7513" s="2"/>
      <c r="J7513" s="2"/>
      <c r="K7513" s="2"/>
      <c r="L7513" s="639"/>
      <c r="M7513" s="640">
        <v>1979</v>
      </c>
      <c r="N7513" s="578" t="s">
        <v>110</v>
      </c>
      <c r="O7513" s="578"/>
      <c r="P7513" s="26"/>
      <c r="Q7513" s="26"/>
      <c r="R7513" s="26"/>
      <c r="S7513" s="26"/>
      <c r="T7513" s="26"/>
      <c r="U7513" s="26"/>
      <c r="V7513" s="10"/>
      <c r="W7513" s="10"/>
      <c r="X7513" s="10"/>
      <c r="Y7513" s="10"/>
      <c r="Z7513" s="2"/>
      <c r="AA7513" s="26"/>
      <c r="AB7513" s="26"/>
      <c r="AC7513" s="377">
        <v>5.2999999999999999E-2</v>
      </c>
      <c r="AD7513" s="406"/>
      <c r="AE7513" s="26"/>
      <c r="AF7513" s="26"/>
      <c r="AG7513" s="26"/>
      <c r="AH7513" s="26"/>
      <c r="AI7513" s="4"/>
      <c r="AJ7513" s="4"/>
      <c r="AK7513" s="26"/>
      <c r="AL7513" s="26"/>
      <c r="AM7513" s="26"/>
      <c r="AN7513" s="26"/>
      <c r="AO7513" s="26"/>
      <c r="AP7513" s="26"/>
      <c r="AQ7513" s="26"/>
      <c r="AR7513" s="26"/>
      <c r="AS7513" s="26"/>
      <c r="AT7513" s="26"/>
      <c r="AU7513" s="4"/>
      <c r="AV7513" s="4"/>
      <c r="AW7513" s="4"/>
      <c r="AX7513" s="4"/>
      <c r="AY7513" s="2"/>
      <c r="AZ7513" s="2"/>
      <c r="BA7513" s="12"/>
      <c r="BB7513" s="12"/>
      <c r="BC7513" s="12"/>
      <c r="BD7513" s="12"/>
      <c r="BE7513" s="12"/>
      <c r="BF7513" s="12"/>
      <c r="BG7513" s="12"/>
      <c r="BH7513" s="12"/>
      <c r="BI7513" s="4"/>
      <c r="BJ7513" s="12"/>
      <c r="BK7513" s="2"/>
      <c r="BL7513" s="2"/>
      <c r="BM7513" s="4"/>
      <c r="BN7513" s="12"/>
      <c r="BO7513" s="12"/>
      <c r="BP7513" s="12"/>
      <c r="BQ7513" s="4"/>
      <c r="BR7513" s="4"/>
      <c r="BS7513" s="4"/>
      <c r="BT7513" s="2"/>
      <c r="BU7513" s="9"/>
      <c r="BV7513" s="381"/>
      <c r="BW7513" s="382"/>
      <c r="BX7513" s="383"/>
      <c r="BY7513" s="383"/>
      <c r="BZ7513" s="383"/>
      <c r="CA7513" s="384" t="s">
        <v>413</v>
      </c>
      <c r="CB7513" s="411"/>
    </row>
    <row r="7514" spans="1:80" s="392" customFormat="1" ht="15" x14ac:dyDescent="0.25">
      <c r="A7514" s="385"/>
      <c r="D7514" s="700"/>
      <c r="E7514" s="397"/>
      <c r="H7514" s="401">
        <v>3</v>
      </c>
      <c r="I7514" s="401"/>
      <c r="J7514" s="401"/>
      <c r="K7514" s="401"/>
      <c r="L7514" s="675"/>
      <c r="M7514" s="672">
        <v>28997</v>
      </c>
      <c r="N7514" s="623">
        <v>6.8291300651742715E-2</v>
      </c>
      <c r="O7514" s="624">
        <v>4.7294317333333328E-4</v>
      </c>
      <c r="P7514" s="397"/>
      <c r="Q7514" s="397"/>
      <c r="R7514" s="397"/>
      <c r="S7514" s="397"/>
      <c r="T7514" s="397"/>
      <c r="U7514" s="397"/>
      <c r="V7514" s="397"/>
      <c r="W7514" s="397"/>
      <c r="X7514" s="397"/>
      <c r="Y7514" s="397"/>
      <c r="Z7514" s="397"/>
      <c r="AD7514" s="388">
        <v>1.40208</v>
      </c>
      <c r="AE7514" s="388"/>
      <c r="AF7514" s="388"/>
      <c r="AG7514" s="388"/>
      <c r="AH7514" s="391"/>
      <c r="AI7514" s="397"/>
      <c r="AJ7514" s="397"/>
      <c r="AU7514" s="397"/>
      <c r="AV7514" s="397"/>
      <c r="AW7514" s="397"/>
      <c r="AX7514" s="397"/>
      <c r="BI7514" s="397"/>
      <c r="BJ7514" s="397"/>
      <c r="BK7514" s="397"/>
      <c r="BL7514" s="397"/>
      <c r="BM7514" s="397"/>
      <c r="BN7514" s="397"/>
      <c r="BO7514" s="397"/>
      <c r="BP7514" s="397"/>
      <c r="BQ7514" s="397"/>
      <c r="BR7514" s="397"/>
      <c r="BS7514" s="397"/>
      <c r="BT7514" s="397"/>
      <c r="BU7514" s="397"/>
      <c r="BV7514" s="397"/>
      <c r="BW7514" s="397"/>
      <c r="BX7514" s="397"/>
      <c r="BY7514" s="397"/>
      <c r="BZ7514" s="397"/>
      <c r="CA7514" s="392" t="s">
        <v>413</v>
      </c>
    </row>
    <row r="7515" spans="1:80" s="189" customFormat="1" ht="15" x14ac:dyDescent="0.25">
      <c r="A7515" s="381" t="s">
        <v>479</v>
      </c>
      <c r="B7515" s="641"/>
      <c r="C7515" s="639"/>
      <c r="D7515" s="4">
        <f>VLOOKUP(E7515,'Quality Code'!$D$4:$E$24,2,TRUE)*VLOOKUP(MROUND(F7515,10),'Quality Code'!$D$28:$E$69,2,TRUE)*VLOOKUP(COUNTA(CB7515:CB7525),'Quality Code'!$D$73:$E$93,2,TRUE)</f>
        <v>8.7499999999999994E-2</v>
      </c>
      <c r="E7515" s="14">
        <v>0.35</v>
      </c>
      <c r="F7515" s="2">
        <v>10</v>
      </c>
      <c r="G7515" s="12"/>
      <c r="H7515" s="2" t="s">
        <v>105</v>
      </c>
      <c r="I7515" s="2"/>
      <c r="J7515" s="2"/>
      <c r="K7515" s="2"/>
      <c r="L7515" s="639"/>
      <c r="M7515" s="640">
        <v>1979</v>
      </c>
      <c r="N7515" s="578" t="s">
        <v>110</v>
      </c>
      <c r="O7515" s="578"/>
      <c r="P7515" s="26"/>
      <c r="Q7515" s="26"/>
      <c r="R7515" s="26"/>
      <c r="S7515" s="26"/>
      <c r="T7515" s="26"/>
      <c r="U7515" s="26"/>
      <c r="V7515" s="10"/>
      <c r="W7515" s="10"/>
      <c r="X7515" s="10"/>
      <c r="Y7515" s="10"/>
      <c r="Z7515" s="2"/>
      <c r="AA7515" s="26"/>
      <c r="AB7515" s="26"/>
      <c r="AC7515" s="377">
        <v>4.5999999999999999E-2</v>
      </c>
      <c r="AD7515" s="406"/>
      <c r="AE7515" s="26"/>
      <c r="AF7515" s="26"/>
      <c r="AG7515" s="26"/>
      <c r="AH7515" s="26"/>
      <c r="AI7515" s="4"/>
      <c r="AJ7515" s="4"/>
      <c r="AK7515" s="26"/>
      <c r="AL7515" s="26"/>
      <c r="AM7515" s="26"/>
      <c r="AN7515" s="26"/>
      <c r="AO7515" s="26"/>
      <c r="AP7515" s="26"/>
      <c r="AQ7515" s="26"/>
      <c r="AR7515" s="26"/>
      <c r="AS7515" s="26"/>
      <c r="AT7515" s="26"/>
      <c r="AU7515" s="4"/>
      <c r="AV7515" s="4"/>
      <c r="AW7515" s="4"/>
      <c r="AX7515" s="4"/>
      <c r="AY7515" s="2"/>
      <c r="AZ7515" s="2"/>
      <c r="BA7515" s="12"/>
      <c r="BB7515" s="12"/>
      <c r="BC7515" s="12"/>
      <c r="BD7515" s="12"/>
      <c r="BE7515" s="12"/>
      <c r="BF7515" s="12"/>
      <c r="BG7515" s="12"/>
      <c r="BH7515" s="12"/>
      <c r="BI7515" s="4"/>
      <c r="BJ7515" s="12"/>
      <c r="BK7515" s="2"/>
      <c r="BL7515" s="2"/>
      <c r="BM7515" s="4"/>
      <c r="BN7515" s="12"/>
      <c r="BO7515" s="12"/>
      <c r="BP7515" s="12"/>
      <c r="BQ7515" s="4"/>
      <c r="BR7515" s="4"/>
      <c r="BS7515" s="4"/>
      <c r="BT7515" s="2"/>
      <c r="BU7515" s="9"/>
      <c r="BV7515" s="381"/>
      <c r="BW7515" s="382"/>
      <c r="BX7515" s="383"/>
      <c r="BY7515" s="383"/>
      <c r="BZ7515" s="383"/>
      <c r="CA7515" s="384" t="s">
        <v>413</v>
      </c>
      <c r="CB7515" s="411"/>
    </row>
    <row r="7516" spans="1:80" s="392" customFormat="1" ht="15" x14ac:dyDescent="0.25">
      <c r="A7516" s="385"/>
      <c r="D7516" s="700"/>
      <c r="E7516" s="397"/>
      <c r="H7516" s="401">
        <v>3</v>
      </c>
      <c r="I7516" s="401"/>
      <c r="J7516" s="401"/>
      <c r="K7516" s="401"/>
      <c r="L7516" s="675"/>
      <c r="M7516" s="672">
        <v>29013</v>
      </c>
      <c r="N7516" s="623">
        <v>2.0255029753471239</v>
      </c>
      <c r="O7516" s="624">
        <v>4.4509599999999996E-2</v>
      </c>
      <c r="P7516" s="397"/>
      <c r="Q7516" s="397"/>
      <c r="R7516" s="397"/>
      <c r="S7516" s="397"/>
      <c r="T7516" s="397"/>
      <c r="U7516" s="397"/>
      <c r="V7516" s="397"/>
      <c r="W7516" s="397"/>
      <c r="X7516" s="397"/>
      <c r="Y7516" s="397"/>
      <c r="Z7516" s="397"/>
      <c r="AD7516" s="388">
        <v>7.1932800000000006</v>
      </c>
      <c r="AE7516" s="388">
        <v>0.30175200000000002</v>
      </c>
      <c r="AF7516" s="388">
        <v>2.1705866265600005</v>
      </c>
      <c r="AG7516" s="388">
        <v>0.76200000000000001</v>
      </c>
      <c r="AH7516" s="391"/>
      <c r="AI7516" s="397"/>
      <c r="AJ7516" s="397"/>
      <c r="AU7516" s="397"/>
      <c r="AV7516" s="397"/>
      <c r="AW7516" s="397"/>
      <c r="AX7516" s="397"/>
      <c r="BI7516" s="397"/>
      <c r="BJ7516" s="397"/>
      <c r="BK7516" s="397"/>
      <c r="BL7516" s="397"/>
      <c r="BM7516" s="397"/>
      <c r="BN7516" s="397"/>
      <c r="BO7516" s="397"/>
      <c r="BP7516" s="397"/>
      <c r="BQ7516" s="397"/>
      <c r="BR7516" s="397"/>
      <c r="BS7516" s="397"/>
      <c r="BT7516" s="397"/>
      <c r="BU7516" s="397"/>
      <c r="BV7516" s="397"/>
      <c r="BW7516" s="397"/>
      <c r="BX7516" s="397"/>
      <c r="BY7516" s="397"/>
      <c r="BZ7516" s="397"/>
      <c r="CA7516" s="392" t="s">
        <v>413</v>
      </c>
    </row>
    <row r="7517" spans="1:80" s="392" customFormat="1" ht="15" x14ac:dyDescent="0.25">
      <c r="A7517" s="385"/>
      <c r="D7517" s="700"/>
      <c r="E7517" s="397"/>
      <c r="H7517" s="401">
        <v>3</v>
      </c>
      <c r="I7517" s="401"/>
      <c r="J7517" s="401"/>
      <c r="K7517" s="401"/>
      <c r="L7517" s="675"/>
      <c r="M7517" s="672">
        <v>29020</v>
      </c>
      <c r="N7517" s="623">
        <v>3.0850099178237462</v>
      </c>
      <c r="O7517" s="624">
        <v>2.377446666666666E-2</v>
      </c>
      <c r="P7517" s="397"/>
      <c r="Q7517" s="397"/>
      <c r="R7517" s="397"/>
      <c r="S7517" s="397"/>
      <c r="T7517" s="397"/>
      <c r="U7517" s="397"/>
      <c r="V7517" s="397"/>
      <c r="W7517" s="397"/>
      <c r="X7517" s="397"/>
      <c r="Y7517" s="397"/>
      <c r="Z7517" s="397"/>
      <c r="AD7517" s="388">
        <v>6.9189600000000002</v>
      </c>
      <c r="AE7517" s="388">
        <v>0.34137600000000007</v>
      </c>
      <c r="AF7517" s="388">
        <v>2.3619668889600005</v>
      </c>
      <c r="AG7517" s="388">
        <v>1.1277600000000001</v>
      </c>
      <c r="AH7517" s="391"/>
      <c r="AI7517" s="397"/>
      <c r="AJ7517" s="397"/>
      <c r="AU7517" s="397"/>
      <c r="AV7517" s="397"/>
      <c r="AW7517" s="397"/>
      <c r="AX7517" s="397"/>
      <c r="BI7517" s="397"/>
      <c r="BJ7517" s="397"/>
      <c r="BK7517" s="397"/>
      <c r="BL7517" s="397"/>
      <c r="BM7517" s="397"/>
      <c r="BN7517" s="397"/>
      <c r="BO7517" s="397"/>
      <c r="BP7517" s="397"/>
      <c r="BQ7517" s="397"/>
      <c r="BR7517" s="397"/>
      <c r="BS7517" s="397"/>
      <c r="BT7517" s="397"/>
      <c r="BU7517" s="397"/>
      <c r="BV7517" s="397"/>
      <c r="BW7517" s="397"/>
      <c r="BX7517" s="397"/>
      <c r="BY7517" s="397"/>
      <c r="BZ7517" s="397"/>
      <c r="CA7517" s="392" t="s">
        <v>413</v>
      </c>
    </row>
    <row r="7518" spans="1:80" s="392" customFormat="1" ht="15" x14ac:dyDescent="0.25">
      <c r="A7518" s="385"/>
      <c r="D7518" s="700"/>
      <c r="E7518" s="397"/>
      <c r="H7518" s="401">
        <v>3</v>
      </c>
      <c r="I7518" s="401"/>
      <c r="J7518" s="401"/>
      <c r="K7518" s="401"/>
      <c r="L7518" s="675"/>
      <c r="M7518" s="672">
        <v>29028</v>
      </c>
      <c r="N7518" s="623">
        <v>2.4890903938792861</v>
      </c>
      <c r="O7518" s="624">
        <v>2.02484E-2</v>
      </c>
      <c r="P7518" s="397"/>
      <c r="Q7518" s="397"/>
      <c r="R7518" s="397"/>
      <c r="S7518" s="397"/>
      <c r="T7518" s="397"/>
      <c r="U7518" s="397"/>
      <c r="V7518" s="397"/>
      <c r="W7518" s="397"/>
      <c r="X7518" s="397"/>
      <c r="Y7518" s="397"/>
      <c r="Z7518" s="397"/>
      <c r="AD7518" s="388">
        <v>6.7970400000000009</v>
      </c>
      <c r="AE7518" s="388">
        <v>0.30175200000000002</v>
      </c>
      <c r="AF7518" s="388">
        <v>2.0510204140800004</v>
      </c>
      <c r="AG7518" s="388">
        <v>1.0363200000000001</v>
      </c>
      <c r="AH7518" s="391"/>
      <c r="AI7518" s="397"/>
      <c r="AJ7518" s="397"/>
      <c r="AU7518" s="397"/>
      <c r="AV7518" s="397"/>
      <c r="AW7518" s="397"/>
      <c r="AX7518" s="397"/>
      <c r="BI7518" s="397"/>
      <c r="BJ7518" s="397"/>
      <c r="BK7518" s="397"/>
      <c r="BL7518" s="397"/>
      <c r="BM7518" s="397"/>
      <c r="BN7518" s="397"/>
      <c r="BO7518" s="397"/>
      <c r="BP7518" s="397"/>
      <c r="BQ7518" s="397"/>
      <c r="BR7518" s="397"/>
      <c r="BS7518" s="397"/>
      <c r="BT7518" s="397"/>
      <c r="BU7518" s="397"/>
      <c r="BV7518" s="397"/>
      <c r="BW7518" s="397"/>
      <c r="BX7518" s="397"/>
      <c r="BY7518" s="397"/>
      <c r="BZ7518" s="397"/>
      <c r="CA7518" s="392" t="s">
        <v>413</v>
      </c>
    </row>
    <row r="7519" spans="1:80" s="392" customFormat="1" ht="15" x14ac:dyDescent="0.25">
      <c r="A7519" s="385"/>
      <c r="D7519" s="700"/>
      <c r="E7519" s="397"/>
      <c r="H7519" s="401">
        <v>3</v>
      </c>
      <c r="I7519" s="401"/>
      <c r="J7519" s="401"/>
      <c r="K7519" s="401"/>
      <c r="L7519" s="675"/>
      <c r="M7519" s="672">
        <v>29033</v>
      </c>
      <c r="N7519" s="623">
        <v>1.6681779540946444</v>
      </c>
      <c r="O7519" s="624">
        <v>4.366000000000001E-3</v>
      </c>
      <c r="P7519" s="397"/>
      <c r="Q7519" s="397"/>
      <c r="R7519" s="397"/>
      <c r="S7519" s="397"/>
      <c r="T7519" s="397"/>
      <c r="U7519" s="397"/>
      <c r="V7519" s="397"/>
      <c r="W7519" s="397"/>
      <c r="X7519" s="397"/>
      <c r="Y7519" s="397"/>
      <c r="Z7519" s="397"/>
      <c r="AD7519" s="388">
        <v>6.7665600000000001</v>
      </c>
      <c r="AE7519" s="388">
        <v>0.26822400000000002</v>
      </c>
      <c r="AF7519" s="388">
        <v>1.8149537894400001</v>
      </c>
      <c r="AG7519" s="388">
        <v>0.73152000000000006</v>
      </c>
      <c r="AH7519" s="391"/>
      <c r="AI7519" s="397"/>
      <c r="AJ7519" s="397"/>
      <c r="AU7519" s="397"/>
      <c r="AV7519" s="397"/>
      <c r="AW7519" s="397"/>
      <c r="AX7519" s="397"/>
      <c r="BI7519" s="397"/>
      <c r="BJ7519" s="397"/>
      <c r="BK7519" s="397"/>
      <c r="BL7519" s="397"/>
      <c r="BM7519" s="397"/>
      <c r="BN7519" s="397"/>
      <c r="BO7519" s="397"/>
      <c r="BP7519" s="397"/>
      <c r="BQ7519" s="397"/>
      <c r="BR7519" s="397"/>
      <c r="BS7519" s="397"/>
      <c r="BT7519" s="397"/>
      <c r="BU7519" s="397"/>
      <c r="BV7519" s="397"/>
      <c r="BW7519" s="397"/>
      <c r="BX7519" s="397"/>
      <c r="BY7519" s="397"/>
      <c r="BZ7519" s="397"/>
      <c r="CA7519" s="392" t="s">
        <v>413</v>
      </c>
    </row>
    <row r="7520" spans="1:80" s="392" customFormat="1" ht="15" x14ac:dyDescent="0.25">
      <c r="A7520" s="385"/>
      <c r="D7520" s="700"/>
      <c r="E7520" s="397"/>
      <c r="H7520" s="401">
        <v>3</v>
      </c>
      <c r="I7520" s="401"/>
      <c r="J7520" s="401"/>
      <c r="K7520" s="401"/>
      <c r="L7520" s="675"/>
      <c r="M7520" s="672">
        <v>29042</v>
      </c>
      <c r="N7520" s="623">
        <v>1.2145083593085859</v>
      </c>
      <c r="O7520" s="624">
        <v>2.2200000000000002E-3</v>
      </c>
      <c r="P7520" s="397"/>
      <c r="Q7520" s="397"/>
      <c r="R7520" s="397"/>
      <c r="S7520" s="397"/>
      <c r="T7520" s="397"/>
      <c r="U7520" s="397"/>
      <c r="V7520" s="397"/>
      <c r="W7520" s="397"/>
      <c r="X7520" s="397"/>
      <c r="Y7520" s="397"/>
      <c r="Z7520" s="397"/>
      <c r="AD7520" s="388">
        <v>6.7665600000000001</v>
      </c>
      <c r="AE7520" s="388">
        <v>0.24993599999999999</v>
      </c>
      <c r="AF7520" s="388">
        <v>1.6912069401600001</v>
      </c>
      <c r="AG7520" s="388">
        <v>0.57911999999999997</v>
      </c>
      <c r="AH7520" s="391"/>
      <c r="AI7520" s="397"/>
      <c r="AJ7520" s="397"/>
      <c r="AU7520" s="397"/>
      <c r="AV7520" s="397"/>
      <c r="AW7520" s="397"/>
      <c r="AX7520" s="397"/>
      <c r="BI7520" s="397"/>
      <c r="BJ7520" s="397"/>
      <c r="BK7520" s="397"/>
      <c r="BL7520" s="397"/>
      <c r="BM7520" s="397"/>
      <c r="BN7520" s="397"/>
      <c r="BO7520" s="397"/>
      <c r="BP7520" s="397"/>
      <c r="BQ7520" s="397"/>
      <c r="BR7520" s="397"/>
      <c r="BS7520" s="397"/>
      <c r="BT7520" s="397"/>
      <c r="BU7520" s="397"/>
      <c r="BV7520" s="397"/>
      <c r="BW7520" s="397"/>
      <c r="BX7520" s="397"/>
      <c r="BY7520" s="397"/>
      <c r="BZ7520" s="397"/>
      <c r="CA7520" s="392" t="s">
        <v>413</v>
      </c>
    </row>
    <row r="7521" spans="1:80" s="392" customFormat="1" ht="15" x14ac:dyDescent="0.25">
      <c r="A7521" s="385"/>
      <c r="D7521" s="700"/>
      <c r="E7521" s="397"/>
      <c r="H7521" s="401">
        <v>3</v>
      </c>
      <c r="I7521" s="401"/>
      <c r="J7521" s="401"/>
      <c r="K7521" s="401"/>
      <c r="L7521" s="675"/>
      <c r="M7521" s="672">
        <v>29049</v>
      </c>
      <c r="N7521" s="623">
        <v>0.79427599886653444</v>
      </c>
      <c r="O7521" s="624">
        <v>3.8352E-3</v>
      </c>
      <c r="P7521" s="397"/>
      <c r="Q7521" s="397"/>
      <c r="R7521" s="397"/>
      <c r="S7521" s="397"/>
      <c r="T7521" s="397"/>
      <c r="U7521" s="397"/>
      <c r="V7521" s="397"/>
      <c r="W7521" s="397"/>
      <c r="X7521" s="397"/>
      <c r="Y7521" s="397"/>
      <c r="Z7521" s="397"/>
      <c r="AD7521" s="388">
        <v>6.2179199999999994</v>
      </c>
      <c r="AE7521" s="388">
        <v>0.19507200000000002</v>
      </c>
      <c r="AF7521" s="388">
        <v>1.2129420902400001</v>
      </c>
      <c r="AG7521" s="388">
        <v>0.48768000000000006</v>
      </c>
      <c r="AH7521" s="391"/>
      <c r="AI7521" s="397"/>
      <c r="AJ7521" s="397"/>
      <c r="AU7521" s="397"/>
      <c r="AV7521" s="397"/>
      <c r="AW7521" s="397"/>
      <c r="AX7521" s="397"/>
      <c r="BI7521" s="397"/>
      <c r="BJ7521" s="397"/>
      <c r="BK7521" s="397"/>
      <c r="BL7521" s="397"/>
      <c r="BM7521" s="397"/>
      <c r="BN7521" s="397"/>
      <c r="BO7521" s="397"/>
      <c r="BP7521" s="397"/>
      <c r="BQ7521" s="397"/>
      <c r="BR7521" s="397"/>
      <c r="BS7521" s="397"/>
      <c r="BT7521" s="397"/>
      <c r="BU7521" s="397"/>
      <c r="BV7521" s="397"/>
      <c r="BW7521" s="397"/>
      <c r="BX7521" s="397"/>
      <c r="BY7521" s="397"/>
      <c r="BZ7521" s="397"/>
      <c r="CA7521" s="392" t="s">
        <v>413</v>
      </c>
    </row>
    <row r="7522" spans="1:80" s="392" customFormat="1" ht="15" x14ac:dyDescent="0.25">
      <c r="A7522" s="385"/>
      <c r="D7522" s="700"/>
      <c r="E7522" s="397"/>
      <c r="H7522" s="401">
        <v>3</v>
      </c>
      <c r="I7522" s="401"/>
      <c r="J7522" s="401"/>
      <c r="K7522" s="401"/>
      <c r="L7522" s="675"/>
      <c r="M7522" s="672">
        <v>29056</v>
      </c>
      <c r="N7522" s="623">
        <v>0.77727401530178519</v>
      </c>
      <c r="O7522" s="624">
        <v>1.0515400000000001E-2</v>
      </c>
      <c r="P7522" s="397"/>
      <c r="Q7522" s="397"/>
      <c r="R7522" s="397"/>
      <c r="S7522" s="397"/>
      <c r="T7522" s="397"/>
      <c r="U7522" s="397"/>
      <c r="V7522" s="397"/>
      <c r="W7522" s="397"/>
      <c r="X7522" s="397"/>
      <c r="Y7522" s="397"/>
      <c r="Z7522" s="397"/>
      <c r="AD7522" s="388">
        <v>6.1874400000000005</v>
      </c>
      <c r="AE7522" s="388">
        <v>0.19812000000000002</v>
      </c>
      <c r="AF7522" s="388">
        <v>1.2258556128000002</v>
      </c>
      <c r="AG7522" s="388">
        <v>0.45720000000000005</v>
      </c>
      <c r="AH7522" s="391"/>
      <c r="AI7522" s="397"/>
      <c r="AJ7522" s="397"/>
      <c r="AU7522" s="397"/>
      <c r="AV7522" s="397"/>
      <c r="AW7522" s="397"/>
      <c r="AX7522" s="397"/>
      <c r="BI7522" s="397"/>
      <c r="BJ7522" s="397"/>
      <c r="BK7522" s="397"/>
      <c r="BL7522" s="397"/>
      <c r="BM7522" s="397"/>
      <c r="BN7522" s="397"/>
      <c r="BO7522" s="397"/>
      <c r="BP7522" s="397"/>
      <c r="BQ7522" s="397"/>
      <c r="BR7522" s="397"/>
      <c r="BS7522" s="397"/>
      <c r="BT7522" s="397"/>
      <c r="BU7522" s="397"/>
      <c r="BV7522" s="397"/>
      <c r="BW7522" s="397"/>
      <c r="BX7522" s="397"/>
      <c r="BY7522" s="397"/>
      <c r="BZ7522" s="397"/>
      <c r="CA7522" s="392" t="s">
        <v>413</v>
      </c>
    </row>
    <row r="7523" spans="1:80" s="392" customFormat="1" ht="15" x14ac:dyDescent="0.25">
      <c r="A7523" s="385"/>
      <c r="D7523" s="700"/>
      <c r="E7523" s="397"/>
      <c r="H7523" s="401">
        <v>3</v>
      </c>
      <c r="I7523" s="401"/>
      <c r="J7523" s="401"/>
      <c r="K7523" s="401"/>
      <c r="L7523" s="675"/>
      <c r="M7523" s="672">
        <v>29062</v>
      </c>
      <c r="N7523" s="623">
        <v>0.89855483139699632</v>
      </c>
      <c r="O7523" s="624">
        <v>1.0540000000000001E-2</v>
      </c>
      <c r="P7523" s="397"/>
      <c r="Q7523" s="397"/>
      <c r="R7523" s="397"/>
      <c r="S7523" s="397"/>
      <c r="T7523" s="397"/>
      <c r="U7523" s="397"/>
      <c r="V7523" s="397"/>
      <c r="W7523" s="397"/>
      <c r="X7523" s="397"/>
      <c r="Y7523" s="397"/>
      <c r="Z7523" s="397"/>
      <c r="AD7523" s="388">
        <v>6.2179199999999994</v>
      </c>
      <c r="AE7523" s="388">
        <v>0.21335999999999999</v>
      </c>
      <c r="AF7523" s="388">
        <v>1.3266554111999997</v>
      </c>
      <c r="AG7523" s="388">
        <v>0.45720000000000005</v>
      </c>
      <c r="AH7523" s="391"/>
      <c r="AI7523" s="397"/>
      <c r="AJ7523" s="397"/>
      <c r="AU7523" s="397"/>
      <c r="AV7523" s="397"/>
      <c r="AW7523" s="397"/>
      <c r="AX7523" s="397"/>
      <c r="BI7523" s="397"/>
      <c r="BJ7523" s="397"/>
      <c r="BK7523" s="397"/>
      <c r="BL7523" s="397"/>
      <c r="BM7523" s="397"/>
      <c r="BN7523" s="397"/>
      <c r="BO7523" s="397"/>
      <c r="BP7523" s="397"/>
      <c r="BQ7523" s="397"/>
      <c r="BR7523" s="397"/>
      <c r="BS7523" s="397"/>
      <c r="BT7523" s="397"/>
      <c r="BU7523" s="397"/>
      <c r="BV7523" s="397"/>
      <c r="BW7523" s="397"/>
      <c r="BX7523" s="397"/>
      <c r="BY7523" s="397"/>
      <c r="BZ7523" s="397"/>
      <c r="CA7523" s="392" t="s">
        <v>413</v>
      </c>
    </row>
    <row r="7524" spans="1:80" s="392" customFormat="1" ht="15" x14ac:dyDescent="0.25">
      <c r="A7524" s="385"/>
      <c r="D7524" s="700"/>
      <c r="E7524" s="397"/>
      <c r="H7524" s="401">
        <v>3</v>
      </c>
      <c r="I7524" s="401"/>
      <c r="J7524" s="401"/>
      <c r="K7524" s="401"/>
      <c r="L7524" s="675"/>
      <c r="M7524" s="672">
        <v>29082</v>
      </c>
      <c r="N7524" s="623">
        <v>0.50694247662227265</v>
      </c>
      <c r="O7524" s="624">
        <v>1.1682399999999999E-2</v>
      </c>
      <c r="P7524" s="397"/>
      <c r="Q7524" s="397"/>
      <c r="R7524" s="397"/>
      <c r="S7524" s="397"/>
      <c r="T7524" s="397"/>
      <c r="U7524" s="397"/>
      <c r="V7524" s="397"/>
      <c r="W7524" s="397"/>
      <c r="X7524" s="397"/>
      <c r="Y7524" s="397"/>
      <c r="Z7524" s="397"/>
      <c r="AD7524" s="388">
        <v>6.2179199999999994</v>
      </c>
      <c r="AE7524" s="388">
        <v>0.155448</v>
      </c>
      <c r="AF7524" s="388">
        <v>0.96656322815999995</v>
      </c>
      <c r="AG7524" s="388">
        <v>0.48768000000000006</v>
      </c>
      <c r="AH7524" s="391"/>
      <c r="AI7524" s="397"/>
      <c r="AJ7524" s="397"/>
      <c r="AU7524" s="397"/>
      <c r="AV7524" s="397"/>
      <c r="AW7524" s="397"/>
      <c r="AX7524" s="397"/>
      <c r="BI7524" s="397"/>
      <c r="BJ7524" s="397"/>
      <c r="BK7524" s="397"/>
      <c r="BL7524" s="397"/>
      <c r="BM7524" s="397"/>
      <c r="BN7524" s="397"/>
      <c r="BO7524" s="397"/>
      <c r="BP7524" s="397"/>
      <c r="BQ7524" s="397"/>
      <c r="BR7524" s="397"/>
      <c r="BS7524" s="397"/>
      <c r="BT7524" s="397"/>
      <c r="BU7524" s="397"/>
      <c r="BV7524" s="397"/>
      <c r="BW7524" s="397"/>
      <c r="BX7524" s="397"/>
      <c r="BY7524" s="397"/>
      <c r="BZ7524" s="397"/>
      <c r="CA7524" s="392" t="s">
        <v>413</v>
      </c>
    </row>
    <row r="7525" spans="1:80" s="392" customFormat="1" ht="15" x14ac:dyDescent="0.25">
      <c r="A7525" s="385"/>
      <c r="D7525" s="700"/>
      <c r="E7525" s="397"/>
      <c r="H7525" s="401">
        <v>3</v>
      </c>
      <c r="I7525" s="401"/>
      <c r="J7525" s="401"/>
      <c r="K7525" s="401"/>
      <c r="L7525" s="675"/>
      <c r="M7525" s="672">
        <v>29094</v>
      </c>
      <c r="N7525" s="623">
        <v>0.49249079059223577</v>
      </c>
      <c r="O7525" s="624">
        <v>5.7651999999999998E-3</v>
      </c>
      <c r="P7525" s="397"/>
      <c r="Q7525" s="397"/>
      <c r="R7525" s="397"/>
      <c r="S7525" s="397"/>
      <c r="T7525" s="397"/>
      <c r="U7525" s="397"/>
      <c r="V7525" s="397"/>
      <c r="W7525" s="397"/>
      <c r="X7525" s="397"/>
      <c r="Y7525" s="397"/>
      <c r="Z7525" s="397"/>
      <c r="AD7525" s="388">
        <v>6.1874400000000005</v>
      </c>
      <c r="AE7525" s="388">
        <v>0.18897600000000001</v>
      </c>
      <c r="AF7525" s="388">
        <v>1.1692776614400002</v>
      </c>
      <c r="AG7525" s="388">
        <v>0.36576000000000003</v>
      </c>
      <c r="AH7525" s="391"/>
      <c r="AI7525" s="397"/>
      <c r="AJ7525" s="397"/>
      <c r="AU7525" s="397"/>
      <c r="AV7525" s="397"/>
      <c r="AW7525" s="397"/>
      <c r="AX7525" s="397"/>
      <c r="BI7525" s="397"/>
      <c r="BJ7525" s="397"/>
      <c r="BK7525" s="397"/>
      <c r="BL7525" s="397"/>
      <c r="BM7525" s="397"/>
      <c r="BN7525" s="397"/>
      <c r="BO7525" s="397"/>
      <c r="BP7525" s="397"/>
      <c r="BQ7525" s="397"/>
      <c r="BR7525" s="397"/>
      <c r="BS7525" s="397"/>
      <c r="BT7525" s="397"/>
      <c r="BU7525" s="397"/>
      <c r="BV7525" s="397"/>
      <c r="BW7525" s="397"/>
      <c r="BX7525" s="397"/>
      <c r="BY7525" s="397"/>
      <c r="BZ7525" s="397"/>
      <c r="CA7525" s="392" t="s">
        <v>413</v>
      </c>
    </row>
    <row r="7526" spans="1:80" s="392" customFormat="1" ht="15" x14ac:dyDescent="0.25">
      <c r="A7526" s="385"/>
      <c r="D7526" s="700"/>
      <c r="E7526" s="397"/>
      <c r="H7526" s="401">
        <v>3</v>
      </c>
      <c r="I7526" s="401"/>
      <c r="J7526" s="401"/>
      <c r="K7526" s="401"/>
      <c r="L7526" s="675"/>
      <c r="M7526" s="672">
        <v>29124</v>
      </c>
      <c r="N7526" s="623">
        <v>0.37404363842448285</v>
      </c>
      <c r="O7526" s="624" t="s">
        <v>71</v>
      </c>
      <c r="P7526" s="397"/>
      <c r="Q7526" s="397"/>
      <c r="R7526" s="397"/>
      <c r="S7526" s="397"/>
      <c r="T7526" s="397"/>
      <c r="U7526" s="397"/>
      <c r="V7526" s="397"/>
      <c r="W7526" s="397"/>
      <c r="X7526" s="397"/>
      <c r="Y7526" s="397"/>
      <c r="Z7526" s="397"/>
      <c r="AD7526" s="388">
        <v>3.7839964435538489</v>
      </c>
      <c r="AE7526" s="388">
        <v>0.17068800000000003</v>
      </c>
      <c r="AF7526" s="388">
        <v>0.64588278495731954</v>
      </c>
      <c r="AG7526" s="388">
        <v>0.57911999999999997</v>
      </c>
      <c r="AH7526" s="391"/>
      <c r="AI7526" s="397"/>
      <c r="AJ7526" s="397"/>
      <c r="AU7526" s="397"/>
      <c r="AV7526" s="397"/>
      <c r="AW7526" s="397"/>
      <c r="AX7526" s="397"/>
      <c r="BI7526" s="397"/>
      <c r="BJ7526" s="397"/>
      <c r="BK7526" s="397"/>
      <c r="BL7526" s="397"/>
      <c r="BM7526" s="397"/>
      <c r="BN7526" s="397"/>
      <c r="BO7526" s="397"/>
      <c r="BP7526" s="397"/>
      <c r="BQ7526" s="397"/>
      <c r="BR7526" s="397"/>
      <c r="BS7526" s="397"/>
      <c r="BT7526" s="397"/>
      <c r="BU7526" s="397"/>
      <c r="BV7526" s="397"/>
      <c r="BW7526" s="397"/>
      <c r="BX7526" s="397"/>
      <c r="BY7526" s="397"/>
      <c r="BZ7526" s="397"/>
      <c r="CA7526" s="392" t="s">
        <v>413</v>
      </c>
    </row>
    <row r="7527" spans="1:80" s="189" customFormat="1" ht="15" x14ac:dyDescent="0.25">
      <c r="A7527" s="381" t="s">
        <v>480</v>
      </c>
      <c r="B7527" s="641"/>
      <c r="C7527" s="639"/>
      <c r="D7527" s="4">
        <f>VLOOKUP(E7527,'Quality Code'!$D$4:$E$24,2,TRUE)*VLOOKUP(MROUND(F7527,10),'Quality Code'!$D$28:$E$69,2,TRUE)*VLOOKUP(COUNTA(CB7527:CB7537),'Quality Code'!$D$73:$E$93,2,TRUE)</f>
        <v>8.7499999999999994E-2</v>
      </c>
      <c r="E7527" s="14">
        <v>0.35</v>
      </c>
      <c r="F7527" s="2">
        <v>7</v>
      </c>
      <c r="G7527" s="12"/>
      <c r="H7527" s="2" t="s">
        <v>105</v>
      </c>
      <c r="I7527" s="2"/>
      <c r="J7527" s="2"/>
      <c r="K7527" s="2"/>
      <c r="L7527" s="639"/>
      <c r="M7527" s="640">
        <v>1979</v>
      </c>
      <c r="N7527" s="578" t="s">
        <v>110</v>
      </c>
      <c r="O7527" s="578"/>
      <c r="P7527" s="26"/>
      <c r="Q7527" s="26"/>
      <c r="R7527" s="26"/>
      <c r="S7527" s="26"/>
      <c r="T7527" s="26"/>
      <c r="U7527" s="26"/>
      <c r="V7527" s="10"/>
      <c r="W7527" s="10"/>
      <c r="X7527" s="10"/>
      <c r="Y7527" s="10"/>
      <c r="Z7527" s="2"/>
      <c r="AA7527" s="26"/>
      <c r="AB7527" s="26"/>
      <c r="AC7527" s="377">
        <v>6.6000000000000003E-2</v>
      </c>
      <c r="AD7527" s="406"/>
      <c r="AE7527" s="26"/>
      <c r="AF7527" s="26"/>
      <c r="AG7527" s="26"/>
      <c r="AH7527" s="26"/>
      <c r="AI7527" s="4"/>
      <c r="AJ7527" s="4"/>
      <c r="AK7527" s="26"/>
      <c r="AL7527" s="26"/>
      <c r="AM7527" s="26"/>
      <c r="AN7527" s="26"/>
      <c r="AO7527" s="26"/>
      <c r="AP7527" s="26"/>
      <c r="AQ7527" s="26"/>
      <c r="AR7527" s="26"/>
      <c r="AS7527" s="26"/>
      <c r="AT7527" s="26"/>
      <c r="AU7527" s="4"/>
      <c r="AV7527" s="4"/>
      <c r="AW7527" s="4"/>
      <c r="AX7527" s="4"/>
      <c r="AY7527" s="2"/>
      <c r="AZ7527" s="2"/>
      <c r="BA7527" s="12"/>
      <c r="BB7527" s="12"/>
      <c r="BC7527" s="12"/>
      <c r="BD7527" s="12"/>
      <c r="BE7527" s="12"/>
      <c r="BF7527" s="12"/>
      <c r="BG7527" s="12"/>
      <c r="BH7527" s="12"/>
      <c r="BI7527" s="4"/>
      <c r="BJ7527" s="12"/>
      <c r="BK7527" s="2"/>
      <c r="BL7527" s="2"/>
      <c r="BM7527" s="4"/>
      <c r="BN7527" s="12"/>
      <c r="BO7527" s="12"/>
      <c r="BP7527" s="12"/>
      <c r="BQ7527" s="4"/>
      <c r="BR7527" s="4"/>
      <c r="BS7527" s="4"/>
      <c r="BT7527" s="2"/>
      <c r="BU7527" s="9"/>
      <c r="BV7527" s="381"/>
      <c r="BW7527" s="382"/>
      <c r="BX7527" s="383"/>
      <c r="BY7527" s="383"/>
      <c r="BZ7527" s="383"/>
      <c r="CA7527" s="384" t="s">
        <v>413</v>
      </c>
      <c r="CB7527" s="411"/>
    </row>
    <row r="7528" spans="1:80" s="392" customFormat="1" ht="15" x14ac:dyDescent="0.25">
      <c r="A7528" s="385"/>
      <c r="D7528" s="700"/>
      <c r="E7528" s="397"/>
      <c r="H7528" s="401">
        <v>3</v>
      </c>
      <c r="I7528" s="401"/>
      <c r="J7528" s="401"/>
      <c r="K7528" s="401"/>
      <c r="L7528" s="675"/>
      <c r="M7528" s="672">
        <v>29012</v>
      </c>
      <c r="N7528" s="623">
        <v>0.2978180787758572</v>
      </c>
      <c r="O7528" s="624">
        <v>8.9400000000000015E-4</v>
      </c>
      <c r="P7528" s="397"/>
      <c r="Q7528" s="397"/>
      <c r="R7528" s="397"/>
      <c r="S7528" s="397"/>
      <c r="T7528" s="397"/>
      <c r="U7528" s="397"/>
      <c r="V7528" s="397"/>
      <c r="W7528" s="397"/>
      <c r="X7528" s="397"/>
      <c r="Y7528" s="397"/>
      <c r="Z7528" s="397"/>
      <c r="AD7528" s="388">
        <v>4.5415200000000002</v>
      </c>
      <c r="AE7528" s="388">
        <v>0.16154400000000002</v>
      </c>
      <c r="AF7528" s="388">
        <v>0.73365530688000014</v>
      </c>
      <c r="AG7528" s="388">
        <v>0.36576000000000003</v>
      </c>
      <c r="AH7528" s="391"/>
      <c r="AI7528" s="397"/>
      <c r="AJ7528" s="397"/>
      <c r="AU7528" s="397"/>
      <c r="AV7528" s="397"/>
      <c r="AW7528" s="397"/>
      <c r="AX7528" s="397"/>
      <c r="BI7528" s="397"/>
      <c r="BJ7528" s="397"/>
      <c r="BK7528" s="397"/>
      <c r="BL7528" s="397"/>
      <c r="BM7528" s="397"/>
      <c r="BN7528" s="397"/>
      <c r="BO7528" s="397"/>
      <c r="BP7528" s="397"/>
      <c r="BQ7528" s="397"/>
      <c r="BR7528" s="397"/>
      <c r="BS7528" s="397"/>
      <c r="BT7528" s="397"/>
      <c r="BU7528" s="397"/>
      <c r="BV7528" s="397"/>
      <c r="BW7528" s="397"/>
      <c r="BX7528" s="397"/>
      <c r="BY7528" s="397"/>
      <c r="BZ7528" s="397"/>
      <c r="CA7528" s="392" t="s">
        <v>413</v>
      </c>
    </row>
    <row r="7529" spans="1:80" s="392" customFormat="1" ht="15" x14ac:dyDescent="0.25">
      <c r="A7529" s="385"/>
      <c r="D7529" s="700"/>
      <c r="E7529" s="397"/>
      <c r="H7529" s="401">
        <v>3</v>
      </c>
      <c r="I7529" s="401"/>
      <c r="J7529" s="401"/>
      <c r="K7529" s="401"/>
      <c r="L7529" s="675"/>
      <c r="M7529" s="672">
        <v>29018</v>
      </c>
      <c r="N7529" s="623">
        <v>0.27968262964012469</v>
      </c>
      <c r="O7529" s="624">
        <v>1.7999999999999998E-4</v>
      </c>
      <c r="P7529" s="397"/>
      <c r="Q7529" s="397"/>
      <c r="R7529" s="397"/>
      <c r="S7529" s="397"/>
      <c r="T7529" s="397"/>
      <c r="U7529" s="397"/>
      <c r="V7529" s="397"/>
      <c r="W7529" s="397"/>
      <c r="X7529" s="397"/>
      <c r="Y7529" s="397"/>
      <c r="Z7529" s="397"/>
      <c r="AD7529" s="388">
        <v>4.5720000000000001</v>
      </c>
      <c r="AE7529" s="388">
        <v>0.16764000000000001</v>
      </c>
      <c r="AF7529" s="388">
        <v>0.76645008000000003</v>
      </c>
      <c r="AG7529" s="388">
        <v>0.42671999999999999</v>
      </c>
      <c r="AH7529" s="391"/>
      <c r="AI7529" s="397"/>
      <c r="AJ7529" s="397"/>
      <c r="AU7529" s="397"/>
      <c r="AV7529" s="397"/>
      <c r="AW7529" s="397"/>
      <c r="AX7529" s="397"/>
      <c r="BI7529" s="397"/>
      <c r="BJ7529" s="397"/>
      <c r="BK7529" s="397"/>
      <c r="BL7529" s="397"/>
      <c r="BM7529" s="397"/>
      <c r="BN7529" s="397"/>
      <c r="BO7529" s="397"/>
      <c r="BP7529" s="397"/>
      <c r="BQ7529" s="397"/>
      <c r="BR7529" s="397"/>
      <c r="BS7529" s="397"/>
      <c r="BT7529" s="397"/>
      <c r="BU7529" s="397"/>
      <c r="BV7529" s="397"/>
      <c r="BW7529" s="397"/>
      <c r="BX7529" s="397"/>
      <c r="BY7529" s="397"/>
      <c r="BZ7529" s="397"/>
      <c r="CA7529" s="392" t="s">
        <v>413</v>
      </c>
    </row>
    <row r="7530" spans="1:80" s="392" customFormat="1" ht="15" x14ac:dyDescent="0.25">
      <c r="A7530" s="385"/>
      <c r="D7530" s="700"/>
      <c r="E7530" s="397"/>
      <c r="H7530" s="401">
        <v>3</v>
      </c>
      <c r="I7530" s="401"/>
      <c r="J7530" s="401"/>
      <c r="K7530" s="401"/>
      <c r="L7530" s="675"/>
      <c r="M7530" s="672">
        <v>29027</v>
      </c>
      <c r="N7530" s="623">
        <v>0.33153867951260979</v>
      </c>
      <c r="O7530" s="624">
        <v>0</v>
      </c>
      <c r="P7530" s="397"/>
      <c r="Q7530" s="397"/>
      <c r="R7530" s="397"/>
      <c r="S7530" s="397"/>
      <c r="T7530" s="397"/>
      <c r="U7530" s="397"/>
      <c r="V7530" s="397"/>
      <c r="W7530" s="397"/>
      <c r="X7530" s="397"/>
      <c r="Y7530" s="397"/>
      <c r="Z7530" s="397"/>
      <c r="AD7530" s="388">
        <v>4.5415200000000002</v>
      </c>
      <c r="AE7530" s="388">
        <v>0.16154400000000002</v>
      </c>
      <c r="AF7530" s="388">
        <v>0.73365530688000014</v>
      </c>
      <c r="AG7530" s="388">
        <v>0.39624000000000004</v>
      </c>
      <c r="AH7530" s="391"/>
      <c r="AI7530" s="397"/>
      <c r="AJ7530" s="397"/>
      <c r="AU7530" s="397"/>
      <c r="AV7530" s="397"/>
      <c r="AW7530" s="397"/>
      <c r="AX7530" s="397"/>
      <c r="BI7530" s="397"/>
      <c r="BJ7530" s="397"/>
      <c r="BK7530" s="397"/>
      <c r="BL7530" s="397"/>
      <c r="BM7530" s="397"/>
      <c r="BN7530" s="397"/>
      <c r="BO7530" s="397"/>
      <c r="BP7530" s="397"/>
      <c r="BQ7530" s="397"/>
      <c r="BR7530" s="397"/>
      <c r="BS7530" s="397"/>
      <c r="BT7530" s="397"/>
      <c r="BU7530" s="397"/>
      <c r="BV7530" s="397"/>
      <c r="BW7530" s="397"/>
      <c r="BX7530" s="397"/>
      <c r="BY7530" s="397"/>
      <c r="BZ7530" s="397"/>
      <c r="CA7530" s="392" t="s">
        <v>413</v>
      </c>
    </row>
    <row r="7531" spans="1:80" s="392" customFormat="1" ht="15" x14ac:dyDescent="0.25">
      <c r="A7531" s="385"/>
      <c r="D7531" s="700"/>
      <c r="E7531" s="397"/>
      <c r="H7531" s="401">
        <v>3</v>
      </c>
      <c r="I7531" s="401"/>
      <c r="J7531" s="401"/>
      <c r="K7531" s="401"/>
      <c r="L7531" s="675"/>
      <c r="M7531" s="672">
        <v>29034</v>
      </c>
      <c r="N7531" s="623">
        <v>0.38906205724001136</v>
      </c>
      <c r="O7531" s="624">
        <v>1.5900000000000001E-3</v>
      </c>
      <c r="P7531" s="397"/>
      <c r="Q7531" s="397"/>
      <c r="R7531" s="397"/>
      <c r="S7531" s="397"/>
      <c r="T7531" s="397"/>
      <c r="U7531" s="397"/>
      <c r="V7531" s="397"/>
      <c r="W7531" s="397"/>
      <c r="X7531" s="397"/>
      <c r="Y7531" s="397"/>
      <c r="Z7531" s="397"/>
      <c r="AD7531" s="388">
        <v>4.5720000000000001</v>
      </c>
      <c r="AE7531" s="388">
        <v>0.17068800000000003</v>
      </c>
      <c r="AF7531" s="388">
        <v>0.78038553600000016</v>
      </c>
      <c r="AG7531" s="388">
        <v>0.45720000000000005</v>
      </c>
      <c r="AH7531" s="391"/>
      <c r="AI7531" s="397"/>
      <c r="AJ7531" s="397"/>
      <c r="AU7531" s="397"/>
      <c r="AV7531" s="397"/>
      <c r="AW7531" s="397"/>
      <c r="AX7531" s="397"/>
      <c r="BI7531" s="397"/>
      <c r="BJ7531" s="397"/>
      <c r="BK7531" s="397"/>
      <c r="BL7531" s="397"/>
      <c r="BM7531" s="397"/>
      <c r="BN7531" s="397"/>
      <c r="BO7531" s="397"/>
      <c r="BP7531" s="397"/>
      <c r="BQ7531" s="397"/>
      <c r="BR7531" s="397"/>
      <c r="BS7531" s="397"/>
      <c r="BT7531" s="397"/>
      <c r="BU7531" s="397"/>
      <c r="BV7531" s="397"/>
      <c r="BW7531" s="397"/>
      <c r="BX7531" s="397"/>
      <c r="BY7531" s="397"/>
      <c r="BZ7531" s="397"/>
      <c r="CA7531" s="392" t="s">
        <v>413</v>
      </c>
    </row>
    <row r="7532" spans="1:80" s="392" customFormat="1" ht="15" x14ac:dyDescent="0.25">
      <c r="A7532" s="385"/>
      <c r="D7532" s="700"/>
      <c r="E7532" s="397"/>
      <c r="H7532" s="401">
        <v>3</v>
      </c>
      <c r="I7532" s="401"/>
      <c r="J7532" s="401"/>
      <c r="K7532" s="401"/>
      <c r="L7532" s="675"/>
      <c r="M7532" s="672">
        <v>29040</v>
      </c>
      <c r="N7532" s="623">
        <v>0.32048739019552286</v>
      </c>
      <c r="O7532" s="624">
        <v>5.3640000000000014E-4</v>
      </c>
      <c r="P7532" s="397"/>
      <c r="Q7532" s="397"/>
      <c r="R7532" s="397"/>
      <c r="S7532" s="397"/>
      <c r="T7532" s="397"/>
      <c r="U7532" s="397"/>
      <c r="V7532" s="397"/>
      <c r="W7532" s="397"/>
      <c r="X7532" s="397"/>
      <c r="Y7532" s="397"/>
      <c r="Z7532" s="397"/>
      <c r="AD7532" s="388">
        <v>4.5415200000000002</v>
      </c>
      <c r="AE7532" s="388">
        <v>0.16459200000000002</v>
      </c>
      <c r="AF7532" s="388">
        <v>0.74749785984000006</v>
      </c>
      <c r="AG7532" s="388">
        <v>0.39624000000000004</v>
      </c>
      <c r="AH7532" s="391"/>
      <c r="AI7532" s="397"/>
      <c r="AJ7532" s="397"/>
      <c r="AU7532" s="397"/>
      <c r="AV7532" s="397"/>
      <c r="AW7532" s="397"/>
      <c r="AX7532" s="397"/>
      <c r="BI7532" s="397"/>
      <c r="BJ7532" s="397"/>
      <c r="BK7532" s="397"/>
      <c r="BL7532" s="397"/>
      <c r="BM7532" s="397"/>
      <c r="BN7532" s="397"/>
      <c r="BO7532" s="397"/>
      <c r="BP7532" s="397"/>
      <c r="BQ7532" s="397"/>
      <c r="BR7532" s="397"/>
      <c r="BS7532" s="397"/>
      <c r="BT7532" s="397"/>
      <c r="BU7532" s="397"/>
      <c r="BV7532" s="397"/>
      <c r="BW7532" s="397"/>
      <c r="BX7532" s="397"/>
      <c r="BY7532" s="397"/>
      <c r="BZ7532" s="397"/>
      <c r="CA7532" s="392" t="s">
        <v>413</v>
      </c>
    </row>
    <row r="7533" spans="1:80" s="392" customFormat="1" ht="15" x14ac:dyDescent="0.25">
      <c r="A7533" s="385"/>
      <c r="D7533" s="700"/>
      <c r="E7533" s="397"/>
      <c r="H7533" s="401">
        <v>3</v>
      </c>
      <c r="I7533" s="401"/>
      <c r="J7533" s="401"/>
      <c r="K7533" s="401"/>
      <c r="L7533" s="675"/>
      <c r="M7533" s="672">
        <v>29048</v>
      </c>
      <c r="N7533" s="623">
        <v>0.1612354774723718</v>
      </c>
      <c r="O7533" s="624">
        <v>4.7137999999999998E-3</v>
      </c>
      <c r="P7533" s="397"/>
      <c r="Q7533" s="397"/>
      <c r="R7533" s="397"/>
      <c r="S7533" s="397"/>
      <c r="T7533" s="397"/>
      <c r="U7533" s="397"/>
      <c r="V7533" s="397"/>
      <c r="W7533" s="397"/>
      <c r="X7533" s="397"/>
      <c r="Y7533" s="397"/>
      <c r="Z7533" s="397"/>
      <c r="AD7533" s="388">
        <v>4.4805599999999997</v>
      </c>
      <c r="AE7533" s="388">
        <v>0.13716</v>
      </c>
      <c r="AF7533" s="388">
        <v>0.61455360959999994</v>
      </c>
      <c r="AG7533" s="388">
        <v>0.24384000000000003</v>
      </c>
      <c r="AH7533" s="391"/>
      <c r="AI7533" s="397"/>
      <c r="AJ7533" s="397"/>
      <c r="AU7533" s="397"/>
      <c r="AV7533" s="397"/>
      <c r="AW7533" s="397"/>
      <c r="AX7533" s="397"/>
      <c r="BI7533" s="397"/>
      <c r="BJ7533" s="397"/>
      <c r="BK7533" s="397"/>
      <c r="BL7533" s="397"/>
      <c r="BM7533" s="397"/>
      <c r="BN7533" s="397"/>
      <c r="BO7533" s="397"/>
      <c r="BP7533" s="397"/>
      <c r="BQ7533" s="397"/>
      <c r="BR7533" s="397"/>
      <c r="BS7533" s="397"/>
      <c r="BT7533" s="397"/>
      <c r="BU7533" s="397"/>
      <c r="BV7533" s="397"/>
      <c r="BW7533" s="397"/>
      <c r="BX7533" s="397"/>
      <c r="BY7533" s="397"/>
      <c r="BZ7533" s="397"/>
      <c r="CA7533" s="392" t="s">
        <v>413</v>
      </c>
    </row>
    <row r="7534" spans="1:80" s="392" customFormat="1" ht="15" x14ac:dyDescent="0.25">
      <c r="A7534" s="385"/>
      <c r="D7534" s="700"/>
      <c r="E7534" s="397"/>
      <c r="H7534" s="401">
        <v>3</v>
      </c>
      <c r="I7534" s="401"/>
      <c r="J7534" s="401"/>
      <c r="K7534" s="401"/>
      <c r="L7534" s="675"/>
      <c r="M7534" s="672">
        <v>29055</v>
      </c>
      <c r="N7534" s="623">
        <v>0.14111646358741856</v>
      </c>
      <c r="O7534" s="624">
        <v>2.1556666666666668E-3</v>
      </c>
      <c r="P7534" s="397"/>
      <c r="Q7534" s="397"/>
      <c r="R7534" s="397"/>
      <c r="S7534" s="397"/>
      <c r="T7534" s="397"/>
      <c r="U7534" s="397"/>
      <c r="V7534" s="397"/>
      <c r="W7534" s="397"/>
      <c r="X7534" s="397"/>
      <c r="Y7534" s="397"/>
      <c r="Z7534" s="397"/>
      <c r="AD7534" s="388">
        <v>4.4196</v>
      </c>
      <c r="AE7534" s="388">
        <v>0.13411200000000001</v>
      </c>
      <c r="AF7534" s="388">
        <v>0.5927213952</v>
      </c>
      <c r="AG7534" s="388">
        <v>0.18288000000000001</v>
      </c>
      <c r="AH7534" s="391"/>
      <c r="AI7534" s="397"/>
      <c r="AJ7534" s="397"/>
      <c r="AU7534" s="397"/>
      <c r="AV7534" s="397"/>
      <c r="AW7534" s="397"/>
      <c r="AX7534" s="397"/>
      <c r="BI7534" s="397"/>
      <c r="BJ7534" s="397"/>
      <c r="BK7534" s="397"/>
      <c r="BL7534" s="397"/>
      <c r="BM7534" s="397"/>
      <c r="BN7534" s="397"/>
      <c r="BO7534" s="397"/>
      <c r="BP7534" s="397"/>
      <c r="BQ7534" s="397"/>
      <c r="BR7534" s="397"/>
      <c r="BS7534" s="397"/>
      <c r="BT7534" s="397"/>
      <c r="BU7534" s="397"/>
      <c r="BV7534" s="397"/>
      <c r="BW7534" s="397"/>
      <c r="BX7534" s="397"/>
      <c r="BY7534" s="397"/>
      <c r="BZ7534" s="397"/>
      <c r="CA7534" s="392" t="s">
        <v>413</v>
      </c>
    </row>
    <row r="7535" spans="1:80" s="392" customFormat="1" ht="15" x14ac:dyDescent="0.25">
      <c r="A7535" s="385"/>
      <c r="D7535" s="700"/>
      <c r="E7535" s="397"/>
      <c r="H7535" s="401">
        <v>3</v>
      </c>
      <c r="I7535" s="401"/>
      <c r="J7535" s="401"/>
      <c r="K7535" s="401"/>
      <c r="L7535" s="675"/>
      <c r="M7535" s="672">
        <v>29062</v>
      </c>
      <c r="N7535" s="623">
        <v>0.16491924057806745</v>
      </c>
      <c r="O7535" s="624" t="s">
        <v>71</v>
      </c>
      <c r="P7535" s="397"/>
      <c r="Q7535" s="397"/>
      <c r="R7535" s="397"/>
      <c r="S7535" s="397"/>
      <c r="T7535" s="397"/>
      <c r="U7535" s="397"/>
      <c r="V7535" s="397"/>
      <c r="W7535" s="397"/>
      <c r="X7535" s="397"/>
      <c r="Y7535" s="397"/>
      <c r="Z7535" s="397"/>
      <c r="AD7535" s="388">
        <v>4.4196</v>
      </c>
      <c r="AE7535" s="388">
        <v>0.11887200000000001</v>
      </c>
      <c r="AF7535" s="388">
        <v>0.52536669120000001</v>
      </c>
      <c r="AG7535" s="388">
        <v>0.30480000000000002</v>
      </c>
      <c r="AH7535" s="391"/>
      <c r="AI7535" s="397"/>
      <c r="AJ7535" s="397"/>
      <c r="AU7535" s="397"/>
      <c r="AV7535" s="397"/>
      <c r="AW7535" s="397"/>
      <c r="AX7535" s="397"/>
      <c r="BI7535" s="397"/>
      <c r="BJ7535" s="397"/>
      <c r="BK7535" s="397"/>
      <c r="BL7535" s="397"/>
      <c r="BM7535" s="397"/>
      <c r="BN7535" s="397"/>
      <c r="BO7535" s="397"/>
      <c r="BP7535" s="397"/>
      <c r="BQ7535" s="397"/>
      <c r="BR7535" s="397"/>
      <c r="BS7535" s="397"/>
      <c r="BT7535" s="397"/>
      <c r="BU7535" s="397"/>
      <c r="BV7535" s="397"/>
      <c r="BW7535" s="397"/>
      <c r="BX7535" s="397"/>
      <c r="BY7535" s="397"/>
      <c r="BZ7535" s="397"/>
      <c r="CA7535" s="392" t="s">
        <v>413</v>
      </c>
    </row>
    <row r="7536" spans="1:80" s="392" customFormat="1" ht="15" x14ac:dyDescent="0.25">
      <c r="A7536" s="385"/>
      <c r="D7536" s="700"/>
      <c r="E7536" s="397"/>
      <c r="H7536" s="401">
        <v>3</v>
      </c>
      <c r="I7536" s="401"/>
      <c r="J7536" s="401"/>
      <c r="K7536" s="401"/>
      <c r="L7536" s="675"/>
      <c r="M7536" s="672">
        <v>29074</v>
      </c>
      <c r="N7536" s="623">
        <v>8.3593085860017013E-2</v>
      </c>
      <c r="O7536" s="624" t="s">
        <v>71</v>
      </c>
      <c r="P7536" s="397"/>
      <c r="Q7536" s="397"/>
      <c r="R7536" s="397"/>
      <c r="S7536" s="397"/>
      <c r="T7536" s="397"/>
      <c r="U7536" s="397"/>
      <c r="V7536" s="397"/>
      <c r="W7536" s="397"/>
      <c r="X7536" s="397"/>
      <c r="Y7536" s="397"/>
      <c r="Z7536" s="397"/>
      <c r="AD7536" s="388">
        <v>4.2062400000000002</v>
      </c>
      <c r="AE7536" s="388">
        <v>0.13106400000000001</v>
      </c>
      <c r="AF7536" s="388">
        <v>0.55128663936000011</v>
      </c>
      <c r="AG7536" s="388">
        <v>0.15240000000000001</v>
      </c>
      <c r="AH7536" s="391"/>
      <c r="AI7536" s="397"/>
      <c r="AJ7536" s="397"/>
      <c r="AU7536" s="397"/>
      <c r="AV7536" s="397"/>
      <c r="AW7536" s="397"/>
      <c r="AX7536" s="397"/>
      <c r="BI7536" s="397"/>
      <c r="BJ7536" s="397"/>
      <c r="BK7536" s="397"/>
      <c r="BL7536" s="397"/>
      <c r="BM7536" s="397"/>
      <c r="BN7536" s="397"/>
      <c r="BO7536" s="397"/>
      <c r="BP7536" s="397"/>
      <c r="BQ7536" s="397"/>
      <c r="BR7536" s="397"/>
      <c r="BS7536" s="397"/>
      <c r="BT7536" s="397"/>
      <c r="BU7536" s="397"/>
      <c r="BV7536" s="397"/>
      <c r="BW7536" s="397"/>
      <c r="BX7536" s="397"/>
      <c r="BY7536" s="397"/>
      <c r="BZ7536" s="397"/>
      <c r="CA7536" s="392" t="s">
        <v>413</v>
      </c>
    </row>
    <row r="7537" spans="1:80" s="392" customFormat="1" ht="15" x14ac:dyDescent="0.25">
      <c r="A7537" s="385"/>
      <c r="D7537" s="700"/>
      <c r="E7537" s="397"/>
      <c r="H7537" s="401">
        <v>3</v>
      </c>
      <c r="I7537" s="401"/>
      <c r="J7537" s="401"/>
      <c r="K7537" s="401"/>
      <c r="L7537" s="675"/>
      <c r="M7537" s="672">
        <v>29082</v>
      </c>
      <c r="N7537" s="623">
        <v>0.22414281666194391</v>
      </c>
      <c r="O7537" s="624" t="s">
        <v>71</v>
      </c>
      <c r="P7537" s="397"/>
      <c r="Q7537" s="397"/>
      <c r="R7537" s="397"/>
      <c r="S7537" s="397"/>
      <c r="T7537" s="397"/>
      <c r="U7537" s="397"/>
      <c r="V7537" s="397"/>
      <c r="W7537" s="397"/>
      <c r="X7537" s="397"/>
      <c r="Y7537" s="397"/>
      <c r="Z7537" s="397"/>
      <c r="AD7537" s="388">
        <v>4.4500799999999998</v>
      </c>
      <c r="AE7537" s="388">
        <v>0.13411200000000001</v>
      </c>
      <c r="AF7537" s="388">
        <v>0.59680912896000005</v>
      </c>
      <c r="AG7537" s="388">
        <v>0.37795200000000001</v>
      </c>
      <c r="AH7537" s="391"/>
      <c r="AI7537" s="397"/>
      <c r="AJ7537" s="397"/>
      <c r="AU7537" s="397"/>
      <c r="AV7537" s="397"/>
      <c r="AW7537" s="397"/>
      <c r="AX7537" s="397"/>
      <c r="BI7537" s="397"/>
      <c r="BJ7537" s="397"/>
      <c r="BK7537" s="397"/>
      <c r="BL7537" s="397"/>
      <c r="BM7537" s="397"/>
      <c r="BN7537" s="397"/>
      <c r="BO7537" s="397"/>
      <c r="BP7537" s="397"/>
      <c r="BQ7537" s="397"/>
      <c r="BR7537" s="397"/>
      <c r="BS7537" s="397"/>
      <c r="BT7537" s="397"/>
      <c r="BU7537" s="397"/>
      <c r="BV7537" s="397"/>
      <c r="BW7537" s="397"/>
      <c r="BX7537" s="397"/>
      <c r="BY7537" s="397"/>
      <c r="BZ7537" s="397"/>
      <c r="CA7537" s="392" t="s">
        <v>413</v>
      </c>
    </row>
    <row r="7538" spans="1:80" s="392" customFormat="1" ht="15" x14ac:dyDescent="0.25">
      <c r="A7538" s="385"/>
      <c r="D7538" s="700"/>
      <c r="E7538" s="397"/>
      <c r="H7538" s="401">
        <v>3</v>
      </c>
      <c r="I7538" s="401"/>
      <c r="J7538" s="401"/>
      <c r="K7538" s="401"/>
      <c r="L7538" s="675"/>
      <c r="M7538" s="672">
        <v>29094</v>
      </c>
      <c r="N7538" s="623">
        <v>0.19892320770756589</v>
      </c>
      <c r="O7538" s="624" t="s">
        <v>71</v>
      </c>
      <c r="P7538" s="397"/>
      <c r="Q7538" s="397"/>
      <c r="R7538" s="397"/>
      <c r="S7538" s="397"/>
      <c r="T7538" s="397"/>
      <c r="U7538" s="397"/>
      <c r="V7538" s="397"/>
      <c r="W7538" s="397"/>
      <c r="X7538" s="397"/>
      <c r="Y7538" s="397"/>
      <c r="Z7538" s="397"/>
      <c r="AD7538" s="388">
        <v>4.4196</v>
      </c>
      <c r="AE7538" s="388">
        <v>0.15849600000000003</v>
      </c>
      <c r="AF7538" s="388">
        <v>0.70048892160000009</v>
      </c>
      <c r="AG7538" s="388">
        <v>0.29870400000000003</v>
      </c>
      <c r="AH7538" s="391"/>
      <c r="AI7538" s="397"/>
      <c r="AJ7538" s="397"/>
      <c r="AU7538" s="397"/>
      <c r="AV7538" s="397"/>
      <c r="AW7538" s="397"/>
      <c r="AX7538" s="397"/>
      <c r="BI7538" s="397"/>
      <c r="BJ7538" s="397"/>
      <c r="BK7538" s="397"/>
      <c r="BL7538" s="397"/>
      <c r="BM7538" s="397"/>
      <c r="BN7538" s="397"/>
      <c r="BO7538" s="397"/>
      <c r="BP7538" s="397"/>
      <c r="BQ7538" s="397"/>
      <c r="BR7538" s="397"/>
      <c r="BS7538" s="397"/>
      <c r="BT7538" s="397"/>
      <c r="BU7538" s="397"/>
      <c r="BV7538" s="397"/>
      <c r="BW7538" s="397"/>
      <c r="BX7538" s="397"/>
      <c r="BY7538" s="397"/>
      <c r="BZ7538" s="397"/>
      <c r="CA7538" s="392" t="s">
        <v>413</v>
      </c>
    </row>
    <row r="7539" spans="1:80" s="392" customFormat="1" ht="15" x14ac:dyDescent="0.25">
      <c r="A7539" s="385"/>
      <c r="D7539" s="700"/>
      <c r="E7539" s="397"/>
      <c r="H7539" s="401">
        <v>3</v>
      </c>
      <c r="I7539" s="401"/>
      <c r="J7539" s="401"/>
      <c r="K7539" s="401"/>
      <c r="L7539" s="675"/>
      <c r="M7539" s="672">
        <v>29102</v>
      </c>
      <c r="N7539" s="623">
        <v>0.141966562765656</v>
      </c>
      <c r="O7539" s="624" t="s">
        <v>71</v>
      </c>
      <c r="P7539" s="397"/>
      <c r="Q7539" s="397"/>
      <c r="R7539" s="397"/>
      <c r="S7539" s="397"/>
      <c r="T7539" s="397"/>
      <c r="U7539" s="397"/>
      <c r="V7539" s="397"/>
      <c r="W7539" s="397"/>
      <c r="X7539" s="397"/>
      <c r="Y7539" s="397"/>
      <c r="Z7539" s="397"/>
      <c r="AD7539" s="388">
        <v>4.3586400000000003</v>
      </c>
      <c r="AE7539" s="388">
        <v>0.11582400000000001</v>
      </c>
      <c r="AF7539" s="388">
        <v>0.50483511936000003</v>
      </c>
      <c r="AG7539" s="388">
        <v>0.27432000000000001</v>
      </c>
      <c r="AH7539" s="391"/>
      <c r="AI7539" s="397"/>
      <c r="AJ7539" s="397"/>
      <c r="AU7539" s="397"/>
      <c r="AV7539" s="397"/>
      <c r="AW7539" s="397"/>
      <c r="AX7539" s="397"/>
      <c r="BI7539" s="397"/>
      <c r="BJ7539" s="397"/>
      <c r="BK7539" s="397"/>
      <c r="BL7539" s="397"/>
      <c r="BM7539" s="397"/>
      <c r="BN7539" s="397"/>
      <c r="BO7539" s="397"/>
      <c r="BP7539" s="397"/>
      <c r="BQ7539" s="397"/>
      <c r="BR7539" s="397"/>
      <c r="BS7539" s="397"/>
      <c r="BT7539" s="397"/>
      <c r="BU7539" s="397"/>
      <c r="BV7539" s="397"/>
      <c r="BW7539" s="397"/>
      <c r="BX7539" s="397"/>
      <c r="BY7539" s="397"/>
      <c r="BZ7539" s="397"/>
      <c r="CA7539" s="392" t="s">
        <v>413</v>
      </c>
    </row>
    <row r="7540" spans="1:80" s="392" customFormat="1" ht="15" x14ac:dyDescent="0.25">
      <c r="A7540" s="385"/>
      <c r="D7540" s="700"/>
      <c r="E7540" s="397"/>
      <c r="H7540" s="401">
        <v>3</v>
      </c>
      <c r="I7540" s="401"/>
      <c r="J7540" s="401"/>
      <c r="K7540" s="401"/>
      <c r="L7540" s="675"/>
      <c r="M7540" s="672">
        <v>29130</v>
      </c>
      <c r="N7540" s="623">
        <v>4.817228676678946E-2</v>
      </c>
      <c r="O7540" s="624" t="s">
        <v>71</v>
      </c>
      <c r="P7540" s="397"/>
      <c r="Q7540" s="397"/>
      <c r="R7540" s="397"/>
      <c r="S7540" s="397"/>
      <c r="T7540" s="397"/>
      <c r="U7540" s="397"/>
      <c r="V7540" s="397"/>
      <c r="W7540" s="397"/>
      <c r="X7540" s="397"/>
      <c r="Y7540" s="397"/>
      <c r="Z7540" s="397"/>
      <c r="AD7540" s="388">
        <v>4.08432</v>
      </c>
      <c r="AE7540" s="388">
        <v>8.8391999999999998E-2</v>
      </c>
      <c r="AF7540" s="388">
        <v>0.36102121343999999</v>
      </c>
      <c r="AG7540" s="388">
        <v>0.12801599999999999</v>
      </c>
      <c r="AH7540" s="391"/>
      <c r="AI7540" s="397"/>
      <c r="AJ7540" s="397"/>
      <c r="AU7540" s="397"/>
      <c r="AV7540" s="397"/>
      <c r="AW7540" s="397"/>
      <c r="AX7540" s="397"/>
      <c r="BI7540" s="397"/>
      <c r="BJ7540" s="397"/>
      <c r="BK7540" s="397"/>
      <c r="BL7540" s="397"/>
      <c r="BM7540" s="397"/>
      <c r="BN7540" s="397"/>
      <c r="BO7540" s="397"/>
      <c r="BP7540" s="397"/>
      <c r="BQ7540" s="397"/>
      <c r="BR7540" s="397"/>
      <c r="BS7540" s="397"/>
      <c r="BT7540" s="397"/>
      <c r="BU7540" s="397"/>
      <c r="BV7540" s="397"/>
      <c r="BW7540" s="397"/>
      <c r="BX7540" s="397"/>
      <c r="BY7540" s="397"/>
      <c r="BZ7540" s="397"/>
      <c r="CA7540" s="392" t="s">
        <v>413</v>
      </c>
    </row>
    <row r="7541" spans="1:80" s="189" customFormat="1" ht="15" x14ac:dyDescent="0.25">
      <c r="A7541" s="381" t="s">
        <v>481</v>
      </c>
      <c r="B7541" s="641"/>
      <c r="C7541" s="639"/>
      <c r="D7541" s="4">
        <f>VLOOKUP(E7541,'Quality Code'!$D$4:$E$24,2,TRUE)*VLOOKUP(MROUND(F7541,10),'Quality Code'!$D$28:$E$69,2,TRUE)*VLOOKUP(COUNTA(CB7541:CB7551),'Quality Code'!$D$73:$E$93,2,TRUE)</f>
        <v>8.7499999999999994E-2</v>
      </c>
      <c r="E7541" s="14">
        <v>0.35</v>
      </c>
      <c r="F7541" s="2">
        <v>5</v>
      </c>
      <c r="G7541" s="12"/>
      <c r="H7541" s="2" t="s">
        <v>105</v>
      </c>
      <c r="I7541" s="2"/>
      <c r="J7541" s="2"/>
      <c r="K7541" s="2"/>
      <c r="L7541" s="639"/>
      <c r="M7541" s="640">
        <v>1979</v>
      </c>
      <c r="N7541" s="578" t="s">
        <v>110</v>
      </c>
      <c r="O7541" s="578"/>
      <c r="P7541" s="26"/>
      <c r="Q7541" s="26"/>
      <c r="R7541" s="26"/>
      <c r="S7541" s="26"/>
      <c r="T7541" s="26"/>
      <c r="U7541" s="26"/>
      <c r="V7541" s="10"/>
      <c r="W7541" s="10"/>
      <c r="X7541" s="10"/>
      <c r="Y7541" s="10"/>
      <c r="Z7541" s="2"/>
      <c r="AA7541" s="26"/>
      <c r="AB7541" s="26"/>
      <c r="AC7541" s="377">
        <v>6.6000000000000003E-2</v>
      </c>
      <c r="AD7541" s="406"/>
      <c r="AE7541" s="26"/>
      <c r="AF7541" s="26"/>
      <c r="AG7541" s="26"/>
      <c r="AH7541" s="26"/>
      <c r="AI7541" s="4"/>
      <c r="AJ7541" s="4"/>
      <c r="AK7541" s="26"/>
      <c r="AL7541" s="26"/>
      <c r="AM7541" s="26"/>
      <c r="AN7541" s="26"/>
      <c r="AO7541" s="26"/>
      <c r="AP7541" s="26"/>
      <c r="AQ7541" s="26"/>
      <c r="AR7541" s="26"/>
      <c r="AS7541" s="26"/>
      <c r="AT7541" s="26"/>
      <c r="AU7541" s="4"/>
      <c r="AV7541" s="4"/>
      <c r="AW7541" s="4"/>
      <c r="AX7541" s="4"/>
      <c r="AY7541" s="2"/>
      <c r="AZ7541" s="2"/>
      <c r="BA7541" s="12"/>
      <c r="BB7541" s="12"/>
      <c r="BC7541" s="12"/>
      <c r="BD7541" s="12"/>
      <c r="BE7541" s="12"/>
      <c r="BF7541" s="12"/>
      <c r="BG7541" s="12"/>
      <c r="BH7541" s="12"/>
      <c r="BI7541" s="4"/>
      <c r="BJ7541" s="12"/>
      <c r="BK7541" s="2"/>
      <c r="BL7541" s="2"/>
      <c r="BM7541" s="4"/>
      <c r="BN7541" s="12"/>
      <c r="BO7541" s="12"/>
      <c r="BP7541" s="12"/>
      <c r="BQ7541" s="4"/>
      <c r="BR7541" s="4"/>
      <c r="BS7541" s="4"/>
      <c r="BT7541" s="2"/>
      <c r="BU7541" s="9"/>
      <c r="BV7541" s="381"/>
      <c r="BW7541" s="382"/>
      <c r="BX7541" s="383"/>
      <c r="BY7541" s="383"/>
      <c r="BZ7541" s="383"/>
      <c r="CA7541" s="384" t="s">
        <v>413</v>
      </c>
      <c r="CB7541" s="411"/>
    </row>
    <row r="7542" spans="1:80" s="392" customFormat="1" ht="15" x14ac:dyDescent="0.25">
      <c r="A7542" s="385"/>
      <c r="D7542" s="700"/>
      <c r="E7542" s="397"/>
      <c r="H7542" s="401">
        <v>3</v>
      </c>
      <c r="I7542" s="401"/>
      <c r="J7542" s="401"/>
      <c r="K7542" s="401"/>
      <c r="L7542" s="675"/>
      <c r="M7542" s="672">
        <v>29013</v>
      </c>
      <c r="N7542" s="623">
        <v>0.2405780674412015</v>
      </c>
      <c r="O7542" s="624">
        <v>2.0609333333333332E-3</v>
      </c>
      <c r="P7542" s="397"/>
      <c r="Q7542" s="397"/>
      <c r="R7542" s="397"/>
      <c r="S7542" s="397"/>
      <c r="T7542" s="397"/>
      <c r="U7542" s="397"/>
      <c r="V7542" s="397"/>
      <c r="W7542" s="397"/>
      <c r="X7542" s="397"/>
      <c r="Y7542" s="397"/>
      <c r="Z7542" s="397"/>
      <c r="AD7542" s="388">
        <v>2.4993599999999998</v>
      </c>
      <c r="AE7542" s="388">
        <v>0.13411200000000001</v>
      </c>
      <c r="AF7542" s="388">
        <v>0.33519416831999999</v>
      </c>
      <c r="AG7542" s="388">
        <v>0.79248000000000007</v>
      </c>
      <c r="AH7542" s="391"/>
      <c r="AI7542" s="397"/>
      <c r="AJ7542" s="397"/>
      <c r="AU7542" s="397"/>
      <c r="AV7542" s="397"/>
      <c r="AW7542" s="397"/>
      <c r="AX7542" s="397"/>
      <c r="BI7542" s="397"/>
      <c r="BJ7542" s="397"/>
      <c r="BK7542" s="397"/>
      <c r="BL7542" s="397"/>
      <c r="BM7542" s="397"/>
      <c r="BN7542" s="397"/>
      <c r="BO7542" s="397"/>
      <c r="BP7542" s="397"/>
      <c r="BQ7542" s="397"/>
      <c r="BR7542" s="397"/>
      <c r="BS7542" s="397"/>
      <c r="BT7542" s="397"/>
      <c r="BU7542" s="397"/>
      <c r="BV7542" s="397"/>
      <c r="BW7542" s="397"/>
      <c r="BX7542" s="397"/>
      <c r="BY7542" s="397"/>
      <c r="BZ7542" s="397"/>
      <c r="CA7542" s="392" t="s">
        <v>413</v>
      </c>
    </row>
    <row r="7543" spans="1:80" s="392" customFormat="1" ht="15" x14ac:dyDescent="0.25">
      <c r="A7543" s="385"/>
      <c r="D7543" s="700"/>
      <c r="E7543" s="397"/>
      <c r="H7543" s="401">
        <v>3</v>
      </c>
      <c r="I7543" s="401"/>
      <c r="J7543" s="401"/>
      <c r="K7543" s="401"/>
      <c r="L7543" s="675"/>
      <c r="M7543" s="672">
        <v>29020</v>
      </c>
      <c r="N7543" s="623">
        <v>0.23916123547747237</v>
      </c>
      <c r="O7543" s="624">
        <v>6.1073999999999989E-3</v>
      </c>
      <c r="P7543" s="397"/>
      <c r="Q7543" s="397"/>
      <c r="R7543" s="397"/>
      <c r="S7543" s="397"/>
      <c r="T7543" s="397"/>
      <c r="U7543" s="397"/>
      <c r="V7543" s="397"/>
      <c r="W7543" s="397"/>
      <c r="X7543" s="397"/>
      <c r="Y7543" s="397"/>
      <c r="Z7543" s="397"/>
      <c r="AD7543" s="388">
        <v>2.46888</v>
      </c>
      <c r="AE7543" s="388">
        <v>0.15849600000000003</v>
      </c>
      <c r="AF7543" s="388">
        <v>0.39130760448000007</v>
      </c>
      <c r="AG7543" s="388">
        <v>0.73152000000000006</v>
      </c>
      <c r="AH7543" s="391"/>
      <c r="AI7543" s="397"/>
      <c r="AJ7543" s="397"/>
      <c r="AU7543" s="397"/>
      <c r="AV7543" s="397"/>
      <c r="AW7543" s="397"/>
      <c r="AX7543" s="397"/>
      <c r="BI7543" s="397"/>
      <c r="BJ7543" s="397"/>
      <c r="BK7543" s="397"/>
      <c r="BL7543" s="397"/>
      <c r="BM7543" s="397"/>
      <c r="BN7543" s="397"/>
      <c r="BO7543" s="397"/>
      <c r="BP7543" s="397"/>
      <c r="BQ7543" s="397"/>
      <c r="BR7543" s="397"/>
      <c r="BS7543" s="397"/>
      <c r="BT7543" s="397"/>
      <c r="BU7543" s="397"/>
      <c r="BV7543" s="397"/>
      <c r="BW7543" s="397"/>
      <c r="BX7543" s="397"/>
      <c r="BY7543" s="397"/>
      <c r="BZ7543" s="397"/>
      <c r="CA7543" s="392" t="s">
        <v>413</v>
      </c>
    </row>
    <row r="7544" spans="1:80" s="392" customFormat="1" ht="15" x14ac:dyDescent="0.25">
      <c r="A7544" s="385"/>
      <c r="D7544" s="700"/>
      <c r="E7544" s="397"/>
      <c r="H7544" s="401">
        <v>3</v>
      </c>
      <c r="I7544" s="401"/>
      <c r="J7544" s="401"/>
      <c r="K7544" s="401"/>
      <c r="L7544" s="675"/>
      <c r="M7544" s="672">
        <v>29027</v>
      </c>
      <c r="N7544" s="623">
        <v>0.16888637007650892</v>
      </c>
      <c r="O7544" s="624">
        <v>1.0292000000000001E-3</v>
      </c>
      <c r="P7544" s="397"/>
      <c r="Q7544" s="397"/>
      <c r="R7544" s="397"/>
      <c r="S7544" s="397"/>
      <c r="T7544" s="397"/>
      <c r="U7544" s="397"/>
      <c r="V7544" s="397"/>
      <c r="W7544" s="397"/>
      <c r="X7544" s="397"/>
      <c r="Y7544" s="397"/>
      <c r="Z7544" s="397"/>
      <c r="AD7544" s="388">
        <v>2.5298400000000005</v>
      </c>
      <c r="AE7544" s="388">
        <v>0.14325599999999999</v>
      </c>
      <c r="AF7544" s="388">
        <v>0.36241475904000009</v>
      </c>
      <c r="AG7544" s="388">
        <v>0.54864000000000002</v>
      </c>
      <c r="AH7544" s="391"/>
      <c r="AI7544" s="397"/>
      <c r="AJ7544" s="397"/>
      <c r="AU7544" s="397"/>
      <c r="AV7544" s="397"/>
      <c r="AW7544" s="397"/>
      <c r="AX7544" s="397"/>
      <c r="BI7544" s="397"/>
      <c r="BJ7544" s="397"/>
      <c r="BK7544" s="397"/>
      <c r="BL7544" s="397"/>
      <c r="BM7544" s="397"/>
      <c r="BN7544" s="397"/>
      <c r="BO7544" s="397"/>
      <c r="BP7544" s="397"/>
      <c r="BQ7544" s="397"/>
      <c r="BR7544" s="397"/>
      <c r="BS7544" s="397"/>
      <c r="BT7544" s="397"/>
      <c r="BU7544" s="397"/>
      <c r="BV7544" s="397"/>
      <c r="BW7544" s="397"/>
      <c r="BX7544" s="397"/>
      <c r="BY7544" s="397"/>
      <c r="BZ7544" s="397"/>
      <c r="CA7544" s="392" t="s">
        <v>413</v>
      </c>
    </row>
    <row r="7545" spans="1:80" s="392" customFormat="1" ht="15" x14ac:dyDescent="0.25">
      <c r="A7545" s="385"/>
      <c r="D7545" s="700"/>
      <c r="E7545" s="397"/>
      <c r="H7545" s="401">
        <v>3</v>
      </c>
      <c r="I7545" s="401"/>
      <c r="J7545" s="401"/>
      <c r="K7545" s="401"/>
      <c r="L7545" s="675"/>
      <c r="M7545" s="672">
        <v>29035</v>
      </c>
      <c r="N7545" s="623">
        <v>0.24454519693964299</v>
      </c>
      <c r="O7545" s="624">
        <v>2.9880000000000005E-4</v>
      </c>
      <c r="P7545" s="397"/>
      <c r="Q7545" s="397"/>
      <c r="R7545" s="397"/>
      <c r="S7545" s="397"/>
      <c r="T7545" s="397"/>
      <c r="U7545" s="397"/>
      <c r="V7545" s="397"/>
      <c r="W7545" s="397"/>
      <c r="X7545" s="397"/>
      <c r="Y7545" s="397"/>
      <c r="Z7545" s="397"/>
      <c r="AD7545" s="388">
        <v>2.5298400000000005</v>
      </c>
      <c r="AE7545" s="388">
        <v>0.14630399999999999</v>
      </c>
      <c r="AF7545" s="388">
        <v>0.37012571136000005</v>
      </c>
      <c r="AG7545" s="388">
        <v>0.60960000000000003</v>
      </c>
      <c r="AH7545" s="391"/>
      <c r="AI7545" s="397"/>
      <c r="AJ7545" s="397"/>
      <c r="AU7545" s="397"/>
      <c r="AV7545" s="397"/>
      <c r="AW7545" s="397"/>
      <c r="AX7545" s="397"/>
      <c r="BI7545" s="397"/>
      <c r="BJ7545" s="397"/>
      <c r="BK7545" s="397"/>
      <c r="BL7545" s="397"/>
      <c r="BM7545" s="397"/>
      <c r="BN7545" s="397"/>
      <c r="BO7545" s="397"/>
      <c r="BP7545" s="397"/>
      <c r="BQ7545" s="397"/>
      <c r="BR7545" s="397"/>
      <c r="BS7545" s="397"/>
      <c r="BT7545" s="397"/>
      <c r="BU7545" s="397"/>
      <c r="BV7545" s="397"/>
      <c r="BW7545" s="397"/>
      <c r="BX7545" s="397"/>
      <c r="BY7545" s="397"/>
      <c r="BZ7545" s="397"/>
      <c r="CA7545" s="392" t="s">
        <v>413</v>
      </c>
    </row>
    <row r="7546" spans="1:80" s="392" customFormat="1" ht="15" x14ac:dyDescent="0.25">
      <c r="A7546" s="385"/>
      <c r="D7546" s="700"/>
      <c r="E7546" s="397"/>
      <c r="H7546" s="401">
        <v>3</v>
      </c>
      <c r="I7546" s="401"/>
      <c r="J7546" s="401"/>
      <c r="K7546" s="401"/>
      <c r="L7546" s="675"/>
      <c r="M7546" s="672">
        <v>29040</v>
      </c>
      <c r="N7546" s="623">
        <v>0.23094361008784359</v>
      </c>
      <c r="O7546" s="624">
        <v>1.9439999999999998E-4</v>
      </c>
      <c r="P7546" s="397"/>
      <c r="Q7546" s="397"/>
      <c r="R7546" s="397"/>
      <c r="S7546" s="397"/>
      <c r="T7546" s="397"/>
      <c r="U7546" s="397"/>
      <c r="V7546" s="397"/>
      <c r="W7546" s="397"/>
      <c r="X7546" s="397"/>
      <c r="Y7546" s="397"/>
      <c r="Z7546" s="397"/>
      <c r="AD7546" s="388">
        <v>2.46888</v>
      </c>
      <c r="AE7546" s="388">
        <v>0.140208</v>
      </c>
      <c r="AF7546" s="388">
        <v>0.34615672704</v>
      </c>
      <c r="AG7546" s="388">
        <v>0.57911999999999997</v>
      </c>
      <c r="AH7546" s="391"/>
      <c r="AI7546" s="397"/>
      <c r="AJ7546" s="397"/>
      <c r="AU7546" s="397"/>
      <c r="AV7546" s="397"/>
      <c r="AW7546" s="397"/>
      <c r="AX7546" s="397"/>
      <c r="BI7546" s="397"/>
      <c r="BJ7546" s="397"/>
      <c r="BK7546" s="397"/>
      <c r="BL7546" s="397"/>
      <c r="BM7546" s="397"/>
      <c r="BN7546" s="397"/>
      <c r="BO7546" s="397"/>
      <c r="BP7546" s="397"/>
      <c r="BQ7546" s="397"/>
      <c r="BR7546" s="397"/>
      <c r="BS7546" s="397"/>
      <c r="BT7546" s="397"/>
      <c r="BU7546" s="397"/>
      <c r="BV7546" s="397"/>
      <c r="BW7546" s="397"/>
      <c r="BX7546" s="397"/>
      <c r="BY7546" s="397"/>
      <c r="BZ7546" s="397"/>
      <c r="CA7546" s="392" t="s">
        <v>413</v>
      </c>
    </row>
    <row r="7547" spans="1:80" s="392" customFormat="1" ht="15" x14ac:dyDescent="0.25">
      <c r="A7547" s="385"/>
      <c r="D7547" s="700"/>
      <c r="E7547" s="397"/>
      <c r="H7547" s="401">
        <v>3</v>
      </c>
      <c r="I7547" s="401"/>
      <c r="J7547" s="401"/>
      <c r="K7547" s="401"/>
      <c r="L7547" s="675"/>
      <c r="M7547" s="672">
        <v>29048</v>
      </c>
      <c r="N7547" s="623">
        <v>0.14933408897704731</v>
      </c>
      <c r="O7547" s="624">
        <v>0</v>
      </c>
      <c r="P7547" s="397"/>
      <c r="Q7547" s="397"/>
      <c r="R7547" s="397"/>
      <c r="S7547" s="397"/>
      <c r="T7547" s="397"/>
      <c r="U7547" s="397"/>
      <c r="V7547" s="397"/>
      <c r="W7547" s="397"/>
      <c r="X7547" s="397"/>
      <c r="Y7547" s="397"/>
      <c r="Z7547" s="397"/>
      <c r="AD7547" s="388">
        <v>2.5298400000000005</v>
      </c>
      <c r="AE7547" s="388">
        <v>0.10972800000000001</v>
      </c>
      <c r="AF7547" s="388">
        <v>0.2775942835200001</v>
      </c>
      <c r="AG7547" s="388">
        <v>0.54864000000000002</v>
      </c>
      <c r="AH7547" s="391"/>
      <c r="AI7547" s="397"/>
      <c r="AJ7547" s="397"/>
      <c r="AU7547" s="397"/>
      <c r="AV7547" s="397"/>
      <c r="AW7547" s="397"/>
      <c r="AX7547" s="397"/>
      <c r="BI7547" s="397"/>
      <c r="BJ7547" s="397"/>
      <c r="BK7547" s="397"/>
      <c r="BL7547" s="397"/>
      <c r="BM7547" s="397"/>
      <c r="BN7547" s="397"/>
      <c r="BO7547" s="397"/>
      <c r="BP7547" s="397"/>
      <c r="BQ7547" s="397"/>
      <c r="BR7547" s="397"/>
      <c r="BS7547" s="397"/>
      <c r="BT7547" s="397"/>
      <c r="BU7547" s="397"/>
      <c r="BV7547" s="397"/>
      <c r="BW7547" s="397"/>
      <c r="BX7547" s="397"/>
      <c r="BY7547" s="397"/>
      <c r="BZ7547" s="397"/>
      <c r="CA7547" s="392" t="s">
        <v>413</v>
      </c>
    </row>
    <row r="7548" spans="1:80" s="392" customFormat="1" ht="15" x14ac:dyDescent="0.25">
      <c r="A7548" s="385"/>
      <c r="D7548" s="700"/>
      <c r="E7548" s="397"/>
      <c r="H7548" s="401">
        <v>3</v>
      </c>
      <c r="I7548" s="401"/>
      <c r="J7548" s="401"/>
      <c r="K7548" s="401"/>
      <c r="L7548" s="675"/>
      <c r="M7548" s="672">
        <v>29055</v>
      </c>
      <c r="N7548" s="623">
        <v>7.8209124397846413E-2</v>
      </c>
      <c r="O7548" s="624" t="s">
        <v>71</v>
      </c>
      <c r="P7548" s="397"/>
      <c r="Q7548" s="397"/>
      <c r="R7548" s="397"/>
      <c r="S7548" s="397"/>
      <c r="T7548" s="397"/>
      <c r="U7548" s="397"/>
      <c r="V7548" s="397"/>
      <c r="W7548" s="397"/>
      <c r="X7548" s="397"/>
      <c r="Y7548" s="397"/>
      <c r="Z7548" s="397"/>
      <c r="AD7548" s="388">
        <v>2.4993599999999998</v>
      </c>
      <c r="AE7548" s="388">
        <v>0.10972800000000001</v>
      </c>
      <c r="AF7548" s="388">
        <v>0.27424977408000001</v>
      </c>
      <c r="AG7548" s="388">
        <v>0.27432000000000001</v>
      </c>
      <c r="AH7548" s="391"/>
      <c r="AI7548" s="397"/>
      <c r="AJ7548" s="397"/>
      <c r="AU7548" s="397"/>
      <c r="AV7548" s="397"/>
      <c r="AW7548" s="397"/>
      <c r="AX7548" s="397"/>
      <c r="BI7548" s="397"/>
      <c r="BJ7548" s="397"/>
      <c r="BK7548" s="397"/>
      <c r="BL7548" s="397"/>
      <c r="BM7548" s="397"/>
      <c r="BN7548" s="397"/>
      <c r="BO7548" s="397"/>
      <c r="BP7548" s="397"/>
      <c r="BQ7548" s="397"/>
      <c r="BR7548" s="397"/>
      <c r="BS7548" s="397"/>
      <c r="BT7548" s="397"/>
      <c r="BU7548" s="397"/>
      <c r="BV7548" s="397"/>
      <c r="BW7548" s="397"/>
      <c r="BX7548" s="397"/>
      <c r="BY7548" s="397"/>
      <c r="BZ7548" s="397"/>
      <c r="CA7548" s="392" t="s">
        <v>413</v>
      </c>
    </row>
    <row r="7549" spans="1:80" s="392" customFormat="1" ht="15" x14ac:dyDescent="0.25">
      <c r="A7549" s="385"/>
      <c r="D7549" s="700"/>
      <c r="E7549" s="397"/>
      <c r="H7549" s="401">
        <v>3</v>
      </c>
      <c r="I7549" s="401"/>
      <c r="J7549" s="401"/>
      <c r="K7549" s="401"/>
      <c r="L7549" s="675"/>
      <c r="M7549" s="672">
        <v>29062</v>
      </c>
      <c r="N7549" s="623">
        <v>4.6472088410314534E-2</v>
      </c>
      <c r="O7549" s="624" t="s">
        <v>71</v>
      </c>
      <c r="P7549" s="397"/>
      <c r="Q7549" s="397"/>
      <c r="R7549" s="397"/>
      <c r="S7549" s="397"/>
      <c r="T7549" s="397"/>
      <c r="U7549" s="397"/>
      <c r="V7549" s="397"/>
      <c r="W7549" s="397"/>
      <c r="X7549" s="397"/>
      <c r="Y7549" s="397"/>
      <c r="Z7549" s="397"/>
      <c r="AD7549" s="388">
        <v>2.4993599999999998</v>
      </c>
      <c r="AE7549" s="388">
        <v>8.2296000000000008E-2</v>
      </c>
      <c r="AF7549" s="388">
        <v>0.20568733055999999</v>
      </c>
      <c r="AG7549" s="388">
        <v>0.24384000000000003</v>
      </c>
      <c r="AH7549" s="391"/>
      <c r="AI7549" s="397"/>
      <c r="AJ7549" s="397"/>
      <c r="AU7549" s="397"/>
      <c r="AV7549" s="397"/>
      <c r="AW7549" s="397"/>
      <c r="AX7549" s="397"/>
      <c r="BI7549" s="397"/>
      <c r="BJ7549" s="397"/>
      <c r="BK7549" s="397"/>
      <c r="BL7549" s="397"/>
      <c r="BM7549" s="397"/>
      <c r="BN7549" s="397"/>
      <c r="BO7549" s="397"/>
      <c r="BP7549" s="397"/>
      <c r="BQ7549" s="397"/>
      <c r="BR7549" s="397"/>
      <c r="BS7549" s="397"/>
      <c r="BT7549" s="397"/>
      <c r="BU7549" s="397"/>
      <c r="BV7549" s="397"/>
      <c r="BW7549" s="397"/>
      <c r="BX7549" s="397"/>
      <c r="BY7549" s="397"/>
      <c r="BZ7549" s="397"/>
      <c r="CA7549" s="392" t="s">
        <v>413</v>
      </c>
    </row>
    <row r="7550" spans="1:80" s="392" customFormat="1" ht="15" x14ac:dyDescent="0.25">
      <c r="A7550" s="385"/>
      <c r="D7550" s="700"/>
      <c r="E7550" s="397"/>
      <c r="H7550" s="401">
        <v>3</v>
      </c>
      <c r="I7550" s="401"/>
      <c r="J7550" s="401"/>
      <c r="K7550" s="401"/>
      <c r="L7550" s="675"/>
      <c r="M7550" s="672">
        <v>29074</v>
      </c>
      <c r="N7550" s="623">
        <v>7.4808727684896575E-2</v>
      </c>
      <c r="O7550" s="624" t="s">
        <v>71</v>
      </c>
      <c r="P7550" s="397"/>
      <c r="Q7550" s="397"/>
      <c r="R7550" s="397"/>
      <c r="S7550" s="397"/>
      <c r="T7550" s="397"/>
      <c r="U7550" s="397"/>
      <c r="V7550" s="397"/>
      <c r="W7550" s="397"/>
      <c r="X7550" s="397"/>
      <c r="Y7550" s="397"/>
      <c r="Z7550" s="397"/>
      <c r="AD7550" s="388">
        <v>2.4993599999999998</v>
      </c>
      <c r="AE7550" s="388">
        <v>8.5344000000000017E-2</v>
      </c>
      <c r="AF7550" s="388">
        <v>0.21330537984000003</v>
      </c>
      <c r="AG7550" s="388">
        <v>0.33528000000000002</v>
      </c>
      <c r="AH7550" s="391"/>
      <c r="AI7550" s="397"/>
      <c r="AJ7550" s="397"/>
      <c r="AU7550" s="397"/>
      <c r="AV7550" s="397"/>
      <c r="AW7550" s="397"/>
      <c r="AX7550" s="397"/>
      <c r="BI7550" s="397"/>
      <c r="BJ7550" s="397"/>
      <c r="BK7550" s="397"/>
      <c r="BL7550" s="397"/>
      <c r="BM7550" s="397"/>
      <c r="BN7550" s="397"/>
      <c r="BO7550" s="397"/>
      <c r="BP7550" s="397"/>
      <c r="BQ7550" s="397"/>
      <c r="BR7550" s="397"/>
      <c r="BS7550" s="397"/>
      <c r="BT7550" s="397"/>
      <c r="BU7550" s="397"/>
      <c r="BV7550" s="397"/>
      <c r="BW7550" s="397"/>
      <c r="BX7550" s="397"/>
      <c r="BY7550" s="397"/>
      <c r="BZ7550" s="397"/>
      <c r="CA7550" s="392" t="s">
        <v>413</v>
      </c>
    </row>
    <row r="7551" spans="1:80" s="392" customFormat="1" ht="15" x14ac:dyDescent="0.25">
      <c r="A7551" s="385"/>
      <c r="D7551" s="700"/>
      <c r="E7551" s="397"/>
      <c r="H7551" s="401">
        <v>3</v>
      </c>
      <c r="I7551" s="401"/>
      <c r="J7551" s="401"/>
      <c r="K7551" s="401"/>
      <c r="L7551" s="675"/>
      <c r="M7551" s="672">
        <v>29082</v>
      </c>
      <c r="N7551" s="623">
        <v>8.2459620289033725E-2</v>
      </c>
      <c r="O7551" s="624" t="s">
        <v>71</v>
      </c>
      <c r="P7551" s="397"/>
      <c r="Q7551" s="397"/>
      <c r="R7551" s="397"/>
      <c r="S7551" s="397"/>
      <c r="T7551" s="397"/>
      <c r="U7551" s="397"/>
      <c r="V7551" s="397"/>
      <c r="W7551" s="397"/>
      <c r="X7551" s="397"/>
      <c r="Y7551" s="397"/>
      <c r="Z7551" s="397"/>
      <c r="AD7551" s="388">
        <v>2.4993599999999998</v>
      </c>
      <c r="AE7551" s="388">
        <v>0.10058400000000001</v>
      </c>
      <c r="AF7551" s="388">
        <v>0.25139562624</v>
      </c>
      <c r="AG7551" s="388">
        <v>0.48768000000000006</v>
      </c>
      <c r="AH7551" s="391"/>
      <c r="AI7551" s="397"/>
      <c r="AJ7551" s="397"/>
      <c r="AU7551" s="397"/>
      <c r="AV7551" s="397"/>
      <c r="AW7551" s="397"/>
      <c r="AX7551" s="397"/>
      <c r="BI7551" s="397"/>
      <c r="BJ7551" s="397"/>
      <c r="BK7551" s="397"/>
      <c r="BL7551" s="397"/>
      <c r="BM7551" s="397"/>
      <c r="BN7551" s="397"/>
      <c r="BO7551" s="397"/>
      <c r="BP7551" s="397"/>
      <c r="BQ7551" s="397"/>
      <c r="BR7551" s="397"/>
      <c r="BS7551" s="397"/>
      <c r="BT7551" s="397"/>
      <c r="BU7551" s="397"/>
      <c r="BV7551" s="397"/>
      <c r="BW7551" s="397"/>
      <c r="BX7551" s="397"/>
      <c r="BY7551" s="397"/>
      <c r="BZ7551" s="397"/>
      <c r="CA7551" s="392" t="s">
        <v>413</v>
      </c>
    </row>
    <row r="7552" spans="1:80" s="392" customFormat="1" ht="15" x14ac:dyDescent="0.25">
      <c r="A7552" s="385"/>
      <c r="D7552" s="700"/>
      <c r="E7552" s="397"/>
      <c r="H7552" s="401">
        <v>3</v>
      </c>
      <c r="I7552" s="401"/>
      <c r="J7552" s="401"/>
      <c r="K7552" s="401"/>
      <c r="L7552" s="675"/>
      <c r="M7552" s="672">
        <v>29094</v>
      </c>
      <c r="N7552" s="623">
        <v>8.274298668177954E-2</v>
      </c>
      <c r="O7552" s="624" t="s">
        <v>71</v>
      </c>
      <c r="P7552" s="397"/>
      <c r="Q7552" s="397"/>
      <c r="R7552" s="397"/>
      <c r="S7552" s="397"/>
      <c r="T7552" s="397"/>
      <c r="U7552" s="397"/>
      <c r="V7552" s="397"/>
      <c r="W7552" s="397"/>
      <c r="X7552" s="397"/>
      <c r="Y7552" s="397"/>
      <c r="Z7552" s="397"/>
      <c r="AD7552" s="388">
        <v>2.5298400000000005</v>
      </c>
      <c r="AE7552" s="388">
        <v>7.0104E-2</v>
      </c>
      <c r="AF7552" s="388">
        <v>0.17735190336000003</v>
      </c>
      <c r="AG7552" s="388">
        <v>0.42671999999999999</v>
      </c>
      <c r="AH7552" s="391"/>
      <c r="AI7552" s="397"/>
      <c r="AJ7552" s="397"/>
      <c r="AU7552" s="397"/>
      <c r="AV7552" s="397"/>
      <c r="AW7552" s="397"/>
      <c r="AX7552" s="397"/>
      <c r="BI7552" s="397"/>
      <c r="BJ7552" s="397"/>
      <c r="BK7552" s="397"/>
      <c r="BL7552" s="397"/>
      <c r="BM7552" s="397"/>
      <c r="BN7552" s="397"/>
      <c r="BO7552" s="397"/>
      <c r="BP7552" s="397"/>
      <c r="BQ7552" s="397"/>
      <c r="BR7552" s="397"/>
      <c r="BS7552" s="397"/>
      <c r="BT7552" s="397"/>
      <c r="BU7552" s="397"/>
      <c r="BV7552" s="397"/>
      <c r="BW7552" s="397"/>
      <c r="BX7552" s="397"/>
      <c r="BY7552" s="397"/>
      <c r="BZ7552" s="397"/>
      <c r="CA7552" s="392" t="s">
        <v>413</v>
      </c>
    </row>
    <row r="7553" spans="1:80" s="392" customFormat="1" ht="15" x14ac:dyDescent="0.25">
      <c r="A7553" s="385"/>
      <c r="D7553" s="700"/>
      <c r="E7553" s="397"/>
      <c r="H7553" s="401">
        <v>3</v>
      </c>
      <c r="I7553" s="401"/>
      <c r="J7553" s="401"/>
      <c r="K7553" s="401"/>
      <c r="L7553" s="675"/>
      <c r="M7553" s="672">
        <v>29102</v>
      </c>
      <c r="N7553" s="623">
        <v>7.7359025219608954E-2</v>
      </c>
      <c r="O7553" s="624" t="s">
        <v>71</v>
      </c>
      <c r="P7553" s="397"/>
      <c r="Q7553" s="397"/>
      <c r="R7553" s="397"/>
      <c r="S7553" s="397"/>
      <c r="T7553" s="397"/>
      <c r="U7553" s="397"/>
      <c r="V7553" s="397"/>
      <c r="W7553" s="397"/>
      <c r="X7553" s="397"/>
      <c r="Y7553" s="397"/>
      <c r="Z7553" s="397"/>
      <c r="AD7553" s="388">
        <v>2.4993599999999998</v>
      </c>
      <c r="AE7553" s="388">
        <v>7.3151999999999995E-2</v>
      </c>
      <c r="AF7553" s="388">
        <v>0.18283318271999996</v>
      </c>
      <c r="AG7553" s="388">
        <v>0.42671999999999999</v>
      </c>
      <c r="AH7553" s="391"/>
      <c r="AI7553" s="397"/>
      <c r="AJ7553" s="397"/>
      <c r="AU7553" s="397"/>
      <c r="AV7553" s="397"/>
      <c r="AW7553" s="397"/>
      <c r="AX7553" s="397"/>
      <c r="BI7553" s="397"/>
      <c r="BJ7553" s="397"/>
      <c r="BK7553" s="397"/>
      <c r="BL7553" s="397"/>
      <c r="BM7553" s="397"/>
      <c r="BN7553" s="397"/>
      <c r="BO7553" s="397"/>
      <c r="BP7553" s="397"/>
      <c r="BQ7553" s="397"/>
      <c r="BR7553" s="397"/>
      <c r="BS7553" s="397"/>
      <c r="BT7553" s="397"/>
      <c r="BU7553" s="397"/>
      <c r="BV7553" s="397"/>
      <c r="BW7553" s="397"/>
      <c r="BX7553" s="397"/>
      <c r="BY7553" s="397"/>
      <c r="BZ7553" s="397"/>
      <c r="CA7553" s="392" t="s">
        <v>413</v>
      </c>
    </row>
    <row r="7554" spans="1:80" s="392" customFormat="1" ht="15" x14ac:dyDescent="0.25">
      <c r="A7554" s="385"/>
      <c r="D7554" s="700"/>
      <c r="E7554" s="397"/>
      <c r="H7554" s="401">
        <v>3</v>
      </c>
      <c r="I7554" s="401"/>
      <c r="J7554" s="401"/>
      <c r="K7554" s="401"/>
      <c r="L7554" s="675"/>
      <c r="M7554" s="672">
        <v>29126</v>
      </c>
      <c r="N7554" s="623">
        <v>3.6554264664210828E-2</v>
      </c>
      <c r="O7554" s="624" t="s">
        <v>71</v>
      </c>
      <c r="P7554" s="397"/>
      <c r="Q7554" s="397"/>
      <c r="R7554" s="397"/>
      <c r="S7554" s="397"/>
      <c r="T7554" s="397"/>
      <c r="U7554" s="397"/>
      <c r="V7554" s="397"/>
      <c r="W7554" s="397"/>
      <c r="X7554" s="397"/>
      <c r="Y7554" s="397"/>
      <c r="Z7554" s="397"/>
      <c r="AD7554" s="388">
        <v>2.5298400000000005</v>
      </c>
      <c r="AE7554" s="388">
        <v>5.4864000000000003E-2</v>
      </c>
      <c r="AF7554" s="388">
        <v>0.13879714176000005</v>
      </c>
      <c r="AG7554" s="388">
        <v>0.30480000000000002</v>
      </c>
      <c r="AH7554" s="391"/>
      <c r="AI7554" s="397"/>
      <c r="AJ7554" s="397"/>
      <c r="AU7554" s="397"/>
      <c r="AV7554" s="397"/>
      <c r="AW7554" s="397"/>
      <c r="AX7554" s="397"/>
      <c r="BI7554" s="397"/>
      <c r="BJ7554" s="397"/>
      <c r="BK7554" s="397"/>
      <c r="BL7554" s="397"/>
      <c r="BM7554" s="397"/>
      <c r="BN7554" s="397"/>
      <c r="BO7554" s="397"/>
      <c r="BP7554" s="397"/>
      <c r="BQ7554" s="397"/>
      <c r="BR7554" s="397"/>
      <c r="BS7554" s="397"/>
      <c r="BT7554" s="397"/>
      <c r="BU7554" s="397"/>
      <c r="BV7554" s="397"/>
      <c r="BW7554" s="397"/>
      <c r="BX7554" s="397"/>
      <c r="BY7554" s="397"/>
      <c r="BZ7554" s="397"/>
      <c r="CA7554" s="392" t="s">
        <v>413</v>
      </c>
    </row>
    <row r="7555" spans="1:80" s="189" customFormat="1" ht="15" x14ac:dyDescent="0.25">
      <c r="A7555" s="381" t="s">
        <v>482</v>
      </c>
      <c r="B7555" s="641"/>
      <c r="C7555" s="639"/>
      <c r="D7555" s="4">
        <f>VLOOKUP(E7555,'Quality Code'!$D$4:$E$24,2,TRUE)*VLOOKUP(MROUND(F7555,10),'Quality Code'!$D$28:$E$69,2,TRUE)*VLOOKUP(COUNTA(CB7555:CB7565),'Quality Code'!$D$73:$E$93,2,TRUE)</f>
        <v>0</v>
      </c>
      <c r="E7555" s="14">
        <v>0.3</v>
      </c>
      <c r="F7555" s="2">
        <v>3</v>
      </c>
      <c r="G7555" s="12"/>
      <c r="H7555" s="2" t="s">
        <v>105</v>
      </c>
      <c r="I7555" s="2"/>
      <c r="J7555" s="2"/>
      <c r="K7555" s="2"/>
      <c r="L7555" s="639"/>
      <c r="M7555" s="640">
        <v>1979</v>
      </c>
      <c r="N7555" s="578" t="s">
        <v>110</v>
      </c>
      <c r="O7555" s="578"/>
      <c r="P7555" s="26"/>
      <c r="Q7555" s="26"/>
      <c r="R7555" s="26"/>
      <c r="S7555" s="26"/>
      <c r="T7555" s="26"/>
      <c r="U7555" s="26"/>
      <c r="V7555" s="10"/>
      <c r="W7555" s="10"/>
      <c r="X7555" s="10"/>
      <c r="Y7555" s="10"/>
      <c r="Z7555" s="2"/>
      <c r="AA7555" s="26"/>
      <c r="AB7555" s="26"/>
      <c r="AC7555" s="377"/>
      <c r="AD7555" s="406"/>
      <c r="AE7555" s="26"/>
      <c r="AF7555" s="26"/>
      <c r="AG7555" s="26"/>
      <c r="AH7555" s="26"/>
      <c r="AI7555" s="4"/>
      <c r="AJ7555" s="4"/>
      <c r="AK7555" s="26"/>
      <c r="AL7555" s="26"/>
      <c r="AM7555" s="26"/>
      <c r="AN7555" s="26"/>
      <c r="AO7555" s="26"/>
      <c r="AP7555" s="26"/>
      <c r="AQ7555" s="26"/>
      <c r="AR7555" s="26"/>
      <c r="AS7555" s="26"/>
      <c r="AT7555" s="26"/>
      <c r="AU7555" s="4"/>
      <c r="AV7555" s="4"/>
      <c r="AW7555" s="4"/>
      <c r="AX7555" s="4"/>
      <c r="AY7555" s="2"/>
      <c r="AZ7555" s="2"/>
      <c r="BA7555" s="12"/>
      <c r="BB7555" s="12"/>
      <c r="BC7555" s="12"/>
      <c r="BD7555" s="12"/>
      <c r="BE7555" s="12"/>
      <c r="BF7555" s="12"/>
      <c r="BG7555" s="12"/>
      <c r="BH7555" s="12"/>
      <c r="BI7555" s="4"/>
      <c r="BJ7555" s="12"/>
      <c r="BK7555" s="2"/>
      <c r="BL7555" s="2"/>
      <c r="BM7555" s="4"/>
      <c r="BN7555" s="12"/>
      <c r="BO7555" s="12"/>
      <c r="BP7555" s="12"/>
      <c r="BQ7555" s="4"/>
      <c r="BR7555" s="4"/>
      <c r="BS7555" s="4"/>
      <c r="BT7555" s="2"/>
      <c r="BU7555" s="9"/>
      <c r="BV7555" s="381"/>
      <c r="BW7555" s="382"/>
      <c r="BX7555" s="383"/>
      <c r="BY7555" s="383"/>
      <c r="BZ7555" s="383"/>
      <c r="CA7555" s="384" t="s">
        <v>413</v>
      </c>
      <c r="CB7555" s="411"/>
    </row>
    <row r="7556" spans="1:80" s="392" customFormat="1" ht="15" x14ac:dyDescent="0.25">
      <c r="A7556" s="385"/>
      <c r="D7556" s="700"/>
      <c r="E7556" s="397"/>
      <c r="H7556" s="401">
        <v>3</v>
      </c>
      <c r="I7556" s="401"/>
      <c r="J7556" s="401"/>
      <c r="K7556" s="401"/>
      <c r="L7556" s="675"/>
      <c r="M7556" s="672">
        <v>29019</v>
      </c>
      <c r="N7556" s="623">
        <v>0.20034003967129499</v>
      </c>
      <c r="O7556" s="624" t="s">
        <v>71</v>
      </c>
      <c r="P7556" s="397"/>
      <c r="Q7556" s="397"/>
      <c r="R7556" s="397"/>
      <c r="S7556" s="397"/>
      <c r="T7556" s="397"/>
      <c r="U7556" s="397"/>
      <c r="V7556" s="397"/>
      <c r="W7556" s="397"/>
      <c r="X7556" s="397"/>
      <c r="Y7556" s="397"/>
      <c r="Z7556" s="397"/>
      <c r="AD7556" s="388">
        <v>1.624584</v>
      </c>
      <c r="AE7556" s="388">
        <v>0.24384000000000003</v>
      </c>
      <c r="AF7556" s="388">
        <v>0.39613856256000007</v>
      </c>
      <c r="AG7556" s="388">
        <v>0.54864000000000002</v>
      </c>
      <c r="AH7556" s="391"/>
      <c r="AI7556" s="397"/>
      <c r="AJ7556" s="397"/>
      <c r="AU7556" s="397"/>
      <c r="AV7556" s="397"/>
      <c r="AW7556" s="397"/>
      <c r="AX7556" s="397"/>
      <c r="BI7556" s="397"/>
      <c r="BJ7556" s="397"/>
      <c r="BK7556" s="397"/>
      <c r="BL7556" s="397"/>
      <c r="BM7556" s="397"/>
      <c r="BN7556" s="397"/>
      <c r="BO7556" s="397"/>
      <c r="BP7556" s="397"/>
      <c r="BQ7556" s="397"/>
      <c r="BR7556" s="397"/>
      <c r="BS7556" s="397"/>
      <c r="BT7556" s="397"/>
      <c r="BU7556" s="397"/>
      <c r="BV7556" s="397"/>
      <c r="BW7556" s="397"/>
      <c r="BX7556" s="397"/>
      <c r="BY7556" s="397"/>
      <c r="BZ7556" s="397"/>
      <c r="CA7556" s="392" t="s">
        <v>413</v>
      </c>
    </row>
    <row r="7557" spans="1:80" s="392" customFormat="1" ht="15" x14ac:dyDescent="0.25">
      <c r="A7557" s="385"/>
      <c r="D7557" s="700"/>
      <c r="E7557" s="397"/>
      <c r="H7557" s="401">
        <v>3</v>
      </c>
      <c r="I7557" s="401"/>
      <c r="J7557" s="401"/>
      <c r="K7557" s="401"/>
      <c r="L7557" s="675"/>
      <c r="M7557" s="672">
        <v>29033</v>
      </c>
      <c r="N7557" s="623">
        <v>3.2303768773023517E-2</v>
      </c>
      <c r="O7557" s="624">
        <v>4.7899199999999996E-3</v>
      </c>
      <c r="P7557" s="397"/>
      <c r="Q7557" s="397"/>
      <c r="R7557" s="397"/>
      <c r="S7557" s="397"/>
      <c r="T7557" s="397"/>
      <c r="U7557" s="397"/>
      <c r="V7557" s="397"/>
      <c r="W7557" s="397"/>
      <c r="X7557" s="397"/>
      <c r="Y7557" s="397"/>
      <c r="Z7557" s="397"/>
      <c r="AD7557" s="388">
        <v>1.243584</v>
      </c>
      <c r="AE7557" s="388">
        <v>0.13106400000000001</v>
      </c>
      <c r="AF7557" s="388">
        <v>0.16298909337600001</v>
      </c>
      <c r="AG7557" s="388">
        <v>0.21335999999999999</v>
      </c>
      <c r="AH7557" s="391"/>
      <c r="AI7557" s="397"/>
      <c r="AJ7557" s="397"/>
      <c r="AU7557" s="397"/>
      <c r="AV7557" s="397"/>
      <c r="AW7557" s="397"/>
      <c r="AX7557" s="397"/>
      <c r="BI7557" s="397"/>
      <c r="BJ7557" s="397"/>
      <c r="BK7557" s="397"/>
      <c r="BL7557" s="397"/>
      <c r="BM7557" s="397"/>
      <c r="BN7557" s="397"/>
      <c r="BO7557" s="397"/>
      <c r="BP7557" s="397"/>
      <c r="BQ7557" s="397"/>
      <c r="BR7557" s="397"/>
      <c r="BS7557" s="397"/>
      <c r="BT7557" s="397"/>
      <c r="BU7557" s="397"/>
      <c r="BV7557" s="397"/>
      <c r="BW7557" s="397"/>
      <c r="BX7557" s="397"/>
      <c r="BY7557" s="397"/>
      <c r="BZ7557" s="397"/>
      <c r="CA7557" s="392" t="s">
        <v>413</v>
      </c>
    </row>
    <row r="7558" spans="1:80" s="392" customFormat="1" ht="15" x14ac:dyDescent="0.25">
      <c r="A7558" s="385"/>
      <c r="D7558" s="700"/>
      <c r="E7558" s="397"/>
      <c r="H7558" s="401">
        <v>3</v>
      </c>
      <c r="I7558" s="401"/>
      <c r="J7558" s="401"/>
      <c r="K7558" s="401"/>
      <c r="L7558" s="675"/>
      <c r="M7558" s="672">
        <v>29045</v>
      </c>
      <c r="N7558" s="623">
        <v>1.6661943893454236E-2</v>
      </c>
      <c r="O7558" s="624">
        <v>1.1168266666666665E-3</v>
      </c>
      <c r="P7558" s="397"/>
      <c r="Q7558" s="397"/>
      <c r="R7558" s="397"/>
      <c r="S7558" s="397"/>
      <c r="T7558" s="397"/>
      <c r="U7558" s="397"/>
      <c r="V7558" s="397"/>
      <c r="W7558" s="397"/>
      <c r="X7558" s="397"/>
      <c r="Y7558" s="397"/>
      <c r="Z7558" s="397"/>
      <c r="AD7558" s="388">
        <v>1.322832</v>
      </c>
      <c r="AE7558" s="388">
        <v>7.0104E-2</v>
      </c>
      <c r="AF7558" s="388">
        <v>9.2735814528000005E-2</v>
      </c>
      <c r="AG7558" s="388">
        <v>0.18288000000000001</v>
      </c>
      <c r="AH7558" s="391"/>
      <c r="AI7558" s="397"/>
      <c r="AJ7558" s="397"/>
      <c r="AU7558" s="397"/>
      <c r="AV7558" s="397"/>
      <c r="AW7558" s="397"/>
      <c r="AX7558" s="397"/>
      <c r="BI7558" s="397"/>
      <c r="BJ7558" s="397"/>
      <c r="BK7558" s="397"/>
      <c r="BL7558" s="397"/>
      <c r="BM7558" s="397"/>
      <c r="BN7558" s="397"/>
      <c r="BO7558" s="397"/>
      <c r="BP7558" s="397"/>
      <c r="BQ7558" s="397"/>
      <c r="BR7558" s="397"/>
      <c r="BS7558" s="397"/>
      <c r="BT7558" s="397"/>
      <c r="BU7558" s="397"/>
      <c r="BV7558" s="397"/>
      <c r="BW7558" s="397"/>
      <c r="BX7558" s="397"/>
      <c r="BY7558" s="397"/>
      <c r="BZ7558" s="397"/>
      <c r="CA7558" s="392" t="s">
        <v>413</v>
      </c>
    </row>
    <row r="7559" spans="1:80" s="392" customFormat="1" ht="15" x14ac:dyDescent="0.25">
      <c r="A7559" s="385"/>
      <c r="D7559" s="700"/>
      <c r="E7559" s="397"/>
      <c r="H7559" s="401">
        <v>3</v>
      </c>
      <c r="I7559" s="401"/>
      <c r="J7559" s="401"/>
      <c r="K7559" s="401"/>
      <c r="L7559" s="675"/>
      <c r="M7559" s="672">
        <v>29060</v>
      </c>
      <c r="N7559" s="623">
        <v>9.2094077642391626E-3</v>
      </c>
      <c r="O7559" s="624">
        <v>1.1387866666666667E-3</v>
      </c>
      <c r="P7559" s="397"/>
      <c r="Q7559" s="397"/>
      <c r="R7559" s="397"/>
      <c r="S7559" s="397"/>
      <c r="T7559" s="397"/>
      <c r="U7559" s="397"/>
      <c r="V7559" s="397"/>
      <c r="W7559" s="397"/>
      <c r="X7559" s="397"/>
      <c r="Y7559" s="397"/>
      <c r="Z7559" s="397"/>
      <c r="AD7559" s="388">
        <v>1.167384</v>
      </c>
      <c r="AE7559" s="388">
        <v>4.5720000000000004E-2</v>
      </c>
      <c r="AF7559" s="388">
        <v>5.3372796480000005E-2</v>
      </c>
      <c r="AG7559" s="388">
        <v>0.15240000000000001</v>
      </c>
      <c r="AH7559" s="391"/>
      <c r="AI7559" s="397"/>
      <c r="AJ7559" s="397"/>
      <c r="AU7559" s="397"/>
      <c r="AV7559" s="397"/>
      <c r="AW7559" s="397"/>
      <c r="AX7559" s="397"/>
      <c r="BI7559" s="397"/>
      <c r="BJ7559" s="397"/>
      <c r="BK7559" s="397"/>
      <c r="BL7559" s="397"/>
      <c r="BM7559" s="397"/>
      <c r="BN7559" s="397"/>
      <c r="BO7559" s="397"/>
      <c r="BP7559" s="397"/>
      <c r="BQ7559" s="397"/>
      <c r="BR7559" s="397"/>
      <c r="BS7559" s="397"/>
      <c r="BT7559" s="397"/>
      <c r="BU7559" s="397"/>
      <c r="BV7559" s="397"/>
      <c r="BW7559" s="397"/>
      <c r="BX7559" s="397"/>
      <c r="BY7559" s="397"/>
      <c r="BZ7559" s="397"/>
      <c r="CA7559" s="392" t="s">
        <v>413</v>
      </c>
    </row>
    <row r="7560" spans="1:80" s="392" customFormat="1" ht="15" x14ac:dyDescent="0.25">
      <c r="A7560" s="385"/>
      <c r="D7560" s="700"/>
      <c r="E7560" s="397"/>
      <c r="H7560" s="401">
        <v>3</v>
      </c>
      <c r="I7560" s="401"/>
      <c r="J7560" s="401"/>
      <c r="K7560" s="401"/>
      <c r="L7560" s="675"/>
      <c r="M7560" s="672">
        <v>29068</v>
      </c>
      <c r="N7560" s="623">
        <v>2.0119013884953244E-3</v>
      </c>
      <c r="O7560" s="624" t="s">
        <v>71</v>
      </c>
      <c r="P7560" s="397"/>
      <c r="Q7560" s="397"/>
      <c r="R7560" s="397"/>
      <c r="S7560" s="397"/>
      <c r="T7560" s="397"/>
      <c r="U7560" s="397"/>
      <c r="V7560" s="397"/>
      <c r="W7560" s="397"/>
      <c r="X7560" s="397"/>
      <c r="Y7560" s="397"/>
      <c r="Z7560" s="397"/>
      <c r="AD7560" s="388">
        <v>0.99060000000000004</v>
      </c>
      <c r="AE7560" s="388">
        <v>2.7432000000000002E-2</v>
      </c>
      <c r="AF7560" s="388">
        <v>2.7174139200000003E-2</v>
      </c>
      <c r="AG7560" s="388">
        <v>6.7056000000000004E-2</v>
      </c>
      <c r="AH7560" s="391"/>
      <c r="AI7560" s="397"/>
      <c r="AJ7560" s="397"/>
      <c r="AU7560" s="397"/>
      <c r="AV7560" s="397"/>
      <c r="AW7560" s="397"/>
      <c r="AX7560" s="397"/>
      <c r="BI7560" s="397"/>
      <c r="BJ7560" s="397"/>
      <c r="BK7560" s="397"/>
      <c r="BL7560" s="397"/>
      <c r="BM7560" s="397"/>
      <c r="BN7560" s="397"/>
      <c r="BO7560" s="397"/>
      <c r="BP7560" s="397"/>
      <c r="BQ7560" s="397"/>
      <c r="BR7560" s="397"/>
      <c r="BS7560" s="397"/>
      <c r="BT7560" s="397"/>
      <c r="BU7560" s="397"/>
      <c r="BV7560" s="397"/>
      <c r="BW7560" s="397"/>
      <c r="BX7560" s="397"/>
      <c r="BY7560" s="397"/>
      <c r="BZ7560" s="397"/>
      <c r="CA7560" s="392" t="s">
        <v>413</v>
      </c>
    </row>
    <row r="7561" spans="1:80" s="189" customFormat="1" ht="15" x14ac:dyDescent="0.25">
      <c r="A7561" s="381" t="s">
        <v>483</v>
      </c>
      <c r="B7561" s="641"/>
      <c r="C7561" s="639"/>
      <c r="D7561" s="4">
        <f>VLOOKUP(E7561,'Quality Code'!$D$4:$E$24,2,TRUE)*VLOOKUP(MROUND(F7561,10),'Quality Code'!$D$28:$E$69,2,TRUE)*VLOOKUP(COUNTA(CB7561:CB7571),'Quality Code'!$D$73:$E$93,2,TRUE)</f>
        <v>0</v>
      </c>
      <c r="E7561" s="14">
        <v>0.3</v>
      </c>
      <c r="F7561" s="2">
        <v>3</v>
      </c>
      <c r="G7561" s="12"/>
      <c r="H7561" s="2" t="s">
        <v>105</v>
      </c>
      <c r="I7561" s="2"/>
      <c r="J7561" s="2"/>
      <c r="K7561" s="2"/>
      <c r="L7561" s="639"/>
      <c r="M7561" s="640">
        <v>1979</v>
      </c>
      <c r="N7561" s="578" t="s">
        <v>110</v>
      </c>
      <c r="O7561" s="578"/>
      <c r="P7561" s="26"/>
      <c r="Q7561" s="26"/>
      <c r="R7561" s="26"/>
      <c r="S7561" s="26"/>
      <c r="T7561" s="26"/>
      <c r="U7561" s="26"/>
      <c r="V7561" s="10"/>
      <c r="W7561" s="10"/>
      <c r="X7561" s="10"/>
      <c r="Y7561" s="10"/>
      <c r="Z7561" s="2"/>
      <c r="AA7561" s="26"/>
      <c r="AB7561" s="26"/>
      <c r="AC7561" s="377"/>
      <c r="AD7561" s="406"/>
      <c r="AE7561" s="26"/>
      <c r="AF7561" s="26"/>
      <c r="AG7561" s="26"/>
      <c r="AH7561" s="26"/>
      <c r="AI7561" s="4"/>
      <c r="AJ7561" s="4"/>
      <c r="AK7561" s="26"/>
      <c r="AL7561" s="26"/>
      <c r="AM7561" s="26"/>
      <c r="AN7561" s="26"/>
      <c r="AO7561" s="26"/>
      <c r="AP7561" s="26"/>
      <c r="AQ7561" s="26"/>
      <c r="AR7561" s="26"/>
      <c r="AS7561" s="26"/>
      <c r="AT7561" s="26"/>
      <c r="AU7561" s="4"/>
      <c r="AV7561" s="4"/>
      <c r="AW7561" s="4"/>
      <c r="AX7561" s="4"/>
      <c r="AY7561" s="2"/>
      <c r="AZ7561" s="2"/>
      <c r="BA7561" s="12"/>
      <c r="BB7561" s="12"/>
      <c r="BC7561" s="12"/>
      <c r="BD7561" s="12"/>
      <c r="BE7561" s="12"/>
      <c r="BF7561" s="12"/>
      <c r="BG7561" s="12"/>
      <c r="BH7561" s="12"/>
      <c r="BI7561" s="4"/>
      <c r="BJ7561" s="12"/>
      <c r="BK7561" s="2"/>
      <c r="BL7561" s="2"/>
      <c r="BM7561" s="4"/>
      <c r="BN7561" s="12"/>
      <c r="BO7561" s="12"/>
      <c r="BP7561" s="12"/>
      <c r="BQ7561" s="4"/>
      <c r="BR7561" s="4"/>
      <c r="BS7561" s="4"/>
      <c r="BT7561" s="2"/>
      <c r="BU7561" s="9"/>
      <c r="BV7561" s="381"/>
      <c r="BW7561" s="382"/>
      <c r="BX7561" s="383"/>
      <c r="BY7561" s="383"/>
      <c r="BZ7561" s="383"/>
      <c r="CA7561" s="384" t="s">
        <v>413</v>
      </c>
      <c r="CB7561" s="411"/>
    </row>
    <row r="7562" spans="1:80" s="392" customFormat="1" ht="15" x14ac:dyDescent="0.25">
      <c r="A7562" s="385"/>
      <c r="D7562" s="700"/>
      <c r="E7562" s="397"/>
      <c r="H7562" s="401">
        <v>3</v>
      </c>
      <c r="I7562" s="401"/>
      <c r="J7562" s="401"/>
      <c r="K7562" s="401"/>
      <c r="L7562" s="675"/>
      <c r="M7562" s="672">
        <v>29019</v>
      </c>
      <c r="N7562" s="623">
        <v>5.0722584301501845E-2</v>
      </c>
      <c r="O7562" s="624">
        <v>4.392E-4</v>
      </c>
      <c r="P7562" s="397"/>
      <c r="Q7562" s="397"/>
      <c r="R7562" s="397"/>
      <c r="S7562" s="397"/>
      <c r="T7562" s="397"/>
      <c r="U7562" s="397"/>
      <c r="V7562" s="397"/>
      <c r="W7562" s="397"/>
      <c r="X7562" s="397"/>
      <c r="Y7562" s="397"/>
      <c r="Z7562" s="397"/>
      <c r="AD7562" s="388">
        <v>0.65836800000000006</v>
      </c>
      <c r="AE7562" s="388">
        <v>0.21640799999999999</v>
      </c>
      <c r="AF7562" s="388">
        <v>0.142476102144</v>
      </c>
      <c r="AG7562" s="388">
        <v>0.40233600000000003</v>
      </c>
      <c r="AH7562" s="391"/>
      <c r="AI7562" s="397"/>
      <c r="AJ7562" s="397"/>
      <c r="AU7562" s="397"/>
      <c r="AV7562" s="397"/>
      <c r="AW7562" s="397"/>
      <c r="AX7562" s="397"/>
      <c r="BI7562" s="397"/>
      <c r="BJ7562" s="397"/>
      <c r="BK7562" s="397"/>
      <c r="BL7562" s="397"/>
      <c r="BM7562" s="397"/>
      <c r="BN7562" s="397"/>
      <c r="BO7562" s="397"/>
      <c r="BP7562" s="397"/>
      <c r="BQ7562" s="397"/>
      <c r="BR7562" s="397"/>
      <c r="BS7562" s="397"/>
      <c r="BT7562" s="397"/>
      <c r="BU7562" s="397"/>
      <c r="BV7562" s="397"/>
      <c r="BW7562" s="397"/>
      <c r="BX7562" s="397"/>
      <c r="BY7562" s="397"/>
      <c r="BZ7562" s="397"/>
      <c r="CA7562" s="392" t="s">
        <v>413</v>
      </c>
    </row>
    <row r="7563" spans="1:80" s="392" customFormat="1" ht="15" x14ac:dyDescent="0.25">
      <c r="A7563" s="385"/>
      <c r="D7563" s="700"/>
      <c r="E7563" s="397"/>
      <c r="H7563" s="401">
        <v>3</v>
      </c>
      <c r="I7563" s="401"/>
      <c r="J7563" s="401"/>
      <c r="K7563" s="401"/>
      <c r="L7563" s="675"/>
      <c r="M7563" s="672">
        <v>29033</v>
      </c>
      <c r="N7563" s="623">
        <v>2.7203173703598753E-2</v>
      </c>
      <c r="O7563" s="624">
        <v>8.2064000000000008E-4</v>
      </c>
      <c r="P7563" s="397"/>
      <c r="Q7563" s="397"/>
      <c r="R7563" s="397"/>
      <c r="S7563" s="397"/>
      <c r="T7563" s="397"/>
      <c r="U7563" s="397"/>
      <c r="V7563" s="397"/>
      <c r="W7563" s="397"/>
      <c r="X7563" s="397"/>
      <c r="Y7563" s="397"/>
      <c r="Z7563" s="397"/>
      <c r="AD7563" s="388">
        <v>0.560832</v>
      </c>
      <c r="AE7563" s="388">
        <v>0.112776</v>
      </c>
      <c r="AF7563" s="388">
        <v>6.3248389631999996E-2</v>
      </c>
      <c r="AG7563" s="388">
        <v>0.48768000000000006</v>
      </c>
      <c r="AH7563" s="391"/>
      <c r="AI7563" s="397"/>
      <c r="AJ7563" s="397"/>
      <c r="AU7563" s="397"/>
      <c r="AV7563" s="397"/>
      <c r="AW7563" s="397"/>
      <c r="AX7563" s="397"/>
      <c r="BI7563" s="397"/>
      <c r="BJ7563" s="397"/>
      <c r="BK7563" s="397"/>
      <c r="BL7563" s="397"/>
      <c r="BM7563" s="397"/>
      <c r="BN7563" s="397"/>
      <c r="BO7563" s="397"/>
      <c r="BP7563" s="397"/>
      <c r="BQ7563" s="397"/>
      <c r="BR7563" s="397"/>
      <c r="BS7563" s="397"/>
      <c r="BT7563" s="397"/>
      <c r="BU7563" s="397"/>
      <c r="BV7563" s="397"/>
      <c r="BW7563" s="397"/>
      <c r="BX7563" s="397"/>
      <c r="BY7563" s="397"/>
      <c r="BZ7563" s="397"/>
      <c r="CA7563" s="392" t="s">
        <v>413</v>
      </c>
    </row>
    <row r="7564" spans="1:80" s="392" customFormat="1" ht="15" x14ac:dyDescent="0.25">
      <c r="A7564" s="385"/>
      <c r="D7564" s="700"/>
      <c r="E7564" s="397"/>
      <c r="H7564" s="401">
        <v>3</v>
      </c>
      <c r="I7564" s="401"/>
      <c r="J7564" s="401"/>
      <c r="K7564" s="401"/>
      <c r="L7564" s="675"/>
      <c r="M7564" s="672">
        <v>29045</v>
      </c>
      <c r="N7564" s="623">
        <v>1.2468121280816095E-2</v>
      </c>
      <c r="O7564" s="624">
        <v>2.8229333333333335E-4</v>
      </c>
      <c r="P7564" s="397"/>
      <c r="Q7564" s="397"/>
      <c r="R7564" s="397"/>
      <c r="S7564" s="397"/>
      <c r="T7564" s="397"/>
      <c r="U7564" s="397"/>
      <c r="V7564" s="397"/>
      <c r="W7564" s="397"/>
      <c r="X7564" s="397"/>
      <c r="Y7564" s="397"/>
      <c r="Z7564" s="397"/>
      <c r="AD7564" s="388">
        <v>0.48158400000000007</v>
      </c>
      <c r="AE7564" s="388">
        <v>6.7056000000000004E-2</v>
      </c>
      <c r="AF7564" s="388">
        <v>3.2293096704000004E-2</v>
      </c>
      <c r="AG7564" s="388">
        <v>0.39624000000000004</v>
      </c>
      <c r="AH7564" s="391"/>
      <c r="AI7564" s="397"/>
      <c r="AJ7564" s="397"/>
      <c r="AU7564" s="397"/>
      <c r="AV7564" s="397"/>
      <c r="AW7564" s="397"/>
      <c r="AX7564" s="397"/>
      <c r="BI7564" s="397"/>
      <c r="BJ7564" s="397"/>
      <c r="BK7564" s="397"/>
      <c r="BL7564" s="397"/>
      <c r="BM7564" s="397"/>
      <c r="BN7564" s="397"/>
      <c r="BO7564" s="397"/>
      <c r="BP7564" s="397"/>
      <c r="BQ7564" s="397"/>
      <c r="BR7564" s="397"/>
      <c r="BS7564" s="397"/>
      <c r="BT7564" s="397"/>
      <c r="BU7564" s="397"/>
      <c r="BV7564" s="397"/>
      <c r="BW7564" s="397"/>
      <c r="BX7564" s="397"/>
      <c r="BY7564" s="397"/>
      <c r="BZ7564" s="397"/>
      <c r="CA7564" s="392" t="s">
        <v>413</v>
      </c>
    </row>
    <row r="7565" spans="1:80" s="392" customFormat="1" ht="15" x14ac:dyDescent="0.25">
      <c r="A7565" s="385"/>
      <c r="D7565" s="700"/>
      <c r="E7565" s="397"/>
      <c r="H7565" s="401">
        <v>3</v>
      </c>
      <c r="I7565" s="401"/>
      <c r="J7565" s="401"/>
      <c r="K7565" s="401"/>
      <c r="L7565" s="675"/>
      <c r="M7565" s="672">
        <v>29060</v>
      </c>
      <c r="N7565" s="623">
        <v>8.7843581751204311E-3</v>
      </c>
      <c r="O7565" s="624" t="s">
        <v>71</v>
      </c>
      <c r="P7565" s="397"/>
      <c r="Q7565" s="397"/>
      <c r="R7565" s="397"/>
      <c r="S7565" s="397"/>
      <c r="T7565" s="397"/>
      <c r="U7565" s="397"/>
      <c r="V7565" s="397"/>
      <c r="W7565" s="397"/>
      <c r="X7565" s="397"/>
      <c r="Y7565" s="397"/>
      <c r="Z7565" s="397"/>
      <c r="AD7565" s="388">
        <v>0.420624</v>
      </c>
      <c r="AE7565" s="388">
        <v>9.4488000000000003E-2</v>
      </c>
      <c r="AF7565" s="388">
        <v>3.9743920512E-2</v>
      </c>
      <c r="AG7565" s="388">
        <v>2.4384000000000003E-2</v>
      </c>
      <c r="AH7565" s="391"/>
      <c r="AI7565" s="397"/>
      <c r="AJ7565" s="397"/>
      <c r="AU7565" s="397"/>
      <c r="AV7565" s="397"/>
      <c r="AW7565" s="397"/>
      <c r="AX7565" s="397"/>
      <c r="BI7565" s="397"/>
      <c r="BJ7565" s="397"/>
      <c r="BK7565" s="397"/>
      <c r="BL7565" s="397"/>
      <c r="BM7565" s="397"/>
      <c r="BN7565" s="397"/>
      <c r="BO7565" s="397"/>
      <c r="BP7565" s="397"/>
      <c r="BQ7565" s="397"/>
      <c r="BR7565" s="397"/>
      <c r="BS7565" s="397"/>
      <c r="BT7565" s="397"/>
      <c r="BU7565" s="397"/>
      <c r="BV7565" s="397"/>
      <c r="BW7565" s="397"/>
      <c r="BX7565" s="397"/>
      <c r="BY7565" s="397"/>
      <c r="BZ7565" s="397"/>
      <c r="CA7565" s="392" t="s">
        <v>413</v>
      </c>
    </row>
    <row r="7566" spans="1:80" s="392" customFormat="1" ht="15" x14ac:dyDescent="0.25">
      <c r="A7566" s="385"/>
      <c r="D7566" s="700"/>
      <c r="E7566" s="397"/>
      <c r="H7566" s="401">
        <v>3</v>
      </c>
      <c r="I7566" s="401"/>
      <c r="J7566" s="401"/>
      <c r="K7566" s="401"/>
      <c r="L7566" s="675"/>
      <c r="M7566" s="672">
        <v>29070</v>
      </c>
      <c r="N7566" s="623">
        <v>5.3839614621705866E-4</v>
      </c>
      <c r="O7566" s="624" t="s">
        <v>71</v>
      </c>
      <c r="P7566" s="397"/>
      <c r="Q7566" s="397"/>
      <c r="R7566" s="397"/>
      <c r="S7566" s="397"/>
      <c r="T7566" s="397"/>
      <c r="U7566" s="397"/>
      <c r="V7566" s="397"/>
      <c r="W7566" s="397"/>
      <c r="X7566" s="397"/>
      <c r="Y7566" s="397"/>
      <c r="Z7566" s="397"/>
      <c r="AD7566" s="388">
        <v>0.58521599999999996</v>
      </c>
      <c r="AE7566" s="388">
        <v>7.0104E-2</v>
      </c>
      <c r="AF7566" s="388">
        <v>4.1025982463999994E-2</v>
      </c>
      <c r="AG7566" s="388">
        <v>1.5240000000000002E-2</v>
      </c>
      <c r="AH7566" s="391"/>
      <c r="AI7566" s="397"/>
      <c r="AJ7566" s="397"/>
      <c r="AU7566" s="397"/>
      <c r="AV7566" s="397"/>
      <c r="AW7566" s="397"/>
      <c r="AX7566" s="397"/>
      <c r="BI7566" s="397"/>
      <c r="BJ7566" s="397"/>
      <c r="BK7566" s="397"/>
      <c r="BL7566" s="397"/>
      <c r="BM7566" s="397"/>
      <c r="BN7566" s="397"/>
      <c r="BO7566" s="397"/>
      <c r="BP7566" s="397"/>
      <c r="BQ7566" s="397"/>
      <c r="BR7566" s="397"/>
      <c r="BS7566" s="397"/>
      <c r="BT7566" s="397"/>
      <c r="BU7566" s="397"/>
      <c r="BV7566" s="397"/>
      <c r="BW7566" s="397"/>
      <c r="BX7566" s="397"/>
      <c r="BY7566" s="397"/>
      <c r="BZ7566" s="397"/>
      <c r="CA7566" s="392" t="s">
        <v>413</v>
      </c>
    </row>
    <row r="7567" spans="1:80" s="189" customFormat="1" ht="15" x14ac:dyDescent="0.25">
      <c r="A7567" s="381" t="s">
        <v>484</v>
      </c>
      <c r="B7567" s="641" t="s">
        <v>34</v>
      </c>
      <c r="C7567" s="639"/>
      <c r="D7567" s="4">
        <f>VLOOKUP(E7567,'Quality Code'!$D$4:$E$24,2,TRUE)*VLOOKUP(MROUND(F7567,10),'Quality Code'!$D$28:$E$69,2,TRUE)*VLOOKUP(COUNTA(CB7567:CB7577),'Quality Code'!$D$73:$E$93,2,TRUE)</f>
        <v>0.30000000000000004</v>
      </c>
      <c r="E7567" s="14">
        <v>0.4</v>
      </c>
      <c r="F7567" s="2">
        <v>28</v>
      </c>
      <c r="G7567" s="12"/>
      <c r="H7567" s="2" t="s">
        <v>105</v>
      </c>
      <c r="I7567" s="2"/>
      <c r="J7567" s="2"/>
      <c r="K7567" s="2"/>
      <c r="L7567" s="639"/>
      <c r="M7567" s="640" t="s">
        <v>917</v>
      </c>
      <c r="N7567" s="578" t="s">
        <v>110</v>
      </c>
      <c r="O7567" s="578"/>
      <c r="P7567" s="26"/>
      <c r="Q7567" s="26"/>
      <c r="R7567" s="26"/>
      <c r="S7567" s="26"/>
      <c r="T7567" s="26"/>
      <c r="U7567" s="26"/>
      <c r="V7567" s="10"/>
      <c r="W7567" s="10"/>
      <c r="X7567" s="10"/>
      <c r="Y7567" s="10"/>
      <c r="Z7567" s="2"/>
      <c r="AA7567" s="26"/>
      <c r="AB7567" s="26"/>
      <c r="AC7567" s="377"/>
      <c r="AD7567" s="406"/>
      <c r="AE7567" s="26"/>
      <c r="AF7567" s="26"/>
      <c r="AG7567" s="26"/>
      <c r="AH7567" s="26"/>
      <c r="AI7567" s="4"/>
      <c r="AJ7567" s="4"/>
      <c r="AK7567" s="26"/>
      <c r="AL7567" s="26"/>
      <c r="AM7567" s="26"/>
      <c r="AN7567" s="26"/>
      <c r="AO7567" s="26"/>
      <c r="AP7567" s="26"/>
      <c r="AQ7567" s="26"/>
      <c r="AR7567" s="26"/>
      <c r="AS7567" s="26"/>
      <c r="AT7567" s="26"/>
      <c r="AU7567" s="4"/>
      <c r="AV7567" s="4"/>
      <c r="AW7567" s="4"/>
      <c r="AX7567" s="4"/>
      <c r="AY7567" s="2"/>
      <c r="AZ7567" s="2"/>
      <c r="BA7567" s="12"/>
      <c r="BB7567" s="12"/>
      <c r="BC7567" s="12"/>
      <c r="BD7567" s="12"/>
      <c r="BE7567" s="12"/>
      <c r="BF7567" s="12"/>
      <c r="BG7567" s="12"/>
      <c r="BH7567" s="12"/>
      <c r="BI7567" s="4"/>
      <c r="BJ7567" s="12"/>
      <c r="BK7567" s="2"/>
      <c r="BL7567" s="2"/>
      <c r="BM7567" s="4"/>
      <c r="BN7567" s="12"/>
      <c r="BO7567" s="12"/>
      <c r="BP7567" s="12"/>
      <c r="BQ7567" s="4"/>
      <c r="BR7567" s="4"/>
      <c r="BS7567" s="4"/>
      <c r="BT7567" s="2"/>
      <c r="BU7567" s="9"/>
      <c r="BV7567" s="381"/>
      <c r="BW7567" s="382"/>
      <c r="BX7567" s="383"/>
      <c r="BY7567" s="383" t="s">
        <v>417</v>
      </c>
      <c r="BZ7567" s="383"/>
      <c r="CA7567" s="384" t="s">
        <v>413</v>
      </c>
      <c r="CB7567" s="411"/>
    </row>
    <row r="7568" spans="1:80" s="392" customFormat="1" ht="15" x14ac:dyDescent="0.25">
      <c r="A7568" s="385"/>
      <c r="D7568" s="700"/>
      <c r="E7568" s="397"/>
      <c r="H7568" s="401">
        <v>3</v>
      </c>
      <c r="I7568" s="401"/>
      <c r="J7568" s="401"/>
      <c r="K7568" s="401"/>
      <c r="L7568" s="675"/>
      <c r="M7568" s="672">
        <v>30483</v>
      </c>
      <c r="N7568" s="623">
        <v>0.10314536695947861</v>
      </c>
      <c r="O7568" s="624">
        <v>1.9404682872000002E-3</v>
      </c>
      <c r="P7568" s="397"/>
      <c r="Q7568" s="397"/>
      <c r="R7568" s="397"/>
      <c r="S7568" s="397"/>
      <c r="T7568" s="397"/>
      <c r="U7568" s="397"/>
      <c r="V7568" s="397"/>
      <c r="W7568" s="397"/>
      <c r="X7568" s="397"/>
      <c r="Y7568" s="397"/>
      <c r="Z7568" s="397"/>
      <c r="AC7568" s="409">
        <v>0.19</v>
      </c>
      <c r="AD7568" s="388">
        <v>2.1031200000000001</v>
      </c>
      <c r="AE7568" s="388">
        <v>0.16154400000000002</v>
      </c>
      <c r="AF7568" s="388">
        <v>0.33974641728000005</v>
      </c>
      <c r="AG7568" s="388">
        <v>0.31699200000000005</v>
      </c>
      <c r="AH7568" s="391"/>
      <c r="AI7568" s="397"/>
      <c r="AJ7568" s="397"/>
      <c r="AU7568" s="397"/>
      <c r="AV7568" s="397"/>
      <c r="AW7568" s="397"/>
      <c r="AX7568" s="397"/>
      <c r="BI7568" s="397"/>
      <c r="BJ7568" s="397"/>
      <c r="BK7568" s="397"/>
      <c r="BL7568" s="397"/>
      <c r="BM7568" s="397"/>
      <c r="BN7568" s="397"/>
      <c r="BO7568" s="397"/>
      <c r="BP7568" s="397"/>
      <c r="BQ7568" s="397"/>
      <c r="BR7568" s="397"/>
      <c r="BS7568" s="397"/>
      <c r="BT7568" s="397"/>
      <c r="BU7568" s="397"/>
      <c r="BV7568" s="397"/>
      <c r="BW7568" s="397"/>
      <c r="BX7568" s="397"/>
      <c r="BY7568" s="397"/>
      <c r="BZ7568" s="397"/>
      <c r="CA7568" s="392" t="s">
        <v>413</v>
      </c>
    </row>
    <row r="7569" spans="1:79" s="392" customFormat="1" ht="15" x14ac:dyDescent="0.25">
      <c r="A7569" s="385"/>
      <c r="D7569" s="700"/>
      <c r="E7569" s="397"/>
      <c r="H7569" s="401">
        <v>3</v>
      </c>
      <c r="I7569" s="401"/>
      <c r="J7569" s="401"/>
      <c r="K7569" s="401"/>
      <c r="L7569" s="675"/>
      <c r="M7569" s="672">
        <v>30511</v>
      </c>
      <c r="N7569" s="623">
        <v>0.30915273448569003</v>
      </c>
      <c r="O7569" s="624">
        <v>1.0886217600000001E-3</v>
      </c>
      <c r="P7569" s="397"/>
      <c r="Q7569" s="397"/>
      <c r="R7569" s="397"/>
      <c r="S7569" s="397"/>
      <c r="T7569" s="397"/>
      <c r="U7569" s="397"/>
      <c r="V7569" s="397"/>
      <c r="W7569" s="397"/>
      <c r="X7569" s="397"/>
      <c r="Y7569" s="397"/>
      <c r="Z7569" s="397"/>
      <c r="AC7569" s="409">
        <v>0.19</v>
      </c>
      <c r="AD7569" s="388">
        <v>2.286</v>
      </c>
      <c r="AE7569" s="388">
        <v>0.225552</v>
      </c>
      <c r="AF7569" s="388">
        <v>0.51561187200000003</v>
      </c>
      <c r="AG7569" s="388">
        <v>0.59740800000000005</v>
      </c>
      <c r="AH7569" s="391"/>
      <c r="AI7569" s="397"/>
      <c r="AJ7569" s="397"/>
      <c r="AU7569" s="397"/>
      <c r="AV7569" s="397"/>
      <c r="AW7569" s="397"/>
      <c r="AX7569" s="397"/>
      <c r="BI7569" s="397"/>
      <c r="BJ7569" s="397"/>
      <c r="BK7569" s="397"/>
      <c r="BL7569" s="397"/>
      <c r="BM7569" s="397"/>
      <c r="BN7569" s="397"/>
      <c r="BO7569" s="397"/>
      <c r="BP7569" s="397"/>
      <c r="BQ7569" s="397"/>
      <c r="BR7569" s="397"/>
      <c r="BS7569" s="397"/>
      <c r="BT7569" s="397"/>
      <c r="BU7569" s="397"/>
      <c r="BV7569" s="397"/>
      <c r="BW7569" s="397"/>
      <c r="BX7569" s="397"/>
      <c r="BY7569" s="397"/>
      <c r="BZ7569" s="397"/>
      <c r="CA7569" s="392" t="s">
        <v>413</v>
      </c>
    </row>
    <row r="7570" spans="1:79" s="392" customFormat="1" ht="15" x14ac:dyDescent="0.25">
      <c r="A7570" s="385"/>
      <c r="D7570" s="700"/>
      <c r="E7570" s="397"/>
      <c r="H7570" s="401">
        <v>3</v>
      </c>
      <c r="I7570" s="401"/>
      <c r="J7570" s="401"/>
      <c r="K7570" s="401"/>
      <c r="L7570" s="675"/>
      <c r="M7570" s="672">
        <v>30525</v>
      </c>
      <c r="N7570" s="623">
        <v>0.24709549447435536</v>
      </c>
      <c r="O7570" s="624">
        <v>2.582452730666666E-4</v>
      </c>
      <c r="P7570" s="397"/>
      <c r="Q7570" s="397"/>
      <c r="R7570" s="397"/>
      <c r="S7570" s="397"/>
      <c r="T7570" s="397"/>
      <c r="U7570" s="397"/>
      <c r="V7570" s="397"/>
      <c r="W7570" s="397"/>
      <c r="X7570" s="397"/>
      <c r="Y7570" s="397"/>
      <c r="Z7570" s="397"/>
      <c r="AC7570" s="409">
        <v>0.19</v>
      </c>
      <c r="AD7570" s="388">
        <v>1.85928</v>
      </c>
      <c r="AE7570" s="388">
        <v>0.20726400000000003</v>
      </c>
      <c r="AF7570" s="388">
        <v>0.38536180992000008</v>
      </c>
      <c r="AG7570" s="388">
        <v>0.66751199999999999</v>
      </c>
      <c r="AH7570" s="391"/>
      <c r="AI7570" s="397"/>
      <c r="AJ7570" s="397"/>
      <c r="AU7570" s="397"/>
      <c r="AV7570" s="397"/>
      <c r="AW7570" s="397"/>
      <c r="AX7570" s="397"/>
      <c r="BI7570" s="397"/>
      <c r="BJ7570" s="397"/>
      <c r="BK7570" s="397"/>
      <c r="BL7570" s="397"/>
      <c r="BM7570" s="397"/>
      <c r="BN7570" s="397"/>
      <c r="BO7570" s="397"/>
      <c r="BP7570" s="397"/>
      <c r="BQ7570" s="397"/>
      <c r="BR7570" s="397"/>
      <c r="BS7570" s="397"/>
      <c r="BT7570" s="397"/>
      <c r="BU7570" s="397"/>
      <c r="BV7570" s="397"/>
      <c r="BW7570" s="397"/>
      <c r="BX7570" s="397"/>
      <c r="BY7570" s="397"/>
      <c r="BZ7570" s="397"/>
      <c r="CA7570" s="392" t="s">
        <v>413</v>
      </c>
    </row>
    <row r="7571" spans="1:79" s="392" customFormat="1" ht="15" x14ac:dyDescent="0.25">
      <c r="A7571" s="385"/>
      <c r="D7571" s="700"/>
      <c r="E7571" s="397"/>
      <c r="H7571" s="401">
        <v>3</v>
      </c>
      <c r="I7571" s="401"/>
      <c r="J7571" s="401"/>
      <c r="K7571" s="401"/>
      <c r="L7571" s="675"/>
      <c r="M7571" s="672">
        <v>30532</v>
      </c>
      <c r="N7571" s="623">
        <v>8.8410314536695955E-2</v>
      </c>
      <c r="O7571" s="624" t="s">
        <v>71</v>
      </c>
      <c r="P7571" s="397"/>
      <c r="Q7571" s="397"/>
      <c r="R7571" s="397"/>
      <c r="S7571" s="397"/>
      <c r="T7571" s="397"/>
      <c r="U7571" s="397"/>
      <c r="V7571" s="397"/>
      <c r="W7571" s="397"/>
      <c r="X7571" s="397"/>
      <c r="Y7571" s="397"/>
      <c r="Z7571" s="397"/>
      <c r="AC7571" s="409">
        <v>0.19</v>
      </c>
      <c r="AD7571" s="388">
        <v>2.0116800000000001</v>
      </c>
      <c r="AE7571" s="388">
        <v>0.155448</v>
      </c>
      <c r="AF7571" s="388">
        <v>0.31271163264000001</v>
      </c>
      <c r="AG7571" s="388">
        <v>0.25908000000000003</v>
      </c>
      <c r="AH7571" s="391"/>
      <c r="AI7571" s="397"/>
      <c r="AJ7571" s="397"/>
      <c r="AU7571" s="397"/>
      <c r="AV7571" s="397"/>
      <c r="AW7571" s="397"/>
      <c r="AX7571" s="397"/>
      <c r="BI7571" s="397"/>
      <c r="BJ7571" s="397"/>
      <c r="BK7571" s="397"/>
      <c r="BL7571" s="397"/>
      <c r="BM7571" s="397"/>
      <c r="BN7571" s="397"/>
      <c r="BO7571" s="397"/>
      <c r="BP7571" s="397"/>
      <c r="BQ7571" s="397"/>
      <c r="BR7571" s="397"/>
      <c r="BS7571" s="397"/>
      <c r="BT7571" s="397"/>
      <c r="BU7571" s="397"/>
      <c r="BV7571" s="397"/>
      <c r="BW7571" s="397"/>
      <c r="BX7571" s="397"/>
      <c r="BY7571" s="397"/>
      <c r="BZ7571" s="397"/>
      <c r="CA7571" s="392" t="s">
        <v>413</v>
      </c>
    </row>
    <row r="7572" spans="1:79" s="392" customFormat="1" ht="15" x14ac:dyDescent="0.25">
      <c r="A7572" s="385"/>
      <c r="D7572" s="700"/>
      <c r="E7572" s="397"/>
      <c r="H7572" s="401">
        <v>3</v>
      </c>
      <c r="I7572" s="401"/>
      <c r="J7572" s="401"/>
      <c r="K7572" s="401"/>
      <c r="L7572" s="675"/>
      <c r="M7572" s="672">
        <v>30539</v>
      </c>
      <c r="N7572" s="623">
        <v>7.3108529328421656E-2</v>
      </c>
      <c r="O7572" s="624" t="s">
        <v>71</v>
      </c>
      <c r="P7572" s="397"/>
      <c r="Q7572" s="397"/>
      <c r="R7572" s="397"/>
      <c r="S7572" s="397"/>
      <c r="T7572" s="397"/>
      <c r="U7572" s="397"/>
      <c r="V7572" s="397"/>
      <c r="W7572" s="397"/>
      <c r="X7572" s="397"/>
      <c r="Y7572" s="397"/>
      <c r="Z7572" s="397"/>
      <c r="AC7572" s="409">
        <v>0.19</v>
      </c>
      <c r="AD7572" s="388">
        <v>1.9507200000000002</v>
      </c>
      <c r="AE7572" s="388">
        <v>0.14630399999999999</v>
      </c>
      <c r="AF7572" s="388">
        <v>0.28539813888000004</v>
      </c>
      <c r="AG7572" s="388">
        <v>0.27127200000000001</v>
      </c>
      <c r="AH7572" s="391"/>
      <c r="AI7572" s="397"/>
      <c r="AJ7572" s="397"/>
      <c r="AU7572" s="397"/>
      <c r="AV7572" s="397"/>
      <c r="AW7572" s="397"/>
      <c r="AX7572" s="397"/>
      <c r="BI7572" s="397"/>
      <c r="BJ7572" s="397"/>
      <c r="BK7572" s="397"/>
      <c r="BL7572" s="397"/>
      <c r="BM7572" s="397"/>
      <c r="BN7572" s="397"/>
      <c r="BO7572" s="397"/>
      <c r="BP7572" s="397"/>
      <c r="BQ7572" s="397"/>
      <c r="BR7572" s="397"/>
      <c r="BS7572" s="397"/>
      <c r="BT7572" s="397"/>
      <c r="BU7572" s="397"/>
      <c r="BV7572" s="397"/>
      <c r="BW7572" s="397"/>
      <c r="BX7572" s="397"/>
      <c r="BY7572" s="397"/>
      <c r="BZ7572" s="397"/>
      <c r="CA7572" s="392" t="s">
        <v>413</v>
      </c>
    </row>
    <row r="7573" spans="1:79" s="392" customFormat="1" ht="15" x14ac:dyDescent="0.25">
      <c r="A7573" s="385"/>
      <c r="D7573" s="700"/>
      <c r="E7573" s="397"/>
      <c r="H7573" s="401">
        <v>3</v>
      </c>
      <c r="I7573" s="401"/>
      <c r="J7573" s="401"/>
      <c r="K7573" s="401"/>
      <c r="L7573" s="675"/>
      <c r="M7573" s="672">
        <v>30560</v>
      </c>
      <c r="N7573" s="623">
        <v>3.5704165485973362E-2</v>
      </c>
      <c r="O7573" s="624" t="s">
        <v>71</v>
      </c>
      <c r="P7573" s="397"/>
      <c r="Q7573" s="397"/>
      <c r="R7573" s="397"/>
      <c r="S7573" s="397"/>
      <c r="T7573" s="397"/>
      <c r="U7573" s="397"/>
      <c r="V7573" s="397"/>
      <c r="W7573" s="397"/>
      <c r="X7573" s="397"/>
      <c r="Y7573" s="397"/>
      <c r="Z7573" s="397"/>
      <c r="AC7573" s="409">
        <v>0.19</v>
      </c>
      <c r="AD7573" s="388">
        <v>1.85928</v>
      </c>
      <c r="AE7573" s="388">
        <v>0.124968</v>
      </c>
      <c r="AF7573" s="388">
        <v>0.23235050303999999</v>
      </c>
      <c r="AG7573" s="388">
        <v>0.15240000000000001</v>
      </c>
      <c r="AH7573" s="391"/>
      <c r="AI7573" s="397"/>
      <c r="AJ7573" s="397"/>
      <c r="AU7573" s="397"/>
      <c r="AV7573" s="397"/>
      <c r="AW7573" s="397"/>
      <c r="AX7573" s="397"/>
      <c r="BI7573" s="397"/>
      <c r="BJ7573" s="397"/>
      <c r="BK7573" s="397"/>
      <c r="BL7573" s="397"/>
      <c r="BM7573" s="397"/>
      <c r="BN7573" s="397"/>
      <c r="BO7573" s="397"/>
      <c r="BP7573" s="397"/>
      <c r="BQ7573" s="397"/>
      <c r="BR7573" s="397"/>
      <c r="BS7573" s="397"/>
      <c r="BT7573" s="397"/>
      <c r="BU7573" s="397"/>
      <c r="BV7573" s="397"/>
      <c r="BW7573" s="397"/>
      <c r="BX7573" s="397"/>
      <c r="BY7573" s="397"/>
      <c r="BZ7573" s="397"/>
      <c r="CA7573" s="392" t="s">
        <v>413</v>
      </c>
    </row>
    <row r="7574" spans="1:79" s="392" customFormat="1" ht="15" x14ac:dyDescent="0.25">
      <c r="A7574" s="385"/>
      <c r="D7574" s="700"/>
      <c r="E7574" s="397"/>
      <c r="H7574" s="401">
        <v>3</v>
      </c>
      <c r="I7574" s="401"/>
      <c r="J7574" s="401"/>
      <c r="K7574" s="401"/>
      <c r="L7574" s="675"/>
      <c r="M7574" s="672">
        <v>30581</v>
      </c>
      <c r="N7574" s="623">
        <v>1.0201190138849533E-2</v>
      </c>
      <c r="O7574" s="624" t="s">
        <v>71</v>
      </c>
      <c r="P7574" s="397"/>
      <c r="Q7574" s="397"/>
      <c r="R7574" s="397"/>
      <c r="S7574" s="397"/>
      <c r="T7574" s="397"/>
      <c r="U7574" s="397"/>
      <c r="V7574" s="397"/>
      <c r="W7574" s="397"/>
      <c r="X7574" s="397"/>
      <c r="Y7574" s="397"/>
      <c r="Z7574" s="397"/>
      <c r="AC7574" s="409">
        <v>0.19</v>
      </c>
      <c r="AD7574" s="388">
        <v>1.1582399999999999</v>
      </c>
      <c r="AE7574" s="388">
        <v>9.7536000000000012E-2</v>
      </c>
      <c r="AF7574" s="388">
        <v>0.11297009664</v>
      </c>
      <c r="AG7574" s="388">
        <v>0.10363200000000002</v>
      </c>
      <c r="AH7574" s="391"/>
      <c r="AI7574" s="397"/>
      <c r="AJ7574" s="397"/>
      <c r="AU7574" s="397"/>
      <c r="AV7574" s="397"/>
      <c r="AW7574" s="397"/>
      <c r="AX7574" s="397"/>
      <c r="BI7574" s="397"/>
      <c r="BJ7574" s="397"/>
      <c r="BK7574" s="397"/>
      <c r="BL7574" s="397"/>
      <c r="BM7574" s="397"/>
      <c r="BN7574" s="397"/>
      <c r="BO7574" s="397"/>
      <c r="BP7574" s="397"/>
      <c r="BQ7574" s="397"/>
      <c r="BR7574" s="397"/>
      <c r="BS7574" s="397"/>
      <c r="BT7574" s="397"/>
      <c r="BU7574" s="397"/>
      <c r="BV7574" s="397"/>
      <c r="BW7574" s="397"/>
      <c r="BX7574" s="397"/>
      <c r="BY7574" s="397"/>
      <c r="BZ7574" s="397"/>
      <c r="CA7574" s="392" t="s">
        <v>413</v>
      </c>
    </row>
    <row r="7575" spans="1:79" s="392" customFormat="1" ht="15" x14ac:dyDescent="0.25">
      <c r="A7575" s="385"/>
      <c r="D7575" s="700"/>
      <c r="E7575" s="397"/>
      <c r="H7575" s="401">
        <v>3</v>
      </c>
      <c r="I7575" s="401"/>
      <c r="J7575" s="401"/>
      <c r="K7575" s="401"/>
      <c r="L7575" s="675"/>
      <c r="M7575" s="672">
        <v>30824</v>
      </c>
      <c r="N7575" s="623">
        <v>2.9470104845565316E-2</v>
      </c>
      <c r="O7575" s="624">
        <v>4.9592769066666662E-5</v>
      </c>
      <c r="P7575" s="397"/>
      <c r="Q7575" s="397"/>
      <c r="R7575" s="397"/>
      <c r="S7575" s="397"/>
      <c r="T7575" s="397"/>
      <c r="U7575" s="397"/>
      <c r="V7575" s="397"/>
      <c r="W7575" s="397"/>
      <c r="X7575" s="397"/>
      <c r="Y7575" s="397"/>
      <c r="Z7575" s="397"/>
      <c r="AC7575" s="409">
        <v>0.188</v>
      </c>
      <c r="AD7575" s="388">
        <v>1.2496799999999999</v>
      </c>
      <c r="AE7575" s="388">
        <v>0.11582400000000001</v>
      </c>
      <c r="AF7575" s="388">
        <v>0.14474293632000002</v>
      </c>
      <c r="AG7575" s="388">
        <v>0.16154400000000002</v>
      </c>
      <c r="AH7575" s="391"/>
      <c r="AI7575" s="397"/>
      <c r="AJ7575" s="397"/>
      <c r="AU7575" s="397"/>
      <c r="AV7575" s="397"/>
      <c r="AW7575" s="397"/>
      <c r="AX7575" s="397"/>
      <c r="BI7575" s="397"/>
      <c r="BJ7575" s="397"/>
      <c r="BK7575" s="397"/>
      <c r="BL7575" s="397"/>
      <c r="BM7575" s="397"/>
      <c r="BN7575" s="397"/>
      <c r="BO7575" s="397"/>
      <c r="BP7575" s="397"/>
      <c r="BQ7575" s="397"/>
      <c r="BR7575" s="397"/>
      <c r="BS7575" s="397"/>
      <c r="BT7575" s="397"/>
      <c r="BU7575" s="397"/>
      <c r="BV7575" s="397"/>
      <c r="BW7575" s="397"/>
      <c r="BX7575" s="397"/>
      <c r="BY7575" s="397"/>
      <c r="BZ7575" s="397"/>
      <c r="CA7575" s="392" t="s">
        <v>413</v>
      </c>
    </row>
    <row r="7576" spans="1:79" s="392" customFormat="1" ht="15" x14ac:dyDescent="0.25">
      <c r="A7576" s="385"/>
      <c r="D7576" s="700"/>
      <c r="E7576" s="397"/>
      <c r="H7576" s="401">
        <v>3</v>
      </c>
      <c r="I7576" s="401"/>
      <c r="J7576" s="401"/>
      <c r="K7576" s="401"/>
      <c r="L7576" s="675"/>
      <c r="M7576" s="672">
        <v>30831</v>
      </c>
      <c r="N7576" s="623">
        <v>0.11362992349107395</v>
      </c>
      <c r="O7576" s="624">
        <v>1.5785015519999999E-3</v>
      </c>
      <c r="P7576" s="397"/>
      <c r="Q7576" s="397"/>
      <c r="R7576" s="397"/>
      <c r="S7576" s="397"/>
      <c r="T7576" s="397"/>
      <c r="U7576" s="397"/>
      <c r="V7576" s="397"/>
      <c r="W7576" s="397"/>
      <c r="X7576" s="397"/>
      <c r="Y7576" s="397"/>
      <c r="Z7576" s="397"/>
      <c r="AC7576" s="409">
        <v>0.188</v>
      </c>
      <c r="AD7576" s="388">
        <v>1.7678400000000001</v>
      </c>
      <c r="AE7576" s="388">
        <v>0.17983199999999999</v>
      </c>
      <c r="AF7576" s="388">
        <v>0.31791420288</v>
      </c>
      <c r="AG7576" s="388">
        <v>0.30480000000000002</v>
      </c>
      <c r="AH7576" s="391"/>
      <c r="AI7576" s="397"/>
      <c r="AJ7576" s="397"/>
      <c r="AU7576" s="397"/>
      <c r="AV7576" s="397"/>
      <c r="AW7576" s="397"/>
      <c r="AX7576" s="397"/>
      <c r="BI7576" s="397"/>
      <c r="BJ7576" s="397"/>
      <c r="BK7576" s="397"/>
      <c r="BL7576" s="397"/>
      <c r="BM7576" s="397"/>
      <c r="BN7576" s="397"/>
      <c r="BO7576" s="397"/>
      <c r="BP7576" s="397"/>
      <c r="BQ7576" s="397"/>
      <c r="BR7576" s="397"/>
      <c r="BS7576" s="397"/>
      <c r="BT7576" s="397"/>
      <c r="BU7576" s="397"/>
      <c r="BV7576" s="397"/>
      <c r="BW7576" s="397"/>
      <c r="BX7576" s="397"/>
      <c r="BY7576" s="397"/>
      <c r="BZ7576" s="397"/>
      <c r="CA7576" s="392" t="s">
        <v>413</v>
      </c>
    </row>
    <row r="7577" spans="1:79" s="392" customFormat="1" ht="15" x14ac:dyDescent="0.25">
      <c r="A7577" s="385"/>
      <c r="D7577" s="700"/>
      <c r="E7577" s="397"/>
      <c r="H7577" s="401">
        <v>3</v>
      </c>
      <c r="I7577" s="401"/>
      <c r="J7577" s="401"/>
      <c r="K7577" s="401"/>
      <c r="L7577" s="675"/>
      <c r="M7577" s="672">
        <v>30839</v>
      </c>
      <c r="N7577" s="623">
        <v>0.14508359308586002</v>
      </c>
      <c r="O7577" s="624">
        <v>6.1688566399999991E-4</v>
      </c>
      <c r="P7577" s="397"/>
      <c r="Q7577" s="397"/>
      <c r="R7577" s="397"/>
      <c r="S7577" s="397"/>
      <c r="T7577" s="397"/>
      <c r="U7577" s="397"/>
      <c r="V7577" s="397"/>
      <c r="W7577" s="397"/>
      <c r="X7577" s="397"/>
      <c r="Y7577" s="397"/>
      <c r="Z7577" s="397"/>
      <c r="AC7577" s="409">
        <v>0.188</v>
      </c>
      <c r="AD7577" s="388">
        <v>2.0726400000000003</v>
      </c>
      <c r="AE7577" s="388">
        <v>0.16764000000000001</v>
      </c>
      <c r="AF7577" s="388">
        <v>0.34745736960000007</v>
      </c>
      <c r="AG7577" s="388">
        <v>0.31089600000000001</v>
      </c>
      <c r="AH7577" s="391"/>
      <c r="AI7577" s="397"/>
      <c r="AJ7577" s="397"/>
      <c r="AU7577" s="397"/>
      <c r="AV7577" s="397"/>
      <c r="AW7577" s="397"/>
      <c r="AX7577" s="397"/>
      <c r="BI7577" s="397"/>
      <c r="BJ7577" s="397"/>
      <c r="BK7577" s="397"/>
      <c r="BL7577" s="397"/>
      <c r="BM7577" s="397"/>
      <c r="BN7577" s="397"/>
      <c r="BO7577" s="397"/>
      <c r="BP7577" s="397"/>
      <c r="BQ7577" s="397"/>
      <c r="BR7577" s="397"/>
      <c r="BS7577" s="397"/>
      <c r="BT7577" s="397"/>
      <c r="BU7577" s="397"/>
      <c r="BV7577" s="397"/>
      <c r="BW7577" s="397"/>
      <c r="BX7577" s="397"/>
      <c r="BY7577" s="397"/>
      <c r="BZ7577" s="397"/>
      <c r="CA7577" s="392" t="s">
        <v>413</v>
      </c>
    </row>
    <row r="7578" spans="1:79" s="392" customFormat="1" ht="15" x14ac:dyDescent="0.25">
      <c r="A7578" s="385"/>
      <c r="D7578" s="700"/>
      <c r="E7578" s="397"/>
      <c r="H7578" s="401">
        <v>3</v>
      </c>
      <c r="I7578" s="401"/>
      <c r="J7578" s="401"/>
      <c r="K7578" s="401"/>
      <c r="L7578" s="675"/>
      <c r="M7578" s="672">
        <v>30844</v>
      </c>
      <c r="N7578" s="623">
        <v>7.5942193255879864E-2</v>
      </c>
      <c r="O7578" s="624" t="s">
        <v>71</v>
      </c>
      <c r="P7578" s="397"/>
      <c r="Q7578" s="397"/>
      <c r="R7578" s="397"/>
      <c r="S7578" s="397"/>
      <c r="T7578" s="397"/>
      <c r="U7578" s="397"/>
      <c r="V7578" s="397"/>
      <c r="W7578" s="397"/>
      <c r="X7578" s="397"/>
      <c r="Y7578" s="397"/>
      <c r="Z7578" s="397"/>
      <c r="AC7578" s="409">
        <v>0.188</v>
      </c>
      <c r="AD7578" s="388">
        <v>1.2801600000000002</v>
      </c>
      <c r="AE7578" s="388">
        <v>0.155448</v>
      </c>
      <c r="AF7578" s="388">
        <v>0.19899831168000004</v>
      </c>
      <c r="AG7578" s="388">
        <v>0.32613600000000004</v>
      </c>
      <c r="AH7578" s="391"/>
      <c r="AI7578" s="397"/>
      <c r="AJ7578" s="397"/>
      <c r="AU7578" s="397"/>
      <c r="AV7578" s="397"/>
      <c r="AW7578" s="397"/>
      <c r="AX7578" s="397"/>
      <c r="BI7578" s="397"/>
      <c r="BJ7578" s="397"/>
      <c r="BK7578" s="397"/>
      <c r="BL7578" s="397"/>
      <c r="BM7578" s="397"/>
      <c r="BN7578" s="397"/>
      <c r="BO7578" s="397"/>
      <c r="BP7578" s="397"/>
      <c r="BQ7578" s="397"/>
      <c r="BR7578" s="397"/>
      <c r="BS7578" s="397"/>
      <c r="BT7578" s="397"/>
      <c r="BU7578" s="397"/>
      <c r="BV7578" s="397"/>
      <c r="BW7578" s="397"/>
      <c r="BX7578" s="397"/>
      <c r="BY7578" s="397"/>
      <c r="BZ7578" s="397"/>
      <c r="CA7578" s="392" t="s">
        <v>413</v>
      </c>
    </row>
    <row r="7579" spans="1:79" s="392" customFormat="1" ht="15" x14ac:dyDescent="0.25">
      <c r="A7579" s="385"/>
      <c r="D7579" s="700"/>
      <c r="E7579" s="397"/>
      <c r="H7579" s="401">
        <v>3</v>
      </c>
      <c r="I7579" s="401"/>
      <c r="J7579" s="401"/>
      <c r="K7579" s="401"/>
      <c r="L7579" s="675"/>
      <c r="M7579" s="672">
        <v>30851</v>
      </c>
      <c r="N7579" s="623">
        <v>0.18645508642674979</v>
      </c>
      <c r="O7579" s="624">
        <v>1.9867347119999997E-3</v>
      </c>
      <c r="P7579" s="397"/>
      <c r="Q7579" s="397"/>
      <c r="R7579" s="397"/>
      <c r="S7579" s="397"/>
      <c r="T7579" s="397"/>
      <c r="U7579" s="397"/>
      <c r="V7579" s="397"/>
      <c r="W7579" s="397"/>
      <c r="X7579" s="397"/>
      <c r="Y7579" s="397"/>
      <c r="Z7579" s="397"/>
      <c r="AC7579" s="409">
        <v>0.188</v>
      </c>
      <c r="AD7579" s="388">
        <v>2.2250399999999999</v>
      </c>
      <c r="AE7579" s="388">
        <v>0.18288000000000001</v>
      </c>
      <c r="AF7579" s="388">
        <v>0.40691531520000002</v>
      </c>
      <c r="AG7579" s="388">
        <v>0.35052</v>
      </c>
      <c r="AH7579" s="391"/>
      <c r="AI7579" s="397"/>
      <c r="AJ7579" s="397"/>
      <c r="AU7579" s="397"/>
      <c r="AV7579" s="397"/>
      <c r="AW7579" s="397"/>
      <c r="AX7579" s="397"/>
      <c r="BI7579" s="397"/>
      <c r="BJ7579" s="397"/>
      <c r="BK7579" s="397"/>
      <c r="BL7579" s="397"/>
      <c r="BM7579" s="397"/>
      <c r="BN7579" s="397"/>
      <c r="BO7579" s="397"/>
      <c r="BP7579" s="397"/>
      <c r="BQ7579" s="397"/>
      <c r="BR7579" s="397"/>
      <c r="BS7579" s="397"/>
      <c r="BT7579" s="397"/>
      <c r="BU7579" s="397"/>
      <c r="BV7579" s="397"/>
      <c r="BW7579" s="397"/>
      <c r="BX7579" s="397"/>
      <c r="BY7579" s="397"/>
      <c r="BZ7579" s="397"/>
      <c r="CA7579" s="392" t="s">
        <v>413</v>
      </c>
    </row>
    <row r="7580" spans="1:79" s="392" customFormat="1" ht="15" x14ac:dyDescent="0.25">
      <c r="A7580" s="385"/>
      <c r="D7580" s="700"/>
      <c r="E7580" s="397"/>
      <c r="H7580" s="401">
        <v>3</v>
      </c>
      <c r="I7580" s="401"/>
      <c r="J7580" s="401"/>
      <c r="K7580" s="401"/>
      <c r="L7580" s="675"/>
      <c r="M7580" s="672">
        <v>30858</v>
      </c>
      <c r="N7580" s="623">
        <v>0.20969113063190706</v>
      </c>
      <c r="O7580" s="624">
        <v>1.5875734E-3</v>
      </c>
      <c r="P7580" s="397"/>
      <c r="Q7580" s="397"/>
      <c r="R7580" s="397"/>
      <c r="S7580" s="397"/>
      <c r="T7580" s="397"/>
      <c r="U7580" s="397"/>
      <c r="V7580" s="397"/>
      <c r="W7580" s="397"/>
      <c r="X7580" s="397"/>
      <c r="Y7580" s="397"/>
      <c r="Z7580" s="397"/>
      <c r="AC7580" s="409">
        <v>0.188</v>
      </c>
      <c r="AD7580" s="388">
        <v>2.286</v>
      </c>
      <c r="AE7580" s="388">
        <v>0.19507200000000002</v>
      </c>
      <c r="AF7580" s="388">
        <v>0.44593459200000007</v>
      </c>
      <c r="AG7580" s="388">
        <v>0.37490400000000002</v>
      </c>
      <c r="AH7580" s="391"/>
      <c r="AI7580" s="397"/>
      <c r="AJ7580" s="397"/>
      <c r="AU7580" s="397"/>
      <c r="AV7580" s="397"/>
      <c r="AW7580" s="397"/>
      <c r="AX7580" s="397"/>
      <c r="BI7580" s="397"/>
      <c r="BJ7580" s="397"/>
      <c r="BK7580" s="397"/>
      <c r="BL7580" s="397"/>
      <c r="BM7580" s="397"/>
      <c r="BN7580" s="397"/>
      <c r="BO7580" s="397"/>
      <c r="BP7580" s="397"/>
      <c r="BQ7580" s="397"/>
      <c r="BR7580" s="397"/>
      <c r="BS7580" s="397"/>
      <c r="BT7580" s="397"/>
      <c r="BU7580" s="397"/>
      <c r="BV7580" s="397"/>
      <c r="BW7580" s="397"/>
      <c r="BX7580" s="397"/>
      <c r="BY7580" s="397"/>
      <c r="BZ7580" s="397"/>
      <c r="CA7580" s="392" t="s">
        <v>413</v>
      </c>
    </row>
    <row r="7581" spans="1:79" s="392" customFormat="1" ht="15" x14ac:dyDescent="0.25">
      <c r="A7581" s="385"/>
      <c r="D7581" s="700"/>
      <c r="E7581" s="397"/>
      <c r="H7581" s="401">
        <v>3</v>
      </c>
      <c r="I7581" s="401"/>
      <c r="J7581" s="401"/>
      <c r="K7581" s="401"/>
      <c r="L7581" s="675"/>
      <c r="M7581" s="672">
        <v>30866</v>
      </c>
      <c r="N7581" s="623">
        <v>0.23746103712099748</v>
      </c>
      <c r="O7581" s="624">
        <v>1.6873637279999998E-3</v>
      </c>
      <c r="P7581" s="397"/>
      <c r="Q7581" s="397"/>
      <c r="R7581" s="397"/>
      <c r="S7581" s="397"/>
      <c r="T7581" s="397"/>
      <c r="U7581" s="397"/>
      <c r="V7581" s="397"/>
      <c r="W7581" s="397"/>
      <c r="X7581" s="397"/>
      <c r="Y7581" s="397"/>
      <c r="Z7581" s="397"/>
      <c r="AC7581" s="409">
        <v>0.188</v>
      </c>
      <c r="AD7581" s="388">
        <v>1.8897600000000001</v>
      </c>
      <c r="AE7581" s="388">
        <v>0.23469600000000002</v>
      </c>
      <c r="AF7581" s="388">
        <v>0.44351911296000007</v>
      </c>
      <c r="AG7581" s="388">
        <v>0.521208</v>
      </c>
      <c r="AH7581" s="391"/>
      <c r="AI7581" s="397"/>
      <c r="AJ7581" s="397"/>
      <c r="AU7581" s="397"/>
      <c r="AV7581" s="397"/>
      <c r="AW7581" s="397"/>
      <c r="AX7581" s="397"/>
      <c r="BI7581" s="397"/>
      <c r="BJ7581" s="397"/>
      <c r="BK7581" s="397"/>
      <c r="BL7581" s="397"/>
      <c r="BM7581" s="397"/>
      <c r="BN7581" s="397"/>
      <c r="BO7581" s="397"/>
      <c r="BP7581" s="397"/>
      <c r="BQ7581" s="397"/>
      <c r="BR7581" s="397"/>
      <c r="BS7581" s="397"/>
      <c r="BT7581" s="397"/>
      <c r="BU7581" s="397"/>
      <c r="BV7581" s="397"/>
      <c r="BW7581" s="397"/>
      <c r="BX7581" s="397"/>
      <c r="BY7581" s="397"/>
      <c r="BZ7581" s="397"/>
      <c r="CA7581" s="392" t="s">
        <v>413</v>
      </c>
    </row>
    <row r="7582" spans="1:79" s="392" customFormat="1" ht="15" x14ac:dyDescent="0.25">
      <c r="A7582" s="385"/>
      <c r="D7582" s="700"/>
      <c r="E7582" s="397"/>
      <c r="H7582" s="401">
        <v>3</v>
      </c>
      <c r="I7582" s="401"/>
      <c r="J7582" s="401"/>
      <c r="K7582" s="401"/>
      <c r="L7582" s="675"/>
      <c r="M7582" s="672">
        <v>30875</v>
      </c>
      <c r="N7582" s="623">
        <v>0.14423349390762255</v>
      </c>
      <c r="O7582" s="624">
        <v>1.306346112E-4</v>
      </c>
      <c r="P7582" s="397"/>
      <c r="Q7582" s="397"/>
      <c r="R7582" s="397"/>
      <c r="S7582" s="397"/>
      <c r="T7582" s="397"/>
      <c r="U7582" s="397"/>
      <c r="V7582" s="397"/>
      <c r="W7582" s="397"/>
      <c r="X7582" s="397"/>
      <c r="Y7582" s="397"/>
      <c r="Z7582" s="397"/>
      <c r="AC7582" s="409">
        <v>0.188</v>
      </c>
      <c r="AD7582" s="388">
        <v>2.1945600000000001</v>
      </c>
      <c r="AE7582" s="388">
        <v>0.176784</v>
      </c>
      <c r="AF7582" s="388">
        <v>0.38796309503999998</v>
      </c>
      <c r="AG7582" s="388">
        <v>0.30175200000000002</v>
      </c>
      <c r="AH7582" s="391"/>
      <c r="AI7582" s="397"/>
      <c r="AJ7582" s="397"/>
      <c r="AU7582" s="397"/>
      <c r="AV7582" s="397"/>
      <c r="AW7582" s="397"/>
      <c r="AX7582" s="397"/>
      <c r="BI7582" s="397"/>
      <c r="BJ7582" s="397"/>
      <c r="BK7582" s="397"/>
      <c r="BL7582" s="397"/>
      <c r="BM7582" s="397"/>
      <c r="BN7582" s="397"/>
      <c r="BO7582" s="397"/>
      <c r="BP7582" s="397"/>
      <c r="BQ7582" s="397"/>
      <c r="BR7582" s="397"/>
      <c r="BS7582" s="397"/>
      <c r="BT7582" s="397"/>
      <c r="BU7582" s="397"/>
      <c r="BV7582" s="397"/>
      <c r="BW7582" s="397"/>
      <c r="BX7582" s="397"/>
      <c r="BY7582" s="397"/>
      <c r="BZ7582" s="397"/>
      <c r="CA7582" s="392" t="s">
        <v>413</v>
      </c>
    </row>
    <row r="7583" spans="1:79" s="392" customFormat="1" ht="15" x14ac:dyDescent="0.25">
      <c r="A7583" s="385"/>
      <c r="D7583" s="700"/>
      <c r="E7583" s="397"/>
      <c r="H7583" s="401">
        <v>3</v>
      </c>
      <c r="I7583" s="401"/>
      <c r="J7583" s="401"/>
      <c r="K7583" s="401"/>
      <c r="L7583" s="675"/>
      <c r="M7583" s="672">
        <v>30883</v>
      </c>
      <c r="N7583" s="623">
        <v>7.1124964579200908E-2</v>
      </c>
      <c r="O7583" s="624" t="s">
        <v>71</v>
      </c>
      <c r="P7583" s="397"/>
      <c r="Q7583" s="397"/>
      <c r="R7583" s="397"/>
      <c r="S7583" s="397"/>
      <c r="T7583" s="397"/>
      <c r="U7583" s="397"/>
      <c r="V7583" s="397"/>
      <c r="W7583" s="397"/>
      <c r="X7583" s="397"/>
      <c r="Y7583" s="397"/>
      <c r="Z7583" s="397"/>
      <c r="AC7583" s="409">
        <v>0.188</v>
      </c>
      <c r="AD7583" s="388">
        <v>1.9202399999999999</v>
      </c>
      <c r="AE7583" s="388">
        <v>0.140208</v>
      </c>
      <c r="AF7583" s="388">
        <v>0.26923300991999999</v>
      </c>
      <c r="AG7583" s="388">
        <v>0.19507200000000002</v>
      </c>
      <c r="AH7583" s="391"/>
      <c r="AI7583" s="397"/>
      <c r="AJ7583" s="397"/>
      <c r="AU7583" s="397"/>
      <c r="AV7583" s="397"/>
      <c r="AW7583" s="397"/>
      <c r="AX7583" s="397"/>
      <c r="BI7583" s="397"/>
      <c r="BJ7583" s="397"/>
      <c r="BK7583" s="397"/>
      <c r="BL7583" s="397"/>
      <c r="BM7583" s="397"/>
      <c r="BN7583" s="397"/>
      <c r="BO7583" s="397"/>
      <c r="BP7583" s="397"/>
      <c r="BQ7583" s="397"/>
      <c r="BR7583" s="397"/>
      <c r="BS7583" s="397"/>
      <c r="BT7583" s="397"/>
      <c r="BU7583" s="397"/>
      <c r="BV7583" s="397"/>
      <c r="BW7583" s="397"/>
      <c r="BX7583" s="397"/>
      <c r="BY7583" s="397"/>
      <c r="BZ7583" s="397"/>
      <c r="CA7583" s="392" t="s">
        <v>413</v>
      </c>
    </row>
    <row r="7584" spans="1:79" s="392" customFormat="1" ht="15" x14ac:dyDescent="0.25">
      <c r="A7584" s="385"/>
      <c r="D7584" s="700"/>
      <c r="E7584" s="397"/>
      <c r="H7584" s="401">
        <v>3</v>
      </c>
      <c r="I7584" s="401"/>
      <c r="J7584" s="401"/>
      <c r="K7584" s="401"/>
      <c r="L7584" s="675"/>
      <c r="M7584" s="672">
        <v>30894</v>
      </c>
      <c r="N7584" s="623">
        <v>3.3153867951260976E-2</v>
      </c>
      <c r="O7584" s="624" t="s">
        <v>71</v>
      </c>
      <c r="P7584" s="397"/>
      <c r="Q7584" s="397"/>
      <c r="R7584" s="397"/>
      <c r="S7584" s="397"/>
      <c r="T7584" s="397"/>
      <c r="U7584" s="397"/>
      <c r="V7584" s="397"/>
      <c r="W7584" s="397"/>
      <c r="X7584" s="397"/>
      <c r="Y7584" s="397"/>
      <c r="Z7584" s="397"/>
      <c r="AC7584" s="409">
        <v>0.188</v>
      </c>
      <c r="AD7584" s="388">
        <v>0</v>
      </c>
      <c r="AE7584" s="388">
        <v>0</v>
      </c>
      <c r="AF7584" s="388">
        <v>0</v>
      </c>
      <c r="AG7584" s="388">
        <v>0</v>
      </c>
      <c r="AH7584" s="391"/>
      <c r="AI7584" s="397"/>
      <c r="AJ7584" s="397"/>
      <c r="AU7584" s="397"/>
      <c r="AV7584" s="397"/>
      <c r="AW7584" s="397"/>
      <c r="AX7584" s="397"/>
      <c r="BI7584" s="397"/>
      <c r="BJ7584" s="397"/>
      <c r="BK7584" s="397"/>
      <c r="BL7584" s="397"/>
      <c r="BM7584" s="397"/>
      <c r="BN7584" s="397"/>
      <c r="BO7584" s="397"/>
      <c r="BP7584" s="397"/>
      <c r="BQ7584" s="397"/>
      <c r="BR7584" s="397"/>
      <c r="BS7584" s="397"/>
      <c r="BT7584" s="397"/>
      <c r="BU7584" s="397"/>
      <c r="BV7584" s="397"/>
      <c r="BW7584" s="397"/>
      <c r="BX7584" s="397"/>
      <c r="BY7584" s="397"/>
      <c r="BZ7584" s="397"/>
      <c r="CA7584" s="392" t="s">
        <v>413</v>
      </c>
    </row>
    <row r="7585" spans="1:79" s="392" customFormat="1" ht="15" x14ac:dyDescent="0.25">
      <c r="A7585" s="385"/>
      <c r="D7585" s="700"/>
      <c r="E7585" s="397"/>
      <c r="H7585" s="401">
        <v>3</v>
      </c>
      <c r="I7585" s="401"/>
      <c r="J7585" s="401"/>
      <c r="K7585" s="401"/>
      <c r="L7585" s="675"/>
      <c r="M7585" s="672">
        <v>30902</v>
      </c>
      <c r="N7585" s="623">
        <v>4.137149334088977E-2</v>
      </c>
      <c r="O7585" s="624" t="s">
        <v>71</v>
      </c>
      <c r="P7585" s="397"/>
      <c r="Q7585" s="397"/>
      <c r="R7585" s="397"/>
      <c r="S7585" s="397"/>
      <c r="T7585" s="397"/>
      <c r="U7585" s="397"/>
      <c r="V7585" s="397"/>
      <c r="W7585" s="397"/>
      <c r="X7585" s="397"/>
      <c r="Y7585" s="397"/>
      <c r="Z7585" s="397"/>
      <c r="AC7585" s="409">
        <v>0.188</v>
      </c>
      <c r="AD7585" s="388">
        <v>1.2801600000000002</v>
      </c>
      <c r="AE7585" s="388">
        <v>0.14935200000000001</v>
      </c>
      <c r="AF7585" s="388">
        <v>0.19119445632000004</v>
      </c>
      <c r="AG7585" s="388">
        <v>0.20726400000000003</v>
      </c>
      <c r="AH7585" s="391"/>
      <c r="AI7585" s="397"/>
      <c r="AJ7585" s="397"/>
      <c r="AU7585" s="397"/>
      <c r="AV7585" s="397"/>
      <c r="AW7585" s="397"/>
      <c r="AX7585" s="397"/>
      <c r="BI7585" s="397"/>
      <c r="BJ7585" s="397"/>
      <c r="BK7585" s="397"/>
      <c r="BL7585" s="397"/>
      <c r="BM7585" s="397"/>
      <c r="BN7585" s="397"/>
      <c r="BO7585" s="397"/>
      <c r="BP7585" s="397"/>
      <c r="BQ7585" s="397"/>
      <c r="BR7585" s="397"/>
      <c r="BS7585" s="397"/>
      <c r="BT7585" s="397"/>
      <c r="BU7585" s="397"/>
      <c r="BV7585" s="397"/>
      <c r="BW7585" s="397"/>
      <c r="BX7585" s="397"/>
      <c r="BY7585" s="397"/>
      <c r="BZ7585" s="397"/>
      <c r="CA7585" s="392" t="s">
        <v>413</v>
      </c>
    </row>
    <row r="7586" spans="1:79" s="392" customFormat="1" ht="15" x14ac:dyDescent="0.25">
      <c r="A7586" s="385"/>
      <c r="D7586" s="700"/>
      <c r="E7586" s="397"/>
      <c r="H7586" s="401">
        <v>3</v>
      </c>
      <c r="I7586" s="401"/>
      <c r="J7586" s="401"/>
      <c r="K7586" s="401"/>
      <c r="L7586" s="675"/>
      <c r="M7586" s="672">
        <v>30910</v>
      </c>
      <c r="N7586" s="623">
        <v>1.8418815528478325E-2</v>
      </c>
      <c r="O7586" s="624" t="s">
        <v>71</v>
      </c>
      <c r="P7586" s="397"/>
      <c r="Q7586" s="397"/>
      <c r="R7586" s="397"/>
      <c r="S7586" s="397"/>
      <c r="T7586" s="397"/>
      <c r="U7586" s="397"/>
      <c r="V7586" s="397"/>
      <c r="W7586" s="397"/>
      <c r="X7586" s="397"/>
      <c r="Y7586" s="397"/>
      <c r="Z7586" s="397"/>
      <c r="AC7586" s="409">
        <v>0.188</v>
      </c>
      <c r="AD7586" s="388">
        <v>1.2496799999999999</v>
      </c>
      <c r="AE7586" s="388">
        <v>0.12192000000000001</v>
      </c>
      <c r="AF7586" s="388">
        <v>0.1523609856</v>
      </c>
      <c r="AG7586" s="388">
        <v>0.11582400000000001</v>
      </c>
      <c r="AH7586" s="391"/>
      <c r="AI7586" s="397"/>
      <c r="AJ7586" s="397"/>
      <c r="AU7586" s="397"/>
      <c r="AV7586" s="397"/>
      <c r="AW7586" s="397"/>
      <c r="AX7586" s="397"/>
      <c r="BI7586" s="397"/>
      <c r="BJ7586" s="397"/>
      <c r="BK7586" s="397"/>
      <c r="BL7586" s="397"/>
      <c r="BM7586" s="397"/>
      <c r="BN7586" s="397"/>
      <c r="BO7586" s="397"/>
      <c r="BP7586" s="397"/>
      <c r="BQ7586" s="397"/>
      <c r="BR7586" s="397"/>
      <c r="BS7586" s="397"/>
      <c r="BT7586" s="397"/>
      <c r="BU7586" s="397"/>
      <c r="BV7586" s="397"/>
      <c r="BW7586" s="397"/>
      <c r="BX7586" s="397"/>
      <c r="BY7586" s="397"/>
      <c r="BZ7586" s="397"/>
      <c r="CA7586" s="392" t="s">
        <v>413</v>
      </c>
    </row>
    <row r="7587" spans="1:79" s="392" customFormat="1" ht="15" x14ac:dyDescent="0.25">
      <c r="A7587" s="385"/>
      <c r="D7587" s="700"/>
      <c r="E7587" s="397"/>
      <c r="H7587" s="401">
        <v>3</v>
      </c>
      <c r="I7587" s="401"/>
      <c r="J7587" s="401"/>
      <c r="K7587" s="401"/>
      <c r="L7587" s="675"/>
      <c r="M7587" s="672">
        <v>30923</v>
      </c>
      <c r="N7587" s="623">
        <v>2.2385945026919808E-2</v>
      </c>
      <c r="O7587" s="624" t="s">
        <v>71</v>
      </c>
      <c r="P7587" s="397"/>
      <c r="Q7587" s="397"/>
      <c r="R7587" s="397"/>
      <c r="S7587" s="397"/>
      <c r="T7587" s="397"/>
      <c r="U7587" s="397"/>
      <c r="V7587" s="397"/>
      <c r="W7587" s="397"/>
      <c r="X7587" s="397"/>
      <c r="Y7587" s="397"/>
      <c r="Z7587" s="397"/>
      <c r="AC7587" s="409">
        <v>0.188</v>
      </c>
      <c r="AD7587" s="388">
        <v>1.2496799999999999</v>
      </c>
      <c r="AE7587" s="388">
        <v>0.124968</v>
      </c>
      <c r="AF7587" s="388">
        <v>0.15617001023999999</v>
      </c>
      <c r="AG7587" s="388">
        <v>0.155448</v>
      </c>
      <c r="AH7587" s="391"/>
      <c r="AI7587" s="397"/>
      <c r="AJ7587" s="397"/>
      <c r="AU7587" s="397"/>
      <c r="AV7587" s="397"/>
      <c r="AW7587" s="397"/>
      <c r="AX7587" s="397"/>
      <c r="BI7587" s="397"/>
      <c r="BJ7587" s="397"/>
      <c r="BK7587" s="397"/>
      <c r="BL7587" s="397"/>
      <c r="BM7587" s="397"/>
      <c r="BN7587" s="397"/>
      <c r="BO7587" s="397"/>
      <c r="BP7587" s="397"/>
      <c r="BQ7587" s="397"/>
      <c r="BR7587" s="397"/>
      <c r="BS7587" s="397"/>
      <c r="BT7587" s="397"/>
      <c r="BU7587" s="397"/>
      <c r="BV7587" s="397"/>
      <c r="BW7587" s="397"/>
      <c r="BX7587" s="397"/>
      <c r="BY7587" s="397"/>
      <c r="BZ7587" s="397"/>
      <c r="CA7587" s="392" t="s">
        <v>413</v>
      </c>
    </row>
    <row r="7588" spans="1:79" s="392" customFormat="1" ht="15" x14ac:dyDescent="0.25">
      <c r="A7588" s="385"/>
      <c r="D7588" s="700"/>
      <c r="E7588" s="397"/>
      <c r="H7588" s="401">
        <v>3</v>
      </c>
      <c r="I7588" s="401"/>
      <c r="J7588" s="401"/>
      <c r="K7588" s="401"/>
      <c r="L7588" s="675"/>
      <c r="M7588" s="672">
        <v>30942</v>
      </c>
      <c r="N7588" s="623">
        <v>7.367526211391329E-3</v>
      </c>
      <c r="O7588" s="624" t="s">
        <v>71</v>
      </c>
      <c r="P7588" s="397"/>
      <c r="Q7588" s="397"/>
      <c r="R7588" s="397"/>
      <c r="S7588" s="397"/>
      <c r="T7588" s="397"/>
      <c r="U7588" s="397"/>
      <c r="V7588" s="397"/>
      <c r="W7588" s="397"/>
      <c r="X7588" s="397"/>
      <c r="Y7588" s="397"/>
      <c r="Z7588" s="397"/>
      <c r="AC7588" s="409">
        <v>0.188</v>
      </c>
      <c r="AD7588" s="388">
        <v>1.09728</v>
      </c>
      <c r="AE7588" s="388">
        <v>8.5344000000000017E-2</v>
      </c>
      <c r="AF7588" s="388">
        <v>9.3646264320000019E-2</v>
      </c>
      <c r="AG7588" s="388">
        <v>7.3151999999999995E-2</v>
      </c>
      <c r="AH7588" s="391"/>
      <c r="AI7588" s="397"/>
      <c r="AJ7588" s="397"/>
      <c r="AU7588" s="397"/>
      <c r="AV7588" s="397"/>
      <c r="AW7588" s="397"/>
      <c r="AX7588" s="397"/>
      <c r="BI7588" s="397"/>
      <c r="BJ7588" s="397"/>
      <c r="BK7588" s="397"/>
      <c r="BL7588" s="397"/>
      <c r="BM7588" s="397"/>
      <c r="BN7588" s="397"/>
      <c r="BO7588" s="397"/>
      <c r="BP7588" s="397"/>
      <c r="BQ7588" s="397"/>
      <c r="BR7588" s="397"/>
      <c r="BS7588" s="397"/>
      <c r="BT7588" s="397"/>
      <c r="BU7588" s="397"/>
      <c r="BV7588" s="397"/>
      <c r="BW7588" s="397"/>
      <c r="BX7588" s="397"/>
      <c r="BY7588" s="397"/>
      <c r="BZ7588" s="397"/>
      <c r="CA7588" s="392" t="s">
        <v>413</v>
      </c>
    </row>
    <row r="7589" spans="1:79" s="392" customFormat="1" ht="15" x14ac:dyDescent="0.25">
      <c r="A7589" s="385"/>
      <c r="D7589" s="700"/>
      <c r="E7589" s="397"/>
      <c r="H7589" s="401">
        <v>3</v>
      </c>
      <c r="I7589" s="401"/>
      <c r="J7589" s="401"/>
      <c r="K7589" s="401"/>
      <c r="L7589" s="675"/>
      <c r="M7589" s="672">
        <v>31175</v>
      </c>
      <c r="N7589" s="623">
        <v>8.5009917823746107E-3</v>
      </c>
      <c r="O7589" s="624">
        <v>9.1700000000000006E-5</v>
      </c>
      <c r="P7589" s="397"/>
      <c r="Q7589" s="397"/>
      <c r="R7589" s="397"/>
      <c r="S7589" s="397"/>
      <c r="T7589" s="397"/>
      <c r="U7589" s="397"/>
      <c r="V7589" s="397"/>
      <c r="W7589" s="397"/>
      <c r="X7589" s="397"/>
      <c r="Y7589" s="397"/>
      <c r="Z7589" s="397"/>
      <c r="AC7589" s="409">
        <v>0.188</v>
      </c>
      <c r="AD7589" s="388">
        <v>1.0668</v>
      </c>
      <c r="AE7589" s="388"/>
      <c r="AF7589" s="388"/>
      <c r="AG7589" s="388"/>
      <c r="AH7589" s="391"/>
      <c r="AI7589" s="397"/>
      <c r="AJ7589" s="397"/>
      <c r="AU7589" s="397"/>
      <c r="AV7589" s="397"/>
      <c r="AW7589" s="397"/>
      <c r="AX7589" s="397"/>
      <c r="BI7589" s="397"/>
      <c r="BJ7589" s="397"/>
      <c r="BK7589" s="397"/>
      <c r="BL7589" s="397"/>
      <c r="BM7589" s="397"/>
      <c r="BN7589" s="397"/>
      <c r="BO7589" s="397"/>
      <c r="BP7589" s="397"/>
      <c r="BQ7589" s="397"/>
      <c r="BR7589" s="397"/>
      <c r="BS7589" s="397"/>
      <c r="BT7589" s="397"/>
      <c r="BU7589" s="397"/>
      <c r="BV7589" s="397"/>
      <c r="BW7589" s="397"/>
      <c r="BX7589" s="397"/>
      <c r="BY7589" s="397"/>
      <c r="BZ7589" s="397"/>
      <c r="CA7589" s="392" t="s">
        <v>413</v>
      </c>
    </row>
    <row r="7590" spans="1:79" s="392" customFormat="1" ht="15" x14ac:dyDescent="0.25">
      <c r="A7590" s="385"/>
      <c r="D7590" s="700"/>
      <c r="E7590" s="397"/>
      <c r="H7590" s="401">
        <v>3</v>
      </c>
      <c r="I7590" s="401"/>
      <c r="J7590" s="401"/>
      <c r="K7590" s="401"/>
      <c r="L7590" s="675"/>
      <c r="M7590" s="672">
        <v>31203</v>
      </c>
      <c r="N7590" s="623">
        <v>0.10739586285066592</v>
      </c>
      <c r="O7590" s="624">
        <v>2.13948E-3</v>
      </c>
      <c r="P7590" s="397"/>
      <c r="Q7590" s="397"/>
      <c r="R7590" s="397"/>
      <c r="S7590" s="397"/>
      <c r="T7590" s="397"/>
      <c r="U7590" s="397"/>
      <c r="V7590" s="397"/>
      <c r="W7590" s="397"/>
      <c r="X7590" s="397"/>
      <c r="Y7590" s="397"/>
      <c r="Z7590" s="397"/>
      <c r="AC7590" s="409">
        <v>0.188</v>
      </c>
      <c r="AD7590" s="388">
        <v>1.9202399999999999</v>
      </c>
      <c r="AE7590" s="388"/>
      <c r="AF7590" s="388"/>
      <c r="AG7590" s="388"/>
      <c r="AH7590" s="391"/>
      <c r="AI7590" s="397"/>
      <c r="AJ7590" s="397"/>
      <c r="AU7590" s="397"/>
      <c r="AV7590" s="397"/>
      <c r="AW7590" s="397"/>
      <c r="AX7590" s="397"/>
      <c r="BI7590" s="397"/>
      <c r="BJ7590" s="397"/>
      <c r="BK7590" s="397"/>
      <c r="BL7590" s="397"/>
      <c r="BM7590" s="397"/>
      <c r="BN7590" s="397"/>
      <c r="BO7590" s="397"/>
      <c r="BP7590" s="397"/>
      <c r="BQ7590" s="397"/>
      <c r="BR7590" s="397"/>
      <c r="BS7590" s="397"/>
      <c r="BT7590" s="397"/>
      <c r="BU7590" s="397"/>
      <c r="BV7590" s="397"/>
      <c r="BW7590" s="397"/>
      <c r="BX7590" s="397"/>
      <c r="BY7590" s="397"/>
      <c r="BZ7590" s="397"/>
      <c r="CA7590" s="392" t="s">
        <v>413</v>
      </c>
    </row>
    <row r="7591" spans="1:79" s="392" customFormat="1" ht="15" x14ac:dyDescent="0.25">
      <c r="A7591" s="385"/>
      <c r="D7591" s="700"/>
      <c r="E7591" s="397"/>
      <c r="H7591" s="401">
        <v>3</v>
      </c>
      <c r="I7591" s="401"/>
      <c r="J7591" s="401"/>
      <c r="K7591" s="401"/>
      <c r="L7591" s="675"/>
      <c r="M7591" s="672">
        <v>31211</v>
      </c>
      <c r="N7591" s="623">
        <v>0.16769623122697649</v>
      </c>
      <c r="O7591" s="624">
        <v>3.0299133333333336E-3</v>
      </c>
      <c r="P7591" s="397"/>
      <c r="Q7591" s="397"/>
      <c r="R7591" s="397"/>
      <c r="S7591" s="397"/>
      <c r="T7591" s="397"/>
      <c r="U7591" s="397"/>
      <c r="V7591" s="397"/>
      <c r="W7591" s="397"/>
      <c r="X7591" s="397"/>
      <c r="Y7591" s="397"/>
      <c r="Z7591" s="397"/>
      <c r="AC7591" s="409">
        <v>0.188</v>
      </c>
      <c r="AD7591" s="388">
        <v>2.4079200000000003</v>
      </c>
      <c r="AE7591" s="388"/>
      <c r="AF7591" s="388"/>
      <c r="AG7591" s="388"/>
      <c r="AH7591" s="391"/>
      <c r="AI7591" s="397"/>
      <c r="AJ7591" s="397"/>
      <c r="AU7591" s="397"/>
      <c r="AV7591" s="397"/>
      <c r="AW7591" s="397"/>
      <c r="AX7591" s="397"/>
      <c r="BI7591" s="397"/>
      <c r="BJ7591" s="397"/>
      <c r="BK7591" s="397"/>
      <c r="BL7591" s="397"/>
      <c r="BM7591" s="397"/>
      <c r="BN7591" s="397"/>
      <c r="BO7591" s="397"/>
      <c r="BP7591" s="397"/>
      <c r="BQ7591" s="397"/>
      <c r="BR7591" s="397"/>
      <c r="BS7591" s="397"/>
      <c r="BT7591" s="397"/>
      <c r="BU7591" s="397"/>
      <c r="BV7591" s="397"/>
      <c r="BW7591" s="397"/>
      <c r="BX7591" s="397"/>
      <c r="BY7591" s="397"/>
      <c r="BZ7591" s="397"/>
      <c r="CA7591" s="392" t="s">
        <v>413</v>
      </c>
    </row>
    <row r="7592" spans="1:79" s="392" customFormat="1" ht="15" x14ac:dyDescent="0.25">
      <c r="A7592" s="385"/>
      <c r="D7592" s="700"/>
      <c r="E7592" s="397"/>
      <c r="H7592" s="401">
        <v>3</v>
      </c>
      <c r="I7592" s="401"/>
      <c r="J7592" s="401"/>
      <c r="K7592" s="401"/>
      <c r="L7592" s="675"/>
      <c r="M7592" s="672">
        <v>31216</v>
      </c>
      <c r="N7592" s="623">
        <v>0.15075092094077644</v>
      </c>
      <c r="O7592" s="624">
        <v>3.9893333333333334E-4</v>
      </c>
      <c r="P7592" s="397"/>
      <c r="Q7592" s="397"/>
      <c r="R7592" s="397"/>
      <c r="S7592" s="397"/>
      <c r="T7592" s="397"/>
      <c r="U7592" s="397"/>
      <c r="V7592" s="397"/>
      <c r="W7592" s="397"/>
      <c r="X7592" s="397"/>
      <c r="Y7592" s="397"/>
      <c r="Z7592" s="397"/>
      <c r="AC7592" s="409">
        <v>0.188</v>
      </c>
      <c r="AD7592" s="388">
        <v>1.9507200000000002</v>
      </c>
      <c r="AE7592" s="388"/>
      <c r="AF7592" s="388"/>
      <c r="AG7592" s="388"/>
      <c r="AH7592" s="391"/>
      <c r="AI7592" s="397"/>
      <c r="AJ7592" s="397"/>
      <c r="AU7592" s="397"/>
      <c r="AV7592" s="397"/>
      <c r="AW7592" s="397"/>
      <c r="AX7592" s="397"/>
      <c r="BI7592" s="397"/>
      <c r="BJ7592" s="397"/>
      <c r="BK7592" s="397"/>
      <c r="BL7592" s="397"/>
      <c r="BM7592" s="397"/>
      <c r="BN7592" s="397"/>
      <c r="BO7592" s="397"/>
      <c r="BP7592" s="397"/>
      <c r="BQ7592" s="397"/>
      <c r="BR7592" s="397"/>
      <c r="BS7592" s="397"/>
      <c r="BT7592" s="397"/>
      <c r="BU7592" s="397"/>
      <c r="BV7592" s="397"/>
      <c r="BW7592" s="397"/>
      <c r="BX7592" s="397"/>
      <c r="BY7592" s="397"/>
      <c r="BZ7592" s="397"/>
      <c r="CA7592" s="392" t="s">
        <v>413</v>
      </c>
    </row>
    <row r="7593" spans="1:79" s="392" customFormat="1" ht="15" x14ac:dyDescent="0.25">
      <c r="A7593" s="385"/>
      <c r="D7593" s="700"/>
      <c r="E7593" s="397"/>
      <c r="H7593" s="401">
        <v>3</v>
      </c>
      <c r="I7593" s="401"/>
      <c r="J7593" s="401"/>
      <c r="K7593" s="401"/>
      <c r="L7593" s="675"/>
      <c r="M7593" s="672">
        <v>31216</v>
      </c>
      <c r="N7593" s="623">
        <v>0.15463304052139415</v>
      </c>
      <c r="O7593" s="624">
        <v>1.4993066666666667E-3</v>
      </c>
      <c r="P7593" s="397"/>
      <c r="Q7593" s="397"/>
      <c r="R7593" s="397"/>
      <c r="S7593" s="397"/>
      <c r="T7593" s="397"/>
      <c r="U7593" s="397"/>
      <c r="V7593" s="397"/>
      <c r="W7593" s="397"/>
      <c r="X7593" s="397"/>
      <c r="Y7593" s="397"/>
      <c r="Z7593" s="397"/>
      <c r="AC7593" s="409">
        <v>0.188</v>
      </c>
      <c r="AD7593" s="388">
        <v>1.9507200000000002</v>
      </c>
      <c r="AE7593" s="388"/>
      <c r="AF7593" s="388"/>
      <c r="AG7593" s="388"/>
      <c r="AH7593" s="391"/>
      <c r="AI7593" s="397"/>
      <c r="AJ7593" s="397"/>
      <c r="AU7593" s="397"/>
      <c r="AV7593" s="397"/>
      <c r="AW7593" s="397"/>
      <c r="AX7593" s="397"/>
      <c r="BI7593" s="397"/>
      <c r="BJ7593" s="397"/>
      <c r="BK7593" s="397"/>
      <c r="BL7593" s="397"/>
      <c r="BM7593" s="397"/>
      <c r="BN7593" s="397"/>
      <c r="BO7593" s="397"/>
      <c r="BP7593" s="397"/>
      <c r="BQ7593" s="397"/>
      <c r="BR7593" s="397"/>
      <c r="BS7593" s="397"/>
      <c r="BT7593" s="397"/>
      <c r="BU7593" s="397"/>
      <c r="BV7593" s="397"/>
      <c r="BW7593" s="397"/>
      <c r="BX7593" s="397"/>
      <c r="BY7593" s="397"/>
      <c r="BZ7593" s="397"/>
      <c r="CA7593" s="392" t="s">
        <v>413</v>
      </c>
    </row>
    <row r="7594" spans="1:79" s="392" customFormat="1" ht="15" x14ac:dyDescent="0.25">
      <c r="A7594" s="385"/>
      <c r="D7594" s="700"/>
      <c r="E7594" s="397"/>
      <c r="H7594" s="401">
        <v>3</v>
      </c>
      <c r="I7594" s="401"/>
      <c r="J7594" s="401"/>
      <c r="K7594" s="401"/>
      <c r="L7594" s="675"/>
      <c r="M7594" s="672">
        <v>31216</v>
      </c>
      <c r="N7594" s="623">
        <v>0.1616888637007651</v>
      </c>
      <c r="O7594" s="624">
        <v>1.2432333333333334E-3</v>
      </c>
      <c r="P7594" s="397"/>
      <c r="Q7594" s="397"/>
      <c r="R7594" s="397"/>
      <c r="S7594" s="397"/>
      <c r="T7594" s="397"/>
      <c r="U7594" s="397"/>
      <c r="V7594" s="397"/>
      <c r="W7594" s="397"/>
      <c r="X7594" s="397"/>
      <c r="Y7594" s="397"/>
      <c r="Z7594" s="397"/>
      <c r="AC7594" s="409">
        <v>0.188</v>
      </c>
      <c r="AD7594" s="388">
        <v>1.9812000000000001</v>
      </c>
      <c r="AE7594" s="388"/>
      <c r="AF7594" s="388"/>
      <c r="AG7594" s="388"/>
      <c r="AH7594" s="391"/>
      <c r="AI7594" s="397"/>
      <c r="AJ7594" s="397"/>
      <c r="AU7594" s="397"/>
      <c r="AV7594" s="397"/>
      <c r="AW7594" s="397"/>
      <c r="AX7594" s="397"/>
      <c r="BI7594" s="397"/>
      <c r="BJ7594" s="397"/>
      <c r="BK7594" s="397"/>
      <c r="BL7594" s="397"/>
      <c r="BM7594" s="397"/>
      <c r="BN7594" s="397"/>
      <c r="BO7594" s="397"/>
      <c r="BP7594" s="397"/>
      <c r="BQ7594" s="397"/>
      <c r="BR7594" s="397"/>
      <c r="BS7594" s="397"/>
      <c r="BT7594" s="397"/>
      <c r="BU7594" s="397"/>
      <c r="BV7594" s="397"/>
      <c r="BW7594" s="397"/>
      <c r="BX7594" s="397"/>
      <c r="BY7594" s="397"/>
      <c r="BZ7594" s="397"/>
      <c r="CA7594" s="392" t="s">
        <v>413</v>
      </c>
    </row>
    <row r="7595" spans="1:79" s="392" customFormat="1" ht="15" x14ac:dyDescent="0.25">
      <c r="A7595" s="385"/>
      <c r="D7595" s="700"/>
      <c r="E7595" s="397"/>
      <c r="H7595" s="401">
        <v>3</v>
      </c>
      <c r="I7595" s="401"/>
      <c r="J7595" s="401"/>
      <c r="K7595" s="401"/>
      <c r="L7595" s="675"/>
      <c r="M7595" s="672">
        <v>31217</v>
      </c>
      <c r="N7595" s="623">
        <v>0.14565032587135165</v>
      </c>
      <c r="O7595" s="624">
        <v>1.0471999999999997E-4</v>
      </c>
      <c r="P7595" s="397"/>
      <c r="Q7595" s="397"/>
      <c r="R7595" s="397"/>
      <c r="S7595" s="397"/>
      <c r="T7595" s="397"/>
      <c r="U7595" s="397"/>
      <c r="V7595" s="397"/>
      <c r="W7595" s="397"/>
      <c r="X7595" s="397"/>
      <c r="Y7595" s="397"/>
      <c r="Z7595" s="397"/>
      <c r="AC7595" s="409">
        <v>0.188</v>
      </c>
      <c r="AD7595" s="388">
        <v>2.0116800000000001</v>
      </c>
      <c r="AE7595" s="388"/>
      <c r="AF7595" s="388"/>
      <c r="AG7595" s="388"/>
      <c r="AH7595" s="391"/>
      <c r="AI7595" s="397"/>
      <c r="AJ7595" s="397"/>
      <c r="AU7595" s="397"/>
      <c r="AV7595" s="397"/>
      <c r="AW7595" s="397"/>
      <c r="AX7595" s="397"/>
      <c r="BI7595" s="397"/>
      <c r="BJ7595" s="397"/>
      <c r="BK7595" s="397"/>
      <c r="BL7595" s="397"/>
      <c r="BM7595" s="397"/>
      <c r="BN7595" s="397"/>
      <c r="BO7595" s="397"/>
      <c r="BP7595" s="397"/>
      <c r="BQ7595" s="397"/>
      <c r="BR7595" s="397"/>
      <c r="BS7595" s="397"/>
      <c r="BT7595" s="397"/>
      <c r="BU7595" s="397"/>
      <c r="BV7595" s="397"/>
      <c r="BW7595" s="397"/>
      <c r="BX7595" s="397"/>
      <c r="BY7595" s="397"/>
      <c r="BZ7595" s="397"/>
      <c r="CA7595" s="392" t="s">
        <v>413</v>
      </c>
    </row>
    <row r="7596" spans="1:79" s="392" customFormat="1" ht="15" x14ac:dyDescent="0.25">
      <c r="A7596" s="385"/>
      <c r="D7596" s="700"/>
      <c r="E7596" s="397"/>
      <c r="H7596" s="401">
        <v>3</v>
      </c>
      <c r="I7596" s="401"/>
      <c r="J7596" s="401"/>
      <c r="K7596" s="401"/>
      <c r="L7596" s="675"/>
      <c r="M7596" s="672">
        <v>31217</v>
      </c>
      <c r="N7596" s="623">
        <v>0.1156134882402947</v>
      </c>
      <c r="O7596" s="624">
        <v>5.3107999999999996E-4</v>
      </c>
      <c r="P7596" s="397"/>
      <c r="Q7596" s="397"/>
      <c r="R7596" s="397"/>
      <c r="S7596" s="397"/>
      <c r="T7596" s="397"/>
      <c r="U7596" s="397"/>
      <c r="V7596" s="397"/>
      <c r="W7596" s="397"/>
      <c r="X7596" s="397"/>
      <c r="Y7596" s="397"/>
      <c r="Z7596" s="397"/>
      <c r="AC7596" s="409">
        <v>0.188</v>
      </c>
      <c r="AD7596" s="388">
        <v>2.0116800000000001</v>
      </c>
      <c r="AE7596" s="388"/>
      <c r="AF7596" s="388"/>
      <c r="AG7596" s="388"/>
      <c r="AH7596" s="391"/>
      <c r="AI7596" s="397"/>
      <c r="AJ7596" s="397"/>
      <c r="AU7596" s="397"/>
      <c r="AV7596" s="397"/>
      <c r="AW7596" s="397"/>
      <c r="AX7596" s="397"/>
      <c r="BI7596" s="397"/>
      <c r="BJ7596" s="397"/>
      <c r="BK7596" s="397"/>
      <c r="BL7596" s="397"/>
      <c r="BM7596" s="397"/>
      <c r="BN7596" s="397"/>
      <c r="BO7596" s="397"/>
      <c r="BP7596" s="397"/>
      <c r="BQ7596" s="397"/>
      <c r="BR7596" s="397"/>
      <c r="BS7596" s="397"/>
      <c r="BT7596" s="397"/>
      <c r="BU7596" s="397"/>
      <c r="BV7596" s="397"/>
      <c r="BW7596" s="397"/>
      <c r="BX7596" s="397"/>
      <c r="BY7596" s="397"/>
      <c r="BZ7596" s="397"/>
      <c r="CA7596" s="392" t="s">
        <v>413</v>
      </c>
    </row>
    <row r="7597" spans="1:79" s="392" customFormat="1" ht="15" x14ac:dyDescent="0.25">
      <c r="A7597" s="385"/>
      <c r="D7597" s="700"/>
      <c r="E7597" s="397"/>
      <c r="H7597" s="401">
        <v>3</v>
      </c>
      <c r="I7597" s="401"/>
      <c r="J7597" s="401"/>
      <c r="K7597" s="401"/>
      <c r="L7597" s="675"/>
      <c r="M7597" s="672">
        <v>31217</v>
      </c>
      <c r="N7597" s="623">
        <v>0.15840181354491356</v>
      </c>
      <c r="O7597" s="624">
        <v>3.7443999999999992E-4</v>
      </c>
      <c r="P7597" s="397"/>
      <c r="Q7597" s="397"/>
      <c r="R7597" s="397"/>
      <c r="S7597" s="397"/>
      <c r="T7597" s="397"/>
      <c r="U7597" s="397"/>
      <c r="V7597" s="397"/>
      <c r="W7597" s="397"/>
      <c r="X7597" s="397"/>
      <c r="Y7597" s="397"/>
      <c r="Z7597" s="397"/>
      <c r="AC7597" s="409">
        <v>0.188</v>
      </c>
      <c r="AD7597" s="388">
        <v>2.0116800000000001</v>
      </c>
      <c r="AE7597" s="388"/>
      <c r="AF7597" s="388"/>
      <c r="AG7597" s="388"/>
      <c r="AH7597" s="391"/>
      <c r="AI7597" s="397"/>
      <c r="AJ7597" s="397"/>
      <c r="AU7597" s="397"/>
      <c r="AV7597" s="397"/>
      <c r="AW7597" s="397"/>
      <c r="AX7597" s="397"/>
      <c r="BI7597" s="397"/>
      <c r="BJ7597" s="397"/>
      <c r="BK7597" s="397"/>
      <c r="BL7597" s="397"/>
      <c r="BM7597" s="397"/>
      <c r="BN7597" s="397"/>
      <c r="BO7597" s="397"/>
      <c r="BP7597" s="397"/>
      <c r="BQ7597" s="397"/>
      <c r="BR7597" s="397"/>
      <c r="BS7597" s="397"/>
      <c r="BT7597" s="397"/>
      <c r="BU7597" s="397"/>
      <c r="BV7597" s="397"/>
      <c r="BW7597" s="397"/>
      <c r="BX7597" s="397"/>
      <c r="BY7597" s="397"/>
      <c r="BZ7597" s="397"/>
      <c r="CA7597" s="392" t="s">
        <v>413</v>
      </c>
    </row>
    <row r="7598" spans="1:79" s="392" customFormat="1" ht="15" x14ac:dyDescent="0.25">
      <c r="A7598" s="385"/>
      <c r="D7598" s="700"/>
      <c r="E7598" s="397"/>
      <c r="H7598" s="401">
        <v>3</v>
      </c>
      <c r="I7598" s="401"/>
      <c r="J7598" s="401"/>
      <c r="K7598" s="401"/>
      <c r="L7598" s="675"/>
      <c r="M7598" s="672">
        <v>31226</v>
      </c>
      <c r="N7598" s="623">
        <v>7.6508926041371494E-2</v>
      </c>
      <c r="O7598" s="624">
        <v>9.1139999999999998E-5</v>
      </c>
      <c r="P7598" s="397"/>
      <c r="Q7598" s="397"/>
      <c r="R7598" s="397"/>
      <c r="S7598" s="397"/>
      <c r="T7598" s="397"/>
      <c r="U7598" s="397"/>
      <c r="V7598" s="397"/>
      <c r="W7598" s="397"/>
      <c r="X7598" s="397"/>
      <c r="Y7598" s="397"/>
      <c r="Z7598" s="397"/>
      <c r="AC7598" s="409">
        <v>0.188</v>
      </c>
      <c r="AD7598" s="388">
        <v>1.9202399999999999</v>
      </c>
      <c r="AE7598" s="388"/>
      <c r="AF7598" s="388"/>
      <c r="AG7598" s="388"/>
      <c r="AH7598" s="391"/>
      <c r="AI7598" s="397"/>
      <c r="AJ7598" s="397"/>
      <c r="AU7598" s="397"/>
      <c r="AV7598" s="397"/>
      <c r="AW7598" s="397"/>
      <c r="AX7598" s="397"/>
      <c r="BI7598" s="397"/>
      <c r="BJ7598" s="397"/>
      <c r="BK7598" s="397"/>
      <c r="BL7598" s="397"/>
      <c r="BM7598" s="397"/>
      <c r="BN7598" s="397"/>
      <c r="BO7598" s="397"/>
      <c r="BP7598" s="397"/>
      <c r="BQ7598" s="397"/>
      <c r="BR7598" s="397"/>
      <c r="BS7598" s="397"/>
      <c r="BT7598" s="397"/>
      <c r="BU7598" s="397"/>
      <c r="BV7598" s="397"/>
      <c r="BW7598" s="397"/>
      <c r="BX7598" s="397"/>
      <c r="BY7598" s="397"/>
      <c r="BZ7598" s="397"/>
      <c r="CA7598" s="392" t="s">
        <v>413</v>
      </c>
    </row>
    <row r="7599" spans="1:79" s="392" customFormat="1" ht="15" x14ac:dyDescent="0.25">
      <c r="A7599" s="385"/>
      <c r="D7599" s="700"/>
      <c r="E7599" s="397"/>
      <c r="H7599" s="401">
        <v>3</v>
      </c>
      <c r="I7599" s="401"/>
      <c r="J7599" s="401"/>
      <c r="K7599" s="401"/>
      <c r="L7599" s="675"/>
      <c r="M7599" s="672">
        <v>31231</v>
      </c>
      <c r="N7599" s="623">
        <v>5.1856049872485127E-2</v>
      </c>
      <c r="O7599" s="624">
        <v>8.506666666666667E-5</v>
      </c>
      <c r="P7599" s="397"/>
      <c r="Q7599" s="397"/>
      <c r="R7599" s="397"/>
      <c r="S7599" s="397"/>
      <c r="T7599" s="397"/>
      <c r="U7599" s="397"/>
      <c r="V7599" s="397"/>
      <c r="W7599" s="397"/>
      <c r="X7599" s="397"/>
      <c r="Y7599" s="397"/>
      <c r="Z7599" s="397"/>
      <c r="AC7599" s="409">
        <v>0.188</v>
      </c>
      <c r="AD7599" s="388">
        <v>1.2192000000000001</v>
      </c>
      <c r="AE7599" s="388"/>
      <c r="AF7599" s="388"/>
      <c r="AG7599" s="388"/>
      <c r="AH7599" s="391"/>
      <c r="AI7599" s="397"/>
      <c r="AJ7599" s="397"/>
      <c r="AU7599" s="397"/>
      <c r="AV7599" s="397"/>
      <c r="AW7599" s="397"/>
      <c r="AX7599" s="397"/>
      <c r="BI7599" s="397"/>
      <c r="BJ7599" s="397"/>
      <c r="BK7599" s="397"/>
      <c r="BL7599" s="397"/>
      <c r="BM7599" s="397"/>
      <c r="BN7599" s="397"/>
      <c r="BO7599" s="397"/>
      <c r="BP7599" s="397"/>
      <c r="BQ7599" s="397"/>
      <c r="BR7599" s="397"/>
      <c r="BS7599" s="397"/>
      <c r="BT7599" s="397"/>
      <c r="BU7599" s="397"/>
      <c r="BV7599" s="397"/>
      <c r="BW7599" s="397"/>
      <c r="BX7599" s="397"/>
      <c r="BY7599" s="397"/>
      <c r="BZ7599" s="397"/>
      <c r="CA7599" s="392" t="s">
        <v>413</v>
      </c>
    </row>
    <row r="7600" spans="1:79" s="392" customFormat="1" ht="15" x14ac:dyDescent="0.25">
      <c r="A7600" s="385"/>
      <c r="D7600" s="700"/>
      <c r="E7600" s="397"/>
      <c r="H7600" s="401">
        <v>3</v>
      </c>
      <c r="I7600" s="401"/>
      <c r="J7600" s="401"/>
      <c r="K7600" s="401"/>
      <c r="L7600" s="675"/>
      <c r="M7600" s="672">
        <v>31238</v>
      </c>
      <c r="N7600" s="623">
        <v>5.1742703315386801E-2</v>
      </c>
      <c r="O7600" s="624">
        <v>7.9999999999999996E-6</v>
      </c>
      <c r="P7600" s="397"/>
      <c r="Q7600" s="397"/>
      <c r="R7600" s="397"/>
      <c r="S7600" s="397"/>
      <c r="T7600" s="397"/>
      <c r="U7600" s="397"/>
      <c r="V7600" s="397"/>
      <c r="W7600" s="397"/>
      <c r="X7600" s="397"/>
      <c r="Y7600" s="397"/>
      <c r="Z7600" s="397"/>
      <c r="AC7600" s="409">
        <v>0.188</v>
      </c>
      <c r="AD7600" s="388">
        <v>1.2192000000000001</v>
      </c>
      <c r="AE7600" s="388"/>
      <c r="AF7600" s="388"/>
      <c r="AG7600" s="388"/>
      <c r="AH7600" s="391"/>
      <c r="AI7600" s="397"/>
      <c r="AJ7600" s="397"/>
      <c r="AU7600" s="397"/>
      <c r="AV7600" s="397"/>
      <c r="AW7600" s="397"/>
      <c r="AX7600" s="397"/>
      <c r="BI7600" s="397"/>
      <c r="BJ7600" s="397"/>
      <c r="BK7600" s="397"/>
      <c r="BL7600" s="397"/>
      <c r="BM7600" s="397"/>
      <c r="BN7600" s="397"/>
      <c r="BO7600" s="397"/>
      <c r="BP7600" s="397"/>
      <c r="BQ7600" s="397"/>
      <c r="BR7600" s="397"/>
      <c r="BS7600" s="397"/>
      <c r="BT7600" s="397"/>
      <c r="BU7600" s="397"/>
      <c r="BV7600" s="397"/>
      <c r="BW7600" s="397"/>
      <c r="BX7600" s="397"/>
      <c r="BY7600" s="397"/>
      <c r="BZ7600" s="397"/>
      <c r="CA7600" s="392" t="s">
        <v>413</v>
      </c>
    </row>
    <row r="7601" spans="1:80" s="392" customFormat="1" ht="15" x14ac:dyDescent="0.25">
      <c r="A7601" s="385"/>
      <c r="D7601" s="700"/>
      <c r="E7601" s="397"/>
      <c r="H7601" s="401">
        <v>3</v>
      </c>
      <c r="I7601" s="401"/>
      <c r="J7601" s="401"/>
      <c r="K7601" s="401"/>
      <c r="L7601" s="675"/>
      <c r="M7601" s="672">
        <v>31252</v>
      </c>
      <c r="N7601" s="623">
        <v>4.5281949560782096E-2</v>
      </c>
      <c r="O7601" s="624">
        <v>3.3811333333333333E-5</v>
      </c>
      <c r="P7601" s="397"/>
      <c r="Q7601" s="397"/>
      <c r="R7601" s="397"/>
      <c r="S7601" s="397"/>
      <c r="T7601" s="397"/>
      <c r="U7601" s="397"/>
      <c r="V7601" s="397"/>
      <c r="W7601" s="397"/>
      <c r="X7601" s="397"/>
      <c r="Y7601" s="397"/>
      <c r="Z7601" s="397"/>
      <c r="AC7601" s="409">
        <v>0.188</v>
      </c>
      <c r="AD7601" s="388">
        <v>1.2496799999999999</v>
      </c>
      <c r="AE7601" s="388"/>
      <c r="AF7601" s="388"/>
      <c r="AG7601" s="388"/>
      <c r="AH7601" s="391"/>
      <c r="AI7601" s="397"/>
      <c r="AJ7601" s="397"/>
      <c r="AU7601" s="397"/>
      <c r="AV7601" s="397"/>
      <c r="AW7601" s="397"/>
      <c r="AX7601" s="397"/>
      <c r="BI7601" s="397"/>
      <c r="BJ7601" s="397"/>
      <c r="BK7601" s="397"/>
      <c r="BL7601" s="397"/>
      <c r="BM7601" s="397"/>
      <c r="BN7601" s="397"/>
      <c r="BO7601" s="397"/>
      <c r="BP7601" s="397"/>
      <c r="BQ7601" s="397"/>
      <c r="BR7601" s="397"/>
      <c r="BS7601" s="397"/>
      <c r="BT7601" s="397"/>
      <c r="BU7601" s="397"/>
      <c r="BV7601" s="397"/>
      <c r="BW7601" s="397"/>
      <c r="BX7601" s="397"/>
      <c r="BY7601" s="397"/>
      <c r="BZ7601" s="397"/>
      <c r="CA7601" s="392" t="s">
        <v>413</v>
      </c>
    </row>
    <row r="7602" spans="1:80" s="392" customFormat="1" ht="15" x14ac:dyDescent="0.25">
      <c r="A7602" s="385"/>
      <c r="D7602" s="700"/>
      <c r="E7602" s="397"/>
      <c r="H7602" s="401">
        <v>3</v>
      </c>
      <c r="I7602" s="401"/>
      <c r="J7602" s="401"/>
      <c r="K7602" s="401"/>
      <c r="L7602" s="675"/>
      <c r="M7602" s="672">
        <v>31260</v>
      </c>
      <c r="N7602" s="623">
        <v>3.7092660810427884E-2</v>
      </c>
      <c r="O7602" s="624">
        <v>5.5199999999999997E-6</v>
      </c>
      <c r="P7602" s="397"/>
      <c r="Q7602" s="397"/>
      <c r="R7602" s="397"/>
      <c r="S7602" s="397"/>
      <c r="T7602" s="397"/>
      <c r="U7602" s="397"/>
      <c r="V7602" s="397"/>
      <c r="W7602" s="397"/>
      <c r="X7602" s="397"/>
      <c r="Y7602" s="397"/>
      <c r="Z7602" s="397"/>
      <c r="AC7602" s="409">
        <v>0.188</v>
      </c>
      <c r="AD7602" s="388">
        <v>1.2192000000000001</v>
      </c>
      <c r="AE7602" s="388"/>
      <c r="AF7602" s="388"/>
      <c r="AG7602" s="388"/>
      <c r="AH7602" s="391"/>
      <c r="AI7602" s="397"/>
      <c r="AJ7602" s="397"/>
      <c r="AU7602" s="397"/>
      <c r="AV7602" s="397"/>
      <c r="AW7602" s="397"/>
      <c r="AX7602" s="397"/>
      <c r="BI7602" s="397"/>
      <c r="BJ7602" s="397"/>
      <c r="BK7602" s="397"/>
      <c r="BL7602" s="397"/>
      <c r="BM7602" s="397"/>
      <c r="BN7602" s="397"/>
      <c r="BO7602" s="397"/>
      <c r="BP7602" s="397"/>
      <c r="BQ7602" s="397"/>
      <c r="BR7602" s="397"/>
      <c r="BS7602" s="397"/>
      <c r="BT7602" s="397"/>
      <c r="BU7602" s="397"/>
      <c r="BV7602" s="397"/>
      <c r="BW7602" s="397"/>
      <c r="BX7602" s="397"/>
      <c r="BY7602" s="397"/>
      <c r="BZ7602" s="397"/>
      <c r="CA7602" s="392" t="s">
        <v>413</v>
      </c>
    </row>
    <row r="7603" spans="1:80" s="392" customFormat="1" ht="15" x14ac:dyDescent="0.25">
      <c r="A7603" s="385"/>
      <c r="D7603" s="700"/>
      <c r="E7603" s="397"/>
      <c r="H7603" s="401">
        <v>3</v>
      </c>
      <c r="I7603" s="401"/>
      <c r="J7603" s="401"/>
      <c r="K7603" s="401"/>
      <c r="L7603" s="675"/>
      <c r="M7603" s="672">
        <v>31273</v>
      </c>
      <c r="N7603" s="623">
        <v>2.1620855766506093E-2</v>
      </c>
      <c r="O7603" s="624">
        <v>1.563866666666667E-5</v>
      </c>
      <c r="P7603" s="397"/>
      <c r="Q7603" s="397"/>
      <c r="R7603" s="397"/>
      <c r="S7603" s="397"/>
      <c r="T7603" s="397"/>
      <c r="U7603" s="397"/>
      <c r="V7603" s="397"/>
      <c r="W7603" s="397"/>
      <c r="X7603" s="397"/>
      <c r="Y7603" s="397"/>
      <c r="Z7603" s="397"/>
      <c r="AC7603" s="409">
        <v>0.188</v>
      </c>
      <c r="AD7603" s="388">
        <v>1.1277600000000001</v>
      </c>
      <c r="AE7603" s="388"/>
      <c r="AF7603" s="388"/>
      <c r="AG7603" s="388"/>
      <c r="AH7603" s="391"/>
      <c r="AI7603" s="397"/>
      <c r="AJ7603" s="397"/>
      <c r="AU7603" s="397"/>
      <c r="AV7603" s="397"/>
      <c r="AW7603" s="397"/>
      <c r="AX7603" s="397"/>
      <c r="BI7603" s="397"/>
      <c r="BJ7603" s="397"/>
      <c r="BK7603" s="397"/>
      <c r="BL7603" s="397"/>
      <c r="BM7603" s="397"/>
      <c r="BN7603" s="397"/>
      <c r="BO7603" s="397"/>
      <c r="BP7603" s="397"/>
      <c r="BQ7603" s="397"/>
      <c r="BR7603" s="397"/>
      <c r="BS7603" s="397"/>
      <c r="BT7603" s="397"/>
      <c r="BU7603" s="397"/>
      <c r="BV7603" s="397"/>
      <c r="BW7603" s="397"/>
      <c r="BX7603" s="397"/>
      <c r="BY7603" s="397"/>
      <c r="BZ7603" s="397"/>
      <c r="CA7603" s="392" t="s">
        <v>413</v>
      </c>
    </row>
    <row r="7604" spans="1:80" s="392" customFormat="1" ht="15" x14ac:dyDescent="0.25">
      <c r="A7604" s="385"/>
      <c r="D7604" s="700"/>
      <c r="E7604" s="397"/>
      <c r="H7604" s="401">
        <v>3</v>
      </c>
      <c r="I7604" s="401"/>
      <c r="J7604" s="401"/>
      <c r="K7604" s="401"/>
      <c r="L7604" s="675"/>
      <c r="M7604" s="672">
        <v>31281</v>
      </c>
      <c r="N7604" s="623">
        <v>1.5216775290450554E-2</v>
      </c>
      <c r="O7604" s="624">
        <v>1.1327999999999999E-5</v>
      </c>
      <c r="P7604" s="397"/>
      <c r="Q7604" s="397"/>
      <c r="R7604" s="397"/>
      <c r="S7604" s="397"/>
      <c r="T7604" s="397"/>
      <c r="U7604" s="397"/>
      <c r="V7604" s="397"/>
      <c r="W7604" s="397"/>
      <c r="X7604" s="397"/>
      <c r="Y7604" s="397"/>
      <c r="Z7604" s="397"/>
      <c r="AC7604" s="409">
        <v>0.188</v>
      </c>
      <c r="AD7604" s="388">
        <v>1.09728</v>
      </c>
      <c r="AE7604" s="388"/>
      <c r="AF7604" s="388"/>
      <c r="AG7604" s="388"/>
      <c r="AH7604" s="391"/>
      <c r="AI7604" s="397"/>
      <c r="AJ7604" s="397"/>
      <c r="AU7604" s="397"/>
      <c r="AV7604" s="397"/>
      <c r="AW7604" s="397"/>
      <c r="AX7604" s="397"/>
      <c r="BI7604" s="397"/>
      <c r="BJ7604" s="397"/>
      <c r="BK7604" s="397"/>
      <c r="BL7604" s="397"/>
      <c r="BM7604" s="397"/>
      <c r="BN7604" s="397"/>
      <c r="BO7604" s="397"/>
      <c r="BP7604" s="397"/>
      <c r="BQ7604" s="397"/>
      <c r="BR7604" s="397"/>
      <c r="BS7604" s="397"/>
      <c r="BT7604" s="397"/>
      <c r="BU7604" s="397"/>
      <c r="BV7604" s="397"/>
      <c r="BW7604" s="397"/>
      <c r="BX7604" s="397"/>
      <c r="BY7604" s="397"/>
      <c r="BZ7604" s="397"/>
      <c r="CA7604" s="392" t="s">
        <v>413</v>
      </c>
    </row>
    <row r="7605" spans="1:80" s="392" customFormat="1" ht="15" x14ac:dyDescent="0.25">
      <c r="A7605" s="385"/>
      <c r="D7605" s="700"/>
      <c r="E7605" s="397"/>
      <c r="H7605" s="401">
        <v>3</v>
      </c>
      <c r="I7605" s="401"/>
      <c r="J7605" s="401"/>
      <c r="K7605" s="401"/>
      <c r="L7605" s="675"/>
      <c r="M7605" s="672">
        <v>31310</v>
      </c>
      <c r="N7605" s="623">
        <v>6.9708132615471808E-3</v>
      </c>
      <c r="O7605" s="624">
        <v>2.3216666666666671E-5</v>
      </c>
      <c r="P7605" s="397"/>
      <c r="Q7605" s="397"/>
      <c r="R7605" s="397"/>
      <c r="S7605" s="397"/>
      <c r="T7605" s="397"/>
      <c r="U7605" s="397"/>
      <c r="V7605" s="397"/>
      <c r="W7605" s="397"/>
      <c r="X7605" s="397"/>
      <c r="Y7605" s="397"/>
      <c r="Z7605" s="397"/>
      <c r="AC7605" s="409">
        <v>0.188</v>
      </c>
      <c r="AD7605" s="388">
        <v>1.0668</v>
      </c>
      <c r="AE7605" s="388"/>
      <c r="AF7605" s="388"/>
      <c r="AG7605" s="388"/>
      <c r="AH7605" s="391"/>
      <c r="AI7605" s="397"/>
      <c r="AJ7605" s="397"/>
      <c r="AU7605" s="397"/>
      <c r="AV7605" s="397"/>
      <c r="AW7605" s="397"/>
      <c r="AX7605" s="397"/>
      <c r="BI7605" s="397"/>
      <c r="BJ7605" s="397"/>
      <c r="BK7605" s="397"/>
      <c r="BL7605" s="397"/>
      <c r="BM7605" s="397"/>
      <c r="BN7605" s="397"/>
      <c r="BO7605" s="397"/>
      <c r="BP7605" s="397"/>
      <c r="BQ7605" s="397"/>
      <c r="BR7605" s="397"/>
      <c r="BS7605" s="397"/>
      <c r="BT7605" s="397"/>
      <c r="BU7605" s="397"/>
      <c r="BV7605" s="397"/>
      <c r="BW7605" s="397"/>
      <c r="BX7605" s="397"/>
      <c r="BY7605" s="397"/>
      <c r="BZ7605" s="397"/>
      <c r="CA7605" s="392" t="s">
        <v>413</v>
      </c>
    </row>
    <row r="7606" spans="1:80" s="189" customFormat="1" ht="15" x14ac:dyDescent="0.25">
      <c r="A7606" s="381" t="s">
        <v>485</v>
      </c>
      <c r="B7606" s="641" t="s">
        <v>34</v>
      </c>
      <c r="C7606" s="639"/>
      <c r="D7606" s="4">
        <f>VLOOKUP(E7606,'Quality Code'!$D$4:$E$24,2,TRUE)*VLOOKUP(MROUND(F7606,10),'Quality Code'!$D$28:$E$69,2,TRUE)*VLOOKUP(COUNTA(CB7606:CB7616),'Quality Code'!$D$73:$E$93,2,TRUE)</f>
        <v>0.30000000000000004</v>
      </c>
      <c r="E7606" s="14">
        <v>0.4</v>
      </c>
      <c r="F7606" s="2">
        <v>25</v>
      </c>
      <c r="G7606" s="12"/>
      <c r="H7606" s="2" t="s">
        <v>105</v>
      </c>
      <c r="I7606" s="2"/>
      <c r="J7606" s="2"/>
      <c r="K7606" s="2"/>
      <c r="L7606" s="639"/>
      <c r="M7606" s="640" t="s">
        <v>918</v>
      </c>
      <c r="N7606" s="578" t="s">
        <v>110</v>
      </c>
      <c r="O7606" s="578"/>
      <c r="P7606" s="26"/>
      <c r="Q7606" s="26"/>
      <c r="R7606" s="26"/>
      <c r="S7606" s="26"/>
      <c r="T7606" s="26"/>
      <c r="U7606" s="26"/>
      <c r="V7606" s="10"/>
      <c r="W7606" s="10"/>
      <c r="X7606" s="10"/>
      <c r="Y7606" s="10"/>
      <c r="Z7606" s="26"/>
      <c r="AA7606" s="26"/>
      <c r="AB7606" s="26"/>
      <c r="AC7606" s="3">
        <v>0.13100000000000001</v>
      </c>
      <c r="AD7606" s="406"/>
      <c r="AE7606" s="26"/>
      <c r="AF7606" s="26"/>
      <c r="AG7606" s="26"/>
      <c r="AH7606" s="26"/>
      <c r="AI7606" s="4"/>
      <c r="AJ7606" s="4"/>
      <c r="AK7606" s="26"/>
      <c r="AL7606" s="26"/>
      <c r="AM7606" s="26"/>
      <c r="AN7606" s="26"/>
      <c r="AO7606" s="26"/>
      <c r="AP7606" s="26"/>
      <c r="AQ7606" s="26"/>
      <c r="AR7606" s="26"/>
      <c r="AS7606" s="26"/>
      <c r="AT7606" s="26"/>
      <c r="AU7606" s="4"/>
      <c r="AV7606" s="4"/>
      <c r="AW7606" s="4"/>
      <c r="AX7606" s="4"/>
      <c r="AY7606" s="2"/>
      <c r="AZ7606" s="2"/>
      <c r="BA7606" s="12"/>
      <c r="BB7606" s="12"/>
      <c r="BC7606" s="12"/>
      <c r="BD7606" s="12"/>
      <c r="BE7606" s="12"/>
      <c r="BF7606" s="12"/>
      <c r="BG7606" s="12"/>
      <c r="BH7606" s="12"/>
      <c r="BI7606" s="4"/>
      <c r="BJ7606" s="12"/>
      <c r="BK7606" s="2"/>
      <c r="BL7606" s="2"/>
      <c r="BM7606" s="4"/>
      <c r="BN7606" s="12"/>
      <c r="BO7606" s="12"/>
      <c r="BP7606" s="12"/>
      <c r="BQ7606" s="4"/>
      <c r="BR7606" s="4"/>
      <c r="BS7606" s="4"/>
      <c r="BT7606" s="2"/>
      <c r="BU7606" s="9"/>
      <c r="BV7606" s="381"/>
      <c r="BW7606" s="382"/>
      <c r="BX7606" s="383"/>
      <c r="BY7606" s="383" t="s">
        <v>417</v>
      </c>
      <c r="BZ7606" s="383"/>
      <c r="CA7606" s="384" t="s">
        <v>413</v>
      </c>
      <c r="CB7606" s="411"/>
    </row>
    <row r="7607" spans="1:80" s="392" customFormat="1" ht="15" x14ac:dyDescent="0.25">
      <c r="A7607" s="385"/>
      <c r="D7607" s="700"/>
      <c r="E7607" s="397"/>
      <c r="H7607" s="401">
        <v>3</v>
      </c>
      <c r="I7607" s="401"/>
      <c r="J7607" s="401"/>
      <c r="K7607" s="401"/>
      <c r="L7607" s="675"/>
      <c r="M7607" s="672">
        <v>30831</v>
      </c>
      <c r="N7607" s="623">
        <v>0.17937092660810428</v>
      </c>
      <c r="O7607" s="624">
        <v>1.143052848E-3</v>
      </c>
      <c r="P7607" s="397"/>
      <c r="Q7607" s="397"/>
      <c r="R7607" s="397"/>
      <c r="S7607" s="397"/>
      <c r="T7607" s="397"/>
      <c r="U7607" s="397"/>
      <c r="V7607" s="397"/>
      <c r="W7607" s="397"/>
      <c r="X7607" s="397"/>
      <c r="Y7607" s="397"/>
      <c r="Z7607" s="397"/>
      <c r="AD7607" s="388">
        <v>1.9202399999999999</v>
      </c>
      <c r="AE7607" s="388">
        <v>0.21640799999999999</v>
      </c>
      <c r="AF7607" s="388">
        <v>0.41555529791999996</v>
      </c>
      <c r="AG7607" s="388">
        <v>0.38709600000000005</v>
      </c>
      <c r="AH7607" s="391"/>
      <c r="AI7607" s="397"/>
      <c r="AJ7607" s="397"/>
      <c r="AU7607" s="397"/>
      <c r="AV7607" s="397"/>
      <c r="AW7607" s="397"/>
      <c r="AX7607" s="397"/>
      <c r="BI7607" s="397"/>
      <c r="BJ7607" s="397"/>
      <c r="BK7607" s="397"/>
      <c r="BL7607" s="397"/>
      <c r="BM7607" s="397"/>
      <c r="BN7607" s="397"/>
      <c r="BO7607" s="397"/>
      <c r="BP7607" s="397"/>
      <c r="BQ7607" s="397"/>
      <c r="BR7607" s="397"/>
      <c r="BS7607" s="397"/>
      <c r="BT7607" s="397"/>
      <c r="BU7607" s="397"/>
      <c r="BV7607" s="397"/>
      <c r="BW7607" s="397"/>
      <c r="BX7607" s="397"/>
      <c r="BY7607" s="397"/>
      <c r="BZ7607" s="397"/>
      <c r="CA7607" s="392" t="s">
        <v>413</v>
      </c>
    </row>
    <row r="7608" spans="1:80" s="392" customFormat="1" ht="15" x14ac:dyDescent="0.25">
      <c r="A7608" s="385"/>
      <c r="D7608" s="700"/>
      <c r="E7608" s="397"/>
      <c r="H7608" s="401">
        <v>3</v>
      </c>
      <c r="I7608" s="401"/>
      <c r="J7608" s="401"/>
      <c r="K7608" s="401"/>
      <c r="L7608" s="675"/>
      <c r="M7608" s="672">
        <v>30839</v>
      </c>
      <c r="N7608" s="623">
        <v>0.20600736752621138</v>
      </c>
      <c r="O7608" s="624">
        <v>1.3758969466666669E-3</v>
      </c>
      <c r="P7608" s="397"/>
      <c r="Q7608" s="397"/>
      <c r="R7608" s="397"/>
      <c r="S7608" s="397"/>
      <c r="T7608" s="397"/>
      <c r="U7608" s="397"/>
      <c r="V7608" s="397"/>
      <c r="W7608" s="397"/>
      <c r="X7608" s="397"/>
      <c r="Y7608" s="397"/>
      <c r="Z7608" s="397"/>
      <c r="AD7608" s="388">
        <v>1.9812000000000001</v>
      </c>
      <c r="AE7608" s="388">
        <v>0.26517600000000002</v>
      </c>
      <c r="AF7608" s="388">
        <v>0.52536669120000001</v>
      </c>
      <c r="AG7608" s="388">
        <v>0.35356799999999999</v>
      </c>
      <c r="AH7608" s="391"/>
      <c r="AI7608" s="397"/>
      <c r="AJ7608" s="397"/>
      <c r="AU7608" s="397"/>
      <c r="AV7608" s="397"/>
      <c r="AW7608" s="397"/>
      <c r="AX7608" s="397"/>
      <c r="BI7608" s="397"/>
      <c r="BJ7608" s="397"/>
      <c r="BK7608" s="397"/>
      <c r="BL7608" s="397"/>
      <c r="BM7608" s="397"/>
      <c r="BN7608" s="397"/>
      <c r="BO7608" s="397"/>
      <c r="BP7608" s="397"/>
      <c r="BQ7608" s="397"/>
      <c r="BR7608" s="397"/>
      <c r="BS7608" s="397"/>
      <c r="BT7608" s="397"/>
      <c r="BU7608" s="397"/>
      <c r="BV7608" s="397"/>
      <c r="BW7608" s="397"/>
      <c r="BX7608" s="397"/>
      <c r="BY7608" s="397"/>
      <c r="BZ7608" s="397"/>
      <c r="CA7608" s="392" t="s">
        <v>413</v>
      </c>
    </row>
    <row r="7609" spans="1:80" s="392" customFormat="1" ht="15" x14ac:dyDescent="0.25">
      <c r="A7609" s="385"/>
      <c r="D7609" s="700"/>
      <c r="E7609" s="397"/>
      <c r="H7609" s="401">
        <v>3</v>
      </c>
      <c r="I7609" s="401"/>
      <c r="J7609" s="401"/>
      <c r="K7609" s="401"/>
      <c r="L7609" s="675"/>
      <c r="M7609" s="672">
        <v>30844</v>
      </c>
      <c r="N7609" s="623">
        <v>0.12723151034287333</v>
      </c>
      <c r="O7609" s="624">
        <v>3.8706551466666673E-4</v>
      </c>
      <c r="P7609" s="397"/>
      <c r="Q7609" s="397"/>
      <c r="R7609" s="397"/>
      <c r="S7609" s="397"/>
      <c r="T7609" s="397"/>
      <c r="U7609" s="397"/>
      <c r="V7609" s="397"/>
      <c r="W7609" s="397"/>
      <c r="X7609" s="397"/>
      <c r="Y7609" s="397"/>
      <c r="Z7609" s="397"/>
      <c r="AD7609" s="388">
        <v>1.9507200000000002</v>
      </c>
      <c r="AE7609" s="388">
        <v>0.22860000000000003</v>
      </c>
      <c r="AF7609" s="388">
        <v>0.44593459200000013</v>
      </c>
      <c r="AG7609" s="388">
        <v>0.25908000000000003</v>
      </c>
      <c r="AH7609" s="391"/>
      <c r="AI7609" s="397"/>
      <c r="AJ7609" s="397"/>
      <c r="AU7609" s="397"/>
      <c r="AV7609" s="397"/>
      <c r="AW7609" s="397"/>
      <c r="AX7609" s="397"/>
      <c r="BI7609" s="397"/>
      <c r="BJ7609" s="397"/>
      <c r="BK7609" s="397"/>
      <c r="BL7609" s="397"/>
      <c r="BM7609" s="397"/>
      <c r="BN7609" s="397"/>
      <c r="BO7609" s="397"/>
      <c r="BP7609" s="397"/>
      <c r="BQ7609" s="397"/>
      <c r="BR7609" s="397"/>
      <c r="BS7609" s="397"/>
      <c r="BT7609" s="397"/>
      <c r="BU7609" s="397"/>
      <c r="BV7609" s="397"/>
      <c r="BW7609" s="397"/>
      <c r="BX7609" s="397"/>
      <c r="BY7609" s="397"/>
      <c r="BZ7609" s="397"/>
      <c r="CA7609" s="392" t="s">
        <v>413</v>
      </c>
    </row>
    <row r="7610" spans="1:80" s="392" customFormat="1" ht="15" x14ac:dyDescent="0.25">
      <c r="A7610" s="385"/>
      <c r="D7610" s="700"/>
      <c r="E7610" s="397"/>
      <c r="H7610" s="401">
        <v>3</v>
      </c>
      <c r="I7610" s="401"/>
      <c r="J7610" s="401"/>
      <c r="K7610" s="401"/>
      <c r="L7610" s="675"/>
      <c r="M7610" s="672">
        <v>30851</v>
      </c>
      <c r="N7610" s="623">
        <v>0.20232360442051572</v>
      </c>
      <c r="O7610" s="624">
        <v>3.8101761599999995E-3</v>
      </c>
      <c r="P7610" s="397"/>
      <c r="Q7610" s="397"/>
      <c r="R7610" s="397"/>
      <c r="S7610" s="397"/>
      <c r="T7610" s="397"/>
      <c r="U7610" s="397"/>
      <c r="V7610" s="397"/>
      <c r="W7610" s="397"/>
      <c r="X7610" s="397"/>
      <c r="Y7610" s="397"/>
      <c r="Z7610" s="397"/>
      <c r="AD7610" s="388">
        <v>2.1335999999999999</v>
      </c>
      <c r="AE7610" s="388">
        <v>0.26212800000000003</v>
      </c>
      <c r="AF7610" s="388">
        <v>0.55927630080000001</v>
      </c>
      <c r="AG7610" s="388">
        <v>0.24993599999999999</v>
      </c>
      <c r="AH7610" s="391"/>
      <c r="AI7610" s="397"/>
      <c r="AJ7610" s="397"/>
      <c r="AU7610" s="397"/>
      <c r="AV7610" s="397"/>
      <c r="AW7610" s="397"/>
      <c r="AX7610" s="397"/>
      <c r="BI7610" s="397"/>
      <c r="BJ7610" s="397"/>
      <c r="BK7610" s="397"/>
      <c r="BL7610" s="397"/>
      <c r="BM7610" s="397"/>
      <c r="BN7610" s="397"/>
      <c r="BO7610" s="397"/>
      <c r="BP7610" s="397"/>
      <c r="BQ7610" s="397"/>
      <c r="BR7610" s="397"/>
      <c r="BS7610" s="397"/>
      <c r="BT7610" s="397"/>
      <c r="BU7610" s="397"/>
      <c r="BV7610" s="397"/>
      <c r="BW7610" s="397"/>
      <c r="BX7610" s="397"/>
      <c r="BY7610" s="397"/>
      <c r="BZ7610" s="397"/>
      <c r="CA7610" s="392" t="s">
        <v>413</v>
      </c>
    </row>
    <row r="7611" spans="1:80" s="392" customFormat="1" ht="15" x14ac:dyDescent="0.25">
      <c r="A7611" s="385"/>
      <c r="D7611" s="700"/>
      <c r="E7611" s="397"/>
      <c r="H7611" s="401">
        <v>3</v>
      </c>
      <c r="I7611" s="401"/>
      <c r="J7611" s="401"/>
      <c r="K7611" s="401"/>
      <c r="L7611" s="675"/>
      <c r="M7611" s="672">
        <v>30858</v>
      </c>
      <c r="N7611" s="623">
        <v>0.19948994049305752</v>
      </c>
      <c r="O7611" s="624">
        <v>1.0160469759999999E-2</v>
      </c>
      <c r="P7611" s="397"/>
      <c r="Q7611" s="397"/>
      <c r="R7611" s="397"/>
      <c r="S7611" s="397"/>
      <c r="T7611" s="397"/>
      <c r="U7611" s="397"/>
      <c r="V7611" s="397"/>
      <c r="W7611" s="397"/>
      <c r="X7611" s="397"/>
      <c r="Y7611" s="397"/>
      <c r="Z7611" s="397"/>
      <c r="AD7611" s="388">
        <v>2.1335999999999999</v>
      </c>
      <c r="AE7611" s="388">
        <v>0.277368</v>
      </c>
      <c r="AF7611" s="388">
        <v>0.59179236479999997</v>
      </c>
      <c r="AG7611" s="388">
        <v>0.25298399999999999</v>
      </c>
      <c r="AH7611" s="391"/>
      <c r="AI7611" s="397"/>
      <c r="AJ7611" s="397"/>
      <c r="AU7611" s="397"/>
      <c r="AV7611" s="397"/>
      <c r="AW7611" s="397"/>
      <c r="AX7611" s="397"/>
      <c r="BI7611" s="397"/>
      <c r="BJ7611" s="397"/>
      <c r="BK7611" s="397"/>
      <c r="BL7611" s="397"/>
      <c r="BM7611" s="397"/>
      <c r="BN7611" s="397"/>
      <c r="BO7611" s="397"/>
      <c r="BP7611" s="397"/>
      <c r="BQ7611" s="397"/>
      <c r="BR7611" s="397"/>
      <c r="BS7611" s="397"/>
      <c r="BT7611" s="397"/>
      <c r="BU7611" s="397"/>
      <c r="BV7611" s="397"/>
      <c r="BW7611" s="397"/>
      <c r="BX7611" s="397"/>
      <c r="BY7611" s="397"/>
      <c r="BZ7611" s="397"/>
      <c r="CA7611" s="392" t="s">
        <v>413</v>
      </c>
    </row>
    <row r="7612" spans="1:80" s="392" customFormat="1" ht="15" x14ac:dyDescent="0.25">
      <c r="A7612" s="385"/>
      <c r="D7612" s="700"/>
      <c r="E7612" s="397"/>
      <c r="H7612" s="401">
        <v>3</v>
      </c>
      <c r="I7612" s="401"/>
      <c r="J7612" s="401"/>
      <c r="K7612" s="401"/>
      <c r="L7612" s="675"/>
      <c r="M7612" s="672">
        <v>30866</v>
      </c>
      <c r="N7612" s="623">
        <v>0.29980164352507793</v>
      </c>
      <c r="O7612" s="624">
        <v>8.4670581333333341E-4</v>
      </c>
      <c r="P7612" s="397"/>
      <c r="Q7612" s="397"/>
      <c r="R7612" s="397"/>
      <c r="S7612" s="397"/>
      <c r="T7612" s="397"/>
      <c r="U7612" s="397"/>
      <c r="V7612" s="397"/>
      <c r="W7612" s="397"/>
      <c r="X7612" s="397"/>
      <c r="Y7612" s="397"/>
      <c r="Z7612" s="397"/>
      <c r="AD7612" s="388">
        <v>2.1335999999999999</v>
      </c>
      <c r="AE7612" s="388">
        <v>0.27432000000000001</v>
      </c>
      <c r="AF7612" s="388">
        <v>0.58528915199999998</v>
      </c>
      <c r="AG7612" s="388">
        <v>0.40843200000000002</v>
      </c>
      <c r="AH7612" s="391"/>
      <c r="AI7612" s="397"/>
      <c r="AJ7612" s="397"/>
      <c r="AU7612" s="397"/>
      <c r="AV7612" s="397"/>
      <c r="AW7612" s="397"/>
      <c r="AX7612" s="397"/>
      <c r="BI7612" s="397"/>
      <c r="BJ7612" s="397"/>
      <c r="BK7612" s="397"/>
      <c r="BL7612" s="397"/>
      <c r="BM7612" s="397"/>
      <c r="BN7612" s="397"/>
      <c r="BO7612" s="397"/>
      <c r="BP7612" s="397"/>
      <c r="BQ7612" s="397"/>
      <c r="BR7612" s="397"/>
      <c r="BS7612" s="397"/>
      <c r="BT7612" s="397"/>
      <c r="BU7612" s="397"/>
      <c r="BV7612" s="397"/>
      <c r="BW7612" s="397"/>
      <c r="BX7612" s="397"/>
      <c r="BY7612" s="397"/>
      <c r="BZ7612" s="397"/>
      <c r="CA7612" s="392" t="s">
        <v>413</v>
      </c>
    </row>
    <row r="7613" spans="1:80" s="392" customFormat="1" ht="15" x14ac:dyDescent="0.25">
      <c r="A7613" s="385"/>
      <c r="D7613" s="700"/>
      <c r="E7613" s="397"/>
      <c r="H7613" s="401">
        <v>3</v>
      </c>
      <c r="I7613" s="401"/>
      <c r="J7613" s="401"/>
      <c r="K7613" s="401"/>
      <c r="L7613" s="675"/>
      <c r="M7613" s="672">
        <v>30875</v>
      </c>
      <c r="N7613" s="623">
        <v>0.1878719183904789</v>
      </c>
      <c r="O7613" s="624">
        <v>2.0562855466666667E-4</v>
      </c>
      <c r="P7613" s="397"/>
      <c r="Q7613" s="397"/>
      <c r="R7613" s="397"/>
      <c r="S7613" s="397"/>
      <c r="T7613" s="397"/>
      <c r="U7613" s="397"/>
      <c r="V7613" s="397"/>
      <c r="W7613" s="397"/>
      <c r="X7613" s="397"/>
      <c r="Y7613" s="397"/>
      <c r="Z7613" s="397"/>
      <c r="AD7613" s="388">
        <v>2.0726400000000003</v>
      </c>
      <c r="AE7613" s="388">
        <v>0.23774400000000001</v>
      </c>
      <c r="AF7613" s="388">
        <v>0.49275772416000008</v>
      </c>
      <c r="AG7613" s="388">
        <v>0.35052</v>
      </c>
      <c r="AH7613" s="391"/>
      <c r="AI7613" s="397"/>
      <c r="AJ7613" s="397"/>
      <c r="AU7613" s="397"/>
      <c r="AV7613" s="397"/>
      <c r="AW7613" s="397"/>
      <c r="AX7613" s="397"/>
      <c r="BI7613" s="397"/>
      <c r="BJ7613" s="397"/>
      <c r="BK7613" s="397"/>
      <c r="BL7613" s="397"/>
      <c r="BM7613" s="397"/>
      <c r="BN7613" s="397"/>
      <c r="BO7613" s="397"/>
      <c r="BP7613" s="397"/>
      <c r="BQ7613" s="397"/>
      <c r="BR7613" s="397"/>
      <c r="BS7613" s="397"/>
      <c r="BT7613" s="397"/>
      <c r="BU7613" s="397"/>
      <c r="BV7613" s="397"/>
      <c r="BW7613" s="397"/>
      <c r="BX7613" s="397"/>
      <c r="BY7613" s="397"/>
      <c r="BZ7613" s="397"/>
      <c r="CA7613" s="392" t="s">
        <v>413</v>
      </c>
    </row>
    <row r="7614" spans="1:80" s="392" customFormat="1" ht="15" x14ac:dyDescent="0.25">
      <c r="A7614" s="385"/>
      <c r="D7614" s="700"/>
      <c r="E7614" s="397"/>
      <c r="H7614" s="401">
        <v>3</v>
      </c>
      <c r="I7614" s="401"/>
      <c r="J7614" s="401"/>
      <c r="K7614" s="401"/>
      <c r="L7614" s="675"/>
      <c r="M7614" s="672">
        <v>30883</v>
      </c>
      <c r="N7614" s="623">
        <v>0.10796259563615755</v>
      </c>
      <c r="O7614" s="624">
        <v>6.078138159999999E-4</v>
      </c>
      <c r="P7614" s="397"/>
      <c r="Q7614" s="397"/>
      <c r="R7614" s="397"/>
      <c r="S7614" s="397"/>
      <c r="T7614" s="397"/>
      <c r="U7614" s="397"/>
      <c r="V7614" s="397"/>
      <c r="W7614" s="397"/>
      <c r="X7614" s="397"/>
      <c r="Y7614" s="397"/>
      <c r="Z7614" s="397"/>
      <c r="AD7614" s="388">
        <v>2.04216</v>
      </c>
      <c r="AE7614" s="388">
        <v>0.19507200000000002</v>
      </c>
      <c r="AF7614" s="388">
        <v>0.39836823552000006</v>
      </c>
      <c r="AG7614" s="388">
        <v>0.24688800000000002</v>
      </c>
      <c r="AH7614" s="391"/>
      <c r="AI7614" s="397"/>
      <c r="AJ7614" s="397"/>
      <c r="AU7614" s="397"/>
      <c r="AV7614" s="397"/>
      <c r="AW7614" s="397"/>
      <c r="AX7614" s="397"/>
      <c r="BI7614" s="397"/>
      <c r="BJ7614" s="397"/>
      <c r="BK7614" s="397"/>
      <c r="BL7614" s="397"/>
      <c r="BM7614" s="397"/>
      <c r="BN7614" s="397"/>
      <c r="BO7614" s="397"/>
      <c r="BP7614" s="397"/>
      <c r="BQ7614" s="397"/>
      <c r="BR7614" s="397"/>
      <c r="BS7614" s="397"/>
      <c r="BT7614" s="397"/>
      <c r="BU7614" s="397"/>
      <c r="BV7614" s="397"/>
      <c r="BW7614" s="397"/>
      <c r="BX7614" s="397"/>
      <c r="BY7614" s="397"/>
      <c r="BZ7614" s="397"/>
      <c r="CA7614" s="392" t="s">
        <v>413</v>
      </c>
    </row>
    <row r="7615" spans="1:80" s="392" customFormat="1" ht="15" x14ac:dyDescent="0.25">
      <c r="A7615" s="385"/>
      <c r="D7615" s="700"/>
      <c r="E7615" s="397"/>
      <c r="H7615" s="401">
        <v>3</v>
      </c>
      <c r="I7615" s="401"/>
      <c r="J7615" s="401"/>
      <c r="K7615" s="401"/>
      <c r="L7615" s="675"/>
      <c r="M7615" s="672">
        <v>30894</v>
      </c>
      <c r="N7615" s="623">
        <v>8.5009917823746103E-2</v>
      </c>
      <c r="O7615" s="624">
        <v>1.17934024E-3</v>
      </c>
      <c r="P7615" s="397"/>
      <c r="Q7615" s="397"/>
      <c r="R7615" s="397"/>
      <c r="S7615" s="397"/>
      <c r="T7615" s="397"/>
      <c r="U7615" s="397"/>
      <c r="V7615" s="397"/>
      <c r="W7615" s="397"/>
      <c r="X7615" s="397"/>
      <c r="Y7615" s="397"/>
      <c r="Z7615" s="397"/>
      <c r="AD7615" s="388">
        <v>1.9812000000000001</v>
      </c>
      <c r="AE7615" s="388">
        <v>0.176784</v>
      </c>
      <c r="AF7615" s="388">
        <v>0.35024446079999999</v>
      </c>
      <c r="AG7615" s="388">
        <v>0.21335999999999999</v>
      </c>
      <c r="AH7615" s="391"/>
      <c r="AI7615" s="397"/>
      <c r="AJ7615" s="397"/>
      <c r="AU7615" s="397"/>
      <c r="AV7615" s="397"/>
      <c r="AW7615" s="397"/>
      <c r="AX7615" s="397"/>
      <c r="BI7615" s="397"/>
      <c r="BJ7615" s="397"/>
      <c r="BK7615" s="397"/>
      <c r="BL7615" s="397"/>
      <c r="BM7615" s="397"/>
      <c r="BN7615" s="397"/>
      <c r="BO7615" s="397"/>
      <c r="BP7615" s="397"/>
      <c r="BQ7615" s="397"/>
      <c r="BR7615" s="397"/>
      <c r="BS7615" s="397"/>
      <c r="BT7615" s="397"/>
      <c r="BU7615" s="397"/>
      <c r="BV7615" s="397"/>
      <c r="BW7615" s="397"/>
      <c r="BX7615" s="397"/>
      <c r="BY7615" s="397"/>
      <c r="BZ7615" s="397"/>
      <c r="CA7615" s="392" t="s">
        <v>413</v>
      </c>
    </row>
    <row r="7616" spans="1:80" s="392" customFormat="1" ht="15" x14ac:dyDescent="0.25">
      <c r="A7616" s="385"/>
      <c r="D7616" s="700"/>
      <c r="E7616" s="397"/>
      <c r="H7616" s="401">
        <v>3</v>
      </c>
      <c r="I7616" s="401"/>
      <c r="J7616" s="401"/>
      <c r="K7616" s="401"/>
      <c r="L7616" s="675"/>
      <c r="M7616" s="672">
        <v>30902</v>
      </c>
      <c r="N7616" s="623">
        <v>7.7925758005100598E-2</v>
      </c>
      <c r="O7616" s="624">
        <v>5.7152642399999998E-4</v>
      </c>
      <c r="P7616" s="397"/>
      <c r="Q7616" s="397"/>
      <c r="R7616" s="397"/>
      <c r="S7616" s="397"/>
      <c r="T7616" s="397"/>
      <c r="U7616" s="397"/>
      <c r="V7616" s="397"/>
      <c r="W7616" s="397"/>
      <c r="X7616" s="397"/>
      <c r="Y7616" s="397"/>
      <c r="Z7616" s="397"/>
      <c r="AD7616" s="388">
        <v>1.9202399999999999</v>
      </c>
      <c r="AE7616" s="388">
        <v>0.14935200000000001</v>
      </c>
      <c r="AF7616" s="388">
        <v>0.28679168448000003</v>
      </c>
      <c r="AG7616" s="388">
        <v>0.25603199999999998</v>
      </c>
      <c r="AH7616" s="391"/>
      <c r="AI7616" s="397"/>
      <c r="AJ7616" s="397"/>
      <c r="AU7616" s="397"/>
      <c r="AV7616" s="397"/>
      <c r="AW7616" s="397"/>
      <c r="AX7616" s="397"/>
      <c r="BI7616" s="397"/>
      <c r="BJ7616" s="397"/>
      <c r="BK7616" s="397"/>
      <c r="BL7616" s="397"/>
      <c r="BM7616" s="397"/>
      <c r="BN7616" s="397"/>
      <c r="BO7616" s="397"/>
      <c r="BP7616" s="397"/>
      <c r="BQ7616" s="397"/>
      <c r="BR7616" s="397"/>
      <c r="BS7616" s="397"/>
      <c r="BT7616" s="397"/>
      <c r="BU7616" s="397"/>
      <c r="BV7616" s="397"/>
      <c r="BW7616" s="397"/>
      <c r="BX7616" s="397"/>
      <c r="BY7616" s="397"/>
      <c r="BZ7616" s="397"/>
      <c r="CA7616" s="392" t="s">
        <v>413</v>
      </c>
    </row>
    <row r="7617" spans="1:79" s="392" customFormat="1" ht="15" x14ac:dyDescent="0.25">
      <c r="A7617" s="385"/>
      <c r="D7617" s="700"/>
      <c r="E7617" s="397"/>
      <c r="H7617" s="401">
        <v>3</v>
      </c>
      <c r="I7617" s="401"/>
      <c r="J7617" s="401"/>
      <c r="K7617" s="401"/>
      <c r="L7617" s="675"/>
      <c r="M7617" s="672">
        <v>30910</v>
      </c>
      <c r="N7617" s="623">
        <v>4.1088126948143948E-2</v>
      </c>
      <c r="O7617" s="624" t="s">
        <v>71</v>
      </c>
      <c r="P7617" s="397"/>
      <c r="Q7617" s="397"/>
      <c r="R7617" s="397"/>
      <c r="S7617" s="397"/>
      <c r="T7617" s="397"/>
      <c r="U7617" s="397"/>
      <c r="V7617" s="397"/>
      <c r="W7617" s="397"/>
      <c r="X7617" s="397"/>
      <c r="Y7617" s="397"/>
      <c r="Z7617" s="397"/>
      <c r="AD7617" s="388">
        <v>1.9812000000000001</v>
      </c>
      <c r="AE7617" s="388">
        <v>0.124968</v>
      </c>
      <c r="AF7617" s="388">
        <v>0.24758660160000001</v>
      </c>
      <c r="AG7617" s="388">
        <v>0.15240000000000001</v>
      </c>
      <c r="AH7617" s="391"/>
      <c r="AI7617" s="397"/>
      <c r="AJ7617" s="397"/>
      <c r="AU7617" s="397"/>
      <c r="AV7617" s="397"/>
      <c r="AW7617" s="397"/>
      <c r="AX7617" s="397"/>
      <c r="BI7617" s="397"/>
      <c r="BJ7617" s="397"/>
      <c r="BK7617" s="397"/>
      <c r="BL7617" s="397"/>
      <c r="BM7617" s="397"/>
      <c r="BN7617" s="397"/>
      <c r="BO7617" s="397"/>
      <c r="BP7617" s="397"/>
      <c r="BQ7617" s="397"/>
      <c r="BR7617" s="397"/>
      <c r="BS7617" s="397"/>
      <c r="BT7617" s="397"/>
      <c r="BU7617" s="397"/>
      <c r="BV7617" s="397"/>
      <c r="BW7617" s="397"/>
      <c r="BX7617" s="397"/>
      <c r="BY7617" s="397"/>
      <c r="BZ7617" s="397"/>
      <c r="CA7617" s="392" t="s">
        <v>413</v>
      </c>
    </row>
    <row r="7618" spans="1:79" s="392" customFormat="1" ht="15" x14ac:dyDescent="0.25">
      <c r="A7618" s="385"/>
      <c r="D7618" s="700"/>
      <c r="E7618" s="397"/>
      <c r="H7618" s="401">
        <v>3</v>
      </c>
      <c r="I7618" s="401"/>
      <c r="J7618" s="401"/>
      <c r="K7618" s="401"/>
      <c r="L7618" s="675"/>
      <c r="M7618" s="672">
        <v>30923</v>
      </c>
      <c r="N7618" s="623">
        <v>3.7971096627939932E-2</v>
      </c>
      <c r="O7618" s="624" t="s">
        <v>71</v>
      </c>
      <c r="P7618" s="397"/>
      <c r="Q7618" s="397"/>
      <c r="R7618" s="397"/>
      <c r="S7618" s="397"/>
      <c r="T7618" s="397"/>
      <c r="U7618" s="397"/>
      <c r="V7618" s="397"/>
      <c r="W7618" s="397"/>
      <c r="X7618" s="397"/>
      <c r="Y7618" s="397"/>
      <c r="Z7618" s="397"/>
      <c r="AD7618" s="388">
        <v>2.0116800000000001</v>
      </c>
      <c r="AE7618" s="388">
        <v>0.10363200000000002</v>
      </c>
      <c r="AF7618" s="388">
        <v>0.20847442176000006</v>
      </c>
      <c r="AG7618" s="388">
        <v>0.14630399999999999</v>
      </c>
      <c r="AH7618" s="391"/>
      <c r="AI7618" s="397"/>
      <c r="AJ7618" s="397"/>
      <c r="AU7618" s="397"/>
      <c r="AV7618" s="397"/>
      <c r="AW7618" s="397"/>
      <c r="AX7618" s="397"/>
      <c r="BI7618" s="397"/>
      <c r="BJ7618" s="397"/>
      <c r="BK7618" s="397"/>
      <c r="BL7618" s="397"/>
      <c r="BM7618" s="397"/>
      <c r="BN7618" s="397"/>
      <c r="BO7618" s="397"/>
      <c r="BP7618" s="397"/>
      <c r="BQ7618" s="397"/>
      <c r="BR7618" s="397"/>
      <c r="BS7618" s="397"/>
      <c r="BT7618" s="397"/>
      <c r="BU7618" s="397"/>
      <c r="BV7618" s="397"/>
      <c r="BW7618" s="397"/>
      <c r="BX7618" s="397"/>
      <c r="BY7618" s="397"/>
      <c r="BZ7618" s="397"/>
      <c r="CA7618" s="392" t="s">
        <v>413</v>
      </c>
    </row>
    <row r="7619" spans="1:79" s="392" customFormat="1" ht="15" x14ac:dyDescent="0.25">
      <c r="A7619" s="385"/>
      <c r="D7619" s="700"/>
      <c r="E7619" s="397"/>
      <c r="H7619" s="401">
        <v>3</v>
      </c>
      <c r="I7619" s="401"/>
      <c r="J7619" s="401"/>
      <c r="K7619" s="401"/>
      <c r="L7619" s="675"/>
      <c r="M7619" s="672">
        <v>30942</v>
      </c>
      <c r="N7619" s="623">
        <v>1.3601586851799376E-2</v>
      </c>
      <c r="O7619" s="624" t="s">
        <v>71</v>
      </c>
      <c r="P7619" s="397"/>
      <c r="Q7619" s="397"/>
      <c r="R7619" s="397"/>
      <c r="S7619" s="397"/>
      <c r="T7619" s="397"/>
      <c r="U7619" s="397"/>
      <c r="V7619" s="397"/>
      <c r="W7619" s="397"/>
      <c r="X7619" s="397"/>
      <c r="Y7619" s="397"/>
      <c r="Z7619" s="397"/>
      <c r="AD7619" s="388">
        <v>2.04216</v>
      </c>
      <c r="AE7619" s="388">
        <v>7.9248000000000013E-2</v>
      </c>
      <c r="AF7619" s="388">
        <v>0.16183709568000001</v>
      </c>
      <c r="AG7619" s="388">
        <v>7.0104E-2</v>
      </c>
      <c r="AH7619" s="391"/>
      <c r="AI7619" s="397"/>
      <c r="AJ7619" s="397"/>
      <c r="AU7619" s="397"/>
      <c r="AV7619" s="397"/>
      <c r="AW7619" s="397"/>
      <c r="AX7619" s="397"/>
      <c r="BI7619" s="397"/>
      <c r="BJ7619" s="397"/>
      <c r="BK7619" s="397"/>
      <c r="BL7619" s="397"/>
      <c r="BM7619" s="397"/>
      <c r="BN7619" s="397"/>
      <c r="BO7619" s="397"/>
      <c r="BP7619" s="397"/>
      <c r="BQ7619" s="397"/>
      <c r="BR7619" s="397"/>
      <c r="BS7619" s="397"/>
      <c r="BT7619" s="397"/>
      <c r="BU7619" s="397"/>
      <c r="BV7619" s="397"/>
      <c r="BW7619" s="397"/>
      <c r="BX7619" s="397"/>
      <c r="BY7619" s="397"/>
      <c r="BZ7619" s="397"/>
      <c r="CA7619" s="392" t="s">
        <v>413</v>
      </c>
    </row>
    <row r="7620" spans="1:79" s="392" customFormat="1" ht="15" x14ac:dyDescent="0.25">
      <c r="A7620" s="385"/>
      <c r="D7620" s="700"/>
      <c r="E7620" s="397"/>
      <c r="H7620" s="401">
        <v>3</v>
      </c>
      <c r="I7620" s="401"/>
      <c r="J7620" s="401"/>
      <c r="K7620" s="401"/>
      <c r="L7620" s="675"/>
      <c r="M7620" s="672">
        <v>31175</v>
      </c>
      <c r="N7620" s="623">
        <v>6.8007934258996882E-3</v>
      </c>
      <c r="O7620" s="624">
        <v>1.1711999999999999E-4</v>
      </c>
      <c r="P7620" s="397"/>
      <c r="Q7620" s="397"/>
      <c r="R7620" s="397"/>
      <c r="S7620" s="397"/>
      <c r="T7620" s="397"/>
      <c r="U7620" s="397"/>
      <c r="V7620" s="397"/>
      <c r="W7620" s="397"/>
      <c r="X7620" s="397"/>
      <c r="Y7620" s="397"/>
      <c r="Z7620" s="397"/>
      <c r="AD7620" s="388">
        <v>1.85928</v>
      </c>
      <c r="AE7620" s="388"/>
      <c r="AF7620" s="388"/>
      <c r="AG7620" s="388"/>
      <c r="AH7620" s="391"/>
      <c r="AI7620" s="397"/>
      <c r="AJ7620" s="397"/>
      <c r="AU7620" s="397"/>
      <c r="AV7620" s="397"/>
      <c r="AW7620" s="397"/>
      <c r="AX7620" s="397"/>
      <c r="BI7620" s="397"/>
      <c r="BJ7620" s="397"/>
      <c r="BK7620" s="397"/>
      <c r="BL7620" s="397"/>
      <c r="BM7620" s="397"/>
      <c r="BN7620" s="397"/>
      <c r="BO7620" s="397"/>
      <c r="BP7620" s="397"/>
      <c r="BQ7620" s="397"/>
      <c r="BR7620" s="397"/>
      <c r="BS7620" s="397"/>
      <c r="BT7620" s="397"/>
      <c r="BU7620" s="397"/>
      <c r="BV7620" s="397"/>
      <c r="BW7620" s="397"/>
      <c r="BX7620" s="397"/>
      <c r="BY7620" s="397"/>
      <c r="BZ7620" s="397"/>
      <c r="CA7620" s="392" t="s">
        <v>413</v>
      </c>
    </row>
    <row r="7621" spans="1:79" s="392" customFormat="1" ht="15" x14ac:dyDescent="0.25">
      <c r="A7621" s="385"/>
      <c r="D7621" s="700"/>
      <c r="E7621" s="397"/>
      <c r="H7621" s="401">
        <v>3</v>
      </c>
      <c r="I7621" s="401"/>
      <c r="J7621" s="401"/>
      <c r="K7621" s="401"/>
      <c r="L7621" s="675"/>
      <c r="M7621" s="672">
        <v>31203</v>
      </c>
      <c r="N7621" s="623">
        <v>0.11022952677812412</v>
      </c>
      <c r="O7621" s="624">
        <v>1.1743333333333334E-3</v>
      </c>
      <c r="P7621" s="397"/>
      <c r="Q7621" s="397"/>
      <c r="R7621" s="397"/>
      <c r="S7621" s="397"/>
      <c r="T7621" s="397"/>
      <c r="U7621" s="397"/>
      <c r="V7621" s="397"/>
      <c r="W7621" s="397"/>
      <c r="X7621" s="397"/>
      <c r="Y7621" s="397"/>
      <c r="Z7621" s="397"/>
      <c r="AD7621" s="388">
        <v>1.9812000000000001</v>
      </c>
      <c r="AE7621" s="388"/>
      <c r="AF7621" s="388"/>
      <c r="AG7621" s="388"/>
      <c r="AH7621" s="391"/>
      <c r="AI7621" s="397"/>
      <c r="AJ7621" s="397"/>
      <c r="AU7621" s="397"/>
      <c r="AV7621" s="397"/>
      <c r="AW7621" s="397"/>
      <c r="AX7621" s="397"/>
      <c r="BI7621" s="397"/>
      <c r="BJ7621" s="397"/>
      <c r="BK7621" s="397"/>
      <c r="BL7621" s="397"/>
      <c r="BM7621" s="397"/>
      <c r="BN7621" s="397"/>
      <c r="BO7621" s="397"/>
      <c r="BP7621" s="397"/>
      <c r="BQ7621" s="397"/>
      <c r="BR7621" s="397"/>
      <c r="BS7621" s="397"/>
      <c r="BT7621" s="397"/>
      <c r="BU7621" s="397"/>
      <c r="BV7621" s="397"/>
      <c r="BW7621" s="397"/>
      <c r="BX7621" s="397"/>
      <c r="BY7621" s="397"/>
      <c r="BZ7621" s="397"/>
      <c r="CA7621" s="392" t="s">
        <v>413</v>
      </c>
    </row>
    <row r="7622" spans="1:79" s="392" customFormat="1" ht="15" x14ac:dyDescent="0.25">
      <c r="A7622" s="385"/>
      <c r="D7622" s="700"/>
      <c r="E7622" s="397"/>
      <c r="H7622" s="401">
        <v>3</v>
      </c>
      <c r="I7622" s="401"/>
      <c r="J7622" s="401"/>
      <c r="K7622" s="401"/>
      <c r="L7622" s="675"/>
      <c r="M7622" s="672">
        <v>31211</v>
      </c>
      <c r="N7622" s="623">
        <v>0.17625389628790025</v>
      </c>
      <c r="O7622" s="624">
        <v>1.2792000000000001E-3</v>
      </c>
      <c r="P7622" s="397"/>
      <c r="Q7622" s="397"/>
      <c r="R7622" s="397"/>
      <c r="S7622" s="397"/>
      <c r="T7622" s="397"/>
      <c r="U7622" s="397"/>
      <c r="V7622" s="397"/>
      <c r="W7622" s="397"/>
      <c r="X7622" s="397"/>
      <c r="Y7622" s="397"/>
      <c r="Z7622" s="397"/>
      <c r="AD7622" s="388">
        <v>1.9812000000000001</v>
      </c>
      <c r="AE7622" s="388"/>
      <c r="AF7622" s="388"/>
      <c r="AG7622" s="388"/>
      <c r="AH7622" s="391"/>
      <c r="AI7622" s="397"/>
      <c r="AJ7622" s="397"/>
      <c r="AU7622" s="397"/>
      <c r="AV7622" s="397"/>
      <c r="AW7622" s="397"/>
      <c r="AX7622" s="397"/>
      <c r="BI7622" s="397"/>
      <c r="BJ7622" s="397"/>
      <c r="BK7622" s="397"/>
      <c r="BL7622" s="397"/>
      <c r="BM7622" s="397"/>
      <c r="BN7622" s="397"/>
      <c r="BO7622" s="397"/>
      <c r="BP7622" s="397"/>
      <c r="BQ7622" s="397"/>
      <c r="BR7622" s="397"/>
      <c r="BS7622" s="397"/>
      <c r="BT7622" s="397"/>
      <c r="BU7622" s="397"/>
      <c r="BV7622" s="397"/>
      <c r="BW7622" s="397"/>
      <c r="BX7622" s="397"/>
      <c r="BY7622" s="397"/>
      <c r="BZ7622" s="397"/>
      <c r="CA7622" s="392" t="s">
        <v>413</v>
      </c>
    </row>
    <row r="7623" spans="1:79" s="392" customFormat="1" ht="15" x14ac:dyDescent="0.25">
      <c r="A7623" s="385"/>
      <c r="D7623" s="700"/>
      <c r="E7623" s="397"/>
      <c r="H7623" s="401">
        <v>3</v>
      </c>
      <c r="I7623" s="401"/>
      <c r="J7623" s="401"/>
      <c r="K7623" s="401"/>
      <c r="L7623" s="675"/>
      <c r="M7623" s="672">
        <v>31217</v>
      </c>
      <c r="N7623" s="623">
        <v>0.17291017285349958</v>
      </c>
      <c r="O7623" s="624">
        <v>1.8520666666666666E-3</v>
      </c>
      <c r="P7623" s="397"/>
      <c r="Q7623" s="397"/>
      <c r="R7623" s="397"/>
      <c r="S7623" s="397"/>
      <c r="T7623" s="397"/>
      <c r="U7623" s="397"/>
      <c r="V7623" s="397"/>
      <c r="W7623" s="397"/>
      <c r="X7623" s="397"/>
      <c r="Y7623" s="397"/>
      <c r="Z7623" s="397"/>
      <c r="AD7623" s="388">
        <v>1.9812000000000001</v>
      </c>
      <c r="AE7623" s="388"/>
      <c r="AF7623" s="388"/>
      <c r="AG7623" s="388"/>
      <c r="AH7623" s="391"/>
      <c r="AI7623" s="397"/>
      <c r="AJ7623" s="397"/>
      <c r="AU7623" s="397"/>
      <c r="AV7623" s="397"/>
      <c r="AW7623" s="397"/>
      <c r="AX7623" s="397"/>
      <c r="BI7623" s="397"/>
      <c r="BJ7623" s="397"/>
      <c r="BK7623" s="397"/>
      <c r="BL7623" s="397"/>
      <c r="BM7623" s="397"/>
      <c r="BN7623" s="397"/>
      <c r="BO7623" s="397"/>
      <c r="BP7623" s="397"/>
      <c r="BQ7623" s="397"/>
      <c r="BR7623" s="397"/>
      <c r="BS7623" s="397"/>
      <c r="BT7623" s="397"/>
      <c r="BU7623" s="397"/>
      <c r="BV7623" s="397"/>
      <c r="BW7623" s="397"/>
      <c r="BX7623" s="397"/>
      <c r="BY7623" s="397"/>
      <c r="BZ7623" s="397"/>
      <c r="CA7623" s="392" t="s">
        <v>413</v>
      </c>
    </row>
    <row r="7624" spans="1:79" s="392" customFormat="1" ht="15" x14ac:dyDescent="0.25">
      <c r="A7624" s="385"/>
      <c r="D7624" s="700"/>
      <c r="E7624" s="397"/>
      <c r="H7624" s="401">
        <v>3</v>
      </c>
      <c r="I7624" s="401"/>
      <c r="J7624" s="401"/>
      <c r="K7624" s="401"/>
      <c r="L7624" s="675"/>
      <c r="M7624" s="672">
        <v>31226</v>
      </c>
      <c r="N7624" s="623">
        <v>0.10881269481439501</v>
      </c>
      <c r="O7624" s="624">
        <v>7.7609999999999995E-4</v>
      </c>
      <c r="P7624" s="397"/>
      <c r="Q7624" s="397"/>
      <c r="R7624" s="397"/>
      <c r="S7624" s="397"/>
      <c r="T7624" s="397"/>
      <c r="U7624" s="397"/>
      <c r="V7624" s="397"/>
      <c r="W7624" s="397"/>
      <c r="X7624" s="397"/>
      <c r="Y7624" s="397"/>
      <c r="Z7624" s="397"/>
      <c r="AD7624" s="388">
        <v>1.9812000000000001</v>
      </c>
      <c r="AE7624" s="388"/>
      <c r="AF7624" s="388"/>
      <c r="AG7624" s="388"/>
      <c r="AH7624" s="391"/>
      <c r="AI7624" s="397"/>
      <c r="AJ7624" s="397"/>
      <c r="AU7624" s="397"/>
      <c r="AV7624" s="397"/>
      <c r="AW7624" s="397"/>
      <c r="AX7624" s="397"/>
      <c r="BI7624" s="397"/>
      <c r="BJ7624" s="397"/>
      <c r="BK7624" s="397"/>
      <c r="BL7624" s="397"/>
      <c r="BM7624" s="397"/>
      <c r="BN7624" s="397"/>
      <c r="BO7624" s="397"/>
      <c r="BP7624" s="397"/>
      <c r="BQ7624" s="397"/>
      <c r="BR7624" s="397"/>
      <c r="BS7624" s="397"/>
      <c r="BT7624" s="397"/>
      <c r="BU7624" s="397"/>
      <c r="BV7624" s="397"/>
      <c r="BW7624" s="397"/>
      <c r="BX7624" s="397"/>
      <c r="BY7624" s="397"/>
      <c r="BZ7624" s="397"/>
      <c r="CA7624" s="392" t="s">
        <v>413</v>
      </c>
    </row>
    <row r="7625" spans="1:79" s="392" customFormat="1" ht="15" x14ac:dyDescent="0.25">
      <c r="A7625" s="385"/>
      <c r="D7625" s="700"/>
      <c r="E7625" s="397"/>
      <c r="H7625" s="401">
        <v>3</v>
      </c>
      <c r="I7625" s="401"/>
      <c r="J7625" s="401"/>
      <c r="K7625" s="401"/>
      <c r="L7625" s="675"/>
      <c r="M7625" s="672">
        <v>31231</v>
      </c>
      <c r="N7625" s="623">
        <v>6.5457636724284507E-2</v>
      </c>
      <c r="O7625" s="624">
        <v>6.4704000000000009E-4</v>
      </c>
      <c r="P7625" s="397"/>
      <c r="Q7625" s="397"/>
      <c r="R7625" s="397"/>
      <c r="S7625" s="397"/>
      <c r="T7625" s="397"/>
      <c r="U7625" s="397"/>
      <c r="V7625" s="397"/>
      <c r="W7625" s="397"/>
      <c r="X7625" s="397"/>
      <c r="Y7625" s="397"/>
      <c r="Z7625" s="397"/>
      <c r="AD7625" s="388">
        <v>2.1945600000000001</v>
      </c>
      <c r="AE7625" s="388"/>
      <c r="AF7625" s="388"/>
      <c r="AG7625" s="388"/>
      <c r="AH7625" s="391"/>
      <c r="AI7625" s="397"/>
      <c r="AJ7625" s="397"/>
      <c r="AU7625" s="397"/>
      <c r="AV7625" s="397"/>
      <c r="AW7625" s="397"/>
      <c r="AX7625" s="397"/>
      <c r="BI7625" s="397"/>
      <c r="BJ7625" s="397"/>
      <c r="BK7625" s="397"/>
      <c r="BL7625" s="397"/>
      <c r="BM7625" s="397"/>
      <c r="BN7625" s="397"/>
      <c r="BO7625" s="397"/>
      <c r="BP7625" s="397"/>
      <c r="BQ7625" s="397"/>
      <c r="BR7625" s="397"/>
      <c r="BS7625" s="397"/>
      <c r="BT7625" s="397"/>
      <c r="BU7625" s="397"/>
      <c r="BV7625" s="397"/>
      <c r="BW7625" s="397"/>
      <c r="BX7625" s="397"/>
      <c r="BY7625" s="397"/>
      <c r="BZ7625" s="397"/>
      <c r="CA7625" s="392" t="s">
        <v>413</v>
      </c>
    </row>
    <row r="7626" spans="1:79" s="392" customFormat="1" ht="15" x14ac:dyDescent="0.25">
      <c r="A7626" s="385"/>
      <c r="D7626" s="700"/>
      <c r="E7626" s="397"/>
      <c r="H7626" s="401">
        <v>3</v>
      </c>
      <c r="I7626" s="401"/>
      <c r="J7626" s="401"/>
      <c r="K7626" s="401"/>
      <c r="L7626" s="675"/>
      <c r="M7626" s="672">
        <v>31238</v>
      </c>
      <c r="N7626" s="623">
        <v>6.3360725417965433E-2</v>
      </c>
      <c r="O7626" s="624">
        <v>6.4626666666666683E-5</v>
      </c>
      <c r="P7626" s="397"/>
      <c r="Q7626" s="397"/>
      <c r="R7626" s="397"/>
      <c r="S7626" s="397"/>
      <c r="T7626" s="397"/>
      <c r="U7626" s="397"/>
      <c r="V7626" s="397"/>
      <c r="W7626" s="397"/>
      <c r="X7626" s="397"/>
      <c r="Y7626" s="397"/>
      <c r="Z7626" s="397"/>
      <c r="AD7626" s="388">
        <v>2.2555200000000002</v>
      </c>
      <c r="AE7626" s="388"/>
      <c r="AF7626" s="388"/>
      <c r="AG7626" s="388"/>
      <c r="AH7626" s="391"/>
      <c r="AI7626" s="397"/>
      <c r="AJ7626" s="397"/>
      <c r="AU7626" s="397"/>
      <c r="AV7626" s="397"/>
      <c r="AW7626" s="397"/>
      <c r="AX7626" s="397"/>
      <c r="BI7626" s="397"/>
      <c r="BJ7626" s="397"/>
      <c r="BK7626" s="397"/>
      <c r="BL7626" s="397"/>
      <c r="BM7626" s="397"/>
      <c r="BN7626" s="397"/>
      <c r="BO7626" s="397"/>
      <c r="BP7626" s="397"/>
      <c r="BQ7626" s="397"/>
      <c r="BR7626" s="397"/>
      <c r="BS7626" s="397"/>
      <c r="BT7626" s="397"/>
      <c r="BU7626" s="397"/>
      <c r="BV7626" s="397"/>
      <c r="BW7626" s="397"/>
      <c r="BX7626" s="397"/>
      <c r="BY7626" s="397"/>
      <c r="BZ7626" s="397"/>
      <c r="CA7626" s="392" t="s">
        <v>413</v>
      </c>
    </row>
    <row r="7627" spans="1:79" s="392" customFormat="1" ht="15" x14ac:dyDescent="0.25">
      <c r="A7627" s="385"/>
      <c r="D7627" s="700"/>
      <c r="E7627" s="397"/>
      <c r="H7627" s="401">
        <v>3</v>
      </c>
      <c r="I7627" s="401"/>
      <c r="J7627" s="401"/>
      <c r="K7627" s="401"/>
      <c r="L7627" s="675"/>
      <c r="M7627" s="672">
        <v>31246</v>
      </c>
      <c r="N7627" s="623">
        <v>5.9960328705015588E-2</v>
      </c>
      <c r="O7627" s="624">
        <v>3.2560000000000007E-5</v>
      </c>
      <c r="P7627" s="397"/>
      <c r="Q7627" s="397"/>
      <c r="R7627" s="397"/>
      <c r="S7627" s="397"/>
      <c r="T7627" s="397"/>
      <c r="U7627" s="397"/>
      <c r="V7627" s="397"/>
      <c r="W7627" s="397"/>
      <c r="X7627" s="397"/>
      <c r="Y7627" s="397"/>
      <c r="Z7627" s="397"/>
      <c r="AD7627" s="388">
        <v>2.2555200000000002</v>
      </c>
      <c r="AE7627" s="388"/>
      <c r="AF7627" s="388"/>
      <c r="AG7627" s="388"/>
      <c r="AH7627" s="391"/>
      <c r="AI7627" s="397"/>
      <c r="AJ7627" s="397"/>
      <c r="AU7627" s="397"/>
      <c r="AV7627" s="397"/>
      <c r="AW7627" s="397"/>
      <c r="AX7627" s="397"/>
      <c r="BI7627" s="397"/>
      <c r="BJ7627" s="397"/>
      <c r="BK7627" s="397"/>
      <c r="BL7627" s="397"/>
      <c r="BM7627" s="397"/>
      <c r="BN7627" s="397"/>
      <c r="BO7627" s="397"/>
      <c r="BP7627" s="397"/>
      <c r="BQ7627" s="397"/>
      <c r="BR7627" s="397"/>
      <c r="BS7627" s="397"/>
      <c r="BT7627" s="397"/>
      <c r="BU7627" s="397"/>
      <c r="BV7627" s="397"/>
      <c r="BW7627" s="397"/>
      <c r="BX7627" s="397"/>
      <c r="BY7627" s="397"/>
      <c r="BZ7627" s="397"/>
      <c r="CA7627" s="392" t="s">
        <v>413</v>
      </c>
    </row>
    <row r="7628" spans="1:79" s="392" customFormat="1" ht="15" x14ac:dyDescent="0.25">
      <c r="A7628" s="385"/>
      <c r="D7628" s="700"/>
      <c r="E7628" s="397"/>
      <c r="H7628" s="401">
        <v>3</v>
      </c>
      <c r="I7628" s="401"/>
      <c r="J7628" s="401"/>
      <c r="K7628" s="401"/>
      <c r="L7628" s="675"/>
      <c r="M7628" s="672">
        <v>31252</v>
      </c>
      <c r="N7628" s="623">
        <v>5.8685179937659399E-2</v>
      </c>
      <c r="O7628" s="624">
        <v>2.5950000000000002E-4</v>
      </c>
      <c r="P7628" s="397"/>
      <c r="Q7628" s="397"/>
      <c r="R7628" s="397"/>
      <c r="S7628" s="397"/>
      <c r="T7628" s="397"/>
      <c r="U7628" s="397"/>
      <c r="V7628" s="397"/>
      <c r="W7628" s="397"/>
      <c r="X7628" s="397"/>
      <c r="Y7628" s="397"/>
      <c r="Z7628" s="397"/>
      <c r="AD7628" s="388">
        <v>2.286</v>
      </c>
      <c r="AE7628" s="388"/>
      <c r="AF7628" s="388"/>
      <c r="AG7628" s="388"/>
      <c r="AH7628" s="391"/>
      <c r="AI7628" s="397"/>
      <c r="AJ7628" s="397"/>
      <c r="AU7628" s="397"/>
      <c r="AV7628" s="397"/>
      <c r="AW7628" s="397"/>
      <c r="AX7628" s="397"/>
      <c r="BI7628" s="397"/>
      <c r="BJ7628" s="397"/>
      <c r="BK7628" s="397"/>
      <c r="BL7628" s="397"/>
      <c r="BM7628" s="397"/>
      <c r="BN7628" s="397"/>
      <c r="BO7628" s="397"/>
      <c r="BP7628" s="397"/>
      <c r="BQ7628" s="397"/>
      <c r="BR7628" s="397"/>
      <c r="BS7628" s="397"/>
      <c r="BT7628" s="397"/>
      <c r="BU7628" s="397"/>
      <c r="BV7628" s="397"/>
      <c r="BW7628" s="397"/>
      <c r="BX7628" s="397"/>
      <c r="BY7628" s="397"/>
      <c r="BZ7628" s="397"/>
      <c r="CA7628" s="392" t="s">
        <v>413</v>
      </c>
    </row>
    <row r="7629" spans="1:79" s="392" customFormat="1" ht="15" x14ac:dyDescent="0.25">
      <c r="A7629" s="385"/>
      <c r="D7629" s="700"/>
      <c r="E7629" s="397"/>
      <c r="H7629" s="401">
        <v>3</v>
      </c>
      <c r="I7629" s="401"/>
      <c r="J7629" s="401"/>
      <c r="K7629" s="401"/>
      <c r="L7629" s="675"/>
      <c r="M7629" s="672">
        <v>31260</v>
      </c>
      <c r="N7629" s="623">
        <v>4.9249079059223579E-2</v>
      </c>
      <c r="O7629" s="624">
        <v>1.6565000000000001E-4</v>
      </c>
      <c r="P7629" s="397"/>
      <c r="Q7629" s="397"/>
      <c r="R7629" s="397"/>
      <c r="S7629" s="397"/>
      <c r="T7629" s="397"/>
      <c r="U7629" s="397"/>
      <c r="V7629" s="397"/>
      <c r="W7629" s="397"/>
      <c r="X7629" s="397"/>
      <c r="Y7629" s="397"/>
      <c r="Z7629" s="397"/>
      <c r="AD7629" s="388">
        <v>2.286</v>
      </c>
      <c r="AE7629" s="388"/>
      <c r="AF7629" s="388"/>
      <c r="AG7629" s="388"/>
      <c r="AH7629" s="391"/>
      <c r="AI7629" s="397"/>
      <c r="AJ7629" s="397"/>
      <c r="AU7629" s="397"/>
      <c r="AV7629" s="397"/>
      <c r="AW7629" s="397"/>
      <c r="AX7629" s="397"/>
      <c r="BI7629" s="397"/>
      <c r="BJ7629" s="397"/>
      <c r="BK7629" s="397"/>
      <c r="BL7629" s="397"/>
      <c r="BM7629" s="397"/>
      <c r="BN7629" s="397"/>
      <c r="BO7629" s="397"/>
      <c r="BP7629" s="397"/>
      <c r="BQ7629" s="397"/>
      <c r="BR7629" s="397"/>
      <c r="BS7629" s="397"/>
      <c r="BT7629" s="397"/>
      <c r="BU7629" s="397"/>
      <c r="BV7629" s="397"/>
      <c r="BW7629" s="397"/>
      <c r="BX7629" s="397"/>
      <c r="BY7629" s="397"/>
      <c r="BZ7629" s="397"/>
      <c r="CA7629" s="392" t="s">
        <v>413</v>
      </c>
    </row>
    <row r="7630" spans="1:79" s="392" customFormat="1" ht="15" x14ac:dyDescent="0.25">
      <c r="A7630" s="385"/>
      <c r="D7630" s="700"/>
      <c r="E7630" s="397"/>
      <c r="H7630" s="401">
        <v>3</v>
      </c>
      <c r="I7630" s="401"/>
      <c r="J7630" s="401"/>
      <c r="K7630" s="401"/>
      <c r="L7630" s="675"/>
      <c r="M7630" s="672">
        <v>31266</v>
      </c>
      <c r="N7630" s="623">
        <v>3.8537829413431569E-2</v>
      </c>
      <c r="O7630" s="624">
        <v>3.0245999999999998E-5</v>
      </c>
      <c r="P7630" s="397"/>
      <c r="Q7630" s="397"/>
      <c r="R7630" s="397"/>
      <c r="S7630" s="397"/>
      <c r="T7630" s="397"/>
      <c r="U7630" s="397"/>
      <c r="V7630" s="397"/>
      <c r="W7630" s="397"/>
      <c r="X7630" s="397"/>
      <c r="Y7630" s="397"/>
      <c r="Z7630" s="397"/>
      <c r="AD7630" s="388">
        <v>2.1640799999999998</v>
      </c>
      <c r="AE7630" s="388"/>
      <c r="AF7630" s="388"/>
      <c r="AG7630" s="388"/>
      <c r="AH7630" s="391"/>
      <c r="AI7630" s="397"/>
      <c r="AJ7630" s="397"/>
      <c r="AU7630" s="397"/>
      <c r="AV7630" s="397"/>
      <c r="AW7630" s="397"/>
      <c r="AX7630" s="397"/>
      <c r="BI7630" s="397"/>
      <c r="BJ7630" s="397"/>
      <c r="BK7630" s="397"/>
      <c r="BL7630" s="397"/>
      <c r="BM7630" s="397"/>
      <c r="BN7630" s="397"/>
      <c r="BO7630" s="397"/>
      <c r="BP7630" s="397"/>
      <c r="BQ7630" s="397"/>
      <c r="BR7630" s="397"/>
      <c r="BS7630" s="397"/>
      <c r="BT7630" s="397"/>
      <c r="BU7630" s="397"/>
      <c r="BV7630" s="397"/>
      <c r="BW7630" s="397"/>
      <c r="BX7630" s="397"/>
      <c r="BY7630" s="397"/>
      <c r="BZ7630" s="397"/>
      <c r="CA7630" s="392" t="s">
        <v>413</v>
      </c>
    </row>
    <row r="7631" spans="1:79" s="392" customFormat="1" ht="15" x14ac:dyDescent="0.25">
      <c r="A7631" s="385"/>
      <c r="D7631" s="700"/>
      <c r="E7631" s="397"/>
      <c r="H7631" s="401">
        <v>3</v>
      </c>
      <c r="I7631" s="401"/>
      <c r="J7631" s="401"/>
      <c r="K7631" s="401"/>
      <c r="L7631" s="675"/>
      <c r="M7631" s="672">
        <v>31273</v>
      </c>
      <c r="N7631" s="623">
        <v>3.457069991499008E-2</v>
      </c>
      <c r="O7631" s="624">
        <v>1.25764E-4</v>
      </c>
      <c r="P7631" s="397"/>
      <c r="Q7631" s="397"/>
      <c r="R7631" s="397"/>
      <c r="S7631" s="397"/>
      <c r="T7631" s="397"/>
      <c r="U7631" s="397"/>
      <c r="V7631" s="397"/>
      <c r="W7631" s="397"/>
      <c r="X7631" s="397"/>
      <c r="Y7631" s="397"/>
      <c r="Z7631" s="397"/>
      <c r="AD7631" s="388">
        <v>2.1031200000000001</v>
      </c>
      <c r="AE7631" s="388"/>
      <c r="AF7631" s="388"/>
      <c r="AG7631" s="388"/>
      <c r="AH7631" s="391"/>
      <c r="AI7631" s="397"/>
      <c r="AJ7631" s="397"/>
      <c r="AU7631" s="397"/>
      <c r="AV7631" s="397"/>
      <c r="AW7631" s="397"/>
      <c r="AX7631" s="397"/>
      <c r="BI7631" s="397"/>
      <c r="BJ7631" s="397"/>
      <c r="BK7631" s="397"/>
      <c r="BL7631" s="397"/>
      <c r="BM7631" s="397"/>
      <c r="BN7631" s="397"/>
      <c r="BO7631" s="397"/>
      <c r="BP7631" s="397"/>
      <c r="BQ7631" s="397"/>
      <c r="BR7631" s="397"/>
      <c r="BS7631" s="397"/>
      <c r="BT7631" s="397"/>
      <c r="BU7631" s="397"/>
      <c r="BV7631" s="397"/>
      <c r="BW7631" s="397"/>
      <c r="BX7631" s="397"/>
      <c r="BY7631" s="397"/>
      <c r="BZ7631" s="397"/>
      <c r="CA7631" s="392" t="s">
        <v>413</v>
      </c>
    </row>
    <row r="7632" spans="1:79" s="392" customFormat="1" ht="15" x14ac:dyDescent="0.25">
      <c r="A7632" s="385"/>
      <c r="D7632" s="700"/>
      <c r="E7632" s="397"/>
      <c r="H7632" s="401">
        <v>3</v>
      </c>
      <c r="I7632" s="401"/>
      <c r="J7632" s="401"/>
      <c r="K7632" s="401"/>
      <c r="L7632" s="675"/>
      <c r="M7632" s="672">
        <v>31281</v>
      </c>
      <c r="N7632" s="623">
        <v>2.4397846415415134E-2</v>
      </c>
      <c r="O7632" s="624">
        <v>2.2293999999999994E-5</v>
      </c>
      <c r="P7632" s="397"/>
      <c r="Q7632" s="397"/>
      <c r="R7632" s="397"/>
      <c r="S7632" s="397"/>
      <c r="T7632" s="397"/>
      <c r="U7632" s="397"/>
      <c r="V7632" s="397"/>
      <c r="W7632" s="397"/>
      <c r="X7632" s="397"/>
      <c r="Y7632" s="397"/>
      <c r="Z7632" s="397"/>
      <c r="AD7632" s="388">
        <v>2.1640799999999998</v>
      </c>
      <c r="AE7632" s="388"/>
      <c r="AF7632" s="388"/>
      <c r="AG7632" s="388"/>
      <c r="AH7632" s="391"/>
      <c r="AI7632" s="397"/>
      <c r="AJ7632" s="397"/>
      <c r="AU7632" s="397"/>
      <c r="AV7632" s="397"/>
      <c r="AW7632" s="397"/>
      <c r="AX7632" s="397"/>
      <c r="BI7632" s="397"/>
      <c r="BJ7632" s="397"/>
      <c r="BK7632" s="397"/>
      <c r="BL7632" s="397"/>
      <c r="BM7632" s="397"/>
      <c r="BN7632" s="397"/>
      <c r="BO7632" s="397"/>
      <c r="BP7632" s="397"/>
      <c r="BQ7632" s="397"/>
      <c r="BR7632" s="397"/>
      <c r="BS7632" s="397"/>
      <c r="BT7632" s="397"/>
      <c r="BU7632" s="397"/>
      <c r="BV7632" s="397"/>
      <c r="BW7632" s="397"/>
      <c r="BX7632" s="397"/>
      <c r="BY7632" s="397"/>
      <c r="BZ7632" s="397"/>
      <c r="CA7632" s="392" t="s">
        <v>413</v>
      </c>
    </row>
    <row r="7633" spans="1:80" s="392" customFormat="1" ht="15" x14ac:dyDescent="0.25">
      <c r="A7633" s="385"/>
      <c r="D7633" s="700"/>
      <c r="E7633" s="397"/>
      <c r="H7633" s="401">
        <v>3</v>
      </c>
      <c r="I7633" s="401"/>
      <c r="J7633" s="401"/>
      <c r="K7633" s="401"/>
      <c r="L7633" s="675"/>
      <c r="M7633" s="672">
        <v>31293</v>
      </c>
      <c r="N7633" s="623">
        <v>2.0515726834797392E-2</v>
      </c>
      <c r="O7633" s="624">
        <v>2.1626599999999995E-4</v>
      </c>
      <c r="P7633" s="397"/>
      <c r="Q7633" s="397"/>
      <c r="R7633" s="397"/>
      <c r="S7633" s="397"/>
      <c r="T7633" s="397"/>
      <c r="U7633" s="397"/>
      <c r="V7633" s="397"/>
      <c r="W7633" s="397"/>
      <c r="X7633" s="397"/>
      <c r="Y7633" s="397"/>
      <c r="Z7633" s="397"/>
      <c r="AD7633" s="388">
        <v>2.1640799999999998</v>
      </c>
      <c r="AE7633" s="388"/>
      <c r="AF7633" s="388"/>
      <c r="AG7633" s="388"/>
      <c r="AH7633" s="391"/>
      <c r="AI7633" s="397"/>
      <c r="AJ7633" s="397"/>
      <c r="AU7633" s="397"/>
      <c r="AV7633" s="397"/>
      <c r="AW7633" s="397"/>
      <c r="AX7633" s="397"/>
      <c r="BI7633" s="397"/>
      <c r="BJ7633" s="397"/>
      <c r="BK7633" s="397"/>
      <c r="BL7633" s="397"/>
      <c r="BM7633" s="397"/>
      <c r="BN7633" s="397"/>
      <c r="BO7633" s="397"/>
      <c r="BP7633" s="397"/>
      <c r="BQ7633" s="397"/>
      <c r="BR7633" s="397"/>
      <c r="BS7633" s="397"/>
      <c r="BT7633" s="397"/>
      <c r="BU7633" s="397"/>
      <c r="BV7633" s="397"/>
      <c r="BW7633" s="397"/>
      <c r="BX7633" s="397"/>
      <c r="BY7633" s="397"/>
      <c r="BZ7633" s="397"/>
      <c r="CA7633" s="392" t="s">
        <v>413</v>
      </c>
    </row>
    <row r="7634" spans="1:80" s="392" customFormat="1" ht="15" x14ac:dyDescent="0.25">
      <c r="A7634" s="385"/>
      <c r="D7634" s="700"/>
      <c r="E7634" s="397"/>
      <c r="H7634" s="401">
        <v>3</v>
      </c>
      <c r="I7634" s="401"/>
      <c r="J7634" s="401"/>
      <c r="K7634" s="401"/>
      <c r="L7634" s="675"/>
      <c r="M7634" s="672">
        <v>31310</v>
      </c>
      <c r="N7634" s="623">
        <v>1.586851799376594E-2</v>
      </c>
      <c r="O7634" s="624">
        <v>7.8200000000000014E-6</v>
      </c>
      <c r="P7634" s="397"/>
      <c r="Q7634" s="397"/>
      <c r="R7634" s="397"/>
      <c r="S7634" s="397"/>
      <c r="T7634" s="397"/>
      <c r="U7634" s="397"/>
      <c r="V7634" s="397"/>
      <c r="W7634" s="397"/>
      <c r="X7634" s="397"/>
      <c r="Y7634" s="397"/>
      <c r="Z7634" s="397"/>
      <c r="AD7634" s="388">
        <v>2.1031200000000001</v>
      </c>
      <c r="AE7634" s="388"/>
      <c r="AF7634" s="388"/>
      <c r="AG7634" s="388"/>
      <c r="AH7634" s="391"/>
      <c r="AI7634" s="397"/>
      <c r="AJ7634" s="397"/>
      <c r="AU7634" s="397"/>
      <c r="AV7634" s="397"/>
      <c r="AW7634" s="397"/>
      <c r="AX7634" s="397"/>
      <c r="BI7634" s="397"/>
      <c r="BJ7634" s="397"/>
      <c r="BK7634" s="397"/>
      <c r="BL7634" s="397"/>
      <c r="BM7634" s="397"/>
      <c r="BN7634" s="397"/>
      <c r="BO7634" s="397"/>
      <c r="BP7634" s="397"/>
      <c r="BQ7634" s="397"/>
      <c r="BR7634" s="397"/>
      <c r="BS7634" s="397"/>
      <c r="BT7634" s="397"/>
      <c r="BU7634" s="397"/>
      <c r="BV7634" s="397"/>
      <c r="BW7634" s="397"/>
      <c r="BX7634" s="397"/>
      <c r="BY7634" s="397"/>
      <c r="BZ7634" s="397"/>
      <c r="CA7634" s="392" t="s">
        <v>413</v>
      </c>
    </row>
    <row r="7635" spans="1:80" s="189" customFormat="1" ht="15" x14ac:dyDescent="0.25">
      <c r="A7635" s="381" t="s">
        <v>486</v>
      </c>
      <c r="B7635" s="641" t="s">
        <v>34</v>
      </c>
      <c r="C7635" s="639"/>
      <c r="D7635" s="4">
        <f>VLOOKUP(E7635,'Quality Code'!$D$4:$E$24,2,TRUE)*VLOOKUP(MROUND(F7635,10),'Quality Code'!$D$28:$E$69,2,TRUE)*VLOOKUP(COUNTA(CB7635:CB7645),'Quality Code'!$D$73:$E$93,2,TRUE)</f>
        <v>0.30000000000000004</v>
      </c>
      <c r="E7635" s="14">
        <v>0.4</v>
      </c>
      <c r="F7635" s="2">
        <v>26</v>
      </c>
      <c r="G7635" s="12"/>
      <c r="H7635" s="2" t="s">
        <v>105</v>
      </c>
      <c r="I7635" s="2"/>
      <c r="J7635" s="2"/>
      <c r="K7635" s="2"/>
      <c r="L7635" s="639"/>
      <c r="M7635" s="640" t="s">
        <v>918</v>
      </c>
      <c r="N7635" s="578" t="s">
        <v>110</v>
      </c>
      <c r="O7635" s="578"/>
      <c r="P7635" s="26"/>
      <c r="Q7635" s="26"/>
      <c r="R7635" s="26"/>
      <c r="S7635" s="26"/>
      <c r="T7635" s="26"/>
      <c r="U7635" s="26"/>
      <c r="V7635" s="10"/>
      <c r="W7635" s="10"/>
      <c r="X7635" s="10"/>
      <c r="Y7635" s="10"/>
      <c r="Z7635" s="26"/>
      <c r="AA7635" s="26"/>
      <c r="AB7635" s="26"/>
      <c r="AC7635" s="3">
        <v>8.5599999999999996E-2</v>
      </c>
      <c r="AD7635" s="406"/>
      <c r="AE7635" s="26"/>
      <c r="AF7635" s="26"/>
      <c r="AG7635" s="26"/>
      <c r="AH7635" s="26"/>
      <c r="AI7635" s="4"/>
      <c r="AJ7635" s="4"/>
      <c r="AK7635" s="26"/>
      <c r="AL7635" s="26"/>
      <c r="AM7635" s="26"/>
      <c r="AN7635" s="26"/>
      <c r="AO7635" s="26"/>
      <c r="AP7635" s="26"/>
      <c r="AQ7635" s="26"/>
      <c r="AR7635" s="26"/>
      <c r="AS7635" s="26"/>
      <c r="AT7635" s="26"/>
      <c r="AU7635" s="4"/>
      <c r="AV7635" s="4"/>
      <c r="AW7635" s="4"/>
      <c r="AX7635" s="4"/>
      <c r="AY7635" s="2"/>
      <c r="AZ7635" s="2"/>
      <c r="BA7635" s="12"/>
      <c r="BB7635" s="12"/>
      <c r="BC7635" s="12"/>
      <c r="BD7635" s="12"/>
      <c r="BE7635" s="12"/>
      <c r="BF7635" s="12"/>
      <c r="BG7635" s="12"/>
      <c r="BH7635" s="12"/>
      <c r="BI7635" s="4"/>
      <c r="BJ7635" s="12"/>
      <c r="BK7635" s="2"/>
      <c r="BL7635" s="2"/>
      <c r="BM7635" s="4"/>
      <c r="BN7635" s="12"/>
      <c r="BO7635" s="12"/>
      <c r="BP7635" s="12"/>
      <c r="BQ7635" s="4"/>
      <c r="BR7635" s="4"/>
      <c r="BS7635" s="4"/>
      <c r="BT7635" s="2"/>
      <c r="BU7635" s="9"/>
      <c r="BV7635" s="381"/>
      <c r="BW7635" s="382"/>
      <c r="BX7635" s="383"/>
      <c r="BY7635" s="383" t="s">
        <v>417</v>
      </c>
      <c r="BZ7635" s="383"/>
      <c r="CA7635" s="384" t="s">
        <v>413</v>
      </c>
      <c r="CB7635" s="411"/>
    </row>
    <row r="7636" spans="1:80" s="392" customFormat="1" ht="15" x14ac:dyDescent="0.25">
      <c r="A7636" s="385"/>
      <c r="D7636" s="700"/>
      <c r="E7636" s="397"/>
      <c r="H7636" s="401">
        <v>3</v>
      </c>
      <c r="I7636" s="401"/>
      <c r="J7636" s="401"/>
      <c r="K7636" s="401"/>
      <c r="L7636" s="675"/>
      <c r="M7636" s="672">
        <v>30831</v>
      </c>
      <c r="N7636" s="623">
        <v>0.19353924624539531</v>
      </c>
      <c r="O7636" s="624">
        <v>5.9995154773333334E-4</v>
      </c>
      <c r="P7636" s="397"/>
      <c r="Q7636" s="397"/>
      <c r="R7636" s="397"/>
      <c r="S7636" s="397"/>
      <c r="T7636" s="397"/>
      <c r="U7636" s="397"/>
      <c r="V7636" s="397"/>
      <c r="W7636" s="397"/>
      <c r="X7636" s="397"/>
      <c r="Y7636" s="397"/>
      <c r="Z7636" s="397"/>
      <c r="AD7636" s="388">
        <v>1.8897600000000001</v>
      </c>
      <c r="AE7636" s="388">
        <v>0.18288000000000001</v>
      </c>
      <c r="AF7636" s="388">
        <v>0.34559930880000006</v>
      </c>
      <c r="AG7636" s="388">
        <v>0.39624000000000004</v>
      </c>
      <c r="AH7636" s="391"/>
      <c r="AI7636" s="397"/>
      <c r="AJ7636" s="397"/>
      <c r="AU7636" s="397"/>
      <c r="AV7636" s="397"/>
      <c r="AW7636" s="397"/>
      <c r="AX7636" s="397"/>
      <c r="BI7636" s="397"/>
      <c r="BJ7636" s="397"/>
      <c r="BK7636" s="397"/>
      <c r="BL7636" s="397"/>
      <c r="BM7636" s="397"/>
      <c r="BN7636" s="397"/>
      <c r="BO7636" s="397"/>
      <c r="BP7636" s="397"/>
      <c r="BQ7636" s="397"/>
      <c r="BR7636" s="397"/>
      <c r="BS7636" s="397"/>
      <c r="BT7636" s="397"/>
      <c r="BU7636" s="397"/>
      <c r="BV7636" s="397"/>
      <c r="BW7636" s="397"/>
      <c r="BX7636" s="397"/>
      <c r="BY7636" s="397"/>
      <c r="BZ7636" s="397"/>
      <c r="CA7636" s="392" t="s">
        <v>413</v>
      </c>
    </row>
    <row r="7637" spans="1:80" s="392" customFormat="1" ht="15" x14ac:dyDescent="0.25">
      <c r="A7637" s="385"/>
      <c r="D7637" s="700"/>
      <c r="E7637" s="397"/>
      <c r="H7637" s="401">
        <v>3</v>
      </c>
      <c r="I7637" s="401"/>
      <c r="J7637" s="401"/>
      <c r="K7637" s="401"/>
      <c r="L7637" s="675"/>
      <c r="M7637" s="672">
        <v>30839</v>
      </c>
      <c r="N7637" s="623">
        <v>0.23859450269198074</v>
      </c>
      <c r="O7637" s="624">
        <v>8.708974080000001E-3</v>
      </c>
      <c r="P7637" s="397"/>
      <c r="Q7637" s="397"/>
      <c r="R7637" s="397"/>
      <c r="S7637" s="397"/>
      <c r="T7637" s="397"/>
      <c r="U7637" s="397"/>
      <c r="V7637" s="397"/>
      <c r="W7637" s="397"/>
      <c r="X7637" s="397"/>
      <c r="Y7637" s="397"/>
      <c r="Z7637" s="397"/>
      <c r="AD7637" s="388">
        <v>1.9507200000000002</v>
      </c>
      <c r="AE7637" s="388">
        <v>0.225552</v>
      </c>
      <c r="AF7637" s="388">
        <v>0.43998879744000008</v>
      </c>
      <c r="AG7637" s="388">
        <v>0.454152</v>
      </c>
      <c r="AH7637" s="391"/>
      <c r="AI7637" s="397"/>
      <c r="AJ7637" s="397"/>
      <c r="AU7637" s="397"/>
      <c r="AV7637" s="397"/>
      <c r="AW7637" s="397"/>
      <c r="AX7637" s="397"/>
      <c r="BI7637" s="397"/>
      <c r="BJ7637" s="397"/>
      <c r="BK7637" s="397"/>
      <c r="BL7637" s="397"/>
      <c r="BM7637" s="397"/>
      <c r="BN7637" s="397"/>
      <c r="BO7637" s="397"/>
      <c r="BP7637" s="397"/>
      <c r="BQ7637" s="397"/>
      <c r="BR7637" s="397"/>
      <c r="BS7637" s="397"/>
      <c r="BT7637" s="397"/>
      <c r="BU7637" s="397"/>
      <c r="BV7637" s="397"/>
      <c r="BW7637" s="397"/>
      <c r="BX7637" s="397"/>
      <c r="BY7637" s="397"/>
      <c r="BZ7637" s="397"/>
      <c r="CA7637" s="392" t="s">
        <v>413</v>
      </c>
    </row>
    <row r="7638" spans="1:80" s="392" customFormat="1" ht="15" x14ac:dyDescent="0.25">
      <c r="A7638" s="385"/>
      <c r="D7638" s="700"/>
      <c r="E7638" s="397"/>
      <c r="H7638" s="401">
        <v>3</v>
      </c>
      <c r="I7638" s="401"/>
      <c r="J7638" s="401"/>
      <c r="K7638" s="401"/>
      <c r="L7638" s="675"/>
      <c r="M7638" s="672">
        <v>30844</v>
      </c>
      <c r="N7638" s="623">
        <v>0.12156418248795693</v>
      </c>
      <c r="O7638" s="624">
        <v>3.7496971733333342E-4</v>
      </c>
      <c r="P7638" s="397"/>
      <c r="Q7638" s="397"/>
      <c r="R7638" s="397"/>
      <c r="S7638" s="397"/>
      <c r="T7638" s="397"/>
      <c r="U7638" s="397"/>
      <c r="V7638" s="397"/>
      <c r="W7638" s="397"/>
      <c r="X7638" s="397"/>
      <c r="Y7638" s="397"/>
      <c r="Z7638" s="397"/>
      <c r="AD7638" s="388">
        <v>1.8897600000000001</v>
      </c>
      <c r="AE7638" s="388">
        <v>0.15849600000000003</v>
      </c>
      <c r="AF7638" s="388">
        <v>0.29951940096000007</v>
      </c>
      <c r="AG7638" s="388">
        <v>0.32918400000000003</v>
      </c>
      <c r="AH7638" s="391"/>
      <c r="AI7638" s="397"/>
      <c r="AJ7638" s="397"/>
      <c r="AU7638" s="397"/>
      <c r="AV7638" s="397"/>
      <c r="AW7638" s="397"/>
      <c r="AX7638" s="397"/>
      <c r="BI7638" s="397"/>
      <c r="BJ7638" s="397"/>
      <c r="BK7638" s="397"/>
      <c r="BL7638" s="397"/>
      <c r="BM7638" s="397"/>
      <c r="BN7638" s="397"/>
      <c r="BO7638" s="397"/>
      <c r="BP7638" s="397"/>
      <c r="BQ7638" s="397"/>
      <c r="BR7638" s="397"/>
      <c r="BS7638" s="397"/>
      <c r="BT7638" s="397"/>
      <c r="BU7638" s="397"/>
      <c r="BV7638" s="397"/>
      <c r="BW7638" s="397"/>
      <c r="BX7638" s="397"/>
      <c r="BY7638" s="397"/>
      <c r="BZ7638" s="397"/>
      <c r="CA7638" s="392" t="s">
        <v>413</v>
      </c>
    </row>
    <row r="7639" spans="1:80" s="392" customFormat="1" ht="15" x14ac:dyDescent="0.25">
      <c r="A7639" s="385"/>
      <c r="D7639" s="700"/>
      <c r="E7639" s="397"/>
      <c r="H7639" s="401">
        <v>3</v>
      </c>
      <c r="I7639" s="401"/>
      <c r="J7639" s="401"/>
      <c r="K7639" s="401"/>
      <c r="L7639" s="675"/>
      <c r="M7639" s="672">
        <v>30851</v>
      </c>
      <c r="N7639" s="623">
        <v>0.35052422782657977</v>
      </c>
      <c r="O7639" s="624">
        <v>3.9916131199999993E-3</v>
      </c>
      <c r="P7639" s="397"/>
      <c r="Q7639" s="397"/>
      <c r="R7639" s="397"/>
      <c r="S7639" s="397"/>
      <c r="T7639" s="397"/>
      <c r="U7639" s="397"/>
      <c r="V7639" s="397"/>
      <c r="W7639" s="397"/>
      <c r="X7639" s="397"/>
      <c r="Y7639" s="397"/>
      <c r="Z7639" s="397"/>
      <c r="AD7639" s="388">
        <v>2.0116800000000001</v>
      </c>
      <c r="AE7639" s="388">
        <v>0.24993599999999999</v>
      </c>
      <c r="AF7639" s="388">
        <v>0.50279125248000001</v>
      </c>
      <c r="AG7639" s="388">
        <v>0.61569600000000002</v>
      </c>
      <c r="AH7639" s="391"/>
      <c r="AI7639" s="397"/>
      <c r="AJ7639" s="397"/>
      <c r="AU7639" s="397"/>
      <c r="AV7639" s="397"/>
      <c r="AW7639" s="397"/>
      <c r="AX7639" s="397"/>
      <c r="BI7639" s="397"/>
      <c r="BJ7639" s="397"/>
      <c r="BK7639" s="397"/>
      <c r="BL7639" s="397"/>
      <c r="BM7639" s="397"/>
      <c r="BN7639" s="397"/>
      <c r="BO7639" s="397"/>
      <c r="BP7639" s="397"/>
      <c r="BQ7639" s="397"/>
      <c r="BR7639" s="397"/>
      <c r="BS7639" s="397"/>
      <c r="BT7639" s="397"/>
      <c r="BU7639" s="397"/>
      <c r="BV7639" s="397"/>
      <c r="BW7639" s="397"/>
      <c r="BX7639" s="397"/>
      <c r="BY7639" s="397"/>
      <c r="BZ7639" s="397"/>
      <c r="CA7639" s="392" t="s">
        <v>413</v>
      </c>
    </row>
    <row r="7640" spans="1:80" s="392" customFormat="1" ht="15" x14ac:dyDescent="0.25">
      <c r="A7640" s="385"/>
      <c r="D7640" s="700"/>
      <c r="E7640" s="397"/>
      <c r="H7640" s="401">
        <v>3</v>
      </c>
      <c r="I7640" s="401"/>
      <c r="J7640" s="401"/>
      <c r="K7640" s="401"/>
      <c r="L7640" s="675"/>
      <c r="M7640" s="672">
        <v>30858</v>
      </c>
      <c r="N7640" s="623">
        <v>0.46018702181921223</v>
      </c>
      <c r="O7640" s="624">
        <v>1.17934024E-2</v>
      </c>
      <c r="P7640" s="397"/>
      <c r="Q7640" s="397"/>
      <c r="R7640" s="397"/>
      <c r="S7640" s="397"/>
      <c r="T7640" s="397"/>
      <c r="U7640" s="397"/>
      <c r="V7640" s="397"/>
      <c r="W7640" s="397"/>
      <c r="X7640" s="397"/>
      <c r="Y7640" s="397"/>
      <c r="Z7640" s="397"/>
      <c r="AD7640" s="388">
        <v>1.9812000000000001</v>
      </c>
      <c r="AE7640" s="388">
        <v>0.30175200000000002</v>
      </c>
      <c r="AF7640" s="388">
        <v>0.59783106240000006</v>
      </c>
      <c r="AG7640" s="388">
        <v>0.67665600000000015</v>
      </c>
      <c r="AH7640" s="391"/>
      <c r="AI7640" s="397"/>
      <c r="AJ7640" s="397"/>
      <c r="AU7640" s="397"/>
      <c r="AV7640" s="397"/>
      <c r="AW7640" s="397"/>
      <c r="AX7640" s="397"/>
      <c r="BI7640" s="397"/>
      <c r="BJ7640" s="397"/>
      <c r="BK7640" s="397"/>
      <c r="BL7640" s="397"/>
      <c r="BM7640" s="397"/>
      <c r="BN7640" s="397"/>
      <c r="BO7640" s="397"/>
      <c r="BP7640" s="397"/>
      <c r="BQ7640" s="397"/>
      <c r="BR7640" s="397"/>
      <c r="BS7640" s="397"/>
      <c r="BT7640" s="397"/>
      <c r="BU7640" s="397"/>
      <c r="BV7640" s="397"/>
      <c r="BW7640" s="397"/>
      <c r="BX7640" s="397"/>
      <c r="BY7640" s="397"/>
      <c r="BZ7640" s="397"/>
      <c r="CA7640" s="392" t="s">
        <v>413</v>
      </c>
    </row>
    <row r="7641" spans="1:80" s="392" customFormat="1" ht="15" x14ac:dyDescent="0.25">
      <c r="A7641" s="385"/>
      <c r="D7641" s="700"/>
      <c r="E7641" s="397"/>
      <c r="H7641" s="401">
        <v>3</v>
      </c>
      <c r="I7641" s="401"/>
      <c r="J7641" s="401"/>
      <c r="K7641" s="401"/>
      <c r="L7641" s="675"/>
      <c r="M7641" s="672">
        <v>30866</v>
      </c>
      <c r="N7641" s="623">
        <v>0.55454803060357039</v>
      </c>
      <c r="O7641" s="624">
        <v>9.5980151840000007E-3</v>
      </c>
      <c r="P7641" s="397"/>
      <c r="Q7641" s="397"/>
      <c r="R7641" s="397"/>
      <c r="S7641" s="397"/>
      <c r="T7641" s="397"/>
      <c r="U7641" s="397"/>
      <c r="V7641" s="397"/>
      <c r="W7641" s="397"/>
      <c r="X7641" s="397"/>
      <c r="Y7641" s="397"/>
      <c r="Z7641" s="397"/>
      <c r="AD7641" s="388">
        <v>2.1031200000000001</v>
      </c>
      <c r="AE7641" s="388">
        <v>0.26212800000000003</v>
      </c>
      <c r="AF7641" s="388">
        <v>0.55128663936000011</v>
      </c>
      <c r="AG7641" s="388">
        <v>0.95707200000000003</v>
      </c>
      <c r="AH7641" s="391"/>
      <c r="AI7641" s="397"/>
      <c r="AJ7641" s="397"/>
      <c r="AU7641" s="397"/>
      <c r="AV7641" s="397"/>
      <c r="AW7641" s="397"/>
      <c r="AX7641" s="397"/>
      <c r="BI7641" s="397"/>
      <c r="BJ7641" s="397"/>
      <c r="BK7641" s="397"/>
      <c r="BL7641" s="397"/>
      <c r="BM7641" s="397"/>
      <c r="BN7641" s="397"/>
      <c r="BO7641" s="397"/>
      <c r="BP7641" s="397"/>
      <c r="BQ7641" s="397"/>
      <c r="BR7641" s="397"/>
      <c r="BS7641" s="397"/>
      <c r="BT7641" s="397"/>
      <c r="BU7641" s="397"/>
      <c r="BV7641" s="397"/>
      <c r="BW7641" s="397"/>
      <c r="BX7641" s="397"/>
      <c r="BY7641" s="397"/>
      <c r="BZ7641" s="397"/>
      <c r="CA7641" s="392" t="s">
        <v>413</v>
      </c>
    </row>
    <row r="7642" spans="1:80" s="392" customFormat="1" ht="15" x14ac:dyDescent="0.25">
      <c r="A7642" s="385"/>
      <c r="D7642" s="700"/>
      <c r="E7642" s="397"/>
      <c r="H7642" s="401">
        <v>3</v>
      </c>
      <c r="I7642" s="401"/>
      <c r="J7642" s="401"/>
      <c r="K7642" s="401"/>
      <c r="L7642" s="675"/>
      <c r="M7642" s="672">
        <v>30875</v>
      </c>
      <c r="N7642" s="623">
        <v>0.35987531878719181</v>
      </c>
      <c r="O7642" s="624">
        <v>6.0781381599999997E-3</v>
      </c>
      <c r="P7642" s="397"/>
      <c r="Q7642" s="397"/>
      <c r="R7642" s="397"/>
      <c r="S7642" s="397"/>
      <c r="T7642" s="397"/>
      <c r="U7642" s="397"/>
      <c r="V7642" s="397"/>
      <c r="W7642" s="397"/>
      <c r="X7642" s="397"/>
      <c r="Y7642" s="397"/>
      <c r="Z7642" s="397"/>
      <c r="AD7642" s="388">
        <v>2.04216</v>
      </c>
      <c r="AE7642" s="388">
        <v>0.23469600000000002</v>
      </c>
      <c r="AF7642" s="388">
        <v>0.47928678336000002</v>
      </c>
      <c r="AG7642" s="388">
        <v>0.73152000000000006</v>
      </c>
      <c r="AH7642" s="391"/>
      <c r="AI7642" s="397"/>
      <c r="AJ7642" s="397"/>
      <c r="AU7642" s="397"/>
      <c r="AV7642" s="397"/>
      <c r="AW7642" s="397"/>
      <c r="AX7642" s="397"/>
      <c r="BI7642" s="397"/>
      <c r="BJ7642" s="397"/>
      <c r="BK7642" s="397"/>
      <c r="BL7642" s="397"/>
      <c r="BM7642" s="397"/>
      <c r="BN7642" s="397"/>
      <c r="BO7642" s="397"/>
      <c r="BP7642" s="397"/>
      <c r="BQ7642" s="397"/>
      <c r="BR7642" s="397"/>
      <c r="BS7642" s="397"/>
      <c r="BT7642" s="397"/>
      <c r="BU7642" s="397"/>
      <c r="BV7642" s="397"/>
      <c r="BW7642" s="397"/>
      <c r="BX7642" s="397"/>
      <c r="BY7642" s="397"/>
      <c r="BZ7642" s="397"/>
      <c r="CA7642" s="392" t="s">
        <v>413</v>
      </c>
    </row>
    <row r="7643" spans="1:80" s="392" customFormat="1" ht="15" x14ac:dyDescent="0.25">
      <c r="A7643" s="385"/>
      <c r="D7643" s="700"/>
      <c r="E7643" s="397"/>
      <c r="H7643" s="401">
        <v>3</v>
      </c>
      <c r="I7643" s="401"/>
      <c r="J7643" s="401"/>
      <c r="K7643" s="401"/>
      <c r="L7643" s="675"/>
      <c r="M7643" s="672">
        <v>30883</v>
      </c>
      <c r="N7643" s="623">
        <v>0.21677529045055258</v>
      </c>
      <c r="O7643" s="624">
        <v>6.8794847333333343E-4</v>
      </c>
      <c r="P7643" s="397"/>
      <c r="Q7643" s="397"/>
      <c r="R7643" s="397"/>
      <c r="S7643" s="397"/>
      <c r="T7643" s="397"/>
      <c r="U7643" s="397"/>
      <c r="V7643" s="397"/>
      <c r="W7643" s="397"/>
      <c r="X7643" s="397"/>
      <c r="Y7643" s="397"/>
      <c r="Z7643" s="397"/>
      <c r="AD7643" s="388">
        <v>1.9812000000000001</v>
      </c>
      <c r="AE7643" s="388">
        <v>0.18897600000000001</v>
      </c>
      <c r="AF7643" s="388">
        <v>0.37439925120000001</v>
      </c>
      <c r="AG7643" s="388">
        <v>0.60350400000000004</v>
      </c>
      <c r="AH7643" s="391"/>
      <c r="AI7643" s="397"/>
      <c r="AJ7643" s="397"/>
      <c r="AU7643" s="397"/>
      <c r="AV7643" s="397"/>
      <c r="AW7643" s="397"/>
      <c r="AX7643" s="397"/>
      <c r="BI7643" s="397"/>
      <c r="BJ7643" s="397"/>
      <c r="BK7643" s="397"/>
      <c r="BL7643" s="397"/>
      <c r="BM7643" s="397"/>
      <c r="BN7643" s="397"/>
      <c r="BO7643" s="397"/>
      <c r="BP7643" s="397"/>
      <c r="BQ7643" s="397"/>
      <c r="BR7643" s="397"/>
      <c r="BS7643" s="397"/>
      <c r="BT7643" s="397"/>
      <c r="BU7643" s="397"/>
      <c r="BV7643" s="397"/>
      <c r="BW7643" s="397"/>
      <c r="BX7643" s="397"/>
      <c r="BY7643" s="397"/>
      <c r="BZ7643" s="397"/>
      <c r="CA7643" s="392" t="s">
        <v>413</v>
      </c>
    </row>
    <row r="7644" spans="1:80" s="392" customFormat="1" ht="15" x14ac:dyDescent="0.25">
      <c r="A7644" s="385"/>
      <c r="D7644" s="700"/>
      <c r="E7644" s="397"/>
      <c r="H7644" s="401">
        <v>3</v>
      </c>
      <c r="I7644" s="401"/>
      <c r="J7644" s="401"/>
      <c r="K7644" s="401"/>
      <c r="L7644" s="675"/>
      <c r="M7644" s="672">
        <v>30894</v>
      </c>
      <c r="N7644" s="623">
        <v>0.1952394446018702</v>
      </c>
      <c r="O7644" s="624">
        <v>4.8383189333333325E-4</v>
      </c>
      <c r="P7644" s="397"/>
      <c r="Q7644" s="397"/>
      <c r="R7644" s="397"/>
      <c r="S7644" s="397"/>
      <c r="T7644" s="397"/>
      <c r="U7644" s="397"/>
      <c r="V7644" s="397"/>
      <c r="W7644" s="397"/>
      <c r="X7644" s="397"/>
      <c r="Y7644" s="397"/>
      <c r="Z7644" s="397"/>
      <c r="AD7644" s="388">
        <v>1.9507200000000002</v>
      </c>
      <c r="AE7644" s="388">
        <v>0.16459200000000002</v>
      </c>
      <c r="AF7644" s="388">
        <v>0.32107290624000007</v>
      </c>
      <c r="AG7644" s="388">
        <v>0.65227200000000007</v>
      </c>
      <c r="AH7644" s="391"/>
      <c r="AI7644" s="397"/>
      <c r="AJ7644" s="397"/>
      <c r="AU7644" s="397"/>
      <c r="AV7644" s="397"/>
      <c r="AW7644" s="397"/>
      <c r="AX7644" s="397"/>
      <c r="BI7644" s="397"/>
      <c r="BJ7644" s="397"/>
      <c r="BK7644" s="397"/>
      <c r="BL7644" s="397"/>
      <c r="BM7644" s="397"/>
      <c r="BN7644" s="397"/>
      <c r="BO7644" s="397"/>
      <c r="BP7644" s="397"/>
      <c r="BQ7644" s="397"/>
      <c r="BR7644" s="397"/>
      <c r="BS7644" s="397"/>
      <c r="BT7644" s="397"/>
      <c r="BU7644" s="397"/>
      <c r="BV7644" s="397"/>
      <c r="BW7644" s="397"/>
      <c r="BX7644" s="397"/>
      <c r="BY7644" s="397"/>
      <c r="BZ7644" s="397"/>
      <c r="CA7644" s="392" t="s">
        <v>413</v>
      </c>
    </row>
    <row r="7645" spans="1:80" s="392" customFormat="1" ht="15" x14ac:dyDescent="0.25">
      <c r="A7645" s="385"/>
      <c r="D7645" s="700"/>
      <c r="E7645" s="397"/>
      <c r="H7645" s="401">
        <v>3</v>
      </c>
      <c r="I7645" s="401"/>
      <c r="J7645" s="401"/>
      <c r="K7645" s="401"/>
      <c r="L7645" s="675"/>
      <c r="M7645" s="672">
        <v>30902</v>
      </c>
      <c r="N7645" s="623">
        <v>0.14565032587135165</v>
      </c>
      <c r="O7645" s="624">
        <v>3.6771223893333337E-4</v>
      </c>
      <c r="P7645" s="397"/>
      <c r="Q7645" s="397"/>
      <c r="R7645" s="397"/>
      <c r="S7645" s="397"/>
      <c r="T7645" s="397"/>
      <c r="U7645" s="397"/>
      <c r="V7645" s="397"/>
      <c r="W7645" s="397"/>
      <c r="X7645" s="397"/>
      <c r="Y7645" s="397"/>
      <c r="Z7645" s="397"/>
      <c r="AD7645" s="388">
        <v>1.9507200000000002</v>
      </c>
      <c r="AE7645" s="388">
        <v>0.13411200000000001</v>
      </c>
      <c r="AF7645" s="388">
        <v>0.26161496064000006</v>
      </c>
      <c r="AG7645" s="388">
        <v>0.61874399999999996</v>
      </c>
      <c r="AH7645" s="391"/>
      <c r="AI7645" s="397"/>
      <c r="AJ7645" s="397"/>
      <c r="AU7645" s="397"/>
      <c r="AV7645" s="397"/>
      <c r="AW7645" s="397"/>
      <c r="AX7645" s="397"/>
      <c r="BI7645" s="397"/>
      <c r="BJ7645" s="397"/>
      <c r="BK7645" s="397"/>
      <c r="BL7645" s="397"/>
      <c r="BM7645" s="397"/>
      <c r="BN7645" s="397"/>
      <c r="BO7645" s="397"/>
      <c r="BP7645" s="397"/>
      <c r="BQ7645" s="397"/>
      <c r="BR7645" s="397"/>
      <c r="BS7645" s="397"/>
      <c r="BT7645" s="397"/>
      <c r="BU7645" s="397"/>
      <c r="BV7645" s="397"/>
      <c r="BW7645" s="397"/>
      <c r="BX7645" s="397"/>
      <c r="BY7645" s="397"/>
      <c r="BZ7645" s="397"/>
      <c r="CA7645" s="392" t="s">
        <v>413</v>
      </c>
    </row>
    <row r="7646" spans="1:80" s="392" customFormat="1" ht="15" x14ac:dyDescent="0.25">
      <c r="A7646" s="385"/>
      <c r="D7646" s="700"/>
      <c r="E7646" s="397"/>
      <c r="H7646" s="401">
        <v>3</v>
      </c>
      <c r="I7646" s="401"/>
      <c r="J7646" s="401"/>
      <c r="K7646" s="401"/>
      <c r="L7646" s="675"/>
      <c r="M7646" s="672">
        <v>30910</v>
      </c>
      <c r="N7646" s="623">
        <v>8.3026353074525369E-2</v>
      </c>
      <c r="O7646" s="624">
        <v>6.5619700533333335E-4</v>
      </c>
      <c r="P7646" s="397"/>
      <c r="Q7646" s="397"/>
      <c r="R7646" s="397"/>
      <c r="S7646" s="397"/>
      <c r="T7646" s="397"/>
      <c r="U7646" s="397"/>
      <c r="V7646" s="397"/>
      <c r="W7646" s="397"/>
      <c r="X7646" s="397"/>
      <c r="Y7646" s="397"/>
      <c r="Z7646" s="397"/>
      <c r="AD7646" s="388">
        <v>1.8897600000000001</v>
      </c>
      <c r="AE7646" s="388">
        <v>0.12192000000000001</v>
      </c>
      <c r="AF7646" s="388">
        <v>0.23039953920000003</v>
      </c>
      <c r="AG7646" s="388">
        <v>0.37490400000000002</v>
      </c>
      <c r="AH7646" s="391"/>
      <c r="AI7646" s="397"/>
      <c r="AJ7646" s="397"/>
      <c r="AU7646" s="397"/>
      <c r="AV7646" s="397"/>
      <c r="AW7646" s="397"/>
      <c r="AX7646" s="397"/>
      <c r="BI7646" s="397"/>
      <c r="BJ7646" s="397"/>
      <c r="BK7646" s="397"/>
      <c r="BL7646" s="397"/>
      <c r="BM7646" s="397"/>
      <c r="BN7646" s="397"/>
      <c r="BO7646" s="397"/>
      <c r="BP7646" s="397"/>
      <c r="BQ7646" s="397"/>
      <c r="BR7646" s="397"/>
      <c r="BS7646" s="397"/>
      <c r="BT7646" s="397"/>
      <c r="BU7646" s="397"/>
      <c r="BV7646" s="397"/>
      <c r="BW7646" s="397"/>
      <c r="BX7646" s="397"/>
      <c r="BY7646" s="397"/>
      <c r="BZ7646" s="397"/>
      <c r="CA7646" s="392" t="s">
        <v>413</v>
      </c>
    </row>
    <row r="7647" spans="1:80" s="392" customFormat="1" ht="15" x14ac:dyDescent="0.25">
      <c r="A7647" s="385"/>
      <c r="D7647" s="700"/>
      <c r="E7647" s="397"/>
      <c r="H7647" s="401">
        <v>3</v>
      </c>
      <c r="I7647" s="401"/>
      <c r="J7647" s="401"/>
      <c r="K7647" s="401"/>
      <c r="L7647" s="675"/>
      <c r="M7647" s="672">
        <v>30923</v>
      </c>
      <c r="N7647" s="623">
        <v>0.11674695381127799</v>
      </c>
      <c r="O7647" s="624">
        <v>3.8101761600000002E-4</v>
      </c>
      <c r="P7647" s="397"/>
      <c r="Q7647" s="397"/>
      <c r="R7647" s="397"/>
      <c r="S7647" s="397"/>
      <c r="T7647" s="397"/>
      <c r="U7647" s="397"/>
      <c r="V7647" s="397"/>
      <c r="W7647" s="397"/>
      <c r="X7647" s="397"/>
      <c r="Y7647" s="397"/>
      <c r="Z7647" s="397"/>
      <c r="AD7647" s="388">
        <v>1.9202399999999999</v>
      </c>
      <c r="AE7647" s="388">
        <v>0.15240000000000001</v>
      </c>
      <c r="AF7647" s="388">
        <v>0.29264457599999999</v>
      </c>
      <c r="AG7647" s="388">
        <v>0.43281599999999998</v>
      </c>
      <c r="AH7647" s="391"/>
      <c r="AI7647" s="397"/>
      <c r="AJ7647" s="397"/>
      <c r="AU7647" s="397"/>
      <c r="AV7647" s="397"/>
      <c r="AW7647" s="397"/>
      <c r="AX7647" s="397"/>
      <c r="BI7647" s="397"/>
      <c r="BJ7647" s="397"/>
      <c r="BK7647" s="397"/>
      <c r="BL7647" s="397"/>
      <c r="BM7647" s="397"/>
      <c r="BN7647" s="397"/>
      <c r="BO7647" s="397"/>
      <c r="BP7647" s="397"/>
      <c r="BQ7647" s="397"/>
      <c r="BR7647" s="397"/>
      <c r="BS7647" s="397"/>
      <c r="BT7647" s="397"/>
      <c r="BU7647" s="397"/>
      <c r="BV7647" s="397"/>
      <c r="BW7647" s="397"/>
      <c r="BX7647" s="397"/>
      <c r="BY7647" s="397"/>
      <c r="BZ7647" s="397"/>
      <c r="CA7647" s="392" t="s">
        <v>413</v>
      </c>
    </row>
    <row r="7648" spans="1:80" s="392" customFormat="1" ht="15" x14ac:dyDescent="0.25">
      <c r="A7648" s="385"/>
      <c r="D7648" s="700"/>
      <c r="E7648" s="397"/>
      <c r="H7648" s="401">
        <v>3</v>
      </c>
      <c r="I7648" s="401"/>
      <c r="J7648" s="401"/>
      <c r="K7648" s="401"/>
      <c r="L7648" s="675"/>
      <c r="M7648" s="672">
        <v>30942</v>
      </c>
      <c r="N7648" s="623">
        <v>1.501841881552848E-2</v>
      </c>
      <c r="O7648" s="624" t="s">
        <v>71</v>
      </c>
      <c r="P7648" s="397"/>
      <c r="Q7648" s="397"/>
      <c r="R7648" s="397"/>
      <c r="S7648" s="397"/>
      <c r="T7648" s="397"/>
      <c r="U7648" s="397"/>
      <c r="V7648" s="397"/>
      <c r="W7648" s="397"/>
      <c r="X7648" s="397"/>
      <c r="Y7648" s="397"/>
      <c r="Z7648" s="397"/>
      <c r="AD7648" s="388">
        <v>1.9507200000000002</v>
      </c>
      <c r="AE7648" s="388">
        <v>6.7056000000000004E-2</v>
      </c>
      <c r="AF7648" s="388">
        <v>0.13080748032000003</v>
      </c>
      <c r="AG7648" s="388">
        <v>0.12801599999999999</v>
      </c>
      <c r="AH7648" s="391"/>
      <c r="AI7648" s="397"/>
      <c r="AJ7648" s="397"/>
      <c r="AU7648" s="397"/>
      <c r="AV7648" s="397"/>
      <c r="AW7648" s="397"/>
      <c r="AX7648" s="397"/>
      <c r="BI7648" s="397"/>
      <c r="BJ7648" s="397"/>
      <c r="BK7648" s="397"/>
      <c r="BL7648" s="397"/>
      <c r="BM7648" s="397"/>
      <c r="BN7648" s="397"/>
      <c r="BO7648" s="397"/>
      <c r="BP7648" s="397"/>
      <c r="BQ7648" s="397"/>
      <c r="BR7648" s="397"/>
      <c r="BS7648" s="397"/>
      <c r="BT7648" s="397"/>
      <c r="BU7648" s="397"/>
      <c r="BV7648" s="397"/>
      <c r="BW7648" s="397"/>
      <c r="BX7648" s="397"/>
      <c r="BY7648" s="397"/>
      <c r="BZ7648" s="397"/>
      <c r="CA7648" s="392" t="s">
        <v>413</v>
      </c>
    </row>
    <row r="7649" spans="1:80" s="392" customFormat="1" ht="15" x14ac:dyDescent="0.25">
      <c r="A7649" s="385"/>
      <c r="D7649" s="700"/>
      <c r="E7649" s="397"/>
      <c r="H7649" s="401">
        <v>3</v>
      </c>
      <c r="I7649" s="401"/>
      <c r="J7649" s="401"/>
      <c r="K7649" s="401"/>
      <c r="L7649" s="675"/>
      <c r="M7649" s="672">
        <v>31175</v>
      </c>
      <c r="N7649" s="623">
        <v>3.9387928591669029E-2</v>
      </c>
      <c r="O7649" s="624">
        <v>3.9666666666666664E-5</v>
      </c>
      <c r="P7649" s="397"/>
      <c r="Q7649" s="397"/>
      <c r="R7649" s="397"/>
      <c r="S7649" s="397"/>
      <c r="T7649" s="397"/>
      <c r="U7649" s="397"/>
      <c r="V7649" s="397"/>
      <c r="W7649" s="397"/>
      <c r="X7649" s="397"/>
      <c r="Y7649" s="397"/>
      <c r="Z7649" s="397"/>
      <c r="AD7649" s="388">
        <v>2.1335999999999999</v>
      </c>
      <c r="AE7649" s="388"/>
      <c r="AF7649" s="388"/>
      <c r="AG7649" s="388"/>
      <c r="AH7649" s="391"/>
      <c r="AI7649" s="397"/>
      <c r="AJ7649" s="397"/>
      <c r="AU7649" s="397"/>
      <c r="AV7649" s="397"/>
      <c r="AW7649" s="397"/>
      <c r="AX7649" s="397"/>
      <c r="BI7649" s="397"/>
      <c r="BJ7649" s="397"/>
      <c r="BK7649" s="397"/>
      <c r="BL7649" s="397"/>
      <c r="BM7649" s="397"/>
      <c r="BN7649" s="397"/>
      <c r="BO7649" s="397"/>
      <c r="BP7649" s="397"/>
      <c r="BQ7649" s="397"/>
      <c r="BR7649" s="397"/>
      <c r="BS7649" s="397"/>
      <c r="BT7649" s="397"/>
      <c r="BU7649" s="397"/>
      <c r="BV7649" s="397"/>
      <c r="BW7649" s="397"/>
      <c r="BX7649" s="397"/>
      <c r="BY7649" s="397"/>
      <c r="BZ7649" s="397"/>
      <c r="CA7649" s="392" t="s">
        <v>413</v>
      </c>
    </row>
    <row r="7650" spans="1:80" s="392" customFormat="1" ht="15" x14ac:dyDescent="0.25">
      <c r="A7650" s="385"/>
      <c r="D7650" s="700"/>
      <c r="E7650" s="397"/>
      <c r="H7650" s="401">
        <v>3</v>
      </c>
      <c r="I7650" s="401"/>
      <c r="J7650" s="401"/>
      <c r="K7650" s="401"/>
      <c r="L7650" s="675"/>
      <c r="M7650" s="672">
        <v>31203</v>
      </c>
      <c r="N7650" s="623">
        <v>0.20204023802776991</v>
      </c>
      <c r="O7650" s="624">
        <v>3.5236000000000008E-4</v>
      </c>
      <c r="P7650" s="397"/>
      <c r="Q7650" s="397"/>
      <c r="R7650" s="397"/>
      <c r="S7650" s="397"/>
      <c r="T7650" s="397"/>
      <c r="U7650" s="397"/>
      <c r="V7650" s="397"/>
      <c r="W7650" s="397"/>
      <c r="X7650" s="397"/>
      <c r="Y7650" s="397"/>
      <c r="Z7650" s="397"/>
      <c r="AD7650" s="388">
        <v>2.1031200000000001</v>
      </c>
      <c r="AE7650" s="388"/>
      <c r="AF7650" s="388"/>
      <c r="AG7650" s="388"/>
      <c r="AH7650" s="391"/>
      <c r="AI7650" s="397"/>
      <c r="AJ7650" s="397"/>
      <c r="AU7650" s="397"/>
      <c r="AV7650" s="397"/>
      <c r="AW7650" s="397"/>
      <c r="AX7650" s="397"/>
      <c r="BI7650" s="397"/>
      <c r="BJ7650" s="397"/>
      <c r="BK7650" s="397"/>
      <c r="BL7650" s="397"/>
      <c r="BM7650" s="397"/>
      <c r="BN7650" s="397"/>
      <c r="BO7650" s="397"/>
      <c r="BP7650" s="397"/>
      <c r="BQ7650" s="397"/>
      <c r="BR7650" s="397"/>
      <c r="BS7650" s="397"/>
      <c r="BT7650" s="397"/>
      <c r="BU7650" s="397"/>
      <c r="BV7650" s="397"/>
      <c r="BW7650" s="397"/>
      <c r="BX7650" s="397"/>
      <c r="BY7650" s="397"/>
      <c r="BZ7650" s="397"/>
      <c r="CA7650" s="392" t="s">
        <v>413</v>
      </c>
    </row>
    <row r="7651" spans="1:80" s="392" customFormat="1" ht="15" x14ac:dyDescent="0.25">
      <c r="A7651" s="385"/>
      <c r="D7651" s="700"/>
      <c r="E7651" s="397"/>
      <c r="H7651" s="401">
        <v>3</v>
      </c>
      <c r="I7651" s="401"/>
      <c r="J7651" s="401"/>
      <c r="K7651" s="401"/>
      <c r="L7651" s="675"/>
      <c r="M7651" s="672">
        <v>31211</v>
      </c>
      <c r="N7651" s="623">
        <v>0.37801076792292437</v>
      </c>
      <c r="O7651" s="624">
        <v>3.4438799999999999E-3</v>
      </c>
      <c r="P7651" s="397"/>
      <c r="Q7651" s="397"/>
      <c r="R7651" s="397"/>
      <c r="S7651" s="397"/>
      <c r="T7651" s="397"/>
      <c r="U7651" s="397"/>
      <c r="V7651" s="397"/>
      <c r="W7651" s="397"/>
      <c r="X7651" s="397"/>
      <c r="Y7651" s="397"/>
      <c r="Z7651" s="397"/>
      <c r="AD7651" s="388">
        <v>2.0116800000000001</v>
      </c>
      <c r="AE7651" s="388"/>
      <c r="AF7651" s="388"/>
      <c r="AG7651" s="388"/>
      <c r="AH7651" s="391"/>
      <c r="AI7651" s="397"/>
      <c r="AJ7651" s="397"/>
      <c r="AU7651" s="397"/>
      <c r="AV7651" s="397"/>
      <c r="AW7651" s="397"/>
      <c r="AX7651" s="397"/>
      <c r="BI7651" s="397"/>
      <c r="BJ7651" s="397"/>
      <c r="BK7651" s="397"/>
      <c r="BL7651" s="397"/>
      <c r="BM7651" s="397"/>
      <c r="BN7651" s="397"/>
      <c r="BO7651" s="397"/>
      <c r="BP7651" s="397"/>
      <c r="BQ7651" s="397"/>
      <c r="BR7651" s="397"/>
      <c r="BS7651" s="397"/>
      <c r="BT7651" s="397"/>
      <c r="BU7651" s="397"/>
      <c r="BV7651" s="397"/>
      <c r="BW7651" s="397"/>
      <c r="BX7651" s="397"/>
      <c r="BY7651" s="397"/>
      <c r="BZ7651" s="397"/>
      <c r="CA7651" s="392" t="s">
        <v>413</v>
      </c>
    </row>
    <row r="7652" spans="1:80" s="392" customFormat="1" ht="15" x14ac:dyDescent="0.25">
      <c r="A7652" s="385"/>
      <c r="D7652" s="700"/>
      <c r="E7652" s="397"/>
      <c r="H7652" s="401">
        <v>3</v>
      </c>
      <c r="I7652" s="401"/>
      <c r="J7652" s="401"/>
      <c r="K7652" s="401"/>
      <c r="L7652" s="675"/>
      <c r="M7652" s="672">
        <v>31217</v>
      </c>
      <c r="N7652" s="623">
        <v>0.29362425616321908</v>
      </c>
      <c r="O7652" s="624">
        <v>6.4237333333333339E-4</v>
      </c>
      <c r="P7652" s="397"/>
      <c r="Q7652" s="397"/>
      <c r="R7652" s="397"/>
      <c r="S7652" s="397"/>
      <c r="T7652" s="397"/>
      <c r="U7652" s="397"/>
      <c r="V7652" s="397"/>
      <c r="W7652" s="397"/>
      <c r="X7652" s="397"/>
      <c r="Y7652" s="397"/>
      <c r="Z7652" s="397"/>
      <c r="AD7652" s="388">
        <v>2.0726400000000003</v>
      </c>
      <c r="AE7652" s="388"/>
      <c r="AF7652" s="388"/>
      <c r="AG7652" s="388"/>
      <c r="AH7652" s="391"/>
      <c r="AI7652" s="397"/>
      <c r="AJ7652" s="397"/>
      <c r="AU7652" s="397"/>
      <c r="AV7652" s="397"/>
      <c r="AW7652" s="397"/>
      <c r="AX7652" s="397"/>
      <c r="BI7652" s="397"/>
      <c r="BJ7652" s="397"/>
      <c r="BK7652" s="397"/>
      <c r="BL7652" s="397"/>
      <c r="BM7652" s="397"/>
      <c r="BN7652" s="397"/>
      <c r="BO7652" s="397"/>
      <c r="BP7652" s="397"/>
      <c r="BQ7652" s="397"/>
      <c r="BR7652" s="397"/>
      <c r="BS7652" s="397"/>
      <c r="BT7652" s="397"/>
      <c r="BU7652" s="397"/>
      <c r="BV7652" s="397"/>
      <c r="BW7652" s="397"/>
      <c r="BX7652" s="397"/>
      <c r="BY7652" s="397"/>
      <c r="BZ7652" s="397"/>
      <c r="CA7652" s="392" t="s">
        <v>413</v>
      </c>
    </row>
    <row r="7653" spans="1:80" s="392" customFormat="1" ht="15" x14ac:dyDescent="0.25">
      <c r="A7653" s="385"/>
      <c r="D7653" s="700"/>
      <c r="E7653" s="397"/>
      <c r="H7653" s="401">
        <v>3</v>
      </c>
      <c r="I7653" s="401"/>
      <c r="J7653" s="401"/>
      <c r="K7653" s="401"/>
      <c r="L7653" s="675"/>
      <c r="M7653" s="672">
        <v>31226</v>
      </c>
      <c r="N7653" s="623">
        <v>0.17738736185888354</v>
      </c>
      <c r="O7653" s="624">
        <v>5.0379999999999999E-4</v>
      </c>
      <c r="P7653" s="397"/>
      <c r="Q7653" s="397"/>
      <c r="R7653" s="397"/>
      <c r="S7653" s="397"/>
      <c r="T7653" s="397"/>
      <c r="U7653" s="397"/>
      <c r="V7653" s="397"/>
      <c r="W7653" s="397"/>
      <c r="X7653" s="397"/>
      <c r="Y7653" s="397"/>
      <c r="Z7653" s="397"/>
      <c r="AD7653" s="388">
        <v>2.0116800000000001</v>
      </c>
      <c r="AE7653" s="388"/>
      <c r="AF7653" s="388"/>
      <c r="AG7653" s="388"/>
      <c r="AH7653" s="391"/>
      <c r="AI7653" s="397"/>
      <c r="AJ7653" s="397"/>
      <c r="AU7653" s="397"/>
      <c r="AV7653" s="397"/>
      <c r="AW7653" s="397"/>
      <c r="AX7653" s="397"/>
      <c r="BI7653" s="397"/>
      <c r="BJ7653" s="397"/>
      <c r="BK7653" s="397"/>
      <c r="BL7653" s="397"/>
      <c r="BM7653" s="397"/>
      <c r="BN7653" s="397"/>
      <c r="BO7653" s="397"/>
      <c r="BP7653" s="397"/>
      <c r="BQ7653" s="397"/>
      <c r="BR7653" s="397"/>
      <c r="BS7653" s="397"/>
      <c r="BT7653" s="397"/>
      <c r="BU7653" s="397"/>
      <c r="BV7653" s="397"/>
      <c r="BW7653" s="397"/>
      <c r="BX7653" s="397"/>
      <c r="BY7653" s="397"/>
      <c r="BZ7653" s="397"/>
      <c r="CA7653" s="392" t="s">
        <v>413</v>
      </c>
    </row>
    <row r="7654" spans="1:80" s="392" customFormat="1" ht="15" x14ac:dyDescent="0.25">
      <c r="A7654" s="385"/>
      <c r="D7654" s="700"/>
      <c r="E7654" s="397"/>
      <c r="H7654" s="401">
        <v>3</v>
      </c>
      <c r="I7654" s="401"/>
      <c r="J7654" s="401"/>
      <c r="K7654" s="401"/>
      <c r="L7654" s="675"/>
      <c r="M7654" s="672">
        <v>31231</v>
      </c>
      <c r="N7654" s="623">
        <v>0.12731652026069709</v>
      </c>
      <c r="O7654" s="624">
        <v>4.5012000000000003E-4</v>
      </c>
      <c r="P7654" s="397"/>
      <c r="Q7654" s="397"/>
      <c r="R7654" s="397"/>
      <c r="S7654" s="397"/>
      <c r="T7654" s="397"/>
      <c r="U7654" s="397"/>
      <c r="V7654" s="397"/>
      <c r="W7654" s="397"/>
      <c r="X7654" s="397"/>
      <c r="Y7654" s="397"/>
      <c r="Z7654" s="397"/>
      <c r="AD7654" s="388">
        <v>2.0116800000000001</v>
      </c>
      <c r="AE7654" s="388"/>
      <c r="AF7654" s="388"/>
      <c r="AG7654" s="388"/>
      <c r="AH7654" s="391"/>
      <c r="AI7654" s="397"/>
      <c r="AJ7654" s="397"/>
      <c r="AU7654" s="397"/>
      <c r="AV7654" s="397"/>
      <c r="AW7654" s="397"/>
      <c r="AX7654" s="397"/>
      <c r="BI7654" s="397"/>
      <c r="BJ7654" s="397"/>
      <c r="BK7654" s="397"/>
      <c r="BL7654" s="397"/>
      <c r="BM7654" s="397"/>
      <c r="BN7654" s="397"/>
      <c r="BO7654" s="397"/>
      <c r="BP7654" s="397"/>
      <c r="BQ7654" s="397"/>
      <c r="BR7654" s="397"/>
      <c r="BS7654" s="397"/>
      <c r="BT7654" s="397"/>
      <c r="BU7654" s="397"/>
      <c r="BV7654" s="397"/>
      <c r="BW7654" s="397"/>
      <c r="BX7654" s="397"/>
      <c r="BY7654" s="397"/>
      <c r="BZ7654" s="397"/>
      <c r="CA7654" s="392" t="s">
        <v>413</v>
      </c>
    </row>
    <row r="7655" spans="1:80" s="392" customFormat="1" ht="15" x14ac:dyDescent="0.25">
      <c r="A7655" s="385"/>
      <c r="D7655" s="700"/>
      <c r="E7655" s="397"/>
      <c r="H7655" s="401">
        <v>3</v>
      </c>
      <c r="I7655" s="401"/>
      <c r="J7655" s="401"/>
      <c r="K7655" s="401"/>
      <c r="L7655" s="675"/>
      <c r="M7655" s="672">
        <v>31238</v>
      </c>
      <c r="N7655" s="623">
        <v>0.13743270048172287</v>
      </c>
      <c r="O7655" s="624">
        <v>4.2206666666666666E-4</v>
      </c>
      <c r="P7655" s="397"/>
      <c r="Q7655" s="397"/>
      <c r="R7655" s="397"/>
      <c r="S7655" s="397"/>
      <c r="T7655" s="397"/>
      <c r="U7655" s="397"/>
      <c r="V7655" s="397"/>
      <c r="W7655" s="397"/>
      <c r="X7655" s="397"/>
      <c r="Y7655" s="397"/>
      <c r="Z7655" s="397"/>
      <c r="AD7655" s="388">
        <v>1.9812000000000001</v>
      </c>
      <c r="AE7655" s="388"/>
      <c r="AF7655" s="388"/>
      <c r="AG7655" s="388"/>
      <c r="AH7655" s="391"/>
      <c r="AI7655" s="397"/>
      <c r="AJ7655" s="397"/>
      <c r="AU7655" s="397"/>
      <c r="AV7655" s="397"/>
      <c r="AW7655" s="397"/>
      <c r="AX7655" s="397"/>
      <c r="BI7655" s="397"/>
      <c r="BJ7655" s="397"/>
      <c r="BK7655" s="397"/>
      <c r="BL7655" s="397"/>
      <c r="BM7655" s="397"/>
      <c r="BN7655" s="397"/>
      <c r="BO7655" s="397"/>
      <c r="BP7655" s="397"/>
      <c r="BQ7655" s="397"/>
      <c r="BR7655" s="397"/>
      <c r="BS7655" s="397"/>
      <c r="BT7655" s="397"/>
      <c r="BU7655" s="397"/>
      <c r="BV7655" s="397"/>
      <c r="BW7655" s="397"/>
      <c r="BX7655" s="397"/>
      <c r="BY7655" s="397"/>
      <c r="BZ7655" s="397"/>
      <c r="CA7655" s="392" t="s">
        <v>413</v>
      </c>
    </row>
    <row r="7656" spans="1:80" s="392" customFormat="1" ht="15" x14ac:dyDescent="0.25">
      <c r="A7656" s="385"/>
      <c r="D7656" s="700"/>
      <c r="E7656" s="397"/>
      <c r="H7656" s="401">
        <v>3</v>
      </c>
      <c r="I7656" s="401"/>
      <c r="J7656" s="401"/>
      <c r="K7656" s="401"/>
      <c r="L7656" s="675"/>
      <c r="M7656" s="672">
        <v>31246</v>
      </c>
      <c r="N7656" s="623">
        <v>0.1306319070558232</v>
      </c>
      <c r="O7656" s="624">
        <v>2.3056000000000002E-4</v>
      </c>
      <c r="P7656" s="397"/>
      <c r="Q7656" s="397"/>
      <c r="R7656" s="397"/>
      <c r="S7656" s="397"/>
      <c r="T7656" s="397"/>
      <c r="U7656" s="397"/>
      <c r="V7656" s="397"/>
      <c r="W7656" s="397"/>
      <c r="X7656" s="397"/>
      <c r="Y7656" s="397"/>
      <c r="Z7656" s="397"/>
      <c r="AD7656" s="388">
        <v>2.0116800000000001</v>
      </c>
      <c r="AE7656" s="388"/>
      <c r="AF7656" s="388"/>
      <c r="AG7656" s="388"/>
      <c r="AH7656" s="391"/>
      <c r="AI7656" s="397"/>
      <c r="AJ7656" s="397"/>
      <c r="AU7656" s="397"/>
      <c r="AV7656" s="397"/>
      <c r="AW7656" s="397"/>
      <c r="AX7656" s="397"/>
      <c r="BI7656" s="397"/>
      <c r="BJ7656" s="397"/>
      <c r="BK7656" s="397"/>
      <c r="BL7656" s="397"/>
      <c r="BM7656" s="397"/>
      <c r="BN7656" s="397"/>
      <c r="BO7656" s="397"/>
      <c r="BP7656" s="397"/>
      <c r="BQ7656" s="397"/>
      <c r="BR7656" s="397"/>
      <c r="BS7656" s="397"/>
      <c r="BT7656" s="397"/>
      <c r="BU7656" s="397"/>
      <c r="BV7656" s="397"/>
      <c r="BW7656" s="397"/>
      <c r="BX7656" s="397"/>
      <c r="BY7656" s="397"/>
      <c r="BZ7656" s="397"/>
      <c r="CA7656" s="392" t="s">
        <v>413</v>
      </c>
    </row>
    <row r="7657" spans="1:80" s="392" customFormat="1" ht="15" x14ac:dyDescent="0.25">
      <c r="A7657" s="385"/>
      <c r="D7657" s="700"/>
      <c r="E7657" s="397"/>
      <c r="H7657" s="401">
        <v>3</v>
      </c>
      <c r="I7657" s="401"/>
      <c r="J7657" s="401"/>
      <c r="K7657" s="401"/>
      <c r="L7657" s="675"/>
      <c r="M7657" s="672">
        <v>31252</v>
      </c>
      <c r="N7657" s="623">
        <v>0.11226976480589403</v>
      </c>
      <c r="O7657" s="624">
        <v>2.6223999999999996E-4</v>
      </c>
      <c r="P7657" s="397"/>
      <c r="Q7657" s="397"/>
      <c r="R7657" s="397"/>
      <c r="S7657" s="397"/>
      <c r="T7657" s="397"/>
      <c r="U7657" s="397"/>
      <c r="V7657" s="397"/>
      <c r="W7657" s="397"/>
      <c r="X7657" s="397"/>
      <c r="Y7657" s="397"/>
      <c r="Z7657" s="397"/>
      <c r="AD7657" s="388">
        <v>2.0116800000000001</v>
      </c>
      <c r="AE7657" s="388"/>
      <c r="AF7657" s="388"/>
      <c r="AG7657" s="388"/>
      <c r="AH7657" s="391"/>
      <c r="AI7657" s="397"/>
      <c r="AJ7657" s="397"/>
      <c r="AU7657" s="397"/>
      <c r="AV7657" s="397"/>
      <c r="AW7657" s="397"/>
      <c r="AX7657" s="397"/>
      <c r="BI7657" s="397"/>
      <c r="BJ7657" s="397"/>
      <c r="BK7657" s="397"/>
      <c r="BL7657" s="397"/>
      <c r="BM7657" s="397"/>
      <c r="BN7657" s="397"/>
      <c r="BO7657" s="397"/>
      <c r="BP7657" s="397"/>
      <c r="BQ7657" s="397"/>
      <c r="BR7657" s="397"/>
      <c r="BS7657" s="397"/>
      <c r="BT7657" s="397"/>
      <c r="BU7657" s="397"/>
      <c r="BV7657" s="397"/>
      <c r="BW7657" s="397"/>
      <c r="BX7657" s="397"/>
      <c r="BY7657" s="397"/>
      <c r="BZ7657" s="397"/>
      <c r="CA7657" s="392" t="s">
        <v>413</v>
      </c>
    </row>
    <row r="7658" spans="1:80" s="392" customFormat="1" ht="15" x14ac:dyDescent="0.25">
      <c r="A7658" s="385"/>
      <c r="D7658" s="700"/>
      <c r="E7658" s="397"/>
      <c r="H7658" s="401">
        <v>3</v>
      </c>
      <c r="I7658" s="401"/>
      <c r="J7658" s="401"/>
      <c r="K7658" s="401"/>
      <c r="L7658" s="675"/>
      <c r="M7658" s="672">
        <v>31260</v>
      </c>
      <c r="N7658" s="623">
        <v>7.8832530461887221E-2</v>
      </c>
      <c r="O7658" s="624">
        <v>3.1605199999999993E-4</v>
      </c>
      <c r="P7658" s="397"/>
      <c r="Q7658" s="397"/>
      <c r="R7658" s="397"/>
      <c r="S7658" s="397"/>
      <c r="T7658" s="397"/>
      <c r="U7658" s="397"/>
      <c r="V7658" s="397"/>
      <c r="W7658" s="397"/>
      <c r="X7658" s="397"/>
      <c r="Y7658" s="397"/>
      <c r="Z7658" s="397"/>
      <c r="AD7658" s="388">
        <v>2.0116800000000001</v>
      </c>
      <c r="AE7658" s="388"/>
      <c r="AF7658" s="388"/>
      <c r="AG7658" s="388"/>
      <c r="AH7658" s="391"/>
      <c r="AI7658" s="397"/>
      <c r="AJ7658" s="397"/>
      <c r="AU7658" s="397"/>
      <c r="AV7658" s="397"/>
      <c r="AW7658" s="397"/>
      <c r="AX7658" s="397"/>
      <c r="BI7658" s="397"/>
      <c r="BJ7658" s="397"/>
      <c r="BK7658" s="397"/>
      <c r="BL7658" s="397"/>
      <c r="BM7658" s="397"/>
      <c r="BN7658" s="397"/>
      <c r="BO7658" s="397"/>
      <c r="BP7658" s="397"/>
      <c r="BQ7658" s="397"/>
      <c r="BR7658" s="397"/>
      <c r="BS7658" s="397"/>
      <c r="BT7658" s="397"/>
      <c r="BU7658" s="397"/>
      <c r="BV7658" s="397"/>
      <c r="BW7658" s="397"/>
      <c r="BX7658" s="397"/>
      <c r="BY7658" s="397"/>
      <c r="BZ7658" s="397"/>
      <c r="CA7658" s="392" t="s">
        <v>413</v>
      </c>
    </row>
    <row r="7659" spans="1:80" s="392" customFormat="1" ht="15" x14ac:dyDescent="0.25">
      <c r="A7659" s="385"/>
      <c r="D7659" s="700"/>
      <c r="E7659" s="397"/>
      <c r="H7659" s="401">
        <v>3</v>
      </c>
      <c r="I7659" s="401"/>
      <c r="J7659" s="401"/>
      <c r="K7659" s="401"/>
      <c r="L7659" s="675"/>
      <c r="M7659" s="672">
        <v>31266</v>
      </c>
      <c r="N7659" s="623">
        <v>6.2793992632473802E-2</v>
      </c>
      <c r="O7659" s="624">
        <v>1.6363600000000002E-4</v>
      </c>
      <c r="P7659" s="397"/>
      <c r="Q7659" s="397"/>
      <c r="R7659" s="397"/>
      <c r="S7659" s="397"/>
      <c r="T7659" s="397"/>
      <c r="U7659" s="397"/>
      <c r="V7659" s="397"/>
      <c r="W7659" s="397"/>
      <c r="X7659" s="397"/>
      <c r="Y7659" s="397"/>
      <c r="Z7659" s="397"/>
      <c r="AD7659" s="388">
        <v>2.0116800000000001</v>
      </c>
      <c r="AE7659" s="388"/>
      <c r="AF7659" s="388"/>
      <c r="AG7659" s="388"/>
      <c r="AH7659" s="391"/>
      <c r="AI7659" s="397"/>
      <c r="AJ7659" s="397"/>
      <c r="AU7659" s="397"/>
      <c r="AV7659" s="397"/>
      <c r="AW7659" s="397"/>
      <c r="AX7659" s="397"/>
      <c r="BI7659" s="397"/>
      <c r="BJ7659" s="397"/>
      <c r="BK7659" s="397"/>
      <c r="BL7659" s="397"/>
      <c r="BM7659" s="397"/>
      <c r="BN7659" s="397"/>
      <c r="BO7659" s="397"/>
      <c r="BP7659" s="397"/>
      <c r="BQ7659" s="397"/>
      <c r="BR7659" s="397"/>
      <c r="BS7659" s="397"/>
      <c r="BT7659" s="397"/>
      <c r="BU7659" s="397"/>
      <c r="BV7659" s="397"/>
      <c r="BW7659" s="397"/>
      <c r="BX7659" s="397"/>
      <c r="BY7659" s="397"/>
      <c r="BZ7659" s="397"/>
      <c r="CA7659" s="392" t="s">
        <v>413</v>
      </c>
    </row>
    <row r="7660" spans="1:80" s="392" customFormat="1" ht="15" x14ac:dyDescent="0.25">
      <c r="A7660" s="385"/>
      <c r="D7660" s="700"/>
      <c r="E7660" s="397"/>
      <c r="H7660" s="401">
        <v>3</v>
      </c>
      <c r="I7660" s="401"/>
      <c r="J7660" s="401"/>
      <c r="K7660" s="401"/>
      <c r="L7660" s="675"/>
      <c r="M7660" s="672">
        <v>31273</v>
      </c>
      <c r="N7660" s="623">
        <v>4.9815811844715216E-2</v>
      </c>
      <c r="O7660" s="624">
        <v>2.121666666666667E-5</v>
      </c>
      <c r="P7660" s="397"/>
      <c r="Q7660" s="397"/>
      <c r="R7660" s="397"/>
      <c r="S7660" s="397"/>
      <c r="T7660" s="397"/>
      <c r="U7660" s="397"/>
      <c r="V7660" s="397"/>
      <c r="W7660" s="397"/>
      <c r="X7660" s="397"/>
      <c r="Y7660" s="397"/>
      <c r="Z7660" s="397"/>
      <c r="AD7660" s="388">
        <v>2.04216</v>
      </c>
      <c r="AE7660" s="388"/>
      <c r="AF7660" s="388"/>
      <c r="AG7660" s="388"/>
      <c r="AH7660" s="391"/>
      <c r="AI7660" s="397"/>
      <c r="AJ7660" s="397"/>
      <c r="AU7660" s="397"/>
      <c r="AV7660" s="397"/>
      <c r="AW7660" s="397"/>
      <c r="AX7660" s="397"/>
      <c r="BI7660" s="397"/>
      <c r="BJ7660" s="397"/>
      <c r="BK7660" s="397"/>
      <c r="BL7660" s="397"/>
      <c r="BM7660" s="397"/>
      <c r="BN7660" s="397"/>
      <c r="BO7660" s="397"/>
      <c r="BP7660" s="397"/>
      <c r="BQ7660" s="397"/>
      <c r="BR7660" s="397"/>
      <c r="BS7660" s="397"/>
      <c r="BT7660" s="397"/>
      <c r="BU7660" s="397"/>
      <c r="BV7660" s="397"/>
      <c r="BW7660" s="397"/>
      <c r="BX7660" s="397"/>
      <c r="BY7660" s="397"/>
      <c r="BZ7660" s="397"/>
      <c r="CA7660" s="392" t="s">
        <v>413</v>
      </c>
    </row>
    <row r="7661" spans="1:80" s="392" customFormat="1" ht="15" x14ac:dyDescent="0.25">
      <c r="A7661" s="385"/>
      <c r="D7661" s="700"/>
      <c r="E7661" s="397"/>
      <c r="H7661" s="401">
        <v>3</v>
      </c>
      <c r="I7661" s="401"/>
      <c r="J7661" s="401"/>
      <c r="K7661" s="401"/>
      <c r="L7661" s="675"/>
      <c r="M7661" s="672">
        <v>31281</v>
      </c>
      <c r="N7661" s="623">
        <v>2.0799093227543215E-2</v>
      </c>
      <c r="O7661" s="624">
        <v>8.9699999999999988E-6</v>
      </c>
      <c r="P7661" s="397"/>
      <c r="Q7661" s="397"/>
      <c r="R7661" s="397"/>
      <c r="S7661" s="397"/>
      <c r="T7661" s="397"/>
      <c r="U7661" s="397"/>
      <c r="V7661" s="397"/>
      <c r="W7661" s="397"/>
      <c r="X7661" s="397"/>
      <c r="Y7661" s="397"/>
      <c r="Z7661" s="397"/>
      <c r="AD7661" s="388">
        <v>1.9812000000000001</v>
      </c>
      <c r="AE7661" s="388"/>
      <c r="AF7661" s="388"/>
      <c r="AG7661" s="388"/>
      <c r="AH7661" s="391"/>
      <c r="AI7661" s="397"/>
      <c r="AJ7661" s="397"/>
      <c r="AU7661" s="397"/>
      <c r="AV7661" s="397"/>
      <c r="AW7661" s="397"/>
      <c r="AX7661" s="397"/>
      <c r="BI7661" s="397"/>
      <c r="BJ7661" s="397"/>
      <c r="BK7661" s="397"/>
      <c r="BL7661" s="397"/>
      <c r="BM7661" s="397"/>
      <c r="BN7661" s="397"/>
      <c r="BO7661" s="397"/>
      <c r="BP7661" s="397"/>
      <c r="BQ7661" s="397"/>
      <c r="BR7661" s="397"/>
      <c r="BS7661" s="397"/>
      <c r="BT7661" s="397"/>
      <c r="BU7661" s="397"/>
      <c r="BV7661" s="397"/>
      <c r="BW7661" s="397"/>
      <c r="BX7661" s="397"/>
      <c r="BY7661" s="397"/>
      <c r="BZ7661" s="397"/>
      <c r="CA7661" s="392" t="s">
        <v>413</v>
      </c>
    </row>
    <row r="7662" spans="1:80" s="392" customFormat="1" ht="15" x14ac:dyDescent="0.25">
      <c r="A7662" s="385"/>
      <c r="D7662" s="700"/>
      <c r="E7662" s="397"/>
      <c r="H7662" s="401">
        <v>3</v>
      </c>
      <c r="I7662" s="401"/>
      <c r="J7662" s="401"/>
      <c r="K7662" s="401"/>
      <c r="L7662" s="675"/>
      <c r="M7662" s="672">
        <v>31293</v>
      </c>
      <c r="N7662" s="623">
        <v>1.3601586851799376E-2</v>
      </c>
      <c r="O7662" s="624">
        <v>5.200000000000001E-6</v>
      </c>
      <c r="P7662" s="397"/>
      <c r="Q7662" s="397"/>
      <c r="R7662" s="397"/>
      <c r="S7662" s="397"/>
      <c r="T7662" s="397"/>
      <c r="U7662" s="397"/>
      <c r="V7662" s="397"/>
      <c r="W7662" s="397"/>
      <c r="X7662" s="397"/>
      <c r="Y7662" s="397"/>
      <c r="Z7662" s="397"/>
      <c r="AD7662" s="388">
        <v>1.9812000000000001</v>
      </c>
      <c r="AE7662" s="388"/>
      <c r="AF7662" s="388"/>
      <c r="AG7662" s="388"/>
      <c r="AH7662" s="391"/>
      <c r="AI7662" s="397"/>
      <c r="AJ7662" s="397"/>
      <c r="AU7662" s="397"/>
      <c r="AV7662" s="397"/>
      <c r="AW7662" s="397"/>
      <c r="AX7662" s="397"/>
      <c r="BI7662" s="397"/>
      <c r="BJ7662" s="397"/>
      <c r="BK7662" s="397"/>
      <c r="BL7662" s="397"/>
      <c r="BM7662" s="397"/>
      <c r="BN7662" s="397"/>
      <c r="BO7662" s="397"/>
      <c r="BP7662" s="397"/>
      <c r="BQ7662" s="397"/>
      <c r="BR7662" s="397"/>
      <c r="BS7662" s="397"/>
      <c r="BT7662" s="397"/>
      <c r="BU7662" s="397"/>
      <c r="BV7662" s="397"/>
      <c r="BW7662" s="397"/>
      <c r="BX7662" s="397"/>
      <c r="BY7662" s="397"/>
      <c r="BZ7662" s="397"/>
      <c r="CA7662" s="392" t="s">
        <v>413</v>
      </c>
    </row>
    <row r="7663" spans="1:80" s="189" customFormat="1" ht="15" x14ac:dyDescent="0.25">
      <c r="A7663" s="381" t="s">
        <v>487</v>
      </c>
      <c r="B7663" s="641" t="s">
        <v>34</v>
      </c>
      <c r="C7663" s="639"/>
      <c r="D7663" s="4">
        <f>VLOOKUP(E7663,'Quality Code'!$D$4:$E$24,2,TRUE)*VLOOKUP(MROUND(F7663,10),'Quality Code'!$D$28:$E$69,2,TRUE)*VLOOKUP(COUNTA(CB7663:CB7673),'Quality Code'!$D$73:$E$93,2,TRUE)</f>
        <v>0.30000000000000004</v>
      </c>
      <c r="E7663" s="14">
        <v>0.4</v>
      </c>
      <c r="F7663" s="2">
        <v>27</v>
      </c>
      <c r="G7663" s="12"/>
      <c r="H7663" s="2" t="s">
        <v>105</v>
      </c>
      <c r="I7663" s="2"/>
      <c r="J7663" s="2"/>
      <c r="K7663" s="2"/>
      <c r="L7663" s="639"/>
      <c r="M7663" s="640" t="s">
        <v>918</v>
      </c>
      <c r="N7663" s="578" t="s">
        <v>110</v>
      </c>
      <c r="O7663" s="578"/>
      <c r="P7663" s="26"/>
      <c r="Q7663" s="26"/>
      <c r="R7663" s="26"/>
      <c r="S7663" s="26"/>
      <c r="T7663" s="26"/>
      <c r="U7663" s="26"/>
      <c r="V7663" s="10"/>
      <c r="W7663" s="10"/>
      <c r="X7663" s="10"/>
      <c r="Y7663" s="10"/>
      <c r="Z7663" s="26"/>
      <c r="AA7663" s="26"/>
      <c r="AB7663" s="26"/>
      <c r="AC7663" s="3">
        <v>0.22439999999999999</v>
      </c>
      <c r="AD7663" s="406"/>
      <c r="AE7663" s="26"/>
      <c r="AF7663" s="26"/>
      <c r="AG7663" s="26"/>
      <c r="AH7663" s="26"/>
      <c r="AI7663" s="4"/>
      <c r="AJ7663" s="4"/>
      <c r="AK7663" s="26"/>
      <c r="AL7663" s="26"/>
      <c r="AM7663" s="26"/>
      <c r="AN7663" s="26"/>
      <c r="AO7663" s="26"/>
      <c r="AP7663" s="26"/>
      <c r="AQ7663" s="26"/>
      <c r="AR7663" s="26"/>
      <c r="AS7663" s="26"/>
      <c r="AT7663" s="26"/>
      <c r="AU7663" s="4"/>
      <c r="AV7663" s="4"/>
      <c r="AW7663" s="4"/>
      <c r="AX7663" s="4"/>
      <c r="AY7663" s="2"/>
      <c r="AZ7663" s="2"/>
      <c r="BA7663" s="12"/>
      <c r="BB7663" s="12"/>
      <c r="BC7663" s="12"/>
      <c r="BD7663" s="12"/>
      <c r="BE7663" s="12"/>
      <c r="BF7663" s="12"/>
      <c r="BG7663" s="12"/>
      <c r="BH7663" s="12"/>
      <c r="BI7663" s="4"/>
      <c r="BJ7663" s="12"/>
      <c r="BK7663" s="2"/>
      <c r="BL7663" s="2"/>
      <c r="BM7663" s="4"/>
      <c r="BN7663" s="12"/>
      <c r="BO7663" s="12"/>
      <c r="BP7663" s="12"/>
      <c r="BQ7663" s="4"/>
      <c r="BR7663" s="4"/>
      <c r="BS7663" s="4"/>
      <c r="BT7663" s="2"/>
      <c r="BU7663" s="9"/>
      <c r="BV7663" s="381"/>
      <c r="BW7663" s="382"/>
      <c r="BX7663" s="383"/>
      <c r="BY7663" s="383" t="s">
        <v>417</v>
      </c>
      <c r="BZ7663" s="383"/>
      <c r="CA7663" s="384" t="s">
        <v>413</v>
      </c>
      <c r="CB7663" s="411"/>
    </row>
    <row r="7664" spans="1:80" s="392" customFormat="1" ht="15" x14ac:dyDescent="0.25">
      <c r="A7664" s="385"/>
      <c r="D7664" s="700"/>
      <c r="E7664" s="397"/>
      <c r="H7664" s="401">
        <v>3</v>
      </c>
      <c r="I7664" s="401"/>
      <c r="J7664" s="401"/>
      <c r="K7664" s="401"/>
      <c r="L7664" s="675"/>
      <c r="M7664" s="672">
        <v>30817</v>
      </c>
      <c r="N7664" s="623">
        <v>5.6673278549164069E-2</v>
      </c>
      <c r="O7664" s="624">
        <v>1.7659864106666666E-4</v>
      </c>
      <c r="P7664" s="397"/>
      <c r="Q7664" s="397"/>
      <c r="R7664" s="397"/>
      <c r="S7664" s="397"/>
      <c r="T7664" s="397"/>
      <c r="U7664" s="397"/>
      <c r="V7664" s="397"/>
      <c r="W7664" s="397"/>
      <c r="X7664" s="397"/>
      <c r="Y7664" s="397"/>
      <c r="Z7664" s="397"/>
      <c r="AD7664" s="388">
        <v>2.2250399999999999</v>
      </c>
      <c r="AE7664" s="388">
        <v>0.19507200000000002</v>
      </c>
      <c r="AF7664" s="388">
        <v>0.43404300288000003</v>
      </c>
      <c r="AG7664" s="388">
        <v>0.112776</v>
      </c>
      <c r="AH7664" s="391"/>
      <c r="AI7664" s="397"/>
      <c r="AJ7664" s="397"/>
      <c r="AU7664" s="397"/>
      <c r="AV7664" s="397"/>
      <c r="AW7664" s="397"/>
      <c r="AX7664" s="397"/>
      <c r="BI7664" s="397"/>
      <c r="BJ7664" s="397"/>
      <c r="BK7664" s="397"/>
      <c r="BL7664" s="397"/>
      <c r="BM7664" s="397"/>
      <c r="BN7664" s="397"/>
      <c r="BO7664" s="397"/>
      <c r="BP7664" s="397"/>
      <c r="BQ7664" s="397"/>
      <c r="BR7664" s="397"/>
      <c r="BS7664" s="397"/>
      <c r="BT7664" s="397"/>
      <c r="BU7664" s="397"/>
      <c r="BV7664" s="397"/>
      <c r="BW7664" s="397"/>
      <c r="BX7664" s="397"/>
      <c r="BY7664" s="397"/>
      <c r="BZ7664" s="397"/>
      <c r="CA7664" s="392" t="s">
        <v>413</v>
      </c>
    </row>
    <row r="7665" spans="1:79" s="392" customFormat="1" ht="15" x14ac:dyDescent="0.25">
      <c r="A7665" s="385"/>
      <c r="D7665" s="700"/>
      <c r="E7665" s="397"/>
      <c r="H7665" s="401">
        <v>3</v>
      </c>
      <c r="I7665" s="401"/>
      <c r="J7665" s="401"/>
      <c r="K7665" s="401"/>
      <c r="L7665" s="675"/>
      <c r="M7665" s="672">
        <v>30824</v>
      </c>
      <c r="N7665" s="623">
        <v>0.22470954944743554</v>
      </c>
      <c r="O7665" s="624">
        <v>5.3826298133333335E-4</v>
      </c>
      <c r="P7665" s="397"/>
      <c r="Q7665" s="397"/>
      <c r="R7665" s="397"/>
      <c r="S7665" s="397"/>
      <c r="T7665" s="397"/>
      <c r="U7665" s="397"/>
      <c r="V7665" s="397"/>
      <c r="W7665" s="397"/>
      <c r="X7665" s="397"/>
      <c r="Y7665" s="397"/>
      <c r="Z7665" s="397"/>
      <c r="AD7665" s="388">
        <v>2.7127200000000005</v>
      </c>
      <c r="AE7665" s="388">
        <v>0.26517600000000002</v>
      </c>
      <c r="AF7665" s="388">
        <v>0.7193482387200002</v>
      </c>
      <c r="AG7665" s="388">
        <v>0.20726400000000003</v>
      </c>
      <c r="AH7665" s="391"/>
      <c r="AI7665" s="397"/>
      <c r="AJ7665" s="397"/>
      <c r="AU7665" s="397"/>
      <c r="AV7665" s="397"/>
      <c r="AW7665" s="397"/>
      <c r="AX7665" s="397"/>
      <c r="BI7665" s="397"/>
      <c r="BJ7665" s="397"/>
      <c r="BK7665" s="397"/>
      <c r="BL7665" s="397"/>
      <c r="BM7665" s="397"/>
      <c r="BN7665" s="397"/>
      <c r="BO7665" s="397"/>
      <c r="BP7665" s="397"/>
      <c r="BQ7665" s="397"/>
      <c r="BR7665" s="397"/>
      <c r="BS7665" s="397"/>
      <c r="BT7665" s="397"/>
      <c r="BU7665" s="397"/>
      <c r="BV7665" s="397"/>
      <c r="BW7665" s="397"/>
      <c r="BX7665" s="397"/>
      <c r="BY7665" s="397"/>
      <c r="BZ7665" s="397"/>
      <c r="CA7665" s="392" t="s">
        <v>413</v>
      </c>
    </row>
    <row r="7666" spans="1:79" s="392" customFormat="1" ht="15" x14ac:dyDescent="0.25">
      <c r="A7666" s="385"/>
      <c r="D7666" s="700"/>
      <c r="E7666" s="397"/>
      <c r="H7666" s="401">
        <v>3</v>
      </c>
      <c r="I7666" s="401"/>
      <c r="J7666" s="401"/>
      <c r="K7666" s="401"/>
      <c r="L7666" s="675"/>
      <c r="M7666" s="672">
        <v>30831</v>
      </c>
      <c r="N7666" s="623">
        <v>0.41059790308869371</v>
      </c>
      <c r="O7666" s="624">
        <v>5.8059827199999998E-4</v>
      </c>
      <c r="P7666" s="397"/>
      <c r="Q7666" s="397"/>
      <c r="R7666" s="397"/>
      <c r="S7666" s="397"/>
      <c r="T7666" s="397"/>
      <c r="U7666" s="397"/>
      <c r="V7666" s="397"/>
      <c r="W7666" s="397"/>
      <c r="X7666" s="397"/>
      <c r="Y7666" s="397"/>
      <c r="Z7666" s="397"/>
      <c r="AD7666" s="388">
        <v>2.9260800000000002</v>
      </c>
      <c r="AE7666" s="388">
        <v>0.36271199999999998</v>
      </c>
      <c r="AF7666" s="388">
        <v>1.0613243289600001</v>
      </c>
      <c r="AG7666" s="388">
        <v>0.28651199999999999</v>
      </c>
      <c r="AH7666" s="391"/>
      <c r="AI7666" s="397"/>
      <c r="AJ7666" s="397"/>
      <c r="AU7666" s="397"/>
      <c r="AV7666" s="397"/>
      <c r="AW7666" s="397"/>
      <c r="AX7666" s="397"/>
      <c r="BI7666" s="397"/>
      <c r="BJ7666" s="397"/>
      <c r="BK7666" s="397"/>
      <c r="BL7666" s="397"/>
      <c r="BM7666" s="397"/>
      <c r="BN7666" s="397"/>
      <c r="BO7666" s="397"/>
      <c r="BP7666" s="397"/>
      <c r="BQ7666" s="397"/>
      <c r="BR7666" s="397"/>
      <c r="BS7666" s="397"/>
      <c r="BT7666" s="397"/>
      <c r="BU7666" s="397"/>
      <c r="BV7666" s="397"/>
      <c r="BW7666" s="397"/>
      <c r="BX7666" s="397"/>
      <c r="BY7666" s="397"/>
      <c r="BZ7666" s="397"/>
      <c r="CA7666" s="392" t="s">
        <v>413</v>
      </c>
    </row>
    <row r="7667" spans="1:79" s="392" customFormat="1" ht="15" x14ac:dyDescent="0.25">
      <c r="A7667" s="385"/>
      <c r="D7667" s="700"/>
      <c r="E7667" s="397"/>
      <c r="H7667" s="401">
        <v>3</v>
      </c>
      <c r="I7667" s="401"/>
      <c r="J7667" s="401"/>
      <c r="K7667" s="401"/>
      <c r="L7667" s="675"/>
      <c r="M7667" s="672">
        <v>30839</v>
      </c>
      <c r="N7667" s="623">
        <v>0.47293850949277422</v>
      </c>
      <c r="O7667" s="624">
        <v>2.9332308533333335E-4</v>
      </c>
      <c r="P7667" s="397"/>
      <c r="Q7667" s="397"/>
      <c r="R7667" s="397"/>
      <c r="S7667" s="397"/>
      <c r="T7667" s="397"/>
      <c r="U7667" s="397"/>
      <c r="V7667" s="397"/>
      <c r="W7667" s="397"/>
      <c r="X7667" s="397"/>
      <c r="Y7667" s="397"/>
      <c r="Z7667" s="397"/>
      <c r="AD7667" s="388">
        <v>2.9565600000000001</v>
      </c>
      <c r="AE7667" s="388">
        <v>0.39014400000000005</v>
      </c>
      <c r="AF7667" s="388">
        <v>1.1534841446400002</v>
      </c>
      <c r="AG7667" s="388">
        <v>0.28651199999999999</v>
      </c>
      <c r="AH7667" s="391"/>
      <c r="AI7667" s="397"/>
      <c r="AJ7667" s="397"/>
      <c r="AU7667" s="397"/>
      <c r="AV7667" s="397"/>
      <c r="AW7667" s="397"/>
      <c r="AX7667" s="397"/>
      <c r="BI7667" s="397"/>
      <c r="BJ7667" s="397"/>
      <c r="BK7667" s="397"/>
      <c r="BL7667" s="397"/>
      <c r="BM7667" s="397"/>
      <c r="BN7667" s="397"/>
      <c r="BO7667" s="397"/>
      <c r="BP7667" s="397"/>
      <c r="BQ7667" s="397"/>
      <c r="BR7667" s="397"/>
      <c r="BS7667" s="397"/>
      <c r="BT7667" s="397"/>
      <c r="BU7667" s="397"/>
      <c r="BV7667" s="397"/>
      <c r="BW7667" s="397"/>
      <c r="BX7667" s="397"/>
      <c r="BY7667" s="397"/>
      <c r="BZ7667" s="397"/>
      <c r="CA7667" s="392" t="s">
        <v>413</v>
      </c>
    </row>
    <row r="7668" spans="1:79" s="392" customFormat="1" ht="15" x14ac:dyDescent="0.25">
      <c r="A7668" s="385"/>
      <c r="D7668" s="700"/>
      <c r="E7668" s="397"/>
      <c r="H7668" s="401">
        <v>3</v>
      </c>
      <c r="I7668" s="401"/>
      <c r="J7668" s="401"/>
      <c r="K7668" s="401"/>
      <c r="L7668" s="675"/>
      <c r="M7668" s="672">
        <v>30844</v>
      </c>
      <c r="N7668" s="623">
        <v>0.36242561632190423</v>
      </c>
      <c r="O7668" s="624">
        <v>1.968591016E-4</v>
      </c>
      <c r="P7668" s="397"/>
      <c r="Q7668" s="397"/>
      <c r="R7668" s="397"/>
      <c r="S7668" s="397"/>
      <c r="T7668" s="397"/>
      <c r="U7668" s="397"/>
      <c r="V7668" s="397"/>
      <c r="W7668" s="397"/>
      <c r="X7668" s="397"/>
      <c r="Y7668" s="397"/>
      <c r="Z7668" s="397"/>
      <c r="AD7668" s="388">
        <v>2.8346400000000003</v>
      </c>
      <c r="AE7668" s="388">
        <v>0.31699200000000005</v>
      </c>
      <c r="AF7668" s="388">
        <v>0.89855820288000021</v>
      </c>
      <c r="AG7668" s="388">
        <v>0.26212800000000003</v>
      </c>
      <c r="AH7668" s="391"/>
      <c r="AI7668" s="397"/>
      <c r="AJ7668" s="397"/>
      <c r="AU7668" s="397"/>
      <c r="AV7668" s="397"/>
      <c r="AW7668" s="397"/>
      <c r="AX7668" s="397"/>
      <c r="BI7668" s="397"/>
      <c r="BJ7668" s="397"/>
      <c r="BK7668" s="397"/>
      <c r="BL7668" s="397"/>
      <c r="BM7668" s="397"/>
      <c r="BN7668" s="397"/>
      <c r="BO7668" s="397"/>
      <c r="BP7668" s="397"/>
      <c r="BQ7668" s="397"/>
      <c r="BR7668" s="397"/>
      <c r="BS7668" s="397"/>
      <c r="BT7668" s="397"/>
      <c r="BU7668" s="397"/>
      <c r="BV7668" s="397"/>
      <c r="BW7668" s="397"/>
      <c r="BX7668" s="397"/>
      <c r="BY7668" s="397"/>
      <c r="BZ7668" s="397"/>
      <c r="CA7668" s="392" t="s">
        <v>413</v>
      </c>
    </row>
    <row r="7669" spans="1:79" s="392" customFormat="1" ht="15" x14ac:dyDescent="0.25">
      <c r="A7669" s="385"/>
      <c r="D7669" s="700"/>
      <c r="E7669" s="397"/>
      <c r="H7669" s="401">
        <v>3</v>
      </c>
      <c r="I7669" s="401"/>
      <c r="J7669" s="401"/>
      <c r="K7669" s="401"/>
      <c r="L7669" s="675"/>
      <c r="M7669" s="672">
        <v>30855</v>
      </c>
      <c r="N7669" s="623">
        <v>0.77557381694531036</v>
      </c>
      <c r="O7669" s="624">
        <v>7.8622682666666676E-4</v>
      </c>
      <c r="P7669" s="397"/>
      <c r="Q7669" s="397"/>
      <c r="R7669" s="397"/>
      <c r="S7669" s="397"/>
      <c r="T7669" s="397"/>
      <c r="U7669" s="397"/>
      <c r="V7669" s="397"/>
      <c r="W7669" s="397"/>
      <c r="X7669" s="397"/>
      <c r="Y7669" s="397"/>
      <c r="Z7669" s="397"/>
      <c r="AD7669" s="388">
        <v>3.9624000000000001</v>
      </c>
      <c r="AE7669" s="388">
        <v>0.39319200000000004</v>
      </c>
      <c r="AF7669" s="388">
        <v>1.5579839808000002</v>
      </c>
      <c r="AG7669" s="388">
        <v>0.35966399999999998</v>
      </c>
      <c r="AH7669" s="391"/>
      <c r="AI7669" s="397"/>
      <c r="AJ7669" s="397"/>
      <c r="AU7669" s="397"/>
      <c r="AV7669" s="397"/>
      <c r="AW7669" s="397"/>
      <c r="AX7669" s="397"/>
      <c r="BI7669" s="397"/>
      <c r="BJ7669" s="397"/>
      <c r="BK7669" s="397"/>
      <c r="BL7669" s="397"/>
      <c r="BM7669" s="397"/>
      <c r="BN7669" s="397"/>
      <c r="BO7669" s="397"/>
      <c r="BP7669" s="397"/>
      <c r="BQ7669" s="397"/>
      <c r="BR7669" s="397"/>
      <c r="BS7669" s="397"/>
      <c r="BT7669" s="397"/>
      <c r="BU7669" s="397"/>
      <c r="BV7669" s="397"/>
      <c r="BW7669" s="397"/>
      <c r="BX7669" s="397"/>
      <c r="BY7669" s="397"/>
      <c r="BZ7669" s="397"/>
      <c r="CA7669" s="392" t="s">
        <v>413</v>
      </c>
    </row>
    <row r="7670" spans="1:79" s="392" customFormat="1" ht="15" x14ac:dyDescent="0.25">
      <c r="A7670" s="385"/>
      <c r="D7670" s="700"/>
      <c r="E7670" s="397"/>
      <c r="H7670" s="401">
        <v>3</v>
      </c>
      <c r="I7670" s="401"/>
      <c r="J7670" s="401"/>
      <c r="K7670" s="401"/>
      <c r="L7670" s="675"/>
      <c r="M7670" s="672">
        <v>30858</v>
      </c>
      <c r="N7670" s="623">
        <v>0.57608387645225267</v>
      </c>
      <c r="O7670" s="624">
        <v>3.1207157120000002E-3</v>
      </c>
      <c r="P7670" s="397"/>
      <c r="Q7670" s="397"/>
      <c r="R7670" s="397"/>
      <c r="S7670" s="397"/>
      <c r="T7670" s="397"/>
      <c r="U7670" s="397"/>
      <c r="V7670" s="397"/>
      <c r="W7670" s="397"/>
      <c r="X7670" s="397"/>
      <c r="Y7670" s="397"/>
      <c r="Z7670" s="397"/>
      <c r="AD7670" s="388">
        <v>3.9319200000000003</v>
      </c>
      <c r="AE7670" s="388">
        <v>0.40843200000000002</v>
      </c>
      <c r="AF7670" s="388">
        <v>1.6059219494400001</v>
      </c>
      <c r="AG7670" s="388">
        <v>0.24993599999999999</v>
      </c>
      <c r="AH7670" s="391"/>
      <c r="AI7670" s="397"/>
      <c r="AJ7670" s="397"/>
      <c r="AU7670" s="397"/>
      <c r="AV7670" s="397"/>
      <c r="AW7670" s="397"/>
      <c r="AX7670" s="397"/>
      <c r="BI7670" s="397"/>
      <c r="BJ7670" s="397"/>
      <c r="BK7670" s="397"/>
      <c r="BL7670" s="397"/>
      <c r="BM7670" s="397"/>
      <c r="BN7670" s="397"/>
      <c r="BO7670" s="397"/>
      <c r="BP7670" s="397"/>
      <c r="BQ7670" s="397"/>
      <c r="BR7670" s="397"/>
      <c r="BS7670" s="397"/>
      <c r="BT7670" s="397"/>
      <c r="BU7670" s="397"/>
      <c r="BV7670" s="397"/>
      <c r="BW7670" s="397"/>
      <c r="BX7670" s="397"/>
      <c r="BY7670" s="397"/>
      <c r="BZ7670" s="397"/>
      <c r="CA7670" s="392" t="s">
        <v>413</v>
      </c>
    </row>
    <row r="7671" spans="1:79" s="392" customFormat="1" ht="15" x14ac:dyDescent="0.25">
      <c r="A7671" s="385"/>
      <c r="D7671" s="700"/>
      <c r="E7671" s="397"/>
      <c r="H7671" s="401">
        <v>3</v>
      </c>
      <c r="I7671" s="401"/>
      <c r="J7671" s="401"/>
      <c r="K7671" s="401"/>
      <c r="L7671" s="675"/>
      <c r="M7671" s="672">
        <v>30866</v>
      </c>
      <c r="N7671" s="623">
        <v>1.2408614338339472</v>
      </c>
      <c r="O7671" s="624">
        <v>1.1702683919999999E-3</v>
      </c>
      <c r="P7671" s="397"/>
      <c r="Q7671" s="397"/>
      <c r="R7671" s="397"/>
      <c r="S7671" s="397"/>
      <c r="T7671" s="397"/>
      <c r="U7671" s="397"/>
      <c r="V7671" s="397"/>
      <c r="W7671" s="397"/>
      <c r="X7671" s="397"/>
      <c r="Y7671" s="397"/>
      <c r="Z7671" s="397"/>
      <c r="AD7671" s="388">
        <v>3.9319200000000003</v>
      </c>
      <c r="AE7671" s="388">
        <v>0.41148000000000007</v>
      </c>
      <c r="AF7671" s="388">
        <v>1.6179064416000004</v>
      </c>
      <c r="AG7671" s="388">
        <v>0.54559200000000008</v>
      </c>
      <c r="AH7671" s="391"/>
      <c r="AI7671" s="397"/>
      <c r="AJ7671" s="397"/>
      <c r="AU7671" s="397"/>
      <c r="AV7671" s="397"/>
      <c r="AW7671" s="397"/>
      <c r="AX7671" s="397"/>
      <c r="BI7671" s="397"/>
      <c r="BJ7671" s="397"/>
      <c r="BK7671" s="397"/>
      <c r="BL7671" s="397"/>
      <c r="BM7671" s="397"/>
      <c r="BN7671" s="397"/>
      <c r="BO7671" s="397"/>
      <c r="BP7671" s="397"/>
      <c r="BQ7671" s="397"/>
      <c r="BR7671" s="397"/>
      <c r="BS7671" s="397"/>
      <c r="BT7671" s="397"/>
      <c r="BU7671" s="397"/>
      <c r="BV7671" s="397"/>
      <c r="BW7671" s="397"/>
      <c r="BX7671" s="397"/>
      <c r="BY7671" s="397"/>
      <c r="BZ7671" s="397"/>
      <c r="CA7671" s="392" t="s">
        <v>413</v>
      </c>
    </row>
    <row r="7672" spans="1:79" s="392" customFormat="1" ht="15" x14ac:dyDescent="0.25">
      <c r="A7672" s="385"/>
      <c r="D7672" s="700"/>
      <c r="E7672" s="397"/>
      <c r="H7672" s="401">
        <v>3</v>
      </c>
      <c r="I7672" s="401"/>
      <c r="J7672" s="401"/>
      <c r="K7672" s="401"/>
      <c r="L7672" s="675"/>
      <c r="M7672" s="672">
        <v>30875</v>
      </c>
      <c r="N7672" s="623">
        <v>0.73590252196089545</v>
      </c>
      <c r="O7672" s="624">
        <v>3.8404156533333325E-3</v>
      </c>
      <c r="P7672" s="397"/>
      <c r="Q7672" s="397"/>
      <c r="R7672" s="397"/>
      <c r="S7672" s="397"/>
      <c r="T7672" s="397"/>
      <c r="U7672" s="397"/>
      <c r="V7672" s="397"/>
      <c r="W7672" s="397"/>
      <c r="X7672" s="397"/>
      <c r="Y7672" s="397"/>
      <c r="Z7672" s="397"/>
      <c r="AD7672" s="388">
        <v>3.8709600000000002</v>
      </c>
      <c r="AE7672" s="388">
        <v>0.36271199999999998</v>
      </c>
      <c r="AF7672" s="388">
        <v>1.4040436435199999</v>
      </c>
      <c r="AG7672" s="388">
        <v>0.420624</v>
      </c>
      <c r="AH7672" s="391"/>
      <c r="AI7672" s="397"/>
      <c r="AJ7672" s="397"/>
      <c r="AU7672" s="397"/>
      <c r="AV7672" s="397"/>
      <c r="AW7672" s="397"/>
      <c r="AX7672" s="397"/>
      <c r="BI7672" s="397"/>
      <c r="BJ7672" s="397"/>
      <c r="BK7672" s="397"/>
      <c r="BL7672" s="397"/>
      <c r="BM7672" s="397"/>
      <c r="BN7672" s="397"/>
      <c r="BO7672" s="397"/>
      <c r="BP7672" s="397"/>
      <c r="BQ7672" s="397"/>
      <c r="BR7672" s="397"/>
      <c r="BS7672" s="397"/>
      <c r="BT7672" s="397"/>
      <c r="BU7672" s="397"/>
      <c r="BV7672" s="397"/>
      <c r="BW7672" s="397"/>
      <c r="BX7672" s="397"/>
      <c r="BY7672" s="397"/>
      <c r="BZ7672" s="397"/>
      <c r="CA7672" s="392" t="s">
        <v>413</v>
      </c>
    </row>
    <row r="7673" spans="1:79" s="392" customFormat="1" ht="15" x14ac:dyDescent="0.25">
      <c r="A7673" s="385"/>
      <c r="D7673" s="700"/>
      <c r="E7673" s="397"/>
      <c r="H7673" s="401">
        <v>3</v>
      </c>
      <c r="I7673" s="401"/>
      <c r="J7673" s="401"/>
      <c r="K7673" s="401"/>
      <c r="L7673" s="675"/>
      <c r="M7673" s="672">
        <v>30887</v>
      </c>
      <c r="N7673" s="623">
        <v>0.41484839897988102</v>
      </c>
      <c r="O7673" s="624">
        <v>1.7599385119999999E-4</v>
      </c>
      <c r="P7673" s="397"/>
      <c r="Q7673" s="397"/>
      <c r="R7673" s="397"/>
      <c r="S7673" s="397"/>
      <c r="T7673" s="397"/>
      <c r="U7673" s="397"/>
      <c r="V7673" s="397"/>
      <c r="W7673" s="397"/>
      <c r="X7673" s="397"/>
      <c r="Y7673" s="397"/>
      <c r="Z7673" s="397"/>
      <c r="AD7673" s="388">
        <v>2.9565600000000001</v>
      </c>
      <c r="AE7673" s="388">
        <v>0.34137600000000007</v>
      </c>
      <c r="AF7673" s="388">
        <v>1.0092986265600001</v>
      </c>
      <c r="AG7673" s="388">
        <v>0.29565600000000003</v>
      </c>
      <c r="AH7673" s="391"/>
      <c r="AI7673" s="397"/>
      <c r="AJ7673" s="397"/>
      <c r="AU7673" s="397"/>
      <c r="AV7673" s="397"/>
      <c r="AW7673" s="397"/>
      <c r="AX7673" s="397"/>
      <c r="BI7673" s="397"/>
      <c r="BJ7673" s="397"/>
      <c r="BK7673" s="397"/>
      <c r="BL7673" s="397"/>
      <c r="BM7673" s="397"/>
      <c r="BN7673" s="397"/>
      <c r="BO7673" s="397"/>
      <c r="BP7673" s="397"/>
      <c r="BQ7673" s="397"/>
      <c r="BR7673" s="397"/>
      <c r="BS7673" s="397"/>
      <c r="BT7673" s="397"/>
      <c r="BU7673" s="397"/>
      <c r="BV7673" s="397"/>
      <c r="BW7673" s="397"/>
      <c r="BX7673" s="397"/>
      <c r="BY7673" s="397"/>
      <c r="BZ7673" s="397"/>
      <c r="CA7673" s="392" t="s">
        <v>413</v>
      </c>
    </row>
    <row r="7674" spans="1:79" s="392" customFormat="1" ht="15" x14ac:dyDescent="0.25">
      <c r="A7674" s="385"/>
      <c r="D7674" s="700"/>
      <c r="E7674" s="397"/>
      <c r="H7674" s="401">
        <v>3</v>
      </c>
      <c r="I7674" s="401"/>
      <c r="J7674" s="401"/>
      <c r="K7674" s="401"/>
      <c r="L7674" s="675"/>
      <c r="M7674" s="672">
        <v>30895</v>
      </c>
      <c r="N7674" s="623">
        <v>0.33777274015301784</v>
      </c>
      <c r="O7674" s="624">
        <v>1.4061364400000002E-4</v>
      </c>
      <c r="P7674" s="397"/>
      <c r="Q7674" s="397"/>
      <c r="R7674" s="397"/>
      <c r="S7674" s="397"/>
      <c r="T7674" s="397"/>
      <c r="U7674" s="397"/>
      <c r="V7674" s="397"/>
      <c r="W7674" s="397"/>
      <c r="X7674" s="397"/>
      <c r="Y7674" s="397"/>
      <c r="Z7674" s="397"/>
      <c r="AD7674" s="388">
        <v>2.8346400000000003</v>
      </c>
      <c r="AE7674" s="388">
        <v>0.31699200000000005</v>
      </c>
      <c r="AF7674" s="388">
        <v>0.89855820288000021</v>
      </c>
      <c r="AG7674" s="388">
        <v>0.29260799999999998</v>
      </c>
      <c r="AH7674" s="391"/>
      <c r="AI7674" s="397"/>
      <c r="AJ7674" s="397"/>
      <c r="AU7674" s="397"/>
      <c r="AV7674" s="397"/>
      <c r="AW7674" s="397"/>
      <c r="AX7674" s="397"/>
      <c r="BI7674" s="397"/>
      <c r="BJ7674" s="397"/>
      <c r="BK7674" s="397"/>
      <c r="BL7674" s="397"/>
      <c r="BM7674" s="397"/>
      <c r="BN7674" s="397"/>
      <c r="BO7674" s="397"/>
      <c r="BP7674" s="397"/>
      <c r="BQ7674" s="397"/>
      <c r="BR7674" s="397"/>
      <c r="BS7674" s="397"/>
      <c r="BT7674" s="397"/>
      <c r="BU7674" s="397"/>
      <c r="BV7674" s="397"/>
      <c r="BW7674" s="397"/>
      <c r="BX7674" s="397"/>
      <c r="BY7674" s="397"/>
      <c r="BZ7674" s="397"/>
      <c r="CA7674" s="392" t="s">
        <v>413</v>
      </c>
    </row>
    <row r="7675" spans="1:79" s="392" customFormat="1" ht="15" x14ac:dyDescent="0.25">
      <c r="A7675" s="385"/>
      <c r="D7675" s="700"/>
      <c r="E7675" s="397"/>
      <c r="H7675" s="401">
        <v>3</v>
      </c>
      <c r="I7675" s="401"/>
      <c r="J7675" s="401"/>
      <c r="K7675" s="401"/>
      <c r="L7675" s="675"/>
      <c r="M7675" s="672">
        <v>30902</v>
      </c>
      <c r="N7675" s="623">
        <v>0.26211391328988382</v>
      </c>
      <c r="O7675" s="624">
        <v>3.6559547440000008E-3</v>
      </c>
      <c r="P7675" s="397"/>
      <c r="Q7675" s="397"/>
      <c r="R7675" s="397"/>
      <c r="S7675" s="397"/>
      <c r="T7675" s="397"/>
      <c r="U7675" s="397"/>
      <c r="V7675" s="397"/>
      <c r="W7675" s="397"/>
      <c r="X7675" s="397"/>
      <c r="Y7675" s="397"/>
      <c r="Z7675" s="397"/>
      <c r="AD7675" s="388">
        <v>2.8346400000000003</v>
      </c>
      <c r="AE7675" s="388">
        <v>0.30480000000000002</v>
      </c>
      <c r="AF7675" s="388">
        <v>0.86399827200000012</v>
      </c>
      <c r="AG7675" s="388">
        <v>0.24993599999999999</v>
      </c>
      <c r="AH7675" s="391"/>
      <c r="AI7675" s="397"/>
      <c r="AJ7675" s="397"/>
      <c r="AU7675" s="397"/>
      <c r="AV7675" s="397"/>
      <c r="AW7675" s="397"/>
      <c r="AX7675" s="397"/>
      <c r="BI7675" s="397"/>
      <c r="BJ7675" s="397"/>
      <c r="BK7675" s="397"/>
      <c r="BL7675" s="397"/>
      <c r="BM7675" s="397"/>
      <c r="BN7675" s="397"/>
      <c r="BO7675" s="397"/>
      <c r="BP7675" s="397"/>
      <c r="BQ7675" s="397"/>
      <c r="BR7675" s="397"/>
      <c r="BS7675" s="397"/>
      <c r="BT7675" s="397"/>
      <c r="BU7675" s="397"/>
      <c r="BV7675" s="397"/>
      <c r="BW7675" s="397"/>
      <c r="BX7675" s="397"/>
      <c r="BY7675" s="397"/>
      <c r="BZ7675" s="397"/>
      <c r="CA7675" s="392" t="s">
        <v>413</v>
      </c>
    </row>
    <row r="7676" spans="1:79" s="392" customFormat="1" ht="15" x14ac:dyDescent="0.25">
      <c r="A7676" s="385"/>
      <c r="D7676" s="700"/>
      <c r="E7676" s="397"/>
      <c r="H7676" s="401">
        <v>3</v>
      </c>
      <c r="I7676" s="401"/>
      <c r="J7676" s="401"/>
      <c r="K7676" s="401"/>
      <c r="L7676" s="675"/>
      <c r="M7676" s="672">
        <v>30911</v>
      </c>
      <c r="N7676" s="623">
        <v>0.1572683479739303</v>
      </c>
      <c r="O7676" s="624">
        <v>5.9874196800000011E-4</v>
      </c>
      <c r="P7676" s="397"/>
      <c r="Q7676" s="397"/>
      <c r="R7676" s="397"/>
      <c r="S7676" s="397"/>
      <c r="T7676" s="397"/>
      <c r="U7676" s="397"/>
      <c r="V7676" s="397"/>
      <c r="W7676" s="397"/>
      <c r="X7676" s="397"/>
      <c r="Y7676" s="397"/>
      <c r="Z7676" s="397"/>
      <c r="AD7676" s="388">
        <v>3.0175200000000002</v>
      </c>
      <c r="AE7676" s="388">
        <v>0.277368</v>
      </c>
      <c r="AF7676" s="388">
        <v>0.83696348736000004</v>
      </c>
      <c r="AG7676" s="388">
        <v>0.173736</v>
      </c>
      <c r="AH7676" s="391"/>
      <c r="AI7676" s="397"/>
      <c r="AJ7676" s="397"/>
      <c r="AU7676" s="397"/>
      <c r="AV7676" s="397"/>
      <c r="AW7676" s="397"/>
      <c r="AX7676" s="397"/>
      <c r="BI7676" s="397"/>
      <c r="BJ7676" s="397"/>
      <c r="BK7676" s="397"/>
      <c r="BL7676" s="397"/>
      <c r="BM7676" s="397"/>
      <c r="BN7676" s="397"/>
      <c r="BO7676" s="397"/>
      <c r="BP7676" s="397"/>
      <c r="BQ7676" s="397"/>
      <c r="BR7676" s="397"/>
      <c r="BS7676" s="397"/>
      <c r="BT7676" s="397"/>
      <c r="BU7676" s="397"/>
      <c r="BV7676" s="397"/>
      <c r="BW7676" s="397"/>
      <c r="BX7676" s="397"/>
      <c r="BY7676" s="397"/>
      <c r="BZ7676" s="397"/>
      <c r="CA7676" s="392" t="s">
        <v>413</v>
      </c>
    </row>
    <row r="7677" spans="1:79" s="392" customFormat="1" ht="15" x14ac:dyDescent="0.25">
      <c r="A7677" s="385"/>
      <c r="D7677" s="700"/>
      <c r="E7677" s="397"/>
      <c r="H7677" s="401">
        <v>3</v>
      </c>
      <c r="I7677" s="401"/>
      <c r="J7677" s="401"/>
      <c r="K7677" s="401"/>
      <c r="L7677" s="675"/>
      <c r="M7677" s="672">
        <v>30925</v>
      </c>
      <c r="N7677" s="623">
        <v>0.1459336922640975</v>
      </c>
      <c r="O7677" s="624">
        <v>2.5401174400000001E-4</v>
      </c>
      <c r="P7677" s="397"/>
      <c r="Q7677" s="397"/>
      <c r="R7677" s="397"/>
      <c r="S7677" s="397"/>
      <c r="T7677" s="397"/>
      <c r="U7677" s="397"/>
      <c r="V7677" s="397"/>
      <c r="W7677" s="397"/>
      <c r="X7677" s="397"/>
      <c r="Y7677" s="397"/>
      <c r="Z7677" s="397"/>
      <c r="AD7677" s="388">
        <v>2.5603200000000004</v>
      </c>
      <c r="AE7677" s="388">
        <v>0.28955999999999998</v>
      </c>
      <c r="AF7677" s="388">
        <v>0.7413662592000001</v>
      </c>
      <c r="AG7677" s="388">
        <v>0.176784</v>
      </c>
      <c r="AH7677" s="391"/>
      <c r="AI7677" s="397"/>
      <c r="AJ7677" s="397"/>
      <c r="AU7677" s="397"/>
      <c r="AV7677" s="397"/>
      <c r="AW7677" s="397"/>
      <c r="AX7677" s="397"/>
      <c r="BI7677" s="397"/>
      <c r="BJ7677" s="397"/>
      <c r="BK7677" s="397"/>
      <c r="BL7677" s="397"/>
      <c r="BM7677" s="397"/>
      <c r="BN7677" s="397"/>
      <c r="BO7677" s="397"/>
      <c r="BP7677" s="397"/>
      <c r="BQ7677" s="397"/>
      <c r="BR7677" s="397"/>
      <c r="BS7677" s="397"/>
      <c r="BT7677" s="397"/>
      <c r="BU7677" s="397"/>
      <c r="BV7677" s="397"/>
      <c r="BW7677" s="397"/>
      <c r="BX7677" s="397"/>
      <c r="BY7677" s="397"/>
      <c r="BZ7677" s="397"/>
      <c r="CA7677" s="392" t="s">
        <v>413</v>
      </c>
    </row>
    <row r="7678" spans="1:79" s="392" customFormat="1" ht="15" x14ac:dyDescent="0.25">
      <c r="A7678" s="385"/>
      <c r="D7678" s="700"/>
      <c r="E7678" s="397"/>
      <c r="H7678" s="401">
        <v>3</v>
      </c>
      <c r="I7678" s="401"/>
      <c r="J7678" s="401"/>
      <c r="K7678" s="401"/>
      <c r="L7678" s="675"/>
      <c r="M7678" s="672">
        <v>30950</v>
      </c>
      <c r="N7678" s="623">
        <v>4.137149334088977E-2</v>
      </c>
      <c r="O7678" s="624" t="s">
        <v>71</v>
      </c>
      <c r="P7678" s="397"/>
      <c r="Q7678" s="397"/>
      <c r="R7678" s="397"/>
      <c r="S7678" s="397"/>
      <c r="T7678" s="397"/>
      <c r="U7678" s="397"/>
      <c r="V7678" s="397"/>
      <c r="W7678" s="397"/>
      <c r="X7678" s="397"/>
      <c r="Y7678" s="397"/>
      <c r="Z7678" s="397"/>
      <c r="AD7678" s="388">
        <v>2.37744</v>
      </c>
      <c r="AE7678" s="388">
        <v>0.19507200000000002</v>
      </c>
      <c r="AF7678" s="388">
        <v>0.46377197568000006</v>
      </c>
      <c r="AG7678" s="388">
        <v>7.6200000000000004E-2</v>
      </c>
      <c r="AH7678" s="391"/>
      <c r="AI7678" s="397"/>
      <c r="AJ7678" s="397"/>
      <c r="AU7678" s="397"/>
      <c r="AV7678" s="397"/>
      <c r="AW7678" s="397"/>
      <c r="AX7678" s="397"/>
      <c r="BI7678" s="397"/>
      <c r="BJ7678" s="397"/>
      <c r="BK7678" s="397"/>
      <c r="BL7678" s="397"/>
      <c r="BM7678" s="397"/>
      <c r="BN7678" s="397"/>
      <c r="BO7678" s="397"/>
      <c r="BP7678" s="397"/>
      <c r="BQ7678" s="397"/>
      <c r="BR7678" s="397"/>
      <c r="BS7678" s="397"/>
      <c r="BT7678" s="397"/>
      <c r="BU7678" s="397"/>
      <c r="BV7678" s="397"/>
      <c r="BW7678" s="397"/>
      <c r="BX7678" s="397"/>
      <c r="BY7678" s="397"/>
      <c r="BZ7678" s="397"/>
      <c r="CA7678" s="392" t="s">
        <v>413</v>
      </c>
    </row>
    <row r="7679" spans="1:79" s="392" customFormat="1" ht="15" x14ac:dyDescent="0.25">
      <c r="A7679" s="385"/>
      <c r="D7679" s="700"/>
      <c r="E7679" s="397"/>
      <c r="H7679" s="401">
        <v>3</v>
      </c>
      <c r="I7679" s="401"/>
      <c r="J7679" s="401"/>
      <c r="K7679" s="401"/>
      <c r="L7679" s="675"/>
      <c r="M7679" s="672">
        <v>31175</v>
      </c>
      <c r="N7679" s="623">
        <v>5.7240011334655713E-2</v>
      </c>
      <c r="O7679" s="624">
        <v>7.7066666666666679E-5</v>
      </c>
      <c r="P7679" s="397"/>
      <c r="Q7679" s="397"/>
      <c r="R7679" s="397"/>
      <c r="S7679" s="397"/>
      <c r="T7679" s="397"/>
      <c r="U7679" s="397"/>
      <c r="V7679" s="397"/>
      <c r="W7679" s="397"/>
      <c r="X7679" s="397"/>
      <c r="Y7679" s="397"/>
      <c r="Z7679" s="397"/>
      <c r="AD7679" s="388">
        <v>2.5908000000000002</v>
      </c>
      <c r="AE7679" s="388"/>
      <c r="AF7679" s="388"/>
      <c r="AG7679" s="388"/>
      <c r="AH7679" s="391"/>
      <c r="AI7679" s="397"/>
      <c r="AJ7679" s="397"/>
      <c r="AU7679" s="397"/>
      <c r="AV7679" s="397"/>
      <c r="AW7679" s="397"/>
      <c r="AX7679" s="397"/>
      <c r="BI7679" s="397"/>
      <c r="BJ7679" s="397"/>
      <c r="BK7679" s="397"/>
      <c r="BL7679" s="397"/>
      <c r="BM7679" s="397"/>
      <c r="BN7679" s="397"/>
      <c r="BO7679" s="397"/>
      <c r="BP7679" s="397"/>
      <c r="BQ7679" s="397"/>
      <c r="BR7679" s="397"/>
      <c r="BS7679" s="397"/>
      <c r="BT7679" s="397"/>
      <c r="BU7679" s="397"/>
      <c r="BV7679" s="397"/>
      <c r="BW7679" s="397"/>
      <c r="BX7679" s="397"/>
      <c r="BY7679" s="397"/>
      <c r="BZ7679" s="397"/>
      <c r="CA7679" s="392" t="s">
        <v>413</v>
      </c>
    </row>
    <row r="7680" spans="1:79" s="392" customFormat="1" ht="15" x14ac:dyDescent="0.25">
      <c r="A7680" s="385"/>
      <c r="D7680" s="700"/>
      <c r="E7680" s="397"/>
      <c r="H7680" s="401">
        <v>3</v>
      </c>
      <c r="I7680" s="401"/>
      <c r="J7680" s="401"/>
      <c r="K7680" s="401"/>
      <c r="L7680" s="675"/>
      <c r="M7680" s="672">
        <v>31203</v>
      </c>
      <c r="N7680" s="623">
        <v>0.34599036554264667</v>
      </c>
      <c r="O7680" s="624">
        <v>6.1025000000000003E-3</v>
      </c>
      <c r="P7680" s="397"/>
      <c r="Q7680" s="397"/>
      <c r="R7680" s="397"/>
      <c r="S7680" s="397"/>
      <c r="T7680" s="397"/>
      <c r="U7680" s="397"/>
      <c r="V7680" s="397"/>
      <c r="W7680" s="397"/>
      <c r="X7680" s="397"/>
      <c r="Y7680" s="397"/>
      <c r="Z7680" s="397"/>
      <c r="AD7680" s="388">
        <v>3.81</v>
      </c>
      <c r="AE7680" s="388"/>
      <c r="AF7680" s="388"/>
      <c r="AG7680" s="388"/>
      <c r="AH7680" s="391"/>
      <c r="AI7680" s="397"/>
      <c r="AJ7680" s="397"/>
      <c r="AU7680" s="397"/>
      <c r="AV7680" s="397"/>
      <c r="AW7680" s="397"/>
      <c r="AX7680" s="397"/>
      <c r="BI7680" s="397"/>
      <c r="BJ7680" s="397"/>
      <c r="BK7680" s="397"/>
      <c r="BL7680" s="397"/>
      <c r="BM7680" s="397"/>
      <c r="BN7680" s="397"/>
      <c r="BO7680" s="397"/>
      <c r="BP7680" s="397"/>
      <c r="BQ7680" s="397"/>
      <c r="BR7680" s="397"/>
      <c r="BS7680" s="397"/>
      <c r="BT7680" s="397"/>
      <c r="BU7680" s="397"/>
      <c r="BV7680" s="397"/>
      <c r="BW7680" s="397"/>
      <c r="BX7680" s="397"/>
      <c r="BY7680" s="397"/>
      <c r="BZ7680" s="397"/>
      <c r="CA7680" s="392" t="s">
        <v>413</v>
      </c>
    </row>
    <row r="7681" spans="1:80" s="392" customFormat="1" ht="15" x14ac:dyDescent="0.25">
      <c r="A7681" s="385"/>
      <c r="D7681" s="700"/>
      <c r="E7681" s="397"/>
      <c r="H7681" s="401">
        <v>3</v>
      </c>
      <c r="I7681" s="401"/>
      <c r="J7681" s="401"/>
      <c r="K7681" s="401"/>
      <c r="L7681" s="675"/>
      <c r="M7681" s="672">
        <v>31211</v>
      </c>
      <c r="N7681" s="623">
        <v>0.58685179937659393</v>
      </c>
      <c r="O7681" s="624">
        <v>5.5593999999999999E-4</v>
      </c>
      <c r="P7681" s="397"/>
      <c r="Q7681" s="397"/>
      <c r="R7681" s="397"/>
      <c r="S7681" s="397"/>
      <c r="T7681" s="397"/>
      <c r="U7681" s="397"/>
      <c r="V7681" s="397"/>
      <c r="W7681" s="397"/>
      <c r="X7681" s="397"/>
      <c r="Y7681" s="397"/>
      <c r="Z7681" s="397"/>
      <c r="AD7681" s="388">
        <v>4.0538400000000001</v>
      </c>
      <c r="AE7681" s="388"/>
      <c r="AF7681" s="388"/>
      <c r="AG7681" s="388"/>
      <c r="AH7681" s="391"/>
      <c r="AI7681" s="397"/>
      <c r="AJ7681" s="397"/>
      <c r="AU7681" s="397"/>
      <c r="AV7681" s="397"/>
      <c r="AW7681" s="397"/>
      <c r="AX7681" s="397"/>
      <c r="BI7681" s="397"/>
      <c r="BJ7681" s="397"/>
      <c r="BK7681" s="397"/>
      <c r="BL7681" s="397"/>
      <c r="BM7681" s="397"/>
      <c r="BN7681" s="397"/>
      <c r="BO7681" s="397"/>
      <c r="BP7681" s="397"/>
      <c r="BQ7681" s="397"/>
      <c r="BR7681" s="397"/>
      <c r="BS7681" s="397"/>
      <c r="BT7681" s="397"/>
      <c r="BU7681" s="397"/>
      <c r="BV7681" s="397"/>
      <c r="BW7681" s="397"/>
      <c r="BX7681" s="397"/>
      <c r="BY7681" s="397"/>
      <c r="BZ7681" s="397"/>
      <c r="CA7681" s="392" t="s">
        <v>413</v>
      </c>
    </row>
    <row r="7682" spans="1:80" s="392" customFormat="1" ht="15" x14ac:dyDescent="0.25">
      <c r="A7682" s="385"/>
      <c r="D7682" s="700"/>
      <c r="E7682" s="397"/>
      <c r="H7682" s="401">
        <v>3</v>
      </c>
      <c r="I7682" s="401"/>
      <c r="J7682" s="401"/>
      <c r="K7682" s="401"/>
      <c r="L7682" s="675"/>
      <c r="M7682" s="672">
        <v>31217</v>
      </c>
      <c r="N7682" s="623">
        <v>0.49008217625389633</v>
      </c>
      <c r="O7682" s="624">
        <v>3.0391999999999995E-4</v>
      </c>
      <c r="P7682" s="397"/>
      <c r="Q7682" s="397"/>
      <c r="R7682" s="397"/>
      <c r="S7682" s="397"/>
      <c r="T7682" s="397"/>
      <c r="U7682" s="397"/>
      <c r="V7682" s="397"/>
      <c r="W7682" s="397"/>
      <c r="X7682" s="397"/>
      <c r="Y7682" s="397"/>
      <c r="Z7682" s="397"/>
      <c r="AD7682" s="388">
        <v>3.99288</v>
      </c>
      <c r="AE7682" s="388"/>
      <c r="AF7682" s="388"/>
      <c r="AG7682" s="388"/>
      <c r="AH7682" s="391"/>
      <c r="AI7682" s="397"/>
      <c r="AJ7682" s="397"/>
      <c r="AU7682" s="397"/>
      <c r="AV7682" s="397"/>
      <c r="AW7682" s="397"/>
      <c r="AX7682" s="397"/>
      <c r="BI7682" s="397"/>
      <c r="BJ7682" s="397"/>
      <c r="BK7682" s="397"/>
      <c r="BL7682" s="397"/>
      <c r="BM7682" s="397"/>
      <c r="BN7682" s="397"/>
      <c r="BO7682" s="397"/>
      <c r="BP7682" s="397"/>
      <c r="BQ7682" s="397"/>
      <c r="BR7682" s="397"/>
      <c r="BS7682" s="397"/>
      <c r="BT7682" s="397"/>
      <c r="BU7682" s="397"/>
      <c r="BV7682" s="397"/>
      <c r="BW7682" s="397"/>
      <c r="BX7682" s="397"/>
      <c r="BY7682" s="397"/>
      <c r="BZ7682" s="397"/>
      <c r="CA7682" s="392" t="s">
        <v>413</v>
      </c>
    </row>
    <row r="7683" spans="1:80" s="392" customFormat="1" ht="15" x14ac:dyDescent="0.25">
      <c r="A7683" s="385"/>
      <c r="D7683" s="700"/>
      <c r="E7683" s="397"/>
      <c r="H7683" s="401">
        <v>3</v>
      </c>
      <c r="I7683" s="401"/>
      <c r="J7683" s="401"/>
      <c r="K7683" s="401"/>
      <c r="L7683" s="675"/>
      <c r="M7683" s="672">
        <v>31227</v>
      </c>
      <c r="N7683" s="623">
        <v>0.28988381977897421</v>
      </c>
      <c r="O7683" s="624">
        <v>4.06E-4</v>
      </c>
      <c r="P7683" s="397"/>
      <c r="Q7683" s="397"/>
      <c r="R7683" s="397"/>
      <c r="S7683" s="397"/>
      <c r="T7683" s="397"/>
      <c r="U7683" s="397"/>
      <c r="V7683" s="397"/>
      <c r="W7683" s="397"/>
      <c r="X7683" s="397"/>
      <c r="Y7683" s="397"/>
      <c r="Z7683" s="397"/>
      <c r="AD7683" s="388">
        <v>3.5356800000000002</v>
      </c>
      <c r="AE7683" s="388"/>
      <c r="AF7683" s="388"/>
      <c r="AG7683" s="388"/>
      <c r="AH7683" s="391"/>
      <c r="AI7683" s="397"/>
      <c r="AJ7683" s="397"/>
      <c r="AU7683" s="397"/>
      <c r="AV7683" s="397"/>
      <c r="AW7683" s="397"/>
      <c r="AX7683" s="397"/>
      <c r="BI7683" s="397"/>
      <c r="BJ7683" s="397"/>
      <c r="BK7683" s="397"/>
      <c r="BL7683" s="397"/>
      <c r="BM7683" s="397"/>
      <c r="BN7683" s="397"/>
      <c r="BO7683" s="397"/>
      <c r="BP7683" s="397"/>
      <c r="BQ7683" s="397"/>
      <c r="BR7683" s="397"/>
      <c r="BS7683" s="397"/>
      <c r="BT7683" s="397"/>
      <c r="BU7683" s="397"/>
      <c r="BV7683" s="397"/>
      <c r="BW7683" s="397"/>
      <c r="BX7683" s="397"/>
      <c r="BY7683" s="397"/>
      <c r="BZ7683" s="397"/>
      <c r="CA7683" s="392" t="s">
        <v>413</v>
      </c>
    </row>
    <row r="7684" spans="1:80" s="392" customFormat="1" ht="15" x14ac:dyDescent="0.25">
      <c r="A7684" s="385"/>
      <c r="D7684" s="700"/>
      <c r="E7684" s="397"/>
      <c r="H7684" s="401">
        <v>3</v>
      </c>
      <c r="I7684" s="401"/>
      <c r="J7684" s="401"/>
      <c r="K7684" s="401"/>
      <c r="L7684" s="675"/>
      <c r="M7684" s="672">
        <v>31231</v>
      </c>
      <c r="N7684" s="623">
        <v>0.19155568149617455</v>
      </c>
      <c r="O7684" s="624">
        <v>6.5013333333333327E-4</v>
      </c>
      <c r="P7684" s="397"/>
      <c r="Q7684" s="397"/>
      <c r="R7684" s="397"/>
      <c r="S7684" s="397"/>
      <c r="T7684" s="397"/>
      <c r="U7684" s="397"/>
      <c r="V7684" s="397"/>
      <c r="W7684" s="397"/>
      <c r="X7684" s="397"/>
      <c r="Y7684" s="397"/>
      <c r="Z7684" s="397"/>
      <c r="AD7684" s="388">
        <v>3.23088</v>
      </c>
      <c r="AE7684" s="388"/>
      <c r="AF7684" s="388"/>
      <c r="AG7684" s="388"/>
      <c r="AH7684" s="391"/>
      <c r="AI7684" s="397"/>
      <c r="AJ7684" s="397"/>
      <c r="AU7684" s="397"/>
      <c r="AV7684" s="397"/>
      <c r="AW7684" s="397"/>
      <c r="AX7684" s="397"/>
      <c r="BI7684" s="397"/>
      <c r="BJ7684" s="397"/>
      <c r="BK7684" s="397"/>
      <c r="BL7684" s="397"/>
      <c r="BM7684" s="397"/>
      <c r="BN7684" s="397"/>
      <c r="BO7684" s="397"/>
      <c r="BP7684" s="397"/>
      <c r="BQ7684" s="397"/>
      <c r="BR7684" s="397"/>
      <c r="BS7684" s="397"/>
      <c r="BT7684" s="397"/>
      <c r="BU7684" s="397"/>
      <c r="BV7684" s="397"/>
      <c r="BW7684" s="397"/>
      <c r="BX7684" s="397"/>
      <c r="BY7684" s="397"/>
      <c r="BZ7684" s="397"/>
      <c r="CA7684" s="392" t="s">
        <v>413</v>
      </c>
    </row>
    <row r="7685" spans="1:80" s="392" customFormat="1" ht="15" x14ac:dyDescent="0.25">
      <c r="A7685" s="385"/>
      <c r="D7685" s="700"/>
      <c r="E7685" s="397"/>
      <c r="H7685" s="401">
        <v>3</v>
      </c>
      <c r="I7685" s="401"/>
      <c r="J7685" s="401"/>
      <c r="K7685" s="401"/>
      <c r="L7685" s="675"/>
      <c r="M7685" s="672">
        <v>31238</v>
      </c>
      <c r="N7685" s="623">
        <v>0.19016718617172004</v>
      </c>
      <c r="O7685" s="624">
        <v>4.1516000000000008E-4</v>
      </c>
      <c r="P7685" s="397"/>
      <c r="Q7685" s="397"/>
      <c r="R7685" s="397"/>
      <c r="S7685" s="397"/>
      <c r="T7685" s="397"/>
      <c r="U7685" s="397"/>
      <c r="V7685" s="397"/>
      <c r="W7685" s="397"/>
      <c r="X7685" s="397"/>
      <c r="Y7685" s="397"/>
      <c r="Z7685" s="397"/>
      <c r="AD7685" s="388">
        <v>3.2613599999999998</v>
      </c>
      <c r="AE7685" s="388"/>
      <c r="AF7685" s="388"/>
      <c r="AG7685" s="388"/>
      <c r="AH7685" s="391"/>
      <c r="AI7685" s="397"/>
      <c r="AJ7685" s="397"/>
      <c r="AU7685" s="397"/>
      <c r="AV7685" s="397"/>
      <c r="AW7685" s="397"/>
      <c r="AX7685" s="397"/>
      <c r="BI7685" s="397"/>
      <c r="BJ7685" s="397"/>
      <c r="BK7685" s="397"/>
      <c r="BL7685" s="397"/>
      <c r="BM7685" s="397"/>
      <c r="BN7685" s="397"/>
      <c r="BO7685" s="397"/>
      <c r="BP7685" s="397"/>
      <c r="BQ7685" s="397"/>
      <c r="BR7685" s="397"/>
      <c r="BS7685" s="397"/>
      <c r="BT7685" s="397"/>
      <c r="BU7685" s="397"/>
      <c r="BV7685" s="397"/>
      <c r="BW7685" s="397"/>
      <c r="BX7685" s="397"/>
      <c r="BY7685" s="397"/>
      <c r="BZ7685" s="397"/>
      <c r="CA7685" s="392" t="s">
        <v>413</v>
      </c>
    </row>
    <row r="7686" spans="1:80" s="392" customFormat="1" ht="15" x14ac:dyDescent="0.25">
      <c r="A7686" s="385"/>
      <c r="D7686" s="700"/>
      <c r="E7686" s="397"/>
      <c r="H7686" s="401">
        <v>3</v>
      </c>
      <c r="I7686" s="401"/>
      <c r="J7686" s="401"/>
      <c r="K7686" s="401"/>
      <c r="L7686" s="675"/>
      <c r="M7686" s="672">
        <v>31246</v>
      </c>
      <c r="N7686" s="623">
        <v>0.17001983564749221</v>
      </c>
      <c r="O7686" s="624">
        <v>1.6253333333333332E-4</v>
      </c>
      <c r="P7686" s="397"/>
      <c r="Q7686" s="397"/>
      <c r="R7686" s="397"/>
      <c r="S7686" s="397"/>
      <c r="T7686" s="397"/>
      <c r="U7686" s="397"/>
      <c r="V7686" s="397"/>
      <c r="W7686" s="397"/>
      <c r="X7686" s="397"/>
      <c r="Y7686" s="397"/>
      <c r="Z7686" s="397"/>
      <c r="AD7686" s="388">
        <v>3.23088</v>
      </c>
      <c r="AE7686" s="388"/>
      <c r="AF7686" s="388"/>
      <c r="AG7686" s="388"/>
      <c r="AH7686" s="391"/>
      <c r="AI7686" s="397"/>
      <c r="AJ7686" s="397"/>
      <c r="AU7686" s="397"/>
      <c r="AV7686" s="397"/>
      <c r="AW7686" s="397"/>
      <c r="AX7686" s="397"/>
      <c r="BI7686" s="397"/>
      <c r="BJ7686" s="397"/>
      <c r="BK7686" s="397"/>
      <c r="BL7686" s="397"/>
      <c r="BM7686" s="397"/>
      <c r="BN7686" s="397"/>
      <c r="BO7686" s="397"/>
      <c r="BP7686" s="397"/>
      <c r="BQ7686" s="397"/>
      <c r="BR7686" s="397"/>
      <c r="BS7686" s="397"/>
      <c r="BT7686" s="397"/>
      <c r="BU7686" s="397"/>
      <c r="BV7686" s="397"/>
      <c r="BW7686" s="397"/>
      <c r="BX7686" s="397"/>
      <c r="BY7686" s="397"/>
      <c r="BZ7686" s="397"/>
      <c r="CA7686" s="392" t="s">
        <v>413</v>
      </c>
    </row>
    <row r="7687" spans="1:80" s="392" customFormat="1" ht="15" x14ac:dyDescent="0.25">
      <c r="A7687" s="385"/>
      <c r="D7687" s="700"/>
      <c r="E7687" s="397"/>
      <c r="H7687" s="401">
        <v>3</v>
      </c>
      <c r="I7687" s="401"/>
      <c r="J7687" s="401"/>
      <c r="K7687" s="401"/>
      <c r="L7687" s="675"/>
      <c r="M7687" s="672">
        <v>31252</v>
      </c>
      <c r="N7687" s="623">
        <v>0.16772456786625106</v>
      </c>
      <c r="O7687" s="624">
        <v>2.2644000000000002E-5</v>
      </c>
      <c r="P7687" s="397"/>
      <c r="Q7687" s="397"/>
      <c r="R7687" s="397"/>
      <c r="S7687" s="397"/>
      <c r="T7687" s="397"/>
      <c r="U7687" s="397"/>
      <c r="V7687" s="397"/>
      <c r="W7687" s="397"/>
      <c r="X7687" s="397"/>
      <c r="Y7687" s="397"/>
      <c r="Z7687" s="397"/>
      <c r="AD7687" s="388">
        <v>3.1089599999999997</v>
      </c>
      <c r="AE7687" s="388"/>
      <c r="AF7687" s="388"/>
      <c r="AG7687" s="388"/>
      <c r="AH7687" s="391"/>
      <c r="AI7687" s="397"/>
      <c r="AJ7687" s="397"/>
      <c r="AU7687" s="397"/>
      <c r="AV7687" s="397"/>
      <c r="AW7687" s="397"/>
      <c r="AX7687" s="397"/>
      <c r="BI7687" s="397"/>
      <c r="BJ7687" s="397"/>
      <c r="BK7687" s="397"/>
      <c r="BL7687" s="397"/>
      <c r="BM7687" s="397"/>
      <c r="BN7687" s="397"/>
      <c r="BO7687" s="397"/>
      <c r="BP7687" s="397"/>
      <c r="BQ7687" s="397"/>
      <c r="BR7687" s="397"/>
      <c r="BS7687" s="397"/>
      <c r="BT7687" s="397"/>
      <c r="BU7687" s="397"/>
      <c r="BV7687" s="397"/>
      <c r="BW7687" s="397"/>
      <c r="BX7687" s="397"/>
      <c r="BY7687" s="397"/>
      <c r="BZ7687" s="397"/>
      <c r="CA7687" s="392" t="s">
        <v>413</v>
      </c>
    </row>
    <row r="7688" spans="1:80" s="392" customFormat="1" ht="15" x14ac:dyDescent="0.25">
      <c r="A7688" s="385"/>
      <c r="D7688" s="700"/>
      <c r="E7688" s="397"/>
      <c r="H7688" s="401">
        <v>3</v>
      </c>
      <c r="I7688" s="401"/>
      <c r="J7688" s="401"/>
      <c r="K7688" s="401"/>
      <c r="L7688" s="675"/>
      <c r="M7688" s="672">
        <v>31260</v>
      </c>
      <c r="N7688" s="623">
        <v>0.12181921224142818</v>
      </c>
      <c r="O7688" s="624">
        <v>1.7408E-5</v>
      </c>
      <c r="P7688" s="397"/>
      <c r="Q7688" s="397"/>
      <c r="R7688" s="397"/>
      <c r="S7688" s="397"/>
      <c r="T7688" s="397"/>
      <c r="U7688" s="397"/>
      <c r="V7688" s="397"/>
      <c r="W7688" s="397"/>
      <c r="X7688" s="397"/>
      <c r="Y7688" s="397"/>
      <c r="Z7688" s="397"/>
      <c r="AD7688" s="388">
        <v>3.1089599999999997</v>
      </c>
      <c r="AE7688" s="388"/>
      <c r="AF7688" s="388"/>
      <c r="AG7688" s="388"/>
      <c r="AH7688" s="391"/>
      <c r="AI7688" s="397"/>
      <c r="AJ7688" s="397"/>
      <c r="AU7688" s="397"/>
      <c r="AV7688" s="397"/>
      <c r="AW7688" s="397"/>
      <c r="AX7688" s="397"/>
      <c r="BI7688" s="397"/>
      <c r="BJ7688" s="397"/>
      <c r="BK7688" s="397"/>
      <c r="BL7688" s="397"/>
      <c r="BM7688" s="397"/>
      <c r="BN7688" s="397"/>
      <c r="BO7688" s="397"/>
      <c r="BP7688" s="397"/>
      <c r="BQ7688" s="397"/>
      <c r="BR7688" s="397"/>
      <c r="BS7688" s="397"/>
      <c r="BT7688" s="397"/>
      <c r="BU7688" s="397"/>
      <c r="BV7688" s="397"/>
      <c r="BW7688" s="397"/>
      <c r="BX7688" s="397"/>
      <c r="BY7688" s="397"/>
      <c r="BZ7688" s="397"/>
      <c r="CA7688" s="392" t="s">
        <v>413</v>
      </c>
    </row>
    <row r="7689" spans="1:80" s="392" customFormat="1" ht="15" x14ac:dyDescent="0.25">
      <c r="A7689" s="385"/>
      <c r="D7689" s="700"/>
      <c r="E7689" s="397"/>
      <c r="H7689" s="401">
        <v>3</v>
      </c>
      <c r="I7689" s="401"/>
      <c r="J7689" s="401"/>
      <c r="K7689" s="401"/>
      <c r="L7689" s="675"/>
      <c r="M7689" s="672">
        <v>31266</v>
      </c>
      <c r="N7689" s="623">
        <v>8.954378010767923E-2</v>
      </c>
      <c r="O7689" s="624">
        <v>1.4074666666666668E-5</v>
      </c>
      <c r="P7689" s="397"/>
      <c r="Q7689" s="397"/>
      <c r="R7689" s="397"/>
      <c r="S7689" s="397"/>
      <c r="T7689" s="397"/>
      <c r="U7689" s="397"/>
      <c r="V7689" s="397"/>
      <c r="W7689" s="397"/>
      <c r="X7689" s="397"/>
      <c r="Y7689" s="397"/>
      <c r="Z7689" s="397"/>
      <c r="AD7689" s="388">
        <v>2.7736800000000001</v>
      </c>
      <c r="AE7689" s="388"/>
      <c r="AF7689" s="388"/>
      <c r="AG7689" s="388"/>
      <c r="AH7689" s="391"/>
      <c r="AI7689" s="397"/>
      <c r="AJ7689" s="397"/>
      <c r="AU7689" s="397"/>
      <c r="AV7689" s="397"/>
      <c r="AW7689" s="397"/>
      <c r="AX7689" s="397"/>
      <c r="BI7689" s="397"/>
      <c r="BJ7689" s="397"/>
      <c r="BK7689" s="397"/>
      <c r="BL7689" s="397"/>
      <c r="BM7689" s="397"/>
      <c r="BN7689" s="397"/>
      <c r="BO7689" s="397"/>
      <c r="BP7689" s="397"/>
      <c r="BQ7689" s="397"/>
      <c r="BR7689" s="397"/>
      <c r="BS7689" s="397"/>
      <c r="BT7689" s="397"/>
      <c r="BU7689" s="397"/>
      <c r="BV7689" s="397"/>
      <c r="BW7689" s="397"/>
      <c r="BX7689" s="397"/>
      <c r="BY7689" s="397"/>
      <c r="BZ7689" s="397"/>
      <c r="CA7689" s="392" t="s">
        <v>413</v>
      </c>
    </row>
    <row r="7690" spans="1:80" s="392" customFormat="1" ht="15" x14ac:dyDescent="0.25">
      <c r="A7690" s="385"/>
      <c r="D7690" s="700"/>
      <c r="E7690" s="397"/>
      <c r="H7690" s="401">
        <v>3</v>
      </c>
      <c r="I7690" s="401"/>
      <c r="J7690" s="401"/>
      <c r="K7690" s="401"/>
      <c r="L7690" s="675"/>
      <c r="M7690" s="672">
        <v>31273</v>
      </c>
      <c r="N7690" s="623">
        <v>8.2771323321054122E-2</v>
      </c>
      <c r="O7690" s="624">
        <v>1.0354000000000001E-5</v>
      </c>
      <c r="P7690" s="397"/>
      <c r="Q7690" s="397"/>
      <c r="R7690" s="397"/>
      <c r="S7690" s="397"/>
      <c r="T7690" s="397"/>
      <c r="U7690" s="397"/>
      <c r="V7690" s="397"/>
      <c r="W7690" s="397"/>
      <c r="X7690" s="397"/>
      <c r="Y7690" s="397"/>
      <c r="Z7690" s="397"/>
      <c r="AD7690" s="388">
        <v>2.8346400000000003</v>
      </c>
      <c r="AE7690" s="388"/>
      <c r="AF7690" s="388"/>
      <c r="AG7690" s="388"/>
      <c r="AH7690" s="391"/>
      <c r="AI7690" s="397"/>
      <c r="AJ7690" s="397"/>
      <c r="AU7690" s="397"/>
      <c r="AV7690" s="397"/>
      <c r="AW7690" s="397"/>
      <c r="AX7690" s="397"/>
      <c r="BI7690" s="397"/>
      <c r="BJ7690" s="397"/>
      <c r="BK7690" s="397"/>
      <c r="BL7690" s="397"/>
      <c r="BM7690" s="397"/>
      <c r="BN7690" s="397"/>
      <c r="BO7690" s="397"/>
      <c r="BP7690" s="397"/>
      <c r="BQ7690" s="397"/>
      <c r="BR7690" s="397"/>
      <c r="BS7690" s="397"/>
      <c r="BT7690" s="397"/>
      <c r="BU7690" s="397"/>
      <c r="BV7690" s="397"/>
      <c r="BW7690" s="397"/>
      <c r="BX7690" s="397"/>
      <c r="BY7690" s="397"/>
      <c r="BZ7690" s="397"/>
      <c r="CA7690" s="392" t="s">
        <v>413</v>
      </c>
    </row>
    <row r="7691" spans="1:80" s="392" customFormat="1" ht="15" x14ac:dyDescent="0.25">
      <c r="A7691" s="385"/>
      <c r="D7691" s="700"/>
      <c r="E7691" s="397"/>
      <c r="H7691" s="401">
        <v>3</v>
      </c>
      <c r="I7691" s="401"/>
      <c r="J7691" s="401"/>
      <c r="K7691" s="401"/>
      <c r="L7691" s="675"/>
      <c r="M7691" s="672">
        <v>31281</v>
      </c>
      <c r="N7691" s="623">
        <v>6.7667894587701893E-2</v>
      </c>
      <c r="O7691" s="624">
        <v>1.3764000000000001E-5</v>
      </c>
      <c r="P7691" s="397"/>
      <c r="Q7691" s="397"/>
      <c r="R7691" s="397"/>
      <c r="S7691" s="397"/>
      <c r="T7691" s="397"/>
      <c r="U7691" s="397"/>
      <c r="V7691" s="397"/>
      <c r="W7691" s="397"/>
      <c r="X7691" s="397"/>
      <c r="Y7691" s="397"/>
      <c r="Z7691" s="397"/>
      <c r="AD7691" s="388">
        <v>2.8346400000000003</v>
      </c>
      <c r="AE7691" s="388"/>
      <c r="AF7691" s="388"/>
      <c r="AG7691" s="388"/>
      <c r="AH7691" s="391"/>
      <c r="AI7691" s="397"/>
      <c r="AJ7691" s="397"/>
      <c r="AU7691" s="397"/>
      <c r="AV7691" s="397"/>
      <c r="AW7691" s="397"/>
      <c r="AX7691" s="397"/>
      <c r="BI7691" s="397"/>
      <c r="BJ7691" s="397"/>
      <c r="BK7691" s="397"/>
      <c r="BL7691" s="397"/>
      <c r="BM7691" s="397"/>
      <c r="BN7691" s="397"/>
      <c r="BO7691" s="397"/>
      <c r="BP7691" s="397"/>
      <c r="BQ7691" s="397"/>
      <c r="BR7691" s="397"/>
      <c r="BS7691" s="397"/>
      <c r="BT7691" s="397"/>
      <c r="BU7691" s="397"/>
      <c r="BV7691" s="397"/>
      <c r="BW7691" s="397"/>
      <c r="BX7691" s="397"/>
      <c r="BY7691" s="397"/>
      <c r="BZ7691" s="397"/>
      <c r="CA7691" s="392" t="s">
        <v>413</v>
      </c>
    </row>
    <row r="7692" spans="1:80" s="189" customFormat="1" ht="15" x14ac:dyDescent="0.25">
      <c r="A7692" s="381" t="s">
        <v>488</v>
      </c>
      <c r="B7692" s="641"/>
      <c r="C7692" s="639"/>
      <c r="D7692" s="4">
        <f>VLOOKUP(E7692,'Quality Code'!$D$4:$E$24,2,TRUE)*VLOOKUP(MROUND(F7692,10),'Quality Code'!$D$28:$E$69,2,TRUE)*VLOOKUP(COUNTA(CB7692:CB7702),'Quality Code'!$D$73:$E$93,2,TRUE)</f>
        <v>7.4999999999999997E-2</v>
      </c>
      <c r="E7692" s="14">
        <v>0.3</v>
      </c>
      <c r="F7692" s="2">
        <v>6</v>
      </c>
      <c r="G7692" s="12"/>
      <c r="H7692" s="2" t="s">
        <v>105</v>
      </c>
      <c r="I7692" s="2"/>
      <c r="J7692" s="2"/>
      <c r="K7692" s="2"/>
      <c r="L7692" s="639"/>
      <c r="M7692" s="640">
        <v>1978</v>
      </c>
      <c r="N7692" s="578" t="s">
        <v>110</v>
      </c>
      <c r="O7692" s="578"/>
      <c r="P7692" s="26"/>
      <c r="Q7692" s="26"/>
      <c r="R7692" s="26"/>
      <c r="S7692" s="26"/>
      <c r="T7692" s="26"/>
      <c r="U7692" s="26"/>
      <c r="V7692" s="10"/>
      <c r="W7692" s="10"/>
      <c r="X7692" s="10"/>
      <c r="Y7692" s="10"/>
      <c r="Z7692" s="26"/>
      <c r="AA7692" s="26"/>
      <c r="AB7692" s="26"/>
      <c r="AC7692" s="3">
        <v>4.7999999999999996E-3</v>
      </c>
      <c r="AD7692" s="406"/>
      <c r="AE7692" s="26"/>
      <c r="AF7692" s="26"/>
      <c r="AG7692" s="26"/>
      <c r="AH7692" s="26"/>
      <c r="AI7692" s="4"/>
      <c r="AJ7692" s="4"/>
      <c r="AK7692" s="26"/>
      <c r="AL7692" s="26"/>
      <c r="AM7692" s="26"/>
      <c r="AN7692" s="26"/>
      <c r="AO7692" s="26"/>
      <c r="AP7692" s="26"/>
      <c r="AQ7692" s="26"/>
      <c r="AR7692" s="26"/>
      <c r="AS7692" s="26"/>
      <c r="AT7692" s="26"/>
      <c r="AU7692" s="4"/>
      <c r="AV7692" s="4"/>
      <c r="AW7692" s="4"/>
      <c r="AX7692" s="4"/>
      <c r="AY7692" s="2"/>
      <c r="AZ7692" s="2"/>
      <c r="BA7692" s="12"/>
      <c r="BB7692" s="12"/>
      <c r="BC7692" s="12"/>
      <c r="BD7692" s="12"/>
      <c r="BE7692" s="12"/>
      <c r="BF7692" s="12"/>
      <c r="BG7692" s="12"/>
      <c r="BH7692" s="12"/>
      <c r="BI7692" s="4"/>
      <c r="BJ7692" s="12"/>
      <c r="BK7692" s="2"/>
      <c r="BL7692" s="2"/>
      <c r="BM7692" s="4"/>
      <c r="BN7692" s="12"/>
      <c r="BO7692" s="12"/>
      <c r="BP7692" s="12"/>
      <c r="BQ7692" s="4"/>
      <c r="BR7692" s="4"/>
      <c r="BS7692" s="4"/>
      <c r="BT7692" s="2"/>
      <c r="BU7692" s="9"/>
      <c r="BV7692" s="381"/>
      <c r="BW7692" s="382"/>
      <c r="BX7692" s="383"/>
      <c r="BY7692" s="383"/>
      <c r="BZ7692" s="383"/>
      <c r="CA7692" s="384" t="s">
        <v>413</v>
      </c>
      <c r="CB7692" s="411"/>
    </row>
    <row r="7693" spans="1:80" s="392" customFormat="1" ht="15" x14ac:dyDescent="0.25">
      <c r="A7693" s="385"/>
      <c r="D7693" s="700"/>
      <c r="E7693" s="397"/>
      <c r="H7693" s="401">
        <v>3</v>
      </c>
      <c r="I7693" s="401"/>
      <c r="J7693" s="401"/>
      <c r="K7693" s="401"/>
      <c r="L7693" s="675"/>
      <c r="M7693" s="672">
        <v>28637</v>
      </c>
      <c r="N7693" s="623">
        <v>6.1054122981014451</v>
      </c>
      <c r="O7693" s="624">
        <v>0.26313999999999999</v>
      </c>
      <c r="P7693" s="397"/>
      <c r="Q7693" s="397"/>
      <c r="R7693" s="397"/>
      <c r="S7693" s="397"/>
      <c r="T7693" s="397"/>
      <c r="U7693" s="397"/>
      <c r="V7693" s="397"/>
      <c r="W7693" s="397"/>
      <c r="X7693" s="397"/>
      <c r="Y7693" s="397"/>
      <c r="Z7693" s="397"/>
      <c r="AD7693" s="388">
        <v>16.992599999999999</v>
      </c>
      <c r="AE7693" s="388"/>
      <c r="AF7693" s="388"/>
      <c r="AG7693" s="388"/>
      <c r="AH7693" s="391"/>
      <c r="AI7693" s="397"/>
      <c r="AJ7693" s="397"/>
      <c r="AU7693" s="397"/>
      <c r="AV7693" s="397"/>
      <c r="AW7693" s="397"/>
      <c r="AX7693" s="397"/>
      <c r="BI7693" s="397"/>
      <c r="BJ7693" s="397"/>
      <c r="BK7693" s="397"/>
      <c r="BL7693" s="397"/>
      <c r="BM7693" s="397"/>
      <c r="BN7693" s="397"/>
      <c r="BO7693" s="397"/>
      <c r="BP7693" s="397"/>
      <c r="BQ7693" s="397"/>
      <c r="BR7693" s="397"/>
      <c r="BS7693" s="397"/>
      <c r="BT7693" s="397"/>
      <c r="BU7693" s="397"/>
      <c r="BV7693" s="397"/>
      <c r="BW7693" s="397"/>
      <c r="BX7693" s="397"/>
      <c r="BY7693" s="397"/>
      <c r="BZ7693" s="397"/>
      <c r="CA7693" s="392" t="s">
        <v>413</v>
      </c>
    </row>
    <row r="7694" spans="1:80" s="392" customFormat="1" ht="15" x14ac:dyDescent="0.25">
      <c r="A7694" s="385"/>
      <c r="D7694" s="700"/>
      <c r="E7694" s="397"/>
      <c r="H7694" s="401">
        <v>3</v>
      </c>
      <c r="I7694" s="401"/>
      <c r="J7694" s="401"/>
      <c r="K7694" s="401"/>
      <c r="L7694" s="675"/>
      <c r="M7694" s="672">
        <v>28646</v>
      </c>
      <c r="N7694" s="623">
        <v>5.6336072541796547</v>
      </c>
      <c r="O7694" s="624">
        <v>7.989333333333333E-2</v>
      </c>
      <c r="P7694" s="397"/>
      <c r="Q7694" s="397"/>
      <c r="R7694" s="397"/>
      <c r="S7694" s="397"/>
      <c r="T7694" s="397"/>
      <c r="U7694" s="397"/>
      <c r="V7694" s="397"/>
      <c r="W7694" s="397"/>
      <c r="X7694" s="397"/>
      <c r="Y7694" s="397"/>
      <c r="Z7694" s="397"/>
      <c r="AD7694" s="388">
        <v>17.0688</v>
      </c>
      <c r="AE7694" s="388"/>
      <c r="AF7694" s="388"/>
      <c r="AG7694" s="388"/>
      <c r="AH7694" s="391"/>
      <c r="AI7694" s="397"/>
      <c r="AJ7694" s="397"/>
      <c r="AU7694" s="397"/>
      <c r="AV7694" s="397"/>
      <c r="AW7694" s="397"/>
      <c r="AX7694" s="397"/>
      <c r="BI7694" s="397"/>
      <c r="BJ7694" s="397"/>
      <c r="BK7694" s="397"/>
      <c r="BL7694" s="397"/>
      <c r="BM7694" s="397"/>
      <c r="BN7694" s="397"/>
      <c r="BO7694" s="397"/>
      <c r="BP7694" s="397"/>
      <c r="BQ7694" s="397"/>
      <c r="BR7694" s="397"/>
      <c r="BS7694" s="397"/>
      <c r="BT7694" s="397"/>
      <c r="BU7694" s="397"/>
      <c r="BV7694" s="397"/>
      <c r="BW7694" s="397"/>
      <c r="BX7694" s="397"/>
      <c r="BY7694" s="397"/>
      <c r="BZ7694" s="397"/>
      <c r="CA7694" s="392" t="s">
        <v>413</v>
      </c>
    </row>
    <row r="7695" spans="1:80" s="392" customFormat="1" ht="15" x14ac:dyDescent="0.25">
      <c r="A7695" s="385"/>
      <c r="D7695" s="700"/>
      <c r="E7695" s="397"/>
      <c r="H7695" s="401">
        <v>3</v>
      </c>
      <c r="I7695" s="401"/>
      <c r="J7695" s="401"/>
      <c r="K7695" s="401"/>
      <c r="L7695" s="675"/>
      <c r="M7695" s="672">
        <v>28654</v>
      </c>
      <c r="N7695" s="623">
        <v>6.4216491924057806</v>
      </c>
      <c r="O7695" s="624">
        <v>5.5150000000000008E-3</v>
      </c>
      <c r="P7695" s="397"/>
      <c r="Q7695" s="397"/>
      <c r="R7695" s="397"/>
      <c r="S7695" s="397"/>
      <c r="T7695" s="397"/>
      <c r="U7695" s="397"/>
      <c r="V7695" s="397"/>
      <c r="W7695" s="397"/>
      <c r="X7695" s="397"/>
      <c r="Y7695" s="397"/>
      <c r="Z7695" s="397"/>
      <c r="AD7695" s="388">
        <v>16.809719999999999</v>
      </c>
      <c r="AE7695" s="388"/>
      <c r="AF7695" s="388"/>
      <c r="AG7695" s="388"/>
      <c r="AH7695" s="391"/>
      <c r="AI7695" s="397"/>
      <c r="AJ7695" s="397"/>
      <c r="AU7695" s="397"/>
      <c r="AV7695" s="397"/>
      <c r="AW7695" s="397"/>
      <c r="AX7695" s="397"/>
      <c r="BI7695" s="397"/>
      <c r="BJ7695" s="397"/>
      <c r="BK7695" s="397"/>
      <c r="BL7695" s="397"/>
      <c r="BM7695" s="397"/>
      <c r="BN7695" s="397"/>
      <c r="BO7695" s="397"/>
      <c r="BP7695" s="397"/>
      <c r="BQ7695" s="397"/>
      <c r="BR7695" s="397"/>
      <c r="BS7695" s="397"/>
      <c r="BT7695" s="397"/>
      <c r="BU7695" s="397"/>
      <c r="BV7695" s="397"/>
      <c r="BW7695" s="397"/>
      <c r="BX7695" s="397"/>
      <c r="BY7695" s="397"/>
      <c r="BZ7695" s="397"/>
      <c r="CA7695" s="392" t="s">
        <v>413</v>
      </c>
    </row>
    <row r="7696" spans="1:80" s="392" customFormat="1" ht="15" x14ac:dyDescent="0.25">
      <c r="A7696" s="385"/>
      <c r="D7696" s="700"/>
      <c r="E7696" s="397"/>
      <c r="H7696" s="401">
        <v>3</v>
      </c>
      <c r="I7696" s="401"/>
      <c r="J7696" s="401"/>
      <c r="K7696" s="401"/>
      <c r="L7696" s="675"/>
      <c r="M7696" s="672">
        <v>28670</v>
      </c>
      <c r="N7696" s="623">
        <v>0.65032587135165765</v>
      </c>
      <c r="O7696" s="624">
        <v>0.15623999999999999</v>
      </c>
      <c r="P7696" s="397"/>
      <c r="Q7696" s="397"/>
      <c r="R7696" s="397"/>
      <c r="S7696" s="397"/>
      <c r="T7696" s="397"/>
      <c r="U7696" s="397"/>
      <c r="V7696" s="397"/>
      <c r="W7696" s="397"/>
      <c r="X7696" s="397"/>
      <c r="Y7696" s="397"/>
      <c r="Z7696" s="397"/>
      <c r="AD7696" s="388">
        <v>16.459199999999999</v>
      </c>
      <c r="AE7696" s="388"/>
      <c r="AF7696" s="388"/>
      <c r="AG7696" s="388"/>
      <c r="AH7696" s="391"/>
      <c r="AI7696" s="397"/>
      <c r="AJ7696" s="397"/>
      <c r="AU7696" s="397"/>
      <c r="AV7696" s="397"/>
      <c r="AW7696" s="397"/>
      <c r="AX7696" s="397"/>
      <c r="BI7696" s="397"/>
      <c r="BJ7696" s="397"/>
      <c r="BK7696" s="397"/>
      <c r="BL7696" s="397"/>
      <c r="BM7696" s="397"/>
      <c r="BN7696" s="397"/>
      <c r="BO7696" s="397"/>
      <c r="BP7696" s="397"/>
      <c r="BQ7696" s="397"/>
      <c r="BR7696" s="397"/>
      <c r="BS7696" s="397"/>
      <c r="BT7696" s="397"/>
      <c r="BU7696" s="397"/>
      <c r="BV7696" s="397"/>
      <c r="BW7696" s="397"/>
      <c r="BX7696" s="397"/>
      <c r="BY7696" s="397"/>
      <c r="BZ7696" s="397"/>
      <c r="CA7696" s="392" t="s">
        <v>413</v>
      </c>
    </row>
    <row r="7697" spans="1:80" s="392" customFormat="1" ht="15" x14ac:dyDescent="0.25">
      <c r="A7697" s="385"/>
      <c r="D7697" s="700"/>
      <c r="E7697" s="397"/>
      <c r="H7697" s="401">
        <v>3</v>
      </c>
      <c r="I7697" s="401"/>
      <c r="J7697" s="401"/>
      <c r="K7697" s="401"/>
      <c r="L7697" s="675"/>
      <c r="M7697" s="672">
        <v>28677</v>
      </c>
      <c r="N7697" s="623">
        <v>0.2947010484556532</v>
      </c>
      <c r="O7697" s="624">
        <v>3.0348000000000003E-3</v>
      </c>
      <c r="P7697" s="397"/>
      <c r="Q7697" s="397"/>
      <c r="R7697" s="397"/>
      <c r="S7697" s="397"/>
      <c r="T7697" s="397"/>
      <c r="U7697" s="397"/>
      <c r="V7697" s="397"/>
      <c r="W7697" s="397"/>
      <c r="X7697" s="397"/>
      <c r="Y7697" s="397"/>
      <c r="Z7697" s="397"/>
      <c r="AD7697" s="388">
        <v>15.416784</v>
      </c>
      <c r="AE7697" s="388"/>
      <c r="AF7697" s="388"/>
      <c r="AG7697" s="388"/>
      <c r="AH7697" s="391"/>
      <c r="AI7697" s="397"/>
      <c r="AJ7697" s="397"/>
      <c r="AU7697" s="397"/>
      <c r="AV7697" s="397"/>
      <c r="AW7697" s="397"/>
      <c r="AX7697" s="397"/>
      <c r="BI7697" s="397"/>
      <c r="BJ7697" s="397"/>
      <c r="BK7697" s="397"/>
      <c r="BL7697" s="397"/>
      <c r="BM7697" s="397"/>
      <c r="BN7697" s="397"/>
      <c r="BO7697" s="397"/>
      <c r="BP7697" s="397"/>
      <c r="BQ7697" s="397"/>
      <c r="BR7697" s="397"/>
      <c r="BS7697" s="397"/>
      <c r="BT7697" s="397"/>
      <c r="BU7697" s="397"/>
      <c r="BV7697" s="397"/>
      <c r="BW7697" s="397"/>
      <c r="BX7697" s="397"/>
      <c r="BY7697" s="397"/>
      <c r="BZ7697" s="397"/>
      <c r="CA7697" s="392" t="s">
        <v>413</v>
      </c>
    </row>
    <row r="7698" spans="1:80" s="392" customFormat="1" ht="15" x14ac:dyDescent="0.25">
      <c r="A7698" s="385"/>
      <c r="D7698" s="700"/>
      <c r="E7698" s="397"/>
      <c r="H7698" s="401">
        <v>3</v>
      </c>
      <c r="I7698" s="401"/>
      <c r="J7698" s="401"/>
      <c r="K7698" s="401"/>
      <c r="L7698" s="675"/>
      <c r="M7698" s="672">
        <v>28705</v>
      </c>
      <c r="N7698" s="623">
        <v>0.12949844148483991</v>
      </c>
      <c r="O7698" s="624">
        <v>2.4336000000000002E-3</v>
      </c>
      <c r="P7698" s="397"/>
      <c r="Q7698" s="397"/>
      <c r="R7698" s="397"/>
      <c r="S7698" s="397"/>
      <c r="T7698" s="397"/>
      <c r="U7698" s="397"/>
      <c r="V7698" s="397"/>
      <c r="W7698" s="397"/>
      <c r="X7698" s="397"/>
      <c r="Y7698" s="397"/>
      <c r="Z7698" s="397"/>
      <c r="AD7698" s="388">
        <v>9.2720160000000007</v>
      </c>
      <c r="AE7698" s="388"/>
      <c r="AF7698" s="388"/>
      <c r="AG7698" s="388"/>
      <c r="AH7698" s="391"/>
      <c r="AI7698" s="397"/>
      <c r="AJ7698" s="397"/>
      <c r="AU7698" s="397"/>
      <c r="AV7698" s="397"/>
      <c r="AW7698" s="397"/>
      <c r="AX7698" s="397"/>
      <c r="BI7698" s="397"/>
      <c r="BJ7698" s="397"/>
      <c r="BK7698" s="397"/>
      <c r="BL7698" s="397"/>
      <c r="BM7698" s="397"/>
      <c r="BN7698" s="397"/>
      <c r="BO7698" s="397"/>
      <c r="BP7698" s="397"/>
      <c r="BQ7698" s="397"/>
      <c r="BR7698" s="397"/>
      <c r="BS7698" s="397"/>
      <c r="BT7698" s="397"/>
      <c r="BU7698" s="397"/>
      <c r="BV7698" s="397"/>
      <c r="BW7698" s="397"/>
      <c r="BX7698" s="397"/>
      <c r="BY7698" s="397"/>
      <c r="BZ7698" s="397"/>
      <c r="CA7698" s="392" t="s">
        <v>413</v>
      </c>
    </row>
    <row r="7699" spans="1:80" s="189" customFormat="1" ht="15" x14ac:dyDescent="0.25">
      <c r="A7699" s="381" t="s">
        <v>489</v>
      </c>
      <c r="B7699" s="641"/>
      <c r="C7699" s="639"/>
      <c r="D7699" s="4">
        <f>VLOOKUP(E7699,'Quality Code'!$D$4:$E$24,2,TRUE)*VLOOKUP(MROUND(F7699,10),'Quality Code'!$D$28:$E$69,2,TRUE)*VLOOKUP(COUNTA(CB7699:CB7709),'Quality Code'!$D$73:$E$93,2,TRUE)</f>
        <v>8.7499999999999994E-2</v>
      </c>
      <c r="E7699" s="14">
        <v>0.35</v>
      </c>
      <c r="F7699" s="2">
        <v>8</v>
      </c>
      <c r="G7699" s="12"/>
      <c r="H7699" s="2" t="s">
        <v>105</v>
      </c>
      <c r="I7699" s="2"/>
      <c r="J7699" s="2"/>
      <c r="K7699" s="2"/>
      <c r="L7699" s="639"/>
      <c r="M7699" s="640">
        <v>1978</v>
      </c>
      <c r="N7699" s="578" t="s">
        <v>110</v>
      </c>
      <c r="O7699" s="578"/>
      <c r="P7699" s="26"/>
      <c r="Q7699" s="26"/>
      <c r="R7699" s="26"/>
      <c r="S7699" s="26"/>
      <c r="T7699" s="26"/>
      <c r="U7699" s="26"/>
      <c r="V7699" s="10"/>
      <c r="W7699" s="10"/>
      <c r="X7699" s="10"/>
      <c r="Y7699" s="10"/>
      <c r="Z7699" s="26"/>
      <c r="AA7699" s="26"/>
      <c r="AB7699" s="26"/>
      <c r="AC7699" s="3">
        <v>1.2999999999999999E-2</v>
      </c>
      <c r="AD7699" s="406"/>
      <c r="AE7699" s="26"/>
      <c r="AF7699" s="26"/>
      <c r="AG7699" s="26"/>
      <c r="AH7699" s="26"/>
      <c r="AI7699" s="4"/>
      <c r="AJ7699" s="4"/>
      <c r="AK7699" s="26"/>
      <c r="AL7699" s="26"/>
      <c r="AM7699" s="26"/>
      <c r="AN7699" s="26"/>
      <c r="AO7699" s="26"/>
      <c r="AP7699" s="26"/>
      <c r="AQ7699" s="26"/>
      <c r="AR7699" s="26"/>
      <c r="AS7699" s="26"/>
      <c r="AT7699" s="26"/>
      <c r="AU7699" s="4"/>
      <c r="AV7699" s="4"/>
      <c r="AW7699" s="4"/>
      <c r="AX7699" s="4"/>
      <c r="AY7699" s="2"/>
      <c r="AZ7699" s="2"/>
      <c r="BA7699" s="12"/>
      <c r="BB7699" s="12"/>
      <c r="BC7699" s="12"/>
      <c r="BD7699" s="12"/>
      <c r="BE7699" s="12"/>
      <c r="BF7699" s="12"/>
      <c r="BG7699" s="12"/>
      <c r="BH7699" s="12"/>
      <c r="BI7699" s="4"/>
      <c r="BJ7699" s="12"/>
      <c r="BK7699" s="2"/>
      <c r="BL7699" s="2"/>
      <c r="BM7699" s="4"/>
      <c r="BN7699" s="12"/>
      <c r="BO7699" s="12"/>
      <c r="BP7699" s="12"/>
      <c r="BQ7699" s="4"/>
      <c r="BR7699" s="4"/>
      <c r="BS7699" s="4"/>
      <c r="BT7699" s="2"/>
      <c r="BU7699" s="9"/>
      <c r="BV7699" s="381"/>
      <c r="BW7699" s="382"/>
      <c r="BX7699" s="383"/>
      <c r="BY7699" s="383"/>
      <c r="BZ7699" s="383"/>
      <c r="CA7699" s="384" t="s">
        <v>413</v>
      </c>
      <c r="CB7699" s="411"/>
    </row>
    <row r="7700" spans="1:80" s="392" customFormat="1" ht="15" x14ac:dyDescent="0.25">
      <c r="A7700" s="385"/>
      <c r="D7700" s="700"/>
      <c r="E7700" s="397"/>
      <c r="H7700" s="401">
        <v>3</v>
      </c>
      <c r="I7700" s="401"/>
      <c r="J7700" s="401"/>
      <c r="K7700" s="401"/>
      <c r="L7700" s="675"/>
      <c r="M7700" s="672">
        <v>28642</v>
      </c>
      <c r="N7700" s="623">
        <v>0.36384244828563334</v>
      </c>
      <c r="O7700" s="624">
        <v>5.0248000000000003E-3</v>
      </c>
      <c r="P7700" s="397"/>
      <c r="Q7700" s="397"/>
      <c r="R7700" s="397"/>
      <c r="S7700" s="397"/>
      <c r="T7700" s="397"/>
      <c r="U7700" s="397"/>
      <c r="V7700" s="397"/>
      <c r="W7700" s="397"/>
      <c r="X7700" s="397"/>
      <c r="Y7700" s="397"/>
      <c r="Z7700" s="397"/>
      <c r="AD7700" s="388">
        <v>5.2212240000000003</v>
      </c>
      <c r="AE7700" s="388">
        <v>0.19507200000000002</v>
      </c>
      <c r="AF7700" s="388">
        <v>1.0185146081280001</v>
      </c>
      <c r="AG7700" s="388">
        <v>0.35661599999999999</v>
      </c>
      <c r="AH7700" s="391"/>
      <c r="AI7700" s="397"/>
      <c r="AJ7700" s="397"/>
      <c r="AU7700" s="397"/>
      <c r="AV7700" s="397"/>
      <c r="AW7700" s="397"/>
      <c r="AX7700" s="397"/>
      <c r="BI7700" s="397"/>
      <c r="BJ7700" s="397"/>
      <c r="BK7700" s="397"/>
      <c r="BL7700" s="397"/>
      <c r="BM7700" s="397"/>
      <c r="BN7700" s="397"/>
      <c r="BO7700" s="397"/>
      <c r="BP7700" s="397"/>
      <c r="BQ7700" s="397"/>
      <c r="BR7700" s="397"/>
      <c r="BS7700" s="397"/>
      <c r="BT7700" s="397"/>
      <c r="BU7700" s="397"/>
      <c r="BV7700" s="397"/>
      <c r="BW7700" s="397"/>
      <c r="BX7700" s="397"/>
      <c r="BY7700" s="397"/>
      <c r="BZ7700" s="397"/>
      <c r="CA7700" s="392" t="s">
        <v>413</v>
      </c>
    </row>
    <row r="7701" spans="1:80" s="392" customFormat="1" ht="15" x14ac:dyDescent="0.25">
      <c r="A7701" s="385"/>
      <c r="D7701" s="700"/>
      <c r="E7701" s="397"/>
      <c r="H7701" s="401">
        <v>3</v>
      </c>
      <c r="I7701" s="401"/>
      <c r="J7701" s="401"/>
      <c r="K7701" s="401"/>
      <c r="L7701" s="675"/>
      <c r="M7701" s="672">
        <v>28653</v>
      </c>
      <c r="N7701" s="623">
        <v>0.24284499858316805</v>
      </c>
      <c r="O7701" s="624">
        <v>2.2093333333333335E-3</v>
      </c>
      <c r="P7701" s="397"/>
      <c r="Q7701" s="397"/>
      <c r="R7701" s="397"/>
      <c r="S7701" s="397"/>
      <c r="T7701" s="397"/>
      <c r="U7701" s="397"/>
      <c r="V7701" s="397"/>
      <c r="W7701" s="397"/>
      <c r="X7701" s="397"/>
      <c r="Y7701" s="397"/>
      <c r="Z7701" s="397"/>
      <c r="AD7701" s="388">
        <v>5.0505360000000001</v>
      </c>
      <c r="AE7701" s="388">
        <v>0.192024</v>
      </c>
      <c r="AF7701" s="388">
        <v>0.96982412486400005</v>
      </c>
      <c r="AG7701" s="388">
        <v>0.27432000000000001</v>
      </c>
      <c r="AH7701" s="391"/>
      <c r="AI7701" s="397"/>
      <c r="AJ7701" s="397"/>
      <c r="AU7701" s="397"/>
      <c r="AV7701" s="397"/>
      <c r="AW7701" s="397"/>
      <c r="AX7701" s="397"/>
      <c r="BI7701" s="397"/>
      <c r="BJ7701" s="397"/>
      <c r="BK7701" s="397"/>
      <c r="BL7701" s="397"/>
      <c r="BM7701" s="397"/>
      <c r="BN7701" s="397"/>
      <c r="BO7701" s="397"/>
      <c r="BP7701" s="397"/>
      <c r="BQ7701" s="397"/>
      <c r="BR7701" s="397"/>
      <c r="BS7701" s="397"/>
      <c r="BT7701" s="397"/>
      <c r="BU7701" s="397"/>
      <c r="BV7701" s="397"/>
      <c r="BW7701" s="397"/>
      <c r="BX7701" s="397"/>
      <c r="BY7701" s="397"/>
      <c r="BZ7701" s="397"/>
      <c r="CA7701" s="392" t="s">
        <v>413</v>
      </c>
    </row>
    <row r="7702" spans="1:80" s="392" customFormat="1" ht="15" x14ac:dyDescent="0.25">
      <c r="A7702" s="385"/>
      <c r="D7702" s="700"/>
      <c r="E7702" s="397"/>
      <c r="H7702" s="401">
        <v>3</v>
      </c>
      <c r="I7702" s="401"/>
      <c r="J7702" s="401"/>
      <c r="K7702" s="401"/>
      <c r="L7702" s="675"/>
      <c r="M7702" s="672">
        <v>28656</v>
      </c>
      <c r="N7702" s="623">
        <v>0.18730518560498727</v>
      </c>
      <c r="O7702" s="624">
        <v>3.3300000000000001E-3</v>
      </c>
      <c r="P7702" s="397"/>
      <c r="Q7702" s="397"/>
      <c r="R7702" s="397"/>
      <c r="S7702" s="397"/>
      <c r="T7702" s="397"/>
      <c r="U7702" s="397"/>
      <c r="V7702" s="397"/>
      <c r="W7702" s="397"/>
      <c r="X7702" s="397"/>
      <c r="Y7702" s="397"/>
      <c r="Z7702" s="397"/>
      <c r="AD7702" s="388">
        <v>5.0749199999999997</v>
      </c>
      <c r="AE7702" s="388">
        <v>0.18288000000000001</v>
      </c>
      <c r="AF7702" s="388">
        <v>0.9281013696</v>
      </c>
      <c r="AG7702" s="388">
        <v>0.19812000000000002</v>
      </c>
      <c r="AH7702" s="391"/>
      <c r="AI7702" s="397"/>
      <c r="AJ7702" s="397"/>
      <c r="AU7702" s="397"/>
      <c r="AV7702" s="397"/>
      <c r="AW7702" s="397"/>
      <c r="AX7702" s="397"/>
      <c r="BI7702" s="397"/>
      <c r="BJ7702" s="397"/>
      <c r="BK7702" s="397"/>
      <c r="BL7702" s="397"/>
      <c r="BM7702" s="397"/>
      <c r="BN7702" s="397"/>
      <c r="BO7702" s="397"/>
      <c r="BP7702" s="397"/>
      <c r="BQ7702" s="397"/>
      <c r="BR7702" s="397"/>
      <c r="BS7702" s="397"/>
      <c r="BT7702" s="397"/>
      <c r="BU7702" s="397"/>
      <c r="BV7702" s="397"/>
      <c r="BW7702" s="397"/>
      <c r="BX7702" s="397"/>
      <c r="BY7702" s="397"/>
      <c r="BZ7702" s="397"/>
      <c r="CA7702" s="392" t="s">
        <v>413</v>
      </c>
    </row>
    <row r="7703" spans="1:80" s="392" customFormat="1" ht="15" x14ac:dyDescent="0.25">
      <c r="A7703" s="385"/>
      <c r="D7703" s="700"/>
      <c r="E7703" s="397"/>
      <c r="H7703" s="401">
        <v>3</v>
      </c>
      <c r="I7703" s="401"/>
      <c r="J7703" s="401"/>
      <c r="K7703" s="401"/>
      <c r="L7703" s="675"/>
      <c r="M7703" s="672">
        <v>28671</v>
      </c>
      <c r="N7703" s="623">
        <v>0.32445451969396427</v>
      </c>
      <c r="O7703" s="624">
        <v>3.0006000000000008E-3</v>
      </c>
      <c r="P7703" s="397"/>
      <c r="Q7703" s="397"/>
      <c r="R7703" s="397"/>
      <c r="S7703" s="397"/>
      <c r="T7703" s="397"/>
      <c r="U7703" s="397"/>
      <c r="V7703" s="397"/>
      <c r="W7703" s="397"/>
      <c r="X7703" s="397"/>
      <c r="Y7703" s="397"/>
      <c r="Z7703" s="397"/>
      <c r="AD7703" s="388">
        <v>5.0810160000000009</v>
      </c>
      <c r="AE7703" s="388">
        <v>0.210312</v>
      </c>
      <c r="AF7703" s="388">
        <v>1.0685986369920002</v>
      </c>
      <c r="AG7703" s="388">
        <v>0.29870400000000003</v>
      </c>
      <c r="AH7703" s="391"/>
      <c r="AI7703" s="397"/>
      <c r="AJ7703" s="397"/>
      <c r="AU7703" s="397"/>
      <c r="AV7703" s="397"/>
      <c r="AW7703" s="397"/>
      <c r="AX7703" s="397"/>
      <c r="BI7703" s="397"/>
      <c r="BJ7703" s="397"/>
      <c r="BK7703" s="397"/>
      <c r="BL7703" s="397"/>
      <c r="BM7703" s="397"/>
      <c r="BN7703" s="397"/>
      <c r="BO7703" s="397"/>
      <c r="BP7703" s="397"/>
      <c r="BQ7703" s="397"/>
      <c r="BR7703" s="397"/>
      <c r="BS7703" s="397"/>
      <c r="BT7703" s="397"/>
      <c r="BU7703" s="397"/>
      <c r="BV7703" s="397"/>
      <c r="BW7703" s="397"/>
      <c r="BX7703" s="397"/>
      <c r="BY7703" s="397"/>
      <c r="BZ7703" s="397"/>
      <c r="CA7703" s="392" t="s">
        <v>413</v>
      </c>
    </row>
    <row r="7704" spans="1:80" s="392" customFormat="1" ht="15" x14ac:dyDescent="0.25">
      <c r="A7704" s="385"/>
      <c r="D7704" s="700"/>
      <c r="E7704" s="397"/>
      <c r="H7704" s="401">
        <v>3</v>
      </c>
      <c r="I7704" s="401"/>
      <c r="J7704" s="401"/>
      <c r="K7704" s="401"/>
      <c r="L7704" s="675"/>
      <c r="M7704" s="672">
        <v>28681</v>
      </c>
      <c r="N7704" s="623">
        <v>0.13289883819778975</v>
      </c>
      <c r="O7704" s="624" t="s">
        <v>71</v>
      </c>
      <c r="P7704" s="397"/>
      <c r="Q7704" s="397"/>
      <c r="R7704" s="397"/>
      <c r="S7704" s="397"/>
      <c r="T7704" s="397"/>
      <c r="U7704" s="397"/>
      <c r="V7704" s="397"/>
      <c r="W7704" s="397"/>
      <c r="X7704" s="397"/>
      <c r="Y7704" s="397"/>
      <c r="Z7704" s="397"/>
      <c r="AD7704" s="388">
        <v>4.8524159999999998</v>
      </c>
      <c r="AE7704" s="388">
        <v>0.14630399999999999</v>
      </c>
      <c r="AF7704" s="388">
        <v>0.70992787046399997</v>
      </c>
      <c r="AG7704" s="388">
        <v>0.16154400000000002</v>
      </c>
      <c r="AH7704" s="391"/>
      <c r="AI7704" s="397"/>
      <c r="AJ7704" s="397"/>
      <c r="AU7704" s="397"/>
      <c r="AV7704" s="397"/>
      <c r="AW7704" s="397"/>
      <c r="AX7704" s="397"/>
      <c r="BI7704" s="397"/>
      <c r="BJ7704" s="397"/>
      <c r="BK7704" s="397"/>
      <c r="BL7704" s="397"/>
      <c r="BM7704" s="397"/>
      <c r="BN7704" s="397"/>
      <c r="BO7704" s="397"/>
      <c r="BP7704" s="397"/>
      <c r="BQ7704" s="397"/>
      <c r="BR7704" s="397"/>
      <c r="BS7704" s="397"/>
      <c r="BT7704" s="397"/>
      <c r="BU7704" s="397"/>
      <c r="BV7704" s="397"/>
      <c r="BW7704" s="397"/>
      <c r="BX7704" s="397"/>
      <c r="BY7704" s="397"/>
      <c r="BZ7704" s="397"/>
      <c r="CA7704" s="392" t="s">
        <v>413</v>
      </c>
    </row>
    <row r="7705" spans="1:80" s="392" customFormat="1" ht="15" x14ac:dyDescent="0.25">
      <c r="A7705" s="385"/>
      <c r="D7705" s="700"/>
      <c r="E7705" s="397"/>
      <c r="H7705" s="401">
        <v>3</v>
      </c>
      <c r="I7705" s="401"/>
      <c r="J7705" s="401"/>
      <c r="K7705" s="401"/>
      <c r="L7705" s="675"/>
      <c r="M7705" s="672">
        <v>28685</v>
      </c>
      <c r="N7705" s="623">
        <v>1.1224142816661944</v>
      </c>
      <c r="O7705" s="624">
        <v>7.5914400000000007E-2</v>
      </c>
      <c r="P7705" s="397"/>
      <c r="Q7705" s="397"/>
      <c r="R7705" s="397"/>
      <c r="S7705" s="397"/>
      <c r="T7705" s="397"/>
      <c r="U7705" s="397"/>
      <c r="V7705" s="397"/>
      <c r="W7705" s="397"/>
      <c r="X7705" s="397"/>
      <c r="Y7705" s="397"/>
      <c r="Z7705" s="397"/>
      <c r="AD7705" s="388">
        <v>5.1572160000000009</v>
      </c>
      <c r="AE7705" s="388">
        <v>0.313944</v>
      </c>
      <c r="AF7705" s="388">
        <v>1.6190770199040003</v>
      </c>
      <c r="AG7705" s="388">
        <v>0.63703200000000004</v>
      </c>
      <c r="AH7705" s="391"/>
      <c r="AI7705" s="397"/>
      <c r="AJ7705" s="397"/>
      <c r="AU7705" s="397"/>
      <c r="AV7705" s="397"/>
      <c r="AW7705" s="397"/>
      <c r="AX7705" s="397"/>
      <c r="BI7705" s="397"/>
      <c r="BJ7705" s="397"/>
      <c r="BK7705" s="397"/>
      <c r="BL7705" s="397"/>
      <c r="BM7705" s="397"/>
      <c r="BN7705" s="397"/>
      <c r="BO7705" s="397"/>
      <c r="BP7705" s="397"/>
      <c r="BQ7705" s="397"/>
      <c r="BR7705" s="397"/>
      <c r="BS7705" s="397"/>
      <c r="BT7705" s="397"/>
      <c r="BU7705" s="397"/>
      <c r="BV7705" s="397"/>
      <c r="BW7705" s="397"/>
      <c r="BX7705" s="397"/>
      <c r="BY7705" s="397"/>
      <c r="BZ7705" s="397"/>
      <c r="CA7705" s="392" t="s">
        <v>413</v>
      </c>
    </row>
    <row r="7706" spans="1:80" s="392" customFormat="1" ht="15" x14ac:dyDescent="0.25">
      <c r="A7706" s="385"/>
      <c r="D7706" s="700"/>
      <c r="E7706" s="397"/>
      <c r="H7706" s="401">
        <v>3</v>
      </c>
      <c r="I7706" s="401"/>
      <c r="J7706" s="401"/>
      <c r="K7706" s="401"/>
      <c r="L7706" s="675"/>
      <c r="M7706" s="672">
        <v>28691</v>
      </c>
      <c r="N7706" s="623">
        <v>1.7118163785775007</v>
      </c>
      <c r="O7706" s="624">
        <v>2.2439999999999998E-2</v>
      </c>
      <c r="P7706" s="397"/>
      <c r="Q7706" s="397"/>
      <c r="R7706" s="397"/>
      <c r="S7706" s="397"/>
      <c r="T7706" s="397"/>
      <c r="U7706" s="397"/>
      <c r="V7706" s="397"/>
      <c r="W7706" s="397"/>
      <c r="X7706" s="397"/>
      <c r="Y7706" s="397"/>
      <c r="Z7706" s="397"/>
      <c r="AD7706" s="388">
        <v>5.1297839999999999</v>
      </c>
      <c r="AE7706" s="388">
        <v>0.40843200000000002</v>
      </c>
      <c r="AF7706" s="388">
        <v>2.0951679386880002</v>
      </c>
      <c r="AG7706" s="388">
        <v>0.82600800000000008</v>
      </c>
      <c r="AH7706" s="391"/>
      <c r="AI7706" s="397"/>
      <c r="AJ7706" s="397"/>
      <c r="AU7706" s="397"/>
      <c r="AV7706" s="397"/>
      <c r="AW7706" s="397"/>
      <c r="AX7706" s="397"/>
      <c r="BI7706" s="397"/>
      <c r="BJ7706" s="397"/>
      <c r="BK7706" s="397"/>
      <c r="BL7706" s="397"/>
      <c r="BM7706" s="397"/>
      <c r="BN7706" s="397"/>
      <c r="BO7706" s="397"/>
      <c r="BP7706" s="397"/>
      <c r="BQ7706" s="397"/>
      <c r="BR7706" s="397"/>
      <c r="BS7706" s="397"/>
      <c r="BT7706" s="397"/>
      <c r="BU7706" s="397"/>
      <c r="BV7706" s="397"/>
      <c r="BW7706" s="397"/>
      <c r="BX7706" s="397"/>
      <c r="BY7706" s="397"/>
      <c r="BZ7706" s="397"/>
      <c r="CA7706" s="392" t="s">
        <v>413</v>
      </c>
    </row>
    <row r="7707" spans="1:80" s="392" customFormat="1" ht="15" x14ac:dyDescent="0.25">
      <c r="A7707" s="385"/>
      <c r="D7707" s="700"/>
      <c r="E7707" s="397"/>
      <c r="H7707" s="401">
        <v>3</v>
      </c>
      <c r="I7707" s="401"/>
      <c r="J7707" s="401"/>
      <c r="K7707" s="401"/>
      <c r="L7707" s="675"/>
      <c r="M7707" s="672">
        <v>28706</v>
      </c>
      <c r="N7707" s="623">
        <v>2.9186738452819497E-2</v>
      </c>
      <c r="O7707" s="624" t="s">
        <v>71</v>
      </c>
      <c r="P7707" s="397"/>
      <c r="Q7707" s="397"/>
      <c r="R7707" s="397"/>
      <c r="S7707" s="397"/>
      <c r="T7707" s="397"/>
      <c r="U7707" s="397"/>
      <c r="V7707" s="397"/>
      <c r="W7707" s="397"/>
      <c r="X7707" s="397"/>
      <c r="Y7707" s="397"/>
      <c r="Z7707" s="397"/>
      <c r="AD7707" s="388">
        <v>3.9624000000000001</v>
      </c>
      <c r="AE7707" s="388">
        <v>0.10363200000000002</v>
      </c>
      <c r="AF7707" s="388">
        <v>0.41063143680000008</v>
      </c>
      <c r="AG7707" s="388">
        <v>6.7056000000000004E-2</v>
      </c>
      <c r="AH7707" s="391"/>
      <c r="AI7707" s="397"/>
      <c r="AJ7707" s="397"/>
      <c r="AU7707" s="397"/>
      <c r="AV7707" s="397"/>
      <c r="AW7707" s="397"/>
      <c r="AX7707" s="397"/>
      <c r="BI7707" s="397"/>
      <c r="BJ7707" s="397"/>
      <c r="BK7707" s="397"/>
      <c r="BL7707" s="397"/>
      <c r="BM7707" s="397"/>
      <c r="BN7707" s="397"/>
      <c r="BO7707" s="397"/>
      <c r="BP7707" s="397"/>
      <c r="BQ7707" s="397"/>
      <c r="BR7707" s="397"/>
      <c r="BS7707" s="397"/>
      <c r="BT7707" s="397"/>
      <c r="BU7707" s="397"/>
      <c r="BV7707" s="397"/>
      <c r="BW7707" s="397"/>
      <c r="BX7707" s="397"/>
      <c r="BY7707" s="397"/>
      <c r="BZ7707" s="397"/>
      <c r="CA7707" s="392" t="s">
        <v>413</v>
      </c>
    </row>
    <row r="7708" spans="1:80" s="392" customFormat="1" ht="15" x14ac:dyDescent="0.25">
      <c r="A7708" s="385"/>
      <c r="D7708" s="700"/>
      <c r="E7708" s="397"/>
      <c r="H7708" s="401">
        <v>3</v>
      </c>
      <c r="I7708" s="401"/>
      <c r="J7708" s="401"/>
      <c r="K7708" s="401"/>
      <c r="L7708" s="675"/>
      <c r="M7708" s="672">
        <v>28718</v>
      </c>
      <c r="N7708" s="623">
        <v>1.6800793425899689</v>
      </c>
      <c r="O7708" s="624">
        <v>2.3684333333333332E-2</v>
      </c>
      <c r="P7708" s="397"/>
      <c r="Q7708" s="397"/>
      <c r="R7708" s="397"/>
      <c r="S7708" s="397"/>
      <c r="T7708" s="397"/>
      <c r="U7708" s="397"/>
      <c r="V7708" s="397"/>
      <c r="W7708" s="397"/>
      <c r="X7708" s="397"/>
      <c r="Y7708" s="397"/>
      <c r="Z7708" s="397"/>
      <c r="AD7708" s="388">
        <v>5.282184</v>
      </c>
      <c r="AE7708" s="388">
        <v>0.39319200000000004</v>
      </c>
      <c r="AF7708" s="388">
        <v>2.0769124913280002</v>
      </c>
      <c r="AG7708" s="388">
        <v>0.82905600000000013</v>
      </c>
      <c r="AH7708" s="391"/>
      <c r="AI7708" s="397"/>
      <c r="AJ7708" s="397"/>
      <c r="AU7708" s="397"/>
      <c r="AV7708" s="397"/>
      <c r="AW7708" s="397"/>
      <c r="AX7708" s="397"/>
      <c r="BI7708" s="397"/>
      <c r="BJ7708" s="397"/>
      <c r="BK7708" s="397"/>
      <c r="BL7708" s="397"/>
      <c r="BM7708" s="397"/>
      <c r="BN7708" s="397"/>
      <c r="BO7708" s="397"/>
      <c r="BP7708" s="397"/>
      <c r="BQ7708" s="397"/>
      <c r="BR7708" s="397"/>
      <c r="BS7708" s="397"/>
      <c r="BT7708" s="397"/>
      <c r="BU7708" s="397"/>
      <c r="BV7708" s="397"/>
      <c r="BW7708" s="397"/>
      <c r="BX7708" s="397"/>
      <c r="BY7708" s="397"/>
      <c r="BZ7708" s="397"/>
      <c r="CA7708" s="392" t="s">
        <v>413</v>
      </c>
    </row>
    <row r="7709" spans="1:80" s="392" customFormat="1" ht="15" x14ac:dyDescent="0.25">
      <c r="A7709" s="385"/>
      <c r="D7709" s="700"/>
      <c r="E7709" s="397"/>
      <c r="H7709" s="401">
        <v>3</v>
      </c>
      <c r="I7709" s="401"/>
      <c r="J7709" s="401"/>
      <c r="K7709" s="401"/>
      <c r="L7709" s="675"/>
      <c r="M7709" s="672">
        <v>28734</v>
      </c>
      <c r="N7709" s="623">
        <v>1.4729385094927741</v>
      </c>
      <c r="O7709" s="624">
        <v>1.9243466666666664E-2</v>
      </c>
      <c r="P7709" s="397"/>
      <c r="Q7709" s="397"/>
      <c r="R7709" s="397"/>
      <c r="S7709" s="397"/>
      <c r="T7709" s="397"/>
      <c r="U7709" s="397"/>
      <c r="V7709" s="397"/>
      <c r="W7709" s="397"/>
      <c r="X7709" s="397"/>
      <c r="Y7709" s="397"/>
      <c r="Z7709" s="397"/>
      <c r="AD7709" s="388">
        <v>5.2059839999999999</v>
      </c>
      <c r="AE7709" s="388">
        <v>0.384048</v>
      </c>
      <c r="AF7709" s="388">
        <v>1.9993477432319999</v>
      </c>
      <c r="AG7709" s="388">
        <v>0.74980800000000003</v>
      </c>
      <c r="AH7709" s="391"/>
      <c r="AI7709" s="397"/>
      <c r="AJ7709" s="397"/>
      <c r="AU7709" s="397"/>
      <c r="AV7709" s="397"/>
      <c r="AW7709" s="397"/>
      <c r="AX7709" s="397"/>
      <c r="BI7709" s="397"/>
      <c r="BJ7709" s="397"/>
      <c r="BK7709" s="397"/>
      <c r="BL7709" s="397"/>
      <c r="BM7709" s="397"/>
      <c r="BN7709" s="397"/>
      <c r="BO7709" s="397"/>
      <c r="BP7709" s="397"/>
      <c r="BQ7709" s="397"/>
      <c r="BR7709" s="397"/>
      <c r="BS7709" s="397"/>
      <c r="BT7709" s="397"/>
      <c r="BU7709" s="397"/>
      <c r="BV7709" s="397"/>
      <c r="BW7709" s="397"/>
      <c r="BX7709" s="397"/>
      <c r="BY7709" s="397"/>
      <c r="BZ7709" s="397"/>
      <c r="CA7709" s="392" t="s">
        <v>413</v>
      </c>
    </row>
    <row r="7710" spans="1:80" s="189" customFormat="1" ht="15" x14ac:dyDescent="0.25">
      <c r="A7710" s="381" t="s">
        <v>490</v>
      </c>
      <c r="B7710" s="641"/>
      <c r="C7710" s="639"/>
      <c r="D7710" s="4">
        <f>VLOOKUP(E7710,'Quality Code'!$D$4:$E$24,2,TRUE)*VLOOKUP(MROUND(F7710,10),'Quality Code'!$D$28:$E$69,2,TRUE)*VLOOKUP(COUNTA(CB7710:CB7720),'Quality Code'!$D$73:$E$93,2,TRUE)</f>
        <v>8.7499999999999994E-2</v>
      </c>
      <c r="E7710" s="14">
        <v>0.35</v>
      </c>
      <c r="F7710" s="2">
        <v>5</v>
      </c>
      <c r="G7710" s="12"/>
      <c r="H7710" s="2" t="s">
        <v>105</v>
      </c>
      <c r="I7710" s="2"/>
      <c r="J7710" s="2"/>
      <c r="K7710" s="2"/>
      <c r="L7710" s="639"/>
      <c r="M7710" s="640">
        <v>1978</v>
      </c>
      <c r="N7710" s="578" t="s">
        <v>110</v>
      </c>
      <c r="O7710" s="578"/>
      <c r="P7710" s="26"/>
      <c r="Q7710" s="26"/>
      <c r="R7710" s="26"/>
      <c r="S7710" s="26"/>
      <c r="T7710" s="26"/>
      <c r="U7710" s="26"/>
      <c r="V7710" s="10"/>
      <c r="W7710" s="10"/>
      <c r="X7710" s="10"/>
      <c r="Y7710" s="10"/>
      <c r="Z7710" s="26"/>
      <c r="AA7710" s="26"/>
      <c r="AB7710" s="26"/>
      <c r="AC7710" s="3">
        <v>4.7999999999999996E-3</v>
      </c>
      <c r="AD7710" s="406"/>
      <c r="AE7710" s="26"/>
      <c r="AF7710" s="26"/>
      <c r="AG7710" s="26"/>
      <c r="AH7710" s="26"/>
      <c r="AI7710" s="4"/>
      <c r="AJ7710" s="4"/>
      <c r="AK7710" s="26"/>
      <c r="AL7710" s="26"/>
      <c r="AM7710" s="26"/>
      <c r="AN7710" s="26"/>
      <c r="AO7710" s="26"/>
      <c r="AP7710" s="26"/>
      <c r="AQ7710" s="26"/>
      <c r="AR7710" s="26"/>
      <c r="AS7710" s="26"/>
      <c r="AT7710" s="26"/>
      <c r="AU7710" s="4"/>
      <c r="AV7710" s="4"/>
      <c r="AW7710" s="4"/>
      <c r="AX7710" s="4"/>
      <c r="AY7710" s="2"/>
      <c r="AZ7710" s="2"/>
      <c r="BA7710" s="12"/>
      <c r="BB7710" s="12"/>
      <c r="BC7710" s="12"/>
      <c r="BD7710" s="12"/>
      <c r="BE7710" s="12"/>
      <c r="BF7710" s="12"/>
      <c r="BG7710" s="12"/>
      <c r="BH7710" s="12"/>
      <c r="BI7710" s="4"/>
      <c r="BJ7710" s="12"/>
      <c r="BK7710" s="2"/>
      <c r="BL7710" s="2"/>
      <c r="BM7710" s="4"/>
      <c r="BN7710" s="12"/>
      <c r="BO7710" s="12"/>
      <c r="BP7710" s="12"/>
      <c r="BQ7710" s="4"/>
      <c r="BR7710" s="4"/>
      <c r="BS7710" s="4"/>
      <c r="BT7710" s="2"/>
      <c r="BU7710" s="9"/>
      <c r="BV7710" s="381"/>
      <c r="BW7710" s="382"/>
      <c r="BX7710" s="383"/>
      <c r="BY7710" s="383"/>
      <c r="BZ7710" s="383"/>
      <c r="CA7710" s="384" t="s">
        <v>413</v>
      </c>
      <c r="CB7710" s="411"/>
    </row>
    <row r="7711" spans="1:80" s="392" customFormat="1" ht="15" x14ac:dyDescent="0.25">
      <c r="A7711" s="385"/>
      <c r="D7711" s="700"/>
      <c r="E7711" s="397"/>
      <c r="H7711" s="401">
        <v>3</v>
      </c>
      <c r="I7711" s="401"/>
      <c r="J7711" s="401"/>
      <c r="K7711" s="401"/>
      <c r="L7711" s="675"/>
      <c r="M7711" s="672">
        <v>28633</v>
      </c>
      <c r="N7711" s="623">
        <v>5.1499008217625395</v>
      </c>
      <c r="O7711" s="624">
        <v>2.1604960000000002</v>
      </c>
      <c r="P7711" s="397"/>
      <c r="Q7711" s="397"/>
      <c r="R7711" s="397"/>
      <c r="S7711" s="397"/>
      <c r="T7711" s="397"/>
      <c r="U7711" s="397"/>
      <c r="V7711" s="397"/>
      <c r="W7711" s="397"/>
      <c r="X7711" s="397"/>
      <c r="Y7711" s="397"/>
      <c r="Z7711" s="397"/>
      <c r="AD7711" s="388">
        <v>11.46048</v>
      </c>
      <c r="AE7711" s="388">
        <v>0.17068800000000003</v>
      </c>
      <c r="AF7711" s="388">
        <v>1.9561664102400005</v>
      </c>
      <c r="AG7711" s="388">
        <v>5.1816000000000008E-2</v>
      </c>
      <c r="AH7711" s="391"/>
      <c r="AI7711" s="397"/>
      <c r="AJ7711" s="397"/>
      <c r="AU7711" s="397"/>
      <c r="AV7711" s="397"/>
      <c r="AW7711" s="397"/>
      <c r="AX7711" s="397"/>
      <c r="BI7711" s="397"/>
      <c r="BJ7711" s="397"/>
      <c r="BK7711" s="397"/>
      <c r="BL7711" s="397"/>
      <c r="BM7711" s="397"/>
      <c r="BN7711" s="397"/>
      <c r="BO7711" s="397"/>
      <c r="BP7711" s="397"/>
      <c r="BQ7711" s="397"/>
      <c r="BR7711" s="397"/>
      <c r="BS7711" s="397"/>
      <c r="BT7711" s="397"/>
      <c r="BU7711" s="397"/>
      <c r="BV7711" s="397"/>
      <c r="BW7711" s="397"/>
      <c r="BX7711" s="397"/>
      <c r="BY7711" s="397"/>
      <c r="BZ7711" s="397"/>
      <c r="CA7711" s="392" t="s">
        <v>413</v>
      </c>
    </row>
    <row r="7712" spans="1:80" s="392" customFormat="1" ht="15" x14ac:dyDescent="0.25">
      <c r="A7712" s="385"/>
      <c r="D7712" s="700"/>
      <c r="E7712" s="397"/>
      <c r="H7712" s="401">
        <v>3</v>
      </c>
      <c r="I7712" s="401"/>
      <c r="J7712" s="401"/>
      <c r="K7712" s="401"/>
      <c r="L7712" s="675"/>
      <c r="M7712" s="672">
        <v>28646</v>
      </c>
      <c r="N7712" s="623">
        <v>1.3542079909322755</v>
      </c>
      <c r="O7712" s="624">
        <v>0.32730799999999993</v>
      </c>
      <c r="P7712" s="397"/>
      <c r="Q7712" s="397"/>
      <c r="R7712" s="397"/>
      <c r="S7712" s="397"/>
      <c r="T7712" s="397"/>
      <c r="U7712" s="397"/>
      <c r="V7712" s="397"/>
      <c r="W7712" s="397"/>
      <c r="X7712" s="397"/>
      <c r="Y7712" s="397"/>
      <c r="Z7712" s="397"/>
      <c r="AD7712" s="388">
        <v>8.5953599999999994</v>
      </c>
      <c r="AE7712" s="388">
        <v>0.37185600000000002</v>
      </c>
      <c r="AF7712" s="388">
        <v>3.1962361881599999</v>
      </c>
      <c r="AG7712" s="388">
        <v>1.008888</v>
      </c>
      <c r="AH7712" s="391"/>
      <c r="AI7712" s="397"/>
      <c r="AJ7712" s="397"/>
      <c r="AU7712" s="397"/>
      <c r="AV7712" s="397"/>
      <c r="AW7712" s="397"/>
      <c r="AX7712" s="397"/>
      <c r="BI7712" s="397"/>
      <c r="BJ7712" s="397"/>
      <c r="BK7712" s="397"/>
      <c r="BL7712" s="397"/>
      <c r="BM7712" s="397"/>
      <c r="BN7712" s="397"/>
      <c r="BO7712" s="397"/>
      <c r="BP7712" s="397"/>
      <c r="BQ7712" s="397"/>
      <c r="BR7712" s="397"/>
      <c r="BS7712" s="397"/>
      <c r="BT7712" s="397"/>
      <c r="BU7712" s="397"/>
      <c r="BV7712" s="397"/>
      <c r="BW7712" s="397"/>
      <c r="BX7712" s="397"/>
      <c r="BY7712" s="397"/>
      <c r="BZ7712" s="397"/>
      <c r="CA7712" s="392" t="s">
        <v>413</v>
      </c>
    </row>
    <row r="7713" spans="1:80" s="392" customFormat="1" ht="15" x14ac:dyDescent="0.25">
      <c r="A7713" s="385"/>
      <c r="D7713" s="700"/>
      <c r="E7713" s="397"/>
      <c r="H7713" s="401">
        <v>3</v>
      </c>
      <c r="I7713" s="401"/>
      <c r="J7713" s="401"/>
      <c r="K7713" s="401"/>
      <c r="L7713" s="675"/>
      <c r="M7713" s="672">
        <v>28654</v>
      </c>
      <c r="N7713" s="623">
        <v>1.2235760838764522</v>
      </c>
      <c r="O7713" s="624">
        <v>0.59453159999999994</v>
      </c>
      <c r="P7713" s="397"/>
      <c r="Q7713" s="397"/>
      <c r="R7713" s="397"/>
      <c r="S7713" s="397"/>
      <c r="T7713" s="397"/>
      <c r="U7713" s="397"/>
      <c r="V7713" s="397"/>
      <c r="W7713" s="397"/>
      <c r="X7713" s="397"/>
      <c r="Y7713" s="397"/>
      <c r="Z7713" s="397"/>
      <c r="AD7713" s="388">
        <v>8.2021680000000003</v>
      </c>
      <c r="AE7713" s="388">
        <v>0.19812000000000002</v>
      </c>
      <c r="AF7713" s="388">
        <v>1.6250135241600001</v>
      </c>
      <c r="AG7713" s="388">
        <v>0.10363200000000002</v>
      </c>
      <c r="AH7713" s="391"/>
      <c r="AI7713" s="397"/>
      <c r="AJ7713" s="397"/>
      <c r="AU7713" s="397"/>
      <c r="AV7713" s="397"/>
      <c r="AW7713" s="397"/>
      <c r="AX7713" s="397"/>
      <c r="BI7713" s="397"/>
      <c r="BJ7713" s="397"/>
      <c r="BK7713" s="397"/>
      <c r="BL7713" s="397"/>
      <c r="BM7713" s="397"/>
      <c r="BN7713" s="397"/>
      <c r="BO7713" s="397"/>
      <c r="BP7713" s="397"/>
      <c r="BQ7713" s="397"/>
      <c r="BR7713" s="397"/>
      <c r="BS7713" s="397"/>
      <c r="BT7713" s="397"/>
      <c r="BU7713" s="397"/>
      <c r="BV7713" s="397"/>
      <c r="BW7713" s="397"/>
      <c r="BX7713" s="397"/>
      <c r="BY7713" s="397"/>
      <c r="BZ7713" s="397"/>
      <c r="CA7713" s="392" t="s">
        <v>413</v>
      </c>
    </row>
    <row r="7714" spans="1:80" s="392" customFormat="1" ht="15" x14ac:dyDescent="0.25">
      <c r="A7714" s="385"/>
      <c r="D7714" s="700"/>
      <c r="E7714" s="397"/>
      <c r="H7714" s="401">
        <v>3</v>
      </c>
      <c r="I7714" s="401"/>
      <c r="J7714" s="401"/>
      <c r="K7714" s="401"/>
      <c r="L7714" s="675"/>
      <c r="M7714" s="672">
        <v>28670</v>
      </c>
      <c r="N7714" s="623">
        <v>0.11164635874185322</v>
      </c>
      <c r="O7714" s="624">
        <v>5.886666666666667E-4</v>
      </c>
      <c r="P7714" s="397"/>
      <c r="Q7714" s="397"/>
      <c r="R7714" s="397"/>
      <c r="S7714" s="397"/>
      <c r="T7714" s="397"/>
      <c r="U7714" s="397"/>
      <c r="V7714" s="397"/>
      <c r="W7714" s="397"/>
      <c r="X7714" s="397"/>
      <c r="Y7714" s="397"/>
      <c r="Z7714" s="397"/>
      <c r="AD7714" s="388">
        <v>2.6913840000000002</v>
      </c>
      <c r="AE7714" s="388">
        <v>0.14935200000000001</v>
      </c>
      <c r="AF7714" s="388">
        <v>0.40196358316800007</v>
      </c>
      <c r="AG7714" s="388">
        <v>2.4384000000000003E-2</v>
      </c>
      <c r="AH7714" s="391"/>
      <c r="AI7714" s="397"/>
      <c r="AJ7714" s="397"/>
      <c r="AU7714" s="397"/>
      <c r="AV7714" s="397"/>
      <c r="AW7714" s="397"/>
      <c r="AX7714" s="397"/>
      <c r="BI7714" s="397"/>
      <c r="BJ7714" s="397"/>
      <c r="BK7714" s="397"/>
      <c r="BL7714" s="397"/>
      <c r="BM7714" s="397"/>
      <c r="BN7714" s="397"/>
      <c r="BO7714" s="397"/>
      <c r="BP7714" s="397"/>
      <c r="BQ7714" s="397"/>
      <c r="BR7714" s="397"/>
      <c r="BS7714" s="397"/>
      <c r="BT7714" s="397"/>
      <c r="BU7714" s="397"/>
      <c r="BV7714" s="397"/>
      <c r="BW7714" s="397"/>
      <c r="BX7714" s="397"/>
      <c r="BY7714" s="397"/>
      <c r="BZ7714" s="397"/>
      <c r="CA7714" s="392" t="s">
        <v>413</v>
      </c>
    </row>
    <row r="7715" spans="1:80" s="392" customFormat="1" ht="15" x14ac:dyDescent="0.25">
      <c r="A7715" s="385"/>
      <c r="D7715" s="700"/>
      <c r="E7715" s="397"/>
      <c r="H7715" s="401">
        <v>3</v>
      </c>
      <c r="I7715" s="401"/>
      <c r="J7715" s="401"/>
      <c r="K7715" s="401"/>
      <c r="L7715" s="675"/>
      <c r="M7715" s="672">
        <v>28677</v>
      </c>
      <c r="N7715" s="623">
        <v>0.1878719183904789</v>
      </c>
      <c r="O7715" s="624">
        <v>9.4406666666666656E-4</v>
      </c>
      <c r="P7715" s="397"/>
      <c r="Q7715" s="397"/>
      <c r="R7715" s="397"/>
      <c r="S7715" s="397"/>
      <c r="T7715" s="397"/>
      <c r="U7715" s="397"/>
      <c r="V7715" s="397"/>
      <c r="W7715" s="397"/>
      <c r="X7715" s="397"/>
      <c r="Y7715" s="397"/>
      <c r="Z7715" s="397"/>
      <c r="AD7715" s="388">
        <v>2.5389840000000001</v>
      </c>
      <c r="AE7715" s="388">
        <v>0.17983199999999999</v>
      </c>
      <c r="AF7715" s="388">
        <v>0.45659057068800002</v>
      </c>
      <c r="AG7715" s="388">
        <v>2.4384000000000003E-2</v>
      </c>
      <c r="AH7715" s="391"/>
      <c r="AI7715" s="397"/>
      <c r="AJ7715" s="397"/>
      <c r="AU7715" s="397"/>
      <c r="AV7715" s="397"/>
      <c r="AW7715" s="397"/>
      <c r="AX7715" s="397"/>
      <c r="BI7715" s="397"/>
      <c r="BJ7715" s="397"/>
      <c r="BK7715" s="397"/>
      <c r="BL7715" s="397"/>
      <c r="BM7715" s="397"/>
      <c r="BN7715" s="397"/>
      <c r="BO7715" s="397"/>
      <c r="BP7715" s="397"/>
      <c r="BQ7715" s="397"/>
      <c r="BR7715" s="397"/>
      <c r="BS7715" s="397"/>
      <c r="BT7715" s="397"/>
      <c r="BU7715" s="397"/>
      <c r="BV7715" s="397"/>
      <c r="BW7715" s="397"/>
      <c r="BX7715" s="397"/>
      <c r="BY7715" s="397"/>
      <c r="BZ7715" s="397"/>
      <c r="CA7715" s="392" t="s">
        <v>413</v>
      </c>
    </row>
    <row r="7716" spans="1:80" s="392" customFormat="1" ht="15" x14ac:dyDescent="0.25">
      <c r="A7716" s="385"/>
      <c r="D7716" s="700"/>
      <c r="E7716" s="397"/>
      <c r="H7716" s="401">
        <v>3</v>
      </c>
      <c r="I7716" s="401"/>
      <c r="J7716" s="401"/>
      <c r="K7716" s="401"/>
      <c r="L7716" s="675"/>
      <c r="M7716" s="672">
        <v>28684</v>
      </c>
      <c r="N7716" s="623">
        <v>5.1289317086993483E-2</v>
      </c>
      <c r="O7716" s="624" t="s">
        <v>71</v>
      </c>
      <c r="P7716" s="397"/>
      <c r="Q7716" s="397"/>
      <c r="R7716" s="397"/>
      <c r="S7716" s="397"/>
      <c r="T7716" s="397"/>
      <c r="U7716" s="397"/>
      <c r="V7716" s="397"/>
      <c r="W7716" s="397"/>
      <c r="X7716" s="397"/>
      <c r="Y7716" s="397"/>
      <c r="Z7716" s="397"/>
      <c r="AD7716" s="388">
        <v>2.1335999999999999</v>
      </c>
      <c r="AE7716" s="388">
        <v>0.25603199999999998</v>
      </c>
      <c r="AF7716" s="388">
        <v>0.54626987519999992</v>
      </c>
      <c r="AG7716" s="388">
        <v>0.25908000000000003</v>
      </c>
      <c r="AH7716" s="391"/>
      <c r="AI7716" s="397"/>
      <c r="AJ7716" s="397"/>
      <c r="AU7716" s="397"/>
      <c r="AV7716" s="397"/>
      <c r="AW7716" s="397"/>
      <c r="AX7716" s="397"/>
      <c r="BI7716" s="397"/>
      <c r="BJ7716" s="397"/>
      <c r="BK7716" s="397"/>
      <c r="BL7716" s="397"/>
      <c r="BM7716" s="397"/>
      <c r="BN7716" s="397"/>
      <c r="BO7716" s="397"/>
      <c r="BP7716" s="397"/>
      <c r="BQ7716" s="397"/>
      <c r="BR7716" s="397"/>
      <c r="BS7716" s="397"/>
      <c r="BT7716" s="397"/>
      <c r="BU7716" s="397"/>
      <c r="BV7716" s="397"/>
      <c r="BW7716" s="397"/>
      <c r="BX7716" s="397"/>
      <c r="BY7716" s="397"/>
      <c r="BZ7716" s="397"/>
      <c r="CA7716" s="392" t="s">
        <v>413</v>
      </c>
    </row>
    <row r="7717" spans="1:80" s="392" customFormat="1" ht="15" x14ac:dyDescent="0.25">
      <c r="A7717" s="385"/>
      <c r="D7717" s="700"/>
      <c r="E7717" s="397"/>
      <c r="H7717" s="401">
        <v>3</v>
      </c>
      <c r="I7717" s="401"/>
      <c r="J7717" s="401"/>
      <c r="K7717" s="401"/>
      <c r="L7717" s="675"/>
      <c r="M7717" s="672">
        <v>28690</v>
      </c>
      <c r="N7717" s="623">
        <v>5.950694247662227E-3</v>
      </c>
      <c r="O7717" s="624" t="s">
        <v>71</v>
      </c>
      <c r="P7717" s="397"/>
      <c r="Q7717" s="397"/>
      <c r="R7717" s="397"/>
      <c r="S7717" s="397"/>
      <c r="T7717" s="397"/>
      <c r="U7717" s="397"/>
      <c r="V7717" s="397"/>
      <c r="W7717" s="397"/>
      <c r="X7717" s="397"/>
      <c r="Y7717" s="397"/>
      <c r="Z7717" s="397"/>
      <c r="AD7717" s="388">
        <v>1.347216</v>
      </c>
      <c r="AE7717" s="388">
        <v>0.21335999999999999</v>
      </c>
      <c r="AF7717" s="388">
        <v>0.28744200576000001</v>
      </c>
      <c r="AG7717" s="388">
        <v>0.13716</v>
      </c>
      <c r="AH7717" s="391"/>
      <c r="AI7717" s="397"/>
      <c r="AJ7717" s="397"/>
      <c r="AU7717" s="397"/>
      <c r="AV7717" s="397"/>
      <c r="AW7717" s="397"/>
      <c r="AX7717" s="397"/>
      <c r="BI7717" s="397"/>
      <c r="BJ7717" s="397"/>
      <c r="BK7717" s="397"/>
      <c r="BL7717" s="397"/>
      <c r="BM7717" s="397"/>
      <c r="BN7717" s="397"/>
      <c r="BO7717" s="397"/>
      <c r="BP7717" s="397"/>
      <c r="BQ7717" s="397"/>
      <c r="BR7717" s="397"/>
      <c r="BS7717" s="397"/>
      <c r="BT7717" s="397"/>
      <c r="BU7717" s="397"/>
      <c r="BV7717" s="397"/>
      <c r="BW7717" s="397"/>
      <c r="BX7717" s="397"/>
      <c r="BY7717" s="397"/>
      <c r="BZ7717" s="397"/>
      <c r="CA7717" s="392" t="s">
        <v>413</v>
      </c>
    </row>
    <row r="7718" spans="1:80" s="392" customFormat="1" ht="15" x14ac:dyDescent="0.25">
      <c r="A7718" s="385"/>
      <c r="D7718" s="700"/>
      <c r="E7718" s="397"/>
      <c r="H7718" s="401">
        <v>3</v>
      </c>
      <c r="I7718" s="401"/>
      <c r="J7718" s="401"/>
      <c r="K7718" s="401"/>
      <c r="L7718" s="675"/>
      <c r="M7718" s="672">
        <v>28705</v>
      </c>
      <c r="N7718" s="623">
        <v>3.1170303202040237E-3</v>
      </c>
      <c r="O7718" s="624" t="s">
        <v>71</v>
      </c>
      <c r="P7718" s="397"/>
      <c r="Q7718" s="397"/>
      <c r="R7718" s="397"/>
      <c r="S7718" s="397"/>
      <c r="T7718" s="397"/>
      <c r="U7718" s="397"/>
      <c r="V7718" s="397"/>
      <c r="W7718" s="397"/>
      <c r="X7718" s="397"/>
      <c r="Y7718" s="397"/>
      <c r="Z7718" s="397"/>
      <c r="AD7718" s="388">
        <v>0.96621600000000007</v>
      </c>
      <c r="AE7718" s="388">
        <v>0.19812000000000002</v>
      </c>
      <c r="AF7718" s="388">
        <v>0.19142671392000002</v>
      </c>
      <c r="AG7718" s="388">
        <v>0.16764000000000001</v>
      </c>
      <c r="AH7718" s="391"/>
      <c r="AI7718" s="397"/>
      <c r="AJ7718" s="397"/>
      <c r="AU7718" s="397"/>
      <c r="AV7718" s="397"/>
      <c r="AW7718" s="397"/>
      <c r="AX7718" s="397"/>
      <c r="BI7718" s="397"/>
      <c r="BJ7718" s="397"/>
      <c r="BK7718" s="397"/>
      <c r="BL7718" s="397"/>
      <c r="BM7718" s="397"/>
      <c r="BN7718" s="397"/>
      <c r="BO7718" s="397"/>
      <c r="BP7718" s="397"/>
      <c r="BQ7718" s="397"/>
      <c r="BR7718" s="397"/>
      <c r="BS7718" s="397"/>
      <c r="BT7718" s="397"/>
      <c r="BU7718" s="397"/>
      <c r="BV7718" s="397"/>
      <c r="BW7718" s="397"/>
      <c r="BX7718" s="397"/>
      <c r="BY7718" s="397"/>
      <c r="BZ7718" s="397"/>
      <c r="CA7718" s="392" t="s">
        <v>413</v>
      </c>
    </row>
    <row r="7719" spans="1:80" s="392" customFormat="1" ht="15" x14ac:dyDescent="0.25">
      <c r="A7719" s="385"/>
      <c r="D7719" s="700"/>
      <c r="E7719" s="397"/>
      <c r="H7719" s="401">
        <v>3</v>
      </c>
      <c r="I7719" s="401"/>
      <c r="J7719" s="401"/>
      <c r="K7719" s="401"/>
      <c r="L7719" s="675"/>
      <c r="M7719" s="672">
        <v>28720</v>
      </c>
      <c r="N7719" s="623">
        <v>3.088693680929442E-2</v>
      </c>
      <c r="O7719" s="624" t="s">
        <v>71</v>
      </c>
      <c r="P7719" s="397"/>
      <c r="Q7719" s="397"/>
      <c r="R7719" s="397"/>
      <c r="S7719" s="397"/>
      <c r="T7719" s="397"/>
      <c r="U7719" s="397"/>
      <c r="V7719" s="397"/>
      <c r="W7719" s="397"/>
      <c r="X7719" s="397"/>
      <c r="Y7719" s="397"/>
      <c r="Z7719" s="397"/>
      <c r="AD7719" s="388">
        <v>1.423416</v>
      </c>
      <c r="AE7719" s="388">
        <v>0.23774400000000001</v>
      </c>
      <c r="AF7719" s="388">
        <v>0.33840861350400003</v>
      </c>
      <c r="AG7719" s="388">
        <v>0.67665600000000015</v>
      </c>
      <c r="AH7719" s="391"/>
      <c r="AI7719" s="397"/>
      <c r="AJ7719" s="397"/>
      <c r="AU7719" s="397"/>
      <c r="AV7719" s="397"/>
      <c r="AW7719" s="397"/>
      <c r="AX7719" s="397"/>
      <c r="BI7719" s="397"/>
      <c r="BJ7719" s="397"/>
      <c r="BK7719" s="397"/>
      <c r="BL7719" s="397"/>
      <c r="BM7719" s="397"/>
      <c r="BN7719" s="397"/>
      <c r="BO7719" s="397"/>
      <c r="BP7719" s="397"/>
      <c r="BQ7719" s="397"/>
      <c r="BR7719" s="397"/>
      <c r="BS7719" s="397"/>
      <c r="BT7719" s="397"/>
      <c r="BU7719" s="397"/>
      <c r="BV7719" s="397"/>
      <c r="BW7719" s="397"/>
      <c r="BX7719" s="397"/>
      <c r="BY7719" s="397"/>
      <c r="BZ7719" s="397"/>
      <c r="CA7719" s="392" t="s">
        <v>413</v>
      </c>
    </row>
    <row r="7720" spans="1:80" s="392" customFormat="1" ht="15" x14ac:dyDescent="0.25">
      <c r="A7720" s="385"/>
      <c r="D7720" s="700"/>
      <c r="E7720" s="397"/>
      <c r="H7720" s="401">
        <v>3</v>
      </c>
      <c r="I7720" s="401"/>
      <c r="J7720" s="401"/>
      <c r="K7720" s="401"/>
      <c r="L7720" s="675"/>
      <c r="M7720" s="672">
        <v>28738</v>
      </c>
      <c r="N7720" s="623">
        <v>9.917823746103711E-3</v>
      </c>
      <c r="O7720" s="624" t="s">
        <v>71</v>
      </c>
      <c r="P7720" s="397"/>
      <c r="Q7720" s="397"/>
      <c r="R7720" s="397"/>
      <c r="S7720" s="397"/>
      <c r="T7720" s="397"/>
      <c r="U7720" s="397"/>
      <c r="V7720" s="397"/>
      <c r="W7720" s="397"/>
      <c r="X7720" s="397"/>
      <c r="Y7720" s="397"/>
      <c r="Z7720" s="397"/>
      <c r="AD7720" s="388">
        <v>1.243584</v>
      </c>
      <c r="AE7720" s="388">
        <v>0.24384000000000003</v>
      </c>
      <c r="AF7720" s="388">
        <v>0.30323552256000003</v>
      </c>
      <c r="AG7720" s="388">
        <v>0.70408800000000005</v>
      </c>
      <c r="AH7720" s="391"/>
      <c r="AI7720" s="397"/>
      <c r="AJ7720" s="397"/>
      <c r="AU7720" s="397"/>
      <c r="AV7720" s="397"/>
      <c r="AW7720" s="397"/>
      <c r="AX7720" s="397"/>
      <c r="BI7720" s="397"/>
      <c r="BJ7720" s="397"/>
      <c r="BK7720" s="397"/>
      <c r="BL7720" s="397"/>
      <c r="BM7720" s="397"/>
      <c r="BN7720" s="397"/>
      <c r="BO7720" s="397"/>
      <c r="BP7720" s="397"/>
      <c r="BQ7720" s="397"/>
      <c r="BR7720" s="397"/>
      <c r="BS7720" s="397"/>
      <c r="BT7720" s="397"/>
      <c r="BU7720" s="397"/>
      <c r="BV7720" s="397"/>
      <c r="BW7720" s="397"/>
      <c r="BX7720" s="397"/>
      <c r="BY7720" s="397"/>
      <c r="BZ7720" s="397"/>
      <c r="CA7720" s="392" t="s">
        <v>413</v>
      </c>
    </row>
    <row r="7721" spans="1:80" s="189" customFormat="1" ht="15" x14ac:dyDescent="0.25">
      <c r="A7721" s="381" t="s">
        <v>491</v>
      </c>
      <c r="B7721" s="641"/>
      <c r="C7721" s="639"/>
      <c r="D7721" s="4">
        <f>VLOOKUP(E7721,'Quality Code'!$D$4:$E$24,2,TRUE)*VLOOKUP(MROUND(F7721,10),'Quality Code'!$D$28:$E$69,2,TRUE)*VLOOKUP(COUNTA(CB7721:CB7731),'Quality Code'!$D$73:$E$93,2,TRUE)</f>
        <v>7.4999999999999997E-2</v>
      </c>
      <c r="E7721" s="14">
        <v>0.3</v>
      </c>
      <c r="F7721" s="2">
        <v>9</v>
      </c>
      <c r="G7721" s="12"/>
      <c r="H7721" s="2" t="s">
        <v>105</v>
      </c>
      <c r="I7721" s="2"/>
      <c r="J7721" s="2"/>
      <c r="K7721" s="2"/>
      <c r="L7721" s="639"/>
      <c r="M7721" s="640">
        <v>1978</v>
      </c>
      <c r="N7721" s="578" t="s">
        <v>110</v>
      </c>
      <c r="O7721" s="578"/>
      <c r="P7721" s="26"/>
      <c r="Q7721" s="26"/>
      <c r="R7721" s="26"/>
      <c r="S7721" s="26"/>
      <c r="T7721" s="26"/>
      <c r="U7721" s="26"/>
      <c r="V7721" s="10"/>
      <c r="W7721" s="10"/>
      <c r="X7721" s="10"/>
      <c r="Y7721" s="10"/>
      <c r="Z7721" s="26"/>
      <c r="AA7721" s="26"/>
      <c r="AB7721" s="26"/>
      <c r="AC7721" s="3">
        <v>0.01</v>
      </c>
      <c r="AD7721" s="406"/>
      <c r="AE7721" s="26"/>
      <c r="AF7721" s="26"/>
      <c r="AG7721" s="26"/>
      <c r="AH7721" s="26"/>
      <c r="AI7721" s="4"/>
      <c r="AJ7721" s="4"/>
      <c r="AK7721" s="26"/>
      <c r="AL7721" s="26"/>
      <c r="AM7721" s="26"/>
      <c r="AN7721" s="26"/>
      <c r="AO7721" s="26"/>
      <c r="AP7721" s="26"/>
      <c r="AQ7721" s="26"/>
      <c r="AR7721" s="26"/>
      <c r="AS7721" s="26"/>
      <c r="AT7721" s="26"/>
      <c r="AU7721" s="4"/>
      <c r="AV7721" s="4"/>
      <c r="AW7721" s="4"/>
      <c r="AX7721" s="4"/>
      <c r="AY7721" s="2"/>
      <c r="AZ7721" s="2"/>
      <c r="BA7721" s="12"/>
      <c r="BB7721" s="12"/>
      <c r="BC7721" s="12"/>
      <c r="BD7721" s="12"/>
      <c r="BE7721" s="12"/>
      <c r="BF7721" s="12"/>
      <c r="BG7721" s="12"/>
      <c r="BH7721" s="12"/>
      <c r="BI7721" s="4"/>
      <c r="BJ7721" s="12"/>
      <c r="BK7721" s="2"/>
      <c r="BL7721" s="2"/>
      <c r="BM7721" s="4"/>
      <c r="BN7721" s="12"/>
      <c r="BO7721" s="12"/>
      <c r="BP7721" s="12"/>
      <c r="BQ7721" s="4"/>
      <c r="BR7721" s="4"/>
      <c r="BS7721" s="4"/>
      <c r="BT7721" s="2"/>
      <c r="BU7721" s="9"/>
      <c r="BV7721" s="381"/>
      <c r="BW7721" s="382"/>
      <c r="BX7721" s="383"/>
      <c r="BY7721" s="383"/>
      <c r="BZ7721" s="383"/>
      <c r="CA7721" s="384" t="s">
        <v>413</v>
      </c>
      <c r="CB7721" s="411"/>
    </row>
    <row r="7722" spans="1:80" s="392" customFormat="1" ht="15" x14ac:dyDescent="0.25">
      <c r="A7722" s="385"/>
      <c r="D7722" s="700"/>
      <c r="E7722" s="397"/>
      <c r="H7722" s="401">
        <v>3</v>
      </c>
      <c r="I7722" s="401"/>
      <c r="J7722" s="401"/>
      <c r="K7722" s="401"/>
      <c r="L7722" s="675"/>
      <c r="M7722" s="672">
        <v>28641</v>
      </c>
      <c r="N7722" s="623">
        <v>4.0113346557098328</v>
      </c>
      <c r="O7722" s="624">
        <v>8.8124999999999995E-2</v>
      </c>
      <c r="P7722" s="397"/>
      <c r="Q7722" s="397"/>
      <c r="R7722" s="397"/>
      <c r="S7722" s="397"/>
      <c r="T7722" s="397"/>
      <c r="U7722" s="397"/>
      <c r="V7722" s="397"/>
      <c r="W7722" s="397"/>
      <c r="X7722" s="397"/>
      <c r="Y7722" s="397"/>
      <c r="Z7722" s="397"/>
      <c r="AD7722" s="388">
        <v>10.744200000000001</v>
      </c>
      <c r="AE7722" s="388"/>
      <c r="AF7722" s="388"/>
      <c r="AG7722" s="388"/>
      <c r="AH7722" s="391"/>
      <c r="AI7722" s="397"/>
      <c r="AJ7722" s="397"/>
      <c r="AU7722" s="397"/>
      <c r="AV7722" s="397"/>
      <c r="AW7722" s="397"/>
      <c r="AX7722" s="397"/>
      <c r="BI7722" s="397"/>
      <c r="BJ7722" s="397"/>
      <c r="BK7722" s="397"/>
      <c r="BL7722" s="397"/>
      <c r="BM7722" s="397"/>
      <c r="BN7722" s="397"/>
      <c r="BO7722" s="397"/>
      <c r="BP7722" s="397"/>
      <c r="BQ7722" s="397"/>
      <c r="BR7722" s="397"/>
      <c r="BS7722" s="397"/>
      <c r="BT7722" s="397"/>
      <c r="BU7722" s="397"/>
      <c r="BV7722" s="397"/>
      <c r="BW7722" s="397"/>
      <c r="BX7722" s="397"/>
      <c r="BY7722" s="397"/>
      <c r="BZ7722" s="397"/>
      <c r="CA7722" s="392" t="s">
        <v>413</v>
      </c>
    </row>
    <row r="7723" spans="1:80" s="392" customFormat="1" ht="15" x14ac:dyDescent="0.25">
      <c r="A7723" s="385"/>
      <c r="D7723" s="700"/>
      <c r="E7723" s="397"/>
      <c r="H7723" s="401">
        <v>3</v>
      </c>
      <c r="I7723" s="401"/>
      <c r="J7723" s="401"/>
      <c r="K7723" s="401"/>
      <c r="L7723" s="675"/>
      <c r="M7723" s="672">
        <v>28653</v>
      </c>
      <c r="N7723" s="623">
        <v>9.5324454519693962</v>
      </c>
      <c r="O7723" s="624">
        <v>2.4483333333333333E-2</v>
      </c>
      <c r="P7723" s="397"/>
      <c r="Q7723" s="397"/>
      <c r="R7723" s="397"/>
      <c r="S7723" s="397"/>
      <c r="T7723" s="397"/>
      <c r="U7723" s="397"/>
      <c r="V7723" s="397"/>
      <c r="W7723" s="397"/>
      <c r="X7723" s="397"/>
      <c r="Y7723" s="397"/>
      <c r="Z7723" s="397"/>
      <c r="AD7723" s="388">
        <v>9.9060000000000006</v>
      </c>
      <c r="AE7723" s="388"/>
      <c r="AF7723" s="388"/>
      <c r="AG7723" s="388"/>
      <c r="AH7723" s="391"/>
      <c r="AI7723" s="397"/>
      <c r="AJ7723" s="397"/>
      <c r="AU7723" s="397"/>
      <c r="AV7723" s="397"/>
      <c r="AW7723" s="397"/>
      <c r="AX7723" s="397"/>
      <c r="BI7723" s="397"/>
      <c r="BJ7723" s="397"/>
      <c r="BK7723" s="397"/>
      <c r="BL7723" s="397"/>
      <c r="BM7723" s="397"/>
      <c r="BN7723" s="397"/>
      <c r="BO7723" s="397"/>
      <c r="BP7723" s="397"/>
      <c r="BQ7723" s="397"/>
      <c r="BR7723" s="397"/>
      <c r="BS7723" s="397"/>
      <c r="BT7723" s="397"/>
      <c r="BU7723" s="397"/>
      <c r="BV7723" s="397"/>
      <c r="BW7723" s="397"/>
      <c r="BX7723" s="397"/>
      <c r="BY7723" s="397"/>
      <c r="BZ7723" s="397"/>
      <c r="CA7723" s="392" t="s">
        <v>413</v>
      </c>
    </row>
    <row r="7724" spans="1:80" s="392" customFormat="1" ht="15" x14ac:dyDescent="0.25">
      <c r="A7724" s="385"/>
      <c r="D7724" s="700"/>
      <c r="E7724" s="397"/>
      <c r="H7724" s="401">
        <v>3</v>
      </c>
      <c r="I7724" s="401"/>
      <c r="J7724" s="401"/>
      <c r="K7724" s="401"/>
      <c r="L7724" s="675"/>
      <c r="M7724" s="672">
        <v>28663</v>
      </c>
      <c r="N7724" s="623">
        <v>6.3799943326721458</v>
      </c>
      <c r="O7724" s="624">
        <v>1.6320000000000001E-2</v>
      </c>
      <c r="P7724" s="397"/>
      <c r="Q7724" s="397"/>
      <c r="R7724" s="397"/>
      <c r="S7724" s="397"/>
      <c r="T7724" s="397"/>
      <c r="U7724" s="397"/>
      <c r="V7724" s="397"/>
      <c r="W7724" s="397"/>
      <c r="X7724" s="397"/>
      <c r="Y7724" s="397"/>
      <c r="Z7724" s="397"/>
      <c r="AD7724" s="388">
        <v>10.972800000000001</v>
      </c>
      <c r="AE7724" s="388"/>
      <c r="AF7724" s="388"/>
      <c r="AG7724" s="388"/>
      <c r="AH7724" s="391"/>
      <c r="AI7724" s="397"/>
      <c r="AJ7724" s="397"/>
      <c r="AU7724" s="397"/>
      <c r="AV7724" s="397"/>
      <c r="AW7724" s="397"/>
      <c r="AX7724" s="397"/>
      <c r="BI7724" s="397"/>
      <c r="BJ7724" s="397"/>
      <c r="BK7724" s="397"/>
      <c r="BL7724" s="397"/>
      <c r="BM7724" s="397"/>
      <c r="BN7724" s="397"/>
      <c r="BO7724" s="397"/>
      <c r="BP7724" s="397"/>
      <c r="BQ7724" s="397"/>
      <c r="BR7724" s="397"/>
      <c r="BS7724" s="397"/>
      <c r="BT7724" s="397"/>
      <c r="BU7724" s="397"/>
      <c r="BV7724" s="397"/>
      <c r="BW7724" s="397"/>
      <c r="BX7724" s="397"/>
      <c r="BY7724" s="397"/>
      <c r="BZ7724" s="397"/>
      <c r="CA7724" s="392" t="s">
        <v>413</v>
      </c>
    </row>
    <row r="7725" spans="1:80" s="392" customFormat="1" ht="15" x14ac:dyDescent="0.25">
      <c r="A7725" s="385"/>
      <c r="D7725" s="700"/>
      <c r="E7725" s="397"/>
      <c r="H7725" s="401">
        <v>3</v>
      </c>
      <c r="I7725" s="401"/>
      <c r="J7725" s="401"/>
      <c r="K7725" s="401"/>
      <c r="L7725" s="675"/>
      <c r="M7725" s="672">
        <v>28671</v>
      </c>
      <c r="N7725" s="623">
        <v>3.5942193255879853</v>
      </c>
      <c r="O7725" s="624">
        <v>3.7049999999999995E-3</v>
      </c>
      <c r="P7725" s="397"/>
      <c r="Q7725" s="397"/>
      <c r="R7725" s="397"/>
      <c r="S7725" s="397"/>
      <c r="T7725" s="397"/>
      <c r="U7725" s="397"/>
      <c r="V7725" s="397"/>
      <c r="W7725" s="397"/>
      <c r="X7725" s="397"/>
      <c r="Y7725" s="397"/>
      <c r="Z7725" s="397"/>
      <c r="AD7725" s="388">
        <v>8.9154</v>
      </c>
      <c r="AE7725" s="388"/>
      <c r="AF7725" s="388"/>
      <c r="AG7725" s="388"/>
      <c r="AH7725" s="391"/>
      <c r="AI7725" s="397"/>
      <c r="AJ7725" s="397"/>
      <c r="AU7725" s="397"/>
      <c r="AV7725" s="397"/>
      <c r="AW7725" s="397"/>
      <c r="AX7725" s="397"/>
      <c r="BI7725" s="397"/>
      <c r="BJ7725" s="397"/>
      <c r="BK7725" s="397"/>
      <c r="BL7725" s="397"/>
      <c r="BM7725" s="397"/>
      <c r="BN7725" s="397"/>
      <c r="BO7725" s="397"/>
      <c r="BP7725" s="397"/>
      <c r="BQ7725" s="397"/>
      <c r="BR7725" s="397"/>
      <c r="BS7725" s="397"/>
      <c r="BT7725" s="397"/>
      <c r="BU7725" s="397"/>
      <c r="BV7725" s="397"/>
      <c r="BW7725" s="397"/>
      <c r="BX7725" s="397"/>
      <c r="BY7725" s="397"/>
      <c r="BZ7725" s="397"/>
      <c r="CA7725" s="392" t="s">
        <v>413</v>
      </c>
    </row>
    <row r="7726" spans="1:80" s="392" customFormat="1" ht="15" x14ac:dyDescent="0.25">
      <c r="A7726" s="385"/>
      <c r="D7726" s="700"/>
      <c r="E7726" s="397"/>
      <c r="H7726" s="401">
        <v>3</v>
      </c>
      <c r="I7726" s="401"/>
      <c r="J7726" s="401"/>
      <c r="K7726" s="401"/>
      <c r="L7726" s="675"/>
      <c r="M7726" s="672">
        <v>28677</v>
      </c>
      <c r="N7726" s="623">
        <v>1.8288466987815248</v>
      </c>
      <c r="O7726" s="624">
        <v>2.4769333333333333E-3</v>
      </c>
      <c r="P7726" s="397"/>
      <c r="Q7726" s="397"/>
      <c r="R7726" s="397"/>
      <c r="S7726" s="397"/>
      <c r="T7726" s="397"/>
      <c r="U7726" s="397"/>
      <c r="V7726" s="397"/>
      <c r="W7726" s="397"/>
      <c r="X7726" s="397"/>
      <c r="Y7726" s="397"/>
      <c r="Z7726" s="397"/>
      <c r="AD7726" s="388">
        <v>8.7111839999999994</v>
      </c>
      <c r="AE7726" s="388"/>
      <c r="AF7726" s="388"/>
      <c r="AG7726" s="388"/>
      <c r="AH7726" s="391"/>
      <c r="AI7726" s="397"/>
      <c r="AJ7726" s="397"/>
      <c r="AU7726" s="397"/>
      <c r="AV7726" s="397"/>
      <c r="AW7726" s="397"/>
      <c r="AX7726" s="397"/>
      <c r="BI7726" s="397"/>
      <c r="BJ7726" s="397"/>
      <c r="BK7726" s="397"/>
      <c r="BL7726" s="397"/>
      <c r="BM7726" s="397"/>
      <c r="BN7726" s="397"/>
      <c r="BO7726" s="397"/>
      <c r="BP7726" s="397"/>
      <c r="BQ7726" s="397"/>
      <c r="BR7726" s="397"/>
      <c r="BS7726" s="397"/>
      <c r="BT7726" s="397"/>
      <c r="BU7726" s="397"/>
      <c r="BV7726" s="397"/>
      <c r="BW7726" s="397"/>
      <c r="BX7726" s="397"/>
      <c r="BY7726" s="397"/>
      <c r="BZ7726" s="397"/>
      <c r="CA7726" s="392" t="s">
        <v>413</v>
      </c>
    </row>
    <row r="7727" spans="1:80" s="392" customFormat="1" ht="15" x14ac:dyDescent="0.25">
      <c r="A7727" s="385"/>
      <c r="D7727" s="700"/>
      <c r="E7727" s="397"/>
      <c r="H7727" s="401">
        <v>3</v>
      </c>
      <c r="I7727" s="401"/>
      <c r="J7727" s="401"/>
      <c r="K7727" s="401"/>
      <c r="L7727" s="675"/>
      <c r="M7727" s="672">
        <v>28684</v>
      </c>
      <c r="N7727" s="623">
        <v>1.3270048172286766</v>
      </c>
      <c r="O7727" s="624">
        <v>3.4833333333333331E-3</v>
      </c>
      <c r="P7727" s="397"/>
      <c r="Q7727" s="397"/>
      <c r="R7727" s="397"/>
      <c r="S7727" s="397"/>
      <c r="T7727" s="397"/>
      <c r="U7727" s="397"/>
      <c r="V7727" s="397"/>
      <c r="W7727" s="397"/>
      <c r="X7727" s="397"/>
      <c r="Y7727" s="397"/>
      <c r="Z7727" s="397"/>
      <c r="AD7727" s="388">
        <v>8.3819999999999997</v>
      </c>
      <c r="AE7727" s="388"/>
      <c r="AF7727" s="388"/>
      <c r="AG7727" s="388"/>
      <c r="AH7727" s="391"/>
      <c r="AI7727" s="397"/>
      <c r="AJ7727" s="397"/>
      <c r="AU7727" s="397"/>
      <c r="AV7727" s="397"/>
      <c r="AW7727" s="397"/>
      <c r="AX7727" s="397"/>
      <c r="BI7727" s="397"/>
      <c r="BJ7727" s="397"/>
      <c r="BK7727" s="397"/>
      <c r="BL7727" s="397"/>
      <c r="BM7727" s="397"/>
      <c r="BN7727" s="397"/>
      <c r="BO7727" s="397"/>
      <c r="BP7727" s="397"/>
      <c r="BQ7727" s="397"/>
      <c r="BR7727" s="397"/>
      <c r="BS7727" s="397"/>
      <c r="BT7727" s="397"/>
      <c r="BU7727" s="397"/>
      <c r="BV7727" s="397"/>
      <c r="BW7727" s="397"/>
      <c r="BX7727" s="397"/>
      <c r="BY7727" s="397"/>
      <c r="BZ7727" s="397"/>
      <c r="CA7727" s="392" t="s">
        <v>413</v>
      </c>
    </row>
    <row r="7728" spans="1:80" s="392" customFormat="1" ht="15" x14ac:dyDescent="0.25">
      <c r="A7728" s="385"/>
      <c r="D7728" s="700"/>
      <c r="E7728" s="397"/>
      <c r="H7728" s="401">
        <v>3</v>
      </c>
      <c r="I7728" s="401"/>
      <c r="J7728" s="401"/>
      <c r="K7728" s="401"/>
      <c r="L7728" s="675"/>
      <c r="M7728" s="672">
        <v>28690</v>
      </c>
      <c r="N7728" s="623">
        <v>2.3601586851799379</v>
      </c>
      <c r="O7728" s="624">
        <v>8.7921333333333337E-3</v>
      </c>
      <c r="P7728" s="397"/>
      <c r="Q7728" s="397"/>
      <c r="R7728" s="397"/>
      <c r="S7728" s="397"/>
      <c r="T7728" s="397"/>
      <c r="U7728" s="397"/>
      <c r="V7728" s="397"/>
      <c r="W7728" s="397"/>
      <c r="X7728" s="397"/>
      <c r="Y7728" s="397"/>
      <c r="Z7728" s="397"/>
      <c r="AD7728" s="388">
        <v>8.7386160000000004</v>
      </c>
      <c r="AE7728" s="388"/>
      <c r="AF7728" s="388"/>
      <c r="AG7728" s="388"/>
      <c r="AH7728" s="391"/>
      <c r="AI7728" s="397"/>
      <c r="AJ7728" s="397"/>
      <c r="AU7728" s="397"/>
      <c r="AV7728" s="397"/>
      <c r="AW7728" s="397"/>
      <c r="AX7728" s="397"/>
      <c r="BI7728" s="397"/>
      <c r="BJ7728" s="397"/>
      <c r="BK7728" s="397"/>
      <c r="BL7728" s="397"/>
      <c r="BM7728" s="397"/>
      <c r="BN7728" s="397"/>
      <c r="BO7728" s="397"/>
      <c r="BP7728" s="397"/>
      <c r="BQ7728" s="397"/>
      <c r="BR7728" s="397"/>
      <c r="BS7728" s="397"/>
      <c r="BT7728" s="397"/>
      <c r="BU7728" s="397"/>
      <c r="BV7728" s="397"/>
      <c r="BW7728" s="397"/>
      <c r="BX7728" s="397"/>
      <c r="BY7728" s="397"/>
      <c r="BZ7728" s="397"/>
      <c r="CA7728" s="392" t="s">
        <v>413</v>
      </c>
    </row>
    <row r="7729" spans="1:80" s="392" customFormat="1" ht="15" x14ac:dyDescent="0.25">
      <c r="A7729" s="385"/>
      <c r="D7729" s="700"/>
      <c r="E7729" s="397"/>
      <c r="H7729" s="401">
        <v>3</v>
      </c>
      <c r="I7729" s="401"/>
      <c r="J7729" s="401"/>
      <c r="K7729" s="401"/>
      <c r="L7729" s="675"/>
      <c r="M7729" s="672">
        <v>28706</v>
      </c>
      <c r="N7729" s="623">
        <v>0.42618305468971379</v>
      </c>
      <c r="O7729" s="624" t="s">
        <v>71</v>
      </c>
      <c r="P7729" s="397"/>
      <c r="Q7729" s="397"/>
      <c r="R7729" s="397"/>
      <c r="S7729" s="397"/>
      <c r="T7729" s="397"/>
      <c r="U7729" s="397"/>
      <c r="V7729" s="397"/>
      <c r="W7729" s="397"/>
      <c r="X7729" s="397"/>
      <c r="Y7729" s="397"/>
      <c r="Z7729" s="397"/>
      <c r="AD7729" s="388">
        <v>7.9248000000000003</v>
      </c>
      <c r="AE7729" s="388"/>
      <c r="AF7729" s="388"/>
      <c r="AG7729" s="388"/>
      <c r="AH7729" s="391"/>
      <c r="AI7729" s="397"/>
      <c r="AJ7729" s="397"/>
      <c r="AU7729" s="397"/>
      <c r="AV7729" s="397"/>
      <c r="AW7729" s="397"/>
      <c r="AX7729" s="397"/>
      <c r="BI7729" s="397"/>
      <c r="BJ7729" s="397"/>
      <c r="BK7729" s="397"/>
      <c r="BL7729" s="397"/>
      <c r="BM7729" s="397"/>
      <c r="BN7729" s="397"/>
      <c r="BO7729" s="397"/>
      <c r="BP7729" s="397"/>
      <c r="BQ7729" s="397"/>
      <c r="BR7729" s="397"/>
      <c r="BS7729" s="397"/>
      <c r="BT7729" s="397"/>
      <c r="BU7729" s="397"/>
      <c r="BV7729" s="397"/>
      <c r="BW7729" s="397"/>
      <c r="BX7729" s="397"/>
      <c r="BY7729" s="397"/>
      <c r="BZ7729" s="397"/>
      <c r="CA7729" s="392" t="s">
        <v>413</v>
      </c>
    </row>
    <row r="7730" spans="1:80" s="392" customFormat="1" ht="15" x14ac:dyDescent="0.25">
      <c r="A7730" s="385"/>
      <c r="D7730" s="700"/>
      <c r="E7730" s="397"/>
      <c r="H7730" s="401">
        <v>3</v>
      </c>
      <c r="I7730" s="401"/>
      <c r="J7730" s="401"/>
      <c r="K7730" s="401"/>
      <c r="L7730" s="675"/>
      <c r="M7730" s="672">
        <v>28719</v>
      </c>
      <c r="N7730" s="623">
        <v>1.8432983848115614</v>
      </c>
      <c r="O7730" s="624">
        <v>3.0581333333333338E-3</v>
      </c>
      <c r="P7730" s="397"/>
      <c r="Q7730" s="397"/>
      <c r="R7730" s="397"/>
      <c r="S7730" s="397"/>
      <c r="T7730" s="397"/>
      <c r="U7730" s="397"/>
      <c r="V7730" s="397"/>
      <c r="W7730" s="397"/>
      <c r="X7730" s="397"/>
      <c r="Y7730" s="397"/>
      <c r="Z7730" s="397"/>
      <c r="AD7730" s="388">
        <v>8.7386160000000004</v>
      </c>
      <c r="AE7730" s="388"/>
      <c r="AF7730" s="388"/>
      <c r="AG7730" s="388"/>
      <c r="AH7730" s="391"/>
      <c r="AI7730" s="397"/>
      <c r="AJ7730" s="397"/>
      <c r="AU7730" s="397"/>
      <c r="AV7730" s="397"/>
      <c r="AW7730" s="397"/>
      <c r="AX7730" s="397"/>
      <c r="BI7730" s="397"/>
      <c r="BJ7730" s="397"/>
      <c r="BK7730" s="397"/>
      <c r="BL7730" s="397"/>
      <c r="BM7730" s="397"/>
      <c r="BN7730" s="397"/>
      <c r="BO7730" s="397"/>
      <c r="BP7730" s="397"/>
      <c r="BQ7730" s="397"/>
      <c r="BR7730" s="397"/>
      <c r="BS7730" s="397"/>
      <c r="BT7730" s="397"/>
      <c r="BU7730" s="397"/>
      <c r="BV7730" s="397"/>
      <c r="BW7730" s="397"/>
      <c r="BX7730" s="397"/>
      <c r="BY7730" s="397"/>
      <c r="BZ7730" s="397"/>
      <c r="CA7730" s="392" t="s">
        <v>413</v>
      </c>
    </row>
    <row r="7731" spans="1:80" s="392" customFormat="1" ht="15" x14ac:dyDescent="0.25">
      <c r="A7731" s="385"/>
      <c r="D7731" s="700"/>
      <c r="E7731" s="397"/>
      <c r="H7731" s="401">
        <v>3</v>
      </c>
      <c r="I7731" s="401"/>
      <c r="J7731" s="401"/>
      <c r="K7731" s="401"/>
      <c r="L7731" s="675"/>
      <c r="M7731" s="672">
        <v>28738</v>
      </c>
      <c r="N7731" s="623">
        <v>1.1946727118163785</v>
      </c>
      <c r="O7731" s="624">
        <v>3.0218666666666665E-3</v>
      </c>
      <c r="P7731" s="397"/>
      <c r="Q7731" s="397"/>
      <c r="R7731" s="397"/>
      <c r="S7731" s="397"/>
      <c r="T7731" s="397"/>
      <c r="U7731" s="397"/>
      <c r="V7731" s="397"/>
      <c r="W7731" s="397"/>
      <c r="X7731" s="397"/>
      <c r="Y7731" s="397"/>
      <c r="Z7731" s="397"/>
      <c r="AD7731" s="388">
        <v>8.6349839999999993</v>
      </c>
      <c r="AE7731" s="388"/>
      <c r="AF7731" s="388"/>
      <c r="AG7731" s="388"/>
      <c r="AH7731" s="391"/>
      <c r="AI7731" s="397"/>
      <c r="AJ7731" s="397"/>
      <c r="AU7731" s="397"/>
      <c r="AV7731" s="397"/>
      <c r="AW7731" s="397"/>
      <c r="AX7731" s="397"/>
      <c r="BI7731" s="397"/>
      <c r="BJ7731" s="397"/>
      <c r="BK7731" s="397"/>
      <c r="BL7731" s="397"/>
      <c r="BM7731" s="397"/>
      <c r="BN7731" s="397"/>
      <c r="BO7731" s="397"/>
      <c r="BP7731" s="397"/>
      <c r="BQ7731" s="397"/>
      <c r="BR7731" s="397"/>
      <c r="BS7731" s="397"/>
      <c r="BT7731" s="397"/>
      <c r="BU7731" s="397"/>
      <c r="BV7731" s="397"/>
      <c r="BW7731" s="397"/>
      <c r="BX7731" s="397"/>
      <c r="BY7731" s="397"/>
      <c r="BZ7731" s="397"/>
      <c r="CA7731" s="392" t="s">
        <v>413</v>
      </c>
    </row>
    <row r="7732" spans="1:80" s="189" customFormat="1" ht="15" x14ac:dyDescent="0.25">
      <c r="A7732" s="381" t="s">
        <v>492</v>
      </c>
      <c r="B7732" s="641"/>
      <c r="C7732" s="639"/>
      <c r="D7732" s="4">
        <f>VLOOKUP(E7732,'Quality Code'!$D$4:$E$24,2,TRUE)*VLOOKUP(MROUND(F7732,10),'Quality Code'!$D$28:$E$69,2,TRUE)*VLOOKUP(COUNTA(CB7732:CB7742),'Quality Code'!$D$73:$E$93,2,TRUE)</f>
        <v>8.7499999999999994E-2</v>
      </c>
      <c r="E7732" s="14">
        <v>0.35</v>
      </c>
      <c r="F7732" s="2">
        <v>9</v>
      </c>
      <c r="G7732" s="12"/>
      <c r="H7732" s="2" t="s">
        <v>105</v>
      </c>
      <c r="I7732" s="2"/>
      <c r="J7732" s="2"/>
      <c r="K7732" s="2"/>
      <c r="L7732" s="639"/>
      <c r="M7732" s="640">
        <v>1978</v>
      </c>
      <c r="N7732" s="578" t="s">
        <v>110</v>
      </c>
      <c r="O7732" s="578"/>
      <c r="P7732" s="26"/>
      <c r="Q7732" s="26"/>
      <c r="R7732" s="26"/>
      <c r="S7732" s="26"/>
      <c r="T7732" s="26"/>
      <c r="U7732" s="26"/>
      <c r="V7732" s="10"/>
      <c r="W7732" s="10"/>
      <c r="X7732" s="10"/>
      <c r="Y7732" s="10"/>
      <c r="Z7732" s="26"/>
      <c r="AA7732" s="26"/>
      <c r="AB7732" s="26"/>
      <c r="AC7732" s="3">
        <v>3.0000000000000001E-3</v>
      </c>
      <c r="AD7732" s="406"/>
      <c r="AE7732" s="26"/>
      <c r="AF7732" s="26"/>
      <c r="AG7732" s="26"/>
      <c r="AH7732" s="26"/>
      <c r="AI7732" s="4"/>
      <c r="AJ7732" s="4"/>
      <c r="AK7732" s="26"/>
      <c r="AL7732" s="26"/>
      <c r="AM7732" s="26"/>
      <c r="AN7732" s="26"/>
      <c r="AO7732" s="26"/>
      <c r="AP7732" s="26"/>
      <c r="AQ7732" s="26"/>
      <c r="AR7732" s="26"/>
      <c r="AS7732" s="26"/>
      <c r="AT7732" s="26"/>
      <c r="AU7732" s="4"/>
      <c r="AV7732" s="4"/>
      <c r="AW7732" s="4"/>
      <c r="AX7732" s="4"/>
      <c r="AY7732" s="2"/>
      <c r="AZ7732" s="2"/>
      <c r="BA7732" s="12"/>
      <c r="BB7732" s="12"/>
      <c r="BC7732" s="12"/>
      <c r="BD7732" s="12"/>
      <c r="BE7732" s="12"/>
      <c r="BF7732" s="12"/>
      <c r="BG7732" s="12"/>
      <c r="BH7732" s="12"/>
      <c r="BI7732" s="4"/>
      <c r="BJ7732" s="12"/>
      <c r="BK7732" s="2"/>
      <c r="BL7732" s="2"/>
      <c r="BM7732" s="4"/>
      <c r="BN7732" s="12"/>
      <c r="BO7732" s="12"/>
      <c r="BP7732" s="12"/>
      <c r="BQ7732" s="4"/>
      <c r="BR7732" s="4"/>
      <c r="BS7732" s="4"/>
      <c r="BT7732" s="2"/>
      <c r="BU7732" s="9"/>
      <c r="BV7732" s="381"/>
      <c r="BW7732" s="382"/>
      <c r="BX7732" s="383"/>
      <c r="BY7732" s="383"/>
      <c r="BZ7732" s="383"/>
      <c r="CA7732" s="384" t="s">
        <v>413</v>
      </c>
      <c r="CB7732" s="411"/>
    </row>
    <row r="7733" spans="1:80" s="392" customFormat="1" ht="15" x14ac:dyDescent="0.25">
      <c r="A7733" s="385"/>
      <c r="D7733" s="700"/>
      <c r="E7733" s="397"/>
      <c r="H7733" s="401">
        <v>3</v>
      </c>
      <c r="I7733" s="401"/>
      <c r="J7733" s="401"/>
      <c r="K7733" s="401"/>
      <c r="L7733" s="675"/>
      <c r="M7733" s="672">
        <v>28642</v>
      </c>
      <c r="N7733" s="623">
        <v>0.53017852082742989</v>
      </c>
      <c r="O7733" s="624">
        <v>2.1826000000000003E-3</v>
      </c>
      <c r="P7733" s="397"/>
      <c r="Q7733" s="397"/>
      <c r="R7733" s="397"/>
      <c r="S7733" s="397"/>
      <c r="T7733" s="397"/>
      <c r="U7733" s="397"/>
      <c r="V7733" s="397"/>
      <c r="W7733" s="397"/>
      <c r="X7733" s="397"/>
      <c r="Y7733" s="397"/>
      <c r="Z7733" s="397"/>
      <c r="AD7733" s="388">
        <v>4.7518320000000003</v>
      </c>
      <c r="AE7733" s="388">
        <v>0.347472</v>
      </c>
      <c r="AF7733" s="388">
        <v>1.651128568704</v>
      </c>
      <c r="AG7733" s="388">
        <v>0.42367199999999999</v>
      </c>
      <c r="AH7733" s="391"/>
      <c r="AI7733" s="397"/>
      <c r="AJ7733" s="397"/>
      <c r="AU7733" s="397"/>
      <c r="AV7733" s="397"/>
      <c r="AW7733" s="397"/>
      <c r="AX7733" s="397"/>
      <c r="BI7733" s="397"/>
      <c r="BJ7733" s="397"/>
      <c r="BK7733" s="397"/>
      <c r="BL7733" s="397"/>
      <c r="BM7733" s="397"/>
      <c r="BN7733" s="397"/>
      <c r="BO7733" s="397"/>
      <c r="BP7733" s="397"/>
      <c r="BQ7733" s="397"/>
      <c r="BR7733" s="397"/>
      <c r="BS7733" s="397"/>
      <c r="BT7733" s="397"/>
      <c r="BU7733" s="397"/>
      <c r="BV7733" s="397"/>
      <c r="BW7733" s="397"/>
      <c r="BX7733" s="397"/>
      <c r="BY7733" s="397"/>
      <c r="BZ7733" s="397"/>
      <c r="CA7733" s="392" t="s">
        <v>413</v>
      </c>
    </row>
    <row r="7734" spans="1:80" s="392" customFormat="1" ht="15" x14ac:dyDescent="0.25">
      <c r="A7734" s="385"/>
      <c r="D7734" s="700"/>
      <c r="E7734" s="397"/>
      <c r="H7734" s="401">
        <v>3</v>
      </c>
      <c r="I7734" s="401"/>
      <c r="J7734" s="401"/>
      <c r="K7734" s="401"/>
      <c r="L7734" s="675"/>
      <c r="M7734" s="672">
        <v>28653</v>
      </c>
      <c r="N7734" s="623">
        <v>0.45650325871351655</v>
      </c>
      <c r="O7734" s="624">
        <v>1.2880000000000001E-3</v>
      </c>
      <c r="P7734" s="397"/>
      <c r="Q7734" s="397"/>
      <c r="R7734" s="397"/>
      <c r="S7734" s="397"/>
      <c r="T7734" s="397"/>
      <c r="U7734" s="397"/>
      <c r="V7734" s="397"/>
      <c r="W7734" s="397"/>
      <c r="X7734" s="397"/>
      <c r="Y7734" s="397"/>
      <c r="Z7734" s="397"/>
      <c r="AD7734" s="388">
        <v>4.2062400000000002</v>
      </c>
      <c r="AE7734" s="388">
        <v>0.34137600000000007</v>
      </c>
      <c r="AF7734" s="388">
        <v>1.4359093862400003</v>
      </c>
      <c r="AG7734" s="388">
        <v>0.30480000000000002</v>
      </c>
      <c r="AH7734" s="391"/>
      <c r="AI7734" s="397"/>
      <c r="AJ7734" s="397"/>
      <c r="AU7734" s="397"/>
      <c r="AV7734" s="397"/>
      <c r="AW7734" s="397"/>
      <c r="AX7734" s="397"/>
      <c r="BI7734" s="397"/>
      <c r="BJ7734" s="397"/>
      <c r="BK7734" s="397"/>
      <c r="BL7734" s="397"/>
      <c r="BM7734" s="397"/>
      <c r="BN7734" s="397"/>
      <c r="BO7734" s="397"/>
      <c r="BP7734" s="397"/>
      <c r="BQ7734" s="397"/>
      <c r="BR7734" s="397"/>
      <c r="BS7734" s="397"/>
      <c r="BT7734" s="397"/>
      <c r="BU7734" s="397"/>
      <c r="BV7734" s="397"/>
      <c r="BW7734" s="397"/>
      <c r="BX7734" s="397"/>
      <c r="BY7734" s="397"/>
      <c r="BZ7734" s="397"/>
      <c r="CA7734" s="392" t="s">
        <v>413</v>
      </c>
    </row>
    <row r="7735" spans="1:80" s="392" customFormat="1" ht="15" x14ac:dyDescent="0.25">
      <c r="A7735" s="385"/>
      <c r="D7735" s="700"/>
      <c r="E7735" s="397"/>
      <c r="H7735" s="401">
        <v>3</v>
      </c>
      <c r="I7735" s="401"/>
      <c r="J7735" s="401"/>
      <c r="K7735" s="401"/>
      <c r="L7735" s="675"/>
      <c r="M7735" s="672">
        <v>28656</v>
      </c>
      <c r="N7735" s="623">
        <v>0.31850382544630207</v>
      </c>
      <c r="O7735" s="624">
        <v>1.4290000000000001E-3</v>
      </c>
      <c r="P7735" s="397"/>
      <c r="Q7735" s="397"/>
      <c r="R7735" s="397"/>
      <c r="S7735" s="397"/>
      <c r="T7735" s="397"/>
      <c r="U7735" s="397"/>
      <c r="V7735" s="397"/>
      <c r="W7735" s="397"/>
      <c r="X7735" s="397"/>
      <c r="Y7735" s="397"/>
      <c r="Z7735" s="397"/>
      <c r="AD7735" s="388">
        <v>4.3555919999999997</v>
      </c>
      <c r="AE7735" s="388">
        <v>0.32918400000000003</v>
      </c>
      <c r="AF7735" s="388">
        <v>1.4337911969279999</v>
      </c>
      <c r="AG7735" s="388">
        <v>0.24688800000000002</v>
      </c>
      <c r="AH7735" s="391"/>
      <c r="AI7735" s="397"/>
      <c r="AJ7735" s="397"/>
      <c r="AU7735" s="397"/>
      <c r="AV7735" s="397"/>
      <c r="AW7735" s="397"/>
      <c r="AX7735" s="397"/>
      <c r="BI7735" s="397"/>
      <c r="BJ7735" s="397"/>
      <c r="BK7735" s="397"/>
      <c r="BL7735" s="397"/>
      <c r="BM7735" s="397"/>
      <c r="BN7735" s="397"/>
      <c r="BO7735" s="397"/>
      <c r="BP7735" s="397"/>
      <c r="BQ7735" s="397"/>
      <c r="BR7735" s="397"/>
      <c r="BS7735" s="397"/>
      <c r="BT7735" s="397"/>
      <c r="BU7735" s="397"/>
      <c r="BV7735" s="397"/>
      <c r="BW7735" s="397"/>
      <c r="BX7735" s="397"/>
      <c r="BY7735" s="397"/>
      <c r="BZ7735" s="397"/>
      <c r="CA7735" s="392" t="s">
        <v>413</v>
      </c>
    </row>
    <row r="7736" spans="1:80" s="392" customFormat="1" ht="15" x14ac:dyDescent="0.25">
      <c r="A7736" s="385"/>
      <c r="D7736" s="700"/>
      <c r="E7736" s="397"/>
      <c r="H7736" s="401">
        <v>3</v>
      </c>
      <c r="I7736" s="401"/>
      <c r="J7736" s="401"/>
      <c r="K7736" s="401"/>
      <c r="L7736" s="675"/>
      <c r="M7736" s="672">
        <v>28671</v>
      </c>
      <c r="N7736" s="623">
        <v>0.35619155568149619</v>
      </c>
      <c r="O7736" s="624">
        <v>1.25E-3</v>
      </c>
      <c r="P7736" s="397"/>
      <c r="Q7736" s="397"/>
      <c r="R7736" s="397"/>
      <c r="S7736" s="397"/>
      <c r="T7736" s="397"/>
      <c r="U7736" s="397"/>
      <c r="V7736" s="397"/>
      <c r="W7736" s="397"/>
      <c r="X7736" s="397"/>
      <c r="Y7736" s="397"/>
      <c r="Z7736" s="397"/>
      <c r="AD7736" s="388">
        <v>3.81</v>
      </c>
      <c r="AE7736" s="388">
        <v>0.347472</v>
      </c>
      <c r="AF7736" s="388">
        <v>1.3238683200000001</v>
      </c>
      <c r="AG7736" s="388">
        <v>0.25603199999999998</v>
      </c>
      <c r="AH7736" s="391"/>
      <c r="AI7736" s="397"/>
      <c r="AJ7736" s="397"/>
      <c r="AU7736" s="397"/>
      <c r="AV7736" s="397"/>
      <c r="AW7736" s="397"/>
      <c r="AX7736" s="397"/>
      <c r="BI7736" s="397"/>
      <c r="BJ7736" s="397"/>
      <c r="BK7736" s="397"/>
      <c r="BL7736" s="397"/>
      <c r="BM7736" s="397"/>
      <c r="BN7736" s="397"/>
      <c r="BO7736" s="397"/>
      <c r="BP7736" s="397"/>
      <c r="BQ7736" s="397"/>
      <c r="BR7736" s="397"/>
      <c r="BS7736" s="397"/>
      <c r="BT7736" s="397"/>
      <c r="BU7736" s="397"/>
      <c r="BV7736" s="397"/>
      <c r="BW7736" s="397"/>
      <c r="BX7736" s="397"/>
      <c r="BY7736" s="397"/>
      <c r="BZ7736" s="397"/>
      <c r="CA7736" s="392" t="s">
        <v>413</v>
      </c>
    </row>
    <row r="7737" spans="1:80" s="392" customFormat="1" ht="15" x14ac:dyDescent="0.25">
      <c r="A7737" s="385"/>
      <c r="D7737" s="700"/>
      <c r="E7737" s="397"/>
      <c r="H7737" s="401">
        <v>3</v>
      </c>
      <c r="I7737" s="401"/>
      <c r="J7737" s="401"/>
      <c r="K7737" s="401"/>
      <c r="L7737" s="675"/>
      <c r="M7737" s="672">
        <v>28681</v>
      </c>
      <c r="N7737" s="623">
        <v>0.16633607254179655</v>
      </c>
      <c r="O7737" s="624">
        <v>8.0000000000000004E-4</v>
      </c>
      <c r="P7737" s="397"/>
      <c r="Q7737" s="397"/>
      <c r="R7737" s="397"/>
      <c r="S7737" s="397"/>
      <c r="T7737" s="397"/>
      <c r="U7737" s="397"/>
      <c r="V7737" s="397"/>
      <c r="W7737" s="397"/>
      <c r="X7737" s="397"/>
      <c r="Y7737" s="397"/>
      <c r="Z7737" s="397"/>
      <c r="AD7737" s="388">
        <v>3.6576000000000004</v>
      </c>
      <c r="AE7737" s="388">
        <v>0.280416</v>
      </c>
      <c r="AF7737" s="388">
        <v>1.0256495616000001</v>
      </c>
      <c r="AG7737" s="388">
        <v>0.14630399999999999</v>
      </c>
      <c r="AH7737" s="391"/>
      <c r="AI7737" s="397"/>
      <c r="AJ7737" s="397"/>
      <c r="AU7737" s="397"/>
      <c r="AV7737" s="397"/>
      <c r="AW7737" s="397"/>
      <c r="AX7737" s="397"/>
      <c r="BI7737" s="397"/>
      <c r="BJ7737" s="397"/>
      <c r="BK7737" s="397"/>
      <c r="BL7737" s="397"/>
      <c r="BM7737" s="397"/>
      <c r="BN7737" s="397"/>
      <c r="BO7737" s="397"/>
      <c r="BP7737" s="397"/>
      <c r="BQ7737" s="397"/>
      <c r="BR7737" s="397"/>
      <c r="BS7737" s="397"/>
      <c r="BT7737" s="397"/>
      <c r="BU7737" s="397"/>
      <c r="BV7737" s="397"/>
      <c r="BW7737" s="397"/>
      <c r="BX7737" s="397"/>
      <c r="BY7737" s="397"/>
      <c r="BZ7737" s="397"/>
      <c r="CA7737" s="392" t="s">
        <v>413</v>
      </c>
    </row>
    <row r="7738" spans="1:80" s="392" customFormat="1" ht="15" x14ac:dyDescent="0.25">
      <c r="A7738" s="385"/>
      <c r="D7738" s="700"/>
      <c r="E7738" s="397"/>
      <c r="H7738" s="401">
        <v>3</v>
      </c>
      <c r="I7738" s="401"/>
      <c r="J7738" s="401"/>
      <c r="K7738" s="401"/>
      <c r="L7738" s="675"/>
      <c r="M7738" s="672">
        <v>28685</v>
      </c>
      <c r="N7738" s="623">
        <v>0.58656843298384809</v>
      </c>
      <c r="O7738" s="624">
        <v>6.2833333333333335E-3</v>
      </c>
      <c r="P7738" s="397"/>
      <c r="Q7738" s="397"/>
      <c r="R7738" s="397"/>
      <c r="S7738" s="397"/>
      <c r="T7738" s="397"/>
      <c r="U7738" s="397"/>
      <c r="V7738" s="397"/>
      <c r="W7738" s="397"/>
      <c r="X7738" s="397"/>
      <c r="Y7738" s="397"/>
      <c r="Z7738" s="397"/>
      <c r="AD7738" s="388">
        <v>4.4196</v>
      </c>
      <c r="AE7738" s="388">
        <v>0.37795200000000001</v>
      </c>
      <c r="AF7738" s="388">
        <v>1.6703966592000001</v>
      </c>
      <c r="AG7738" s="388">
        <v>0.313944</v>
      </c>
      <c r="AH7738" s="391"/>
      <c r="AI7738" s="397"/>
      <c r="AJ7738" s="397"/>
      <c r="AU7738" s="397"/>
      <c r="AV7738" s="397"/>
      <c r="AW7738" s="397"/>
      <c r="AX7738" s="397"/>
      <c r="BI7738" s="397"/>
      <c r="BJ7738" s="397"/>
      <c r="BK7738" s="397"/>
      <c r="BL7738" s="397"/>
      <c r="BM7738" s="397"/>
      <c r="BN7738" s="397"/>
      <c r="BO7738" s="397"/>
      <c r="BP7738" s="397"/>
      <c r="BQ7738" s="397"/>
      <c r="BR7738" s="397"/>
      <c r="BS7738" s="397"/>
      <c r="BT7738" s="397"/>
      <c r="BU7738" s="397"/>
      <c r="BV7738" s="397"/>
      <c r="BW7738" s="397"/>
      <c r="BX7738" s="397"/>
      <c r="BY7738" s="397"/>
      <c r="BZ7738" s="397"/>
      <c r="CA7738" s="392" t="s">
        <v>413</v>
      </c>
    </row>
    <row r="7739" spans="1:80" s="392" customFormat="1" ht="15" x14ac:dyDescent="0.25">
      <c r="A7739" s="385"/>
      <c r="D7739" s="700"/>
      <c r="E7739" s="397"/>
      <c r="H7739" s="401">
        <v>3</v>
      </c>
      <c r="I7739" s="401"/>
      <c r="J7739" s="401"/>
      <c r="K7739" s="401"/>
      <c r="L7739" s="675"/>
      <c r="M7739" s="672">
        <v>28691</v>
      </c>
      <c r="N7739" s="623">
        <v>1.339472938509493</v>
      </c>
      <c r="O7739" s="624">
        <v>2.5506000000000001E-3</v>
      </c>
      <c r="P7739" s="397"/>
      <c r="Q7739" s="397"/>
      <c r="R7739" s="397"/>
      <c r="S7739" s="397"/>
      <c r="T7739" s="397"/>
      <c r="U7739" s="397"/>
      <c r="V7739" s="397"/>
      <c r="W7739" s="397"/>
      <c r="X7739" s="397"/>
      <c r="Y7739" s="397"/>
      <c r="Z7739" s="397"/>
      <c r="AD7739" s="388">
        <v>4.3190160000000004</v>
      </c>
      <c r="AE7739" s="388">
        <v>0.454152</v>
      </c>
      <c r="AF7739" s="388">
        <v>1.9614897544320002</v>
      </c>
      <c r="AG7739" s="388">
        <v>0.66751199999999999</v>
      </c>
      <c r="AH7739" s="391"/>
      <c r="AI7739" s="397"/>
      <c r="AJ7739" s="397"/>
      <c r="AU7739" s="397"/>
      <c r="AV7739" s="397"/>
      <c r="AW7739" s="397"/>
      <c r="AX7739" s="397"/>
      <c r="BI7739" s="397"/>
      <c r="BJ7739" s="397"/>
      <c r="BK7739" s="397"/>
      <c r="BL7739" s="397"/>
      <c r="BM7739" s="397"/>
      <c r="BN7739" s="397"/>
      <c r="BO7739" s="397"/>
      <c r="BP7739" s="397"/>
      <c r="BQ7739" s="397"/>
      <c r="BR7739" s="397"/>
      <c r="BS7739" s="397"/>
      <c r="BT7739" s="397"/>
      <c r="BU7739" s="397"/>
      <c r="BV7739" s="397"/>
      <c r="BW7739" s="397"/>
      <c r="BX7739" s="397"/>
      <c r="BY7739" s="397"/>
      <c r="BZ7739" s="397"/>
      <c r="CA7739" s="392" t="s">
        <v>413</v>
      </c>
    </row>
    <row r="7740" spans="1:80" s="392" customFormat="1" ht="15" x14ac:dyDescent="0.25">
      <c r="A7740" s="385"/>
      <c r="D7740" s="700"/>
      <c r="E7740" s="397"/>
      <c r="H7740" s="401">
        <v>3</v>
      </c>
      <c r="I7740" s="401"/>
      <c r="J7740" s="401"/>
      <c r="K7740" s="401"/>
      <c r="L7740" s="675"/>
      <c r="M7740" s="672">
        <v>28706</v>
      </c>
      <c r="N7740" s="623">
        <v>6.8858033437234345E-2</v>
      </c>
      <c r="O7740" s="624" t="s">
        <v>71</v>
      </c>
      <c r="P7740" s="397"/>
      <c r="Q7740" s="397"/>
      <c r="R7740" s="397"/>
      <c r="S7740" s="397"/>
      <c r="T7740" s="397"/>
      <c r="U7740" s="397"/>
      <c r="V7740" s="397"/>
      <c r="W7740" s="397"/>
      <c r="X7740" s="397"/>
      <c r="Y7740" s="397"/>
      <c r="Z7740" s="397"/>
      <c r="AD7740" s="388">
        <v>3.3009840000000001</v>
      </c>
      <c r="AE7740" s="388">
        <v>0.21335999999999999</v>
      </c>
      <c r="AF7740" s="388">
        <v>0.70429794623999997</v>
      </c>
      <c r="AG7740" s="388">
        <v>8.5344000000000017E-2</v>
      </c>
      <c r="AH7740" s="391"/>
      <c r="AI7740" s="397"/>
      <c r="AJ7740" s="397"/>
      <c r="AU7740" s="397"/>
      <c r="AV7740" s="397"/>
      <c r="AW7740" s="397"/>
      <c r="AX7740" s="397"/>
      <c r="BI7740" s="397"/>
      <c r="BJ7740" s="397"/>
      <c r="BK7740" s="397"/>
      <c r="BL7740" s="397"/>
      <c r="BM7740" s="397"/>
      <c r="BN7740" s="397"/>
      <c r="BO7740" s="397"/>
      <c r="BP7740" s="397"/>
      <c r="BQ7740" s="397"/>
      <c r="BR7740" s="397"/>
      <c r="BS7740" s="397"/>
      <c r="BT7740" s="397"/>
      <c r="BU7740" s="397"/>
      <c r="BV7740" s="397"/>
      <c r="BW7740" s="397"/>
      <c r="BX7740" s="397"/>
      <c r="BY7740" s="397"/>
      <c r="BZ7740" s="397"/>
      <c r="CA7740" s="392" t="s">
        <v>413</v>
      </c>
    </row>
    <row r="7741" spans="1:80" s="392" customFormat="1" ht="15" x14ac:dyDescent="0.25">
      <c r="A7741" s="385"/>
      <c r="D7741" s="700"/>
      <c r="E7741" s="397"/>
      <c r="H7741" s="401">
        <v>3</v>
      </c>
      <c r="I7741" s="401"/>
      <c r="J7741" s="401"/>
      <c r="K7741" s="401"/>
      <c r="L7741" s="675"/>
      <c r="M7741" s="672">
        <v>28718</v>
      </c>
      <c r="N7741" s="623">
        <v>1.2417115330121848</v>
      </c>
      <c r="O7741" s="624">
        <v>1.1847333333333335E-3</v>
      </c>
      <c r="P7741" s="397"/>
      <c r="Q7741" s="397"/>
      <c r="R7741" s="397"/>
      <c r="S7741" s="397"/>
      <c r="T7741" s="397"/>
      <c r="U7741" s="397"/>
      <c r="V7741" s="397"/>
      <c r="W7741" s="397"/>
      <c r="X7741" s="397"/>
      <c r="Y7741" s="397"/>
      <c r="Z7741" s="397"/>
      <c r="AD7741" s="388">
        <v>4.1666160000000003</v>
      </c>
      <c r="AE7741" s="388">
        <v>0.454152</v>
      </c>
      <c r="AF7741" s="388">
        <v>1.8922769896320002</v>
      </c>
      <c r="AG7741" s="388">
        <v>0.53644800000000004</v>
      </c>
      <c r="AH7741" s="391"/>
      <c r="AI7741" s="397"/>
      <c r="AJ7741" s="397"/>
      <c r="AU7741" s="397"/>
      <c r="AV7741" s="397"/>
      <c r="AW7741" s="397"/>
      <c r="AX7741" s="397"/>
      <c r="BI7741" s="397"/>
      <c r="BJ7741" s="397"/>
      <c r="BK7741" s="397"/>
      <c r="BL7741" s="397"/>
      <c r="BM7741" s="397"/>
      <c r="BN7741" s="397"/>
      <c r="BO7741" s="397"/>
      <c r="BP7741" s="397"/>
      <c r="BQ7741" s="397"/>
      <c r="BR7741" s="397"/>
      <c r="BS7741" s="397"/>
      <c r="BT7741" s="397"/>
      <c r="BU7741" s="397"/>
      <c r="BV7741" s="397"/>
      <c r="BW7741" s="397"/>
      <c r="BX7741" s="397"/>
      <c r="BY7741" s="397"/>
      <c r="BZ7741" s="397"/>
      <c r="CA7741" s="392" t="s">
        <v>413</v>
      </c>
    </row>
    <row r="7742" spans="1:80" s="392" customFormat="1" ht="15" x14ac:dyDescent="0.25">
      <c r="A7742" s="385"/>
      <c r="D7742" s="700"/>
      <c r="E7742" s="397"/>
      <c r="H7742" s="401">
        <v>3</v>
      </c>
      <c r="I7742" s="401"/>
      <c r="J7742" s="401"/>
      <c r="K7742" s="401"/>
      <c r="L7742" s="675"/>
      <c r="M7742" s="672">
        <v>28734</v>
      </c>
      <c r="N7742" s="623">
        <v>1.0906772456786626</v>
      </c>
      <c r="O7742" s="624">
        <v>2.5650000000000004E-3</v>
      </c>
      <c r="P7742" s="397"/>
      <c r="Q7742" s="397"/>
      <c r="R7742" s="397"/>
      <c r="S7742" s="397"/>
      <c r="T7742" s="397"/>
      <c r="U7742" s="397"/>
      <c r="V7742" s="397"/>
      <c r="W7742" s="397"/>
      <c r="X7742" s="397"/>
      <c r="Y7742" s="397"/>
      <c r="Z7742" s="397"/>
      <c r="AD7742" s="388">
        <v>4.3433999999999999</v>
      </c>
      <c r="AE7742" s="388">
        <v>0.45720000000000005</v>
      </c>
      <c r="AF7742" s="388">
        <v>1.9858024800000003</v>
      </c>
      <c r="AG7742" s="388">
        <v>0.661416</v>
      </c>
      <c r="AH7742" s="391"/>
      <c r="AI7742" s="397"/>
      <c r="AJ7742" s="397"/>
      <c r="AU7742" s="397"/>
      <c r="AV7742" s="397"/>
      <c r="AW7742" s="397"/>
      <c r="AX7742" s="397"/>
      <c r="BI7742" s="397"/>
      <c r="BJ7742" s="397"/>
      <c r="BK7742" s="397"/>
      <c r="BL7742" s="397"/>
      <c r="BM7742" s="397"/>
      <c r="BN7742" s="397"/>
      <c r="BO7742" s="397"/>
      <c r="BP7742" s="397"/>
      <c r="BQ7742" s="397"/>
      <c r="BR7742" s="397"/>
      <c r="BS7742" s="397"/>
      <c r="BT7742" s="397"/>
      <c r="BU7742" s="397"/>
      <c r="BV7742" s="397"/>
      <c r="BW7742" s="397"/>
      <c r="BX7742" s="397"/>
      <c r="BY7742" s="397"/>
      <c r="BZ7742" s="397"/>
      <c r="CA7742" s="392" t="s">
        <v>413</v>
      </c>
    </row>
    <row r="7743" spans="1:80" s="189" customFormat="1" ht="15" x14ac:dyDescent="0.25">
      <c r="A7743" s="381" t="s">
        <v>493</v>
      </c>
      <c r="B7743" s="641"/>
      <c r="C7743" s="639"/>
      <c r="D7743" s="4">
        <f>VLOOKUP(E7743,'Quality Code'!$D$4:$E$24,2,TRUE)*VLOOKUP(MROUND(F7743,10),'Quality Code'!$D$28:$E$69,2,TRUE)*VLOOKUP(COUNTA(CB7743:CB7753),'Quality Code'!$D$73:$E$93,2,TRUE)</f>
        <v>8.7499999999999994E-2</v>
      </c>
      <c r="E7743" s="14">
        <v>0.35</v>
      </c>
      <c r="F7743" s="2">
        <v>7</v>
      </c>
      <c r="G7743" s="12"/>
      <c r="H7743" s="2" t="s">
        <v>105</v>
      </c>
      <c r="I7743" s="2"/>
      <c r="J7743" s="2"/>
      <c r="K7743" s="2"/>
      <c r="L7743" s="639"/>
      <c r="M7743" s="640">
        <v>1978</v>
      </c>
      <c r="N7743" s="578" t="s">
        <v>110</v>
      </c>
      <c r="O7743" s="578"/>
      <c r="P7743" s="26"/>
      <c r="Q7743" s="26"/>
      <c r="R7743" s="26"/>
      <c r="S7743" s="26"/>
      <c r="T7743" s="26"/>
      <c r="U7743" s="26"/>
      <c r="V7743" s="10"/>
      <c r="W7743" s="10"/>
      <c r="X7743" s="10"/>
      <c r="Y7743" s="10"/>
      <c r="Z7743" s="26"/>
      <c r="AA7743" s="26"/>
      <c r="AB7743" s="26"/>
      <c r="AC7743" s="3">
        <v>0.05</v>
      </c>
      <c r="AD7743" s="406"/>
      <c r="AE7743" s="26"/>
      <c r="AF7743" s="26"/>
      <c r="AG7743" s="26"/>
      <c r="AH7743" s="26"/>
      <c r="AI7743" s="4"/>
      <c r="AJ7743" s="4"/>
      <c r="AK7743" s="26"/>
      <c r="AL7743" s="26"/>
      <c r="AM7743" s="26"/>
      <c r="AN7743" s="26"/>
      <c r="AO7743" s="26"/>
      <c r="AP7743" s="26"/>
      <c r="AQ7743" s="26"/>
      <c r="AR7743" s="26"/>
      <c r="AS7743" s="26"/>
      <c r="AT7743" s="26"/>
      <c r="AU7743" s="4"/>
      <c r="AV7743" s="4"/>
      <c r="AW7743" s="4"/>
      <c r="AX7743" s="4"/>
      <c r="AY7743" s="2"/>
      <c r="AZ7743" s="2"/>
      <c r="BA7743" s="12"/>
      <c r="BB7743" s="12"/>
      <c r="BC7743" s="12"/>
      <c r="BD7743" s="12"/>
      <c r="BE7743" s="12"/>
      <c r="BF7743" s="12"/>
      <c r="BG7743" s="12"/>
      <c r="BH7743" s="12"/>
      <c r="BI7743" s="4"/>
      <c r="BJ7743" s="12"/>
      <c r="BK7743" s="2"/>
      <c r="BL7743" s="2"/>
      <c r="BM7743" s="4"/>
      <c r="BN7743" s="12"/>
      <c r="BO7743" s="12"/>
      <c r="BP7743" s="12"/>
      <c r="BQ7743" s="4"/>
      <c r="BR7743" s="4"/>
      <c r="BS7743" s="4"/>
      <c r="BT7743" s="2"/>
      <c r="BU7743" s="9"/>
      <c r="BV7743" s="381"/>
      <c r="BW7743" s="382"/>
      <c r="BX7743" s="383"/>
      <c r="BY7743" s="383" t="s">
        <v>84</v>
      </c>
      <c r="BZ7743" s="383"/>
      <c r="CA7743" s="384" t="s">
        <v>413</v>
      </c>
      <c r="CB7743" s="411"/>
    </row>
    <row r="7744" spans="1:80" s="392" customFormat="1" ht="15" x14ac:dyDescent="0.25">
      <c r="A7744" s="385"/>
      <c r="D7744" s="700"/>
      <c r="E7744" s="397"/>
      <c r="H7744" s="401">
        <v>3</v>
      </c>
      <c r="I7744" s="401"/>
      <c r="J7744" s="401"/>
      <c r="K7744" s="401"/>
      <c r="L7744" s="675"/>
      <c r="M7744" s="672">
        <v>28633</v>
      </c>
      <c r="N7744" s="623">
        <v>0.6429583451402664</v>
      </c>
      <c r="O7744" s="624">
        <v>3.1803333333333336E-2</v>
      </c>
      <c r="P7744" s="397"/>
      <c r="Q7744" s="397"/>
      <c r="R7744" s="397"/>
      <c r="S7744" s="397"/>
      <c r="T7744" s="397"/>
      <c r="U7744" s="397"/>
      <c r="V7744" s="397"/>
      <c r="W7744" s="397"/>
      <c r="X7744" s="397"/>
      <c r="Y7744" s="397"/>
      <c r="Z7744" s="397"/>
      <c r="AD7744" s="388">
        <v>4.4196</v>
      </c>
      <c r="AE7744" s="388"/>
      <c r="AF7744" s="388"/>
      <c r="AG7744" s="388"/>
      <c r="AH7744" s="391"/>
      <c r="AI7744" s="397"/>
      <c r="AJ7744" s="397"/>
      <c r="AU7744" s="397"/>
      <c r="AV7744" s="397"/>
      <c r="AW7744" s="397"/>
      <c r="AX7744" s="397"/>
      <c r="BI7744" s="397"/>
      <c r="BJ7744" s="397"/>
      <c r="BK7744" s="397"/>
      <c r="BL7744" s="397"/>
      <c r="BM7744" s="397"/>
      <c r="BN7744" s="397"/>
      <c r="BO7744" s="397"/>
      <c r="BP7744" s="397"/>
      <c r="BQ7744" s="397"/>
      <c r="BR7744" s="397"/>
      <c r="BS7744" s="397"/>
      <c r="BT7744" s="397"/>
      <c r="BU7744" s="397"/>
      <c r="BV7744" s="397"/>
      <c r="BW7744" s="397"/>
      <c r="BX7744" s="397"/>
      <c r="BY7744" s="397"/>
      <c r="BZ7744" s="397"/>
      <c r="CA7744" s="392" t="s">
        <v>413</v>
      </c>
    </row>
    <row r="7745" spans="1:80" s="392" customFormat="1" ht="15" x14ac:dyDescent="0.25">
      <c r="A7745" s="385"/>
      <c r="D7745" s="700"/>
      <c r="E7745" s="397"/>
      <c r="H7745" s="401">
        <v>3</v>
      </c>
      <c r="I7745" s="401"/>
      <c r="J7745" s="401"/>
      <c r="K7745" s="401"/>
      <c r="L7745" s="675"/>
      <c r="M7745" s="672">
        <v>28649</v>
      </c>
      <c r="N7745" s="623">
        <v>1.7344856899971663</v>
      </c>
      <c r="O7745" s="624">
        <v>3.327666666666667E-2</v>
      </c>
      <c r="P7745" s="397"/>
      <c r="Q7745" s="397"/>
      <c r="R7745" s="397"/>
      <c r="S7745" s="397"/>
      <c r="T7745" s="397"/>
      <c r="U7745" s="397"/>
      <c r="V7745" s="397"/>
      <c r="W7745" s="397"/>
      <c r="X7745" s="397"/>
      <c r="Y7745" s="397"/>
      <c r="Z7745" s="397"/>
      <c r="AD7745" s="388">
        <v>4.5415200000000002</v>
      </c>
      <c r="AE7745" s="388"/>
      <c r="AF7745" s="388"/>
      <c r="AG7745" s="388"/>
      <c r="AH7745" s="391"/>
      <c r="AI7745" s="397"/>
      <c r="AJ7745" s="397"/>
      <c r="AU7745" s="397"/>
      <c r="AV7745" s="397"/>
      <c r="AW7745" s="397"/>
      <c r="AX7745" s="397"/>
      <c r="BI7745" s="397"/>
      <c r="BJ7745" s="397"/>
      <c r="BK7745" s="397"/>
      <c r="BL7745" s="397"/>
      <c r="BM7745" s="397"/>
      <c r="BN7745" s="397"/>
      <c r="BO7745" s="397"/>
      <c r="BP7745" s="397"/>
      <c r="BQ7745" s="397"/>
      <c r="BR7745" s="397"/>
      <c r="BS7745" s="397"/>
      <c r="BT7745" s="397"/>
      <c r="BU7745" s="397"/>
      <c r="BV7745" s="397"/>
      <c r="BW7745" s="397"/>
      <c r="BX7745" s="397"/>
      <c r="BY7745" s="397"/>
      <c r="BZ7745" s="397"/>
      <c r="CA7745" s="392" t="s">
        <v>413</v>
      </c>
    </row>
    <row r="7746" spans="1:80" s="392" customFormat="1" ht="15" x14ac:dyDescent="0.25">
      <c r="A7746" s="385"/>
      <c r="D7746" s="700"/>
      <c r="E7746" s="397"/>
      <c r="H7746" s="401">
        <v>3</v>
      </c>
      <c r="I7746" s="401"/>
      <c r="J7746" s="401"/>
      <c r="K7746" s="401"/>
      <c r="L7746" s="675"/>
      <c r="M7746" s="672">
        <v>28654</v>
      </c>
      <c r="N7746" s="623">
        <v>2.7738736185888353</v>
      </c>
      <c r="O7746" s="624">
        <v>1.4074400000000001E-2</v>
      </c>
      <c r="P7746" s="397"/>
      <c r="Q7746" s="397"/>
      <c r="R7746" s="397"/>
      <c r="S7746" s="397"/>
      <c r="T7746" s="397"/>
      <c r="U7746" s="397"/>
      <c r="V7746" s="397"/>
      <c r="W7746" s="397"/>
      <c r="X7746" s="397"/>
      <c r="Y7746" s="397"/>
      <c r="Z7746" s="397"/>
      <c r="AD7746" s="388">
        <v>4.4074080000000002</v>
      </c>
      <c r="AE7746" s="388"/>
      <c r="AF7746" s="388"/>
      <c r="AG7746" s="388"/>
      <c r="AH7746" s="391"/>
      <c r="AI7746" s="397"/>
      <c r="AJ7746" s="397"/>
      <c r="AU7746" s="397"/>
      <c r="AV7746" s="397"/>
      <c r="AW7746" s="397"/>
      <c r="AX7746" s="397"/>
      <c r="BI7746" s="397"/>
      <c r="BJ7746" s="397"/>
      <c r="BK7746" s="397"/>
      <c r="BL7746" s="397"/>
      <c r="BM7746" s="397"/>
      <c r="BN7746" s="397"/>
      <c r="BO7746" s="397"/>
      <c r="BP7746" s="397"/>
      <c r="BQ7746" s="397"/>
      <c r="BR7746" s="397"/>
      <c r="BS7746" s="397"/>
      <c r="BT7746" s="397"/>
      <c r="BU7746" s="397"/>
      <c r="BV7746" s="397"/>
      <c r="BW7746" s="397"/>
      <c r="BX7746" s="397"/>
      <c r="BY7746" s="397"/>
      <c r="BZ7746" s="397"/>
      <c r="CA7746" s="392" t="s">
        <v>413</v>
      </c>
    </row>
    <row r="7747" spans="1:80" s="392" customFormat="1" ht="15" x14ac:dyDescent="0.25">
      <c r="A7747" s="385"/>
      <c r="D7747" s="700"/>
      <c r="E7747" s="397"/>
      <c r="H7747" s="401">
        <v>3</v>
      </c>
      <c r="I7747" s="401"/>
      <c r="J7747" s="401"/>
      <c r="K7747" s="401"/>
      <c r="L7747" s="675"/>
      <c r="M7747" s="672">
        <v>28667</v>
      </c>
      <c r="N7747" s="623">
        <v>0.8685179937659393</v>
      </c>
      <c r="O7747" s="624">
        <v>2.8284666666666667E-3</v>
      </c>
      <c r="P7747" s="397"/>
      <c r="Q7747" s="397"/>
      <c r="R7747" s="397"/>
      <c r="S7747" s="397"/>
      <c r="T7747" s="397"/>
      <c r="U7747" s="397"/>
      <c r="V7747" s="397"/>
      <c r="W7747" s="397"/>
      <c r="X7747" s="397"/>
      <c r="Y7747" s="397"/>
      <c r="Z7747" s="397"/>
      <c r="AD7747" s="388">
        <v>4.4592240000000007</v>
      </c>
      <c r="AE7747" s="388"/>
      <c r="AF7747" s="388"/>
      <c r="AG7747" s="388"/>
      <c r="AH7747" s="391"/>
      <c r="AI7747" s="397"/>
      <c r="AJ7747" s="397"/>
      <c r="AU7747" s="397"/>
      <c r="AV7747" s="397"/>
      <c r="AW7747" s="397"/>
      <c r="AX7747" s="397"/>
      <c r="BI7747" s="397"/>
      <c r="BJ7747" s="397"/>
      <c r="BK7747" s="397"/>
      <c r="BL7747" s="397"/>
      <c r="BM7747" s="397"/>
      <c r="BN7747" s="397"/>
      <c r="BO7747" s="397"/>
      <c r="BP7747" s="397"/>
      <c r="BQ7747" s="397"/>
      <c r="BR7747" s="397"/>
      <c r="BS7747" s="397"/>
      <c r="BT7747" s="397"/>
      <c r="BU7747" s="397"/>
      <c r="BV7747" s="397"/>
      <c r="BW7747" s="397"/>
      <c r="BX7747" s="397"/>
      <c r="BY7747" s="397"/>
      <c r="BZ7747" s="397"/>
      <c r="CA7747" s="392" t="s">
        <v>413</v>
      </c>
    </row>
    <row r="7748" spans="1:80" s="392" customFormat="1" ht="15" x14ac:dyDescent="0.25">
      <c r="A7748" s="385"/>
      <c r="D7748" s="700"/>
      <c r="E7748" s="397"/>
      <c r="H7748" s="401">
        <v>3</v>
      </c>
      <c r="I7748" s="401"/>
      <c r="J7748" s="401"/>
      <c r="K7748" s="401"/>
      <c r="L7748" s="675"/>
      <c r="M7748" s="672">
        <v>28676</v>
      </c>
      <c r="N7748" s="623">
        <v>0.53187871918390484</v>
      </c>
      <c r="O7748" s="624">
        <v>7.8084000000000001E-3</v>
      </c>
      <c r="P7748" s="397"/>
      <c r="Q7748" s="397"/>
      <c r="R7748" s="397"/>
      <c r="S7748" s="397"/>
      <c r="T7748" s="397"/>
      <c r="U7748" s="397"/>
      <c r="V7748" s="397"/>
      <c r="W7748" s="397"/>
      <c r="X7748" s="397"/>
      <c r="Y7748" s="397"/>
      <c r="Z7748" s="397"/>
      <c r="AD7748" s="388">
        <v>4.4074080000000002</v>
      </c>
      <c r="AE7748" s="388"/>
      <c r="AF7748" s="388"/>
      <c r="AG7748" s="388"/>
      <c r="AH7748" s="391"/>
      <c r="AI7748" s="397"/>
      <c r="AJ7748" s="397"/>
      <c r="AU7748" s="397"/>
      <c r="AV7748" s="397"/>
      <c r="AW7748" s="397"/>
      <c r="AX7748" s="397"/>
      <c r="BI7748" s="397"/>
      <c r="BJ7748" s="397"/>
      <c r="BK7748" s="397"/>
      <c r="BL7748" s="397"/>
      <c r="BM7748" s="397"/>
      <c r="BN7748" s="397"/>
      <c r="BO7748" s="397"/>
      <c r="BP7748" s="397"/>
      <c r="BQ7748" s="397"/>
      <c r="BR7748" s="397"/>
      <c r="BS7748" s="397"/>
      <c r="BT7748" s="397"/>
      <c r="BU7748" s="397"/>
      <c r="BV7748" s="397"/>
      <c r="BW7748" s="397"/>
      <c r="BX7748" s="397"/>
      <c r="BY7748" s="397"/>
      <c r="BZ7748" s="397"/>
      <c r="CA7748" s="392" t="s">
        <v>413</v>
      </c>
    </row>
    <row r="7749" spans="1:80" s="392" customFormat="1" ht="15" x14ac:dyDescent="0.25">
      <c r="A7749" s="385"/>
      <c r="D7749" s="700"/>
      <c r="E7749" s="397"/>
      <c r="H7749" s="401">
        <v>3</v>
      </c>
      <c r="I7749" s="401"/>
      <c r="J7749" s="401"/>
      <c r="K7749" s="401"/>
      <c r="L7749" s="675"/>
      <c r="M7749" s="672">
        <v>28683</v>
      </c>
      <c r="N7749" s="623">
        <v>0.52167752904505527</v>
      </c>
      <c r="O7749" s="624">
        <v>2.0800000000000003E-3</v>
      </c>
      <c r="P7749" s="397"/>
      <c r="Q7749" s="397"/>
      <c r="R7749" s="397"/>
      <c r="S7749" s="397"/>
      <c r="T7749" s="397"/>
      <c r="U7749" s="397"/>
      <c r="V7749" s="397"/>
      <c r="W7749" s="397"/>
      <c r="X7749" s="397"/>
      <c r="Y7749" s="397"/>
      <c r="Z7749" s="397"/>
      <c r="AD7749" s="388">
        <v>3.9624000000000001</v>
      </c>
      <c r="AE7749" s="388"/>
      <c r="AF7749" s="388"/>
      <c r="AG7749" s="388"/>
      <c r="AH7749" s="391"/>
      <c r="AI7749" s="397"/>
      <c r="AJ7749" s="397"/>
      <c r="AU7749" s="397"/>
      <c r="AV7749" s="397"/>
      <c r="AW7749" s="397"/>
      <c r="AX7749" s="397"/>
      <c r="BI7749" s="397"/>
      <c r="BJ7749" s="397"/>
      <c r="BK7749" s="397"/>
      <c r="BL7749" s="397"/>
      <c r="BM7749" s="397"/>
      <c r="BN7749" s="397"/>
      <c r="BO7749" s="397"/>
      <c r="BP7749" s="397"/>
      <c r="BQ7749" s="397"/>
      <c r="BR7749" s="397"/>
      <c r="BS7749" s="397"/>
      <c r="BT7749" s="397"/>
      <c r="BU7749" s="397"/>
      <c r="BV7749" s="397"/>
      <c r="BW7749" s="397"/>
      <c r="BX7749" s="397"/>
      <c r="BY7749" s="397"/>
      <c r="BZ7749" s="397"/>
      <c r="CA7749" s="392" t="s">
        <v>413</v>
      </c>
    </row>
    <row r="7750" spans="1:80" s="392" customFormat="1" ht="15" x14ac:dyDescent="0.25">
      <c r="A7750" s="385"/>
      <c r="D7750" s="700"/>
      <c r="E7750" s="397"/>
      <c r="H7750" s="401">
        <v>3</v>
      </c>
      <c r="I7750" s="401"/>
      <c r="J7750" s="401"/>
      <c r="K7750" s="401"/>
      <c r="L7750" s="675"/>
      <c r="M7750" s="672">
        <v>28688</v>
      </c>
      <c r="N7750" s="623">
        <v>0.28705015585151605</v>
      </c>
      <c r="O7750" s="624">
        <v>1.08E-3</v>
      </c>
      <c r="P7750" s="397"/>
      <c r="Q7750" s="397"/>
      <c r="R7750" s="397"/>
      <c r="S7750" s="397"/>
      <c r="T7750" s="397"/>
      <c r="U7750" s="397"/>
      <c r="V7750" s="397"/>
      <c r="W7750" s="397"/>
      <c r="X7750" s="397"/>
      <c r="Y7750" s="397"/>
      <c r="Z7750" s="397"/>
      <c r="AD7750" s="388">
        <v>4.1147999999999998</v>
      </c>
      <c r="AE7750" s="388"/>
      <c r="AF7750" s="388"/>
      <c r="AG7750" s="388"/>
      <c r="AH7750" s="391"/>
      <c r="AI7750" s="397"/>
      <c r="AJ7750" s="397"/>
      <c r="AU7750" s="397"/>
      <c r="AV7750" s="397"/>
      <c r="AW7750" s="397"/>
      <c r="AX7750" s="397"/>
      <c r="BI7750" s="397"/>
      <c r="BJ7750" s="397"/>
      <c r="BK7750" s="397"/>
      <c r="BL7750" s="397"/>
      <c r="BM7750" s="397"/>
      <c r="BN7750" s="397"/>
      <c r="BO7750" s="397"/>
      <c r="BP7750" s="397"/>
      <c r="BQ7750" s="397"/>
      <c r="BR7750" s="397"/>
      <c r="BS7750" s="397"/>
      <c r="BT7750" s="397"/>
      <c r="BU7750" s="397"/>
      <c r="BV7750" s="397"/>
      <c r="BW7750" s="397"/>
      <c r="BX7750" s="397"/>
      <c r="BY7750" s="397"/>
      <c r="BZ7750" s="397"/>
      <c r="CA7750" s="392" t="s">
        <v>413</v>
      </c>
    </row>
    <row r="7751" spans="1:80" s="189" customFormat="1" ht="15" x14ac:dyDescent="0.25">
      <c r="A7751" s="381" t="s">
        <v>494</v>
      </c>
      <c r="B7751" s="641"/>
      <c r="C7751" s="639"/>
      <c r="D7751" s="4">
        <f>VLOOKUP(E7751,'Quality Code'!$D$4:$E$24,2,TRUE)*VLOOKUP(MROUND(F7751,10),'Quality Code'!$D$28:$E$69,2,TRUE)*VLOOKUP(COUNTA(CB7751:CB7761),'Quality Code'!$D$73:$E$93,2,TRUE)</f>
        <v>7.4999999999999997E-2</v>
      </c>
      <c r="E7751" s="14">
        <v>0.3</v>
      </c>
      <c r="F7751" s="2">
        <v>8</v>
      </c>
      <c r="G7751" s="12"/>
      <c r="H7751" s="2" t="s">
        <v>105</v>
      </c>
      <c r="I7751" s="2"/>
      <c r="J7751" s="2"/>
      <c r="K7751" s="2"/>
      <c r="L7751" s="639"/>
      <c r="M7751" s="640">
        <v>1978</v>
      </c>
      <c r="N7751" s="578" t="s">
        <v>110</v>
      </c>
      <c r="O7751" s="578"/>
      <c r="P7751" s="26"/>
      <c r="Q7751" s="26"/>
      <c r="R7751" s="26"/>
      <c r="S7751" s="26"/>
      <c r="T7751" s="26"/>
      <c r="U7751" s="26"/>
      <c r="V7751" s="10"/>
      <c r="W7751" s="10"/>
      <c r="X7751" s="10"/>
      <c r="Y7751" s="10"/>
      <c r="Z7751" s="26"/>
      <c r="AA7751" s="26"/>
      <c r="AB7751" s="26"/>
      <c r="AC7751" s="3">
        <v>7.0000000000000007E-2</v>
      </c>
      <c r="AD7751" s="406"/>
      <c r="AE7751" s="26"/>
      <c r="AF7751" s="26"/>
      <c r="AG7751" s="26"/>
      <c r="AH7751" s="26"/>
      <c r="AI7751" s="4"/>
      <c r="AJ7751" s="4"/>
      <c r="AK7751" s="26"/>
      <c r="AL7751" s="26"/>
      <c r="AM7751" s="26"/>
      <c r="AN7751" s="26"/>
      <c r="AO7751" s="26"/>
      <c r="AP7751" s="26"/>
      <c r="AQ7751" s="26"/>
      <c r="AR7751" s="26"/>
      <c r="AS7751" s="26"/>
      <c r="AT7751" s="26"/>
      <c r="AU7751" s="4"/>
      <c r="AV7751" s="4"/>
      <c r="AW7751" s="4"/>
      <c r="AX7751" s="4"/>
      <c r="AY7751" s="2"/>
      <c r="AZ7751" s="2"/>
      <c r="BA7751" s="12"/>
      <c r="BB7751" s="12"/>
      <c r="BC7751" s="12"/>
      <c r="BD7751" s="12"/>
      <c r="BE7751" s="12"/>
      <c r="BF7751" s="12"/>
      <c r="BG7751" s="12"/>
      <c r="BH7751" s="12"/>
      <c r="BI7751" s="4"/>
      <c r="BJ7751" s="12"/>
      <c r="BK7751" s="2"/>
      <c r="BL7751" s="2"/>
      <c r="BM7751" s="4"/>
      <c r="BN7751" s="12"/>
      <c r="BO7751" s="12"/>
      <c r="BP7751" s="12"/>
      <c r="BQ7751" s="4"/>
      <c r="BR7751" s="4"/>
      <c r="BS7751" s="4"/>
      <c r="BT7751" s="2"/>
      <c r="BU7751" s="9"/>
      <c r="BV7751" s="381"/>
      <c r="BW7751" s="382"/>
      <c r="BX7751" s="383"/>
      <c r="BY7751" s="383"/>
      <c r="BZ7751" s="383"/>
      <c r="CA7751" s="384" t="s">
        <v>413</v>
      </c>
      <c r="CB7751" s="411"/>
    </row>
    <row r="7752" spans="1:80" s="392" customFormat="1" ht="15" x14ac:dyDescent="0.25">
      <c r="A7752" s="385"/>
      <c r="D7752" s="700"/>
      <c r="E7752" s="397"/>
      <c r="H7752" s="401">
        <v>3</v>
      </c>
      <c r="I7752" s="401"/>
      <c r="J7752" s="401"/>
      <c r="K7752" s="401"/>
      <c r="L7752" s="675"/>
      <c r="M7752" s="672">
        <v>28634</v>
      </c>
      <c r="N7752" s="623">
        <v>0.386511759705299</v>
      </c>
      <c r="O7752" s="624">
        <v>8.3440000000000007E-3</v>
      </c>
      <c r="P7752" s="397"/>
      <c r="Q7752" s="397"/>
      <c r="R7752" s="397"/>
      <c r="S7752" s="397"/>
      <c r="T7752" s="397"/>
      <c r="U7752" s="397"/>
      <c r="V7752" s="397"/>
      <c r="W7752" s="397"/>
      <c r="X7752" s="397"/>
      <c r="Y7752" s="397"/>
      <c r="Z7752" s="397"/>
      <c r="AD7752" s="388">
        <v>2.5603200000000004</v>
      </c>
      <c r="AE7752" s="388"/>
      <c r="AF7752" s="388"/>
      <c r="AG7752" s="388">
        <v>0.35052</v>
      </c>
      <c r="AH7752" s="391"/>
      <c r="AI7752" s="397"/>
      <c r="AJ7752" s="397"/>
      <c r="AU7752" s="397"/>
      <c r="AV7752" s="397"/>
      <c r="AW7752" s="397"/>
      <c r="AX7752" s="397"/>
      <c r="BI7752" s="397"/>
      <c r="BJ7752" s="397"/>
      <c r="BK7752" s="397"/>
      <c r="BL7752" s="397"/>
      <c r="BM7752" s="397"/>
      <c r="BN7752" s="397"/>
      <c r="BO7752" s="397"/>
      <c r="BP7752" s="397"/>
      <c r="BQ7752" s="397"/>
      <c r="BR7752" s="397"/>
      <c r="BS7752" s="397"/>
      <c r="BT7752" s="397"/>
      <c r="BU7752" s="397"/>
      <c r="BV7752" s="397"/>
      <c r="BW7752" s="397"/>
      <c r="BX7752" s="397"/>
      <c r="BY7752" s="397"/>
      <c r="BZ7752" s="397"/>
      <c r="CA7752" s="392" t="s">
        <v>413</v>
      </c>
    </row>
    <row r="7753" spans="1:80" s="392" customFormat="1" ht="15" x14ac:dyDescent="0.25">
      <c r="A7753" s="385"/>
      <c r="D7753" s="700"/>
      <c r="E7753" s="397"/>
      <c r="H7753" s="401">
        <v>3</v>
      </c>
      <c r="I7753" s="401"/>
      <c r="J7753" s="401"/>
      <c r="K7753" s="401"/>
      <c r="L7753" s="675"/>
      <c r="M7753" s="672">
        <v>28648</v>
      </c>
      <c r="N7753" s="623">
        <v>0.18305468971379996</v>
      </c>
      <c r="O7753" s="624">
        <v>3.0066666666666662E-3</v>
      </c>
      <c r="P7753" s="397"/>
      <c r="Q7753" s="397"/>
      <c r="R7753" s="397"/>
      <c r="S7753" s="397"/>
      <c r="T7753" s="397"/>
      <c r="U7753" s="397"/>
      <c r="V7753" s="397"/>
      <c r="W7753" s="397"/>
      <c r="X7753" s="397"/>
      <c r="Y7753" s="397"/>
      <c r="Z7753" s="397"/>
      <c r="AD7753" s="388">
        <v>2.4993599999999998</v>
      </c>
      <c r="AE7753" s="388"/>
      <c r="AF7753" s="388"/>
      <c r="AG7753" s="388">
        <v>0.22250400000000001</v>
      </c>
      <c r="AH7753" s="391"/>
      <c r="AI7753" s="397"/>
      <c r="AJ7753" s="397"/>
      <c r="AU7753" s="397"/>
      <c r="AV7753" s="397"/>
      <c r="AW7753" s="397"/>
      <c r="AX7753" s="397"/>
      <c r="BI7753" s="397"/>
      <c r="BJ7753" s="397"/>
      <c r="BK7753" s="397"/>
      <c r="BL7753" s="397"/>
      <c r="BM7753" s="397"/>
      <c r="BN7753" s="397"/>
      <c r="BO7753" s="397"/>
      <c r="BP7753" s="397"/>
      <c r="BQ7753" s="397"/>
      <c r="BR7753" s="397"/>
      <c r="BS7753" s="397"/>
      <c r="BT7753" s="397"/>
      <c r="BU7753" s="397"/>
      <c r="BV7753" s="397"/>
      <c r="BW7753" s="397"/>
      <c r="BX7753" s="397"/>
      <c r="BY7753" s="397"/>
      <c r="BZ7753" s="397"/>
      <c r="CA7753" s="392" t="s">
        <v>413</v>
      </c>
    </row>
    <row r="7754" spans="1:80" s="392" customFormat="1" ht="15" x14ac:dyDescent="0.25">
      <c r="A7754" s="385"/>
      <c r="D7754" s="700"/>
      <c r="E7754" s="397"/>
      <c r="H7754" s="401">
        <v>3</v>
      </c>
      <c r="I7754" s="401"/>
      <c r="J7754" s="401"/>
      <c r="K7754" s="401"/>
      <c r="L7754" s="675"/>
      <c r="M7754" s="672">
        <v>28655</v>
      </c>
      <c r="N7754" s="623">
        <v>0.34145650325871352</v>
      </c>
      <c r="O7754" s="624">
        <v>3.1425999999999997E-3</v>
      </c>
      <c r="P7754" s="397"/>
      <c r="Q7754" s="397"/>
      <c r="R7754" s="397"/>
      <c r="S7754" s="397"/>
      <c r="T7754" s="397"/>
      <c r="U7754" s="397"/>
      <c r="V7754" s="397"/>
      <c r="W7754" s="397"/>
      <c r="X7754" s="397"/>
      <c r="Y7754" s="397"/>
      <c r="Z7754" s="397"/>
      <c r="AD7754" s="388">
        <v>2.520696</v>
      </c>
      <c r="AE7754" s="388"/>
      <c r="AF7754" s="388"/>
      <c r="AG7754" s="388">
        <v>0.32613600000000004</v>
      </c>
      <c r="AH7754" s="391"/>
      <c r="AI7754" s="397"/>
      <c r="AJ7754" s="397"/>
      <c r="AU7754" s="397"/>
      <c r="AV7754" s="397"/>
      <c r="AW7754" s="397"/>
      <c r="AX7754" s="397"/>
      <c r="BI7754" s="397"/>
      <c r="BJ7754" s="397"/>
      <c r="BK7754" s="397"/>
      <c r="BL7754" s="397"/>
      <c r="BM7754" s="397"/>
      <c r="BN7754" s="397"/>
      <c r="BO7754" s="397"/>
      <c r="BP7754" s="397"/>
      <c r="BQ7754" s="397"/>
      <c r="BR7754" s="397"/>
      <c r="BS7754" s="397"/>
      <c r="BT7754" s="397"/>
      <c r="BU7754" s="397"/>
      <c r="BV7754" s="397"/>
      <c r="BW7754" s="397"/>
      <c r="BX7754" s="397"/>
      <c r="BY7754" s="397"/>
      <c r="BZ7754" s="397"/>
      <c r="CA7754" s="392" t="s">
        <v>413</v>
      </c>
    </row>
    <row r="7755" spans="1:80" s="392" customFormat="1" ht="15" x14ac:dyDescent="0.25">
      <c r="A7755" s="385"/>
      <c r="D7755" s="700"/>
      <c r="E7755" s="397"/>
      <c r="H7755" s="401">
        <v>3</v>
      </c>
      <c r="I7755" s="401"/>
      <c r="J7755" s="401"/>
      <c r="K7755" s="401"/>
      <c r="L7755" s="675"/>
      <c r="M7755" s="672">
        <v>28667</v>
      </c>
      <c r="N7755" s="623">
        <v>3.2303768773023517E-2</v>
      </c>
      <c r="O7755" s="624">
        <v>1.7566666666666666E-3</v>
      </c>
      <c r="P7755" s="397"/>
      <c r="Q7755" s="397"/>
      <c r="R7755" s="397"/>
      <c r="S7755" s="397"/>
      <c r="T7755" s="397"/>
      <c r="U7755" s="397"/>
      <c r="V7755" s="397"/>
      <c r="W7755" s="397"/>
      <c r="X7755" s="397"/>
      <c r="Y7755" s="397"/>
      <c r="Z7755" s="397"/>
      <c r="AD7755" s="388">
        <v>2.3622000000000001</v>
      </c>
      <c r="AE7755" s="388"/>
      <c r="AF7755" s="388"/>
      <c r="AG7755" s="388">
        <v>5.4864000000000003E-2</v>
      </c>
      <c r="AH7755" s="391"/>
      <c r="AI7755" s="397"/>
      <c r="AJ7755" s="397"/>
      <c r="AU7755" s="397"/>
      <c r="AV7755" s="397"/>
      <c r="AW7755" s="397"/>
      <c r="AX7755" s="397"/>
      <c r="BI7755" s="397"/>
      <c r="BJ7755" s="397"/>
      <c r="BK7755" s="397"/>
      <c r="BL7755" s="397"/>
      <c r="BM7755" s="397"/>
      <c r="BN7755" s="397"/>
      <c r="BO7755" s="397"/>
      <c r="BP7755" s="397"/>
      <c r="BQ7755" s="397"/>
      <c r="BR7755" s="397"/>
      <c r="BS7755" s="397"/>
      <c r="BT7755" s="397"/>
      <c r="BU7755" s="397"/>
      <c r="BV7755" s="397"/>
      <c r="BW7755" s="397"/>
      <c r="BX7755" s="397"/>
      <c r="BY7755" s="397"/>
      <c r="BZ7755" s="397"/>
      <c r="CA7755" s="392" t="s">
        <v>413</v>
      </c>
    </row>
    <row r="7756" spans="1:80" s="392" customFormat="1" ht="15" x14ac:dyDescent="0.25">
      <c r="A7756" s="385"/>
      <c r="D7756" s="700"/>
      <c r="E7756" s="397"/>
      <c r="H7756" s="401">
        <v>3</v>
      </c>
      <c r="I7756" s="401"/>
      <c r="J7756" s="401"/>
      <c r="K7756" s="401"/>
      <c r="L7756" s="675"/>
      <c r="M7756" s="672">
        <v>28676</v>
      </c>
      <c r="N7756" s="623">
        <v>3.9104562198923207E-2</v>
      </c>
      <c r="O7756" s="624">
        <v>3.0100000000000001E-3</v>
      </c>
      <c r="P7756" s="397"/>
      <c r="Q7756" s="397"/>
      <c r="R7756" s="397"/>
      <c r="S7756" s="397"/>
      <c r="T7756" s="397"/>
      <c r="U7756" s="397"/>
      <c r="V7756" s="397"/>
      <c r="W7756" s="397"/>
      <c r="X7756" s="397"/>
      <c r="Y7756" s="397"/>
      <c r="Z7756" s="397"/>
      <c r="AD7756" s="388">
        <v>1.6002000000000001</v>
      </c>
      <c r="AE7756" s="388"/>
      <c r="AF7756" s="388"/>
      <c r="AG7756" s="388">
        <v>0.20726400000000003</v>
      </c>
      <c r="AH7756" s="391"/>
      <c r="AI7756" s="397"/>
      <c r="AJ7756" s="397"/>
      <c r="AU7756" s="397"/>
      <c r="AV7756" s="397"/>
      <c r="AW7756" s="397"/>
      <c r="AX7756" s="397"/>
      <c r="BI7756" s="397"/>
      <c r="BJ7756" s="397"/>
      <c r="BK7756" s="397"/>
      <c r="BL7756" s="397"/>
      <c r="BM7756" s="397"/>
      <c r="BN7756" s="397"/>
      <c r="BO7756" s="397"/>
      <c r="BP7756" s="397"/>
      <c r="BQ7756" s="397"/>
      <c r="BR7756" s="397"/>
      <c r="BS7756" s="397"/>
      <c r="BT7756" s="397"/>
      <c r="BU7756" s="397"/>
      <c r="BV7756" s="397"/>
      <c r="BW7756" s="397"/>
      <c r="BX7756" s="397"/>
      <c r="BY7756" s="397"/>
      <c r="BZ7756" s="397"/>
      <c r="CA7756" s="392" t="s">
        <v>413</v>
      </c>
    </row>
    <row r="7757" spans="1:80" s="392" customFormat="1" ht="15" x14ac:dyDescent="0.25">
      <c r="A7757" s="385"/>
      <c r="D7757" s="700"/>
      <c r="E7757" s="397"/>
      <c r="H7757" s="401">
        <v>3</v>
      </c>
      <c r="I7757" s="401"/>
      <c r="J7757" s="401"/>
      <c r="K7757" s="401"/>
      <c r="L7757" s="675"/>
      <c r="M7757" s="672">
        <v>28683</v>
      </c>
      <c r="N7757" s="623">
        <v>4.0804760555398133E-2</v>
      </c>
      <c r="O7757" s="624">
        <v>4.7999999999999996E-4</v>
      </c>
      <c r="P7757" s="397"/>
      <c r="Q7757" s="397"/>
      <c r="R7757" s="397"/>
      <c r="S7757" s="397"/>
      <c r="T7757" s="397"/>
      <c r="U7757" s="397"/>
      <c r="V7757" s="397"/>
      <c r="W7757" s="397"/>
      <c r="X7757" s="397"/>
      <c r="Y7757" s="397"/>
      <c r="Z7757" s="397"/>
      <c r="AD7757" s="388">
        <v>1.8288000000000002</v>
      </c>
      <c r="AE7757" s="388"/>
      <c r="AF7757" s="388"/>
      <c r="AG7757" s="388">
        <v>0.24079200000000003</v>
      </c>
      <c r="AH7757" s="391"/>
      <c r="AI7757" s="397"/>
      <c r="AJ7757" s="397"/>
      <c r="AU7757" s="397"/>
      <c r="AV7757" s="397"/>
      <c r="AW7757" s="397"/>
      <c r="AX7757" s="397"/>
      <c r="BI7757" s="397"/>
      <c r="BJ7757" s="397"/>
      <c r="BK7757" s="397"/>
      <c r="BL7757" s="397"/>
      <c r="BM7757" s="397"/>
      <c r="BN7757" s="397"/>
      <c r="BO7757" s="397"/>
      <c r="BP7757" s="397"/>
      <c r="BQ7757" s="397"/>
      <c r="BR7757" s="397"/>
      <c r="BS7757" s="397"/>
      <c r="BT7757" s="397"/>
      <c r="BU7757" s="397"/>
      <c r="BV7757" s="397"/>
      <c r="BW7757" s="397"/>
      <c r="BX7757" s="397"/>
      <c r="BY7757" s="397"/>
      <c r="BZ7757" s="397"/>
      <c r="CA7757" s="392" t="s">
        <v>413</v>
      </c>
    </row>
    <row r="7758" spans="1:80" s="392" customFormat="1" ht="15" x14ac:dyDescent="0.25">
      <c r="A7758" s="385"/>
      <c r="D7758" s="700"/>
      <c r="E7758" s="397"/>
      <c r="H7758" s="401">
        <v>3</v>
      </c>
      <c r="I7758" s="401"/>
      <c r="J7758" s="401"/>
      <c r="K7758" s="401"/>
      <c r="L7758" s="675"/>
      <c r="M7758" s="672">
        <v>28689</v>
      </c>
      <c r="N7758" s="623">
        <v>2.2385945026919808E-2</v>
      </c>
      <c r="O7758" s="624">
        <v>6.9000000000000008E-4</v>
      </c>
      <c r="P7758" s="397"/>
      <c r="Q7758" s="397"/>
      <c r="R7758" s="397"/>
      <c r="S7758" s="397"/>
      <c r="T7758" s="397"/>
      <c r="U7758" s="397"/>
      <c r="V7758" s="397"/>
      <c r="W7758" s="397"/>
      <c r="X7758" s="397"/>
      <c r="Y7758" s="397"/>
      <c r="Z7758" s="397"/>
      <c r="AD7758" s="388">
        <v>1.7526000000000002</v>
      </c>
      <c r="AE7758" s="388"/>
      <c r="AF7758" s="388"/>
      <c r="AG7758" s="388">
        <v>0.225552</v>
      </c>
      <c r="AH7758" s="391"/>
      <c r="AI7758" s="397"/>
      <c r="AJ7758" s="397"/>
      <c r="AU7758" s="397"/>
      <c r="AV7758" s="397"/>
      <c r="AW7758" s="397"/>
      <c r="AX7758" s="397"/>
      <c r="BI7758" s="397"/>
      <c r="BJ7758" s="397"/>
      <c r="BK7758" s="397"/>
      <c r="BL7758" s="397"/>
      <c r="BM7758" s="397"/>
      <c r="BN7758" s="397"/>
      <c r="BO7758" s="397"/>
      <c r="BP7758" s="397"/>
      <c r="BQ7758" s="397"/>
      <c r="BR7758" s="397"/>
      <c r="BS7758" s="397"/>
      <c r="BT7758" s="397"/>
      <c r="BU7758" s="397"/>
      <c r="BV7758" s="397"/>
      <c r="BW7758" s="397"/>
      <c r="BX7758" s="397"/>
      <c r="BY7758" s="397"/>
      <c r="BZ7758" s="397"/>
      <c r="CA7758" s="392" t="s">
        <v>413</v>
      </c>
    </row>
    <row r="7759" spans="1:80" s="392" customFormat="1" ht="15" x14ac:dyDescent="0.25">
      <c r="A7759" s="385"/>
      <c r="D7759" s="700"/>
      <c r="E7759" s="397"/>
      <c r="H7759" s="401">
        <v>3</v>
      </c>
      <c r="I7759" s="401"/>
      <c r="J7759" s="401"/>
      <c r="K7759" s="401"/>
      <c r="L7759" s="675"/>
      <c r="M7759" s="672">
        <v>28704</v>
      </c>
      <c r="N7759" s="623">
        <v>3.088693680929442E-2</v>
      </c>
      <c r="O7759" s="624" t="s">
        <v>71</v>
      </c>
      <c r="P7759" s="397"/>
      <c r="Q7759" s="397"/>
      <c r="R7759" s="397"/>
      <c r="S7759" s="397"/>
      <c r="T7759" s="397"/>
      <c r="U7759" s="397"/>
      <c r="V7759" s="397"/>
      <c r="W7759" s="397"/>
      <c r="X7759" s="397"/>
      <c r="Y7759" s="397"/>
      <c r="Z7759" s="397"/>
      <c r="AD7759" s="388">
        <v>1.8806160000000001</v>
      </c>
      <c r="AE7759" s="388"/>
      <c r="AF7759" s="388"/>
      <c r="AG7759" s="388">
        <v>0.280416</v>
      </c>
      <c r="AH7759" s="391"/>
      <c r="AI7759" s="397"/>
      <c r="AJ7759" s="397"/>
      <c r="AU7759" s="397"/>
      <c r="AV7759" s="397"/>
      <c r="AW7759" s="397"/>
      <c r="AX7759" s="397"/>
      <c r="BI7759" s="397"/>
      <c r="BJ7759" s="397"/>
      <c r="BK7759" s="397"/>
      <c r="BL7759" s="397"/>
      <c r="BM7759" s="397"/>
      <c r="BN7759" s="397"/>
      <c r="BO7759" s="397"/>
      <c r="BP7759" s="397"/>
      <c r="BQ7759" s="397"/>
      <c r="BR7759" s="397"/>
      <c r="BS7759" s="397"/>
      <c r="BT7759" s="397"/>
      <c r="BU7759" s="397"/>
      <c r="BV7759" s="397"/>
      <c r="BW7759" s="397"/>
      <c r="BX7759" s="397"/>
      <c r="BY7759" s="397"/>
      <c r="BZ7759" s="397"/>
      <c r="CA7759" s="392" t="s">
        <v>413</v>
      </c>
    </row>
    <row r="7760" spans="1:80" s="392" customFormat="1" ht="15" x14ac:dyDescent="0.25">
      <c r="A7760" s="385"/>
      <c r="D7760" s="700"/>
      <c r="E7760" s="397"/>
      <c r="H7760" s="401">
        <v>3</v>
      </c>
      <c r="I7760" s="401"/>
      <c r="J7760" s="401"/>
      <c r="K7760" s="401"/>
      <c r="L7760" s="675"/>
      <c r="M7760" s="672">
        <v>28717</v>
      </c>
      <c r="N7760" s="623">
        <v>1.501841881552848E-2</v>
      </c>
      <c r="O7760" s="624">
        <v>9.0773333333333324E-4</v>
      </c>
      <c r="P7760" s="397"/>
      <c r="Q7760" s="397"/>
      <c r="R7760" s="397"/>
      <c r="S7760" s="397"/>
      <c r="T7760" s="397"/>
      <c r="U7760" s="397"/>
      <c r="V7760" s="397"/>
      <c r="W7760" s="397"/>
      <c r="X7760" s="397"/>
      <c r="Y7760" s="397"/>
      <c r="Z7760" s="397"/>
      <c r="AD7760" s="388">
        <v>1.804416</v>
      </c>
      <c r="AE7760" s="388"/>
      <c r="AF7760" s="388"/>
      <c r="AG7760" s="388">
        <v>0.29260799999999998</v>
      </c>
      <c r="AH7760" s="391"/>
      <c r="AI7760" s="397"/>
      <c r="AJ7760" s="397"/>
      <c r="AU7760" s="397"/>
      <c r="AV7760" s="397"/>
      <c r="AW7760" s="397"/>
      <c r="AX7760" s="397"/>
      <c r="BI7760" s="397"/>
      <c r="BJ7760" s="397"/>
      <c r="BK7760" s="397"/>
      <c r="BL7760" s="397"/>
      <c r="BM7760" s="397"/>
      <c r="BN7760" s="397"/>
      <c r="BO7760" s="397"/>
      <c r="BP7760" s="397"/>
      <c r="BQ7760" s="397"/>
      <c r="BR7760" s="397"/>
      <c r="BS7760" s="397"/>
      <c r="BT7760" s="397"/>
      <c r="BU7760" s="397"/>
      <c r="BV7760" s="397"/>
      <c r="BW7760" s="397"/>
      <c r="BX7760" s="397"/>
      <c r="BY7760" s="397"/>
      <c r="BZ7760" s="397"/>
      <c r="CA7760" s="392" t="s">
        <v>413</v>
      </c>
    </row>
    <row r="7761" spans="1:80" s="392" customFormat="1" ht="15" x14ac:dyDescent="0.25">
      <c r="A7761" s="385"/>
      <c r="D7761" s="700"/>
      <c r="E7761" s="397"/>
      <c r="H7761" s="401">
        <v>3</v>
      </c>
      <c r="I7761" s="401"/>
      <c r="J7761" s="401"/>
      <c r="K7761" s="401"/>
      <c r="L7761" s="675"/>
      <c r="M7761" s="672">
        <v>28732</v>
      </c>
      <c r="N7761" s="623">
        <v>5.383961462170587E-3</v>
      </c>
      <c r="O7761" s="624" t="s">
        <v>71</v>
      </c>
      <c r="P7761" s="397"/>
      <c r="Q7761" s="397"/>
      <c r="R7761" s="397"/>
      <c r="S7761" s="397"/>
      <c r="T7761" s="397"/>
      <c r="U7761" s="397"/>
      <c r="V7761" s="397"/>
      <c r="W7761" s="397"/>
      <c r="X7761" s="397"/>
      <c r="Y7761" s="397"/>
      <c r="Z7761" s="397"/>
      <c r="AD7761" s="388">
        <v>0.6339840000000001</v>
      </c>
      <c r="AE7761" s="388"/>
      <c r="AF7761" s="388"/>
      <c r="AG7761" s="388">
        <v>0.47548800000000002</v>
      </c>
      <c r="AH7761" s="391"/>
      <c r="AI7761" s="397"/>
      <c r="AJ7761" s="397"/>
      <c r="AU7761" s="397"/>
      <c r="AV7761" s="397"/>
      <c r="AW7761" s="397"/>
      <c r="AX7761" s="397"/>
      <c r="BI7761" s="397"/>
      <c r="BJ7761" s="397"/>
      <c r="BK7761" s="397"/>
      <c r="BL7761" s="397"/>
      <c r="BM7761" s="397"/>
      <c r="BN7761" s="397"/>
      <c r="BO7761" s="397"/>
      <c r="BP7761" s="397"/>
      <c r="BQ7761" s="397"/>
      <c r="BR7761" s="397"/>
      <c r="BS7761" s="397"/>
      <c r="BT7761" s="397"/>
      <c r="BU7761" s="397"/>
      <c r="BV7761" s="397"/>
      <c r="BW7761" s="397"/>
      <c r="BX7761" s="397"/>
      <c r="BY7761" s="397"/>
      <c r="BZ7761" s="397"/>
      <c r="CA7761" s="392" t="s">
        <v>413</v>
      </c>
    </row>
    <row r="7762" spans="1:80" s="392" customFormat="1" ht="15" x14ac:dyDescent="0.25">
      <c r="A7762" s="385"/>
      <c r="D7762" s="700"/>
      <c r="E7762" s="397"/>
      <c r="H7762" s="401">
        <v>3</v>
      </c>
      <c r="I7762" s="401"/>
      <c r="J7762" s="401"/>
      <c r="K7762" s="401"/>
      <c r="L7762" s="675"/>
      <c r="M7762" s="672">
        <v>28746</v>
      </c>
      <c r="N7762" s="623">
        <v>1.1051289317086994E-2</v>
      </c>
      <c r="O7762" s="624" t="s">
        <v>71</v>
      </c>
      <c r="P7762" s="397"/>
      <c r="Q7762" s="397"/>
      <c r="R7762" s="397"/>
      <c r="S7762" s="397"/>
      <c r="T7762" s="397"/>
      <c r="U7762" s="397"/>
      <c r="V7762" s="397"/>
      <c r="W7762" s="397"/>
      <c r="X7762" s="397"/>
      <c r="Y7762" s="397"/>
      <c r="Z7762" s="397"/>
      <c r="AD7762" s="388">
        <v>0.81381599999999998</v>
      </c>
      <c r="AE7762" s="388"/>
      <c r="AF7762" s="388"/>
      <c r="AG7762" s="388">
        <v>0.70408800000000005</v>
      </c>
      <c r="AH7762" s="391"/>
      <c r="AI7762" s="397"/>
      <c r="AJ7762" s="397"/>
      <c r="AU7762" s="397"/>
      <c r="AV7762" s="397"/>
      <c r="AW7762" s="397"/>
      <c r="AX7762" s="397"/>
      <c r="BI7762" s="397"/>
      <c r="BJ7762" s="397"/>
      <c r="BK7762" s="397"/>
      <c r="BL7762" s="397"/>
      <c r="BM7762" s="397"/>
      <c r="BN7762" s="397"/>
      <c r="BO7762" s="397"/>
      <c r="BP7762" s="397"/>
      <c r="BQ7762" s="397"/>
      <c r="BR7762" s="397"/>
      <c r="BS7762" s="397"/>
      <c r="BT7762" s="397"/>
      <c r="BU7762" s="397"/>
      <c r="BV7762" s="397"/>
      <c r="BW7762" s="397"/>
      <c r="BX7762" s="397"/>
      <c r="BY7762" s="397"/>
      <c r="BZ7762" s="397"/>
      <c r="CA7762" s="392" t="s">
        <v>413</v>
      </c>
    </row>
    <row r="7763" spans="1:80" s="189" customFormat="1" ht="15" x14ac:dyDescent="0.25">
      <c r="A7763" s="381" t="s">
        <v>495</v>
      </c>
      <c r="B7763" s="641"/>
      <c r="C7763" s="639"/>
      <c r="D7763" s="4">
        <f>VLOOKUP(E7763,'Quality Code'!$D$4:$E$24,2,TRUE)*VLOOKUP(MROUND(F7763,10),'Quality Code'!$D$28:$E$69,2,TRUE)*VLOOKUP(COUNTA(CB7763:CB7773),'Quality Code'!$D$73:$E$93,2,TRUE)</f>
        <v>8.7499999999999994E-2</v>
      </c>
      <c r="E7763" s="14">
        <v>0.35</v>
      </c>
      <c r="F7763" s="2">
        <v>8</v>
      </c>
      <c r="G7763" s="12"/>
      <c r="H7763" s="2" t="s">
        <v>105</v>
      </c>
      <c r="I7763" s="2"/>
      <c r="J7763" s="2"/>
      <c r="K7763" s="2"/>
      <c r="L7763" s="639"/>
      <c r="M7763" s="640">
        <v>1978</v>
      </c>
      <c r="N7763" s="578" t="s">
        <v>110</v>
      </c>
      <c r="O7763" s="578"/>
      <c r="P7763" s="26"/>
      <c r="Q7763" s="26"/>
      <c r="R7763" s="26"/>
      <c r="S7763" s="26"/>
      <c r="T7763" s="26"/>
      <c r="U7763" s="26"/>
      <c r="V7763" s="10"/>
      <c r="W7763" s="10"/>
      <c r="X7763" s="10"/>
      <c r="Y7763" s="10"/>
      <c r="Z7763" s="26"/>
      <c r="AA7763" s="26"/>
      <c r="AB7763" s="26"/>
      <c r="AC7763" s="3">
        <v>2.7E-2</v>
      </c>
      <c r="AD7763" s="406"/>
      <c r="AE7763" s="26"/>
      <c r="AF7763" s="26"/>
      <c r="AG7763" s="26"/>
      <c r="AH7763" s="26"/>
      <c r="AI7763" s="4"/>
      <c r="AJ7763" s="4"/>
      <c r="AK7763" s="26"/>
      <c r="AL7763" s="26"/>
      <c r="AM7763" s="26"/>
      <c r="AN7763" s="26"/>
      <c r="AO7763" s="26"/>
      <c r="AP7763" s="26"/>
      <c r="AQ7763" s="26"/>
      <c r="AR7763" s="26"/>
      <c r="AS7763" s="26"/>
      <c r="AT7763" s="26"/>
      <c r="AU7763" s="4"/>
      <c r="AV7763" s="4"/>
      <c r="AW7763" s="4"/>
      <c r="AX7763" s="4"/>
      <c r="AY7763" s="2"/>
      <c r="AZ7763" s="2"/>
      <c r="BA7763" s="12"/>
      <c r="BB7763" s="12"/>
      <c r="BC7763" s="12"/>
      <c r="BD7763" s="12"/>
      <c r="BE7763" s="12"/>
      <c r="BF7763" s="12"/>
      <c r="BG7763" s="12"/>
      <c r="BH7763" s="12"/>
      <c r="BI7763" s="4"/>
      <c r="BJ7763" s="12"/>
      <c r="BK7763" s="2"/>
      <c r="BL7763" s="2"/>
      <c r="BM7763" s="4"/>
      <c r="BN7763" s="12"/>
      <c r="BO7763" s="12"/>
      <c r="BP7763" s="12"/>
      <c r="BQ7763" s="4"/>
      <c r="BR7763" s="4"/>
      <c r="BS7763" s="4"/>
      <c r="BT7763" s="2"/>
      <c r="BU7763" s="9"/>
      <c r="BV7763" s="381"/>
      <c r="BW7763" s="382"/>
      <c r="BX7763" s="383"/>
      <c r="BY7763" s="383"/>
      <c r="BZ7763" s="383"/>
      <c r="CA7763" s="384" t="s">
        <v>413</v>
      </c>
      <c r="CB7763" s="411"/>
    </row>
    <row r="7764" spans="1:80" s="392" customFormat="1" ht="15" x14ac:dyDescent="0.25">
      <c r="A7764" s="385"/>
      <c r="D7764" s="700"/>
      <c r="E7764" s="397"/>
      <c r="H7764" s="401">
        <v>3</v>
      </c>
      <c r="I7764" s="401"/>
      <c r="J7764" s="401"/>
      <c r="K7764" s="401"/>
      <c r="L7764" s="675"/>
      <c r="M7764" s="672">
        <v>28634</v>
      </c>
      <c r="N7764" s="623">
        <v>1.4352507792575802</v>
      </c>
      <c r="O7764" s="624">
        <v>0.46297199999999994</v>
      </c>
      <c r="P7764" s="397"/>
      <c r="Q7764" s="397"/>
      <c r="R7764" s="397"/>
      <c r="S7764" s="397"/>
      <c r="T7764" s="397"/>
      <c r="U7764" s="397"/>
      <c r="V7764" s="397"/>
      <c r="W7764" s="397"/>
      <c r="X7764" s="397"/>
      <c r="Y7764" s="397"/>
      <c r="Z7764" s="397"/>
      <c r="AD7764" s="388">
        <v>5.6235600000000003</v>
      </c>
      <c r="AE7764" s="388">
        <v>0.41148000000000007</v>
      </c>
      <c r="AF7764" s="388">
        <v>2.3139824688000004</v>
      </c>
      <c r="AG7764" s="388">
        <v>0.28955999999999998</v>
      </c>
      <c r="AH7764" s="391"/>
      <c r="AI7764" s="397"/>
      <c r="AJ7764" s="397"/>
      <c r="AU7764" s="397"/>
      <c r="AV7764" s="397"/>
      <c r="AW7764" s="397"/>
      <c r="AX7764" s="397"/>
      <c r="BI7764" s="397"/>
      <c r="BJ7764" s="397"/>
      <c r="BK7764" s="397"/>
      <c r="BL7764" s="397"/>
      <c r="BM7764" s="397"/>
      <c r="BN7764" s="397"/>
      <c r="BO7764" s="397"/>
      <c r="BP7764" s="397"/>
      <c r="BQ7764" s="397"/>
      <c r="BR7764" s="397"/>
      <c r="BS7764" s="397"/>
      <c r="BT7764" s="397"/>
      <c r="BU7764" s="397"/>
      <c r="BV7764" s="397"/>
      <c r="BW7764" s="397"/>
      <c r="BX7764" s="397"/>
      <c r="BY7764" s="397"/>
      <c r="BZ7764" s="397"/>
      <c r="CA7764" s="392" t="s">
        <v>413</v>
      </c>
    </row>
    <row r="7765" spans="1:80" s="392" customFormat="1" ht="15" x14ac:dyDescent="0.25">
      <c r="A7765" s="385"/>
      <c r="D7765" s="700"/>
      <c r="E7765" s="397"/>
      <c r="H7765" s="401">
        <v>3</v>
      </c>
      <c r="I7765" s="401"/>
      <c r="J7765" s="401"/>
      <c r="K7765" s="401"/>
      <c r="L7765" s="675"/>
      <c r="M7765" s="672">
        <v>28648</v>
      </c>
      <c r="N7765" s="623">
        <v>0.65089260413714933</v>
      </c>
      <c r="O7765" s="624">
        <v>1.1273333333333333E-2</v>
      </c>
      <c r="P7765" s="397"/>
      <c r="Q7765" s="397"/>
      <c r="R7765" s="397"/>
      <c r="S7765" s="397"/>
      <c r="T7765" s="397"/>
      <c r="U7765" s="397"/>
      <c r="V7765" s="397"/>
      <c r="W7765" s="397"/>
      <c r="X7765" s="397"/>
      <c r="Y7765" s="397"/>
      <c r="Z7765" s="397"/>
      <c r="AD7765" s="388">
        <v>5.7911999999999999</v>
      </c>
      <c r="AE7765" s="388">
        <v>0.347472</v>
      </c>
      <c r="AF7765" s="388">
        <v>2.0122798463999998</v>
      </c>
      <c r="AG7765" s="388">
        <v>0.32308800000000004</v>
      </c>
      <c r="AH7765" s="391"/>
      <c r="AI7765" s="397"/>
      <c r="AJ7765" s="397"/>
      <c r="AU7765" s="397"/>
      <c r="AV7765" s="397"/>
      <c r="AW7765" s="397"/>
      <c r="AX7765" s="397"/>
      <c r="BI7765" s="397"/>
      <c r="BJ7765" s="397"/>
      <c r="BK7765" s="397"/>
      <c r="BL7765" s="397"/>
      <c r="BM7765" s="397"/>
      <c r="BN7765" s="397"/>
      <c r="BO7765" s="397"/>
      <c r="BP7765" s="397"/>
      <c r="BQ7765" s="397"/>
      <c r="BR7765" s="397"/>
      <c r="BS7765" s="397"/>
      <c r="BT7765" s="397"/>
      <c r="BU7765" s="397"/>
      <c r="BV7765" s="397"/>
      <c r="BW7765" s="397"/>
      <c r="BX7765" s="397"/>
      <c r="BY7765" s="397"/>
      <c r="BZ7765" s="397"/>
      <c r="CA7765" s="392" t="s">
        <v>413</v>
      </c>
    </row>
    <row r="7766" spans="1:80" s="392" customFormat="1" ht="15" x14ac:dyDescent="0.25">
      <c r="A7766" s="385"/>
      <c r="D7766" s="700"/>
      <c r="E7766" s="397"/>
      <c r="H7766" s="401">
        <v>3</v>
      </c>
      <c r="I7766" s="401"/>
      <c r="J7766" s="401"/>
      <c r="K7766" s="401"/>
      <c r="L7766" s="675"/>
      <c r="M7766" s="672">
        <v>28655</v>
      </c>
      <c r="N7766" s="623">
        <v>0.49277415698498162</v>
      </c>
      <c r="O7766" s="624">
        <v>1.6466666666666667E-3</v>
      </c>
      <c r="P7766" s="397"/>
      <c r="Q7766" s="397"/>
      <c r="R7766" s="397"/>
      <c r="S7766" s="397"/>
      <c r="T7766" s="397"/>
      <c r="U7766" s="397"/>
      <c r="V7766" s="397"/>
      <c r="W7766" s="397"/>
      <c r="X7766" s="397"/>
      <c r="Y7766" s="397"/>
      <c r="Z7766" s="397"/>
      <c r="AD7766" s="388">
        <v>5.7911999999999999</v>
      </c>
      <c r="AE7766" s="388">
        <v>0.7406640000000001</v>
      </c>
      <c r="AF7766" s="388">
        <v>4.2893333568000003</v>
      </c>
      <c r="AG7766" s="388">
        <v>0.10363200000000002</v>
      </c>
      <c r="AH7766" s="391"/>
      <c r="AI7766" s="397"/>
      <c r="AJ7766" s="397"/>
      <c r="AU7766" s="397"/>
      <c r="AV7766" s="397"/>
      <c r="AW7766" s="397"/>
      <c r="AX7766" s="397"/>
      <c r="BI7766" s="397"/>
      <c r="BJ7766" s="397"/>
      <c r="BK7766" s="397"/>
      <c r="BL7766" s="397"/>
      <c r="BM7766" s="397"/>
      <c r="BN7766" s="397"/>
      <c r="BO7766" s="397"/>
      <c r="BP7766" s="397"/>
      <c r="BQ7766" s="397"/>
      <c r="BR7766" s="397"/>
      <c r="BS7766" s="397"/>
      <c r="BT7766" s="397"/>
      <c r="BU7766" s="397"/>
      <c r="BV7766" s="397"/>
      <c r="BW7766" s="397"/>
      <c r="BX7766" s="397"/>
      <c r="BY7766" s="397"/>
      <c r="BZ7766" s="397"/>
      <c r="CA7766" s="392" t="s">
        <v>413</v>
      </c>
    </row>
    <row r="7767" spans="1:80" s="392" customFormat="1" ht="15" x14ac:dyDescent="0.25">
      <c r="A7767" s="385"/>
      <c r="D7767" s="700"/>
      <c r="E7767" s="397"/>
      <c r="H7767" s="401">
        <v>3</v>
      </c>
      <c r="I7767" s="401"/>
      <c r="J7767" s="401"/>
      <c r="K7767" s="401"/>
      <c r="L7767" s="675"/>
      <c r="M7767" s="672">
        <v>28669</v>
      </c>
      <c r="N7767" s="623">
        <v>6.6024369509776137E-2</v>
      </c>
      <c r="O7767" s="624" t="s">
        <v>71</v>
      </c>
      <c r="P7767" s="397"/>
      <c r="Q7767" s="397"/>
      <c r="R7767" s="397"/>
      <c r="S7767" s="397"/>
      <c r="T7767" s="397"/>
      <c r="U7767" s="397"/>
      <c r="V7767" s="397"/>
      <c r="W7767" s="397"/>
      <c r="X7767" s="397"/>
      <c r="Y7767" s="397"/>
      <c r="Z7767" s="397"/>
      <c r="AD7767" s="388">
        <v>5.6906160000000012</v>
      </c>
      <c r="AE7767" s="388">
        <v>0.55473600000000001</v>
      </c>
      <c r="AF7767" s="388">
        <v>3.1567895573760008</v>
      </c>
      <c r="AG7767" s="388">
        <v>2.1336000000000004E-2</v>
      </c>
      <c r="AH7767" s="391"/>
      <c r="AI7767" s="397"/>
      <c r="AJ7767" s="397"/>
      <c r="AU7767" s="397"/>
      <c r="AV7767" s="397"/>
      <c r="AW7767" s="397"/>
      <c r="AX7767" s="397"/>
      <c r="BI7767" s="397"/>
      <c r="BJ7767" s="397"/>
      <c r="BK7767" s="397"/>
      <c r="BL7767" s="397"/>
      <c r="BM7767" s="397"/>
      <c r="BN7767" s="397"/>
      <c r="BO7767" s="397"/>
      <c r="BP7767" s="397"/>
      <c r="BQ7767" s="397"/>
      <c r="BR7767" s="397"/>
      <c r="BS7767" s="397"/>
      <c r="BT7767" s="397"/>
      <c r="BU7767" s="397"/>
      <c r="BV7767" s="397"/>
      <c r="BW7767" s="397"/>
      <c r="BX7767" s="397"/>
      <c r="BY7767" s="397"/>
      <c r="BZ7767" s="397"/>
      <c r="CA7767" s="392" t="s">
        <v>413</v>
      </c>
    </row>
    <row r="7768" spans="1:80" s="392" customFormat="1" ht="15" x14ac:dyDescent="0.25">
      <c r="A7768" s="385"/>
      <c r="D7768" s="700"/>
      <c r="E7768" s="397"/>
      <c r="H7768" s="401">
        <v>3</v>
      </c>
      <c r="I7768" s="401"/>
      <c r="J7768" s="401"/>
      <c r="K7768" s="401"/>
      <c r="L7768" s="675"/>
      <c r="M7768" s="672">
        <v>28676</v>
      </c>
      <c r="N7768" s="623">
        <v>0.13233210541229809</v>
      </c>
      <c r="O7768" s="624">
        <v>7.9050000000000006E-3</v>
      </c>
      <c r="P7768" s="397"/>
      <c r="Q7768" s="397"/>
      <c r="R7768" s="397"/>
      <c r="S7768" s="397"/>
      <c r="T7768" s="397"/>
      <c r="U7768" s="397"/>
      <c r="V7768" s="397"/>
      <c r="W7768" s="397"/>
      <c r="X7768" s="397"/>
      <c r="Y7768" s="397"/>
      <c r="Z7768" s="397"/>
      <c r="AD7768" s="388">
        <v>3.8862000000000001</v>
      </c>
      <c r="AE7768" s="388">
        <v>0.14630399999999999</v>
      </c>
      <c r="AF7768" s="388">
        <v>0.56856660479999999</v>
      </c>
      <c r="AG7768" s="388">
        <v>0.21945600000000001</v>
      </c>
      <c r="AH7768" s="391"/>
      <c r="AI7768" s="397"/>
      <c r="AJ7768" s="397"/>
      <c r="AU7768" s="397"/>
      <c r="AV7768" s="397"/>
      <c r="AW7768" s="397"/>
      <c r="AX7768" s="397"/>
      <c r="BI7768" s="397"/>
      <c r="BJ7768" s="397"/>
      <c r="BK7768" s="397"/>
      <c r="BL7768" s="397"/>
      <c r="BM7768" s="397"/>
      <c r="BN7768" s="397"/>
      <c r="BO7768" s="397"/>
      <c r="BP7768" s="397"/>
      <c r="BQ7768" s="397"/>
      <c r="BR7768" s="397"/>
      <c r="BS7768" s="397"/>
      <c r="BT7768" s="397"/>
      <c r="BU7768" s="397"/>
      <c r="BV7768" s="397"/>
      <c r="BW7768" s="397"/>
      <c r="BX7768" s="397"/>
      <c r="BY7768" s="397"/>
      <c r="BZ7768" s="397"/>
      <c r="CA7768" s="392" t="s">
        <v>413</v>
      </c>
    </row>
    <row r="7769" spans="1:80" s="392" customFormat="1" ht="15" x14ac:dyDescent="0.25">
      <c r="A7769" s="385"/>
      <c r="D7769" s="700"/>
      <c r="E7769" s="397"/>
      <c r="H7769" s="401">
        <v>3</v>
      </c>
      <c r="I7769" s="401"/>
      <c r="J7769" s="401"/>
      <c r="K7769" s="401"/>
      <c r="L7769" s="675"/>
      <c r="M7769" s="672">
        <v>28683</v>
      </c>
      <c r="N7769" s="623">
        <v>8.4443185038254459E-2</v>
      </c>
      <c r="O7769" s="624">
        <v>5.136666666666667E-3</v>
      </c>
      <c r="P7769" s="397"/>
      <c r="Q7769" s="397"/>
      <c r="R7769" s="397"/>
      <c r="S7769" s="397"/>
      <c r="T7769" s="397"/>
      <c r="U7769" s="397"/>
      <c r="V7769" s="397"/>
      <c r="W7769" s="397"/>
      <c r="X7769" s="397"/>
      <c r="Y7769" s="397"/>
      <c r="Z7769" s="397"/>
      <c r="AD7769" s="388">
        <v>3.5052000000000003</v>
      </c>
      <c r="AE7769" s="388">
        <v>0.10972800000000001</v>
      </c>
      <c r="AF7769" s="388">
        <v>0.38461858560000006</v>
      </c>
      <c r="AG7769" s="388">
        <v>0.225552</v>
      </c>
      <c r="AH7769" s="391"/>
      <c r="AI7769" s="397"/>
      <c r="AJ7769" s="397"/>
      <c r="AU7769" s="397"/>
      <c r="AV7769" s="397"/>
      <c r="AW7769" s="397"/>
      <c r="AX7769" s="397"/>
      <c r="BI7769" s="397"/>
      <c r="BJ7769" s="397"/>
      <c r="BK7769" s="397"/>
      <c r="BL7769" s="397"/>
      <c r="BM7769" s="397"/>
      <c r="BN7769" s="397"/>
      <c r="BO7769" s="397"/>
      <c r="BP7769" s="397"/>
      <c r="BQ7769" s="397"/>
      <c r="BR7769" s="397"/>
      <c r="BS7769" s="397"/>
      <c r="BT7769" s="397"/>
      <c r="BU7769" s="397"/>
      <c r="BV7769" s="397"/>
      <c r="BW7769" s="397"/>
      <c r="BX7769" s="397"/>
      <c r="BY7769" s="397"/>
      <c r="BZ7769" s="397"/>
      <c r="CA7769" s="392" t="s">
        <v>413</v>
      </c>
    </row>
    <row r="7770" spans="1:80" s="392" customFormat="1" ht="15" x14ac:dyDescent="0.25">
      <c r="A7770" s="385"/>
      <c r="D7770" s="700"/>
      <c r="E7770" s="397"/>
      <c r="H7770" s="401">
        <v>3</v>
      </c>
      <c r="I7770" s="401"/>
      <c r="J7770" s="401"/>
      <c r="K7770" s="401"/>
      <c r="L7770" s="675"/>
      <c r="M7770" s="672">
        <v>28689</v>
      </c>
      <c r="N7770" s="623">
        <v>4.6472088410314534E-2</v>
      </c>
      <c r="O7770" s="624">
        <v>1.0580000000000001E-3</v>
      </c>
      <c r="P7770" s="397"/>
      <c r="Q7770" s="397"/>
      <c r="R7770" s="397"/>
      <c r="S7770" s="397"/>
      <c r="T7770" s="397"/>
      <c r="U7770" s="397"/>
      <c r="V7770" s="397"/>
      <c r="W7770" s="397"/>
      <c r="X7770" s="397"/>
      <c r="Y7770" s="397"/>
      <c r="Z7770" s="397"/>
      <c r="AD7770" s="388">
        <v>3.2247840000000001</v>
      </c>
      <c r="AE7770" s="388">
        <v>0.10668</v>
      </c>
      <c r="AF7770" s="388">
        <v>0.34401995712</v>
      </c>
      <c r="AG7770" s="388">
        <v>0.13716</v>
      </c>
      <c r="AH7770" s="391"/>
      <c r="AI7770" s="397"/>
      <c r="AJ7770" s="397"/>
      <c r="AU7770" s="397"/>
      <c r="AV7770" s="397"/>
      <c r="AW7770" s="397"/>
      <c r="AX7770" s="397"/>
      <c r="BI7770" s="397"/>
      <c r="BJ7770" s="397"/>
      <c r="BK7770" s="397"/>
      <c r="BL7770" s="397"/>
      <c r="BM7770" s="397"/>
      <c r="BN7770" s="397"/>
      <c r="BO7770" s="397"/>
      <c r="BP7770" s="397"/>
      <c r="BQ7770" s="397"/>
      <c r="BR7770" s="397"/>
      <c r="BS7770" s="397"/>
      <c r="BT7770" s="397"/>
      <c r="BU7770" s="397"/>
      <c r="BV7770" s="397"/>
      <c r="BW7770" s="397"/>
      <c r="BX7770" s="397"/>
      <c r="BY7770" s="397"/>
      <c r="BZ7770" s="397"/>
      <c r="CA7770" s="392" t="s">
        <v>413</v>
      </c>
    </row>
    <row r="7771" spans="1:80" s="392" customFormat="1" ht="15" x14ac:dyDescent="0.25">
      <c r="A7771" s="385"/>
      <c r="D7771" s="700"/>
      <c r="E7771" s="397"/>
      <c r="H7771" s="401">
        <v>3</v>
      </c>
      <c r="I7771" s="401"/>
      <c r="J7771" s="401"/>
      <c r="K7771" s="401"/>
      <c r="L7771" s="675"/>
      <c r="M7771" s="672">
        <v>28704</v>
      </c>
      <c r="N7771" s="623">
        <v>4.137149334088977E-2</v>
      </c>
      <c r="O7771" s="624">
        <v>7.3919999999999997E-4</v>
      </c>
      <c r="P7771" s="397"/>
      <c r="Q7771" s="397"/>
      <c r="R7771" s="397"/>
      <c r="S7771" s="397"/>
      <c r="T7771" s="397"/>
      <c r="U7771" s="397"/>
      <c r="V7771" s="397"/>
      <c r="W7771" s="397"/>
      <c r="X7771" s="397"/>
      <c r="Y7771" s="397"/>
      <c r="Z7771" s="397"/>
      <c r="AD7771" s="388">
        <v>3.072384</v>
      </c>
      <c r="AE7771" s="388">
        <v>0.10972800000000001</v>
      </c>
      <c r="AF7771" s="388">
        <v>0.337126551552</v>
      </c>
      <c r="AG7771" s="388">
        <v>0.14325599999999999</v>
      </c>
      <c r="AH7771" s="391"/>
      <c r="AI7771" s="397"/>
      <c r="AJ7771" s="397"/>
      <c r="AU7771" s="397"/>
      <c r="AV7771" s="397"/>
      <c r="AW7771" s="397"/>
      <c r="AX7771" s="397"/>
      <c r="BI7771" s="397"/>
      <c r="BJ7771" s="397"/>
      <c r="BK7771" s="397"/>
      <c r="BL7771" s="397"/>
      <c r="BM7771" s="397"/>
      <c r="BN7771" s="397"/>
      <c r="BO7771" s="397"/>
      <c r="BP7771" s="397"/>
      <c r="BQ7771" s="397"/>
      <c r="BR7771" s="397"/>
      <c r="BS7771" s="397"/>
      <c r="BT7771" s="397"/>
      <c r="BU7771" s="397"/>
      <c r="BV7771" s="397"/>
      <c r="BW7771" s="397"/>
      <c r="BX7771" s="397"/>
      <c r="BY7771" s="397"/>
      <c r="BZ7771" s="397"/>
      <c r="CA7771" s="392" t="s">
        <v>413</v>
      </c>
    </row>
    <row r="7772" spans="1:80" s="392" customFormat="1" ht="15" x14ac:dyDescent="0.25">
      <c r="A7772" s="385"/>
      <c r="D7772" s="700"/>
      <c r="E7772" s="397"/>
      <c r="H7772" s="401">
        <v>3</v>
      </c>
      <c r="I7772" s="401"/>
      <c r="J7772" s="401"/>
      <c r="K7772" s="401"/>
      <c r="L7772" s="675"/>
      <c r="M7772" s="672">
        <v>28716</v>
      </c>
      <c r="N7772" s="623">
        <v>1.8418815528478325E-2</v>
      </c>
      <c r="O7772" s="624">
        <v>6.7833333333333331E-4</v>
      </c>
      <c r="P7772" s="397"/>
      <c r="Q7772" s="397"/>
      <c r="R7772" s="397"/>
      <c r="S7772" s="397"/>
      <c r="T7772" s="397"/>
      <c r="U7772" s="397"/>
      <c r="V7772" s="397"/>
      <c r="W7772" s="397"/>
      <c r="X7772" s="397"/>
      <c r="Y7772" s="397"/>
      <c r="Z7772" s="397"/>
      <c r="AD7772" s="388">
        <v>2.8194000000000004</v>
      </c>
      <c r="AE7772" s="388">
        <v>4.8768000000000006E-2</v>
      </c>
      <c r="AF7772" s="388">
        <v>0.13749649920000004</v>
      </c>
      <c r="AG7772" s="388">
        <v>0.12801599999999999</v>
      </c>
      <c r="AH7772" s="391"/>
      <c r="AI7772" s="397"/>
      <c r="AJ7772" s="397"/>
      <c r="AU7772" s="397"/>
      <c r="AV7772" s="397"/>
      <c r="AW7772" s="397"/>
      <c r="AX7772" s="397"/>
      <c r="BI7772" s="397"/>
      <c r="BJ7772" s="397"/>
      <c r="BK7772" s="397"/>
      <c r="BL7772" s="397"/>
      <c r="BM7772" s="397"/>
      <c r="BN7772" s="397"/>
      <c r="BO7772" s="397"/>
      <c r="BP7772" s="397"/>
      <c r="BQ7772" s="397"/>
      <c r="BR7772" s="397"/>
      <c r="BS7772" s="397"/>
      <c r="BT7772" s="397"/>
      <c r="BU7772" s="397"/>
      <c r="BV7772" s="397"/>
      <c r="BW7772" s="397"/>
      <c r="BX7772" s="397"/>
      <c r="BY7772" s="397"/>
      <c r="BZ7772" s="397"/>
      <c r="CA7772" s="392" t="s">
        <v>413</v>
      </c>
    </row>
    <row r="7773" spans="1:80" s="189" customFormat="1" ht="15" x14ac:dyDescent="0.25">
      <c r="A7773" s="381" t="s">
        <v>496</v>
      </c>
      <c r="B7773" s="641"/>
      <c r="C7773" s="639"/>
      <c r="D7773" s="4">
        <f>VLOOKUP(E7773,'Quality Code'!$D$4:$E$24,2,TRUE)*VLOOKUP(MROUND(F7773,10),'Quality Code'!$D$28:$E$69,2,TRUE)*VLOOKUP(COUNTA(CB7773:CB7783),'Quality Code'!$D$73:$E$93,2,TRUE)</f>
        <v>8.7499999999999994E-2</v>
      </c>
      <c r="E7773" s="14">
        <v>0.35</v>
      </c>
      <c r="F7773" s="2">
        <v>8</v>
      </c>
      <c r="G7773" s="12"/>
      <c r="H7773" s="2" t="s">
        <v>105</v>
      </c>
      <c r="I7773" s="2"/>
      <c r="J7773" s="2"/>
      <c r="K7773" s="2"/>
      <c r="L7773" s="639"/>
      <c r="M7773" s="640">
        <v>1978</v>
      </c>
      <c r="N7773" s="578" t="s">
        <v>110</v>
      </c>
      <c r="O7773" s="578"/>
      <c r="P7773" s="26"/>
      <c r="Q7773" s="26"/>
      <c r="R7773" s="26"/>
      <c r="S7773" s="26"/>
      <c r="T7773" s="26"/>
      <c r="U7773" s="26"/>
      <c r="V7773" s="10"/>
      <c r="W7773" s="10"/>
      <c r="X7773" s="10"/>
      <c r="Y7773" s="10"/>
      <c r="Z7773" s="26"/>
      <c r="AA7773" s="26"/>
      <c r="AB7773" s="26"/>
      <c r="AC7773" s="3">
        <v>2.3E-2</v>
      </c>
      <c r="AD7773" s="406"/>
      <c r="AE7773" s="26"/>
      <c r="AF7773" s="26"/>
      <c r="AG7773" s="26"/>
      <c r="AH7773" s="26"/>
      <c r="AI7773" s="4"/>
      <c r="AJ7773" s="4"/>
      <c r="AK7773" s="26"/>
      <c r="AL7773" s="26"/>
      <c r="AM7773" s="26"/>
      <c r="AN7773" s="26"/>
      <c r="AO7773" s="26"/>
      <c r="AP7773" s="26"/>
      <c r="AQ7773" s="26"/>
      <c r="AR7773" s="26"/>
      <c r="AS7773" s="26"/>
      <c r="AT7773" s="26"/>
      <c r="AU7773" s="4"/>
      <c r="AV7773" s="4"/>
      <c r="AW7773" s="4"/>
      <c r="AX7773" s="4"/>
      <c r="AY7773" s="2"/>
      <c r="AZ7773" s="2"/>
      <c r="BA7773" s="12"/>
      <c r="BB7773" s="12"/>
      <c r="BC7773" s="12"/>
      <c r="BD7773" s="12"/>
      <c r="BE7773" s="12"/>
      <c r="BF7773" s="12"/>
      <c r="BG7773" s="12"/>
      <c r="BH7773" s="12"/>
      <c r="BI7773" s="4"/>
      <c r="BJ7773" s="12"/>
      <c r="BK7773" s="2"/>
      <c r="BL7773" s="2"/>
      <c r="BM7773" s="4"/>
      <c r="BN7773" s="12"/>
      <c r="BO7773" s="12"/>
      <c r="BP7773" s="12"/>
      <c r="BQ7773" s="4"/>
      <c r="BR7773" s="4"/>
      <c r="BS7773" s="4"/>
      <c r="BT7773" s="2"/>
      <c r="BU7773" s="9"/>
      <c r="BV7773" s="381"/>
      <c r="BW7773" s="382"/>
      <c r="BX7773" s="383"/>
      <c r="BY7773" s="383"/>
      <c r="BZ7773" s="383"/>
      <c r="CA7773" s="384" t="s">
        <v>413</v>
      </c>
      <c r="CB7773" s="411"/>
    </row>
    <row r="7774" spans="1:80" s="392" customFormat="1" ht="15" x14ac:dyDescent="0.25">
      <c r="A7774" s="385"/>
      <c r="D7774" s="700"/>
      <c r="E7774" s="397"/>
      <c r="H7774" s="401">
        <v>3</v>
      </c>
      <c r="I7774" s="401"/>
      <c r="J7774" s="401"/>
      <c r="K7774" s="401"/>
      <c r="L7774" s="675"/>
      <c r="M7774" s="672">
        <v>28635</v>
      </c>
      <c r="N7774" s="623">
        <v>0.43950127514876736</v>
      </c>
      <c r="O7774" s="624">
        <v>0.2251956</v>
      </c>
      <c r="P7774" s="397"/>
      <c r="Q7774" s="397"/>
      <c r="R7774" s="397"/>
      <c r="S7774" s="397"/>
      <c r="T7774" s="397"/>
      <c r="U7774" s="397"/>
      <c r="V7774" s="397"/>
      <c r="W7774" s="397"/>
      <c r="X7774" s="397"/>
      <c r="Y7774" s="397"/>
      <c r="Z7774" s="397"/>
      <c r="AD7774" s="388">
        <v>3.2644080000000004</v>
      </c>
      <c r="AE7774" s="388">
        <v>0.277368</v>
      </c>
      <c r="AF7774" s="388">
        <v>0.90544231814400011</v>
      </c>
      <c r="AG7774" s="388">
        <v>0.27432000000000001</v>
      </c>
      <c r="AH7774" s="391"/>
      <c r="AI7774" s="397"/>
      <c r="AJ7774" s="397"/>
      <c r="AU7774" s="397"/>
      <c r="AV7774" s="397"/>
      <c r="AW7774" s="397"/>
      <c r="AX7774" s="397"/>
      <c r="BI7774" s="397"/>
      <c r="BJ7774" s="397"/>
      <c r="BK7774" s="397"/>
      <c r="BL7774" s="397"/>
      <c r="BM7774" s="397"/>
      <c r="BN7774" s="397"/>
      <c r="BO7774" s="397"/>
      <c r="BP7774" s="397"/>
      <c r="BQ7774" s="397"/>
      <c r="BR7774" s="397"/>
      <c r="BS7774" s="397"/>
      <c r="BT7774" s="397"/>
      <c r="BU7774" s="397"/>
      <c r="BV7774" s="397"/>
      <c r="BW7774" s="397"/>
      <c r="BX7774" s="397"/>
      <c r="BY7774" s="397"/>
      <c r="BZ7774" s="397"/>
      <c r="CA7774" s="392" t="s">
        <v>413</v>
      </c>
    </row>
    <row r="7775" spans="1:80" s="392" customFormat="1" ht="15" x14ac:dyDescent="0.25">
      <c r="A7775" s="385"/>
      <c r="D7775" s="700"/>
      <c r="E7775" s="397"/>
      <c r="H7775" s="401">
        <v>3</v>
      </c>
      <c r="I7775" s="401"/>
      <c r="J7775" s="401"/>
      <c r="K7775" s="401"/>
      <c r="L7775" s="675"/>
      <c r="M7775" s="672">
        <v>28649</v>
      </c>
      <c r="N7775" s="623">
        <v>0.37999433267214511</v>
      </c>
      <c r="O7775" s="624">
        <v>4.9032666666666662E-2</v>
      </c>
      <c r="P7775" s="397"/>
      <c r="Q7775" s="397"/>
      <c r="R7775" s="397"/>
      <c r="S7775" s="397"/>
      <c r="T7775" s="397"/>
      <c r="U7775" s="397"/>
      <c r="V7775" s="397"/>
      <c r="W7775" s="397"/>
      <c r="X7775" s="397"/>
      <c r="Y7775" s="397"/>
      <c r="Z7775" s="397"/>
      <c r="AD7775" s="388">
        <v>2.4079200000000003</v>
      </c>
      <c r="AE7775" s="388">
        <v>0.25603199999999998</v>
      </c>
      <c r="AF7775" s="388">
        <v>0.61650457343999998</v>
      </c>
      <c r="AG7775" s="388">
        <v>0.67056000000000004</v>
      </c>
      <c r="AH7775" s="391"/>
      <c r="AI7775" s="397"/>
      <c r="AJ7775" s="397"/>
      <c r="AU7775" s="397"/>
      <c r="AV7775" s="397"/>
      <c r="AW7775" s="397"/>
      <c r="AX7775" s="397"/>
      <c r="BI7775" s="397"/>
      <c r="BJ7775" s="397"/>
      <c r="BK7775" s="397"/>
      <c r="BL7775" s="397"/>
      <c r="BM7775" s="397"/>
      <c r="BN7775" s="397"/>
      <c r="BO7775" s="397"/>
      <c r="BP7775" s="397"/>
      <c r="BQ7775" s="397"/>
      <c r="BR7775" s="397"/>
      <c r="BS7775" s="397"/>
      <c r="BT7775" s="397"/>
      <c r="BU7775" s="397"/>
      <c r="BV7775" s="397"/>
      <c r="BW7775" s="397"/>
      <c r="BX7775" s="397"/>
      <c r="BY7775" s="397"/>
      <c r="BZ7775" s="397"/>
      <c r="CA7775" s="392" t="s">
        <v>413</v>
      </c>
    </row>
    <row r="7776" spans="1:80" s="392" customFormat="1" ht="15" x14ac:dyDescent="0.25">
      <c r="A7776" s="385"/>
      <c r="D7776" s="700"/>
      <c r="E7776" s="397"/>
      <c r="H7776" s="401">
        <v>3</v>
      </c>
      <c r="I7776" s="401"/>
      <c r="J7776" s="401"/>
      <c r="K7776" s="401"/>
      <c r="L7776" s="675"/>
      <c r="M7776" s="672">
        <v>28656</v>
      </c>
      <c r="N7776" s="623">
        <v>0.39529611788041935</v>
      </c>
      <c r="O7776" s="624">
        <v>7.6734000000000004E-3</v>
      </c>
      <c r="P7776" s="397"/>
      <c r="Q7776" s="397"/>
      <c r="R7776" s="397"/>
      <c r="S7776" s="397"/>
      <c r="T7776" s="397"/>
      <c r="U7776" s="397"/>
      <c r="V7776" s="397"/>
      <c r="W7776" s="397"/>
      <c r="X7776" s="397"/>
      <c r="Y7776" s="397"/>
      <c r="Z7776" s="397"/>
      <c r="AD7776" s="388">
        <v>2.386584</v>
      </c>
      <c r="AE7776" s="388">
        <v>0.33528000000000002</v>
      </c>
      <c r="AF7776" s="388">
        <v>0.80017388352000007</v>
      </c>
      <c r="AG7776" s="388">
        <v>0.54559200000000008</v>
      </c>
      <c r="AH7776" s="391"/>
      <c r="AI7776" s="397"/>
      <c r="AJ7776" s="397"/>
      <c r="AU7776" s="397"/>
      <c r="AV7776" s="397"/>
      <c r="AW7776" s="397"/>
      <c r="AX7776" s="397"/>
      <c r="BI7776" s="397"/>
      <c r="BJ7776" s="397"/>
      <c r="BK7776" s="397"/>
      <c r="BL7776" s="397"/>
      <c r="BM7776" s="397"/>
      <c r="BN7776" s="397"/>
      <c r="BO7776" s="397"/>
      <c r="BP7776" s="397"/>
      <c r="BQ7776" s="397"/>
      <c r="BR7776" s="397"/>
      <c r="BS7776" s="397"/>
      <c r="BT7776" s="397"/>
      <c r="BU7776" s="397"/>
      <c r="BV7776" s="397"/>
      <c r="BW7776" s="397"/>
      <c r="BX7776" s="397"/>
      <c r="BY7776" s="397"/>
      <c r="BZ7776" s="397"/>
      <c r="CA7776" s="392" t="s">
        <v>413</v>
      </c>
    </row>
    <row r="7777" spans="1:80" s="392" customFormat="1" ht="15" x14ac:dyDescent="0.25">
      <c r="A7777" s="385"/>
      <c r="D7777" s="700"/>
      <c r="E7777" s="397"/>
      <c r="H7777" s="401">
        <v>3</v>
      </c>
      <c r="I7777" s="401"/>
      <c r="J7777" s="401"/>
      <c r="K7777" s="401"/>
      <c r="L7777" s="675"/>
      <c r="M7777" s="672">
        <v>28670</v>
      </c>
      <c r="N7777" s="623">
        <v>6.6591102295267782E-2</v>
      </c>
      <c r="O7777" s="624">
        <v>1.4570666666666667E-3</v>
      </c>
      <c r="P7777" s="397"/>
      <c r="Q7777" s="397"/>
      <c r="R7777" s="397"/>
      <c r="S7777" s="397"/>
      <c r="T7777" s="397"/>
      <c r="U7777" s="397"/>
      <c r="V7777" s="397"/>
      <c r="W7777" s="397"/>
      <c r="X7777" s="397"/>
      <c r="Y7777" s="397"/>
      <c r="Z7777" s="397"/>
      <c r="AD7777" s="388">
        <v>2.0817840000000003</v>
      </c>
      <c r="AE7777" s="388">
        <v>0.10972800000000001</v>
      </c>
      <c r="AF7777" s="388">
        <v>0.22842999475200004</v>
      </c>
      <c r="AG7777" s="388">
        <v>0.33528000000000002</v>
      </c>
      <c r="AH7777" s="391"/>
      <c r="AI7777" s="397"/>
      <c r="AJ7777" s="397"/>
      <c r="AU7777" s="397"/>
      <c r="AV7777" s="397"/>
      <c r="AW7777" s="397"/>
      <c r="AX7777" s="397"/>
      <c r="BI7777" s="397"/>
      <c r="BJ7777" s="397"/>
      <c r="BK7777" s="397"/>
      <c r="BL7777" s="397"/>
      <c r="BM7777" s="397"/>
      <c r="BN7777" s="397"/>
      <c r="BO7777" s="397"/>
      <c r="BP7777" s="397"/>
      <c r="BQ7777" s="397"/>
      <c r="BR7777" s="397"/>
      <c r="BS7777" s="397"/>
      <c r="BT7777" s="397"/>
      <c r="BU7777" s="397"/>
      <c r="BV7777" s="397"/>
      <c r="BW7777" s="397"/>
      <c r="BX7777" s="397"/>
      <c r="BY7777" s="397"/>
      <c r="BZ7777" s="397"/>
      <c r="CA7777" s="392" t="s">
        <v>413</v>
      </c>
    </row>
    <row r="7778" spans="1:80" s="392" customFormat="1" ht="15" x14ac:dyDescent="0.25">
      <c r="A7778" s="385"/>
      <c r="D7778" s="700"/>
      <c r="E7778" s="397"/>
      <c r="H7778" s="401">
        <v>3</v>
      </c>
      <c r="I7778" s="401"/>
      <c r="J7778" s="401"/>
      <c r="K7778" s="401"/>
      <c r="L7778" s="675"/>
      <c r="M7778" s="672">
        <v>28676</v>
      </c>
      <c r="N7778" s="623">
        <v>3.4854066307735902E-2</v>
      </c>
      <c r="O7778" s="624">
        <v>8.2266666666666664E-4</v>
      </c>
      <c r="P7778" s="397"/>
      <c r="Q7778" s="397"/>
      <c r="R7778" s="397"/>
      <c r="S7778" s="397"/>
      <c r="T7778" s="397"/>
      <c r="U7778" s="397"/>
      <c r="V7778" s="397"/>
      <c r="W7778" s="397"/>
      <c r="X7778" s="397"/>
      <c r="Y7778" s="397"/>
      <c r="Z7778" s="397"/>
      <c r="AD7778" s="388">
        <v>1.8806160000000001</v>
      </c>
      <c r="AE7778" s="388">
        <v>0.11887200000000001</v>
      </c>
      <c r="AF7778" s="388">
        <v>0.22355258515200002</v>
      </c>
      <c r="AG7778" s="388">
        <v>0.24688800000000002</v>
      </c>
      <c r="AH7778" s="391"/>
      <c r="AI7778" s="397"/>
      <c r="AJ7778" s="397"/>
      <c r="AU7778" s="397"/>
      <c r="AV7778" s="397"/>
      <c r="AW7778" s="397"/>
      <c r="AX7778" s="397"/>
      <c r="BI7778" s="397"/>
      <c r="BJ7778" s="397"/>
      <c r="BK7778" s="397"/>
      <c r="BL7778" s="397"/>
      <c r="BM7778" s="397"/>
      <c r="BN7778" s="397"/>
      <c r="BO7778" s="397"/>
      <c r="BP7778" s="397"/>
      <c r="BQ7778" s="397"/>
      <c r="BR7778" s="397"/>
      <c r="BS7778" s="397"/>
      <c r="BT7778" s="397"/>
      <c r="BU7778" s="397"/>
      <c r="BV7778" s="397"/>
      <c r="BW7778" s="397"/>
      <c r="BX7778" s="397"/>
      <c r="BY7778" s="397"/>
      <c r="BZ7778" s="397"/>
      <c r="CA7778" s="392" t="s">
        <v>413</v>
      </c>
    </row>
    <row r="7779" spans="1:80" s="392" customFormat="1" ht="15" x14ac:dyDescent="0.25">
      <c r="A7779" s="385"/>
      <c r="D7779" s="700"/>
      <c r="E7779" s="397"/>
      <c r="H7779" s="401">
        <v>3</v>
      </c>
      <c r="I7779" s="401"/>
      <c r="J7779" s="401"/>
      <c r="K7779" s="401"/>
      <c r="L7779" s="675"/>
      <c r="M7779" s="672">
        <v>28684</v>
      </c>
      <c r="N7779" s="623">
        <v>4.8455653159535282E-2</v>
      </c>
      <c r="O7779" s="624">
        <v>2.652E-4</v>
      </c>
      <c r="P7779" s="397"/>
      <c r="Q7779" s="397"/>
      <c r="R7779" s="397"/>
      <c r="S7779" s="397"/>
      <c r="T7779" s="397"/>
      <c r="U7779" s="397"/>
      <c r="V7779" s="397"/>
      <c r="W7779" s="397"/>
      <c r="X7779" s="397"/>
      <c r="Y7779" s="397"/>
      <c r="Z7779" s="397"/>
      <c r="AD7779" s="388">
        <v>1.347216</v>
      </c>
      <c r="AE7779" s="388">
        <v>0.12801599999999999</v>
      </c>
      <c r="AF7779" s="388">
        <v>0.17246520345599997</v>
      </c>
      <c r="AG7779" s="388">
        <v>0.27432000000000001</v>
      </c>
      <c r="AH7779" s="391"/>
      <c r="AI7779" s="397"/>
      <c r="AJ7779" s="397"/>
      <c r="AU7779" s="397"/>
      <c r="AV7779" s="397"/>
      <c r="AW7779" s="397"/>
      <c r="AX7779" s="397"/>
      <c r="BI7779" s="397"/>
      <c r="BJ7779" s="397"/>
      <c r="BK7779" s="397"/>
      <c r="BL7779" s="397"/>
      <c r="BM7779" s="397"/>
      <c r="BN7779" s="397"/>
      <c r="BO7779" s="397"/>
      <c r="BP7779" s="397"/>
      <c r="BQ7779" s="397"/>
      <c r="BR7779" s="397"/>
      <c r="BS7779" s="397"/>
      <c r="BT7779" s="397"/>
      <c r="BU7779" s="397"/>
      <c r="BV7779" s="397"/>
      <c r="BW7779" s="397"/>
      <c r="BX7779" s="397"/>
      <c r="BY7779" s="397"/>
      <c r="BZ7779" s="397"/>
      <c r="CA7779" s="392" t="s">
        <v>413</v>
      </c>
    </row>
    <row r="7780" spans="1:80" s="392" customFormat="1" ht="15" x14ac:dyDescent="0.25">
      <c r="A7780" s="385"/>
      <c r="D7780" s="700"/>
      <c r="E7780" s="397"/>
      <c r="H7780" s="401">
        <v>3</v>
      </c>
      <c r="I7780" s="401"/>
      <c r="J7780" s="401"/>
      <c r="K7780" s="401"/>
      <c r="L7780" s="675"/>
      <c r="M7780" s="672">
        <v>28689</v>
      </c>
      <c r="N7780" s="623">
        <v>3.9954661377160666E-2</v>
      </c>
      <c r="O7780" s="624">
        <v>1.2394666666666666E-3</v>
      </c>
      <c r="P7780" s="397"/>
      <c r="Q7780" s="397"/>
      <c r="R7780" s="397"/>
      <c r="S7780" s="397"/>
      <c r="T7780" s="397"/>
      <c r="U7780" s="397"/>
      <c r="V7780" s="397"/>
      <c r="W7780" s="397"/>
      <c r="X7780" s="397"/>
      <c r="Y7780" s="397"/>
      <c r="Z7780" s="397"/>
      <c r="AD7780" s="388">
        <v>1.0119359999999999</v>
      </c>
      <c r="AE7780" s="388">
        <v>0.10363200000000002</v>
      </c>
      <c r="AF7780" s="388">
        <v>0.10486895155200002</v>
      </c>
      <c r="AG7780" s="388">
        <v>0.36880800000000002</v>
      </c>
      <c r="AH7780" s="391"/>
      <c r="AI7780" s="397"/>
      <c r="AJ7780" s="397"/>
      <c r="AU7780" s="397"/>
      <c r="AV7780" s="397"/>
      <c r="AW7780" s="397"/>
      <c r="AX7780" s="397"/>
      <c r="BI7780" s="397"/>
      <c r="BJ7780" s="397"/>
      <c r="BK7780" s="397"/>
      <c r="BL7780" s="397"/>
      <c r="BM7780" s="397"/>
      <c r="BN7780" s="397"/>
      <c r="BO7780" s="397"/>
      <c r="BP7780" s="397"/>
      <c r="BQ7780" s="397"/>
      <c r="BR7780" s="397"/>
      <c r="BS7780" s="397"/>
      <c r="BT7780" s="397"/>
      <c r="BU7780" s="397"/>
      <c r="BV7780" s="397"/>
      <c r="BW7780" s="397"/>
      <c r="BX7780" s="397"/>
      <c r="BY7780" s="397"/>
      <c r="BZ7780" s="397"/>
      <c r="CA7780" s="392" t="s">
        <v>413</v>
      </c>
    </row>
    <row r="7781" spans="1:80" s="392" customFormat="1" ht="15" x14ac:dyDescent="0.25">
      <c r="A7781" s="385"/>
      <c r="D7781" s="700"/>
      <c r="E7781" s="397"/>
      <c r="H7781" s="401">
        <v>3</v>
      </c>
      <c r="I7781" s="401"/>
      <c r="J7781" s="401"/>
      <c r="K7781" s="401"/>
      <c r="L7781" s="675"/>
      <c r="M7781" s="672">
        <v>28705</v>
      </c>
      <c r="N7781" s="623">
        <v>1.586851799376594E-2</v>
      </c>
      <c r="O7781" s="624">
        <v>2.1133333333333331E-4</v>
      </c>
      <c r="P7781" s="397"/>
      <c r="Q7781" s="397"/>
      <c r="R7781" s="397"/>
      <c r="S7781" s="397"/>
      <c r="T7781" s="397"/>
      <c r="U7781" s="397"/>
      <c r="V7781" s="397"/>
      <c r="W7781" s="397"/>
      <c r="X7781" s="397"/>
      <c r="Y7781" s="397"/>
      <c r="Z7781" s="397"/>
      <c r="AD7781" s="388">
        <v>0.96621600000000007</v>
      </c>
      <c r="AE7781" s="388">
        <v>5.1816000000000008E-2</v>
      </c>
      <c r="AF7781" s="388">
        <v>5.0065448256000011E-2</v>
      </c>
      <c r="AG7781" s="388">
        <v>0.29870400000000003</v>
      </c>
      <c r="AH7781" s="391"/>
      <c r="AI7781" s="397"/>
      <c r="AJ7781" s="397"/>
      <c r="AU7781" s="397"/>
      <c r="AV7781" s="397"/>
      <c r="AW7781" s="397"/>
      <c r="AX7781" s="397"/>
      <c r="BI7781" s="397"/>
      <c r="BJ7781" s="397"/>
      <c r="BK7781" s="397"/>
      <c r="BL7781" s="397"/>
      <c r="BM7781" s="397"/>
      <c r="BN7781" s="397"/>
      <c r="BO7781" s="397"/>
      <c r="BP7781" s="397"/>
      <c r="BQ7781" s="397"/>
      <c r="BR7781" s="397"/>
      <c r="BS7781" s="397"/>
      <c r="BT7781" s="397"/>
      <c r="BU7781" s="397"/>
      <c r="BV7781" s="397"/>
      <c r="BW7781" s="397"/>
      <c r="BX7781" s="397"/>
      <c r="BY7781" s="397"/>
      <c r="BZ7781" s="397"/>
      <c r="CA7781" s="392" t="s">
        <v>413</v>
      </c>
    </row>
    <row r="7782" spans="1:80" s="392" customFormat="1" ht="15" x14ac:dyDescent="0.25">
      <c r="A7782" s="385"/>
      <c r="D7782" s="700"/>
      <c r="E7782" s="397"/>
      <c r="H7782" s="401">
        <v>3</v>
      </c>
      <c r="I7782" s="401"/>
      <c r="J7782" s="401"/>
      <c r="K7782" s="401"/>
      <c r="L7782" s="675"/>
      <c r="M7782" s="672">
        <v>28717</v>
      </c>
      <c r="N7782" s="623">
        <v>2.5502975347123833E-3</v>
      </c>
      <c r="O7782" s="624" t="s">
        <v>71</v>
      </c>
      <c r="P7782" s="397"/>
      <c r="Q7782" s="397"/>
      <c r="R7782" s="397"/>
      <c r="S7782" s="397"/>
      <c r="T7782" s="397"/>
      <c r="U7782" s="397"/>
      <c r="V7782" s="397"/>
      <c r="W7782" s="397"/>
      <c r="X7782" s="397"/>
      <c r="Y7782" s="397"/>
      <c r="Z7782" s="397"/>
      <c r="AD7782" s="388">
        <v>0.58521599999999996</v>
      </c>
      <c r="AE7782" s="388">
        <v>3.0480000000000004E-2</v>
      </c>
      <c r="AF7782" s="388">
        <v>1.7837383680000003E-2</v>
      </c>
      <c r="AG7782" s="388">
        <v>0.112776</v>
      </c>
      <c r="AH7782" s="391"/>
      <c r="AI7782" s="397"/>
      <c r="AJ7782" s="397"/>
      <c r="AU7782" s="397"/>
      <c r="AV7782" s="397"/>
      <c r="AW7782" s="397"/>
      <c r="AX7782" s="397"/>
      <c r="BI7782" s="397"/>
      <c r="BJ7782" s="397"/>
      <c r="BK7782" s="397"/>
      <c r="BL7782" s="397"/>
      <c r="BM7782" s="397"/>
      <c r="BN7782" s="397"/>
      <c r="BO7782" s="397"/>
      <c r="BP7782" s="397"/>
      <c r="BQ7782" s="397"/>
      <c r="BR7782" s="397"/>
      <c r="BS7782" s="397"/>
      <c r="BT7782" s="397"/>
      <c r="BU7782" s="397"/>
      <c r="BV7782" s="397"/>
      <c r="BW7782" s="397"/>
      <c r="BX7782" s="397"/>
      <c r="BY7782" s="397"/>
      <c r="BZ7782" s="397"/>
      <c r="CA7782" s="392" t="s">
        <v>413</v>
      </c>
    </row>
    <row r="7783" spans="1:80" s="189" customFormat="1" ht="15" x14ac:dyDescent="0.25">
      <c r="A7783" s="381" t="s">
        <v>450</v>
      </c>
      <c r="B7783" s="641"/>
      <c r="C7783" s="639"/>
      <c r="D7783" s="4">
        <f>VLOOKUP(E7783,'Quality Code'!$D$4:$E$24,2,TRUE)*VLOOKUP(MROUND(F7783,10),'Quality Code'!$D$28:$E$69,2,TRUE)*VLOOKUP(COUNTA(CB7783:CB7793),'Quality Code'!$D$73:$E$93,2,TRUE)</f>
        <v>8.7499999999999994E-2</v>
      </c>
      <c r="E7783" s="14">
        <v>0.35</v>
      </c>
      <c r="F7783" s="2">
        <v>8</v>
      </c>
      <c r="G7783" s="12"/>
      <c r="H7783" s="2" t="s">
        <v>105</v>
      </c>
      <c r="I7783" s="2"/>
      <c r="J7783" s="2"/>
      <c r="K7783" s="2"/>
      <c r="L7783" s="639"/>
      <c r="M7783" s="640">
        <v>1978</v>
      </c>
      <c r="N7783" s="578" t="s">
        <v>110</v>
      </c>
      <c r="O7783" s="578"/>
      <c r="P7783" s="26"/>
      <c r="Q7783" s="26"/>
      <c r="R7783" s="26"/>
      <c r="S7783" s="26"/>
      <c r="T7783" s="26"/>
      <c r="U7783" s="26"/>
      <c r="V7783" s="10"/>
      <c r="W7783" s="10"/>
      <c r="X7783" s="10"/>
      <c r="Y7783" s="10"/>
      <c r="Z7783" s="26"/>
      <c r="AA7783" s="26"/>
      <c r="AB7783" s="26"/>
      <c r="AC7783" s="3">
        <v>1.2999999999999999E-2</v>
      </c>
      <c r="AD7783" s="406"/>
      <c r="AE7783" s="26"/>
      <c r="AF7783" s="26"/>
      <c r="AG7783" s="26"/>
      <c r="AH7783" s="26"/>
      <c r="AI7783" s="4"/>
      <c r="AJ7783" s="4"/>
      <c r="AK7783" s="26"/>
      <c r="AL7783" s="26"/>
      <c r="AM7783" s="26"/>
      <c r="AN7783" s="26"/>
      <c r="AO7783" s="26"/>
      <c r="AP7783" s="26"/>
      <c r="AQ7783" s="26"/>
      <c r="AR7783" s="26"/>
      <c r="AS7783" s="26"/>
      <c r="AT7783" s="26"/>
      <c r="AU7783" s="4"/>
      <c r="AV7783" s="4"/>
      <c r="AW7783" s="4"/>
      <c r="AX7783" s="4"/>
      <c r="AY7783" s="2"/>
      <c r="AZ7783" s="2"/>
      <c r="BA7783" s="12"/>
      <c r="BB7783" s="12"/>
      <c r="BC7783" s="12"/>
      <c r="BD7783" s="12"/>
      <c r="BE7783" s="12"/>
      <c r="BF7783" s="12"/>
      <c r="BG7783" s="12"/>
      <c r="BH7783" s="12"/>
      <c r="BI7783" s="4"/>
      <c r="BJ7783" s="12"/>
      <c r="BK7783" s="2"/>
      <c r="BL7783" s="2"/>
      <c r="BM7783" s="4"/>
      <c r="BN7783" s="12"/>
      <c r="BO7783" s="12"/>
      <c r="BP7783" s="12"/>
      <c r="BQ7783" s="4"/>
      <c r="BR7783" s="4"/>
      <c r="BS7783" s="4"/>
      <c r="BT7783" s="2"/>
      <c r="BU7783" s="9"/>
      <c r="BV7783" s="381"/>
      <c r="BW7783" s="382"/>
      <c r="BX7783" s="383"/>
      <c r="BY7783" s="383"/>
      <c r="BZ7783" s="383"/>
      <c r="CA7783" s="384" t="s">
        <v>413</v>
      </c>
      <c r="CB7783" s="411"/>
    </row>
    <row r="7784" spans="1:80" s="392" customFormat="1" ht="15" x14ac:dyDescent="0.25">
      <c r="A7784" s="385"/>
      <c r="D7784" s="700"/>
      <c r="E7784" s="397"/>
      <c r="H7784" s="401">
        <v>3</v>
      </c>
      <c r="I7784" s="401"/>
      <c r="J7784" s="401"/>
      <c r="K7784" s="401"/>
      <c r="L7784" s="675"/>
      <c r="M7784" s="672">
        <v>28640</v>
      </c>
      <c r="N7784" s="623">
        <v>0.84528194956078206</v>
      </c>
      <c r="O7784" s="624">
        <v>6.2944E-2</v>
      </c>
      <c r="P7784" s="397"/>
      <c r="Q7784" s="397"/>
      <c r="R7784" s="397"/>
      <c r="S7784" s="397"/>
      <c r="T7784" s="397"/>
      <c r="U7784" s="397"/>
      <c r="V7784" s="397"/>
      <c r="W7784" s="397"/>
      <c r="X7784" s="397"/>
      <c r="Y7784" s="397"/>
      <c r="Z7784" s="397"/>
      <c r="AD7784" s="388">
        <v>3.4137599999999999</v>
      </c>
      <c r="AE7784" s="388">
        <v>0.32004000000000005</v>
      </c>
      <c r="AF7784" s="388">
        <v>1.0925397504000001</v>
      </c>
      <c r="AG7784" s="388">
        <v>0.68580000000000008</v>
      </c>
      <c r="AH7784" s="391"/>
      <c r="AI7784" s="397"/>
      <c r="AJ7784" s="397"/>
      <c r="AU7784" s="397"/>
      <c r="AV7784" s="397"/>
      <c r="AW7784" s="397"/>
      <c r="AX7784" s="397"/>
      <c r="BI7784" s="397"/>
      <c r="BJ7784" s="397"/>
      <c r="BK7784" s="397"/>
      <c r="BL7784" s="397"/>
      <c r="BM7784" s="397"/>
      <c r="BN7784" s="397"/>
      <c r="BO7784" s="397"/>
      <c r="BP7784" s="397"/>
      <c r="BQ7784" s="397"/>
      <c r="BR7784" s="397"/>
      <c r="BS7784" s="397"/>
      <c r="BT7784" s="397"/>
      <c r="BU7784" s="397"/>
      <c r="BV7784" s="397"/>
      <c r="BW7784" s="397"/>
      <c r="BX7784" s="397"/>
      <c r="BY7784" s="397"/>
      <c r="BZ7784" s="397"/>
      <c r="CA7784" s="392" t="s">
        <v>413</v>
      </c>
    </row>
    <row r="7785" spans="1:80" s="392" customFormat="1" ht="15" x14ac:dyDescent="0.25">
      <c r="A7785" s="385"/>
      <c r="D7785" s="700"/>
      <c r="E7785" s="397"/>
      <c r="H7785" s="401">
        <v>3</v>
      </c>
      <c r="I7785" s="401"/>
      <c r="J7785" s="401"/>
      <c r="K7785" s="401"/>
      <c r="L7785" s="675"/>
      <c r="M7785" s="672">
        <v>28649</v>
      </c>
      <c r="N7785" s="623">
        <v>0.61263814111646364</v>
      </c>
      <c r="O7785" s="624">
        <v>2.4266666666666662E-2</v>
      </c>
      <c r="P7785" s="397"/>
      <c r="Q7785" s="397"/>
      <c r="R7785" s="397"/>
      <c r="S7785" s="397"/>
      <c r="T7785" s="397"/>
      <c r="U7785" s="397"/>
      <c r="V7785" s="397"/>
      <c r="W7785" s="397"/>
      <c r="X7785" s="397"/>
      <c r="Y7785" s="397"/>
      <c r="Z7785" s="397"/>
      <c r="AD7785" s="388">
        <v>3.4137599999999999</v>
      </c>
      <c r="AE7785" s="388">
        <v>0.28346400000000005</v>
      </c>
      <c r="AF7785" s="388">
        <v>0.96767806464000017</v>
      </c>
      <c r="AG7785" s="388">
        <v>0.60655199999999998</v>
      </c>
      <c r="AH7785" s="391"/>
      <c r="AI7785" s="397"/>
      <c r="AJ7785" s="397"/>
      <c r="AU7785" s="397"/>
      <c r="AV7785" s="397"/>
      <c r="AW7785" s="397"/>
      <c r="AX7785" s="397"/>
      <c r="BI7785" s="397"/>
      <c r="BJ7785" s="397"/>
      <c r="BK7785" s="397"/>
      <c r="BL7785" s="397"/>
      <c r="BM7785" s="397"/>
      <c r="BN7785" s="397"/>
      <c r="BO7785" s="397"/>
      <c r="BP7785" s="397"/>
      <c r="BQ7785" s="397"/>
      <c r="BR7785" s="397"/>
      <c r="BS7785" s="397"/>
      <c r="BT7785" s="397"/>
      <c r="BU7785" s="397"/>
      <c r="BV7785" s="397"/>
      <c r="BW7785" s="397"/>
      <c r="BX7785" s="397"/>
      <c r="BY7785" s="397"/>
      <c r="BZ7785" s="397"/>
      <c r="CA7785" s="392" t="s">
        <v>413</v>
      </c>
    </row>
    <row r="7786" spans="1:80" s="392" customFormat="1" ht="15" x14ac:dyDescent="0.25">
      <c r="A7786" s="385"/>
      <c r="D7786" s="700"/>
      <c r="E7786" s="397"/>
      <c r="H7786" s="401">
        <v>3</v>
      </c>
      <c r="I7786" s="401"/>
      <c r="J7786" s="401"/>
      <c r="K7786" s="401"/>
      <c r="L7786" s="675"/>
      <c r="M7786" s="672">
        <v>28663</v>
      </c>
      <c r="N7786" s="623">
        <v>0.19778974213658262</v>
      </c>
      <c r="O7786" s="624">
        <v>4.4733333333333326E-3</v>
      </c>
      <c r="P7786" s="397"/>
      <c r="Q7786" s="397"/>
      <c r="R7786" s="397"/>
      <c r="S7786" s="397"/>
      <c r="T7786" s="397"/>
      <c r="U7786" s="397"/>
      <c r="V7786" s="397"/>
      <c r="W7786" s="397"/>
      <c r="X7786" s="397"/>
      <c r="Y7786" s="397"/>
      <c r="Z7786" s="397"/>
      <c r="AD7786" s="388">
        <v>3.3528000000000002</v>
      </c>
      <c r="AE7786" s="388">
        <v>0.13411200000000001</v>
      </c>
      <c r="AF7786" s="388">
        <v>0.44965071360000008</v>
      </c>
      <c r="AG7786" s="388">
        <v>0.40233600000000003</v>
      </c>
      <c r="AH7786" s="391"/>
      <c r="AI7786" s="397"/>
      <c r="AJ7786" s="397"/>
      <c r="AU7786" s="397"/>
      <c r="AV7786" s="397"/>
      <c r="AW7786" s="397"/>
      <c r="AX7786" s="397"/>
      <c r="BI7786" s="397"/>
      <c r="BJ7786" s="397"/>
      <c r="BK7786" s="397"/>
      <c r="BL7786" s="397"/>
      <c r="BM7786" s="397"/>
      <c r="BN7786" s="397"/>
      <c r="BO7786" s="397"/>
      <c r="BP7786" s="397"/>
      <c r="BQ7786" s="397"/>
      <c r="BR7786" s="397"/>
      <c r="BS7786" s="397"/>
      <c r="BT7786" s="397"/>
      <c r="BU7786" s="397"/>
      <c r="BV7786" s="397"/>
      <c r="BW7786" s="397"/>
      <c r="BX7786" s="397"/>
      <c r="BY7786" s="397"/>
      <c r="BZ7786" s="397"/>
      <c r="CA7786" s="392" t="s">
        <v>413</v>
      </c>
    </row>
    <row r="7787" spans="1:80" s="392" customFormat="1" ht="15" x14ac:dyDescent="0.25">
      <c r="A7787" s="385"/>
      <c r="D7787" s="700"/>
      <c r="E7787" s="397"/>
      <c r="H7787" s="401">
        <v>3</v>
      </c>
      <c r="I7787" s="401"/>
      <c r="J7787" s="401"/>
      <c r="K7787" s="401"/>
      <c r="L7787" s="675"/>
      <c r="M7787" s="672">
        <v>28671</v>
      </c>
      <c r="N7787" s="623">
        <v>0.18815528478322471</v>
      </c>
      <c r="O7787" s="624">
        <v>7.6082666666666679E-3</v>
      </c>
      <c r="P7787" s="397"/>
      <c r="Q7787" s="397"/>
      <c r="R7787" s="397"/>
      <c r="S7787" s="397"/>
      <c r="T7787" s="397"/>
      <c r="U7787" s="397"/>
      <c r="V7787" s="397"/>
      <c r="W7787" s="397"/>
      <c r="X7787" s="397"/>
      <c r="Y7787" s="397"/>
      <c r="Z7787" s="397"/>
      <c r="AD7787" s="388">
        <v>3.3771840000000002</v>
      </c>
      <c r="AE7787" s="388">
        <v>0.16459200000000002</v>
      </c>
      <c r="AF7787" s="388">
        <v>0.55585746892800003</v>
      </c>
      <c r="AG7787" s="388">
        <v>0.31699200000000005</v>
      </c>
      <c r="AH7787" s="391"/>
      <c r="AI7787" s="397"/>
      <c r="AJ7787" s="397"/>
      <c r="AU7787" s="397"/>
      <c r="AV7787" s="397"/>
      <c r="AW7787" s="397"/>
      <c r="AX7787" s="397"/>
      <c r="BI7787" s="397"/>
      <c r="BJ7787" s="397"/>
      <c r="BK7787" s="397"/>
      <c r="BL7787" s="397"/>
      <c r="BM7787" s="397"/>
      <c r="BN7787" s="397"/>
      <c r="BO7787" s="397"/>
      <c r="BP7787" s="397"/>
      <c r="BQ7787" s="397"/>
      <c r="BR7787" s="397"/>
      <c r="BS7787" s="397"/>
      <c r="BT7787" s="397"/>
      <c r="BU7787" s="397"/>
      <c r="BV7787" s="397"/>
      <c r="BW7787" s="397"/>
      <c r="BX7787" s="397"/>
      <c r="BY7787" s="397"/>
      <c r="BZ7787" s="397"/>
      <c r="CA7787" s="392" t="s">
        <v>413</v>
      </c>
    </row>
    <row r="7788" spans="1:80" s="392" customFormat="1" ht="15" x14ac:dyDescent="0.25">
      <c r="A7788" s="385"/>
      <c r="D7788" s="700"/>
      <c r="E7788" s="397"/>
      <c r="H7788" s="401">
        <v>3</v>
      </c>
      <c r="I7788" s="401"/>
      <c r="J7788" s="401"/>
      <c r="K7788" s="401"/>
      <c r="L7788" s="675"/>
      <c r="M7788" s="672">
        <v>28681</v>
      </c>
      <c r="N7788" s="623">
        <v>6.4890903938792863E-2</v>
      </c>
      <c r="O7788" s="624">
        <v>6.648E-4</v>
      </c>
      <c r="P7788" s="397"/>
      <c r="Q7788" s="397"/>
      <c r="R7788" s="397"/>
      <c r="S7788" s="397"/>
      <c r="T7788" s="397"/>
      <c r="U7788" s="397"/>
      <c r="V7788" s="397"/>
      <c r="W7788" s="397"/>
      <c r="X7788" s="397"/>
      <c r="Y7788" s="397"/>
      <c r="Z7788" s="397"/>
      <c r="AD7788" s="388">
        <v>3.3771840000000002</v>
      </c>
      <c r="AE7788" s="388">
        <v>0.10972800000000001</v>
      </c>
      <c r="AF7788" s="388">
        <v>0.37057164595200004</v>
      </c>
      <c r="AG7788" s="388">
        <v>0.16459200000000002</v>
      </c>
      <c r="AH7788" s="391"/>
      <c r="AI7788" s="397"/>
      <c r="AJ7788" s="397"/>
      <c r="AU7788" s="397"/>
      <c r="AV7788" s="397"/>
      <c r="AW7788" s="397"/>
      <c r="AX7788" s="397"/>
      <c r="BI7788" s="397"/>
      <c r="BJ7788" s="397"/>
      <c r="BK7788" s="397"/>
      <c r="BL7788" s="397"/>
      <c r="BM7788" s="397"/>
      <c r="BN7788" s="397"/>
      <c r="BO7788" s="397"/>
      <c r="BP7788" s="397"/>
      <c r="BQ7788" s="397"/>
      <c r="BR7788" s="397"/>
      <c r="BS7788" s="397"/>
      <c r="BT7788" s="397"/>
      <c r="BU7788" s="397"/>
      <c r="BV7788" s="397"/>
      <c r="BW7788" s="397"/>
      <c r="BX7788" s="397"/>
      <c r="BY7788" s="397"/>
      <c r="BZ7788" s="397"/>
      <c r="CA7788" s="392" t="s">
        <v>413</v>
      </c>
    </row>
    <row r="7789" spans="1:80" s="392" customFormat="1" ht="15" x14ac:dyDescent="0.25">
      <c r="A7789" s="385"/>
      <c r="D7789" s="700"/>
      <c r="E7789" s="397"/>
      <c r="H7789" s="401">
        <v>3</v>
      </c>
      <c r="I7789" s="401"/>
      <c r="J7789" s="401"/>
      <c r="K7789" s="401"/>
      <c r="L7789" s="675"/>
      <c r="M7789" s="672">
        <v>28685</v>
      </c>
      <c r="N7789" s="623">
        <v>6.1490507225843018E-2</v>
      </c>
      <c r="O7789" s="624">
        <v>1.1604E-3</v>
      </c>
      <c r="P7789" s="397"/>
      <c r="Q7789" s="397"/>
      <c r="R7789" s="397"/>
      <c r="S7789" s="397"/>
      <c r="T7789" s="397"/>
      <c r="U7789" s="397"/>
      <c r="V7789" s="397"/>
      <c r="W7789" s="397"/>
      <c r="X7789" s="397"/>
      <c r="Y7789" s="397"/>
      <c r="Z7789" s="397"/>
      <c r="AD7789" s="388">
        <v>2.947416</v>
      </c>
      <c r="AE7789" s="388">
        <v>9.7536000000000012E-2</v>
      </c>
      <c r="AF7789" s="388">
        <v>0.28747916697600001</v>
      </c>
      <c r="AG7789" s="388">
        <v>0.210312</v>
      </c>
      <c r="AH7789" s="391"/>
      <c r="AI7789" s="397"/>
      <c r="AJ7789" s="397"/>
      <c r="AU7789" s="397"/>
      <c r="AV7789" s="397"/>
      <c r="AW7789" s="397"/>
      <c r="AX7789" s="397"/>
      <c r="BI7789" s="397"/>
      <c r="BJ7789" s="397"/>
      <c r="BK7789" s="397"/>
      <c r="BL7789" s="397"/>
      <c r="BM7789" s="397"/>
      <c r="BN7789" s="397"/>
      <c r="BO7789" s="397"/>
      <c r="BP7789" s="397"/>
      <c r="BQ7789" s="397"/>
      <c r="BR7789" s="397"/>
      <c r="BS7789" s="397"/>
      <c r="BT7789" s="397"/>
      <c r="BU7789" s="397"/>
      <c r="BV7789" s="397"/>
      <c r="BW7789" s="397"/>
      <c r="BX7789" s="397"/>
      <c r="BY7789" s="397"/>
      <c r="BZ7789" s="397"/>
      <c r="CA7789" s="392" t="s">
        <v>413</v>
      </c>
    </row>
    <row r="7790" spans="1:80" s="392" customFormat="1" ht="15" x14ac:dyDescent="0.25">
      <c r="A7790" s="385"/>
      <c r="D7790" s="700"/>
      <c r="E7790" s="397"/>
      <c r="H7790" s="401">
        <v>3</v>
      </c>
      <c r="I7790" s="401"/>
      <c r="J7790" s="401"/>
      <c r="K7790" s="401"/>
      <c r="L7790" s="675"/>
      <c r="M7790" s="672">
        <v>28691</v>
      </c>
      <c r="N7790" s="623">
        <v>6.4607537546047034E-2</v>
      </c>
      <c r="O7790" s="624">
        <v>6.2920000000000001E-4</v>
      </c>
      <c r="P7790" s="397"/>
      <c r="Q7790" s="397"/>
      <c r="R7790" s="397"/>
      <c r="S7790" s="397"/>
      <c r="T7790" s="397"/>
      <c r="U7790" s="397"/>
      <c r="V7790" s="397"/>
      <c r="W7790" s="397"/>
      <c r="X7790" s="397"/>
      <c r="Y7790" s="397"/>
      <c r="Z7790" s="397"/>
      <c r="AD7790" s="388">
        <v>2.6151840000000002</v>
      </c>
      <c r="AE7790" s="388">
        <v>9.1440000000000007E-2</v>
      </c>
      <c r="AF7790" s="388">
        <v>0.23913242496000003</v>
      </c>
      <c r="AG7790" s="388">
        <v>0.26822400000000002</v>
      </c>
      <c r="AH7790" s="391"/>
      <c r="AI7790" s="397"/>
      <c r="AJ7790" s="397"/>
      <c r="AU7790" s="397"/>
      <c r="AV7790" s="397"/>
      <c r="AW7790" s="397"/>
      <c r="AX7790" s="397"/>
      <c r="BI7790" s="397"/>
      <c r="BJ7790" s="397"/>
      <c r="BK7790" s="397"/>
      <c r="BL7790" s="397"/>
      <c r="BM7790" s="397"/>
      <c r="BN7790" s="397"/>
      <c r="BO7790" s="397"/>
      <c r="BP7790" s="397"/>
      <c r="BQ7790" s="397"/>
      <c r="BR7790" s="397"/>
      <c r="BS7790" s="397"/>
      <c r="BT7790" s="397"/>
      <c r="BU7790" s="397"/>
      <c r="BV7790" s="397"/>
      <c r="BW7790" s="397"/>
      <c r="BX7790" s="397"/>
      <c r="BY7790" s="397"/>
      <c r="BZ7790" s="397"/>
      <c r="CA7790" s="392" t="s">
        <v>413</v>
      </c>
    </row>
    <row r="7791" spans="1:80" s="392" customFormat="1" ht="15" x14ac:dyDescent="0.25">
      <c r="A7791" s="385"/>
      <c r="D7791" s="700"/>
      <c r="E7791" s="397"/>
      <c r="H7791" s="401">
        <v>3</v>
      </c>
      <c r="I7791" s="401"/>
      <c r="J7791" s="401"/>
      <c r="K7791" s="401"/>
      <c r="L7791" s="675"/>
      <c r="M7791" s="672">
        <v>28705</v>
      </c>
      <c r="N7791" s="623">
        <v>2.7203173703598753E-2</v>
      </c>
      <c r="O7791" s="624">
        <v>3.4000000000000002E-4</v>
      </c>
      <c r="P7791" s="397"/>
      <c r="Q7791" s="397"/>
      <c r="R7791" s="397"/>
      <c r="S7791" s="397"/>
      <c r="T7791" s="397"/>
      <c r="U7791" s="397"/>
      <c r="V7791" s="397"/>
      <c r="W7791" s="397"/>
      <c r="X7791" s="397"/>
      <c r="Y7791" s="397"/>
      <c r="Z7791" s="397"/>
      <c r="AD7791" s="388">
        <v>2.5908000000000002</v>
      </c>
      <c r="AE7791" s="388">
        <v>5.7912000000000005E-2</v>
      </c>
      <c r="AF7791" s="388">
        <v>0.15003840960000003</v>
      </c>
      <c r="AG7791" s="388">
        <v>0.17983199999999999</v>
      </c>
      <c r="AH7791" s="391"/>
      <c r="AI7791" s="397"/>
      <c r="AJ7791" s="397"/>
      <c r="AU7791" s="397"/>
      <c r="AV7791" s="397"/>
      <c r="AW7791" s="397"/>
      <c r="AX7791" s="397"/>
      <c r="BI7791" s="397"/>
      <c r="BJ7791" s="397"/>
      <c r="BK7791" s="397"/>
      <c r="BL7791" s="397"/>
      <c r="BM7791" s="397"/>
      <c r="BN7791" s="397"/>
      <c r="BO7791" s="397"/>
      <c r="BP7791" s="397"/>
      <c r="BQ7791" s="397"/>
      <c r="BR7791" s="397"/>
      <c r="BS7791" s="397"/>
      <c r="BT7791" s="397"/>
      <c r="BU7791" s="397"/>
      <c r="BV7791" s="397"/>
      <c r="BW7791" s="397"/>
      <c r="BX7791" s="397"/>
      <c r="BY7791" s="397"/>
      <c r="BZ7791" s="397"/>
      <c r="CA7791" s="392" t="s">
        <v>413</v>
      </c>
    </row>
    <row r="7792" spans="1:80" s="392" customFormat="1" ht="15" x14ac:dyDescent="0.25">
      <c r="A7792" s="385"/>
      <c r="D7792" s="700"/>
      <c r="E7792" s="397"/>
      <c r="H7792" s="401">
        <v>3</v>
      </c>
      <c r="I7792" s="401"/>
      <c r="J7792" s="401"/>
      <c r="K7792" s="401"/>
      <c r="L7792" s="675"/>
      <c r="M7792" s="672">
        <v>28719</v>
      </c>
      <c r="N7792" s="623">
        <v>1.2184754888070274E-2</v>
      </c>
      <c r="O7792" s="624" t="s">
        <v>71</v>
      </c>
      <c r="P7792" s="397"/>
      <c r="Q7792" s="397"/>
      <c r="R7792" s="397"/>
      <c r="S7792" s="397"/>
      <c r="T7792" s="397"/>
      <c r="U7792" s="397"/>
      <c r="V7792" s="397"/>
      <c r="W7792" s="397"/>
      <c r="X7792" s="397"/>
      <c r="Y7792" s="397"/>
      <c r="Z7792" s="397"/>
      <c r="AD7792" s="388">
        <v>2.0055840000000003</v>
      </c>
      <c r="AE7792" s="388">
        <v>4.5720000000000004E-2</v>
      </c>
      <c r="AF7792" s="388">
        <v>9.1695300480000019E-2</v>
      </c>
      <c r="AG7792" s="388">
        <v>0.10972800000000001</v>
      </c>
      <c r="AH7792" s="391"/>
      <c r="AI7792" s="397"/>
      <c r="AJ7792" s="397"/>
      <c r="AU7792" s="397"/>
      <c r="AV7792" s="397"/>
      <c r="AW7792" s="397"/>
      <c r="AX7792" s="397"/>
      <c r="BI7792" s="397"/>
      <c r="BJ7792" s="397"/>
      <c r="BK7792" s="397"/>
      <c r="BL7792" s="397"/>
      <c r="BM7792" s="397"/>
      <c r="BN7792" s="397"/>
      <c r="BO7792" s="397"/>
      <c r="BP7792" s="397"/>
      <c r="BQ7792" s="397"/>
      <c r="BR7792" s="397"/>
      <c r="BS7792" s="397"/>
      <c r="BT7792" s="397"/>
      <c r="BU7792" s="397"/>
      <c r="BV7792" s="397"/>
      <c r="BW7792" s="397"/>
      <c r="BX7792" s="397"/>
      <c r="BY7792" s="397"/>
      <c r="BZ7792" s="397"/>
      <c r="CA7792" s="392" t="s">
        <v>413</v>
      </c>
    </row>
    <row r="7793" spans="1:80" s="392" customFormat="1" ht="15" x14ac:dyDescent="0.25">
      <c r="A7793" s="385"/>
      <c r="D7793" s="700"/>
      <c r="E7793" s="397"/>
      <c r="H7793" s="401">
        <v>3</v>
      </c>
      <c r="I7793" s="401"/>
      <c r="J7793" s="401"/>
      <c r="K7793" s="401"/>
      <c r="L7793" s="675"/>
      <c r="M7793" s="672">
        <v>28734</v>
      </c>
      <c r="N7793" s="623">
        <v>1.0767922924341174E-2</v>
      </c>
      <c r="O7793" s="624" t="s">
        <v>71</v>
      </c>
      <c r="P7793" s="397"/>
      <c r="Q7793" s="397"/>
      <c r="R7793" s="397"/>
      <c r="S7793" s="397"/>
      <c r="T7793" s="397"/>
      <c r="U7793" s="397"/>
      <c r="V7793" s="397"/>
      <c r="W7793" s="397"/>
      <c r="X7793" s="397"/>
      <c r="Y7793" s="397"/>
      <c r="Z7793" s="397"/>
      <c r="AD7793" s="388">
        <v>2.0055840000000003</v>
      </c>
      <c r="AE7793" s="388">
        <v>4.8768000000000006E-2</v>
      </c>
      <c r="AF7793" s="388">
        <v>9.780832051200003E-2</v>
      </c>
      <c r="AG7793" s="388">
        <v>9.4488000000000003E-2</v>
      </c>
      <c r="AH7793" s="391"/>
      <c r="AI7793" s="397"/>
      <c r="AJ7793" s="397"/>
      <c r="AU7793" s="397"/>
      <c r="AV7793" s="397"/>
      <c r="AW7793" s="397"/>
      <c r="AX7793" s="397"/>
      <c r="BI7793" s="397"/>
      <c r="BJ7793" s="397"/>
      <c r="BK7793" s="397"/>
      <c r="BL7793" s="397"/>
      <c r="BM7793" s="397"/>
      <c r="BN7793" s="397"/>
      <c r="BO7793" s="397"/>
      <c r="BP7793" s="397"/>
      <c r="BQ7793" s="397"/>
      <c r="BR7793" s="397"/>
      <c r="BS7793" s="397"/>
      <c r="BT7793" s="397"/>
      <c r="BU7793" s="397"/>
      <c r="BV7793" s="397"/>
      <c r="BW7793" s="397"/>
      <c r="BX7793" s="397"/>
      <c r="BY7793" s="397"/>
      <c r="BZ7793" s="397"/>
      <c r="CA7793" s="392" t="s">
        <v>413</v>
      </c>
    </row>
    <row r="7794" spans="1:80" s="189" customFormat="1" ht="15" x14ac:dyDescent="0.25">
      <c r="A7794" s="381" t="s">
        <v>497</v>
      </c>
      <c r="B7794" s="641"/>
      <c r="C7794" s="639"/>
      <c r="D7794" s="4">
        <f>VLOOKUP(E7794,'Quality Code'!$D$4:$E$24,2,TRUE)*VLOOKUP(MROUND(F7794,10),'Quality Code'!$D$28:$E$69,2,TRUE)*VLOOKUP(COUNTA(CB7794:CB7804),'Quality Code'!$D$73:$E$93,2,TRUE)</f>
        <v>0</v>
      </c>
      <c r="E7794" s="14">
        <v>0.35</v>
      </c>
      <c r="F7794" s="2">
        <v>4</v>
      </c>
      <c r="G7794" s="12"/>
      <c r="H7794" s="2" t="s">
        <v>105</v>
      </c>
      <c r="I7794" s="2"/>
      <c r="J7794" s="2"/>
      <c r="K7794" s="2"/>
      <c r="L7794" s="639"/>
      <c r="M7794" s="640">
        <v>1980</v>
      </c>
      <c r="N7794" s="578" t="s">
        <v>110</v>
      </c>
      <c r="O7794" s="578"/>
      <c r="P7794" s="26"/>
      <c r="Q7794" s="26"/>
      <c r="R7794" s="26"/>
      <c r="S7794" s="26"/>
      <c r="T7794" s="26"/>
      <c r="U7794" s="26"/>
      <c r="V7794" s="10"/>
      <c r="W7794" s="10"/>
      <c r="X7794" s="10"/>
      <c r="Y7794" s="10"/>
      <c r="Z7794" s="26"/>
      <c r="AA7794" s="26"/>
      <c r="AB7794" s="26"/>
      <c r="AC7794" s="3">
        <v>7.0000000000000001E-3</v>
      </c>
      <c r="AD7794" s="406"/>
      <c r="AE7794" s="26"/>
      <c r="AF7794" s="26"/>
      <c r="AG7794" s="26"/>
      <c r="AH7794" s="26"/>
      <c r="AI7794" s="4"/>
      <c r="AJ7794" s="4"/>
      <c r="AK7794" s="26"/>
      <c r="AL7794" s="26"/>
      <c r="AM7794" s="26"/>
      <c r="AN7794" s="26"/>
      <c r="AO7794" s="26"/>
      <c r="AP7794" s="26"/>
      <c r="AQ7794" s="26"/>
      <c r="AR7794" s="26"/>
      <c r="AS7794" s="26"/>
      <c r="AT7794" s="26"/>
      <c r="AU7794" s="4"/>
      <c r="AV7794" s="4"/>
      <c r="AW7794" s="4"/>
      <c r="AX7794" s="4"/>
      <c r="AY7794" s="2"/>
      <c r="AZ7794" s="2"/>
      <c r="BA7794" s="12"/>
      <c r="BB7794" s="12"/>
      <c r="BC7794" s="12"/>
      <c r="BD7794" s="12"/>
      <c r="BE7794" s="12"/>
      <c r="BF7794" s="12"/>
      <c r="BG7794" s="12"/>
      <c r="BH7794" s="12"/>
      <c r="BI7794" s="4"/>
      <c r="BJ7794" s="12"/>
      <c r="BK7794" s="2"/>
      <c r="BL7794" s="2"/>
      <c r="BM7794" s="4"/>
      <c r="BN7794" s="12"/>
      <c r="BO7794" s="12"/>
      <c r="BP7794" s="12"/>
      <c r="BQ7794" s="4"/>
      <c r="BR7794" s="4"/>
      <c r="BS7794" s="4"/>
      <c r="BT7794" s="2"/>
      <c r="BU7794" s="9"/>
      <c r="BV7794" s="381"/>
      <c r="BW7794" s="382"/>
      <c r="BX7794" s="383"/>
      <c r="BY7794" s="383"/>
      <c r="BZ7794" s="383"/>
      <c r="CA7794" s="384" t="s">
        <v>413</v>
      </c>
      <c r="CB7794" s="411"/>
    </row>
    <row r="7795" spans="1:80" s="392" customFormat="1" ht="15" x14ac:dyDescent="0.25">
      <c r="A7795" s="385"/>
      <c r="D7795" s="700"/>
      <c r="E7795" s="397"/>
      <c r="H7795" s="401">
        <v>3</v>
      </c>
      <c r="I7795" s="401"/>
      <c r="J7795" s="401"/>
      <c r="K7795" s="401"/>
      <c r="L7795" s="675"/>
      <c r="M7795" s="672">
        <v>29362</v>
      </c>
      <c r="N7795" s="623">
        <v>3.4970246528761688</v>
      </c>
      <c r="O7795" s="624" t="s">
        <v>71</v>
      </c>
      <c r="P7795" s="397"/>
      <c r="Q7795" s="397"/>
      <c r="R7795" s="397"/>
      <c r="S7795" s="397"/>
      <c r="T7795" s="397"/>
      <c r="U7795" s="397"/>
      <c r="V7795" s="397"/>
      <c r="W7795" s="397"/>
      <c r="X7795" s="397"/>
      <c r="Y7795" s="397"/>
      <c r="Z7795" s="397"/>
      <c r="AD7795" s="388">
        <v>14.447520000000001</v>
      </c>
      <c r="AE7795" s="388">
        <v>0.42671999999999999</v>
      </c>
      <c r="AF7795" s="388">
        <v>6.1650457344000005</v>
      </c>
      <c r="AG7795" s="388">
        <v>0.37795200000000001</v>
      </c>
      <c r="AH7795" s="391"/>
      <c r="AI7795" s="397"/>
      <c r="AJ7795" s="397"/>
      <c r="AU7795" s="397"/>
      <c r="AV7795" s="397"/>
      <c r="AW7795" s="397"/>
      <c r="AX7795" s="397"/>
      <c r="BI7795" s="397"/>
      <c r="BJ7795" s="397"/>
      <c r="BK7795" s="397"/>
      <c r="BL7795" s="397"/>
      <c r="BM7795" s="397"/>
      <c r="BN7795" s="397"/>
      <c r="BO7795" s="397"/>
      <c r="BP7795" s="397"/>
      <c r="BQ7795" s="397"/>
      <c r="BR7795" s="397"/>
      <c r="BS7795" s="397"/>
      <c r="BT7795" s="397"/>
      <c r="BU7795" s="397"/>
      <c r="BV7795" s="397"/>
      <c r="BW7795" s="397"/>
      <c r="BX7795" s="397"/>
      <c r="BY7795" s="397"/>
      <c r="BZ7795" s="397"/>
      <c r="CA7795" s="392" t="s">
        <v>413</v>
      </c>
    </row>
    <row r="7796" spans="1:80" s="392" customFormat="1" ht="15" x14ac:dyDescent="0.25">
      <c r="A7796" s="385"/>
      <c r="D7796" s="700"/>
      <c r="E7796" s="397"/>
      <c r="H7796" s="401">
        <v>3</v>
      </c>
      <c r="I7796" s="401"/>
      <c r="J7796" s="401"/>
      <c r="K7796" s="401"/>
      <c r="L7796" s="675"/>
      <c r="M7796" s="672">
        <v>29371</v>
      </c>
      <c r="N7796" s="623">
        <v>7.0405213941626528</v>
      </c>
      <c r="O7796" s="624">
        <v>2.0477266666666664E-2</v>
      </c>
      <c r="P7796" s="397"/>
      <c r="Q7796" s="397"/>
      <c r="R7796" s="397"/>
      <c r="S7796" s="397"/>
      <c r="T7796" s="397"/>
      <c r="U7796" s="397"/>
      <c r="V7796" s="397"/>
      <c r="W7796" s="397"/>
      <c r="X7796" s="397"/>
      <c r="Y7796" s="397"/>
      <c r="Z7796" s="397"/>
      <c r="AD7796" s="388">
        <v>22.89048</v>
      </c>
      <c r="AE7796" s="388">
        <v>0.63093599999999994</v>
      </c>
      <c r="AF7796" s="388">
        <v>14.442427889279999</v>
      </c>
      <c r="AG7796" s="388">
        <v>0.43281599999999998</v>
      </c>
      <c r="AH7796" s="391"/>
      <c r="AI7796" s="397"/>
      <c r="AJ7796" s="397"/>
      <c r="AU7796" s="397"/>
      <c r="AV7796" s="397"/>
      <c r="AW7796" s="397"/>
      <c r="AX7796" s="397"/>
      <c r="BI7796" s="397"/>
      <c r="BJ7796" s="397"/>
      <c r="BK7796" s="397"/>
      <c r="BL7796" s="397"/>
      <c r="BM7796" s="397"/>
      <c r="BN7796" s="397"/>
      <c r="BO7796" s="397"/>
      <c r="BP7796" s="397"/>
      <c r="BQ7796" s="397"/>
      <c r="BR7796" s="397"/>
      <c r="BS7796" s="397"/>
      <c r="BT7796" s="397"/>
      <c r="BU7796" s="397"/>
      <c r="BV7796" s="397"/>
      <c r="BW7796" s="397"/>
      <c r="BX7796" s="397"/>
      <c r="BY7796" s="397"/>
      <c r="BZ7796" s="397"/>
      <c r="CA7796" s="392" t="s">
        <v>413</v>
      </c>
    </row>
    <row r="7797" spans="1:80" s="392" customFormat="1" ht="15" x14ac:dyDescent="0.25">
      <c r="A7797" s="385"/>
      <c r="D7797" s="700"/>
      <c r="E7797" s="397"/>
      <c r="H7797" s="401">
        <v>3</v>
      </c>
      <c r="I7797" s="401"/>
      <c r="J7797" s="401"/>
      <c r="K7797" s="401"/>
      <c r="L7797" s="675"/>
      <c r="M7797" s="672">
        <v>29382</v>
      </c>
      <c r="N7797" s="623">
        <v>16.352224426183056</v>
      </c>
      <c r="O7797" s="624">
        <v>0.47323466666666669</v>
      </c>
      <c r="P7797" s="397"/>
      <c r="Q7797" s="397"/>
      <c r="R7797" s="397"/>
      <c r="S7797" s="397"/>
      <c r="T7797" s="397"/>
      <c r="U7797" s="397"/>
      <c r="V7797" s="397"/>
      <c r="W7797" s="397"/>
      <c r="X7797" s="397"/>
      <c r="Y7797" s="397"/>
      <c r="Z7797" s="397"/>
      <c r="AD7797" s="388">
        <v>22.799040000000002</v>
      </c>
      <c r="AE7797" s="388">
        <v>1.0515600000000001</v>
      </c>
      <c r="AF7797" s="388">
        <v>23.974558502400004</v>
      </c>
      <c r="AG7797" s="388">
        <v>0.55473600000000001</v>
      </c>
      <c r="AH7797" s="391"/>
      <c r="AI7797" s="397"/>
      <c r="AJ7797" s="397"/>
      <c r="AU7797" s="397"/>
      <c r="AV7797" s="397"/>
      <c r="AW7797" s="397"/>
      <c r="AX7797" s="397"/>
      <c r="BI7797" s="397"/>
      <c r="BJ7797" s="397"/>
      <c r="BK7797" s="397"/>
      <c r="BL7797" s="397"/>
      <c r="BM7797" s="397"/>
      <c r="BN7797" s="397"/>
      <c r="BO7797" s="397"/>
      <c r="BP7797" s="397"/>
      <c r="BQ7797" s="397"/>
      <c r="BR7797" s="397"/>
      <c r="BS7797" s="397"/>
      <c r="BT7797" s="397"/>
      <c r="BU7797" s="397"/>
      <c r="BV7797" s="397"/>
      <c r="BW7797" s="397"/>
      <c r="BX7797" s="397"/>
      <c r="BY7797" s="397"/>
      <c r="BZ7797" s="397"/>
      <c r="CA7797" s="392" t="s">
        <v>413</v>
      </c>
    </row>
    <row r="7798" spans="1:80" s="392" customFormat="1" ht="15" x14ac:dyDescent="0.25">
      <c r="A7798" s="385"/>
      <c r="D7798" s="700"/>
      <c r="E7798" s="397"/>
      <c r="H7798" s="401">
        <v>3</v>
      </c>
      <c r="I7798" s="401"/>
      <c r="J7798" s="401"/>
      <c r="K7798" s="401"/>
      <c r="L7798" s="675"/>
      <c r="M7798" s="672">
        <v>29404</v>
      </c>
      <c r="N7798" s="623">
        <v>7.7444035137432703</v>
      </c>
      <c r="O7798" s="624">
        <v>4.4976666666666665E-2</v>
      </c>
      <c r="P7798" s="397"/>
      <c r="Q7798" s="397"/>
      <c r="R7798" s="397"/>
      <c r="S7798" s="397"/>
      <c r="T7798" s="397"/>
      <c r="U7798" s="397"/>
      <c r="V7798" s="397"/>
      <c r="W7798" s="397"/>
      <c r="X7798" s="397"/>
      <c r="Y7798" s="397"/>
      <c r="Z7798" s="397"/>
      <c r="AD7798" s="388">
        <v>15.6972</v>
      </c>
      <c r="AE7798" s="388">
        <v>0.62179200000000001</v>
      </c>
      <c r="AF7798" s="388">
        <v>9.7603933824000002</v>
      </c>
      <c r="AG7798" s="388">
        <v>0.48158400000000007</v>
      </c>
      <c r="AH7798" s="391"/>
      <c r="AI7798" s="397"/>
      <c r="AJ7798" s="397"/>
      <c r="AU7798" s="397"/>
      <c r="AV7798" s="397"/>
      <c r="AW7798" s="397"/>
      <c r="AX7798" s="397"/>
      <c r="BI7798" s="397"/>
      <c r="BJ7798" s="397"/>
      <c r="BK7798" s="397"/>
      <c r="BL7798" s="397"/>
      <c r="BM7798" s="397"/>
      <c r="BN7798" s="397"/>
      <c r="BO7798" s="397"/>
      <c r="BP7798" s="397"/>
      <c r="BQ7798" s="397"/>
      <c r="BR7798" s="397"/>
      <c r="BS7798" s="397"/>
      <c r="BT7798" s="397"/>
      <c r="BU7798" s="397"/>
      <c r="BV7798" s="397"/>
      <c r="BW7798" s="397"/>
      <c r="BX7798" s="397"/>
      <c r="BY7798" s="397"/>
      <c r="BZ7798" s="397"/>
      <c r="CA7798" s="392" t="s">
        <v>413</v>
      </c>
    </row>
    <row r="7799" spans="1:80" s="392" customFormat="1" ht="15" x14ac:dyDescent="0.25">
      <c r="A7799" s="385"/>
      <c r="D7799" s="700"/>
      <c r="E7799" s="397"/>
      <c r="H7799" s="401">
        <v>3</v>
      </c>
      <c r="I7799" s="401"/>
      <c r="J7799" s="401"/>
      <c r="K7799" s="401"/>
      <c r="L7799" s="675"/>
      <c r="M7799" s="672">
        <v>29412</v>
      </c>
      <c r="N7799" s="623">
        <v>5.7126664777557385</v>
      </c>
      <c r="O7799" s="624">
        <v>3.9528000000000002E-3</v>
      </c>
      <c r="P7799" s="397"/>
      <c r="Q7799" s="397"/>
      <c r="R7799" s="397"/>
      <c r="S7799" s="397"/>
      <c r="T7799" s="397"/>
      <c r="U7799" s="397"/>
      <c r="V7799" s="397"/>
      <c r="W7799" s="397"/>
      <c r="X7799" s="397"/>
      <c r="Y7799" s="397"/>
      <c r="Z7799" s="397"/>
      <c r="AD7799" s="388">
        <v>14.813280000000001</v>
      </c>
      <c r="AE7799" s="388">
        <v>0.57302399999999998</v>
      </c>
      <c r="AF7799" s="388">
        <v>8.4883649587200001</v>
      </c>
      <c r="AG7799" s="388">
        <v>0.49377600000000005</v>
      </c>
      <c r="AH7799" s="391"/>
      <c r="AI7799" s="397"/>
      <c r="AJ7799" s="397"/>
      <c r="AU7799" s="397"/>
      <c r="AV7799" s="397"/>
      <c r="AW7799" s="397"/>
      <c r="AX7799" s="397"/>
      <c r="BI7799" s="397"/>
      <c r="BJ7799" s="397"/>
      <c r="BK7799" s="397"/>
      <c r="BL7799" s="397"/>
      <c r="BM7799" s="397"/>
      <c r="BN7799" s="397"/>
      <c r="BO7799" s="397"/>
      <c r="BP7799" s="397"/>
      <c r="BQ7799" s="397"/>
      <c r="BR7799" s="397"/>
      <c r="BS7799" s="397"/>
      <c r="BT7799" s="397"/>
      <c r="BU7799" s="397"/>
      <c r="BV7799" s="397"/>
      <c r="BW7799" s="397"/>
      <c r="BX7799" s="397"/>
      <c r="BY7799" s="397"/>
      <c r="BZ7799" s="397"/>
      <c r="CA7799" s="392" t="s">
        <v>413</v>
      </c>
    </row>
    <row r="7800" spans="1:80" s="392" customFormat="1" ht="15" x14ac:dyDescent="0.25">
      <c r="A7800" s="385"/>
      <c r="D7800" s="700"/>
      <c r="E7800" s="397"/>
      <c r="H7800" s="401">
        <v>3</v>
      </c>
      <c r="I7800" s="401"/>
      <c r="J7800" s="401"/>
      <c r="K7800" s="401"/>
      <c r="L7800" s="675"/>
      <c r="M7800" s="672">
        <v>29420</v>
      </c>
      <c r="N7800" s="623">
        <v>3.145650325871352</v>
      </c>
      <c r="O7800" s="624" t="s">
        <v>71</v>
      </c>
      <c r="P7800" s="397"/>
      <c r="Q7800" s="397"/>
      <c r="R7800" s="397"/>
      <c r="S7800" s="397"/>
      <c r="T7800" s="397"/>
      <c r="U7800" s="397"/>
      <c r="V7800" s="397"/>
      <c r="W7800" s="397"/>
      <c r="X7800" s="397"/>
      <c r="Y7800" s="397"/>
      <c r="Z7800" s="397"/>
      <c r="AD7800" s="388">
        <v>14.50848</v>
      </c>
      <c r="AE7800" s="388">
        <v>0.47244000000000003</v>
      </c>
      <c r="AF7800" s="388">
        <v>6.8543862912000009</v>
      </c>
      <c r="AG7800" s="388">
        <v>0.33832800000000007</v>
      </c>
      <c r="AH7800" s="391"/>
      <c r="AI7800" s="397"/>
      <c r="AJ7800" s="397"/>
      <c r="AU7800" s="397"/>
      <c r="AV7800" s="397"/>
      <c r="AW7800" s="397"/>
      <c r="AX7800" s="397"/>
      <c r="BI7800" s="397"/>
      <c r="BJ7800" s="397"/>
      <c r="BK7800" s="397"/>
      <c r="BL7800" s="397"/>
      <c r="BM7800" s="397"/>
      <c r="BN7800" s="397"/>
      <c r="BO7800" s="397"/>
      <c r="BP7800" s="397"/>
      <c r="BQ7800" s="397"/>
      <c r="BR7800" s="397"/>
      <c r="BS7800" s="397"/>
      <c r="BT7800" s="397"/>
      <c r="BU7800" s="397"/>
      <c r="BV7800" s="397"/>
      <c r="BW7800" s="397"/>
      <c r="BX7800" s="397"/>
      <c r="BY7800" s="397"/>
      <c r="BZ7800" s="397"/>
      <c r="CA7800" s="392" t="s">
        <v>413</v>
      </c>
    </row>
    <row r="7801" spans="1:80" s="392" customFormat="1" ht="15" x14ac:dyDescent="0.25">
      <c r="A7801" s="385"/>
      <c r="D7801" s="700"/>
      <c r="E7801" s="397"/>
      <c r="H7801" s="401">
        <v>3</v>
      </c>
      <c r="I7801" s="401"/>
      <c r="J7801" s="401"/>
      <c r="K7801" s="401"/>
      <c r="L7801" s="675"/>
      <c r="M7801" s="672">
        <v>29428</v>
      </c>
      <c r="N7801" s="623">
        <v>1.9263247378860868</v>
      </c>
      <c r="O7801" s="624" t="s">
        <v>71</v>
      </c>
      <c r="P7801" s="397"/>
      <c r="Q7801" s="397"/>
      <c r="R7801" s="397"/>
      <c r="S7801" s="397"/>
      <c r="T7801" s="397"/>
      <c r="U7801" s="397"/>
      <c r="V7801" s="397"/>
      <c r="W7801" s="397"/>
      <c r="X7801" s="397"/>
      <c r="Y7801" s="397"/>
      <c r="Z7801" s="397"/>
      <c r="AD7801" s="388">
        <v>13.990320000000001</v>
      </c>
      <c r="AE7801" s="388">
        <v>0.36880800000000002</v>
      </c>
      <c r="AF7801" s="388">
        <v>5.1597419385600007</v>
      </c>
      <c r="AG7801" s="388">
        <v>0.32613600000000004</v>
      </c>
      <c r="AH7801" s="391"/>
      <c r="AI7801" s="397"/>
      <c r="AJ7801" s="397"/>
      <c r="AU7801" s="397"/>
      <c r="AV7801" s="397"/>
      <c r="AW7801" s="397"/>
      <c r="AX7801" s="397"/>
      <c r="BI7801" s="397"/>
      <c r="BJ7801" s="397"/>
      <c r="BK7801" s="397"/>
      <c r="BL7801" s="397"/>
      <c r="BM7801" s="397"/>
      <c r="BN7801" s="397"/>
      <c r="BO7801" s="397"/>
      <c r="BP7801" s="397"/>
      <c r="BQ7801" s="397"/>
      <c r="BR7801" s="397"/>
      <c r="BS7801" s="397"/>
      <c r="BT7801" s="397"/>
      <c r="BU7801" s="397"/>
      <c r="BV7801" s="397"/>
      <c r="BW7801" s="397"/>
      <c r="BX7801" s="397"/>
      <c r="BY7801" s="397"/>
      <c r="BZ7801" s="397"/>
      <c r="CA7801" s="392" t="s">
        <v>413</v>
      </c>
    </row>
    <row r="7802" spans="1:80" s="392" customFormat="1" ht="15" x14ac:dyDescent="0.25">
      <c r="A7802" s="385"/>
      <c r="D7802" s="700"/>
      <c r="E7802" s="397"/>
      <c r="H7802" s="401">
        <v>3</v>
      </c>
      <c r="I7802" s="401"/>
      <c r="J7802" s="401"/>
      <c r="K7802" s="401"/>
      <c r="L7802" s="675"/>
      <c r="M7802" s="672">
        <v>29444</v>
      </c>
      <c r="N7802" s="623">
        <v>0.99886653442901674</v>
      </c>
      <c r="O7802" s="624" t="s">
        <v>71</v>
      </c>
      <c r="P7802" s="397"/>
      <c r="Q7802" s="397"/>
      <c r="R7802" s="397"/>
      <c r="S7802" s="397"/>
      <c r="T7802" s="397"/>
      <c r="U7802" s="397"/>
      <c r="V7802" s="397"/>
      <c r="W7802" s="397"/>
      <c r="X7802" s="397"/>
      <c r="Y7802" s="397"/>
      <c r="Z7802" s="397"/>
      <c r="AD7802" s="388">
        <v>13.898880000000002</v>
      </c>
      <c r="AE7802" s="388">
        <v>0.31089600000000001</v>
      </c>
      <c r="AF7802" s="388">
        <v>4.3211061964800006</v>
      </c>
      <c r="AG7802" s="388">
        <v>0.17068800000000003</v>
      </c>
      <c r="AH7802" s="391"/>
      <c r="AI7802" s="397"/>
      <c r="AJ7802" s="397"/>
      <c r="AU7802" s="397"/>
      <c r="AV7802" s="397"/>
      <c r="AW7802" s="397"/>
      <c r="AX7802" s="397"/>
      <c r="BI7802" s="397"/>
      <c r="BJ7802" s="397"/>
      <c r="BK7802" s="397"/>
      <c r="BL7802" s="397"/>
      <c r="BM7802" s="397"/>
      <c r="BN7802" s="397"/>
      <c r="BO7802" s="397"/>
      <c r="BP7802" s="397"/>
      <c r="BQ7802" s="397"/>
      <c r="BR7802" s="397"/>
      <c r="BS7802" s="397"/>
      <c r="BT7802" s="397"/>
      <c r="BU7802" s="397"/>
      <c r="BV7802" s="397"/>
      <c r="BW7802" s="397"/>
      <c r="BX7802" s="397"/>
      <c r="BY7802" s="397"/>
      <c r="BZ7802" s="397"/>
      <c r="CA7802" s="392" t="s">
        <v>413</v>
      </c>
    </row>
    <row r="7803" spans="1:80" s="392" customFormat="1" ht="15" x14ac:dyDescent="0.25">
      <c r="A7803" s="385"/>
      <c r="D7803" s="700"/>
      <c r="E7803" s="397"/>
      <c r="H7803" s="401">
        <v>3</v>
      </c>
      <c r="I7803" s="401"/>
      <c r="J7803" s="401"/>
      <c r="K7803" s="401"/>
      <c r="L7803" s="675"/>
      <c r="M7803" s="672">
        <v>29460</v>
      </c>
      <c r="N7803" s="623">
        <v>0.79569283083026354</v>
      </c>
      <c r="O7803" s="624" t="s">
        <v>71</v>
      </c>
      <c r="P7803" s="397"/>
      <c r="Q7803" s="397"/>
      <c r="R7803" s="397"/>
      <c r="S7803" s="397"/>
      <c r="T7803" s="397"/>
      <c r="U7803" s="397"/>
      <c r="V7803" s="397"/>
      <c r="W7803" s="397"/>
      <c r="X7803" s="397"/>
      <c r="Y7803" s="397"/>
      <c r="Z7803" s="397"/>
      <c r="AD7803" s="388">
        <v>13.95984</v>
      </c>
      <c r="AE7803" s="388">
        <v>0.32308800000000004</v>
      </c>
      <c r="AF7803" s="388">
        <v>4.5102567859200002</v>
      </c>
      <c r="AG7803" s="388">
        <v>0.11582400000000001</v>
      </c>
      <c r="AH7803" s="391"/>
      <c r="AI7803" s="397"/>
      <c r="AJ7803" s="397"/>
      <c r="AU7803" s="397"/>
      <c r="AV7803" s="397"/>
      <c r="AW7803" s="397"/>
      <c r="AX7803" s="397"/>
      <c r="BI7803" s="397"/>
      <c r="BJ7803" s="397"/>
      <c r="BK7803" s="397"/>
      <c r="BL7803" s="397"/>
      <c r="BM7803" s="397"/>
      <c r="BN7803" s="397"/>
      <c r="BO7803" s="397"/>
      <c r="BP7803" s="397"/>
      <c r="BQ7803" s="397"/>
      <c r="BR7803" s="397"/>
      <c r="BS7803" s="397"/>
      <c r="BT7803" s="397"/>
      <c r="BU7803" s="397"/>
      <c r="BV7803" s="397"/>
      <c r="BW7803" s="397"/>
      <c r="BX7803" s="397"/>
      <c r="BY7803" s="397"/>
      <c r="BZ7803" s="397"/>
      <c r="CA7803" s="392" t="s">
        <v>413</v>
      </c>
    </row>
    <row r="7804" spans="1:80" s="392" customFormat="1" ht="15" x14ac:dyDescent="0.25">
      <c r="A7804" s="385"/>
      <c r="D7804" s="700"/>
      <c r="E7804" s="397"/>
      <c r="H7804" s="401">
        <v>3</v>
      </c>
      <c r="I7804" s="401"/>
      <c r="J7804" s="401"/>
      <c r="K7804" s="401"/>
      <c r="L7804" s="675"/>
      <c r="M7804" s="672">
        <v>29477</v>
      </c>
      <c r="N7804" s="623">
        <v>0.61858883536412579</v>
      </c>
      <c r="O7804" s="624" t="s">
        <v>71</v>
      </c>
      <c r="P7804" s="397"/>
      <c r="Q7804" s="397"/>
      <c r="R7804" s="397"/>
      <c r="S7804" s="397"/>
      <c r="T7804" s="397"/>
      <c r="U7804" s="397"/>
      <c r="V7804" s="397"/>
      <c r="W7804" s="397"/>
      <c r="X7804" s="397"/>
      <c r="Y7804" s="397"/>
      <c r="Z7804" s="397"/>
      <c r="AD7804" s="388">
        <v>12.893039999999999</v>
      </c>
      <c r="AE7804" s="388">
        <v>0.313944</v>
      </c>
      <c r="AF7804" s="388">
        <v>4.0476925497599998</v>
      </c>
      <c r="AG7804" s="388">
        <v>0.10058400000000001</v>
      </c>
      <c r="AH7804" s="391"/>
      <c r="AI7804" s="397"/>
      <c r="AJ7804" s="397"/>
      <c r="AU7804" s="397"/>
      <c r="AV7804" s="397"/>
      <c r="AW7804" s="397"/>
      <c r="AX7804" s="397"/>
      <c r="BI7804" s="397"/>
      <c r="BJ7804" s="397"/>
      <c r="BK7804" s="397"/>
      <c r="BL7804" s="397"/>
      <c r="BM7804" s="397"/>
      <c r="BN7804" s="397"/>
      <c r="BO7804" s="397"/>
      <c r="BP7804" s="397"/>
      <c r="BQ7804" s="397"/>
      <c r="BR7804" s="397"/>
      <c r="BS7804" s="397"/>
      <c r="BT7804" s="397"/>
      <c r="BU7804" s="397"/>
      <c r="BV7804" s="397"/>
      <c r="BW7804" s="397"/>
      <c r="BX7804" s="397"/>
      <c r="BY7804" s="397"/>
      <c r="BZ7804" s="397"/>
      <c r="CA7804" s="392" t="s">
        <v>413</v>
      </c>
    </row>
    <row r="7805" spans="1:80" s="392" customFormat="1" ht="15" x14ac:dyDescent="0.25">
      <c r="A7805" s="385"/>
      <c r="D7805" s="700"/>
      <c r="E7805" s="397"/>
      <c r="H7805" s="401">
        <v>3</v>
      </c>
      <c r="I7805" s="401"/>
      <c r="J7805" s="401"/>
      <c r="K7805" s="401"/>
      <c r="L7805" s="675"/>
      <c r="M7805" s="672">
        <v>29492</v>
      </c>
      <c r="N7805" s="623">
        <v>0.29356758288466989</v>
      </c>
      <c r="O7805" s="624" t="s">
        <v>71</v>
      </c>
      <c r="P7805" s="397"/>
      <c r="Q7805" s="397"/>
      <c r="R7805" s="397"/>
      <c r="S7805" s="397"/>
      <c r="T7805" s="397"/>
      <c r="U7805" s="397"/>
      <c r="V7805" s="397"/>
      <c r="W7805" s="397"/>
      <c r="X7805" s="397"/>
      <c r="Y7805" s="397"/>
      <c r="Z7805" s="397"/>
      <c r="AD7805" s="388">
        <v>10.728960000000001</v>
      </c>
      <c r="AE7805" s="388">
        <v>0.26822400000000002</v>
      </c>
      <c r="AF7805" s="388">
        <v>2.8777645670400003</v>
      </c>
      <c r="AG7805" s="388">
        <v>6.7056000000000004E-2</v>
      </c>
      <c r="AH7805" s="391"/>
      <c r="AI7805" s="397"/>
      <c r="AJ7805" s="397"/>
      <c r="AU7805" s="397"/>
      <c r="AV7805" s="397"/>
      <c r="AW7805" s="397"/>
      <c r="AX7805" s="397"/>
      <c r="BI7805" s="397"/>
      <c r="BJ7805" s="397"/>
      <c r="BK7805" s="397"/>
      <c r="BL7805" s="397"/>
      <c r="BM7805" s="397"/>
      <c r="BN7805" s="397"/>
      <c r="BO7805" s="397"/>
      <c r="BP7805" s="397"/>
      <c r="BQ7805" s="397"/>
      <c r="BR7805" s="397"/>
      <c r="BS7805" s="397"/>
      <c r="BT7805" s="397"/>
      <c r="BU7805" s="397"/>
      <c r="BV7805" s="397"/>
      <c r="BW7805" s="397"/>
      <c r="BX7805" s="397"/>
      <c r="BY7805" s="397"/>
      <c r="BZ7805" s="397"/>
      <c r="CA7805" s="392" t="s">
        <v>413</v>
      </c>
    </row>
    <row r="7806" spans="1:80" s="189" customFormat="1" ht="15" x14ac:dyDescent="0.25">
      <c r="A7806" s="381" t="s">
        <v>498</v>
      </c>
      <c r="B7806" s="641"/>
      <c r="C7806" s="639"/>
      <c r="D7806" s="4">
        <f>VLOOKUP(E7806,'Quality Code'!$D$4:$E$24,2,TRUE)*VLOOKUP(MROUND(F7806,10),'Quality Code'!$D$28:$E$69,2,TRUE)*VLOOKUP(COUNTA(CB7806:CB7816),'Quality Code'!$D$73:$E$93,2,TRUE)</f>
        <v>7.4999999999999997E-2</v>
      </c>
      <c r="E7806" s="14">
        <v>0.3</v>
      </c>
      <c r="F7806" s="2">
        <v>6</v>
      </c>
      <c r="G7806" s="12"/>
      <c r="H7806" s="2" t="s">
        <v>105</v>
      </c>
      <c r="I7806" s="2"/>
      <c r="J7806" s="2"/>
      <c r="K7806" s="2"/>
      <c r="L7806" s="639"/>
      <c r="M7806" s="640">
        <v>1980</v>
      </c>
      <c r="N7806" s="578" t="s">
        <v>110</v>
      </c>
      <c r="O7806" s="578"/>
      <c r="P7806" s="26"/>
      <c r="Q7806" s="26"/>
      <c r="R7806" s="26"/>
      <c r="S7806" s="26"/>
      <c r="T7806" s="26"/>
      <c r="U7806" s="26"/>
      <c r="V7806" s="10"/>
      <c r="W7806" s="10"/>
      <c r="X7806" s="10"/>
      <c r="Y7806" s="10"/>
      <c r="Z7806" s="26"/>
      <c r="AA7806" s="26"/>
      <c r="AB7806" s="26"/>
      <c r="AC7806" s="3"/>
      <c r="AD7806" s="406"/>
      <c r="AE7806" s="26"/>
      <c r="AF7806" s="26"/>
      <c r="AG7806" s="26"/>
      <c r="AH7806" s="26"/>
      <c r="AI7806" s="4"/>
      <c r="AJ7806" s="4"/>
      <c r="AK7806" s="26"/>
      <c r="AL7806" s="26"/>
      <c r="AM7806" s="26"/>
      <c r="AN7806" s="26"/>
      <c r="AO7806" s="26"/>
      <c r="AP7806" s="26"/>
      <c r="AQ7806" s="26"/>
      <c r="AR7806" s="26"/>
      <c r="AS7806" s="26"/>
      <c r="AT7806" s="26"/>
      <c r="AU7806" s="4"/>
      <c r="AV7806" s="4"/>
      <c r="AW7806" s="4"/>
      <c r="AX7806" s="4"/>
      <c r="AY7806" s="2"/>
      <c r="AZ7806" s="2"/>
      <c r="BA7806" s="12"/>
      <c r="BB7806" s="12"/>
      <c r="BC7806" s="12"/>
      <c r="BD7806" s="12"/>
      <c r="BE7806" s="12"/>
      <c r="BF7806" s="12"/>
      <c r="BG7806" s="12"/>
      <c r="BH7806" s="12"/>
      <c r="BI7806" s="4"/>
      <c r="BJ7806" s="12"/>
      <c r="BK7806" s="2"/>
      <c r="BL7806" s="2"/>
      <c r="BM7806" s="4"/>
      <c r="BN7806" s="12"/>
      <c r="BO7806" s="12"/>
      <c r="BP7806" s="12"/>
      <c r="BQ7806" s="4"/>
      <c r="BR7806" s="4"/>
      <c r="BS7806" s="4"/>
      <c r="BT7806" s="2"/>
      <c r="BU7806" s="9"/>
      <c r="BV7806" s="381"/>
      <c r="BW7806" s="382"/>
      <c r="BX7806" s="383"/>
      <c r="BY7806" s="383"/>
      <c r="BZ7806" s="383"/>
      <c r="CA7806" s="384" t="s">
        <v>413</v>
      </c>
      <c r="CB7806" s="411"/>
    </row>
    <row r="7807" spans="1:80" s="392" customFormat="1" ht="15" x14ac:dyDescent="0.25">
      <c r="A7807" s="385"/>
      <c r="D7807" s="700"/>
      <c r="E7807" s="397"/>
      <c r="H7807" s="401">
        <v>3</v>
      </c>
      <c r="I7807" s="401"/>
      <c r="J7807" s="401"/>
      <c r="K7807" s="401"/>
      <c r="L7807" s="675"/>
      <c r="M7807" s="672">
        <v>29351</v>
      </c>
      <c r="N7807" s="623">
        <v>1.0988948710682913</v>
      </c>
      <c r="O7807" s="624">
        <v>1.4376266666666667E-2</v>
      </c>
      <c r="P7807" s="397"/>
      <c r="Q7807" s="397"/>
      <c r="R7807" s="397"/>
      <c r="S7807" s="397"/>
      <c r="T7807" s="397"/>
      <c r="U7807" s="397"/>
      <c r="V7807" s="397"/>
      <c r="W7807" s="397"/>
      <c r="X7807" s="397"/>
      <c r="Y7807" s="397"/>
      <c r="Z7807" s="397"/>
      <c r="AD7807" s="388">
        <v>9.7231199999999998</v>
      </c>
      <c r="AE7807" s="388">
        <v>0.19507200000000002</v>
      </c>
      <c r="AF7807" s="388">
        <v>1.8967084646400001</v>
      </c>
      <c r="AG7807" s="388">
        <v>0.43281599999999998</v>
      </c>
      <c r="AH7807" s="391"/>
      <c r="AI7807" s="397"/>
      <c r="AJ7807" s="397"/>
      <c r="AU7807" s="397"/>
      <c r="AV7807" s="397"/>
      <c r="AW7807" s="397"/>
      <c r="AX7807" s="397"/>
      <c r="BI7807" s="397"/>
      <c r="BJ7807" s="397"/>
      <c r="BK7807" s="397"/>
      <c r="BL7807" s="397"/>
      <c r="BM7807" s="397"/>
      <c r="BN7807" s="397"/>
      <c r="BO7807" s="397"/>
      <c r="BP7807" s="397"/>
      <c r="BQ7807" s="397"/>
      <c r="BR7807" s="397"/>
      <c r="BS7807" s="397"/>
      <c r="BT7807" s="397"/>
      <c r="BU7807" s="397"/>
      <c r="BV7807" s="397"/>
      <c r="BW7807" s="397"/>
      <c r="BX7807" s="397"/>
      <c r="BY7807" s="397"/>
      <c r="BZ7807" s="397"/>
      <c r="CA7807" s="392" t="s">
        <v>413</v>
      </c>
    </row>
    <row r="7808" spans="1:80" s="392" customFormat="1" ht="15" x14ac:dyDescent="0.25">
      <c r="A7808" s="385"/>
      <c r="D7808" s="700"/>
      <c r="E7808" s="397"/>
      <c r="H7808" s="401">
        <v>3</v>
      </c>
      <c r="I7808" s="401"/>
      <c r="J7808" s="401"/>
      <c r="K7808" s="401"/>
      <c r="L7808" s="675"/>
      <c r="M7808" s="672">
        <v>29360</v>
      </c>
      <c r="N7808" s="623">
        <v>0.6457920090677246</v>
      </c>
      <c r="O7808" s="624">
        <v>1.3066666666666666E-2</v>
      </c>
      <c r="P7808" s="397"/>
      <c r="Q7808" s="397"/>
      <c r="R7808" s="397"/>
      <c r="S7808" s="397"/>
      <c r="T7808" s="397"/>
      <c r="U7808" s="397"/>
      <c r="V7808" s="397"/>
      <c r="W7808" s="397"/>
      <c r="X7808" s="397"/>
      <c r="Y7808" s="397"/>
      <c r="Z7808" s="397"/>
      <c r="AD7808" s="388">
        <v>5.9740800000000007</v>
      </c>
      <c r="AE7808" s="388">
        <v>0.19507200000000002</v>
      </c>
      <c r="AF7808" s="388">
        <v>1.1653757337600004</v>
      </c>
      <c r="AG7808" s="388">
        <v>0.37185600000000002</v>
      </c>
      <c r="AH7808" s="391"/>
      <c r="AI7808" s="397"/>
      <c r="AJ7808" s="397"/>
      <c r="AU7808" s="397"/>
      <c r="AV7808" s="397"/>
      <c r="AW7808" s="397"/>
      <c r="AX7808" s="397"/>
      <c r="BI7808" s="397"/>
      <c r="BJ7808" s="397"/>
      <c r="BK7808" s="397"/>
      <c r="BL7808" s="397"/>
      <c r="BM7808" s="397"/>
      <c r="BN7808" s="397"/>
      <c r="BO7808" s="397"/>
      <c r="BP7808" s="397"/>
      <c r="BQ7808" s="397"/>
      <c r="BR7808" s="397"/>
      <c r="BS7808" s="397"/>
      <c r="BT7808" s="397"/>
      <c r="BU7808" s="397"/>
      <c r="BV7808" s="397"/>
      <c r="BW7808" s="397"/>
      <c r="BX7808" s="397"/>
      <c r="BY7808" s="397"/>
      <c r="BZ7808" s="397"/>
      <c r="CA7808" s="392" t="s">
        <v>413</v>
      </c>
    </row>
    <row r="7809" spans="1:80" s="392" customFormat="1" ht="15" x14ac:dyDescent="0.25">
      <c r="A7809" s="385"/>
      <c r="D7809" s="700"/>
      <c r="E7809" s="397"/>
      <c r="H7809" s="401">
        <v>3</v>
      </c>
      <c r="I7809" s="401"/>
      <c r="J7809" s="401"/>
      <c r="K7809" s="401"/>
      <c r="L7809" s="675"/>
      <c r="M7809" s="672">
        <v>29368</v>
      </c>
      <c r="N7809" s="623">
        <v>1.5749504108812695</v>
      </c>
      <c r="O7809" s="624">
        <v>3.6506600000000007E-2</v>
      </c>
      <c r="P7809" s="397"/>
      <c r="Q7809" s="397"/>
      <c r="R7809" s="397"/>
      <c r="S7809" s="397"/>
      <c r="T7809" s="397"/>
      <c r="U7809" s="397"/>
      <c r="V7809" s="397"/>
      <c r="W7809" s="397"/>
      <c r="X7809" s="397"/>
      <c r="Y7809" s="397"/>
      <c r="Z7809" s="397"/>
      <c r="AD7809" s="388">
        <v>6.757416000000001</v>
      </c>
      <c r="AE7809" s="388">
        <v>0.26822400000000002</v>
      </c>
      <c r="AF7809" s="388">
        <v>1.8125011491840004</v>
      </c>
      <c r="AG7809" s="388">
        <v>0.58521599999999996</v>
      </c>
      <c r="AH7809" s="391"/>
      <c r="AI7809" s="397"/>
      <c r="AJ7809" s="397"/>
      <c r="AU7809" s="397"/>
      <c r="AV7809" s="397"/>
      <c r="AW7809" s="397"/>
      <c r="AX7809" s="397"/>
      <c r="BI7809" s="397"/>
      <c r="BJ7809" s="397"/>
      <c r="BK7809" s="397"/>
      <c r="BL7809" s="397"/>
      <c r="BM7809" s="397"/>
      <c r="BN7809" s="397"/>
      <c r="BO7809" s="397"/>
      <c r="BP7809" s="397"/>
      <c r="BQ7809" s="397"/>
      <c r="BR7809" s="397"/>
      <c r="BS7809" s="397"/>
      <c r="BT7809" s="397"/>
      <c r="BU7809" s="397"/>
      <c r="BV7809" s="397"/>
      <c r="BW7809" s="397"/>
      <c r="BX7809" s="397"/>
      <c r="BY7809" s="397"/>
      <c r="BZ7809" s="397"/>
      <c r="CA7809" s="392" t="s">
        <v>413</v>
      </c>
    </row>
    <row r="7810" spans="1:80" s="392" customFormat="1" ht="15" x14ac:dyDescent="0.25">
      <c r="A7810" s="385"/>
      <c r="D7810" s="700"/>
      <c r="E7810" s="397"/>
      <c r="H7810" s="401">
        <v>3</v>
      </c>
      <c r="I7810" s="401"/>
      <c r="J7810" s="401"/>
      <c r="K7810" s="401"/>
      <c r="L7810" s="675"/>
      <c r="M7810" s="672">
        <v>29371</v>
      </c>
      <c r="N7810" s="623">
        <v>1.3525077925758004</v>
      </c>
      <c r="O7810" s="624">
        <v>2.307648E-2</v>
      </c>
      <c r="P7810" s="397"/>
      <c r="Q7810" s="397"/>
      <c r="R7810" s="397"/>
      <c r="S7810" s="397"/>
      <c r="T7810" s="397"/>
      <c r="U7810" s="397"/>
      <c r="V7810" s="397"/>
      <c r="W7810" s="397"/>
      <c r="X7810" s="397"/>
      <c r="Y7810" s="397"/>
      <c r="Z7810" s="397"/>
      <c r="AD7810" s="388">
        <v>6.5288160000000008</v>
      </c>
      <c r="AE7810" s="388">
        <v>0.29260799999999998</v>
      </c>
      <c r="AF7810" s="388">
        <v>1.910383792128</v>
      </c>
      <c r="AG7810" s="388">
        <v>0.46329600000000004</v>
      </c>
      <c r="AH7810" s="391"/>
      <c r="AI7810" s="397"/>
      <c r="AJ7810" s="397"/>
      <c r="AU7810" s="397"/>
      <c r="AV7810" s="397"/>
      <c r="AW7810" s="397"/>
      <c r="AX7810" s="397"/>
      <c r="BI7810" s="397"/>
      <c r="BJ7810" s="397"/>
      <c r="BK7810" s="397"/>
      <c r="BL7810" s="397"/>
      <c r="BM7810" s="397"/>
      <c r="BN7810" s="397"/>
      <c r="BO7810" s="397"/>
      <c r="BP7810" s="397"/>
      <c r="BQ7810" s="397"/>
      <c r="BR7810" s="397"/>
      <c r="BS7810" s="397"/>
      <c r="BT7810" s="397"/>
      <c r="BU7810" s="397"/>
      <c r="BV7810" s="397"/>
      <c r="BW7810" s="397"/>
      <c r="BX7810" s="397"/>
      <c r="BY7810" s="397"/>
      <c r="BZ7810" s="397"/>
      <c r="CA7810" s="392" t="s">
        <v>413</v>
      </c>
    </row>
    <row r="7811" spans="1:80" s="392" customFormat="1" ht="15" x14ac:dyDescent="0.25">
      <c r="A7811" s="385"/>
      <c r="D7811" s="700"/>
      <c r="E7811" s="397"/>
      <c r="H7811" s="401">
        <v>3</v>
      </c>
      <c r="I7811" s="401"/>
      <c r="J7811" s="401"/>
      <c r="K7811" s="401"/>
      <c r="L7811" s="675"/>
      <c r="M7811" s="672">
        <v>29379</v>
      </c>
      <c r="N7811" s="623">
        <v>1.9818645508642674</v>
      </c>
      <c r="O7811" s="624">
        <v>2.4164026666666664E-2</v>
      </c>
      <c r="P7811" s="397"/>
      <c r="Q7811" s="397"/>
      <c r="R7811" s="397"/>
      <c r="S7811" s="397"/>
      <c r="T7811" s="397"/>
      <c r="U7811" s="397"/>
      <c r="V7811" s="397"/>
      <c r="W7811" s="397"/>
      <c r="X7811" s="397"/>
      <c r="Y7811" s="397"/>
      <c r="Z7811" s="397"/>
      <c r="AD7811" s="388">
        <v>7.8242160000000007</v>
      </c>
      <c r="AE7811" s="388">
        <v>0.24384000000000003</v>
      </c>
      <c r="AF7811" s="388">
        <v>1.9078568294400005</v>
      </c>
      <c r="AG7811" s="388">
        <v>0.55778400000000006</v>
      </c>
      <c r="AH7811" s="391"/>
      <c r="AI7811" s="397"/>
      <c r="AJ7811" s="397"/>
      <c r="AU7811" s="397"/>
      <c r="AV7811" s="397"/>
      <c r="AW7811" s="397"/>
      <c r="AX7811" s="397"/>
      <c r="BI7811" s="397"/>
      <c r="BJ7811" s="397"/>
      <c r="BK7811" s="397"/>
      <c r="BL7811" s="397"/>
      <c r="BM7811" s="397"/>
      <c r="BN7811" s="397"/>
      <c r="BO7811" s="397"/>
      <c r="BP7811" s="397"/>
      <c r="BQ7811" s="397"/>
      <c r="BR7811" s="397"/>
      <c r="BS7811" s="397"/>
      <c r="BT7811" s="397"/>
      <c r="BU7811" s="397"/>
      <c r="BV7811" s="397"/>
      <c r="BW7811" s="397"/>
      <c r="BX7811" s="397"/>
      <c r="BY7811" s="397"/>
      <c r="BZ7811" s="397"/>
      <c r="CA7811" s="392" t="s">
        <v>413</v>
      </c>
    </row>
    <row r="7812" spans="1:80" s="392" customFormat="1" ht="15" x14ac:dyDescent="0.25">
      <c r="A7812" s="385"/>
      <c r="D7812" s="700"/>
      <c r="E7812" s="397"/>
      <c r="H7812" s="401">
        <v>3</v>
      </c>
      <c r="I7812" s="401"/>
      <c r="J7812" s="401"/>
      <c r="K7812" s="401"/>
      <c r="L7812" s="675"/>
      <c r="M7812" s="672">
        <v>29385</v>
      </c>
      <c r="N7812" s="623">
        <v>1.5196939642958347</v>
      </c>
      <c r="O7812" s="624">
        <v>2.8819999999999998E-2</v>
      </c>
      <c r="P7812" s="397"/>
      <c r="Q7812" s="397"/>
      <c r="R7812" s="397"/>
      <c r="S7812" s="397"/>
      <c r="T7812" s="397"/>
      <c r="U7812" s="397"/>
      <c r="V7812" s="397"/>
      <c r="W7812" s="397"/>
      <c r="X7812" s="397"/>
      <c r="Y7812" s="397"/>
      <c r="Z7812" s="397"/>
      <c r="AD7812" s="388">
        <v>6.7056000000000004</v>
      </c>
      <c r="AE7812" s="388">
        <v>0.30480000000000002</v>
      </c>
      <c r="AF7812" s="388">
        <v>2.0438668800000004</v>
      </c>
      <c r="AG7812" s="388">
        <v>0.55168800000000007</v>
      </c>
      <c r="AH7812" s="391"/>
      <c r="AI7812" s="397"/>
      <c r="AJ7812" s="397"/>
      <c r="AU7812" s="397"/>
      <c r="AV7812" s="397"/>
      <c r="AW7812" s="397"/>
      <c r="AX7812" s="397"/>
      <c r="BI7812" s="397"/>
      <c r="BJ7812" s="397"/>
      <c r="BK7812" s="397"/>
      <c r="BL7812" s="397"/>
      <c r="BM7812" s="397"/>
      <c r="BN7812" s="397"/>
      <c r="BO7812" s="397"/>
      <c r="BP7812" s="397"/>
      <c r="BQ7812" s="397"/>
      <c r="BR7812" s="397"/>
      <c r="BS7812" s="397"/>
      <c r="BT7812" s="397"/>
      <c r="BU7812" s="397"/>
      <c r="BV7812" s="397"/>
      <c r="BW7812" s="397"/>
      <c r="BX7812" s="397"/>
      <c r="BY7812" s="397"/>
      <c r="BZ7812" s="397"/>
      <c r="CA7812" s="392" t="s">
        <v>413</v>
      </c>
    </row>
    <row r="7813" spans="1:80" s="189" customFormat="1" ht="15" x14ac:dyDescent="0.25">
      <c r="A7813" s="381" t="s">
        <v>499</v>
      </c>
      <c r="B7813" s="641"/>
      <c r="C7813" s="639"/>
      <c r="D7813" s="4">
        <f>VLOOKUP(E7813,'Quality Code'!$D$4:$E$24,2,TRUE)*VLOOKUP(MROUND(F7813,10),'Quality Code'!$D$28:$E$69,2,TRUE)*VLOOKUP(COUNTA(CB7813:CB7823),'Quality Code'!$D$73:$E$93,2,TRUE)</f>
        <v>0</v>
      </c>
      <c r="E7813" s="14">
        <v>0.35</v>
      </c>
      <c r="F7813" s="2">
        <v>2</v>
      </c>
      <c r="G7813" s="12"/>
      <c r="H7813" s="2" t="s">
        <v>105</v>
      </c>
      <c r="I7813" s="2"/>
      <c r="J7813" s="2"/>
      <c r="K7813" s="2"/>
      <c r="L7813" s="639"/>
      <c r="M7813" s="640">
        <v>1980</v>
      </c>
      <c r="N7813" s="578" t="s">
        <v>110</v>
      </c>
      <c r="O7813" s="578"/>
      <c r="P7813" s="26"/>
      <c r="Q7813" s="26"/>
      <c r="R7813" s="26"/>
      <c r="S7813" s="26"/>
      <c r="T7813" s="26"/>
      <c r="U7813" s="26"/>
      <c r="V7813" s="10"/>
      <c r="W7813" s="10"/>
      <c r="X7813" s="10"/>
      <c r="Y7813" s="10"/>
      <c r="Z7813" s="26"/>
      <c r="AA7813" s="26"/>
      <c r="AB7813" s="26"/>
      <c r="AC7813" s="3">
        <v>3.2000000000000001E-2</v>
      </c>
      <c r="AD7813" s="406"/>
      <c r="AE7813" s="26"/>
      <c r="AF7813" s="26"/>
      <c r="AG7813" s="26"/>
      <c r="AH7813" s="26"/>
      <c r="AI7813" s="4"/>
      <c r="AJ7813" s="4"/>
      <c r="AK7813" s="26"/>
      <c r="AL7813" s="26"/>
      <c r="AM7813" s="26"/>
      <c r="AN7813" s="26"/>
      <c r="AO7813" s="26"/>
      <c r="AP7813" s="26"/>
      <c r="AQ7813" s="26"/>
      <c r="AR7813" s="26"/>
      <c r="AS7813" s="26"/>
      <c r="AT7813" s="26"/>
      <c r="AU7813" s="4"/>
      <c r="AV7813" s="4"/>
      <c r="AW7813" s="4"/>
      <c r="AX7813" s="4"/>
      <c r="AY7813" s="2"/>
      <c r="AZ7813" s="2"/>
      <c r="BA7813" s="12"/>
      <c r="BB7813" s="12"/>
      <c r="BC7813" s="12"/>
      <c r="BD7813" s="12"/>
      <c r="BE7813" s="12"/>
      <c r="BF7813" s="12"/>
      <c r="BG7813" s="12"/>
      <c r="BH7813" s="12"/>
      <c r="BI7813" s="4"/>
      <c r="BJ7813" s="12"/>
      <c r="BK7813" s="2"/>
      <c r="BL7813" s="2"/>
      <c r="BM7813" s="4"/>
      <c r="BN7813" s="12"/>
      <c r="BO7813" s="12"/>
      <c r="BP7813" s="12"/>
      <c r="BQ7813" s="4"/>
      <c r="BR7813" s="4"/>
      <c r="BS7813" s="4"/>
      <c r="BT7813" s="2"/>
      <c r="BU7813" s="9"/>
      <c r="BV7813" s="381"/>
      <c r="BW7813" s="382"/>
      <c r="BX7813" s="383"/>
      <c r="BY7813" s="383"/>
      <c r="BZ7813" s="383"/>
      <c r="CA7813" s="384" t="s">
        <v>413</v>
      </c>
      <c r="CB7813" s="411"/>
    </row>
    <row r="7814" spans="1:80" s="392" customFormat="1" ht="15" x14ac:dyDescent="0.25">
      <c r="A7814" s="385"/>
      <c r="D7814" s="700"/>
      <c r="E7814" s="397"/>
      <c r="H7814" s="401">
        <v>3</v>
      </c>
      <c r="I7814" s="401"/>
      <c r="J7814" s="401"/>
      <c r="K7814" s="401"/>
      <c r="L7814" s="675"/>
      <c r="M7814" s="672">
        <v>29398</v>
      </c>
      <c r="N7814" s="623">
        <v>0.74638707849249075</v>
      </c>
      <c r="O7814" s="624">
        <v>9.6968666666666665E-3</v>
      </c>
      <c r="P7814" s="397"/>
      <c r="Q7814" s="397"/>
      <c r="R7814" s="397"/>
      <c r="S7814" s="397"/>
      <c r="T7814" s="397"/>
      <c r="U7814" s="397"/>
      <c r="V7814" s="397"/>
      <c r="W7814" s="397"/>
      <c r="X7814" s="397"/>
      <c r="Y7814" s="397"/>
      <c r="Z7814" s="397"/>
      <c r="AD7814" s="388">
        <v>2.3469600000000002</v>
      </c>
      <c r="AE7814" s="388"/>
      <c r="AF7814" s="388"/>
      <c r="AG7814" s="388"/>
      <c r="AH7814" s="391"/>
      <c r="AI7814" s="397"/>
      <c r="AJ7814" s="397"/>
      <c r="AU7814" s="397"/>
      <c r="AV7814" s="397"/>
      <c r="AW7814" s="397"/>
      <c r="AX7814" s="397"/>
      <c r="BI7814" s="397"/>
      <c r="BJ7814" s="397"/>
      <c r="BK7814" s="397"/>
      <c r="BL7814" s="397"/>
      <c r="BM7814" s="397"/>
      <c r="BN7814" s="397"/>
      <c r="BO7814" s="397"/>
      <c r="BP7814" s="397"/>
      <c r="BQ7814" s="397"/>
      <c r="BR7814" s="397"/>
      <c r="BS7814" s="397"/>
      <c r="BT7814" s="397"/>
      <c r="BU7814" s="397"/>
      <c r="BV7814" s="397"/>
      <c r="BW7814" s="397"/>
      <c r="BX7814" s="397"/>
      <c r="BY7814" s="397"/>
      <c r="BZ7814" s="397"/>
      <c r="CA7814" s="392" t="s">
        <v>413</v>
      </c>
    </row>
    <row r="7815" spans="1:80" s="392" customFormat="1" ht="15" x14ac:dyDescent="0.25">
      <c r="A7815" s="385"/>
      <c r="D7815" s="700"/>
      <c r="E7815" s="397"/>
      <c r="H7815" s="401">
        <v>3</v>
      </c>
      <c r="I7815" s="401"/>
      <c r="J7815" s="401"/>
      <c r="K7815" s="401"/>
      <c r="L7815" s="675"/>
      <c r="M7815" s="672">
        <v>29411</v>
      </c>
      <c r="N7815" s="623">
        <v>0.19467271181637857</v>
      </c>
      <c r="O7815" s="624" t="s">
        <v>71</v>
      </c>
      <c r="P7815" s="397"/>
      <c r="Q7815" s="397"/>
      <c r="R7815" s="397"/>
      <c r="S7815" s="397"/>
      <c r="T7815" s="397"/>
      <c r="U7815" s="397"/>
      <c r="V7815" s="397"/>
      <c r="W7815" s="397"/>
      <c r="X7815" s="397"/>
      <c r="Y7815" s="397"/>
      <c r="Z7815" s="397"/>
      <c r="AD7815" s="388">
        <v>1.8288000000000002</v>
      </c>
      <c r="AE7815" s="388">
        <v>0.18592800000000001</v>
      </c>
      <c r="AF7815" s="388">
        <v>0.34002512640000004</v>
      </c>
      <c r="AG7815" s="388">
        <v>0.40233600000000003</v>
      </c>
      <c r="AH7815" s="391"/>
      <c r="AI7815" s="397"/>
      <c r="AJ7815" s="397"/>
      <c r="AU7815" s="397"/>
      <c r="AV7815" s="397"/>
      <c r="AW7815" s="397"/>
      <c r="AX7815" s="397"/>
      <c r="BI7815" s="397"/>
      <c r="BJ7815" s="397"/>
      <c r="BK7815" s="397"/>
      <c r="BL7815" s="397"/>
      <c r="BM7815" s="397"/>
      <c r="BN7815" s="397"/>
      <c r="BO7815" s="397"/>
      <c r="BP7815" s="397"/>
      <c r="BQ7815" s="397"/>
      <c r="BR7815" s="397"/>
      <c r="BS7815" s="397"/>
      <c r="BT7815" s="397"/>
      <c r="BU7815" s="397"/>
      <c r="BV7815" s="397"/>
      <c r="BW7815" s="397"/>
      <c r="BX7815" s="397"/>
      <c r="BY7815" s="397"/>
      <c r="BZ7815" s="397"/>
      <c r="CA7815" s="392" t="s">
        <v>413</v>
      </c>
    </row>
    <row r="7816" spans="1:80" s="392" customFormat="1" ht="15" x14ac:dyDescent="0.25">
      <c r="A7816" s="385"/>
      <c r="D7816" s="700"/>
      <c r="E7816" s="397"/>
      <c r="H7816" s="401">
        <v>3</v>
      </c>
      <c r="I7816" s="401"/>
      <c r="J7816" s="401"/>
      <c r="K7816" s="401"/>
      <c r="L7816" s="675"/>
      <c r="M7816" s="672">
        <v>29417</v>
      </c>
      <c r="N7816" s="623">
        <v>0.10909606120714084</v>
      </c>
      <c r="O7816" s="624">
        <v>8.917333333333334E-4</v>
      </c>
      <c r="P7816" s="397"/>
      <c r="Q7816" s="397"/>
      <c r="R7816" s="397"/>
      <c r="S7816" s="397"/>
      <c r="T7816" s="397"/>
      <c r="U7816" s="397"/>
      <c r="V7816" s="397"/>
      <c r="W7816" s="397"/>
      <c r="X7816" s="397"/>
      <c r="Y7816" s="397"/>
      <c r="Z7816" s="397"/>
      <c r="AD7816" s="388">
        <v>1.9507200000000002</v>
      </c>
      <c r="AE7816" s="388">
        <v>0.14325599999999999</v>
      </c>
      <c r="AF7816" s="388">
        <v>0.27945234432000005</v>
      </c>
      <c r="AG7816" s="388">
        <v>0.277368</v>
      </c>
      <c r="AH7816" s="391"/>
      <c r="AI7816" s="397"/>
      <c r="AJ7816" s="397"/>
      <c r="AU7816" s="397"/>
      <c r="AV7816" s="397"/>
      <c r="AW7816" s="397"/>
      <c r="AX7816" s="397"/>
      <c r="BI7816" s="397"/>
      <c r="BJ7816" s="397"/>
      <c r="BK7816" s="397"/>
      <c r="BL7816" s="397"/>
      <c r="BM7816" s="397"/>
      <c r="BN7816" s="397"/>
      <c r="BO7816" s="397"/>
      <c r="BP7816" s="397"/>
      <c r="BQ7816" s="397"/>
      <c r="BR7816" s="397"/>
      <c r="BS7816" s="397"/>
      <c r="BT7816" s="397"/>
      <c r="BU7816" s="397"/>
      <c r="BV7816" s="397"/>
      <c r="BW7816" s="397"/>
      <c r="BX7816" s="397"/>
      <c r="BY7816" s="397"/>
      <c r="BZ7816" s="397"/>
      <c r="CA7816" s="392" t="s">
        <v>413</v>
      </c>
    </row>
    <row r="7817" spans="1:80" s="392" customFormat="1" ht="15" x14ac:dyDescent="0.25">
      <c r="A7817" s="385"/>
      <c r="D7817" s="700"/>
      <c r="E7817" s="397"/>
      <c r="H7817" s="401">
        <v>3</v>
      </c>
      <c r="I7817" s="401"/>
      <c r="J7817" s="401"/>
      <c r="K7817" s="401"/>
      <c r="L7817" s="675"/>
      <c r="M7817" s="672">
        <v>29424</v>
      </c>
      <c r="N7817" s="623">
        <v>5.5256446585434965E-2</v>
      </c>
      <c r="O7817" s="624" t="s">
        <v>71</v>
      </c>
      <c r="P7817" s="397"/>
      <c r="Q7817" s="397"/>
      <c r="R7817" s="397"/>
      <c r="S7817" s="397"/>
      <c r="T7817" s="397"/>
      <c r="U7817" s="397"/>
      <c r="V7817" s="397"/>
      <c r="W7817" s="397"/>
      <c r="X7817" s="397"/>
      <c r="Y7817" s="397"/>
      <c r="Z7817" s="397"/>
      <c r="AD7817" s="388">
        <v>1.0668</v>
      </c>
      <c r="AE7817" s="388">
        <v>0.16459200000000002</v>
      </c>
      <c r="AF7817" s="388">
        <v>0.17558674560000001</v>
      </c>
      <c r="AG7817" s="388">
        <v>0.24688800000000002</v>
      </c>
      <c r="AH7817" s="391"/>
      <c r="AI7817" s="397"/>
      <c r="AJ7817" s="397"/>
      <c r="AU7817" s="397"/>
      <c r="AV7817" s="397"/>
      <c r="AW7817" s="397"/>
      <c r="AX7817" s="397"/>
      <c r="BI7817" s="397"/>
      <c r="BJ7817" s="397"/>
      <c r="BK7817" s="397"/>
      <c r="BL7817" s="397"/>
      <c r="BM7817" s="397"/>
      <c r="BN7817" s="397"/>
      <c r="BO7817" s="397"/>
      <c r="BP7817" s="397"/>
      <c r="BQ7817" s="397"/>
      <c r="BR7817" s="397"/>
      <c r="BS7817" s="397"/>
      <c r="BT7817" s="397"/>
      <c r="BU7817" s="397"/>
      <c r="BV7817" s="397"/>
      <c r="BW7817" s="397"/>
      <c r="BX7817" s="397"/>
      <c r="BY7817" s="397"/>
      <c r="BZ7817" s="397"/>
      <c r="CA7817" s="392" t="s">
        <v>413</v>
      </c>
    </row>
    <row r="7818" spans="1:80" s="392" customFormat="1" ht="15" x14ac:dyDescent="0.25">
      <c r="A7818" s="385"/>
      <c r="D7818" s="700"/>
      <c r="E7818" s="397"/>
      <c r="H7818" s="401">
        <v>3</v>
      </c>
      <c r="I7818" s="401"/>
      <c r="J7818" s="401"/>
      <c r="K7818" s="401"/>
      <c r="L7818" s="675"/>
      <c r="M7818" s="672">
        <v>29431</v>
      </c>
      <c r="N7818" s="623">
        <v>3.768773023519411E-2</v>
      </c>
      <c r="O7818" s="624" t="s">
        <v>71</v>
      </c>
      <c r="P7818" s="397"/>
      <c r="Q7818" s="397"/>
      <c r="R7818" s="397"/>
      <c r="S7818" s="397"/>
      <c r="T7818" s="397"/>
      <c r="U7818" s="397"/>
      <c r="V7818" s="397"/>
      <c r="W7818" s="397"/>
      <c r="X7818" s="397"/>
      <c r="Y7818" s="397"/>
      <c r="Z7818" s="397"/>
      <c r="AD7818" s="388">
        <v>2.6822400000000002</v>
      </c>
      <c r="AE7818" s="388">
        <v>0.112776</v>
      </c>
      <c r="AF7818" s="388">
        <v>0.30249229824000001</v>
      </c>
      <c r="AG7818" s="388">
        <v>0.112776</v>
      </c>
      <c r="AH7818" s="391"/>
      <c r="AI7818" s="397"/>
      <c r="AJ7818" s="397"/>
      <c r="AU7818" s="397"/>
      <c r="AV7818" s="397"/>
      <c r="AW7818" s="397"/>
      <c r="AX7818" s="397"/>
      <c r="BI7818" s="397"/>
      <c r="BJ7818" s="397"/>
      <c r="BK7818" s="397"/>
      <c r="BL7818" s="397"/>
      <c r="BM7818" s="397"/>
      <c r="BN7818" s="397"/>
      <c r="BO7818" s="397"/>
      <c r="BP7818" s="397"/>
      <c r="BQ7818" s="397"/>
      <c r="BR7818" s="397"/>
      <c r="BS7818" s="397"/>
      <c r="BT7818" s="397"/>
      <c r="BU7818" s="397"/>
      <c r="BV7818" s="397"/>
      <c r="BW7818" s="397"/>
      <c r="BX7818" s="397"/>
      <c r="BY7818" s="397"/>
      <c r="BZ7818" s="397"/>
      <c r="CA7818" s="392" t="s">
        <v>413</v>
      </c>
    </row>
    <row r="7819" spans="1:80" s="392" customFormat="1" ht="15" x14ac:dyDescent="0.25">
      <c r="A7819" s="385"/>
      <c r="D7819" s="700"/>
      <c r="E7819" s="397"/>
      <c r="H7819" s="401">
        <v>3</v>
      </c>
      <c r="I7819" s="401"/>
      <c r="J7819" s="401"/>
      <c r="K7819" s="401"/>
      <c r="L7819" s="675"/>
      <c r="M7819" s="672">
        <v>29446</v>
      </c>
      <c r="N7819" s="623">
        <v>2.4652876168886371E-2</v>
      </c>
      <c r="O7819" s="624" t="s">
        <v>71</v>
      </c>
      <c r="P7819" s="397"/>
      <c r="Q7819" s="397"/>
      <c r="R7819" s="397"/>
      <c r="S7819" s="397"/>
      <c r="T7819" s="397"/>
      <c r="U7819" s="397"/>
      <c r="V7819" s="397"/>
      <c r="W7819" s="397"/>
      <c r="X7819" s="397"/>
      <c r="Y7819" s="397"/>
      <c r="Z7819" s="397"/>
      <c r="AD7819" s="388">
        <v>2.3469600000000002</v>
      </c>
      <c r="AE7819" s="388">
        <v>9.4488000000000003E-2</v>
      </c>
      <c r="AF7819" s="388">
        <v>0.22175955648000001</v>
      </c>
      <c r="AG7819" s="388">
        <v>0.10058400000000001</v>
      </c>
      <c r="AH7819" s="391"/>
      <c r="AI7819" s="397"/>
      <c r="AJ7819" s="397"/>
      <c r="AU7819" s="397"/>
      <c r="AV7819" s="397"/>
      <c r="AW7819" s="397"/>
      <c r="AX7819" s="397"/>
      <c r="BI7819" s="397"/>
      <c r="BJ7819" s="397"/>
      <c r="BK7819" s="397"/>
      <c r="BL7819" s="397"/>
      <c r="BM7819" s="397"/>
      <c r="BN7819" s="397"/>
      <c r="BO7819" s="397"/>
      <c r="BP7819" s="397"/>
      <c r="BQ7819" s="397"/>
      <c r="BR7819" s="397"/>
      <c r="BS7819" s="397"/>
      <c r="BT7819" s="397"/>
      <c r="BU7819" s="397"/>
      <c r="BV7819" s="397"/>
      <c r="BW7819" s="397"/>
      <c r="BX7819" s="397"/>
      <c r="BY7819" s="397"/>
      <c r="BZ7819" s="397"/>
      <c r="CA7819" s="392" t="s">
        <v>413</v>
      </c>
    </row>
    <row r="7820" spans="1:80" s="392" customFormat="1" ht="15" x14ac:dyDescent="0.25">
      <c r="A7820" s="385"/>
      <c r="D7820" s="700"/>
      <c r="E7820" s="397"/>
      <c r="H7820" s="401">
        <v>3</v>
      </c>
      <c r="I7820" s="401"/>
      <c r="J7820" s="401"/>
      <c r="K7820" s="401"/>
      <c r="L7820" s="675"/>
      <c r="M7820" s="672">
        <v>29461</v>
      </c>
      <c r="N7820" s="623">
        <v>2.7769906489090394E-2</v>
      </c>
      <c r="O7820" s="624" t="s">
        <v>71</v>
      </c>
      <c r="P7820" s="397"/>
      <c r="Q7820" s="397"/>
      <c r="R7820" s="397"/>
      <c r="S7820" s="397"/>
      <c r="T7820" s="397"/>
      <c r="U7820" s="397"/>
      <c r="V7820" s="397"/>
      <c r="W7820" s="397"/>
      <c r="X7820" s="397"/>
      <c r="Y7820" s="397"/>
      <c r="Z7820" s="397"/>
      <c r="AD7820" s="388">
        <v>2.5603200000000004</v>
      </c>
      <c r="AE7820" s="388">
        <v>0.112776</v>
      </c>
      <c r="AF7820" s="388">
        <v>0.28874264832000007</v>
      </c>
      <c r="AG7820" s="388">
        <v>8.2296000000000008E-2</v>
      </c>
      <c r="AH7820" s="391"/>
      <c r="AI7820" s="397"/>
      <c r="AJ7820" s="397"/>
      <c r="AU7820" s="397"/>
      <c r="AV7820" s="397"/>
      <c r="AW7820" s="397"/>
      <c r="AX7820" s="397"/>
      <c r="BI7820" s="397"/>
      <c r="BJ7820" s="397"/>
      <c r="BK7820" s="397"/>
      <c r="BL7820" s="397"/>
      <c r="BM7820" s="397"/>
      <c r="BN7820" s="397"/>
      <c r="BO7820" s="397"/>
      <c r="BP7820" s="397"/>
      <c r="BQ7820" s="397"/>
      <c r="BR7820" s="397"/>
      <c r="BS7820" s="397"/>
      <c r="BT7820" s="397"/>
      <c r="BU7820" s="397"/>
      <c r="BV7820" s="397"/>
      <c r="BW7820" s="397"/>
      <c r="BX7820" s="397"/>
      <c r="BY7820" s="397"/>
      <c r="BZ7820" s="397"/>
      <c r="CA7820" s="392" t="s">
        <v>413</v>
      </c>
    </row>
    <row r="7821" spans="1:80" s="392" customFormat="1" ht="15" x14ac:dyDescent="0.25">
      <c r="A7821" s="385"/>
      <c r="D7821" s="700"/>
      <c r="E7821" s="397"/>
      <c r="H7821" s="401">
        <v>3</v>
      </c>
      <c r="I7821" s="401"/>
      <c r="J7821" s="401"/>
      <c r="K7821" s="401"/>
      <c r="L7821" s="675"/>
      <c r="M7821" s="672">
        <v>29474</v>
      </c>
      <c r="N7821" s="623">
        <v>6.3474071975063759E-2</v>
      </c>
      <c r="O7821" s="624" t="s">
        <v>71</v>
      </c>
      <c r="P7821" s="397"/>
      <c r="Q7821" s="397"/>
      <c r="R7821" s="397"/>
      <c r="S7821" s="397"/>
      <c r="T7821" s="397"/>
      <c r="U7821" s="397"/>
      <c r="V7821" s="397"/>
      <c r="W7821" s="397"/>
      <c r="X7821" s="397"/>
      <c r="Y7821" s="397"/>
      <c r="Z7821" s="397"/>
      <c r="AD7821" s="388">
        <v>2.5908000000000002</v>
      </c>
      <c r="AE7821" s="388">
        <v>8.2296000000000008E-2</v>
      </c>
      <c r="AF7821" s="388">
        <v>0.21321247680000005</v>
      </c>
      <c r="AG7821" s="388">
        <v>0.25908000000000003</v>
      </c>
      <c r="AH7821" s="391"/>
      <c r="AI7821" s="397"/>
      <c r="AJ7821" s="397"/>
      <c r="AU7821" s="397"/>
      <c r="AV7821" s="397"/>
      <c r="AW7821" s="397"/>
      <c r="AX7821" s="397"/>
      <c r="BI7821" s="397"/>
      <c r="BJ7821" s="397"/>
      <c r="BK7821" s="397"/>
      <c r="BL7821" s="397"/>
      <c r="BM7821" s="397"/>
      <c r="BN7821" s="397"/>
      <c r="BO7821" s="397"/>
      <c r="BP7821" s="397"/>
      <c r="BQ7821" s="397"/>
      <c r="BR7821" s="397"/>
      <c r="BS7821" s="397"/>
      <c r="BT7821" s="397"/>
      <c r="BU7821" s="397"/>
      <c r="BV7821" s="397"/>
      <c r="BW7821" s="397"/>
      <c r="BX7821" s="397"/>
      <c r="BY7821" s="397"/>
      <c r="BZ7821" s="397"/>
      <c r="CA7821" s="392" t="s">
        <v>413</v>
      </c>
    </row>
    <row r="7822" spans="1:80" s="392" customFormat="1" ht="15" x14ac:dyDescent="0.25">
      <c r="A7822" s="385"/>
      <c r="D7822" s="700"/>
      <c r="E7822" s="397"/>
      <c r="H7822" s="401">
        <v>3</v>
      </c>
      <c r="I7822" s="401"/>
      <c r="J7822" s="401"/>
      <c r="K7822" s="401"/>
      <c r="L7822" s="675"/>
      <c r="M7822" s="672">
        <v>29500</v>
      </c>
      <c r="N7822" s="623">
        <v>2.0997449702465289E-2</v>
      </c>
      <c r="O7822" s="624" t="s">
        <v>71</v>
      </c>
      <c r="P7822" s="397"/>
      <c r="Q7822" s="397"/>
      <c r="R7822" s="397"/>
      <c r="S7822" s="397"/>
      <c r="T7822" s="397"/>
      <c r="U7822" s="397"/>
      <c r="V7822" s="397"/>
      <c r="W7822" s="397"/>
      <c r="X7822" s="397"/>
      <c r="Y7822" s="397"/>
      <c r="Z7822" s="397"/>
      <c r="AD7822" s="388">
        <v>1.61544</v>
      </c>
      <c r="AE7822" s="388">
        <v>6.0960000000000007E-2</v>
      </c>
      <c r="AF7822" s="388">
        <v>9.8477222400000008E-2</v>
      </c>
      <c r="AG7822" s="388">
        <v>0.16459200000000002</v>
      </c>
      <c r="AH7822" s="391"/>
      <c r="AI7822" s="397"/>
      <c r="AJ7822" s="397"/>
      <c r="AU7822" s="397"/>
      <c r="AV7822" s="397"/>
      <c r="AW7822" s="397"/>
      <c r="AX7822" s="397"/>
      <c r="BI7822" s="397"/>
      <c r="BJ7822" s="397"/>
      <c r="BK7822" s="397"/>
      <c r="BL7822" s="397"/>
      <c r="BM7822" s="397"/>
      <c r="BN7822" s="397"/>
      <c r="BO7822" s="397"/>
      <c r="BP7822" s="397"/>
      <c r="BQ7822" s="397"/>
      <c r="BR7822" s="397"/>
      <c r="BS7822" s="397"/>
      <c r="BT7822" s="397"/>
      <c r="BU7822" s="397"/>
      <c r="BV7822" s="397"/>
      <c r="BW7822" s="397"/>
      <c r="BX7822" s="397"/>
      <c r="BY7822" s="397"/>
      <c r="BZ7822" s="397"/>
      <c r="CA7822" s="392" t="s">
        <v>413</v>
      </c>
    </row>
    <row r="7823" spans="1:80" s="189" customFormat="1" ht="15" x14ac:dyDescent="0.25">
      <c r="A7823" s="381" t="s">
        <v>500</v>
      </c>
      <c r="B7823" s="641"/>
      <c r="C7823" s="639"/>
      <c r="D7823" s="4">
        <f>VLOOKUP(E7823,'Quality Code'!$D$4:$E$24,2,TRUE)*VLOOKUP(MROUND(F7823,10),'Quality Code'!$D$28:$E$69,2,TRUE)*VLOOKUP(COUNTA(CB7823:CB7833),'Quality Code'!$D$73:$E$93,2,TRUE)</f>
        <v>7.4999999999999997E-2</v>
      </c>
      <c r="E7823" s="14">
        <v>0.3</v>
      </c>
      <c r="F7823" s="2">
        <v>6</v>
      </c>
      <c r="G7823" s="12"/>
      <c r="H7823" s="2" t="s">
        <v>105</v>
      </c>
      <c r="I7823" s="2"/>
      <c r="J7823" s="2"/>
      <c r="K7823" s="2"/>
      <c r="L7823" s="639"/>
      <c r="M7823" s="640">
        <v>1980</v>
      </c>
      <c r="N7823" s="578" t="s">
        <v>110</v>
      </c>
      <c r="O7823" s="578"/>
      <c r="P7823" s="26"/>
      <c r="Q7823" s="26"/>
      <c r="R7823" s="26"/>
      <c r="S7823" s="26"/>
      <c r="T7823" s="26"/>
      <c r="U7823" s="26"/>
      <c r="V7823" s="10"/>
      <c r="W7823" s="10"/>
      <c r="X7823" s="10"/>
      <c r="Y7823" s="10"/>
      <c r="Z7823" s="26"/>
      <c r="AA7823" s="26"/>
      <c r="AB7823" s="26"/>
      <c r="AC7823" s="3"/>
      <c r="AD7823" s="406"/>
      <c r="AE7823" s="26"/>
      <c r="AF7823" s="26"/>
      <c r="AG7823" s="26"/>
      <c r="AH7823" s="26"/>
      <c r="AI7823" s="4"/>
      <c r="AJ7823" s="4"/>
      <c r="AK7823" s="26"/>
      <c r="AL7823" s="26"/>
      <c r="AM7823" s="26"/>
      <c r="AN7823" s="26"/>
      <c r="AO7823" s="26"/>
      <c r="AP7823" s="26"/>
      <c r="AQ7823" s="26"/>
      <c r="AR7823" s="26"/>
      <c r="AS7823" s="26"/>
      <c r="AT7823" s="26"/>
      <c r="AU7823" s="4"/>
      <c r="AV7823" s="4"/>
      <c r="AW7823" s="4"/>
      <c r="AX7823" s="4"/>
      <c r="AY7823" s="2"/>
      <c r="AZ7823" s="2"/>
      <c r="BA7823" s="12"/>
      <c r="BB7823" s="12"/>
      <c r="BC7823" s="12"/>
      <c r="BD7823" s="12"/>
      <c r="BE7823" s="12"/>
      <c r="BF7823" s="12"/>
      <c r="BG7823" s="12"/>
      <c r="BH7823" s="12"/>
      <c r="BI7823" s="4"/>
      <c r="BJ7823" s="12"/>
      <c r="BK7823" s="2"/>
      <c r="BL7823" s="2"/>
      <c r="BM7823" s="4"/>
      <c r="BN7823" s="12"/>
      <c r="BO7823" s="12"/>
      <c r="BP7823" s="12"/>
      <c r="BQ7823" s="4"/>
      <c r="BR7823" s="4"/>
      <c r="BS7823" s="4"/>
      <c r="BT7823" s="2"/>
      <c r="BU7823" s="9"/>
      <c r="BV7823" s="381"/>
      <c r="BW7823" s="382"/>
      <c r="BX7823" s="383"/>
      <c r="BY7823" s="383"/>
      <c r="BZ7823" s="383"/>
      <c r="CA7823" s="384" t="s">
        <v>413</v>
      </c>
      <c r="CB7823" s="411"/>
    </row>
    <row r="7824" spans="1:80" s="392" customFormat="1" ht="15" x14ac:dyDescent="0.25">
      <c r="A7824" s="385"/>
      <c r="D7824" s="700"/>
      <c r="E7824" s="397"/>
      <c r="H7824" s="401">
        <v>3</v>
      </c>
      <c r="I7824" s="401"/>
      <c r="J7824" s="401"/>
      <c r="K7824" s="401"/>
      <c r="L7824" s="675"/>
      <c r="M7824" s="672">
        <v>29372</v>
      </c>
      <c r="N7824" s="623">
        <v>4.6061207140833105</v>
      </c>
      <c r="O7824" s="624" t="s">
        <v>71</v>
      </c>
      <c r="P7824" s="397"/>
      <c r="Q7824" s="397"/>
      <c r="R7824" s="397"/>
      <c r="S7824" s="397"/>
      <c r="T7824" s="397"/>
      <c r="U7824" s="397"/>
      <c r="V7824" s="397"/>
      <c r="W7824" s="397"/>
      <c r="X7824" s="397"/>
      <c r="Y7824" s="397"/>
      <c r="Z7824" s="397"/>
      <c r="AD7824" s="388">
        <v>11.52144</v>
      </c>
      <c r="AE7824" s="388">
        <v>0.43281599999999998</v>
      </c>
      <c r="AF7824" s="388">
        <v>4.9866635750399997</v>
      </c>
      <c r="AG7824" s="388">
        <v>0.73456800000000011</v>
      </c>
      <c r="AH7824" s="391"/>
      <c r="AI7824" s="397"/>
      <c r="AJ7824" s="397"/>
      <c r="AU7824" s="397"/>
      <c r="AV7824" s="397"/>
      <c r="AW7824" s="397"/>
      <c r="AX7824" s="397"/>
      <c r="BI7824" s="397"/>
      <c r="BJ7824" s="397"/>
      <c r="BK7824" s="397"/>
      <c r="BL7824" s="397"/>
      <c r="BM7824" s="397"/>
      <c r="BN7824" s="397"/>
      <c r="BO7824" s="397"/>
      <c r="BP7824" s="397"/>
      <c r="BQ7824" s="397"/>
      <c r="BR7824" s="397"/>
      <c r="BS7824" s="397"/>
      <c r="BT7824" s="397"/>
      <c r="BU7824" s="397"/>
      <c r="BV7824" s="397"/>
      <c r="BW7824" s="397"/>
      <c r="BX7824" s="397"/>
      <c r="BY7824" s="397"/>
      <c r="BZ7824" s="397"/>
      <c r="CA7824" s="392" t="s">
        <v>413</v>
      </c>
    </row>
    <row r="7825" spans="1:80" s="392" customFormat="1" ht="15" x14ac:dyDescent="0.25">
      <c r="A7825" s="385"/>
      <c r="D7825" s="700"/>
      <c r="E7825" s="397"/>
      <c r="H7825" s="401">
        <v>3</v>
      </c>
      <c r="I7825" s="401"/>
      <c r="J7825" s="401"/>
      <c r="K7825" s="401"/>
      <c r="L7825" s="675"/>
      <c r="M7825" s="672">
        <v>29378</v>
      </c>
      <c r="N7825" s="623">
        <v>2.8350807594219325</v>
      </c>
      <c r="O7825" s="624">
        <v>6.5268000000000001E-3</v>
      </c>
      <c r="P7825" s="397"/>
      <c r="Q7825" s="397"/>
      <c r="R7825" s="397"/>
      <c r="S7825" s="397"/>
      <c r="T7825" s="397"/>
      <c r="U7825" s="397"/>
      <c r="V7825" s="397"/>
      <c r="W7825" s="397"/>
      <c r="X7825" s="397"/>
      <c r="Y7825" s="397"/>
      <c r="Z7825" s="397"/>
      <c r="AD7825" s="388">
        <v>11.52144</v>
      </c>
      <c r="AE7825" s="388">
        <v>0.46634400000000004</v>
      </c>
      <c r="AF7825" s="388">
        <v>5.3729544153600006</v>
      </c>
      <c r="AG7825" s="388">
        <v>0.41148000000000007</v>
      </c>
      <c r="AH7825" s="391"/>
      <c r="AI7825" s="397"/>
      <c r="AJ7825" s="397"/>
      <c r="AU7825" s="397"/>
      <c r="AV7825" s="397"/>
      <c r="AW7825" s="397"/>
      <c r="AX7825" s="397"/>
      <c r="BI7825" s="397"/>
      <c r="BJ7825" s="397"/>
      <c r="BK7825" s="397"/>
      <c r="BL7825" s="397"/>
      <c r="BM7825" s="397"/>
      <c r="BN7825" s="397"/>
      <c r="BO7825" s="397"/>
      <c r="BP7825" s="397"/>
      <c r="BQ7825" s="397"/>
      <c r="BR7825" s="397"/>
      <c r="BS7825" s="397"/>
      <c r="BT7825" s="397"/>
      <c r="BU7825" s="397"/>
      <c r="BV7825" s="397"/>
      <c r="BW7825" s="397"/>
      <c r="BX7825" s="397"/>
      <c r="BY7825" s="397"/>
      <c r="BZ7825" s="397"/>
      <c r="CA7825" s="392" t="s">
        <v>413</v>
      </c>
    </row>
    <row r="7826" spans="1:80" s="392" customFormat="1" ht="15" x14ac:dyDescent="0.25">
      <c r="A7826" s="385"/>
      <c r="D7826" s="700"/>
      <c r="E7826" s="397"/>
      <c r="H7826" s="401">
        <v>3</v>
      </c>
      <c r="I7826" s="401"/>
      <c r="J7826" s="401"/>
      <c r="K7826" s="401"/>
      <c r="L7826" s="675"/>
      <c r="M7826" s="672">
        <v>29386</v>
      </c>
      <c r="N7826" s="623">
        <v>2.3244545196939645</v>
      </c>
      <c r="O7826" s="624">
        <v>2.3096533333333336E-2</v>
      </c>
      <c r="P7826" s="397"/>
      <c r="Q7826" s="397"/>
      <c r="R7826" s="397"/>
      <c r="S7826" s="397"/>
      <c r="T7826" s="397"/>
      <c r="U7826" s="397"/>
      <c r="V7826" s="397"/>
      <c r="W7826" s="397"/>
      <c r="X7826" s="397"/>
      <c r="Y7826" s="397"/>
      <c r="Z7826" s="397"/>
      <c r="AD7826" s="388">
        <v>11.186160000000001</v>
      </c>
      <c r="AE7826" s="388">
        <v>0.44805600000000001</v>
      </c>
      <c r="AF7826" s="388">
        <v>5.0120261049600003</v>
      </c>
      <c r="AG7826" s="388">
        <v>0.34137600000000007</v>
      </c>
      <c r="AH7826" s="391"/>
      <c r="AI7826" s="397"/>
      <c r="AJ7826" s="397"/>
      <c r="AU7826" s="397"/>
      <c r="AV7826" s="397"/>
      <c r="AW7826" s="397"/>
      <c r="AX7826" s="397"/>
      <c r="BI7826" s="397"/>
      <c r="BJ7826" s="397"/>
      <c r="BK7826" s="397"/>
      <c r="BL7826" s="397"/>
      <c r="BM7826" s="397"/>
      <c r="BN7826" s="397"/>
      <c r="BO7826" s="397"/>
      <c r="BP7826" s="397"/>
      <c r="BQ7826" s="397"/>
      <c r="BR7826" s="397"/>
      <c r="BS7826" s="397"/>
      <c r="BT7826" s="397"/>
      <c r="BU7826" s="397"/>
      <c r="BV7826" s="397"/>
      <c r="BW7826" s="397"/>
      <c r="BX7826" s="397"/>
      <c r="BY7826" s="397"/>
      <c r="BZ7826" s="397"/>
      <c r="CA7826" s="392" t="s">
        <v>413</v>
      </c>
    </row>
    <row r="7827" spans="1:80" s="392" customFormat="1" ht="15" x14ac:dyDescent="0.25">
      <c r="A7827" s="385"/>
      <c r="D7827" s="700"/>
      <c r="E7827" s="397"/>
      <c r="H7827" s="401">
        <v>3</v>
      </c>
      <c r="I7827" s="401"/>
      <c r="J7827" s="401"/>
      <c r="K7827" s="401"/>
      <c r="L7827" s="675"/>
      <c r="M7827" s="672">
        <v>29396</v>
      </c>
      <c r="N7827" s="623">
        <v>1.990365542646642</v>
      </c>
      <c r="O7827" s="624">
        <v>5.8322000000000001E-3</v>
      </c>
      <c r="P7827" s="397"/>
      <c r="Q7827" s="397"/>
      <c r="R7827" s="397"/>
      <c r="S7827" s="397"/>
      <c r="T7827" s="397"/>
      <c r="U7827" s="397"/>
      <c r="V7827" s="397"/>
      <c r="W7827" s="397"/>
      <c r="X7827" s="397"/>
      <c r="Y7827" s="397"/>
      <c r="Z7827" s="397"/>
      <c r="AD7827" s="388">
        <v>11.06424</v>
      </c>
      <c r="AE7827" s="388">
        <v>0.46024800000000005</v>
      </c>
      <c r="AF7827" s="388">
        <v>5.0922943315200007</v>
      </c>
      <c r="AG7827" s="388">
        <v>0.23774400000000001</v>
      </c>
      <c r="AH7827" s="391"/>
      <c r="AI7827" s="397"/>
      <c r="AJ7827" s="397"/>
      <c r="AU7827" s="397"/>
      <c r="AV7827" s="397"/>
      <c r="AW7827" s="397"/>
      <c r="AX7827" s="397"/>
      <c r="BI7827" s="397"/>
      <c r="BJ7827" s="397"/>
      <c r="BK7827" s="397"/>
      <c r="BL7827" s="397"/>
      <c r="BM7827" s="397"/>
      <c r="BN7827" s="397"/>
      <c r="BO7827" s="397"/>
      <c r="BP7827" s="397"/>
      <c r="BQ7827" s="397"/>
      <c r="BR7827" s="397"/>
      <c r="BS7827" s="397"/>
      <c r="BT7827" s="397"/>
      <c r="BU7827" s="397"/>
      <c r="BV7827" s="397"/>
      <c r="BW7827" s="397"/>
      <c r="BX7827" s="397"/>
      <c r="BY7827" s="397"/>
      <c r="BZ7827" s="397"/>
      <c r="CA7827" s="392" t="s">
        <v>413</v>
      </c>
    </row>
    <row r="7828" spans="1:80" s="392" customFormat="1" ht="15" x14ac:dyDescent="0.25">
      <c r="A7828" s="385"/>
      <c r="D7828" s="700"/>
      <c r="E7828" s="397"/>
      <c r="H7828" s="401">
        <v>3</v>
      </c>
      <c r="I7828" s="401"/>
      <c r="J7828" s="401"/>
      <c r="K7828" s="401"/>
      <c r="L7828" s="675"/>
      <c r="M7828" s="672">
        <v>29403</v>
      </c>
      <c r="N7828" s="623">
        <v>2.348824029470105</v>
      </c>
      <c r="O7828" s="624">
        <v>1.0003066666666668E-2</v>
      </c>
      <c r="P7828" s="397"/>
      <c r="Q7828" s="397"/>
      <c r="R7828" s="397"/>
      <c r="S7828" s="397"/>
      <c r="T7828" s="397"/>
      <c r="U7828" s="397"/>
      <c r="V7828" s="397"/>
      <c r="W7828" s="397"/>
      <c r="X7828" s="397"/>
      <c r="Y7828" s="397"/>
      <c r="Z7828" s="397"/>
      <c r="AD7828" s="388">
        <v>12.13104</v>
      </c>
      <c r="AE7828" s="388">
        <v>0.39928800000000003</v>
      </c>
      <c r="AF7828" s="388">
        <v>4.8437786995200005</v>
      </c>
      <c r="AG7828" s="388">
        <v>0.313944</v>
      </c>
      <c r="AH7828" s="391"/>
      <c r="AI7828" s="397"/>
      <c r="AJ7828" s="397"/>
      <c r="AU7828" s="397"/>
      <c r="AV7828" s="397"/>
      <c r="AW7828" s="397"/>
      <c r="AX7828" s="397"/>
      <c r="BI7828" s="397"/>
      <c r="BJ7828" s="397"/>
      <c r="BK7828" s="397"/>
      <c r="BL7828" s="397"/>
      <c r="BM7828" s="397"/>
      <c r="BN7828" s="397"/>
      <c r="BO7828" s="397"/>
      <c r="BP7828" s="397"/>
      <c r="BQ7828" s="397"/>
      <c r="BR7828" s="397"/>
      <c r="BS7828" s="397"/>
      <c r="BT7828" s="397"/>
      <c r="BU7828" s="397"/>
      <c r="BV7828" s="397"/>
      <c r="BW7828" s="397"/>
      <c r="BX7828" s="397"/>
      <c r="BY7828" s="397"/>
      <c r="BZ7828" s="397"/>
      <c r="CA7828" s="392" t="s">
        <v>413</v>
      </c>
    </row>
    <row r="7829" spans="1:80" s="392" customFormat="1" ht="15" x14ac:dyDescent="0.25">
      <c r="A7829" s="385"/>
      <c r="D7829" s="700"/>
      <c r="E7829" s="397"/>
      <c r="H7829" s="401">
        <v>3</v>
      </c>
      <c r="I7829" s="401"/>
      <c r="J7829" s="401"/>
      <c r="K7829" s="401"/>
      <c r="L7829" s="675"/>
      <c r="M7829" s="672">
        <v>29414</v>
      </c>
      <c r="N7829" s="623">
        <v>2.7786908472655143</v>
      </c>
      <c r="O7829" s="624" t="s">
        <v>71</v>
      </c>
      <c r="P7829" s="397"/>
      <c r="Q7829" s="397"/>
      <c r="R7829" s="397"/>
      <c r="S7829" s="397"/>
      <c r="T7829" s="397"/>
      <c r="U7829" s="397"/>
      <c r="V7829" s="397"/>
      <c r="W7829" s="397"/>
      <c r="X7829" s="397"/>
      <c r="Y7829" s="397"/>
      <c r="Z7829" s="397"/>
      <c r="AD7829" s="388">
        <v>11.7348</v>
      </c>
      <c r="AE7829" s="388">
        <v>0.44500800000000001</v>
      </c>
      <c r="AF7829" s="388">
        <v>5.2220798783999998</v>
      </c>
      <c r="AG7829" s="388">
        <v>0.39624000000000004</v>
      </c>
      <c r="AH7829" s="391"/>
      <c r="AI7829" s="397"/>
      <c r="AJ7829" s="397"/>
      <c r="AU7829" s="397"/>
      <c r="AV7829" s="397"/>
      <c r="AW7829" s="397"/>
      <c r="AX7829" s="397"/>
      <c r="BI7829" s="397"/>
      <c r="BJ7829" s="397"/>
      <c r="BK7829" s="397"/>
      <c r="BL7829" s="397"/>
      <c r="BM7829" s="397"/>
      <c r="BN7829" s="397"/>
      <c r="BO7829" s="397"/>
      <c r="BP7829" s="397"/>
      <c r="BQ7829" s="397"/>
      <c r="BR7829" s="397"/>
      <c r="BS7829" s="397"/>
      <c r="BT7829" s="397"/>
      <c r="BU7829" s="397"/>
      <c r="BV7829" s="397"/>
      <c r="BW7829" s="397"/>
      <c r="BX7829" s="397"/>
      <c r="BY7829" s="397"/>
      <c r="BZ7829" s="397"/>
      <c r="CA7829" s="392" t="s">
        <v>413</v>
      </c>
    </row>
    <row r="7830" spans="1:80" s="392" customFormat="1" ht="15" x14ac:dyDescent="0.25">
      <c r="A7830" s="385"/>
      <c r="D7830" s="700"/>
      <c r="E7830" s="397"/>
      <c r="H7830" s="401">
        <v>3</v>
      </c>
      <c r="I7830" s="401"/>
      <c r="J7830" s="401"/>
      <c r="K7830" s="401"/>
      <c r="L7830" s="675"/>
      <c r="M7830" s="672">
        <v>29420</v>
      </c>
      <c r="N7830" s="623">
        <v>2.2677812411448004</v>
      </c>
      <c r="O7830" s="624">
        <v>5.1407999999999992E-3</v>
      </c>
      <c r="P7830" s="397"/>
      <c r="Q7830" s="397"/>
      <c r="R7830" s="397"/>
      <c r="S7830" s="397"/>
      <c r="T7830" s="397"/>
      <c r="U7830" s="397"/>
      <c r="V7830" s="397"/>
      <c r="W7830" s="397"/>
      <c r="X7830" s="397"/>
      <c r="Y7830" s="397"/>
      <c r="Z7830" s="397"/>
      <c r="AD7830" s="388">
        <v>11.52144</v>
      </c>
      <c r="AE7830" s="388">
        <v>0.57911999999999997</v>
      </c>
      <c r="AF7830" s="388">
        <v>6.6722963327999993</v>
      </c>
      <c r="AG7830" s="388">
        <v>0.33528000000000002</v>
      </c>
      <c r="AH7830" s="391"/>
      <c r="AI7830" s="397"/>
      <c r="AJ7830" s="397"/>
      <c r="AU7830" s="397"/>
      <c r="AV7830" s="397"/>
      <c r="AW7830" s="397"/>
      <c r="AX7830" s="397"/>
      <c r="BI7830" s="397"/>
      <c r="BJ7830" s="397"/>
      <c r="BK7830" s="397"/>
      <c r="BL7830" s="397"/>
      <c r="BM7830" s="397"/>
      <c r="BN7830" s="397"/>
      <c r="BO7830" s="397"/>
      <c r="BP7830" s="397"/>
      <c r="BQ7830" s="397"/>
      <c r="BR7830" s="397"/>
      <c r="BS7830" s="397"/>
      <c r="BT7830" s="397"/>
      <c r="BU7830" s="397"/>
      <c r="BV7830" s="397"/>
      <c r="BW7830" s="397"/>
      <c r="BX7830" s="397"/>
      <c r="BY7830" s="397"/>
      <c r="BZ7830" s="397"/>
      <c r="CA7830" s="392" t="s">
        <v>413</v>
      </c>
    </row>
    <row r="7831" spans="1:80" s="392" customFormat="1" ht="15" x14ac:dyDescent="0.25">
      <c r="A7831" s="385"/>
      <c r="D7831" s="700"/>
      <c r="E7831" s="397"/>
      <c r="H7831" s="401">
        <v>3</v>
      </c>
      <c r="I7831" s="401"/>
      <c r="J7831" s="401"/>
      <c r="K7831" s="401"/>
      <c r="L7831" s="675"/>
      <c r="M7831" s="672">
        <v>29431</v>
      </c>
      <c r="N7831" s="623">
        <v>2.7268347973930296</v>
      </c>
      <c r="O7831" s="624">
        <v>2.3749999999999995E-3</v>
      </c>
      <c r="P7831" s="397"/>
      <c r="Q7831" s="397"/>
      <c r="R7831" s="397"/>
      <c r="S7831" s="397"/>
      <c r="T7831" s="397"/>
      <c r="U7831" s="397"/>
      <c r="V7831" s="397"/>
      <c r="W7831" s="397"/>
      <c r="X7831" s="397"/>
      <c r="Y7831" s="397"/>
      <c r="Z7831" s="397"/>
      <c r="AD7831" s="388">
        <v>11.43</v>
      </c>
      <c r="AE7831" s="388">
        <v>0.52425600000000006</v>
      </c>
      <c r="AF7831" s="388">
        <v>5.9922460800000001</v>
      </c>
      <c r="AG7831" s="388">
        <v>0.32308800000000004</v>
      </c>
      <c r="AH7831" s="391"/>
      <c r="AI7831" s="397"/>
      <c r="AJ7831" s="397"/>
      <c r="AU7831" s="397"/>
      <c r="AV7831" s="397"/>
      <c r="AW7831" s="397"/>
      <c r="AX7831" s="397"/>
      <c r="BI7831" s="397"/>
      <c r="BJ7831" s="397"/>
      <c r="BK7831" s="397"/>
      <c r="BL7831" s="397"/>
      <c r="BM7831" s="397"/>
      <c r="BN7831" s="397"/>
      <c r="BO7831" s="397"/>
      <c r="BP7831" s="397"/>
      <c r="BQ7831" s="397"/>
      <c r="BR7831" s="397"/>
      <c r="BS7831" s="397"/>
      <c r="BT7831" s="397"/>
      <c r="BU7831" s="397"/>
      <c r="BV7831" s="397"/>
      <c r="BW7831" s="397"/>
      <c r="BX7831" s="397"/>
      <c r="BY7831" s="397"/>
      <c r="BZ7831" s="397"/>
      <c r="CA7831" s="392" t="s">
        <v>413</v>
      </c>
    </row>
    <row r="7832" spans="1:80" s="392" customFormat="1" ht="15" x14ac:dyDescent="0.25">
      <c r="A7832" s="385"/>
      <c r="D7832" s="700"/>
      <c r="E7832" s="397"/>
      <c r="H7832" s="401">
        <v>3</v>
      </c>
      <c r="I7832" s="401"/>
      <c r="J7832" s="401"/>
      <c r="K7832" s="401"/>
      <c r="L7832" s="675"/>
      <c r="M7832" s="672">
        <v>29446</v>
      </c>
      <c r="N7832" s="623">
        <v>0.87248512326438088</v>
      </c>
      <c r="O7832" s="624" t="s">
        <v>71</v>
      </c>
      <c r="P7832" s="397"/>
      <c r="Q7832" s="397"/>
      <c r="R7832" s="397"/>
      <c r="S7832" s="397"/>
      <c r="T7832" s="397"/>
      <c r="U7832" s="397"/>
      <c r="V7832" s="397"/>
      <c r="W7832" s="397"/>
      <c r="X7832" s="397"/>
      <c r="Y7832" s="397"/>
      <c r="Z7832" s="397"/>
      <c r="AD7832" s="388">
        <v>9.7536000000000005</v>
      </c>
      <c r="AE7832" s="388">
        <v>0.37490400000000002</v>
      </c>
      <c r="AF7832" s="388">
        <v>3.6566636544000004</v>
      </c>
      <c r="AG7832" s="388">
        <v>0.140208</v>
      </c>
      <c r="AH7832" s="391"/>
      <c r="AI7832" s="397"/>
      <c r="AJ7832" s="397"/>
      <c r="AU7832" s="397"/>
      <c r="AV7832" s="397"/>
      <c r="AW7832" s="397"/>
      <c r="AX7832" s="397"/>
      <c r="BI7832" s="397"/>
      <c r="BJ7832" s="397"/>
      <c r="BK7832" s="397"/>
      <c r="BL7832" s="397"/>
      <c r="BM7832" s="397"/>
      <c r="BN7832" s="397"/>
      <c r="BO7832" s="397"/>
      <c r="BP7832" s="397"/>
      <c r="BQ7832" s="397"/>
      <c r="BR7832" s="397"/>
      <c r="BS7832" s="397"/>
      <c r="BT7832" s="397"/>
      <c r="BU7832" s="397"/>
      <c r="BV7832" s="397"/>
      <c r="BW7832" s="397"/>
      <c r="BX7832" s="397"/>
      <c r="BY7832" s="397"/>
      <c r="BZ7832" s="397"/>
      <c r="CA7832" s="392" t="s">
        <v>413</v>
      </c>
    </row>
    <row r="7833" spans="1:80" s="189" customFormat="1" ht="15" x14ac:dyDescent="0.25">
      <c r="A7833" s="381" t="s">
        <v>501</v>
      </c>
      <c r="B7833" s="641"/>
      <c r="C7833" s="639"/>
      <c r="D7833" s="4">
        <f>VLOOKUP(E7833,'Quality Code'!$D$4:$E$24,2,TRUE)*VLOOKUP(MROUND(F7833,10),'Quality Code'!$D$28:$E$69,2,TRUE)*VLOOKUP(COUNTA(CB7833:CB7843),'Quality Code'!$D$73:$E$93,2,TRUE)</f>
        <v>0</v>
      </c>
      <c r="E7833" s="14">
        <v>0.35</v>
      </c>
      <c r="F7833" s="2">
        <v>3</v>
      </c>
      <c r="G7833" s="12"/>
      <c r="H7833" s="2" t="s">
        <v>105</v>
      </c>
      <c r="I7833" s="2"/>
      <c r="J7833" s="2"/>
      <c r="K7833" s="2"/>
      <c r="L7833" s="639"/>
      <c r="M7833" s="640">
        <v>1980</v>
      </c>
      <c r="N7833" s="578" t="s">
        <v>110</v>
      </c>
      <c r="O7833" s="578"/>
      <c r="P7833" s="26"/>
      <c r="Q7833" s="26"/>
      <c r="R7833" s="26"/>
      <c r="S7833" s="26"/>
      <c r="T7833" s="26"/>
      <c r="U7833" s="26"/>
      <c r="V7833" s="10"/>
      <c r="W7833" s="10"/>
      <c r="X7833" s="10"/>
      <c r="Y7833" s="10"/>
      <c r="Z7833" s="26"/>
      <c r="AA7833" s="26"/>
      <c r="AB7833" s="26"/>
      <c r="AC7833" s="3">
        <v>8.9999999999999993E-3</v>
      </c>
      <c r="AD7833" s="406"/>
      <c r="AE7833" s="26"/>
      <c r="AF7833" s="26"/>
      <c r="AG7833" s="26"/>
      <c r="AH7833" s="26"/>
      <c r="AI7833" s="4"/>
      <c r="AJ7833" s="4"/>
      <c r="AK7833" s="26"/>
      <c r="AL7833" s="26"/>
      <c r="AM7833" s="26"/>
      <c r="AN7833" s="26"/>
      <c r="AO7833" s="26"/>
      <c r="AP7833" s="26"/>
      <c r="AQ7833" s="26"/>
      <c r="AR7833" s="26"/>
      <c r="AS7833" s="26"/>
      <c r="AT7833" s="26"/>
      <c r="AU7833" s="4"/>
      <c r="AV7833" s="4"/>
      <c r="AW7833" s="4"/>
      <c r="AX7833" s="4"/>
      <c r="AY7833" s="2"/>
      <c r="AZ7833" s="2"/>
      <c r="BA7833" s="12"/>
      <c r="BB7833" s="12"/>
      <c r="BC7833" s="12"/>
      <c r="BD7833" s="12"/>
      <c r="BE7833" s="12"/>
      <c r="BF7833" s="12"/>
      <c r="BG7833" s="12"/>
      <c r="BH7833" s="12"/>
      <c r="BI7833" s="4"/>
      <c r="BJ7833" s="12"/>
      <c r="BK7833" s="2"/>
      <c r="BL7833" s="2"/>
      <c r="BM7833" s="4"/>
      <c r="BN7833" s="12"/>
      <c r="BO7833" s="12"/>
      <c r="BP7833" s="12"/>
      <c r="BQ7833" s="4"/>
      <c r="BR7833" s="4"/>
      <c r="BS7833" s="4"/>
      <c r="BT7833" s="2"/>
      <c r="BU7833" s="9"/>
      <c r="BV7833" s="381"/>
      <c r="BW7833" s="382"/>
      <c r="BX7833" s="383"/>
      <c r="BY7833" s="383"/>
      <c r="BZ7833" s="383"/>
      <c r="CA7833" s="384" t="s">
        <v>413</v>
      </c>
      <c r="CB7833" s="411"/>
    </row>
    <row r="7834" spans="1:80" s="392" customFormat="1" ht="15" x14ac:dyDescent="0.25">
      <c r="A7834" s="385"/>
      <c r="D7834" s="700"/>
      <c r="E7834" s="397"/>
      <c r="H7834" s="401">
        <v>3</v>
      </c>
      <c r="I7834" s="401"/>
      <c r="J7834" s="401"/>
      <c r="K7834" s="401"/>
      <c r="L7834" s="675"/>
      <c r="M7834" s="672">
        <v>29357</v>
      </c>
      <c r="N7834" s="623">
        <v>1.2360442051572682</v>
      </c>
      <c r="O7834" s="624" t="s">
        <v>71</v>
      </c>
      <c r="P7834" s="397"/>
      <c r="Q7834" s="397"/>
      <c r="R7834" s="397"/>
      <c r="S7834" s="397"/>
      <c r="T7834" s="397"/>
      <c r="U7834" s="397"/>
      <c r="V7834" s="397"/>
      <c r="W7834" s="397"/>
      <c r="X7834" s="397"/>
      <c r="Y7834" s="397"/>
      <c r="Z7834" s="397"/>
      <c r="AD7834" s="388">
        <v>11.795760000000001</v>
      </c>
      <c r="AE7834" s="388">
        <v>0.32918400000000003</v>
      </c>
      <c r="AF7834" s="388">
        <v>3.8829754598400008</v>
      </c>
      <c r="AG7834" s="388">
        <v>0.20116800000000001</v>
      </c>
      <c r="AH7834" s="391"/>
      <c r="AI7834" s="397"/>
      <c r="AJ7834" s="397"/>
      <c r="AU7834" s="397"/>
      <c r="AV7834" s="397"/>
      <c r="AW7834" s="397"/>
      <c r="AX7834" s="397"/>
      <c r="BI7834" s="397"/>
      <c r="BJ7834" s="397"/>
      <c r="BK7834" s="397"/>
      <c r="BL7834" s="397"/>
      <c r="BM7834" s="397"/>
      <c r="BN7834" s="397"/>
      <c r="BO7834" s="397"/>
      <c r="BP7834" s="397"/>
      <c r="BQ7834" s="397"/>
      <c r="BR7834" s="397"/>
      <c r="BS7834" s="397"/>
      <c r="BT7834" s="397"/>
      <c r="BU7834" s="397"/>
      <c r="BV7834" s="397"/>
      <c r="BW7834" s="397"/>
      <c r="BX7834" s="397"/>
      <c r="BY7834" s="397"/>
      <c r="BZ7834" s="397"/>
      <c r="CA7834" s="392" t="s">
        <v>413</v>
      </c>
    </row>
    <row r="7835" spans="1:80" s="392" customFormat="1" ht="15" x14ac:dyDescent="0.25">
      <c r="A7835" s="385"/>
      <c r="D7835" s="700"/>
      <c r="E7835" s="397"/>
      <c r="H7835" s="401">
        <v>3</v>
      </c>
      <c r="I7835" s="401"/>
      <c r="J7835" s="401"/>
      <c r="K7835" s="401"/>
      <c r="L7835" s="675"/>
      <c r="M7835" s="672">
        <v>29363</v>
      </c>
      <c r="N7835" s="623">
        <v>21.005383961462169</v>
      </c>
      <c r="O7835" s="624">
        <v>5.4099066666666668E-2</v>
      </c>
      <c r="P7835" s="397"/>
      <c r="Q7835" s="397"/>
      <c r="R7835" s="397"/>
      <c r="S7835" s="397"/>
      <c r="T7835" s="397"/>
      <c r="U7835" s="397"/>
      <c r="V7835" s="397"/>
      <c r="W7835" s="397"/>
      <c r="X7835" s="397"/>
      <c r="Y7835" s="397"/>
      <c r="Z7835" s="397"/>
      <c r="AD7835" s="388">
        <v>32.247840000000004</v>
      </c>
      <c r="AE7835" s="388">
        <v>0.451104</v>
      </c>
      <c r="AF7835" s="388">
        <v>14.547129615360001</v>
      </c>
      <c r="AG7835" s="388">
        <v>0.92964000000000002</v>
      </c>
      <c r="AH7835" s="391"/>
      <c r="AI7835" s="397"/>
      <c r="AJ7835" s="397"/>
      <c r="AU7835" s="397"/>
      <c r="AV7835" s="397"/>
      <c r="AW7835" s="397"/>
      <c r="AX7835" s="397"/>
      <c r="BI7835" s="397"/>
      <c r="BJ7835" s="397"/>
      <c r="BK7835" s="397"/>
      <c r="BL7835" s="397"/>
      <c r="BM7835" s="397"/>
      <c r="BN7835" s="397"/>
      <c r="BO7835" s="397"/>
      <c r="BP7835" s="397"/>
      <c r="BQ7835" s="397"/>
      <c r="BR7835" s="397"/>
      <c r="BS7835" s="397"/>
      <c r="BT7835" s="397"/>
      <c r="BU7835" s="397"/>
      <c r="BV7835" s="397"/>
      <c r="BW7835" s="397"/>
      <c r="BX7835" s="397"/>
      <c r="BY7835" s="397"/>
      <c r="BZ7835" s="397"/>
      <c r="CA7835" s="392" t="s">
        <v>413</v>
      </c>
    </row>
    <row r="7836" spans="1:80" s="392" customFormat="1" ht="15" x14ac:dyDescent="0.25">
      <c r="A7836" s="385"/>
      <c r="D7836" s="700"/>
      <c r="E7836" s="397"/>
      <c r="H7836" s="401">
        <v>3</v>
      </c>
      <c r="I7836" s="401"/>
      <c r="J7836" s="401"/>
      <c r="K7836" s="401"/>
      <c r="L7836" s="675"/>
      <c r="M7836" s="672">
        <v>29370</v>
      </c>
      <c r="N7836" s="623">
        <v>23.820912439784642</v>
      </c>
      <c r="O7836" s="624" t="s">
        <v>71</v>
      </c>
      <c r="P7836" s="397"/>
      <c r="Q7836" s="397"/>
      <c r="R7836" s="397"/>
      <c r="S7836" s="397"/>
      <c r="T7836" s="397"/>
      <c r="U7836" s="397"/>
      <c r="V7836" s="397"/>
      <c r="W7836" s="397"/>
      <c r="X7836" s="397"/>
      <c r="Y7836" s="397"/>
      <c r="Z7836" s="397"/>
      <c r="AD7836" s="388">
        <v>31.607760000000003</v>
      </c>
      <c r="AE7836" s="388">
        <v>0.5669280000000001</v>
      </c>
      <c r="AF7836" s="388">
        <v>17.919324161280006</v>
      </c>
      <c r="AG7836" s="388">
        <v>1.167384</v>
      </c>
      <c r="AH7836" s="391"/>
      <c r="AI7836" s="397"/>
      <c r="AJ7836" s="397"/>
      <c r="AU7836" s="397"/>
      <c r="AV7836" s="397"/>
      <c r="AW7836" s="397"/>
      <c r="AX7836" s="397"/>
      <c r="BI7836" s="397"/>
      <c r="BJ7836" s="397"/>
      <c r="BK7836" s="397"/>
      <c r="BL7836" s="397"/>
      <c r="BM7836" s="397"/>
      <c r="BN7836" s="397"/>
      <c r="BO7836" s="397"/>
      <c r="BP7836" s="397"/>
      <c r="BQ7836" s="397"/>
      <c r="BR7836" s="397"/>
      <c r="BS7836" s="397"/>
      <c r="BT7836" s="397"/>
      <c r="BU7836" s="397"/>
      <c r="BV7836" s="397"/>
      <c r="BW7836" s="397"/>
      <c r="BX7836" s="397"/>
      <c r="BY7836" s="397"/>
      <c r="BZ7836" s="397"/>
      <c r="CA7836" s="392" t="s">
        <v>413</v>
      </c>
    </row>
    <row r="7837" spans="1:80" s="392" customFormat="1" ht="15" x14ac:dyDescent="0.25">
      <c r="A7837" s="385"/>
      <c r="D7837" s="700"/>
      <c r="E7837" s="397"/>
      <c r="H7837" s="401">
        <v>3</v>
      </c>
      <c r="I7837" s="401"/>
      <c r="J7837" s="401"/>
      <c r="K7837" s="401"/>
      <c r="L7837" s="675"/>
      <c r="M7837" s="672">
        <v>29376</v>
      </c>
      <c r="N7837" s="623">
        <v>46.319920657410037</v>
      </c>
      <c r="O7837" s="624">
        <v>2.5458400000000003E-2</v>
      </c>
      <c r="P7837" s="397"/>
      <c r="Q7837" s="397"/>
      <c r="R7837" s="397"/>
      <c r="S7837" s="397"/>
      <c r="T7837" s="397"/>
      <c r="U7837" s="397"/>
      <c r="V7837" s="397"/>
      <c r="W7837" s="397"/>
      <c r="X7837" s="397"/>
      <c r="Y7837" s="397"/>
      <c r="Z7837" s="397"/>
      <c r="AD7837" s="388">
        <v>32.064959999999999</v>
      </c>
      <c r="AE7837" s="388">
        <v>0.75895200000000007</v>
      </c>
      <c r="AF7837" s="388">
        <v>24.335765521920003</v>
      </c>
      <c r="AG7837" s="388">
        <v>1.3990320000000001</v>
      </c>
      <c r="AH7837" s="391"/>
      <c r="AI7837" s="397"/>
      <c r="AJ7837" s="397"/>
      <c r="AU7837" s="397"/>
      <c r="AV7837" s="397"/>
      <c r="AW7837" s="397"/>
      <c r="AX7837" s="397"/>
      <c r="BI7837" s="397"/>
      <c r="BJ7837" s="397"/>
      <c r="BK7837" s="397"/>
      <c r="BL7837" s="397"/>
      <c r="BM7837" s="397"/>
      <c r="BN7837" s="397"/>
      <c r="BO7837" s="397"/>
      <c r="BP7837" s="397"/>
      <c r="BQ7837" s="397"/>
      <c r="BR7837" s="397"/>
      <c r="BS7837" s="397"/>
      <c r="BT7837" s="397"/>
      <c r="BU7837" s="397"/>
      <c r="BV7837" s="397"/>
      <c r="BW7837" s="397"/>
      <c r="BX7837" s="397"/>
      <c r="BY7837" s="397"/>
      <c r="BZ7837" s="397"/>
      <c r="CA7837" s="392" t="s">
        <v>413</v>
      </c>
    </row>
    <row r="7838" spans="1:80" s="392" customFormat="1" ht="15" x14ac:dyDescent="0.25">
      <c r="A7838" s="385"/>
      <c r="D7838" s="700"/>
      <c r="E7838" s="397"/>
      <c r="H7838" s="401">
        <v>3</v>
      </c>
      <c r="I7838" s="401"/>
      <c r="J7838" s="401"/>
      <c r="K7838" s="401"/>
      <c r="L7838" s="675"/>
      <c r="M7838" s="672">
        <v>29399</v>
      </c>
      <c r="N7838" s="623">
        <v>24.943610087843581</v>
      </c>
      <c r="O7838" s="624">
        <v>2.0996266666666662E-2</v>
      </c>
      <c r="P7838" s="397"/>
      <c r="Q7838" s="397"/>
      <c r="R7838" s="397"/>
      <c r="S7838" s="397"/>
      <c r="T7838" s="397"/>
      <c r="U7838" s="397"/>
      <c r="V7838" s="397"/>
      <c r="W7838" s="397"/>
      <c r="X7838" s="397"/>
      <c r="Y7838" s="397"/>
      <c r="Z7838" s="397"/>
      <c r="AD7838" s="388">
        <v>31.577279999999998</v>
      </c>
      <c r="AE7838" s="388">
        <v>0.58826400000000001</v>
      </c>
      <c r="AF7838" s="388">
        <v>18.575777041919999</v>
      </c>
      <c r="AG7838" s="388">
        <v>1.246632</v>
      </c>
      <c r="AH7838" s="391"/>
      <c r="AI7838" s="397"/>
      <c r="AJ7838" s="397"/>
      <c r="AU7838" s="397"/>
      <c r="AV7838" s="397"/>
      <c r="AW7838" s="397"/>
      <c r="AX7838" s="397"/>
      <c r="BI7838" s="397"/>
      <c r="BJ7838" s="397"/>
      <c r="BK7838" s="397"/>
      <c r="BL7838" s="397"/>
      <c r="BM7838" s="397"/>
      <c r="BN7838" s="397"/>
      <c r="BO7838" s="397"/>
      <c r="BP7838" s="397"/>
      <c r="BQ7838" s="397"/>
      <c r="BR7838" s="397"/>
      <c r="BS7838" s="397"/>
      <c r="BT7838" s="397"/>
      <c r="BU7838" s="397"/>
      <c r="BV7838" s="397"/>
      <c r="BW7838" s="397"/>
      <c r="BX7838" s="397"/>
      <c r="BY7838" s="397"/>
      <c r="BZ7838" s="397"/>
      <c r="CA7838" s="392" t="s">
        <v>413</v>
      </c>
    </row>
    <row r="7839" spans="1:80" s="392" customFormat="1" ht="15" x14ac:dyDescent="0.25">
      <c r="A7839" s="385"/>
      <c r="D7839" s="700"/>
      <c r="E7839" s="397"/>
      <c r="H7839" s="401">
        <v>3</v>
      </c>
      <c r="I7839" s="401"/>
      <c r="J7839" s="401"/>
      <c r="K7839" s="401"/>
      <c r="L7839" s="675"/>
      <c r="M7839" s="672">
        <v>29411</v>
      </c>
      <c r="N7839" s="623">
        <v>2.5786341739869654</v>
      </c>
      <c r="O7839" s="624" t="s">
        <v>71</v>
      </c>
      <c r="P7839" s="397"/>
      <c r="Q7839" s="397"/>
      <c r="R7839" s="397"/>
      <c r="S7839" s="397"/>
      <c r="T7839" s="397"/>
      <c r="U7839" s="397"/>
      <c r="V7839" s="397"/>
      <c r="W7839" s="397"/>
      <c r="X7839" s="397"/>
      <c r="Y7839" s="397"/>
      <c r="Z7839" s="397"/>
      <c r="AD7839" s="388">
        <v>12.0396</v>
      </c>
      <c r="AE7839" s="388">
        <v>0.41148000000000007</v>
      </c>
      <c r="AF7839" s="388">
        <v>4.9540546080000007</v>
      </c>
      <c r="AG7839" s="388">
        <v>0.41148000000000007</v>
      </c>
      <c r="AH7839" s="391"/>
      <c r="AI7839" s="397"/>
      <c r="AJ7839" s="397"/>
      <c r="AU7839" s="397"/>
      <c r="AV7839" s="397"/>
      <c r="AW7839" s="397"/>
      <c r="AX7839" s="397"/>
      <c r="BI7839" s="397"/>
      <c r="BJ7839" s="397"/>
      <c r="BK7839" s="397"/>
      <c r="BL7839" s="397"/>
      <c r="BM7839" s="397"/>
      <c r="BN7839" s="397"/>
      <c r="BO7839" s="397"/>
      <c r="BP7839" s="397"/>
      <c r="BQ7839" s="397"/>
      <c r="BR7839" s="397"/>
      <c r="BS7839" s="397"/>
      <c r="BT7839" s="397"/>
      <c r="BU7839" s="397"/>
      <c r="BV7839" s="397"/>
      <c r="BW7839" s="397"/>
      <c r="BX7839" s="397"/>
      <c r="BY7839" s="397"/>
      <c r="BZ7839" s="397"/>
      <c r="CA7839" s="392" t="s">
        <v>413</v>
      </c>
    </row>
    <row r="7840" spans="1:80" s="392" customFormat="1" ht="15" x14ac:dyDescent="0.25">
      <c r="A7840" s="385"/>
      <c r="D7840" s="700"/>
      <c r="E7840" s="397"/>
      <c r="H7840" s="401">
        <v>3</v>
      </c>
      <c r="I7840" s="401"/>
      <c r="J7840" s="401"/>
      <c r="K7840" s="401"/>
      <c r="L7840" s="675"/>
      <c r="M7840" s="672">
        <v>29418</v>
      </c>
      <c r="N7840" s="623">
        <v>1.596486256729952</v>
      </c>
      <c r="O7840" s="624" t="s">
        <v>71</v>
      </c>
      <c r="P7840" s="397"/>
      <c r="Q7840" s="397"/>
      <c r="R7840" s="397"/>
      <c r="S7840" s="397"/>
      <c r="T7840" s="397"/>
      <c r="U7840" s="397"/>
      <c r="V7840" s="397"/>
      <c r="W7840" s="397"/>
      <c r="X7840" s="397"/>
      <c r="Y7840" s="397"/>
      <c r="Z7840" s="397"/>
      <c r="AD7840" s="388">
        <v>11.033760000000001</v>
      </c>
      <c r="AE7840" s="388">
        <v>0.44805600000000001</v>
      </c>
      <c r="AF7840" s="388">
        <v>4.9437423705600008</v>
      </c>
      <c r="AG7840" s="388">
        <v>0.24688800000000002</v>
      </c>
      <c r="AH7840" s="391"/>
      <c r="AI7840" s="397"/>
      <c r="AJ7840" s="397"/>
      <c r="AU7840" s="397"/>
      <c r="AV7840" s="397"/>
      <c r="AW7840" s="397"/>
      <c r="AX7840" s="397"/>
      <c r="BI7840" s="397"/>
      <c r="BJ7840" s="397"/>
      <c r="BK7840" s="397"/>
      <c r="BL7840" s="397"/>
      <c r="BM7840" s="397"/>
      <c r="BN7840" s="397"/>
      <c r="BO7840" s="397"/>
      <c r="BP7840" s="397"/>
      <c r="BQ7840" s="397"/>
      <c r="BR7840" s="397"/>
      <c r="BS7840" s="397"/>
      <c r="BT7840" s="397"/>
      <c r="BU7840" s="397"/>
      <c r="BV7840" s="397"/>
      <c r="BW7840" s="397"/>
      <c r="BX7840" s="397"/>
      <c r="BY7840" s="397"/>
      <c r="BZ7840" s="397"/>
      <c r="CA7840" s="392" t="s">
        <v>413</v>
      </c>
    </row>
    <row r="7841" spans="1:80" s="392" customFormat="1" ht="15" x14ac:dyDescent="0.25">
      <c r="A7841" s="385"/>
      <c r="D7841" s="700"/>
      <c r="E7841" s="397"/>
      <c r="H7841" s="401">
        <v>3</v>
      </c>
      <c r="I7841" s="401"/>
      <c r="J7841" s="401"/>
      <c r="K7841" s="401"/>
      <c r="L7841" s="675"/>
      <c r="M7841" s="672">
        <v>29425</v>
      </c>
      <c r="N7841" s="623">
        <v>2.3034854066307737</v>
      </c>
      <c r="O7841" s="624" t="s">
        <v>71</v>
      </c>
      <c r="P7841" s="397"/>
      <c r="Q7841" s="397"/>
      <c r="R7841" s="397"/>
      <c r="S7841" s="397"/>
      <c r="T7841" s="397"/>
      <c r="U7841" s="397"/>
      <c r="V7841" s="397"/>
      <c r="W7841" s="397"/>
      <c r="X7841" s="397"/>
      <c r="Y7841" s="397"/>
      <c r="Z7841" s="397"/>
      <c r="AD7841" s="388">
        <v>12.222480000000001</v>
      </c>
      <c r="AE7841" s="388">
        <v>0.40233600000000003</v>
      </c>
      <c r="AF7841" s="388">
        <v>4.9175437132800006</v>
      </c>
      <c r="AG7841" s="388">
        <v>0.35966399999999998</v>
      </c>
      <c r="AH7841" s="391"/>
      <c r="AI7841" s="397"/>
      <c r="AJ7841" s="397"/>
      <c r="AU7841" s="397"/>
      <c r="AV7841" s="397"/>
      <c r="AW7841" s="397"/>
      <c r="AX7841" s="397"/>
      <c r="BI7841" s="397"/>
      <c r="BJ7841" s="397"/>
      <c r="BK7841" s="397"/>
      <c r="BL7841" s="397"/>
      <c r="BM7841" s="397"/>
      <c r="BN7841" s="397"/>
      <c r="BO7841" s="397"/>
      <c r="BP7841" s="397"/>
      <c r="BQ7841" s="397"/>
      <c r="BR7841" s="397"/>
      <c r="BS7841" s="397"/>
      <c r="BT7841" s="397"/>
      <c r="BU7841" s="397"/>
      <c r="BV7841" s="397"/>
      <c r="BW7841" s="397"/>
      <c r="BX7841" s="397"/>
      <c r="BY7841" s="397"/>
      <c r="BZ7841" s="397"/>
      <c r="CA7841" s="392" t="s">
        <v>413</v>
      </c>
    </row>
    <row r="7842" spans="1:80" s="392" customFormat="1" ht="15" x14ac:dyDescent="0.25">
      <c r="A7842" s="385"/>
      <c r="D7842" s="700"/>
      <c r="E7842" s="397"/>
      <c r="H7842" s="401">
        <v>3</v>
      </c>
      <c r="I7842" s="401"/>
      <c r="J7842" s="401"/>
      <c r="K7842" s="401"/>
      <c r="L7842" s="675"/>
      <c r="M7842" s="672">
        <v>29446</v>
      </c>
      <c r="N7842" s="623">
        <v>2.544063474071975</v>
      </c>
      <c r="O7842" s="624" t="s">
        <v>71</v>
      </c>
      <c r="P7842" s="397"/>
      <c r="Q7842" s="397"/>
      <c r="R7842" s="397"/>
      <c r="S7842" s="397"/>
      <c r="T7842" s="397"/>
      <c r="U7842" s="397"/>
      <c r="V7842" s="397"/>
      <c r="W7842" s="397"/>
      <c r="X7842" s="397"/>
      <c r="Y7842" s="397"/>
      <c r="Z7842" s="397"/>
      <c r="AD7842" s="388">
        <v>11.125200000000001</v>
      </c>
      <c r="AE7842" s="388">
        <v>0.41757600000000006</v>
      </c>
      <c r="AF7842" s="388">
        <v>4.6456165152000013</v>
      </c>
      <c r="AG7842" s="388">
        <v>0.41452800000000006</v>
      </c>
      <c r="AH7842" s="391"/>
      <c r="AI7842" s="397"/>
      <c r="AJ7842" s="397"/>
      <c r="AU7842" s="397"/>
      <c r="AV7842" s="397"/>
      <c r="AW7842" s="397"/>
      <c r="AX7842" s="397"/>
      <c r="BI7842" s="397"/>
      <c r="BJ7842" s="397"/>
      <c r="BK7842" s="397"/>
      <c r="BL7842" s="397"/>
      <c r="BM7842" s="397"/>
      <c r="BN7842" s="397"/>
      <c r="BO7842" s="397"/>
      <c r="BP7842" s="397"/>
      <c r="BQ7842" s="397"/>
      <c r="BR7842" s="397"/>
      <c r="BS7842" s="397"/>
      <c r="BT7842" s="397"/>
      <c r="BU7842" s="397"/>
      <c r="BV7842" s="397"/>
      <c r="BW7842" s="397"/>
      <c r="BX7842" s="397"/>
      <c r="BY7842" s="397"/>
      <c r="BZ7842" s="397"/>
      <c r="CA7842" s="392" t="s">
        <v>413</v>
      </c>
    </row>
    <row r="7843" spans="1:80" s="392" customFormat="1" ht="15" x14ac:dyDescent="0.25">
      <c r="A7843" s="385"/>
      <c r="D7843" s="700"/>
      <c r="E7843" s="397"/>
      <c r="H7843" s="401">
        <v>3</v>
      </c>
      <c r="I7843" s="401"/>
      <c r="J7843" s="401"/>
      <c r="K7843" s="401"/>
      <c r="L7843" s="675"/>
      <c r="M7843" s="672">
        <v>29461</v>
      </c>
      <c r="N7843" s="623">
        <v>2.544063474071975</v>
      </c>
      <c r="O7843" s="624" t="s">
        <v>71</v>
      </c>
      <c r="P7843" s="397"/>
      <c r="Q7843" s="397"/>
      <c r="R7843" s="397"/>
      <c r="S7843" s="397"/>
      <c r="T7843" s="397"/>
      <c r="U7843" s="397"/>
      <c r="V7843" s="397"/>
      <c r="W7843" s="397"/>
      <c r="X7843" s="397"/>
      <c r="Y7843" s="397"/>
      <c r="Z7843" s="397"/>
      <c r="AD7843" s="388">
        <v>11.125200000000001</v>
      </c>
      <c r="AE7843" s="388">
        <v>0.41757600000000006</v>
      </c>
      <c r="AF7843" s="388">
        <v>4.6456165152000013</v>
      </c>
      <c r="AG7843" s="388">
        <v>0.41452800000000006</v>
      </c>
      <c r="AH7843" s="391"/>
      <c r="AI7843" s="397"/>
      <c r="AJ7843" s="397"/>
      <c r="AU7843" s="397"/>
      <c r="AV7843" s="397"/>
      <c r="AW7843" s="397"/>
      <c r="AX7843" s="397"/>
      <c r="BI7843" s="397"/>
      <c r="BJ7843" s="397"/>
      <c r="BK7843" s="397"/>
      <c r="BL7843" s="397"/>
      <c r="BM7843" s="397"/>
      <c r="BN7843" s="397"/>
      <c r="BO7843" s="397"/>
      <c r="BP7843" s="397"/>
      <c r="BQ7843" s="397"/>
      <c r="BR7843" s="397"/>
      <c r="BS7843" s="397"/>
      <c r="BT7843" s="397"/>
      <c r="BU7843" s="397"/>
      <c r="BV7843" s="397"/>
      <c r="BW7843" s="397"/>
      <c r="BX7843" s="397"/>
      <c r="BY7843" s="397"/>
      <c r="BZ7843" s="397"/>
      <c r="CA7843" s="392" t="s">
        <v>413</v>
      </c>
    </row>
    <row r="7844" spans="1:80" s="392" customFormat="1" ht="15" x14ac:dyDescent="0.25">
      <c r="A7844" s="385"/>
      <c r="D7844" s="700"/>
      <c r="E7844" s="397"/>
      <c r="H7844" s="401">
        <v>3</v>
      </c>
      <c r="I7844" s="401"/>
      <c r="J7844" s="401"/>
      <c r="K7844" s="401"/>
      <c r="L7844" s="675"/>
      <c r="M7844" s="672">
        <v>29480</v>
      </c>
      <c r="N7844" s="623">
        <v>2.544063474071975</v>
      </c>
      <c r="O7844" s="624" t="s">
        <v>71</v>
      </c>
      <c r="P7844" s="397"/>
      <c r="Q7844" s="397"/>
      <c r="R7844" s="397"/>
      <c r="S7844" s="397"/>
      <c r="T7844" s="397"/>
      <c r="U7844" s="397"/>
      <c r="V7844" s="397"/>
      <c r="W7844" s="397"/>
      <c r="X7844" s="397"/>
      <c r="Y7844" s="397"/>
      <c r="Z7844" s="397"/>
      <c r="AD7844" s="388">
        <v>11.125200000000001</v>
      </c>
      <c r="AE7844" s="388">
        <v>0.41757600000000006</v>
      </c>
      <c r="AF7844" s="388">
        <v>4.6456165152000013</v>
      </c>
      <c r="AG7844" s="388">
        <v>0.41452800000000006</v>
      </c>
      <c r="AH7844" s="391"/>
      <c r="AI7844" s="397"/>
      <c r="AJ7844" s="397"/>
      <c r="AU7844" s="397"/>
      <c r="AV7844" s="397"/>
      <c r="AW7844" s="397"/>
      <c r="AX7844" s="397"/>
      <c r="BI7844" s="397"/>
      <c r="BJ7844" s="397"/>
      <c r="BK7844" s="397"/>
      <c r="BL7844" s="397"/>
      <c r="BM7844" s="397"/>
      <c r="BN7844" s="397"/>
      <c r="BO7844" s="397"/>
      <c r="BP7844" s="397"/>
      <c r="BQ7844" s="397"/>
      <c r="BR7844" s="397"/>
      <c r="BS7844" s="397"/>
      <c r="BT7844" s="397"/>
      <c r="BU7844" s="397"/>
      <c r="BV7844" s="397"/>
      <c r="BW7844" s="397"/>
      <c r="BX7844" s="397"/>
      <c r="BY7844" s="397"/>
      <c r="BZ7844" s="397"/>
      <c r="CA7844" s="392" t="s">
        <v>413</v>
      </c>
    </row>
    <row r="7845" spans="1:80" s="392" customFormat="1" ht="15" x14ac:dyDescent="0.25">
      <c r="A7845" s="385"/>
      <c r="D7845" s="700"/>
      <c r="E7845" s="397"/>
      <c r="H7845" s="401">
        <v>3</v>
      </c>
      <c r="I7845" s="401"/>
      <c r="J7845" s="401"/>
      <c r="K7845" s="401"/>
      <c r="L7845" s="675"/>
      <c r="M7845" s="672">
        <v>29501</v>
      </c>
      <c r="N7845" s="623">
        <v>1.6639274582034571</v>
      </c>
      <c r="O7845" s="624" t="s">
        <v>71</v>
      </c>
      <c r="P7845" s="397"/>
      <c r="Q7845" s="397"/>
      <c r="R7845" s="397"/>
      <c r="S7845" s="397"/>
      <c r="T7845" s="397"/>
      <c r="U7845" s="397"/>
      <c r="V7845" s="397"/>
      <c r="W7845" s="397"/>
      <c r="X7845" s="397"/>
      <c r="Y7845" s="397"/>
      <c r="Z7845" s="397"/>
      <c r="AD7845" s="388">
        <v>11.643360000000001</v>
      </c>
      <c r="AE7845" s="388">
        <v>0.33223200000000003</v>
      </c>
      <c r="AF7845" s="388">
        <v>3.8682967795200009</v>
      </c>
      <c r="AG7845" s="388">
        <v>0.30175200000000002</v>
      </c>
      <c r="AH7845" s="391"/>
      <c r="AI7845" s="397"/>
      <c r="AJ7845" s="397"/>
      <c r="AU7845" s="397"/>
      <c r="AV7845" s="397"/>
      <c r="AW7845" s="397"/>
      <c r="AX7845" s="397"/>
      <c r="BI7845" s="397"/>
      <c r="BJ7845" s="397"/>
      <c r="BK7845" s="397"/>
      <c r="BL7845" s="397"/>
      <c r="BM7845" s="397"/>
      <c r="BN7845" s="397"/>
      <c r="BO7845" s="397"/>
      <c r="BP7845" s="397"/>
      <c r="BQ7845" s="397"/>
      <c r="BR7845" s="397"/>
      <c r="BS7845" s="397"/>
      <c r="BT7845" s="397"/>
      <c r="BU7845" s="397"/>
      <c r="BV7845" s="397"/>
      <c r="BW7845" s="397"/>
      <c r="BX7845" s="397"/>
      <c r="BY7845" s="397"/>
      <c r="BZ7845" s="397"/>
      <c r="CA7845" s="392" t="s">
        <v>413</v>
      </c>
    </row>
    <row r="7846" spans="1:80" s="189" customFormat="1" ht="15" x14ac:dyDescent="0.25">
      <c r="A7846" s="381" t="s">
        <v>502</v>
      </c>
      <c r="B7846" s="641"/>
      <c r="C7846" s="639"/>
      <c r="D7846" s="4">
        <f>VLOOKUP(E7846,'Quality Code'!$D$4:$E$24,2,TRUE)*VLOOKUP(MROUND(F7846,10),'Quality Code'!$D$28:$E$69,2,TRUE)*VLOOKUP(COUNTA(CB7846:CB7856),'Quality Code'!$D$73:$E$93,2,TRUE)</f>
        <v>8.7499999999999994E-2</v>
      </c>
      <c r="E7846" s="14">
        <v>0.35</v>
      </c>
      <c r="F7846" s="2">
        <v>8</v>
      </c>
      <c r="G7846" s="12"/>
      <c r="H7846" s="2" t="s">
        <v>105</v>
      </c>
      <c r="I7846" s="2"/>
      <c r="J7846" s="2"/>
      <c r="K7846" s="2"/>
      <c r="L7846" s="639"/>
      <c r="M7846" s="640">
        <v>1980</v>
      </c>
      <c r="N7846" s="578" t="s">
        <v>110</v>
      </c>
      <c r="O7846" s="578"/>
      <c r="P7846" s="26"/>
      <c r="Q7846" s="26"/>
      <c r="R7846" s="26"/>
      <c r="S7846" s="26"/>
      <c r="T7846" s="26"/>
      <c r="U7846" s="26"/>
      <c r="V7846" s="10"/>
      <c r="W7846" s="10"/>
      <c r="X7846" s="10"/>
      <c r="Y7846" s="10"/>
      <c r="Z7846" s="26"/>
      <c r="AA7846" s="26"/>
      <c r="AB7846" s="26"/>
      <c r="AC7846" s="3">
        <v>1E-3</v>
      </c>
      <c r="AD7846" s="406"/>
      <c r="AE7846" s="26"/>
      <c r="AF7846" s="26"/>
      <c r="AG7846" s="26"/>
      <c r="AH7846" s="26"/>
      <c r="AI7846" s="4"/>
      <c r="AJ7846" s="4"/>
      <c r="AK7846" s="26"/>
      <c r="AL7846" s="26"/>
      <c r="AM7846" s="26"/>
      <c r="AN7846" s="26"/>
      <c r="AO7846" s="26"/>
      <c r="AP7846" s="26"/>
      <c r="AQ7846" s="26"/>
      <c r="AR7846" s="26"/>
      <c r="AS7846" s="26"/>
      <c r="AT7846" s="26"/>
      <c r="AU7846" s="4"/>
      <c r="AV7846" s="4"/>
      <c r="AW7846" s="4"/>
      <c r="AX7846" s="4"/>
      <c r="AY7846" s="2"/>
      <c r="AZ7846" s="2"/>
      <c r="BA7846" s="12"/>
      <c r="BB7846" s="12"/>
      <c r="BC7846" s="12"/>
      <c r="BD7846" s="12"/>
      <c r="BE7846" s="12"/>
      <c r="BF7846" s="12"/>
      <c r="BG7846" s="12"/>
      <c r="BH7846" s="12"/>
      <c r="BI7846" s="4"/>
      <c r="BJ7846" s="12"/>
      <c r="BK7846" s="2"/>
      <c r="BL7846" s="2"/>
      <c r="BM7846" s="4"/>
      <c r="BN7846" s="12"/>
      <c r="BO7846" s="12"/>
      <c r="BP7846" s="12"/>
      <c r="BQ7846" s="4"/>
      <c r="BR7846" s="4"/>
      <c r="BS7846" s="4"/>
      <c r="BT7846" s="2"/>
      <c r="BU7846" s="9"/>
      <c r="BV7846" s="381"/>
      <c r="BW7846" s="382"/>
      <c r="BX7846" s="383"/>
      <c r="BY7846" s="383"/>
      <c r="BZ7846" s="383"/>
      <c r="CA7846" s="384" t="s">
        <v>413</v>
      </c>
      <c r="CB7846" s="411"/>
    </row>
    <row r="7847" spans="1:80" s="392" customFormat="1" ht="15" x14ac:dyDescent="0.25">
      <c r="A7847" s="385"/>
      <c r="D7847" s="700"/>
      <c r="E7847" s="397"/>
      <c r="H7847" s="401">
        <v>3</v>
      </c>
      <c r="I7847" s="401"/>
      <c r="J7847" s="401"/>
      <c r="K7847" s="401"/>
      <c r="L7847" s="675"/>
      <c r="M7847" s="672">
        <v>29355</v>
      </c>
      <c r="N7847" s="623">
        <v>2.5519977330688581</v>
      </c>
      <c r="O7847" s="624">
        <v>5.297200000000001E-3</v>
      </c>
      <c r="P7847" s="397"/>
      <c r="Q7847" s="397"/>
      <c r="R7847" s="397"/>
      <c r="S7847" s="397"/>
      <c r="T7847" s="397"/>
      <c r="U7847" s="397"/>
      <c r="V7847" s="397"/>
      <c r="W7847" s="397"/>
      <c r="X7847" s="397"/>
      <c r="Y7847" s="397"/>
      <c r="Z7847" s="397"/>
      <c r="AD7847" s="388">
        <v>21.244560000000003</v>
      </c>
      <c r="AE7847" s="388">
        <v>0.24384000000000003</v>
      </c>
      <c r="AF7847" s="388">
        <v>5.1802735104000011</v>
      </c>
      <c r="AG7847" s="388">
        <v>0.31699200000000005</v>
      </c>
      <c r="AH7847" s="391"/>
      <c r="AI7847" s="397"/>
      <c r="AJ7847" s="397"/>
      <c r="AU7847" s="397"/>
      <c r="AV7847" s="397"/>
      <c r="AW7847" s="397"/>
      <c r="AX7847" s="397"/>
      <c r="BI7847" s="397"/>
      <c r="BJ7847" s="397"/>
      <c r="BK7847" s="397"/>
      <c r="BL7847" s="397"/>
      <c r="BM7847" s="397"/>
      <c r="BN7847" s="397"/>
      <c r="BO7847" s="397"/>
      <c r="BP7847" s="397"/>
      <c r="BQ7847" s="397"/>
      <c r="BR7847" s="397"/>
      <c r="BS7847" s="397"/>
      <c r="BT7847" s="397"/>
      <c r="BU7847" s="397"/>
      <c r="BV7847" s="397"/>
      <c r="BW7847" s="397"/>
      <c r="BX7847" s="397"/>
      <c r="BY7847" s="397"/>
      <c r="BZ7847" s="397"/>
      <c r="CA7847" s="392" t="s">
        <v>413</v>
      </c>
    </row>
    <row r="7848" spans="1:80" s="392" customFormat="1" ht="15" x14ac:dyDescent="0.25">
      <c r="A7848" s="385"/>
      <c r="D7848" s="700"/>
      <c r="E7848" s="397"/>
      <c r="H7848" s="401">
        <v>3</v>
      </c>
      <c r="I7848" s="401"/>
      <c r="J7848" s="401"/>
      <c r="K7848" s="401"/>
      <c r="L7848" s="675"/>
      <c r="M7848" s="672">
        <v>29366</v>
      </c>
      <c r="N7848" s="623">
        <v>9.543780107679229</v>
      </c>
      <c r="O7848" s="624">
        <v>0.23709146666666664</v>
      </c>
      <c r="P7848" s="397"/>
      <c r="Q7848" s="397"/>
      <c r="R7848" s="397"/>
      <c r="S7848" s="397"/>
      <c r="T7848" s="397"/>
      <c r="U7848" s="397"/>
      <c r="V7848" s="397"/>
      <c r="W7848" s="397"/>
      <c r="X7848" s="397"/>
      <c r="Y7848" s="397"/>
      <c r="Z7848" s="397"/>
      <c r="AD7848" s="388">
        <v>21.82368</v>
      </c>
      <c r="AE7848" s="388">
        <v>0.43891200000000002</v>
      </c>
      <c r="AF7848" s="388">
        <v>9.5786750361599999</v>
      </c>
      <c r="AG7848" s="388">
        <v>0.71323199999999998</v>
      </c>
      <c r="AH7848" s="391"/>
      <c r="AI7848" s="397"/>
      <c r="AJ7848" s="397"/>
      <c r="AU7848" s="397"/>
      <c r="AV7848" s="397"/>
      <c r="AW7848" s="397"/>
      <c r="AX7848" s="397"/>
      <c r="BI7848" s="397"/>
      <c r="BJ7848" s="397"/>
      <c r="BK7848" s="397"/>
      <c r="BL7848" s="397"/>
      <c r="BM7848" s="397"/>
      <c r="BN7848" s="397"/>
      <c r="BO7848" s="397"/>
      <c r="BP7848" s="397"/>
      <c r="BQ7848" s="397"/>
      <c r="BR7848" s="397"/>
      <c r="BS7848" s="397"/>
      <c r="BT7848" s="397"/>
      <c r="BU7848" s="397"/>
      <c r="BV7848" s="397"/>
      <c r="BW7848" s="397"/>
      <c r="BX7848" s="397"/>
      <c r="BY7848" s="397"/>
      <c r="BZ7848" s="397"/>
      <c r="CA7848" s="392" t="s">
        <v>413</v>
      </c>
    </row>
    <row r="7849" spans="1:80" s="392" customFormat="1" ht="15" x14ac:dyDescent="0.25">
      <c r="A7849" s="385"/>
      <c r="D7849" s="700"/>
      <c r="E7849" s="397"/>
      <c r="H7849" s="401">
        <v>3</v>
      </c>
      <c r="I7849" s="401"/>
      <c r="J7849" s="401"/>
      <c r="K7849" s="401"/>
      <c r="L7849" s="675"/>
      <c r="M7849" s="672">
        <v>29373</v>
      </c>
      <c r="N7849" s="623">
        <v>10.246245395296118</v>
      </c>
      <c r="O7849" s="624">
        <v>0.15431413333333335</v>
      </c>
      <c r="P7849" s="397"/>
      <c r="Q7849" s="397"/>
      <c r="R7849" s="397"/>
      <c r="S7849" s="397"/>
      <c r="T7849" s="397"/>
      <c r="U7849" s="397"/>
      <c r="V7849" s="397"/>
      <c r="W7849" s="397"/>
      <c r="X7849" s="397"/>
      <c r="Y7849" s="397"/>
      <c r="Z7849" s="397"/>
      <c r="AD7849" s="388">
        <v>21.701760000000004</v>
      </c>
      <c r="AE7849" s="388">
        <v>0.48463200000000006</v>
      </c>
      <c r="AF7849" s="388">
        <v>10.517367352320003</v>
      </c>
      <c r="AG7849" s="388">
        <v>0.75590400000000002</v>
      </c>
      <c r="AH7849" s="391"/>
      <c r="AI7849" s="397"/>
      <c r="AJ7849" s="397"/>
      <c r="AU7849" s="397"/>
      <c r="AV7849" s="397"/>
      <c r="AW7849" s="397"/>
      <c r="AX7849" s="397"/>
      <c r="BI7849" s="397"/>
      <c r="BJ7849" s="397"/>
      <c r="BK7849" s="397"/>
      <c r="BL7849" s="397"/>
      <c r="BM7849" s="397"/>
      <c r="BN7849" s="397"/>
      <c r="BO7849" s="397"/>
      <c r="BP7849" s="397"/>
      <c r="BQ7849" s="397"/>
      <c r="BR7849" s="397"/>
      <c r="BS7849" s="397"/>
      <c r="BT7849" s="397"/>
      <c r="BU7849" s="397"/>
      <c r="BV7849" s="397"/>
      <c r="BW7849" s="397"/>
      <c r="BX7849" s="397"/>
      <c r="BY7849" s="397"/>
      <c r="BZ7849" s="397"/>
      <c r="CA7849" s="392" t="s">
        <v>413</v>
      </c>
    </row>
    <row r="7850" spans="1:80" s="392" customFormat="1" ht="15" x14ac:dyDescent="0.25">
      <c r="A7850" s="385"/>
      <c r="D7850" s="700"/>
      <c r="E7850" s="397"/>
      <c r="H7850" s="401">
        <v>3</v>
      </c>
      <c r="I7850" s="401"/>
      <c r="J7850" s="401"/>
      <c r="K7850" s="401"/>
      <c r="L7850" s="675"/>
      <c r="M7850" s="672">
        <v>29381</v>
      </c>
      <c r="N7850" s="623">
        <v>15.534995749504109</v>
      </c>
      <c r="O7850" s="624">
        <v>3.5658133333333342E-2</v>
      </c>
      <c r="P7850" s="397"/>
      <c r="Q7850" s="397"/>
      <c r="R7850" s="397"/>
      <c r="S7850" s="397"/>
      <c r="T7850" s="397"/>
      <c r="U7850" s="397"/>
      <c r="V7850" s="397"/>
      <c r="W7850" s="397"/>
      <c r="X7850" s="397"/>
      <c r="Y7850" s="397"/>
      <c r="Z7850" s="397"/>
      <c r="AD7850" s="388">
        <v>9.0220800000000008</v>
      </c>
      <c r="AE7850" s="388">
        <v>1.1612880000000001</v>
      </c>
      <c r="AF7850" s="388">
        <v>10.477233239040002</v>
      </c>
      <c r="AG7850" s="388">
        <v>1.3167360000000001</v>
      </c>
      <c r="AH7850" s="391"/>
      <c r="AI7850" s="397"/>
      <c r="AJ7850" s="397"/>
      <c r="AU7850" s="397"/>
      <c r="AV7850" s="397"/>
      <c r="AW7850" s="397"/>
      <c r="AX7850" s="397"/>
      <c r="BI7850" s="397"/>
      <c r="BJ7850" s="397"/>
      <c r="BK7850" s="397"/>
      <c r="BL7850" s="397"/>
      <c r="BM7850" s="397"/>
      <c r="BN7850" s="397"/>
      <c r="BO7850" s="397"/>
      <c r="BP7850" s="397"/>
      <c r="BQ7850" s="397"/>
      <c r="BR7850" s="397"/>
      <c r="BS7850" s="397"/>
      <c r="BT7850" s="397"/>
      <c r="BU7850" s="397"/>
      <c r="BV7850" s="397"/>
      <c r="BW7850" s="397"/>
      <c r="BX7850" s="397"/>
      <c r="BY7850" s="397"/>
      <c r="BZ7850" s="397"/>
      <c r="CA7850" s="392" t="s">
        <v>413</v>
      </c>
    </row>
    <row r="7851" spans="1:80" s="392" customFormat="1" ht="15" x14ac:dyDescent="0.25">
      <c r="A7851" s="385"/>
      <c r="D7851" s="700"/>
      <c r="E7851" s="397"/>
      <c r="H7851" s="401">
        <v>3</v>
      </c>
      <c r="I7851" s="401"/>
      <c r="J7851" s="401"/>
      <c r="K7851" s="401"/>
      <c r="L7851" s="675"/>
      <c r="M7851" s="672">
        <v>29389</v>
      </c>
      <c r="N7851" s="623">
        <v>16.810144516860301</v>
      </c>
      <c r="O7851" s="624">
        <v>4.3613866666666661E-2</v>
      </c>
      <c r="P7851" s="397"/>
      <c r="Q7851" s="397"/>
      <c r="R7851" s="397"/>
      <c r="S7851" s="397"/>
      <c r="T7851" s="397"/>
      <c r="U7851" s="397"/>
      <c r="V7851" s="397"/>
      <c r="W7851" s="397"/>
      <c r="X7851" s="397"/>
      <c r="Y7851" s="397"/>
      <c r="Z7851" s="397"/>
      <c r="AD7851" s="388">
        <v>18.531839999999999</v>
      </c>
      <c r="AE7851" s="388">
        <v>0.77114399999999994</v>
      </c>
      <c r="AF7851" s="388">
        <v>14.290717224959998</v>
      </c>
      <c r="AG7851" s="388">
        <v>0.79857600000000006</v>
      </c>
      <c r="AH7851" s="391"/>
      <c r="AI7851" s="397"/>
      <c r="AJ7851" s="397"/>
      <c r="AU7851" s="397"/>
      <c r="AV7851" s="397"/>
      <c r="AW7851" s="397"/>
      <c r="AX7851" s="397"/>
      <c r="BI7851" s="397"/>
      <c r="BJ7851" s="397"/>
      <c r="BK7851" s="397"/>
      <c r="BL7851" s="397"/>
      <c r="BM7851" s="397"/>
      <c r="BN7851" s="397"/>
      <c r="BO7851" s="397"/>
      <c r="BP7851" s="397"/>
      <c r="BQ7851" s="397"/>
      <c r="BR7851" s="397"/>
      <c r="BS7851" s="397"/>
      <c r="BT7851" s="397"/>
      <c r="BU7851" s="397"/>
      <c r="BV7851" s="397"/>
      <c r="BW7851" s="397"/>
      <c r="BX7851" s="397"/>
      <c r="BY7851" s="397"/>
      <c r="BZ7851" s="397"/>
      <c r="CA7851" s="392" t="s">
        <v>413</v>
      </c>
    </row>
    <row r="7852" spans="1:80" s="392" customFormat="1" ht="15" x14ac:dyDescent="0.25">
      <c r="A7852" s="385"/>
      <c r="D7852" s="700"/>
      <c r="E7852" s="397"/>
      <c r="H7852" s="401">
        <v>3</v>
      </c>
      <c r="I7852" s="401"/>
      <c r="J7852" s="401"/>
      <c r="K7852" s="401"/>
      <c r="L7852" s="675"/>
      <c r="M7852" s="672">
        <v>29397</v>
      </c>
      <c r="N7852" s="623">
        <v>10.549164069141399</v>
      </c>
      <c r="O7852" s="624">
        <v>5.979693333333333E-2</v>
      </c>
      <c r="P7852" s="397"/>
      <c r="Q7852" s="397"/>
      <c r="R7852" s="397"/>
      <c r="S7852" s="397"/>
      <c r="T7852" s="397"/>
      <c r="U7852" s="397"/>
      <c r="V7852" s="397"/>
      <c r="W7852" s="397"/>
      <c r="X7852" s="397"/>
      <c r="Y7852" s="397"/>
      <c r="Z7852" s="397"/>
      <c r="AD7852" s="388">
        <v>21.732240000000001</v>
      </c>
      <c r="AE7852" s="388">
        <v>0.53035200000000005</v>
      </c>
      <c r="AF7852" s="388">
        <v>11.525736948480002</v>
      </c>
      <c r="AG7852" s="388">
        <v>0.70713599999999999</v>
      </c>
      <c r="AH7852" s="391"/>
      <c r="AI7852" s="397"/>
      <c r="AJ7852" s="397"/>
      <c r="AU7852" s="397"/>
      <c r="AV7852" s="397"/>
      <c r="AW7852" s="397"/>
      <c r="AX7852" s="397"/>
      <c r="BI7852" s="397"/>
      <c r="BJ7852" s="397"/>
      <c r="BK7852" s="397"/>
      <c r="BL7852" s="397"/>
      <c r="BM7852" s="397"/>
      <c r="BN7852" s="397"/>
      <c r="BO7852" s="397"/>
      <c r="BP7852" s="397"/>
      <c r="BQ7852" s="397"/>
      <c r="BR7852" s="397"/>
      <c r="BS7852" s="397"/>
      <c r="BT7852" s="397"/>
      <c r="BU7852" s="397"/>
      <c r="BV7852" s="397"/>
      <c r="BW7852" s="397"/>
      <c r="BX7852" s="397"/>
      <c r="BY7852" s="397"/>
      <c r="BZ7852" s="397"/>
      <c r="CA7852" s="392" t="s">
        <v>413</v>
      </c>
    </row>
    <row r="7853" spans="1:80" s="392" customFormat="1" ht="15" x14ac:dyDescent="0.25">
      <c r="A7853" s="385"/>
      <c r="D7853" s="700"/>
      <c r="E7853" s="397"/>
      <c r="H7853" s="401">
        <v>3</v>
      </c>
      <c r="I7853" s="401"/>
      <c r="J7853" s="401"/>
      <c r="K7853" s="401"/>
      <c r="L7853" s="675"/>
      <c r="M7853" s="672">
        <v>29406</v>
      </c>
      <c r="N7853" s="623">
        <v>6.7883253046188727</v>
      </c>
      <c r="O7853" s="624">
        <v>1.80086E-2</v>
      </c>
      <c r="P7853" s="397"/>
      <c r="Q7853" s="397"/>
      <c r="R7853" s="397"/>
      <c r="S7853" s="397"/>
      <c r="T7853" s="397"/>
      <c r="U7853" s="397"/>
      <c r="V7853" s="397"/>
      <c r="W7853" s="397"/>
      <c r="X7853" s="397"/>
      <c r="Y7853" s="397"/>
      <c r="Z7853" s="397"/>
      <c r="AD7853" s="388">
        <v>21.610320000000002</v>
      </c>
      <c r="AE7853" s="388">
        <v>0.38100000000000001</v>
      </c>
      <c r="AF7853" s="388">
        <v>8.2335319200000008</v>
      </c>
      <c r="AG7853" s="388">
        <v>0.55473600000000001</v>
      </c>
      <c r="AH7853" s="391"/>
      <c r="AI7853" s="397"/>
      <c r="AJ7853" s="397"/>
      <c r="AU7853" s="397"/>
      <c r="AV7853" s="397"/>
      <c r="AW7853" s="397"/>
      <c r="AX7853" s="397"/>
      <c r="BI7853" s="397"/>
      <c r="BJ7853" s="397"/>
      <c r="BK7853" s="397"/>
      <c r="BL7853" s="397"/>
      <c r="BM7853" s="397"/>
      <c r="BN7853" s="397"/>
      <c r="BO7853" s="397"/>
      <c r="BP7853" s="397"/>
      <c r="BQ7853" s="397"/>
      <c r="BR7853" s="397"/>
      <c r="BS7853" s="397"/>
      <c r="BT7853" s="397"/>
      <c r="BU7853" s="397"/>
      <c r="BV7853" s="397"/>
      <c r="BW7853" s="397"/>
      <c r="BX7853" s="397"/>
      <c r="BY7853" s="397"/>
      <c r="BZ7853" s="397"/>
      <c r="CA7853" s="392" t="s">
        <v>413</v>
      </c>
    </row>
    <row r="7854" spans="1:80" s="392" customFormat="1" ht="15" x14ac:dyDescent="0.25">
      <c r="A7854" s="385"/>
      <c r="D7854" s="700"/>
      <c r="E7854" s="397"/>
      <c r="H7854" s="401">
        <v>3</v>
      </c>
      <c r="I7854" s="401"/>
      <c r="J7854" s="401"/>
      <c r="K7854" s="401"/>
      <c r="L7854" s="675"/>
      <c r="M7854" s="672">
        <v>29416</v>
      </c>
      <c r="N7854" s="623">
        <v>2.6251062623972796</v>
      </c>
      <c r="O7854" s="624">
        <v>5.7657999999999997E-3</v>
      </c>
      <c r="P7854" s="397"/>
      <c r="Q7854" s="397"/>
      <c r="R7854" s="397"/>
      <c r="S7854" s="397"/>
      <c r="T7854" s="397"/>
      <c r="U7854" s="397"/>
      <c r="V7854" s="397"/>
      <c r="W7854" s="397"/>
      <c r="X7854" s="397"/>
      <c r="Y7854" s="397"/>
      <c r="Z7854" s="397"/>
      <c r="AD7854" s="388">
        <v>20.756879999999999</v>
      </c>
      <c r="AE7854" s="388">
        <v>0.28346400000000005</v>
      </c>
      <c r="AF7854" s="388">
        <v>5.8838282323200009</v>
      </c>
      <c r="AG7854" s="388">
        <v>0.27127200000000001</v>
      </c>
      <c r="AH7854" s="391"/>
      <c r="AI7854" s="397"/>
      <c r="AJ7854" s="397"/>
      <c r="AU7854" s="397"/>
      <c r="AV7854" s="397"/>
      <c r="AW7854" s="397"/>
      <c r="AX7854" s="397"/>
      <c r="BI7854" s="397"/>
      <c r="BJ7854" s="397"/>
      <c r="BK7854" s="397"/>
      <c r="BL7854" s="397"/>
      <c r="BM7854" s="397"/>
      <c r="BN7854" s="397"/>
      <c r="BO7854" s="397"/>
      <c r="BP7854" s="397"/>
      <c r="BQ7854" s="397"/>
      <c r="BR7854" s="397"/>
      <c r="BS7854" s="397"/>
      <c r="BT7854" s="397"/>
      <c r="BU7854" s="397"/>
      <c r="BV7854" s="397"/>
      <c r="BW7854" s="397"/>
      <c r="BX7854" s="397"/>
      <c r="BY7854" s="397"/>
      <c r="BZ7854" s="397"/>
      <c r="CA7854" s="392" t="s">
        <v>413</v>
      </c>
    </row>
    <row r="7855" spans="1:80" s="392" customFormat="1" ht="15" x14ac:dyDescent="0.25">
      <c r="A7855" s="385"/>
      <c r="D7855" s="700"/>
      <c r="E7855" s="397"/>
      <c r="H7855" s="401">
        <v>3</v>
      </c>
      <c r="I7855" s="401"/>
      <c r="J7855" s="401"/>
      <c r="K7855" s="401"/>
      <c r="L7855" s="675"/>
      <c r="M7855" s="672">
        <v>29423</v>
      </c>
      <c r="N7855" s="623">
        <v>1.3536412581467838</v>
      </c>
      <c r="O7855" s="624" t="s">
        <v>71</v>
      </c>
      <c r="P7855" s="397"/>
      <c r="Q7855" s="397"/>
      <c r="R7855" s="397"/>
      <c r="S7855" s="397"/>
      <c r="T7855" s="397"/>
      <c r="U7855" s="397"/>
      <c r="V7855" s="397"/>
      <c r="W7855" s="397"/>
      <c r="X7855" s="397"/>
      <c r="Y7855" s="397"/>
      <c r="Z7855" s="397"/>
      <c r="AD7855" s="388">
        <v>20.574000000000002</v>
      </c>
      <c r="AE7855" s="388">
        <v>0.25298399999999999</v>
      </c>
      <c r="AF7855" s="388">
        <v>5.2048928160000001</v>
      </c>
      <c r="AG7855" s="388">
        <v>0.14325599999999999</v>
      </c>
      <c r="AH7855" s="391"/>
      <c r="AI7855" s="397"/>
      <c r="AJ7855" s="397"/>
      <c r="AU7855" s="397"/>
      <c r="AV7855" s="397"/>
      <c r="AW7855" s="397"/>
      <c r="AX7855" s="397"/>
      <c r="BI7855" s="397"/>
      <c r="BJ7855" s="397"/>
      <c r="BK7855" s="397"/>
      <c r="BL7855" s="397"/>
      <c r="BM7855" s="397"/>
      <c r="BN7855" s="397"/>
      <c r="BO7855" s="397"/>
      <c r="BP7855" s="397"/>
      <c r="BQ7855" s="397"/>
      <c r="BR7855" s="397"/>
      <c r="BS7855" s="397"/>
      <c r="BT7855" s="397"/>
      <c r="BU7855" s="397"/>
      <c r="BV7855" s="397"/>
      <c r="BW7855" s="397"/>
      <c r="BX7855" s="397"/>
      <c r="BY7855" s="397"/>
      <c r="BZ7855" s="397"/>
      <c r="CA7855" s="392" t="s">
        <v>413</v>
      </c>
    </row>
    <row r="7856" spans="1:80" s="392" customFormat="1" ht="15" x14ac:dyDescent="0.25">
      <c r="A7856" s="385"/>
      <c r="D7856" s="700"/>
      <c r="E7856" s="397"/>
      <c r="H7856" s="401">
        <v>3</v>
      </c>
      <c r="I7856" s="401"/>
      <c r="J7856" s="401"/>
      <c r="K7856" s="401"/>
      <c r="L7856" s="675"/>
      <c r="M7856" s="672">
        <v>29430</v>
      </c>
      <c r="N7856" s="623">
        <v>0.78520827429866824</v>
      </c>
      <c r="O7856" s="624" t="s">
        <v>71</v>
      </c>
      <c r="P7856" s="397"/>
      <c r="Q7856" s="397"/>
      <c r="R7856" s="397"/>
      <c r="S7856" s="397"/>
      <c r="T7856" s="397"/>
      <c r="U7856" s="397"/>
      <c r="V7856" s="397"/>
      <c r="W7856" s="397"/>
      <c r="X7856" s="397"/>
      <c r="Y7856" s="397"/>
      <c r="Z7856" s="397"/>
      <c r="AD7856" s="388">
        <v>19.690079999999998</v>
      </c>
      <c r="AE7856" s="388">
        <v>0.23164800000000002</v>
      </c>
      <c r="AF7856" s="388">
        <v>4.5611676518399999</v>
      </c>
      <c r="AG7856" s="388">
        <v>0.10668</v>
      </c>
      <c r="AH7856" s="391"/>
      <c r="AI7856" s="397"/>
      <c r="AJ7856" s="397"/>
      <c r="AU7856" s="397"/>
      <c r="AV7856" s="397"/>
      <c r="AW7856" s="397"/>
      <c r="AX7856" s="397"/>
      <c r="BI7856" s="397"/>
      <c r="BJ7856" s="397"/>
      <c r="BK7856" s="397"/>
      <c r="BL7856" s="397"/>
      <c r="BM7856" s="397"/>
      <c r="BN7856" s="397"/>
      <c r="BO7856" s="397"/>
      <c r="BP7856" s="397"/>
      <c r="BQ7856" s="397"/>
      <c r="BR7856" s="397"/>
      <c r="BS7856" s="397"/>
      <c r="BT7856" s="397"/>
      <c r="BU7856" s="397"/>
      <c r="BV7856" s="397"/>
      <c r="BW7856" s="397"/>
      <c r="BX7856" s="397"/>
      <c r="BY7856" s="397"/>
      <c r="BZ7856" s="397"/>
      <c r="CA7856" s="392" t="s">
        <v>413</v>
      </c>
    </row>
    <row r="7857" spans="1:80" s="392" customFormat="1" ht="15" x14ac:dyDescent="0.25">
      <c r="A7857" s="385"/>
      <c r="D7857" s="700"/>
      <c r="E7857" s="397"/>
      <c r="H7857" s="401">
        <v>3</v>
      </c>
      <c r="I7857" s="401"/>
      <c r="J7857" s="401"/>
      <c r="K7857" s="401"/>
      <c r="L7857" s="675"/>
      <c r="M7857" s="672">
        <v>29446</v>
      </c>
      <c r="N7857" s="623">
        <v>0.32898838197789743</v>
      </c>
      <c r="O7857" s="624" t="s">
        <v>71</v>
      </c>
      <c r="P7857" s="397"/>
      <c r="Q7857" s="397"/>
      <c r="R7857" s="397"/>
      <c r="S7857" s="397"/>
      <c r="T7857" s="397"/>
      <c r="U7857" s="397"/>
      <c r="V7857" s="397"/>
      <c r="W7857" s="397"/>
      <c r="X7857" s="397"/>
      <c r="Y7857" s="397"/>
      <c r="Z7857" s="397"/>
      <c r="AD7857" s="388">
        <v>9.6316800000000011</v>
      </c>
      <c r="AE7857" s="388">
        <v>0.32613600000000004</v>
      </c>
      <c r="AF7857" s="388">
        <v>3.1412375884800006</v>
      </c>
      <c r="AG7857" s="388">
        <v>8.2296000000000008E-2</v>
      </c>
      <c r="AH7857" s="391"/>
      <c r="AI7857" s="397"/>
      <c r="AJ7857" s="397"/>
      <c r="AU7857" s="397"/>
      <c r="AV7857" s="397"/>
      <c r="AW7857" s="397"/>
      <c r="AX7857" s="397"/>
      <c r="BI7857" s="397"/>
      <c r="BJ7857" s="397"/>
      <c r="BK7857" s="397"/>
      <c r="BL7857" s="397"/>
      <c r="BM7857" s="397"/>
      <c r="BN7857" s="397"/>
      <c r="BO7857" s="397"/>
      <c r="BP7857" s="397"/>
      <c r="BQ7857" s="397"/>
      <c r="BR7857" s="397"/>
      <c r="BS7857" s="397"/>
      <c r="BT7857" s="397"/>
      <c r="BU7857" s="397"/>
      <c r="BV7857" s="397"/>
      <c r="BW7857" s="397"/>
      <c r="BX7857" s="397"/>
      <c r="BY7857" s="397"/>
      <c r="BZ7857" s="397"/>
      <c r="CA7857" s="392" t="s">
        <v>413</v>
      </c>
    </row>
    <row r="7858" spans="1:80" s="392" customFormat="1" ht="15" x14ac:dyDescent="0.25">
      <c r="A7858" s="385"/>
      <c r="D7858" s="700"/>
      <c r="E7858" s="397"/>
      <c r="H7858" s="401">
        <v>3</v>
      </c>
      <c r="I7858" s="401"/>
      <c r="J7858" s="401"/>
      <c r="K7858" s="401"/>
      <c r="L7858" s="675"/>
      <c r="M7858" s="672">
        <v>29461</v>
      </c>
      <c r="N7858" s="623">
        <v>0.32898838197789743</v>
      </c>
      <c r="O7858" s="624" t="s">
        <v>71</v>
      </c>
      <c r="P7858" s="397"/>
      <c r="Q7858" s="397"/>
      <c r="R7858" s="397"/>
      <c r="S7858" s="397"/>
      <c r="T7858" s="397"/>
      <c r="U7858" s="397"/>
      <c r="V7858" s="397"/>
      <c r="W7858" s="397"/>
      <c r="X7858" s="397"/>
      <c r="Y7858" s="397"/>
      <c r="Z7858" s="397"/>
      <c r="AD7858" s="388">
        <v>9.6316800000000011</v>
      </c>
      <c r="AE7858" s="388">
        <v>0.32613600000000004</v>
      </c>
      <c r="AF7858" s="388">
        <v>3.1412375884800006</v>
      </c>
      <c r="AG7858" s="388">
        <v>8.2296000000000008E-2</v>
      </c>
      <c r="AH7858" s="391"/>
      <c r="AI7858" s="397"/>
      <c r="AJ7858" s="397"/>
      <c r="AU7858" s="397"/>
      <c r="AV7858" s="397"/>
      <c r="AW7858" s="397"/>
      <c r="AX7858" s="397"/>
      <c r="BI7858" s="397"/>
      <c r="BJ7858" s="397"/>
      <c r="BK7858" s="397"/>
      <c r="BL7858" s="397"/>
      <c r="BM7858" s="397"/>
      <c r="BN7858" s="397"/>
      <c r="BO7858" s="397"/>
      <c r="BP7858" s="397"/>
      <c r="BQ7858" s="397"/>
      <c r="BR7858" s="397"/>
      <c r="BS7858" s="397"/>
      <c r="BT7858" s="397"/>
      <c r="BU7858" s="397"/>
      <c r="BV7858" s="397"/>
      <c r="BW7858" s="397"/>
      <c r="BX7858" s="397"/>
      <c r="BY7858" s="397"/>
      <c r="BZ7858" s="397"/>
      <c r="CA7858" s="392" t="s">
        <v>413</v>
      </c>
    </row>
    <row r="7859" spans="1:80" s="392" customFormat="1" ht="15" x14ac:dyDescent="0.25">
      <c r="A7859" s="385"/>
      <c r="D7859" s="700"/>
      <c r="E7859" s="397"/>
      <c r="H7859" s="401">
        <v>3</v>
      </c>
      <c r="I7859" s="401"/>
      <c r="J7859" s="401"/>
      <c r="K7859" s="401"/>
      <c r="L7859" s="675"/>
      <c r="M7859" s="672">
        <v>29479</v>
      </c>
      <c r="N7859" s="623">
        <v>0.32898838197789743</v>
      </c>
      <c r="O7859" s="624" t="s">
        <v>71</v>
      </c>
      <c r="P7859" s="397"/>
      <c r="Q7859" s="397"/>
      <c r="R7859" s="397"/>
      <c r="S7859" s="397"/>
      <c r="T7859" s="397"/>
      <c r="U7859" s="397"/>
      <c r="V7859" s="397"/>
      <c r="W7859" s="397"/>
      <c r="X7859" s="397"/>
      <c r="Y7859" s="397"/>
      <c r="Z7859" s="397"/>
      <c r="AD7859" s="388">
        <v>9.6316800000000011</v>
      </c>
      <c r="AE7859" s="388">
        <v>0.32613600000000004</v>
      </c>
      <c r="AF7859" s="388">
        <v>3.1412375884800006</v>
      </c>
      <c r="AG7859" s="388">
        <v>8.2296000000000008E-2</v>
      </c>
      <c r="AH7859" s="391"/>
      <c r="AI7859" s="397"/>
      <c r="AJ7859" s="397"/>
      <c r="AU7859" s="397"/>
      <c r="AV7859" s="397"/>
      <c r="AW7859" s="397"/>
      <c r="AX7859" s="397"/>
      <c r="BI7859" s="397"/>
      <c r="BJ7859" s="397"/>
      <c r="BK7859" s="397"/>
      <c r="BL7859" s="397"/>
      <c r="BM7859" s="397"/>
      <c r="BN7859" s="397"/>
      <c r="BO7859" s="397"/>
      <c r="BP7859" s="397"/>
      <c r="BQ7859" s="397"/>
      <c r="BR7859" s="397"/>
      <c r="BS7859" s="397"/>
      <c r="BT7859" s="397"/>
      <c r="BU7859" s="397"/>
      <c r="BV7859" s="397"/>
      <c r="BW7859" s="397"/>
      <c r="BX7859" s="397"/>
      <c r="BY7859" s="397"/>
      <c r="BZ7859" s="397"/>
      <c r="CA7859" s="392" t="s">
        <v>413</v>
      </c>
    </row>
    <row r="7860" spans="1:80" s="392" customFormat="1" ht="15" x14ac:dyDescent="0.25">
      <c r="A7860" s="385"/>
      <c r="D7860" s="700"/>
      <c r="E7860" s="397"/>
      <c r="H7860" s="401">
        <v>3</v>
      </c>
      <c r="I7860" s="401"/>
      <c r="J7860" s="401"/>
      <c r="K7860" s="401"/>
      <c r="L7860" s="675"/>
      <c r="M7860" s="672">
        <v>29500</v>
      </c>
      <c r="N7860" s="623">
        <v>0.13204873901955227</v>
      </c>
      <c r="O7860" s="624" t="s">
        <v>71</v>
      </c>
      <c r="P7860" s="397"/>
      <c r="Q7860" s="397"/>
      <c r="R7860" s="397"/>
      <c r="S7860" s="397"/>
      <c r="T7860" s="397"/>
      <c r="U7860" s="397"/>
      <c r="V7860" s="397"/>
      <c r="W7860" s="397"/>
      <c r="X7860" s="397"/>
      <c r="Y7860" s="397"/>
      <c r="Z7860" s="397"/>
      <c r="AD7860" s="388">
        <v>14.813280000000001</v>
      </c>
      <c r="AE7860" s="388">
        <v>0.18592800000000001</v>
      </c>
      <c r="AF7860" s="388">
        <v>2.7542035238400002</v>
      </c>
      <c r="AG7860" s="388">
        <v>2.7432000000000002E-2</v>
      </c>
      <c r="AH7860" s="391"/>
      <c r="AI7860" s="397"/>
      <c r="AJ7860" s="397"/>
      <c r="AU7860" s="397"/>
      <c r="AV7860" s="397"/>
      <c r="AW7860" s="397"/>
      <c r="AX7860" s="397"/>
      <c r="BI7860" s="397"/>
      <c r="BJ7860" s="397"/>
      <c r="BK7860" s="397"/>
      <c r="BL7860" s="397"/>
      <c r="BM7860" s="397"/>
      <c r="BN7860" s="397"/>
      <c r="BO7860" s="397"/>
      <c r="BP7860" s="397"/>
      <c r="BQ7860" s="397"/>
      <c r="BR7860" s="397"/>
      <c r="BS7860" s="397"/>
      <c r="BT7860" s="397"/>
      <c r="BU7860" s="397"/>
      <c r="BV7860" s="397"/>
      <c r="BW7860" s="397"/>
      <c r="BX7860" s="397"/>
      <c r="BY7860" s="397"/>
      <c r="BZ7860" s="397"/>
      <c r="CA7860" s="392" t="s">
        <v>413</v>
      </c>
    </row>
    <row r="7861" spans="1:80" s="189" customFormat="1" ht="15" x14ac:dyDescent="0.25">
      <c r="A7861" s="381" t="s">
        <v>503</v>
      </c>
      <c r="B7861" s="641"/>
      <c r="C7861" s="639"/>
      <c r="D7861" s="4">
        <f>VLOOKUP(E7861,'Quality Code'!$D$4:$E$24,2,TRUE)*VLOOKUP(MROUND(F7861,10),'Quality Code'!$D$28:$E$69,2,TRUE)*VLOOKUP(COUNTA(CB7861:CB7871),'Quality Code'!$D$73:$E$93,2,TRUE)</f>
        <v>8.7499999999999994E-2</v>
      </c>
      <c r="E7861" s="14">
        <v>0.35</v>
      </c>
      <c r="F7861" s="2">
        <v>9</v>
      </c>
      <c r="G7861" s="12"/>
      <c r="H7861" s="2" t="s">
        <v>105</v>
      </c>
      <c r="I7861" s="2"/>
      <c r="J7861" s="2"/>
      <c r="K7861" s="2"/>
      <c r="L7861" s="639"/>
      <c r="M7861" s="640">
        <v>1980</v>
      </c>
      <c r="N7861" s="578" t="s">
        <v>110</v>
      </c>
      <c r="O7861" s="578"/>
      <c r="P7861" s="26"/>
      <c r="Q7861" s="26"/>
      <c r="R7861" s="26"/>
      <c r="S7861" s="26"/>
      <c r="T7861" s="26"/>
      <c r="U7861" s="26"/>
      <c r="V7861" s="10"/>
      <c r="W7861" s="10"/>
      <c r="X7861" s="10"/>
      <c r="Y7861" s="10"/>
      <c r="Z7861" s="26"/>
      <c r="AA7861" s="26"/>
      <c r="AB7861" s="26"/>
      <c r="AC7861" s="3">
        <v>2E-3</v>
      </c>
      <c r="AD7861" s="406"/>
      <c r="AE7861" s="26"/>
      <c r="AF7861" s="26"/>
      <c r="AG7861" s="26"/>
      <c r="AH7861" s="26"/>
      <c r="AI7861" s="4"/>
      <c r="AJ7861" s="4"/>
      <c r="AK7861" s="26"/>
      <c r="AL7861" s="26"/>
      <c r="AM7861" s="26"/>
      <c r="AN7861" s="26"/>
      <c r="AO7861" s="26"/>
      <c r="AP7861" s="26"/>
      <c r="AQ7861" s="26"/>
      <c r="AR7861" s="26"/>
      <c r="AS7861" s="26"/>
      <c r="AT7861" s="26"/>
      <c r="AU7861" s="4"/>
      <c r="AV7861" s="4"/>
      <c r="AW7861" s="4"/>
      <c r="AX7861" s="4"/>
      <c r="AY7861" s="2"/>
      <c r="AZ7861" s="2"/>
      <c r="BA7861" s="12"/>
      <c r="BB7861" s="12"/>
      <c r="BC7861" s="12"/>
      <c r="BD7861" s="12"/>
      <c r="BE7861" s="12"/>
      <c r="BF7861" s="12"/>
      <c r="BG7861" s="12"/>
      <c r="BH7861" s="12"/>
      <c r="BI7861" s="4"/>
      <c r="BJ7861" s="12"/>
      <c r="BK7861" s="2"/>
      <c r="BL7861" s="2"/>
      <c r="BM7861" s="4"/>
      <c r="BN7861" s="12"/>
      <c r="BO7861" s="12"/>
      <c r="BP7861" s="12"/>
      <c r="BQ7861" s="4"/>
      <c r="BR7861" s="4"/>
      <c r="BS7861" s="4"/>
      <c r="BT7861" s="2"/>
      <c r="BU7861" s="9"/>
      <c r="BV7861" s="381"/>
      <c r="BW7861" s="382"/>
      <c r="BX7861" s="383"/>
      <c r="BY7861" s="383"/>
      <c r="BZ7861" s="383"/>
      <c r="CA7861" s="384" t="s">
        <v>413</v>
      </c>
      <c r="CB7861" s="411"/>
    </row>
    <row r="7862" spans="1:80" s="392" customFormat="1" ht="15" x14ac:dyDescent="0.25">
      <c r="A7862" s="385"/>
      <c r="D7862" s="700"/>
      <c r="E7862" s="397"/>
      <c r="H7862" s="401">
        <v>3</v>
      </c>
      <c r="I7862" s="401"/>
      <c r="J7862" s="401"/>
      <c r="K7862" s="401"/>
      <c r="L7862" s="675"/>
      <c r="M7862" s="672">
        <v>29355</v>
      </c>
      <c r="N7862" s="623">
        <v>2.9985831680362707</v>
      </c>
      <c r="O7862" s="624">
        <v>9.1772333333333331E-3</v>
      </c>
      <c r="P7862" s="397"/>
      <c r="Q7862" s="397"/>
      <c r="R7862" s="397"/>
      <c r="S7862" s="397"/>
      <c r="T7862" s="397"/>
      <c r="U7862" s="397"/>
      <c r="V7862" s="397"/>
      <c r="W7862" s="397"/>
      <c r="X7862" s="397"/>
      <c r="Y7862" s="397"/>
      <c r="Z7862" s="397"/>
      <c r="AD7862" s="388">
        <v>16.200120000000002</v>
      </c>
      <c r="AE7862" s="388">
        <v>0.23164800000000002</v>
      </c>
      <c r="AF7862" s="388">
        <v>3.7527253977600008</v>
      </c>
      <c r="AG7862" s="388">
        <v>0.53644800000000004</v>
      </c>
      <c r="AH7862" s="391"/>
      <c r="AI7862" s="397"/>
      <c r="AJ7862" s="397"/>
      <c r="AU7862" s="397"/>
      <c r="AV7862" s="397"/>
      <c r="AW7862" s="397"/>
      <c r="AX7862" s="397"/>
      <c r="BI7862" s="397"/>
      <c r="BJ7862" s="397"/>
      <c r="BK7862" s="397"/>
      <c r="BL7862" s="397"/>
      <c r="BM7862" s="397"/>
      <c r="BN7862" s="397"/>
      <c r="BO7862" s="397"/>
      <c r="BP7862" s="397"/>
      <c r="BQ7862" s="397"/>
      <c r="BR7862" s="397"/>
      <c r="BS7862" s="397"/>
      <c r="BT7862" s="397"/>
      <c r="BU7862" s="397"/>
      <c r="BV7862" s="397"/>
      <c r="BW7862" s="397"/>
      <c r="BX7862" s="397"/>
      <c r="BY7862" s="397"/>
      <c r="BZ7862" s="397"/>
      <c r="CA7862" s="392" t="s">
        <v>413</v>
      </c>
    </row>
    <row r="7863" spans="1:80" s="392" customFormat="1" ht="15" x14ac:dyDescent="0.25">
      <c r="A7863" s="385"/>
      <c r="D7863" s="700"/>
      <c r="E7863" s="397"/>
      <c r="H7863" s="401">
        <v>3</v>
      </c>
      <c r="I7863" s="401"/>
      <c r="J7863" s="401"/>
      <c r="K7863" s="401"/>
      <c r="L7863" s="675"/>
      <c r="M7863" s="672">
        <v>29366</v>
      </c>
      <c r="N7863" s="623">
        <v>10.934825729668461</v>
      </c>
      <c r="O7863" s="624">
        <v>0.21862500000000001</v>
      </c>
      <c r="P7863" s="397"/>
      <c r="Q7863" s="397"/>
      <c r="R7863" s="397"/>
      <c r="S7863" s="397"/>
      <c r="T7863" s="397"/>
      <c r="U7863" s="397"/>
      <c r="V7863" s="397"/>
      <c r="W7863" s="397"/>
      <c r="X7863" s="397"/>
      <c r="Y7863" s="397"/>
      <c r="Z7863" s="397"/>
      <c r="AD7863" s="388">
        <v>17.769839999999999</v>
      </c>
      <c r="AE7863" s="388">
        <v>0.454152</v>
      </c>
      <c r="AF7863" s="388">
        <v>8.07020837568</v>
      </c>
      <c r="AG7863" s="388">
        <v>0.9144000000000001</v>
      </c>
      <c r="AH7863" s="391"/>
      <c r="AI7863" s="397"/>
      <c r="AJ7863" s="397"/>
      <c r="AU7863" s="397"/>
      <c r="AV7863" s="397"/>
      <c r="AW7863" s="397"/>
      <c r="AX7863" s="397"/>
      <c r="BI7863" s="397"/>
      <c r="BJ7863" s="397"/>
      <c r="BK7863" s="397"/>
      <c r="BL7863" s="397"/>
      <c r="BM7863" s="397"/>
      <c r="BN7863" s="397"/>
      <c r="BO7863" s="397"/>
      <c r="BP7863" s="397"/>
      <c r="BQ7863" s="397"/>
      <c r="BR7863" s="397"/>
      <c r="BS7863" s="397"/>
      <c r="BT7863" s="397"/>
      <c r="BU7863" s="397"/>
      <c r="BV7863" s="397"/>
      <c r="BW7863" s="397"/>
      <c r="BX7863" s="397"/>
      <c r="BY7863" s="397"/>
      <c r="BZ7863" s="397"/>
      <c r="CA7863" s="392" t="s">
        <v>413</v>
      </c>
    </row>
    <row r="7864" spans="1:80" s="392" customFormat="1" ht="15" x14ac:dyDescent="0.25">
      <c r="A7864" s="385"/>
      <c r="D7864" s="700"/>
      <c r="E7864" s="397"/>
      <c r="H7864" s="401">
        <v>3</v>
      </c>
      <c r="I7864" s="401"/>
      <c r="J7864" s="401"/>
      <c r="K7864" s="401"/>
      <c r="L7864" s="675"/>
      <c r="M7864" s="672">
        <v>29373</v>
      </c>
      <c r="N7864" s="623">
        <v>10.797676395579485</v>
      </c>
      <c r="O7864" s="624">
        <v>0.2494851333333333</v>
      </c>
      <c r="P7864" s="397"/>
      <c r="Q7864" s="397"/>
      <c r="R7864" s="397"/>
      <c r="S7864" s="397"/>
      <c r="T7864" s="397"/>
      <c r="U7864" s="397"/>
      <c r="V7864" s="397"/>
      <c r="W7864" s="397"/>
      <c r="X7864" s="397"/>
      <c r="Y7864" s="397"/>
      <c r="Z7864" s="397"/>
      <c r="AD7864" s="388">
        <v>17.769839999999999</v>
      </c>
      <c r="AE7864" s="388">
        <v>0.48158400000000007</v>
      </c>
      <c r="AF7864" s="388">
        <v>8.5576706265600002</v>
      </c>
      <c r="AG7864" s="388">
        <v>0.91744799999999993</v>
      </c>
      <c r="AH7864" s="391"/>
      <c r="AI7864" s="397"/>
      <c r="AJ7864" s="397"/>
      <c r="AU7864" s="397"/>
      <c r="AV7864" s="397"/>
      <c r="AW7864" s="397"/>
      <c r="AX7864" s="397"/>
      <c r="BI7864" s="397"/>
      <c r="BJ7864" s="397"/>
      <c r="BK7864" s="397"/>
      <c r="BL7864" s="397"/>
      <c r="BM7864" s="397"/>
      <c r="BN7864" s="397"/>
      <c r="BO7864" s="397"/>
      <c r="BP7864" s="397"/>
      <c r="BQ7864" s="397"/>
      <c r="BR7864" s="397"/>
      <c r="BS7864" s="397"/>
      <c r="BT7864" s="397"/>
      <c r="BU7864" s="397"/>
      <c r="BV7864" s="397"/>
      <c r="BW7864" s="397"/>
      <c r="BX7864" s="397"/>
      <c r="BY7864" s="397"/>
      <c r="BZ7864" s="397"/>
      <c r="CA7864" s="392" t="s">
        <v>413</v>
      </c>
    </row>
    <row r="7865" spans="1:80" s="392" customFormat="1" ht="15" x14ac:dyDescent="0.25">
      <c r="A7865" s="385"/>
      <c r="D7865" s="700"/>
      <c r="E7865" s="397"/>
      <c r="H7865" s="401">
        <v>3</v>
      </c>
      <c r="I7865" s="401"/>
      <c r="J7865" s="401"/>
      <c r="K7865" s="401"/>
      <c r="L7865" s="675"/>
      <c r="M7865" s="672">
        <v>29381</v>
      </c>
      <c r="N7865" s="623">
        <v>16.578917540379713</v>
      </c>
      <c r="O7865" s="624">
        <v>6.2806333333333339E-2</v>
      </c>
      <c r="P7865" s="397"/>
      <c r="Q7865" s="397"/>
      <c r="R7865" s="397"/>
      <c r="S7865" s="397"/>
      <c r="T7865" s="397"/>
      <c r="U7865" s="397"/>
      <c r="V7865" s="397"/>
      <c r="W7865" s="397"/>
      <c r="X7865" s="397"/>
      <c r="Y7865" s="397"/>
      <c r="Z7865" s="397"/>
      <c r="AD7865" s="388">
        <v>11.7348</v>
      </c>
      <c r="AE7865" s="388">
        <v>1.0789920000000002</v>
      </c>
      <c r="AF7865" s="388">
        <v>12.661755321600001</v>
      </c>
      <c r="AG7865" s="388">
        <v>0.99669600000000003</v>
      </c>
      <c r="AH7865" s="391"/>
      <c r="AI7865" s="397"/>
      <c r="AJ7865" s="397"/>
      <c r="AU7865" s="397"/>
      <c r="AV7865" s="397"/>
      <c r="AW7865" s="397"/>
      <c r="AX7865" s="397"/>
      <c r="BI7865" s="397"/>
      <c r="BJ7865" s="397"/>
      <c r="BK7865" s="397"/>
      <c r="BL7865" s="397"/>
      <c r="BM7865" s="397"/>
      <c r="BN7865" s="397"/>
      <c r="BO7865" s="397"/>
      <c r="BP7865" s="397"/>
      <c r="BQ7865" s="397"/>
      <c r="BR7865" s="397"/>
      <c r="BS7865" s="397"/>
      <c r="BT7865" s="397"/>
      <c r="BU7865" s="397"/>
      <c r="BV7865" s="397"/>
      <c r="BW7865" s="397"/>
      <c r="BX7865" s="397"/>
      <c r="BY7865" s="397"/>
      <c r="BZ7865" s="397"/>
      <c r="CA7865" s="392" t="s">
        <v>413</v>
      </c>
    </row>
    <row r="7866" spans="1:80" s="392" customFormat="1" ht="15" x14ac:dyDescent="0.25">
      <c r="A7866" s="385"/>
      <c r="D7866" s="700"/>
      <c r="E7866" s="397"/>
      <c r="H7866" s="401">
        <v>3</v>
      </c>
      <c r="I7866" s="401"/>
      <c r="J7866" s="401"/>
      <c r="K7866" s="401"/>
      <c r="L7866" s="675"/>
      <c r="M7866" s="672">
        <v>29389</v>
      </c>
      <c r="N7866" s="623">
        <v>18.136865967696231</v>
      </c>
      <c r="O7866" s="624">
        <v>0.25237146666666666</v>
      </c>
      <c r="P7866" s="397"/>
      <c r="Q7866" s="397"/>
      <c r="R7866" s="397"/>
      <c r="S7866" s="397"/>
      <c r="T7866" s="397"/>
      <c r="U7866" s="397"/>
      <c r="V7866" s="397"/>
      <c r="W7866" s="397"/>
      <c r="X7866" s="397"/>
      <c r="Y7866" s="397"/>
      <c r="Z7866" s="397"/>
      <c r="AD7866" s="388">
        <v>11.67384</v>
      </c>
      <c r="AE7866" s="388">
        <v>1.213104</v>
      </c>
      <c r="AF7866" s="388">
        <v>14.161581999359999</v>
      </c>
      <c r="AG7866" s="388">
        <v>1.088136</v>
      </c>
      <c r="AH7866" s="391"/>
      <c r="AI7866" s="397"/>
      <c r="AJ7866" s="397"/>
      <c r="AU7866" s="397"/>
      <c r="AV7866" s="397"/>
      <c r="AW7866" s="397"/>
      <c r="AX7866" s="397"/>
      <c r="BI7866" s="397"/>
      <c r="BJ7866" s="397"/>
      <c r="BK7866" s="397"/>
      <c r="BL7866" s="397"/>
      <c r="BM7866" s="397"/>
      <c r="BN7866" s="397"/>
      <c r="BO7866" s="397"/>
      <c r="BP7866" s="397"/>
      <c r="BQ7866" s="397"/>
      <c r="BR7866" s="397"/>
      <c r="BS7866" s="397"/>
      <c r="BT7866" s="397"/>
      <c r="BU7866" s="397"/>
      <c r="BV7866" s="397"/>
      <c r="BW7866" s="397"/>
      <c r="BX7866" s="397"/>
      <c r="BY7866" s="397"/>
      <c r="BZ7866" s="397"/>
      <c r="CA7866" s="392" t="s">
        <v>413</v>
      </c>
    </row>
    <row r="7867" spans="1:80" s="392" customFormat="1" ht="15" x14ac:dyDescent="0.25">
      <c r="A7867" s="385"/>
      <c r="D7867" s="700"/>
      <c r="E7867" s="397"/>
      <c r="H7867" s="401">
        <v>3</v>
      </c>
      <c r="I7867" s="401"/>
      <c r="J7867" s="401"/>
      <c r="K7867" s="401"/>
      <c r="L7867" s="675"/>
      <c r="M7867" s="672">
        <v>29397</v>
      </c>
      <c r="N7867" s="623">
        <v>10.703032020402381</v>
      </c>
      <c r="O7867" s="624">
        <v>0.111128</v>
      </c>
      <c r="P7867" s="397"/>
      <c r="Q7867" s="397"/>
      <c r="R7867" s="397"/>
      <c r="S7867" s="397"/>
      <c r="T7867" s="397"/>
      <c r="U7867" s="397"/>
      <c r="V7867" s="397"/>
      <c r="W7867" s="397"/>
      <c r="X7867" s="397"/>
      <c r="Y7867" s="397"/>
      <c r="Z7867" s="397"/>
      <c r="AD7867" s="388">
        <v>17.6784</v>
      </c>
      <c r="AE7867" s="388">
        <v>0.48463200000000006</v>
      </c>
      <c r="AF7867" s="388">
        <v>8.5675183488000002</v>
      </c>
      <c r="AG7867" s="388">
        <v>0.92659200000000008</v>
      </c>
      <c r="AH7867" s="391"/>
      <c r="AI7867" s="397"/>
      <c r="AJ7867" s="397"/>
      <c r="AU7867" s="397"/>
      <c r="AV7867" s="397"/>
      <c r="AW7867" s="397"/>
      <c r="AX7867" s="397"/>
      <c r="BI7867" s="397"/>
      <c r="BJ7867" s="397"/>
      <c r="BK7867" s="397"/>
      <c r="BL7867" s="397"/>
      <c r="BM7867" s="397"/>
      <c r="BN7867" s="397"/>
      <c r="BO7867" s="397"/>
      <c r="BP7867" s="397"/>
      <c r="BQ7867" s="397"/>
      <c r="BR7867" s="397"/>
      <c r="BS7867" s="397"/>
      <c r="BT7867" s="397"/>
      <c r="BU7867" s="397"/>
      <c r="BV7867" s="397"/>
      <c r="BW7867" s="397"/>
      <c r="BX7867" s="397"/>
      <c r="BY7867" s="397"/>
      <c r="BZ7867" s="397"/>
      <c r="CA7867" s="392" t="s">
        <v>413</v>
      </c>
    </row>
    <row r="7868" spans="1:80" s="392" customFormat="1" ht="15" x14ac:dyDescent="0.25">
      <c r="A7868" s="385"/>
      <c r="D7868" s="700"/>
      <c r="E7868" s="397"/>
      <c r="H7868" s="401">
        <v>3</v>
      </c>
      <c r="I7868" s="401"/>
      <c r="J7868" s="401"/>
      <c r="K7868" s="401"/>
      <c r="L7868" s="675"/>
      <c r="M7868" s="672">
        <v>29411</v>
      </c>
      <c r="N7868" s="623">
        <v>4.0668744686880141</v>
      </c>
      <c r="O7868" s="624">
        <v>4.3302399999999998E-2</v>
      </c>
      <c r="P7868" s="397"/>
      <c r="Q7868" s="397"/>
      <c r="R7868" s="397"/>
      <c r="S7868" s="397"/>
      <c r="T7868" s="397"/>
      <c r="U7868" s="397"/>
      <c r="V7868" s="397"/>
      <c r="W7868" s="397"/>
      <c r="X7868" s="397"/>
      <c r="Y7868" s="397"/>
      <c r="Z7868" s="397"/>
      <c r="AD7868" s="388">
        <v>16.581120000000002</v>
      </c>
      <c r="AE7868" s="388">
        <v>0.31699200000000005</v>
      </c>
      <c r="AF7868" s="388">
        <v>5.2560823910400014</v>
      </c>
      <c r="AG7868" s="388">
        <v>0.59740800000000005</v>
      </c>
      <c r="AH7868" s="391"/>
      <c r="AI7868" s="397"/>
      <c r="AJ7868" s="397"/>
      <c r="AU7868" s="397"/>
      <c r="AV7868" s="397"/>
      <c r="AW7868" s="397"/>
      <c r="AX7868" s="397"/>
      <c r="BI7868" s="397"/>
      <c r="BJ7868" s="397"/>
      <c r="BK7868" s="397"/>
      <c r="BL7868" s="397"/>
      <c r="BM7868" s="397"/>
      <c r="BN7868" s="397"/>
      <c r="BO7868" s="397"/>
      <c r="BP7868" s="397"/>
      <c r="BQ7868" s="397"/>
      <c r="BR7868" s="397"/>
      <c r="BS7868" s="397"/>
      <c r="BT7868" s="397"/>
      <c r="BU7868" s="397"/>
      <c r="BV7868" s="397"/>
      <c r="BW7868" s="397"/>
      <c r="BX7868" s="397"/>
      <c r="BY7868" s="397"/>
      <c r="BZ7868" s="397"/>
      <c r="CA7868" s="392" t="s">
        <v>413</v>
      </c>
    </row>
    <row r="7869" spans="1:80" s="392" customFormat="1" ht="15" x14ac:dyDescent="0.25">
      <c r="A7869" s="385"/>
      <c r="D7869" s="700"/>
      <c r="E7869" s="397"/>
      <c r="H7869" s="401">
        <v>3</v>
      </c>
      <c r="I7869" s="401"/>
      <c r="J7869" s="401"/>
      <c r="K7869" s="401"/>
      <c r="L7869" s="675"/>
      <c r="M7869" s="672">
        <v>29416</v>
      </c>
      <c r="N7869" s="623">
        <v>2.6959478605837348</v>
      </c>
      <c r="O7869" s="624">
        <v>1.9905600000000002E-2</v>
      </c>
      <c r="P7869" s="397"/>
      <c r="Q7869" s="397"/>
      <c r="R7869" s="397"/>
      <c r="S7869" s="397"/>
      <c r="T7869" s="397"/>
      <c r="U7869" s="397"/>
      <c r="V7869" s="397"/>
      <c r="W7869" s="397"/>
      <c r="X7869" s="397"/>
      <c r="Y7869" s="397"/>
      <c r="Z7869" s="397"/>
      <c r="AD7869" s="388">
        <v>15.910560000000002</v>
      </c>
      <c r="AE7869" s="388">
        <v>0.26822400000000002</v>
      </c>
      <c r="AF7869" s="388">
        <v>4.267594045440001</v>
      </c>
      <c r="AG7869" s="388">
        <v>0.49072800000000005</v>
      </c>
      <c r="AH7869" s="391"/>
      <c r="AI7869" s="397"/>
      <c r="AJ7869" s="397"/>
      <c r="AU7869" s="397"/>
      <c r="AV7869" s="397"/>
      <c r="AW7869" s="397"/>
      <c r="AX7869" s="397"/>
      <c r="BI7869" s="397"/>
      <c r="BJ7869" s="397"/>
      <c r="BK7869" s="397"/>
      <c r="BL7869" s="397"/>
      <c r="BM7869" s="397"/>
      <c r="BN7869" s="397"/>
      <c r="BO7869" s="397"/>
      <c r="BP7869" s="397"/>
      <c r="BQ7869" s="397"/>
      <c r="BR7869" s="397"/>
      <c r="BS7869" s="397"/>
      <c r="BT7869" s="397"/>
      <c r="BU7869" s="397"/>
      <c r="BV7869" s="397"/>
      <c r="BW7869" s="397"/>
      <c r="BX7869" s="397"/>
      <c r="BY7869" s="397"/>
      <c r="BZ7869" s="397"/>
      <c r="CA7869" s="392" t="s">
        <v>413</v>
      </c>
    </row>
    <row r="7870" spans="1:80" s="392" customFormat="1" ht="15" x14ac:dyDescent="0.25">
      <c r="A7870" s="385"/>
      <c r="D7870" s="700"/>
      <c r="E7870" s="397"/>
      <c r="H7870" s="401">
        <v>3</v>
      </c>
      <c r="I7870" s="401"/>
      <c r="J7870" s="401"/>
      <c r="K7870" s="401"/>
      <c r="L7870" s="675"/>
      <c r="M7870" s="672">
        <v>29423</v>
      </c>
      <c r="N7870" s="623">
        <v>1.2266931141966564</v>
      </c>
      <c r="O7870" s="624">
        <v>1.22264E-2</v>
      </c>
      <c r="P7870" s="397"/>
      <c r="Q7870" s="397"/>
      <c r="R7870" s="397"/>
      <c r="S7870" s="397"/>
      <c r="T7870" s="397"/>
      <c r="U7870" s="397"/>
      <c r="V7870" s="397"/>
      <c r="W7870" s="397"/>
      <c r="X7870" s="397"/>
      <c r="Y7870" s="397"/>
      <c r="Z7870" s="397"/>
      <c r="AD7870" s="388">
        <v>15.02664</v>
      </c>
      <c r="AE7870" s="388">
        <v>0.18897600000000001</v>
      </c>
      <c r="AF7870" s="388">
        <v>2.8396743206400004</v>
      </c>
      <c r="AG7870" s="388">
        <v>0.32308800000000004</v>
      </c>
      <c r="AH7870" s="391"/>
      <c r="AI7870" s="397"/>
      <c r="AJ7870" s="397"/>
      <c r="AU7870" s="397"/>
      <c r="AV7870" s="397"/>
      <c r="AW7870" s="397"/>
      <c r="AX7870" s="397"/>
      <c r="BI7870" s="397"/>
      <c r="BJ7870" s="397"/>
      <c r="BK7870" s="397"/>
      <c r="BL7870" s="397"/>
      <c r="BM7870" s="397"/>
      <c r="BN7870" s="397"/>
      <c r="BO7870" s="397"/>
      <c r="BP7870" s="397"/>
      <c r="BQ7870" s="397"/>
      <c r="BR7870" s="397"/>
      <c r="BS7870" s="397"/>
      <c r="BT7870" s="397"/>
      <c r="BU7870" s="397"/>
      <c r="BV7870" s="397"/>
      <c r="BW7870" s="397"/>
      <c r="BX7870" s="397"/>
      <c r="BY7870" s="397"/>
      <c r="BZ7870" s="397"/>
      <c r="CA7870" s="392" t="s">
        <v>413</v>
      </c>
    </row>
    <row r="7871" spans="1:80" s="392" customFormat="1" ht="15" x14ac:dyDescent="0.25">
      <c r="A7871" s="385"/>
      <c r="D7871" s="700"/>
      <c r="E7871" s="397"/>
      <c r="H7871" s="401">
        <v>3</v>
      </c>
      <c r="I7871" s="401"/>
      <c r="J7871" s="401"/>
      <c r="K7871" s="401"/>
      <c r="L7871" s="675"/>
      <c r="M7871" s="672">
        <v>29430</v>
      </c>
      <c r="N7871" s="623">
        <v>0.85378294134315669</v>
      </c>
      <c r="O7871" s="624" t="s">
        <v>71</v>
      </c>
      <c r="P7871" s="397"/>
      <c r="Q7871" s="397"/>
      <c r="R7871" s="397"/>
      <c r="S7871" s="397"/>
      <c r="T7871" s="397"/>
      <c r="U7871" s="397"/>
      <c r="V7871" s="397"/>
      <c r="W7871" s="397"/>
      <c r="X7871" s="397"/>
      <c r="Y7871" s="397"/>
      <c r="Z7871" s="397"/>
      <c r="AD7871" s="388">
        <v>14.599920000000001</v>
      </c>
      <c r="AE7871" s="388">
        <v>0.14325599999999999</v>
      </c>
      <c r="AF7871" s="388">
        <v>2.09152613952</v>
      </c>
      <c r="AG7871" s="388">
        <v>0.27432000000000001</v>
      </c>
      <c r="AH7871" s="391"/>
      <c r="AI7871" s="397"/>
      <c r="AJ7871" s="397"/>
      <c r="AU7871" s="397"/>
      <c r="AV7871" s="397"/>
      <c r="AW7871" s="397"/>
      <c r="AX7871" s="397"/>
      <c r="BI7871" s="397"/>
      <c r="BJ7871" s="397"/>
      <c r="BK7871" s="397"/>
      <c r="BL7871" s="397"/>
      <c r="BM7871" s="397"/>
      <c r="BN7871" s="397"/>
      <c r="BO7871" s="397"/>
      <c r="BP7871" s="397"/>
      <c r="BQ7871" s="397"/>
      <c r="BR7871" s="397"/>
      <c r="BS7871" s="397"/>
      <c r="BT7871" s="397"/>
      <c r="BU7871" s="397"/>
      <c r="BV7871" s="397"/>
      <c r="BW7871" s="397"/>
      <c r="BX7871" s="397"/>
      <c r="BY7871" s="397"/>
      <c r="BZ7871" s="397"/>
      <c r="CA7871" s="392" t="s">
        <v>413</v>
      </c>
    </row>
    <row r="7872" spans="1:80" s="392" customFormat="1" ht="15" x14ac:dyDescent="0.25">
      <c r="A7872" s="385"/>
      <c r="D7872" s="700"/>
      <c r="E7872" s="397"/>
      <c r="H7872" s="401">
        <v>3</v>
      </c>
      <c r="I7872" s="401"/>
      <c r="J7872" s="401"/>
      <c r="K7872" s="401"/>
      <c r="L7872" s="675"/>
      <c r="M7872" s="672">
        <v>29446</v>
      </c>
      <c r="N7872" s="623">
        <v>0.48427316520260699</v>
      </c>
      <c r="O7872" s="624" t="s">
        <v>71</v>
      </c>
      <c r="P7872" s="397"/>
      <c r="Q7872" s="397"/>
      <c r="R7872" s="397"/>
      <c r="S7872" s="397"/>
      <c r="T7872" s="397"/>
      <c r="U7872" s="397"/>
      <c r="V7872" s="397"/>
      <c r="W7872" s="397"/>
      <c r="X7872" s="397"/>
      <c r="Y7872" s="397"/>
      <c r="Z7872" s="397"/>
      <c r="AD7872" s="388">
        <v>13.50264</v>
      </c>
      <c r="AE7872" s="388">
        <v>0.140208</v>
      </c>
      <c r="AF7872" s="388">
        <v>1.8931781491199999</v>
      </c>
      <c r="AG7872" s="388">
        <v>0.20726400000000003</v>
      </c>
      <c r="AH7872" s="391"/>
      <c r="AI7872" s="397"/>
      <c r="AJ7872" s="397"/>
      <c r="AU7872" s="397"/>
      <c r="AV7872" s="397"/>
      <c r="AW7872" s="397"/>
      <c r="AX7872" s="397"/>
      <c r="BI7872" s="397"/>
      <c r="BJ7872" s="397"/>
      <c r="BK7872" s="397"/>
      <c r="BL7872" s="397"/>
      <c r="BM7872" s="397"/>
      <c r="BN7872" s="397"/>
      <c r="BO7872" s="397"/>
      <c r="BP7872" s="397"/>
      <c r="BQ7872" s="397"/>
      <c r="BR7872" s="397"/>
      <c r="BS7872" s="397"/>
      <c r="BT7872" s="397"/>
      <c r="BU7872" s="397"/>
      <c r="BV7872" s="397"/>
      <c r="BW7872" s="397"/>
      <c r="BX7872" s="397"/>
      <c r="BY7872" s="397"/>
      <c r="BZ7872" s="397"/>
      <c r="CA7872" s="392" t="s">
        <v>413</v>
      </c>
    </row>
    <row r="7873" spans="1:80" s="392" customFormat="1" ht="15" x14ac:dyDescent="0.25">
      <c r="A7873" s="385"/>
      <c r="D7873" s="700"/>
      <c r="E7873" s="397"/>
      <c r="H7873" s="401">
        <v>3</v>
      </c>
      <c r="I7873" s="401"/>
      <c r="J7873" s="401"/>
      <c r="K7873" s="401"/>
      <c r="L7873" s="675"/>
      <c r="M7873" s="672">
        <v>29461</v>
      </c>
      <c r="N7873" s="623">
        <v>0.38084443185038253</v>
      </c>
      <c r="O7873" s="624" t="s">
        <v>71</v>
      </c>
      <c r="P7873" s="397"/>
      <c r="Q7873" s="397"/>
      <c r="R7873" s="397"/>
      <c r="S7873" s="397"/>
      <c r="T7873" s="397"/>
      <c r="U7873" s="397"/>
      <c r="V7873" s="397"/>
      <c r="W7873" s="397"/>
      <c r="X7873" s="397"/>
      <c r="Y7873" s="397"/>
      <c r="Z7873" s="397"/>
      <c r="AD7873" s="388">
        <v>13.65504</v>
      </c>
      <c r="AE7873" s="388">
        <v>0.155448</v>
      </c>
      <c r="AF7873" s="388">
        <v>2.1226486579200001</v>
      </c>
      <c r="AG7873" s="388">
        <v>0.14325599999999999</v>
      </c>
      <c r="AH7873" s="391"/>
      <c r="AI7873" s="397"/>
      <c r="AJ7873" s="397"/>
      <c r="AU7873" s="397"/>
      <c r="AV7873" s="397"/>
      <c r="AW7873" s="397"/>
      <c r="AX7873" s="397"/>
      <c r="BI7873" s="397"/>
      <c r="BJ7873" s="397"/>
      <c r="BK7873" s="397"/>
      <c r="BL7873" s="397"/>
      <c r="BM7873" s="397"/>
      <c r="BN7873" s="397"/>
      <c r="BO7873" s="397"/>
      <c r="BP7873" s="397"/>
      <c r="BQ7873" s="397"/>
      <c r="BR7873" s="397"/>
      <c r="BS7873" s="397"/>
      <c r="BT7873" s="397"/>
      <c r="BU7873" s="397"/>
      <c r="BV7873" s="397"/>
      <c r="BW7873" s="397"/>
      <c r="BX7873" s="397"/>
      <c r="BY7873" s="397"/>
      <c r="BZ7873" s="397"/>
      <c r="CA7873" s="392" t="s">
        <v>413</v>
      </c>
    </row>
    <row r="7874" spans="1:80" s="392" customFormat="1" ht="15" x14ac:dyDescent="0.25">
      <c r="A7874" s="385"/>
      <c r="D7874" s="700"/>
      <c r="E7874" s="397"/>
      <c r="H7874" s="401">
        <v>3</v>
      </c>
      <c r="I7874" s="401"/>
      <c r="J7874" s="401"/>
      <c r="K7874" s="401"/>
      <c r="L7874" s="675"/>
      <c r="M7874" s="672">
        <v>29479</v>
      </c>
      <c r="N7874" s="623">
        <v>0.48427316520260699</v>
      </c>
      <c r="O7874" s="624" t="s">
        <v>71</v>
      </c>
      <c r="P7874" s="397"/>
      <c r="Q7874" s="397"/>
      <c r="R7874" s="397"/>
      <c r="S7874" s="397"/>
      <c r="T7874" s="397"/>
      <c r="U7874" s="397"/>
      <c r="V7874" s="397"/>
      <c r="W7874" s="397"/>
      <c r="X7874" s="397"/>
      <c r="Y7874" s="397"/>
      <c r="Z7874" s="397"/>
      <c r="AD7874" s="388">
        <v>13.50264</v>
      </c>
      <c r="AE7874" s="388">
        <v>0.140208</v>
      </c>
      <c r="AF7874" s="388">
        <v>1.8931781491199999</v>
      </c>
      <c r="AG7874" s="388">
        <v>0.20726400000000003</v>
      </c>
      <c r="AH7874" s="391"/>
      <c r="AI7874" s="397"/>
      <c r="AJ7874" s="397"/>
      <c r="AU7874" s="397"/>
      <c r="AV7874" s="397"/>
      <c r="AW7874" s="397"/>
      <c r="AX7874" s="397"/>
      <c r="BI7874" s="397"/>
      <c r="BJ7874" s="397"/>
      <c r="BK7874" s="397"/>
      <c r="BL7874" s="397"/>
      <c r="BM7874" s="397"/>
      <c r="BN7874" s="397"/>
      <c r="BO7874" s="397"/>
      <c r="BP7874" s="397"/>
      <c r="BQ7874" s="397"/>
      <c r="BR7874" s="397"/>
      <c r="BS7874" s="397"/>
      <c r="BT7874" s="397"/>
      <c r="BU7874" s="397"/>
      <c r="BV7874" s="397"/>
      <c r="BW7874" s="397"/>
      <c r="BX7874" s="397"/>
      <c r="BY7874" s="397"/>
      <c r="BZ7874" s="397"/>
      <c r="CA7874" s="392" t="s">
        <v>413</v>
      </c>
    </row>
    <row r="7875" spans="1:80" s="392" customFormat="1" ht="15" x14ac:dyDescent="0.25">
      <c r="A7875" s="385"/>
      <c r="D7875" s="700"/>
      <c r="E7875" s="397"/>
      <c r="H7875" s="401">
        <v>3</v>
      </c>
      <c r="I7875" s="401"/>
      <c r="J7875" s="401"/>
      <c r="K7875" s="401"/>
      <c r="L7875" s="675"/>
      <c r="M7875" s="672">
        <v>29500</v>
      </c>
      <c r="N7875" s="623">
        <v>0.38622839331255315</v>
      </c>
      <c r="O7875" s="624" t="s">
        <v>71</v>
      </c>
      <c r="P7875" s="397"/>
      <c r="Q7875" s="397"/>
      <c r="R7875" s="397"/>
      <c r="S7875" s="397"/>
      <c r="T7875" s="397"/>
      <c r="U7875" s="397"/>
      <c r="V7875" s="397"/>
      <c r="W7875" s="397"/>
      <c r="X7875" s="397"/>
      <c r="Y7875" s="397"/>
      <c r="Z7875" s="397"/>
      <c r="AD7875" s="388">
        <v>13.472160000000002</v>
      </c>
      <c r="AE7875" s="388">
        <v>0.13106400000000001</v>
      </c>
      <c r="AF7875" s="388">
        <v>1.7657151782400005</v>
      </c>
      <c r="AG7875" s="388">
        <v>0.17983199999999999</v>
      </c>
      <c r="AH7875" s="391"/>
      <c r="AI7875" s="397"/>
      <c r="AJ7875" s="397"/>
      <c r="AU7875" s="397"/>
      <c r="AV7875" s="397"/>
      <c r="AW7875" s="397"/>
      <c r="AX7875" s="397"/>
      <c r="BI7875" s="397"/>
      <c r="BJ7875" s="397"/>
      <c r="BK7875" s="397"/>
      <c r="BL7875" s="397"/>
      <c r="BM7875" s="397"/>
      <c r="BN7875" s="397"/>
      <c r="BO7875" s="397"/>
      <c r="BP7875" s="397"/>
      <c r="BQ7875" s="397"/>
      <c r="BR7875" s="397"/>
      <c r="BS7875" s="397"/>
      <c r="BT7875" s="397"/>
      <c r="BU7875" s="397"/>
      <c r="BV7875" s="397"/>
      <c r="BW7875" s="397"/>
      <c r="BX7875" s="397"/>
      <c r="BY7875" s="397"/>
      <c r="BZ7875" s="397"/>
      <c r="CA7875" s="392" t="s">
        <v>413</v>
      </c>
    </row>
    <row r="7876" spans="1:80" s="189" customFormat="1" ht="15" x14ac:dyDescent="0.25">
      <c r="A7876" s="381" t="s">
        <v>504</v>
      </c>
      <c r="B7876" s="641"/>
      <c r="C7876" s="639"/>
      <c r="D7876" s="4">
        <f>VLOOKUP(E7876,'Quality Code'!$D$4:$E$24,2,TRUE)*VLOOKUP(MROUND(F7876,10),'Quality Code'!$D$28:$E$69,2,TRUE)*VLOOKUP(COUNTA(CB7876:CB7886),'Quality Code'!$D$73:$E$93,2,TRUE)</f>
        <v>8.7499999999999994E-2</v>
      </c>
      <c r="E7876" s="14">
        <v>0.35</v>
      </c>
      <c r="F7876" s="2">
        <v>5</v>
      </c>
      <c r="G7876" s="12"/>
      <c r="H7876" s="2" t="s">
        <v>105</v>
      </c>
      <c r="I7876" s="2"/>
      <c r="J7876" s="2"/>
      <c r="K7876" s="2"/>
      <c r="L7876" s="639"/>
      <c r="M7876" s="640">
        <v>1980</v>
      </c>
      <c r="N7876" s="578" t="s">
        <v>110</v>
      </c>
      <c r="O7876" s="578"/>
      <c r="P7876" s="26"/>
      <c r="Q7876" s="26"/>
      <c r="R7876" s="26"/>
      <c r="S7876" s="26"/>
      <c r="T7876" s="26"/>
      <c r="U7876" s="26"/>
      <c r="V7876" s="10"/>
      <c r="W7876" s="10"/>
      <c r="X7876" s="10"/>
      <c r="Y7876" s="10"/>
      <c r="Z7876" s="26"/>
      <c r="AA7876" s="26"/>
      <c r="AB7876" s="26"/>
      <c r="AC7876" s="3">
        <v>1.9E-2</v>
      </c>
      <c r="AD7876" s="406"/>
      <c r="AE7876" s="26"/>
      <c r="AF7876" s="26"/>
      <c r="AG7876" s="26"/>
      <c r="AH7876" s="26"/>
      <c r="AI7876" s="4"/>
      <c r="AJ7876" s="4"/>
      <c r="AK7876" s="26"/>
      <c r="AL7876" s="26"/>
      <c r="AM7876" s="26"/>
      <c r="AN7876" s="26"/>
      <c r="AO7876" s="26"/>
      <c r="AP7876" s="26"/>
      <c r="AQ7876" s="26"/>
      <c r="AR7876" s="26"/>
      <c r="AS7876" s="26"/>
      <c r="AT7876" s="26"/>
      <c r="AU7876" s="4"/>
      <c r="AV7876" s="4"/>
      <c r="AW7876" s="4"/>
      <c r="AX7876" s="4"/>
      <c r="AY7876" s="2"/>
      <c r="AZ7876" s="2"/>
      <c r="BA7876" s="12"/>
      <c r="BB7876" s="12"/>
      <c r="BC7876" s="12"/>
      <c r="BD7876" s="12"/>
      <c r="BE7876" s="12"/>
      <c r="BF7876" s="12"/>
      <c r="BG7876" s="12"/>
      <c r="BH7876" s="12"/>
      <c r="BI7876" s="4"/>
      <c r="BJ7876" s="12"/>
      <c r="BK7876" s="2"/>
      <c r="BL7876" s="2"/>
      <c r="BM7876" s="4"/>
      <c r="BN7876" s="12"/>
      <c r="BO7876" s="12"/>
      <c r="BP7876" s="12"/>
      <c r="BQ7876" s="4"/>
      <c r="BR7876" s="4"/>
      <c r="BS7876" s="4"/>
      <c r="BT7876" s="2"/>
      <c r="BU7876" s="9"/>
      <c r="BV7876" s="381"/>
      <c r="BW7876" s="382"/>
      <c r="BX7876" s="383"/>
      <c r="BY7876" s="383"/>
      <c r="BZ7876" s="383"/>
      <c r="CA7876" s="384" t="s">
        <v>413</v>
      </c>
      <c r="CB7876" s="411"/>
    </row>
    <row r="7877" spans="1:80" s="392" customFormat="1" ht="15" x14ac:dyDescent="0.25">
      <c r="A7877" s="385"/>
      <c r="D7877" s="700"/>
      <c r="E7877" s="397"/>
      <c r="H7877" s="401">
        <v>3</v>
      </c>
      <c r="I7877" s="401"/>
      <c r="J7877" s="401"/>
      <c r="K7877" s="401"/>
      <c r="L7877" s="675"/>
      <c r="M7877" s="672">
        <v>29362</v>
      </c>
      <c r="N7877" s="623">
        <v>0.40578067441201476</v>
      </c>
      <c r="O7877" s="624">
        <v>6.4506666666666666E-4</v>
      </c>
      <c r="P7877" s="397"/>
      <c r="Q7877" s="397"/>
      <c r="R7877" s="397"/>
      <c r="S7877" s="397"/>
      <c r="T7877" s="397"/>
      <c r="U7877" s="397"/>
      <c r="V7877" s="397"/>
      <c r="W7877" s="397"/>
      <c r="X7877" s="397"/>
      <c r="Y7877" s="397"/>
      <c r="Z7877" s="397"/>
      <c r="AD7877" s="388">
        <v>7.1932800000000006</v>
      </c>
      <c r="AE7877" s="388">
        <v>0.112776</v>
      </c>
      <c r="AF7877" s="388">
        <v>0.81122934528000012</v>
      </c>
      <c r="AG7877" s="388">
        <v>0.34137600000000007</v>
      </c>
      <c r="AH7877" s="391"/>
      <c r="AI7877" s="397"/>
      <c r="AJ7877" s="397"/>
      <c r="AU7877" s="397"/>
      <c r="AV7877" s="397"/>
      <c r="AW7877" s="397"/>
      <c r="AX7877" s="397"/>
      <c r="BI7877" s="397"/>
      <c r="BJ7877" s="397"/>
      <c r="BK7877" s="397"/>
      <c r="BL7877" s="397"/>
      <c r="BM7877" s="397"/>
      <c r="BN7877" s="397"/>
      <c r="BO7877" s="397"/>
      <c r="BP7877" s="397"/>
      <c r="BQ7877" s="397"/>
      <c r="BR7877" s="397"/>
      <c r="BS7877" s="397"/>
      <c r="BT7877" s="397"/>
      <c r="BU7877" s="397"/>
      <c r="BV7877" s="397"/>
      <c r="BW7877" s="397"/>
      <c r="BX7877" s="397"/>
      <c r="BY7877" s="397"/>
      <c r="BZ7877" s="397"/>
      <c r="CA7877" s="392" t="s">
        <v>413</v>
      </c>
    </row>
    <row r="7878" spans="1:80" s="392" customFormat="1" ht="15" x14ac:dyDescent="0.25">
      <c r="A7878" s="385"/>
      <c r="D7878" s="700"/>
      <c r="E7878" s="397"/>
      <c r="H7878" s="401">
        <v>3</v>
      </c>
      <c r="I7878" s="401"/>
      <c r="J7878" s="401"/>
      <c r="K7878" s="401"/>
      <c r="L7878" s="675"/>
      <c r="M7878" s="672">
        <v>29371</v>
      </c>
      <c r="N7878" s="623">
        <v>0.91300651742703309</v>
      </c>
      <c r="O7878" s="624">
        <v>3.5632000000000003E-3</v>
      </c>
      <c r="P7878" s="397"/>
      <c r="Q7878" s="397"/>
      <c r="R7878" s="397"/>
      <c r="S7878" s="397"/>
      <c r="T7878" s="397"/>
      <c r="U7878" s="397"/>
      <c r="V7878" s="397"/>
      <c r="W7878" s="397"/>
      <c r="X7878" s="397"/>
      <c r="Y7878" s="397"/>
      <c r="Z7878" s="397"/>
      <c r="AD7878" s="388">
        <v>7.98576</v>
      </c>
      <c r="AE7878" s="388">
        <v>0.15240000000000001</v>
      </c>
      <c r="AF7878" s="388">
        <v>1.2170298240000001</v>
      </c>
      <c r="AG7878" s="388">
        <v>0.52730399999999999</v>
      </c>
      <c r="AH7878" s="391"/>
      <c r="AI7878" s="397"/>
      <c r="AJ7878" s="397"/>
      <c r="AU7878" s="397"/>
      <c r="AV7878" s="397"/>
      <c r="AW7878" s="397"/>
      <c r="AX7878" s="397"/>
      <c r="BI7878" s="397"/>
      <c r="BJ7878" s="397"/>
      <c r="BK7878" s="397"/>
      <c r="BL7878" s="397"/>
      <c r="BM7878" s="397"/>
      <c r="BN7878" s="397"/>
      <c r="BO7878" s="397"/>
      <c r="BP7878" s="397"/>
      <c r="BQ7878" s="397"/>
      <c r="BR7878" s="397"/>
      <c r="BS7878" s="397"/>
      <c r="BT7878" s="397"/>
      <c r="BU7878" s="397"/>
      <c r="BV7878" s="397"/>
      <c r="BW7878" s="397"/>
      <c r="BX7878" s="397"/>
      <c r="BY7878" s="397"/>
      <c r="BZ7878" s="397"/>
      <c r="CA7878" s="392" t="s">
        <v>413</v>
      </c>
    </row>
    <row r="7879" spans="1:80" s="392" customFormat="1" ht="15" x14ac:dyDescent="0.25">
      <c r="A7879" s="385"/>
      <c r="D7879" s="700"/>
      <c r="E7879" s="397"/>
      <c r="H7879" s="401">
        <v>3</v>
      </c>
      <c r="I7879" s="401"/>
      <c r="J7879" s="401"/>
      <c r="K7879" s="401"/>
      <c r="L7879" s="675"/>
      <c r="M7879" s="672">
        <v>29378</v>
      </c>
      <c r="N7879" s="623">
        <v>1.4134315670161519</v>
      </c>
      <c r="O7879" s="624">
        <v>4.5569333333333331E-3</v>
      </c>
      <c r="P7879" s="397"/>
      <c r="Q7879" s="397"/>
      <c r="R7879" s="397"/>
      <c r="S7879" s="397"/>
      <c r="T7879" s="397"/>
      <c r="U7879" s="397"/>
      <c r="V7879" s="397"/>
      <c r="W7879" s="397"/>
      <c r="X7879" s="397"/>
      <c r="Y7879" s="397"/>
      <c r="Z7879" s="397"/>
      <c r="AD7879" s="388">
        <v>7.2847200000000001</v>
      </c>
      <c r="AE7879" s="388">
        <v>0.20116800000000001</v>
      </c>
      <c r="AF7879" s="388">
        <v>1.4654525529600002</v>
      </c>
      <c r="AG7879" s="388">
        <v>0.73456800000000011</v>
      </c>
      <c r="AH7879" s="391"/>
      <c r="AI7879" s="397"/>
      <c r="AJ7879" s="397"/>
      <c r="AU7879" s="397"/>
      <c r="AV7879" s="397"/>
      <c r="AW7879" s="397"/>
      <c r="AX7879" s="397"/>
      <c r="BI7879" s="397"/>
      <c r="BJ7879" s="397"/>
      <c r="BK7879" s="397"/>
      <c r="BL7879" s="397"/>
      <c r="BM7879" s="397"/>
      <c r="BN7879" s="397"/>
      <c r="BO7879" s="397"/>
      <c r="BP7879" s="397"/>
      <c r="BQ7879" s="397"/>
      <c r="BR7879" s="397"/>
      <c r="BS7879" s="397"/>
      <c r="BT7879" s="397"/>
      <c r="BU7879" s="397"/>
      <c r="BV7879" s="397"/>
      <c r="BW7879" s="397"/>
      <c r="BX7879" s="397"/>
      <c r="BY7879" s="397"/>
      <c r="BZ7879" s="397"/>
      <c r="CA7879" s="392" t="s">
        <v>413</v>
      </c>
    </row>
    <row r="7880" spans="1:80" s="392" customFormat="1" ht="15" x14ac:dyDescent="0.25">
      <c r="A7880" s="385"/>
      <c r="D7880" s="700"/>
      <c r="E7880" s="397"/>
      <c r="H7880" s="401">
        <v>3</v>
      </c>
      <c r="I7880" s="401"/>
      <c r="J7880" s="401"/>
      <c r="K7880" s="401"/>
      <c r="L7880" s="675"/>
      <c r="M7880" s="672">
        <v>29382</v>
      </c>
      <c r="N7880" s="623">
        <v>0</v>
      </c>
      <c r="O7880" s="624" t="s">
        <v>71</v>
      </c>
      <c r="P7880" s="397"/>
      <c r="Q7880" s="397"/>
      <c r="R7880" s="397"/>
      <c r="S7880" s="397"/>
      <c r="T7880" s="397"/>
      <c r="U7880" s="397"/>
      <c r="V7880" s="397"/>
      <c r="W7880" s="397"/>
      <c r="X7880" s="397"/>
      <c r="Y7880" s="397"/>
      <c r="Z7880" s="397"/>
      <c r="AD7880" s="388">
        <v>0</v>
      </c>
      <c r="AE7880" s="388">
        <v>0</v>
      </c>
      <c r="AF7880" s="388">
        <v>0</v>
      </c>
      <c r="AG7880" s="388">
        <v>0</v>
      </c>
      <c r="AH7880" s="391"/>
      <c r="AI7880" s="397"/>
      <c r="AJ7880" s="397"/>
      <c r="AU7880" s="397"/>
      <c r="AV7880" s="397"/>
      <c r="AW7880" s="397"/>
      <c r="AX7880" s="397"/>
      <c r="BI7880" s="397"/>
      <c r="BJ7880" s="397"/>
      <c r="BK7880" s="397"/>
      <c r="BL7880" s="397"/>
      <c r="BM7880" s="397"/>
      <c r="BN7880" s="397"/>
      <c r="BO7880" s="397"/>
      <c r="BP7880" s="397"/>
      <c r="BQ7880" s="397"/>
      <c r="BR7880" s="397"/>
      <c r="BS7880" s="397"/>
      <c r="BT7880" s="397"/>
      <c r="BU7880" s="397"/>
      <c r="BV7880" s="397"/>
      <c r="BW7880" s="397"/>
      <c r="BX7880" s="397"/>
      <c r="BY7880" s="397"/>
      <c r="BZ7880" s="397"/>
      <c r="CA7880" s="392" t="s">
        <v>413</v>
      </c>
    </row>
    <row r="7881" spans="1:80" s="392" customFormat="1" ht="15" x14ac:dyDescent="0.25">
      <c r="A7881" s="385"/>
      <c r="D7881" s="700"/>
      <c r="E7881" s="397"/>
      <c r="H7881" s="401">
        <v>3</v>
      </c>
      <c r="I7881" s="401"/>
      <c r="J7881" s="401"/>
      <c r="K7881" s="401"/>
      <c r="L7881" s="675"/>
      <c r="M7881" s="672">
        <v>29387</v>
      </c>
      <c r="N7881" s="623">
        <v>1.5086426749787476</v>
      </c>
      <c r="O7881" s="624">
        <v>6.7181333333333343E-3</v>
      </c>
      <c r="P7881" s="397"/>
      <c r="Q7881" s="397"/>
      <c r="R7881" s="397"/>
      <c r="S7881" s="397"/>
      <c r="T7881" s="397"/>
      <c r="U7881" s="397"/>
      <c r="V7881" s="397"/>
      <c r="W7881" s="397"/>
      <c r="X7881" s="397"/>
      <c r="Y7881" s="397"/>
      <c r="Z7881" s="397"/>
      <c r="AD7881" s="388">
        <v>7.1932800000000006</v>
      </c>
      <c r="AE7881" s="388">
        <v>0.23164800000000002</v>
      </c>
      <c r="AF7881" s="388">
        <v>1.6663089254400003</v>
      </c>
      <c r="AG7881" s="388">
        <v>0.76200000000000001</v>
      </c>
      <c r="AH7881" s="391"/>
      <c r="AI7881" s="397"/>
      <c r="AJ7881" s="397"/>
      <c r="AU7881" s="397"/>
      <c r="AV7881" s="397"/>
      <c r="AW7881" s="397"/>
      <c r="AX7881" s="397"/>
      <c r="BI7881" s="397"/>
      <c r="BJ7881" s="397"/>
      <c r="BK7881" s="397"/>
      <c r="BL7881" s="397"/>
      <c r="BM7881" s="397"/>
      <c r="BN7881" s="397"/>
      <c r="BO7881" s="397"/>
      <c r="BP7881" s="397"/>
      <c r="BQ7881" s="397"/>
      <c r="BR7881" s="397"/>
      <c r="BS7881" s="397"/>
      <c r="BT7881" s="397"/>
      <c r="BU7881" s="397"/>
      <c r="BV7881" s="397"/>
      <c r="BW7881" s="397"/>
      <c r="BX7881" s="397"/>
      <c r="BY7881" s="397"/>
      <c r="BZ7881" s="397"/>
      <c r="CA7881" s="392" t="s">
        <v>413</v>
      </c>
    </row>
    <row r="7882" spans="1:80" s="392" customFormat="1" ht="15" x14ac:dyDescent="0.25">
      <c r="A7882" s="385"/>
      <c r="D7882" s="700"/>
      <c r="E7882" s="397"/>
      <c r="H7882" s="401">
        <v>3</v>
      </c>
      <c r="I7882" s="401"/>
      <c r="J7882" s="401"/>
      <c r="K7882" s="401"/>
      <c r="L7882" s="675"/>
      <c r="M7882" s="672">
        <v>29397</v>
      </c>
      <c r="N7882" s="623">
        <v>1.3051856049872486</v>
      </c>
      <c r="O7882" s="624">
        <v>7.9296000000000002E-3</v>
      </c>
      <c r="P7882" s="397"/>
      <c r="Q7882" s="397"/>
      <c r="R7882" s="397"/>
      <c r="S7882" s="397"/>
      <c r="T7882" s="397"/>
      <c r="U7882" s="397"/>
      <c r="V7882" s="397"/>
      <c r="W7882" s="397"/>
      <c r="X7882" s="397"/>
      <c r="Y7882" s="397"/>
      <c r="Z7882" s="397"/>
      <c r="AD7882" s="388">
        <v>7.1932800000000006</v>
      </c>
      <c r="AE7882" s="388">
        <v>0.23164800000000002</v>
      </c>
      <c r="AF7882" s="388">
        <v>1.6663089254400003</v>
      </c>
      <c r="AG7882" s="388">
        <v>0.62483999999999995</v>
      </c>
      <c r="AH7882" s="391"/>
      <c r="AI7882" s="397"/>
      <c r="AJ7882" s="397"/>
      <c r="AU7882" s="397"/>
      <c r="AV7882" s="397"/>
      <c r="AW7882" s="397"/>
      <c r="AX7882" s="397"/>
      <c r="BI7882" s="397"/>
      <c r="BJ7882" s="397"/>
      <c r="BK7882" s="397"/>
      <c r="BL7882" s="397"/>
      <c r="BM7882" s="397"/>
      <c r="BN7882" s="397"/>
      <c r="BO7882" s="397"/>
      <c r="BP7882" s="397"/>
      <c r="BQ7882" s="397"/>
      <c r="BR7882" s="397"/>
      <c r="BS7882" s="397"/>
      <c r="BT7882" s="397"/>
      <c r="BU7882" s="397"/>
      <c r="BV7882" s="397"/>
      <c r="BW7882" s="397"/>
      <c r="BX7882" s="397"/>
      <c r="BY7882" s="397"/>
      <c r="BZ7882" s="397"/>
      <c r="CA7882" s="392" t="s">
        <v>413</v>
      </c>
    </row>
    <row r="7883" spans="1:80" s="392" customFormat="1" ht="15" x14ac:dyDescent="0.25">
      <c r="A7883" s="385"/>
      <c r="D7883" s="700"/>
      <c r="E7883" s="397"/>
      <c r="H7883" s="401">
        <v>3</v>
      </c>
      <c r="I7883" s="401"/>
      <c r="J7883" s="401"/>
      <c r="K7883" s="401"/>
      <c r="L7883" s="675"/>
      <c r="M7883" s="672">
        <v>29404</v>
      </c>
      <c r="N7883" s="623">
        <v>0.85321620855766511</v>
      </c>
      <c r="O7883" s="624" t="s">
        <v>71</v>
      </c>
      <c r="P7883" s="397"/>
      <c r="Q7883" s="397"/>
      <c r="R7883" s="397"/>
      <c r="S7883" s="397"/>
      <c r="T7883" s="397"/>
      <c r="U7883" s="397"/>
      <c r="V7883" s="397"/>
      <c r="W7883" s="397"/>
      <c r="X7883" s="397"/>
      <c r="Y7883" s="397"/>
      <c r="Z7883" s="397"/>
      <c r="AD7883" s="388">
        <v>9.8450399999999991</v>
      </c>
      <c r="AE7883" s="388">
        <v>0.18897600000000001</v>
      </c>
      <c r="AF7883" s="388">
        <v>1.8604762790399998</v>
      </c>
      <c r="AG7883" s="388">
        <v>0.39319200000000004</v>
      </c>
      <c r="AH7883" s="391"/>
      <c r="AI7883" s="397"/>
      <c r="AJ7883" s="397"/>
      <c r="AU7883" s="397"/>
      <c r="AV7883" s="397"/>
      <c r="AW7883" s="397"/>
      <c r="AX7883" s="397"/>
      <c r="BI7883" s="397"/>
      <c r="BJ7883" s="397"/>
      <c r="BK7883" s="397"/>
      <c r="BL7883" s="397"/>
      <c r="BM7883" s="397"/>
      <c r="BN7883" s="397"/>
      <c r="BO7883" s="397"/>
      <c r="BP7883" s="397"/>
      <c r="BQ7883" s="397"/>
      <c r="BR7883" s="397"/>
      <c r="BS7883" s="397"/>
      <c r="BT7883" s="397"/>
      <c r="BU7883" s="397"/>
      <c r="BV7883" s="397"/>
      <c r="BW7883" s="397"/>
      <c r="BX7883" s="397"/>
      <c r="BY7883" s="397"/>
      <c r="BZ7883" s="397"/>
      <c r="CA7883" s="392" t="s">
        <v>413</v>
      </c>
    </row>
    <row r="7884" spans="1:80" s="392" customFormat="1" ht="15" x14ac:dyDescent="0.25">
      <c r="A7884" s="385"/>
      <c r="D7884" s="700"/>
      <c r="E7884" s="397"/>
      <c r="H7884" s="401">
        <v>3</v>
      </c>
      <c r="I7884" s="401"/>
      <c r="J7884" s="401"/>
      <c r="K7884" s="401"/>
      <c r="L7884" s="675"/>
      <c r="M7884" s="672">
        <v>29412</v>
      </c>
      <c r="N7884" s="623">
        <v>0.60328705015585149</v>
      </c>
      <c r="O7884" s="624" t="s">
        <v>71</v>
      </c>
      <c r="P7884" s="397"/>
      <c r="Q7884" s="397"/>
      <c r="R7884" s="397"/>
      <c r="S7884" s="397"/>
      <c r="T7884" s="397"/>
      <c r="U7884" s="397"/>
      <c r="V7884" s="397"/>
      <c r="W7884" s="397"/>
      <c r="X7884" s="397"/>
      <c r="Y7884" s="397"/>
      <c r="Z7884" s="397"/>
      <c r="AD7884" s="388">
        <v>5.60832</v>
      </c>
      <c r="AE7884" s="388">
        <v>0.210312</v>
      </c>
      <c r="AF7884" s="388">
        <v>1.1794969958399999</v>
      </c>
      <c r="AG7884" s="388">
        <v>0.22250400000000001</v>
      </c>
      <c r="AH7884" s="391"/>
      <c r="AI7884" s="397"/>
      <c r="AJ7884" s="397"/>
      <c r="AU7884" s="397"/>
      <c r="AV7884" s="397"/>
      <c r="AW7884" s="397"/>
      <c r="AX7884" s="397"/>
      <c r="BI7884" s="397"/>
      <c r="BJ7884" s="397"/>
      <c r="BK7884" s="397"/>
      <c r="BL7884" s="397"/>
      <c r="BM7884" s="397"/>
      <c r="BN7884" s="397"/>
      <c r="BO7884" s="397"/>
      <c r="BP7884" s="397"/>
      <c r="BQ7884" s="397"/>
      <c r="BR7884" s="397"/>
      <c r="BS7884" s="397"/>
      <c r="BT7884" s="397"/>
      <c r="BU7884" s="397"/>
      <c r="BV7884" s="397"/>
      <c r="BW7884" s="397"/>
      <c r="BX7884" s="397"/>
      <c r="BY7884" s="397"/>
      <c r="BZ7884" s="397"/>
      <c r="CA7884" s="392" t="s">
        <v>413</v>
      </c>
    </row>
    <row r="7885" spans="1:80" s="392" customFormat="1" ht="15" x14ac:dyDescent="0.25">
      <c r="A7885" s="385"/>
      <c r="D7885" s="700"/>
      <c r="E7885" s="397"/>
      <c r="H7885" s="401">
        <v>3</v>
      </c>
      <c r="I7885" s="401"/>
      <c r="J7885" s="401"/>
      <c r="K7885" s="401"/>
      <c r="L7885" s="675"/>
      <c r="M7885" s="672">
        <v>29420</v>
      </c>
      <c r="N7885" s="623">
        <v>0.26154718050439218</v>
      </c>
      <c r="O7885" s="624" t="s">
        <v>71</v>
      </c>
      <c r="P7885" s="397"/>
      <c r="Q7885" s="397"/>
      <c r="R7885" s="397"/>
      <c r="S7885" s="397"/>
      <c r="T7885" s="397"/>
      <c r="U7885" s="397"/>
      <c r="V7885" s="397"/>
      <c r="W7885" s="397"/>
      <c r="X7885" s="397"/>
      <c r="Y7885" s="397"/>
      <c r="Z7885" s="397"/>
      <c r="AD7885" s="388">
        <v>4.8768000000000002</v>
      </c>
      <c r="AE7885" s="388">
        <v>0.24079200000000003</v>
      </c>
      <c r="AF7885" s="388">
        <v>1.1742944256000003</v>
      </c>
      <c r="AG7885" s="388">
        <v>0.12801599999999999</v>
      </c>
      <c r="AH7885" s="391"/>
      <c r="AI7885" s="397"/>
      <c r="AJ7885" s="397"/>
      <c r="AU7885" s="397"/>
      <c r="AV7885" s="397"/>
      <c r="AW7885" s="397"/>
      <c r="AX7885" s="397"/>
      <c r="BI7885" s="397"/>
      <c r="BJ7885" s="397"/>
      <c r="BK7885" s="397"/>
      <c r="BL7885" s="397"/>
      <c r="BM7885" s="397"/>
      <c r="BN7885" s="397"/>
      <c r="BO7885" s="397"/>
      <c r="BP7885" s="397"/>
      <c r="BQ7885" s="397"/>
      <c r="BR7885" s="397"/>
      <c r="BS7885" s="397"/>
      <c r="BT7885" s="397"/>
      <c r="BU7885" s="397"/>
      <c r="BV7885" s="397"/>
      <c r="BW7885" s="397"/>
      <c r="BX7885" s="397"/>
      <c r="BY7885" s="397"/>
      <c r="BZ7885" s="397"/>
      <c r="CA7885" s="392" t="s">
        <v>413</v>
      </c>
    </row>
    <row r="7886" spans="1:80" s="392" customFormat="1" ht="15" x14ac:dyDescent="0.25">
      <c r="A7886" s="385"/>
      <c r="D7886" s="700"/>
      <c r="E7886" s="397"/>
      <c r="H7886" s="401">
        <v>3</v>
      </c>
      <c r="I7886" s="401"/>
      <c r="J7886" s="401"/>
      <c r="K7886" s="401"/>
      <c r="L7886" s="675"/>
      <c r="M7886" s="672">
        <v>29428</v>
      </c>
      <c r="N7886" s="623">
        <v>0.1657693397563049</v>
      </c>
      <c r="O7886" s="624" t="s">
        <v>71</v>
      </c>
      <c r="P7886" s="397"/>
      <c r="Q7886" s="397"/>
      <c r="R7886" s="397"/>
      <c r="S7886" s="397"/>
      <c r="T7886" s="397"/>
      <c r="U7886" s="397"/>
      <c r="V7886" s="397"/>
      <c r="W7886" s="397"/>
      <c r="X7886" s="397"/>
      <c r="Y7886" s="397"/>
      <c r="Z7886" s="397"/>
      <c r="AD7886" s="388">
        <v>4.4500799999999998</v>
      </c>
      <c r="AE7886" s="388">
        <v>0.18592800000000001</v>
      </c>
      <c r="AF7886" s="388">
        <v>0.82739447424000001</v>
      </c>
      <c r="AG7886" s="388">
        <v>0.112776</v>
      </c>
      <c r="AH7886" s="391"/>
      <c r="AI7886" s="397"/>
      <c r="AJ7886" s="397"/>
      <c r="AU7886" s="397"/>
      <c r="AV7886" s="397"/>
      <c r="AW7886" s="397"/>
      <c r="AX7886" s="397"/>
      <c r="BI7886" s="397"/>
      <c r="BJ7886" s="397"/>
      <c r="BK7886" s="397"/>
      <c r="BL7886" s="397"/>
      <c r="BM7886" s="397"/>
      <c r="BN7886" s="397"/>
      <c r="BO7886" s="397"/>
      <c r="BP7886" s="397"/>
      <c r="BQ7886" s="397"/>
      <c r="BR7886" s="397"/>
      <c r="BS7886" s="397"/>
      <c r="BT7886" s="397"/>
      <c r="BU7886" s="397"/>
      <c r="BV7886" s="397"/>
      <c r="BW7886" s="397"/>
      <c r="BX7886" s="397"/>
      <c r="BY7886" s="397"/>
      <c r="BZ7886" s="397"/>
      <c r="CA7886" s="392" t="s">
        <v>413</v>
      </c>
    </row>
    <row r="7887" spans="1:80" s="392" customFormat="1" ht="15" x14ac:dyDescent="0.25">
      <c r="A7887" s="385"/>
      <c r="D7887" s="700"/>
      <c r="E7887" s="397"/>
      <c r="H7887" s="401">
        <v>3</v>
      </c>
      <c r="I7887" s="401"/>
      <c r="J7887" s="401"/>
      <c r="K7887" s="401"/>
      <c r="L7887" s="675"/>
      <c r="M7887" s="672">
        <v>29439</v>
      </c>
      <c r="N7887" s="623">
        <v>0</v>
      </c>
      <c r="O7887" s="624" t="s">
        <v>71</v>
      </c>
      <c r="P7887" s="397"/>
      <c r="Q7887" s="397"/>
      <c r="R7887" s="397"/>
      <c r="S7887" s="397"/>
      <c r="T7887" s="397"/>
      <c r="U7887" s="397"/>
      <c r="V7887" s="397"/>
      <c r="W7887" s="397"/>
      <c r="X7887" s="397"/>
      <c r="Y7887" s="397"/>
      <c r="Z7887" s="397"/>
      <c r="AD7887" s="388">
        <v>0</v>
      </c>
      <c r="AE7887" s="388">
        <v>0</v>
      </c>
      <c r="AF7887" s="388">
        <v>0</v>
      </c>
      <c r="AG7887" s="388">
        <v>0</v>
      </c>
      <c r="AH7887" s="391"/>
      <c r="AI7887" s="397"/>
      <c r="AJ7887" s="397"/>
      <c r="AU7887" s="397"/>
      <c r="AV7887" s="397"/>
      <c r="AW7887" s="397"/>
      <c r="AX7887" s="397"/>
      <c r="BI7887" s="397"/>
      <c r="BJ7887" s="397"/>
      <c r="BK7887" s="397"/>
      <c r="BL7887" s="397"/>
      <c r="BM7887" s="397"/>
      <c r="BN7887" s="397"/>
      <c r="BO7887" s="397"/>
      <c r="BP7887" s="397"/>
      <c r="BQ7887" s="397"/>
      <c r="BR7887" s="397"/>
      <c r="BS7887" s="397"/>
      <c r="BT7887" s="397"/>
      <c r="BU7887" s="397"/>
      <c r="BV7887" s="397"/>
      <c r="BW7887" s="397"/>
      <c r="BX7887" s="397"/>
      <c r="BY7887" s="397"/>
      <c r="BZ7887" s="397"/>
      <c r="CA7887" s="392" t="s">
        <v>413</v>
      </c>
    </row>
    <row r="7888" spans="1:80" s="392" customFormat="1" ht="15" x14ac:dyDescent="0.25">
      <c r="A7888" s="385"/>
      <c r="D7888" s="700"/>
      <c r="E7888" s="397"/>
      <c r="H7888" s="401">
        <v>3</v>
      </c>
      <c r="I7888" s="401"/>
      <c r="J7888" s="401"/>
      <c r="K7888" s="401"/>
      <c r="L7888" s="675"/>
      <c r="M7888" s="672">
        <v>29444</v>
      </c>
      <c r="N7888" s="623">
        <v>0.10966279399263248</v>
      </c>
      <c r="O7888" s="624" t="s">
        <v>71</v>
      </c>
      <c r="P7888" s="397"/>
      <c r="Q7888" s="397"/>
      <c r="R7888" s="397"/>
      <c r="S7888" s="397"/>
      <c r="T7888" s="397"/>
      <c r="U7888" s="397"/>
      <c r="V7888" s="397"/>
      <c r="W7888" s="397"/>
      <c r="X7888" s="397"/>
      <c r="Y7888" s="397"/>
      <c r="Z7888" s="397"/>
      <c r="AD7888" s="388">
        <v>3.4137599999999999</v>
      </c>
      <c r="AE7888" s="388">
        <v>0.24384000000000003</v>
      </c>
      <c r="AF7888" s="388">
        <v>0.83241123840000009</v>
      </c>
      <c r="AG7888" s="388">
        <v>0.10668</v>
      </c>
      <c r="AH7888" s="391"/>
      <c r="AI7888" s="397"/>
      <c r="AJ7888" s="397"/>
      <c r="AU7888" s="397"/>
      <c r="AV7888" s="397"/>
      <c r="AW7888" s="397"/>
      <c r="AX7888" s="397"/>
      <c r="BI7888" s="397"/>
      <c r="BJ7888" s="397"/>
      <c r="BK7888" s="397"/>
      <c r="BL7888" s="397"/>
      <c r="BM7888" s="397"/>
      <c r="BN7888" s="397"/>
      <c r="BO7888" s="397"/>
      <c r="BP7888" s="397"/>
      <c r="BQ7888" s="397"/>
      <c r="BR7888" s="397"/>
      <c r="BS7888" s="397"/>
      <c r="BT7888" s="397"/>
      <c r="BU7888" s="397"/>
      <c r="BV7888" s="397"/>
      <c r="BW7888" s="397"/>
      <c r="BX7888" s="397"/>
      <c r="BY7888" s="397"/>
      <c r="BZ7888" s="397"/>
      <c r="CA7888" s="392" t="s">
        <v>413</v>
      </c>
    </row>
    <row r="7889" spans="1:80" s="392" customFormat="1" ht="15" x14ac:dyDescent="0.25">
      <c r="A7889" s="385"/>
      <c r="D7889" s="700"/>
      <c r="E7889" s="397"/>
      <c r="H7889" s="401">
        <v>3</v>
      </c>
      <c r="I7889" s="401"/>
      <c r="J7889" s="401"/>
      <c r="K7889" s="401"/>
      <c r="L7889" s="675"/>
      <c r="M7889" s="672">
        <v>29460</v>
      </c>
      <c r="N7889" s="623">
        <v>0.10966279399263248</v>
      </c>
      <c r="O7889" s="624" t="s">
        <v>71</v>
      </c>
      <c r="P7889" s="397"/>
      <c r="Q7889" s="397"/>
      <c r="R7889" s="397"/>
      <c r="S7889" s="397"/>
      <c r="T7889" s="397"/>
      <c r="U7889" s="397"/>
      <c r="V7889" s="397"/>
      <c r="W7889" s="397"/>
      <c r="X7889" s="397"/>
      <c r="Y7889" s="397"/>
      <c r="Z7889" s="397"/>
      <c r="AD7889" s="388">
        <v>3.5966400000000003</v>
      </c>
      <c r="AE7889" s="388">
        <v>0.24384000000000003</v>
      </c>
      <c r="AF7889" s="388">
        <v>0.87700469760000022</v>
      </c>
      <c r="AG7889" s="388">
        <v>0.10668</v>
      </c>
      <c r="AH7889" s="391"/>
      <c r="AI7889" s="397"/>
      <c r="AJ7889" s="397"/>
      <c r="AU7889" s="397"/>
      <c r="AV7889" s="397"/>
      <c r="AW7889" s="397"/>
      <c r="AX7889" s="397"/>
      <c r="BI7889" s="397"/>
      <c r="BJ7889" s="397"/>
      <c r="BK7889" s="397"/>
      <c r="BL7889" s="397"/>
      <c r="BM7889" s="397"/>
      <c r="BN7889" s="397"/>
      <c r="BO7889" s="397"/>
      <c r="BP7889" s="397"/>
      <c r="BQ7889" s="397"/>
      <c r="BR7889" s="397"/>
      <c r="BS7889" s="397"/>
      <c r="BT7889" s="397"/>
      <c r="BU7889" s="397"/>
      <c r="BV7889" s="397"/>
      <c r="BW7889" s="397"/>
      <c r="BX7889" s="397"/>
      <c r="BY7889" s="397"/>
      <c r="BZ7889" s="397"/>
      <c r="CA7889" s="392" t="s">
        <v>413</v>
      </c>
    </row>
    <row r="7890" spans="1:80" s="392" customFormat="1" ht="15" x14ac:dyDescent="0.25">
      <c r="A7890" s="385"/>
      <c r="D7890" s="700"/>
      <c r="E7890" s="397"/>
      <c r="H7890" s="401">
        <v>3</v>
      </c>
      <c r="I7890" s="401"/>
      <c r="J7890" s="401"/>
      <c r="K7890" s="401"/>
      <c r="L7890" s="675"/>
      <c r="M7890" s="672">
        <v>29477</v>
      </c>
      <c r="N7890" s="623">
        <v>0.10966279399263248</v>
      </c>
      <c r="O7890" s="624" t="s">
        <v>71</v>
      </c>
      <c r="P7890" s="397"/>
      <c r="Q7890" s="397"/>
      <c r="R7890" s="397"/>
      <c r="S7890" s="397"/>
      <c r="T7890" s="397"/>
      <c r="U7890" s="397"/>
      <c r="V7890" s="397"/>
      <c r="W7890" s="397"/>
      <c r="X7890" s="397"/>
      <c r="Y7890" s="397"/>
      <c r="Z7890" s="397"/>
      <c r="AD7890" s="388">
        <v>3.5966400000000003</v>
      </c>
      <c r="AE7890" s="388">
        <v>0.24384000000000003</v>
      </c>
      <c r="AF7890" s="388">
        <v>0.87700469760000022</v>
      </c>
      <c r="AG7890" s="388">
        <v>0.10668</v>
      </c>
      <c r="AH7890" s="391"/>
      <c r="AI7890" s="397"/>
      <c r="AJ7890" s="397"/>
      <c r="AU7890" s="397"/>
      <c r="AV7890" s="397"/>
      <c r="AW7890" s="397"/>
      <c r="AX7890" s="397"/>
      <c r="BI7890" s="397"/>
      <c r="BJ7890" s="397"/>
      <c r="BK7890" s="397"/>
      <c r="BL7890" s="397"/>
      <c r="BM7890" s="397"/>
      <c r="BN7890" s="397"/>
      <c r="BO7890" s="397"/>
      <c r="BP7890" s="397"/>
      <c r="BQ7890" s="397"/>
      <c r="BR7890" s="397"/>
      <c r="BS7890" s="397"/>
      <c r="BT7890" s="397"/>
      <c r="BU7890" s="397"/>
      <c r="BV7890" s="397"/>
      <c r="BW7890" s="397"/>
      <c r="BX7890" s="397"/>
      <c r="BY7890" s="397"/>
      <c r="BZ7890" s="397"/>
      <c r="CA7890" s="392" t="s">
        <v>413</v>
      </c>
    </row>
    <row r="7891" spans="1:80" s="392" customFormat="1" ht="15" x14ac:dyDescent="0.25">
      <c r="A7891" s="385"/>
      <c r="D7891" s="700"/>
      <c r="E7891" s="397"/>
      <c r="H7891" s="401">
        <v>3</v>
      </c>
      <c r="I7891" s="401"/>
      <c r="J7891" s="401"/>
      <c r="K7891" s="401"/>
      <c r="L7891" s="675"/>
      <c r="M7891" s="672">
        <v>29492</v>
      </c>
      <c r="N7891" s="623">
        <v>3.8254463020685747E-2</v>
      </c>
      <c r="O7891" s="624" t="s">
        <v>71</v>
      </c>
      <c r="P7891" s="397"/>
      <c r="Q7891" s="397"/>
      <c r="R7891" s="397"/>
      <c r="S7891" s="397"/>
      <c r="T7891" s="397"/>
      <c r="U7891" s="397"/>
      <c r="V7891" s="397"/>
      <c r="W7891" s="397"/>
      <c r="X7891" s="397"/>
      <c r="Y7891" s="397"/>
      <c r="Z7891" s="397"/>
      <c r="AD7891" s="388">
        <v>3.3528000000000002</v>
      </c>
      <c r="AE7891" s="388">
        <v>0.210312</v>
      </c>
      <c r="AF7891" s="388">
        <v>0.70513407360000002</v>
      </c>
      <c r="AG7891" s="388">
        <v>4.5720000000000004E-2</v>
      </c>
      <c r="AH7891" s="391"/>
      <c r="AI7891" s="397"/>
      <c r="AJ7891" s="397"/>
      <c r="AU7891" s="397"/>
      <c r="AV7891" s="397"/>
      <c r="AW7891" s="397"/>
      <c r="AX7891" s="397"/>
      <c r="BI7891" s="397"/>
      <c r="BJ7891" s="397"/>
      <c r="BK7891" s="397"/>
      <c r="BL7891" s="397"/>
      <c r="BM7891" s="397"/>
      <c r="BN7891" s="397"/>
      <c r="BO7891" s="397"/>
      <c r="BP7891" s="397"/>
      <c r="BQ7891" s="397"/>
      <c r="BR7891" s="397"/>
      <c r="BS7891" s="397"/>
      <c r="BT7891" s="397"/>
      <c r="BU7891" s="397"/>
      <c r="BV7891" s="397"/>
      <c r="BW7891" s="397"/>
      <c r="BX7891" s="397"/>
      <c r="BY7891" s="397"/>
      <c r="BZ7891" s="397"/>
      <c r="CA7891" s="392" t="s">
        <v>413</v>
      </c>
    </row>
    <row r="7892" spans="1:80" s="189" customFormat="1" ht="15" x14ac:dyDescent="0.25">
      <c r="A7892" s="381" t="s">
        <v>505</v>
      </c>
      <c r="B7892" s="641"/>
      <c r="C7892" s="639"/>
      <c r="D7892" s="4">
        <f>VLOOKUP(E7892,'Quality Code'!$D$4:$E$24,2,TRUE)*VLOOKUP(MROUND(F7892,10),'Quality Code'!$D$28:$E$69,2,TRUE)*VLOOKUP(COUNTA(CB7892:CB7902),'Quality Code'!$D$73:$E$93,2,TRUE)</f>
        <v>8.7499999999999994E-2</v>
      </c>
      <c r="E7892" s="14">
        <v>0.35</v>
      </c>
      <c r="F7892" s="2">
        <v>6</v>
      </c>
      <c r="G7892" s="12"/>
      <c r="H7892" s="2" t="s">
        <v>105</v>
      </c>
      <c r="I7892" s="2"/>
      <c r="J7892" s="2"/>
      <c r="K7892" s="2"/>
      <c r="L7892" s="639"/>
      <c r="M7892" s="640">
        <v>1980</v>
      </c>
      <c r="N7892" s="578" t="s">
        <v>110</v>
      </c>
      <c r="O7892" s="578"/>
      <c r="P7892" s="26"/>
      <c r="Q7892" s="26"/>
      <c r="R7892" s="26"/>
      <c r="S7892" s="26"/>
      <c r="T7892" s="26"/>
      <c r="U7892" s="26"/>
      <c r="V7892" s="10"/>
      <c r="W7892" s="10"/>
      <c r="X7892" s="10"/>
      <c r="Y7892" s="10"/>
      <c r="Z7892" s="26"/>
      <c r="AA7892" s="26"/>
      <c r="AB7892" s="26"/>
      <c r="AC7892" s="3">
        <v>3.5999999999999997E-2</v>
      </c>
      <c r="AD7892" s="406"/>
      <c r="AE7892" s="26"/>
      <c r="AF7892" s="26"/>
      <c r="AG7892" s="26"/>
      <c r="AH7892" s="26"/>
      <c r="AI7892" s="4"/>
      <c r="AJ7892" s="4"/>
      <c r="AK7892" s="26"/>
      <c r="AL7892" s="26"/>
      <c r="AM7892" s="26"/>
      <c r="AN7892" s="26"/>
      <c r="AO7892" s="26"/>
      <c r="AP7892" s="26"/>
      <c r="AQ7892" s="26"/>
      <c r="AR7892" s="26"/>
      <c r="AS7892" s="26"/>
      <c r="AT7892" s="26"/>
      <c r="AU7892" s="4"/>
      <c r="AV7892" s="4"/>
      <c r="AW7892" s="4"/>
      <c r="AX7892" s="4"/>
      <c r="AY7892" s="2"/>
      <c r="AZ7892" s="2"/>
      <c r="BA7892" s="12"/>
      <c r="BB7892" s="12"/>
      <c r="BC7892" s="12"/>
      <c r="BD7892" s="12"/>
      <c r="BE7892" s="12"/>
      <c r="BF7892" s="12"/>
      <c r="BG7892" s="12"/>
      <c r="BH7892" s="12"/>
      <c r="BI7892" s="4"/>
      <c r="BJ7892" s="12"/>
      <c r="BK7892" s="2"/>
      <c r="BL7892" s="2"/>
      <c r="BM7892" s="4"/>
      <c r="BN7892" s="12"/>
      <c r="BO7892" s="12"/>
      <c r="BP7892" s="12"/>
      <c r="BQ7892" s="4"/>
      <c r="BR7892" s="4"/>
      <c r="BS7892" s="4"/>
      <c r="BT7892" s="2"/>
      <c r="BU7892" s="9"/>
      <c r="BV7892" s="381"/>
      <c r="BW7892" s="382"/>
      <c r="BX7892" s="383"/>
      <c r="BY7892" s="383"/>
      <c r="BZ7892" s="383"/>
      <c r="CA7892" s="384" t="s">
        <v>413</v>
      </c>
      <c r="CB7892" s="411"/>
    </row>
    <row r="7893" spans="1:80" s="392" customFormat="1" ht="15" x14ac:dyDescent="0.25">
      <c r="A7893" s="385"/>
      <c r="D7893" s="700"/>
      <c r="E7893" s="397"/>
      <c r="H7893" s="401">
        <v>3</v>
      </c>
      <c r="I7893" s="401"/>
      <c r="J7893" s="401"/>
      <c r="K7893" s="401"/>
      <c r="L7893" s="675"/>
      <c r="M7893" s="672">
        <v>29368</v>
      </c>
      <c r="N7893" s="623">
        <v>0.45678662510626244</v>
      </c>
      <c r="O7893" s="624">
        <v>1.6473600000000001E-2</v>
      </c>
      <c r="P7893" s="397"/>
      <c r="Q7893" s="397"/>
      <c r="R7893" s="397"/>
      <c r="S7893" s="397"/>
      <c r="T7893" s="397"/>
      <c r="U7893" s="397"/>
      <c r="V7893" s="397"/>
      <c r="W7893" s="397"/>
      <c r="X7893" s="397"/>
      <c r="Y7893" s="397"/>
      <c r="Z7893" s="397"/>
      <c r="AD7893" s="388">
        <v>3.2918400000000005</v>
      </c>
      <c r="AE7893" s="388">
        <v>0.15849600000000003</v>
      </c>
      <c r="AF7893" s="388">
        <v>0.52174347264000021</v>
      </c>
      <c r="AG7893" s="388">
        <v>0.87550041171562953</v>
      </c>
      <c r="AH7893" s="391"/>
      <c r="AI7893" s="397"/>
      <c r="AJ7893" s="397"/>
      <c r="AU7893" s="397"/>
      <c r="AV7893" s="397"/>
      <c r="AW7893" s="397"/>
      <c r="AX7893" s="397"/>
      <c r="BI7893" s="397"/>
      <c r="BJ7893" s="397"/>
      <c r="BK7893" s="397"/>
      <c r="BL7893" s="397"/>
      <c r="BM7893" s="397"/>
      <c r="BN7893" s="397"/>
      <c r="BO7893" s="397"/>
      <c r="BP7893" s="397"/>
      <c r="BQ7893" s="397"/>
      <c r="BR7893" s="397"/>
      <c r="BS7893" s="397"/>
      <c r="BT7893" s="397"/>
      <c r="BU7893" s="397"/>
      <c r="BV7893" s="397"/>
      <c r="BW7893" s="397"/>
      <c r="BX7893" s="397"/>
      <c r="BY7893" s="397"/>
      <c r="BZ7893" s="397"/>
      <c r="CA7893" s="392" t="s">
        <v>413</v>
      </c>
    </row>
    <row r="7894" spans="1:80" s="392" customFormat="1" ht="15" x14ac:dyDescent="0.25">
      <c r="A7894" s="385"/>
      <c r="D7894" s="700"/>
      <c r="E7894" s="397"/>
      <c r="H7894" s="401">
        <v>3</v>
      </c>
      <c r="I7894" s="401"/>
      <c r="J7894" s="401"/>
      <c r="K7894" s="401"/>
      <c r="L7894" s="675"/>
      <c r="M7894" s="672">
        <v>29375</v>
      </c>
      <c r="N7894" s="623">
        <v>0.38396146217058658</v>
      </c>
      <c r="O7894" s="624">
        <v>3.5380799999999999E-3</v>
      </c>
      <c r="P7894" s="397"/>
      <c r="Q7894" s="397"/>
      <c r="R7894" s="397"/>
      <c r="S7894" s="397"/>
      <c r="T7894" s="397"/>
      <c r="U7894" s="397"/>
      <c r="V7894" s="397"/>
      <c r="W7894" s="397"/>
      <c r="X7894" s="397"/>
      <c r="Y7894" s="397"/>
      <c r="Z7894" s="397"/>
      <c r="AD7894" s="388">
        <v>3.3284160000000003</v>
      </c>
      <c r="AE7894" s="388">
        <v>0.16459200000000002</v>
      </c>
      <c r="AF7894" s="388">
        <v>0.54783064627200007</v>
      </c>
      <c r="AG7894" s="388">
        <v>0.70087620103667625</v>
      </c>
      <c r="AH7894" s="391"/>
      <c r="AI7894" s="397"/>
      <c r="AJ7894" s="397"/>
      <c r="AU7894" s="397"/>
      <c r="AV7894" s="397"/>
      <c r="AW7894" s="397"/>
      <c r="AX7894" s="397"/>
      <c r="BI7894" s="397"/>
      <c r="BJ7894" s="397"/>
      <c r="BK7894" s="397"/>
      <c r="BL7894" s="397"/>
      <c r="BM7894" s="397"/>
      <c r="BN7894" s="397"/>
      <c r="BO7894" s="397"/>
      <c r="BP7894" s="397"/>
      <c r="BQ7894" s="397"/>
      <c r="BR7894" s="397"/>
      <c r="BS7894" s="397"/>
      <c r="BT7894" s="397"/>
      <c r="BU7894" s="397"/>
      <c r="BV7894" s="397"/>
      <c r="BW7894" s="397"/>
      <c r="BX7894" s="397"/>
      <c r="BY7894" s="397"/>
      <c r="BZ7894" s="397"/>
      <c r="CA7894" s="392" t="s">
        <v>413</v>
      </c>
    </row>
    <row r="7895" spans="1:80" s="392" customFormat="1" ht="15" x14ac:dyDescent="0.25">
      <c r="A7895" s="385"/>
      <c r="D7895" s="700"/>
      <c r="E7895" s="397"/>
      <c r="H7895" s="401">
        <v>3</v>
      </c>
      <c r="I7895" s="401"/>
      <c r="J7895" s="401"/>
      <c r="K7895" s="401"/>
      <c r="L7895" s="675"/>
      <c r="M7895" s="672">
        <v>29383</v>
      </c>
      <c r="N7895" s="623">
        <v>0.56673278549164074</v>
      </c>
      <c r="O7895" s="624">
        <v>5.6906666666666659E-3</v>
      </c>
      <c r="P7895" s="397"/>
      <c r="Q7895" s="397"/>
      <c r="R7895" s="397"/>
      <c r="S7895" s="397"/>
      <c r="T7895" s="397"/>
      <c r="U7895" s="397"/>
      <c r="V7895" s="397"/>
      <c r="W7895" s="397"/>
      <c r="X7895" s="397"/>
      <c r="Y7895" s="397"/>
      <c r="Z7895" s="397"/>
      <c r="AD7895" s="388">
        <v>3.3528000000000002</v>
      </c>
      <c r="AE7895" s="388">
        <v>0.20116800000000001</v>
      </c>
      <c r="AF7895" s="388">
        <v>0.67447607040000013</v>
      </c>
      <c r="AG7895" s="388">
        <v>0.84025632689316632</v>
      </c>
      <c r="AH7895" s="391"/>
      <c r="AI7895" s="397"/>
      <c r="AJ7895" s="397"/>
      <c r="AU7895" s="397"/>
      <c r="AV7895" s="397"/>
      <c r="AW7895" s="397"/>
      <c r="AX7895" s="397"/>
      <c r="BI7895" s="397"/>
      <c r="BJ7895" s="397"/>
      <c r="BK7895" s="397"/>
      <c r="BL7895" s="397"/>
      <c r="BM7895" s="397"/>
      <c r="BN7895" s="397"/>
      <c r="BO7895" s="397"/>
      <c r="BP7895" s="397"/>
      <c r="BQ7895" s="397"/>
      <c r="BR7895" s="397"/>
      <c r="BS7895" s="397"/>
      <c r="BT7895" s="397"/>
      <c r="BU7895" s="397"/>
      <c r="BV7895" s="397"/>
      <c r="BW7895" s="397"/>
      <c r="BX7895" s="397"/>
      <c r="BY7895" s="397"/>
      <c r="BZ7895" s="397"/>
      <c r="CA7895" s="392" t="s">
        <v>413</v>
      </c>
    </row>
    <row r="7896" spans="1:80" s="392" customFormat="1" ht="15" x14ac:dyDescent="0.25">
      <c r="A7896" s="385"/>
      <c r="D7896" s="700"/>
      <c r="E7896" s="397"/>
      <c r="H7896" s="401">
        <v>3</v>
      </c>
      <c r="I7896" s="401"/>
      <c r="J7896" s="401"/>
      <c r="K7896" s="401"/>
      <c r="L7896" s="675"/>
      <c r="M7896" s="672">
        <v>29390</v>
      </c>
      <c r="N7896" s="623">
        <v>0.38509492774156984</v>
      </c>
      <c r="O7896" s="624">
        <v>2.5847999999999999E-3</v>
      </c>
      <c r="P7896" s="397"/>
      <c r="Q7896" s="397"/>
      <c r="R7896" s="397"/>
      <c r="S7896" s="397"/>
      <c r="T7896" s="397"/>
      <c r="U7896" s="397"/>
      <c r="V7896" s="397"/>
      <c r="W7896" s="397"/>
      <c r="X7896" s="397"/>
      <c r="Y7896" s="397"/>
      <c r="Z7896" s="397"/>
      <c r="AD7896" s="388">
        <v>3.2918400000000005</v>
      </c>
      <c r="AE7896" s="388">
        <v>0.17983199999999999</v>
      </c>
      <c r="AF7896" s="388">
        <v>0.59197817088000004</v>
      </c>
      <c r="AG7896" s="388">
        <v>0.65052217579089155</v>
      </c>
      <c r="AH7896" s="391"/>
      <c r="AI7896" s="397"/>
      <c r="AJ7896" s="397"/>
      <c r="AU7896" s="397"/>
      <c r="AV7896" s="397"/>
      <c r="AW7896" s="397"/>
      <c r="AX7896" s="397"/>
      <c r="BI7896" s="397"/>
      <c r="BJ7896" s="397"/>
      <c r="BK7896" s="397"/>
      <c r="BL7896" s="397"/>
      <c r="BM7896" s="397"/>
      <c r="BN7896" s="397"/>
      <c r="BO7896" s="397"/>
      <c r="BP7896" s="397"/>
      <c r="BQ7896" s="397"/>
      <c r="BR7896" s="397"/>
      <c r="BS7896" s="397"/>
      <c r="BT7896" s="397"/>
      <c r="BU7896" s="397"/>
      <c r="BV7896" s="397"/>
      <c r="BW7896" s="397"/>
      <c r="BX7896" s="397"/>
      <c r="BY7896" s="397"/>
      <c r="BZ7896" s="397"/>
      <c r="CA7896" s="392" t="s">
        <v>413</v>
      </c>
    </row>
    <row r="7897" spans="1:80" s="392" customFormat="1" ht="15" x14ac:dyDescent="0.25">
      <c r="A7897" s="385"/>
      <c r="D7897" s="700"/>
      <c r="E7897" s="397"/>
      <c r="H7897" s="401">
        <v>3</v>
      </c>
      <c r="I7897" s="401"/>
      <c r="J7897" s="401"/>
      <c r="K7897" s="401"/>
      <c r="L7897" s="675"/>
      <c r="M7897" s="672">
        <v>29402</v>
      </c>
      <c r="N7897" s="623">
        <v>0.17625389628790025</v>
      </c>
      <c r="O7897" s="624">
        <v>1.967E-3</v>
      </c>
      <c r="P7897" s="397"/>
      <c r="Q7897" s="397"/>
      <c r="R7897" s="397"/>
      <c r="S7897" s="397"/>
      <c r="T7897" s="397"/>
      <c r="U7897" s="397"/>
      <c r="V7897" s="397"/>
      <c r="W7897" s="397"/>
      <c r="X7897" s="397"/>
      <c r="Y7897" s="397"/>
      <c r="Z7897" s="397"/>
      <c r="AD7897" s="388">
        <v>3.2004000000000001</v>
      </c>
      <c r="AE7897" s="388">
        <v>0.12801599999999999</v>
      </c>
      <c r="AF7897" s="388">
        <v>0.4097024064</v>
      </c>
      <c r="AG7897" s="388">
        <v>0.43019980731043189</v>
      </c>
      <c r="AH7897" s="391"/>
      <c r="AI7897" s="397"/>
      <c r="AJ7897" s="397"/>
      <c r="AU7897" s="397"/>
      <c r="AV7897" s="397"/>
      <c r="AW7897" s="397"/>
      <c r="AX7897" s="397"/>
      <c r="BI7897" s="397"/>
      <c r="BJ7897" s="397"/>
      <c r="BK7897" s="397"/>
      <c r="BL7897" s="397"/>
      <c r="BM7897" s="397"/>
      <c r="BN7897" s="397"/>
      <c r="BO7897" s="397"/>
      <c r="BP7897" s="397"/>
      <c r="BQ7897" s="397"/>
      <c r="BR7897" s="397"/>
      <c r="BS7897" s="397"/>
      <c r="BT7897" s="397"/>
      <c r="BU7897" s="397"/>
      <c r="BV7897" s="397"/>
      <c r="BW7897" s="397"/>
      <c r="BX7897" s="397"/>
      <c r="BY7897" s="397"/>
      <c r="BZ7897" s="397"/>
      <c r="CA7897" s="392" t="s">
        <v>413</v>
      </c>
    </row>
    <row r="7898" spans="1:80" s="392" customFormat="1" ht="15" x14ac:dyDescent="0.25">
      <c r="A7898" s="385"/>
      <c r="D7898" s="700"/>
      <c r="E7898" s="397"/>
      <c r="H7898" s="401">
        <v>3</v>
      </c>
      <c r="I7898" s="401"/>
      <c r="J7898" s="401"/>
      <c r="K7898" s="401"/>
      <c r="L7898" s="675"/>
      <c r="M7898" s="672">
        <v>29415</v>
      </c>
      <c r="N7898" s="623">
        <v>0.11844715216775289</v>
      </c>
      <c r="O7898" s="624" t="s">
        <v>71</v>
      </c>
      <c r="P7898" s="397"/>
      <c r="Q7898" s="397"/>
      <c r="R7898" s="397"/>
      <c r="S7898" s="397"/>
      <c r="T7898" s="397"/>
      <c r="U7898" s="397"/>
      <c r="V7898" s="397"/>
      <c r="W7898" s="397"/>
      <c r="X7898" s="397"/>
      <c r="Y7898" s="397"/>
      <c r="Z7898" s="397"/>
      <c r="AD7898" s="388">
        <v>2.9260800000000002</v>
      </c>
      <c r="AE7898" s="388">
        <v>8.8391999999999998E-2</v>
      </c>
      <c r="AF7898" s="388">
        <v>0.25864206336000001</v>
      </c>
      <c r="AG7898" s="388">
        <v>0.45795780712933798</v>
      </c>
      <c r="AH7898" s="391"/>
      <c r="AI7898" s="397"/>
      <c r="AJ7898" s="397"/>
      <c r="AU7898" s="397"/>
      <c r="AV7898" s="397"/>
      <c r="AW7898" s="397"/>
      <c r="AX7898" s="397"/>
      <c r="BI7898" s="397"/>
      <c r="BJ7898" s="397"/>
      <c r="BK7898" s="397"/>
      <c r="BL7898" s="397"/>
      <c r="BM7898" s="397"/>
      <c r="BN7898" s="397"/>
      <c r="BO7898" s="397"/>
      <c r="BP7898" s="397"/>
      <c r="BQ7898" s="397"/>
      <c r="BR7898" s="397"/>
      <c r="BS7898" s="397"/>
      <c r="BT7898" s="397"/>
      <c r="BU7898" s="397"/>
      <c r="BV7898" s="397"/>
      <c r="BW7898" s="397"/>
      <c r="BX7898" s="397"/>
      <c r="BY7898" s="397"/>
      <c r="BZ7898" s="397"/>
      <c r="CA7898" s="392" t="s">
        <v>413</v>
      </c>
    </row>
    <row r="7899" spans="1:80" s="392" customFormat="1" ht="15" x14ac:dyDescent="0.25">
      <c r="A7899" s="385"/>
      <c r="D7899" s="700"/>
      <c r="E7899" s="397"/>
      <c r="H7899" s="401">
        <v>3</v>
      </c>
      <c r="I7899" s="401"/>
      <c r="J7899" s="401"/>
      <c r="K7899" s="401"/>
      <c r="L7899" s="675"/>
      <c r="M7899" s="672">
        <v>29422</v>
      </c>
      <c r="N7899" s="623">
        <v>6.1490507225843018E-2</v>
      </c>
      <c r="O7899" s="624">
        <v>1.0214666666666667E-3</v>
      </c>
      <c r="P7899" s="397"/>
      <c r="Q7899" s="397"/>
      <c r="R7899" s="397"/>
      <c r="S7899" s="397"/>
      <c r="T7899" s="397"/>
      <c r="U7899" s="397"/>
      <c r="V7899" s="397"/>
      <c r="W7899" s="397"/>
      <c r="X7899" s="397"/>
      <c r="Y7899" s="397"/>
      <c r="Z7899" s="397"/>
      <c r="AD7899" s="388">
        <v>2.8651200000000001</v>
      </c>
      <c r="AE7899" s="388">
        <v>7.9248000000000013E-2</v>
      </c>
      <c r="AF7899" s="388">
        <v>0.22705502976000005</v>
      </c>
      <c r="AG7899" s="388">
        <v>0.27081763963053024</v>
      </c>
      <c r="AH7899" s="391"/>
      <c r="AI7899" s="397"/>
      <c r="AJ7899" s="397"/>
      <c r="AU7899" s="397"/>
      <c r="AV7899" s="397"/>
      <c r="AW7899" s="397"/>
      <c r="AX7899" s="397"/>
      <c r="BI7899" s="397"/>
      <c r="BJ7899" s="397"/>
      <c r="BK7899" s="397"/>
      <c r="BL7899" s="397"/>
      <c r="BM7899" s="397"/>
      <c r="BN7899" s="397"/>
      <c r="BO7899" s="397"/>
      <c r="BP7899" s="397"/>
      <c r="BQ7899" s="397"/>
      <c r="BR7899" s="397"/>
      <c r="BS7899" s="397"/>
      <c r="BT7899" s="397"/>
      <c r="BU7899" s="397"/>
      <c r="BV7899" s="397"/>
      <c r="BW7899" s="397"/>
      <c r="BX7899" s="397"/>
      <c r="BY7899" s="397"/>
      <c r="BZ7899" s="397"/>
      <c r="CA7899" s="392" t="s">
        <v>413</v>
      </c>
    </row>
    <row r="7900" spans="1:80" s="392" customFormat="1" ht="15" x14ac:dyDescent="0.25">
      <c r="A7900" s="385"/>
      <c r="D7900" s="700"/>
      <c r="E7900" s="397"/>
      <c r="H7900" s="401">
        <v>3</v>
      </c>
      <c r="I7900" s="401"/>
      <c r="J7900" s="401"/>
      <c r="K7900" s="401"/>
      <c r="L7900" s="675"/>
      <c r="M7900" s="672">
        <v>29430</v>
      </c>
      <c r="N7900" s="623">
        <v>2.8903372060073675E-2</v>
      </c>
      <c r="O7900" s="624" t="s">
        <v>71</v>
      </c>
      <c r="P7900" s="397"/>
      <c r="Q7900" s="397"/>
      <c r="R7900" s="397"/>
      <c r="S7900" s="397"/>
      <c r="T7900" s="397"/>
      <c r="U7900" s="397"/>
      <c r="V7900" s="397"/>
      <c r="W7900" s="397"/>
      <c r="X7900" s="397"/>
      <c r="Y7900" s="397"/>
      <c r="Z7900" s="397"/>
      <c r="AD7900" s="388">
        <v>2.7736800000000001</v>
      </c>
      <c r="AE7900" s="388">
        <v>6.7056000000000004E-2</v>
      </c>
      <c r="AF7900" s="388">
        <v>0.18599188608000003</v>
      </c>
      <c r="AG7900" s="388">
        <v>0.15540125254518669</v>
      </c>
      <c r="AH7900" s="391"/>
      <c r="AI7900" s="397"/>
      <c r="AJ7900" s="397"/>
      <c r="AU7900" s="397"/>
      <c r="AV7900" s="397"/>
      <c r="AW7900" s="397"/>
      <c r="AX7900" s="397"/>
      <c r="BI7900" s="397"/>
      <c r="BJ7900" s="397"/>
      <c r="BK7900" s="397"/>
      <c r="BL7900" s="397"/>
      <c r="BM7900" s="397"/>
      <c r="BN7900" s="397"/>
      <c r="BO7900" s="397"/>
      <c r="BP7900" s="397"/>
      <c r="BQ7900" s="397"/>
      <c r="BR7900" s="397"/>
      <c r="BS7900" s="397"/>
      <c r="BT7900" s="397"/>
      <c r="BU7900" s="397"/>
      <c r="BV7900" s="397"/>
      <c r="BW7900" s="397"/>
      <c r="BX7900" s="397"/>
      <c r="BY7900" s="397"/>
      <c r="BZ7900" s="397"/>
      <c r="CA7900" s="392" t="s">
        <v>413</v>
      </c>
    </row>
    <row r="7901" spans="1:80" s="392" customFormat="1" ht="15" x14ac:dyDescent="0.25">
      <c r="A7901" s="385"/>
      <c r="D7901" s="700"/>
      <c r="E7901" s="397"/>
      <c r="H7901" s="401">
        <v>3</v>
      </c>
      <c r="I7901" s="401"/>
      <c r="J7901" s="401"/>
      <c r="K7901" s="401"/>
      <c r="L7901" s="675"/>
      <c r="M7901" s="672">
        <v>29455</v>
      </c>
      <c r="N7901" s="623">
        <v>2.1819212241428167E-2</v>
      </c>
      <c r="O7901" s="624" t="s">
        <v>71</v>
      </c>
      <c r="P7901" s="397"/>
      <c r="Q7901" s="397"/>
      <c r="R7901" s="397"/>
      <c r="S7901" s="397"/>
      <c r="T7901" s="397"/>
      <c r="U7901" s="397"/>
      <c r="V7901" s="397"/>
      <c r="W7901" s="397"/>
      <c r="X7901" s="397"/>
      <c r="Y7901" s="397"/>
      <c r="Z7901" s="397"/>
      <c r="AD7901" s="388">
        <v>1.70688</v>
      </c>
      <c r="AE7901" s="388">
        <v>1.5240000000000002E-2</v>
      </c>
      <c r="AF7901" s="388">
        <v>2.6012851200000003E-2</v>
      </c>
      <c r="AG7901" s="388">
        <v>0.8387858783211033</v>
      </c>
      <c r="AH7901" s="391"/>
      <c r="AI7901" s="397"/>
      <c r="AJ7901" s="397"/>
      <c r="AU7901" s="397"/>
      <c r="AV7901" s="397"/>
      <c r="AW7901" s="397"/>
      <c r="AX7901" s="397"/>
      <c r="BI7901" s="397"/>
      <c r="BJ7901" s="397"/>
      <c r="BK7901" s="397"/>
      <c r="BL7901" s="397"/>
      <c r="BM7901" s="397"/>
      <c r="BN7901" s="397"/>
      <c r="BO7901" s="397"/>
      <c r="BP7901" s="397"/>
      <c r="BQ7901" s="397"/>
      <c r="BR7901" s="397"/>
      <c r="BS7901" s="397"/>
      <c r="BT7901" s="397"/>
      <c r="BU7901" s="397"/>
      <c r="BV7901" s="397"/>
      <c r="BW7901" s="397"/>
      <c r="BX7901" s="397"/>
      <c r="BY7901" s="397"/>
      <c r="BZ7901" s="397"/>
      <c r="CA7901" s="392" t="s">
        <v>413</v>
      </c>
    </row>
    <row r="7902" spans="1:80" s="392" customFormat="1" ht="15" x14ac:dyDescent="0.25">
      <c r="A7902" s="385"/>
      <c r="D7902" s="700"/>
      <c r="E7902" s="397"/>
      <c r="H7902" s="401">
        <v>3</v>
      </c>
      <c r="I7902" s="401"/>
      <c r="J7902" s="401"/>
      <c r="K7902" s="401"/>
      <c r="L7902" s="675"/>
      <c r="M7902" s="672">
        <v>29479</v>
      </c>
      <c r="N7902" s="623">
        <v>2.1819212241428167E-2</v>
      </c>
      <c r="O7902" s="624" t="s">
        <v>71</v>
      </c>
      <c r="P7902" s="397"/>
      <c r="Q7902" s="397"/>
      <c r="R7902" s="397"/>
      <c r="S7902" s="397"/>
      <c r="T7902" s="397"/>
      <c r="U7902" s="397"/>
      <c r="V7902" s="397"/>
      <c r="W7902" s="397"/>
      <c r="X7902" s="397"/>
      <c r="Y7902" s="397"/>
      <c r="Z7902" s="397"/>
      <c r="AD7902" s="388">
        <v>1.4935200000000002</v>
      </c>
      <c r="AE7902" s="388">
        <v>4.8768000000000006E-2</v>
      </c>
      <c r="AF7902" s="388">
        <v>7.2835983360000023E-2</v>
      </c>
      <c r="AG7902" s="388">
        <v>0.29956638511467965</v>
      </c>
      <c r="AH7902" s="391"/>
      <c r="AI7902" s="397"/>
      <c r="AJ7902" s="397"/>
      <c r="AU7902" s="397"/>
      <c r="AV7902" s="397"/>
      <c r="AW7902" s="397"/>
      <c r="AX7902" s="397"/>
      <c r="BI7902" s="397"/>
      <c r="BJ7902" s="397"/>
      <c r="BK7902" s="397"/>
      <c r="BL7902" s="397"/>
      <c r="BM7902" s="397"/>
      <c r="BN7902" s="397"/>
      <c r="BO7902" s="397"/>
      <c r="BP7902" s="397"/>
      <c r="BQ7902" s="397"/>
      <c r="BR7902" s="397"/>
      <c r="BS7902" s="397"/>
      <c r="BT7902" s="397"/>
      <c r="BU7902" s="397"/>
      <c r="BV7902" s="397"/>
      <c r="BW7902" s="397"/>
      <c r="BX7902" s="397"/>
      <c r="BY7902" s="397"/>
      <c r="BZ7902" s="397"/>
      <c r="CA7902" s="392" t="s">
        <v>413</v>
      </c>
    </row>
    <row r="7903" spans="1:80" s="392" customFormat="1" ht="15" x14ac:dyDescent="0.25">
      <c r="A7903" s="385"/>
      <c r="D7903" s="700"/>
      <c r="E7903" s="397"/>
      <c r="H7903" s="401">
        <v>3</v>
      </c>
      <c r="I7903" s="401"/>
      <c r="J7903" s="401"/>
      <c r="K7903" s="401"/>
      <c r="L7903" s="675"/>
      <c r="M7903" s="672">
        <v>29497</v>
      </c>
      <c r="N7903" s="623">
        <v>2.1819212241428167E-2</v>
      </c>
      <c r="O7903" s="624" t="s">
        <v>71</v>
      </c>
      <c r="P7903" s="397"/>
      <c r="Q7903" s="397"/>
      <c r="R7903" s="397"/>
      <c r="S7903" s="397"/>
      <c r="T7903" s="397"/>
      <c r="U7903" s="397"/>
      <c r="V7903" s="397"/>
      <c r="W7903" s="397"/>
      <c r="X7903" s="397"/>
      <c r="Y7903" s="397"/>
      <c r="Z7903" s="397"/>
      <c r="AD7903" s="388">
        <v>1.4935200000000002</v>
      </c>
      <c r="AE7903" s="388">
        <v>4.8768000000000006E-2</v>
      </c>
      <c r="AF7903" s="388">
        <v>7.2835983360000023E-2</v>
      </c>
      <c r="AG7903" s="388">
        <v>0.29956638511467965</v>
      </c>
      <c r="AH7903" s="391"/>
      <c r="AI7903" s="397"/>
      <c r="AJ7903" s="397"/>
      <c r="AU7903" s="397"/>
      <c r="AV7903" s="397"/>
      <c r="AW7903" s="397"/>
      <c r="AX7903" s="397"/>
      <c r="BI7903" s="397"/>
      <c r="BJ7903" s="397"/>
      <c r="BK7903" s="397"/>
      <c r="BL7903" s="397"/>
      <c r="BM7903" s="397"/>
      <c r="BN7903" s="397"/>
      <c r="BO7903" s="397"/>
      <c r="BP7903" s="397"/>
      <c r="BQ7903" s="397"/>
      <c r="BR7903" s="397"/>
      <c r="BS7903" s="397"/>
      <c r="BT7903" s="397"/>
      <c r="BU7903" s="397"/>
      <c r="BV7903" s="397"/>
      <c r="BW7903" s="397"/>
      <c r="BX7903" s="397"/>
      <c r="BY7903" s="397"/>
      <c r="BZ7903" s="397"/>
      <c r="CA7903" s="392" t="s">
        <v>413</v>
      </c>
    </row>
    <row r="7904" spans="1:80" s="189" customFormat="1" ht="15" x14ac:dyDescent="0.25">
      <c r="A7904" s="381" t="s">
        <v>506</v>
      </c>
      <c r="B7904" s="641"/>
      <c r="C7904" s="639"/>
      <c r="D7904" s="4">
        <f>VLOOKUP(E7904,'Quality Code'!$D$4:$E$24,2,TRUE)*VLOOKUP(MROUND(F7904,10),'Quality Code'!$D$28:$E$69,2,TRUE)*VLOOKUP(COUNTA(CB7904:CB7914),'Quality Code'!$D$73:$E$93,2,TRUE)</f>
        <v>8.7499999999999994E-2</v>
      </c>
      <c r="E7904" s="14">
        <v>0.35</v>
      </c>
      <c r="F7904" s="2">
        <v>6</v>
      </c>
      <c r="G7904" s="12"/>
      <c r="H7904" s="2" t="s">
        <v>105</v>
      </c>
      <c r="I7904" s="2"/>
      <c r="J7904" s="2"/>
      <c r="K7904" s="2"/>
      <c r="L7904" s="639"/>
      <c r="M7904" s="640">
        <v>1980</v>
      </c>
      <c r="N7904" s="578" t="s">
        <v>110</v>
      </c>
      <c r="O7904" s="578"/>
      <c r="P7904" s="26"/>
      <c r="Q7904" s="26"/>
      <c r="R7904" s="26"/>
      <c r="S7904" s="26"/>
      <c r="T7904" s="26"/>
      <c r="U7904" s="26"/>
      <c r="V7904" s="10"/>
      <c r="W7904" s="10"/>
      <c r="X7904" s="10"/>
      <c r="Y7904" s="10"/>
      <c r="Z7904" s="26"/>
      <c r="AA7904" s="26"/>
      <c r="AB7904" s="26"/>
      <c r="AC7904" s="3">
        <v>4.2000000000000003E-2</v>
      </c>
      <c r="AD7904" s="406"/>
      <c r="AE7904" s="26"/>
      <c r="AF7904" s="26"/>
      <c r="AG7904" s="26"/>
      <c r="AH7904" s="26"/>
      <c r="AI7904" s="4"/>
      <c r="AJ7904" s="4"/>
      <c r="AK7904" s="26"/>
      <c r="AL7904" s="26"/>
      <c r="AM7904" s="26"/>
      <c r="AN7904" s="26"/>
      <c r="AO7904" s="26"/>
      <c r="AP7904" s="26"/>
      <c r="AQ7904" s="26"/>
      <c r="AR7904" s="26"/>
      <c r="AS7904" s="26"/>
      <c r="AT7904" s="26"/>
      <c r="AU7904" s="4"/>
      <c r="AV7904" s="4"/>
      <c r="AW7904" s="4"/>
      <c r="AX7904" s="4"/>
      <c r="AY7904" s="2"/>
      <c r="AZ7904" s="2"/>
      <c r="BA7904" s="12"/>
      <c r="BB7904" s="12"/>
      <c r="BC7904" s="12"/>
      <c r="BD7904" s="12"/>
      <c r="BE7904" s="12"/>
      <c r="BF7904" s="12"/>
      <c r="BG7904" s="12"/>
      <c r="BH7904" s="12"/>
      <c r="BI7904" s="4"/>
      <c r="BJ7904" s="12"/>
      <c r="BK7904" s="2"/>
      <c r="BL7904" s="2"/>
      <c r="BM7904" s="4"/>
      <c r="BN7904" s="12"/>
      <c r="BO7904" s="12"/>
      <c r="BP7904" s="12"/>
      <c r="BQ7904" s="4"/>
      <c r="BR7904" s="4"/>
      <c r="BS7904" s="4"/>
      <c r="BT7904" s="2"/>
      <c r="BU7904" s="9"/>
      <c r="BV7904" s="381"/>
      <c r="BW7904" s="382"/>
      <c r="BX7904" s="383"/>
      <c r="BY7904" s="383"/>
      <c r="BZ7904" s="383"/>
      <c r="CA7904" s="384" t="s">
        <v>413</v>
      </c>
      <c r="CB7904" s="411"/>
    </row>
    <row r="7905" spans="1:80" s="392" customFormat="1" ht="15" x14ac:dyDescent="0.25">
      <c r="A7905" s="385"/>
      <c r="D7905" s="700"/>
      <c r="E7905" s="397"/>
      <c r="H7905" s="401">
        <v>3</v>
      </c>
      <c r="I7905" s="401"/>
      <c r="J7905" s="401"/>
      <c r="K7905" s="401"/>
      <c r="L7905" s="675"/>
      <c r="M7905" s="672">
        <v>29368</v>
      </c>
      <c r="N7905" s="623">
        <v>0.86710116180221031</v>
      </c>
      <c r="O7905" s="624">
        <v>6.3286666666666656E-3</v>
      </c>
      <c r="P7905" s="397"/>
      <c r="Q7905" s="397"/>
      <c r="R7905" s="397"/>
      <c r="S7905" s="397"/>
      <c r="T7905" s="397"/>
      <c r="U7905" s="397"/>
      <c r="V7905" s="397"/>
      <c r="W7905" s="397"/>
      <c r="X7905" s="397"/>
      <c r="Y7905" s="397"/>
      <c r="Z7905" s="397"/>
      <c r="AD7905" s="388">
        <v>3.3528000000000002</v>
      </c>
      <c r="AE7905" s="388">
        <v>0.21945600000000001</v>
      </c>
      <c r="AF7905" s="388">
        <v>0.73579207680000014</v>
      </c>
      <c r="AG7905" s="388">
        <v>0.7406640000000001</v>
      </c>
      <c r="AH7905" s="391"/>
      <c r="AI7905" s="397"/>
      <c r="AJ7905" s="397"/>
      <c r="AU7905" s="397"/>
      <c r="AV7905" s="397"/>
      <c r="AW7905" s="397"/>
      <c r="AX7905" s="397"/>
      <c r="BI7905" s="397"/>
      <c r="BJ7905" s="397"/>
      <c r="BK7905" s="397"/>
      <c r="BL7905" s="397"/>
      <c r="BM7905" s="397"/>
      <c r="BN7905" s="397"/>
      <c r="BO7905" s="397"/>
      <c r="BP7905" s="397"/>
      <c r="BQ7905" s="397"/>
      <c r="BR7905" s="397"/>
      <c r="BS7905" s="397"/>
      <c r="BT7905" s="397"/>
      <c r="BU7905" s="397"/>
      <c r="BV7905" s="397"/>
      <c r="BW7905" s="397"/>
      <c r="BX7905" s="397"/>
      <c r="BY7905" s="397"/>
      <c r="BZ7905" s="397"/>
      <c r="CA7905" s="392" t="s">
        <v>413</v>
      </c>
    </row>
    <row r="7906" spans="1:80" s="392" customFormat="1" ht="15" x14ac:dyDescent="0.25">
      <c r="A7906" s="385"/>
      <c r="D7906" s="700"/>
      <c r="E7906" s="397"/>
      <c r="H7906" s="401">
        <v>3</v>
      </c>
      <c r="I7906" s="401"/>
      <c r="J7906" s="401"/>
      <c r="K7906" s="401"/>
      <c r="L7906" s="675"/>
      <c r="M7906" s="672">
        <v>29375</v>
      </c>
      <c r="N7906" s="623">
        <v>1.0195522810994615</v>
      </c>
      <c r="O7906" s="624">
        <v>1.5781333333333331E-2</v>
      </c>
      <c r="P7906" s="397"/>
      <c r="Q7906" s="397"/>
      <c r="R7906" s="397"/>
      <c r="S7906" s="397"/>
      <c r="T7906" s="397"/>
      <c r="U7906" s="397"/>
      <c r="V7906" s="397"/>
      <c r="W7906" s="397"/>
      <c r="X7906" s="397"/>
      <c r="Y7906" s="397"/>
      <c r="Z7906" s="397"/>
      <c r="AD7906" s="388">
        <v>3.3528000000000002</v>
      </c>
      <c r="AE7906" s="388">
        <v>0.28955999999999998</v>
      </c>
      <c r="AF7906" s="388">
        <v>0.97083676799999996</v>
      </c>
      <c r="AG7906" s="388">
        <v>0.73761600000000005</v>
      </c>
      <c r="AH7906" s="391"/>
      <c r="AI7906" s="397"/>
      <c r="AJ7906" s="397"/>
      <c r="AU7906" s="397"/>
      <c r="AV7906" s="397"/>
      <c r="AW7906" s="397"/>
      <c r="AX7906" s="397"/>
      <c r="BI7906" s="397"/>
      <c r="BJ7906" s="397"/>
      <c r="BK7906" s="397"/>
      <c r="BL7906" s="397"/>
      <c r="BM7906" s="397"/>
      <c r="BN7906" s="397"/>
      <c r="BO7906" s="397"/>
      <c r="BP7906" s="397"/>
      <c r="BQ7906" s="397"/>
      <c r="BR7906" s="397"/>
      <c r="BS7906" s="397"/>
      <c r="BT7906" s="397"/>
      <c r="BU7906" s="397"/>
      <c r="BV7906" s="397"/>
      <c r="BW7906" s="397"/>
      <c r="BX7906" s="397"/>
      <c r="BY7906" s="397"/>
      <c r="BZ7906" s="397"/>
      <c r="CA7906" s="392" t="s">
        <v>413</v>
      </c>
    </row>
    <row r="7907" spans="1:80" s="392" customFormat="1" ht="15" x14ac:dyDescent="0.25">
      <c r="A7907" s="385"/>
      <c r="D7907" s="700"/>
      <c r="E7907" s="397"/>
      <c r="H7907" s="401">
        <v>3</v>
      </c>
      <c r="I7907" s="401"/>
      <c r="J7907" s="401"/>
      <c r="K7907" s="401"/>
      <c r="L7907" s="675"/>
      <c r="M7907" s="672">
        <v>29383</v>
      </c>
      <c r="N7907" s="623">
        <v>1.973363559081893</v>
      </c>
      <c r="O7907" s="624">
        <v>2.2851399999999997E-2</v>
      </c>
      <c r="P7907" s="397"/>
      <c r="Q7907" s="397"/>
      <c r="R7907" s="397"/>
      <c r="S7907" s="397"/>
      <c r="T7907" s="397"/>
      <c r="U7907" s="397"/>
      <c r="V7907" s="397"/>
      <c r="W7907" s="397"/>
      <c r="X7907" s="397"/>
      <c r="Y7907" s="397"/>
      <c r="Z7907" s="397"/>
      <c r="AD7907" s="388">
        <v>4.3586400000000003</v>
      </c>
      <c r="AE7907" s="388">
        <v>0.36880800000000002</v>
      </c>
      <c r="AF7907" s="388">
        <v>1.6075013011200001</v>
      </c>
      <c r="AG7907" s="388">
        <v>0.9144000000000001</v>
      </c>
      <c r="AH7907" s="391"/>
      <c r="AI7907" s="397"/>
      <c r="AJ7907" s="397"/>
      <c r="AU7907" s="397"/>
      <c r="AV7907" s="397"/>
      <c r="AW7907" s="397"/>
      <c r="AX7907" s="397"/>
      <c r="BI7907" s="397"/>
      <c r="BJ7907" s="397"/>
      <c r="BK7907" s="397"/>
      <c r="BL7907" s="397"/>
      <c r="BM7907" s="397"/>
      <c r="BN7907" s="397"/>
      <c r="BO7907" s="397"/>
      <c r="BP7907" s="397"/>
      <c r="BQ7907" s="397"/>
      <c r="BR7907" s="397"/>
      <c r="BS7907" s="397"/>
      <c r="BT7907" s="397"/>
      <c r="BU7907" s="397"/>
      <c r="BV7907" s="397"/>
      <c r="BW7907" s="397"/>
      <c r="BX7907" s="397"/>
      <c r="BY7907" s="397"/>
      <c r="BZ7907" s="397"/>
      <c r="CA7907" s="392" t="s">
        <v>413</v>
      </c>
    </row>
    <row r="7908" spans="1:80" s="392" customFormat="1" ht="15" x14ac:dyDescent="0.25">
      <c r="A7908" s="385"/>
      <c r="D7908" s="700"/>
      <c r="E7908" s="397"/>
      <c r="H7908" s="401">
        <v>3</v>
      </c>
      <c r="I7908" s="401"/>
      <c r="J7908" s="401"/>
      <c r="K7908" s="401"/>
      <c r="L7908" s="675"/>
      <c r="M7908" s="672">
        <v>29390</v>
      </c>
      <c r="N7908" s="623">
        <v>1.2904505525644658</v>
      </c>
      <c r="O7908" s="624">
        <v>3.765733333333333E-3</v>
      </c>
      <c r="P7908" s="397"/>
      <c r="Q7908" s="397"/>
      <c r="R7908" s="397"/>
      <c r="S7908" s="397"/>
      <c r="T7908" s="397"/>
      <c r="U7908" s="397"/>
      <c r="V7908" s="397"/>
      <c r="W7908" s="397"/>
      <c r="X7908" s="397"/>
      <c r="Y7908" s="397"/>
      <c r="Z7908" s="397"/>
      <c r="AD7908" s="388">
        <v>3.7185600000000001</v>
      </c>
      <c r="AE7908" s="388">
        <v>0.29260799999999998</v>
      </c>
      <c r="AF7908" s="388">
        <v>1.0880804044799999</v>
      </c>
      <c r="AG7908" s="388">
        <v>0.91744799999999993</v>
      </c>
      <c r="AH7908" s="391"/>
      <c r="AI7908" s="397"/>
      <c r="AJ7908" s="397"/>
      <c r="AU7908" s="397"/>
      <c r="AV7908" s="397"/>
      <c r="AW7908" s="397"/>
      <c r="AX7908" s="397"/>
      <c r="BI7908" s="397"/>
      <c r="BJ7908" s="397"/>
      <c r="BK7908" s="397"/>
      <c r="BL7908" s="397"/>
      <c r="BM7908" s="397"/>
      <c r="BN7908" s="397"/>
      <c r="BO7908" s="397"/>
      <c r="BP7908" s="397"/>
      <c r="BQ7908" s="397"/>
      <c r="BR7908" s="397"/>
      <c r="BS7908" s="397"/>
      <c r="BT7908" s="397"/>
      <c r="BU7908" s="397"/>
      <c r="BV7908" s="397"/>
      <c r="BW7908" s="397"/>
      <c r="BX7908" s="397"/>
      <c r="BY7908" s="397"/>
      <c r="BZ7908" s="397"/>
      <c r="CA7908" s="392" t="s">
        <v>413</v>
      </c>
    </row>
    <row r="7909" spans="1:80" s="392" customFormat="1" ht="15" x14ac:dyDescent="0.25">
      <c r="A7909" s="385"/>
      <c r="D7909" s="700"/>
      <c r="E7909" s="397"/>
      <c r="H7909" s="401">
        <v>3</v>
      </c>
      <c r="I7909" s="401"/>
      <c r="J7909" s="401"/>
      <c r="K7909" s="401"/>
      <c r="L7909" s="675"/>
      <c r="M7909" s="672">
        <v>29402</v>
      </c>
      <c r="N7909" s="623">
        <v>0.50977614054973075</v>
      </c>
      <c r="O7909" s="624">
        <v>1.3753933333333336E-2</v>
      </c>
      <c r="P7909" s="397"/>
      <c r="Q7909" s="397"/>
      <c r="R7909" s="397"/>
      <c r="S7909" s="397"/>
      <c r="T7909" s="397"/>
      <c r="U7909" s="397"/>
      <c r="V7909" s="397"/>
      <c r="W7909" s="397"/>
      <c r="X7909" s="397"/>
      <c r="Y7909" s="397"/>
      <c r="Z7909" s="397"/>
      <c r="AD7909" s="388">
        <v>3.1394400000000005</v>
      </c>
      <c r="AE7909" s="388">
        <v>0.18288000000000001</v>
      </c>
      <c r="AF7909" s="388">
        <v>0.57414078720000017</v>
      </c>
      <c r="AG7909" s="388">
        <v>0.60960000000000003</v>
      </c>
      <c r="AH7909" s="391"/>
      <c r="AI7909" s="397"/>
      <c r="AJ7909" s="397"/>
      <c r="AU7909" s="397"/>
      <c r="AV7909" s="397"/>
      <c r="AW7909" s="397"/>
      <c r="AX7909" s="397"/>
      <c r="BI7909" s="397"/>
      <c r="BJ7909" s="397"/>
      <c r="BK7909" s="397"/>
      <c r="BL7909" s="397"/>
      <c r="BM7909" s="397"/>
      <c r="BN7909" s="397"/>
      <c r="BO7909" s="397"/>
      <c r="BP7909" s="397"/>
      <c r="BQ7909" s="397"/>
      <c r="BR7909" s="397"/>
      <c r="BS7909" s="397"/>
      <c r="BT7909" s="397"/>
      <c r="BU7909" s="397"/>
      <c r="BV7909" s="397"/>
      <c r="BW7909" s="397"/>
      <c r="BX7909" s="397"/>
      <c r="BY7909" s="397"/>
      <c r="BZ7909" s="397"/>
      <c r="CA7909" s="392" t="s">
        <v>413</v>
      </c>
    </row>
    <row r="7910" spans="1:80" s="392" customFormat="1" ht="15" x14ac:dyDescent="0.25">
      <c r="A7910" s="385"/>
      <c r="D7910" s="700"/>
      <c r="E7910" s="397"/>
      <c r="H7910" s="401">
        <v>3</v>
      </c>
      <c r="I7910" s="401"/>
      <c r="J7910" s="401"/>
      <c r="K7910" s="401"/>
      <c r="L7910" s="675"/>
      <c r="M7910" s="672">
        <v>29415</v>
      </c>
      <c r="N7910" s="623">
        <v>0.2006234060640408</v>
      </c>
      <c r="O7910" s="624" t="s">
        <v>71</v>
      </c>
      <c r="P7910" s="397"/>
      <c r="Q7910" s="397"/>
      <c r="R7910" s="397"/>
      <c r="S7910" s="397"/>
      <c r="T7910" s="397"/>
      <c r="U7910" s="397"/>
      <c r="V7910" s="397"/>
      <c r="W7910" s="397"/>
      <c r="X7910" s="397"/>
      <c r="Y7910" s="397"/>
      <c r="Z7910" s="397"/>
      <c r="AD7910" s="388">
        <v>2.6212800000000001</v>
      </c>
      <c r="AE7910" s="388">
        <v>0.16459200000000002</v>
      </c>
      <c r="AF7910" s="388">
        <v>0.43144171776000007</v>
      </c>
      <c r="AG7910" s="388">
        <v>0.35966399999999998</v>
      </c>
      <c r="AH7910" s="391"/>
      <c r="AI7910" s="397"/>
      <c r="AJ7910" s="397"/>
      <c r="AU7910" s="397"/>
      <c r="AV7910" s="397"/>
      <c r="AW7910" s="397"/>
      <c r="AX7910" s="397"/>
      <c r="BI7910" s="397"/>
      <c r="BJ7910" s="397"/>
      <c r="BK7910" s="397"/>
      <c r="BL7910" s="397"/>
      <c r="BM7910" s="397"/>
      <c r="BN7910" s="397"/>
      <c r="BO7910" s="397"/>
      <c r="BP7910" s="397"/>
      <c r="BQ7910" s="397"/>
      <c r="BR7910" s="397"/>
      <c r="BS7910" s="397"/>
      <c r="BT7910" s="397"/>
      <c r="BU7910" s="397"/>
      <c r="BV7910" s="397"/>
      <c r="BW7910" s="397"/>
      <c r="BX7910" s="397"/>
      <c r="BY7910" s="397"/>
      <c r="BZ7910" s="397"/>
      <c r="CA7910" s="392" t="s">
        <v>413</v>
      </c>
    </row>
    <row r="7911" spans="1:80" s="392" customFormat="1" ht="15" x14ac:dyDescent="0.25">
      <c r="A7911" s="385"/>
      <c r="D7911" s="700"/>
      <c r="E7911" s="397"/>
      <c r="H7911" s="401">
        <v>3</v>
      </c>
      <c r="I7911" s="401"/>
      <c r="J7911" s="401"/>
      <c r="K7911" s="401"/>
      <c r="L7911" s="675"/>
      <c r="M7911" s="672">
        <v>29422</v>
      </c>
      <c r="N7911" s="623">
        <v>0.14111646358741856</v>
      </c>
      <c r="O7911" s="624" t="s">
        <v>71</v>
      </c>
      <c r="P7911" s="397"/>
      <c r="Q7911" s="397"/>
      <c r="R7911" s="397"/>
      <c r="S7911" s="397"/>
      <c r="T7911" s="397"/>
      <c r="U7911" s="397"/>
      <c r="V7911" s="397"/>
      <c r="W7911" s="397"/>
      <c r="X7911" s="397"/>
      <c r="Y7911" s="397"/>
      <c r="Z7911" s="397"/>
      <c r="AD7911" s="388">
        <v>2.6822400000000002</v>
      </c>
      <c r="AE7911" s="388">
        <v>0.12192000000000001</v>
      </c>
      <c r="AF7911" s="388">
        <v>0.32701870080000006</v>
      </c>
      <c r="AG7911" s="388">
        <v>0.25603199999999998</v>
      </c>
      <c r="AH7911" s="391"/>
      <c r="AI7911" s="397"/>
      <c r="AJ7911" s="397"/>
      <c r="AU7911" s="397"/>
      <c r="AV7911" s="397"/>
      <c r="AW7911" s="397"/>
      <c r="AX7911" s="397"/>
      <c r="BI7911" s="397"/>
      <c r="BJ7911" s="397"/>
      <c r="BK7911" s="397"/>
      <c r="BL7911" s="397"/>
      <c r="BM7911" s="397"/>
      <c r="BN7911" s="397"/>
      <c r="BO7911" s="397"/>
      <c r="BP7911" s="397"/>
      <c r="BQ7911" s="397"/>
      <c r="BR7911" s="397"/>
      <c r="BS7911" s="397"/>
      <c r="BT7911" s="397"/>
      <c r="BU7911" s="397"/>
      <c r="BV7911" s="397"/>
      <c r="BW7911" s="397"/>
      <c r="BX7911" s="397"/>
      <c r="BY7911" s="397"/>
      <c r="BZ7911" s="397"/>
      <c r="CA7911" s="392" t="s">
        <v>413</v>
      </c>
    </row>
    <row r="7912" spans="1:80" s="392" customFormat="1" ht="15" x14ac:dyDescent="0.25">
      <c r="A7912" s="385"/>
      <c r="D7912" s="700"/>
      <c r="E7912" s="397"/>
      <c r="H7912" s="401">
        <v>3</v>
      </c>
      <c r="I7912" s="401"/>
      <c r="J7912" s="401"/>
      <c r="K7912" s="401"/>
      <c r="L7912" s="675"/>
      <c r="M7912" s="672">
        <v>29430</v>
      </c>
      <c r="N7912" s="623">
        <v>9.8044771890053839E-2</v>
      </c>
      <c r="O7912" s="624">
        <v>1.1700000000000002E-4</v>
      </c>
      <c r="P7912" s="397"/>
      <c r="Q7912" s="397"/>
      <c r="R7912" s="397"/>
      <c r="S7912" s="397"/>
      <c r="T7912" s="397"/>
      <c r="U7912" s="397"/>
      <c r="V7912" s="397"/>
      <c r="W7912" s="397"/>
      <c r="X7912" s="397"/>
      <c r="Y7912" s="397"/>
      <c r="Z7912" s="397"/>
      <c r="AD7912" s="388">
        <v>1.9812000000000001</v>
      </c>
      <c r="AE7912" s="388">
        <v>0.14630399999999999</v>
      </c>
      <c r="AF7912" s="388">
        <v>0.28985748480000001</v>
      </c>
      <c r="AG7912" s="388">
        <v>0.27127200000000001</v>
      </c>
      <c r="AH7912" s="391"/>
      <c r="AI7912" s="397"/>
      <c r="AJ7912" s="397"/>
      <c r="AU7912" s="397"/>
      <c r="AV7912" s="397"/>
      <c r="AW7912" s="397"/>
      <c r="AX7912" s="397"/>
      <c r="BI7912" s="397"/>
      <c r="BJ7912" s="397"/>
      <c r="BK7912" s="397"/>
      <c r="BL7912" s="397"/>
      <c r="BM7912" s="397"/>
      <c r="BN7912" s="397"/>
      <c r="BO7912" s="397"/>
      <c r="BP7912" s="397"/>
      <c r="BQ7912" s="397"/>
      <c r="BR7912" s="397"/>
      <c r="BS7912" s="397"/>
      <c r="BT7912" s="397"/>
      <c r="BU7912" s="397"/>
      <c r="BV7912" s="397"/>
      <c r="BW7912" s="397"/>
      <c r="BX7912" s="397"/>
      <c r="BY7912" s="397"/>
      <c r="BZ7912" s="397"/>
      <c r="CA7912" s="392" t="s">
        <v>413</v>
      </c>
    </row>
    <row r="7913" spans="1:80" s="392" customFormat="1" ht="15" x14ac:dyDescent="0.25">
      <c r="A7913" s="385"/>
      <c r="D7913" s="700"/>
      <c r="E7913" s="397"/>
      <c r="H7913" s="401">
        <v>3</v>
      </c>
      <c r="I7913" s="401"/>
      <c r="J7913" s="401"/>
      <c r="K7913" s="401"/>
      <c r="L7913" s="675"/>
      <c r="M7913" s="672">
        <v>29455</v>
      </c>
      <c r="N7913" s="623">
        <v>4.3071691697364696E-2</v>
      </c>
      <c r="O7913" s="624" t="s">
        <v>71</v>
      </c>
      <c r="P7913" s="397"/>
      <c r="Q7913" s="397"/>
      <c r="R7913" s="397"/>
      <c r="S7913" s="397"/>
      <c r="T7913" s="397"/>
      <c r="U7913" s="397"/>
      <c r="V7913" s="397"/>
      <c r="W7913" s="397"/>
      <c r="X7913" s="397"/>
      <c r="Y7913" s="397"/>
      <c r="Z7913" s="397"/>
      <c r="AD7913" s="388">
        <v>1.40208</v>
      </c>
      <c r="AE7913" s="388">
        <v>0.15240000000000001</v>
      </c>
      <c r="AF7913" s="388">
        <v>0.21367699200000001</v>
      </c>
      <c r="AG7913" s="388">
        <v>0.155448</v>
      </c>
      <c r="AH7913" s="391"/>
      <c r="AI7913" s="397"/>
      <c r="AJ7913" s="397"/>
      <c r="AU7913" s="397"/>
      <c r="AV7913" s="397"/>
      <c r="AW7913" s="397"/>
      <c r="AX7913" s="397"/>
      <c r="BI7913" s="397"/>
      <c r="BJ7913" s="397"/>
      <c r="BK7913" s="397"/>
      <c r="BL7913" s="397"/>
      <c r="BM7913" s="397"/>
      <c r="BN7913" s="397"/>
      <c r="BO7913" s="397"/>
      <c r="BP7913" s="397"/>
      <c r="BQ7913" s="397"/>
      <c r="BR7913" s="397"/>
      <c r="BS7913" s="397"/>
      <c r="BT7913" s="397"/>
      <c r="BU7913" s="397"/>
      <c r="BV7913" s="397"/>
      <c r="BW7913" s="397"/>
      <c r="BX7913" s="397"/>
      <c r="BY7913" s="397"/>
      <c r="BZ7913" s="397"/>
      <c r="CA7913" s="392" t="s">
        <v>413</v>
      </c>
    </row>
    <row r="7914" spans="1:80" s="392" customFormat="1" ht="15" x14ac:dyDescent="0.25">
      <c r="A7914" s="385"/>
      <c r="D7914" s="700"/>
      <c r="E7914" s="397"/>
      <c r="H7914" s="401">
        <v>3</v>
      </c>
      <c r="I7914" s="401"/>
      <c r="J7914" s="401"/>
      <c r="K7914" s="401"/>
      <c r="L7914" s="675"/>
      <c r="M7914" s="672">
        <v>29482</v>
      </c>
      <c r="N7914" s="623">
        <v>4.3071691697364696E-2</v>
      </c>
      <c r="O7914" s="624" t="s">
        <v>71</v>
      </c>
      <c r="P7914" s="397"/>
      <c r="Q7914" s="397"/>
      <c r="R7914" s="397"/>
      <c r="S7914" s="397"/>
      <c r="T7914" s="397"/>
      <c r="U7914" s="397"/>
      <c r="V7914" s="397"/>
      <c r="W7914" s="397"/>
      <c r="X7914" s="397"/>
      <c r="Y7914" s="397"/>
      <c r="Z7914" s="397"/>
      <c r="AD7914" s="388">
        <v>1.40208</v>
      </c>
      <c r="AE7914" s="388">
        <v>0.15240000000000001</v>
      </c>
      <c r="AF7914" s="388">
        <v>0.21367699200000001</v>
      </c>
      <c r="AG7914" s="388">
        <v>0.155448</v>
      </c>
      <c r="AH7914" s="391"/>
      <c r="AI7914" s="397"/>
      <c r="AJ7914" s="397"/>
      <c r="AU7914" s="397"/>
      <c r="AV7914" s="397"/>
      <c r="AW7914" s="397"/>
      <c r="AX7914" s="397"/>
      <c r="BI7914" s="397"/>
      <c r="BJ7914" s="397"/>
      <c r="BK7914" s="397"/>
      <c r="BL7914" s="397"/>
      <c r="BM7914" s="397"/>
      <c r="BN7914" s="397"/>
      <c r="BO7914" s="397"/>
      <c r="BP7914" s="397"/>
      <c r="BQ7914" s="397"/>
      <c r="BR7914" s="397"/>
      <c r="BS7914" s="397"/>
      <c r="BT7914" s="397"/>
      <c r="BU7914" s="397"/>
      <c r="BV7914" s="397"/>
      <c r="BW7914" s="397"/>
      <c r="BX7914" s="397"/>
      <c r="BY7914" s="397"/>
      <c r="BZ7914" s="397"/>
      <c r="CA7914" s="392" t="s">
        <v>413</v>
      </c>
    </row>
    <row r="7915" spans="1:80" s="392" customFormat="1" ht="15" x14ac:dyDescent="0.25">
      <c r="A7915" s="385"/>
      <c r="D7915" s="700"/>
      <c r="E7915" s="397"/>
      <c r="H7915" s="401">
        <v>3</v>
      </c>
      <c r="I7915" s="401"/>
      <c r="J7915" s="401"/>
      <c r="K7915" s="401"/>
      <c r="L7915" s="675"/>
      <c r="M7915" s="672">
        <v>29497</v>
      </c>
      <c r="N7915" s="623">
        <v>3.5137432700481724E-2</v>
      </c>
      <c r="O7915" s="624" t="s">
        <v>71</v>
      </c>
      <c r="P7915" s="397"/>
      <c r="Q7915" s="397"/>
      <c r="R7915" s="397"/>
      <c r="S7915" s="397"/>
      <c r="T7915" s="397"/>
      <c r="U7915" s="397"/>
      <c r="V7915" s="397"/>
      <c r="W7915" s="397"/>
      <c r="X7915" s="397"/>
      <c r="Y7915" s="397"/>
      <c r="Z7915" s="397"/>
      <c r="AD7915" s="388">
        <v>1.3411200000000001</v>
      </c>
      <c r="AE7915" s="388">
        <v>7.9248000000000013E-2</v>
      </c>
      <c r="AF7915" s="388">
        <v>0.10628107776000002</v>
      </c>
      <c r="AG7915" s="388">
        <v>0.26517600000000002</v>
      </c>
      <c r="AH7915" s="391"/>
      <c r="AI7915" s="397"/>
      <c r="AJ7915" s="397"/>
      <c r="AU7915" s="397"/>
      <c r="AV7915" s="397"/>
      <c r="AW7915" s="397"/>
      <c r="AX7915" s="397"/>
      <c r="BI7915" s="397"/>
      <c r="BJ7915" s="397"/>
      <c r="BK7915" s="397"/>
      <c r="BL7915" s="397"/>
      <c r="BM7915" s="397"/>
      <c r="BN7915" s="397"/>
      <c r="BO7915" s="397"/>
      <c r="BP7915" s="397"/>
      <c r="BQ7915" s="397"/>
      <c r="BR7915" s="397"/>
      <c r="BS7915" s="397"/>
      <c r="BT7915" s="397"/>
      <c r="BU7915" s="397"/>
      <c r="BV7915" s="397"/>
      <c r="BW7915" s="397"/>
      <c r="BX7915" s="397"/>
      <c r="BY7915" s="397"/>
      <c r="BZ7915" s="397"/>
      <c r="CA7915" s="392" t="s">
        <v>413</v>
      </c>
    </row>
    <row r="7916" spans="1:80" s="189" customFormat="1" ht="15" x14ac:dyDescent="0.25">
      <c r="A7916" s="381" t="s">
        <v>507</v>
      </c>
      <c r="B7916" s="641"/>
      <c r="C7916" s="639"/>
      <c r="D7916" s="4">
        <f>VLOOKUP(E7916,'Quality Code'!$D$4:$E$24,2,TRUE)*VLOOKUP(MROUND(F7916,10),'Quality Code'!$D$28:$E$69,2,TRUE)*VLOOKUP(COUNTA(CB7916:CB7926),'Quality Code'!$D$73:$E$93,2,TRUE)</f>
        <v>7.4999999999999997E-2</v>
      </c>
      <c r="E7916" s="14">
        <v>0.3</v>
      </c>
      <c r="F7916" s="2">
        <v>5</v>
      </c>
      <c r="G7916" s="12"/>
      <c r="H7916" s="2" t="s">
        <v>105</v>
      </c>
      <c r="I7916" s="2"/>
      <c r="J7916" s="2"/>
      <c r="K7916" s="2"/>
      <c r="L7916" s="639"/>
      <c r="M7916" s="640">
        <v>1980</v>
      </c>
      <c r="N7916" s="578" t="s">
        <v>110</v>
      </c>
      <c r="O7916" s="578"/>
      <c r="P7916" s="26"/>
      <c r="Q7916" s="26"/>
      <c r="R7916" s="26"/>
      <c r="S7916" s="26"/>
      <c r="T7916" s="26"/>
      <c r="U7916" s="26"/>
      <c r="V7916" s="10"/>
      <c r="W7916" s="10"/>
      <c r="X7916" s="10"/>
      <c r="Y7916" s="10"/>
      <c r="Z7916" s="26"/>
      <c r="AA7916" s="26"/>
      <c r="AB7916" s="26"/>
      <c r="AC7916" s="3"/>
      <c r="AD7916" s="406"/>
      <c r="AE7916" s="26"/>
      <c r="AF7916" s="26"/>
      <c r="AG7916" s="26"/>
      <c r="AH7916" s="26"/>
      <c r="AI7916" s="4"/>
      <c r="AJ7916" s="4"/>
      <c r="AK7916" s="26"/>
      <c r="AL7916" s="26"/>
      <c r="AM7916" s="26"/>
      <c r="AN7916" s="26"/>
      <c r="AO7916" s="26"/>
      <c r="AP7916" s="26"/>
      <c r="AQ7916" s="26"/>
      <c r="AR7916" s="26"/>
      <c r="AS7916" s="26"/>
      <c r="AT7916" s="26"/>
      <c r="AU7916" s="4"/>
      <c r="AV7916" s="4"/>
      <c r="AW7916" s="4"/>
      <c r="AX7916" s="4"/>
      <c r="AY7916" s="2"/>
      <c r="AZ7916" s="2"/>
      <c r="BA7916" s="12"/>
      <c r="BB7916" s="12"/>
      <c r="BC7916" s="12"/>
      <c r="BD7916" s="12"/>
      <c r="BE7916" s="12"/>
      <c r="BF7916" s="12"/>
      <c r="BG7916" s="12"/>
      <c r="BH7916" s="12"/>
      <c r="BI7916" s="4"/>
      <c r="BJ7916" s="12"/>
      <c r="BK7916" s="2"/>
      <c r="BL7916" s="2"/>
      <c r="BM7916" s="4"/>
      <c r="BN7916" s="12"/>
      <c r="BO7916" s="12"/>
      <c r="BP7916" s="12"/>
      <c r="BQ7916" s="4"/>
      <c r="BR7916" s="4"/>
      <c r="BS7916" s="4"/>
      <c r="BT7916" s="2"/>
      <c r="BU7916" s="9"/>
      <c r="BV7916" s="381"/>
      <c r="BW7916" s="382"/>
      <c r="BX7916" s="383"/>
      <c r="BY7916" s="383"/>
      <c r="BZ7916" s="383"/>
      <c r="CA7916" s="384" t="s">
        <v>413</v>
      </c>
      <c r="CB7916" s="411"/>
    </row>
    <row r="7917" spans="1:80" s="392" customFormat="1" ht="15" x14ac:dyDescent="0.25">
      <c r="A7917" s="385"/>
      <c r="D7917" s="700"/>
      <c r="E7917" s="397"/>
      <c r="H7917" s="401">
        <v>3</v>
      </c>
      <c r="I7917" s="401"/>
      <c r="J7917" s="401"/>
      <c r="K7917" s="401"/>
      <c r="L7917" s="675"/>
      <c r="M7917" s="672">
        <v>29365</v>
      </c>
      <c r="N7917" s="623">
        <v>4.9546613771606687</v>
      </c>
      <c r="O7917" s="624">
        <v>2.8825E-2</v>
      </c>
      <c r="P7917" s="397"/>
      <c r="Q7917" s="397"/>
      <c r="R7917" s="397"/>
      <c r="S7917" s="397"/>
      <c r="T7917" s="397"/>
      <c r="U7917" s="397"/>
      <c r="V7917" s="397"/>
      <c r="W7917" s="397"/>
      <c r="X7917" s="397"/>
      <c r="Y7917" s="397"/>
      <c r="Z7917" s="397"/>
      <c r="AD7917" s="388">
        <v>11.43</v>
      </c>
      <c r="AE7917" s="388">
        <v>0.89306400000000008</v>
      </c>
      <c r="AF7917" s="388">
        <v>10.207721520000002</v>
      </c>
      <c r="AG7917" s="388">
        <v>0.32308800000000004</v>
      </c>
      <c r="AH7917" s="391"/>
      <c r="AI7917" s="397"/>
      <c r="AJ7917" s="397"/>
      <c r="AU7917" s="397"/>
      <c r="AV7917" s="397"/>
      <c r="AW7917" s="397"/>
      <c r="AX7917" s="397"/>
      <c r="BI7917" s="397"/>
      <c r="BJ7917" s="397"/>
      <c r="BK7917" s="397"/>
      <c r="BL7917" s="397"/>
      <c r="BM7917" s="397"/>
      <c r="BN7917" s="397"/>
      <c r="BO7917" s="397"/>
      <c r="BP7917" s="397"/>
      <c r="BQ7917" s="397"/>
      <c r="BR7917" s="397"/>
      <c r="BS7917" s="397"/>
      <c r="BT7917" s="397"/>
      <c r="BU7917" s="397"/>
      <c r="BV7917" s="397"/>
      <c r="BW7917" s="397"/>
      <c r="BX7917" s="397"/>
      <c r="BY7917" s="397"/>
      <c r="BZ7917" s="397"/>
      <c r="CA7917" s="392" t="s">
        <v>413</v>
      </c>
    </row>
    <row r="7918" spans="1:80" s="392" customFormat="1" ht="15" x14ac:dyDescent="0.25">
      <c r="A7918" s="385"/>
      <c r="D7918" s="700"/>
      <c r="E7918" s="397"/>
      <c r="H7918" s="401">
        <v>3</v>
      </c>
      <c r="I7918" s="401"/>
      <c r="J7918" s="401"/>
      <c r="K7918" s="401"/>
      <c r="L7918" s="675"/>
      <c r="M7918" s="672">
        <v>29372</v>
      </c>
      <c r="N7918" s="623">
        <v>14.180787758571833</v>
      </c>
      <c r="O7918" s="624">
        <v>3.6464000000000002E-3</v>
      </c>
      <c r="P7918" s="397"/>
      <c r="Q7918" s="397"/>
      <c r="R7918" s="397"/>
      <c r="S7918" s="397"/>
      <c r="T7918" s="397"/>
      <c r="U7918" s="397"/>
      <c r="V7918" s="397"/>
      <c r="W7918" s="397"/>
      <c r="X7918" s="397"/>
      <c r="Y7918" s="397"/>
      <c r="Z7918" s="397"/>
      <c r="AD7918" s="388">
        <v>10.48512</v>
      </c>
      <c r="AE7918" s="388">
        <v>1.0271760000000001</v>
      </c>
      <c r="AF7918" s="388">
        <v>10.770063621120002</v>
      </c>
      <c r="AG7918" s="388">
        <v>1.0911840000000002</v>
      </c>
      <c r="AH7918" s="391"/>
      <c r="AI7918" s="397"/>
      <c r="AJ7918" s="397"/>
      <c r="AU7918" s="397"/>
      <c r="AV7918" s="397"/>
      <c r="AW7918" s="397"/>
      <c r="AX7918" s="397"/>
      <c r="BI7918" s="397"/>
      <c r="BJ7918" s="397"/>
      <c r="BK7918" s="397"/>
      <c r="BL7918" s="397"/>
      <c r="BM7918" s="397"/>
      <c r="BN7918" s="397"/>
      <c r="BO7918" s="397"/>
      <c r="BP7918" s="397"/>
      <c r="BQ7918" s="397"/>
      <c r="BR7918" s="397"/>
      <c r="BS7918" s="397"/>
      <c r="BT7918" s="397"/>
      <c r="BU7918" s="397"/>
      <c r="BV7918" s="397"/>
      <c r="BW7918" s="397"/>
      <c r="BX7918" s="397"/>
      <c r="BY7918" s="397"/>
      <c r="BZ7918" s="397"/>
      <c r="CA7918" s="392" t="s">
        <v>413</v>
      </c>
    </row>
    <row r="7919" spans="1:80" s="392" customFormat="1" ht="15" x14ac:dyDescent="0.25">
      <c r="A7919" s="385"/>
      <c r="D7919" s="700"/>
      <c r="E7919" s="397"/>
      <c r="H7919" s="401">
        <v>3</v>
      </c>
      <c r="I7919" s="401"/>
      <c r="J7919" s="401"/>
      <c r="K7919" s="401"/>
      <c r="L7919" s="675"/>
      <c r="M7919" s="672">
        <v>29380</v>
      </c>
      <c r="N7919" s="623">
        <v>9.5789175403797113</v>
      </c>
      <c r="O7919" s="624">
        <v>2.2796800000000002E-2</v>
      </c>
      <c r="P7919" s="397"/>
      <c r="Q7919" s="397"/>
      <c r="R7919" s="397"/>
      <c r="S7919" s="397"/>
      <c r="T7919" s="397"/>
      <c r="U7919" s="397"/>
      <c r="V7919" s="397"/>
      <c r="W7919" s="397"/>
      <c r="X7919" s="397"/>
      <c r="Y7919" s="397"/>
      <c r="Z7919" s="397"/>
      <c r="AD7919" s="388">
        <v>12.679680000000001</v>
      </c>
      <c r="AE7919" s="388">
        <v>1.0058400000000001</v>
      </c>
      <c r="AF7919" s="388">
        <v>12.753729331200002</v>
      </c>
      <c r="AG7919" s="388">
        <v>0.59131200000000006</v>
      </c>
      <c r="AH7919" s="391"/>
      <c r="AI7919" s="397"/>
      <c r="AJ7919" s="397"/>
      <c r="AU7919" s="397"/>
      <c r="AV7919" s="397"/>
      <c r="AW7919" s="397"/>
      <c r="AX7919" s="397"/>
      <c r="BI7919" s="397"/>
      <c r="BJ7919" s="397"/>
      <c r="BK7919" s="397"/>
      <c r="BL7919" s="397"/>
      <c r="BM7919" s="397"/>
      <c r="BN7919" s="397"/>
      <c r="BO7919" s="397"/>
      <c r="BP7919" s="397"/>
      <c r="BQ7919" s="397"/>
      <c r="BR7919" s="397"/>
      <c r="BS7919" s="397"/>
      <c r="BT7919" s="397"/>
      <c r="BU7919" s="397"/>
      <c r="BV7919" s="397"/>
      <c r="BW7919" s="397"/>
      <c r="BX7919" s="397"/>
      <c r="BY7919" s="397"/>
      <c r="BZ7919" s="397"/>
      <c r="CA7919" s="392" t="s">
        <v>413</v>
      </c>
    </row>
    <row r="7920" spans="1:80" s="392" customFormat="1" ht="15" x14ac:dyDescent="0.25">
      <c r="A7920" s="385"/>
      <c r="D7920" s="700"/>
      <c r="E7920" s="397"/>
      <c r="H7920" s="401">
        <v>3</v>
      </c>
      <c r="I7920" s="401"/>
      <c r="J7920" s="401"/>
      <c r="K7920" s="401"/>
      <c r="L7920" s="675"/>
      <c r="M7920" s="672">
        <v>29388</v>
      </c>
      <c r="N7920" s="623">
        <v>8.309152734485691</v>
      </c>
      <c r="O7920" s="624">
        <v>5.4618666666666673E-3</v>
      </c>
      <c r="P7920" s="397"/>
      <c r="Q7920" s="397"/>
      <c r="R7920" s="397"/>
      <c r="S7920" s="397"/>
      <c r="T7920" s="397"/>
      <c r="U7920" s="397"/>
      <c r="V7920" s="397"/>
      <c r="W7920" s="397"/>
      <c r="X7920" s="397"/>
      <c r="Y7920" s="397"/>
      <c r="Z7920" s="397"/>
      <c r="AD7920" s="388">
        <v>11.948160000000001</v>
      </c>
      <c r="AE7920" s="388">
        <v>1.0332720000000002</v>
      </c>
      <c r="AF7920" s="388">
        <v>12.345699179520004</v>
      </c>
      <c r="AG7920" s="388">
        <v>0.57302399999999998</v>
      </c>
      <c r="AH7920" s="391"/>
      <c r="AI7920" s="397"/>
      <c r="AJ7920" s="397"/>
      <c r="AU7920" s="397"/>
      <c r="AV7920" s="397"/>
      <c r="AW7920" s="397"/>
      <c r="AX7920" s="397"/>
      <c r="BI7920" s="397"/>
      <c r="BJ7920" s="397"/>
      <c r="BK7920" s="397"/>
      <c r="BL7920" s="397"/>
      <c r="BM7920" s="397"/>
      <c r="BN7920" s="397"/>
      <c r="BO7920" s="397"/>
      <c r="BP7920" s="397"/>
      <c r="BQ7920" s="397"/>
      <c r="BR7920" s="397"/>
      <c r="BS7920" s="397"/>
      <c r="BT7920" s="397"/>
      <c r="BU7920" s="397"/>
      <c r="BV7920" s="397"/>
      <c r="BW7920" s="397"/>
      <c r="BX7920" s="397"/>
      <c r="BY7920" s="397"/>
      <c r="BZ7920" s="397"/>
      <c r="CA7920" s="392" t="s">
        <v>413</v>
      </c>
    </row>
    <row r="7921" spans="1:80" s="392" customFormat="1" ht="15" x14ac:dyDescent="0.25">
      <c r="A7921" s="385"/>
      <c r="D7921" s="700"/>
      <c r="E7921" s="397"/>
      <c r="H7921" s="401">
        <v>3</v>
      </c>
      <c r="I7921" s="401"/>
      <c r="J7921" s="401"/>
      <c r="K7921" s="401"/>
      <c r="L7921" s="675"/>
      <c r="M7921" s="672">
        <v>29396</v>
      </c>
      <c r="N7921" s="623">
        <v>8.0490223859450278</v>
      </c>
      <c r="O7921" s="624">
        <v>6.5399333333333318E-3</v>
      </c>
      <c r="P7921" s="397"/>
      <c r="Q7921" s="397"/>
      <c r="R7921" s="397"/>
      <c r="S7921" s="397"/>
      <c r="T7921" s="397"/>
      <c r="U7921" s="397"/>
      <c r="V7921" s="397"/>
      <c r="W7921" s="397"/>
      <c r="X7921" s="397"/>
      <c r="Y7921" s="397"/>
      <c r="Z7921" s="397"/>
      <c r="AD7921" s="388">
        <v>11.36904</v>
      </c>
      <c r="AE7921" s="388">
        <v>1.0607040000000001</v>
      </c>
      <c r="AF7921" s="388">
        <v>12.059186204160001</v>
      </c>
      <c r="AG7921" s="388">
        <v>0.521208</v>
      </c>
      <c r="AH7921" s="391"/>
      <c r="AI7921" s="397"/>
      <c r="AJ7921" s="397"/>
      <c r="AU7921" s="397"/>
      <c r="AV7921" s="397"/>
      <c r="AW7921" s="397"/>
      <c r="AX7921" s="397"/>
      <c r="BI7921" s="397"/>
      <c r="BJ7921" s="397"/>
      <c r="BK7921" s="397"/>
      <c r="BL7921" s="397"/>
      <c r="BM7921" s="397"/>
      <c r="BN7921" s="397"/>
      <c r="BO7921" s="397"/>
      <c r="BP7921" s="397"/>
      <c r="BQ7921" s="397"/>
      <c r="BR7921" s="397"/>
      <c r="BS7921" s="397"/>
      <c r="BT7921" s="397"/>
      <c r="BU7921" s="397"/>
      <c r="BV7921" s="397"/>
      <c r="BW7921" s="397"/>
      <c r="BX7921" s="397"/>
      <c r="BY7921" s="397"/>
      <c r="BZ7921" s="397"/>
      <c r="CA7921" s="392" t="s">
        <v>413</v>
      </c>
    </row>
    <row r="7922" spans="1:80" s="392" customFormat="1" ht="15" x14ac:dyDescent="0.25">
      <c r="A7922" s="385"/>
      <c r="D7922" s="700"/>
      <c r="E7922" s="397"/>
      <c r="H7922" s="401">
        <v>3</v>
      </c>
      <c r="I7922" s="401"/>
      <c r="J7922" s="401"/>
      <c r="K7922" s="401"/>
      <c r="L7922" s="675"/>
      <c r="M7922" s="672">
        <v>29403</v>
      </c>
      <c r="N7922" s="623">
        <v>6.592802493624256</v>
      </c>
      <c r="O7922" s="624" t="s">
        <v>71</v>
      </c>
      <c r="P7922" s="397"/>
      <c r="Q7922" s="397"/>
      <c r="R7922" s="397"/>
      <c r="S7922" s="397"/>
      <c r="T7922" s="397"/>
      <c r="U7922" s="397"/>
      <c r="V7922" s="397"/>
      <c r="W7922" s="397"/>
      <c r="X7922" s="397"/>
      <c r="Y7922" s="397"/>
      <c r="Z7922" s="397"/>
      <c r="AD7922" s="388">
        <v>11.8872</v>
      </c>
      <c r="AE7922" s="388">
        <v>1.0454640000000002</v>
      </c>
      <c r="AF7922" s="388">
        <v>12.427639660800002</v>
      </c>
      <c r="AG7922" s="388">
        <v>0.42976799999999998</v>
      </c>
      <c r="AH7922" s="391"/>
      <c r="AI7922" s="397"/>
      <c r="AJ7922" s="397"/>
      <c r="AU7922" s="397"/>
      <c r="AV7922" s="397"/>
      <c r="AW7922" s="397"/>
      <c r="AX7922" s="397"/>
      <c r="BI7922" s="397"/>
      <c r="BJ7922" s="397"/>
      <c r="BK7922" s="397"/>
      <c r="BL7922" s="397"/>
      <c r="BM7922" s="397"/>
      <c r="BN7922" s="397"/>
      <c r="BO7922" s="397"/>
      <c r="BP7922" s="397"/>
      <c r="BQ7922" s="397"/>
      <c r="BR7922" s="397"/>
      <c r="BS7922" s="397"/>
      <c r="BT7922" s="397"/>
      <c r="BU7922" s="397"/>
      <c r="BV7922" s="397"/>
      <c r="BW7922" s="397"/>
      <c r="BX7922" s="397"/>
      <c r="BY7922" s="397"/>
      <c r="BZ7922" s="397"/>
      <c r="CA7922" s="392" t="s">
        <v>413</v>
      </c>
    </row>
    <row r="7923" spans="1:80" s="392" customFormat="1" ht="15" x14ac:dyDescent="0.25">
      <c r="A7923" s="385"/>
      <c r="D7923" s="700"/>
      <c r="E7923" s="397"/>
      <c r="H7923" s="401">
        <v>3</v>
      </c>
      <c r="I7923" s="401"/>
      <c r="J7923" s="401"/>
      <c r="K7923" s="401"/>
      <c r="L7923" s="675"/>
      <c r="M7923" s="672">
        <v>29411</v>
      </c>
      <c r="N7923" s="623">
        <v>3.1496174553697935</v>
      </c>
      <c r="O7923" s="624" t="s">
        <v>71</v>
      </c>
      <c r="P7923" s="397"/>
      <c r="Q7923" s="397"/>
      <c r="R7923" s="397"/>
      <c r="S7923" s="397"/>
      <c r="T7923" s="397"/>
      <c r="U7923" s="397"/>
      <c r="V7923" s="397"/>
      <c r="W7923" s="397"/>
      <c r="X7923" s="397"/>
      <c r="Y7923" s="397"/>
      <c r="Z7923" s="397"/>
      <c r="AD7923" s="388">
        <v>12.100560000000002</v>
      </c>
      <c r="AE7923" s="388">
        <v>1.0363200000000001</v>
      </c>
      <c r="AF7923" s="388">
        <v>12.540052339200003</v>
      </c>
      <c r="AG7923" s="388">
        <v>0.20116800000000001</v>
      </c>
      <c r="AH7923" s="391"/>
      <c r="AI7923" s="397"/>
      <c r="AJ7923" s="397"/>
      <c r="AU7923" s="397"/>
      <c r="AV7923" s="397"/>
      <c r="AW7923" s="397"/>
      <c r="AX7923" s="397"/>
      <c r="BI7923" s="397"/>
      <c r="BJ7923" s="397"/>
      <c r="BK7923" s="397"/>
      <c r="BL7923" s="397"/>
      <c r="BM7923" s="397"/>
      <c r="BN7923" s="397"/>
      <c r="BO7923" s="397"/>
      <c r="BP7923" s="397"/>
      <c r="BQ7923" s="397"/>
      <c r="BR7923" s="397"/>
      <c r="BS7923" s="397"/>
      <c r="BT7923" s="397"/>
      <c r="BU7923" s="397"/>
      <c r="BV7923" s="397"/>
      <c r="BW7923" s="397"/>
      <c r="BX7923" s="397"/>
      <c r="BY7923" s="397"/>
      <c r="BZ7923" s="397"/>
      <c r="CA7923" s="392" t="s">
        <v>413</v>
      </c>
    </row>
    <row r="7924" spans="1:80" s="392" customFormat="1" ht="15" x14ac:dyDescent="0.25">
      <c r="A7924" s="385"/>
      <c r="D7924" s="700"/>
      <c r="E7924" s="397"/>
      <c r="H7924" s="401">
        <v>3</v>
      </c>
      <c r="I7924" s="401"/>
      <c r="J7924" s="401"/>
      <c r="K7924" s="401"/>
      <c r="L7924" s="675"/>
      <c r="M7924" s="672">
        <v>29418</v>
      </c>
      <c r="N7924" s="623">
        <v>2.0518560498724852</v>
      </c>
      <c r="O7924" s="624" t="s">
        <v>71</v>
      </c>
      <c r="P7924" s="397"/>
      <c r="Q7924" s="397"/>
      <c r="R7924" s="397"/>
      <c r="S7924" s="397"/>
      <c r="T7924" s="397"/>
      <c r="U7924" s="397"/>
      <c r="V7924" s="397"/>
      <c r="W7924" s="397"/>
      <c r="X7924" s="397"/>
      <c r="Y7924" s="397"/>
      <c r="Z7924" s="397"/>
      <c r="AD7924" s="388">
        <v>11.186160000000001</v>
      </c>
      <c r="AE7924" s="388">
        <v>0.99060000000000004</v>
      </c>
      <c r="AF7924" s="388">
        <v>11.081010096000002</v>
      </c>
      <c r="AG7924" s="388">
        <v>0.155448</v>
      </c>
      <c r="AH7924" s="391"/>
      <c r="AI7924" s="397"/>
      <c r="AJ7924" s="397"/>
      <c r="AU7924" s="397"/>
      <c r="AV7924" s="397"/>
      <c r="AW7924" s="397"/>
      <c r="AX7924" s="397"/>
      <c r="BI7924" s="397"/>
      <c r="BJ7924" s="397"/>
      <c r="BK7924" s="397"/>
      <c r="BL7924" s="397"/>
      <c r="BM7924" s="397"/>
      <c r="BN7924" s="397"/>
      <c r="BO7924" s="397"/>
      <c r="BP7924" s="397"/>
      <c r="BQ7924" s="397"/>
      <c r="BR7924" s="397"/>
      <c r="BS7924" s="397"/>
      <c r="BT7924" s="397"/>
      <c r="BU7924" s="397"/>
      <c r="BV7924" s="397"/>
      <c r="BW7924" s="397"/>
      <c r="BX7924" s="397"/>
      <c r="BY7924" s="397"/>
      <c r="BZ7924" s="397"/>
      <c r="CA7924" s="392" t="s">
        <v>413</v>
      </c>
    </row>
    <row r="7925" spans="1:80" s="392" customFormat="1" ht="15" x14ac:dyDescent="0.25">
      <c r="A7925" s="385"/>
      <c r="D7925" s="700"/>
      <c r="E7925" s="397"/>
      <c r="H7925" s="401">
        <v>3</v>
      </c>
      <c r="I7925" s="401"/>
      <c r="J7925" s="401"/>
      <c r="K7925" s="401"/>
      <c r="L7925" s="675"/>
      <c r="M7925" s="672">
        <v>29425</v>
      </c>
      <c r="N7925" s="623">
        <v>0.66506092377444037</v>
      </c>
      <c r="O7925" s="624" t="s">
        <v>71</v>
      </c>
      <c r="P7925" s="397"/>
      <c r="Q7925" s="397"/>
      <c r="R7925" s="397"/>
      <c r="S7925" s="397"/>
      <c r="T7925" s="397"/>
      <c r="U7925" s="397"/>
      <c r="V7925" s="397"/>
      <c r="W7925" s="397"/>
      <c r="X7925" s="397"/>
      <c r="Y7925" s="397"/>
      <c r="Z7925" s="397"/>
      <c r="AD7925" s="388">
        <v>10.48512</v>
      </c>
      <c r="AE7925" s="388">
        <v>0.64008000000000009</v>
      </c>
      <c r="AF7925" s="388">
        <v>6.7113156096000015</v>
      </c>
      <c r="AG7925" s="388">
        <v>8.2296000000000008E-2</v>
      </c>
      <c r="AH7925" s="391"/>
      <c r="AI7925" s="397"/>
      <c r="AJ7925" s="397"/>
      <c r="AU7925" s="397"/>
      <c r="AV7925" s="397"/>
      <c r="AW7925" s="397"/>
      <c r="AX7925" s="397"/>
      <c r="BI7925" s="397"/>
      <c r="BJ7925" s="397"/>
      <c r="BK7925" s="397"/>
      <c r="BL7925" s="397"/>
      <c r="BM7925" s="397"/>
      <c r="BN7925" s="397"/>
      <c r="BO7925" s="397"/>
      <c r="BP7925" s="397"/>
      <c r="BQ7925" s="397"/>
      <c r="BR7925" s="397"/>
      <c r="BS7925" s="397"/>
      <c r="BT7925" s="397"/>
      <c r="BU7925" s="397"/>
      <c r="BV7925" s="397"/>
      <c r="BW7925" s="397"/>
      <c r="BX7925" s="397"/>
      <c r="BY7925" s="397"/>
      <c r="BZ7925" s="397"/>
      <c r="CA7925" s="392" t="s">
        <v>413</v>
      </c>
    </row>
    <row r="7926" spans="1:80" s="189" customFormat="1" ht="15" x14ac:dyDescent="0.25">
      <c r="A7926" s="381" t="s">
        <v>508</v>
      </c>
      <c r="B7926" s="641"/>
      <c r="C7926" s="639"/>
      <c r="D7926" s="4">
        <f>VLOOKUP(E7926,'Quality Code'!$D$4:$E$24,2,TRUE)*VLOOKUP(MROUND(F7926,10),'Quality Code'!$D$28:$E$69,2,TRUE)*VLOOKUP(COUNTA(CB7926:CB7936),'Quality Code'!$D$73:$E$93,2,TRUE)</f>
        <v>8.7499999999999994E-2</v>
      </c>
      <c r="E7926" s="14">
        <v>0.35</v>
      </c>
      <c r="F7926" s="2">
        <v>7</v>
      </c>
      <c r="G7926" s="12"/>
      <c r="H7926" s="2" t="s">
        <v>105</v>
      </c>
      <c r="I7926" s="2"/>
      <c r="J7926" s="2"/>
      <c r="K7926" s="2"/>
      <c r="L7926" s="639"/>
      <c r="M7926" s="640">
        <v>1980</v>
      </c>
      <c r="N7926" s="578" t="s">
        <v>110</v>
      </c>
      <c r="O7926" s="578"/>
      <c r="P7926" s="26"/>
      <c r="Q7926" s="26"/>
      <c r="R7926" s="26"/>
      <c r="S7926" s="26"/>
      <c r="T7926" s="26"/>
      <c r="U7926" s="26"/>
      <c r="V7926" s="10"/>
      <c r="W7926" s="10"/>
      <c r="X7926" s="10"/>
      <c r="Y7926" s="10"/>
      <c r="Z7926" s="26"/>
      <c r="AA7926" s="26"/>
      <c r="AB7926" s="26"/>
      <c r="AC7926" s="3">
        <v>1.7999999999999999E-2</v>
      </c>
      <c r="AD7926" s="406"/>
      <c r="AE7926" s="26"/>
      <c r="AF7926" s="26"/>
      <c r="AG7926" s="26"/>
      <c r="AH7926" s="26"/>
      <c r="AI7926" s="4"/>
      <c r="AJ7926" s="4"/>
      <c r="AK7926" s="26"/>
      <c r="AL7926" s="26"/>
      <c r="AM7926" s="26"/>
      <c r="AN7926" s="26"/>
      <c r="AO7926" s="26"/>
      <c r="AP7926" s="26"/>
      <c r="AQ7926" s="26"/>
      <c r="AR7926" s="26"/>
      <c r="AS7926" s="26"/>
      <c r="AT7926" s="26"/>
      <c r="AU7926" s="4"/>
      <c r="AV7926" s="4"/>
      <c r="AW7926" s="4"/>
      <c r="AX7926" s="4"/>
      <c r="AY7926" s="2"/>
      <c r="AZ7926" s="2"/>
      <c r="BA7926" s="12"/>
      <c r="BB7926" s="12"/>
      <c r="BC7926" s="12"/>
      <c r="BD7926" s="12"/>
      <c r="BE7926" s="12"/>
      <c r="BF7926" s="12"/>
      <c r="BG7926" s="12"/>
      <c r="BH7926" s="12"/>
      <c r="BI7926" s="4"/>
      <c r="BJ7926" s="12"/>
      <c r="BK7926" s="2"/>
      <c r="BL7926" s="2"/>
      <c r="BM7926" s="4"/>
      <c r="BN7926" s="12"/>
      <c r="BO7926" s="12"/>
      <c r="BP7926" s="12"/>
      <c r="BQ7926" s="4"/>
      <c r="BR7926" s="4"/>
      <c r="BS7926" s="4"/>
      <c r="BT7926" s="2"/>
      <c r="BU7926" s="9"/>
      <c r="BV7926" s="381"/>
      <c r="BW7926" s="382"/>
      <c r="BX7926" s="383"/>
      <c r="BY7926" s="383"/>
      <c r="BZ7926" s="383"/>
      <c r="CA7926" s="384" t="s">
        <v>413</v>
      </c>
      <c r="CB7926" s="411"/>
    </row>
    <row r="7927" spans="1:80" s="392" customFormat="1" ht="15" x14ac:dyDescent="0.25">
      <c r="A7927" s="385"/>
      <c r="D7927" s="700"/>
      <c r="E7927" s="397"/>
      <c r="H7927" s="401">
        <v>3</v>
      </c>
      <c r="I7927" s="401"/>
      <c r="J7927" s="401"/>
      <c r="K7927" s="401"/>
      <c r="L7927" s="675"/>
      <c r="M7927" s="672">
        <v>29365</v>
      </c>
      <c r="N7927" s="623">
        <v>10.069424766222728</v>
      </c>
      <c r="O7927" s="624">
        <v>2.4714666666666666E-2</v>
      </c>
      <c r="P7927" s="397"/>
      <c r="Q7927" s="397"/>
      <c r="R7927" s="397"/>
      <c r="S7927" s="397"/>
      <c r="T7927" s="397"/>
      <c r="U7927" s="397"/>
      <c r="V7927" s="397"/>
      <c r="W7927" s="397"/>
      <c r="X7927" s="397"/>
      <c r="Y7927" s="397"/>
      <c r="Z7927" s="397"/>
      <c r="AD7927" s="388">
        <v>10.088880000000001</v>
      </c>
      <c r="AE7927" s="388">
        <v>0.81381599999999998</v>
      </c>
      <c r="AF7927" s="388">
        <v>8.2104919660800011</v>
      </c>
      <c r="AG7927" s="388">
        <v>0.801624</v>
      </c>
      <c r="AH7927" s="391"/>
      <c r="AI7927" s="397"/>
      <c r="AJ7927" s="397"/>
      <c r="AU7927" s="397"/>
      <c r="AV7927" s="397"/>
      <c r="AW7927" s="397"/>
      <c r="AX7927" s="397"/>
      <c r="BI7927" s="397"/>
      <c r="BJ7927" s="397"/>
      <c r="BK7927" s="397"/>
      <c r="BL7927" s="397"/>
      <c r="BM7927" s="397"/>
      <c r="BN7927" s="397"/>
      <c r="BO7927" s="397"/>
      <c r="BP7927" s="397"/>
      <c r="BQ7927" s="397"/>
      <c r="BR7927" s="397"/>
      <c r="BS7927" s="397"/>
      <c r="BT7927" s="397"/>
      <c r="BU7927" s="397"/>
      <c r="BV7927" s="397"/>
      <c r="BW7927" s="397"/>
      <c r="BX7927" s="397"/>
      <c r="BY7927" s="397"/>
      <c r="BZ7927" s="397"/>
      <c r="CA7927" s="392" t="s">
        <v>413</v>
      </c>
    </row>
    <row r="7928" spans="1:80" s="392" customFormat="1" ht="15" x14ac:dyDescent="0.25">
      <c r="A7928" s="385"/>
      <c r="D7928" s="700"/>
      <c r="E7928" s="397"/>
      <c r="H7928" s="401">
        <v>3</v>
      </c>
      <c r="I7928" s="401"/>
      <c r="J7928" s="401"/>
      <c r="K7928" s="401"/>
      <c r="L7928" s="675"/>
      <c r="M7928" s="672">
        <v>29372</v>
      </c>
      <c r="N7928" s="623">
        <v>9.1192972513459907</v>
      </c>
      <c r="O7928" s="624">
        <v>1.2576666666666668E-2</v>
      </c>
      <c r="P7928" s="397"/>
      <c r="Q7928" s="397"/>
      <c r="R7928" s="397"/>
      <c r="S7928" s="397"/>
      <c r="T7928" s="397"/>
      <c r="U7928" s="397"/>
      <c r="V7928" s="397"/>
      <c r="W7928" s="397"/>
      <c r="X7928" s="397"/>
      <c r="Y7928" s="397"/>
      <c r="Z7928" s="397"/>
      <c r="AD7928" s="388">
        <v>11.7348</v>
      </c>
      <c r="AE7928" s="388">
        <v>0.83515200000000012</v>
      </c>
      <c r="AF7928" s="388">
        <v>9.8003416896000015</v>
      </c>
      <c r="AG7928" s="388">
        <v>1.1247119999999999</v>
      </c>
      <c r="AH7928" s="391"/>
      <c r="AI7928" s="397"/>
      <c r="AJ7928" s="397"/>
      <c r="AU7928" s="397"/>
      <c r="AV7928" s="397"/>
      <c r="AW7928" s="397"/>
      <c r="AX7928" s="397"/>
      <c r="BI7928" s="397"/>
      <c r="BJ7928" s="397"/>
      <c r="BK7928" s="397"/>
      <c r="BL7928" s="397"/>
      <c r="BM7928" s="397"/>
      <c r="BN7928" s="397"/>
      <c r="BO7928" s="397"/>
      <c r="BP7928" s="397"/>
      <c r="BQ7928" s="397"/>
      <c r="BR7928" s="397"/>
      <c r="BS7928" s="397"/>
      <c r="BT7928" s="397"/>
      <c r="BU7928" s="397"/>
      <c r="BV7928" s="397"/>
      <c r="BW7928" s="397"/>
      <c r="BX7928" s="397"/>
      <c r="BY7928" s="397"/>
      <c r="BZ7928" s="397"/>
      <c r="CA7928" s="392" t="s">
        <v>413</v>
      </c>
    </row>
    <row r="7929" spans="1:80" s="392" customFormat="1" ht="15" x14ac:dyDescent="0.25">
      <c r="A7929" s="385"/>
      <c r="D7929" s="700"/>
      <c r="E7929" s="397"/>
      <c r="H7929" s="401">
        <v>3</v>
      </c>
      <c r="I7929" s="401"/>
      <c r="J7929" s="401"/>
      <c r="K7929" s="401"/>
      <c r="L7929" s="675"/>
      <c r="M7929" s="672">
        <v>29380</v>
      </c>
      <c r="N7929" s="623">
        <v>14.282232927174837</v>
      </c>
      <c r="O7929" s="624">
        <v>1.6140666666666668E-2</v>
      </c>
      <c r="P7929" s="397"/>
      <c r="Q7929" s="397"/>
      <c r="R7929" s="397"/>
      <c r="S7929" s="397"/>
      <c r="T7929" s="397"/>
      <c r="U7929" s="397"/>
      <c r="V7929" s="397"/>
      <c r="W7929" s="397"/>
      <c r="X7929" s="397"/>
      <c r="Y7929" s="397"/>
      <c r="Z7929" s="397"/>
      <c r="AD7929" s="388">
        <v>10.393680000000002</v>
      </c>
      <c r="AE7929" s="388">
        <v>0.99060000000000004</v>
      </c>
      <c r="AF7929" s="388">
        <v>10.295979408000003</v>
      </c>
      <c r="AG7929" s="388">
        <v>1.0149840000000001</v>
      </c>
      <c r="AH7929" s="391"/>
      <c r="AI7929" s="397"/>
      <c r="AJ7929" s="397"/>
      <c r="AU7929" s="397"/>
      <c r="AV7929" s="397"/>
      <c r="AW7929" s="397"/>
      <c r="AX7929" s="397"/>
      <c r="BI7929" s="397"/>
      <c r="BJ7929" s="397"/>
      <c r="BK7929" s="397"/>
      <c r="BL7929" s="397"/>
      <c r="BM7929" s="397"/>
      <c r="BN7929" s="397"/>
      <c r="BO7929" s="397"/>
      <c r="BP7929" s="397"/>
      <c r="BQ7929" s="397"/>
      <c r="BR7929" s="397"/>
      <c r="BS7929" s="397"/>
      <c r="BT7929" s="397"/>
      <c r="BU7929" s="397"/>
      <c r="BV7929" s="397"/>
      <c r="BW7929" s="397"/>
      <c r="BX7929" s="397"/>
      <c r="BY7929" s="397"/>
      <c r="BZ7929" s="397"/>
      <c r="CA7929" s="392" t="s">
        <v>413</v>
      </c>
    </row>
    <row r="7930" spans="1:80" s="392" customFormat="1" ht="15" x14ac:dyDescent="0.25">
      <c r="A7930" s="385"/>
      <c r="D7930" s="700"/>
      <c r="E7930" s="397"/>
      <c r="H7930" s="401">
        <v>3</v>
      </c>
      <c r="I7930" s="401"/>
      <c r="J7930" s="401"/>
      <c r="K7930" s="401"/>
      <c r="L7930" s="675"/>
      <c r="M7930" s="672">
        <v>29388</v>
      </c>
      <c r="N7930" s="623">
        <v>12.006517427033154</v>
      </c>
      <c r="O7930" s="624">
        <v>9.058666666666668E-3</v>
      </c>
      <c r="P7930" s="397"/>
      <c r="Q7930" s="397"/>
      <c r="R7930" s="397"/>
      <c r="S7930" s="397"/>
      <c r="T7930" s="397"/>
      <c r="U7930" s="397"/>
      <c r="V7930" s="397"/>
      <c r="W7930" s="397"/>
      <c r="X7930" s="397"/>
      <c r="Y7930" s="397"/>
      <c r="Z7930" s="397"/>
      <c r="AD7930" s="388">
        <v>9.6316800000000011</v>
      </c>
      <c r="AE7930" s="388">
        <v>0.90220800000000001</v>
      </c>
      <c r="AF7930" s="388">
        <v>8.6897787494400003</v>
      </c>
      <c r="AG7930" s="388">
        <v>0.96316800000000014</v>
      </c>
      <c r="AH7930" s="391"/>
      <c r="AI7930" s="397"/>
      <c r="AJ7930" s="397"/>
      <c r="AU7930" s="397"/>
      <c r="AV7930" s="397"/>
      <c r="AW7930" s="397"/>
      <c r="AX7930" s="397"/>
      <c r="BI7930" s="397"/>
      <c r="BJ7930" s="397"/>
      <c r="BK7930" s="397"/>
      <c r="BL7930" s="397"/>
      <c r="BM7930" s="397"/>
      <c r="BN7930" s="397"/>
      <c r="BO7930" s="397"/>
      <c r="BP7930" s="397"/>
      <c r="BQ7930" s="397"/>
      <c r="BR7930" s="397"/>
      <c r="BS7930" s="397"/>
      <c r="BT7930" s="397"/>
      <c r="BU7930" s="397"/>
      <c r="BV7930" s="397"/>
      <c r="BW7930" s="397"/>
      <c r="BX7930" s="397"/>
      <c r="BY7930" s="397"/>
      <c r="BZ7930" s="397"/>
      <c r="CA7930" s="392" t="s">
        <v>413</v>
      </c>
    </row>
    <row r="7931" spans="1:80" s="392" customFormat="1" ht="15" x14ac:dyDescent="0.25">
      <c r="A7931" s="385"/>
      <c r="D7931" s="700"/>
      <c r="E7931" s="397"/>
      <c r="H7931" s="401">
        <v>3</v>
      </c>
      <c r="I7931" s="401"/>
      <c r="J7931" s="401"/>
      <c r="K7931" s="401"/>
      <c r="L7931" s="675"/>
      <c r="M7931" s="672">
        <v>29396</v>
      </c>
      <c r="N7931" s="623">
        <v>11.234910739586287</v>
      </c>
      <c r="O7931" s="624">
        <v>6.3606666666666664E-3</v>
      </c>
      <c r="P7931" s="397"/>
      <c r="Q7931" s="397"/>
      <c r="R7931" s="397"/>
      <c r="S7931" s="397"/>
      <c r="T7931" s="397"/>
      <c r="U7931" s="397"/>
      <c r="V7931" s="397"/>
      <c r="W7931" s="397"/>
      <c r="X7931" s="397"/>
      <c r="Y7931" s="397"/>
      <c r="Z7931" s="397"/>
      <c r="AD7931" s="388">
        <v>10.02792</v>
      </c>
      <c r="AE7931" s="388">
        <v>0.92354400000000003</v>
      </c>
      <c r="AF7931" s="388">
        <v>9.26122534848</v>
      </c>
      <c r="AG7931" s="388">
        <v>0.81686400000000003</v>
      </c>
      <c r="AH7931" s="391"/>
      <c r="AI7931" s="397"/>
      <c r="AJ7931" s="397"/>
      <c r="AU7931" s="397"/>
      <c r="AV7931" s="397"/>
      <c r="AW7931" s="397"/>
      <c r="AX7931" s="397"/>
      <c r="BI7931" s="397"/>
      <c r="BJ7931" s="397"/>
      <c r="BK7931" s="397"/>
      <c r="BL7931" s="397"/>
      <c r="BM7931" s="397"/>
      <c r="BN7931" s="397"/>
      <c r="BO7931" s="397"/>
      <c r="BP7931" s="397"/>
      <c r="BQ7931" s="397"/>
      <c r="BR7931" s="397"/>
      <c r="BS7931" s="397"/>
      <c r="BT7931" s="397"/>
      <c r="BU7931" s="397"/>
      <c r="BV7931" s="397"/>
      <c r="BW7931" s="397"/>
      <c r="BX7931" s="397"/>
      <c r="BY7931" s="397"/>
      <c r="BZ7931" s="397"/>
      <c r="CA7931" s="392" t="s">
        <v>413</v>
      </c>
    </row>
    <row r="7932" spans="1:80" s="392" customFormat="1" ht="15" x14ac:dyDescent="0.25">
      <c r="A7932" s="385"/>
      <c r="D7932" s="700"/>
      <c r="E7932" s="397"/>
      <c r="H7932" s="401">
        <v>3</v>
      </c>
      <c r="I7932" s="401"/>
      <c r="J7932" s="401"/>
      <c r="K7932" s="401"/>
      <c r="L7932" s="675"/>
      <c r="M7932" s="672">
        <v>29403</v>
      </c>
      <c r="N7932" s="623">
        <v>9.4692547463870795</v>
      </c>
      <c r="O7932" s="624">
        <v>8.1646666666666673E-3</v>
      </c>
      <c r="P7932" s="397"/>
      <c r="Q7932" s="397"/>
      <c r="R7932" s="397"/>
      <c r="S7932" s="397"/>
      <c r="T7932" s="397"/>
      <c r="U7932" s="397"/>
      <c r="V7932" s="397"/>
      <c r="W7932" s="397"/>
      <c r="X7932" s="397"/>
      <c r="Y7932" s="397"/>
      <c r="Z7932" s="397"/>
      <c r="AD7932" s="388">
        <v>10.088880000000001</v>
      </c>
      <c r="AE7932" s="388">
        <v>0.74980800000000003</v>
      </c>
      <c r="AF7932" s="388">
        <v>7.5647229350400016</v>
      </c>
      <c r="AG7932" s="388">
        <v>0.73456800000000011</v>
      </c>
      <c r="AH7932" s="391"/>
      <c r="AI7932" s="397"/>
      <c r="AJ7932" s="397"/>
      <c r="AU7932" s="397"/>
      <c r="AV7932" s="397"/>
      <c r="AW7932" s="397"/>
      <c r="AX7932" s="397"/>
      <c r="BI7932" s="397"/>
      <c r="BJ7932" s="397"/>
      <c r="BK7932" s="397"/>
      <c r="BL7932" s="397"/>
      <c r="BM7932" s="397"/>
      <c r="BN7932" s="397"/>
      <c r="BO7932" s="397"/>
      <c r="BP7932" s="397"/>
      <c r="BQ7932" s="397"/>
      <c r="BR7932" s="397"/>
      <c r="BS7932" s="397"/>
      <c r="BT7932" s="397"/>
      <c r="BU7932" s="397"/>
      <c r="BV7932" s="397"/>
      <c r="BW7932" s="397"/>
      <c r="BX7932" s="397"/>
      <c r="BY7932" s="397"/>
      <c r="BZ7932" s="397"/>
      <c r="CA7932" s="392" t="s">
        <v>413</v>
      </c>
    </row>
    <row r="7933" spans="1:80" s="392" customFormat="1" ht="15" x14ac:dyDescent="0.25">
      <c r="A7933" s="385"/>
      <c r="D7933" s="700"/>
      <c r="E7933" s="397"/>
      <c r="H7933" s="401">
        <v>3</v>
      </c>
      <c r="I7933" s="401"/>
      <c r="J7933" s="401"/>
      <c r="K7933" s="401"/>
      <c r="L7933" s="675"/>
      <c r="M7933" s="672">
        <v>29412</v>
      </c>
      <c r="N7933" s="623">
        <v>4.0529895154434685</v>
      </c>
      <c r="O7933" s="624">
        <v>2.4093333333333336E-3</v>
      </c>
      <c r="P7933" s="397"/>
      <c r="Q7933" s="397"/>
      <c r="R7933" s="397"/>
      <c r="S7933" s="397"/>
      <c r="T7933" s="397"/>
      <c r="U7933" s="397"/>
      <c r="V7933" s="397"/>
      <c r="W7933" s="397"/>
      <c r="X7933" s="397"/>
      <c r="Y7933" s="397"/>
      <c r="Z7933" s="397"/>
      <c r="AD7933" s="388">
        <v>8.4734400000000001</v>
      </c>
      <c r="AE7933" s="388">
        <v>0.65836800000000006</v>
      </c>
      <c r="AF7933" s="388">
        <v>5.5786417459200006</v>
      </c>
      <c r="AG7933" s="388">
        <v>0.50596799999999997</v>
      </c>
      <c r="AH7933" s="391"/>
      <c r="AI7933" s="397"/>
      <c r="AJ7933" s="397"/>
      <c r="AU7933" s="397"/>
      <c r="AV7933" s="397"/>
      <c r="AW7933" s="397"/>
      <c r="AX7933" s="397"/>
      <c r="BI7933" s="397"/>
      <c r="BJ7933" s="397"/>
      <c r="BK7933" s="397"/>
      <c r="BL7933" s="397"/>
      <c r="BM7933" s="397"/>
      <c r="BN7933" s="397"/>
      <c r="BO7933" s="397"/>
      <c r="BP7933" s="397"/>
      <c r="BQ7933" s="397"/>
      <c r="BR7933" s="397"/>
      <c r="BS7933" s="397"/>
      <c r="BT7933" s="397"/>
      <c r="BU7933" s="397"/>
      <c r="BV7933" s="397"/>
      <c r="BW7933" s="397"/>
      <c r="BX7933" s="397"/>
      <c r="BY7933" s="397"/>
      <c r="BZ7933" s="397"/>
      <c r="CA7933" s="392" t="s">
        <v>413</v>
      </c>
    </row>
    <row r="7934" spans="1:80" s="392" customFormat="1" ht="15" x14ac:dyDescent="0.25">
      <c r="A7934" s="385"/>
      <c r="D7934" s="700"/>
      <c r="E7934" s="397"/>
      <c r="H7934" s="401">
        <v>3</v>
      </c>
      <c r="I7934" s="401"/>
      <c r="J7934" s="401"/>
      <c r="K7934" s="401"/>
      <c r="L7934" s="675"/>
      <c r="M7934" s="672">
        <v>29418</v>
      </c>
      <c r="N7934" s="623">
        <v>3.2958345140266365</v>
      </c>
      <c r="O7934" s="624" t="s">
        <v>71</v>
      </c>
      <c r="P7934" s="397"/>
      <c r="Q7934" s="397"/>
      <c r="R7934" s="397"/>
      <c r="S7934" s="397"/>
      <c r="T7934" s="397"/>
      <c r="U7934" s="397"/>
      <c r="V7934" s="397"/>
      <c r="W7934" s="397"/>
      <c r="X7934" s="397"/>
      <c r="Y7934" s="397"/>
      <c r="Z7934" s="397"/>
      <c r="AD7934" s="388">
        <v>12.161519999999999</v>
      </c>
      <c r="AE7934" s="388">
        <v>0.34442400000000001</v>
      </c>
      <c r="AF7934" s="388">
        <v>4.1887193644799998</v>
      </c>
      <c r="AG7934" s="388">
        <v>0.67665600000000015</v>
      </c>
      <c r="AH7934" s="391"/>
      <c r="AI7934" s="397"/>
      <c r="AJ7934" s="397"/>
      <c r="AU7934" s="397"/>
      <c r="AV7934" s="397"/>
      <c r="AW7934" s="397"/>
      <c r="AX7934" s="397"/>
      <c r="BI7934" s="397"/>
      <c r="BJ7934" s="397"/>
      <c r="BK7934" s="397"/>
      <c r="BL7934" s="397"/>
      <c r="BM7934" s="397"/>
      <c r="BN7934" s="397"/>
      <c r="BO7934" s="397"/>
      <c r="BP7934" s="397"/>
      <c r="BQ7934" s="397"/>
      <c r="BR7934" s="397"/>
      <c r="BS7934" s="397"/>
      <c r="BT7934" s="397"/>
      <c r="BU7934" s="397"/>
      <c r="BV7934" s="397"/>
      <c r="BW7934" s="397"/>
      <c r="BX7934" s="397"/>
      <c r="BY7934" s="397"/>
      <c r="BZ7934" s="397"/>
      <c r="CA7934" s="392" t="s">
        <v>413</v>
      </c>
    </row>
    <row r="7935" spans="1:80" s="392" customFormat="1" ht="15" x14ac:dyDescent="0.25">
      <c r="A7935" s="385"/>
      <c r="D7935" s="700"/>
      <c r="E7935" s="397"/>
      <c r="H7935" s="401">
        <v>3</v>
      </c>
      <c r="I7935" s="401"/>
      <c r="J7935" s="401"/>
      <c r="K7935" s="401"/>
      <c r="L7935" s="675"/>
      <c r="M7935" s="672">
        <v>29425</v>
      </c>
      <c r="N7935" s="623">
        <v>2.0459053556248232</v>
      </c>
      <c r="O7935" s="624" t="s">
        <v>71</v>
      </c>
      <c r="P7935" s="397"/>
      <c r="Q7935" s="397"/>
      <c r="R7935" s="397"/>
      <c r="S7935" s="397"/>
      <c r="T7935" s="397"/>
      <c r="U7935" s="397"/>
      <c r="V7935" s="397"/>
      <c r="W7935" s="397"/>
      <c r="X7935" s="397"/>
      <c r="Y7935" s="397"/>
      <c r="Z7935" s="397"/>
      <c r="AD7935" s="388">
        <v>13.350239999999999</v>
      </c>
      <c r="AE7935" s="388">
        <v>0.29260799999999998</v>
      </c>
      <c r="AF7935" s="388">
        <v>3.9063870259199995</v>
      </c>
      <c r="AG7935" s="388">
        <v>0.40843200000000002</v>
      </c>
      <c r="AH7935" s="391"/>
      <c r="AI7935" s="397"/>
      <c r="AJ7935" s="397"/>
      <c r="AU7935" s="397"/>
      <c r="AV7935" s="397"/>
      <c r="AW7935" s="397"/>
      <c r="AX7935" s="397"/>
      <c r="BI7935" s="397"/>
      <c r="BJ7935" s="397"/>
      <c r="BK7935" s="397"/>
      <c r="BL7935" s="397"/>
      <c r="BM7935" s="397"/>
      <c r="BN7935" s="397"/>
      <c r="BO7935" s="397"/>
      <c r="BP7935" s="397"/>
      <c r="BQ7935" s="397"/>
      <c r="BR7935" s="397"/>
      <c r="BS7935" s="397"/>
      <c r="BT7935" s="397"/>
      <c r="BU7935" s="397"/>
      <c r="BV7935" s="397"/>
      <c r="BW7935" s="397"/>
      <c r="BX7935" s="397"/>
      <c r="BY7935" s="397"/>
      <c r="BZ7935" s="397"/>
      <c r="CA7935" s="392" t="s">
        <v>413</v>
      </c>
    </row>
    <row r="7936" spans="1:80" s="392" customFormat="1" ht="15" x14ac:dyDescent="0.25">
      <c r="A7936" s="385"/>
      <c r="D7936" s="700"/>
      <c r="E7936" s="397"/>
      <c r="H7936" s="401">
        <v>3</v>
      </c>
      <c r="I7936" s="401"/>
      <c r="J7936" s="401"/>
      <c r="K7936" s="401"/>
      <c r="L7936" s="675"/>
      <c r="M7936" s="672">
        <v>29443</v>
      </c>
      <c r="N7936" s="623">
        <v>0.86625106262397278</v>
      </c>
      <c r="O7936" s="624" t="s">
        <v>71</v>
      </c>
      <c r="P7936" s="397"/>
      <c r="Q7936" s="397"/>
      <c r="R7936" s="397"/>
      <c r="S7936" s="397"/>
      <c r="T7936" s="397"/>
      <c r="U7936" s="397"/>
      <c r="V7936" s="397"/>
      <c r="W7936" s="397"/>
      <c r="X7936" s="397"/>
      <c r="Y7936" s="397"/>
      <c r="Z7936" s="397"/>
      <c r="AD7936" s="388">
        <v>12.070080000000001</v>
      </c>
      <c r="AE7936" s="388">
        <v>0.21335999999999999</v>
      </c>
      <c r="AF7936" s="388">
        <v>2.5752722688</v>
      </c>
      <c r="AG7936" s="388">
        <v>0.26517600000000002</v>
      </c>
      <c r="AH7936" s="391"/>
      <c r="AI7936" s="397"/>
      <c r="AJ7936" s="397"/>
      <c r="AU7936" s="397"/>
      <c r="AV7936" s="397"/>
      <c r="AW7936" s="397"/>
      <c r="AX7936" s="397"/>
      <c r="BI7936" s="397"/>
      <c r="BJ7936" s="397"/>
      <c r="BK7936" s="397"/>
      <c r="BL7936" s="397"/>
      <c r="BM7936" s="397"/>
      <c r="BN7936" s="397"/>
      <c r="BO7936" s="397"/>
      <c r="BP7936" s="397"/>
      <c r="BQ7936" s="397"/>
      <c r="BR7936" s="397"/>
      <c r="BS7936" s="397"/>
      <c r="BT7936" s="397"/>
      <c r="BU7936" s="397"/>
      <c r="BV7936" s="397"/>
      <c r="BW7936" s="397"/>
      <c r="BX7936" s="397"/>
      <c r="BY7936" s="397"/>
      <c r="BZ7936" s="397"/>
      <c r="CA7936" s="392" t="s">
        <v>413</v>
      </c>
    </row>
    <row r="7937" spans="1:80" s="392" customFormat="1" ht="15" x14ac:dyDescent="0.25">
      <c r="A7937" s="385"/>
      <c r="D7937" s="700"/>
      <c r="E7937" s="397"/>
      <c r="H7937" s="401">
        <v>3</v>
      </c>
      <c r="I7937" s="401"/>
      <c r="J7937" s="401"/>
      <c r="K7937" s="401"/>
      <c r="L7937" s="675"/>
      <c r="M7937" s="672">
        <v>29457</v>
      </c>
      <c r="N7937" s="623">
        <v>0.58798526494757719</v>
      </c>
      <c r="O7937" s="624" t="s">
        <v>71</v>
      </c>
      <c r="P7937" s="397"/>
      <c r="Q7937" s="397"/>
      <c r="R7937" s="397"/>
      <c r="S7937" s="397"/>
      <c r="T7937" s="397"/>
      <c r="U7937" s="397"/>
      <c r="V7937" s="397"/>
      <c r="W7937" s="397"/>
      <c r="X7937" s="397"/>
      <c r="Y7937" s="397"/>
      <c r="Z7937" s="397"/>
      <c r="AD7937" s="388">
        <v>12.070080000000001</v>
      </c>
      <c r="AE7937" s="388">
        <v>0.13106400000000001</v>
      </c>
      <c r="AF7937" s="388">
        <v>1.5819529651200002</v>
      </c>
      <c r="AG7937" s="388">
        <v>0.24993599999999999</v>
      </c>
      <c r="AH7937" s="391"/>
      <c r="AI7937" s="397"/>
      <c r="AJ7937" s="397"/>
      <c r="AU7937" s="397"/>
      <c r="AV7937" s="397"/>
      <c r="AW7937" s="397"/>
      <c r="AX7937" s="397"/>
      <c r="BI7937" s="397"/>
      <c r="BJ7937" s="397"/>
      <c r="BK7937" s="397"/>
      <c r="BL7937" s="397"/>
      <c r="BM7937" s="397"/>
      <c r="BN7937" s="397"/>
      <c r="BO7937" s="397"/>
      <c r="BP7937" s="397"/>
      <c r="BQ7937" s="397"/>
      <c r="BR7937" s="397"/>
      <c r="BS7937" s="397"/>
      <c r="BT7937" s="397"/>
      <c r="BU7937" s="397"/>
      <c r="BV7937" s="397"/>
      <c r="BW7937" s="397"/>
      <c r="BX7937" s="397"/>
      <c r="BY7937" s="397"/>
      <c r="BZ7937" s="397"/>
      <c r="CA7937" s="392" t="s">
        <v>413</v>
      </c>
    </row>
    <row r="7938" spans="1:80" s="392" customFormat="1" ht="15" x14ac:dyDescent="0.25">
      <c r="A7938" s="385"/>
      <c r="D7938" s="700"/>
      <c r="E7938" s="397"/>
      <c r="H7938" s="401">
        <v>3</v>
      </c>
      <c r="I7938" s="401"/>
      <c r="J7938" s="401"/>
      <c r="K7938" s="401"/>
      <c r="L7938" s="675"/>
      <c r="M7938" s="672">
        <v>29471</v>
      </c>
      <c r="N7938" s="623">
        <v>0.51856049872485122</v>
      </c>
      <c r="O7938" s="624" t="s">
        <v>71</v>
      </c>
      <c r="P7938" s="397"/>
      <c r="Q7938" s="397"/>
      <c r="R7938" s="397"/>
      <c r="S7938" s="397"/>
      <c r="T7938" s="397"/>
      <c r="U7938" s="397"/>
      <c r="V7938" s="397"/>
      <c r="W7938" s="397"/>
      <c r="X7938" s="397"/>
      <c r="Y7938" s="397"/>
      <c r="Z7938" s="397"/>
      <c r="AD7938" s="388">
        <v>12.070080000000001</v>
      </c>
      <c r="AE7938" s="388">
        <v>0.13106400000000001</v>
      </c>
      <c r="AF7938" s="388">
        <v>1.5819529651200002</v>
      </c>
      <c r="AG7938" s="388">
        <v>0.25908000000000003</v>
      </c>
      <c r="AH7938" s="391"/>
      <c r="AI7938" s="397"/>
      <c r="AJ7938" s="397"/>
      <c r="AU7938" s="397"/>
      <c r="AV7938" s="397"/>
      <c r="AW7938" s="397"/>
      <c r="AX7938" s="397"/>
      <c r="BI7938" s="397"/>
      <c r="BJ7938" s="397"/>
      <c r="BK7938" s="397"/>
      <c r="BL7938" s="397"/>
      <c r="BM7938" s="397"/>
      <c r="BN7938" s="397"/>
      <c r="BO7938" s="397"/>
      <c r="BP7938" s="397"/>
      <c r="BQ7938" s="397"/>
      <c r="BR7938" s="397"/>
      <c r="BS7938" s="397"/>
      <c r="BT7938" s="397"/>
      <c r="BU7938" s="397"/>
      <c r="BV7938" s="397"/>
      <c r="BW7938" s="397"/>
      <c r="BX7938" s="397"/>
      <c r="BY7938" s="397"/>
      <c r="BZ7938" s="397"/>
      <c r="CA7938" s="392" t="s">
        <v>413</v>
      </c>
    </row>
    <row r="7939" spans="1:80" s="392" customFormat="1" ht="15" x14ac:dyDescent="0.25">
      <c r="A7939" s="385"/>
      <c r="D7939" s="700"/>
      <c r="E7939" s="397"/>
      <c r="H7939" s="401">
        <v>3</v>
      </c>
      <c r="I7939" s="401"/>
      <c r="J7939" s="401"/>
      <c r="K7939" s="401"/>
      <c r="L7939" s="675"/>
      <c r="M7939" s="672">
        <v>29486</v>
      </c>
      <c r="N7939" s="623">
        <v>0.51856049872485122</v>
      </c>
      <c r="O7939" s="624" t="s">
        <v>71</v>
      </c>
      <c r="P7939" s="397"/>
      <c r="Q7939" s="397"/>
      <c r="R7939" s="397"/>
      <c r="S7939" s="397"/>
      <c r="T7939" s="397"/>
      <c r="U7939" s="397"/>
      <c r="V7939" s="397"/>
      <c r="W7939" s="397"/>
      <c r="X7939" s="397"/>
      <c r="Y7939" s="397"/>
      <c r="Z7939" s="397"/>
      <c r="AD7939" s="388">
        <v>12.070080000000001</v>
      </c>
      <c r="AE7939" s="388">
        <v>0.13106400000000001</v>
      </c>
      <c r="AF7939" s="388">
        <v>1.5819529651200002</v>
      </c>
      <c r="AG7939" s="388">
        <v>0.25908000000000003</v>
      </c>
      <c r="AH7939" s="391"/>
      <c r="AI7939" s="397"/>
      <c r="AJ7939" s="397"/>
      <c r="AU7939" s="397"/>
      <c r="AV7939" s="397"/>
      <c r="AW7939" s="397"/>
      <c r="AX7939" s="397"/>
      <c r="BI7939" s="397"/>
      <c r="BJ7939" s="397"/>
      <c r="BK7939" s="397"/>
      <c r="BL7939" s="397"/>
      <c r="BM7939" s="397"/>
      <c r="BN7939" s="397"/>
      <c r="BO7939" s="397"/>
      <c r="BP7939" s="397"/>
      <c r="BQ7939" s="397"/>
      <c r="BR7939" s="397"/>
      <c r="BS7939" s="397"/>
      <c r="BT7939" s="397"/>
      <c r="BU7939" s="397"/>
      <c r="BV7939" s="397"/>
      <c r="BW7939" s="397"/>
      <c r="BX7939" s="397"/>
      <c r="BY7939" s="397"/>
      <c r="BZ7939" s="397"/>
      <c r="CA7939" s="392" t="s">
        <v>413</v>
      </c>
    </row>
    <row r="7940" spans="1:80" s="392" customFormat="1" ht="15" x14ac:dyDescent="0.25">
      <c r="A7940" s="385"/>
      <c r="D7940" s="700"/>
      <c r="E7940" s="397"/>
      <c r="H7940" s="401">
        <v>3</v>
      </c>
      <c r="I7940" s="401"/>
      <c r="J7940" s="401"/>
      <c r="K7940" s="401"/>
      <c r="L7940" s="675"/>
      <c r="M7940" s="672">
        <v>29501</v>
      </c>
      <c r="N7940" s="623">
        <v>0.17427033153867952</v>
      </c>
      <c r="O7940" s="624" t="s">
        <v>71</v>
      </c>
      <c r="P7940" s="397"/>
      <c r="Q7940" s="397"/>
      <c r="R7940" s="397"/>
      <c r="S7940" s="397"/>
      <c r="T7940" s="397"/>
      <c r="U7940" s="397"/>
      <c r="V7940" s="397"/>
      <c r="W7940" s="397"/>
      <c r="X7940" s="397"/>
      <c r="Y7940" s="397"/>
      <c r="Z7940" s="397"/>
      <c r="AD7940" s="388">
        <v>11.277600000000001</v>
      </c>
      <c r="AE7940" s="388">
        <v>0.10058400000000001</v>
      </c>
      <c r="AF7940" s="388">
        <v>1.1343461184000003</v>
      </c>
      <c r="AG7940" s="388">
        <v>0.12192000000000001</v>
      </c>
      <c r="AH7940" s="391"/>
      <c r="AI7940" s="397"/>
      <c r="AJ7940" s="397"/>
      <c r="AU7940" s="397"/>
      <c r="AV7940" s="397"/>
      <c r="AW7940" s="397"/>
      <c r="AX7940" s="397"/>
      <c r="BI7940" s="397"/>
      <c r="BJ7940" s="397"/>
      <c r="BK7940" s="397"/>
      <c r="BL7940" s="397"/>
      <c r="BM7940" s="397"/>
      <c r="BN7940" s="397"/>
      <c r="BO7940" s="397"/>
      <c r="BP7940" s="397"/>
      <c r="BQ7940" s="397"/>
      <c r="BR7940" s="397"/>
      <c r="BS7940" s="397"/>
      <c r="BT7940" s="397"/>
      <c r="BU7940" s="397"/>
      <c r="BV7940" s="397"/>
      <c r="BW7940" s="397"/>
      <c r="BX7940" s="397"/>
      <c r="BY7940" s="397"/>
      <c r="BZ7940" s="397"/>
      <c r="CA7940" s="392" t="s">
        <v>413</v>
      </c>
    </row>
    <row r="7941" spans="1:80" s="189" customFormat="1" ht="15" x14ac:dyDescent="0.25">
      <c r="A7941" s="381" t="s">
        <v>509</v>
      </c>
      <c r="B7941" s="641"/>
      <c r="C7941" s="639"/>
      <c r="D7941" s="4">
        <f>VLOOKUP(E7941,'Quality Code'!$D$4:$E$24,2,TRUE)*VLOOKUP(MROUND(F7941,10),'Quality Code'!$D$28:$E$69,2,TRUE)*VLOOKUP(COUNTA(CB7941:CB7951),'Quality Code'!$D$73:$E$93,2,TRUE)</f>
        <v>8.7499999999999994E-2</v>
      </c>
      <c r="E7941" s="14">
        <v>0.35</v>
      </c>
      <c r="F7941" s="2">
        <v>8</v>
      </c>
      <c r="G7941" s="12"/>
      <c r="H7941" s="2" t="s">
        <v>105</v>
      </c>
      <c r="I7941" s="2"/>
      <c r="J7941" s="2"/>
      <c r="K7941" s="2"/>
      <c r="L7941" s="639"/>
      <c r="M7941" s="640">
        <v>1980</v>
      </c>
      <c r="N7941" s="578" t="s">
        <v>110</v>
      </c>
      <c r="O7941" s="578"/>
      <c r="P7941" s="26"/>
      <c r="Q7941" s="26"/>
      <c r="R7941" s="26"/>
      <c r="S7941" s="26"/>
      <c r="T7941" s="26"/>
      <c r="U7941" s="26"/>
      <c r="V7941" s="10"/>
      <c r="W7941" s="10"/>
      <c r="X7941" s="10"/>
      <c r="Y7941" s="10"/>
      <c r="Z7941" s="26"/>
      <c r="AA7941" s="26"/>
      <c r="AB7941" s="26"/>
      <c r="AC7941" s="3">
        <v>8.2000000000000003E-2</v>
      </c>
      <c r="AD7941" s="406"/>
      <c r="AE7941" s="26"/>
      <c r="AF7941" s="26"/>
      <c r="AG7941" s="26"/>
      <c r="AH7941" s="26"/>
      <c r="AI7941" s="4"/>
      <c r="AJ7941" s="4"/>
      <c r="AK7941" s="26"/>
      <c r="AL7941" s="26"/>
      <c r="AM7941" s="26"/>
      <c r="AN7941" s="26"/>
      <c r="AO7941" s="26"/>
      <c r="AP7941" s="26"/>
      <c r="AQ7941" s="26"/>
      <c r="AR7941" s="26"/>
      <c r="AS7941" s="26"/>
      <c r="AT7941" s="26"/>
      <c r="AU7941" s="4"/>
      <c r="AV7941" s="4"/>
      <c r="AW7941" s="4"/>
      <c r="AX7941" s="4"/>
      <c r="AY7941" s="2"/>
      <c r="AZ7941" s="2"/>
      <c r="BA7941" s="12"/>
      <c r="BB7941" s="12"/>
      <c r="BC7941" s="12"/>
      <c r="BD7941" s="12"/>
      <c r="BE7941" s="12"/>
      <c r="BF7941" s="12"/>
      <c r="BG7941" s="12"/>
      <c r="BH7941" s="12"/>
      <c r="BI7941" s="4"/>
      <c r="BJ7941" s="12"/>
      <c r="BK7941" s="2"/>
      <c r="BL7941" s="2"/>
      <c r="BM7941" s="4"/>
      <c r="BN7941" s="12"/>
      <c r="BO7941" s="12"/>
      <c r="BP7941" s="12"/>
      <c r="BQ7941" s="4"/>
      <c r="BR7941" s="4"/>
      <c r="BS7941" s="4"/>
      <c r="BT7941" s="2"/>
      <c r="BU7941" s="9"/>
      <c r="BV7941" s="381"/>
      <c r="BW7941" s="382"/>
      <c r="BX7941" s="383"/>
      <c r="BY7941" s="383"/>
      <c r="BZ7941" s="383"/>
      <c r="CA7941" s="384" t="s">
        <v>413</v>
      </c>
      <c r="CB7941" s="411"/>
    </row>
    <row r="7942" spans="1:80" s="392" customFormat="1" ht="15" x14ac:dyDescent="0.25">
      <c r="A7942" s="385"/>
      <c r="D7942" s="700"/>
      <c r="E7942" s="397"/>
      <c r="H7942" s="401">
        <v>3</v>
      </c>
      <c r="I7942" s="401"/>
      <c r="J7942" s="401"/>
      <c r="K7942" s="401"/>
      <c r="L7942" s="675"/>
      <c r="M7942" s="672">
        <v>29355</v>
      </c>
      <c r="N7942" s="623">
        <v>0.16435250779257579</v>
      </c>
      <c r="O7942" s="624">
        <v>3.9333333333333337E-4</v>
      </c>
      <c r="P7942" s="397"/>
      <c r="Q7942" s="397"/>
      <c r="R7942" s="397"/>
      <c r="S7942" s="397"/>
      <c r="T7942" s="397"/>
      <c r="U7942" s="397"/>
      <c r="V7942" s="397"/>
      <c r="W7942" s="397"/>
      <c r="X7942" s="397"/>
      <c r="Y7942" s="397"/>
      <c r="Z7942" s="397"/>
      <c r="AD7942" s="388">
        <v>1.524</v>
      </c>
      <c r="AE7942" s="388">
        <v>0.13106400000000001</v>
      </c>
      <c r="AF7942" s="388">
        <v>0.19974153600000003</v>
      </c>
      <c r="AG7942" s="388">
        <v>0.56997600000000004</v>
      </c>
      <c r="AH7942" s="391"/>
      <c r="AI7942" s="397"/>
      <c r="AJ7942" s="397"/>
      <c r="AU7942" s="397"/>
      <c r="AV7942" s="397"/>
      <c r="AW7942" s="397"/>
      <c r="AX7942" s="397"/>
      <c r="BI7942" s="397"/>
      <c r="BJ7942" s="397"/>
      <c r="BK7942" s="397"/>
      <c r="BL7942" s="397"/>
      <c r="BM7942" s="397"/>
      <c r="BN7942" s="397"/>
      <c r="BO7942" s="397"/>
      <c r="BP7942" s="397"/>
      <c r="BQ7942" s="397"/>
      <c r="BR7942" s="397"/>
      <c r="BS7942" s="397"/>
      <c r="BT7942" s="397"/>
      <c r="BU7942" s="397"/>
      <c r="BV7942" s="397"/>
      <c r="BW7942" s="397"/>
      <c r="BX7942" s="397"/>
      <c r="BY7942" s="397"/>
      <c r="BZ7942" s="397"/>
      <c r="CA7942" s="392" t="s">
        <v>413</v>
      </c>
    </row>
    <row r="7943" spans="1:80" s="392" customFormat="1" ht="15" x14ac:dyDescent="0.25">
      <c r="A7943" s="385"/>
      <c r="D7943" s="700"/>
      <c r="E7943" s="397"/>
      <c r="H7943" s="401">
        <v>3</v>
      </c>
      <c r="I7943" s="401"/>
      <c r="J7943" s="401"/>
      <c r="K7943" s="401"/>
      <c r="L7943" s="675"/>
      <c r="M7943" s="672">
        <v>29361</v>
      </c>
      <c r="N7943" s="623">
        <v>9.0960612071408334E-2</v>
      </c>
      <c r="O7943" s="624">
        <v>3.0266333333333331E-3</v>
      </c>
      <c r="P7943" s="397"/>
      <c r="Q7943" s="397"/>
      <c r="R7943" s="397"/>
      <c r="S7943" s="397"/>
      <c r="T7943" s="397"/>
      <c r="U7943" s="397"/>
      <c r="V7943" s="397"/>
      <c r="W7943" s="397"/>
      <c r="X7943" s="397"/>
      <c r="Y7943" s="397"/>
      <c r="Z7943" s="397"/>
      <c r="AD7943" s="388">
        <v>1.5392399999999999</v>
      </c>
      <c r="AE7943" s="388">
        <v>9.4488000000000003E-2</v>
      </c>
      <c r="AF7943" s="388">
        <v>0.14543970912000001</v>
      </c>
      <c r="AG7943" s="388">
        <v>0.39319200000000004</v>
      </c>
      <c r="AH7943" s="391"/>
      <c r="AI7943" s="397"/>
      <c r="AJ7943" s="397"/>
      <c r="AU7943" s="397"/>
      <c r="AV7943" s="397"/>
      <c r="AW7943" s="397"/>
      <c r="AX7943" s="397"/>
      <c r="BI7943" s="397"/>
      <c r="BJ7943" s="397"/>
      <c r="BK7943" s="397"/>
      <c r="BL7943" s="397"/>
      <c r="BM7943" s="397"/>
      <c r="BN7943" s="397"/>
      <c r="BO7943" s="397"/>
      <c r="BP7943" s="397"/>
      <c r="BQ7943" s="397"/>
      <c r="BR7943" s="397"/>
      <c r="BS7943" s="397"/>
      <c r="BT7943" s="397"/>
      <c r="BU7943" s="397"/>
      <c r="BV7943" s="397"/>
      <c r="BW7943" s="397"/>
      <c r="BX7943" s="397"/>
      <c r="BY7943" s="397"/>
      <c r="BZ7943" s="397"/>
      <c r="CA7943" s="392" t="s">
        <v>413</v>
      </c>
    </row>
    <row r="7944" spans="1:80" s="392" customFormat="1" ht="15" x14ac:dyDescent="0.25">
      <c r="A7944" s="385"/>
      <c r="D7944" s="700"/>
      <c r="E7944" s="397"/>
      <c r="H7944" s="401">
        <v>3</v>
      </c>
      <c r="I7944" s="401"/>
      <c r="J7944" s="401"/>
      <c r="K7944" s="401"/>
      <c r="L7944" s="675"/>
      <c r="M7944" s="672">
        <v>29369</v>
      </c>
      <c r="N7944" s="623">
        <v>2.0969113063190707E-2</v>
      </c>
      <c r="O7944" s="624">
        <v>7.7005999999999993E-4</v>
      </c>
      <c r="P7944" s="397"/>
      <c r="Q7944" s="397"/>
      <c r="R7944" s="397"/>
      <c r="S7944" s="397"/>
      <c r="T7944" s="397"/>
      <c r="U7944" s="397"/>
      <c r="V7944" s="397"/>
      <c r="W7944" s="397"/>
      <c r="X7944" s="397"/>
      <c r="Y7944" s="397"/>
      <c r="Z7944" s="397"/>
      <c r="AD7944" s="388">
        <v>1.2710160000000001</v>
      </c>
      <c r="AE7944" s="388">
        <v>7.3151999999999995E-2</v>
      </c>
      <c r="AF7944" s="388">
        <v>9.2977362431999999E-2</v>
      </c>
      <c r="AG7944" s="388">
        <v>0.17068800000000003</v>
      </c>
      <c r="AH7944" s="391"/>
      <c r="AI7944" s="397"/>
      <c r="AJ7944" s="397"/>
      <c r="AU7944" s="397"/>
      <c r="AV7944" s="397"/>
      <c r="AW7944" s="397"/>
      <c r="AX7944" s="397"/>
      <c r="BI7944" s="397"/>
      <c r="BJ7944" s="397"/>
      <c r="BK7944" s="397"/>
      <c r="BL7944" s="397"/>
      <c r="BM7944" s="397"/>
      <c r="BN7944" s="397"/>
      <c r="BO7944" s="397"/>
      <c r="BP7944" s="397"/>
      <c r="BQ7944" s="397"/>
      <c r="BR7944" s="397"/>
      <c r="BS7944" s="397"/>
      <c r="BT7944" s="397"/>
      <c r="BU7944" s="397"/>
      <c r="BV7944" s="397"/>
      <c r="BW7944" s="397"/>
      <c r="BX7944" s="397"/>
      <c r="BY7944" s="397"/>
      <c r="BZ7944" s="397"/>
      <c r="CA7944" s="392" t="s">
        <v>413</v>
      </c>
    </row>
    <row r="7945" spans="1:80" s="392" customFormat="1" ht="15" x14ac:dyDescent="0.25">
      <c r="A7945" s="385"/>
      <c r="D7945" s="700"/>
      <c r="E7945" s="397"/>
      <c r="H7945" s="401">
        <v>3</v>
      </c>
      <c r="I7945" s="401"/>
      <c r="J7945" s="401"/>
      <c r="K7945" s="401"/>
      <c r="L7945" s="675"/>
      <c r="M7945" s="672">
        <v>29374</v>
      </c>
      <c r="N7945" s="623">
        <v>2.0685746670444885E-2</v>
      </c>
      <c r="O7945" s="624" t="s">
        <v>71</v>
      </c>
      <c r="P7945" s="397"/>
      <c r="Q7945" s="397"/>
      <c r="R7945" s="397"/>
      <c r="S7945" s="397"/>
      <c r="T7945" s="397"/>
      <c r="U7945" s="397"/>
      <c r="V7945" s="397"/>
      <c r="W7945" s="397"/>
      <c r="X7945" s="397"/>
      <c r="Y7945" s="397"/>
      <c r="Z7945" s="397"/>
      <c r="AD7945" s="388">
        <v>1.18872</v>
      </c>
      <c r="AE7945" s="388">
        <v>7.6200000000000004E-2</v>
      </c>
      <c r="AF7945" s="388">
        <v>9.0580463999999999E-2</v>
      </c>
      <c r="AG7945" s="388">
        <v>0.18288000000000001</v>
      </c>
      <c r="AH7945" s="391"/>
      <c r="AI7945" s="397"/>
      <c r="AJ7945" s="397"/>
      <c r="AU7945" s="397"/>
      <c r="AV7945" s="397"/>
      <c r="AW7945" s="397"/>
      <c r="AX7945" s="397"/>
      <c r="BI7945" s="397"/>
      <c r="BJ7945" s="397"/>
      <c r="BK7945" s="397"/>
      <c r="BL7945" s="397"/>
      <c r="BM7945" s="397"/>
      <c r="BN7945" s="397"/>
      <c r="BO7945" s="397"/>
      <c r="BP7945" s="397"/>
      <c r="BQ7945" s="397"/>
      <c r="BR7945" s="397"/>
      <c r="BS7945" s="397"/>
      <c r="BT7945" s="397"/>
      <c r="BU7945" s="397"/>
      <c r="BV7945" s="397"/>
      <c r="BW7945" s="397"/>
      <c r="BX7945" s="397"/>
      <c r="BY7945" s="397"/>
      <c r="BZ7945" s="397"/>
      <c r="CA7945" s="392" t="s">
        <v>413</v>
      </c>
    </row>
    <row r="7946" spans="1:80" s="392" customFormat="1" ht="15" x14ac:dyDescent="0.25">
      <c r="A7946" s="385"/>
      <c r="D7946" s="700"/>
      <c r="E7946" s="397"/>
      <c r="H7946" s="401">
        <v>3</v>
      </c>
      <c r="I7946" s="401"/>
      <c r="J7946" s="401"/>
      <c r="K7946" s="401"/>
      <c r="L7946" s="675"/>
      <c r="M7946" s="672">
        <v>29380</v>
      </c>
      <c r="N7946" s="623">
        <v>1.8135449135732503E-2</v>
      </c>
      <c r="O7946" s="624">
        <v>4.3459999999999999E-4</v>
      </c>
      <c r="P7946" s="397"/>
      <c r="Q7946" s="397"/>
      <c r="R7946" s="397"/>
      <c r="S7946" s="397"/>
      <c r="T7946" s="397"/>
      <c r="U7946" s="397"/>
      <c r="V7946" s="397"/>
      <c r="W7946" s="397"/>
      <c r="X7946" s="397"/>
      <c r="Y7946" s="397"/>
      <c r="Z7946" s="397"/>
      <c r="AD7946" s="388">
        <v>1.2496799999999999</v>
      </c>
      <c r="AE7946" s="388">
        <v>6.4007999999999995E-2</v>
      </c>
      <c r="AF7946" s="388">
        <v>7.9989517439999991E-2</v>
      </c>
      <c r="AG7946" s="388">
        <v>0.16764000000000001</v>
      </c>
      <c r="AH7946" s="391"/>
      <c r="AI7946" s="397"/>
      <c r="AJ7946" s="397"/>
      <c r="AU7946" s="397"/>
      <c r="AV7946" s="397"/>
      <c r="AW7946" s="397"/>
      <c r="AX7946" s="397"/>
      <c r="BI7946" s="397"/>
      <c r="BJ7946" s="397"/>
      <c r="BK7946" s="397"/>
      <c r="BL7946" s="397"/>
      <c r="BM7946" s="397"/>
      <c r="BN7946" s="397"/>
      <c r="BO7946" s="397"/>
      <c r="BP7946" s="397"/>
      <c r="BQ7946" s="397"/>
      <c r="BR7946" s="397"/>
      <c r="BS7946" s="397"/>
      <c r="BT7946" s="397"/>
      <c r="BU7946" s="397"/>
      <c r="BV7946" s="397"/>
      <c r="BW7946" s="397"/>
      <c r="BX7946" s="397"/>
      <c r="BY7946" s="397"/>
      <c r="BZ7946" s="397"/>
      <c r="CA7946" s="392" t="s">
        <v>413</v>
      </c>
    </row>
    <row r="7947" spans="1:80" s="392" customFormat="1" ht="15" x14ac:dyDescent="0.25">
      <c r="A7947" s="385"/>
      <c r="D7947" s="700"/>
      <c r="E7947" s="397"/>
      <c r="H7947" s="401">
        <v>3</v>
      </c>
      <c r="I7947" s="401"/>
      <c r="J7947" s="401"/>
      <c r="K7947" s="401"/>
      <c r="L7947" s="675"/>
      <c r="M7947" s="672">
        <v>29388</v>
      </c>
      <c r="N7947" s="623">
        <v>9.0677245678662515E-3</v>
      </c>
      <c r="O7947" s="624" t="s">
        <v>71</v>
      </c>
      <c r="P7947" s="397"/>
      <c r="Q7947" s="397"/>
      <c r="R7947" s="397"/>
      <c r="S7947" s="397"/>
      <c r="T7947" s="397"/>
      <c r="U7947" s="397"/>
      <c r="V7947" s="397"/>
      <c r="W7947" s="397"/>
      <c r="X7947" s="397"/>
      <c r="Y7947" s="397"/>
      <c r="Z7947" s="397"/>
      <c r="AD7947" s="388">
        <v>1.1582399999999999</v>
      </c>
      <c r="AE7947" s="388">
        <v>4.5720000000000004E-2</v>
      </c>
      <c r="AF7947" s="388">
        <v>5.2954732800000001E-2</v>
      </c>
      <c r="AG7947" s="388">
        <v>0.12192000000000001</v>
      </c>
      <c r="AH7947" s="391"/>
      <c r="AI7947" s="397"/>
      <c r="AJ7947" s="397"/>
      <c r="AU7947" s="397"/>
      <c r="AV7947" s="397"/>
      <c r="AW7947" s="397"/>
      <c r="AX7947" s="397"/>
      <c r="BI7947" s="397"/>
      <c r="BJ7947" s="397"/>
      <c r="BK7947" s="397"/>
      <c r="BL7947" s="397"/>
      <c r="BM7947" s="397"/>
      <c r="BN7947" s="397"/>
      <c r="BO7947" s="397"/>
      <c r="BP7947" s="397"/>
      <c r="BQ7947" s="397"/>
      <c r="BR7947" s="397"/>
      <c r="BS7947" s="397"/>
      <c r="BT7947" s="397"/>
      <c r="BU7947" s="397"/>
      <c r="BV7947" s="397"/>
      <c r="BW7947" s="397"/>
      <c r="BX7947" s="397"/>
      <c r="BY7947" s="397"/>
      <c r="BZ7947" s="397"/>
      <c r="CA7947" s="392" t="s">
        <v>413</v>
      </c>
    </row>
    <row r="7948" spans="1:80" s="392" customFormat="1" ht="15" x14ac:dyDescent="0.25">
      <c r="A7948" s="385"/>
      <c r="D7948" s="700"/>
      <c r="E7948" s="397"/>
      <c r="H7948" s="401">
        <v>3</v>
      </c>
      <c r="I7948" s="401"/>
      <c r="J7948" s="401"/>
      <c r="K7948" s="401"/>
      <c r="L7948" s="675"/>
      <c r="M7948" s="672">
        <v>29396</v>
      </c>
      <c r="N7948" s="623">
        <v>5.5539812978180787E-2</v>
      </c>
      <c r="O7948" s="624">
        <v>1.1386666666666667E-3</v>
      </c>
      <c r="P7948" s="397"/>
      <c r="Q7948" s="397"/>
      <c r="R7948" s="397"/>
      <c r="S7948" s="397"/>
      <c r="T7948" s="397"/>
      <c r="U7948" s="397"/>
      <c r="V7948" s="397"/>
      <c r="W7948" s="397"/>
      <c r="X7948" s="397"/>
      <c r="Y7948" s="397"/>
      <c r="Z7948" s="397"/>
      <c r="AD7948" s="388">
        <v>1.2192000000000001</v>
      </c>
      <c r="AE7948" s="388">
        <v>0.11582400000000001</v>
      </c>
      <c r="AF7948" s="388">
        <v>0.14121262080000002</v>
      </c>
      <c r="AG7948" s="388">
        <v>0.34442400000000001</v>
      </c>
      <c r="AH7948" s="391"/>
      <c r="AI7948" s="397"/>
      <c r="AJ7948" s="397"/>
      <c r="AU7948" s="397"/>
      <c r="AV7948" s="397"/>
      <c r="AW7948" s="397"/>
      <c r="AX7948" s="397"/>
      <c r="BI7948" s="397"/>
      <c r="BJ7948" s="397"/>
      <c r="BK7948" s="397"/>
      <c r="BL7948" s="397"/>
      <c r="BM7948" s="397"/>
      <c r="BN7948" s="397"/>
      <c r="BO7948" s="397"/>
      <c r="BP7948" s="397"/>
      <c r="BQ7948" s="397"/>
      <c r="BR7948" s="397"/>
      <c r="BS7948" s="397"/>
      <c r="BT7948" s="397"/>
      <c r="BU7948" s="397"/>
      <c r="BV7948" s="397"/>
      <c r="BW7948" s="397"/>
      <c r="BX7948" s="397"/>
      <c r="BY7948" s="397"/>
      <c r="BZ7948" s="397"/>
      <c r="CA7948" s="392" t="s">
        <v>413</v>
      </c>
    </row>
    <row r="7949" spans="1:80" s="392" customFormat="1" ht="15" x14ac:dyDescent="0.25">
      <c r="A7949" s="385"/>
      <c r="D7949" s="700"/>
      <c r="E7949" s="397"/>
      <c r="H7949" s="401">
        <v>3</v>
      </c>
      <c r="I7949" s="401"/>
      <c r="J7949" s="401"/>
      <c r="K7949" s="401"/>
      <c r="L7949" s="675"/>
      <c r="M7949" s="672">
        <v>29403</v>
      </c>
      <c r="N7949" s="623">
        <v>2.7769906489090394E-2</v>
      </c>
      <c r="O7949" s="624">
        <v>3.5840666666666671E-3</v>
      </c>
      <c r="P7949" s="397"/>
      <c r="Q7949" s="397"/>
      <c r="R7949" s="397"/>
      <c r="S7949" s="397"/>
      <c r="T7949" s="397"/>
      <c r="U7949" s="397"/>
      <c r="V7949" s="397"/>
      <c r="W7949" s="397"/>
      <c r="X7949" s="397"/>
      <c r="Y7949" s="397"/>
      <c r="Z7949" s="397"/>
      <c r="AD7949" s="388">
        <v>1.1277600000000001</v>
      </c>
      <c r="AE7949" s="388">
        <v>0.10058400000000001</v>
      </c>
      <c r="AF7949" s="388">
        <v>0.11343461184000002</v>
      </c>
      <c r="AG7949" s="388">
        <v>0.21640799999999999</v>
      </c>
      <c r="AH7949" s="391"/>
      <c r="AI7949" s="397"/>
      <c r="AJ7949" s="397"/>
      <c r="AU7949" s="397"/>
      <c r="AV7949" s="397"/>
      <c r="AW7949" s="397"/>
      <c r="AX7949" s="397"/>
      <c r="BI7949" s="397"/>
      <c r="BJ7949" s="397"/>
      <c r="BK7949" s="397"/>
      <c r="BL7949" s="397"/>
      <c r="BM7949" s="397"/>
      <c r="BN7949" s="397"/>
      <c r="BO7949" s="397"/>
      <c r="BP7949" s="397"/>
      <c r="BQ7949" s="397"/>
      <c r="BR7949" s="397"/>
      <c r="BS7949" s="397"/>
      <c r="BT7949" s="397"/>
      <c r="BU7949" s="397"/>
      <c r="BV7949" s="397"/>
      <c r="BW7949" s="397"/>
      <c r="BX7949" s="397"/>
      <c r="BY7949" s="397"/>
      <c r="BZ7949" s="397"/>
      <c r="CA7949" s="392" t="s">
        <v>413</v>
      </c>
    </row>
    <row r="7950" spans="1:80" s="392" customFormat="1" ht="15" x14ac:dyDescent="0.25">
      <c r="A7950" s="385"/>
      <c r="D7950" s="700"/>
      <c r="E7950" s="397"/>
      <c r="H7950" s="401">
        <v>3</v>
      </c>
      <c r="I7950" s="401"/>
      <c r="J7950" s="401"/>
      <c r="K7950" s="401"/>
      <c r="L7950" s="675"/>
      <c r="M7950" s="672">
        <v>29412</v>
      </c>
      <c r="N7950" s="623">
        <v>4.0238027769906488E-2</v>
      </c>
      <c r="O7950" s="624">
        <v>4.0479999999999992E-4</v>
      </c>
      <c r="P7950" s="397"/>
      <c r="Q7950" s="397"/>
      <c r="R7950" s="397"/>
      <c r="S7950" s="397"/>
      <c r="T7950" s="397"/>
      <c r="U7950" s="397"/>
      <c r="V7950" s="397"/>
      <c r="W7950" s="397"/>
      <c r="X7950" s="397"/>
      <c r="Y7950" s="397"/>
      <c r="Z7950" s="397"/>
      <c r="AD7950" s="388">
        <v>1.40208</v>
      </c>
      <c r="AE7950" s="388">
        <v>9.7536000000000012E-2</v>
      </c>
      <c r="AF7950" s="388">
        <v>0.13675327488000003</v>
      </c>
      <c r="AG7950" s="388">
        <v>0.18288000000000001</v>
      </c>
      <c r="AH7950" s="391"/>
      <c r="AI7950" s="397"/>
      <c r="AJ7950" s="397"/>
      <c r="AU7950" s="397"/>
      <c r="AV7950" s="397"/>
      <c r="AW7950" s="397"/>
      <c r="AX7950" s="397"/>
      <c r="BI7950" s="397"/>
      <c r="BJ7950" s="397"/>
      <c r="BK7950" s="397"/>
      <c r="BL7950" s="397"/>
      <c r="BM7950" s="397"/>
      <c r="BN7950" s="397"/>
      <c r="BO7950" s="397"/>
      <c r="BP7950" s="397"/>
      <c r="BQ7950" s="397"/>
      <c r="BR7950" s="397"/>
      <c r="BS7950" s="397"/>
      <c r="BT7950" s="397"/>
      <c r="BU7950" s="397"/>
      <c r="BV7950" s="397"/>
      <c r="BW7950" s="397"/>
      <c r="BX7950" s="397"/>
      <c r="BY7950" s="397"/>
      <c r="BZ7950" s="397"/>
      <c r="CA7950" s="392" t="s">
        <v>413</v>
      </c>
    </row>
    <row r="7951" spans="1:80" s="392" customFormat="1" ht="15" x14ac:dyDescent="0.25">
      <c r="A7951" s="385"/>
      <c r="D7951" s="700"/>
      <c r="E7951" s="397"/>
      <c r="H7951" s="401">
        <v>3</v>
      </c>
      <c r="I7951" s="401"/>
      <c r="J7951" s="401"/>
      <c r="K7951" s="401"/>
      <c r="L7951" s="675"/>
      <c r="M7951" s="672">
        <v>29418</v>
      </c>
      <c r="N7951" s="623">
        <v>2.340606404080476E-2</v>
      </c>
      <c r="O7951" s="624" t="s">
        <v>71</v>
      </c>
      <c r="P7951" s="397"/>
      <c r="Q7951" s="397"/>
      <c r="R7951" s="397"/>
      <c r="S7951" s="397"/>
      <c r="T7951" s="397"/>
      <c r="U7951" s="397"/>
      <c r="V7951" s="397"/>
      <c r="W7951" s="397"/>
      <c r="X7951" s="397"/>
      <c r="Y7951" s="397"/>
      <c r="Z7951" s="397"/>
      <c r="AD7951" s="388">
        <v>1.3716000000000002</v>
      </c>
      <c r="AE7951" s="388">
        <v>0.15849600000000003</v>
      </c>
      <c r="AF7951" s="388">
        <v>0.21739311360000005</v>
      </c>
      <c r="AG7951" s="388">
        <v>8.8391999999999998E-2</v>
      </c>
      <c r="AH7951" s="391"/>
      <c r="AI7951" s="397"/>
      <c r="AJ7951" s="397"/>
      <c r="AU7951" s="397"/>
      <c r="AV7951" s="397"/>
      <c r="AW7951" s="397"/>
      <c r="AX7951" s="397"/>
      <c r="BI7951" s="397"/>
      <c r="BJ7951" s="397"/>
      <c r="BK7951" s="397"/>
      <c r="BL7951" s="397"/>
      <c r="BM7951" s="397"/>
      <c r="BN7951" s="397"/>
      <c r="BO7951" s="397"/>
      <c r="BP7951" s="397"/>
      <c r="BQ7951" s="397"/>
      <c r="BR7951" s="397"/>
      <c r="BS7951" s="397"/>
      <c r="BT7951" s="397"/>
      <c r="BU7951" s="397"/>
      <c r="BV7951" s="397"/>
      <c r="BW7951" s="397"/>
      <c r="BX7951" s="397"/>
      <c r="BY7951" s="397"/>
      <c r="BZ7951" s="397"/>
      <c r="CA7951" s="392" t="s">
        <v>413</v>
      </c>
    </row>
    <row r="7952" spans="1:80" s="392" customFormat="1" ht="15" x14ac:dyDescent="0.25">
      <c r="A7952" s="385"/>
      <c r="D7952" s="700"/>
      <c r="E7952" s="397"/>
      <c r="H7952" s="401">
        <v>3</v>
      </c>
      <c r="I7952" s="401"/>
      <c r="J7952" s="401"/>
      <c r="K7952" s="401"/>
      <c r="L7952" s="675"/>
      <c r="M7952" s="672">
        <v>29424</v>
      </c>
      <c r="N7952" s="623">
        <v>4.2788325304618874E-2</v>
      </c>
      <c r="O7952" s="624">
        <v>1.7640000000000003E-4</v>
      </c>
      <c r="P7952" s="397"/>
      <c r="Q7952" s="397"/>
      <c r="R7952" s="397"/>
      <c r="S7952" s="397"/>
      <c r="T7952" s="397"/>
      <c r="U7952" s="397"/>
      <c r="V7952" s="397"/>
      <c r="W7952" s="397"/>
      <c r="X7952" s="397"/>
      <c r="Y7952" s="397"/>
      <c r="Z7952" s="397"/>
      <c r="AD7952" s="388">
        <v>1.2801600000000002</v>
      </c>
      <c r="AE7952" s="388">
        <v>0.17068800000000003</v>
      </c>
      <c r="AF7952" s="388">
        <v>0.21850795008000007</v>
      </c>
      <c r="AG7952" s="388">
        <v>0.14325599999999999</v>
      </c>
      <c r="AH7952" s="391"/>
      <c r="AI7952" s="397"/>
      <c r="AJ7952" s="397"/>
      <c r="AU7952" s="397"/>
      <c r="AV7952" s="397"/>
      <c r="AW7952" s="397"/>
      <c r="AX7952" s="397"/>
      <c r="BI7952" s="397"/>
      <c r="BJ7952" s="397"/>
      <c r="BK7952" s="397"/>
      <c r="BL7952" s="397"/>
      <c r="BM7952" s="397"/>
      <c r="BN7952" s="397"/>
      <c r="BO7952" s="397"/>
      <c r="BP7952" s="397"/>
      <c r="BQ7952" s="397"/>
      <c r="BR7952" s="397"/>
      <c r="BS7952" s="397"/>
      <c r="BT7952" s="397"/>
      <c r="BU7952" s="397"/>
      <c r="BV7952" s="397"/>
      <c r="BW7952" s="397"/>
      <c r="BX7952" s="397"/>
      <c r="BY7952" s="397"/>
      <c r="BZ7952" s="397"/>
      <c r="CA7952" s="392" t="s">
        <v>413</v>
      </c>
    </row>
    <row r="7953" spans="1:80" s="392" customFormat="1" ht="15" x14ac:dyDescent="0.25">
      <c r="A7953" s="385"/>
      <c r="D7953" s="700"/>
      <c r="E7953" s="397"/>
      <c r="H7953" s="401">
        <v>3</v>
      </c>
      <c r="I7953" s="401"/>
      <c r="J7953" s="401"/>
      <c r="K7953" s="401"/>
      <c r="L7953" s="675"/>
      <c r="M7953" s="672">
        <v>29440</v>
      </c>
      <c r="N7953" s="623">
        <v>1.2071408330971947E-2</v>
      </c>
      <c r="O7953" s="624" t="s">
        <v>71</v>
      </c>
      <c r="P7953" s="397"/>
      <c r="Q7953" s="397"/>
      <c r="R7953" s="397"/>
      <c r="S7953" s="397"/>
      <c r="T7953" s="397"/>
      <c r="U7953" s="397"/>
      <c r="V7953" s="397"/>
      <c r="W7953" s="397"/>
      <c r="X7953" s="397"/>
      <c r="Y7953" s="397"/>
      <c r="Z7953" s="397"/>
      <c r="AD7953" s="388">
        <v>1.1277600000000001</v>
      </c>
      <c r="AE7953" s="388">
        <v>0.13716</v>
      </c>
      <c r="AF7953" s="388">
        <v>0.15468356160000002</v>
      </c>
      <c r="AG7953" s="388">
        <v>4.8768000000000006E-2</v>
      </c>
      <c r="AH7953" s="391"/>
      <c r="AI7953" s="397"/>
      <c r="AJ7953" s="397"/>
      <c r="AU7953" s="397"/>
      <c r="AV7953" s="397"/>
      <c r="AW7953" s="397"/>
      <c r="AX7953" s="397"/>
      <c r="BI7953" s="397"/>
      <c r="BJ7953" s="397"/>
      <c r="BK7953" s="397"/>
      <c r="BL7953" s="397"/>
      <c r="BM7953" s="397"/>
      <c r="BN7953" s="397"/>
      <c r="BO7953" s="397"/>
      <c r="BP7953" s="397"/>
      <c r="BQ7953" s="397"/>
      <c r="BR7953" s="397"/>
      <c r="BS7953" s="397"/>
      <c r="BT7953" s="397"/>
      <c r="BU7953" s="397"/>
      <c r="BV7953" s="397"/>
      <c r="BW7953" s="397"/>
      <c r="BX7953" s="397"/>
      <c r="BY7953" s="397"/>
      <c r="BZ7953" s="397"/>
      <c r="CA7953" s="392" t="s">
        <v>413</v>
      </c>
    </row>
    <row r="7954" spans="1:80" s="392" customFormat="1" ht="15" x14ac:dyDescent="0.25">
      <c r="A7954" s="385"/>
      <c r="D7954" s="700"/>
      <c r="E7954" s="397"/>
      <c r="H7954" s="401">
        <v>3</v>
      </c>
      <c r="I7954" s="401"/>
      <c r="J7954" s="401"/>
      <c r="K7954" s="401"/>
      <c r="L7954" s="675"/>
      <c r="M7954" s="672">
        <v>29454</v>
      </c>
      <c r="N7954" s="623">
        <v>3.525077925758005E-2</v>
      </c>
      <c r="O7954" s="624" t="s">
        <v>71</v>
      </c>
      <c r="P7954" s="397"/>
      <c r="Q7954" s="397"/>
      <c r="R7954" s="397"/>
      <c r="S7954" s="397"/>
      <c r="T7954" s="397"/>
      <c r="U7954" s="397"/>
      <c r="V7954" s="397"/>
      <c r="W7954" s="397"/>
      <c r="X7954" s="397"/>
      <c r="Y7954" s="397"/>
      <c r="Z7954" s="397"/>
      <c r="AD7954" s="388">
        <v>1.3716000000000002</v>
      </c>
      <c r="AE7954" s="388">
        <v>0.14935200000000001</v>
      </c>
      <c r="AF7954" s="388">
        <v>0.20485120320000005</v>
      </c>
      <c r="AG7954" s="388">
        <v>0.11582400000000001</v>
      </c>
      <c r="AH7954" s="391"/>
      <c r="AI7954" s="397"/>
      <c r="AJ7954" s="397"/>
      <c r="AU7954" s="397"/>
      <c r="AV7954" s="397"/>
      <c r="AW7954" s="397"/>
      <c r="AX7954" s="397"/>
      <c r="BI7954" s="397"/>
      <c r="BJ7954" s="397"/>
      <c r="BK7954" s="397"/>
      <c r="BL7954" s="397"/>
      <c r="BM7954" s="397"/>
      <c r="BN7954" s="397"/>
      <c r="BO7954" s="397"/>
      <c r="BP7954" s="397"/>
      <c r="BQ7954" s="397"/>
      <c r="BR7954" s="397"/>
      <c r="BS7954" s="397"/>
      <c r="BT7954" s="397"/>
      <c r="BU7954" s="397"/>
      <c r="BV7954" s="397"/>
      <c r="BW7954" s="397"/>
      <c r="BX7954" s="397"/>
      <c r="BY7954" s="397"/>
      <c r="BZ7954" s="397"/>
      <c r="CA7954" s="392" t="s">
        <v>413</v>
      </c>
    </row>
    <row r="7955" spans="1:80" s="392" customFormat="1" ht="15" x14ac:dyDescent="0.25">
      <c r="A7955" s="385"/>
      <c r="D7955" s="700"/>
      <c r="E7955" s="397"/>
      <c r="H7955" s="401">
        <v>3</v>
      </c>
      <c r="I7955" s="401"/>
      <c r="J7955" s="401"/>
      <c r="K7955" s="401"/>
      <c r="L7955" s="675"/>
      <c r="M7955" s="672">
        <v>29468</v>
      </c>
      <c r="N7955" s="623">
        <v>1.2071408330971947E-2</v>
      </c>
      <c r="O7955" s="624" t="s">
        <v>71</v>
      </c>
      <c r="P7955" s="397"/>
      <c r="Q7955" s="397"/>
      <c r="R7955" s="397"/>
      <c r="S7955" s="397"/>
      <c r="T7955" s="397"/>
      <c r="U7955" s="397"/>
      <c r="V7955" s="397"/>
      <c r="W7955" s="397"/>
      <c r="X7955" s="397"/>
      <c r="Y7955" s="397"/>
      <c r="Z7955" s="397"/>
      <c r="AD7955" s="388">
        <v>1.3411200000000001</v>
      </c>
      <c r="AE7955" s="388">
        <v>0.13716</v>
      </c>
      <c r="AF7955" s="388">
        <v>0.18394801920000001</v>
      </c>
      <c r="AG7955" s="388">
        <v>4.8768000000000006E-2</v>
      </c>
      <c r="AH7955" s="391"/>
      <c r="AI7955" s="397"/>
      <c r="AJ7955" s="397"/>
      <c r="AU7955" s="397"/>
      <c r="AV7955" s="397"/>
      <c r="AW7955" s="397"/>
      <c r="AX7955" s="397"/>
      <c r="BI7955" s="397"/>
      <c r="BJ7955" s="397"/>
      <c r="BK7955" s="397"/>
      <c r="BL7955" s="397"/>
      <c r="BM7955" s="397"/>
      <c r="BN7955" s="397"/>
      <c r="BO7955" s="397"/>
      <c r="BP7955" s="397"/>
      <c r="BQ7955" s="397"/>
      <c r="BR7955" s="397"/>
      <c r="BS7955" s="397"/>
      <c r="BT7955" s="397"/>
      <c r="BU7955" s="397"/>
      <c r="BV7955" s="397"/>
      <c r="BW7955" s="397"/>
      <c r="BX7955" s="397"/>
      <c r="BY7955" s="397"/>
      <c r="BZ7955" s="397"/>
      <c r="CA7955" s="392" t="s">
        <v>413</v>
      </c>
    </row>
    <row r="7956" spans="1:80" s="392" customFormat="1" ht="15" x14ac:dyDescent="0.25">
      <c r="A7956" s="385"/>
      <c r="D7956" s="700"/>
      <c r="E7956" s="397"/>
      <c r="H7956" s="401">
        <v>3</v>
      </c>
      <c r="I7956" s="401"/>
      <c r="J7956" s="401"/>
      <c r="K7956" s="401"/>
      <c r="L7956" s="675"/>
      <c r="M7956" s="672">
        <v>29486</v>
      </c>
      <c r="N7956" s="623">
        <v>1.2071408330971947E-2</v>
      </c>
      <c r="O7956" s="624" t="s">
        <v>71</v>
      </c>
      <c r="P7956" s="397"/>
      <c r="Q7956" s="397"/>
      <c r="R7956" s="397"/>
      <c r="S7956" s="397"/>
      <c r="T7956" s="397"/>
      <c r="U7956" s="397"/>
      <c r="V7956" s="397"/>
      <c r="W7956" s="397"/>
      <c r="X7956" s="397"/>
      <c r="Y7956" s="397"/>
      <c r="Z7956" s="397"/>
      <c r="AD7956" s="388">
        <v>1.2496799999999999</v>
      </c>
      <c r="AE7956" s="388">
        <v>0.13716</v>
      </c>
      <c r="AF7956" s="388">
        <v>0.17140610879999998</v>
      </c>
      <c r="AG7956" s="388">
        <v>4.8768000000000006E-2</v>
      </c>
      <c r="AH7956" s="391"/>
      <c r="AI7956" s="397"/>
      <c r="AJ7956" s="397"/>
      <c r="AU7956" s="397"/>
      <c r="AV7956" s="397"/>
      <c r="AW7956" s="397"/>
      <c r="AX7956" s="397"/>
      <c r="BI7956" s="397"/>
      <c r="BJ7956" s="397"/>
      <c r="BK7956" s="397"/>
      <c r="BL7956" s="397"/>
      <c r="BM7956" s="397"/>
      <c r="BN7956" s="397"/>
      <c r="BO7956" s="397"/>
      <c r="BP7956" s="397"/>
      <c r="BQ7956" s="397"/>
      <c r="BR7956" s="397"/>
      <c r="BS7956" s="397"/>
      <c r="BT7956" s="397"/>
      <c r="BU7956" s="397"/>
      <c r="BV7956" s="397"/>
      <c r="BW7956" s="397"/>
      <c r="BX7956" s="397"/>
      <c r="BY7956" s="397"/>
      <c r="BZ7956" s="397"/>
      <c r="CA7956" s="392" t="s">
        <v>413</v>
      </c>
    </row>
    <row r="7957" spans="1:80" s="392" customFormat="1" ht="15" x14ac:dyDescent="0.25">
      <c r="A7957" s="385"/>
      <c r="D7957" s="700"/>
      <c r="E7957" s="397"/>
      <c r="H7957" s="401">
        <v>3</v>
      </c>
      <c r="I7957" s="401"/>
      <c r="J7957" s="401"/>
      <c r="K7957" s="401"/>
      <c r="L7957" s="675"/>
      <c r="M7957" s="672">
        <v>29501</v>
      </c>
      <c r="N7957" s="623">
        <v>1.2071408330971947E-2</v>
      </c>
      <c r="O7957" s="624" t="s">
        <v>71</v>
      </c>
      <c r="P7957" s="397"/>
      <c r="Q7957" s="397"/>
      <c r="R7957" s="397"/>
      <c r="S7957" s="397"/>
      <c r="T7957" s="397"/>
      <c r="U7957" s="397"/>
      <c r="V7957" s="397"/>
      <c r="W7957" s="397"/>
      <c r="X7957" s="397"/>
      <c r="Y7957" s="397"/>
      <c r="Z7957" s="397"/>
      <c r="AD7957" s="388">
        <v>1.2496799999999999</v>
      </c>
      <c r="AE7957" s="388">
        <v>0.13716</v>
      </c>
      <c r="AF7957" s="388">
        <v>0.17140610879999998</v>
      </c>
      <c r="AG7957" s="388">
        <v>4.8768000000000006E-2</v>
      </c>
      <c r="AH7957" s="391"/>
      <c r="AI7957" s="397"/>
      <c r="AJ7957" s="397"/>
      <c r="AU7957" s="397"/>
      <c r="AV7957" s="397"/>
      <c r="AW7957" s="397"/>
      <c r="AX7957" s="397"/>
      <c r="BI7957" s="397"/>
      <c r="BJ7957" s="397"/>
      <c r="BK7957" s="397"/>
      <c r="BL7957" s="397"/>
      <c r="BM7957" s="397"/>
      <c r="BN7957" s="397"/>
      <c r="BO7957" s="397"/>
      <c r="BP7957" s="397"/>
      <c r="BQ7957" s="397"/>
      <c r="BR7957" s="397"/>
      <c r="BS7957" s="397"/>
      <c r="BT7957" s="397"/>
      <c r="BU7957" s="397"/>
      <c r="BV7957" s="397"/>
      <c r="BW7957" s="397"/>
      <c r="BX7957" s="397"/>
      <c r="BY7957" s="397"/>
      <c r="BZ7957" s="397"/>
      <c r="CA7957" s="392" t="s">
        <v>413</v>
      </c>
    </row>
    <row r="7958" spans="1:80" s="189" customFormat="1" ht="15" x14ac:dyDescent="0.25">
      <c r="A7958" s="381" t="s">
        <v>510</v>
      </c>
      <c r="B7958" s="641"/>
      <c r="C7958" s="639"/>
      <c r="D7958" s="4">
        <f>VLOOKUP(E7958,'Quality Code'!$D$4:$E$24,2,TRUE)*VLOOKUP(MROUND(F7958,10),'Quality Code'!$D$28:$E$69,2,TRUE)*VLOOKUP(COUNTA(CB7958:CB7968),'Quality Code'!$D$73:$E$93,2,TRUE)</f>
        <v>7.4999999999999997E-2</v>
      </c>
      <c r="E7958" s="14">
        <v>0.3</v>
      </c>
      <c r="F7958" s="2">
        <v>7</v>
      </c>
      <c r="G7958" s="12"/>
      <c r="H7958" s="2" t="s">
        <v>105</v>
      </c>
      <c r="I7958" s="2"/>
      <c r="J7958" s="2"/>
      <c r="K7958" s="2"/>
      <c r="L7958" s="639"/>
      <c r="M7958" s="640">
        <v>1980</v>
      </c>
      <c r="N7958" s="578" t="s">
        <v>110</v>
      </c>
      <c r="O7958" s="578"/>
      <c r="P7958" s="26"/>
      <c r="Q7958" s="26"/>
      <c r="R7958" s="26"/>
      <c r="S7958" s="26"/>
      <c r="T7958" s="26"/>
      <c r="U7958" s="26"/>
      <c r="V7958" s="10"/>
      <c r="W7958" s="10"/>
      <c r="X7958" s="10"/>
      <c r="Y7958" s="10"/>
      <c r="Z7958" s="26"/>
      <c r="AA7958" s="26"/>
      <c r="AB7958" s="26"/>
      <c r="AC7958" s="3">
        <v>2.3E-2</v>
      </c>
      <c r="AD7958" s="406"/>
      <c r="AE7958" s="26"/>
      <c r="AF7958" s="26"/>
      <c r="AG7958" s="26"/>
      <c r="AH7958" s="26"/>
      <c r="AI7958" s="4"/>
      <c r="AJ7958" s="4"/>
      <c r="AK7958" s="26"/>
      <c r="AL7958" s="26"/>
      <c r="AM7958" s="26"/>
      <c r="AN7958" s="26"/>
      <c r="AO7958" s="26"/>
      <c r="AP7958" s="26"/>
      <c r="AQ7958" s="26"/>
      <c r="AR7958" s="26"/>
      <c r="AS7958" s="26"/>
      <c r="AT7958" s="26"/>
      <c r="AU7958" s="4"/>
      <c r="AV7958" s="4"/>
      <c r="AW7958" s="4"/>
      <c r="AX7958" s="4"/>
      <c r="AY7958" s="2"/>
      <c r="AZ7958" s="2"/>
      <c r="BA7958" s="12"/>
      <c r="BB7958" s="12"/>
      <c r="BC7958" s="12"/>
      <c r="BD7958" s="12"/>
      <c r="BE7958" s="12"/>
      <c r="BF7958" s="12"/>
      <c r="BG7958" s="12"/>
      <c r="BH7958" s="12"/>
      <c r="BI7958" s="4"/>
      <c r="BJ7958" s="12"/>
      <c r="BK7958" s="2"/>
      <c r="BL7958" s="2"/>
      <c r="BM7958" s="4"/>
      <c r="BN7958" s="12"/>
      <c r="BO7958" s="12"/>
      <c r="BP7958" s="12"/>
      <c r="BQ7958" s="4"/>
      <c r="BR7958" s="4"/>
      <c r="BS7958" s="4"/>
      <c r="BT7958" s="2"/>
      <c r="BU7958" s="9"/>
      <c r="BV7958" s="381"/>
      <c r="BW7958" s="382"/>
      <c r="BX7958" s="383"/>
      <c r="BY7958" s="383"/>
      <c r="BZ7958" s="383"/>
      <c r="CA7958" s="384" t="s">
        <v>413</v>
      </c>
      <c r="CB7958" s="411"/>
    </row>
    <row r="7959" spans="1:80" s="392" customFormat="1" ht="15" x14ac:dyDescent="0.25">
      <c r="A7959" s="385"/>
      <c r="D7959" s="700"/>
      <c r="E7959" s="397"/>
      <c r="H7959" s="401">
        <v>3</v>
      </c>
      <c r="I7959" s="401"/>
      <c r="J7959" s="401"/>
      <c r="K7959" s="401"/>
      <c r="L7959" s="675"/>
      <c r="M7959" s="672">
        <v>29352</v>
      </c>
      <c r="N7959" s="623">
        <v>8.9101741060069877</v>
      </c>
      <c r="O7959" s="624">
        <v>2.9313599999999999E-2</v>
      </c>
      <c r="P7959" s="397"/>
      <c r="Q7959" s="397"/>
      <c r="R7959" s="397"/>
      <c r="S7959" s="397"/>
      <c r="T7959" s="397"/>
      <c r="U7959" s="397"/>
      <c r="V7959" s="397"/>
      <c r="W7959" s="397"/>
      <c r="X7959" s="397"/>
      <c r="Y7959" s="397"/>
      <c r="Z7959" s="397"/>
      <c r="AD7959" s="388">
        <v>24.018239999999999</v>
      </c>
      <c r="AE7959" s="388"/>
      <c r="AF7959" s="388"/>
      <c r="AG7959" s="388"/>
      <c r="AH7959" s="391"/>
      <c r="AI7959" s="397"/>
      <c r="AJ7959" s="397"/>
      <c r="AU7959" s="397"/>
      <c r="AV7959" s="397"/>
      <c r="AW7959" s="397"/>
      <c r="AX7959" s="397"/>
      <c r="BI7959" s="397"/>
      <c r="BJ7959" s="397"/>
      <c r="BK7959" s="397"/>
      <c r="BL7959" s="397"/>
      <c r="BM7959" s="397"/>
      <c r="BN7959" s="397"/>
      <c r="BO7959" s="397"/>
      <c r="BP7959" s="397"/>
      <c r="BQ7959" s="397"/>
      <c r="BR7959" s="397"/>
      <c r="BS7959" s="397"/>
      <c r="BT7959" s="397"/>
      <c r="BU7959" s="397"/>
      <c r="BV7959" s="397"/>
      <c r="BW7959" s="397"/>
      <c r="BX7959" s="397"/>
      <c r="BY7959" s="397"/>
      <c r="BZ7959" s="397"/>
      <c r="CA7959" s="392" t="s">
        <v>413</v>
      </c>
    </row>
    <row r="7960" spans="1:80" s="392" customFormat="1" ht="15" x14ac:dyDescent="0.25">
      <c r="A7960" s="385"/>
      <c r="D7960" s="700"/>
      <c r="E7960" s="397"/>
      <c r="H7960" s="401">
        <v>3</v>
      </c>
      <c r="I7960" s="401"/>
      <c r="J7960" s="401"/>
      <c r="K7960" s="401"/>
      <c r="L7960" s="675"/>
      <c r="M7960" s="672">
        <v>29369</v>
      </c>
      <c r="N7960" s="623">
        <v>12.751487673561916</v>
      </c>
      <c r="O7960" s="624">
        <v>3.6379333333333333E-2</v>
      </c>
      <c r="P7960" s="397"/>
      <c r="Q7960" s="397"/>
      <c r="R7960" s="397"/>
      <c r="S7960" s="397"/>
      <c r="T7960" s="397"/>
      <c r="U7960" s="397"/>
      <c r="V7960" s="397"/>
      <c r="W7960" s="397"/>
      <c r="X7960" s="397"/>
      <c r="Y7960" s="397"/>
      <c r="Z7960" s="397"/>
      <c r="AD7960" s="388">
        <v>30.0228</v>
      </c>
      <c r="AE7960" s="388"/>
      <c r="AF7960" s="388"/>
      <c r="AG7960" s="388"/>
      <c r="AH7960" s="391"/>
      <c r="AI7960" s="397"/>
      <c r="AJ7960" s="397"/>
      <c r="AU7960" s="397"/>
      <c r="AV7960" s="397"/>
      <c r="AW7960" s="397"/>
      <c r="AX7960" s="397"/>
      <c r="BI7960" s="397"/>
      <c r="BJ7960" s="397"/>
      <c r="BK7960" s="397"/>
      <c r="BL7960" s="397"/>
      <c r="BM7960" s="397"/>
      <c r="BN7960" s="397"/>
      <c r="BO7960" s="397"/>
      <c r="BP7960" s="397"/>
      <c r="BQ7960" s="397"/>
      <c r="BR7960" s="397"/>
      <c r="BS7960" s="397"/>
      <c r="BT7960" s="397"/>
      <c r="BU7960" s="397"/>
      <c r="BV7960" s="397"/>
      <c r="BW7960" s="397"/>
      <c r="BX7960" s="397"/>
      <c r="BY7960" s="397"/>
      <c r="BZ7960" s="397"/>
      <c r="CA7960" s="392" t="s">
        <v>413</v>
      </c>
    </row>
    <row r="7961" spans="1:80" s="392" customFormat="1" ht="15" x14ac:dyDescent="0.25">
      <c r="A7961" s="385"/>
      <c r="D7961" s="700"/>
      <c r="E7961" s="397"/>
      <c r="H7961" s="401">
        <v>3</v>
      </c>
      <c r="I7961" s="401"/>
      <c r="J7961" s="401"/>
      <c r="K7961" s="401"/>
      <c r="L7961" s="675"/>
      <c r="M7961" s="672">
        <v>29374</v>
      </c>
      <c r="N7961" s="623">
        <v>12.184754888070275</v>
      </c>
      <c r="O7961" s="624">
        <v>4.1730133333333336E-2</v>
      </c>
      <c r="P7961" s="397"/>
      <c r="Q7961" s="397"/>
      <c r="R7961" s="397"/>
      <c r="S7961" s="397"/>
      <c r="T7961" s="397"/>
      <c r="U7961" s="397"/>
      <c r="V7961" s="397"/>
      <c r="W7961" s="397"/>
      <c r="X7961" s="397"/>
      <c r="Y7961" s="397"/>
      <c r="Z7961" s="397"/>
      <c r="AD7961" s="388">
        <v>30.236160000000002</v>
      </c>
      <c r="AE7961" s="388"/>
      <c r="AF7961" s="388"/>
      <c r="AG7961" s="388"/>
      <c r="AH7961" s="391"/>
      <c r="AI7961" s="397"/>
      <c r="AJ7961" s="397"/>
      <c r="AU7961" s="397"/>
      <c r="AV7961" s="397"/>
      <c r="AW7961" s="397"/>
      <c r="AX7961" s="397"/>
      <c r="BI7961" s="397"/>
      <c r="BJ7961" s="397"/>
      <c r="BK7961" s="397"/>
      <c r="BL7961" s="397"/>
      <c r="BM7961" s="397"/>
      <c r="BN7961" s="397"/>
      <c r="BO7961" s="397"/>
      <c r="BP7961" s="397"/>
      <c r="BQ7961" s="397"/>
      <c r="BR7961" s="397"/>
      <c r="BS7961" s="397"/>
      <c r="BT7961" s="397"/>
      <c r="BU7961" s="397"/>
      <c r="BV7961" s="397"/>
      <c r="BW7961" s="397"/>
      <c r="BX7961" s="397"/>
      <c r="BY7961" s="397"/>
      <c r="BZ7961" s="397"/>
      <c r="CA7961" s="392" t="s">
        <v>413</v>
      </c>
    </row>
    <row r="7962" spans="1:80" s="392" customFormat="1" ht="15" x14ac:dyDescent="0.25">
      <c r="A7962" s="385"/>
      <c r="D7962" s="700"/>
      <c r="E7962" s="397"/>
      <c r="H7962" s="401">
        <v>3</v>
      </c>
      <c r="I7962" s="401"/>
      <c r="J7962" s="401"/>
      <c r="K7962" s="401"/>
      <c r="L7962" s="675"/>
      <c r="M7962" s="672">
        <v>29381</v>
      </c>
      <c r="N7962" s="623">
        <v>18.843865117597055</v>
      </c>
      <c r="O7962" s="624">
        <v>4.1873733333333336E-2</v>
      </c>
      <c r="P7962" s="397"/>
      <c r="Q7962" s="397"/>
      <c r="R7962" s="397"/>
      <c r="S7962" s="397"/>
      <c r="T7962" s="397"/>
      <c r="U7962" s="397"/>
      <c r="V7962" s="397"/>
      <c r="W7962" s="397"/>
      <c r="X7962" s="397"/>
      <c r="Y7962" s="397"/>
      <c r="Z7962" s="397"/>
      <c r="AD7962" s="388">
        <v>31.028639999999999</v>
      </c>
      <c r="AE7962" s="388"/>
      <c r="AF7962" s="388"/>
      <c r="AG7962" s="388"/>
      <c r="AH7962" s="391"/>
      <c r="AI7962" s="397"/>
      <c r="AJ7962" s="397"/>
      <c r="AU7962" s="397"/>
      <c r="AV7962" s="397"/>
      <c r="AW7962" s="397"/>
      <c r="AX7962" s="397"/>
      <c r="BI7962" s="397"/>
      <c r="BJ7962" s="397"/>
      <c r="BK7962" s="397"/>
      <c r="BL7962" s="397"/>
      <c r="BM7962" s="397"/>
      <c r="BN7962" s="397"/>
      <c r="BO7962" s="397"/>
      <c r="BP7962" s="397"/>
      <c r="BQ7962" s="397"/>
      <c r="BR7962" s="397"/>
      <c r="BS7962" s="397"/>
      <c r="BT7962" s="397"/>
      <c r="BU7962" s="397"/>
      <c r="BV7962" s="397"/>
      <c r="BW7962" s="397"/>
      <c r="BX7962" s="397"/>
      <c r="BY7962" s="397"/>
      <c r="BZ7962" s="397"/>
      <c r="CA7962" s="392" t="s">
        <v>413</v>
      </c>
    </row>
    <row r="7963" spans="1:80" s="392" customFormat="1" ht="15" x14ac:dyDescent="0.25">
      <c r="A7963" s="385"/>
      <c r="D7963" s="700"/>
      <c r="E7963" s="397"/>
      <c r="H7963" s="401">
        <v>3</v>
      </c>
      <c r="I7963" s="401"/>
      <c r="J7963" s="401"/>
      <c r="K7963" s="401"/>
      <c r="L7963" s="675"/>
      <c r="M7963" s="672">
        <v>29389</v>
      </c>
      <c r="N7963" s="623">
        <v>14.735052422782658</v>
      </c>
      <c r="O7963" s="624">
        <v>0.14785266666666666</v>
      </c>
      <c r="P7963" s="397"/>
      <c r="Q7963" s="397"/>
      <c r="R7963" s="397"/>
      <c r="S7963" s="397"/>
      <c r="T7963" s="397"/>
      <c r="U7963" s="397"/>
      <c r="V7963" s="397"/>
      <c r="W7963" s="397"/>
      <c r="X7963" s="397"/>
      <c r="Y7963" s="397"/>
      <c r="Z7963" s="397"/>
      <c r="AD7963" s="388">
        <v>29.778960000000001</v>
      </c>
      <c r="AE7963" s="388"/>
      <c r="AF7963" s="388"/>
      <c r="AG7963" s="388"/>
      <c r="AH7963" s="391"/>
      <c r="AI7963" s="397"/>
      <c r="AJ7963" s="397"/>
      <c r="AU7963" s="397"/>
      <c r="AV7963" s="397"/>
      <c r="AW7963" s="397"/>
      <c r="AX7963" s="397"/>
      <c r="BI7963" s="397"/>
      <c r="BJ7963" s="397"/>
      <c r="BK7963" s="397"/>
      <c r="BL7963" s="397"/>
      <c r="BM7963" s="397"/>
      <c r="BN7963" s="397"/>
      <c r="BO7963" s="397"/>
      <c r="BP7963" s="397"/>
      <c r="BQ7963" s="397"/>
      <c r="BR7963" s="397"/>
      <c r="BS7963" s="397"/>
      <c r="BT7963" s="397"/>
      <c r="BU7963" s="397"/>
      <c r="BV7963" s="397"/>
      <c r="BW7963" s="397"/>
      <c r="BX7963" s="397"/>
      <c r="BY7963" s="397"/>
      <c r="BZ7963" s="397"/>
      <c r="CA7963" s="392" t="s">
        <v>413</v>
      </c>
    </row>
    <row r="7964" spans="1:80" s="392" customFormat="1" ht="15" x14ac:dyDescent="0.25">
      <c r="A7964" s="385"/>
      <c r="D7964" s="700"/>
      <c r="E7964" s="397"/>
      <c r="H7964" s="401">
        <v>3</v>
      </c>
      <c r="I7964" s="401"/>
      <c r="J7964" s="401"/>
      <c r="K7964" s="401"/>
      <c r="L7964" s="675"/>
      <c r="M7964" s="672">
        <v>29399</v>
      </c>
      <c r="N7964" s="623">
        <v>7.5092094077642395</v>
      </c>
      <c r="O7964" s="624">
        <v>2.3516755582750709E-2</v>
      </c>
      <c r="P7964" s="397"/>
      <c r="Q7964" s="397"/>
      <c r="R7964" s="397"/>
      <c r="S7964" s="397"/>
      <c r="T7964" s="397"/>
      <c r="U7964" s="397"/>
      <c r="V7964" s="397"/>
      <c r="W7964" s="397"/>
      <c r="X7964" s="397"/>
      <c r="Y7964" s="397"/>
      <c r="Z7964" s="397"/>
      <c r="AD7964" s="388">
        <v>22.353140649550152</v>
      </c>
      <c r="AE7964" s="388"/>
      <c r="AF7964" s="388"/>
      <c r="AG7964" s="388"/>
      <c r="AH7964" s="391"/>
      <c r="AI7964" s="397"/>
      <c r="AJ7964" s="397"/>
      <c r="AU7964" s="397"/>
      <c r="AV7964" s="397"/>
      <c r="AW7964" s="397"/>
      <c r="AX7964" s="397"/>
      <c r="BI7964" s="397"/>
      <c r="BJ7964" s="397"/>
      <c r="BK7964" s="397"/>
      <c r="BL7964" s="397"/>
      <c r="BM7964" s="397"/>
      <c r="BN7964" s="397"/>
      <c r="BO7964" s="397"/>
      <c r="BP7964" s="397"/>
      <c r="BQ7964" s="397"/>
      <c r="BR7964" s="397"/>
      <c r="BS7964" s="397"/>
      <c r="BT7964" s="397"/>
      <c r="BU7964" s="397"/>
      <c r="BV7964" s="397"/>
      <c r="BW7964" s="397"/>
      <c r="BX7964" s="397"/>
      <c r="BY7964" s="397"/>
      <c r="BZ7964" s="397"/>
      <c r="CA7964" s="392" t="s">
        <v>413</v>
      </c>
    </row>
    <row r="7965" spans="1:80" s="392" customFormat="1" ht="15" x14ac:dyDescent="0.25">
      <c r="A7965" s="385"/>
      <c r="D7965" s="700"/>
      <c r="E7965" s="397"/>
      <c r="H7965" s="401">
        <v>3</v>
      </c>
      <c r="I7965" s="401"/>
      <c r="J7965" s="401"/>
      <c r="K7965" s="401"/>
      <c r="L7965" s="675"/>
      <c r="M7965" s="672">
        <v>29411</v>
      </c>
      <c r="N7965" s="623">
        <v>1.586851799376594</v>
      </c>
      <c r="O7965" s="624">
        <v>4.3419999999999995E-3</v>
      </c>
      <c r="P7965" s="397"/>
      <c r="Q7965" s="397"/>
      <c r="R7965" s="397"/>
      <c r="S7965" s="397"/>
      <c r="T7965" s="397"/>
      <c r="U7965" s="397"/>
      <c r="V7965" s="397"/>
      <c r="W7965" s="397"/>
      <c r="X7965" s="397"/>
      <c r="Y7965" s="397"/>
      <c r="Z7965" s="397"/>
      <c r="AD7965" s="388">
        <v>10.18032</v>
      </c>
      <c r="AE7965" s="388"/>
      <c r="AF7965" s="388"/>
      <c r="AG7965" s="388"/>
      <c r="AH7965" s="391"/>
      <c r="AI7965" s="397"/>
      <c r="AJ7965" s="397"/>
      <c r="AU7965" s="397"/>
      <c r="AV7965" s="397"/>
      <c r="AW7965" s="397"/>
      <c r="AX7965" s="397"/>
      <c r="BI7965" s="397"/>
      <c r="BJ7965" s="397"/>
      <c r="BK7965" s="397"/>
      <c r="BL7965" s="397"/>
      <c r="BM7965" s="397"/>
      <c r="BN7965" s="397"/>
      <c r="BO7965" s="397"/>
      <c r="BP7965" s="397"/>
      <c r="BQ7965" s="397"/>
      <c r="BR7965" s="397"/>
      <c r="BS7965" s="397"/>
      <c r="BT7965" s="397"/>
      <c r="BU7965" s="397"/>
      <c r="BV7965" s="397"/>
      <c r="BW7965" s="397"/>
      <c r="BX7965" s="397"/>
      <c r="BY7965" s="397"/>
      <c r="BZ7965" s="397"/>
      <c r="CA7965" s="392" t="s">
        <v>413</v>
      </c>
    </row>
    <row r="7966" spans="1:80" s="189" customFormat="1" ht="15" x14ac:dyDescent="0.25">
      <c r="A7966" s="381" t="s">
        <v>446</v>
      </c>
      <c r="B7966" s="641"/>
      <c r="C7966" s="639"/>
      <c r="D7966" s="4">
        <f>VLOOKUP(E7966,'Quality Code'!$D$4:$E$24,2,TRUE)*VLOOKUP(MROUND(F7966,10),'Quality Code'!$D$28:$E$69,2,TRUE)*VLOOKUP(COUNTA(CB7966:CB7976),'Quality Code'!$D$73:$E$93,2,TRUE)</f>
        <v>0.2</v>
      </c>
      <c r="E7966" s="14">
        <v>0.4</v>
      </c>
      <c r="F7966" s="2">
        <v>16</v>
      </c>
      <c r="G7966" s="12"/>
      <c r="H7966" s="2" t="s">
        <v>105</v>
      </c>
      <c r="I7966" s="2"/>
      <c r="J7966" s="2"/>
      <c r="K7966" s="2"/>
      <c r="L7966" s="639"/>
      <c r="M7966" s="640">
        <v>1984</v>
      </c>
      <c r="N7966" s="578" t="s">
        <v>110</v>
      </c>
      <c r="O7966" s="578"/>
      <c r="P7966" s="26"/>
      <c r="Q7966" s="26"/>
      <c r="R7966" s="26"/>
      <c r="S7966" s="26"/>
      <c r="T7966" s="26"/>
      <c r="U7966" s="26"/>
      <c r="V7966" s="10"/>
      <c r="W7966" s="10"/>
      <c r="X7966" s="10"/>
      <c r="Y7966" s="10"/>
      <c r="Z7966" s="26"/>
      <c r="AA7966" s="26"/>
      <c r="AB7966" s="26"/>
      <c r="AC7966" s="3"/>
      <c r="AD7966" s="406"/>
      <c r="AE7966" s="26"/>
      <c r="AF7966" s="26"/>
      <c r="AG7966" s="26"/>
      <c r="AH7966" s="26"/>
      <c r="AI7966" s="4"/>
      <c r="AJ7966" s="4"/>
      <c r="AK7966" s="26"/>
      <c r="AL7966" s="26"/>
      <c r="AM7966" s="26"/>
      <c r="AN7966" s="26"/>
      <c r="AO7966" s="26"/>
      <c r="AP7966" s="26"/>
      <c r="AQ7966" s="26"/>
      <c r="AR7966" s="26"/>
      <c r="AS7966" s="26"/>
      <c r="AT7966" s="26"/>
      <c r="AU7966" s="4"/>
      <c r="AV7966" s="4"/>
      <c r="AW7966" s="4"/>
      <c r="AX7966" s="4"/>
      <c r="AY7966" s="2"/>
      <c r="AZ7966" s="2"/>
      <c r="BA7966" s="12"/>
      <c r="BB7966" s="12"/>
      <c r="BC7966" s="12"/>
      <c r="BD7966" s="12"/>
      <c r="BE7966" s="12"/>
      <c r="BF7966" s="12"/>
      <c r="BG7966" s="12"/>
      <c r="BH7966" s="12"/>
      <c r="BI7966" s="4"/>
      <c r="BJ7966" s="12"/>
      <c r="BK7966" s="2"/>
      <c r="BL7966" s="2"/>
      <c r="BM7966" s="4"/>
      <c r="BN7966" s="12"/>
      <c r="BO7966" s="12"/>
      <c r="BP7966" s="12"/>
      <c r="BQ7966" s="4"/>
      <c r="BR7966" s="4"/>
      <c r="BS7966" s="4"/>
      <c r="BT7966" s="2"/>
      <c r="BU7966" s="9"/>
      <c r="BV7966" s="381"/>
      <c r="BW7966" s="382"/>
      <c r="BX7966" s="383"/>
      <c r="BY7966" s="383" t="s">
        <v>418</v>
      </c>
      <c r="BZ7966" s="383"/>
      <c r="CA7966" s="384" t="s">
        <v>413</v>
      </c>
      <c r="CB7966" s="411"/>
    </row>
    <row r="7967" spans="1:80" s="392" customFormat="1" ht="15" x14ac:dyDescent="0.25">
      <c r="A7967" s="385"/>
      <c r="D7967" s="700"/>
      <c r="E7967" s="397"/>
      <c r="H7967" s="401">
        <v>3</v>
      </c>
      <c r="I7967" s="401"/>
      <c r="J7967" s="401"/>
      <c r="K7967" s="401"/>
      <c r="L7967" s="675"/>
      <c r="M7967" s="672">
        <v>30818</v>
      </c>
      <c r="N7967" s="623">
        <v>5.6673278549164069E-2</v>
      </c>
      <c r="O7967" s="624">
        <v>2.844780335333333E-3</v>
      </c>
      <c r="P7967" s="397"/>
      <c r="Q7967" s="397"/>
      <c r="R7967" s="397"/>
      <c r="S7967" s="397"/>
      <c r="T7967" s="397"/>
      <c r="U7967" s="397"/>
      <c r="V7967" s="397"/>
      <c r="W7967" s="397"/>
      <c r="X7967" s="397"/>
      <c r="Y7967" s="397"/>
      <c r="Z7967" s="397"/>
      <c r="AC7967" s="115">
        <v>5.0000000000000001E-3</v>
      </c>
      <c r="AD7967" s="388">
        <v>1.0820399999999999</v>
      </c>
      <c r="AE7967" s="388">
        <v>9.7536000000000012E-2</v>
      </c>
      <c r="AF7967" s="388">
        <v>0.10553785344</v>
      </c>
      <c r="AG7967" s="388">
        <v>0.54559200000000008</v>
      </c>
      <c r="AH7967" s="391"/>
      <c r="AI7967" s="397"/>
      <c r="AJ7967" s="397"/>
      <c r="AU7967" s="397"/>
      <c r="AV7967" s="397"/>
      <c r="AW7967" s="397"/>
      <c r="AX7967" s="397"/>
      <c r="BI7967" s="397"/>
      <c r="BJ7967" s="397"/>
      <c r="BK7967" s="397"/>
      <c r="BL7967" s="397"/>
      <c r="BM7967" s="397"/>
      <c r="BN7967" s="397"/>
      <c r="BO7967" s="397"/>
      <c r="BP7967" s="397"/>
      <c r="BQ7967" s="397"/>
      <c r="BR7967" s="397"/>
      <c r="BS7967" s="397"/>
      <c r="BT7967" s="397"/>
      <c r="BU7967" s="397"/>
      <c r="BV7967" s="397"/>
      <c r="BW7967" s="397"/>
      <c r="BX7967" s="397"/>
      <c r="BY7967" s="397"/>
      <c r="BZ7967" s="397"/>
      <c r="CA7967" s="392" t="s">
        <v>413</v>
      </c>
    </row>
    <row r="7968" spans="1:80" s="392" customFormat="1" ht="15" x14ac:dyDescent="0.25">
      <c r="A7968" s="385"/>
      <c r="D7968" s="700"/>
      <c r="E7968" s="397"/>
      <c r="H7968" s="401">
        <v>3</v>
      </c>
      <c r="I7968" s="401"/>
      <c r="J7968" s="401"/>
      <c r="K7968" s="401"/>
      <c r="L7968" s="675"/>
      <c r="M7968" s="672">
        <v>30826</v>
      </c>
      <c r="N7968" s="623">
        <v>6.8007934258996885E-2</v>
      </c>
      <c r="O7968" s="624">
        <v>9.7975958400000002E-4</v>
      </c>
      <c r="P7968" s="397"/>
      <c r="Q7968" s="397"/>
      <c r="R7968" s="397"/>
      <c r="S7968" s="397"/>
      <c r="T7968" s="397"/>
      <c r="U7968" s="397"/>
      <c r="V7968" s="397"/>
      <c r="W7968" s="397"/>
      <c r="X7968" s="397"/>
      <c r="Y7968" s="397"/>
      <c r="Z7968" s="397"/>
      <c r="AC7968" s="115">
        <v>5.0000000000000001E-3</v>
      </c>
      <c r="AD7968" s="388">
        <v>1.09728</v>
      </c>
      <c r="AE7968" s="388">
        <v>9.4488000000000003E-2</v>
      </c>
      <c r="AF7968" s="388">
        <v>0.10367979264</v>
      </c>
      <c r="AG7968" s="388">
        <v>0.66446400000000005</v>
      </c>
      <c r="AH7968" s="391"/>
      <c r="AI7968" s="397"/>
      <c r="AJ7968" s="397"/>
      <c r="AU7968" s="397"/>
      <c r="AV7968" s="397"/>
      <c r="AW7968" s="397"/>
      <c r="AX7968" s="397"/>
      <c r="BI7968" s="397"/>
      <c r="BJ7968" s="397"/>
      <c r="BK7968" s="397"/>
      <c r="BL7968" s="397"/>
      <c r="BM7968" s="397"/>
      <c r="BN7968" s="397"/>
      <c r="BO7968" s="397"/>
      <c r="BP7968" s="397"/>
      <c r="BQ7968" s="397"/>
      <c r="BR7968" s="397"/>
      <c r="BS7968" s="397"/>
      <c r="BT7968" s="397"/>
      <c r="BU7968" s="397"/>
      <c r="BV7968" s="397"/>
      <c r="BW7968" s="397"/>
      <c r="BX7968" s="397"/>
      <c r="BY7968" s="397"/>
      <c r="BZ7968" s="397"/>
      <c r="CA7968" s="392" t="s">
        <v>413</v>
      </c>
    </row>
    <row r="7969" spans="1:80" s="392" customFormat="1" ht="15" x14ac:dyDescent="0.25">
      <c r="A7969" s="385"/>
      <c r="D7969" s="700"/>
      <c r="E7969" s="397"/>
      <c r="H7969" s="401">
        <v>3</v>
      </c>
      <c r="I7969" s="401"/>
      <c r="J7969" s="401"/>
      <c r="K7969" s="401"/>
      <c r="L7969" s="675"/>
      <c r="M7969" s="672">
        <v>30831</v>
      </c>
      <c r="N7969" s="623">
        <v>5.3839614621705861E-2</v>
      </c>
      <c r="O7969" s="624">
        <v>6.7131675199999996E-4</v>
      </c>
      <c r="P7969" s="397"/>
      <c r="Q7969" s="397"/>
      <c r="R7969" s="397"/>
      <c r="S7969" s="397"/>
      <c r="T7969" s="397"/>
      <c r="U7969" s="397"/>
      <c r="V7969" s="397"/>
      <c r="W7969" s="397"/>
      <c r="X7969" s="397"/>
      <c r="Y7969" s="397"/>
      <c r="Z7969" s="397"/>
      <c r="AC7969" s="115">
        <v>5.0000000000000001E-3</v>
      </c>
      <c r="AD7969" s="388">
        <v>1.1277600000000001</v>
      </c>
      <c r="AE7969" s="388">
        <v>0.112776</v>
      </c>
      <c r="AF7969" s="388">
        <v>0.12718426176</v>
      </c>
      <c r="AG7969" s="388">
        <v>0.420624</v>
      </c>
      <c r="AH7969" s="391"/>
      <c r="AI7969" s="397"/>
      <c r="AJ7969" s="397"/>
      <c r="AU7969" s="397"/>
      <c r="AV7969" s="397"/>
      <c r="AW7969" s="397"/>
      <c r="AX7969" s="397"/>
      <c r="BI7969" s="397"/>
      <c r="BJ7969" s="397"/>
      <c r="BK7969" s="397"/>
      <c r="BL7969" s="397"/>
      <c r="BM7969" s="397"/>
      <c r="BN7969" s="397"/>
      <c r="BO7969" s="397"/>
      <c r="BP7969" s="397"/>
      <c r="BQ7969" s="397"/>
      <c r="BR7969" s="397"/>
      <c r="BS7969" s="397"/>
      <c r="BT7969" s="397"/>
      <c r="BU7969" s="397"/>
      <c r="BV7969" s="397"/>
      <c r="BW7969" s="397"/>
      <c r="BX7969" s="397"/>
      <c r="BY7969" s="397"/>
      <c r="BZ7969" s="397"/>
      <c r="CA7969" s="392" t="s">
        <v>413</v>
      </c>
    </row>
    <row r="7970" spans="1:80" s="392" customFormat="1" ht="15" x14ac:dyDescent="0.25">
      <c r="A7970" s="385"/>
      <c r="D7970" s="700"/>
      <c r="E7970" s="397"/>
      <c r="H7970" s="401">
        <v>3</v>
      </c>
      <c r="I7970" s="401"/>
      <c r="J7970" s="401"/>
      <c r="K7970" s="401"/>
      <c r="L7970" s="675"/>
      <c r="M7970" s="672">
        <v>30839</v>
      </c>
      <c r="N7970" s="623">
        <v>4.817228676678946E-2</v>
      </c>
      <c r="O7970" s="624">
        <v>4.3544870400000001E-4</v>
      </c>
      <c r="P7970" s="397"/>
      <c r="Q7970" s="397"/>
      <c r="R7970" s="397"/>
      <c r="S7970" s="397"/>
      <c r="T7970" s="397"/>
      <c r="U7970" s="397"/>
      <c r="V7970" s="397"/>
      <c r="W7970" s="397"/>
      <c r="X7970" s="397"/>
      <c r="Y7970" s="397"/>
      <c r="Z7970" s="397"/>
      <c r="AC7970" s="115">
        <v>5.0000000000000001E-3</v>
      </c>
      <c r="AD7970" s="388">
        <v>1.09728</v>
      </c>
      <c r="AE7970" s="388">
        <v>0.124968</v>
      </c>
      <c r="AF7970" s="388">
        <v>0.13712488704</v>
      </c>
      <c r="AG7970" s="388">
        <v>0.35052</v>
      </c>
      <c r="AH7970" s="391"/>
      <c r="AI7970" s="397"/>
      <c r="AJ7970" s="397"/>
      <c r="AU7970" s="397"/>
      <c r="AV7970" s="397"/>
      <c r="AW7970" s="397"/>
      <c r="AX7970" s="397"/>
      <c r="BI7970" s="397"/>
      <c r="BJ7970" s="397"/>
      <c r="BK7970" s="397"/>
      <c r="BL7970" s="397"/>
      <c r="BM7970" s="397"/>
      <c r="BN7970" s="397"/>
      <c r="BO7970" s="397"/>
      <c r="BP7970" s="397"/>
      <c r="BQ7970" s="397"/>
      <c r="BR7970" s="397"/>
      <c r="BS7970" s="397"/>
      <c r="BT7970" s="397"/>
      <c r="BU7970" s="397"/>
      <c r="BV7970" s="397"/>
      <c r="BW7970" s="397"/>
      <c r="BX7970" s="397"/>
      <c r="BY7970" s="397"/>
      <c r="BZ7970" s="397"/>
      <c r="CA7970" s="392" t="s">
        <v>413</v>
      </c>
    </row>
    <row r="7971" spans="1:80" s="392" customFormat="1" ht="15" x14ac:dyDescent="0.25">
      <c r="A7971" s="385"/>
      <c r="D7971" s="700"/>
      <c r="E7971" s="397"/>
      <c r="H7971" s="401">
        <v>3</v>
      </c>
      <c r="I7971" s="401"/>
      <c r="J7971" s="401"/>
      <c r="K7971" s="401"/>
      <c r="L7971" s="675"/>
      <c r="M7971" s="672">
        <v>30845</v>
      </c>
      <c r="N7971" s="623">
        <v>4.2504958911873052E-2</v>
      </c>
      <c r="O7971" s="624">
        <v>1.0054631533333333E-3</v>
      </c>
      <c r="P7971" s="397"/>
      <c r="Q7971" s="397"/>
      <c r="R7971" s="397"/>
      <c r="S7971" s="397"/>
      <c r="T7971" s="397"/>
      <c r="U7971" s="397"/>
      <c r="V7971" s="397"/>
      <c r="W7971" s="397"/>
      <c r="X7971" s="397"/>
      <c r="Y7971" s="397"/>
      <c r="Z7971" s="397"/>
      <c r="AC7971" s="115">
        <v>5.0000000000000001E-3</v>
      </c>
      <c r="AD7971" s="388">
        <v>1.0668</v>
      </c>
      <c r="AE7971" s="388">
        <v>8.5344000000000017E-2</v>
      </c>
      <c r="AF7971" s="388">
        <v>9.1044979200000015E-2</v>
      </c>
      <c r="AG7971" s="388">
        <v>0.46634400000000004</v>
      </c>
      <c r="AH7971" s="391"/>
      <c r="AI7971" s="397"/>
      <c r="AJ7971" s="397"/>
      <c r="AU7971" s="397"/>
      <c r="AV7971" s="397"/>
      <c r="AW7971" s="397"/>
      <c r="AX7971" s="397"/>
      <c r="BI7971" s="397"/>
      <c r="BJ7971" s="397"/>
      <c r="BK7971" s="397"/>
      <c r="BL7971" s="397"/>
      <c r="BM7971" s="397"/>
      <c r="BN7971" s="397"/>
      <c r="BO7971" s="397"/>
      <c r="BP7971" s="397"/>
      <c r="BQ7971" s="397"/>
      <c r="BR7971" s="397"/>
      <c r="BS7971" s="397"/>
      <c r="BT7971" s="397"/>
      <c r="BU7971" s="397"/>
      <c r="BV7971" s="397"/>
      <c r="BW7971" s="397"/>
      <c r="BX7971" s="397"/>
      <c r="BY7971" s="397"/>
      <c r="BZ7971" s="397"/>
      <c r="CA7971" s="392" t="s">
        <v>413</v>
      </c>
    </row>
    <row r="7972" spans="1:80" s="392" customFormat="1" ht="15" x14ac:dyDescent="0.25">
      <c r="A7972" s="385"/>
      <c r="D7972" s="700"/>
      <c r="E7972" s="397"/>
      <c r="H7972" s="401">
        <v>3</v>
      </c>
      <c r="I7972" s="401"/>
      <c r="J7972" s="401"/>
      <c r="K7972" s="401"/>
      <c r="L7972" s="675"/>
      <c r="M7972" s="672">
        <v>30847</v>
      </c>
      <c r="N7972" s="623">
        <v>3.9671294984414844E-2</v>
      </c>
      <c r="O7972" s="624">
        <v>1.143052848E-3</v>
      </c>
      <c r="P7972" s="397"/>
      <c r="Q7972" s="397"/>
      <c r="R7972" s="397"/>
      <c r="S7972" s="397"/>
      <c r="T7972" s="397"/>
      <c r="U7972" s="397"/>
      <c r="V7972" s="397"/>
      <c r="W7972" s="397"/>
      <c r="X7972" s="397"/>
      <c r="Y7972" s="397"/>
      <c r="Z7972" s="397"/>
      <c r="AC7972" s="115">
        <v>5.0000000000000001E-3</v>
      </c>
      <c r="AD7972" s="388">
        <v>1.09728</v>
      </c>
      <c r="AE7972" s="388">
        <v>0.10668</v>
      </c>
      <c r="AF7972" s="388">
        <v>0.11705783040000001</v>
      </c>
      <c r="AG7972" s="388">
        <v>0.33528000000000002</v>
      </c>
      <c r="AH7972" s="391"/>
      <c r="AI7972" s="397"/>
      <c r="AJ7972" s="397"/>
      <c r="AU7972" s="397"/>
      <c r="AV7972" s="397"/>
      <c r="AW7972" s="397"/>
      <c r="AX7972" s="397"/>
      <c r="BI7972" s="397"/>
      <c r="BJ7972" s="397"/>
      <c r="BK7972" s="397"/>
      <c r="BL7972" s="397"/>
      <c r="BM7972" s="397"/>
      <c r="BN7972" s="397"/>
      <c r="BO7972" s="397"/>
      <c r="BP7972" s="397"/>
      <c r="BQ7972" s="397"/>
      <c r="BR7972" s="397"/>
      <c r="BS7972" s="397"/>
      <c r="BT7972" s="397"/>
      <c r="BU7972" s="397"/>
      <c r="BV7972" s="397"/>
      <c r="BW7972" s="397"/>
      <c r="BX7972" s="397"/>
      <c r="BY7972" s="397"/>
      <c r="BZ7972" s="397"/>
      <c r="CA7972" s="392" t="s">
        <v>413</v>
      </c>
    </row>
    <row r="7973" spans="1:80" s="392" customFormat="1" ht="15" x14ac:dyDescent="0.25">
      <c r="A7973" s="385"/>
      <c r="D7973" s="700"/>
      <c r="E7973" s="397"/>
      <c r="H7973" s="401">
        <v>3</v>
      </c>
      <c r="I7973" s="401"/>
      <c r="J7973" s="401"/>
      <c r="K7973" s="401"/>
      <c r="L7973" s="675"/>
      <c r="M7973" s="672">
        <v>30852</v>
      </c>
      <c r="N7973" s="623">
        <v>3.683763105695665E-2</v>
      </c>
      <c r="O7973" s="624">
        <v>7.9378670000000001E-4</v>
      </c>
      <c r="P7973" s="397"/>
      <c r="Q7973" s="397"/>
      <c r="R7973" s="397"/>
      <c r="S7973" s="397"/>
      <c r="T7973" s="397"/>
      <c r="U7973" s="397"/>
      <c r="V7973" s="397"/>
      <c r="W7973" s="397"/>
      <c r="X7973" s="397"/>
      <c r="Y7973" s="397"/>
      <c r="Z7973" s="397"/>
      <c r="AC7973" s="115">
        <v>5.0000000000000001E-3</v>
      </c>
      <c r="AD7973" s="388">
        <v>1.0668</v>
      </c>
      <c r="AE7973" s="388">
        <v>0.10363200000000002</v>
      </c>
      <c r="AF7973" s="388">
        <v>0.11055461760000002</v>
      </c>
      <c r="AG7973" s="388">
        <v>0.34137600000000007</v>
      </c>
      <c r="AH7973" s="391"/>
      <c r="AI7973" s="397"/>
      <c r="AJ7973" s="397"/>
      <c r="AU7973" s="397"/>
      <c r="AV7973" s="397"/>
      <c r="AW7973" s="397"/>
      <c r="AX7973" s="397"/>
      <c r="BI7973" s="397"/>
      <c r="BJ7973" s="397"/>
      <c r="BK7973" s="397"/>
      <c r="BL7973" s="397"/>
      <c r="BM7973" s="397"/>
      <c r="BN7973" s="397"/>
      <c r="BO7973" s="397"/>
      <c r="BP7973" s="397"/>
      <c r="BQ7973" s="397"/>
      <c r="BR7973" s="397"/>
      <c r="BS7973" s="397"/>
      <c r="BT7973" s="397"/>
      <c r="BU7973" s="397"/>
      <c r="BV7973" s="397"/>
      <c r="BW7973" s="397"/>
      <c r="BX7973" s="397"/>
      <c r="BY7973" s="397"/>
      <c r="BZ7973" s="397"/>
      <c r="CA7973" s="392" t="s">
        <v>413</v>
      </c>
    </row>
    <row r="7974" spans="1:80" s="392" customFormat="1" ht="15" x14ac:dyDescent="0.25">
      <c r="A7974" s="385"/>
      <c r="D7974" s="700"/>
      <c r="E7974" s="397"/>
      <c r="H7974" s="401">
        <v>3</v>
      </c>
      <c r="I7974" s="401"/>
      <c r="J7974" s="401"/>
      <c r="K7974" s="401"/>
      <c r="L7974" s="675"/>
      <c r="M7974" s="672">
        <v>30855</v>
      </c>
      <c r="N7974" s="623">
        <v>3.683763105695665E-2</v>
      </c>
      <c r="O7974" s="624">
        <v>5.4884680400000012E-4</v>
      </c>
      <c r="P7974" s="397"/>
      <c r="Q7974" s="397"/>
      <c r="R7974" s="397"/>
      <c r="S7974" s="397"/>
      <c r="T7974" s="397"/>
      <c r="U7974" s="397"/>
      <c r="V7974" s="397"/>
      <c r="W7974" s="397"/>
      <c r="X7974" s="397"/>
      <c r="Y7974" s="397"/>
      <c r="Z7974" s="397"/>
      <c r="AC7974" s="115">
        <v>5.0000000000000001E-3</v>
      </c>
      <c r="AD7974" s="388">
        <v>1.0058400000000001</v>
      </c>
      <c r="AE7974" s="388">
        <v>0.10058400000000001</v>
      </c>
      <c r="AF7974" s="388">
        <v>0.10117141056000001</v>
      </c>
      <c r="AG7974" s="388">
        <v>0.35966399999999998</v>
      </c>
      <c r="AH7974" s="391"/>
      <c r="AI7974" s="397"/>
      <c r="AJ7974" s="397"/>
      <c r="AU7974" s="397"/>
      <c r="AV7974" s="397"/>
      <c r="AW7974" s="397"/>
      <c r="AX7974" s="397"/>
      <c r="BI7974" s="397"/>
      <c r="BJ7974" s="397"/>
      <c r="BK7974" s="397"/>
      <c r="BL7974" s="397"/>
      <c r="BM7974" s="397"/>
      <c r="BN7974" s="397"/>
      <c r="BO7974" s="397"/>
      <c r="BP7974" s="397"/>
      <c r="BQ7974" s="397"/>
      <c r="BR7974" s="397"/>
      <c r="BS7974" s="397"/>
      <c r="BT7974" s="397"/>
      <c r="BU7974" s="397"/>
      <c r="BV7974" s="397"/>
      <c r="BW7974" s="397"/>
      <c r="BX7974" s="397"/>
      <c r="BY7974" s="397"/>
      <c r="BZ7974" s="397"/>
      <c r="CA7974" s="392" t="s">
        <v>413</v>
      </c>
    </row>
    <row r="7975" spans="1:80" s="392" customFormat="1" ht="15" x14ac:dyDescent="0.25">
      <c r="A7975" s="385"/>
      <c r="D7975" s="700"/>
      <c r="E7975" s="397"/>
      <c r="H7975" s="401">
        <v>3</v>
      </c>
      <c r="I7975" s="401"/>
      <c r="J7975" s="401"/>
      <c r="K7975" s="401"/>
      <c r="L7975" s="675"/>
      <c r="M7975" s="672">
        <v>30859</v>
      </c>
      <c r="N7975" s="623">
        <v>3.1170303202040242E-2</v>
      </c>
      <c r="O7975" s="624">
        <v>8.7089740800000003E-4</v>
      </c>
      <c r="P7975" s="397"/>
      <c r="Q7975" s="397"/>
      <c r="R7975" s="397"/>
      <c r="S7975" s="397"/>
      <c r="T7975" s="397"/>
      <c r="U7975" s="397"/>
      <c r="V7975" s="397"/>
      <c r="W7975" s="397"/>
      <c r="X7975" s="397"/>
      <c r="Y7975" s="397"/>
      <c r="Z7975" s="397"/>
      <c r="AC7975" s="115">
        <v>5.0000000000000001E-3</v>
      </c>
      <c r="AD7975" s="388">
        <v>1.09728</v>
      </c>
      <c r="AE7975" s="388">
        <v>9.7536000000000012E-2</v>
      </c>
      <c r="AF7975" s="388">
        <v>0.10702430208000002</v>
      </c>
      <c r="AG7975" s="388">
        <v>0.28955999999999998</v>
      </c>
      <c r="AH7975" s="391"/>
      <c r="AI7975" s="397"/>
      <c r="AJ7975" s="397"/>
      <c r="AU7975" s="397"/>
      <c r="AV7975" s="397"/>
      <c r="AW7975" s="397"/>
      <c r="AX7975" s="397"/>
      <c r="BI7975" s="397"/>
      <c r="BJ7975" s="397"/>
      <c r="BK7975" s="397"/>
      <c r="BL7975" s="397"/>
      <c r="BM7975" s="397"/>
      <c r="BN7975" s="397"/>
      <c r="BO7975" s="397"/>
      <c r="BP7975" s="397"/>
      <c r="BQ7975" s="397"/>
      <c r="BR7975" s="397"/>
      <c r="BS7975" s="397"/>
      <c r="BT7975" s="397"/>
      <c r="BU7975" s="397"/>
      <c r="BV7975" s="397"/>
      <c r="BW7975" s="397"/>
      <c r="BX7975" s="397"/>
      <c r="BY7975" s="397"/>
      <c r="BZ7975" s="397"/>
      <c r="CA7975" s="392" t="s">
        <v>413</v>
      </c>
    </row>
    <row r="7976" spans="1:80" s="392" customFormat="1" ht="15" x14ac:dyDescent="0.25">
      <c r="A7976" s="385"/>
      <c r="D7976" s="700"/>
      <c r="E7976" s="397"/>
      <c r="H7976" s="401">
        <v>3</v>
      </c>
      <c r="I7976" s="401"/>
      <c r="J7976" s="401"/>
      <c r="K7976" s="401"/>
      <c r="L7976" s="675"/>
      <c r="M7976" s="672">
        <v>30862</v>
      </c>
      <c r="N7976" s="623">
        <v>2.8336639274582034E-2</v>
      </c>
      <c r="O7976" s="624">
        <v>4.3544870400000001E-4</v>
      </c>
      <c r="P7976" s="397"/>
      <c r="Q7976" s="397"/>
      <c r="R7976" s="397"/>
      <c r="S7976" s="397"/>
      <c r="T7976" s="397"/>
      <c r="U7976" s="397"/>
      <c r="V7976" s="397"/>
      <c r="W7976" s="397"/>
      <c r="X7976" s="397"/>
      <c r="Y7976" s="397"/>
      <c r="Z7976" s="397"/>
      <c r="AC7976" s="115">
        <v>5.0000000000000001E-3</v>
      </c>
      <c r="AD7976" s="388">
        <v>1.09728</v>
      </c>
      <c r="AE7976" s="388">
        <v>9.4488000000000003E-2</v>
      </c>
      <c r="AF7976" s="388">
        <v>0.10367979264</v>
      </c>
      <c r="AG7976" s="388">
        <v>0.26212800000000003</v>
      </c>
      <c r="AH7976" s="391"/>
      <c r="AI7976" s="397"/>
      <c r="AJ7976" s="397"/>
      <c r="AU7976" s="397"/>
      <c r="AV7976" s="397"/>
      <c r="AW7976" s="397"/>
      <c r="AX7976" s="397"/>
      <c r="BI7976" s="397"/>
      <c r="BJ7976" s="397"/>
      <c r="BK7976" s="397"/>
      <c r="BL7976" s="397"/>
      <c r="BM7976" s="397"/>
      <c r="BN7976" s="397"/>
      <c r="BO7976" s="397"/>
      <c r="BP7976" s="397"/>
      <c r="BQ7976" s="397"/>
      <c r="BR7976" s="397"/>
      <c r="BS7976" s="397"/>
      <c r="BT7976" s="397"/>
      <c r="BU7976" s="397"/>
      <c r="BV7976" s="397"/>
      <c r="BW7976" s="397"/>
      <c r="BX7976" s="397"/>
      <c r="BY7976" s="397"/>
      <c r="BZ7976" s="397"/>
      <c r="CA7976" s="392" t="s">
        <v>413</v>
      </c>
    </row>
    <row r="7977" spans="1:80" s="392" customFormat="1" ht="15" x14ac:dyDescent="0.25">
      <c r="A7977" s="385"/>
      <c r="D7977" s="700"/>
      <c r="E7977" s="397"/>
      <c r="H7977" s="401">
        <v>3</v>
      </c>
      <c r="I7977" s="401"/>
      <c r="J7977" s="401"/>
      <c r="K7977" s="401"/>
      <c r="L7977" s="675"/>
      <c r="M7977" s="672">
        <v>30866</v>
      </c>
      <c r="N7977" s="623">
        <v>2.266931141966563E-2</v>
      </c>
      <c r="O7977" s="624">
        <v>5.9874196800000011E-4</v>
      </c>
      <c r="P7977" s="397"/>
      <c r="Q7977" s="397"/>
      <c r="R7977" s="397"/>
      <c r="S7977" s="397"/>
      <c r="T7977" s="397"/>
      <c r="U7977" s="397"/>
      <c r="V7977" s="397"/>
      <c r="W7977" s="397"/>
      <c r="X7977" s="397"/>
      <c r="Y7977" s="397"/>
      <c r="Z7977" s="397"/>
      <c r="AC7977" s="115">
        <v>5.0000000000000001E-3</v>
      </c>
      <c r="AD7977" s="388">
        <v>1.09728</v>
      </c>
      <c r="AE7977" s="388">
        <v>9.1440000000000007E-2</v>
      </c>
      <c r="AF7977" s="388">
        <v>0.10033528320000001</v>
      </c>
      <c r="AG7977" s="388">
        <v>0.225552</v>
      </c>
      <c r="AH7977" s="391"/>
      <c r="AI7977" s="397"/>
      <c r="AJ7977" s="397"/>
      <c r="AU7977" s="397"/>
      <c r="AV7977" s="397"/>
      <c r="AW7977" s="397"/>
      <c r="AX7977" s="397"/>
      <c r="BI7977" s="397"/>
      <c r="BJ7977" s="397"/>
      <c r="BK7977" s="397"/>
      <c r="BL7977" s="397"/>
      <c r="BM7977" s="397"/>
      <c r="BN7977" s="397"/>
      <c r="BO7977" s="397"/>
      <c r="BP7977" s="397"/>
      <c r="BQ7977" s="397"/>
      <c r="BR7977" s="397"/>
      <c r="BS7977" s="397"/>
      <c r="BT7977" s="397"/>
      <c r="BU7977" s="397"/>
      <c r="BV7977" s="397"/>
      <c r="BW7977" s="397"/>
      <c r="BX7977" s="397"/>
      <c r="BY7977" s="397"/>
      <c r="BZ7977" s="397"/>
      <c r="CA7977" s="392" t="s">
        <v>413</v>
      </c>
    </row>
    <row r="7978" spans="1:80" s="392" customFormat="1" ht="15" x14ac:dyDescent="0.25">
      <c r="A7978" s="385"/>
      <c r="D7978" s="700"/>
      <c r="E7978" s="397"/>
      <c r="H7978" s="401">
        <v>3</v>
      </c>
      <c r="I7978" s="401"/>
      <c r="J7978" s="401"/>
      <c r="K7978" s="401"/>
      <c r="L7978" s="675"/>
      <c r="M7978" s="672">
        <v>30869</v>
      </c>
      <c r="N7978" s="623">
        <v>2.5502975347123834E-2</v>
      </c>
      <c r="O7978" s="624">
        <v>8.4670581333333341E-4</v>
      </c>
      <c r="P7978" s="397"/>
      <c r="Q7978" s="397"/>
      <c r="R7978" s="397"/>
      <c r="S7978" s="397"/>
      <c r="T7978" s="397"/>
      <c r="U7978" s="397"/>
      <c r="V7978" s="397"/>
      <c r="W7978" s="397"/>
      <c r="X7978" s="397"/>
      <c r="Y7978" s="397"/>
      <c r="Z7978" s="397"/>
      <c r="AC7978" s="115">
        <v>5.0000000000000001E-3</v>
      </c>
      <c r="AD7978" s="388">
        <v>1.0668</v>
      </c>
      <c r="AE7978" s="388">
        <v>9.4488000000000003E-2</v>
      </c>
      <c r="AF7978" s="388">
        <v>0.1007997984</v>
      </c>
      <c r="AG7978" s="388">
        <v>0.25298399999999999</v>
      </c>
      <c r="AH7978" s="391"/>
      <c r="AI7978" s="397"/>
      <c r="AJ7978" s="397"/>
      <c r="AU7978" s="397"/>
      <c r="AV7978" s="397"/>
      <c r="AW7978" s="397"/>
      <c r="AX7978" s="397"/>
      <c r="BI7978" s="397"/>
      <c r="BJ7978" s="397"/>
      <c r="BK7978" s="397"/>
      <c r="BL7978" s="397"/>
      <c r="BM7978" s="397"/>
      <c r="BN7978" s="397"/>
      <c r="BO7978" s="397"/>
      <c r="BP7978" s="397"/>
      <c r="BQ7978" s="397"/>
      <c r="BR7978" s="397"/>
      <c r="BS7978" s="397"/>
      <c r="BT7978" s="397"/>
      <c r="BU7978" s="397"/>
      <c r="BV7978" s="397"/>
      <c r="BW7978" s="397"/>
      <c r="BX7978" s="397"/>
      <c r="BY7978" s="397"/>
      <c r="BZ7978" s="397"/>
      <c r="CA7978" s="392" t="s">
        <v>413</v>
      </c>
    </row>
    <row r="7979" spans="1:80" s="392" customFormat="1" ht="15" x14ac:dyDescent="0.25">
      <c r="A7979" s="385"/>
      <c r="D7979" s="700"/>
      <c r="E7979" s="397"/>
      <c r="H7979" s="401">
        <v>3</v>
      </c>
      <c r="I7979" s="401"/>
      <c r="J7979" s="401"/>
      <c r="K7979" s="401"/>
      <c r="L7979" s="675"/>
      <c r="M7979" s="672">
        <v>30873</v>
      </c>
      <c r="N7979" s="623">
        <v>2.9470104845565316E-2</v>
      </c>
      <c r="O7979" s="624">
        <v>2.1696836466666668E-3</v>
      </c>
      <c r="P7979" s="397"/>
      <c r="Q7979" s="397"/>
      <c r="R7979" s="397"/>
      <c r="S7979" s="397"/>
      <c r="T7979" s="397"/>
      <c r="U7979" s="397"/>
      <c r="V7979" s="397"/>
      <c r="W7979" s="397"/>
      <c r="X7979" s="397"/>
      <c r="Y7979" s="397"/>
      <c r="Z7979" s="397"/>
      <c r="AC7979" s="115">
        <v>6.0000000000000001E-3</v>
      </c>
      <c r="AD7979" s="388">
        <v>1.0668</v>
      </c>
      <c r="AE7979" s="388">
        <v>0.10058400000000001</v>
      </c>
      <c r="AF7979" s="388">
        <v>0.10730301120000001</v>
      </c>
      <c r="AG7979" s="388">
        <v>0.277368</v>
      </c>
      <c r="AH7979" s="391"/>
      <c r="AI7979" s="397"/>
      <c r="AJ7979" s="397"/>
      <c r="AU7979" s="397"/>
      <c r="AV7979" s="397"/>
      <c r="AW7979" s="397"/>
      <c r="AX7979" s="397"/>
      <c r="BI7979" s="397"/>
      <c r="BJ7979" s="397"/>
      <c r="BK7979" s="397"/>
      <c r="BL7979" s="397"/>
      <c r="BM7979" s="397"/>
      <c r="BN7979" s="397"/>
      <c r="BO7979" s="397"/>
      <c r="BP7979" s="397"/>
      <c r="BQ7979" s="397"/>
      <c r="BR7979" s="397"/>
      <c r="BS7979" s="397"/>
      <c r="BT7979" s="397"/>
      <c r="BU7979" s="397"/>
      <c r="BV7979" s="397"/>
      <c r="BW7979" s="397"/>
      <c r="BX7979" s="397"/>
      <c r="BY7979" s="397"/>
      <c r="BZ7979" s="397"/>
      <c r="CA7979" s="392" t="s">
        <v>413</v>
      </c>
    </row>
    <row r="7980" spans="1:80" s="392" customFormat="1" ht="15" x14ac:dyDescent="0.25">
      <c r="A7980" s="385"/>
      <c r="D7980" s="700"/>
      <c r="E7980" s="397"/>
      <c r="H7980" s="401">
        <v>3</v>
      </c>
      <c r="I7980" s="401"/>
      <c r="J7980" s="401"/>
      <c r="K7980" s="401"/>
      <c r="L7980" s="675"/>
      <c r="M7980" s="672">
        <v>30887</v>
      </c>
      <c r="N7980" s="623">
        <v>2.7203173703598753E-2</v>
      </c>
      <c r="O7980" s="624">
        <v>4.2335290666666671E-4</v>
      </c>
      <c r="P7980" s="397"/>
      <c r="Q7980" s="397"/>
      <c r="R7980" s="397"/>
      <c r="S7980" s="397"/>
      <c r="T7980" s="397"/>
      <c r="U7980" s="397"/>
      <c r="V7980" s="397"/>
      <c r="W7980" s="397"/>
      <c r="X7980" s="397"/>
      <c r="Y7980" s="397"/>
      <c r="Z7980" s="397"/>
      <c r="AC7980" s="115">
        <v>6.0000000000000001E-3</v>
      </c>
      <c r="AD7980" s="388">
        <v>1.0668</v>
      </c>
      <c r="AE7980" s="388">
        <v>9.7536000000000012E-2</v>
      </c>
      <c r="AF7980" s="388">
        <v>0.10405140480000001</v>
      </c>
      <c r="AG7980" s="388">
        <v>0.26212800000000003</v>
      </c>
      <c r="AH7980" s="391"/>
      <c r="AI7980" s="397"/>
      <c r="AJ7980" s="397"/>
      <c r="AU7980" s="397"/>
      <c r="AV7980" s="397"/>
      <c r="AW7980" s="397"/>
      <c r="AX7980" s="397"/>
      <c r="BI7980" s="397"/>
      <c r="BJ7980" s="397"/>
      <c r="BK7980" s="397"/>
      <c r="BL7980" s="397"/>
      <c r="BM7980" s="397"/>
      <c r="BN7980" s="397"/>
      <c r="BO7980" s="397"/>
      <c r="BP7980" s="397"/>
      <c r="BQ7980" s="397"/>
      <c r="BR7980" s="397"/>
      <c r="BS7980" s="397"/>
      <c r="BT7980" s="397"/>
      <c r="BU7980" s="397"/>
      <c r="BV7980" s="397"/>
      <c r="BW7980" s="397"/>
      <c r="BX7980" s="397"/>
      <c r="BY7980" s="397"/>
      <c r="BZ7980" s="397"/>
      <c r="CA7980" s="392" t="s">
        <v>413</v>
      </c>
    </row>
    <row r="7981" spans="1:80" s="392" customFormat="1" ht="15" x14ac:dyDescent="0.25">
      <c r="A7981" s="385"/>
      <c r="D7981" s="700"/>
      <c r="E7981" s="397"/>
      <c r="H7981" s="401">
        <v>3</v>
      </c>
      <c r="I7981" s="401"/>
      <c r="J7981" s="401"/>
      <c r="K7981" s="401"/>
      <c r="L7981" s="675"/>
      <c r="M7981" s="672">
        <v>30897</v>
      </c>
      <c r="N7981" s="623">
        <v>2.8053272881836216E-2</v>
      </c>
      <c r="O7981" s="624">
        <v>1.42881606E-3</v>
      </c>
      <c r="P7981" s="397"/>
      <c r="Q7981" s="397"/>
      <c r="R7981" s="397"/>
      <c r="S7981" s="397"/>
      <c r="T7981" s="397"/>
      <c r="U7981" s="397"/>
      <c r="V7981" s="397"/>
      <c r="W7981" s="397"/>
      <c r="X7981" s="397"/>
      <c r="Y7981" s="397"/>
      <c r="Z7981" s="397"/>
      <c r="AC7981" s="115">
        <v>6.0000000000000001E-3</v>
      </c>
      <c r="AD7981" s="388">
        <v>1.0668</v>
      </c>
      <c r="AE7981" s="388">
        <v>0.10363200000000002</v>
      </c>
      <c r="AF7981" s="388">
        <v>0.11055461760000002</v>
      </c>
      <c r="AG7981" s="388">
        <v>0.25603199999999998</v>
      </c>
      <c r="AH7981" s="391"/>
      <c r="AI7981" s="397"/>
      <c r="AJ7981" s="397"/>
      <c r="AU7981" s="397"/>
      <c r="AV7981" s="397"/>
      <c r="AW7981" s="397"/>
      <c r="AX7981" s="397"/>
      <c r="BI7981" s="397"/>
      <c r="BJ7981" s="397"/>
      <c r="BK7981" s="397"/>
      <c r="BL7981" s="397"/>
      <c r="BM7981" s="397"/>
      <c r="BN7981" s="397"/>
      <c r="BO7981" s="397"/>
      <c r="BP7981" s="397"/>
      <c r="BQ7981" s="397"/>
      <c r="BR7981" s="397"/>
      <c r="BS7981" s="397"/>
      <c r="BT7981" s="397"/>
      <c r="BU7981" s="397"/>
      <c r="BV7981" s="397"/>
      <c r="BW7981" s="397"/>
      <c r="BX7981" s="397"/>
      <c r="BY7981" s="397"/>
      <c r="BZ7981" s="397"/>
      <c r="CA7981" s="392" t="s">
        <v>413</v>
      </c>
    </row>
    <row r="7982" spans="1:80" s="392" customFormat="1" ht="15" x14ac:dyDescent="0.25">
      <c r="A7982" s="385"/>
      <c r="D7982" s="700"/>
      <c r="E7982" s="397"/>
      <c r="H7982" s="401">
        <v>3</v>
      </c>
      <c r="I7982" s="401"/>
      <c r="J7982" s="401"/>
      <c r="K7982" s="401"/>
      <c r="L7982" s="675"/>
      <c r="M7982" s="672">
        <v>30922</v>
      </c>
      <c r="N7982" s="623">
        <v>3.683763105695665E-2</v>
      </c>
      <c r="O7982" s="624">
        <v>1.90508808E-3</v>
      </c>
      <c r="P7982" s="397"/>
      <c r="Q7982" s="397"/>
      <c r="R7982" s="397"/>
      <c r="S7982" s="397"/>
      <c r="T7982" s="397"/>
      <c r="U7982" s="397"/>
      <c r="V7982" s="397"/>
      <c r="W7982" s="397"/>
      <c r="X7982" s="397"/>
      <c r="Y7982" s="397"/>
      <c r="Z7982" s="397"/>
      <c r="AC7982" s="115">
        <v>6.0000000000000001E-3</v>
      </c>
      <c r="AD7982" s="388">
        <v>1.09728</v>
      </c>
      <c r="AE7982" s="388">
        <v>8.5344000000000017E-2</v>
      </c>
      <c r="AF7982" s="388">
        <v>9.3646264320000019E-2</v>
      </c>
      <c r="AG7982" s="388">
        <v>0.41148000000000007</v>
      </c>
      <c r="AH7982" s="391"/>
      <c r="AI7982" s="397"/>
      <c r="AJ7982" s="397"/>
      <c r="AU7982" s="397"/>
      <c r="AV7982" s="397"/>
      <c r="AW7982" s="397"/>
      <c r="AX7982" s="397"/>
      <c r="BI7982" s="397"/>
      <c r="BJ7982" s="397"/>
      <c r="BK7982" s="397"/>
      <c r="BL7982" s="397"/>
      <c r="BM7982" s="397"/>
      <c r="BN7982" s="397"/>
      <c r="BO7982" s="397"/>
      <c r="BP7982" s="397"/>
      <c r="BQ7982" s="397"/>
      <c r="BR7982" s="397"/>
      <c r="BS7982" s="397"/>
      <c r="BT7982" s="397"/>
      <c r="BU7982" s="397"/>
      <c r="BV7982" s="397"/>
      <c r="BW7982" s="397"/>
      <c r="BX7982" s="397"/>
      <c r="BY7982" s="397"/>
      <c r="BZ7982" s="397"/>
      <c r="CA7982" s="392" t="s">
        <v>413</v>
      </c>
    </row>
    <row r="7983" spans="1:80" s="189" customFormat="1" ht="15" x14ac:dyDescent="0.25">
      <c r="A7983" s="381" t="s">
        <v>448</v>
      </c>
      <c r="B7983" s="641" t="s">
        <v>34</v>
      </c>
      <c r="C7983" s="639"/>
      <c r="D7983" s="4">
        <f>VLOOKUP(E7983,'Quality Code'!$D$4:$E$24,2,TRUE)*VLOOKUP(MROUND(F7983,10),'Quality Code'!$D$28:$E$69,2,TRUE)*VLOOKUP(COUNTA(CB7983:CB7993),'Quality Code'!$D$73:$E$93,2,TRUE)</f>
        <v>0.2</v>
      </c>
      <c r="E7983" s="14">
        <v>0.4</v>
      </c>
      <c r="F7983" s="2">
        <v>17</v>
      </c>
      <c r="G7983" s="12"/>
      <c r="H7983" s="2" t="s">
        <v>105</v>
      </c>
      <c r="I7983" s="2"/>
      <c r="J7983" s="2"/>
      <c r="K7983" s="2"/>
      <c r="L7983" s="639"/>
      <c r="M7983" s="640">
        <v>1984</v>
      </c>
      <c r="N7983" s="578" t="s">
        <v>110</v>
      </c>
      <c r="O7983" s="578"/>
      <c r="P7983" s="26"/>
      <c r="Q7983" s="26"/>
      <c r="R7983" s="26"/>
      <c r="S7983" s="26"/>
      <c r="T7983" s="26"/>
      <c r="U7983" s="26"/>
      <c r="V7983" s="10"/>
      <c r="W7983" s="10"/>
      <c r="X7983" s="10"/>
      <c r="Y7983" s="10"/>
      <c r="Z7983" s="26"/>
      <c r="AA7983" s="26"/>
      <c r="AB7983" s="26"/>
      <c r="AC7983" s="3">
        <v>3.9E-2</v>
      </c>
      <c r="AD7983" s="406"/>
      <c r="AE7983" s="26"/>
      <c r="AF7983" s="26"/>
      <c r="AG7983" s="26"/>
      <c r="AH7983" s="26"/>
      <c r="AI7983" s="4"/>
      <c r="AJ7983" s="4"/>
      <c r="AK7983" s="26"/>
      <c r="AL7983" s="26"/>
      <c r="AM7983" s="26"/>
      <c r="AN7983" s="26"/>
      <c r="AO7983" s="26"/>
      <c r="AP7983" s="26"/>
      <c r="AQ7983" s="26"/>
      <c r="AR7983" s="26"/>
      <c r="AS7983" s="26"/>
      <c r="AT7983" s="26"/>
      <c r="AU7983" s="4"/>
      <c r="AV7983" s="4"/>
      <c r="AW7983" s="4"/>
      <c r="AX7983" s="4"/>
      <c r="AY7983" s="2"/>
      <c r="AZ7983" s="2"/>
      <c r="BA7983" s="12"/>
      <c r="BB7983" s="12"/>
      <c r="BC7983" s="12"/>
      <c r="BD7983" s="12"/>
      <c r="BE7983" s="12"/>
      <c r="BF7983" s="12"/>
      <c r="BG7983" s="12"/>
      <c r="BH7983" s="12"/>
      <c r="BI7983" s="4"/>
      <c r="BJ7983" s="12"/>
      <c r="BK7983" s="2"/>
      <c r="BL7983" s="2"/>
      <c r="BM7983" s="4"/>
      <c r="BN7983" s="12"/>
      <c r="BO7983" s="12"/>
      <c r="BP7983" s="12"/>
      <c r="BQ7983" s="4"/>
      <c r="BR7983" s="4"/>
      <c r="BS7983" s="4"/>
      <c r="BT7983" s="2"/>
      <c r="BU7983" s="9"/>
      <c r="BV7983" s="381"/>
      <c r="BW7983" s="382"/>
      <c r="BX7983" s="383"/>
      <c r="BY7983" s="383" t="s">
        <v>419</v>
      </c>
      <c r="BZ7983" s="383"/>
      <c r="CA7983" s="384" t="s">
        <v>413</v>
      </c>
      <c r="CB7983" s="411"/>
    </row>
    <row r="7984" spans="1:80" s="392" customFormat="1" ht="15" x14ac:dyDescent="0.25">
      <c r="A7984" s="385"/>
      <c r="D7984" s="700"/>
      <c r="E7984" s="397"/>
      <c r="H7984" s="401">
        <v>3</v>
      </c>
      <c r="I7984" s="401"/>
      <c r="J7984" s="401"/>
      <c r="K7984" s="401"/>
      <c r="L7984" s="675"/>
      <c r="M7984" s="672">
        <v>30818</v>
      </c>
      <c r="N7984" s="623">
        <v>0.291867384528195</v>
      </c>
      <c r="O7984" s="624">
        <v>3.779936666666667E-3</v>
      </c>
      <c r="P7984" s="397"/>
      <c r="Q7984" s="397"/>
      <c r="R7984" s="397"/>
      <c r="S7984" s="397"/>
      <c r="T7984" s="397"/>
      <c r="U7984" s="397"/>
      <c r="V7984" s="397"/>
      <c r="W7984" s="397"/>
      <c r="X7984" s="397"/>
      <c r="Y7984" s="397"/>
      <c r="Z7984" s="397"/>
      <c r="AD7984" s="388">
        <v>3.048</v>
      </c>
      <c r="AE7984" s="388">
        <v>0.16154400000000002</v>
      </c>
      <c r="AF7984" s="388">
        <v>0.4923861120000001</v>
      </c>
      <c r="AG7984" s="388">
        <v>0.59740800000000005</v>
      </c>
      <c r="AH7984" s="391"/>
      <c r="AI7984" s="397"/>
      <c r="AJ7984" s="397"/>
      <c r="AU7984" s="397"/>
      <c r="AV7984" s="397"/>
      <c r="AW7984" s="397"/>
      <c r="AX7984" s="397"/>
      <c r="BI7984" s="397"/>
      <c r="BJ7984" s="397"/>
      <c r="BK7984" s="397"/>
      <c r="BL7984" s="397"/>
      <c r="BM7984" s="397"/>
      <c r="BN7984" s="397"/>
      <c r="BO7984" s="397"/>
      <c r="BP7984" s="397"/>
      <c r="BQ7984" s="397"/>
      <c r="BR7984" s="397"/>
      <c r="BS7984" s="397"/>
      <c r="BT7984" s="397"/>
      <c r="BU7984" s="397"/>
      <c r="BV7984" s="397"/>
      <c r="BW7984" s="397"/>
      <c r="BX7984" s="397"/>
      <c r="BY7984" s="397"/>
      <c r="BZ7984" s="397"/>
      <c r="CA7984" s="392" t="s">
        <v>413</v>
      </c>
    </row>
    <row r="7985" spans="1:79" s="392" customFormat="1" ht="15" x14ac:dyDescent="0.25">
      <c r="A7985" s="385"/>
      <c r="D7985" s="700"/>
      <c r="E7985" s="397"/>
      <c r="H7985" s="401">
        <v>3</v>
      </c>
      <c r="I7985" s="401"/>
      <c r="J7985" s="401"/>
      <c r="K7985" s="401"/>
      <c r="L7985" s="675"/>
      <c r="M7985" s="672">
        <v>30826</v>
      </c>
      <c r="N7985" s="623">
        <v>1.5103428733352224</v>
      </c>
      <c r="O7985" s="624">
        <v>3.3205987629333342E-2</v>
      </c>
      <c r="P7985" s="397"/>
      <c r="Q7985" s="397"/>
      <c r="R7985" s="397"/>
      <c r="S7985" s="397"/>
      <c r="T7985" s="397"/>
      <c r="U7985" s="397"/>
      <c r="V7985" s="397"/>
      <c r="W7985" s="397"/>
      <c r="X7985" s="397"/>
      <c r="Y7985" s="397"/>
      <c r="Z7985" s="397"/>
      <c r="AD7985" s="388">
        <v>4.23672</v>
      </c>
      <c r="AE7985" s="388">
        <v>0.29565600000000003</v>
      </c>
      <c r="AF7985" s="388">
        <v>1.2526116883200002</v>
      </c>
      <c r="AG7985" s="388">
        <v>1.2039600000000001</v>
      </c>
      <c r="AH7985" s="391"/>
      <c r="AI7985" s="397"/>
      <c r="AJ7985" s="397"/>
      <c r="AU7985" s="397"/>
      <c r="AV7985" s="397"/>
      <c r="AW7985" s="397"/>
      <c r="AX7985" s="397"/>
      <c r="BI7985" s="397"/>
      <c r="BJ7985" s="397"/>
      <c r="BK7985" s="397"/>
      <c r="BL7985" s="397"/>
      <c r="BM7985" s="397"/>
      <c r="BN7985" s="397"/>
      <c r="BO7985" s="397"/>
      <c r="BP7985" s="397"/>
      <c r="BQ7985" s="397"/>
      <c r="BR7985" s="397"/>
      <c r="BS7985" s="397"/>
      <c r="BT7985" s="397"/>
      <c r="BU7985" s="397"/>
      <c r="BV7985" s="397"/>
      <c r="BW7985" s="397"/>
      <c r="BX7985" s="397"/>
      <c r="BY7985" s="397"/>
      <c r="BZ7985" s="397"/>
      <c r="CA7985" s="392" t="s">
        <v>413</v>
      </c>
    </row>
    <row r="7986" spans="1:79" s="392" customFormat="1" ht="15" x14ac:dyDescent="0.25">
      <c r="A7986" s="385"/>
      <c r="D7986" s="700"/>
      <c r="E7986" s="397"/>
      <c r="H7986" s="401">
        <v>3</v>
      </c>
      <c r="I7986" s="401"/>
      <c r="J7986" s="401"/>
      <c r="K7986" s="401"/>
      <c r="L7986" s="675"/>
      <c r="M7986" s="672">
        <v>30831</v>
      </c>
      <c r="N7986" s="623">
        <v>1.252479455936526</v>
      </c>
      <c r="O7986" s="624">
        <v>1.8013666178666666E-2</v>
      </c>
      <c r="P7986" s="397"/>
      <c r="Q7986" s="397"/>
      <c r="R7986" s="397"/>
      <c r="S7986" s="397"/>
      <c r="T7986" s="397"/>
      <c r="U7986" s="397"/>
      <c r="V7986" s="397"/>
      <c r="W7986" s="397"/>
      <c r="X7986" s="397"/>
      <c r="Y7986" s="397"/>
      <c r="Z7986" s="397"/>
      <c r="AD7986" s="388">
        <v>4.907280000000001</v>
      </c>
      <c r="AE7986" s="388">
        <v>0.27127200000000001</v>
      </c>
      <c r="AF7986" s="388">
        <v>1.3312076601600003</v>
      </c>
      <c r="AG7986" s="388">
        <v>0.941832</v>
      </c>
      <c r="AH7986" s="391"/>
      <c r="AI7986" s="397"/>
      <c r="AJ7986" s="397"/>
      <c r="AU7986" s="397"/>
      <c r="AV7986" s="397"/>
      <c r="AW7986" s="397"/>
      <c r="AX7986" s="397"/>
      <c r="BI7986" s="397"/>
      <c r="BJ7986" s="397"/>
      <c r="BK7986" s="397"/>
      <c r="BL7986" s="397"/>
      <c r="BM7986" s="397"/>
      <c r="BN7986" s="397"/>
      <c r="BO7986" s="397"/>
      <c r="BP7986" s="397"/>
      <c r="BQ7986" s="397"/>
      <c r="BR7986" s="397"/>
      <c r="BS7986" s="397"/>
      <c r="BT7986" s="397"/>
      <c r="BU7986" s="397"/>
      <c r="BV7986" s="397"/>
      <c r="BW7986" s="397"/>
      <c r="BX7986" s="397"/>
      <c r="BY7986" s="397"/>
      <c r="BZ7986" s="397"/>
      <c r="CA7986" s="392" t="s">
        <v>413</v>
      </c>
    </row>
    <row r="7987" spans="1:79" s="392" customFormat="1" ht="15" x14ac:dyDescent="0.25">
      <c r="A7987" s="385"/>
      <c r="D7987" s="700"/>
      <c r="E7987" s="397"/>
      <c r="H7987" s="401">
        <v>3</v>
      </c>
      <c r="I7987" s="401"/>
      <c r="J7987" s="401"/>
      <c r="K7987" s="401"/>
      <c r="L7987" s="675"/>
      <c r="M7987" s="672">
        <v>30833</v>
      </c>
      <c r="N7987" s="623">
        <v>1.4621705865684331</v>
      </c>
      <c r="O7987" s="624">
        <v>9.4226261226666667E-3</v>
      </c>
      <c r="P7987" s="397"/>
      <c r="Q7987" s="397"/>
      <c r="R7987" s="397"/>
      <c r="S7987" s="397"/>
      <c r="T7987" s="397"/>
      <c r="U7987" s="397"/>
      <c r="V7987" s="397"/>
      <c r="W7987" s="397"/>
      <c r="X7987" s="397"/>
      <c r="Y7987" s="397"/>
      <c r="Z7987" s="397"/>
      <c r="AD7987" s="388">
        <v>4.9987199999999996</v>
      </c>
      <c r="AE7987" s="388">
        <v>0.277368</v>
      </c>
      <c r="AF7987" s="388">
        <v>1.3864849689599998</v>
      </c>
      <c r="AG7987" s="388">
        <v>1.0576560000000002</v>
      </c>
      <c r="AH7987" s="391"/>
      <c r="AI7987" s="397"/>
      <c r="AJ7987" s="397"/>
      <c r="AU7987" s="397"/>
      <c r="AV7987" s="397"/>
      <c r="AW7987" s="397"/>
      <c r="AX7987" s="397"/>
      <c r="BI7987" s="397"/>
      <c r="BJ7987" s="397"/>
      <c r="BK7987" s="397"/>
      <c r="BL7987" s="397"/>
      <c r="BM7987" s="397"/>
      <c r="BN7987" s="397"/>
      <c r="BO7987" s="397"/>
      <c r="BP7987" s="397"/>
      <c r="BQ7987" s="397"/>
      <c r="BR7987" s="397"/>
      <c r="BS7987" s="397"/>
      <c r="BT7987" s="397"/>
      <c r="BU7987" s="397"/>
      <c r="BV7987" s="397"/>
      <c r="BW7987" s="397"/>
      <c r="BX7987" s="397"/>
      <c r="BY7987" s="397"/>
      <c r="BZ7987" s="397"/>
      <c r="CA7987" s="392" t="s">
        <v>413</v>
      </c>
    </row>
    <row r="7988" spans="1:79" s="392" customFormat="1" ht="15" x14ac:dyDescent="0.25">
      <c r="A7988" s="385"/>
      <c r="D7988" s="700"/>
      <c r="E7988" s="397"/>
      <c r="H7988" s="401">
        <v>3</v>
      </c>
      <c r="I7988" s="401"/>
      <c r="J7988" s="401"/>
      <c r="K7988" s="401"/>
      <c r="L7988" s="675"/>
      <c r="M7988" s="672">
        <v>30839</v>
      </c>
      <c r="N7988" s="623">
        <v>1.1306319070558231</v>
      </c>
      <c r="O7988" s="624">
        <v>3.2672260571999998E-2</v>
      </c>
      <c r="P7988" s="397"/>
      <c r="Q7988" s="397"/>
      <c r="R7988" s="397"/>
      <c r="S7988" s="397"/>
      <c r="T7988" s="397"/>
      <c r="U7988" s="397"/>
      <c r="V7988" s="397"/>
      <c r="W7988" s="397"/>
      <c r="X7988" s="397"/>
      <c r="Y7988" s="397"/>
      <c r="Z7988" s="397"/>
      <c r="AD7988" s="388">
        <v>4.4805599999999997</v>
      </c>
      <c r="AE7988" s="388">
        <v>0.25908000000000003</v>
      </c>
      <c r="AF7988" s="388">
        <v>1.1608234848000001</v>
      </c>
      <c r="AG7988" s="388">
        <v>0.97536000000000012</v>
      </c>
      <c r="AH7988" s="391"/>
      <c r="AI7988" s="397"/>
      <c r="AJ7988" s="397"/>
      <c r="AU7988" s="397"/>
      <c r="AV7988" s="397"/>
      <c r="AW7988" s="397"/>
      <c r="AX7988" s="397"/>
      <c r="BI7988" s="397"/>
      <c r="BJ7988" s="397"/>
      <c r="BK7988" s="397"/>
      <c r="BL7988" s="397"/>
      <c r="BM7988" s="397"/>
      <c r="BN7988" s="397"/>
      <c r="BO7988" s="397"/>
      <c r="BP7988" s="397"/>
      <c r="BQ7988" s="397"/>
      <c r="BR7988" s="397"/>
      <c r="BS7988" s="397"/>
      <c r="BT7988" s="397"/>
      <c r="BU7988" s="397"/>
      <c r="BV7988" s="397"/>
      <c r="BW7988" s="397"/>
      <c r="BX7988" s="397"/>
      <c r="BY7988" s="397"/>
      <c r="BZ7988" s="397"/>
      <c r="CA7988" s="392" t="s">
        <v>413</v>
      </c>
    </row>
    <row r="7989" spans="1:79" s="392" customFormat="1" ht="15" x14ac:dyDescent="0.25">
      <c r="A7989" s="385"/>
      <c r="D7989" s="700"/>
      <c r="E7989" s="397"/>
      <c r="H7989" s="401">
        <v>3</v>
      </c>
      <c r="I7989" s="401"/>
      <c r="J7989" s="401"/>
      <c r="K7989" s="401"/>
      <c r="L7989" s="675"/>
      <c r="M7989" s="672">
        <v>30845</v>
      </c>
      <c r="N7989" s="623">
        <v>0.73391895721167466</v>
      </c>
      <c r="O7989" s="624">
        <v>1.0084871026666668E-2</v>
      </c>
      <c r="P7989" s="397"/>
      <c r="Q7989" s="397"/>
      <c r="R7989" s="397"/>
      <c r="S7989" s="397"/>
      <c r="T7989" s="397"/>
      <c r="U7989" s="397"/>
      <c r="V7989" s="397"/>
      <c r="W7989" s="397"/>
      <c r="X7989" s="397"/>
      <c r="Y7989" s="397"/>
      <c r="Z7989" s="397"/>
      <c r="AD7989" s="388">
        <v>4.4196</v>
      </c>
      <c r="AE7989" s="388">
        <v>0.21945600000000001</v>
      </c>
      <c r="AF7989" s="388">
        <v>0.96990773760000004</v>
      </c>
      <c r="AG7989" s="388">
        <v>0.75895200000000007</v>
      </c>
      <c r="AH7989" s="391"/>
      <c r="AI7989" s="397"/>
      <c r="AJ7989" s="397"/>
      <c r="AU7989" s="397"/>
      <c r="AV7989" s="397"/>
      <c r="AW7989" s="397"/>
      <c r="AX7989" s="397"/>
      <c r="BI7989" s="397"/>
      <c r="BJ7989" s="397"/>
      <c r="BK7989" s="397"/>
      <c r="BL7989" s="397"/>
      <c r="BM7989" s="397"/>
      <c r="BN7989" s="397"/>
      <c r="BO7989" s="397"/>
      <c r="BP7989" s="397"/>
      <c r="BQ7989" s="397"/>
      <c r="BR7989" s="397"/>
      <c r="BS7989" s="397"/>
      <c r="BT7989" s="397"/>
      <c r="BU7989" s="397"/>
      <c r="BV7989" s="397"/>
      <c r="BW7989" s="397"/>
      <c r="BX7989" s="397"/>
      <c r="BY7989" s="397"/>
      <c r="BZ7989" s="397"/>
      <c r="CA7989" s="392" t="s">
        <v>413</v>
      </c>
    </row>
    <row r="7990" spans="1:79" s="392" customFormat="1" ht="15" x14ac:dyDescent="0.25">
      <c r="A7990" s="385"/>
      <c r="D7990" s="700"/>
      <c r="E7990" s="397"/>
      <c r="H7990" s="401">
        <v>3</v>
      </c>
      <c r="I7990" s="401"/>
      <c r="J7990" s="401"/>
      <c r="K7990" s="401"/>
      <c r="L7990" s="675"/>
      <c r="M7990" s="672">
        <v>30847</v>
      </c>
      <c r="N7990" s="623">
        <v>0.93510909606120718</v>
      </c>
      <c r="O7990" s="624">
        <v>1.5544611547999999E-2</v>
      </c>
      <c r="P7990" s="397"/>
      <c r="Q7990" s="397"/>
      <c r="R7990" s="397"/>
      <c r="S7990" s="397"/>
      <c r="T7990" s="397"/>
      <c r="U7990" s="397"/>
      <c r="V7990" s="397"/>
      <c r="W7990" s="397"/>
      <c r="X7990" s="397"/>
      <c r="Y7990" s="397"/>
      <c r="Z7990" s="397"/>
      <c r="AD7990" s="388">
        <v>4.5415200000000002</v>
      </c>
      <c r="AE7990" s="388">
        <v>0.26212800000000003</v>
      </c>
      <c r="AF7990" s="388">
        <v>1.1904595545600001</v>
      </c>
      <c r="AG7990" s="388">
        <v>0.78943200000000002</v>
      </c>
      <c r="AH7990" s="391"/>
      <c r="AI7990" s="397"/>
      <c r="AJ7990" s="397"/>
      <c r="AU7990" s="397"/>
      <c r="AV7990" s="397"/>
      <c r="AW7990" s="397"/>
      <c r="AX7990" s="397"/>
      <c r="BI7990" s="397"/>
      <c r="BJ7990" s="397"/>
      <c r="BK7990" s="397"/>
      <c r="BL7990" s="397"/>
      <c r="BM7990" s="397"/>
      <c r="BN7990" s="397"/>
      <c r="BO7990" s="397"/>
      <c r="BP7990" s="397"/>
      <c r="BQ7990" s="397"/>
      <c r="BR7990" s="397"/>
      <c r="BS7990" s="397"/>
      <c r="BT7990" s="397"/>
      <c r="BU7990" s="397"/>
      <c r="BV7990" s="397"/>
      <c r="BW7990" s="397"/>
      <c r="BX7990" s="397"/>
      <c r="BY7990" s="397"/>
      <c r="BZ7990" s="397"/>
      <c r="CA7990" s="392" t="s">
        <v>413</v>
      </c>
    </row>
    <row r="7991" spans="1:79" s="392" customFormat="1" ht="15" x14ac:dyDescent="0.25">
      <c r="A7991" s="385"/>
      <c r="D7991" s="700"/>
      <c r="E7991" s="397"/>
      <c r="H7991" s="401">
        <v>3</v>
      </c>
      <c r="I7991" s="401"/>
      <c r="J7991" s="401"/>
      <c r="K7991" s="401"/>
      <c r="L7991" s="675"/>
      <c r="M7991" s="672">
        <v>30851</v>
      </c>
      <c r="N7991" s="623">
        <v>1.1334655709832815</v>
      </c>
      <c r="O7991" s="624">
        <v>3.6287392000000007E-3</v>
      </c>
      <c r="P7991" s="397"/>
      <c r="Q7991" s="397"/>
      <c r="R7991" s="397"/>
      <c r="S7991" s="397"/>
      <c r="T7991" s="397"/>
      <c r="U7991" s="397"/>
      <c r="V7991" s="397"/>
      <c r="W7991" s="397"/>
      <c r="X7991" s="397"/>
      <c r="Y7991" s="397"/>
      <c r="Z7991" s="397"/>
      <c r="AD7991" s="388">
        <v>4.5720000000000001</v>
      </c>
      <c r="AE7991" s="388">
        <v>0.24384000000000003</v>
      </c>
      <c r="AF7991" s="388">
        <v>1.1148364800000001</v>
      </c>
      <c r="AG7991" s="388">
        <v>1.018032</v>
      </c>
      <c r="AH7991" s="391"/>
      <c r="AI7991" s="397"/>
      <c r="AJ7991" s="397"/>
      <c r="AU7991" s="397"/>
      <c r="AV7991" s="397"/>
      <c r="AW7991" s="397"/>
      <c r="AX7991" s="397"/>
      <c r="BI7991" s="397"/>
      <c r="BJ7991" s="397"/>
      <c r="BK7991" s="397"/>
      <c r="BL7991" s="397"/>
      <c r="BM7991" s="397"/>
      <c r="BN7991" s="397"/>
      <c r="BO7991" s="397"/>
      <c r="BP7991" s="397"/>
      <c r="BQ7991" s="397"/>
      <c r="BR7991" s="397"/>
      <c r="BS7991" s="397"/>
      <c r="BT7991" s="397"/>
      <c r="BU7991" s="397"/>
      <c r="BV7991" s="397"/>
      <c r="BW7991" s="397"/>
      <c r="BX7991" s="397"/>
      <c r="BY7991" s="397"/>
      <c r="BZ7991" s="397"/>
      <c r="CA7991" s="392" t="s">
        <v>413</v>
      </c>
    </row>
    <row r="7992" spans="1:79" s="392" customFormat="1" ht="15" x14ac:dyDescent="0.25">
      <c r="A7992" s="385"/>
      <c r="D7992" s="700"/>
      <c r="E7992" s="397"/>
      <c r="H7992" s="401">
        <v>3</v>
      </c>
      <c r="I7992" s="401"/>
      <c r="J7992" s="401"/>
      <c r="K7992" s="401"/>
      <c r="L7992" s="675"/>
      <c r="M7992" s="672">
        <v>30856</v>
      </c>
      <c r="N7992" s="623">
        <v>1.0399546613771609</v>
      </c>
      <c r="O7992" s="624">
        <v>3.6287392000000007E-3</v>
      </c>
      <c r="P7992" s="397"/>
      <c r="Q7992" s="397"/>
      <c r="R7992" s="397"/>
      <c r="S7992" s="397"/>
      <c r="T7992" s="397"/>
      <c r="U7992" s="397"/>
      <c r="V7992" s="397"/>
      <c r="W7992" s="397"/>
      <c r="X7992" s="397"/>
      <c r="Y7992" s="397"/>
      <c r="Z7992" s="397"/>
      <c r="AD7992" s="388">
        <v>4.5720000000000001</v>
      </c>
      <c r="AE7992" s="388">
        <v>0.25908000000000003</v>
      </c>
      <c r="AF7992" s="388">
        <v>1.1845137600000002</v>
      </c>
      <c r="AG7992" s="388">
        <v>0.87477600000000011</v>
      </c>
      <c r="AH7992" s="391"/>
      <c r="AI7992" s="397"/>
      <c r="AJ7992" s="397"/>
      <c r="AU7992" s="397"/>
      <c r="AV7992" s="397"/>
      <c r="AW7992" s="397"/>
      <c r="AX7992" s="397"/>
      <c r="BI7992" s="397"/>
      <c r="BJ7992" s="397"/>
      <c r="BK7992" s="397"/>
      <c r="BL7992" s="397"/>
      <c r="BM7992" s="397"/>
      <c r="BN7992" s="397"/>
      <c r="BO7992" s="397"/>
      <c r="BP7992" s="397"/>
      <c r="BQ7992" s="397"/>
      <c r="BR7992" s="397"/>
      <c r="BS7992" s="397"/>
      <c r="BT7992" s="397"/>
      <c r="BU7992" s="397"/>
      <c r="BV7992" s="397"/>
      <c r="BW7992" s="397"/>
      <c r="BX7992" s="397"/>
      <c r="BY7992" s="397"/>
      <c r="BZ7992" s="397"/>
      <c r="CA7992" s="392" t="s">
        <v>413</v>
      </c>
    </row>
    <row r="7993" spans="1:79" s="392" customFormat="1" ht="15" x14ac:dyDescent="0.25">
      <c r="A7993" s="385"/>
      <c r="D7993" s="700"/>
      <c r="E7993" s="397"/>
      <c r="H7993" s="401">
        <v>3</v>
      </c>
      <c r="I7993" s="401"/>
      <c r="J7993" s="401"/>
      <c r="K7993" s="401"/>
      <c r="L7993" s="675"/>
      <c r="M7993" s="672">
        <v>30859</v>
      </c>
      <c r="N7993" s="623">
        <v>1.1306319070558231</v>
      </c>
      <c r="O7993" s="624">
        <v>3.4019430000000002E-3</v>
      </c>
      <c r="P7993" s="397"/>
      <c r="Q7993" s="397"/>
      <c r="R7993" s="397"/>
      <c r="S7993" s="397"/>
      <c r="T7993" s="397"/>
      <c r="U7993" s="397"/>
      <c r="V7993" s="397"/>
      <c r="W7993" s="397"/>
      <c r="X7993" s="397"/>
      <c r="Y7993" s="397"/>
      <c r="Z7993" s="397"/>
      <c r="AD7993" s="388">
        <v>4.5720000000000001</v>
      </c>
      <c r="AE7993" s="388">
        <v>0.25298399999999999</v>
      </c>
      <c r="AF7993" s="388">
        <v>1.1566428479999999</v>
      </c>
      <c r="AG7993" s="388">
        <v>0.97231200000000007</v>
      </c>
      <c r="AH7993" s="391"/>
      <c r="AI7993" s="397"/>
      <c r="AJ7993" s="397"/>
      <c r="AU7993" s="397"/>
      <c r="AV7993" s="397"/>
      <c r="AW7993" s="397"/>
      <c r="AX7993" s="397"/>
      <c r="BI7993" s="397"/>
      <c r="BJ7993" s="397"/>
      <c r="BK7993" s="397"/>
      <c r="BL7993" s="397"/>
      <c r="BM7993" s="397"/>
      <c r="BN7993" s="397"/>
      <c r="BO7993" s="397"/>
      <c r="BP7993" s="397"/>
      <c r="BQ7993" s="397"/>
      <c r="BR7993" s="397"/>
      <c r="BS7993" s="397"/>
      <c r="BT7993" s="397"/>
      <c r="BU7993" s="397"/>
      <c r="BV7993" s="397"/>
      <c r="BW7993" s="397"/>
      <c r="BX7993" s="397"/>
      <c r="BY7993" s="397"/>
      <c r="BZ7993" s="397"/>
      <c r="CA7993" s="392" t="s">
        <v>413</v>
      </c>
    </row>
    <row r="7994" spans="1:79" s="392" customFormat="1" ht="15" x14ac:dyDescent="0.25">
      <c r="A7994" s="385"/>
      <c r="D7994" s="700"/>
      <c r="E7994" s="397"/>
      <c r="H7994" s="401">
        <v>3</v>
      </c>
      <c r="I7994" s="401"/>
      <c r="J7994" s="401"/>
      <c r="K7994" s="401"/>
      <c r="L7994" s="675"/>
      <c r="M7994" s="672">
        <v>30862</v>
      </c>
      <c r="N7994" s="623">
        <v>0.73108529328421656</v>
      </c>
      <c r="O7994" s="624">
        <v>1.5875734E-3</v>
      </c>
      <c r="P7994" s="397"/>
      <c r="Q7994" s="397"/>
      <c r="R7994" s="397"/>
      <c r="S7994" s="397"/>
      <c r="T7994" s="397"/>
      <c r="U7994" s="397"/>
      <c r="V7994" s="397"/>
      <c r="W7994" s="397"/>
      <c r="X7994" s="397"/>
      <c r="Y7994" s="397"/>
      <c r="Z7994" s="397"/>
      <c r="AD7994" s="388">
        <v>4.5720000000000001</v>
      </c>
      <c r="AE7994" s="388">
        <v>0.225552</v>
      </c>
      <c r="AF7994" s="388">
        <v>1.0312237440000001</v>
      </c>
      <c r="AG7994" s="388">
        <v>0.70713599999999999</v>
      </c>
      <c r="AH7994" s="391"/>
      <c r="AI7994" s="397"/>
      <c r="AJ7994" s="397"/>
      <c r="AU7994" s="397"/>
      <c r="AV7994" s="397"/>
      <c r="AW7994" s="397"/>
      <c r="AX7994" s="397"/>
      <c r="BI7994" s="397"/>
      <c r="BJ7994" s="397"/>
      <c r="BK7994" s="397"/>
      <c r="BL7994" s="397"/>
      <c r="BM7994" s="397"/>
      <c r="BN7994" s="397"/>
      <c r="BO7994" s="397"/>
      <c r="BP7994" s="397"/>
      <c r="BQ7994" s="397"/>
      <c r="BR7994" s="397"/>
      <c r="BS7994" s="397"/>
      <c r="BT7994" s="397"/>
      <c r="BU7994" s="397"/>
      <c r="BV7994" s="397"/>
      <c r="BW7994" s="397"/>
      <c r="BX7994" s="397"/>
      <c r="BY7994" s="397"/>
      <c r="BZ7994" s="397"/>
      <c r="CA7994" s="392" t="s">
        <v>413</v>
      </c>
    </row>
    <row r="7995" spans="1:79" s="392" customFormat="1" ht="15" x14ac:dyDescent="0.25">
      <c r="A7995" s="385"/>
      <c r="D7995" s="700"/>
      <c r="E7995" s="397"/>
      <c r="H7995" s="401">
        <v>3</v>
      </c>
      <c r="I7995" s="401"/>
      <c r="J7995" s="401"/>
      <c r="K7995" s="401"/>
      <c r="L7995" s="675"/>
      <c r="M7995" s="672">
        <v>30866</v>
      </c>
      <c r="N7995" s="623">
        <v>0.62057240011334658</v>
      </c>
      <c r="O7995" s="624">
        <v>1.0594406489333337E-2</v>
      </c>
      <c r="P7995" s="397"/>
      <c r="Q7995" s="397"/>
      <c r="R7995" s="397"/>
      <c r="S7995" s="397"/>
      <c r="T7995" s="397"/>
      <c r="U7995" s="397"/>
      <c r="V7995" s="397"/>
      <c r="W7995" s="397"/>
      <c r="X7995" s="397"/>
      <c r="Y7995" s="397"/>
      <c r="Z7995" s="397"/>
      <c r="AD7995" s="388">
        <v>4.3586400000000003</v>
      </c>
      <c r="AE7995" s="388">
        <v>0.225552</v>
      </c>
      <c r="AF7995" s="388">
        <v>0.9830999692800001</v>
      </c>
      <c r="AG7995" s="388">
        <v>0.63703200000000004</v>
      </c>
      <c r="AH7995" s="391"/>
      <c r="AI7995" s="397"/>
      <c r="AJ7995" s="397"/>
      <c r="AU7995" s="397"/>
      <c r="AV7995" s="397"/>
      <c r="AW7995" s="397"/>
      <c r="AX7995" s="397"/>
      <c r="BI7995" s="397"/>
      <c r="BJ7995" s="397"/>
      <c r="BK7995" s="397"/>
      <c r="BL7995" s="397"/>
      <c r="BM7995" s="397"/>
      <c r="BN7995" s="397"/>
      <c r="BO7995" s="397"/>
      <c r="BP7995" s="397"/>
      <c r="BQ7995" s="397"/>
      <c r="BR7995" s="397"/>
      <c r="BS7995" s="397"/>
      <c r="BT7995" s="397"/>
      <c r="BU7995" s="397"/>
      <c r="BV7995" s="397"/>
      <c r="BW7995" s="397"/>
      <c r="BX7995" s="397"/>
      <c r="BY7995" s="397"/>
      <c r="BZ7995" s="397"/>
      <c r="CA7995" s="392" t="s">
        <v>413</v>
      </c>
    </row>
    <row r="7996" spans="1:79" s="392" customFormat="1" ht="15" x14ac:dyDescent="0.25">
      <c r="A7996" s="385"/>
      <c r="D7996" s="700"/>
      <c r="E7996" s="397"/>
      <c r="H7996" s="401">
        <v>3</v>
      </c>
      <c r="I7996" s="401"/>
      <c r="J7996" s="401"/>
      <c r="K7996" s="401"/>
      <c r="L7996" s="675"/>
      <c r="M7996" s="672">
        <v>30869</v>
      </c>
      <c r="N7996" s="623">
        <v>0.68858033437234345</v>
      </c>
      <c r="O7996" s="624">
        <v>4.7566723013333341E-3</v>
      </c>
      <c r="P7996" s="397"/>
      <c r="Q7996" s="397"/>
      <c r="R7996" s="397"/>
      <c r="S7996" s="397"/>
      <c r="T7996" s="397"/>
      <c r="U7996" s="397"/>
      <c r="V7996" s="397"/>
      <c r="W7996" s="397"/>
      <c r="X7996" s="397"/>
      <c r="Y7996" s="397"/>
      <c r="Z7996" s="397"/>
      <c r="AD7996" s="388">
        <v>4.3586400000000003</v>
      </c>
      <c r="AE7996" s="388">
        <v>0.20726400000000003</v>
      </c>
      <c r="AF7996" s="388">
        <v>0.90338916096000021</v>
      </c>
      <c r="AG7996" s="388">
        <v>0.76504799999999995</v>
      </c>
      <c r="AH7996" s="391"/>
      <c r="AI7996" s="397"/>
      <c r="AJ7996" s="397"/>
      <c r="AU7996" s="397"/>
      <c r="AV7996" s="397"/>
      <c r="AW7996" s="397"/>
      <c r="AX7996" s="397"/>
      <c r="BI7996" s="397"/>
      <c r="BJ7996" s="397"/>
      <c r="BK7996" s="397"/>
      <c r="BL7996" s="397"/>
      <c r="BM7996" s="397"/>
      <c r="BN7996" s="397"/>
      <c r="BO7996" s="397"/>
      <c r="BP7996" s="397"/>
      <c r="BQ7996" s="397"/>
      <c r="BR7996" s="397"/>
      <c r="BS7996" s="397"/>
      <c r="BT7996" s="397"/>
      <c r="BU7996" s="397"/>
      <c r="BV7996" s="397"/>
      <c r="BW7996" s="397"/>
      <c r="BX7996" s="397"/>
      <c r="BY7996" s="397"/>
      <c r="BZ7996" s="397"/>
      <c r="CA7996" s="392" t="s">
        <v>413</v>
      </c>
    </row>
    <row r="7997" spans="1:79" s="392" customFormat="1" ht="15" x14ac:dyDescent="0.25">
      <c r="A7997" s="385"/>
      <c r="D7997" s="700"/>
      <c r="E7997" s="397"/>
      <c r="H7997" s="401">
        <v>3</v>
      </c>
      <c r="I7997" s="401"/>
      <c r="J7997" s="401"/>
      <c r="K7997" s="401"/>
      <c r="L7997" s="675"/>
      <c r="M7997" s="672">
        <v>30873</v>
      </c>
      <c r="N7997" s="623">
        <v>0.60073675262113913</v>
      </c>
      <c r="O7997" s="624">
        <v>1.9731269399999997E-3</v>
      </c>
      <c r="P7997" s="397"/>
      <c r="Q7997" s="397"/>
      <c r="R7997" s="397"/>
      <c r="S7997" s="397"/>
      <c r="T7997" s="397"/>
      <c r="U7997" s="397"/>
      <c r="V7997" s="397"/>
      <c r="W7997" s="397"/>
      <c r="X7997" s="397"/>
      <c r="Y7997" s="397"/>
      <c r="Z7997" s="397"/>
      <c r="AD7997" s="388">
        <v>4.4196</v>
      </c>
      <c r="AE7997" s="388">
        <v>0.23774400000000001</v>
      </c>
      <c r="AF7997" s="388">
        <v>1.0507333824</v>
      </c>
      <c r="AG7997" s="388">
        <v>0.57302399999999998</v>
      </c>
      <c r="AH7997" s="391"/>
      <c r="AI7997" s="397"/>
      <c r="AJ7997" s="397"/>
      <c r="AU7997" s="397"/>
      <c r="AV7997" s="397"/>
      <c r="AW7997" s="397"/>
      <c r="AX7997" s="397"/>
      <c r="BI7997" s="397"/>
      <c r="BJ7997" s="397"/>
      <c r="BK7997" s="397"/>
      <c r="BL7997" s="397"/>
      <c r="BM7997" s="397"/>
      <c r="BN7997" s="397"/>
      <c r="BO7997" s="397"/>
      <c r="BP7997" s="397"/>
      <c r="BQ7997" s="397"/>
      <c r="BR7997" s="397"/>
      <c r="BS7997" s="397"/>
      <c r="BT7997" s="397"/>
      <c r="BU7997" s="397"/>
      <c r="BV7997" s="397"/>
      <c r="BW7997" s="397"/>
      <c r="BX7997" s="397"/>
      <c r="BY7997" s="397"/>
      <c r="BZ7997" s="397"/>
      <c r="CA7997" s="392" t="s">
        <v>413</v>
      </c>
    </row>
    <row r="7998" spans="1:79" s="392" customFormat="1" ht="15" x14ac:dyDescent="0.25">
      <c r="A7998" s="385"/>
      <c r="D7998" s="700"/>
      <c r="E7998" s="397"/>
      <c r="H7998" s="401">
        <v>3</v>
      </c>
      <c r="I7998" s="401"/>
      <c r="J7998" s="401"/>
      <c r="K7998" s="401"/>
      <c r="L7998" s="675"/>
      <c r="M7998" s="672">
        <v>30880</v>
      </c>
      <c r="N7998" s="623">
        <v>0.37687730235194111</v>
      </c>
      <c r="O7998" s="624">
        <v>4.5208042533333341E-3</v>
      </c>
      <c r="P7998" s="397"/>
      <c r="Q7998" s="397"/>
      <c r="R7998" s="397"/>
      <c r="S7998" s="397"/>
      <c r="T7998" s="397"/>
      <c r="U7998" s="397"/>
      <c r="V7998" s="397"/>
      <c r="W7998" s="397"/>
      <c r="X7998" s="397"/>
      <c r="Y7998" s="397"/>
      <c r="Z7998" s="397"/>
      <c r="AD7998" s="388">
        <v>3.9624000000000001</v>
      </c>
      <c r="AE7998" s="388">
        <v>0.18288000000000001</v>
      </c>
      <c r="AF7998" s="388">
        <v>0.72464371200000011</v>
      </c>
      <c r="AG7998" s="388">
        <v>0.521208</v>
      </c>
      <c r="AH7998" s="391"/>
      <c r="AI7998" s="397"/>
      <c r="AJ7998" s="397"/>
      <c r="AU7998" s="397"/>
      <c r="AV7998" s="397"/>
      <c r="AW7998" s="397"/>
      <c r="AX7998" s="397"/>
      <c r="BI7998" s="397"/>
      <c r="BJ7998" s="397"/>
      <c r="BK7998" s="397"/>
      <c r="BL7998" s="397"/>
      <c r="BM7998" s="397"/>
      <c r="BN7998" s="397"/>
      <c r="BO7998" s="397"/>
      <c r="BP7998" s="397"/>
      <c r="BQ7998" s="397"/>
      <c r="BR7998" s="397"/>
      <c r="BS7998" s="397"/>
      <c r="BT7998" s="397"/>
      <c r="BU7998" s="397"/>
      <c r="BV7998" s="397"/>
      <c r="BW7998" s="397"/>
      <c r="BX7998" s="397"/>
      <c r="BY7998" s="397"/>
      <c r="BZ7998" s="397"/>
      <c r="CA7998" s="392" t="s">
        <v>413</v>
      </c>
    </row>
    <row r="7999" spans="1:79" s="392" customFormat="1" ht="15" x14ac:dyDescent="0.25">
      <c r="A7999" s="385"/>
      <c r="D7999" s="700"/>
      <c r="E7999" s="397"/>
      <c r="H7999" s="401">
        <v>3</v>
      </c>
      <c r="I7999" s="401"/>
      <c r="J7999" s="401"/>
      <c r="K7999" s="401"/>
      <c r="L7999" s="675"/>
      <c r="M7999" s="672">
        <v>30894</v>
      </c>
      <c r="N7999" s="623">
        <v>0.26069708132615471</v>
      </c>
      <c r="O7999" s="624">
        <v>0</v>
      </c>
      <c r="P7999" s="397"/>
      <c r="Q7999" s="397"/>
      <c r="R7999" s="397"/>
      <c r="S7999" s="397"/>
      <c r="T7999" s="397"/>
      <c r="U7999" s="397"/>
      <c r="V7999" s="397"/>
      <c r="W7999" s="397"/>
      <c r="X7999" s="397"/>
      <c r="Y7999" s="397"/>
      <c r="Z7999" s="397"/>
      <c r="AD7999" s="388">
        <v>3.6576000000000004</v>
      </c>
      <c r="AE7999" s="388">
        <v>0.16154400000000002</v>
      </c>
      <c r="AF7999" s="388">
        <v>0.59086333440000016</v>
      </c>
      <c r="AG7999" s="388">
        <v>0.44196000000000002</v>
      </c>
      <c r="AH7999" s="391"/>
      <c r="AI7999" s="397"/>
      <c r="AJ7999" s="397"/>
      <c r="AU7999" s="397"/>
      <c r="AV7999" s="397"/>
      <c r="AW7999" s="397"/>
      <c r="AX7999" s="397"/>
      <c r="BI7999" s="397"/>
      <c r="BJ7999" s="397"/>
      <c r="BK7999" s="397"/>
      <c r="BL7999" s="397"/>
      <c r="BM7999" s="397"/>
      <c r="BN7999" s="397"/>
      <c r="BO7999" s="397"/>
      <c r="BP7999" s="397"/>
      <c r="BQ7999" s="397"/>
      <c r="BR7999" s="397"/>
      <c r="BS7999" s="397"/>
      <c r="BT7999" s="397"/>
      <c r="BU7999" s="397"/>
      <c r="BV7999" s="397"/>
      <c r="BW7999" s="397"/>
      <c r="BX7999" s="397"/>
      <c r="BY7999" s="397"/>
      <c r="BZ7999" s="397"/>
      <c r="CA7999" s="392" t="s">
        <v>413</v>
      </c>
    </row>
    <row r="8000" spans="1:79" s="392" customFormat="1" ht="15" x14ac:dyDescent="0.25">
      <c r="A8000" s="385"/>
      <c r="D8000" s="700"/>
      <c r="E8000" s="397"/>
      <c r="H8000" s="401">
        <v>3</v>
      </c>
      <c r="I8000" s="401"/>
      <c r="J8000" s="401"/>
      <c r="K8000" s="401"/>
      <c r="L8000" s="675"/>
      <c r="M8000" s="672">
        <v>30902</v>
      </c>
      <c r="N8000" s="623">
        <v>0.18418815528478322</v>
      </c>
      <c r="O8000" s="624">
        <v>3.6287392E-4</v>
      </c>
      <c r="P8000" s="397"/>
      <c r="Q8000" s="397"/>
      <c r="R8000" s="397"/>
      <c r="S8000" s="397"/>
      <c r="T8000" s="397"/>
      <c r="U8000" s="397"/>
      <c r="V8000" s="397"/>
      <c r="W8000" s="397"/>
      <c r="X8000" s="397"/>
      <c r="Y8000" s="397"/>
      <c r="Z8000" s="397"/>
      <c r="AD8000" s="388">
        <v>3.6576000000000004</v>
      </c>
      <c r="AE8000" s="388">
        <v>0.15849600000000003</v>
      </c>
      <c r="AF8000" s="388">
        <v>0.57971496960000013</v>
      </c>
      <c r="AG8000" s="388">
        <v>0.32004000000000005</v>
      </c>
      <c r="AH8000" s="391"/>
      <c r="AI8000" s="397"/>
      <c r="AJ8000" s="397"/>
      <c r="AU8000" s="397"/>
      <c r="AV8000" s="397"/>
      <c r="AW8000" s="397"/>
      <c r="AX8000" s="397"/>
      <c r="BI8000" s="397"/>
      <c r="BJ8000" s="397"/>
      <c r="BK8000" s="397"/>
      <c r="BL8000" s="397"/>
      <c r="BM8000" s="397"/>
      <c r="BN8000" s="397"/>
      <c r="BO8000" s="397"/>
      <c r="BP8000" s="397"/>
      <c r="BQ8000" s="397"/>
      <c r="BR8000" s="397"/>
      <c r="BS8000" s="397"/>
      <c r="BT8000" s="397"/>
      <c r="BU8000" s="397"/>
      <c r="BV8000" s="397"/>
      <c r="BW8000" s="397"/>
      <c r="BX8000" s="397"/>
      <c r="BY8000" s="397"/>
      <c r="BZ8000" s="397"/>
      <c r="CA8000" s="392" t="s">
        <v>413</v>
      </c>
    </row>
    <row r="8001" spans="1:80" s="392" customFormat="1" ht="15" x14ac:dyDescent="0.25">
      <c r="A8001" s="385"/>
      <c r="D8001" s="700"/>
      <c r="E8001" s="397"/>
      <c r="H8001" s="401">
        <v>3</v>
      </c>
      <c r="I8001" s="401"/>
      <c r="J8001" s="401"/>
      <c r="K8001" s="401"/>
      <c r="L8001" s="675"/>
      <c r="M8001" s="672">
        <v>30922</v>
      </c>
      <c r="N8001" s="623">
        <v>0.25219608954378014</v>
      </c>
      <c r="O8001" s="624">
        <v>7.6203523200000004E-4</v>
      </c>
      <c r="P8001" s="397"/>
      <c r="Q8001" s="397"/>
      <c r="R8001" s="397"/>
      <c r="S8001" s="397"/>
      <c r="T8001" s="397"/>
      <c r="U8001" s="397"/>
      <c r="V8001" s="397"/>
      <c r="W8001" s="397"/>
      <c r="X8001" s="397"/>
      <c r="Y8001" s="397"/>
      <c r="Z8001" s="397"/>
      <c r="AD8001" s="388">
        <v>3.8404799999999999</v>
      </c>
      <c r="AE8001" s="388">
        <v>0.155448</v>
      </c>
      <c r="AF8001" s="388">
        <v>0.59699493504000001</v>
      </c>
      <c r="AG8001" s="388">
        <v>0.42367199999999999</v>
      </c>
      <c r="AH8001" s="391"/>
      <c r="AI8001" s="397"/>
      <c r="AJ8001" s="397"/>
      <c r="AU8001" s="397"/>
      <c r="AV8001" s="397"/>
      <c r="AW8001" s="397"/>
      <c r="AX8001" s="397"/>
      <c r="BI8001" s="397"/>
      <c r="BJ8001" s="397"/>
      <c r="BK8001" s="397"/>
      <c r="BL8001" s="397"/>
      <c r="BM8001" s="397"/>
      <c r="BN8001" s="397"/>
      <c r="BO8001" s="397"/>
      <c r="BP8001" s="397"/>
      <c r="BQ8001" s="397"/>
      <c r="BR8001" s="397"/>
      <c r="BS8001" s="397"/>
      <c r="BT8001" s="397"/>
      <c r="BU8001" s="397"/>
      <c r="BV8001" s="397"/>
      <c r="BW8001" s="397"/>
      <c r="BX8001" s="397"/>
      <c r="BY8001" s="397"/>
      <c r="BZ8001" s="397"/>
      <c r="CA8001" s="392" t="s">
        <v>413</v>
      </c>
    </row>
    <row r="8002" spans="1:80" s="189" customFormat="1" ht="15" x14ac:dyDescent="0.25">
      <c r="A8002" s="381" t="s">
        <v>511</v>
      </c>
      <c r="B8002" s="641" t="s">
        <v>34</v>
      </c>
      <c r="C8002" s="639"/>
      <c r="D8002" s="4">
        <f>VLOOKUP(E8002,'Quality Code'!$D$4:$E$24,2,TRUE)*VLOOKUP(MROUND(F8002,10),'Quality Code'!$D$28:$E$69,2,TRUE)*VLOOKUP(COUNTA(CB8002:CB8012),'Quality Code'!$D$73:$E$93,2,TRUE)</f>
        <v>0.2</v>
      </c>
      <c r="E8002" s="14">
        <v>0.4</v>
      </c>
      <c r="F8002" s="2">
        <v>19</v>
      </c>
      <c r="G8002" s="12"/>
      <c r="H8002" s="2" t="s">
        <v>105</v>
      </c>
      <c r="I8002" s="2"/>
      <c r="J8002" s="2"/>
      <c r="K8002" s="2"/>
      <c r="L8002" s="639"/>
      <c r="M8002" s="640">
        <v>1984</v>
      </c>
      <c r="N8002" s="578" t="s">
        <v>110</v>
      </c>
      <c r="O8002" s="578"/>
      <c r="P8002" s="26"/>
      <c r="Q8002" s="26"/>
      <c r="R8002" s="26"/>
      <c r="S8002" s="26"/>
      <c r="T8002" s="26"/>
      <c r="U8002" s="26"/>
      <c r="V8002" s="10"/>
      <c r="W8002" s="10"/>
      <c r="X8002" s="10"/>
      <c r="Y8002" s="10"/>
      <c r="Z8002" s="26"/>
      <c r="AA8002" s="26"/>
      <c r="AB8002" s="26"/>
      <c r="AC8002" s="3"/>
      <c r="AD8002" s="406"/>
      <c r="AE8002" s="26"/>
      <c r="AF8002" s="26"/>
      <c r="AG8002" s="26"/>
      <c r="AH8002" s="26"/>
      <c r="AI8002" s="4"/>
      <c r="AJ8002" s="4"/>
      <c r="AK8002" s="26"/>
      <c r="AL8002" s="26"/>
      <c r="AM8002" s="26"/>
      <c r="AN8002" s="26"/>
      <c r="AO8002" s="26"/>
      <c r="AP8002" s="26"/>
      <c r="AQ8002" s="26"/>
      <c r="AR8002" s="26"/>
      <c r="AS8002" s="26"/>
      <c r="AT8002" s="26"/>
      <c r="AU8002" s="4"/>
      <c r="AV8002" s="4"/>
      <c r="AW8002" s="4"/>
      <c r="AX8002" s="4"/>
      <c r="AY8002" s="2"/>
      <c r="AZ8002" s="2"/>
      <c r="BA8002" s="12"/>
      <c r="BB8002" s="12"/>
      <c r="BC8002" s="12"/>
      <c r="BD8002" s="12"/>
      <c r="BE8002" s="12"/>
      <c r="BF8002" s="12"/>
      <c r="BG8002" s="12"/>
      <c r="BH8002" s="12"/>
      <c r="BI8002" s="4"/>
      <c r="BJ8002" s="12"/>
      <c r="BK8002" s="2"/>
      <c r="BL8002" s="2"/>
      <c r="BM8002" s="4"/>
      <c r="BN8002" s="12"/>
      <c r="BO8002" s="12"/>
      <c r="BP8002" s="12"/>
      <c r="BQ8002" s="4"/>
      <c r="BR8002" s="4"/>
      <c r="BS8002" s="4"/>
      <c r="BT8002" s="2"/>
      <c r="BU8002" s="9"/>
      <c r="BV8002" s="381"/>
      <c r="BW8002" s="382"/>
      <c r="BX8002" s="383"/>
      <c r="BY8002" s="383" t="s">
        <v>84</v>
      </c>
      <c r="BZ8002" s="383"/>
      <c r="CA8002" s="384" t="s">
        <v>413</v>
      </c>
      <c r="CB8002" s="411"/>
    </row>
    <row r="8003" spans="1:80" s="392" customFormat="1" ht="15" x14ac:dyDescent="0.25">
      <c r="A8003" s="385"/>
      <c r="D8003" s="700"/>
      <c r="E8003" s="397"/>
      <c r="H8003" s="401">
        <v>3</v>
      </c>
      <c r="I8003" s="401"/>
      <c r="J8003" s="401"/>
      <c r="K8003" s="401"/>
      <c r="L8003" s="675"/>
      <c r="M8003" s="672">
        <v>30818</v>
      </c>
      <c r="N8003" s="623">
        <v>0.43638424482856336</v>
      </c>
      <c r="O8003" s="624">
        <v>1.1007175573333335E-3</v>
      </c>
      <c r="P8003" s="397"/>
      <c r="Q8003" s="397"/>
      <c r="R8003" s="397"/>
      <c r="S8003" s="397"/>
      <c r="T8003" s="397"/>
      <c r="U8003" s="397"/>
      <c r="V8003" s="397"/>
      <c r="W8003" s="397"/>
      <c r="X8003" s="397"/>
      <c r="Y8003" s="397"/>
      <c r="Z8003" s="397"/>
      <c r="AC8003" s="115">
        <v>1.6E-2</v>
      </c>
      <c r="AD8003" s="388">
        <v>3.1699200000000003</v>
      </c>
      <c r="AE8003" s="388">
        <v>0.19812000000000002</v>
      </c>
      <c r="AF8003" s="388">
        <v>0.62802455040000016</v>
      </c>
      <c r="AG8003" s="388">
        <v>0.70104</v>
      </c>
      <c r="AH8003" s="391"/>
      <c r="AI8003" s="397"/>
      <c r="AJ8003" s="397"/>
      <c r="AU8003" s="397"/>
      <c r="AV8003" s="397"/>
      <c r="AW8003" s="397"/>
      <c r="AX8003" s="397"/>
      <c r="BI8003" s="397"/>
      <c r="BJ8003" s="397"/>
      <c r="BK8003" s="397"/>
      <c r="BL8003" s="397"/>
      <c r="BM8003" s="397"/>
      <c r="BN8003" s="397"/>
      <c r="BO8003" s="397"/>
      <c r="BP8003" s="397"/>
      <c r="BQ8003" s="397"/>
      <c r="BR8003" s="397"/>
      <c r="BS8003" s="397"/>
      <c r="BT8003" s="397"/>
      <c r="BU8003" s="397"/>
      <c r="BV8003" s="397"/>
      <c r="BW8003" s="397"/>
      <c r="BX8003" s="397"/>
      <c r="BY8003" s="397"/>
      <c r="BZ8003" s="397"/>
      <c r="CA8003" s="392" t="s">
        <v>413</v>
      </c>
    </row>
    <row r="8004" spans="1:80" s="392" customFormat="1" ht="15" x14ac:dyDescent="0.25">
      <c r="A8004" s="385"/>
      <c r="D8004" s="700"/>
      <c r="E8004" s="397"/>
      <c r="H8004" s="401">
        <v>3</v>
      </c>
      <c r="I8004" s="401"/>
      <c r="J8004" s="401"/>
      <c r="K8004" s="401"/>
      <c r="L8004" s="675"/>
      <c r="M8004" s="672">
        <v>30826</v>
      </c>
      <c r="N8004" s="623">
        <v>1.2298101445168603</v>
      </c>
      <c r="O8004" s="624">
        <v>1.9875209388266667E-2</v>
      </c>
      <c r="P8004" s="397"/>
      <c r="Q8004" s="397"/>
      <c r="R8004" s="397"/>
      <c r="S8004" s="397"/>
      <c r="T8004" s="397"/>
      <c r="U8004" s="397"/>
      <c r="V8004" s="397"/>
      <c r="W8004" s="397"/>
      <c r="X8004" s="397"/>
      <c r="Y8004" s="397"/>
      <c r="Z8004" s="397"/>
      <c r="AC8004" s="115">
        <v>1.6E-2</v>
      </c>
      <c r="AD8004" s="388">
        <v>3.3954720000000003</v>
      </c>
      <c r="AE8004" s="388">
        <v>0.35661599999999999</v>
      </c>
      <c r="AF8004" s="388">
        <v>1.2108796427520001</v>
      </c>
      <c r="AG8004" s="388">
        <v>1.0058400000000001</v>
      </c>
      <c r="AH8004" s="391"/>
      <c r="AI8004" s="397"/>
      <c r="AJ8004" s="397"/>
      <c r="AU8004" s="397"/>
      <c r="AV8004" s="397"/>
      <c r="AW8004" s="397"/>
      <c r="AX8004" s="397"/>
      <c r="BI8004" s="397"/>
      <c r="BJ8004" s="397"/>
      <c r="BK8004" s="397"/>
      <c r="BL8004" s="397"/>
      <c r="BM8004" s="397"/>
      <c r="BN8004" s="397"/>
      <c r="BO8004" s="397"/>
      <c r="BP8004" s="397"/>
      <c r="BQ8004" s="397"/>
      <c r="BR8004" s="397"/>
      <c r="BS8004" s="397"/>
      <c r="BT8004" s="397"/>
      <c r="BU8004" s="397"/>
      <c r="BV8004" s="397"/>
      <c r="BW8004" s="397"/>
      <c r="BX8004" s="397"/>
      <c r="BY8004" s="397"/>
      <c r="BZ8004" s="397"/>
      <c r="CA8004" s="392" t="s">
        <v>413</v>
      </c>
    </row>
    <row r="8005" spans="1:80" s="392" customFormat="1" ht="15" x14ac:dyDescent="0.25">
      <c r="A8005" s="385"/>
      <c r="D8005" s="700"/>
      <c r="E8005" s="397"/>
      <c r="H8005" s="401">
        <v>3</v>
      </c>
      <c r="I8005" s="401"/>
      <c r="J8005" s="401"/>
      <c r="K8005" s="401"/>
      <c r="L8005" s="675"/>
      <c r="M8005" s="672">
        <v>30831</v>
      </c>
      <c r="N8005" s="623">
        <v>1.2411448002266932</v>
      </c>
      <c r="O8005" s="624">
        <v>1.1959719613333334E-2</v>
      </c>
      <c r="P8005" s="397"/>
      <c r="Q8005" s="397"/>
      <c r="R8005" s="397"/>
      <c r="S8005" s="397"/>
      <c r="T8005" s="397"/>
      <c r="U8005" s="397"/>
      <c r="V8005" s="397"/>
      <c r="W8005" s="397"/>
      <c r="X8005" s="397"/>
      <c r="Y8005" s="397"/>
      <c r="Z8005" s="397"/>
      <c r="AC8005" s="115">
        <v>1.6E-2</v>
      </c>
      <c r="AD8005" s="388">
        <v>3.4442400000000002</v>
      </c>
      <c r="AE8005" s="388">
        <v>0.34137600000000007</v>
      </c>
      <c r="AF8005" s="388">
        <v>1.1757808742400002</v>
      </c>
      <c r="AG8005" s="388">
        <v>1.0515600000000001</v>
      </c>
      <c r="AH8005" s="391"/>
      <c r="AI8005" s="397"/>
      <c r="AJ8005" s="397"/>
      <c r="AU8005" s="397"/>
      <c r="AV8005" s="397"/>
      <c r="AW8005" s="397"/>
      <c r="AX8005" s="397"/>
      <c r="BI8005" s="397"/>
      <c r="BJ8005" s="397"/>
      <c r="BK8005" s="397"/>
      <c r="BL8005" s="397"/>
      <c r="BM8005" s="397"/>
      <c r="BN8005" s="397"/>
      <c r="BO8005" s="397"/>
      <c r="BP8005" s="397"/>
      <c r="BQ8005" s="397"/>
      <c r="BR8005" s="397"/>
      <c r="BS8005" s="397"/>
      <c r="BT8005" s="397"/>
      <c r="BU8005" s="397"/>
      <c r="BV8005" s="397"/>
      <c r="BW8005" s="397"/>
      <c r="BX8005" s="397"/>
      <c r="BY8005" s="397"/>
      <c r="BZ8005" s="397"/>
      <c r="CA8005" s="392" t="s">
        <v>413</v>
      </c>
    </row>
    <row r="8006" spans="1:80" s="392" customFormat="1" ht="15" x14ac:dyDescent="0.25">
      <c r="A8006" s="385"/>
      <c r="D8006" s="700"/>
      <c r="E8006" s="397"/>
      <c r="H8006" s="401">
        <v>3</v>
      </c>
      <c r="I8006" s="401"/>
      <c r="J8006" s="401"/>
      <c r="K8006" s="401"/>
      <c r="L8006" s="675"/>
      <c r="M8006" s="672">
        <v>30833</v>
      </c>
      <c r="N8006" s="623">
        <v>1.2128081609521111</v>
      </c>
      <c r="O8006" s="624">
        <v>7.8592443173333346E-3</v>
      </c>
      <c r="P8006" s="397"/>
      <c r="Q8006" s="397"/>
      <c r="R8006" s="397"/>
      <c r="S8006" s="397"/>
      <c r="T8006" s="397"/>
      <c r="U8006" s="397"/>
      <c r="V8006" s="397"/>
      <c r="W8006" s="397"/>
      <c r="X8006" s="397"/>
      <c r="Y8006" s="397"/>
      <c r="Z8006" s="397"/>
      <c r="AC8006" s="115">
        <v>1.6E-2</v>
      </c>
      <c r="AD8006" s="388">
        <v>3.4442400000000002</v>
      </c>
      <c r="AE8006" s="388">
        <v>0.37795200000000001</v>
      </c>
      <c r="AF8006" s="388">
        <v>1.3017573964800002</v>
      </c>
      <c r="AG8006" s="388">
        <v>0.93573600000000001</v>
      </c>
      <c r="AH8006" s="391"/>
      <c r="AI8006" s="397"/>
      <c r="AJ8006" s="397"/>
      <c r="AU8006" s="397"/>
      <c r="AV8006" s="397"/>
      <c r="AW8006" s="397"/>
      <c r="AX8006" s="397"/>
      <c r="BI8006" s="397"/>
      <c r="BJ8006" s="397"/>
      <c r="BK8006" s="397"/>
      <c r="BL8006" s="397"/>
      <c r="BM8006" s="397"/>
      <c r="BN8006" s="397"/>
      <c r="BO8006" s="397"/>
      <c r="BP8006" s="397"/>
      <c r="BQ8006" s="397"/>
      <c r="BR8006" s="397"/>
      <c r="BS8006" s="397"/>
      <c r="BT8006" s="397"/>
      <c r="BU8006" s="397"/>
      <c r="BV8006" s="397"/>
      <c r="BW8006" s="397"/>
      <c r="BX8006" s="397"/>
      <c r="BY8006" s="397"/>
      <c r="BZ8006" s="397"/>
      <c r="CA8006" s="392" t="s">
        <v>413</v>
      </c>
    </row>
    <row r="8007" spans="1:80" s="392" customFormat="1" ht="15" x14ac:dyDescent="0.25">
      <c r="A8007" s="385"/>
      <c r="D8007" s="700"/>
      <c r="E8007" s="397"/>
      <c r="H8007" s="401">
        <v>3</v>
      </c>
      <c r="I8007" s="401"/>
      <c r="J8007" s="401"/>
      <c r="K8007" s="401"/>
      <c r="L8007" s="675"/>
      <c r="M8007" s="672">
        <v>30839</v>
      </c>
      <c r="N8007" s="623">
        <v>0.96344573533578914</v>
      </c>
      <c r="O8007" s="624">
        <v>9.706877359999998E-4</v>
      </c>
      <c r="P8007" s="397"/>
      <c r="Q8007" s="397"/>
      <c r="R8007" s="397"/>
      <c r="S8007" s="397"/>
      <c r="T8007" s="397"/>
      <c r="U8007" s="397"/>
      <c r="V8007" s="397"/>
      <c r="W8007" s="397"/>
      <c r="X8007" s="397"/>
      <c r="Y8007" s="397"/>
      <c r="Z8007" s="397"/>
      <c r="AC8007" s="115">
        <v>1.6E-2</v>
      </c>
      <c r="AD8007" s="388">
        <v>3.2613599999999998</v>
      </c>
      <c r="AE8007" s="388">
        <v>0.33223200000000003</v>
      </c>
      <c r="AF8007" s="388">
        <v>1.08352815552</v>
      </c>
      <c r="AG8007" s="388">
        <v>0.88392000000000004</v>
      </c>
      <c r="AH8007" s="391"/>
      <c r="AI8007" s="397"/>
      <c r="AJ8007" s="397"/>
      <c r="AU8007" s="397"/>
      <c r="AV8007" s="397"/>
      <c r="AW8007" s="397"/>
      <c r="AX8007" s="397"/>
      <c r="BI8007" s="397"/>
      <c r="BJ8007" s="397"/>
      <c r="BK8007" s="397"/>
      <c r="BL8007" s="397"/>
      <c r="BM8007" s="397"/>
      <c r="BN8007" s="397"/>
      <c r="BO8007" s="397"/>
      <c r="BP8007" s="397"/>
      <c r="BQ8007" s="397"/>
      <c r="BR8007" s="397"/>
      <c r="BS8007" s="397"/>
      <c r="BT8007" s="397"/>
      <c r="BU8007" s="397"/>
      <c r="BV8007" s="397"/>
      <c r="BW8007" s="397"/>
      <c r="BX8007" s="397"/>
      <c r="BY8007" s="397"/>
      <c r="BZ8007" s="397"/>
      <c r="CA8007" s="392" t="s">
        <v>413</v>
      </c>
    </row>
    <row r="8008" spans="1:80" s="392" customFormat="1" ht="15" x14ac:dyDescent="0.25">
      <c r="A8008" s="385"/>
      <c r="D8008" s="700"/>
      <c r="E8008" s="397"/>
      <c r="H8008" s="401">
        <v>3</v>
      </c>
      <c r="I8008" s="401"/>
      <c r="J8008" s="401"/>
      <c r="K8008" s="401"/>
      <c r="L8008" s="675"/>
      <c r="M8008" s="672">
        <v>30845</v>
      </c>
      <c r="N8008" s="623">
        <v>0.7905922357608387</v>
      </c>
      <c r="O8008" s="624">
        <v>1.4103699690666667E-2</v>
      </c>
      <c r="P8008" s="397"/>
      <c r="Q8008" s="397"/>
      <c r="R8008" s="397"/>
      <c r="S8008" s="397"/>
      <c r="T8008" s="397"/>
      <c r="U8008" s="397"/>
      <c r="V8008" s="397"/>
      <c r="W8008" s="397"/>
      <c r="X8008" s="397"/>
      <c r="Y8008" s="397"/>
      <c r="Z8008" s="397"/>
      <c r="AC8008" s="115">
        <v>1.6E-2</v>
      </c>
      <c r="AD8008" s="388">
        <v>3.23088</v>
      </c>
      <c r="AE8008" s="388">
        <v>0.33223200000000003</v>
      </c>
      <c r="AF8008" s="388">
        <v>1.07340172416</v>
      </c>
      <c r="AG8008" s="388">
        <v>0.73456800000000011</v>
      </c>
      <c r="AH8008" s="391"/>
      <c r="AI8008" s="397"/>
      <c r="AJ8008" s="397"/>
      <c r="AU8008" s="397"/>
      <c r="AV8008" s="397"/>
      <c r="AW8008" s="397"/>
      <c r="AX8008" s="397"/>
      <c r="BI8008" s="397"/>
      <c r="BJ8008" s="397"/>
      <c r="BK8008" s="397"/>
      <c r="BL8008" s="397"/>
      <c r="BM8008" s="397"/>
      <c r="BN8008" s="397"/>
      <c r="BO8008" s="397"/>
      <c r="BP8008" s="397"/>
      <c r="BQ8008" s="397"/>
      <c r="BR8008" s="397"/>
      <c r="BS8008" s="397"/>
      <c r="BT8008" s="397"/>
      <c r="BU8008" s="397"/>
      <c r="BV8008" s="397"/>
      <c r="BW8008" s="397"/>
      <c r="BX8008" s="397"/>
      <c r="BY8008" s="397"/>
      <c r="BZ8008" s="397"/>
      <c r="CA8008" s="392" t="s">
        <v>413</v>
      </c>
    </row>
    <row r="8009" spans="1:80" s="392" customFormat="1" ht="15" x14ac:dyDescent="0.25">
      <c r="A8009" s="385"/>
      <c r="D8009" s="700"/>
      <c r="E8009" s="397"/>
      <c r="H8009" s="401">
        <v>3</v>
      </c>
      <c r="I8009" s="401"/>
      <c r="J8009" s="401"/>
      <c r="K8009" s="401"/>
      <c r="L8009" s="675"/>
      <c r="M8009" s="672">
        <v>30847</v>
      </c>
      <c r="N8009" s="623">
        <v>1.4536695947860583</v>
      </c>
      <c r="O8009" s="624">
        <v>3.3266466615999996E-2</v>
      </c>
      <c r="P8009" s="397"/>
      <c r="Q8009" s="397"/>
      <c r="R8009" s="397"/>
      <c r="S8009" s="397"/>
      <c r="T8009" s="397"/>
      <c r="U8009" s="397"/>
      <c r="V8009" s="397"/>
      <c r="W8009" s="397"/>
      <c r="X8009" s="397"/>
      <c r="Y8009" s="397"/>
      <c r="Z8009" s="397"/>
      <c r="AC8009" s="115">
        <v>1.6E-2</v>
      </c>
      <c r="AD8009" s="388">
        <v>3.4747200000000005</v>
      </c>
      <c r="AE8009" s="388">
        <v>0.39624000000000004</v>
      </c>
      <c r="AF8009" s="388">
        <v>1.3768230528000003</v>
      </c>
      <c r="AG8009" s="388">
        <v>1.054608</v>
      </c>
      <c r="AH8009" s="391"/>
      <c r="AI8009" s="397"/>
      <c r="AJ8009" s="397"/>
      <c r="AU8009" s="397"/>
      <c r="AV8009" s="397"/>
      <c r="AW8009" s="397"/>
      <c r="AX8009" s="397"/>
      <c r="BI8009" s="397"/>
      <c r="BJ8009" s="397"/>
      <c r="BK8009" s="397"/>
      <c r="BL8009" s="397"/>
      <c r="BM8009" s="397"/>
      <c r="BN8009" s="397"/>
      <c r="BO8009" s="397"/>
      <c r="BP8009" s="397"/>
      <c r="BQ8009" s="397"/>
      <c r="BR8009" s="397"/>
      <c r="BS8009" s="397"/>
      <c r="BT8009" s="397"/>
      <c r="BU8009" s="397"/>
      <c r="BV8009" s="397"/>
      <c r="BW8009" s="397"/>
      <c r="BX8009" s="397"/>
      <c r="BY8009" s="397"/>
      <c r="BZ8009" s="397"/>
      <c r="CA8009" s="392" t="s">
        <v>413</v>
      </c>
    </row>
    <row r="8010" spans="1:80" s="392" customFormat="1" ht="15" x14ac:dyDescent="0.25">
      <c r="A8010" s="385"/>
      <c r="D8010" s="700"/>
      <c r="E8010" s="397"/>
      <c r="H8010" s="401">
        <v>3</v>
      </c>
      <c r="I8010" s="401"/>
      <c r="J8010" s="401"/>
      <c r="K8010" s="401"/>
      <c r="L8010" s="675"/>
      <c r="M8010" s="672">
        <v>30851</v>
      </c>
      <c r="N8010" s="623">
        <v>1.3941626523094361</v>
      </c>
      <c r="O8010" s="624">
        <v>4.7415525546666672E-3</v>
      </c>
      <c r="P8010" s="397"/>
      <c r="Q8010" s="397"/>
      <c r="R8010" s="397"/>
      <c r="S8010" s="397"/>
      <c r="T8010" s="397"/>
      <c r="U8010" s="397"/>
      <c r="V8010" s="397"/>
      <c r="W8010" s="397"/>
      <c r="X8010" s="397"/>
      <c r="Y8010" s="397"/>
      <c r="Z8010" s="397"/>
      <c r="AC8010" s="115">
        <v>1.6E-2</v>
      </c>
      <c r="AD8010" s="388">
        <v>3.4137599999999999</v>
      </c>
      <c r="AE8010" s="388">
        <v>0.38100000000000001</v>
      </c>
      <c r="AF8010" s="388">
        <v>1.30064256</v>
      </c>
      <c r="AG8010" s="388">
        <v>1.0668</v>
      </c>
      <c r="AH8010" s="391"/>
      <c r="AI8010" s="397"/>
      <c r="AJ8010" s="397"/>
      <c r="AU8010" s="397"/>
      <c r="AV8010" s="397"/>
      <c r="AW8010" s="397"/>
      <c r="AX8010" s="397"/>
      <c r="BI8010" s="397"/>
      <c r="BJ8010" s="397"/>
      <c r="BK8010" s="397"/>
      <c r="BL8010" s="397"/>
      <c r="BM8010" s="397"/>
      <c r="BN8010" s="397"/>
      <c r="BO8010" s="397"/>
      <c r="BP8010" s="397"/>
      <c r="BQ8010" s="397"/>
      <c r="BR8010" s="397"/>
      <c r="BS8010" s="397"/>
      <c r="BT8010" s="397"/>
      <c r="BU8010" s="397"/>
      <c r="BV8010" s="397"/>
      <c r="BW8010" s="397"/>
      <c r="BX8010" s="397"/>
      <c r="BY8010" s="397"/>
      <c r="BZ8010" s="397"/>
      <c r="CA8010" s="392" t="s">
        <v>413</v>
      </c>
    </row>
    <row r="8011" spans="1:80" s="392" customFormat="1" ht="15" x14ac:dyDescent="0.25">
      <c r="A8011" s="385"/>
      <c r="D8011" s="700"/>
      <c r="E8011" s="397"/>
      <c r="H8011" s="401">
        <v>3</v>
      </c>
      <c r="I8011" s="401"/>
      <c r="J8011" s="401"/>
      <c r="K8011" s="401"/>
      <c r="L8011" s="675"/>
      <c r="M8011" s="672">
        <v>30855</v>
      </c>
      <c r="N8011" s="623">
        <v>1.4820062340606404</v>
      </c>
      <c r="O8011" s="624">
        <v>1.0837834410666668E-2</v>
      </c>
      <c r="P8011" s="397"/>
      <c r="Q8011" s="397"/>
      <c r="R8011" s="397"/>
      <c r="S8011" s="397"/>
      <c r="T8011" s="397"/>
      <c r="U8011" s="397"/>
      <c r="V8011" s="397"/>
      <c r="W8011" s="397"/>
      <c r="X8011" s="397"/>
      <c r="Y8011" s="397"/>
      <c r="Z8011" s="397"/>
      <c r="AC8011" s="115">
        <v>1.6E-2</v>
      </c>
      <c r="AD8011" s="388">
        <v>3.4137599999999999</v>
      </c>
      <c r="AE8011" s="388">
        <v>0.39319200000000004</v>
      </c>
      <c r="AF8011" s="388">
        <v>1.3422631219200001</v>
      </c>
      <c r="AG8011" s="388">
        <v>1.100328</v>
      </c>
      <c r="AH8011" s="391"/>
      <c r="AI8011" s="397"/>
      <c r="AJ8011" s="397"/>
      <c r="AU8011" s="397"/>
      <c r="AV8011" s="397"/>
      <c r="AW8011" s="397"/>
      <c r="AX8011" s="397"/>
      <c r="BI8011" s="397"/>
      <c r="BJ8011" s="397"/>
      <c r="BK8011" s="397"/>
      <c r="BL8011" s="397"/>
      <c r="BM8011" s="397"/>
      <c r="BN8011" s="397"/>
      <c r="BO8011" s="397"/>
      <c r="BP8011" s="397"/>
      <c r="BQ8011" s="397"/>
      <c r="BR8011" s="397"/>
      <c r="BS8011" s="397"/>
      <c r="BT8011" s="397"/>
      <c r="BU8011" s="397"/>
      <c r="BV8011" s="397"/>
      <c r="BW8011" s="397"/>
      <c r="BX8011" s="397"/>
      <c r="BY8011" s="397"/>
      <c r="BZ8011" s="397"/>
      <c r="CA8011" s="392" t="s">
        <v>413</v>
      </c>
    </row>
    <row r="8012" spans="1:80" s="392" customFormat="1" ht="15" x14ac:dyDescent="0.25">
      <c r="A8012" s="385"/>
      <c r="D8012" s="700"/>
      <c r="E8012" s="397"/>
      <c r="H8012" s="401">
        <v>3</v>
      </c>
      <c r="I8012" s="401"/>
      <c r="J8012" s="401"/>
      <c r="K8012" s="401"/>
      <c r="L8012" s="675"/>
      <c r="M8012" s="672">
        <v>30859</v>
      </c>
      <c r="N8012" s="623">
        <v>1.4026636440918108</v>
      </c>
      <c r="O8012" s="624">
        <v>4.3953103559999998E-2</v>
      </c>
      <c r="P8012" s="397"/>
      <c r="Q8012" s="397"/>
      <c r="R8012" s="397"/>
      <c r="S8012" s="397"/>
      <c r="T8012" s="397"/>
      <c r="U8012" s="397"/>
      <c r="V8012" s="397"/>
      <c r="W8012" s="397"/>
      <c r="X8012" s="397"/>
      <c r="Y8012" s="397"/>
      <c r="Z8012" s="397"/>
      <c r="AC8012" s="115">
        <v>1.6E-2</v>
      </c>
      <c r="AD8012" s="388">
        <v>3.4747200000000005</v>
      </c>
      <c r="AE8012" s="388">
        <v>0.40843200000000002</v>
      </c>
      <c r="AF8012" s="388">
        <v>1.4191868390400002</v>
      </c>
      <c r="AG8012" s="388">
        <v>0.99364799999999998</v>
      </c>
      <c r="AH8012" s="391"/>
      <c r="AI8012" s="397"/>
      <c r="AJ8012" s="397"/>
      <c r="AU8012" s="397"/>
      <c r="AV8012" s="397"/>
      <c r="AW8012" s="397"/>
      <c r="AX8012" s="397"/>
      <c r="BI8012" s="397"/>
      <c r="BJ8012" s="397"/>
      <c r="BK8012" s="397"/>
      <c r="BL8012" s="397"/>
      <c r="BM8012" s="397"/>
      <c r="BN8012" s="397"/>
      <c r="BO8012" s="397"/>
      <c r="BP8012" s="397"/>
      <c r="BQ8012" s="397"/>
      <c r="BR8012" s="397"/>
      <c r="BS8012" s="397"/>
      <c r="BT8012" s="397"/>
      <c r="BU8012" s="397"/>
      <c r="BV8012" s="397"/>
      <c r="BW8012" s="397"/>
      <c r="BX8012" s="397"/>
      <c r="BY8012" s="397"/>
      <c r="BZ8012" s="397"/>
      <c r="CA8012" s="392" t="s">
        <v>413</v>
      </c>
    </row>
    <row r="8013" spans="1:80" s="392" customFormat="1" ht="15" x14ac:dyDescent="0.25">
      <c r="A8013" s="385"/>
      <c r="D8013" s="700"/>
      <c r="E8013" s="397"/>
      <c r="H8013" s="401">
        <v>3</v>
      </c>
      <c r="I8013" s="401"/>
      <c r="J8013" s="401"/>
      <c r="K8013" s="401"/>
      <c r="L8013" s="675"/>
      <c r="M8013" s="672">
        <v>30862</v>
      </c>
      <c r="N8013" s="623">
        <v>1.5358458486823463</v>
      </c>
      <c r="O8013" s="624">
        <v>1.0698732741333331E-2</v>
      </c>
      <c r="P8013" s="397"/>
      <c r="Q8013" s="397"/>
      <c r="R8013" s="397"/>
      <c r="S8013" s="397"/>
      <c r="T8013" s="397"/>
      <c r="U8013" s="397"/>
      <c r="V8013" s="397"/>
      <c r="W8013" s="397"/>
      <c r="X8013" s="397"/>
      <c r="Y8013" s="397"/>
      <c r="Z8013" s="397"/>
      <c r="AC8013" s="115">
        <v>1.6E-2</v>
      </c>
      <c r="AD8013" s="388">
        <v>3.5356800000000002</v>
      </c>
      <c r="AE8013" s="388">
        <v>0.38100000000000001</v>
      </c>
      <c r="AF8013" s="388">
        <v>1.34709408</v>
      </c>
      <c r="AG8013" s="388">
        <v>1.1399520000000001</v>
      </c>
      <c r="AH8013" s="391"/>
      <c r="AI8013" s="397"/>
      <c r="AJ8013" s="397"/>
      <c r="AU8013" s="397"/>
      <c r="AV8013" s="397"/>
      <c r="AW8013" s="397"/>
      <c r="AX8013" s="397"/>
      <c r="BI8013" s="397"/>
      <c r="BJ8013" s="397"/>
      <c r="BK8013" s="397"/>
      <c r="BL8013" s="397"/>
      <c r="BM8013" s="397"/>
      <c r="BN8013" s="397"/>
      <c r="BO8013" s="397"/>
      <c r="BP8013" s="397"/>
      <c r="BQ8013" s="397"/>
      <c r="BR8013" s="397"/>
      <c r="BS8013" s="397"/>
      <c r="BT8013" s="397"/>
      <c r="BU8013" s="397"/>
      <c r="BV8013" s="397"/>
      <c r="BW8013" s="397"/>
      <c r="BX8013" s="397"/>
      <c r="BY8013" s="397"/>
      <c r="BZ8013" s="397"/>
      <c r="CA8013" s="392" t="s">
        <v>413</v>
      </c>
    </row>
    <row r="8014" spans="1:80" s="392" customFormat="1" ht="15" x14ac:dyDescent="0.25">
      <c r="A8014" s="385"/>
      <c r="D8014" s="700"/>
      <c r="E8014" s="397"/>
      <c r="H8014" s="401">
        <v>3</v>
      </c>
      <c r="I8014" s="401"/>
      <c r="J8014" s="401"/>
      <c r="K8014" s="401"/>
      <c r="L8014" s="675"/>
      <c r="M8014" s="672">
        <v>30866</v>
      </c>
      <c r="N8014" s="623">
        <v>1.657693397563049</v>
      </c>
      <c r="O8014" s="624">
        <v>5.1301300439999982E-3</v>
      </c>
      <c r="P8014" s="397"/>
      <c r="Q8014" s="397"/>
      <c r="R8014" s="397"/>
      <c r="S8014" s="397"/>
      <c r="T8014" s="397"/>
      <c r="U8014" s="397"/>
      <c r="V8014" s="397"/>
      <c r="W8014" s="397"/>
      <c r="X8014" s="397"/>
      <c r="Y8014" s="397"/>
      <c r="Z8014" s="397"/>
      <c r="AC8014" s="115">
        <v>1.6E-2</v>
      </c>
      <c r="AD8014" s="388">
        <v>3.56616</v>
      </c>
      <c r="AE8014" s="388">
        <v>0.39624000000000004</v>
      </c>
      <c r="AF8014" s="388">
        <v>1.4130552384000001</v>
      </c>
      <c r="AG8014" s="388">
        <v>1.1734800000000001</v>
      </c>
      <c r="AH8014" s="391"/>
      <c r="AI8014" s="397"/>
      <c r="AJ8014" s="397"/>
      <c r="AU8014" s="397"/>
      <c r="AV8014" s="397"/>
      <c r="AW8014" s="397"/>
      <c r="AX8014" s="397"/>
      <c r="BI8014" s="397"/>
      <c r="BJ8014" s="397"/>
      <c r="BK8014" s="397"/>
      <c r="BL8014" s="397"/>
      <c r="BM8014" s="397"/>
      <c r="BN8014" s="397"/>
      <c r="BO8014" s="397"/>
      <c r="BP8014" s="397"/>
      <c r="BQ8014" s="397"/>
      <c r="BR8014" s="397"/>
      <c r="BS8014" s="397"/>
      <c r="BT8014" s="397"/>
      <c r="BU8014" s="397"/>
      <c r="BV8014" s="397"/>
      <c r="BW8014" s="397"/>
      <c r="BX8014" s="397"/>
      <c r="BY8014" s="397"/>
      <c r="BZ8014" s="397"/>
      <c r="CA8014" s="392" t="s">
        <v>413</v>
      </c>
    </row>
    <row r="8015" spans="1:80" s="392" customFormat="1" ht="15" x14ac:dyDescent="0.25">
      <c r="A8015" s="385"/>
      <c r="D8015" s="700"/>
      <c r="E8015" s="397"/>
      <c r="H8015" s="401">
        <v>3</v>
      </c>
      <c r="I8015" s="401"/>
      <c r="J8015" s="401"/>
      <c r="K8015" s="401"/>
      <c r="L8015" s="675"/>
      <c r="M8015" s="672">
        <v>30869</v>
      </c>
      <c r="N8015" s="623">
        <v>1.405497308019269</v>
      </c>
      <c r="O8015" s="624">
        <v>3.0481409279999997E-3</v>
      </c>
      <c r="P8015" s="397"/>
      <c r="Q8015" s="397"/>
      <c r="R8015" s="397"/>
      <c r="S8015" s="397"/>
      <c r="T8015" s="397"/>
      <c r="U8015" s="397"/>
      <c r="V8015" s="397"/>
      <c r="W8015" s="397"/>
      <c r="X8015" s="397"/>
      <c r="Y8015" s="397"/>
      <c r="Z8015" s="397"/>
      <c r="AC8015" s="115">
        <v>1.6E-2</v>
      </c>
      <c r="AD8015" s="388">
        <v>3.4137599999999999</v>
      </c>
      <c r="AE8015" s="388">
        <v>0.37795200000000001</v>
      </c>
      <c r="AF8015" s="388">
        <v>1.2902374195199999</v>
      </c>
      <c r="AG8015" s="388">
        <v>1.0911840000000002</v>
      </c>
      <c r="AH8015" s="391"/>
      <c r="AI8015" s="397"/>
      <c r="AJ8015" s="397"/>
      <c r="AU8015" s="397"/>
      <c r="AV8015" s="397"/>
      <c r="AW8015" s="397"/>
      <c r="AX8015" s="397"/>
      <c r="BI8015" s="397"/>
      <c r="BJ8015" s="397"/>
      <c r="BK8015" s="397"/>
      <c r="BL8015" s="397"/>
      <c r="BM8015" s="397"/>
      <c r="BN8015" s="397"/>
      <c r="BO8015" s="397"/>
      <c r="BP8015" s="397"/>
      <c r="BQ8015" s="397"/>
      <c r="BR8015" s="397"/>
      <c r="BS8015" s="397"/>
      <c r="BT8015" s="397"/>
      <c r="BU8015" s="397"/>
      <c r="BV8015" s="397"/>
      <c r="BW8015" s="397"/>
      <c r="BX8015" s="397"/>
      <c r="BY8015" s="397"/>
      <c r="BZ8015" s="397"/>
      <c r="CA8015" s="392" t="s">
        <v>413</v>
      </c>
    </row>
    <row r="8016" spans="1:80" s="392" customFormat="1" ht="15" x14ac:dyDescent="0.25">
      <c r="A8016" s="385"/>
      <c r="D8016" s="700"/>
      <c r="E8016" s="397"/>
      <c r="H8016" s="401">
        <v>3</v>
      </c>
      <c r="I8016" s="401"/>
      <c r="J8016" s="401"/>
      <c r="K8016" s="401"/>
      <c r="L8016" s="675"/>
      <c r="M8016" s="672">
        <v>30873</v>
      </c>
      <c r="N8016" s="623">
        <v>2.184754888070275</v>
      </c>
      <c r="O8016" s="624">
        <v>1.0615574134666666E-2</v>
      </c>
      <c r="P8016" s="397"/>
      <c r="Q8016" s="397"/>
      <c r="R8016" s="397"/>
      <c r="S8016" s="397"/>
      <c r="T8016" s="397"/>
      <c r="U8016" s="397"/>
      <c r="V8016" s="397"/>
      <c r="W8016" s="397"/>
      <c r="X8016" s="397"/>
      <c r="Y8016" s="397"/>
      <c r="Z8016" s="397"/>
      <c r="AC8016" s="115">
        <v>1.7999999999999999E-2</v>
      </c>
      <c r="AD8016" s="388">
        <v>3.6271200000000001</v>
      </c>
      <c r="AE8016" s="388">
        <v>0.44805600000000001</v>
      </c>
      <c r="AF8016" s="388">
        <v>1.62515287872</v>
      </c>
      <c r="AG8016" s="388">
        <v>1.3380719999999999</v>
      </c>
      <c r="AH8016" s="391"/>
      <c r="AI8016" s="397"/>
      <c r="AJ8016" s="397"/>
      <c r="AU8016" s="397"/>
      <c r="AV8016" s="397"/>
      <c r="AW8016" s="397"/>
      <c r="AX8016" s="397"/>
      <c r="BI8016" s="397"/>
      <c r="BJ8016" s="397"/>
      <c r="BK8016" s="397"/>
      <c r="BL8016" s="397"/>
      <c r="BM8016" s="397"/>
      <c r="BN8016" s="397"/>
      <c r="BO8016" s="397"/>
      <c r="BP8016" s="397"/>
      <c r="BQ8016" s="397"/>
      <c r="BR8016" s="397"/>
      <c r="BS8016" s="397"/>
      <c r="BT8016" s="397"/>
      <c r="BU8016" s="397"/>
      <c r="BV8016" s="397"/>
      <c r="BW8016" s="397"/>
      <c r="BX8016" s="397"/>
      <c r="BY8016" s="397"/>
      <c r="BZ8016" s="397"/>
      <c r="CA8016" s="392" t="s">
        <v>413</v>
      </c>
    </row>
    <row r="8017" spans="1:80" s="392" customFormat="1" ht="15" x14ac:dyDescent="0.25">
      <c r="A8017" s="385"/>
      <c r="D8017" s="700"/>
      <c r="E8017" s="397"/>
      <c r="H8017" s="401">
        <v>3</v>
      </c>
      <c r="I8017" s="401"/>
      <c r="J8017" s="401"/>
      <c r="K8017" s="401"/>
      <c r="L8017" s="675"/>
      <c r="M8017" s="672">
        <v>30880</v>
      </c>
      <c r="N8017" s="623">
        <v>1.0824596202890338</v>
      </c>
      <c r="O8017" s="624">
        <v>3.3638412384000005E-2</v>
      </c>
      <c r="P8017" s="397"/>
      <c r="Q8017" s="397"/>
      <c r="R8017" s="397"/>
      <c r="S8017" s="397"/>
      <c r="T8017" s="397"/>
      <c r="U8017" s="397"/>
      <c r="V8017" s="397"/>
      <c r="W8017" s="397"/>
      <c r="X8017" s="397"/>
      <c r="Y8017" s="397"/>
      <c r="Z8017" s="397"/>
      <c r="AC8017" s="115">
        <v>1.7999999999999999E-2</v>
      </c>
      <c r="AD8017" s="388">
        <v>3.2918400000000005</v>
      </c>
      <c r="AE8017" s="388">
        <v>0.32004000000000005</v>
      </c>
      <c r="AF8017" s="388">
        <v>1.0535204736000003</v>
      </c>
      <c r="AG8017" s="388">
        <v>1.02108</v>
      </c>
      <c r="AH8017" s="391"/>
      <c r="AI8017" s="397"/>
      <c r="AJ8017" s="397"/>
      <c r="AU8017" s="397"/>
      <c r="AV8017" s="397"/>
      <c r="AW8017" s="397"/>
      <c r="AX8017" s="397"/>
      <c r="BI8017" s="397"/>
      <c r="BJ8017" s="397"/>
      <c r="BK8017" s="397"/>
      <c r="BL8017" s="397"/>
      <c r="BM8017" s="397"/>
      <c r="BN8017" s="397"/>
      <c r="BO8017" s="397"/>
      <c r="BP8017" s="397"/>
      <c r="BQ8017" s="397"/>
      <c r="BR8017" s="397"/>
      <c r="BS8017" s="397"/>
      <c r="BT8017" s="397"/>
      <c r="BU8017" s="397"/>
      <c r="BV8017" s="397"/>
      <c r="BW8017" s="397"/>
      <c r="BX8017" s="397"/>
      <c r="BY8017" s="397"/>
      <c r="BZ8017" s="397"/>
      <c r="CA8017" s="392" t="s">
        <v>413</v>
      </c>
    </row>
    <row r="8018" spans="1:80" s="392" customFormat="1" ht="15" x14ac:dyDescent="0.25">
      <c r="A8018" s="385"/>
      <c r="D8018" s="700"/>
      <c r="E8018" s="397"/>
      <c r="H8018" s="401">
        <v>3</v>
      </c>
      <c r="I8018" s="401"/>
      <c r="J8018" s="401"/>
      <c r="K8018" s="401"/>
      <c r="L8018" s="675"/>
      <c r="M8018" s="672">
        <v>30887</v>
      </c>
      <c r="N8018" s="623">
        <v>1.0824596202890338</v>
      </c>
      <c r="O8018" s="624">
        <v>2.8346501050666668E-2</v>
      </c>
      <c r="P8018" s="397"/>
      <c r="Q8018" s="397"/>
      <c r="R8018" s="397"/>
      <c r="S8018" s="397"/>
      <c r="T8018" s="397"/>
      <c r="U8018" s="397"/>
      <c r="V8018" s="397"/>
      <c r="W8018" s="397"/>
      <c r="X8018" s="397"/>
      <c r="Y8018" s="397"/>
      <c r="Z8018" s="397"/>
      <c r="AC8018" s="115">
        <v>1.7999999999999999E-2</v>
      </c>
      <c r="AD8018" s="388">
        <v>3.3223200000000004</v>
      </c>
      <c r="AE8018" s="388">
        <v>0.32613600000000004</v>
      </c>
      <c r="AF8018" s="388">
        <v>1.0835281555200003</v>
      </c>
      <c r="AG8018" s="388">
        <v>1.0058400000000001</v>
      </c>
      <c r="AH8018" s="391"/>
      <c r="AI8018" s="397"/>
      <c r="AJ8018" s="397"/>
      <c r="AU8018" s="397"/>
      <c r="AV8018" s="397"/>
      <c r="AW8018" s="397"/>
      <c r="AX8018" s="397"/>
      <c r="BI8018" s="397"/>
      <c r="BJ8018" s="397"/>
      <c r="BK8018" s="397"/>
      <c r="BL8018" s="397"/>
      <c r="BM8018" s="397"/>
      <c r="BN8018" s="397"/>
      <c r="BO8018" s="397"/>
      <c r="BP8018" s="397"/>
      <c r="BQ8018" s="397"/>
      <c r="BR8018" s="397"/>
      <c r="BS8018" s="397"/>
      <c r="BT8018" s="397"/>
      <c r="BU8018" s="397"/>
      <c r="BV8018" s="397"/>
      <c r="BW8018" s="397"/>
      <c r="BX8018" s="397"/>
      <c r="BY8018" s="397"/>
      <c r="BZ8018" s="397"/>
      <c r="CA8018" s="392" t="s">
        <v>413</v>
      </c>
    </row>
    <row r="8019" spans="1:80" s="392" customFormat="1" ht="15" x14ac:dyDescent="0.25">
      <c r="A8019" s="385"/>
      <c r="D8019" s="700"/>
      <c r="E8019" s="397"/>
      <c r="H8019" s="401">
        <v>3</v>
      </c>
      <c r="I8019" s="401"/>
      <c r="J8019" s="401"/>
      <c r="K8019" s="401"/>
      <c r="L8019" s="675"/>
      <c r="M8019" s="672">
        <v>30894</v>
      </c>
      <c r="N8019" s="623">
        <v>1.0796259563615755</v>
      </c>
      <c r="O8019" s="624" t="s">
        <v>71</v>
      </c>
      <c r="P8019" s="397"/>
      <c r="Q8019" s="397"/>
      <c r="R8019" s="397"/>
      <c r="S8019" s="397"/>
      <c r="T8019" s="397"/>
      <c r="U8019" s="397"/>
      <c r="V8019" s="397"/>
      <c r="W8019" s="397"/>
      <c r="X8019" s="397"/>
      <c r="Y8019" s="397"/>
      <c r="Z8019" s="397"/>
      <c r="AC8019" s="115">
        <v>1.7999999999999999E-2</v>
      </c>
      <c r="AD8019" s="388">
        <v>3.23088</v>
      </c>
      <c r="AE8019" s="388">
        <v>0.30480000000000002</v>
      </c>
      <c r="AF8019" s="388">
        <v>0.98477222400000008</v>
      </c>
      <c r="AG8019" s="388">
        <v>1.09728</v>
      </c>
      <c r="AH8019" s="391"/>
      <c r="AI8019" s="397"/>
      <c r="AJ8019" s="397"/>
      <c r="AU8019" s="397"/>
      <c r="AV8019" s="397"/>
      <c r="AW8019" s="397"/>
      <c r="AX8019" s="397"/>
      <c r="BI8019" s="397"/>
      <c r="BJ8019" s="397"/>
      <c r="BK8019" s="397"/>
      <c r="BL8019" s="397"/>
      <c r="BM8019" s="397"/>
      <c r="BN8019" s="397"/>
      <c r="BO8019" s="397"/>
      <c r="BP8019" s="397"/>
      <c r="BQ8019" s="397"/>
      <c r="BR8019" s="397"/>
      <c r="BS8019" s="397"/>
      <c r="BT8019" s="397"/>
      <c r="BU8019" s="397"/>
      <c r="BV8019" s="397"/>
      <c r="BW8019" s="397"/>
      <c r="BX8019" s="397"/>
      <c r="BY8019" s="397"/>
      <c r="BZ8019" s="397"/>
      <c r="CA8019" s="392" t="s">
        <v>413</v>
      </c>
    </row>
    <row r="8020" spans="1:80" s="392" customFormat="1" ht="15" x14ac:dyDescent="0.25">
      <c r="A8020" s="385"/>
      <c r="D8020" s="700"/>
      <c r="E8020" s="397"/>
      <c r="H8020" s="401">
        <v>3</v>
      </c>
      <c r="I8020" s="401"/>
      <c r="J8020" s="401"/>
      <c r="K8020" s="401"/>
      <c r="L8020" s="675"/>
      <c r="M8020" s="672">
        <v>30897</v>
      </c>
      <c r="N8020" s="623">
        <v>0.88126948143950135</v>
      </c>
      <c r="O8020" s="624">
        <v>3.49266148E-3</v>
      </c>
      <c r="P8020" s="397"/>
      <c r="Q8020" s="397"/>
      <c r="R8020" s="397"/>
      <c r="S8020" s="397"/>
      <c r="T8020" s="397"/>
      <c r="U8020" s="397"/>
      <c r="V8020" s="397"/>
      <c r="W8020" s="397"/>
      <c r="X8020" s="397"/>
      <c r="Y8020" s="397"/>
      <c r="Z8020" s="397"/>
      <c r="AC8020" s="115">
        <v>1.7999999999999999E-2</v>
      </c>
      <c r="AD8020" s="388">
        <v>3.2004000000000001</v>
      </c>
      <c r="AE8020" s="388">
        <v>0.30784800000000001</v>
      </c>
      <c r="AF8020" s="388">
        <v>0.9852367392000001</v>
      </c>
      <c r="AG8020" s="388">
        <v>0.89001600000000003</v>
      </c>
      <c r="AH8020" s="391"/>
      <c r="AI8020" s="397"/>
      <c r="AJ8020" s="397"/>
      <c r="AU8020" s="397"/>
      <c r="AV8020" s="397"/>
      <c r="AW8020" s="397"/>
      <c r="AX8020" s="397"/>
      <c r="BI8020" s="397"/>
      <c r="BJ8020" s="397"/>
      <c r="BK8020" s="397"/>
      <c r="BL8020" s="397"/>
      <c r="BM8020" s="397"/>
      <c r="BN8020" s="397"/>
      <c r="BO8020" s="397"/>
      <c r="BP8020" s="397"/>
      <c r="BQ8020" s="397"/>
      <c r="BR8020" s="397"/>
      <c r="BS8020" s="397"/>
      <c r="BT8020" s="397"/>
      <c r="BU8020" s="397"/>
      <c r="BV8020" s="397"/>
      <c r="BW8020" s="397"/>
      <c r="BX8020" s="397"/>
      <c r="BY8020" s="397"/>
      <c r="BZ8020" s="397"/>
      <c r="CA8020" s="392" t="s">
        <v>413</v>
      </c>
    </row>
    <row r="8021" spans="1:80" s="392" customFormat="1" ht="15" x14ac:dyDescent="0.25">
      <c r="A8021" s="385"/>
      <c r="D8021" s="700"/>
      <c r="E8021" s="397"/>
      <c r="H8021" s="401">
        <v>3</v>
      </c>
      <c r="I8021" s="401"/>
      <c r="J8021" s="401"/>
      <c r="K8021" s="401"/>
      <c r="L8021" s="675"/>
      <c r="M8021" s="672">
        <v>30902</v>
      </c>
      <c r="N8021" s="623">
        <v>0.95494474355341463</v>
      </c>
      <c r="O8021" s="624">
        <v>1.3063461120000001E-3</v>
      </c>
      <c r="P8021" s="397"/>
      <c r="Q8021" s="397"/>
      <c r="R8021" s="397"/>
      <c r="S8021" s="397"/>
      <c r="T8021" s="397"/>
      <c r="U8021" s="397"/>
      <c r="V8021" s="397"/>
      <c r="W8021" s="397"/>
      <c r="X8021" s="397"/>
      <c r="Y8021" s="397"/>
      <c r="Z8021" s="397"/>
      <c r="AC8021" s="115">
        <v>1.7999999999999999E-2</v>
      </c>
      <c r="AD8021" s="388">
        <v>3.2918400000000005</v>
      </c>
      <c r="AE8021" s="388">
        <v>0.30480000000000002</v>
      </c>
      <c r="AF8021" s="388">
        <v>1.0033528320000002</v>
      </c>
      <c r="AG8021" s="388">
        <v>0.96011999999999997</v>
      </c>
      <c r="AH8021" s="391"/>
      <c r="AI8021" s="397"/>
      <c r="AJ8021" s="397"/>
      <c r="AU8021" s="397"/>
      <c r="AV8021" s="397"/>
      <c r="AW8021" s="397"/>
      <c r="AX8021" s="397"/>
      <c r="BI8021" s="397"/>
      <c r="BJ8021" s="397"/>
      <c r="BK8021" s="397"/>
      <c r="BL8021" s="397"/>
      <c r="BM8021" s="397"/>
      <c r="BN8021" s="397"/>
      <c r="BO8021" s="397"/>
      <c r="BP8021" s="397"/>
      <c r="BQ8021" s="397"/>
      <c r="BR8021" s="397"/>
      <c r="BS8021" s="397"/>
      <c r="BT8021" s="397"/>
      <c r="BU8021" s="397"/>
      <c r="BV8021" s="397"/>
      <c r="BW8021" s="397"/>
      <c r="BX8021" s="397"/>
      <c r="BY8021" s="397"/>
      <c r="BZ8021" s="397"/>
      <c r="CA8021" s="392" t="s">
        <v>413</v>
      </c>
    </row>
    <row r="8022" spans="1:80" s="392" customFormat="1" ht="15" x14ac:dyDescent="0.25">
      <c r="A8022" s="385"/>
      <c r="D8022" s="700"/>
      <c r="E8022" s="397"/>
      <c r="H8022" s="401">
        <v>3</v>
      </c>
      <c r="I8022" s="401"/>
      <c r="J8022" s="401"/>
      <c r="K8022" s="401"/>
      <c r="L8022" s="675"/>
      <c r="M8022" s="672">
        <v>30922</v>
      </c>
      <c r="N8022" s="623">
        <v>1.3261547180504392</v>
      </c>
      <c r="O8022" s="624">
        <v>7.4162357400000007E-3</v>
      </c>
      <c r="P8022" s="397"/>
      <c r="Q8022" s="397"/>
      <c r="R8022" s="397"/>
      <c r="S8022" s="397"/>
      <c r="T8022" s="397"/>
      <c r="U8022" s="397"/>
      <c r="V8022" s="397"/>
      <c r="W8022" s="397"/>
      <c r="X8022" s="397"/>
      <c r="Y8022" s="397"/>
      <c r="Z8022" s="397"/>
      <c r="AC8022" s="115">
        <v>1.7999999999999999E-2</v>
      </c>
      <c r="AD8022" s="388">
        <v>3.3223200000000004</v>
      </c>
      <c r="AE8022" s="388">
        <v>0.36271199999999998</v>
      </c>
      <c r="AF8022" s="388">
        <v>1.2050453318400001</v>
      </c>
      <c r="AG8022" s="388">
        <v>1.1064240000000001</v>
      </c>
      <c r="AH8022" s="391"/>
      <c r="AI8022" s="397"/>
      <c r="AJ8022" s="397"/>
      <c r="AU8022" s="397"/>
      <c r="AV8022" s="397"/>
      <c r="AW8022" s="397"/>
      <c r="AX8022" s="397"/>
      <c r="BI8022" s="397"/>
      <c r="BJ8022" s="397"/>
      <c r="BK8022" s="397"/>
      <c r="BL8022" s="397"/>
      <c r="BM8022" s="397"/>
      <c r="BN8022" s="397"/>
      <c r="BO8022" s="397"/>
      <c r="BP8022" s="397"/>
      <c r="BQ8022" s="397"/>
      <c r="BR8022" s="397"/>
      <c r="BS8022" s="397"/>
      <c r="BT8022" s="397"/>
      <c r="BU8022" s="397"/>
      <c r="BV8022" s="397"/>
      <c r="BW8022" s="397"/>
      <c r="BX8022" s="397"/>
      <c r="BY8022" s="397"/>
      <c r="BZ8022" s="397"/>
      <c r="CA8022" s="392" t="s">
        <v>413</v>
      </c>
    </row>
    <row r="8023" spans="1:80" s="189" customFormat="1" ht="15" x14ac:dyDescent="0.25">
      <c r="A8023" s="381" t="s">
        <v>450</v>
      </c>
      <c r="B8023" s="641" t="s">
        <v>34</v>
      </c>
      <c r="C8023" s="639"/>
      <c r="D8023" s="4">
        <f>VLOOKUP(E8023,'Quality Code'!$D$4:$E$24,2,TRUE)*VLOOKUP(MROUND(F8023,10),'Quality Code'!$D$28:$E$69,2,TRUE)*VLOOKUP(COUNTA(CB8023:CB8033),'Quality Code'!$D$73:$E$93,2,TRUE)</f>
        <v>0.1</v>
      </c>
      <c r="E8023" s="14">
        <v>0.4</v>
      </c>
      <c r="F8023" s="2">
        <v>14</v>
      </c>
      <c r="G8023" s="12"/>
      <c r="H8023" s="2" t="s">
        <v>105</v>
      </c>
      <c r="I8023" s="2"/>
      <c r="J8023" s="2"/>
      <c r="K8023" s="2"/>
      <c r="L8023" s="639"/>
      <c r="M8023" s="640">
        <v>1984</v>
      </c>
      <c r="N8023" s="578" t="s">
        <v>110</v>
      </c>
      <c r="O8023" s="578"/>
      <c r="P8023" s="26"/>
      <c r="Q8023" s="26"/>
      <c r="R8023" s="26"/>
      <c r="S8023" s="26"/>
      <c r="T8023" s="26"/>
      <c r="U8023" s="26"/>
      <c r="V8023" s="10"/>
      <c r="W8023" s="10"/>
      <c r="X8023" s="10"/>
      <c r="Y8023" s="10"/>
      <c r="Z8023" s="26"/>
      <c r="AA8023" s="26"/>
      <c r="AB8023" s="26"/>
      <c r="AC8023" s="3">
        <v>1.7999999999999999E-2</v>
      </c>
      <c r="AD8023" s="406"/>
      <c r="AE8023" s="26"/>
      <c r="AF8023" s="26"/>
      <c r="AG8023" s="26"/>
      <c r="AH8023" s="26"/>
      <c r="AI8023" s="4"/>
      <c r="AJ8023" s="4"/>
      <c r="AK8023" s="26"/>
      <c r="AL8023" s="26"/>
      <c r="AM8023" s="26"/>
      <c r="AN8023" s="26"/>
      <c r="AO8023" s="26"/>
      <c r="AP8023" s="26"/>
      <c r="AQ8023" s="26"/>
      <c r="AR8023" s="26"/>
      <c r="AS8023" s="26"/>
      <c r="AT8023" s="26"/>
      <c r="AU8023" s="4"/>
      <c r="AV8023" s="4"/>
      <c r="AW8023" s="4"/>
      <c r="AX8023" s="4"/>
      <c r="AY8023" s="2"/>
      <c r="AZ8023" s="2"/>
      <c r="BA8023" s="12"/>
      <c r="BB8023" s="12"/>
      <c r="BC8023" s="12"/>
      <c r="BD8023" s="12"/>
      <c r="BE8023" s="12"/>
      <c r="BF8023" s="12"/>
      <c r="BG8023" s="12"/>
      <c r="BH8023" s="12"/>
      <c r="BI8023" s="4"/>
      <c r="BJ8023" s="12"/>
      <c r="BK8023" s="2"/>
      <c r="BL8023" s="2"/>
      <c r="BM8023" s="4"/>
      <c r="BN8023" s="12"/>
      <c r="BO8023" s="12"/>
      <c r="BP8023" s="12"/>
      <c r="BQ8023" s="4"/>
      <c r="BR8023" s="4"/>
      <c r="BS8023" s="4"/>
      <c r="BT8023" s="2"/>
      <c r="BU8023" s="9"/>
      <c r="BV8023" s="381"/>
      <c r="BW8023" s="382"/>
      <c r="BX8023" s="383"/>
      <c r="BY8023" s="383" t="s">
        <v>420</v>
      </c>
      <c r="BZ8023" s="383"/>
      <c r="CA8023" s="384" t="s">
        <v>413</v>
      </c>
      <c r="CB8023" s="411"/>
    </row>
    <row r="8024" spans="1:80" s="392" customFormat="1" ht="15" x14ac:dyDescent="0.25">
      <c r="A8024" s="385"/>
      <c r="D8024" s="700"/>
      <c r="E8024" s="397"/>
      <c r="H8024" s="401">
        <v>3</v>
      </c>
      <c r="I8024" s="401"/>
      <c r="J8024" s="401"/>
      <c r="K8024" s="401"/>
      <c r="L8024" s="675"/>
      <c r="M8024" s="672">
        <v>30804</v>
      </c>
      <c r="N8024" s="623">
        <v>0.13233210541229809</v>
      </c>
      <c r="O8024" s="624">
        <v>5.3977495600000007E-3</v>
      </c>
      <c r="P8024" s="397"/>
      <c r="Q8024" s="397"/>
      <c r="R8024" s="397"/>
      <c r="S8024" s="397"/>
      <c r="T8024" s="397"/>
      <c r="U8024" s="397"/>
      <c r="V8024" s="397"/>
      <c r="W8024" s="397"/>
      <c r="X8024" s="397"/>
      <c r="Y8024" s="397"/>
      <c r="Z8024" s="397"/>
      <c r="AD8024" s="388">
        <v>2.5908000000000002</v>
      </c>
      <c r="AE8024" s="388">
        <v>0.17983199999999999</v>
      </c>
      <c r="AF8024" s="388">
        <v>0.46590874560000001</v>
      </c>
      <c r="AG8024" s="388">
        <v>0.28346400000000005</v>
      </c>
      <c r="AH8024" s="391"/>
      <c r="AI8024" s="397"/>
      <c r="AJ8024" s="397"/>
      <c r="AU8024" s="397"/>
      <c r="AV8024" s="397"/>
      <c r="AW8024" s="397"/>
      <c r="AX8024" s="397"/>
      <c r="BI8024" s="397"/>
      <c r="BJ8024" s="397"/>
      <c r="BK8024" s="397"/>
      <c r="BL8024" s="397"/>
      <c r="BM8024" s="397"/>
      <c r="BN8024" s="397"/>
      <c r="BO8024" s="397"/>
      <c r="BP8024" s="397"/>
      <c r="BQ8024" s="397"/>
      <c r="BR8024" s="397"/>
      <c r="BS8024" s="397"/>
      <c r="BT8024" s="397"/>
      <c r="BU8024" s="397"/>
      <c r="BV8024" s="397"/>
      <c r="BW8024" s="397"/>
      <c r="BX8024" s="397"/>
      <c r="BY8024" s="397"/>
      <c r="BZ8024" s="397"/>
      <c r="CA8024" s="392" t="s">
        <v>413</v>
      </c>
    </row>
    <row r="8025" spans="1:80" s="392" customFormat="1" ht="15" x14ac:dyDescent="0.25">
      <c r="A8025" s="385"/>
      <c r="D8025" s="700"/>
      <c r="E8025" s="397"/>
      <c r="H8025" s="401">
        <v>3</v>
      </c>
      <c r="I8025" s="401"/>
      <c r="J8025" s="401"/>
      <c r="K8025" s="401"/>
      <c r="L8025" s="675"/>
      <c r="M8025" s="672">
        <v>30810</v>
      </c>
      <c r="N8025" s="623">
        <v>0.32728818362142253</v>
      </c>
      <c r="O8025" s="624">
        <v>1.1943995076800001E-2</v>
      </c>
      <c r="P8025" s="397"/>
      <c r="Q8025" s="397"/>
      <c r="R8025" s="397"/>
      <c r="S8025" s="397"/>
      <c r="T8025" s="397"/>
      <c r="U8025" s="397"/>
      <c r="V8025" s="397"/>
      <c r="W8025" s="397"/>
      <c r="X8025" s="397"/>
      <c r="Y8025" s="397"/>
      <c r="Z8025" s="397"/>
      <c r="AD8025" s="388">
        <v>2.7675840000000003</v>
      </c>
      <c r="AE8025" s="388">
        <v>0.19507200000000002</v>
      </c>
      <c r="AF8025" s="388">
        <v>0.53987814604800011</v>
      </c>
      <c r="AG8025" s="388">
        <v>0.60045599999999999</v>
      </c>
      <c r="AH8025" s="391"/>
      <c r="AI8025" s="397"/>
      <c r="AJ8025" s="397"/>
      <c r="AU8025" s="397"/>
      <c r="AV8025" s="397"/>
      <c r="AW8025" s="397"/>
      <c r="AX8025" s="397"/>
      <c r="BI8025" s="397"/>
      <c r="BJ8025" s="397"/>
      <c r="BK8025" s="397"/>
      <c r="BL8025" s="397"/>
      <c r="BM8025" s="397"/>
      <c r="BN8025" s="397"/>
      <c r="BO8025" s="397"/>
      <c r="BP8025" s="397"/>
      <c r="BQ8025" s="397"/>
      <c r="BR8025" s="397"/>
      <c r="BS8025" s="397"/>
      <c r="BT8025" s="397"/>
      <c r="BU8025" s="397"/>
      <c r="BV8025" s="397"/>
      <c r="BW8025" s="397"/>
      <c r="BX8025" s="397"/>
      <c r="BY8025" s="397"/>
      <c r="BZ8025" s="397"/>
      <c r="CA8025" s="392" t="s">
        <v>413</v>
      </c>
    </row>
    <row r="8026" spans="1:80" s="392" customFormat="1" ht="15" x14ac:dyDescent="0.25">
      <c r="A8026" s="385"/>
      <c r="D8026" s="700"/>
      <c r="E8026" s="397"/>
      <c r="H8026" s="401">
        <v>3</v>
      </c>
      <c r="I8026" s="401"/>
      <c r="J8026" s="401"/>
      <c r="K8026" s="401"/>
      <c r="L8026" s="675"/>
      <c r="M8026" s="672">
        <v>30813</v>
      </c>
      <c r="N8026" s="623">
        <v>0.49192405780674414</v>
      </c>
      <c r="O8026" s="624">
        <v>9.6766378666666673E-3</v>
      </c>
      <c r="P8026" s="397"/>
      <c r="Q8026" s="397"/>
      <c r="R8026" s="397"/>
      <c r="S8026" s="397"/>
      <c r="T8026" s="397"/>
      <c r="U8026" s="397"/>
      <c r="V8026" s="397"/>
      <c r="W8026" s="397"/>
      <c r="X8026" s="397"/>
      <c r="Y8026" s="397"/>
      <c r="Z8026" s="397"/>
      <c r="AD8026" s="388">
        <v>3.048</v>
      </c>
      <c r="AE8026" s="388">
        <v>0.25298399999999999</v>
      </c>
      <c r="AF8026" s="388">
        <v>0.77109523199999996</v>
      </c>
      <c r="AG8026" s="388">
        <v>0.64312800000000003</v>
      </c>
      <c r="AH8026" s="391"/>
      <c r="AI8026" s="397"/>
      <c r="AJ8026" s="397"/>
      <c r="AU8026" s="397"/>
      <c r="AV8026" s="397"/>
      <c r="AW8026" s="397"/>
      <c r="AX8026" s="397"/>
      <c r="BI8026" s="397"/>
      <c r="BJ8026" s="397"/>
      <c r="BK8026" s="397"/>
      <c r="BL8026" s="397"/>
      <c r="BM8026" s="397"/>
      <c r="BN8026" s="397"/>
      <c r="BO8026" s="397"/>
      <c r="BP8026" s="397"/>
      <c r="BQ8026" s="397"/>
      <c r="BR8026" s="397"/>
      <c r="BS8026" s="397"/>
      <c r="BT8026" s="397"/>
      <c r="BU8026" s="397"/>
      <c r="BV8026" s="397"/>
      <c r="BW8026" s="397"/>
      <c r="BX8026" s="397"/>
      <c r="BY8026" s="397"/>
      <c r="BZ8026" s="397"/>
      <c r="CA8026" s="392" t="s">
        <v>413</v>
      </c>
    </row>
    <row r="8027" spans="1:80" s="392" customFormat="1" ht="15" x14ac:dyDescent="0.25">
      <c r="A8027" s="385"/>
      <c r="D8027" s="700"/>
      <c r="E8027" s="397"/>
      <c r="H8027" s="401">
        <v>3</v>
      </c>
      <c r="I8027" s="401"/>
      <c r="J8027" s="401"/>
      <c r="K8027" s="401"/>
      <c r="L8027" s="675"/>
      <c r="M8027" s="672">
        <v>30817</v>
      </c>
      <c r="N8027" s="623">
        <v>0.61207140833097196</v>
      </c>
      <c r="O8027" s="624">
        <v>1.6841885811999996E-2</v>
      </c>
      <c r="P8027" s="397"/>
      <c r="Q8027" s="397"/>
      <c r="R8027" s="397"/>
      <c r="S8027" s="397"/>
      <c r="T8027" s="397"/>
      <c r="U8027" s="397"/>
      <c r="V8027" s="397"/>
      <c r="W8027" s="397"/>
      <c r="X8027" s="397"/>
      <c r="Y8027" s="397"/>
      <c r="Z8027" s="397"/>
      <c r="AD8027" s="388">
        <v>7.2237600000000004</v>
      </c>
      <c r="AE8027" s="388">
        <v>0.16459200000000002</v>
      </c>
      <c r="AF8027" s="388">
        <v>1.1889731059200002</v>
      </c>
      <c r="AG8027" s="388">
        <v>0.50292000000000003</v>
      </c>
      <c r="AH8027" s="391"/>
      <c r="AI8027" s="397"/>
      <c r="AJ8027" s="397"/>
      <c r="AU8027" s="397"/>
      <c r="AV8027" s="397"/>
      <c r="AW8027" s="397"/>
      <c r="AX8027" s="397"/>
      <c r="BI8027" s="397"/>
      <c r="BJ8027" s="397"/>
      <c r="BK8027" s="397"/>
      <c r="BL8027" s="397"/>
      <c r="BM8027" s="397"/>
      <c r="BN8027" s="397"/>
      <c r="BO8027" s="397"/>
      <c r="BP8027" s="397"/>
      <c r="BQ8027" s="397"/>
      <c r="BR8027" s="397"/>
      <c r="BS8027" s="397"/>
      <c r="BT8027" s="397"/>
      <c r="BU8027" s="397"/>
      <c r="BV8027" s="397"/>
      <c r="BW8027" s="397"/>
      <c r="BX8027" s="397"/>
      <c r="BY8027" s="397"/>
      <c r="BZ8027" s="397"/>
      <c r="CA8027" s="392" t="s">
        <v>413</v>
      </c>
    </row>
    <row r="8028" spans="1:80" s="392" customFormat="1" ht="15" x14ac:dyDescent="0.25">
      <c r="A8028" s="385"/>
      <c r="D8028" s="700"/>
      <c r="E8028" s="397"/>
      <c r="H8028" s="401">
        <v>3</v>
      </c>
      <c r="I8028" s="401"/>
      <c r="J8028" s="401"/>
      <c r="K8028" s="401"/>
      <c r="L8028" s="675"/>
      <c r="M8028" s="672">
        <v>30820</v>
      </c>
      <c r="N8028" s="623">
        <v>0.45140266364409182</v>
      </c>
      <c r="O8028" s="624" t="s">
        <v>71</v>
      </c>
      <c r="P8028" s="397"/>
      <c r="Q8028" s="397"/>
      <c r="R8028" s="397"/>
      <c r="S8028" s="397"/>
      <c r="T8028" s="397"/>
      <c r="U8028" s="397"/>
      <c r="V8028" s="397"/>
      <c r="W8028" s="397"/>
      <c r="X8028" s="397"/>
      <c r="Y8028" s="397"/>
      <c r="Z8028" s="397"/>
      <c r="AD8028" s="388">
        <v>2.6822400000000002</v>
      </c>
      <c r="AE8028" s="388">
        <v>0.280416</v>
      </c>
      <c r="AF8028" s="388">
        <v>0.7521430118400001</v>
      </c>
      <c r="AG8028" s="388">
        <v>0.59740800000000005</v>
      </c>
      <c r="AH8028" s="391"/>
      <c r="AI8028" s="397"/>
      <c r="AJ8028" s="397"/>
      <c r="AU8028" s="397"/>
      <c r="AV8028" s="397"/>
      <c r="AW8028" s="397"/>
      <c r="AX8028" s="397"/>
      <c r="BI8028" s="397"/>
      <c r="BJ8028" s="397"/>
      <c r="BK8028" s="397"/>
      <c r="BL8028" s="397"/>
      <c r="BM8028" s="397"/>
      <c r="BN8028" s="397"/>
      <c r="BO8028" s="397"/>
      <c r="BP8028" s="397"/>
      <c r="BQ8028" s="397"/>
      <c r="BR8028" s="397"/>
      <c r="BS8028" s="397"/>
      <c r="BT8028" s="397"/>
      <c r="BU8028" s="397"/>
      <c r="BV8028" s="397"/>
      <c r="BW8028" s="397"/>
      <c r="BX8028" s="397"/>
      <c r="BY8028" s="397"/>
      <c r="BZ8028" s="397"/>
      <c r="CA8028" s="392" t="s">
        <v>413</v>
      </c>
    </row>
    <row r="8029" spans="1:80" s="392" customFormat="1" ht="15" x14ac:dyDescent="0.25">
      <c r="A8029" s="385"/>
      <c r="D8029" s="700"/>
      <c r="E8029" s="397"/>
      <c r="H8029" s="401">
        <v>3</v>
      </c>
      <c r="I8029" s="401"/>
      <c r="J8029" s="401"/>
      <c r="K8029" s="401"/>
      <c r="L8029" s="675"/>
      <c r="M8029" s="672">
        <v>30824</v>
      </c>
      <c r="N8029" s="623">
        <v>0.33295551147633889</v>
      </c>
      <c r="O8029" s="624">
        <v>8.5305610693333332E-3</v>
      </c>
      <c r="P8029" s="397"/>
      <c r="Q8029" s="397"/>
      <c r="R8029" s="397"/>
      <c r="S8029" s="397"/>
      <c r="T8029" s="397"/>
      <c r="U8029" s="397"/>
      <c r="V8029" s="397"/>
      <c r="W8029" s="397"/>
      <c r="X8029" s="397"/>
      <c r="Y8029" s="397"/>
      <c r="Z8029" s="397"/>
      <c r="AD8029" s="388">
        <v>2.7736800000000001</v>
      </c>
      <c r="AE8029" s="388">
        <v>0.20726400000000003</v>
      </c>
      <c r="AF8029" s="388">
        <v>0.57488401152000013</v>
      </c>
      <c r="AG8029" s="388">
        <v>0.57911999999999997</v>
      </c>
      <c r="AH8029" s="391"/>
      <c r="AI8029" s="397"/>
      <c r="AJ8029" s="397"/>
      <c r="AU8029" s="397"/>
      <c r="AV8029" s="397"/>
      <c r="AW8029" s="397"/>
      <c r="AX8029" s="397"/>
      <c r="BI8029" s="397"/>
      <c r="BJ8029" s="397"/>
      <c r="BK8029" s="397"/>
      <c r="BL8029" s="397"/>
      <c r="BM8029" s="397"/>
      <c r="BN8029" s="397"/>
      <c r="BO8029" s="397"/>
      <c r="BP8029" s="397"/>
      <c r="BQ8029" s="397"/>
      <c r="BR8029" s="397"/>
      <c r="BS8029" s="397"/>
      <c r="BT8029" s="397"/>
      <c r="BU8029" s="397"/>
      <c r="BV8029" s="397"/>
      <c r="BW8029" s="397"/>
      <c r="BX8029" s="397"/>
      <c r="BY8029" s="397"/>
      <c r="BZ8029" s="397"/>
      <c r="CA8029" s="392" t="s">
        <v>413</v>
      </c>
    </row>
    <row r="8030" spans="1:80" s="392" customFormat="1" ht="15" x14ac:dyDescent="0.25">
      <c r="A8030" s="385"/>
      <c r="D8030" s="700"/>
      <c r="E8030" s="397"/>
      <c r="H8030" s="401">
        <v>3</v>
      </c>
      <c r="I8030" s="401"/>
      <c r="J8030" s="401"/>
      <c r="K8030" s="401"/>
      <c r="L8030" s="675"/>
      <c r="M8030" s="672">
        <v>30828</v>
      </c>
      <c r="N8030" s="623">
        <v>0.29045055256446584</v>
      </c>
      <c r="O8030" s="624">
        <v>2.3178571639999998E-3</v>
      </c>
      <c r="P8030" s="397"/>
      <c r="Q8030" s="397"/>
      <c r="R8030" s="397"/>
      <c r="S8030" s="397"/>
      <c r="T8030" s="397"/>
      <c r="U8030" s="397"/>
      <c r="V8030" s="397"/>
      <c r="W8030" s="397"/>
      <c r="X8030" s="397"/>
      <c r="Y8030" s="397"/>
      <c r="Z8030" s="397"/>
      <c r="AD8030" s="388">
        <v>2.2250399999999999</v>
      </c>
      <c r="AE8030" s="388">
        <v>0.22860000000000003</v>
      </c>
      <c r="AF8030" s="388">
        <v>0.50864414400000002</v>
      </c>
      <c r="AG8030" s="388">
        <v>0.56997600000000004</v>
      </c>
      <c r="AH8030" s="391"/>
      <c r="AI8030" s="397"/>
      <c r="AJ8030" s="397"/>
      <c r="AU8030" s="397"/>
      <c r="AV8030" s="397"/>
      <c r="AW8030" s="397"/>
      <c r="AX8030" s="397"/>
      <c r="BI8030" s="397"/>
      <c r="BJ8030" s="397"/>
      <c r="BK8030" s="397"/>
      <c r="BL8030" s="397"/>
      <c r="BM8030" s="397"/>
      <c r="BN8030" s="397"/>
      <c r="BO8030" s="397"/>
      <c r="BP8030" s="397"/>
      <c r="BQ8030" s="397"/>
      <c r="BR8030" s="397"/>
      <c r="BS8030" s="397"/>
      <c r="BT8030" s="397"/>
      <c r="BU8030" s="397"/>
      <c r="BV8030" s="397"/>
      <c r="BW8030" s="397"/>
      <c r="BX8030" s="397"/>
      <c r="BY8030" s="397"/>
      <c r="BZ8030" s="397"/>
      <c r="CA8030" s="392" t="s">
        <v>413</v>
      </c>
    </row>
    <row r="8031" spans="1:80" s="392" customFormat="1" ht="15" x14ac:dyDescent="0.25">
      <c r="A8031" s="385"/>
      <c r="D8031" s="700"/>
      <c r="E8031" s="397"/>
      <c r="H8031" s="401">
        <v>3</v>
      </c>
      <c r="I8031" s="401"/>
      <c r="J8031" s="401"/>
      <c r="K8031" s="401"/>
      <c r="L8031" s="675"/>
      <c r="M8031" s="672">
        <v>30834</v>
      </c>
      <c r="N8031" s="623">
        <v>0.22640974780391046</v>
      </c>
      <c r="O8031" s="624">
        <v>4.5177803039999995E-3</v>
      </c>
      <c r="P8031" s="397"/>
      <c r="Q8031" s="397"/>
      <c r="R8031" s="397"/>
      <c r="S8031" s="397"/>
      <c r="T8031" s="397"/>
      <c r="U8031" s="397"/>
      <c r="V8031" s="397"/>
      <c r="W8031" s="397"/>
      <c r="X8031" s="397"/>
      <c r="Y8031" s="397"/>
      <c r="Z8031" s="397"/>
      <c r="AD8031" s="388">
        <v>2.5298400000000005</v>
      </c>
      <c r="AE8031" s="388">
        <v>0.17068800000000003</v>
      </c>
      <c r="AF8031" s="388">
        <v>0.43181332992000016</v>
      </c>
      <c r="AG8031" s="388">
        <v>0.521208</v>
      </c>
      <c r="AH8031" s="391"/>
      <c r="AI8031" s="397"/>
      <c r="AJ8031" s="397"/>
      <c r="AU8031" s="397"/>
      <c r="AV8031" s="397"/>
      <c r="AW8031" s="397"/>
      <c r="AX8031" s="397"/>
      <c r="BI8031" s="397"/>
      <c r="BJ8031" s="397"/>
      <c r="BK8031" s="397"/>
      <c r="BL8031" s="397"/>
      <c r="BM8031" s="397"/>
      <c r="BN8031" s="397"/>
      <c r="BO8031" s="397"/>
      <c r="BP8031" s="397"/>
      <c r="BQ8031" s="397"/>
      <c r="BR8031" s="397"/>
      <c r="BS8031" s="397"/>
      <c r="BT8031" s="397"/>
      <c r="BU8031" s="397"/>
      <c r="BV8031" s="397"/>
      <c r="BW8031" s="397"/>
      <c r="BX8031" s="397"/>
      <c r="BY8031" s="397"/>
      <c r="BZ8031" s="397"/>
      <c r="CA8031" s="392" t="s">
        <v>413</v>
      </c>
    </row>
    <row r="8032" spans="1:80" s="392" customFormat="1" ht="15" x14ac:dyDescent="0.25">
      <c r="A8032" s="385"/>
      <c r="D8032" s="700"/>
      <c r="E8032" s="397"/>
      <c r="H8032" s="401">
        <v>3</v>
      </c>
      <c r="I8032" s="401"/>
      <c r="J8032" s="401"/>
      <c r="K8032" s="401"/>
      <c r="L8032" s="675"/>
      <c r="M8032" s="672">
        <v>30841</v>
      </c>
      <c r="N8032" s="623">
        <v>0.20969113063190706</v>
      </c>
      <c r="O8032" s="624">
        <v>4.2335290666666667E-3</v>
      </c>
      <c r="P8032" s="397"/>
      <c r="Q8032" s="397"/>
      <c r="R8032" s="397"/>
      <c r="S8032" s="397"/>
      <c r="T8032" s="397"/>
      <c r="U8032" s="397"/>
      <c r="V8032" s="397"/>
      <c r="W8032" s="397"/>
      <c r="X8032" s="397"/>
      <c r="Y8032" s="397"/>
      <c r="Z8032" s="397"/>
      <c r="AD8032" s="388">
        <v>2.4384000000000001</v>
      </c>
      <c r="AE8032" s="388">
        <v>0.15849600000000003</v>
      </c>
      <c r="AF8032" s="388">
        <v>0.38647664640000007</v>
      </c>
      <c r="AG8032" s="388">
        <v>0.54864000000000002</v>
      </c>
      <c r="AH8032" s="391"/>
      <c r="AI8032" s="397"/>
      <c r="AJ8032" s="397"/>
      <c r="AU8032" s="397"/>
      <c r="AV8032" s="397"/>
      <c r="AW8032" s="397"/>
      <c r="AX8032" s="397"/>
      <c r="BI8032" s="397"/>
      <c r="BJ8032" s="397"/>
      <c r="BK8032" s="397"/>
      <c r="BL8032" s="397"/>
      <c r="BM8032" s="397"/>
      <c r="BN8032" s="397"/>
      <c r="BO8032" s="397"/>
      <c r="BP8032" s="397"/>
      <c r="BQ8032" s="397"/>
      <c r="BR8032" s="397"/>
      <c r="BS8032" s="397"/>
      <c r="BT8032" s="397"/>
      <c r="BU8032" s="397"/>
      <c r="BV8032" s="397"/>
      <c r="BW8032" s="397"/>
      <c r="BX8032" s="397"/>
      <c r="BY8032" s="397"/>
      <c r="BZ8032" s="397"/>
      <c r="CA8032" s="392" t="s">
        <v>413</v>
      </c>
    </row>
    <row r="8033" spans="1:80" s="392" customFormat="1" ht="15" x14ac:dyDescent="0.25">
      <c r="A8033" s="385"/>
      <c r="D8033" s="700"/>
      <c r="E8033" s="397"/>
      <c r="H8033" s="401">
        <v>3</v>
      </c>
      <c r="I8033" s="401"/>
      <c r="J8033" s="401"/>
      <c r="K8033" s="401"/>
      <c r="L8033" s="675"/>
      <c r="M8033" s="672">
        <v>30849</v>
      </c>
      <c r="N8033" s="623">
        <v>0.16293567582884672</v>
      </c>
      <c r="O8033" s="624">
        <v>3.53802072E-3</v>
      </c>
      <c r="P8033" s="397"/>
      <c r="Q8033" s="397"/>
      <c r="R8033" s="397"/>
      <c r="S8033" s="397"/>
      <c r="T8033" s="397"/>
      <c r="U8033" s="397"/>
      <c r="V8033" s="397"/>
      <c r="W8033" s="397"/>
      <c r="X8033" s="397"/>
      <c r="Y8033" s="397"/>
      <c r="Z8033" s="397"/>
      <c r="AD8033" s="388">
        <v>2.37744</v>
      </c>
      <c r="AE8033" s="388">
        <v>0.140208</v>
      </c>
      <c r="AF8033" s="388">
        <v>0.33333610751999998</v>
      </c>
      <c r="AG8033" s="388">
        <v>0.48158400000000007</v>
      </c>
      <c r="AH8033" s="391"/>
      <c r="AI8033" s="397"/>
      <c r="AJ8033" s="397"/>
      <c r="AU8033" s="397"/>
      <c r="AV8033" s="397"/>
      <c r="AW8033" s="397"/>
      <c r="AX8033" s="397"/>
      <c r="BI8033" s="397"/>
      <c r="BJ8033" s="397"/>
      <c r="BK8033" s="397"/>
      <c r="BL8033" s="397"/>
      <c r="BM8033" s="397"/>
      <c r="BN8033" s="397"/>
      <c r="BO8033" s="397"/>
      <c r="BP8033" s="397"/>
      <c r="BQ8033" s="397"/>
      <c r="BR8033" s="397"/>
      <c r="BS8033" s="397"/>
      <c r="BT8033" s="397"/>
      <c r="BU8033" s="397"/>
      <c r="BV8033" s="397"/>
      <c r="BW8033" s="397"/>
      <c r="BX8033" s="397"/>
      <c r="BY8033" s="397"/>
      <c r="BZ8033" s="397"/>
      <c r="CA8033" s="392" t="s">
        <v>413</v>
      </c>
    </row>
    <row r="8034" spans="1:80" s="392" customFormat="1" ht="15" x14ac:dyDescent="0.25">
      <c r="A8034" s="385"/>
      <c r="D8034" s="700"/>
      <c r="E8034" s="397"/>
      <c r="H8034" s="401">
        <v>3</v>
      </c>
      <c r="I8034" s="401"/>
      <c r="J8034" s="401"/>
      <c r="K8034" s="401"/>
      <c r="L8034" s="675"/>
      <c r="M8034" s="672">
        <v>30859</v>
      </c>
      <c r="N8034" s="623">
        <v>0.1711533012184755</v>
      </c>
      <c r="O8034" s="624">
        <v>4.4195019506666653E-3</v>
      </c>
      <c r="P8034" s="397"/>
      <c r="Q8034" s="397"/>
      <c r="R8034" s="397"/>
      <c r="S8034" s="397"/>
      <c r="T8034" s="397"/>
      <c r="U8034" s="397"/>
      <c r="V8034" s="397"/>
      <c r="W8034" s="397"/>
      <c r="X8034" s="397"/>
      <c r="Y8034" s="397"/>
      <c r="Z8034" s="397"/>
      <c r="AD8034" s="388">
        <v>2.4079200000000003</v>
      </c>
      <c r="AE8034" s="388">
        <v>0.14935200000000001</v>
      </c>
      <c r="AF8034" s="388">
        <v>0.35962766784000005</v>
      </c>
      <c r="AG8034" s="388">
        <v>0.47244000000000003</v>
      </c>
      <c r="AH8034" s="391"/>
      <c r="AI8034" s="397"/>
      <c r="AJ8034" s="397"/>
      <c r="AU8034" s="397"/>
      <c r="AV8034" s="397"/>
      <c r="AW8034" s="397"/>
      <c r="AX8034" s="397"/>
      <c r="BI8034" s="397"/>
      <c r="BJ8034" s="397"/>
      <c r="BK8034" s="397"/>
      <c r="BL8034" s="397"/>
      <c r="BM8034" s="397"/>
      <c r="BN8034" s="397"/>
      <c r="BO8034" s="397"/>
      <c r="BP8034" s="397"/>
      <c r="BQ8034" s="397"/>
      <c r="BR8034" s="397"/>
      <c r="BS8034" s="397"/>
      <c r="BT8034" s="397"/>
      <c r="BU8034" s="397"/>
      <c r="BV8034" s="397"/>
      <c r="BW8034" s="397"/>
      <c r="BX8034" s="397"/>
      <c r="BY8034" s="397"/>
      <c r="BZ8034" s="397"/>
      <c r="CA8034" s="392" t="s">
        <v>413</v>
      </c>
    </row>
    <row r="8035" spans="1:80" s="392" customFormat="1" ht="15" x14ac:dyDescent="0.25">
      <c r="A8035" s="385"/>
      <c r="D8035" s="700"/>
      <c r="E8035" s="397"/>
      <c r="H8035" s="401">
        <v>3</v>
      </c>
      <c r="I8035" s="401"/>
      <c r="J8035" s="401"/>
      <c r="K8035" s="401"/>
      <c r="L8035" s="675"/>
      <c r="M8035" s="672">
        <v>30873</v>
      </c>
      <c r="N8035" s="623">
        <v>0.12893170869934825</v>
      </c>
      <c r="O8035" s="624">
        <v>1.2519150239999998E-3</v>
      </c>
      <c r="P8035" s="397"/>
      <c r="Q8035" s="397"/>
      <c r="R8035" s="397"/>
      <c r="S8035" s="397"/>
      <c r="T8035" s="397"/>
      <c r="U8035" s="397"/>
      <c r="V8035" s="397"/>
      <c r="W8035" s="397"/>
      <c r="X8035" s="397"/>
      <c r="Y8035" s="397"/>
      <c r="Z8035" s="397"/>
      <c r="AD8035" s="388">
        <v>2.1031200000000001</v>
      </c>
      <c r="AE8035" s="388">
        <v>0.124968</v>
      </c>
      <c r="AF8035" s="388">
        <v>0.26282270015999998</v>
      </c>
      <c r="AG8035" s="388">
        <v>0.48158400000000007</v>
      </c>
      <c r="AH8035" s="391"/>
      <c r="AI8035" s="397"/>
      <c r="AJ8035" s="397"/>
      <c r="AU8035" s="397"/>
      <c r="AV8035" s="397"/>
      <c r="AW8035" s="397"/>
      <c r="AX8035" s="397"/>
      <c r="BI8035" s="397"/>
      <c r="BJ8035" s="397"/>
      <c r="BK8035" s="397"/>
      <c r="BL8035" s="397"/>
      <c r="BM8035" s="397"/>
      <c r="BN8035" s="397"/>
      <c r="BO8035" s="397"/>
      <c r="BP8035" s="397"/>
      <c r="BQ8035" s="397"/>
      <c r="BR8035" s="397"/>
      <c r="BS8035" s="397"/>
      <c r="BT8035" s="397"/>
      <c r="BU8035" s="397"/>
      <c r="BV8035" s="397"/>
      <c r="BW8035" s="397"/>
      <c r="BX8035" s="397"/>
      <c r="BY8035" s="397"/>
      <c r="BZ8035" s="397"/>
      <c r="CA8035" s="392" t="s">
        <v>413</v>
      </c>
    </row>
    <row r="8036" spans="1:80" s="392" customFormat="1" ht="15" x14ac:dyDescent="0.25">
      <c r="A8036" s="385"/>
      <c r="D8036" s="700"/>
      <c r="E8036" s="397"/>
      <c r="H8036" s="401">
        <v>3</v>
      </c>
      <c r="I8036" s="401"/>
      <c r="J8036" s="401"/>
      <c r="K8036" s="401"/>
      <c r="L8036" s="675"/>
      <c r="M8036" s="672">
        <v>30890</v>
      </c>
      <c r="N8036" s="623">
        <v>6.9991499008217634E-2</v>
      </c>
      <c r="O8036" s="624">
        <v>1.5482620586666669E-3</v>
      </c>
      <c r="P8036" s="397"/>
      <c r="Q8036" s="397"/>
      <c r="R8036" s="397"/>
      <c r="S8036" s="397"/>
      <c r="T8036" s="397"/>
      <c r="U8036" s="397"/>
      <c r="V8036" s="397"/>
      <c r="W8036" s="397"/>
      <c r="X8036" s="397"/>
      <c r="Y8036" s="397"/>
      <c r="Z8036" s="397"/>
      <c r="AD8036" s="388">
        <v>1.9507200000000002</v>
      </c>
      <c r="AE8036" s="388">
        <v>9.7536000000000012E-2</v>
      </c>
      <c r="AF8036" s="388">
        <v>0.19026542592000004</v>
      </c>
      <c r="AG8036" s="388">
        <v>0.36880800000000002</v>
      </c>
      <c r="AH8036" s="391"/>
      <c r="AI8036" s="397"/>
      <c r="AJ8036" s="397"/>
      <c r="AU8036" s="397"/>
      <c r="AV8036" s="397"/>
      <c r="AW8036" s="397"/>
      <c r="AX8036" s="397"/>
      <c r="BI8036" s="397"/>
      <c r="BJ8036" s="397"/>
      <c r="BK8036" s="397"/>
      <c r="BL8036" s="397"/>
      <c r="BM8036" s="397"/>
      <c r="BN8036" s="397"/>
      <c r="BO8036" s="397"/>
      <c r="BP8036" s="397"/>
      <c r="BQ8036" s="397"/>
      <c r="BR8036" s="397"/>
      <c r="BS8036" s="397"/>
      <c r="BT8036" s="397"/>
      <c r="BU8036" s="397"/>
      <c r="BV8036" s="397"/>
      <c r="BW8036" s="397"/>
      <c r="BX8036" s="397"/>
      <c r="BY8036" s="397"/>
      <c r="BZ8036" s="397"/>
      <c r="CA8036" s="392" t="s">
        <v>413</v>
      </c>
    </row>
    <row r="8037" spans="1:80" s="392" customFormat="1" ht="15" x14ac:dyDescent="0.25">
      <c r="A8037" s="385"/>
      <c r="D8037" s="700"/>
      <c r="E8037" s="397"/>
      <c r="H8037" s="401">
        <v>3</v>
      </c>
      <c r="I8037" s="401"/>
      <c r="J8037" s="401"/>
      <c r="K8037" s="401"/>
      <c r="L8037" s="675"/>
      <c r="M8037" s="672">
        <v>30907</v>
      </c>
      <c r="N8037" s="623">
        <v>0.19750637574383678</v>
      </c>
      <c r="O8037" s="624">
        <v>3.2126437717333339E-2</v>
      </c>
      <c r="P8037" s="397"/>
      <c r="Q8037" s="397"/>
      <c r="R8037" s="397"/>
      <c r="S8037" s="397"/>
      <c r="T8037" s="397"/>
      <c r="U8037" s="397"/>
      <c r="V8037" s="397"/>
      <c r="W8037" s="397"/>
      <c r="X8037" s="397"/>
      <c r="Y8037" s="397"/>
      <c r="Z8037" s="397"/>
      <c r="AD8037" s="388">
        <v>2.5298400000000005</v>
      </c>
      <c r="AE8037" s="388">
        <v>0.176784</v>
      </c>
      <c r="AF8037" s="388">
        <v>0.44723523456000008</v>
      </c>
      <c r="AG8037" s="388">
        <v>0.43891200000000002</v>
      </c>
      <c r="AH8037" s="391"/>
      <c r="AI8037" s="397"/>
      <c r="AJ8037" s="397"/>
      <c r="AU8037" s="397"/>
      <c r="AV8037" s="397"/>
      <c r="AW8037" s="397"/>
      <c r="AX8037" s="397"/>
      <c r="BI8037" s="397"/>
      <c r="BJ8037" s="397"/>
      <c r="BK8037" s="397"/>
      <c r="BL8037" s="397"/>
      <c r="BM8037" s="397"/>
      <c r="BN8037" s="397"/>
      <c r="BO8037" s="397"/>
      <c r="BP8037" s="397"/>
      <c r="BQ8037" s="397"/>
      <c r="BR8037" s="397"/>
      <c r="BS8037" s="397"/>
      <c r="BT8037" s="397"/>
      <c r="BU8037" s="397"/>
      <c r="BV8037" s="397"/>
      <c r="BW8037" s="397"/>
      <c r="BX8037" s="397"/>
      <c r="BY8037" s="397"/>
      <c r="BZ8037" s="397"/>
      <c r="CA8037" s="392" t="s">
        <v>413</v>
      </c>
    </row>
    <row r="8038" spans="1:80" s="392" customFormat="1" ht="15" x14ac:dyDescent="0.25">
      <c r="A8038" s="385"/>
      <c r="D8038" s="700"/>
      <c r="E8038" s="397"/>
      <c r="H8038" s="401">
        <v>3</v>
      </c>
      <c r="I8038" s="401"/>
      <c r="J8038" s="401"/>
      <c r="K8038" s="401"/>
      <c r="L8038" s="675"/>
      <c r="M8038" s="672">
        <v>30929</v>
      </c>
      <c r="N8038" s="623">
        <v>0.3145366959478606</v>
      </c>
      <c r="O8038" s="624">
        <v>0.29755661439999992</v>
      </c>
      <c r="P8038" s="397"/>
      <c r="Q8038" s="397"/>
      <c r="R8038" s="397"/>
      <c r="S8038" s="397"/>
      <c r="T8038" s="397"/>
      <c r="U8038" s="397"/>
      <c r="V8038" s="397"/>
      <c r="W8038" s="397"/>
      <c r="X8038" s="397"/>
      <c r="Y8038" s="397"/>
      <c r="Z8038" s="397"/>
      <c r="AD8038" s="388">
        <v>2.4993599999999998</v>
      </c>
      <c r="AE8038" s="388">
        <v>0.18288000000000001</v>
      </c>
      <c r="AF8038" s="388">
        <v>0.4570829568</v>
      </c>
      <c r="AG8038" s="388">
        <v>0.68580000000000008</v>
      </c>
      <c r="AH8038" s="391"/>
      <c r="AI8038" s="397"/>
      <c r="AJ8038" s="397"/>
      <c r="AU8038" s="397"/>
      <c r="AV8038" s="397"/>
      <c r="AW8038" s="397"/>
      <c r="AX8038" s="397"/>
      <c r="BI8038" s="397"/>
      <c r="BJ8038" s="397"/>
      <c r="BK8038" s="397"/>
      <c r="BL8038" s="397"/>
      <c r="BM8038" s="397"/>
      <c r="BN8038" s="397"/>
      <c r="BO8038" s="397"/>
      <c r="BP8038" s="397"/>
      <c r="BQ8038" s="397"/>
      <c r="BR8038" s="397"/>
      <c r="BS8038" s="397"/>
      <c r="BT8038" s="397"/>
      <c r="BU8038" s="397"/>
      <c r="BV8038" s="397"/>
      <c r="BW8038" s="397"/>
      <c r="BX8038" s="397"/>
      <c r="BY8038" s="397"/>
      <c r="BZ8038" s="397"/>
      <c r="CA8038" s="392" t="s">
        <v>413</v>
      </c>
    </row>
    <row r="8039" spans="1:80" s="189" customFormat="1" ht="15" x14ac:dyDescent="0.25">
      <c r="A8039" s="381" t="s">
        <v>436</v>
      </c>
      <c r="B8039" s="641"/>
      <c r="C8039" s="639"/>
      <c r="D8039" s="4">
        <f>VLOOKUP(E8039,'Quality Code'!$D$4:$E$24,2,TRUE)*VLOOKUP(MROUND(F8039,10),'Quality Code'!$D$28:$E$69,2,TRUE)*VLOOKUP(COUNTA(CB8039:CB8049),'Quality Code'!$D$73:$E$93,2,TRUE)</f>
        <v>0.2</v>
      </c>
      <c r="E8039" s="14">
        <v>0.4</v>
      </c>
      <c r="F8039" s="2">
        <v>23</v>
      </c>
      <c r="G8039" s="12"/>
      <c r="H8039" s="2" t="s">
        <v>105</v>
      </c>
      <c r="I8039" s="2"/>
      <c r="J8039" s="2"/>
      <c r="K8039" s="2"/>
      <c r="L8039" s="639"/>
      <c r="M8039" s="640">
        <v>1984</v>
      </c>
      <c r="N8039" s="578" t="s">
        <v>110</v>
      </c>
      <c r="O8039" s="578"/>
      <c r="P8039" s="26"/>
      <c r="Q8039" s="26"/>
      <c r="R8039" s="26"/>
      <c r="S8039" s="26"/>
      <c r="T8039" s="26"/>
      <c r="U8039" s="26"/>
      <c r="V8039" s="10"/>
      <c r="W8039" s="10"/>
      <c r="X8039" s="10"/>
      <c r="Y8039" s="10"/>
      <c r="Z8039" s="26"/>
      <c r="AA8039" s="26"/>
      <c r="AB8039" s="26"/>
      <c r="AC8039" s="3"/>
      <c r="AD8039" s="406"/>
      <c r="AE8039" s="26"/>
      <c r="AF8039" s="26"/>
      <c r="AG8039" s="26"/>
      <c r="AH8039" s="26"/>
      <c r="AI8039" s="4"/>
      <c r="AJ8039" s="4"/>
      <c r="AK8039" s="26"/>
      <c r="AL8039" s="26"/>
      <c r="AM8039" s="26"/>
      <c r="AN8039" s="26"/>
      <c r="AO8039" s="26"/>
      <c r="AP8039" s="26"/>
      <c r="AQ8039" s="26"/>
      <c r="AR8039" s="26"/>
      <c r="AS8039" s="26"/>
      <c r="AT8039" s="26"/>
      <c r="AU8039" s="4"/>
      <c r="AV8039" s="4"/>
      <c r="AW8039" s="4"/>
      <c r="AX8039" s="4"/>
      <c r="AY8039" s="2"/>
      <c r="AZ8039" s="2"/>
      <c r="BA8039" s="12"/>
      <c r="BB8039" s="12"/>
      <c r="BC8039" s="12"/>
      <c r="BD8039" s="12"/>
      <c r="BE8039" s="12"/>
      <c r="BF8039" s="12"/>
      <c r="BG8039" s="12"/>
      <c r="BH8039" s="12"/>
      <c r="BI8039" s="4"/>
      <c r="BJ8039" s="12"/>
      <c r="BK8039" s="2"/>
      <c r="BL8039" s="2"/>
      <c r="BM8039" s="4"/>
      <c r="BN8039" s="12"/>
      <c r="BO8039" s="12"/>
      <c r="BP8039" s="12"/>
      <c r="BQ8039" s="4"/>
      <c r="BR8039" s="4"/>
      <c r="BS8039" s="4"/>
      <c r="BT8039" s="2"/>
      <c r="BU8039" s="9"/>
      <c r="BV8039" s="381"/>
      <c r="BW8039" s="382"/>
      <c r="BX8039" s="383"/>
      <c r="BY8039" s="383" t="s">
        <v>86</v>
      </c>
      <c r="BZ8039" s="383"/>
      <c r="CA8039" s="384" t="s">
        <v>413</v>
      </c>
      <c r="CB8039" s="411"/>
    </row>
    <row r="8040" spans="1:80" s="392" customFormat="1" ht="15" x14ac:dyDescent="0.25">
      <c r="A8040" s="385"/>
      <c r="D8040" s="700"/>
      <c r="E8040" s="397"/>
      <c r="H8040" s="401">
        <v>3</v>
      </c>
      <c r="I8040" s="401"/>
      <c r="J8040" s="401"/>
      <c r="K8040" s="401"/>
      <c r="L8040" s="675"/>
      <c r="M8040" s="672">
        <v>30788</v>
      </c>
      <c r="N8040" s="623">
        <v>5.1005950694247668E-2</v>
      </c>
      <c r="O8040" s="624">
        <v>1.5029028186666665E-3</v>
      </c>
      <c r="P8040" s="397"/>
      <c r="Q8040" s="397"/>
      <c r="R8040" s="397"/>
      <c r="S8040" s="397"/>
      <c r="T8040" s="397"/>
      <c r="U8040" s="397"/>
      <c r="V8040" s="397"/>
      <c r="W8040" s="397"/>
      <c r="X8040" s="397"/>
      <c r="Y8040" s="397"/>
      <c r="Z8040" s="397"/>
      <c r="AC8040" s="115">
        <v>2.1299999999999999E-2</v>
      </c>
      <c r="AD8040" s="388">
        <v>4.3281599999999996</v>
      </c>
      <c r="AE8040" s="388">
        <v>0.24993599999999999</v>
      </c>
      <c r="AF8040" s="388">
        <v>1.0817629977599998</v>
      </c>
      <c r="AG8040" s="388">
        <v>4.8768000000000006E-2</v>
      </c>
      <c r="AH8040" s="391"/>
      <c r="AI8040" s="397"/>
      <c r="AJ8040" s="397"/>
      <c r="AU8040" s="397"/>
      <c r="AV8040" s="397"/>
      <c r="AW8040" s="397"/>
      <c r="AX8040" s="397"/>
      <c r="BI8040" s="397"/>
      <c r="BJ8040" s="397"/>
      <c r="BK8040" s="397"/>
      <c r="BL8040" s="397"/>
      <c r="BM8040" s="397"/>
      <c r="BN8040" s="397"/>
      <c r="BO8040" s="397"/>
      <c r="BP8040" s="397"/>
      <c r="BQ8040" s="397"/>
      <c r="BR8040" s="397"/>
      <c r="BS8040" s="397"/>
      <c r="BT8040" s="397"/>
      <c r="BU8040" s="397"/>
      <c r="BV8040" s="397"/>
      <c r="BW8040" s="397"/>
      <c r="BX8040" s="397"/>
      <c r="BY8040" s="397"/>
      <c r="BZ8040" s="397"/>
      <c r="CA8040" s="392" t="s">
        <v>413</v>
      </c>
    </row>
    <row r="8041" spans="1:80" s="392" customFormat="1" ht="15" x14ac:dyDescent="0.25">
      <c r="A8041" s="385"/>
      <c r="D8041" s="700"/>
      <c r="E8041" s="397"/>
      <c r="H8041" s="401">
        <v>3</v>
      </c>
      <c r="I8041" s="401"/>
      <c r="J8041" s="401"/>
      <c r="K8041" s="401"/>
      <c r="L8041" s="675"/>
      <c r="M8041" s="672">
        <v>30798</v>
      </c>
      <c r="N8041" s="623">
        <v>0.37971096627939926</v>
      </c>
      <c r="O8041" s="624">
        <v>4.7627202000000007E-3</v>
      </c>
      <c r="P8041" s="397"/>
      <c r="Q8041" s="397"/>
      <c r="R8041" s="397"/>
      <c r="S8041" s="397"/>
      <c r="T8041" s="397"/>
      <c r="U8041" s="397"/>
      <c r="V8041" s="397"/>
      <c r="W8041" s="397"/>
      <c r="X8041" s="397"/>
      <c r="Y8041" s="397"/>
      <c r="Z8041" s="397"/>
      <c r="AC8041" s="115">
        <v>2.1299999999999999E-2</v>
      </c>
      <c r="AD8041" s="388">
        <v>6.4008000000000003</v>
      </c>
      <c r="AE8041" s="388">
        <v>0.192024</v>
      </c>
      <c r="AF8041" s="388">
        <v>1.2291072192000001</v>
      </c>
      <c r="AG8041" s="388">
        <v>0.30784800000000001</v>
      </c>
      <c r="AH8041" s="391"/>
      <c r="AI8041" s="397"/>
      <c r="AJ8041" s="397"/>
      <c r="AU8041" s="397"/>
      <c r="AV8041" s="397"/>
      <c r="AW8041" s="397"/>
      <c r="AX8041" s="397"/>
      <c r="BI8041" s="397"/>
      <c r="BJ8041" s="397"/>
      <c r="BK8041" s="397"/>
      <c r="BL8041" s="397"/>
      <c r="BM8041" s="397"/>
      <c r="BN8041" s="397"/>
      <c r="BO8041" s="397"/>
      <c r="BP8041" s="397"/>
      <c r="BQ8041" s="397"/>
      <c r="BR8041" s="397"/>
      <c r="BS8041" s="397"/>
      <c r="BT8041" s="397"/>
      <c r="BU8041" s="397"/>
      <c r="BV8041" s="397"/>
      <c r="BW8041" s="397"/>
      <c r="BX8041" s="397"/>
      <c r="BY8041" s="397"/>
      <c r="BZ8041" s="397"/>
      <c r="CA8041" s="392" t="s">
        <v>413</v>
      </c>
    </row>
    <row r="8042" spans="1:80" s="392" customFormat="1" ht="15" x14ac:dyDescent="0.25">
      <c r="A8042" s="385"/>
      <c r="D8042" s="700"/>
      <c r="E8042" s="397"/>
      <c r="H8042" s="401">
        <v>3</v>
      </c>
      <c r="I8042" s="401"/>
      <c r="J8042" s="401"/>
      <c r="K8042" s="401"/>
      <c r="L8042" s="675"/>
      <c r="M8042" s="672">
        <v>30802</v>
      </c>
      <c r="N8042" s="623">
        <v>0.35137432700481724</v>
      </c>
      <c r="O8042" s="624">
        <v>7.4389153599999994E-3</v>
      </c>
      <c r="P8042" s="397"/>
      <c r="Q8042" s="397"/>
      <c r="R8042" s="397"/>
      <c r="S8042" s="397"/>
      <c r="T8042" s="397"/>
      <c r="U8042" s="397"/>
      <c r="V8042" s="397"/>
      <c r="W8042" s="397"/>
      <c r="X8042" s="397"/>
      <c r="Y8042" s="397"/>
      <c r="Z8042" s="397"/>
      <c r="AC8042" s="115">
        <v>2.1299999999999999E-2</v>
      </c>
      <c r="AD8042" s="388">
        <v>6.2484000000000002</v>
      </c>
      <c r="AE8042" s="388">
        <v>0.16154400000000002</v>
      </c>
      <c r="AF8042" s="388">
        <v>1.0093915296000002</v>
      </c>
      <c r="AG8042" s="388">
        <v>0.347472</v>
      </c>
      <c r="AH8042" s="391"/>
      <c r="AI8042" s="397"/>
      <c r="AJ8042" s="397"/>
      <c r="AU8042" s="397"/>
      <c r="AV8042" s="397"/>
      <c r="AW8042" s="397"/>
      <c r="AX8042" s="397"/>
      <c r="BI8042" s="397"/>
      <c r="BJ8042" s="397"/>
      <c r="BK8042" s="397"/>
      <c r="BL8042" s="397"/>
      <c r="BM8042" s="397"/>
      <c r="BN8042" s="397"/>
      <c r="BO8042" s="397"/>
      <c r="BP8042" s="397"/>
      <c r="BQ8042" s="397"/>
      <c r="BR8042" s="397"/>
      <c r="BS8042" s="397"/>
      <c r="BT8042" s="397"/>
      <c r="BU8042" s="397"/>
      <c r="BV8042" s="397"/>
      <c r="BW8042" s="397"/>
      <c r="BX8042" s="397"/>
      <c r="BY8042" s="397"/>
      <c r="BZ8042" s="397"/>
      <c r="CA8042" s="392" t="s">
        <v>413</v>
      </c>
    </row>
    <row r="8043" spans="1:80" s="392" customFormat="1" ht="15" x14ac:dyDescent="0.25">
      <c r="A8043" s="385"/>
      <c r="D8043" s="700"/>
      <c r="E8043" s="397"/>
      <c r="H8043" s="401">
        <v>3</v>
      </c>
      <c r="I8043" s="401"/>
      <c r="J8043" s="401"/>
      <c r="K8043" s="401"/>
      <c r="L8043" s="675"/>
      <c r="M8043" s="672">
        <v>30805</v>
      </c>
      <c r="N8043" s="623">
        <v>0.31170303202040239</v>
      </c>
      <c r="O8043" s="624">
        <v>2.1772435200000002E-3</v>
      </c>
      <c r="P8043" s="397"/>
      <c r="Q8043" s="397"/>
      <c r="R8043" s="397"/>
      <c r="S8043" s="397"/>
      <c r="T8043" s="397"/>
      <c r="U8043" s="397"/>
      <c r="V8043" s="397"/>
      <c r="W8043" s="397"/>
      <c r="X8043" s="397"/>
      <c r="Y8043" s="397"/>
      <c r="Z8043" s="397"/>
      <c r="AC8043" s="115">
        <v>2.1299999999999999E-2</v>
      </c>
      <c r="AD8043" s="388">
        <v>5.4864000000000006</v>
      </c>
      <c r="AE8043" s="388">
        <v>0.22250400000000001</v>
      </c>
      <c r="AF8043" s="388">
        <v>1.2207459456000003</v>
      </c>
      <c r="AG8043" s="388">
        <v>0.25908000000000003</v>
      </c>
      <c r="AH8043" s="391"/>
      <c r="AI8043" s="397"/>
      <c r="AJ8043" s="397"/>
      <c r="AU8043" s="397"/>
      <c r="AV8043" s="397"/>
      <c r="AW8043" s="397"/>
      <c r="AX8043" s="397"/>
      <c r="BI8043" s="397"/>
      <c r="BJ8043" s="397"/>
      <c r="BK8043" s="397"/>
      <c r="BL8043" s="397"/>
      <c r="BM8043" s="397"/>
      <c r="BN8043" s="397"/>
      <c r="BO8043" s="397"/>
      <c r="BP8043" s="397"/>
      <c r="BQ8043" s="397"/>
      <c r="BR8043" s="397"/>
      <c r="BS8043" s="397"/>
      <c r="BT8043" s="397"/>
      <c r="BU8043" s="397"/>
      <c r="BV8043" s="397"/>
      <c r="BW8043" s="397"/>
      <c r="BX8043" s="397"/>
      <c r="BY8043" s="397"/>
      <c r="BZ8043" s="397"/>
      <c r="CA8043" s="392" t="s">
        <v>413</v>
      </c>
    </row>
    <row r="8044" spans="1:80" s="392" customFormat="1" ht="15" x14ac:dyDescent="0.25">
      <c r="A8044" s="385"/>
      <c r="D8044" s="700"/>
      <c r="E8044" s="397"/>
      <c r="H8044" s="401">
        <v>3</v>
      </c>
      <c r="I8044" s="401"/>
      <c r="J8044" s="401"/>
      <c r="K8044" s="401"/>
      <c r="L8044" s="675"/>
      <c r="M8044" s="672">
        <v>30812</v>
      </c>
      <c r="N8044" s="623">
        <v>0.69424766222725987</v>
      </c>
      <c r="O8044" s="624">
        <v>1.2139644598666663E-2</v>
      </c>
      <c r="P8044" s="397"/>
      <c r="Q8044" s="397"/>
      <c r="R8044" s="397"/>
      <c r="S8044" s="397"/>
      <c r="T8044" s="397"/>
      <c r="U8044" s="397"/>
      <c r="V8044" s="397"/>
      <c r="W8044" s="397"/>
      <c r="X8044" s="397"/>
      <c r="Y8044" s="397"/>
      <c r="Z8044" s="397"/>
      <c r="AC8044" s="115">
        <v>2.1299999999999999E-2</v>
      </c>
      <c r="AD8044" s="388">
        <v>6.61416</v>
      </c>
      <c r="AE8044" s="388">
        <v>0.23774400000000001</v>
      </c>
      <c r="AF8044" s="388">
        <v>1.5724768550400001</v>
      </c>
      <c r="AG8044" s="388">
        <v>0.43891200000000002</v>
      </c>
      <c r="AH8044" s="391"/>
      <c r="AI8044" s="397"/>
      <c r="AJ8044" s="397"/>
      <c r="AU8044" s="397"/>
      <c r="AV8044" s="397"/>
      <c r="AW8044" s="397"/>
      <c r="AX8044" s="397"/>
      <c r="BI8044" s="397"/>
      <c r="BJ8044" s="397"/>
      <c r="BK8044" s="397"/>
      <c r="BL8044" s="397"/>
      <c r="BM8044" s="397"/>
      <c r="BN8044" s="397"/>
      <c r="BO8044" s="397"/>
      <c r="BP8044" s="397"/>
      <c r="BQ8044" s="397"/>
      <c r="BR8044" s="397"/>
      <c r="BS8044" s="397"/>
      <c r="BT8044" s="397"/>
      <c r="BU8044" s="397"/>
      <c r="BV8044" s="397"/>
      <c r="BW8044" s="397"/>
      <c r="BX8044" s="397"/>
      <c r="BY8044" s="397"/>
      <c r="BZ8044" s="397"/>
      <c r="CA8044" s="392" t="s">
        <v>413</v>
      </c>
    </row>
    <row r="8045" spans="1:80" s="392" customFormat="1" ht="15" x14ac:dyDescent="0.25">
      <c r="A8045" s="385"/>
      <c r="D8045" s="700"/>
      <c r="E8045" s="397"/>
      <c r="H8045" s="401">
        <v>3</v>
      </c>
      <c r="I8045" s="401"/>
      <c r="J8045" s="401"/>
      <c r="K8045" s="401"/>
      <c r="L8045" s="675"/>
      <c r="M8045" s="672">
        <v>30817</v>
      </c>
      <c r="N8045" s="623">
        <v>1.3884953244545197</v>
      </c>
      <c r="O8045" s="624">
        <v>2.4602851775999999E-2</v>
      </c>
      <c r="P8045" s="397"/>
      <c r="Q8045" s="397"/>
      <c r="R8045" s="397"/>
      <c r="S8045" s="397"/>
      <c r="T8045" s="397"/>
      <c r="U8045" s="397"/>
      <c r="V8045" s="397"/>
      <c r="W8045" s="397"/>
      <c r="X8045" s="397"/>
      <c r="Y8045" s="397"/>
      <c r="Z8045" s="397"/>
      <c r="AC8045" s="115">
        <v>2.1299999999999999E-2</v>
      </c>
      <c r="AD8045" s="388">
        <v>6.8884800000000004</v>
      </c>
      <c r="AE8045" s="388">
        <v>0.32918400000000003</v>
      </c>
      <c r="AF8045" s="388">
        <v>2.2675774003200004</v>
      </c>
      <c r="AG8045" s="388">
        <v>0.61569600000000002</v>
      </c>
      <c r="AH8045" s="391"/>
      <c r="AI8045" s="397"/>
      <c r="AJ8045" s="397"/>
      <c r="AU8045" s="397"/>
      <c r="AV8045" s="397"/>
      <c r="AW8045" s="397"/>
      <c r="AX8045" s="397"/>
      <c r="BI8045" s="397"/>
      <c r="BJ8045" s="397"/>
      <c r="BK8045" s="397"/>
      <c r="BL8045" s="397"/>
      <c r="BM8045" s="397"/>
      <c r="BN8045" s="397"/>
      <c r="BO8045" s="397"/>
      <c r="BP8045" s="397"/>
      <c r="BQ8045" s="397"/>
      <c r="BR8045" s="397"/>
      <c r="BS8045" s="397"/>
      <c r="BT8045" s="397"/>
      <c r="BU8045" s="397"/>
      <c r="BV8045" s="397"/>
      <c r="BW8045" s="397"/>
      <c r="BX8045" s="397"/>
      <c r="BY8045" s="397"/>
      <c r="BZ8045" s="397"/>
      <c r="CA8045" s="392" t="s">
        <v>413</v>
      </c>
    </row>
    <row r="8046" spans="1:80" s="392" customFormat="1" ht="15" x14ac:dyDescent="0.25">
      <c r="A8046" s="385"/>
      <c r="D8046" s="700"/>
      <c r="E8046" s="397"/>
      <c r="H8046" s="401">
        <v>3</v>
      </c>
      <c r="I8046" s="401"/>
      <c r="J8046" s="401"/>
      <c r="K8046" s="401"/>
      <c r="L8046" s="675"/>
      <c r="M8046" s="672">
        <v>30819</v>
      </c>
      <c r="N8046" s="623">
        <v>1.6520260697081326</v>
      </c>
      <c r="O8046" s="624">
        <v>1.4478669408E-2</v>
      </c>
      <c r="P8046" s="397"/>
      <c r="Q8046" s="397"/>
      <c r="R8046" s="397"/>
      <c r="S8046" s="397"/>
      <c r="T8046" s="397"/>
      <c r="U8046" s="397"/>
      <c r="V8046" s="397"/>
      <c r="W8046" s="397"/>
      <c r="X8046" s="397"/>
      <c r="Y8046" s="397"/>
      <c r="Z8046" s="397"/>
      <c r="AC8046" s="115">
        <v>2.1299999999999999E-2</v>
      </c>
      <c r="AD8046" s="388">
        <v>6.9494400000000009</v>
      </c>
      <c r="AE8046" s="388">
        <v>0.347472</v>
      </c>
      <c r="AF8046" s="388">
        <v>2.4147358156800003</v>
      </c>
      <c r="AG8046" s="388">
        <v>0.67970399999999997</v>
      </c>
      <c r="AH8046" s="391"/>
      <c r="AI8046" s="397"/>
      <c r="AJ8046" s="397"/>
      <c r="AU8046" s="397"/>
      <c r="AV8046" s="397"/>
      <c r="AW8046" s="397"/>
      <c r="AX8046" s="397"/>
      <c r="BI8046" s="397"/>
      <c r="BJ8046" s="397"/>
      <c r="BK8046" s="397"/>
      <c r="BL8046" s="397"/>
      <c r="BM8046" s="397"/>
      <c r="BN8046" s="397"/>
      <c r="BO8046" s="397"/>
      <c r="BP8046" s="397"/>
      <c r="BQ8046" s="397"/>
      <c r="BR8046" s="397"/>
      <c r="BS8046" s="397"/>
      <c r="BT8046" s="397"/>
      <c r="BU8046" s="397"/>
      <c r="BV8046" s="397"/>
      <c r="BW8046" s="397"/>
      <c r="BX8046" s="397"/>
      <c r="BY8046" s="397"/>
      <c r="BZ8046" s="397"/>
      <c r="CA8046" s="392" t="s">
        <v>413</v>
      </c>
    </row>
    <row r="8047" spans="1:80" s="392" customFormat="1" ht="15" x14ac:dyDescent="0.25">
      <c r="A8047" s="385"/>
      <c r="D8047" s="700"/>
      <c r="E8047" s="397"/>
      <c r="H8047" s="401">
        <v>3</v>
      </c>
      <c r="I8047" s="401"/>
      <c r="J8047" s="401"/>
      <c r="K8047" s="401"/>
      <c r="L8047" s="675"/>
      <c r="M8047" s="672">
        <v>30824</v>
      </c>
      <c r="N8047" s="623">
        <v>1.8333805610654577</v>
      </c>
      <c r="O8047" s="624" t="s">
        <v>71</v>
      </c>
      <c r="P8047" s="397"/>
      <c r="Q8047" s="397"/>
      <c r="R8047" s="397"/>
      <c r="S8047" s="397"/>
      <c r="T8047" s="397"/>
      <c r="U8047" s="397"/>
      <c r="V8047" s="397"/>
      <c r="W8047" s="397"/>
      <c r="X8047" s="397"/>
      <c r="Y8047" s="397"/>
      <c r="Z8047" s="397"/>
      <c r="AC8047" s="115">
        <v>2.1299999999999999E-2</v>
      </c>
      <c r="AD8047" s="388">
        <v>6.7970400000000009</v>
      </c>
      <c r="AE8047" s="388">
        <v>0.35661599999999999</v>
      </c>
      <c r="AF8047" s="388">
        <v>2.4239332166400001</v>
      </c>
      <c r="AG8047" s="388">
        <v>0.75895200000000007</v>
      </c>
      <c r="AH8047" s="391"/>
      <c r="AI8047" s="397"/>
      <c r="AJ8047" s="397"/>
      <c r="AU8047" s="397"/>
      <c r="AV8047" s="397"/>
      <c r="AW8047" s="397"/>
      <c r="AX8047" s="397"/>
      <c r="BI8047" s="397"/>
      <c r="BJ8047" s="397"/>
      <c r="BK8047" s="397"/>
      <c r="BL8047" s="397"/>
      <c r="BM8047" s="397"/>
      <c r="BN8047" s="397"/>
      <c r="BO8047" s="397"/>
      <c r="BP8047" s="397"/>
      <c r="BQ8047" s="397"/>
      <c r="BR8047" s="397"/>
      <c r="BS8047" s="397"/>
      <c r="BT8047" s="397"/>
      <c r="BU8047" s="397"/>
      <c r="BV8047" s="397"/>
      <c r="BW8047" s="397"/>
      <c r="BX8047" s="397"/>
      <c r="BY8047" s="397"/>
      <c r="BZ8047" s="397"/>
      <c r="CA8047" s="392" t="s">
        <v>413</v>
      </c>
    </row>
    <row r="8048" spans="1:80" s="392" customFormat="1" ht="15" x14ac:dyDescent="0.25">
      <c r="A8048" s="385"/>
      <c r="D8048" s="700"/>
      <c r="E8048" s="397"/>
      <c r="H8048" s="401">
        <v>3</v>
      </c>
      <c r="I8048" s="401"/>
      <c r="J8048" s="401"/>
      <c r="K8048" s="401"/>
      <c r="L8048" s="675"/>
      <c r="M8048" s="672">
        <v>30826</v>
      </c>
      <c r="N8048" s="623">
        <v>2.0515726834797396</v>
      </c>
      <c r="O8048" s="624">
        <v>1.9391075099999999E-2</v>
      </c>
      <c r="P8048" s="397"/>
      <c r="Q8048" s="397"/>
      <c r="R8048" s="397"/>
      <c r="S8048" s="397"/>
      <c r="T8048" s="397"/>
      <c r="U8048" s="397"/>
      <c r="V8048" s="397"/>
      <c r="W8048" s="397"/>
      <c r="X8048" s="397"/>
      <c r="Y8048" s="397"/>
      <c r="Z8048" s="397"/>
      <c r="AC8048" s="115">
        <v>2.1299999999999999E-2</v>
      </c>
      <c r="AD8048" s="388">
        <v>6.8580000000000005</v>
      </c>
      <c r="AE8048" s="388">
        <v>0.41452800000000006</v>
      </c>
      <c r="AF8048" s="388">
        <v>2.8428330240000008</v>
      </c>
      <c r="AG8048" s="388">
        <v>0.71932799999999997</v>
      </c>
      <c r="AH8048" s="391"/>
      <c r="AI8048" s="397"/>
      <c r="AJ8048" s="397"/>
      <c r="AU8048" s="397"/>
      <c r="AV8048" s="397"/>
      <c r="AW8048" s="397"/>
      <c r="AX8048" s="397"/>
      <c r="BI8048" s="397"/>
      <c r="BJ8048" s="397"/>
      <c r="BK8048" s="397"/>
      <c r="BL8048" s="397"/>
      <c r="BM8048" s="397"/>
      <c r="BN8048" s="397"/>
      <c r="BO8048" s="397"/>
      <c r="BP8048" s="397"/>
      <c r="BQ8048" s="397"/>
      <c r="BR8048" s="397"/>
      <c r="BS8048" s="397"/>
      <c r="BT8048" s="397"/>
      <c r="BU8048" s="397"/>
      <c r="BV8048" s="397"/>
      <c r="BW8048" s="397"/>
      <c r="BX8048" s="397"/>
      <c r="BY8048" s="397"/>
      <c r="BZ8048" s="397"/>
      <c r="CA8048" s="392" t="s">
        <v>413</v>
      </c>
    </row>
    <row r="8049" spans="1:80" s="392" customFormat="1" ht="15" x14ac:dyDescent="0.25">
      <c r="A8049" s="385"/>
      <c r="D8049" s="700"/>
      <c r="E8049" s="397"/>
      <c r="H8049" s="401">
        <v>3</v>
      </c>
      <c r="I8049" s="401"/>
      <c r="J8049" s="401"/>
      <c r="K8049" s="401"/>
      <c r="L8049" s="675"/>
      <c r="M8049" s="672">
        <v>30831</v>
      </c>
      <c r="N8049" s="623">
        <v>2.2527628223292719</v>
      </c>
      <c r="O8049" s="624">
        <v>2.004878408E-2</v>
      </c>
      <c r="P8049" s="397"/>
      <c r="Q8049" s="397"/>
      <c r="R8049" s="397"/>
      <c r="S8049" s="397"/>
      <c r="T8049" s="397"/>
      <c r="U8049" s="397"/>
      <c r="V8049" s="397"/>
      <c r="W8049" s="397"/>
      <c r="X8049" s="397"/>
      <c r="Y8049" s="397"/>
      <c r="Z8049" s="397"/>
      <c r="AC8049" s="115">
        <v>2.1299999999999999E-2</v>
      </c>
      <c r="AD8049" s="388">
        <v>6.7360800000000012</v>
      </c>
      <c r="AE8049" s="388">
        <v>0.39014400000000005</v>
      </c>
      <c r="AF8049" s="388">
        <v>2.6280411955200007</v>
      </c>
      <c r="AG8049" s="388">
        <v>0.85648800000000003</v>
      </c>
      <c r="AH8049" s="391"/>
      <c r="AI8049" s="397"/>
      <c r="AJ8049" s="397"/>
      <c r="AU8049" s="397"/>
      <c r="AV8049" s="397"/>
      <c r="AW8049" s="397"/>
      <c r="AX8049" s="397"/>
      <c r="BI8049" s="397"/>
      <c r="BJ8049" s="397"/>
      <c r="BK8049" s="397"/>
      <c r="BL8049" s="397"/>
      <c r="BM8049" s="397"/>
      <c r="BN8049" s="397"/>
      <c r="BO8049" s="397"/>
      <c r="BP8049" s="397"/>
      <c r="BQ8049" s="397"/>
      <c r="BR8049" s="397"/>
      <c r="BS8049" s="397"/>
      <c r="BT8049" s="397"/>
      <c r="BU8049" s="397"/>
      <c r="BV8049" s="397"/>
      <c r="BW8049" s="397"/>
      <c r="BX8049" s="397"/>
      <c r="BY8049" s="397"/>
      <c r="BZ8049" s="397"/>
      <c r="CA8049" s="392" t="s">
        <v>413</v>
      </c>
    </row>
    <row r="8050" spans="1:80" s="392" customFormat="1" ht="15" x14ac:dyDescent="0.25">
      <c r="A8050" s="385"/>
      <c r="D8050" s="700"/>
      <c r="E8050" s="397"/>
      <c r="H8050" s="401">
        <v>3</v>
      </c>
      <c r="I8050" s="401"/>
      <c r="J8050" s="401"/>
      <c r="K8050" s="401"/>
      <c r="L8050" s="675"/>
      <c r="M8050" s="672">
        <v>30833</v>
      </c>
      <c r="N8050" s="623">
        <v>1.8135449135732502</v>
      </c>
      <c r="O8050" s="624">
        <v>9.1035994680000003E-3</v>
      </c>
      <c r="P8050" s="397"/>
      <c r="Q8050" s="397"/>
      <c r="R8050" s="397"/>
      <c r="S8050" s="397"/>
      <c r="T8050" s="397"/>
      <c r="U8050" s="397"/>
      <c r="V8050" s="397"/>
      <c r="W8050" s="397"/>
      <c r="X8050" s="397"/>
      <c r="Y8050" s="397"/>
      <c r="Z8050" s="397"/>
      <c r="AC8050" s="115">
        <v>2.1299999999999999E-2</v>
      </c>
      <c r="AD8050" s="388">
        <v>6.7970400000000009</v>
      </c>
      <c r="AE8050" s="388">
        <v>0.35052</v>
      </c>
      <c r="AF8050" s="388">
        <v>2.3824984608000004</v>
      </c>
      <c r="AG8050" s="388">
        <v>0.76200000000000001</v>
      </c>
      <c r="AH8050" s="391"/>
      <c r="AI8050" s="397"/>
      <c r="AJ8050" s="397"/>
      <c r="AU8050" s="397"/>
      <c r="AV8050" s="397"/>
      <c r="AW8050" s="397"/>
      <c r="AX8050" s="397"/>
      <c r="BI8050" s="397"/>
      <c r="BJ8050" s="397"/>
      <c r="BK8050" s="397"/>
      <c r="BL8050" s="397"/>
      <c r="BM8050" s="397"/>
      <c r="BN8050" s="397"/>
      <c r="BO8050" s="397"/>
      <c r="BP8050" s="397"/>
      <c r="BQ8050" s="397"/>
      <c r="BR8050" s="397"/>
      <c r="BS8050" s="397"/>
      <c r="BT8050" s="397"/>
      <c r="BU8050" s="397"/>
      <c r="BV8050" s="397"/>
      <c r="BW8050" s="397"/>
      <c r="BX8050" s="397"/>
      <c r="BY8050" s="397"/>
      <c r="BZ8050" s="397"/>
      <c r="CA8050" s="392" t="s">
        <v>413</v>
      </c>
    </row>
    <row r="8051" spans="1:80" s="392" customFormat="1" ht="15" x14ac:dyDescent="0.25">
      <c r="A8051" s="385"/>
      <c r="D8051" s="700"/>
      <c r="E8051" s="397"/>
      <c r="H8051" s="401">
        <v>3</v>
      </c>
      <c r="I8051" s="401"/>
      <c r="J8051" s="401"/>
      <c r="K8051" s="401"/>
      <c r="L8051" s="675"/>
      <c r="M8051" s="672">
        <v>30837</v>
      </c>
      <c r="N8051" s="623">
        <v>1.7710399546613773</v>
      </c>
      <c r="O8051" s="624">
        <v>5.7318959613333323E-3</v>
      </c>
      <c r="P8051" s="397"/>
      <c r="Q8051" s="397"/>
      <c r="R8051" s="397"/>
      <c r="S8051" s="397"/>
      <c r="T8051" s="397"/>
      <c r="U8051" s="397"/>
      <c r="V8051" s="397"/>
      <c r="W8051" s="397"/>
      <c r="X8051" s="397"/>
      <c r="Y8051" s="397"/>
      <c r="Z8051" s="397"/>
      <c r="AC8051" s="115">
        <v>2.1299999999999999E-2</v>
      </c>
      <c r="AD8051" s="388">
        <v>6.7970400000000009</v>
      </c>
      <c r="AE8051" s="388">
        <v>0</v>
      </c>
      <c r="AF8051" s="388">
        <v>0</v>
      </c>
      <c r="AG8051" s="388">
        <v>0</v>
      </c>
      <c r="AH8051" s="391"/>
      <c r="AI8051" s="397"/>
      <c r="AJ8051" s="397"/>
      <c r="AU8051" s="397"/>
      <c r="AV8051" s="397"/>
      <c r="AW8051" s="397"/>
      <c r="AX8051" s="397"/>
      <c r="BI8051" s="397"/>
      <c r="BJ8051" s="397"/>
      <c r="BK8051" s="397"/>
      <c r="BL8051" s="397"/>
      <c r="BM8051" s="397"/>
      <c r="BN8051" s="397"/>
      <c r="BO8051" s="397"/>
      <c r="BP8051" s="397"/>
      <c r="BQ8051" s="397"/>
      <c r="BR8051" s="397"/>
      <c r="BS8051" s="397"/>
      <c r="BT8051" s="397"/>
      <c r="BU8051" s="397"/>
      <c r="BV8051" s="397"/>
      <c r="BW8051" s="397"/>
      <c r="BX8051" s="397"/>
      <c r="BY8051" s="397"/>
      <c r="BZ8051" s="397"/>
      <c r="CA8051" s="392" t="s">
        <v>413</v>
      </c>
    </row>
    <row r="8052" spans="1:80" s="392" customFormat="1" ht="15" x14ac:dyDescent="0.25">
      <c r="A8052" s="385"/>
      <c r="D8052" s="700"/>
      <c r="E8052" s="397"/>
      <c r="H8052" s="401">
        <v>3</v>
      </c>
      <c r="I8052" s="401"/>
      <c r="J8052" s="401"/>
      <c r="K8052" s="401"/>
      <c r="L8052" s="675"/>
      <c r="M8052" s="672">
        <v>30839</v>
      </c>
      <c r="N8052" s="623">
        <v>1.3856616605270615</v>
      </c>
      <c r="O8052" s="624">
        <v>2.3496086320000001E-3</v>
      </c>
      <c r="P8052" s="397"/>
      <c r="Q8052" s="397"/>
      <c r="R8052" s="397"/>
      <c r="S8052" s="397"/>
      <c r="T8052" s="397"/>
      <c r="U8052" s="397"/>
      <c r="V8052" s="397"/>
      <c r="W8052" s="397"/>
      <c r="X8052" s="397"/>
      <c r="Y8052" s="397"/>
      <c r="Z8052" s="397"/>
      <c r="AC8052" s="115">
        <v>2.1299999999999999E-2</v>
      </c>
      <c r="AD8052" s="388">
        <v>6.7665600000000001</v>
      </c>
      <c r="AE8052" s="388">
        <v>0.31089600000000001</v>
      </c>
      <c r="AF8052" s="388">
        <v>2.10369643776</v>
      </c>
      <c r="AG8052" s="388">
        <v>0.65836800000000006</v>
      </c>
      <c r="AH8052" s="391"/>
      <c r="AI8052" s="397"/>
      <c r="AJ8052" s="397"/>
      <c r="AU8052" s="397"/>
      <c r="AV8052" s="397"/>
      <c r="AW8052" s="397"/>
      <c r="AX8052" s="397"/>
      <c r="BI8052" s="397"/>
      <c r="BJ8052" s="397"/>
      <c r="BK8052" s="397"/>
      <c r="BL8052" s="397"/>
      <c r="BM8052" s="397"/>
      <c r="BN8052" s="397"/>
      <c r="BO8052" s="397"/>
      <c r="BP8052" s="397"/>
      <c r="BQ8052" s="397"/>
      <c r="BR8052" s="397"/>
      <c r="BS8052" s="397"/>
      <c r="BT8052" s="397"/>
      <c r="BU8052" s="397"/>
      <c r="BV8052" s="397"/>
      <c r="BW8052" s="397"/>
      <c r="BX8052" s="397"/>
      <c r="BY8052" s="397"/>
      <c r="BZ8052" s="397"/>
      <c r="CA8052" s="392" t="s">
        <v>413</v>
      </c>
    </row>
    <row r="8053" spans="1:80" s="392" customFormat="1" ht="15" x14ac:dyDescent="0.25">
      <c r="A8053" s="385"/>
      <c r="D8053" s="700"/>
      <c r="E8053" s="397"/>
      <c r="H8053" s="401">
        <v>3</v>
      </c>
      <c r="I8053" s="401"/>
      <c r="J8053" s="401"/>
      <c r="K8053" s="401"/>
      <c r="L8053" s="675"/>
      <c r="M8053" s="672">
        <v>30844</v>
      </c>
      <c r="N8053" s="623">
        <v>1.2779824312836499</v>
      </c>
      <c r="O8053" s="624">
        <v>4.3045918759999999E-3</v>
      </c>
      <c r="P8053" s="397"/>
      <c r="Q8053" s="397"/>
      <c r="R8053" s="397"/>
      <c r="S8053" s="397"/>
      <c r="T8053" s="397"/>
      <c r="U8053" s="397"/>
      <c r="V8053" s="397"/>
      <c r="W8053" s="397"/>
      <c r="X8053" s="397"/>
      <c r="Y8053" s="397"/>
      <c r="Z8053" s="397"/>
      <c r="AC8053" s="115">
        <v>2.5000000000000001E-2</v>
      </c>
      <c r="AD8053" s="388">
        <v>6.6751199999999997</v>
      </c>
      <c r="AE8053" s="388">
        <v>0.31089600000000001</v>
      </c>
      <c r="AF8053" s="388">
        <v>2.0752681075199999</v>
      </c>
      <c r="AG8053" s="388">
        <v>0.61264799999999997</v>
      </c>
      <c r="AH8053" s="391"/>
      <c r="AI8053" s="397"/>
      <c r="AJ8053" s="397"/>
      <c r="AU8053" s="397"/>
      <c r="AV8053" s="397"/>
      <c r="AW8053" s="397"/>
      <c r="AX8053" s="397"/>
      <c r="BI8053" s="397"/>
      <c r="BJ8053" s="397"/>
      <c r="BK8053" s="397"/>
      <c r="BL8053" s="397"/>
      <c r="BM8053" s="397"/>
      <c r="BN8053" s="397"/>
      <c r="BO8053" s="397"/>
      <c r="BP8053" s="397"/>
      <c r="BQ8053" s="397"/>
      <c r="BR8053" s="397"/>
      <c r="BS8053" s="397"/>
      <c r="BT8053" s="397"/>
      <c r="BU8053" s="397"/>
      <c r="BV8053" s="397"/>
      <c r="BW8053" s="397"/>
      <c r="BX8053" s="397"/>
      <c r="BY8053" s="397"/>
      <c r="BZ8053" s="397"/>
      <c r="CA8053" s="392" t="s">
        <v>413</v>
      </c>
    </row>
    <row r="8054" spans="1:80" s="392" customFormat="1" ht="15" x14ac:dyDescent="0.25">
      <c r="A8054" s="385"/>
      <c r="D8054" s="700"/>
      <c r="E8054" s="397"/>
      <c r="H8054" s="401">
        <v>3</v>
      </c>
      <c r="I8054" s="401"/>
      <c r="J8054" s="401"/>
      <c r="K8054" s="401"/>
      <c r="L8054" s="675"/>
      <c r="M8054" s="672">
        <v>30846</v>
      </c>
      <c r="N8054" s="623">
        <v>1.3289883819778974</v>
      </c>
      <c r="O8054" s="624">
        <v>1.6556122599999997E-3</v>
      </c>
      <c r="P8054" s="397"/>
      <c r="Q8054" s="397"/>
      <c r="R8054" s="397"/>
      <c r="S8054" s="397"/>
      <c r="T8054" s="397"/>
      <c r="U8054" s="397"/>
      <c r="V8054" s="397"/>
      <c r="W8054" s="397"/>
      <c r="X8054" s="397"/>
      <c r="Y8054" s="397"/>
      <c r="Z8054" s="397"/>
      <c r="AC8054" s="115">
        <v>2.5000000000000001E-2</v>
      </c>
      <c r="AD8054" s="388">
        <v>6.6751199999999997</v>
      </c>
      <c r="AE8054" s="388">
        <v>0.30784800000000001</v>
      </c>
      <c r="AF8054" s="388">
        <v>2.0549223417599998</v>
      </c>
      <c r="AG8054" s="388">
        <v>0.64312800000000003</v>
      </c>
      <c r="AH8054" s="391"/>
      <c r="AI8054" s="397"/>
      <c r="AJ8054" s="397"/>
      <c r="AU8054" s="397"/>
      <c r="AV8054" s="397"/>
      <c r="AW8054" s="397"/>
      <c r="AX8054" s="397"/>
      <c r="BI8054" s="397"/>
      <c r="BJ8054" s="397"/>
      <c r="BK8054" s="397"/>
      <c r="BL8054" s="397"/>
      <c r="BM8054" s="397"/>
      <c r="BN8054" s="397"/>
      <c r="BO8054" s="397"/>
      <c r="BP8054" s="397"/>
      <c r="BQ8054" s="397"/>
      <c r="BR8054" s="397"/>
      <c r="BS8054" s="397"/>
      <c r="BT8054" s="397"/>
      <c r="BU8054" s="397"/>
      <c r="BV8054" s="397"/>
      <c r="BW8054" s="397"/>
      <c r="BX8054" s="397"/>
      <c r="BY8054" s="397"/>
      <c r="BZ8054" s="397"/>
      <c r="CA8054" s="392" t="s">
        <v>413</v>
      </c>
    </row>
    <row r="8055" spans="1:80" s="392" customFormat="1" ht="15" x14ac:dyDescent="0.25">
      <c r="A8055" s="385"/>
      <c r="D8055" s="700"/>
      <c r="E8055" s="397"/>
      <c r="H8055" s="401">
        <v>3</v>
      </c>
      <c r="I8055" s="401"/>
      <c r="J8055" s="401"/>
      <c r="K8055" s="401"/>
      <c r="L8055" s="675"/>
      <c r="M8055" s="672">
        <v>30852</v>
      </c>
      <c r="N8055" s="623">
        <v>1.255313119863984</v>
      </c>
      <c r="O8055" s="624">
        <v>2.9801020679999994E-3</v>
      </c>
      <c r="P8055" s="397"/>
      <c r="Q8055" s="397"/>
      <c r="R8055" s="397"/>
      <c r="S8055" s="397"/>
      <c r="T8055" s="397"/>
      <c r="U8055" s="397"/>
      <c r="V8055" s="397"/>
      <c r="W8055" s="397"/>
      <c r="X8055" s="397"/>
      <c r="Y8055" s="397"/>
      <c r="Z8055" s="397"/>
      <c r="AC8055" s="115">
        <v>2.5000000000000001E-2</v>
      </c>
      <c r="AD8055" s="388">
        <v>6.6751199999999997</v>
      </c>
      <c r="AE8055" s="388">
        <v>0.30480000000000002</v>
      </c>
      <c r="AF8055" s="388">
        <v>2.0345765760000001</v>
      </c>
      <c r="AG8055" s="388">
        <v>0.61874399999999996</v>
      </c>
      <c r="AH8055" s="391"/>
      <c r="AI8055" s="397"/>
      <c r="AJ8055" s="397"/>
      <c r="AU8055" s="397"/>
      <c r="AV8055" s="397"/>
      <c r="AW8055" s="397"/>
      <c r="AX8055" s="397"/>
      <c r="BI8055" s="397"/>
      <c r="BJ8055" s="397"/>
      <c r="BK8055" s="397"/>
      <c r="BL8055" s="397"/>
      <c r="BM8055" s="397"/>
      <c r="BN8055" s="397"/>
      <c r="BO8055" s="397"/>
      <c r="BP8055" s="397"/>
      <c r="BQ8055" s="397"/>
      <c r="BR8055" s="397"/>
      <c r="BS8055" s="397"/>
      <c r="BT8055" s="397"/>
      <c r="BU8055" s="397"/>
      <c r="BV8055" s="397"/>
      <c r="BW8055" s="397"/>
      <c r="BX8055" s="397"/>
      <c r="BY8055" s="397"/>
      <c r="BZ8055" s="397"/>
      <c r="CA8055" s="392" t="s">
        <v>413</v>
      </c>
    </row>
    <row r="8056" spans="1:80" s="392" customFormat="1" ht="15" x14ac:dyDescent="0.25">
      <c r="A8056" s="385"/>
      <c r="D8056" s="700"/>
      <c r="E8056" s="397"/>
      <c r="H8056" s="401">
        <v>3</v>
      </c>
      <c r="I8056" s="401"/>
      <c r="J8056" s="401"/>
      <c r="K8056" s="401"/>
      <c r="L8056" s="675"/>
      <c r="M8056" s="672">
        <v>30859</v>
      </c>
      <c r="N8056" s="623">
        <v>0.87560215358458482</v>
      </c>
      <c r="O8056" s="624">
        <v>2.7814285967999997E-2</v>
      </c>
      <c r="P8056" s="397"/>
      <c r="Q8056" s="397"/>
      <c r="R8056" s="397"/>
      <c r="S8056" s="397"/>
      <c r="T8056" s="397"/>
      <c r="U8056" s="397"/>
      <c r="V8056" s="397"/>
      <c r="W8056" s="397"/>
      <c r="X8056" s="397"/>
      <c r="Y8056" s="397"/>
      <c r="Z8056" s="397"/>
      <c r="AC8056" s="115">
        <v>2.5000000000000001E-2</v>
      </c>
      <c r="AD8056" s="388">
        <v>6.6751199999999997</v>
      </c>
      <c r="AE8056" s="388">
        <v>0.23774400000000001</v>
      </c>
      <c r="AF8056" s="388">
        <v>1.58696972928</v>
      </c>
      <c r="AG8056" s="388">
        <v>0.55168800000000007</v>
      </c>
      <c r="AH8056" s="391"/>
      <c r="AI8056" s="397"/>
      <c r="AJ8056" s="397"/>
      <c r="AU8056" s="397"/>
      <c r="AV8056" s="397"/>
      <c r="AW8056" s="397"/>
      <c r="AX8056" s="397"/>
      <c r="BI8056" s="397"/>
      <c r="BJ8056" s="397"/>
      <c r="BK8056" s="397"/>
      <c r="BL8056" s="397"/>
      <c r="BM8056" s="397"/>
      <c r="BN8056" s="397"/>
      <c r="BO8056" s="397"/>
      <c r="BP8056" s="397"/>
      <c r="BQ8056" s="397"/>
      <c r="BR8056" s="397"/>
      <c r="BS8056" s="397"/>
      <c r="BT8056" s="397"/>
      <c r="BU8056" s="397"/>
      <c r="BV8056" s="397"/>
      <c r="BW8056" s="397"/>
      <c r="BX8056" s="397"/>
      <c r="BY8056" s="397"/>
      <c r="BZ8056" s="397"/>
      <c r="CA8056" s="392" t="s">
        <v>413</v>
      </c>
    </row>
    <row r="8057" spans="1:80" s="392" customFormat="1" ht="15" x14ac:dyDescent="0.25">
      <c r="A8057" s="385"/>
      <c r="D8057" s="700"/>
      <c r="E8057" s="397"/>
      <c r="H8057" s="401">
        <v>3</v>
      </c>
      <c r="I8057" s="401"/>
      <c r="J8057" s="401"/>
      <c r="K8057" s="401"/>
      <c r="L8057" s="675"/>
      <c r="M8057" s="672">
        <v>30866</v>
      </c>
      <c r="N8057" s="623">
        <v>0.65741003117030317</v>
      </c>
      <c r="O8057" s="624">
        <v>7.3179573866666674E-3</v>
      </c>
      <c r="P8057" s="397"/>
      <c r="Q8057" s="397"/>
      <c r="R8057" s="397"/>
      <c r="S8057" s="397"/>
      <c r="T8057" s="397"/>
      <c r="U8057" s="397"/>
      <c r="V8057" s="397"/>
      <c r="W8057" s="397"/>
      <c r="X8057" s="397"/>
      <c r="Y8057" s="397"/>
      <c r="Z8057" s="397"/>
      <c r="AC8057" s="115">
        <v>2.5000000000000001E-2</v>
      </c>
      <c r="AD8057" s="388">
        <v>6.7056000000000004</v>
      </c>
      <c r="AE8057" s="388">
        <v>0.24688800000000002</v>
      </c>
      <c r="AF8057" s="388">
        <v>1.6555321728000003</v>
      </c>
      <c r="AG8057" s="388">
        <v>0.39624000000000004</v>
      </c>
      <c r="AH8057" s="391"/>
      <c r="AI8057" s="397"/>
      <c r="AJ8057" s="397"/>
      <c r="AU8057" s="397"/>
      <c r="AV8057" s="397"/>
      <c r="AW8057" s="397"/>
      <c r="AX8057" s="397"/>
      <c r="BI8057" s="397"/>
      <c r="BJ8057" s="397"/>
      <c r="BK8057" s="397"/>
      <c r="BL8057" s="397"/>
      <c r="BM8057" s="397"/>
      <c r="BN8057" s="397"/>
      <c r="BO8057" s="397"/>
      <c r="BP8057" s="397"/>
      <c r="BQ8057" s="397"/>
      <c r="BR8057" s="397"/>
      <c r="BS8057" s="397"/>
      <c r="BT8057" s="397"/>
      <c r="BU8057" s="397"/>
      <c r="BV8057" s="397"/>
      <c r="BW8057" s="397"/>
      <c r="BX8057" s="397"/>
      <c r="BY8057" s="397"/>
      <c r="BZ8057" s="397"/>
      <c r="CA8057" s="392" t="s">
        <v>413</v>
      </c>
    </row>
    <row r="8058" spans="1:80" s="392" customFormat="1" ht="15" x14ac:dyDescent="0.25">
      <c r="A8058" s="385"/>
      <c r="D8058" s="700"/>
      <c r="E8058" s="397"/>
      <c r="H8058" s="401">
        <v>3</v>
      </c>
      <c r="I8058" s="401"/>
      <c r="J8058" s="401"/>
      <c r="K8058" s="401"/>
      <c r="L8058" s="675"/>
      <c r="M8058" s="672">
        <v>30875</v>
      </c>
      <c r="N8058" s="623">
        <v>0.46188722017568717</v>
      </c>
      <c r="O8058" s="624">
        <v>1.7389220641333334E-2</v>
      </c>
      <c r="P8058" s="397"/>
      <c r="Q8058" s="397"/>
      <c r="R8058" s="397"/>
      <c r="S8058" s="397"/>
      <c r="T8058" s="397"/>
      <c r="U8058" s="397"/>
      <c r="V8058" s="397"/>
      <c r="W8058" s="397"/>
      <c r="X8058" s="397"/>
      <c r="Y8058" s="397"/>
      <c r="Z8058" s="397"/>
      <c r="AC8058" s="115">
        <v>2.5000000000000001E-2</v>
      </c>
      <c r="AD8058" s="388">
        <v>6.61416</v>
      </c>
      <c r="AE8058" s="388">
        <v>0.19507200000000002</v>
      </c>
      <c r="AF8058" s="388">
        <v>1.2902374195200002</v>
      </c>
      <c r="AG8058" s="388">
        <v>0.35966399999999998</v>
      </c>
      <c r="AH8058" s="391"/>
      <c r="AI8058" s="397"/>
      <c r="AJ8058" s="397"/>
      <c r="AU8058" s="397"/>
      <c r="AV8058" s="397"/>
      <c r="AW8058" s="397"/>
      <c r="AX8058" s="397"/>
      <c r="BI8058" s="397"/>
      <c r="BJ8058" s="397"/>
      <c r="BK8058" s="397"/>
      <c r="BL8058" s="397"/>
      <c r="BM8058" s="397"/>
      <c r="BN8058" s="397"/>
      <c r="BO8058" s="397"/>
      <c r="BP8058" s="397"/>
      <c r="BQ8058" s="397"/>
      <c r="BR8058" s="397"/>
      <c r="BS8058" s="397"/>
      <c r="BT8058" s="397"/>
      <c r="BU8058" s="397"/>
      <c r="BV8058" s="397"/>
      <c r="BW8058" s="397"/>
      <c r="BX8058" s="397"/>
      <c r="BY8058" s="397"/>
      <c r="BZ8058" s="397"/>
      <c r="CA8058" s="392" t="s">
        <v>413</v>
      </c>
    </row>
    <row r="8059" spans="1:80" s="392" customFormat="1" ht="15" x14ac:dyDescent="0.25">
      <c r="A8059" s="385"/>
      <c r="D8059" s="700"/>
      <c r="E8059" s="397"/>
      <c r="H8059" s="401">
        <v>3</v>
      </c>
      <c r="I8059" s="401"/>
      <c r="J8059" s="401"/>
      <c r="K8059" s="401"/>
      <c r="L8059" s="675"/>
      <c r="M8059" s="672">
        <v>30879</v>
      </c>
      <c r="N8059" s="623">
        <v>0.47888920374043636</v>
      </c>
      <c r="O8059" s="624">
        <v>1.959519168E-3</v>
      </c>
      <c r="P8059" s="397"/>
      <c r="Q8059" s="397"/>
      <c r="R8059" s="397"/>
      <c r="S8059" s="397"/>
      <c r="T8059" s="397"/>
      <c r="U8059" s="397"/>
      <c r="V8059" s="397"/>
      <c r="W8059" s="397"/>
      <c r="X8059" s="397"/>
      <c r="Y8059" s="397"/>
      <c r="Z8059" s="397"/>
      <c r="AC8059" s="115">
        <v>2.5000000000000001E-2</v>
      </c>
      <c r="AD8059" s="388">
        <v>6.5836800000000011</v>
      </c>
      <c r="AE8059" s="388">
        <v>0.19812000000000002</v>
      </c>
      <c r="AF8059" s="388">
        <v>1.3043586816000003</v>
      </c>
      <c r="AG8059" s="388">
        <v>0.36576000000000003</v>
      </c>
      <c r="AH8059" s="391"/>
      <c r="AI8059" s="397"/>
      <c r="AJ8059" s="397"/>
      <c r="AU8059" s="397"/>
      <c r="AV8059" s="397"/>
      <c r="AW8059" s="397"/>
      <c r="AX8059" s="397"/>
      <c r="BI8059" s="397"/>
      <c r="BJ8059" s="397"/>
      <c r="BK8059" s="397"/>
      <c r="BL8059" s="397"/>
      <c r="BM8059" s="397"/>
      <c r="BN8059" s="397"/>
      <c r="BO8059" s="397"/>
      <c r="BP8059" s="397"/>
      <c r="BQ8059" s="397"/>
      <c r="BR8059" s="397"/>
      <c r="BS8059" s="397"/>
      <c r="BT8059" s="397"/>
      <c r="BU8059" s="397"/>
      <c r="BV8059" s="397"/>
      <c r="BW8059" s="397"/>
      <c r="BX8059" s="397"/>
      <c r="BY8059" s="397"/>
      <c r="BZ8059" s="397"/>
      <c r="CA8059" s="392" t="s">
        <v>413</v>
      </c>
    </row>
    <row r="8060" spans="1:80" s="392" customFormat="1" ht="15" x14ac:dyDescent="0.25">
      <c r="A8060" s="385"/>
      <c r="D8060" s="700"/>
      <c r="E8060" s="397"/>
      <c r="H8060" s="401">
        <v>3</v>
      </c>
      <c r="I8060" s="401"/>
      <c r="J8060" s="401"/>
      <c r="K8060" s="401"/>
      <c r="L8060" s="675"/>
      <c r="M8060" s="672">
        <v>30895</v>
      </c>
      <c r="N8060" s="623">
        <v>0.57523377727401537</v>
      </c>
      <c r="O8060" s="624">
        <v>2.9856963742666668E-2</v>
      </c>
      <c r="P8060" s="397"/>
      <c r="Q8060" s="397"/>
      <c r="R8060" s="397"/>
      <c r="S8060" s="397"/>
      <c r="T8060" s="397"/>
      <c r="U8060" s="397"/>
      <c r="V8060" s="397"/>
      <c r="W8060" s="397"/>
      <c r="X8060" s="397"/>
      <c r="Y8060" s="397"/>
      <c r="Z8060" s="397"/>
      <c r="AC8060" s="115">
        <v>2.5000000000000001E-2</v>
      </c>
      <c r="AD8060" s="388">
        <v>6.61416</v>
      </c>
      <c r="AE8060" s="388">
        <v>0.192024</v>
      </c>
      <c r="AF8060" s="388">
        <v>1.27007745984</v>
      </c>
      <c r="AG8060" s="388">
        <v>0.454152</v>
      </c>
      <c r="AH8060" s="391"/>
      <c r="AI8060" s="397"/>
      <c r="AJ8060" s="397"/>
      <c r="AU8060" s="397"/>
      <c r="AV8060" s="397"/>
      <c r="AW8060" s="397"/>
      <c r="AX8060" s="397"/>
      <c r="BI8060" s="397"/>
      <c r="BJ8060" s="397"/>
      <c r="BK8060" s="397"/>
      <c r="BL8060" s="397"/>
      <c r="BM8060" s="397"/>
      <c r="BN8060" s="397"/>
      <c r="BO8060" s="397"/>
      <c r="BP8060" s="397"/>
      <c r="BQ8060" s="397"/>
      <c r="BR8060" s="397"/>
      <c r="BS8060" s="397"/>
      <c r="BT8060" s="397"/>
      <c r="BU8060" s="397"/>
      <c r="BV8060" s="397"/>
      <c r="BW8060" s="397"/>
      <c r="BX8060" s="397"/>
      <c r="BY8060" s="397"/>
      <c r="BZ8060" s="397"/>
      <c r="CA8060" s="392" t="s">
        <v>413</v>
      </c>
    </row>
    <row r="8061" spans="1:80" s="392" customFormat="1" ht="15" x14ac:dyDescent="0.25">
      <c r="A8061" s="385"/>
      <c r="D8061" s="700"/>
      <c r="E8061" s="397"/>
      <c r="H8061" s="401">
        <v>3</v>
      </c>
      <c r="I8061" s="401"/>
      <c r="J8061" s="401"/>
      <c r="K8061" s="401"/>
      <c r="L8061" s="675"/>
      <c r="M8061" s="672">
        <v>30909</v>
      </c>
      <c r="N8061" s="623">
        <v>0.48739019552281099</v>
      </c>
      <c r="O8061" s="624">
        <v>7.8380766720000002E-3</v>
      </c>
      <c r="P8061" s="397"/>
      <c r="Q8061" s="397"/>
      <c r="R8061" s="397"/>
      <c r="S8061" s="397"/>
      <c r="T8061" s="397"/>
      <c r="U8061" s="397"/>
      <c r="V8061" s="397"/>
      <c r="W8061" s="397"/>
      <c r="X8061" s="397"/>
      <c r="Y8061" s="397"/>
      <c r="Z8061" s="397"/>
      <c r="AC8061" s="115">
        <v>2.5000000000000001E-2</v>
      </c>
      <c r="AD8061" s="388">
        <v>6.5836800000000011</v>
      </c>
      <c r="AE8061" s="388">
        <v>0.16764000000000001</v>
      </c>
      <c r="AF8061" s="388">
        <v>1.1036881152000002</v>
      </c>
      <c r="AG8061" s="388">
        <v>0.44500800000000001</v>
      </c>
      <c r="AH8061" s="391"/>
      <c r="AI8061" s="397"/>
      <c r="AJ8061" s="397"/>
      <c r="AU8061" s="397"/>
      <c r="AV8061" s="397"/>
      <c r="AW8061" s="397"/>
      <c r="AX8061" s="397"/>
      <c r="BI8061" s="397"/>
      <c r="BJ8061" s="397"/>
      <c r="BK8061" s="397"/>
      <c r="BL8061" s="397"/>
      <c r="BM8061" s="397"/>
      <c r="BN8061" s="397"/>
      <c r="BO8061" s="397"/>
      <c r="BP8061" s="397"/>
      <c r="BQ8061" s="397"/>
      <c r="BR8061" s="397"/>
      <c r="BS8061" s="397"/>
      <c r="BT8061" s="397"/>
      <c r="BU8061" s="397"/>
      <c r="BV8061" s="397"/>
      <c r="BW8061" s="397"/>
      <c r="BX8061" s="397"/>
      <c r="BY8061" s="397"/>
      <c r="BZ8061" s="397"/>
      <c r="CA8061" s="392" t="s">
        <v>413</v>
      </c>
    </row>
    <row r="8062" spans="1:80" s="392" customFormat="1" ht="15" x14ac:dyDescent="0.25">
      <c r="A8062" s="385"/>
      <c r="D8062" s="700"/>
      <c r="E8062" s="397"/>
      <c r="H8062" s="401">
        <v>3</v>
      </c>
      <c r="I8062" s="401"/>
      <c r="J8062" s="401"/>
      <c r="K8062" s="401"/>
      <c r="L8062" s="675"/>
      <c r="M8062" s="672">
        <v>30915</v>
      </c>
      <c r="N8062" s="623">
        <v>1.4508359308586003</v>
      </c>
      <c r="O8062" s="624">
        <v>1.6631721333333335E-2</v>
      </c>
      <c r="P8062" s="397"/>
      <c r="Q8062" s="397"/>
      <c r="R8062" s="397"/>
      <c r="S8062" s="397"/>
      <c r="T8062" s="397"/>
      <c r="U8062" s="397"/>
      <c r="V8062" s="397"/>
      <c r="W8062" s="397"/>
      <c r="X8062" s="397"/>
      <c r="Y8062" s="397"/>
      <c r="Z8062" s="397"/>
      <c r="AC8062" s="115">
        <v>2.5000000000000001E-2</v>
      </c>
      <c r="AD8062" s="388">
        <v>6.7056000000000004</v>
      </c>
      <c r="AE8062" s="388">
        <v>0.47548800000000002</v>
      </c>
      <c r="AF8062" s="388">
        <v>3.1884323328000002</v>
      </c>
      <c r="AG8062" s="388">
        <v>0.454152</v>
      </c>
      <c r="AH8062" s="391"/>
      <c r="AI8062" s="397"/>
      <c r="AJ8062" s="397"/>
      <c r="AU8062" s="397"/>
      <c r="AV8062" s="397"/>
      <c r="AW8062" s="397"/>
      <c r="AX8062" s="397"/>
      <c r="BI8062" s="397"/>
      <c r="BJ8062" s="397"/>
      <c r="BK8062" s="397"/>
      <c r="BL8062" s="397"/>
      <c r="BM8062" s="397"/>
      <c r="BN8062" s="397"/>
      <c r="BO8062" s="397"/>
      <c r="BP8062" s="397"/>
      <c r="BQ8062" s="397"/>
      <c r="BR8062" s="397"/>
      <c r="BS8062" s="397"/>
      <c r="BT8062" s="397"/>
      <c r="BU8062" s="397"/>
      <c r="BV8062" s="397"/>
      <c r="BW8062" s="397"/>
      <c r="BX8062" s="397"/>
      <c r="BY8062" s="397"/>
      <c r="BZ8062" s="397"/>
      <c r="CA8062" s="392" t="s">
        <v>413</v>
      </c>
    </row>
    <row r="8063" spans="1:80" s="392" customFormat="1" ht="15" x14ac:dyDescent="0.25">
      <c r="A8063" s="385"/>
      <c r="D8063" s="700"/>
      <c r="E8063" s="397"/>
      <c r="H8063" s="401">
        <v>3</v>
      </c>
      <c r="I8063" s="401"/>
      <c r="J8063" s="401"/>
      <c r="K8063" s="401"/>
      <c r="L8063" s="675"/>
      <c r="M8063" s="672">
        <v>30930</v>
      </c>
      <c r="N8063" s="623">
        <v>0.74241994899404928</v>
      </c>
      <c r="O8063" s="624">
        <v>2.6489796160000002E-3</v>
      </c>
      <c r="P8063" s="397"/>
      <c r="Q8063" s="397"/>
      <c r="R8063" s="397"/>
      <c r="S8063" s="397"/>
      <c r="T8063" s="397"/>
      <c r="U8063" s="397"/>
      <c r="V8063" s="397"/>
      <c r="W8063" s="397"/>
      <c r="X8063" s="397"/>
      <c r="Y8063" s="397"/>
      <c r="Z8063" s="397"/>
      <c r="AC8063" s="115">
        <v>2.5000000000000001E-2</v>
      </c>
      <c r="AD8063" s="388">
        <v>6.6751199999999997</v>
      </c>
      <c r="AE8063" s="388">
        <v>0.21945600000000001</v>
      </c>
      <c r="AF8063" s="388">
        <v>1.4648951347200001</v>
      </c>
      <c r="AG8063" s="388">
        <v>0.50901600000000002</v>
      </c>
      <c r="AH8063" s="391"/>
      <c r="AI8063" s="397"/>
      <c r="AJ8063" s="397"/>
      <c r="AU8063" s="397"/>
      <c r="AV8063" s="397"/>
      <c r="AW8063" s="397"/>
      <c r="AX8063" s="397"/>
      <c r="BI8063" s="397"/>
      <c r="BJ8063" s="397"/>
      <c r="BK8063" s="397"/>
      <c r="BL8063" s="397"/>
      <c r="BM8063" s="397"/>
      <c r="BN8063" s="397"/>
      <c r="BO8063" s="397"/>
      <c r="BP8063" s="397"/>
      <c r="BQ8063" s="397"/>
      <c r="BR8063" s="397"/>
      <c r="BS8063" s="397"/>
      <c r="BT8063" s="397"/>
      <c r="BU8063" s="397"/>
      <c r="BV8063" s="397"/>
      <c r="BW8063" s="397"/>
      <c r="BX8063" s="397"/>
      <c r="BY8063" s="397"/>
      <c r="BZ8063" s="397"/>
      <c r="CA8063" s="392" t="s">
        <v>413</v>
      </c>
    </row>
    <row r="8064" spans="1:80" s="189" customFormat="1" ht="15" x14ac:dyDescent="0.25">
      <c r="A8064" s="381" t="s">
        <v>439</v>
      </c>
      <c r="B8064" s="641" t="s">
        <v>34</v>
      </c>
      <c r="C8064" s="639"/>
      <c r="D8064" s="4">
        <f>VLOOKUP(E8064,'Quality Code'!$D$4:$E$24,2,TRUE)*VLOOKUP(MROUND(F8064,10),'Quality Code'!$D$28:$E$69,2,TRUE)*VLOOKUP(COUNTA(CB8064:CB8074),'Quality Code'!$D$73:$E$93,2,TRUE)</f>
        <v>0.1</v>
      </c>
      <c r="E8064" s="14">
        <v>0.4</v>
      </c>
      <c r="F8064" s="2">
        <v>12</v>
      </c>
      <c r="G8064" s="12"/>
      <c r="H8064" s="2" t="s">
        <v>105</v>
      </c>
      <c r="I8064" s="2"/>
      <c r="J8064" s="2"/>
      <c r="K8064" s="2"/>
      <c r="L8064" s="639"/>
      <c r="M8064" s="640">
        <v>1984</v>
      </c>
      <c r="N8064" s="578" t="s">
        <v>110</v>
      </c>
      <c r="O8064" s="578"/>
      <c r="P8064" s="26"/>
      <c r="Q8064" s="26"/>
      <c r="R8064" s="26"/>
      <c r="S8064" s="26"/>
      <c r="T8064" s="26"/>
      <c r="U8064" s="26"/>
      <c r="V8064" s="10"/>
      <c r="W8064" s="10"/>
      <c r="X8064" s="10"/>
      <c r="Y8064" s="10"/>
      <c r="Z8064" s="26"/>
      <c r="AA8064" s="26"/>
      <c r="AB8064" s="26"/>
      <c r="AC8064" s="3">
        <v>0.01</v>
      </c>
      <c r="AD8064" s="406"/>
      <c r="AE8064" s="26"/>
      <c r="AF8064" s="26"/>
      <c r="AG8064" s="26"/>
      <c r="AH8064" s="26"/>
      <c r="AI8064" s="4"/>
      <c r="AJ8064" s="4"/>
      <c r="AK8064" s="26"/>
      <c r="AL8064" s="26"/>
      <c r="AM8064" s="26"/>
      <c r="AN8064" s="26"/>
      <c r="AO8064" s="26"/>
      <c r="AP8064" s="26"/>
      <c r="AQ8064" s="26"/>
      <c r="AR8064" s="26"/>
      <c r="AS8064" s="26"/>
      <c r="AT8064" s="26"/>
      <c r="AU8064" s="4"/>
      <c r="AV8064" s="4"/>
      <c r="AW8064" s="4"/>
      <c r="AX8064" s="4"/>
      <c r="AY8064" s="2"/>
      <c r="AZ8064" s="2"/>
      <c r="BA8064" s="12"/>
      <c r="BB8064" s="12"/>
      <c r="BC8064" s="12"/>
      <c r="BD8064" s="12"/>
      <c r="BE8064" s="12"/>
      <c r="BF8064" s="12"/>
      <c r="BG8064" s="12"/>
      <c r="BH8064" s="12"/>
      <c r="BI8064" s="4"/>
      <c r="BJ8064" s="12"/>
      <c r="BK8064" s="2"/>
      <c r="BL8064" s="2"/>
      <c r="BM8064" s="4"/>
      <c r="BN8064" s="12"/>
      <c r="BO8064" s="12"/>
      <c r="BP8064" s="12"/>
      <c r="BQ8064" s="4"/>
      <c r="BR8064" s="4"/>
      <c r="BS8064" s="4"/>
      <c r="BT8064" s="2"/>
      <c r="BU8064" s="9"/>
      <c r="BV8064" s="381"/>
      <c r="BW8064" s="382"/>
      <c r="BX8064" s="383"/>
      <c r="BY8064" s="383" t="s">
        <v>83</v>
      </c>
      <c r="BZ8064" s="383"/>
      <c r="CA8064" s="384" t="s">
        <v>413</v>
      </c>
      <c r="CB8064" s="411"/>
    </row>
    <row r="8065" spans="1:80" s="392" customFormat="1" ht="15" x14ac:dyDescent="0.25">
      <c r="A8065" s="385"/>
      <c r="D8065" s="700"/>
      <c r="E8065" s="397"/>
      <c r="H8065" s="401">
        <v>3</v>
      </c>
      <c r="I8065" s="401"/>
      <c r="J8065" s="401"/>
      <c r="K8065" s="401"/>
      <c r="L8065" s="675"/>
      <c r="M8065" s="672">
        <v>30812</v>
      </c>
      <c r="N8065" s="623">
        <v>0.40153017852082745</v>
      </c>
      <c r="O8065" s="624">
        <v>3.2356257866666656E-3</v>
      </c>
      <c r="P8065" s="397"/>
      <c r="Q8065" s="397"/>
      <c r="R8065" s="397"/>
      <c r="S8065" s="397"/>
      <c r="T8065" s="397"/>
      <c r="U8065" s="397"/>
      <c r="V8065" s="397"/>
      <c r="W8065" s="397"/>
      <c r="X8065" s="397"/>
      <c r="Y8065" s="397"/>
      <c r="Z8065" s="397"/>
      <c r="AD8065" s="388">
        <v>6.5227199999999996</v>
      </c>
      <c r="AE8065" s="388">
        <v>0.14935200000000001</v>
      </c>
      <c r="AF8065" s="388">
        <v>0.97418127744000005</v>
      </c>
      <c r="AG8065" s="388">
        <v>0.34137600000000007</v>
      </c>
      <c r="AH8065" s="391"/>
      <c r="AI8065" s="397"/>
      <c r="AJ8065" s="397"/>
      <c r="AU8065" s="397"/>
      <c r="AV8065" s="397"/>
      <c r="AW8065" s="397"/>
      <c r="AX8065" s="397"/>
      <c r="BI8065" s="397"/>
      <c r="BJ8065" s="397"/>
      <c r="BK8065" s="397"/>
      <c r="BL8065" s="397"/>
      <c r="BM8065" s="397"/>
      <c r="BN8065" s="397"/>
      <c r="BO8065" s="397"/>
      <c r="BP8065" s="397"/>
      <c r="BQ8065" s="397"/>
      <c r="BR8065" s="397"/>
      <c r="BS8065" s="397"/>
      <c r="BT8065" s="397"/>
      <c r="BU8065" s="397"/>
      <c r="BV8065" s="397"/>
      <c r="BW8065" s="397"/>
      <c r="BX8065" s="397"/>
      <c r="BY8065" s="397"/>
      <c r="BZ8065" s="397"/>
      <c r="CA8065" s="392" t="s">
        <v>413</v>
      </c>
    </row>
    <row r="8066" spans="1:80" s="392" customFormat="1" ht="15" x14ac:dyDescent="0.25">
      <c r="A8066" s="385"/>
      <c r="D8066" s="700"/>
      <c r="E8066" s="397"/>
      <c r="H8066" s="401">
        <v>3</v>
      </c>
      <c r="I8066" s="401"/>
      <c r="J8066" s="401"/>
      <c r="K8066" s="401"/>
      <c r="L8066" s="675"/>
      <c r="M8066" s="672">
        <v>30818</v>
      </c>
      <c r="N8066" s="623">
        <v>0.92717483706432413</v>
      </c>
      <c r="O8066" s="624">
        <v>6.6224490400000006E-4</v>
      </c>
      <c r="P8066" s="397"/>
      <c r="Q8066" s="397"/>
      <c r="R8066" s="397"/>
      <c r="S8066" s="397"/>
      <c r="T8066" s="397"/>
      <c r="U8066" s="397"/>
      <c r="V8066" s="397"/>
      <c r="W8066" s="397"/>
      <c r="X8066" s="397"/>
      <c r="Y8066" s="397"/>
      <c r="Z8066" s="397"/>
      <c r="AD8066" s="388">
        <v>6.6751199999999997</v>
      </c>
      <c r="AE8066" s="388">
        <v>0.210312</v>
      </c>
      <c r="AF8066" s="388">
        <v>1.4038578374399999</v>
      </c>
      <c r="AG8066" s="388">
        <v>0.560832</v>
      </c>
      <c r="AH8066" s="391"/>
      <c r="AI8066" s="397"/>
      <c r="AJ8066" s="397"/>
      <c r="AU8066" s="397"/>
      <c r="AV8066" s="397"/>
      <c r="AW8066" s="397"/>
      <c r="AX8066" s="397"/>
      <c r="BI8066" s="397"/>
      <c r="BJ8066" s="397"/>
      <c r="BK8066" s="397"/>
      <c r="BL8066" s="397"/>
      <c r="BM8066" s="397"/>
      <c r="BN8066" s="397"/>
      <c r="BO8066" s="397"/>
      <c r="BP8066" s="397"/>
      <c r="BQ8066" s="397"/>
      <c r="BR8066" s="397"/>
      <c r="BS8066" s="397"/>
      <c r="BT8066" s="397"/>
      <c r="BU8066" s="397"/>
      <c r="BV8066" s="397"/>
      <c r="BW8066" s="397"/>
      <c r="BX8066" s="397"/>
      <c r="BY8066" s="397"/>
      <c r="BZ8066" s="397"/>
      <c r="CA8066" s="392" t="s">
        <v>413</v>
      </c>
    </row>
    <row r="8067" spans="1:80" s="392" customFormat="1" ht="15" x14ac:dyDescent="0.25">
      <c r="A8067" s="385"/>
      <c r="D8067" s="700"/>
      <c r="E8067" s="397"/>
      <c r="H8067" s="401">
        <v>3</v>
      </c>
      <c r="I8067" s="401"/>
      <c r="J8067" s="401"/>
      <c r="K8067" s="401"/>
      <c r="L8067" s="675"/>
      <c r="M8067" s="672">
        <v>30828</v>
      </c>
      <c r="N8067" s="623">
        <v>2.1569849815811848</v>
      </c>
      <c r="O8067" s="624">
        <v>4.2241548237333323E-2</v>
      </c>
      <c r="P8067" s="397"/>
      <c r="Q8067" s="397"/>
      <c r="R8067" s="397"/>
      <c r="S8067" s="397"/>
      <c r="T8067" s="397"/>
      <c r="U8067" s="397"/>
      <c r="V8067" s="397"/>
      <c r="W8067" s="397"/>
      <c r="X8067" s="397"/>
      <c r="Y8067" s="397"/>
      <c r="Z8067" s="397"/>
      <c r="AD8067" s="388">
        <v>6.9799199999999999</v>
      </c>
      <c r="AE8067" s="388">
        <v>0.27127200000000001</v>
      </c>
      <c r="AF8067" s="388">
        <v>1.89345685824</v>
      </c>
      <c r="AG8067" s="388">
        <v>0.71628000000000003</v>
      </c>
      <c r="AH8067" s="391"/>
      <c r="AI8067" s="397"/>
      <c r="AJ8067" s="397"/>
      <c r="AU8067" s="397"/>
      <c r="AV8067" s="397"/>
      <c r="AW8067" s="397"/>
      <c r="AX8067" s="397"/>
      <c r="BI8067" s="397"/>
      <c r="BJ8067" s="397"/>
      <c r="BK8067" s="397"/>
      <c r="BL8067" s="397"/>
      <c r="BM8067" s="397"/>
      <c r="BN8067" s="397"/>
      <c r="BO8067" s="397"/>
      <c r="BP8067" s="397"/>
      <c r="BQ8067" s="397"/>
      <c r="BR8067" s="397"/>
      <c r="BS8067" s="397"/>
      <c r="BT8067" s="397"/>
      <c r="BU8067" s="397"/>
      <c r="BV8067" s="397"/>
      <c r="BW8067" s="397"/>
      <c r="BX8067" s="397"/>
      <c r="BY8067" s="397"/>
      <c r="BZ8067" s="397"/>
      <c r="CA8067" s="392" t="s">
        <v>413</v>
      </c>
    </row>
    <row r="8068" spans="1:80" s="392" customFormat="1" ht="15" x14ac:dyDescent="0.25">
      <c r="A8068" s="385"/>
      <c r="D8068" s="700"/>
      <c r="E8068" s="397"/>
      <c r="H8068" s="401">
        <v>3</v>
      </c>
      <c r="I8068" s="401"/>
      <c r="J8068" s="401"/>
      <c r="K8068" s="401"/>
      <c r="L8068" s="675"/>
      <c r="M8068" s="672">
        <v>30840</v>
      </c>
      <c r="N8068" s="623">
        <v>1.8175120430716918</v>
      </c>
      <c r="O8068" s="624">
        <v>1.3789208959999999E-2</v>
      </c>
      <c r="P8068" s="397"/>
      <c r="Q8068" s="397"/>
      <c r="R8068" s="397"/>
      <c r="S8068" s="397"/>
      <c r="T8068" s="397"/>
      <c r="U8068" s="397"/>
      <c r="V8068" s="397"/>
      <c r="W8068" s="397"/>
      <c r="X8068" s="397"/>
      <c r="Y8068" s="397"/>
      <c r="Z8068" s="397"/>
      <c r="AD8068" s="388">
        <v>6.9494400000000009</v>
      </c>
      <c r="AE8068" s="388">
        <v>0.26822400000000002</v>
      </c>
      <c r="AF8068" s="388">
        <v>1.8640065945600004</v>
      </c>
      <c r="AG8068" s="388">
        <v>0.75895200000000007</v>
      </c>
      <c r="AH8068" s="391"/>
      <c r="AI8068" s="397"/>
      <c r="AJ8068" s="397"/>
      <c r="AU8068" s="397"/>
      <c r="AV8068" s="397"/>
      <c r="AW8068" s="397"/>
      <c r="AX8068" s="397"/>
      <c r="BI8068" s="397"/>
      <c r="BJ8068" s="397"/>
      <c r="BK8068" s="397"/>
      <c r="BL8068" s="397"/>
      <c r="BM8068" s="397"/>
      <c r="BN8068" s="397"/>
      <c r="BO8068" s="397"/>
      <c r="BP8068" s="397"/>
      <c r="BQ8068" s="397"/>
      <c r="BR8068" s="397"/>
      <c r="BS8068" s="397"/>
      <c r="BT8068" s="397"/>
      <c r="BU8068" s="397"/>
      <c r="BV8068" s="397"/>
      <c r="BW8068" s="397"/>
      <c r="BX8068" s="397"/>
      <c r="BY8068" s="397"/>
      <c r="BZ8068" s="397"/>
      <c r="CA8068" s="392" t="s">
        <v>413</v>
      </c>
    </row>
    <row r="8069" spans="1:80" s="392" customFormat="1" ht="15" x14ac:dyDescent="0.25">
      <c r="A8069" s="385"/>
      <c r="D8069" s="700"/>
      <c r="E8069" s="397"/>
      <c r="H8069" s="401">
        <v>3</v>
      </c>
      <c r="I8069" s="401"/>
      <c r="J8069" s="401"/>
      <c r="K8069" s="401"/>
      <c r="L8069" s="675"/>
      <c r="M8069" s="672">
        <v>30846</v>
      </c>
      <c r="N8069" s="623">
        <v>1.4190988948710683</v>
      </c>
      <c r="O8069" s="624">
        <v>1.2301425887999999E-2</v>
      </c>
      <c r="P8069" s="397"/>
      <c r="Q8069" s="397"/>
      <c r="R8069" s="397"/>
      <c r="S8069" s="397"/>
      <c r="T8069" s="397"/>
      <c r="U8069" s="397"/>
      <c r="V8069" s="397"/>
      <c r="W8069" s="397"/>
      <c r="X8069" s="397"/>
      <c r="Y8069" s="397"/>
      <c r="Z8069" s="397"/>
      <c r="AD8069" s="388">
        <v>6.8884800000000004</v>
      </c>
      <c r="AE8069" s="388">
        <v>0.23164800000000002</v>
      </c>
      <c r="AF8069" s="388">
        <v>1.5957026150400002</v>
      </c>
      <c r="AG8069" s="388">
        <v>0.64008000000000009</v>
      </c>
      <c r="AH8069" s="391"/>
      <c r="AI8069" s="397"/>
      <c r="AJ8069" s="397"/>
      <c r="AU8069" s="397"/>
      <c r="AV8069" s="397"/>
      <c r="AW8069" s="397"/>
      <c r="AX8069" s="397"/>
      <c r="BI8069" s="397"/>
      <c r="BJ8069" s="397"/>
      <c r="BK8069" s="397"/>
      <c r="BL8069" s="397"/>
      <c r="BM8069" s="397"/>
      <c r="BN8069" s="397"/>
      <c r="BO8069" s="397"/>
      <c r="BP8069" s="397"/>
      <c r="BQ8069" s="397"/>
      <c r="BR8069" s="397"/>
      <c r="BS8069" s="397"/>
      <c r="BT8069" s="397"/>
      <c r="BU8069" s="397"/>
      <c r="BV8069" s="397"/>
      <c r="BW8069" s="397"/>
      <c r="BX8069" s="397"/>
      <c r="BY8069" s="397"/>
      <c r="BZ8069" s="397"/>
      <c r="CA8069" s="392" t="s">
        <v>413</v>
      </c>
    </row>
    <row r="8070" spans="1:80" s="392" customFormat="1" ht="15" x14ac:dyDescent="0.25">
      <c r="A8070" s="385"/>
      <c r="D8070" s="700"/>
      <c r="E8070" s="397"/>
      <c r="H8070" s="401">
        <v>3</v>
      </c>
      <c r="I8070" s="401"/>
      <c r="J8070" s="401"/>
      <c r="K8070" s="401"/>
      <c r="L8070" s="675"/>
      <c r="M8070" s="672">
        <v>30854</v>
      </c>
      <c r="N8070" s="623">
        <v>2.5233777274015301</v>
      </c>
      <c r="O8070" s="624">
        <v>4.1149902528000007E-2</v>
      </c>
      <c r="P8070" s="397"/>
      <c r="Q8070" s="397"/>
      <c r="R8070" s="397"/>
      <c r="S8070" s="397"/>
      <c r="T8070" s="397"/>
      <c r="U8070" s="397"/>
      <c r="V8070" s="397"/>
      <c r="W8070" s="397"/>
      <c r="X8070" s="397"/>
      <c r="Y8070" s="397"/>
      <c r="Z8070" s="397"/>
      <c r="AD8070" s="388">
        <v>7.4066400000000003</v>
      </c>
      <c r="AE8070" s="388">
        <v>0.29565600000000003</v>
      </c>
      <c r="AF8070" s="388">
        <v>2.1898175558400004</v>
      </c>
      <c r="AG8070" s="388">
        <v>0.85953599999999997</v>
      </c>
      <c r="AH8070" s="391"/>
      <c r="AI8070" s="397"/>
      <c r="AJ8070" s="397"/>
      <c r="AU8070" s="397"/>
      <c r="AV8070" s="397"/>
      <c r="AW8070" s="397"/>
      <c r="AX8070" s="397"/>
      <c r="BI8070" s="397"/>
      <c r="BJ8070" s="397"/>
      <c r="BK8070" s="397"/>
      <c r="BL8070" s="397"/>
      <c r="BM8070" s="397"/>
      <c r="BN8070" s="397"/>
      <c r="BO8070" s="397"/>
      <c r="BP8070" s="397"/>
      <c r="BQ8070" s="397"/>
      <c r="BR8070" s="397"/>
      <c r="BS8070" s="397"/>
      <c r="BT8070" s="397"/>
      <c r="BU8070" s="397"/>
      <c r="BV8070" s="397"/>
      <c r="BW8070" s="397"/>
      <c r="BX8070" s="397"/>
      <c r="BY8070" s="397"/>
      <c r="BZ8070" s="397"/>
      <c r="CA8070" s="392" t="s">
        <v>413</v>
      </c>
    </row>
    <row r="8071" spans="1:80" s="392" customFormat="1" ht="15" x14ac:dyDescent="0.25">
      <c r="A8071" s="385"/>
      <c r="D8071" s="700"/>
      <c r="E8071" s="397"/>
      <c r="H8071" s="401">
        <v>3</v>
      </c>
      <c r="I8071" s="401"/>
      <c r="J8071" s="401"/>
      <c r="K8071" s="401"/>
      <c r="L8071" s="675"/>
      <c r="M8071" s="672">
        <v>30861</v>
      </c>
      <c r="N8071" s="623">
        <v>2.6871635024086142</v>
      </c>
      <c r="O8071" s="624">
        <v>3.3399520386666666E-2</v>
      </c>
      <c r="P8071" s="397"/>
      <c r="Q8071" s="397"/>
      <c r="R8071" s="397"/>
      <c r="S8071" s="397"/>
      <c r="T8071" s="397"/>
      <c r="U8071" s="397"/>
      <c r="V8071" s="397"/>
      <c r="W8071" s="397"/>
      <c r="X8071" s="397"/>
      <c r="Y8071" s="397"/>
      <c r="Z8071" s="397"/>
      <c r="AD8071" s="388">
        <v>7.1628000000000007</v>
      </c>
      <c r="AE8071" s="388">
        <v>0.313944</v>
      </c>
      <c r="AF8071" s="388">
        <v>2.2487180832000004</v>
      </c>
      <c r="AG8071" s="388">
        <v>0.99364799999999998</v>
      </c>
      <c r="AH8071" s="391"/>
      <c r="AI8071" s="397"/>
      <c r="AJ8071" s="397"/>
      <c r="AU8071" s="397"/>
      <c r="AV8071" s="397"/>
      <c r="AW8071" s="397"/>
      <c r="AX8071" s="397"/>
      <c r="BI8071" s="397"/>
      <c r="BJ8071" s="397"/>
      <c r="BK8071" s="397"/>
      <c r="BL8071" s="397"/>
      <c r="BM8071" s="397"/>
      <c r="BN8071" s="397"/>
      <c r="BO8071" s="397"/>
      <c r="BP8071" s="397"/>
      <c r="BQ8071" s="397"/>
      <c r="BR8071" s="397"/>
      <c r="BS8071" s="397"/>
      <c r="BT8071" s="397"/>
      <c r="BU8071" s="397"/>
      <c r="BV8071" s="397"/>
      <c r="BW8071" s="397"/>
      <c r="BX8071" s="397"/>
      <c r="BY8071" s="397"/>
      <c r="BZ8071" s="397"/>
      <c r="CA8071" s="392" t="s">
        <v>413</v>
      </c>
    </row>
    <row r="8072" spans="1:80" s="392" customFormat="1" ht="15" x14ac:dyDescent="0.25">
      <c r="A8072" s="385"/>
      <c r="D8072" s="700"/>
      <c r="E8072" s="397"/>
      <c r="H8072" s="401">
        <v>3</v>
      </c>
      <c r="I8072" s="401"/>
      <c r="J8072" s="401"/>
      <c r="K8072" s="401"/>
      <c r="L8072" s="675"/>
      <c r="M8072" s="672">
        <v>30873</v>
      </c>
      <c r="N8072" s="623">
        <v>2.3955794842731652</v>
      </c>
      <c r="O8072" s="624">
        <v>4.1391818474666657E-2</v>
      </c>
      <c r="P8072" s="397"/>
      <c r="Q8072" s="397"/>
      <c r="R8072" s="397"/>
      <c r="S8072" s="397"/>
      <c r="T8072" s="397"/>
      <c r="U8072" s="397"/>
      <c r="V8072" s="397"/>
      <c r="W8072" s="397"/>
      <c r="X8072" s="397"/>
      <c r="Y8072" s="397"/>
      <c r="Z8072" s="397"/>
      <c r="AD8072" s="388">
        <v>7.1932800000000006</v>
      </c>
      <c r="AE8072" s="388">
        <v>0.31699200000000005</v>
      </c>
      <c r="AF8072" s="388">
        <v>2.2802122137600005</v>
      </c>
      <c r="AG8072" s="388">
        <v>0.85953599999999997</v>
      </c>
      <c r="AH8072" s="391"/>
      <c r="AI8072" s="397"/>
      <c r="AJ8072" s="397"/>
      <c r="AU8072" s="397"/>
      <c r="AV8072" s="397"/>
      <c r="AW8072" s="397"/>
      <c r="AX8072" s="397"/>
      <c r="BI8072" s="397"/>
      <c r="BJ8072" s="397"/>
      <c r="BK8072" s="397"/>
      <c r="BL8072" s="397"/>
      <c r="BM8072" s="397"/>
      <c r="BN8072" s="397"/>
      <c r="BO8072" s="397"/>
      <c r="BP8072" s="397"/>
      <c r="BQ8072" s="397"/>
      <c r="BR8072" s="397"/>
      <c r="BS8072" s="397"/>
      <c r="BT8072" s="397"/>
      <c r="BU8072" s="397"/>
      <c r="BV8072" s="397"/>
      <c r="BW8072" s="397"/>
      <c r="BX8072" s="397"/>
      <c r="BY8072" s="397"/>
      <c r="BZ8072" s="397"/>
      <c r="CA8072" s="392" t="s">
        <v>413</v>
      </c>
    </row>
    <row r="8073" spans="1:80" s="392" customFormat="1" ht="15" x14ac:dyDescent="0.25">
      <c r="A8073" s="385"/>
      <c r="D8073" s="700"/>
      <c r="E8073" s="397"/>
      <c r="H8073" s="401">
        <v>3</v>
      </c>
      <c r="I8073" s="401"/>
      <c r="J8073" s="401"/>
      <c r="K8073" s="401"/>
      <c r="L8073" s="675"/>
      <c r="M8073" s="672">
        <v>30881</v>
      </c>
      <c r="N8073" s="623">
        <v>1.0937942759988666</v>
      </c>
      <c r="O8073" s="624">
        <v>7.5508014853333345E-3</v>
      </c>
      <c r="P8073" s="397"/>
      <c r="Q8073" s="397"/>
      <c r="R8073" s="397"/>
      <c r="S8073" s="397"/>
      <c r="T8073" s="397"/>
      <c r="U8073" s="397"/>
      <c r="V8073" s="397"/>
      <c r="W8073" s="397"/>
      <c r="X8073" s="397"/>
      <c r="Y8073" s="397"/>
      <c r="Z8073" s="397"/>
      <c r="AD8073" s="388">
        <v>6.9189600000000002</v>
      </c>
      <c r="AE8073" s="388">
        <v>0.23164800000000002</v>
      </c>
      <c r="AF8073" s="388">
        <v>1.6027632460800001</v>
      </c>
      <c r="AG8073" s="388">
        <v>0.51511200000000001</v>
      </c>
      <c r="AH8073" s="391"/>
      <c r="AI8073" s="397"/>
      <c r="AJ8073" s="397"/>
      <c r="AU8073" s="397"/>
      <c r="AV8073" s="397"/>
      <c r="AW8073" s="397"/>
      <c r="AX8073" s="397"/>
      <c r="BI8073" s="397"/>
      <c r="BJ8073" s="397"/>
      <c r="BK8073" s="397"/>
      <c r="BL8073" s="397"/>
      <c r="BM8073" s="397"/>
      <c r="BN8073" s="397"/>
      <c r="BO8073" s="397"/>
      <c r="BP8073" s="397"/>
      <c r="BQ8073" s="397"/>
      <c r="BR8073" s="397"/>
      <c r="BS8073" s="397"/>
      <c r="BT8073" s="397"/>
      <c r="BU8073" s="397"/>
      <c r="BV8073" s="397"/>
      <c r="BW8073" s="397"/>
      <c r="BX8073" s="397"/>
      <c r="BY8073" s="397"/>
      <c r="BZ8073" s="397"/>
      <c r="CA8073" s="392" t="s">
        <v>413</v>
      </c>
    </row>
    <row r="8074" spans="1:80" s="392" customFormat="1" ht="15" x14ac:dyDescent="0.25">
      <c r="A8074" s="385"/>
      <c r="D8074" s="700"/>
      <c r="E8074" s="397"/>
      <c r="H8074" s="401">
        <v>3</v>
      </c>
      <c r="I8074" s="401"/>
      <c r="J8074" s="401"/>
      <c r="K8074" s="401"/>
      <c r="L8074" s="675"/>
      <c r="M8074" s="672">
        <v>30888</v>
      </c>
      <c r="N8074" s="623">
        <v>1.2983848115613488</v>
      </c>
      <c r="O8074" s="624">
        <v>1.4351663536E-2</v>
      </c>
      <c r="P8074" s="397"/>
      <c r="Q8074" s="397"/>
      <c r="R8074" s="397"/>
      <c r="S8074" s="397"/>
      <c r="T8074" s="397"/>
      <c r="U8074" s="397"/>
      <c r="V8074" s="397"/>
      <c r="W8074" s="397"/>
      <c r="X8074" s="397"/>
      <c r="Y8074" s="397"/>
      <c r="Z8074" s="397"/>
      <c r="AD8074" s="388">
        <v>6.8884800000000004</v>
      </c>
      <c r="AE8074" s="388">
        <v>0.24993599999999999</v>
      </c>
      <c r="AF8074" s="388">
        <v>1.72167913728</v>
      </c>
      <c r="AG8074" s="388">
        <v>0.58521599999999996</v>
      </c>
      <c r="AH8074" s="391"/>
      <c r="AI8074" s="397"/>
      <c r="AJ8074" s="397"/>
      <c r="AU8074" s="397"/>
      <c r="AV8074" s="397"/>
      <c r="AW8074" s="397"/>
      <c r="AX8074" s="397"/>
      <c r="BI8074" s="397"/>
      <c r="BJ8074" s="397"/>
      <c r="BK8074" s="397"/>
      <c r="BL8074" s="397"/>
      <c r="BM8074" s="397"/>
      <c r="BN8074" s="397"/>
      <c r="BO8074" s="397"/>
      <c r="BP8074" s="397"/>
      <c r="BQ8074" s="397"/>
      <c r="BR8074" s="397"/>
      <c r="BS8074" s="397"/>
      <c r="BT8074" s="397"/>
      <c r="BU8074" s="397"/>
      <c r="BV8074" s="397"/>
      <c r="BW8074" s="397"/>
      <c r="BX8074" s="397"/>
      <c r="BY8074" s="397"/>
      <c r="BZ8074" s="397"/>
      <c r="CA8074" s="392" t="s">
        <v>413</v>
      </c>
    </row>
    <row r="8075" spans="1:80" s="392" customFormat="1" ht="15" x14ac:dyDescent="0.25">
      <c r="A8075" s="385"/>
      <c r="D8075" s="700"/>
      <c r="E8075" s="397"/>
      <c r="H8075" s="401">
        <v>3</v>
      </c>
      <c r="I8075" s="401"/>
      <c r="J8075" s="401"/>
      <c r="K8075" s="401"/>
      <c r="L8075" s="675"/>
      <c r="M8075" s="672">
        <v>30896</v>
      </c>
      <c r="N8075" s="623">
        <v>1.3431567016151884</v>
      </c>
      <c r="O8075" s="624">
        <v>2.0502376480000001E-2</v>
      </c>
      <c r="P8075" s="397"/>
      <c r="Q8075" s="397"/>
      <c r="R8075" s="397"/>
      <c r="S8075" s="397"/>
      <c r="T8075" s="397"/>
      <c r="U8075" s="397"/>
      <c r="V8075" s="397"/>
      <c r="W8075" s="397"/>
      <c r="X8075" s="397"/>
      <c r="Y8075" s="397"/>
      <c r="Z8075" s="397"/>
      <c r="AD8075" s="388">
        <v>6.8884800000000004</v>
      </c>
      <c r="AE8075" s="388">
        <v>0.23164800000000002</v>
      </c>
      <c r="AF8075" s="388">
        <v>1.5957026150400002</v>
      </c>
      <c r="AG8075" s="388">
        <v>0.63703200000000004</v>
      </c>
      <c r="AH8075" s="391"/>
      <c r="AI8075" s="397"/>
      <c r="AJ8075" s="397"/>
      <c r="AU8075" s="397"/>
      <c r="AV8075" s="397"/>
      <c r="AW8075" s="397"/>
      <c r="AX8075" s="397"/>
      <c r="BI8075" s="397"/>
      <c r="BJ8075" s="397"/>
      <c r="BK8075" s="397"/>
      <c r="BL8075" s="397"/>
      <c r="BM8075" s="397"/>
      <c r="BN8075" s="397"/>
      <c r="BO8075" s="397"/>
      <c r="BP8075" s="397"/>
      <c r="BQ8075" s="397"/>
      <c r="BR8075" s="397"/>
      <c r="BS8075" s="397"/>
      <c r="BT8075" s="397"/>
      <c r="BU8075" s="397"/>
      <c r="BV8075" s="397"/>
      <c r="BW8075" s="397"/>
      <c r="BX8075" s="397"/>
      <c r="BY8075" s="397"/>
      <c r="BZ8075" s="397"/>
      <c r="CA8075" s="392" t="s">
        <v>413</v>
      </c>
    </row>
    <row r="8076" spans="1:80" s="392" customFormat="1" ht="15" x14ac:dyDescent="0.25">
      <c r="A8076" s="385"/>
      <c r="D8076" s="700"/>
      <c r="E8076" s="397"/>
      <c r="H8076" s="401">
        <v>3</v>
      </c>
      <c r="I8076" s="401"/>
      <c r="J8076" s="401"/>
      <c r="K8076" s="401"/>
      <c r="L8076" s="675"/>
      <c r="M8076" s="672">
        <v>30914</v>
      </c>
      <c r="N8076" s="623">
        <v>1.3802776990648911</v>
      </c>
      <c r="O8076" s="624">
        <v>3.3094101503999995E-2</v>
      </c>
      <c r="P8076" s="397"/>
      <c r="Q8076" s="397"/>
      <c r="R8076" s="397"/>
      <c r="S8076" s="397"/>
      <c r="T8076" s="397"/>
      <c r="U8076" s="397"/>
      <c r="V8076" s="397"/>
      <c r="W8076" s="397"/>
      <c r="X8076" s="397"/>
      <c r="Y8076" s="397"/>
      <c r="Z8076" s="397"/>
      <c r="AD8076" s="388">
        <v>6.9494400000000009</v>
      </c>
      <c r="AE8076" s="388">
        <v>0.24384000000000003</v>
      </c>
      <c r="AF8076" s="388">
        <v>1.6945514496000005</v>
      </c>
      <c r="AG8076" s="388">
        <v>0.71323199999999998</v>
      </c>
      <c r="AH8076" s="391"/>
      <c r="AI8076" s="397"/>
      <c r="AJ8076" s="397"/>
      <c r="AU8076" s="397"/>
      <c r="AV8076" s="397"/>
      <c r="AW8076" s="397"/>
      <c r="AX8076" s="397"/>
      <c r="BI8076" s="397"/>
      <c r="BJ8076" s="397"/>
      <c r="BK8076" s="397"/>
      <c r="BL8076" s="397"/>
      <c r="BM8076" s="397"/>
      <c r="BN8076" s="397"/>
      <c r="BO8076" s="397"/>
      <c r="BP8076" s="397"/>
      <c r="BQ8076" s="397"/>
      <c r="BR8076" s="397"/>
      <c r="BS8076" s="397"/>
      <c r="BT8076" s="397"/>
      <c r="BU8076" s="397"/>
      <c r="BV8076" s="397"/>
      <c r="BW8076" s="397"/>
      <c r="BX8076" s="397"/>
      <c r="BY8076" s="397"/>
      <c r="BZ8076" s="397"/>
      <c r="CA8076" s="392" t="s">
        <v>413</v>
      </c>
    </row>
    <row r="8077" spans="1:80" s="392" customFormat="1" ht="15" x14ac:dyDescent="0.25">
      <c r="A8077" s="385"/>
      <c r="D8077" s="700"/>
      <c r="E8077" s="397"/>
      <c r="H8077" s="401">
        <v>3</v>
      </c>
      <c r="I8077" s="401"/>
      <c r="J8077" s="401"/>
      <c r="K8077" s="401"/>
      <c r="L8077" s="675"/>
      <c r="M8077" s="672">
        <v>30944</v>
      </c>
      <c r="N8077" s="623">
        <v>0.47463870784924911</v>
      </c>
      <c r="O8077" s="624" t="s">
        <v>71</v>
      </c>
      <c r="P8077" s="397"/>
      <c r="Q8077" s="397"/>
      <c r="R8077" s="397"/>
      <c r="S8077" s="397"/>
      <c r="T8077" s="397"/>
      <c r="U8077" s="397"/>
      <c r="V8077" s="397"/>
      <c r="W8077" s="397"/>
      <c r="X8077" s="397"/>
      <c r="Y8077" s="397"/>
      <c r="Z8077" s="397"/>
      <c r="AD8077" s="388">
        <v>6.6751199999999997</v>
      </c>
      <c r="AE8077" s="388">
        <v>0.14935200000000001</v>
      </c>
      <c r="AF8077" s="388">
        <v>0.99694252224000002</v>
      </c>
      <c r="AG8077" s="388">
        <v>0.44196000000000002</v>
      </c>
      <c r="AH8077" s="391"/>
      <c r="AI8077" s="397"/>
      <c r="AJ8077" s="397"/>
      <c r="AU8077" s="397"/>
      <c r="AV8077" s="397"/>
      <c r="AW8077" s="397"/>
      <c r="AX8077" s="397"/>
      <c r="BI8077" s="397"/>
      <c r="BJ8077" s="397"/>
      <c r="BK8077" s="397"/>
      <c r="BL8077" s="397"/>
      <c r="BM8077" s="397"/>
      <c r="BN8077" s="397"/>
      <c r="BO8077" s="397"/>
      <c r="BP8077" s="397"/>
      <c r="BQ8077" s="397"/>
      <c r="BR8077" s="397"/>
      <c r="BS8077" s="397"/>
      <c r="BT8077" s="397"/>
      <c r="BU8077" s="397"/>
      <c r="BV8077" s="397"/>
      <c r="BW8077" s="397"/>
      <c r="BX8077" s="397"/>
      <c r="BY8077" s="397"/>
      <c r="BZ8077" s="397"/>
      <c r="CA8077" s="392" t="s">
        <v>413</v>
      </c>
    </row>
    <row r="8078" spans="1:80" s="189" customFormat="1" ht="15" x14ac:dyDescent="0.25">
      <c r="A8078" s="381" t="s">
        <v>441</v>
      </c>
      <c r="B8078" s="641" t="s">
        <v>34</v>
      </c>
      <c r="C8078" s="639"/>
      <c r="D8078" s="4">
        <f>VLOOKUP(E8078,'Quality Code'!$D$4:$E$24,2,TRUE)*VLOOKUP(MROUND(F8078,10),'Quality Code'!$D$28:$E$69,2,TRUE)*VLOOKUP(COUNTA(CB8078:CB8088),'Quality Code'!$D$73:$E$93,2,TRUE)</f>
        <v>0.1</v>
      </c>
      <c r="E8078" s="14">
        <v>0.4</v>
      </c>
      <c r="F8078" s="2">
        <v>13</v>
      </c>
      <c r="G8078" s="12"/>
      <c r="H8078" s="2" t="s">
        <v>105</v>
      </c>
      <c r="I8078" s="2"/>
      <c r="J8078" s="2"/>
      <c r="K8078" s="2"/>
      <c r="L8078" s="639"/>
      <c r="M8078" s="640">
        <v>1984</v>
      </c>
      <c r="N8078" s="578" t="s">
        <v>110</v>
      </c>
      <c r="O8078" s="578"/>
      <c r="P8078" s="26"/>
      <c r="Q8078" s="26"/>
      <c r="R8078" s="26"/>
      <c r="S8078" s="26"/>
      <c r="T8078" s="26"/>
      <c r="U8078" s="26"/>
      <c r="V8078" s="10"/>
      <c r="W8078" s="10"/>
      <c r="X8078" s="10"/>
      <c r="Y8078" s="10"/>
      <c r="Z8078" s="26"/>
      <c r="AA8078" s="26"/>
      <c r="AB8078" s="26"/>
      <c r="AC8078" s="3">
        <v>1.6E-2</v>
      </c>
      <c r="AD8078" s="406"/>
      <c r="AE8078" s="26"/>
      <c r="AF8078" s="26"/>
      <c r="AG8078" s="26"/>
      <c r="AH8078" s="26"/>
      <c r="AI8078" s="4"/>
      <c r="AJ8078" s="4"/>
      <c r="AK8078" s="26"/>
      <c r="AL8078" s="26"/>
      <c r="AM8078" s="26"/>
      <c r="AN8078" s="26"/>
      <c r="AO8078" s="26"/>
      <c r="AP8078" s="26"/>
      <c r="AQ8078" s="26"/>
      <c r="AR8078" s="26"/>
      <c r="AS8078" s="26"/>
      <c r="AT8078" s="26"/>
      <c r="AU8078" s="4"/>
      <c r="AV8078" s="4"/>
      <c r="AW8078" s="4"/>
      <c r="AX8078" s="4"/>
      <c r="AY8078" s="2"/>
      <c r="AZ8078" s="2"/>
      <c r="BA8078" s="12"/>
      <c r="BB8078" s="12"/>
      <c r="BC8078" s="12"/>
      <c r="BD8078" s="12"/>
      <c r="BE8078" s="12"/>
      <c r="BF8078" s="12"/>
      <c r="BG8078" s="12"/>
      <c r="BH8078" s="12"/>
      <c r="BI8078" s="4"/>
      <c r="BJ8078" s="12"/>
      <c r="BK8078" s="2"/>
      <c r="BL8078" s="2"/>
      <c r="BM8078" s="4"/>
      <c r="BN8078" s="12"/>
      <c r="BO8078" s="12"/>
      <c r="BP8078" s="12"/>
      <c r="BQ8078" s="4"/>
      <c r="BR8078" s="4"/>
      <c r="BS8078" s="4"/>
      <c r="BT8078" s="2"/>
      <c r="BU8078" s="9"/>
      <c r="BV8078" s="381"/>
      <c r="BW8078" s="382"/>
      <c r="BX8078" s="383"/>
      <c r="BY8078" s="383" t="s">
        <v>84</v>
      </c>
      <c r="BZ8078" s="383"/>
      <c r="CA8078" s="384" t="s">
        <v>413</v>
      </c>
      <c r="CB8078" s="411"/>
    </row>
    <row r="8079" spans="1:80" s="392" customFormat="1" ht="15" x14ac:dyDescent="0.25">
      <c r="A8079" s="385"/>
      <c r="D8079" s="700"/>
      <c r="E8079" s="397"/>
      <c r="H8079" s="401">
        <v>3</v>
      </c>
      <c r="I8079" s="401"/>
      <c r="J8079" s="401"/>
      <c r="K8079" s="401"/>
      <c r="L8079" s="675"/>
      <c r="M8079" s="672">
        <v>30812</v>
      </c>
      <c r="N8079" s="623">
        <v>9.2660810427883253E-2</v>
      </c>
      <c r="O8079" s="624">
        <v>1.4031124906666668E-4</v>
      </c>
      <c r="P8079" s="397"/>
      <c r="Q8079" s="397"/>
      <c r="R8079" s="397"/>
      <c r="S8079" s="397"/>
      <c r="T8079" s="397"/>
      <c r="U8079" s="397"/>
      <c r="V8079" s="397"/>
      <c r="W8079" s="397"/>
      <c r="X8079" s="397"/>
      <c r="Y8079" s="397"/>
      <c r="Z8079" s="397"/>
      <c r="AD8079" s="388">
        <v>3.5356800000000002</v>
      </c>
      <c r="AE8079" s="388">
        <v>0.10058400000000001</v>
      </c>
      <c r="AF8079" s="388">
        <v>0.35563283712000004</v>
      </c>
      <c r="AG8079" s="388">
        <v>0.20726400000000003</v>
      </c>
      <c r="AH8079" s="391"/>
      <c r="AI8079" s="397"/>
      <c r="AJ8079" s="397"/>
      <c r="AU8079" s="397"/>
      <c r="AV8079" s="397"/>
      <c r="AW8079" s="397"/>
      <c r="AX8079" s="397"/>
      <c r="BI8079" s="397"/>
      <c r="BJ8079" s="397"/>
      <c r="BK8079" s="397"/>
      <c r="BL8079" s="397"/>
      <c r="BM8079" s="397"/>
      <c r="BN8079" s="397"/>
      <c r="BO8079" s="397"/>
      <c r="BP8079" s="397"/>
      <c r="BQ8079" s="397"/>
      <c r="BR8079" s="397"/>
      <c r="BS8079" s="397"/>
      <c r="BT8079" s="397"/>
      <c r="BU8079" s="397"/>
      <c r="BV8079" s="397"/>
      <c r="BW8079" s="397"/>
      <c r="BX8079" s="397"/>
      <c r="BY8079" s="397"/>
      <c r="BZ8079" s="397"/>
      <c r="CA8079" s="392" t="s">
        <v>413</v>
      </c>
    </row>
    <row r="8080" spans="1:80" s="392" customFormat="1" ht="15" x14ac:dyDescent="0.25">
      <c r="A8080" s="385"/>
      <c r="D8080" s="700"/>
      <c r="E8080" s="397"/>
      <c r="H8080" s="401">
        <v>3</v>
      </c>
      <c r="I8080" s="401"/>
      <c r="J8080" s="401"/>
      <c r="K8080" s="401"/>
      <c r="L8080" s="675"/>
      <c r="M8080" s="672">
        <v>30818</v>
      </c>
      <c r="N8080" s="623">
        <v>0.41569849815811843</v>
      </c>
      <c r="O8080" s="624">
        <v>9.7159492079999989E-3</v>
      </c>
      <c r="P8080" s="397"/>
      <c r="Q8080" s="397"/>
      <c r="R8080" s="397"/>
      <c r="S8080" s="397"/>
      <c r="T8080" s="397"/>
      <c r="U8080" s="397"/>
      <c r="V8080" s="397"/>
      <c r="W8080" s="397"/>
      <c r="X8080" s="397"/>
      <c r="Y8080" s="397"/>
      <c r="Z8080" s="397"/>
      <c r="AD8080" s="388">
        <v>3.6271200000000001</v>
      </c>
      <c r="AE8080" s="388">
        <v>0.18592800000000001</v>
      </c>
      <c r="AF8080" s="388">
        <v>0.67438316736000004</v>
      </c>
      <c r="AG8080" s="388">
        <v>0.49377600000000005</v>
      </c>
      <c r="AH8080" s="391"/>
      <c r="AI8080" s="397"/>
      <c r="AJ8080" s="397"/>
      <c r="AU8080" s="397"/>
      <c r="AV8080" s="397"/>
      <c r="AW8080" s="397"/>
      <c r="AX8080" s="397"/>
      <c r="BI8080" s="397"/>
      <c r="BJ8080" s="397"/>
      <c r="BK8080" s="397"/>
      <c r="BL8080" s="397"/>
      <c r="BM8080" s="397"/>
      <c r="BN8080" s="397"/>
      <c r="BO8080" s="397"/>
      <c r="BP8080" s="397"/>
      <c r="BQ8080" s="397"/>
      <c r="BR8080" s="397"/>
      <c r="BS8080" s="397"/>
      <c r="BT8080" s="397"/>
      <c r="BU8080" s="397"/>
      <c r="BV8080" s="397"/>
      <c r="BW8080" s="397"/>
      <c r="BX8080" s="397"/>
      <c r="BY8080" s="397"/>
      <c r="BZ8080" s="397"/>
      <c r="CA8080" s="392" t="s">
        <v>413</v>
      </c>
    </row>
    <row r="8081" spans="1:80" s="392" customFormat="1" ht="15" x14ac:dyDescent="0.25">
      <c r="A8081" s="385"/>
      <c r="D8081" s="700"/>
      <c r="E8081" s="397"/>
      <c r="H8081" s="401">
        <v>3</v>
      </c>
      <c r="I8081" s="401"/>
      <c r="J8081" s="401"/>
      <c r="K8081" s="401"/>
      <c r="L8081" s="675"/>
      <c r="M8081" s="672">
        <v>30828</v>
      </c>
      <c r="N8081" s="623">
        <v>1.1569849815811843</v>
      </c>
      <c r="O8081" s="624">
        <v>9.7975958399999993E-3</v>
      </c>
      <c r="P8081" s="397"/>
      <c r="Q8081" s="397"/>
      <c r="R8081" s="397"/>
      <c r="S8081" s="397"/>
      <c r="T8081" s="397"/>
      <c r="U8081" s="397"/>
      <c r="V8081" s="397"/>
      <c r="W8081" s="397"/>
      <c r="X8081" s="397"/>
      <c r="Y8081" s="397"/>
      <c r="Z8081" s="397"/>
      <c r="AD8081" s="388">
        <v>4.1147999999999998</v>
      </c>
      <c r="AE8081" s="388">
        <v>0.313944</v>
      </c>
      <c r="AF8081" s="388">
        <v>1.2918167711999999</v>
      </c>
      <c r="AG8081" s="388">
        <v>0.71932799999999997</v>
      </c>
      <c r="AH8081" s="391"/>
      <c r="AI8081" s="397"/>
      <c r="AJ8081" s="397"/>
      <c r="AU8081" s="397"/>
      <c r="AV8081" s="397"/>
      <c r="AW8081" s="397"/>
      <c r="AX8081" s="397"/>
      <c r="BI8081" s="397"/>
      <c r="BJ8081" s="397"/>
      <c r="BK8081" s="397"/>
      <c r="BL8081" s="397"/>
      <c r="BM8081" s="397"/>
      <c r="BN8081" s="397"/>
      <c r="BO8081" s="397"/>
      <c r="BP8081" s="397"/>
      <c r="BQ8081" s="397"/>
      <c r="BR8081" s="397"/>
      <c r="BS8081" s="397"/>
      <c r="BT8081" s="397"/>
      <c r="BU8081" s="397"/>
      <c r="BV8081" s="397"/>
      <c r="BW8081" s="397"/>
      <c r="BX8081" s="397"/>
      <c r="BY8081" s="397"/>
      <c r="BZ8081" s="397"/>
      <c r="CA8081" s="392" t="s">
        <v>413</v>
      </c>
    </row>
    <row r="8082" spans="1:80" s="392" customFormat="1" ht="15" x14ac:dyDescent="0.25">
      <c r="A8082" s="385"/>
      <c r="D8082" s="700"/>
      <c r="E8082" s="397"/>
      <c r="H8082" s="401">
        <v>3</v>
      </c>
      <c r="I8082" s="401"/>
      <c r="J8082" s="401"/>
      <c r="K8082" s="401"/>
      <c r="L8082" s="675"/>
      <c r="M8082" s="672">
        <v>30840</v>
      </c>
      <c r="N8082" s="623">
        <v>0.77018985548313967</v>
      </c>
      <c r="O8082" s="624">
        <v>4.0823315999999991E-3</v>
      </c>
      <c r="P8082" s="397"/>
      <c r="Q8082" s="397"/>
      <c r="R8082" s="397"/>
      <c r="S8082" s="397"/>
      <c r="T8082" s="397"/>
      <c r="U8082" s="397"/>
      <c r="V8082" s="397"/>
      <c r="W8082" s="397"/>
      <c r="X8082" s="397"/>
      <c r="Y8082" s="397"/>
      <c r="Z8082" s="397"/>
      <c r="AD8082" s="388">
        <v>4.1147999999999998</v>
      </c>
      <c r="AE8082" s="388">
        <v>0.24688800000000002</v>
      </c>
      <c r="AF8082" s="388">
        <v>1.0158947424</v>
      </c>
      <c r="AG8082" s="388">
        <v>0.65836800000000006</v>
      </c>
      <c r="AH8082" s="391"/>
      <c r="AI8082" s="397"/>
      <c r="AJ8082" s="397"/>
      <c r="AU8082" s="397"/>
      <c r="AV8082" s="397"/>
      <c r="AW8082" s="397"/>
      <c r="AX8082" s="397"/>
      <c r="BI8082" s="397"/>
      <c r="BJ8082" s="397"/>
      <c r="BK8082" s="397"/>
      <c r="BL8082" s="397"/>
      <c r="BM8082" s="397"/>
      <c r="BN8082" s="397"/>
      <c r="BO8082" s="397"/>
      <c r="BP8082" s="397"/>
      <c r="BQ8082" s="397"/>
      <c r="BR8082" s="397"/>
      <c r="BS8082" s="397"/>
      <c r="BT8082" s="397"/>
      <c r="BU8082" s="397"/>
      <c r="BV8082" s="397"/>
      <c r="BW8082" s="397"/>
      <c r="BX8082" s="397"/>
      <c r="BY8082" s="397"/>
      <c r="BZ8082" s="397"/>
      <c r="CA8082" s="392" t="s">
        <v>413</v>
      </c>
    </row>
    <row r="8083" spans="1:80" s="392" customFormat="1" ht="15" x14ac:dyDescent="0.25">
      <c r="A8083" s="385"/>
      <c r="D8083" s="700"/>
      <c r="E8083" s="397"/>
      <c r="H8083" s="401">
        <v>3</v>
      </c>
      <c r="I8083" s="401"/>
      <c r="J8083" s="401"/>
      <c r="K8083" s="401"/>
      <c r="L8083" s="675"/>
      <c r="M8083" s="672">
        <v>30846</v>
      </c>
      <c r="N8083" s="623">
        <v>0.60810427883253049</v>
      </c>
      <c r="O8083" s="624">
        <v>4.2909841040000007E-3</v>
      </c>
      <c r="P8083" s="397"/>
      <c r="Q8083" s="397"/>
      <c r="R8083" s="397"/>
      <c r="S8083" s="397"/>
      <c r="T8083" s="397"/>
      <c r="U8083" s="397"/>
      <c r="V8083" s="397"/>
      <c r="W8083" s="397"/>
      <c r="X8083" s="397"/>
      <c r="Y8083" s="397"/>
      <c r="Z8083" s="397"/>
      <c r="AD8083" s="388">
        <v>3.9319200000000003</v>
      </c>
      <c r="AE8083" s="388">
        <v>0.21945600000000001</v>
      </c>
      <c r="AF8083" s="388">
        <v>0.86288343552000013</v>
      </c>
      <c r="AG8083" s="388">
        <v>0.57607200000000003</v>
      </c>
      <c r="AH8083" s="391"/>
      <c r="AI8083" s="397"/>
      <c r="AJ8083" s="397"/>
      <c r="AU8083" s="397"/>
      <c r="AV8083" s="397"/>
      <c r="AW8083" s="397"/>
      <c r="AX8083" s="397"/>
      <c r="BI8083" s="397"/>
      <c r="BJ8083" s="397"/>
      <c r="BK8083" s="397"/>
      <c r="BL8083" s="397"/>
      <c r="BM8083" s="397"/>
      <c r="BN8083" s="397"/>
      <c r="BO8083" s="397"/>
      <c r="BP8083" s="397"/>
      <c r="BQ8083" s="397"/>
      <c r="BR8083" s="397"/>
      <c r="BS8083" s="397"/>
      <c r="BT8083" s="397"/>
      <c r="BU8083" s="397"/>
      <c r="BV8083" s="397"/>
      <c r="BW8083" s="397"/>
      <c r="BX8083" s="397"/>
      <c r="BY8083" s="397"/>
      <c r="BZ8083" s="397"/>
      <c r="CA8083" s="392" t="s">
        <v>413</v>
      </c>
    </row>
    <row r="8084" spans="1:80" s="392" customFormat="1" ht="15" x14ac:dyDescent="0.25">
      <c r="A8084" s="385"/>
      <c r="D8084" s="700"/>
      <c r="E8084" s="397"/>
      <c r="H8084" s="401">
        <v>3</v>
      </c>
      <c r="I8084" s="401"/>
      <c r="J8084" s="401"/>
      <c r="K8084" s="401"/>
      <c r="L8084" s="675"/>
      <c r="M8084" s="672">
        <v>30854</v>
      </c>
      <c r="N8084" s="623">
        <v>1.0784924907905924</v>
      </c>
      <c r="O8084" s="624">
        <v>1.6208368426666668E-3</v>
      </c>
      <c r="P8084" s="397"/>
      <c r="Q8084" s="397"/>
      <c r="R8084" s="397"/>
      <c r="S8084" s="397"/>
      <c r="T8084" s="397"/>
      <c r="U8084" s="397"/>
      <c r="V8084" s="397"/>
      <c r="W8084" s="397"/>
      <c r="X8084" s="397"/>
      <c r="Y8084" s="397"/>
      <c r="Z8084" s="397"/>
      <c r="AD8084" s="388">
        <v>4.08432</v>
      </c>
      <c r="AE8084" s="388">
        <v>0.32918400000000003</v>
      </c>
      <c r="AF8084" s="388">
        <v>1.3444927948800001</v>
      </c>
      <c r="AG8084" s="388">
        <v>0.70713599999999999</v>
      </c>
      <c r="AH8084" s="391"/>
      <c r="AI8084" s="397"/>
      <c r="AJ8084" s="397"/>
      <c r="AU8084" s="397"/>
      <c r="AV8084" s="397"/>
      <c r="AW8084" s="397"/>
      <c r="AX8084" s="397"/>
      <c r="BI8084" s="397"/>
      <c r="BJ8084" s="397"/>
      <c r="BK8084" s="397"/>
      <c r="BL8084" s="397"/>
      <c r="BM8084" s="397"/>
      <c r="BN8084" s="397"/>
      <c r="BO8084" s="397"/>
      <c r="BP8084" s="397"/>
      <c r="BQ8084" s="397"/>
      <c r="BR8084" s="397"/>
      <c r="BS8084" s="397"/>
      <c r="BT8084" s="397"/>
      <c r="BU8084" s="397"/>
      <c r="BV8084" s="397"/>
      <c r="BW8084" s="397"/>
      <c r="BX8084" s="397"/>
      <c r="BY8084" s="397"/>
      <c r="BZ8084" s="397"/>
      <c r="CA8084" s="392" t="s">
        <v>413</v>
      </c>
    </row>
    <row r="8085" spans="1:80" s="392" customFormat="1" ht="15" x14ac:dyDescent="0.25">
      <c r="A8085" s="385"/>
      <c r="D8085" s="700"/>
      <c r="E8085" s="397"/>
      <c r="H8085" s="401">
        <v>3</v>
      </c>
      <c r="I8085" s="401"/>
      <c r="J8085" s="401"/>
      <c r="K8085" s="401"/>
      <c r="L8085" s="675"/>
      <c r="M8085" s="672">
        <v>30861</v>
      </c>
      <c r="N8085" s="623">
        <v>1.0518560498724852</v>
      </c>
      <c r="O8085" s="624">
        <v>5.1890970560000008E-3</v>
      </c>
      <c r="P8085" s="397"/>
      <c r="Q8085" s="397"/>
      <c r="R8085" s="397"/>
      <c r="S8085" s="397"/>
      <c r="T8085" s="397"/>
      <c r="U8085" s="397"/>
      <c r="V8085" s="397"/>
      <c r="W8085" s="397"/>
      <c r="X8085" s="397"/>
      <c r="Y8085" s="397"/>
      <c r="Z8085" s="397"/>
      <c r="AD8085" s="388">
        <v>4.0233600000000003</v>
      </c>
      <c r="AE8085" s="388">
        <v>0.32613600000000004</v>
      </c>
      <c r="AF8085" s="388">
        <v>1.3121625369600003</v>
      </c>
      <c r="AG8085" s="388">
        <v>0.67970399999999997</v>
      </c>
      <c r="AH8085" s="391"/>
      <c r="AI8085" s="397"/>
      <c r="AJ8085" s="397"/>
      <c r="AU8085" s="397"/>
      <c r="AV8085" s="397"/>
      <c r="AW8085" s="397"/>
      <c r="AX8085" s="397"/>
      <c r="BI8085" s="397"/>
      <c r="BJ8085" s="397"/>
      <c r="BK8085" s="397"/>
      <c r="BL8085" s="397"/>
      <c r="BM8085" s="397"/>
      <c r="BN8085" s="397"/>
      <c r="BO8085" s="397"/>
      <c r="BP8085" s="397"/>
      <c r="BQ8085" s="397"/>
      <c r="BR8085" s="397"/>
      <c r="BS8085" s="397"/>
      <c r="BT8085" s="397"/>
      <c r="BU8085" s="397"/>
      <c r="BV8085" s="397"/>
      <c r="BW8085" s="397"/>
      <c r="BX8085" s="397"/>
      <c r="BY8085" s="397"/>
      <c r="BZ8085" s="397"/>
      <c r="CA8085" s="392" t="s">
        <v>413</v>
      </c>
    </row>
    <row r="8086" spans="1:80" s="392" customFormat="1" ht="15" x14ac:dyDescent="0.25">
      <c r="A8086" s="385"/>
      <c r="D8086" s="700"/>
      <c r="E8086" s="397"/>
      <c r="H8086" s="401">
        <v>3</v>
      </c>
      <c r="I8086" s="401"/>
      <c r="J8086" s="401"/>
      <c r="K8086" s="401"/>
      <c r="L8086" s="675"/>
      <c r="M8086" s="672">
        <v>30873</v>
      </c>
      <c r="N8086" s="623">
        <v>1.2431283649759137</v>
      </c>
      <c r="O8086" s="624">
        <v>6.0327789200000006E-3</v>
      </c>
      <c r="P8086" s="397"/>
      <c r="Q8086" s="397"/>
      <c r="R8086" s="397"/>
      <c r="S8086" s="397"/>
      <c r="T8086" s="397"/>
      <c r="U8086" s="397"/>
      <c r="V8086" s="397"/>
      <c r="W8086" s="397"/>
      <c r="X8086" s="397"/>
      <c r="Y8086" s="397"/>
      <c r="Z8086" s="397"/>
      <c r="AD8086" s="388">
        <v>4.0538400000000001</v>
      </c>
      <c r="AE8086" s="388">
        <v>0.34137600000000007</v>
      </c>
      <c r="AF8086" s="388">
        <v>1.3838836838400004</v>
      </c>
      <c r="AG8086" s="388">
        <v>0.78028800000000009</v>
      </c>
      <c r="AH8086" s="391"/>
      <c r="AI8086" s="397"/>
      <c r="AJ8086" s="397"/>
      <c r="AU8086" s="397"/>
      <c r="AV8086" s="397"/>
      <c r="AW8086" s="397"/>
      <c r="AX8086" s="397"/>
      <c r="BI8086" s="397"/>
      <c r="BJ8086" s="397"/>
      <c r="BK8086" s="397"/>
      <c r="BL8086" s="397"/>
      <c r="BM8086" s="397"/>
      <c r="BN8086" s="397"/>
      <c r="BO8086" s="397"/>
      <c r="BP8086" s="397"/>
      <c r="BQ8086" s="397"/>
      <c r="BR8086" s="397"/>
      <c r="BS8086" s="397"/>
      <c r="BT8086" s="397"/>
      <c r="BU8086" s="397"/>
      <c r="BV8086" s="397"/>
      <c r="BW8086" s="397"/>
      <c r="BX8086" s="397"/>
      <c r="BY8086" s="397"/>
      <c r="BZ8086" s="397"/>
      <c r="CA8086" s="392" t="s">
        <v>413</v>
      </c>
    </row>
    <row r="8087" spans="1:80" s="392" customFormat="1" ht="15" x14ac:dyDescent="0.25">
      <c r="A8087" s="385"/>
      <c r="D8087" s="700"/>
      <c r="E8087" s="397"/>
      <c r="H8087" s="401">
        <v>3</v>
      </c>
      <c r="I8087" s="401"/>
      <c r="J8087" s="401"/>
      <c r="K8087" s="401"/>
      <c r="L8087" s="675"/>
      <c r="M8087" s="672">
        <v>30881</v>
      </c>
      <c r="N8087" s="623">
        <v>0.55681496174553691</v>
      </c>
      <c r="O8087" s="624">
        <v>1.8234414479999998E-3</v>
      </c>
      <c r="P8087" s="397"/>
      <c r="Q8087" s="397"/>
      <c r="R8087" s="397"/>
      <c r="S8087" s="397"/>
      <c r="T8087" s="397"/>
      <c r="U8087" s="397"/>
      <c r="V8087" s="397"/>
      <c r="W8087" s="397"/>
      <c r="X8087" s="397"/>
      <c r="Y8087" s="397"/>
      <c r="Z8087" s="397"/>
      <c r="AD8087" s="388">
        <v>4.08432</v>
      </c>
      <c r="AE8087" s="388">
        <v>0.21335999999999999</v>
      </c>
      <c r="AF8087" s="388">
        <v>0.87143051519999992</v>
      </c>
      <c r="AG8087" s="388">
        <v>0.53035200000000005</v>
      </c>
      <c r="AH8087" s="391"/>
      <c r="AI8087" s="397"/>
      <c r="AJ8087" s="397"/>
      <c r="AU8087" s="397"/>
      <c r="AV8087" s="397"/>
      <c r="AW8087" s="397"/>
      <c r="AX8087" s="397"/>
      <c r="BI8087" s="397"/>
      <c r="BJ8087" s="397"/>
      <c r="BK8087" s="397"/>
      <c r="BL8087" s="397"/>
      <c r="BM8087" s="397"/>
      <c r="BN8087" s="397"/>
      <c r="BO8087" s="397"/>
      <c r="BP8087" s="397"/>
      <c r="BQ8087" s="397"/>
      <c r="BR8087" s="397"/>
      <c r="BS8087" s="397"/>
      <c r="BT8087" s="397"/>
      <c r="BU8087" s="397"/>
      <c r="BV8087" s="397"/>
      <c r="BW8087" s="397"/>
      <c r="BX8087" s="397"/>
      <c r="BY8087" s="397"/>
      <c r="BZ8087" s="397"/>
      <c r="CA8087" s="392" t="s">
        <v>413</v>
      </c>
    </row>
    <row r="8088" spans="1:80" s="392" customFormat="1" ht="15" x14ac:dyDescent="0.25">
      <c r="A8088" s="385"/>
      <c r="D8088" s="700"/>
      <c r="E8088" s="397"/>
      <c r="H8088" s="401">
        <v>3</v>
      </c>
      <c r="I8088" s="401"/>
      <c r="J8088" s="401"/>
      <c r="K8088" s="401"/>
      <c r="L8088" s="675"/>
      <c r="M8088" s="672">
        <v>30888</v>
      </c>
      <c r="N8088" s="623">
        <v>1.3754604703882121</v>
      </c>
      <c r="O8088" s="624">
        <v>2.0819891159999996E-2</v>
      </c>
      <c r="P8088" s="397"/>
      <c r="Q8088" s="397"/>
      <c r="R8088" s="397"/>
      <c r="S8088" s="397"/>
      <c r="T8088" s="397"/>
      <c r="U8088" s="397"/>
      <c r="V8088" s="397"/>
      <c r="W8088" s="397"/>
      <c r="X8088" s="397"/>
      <c r="Y8088" s="397"/>
      <c r="Z8088" s="397"/>
      <c r="AD8088" s="388">
        <v>4.1147999999999998</v>
      </c>
      <c r="AE8088" s="388">
        <v>0.347472</v>
      </c>
      <c r="AF8088" s="388">
        <v>1.4297777856</v>
      </c>
      <c r="AG8088" s="388">
        <v>0.78028800000000009</v>
      </c>
      <c r="AH8088" s="391"/>
      <c r="AI8088" s="397"/>
      <c r="AJ8088" s="397"/>
      <c r="AU8088" s="397"/>
      <c r="AV8088" s="397"/>
      <c r="AW8088" s="397"/>
      <c r="AX8088" s="397"/>
      <c r="BI8088" s="397"/>
      <c r="BJ8088" s="397"/>
      <c r="BK8088" s="397"/>
      <c r="BL8088" s="397"/>
      <c r="BM8088" s="397"/>
      <c r="BN8088" s="397"/>
      <c r="BO8088" s="397"/>
      <c r="BP8088" s="397"/>
      <c r="BQ8088" s="397"/>
      <c r="BR8088" s="397"/>
      <c r="BS8088" s="397"/>
      <c r="BT8088" s="397"/>
      <c r="BU8088" s="397"/>
      <c r="BV8088" s="397"/>
      <c r="BW8088" s="397"/>
      <c r="BX8088" s="397"/>
      <c r="BY8088" s="397"/>
      <c r="BZ8088" s="397"/>
      <c r="CA8088" s="392" t="s">
        <v>413</v>
      </c>
    </row>
    <row r="8089" spans="1:80" s="392" customFormat="1" ht="15" x14ac:dyDescent="0.25">
      <c r="A8089" s="385"/>
      <c r="D8089" s="700"/>
      <c r="E8089" s="397"/>
      <c r="H8089" s="401">
        <v>3</v>
      </c>
      <c r="I8089" s="401"/>
      <c r="J8089" s="401"/>
      <c r="K8089" s="401"/>
      <c r="L8089" s="675"/>
      <c r="M8089" s="672">
        <v>30896</v>
      </c>
      <c r="N8089" s="623">
        <v>1.0527061490507226</v>
      </c>
      <c r="O8089" s="624">
        <v>1.5966452479999999E-3</v>
      </c>
      <c r="P8089" s="397"/>
      <c r="Q8089" s="397"/>
      <c r="R8089" s="397"/>
      <c r="S8089" s="397"/>
      <c r="T8089" s="397"/>
      <c r="U8089" s="397"/>
      <c r="V8089" s="397"/>
      <c r="W8089" s="397"/>
      <c r="X8089" s="397"/>
      <c r="Y8089" s="397"/>
      <c r="Z8089" s="397"/>
      <c r="AD8089" s="388">
        <v>4.0233600000000003</v>
      </c>
      <c r="AE8089" s="388">
        <v>0.29565600000000003</v>
      </c>
      <c r="AF8089" s="388">
        <v>1.1895305241600003</v>
      </c>
      <c r="AG8089" s="388">
        <v>0.841248</v>
      </c>
      <c r="AH8089" s="391"/>
      <c r="AI8089" s="397"/>
      <c r="AJ8089" s="397"/>
      <c r="AU8089" s="397"/>
      <c r="AV8089" s="397"/>
      <c r="AW8089" s="397"/>
      <c r="AX8089" s="397"/>
      <c r="BI8089" s="397"/>
      <c r="BJ8089" s="397"/>
      <c r="BK8089" s="397"/>
      <c r="BL8089" s="397"/>
      <c r="BM8089" s="397"/>
      <c r="BN8089" s="397"/>
      <c r="BO8089" s="397"/>
      <c r="BP8089" s="397"/>
      <c r="BQ8089" s="397"/>
      <c r="BR8089" s="397"/>
      <c r="BS8089" s="397"/>
      <c r="BT8089" s="397"/>
      <c r="BU8089" s="397"/>
      <c r="BV8089" s="397"/>
      <c r="BW8089" s="397"/>
      <c r="BX8089" s="397"/>
      <c r="BY8089" s="397"/>
      <c r="BZ8089" s="397"/>
      <c r="CA8089" s="392" t="s">
        <v>413</v>
      </c>
    </row>
    <row r="8090" spans="1:80" s="392" customFormat="1" ht="15" x14ac:dyDescent="0.25">
      <c r="A8090" s="385"/>
      <c r="D8090" s="700"/>
      <c r="E8090" s="397"/>
      <c r="H8090" s="401">
        <v>3</v>
      </c>
      <c r="I8090" s="401"/>
      <c r="J8090" s="401"/>
      <c r="K8090" s="401"/>
      <c r="L8090" s="675"/>
      <c r="M8090" s="672">
        <v>30914</v>
      </c>
      <c r="N8090" s="623">
        <v>0.69368092944176829</v>
      </c>
      <c r="O8090" s="624">
        <v>1.5966452479999997E-2</v>
      </c>
      <c r="P8090" s="397"/>
      <c r="Q8090" s="397"/>
      <c r="R8090" s="397"/>
      <c r="S8090" s="397"/>
      <c r="T8090" s="397"/>
      <c r="U8090" s="397"/>
      <c r="V8090" s="397"/>
      <c r="W8090" s="397"/>
      <c r="X8090" s="397"/>
      <c r="Y8090" s="397"/>
      <c r="Z8090" s="397"/>
      <c r="AD8090" s="388">
        <v>4.0233600000000003</v>
      </c>
      <c r="AE8090" s="388">
        <v>0.23774400000000001</v>
      </c>
      <c r="AF8090" s="388">
        <v>0.95652969984000014</v>
      </c>
      <c r="AG8090" s="388">
        <v>0.66751199999999999</v>
      </c>
      <c r="AH8090" s="391"/>
      <c r="AI8090" s="397"/>
      <c r="AJ8090" s="397"/>
      <c r="AU8090" s="397"/>
      <c r="AV8090" s="397"/>
      <c r="AW8090" s="397"/>
      <c r="AX8090" s="397"/>
      <c r="BI8090" s="397"/>
      <c r="BJ8090" s="397"/>
      <c r="BK8090" s="397"/>
      <c r="BL8090" s="397"/>
      <c r="BM8090" s="397"/>
      <c r="BN8090" s="397"/>
      <c r="BO8090" s="397"/>
      <c r="BP8090" s="397"/>
      <c r="BQ8090" s="397"/>
      <c r="BR8090" s="397"/>
      <c r="BS8090" s="397"/>
      <c r="BT8090" s="397"/>
      <c r="BU8090" s="397"/>
      <c r="BV8090" s="397"/>
      <c r="BW8090" s="397"/>
      <c r="BX8090" s="397"/>
      <c r="BY8090" s="397"/>
      <c r="BZ8090" s="397"/>
      <c r="CA8090" s="392" t="s">
        <v>413</v>
      </c>
    </row>
    <row r="8091" spans="1:80" s="392" customFormat="1" ht="15" x14ac:dyDescent="0.25">
      <c r="A8091" s="385"/>
      <c r="D8091" s="700"/>
      <c r="E8091" s="397"/>
      <c r="H8091" s="401">
        <v>3</v>
      </c>
      <c r="I8091" s="401"/>
      <c r="J8091" s="401"/>
      <c r="K8091" s="401"/>
      <c r="L8091" s="675"/>
      <c r="M8091" s="672">
        <v>30944</v>
      </c>
      <c r="N8091" s="623">
        <v>0.36469254746387075</v>
      </c>
      <c r="O8091" s="624">
        <v>2.1590998239999996E-3</v>
      </c>
      <c r="P8091" s="397"/>
      <c r="Q8091" s="397"/>
      <c r="R8091" s="397"/>
      <c r="S8091" s="397"/>
      <c r="T8091" s="397"/>
      <c r="U8091" s="397"/>
      <c r="V8091" s="397"/>
      <c r="W8091" s="397"/>
      <c r="X8091" s="397"/>
      <c r="Y8091" s="397"/>
      <c r="Z8091" s="397"/>
      <c r="AD8091" s="388">
        <v>3.6271200000000001</v>
      </c>
      <c r="AE8091" s="388">
        <v>0.176784</v>
      </c>
      <c r="AF8091" s="388">
        <v>0.64121678207999999</v>
      </c>
      <c r="AG8091" s="388">
        <v>0.50292000000000003</v>
      </c>
      <c r="AH8091" s="391"/>
      <c r="AI8091" s="397"/>
      <c r="AJ8091" s="397"/>
      <c r="AU8091" s="397"/>
      <c r="AV8091" s="397"/>
      <c r="AW8091" s="397"/>
      <c r="AX8091" s="397"/>
      <c r="BI8091" s="397"/>
      <c r="BJ8091" s="397"/>
      <c r="BK8091" s="397"/>
      <c r="BL8091" s="397"/>
      <c r="BM8091" s="397"/>
      <c r="BN8091" s="397"/>
      <c r="BO8091" s="397"/>
      <c r="BP8091" s="397"/>
      <c r="BQ8091" s="397"/>
      <c r="BR8091" s="397"/>
      <c r="BS8091" s="397"/>
      <c r="BT8091" s="397"/>
      <c r="BU8091" s="397"/>
      <c r="BV8091" s="397"/>
      <c r="BW8091" s="397"/>
      <c r="BX8091" s="397"/>
      <c r="BY8091" s="397"/>
      <c r="BZ8091" s="397"/>
      <c r="CA8091" s="392" t="s">
        <v>413</v>
      </c>
    </row>
    <row r="8092" spans="1:80" s="189" customFormat="1" ht="15" x14ac:dyDescent="0.25">
      <c r="A8092" s="381" t="s">
        <v>512</v>
      </c>
      <c r="B8092" s="641"/>
      <c r="C8092" s="639"/>
      <c r="D8092" s="4">
        <f>VLOOKUP(E8092,'Quality Code'!$D$4:$E$24,2,TRUE)*VLOOKUP(MROUND(F8092,10),'Quality Code'!$D$28:$E$69,2,TRUE)*VLOOKUP(COUNTA(CB8092:CB8102),'Quality Code'!$D$73:$E$93,2,TRUE)</f>
        <v>0.1</v>
      </c>
      <c r="E8092" s="14">
        <v>0.4</v>
      </c>
      <c r="F8092" s="2">
        <v>8</v>
      </c>
      <c r="G8092" s="12"/>
      <c r="H8092" s="2" t="s">
        <v>105</v>
      </c>
      <c r="I8092" s="2"/>
      <c r="J8092" s="2"/>
      <c r="K8092" s="2"/>
      <c r="L8092" s="639"/>
      <c r="M8092" s="640">
        <v>1984</v>
      </c>
      <c r="N8092" s="578" t="s">
        <v>110</v>
      </c>
      <c r="O8092" s="578"/>
      <c r="P8092" s="26"/>
      <c r="Q8092" s="26"/>
      <c r="R8092" s="26"/>
      <c r="S8092" s="26"/>
      <c r="T8092" s="26"/>
      <c r="U8092" s="26"/>
      <c r="V8092" s="10"/>
      <c r="W8092" s="10"/>
      <c r="X8092" s="10"/>
      <c r="Y8092" s="10"/>
      <c r="Z8092" s="26"/>
      <c r="AA8092" s="26"/>
      <c r="AB8092" s="26"/>
      <c r="AC8092" s="3">
        <v>4.3999999999999997E-2</v>
      </c>
      <c r="AD8092" s="406"/>
      <c r="AE8092" s="26"/>
      <c r="AF8092" s="26"/>
      <c r="AG8092" s="26"/>
      <c r="AH8092" s="26"/>
      <c r="AI8092" s="4"/>
      <c r="AJ8092" s="4"/>
      <c r="AK8092" s="26"/>
      <c r="AL8092" s="26"/>
      <c r="AM8092" s="26"/>
      <c r="AN8092" s="26"/>
      <c r="AO8092" s="26"/>
      <c r="AP8092" s="26"/>
      <c r="AQ8092" s="26"/>
      <c r="AR8092" s="26"/>
      <c r="AS8092" s="26"/>
      <c r="AT8092" s="26"/>
      <c r="AU8092" s="4"/>
      <c r="AV8092" s="4"/>
      <c r="AW8092" s="4"/>
      <c r="AX8092" s="4"/>
      <c r="AY8092" s="2"/>
      <c r="AZ8092" s="2"/>
      <c r="BA8092" s="12"/>
      <c r="BB8092" s="12"/>
      <c r="BC8092" s="12"/>
      <c r="BD8092" s="12"/>
      <c r="BE8092" s="12"/>
      <c r="BF8092" s="12"/>
      <c r="BG8092" s="12"/>
      <c r="BH8092" s="12"/>
      <c r="BI8092" s="4"/>
      <c r="BJ8092" s="12"/>
      <c r="BK8092" s="2"/>
      <c r="BL8092" s="2"/>
      <c r="BM8092" s="4"/>
      <c r="BN8092" s="12"/>
      <c r="BO8092" s="12"/>
      <c r="BP8092" s="12"/>
      <c r="BQ8092" s="4"/>
      <c r="BR8092" s="4"/>
      <c r="BS8092" s="4"/>
      <c r="BT8092" s="2"/>
      <c r="BU8092" s="9"/>
      <c r="BV8092" s="381"/>
      <c r="BW8092" s="382"/>
      <c r="BX8092" s="383"/>
      <c r="BY8092" s="383" t="s">
        <v>419</v>
      </c>
      <c r="BZ8092" s="383"/>
      <c r="CA8092" s="384" t="s">
        <v>413</v>
      </c>
      <c r="CB8092" s="411"/>
    </row>
    <row r="8093" spans="1:80" s="392" customFormat="1" ht="15" x14ac:dyDescent="0.25">
      <c r="A8093" s="385"/>
      <c r="D8093" s="700"/>
      <c r="E8093" s="397"/>
      <c r="H8093" s="401">
        <v>3</v>
      </c>
      <c r="I8093" s="401"/>
      <c r="J8093" s="401"/>
      <c r="K8093" s="401"/>
      <c r="L8093" s="675"/>
      <c r="M8093" s="672">
        <v>30797</v>
      </c>
      <c r="N8093" s="623">
        <v>0.65372626806460754</v>
      </c>
      <c r="O8093" s="624">
        <v>3.0916857983999995E-2</v>
      </c>
      <c r="P8093" s="397"/>
      <c r="Q8093" s="397"/>
      <c r="R8093" s="397"/>
      <c r="S8093" s="397"/>
      <c r="T8093" s="397"/>
      <c r="U8093" s="397"/>
      <c r="V8093" s="397"/>
      <c r="W8093" s="397"/>
      <c r="X8093" s="397"/>
      <c r="Y8093" s="397"/>
      <c r="Z8093" s="397"/>
      <c r="AD8093" s="388">
        <v>4.3281599999999996</v>
      </c>
      <c r="AE8093" s="388">
        <v>0.277368</v>
      </c>
      <c r="AF8093" s="388">
        <v>1.2004930828799998</v>
      </c>
      <c r="AG8093" s="388">
        <v>0.54254400000000003</v>
      </c>
      <c r="AH8093" s="391"/>
      <c r="AI8093" s="397"/>
      <c r="AJ8093" s="397"/>
      <c r="AU8093" s="397"/>
      <c r="AV8093" s="397"/>
      <c r="AW8093" s="397"/>
      <c r="AX8093" s="397"/>
      <c r="BI8093" s="397"/>
      <c r="BJ8093" s="397"/>
      <c r="BK8093" s="397"/>
      <c r="BL8093" s="397"/>
      <c r="BM8093" s="397"/>
      <c r="BN8093" s="397"/>
      <c r="BO8093" s="397"/>
      <c r="BP8093" s="397"/>
      <c r="BQ8093" s="397"/>
      <c r="BR8093" s="397"/>
      <c r="BS8093" s="397"/>
      <c r="BT8093" s="397"/>
      <c r="BU8093" s="397"/>
      <c r="BV8093" s="397"/>
      <c r="BW8093" s="397"/>
      <c r="BX8093" s="397"/>
      <c r="BY8093" s="397"/>
      <c r="BZ8093" s="397"/>
      <c r="CA8093" s="392" t="s">
        <v>413</v>
      </c>
    </row>
    <row r="8094" spans="1:80" s="392" customFormat="1" ht="15" x14ac:dyDescent="0.25">
      <c r="A8094" s="385"/>
      <c r="D8094" s="700"/>
      <c r="E8094" s="397"/>
      <c r="H8094" s="401">
        <v>3</v>
      </c>
      <c r="I8094" s="401"/>
      <c r="J8094" s="401"/>
      <c r="K8094" s="401"/>
      <c r="L8094" s="675"/>
      <c r="M8094" s="672">
        <v>30799</v>
      </c>
      <c r="N8094" s="623">
        <v>0.85349957495041096</v>
      </c>
      <c r="O8094" s="624">
        <v>2.3700202900000005E-2</v>
      </c>
      <c r="P8094" s="397"/>
      <c r="Q8094" s="397"/>
      <c r="R8094" s="397"/>
      <c r="S8094" s="397"/>
      <c r="T8094" s="397"/>
      <c r="U8094" s="397"/>
      <c r="V8094" s="397"/>
      <c r="W8094" s="397"/>
      <c r="X8094" s="397"/>
      <c r="Y8094" s="397"/>
      <c r="Z8094" s="397"/>
      <c r="AD8094" s="388">
        <v>4.3433999999999999</v>
      </c>
      <c r="AE8094" s="388">
        <v>0.31089600000000001</v>
      </c>
      <c r="AF8094" s="388">
        <v>1.3503456864000001</v>
      </c>
      <c r="AG8094" s="388">
        <v>0.63093599999999994</v>
      </c>
      <c r="AH8094" s="391"/>
      <c r="AI8094" s="397"/>
      <c r="AJ8094" s="397"/>
      <c r="AU8094" s="397"/>
      <c r="AV8094" s="397"/>
      <c r="AW8094" s="397"/>
      <c r="AX8094" s="397"/>
      <c r="BI8094" s="397"/>
      <c r="BJ8094" s="397"/>
      <c r="BK8094" s="397"/>
      <c r="BL8094" s="397"/>
      <c r="BM8094" s="397"/>
      <c r="BN8094" s="397"/>
      <c r="BO8094" s="397"/>
      <c r="BP8094" s="397"/>
      <c r="BQ8094" s="397"/>
      <c r="BR8094" s="397"/>
      <c r="BS8094" s="397"/>
      <c r="BT8094" s="397"/>
      <c r="BU8094" s="397"/>
      <c r="BV8094" s="397"/>
      <c r="BW8094" s="397"/>
      <c r="BX8094" s="397"/>
      <c r="BY8094" s="397"/>
      <c r="BZ8094" s="397"/>
      <c r="CA8094" s="392" t="s">
        <v>413</v>
      </c>
    </row>
    <row r="8095" spans="1:80" s="392" customFormat="1" ht="15" x14ac:dyDescent="0.25">
      <c r="A8095" s="385"/>
      <c r="D8095" s="700"/>
      <c r="E8095" s="397"/>
      <c r="H8095" s="401">
        <v>3</v>
      </c>
      <c r="I8095" s="401"/>
      <c r="J8095" s="401"/>
      <c r="K8095" s="401"/>
      <c r="L8095" s="675"/>
      <c r="M8095" s="672">
        <v>30805</v>
      </c>
      <c r="N8095" s="623">
        <v>0.87928591669028056</v>
      </c>
      <c r="O8095" s="624">
        <v>1.1539390656000001E-2</v>
      </c>
      <c r="P8095" s="397"/>
      <c r="Q8095" s="397"/>
      <c r="R8095" s="397"/>
      <c r="S8095" s="397"/>
      <c r="T8095" s="397"/>
      <c r="U8095" s="397"/>
      <c r="V8095" s="397"/>
      <c r="W8095" s="397"/>
      <c r="X8095" s="397"/>
      <c r="Y8095" s="397"/>
      <c r="Z8095" s="397"/>
      <c r="AD8095" s="388">
        <v>4.3891200000000001</v>
      </c>
      <c r="AE8095" s="388">
        <v>0.34137600000000007</v>
      </c>
      <c r="AF8095" s="388">
        <v>1.4983402291200003</v>
      </c>
      <c r="AG8095" s="388">
        <v>0.58521599999999996</v>
      </c>
      <c r="AH8095" s="391"/>
      <c r="AI8095" s="397"/>
      <c r="AJ8095" s="397"/>
      <c r="AU8095" s="397"/>
      <c r="AV8095" s="397"/>
      <c r="AW8095" s="397"/>
      <c r="AX8095" s="397"/>
      <c r="BI8095" s="397"/>
      <c r="BJ8095" s="397"/>
      <c r="BK8095" s="397"/>
      <c r="BL8095" s="397"/>
      <c r="BM8095" s="397"/>
      <c r="BN8095" s="397"/>
      <c r="BO8095" s="397"/>
      <c r="BP8095" s="397"/>
      <c r="BQ8095" s="397"/>
      <c r="BR8095" s="397"/>
      <c r="BS8095" s="397"/>
      <c r="BT8095" s="397"/>
      <c r="BU8095" s="397"/>
      <c r="BV8095" s="397"/>
      <c r="BW8095" s="397"/>
      <c r="BX8095" s="397"/>
      <c r="BY8095" s="397"/>
      <c r="BZ8095" s="397"/>
      <c r="CA8095" s="392" t="s">
        <v>413</v>
      </c>
    </row>
    <row r="8096" spans="1:80" s="392" customFormat="1" ht="15" x14ac:dyDescent="0.25">
      <c r="A8096" s="385"/>
      <c r="D8096" s="700"/>
      <c r="E8096" s="397"/>
      <c r="H8096" s="401">
        <v>3</v>
      </c>
      <c r="I8096" s="401"/>
      <c r="J8096" s="401"/>
      <c r="K8096" s="401"/>
      <c r="L8096" s="675"/>
      <c r="M8096" s="672">
        <v>30811</v>
      </c>
      <c r="N8096" s="623">
        <v>1.126381411164636</v>
      </c>
      <c r="O8096" s="624">
        <v>6.8011644455999998E-2</v>
      </c>
      <c r="P8096" s="397"/>
      <c r="Q8096" s="397"/>
      <c r="R8096" s="397"/>
      <c r="S8096" s="397"/>
      <c r="T8096" s="397"/>
      <c r="U8096" s="397"/>
      <c r="V8096" s="397"/>
      <c r="W8096" s="397"/>
      <c r="X8096" s="397"/>
      <c r="Y8096" s="397"/>
      <c r="Z8096" s="397"/>
      <c r="AD8096" s="388">
        <v>4.4805599999999997</v>
      </c>
      <c r="AE8096" s="388">
        <v>0.33223200000000003</v>
      </c>
      <c r="AF8096" s="388">
        <v>1.48858540992</v>
      </c>
      <c r="AG8096" s="388">
        <v>0.75895200000000007</v>
      </c>
      <c r="AH8096" s="391"/>
      <c r="AI8096" s="397"/>
      <c r="AJ8096" s="397"/>
      <c r="AU8096" s="397"/>
      <c r="AV8096" s="397"/>
      <c r="AW8096" s="397"/>
      <c r="AX8096" s="397"/>
      <c r="BI8096" s="397"/>
      <c r="BJ8096" s="397"/>
      <c r="BK8096" s="397"/>
      <c r="BL8096" s="397"/>
      <c r="BM8096" s="397"/>
      <c r="BN8096" s="397"/>
      <c r="BO8096" s="397"/>
      <c r="BP8096" s="397"/>
      <c r="BQ8096" s="397"/>
      <c r="BR8096" s="397"/>
      <c r="BS8096" s="397"/>
      <c r="BT8096" s="397"/>
      <c r="BU8096" s="397"/>
      <c r="BV8096" s="397"/>
      <c r="BW8096" s="397"/>
      <c r="BX8096" s="397"/>
      <c r="BY8096" s="397"/>
      <c r="BZ8096" s="397"/>
      <c r="CA8096" s="392" t="s">
        <v>413</v>
      </c>
    </row>
    <row r="8097" spans="1:80" s="392" customFormat="1" ht="15" x14ac:dyDescent="0.25">
      <c r="A8097" s="385"/>
      <c r="D8097" s="700"/>
      <c r="E8097" s="397"/>
      <c r="H8097" s="401">
        <v>3</v>
      </c>
      <c r="I8097" s="401"/>
      <c r="J8097" s="401"/>
      <c r="K8097" s="401"/>
      <c r="L8097" s="675"/>
      <c r="M8097" s="672">
        <v>30816</v>
      </c>
      <c r="N8097" s="623">
        <v>3.0518560498724852</v>
      </c>
      <c r="O8097" s="624" t="s">
        <v>71</v>
      </c>
      <c r="P8097" s="397"/>
      <c r="Q8097" s="397"/>
      <c r="R8097" s="397"/>
      <c r="S8097" s="397"/>
      <c r="T8097" s="397"/>
      <c r="U8097" s="397"/>
      <c r="V8097" s="397"/>
      <c r="W8097" s="397"/>
      <c r="X8097" s="397"/>
      <c r="Y8097" s="397"/>
      <c r="Z8097" s="397"/>
      <c r="AD8097" s="388">
        <v>0</v>
      </c>
      <c r="AE8097" s="388">
        <v>0</v>
      </c>
      <c r="AF8097" s="388">
        <v>0</v>
      </c>
      <c r="AG8097" s="388">
        <v>0</v>
      </c>
      <c r="AH8097" s="391"/>
      <c r="AI8097" s="397"/>
      <c r="AJ8097" s="397"/>
      <c r="AU8097" s="397"/>
      <c r="AV8097" s="397"/>
      <c r="AW8097" s="397"/>
      <c r="AX8097" s="397"/>
      <c r="BI8097" s="397"/>
      <c r="BJ8097" s="397"/>
      <c r="BK8097" s="397"/>
      <c r="BL8097" s="397"/>
      <c r="BM8097" s="397"/>
      <c r="BN8097" s="397"/>
      <c r="BO8097" s="397"/>
      <c r="BP8097" s="397"/>
      <c r="BQ8097" s="397"/>
      <c r="BR8097" s="397"/>
      <c r="BS8097" s="397"/>
      <c r="BT8097" s="397"/>
      <c r="BU8097" s="397"/>
      <c r="BV8097" s="397"/>
      <c r="BW8097" s="397"/>
      <c r="BX8097" s="397"/>
      <c r="BY8097" s="397"/>
      <c r="BZ8097" s="397"/>
      <c r="CA8097" s="392" t="s">
        <v>413</v>
      </c>
    </row>
    <row r="8098" spans="1:80" s="392" customFormat="1" ht="15" x14ac:dyDescent="0.25">
      <c r="A8098" s="385"/>
      <c r="D8098" s="700"/>
      <c r="E8098" s="397"/>
      <c r="H8098" s="401">
        <v>3</v>
      </c>
      <c r="I8098" s="401"/>
      <c r="J8098" s="401"/>
      <c r="K8098" s="401"/>
      <c r="L8098" s="675"/>
      <c r="M8098" s="672">
        <v>30823</v>
      </c>
      <c r="N8098" s="623">
        <v>2.2555964862567297</v>
      </c>
      <c r="O8098" s="624">
        <v>0.15558219319999997</v>
      </c>
      <c r="P8098" s="397"/>
      <c r="Q8098" s="397"/>
      <c r="R8098" s="397"/>
      <c r="S8098" s="397"/>
      <c r="T8098" s="397"/>
      <c r="U8098" s="397"/>
      <c r="V8098" s="397"/>
      <c r="W8098" s="397"/>
      <c r="X8098" s="397"/>
      <c r="Y8098" s="397"/>
      <c r="Z8098" s="397"/>
      <c r="AD8098" s="388">
        <v>4.4805599999999997</v>
      </c>
      <c r="AE8098" s="388">
        <v>0.44805600000000001</v>
      </c>
      <c r="AF8098" s="388">
        <v>2.00754179136</v>
      </c>
      <c r="AG8098" s="388">
        <v>1.1186160000000001</v>
      </c>
      <c r="AH8098" s="391"/>
      <c r="AI8098" s="397"/>
      <c r="AJ8098" s="397"/>
      <c r="AU8098" s="397"/>
      <c r="AV8098" s="397"/>
      <c r="AW8098" s="397"/>
      <c r="AX8098" s="397"/>
      <c r="BI8098" s="397"/>
      <c r="BJ8098" s="397"/>
      <c r="BK8098" s="397"/>
      <c r="BL8098" s="397"/>
      <c r="BM8098" s="397"/>
      <c r="BN8098" s="397"/>
      <c r="BO8098" s="397"/>
      <c r="BP8098" s="397"/>
      <c r="BQ8098" s="397"/>
      <c r="BR8098" s="397"/>
      <c r="BS8098" s="397"/>
      <c r="BT8098" s="397"/>
      <c r="BU8098" s="397"/>
      <c r="BV8098" s="397"/>
      <c r="BW8098" s="397"/>
      <c r="BX8098" s="397"/>
      <c r="BY8098" s="397"/>
      <c r="BZ8098" s="397"/>
      <c r="CA8098" s="392" t="s">
        <v>413</v>
      </c>
    </row>
    <row r="8099" spans="1:80" s="392" customFormat="1" ht="15" x14ac:dyDescent="0.25">
      <c r="A8099" s="385"/>
      <c r="D8099" s="700"/>
      <c r="E8099" s="397"/>
      <c r="H8099" s="401">
        <v>3</v>
      </c>
      <c r="I8099" s="401"/>
      <c r="J8099" s="401"/>
      <c r="K8099" s="401"/>
      <c r="L8099" s="675"/>
      <c r="M8099" s="672">
        <v>30834</v>
      </c>
      <c r="N8099" s="623">
        <v>0.35647492207424203</v>
      </c>
      <c r="O8099" s="624">
        <v>2.6126922239999998E-3</v>
      </c>
      <c r="P8099" s="397"/>
      <c r="Q8099" s="397"/>
      <c r="R8099" s="397"/>
      <c r="S8099" s="397"/>
      <c r="T8099" s="397"/>
      <c r="U8099" s="397"/>
      <c r="V8099" s="397"/>
      <c r="W8099" s="397"/>
      <c r="X8099" s="397"/>
      <c r="Y8099" s="397"/>
      <c r="Z8099" s="397"/>
      <c r="AD8099" s="388">
        <v>4.3891200000000001</v>
      </c>
      <c r="AE8099" s="388">
        <v>0.24079200000000003</v>
      </c>
      <c r="AF8099" s="388">
        <v>1.0568649830400001</v>
      </c>
      <c r="AG8099" s="388">
        <v>0.33832800000000007</v>
      </c>
      <c r="AH8099" s="391"/>
      <c r="AI8099" s="397"/>
      <c r="AJ8099" s="397"/>
      <c r="AU8099" s="397"/>
      <c r="AV8099" s="397"/>
      <c r="AW8099" s="397"/>
      <c r="AX8099" s="397"/>
      <c r="BI8099" s="397"/>
      <c r="BJ8099" s="397"/>
      <c r="BK8099" s="397"/>
      <c r="BL8099" s="397"/>
      <c r="BM8099" s="397"/>
      <c r="BN8099" s="397"/>
      <c r="BO8099" s="397"/>
      <c r="BP8099" s="397"/>
      <c r="BQ8099" s="397"/>
      <c r="BR8099" s="397"/>
      <c r="BS8099" s="397"/>
      <c r="BT8099" s="397"/>
      <c r="BU8099" s="397"/>
      <c r="BV8099" s="397"/>
      <c r="BW8099" s="397"/>
      <c r="BX8099" s="397"/>
      <c r="BY8099" s="397"/>
      <c r="BZ8099" s="397"/>
      <c r="CA8099" s="392" t="s">
        <v>413</v>
      </c>
    </row>
    <row r="8100" spans="1:80" s="392" customFormat="1" ht="15" x14ac:dyDescent="0.25">
      <c r="A8100" s="385"/>
      <c r="D8100" s="700"/>
      <c r="E8100" s="397"/>
      <c r="H8100" s="401">
        <v>3</v>
      </c>
      <c r="I8100" s="401"/>
      <c r="J8100" s="401"/>
      <c r="K8100" s="401"/>
      <c r="L8100" s="675"/>
      <c r="M8100" s="672">
        <v>30840</v>
      </c>
      <c r="N8100" s="623">
        <v>0.33607254179654295</v>
      </c>
      <c r="O8100" s="624">
        <v>1.6450284373333334E-3</v>
      </c>
      <c r="P8100" s="397"/>
      <c r="Q8100" s="397"/>
      <c r="R8100" s="397"/>
      <c r="S8100" s="397"/>
      <c r="T8100" s="397"/>
      <c r="U8100" s="397"/>
      <c r="V8100" s="397"/>
      <c r="W8100" s="397"/>
      <c r="X8100" s="397"/>
      <c r="Y8100" s="397"/>
      <c r="Z8100" s="397"/>
      <c r="AD8100" s="388">
        <v>4.1452800000000005</v>
      </c>
      <c r="AE8100" s="388">
        <v>0.24384000000000003</v>
      </c>
      <c r="AF8100" s="388">
        <v>1.0107850752000003</v>
      </c>
      <c r="AG8100" s="388">
        <v>0.33528000000000002</v>
      </c>
      <c r="AH8100" s="391"/>
      <c r="AI8100" s="397"/>
      <c r="AJ8100" s="397"/>
      <c r="AU8100" s="397"/>
      <c r="AV8100" s="397"/>
      <c r="AW8100" s="397"/>
      <c r="AX8100" s="397"/>
      <c r="BI8100" s="397"/>
      <c r="BJ8100" s="397"/>
      <c r="BK8100" s="397"/>
      <c r="BL8100" s="397"/>
      <c r="BM8100" s="397"/>
      <c r="BN8100" s="397"/>
      <c r="BO8100" s="397"/>
      <c r="BP8100" s="397"/>
      <c r="BQ8100" s="397"/>
      <c r="BR8100" s="397"/>
      <c r="BS8100" s="397"/>
      <c r="BT8100" s="397"/>
      <c r="BU8100" s="397"/>
      <c r="BV8100" s="397"/>
      <c r="BW8100" s="397"/>
      <c r="BX8100" s="397"/>
      <c r="BY8100" s="397"/>
      <c r="BZ8100" s="397"/>
      <c r="CA8100" s="392" t="s">
        <v>413</v>
      </c>
    </row>
    <row r="8101" spans="1:80" s="392" customFormat="1" ht="15" x14ac:dyDescent="0.25">
      <c r="A8101" s="385"/>
      <c r="D8101" s="700"/>
      <c r="E8101" s="397"/>
      <c r="H8101" s="401">
        <v>3</v>
      </c>
      <c r="I8101" s="401"/>
      <c r="J8101" s="401"/>
      <c r="K8101" s="401"/>
      <c r="L8101" s="675"/>
      <c r="M8101" s="672">
        <v>30895</v>
      </c>
      <c r="N8101" s="623">
        <v>1.7001983564749221E-2</v>
      </c>
      <c r="O8101" s="624">
        <v>0</v>
      </c>
      <c r="P8101" s="397"/>
      <c r="Q8101" s="397"/>
      <c r="R8101" s="397"/>
      <c r="S8101" s="397"/>
      <c r="T8101" s="397"/>
      <c r="U8101" s="397"/>
      <c r="V8101" s="397"/>
      <c r="W8101" s="397"/>
      <c r="X8101" s="397"/>
      <c r="Y8101" s="397"/>
      <c r="Z8101" s="397"/>
      <c r="AD8101" s="388">
        <v>3.6271200000000001</v>
      </c>
      <c r="AE8101" s="388">
        <v>7.0104E-2</v>
      </c>
      <c r="AF8101" s="388">
        <v>0.25427562048000002</v>
      </c>
      <c r="AG8101" s="388">
        <v>6.7056000000000004E-2</v>
      </c>
      <c r="AH8101" s="391"/>
      <c r="AI8101" s="397"/>
      <c r="AJ8101" s="397"/>
      <c r="AU8101" s="397"/>
      <c r="AV8101" s="397"/>
      <c r="AW8101" s="397"/>
      <c r="AX8101" s="397"/>
      <c r="BI8101" s="397"/>
      <c r="BJ8101" s="397"/>
      <c r="BK8101" s="397"/>
      <c r="BL8101" s="397"/>
      <c r="BM8101" s="397"/>
      <c r="BN8101" s="397"/>
      <c r="BO8101" s="397"/>
      <c r="BP8101" s="397"/>
      <c r="BQ8101" s="397"/>
      <c r="BR8101" s="397"/>
      <c r="BS8101" s="397"/>
      <c r="BT8101" s="397"/>
      <c r="BU8101" s="397"/>
      <c r="BV8101" s="397"/>
      <c r="BW8101" s="397"/>
      <c r="BX8101" s="397"/>
      <c r="BY8101" s="397"/>
      <c r="BZ8101" s="397"/>
      <c r="CA8101" s="392" t="s">
        <v>413</v>
      </c>
    </row>
    <row r="8102" spans="1:80" s="189" customFormat="1" ht="15" x14ac:dyDescent="0.25">
      <c r="A8102" s="9" t="s">
        <v>513</v>
      </c>
      <c r="B8102" s="639" t="s">
        <v>34</v>
      </c>
      <c r="C8102" s="639"/>
      <c r="D8102" s="4">
        <f>VLOOKUP(E8102,'Quality Code'!$D$4:$E$24,2,TRUE)*VLOOKUP(MROUND(F8102,10),'Quality Code'!$D$28:$E$69,2,TRUE)*VLOOKUP(COUNTA(CB8102:CB8112),'Quality Code'!$D$73:$E$93,2,TRUE)</f>
        <v>8.7499999999999994E-2</v>
      </c>
      <c r="E8102" s="14">
        <v>0.35</v>
      </c>
      <c r="F8102" s="2">
        <v>11</v>
      </c>
      <c r="G8102" s="12"/>
      <c r="H8102" s="2" t="s">
        <v>105</v>
      </c>
      <c r="I8102" s="2"/>
      <c r="J8102" s="2"/>
      <c r="K8102" s="2"/>
      <c r="L8102" s="639"/>
      <c r="M8102" s="640" t="s">
        <v>916</v>
      </c>
      <c r="N8102" s="578" t="s">
        <v>110</v>
      </c>
      <c r="O8102" s="578"/>
      <c r="P8102" s="26"/>
      <c r="Q8102" s="26"/>
      <c r="R8102" s="26"/>
      <c r="S8102" s="26"/>
      <c r="T8102" s="26"/>
      <c r="U8102" s="26"/>
      <c r="V8102" s="10"/>
      <c r="W8102" s="10"/>
      <c r="X8102" s="10"/>
      <c r="Y8102" s="10"/>
      <c r="Z8102" s="26"/>
      <c r="AA8102" s="26"/>
      <c r="AB8102" s="26"/>
      <c r="AC8102" s="3">
        <v>1.4999999999999999E-2</v>
      </c>
      <c r="AD8102" s="406"/>
      <c r="AE8102" s="26"/>
      <c r="AF8102" s="26"/>
      <c r="AG8102" s="26"/>
      <c r="AH8102" s="26"/>
      <c r="AI8102" s="4"/>
      <c r="AJ8102" s="4"/>
      <c r="AK8102" s="26"/>
      <c r="AL8102" s="26"/>
      <c r="AM8102" s="26"/>
      <c r="AN8102" s="26"/>
      <c r="AO8102" s="26"/>
      <c r="AP8102" s="26"/>
      <c r="AQ8102" s="26"/>
      <c r="AR8102" s="26"/>
      <c r="AS8102" s="26"/>
      <c r="AT8102" s="26"/>
      <c r="AU8102" s="4"/>
      <c r="AV8102" s="4"/>
      <c r="AW8102" s="4"/>
      <c r="AX8102" s="4"/>
      <c r="AY8102" s="2"/>
      <c r="AZ8102" s="2"/>
      <c r="BA8102" s="12"/>
      <c r="BB8102" s="12"/>
      <c r="BC8102" s="12"/>
      <c r="BD8102" s="12"/>
      <c r="BE8102" s="12"/>
      <c r="BF8102" s="12"/>
      <c r="BG8102" s="12"/>
      <c r="BH8102" s="12"/>
      <c r="BI8102" s="4"/>
      <c r="BJ8102" s="12"/>
      <c r="BK8102" s="2"/>
      <c r="BL8102" s="2"/>
      <c r="BM8102" s="4"/>
      <c r="BN8102" s="12"/>
      <c r="BO8102" s="12"/>
      <c r="BP8102" s="12"/>
      <c r="BQ8102" s="4"/>
      <c r="BR8102" s="4"/>
      <c r="BS8102" s="4"/>
      <c r="BT8102" s="2"/>
      <c r="BU8102" s="9"/>
      <c r="BV8102" s="381"/>
      <c r="BW8102" s="382"/>
      <c r="BX8102" s="383"/>
      <c r="BY8102" s="383" t="s">
        <v>83</v>
      </c>
      <c r="BZ8102" s="383"/>
      <c r="CA8102" s="384" t="s">
        <v>413</v>
      </c>
      <c r="CB8102" s="411"/>
    </row>
    <row r="8103" spans="1:80" s="392" customFormat="1" ht="15" x14ac:dyDescent="0.25">
      <c r="A8103" s="385"/>
      <c r="D8103" s="700"/>
      <c r="E8103" s="397"/>
      <c r="H8103" s="401">
        <v>3</v>
      </c>
      <c r="I8103" s="401"/>
      <c r="J8103" s="401"/>
      <c r="K8103" s="401"/>
      <c r="L8103" s="675"/>
      <c r="M8103" s="672">
        <v>28662</v>
      </c>
      <c r="N8103" s="623">
        <v>0.37120997449702464</v>
      </c>
      <c r="O8103" s="624">
        <v>1.5504E-2</v>
      </c>
      <c r="P8103" s="397"/>
      <c r="Q8103" s="397"/>
      <c r="R8103" s="397"/>
      <c r="S8103" s="397"/>
      <c r="T8103" s="397"/>
      <c r="U8103" s="397"/>
      <c r="V8103" s="397"/>
      <c r="W8103" s="397"/>
      <c r="X8103" s="397"/>
      <c r="Y8103" s="397"/>
      <c r="Z8103" s="397"/>
      <c r="AD8103" s="388">
        <v>4.6329599999999997</v>
      </c>
      <c r="AE8103" s="388"/>
      <c r="AF8103" s="388"/>
      <c r="AG8103" s="388"/>
      <c r="AH8103" s="391"/>
      <c r="AI8103" s="397"/>
      <c r="AJ8103" s="397"/>
      <c r="AU8103" s="397"/>
      <c r="AV8103" s="397"/>
      <c r="AW8103" s="397"/>
      <c r="AX8103" s="397"/>
      <c r="BI8103" s="397"/>
      <c r="BJ8103" s="397"/>
      <c r="BK8103" s="397"/>
      <c r="BL8103" s="397"/>
      <c r="BM8103" s="397"/>
      <c r="BN8103" s="397"/>
      <c r="BO8103" s="397"/>
      <c r="BP8103" s="397"/>
      <c r="BQ8103" s="397"/>
      <c r="BR8103" s="397"/>
      <c r="BS8103" s="397"/>
      <c r="BT8103" s="397"/>
      <c r="BU8103" s="397"/>
      <c r="BV8103" s="397"/>
      <c r="BW8103" s="397"/>
      <c r="BX8103" s="397"/>
      <c r="BY8103" s="397"/>
      <c r="BZ8103" s="397"/>
    </row>
    <row r="8104" spans="1:80" s="392" customFormat="1" ht="15" x14ac:dyDescent="0.25">
      <c r="A8104" s="385"/>
      <c r="D8104" s="700"/>
      <c r="E8104" s="397"/>
      <c r="H8104" s="401">
        <v>3</v>
      </c>
      <c r="I8104" s="401"/>
      <c r="J8104" s="401"/>
      <c r="K8104" s="401"/>
      <c r="L8104" s="675"/>
      <c r="M8104" s="672">
        <v>28667</v>
      </c>
      <c r="N8104" s="623">
        <v>0.31170303202040239</v>
      </c>
      <c r="O8104" s="624">
        <v>1.9126666666666662E-3</v>
      </c>
      <c r="P8104" s="397"/>
      <c r="Q8104" s="397"/>
      <c r="R8104" s="397"/>
      <c r="S8104" s="397"/>
      <c r="T8104" s="397"/>
      <c r="U8104" s="397"/>
      <c r="V8104" s="397"/>
      <c r="W8104" s="397"/>
      <c r="X8104" s="397"/>
      <c r="Y8104" s="397"/>
      <c r="Z8104" s="397"/>
      <c r="AD8104" s="388">
        <v>4.6024799999999999</v>
      </c>
      <c r="AE8104" s="388"/>
      <c r="AF8104" s="388"/>
      <c r="AG8104" s="388"/>
      <c r="AH8104" s="391"/>
      <c r="AI8104" s="397"/>
      <c r="AJ8104" s="397"/>
      <c r="AU8104" s="397"/>
      <c r="AV8104" s="397"/>
      <c r="AW8104" s="397"/>
      <c r="AX8104" s="397"/>
      <c r="BI8104" s="397"/>
      <c r="BJ8104" s="397"/>
      <c r="BK8104" s="397"/>
      <c r="BL8104" s="397"/>
      <c r="BM8104" s="397"/>
      <c r="BN8104" s="397"/>
      <c r="BO8104" s="397"/>
      <c r="BP8104" s="397"/>
      <c r="BQ8104" s="397"/>
      <c r="BR8104" s="397"/>
      <c r="BS8104" s="397"/>
      <c r="BT8104" s="397"/>
      <c r="BU8104" s="397"/>
      <c r="BV8104" s="397"/>
      <c r="BW8104" s="397"/>
      <c r="BX8104" s="397"/>
      <c r="BY8104" s="397"/>
      <c r="BZ8104" s="397"/>
    </row>
    <row r="8105" spans="1:80" s="392" customFormat="1" ht="15" x14ac:dyDescent="0.25">
      <c r="A8105" s="385"/>
      <c r="D8105" s="700"/>
      <c r="E8105" s="397"/>
      <c r="H8105" s="401">
        <v>3</v>
      </c>
      <c r="I8105" s="401"/>
      <c r="J8105" s="401"/>
      <c r="K8105" s="401"/>
      <c r="L8105" s="675"/>
      <c r="M8105" s="672">
        <v>28676</v>
      </c>
      <c r="N8105" s="623">
        <v>0.19835647492207426</v>
      </c>
      <c r="O8105" s="624">
        <v>1.1000000000000001E-3</v>
      </c>
      <c r="P8105" s="397"/>
      <c r="Q8105" s="397"/>
      <c r="R8105" s="397"/>
      <c r="S8105" s="397"/>
      <c r="T8105" s="397"/>
      <c r="U8105" s="397"/>
      <c r="V8105" s="397"/>
      <c r="W8105" s="397"/>
      <c r="X8105" s="397"/>
      <c r="Y8105" s="397"/>
      <c r="Z8105" s="397"/>
      <c r="AD8105" s="388">
        <v>4.5720000000000001</v>
      </c>
      <c r="AE8105" s="388"/>
      <c r="AF8105" s="388"/>
      <c r="AG8105" s="388"/>
      <c r="AH8105" s="391"/>
      <c r="AI8105" s="397"/>
      <c r="AJ8105" s="397"/>
      <c r="AU8105" s="397"/>
      <c r="AV8105" s="397"/>
      <c r="AW8105" s="397"/>
      <c r="AX8105" s="397"/>
      <c r="BI8105" s="397"/>
      <c r="BJ8105" s="397"/>
      <c r="BK8105" s="397"/>
      <c r="BL8105" s="397"/>
      <c r="BM8105" s="397"/>
      <c r="BN8105" s="397"/>
      <c r="BO8105" s="397"/>
      <c r="BP8105" s="397"/>
      <c r="BQ8105" s="397"/>
      <c r="BR8105" s="397"/>
      <c r="BS8105" s="397"/>
      <c r="BT8105" s="397"/>
      <c r="BU8105" s="397"/>
      <c r="BV8105" s="397"/>
      <c r="BW8105" s="397"/>
      <c r="BX8105" s="397"/>
      <c r="BY8105" s="397"/>
      <c r="BZ8105" s="397"/>
    </row>
    <row r="8106" spans="1:80" s="392" customFormat="1" ht="15" x14ac:dyDescent="0.25">
      <c r="A8106" s="385"/>
      <c r="D8106" s="700"/>
      <c r="E8106" s="397"/>
      <c r="H8106" s="401">
        <v>3</v>
      </c>
      <c r="I8106" s="401"/>
      <c r="J8106" s="401"/>
      <c r="K8106" s="401"/>
      <c r="L8106" s="675"/>
      <c r="M8106" s="672">
        <v>28681</v>
      </c>
      <c r="N8106" s="623">
        <v>0.17001983564749221</v>
      </c>
      <c r="O8106" s="624">
        <v>8.0000000000000004E-4</v>
      </c>
      <c r="P8106" s="397"/>
      <c r="Q8106" s="397"/>
      <c r="R8106" s="397"/>
      <c r="S8106" s="397"/>
      <c r="T8106" s="397"/>
      <c r="U8106" s="397"/>
      <c r="V8106" s="397"/>
      <c r="W8106" s="397"/>
      <c r="X8106" s="397"/>
      <c r="Y8106" s="397"/>
      <c r="Z8106" s="397"/>
      <c r="AD8106" s="388">
        <v>4.5720000000000001</v>
      </c>
      <c r="AE8106" s="388"/>
      <c r="AF8106" s="388"/>
      <c r="AG8106" s="388"/>
      <c r="AH8106" s="391"/>
      <c r="AI8106" s="397"/>
      <c r="AJ8106" s="397"/>
      <c r="AU8106" s="397"/>
      <c r="AV8106" s="397"/>
      <c r="AW8106" s="397"/>
      <c r="AX8106" s="397"/>
      <c r="BI8106" s="397"/>
      <c r="BJ8106" s="397"/>
      <c r="BK8106" s="397"/>
      <c r="BL8106" s="397"/>
      <c r="BM8106" s="397"/>
      <c r="BN8106" s="397"/>
      <c r="BO8106" s="397"/>
      <c r="BP8106" s="397"/>
      <c r="BQ8106" s="397"/>
      <c r="BR8106" s="397"/>
      <c r="BS8106" s="397"/>
      <c r="BT8106" s="397"/>
      <c r="BU8106" s="397"/>
      <c r="BV8106" s="397"/>
      <c r="BW8106" s="397"/>
      <c r="BX8106" s="397"/>
      <c r="BY8106" s="397"/>
      <c r="BZ8106" s="397"/>
    </row>
    <row r="8107" spans="1:80" s="392" customFormat="1" ht="15" x14ac:dyDescent="0.25">
      <c r="A8107" s="385"/>
      <c r="D8107" s="700"/>
      <c r="E8107" s="397"/>
      <c r="H8107" s="401">
        <v>3</v>
      </c>
      <c r="I8107" s="401"/>
      <c r="J8107" s="401"/>
      <c r="K8107" s="401"/>
      <c r="L8107" s="675"/>
      <c r="M8107" s="672">
        <v>28688</v>
      </c>
      <c r="N8107" s="623">
        <v>0.19835647492207426</v>
      </c>
      <c r="O8107" s="624">
        <v>1.1999999999999999E-3</v>
      </c>
      <c r="P8107" s="397"/>
      <c r="Q8107" s="397"/>
      <c r="R8107" s="397"/>
      <c r="S8107" s="397"/>
      <c r="T8107" s="397"/>
      <c r="U8107" s="397"/>
      <c r="V8107" s="397"/>
      <c r="W8107" s="397"/>
      <c r="X8107" s="397"/>
      <c r="Y8107" s="397"/>
      <c r="Z8107" s="397"/>
      <c r="AD8107" s="388">
        <v>4.5720000000000001</v>
      </c>
      <c r="AE8107" s="388"/>
      <c r="AF8107" s="388"/>
      <c r="AG8107" s="388"/>
      <c r="AH8107" s="391"/>
      <c r="AI8107" s="397"/>
      <c r="AJ8107" s="397"/>
      <c r="AU8107" s="397"/>
      <c r="AV8107" s="397"/>
      <c r="AW8107" s="397"/>
      <c r="AX8107" s="397"/>
      <c r="BI8107" s="397"/>
      <c r="BJ8107" s="397"/>
      <c r="BK8107" s="397"/>
      <c r="BL8107" s="397"/>
      <c r="BM8107" s="397"/>
      <c r="BN8107" s="397"/>
      <c r="BO8107" s="397"/>
      <c r="BP8107" s="397"/>
      <c r="BQ8107" s="397"/>
      <c r="BR8107" s="397"/>
      <c r="BS8107" s="397"/>
      <c r="BT8107" s="397"/>
      <c r="BU8107" s="397"/>
      <c r="BV8107" s="397"/>
      <c r="BW8107" s="397"/>
      <c r="BX8107" s="397"/>
      <c r="BY8107" s="397"/>
      <c r="BZ8107" s="397"/>
    </row>
    <row r="8108" spans="1:80" s="392" customFormat="1" ht="15" x14ac:dyDescent="0.25">
      <c r="A8108" s="385"/>
      <c r="D8108" s="700"/>
      <c r="E8108" s="397"/>
      <c r="H8108" s="401">
        <v>3</v>
      </c>
      <c r="I8108" s="401"/>
      <c r="J8108" s="401"/>
      <c r="K8108" s="401"/>
      <c r="L8108" s="675"/>
      <c r="M8108" s="672">
        <v>28998</v>
      </c>
      <c r="N8108" s="623">
        <v>3.995466137716067</v>
      </c>
      <c r="O8108" s="624">
        <v>5.4537999999999996E-2</v>
      </c>
      <c r="P8108" s="397"/>
      <c r="Q8108" s="397"/>
      <c r="R8108" s="397"/>
      <c r="S8108" s="397"/>
      <c r="T8108" s="397"/>
      <c r="U8108" s="397"/>
      <c r="V8108" s="397"/>
      <c r="W8108" s="397"/>
      <c r="X8108" s="397"/>
      <c r="Y8108" s="397"/>
      <c r="Z8108" s="397"/>
      <c r="AD8108" s="388">
        <v>5.6388000000000007</v>
      </c>
      <c r="AE8108" s="388"/>
      <c r="AF8108" s="388"/>
      <c r="AG8108" s="388"/>
      <c r="AH8108" s="391"/>
      <c r="AI8108" s="397"/>
      <c r="AJ8108" s="397"/>
      <c r="AU8108" s="397"/>
      <c r="AV8108" s="397"/>
      <c r="AW8108" s="397"/>
      <c r="AX8108" s="397"/>
      <c r="BI8108" s="397"/>
      <c r="BJ8108" s="397"/>
      <c r="BK8108" s="397"/>
      <c r="BL8108" s="397"/>
      <c r="BM8108" s="397"/>
      <c r="BN8108" s="397"/>
      <c r="BO8108" s="397"/>
      <c r="BP8108" s="397"/>
      <c r="BQ8108" s="397"/>
      <c r="BR8108" s="397"/>
      <c r="BS8108" s="397"/>
      <c r="BT8108" s="397"/>
      <c r="BU8108" s="397"/>
      <c r="BV8108" s="397"/>
      <c r="BW8108" s="397"/>
      <c r="BX8108" s="397"/>
      <c r="BY8108" s="397"/>
      <c r="BZ8108" s="397"/>
    </row>
    <row r="8109" spans="1:80" s="392" customFormat="1" ht="15" x14ac:dyDescent="0.25">
      <c r="A8109" s="385"/>
      <c r="D8109" s="700"/>
      <c r="E8109" s="397"/>
      <c r="H8109" s="401">
        <v>3</v>
      </c>
      <c r="I8109" s="401"/>
      <c r="J8109" s="401"/>
      <c r="K8109" s="401"/>
      <c r="L8109" s="675"/>
      <c r="M8109" s="672">
        <v>29005</v>
      </c>
      <c r="N8109" s="623">
        <v>4.562198923207708</v>
      </c>
      <c r="O8109" s="624">
        <v>2.8216600000000001E-2</v>
      </c>
      <c r="P8109" s="397"/>
      <c r="Q8109" s="397"/>
      <c r="R8109" s="397"/>
      <c r="S8109" s="397"/>
      <c r="T8109" s="397"/>
      <c r="U8109" s="397"/>
      <c r="V8109" s="397"/>
      <c r="W8109" s="397"/>
      <c r="X8109" s="397"/>
      <c r="Y8109" s="397"/>
      <c r="Z8109" s="397"/>
      <c r="AD8109" s="388">
        <v>5.8826400000000003</v>
      </c>
      <c r="AE8109" s="388"/>
      <c r="AF8109" s="388"/>
      <c r="AG8109" s="388"/>
      <c r="AH8109" s="391"/>
      <c r="AI8109" s="397"/>
      <c r="AJ8109" s="397"/>
      <c r="AU8109" s="397"/>
      <c r="AV8109" s="397"/>
      <c r="AW8109" s="397"/>
      <c r="AX8109" s="397"/>
      <c r="BI8109" s="397"/>
      <c r="BJ8109" s="397"/>
      <c r="BK8109" s="397"/>
      <c r="BL8109" s="397"/>
      <c r="BM8109" s="397"/>
      <c r="BN8109" s="397"/>
      <c r="BO8109" s="397"/>
      <c r="BP8109" s="397"/>
      <c r="BQ8109" s="397"/>
      <c r="BR8109" s="397"/>
      <c r="BS8109" s="397"/>
      <c r="BT8109" s="397"/>
      <c r="BU8109" s="397"/>
      <c r="BV8109" s="397"/>
      <c r="BW8109" s="397"/>
      <c r="BX8109" s="397"/>
      <c r="BY8109" s="397"/>
      <c r="BZ8109" s="397"/>
    </row>
    <row r="8110" spans="1:80" s="392" customFormat="1" ht="15" x14ac:dyDescent="0.25">
      <c r="A8110" s="385"/>
      <c r="D8110" s="700"/>
      <c r="E8110" s="397"/>
      <c r="H8110" s="401">
        <v>3</v>
      </c>
      <c r="I8110" s="401"/>
      <c r="J8110" s="401"/>
      <c r="K8110" s="401"/>
      <c r="L8110" s="675"/>
      <c r="M8110" s="672">
        <v>29011</v>
      </c>
      <c r="N8110" s="623">
        <v>2.4086143383394729</v>
      </c>
      <c r="O8110" s="624">
        <v>5.4480600000000004E-2</v>
      </c>
      <c r="P8110" s="397"/>
      <c r="Q8110" s="397"/>
      <c r="R8110" s="397"/>
      <c r="S8110" s="397"/>
      <c r="T8110" s="397"/>
      <c r="U8110" s="397"/>
      <c r="V8110" s="397"/>
      <c r="W8110" s="397"/>
      <c r="X8110" s="397"/>
      <c r="Y8110" s="397"/>
      <c r="Z8110" s="397"/>
      <c r="AD8110" s="388">
        <v>5.3949600000000002</v>
      </c>
      <c r="AE8110" s="388"/>
      <c r="AF8110" s="388"/>
      <c r="AG8110" s="388"/>
      <c r="AH8110" s="391"/>
      <c r="AI8110" s="397"/>
      <c r="AJ8110" s="397"/>
      <c r="AU8110" s="397"/>
      <c r="AV8110" s="397"/>
      <c r="AW8110" s="397"/>
      <c r="AX8110" s="397"/>
      <c r="BI8110" s="397"/>
      <c r="BJ8110" s="397"/>
      <c r="BK8110" s="397"/>
      <c r="BL8110" s="397"/>
      <c r="BM8110" s="397"/>
      <c r="BN8110" s="397"/>
      <c r="BO8110" s="397"/>
      <c r="BP8110" s="397"/>
      <c r="BQ8110" s="397"/>
      <c r="BR8110" s="397"/>
      <c r="BS8110" s="397"/>
      <c r="BT8110" s="397"/>
      <c r="BU8110" s="397"/>
      <c r="BV8110" s="397"/>
      <c r="BW8110" s="397"/>
      <c r="BX8110" s="397"/>
      <c r="BY8110" s="397"/>
      <c r="BZ8110" s="397"/>
    </row>
    <row r="8111" spans="1:80" s="392" customFormat="1" ht="15" x14ac:dyDescent="0.25">
      <c r="A8111" s="385"/>
      <c r="D8111" s="700"/>
      <c r="E8111" s="397"/>
      <c r="H8111" s="401">
        <v>3</v>
      </c>
      <c r="I8111" s="401"/>
      <c r="J8111" s="401"/>
      <c r="K8111" s="401"/>
      <c r="L8111" s="675"/>
      <c r="M8111" s="672">
        <v>29017</v>
      </c>
      <c r="N8111" s="623">
        <v>1.7852082742986681</v>
      </c>
      <c r="O8111" s="624">
        <v>5.8245333333333338E-3</v>
      </c>
      <c r="P8111" s="397"/>
      <c r="Q8111" s="397"/>
      <c r="R8111" s="397"/>
      <c r="S8111" s="397"/>
      <c r="T8111" s="397"/>
      <c r="U8111" s="397"/>
      <c r="V8111" s="397"/>
      <c r="W8111" s="397"/>
      <c r="X8111" s="397"/>
      <c r="Y8111" s="397"/>
      <c r="Z8111" s="397"/>
      <c r="AD8111" s="388">
        <v>4.9682400000000007</v>
      </c>
      <c r="AE8111" s="388"/>
      <c r="AF8111" s="388"/>
      <c r="AG8111" s="388"/>
      <c r="AH8111" s="391"/>
      <c r="AI8111" s="397"/>
      <c r="AJ8111" s="397"/>
      <c r="AU8111" s="397"/>
      <c r="AV8111" s="397"/>
      <c r="AW8111" s="397"/>
      <c r="AX8111" s="397"/>
      <c r="BI8111" s="397"/>
      <c r="BJ8111" s="397"/>
      <c r="BK8111" s="397"/>
      <c r="BL8111" s="397"/>
      <c r="BM8111" s="397"/>
      <c r="BN8111" s="397"/>
      <c r="BO8111" s="397"/>
      <c r="BP8111" s="397"/>
      <c r="BQ8111" s="397"/>
      <c r="BR8111" s="397"/>
      <c r="BS8111" s="397"/>
      <c r="BT8111" s="397"/>
      <c r="BU8111" s="397"/>
      <c r="BV8111" s="397"/>
      <c r="BW8111" s="397"/>
      <c r="BX8111" s="397"/>
      <c r="BY8111" s="397"/>
      <c r="BZ8111" s="397"/>
    </row>
    <row r="8112" spans="1:80" s="392" customFormat="1" ht="15" x14ac:dyDescent="0.25">
      <c r="A8112" s="385"/>
      <c r="D8112" s="700"/>
      <c r="E8112" s="397"/>
      <c r="H8112" s="401">
        <v>3</v>
      </c>
      <c r="I8112" s="401"/>
      <c r="J8112" s="401"/>
      <c r="K8112" s="401"/>
      <c r="L8112" s="675"/>
      <c r="M8112" s="672">
        <v>29026</v>
      </c>
      <c r="N8112" s="623">
        <v>0.65174270331538686</v>
      </c>
      <c r="O8112" s="624">
        <v>7.5049333333333324E-3</v>
      </c>
      <c r="P8112" s="397"/>
      <c r="Q8112" s="397"/>
      <c r="R8112" s="397"/>
      <c r="S8112" s="397"/>
      <c r="T8112" s="397"/>
      <c r="U8112" s="397"/>
      <c r="V8112" s="397"/>
      <c r="W8112" s="397"/>
      <c r="X8112" s="397"/>
      <c r="Y8112" s="397"/>
      <c r="Z8112" s="397"/>
      <c r="AD8112" s="388">
        <v>4.6939200000000003</v>
      </c>
      <c r="AE8112" s="388"/>
      <c r="AF8112" s="388"/>
      <c r="AG8112" s="388"/>
      <c r="AH8112" s="391"/>
      <c r="AI8112" s="397"/>
      <c r="AJ8112" s="397"/>
      <c r="AU8112" s="397"/>
      <c r="AV8112" s="397"/>
      <c r="AW8112" s="397"/>
      <c r="AX8112" s="397"/>
      <c r="BI8112" s="397"/>
      <c r="BJ8112" s="397"/>
      <c r="BK8112" s="397"/>
      <c r="BL8112" s="397"/>
      <c r="BM8112" s="397"/>
      <c r="BN8112" s="397"/>
      <c r="BO8112" s="397"/>
      <c r="BP8112" s="397"/>
      <c r="BQ8112" s="397"/>
      <c r="BR8112" s="397"/>
      <c r="BS8112" s="397"/>
      <c r="BT8112" s="397"/>
      <c r="BU8112" s="397"/>
      <c r="BV8112" s="397"/>
      <c r="BW8112" s="397"/>
      <c r="BX8112" s="397"/>
      <c r="BY8112" s="397"/>
      <c r="BZ8112" s="397"/>
    </row>
    <row r="8113" spans="1:80" s="392" customFormat="1" ht="15" x14ac:dyDescent="0.25">
      <c r="A8113" s="385"/>
      <c r="D8113" s="700"/>
      <c r="E8113" s="397"/>
      <c r="H8113" s="401">
        <v>3</v>
      </c>
      <c r="I8113" s="401"/>
      <c r="J8113" s="401"/>
      <c r="K8113" s="401"/>
      <c r="L8113" s="675"/>
      <c r="M8113" s="672">
        <v>29032</v>
      </c>
      <c r="N8113" s="623">
        <v>0.29753471238311135</v>
      </c>
      <c r="O8113" s="624">
        <v>3.6139333333333329E-3</v>
      </c>
      <c r="P8113" s="397"/>
      <c r="Q8113" s="397"/>
      <c r="R8113" s="397"/>
      <c r="S8113" s="397"/>
      <c r="T8113" s="397"/>
      <c r="U8113" s="397"/>
      <c r="V8113" s="397"/>
      <c r="W8113" s="397"/>
      <c r="X8113" s="397"/>
      <c r="Y8113" s="397"/>
      <c r="Z8113" s="397"/>
      <c r="AD8113" s="388">
        <v>4.6024799999999999</v>
      </c>
      <c r="AE8113" s="388"/>
      <c r="AF8113" s="388"/>
      <c r="AG8113" s="388"/>
      <c r="AH8113" s="391"/>
      <c r="AI8113" s="397"/>
      <c r="AJ8113" s="397"/>
      <c r="AU8113" s="397"/>
      <c r="AV8113" s="397"/>
      <c r="AW8113" s="397"/>
      <c r="AX8113" s="397"/>
      <c r="BI8113" s="397"/>
      <c r="BJ8113" s="397"/>
      <c r="BK8113" s="397"/>
      <c r="BL8113" s="397"/>
      <c r="BM8113" s="397"/>
      <c r="BN8113" s="397"/>
      <c r="BO8113" s="397"/>
      <c r="BP8113" s="397"/>
      <c r="BQ8113" s="397"/>
      <c r="BR8113" s="397"/>
      <c r="BS8113" s="397"/>
      <c r="BT8113" s="397"/>
      <c r="BU8113" s="397"/>
      <c r="BV8113" s="397"/>
      <c r="BW8113" s="397"/>
      <c r="BX8113" s="397"/>
      <c r="BY8113" s="397"/>
      <c r="BZ8113" s="397"/>
    </row>
    <row r="8114" spans="1:80" ht="15" x14ac:dyDescent="0.25">
      <c r="A8114" s="412" t="s">
        <v>476</v>
      </c>
      <c r="B8114" s="639"/>
      <c r="C8114" s="639"/>
      <c r="D8114" s="4">
        <f>VLOOKUP(E8114,'Quality Code'!$D$4:$E$24,2,TRUE)*VLOOKUP(MROUND(F8114,10),'Quality Code'!$D$28:$E$69,2,TRUE)*VLOOKUP(COUNTA(CB8114:CB8124),'Quality Code'!$D$73:$E$93,2,TRUE)</f>
        <v>0.30000000000000004</v>
      </c>
      <c r="E8114" s="14">
        <v>0.4</v>
      </c>
      <c r="F8114" s="2">
        <v>28</v>
      </c>
      <c r="G8114" s="12"/>
      <c r="H8114" s="2" t="s">
        <v>105</v>
      </c>
      <c r="I8114" s="2"/>
      <c r="J8114" s="2"/>
      <c r="K8114" s="2"/>
      <c r="L8114" s="639"/>
      <c r="M8114" s="640" t="s">
        <v>919</v>
      </c>
      <c r="N8114" s="578" t="s">
        <v>110</v>
      </c>
      <c r="O8114" s="578"/>
      <c r="P8114" s="26"/>
      <c r="Q8114" s="26"/>
      <c r="R8114" s="26"/>
      <c r="S8114" s="26"/>
      <c r="T8114" s="26"/>
      <c r="U8114" s="26"/>
      <c r="V8114" s="10"/>
      <c r="W8114" s="141"/>
      <c r="X8114" s="141"/>
      <c r="Y8114" s="141"/>
      <c r="Z8114" s="10"/>
      <c r="AA8114" s="26"/>
      <c r="AB8114" s="26"/>
      <c r="AC8114" s="377"/>
      <c r="AD8114" s="26"/>
      <c r="AE8114" s="26"/>
      <c r="AF8114" s="26"/>
      <c r="AG8114" s="26"/>
      <c r="AH8114" s="26"/>
      <c r="AI8114" s="4"/>
      <c r="AJ8114" s="4"/>
      <c r="AK8114" s="26"/>
      <c r="AL8114" s="26"/>
      <c r="AM8114" s="26"/>
      <c r="AN8114" s="26"/>
      <c r="AO8114" s="26"/>
      <c r="AP8114" s="26"/>
      <c r="AQ8114" s="26"/>
      <c r="AR8114" s="26"/>
      <c r="AS8114" s="26"/>
      <c r="AT8114" s="26"/>
      <c r="AU8114" s="4"/>
      <c r="AV8114" s="4"/>
      <c r="AW8114" s="4"/>
      <c r="AX8114" s="4"/>
      <c r="AY8114" s="26"/>
      <c r="AZ8114" s="26"/>
      <c r="BA8114" s="26"/>
      <c r="BB8114" s="26"/>
      <c r="BC8114" s="26"/>
      <c r="BD8114" s="26"/>
      <c r="BE8114" s="26"/>
      <c r="BF8114" s="26"/>
      <c r="BG8114" s="26"/>
      <c r="BH8114" s="26"/>
      <c r="BI8114" s="4"/>
      <c r="BJ8114" s="12"/>
      <c r="BK8114" s="2"/>
      <c r="BL8114" s="2"/>
      <c r="BM8114" s="4"/>
      <c r="BN8114" s="12"/>
      <c r="BO8114" s="12"/>
      <c r="BP8114" s="12"/>
      <c r="BQ8114" s="12"/>
      <c r="BR8114" s="12"/>
      <c r="BS8114" s="12"/>
      <c r="BT8114" s="2"/>
      <c r="BU8114" s="9"/>
      <c r="BV8114" s="381"/>
      <c r="BW8114" s="382"/>
      <c r="BX8114" s="383"/>
      <c r="BY8114" s="383"/>
      <c r="BZ8114" s="383"/>
      <c r="CA8114" s="384"/>
      <c r="CB8114" s="411"/>
    </row>
    <row r="8115" spans="1:80" ht="15" x14ac:dyDescent="0.25">
      <c r="A8115" s="385"/>
      <c r="B8115" s="392"/>
      <c r="C8115" s="392"/>
      <c r="D8115" s="700"/>
      <c r="E8115" s="397"/>
      <c r="F8115" s="392"/>
      <c r="G8115" s="392"/>
      <c r="H8115" s="401">
        <f>0.3048</f>
        <v>0.30480000000000002</v>
      </c>
      <c r="I8115" s="401"/>
      <c r="J8115" s="401"/>
      <c r="K8115" s="401"/>
      <c r="L8115" s="675"/>
      <c r="M8115" s="672">
        <v>28660</v>
      </c>
      <c r="N8115" s="623">
        <f>18.07*(0.3048^3)</f>
        <v>0.51168541791744004</v>
      </c>
      <c r="O8115" s="624">
        <v>1.0290000000000002E-3</v>
      </c>
      <c r="P8115" s="413"/>
      <c r="Q8115" s="413"/>
      <c r="R8115" s="413">
        <v>6.5000000000000002E-2</v>
      </c>
      <c r="S8115" s="413">
        <v>7.4999999999999997E-2</v>
      </c>
      <c r="T8115" s="413">
        <v>0.12</v>
      </c>
      <c r="U8115" s="413">
        <v>0.2</v>
      </c>
      <c r="V8115" s="795">
        <v>0.54</v>
      </c>
      <c r="W8115" s="797"/>
      <c r="X8115" s="798"/>
      <c r="Y8115" s="799"/>
      <c r="Z8115" s="788"/>
      <c r="AA8115" s="388">
        <v>1.7</v>
      </c>
      <c r="AB8115" s="391"/>
      <c r="AC8115" s="392"/>
      <c r="AD8115" s="388">
        <f>6.6*(0.3048)</f>
        <v>2.0116800000000001</v>
      </c>
      <c r="AE8115" s="388">
        <f>0.85*(0.3048)</f>
        <v>0.25908000000000003</v>
      </c>
      <c r="AF8115" s="388">
        <f>AE8115*AD8115</f>
        <v>0.5211860544000001</v>
      </c>
      <c r="AG8115" s="388">
        <f>3.6*(0.3048)</f>
        <v>1.09728</v>
      </c>
      <c r="AH8115" s="391"/>
      <c r="AI8115" s="397"/>
      <c r="AJ8115" s="397"/>
      <c r="AK8115" s="392"/>
      <c r="AL8115" s="392"/>
      <c r="AM8115" s="392"/>
      <c r="AN8115" s="392"/>
      <c r="AO8115" s="392"/>
      <c r="AP8115" s="392"/>
      <c r="AQ8115" s="392"/>
      <c r="AR8115" s="392"/>
      <c r="AS8115" s="392"/>
      <c r="AT8115" s="392"/>
      <c r="AU8115" s="397"/>
      <c r="AV8115" s="397"/>
      <c r="AW8115" s="397"/>
      <c r="AX8115" s="397"/>
      <c r="AY8115" s="392"/>
      <c r="AZ8115" s="392"/>
      <c r="BA8115" s="392"/>
      <c r="BB8115" s="392"/>
      <c r="BC8115" s="392"/>
      <c r="BD8115" s="392"/>
      <c r="BE8115" s="392"/>
      <c r="BF8115" s="392"/>
      <c r="BG8115" s="392"/>
      <c r="BH8115" s="392"/>
      <c r="BI8115" s="397"/>
      <c r="BJ8115" s="397"/>
      <c r="BK8115" s="397"/>
      <c r="BL8115" s="397"/>
      <c r="BM8115" s="397"/>
      <c r="BN8115" s="397"/>
      <c r="BO8115" s="397"/>
      <c r="BP8115" s="397"/>
      <c r="BQ8115" s="397"/>
      <c r="BR8115" s="397"/>
      <c r="BS8115" s="397"/>
      <c r="BT8115" s="397"/>
      <c r="BU8115" s="397"/>
      <c r="BV8115" s="397"/>
      <c r="BW8115" s="397"/>
      <c r="BX8115" s="397"/>
      <c r="BY8115" s="397"/>
      <c r="BZ8115" s="397"/>
      <c r="CA8115" s="392"/>
      <c r="CB8115" s="392"/>
    </row>
    <row r="8116" spans="1:80" ht="15" x14ac:dyDescent="0.25">
      <c r="A8116" s="385"/>
      <c r="B8116" s="392"/>
      <c r="C8116" s="392"/>
      <c r="D8116" s="700"/>
      <c r="E8116" s="397"/>
      <c r="F8116" s="392"/>
      <c r="G8116" s="392"/>
      <c r="H8116" s="401"/>
      <c r="I8116" s="401"/>
      <c r="J8116" s="401"/>
      <c r="K8116" s="401"/>
      <c r="L8116" s="675"/>
      <c r="M8116" s="672">
        <v>28667</v>
      </c>
      <c r="N8116" s="623">
        <f>13.64*(0.3048^3)</f>
        <v>0.38624178751488009</v>
      </c>
      <c r="O8116" s="624">
        <v>3.4650000000000002E-4</v>
      </c>
      <c r="P8116" s="413"/>
      <c r="Q8116" s="413"/>
      <c r="R8116" s="413">
        <v>0</v>
      </c>
      <c r="S8116" s="413">
        <v>5.5E-2</v>
      </c>
      <c r="T8116" s="413">
        <v>0.115</v>
      </c>
      <c r="U8116" s="413">
        <v>0.21</v>
      </c>
      <c r="V8116" s="795">
        <v>0.62</v>
      </c>
      <c r="W8116" s="800"/>
      <c r="X8116" s="796"/>
      <c r="Y8116" s="801"/>
      <c r="Z8116" s="788"/>
      <c r="AA8116" s="388">
        <v>1.35</v>
      </c>
      <c r="AB8116" s="391"/>
      <c r="AC8116" s="392"/>
      <c r="AD8116" s="388">
        <f>6.7*(0.3048)</f>
        <v>2.04216</v>
      </c>
      <c r="AE8116" s="388">
        <f>0.73*(0.3048)</f>
        <v>0.22250400000000001</v>
      </c>
      <c r="AF8116" s="388">
        <f t="shared" ref="AF8116:AF8130" si="58">AE8116*AD8116</f>
        <v>0.45438876864</v>
      </c>
      <c r="AG8116" s="388">
        <f>2.8*(0.3048)</f>
        <v>0.85343999999999998</v>
      </c>
      <c r="AH8116" s="391"/>
      <c r="AI8116" s="397"/>
      <c r="AJ8116" s="397"/>
      <c r="AK8116" s="392"/>
      <c r="AL8116" s="392"/>
      <c r="AM8116" s="392"/>
      <c r="AN8116" s="392"/>
      <c r="AO8116" s="392"/>
      <c r="AP8116" s="392"/>
      <c r="AQ8116" s="392"/>
      <c r="AR8116" s="392"/>
      <c r="AS8116" s="392"/>
      <c r="AT8116" s="392"/>
      <c r="AU8116" s="397"/>
      <c r="AV8116" s="397"/>
      <c r="AW8116" s="397"/>
      <c r="AX8116" s="397"/>
      <c r="AY8116" s="392"/>
      <c r="AZ8116" s="392"/>
      <c r="BA8116" s="392"/>
      <c r="BB8116" s="392"/>
      <c r="BC8116" s="392"/>
      <c r="BD8116" s="392"/>
      <c r="BE8116" s="392"/>
      <c r="BF8116" s="392"/>
      <c r="BG8116" s="392"/>
      <c r="BH8116" s="392"/>
      <c r="BI8116" s="397"/>
      <c r="BJ8116" s="397"/>
      <c r="BK8116" s="397"/>
      <c r="BL8116" s="397"/>
      <c r="BM8116" s="397"/>
      <c r="BN8116" s="397"/>
      <c r="BO8116" s="397"/>
      <c r="BP8116" s="397"/>
      <c r="BQ8116" s="397"/>
      <c r="BR8116" s="397"/>
      <c r="BS8116" s="397"/>
      <c r="BT8116" s="397"/>
      <c r="BU8116" s="397"/>
      <c r="BV8116" s="397"/>
      <c r="BW8116" s="397"/>
      <c r="BX8116" s="397"/>
      <c r="BY8116" s="397"/>
      <c r="BZ8116" s="397"/>
      <c r="CA8116" s="392"/>
      <c r="CB8116" s="392"/>
    </row>
    <row r="8117" spans="1:80" ht="15" x14ac:dyDescent="0.25">
      <c r="A8117" s="385"/>
      <c r="B8117" s="392"/>
      <c r="C8117" s="392"/>
      <c r="D8117" s="700"/>
      <c r="E8117" s="397"/>
      <c r="F8117" s="392"/>
      <c r="G8117" s="392"/>
      <c r="H8117" s="401"/>
      <c r="I8117" s="401"/>
      <c r="J8117" s="401"/>
      <c r="K8117" s="401"/>
      <c r="L8117" s="675"/>
      <c r="M8117" s="672">
        <v>28676</v>
      </c>
      <c r="N8117" s="623">
        <f>8.49*(0.3048^3)</f>
        <v>0.24041002756608004</v>
      </c>
      <c r="O8117" s="624">
        <v>2.31E-4</v>
      </c>
      <c r="P8117" s="413"/>
      <c r="Q8117" s="413"/>
      <c r="R8117" s="413">
        <v>0</v>
      </c>
      <c r="S8117" s="413">
        <v>0.04</v>
      </c>
      <c r="T8117" s="413">
        <v>0.1</v>
      </c>
      <c r="U8117" s="413">
        <v>0.2</v>
      </c>
      <c r="V8117" s="795">
        <v>0.66</v>
      </c>
      <c r="W8117" s="800"/>
      <c r="X8117" s="796"/>
      <c r="Y8117" s="801"/>
      <c r="Z8117" s="788"/>
      <c r="AA8117" s="388">
        <v>1.1499999999999999</v>
      </c>
      <c r="AB8117" s="391"/>
      <c r="AC8117" s="392"/>
      <c r="AD8117" s="388">
        <f>6.3*(0.3048)</f>
        <v>1.9202399999999999</v>
      </c>
      <c r="AE8117" s="388">
        <f>0.64*(0.3048)</f>
        <v>0.19507200000000002</v>
      </c>
      <c r="AF8117" s="388">
        <f t="shared" si="58"/>
        <v>0.37458505728000002</v>
      </c>
      <c r="AG8117" s="388">
        <f>2.2*(0.3048)</f>
        <v>0.67056000000000004</v>
      </c>
      <c r="AH8117" s="391"/>
      <c r="AI8117" s="397"/>
      <c r="AJ8117" s="397"/>
      <c r="AK8117" s="392"/>
      <c r="AL8117" s="392"/>
      <c r="AM8117" s="392"/>
      <c r="AN8117" s="392"/>
      <c r="AO8117" s="392"/>
      <c r="AP8117" s="392"/>
      <c r="AQ8117" s="392"/>
      <c r="AR8117" s="392"/>
      <c r="AS8117" s="392"/>
      <c r="AT8117" s="392"/>
      <c r="AU8117" s="397"/>
      <c r="AV8117" s="397"/>
      <c r="AW8117" s="397"/>
      <c r="AX8117" s="397"/>
      <c r="AY8117" s="392"/>
      <c r="AZ8117" s="392"/>
      <c r="BA8117" s="392"/>
      <c r="BB8117" s="392"/>
      <c r="BC8117" s="392"/>
      <c r="BD8117" s="392"/>
      <c r="BE8117" s="392"/>
      <c r="BF8117" s="392"/>
      <c r="BG8117" s="392"/>
      <c r="BH8117" s="392"/>
      <c r="BI8117" s="397"/>
      <c r="BJ8117" s="397"/>
      <c r="BK8117" s="397"/>
      <c r="BL8117" s="397"/>
      <c r="BM8117" s="397"/>
      <c r="BN8117" s="397"/>
      <c r="BO8117" s="397"/>
      <c r="BP8117" s="397"/>
      <c r="BQ8117" s="397"/>
      <c r="BR8117" s="397"/>
      <c r="BS8117" s="397"/>
      <c r="BT8117" s="397"/>
      <c r="BU8117" s="397"/>
      <c r="BV8117" s="397"/>
      <c r="BW8117" s="397"/>
      <c r="BX8117" s="397"/>
      <c r="BY8117" s="397"/>
      <c r="BZ8117" s="397"/>
      <c r="CA8117" s="392"/>
      <c r="CB8117" s="392"/>
    </row>
    <row r="8118" spans="1:80" ht="15" x14ac:dyDescent="0.25">
      <c r="A8118" s="385"/>
      <c r="B8118" s="392"/>
      <c r="C8118" s="392"/>
      <c r="D8118" s="700"/>
      <c r="E8118" s="397"/>
      <c r="F8118" s="392"/>
      <c r="G8118" s="392"/>
      <c r="H8118" s="401"/>
      <c r="I8118" s="401"/>
      <c r="J8118" s="401"/>
      <c r="K8118" s="401"/>
      <c r="L8118" s="675"/>
      <c r="M8118" s="672">
        <v>28681</v>
      </c>
      <c r="N8118" s="623">
        <f>6.38*(0.3048^3)</f>
        <v>0.18066148125696002</v>
      </c>
      <c r="O8118" s="624">
        <v>5.775E-4</v>
      </c>
      <c r="P8118" s="413"/>
      <c r="Q8118" s="413"/>
      <c r="R8118" s="413">
        <v>0.105</v>
      </c>
      <c r="S8118" s="413">
        <v>1.4999999999999999E-2</v>
      </c>
      <c r="T8118" s="413">
        <v>0.06</v>
      </c>
      <c r="U8118" s="413">
        <v>0.21</v>
      </c>
      <c r="V8118" s="795">
        <v>0.61</v>
      </c>
      <c r="W8118" s="800"/>
      <c r="X8118" s="796"/>
      <c r="Y8118" s="801"/>
      <c r="Z8118" s="788"/>
      <c r="AA8118" s="388">
        <v>1.375</v>
      </c>
      <c r="AB8118" s="391"/>
      <c r="AC8118" s="392"/>
      <c r="AD8118" s="388">
        <f>6.2*(0.3048)</f>
        <v>1.8897600000000001</v>
      </c>
      <c r="AE8118" s="388">
        <f>0.54*(0.3048)</f>
        <v>0.16459200000000002</v>
      </c>
      <c r="AF8118" s="388">
        <f t="shared" si="58"/>
        <v>0.31103937792000003</v>
      </c>
      <c r="AG8118" s="388">
        <f>2.1*(0.3048)</f>
        <v>0.64008000000000009</v>
      </c>
      <c r="AH8118" s="391"/>
      <c r="AI8118" s="397"/>
      <c r="AJ8118" s="397"/>
      <c r="AK8118" s="392"/>
      <c r="AL8118" s="392"/>
      <c r="AM8118" s="392"/>
      <c r="AN8118" s="392"/>
      <c r="AO8118" s="392"/>
      <c r="AP8118" s="392"/>
      <c r="AQ8118" s="392"/>
      <c r="AR8118" s="392"/>
      <c r="AS8118" s="392"/>
      <c r="AT8118" s="392"/>
      <c r="AU8118" s="397"/>
      <c r="AV8118" s="397"/>
      <c r="AW8118" s="397"/>
      <c r="AX8118" s="397"/>
      <c r="AY8118" s="392"/>
      <c r="AZ8118" s="392"/>
      <c r="BA8118" s="392"/>
      <c r="BB8118" s="392"/>
      <c r="BC8118" s="392"/>
      <c r="BD8118" s="392"/>
      <c r="BE8118" s="392"/>
      <c r="BF8118" s="392"/>
      <c r="BG8118" s="392"/>
      <c r="BH8118" s="392"/>
      <c r="BI8118" s="397"/>
      <c r="BJ8118" s="397"/>
      <c r="BK8118" s="397"/>
      <c r="BL8118" s="397"/>
      <c r="BM8118" s="397"/>
      <c r="BN8118" s="397"/>
      <c r="BO8118" s="397"/>
      <c r="BP8118" s="397"/>
      <c r="BQ8118" s="397"/>
      <c r="BR8118" s="397"/>
      <c r="BS8118" s="397"/>
      <c r="BT8118" s="397"/>
      <c r="BU8118" s="397"/>
      <c r="BV8118" s="397"/>
      <c r="BW8118" s="397"/>
      <c r="BX8118" s="397"/>
      <c r="BY8118" s="397"/>
      <c r="BZ8118" s="397"/>
      <c r="CA8118" s="392"/>
      <c r="CB8118" s="392"/>
    </row>
    <row r="8119" spans="1:80" ht="15" x14ac:dyDescent="0.25">
      <c r="A8119" s="385"/>
      <c r="B8119" s="392"/>
      <c r="C8119" s="392"/>
      <c r="D8119" s="700"/>
      <c r="E8119" s="397"/>
      <c r="F8119" s="392"/>
      <c r="G8119" s="392"/>
      <c r="H8119" s="401"/>
      <c r="I8119" s="401"/>
      <c r="J8119" s="401"/>
      <c r="K8119" s="401"/>
      <c r="L8119" s="675"/>
      <c r="M8119" s="672">
        <v>28684</v>
      </c>
      <c r="N8119" s="623">
        <f>5.23*(0.3048^3)</f>
        <v>0.14809710767616002</v>
      </c>
      <c r="O8119" s="624">
        <v>2.6250000000000004E-4</v>
      </c>
      <c r="P8119" s="413"/>
      <c r="Q8119" s="413"/>
      <c r="R8119" s="413">
        <v>0</v>
      </c>
      <c r="S8119" s="413">
        <v>3.5000000000000003E-2</v>
      </c>
      <c r="T8119" s="413">
        <v>8.5000000000000006E-2</v>
      </c>
      <c r="U8119" s="413">
        <v>0.22</v>
      </c>
      <c r="V8119" s="795">
        <v>0.66</v>
      </c>
      <c r="W8119" s="800"/>
      <c r="X8119" s="796"/>
      <c r="Y8119" s="801"/>
      <c r="Z8119" s="788"/>
      <c r="AA8119" s="388">
        <v>1.1499999999999999</v>
      </c>
      <c r="AB8119" s="391"/>
      <c r="AC8119" s="392"/>
      <c r="AD8119" s="388">
        <f>6.1*(0.3048)</f>
        <v>1.85928</v>
      </c>
      <c r="AE8119" s="388">
        <f>0.54*(0.3048)</f>
        <v>0.16459200000000002</v>
      </c>
      <c r="AF8119" s="388">
        <f t="shared" si="58"/>
        <v>0.30602261376000006</v>
      </c>
      <c r="AG8119" s="388">
        <f>1.6*(0.3048)</f>
        <v>0.48768000000000006</v>
      </c>
      <c r="AH8119" s="391"/>
      <c r="AI8119" s="397"/>
      <c r="AJ8119" s="397"/>
      <c r="AK8119" s="392"/>
      <c r="AL8119" s="392"/>
      <c r="AM8119" s="392"/>
      <c r="AN8119" s="392"/>
      <c r="AO8119" s="392"/>
      <c r="AP8119" s="392"/>
      <c r="AQ8119" s="392"/>
      <c r="AR8119" s="392"/>
      <c r="AS8119" s="392"/>
      <c r="AT8119" s="392"/>
      <c r="AU8119" s="397"/>
      <c r="AV8119" s="397"/>
      <c r="AW8119" s="397"/>
      <c r="AX8119" s="397"/>
      <c r="AY8119" s="392"/>
      <c r="AZ8119" s="392"/>
      <c r="BA8119" s="392"/>
      <c r="BB8119" s="392"/>
      <c r="BC8119" s="392"/>
      <c r="BD8119" s="392"/>
      <c r="BE8119" s="392"/>
      <c r="BF8119" s="392"/>
      <c r="BG8119" s="392"/>
      <c r="BH8119" s="392"/>
      <c r="BI8119" s="397"/>
      <c r="BJ8119" s="397"/>
      <c r="BK8119" s="397"/>
      <c r="BL8119" s="397"/>
      <c r="BM8119" s="397"/>
      <c r="BN8119" s="397"/>
      <c r="BO8119" s="397"/>
      <c r="BP8119" s="397"/>
      <c r="BQ8119" s="397"/>
      <c r="BR8119" s="397"/>
      <c r="BS8119" s="397"/>
      <c r="BT8119" s="397"/>
      <c r="BU8119" s="397"/>
      <c r="BV8119" s="397"/>
      <c r="BW8119" s="397"/>
      <c r="BX8119" s="397"/>
      <c r="BY8119" s="397"/>
      <c r="BZ8119" s="397"/>
      <c r="CA8119" s="392"/>
      <c r="CB8119" s="392"/>
    </row>
    <row r="8120" spans="1:80" ht="15" x14ac:dyDescent="0.25">
      <c r="A8120" s="385"/>
      <c r="B8120" s="392"/>
      <c r="C8120" s="392"/>
      <c r="D8120" s="700"/>
      <c r="E8120" s="397"/>
      <c r="F8120" s="392"/>
      <c r="G8120" s="392"/>
      <c r="H8120" s="401"/>
      <c r="I8120" s="401"/>
      <c r="J8120" s="401"/>
      <c r="K8120" s="401"/>
      <c r="L8120" s="675"/>
      <c r="M8120" s="672">
        <v>28688</v>
      </c>
      <c r="N8120" s="623">
        <f>5.14*(0.3048^3)</f>
        <v>0.14554859148288002</v>
      </c>
      <c r="O8120" s="624">
        <v>1.155E-4</v>
      </c>
      <c r="P8120" s="413"/>
      <c r="Q8120" s="413"/>
      <c r="R8120" s="413">
        <v>0</v>
      </c>
      <c r="S8120" s="413">
        <v>5.5E-2</v>
      </c>
      <c r="T8120" s="413">
        <v>0.105</v>
      </c>
      <c r="U8120" s="413">
        <v>0.17</v>
      </c>
      <c r="V8120" s="795">
        <v>0.67</v>
      </c>
      <c r="W8120" s="800"/>
      <c r="X8120" s="796"/>
      <c r="Y8120" s="801"/>
      <c r="Z8120" s="788"/>
      <c r="AA8120" s="388">
        <v>1</v>
      </c>
      <c r="AB8120" s="391"/>
      <c r="AC8120" s="392"/>
      <c r="AD8120" s="388">
        <f>6.1*(0.3048)</f>
        <v>1.85928</v>
      </c>
      <c r="AE8120" s="388">
        <f>0.5*(0.3048)</f>
        <v>0.15240000000000001</v>
      </c>
      <c r="AF8120" s="388">
        <f t="shared" si="58"/>
        <v>0.28335427200000002</v>
      </c>
      <c r="AG8120" s="388">
        <f>1.7*(0.3048)</f>
        <v>0.51816000000000006</v>
      </c>
      <c r="AH8120" s="391"/>
      <c r="AI8120" s="397"/>
      <c r="AJ8120" s="397"/>
      <c r="AK8120" s="392"/>
      <c r="AL8120" s="392"/>
      <c r="AM8120" s="392"/>
      <c r="AN8120" s="392"/>
      <c r="AO8120" s="392"/>
      <c r="AP8120" s="392"/>
      <c r="AQ8120" s="392"/>
      <c r="AR8120" s="392"/>
      <c r="AS8120" s="392"/>
      <c r="AT8120" s="392"/>
      <c r="AU8120" s="397"/>
      <c r="AV8120" s="397"/>
      <c r="AW8120" s="397"/>
      <c r="AX8120" s="397"/>
      <c r="AY8120" s="392"/>
      <c r="AZ8120" s="392"/>
      <c r="BA8120" s="392"/>
      <c r="BB8120" s="392"/>
      <c r="BC8120" s="392"/>
      <c r="BD8120" s="392"/>
      <c r="BE8120" s="392"/>
      <c r="BF8120" s="392"/>
      <c r="BG8120" s="392"/>
      <c r="BH8120" s="392"/>
      <c r="BI8120" s="397"/>
      <c r="BJ8120" s="397"/>
      <c r="BK8120" s="397"/>
      <c r="BL8120" s="397"/>
      <c r="BM8120" s="397"/>
      <c r="BN8120" s="397"/>
      <c r="BO8120" s="397"/>
      <c r="BP8120" s="397"/>
      <c r="BQ8120" s="397"/>
      <c r="BR8120" s="397"/>
      <c r="BS8120" s="397"/>
      <c r="BT8120" s="397"/>
      <c r="BU8120" s="397"/>
      <c r="BV8120" s="397"/>
      <c r="BW8120" s="397"/>
      <c r="BX8120" s="397"/>
      <c r="BY8120" s="397"/>
      <c r="BZ8120" s="397"/>
      <c r="CA8120" s="392"/>
      <c r="CB8120" s="392"/>
    </row>
    <row r="8121" spans="1:80" ht="15" x14ac:dyDescent="0.25">
      <c r="A8121" s="385"/>
      <c r="B8121" s="392"/>
      <c r="C8121" s="392"/>
      <c r="D8121" s="700"/>
      <c r="E8121" s="397"/>
      <c r="F8121" s="392"/>
      <c r="G8121" s="392"/>
      <c r="H8121" s="401"/>
      <c r="I8121" s="401"/>
      <c r="J8121" s="401"/>
      <c r="K8121" s="401"/>
      <c r="L8121" s="675"/>
      <c r="M8121" s="672">
        <v>28695</v>
      </c>
      <c r="N8121" s="623">
        <f>2.48*(0.3048^3)</f>
        <v>7.0225779548160006E-2</v>
      </c>
      <c r="O8121" s="624">
        <v>7.3500000000000011E-5</v>
      </c>
      <c r="P8121" s="413"/>
      <c r="Q8121" s="413"/>
      <c r="R8121" s="413">
        <v>0</v>
      </c>
      <c r="S8121" s="413">
        <v>0</v>
      </c>
      <c r="T8121" s="413">
        <v>0.05</v>
      </c>
      <c r="U8121" s="413">
        <v>0.21</v>
      </c>
      <c r="V8121" s="795">
        <v>0.74</v>
      </c>
      <c r="W8121" s="800"/>
      <c r="X8121" s="796"/>
      <c r="Y8121" s="801"/>
      <c r="Z8121" s="788"/>
      <c r="AA8121" s="388">
        <v>0.92500000000000004</v>
      </c>
      <c r="AB8121" s="391"/>
      <c r="AC8121" s="392"/>
      <c r="AD8121" s="388">
        <f>5.8*(0.3048)</f>
        <v>1.7678400000000001</v>
      </c>
      <c r="AE8121" s="388">
        <f>0.44*(0.3048)</f>
        <v>0.13411200000000001</v>
      </c>
      <c r="AF8121" s="388">
        <f t="shared" si="58"/>
        <v>0.23708855808000004</v>
      </c>
      <c r="AG8121" s="388">
        <f>0.9*(0.3048)</f>
        <v>0.27432000000000001</v>
      </c>
      <c r="AH8121" s="391"/>
      <c r="AI8121" s="397"/>
      <c r="AJ8121" s="397"/>
      <c r="AK8121" s="392"/>
      <c r="AL8121" s="392"/>
      <c r="AM8121" s="392"/>
      <c r="AN8121" s="392"/>
      <c r="AO8121" s="392"/>
      <c r="AP8121" s="392"/>
      <c r="AQ8121" s="392"/>
      <c r="AR8121" s="392"/>
      <c r="AS8121" s="392"/>
      <c r="AT8121" s="392"/>
      <c r="AU8121" s="397"/>
      <c r="AV8121" s="397"/>
      <c r="AW8121" s="397"/>
      <c r="AX8121" s="397"/>
      <c r="AY8121" s="392"/>
      <c r="AZ8121" s="392"/>
      <c r="BA8121" s="392"/>
      <c r="BB8121" s="392"/>
      <c r="BC8121" s="392"/>
      <c r="BD8121" s="392"/>
      <c r="BE8121" s="392"/>
      <c r="BF8121" s="392"/>
      <c r="BG8121" s="392"/>
      <c r="BH8121" s="392"/>
      <c r="BI8121" s="397"/>
      <c r="BJ8121" s="397"/>
      <c r="BK8121" s="397"/>
      <c r="BL8121" s="397"/>
      <c r="BM8121" s="397"/>
      <c r="BN8121" s="397"/>
      <c r="BO8121" s="397"/>
      <c r="BP8121" s="397"/>
      <c r="BQ8121" s="397"/>
      <c r="BR8121" s="397"/>
      <c r="BS8121" s="397"/>
      <c r="BT8121" s="397"/>
      <c r="BU8121" s="397"/>
      <c r="BV8121" s="397"/>
      <c r="BW8121" s="397"/>
      <c r="BX8121" s="397"/>
      <c r="BY8121" s="397"/>
      <c r="BZ8121" s="397"/>
      <c r="CA8121" s="392"/>
      <c r="CB8121" s="392"/>
    </row>
    <row r="8122" spans="1:80" ht="15" x14ac:dyDescent="0.25">
      <c r="A8122" s="385"/>
      <c r="B8122" s="392"/>
      <c r="C8122" s="392"/>
      <c r="D8122" s="700"/>
      <c r="E8122" s="397"/>
      <c r="F8122" s="392"/>
      <c r="G8122" s="392"/>
      <c r="H8122" s="401"/>
      <c r="I8122" s="401"/>
      <c r="J8122" s="401"/>
      <c r="K8122" s="401"/>
      <c r="L8122" s="675"/>
      <c r="M8122" s="672">
        <v>28697</v>
      </c>
      <c r="N8122" s="623">
        <f>2.59*(0.3048^3)</f>
        <v>7.3340632673280004E-2</v>
      </c>
      <c r="O8122" s="624">
        <v>5.2500000000000002E-5</v>
      </c>
      <c r="P8122" s="413"/>
      <c r="Q8122" s="413"/>
      <c r="R8122" s="413">
        <v>0</v>
      </c>
      <c r="S8122" s="413">
        <v>0</v>
      </c>
      <c r="T8122" s="413">
        <v>5.5E-2</v>
      </c>
      <c r="U8122" s="413">
        <v>0.23499999999999999</v>
      </c>
      <c r="V8122" s="795">
        <v>0.71</v>
      </c>
      <c r="W8122" s="800"/>
      <c r="X8122" s="796"/>
      <c r="Y8122" s="801"/>
      <c r="Z8122" s="788"/>
      <c r="AA8122" s="388">
        <v>1.05</v>
      </c>
      <c r="AB8122" s="391"/>
      <c r="AC8122" s="392"/>
      <c r="AD8122" s="388">
        <f>5.8*(0.3048)</f>
        <v>1.7678400000000001</v>
      </c>
      <c r="AE8122" s="388">
        <f>0.35*(0.3048)</f>
        <v>0.10668</v>
      </c>
      <c r="AF8122" s="388">
        <f t="shared" si="58"/>
        <v>0.18859317119999999</v>
      </c>
      <c r="AG8122" s="388">
        <f>1.2*(0.3048)</f>
        <v>0.36576000000000003</v>
      </c>
      <c r="AH8122" s="391"/>
      <c r="AI8122" s="397"/>
      <c r="AJ8122" s="397"/>
      <c r="AK8122" s="392"/>
      <c r="AL8122" s="392"/>
      <c r="AM8122" s="392"/>
      <c r="AN8122" s="392"/>
      <c r="AO8122" s="392"/>
      <c r="AP8122" s="392"/>
      <c r="AQ8122" s="392"/>
      <c r="AR8122" s="392"/>
      <c r="AS8122" s="392"/>
      <c r="AT8122" s="392"/>
      <c r="AU8122" s="397"/>
      <c r="AV8122" s="397"/>
      <c r="AW8122" s="397"/>
      <c r="AX8122" s="397"/>
      <c r="AY8122" s="392"/>
      <c r="AZ8122" s="392"/>
      <c r="BA8122" s="392"/>
      <c r="BB8122" s="392"/>
      <c r="BC8122" s="392"/>
      <c r="BD8122" s="392"/>
      <c r="BE8122" s="392"/>
      <c r="BF8122" s="392"/>
      <c r="BG8122" s="392"/>
      <c r="BH8122" s="392"/>
      <c r="BI8122" s="397"/>
      <c r="BJ8122" s="397"/>
      <c r="BK8122" s="397"/>
      <c r="BL8122" s="397"/>
      <c r="BM8122" s="397"/>
      <c r="BN8122" s="397"/>
      <c r="BO8122" s="397"/>
      <c r="BP8122" s="397"/>
      <c r="BQ8122" s="397"/>
      <c r="BR8122" s="397"/>
      <c r="BS8122" s="397"/>
      <c r="BT8122" s="397"/>
      <c r="BU8122" s="397"/>
      <c r="BV8122" s="397"/>
      <c r="BW8122" s="397"/>
      <c r="BX8122" s="397"/>
      <c r="BY8122" s="397"/>
      <c r="BZ8122" s="397"/>
      <c r="CA8122" s="392"/>
      <c r="CB8122" s="392"/>
    </row>
    <row r="8123" spans="1:80" ht="15" x14ac:dyDescent="0.25">
      <c r="A8123" s="385"/>
      <c r="B8123" s="392"/>
      <c r="C8123" s="392"/>
      <c r="D8123" s="700"/>
      <c r="E8123" s="397"/>
      <c r="F8123" s="392"/>
      <c r="G8123" s="392"/>
      <c r="H8123" s="401"/>
      <c r="I8123" s="401"/>
      <c r="J8123" s="401"/>
      <c r="K8123" s="401"/>
      <c r="L8123" s="675"/>
      <c r="M8123" s="672">
        <v>28703</v>
      </c>
      <c r="N8123" s="623">
        <f>2.39*(0.3048^3)</f>
        <v>6.7677263354880016E-2</v>
      </c>
      <c r="O8123" s="624">
        <v>4.2000000000000004E-5</v>
      </c>
      <c r="P8123" s="413"/>
      <c r="Q8123" s="413"/>
      <c r="R8123" s="413">
        <v>0</v>
      </c>
      <c r="S8123" s="413">
        <v>0</v>
      </c>
      <c r="T8123" s="413">
        <v>0.04</v>
      </c>
      <c r="U8123" s="413">
        <v>0.19</v>
      </c>
      <c r="V8123" s="795">
        <v>0.77</v>
      </c>
      <c r="W8123" s="800"/>
      <c r="X8123" s="796"/>
      <c r="Y8123" s="801"/>
      <c r="Z8123" s="788"/>
      <c r="AA8123" s="388">
        <v>0.7</v>
      </c>
      <c r="AB8123" s="391"/>
      <c r="AC8123" s="392"/>
      <c r="AD8123" s="388">
        <f>5.8*(0.3048)</f>
        <v>1.7678400000000001</v>
      </c>
      <c r="AE8123" s="388">
        <f>0.38*(0.3048)</f>
        <v>0.11582400000000001</v>
      </c>
      <c r="AF8123" s="388">
        <f t="shared" si="58"/>
        <v>0.20475830016000002</v>
      </c>
      <c r="AG8123" s="388">
        <f>1*(0.3048)</f>
        <v>0.30480000000000002</v>
      </c>
      <c r="AH8123" s="391"/>
      <c r="AI8123" s="397"/>
      <c r="AJ8123" s="397"/>
      <c r="AK8123" s="392"/>
      <c r="AL8123" s="392"/>
      <c r="AM8123" s="392"/>
      <c r="AN8123" s="392"/>
      <c r="AO8123" s="392"/>
      <c r="AP8123" s="392"/>
      <c r="AQ8123" s="392"/>
      <c r="AR8123" s="392"/>
      <c r="AS8123" s="392"/>
      <c r="AT8123" s="392"/>
      <c r="AU8123" s="397"/>
      <c r="AV8123" s="397"/>
      <c r="AW8123" s="397"/>
      <c r="AX8123" s="397"/>
      <c r="AY8123" s="392"/>
      <c r="AZ8123" s="392"/>
      <c r="BA8123" s="392"/>
      <c r="BB8123" s="392"/>
      <c r="BC8123" s="392"/>
      <c r="BD8123" s="392"/>
      <c r="BE8123" s="392"/>
      <c r="BF8123" s="392"/>
      <c r="BG8123" s="392"/>
      <c r="BH8123" s="392"/>
      <c r="BI8123" s="397"/>
      <c r="BJ8123" s="397"/>
      <c r="BK8123" s="397"/>
      <c r="BL8123" s="397"/>
      <c r="BM8123" s="397"/>
      <c r="BN8123" s="397"/>
      <c r="BO8123" s="397"/>
      <c r="BP8123" s="397"/>
      <c r="BQ8123" s="397"/>
      <c r="BR8123" s="397"/>
      <c r="BS8123" s="397"/>
      <c r="BT8123" s="397"/>
      <c r="BU8123" s="397"/>
      <c r="BV8123" s="397"/>
      <c r="BW8123" s="397"/>
      <c r="BX8123" s="397"/>
      <c r="BY8123" s="397"/>
      <c r="BZ8123" s="397"/>
      <c r="CA8123" s="392"/>
      <c r="CB8123" s="392"/>
    </row>
    <row r="8124" spans="1:80" ht="15" x14ac:dyDescent="0.25">
      <c r="A8124" s="385"/>
      <c r="B8124" s="392"/>
      <c r="C8124" s="392"/>
      <c r="D8124" s="700"/>
      <c r="E8124" s="397"/>
      <c r="F8124" s="392"/>
      <c r="G8124" s="392"/>
      <c r="H8124" s="401"/>
      <c r="I8124" s="401"/>
      <c r="J8124" s="401"/>
      <c r="K8124" s="401"/>
      <c r="L8124" s="675"/>
      <c r="M8124" s="672">
        <v>28705</v>
      </c>
      <c r="N8124" s="623">
        <f>1.93*(0.3048^3)</f>
        <v>5.4651513922560006E-2</v>
      </c>
      <c r="O8124" s="624">
        <v>5.2500000000000002E-5</v>
      </c>
      <c r="P8124" s="413"/>
      <c r="Q8124" s="413"/>
      <c r="R8124" s="413"/>
      <c r="S8124" s="413"/>
      <c r="T8124" s="413">
        <v>0.05</v>
      </c>
      <c r="U8124" s="413">
        <v>0.2</v>
      </c>
      <c r="V8124" s="795">
        <v>0.75</v>
      </c>
      <c r="W8124" s="800"/>
      <c r="X8124" s="796"/>
      <c r="Y8124" s="801"/>
      <c r="Z8124" s="788"/>
      <c r="AA8124" s="388">
        <v>0.84</v>
      </c>
      <c r="AB8124" s="391"/>
      <c r="AC8124" s="392"/>
      <c r="AD8124" s="388">
        <f>5.6*(0.3048)</f>
        <v>1.70688</v>
      </c>
      <c r="AE8124" s="388">
        <f>0.36*(0.3048)</f>
        <v>0.10972800000000001</v>
      </c>
      <c r="AF8124" s="388">
        <f t="shared" si="58"/>
        <v>0.18729252864000001</v>
      </c>
      <c r="AG8124" s="388">
        <f>1*(0.3048)</f>
        <v>0.30480000000000002</v>
      </c>
      <c r="AH8124" s="391"/>
      <c r="AI8124" s="397"/>
      <c r="AJ8124" s="397"/>
      <c r="AK8124" s="392"/>
      <c r="AL8124" s="392"/>
      <c r="AM8124" s="392"/>
      <c r="AN8124" s="392"/>
      <c r="AO8124" s="392"/>
      <c r="AP8124" s="392"/>
      <c r="AQ8124" s="392"/>
      <c r="AR8124" s="392"/>
      <c r="AS8124" s="392"/>
      <c r="AT8124" s="392"/>
      <c r="AU8124" s="397"/>
      <c r="AV8124" s="397"/>
      <c r="AW8124" s="397"/>
      <c r="AX8124" s="397"/>
      <c r="AY8124" s="392"/>
      <c r="AZ8124" s="392"/>
      <c r="BA8124" s="392"/>
      <c r="BB8124" s="392"/>
      <c r="BC8124" s="392"/>
      <c r="BD8124" s="392"/>
      <c r="BE8124" s="392"/>
      <c r="BF8124" s="392"/>
      <c r="BG8124" s="392"/>
      <c r="BH8124" s="392"/>
      <c r="BI8124" s="397"/>
      <c r="BJ8124" s="397"/>
      <c r="BK8124" s="397"/>
      <c r="BL8124" s="397"/>
      <c r="BM8124" s="397"/>
      <c r="BN8124" s="397"/>
      <c r="BO8124" s="397"/>
      <c r="BP8124" s="397"/>
      <c r="BQ8124" s="397"/>
      <c r="BR8124" s="397"/>
      <c r="BS8124" s="397"/>
      <c r="BT8124" s="397"/>
      <c r="BU8124" s="397"/>
      <c r="BV8124" s="397"/>
      <c r="BW8124" s="397"/>
      <c r="BX8124" s="397"/>
      <c r="BY8124" s="397"/>
      <c r="BZ8124" s="397"/>
      <c r="CA8124" s="392"/>
      <c r="CB8124" s="392"/>
    </row>
    <row r="8125" spans="1:80" ht="15" x14ac:dyDescent="0.25">
      <c r="A8125" s="385"/>
      <c r="B8125" s="392"/>
      <c r="C8125" s="392"/>
      <c r="D8125" s="700"/>
      <c r="E8125" s="397"/>
      <c r="F8125" s="392"/>
      <c r="G8125" s="392"/>
      <c r="H8125" s="401"/>
      <c r="I8125" s="401"/>
      <c r="J8125" s="401"/>
      <c r="K8125" s="401"/>
      <c r="L8125" s="675"/>
      <c r="M8125" s="672">
        <v>28709</v>
      </c>
      <c r="N8125" s="623">
        <f>1.49*(0.3048^3)</f>
        <v>4.2192101422080006E-2</v>
      </c>
      <c r="O8125" s="624">
        <v>5.2500000000000002E-5</v>
      </c>
      <c r="P8125" s="413"/>
      <c r="Q8125" s="413"/>
      <c r="R8125" s="413"/>
      <c r="S8125" s="413"/>
      <c r="T8125" s="413">
        <v>0.05</v>
      </c>
      <c r="U8125" s="413">
        <v>0.215</v>
      </c>
      <c r="V8125" s="795">
        <v>0.73499999999999999</v>
      </c>
      <c r="W8125" s="800"/>
      <c r="X8125" s="796"/>
      <c r="Y8125" s="801"/>
      <c r="Z8125" s="788"/>
      <c r="AA8125" s="388">
        <v>0.92500000000000004</v>
      </c>
      <c r="AB8125" s="391"/>
      <c r="AC8125" s="392"/>
      <c r="AD8125" s="388">
        <f>5.7*(0.3048)</f>
        <v>1.7373600000000002</v>
      </c>
      <c r="AE8125" s="388">
        <f>0.33*(0.3048)</f>
        <v>0.10058400000000001</v>
      </c>
      <c r="AF8125" s="388">
        <f t="shared" si="58"/>
        <v>0.17475061824000004</v>
      </c>
      <c r="AG8125" s="388">
        <f>0.8*(0.3048)</f>
        <v>0.24384000000000003</v>
      </c>
      <c r="AH8125" s="391"/>
      <c r="AI8125" s="397"/>
      <c r="AJ8125" s="397"/>
      <c r="AK8125" s="392"/>
      <c r="AL8125" s="392"/>
      <c r="AM8125" s="392"/>
      <c r="AN8125" s="392"/>
      <c r="AO8125" s="392"/>
      <c r="AP8125" s="392"/>
      <c r="AQ8125" s="392"/>
      <c r="AR8125" s="392"/>
      <c r="AS8125" s="392"/>
      <c r="AT8125" s="392"/>
      <c r="AU8125" s="397"/>
      <c r="AV8125" s="397"/>
      <c r="AW8125" s="397"/>
      <c r="AX8125" s="397"/>
      <c r="AY8125" s="392"/>
      <c r="AZ8125" s="392"/>
      <c r="BA8125" s="392"/>
      <c r="BB8125" s="392"/>
      <c r="BC8125" s="392"/>
      <c r="BD8125" s="392"/>
      <c r="BE8125" s="392"/>
      <c r="BF8125" s="392"/>
      <c r="BG8125" s="392"/>
      <c r="BH8125" s="392"/>
      <c r="BI8125" s="397"/>
      <c r="BJ8125" s="397"/>
      <c r="BK8125" s="397"/>
      <c r="BL8125" s="397"/>
      <c r="BM8125" s="397"/>
      <c r="BN8125" s="397"/>
      <c r="BO8125" s="397"/>
      <c r="BP8125" s="397"/>
      <c r="BQ8125" s="397"/>
      <c r="BR8125" s="397"/>
      <c r="BS8125" s="397"/>
      <c r="BT8125" s="397"/>
      <c r="BU8125" s="397"/>
      <c r="BV8125" s="397"/>
      <c r="BW8125" s="397"/>
      <c r="BX8125" s="397"/>
      <c r="BY8125" s="397"/>
      <c r="BZ8125" s="397"/>
      <c r="CA8125" s="392"/>
      <c r="CB8125" s="392"/>
    </row>
    <row r="8126" spans="1:80" ht="15" x14ac:dyDescent="0.25">
      <c r="A8126" s="385"/>
      <c r="B8126" s="392"/>
      <c r="C8126" s="392"/>
      <c r="D8126" s="700"/>
      <c r="E8126" s="397"/>
      <c r="F8126" s="392"/>
      <c r="G8126" s="392"/>
      <c r="H8126" s="401"/>
      <c r="I8126" s="401"/>
      <c r="J8126" s="401"/>
      <c r="K8126" s="401"/>
      <c r="L8126" s="675"/>
      <c r="M8126" s="672">
        <v>28711</v>
      </c>
      <c r="N8126" s="623">
        <f>1.37*(0.3048^3)</f>
        <v>3.879407983104001E-2</v>
      </c>
      <c r="O8126" s="624">
        <v>6.3E-5</v>
      </c>
      <c r="P8126" s="413"/>
      <c r="Q8126" s="413"/>
      <c r="R8126" s="413"/>
      <c r="S8126" s="413">
        <v>0.13</v>
      </c>
      <c r="T8126" s="413">
        <v>0.18</v>
      </c>
      <c r="U8126" s="413">
        <v>0.16</v>
      </c>
      <c r="V8126" s="795">
        <v>0.53</v>
      </c>
      <c r="W8126" s="800"/>
      <c r="X8126" s="796"/>
      <c r="Y8126" s="801"/>
      <c r="Z8126" s="788"/>
      <c r="AA8126" s="388">
        <v>1.7</v>
      </c>
      <c r="AB8126" s="391"/>
      <c r="AC8126" s="392"/>
      <c r="AD8126" s="388">
        <f>5.5*(0.3048)</f>
        <v>1.6764000000000001</v>
      </c>
      <c r="AE8126" s="388">
        <f>0.32*(0.3048)</f>
        <v>9.7536000000000012E-2</v>
      </c>
      <c r="AF8126" s="388">
        <f t="shared" si="58"/>
        <v>0.16350935040000003</v>
      </c>
      <c r="AG8126" s="388">
        <f>0.7*(0.3048)</f>
        <v>0.21335999999999999</v>
      </c>
      <c r="AH8126" s="391"/>
      <c r="AI8126" s="397"/>
      <c r="AJ8126" s="397"/>
      <c r="AK8126" s="392"/>
      <c r="AL8126" s="392"/>
      <c r="AM8126" s="392"/>
      <c r="AN8126" s="392"/>
      <c r="AO8126" s="392"/>
      <c r="AP8126" s="392"/>
      <c r="AQ8126" s="392"/>
      <c r="AR8126" s="392"/>
      <c r="AS8126" s="392"/>
      <c r="AT8126" s="392"/>
      <c r="AU8126" s="397"/>
      <c r="AV8126" s="397"/>
      <c r="AW8126" s="397"/>
      <c r="AX8126" s="397"/>
      <c r="AY8126" s="392"/>
      <c r="AZ8126" s="392"/>
      <c r="BA8126" s="392"/>
      <c r="BB8126" s="392"/>
      <c r="BC8126" s="392"/>
      <c r="BD8126" s="392"/>
      <c r="BE8126" s="392"/>
      <c r="BF8126" s="392"/>
      <c r="BG8126" s="392"/>
      <c r="BH8126" s="392"/>
      <c r="BI8126" s="397"/>
      <c r="BJ8126" s="397"/>
      <c r="BK8126" s="397"/>
      <c r="BL8126" s="397"/>
      <c r="BM8126" s="397"/>
      <c r="BN8126" s="397"/>
      <c r="BO8126" s="397"/>
      <c r="BP8126" s="397"/>
      <c r="BQ8126" s="397"/>
      <c r="BR8126" s="397"/>
      <c r="BS8126" s="397"/>
      <c r="BT8126" s="397"/>
      <c r="BU8126" s="397"/>
      <c r="BV8126" s="397"/>
      <c r="BW8126" s="397"/>
      <c r="BX8126" s="397"/>
      <c r="BY8126" s="397"/>
      <c r="BZ8126" s="397"/>
      <c r="CA8126" s="392"/>
      <c r="CB8126" s="392"/>
    </row>
    <row r="8127" spans="1:80" ht="15" x14ac:dyDescent="0.25">
      <c r="A8127" s="385"/>
      <c r="B8127" s="392"/>
      <c r="C8127" s="392"/>
      <c r="D8127" s="700"/>
      <c r="E8127" s="397"/>
      <c r="F8127" s="392"/>
      <c r="G8127" s="392"/>
      <c r="H8127" s="401"/>
      <c r="I8127" s="401"/>
      <c r="J8127" s="401"/>
      <c r="K8127" s="401"/>
      <c r="L8127" s="675"/>
      <c r="M8127" s="672">
        <v>28717</v>
      </c>
      <c r="N8127" s="623">
        <f>1.5*(0.3048^3)</f>
        <v>4.2475269888000003E-2</v>
      </c>
      <c r="O8127" s="624">
        <v>1.155E-4</v>
      </c>
      <c r="P8127" s="413"/>
      <c r="Q8127" s="413"/>
      <c r="R8127" s="413"/>
      <c r="S8127" s="413">
        <v>0.06</v>
      </c>
      <c r="T8127" s="413">
        <v>0.12</v>
      </c>
      <c r="U8127" s="413">
        <v>0.19</v>
      </c>
      <c r="V8127" s="795">
        <v>0.63</v>
      </c>
      <c r="W8127" s="800"/>
      <c r="X8127" s="796"/>
      <c r="Y8127" s="801"/>
      <c r="Z8127" s="788"/>
      <c r="AA8127" s="388">
        <v>1.25</v>
      </c>
      <c r="AB8127" s="391"/>
      <c r="AC8127" s="392"/>
      <c r="AD8127" s="388">
        <f>5.2*(0.3048)</f>
        <v>1.5849600000000001</v>
      </c>
      <c r="AE8127" s="388">
        <f>0.32*(0.3048)</f>
        <v>9.7536000000000012E-2</v>
      </c>
      <c r="AF8127" s="388">
        <f t="shared" si="58"/>
        <v>0.15459065856000004</v>
      </c>
      <c r="AG8127" s="388">
        <f>0.8*(0.3048)</f>
        <v>0.24384000000000003</v>
      </c>
      <c r="AH8127" s="391"/>
      <c r="AI8127" s="397"/>
      <c r="AJ8127" s="397"/>
      <c r="AK8127" s="392"/>
      <c r="AL8127" s="392"/>
      <c r="AM8127" s="392"/>
      <c r="AN8127" s="392"/>
      <c r="AO8127" s="392"/>
      <c r="AP8127" s="392"/>
      <c r="AQ8127" s="392"/>
      <c r="AR8127" s="392"/>
      <c r="AS8127" s="392"/>
      <c r="AT8127" s="392"/>
      <c r="AU8127" s="397"/>
      <c r="AV8127" s="397"/>
      <c r="AW8127" s="397"/>
      <c r="AX8127" s="397"/>
      <c r="AY8127" s="392"/>
      <c r="AZ8127" s="392"/>
      <c r="BA8127" s="392"/>
      <c r="BB8127" s="392"/>
      <c r="BC8127" s="392"/>
      <c r="BD8127" s="392"/>
      <c r="BE8127" s="392"/>
      <c r="BF8127" s="392"/>
      <c r="BG8127" s="392"/>
      <c r="BH8127" s="392"/>
      <c r="BI8127" s="397"/>
      <c r="BJ8127" s="397"/>
      <c r="BK8127" s="397"/>
      <c r="BL8127" s="397"/>
      <c r="BM8127" s="397"/>
      <c r="BN8127" s="397"/>
      <c r="BO8127" s="397"/>
      <c r="BP8127" s="397"/>
      <c r="BQ8127" s="397"/>
      <c r="BR8127" s="397"/>
      <c r="BS8127" s="397"/>
      <c r="BT8127" s="397"/>
      <c r="BU8127" s="397"/>
      <c r="BV8127" s="397"/>
      <c r="BW8127" s="397"/>
      <c r="BX8127" s="397"/>
      <c r="BY8127" s="397"/>
      <c r="BZ8127" s="397"/>
      <c r="CA8127" s="392"/>
      <c r="CB8127" s="392"/>
    </row>
    <row r="8128" spans="1:80" ht="15" x14ac:dyDescent="0.25">
      <c r="A8128" s="385"/>
      <c r="B8128" s="392"/>
      <c r="C8128" s="392"/>
      <c r="D8128" s="700"/>
      <c r="E8128" s="397"/>
      <c r="F8128" s="392"/>
      <c r="G8128" s="392"/>
      <c r="H8128" s="401"/>
      <c r="I8128" s="401"/>
      <c r="J8128" s="401"/>
      <c r="K8128" s="401"/>
      <c r="L8128" s="675"/>
      <c r="M8128" s="672">
        <v>28723</v>
      </c>
      <c r="N8128" s="623">
        <f>1.21*(0.3048^3)</f>
        <v>3.4263384376320004E-2</v>
      </c>
      <c r="O8128" s="624">
        <v>0</v>
      </c>
      <c r="P8128" s="413"/>
      <c r="Q8128" s="413"/>
      <c r="R8128" s="413"/>
      <c r="S8128" s="413"/>
      <c r="T8128" s="413"/>
      <c r="U8128" s="413"/>
      <c r="V8128" s="795"/>
      <c r="W8128" s="800"/>
      <c r="X8128" s="796"/>
      <c r="Y8128" s="801"/>
      <c r="Z8128" s="788"/>
      <c r="AA8128" s="388"/>
      <c r="AB8128" s="391"/>
      <c r="AC8128" s="392"/>
      <c r="AD8128" s="388">
        <f>5.3*(0.3048)</f>
        <v>1.61544</v>
      </c>
      <c r="AE8128" s="388">
        <f>0.29*(0.3048)</f>
        <v>8.8391999999999998E-2</v>
      </c>
      <c r="AF8128" s="388">
        <f t="shared" si="58"/>
        <v>0.14279197248</v>
      </c>
      <c r="AG8128" s="388">
        <f>0.7*(0.3048)</f>
        <v>0.21335999999999999</v>
      </c>
      <c r="AH8128" s="391"/>
      <c r="AI8128" s="397"/>
      <c r="AJ8128" s="397"/>
      <c r="AK8128" s="392"/>
      <c r="AL8128" s="392"/>
      <c r="AM8128" s="392"/>
      <c r="AN8128" s="392"/>
      <c r="AO8128" s="392"/>
      <c r="AP8128" s="392"/>
      <c r="AQ8128" s="392"/>
      <c r="AR8128" s="392"/>
      <c r="AS8128" s="392"/>
      <c r="AT8128" s="392"/>
      <c r="AU8128" s="397"/>
      <c r="AV8128" s="397"/>
      <c r="AW8128" s="397"/>
      <c r="AX8128" s="397"/>
      <c r="AY8128" s="392"/>
      <c r="AZ8128" s="392"/>
      <c r="BA8128" s="392"/>
      <c r="BB8128" s="392"/>
      <c r="BC8128" s="392"/>
      <c r="BD8128" s="392"/>
      <c r="BE8128" s="392"/>
      <c r="BF8128" s="392"/>
      <c r="BG8128" s="392"/>
      <c r="BH8128" s="392"/>
      <c r="BI8128" s="397"/>
      <c r="BJ8128" s="397"/>
      <c r="BK8128" s="397"/>
      <c r="BL8128" s="397"/>
      <c r="BM8128" s="397"/>
      <c r="BN8128" s="397"/>
      <c r="BO8128" s="397"/>
      <c r="BP8128" s="397"/>
      <c r="BQ8128" s="397"/>
      <c r="BR8128" s="397"/>
      <c r="BS8128" s="397"/>
      <c r="BT8128" s="397"/>
      <c r="BU8128" s="397"/>
      <c r="BV8128" s="397"/>
      <c r="BW8128" s="397"/>
      <c r="BX8128" s="397"/>
      <c r="BY8128" s="397"/>
      <c r="BZ8128" s="397"/>
      <c r="CA8128" s="392"/>
      <c r="CB8128" s="392"/>
    </row>
    <row r="8129" spans="1:80" ht="15" x14ac:dyDescent="0.25">
      <c r="A8129" s="385"/>
      <c r="B8129" s="392"/>
      <c r="C8129" s="392"/>
      <c r="D8129" s="700"/>
      <c r="E8129" s="397"/>
      <c r="F8129" s="392"/>
      <c r="G8129" s="392"/>
      <c r="H8129" s="401"/>
      <c r="I8129" s="401"/>
      <c r="J8129" s="401"/>
      <c r="K8129" s="401"/>
      <c r="L8129" s="675"/>
      <c r="M8129" s="672">
        <v>28730</v>
      </c>
      <c r="N8129" s="623">
        <f>1.06*(0.3048^3)</f>
        <v>3.0015857387520006E-2</v>
      </c>
      <c r="O8129" s="624">
        <v>2.1000000000000002E-5</v>
      </c>
      <c r="P8129" s="413"/>
      <c r="Q8129" s="413"/>
      <c r="R8129" s="413"/>
      <c r="S8129" s="413"/>
      <c r="T8129" s="413">
        <v>0.05</v>
      </c>
      <c r="U8129" s="413">
        <v>0.18</v>
      </c>
      <c r="V8129" s="795">
        <v>0.77</v>
      </c>
      <c r="W8129" s="800"/>
      <c r="X8129" s="796"/>
      <c r="Y8129" s="801"/>
      <c r="Z8129" s="788"/>
      <c r="AA8129" s="388">
        <v>0.7</v>
      </c>
      <c r="AB8129" s="391"/>
      <c r="AC8129" s="392"/>
      <c r="AD8129" s="388">
        <f>5.1*(0.3048)</f>
        <v>1.5544799999999999</v>
      </c>
      <c r="AE8129" s="388">
        <f>0.27*(0.3048)</f>
        <v>8.2296000000000008E-2</v>
      </c>
      <c r="AF8129" s="388">
        <f t="shared" si="58"/>
        <v>0.12792748608000001</v>
      </c>
      <c r="AG8129" s="388">
        <f>0.8*(0.3048)</f>
        <v>0.24384000000000003</v>
      </c>
      <c r="AH8129" s="391"/>
      <c r="AI8129" s="397"/>
      <c r="AJ8129" s="397"/>
      <c r="AK8129" s="392"/>
      <c r="AL8129" s="392"/>
      <c r="AM8129" s="392"/>
      <c r="AN8129" s="392"/>
      <c r="AO8129" s="392"/>
      <c r="AP8129" s="392"/>
      <c r="AQ8129" s="392"/>
      <c r="AR8129" s="392"/>
      <c r="AS8129" s="392"/>
      <c r="AT8129" s="392"/>
      <c r="AU8129" s="397"/>
      <c r="AV8129" s="397"/>
      <c r="AW8129" s="397"/>
      <c r="AX8129" s="397"/>
      <c r="AY8129" s="392"/>
      <c r="AZ8129" s="392"/>
      <c r="BA8129" s="392"/>
      <c r="BB8129" s="392"/>
      <c r="BC8129" s="392"/>
      <c r="BD8129" s="392"/>
      <c r="BE8129" s="392"/>
      <c r="BF8129" s="392"/>
      <c r="BG8129" s="392"/>
      <c r="BH8129" s="392"/>
      <c r="BI8129" s="397"/>
      <c r="BJ8129" s="397"/>
      <c r="BK8129" s="397"/>
      <c r="BL8129" s="397"/>
      <c r="BM8129" s="397"/>
      <c r="BN8129" s="397"/>
      <c r="BO8129" s="397"/>
      <c r="BP8129" s="397"/>
      <c r="BQ8129" s="397"/>
      <c r="BR8129" s="397"/>
      <c r="BS8129" s="397"/>
      <c r="BT8129" s="397"/>
      <c r="BU8129" s="397"/>
      <c r="BV8129" s="397"/>
      <c r="BW8129" s="397"/>
      <c r="BX8129" s="397"/>
      <c r="BY8129" s="397"/>
      <c r="BZ8129" s="397"/>
      <c r="CA8129" s="392"/>
      <c r="CB8129" s="392"/>
    </row>
    <row r="8130" spans="1:80" ht="15" x14ac:dyDescent="0.25">
      <c r="A8130" s="385"/>
      <c r="B8130" s="392"/>
      <c r="C8130" s="392"/>
      <c r="D8130" s="700"/>
      <c r="E8130" s="397"/>
      <c r="F8130" s="392"/>
      <c r="G8130" s="392"/>
      <c r="H8130" s="401"/>
      <c r="I8130" s="401"/>
      <c r="J8130" s="401"/>
      <c r="K8130" s="401"/>
      <c r="L8130" s="675"/>
      <c r="M8130" s="672">
        <v>28745</v>
      </c>
      <c r="N8130" s="623">
        <f>1.06*(0.3048^3)</f>
        <v>3.0015857387520006E-2</v>
      </c>
      <c r="O8130" s="624">
        <v>0</v>
      </c>
      <c r="P8130" s="413"/>
      <c r="Q8130" s="413"/>
      <c r="R8130" s="413"/>
      <c r="S8130" s="413"/>
      <c r="T8130" s="413"/>
      <c r="U8130" s="413"/>
      <c r="V8130" s="795"/>
      <c r="W8130" s="800"/>
      <c r="X8130" s="796"/>
      <c r="Y8130" s="801"/>
      <c r="Z8130" s="788"/>
      <c r="AA8130" s="388"/>
      <c r="AB8130" s="391"/>
      <c r="AC8130" s="392"/>
      <c r="AD8130" s="388">
        <f>5.3*(0.3048)</f>
        <v>1.61544</v>
      </c>
      <c r="AE8130" s="388">
        <f>0.25*(0.3048)</f>
        <v>7.6200000000000004E-2</v>
      </c>
      <c r="AF8130" s="388">
        <f t="shared" si="58"/>
        <v>0.12309652800000001</v>
      </c>
      <c r="AG8130" s="388">
        <f>0.7*(0.3048)</f>
        <v>0.21335999999999999</v>
      </c>
      <c r="AH8130" s="391"/>
      <c r="AI8130" s="397"/>
      <c r="AJ8130" s="397"/>
      <c r="AK8130" s="392"/>
      <c r="AL8130" s="392"/>
      <c r="AM8130" s="392"/>
      <c r="AN8130" s="392"/>
      <c r="AO8130" s="392"/>
      <c r="AP8130" s="392"/>
      <c r="AQ8130" s="392"/>
      <c r="AR8130" s="392"/>
      <c r="AS8130" s="392"/>
      <c r="AT8130" s="392"/>
      <c r="AU8130" s="397"/>
      <c r="AV8130" s="397"/>
      <c r="AW8130" s="397"/>
      <c r="AX8130" s="397"/>
      <c r="AY8130" s="392"/>
      <c r="AZ8130" s="392"/>
      <c r="BA8130" s="392"/>
      <c r="BB8130" s="392"/>
      <c r="BC8130" s="392"/>
      <c r="BD8130" s="392"/>
      <c r="BE8130" s="392"/>
      <c r="BF8130" s="392"/>
      <c r="BG8130" s="392"/>
      <c r="BH8130" s="392"/>
      <c r="BI8130" s="397"/>
      <c r="BJ8130" s="397"/>
      <c r="BK8130" s="397"/>
      <c r="BL8130" s="397"/>
      <c r="BM8130" s="397"/>
      <c r="BN8130" s="397"/>
      <c r="BO8130" s="397"/>
      <c r="BP8130" s="397"/>
      <c r="BQ8130" s="397"/>
      <c r="BR8130" s="397"/>
      <c r="BS8130" s="397"/>
      <c r="BT8130" s="397"/>
      <c r="BU8130" s="397"/>
      <c r="BV8130" s="397"/>
      <c r="BW8130" s="397"/>
      <c r="BX8130" s="397"/>
      <c r="BY8130" s="397"/>
      <c r="BZ8130" s="397"/>
      <c r="CA8130" s="392"/>
      <c r="CB8130" s="392"/>
    </row>
    <row r="8131" spans="1:80" ht="15" x14ac:dyDescent="0.25">
      <c r="A8131" s="385"/>
      <c r="B8131" s="392"/>
      <c r="C8131" s="392"/>
      <c r="D8131" s="700"/>
      <c r="E8131" s="397"/>
      <c r="F8131" s="392"/>
      <c r="G8131" s="392"/>
      <c r="H8131" s="401"/>
      <c r="I8131" s="401"/>
      <c r="J8131" s="401"/>
      <c r="K8131" s="401"/>
      <c r="L8131" s="675"/>
      <c r="M8131" s="672">
        <v>28998</v>
      </c>
      <c r="N8131" s="623">
        <f>18*(0.3048^3)</f>
        <v>0.50970323865600009</v>
      </c>
      <c r="O8131" s="624">
        <f>0.0999*(0.0105)</f>
        <v>1.0489500000000001E-3</v>
      </c>
      <c r="P8131" s="413"/>
      <c r="Q8131" s="413"/>
      <c r="R8131" s="413">
        <v>0.1</v>
      </c>
      <c r="S8131" s="413">
        <v>0.01</v>
      </c>
      <c r="T8131" s="413">
        <v>0.03</v>
      </c>
      <c r="U8131" s="413">
        <v>0.08</v>
      </c>
      <c r="V8131" s="795">
        <v>0.78</v>
      </c>
      <c r="W8131" s="800"/>
      <c r="X8131" s="796"/>
      <c r="Y8131" s="801"/>
      <c r="Z8131" s="788"/>
      <c r="AA8131" s="388">
        <v>1.1000000000000001</v>
      </c>
      <c r="AB8131" s="391"/>
      <c r="AC8131" s="392"/>
      <c r="AD8131" s="388">
        <f>7.7*(0.3048)</f>
        <v>2.3469600000000002</v>
      </c>
      <c r="AE8131" s="388"/>
      <c r="AF8131" s="388"/>
      <c r="AG8131" s="388"/>
      <c r="AH8131" s="391"/>
      <c r="AI8131" s="397"/>
      <c r="AJ8131" s="397"/>
      <c r="AK8131" s="392"/>
      <c r="AL8131" s="392"/>
      <c r="AM8131" s="392"/>
      <c r="AN8131" s="392"/>
      <c r="AO8131" s="392"/>
      <c r="AP8131" s="392"/>
      <c r="AQ8131" s="392"/>
      <c r="AR8131" s="392"/>
      <c r="AS8131" s="392"/>
      <c r="AT8131" s="392"/>
      <c r="AU8131" s="397"/>
      <c r="AV8131" s="397"/>
      <c r="AW8131" s="397"/>
      <c r="AX8131" s="397"/>
      <c r="AY8131" s="392"/>
      <c r="AZ8131" s="392"/>
      <c r="BA8131" s="392"/>
      <c r="BB8131" s="392"/>
      <c r="BC8131" s="392"/>
      <c r="BD8131" s="392"/>
      <c r="BE8131" s="392"/>
      <c r="BF8131" s="392"/>
      <c r="BG8131" s="392"/>
      <c r="BH8131" s="392"/>
      <c r="BI8131" s="397"/>
      <c r="BJ8131" s="397"/>
      <c r="BK8131" s="397"/>
      <c r="BL8131" s="397"/>
      <c r="BM8131" s="397"/>
      <c r="BN8131" s="397"/>
      <c r="BO8131" s="397"/>
      <c r="BP8131" s="397"/>
      <c r="BQ8131" s="397"/>
      <c r="BR8131" s="397"/>
      <c r="BS8131" s="397"/>
      <c r="BT8131" s="397"/>
      <c r="BU8131" s="397"/>
      <c r="BV8131" s="397"/>
      <c r="BW8131" s="397"/>
      <c r="BX8131" s="397"/>
      <c r="BY8131" s="397"/>
      <c r="BZ8131" s="397"/>
      <c r="CA8131" s="392"/>
      <c r="CB8131" s="392"/>
    </row>
    <row r="8132" spans="1:80" ht="15" x14ac:dyDescent="0.25">
      <c r="A8132" s="385"/>
      <c r="B8132" s="392"/>
      <c r="C8132" s="392"/>
      <c r="D8132" s="700"/>
      <c r="E8132" s="397"/>
      <c r="F8132" s="392"/>
      <c r="G8132" s="392"/>
      <c r="H8132" s="401"/>
      <c r="I8132" s="401"/>
      <c r="J8132" s="401"/>
      <c r="K8132" s="401"/>
      <c r="L8132" s="675"/>
      <c r="M8132" s="672">
        <v>28640</v>
      </c>
      <c r="N8132" s="623">
        <f>26*(0.3048^3)</f>
        <v>0.73623801139200007</v>
      </c>
      <c r="O8132" s="624">
        <f>0.15*(0.0105)</f>
        <v>1.575E-3</v>
      </c>
      <c r="P8132" s="413"/>
      <c r="Q8132" s="413"/>
      <c r="R8132" s="413"/>
      <c r="S8132" s="413">
        <v>2.5000000000000001E-2</v>
      </c>
      <c r="T8132" s="413">
        <v>5.5E-2</v>
      </c>
      <c r="U8132" s="413">
        <v>0.08</v>
      </c>
      <c r="V8132" s="795">
        <v>0.84</v>
      </c>
      <c r="W8132" s="800"/>
      <c r="X8132" s="796"/>
      <c r="Y8132" s="801"/>
      <c r="Z8132" s="788"/>
      <c r="AA8132" s="388">
        <v>0.97499999999999998</v>
      </c>
      <c r="AB8132" s="391"/>
      <c r="AC8132" s="392"/>
      <c r="AD8132" s="388">
        <f>10.5*(0.3048)</f>
        <v>3.2004000000000001</v>
      </c>
      <c r="AE8132" s="388"/>
      <c r="AF8132" s="388"/>
      <c r="AG8132" s="388"/>
      <c r="AH8132" s="391"/>
      <c r="AI8132" s="397"/>
      <c r="AJ8132" s="397"/>
      <c r="AK8132" s="392"/>
      <c r="AL8132" s="392"/>
      <c r="AM8132" s="392"/>
      <c r="AN8132" s="392"/>
      <c r="AO8132" s="392"/>
      <c r="AP8132" s="392"/>
      <c r="AQ8132" s="392"/>
      <c r="AR8132" s="392"/>
      <c r="AS8132" s="392"/>
      <c r="AT8132" s="392"/>
      <c r="AU8132" s="397"/>
      <c r="AV8132" s="397"/>
      <c r="AW8132" s="397"/>
      <c r="AX8132" s="397"/>
      <c r="AY8132" s="392"/>
      <c r="AZ8132" s="392"/>
      <c r="BA8132" s="392"/>
      <c r="BB8132" s="392"/>
      <c r="BC8132" s="392"/>
      <c r="BD8132" s="392"/>
      <c r="BE8132" s="392"/>
      <c r="BF8132" s="392"/>
      <c r="BG8132" s="392"/>
      <c r="BH8132" s="392"/>
      <c r="BI8132" s="397"/>
      <c r="BJ8132" s="397"/>
      <c r="BK8132" s="397"/>
      <c r="BL8132" s="397"/>
      <c r="BM8132" s="397"/>
      <c r="BN8132" s="397"/>
      <c r="BO8132" s="397"/>
      <c r="BP8132" s="397"/>
      <c r="BQ8132" s="397"/>
      <c r="BR8132" s="397"/>
      <c r="BS8132" s="397"/>
      <c r="BT8132" s="397"/>
      <c r="BU8132" s="397"/>
      <c r="BV8132" s="397"/>
      <c r="BW8132" s="397"/>
      <c r="BX8132" s="397"/>
      <c r="BY8132" s="397"/>
      <c r="BZ8132" s="397"/>
      <c r="CA8132" s="392"/>
      <c r="CB8132" s="392"/>
    </row>
    <row r="8133" spans="1:80" ht="15" x14ac:dyDescent="0.25">
      <c r="A8133" s="385"/>
      <c r="B8133" s="392"/>
      <c r="C8133" s="392"/>
      <c r="D8133" s="700"/>
      <c r="E8133" s="397"/>
      <c r="F8133" s="392"/>
      <c r="G8133" s="392"/>
      <c r="H8133" s="401"/>
      <c r="I8133" s="401"/>
      <c r="J8133" s="401"/>
      <c r="K8133" s="401"/>
      <c r="L8133" s="675"/>
      <c r="M8133" s="672">
        <v>28646</v>
      </c>
      <c r="N8133" s="623">
        <f>27.66*(0.3048^3)</f>
        <v>0.78324397673472013</v>
      </c>
      <c r="O8133" s="624">
        <f>0.343*(0.0105)</f>
        <v>3.6015000000000005E-3</v>
      </c>
      <c r="P8133" s="413"/>
      <c r="Q8133" s="413"/>
      <c r="R8133" s="413">
        <v>9.5000000000000001E-2</v>
      </c>
      <c r="S8133" s="413">
        <v>5.5E-2</v>
      </c>
      <c r="T8133" s="413">
        <v>7.4999999999999997E-2</v>
      </c>
      <c r="U8133" s="413">
        <v>7.4999999999999997E-2</v>
      </c>
      <c r="V8133" s="795">
        <v>0.7</v>
      </c>
      <c r="W8133" s="800"/>
      <c r="X8133" s="796"/>
      <c r="Y8133" s="801"/>
      <c r="Z8133" s="788"/>
      <c r="AA8133" s="388">
        <v>1.3</v>
      </c>
      <c r="AB8133" s="391"/>
      <c r="AC8133" s="392"/>
      <c r="AD8133" s="388">
        <f>10.4*(0.3048)</f>
        <v>3.1699200000000003</v>
      </c>
      <c r="AE8133" s="388">
        <f>0.68*(0.3048)</f>
        <v>0.20726400000000003</v>
      </c>
      <c r="AF8133" s="388">
        <f>AE8133*AD8133</f>
        <v>0.65701029888000018</v>
      </c>
      <c r="AG8133" s="388">
        <f>3.1*(0.3048)</f>
        <v>0.94488000000000005</v>
      </c>
      <c r="AH8133" s="391"/>
      <c r="AI8133" s="397"/>
      <c r="AJ8133" s="397"/>
      <c r="AK8133" s="392"/>
      <c r="AL8133" s="392"/>
      <c r="AM8133" s="392"/>
      <c r="AN8133" s="392"/>
      <c r="AO8133" s="392"/>
      <c r="AP8133" s="392"/>
      <c r="AQ8133" s="392"/>
      <c r="AR8133" s="392"/>
      <c r="AS8133" s="392"/>
      <c r="AT8133" s="392"/>
      <c r="AU8133" s="397"/>
      <c r="AV8133" s="397"/>
      <c r="AW8133" s="397"/>
      <c r="AX8133" s="397"/>
      <c r="AY8133" s="392"/>
      <c r="AZ8133" s="392"/>
      <c r="BA8133" s="392"/>
      <c r="BB8133" s="392"/>
      <c r="BC8133" s="392"/>
      <c r="BD8133" s="392"/>
      <c r="BE8133" s="392"/>
      <c r="BF8133" s="392"/>
      <c r="BG8133" s="392"/>
      <c r="BH8133" s="392"/>
      <c r="BI8133" s="397"/>
      <c r="BJ8133" s="397"/>
      <c r="BK8133" s="397"/>
      <c r="BL8133" s="397"/>
      <c r="BM8133" s="397"/>
      <c r="BN8133" s="397"/>
      <c r="BO8133" s="397"/>
      <c r="BP8133" s="397"/>
      <c r="BQ8133" s="397"/>
      <c r="BR8133" s="397"/>
      <c r="BS8133" s="397"/>
      <c r="BT8133" s="397"/>
      <c r="BU8133" s="397"/>
      <c r="BV8133" s="397"/>
      <c r="BW8133" s="397"/>
      <c r="BX8133" s="397"/>
      <c r="BY8133" s="397"/>
      <c r="BZ8133" s="397"/>
      <c r="CA8133" s="392"/>
      <c r="CB8133" s="392"/>
    </row>
    <row r="8134" spans="1:80" ht="15" x14ac:dyDescent="0.25">
      <c r="A8134" s="385"/>
      <c r="B8134" s="392"/>
      <c r="C8134" s="392"/>
      <c r="D8134" s="700"/>
      <c r="E8134" s="397"/>
      <c r="F8134" s="392"/>
      <c r="G8134" s="392"/>
      <c r="H8134" s="401"/>
      <c r="I8134" s="401"/>
      <c r="J8134" s="401"/>
      <c r="K8134" s="401"/>
      <c r="L8134" s="675"/>
      <c r="M8134" s="672">
        <v>28652</v>
      </c>
      <c r="N8134" s="623">
        <f>20.15*(0.3048^3)</f>
        <v>0.57058445882880005</v>
      </c>
      <c r="O8134" s="624">
        <f>0.1094*(0.0105)</f>
        <v>1.1487000000000001E-3</v>
      </c>
      <c r="P8134" s="413"/>
      <c r="Q8134" s="413"/>
      <c r="R8134" s="413"/>
      <c r="S8134" s="413">
        <v>0.01</v>
      </c>
      <c r="T8134" s="413">
        <v>3.5000000000000003E-2</v>
      </c>
      <c r="U8134" s="413">
        <v>8.5000000000000006E-2</v>
      </c>
      <c r="V8134" s="795">
        <v>0.87</v>
      </c>
      <c r="W8134" s="800"/>
      <c r="X8134" s="796"/>
      <c r="Y8134" s="801"/>
      <c r="Z8134" s="788"/>
      <c r="AA8134" s="388">
        <v>0.9</v>
      </c>
      <c r="AB8134" s="391"/>
      <c r="AC8134" s="392"/>
      <c r="AD8134" s="388">
        <f>9.8*(0.3048)</f>
        <v>2.9870400000000004</v>
      </c>
      <c r="AE8134" s="388">
        <f>0.59*(0.3048)</f>
        <v>0.17983199999999999</v>
      </c>
      <c r="AF8134" s="388">
        <f>AE8134*AD8134</f>
        <v>0.53716537728000002</v>
      </c>
      <c r="AG8134" s="388">
        <f>3*(0.3048)</f>
        <v>0.9144000000000001</v>
      </c>
      <c r="AH8134" s="391"/>
      <c r="AI8134" s="397"/>
      <c r="AJ8134" s="397"/>
      <c r="AK8134" s="392"/>
      <c r="AL8134" s="392"/>
      <c r="AM8134" s="392"/>
      <c r="AN8134" s="392"/>
      <c r="AO8134" s="392"/>
      <c r="AP8134" s="392"/>
      <c r="AQ8134" s="392"/>
      <c r="AR8134" s="392"/>
      <c r="AS8134" s="392"/>
      <c r="AT8134" s="392"/>
      <c r="AU8134" s="397"/>
      <c r="AV8134" s="397"/>
      <c r="AW8134" s="397"/>
      <c r="AX8134" s="397"/>
      <c r="AY8134" s="392"/>
      <c r="AZ8134" s="392"/>
      <c r="BA8134" s="392"/>
      <c r="BB8134" s="392"/>
      <c r="BC8134" s="392"/>
      <c r="BD8134" s="392"/>
      <c r="BE8134" s="392"/>
      <c r="BF8134" s="392"/>
      <c r="BG8134" s="392"/>
      <c r="BH8134" s="392"/>
      <c r="BI8134" s="397"/>
      <c r="BJ8134" s="397"/>
      <c r="BK8134" s="397"/>
      <c r="BL8134" s="397"/>
      <c r="BM8134" s="397"/>
      <c r="BN8134" s="397"/>
      <c r="BO8134" s="397"/>
      <c r="BP8134" s="397"/>
      <c r="BQ8134" s="397"/>
      <c r="BR8134" s="397"/>
      <c r="BS8134" s="397"/>
      <c r="BT8134" s="397"/>
      <c r="BU8134" s="397"/>
      <c r="BV8134" s="397"/>
      <c r="BW8134" s="397"/>
      <c r="BX8134" s="397"/>
      <c r="BY8134" s="397"/>
      <c r="BZ8134" s="397"/>
      <c r="CA8134" s="392"/>
      <c r="CB8134" s="392"/>
    </row>
    <row r="8135" spans="1:80" ht="15" x14ac:dyDescent="0.25">
      <c r="A8135" s="385"/>
      <c r="B8135" s="392"/>
      <c r="C8135" s="392"/>
      <c r="D8135" s="700"/>
      <c r="E8135" s="397"/>
      <c r="F8135" s="392"/>
      <c r="G8135" s="392"/>
      <c r="H8135" s="401"/>
      <c r="I8135" s="401"/>
      <c r="J8135" s="401"/>
      <c r="K8135" s="401"/>
      <c r="L8135" s="675"/>
      <c r="M8135" s="672">
        <v>28661</v>
      </c>
      <c r="N8135" s="623">
        <f>16.08*(0.3048^3)</f>
        <v>0.45533489319936005</v>
      </c>
      <c r="O8135" s="624">
        <f>0.0351*(0.0105)</f>
        <v>3.6855000000000004E-4</v>
      </c>
      <c r="P8135" s="413"/>
      <c r="Q8135" s="413"/>
      <c r="R8135" s="413"/>
      <c r="S8135" s="413"/>
      <c r="T8135" s="413"/>
      <c r="U8135" s="413"/>
      <c r="V8135" s="795">
        <v>1</v>
      </c>
      <c r="W8135" s="800"/>
      <c r="X8135" s="796"/>
      <c r="Y8135" s="801"/>
      <c r="Z8135" s="788"/>
      <c r="AA8135" s="388">
        <v>0.81</v>
      </c>
      <c r="AB8135" s="391"/>
      <c r="AC8135" s="392"/>
      <c r="AD8135" s="388">
        <f>9.1*(0.3048)</f>
        <v>2.7736800000000001</v>
      </c>
      <c r="AE8135" s="388">
        <f>0.47*(0.3048)</f>
        <v>0.14325599999999999</v>
      </c>
      <c r="AF8135" s="388">
        <f>AE8135*AD8135</f>
        <v>0.39734630207999999</v>
      </c>
      <c r="AG8135" s="388">
        <f>2.8*(0.3048)</f>
        <v>0.85343999999999998</v>
      </c>
      <c r="AH8135" s="391"/>
      <c r="AI8135" s="397"/>
      <c r="AJ8135" s="397"/>
      <c r="AK8135" s="392"/>
      <c r="AL8135" s="392"/>
      <c r="AM8135" s="392"/>
      <c r="AN8135" s="392"/>
      <c r="AO8135" s="392"/>
      <c r="AP8135" s="392"/>
      <c r="AQ8135" s="392"/>
      <c r="AR8135" s="392"/>
      <c r="AS8135" s="392"/>
      <c r="AT8135" s="392"/>
      <c r="AU8135" s="397"/>
      <c r="AV8135" s="397"/>
      <c r="AW8135" s="397"/>
      <c r="AX8135" s="397"/>
      <c r="AY8135" s="392"/>
      <c r="AZ8135" s="392"/>
      <c r="BA8135" s="392"/>
      <c r="BB8135" s="392"/>
      <c r="BC8135" s="392"/>
      <c r="BD8135" s="392"/>
      <c r="BE8135" s="392"/>
      <c r="BF8135" s="392"/>
      <c r="BG8135" s="392"/>
      <c r="BH8135" s="392"/>
      <c r="BI8135" s="397"/>
      <c r="BJ8135" s="397"/>
      <c r="BK8135" s="397"/>
      <c r="BL8135" s="397"/>
      <c r="BM8135" s="397"/>
      <c r="BN8135" s="397"/>
      <c r="BO8135" s="397"/>
      <c r="BP8135" s="397"/>
      <c r="BQ8135" s="397"/>
      <c r="BR8135" s="397"/>
      <c r="BS8135" s="397"/>
      <c r="BT8135" s="397"/>
      <c r="BU8135" s="397"/>
      <c r="BV8135" s="397"/>
      <c r="BW8135" s="397"/>
      <c r="BX8135" s="397"/>
      <c r="BY8135" s="397"/>
      <c r="BZ8135" s="397"/>
      <c r="CA8135" s="392"/>
      <c r="CB8135" s="392"/>
    </row>
    <row r="8136" spans="1:80" ht="15" x14ac:dyDescent="0.25">
      <c r="A8136" s="385"/>
      <c r="B8136" s="392"/>
      <c r="C8136" s="392"/>
      <c r="D8136" s="700"/>
      <c r="E8136" s="397"/>
      <c r="F8136" s="392"/>
      <c r="G8136" s="392"/>
      <c r="H8136" s="401"/>
      <c r="I8136" s="401"/>
      <c r="J8136" s="401"/>
      <c r="K8136" s="401"/>
      <c r="L8136" s="675"/>
      <c r="M8136" s="672">
        <v>28667</v>
      </c>
      <c r="N8136" s="623">
        <f>11.46*(0.3048^3)</f>
        <v>0.32451106194432006</v>
      </c>
      <c r="O8136" s="624">
        <f>0.1062*(0.0105)</f>
        <v>1.1151000000000002E-3</v>
      </c>
      <c r="P8136" s="413"/>
      <c r="Q8136" s="413"/>
      <c r="R8136" s="413">
        <v>0.01</v>
      </c>
      <c r="S8136" s="413">
        <v>3.5000000000000003E-2</v>
      </c>
      <c r="T8136" s="413">
        <v>0.09</v>
      </c>
      <c r="U8136" s="413">
        <v>0.22500000000000001</v>
      </c>
      <c r="V8136" s="795">
        <v>0.64</v>
      </c>
      <c r="W8136" s="800"/>
      <c r="X8136" s="796"/>
      <c r="Y8136" s="801"/>
      <c r="Z8136" s="788"/>
      <c r="AA8136" s="388">
        <v>1.4</v>
      </c>
      <c r="AB8136" s="391"/>
      <c r="AC8136" s="392"/>
      <c r="AD8136" s="388">
        <f>8.8*(0.3048)</f>
        <v>2.6822400000000002</v>
      </c>
      <c r="AE8136" s="388">
        <f>0.48*(0.3048)</f>
        <v>0.14630399999999999</v>
      </c>
      <c r="AF8136" s="388">
        <f>AE8136*AD8136</f>
        <v>0.39242244096000001</v>
      </c>
      <c r="AG8136" s="388">
        <f>2.3*(0.3048)</f>
        <v>0.70104</v>
      </c>
      <c r="AH8136" s="391"/>
      <c r="AI8136" s="397"/>
      <c r="AJ8136" s="397"/>
      <c r="AK8136" s="392"/>
      <c r="AL8136" s="392"/>
      <c r="AM8136" s="392"/>
      <c r="AN8136" s="392"/>
      <c r="AO8136" s="392"/>
      <c r="AP8136" s="392"/>
      <c r="AQ8136" s="392"/>
      <c r="AR8136" s="392"/>
      <c r="AS8136" s="392"/>
      <c r="AT8136" s="392"/>
      <c r="AU8136" s="397"/>
      <c r="AV8136" s="397"/>
      <c r="AW8136" s="397"/>
      <c r="AX8136" s="397"/>
      <c r="AY8136" s="392"/>
      <c r="AZ8136" s="392"/>
      <c r="BA8136" s="392"/>
      <c r="BB8136" s="392"/>
      <c r="BC8136" s="392"/>
      <c r="BD8136" s="392"/>
      <c r="BE8136" s="392"/>
      <c r="BF8136" s="392"/>
      <c r="BG8136" s="392"/>
      <c r="BH8136" s="392"/>
      <c r="BI8136" s="397"/>
      <c r="BJ8136" s="397"/>
      <c r="BK8136" s="397"/>
      <c r="BL8136" s="397"/>
      <c r="BM8136" s="397"/>
      <c r="BN8136" s="397"/>
      <c r="BO8136" s="397"/>
      <c r="BP8136" s="397"/>
      <c r="BQ8136" s="397"/>
      <c r="BR8136" s="397"/>
      <c r="BS8136" s="397"/>
      <c r="BT8136" s="397"/>
      <c r="BU8136" s="397"/>
      <c r="BV8136" s="397"/>
      <c r="BW8136" s="397"/>
      <c r="BX8136" s="397"/>
      <c r="BY8136" s="397"/>
      <c r="BZ8136" s="397"/>
      <c r="CA8136" s="392"/>
      <c r="CB8136" s="392"/>
    </row>
    <row r="8137" spans="1:80" ht="15" x14ac:dyDescent="0.25">
      <c r="A8137" s="385"/>
      <c r="B8137" s="392"/>
      <c r="C8137" s="392"/>
      <c r="D8137" s="700"/>
      <c r="E8137" s="397"/>
      <c r="F8137" s="392"/>
      <c r="G8137" s="392"/>
      <c r="H8137" s="401"/>
      <c r="I8137" s="401"/>
      <c r="J8137" s="401"/>
      <c r="K8137" s="401"/>
      <c r="L8137" s="675"/>
      <c r="M8137" s="672">
        <v>28676</v>
      </c>
      <c r="N8137" s="623">
        <f>9.9*(0.3048^3)</f>
        <v>0.28033678126080003</v>
      </c>
      <c r="O8137" s="624">
        <f>0.1036*(0.0105)</f>
        <v>1.0878000000000001E-3</v>
      </c>
      <c r="P8137" s="413"/>
      <c r="Q8137" s="413"/>
      <c r="R8137" s="413"/>
      <c r="S8137" s="413">
        <v>0.02</v>
      </c>
      <c r="T8137" s="413">
        <v>6.5000000000000002E-2</v>
      </c>
      <c r="U8137" s="413">
        <v>0.185</v>
      </c>
      <c r="V8137" s="795">
        <v>0.73</v>
      </c>
      <c r="W8137" s="800"/>
      <c r="X8137" s="796"/>
      <c r="Y8137" s="801"/>
      <c r="Z8137" s="788"/>
      <c r="AA8137" s="388">
        <v>1.2</v>
      </c>
      <c r="AB8137" s="391"/>
      <c r="AC8137" s="392"/>
      <c r="AD8137" s="388">
        <f>8*(0.3048)</f>
        <v>2.4384000000000001</v>
      </c>
      <c r="AE8137" s="388"/>
      <c r="AF8137" s="388"/>
      <c r="AG8137" s="388"/>
      <c r="AH8137" s="391"/>
      <c r="AI8137" s="397"/>
      <c r="AJ8137" s="397"/>
      <c r="AK8137" s="392"/>
      <c r="AL8137" s="392"/>
      <c r="AM8137" s="392"/>
      <c r="AN8137" s="392"/>
      <c r="AO8137" s="392"/>
      <c r="AP8137" s="392"/>
      <c r="AQ8137" s="392"/>
      <c r="AR8137" s="392"/>
      <c r="AS8137" s="392"/>
      <c r="AT8137" s="392"/>
      <c r="AU8137" s="397"/>
      <c r="AV8137" s="397"/>
      <c r="AW8137" s="397"/>
      <c r="AX8137" s="397"/>
      <c r="AY8137" s="392"/>
      <c r="AZ8137" s="392"/>
      <c r="BA8137" s="392"/>
      <c r="BB8137" s="392"/>
      <c r="BC8137" s="392"/>
      <c r="BD8137" s="392"/>
      <c r="BE8137" s="392"/>
      <c r="BF8137" s="392"/>
      <c r="BG8137" s="392"/>
      <c r="BH8137" s="392"/>
      <c r="BI8137" s="397"/>
      <c r="BJ8137" s="397"/>
      <c r="BK8137" s="397"/>
      <c r="BL8137" s="397"/>
      <c r="BM8137" s="397"/>
      <c r="BN8137" s="397"/>
      <c r="BO8137" s="397"/>
      <c r="BP8137" s="397"/>
      <c r="BQ8137" s="397"/>
      <c r="BR8137" s="397"/>
      <c r="BS8137" s="397"/>
      <c r="BT8137" s="397"/>
      <c r="BU8137" s="397"/>
      <c r="BV8137" s="397"/>
      <c r="BW8137" s="397"/>
      <c r="BX8137" s="397"/>
      <c r="BY8137" s="397"/>
      <c r="BZ8137" s="397"/>
      <c r="CA8137" s="392"/>
      <c r="CB8137" s="392"/>
    </row>
    <row r="8138" spans="1:80" ht="15" x14ac:dyDescent="0.25">
      <c r="A8138" s="385"/>
      <c r="B8138" s="392"/>
      <c r="C8138" s="392"/>
      <c r="D8138" s="700"/>
      <c r="E8138" s="397"/>
      <c r="F8138" s="392"/>
      <c r="G8138" s="392"/>
      <c r="H8138" s="401"/>
      <c r="I8138" s="401"/>
      <c r="J8138" s="401"/>
      <c r="K8138" s="401"/>
      <c r="L8138" s="675"/>
      <c r="M8138" s="672">
        <v>28681</v>
      </c>
      <c r="N8138" s="623">
        <f>7.3*(0.3048^3)</f>
        <v>0.20671298012160003</v>
      </c>
      <c r="O8138" s="624">
        <f>0.0285*(0.0105)</f>
        <v>2.9925000000000004E-4</v>
      </c>
      <c r="P8138" s="413"/>
      <c r="Q8138" s="413"/>
      <c r="R8138" s="413"/>
      <c r="S8138" s="413"/>
      <c r="T8138" s="413">
        <v>3.5000000000000003E-2</v>
      </c>
      <c r="U8138" s="413">
        <v>0.14499999999999999</v>
      </c>
      <c r="V8138" s="795">
        <v>0.82</v>
      </c>
      <c r="W8138" s="800"/>
      <c r="X8138" s="796"/>
      <c r="Y8138" s="801"/>
      <c r="Z8138" s="788"/>
      <c r="AA8138" s="388">
        <v>0.92500000000000004</v>
      </c>
      <c r="AB8138" s="391"/>
      <c r="AC8138" s="392"/>
      <c r="AD8138" s="388">
        <f>7.3*(0.3048)</f>
        <v>2.2250399999999999</v>
      </c>
      <c r="AE8138" s="388"/>
      <c r="AF8138" s="388"/>
      <c r="AG8138" s="388"/>
      <c r="AH8138" s="391"/>
      <c r="AI8138" s="397"/>
      <c r="AJ8138" s="397"/>
      <c r="AK8138" s="392"/>
      <c r="AL8138" s="392"/>
      <c r="AM8138" s="392"/>
      <c r="AN8138" s="392"/>
      <c r="AO8138" s="392"/>
      <c r="AP8138" s="392"/>
      <c r="AQ8138" s="392"/>
      <c r="AR8138" s="392"/>
      <c r="AS8138" s="392"/>
      <c r="AT8138" s="392"/>
      <c r="AU8138" s="397"/>
      <c r="AV8138" s="397"/>
      <c r="AW8138" s="397"/>
      <c r="AX8138" s="397"/>
      <c r="AY8138" s="392"/>
      <c r="AZ8138" s="392"/>
      <c r="BA8138" s="392"/>
      <c r="BB8138" s="392"/>
      <c r="BC8138" s="392"/>
      <c r="BD8138" s="392"/>
      <c r="BE8138" s="392"/>
      <c r="BF8138" s="392"/>
      <c r="BG8138" s="392"/>
      <c r="BH8138" s="392"/>
      <c r="BI8138" s="397"/>
      <c r="BJ8138" s="397"/>
      <c r="BK8138" s="397"/>
      <c r="BL8138" s="397"/>
      <c r="BM8138" s="397"/>
      <c r="BN8138" s="397"/>
      <c r="BO8138" s="397"/>
      <c r="BP8138" s="397"/>
      <c r="BQ8138" s="397"/>
      <c r="BR8138" s="397"/>
      <c r="BS8138" s="397"/>
      <c r="BT8138" s="397"/>
      <c r="BU8138" s="397"/>
      <c r="BV8138" s="397"/>
      <c r="BW8138" s="397"/>
      <c r="BX8138" s="397"/>
      <c r="BY8138" s="397"/>
      <c r="BZ8138" s="397"/>
      <c r="CA8138" s="392"/>
      <c r="CB8138" s="392"/>
    </row>
    <row r="8139" spans="1:80" ht="15" x14ac:dyDescent="0.25">
      <c r="A8139" s="385"/>
      <c r="B8139" s="392"/>
      <c r="C8139" s="392"/>
      <c r="D8139" s="700"/>
      <c r="E8139" s="397"/>
      <c r="F8139" s="392"/>
      <c r="G8139" s="392"/>
      <c r="H8139" s="401"/>
      <c r="I8139" s="401"/>
      <c r="J8139" s="401"/>
      <c r="K8139" s="401"/>
      <c r="L8139" s="675"/>
      <c r="M8139" s="672">
        <v>28689</v>
      </c>
      <c r="N8139" s="623">
        <f>5.6*(0.3048^3)</f>
        <v>0.15857434091520001</v>
      </c>
      <c r="O8139" s="624">
        <f>0.0127*(0.0105)</f>
        <v>1.3335000000000002E-4</v>
      </c>
      <c r="P8139" s="413"/>
      <c r="Q8139" s="413"/>
      <c r="R8139" s="413"/>
      <c r="S8139" s="413">
        <v>7.0000000000000007E-2</v>
      </c>
      <c r="T8139" s="413">
        <v>0.1</v>
      </c>
      <c r="U8139" s="413">
        <v>0.09</v>
      </c>
      <c r="V8139" s="795">
        <v>0.74</v>
      </c>
      <c r="W8139" s="800"/>
      <c r="X8139" s="796"/>
      <c r="Y8139" s="801"/>
      <c r="Z8139" s="788"/>
      <c r="AA8139" s="388">
        <v>0.85</v>
      </c>
      <c r="AB8139" s="391"/>
      <c r="AC8139" s="392"/>
      <c r="AD8139" s="388">
        <f>7.3*(0.3048)</f>
        <v>2.2250399999999999</v>
      </c>
      <c r="AE8139" s="388"/>
      <c r="AF8139" s="388"/>
      <c r="AG8139" s="388"/>
      <c r="AH8139" s="391"/>
      <c r="AI8139" s="397"/>
      <c r="AJ8139" s="397"/>
      <c r="AK8139" s="392"/>
      <c r="AL8139" s="392"/>
      <c r="AM8139" s="392"/>
      <c r="AN8139" s="392"/>
      <c r="AO8139" s="392"/>
      <c r="AP8139" s="392"/>
      <c r="AQ8139" s="392"/>
      <c r="AR8139" s="392"/>
      <c r="AS8139" s="392"/>
      <c r="AT8139" s="392"/>
      <c r="AU8139" s="397"/>
      <c r="AV8139" s="397"/>
      <c r="AW8139" s="397"/>
      <c r="AX8139" s="397"/>
      <c r="AY8139" s="392"/>
      <c r="AZ8139" s="392"/>
      <c r="BA8139" s="392"/>
      <c r="BB8139" s="392"/>
      <c r="BC8139" s="392"/>
      <c r="BD8139" s="392"/>
      <c r="BE8139" s="392"/>
      <c r="BF8139" s="392"/>
      <c r="BG8139" s="392"/>
      <c r="BH8139" s="392"/>
      <c r="BI8139" s="397"/>
      <c r="BJ8139" s="397"/>
      <c r="BK8139" s="397"/>
      <c r="BL8139" s="397"/>
      <c r="BM8139" s="397"/>
      <c r="BN8139" s="397"/>
      <c r="BO8139" s="397"/>
      <c r="BP8139" s="397"/>
      <c r="BQ8139" s="397"/>
      <c r="BR8139" s="397"/>
      <c r="BS8139" s="397"/>
      <c r="BT8139" s="397"/>
      <c r="BU8139" s="397"/>
      <c r="BV8139" s="397"/>
      <c r="BW8139" s="397"/>
      <c r="BX8139" s="397"/>
      <c r="BY8139" s="397"/>
      <c r="BZ8139" s="397"/>
      <c r="CA8139" s="392"/>
      <c r="CB8139" s="392"/>
    </row>
    <row r="8140" spans="1:80" ht="15" x14ac:dyDescent="0.25">
      <c r="A8140" s="385"/>
      <c r="B8140" s="392"/>
      <c r="C8140" s="392"/>
      <c r="D8140" s="700"/>
      <c r="E8140" s="397"/>
      <c r="F8140" s="392"/>
      <c r="G8140" s="392"/>
      <c r="H8140" s="401"/>
      <c r="I8140" s="401"/>
      <c r="J8140" s="401"/>
      <c r="K8140" s="401"/>
      <c r="L8140" s="675"/>
      <c r="M8140" s="672">
        <v>28701</v>
      </c>
      <c r="N8140" s="623">
        <f>3.4*(0.3048^3)</f>
        <v>9.627727841280001E-2</v>
      </c>
      <c r="O8140" s="624">
        <f>0.0047*(0.0105)</f>
        <v>4.9350000000000007E-5</v>
      </c>
      <c r="P8140" s="413"/>
      <c r="Q8140" s="413"/>
      <c r="R8140" s="413"/>
      <c r="S8140" s="413"/>
      <c r="T8140" s="413">
        <v>0.05</v>
      </c>
      <c r="U8140" s="413">
        <v>0.21</v>
      </c>
      <c r="V8140" s="795">
        <v>0.74</v>
      </c>
      <c r="W8140" s="800"/>
      <c r="X8140" s="796"/>
      <c r="Y8140" s="801"/>
      <c r="Z8140" s="788"/>
      <c r="AA8140" s="388">
        <v>0.84</v>
      </c>
      <c r="AB8140" s="391"/>
      <c r="AC8140" s="392"/>
      <c r="AD8140" s="388">
        <f>6.5*(0.3048)</f>
        <v>1.9812000000000001</v>
      </c>
      <c r="AE8140" s="388"/>
      <c r="AF8140" s="388"/>
      <c r="AG8140" s="388"/>
      <c r="AH8140" s="391"/>
      <c r="AI8140" s="397"/>
      <c r="AJ8140" s="397"/>
      <c r="AK8140" s="392"/>
      <c r="AL8140" s="392"/>
      <c r="AM8140" s="392"/>
      <c r="AN8140" s="392"/>
      <c r="AO8140" s="392"/>
      <c r="AP8140" s="392"/>
      <c r="AQ8140" s="392"/>
      <c r="AR8140" s="392"/>
      <c r="AS8140" s="392"/>
      <c r="AT8140" s="392"/>
      <c r="AU8140" s="397"/>
      <c r="AV8140" s="397"/>
      <c r="AW8140" s="397"/>
      <c r="AX8140" s="397"/>
      <c r="AY8140" s="392"/>
      <c r="AZ8140" s="392"/>
      <c r="BA8140" s="392"/>
      <c r="BB8140" s="392"/>
      <c r="BC8140" s="392"/>
      <c r="BD8140" s="392"/>
      <c r="BE8140" s="392"/>
      <c r="BF8140" s="392"/>
      <c r="BG8140" s="392"/>
      <c r="BH8140" s="392"/>
      <c r="BI8140" s="397"/>
      <c r="BJ8140" s="397"/>
      <c r="BK8140" s="397"/>
      <c r="BL8140" s="397"/>
      <c r="BM8140" s="397"/>
      <c r="BN8140" s="397"/>
      <c r="BO8140" s="397"/>
      <c r="BP8140" s="397"/>
      <c r="BQ8140" s="397"/>
      <c r="BR8140" s="397"/>
      <c r="BS8140" s="397"/>
      <c r="BT8140" s="397"/>
      <c r="BU8140" s="397"/>
      <c r="BV8140" s="397"/>
      <c r="BW8140" s="397"/>
      <c r="BX8140" s="397"/>
      <c r="BY8140" s="397"/>
      <c r="BZ8140" s="397"/>
      <c r="CA8140" s="392"/>
      <c r="CB8140" s="392"/>
    </row>
    <row r="8141" spans="1:80" ht="15" x14ac:dyDescent="0.25">
      <c r="A8141" s="385"/>
      <c r="B8141" s="392"/>
      <c r="C8141" s="392"/>
      <c r="D8141" s="700"/>
      <c r="E8141" s="397"/>
      <c r="F8141" s="392"/>
      <c r="G8141" s="392"/>
      <c r="H8141" s="401"/>
      <c r="I8141" s="401"/>
      <c r="J8141" s="401"/>
      <c r="K8141" s="401"/>
      <c r="L8141" s="675"/>
      <c r="M8141" s="672">
        <v>28722</v>
      </c>
      <c r="N8141" s="623">
        <f>3*(0.3048^3)</f>
        <v>8.4950539776000006E-2</v>
      </c>
      <c r="O8141" s="624">
        <f>0.0062*(0.0105)</f>
        <v>6.5099999999999997E-5</v>
      </c>
      <c r="P8141" s="413"/>
      <c r="Q8141" s="413"/>
      <c r="R8141" s="413"/>
      <c r="S8141" s="413"/>
      <c r="T8141" s="413">
        <v>0.12</v>
      </c>
      <c r="U8141" s="413">
        <v>0.48499999999999999</v>
      </c>
      <c r="V8141" s="795">
        <v>0.39500000000000002</v>
      </c>
      <c r="W8141" s="800"/>
      <c r="X8141" s="796"/>
      <c r="Y8141" s="801"/>
      <c r="Z8141" s="788"/>
      <c r="AA8141" s="388">
        <v>2.2999999999999998</v>
      </c>
      <c r="AB8141" s="391"/>
      <c r="AC8141" s="392"/>
      <c r="AD8141" s="388">
        <f>6.5*(0.3048)</f>
        <v>1.9812000000000001</v>
      </c>
      <c r="AE8141" s="388"/>
      <c r="AF8141" s="388"/>
      <c r="AG8141" s="388"/>
      <c r="AH8141" s="391"/>
      <c r="AI8141" s="397"/>
      <c r="AJ8141" s="397"/>
      <c r="AK8141" s="392"/>
      <c r="AL8141" s="392"/>
      <c r="AM8141" s="392"/>
      <c r="AN8141" s="392"/>
      <c r="AO8141" s="392"/>
      <c r="AP8141" s="392"/>
      <c r="AQ8141" s="392"/>
      <c r="AR8141" s="392"/>
      <c r="AS8141" s="392"/>
      <c r="AT8141" s="392"/>
      <c r="AU8141" s="397"/>
      <c r="AV8141" s="397"/>
      <c r="AW8141" s="397"/>
      <c r="AX8141" s="397"/>
      <c r="AY8141" s="392"/>
      <c r="AZ8141" s="392"/>
      <c r="BA8141" s="392"/>
      <c r="BB8141" s="392"/>
      <c r="BC8141" s="392"/>
      <c r="BD8141" s="392"/>
      <c r="BE8141" s="392"/>
      <c r="BF8141" s="392"/>
      <c r="BG8141" s="392"/>
      <c r="BH8141" s="392"/>
      <c r="BI8141" s="397"/>
      <c r="BJ8141" s="397"/>
      <c r="BK8141" s="397"/>
      <c r="BL8141" s="397"/>
      <c r="BM8141" s="397"/>
      <c r="BN8141" s="397"/>
      <c r="BO8141" s="397"/>
      <c r="BP8141" s="397"/>
      <c r="BQ8141" s="397"/>
      <c r="BR8141" s="397"/>
      <c r="BS8141" s="397"/>
      <c r="BT8141" s="397"/>
      <c r="BU8141" s="397"/>
      <c r="BV8141" s="397"/>
      <c r="BW8141" s="397"/>
      <c r="BX8141" s="397"/>
      <c r="BY8141" s="397"/>
      <c r="BZ8141" s="397"/>
      <c r="CA8141" s="392"/>
      <c r="CB8141" s="392"/>
    </row>
    <row r="8142" spans="1:80" ht="15" x14ac:dyDescent="0.25">
      <c r="A8142" s="385"/>
      <c r="B8142" s="392"/>
      <c r="C8142" s="392"/>
      <c r="D8142" s="700"/>
      <c r="E8142" s="397"/>
      <c r="F8142" s="392"/>
      <c r="G8142" s="392"/>
      <c r="H8142" s="401"/>
      <c r="I8142" s="401"/>
      <c r="J8142" s="401"/>
      <c r="K8142" s="401"/>
      <c r="L8142" s="675"/>
      <c r="M8142" s="672">
        <v>28757</v>
      </c>
      <c r="N8142" s="623">
        <f>1.8*(0.3048^3)</f>
        <v>5.0970323865600006E-2</v>
      </c>
      <c r="O8142" s="624">
        <f>0*(0.0105)</f>
        <v>0</v>
      </c>
      <c r="P8142" s="413"/>
      <c r="Q8142" s="413"/>
      <c r="R8142" s="413"/>
      <c r="S8142" s="413"/>
      <c r="T8142" s="413"/>
      <c r="U8142" s="413"/>
      <c r="V8142" s="795"/>
      <c r="W8142" s="802"/>
      <c r="X8142" s="803"/>
      <c r="Y8142" s="804"/>
      <c r="Z8142" s="788"/>
      <c r="AA8142" s="388"/>
      <c r="AB8142" s="391"/>
      <c r="AC8142" s="392"/>
      <c r="AD8142" s="388"/>
      <c r="AE8142" s="388"/>
      <c r="AF8142" s="388"/>
      <c r="AG8142" s="388"/>
      <c r="AH8142" s="391"/>
      <c r="AI8142" s="397"/>
      <c r="AJ8142" s="397"/>
      <c r="AK8142" s="392"/>
      <c r="AL8142" s="392"/>
      <c r="AM8142" s="392"/>
      <c r="AN8142" s="392"/>
      <c r="AO8142" s="392"/>
      <c r="AP8142" s="392"/>
      <c r="AQ8142" s="392"/>
      <c r="AR8142" s="392"/>
      <c r="AS8142" s="392"/>
      <c r="AT8142" s="392"/>
      <c r="AU8142" s="397"/>
      <c r="AV8142" s="397"/>
      <c r="AW8142" s="397"/>
      <c r="AX8142" s="397"/>
      <c r="AY8142" s="392"/>
      <c r="AZ8142" s="392"/>
      <c r="BA8142" s="392"/>
      <c r="BB8142" s="392"/>
      <c r="BC8142" s="392"/>
      <c r="BD8142" s="392"/>
      <c r="BE8142" s="392"/>
      <c r="BF8142" s="392"/>
      <c r="BG8142" s="392"/>
      <c r="BH8142" s="392"/>
      <c r="BI8142" s="397"/>
      <c r="BJ8142" s="397"/>
      <c r="BK8142" s="397"/>
      <c r="BL8142" s="397"/>
      <c r="BM8142" s="397"/>
      <c r="BN8142" s="397"/>
      <c r="BO8142" s="397"/>
      <c r="BP8142" s="397"/>
      <c r="BQ8142" s="397"/>
      <c r="BR8142" s="397"/>
      <c r="BS8142" s="397"/>
      <c r="BT8142" s="397"/>
      <c r="BU8142" s="397"/>
      <c r="BV8142" s="397"/>
      <c r="BW8142" s="397"/>
      <c r="BX8142" s="397"/>
      <c r="BY8142" s="397"/>
      <c r="BZ8142" s="397"/>
      <c r="CA8142" s="392"/>
      <c r="CB8142" s="392"/>
    </row>
    <row r="8143" spans="1:80" ht="15" x14ac:dyDescent="0.25">
      <c r="A8143" s="412" t="s">
        <v>514</v>
      </c>
      <c r="B8143" s="639"/>
      <c r="C8143" s="639"/>
      <c r="D8143" s="4">
        <f>VLOOKUP(E8143,'Quality Code'!$D$4:$E$24,2,TRUE)*VLOOKUP(MROUND(F8143,10),'Quality Code'!$D$28:$E$69,2,TRUE)*VLOOKUP(COUNTA(CB8143:CB8153),'Quality Code'!$D$73:$E$93,2,TRUE)</f>
        <v>0.375</v>
      </c>
      <c r="E8143" s="14">
        <v>0.5</v>
      </c>
      <c r="F8143" s="2">
        <v>30</v>
      </c>
      <c r="G8143" s="12"/>
      <c r="H8143" s="2" t="s">
        <v>105</v>
      </c>
      <c r="I8143" s="2"/>
      <c r="J8143" s="2"/>
      <c r="K8143" s="2"/>
      <c r="L8143" s="639"/>
      <c r="M8143" s="640">
        <v>1983</v>
      </c>
      <c r="N8143" s="578"/>
      <c r="O8143" s="578"/>
      <c r="P8143" s="141"/>
      <c r="Q8143" s="141"/>
      <c r="R8143" s="141"/>
      <c r="S8143" s="141"/>
      <c r="T8143" s="141"/>
      <c r="U8143" s="141"/>
      <c r="V8143" s="141"/>
      <c r="W8143" s="763"/>
      <c r="X8143" s="763"/>
      <c r="Y8143" s="763"/>
      <c r="Z8143" s="2"/>
      <c r="AA8143" s="2"/>
      <c r="AB8143" s="2"/>
      <c r="AC8143" s="3">
        <v>5.2300000000000003E-3</v>
      </c>
      <c r="AD8143" s="26"/>
      <c r="AE8143" s="26" t="s">
        <v>14</v>
      </c>
      <c r="AF8143" s="26"/>
      <c r="AG8143" s="26"/>
      <c r="AH8143" s="26"/>
      <c r="AI8143" s="26"/>
      <c r="AJ8143" s="26"/>
      <c r="AK8143" s="135">
        <v>0</v>
      </c>
      <c r="AL8143" s="135">
        <v>0</v>
      </c>
      <c r="AM8143" s="135">
        <v>0</v>
      </c>
      <c r="AN8143" s="135">
        <v>0</v>
      </c>
      <c r="AO8143" s="135">
        <v>0</v>
      </c>
      <c r="AP8143" s="135">
        <v>0.22</v>
      </c>
      <c r="AQ8143" s="135">
        <v>0.78</v>
      </c>
      <c r="AR8143" s="135"/>
      <c r="AS8143" s="135"/>
      <c r="AT8143" s="135"/>
      <c r="AU8143" s="18">
        <f>-(BB8144-0.5)*(16-8)/(BB8144-BC8144)+16</f>
        <v>12.144262295081967</v>
      </c>
      <c r="AV8143" s="135">
        <v>0</v>
      </c>
      <c r="AW8143" s="135">
        <v>0</v>
      </c>
      <c r="AX8143" s="135">
        <v>0</v>
      </c>
      <c r="AY8143" s="135">
        <v>0.153</v>
      </c>
      <c r="AZ8143" s="135">
        <v>6.7000000000000004E-2</v>
      </c>
      <c r="BA8143" s="135">
        <v>0.13300000000000001</v>
      </c>
      <c r="BB8143" s="135">
        <v>0.30499999999999999</v>
      </c>
      <c r="BC8143" s="135">
        <v>5.7000000000000002E-2</v>
      </c>
      <c r="BD8143" s="135">
        <v>0</v>
      </c>
      <c r="BE8143" s="135">
        <v>0.28499999999999998</v>
      </c>
      <c r="BF8143" s="135"/>
      <c r="BG8143" s="135"/>
      <c r="BH8143" s="135"/>
      <c r="BI8143" s="12"/>
      <c r="BJ8143" s="12" t="s">
        <v>407</v>
      </c>
      <c r="BK8143" s="12" t="s">
        <v>55</v>
      </c>
      <c r="BL8143" s="2"/>
      <c r="BM8143" s="2">
        <v>3.78</v>
      </c>
      <c r="BN8143" s="2"/>
      <c r="BO8143" s="2">
        <v>0.75</v>
      </c>
      <c r="BP8143" s="2"/>
      <c r="BQ8143" s="2" t="s">
        <v>515</v>
      </c>
      <c r="BR8143" s="2"/>
      <c r="BS8143" s="2"/>
      <c r="BT8143" s="2"/>
      <c r="BU8143" s="9"/>
      <c r="BV8143" s="381"/>
      <c r="BW8143" s="2"/>
      <c r="BX8143" s="2"/>
      <c r="BY8143" s="2"/>
      <c r="BZ8143" s="2"/>
      <c r="CA8143" s="9"/>
      <c r="CB8143" s="381"/>
    </row>
    <row r="8144" spans="1:80" ht="15" x14ac:dyDescent="0.25">
      <c r="A8144" s="385"/>
      <c r="B8144" s="392"/>
      <c r="C8144" s="392"/>
      <c r="D8144" s="700"/>
      <c r="E8144" s="397"/>
      <c r="F8144" s="392"/>
      <c r="G8144" s="392"/>
      <c r="H8144" s="401"/>
      <c r="I8144" s="401"/>
      <c r="J8144" s="401"/>
      <c r="K8144" s="401"/>
      <c r="L8144" s="675"/>
      <c r="M8144" s="672">
        <v>30427</v>
      </c>
      <c r="N8144" s="623">
        <v>0.32</v>
      </c>
      <c r="O8144" s="805">
        <v>4.3399999999999998E-4</v>
      </c>
      <c r="P8144" s="797"/>
      <c r="Q8144" s="798"/>
      <c r="R8144" s="798"/>
      <c r="S8144" s="798"/>
      <c r="T8144" s="798"/>
      <c r="U8144" s="798"/>
      <c r="V8144" s="798"/>
      <c r="W8144" s="798"/>
      <c r="X8144" s="798"/>
      <c r="Y8144" s="799"/>
      <c r="Z8144" s="788"/>
      <c r="AA8144" s="388"/>
      <c r="AB8144" s="391"/>
      <c r="AC8144" s="392"/>
      <c r="AD8144" s="388"/>
      <c r="AE8144" s="388"/>
      <c r="AF8144" s="388"/>
      <c r="AG8144" s="388"/>
      <c r="AH8144" s="391"/>
      <c r="AI8144" s="397"/>
      <c r="AJ8144" s="397"/>
      <c r="AK8144" s="135">
        <v>1</v>
      </c>
      <c r="AL8144" s="135">
        <v>1</v>
      </c>
      <c r="AM8144" s="135">
        <v>1</v>
      </c>
      <c r="AN8144" s="135">
        <v>1</v>
      </c>
      <c r="AO8144" s="135">
        <v>1</v>
      </c>
      <c r="AP8144" s="135">
        <f>AQ8144+AP8143</f>
        <v>1</v>
      </c>
      <c r="AQ8144" s="414">
        <f>AQ8143</f>
        <v>0.78</v>
      </c>
      <c r="AR8144" s="553"/>
      <c r="AS8144" s="553"/>
      <c r="AT8144" s="553"/>
      <c r="AU8144" s="415"/>
      <c r="AV8144" s="135">
        <v>1</v>
      </c>
      <c r="AW8144" s="135">
        <v>1</v>
      </c>
      <c r="AX8144" s="135">
        <v>1</v>
      </c>
      <c r="AY8144" s="416">
        <f t="shared" ref="AY8144:BD8144" si="59">AZ8144+AY8143</f>
        <v>1</v>
      </c>
      <c r="AZ8144" s="135">
        <f t="shared" si="59"/>
        <v>0.84699999999999998</v>
      </c>
      <c r="BA8144" s="135">
        <f t="shared" si="59"/>
        <v>0.78</v>
      </c>
      <c r="BB8144" s="135">
        <f t="shared" si="59"/>
        <v>0.64700000000000002</v>
      </c>
      <c r="BC8144" s="135">
        <f t="shared" si="59"/>
        <v>0.34199999999999997</v>
      </c>
      <c r="BD8144" s="135">
        <f t="shared" si="59"/>
        <v>0.28499999999999998</v>
      </c>
      <c r="BE8144" s="414">
        <f>BE8143</f>
        <v>0.28499999999999998</v>
      </c>
      <c r="BF8144" s="553">
        <v>0.247</v>
      </c>
      <c r="BG8144" s="553">
        <v>0.247</v>
      </c>
      <c r="BH8144" s="553">
        <v>0.20899999999999999</v>
      </c>
      <c r="BI8144" s="417"/>
      <c r="BJ8144" s="397"/>
      <c r="BK8144" s="397"/>
      <c r="BL8144" s="397"/>
      <c r="BM8144" s="397"/>
      <c r="BN8144" s="397"/>
      <c r="BO8144" s="397"/>
      <c r="BP8144" s="397"/>
      <c r="BQ8144" s="397"/>
      <c r="BR8144" s="397"/>
      <c r="BS8144" s="397"/>
      <c r="BT8144" s="397"/>
      <c r="BU8144" s="397"/>
      <c r="BV8144" s="397"/>
      <c r="BW8144" s="397"/>
      <c r="BX8144" s="397"/>
      <c r="BY8144" s="397"/>
      <c r="BZ8144" s="397"/>
      <c r="CA8144" s="392"/>
      <c r="CB8144" s="392"/>
    </row>
    <row r="8145" spans="1:80" ht="15" x14ac:dyDescent="0.25">
      <c r="A8145" s="385"/>
      <c r="B8145" s="392"/>
      <c r="C8145" s="392"/>
      <c r="D8145" s="700"/>
      <c r="E8145" s="397"/>
      <c r="F8145" s="392"/>
      <c r="G8145" s="392"/>
      <c r="H8145" s="401"/>
      <c r="I8145" s="401"/>
      <c r="J8145" s="401"/>
      <c r="K8145" s="401"/>
      <c r="L8145" s="675"/>
      <c r="M8145" s="672">
        <v>30433</v>
      </c>
      <c r="N8145" s="623">
        <v>0.55000000000000004</v>
      </c>
      <c r="O8145" s="805">
        <v>1.2999999999999999E-3</v>
      </c>
      <c r="P8145" s="800"/>
      <c r="Q8145" s="796"/>
      <c r="R8145" s="796"/>
      <c r="S8145" s="796"/>
      <c r="T8145" s="796"/>
      <c r="U8145" s="796"/>
      <c r="V8145" s="796"/>
      <c r="W8145" s="796"/>
      <c r="X8145" s="796"/>
      <c r="Y8145" s="801"/>
      <c r="Z8145" s="788"/>
      <c r="AA8145" s="388"/>
      <c r="AB8145" s="391"/>
      <c r="AC8145" s="392"/>
      <c r="AD8145" s="388"/>
      <c r="AE8145" s="388"/>
      <c r="AF8145" s="388"/>
      <c r="AG8145" s="388"/>
      <c r="AH8145" s="391"/>
      <c r="AI8145" s="397"/>
      <c r="AJ8145" s="397"/>
      <c r="AK8145" s="392"/>
      <c r="AL8145" s="392"/>
      <c r="AM8145" s="392"/>
      <c r="AN8145" s="392"/>
      <c r="AO8145" s="392"/>
      <c r="AP8145" s="392"/>
      <c r="AQ8145" s="392"/>
      <c r="AR8145" s="392"/>
      <c r="AS8145" s="392"/>
      <c r="AT8145" s="392"/>
      <c r="AU8145" s="397"/>
      <c r="AV8145" s="397"/>
      <c r="AW8145" s="397"/>
      <c r="AX8145" s="397"/>
      <c r="AY8145" s="392"/>
      <c r="AZ8145" s="392"/>
      <c r="BA8145" s="392"/>
      <c r="BB8145" s="392"/>
      <c r="BC8145" s="392"/>
      <c r="BD8145" s="392"/>
      <c r="BE8145" s="392"/>
      <c r="BF8145" s="392"/>
      <c r="BG8145" s="392"/>
      <c r="BH8145" s="392"/>
      <c r="BI8145" s="397"/>
      <c r="BJ8145" s="397"/>
      <c r="BK8145" s="397"/>
      <c r="BL8145" s="397"/>
      <c r="BM8145" s="397"/>
      <c r="BN8145" s="397"/>
      <c r="BO8145" s="397"/>
      <c r="BP8145" s="397"/>
      <c r="BQ8145" s="397"/>
      <c r="BR8145" s="397"/>
      <c r="BS8145" s="397"/>
      <c r="BT8145" s="397"/>
      <c r="BU8145" s="397"/>
      <c r="BV8145" s="397"/>
      <c r="BW8145" s="397"/>
      <c r="BX8145" s="397"/>
      <c r="BY8145" s="397"/>
      <c r="BZ8145" s="397"/>
      <c r="CA8145" s="392"/>
      <c r="CB8145" s="392"/>
    </row>
    <row r="8146" spans="1:80" ht="15" x14ac:dyDescent="0.25">
      <c r="A8146" s="385"/>
      <c r="B8146" s="392"/>
      <c r="C8146" s="392"/>
      <c r="D8146" s="700"/>
      <c r="E8146" s="397"/>
      <c r="F8146" s="392"/>
      <c r="G8146" s="392"/>
      <c r="H8146" s="401"/>
      <c r="I8146" s="401"/>
      <c r="J8146" s="401"/>
      <c r="K8146" s="401"/>
      <c r="L8146" s="675"/>
      <c r="M8146" s="672">
        <v>30435</v>
      </c>
      <c r="N8146" s="623">
        <v>0.28999999999999998</v>
      </c>
      <c r="O8146" s="805">
        <v>4.2700000000000002E-4</v>
      </c>
      <c r="P8146" s="800"/>
      <c r="Q8146" s="796"/>
      <c r="R8146" s="796"/>
      <c r="S8146" s="796"/>
      <c r="T8146" s="796"/>
      <c r="U8146" s="796"/>
      <c r="V8146" s="796"/>
      <c r="W8146" s="796"/>
      <c r="X8146" s="796"/>
      <c r="Y8146" s="801"/>
      <c r="Z8146" s="788"/>
      <c r="AA8146" s="388"/>
      <c r="AB8146" s="391"/>
      <c r="AC8146" s="392"/>
      <c r="AD8146" s="388"/>
      <c r="AE8146" s="388"/>
      <c r="AF8146" s="388"/>
      <c r="AG8146" s="388"/>
      <c r="AH8146" s="391"/>
      <c r="AI8146" s="397"/>
      <c r="AJ8146" s="397"/>
      <c r="AK8146" s="392"/>
      <c r="AL8146" s="392"/>
      <c r="AM8146" s="392"/>
      <c r="AN8146" s="392"/>
      <c r="AO8146" s="392"/>
      <c r="AP8146" s="392"/>
      <c r="AQ8146" s="392"/>
      <c r="AR8146" s="392"/>
      <c r="AS8146" s="392"/>
      <c r="AT8146" s="392"/>
      <c r="AU8146" s="397"/>
      <c r="AV8146" s="397"/>
      <c r="AW8146" s="397"/>
      <c r="AX8146" s="397"/>
      <c r="AY8146" s="392"/>
      <c r="AZ8146" s="392"/>
      <c r="BA8146" s="392"/>
      <c r="BB8146" s="392"/>
      <c r="BC8146" s="392"/>
      <c r="BD8146" s="392"/>
      <c r="BE8146" s="392"/>
      <c r="BF8146" s="392"/>
      <c r="BG8146" s="392"/>
      <c r="BH8146" s="392"/>
      <c r="BI8146" s="397"/>
      <c r="BJ8146" s="397"/>
      <c r="BK8146" s="397"/>
      <c r="BL8146" s="397"/>
      <c r="BM8146" s="397"/>
      <c r="BN8146" s="397"/>
      <c r="BO8146" s="397"/>
      <c r="BP8146" s="397"/>
      <c r="BQ8146" s="397"/>
      <c r="BR8146" s="397"/>
      <c r="BS8146" s="397"/>
      <c r="BT8146" s="397"/>
      <c r="BU8146" s="397"/>
      <c r="BV8146" s="397"/>
      <c r="BW8146" s="397"/>
      <c r="BX8146" s="397"/>
      <c r="BY8146" s="397"/>
      <c r="BZ8146" s="397"/>
      <c r="CA8146" s="392"/>
      <c r="CB8146" s="392"/>
    </row>
    <row r="8147" spans="1:80" ht="15" x14ac:dyDescent="0.25">
      <c r="A8147" s="385"/>
      <c r="B8147" s="392"/>
      <c r="C8147" s="392"/>
      <c r="D8147" s="700"/>
      <c r="E8147" s="397"/>
      <c r="F8147" s="392"/>
      <c r="G8147" s="392"/>
      <c r="H8147" s="401"/>
      <c r="I8147" s="401"/>
      <c r="J8147" s="401"/>
      <c r="K8147" s="401"/>
      <c r="L8147" s="675"/>
      <c r="M8147" s="672">
        <v>30439</v>
      </c>
      <c r="N8147" s="623">
        <v>0.28000000000000003</v>
      </c>
      <c r="O8147" s="805">
        <v>2.7E-4</v>
      </c>
      <c r="P8147" s="800"/>
      <c r="Q8147" s="796"/>
      <c r="R8147" s="796"/>
      <c r="S8147" s="796"/>
      <c r="T8147" s="796"/>
      <c r="U8147" s="796"/>
      <c r="V8147" s="796"/>
      <c r="W8147" s="796"/>
      <c r="X8147" s="796"/>
      <c r="Y8147" s="801"/>
      <c r="Z8147" s="788"/>
      <c r="AA8147" s="388"/>
      <c r="AB8147" s="391"/>
      <c r="AC8147" s="392"/>
      <c r="AD8147" s="388"/>
      <c r="AE8147" s="388"/>
      <c r="AF8147" s="388"/>
      <c r="AG8147" s="388"/>
      <c r="AH8147" s="391"/>
      <c r="AI8147" s="397"/>
      <c r="AJ8147" s="397"/>
      <c r="AK8147" s="392"/>
      <c r="AL8147" s="392"/>
      <c r="AM8147" s="392"/>
      <c r="AN8147" s="392"/>
      <c r="AO8147" s="392"/>
      <c r="AP8147" s="392"/>
      <c r="AQ8147" s="392"/>
      <c r="AR8147" s="392"/>
      <c r="AS8147" s="392"/>
      <c r="AT8147" s="392"/>
      <c r="AU8147" s="397"/>
      <c r="AV8147" s="397"/>
      <c r="AW8147" s="397"/>
      <c r="AX8147" s="397"/>
      <c r="AY8147" s="392"/>
      <c r="AZ8147" s="392"/>
      <c r="BA8147" s="392"/>
      <c r="BB8147" s="392"/>
      <c r="BC8147" s="392"/>
      <c r="BD8147" s="392"/>
      <c r="BE8147" s="392"/>
      <c r="BF8147" s="392"/>
      <c r="BG8147" s="392"/>
      <c r="BH8147" s="392"/>
      <c r="BI8147" s="397"/>
      <c r="BJ8147" s="397"/>
      <c r="BK8147" s="397"/>
      <c r="BL8147" s="397"/>
      <c r="BM8147" s="397"/>
      <c r="BN8147" s="397"/>
      <c r="BO8147" s="397"/>
      <c r="BP8147" s="397"/>
      <c r="BQ8147" s="397"/>
      <c r="BR8147" s="397"/>
      <c r="BS8147" s="397"/>
      <c r="BT8147" s="397"/>
      <c r="BU8147" s="397"/>
      <c r="BV8147" s="397"/>
      <c r="BW8147" s="397"/>
      <c r="BX8147" s="397"/>
      <c r="BY8147" s="397"/>
      <c r="BZ8147" s="397"/>
      <c r="CA8147" s="392"/>
      <c r="CB8147" s="392"/>
    </row>
    <row r="8148" spans="1:80" ht="15" x14ac:dyDescent="0.25">
      <c r="A8148" s="385"/>
      <c r="B8148" s="392"/>
      <c r="C8148" s="392"/>
      <c r="D8148" s="700"/>
      <c r="E8148" s="397"/>
      <c r="F8148" s="392"/>
      <c r="G8148" s="392"/>
      <c r="H8148" s="401"/>
      <c r="I8148" s="401"/>
      <c r="J8148" s="401"/>
      <c r="K8148" s="401"/>
      <c r="L8148" s="675"/>
      <c r="M8148" s="672">
        <v>30441</v>
      </c>
      <c r="N8148" s="623">
        <v>0.39</v>
      </c>
      <c r="O8148" s="805">
        <v>1.2999999999999999E-5</v>
      </c>
      <c r="P8148" s="800"/>
      <c r="Q8148" s="796"/>
      <c r="R8148" s="796"/>
      <c r="S8148" s="796"/>
      <c r="T8148" s="796"/>
      <c r="U8148" s="796"/>
      <c r="V8148" s="796"/>
      <c r="W8148" s="796"/>
      <c r="X8148" s="796"/>
      <c r="Y8148" s="801"/>
      <c r="Z8148" s="788"/>
      <c r="AA8148" s="388"/>
      <c r="AB8148" s="391"/>
      <c r="AC8148" s="392"/>
      <c r="AD8148" s="388"/>
      <c r="AE8148" s="388"/>
      <c r="AF8148" s="388"/>
      <c r="AG8148" s="388"/>
      <c r="AH8148" s="391"/>
      <c r="AI8148" s="397"/>
      <c r="AJ8148" s="397"/>
      <c r="AK8148" s="392"/>
      <c r="AL8148" s="392"/>
      <c r="AM8148" s="392"/>
      <c r="AN8148" s="392"/>
      <c r="AO8148" s="392"/>
      <c r="AP8148" s="392"/>
      <c r="AQ8148" s="392"/>
      <c r="AR8148" s="392"/>
      <c r="AS8148" s="392"/>
      <c r="AT8148" s="392"/>
      <c r="AU8148" s="397"/>
      <c r="AV8148" s="397"/>
      <c r="AW8148" s="397"/>
      <c r="AX8148" s="397"/>
      <c r="AY8148" s="392"/>
      <c r="AZ8148" s="392"/>
      <c r="BA8148" s="392"/>
      <c r="BB8148" s="392"/>
      <c r="BC8148" s="392"/>
      <c r="BD8148" s="392"/>
      <c r="BE8148" s="392"/>
      <c r="BF8148" s="392"/>
      <c r="BG8148" s="392"/>
      <c r="BH8148" s="392"/>
      <c r="BI8148" s="397"/>
      <c r="BJ8148" s="397"/>
      <c r="BK8148" s="397"/>
      <c r="BL8148" s="397"/>
      <c r="BM8148" s="397"/>
      <c r="BN8148" s="397"/>
      <c r="BO8148" s="397"/>
      <c r="BP8148" s="397"/>
      <c r="BQ8148" s="397"/>
      <c r="BR8148" s="397"/>
      <c r="BS8148" s="397"/>
      <c r="BT8148" s="397"/>
      <c r="BU8148" s="397"/>
      <c r="BV8148" s="397"/>
      <c r="BW8148" s="397"/>
      <c r="BX8148" s="397"/>
      <c r="BY8148" s="397"/>
      <c r="BZ8148" s="397"/>
      <c r="CA8148" s="392"/>
      <c r="CB8148" s="392"/>
    </row>
    <row r="8149" spans="1:80" ht="15" x14ac:dyDescent="0.25">
      <c r="A8149" s="385"/>
      <c r="B8149" s="392"/>
      <c r="C8149" s="392"/>
      <c r="D8149" s="700"/>
      <c r="E8149" s="397"/>
      <c r="F8149" s="392"/>
      <c r="G8149" s="392"/>
      <c r="H8149" s="401"/>
      <c r="I8149" s="401"/>
      <c r="J8149" s="401"/>
      <c r="K8149" s="401"/>
      <c r="L8149" s="675"/>
      <c r="M8149" s="672">
        <v>30446</v>
      </c>
      <c r="N8149" s="623">
        <v>0.34003967129498441</v>
      </c>
      <c r="O8149" s="805">
        <v>1.5E-5</v>
      </c>
      <c r="P8149" s="800"/>
      <c r="Q8149" s="796"/>
      <c r="R8149" s="796"/>
      <c r="S8149" s="796"/>
      <c r="T8149" s="796"/>
      <c r="U8149" s="796"/>
      <c r="V8149" s="796"/>
      <c r="W8149" s="796"/>
      <c r="X8149" s="796"/>
      <c r="Y8149" s="801"/>
      <c r="Z8149" s="788"/>
      <c r="AA8149" s="388"/>
      <c r="AB8149" s="391"/>
      <c r="AC8149" s="392"/>
      <c r="AD8149" s="388"/>
      <c r="AE8149" s="388"/>
      <c r="AF8149" s="388"/>
      <c r="AG8149" s="388"/>
      <c r="AH8149" s="391"/>
      <c r="AI8149" s="397"/>
      <c r="AJ8149" s="397"/>
      <c r="AK8149" s="392"/>
      <c r="AL8149" s="392"/>
      <c r="AM8149" s="392"/>
      <c r="AN8149" s="392"/>
      <c r="AO8149" s="392"/>
      <c r="AP8149" s="392"/>
      <c r="AQ8149" s="392"/>
      <c r="AR8149" s="392"/>
      <c r="AS8149" s="392"/>
      <c r="AT8149" s="392"/>
      <c r="AU8149" s="397"/>
      <c r="AV8149" s="397"/>
      <c r="AW8149" s="397"/>
      <c r="AX8149" s="397"/>
      <c r="AY8149" s="392"/>
      <c r="AZ8149" s="392"/>
      <c r="BA8149" s="392"/>
      <c r="BB8149" s="392"/>
      <c r="BC8149" s="392"/>
      <c r="BD8149" s="392"/>
      <c r="BE8149" s="392"/>
      <c r="BF8149" s="392"/>
      <c r="BG8149" s="392"/>
      <c r="BH8149" s="392"/>
      <c r="BI8149" s="397"/>
      <c r="BJ8149" s="397"/>
      <c r="BK8149" s="397"/>
      <c r="BL8149" s="397"/>
      <c r="BM8149" s="397"/>
      <c r="BN8149" s="397"/>
      <c r="BO8149" s="397"/>
      <c r="BP8149" s="397"/>
      <c r="BQ8149" s="397"/>
      <c r="BR8149" s="397"/>
      <c r="BS8149" s="397"/>
      <c r="BT8149" s="397"/>
      <c r="BU8149" s="397"/>
      <c r="BV8149" s="397"/>
      <c r="BW8149" s="397"/>
      <c r="BX8149" s="397"/>
      <c r="BY8149" s="397"/>
      <c r="BZ8149" s="397"/>
      <c r="CA8149" s="392"/>
      <c r="CB8149" s="392"/>
    </row>
    <row r="8150" spans="1:80" ht="15" x14ac:dyDescent="0.25">
      <c r="A8150" s="385"/>
      <c r="B8150" s="392"/>
      <c r="C8150" s="392"/>
      <c r="D8150" s="700"/>
      <c r="E8150" s="397"/>
      <c r="F8150" s="392"/>
      <c r="G8150" s="392"/>
      <c r="H8150" s="401"/>
      <c r="I8150" s="401"/>
      <c r="J8150" s="401"/>
      <c r="K8150" s="401"/>
      <c r="L8150" s="675"/>
      <c r="M8150" s="672">
        <v>30448</v>
      </c>
      <c r="N8150" s="623">
        <v>0.39</v>
      </c>
      <c r="O8150" s="805">
        <v>4.6E-5</v>
      </c>
      <c r="P8150" s="800"/>
      <c r="Q8150" s="796"/>
      <c r="R8150" s="796"/>
      <c r="S8150" s="796"/>
      <c r="T8150" s="796"/>
      <c r="U8150" s="796"/>
      <c r="V8150" s="796"/>
      <c r="W8150" s="796"/>
      <c r="X8150" s="796"/>
      <c r="Y8150" s="801"/>
      <c r="Z8150" s="788"/>
      <c r="AA8150" s="388"/>
      <c r="AB8150" s="391"/>
      <c r="AC8150" s="392"/>
      <c r="AD8150" s="388"/>
      <c r="AE8150" s="388"/>
      <c r="AF8150" s="388"/>
      <c r="AG8150" s="388"/>
      <c r="AH8150" s="391"/>
      <c r="AI8150" s="397"/>
      <c r="AJ8150" s="397"/>
      <c r="AK8150" s="392"/>
      <c r="AL8150" s="392"/>
      <c r="AM8150" s="392"/>
      <c r="AN8150" s="392"/>
      <c r="AO8150" s="392"/>
      <c r="AP8150" s="392"/>
      <c r="AQ8150" s="392"/>
      <c r="AR8150" s="392"/>
      <c r="AS8150" s="392"/>
      <c r="AT8150" s="392"/>
      <c r="AU8150" s="397"/>
      <c r="AV8150" s="397"/>
      <c r="AW8150" s="397"/>
      <c r="AX8150" s="397"/>
      <c r="AY8150" s="392"/>
      <c r="AZ8150" s="392"/>
      <c r="BA8150" s="392"/>
      <c r="BB8150" s="392"/>
      <c r="BC8150" s="392"/>
      <c r="BD8150" s="392"/>
      <c r="BE8150" s="392"/>
      <c r="BF8150" s="392"/>
      <c r="BG8150" s="392"/>
      <c r="BH8150" s="392"/>
      <c r="BI8150" s="397"/>
      <c r="BJ8150" s="397"/>
      <c r="BK8150" s="397"/>
      <c r="BL8150" s="397"/>
      <c r="BM8150" s="397"/>
      <c r="BN8150" s="397"/>
      <c r="BO8150" s="397"/>
      <c r="BP8150" s="397"/>
      <c r="BQ8150" s="397"/>
      <c r="BR8150" s="397"/>
      <c r="BS8150" s="397"/>
      <c r="BT8150" s="397"/>
      <c r="BU8150" s="397"/>
      <c r="BV8150" s="397"/>
      <c r="BW8150" s="397"/>
      <c r="BX8150" s="397"/>
      <c r="BY8150" s="397"/>
      <c r="BZ8150" s="397"/>
      <c r="CA8150" s="392"/>
      <c r="CB8150" s="392"/>
    </row>
    <row r="8151" spans="1:80" ht="15" x14ac:dyDescent="0.25">
      <c r="A8151" s="385"/>
      <c r="B8151" s="392"/>
      <c r="C8151" s="392"/>
      <c r="D8151" s="700"/>
      <c r="E8151" s="397"/>
      <c r="F8151" s="392"/>
      <c r="G8151" s="392"/>
      <c r="H8151" s="401"/>
      <c r="I8151" s="401"/>
      <c r="J8151" s="401"/>
      <c r="K8151" s="401"/>
      <c r="L8151" s="675"/>
      <c r="M8151" s="672">
        <v>30453</v>
      </c>
      <c r="N8151" s="623">
        <v>0.38</v>
      </c>
      <c r="O8151" s="805">
        <v>1.7E-5</v>
      </c>
      <c r="P8151" s="800"/>
      <c r="Q8151" s="796"/>
      <c r="R8151" s="796"/>
      <c r="S8151" s="796"/>
      <c r="T8151" s="796"/>
      <c r="U8151" s="796"/>
      <c r="V8151" s="796"/>
      <c r="W8151" s="796"/>
      <c r="X8151" s="796"/>
      <c r="Y8151" s="801"/>
      <c r="Z8151" s="788"/>
      <c r="AA8151" s="388"/>
      <c r="AB8151" s="391"/>
      <c r="AC8151" s="392"/>
      <c r="AD8151" s="388"/>
      <c r="AE8151" s="388"/>
      <c r="AF8151" s="388"/>
      <c r="AG8151" s="388"/>
      <c r="AH8151" s="391"/>
      <c r="AI8151" s="397"/>
      <c r="AJ8151" s="397"/>
      <c r="AK8151" s="392"/>
      <c r="AL8151" s="392"/>
      <c r="AM8151" s="392"/>
      <c r="AN8151" s="392"/>
      <c r="AO8151" s="392"/>
      <c r="AP8151" s="392"/>
      <c r="AQ8151" s="392"/>
      <c r="AR8151" s="392"/>
      <c r="AS8151" s="392"/>
      <c r="AT8151" s="392"/>
      <c r="AU8151" s="397"/>
      <c r="AV8151" s="397"/>
      <c r="AW8151" s="397"/>
      <c r="AX8151" s="397"/>
      <c r="AY8151" s="392"/>
      <c r="AZ8151" s="392"/>
      <c r="BA8151" s="392"/>
      <c r="BB8151" s="392"/>
      <c r="BC8151" s="392"/>
      <c r="BD8151" s="392"/>
      <c r="BE8151" s="392"/>
      <c r="BF8151" s="392"/>
      <c r="BG8151" s="392"/>
      <c r="BH8151" s="392"/>
      <c r="BI8151" s="397"/>
      <c r="BJ8151" s="397"/>
      <c r="BK8151" s="397"/>
      <c r="BL8151" s="397"/>
      <c r="BM8151" s="397"/>
      <c r="BN8151" s="397"/>
      <c r="BO8151" s="397"/>
      <c r="BP8151" s="397"/>
      <c r="BQ8151" s="397"/>
      <c r="BR8151" s="397"/>
      <c r="BS8151" s="397"/>
      <c r="BT8151" s="397"/>
      <c r="BU8151" s="397"/>
      <c r="BV8151" s="397"/>
      <c r="BW8151" s="397"/>
      <c r="BX8151" s="397"/>
      <c r="BY8151" s="397"/>
      <c r="BZ8151" s="397"/>
      <c r="CA8151" s="392"/>
      <c r="CB8151" s="392"/>
    </row>
    <row r="8152" spans="1:80" ht="15" x14ac:dyDescent="0.25">
      <c r="A8152" s="385"/>
      <c r="B8152" s="392"/>
      <c r="C8152" s="392"/>
      <c r="D8152" s="700"/>
      <c r="E8152" s="397"/>
      <c r="F8152" s="392"/>
      <c r="G8152" s="392"/>
      <c r="H8152" s="401"/>
      <c r="I8152" s="401"/>
      <c r="J8152" s="401"/>
      <c r="K8152" s="401"/>
      <c r="L8152" s="675"/>
      <c r="M8152" s="672">
        <v>30455</v>
      </c>
      <c r="N8152" s="623">
        <v>0.28000000000000003</v>
      </c>
      <c r="O8152" s="805">
        <v>1.8799999999999999E-4</v>
      </c>
      <c r="P8152" s="800"/>
      <c r="Q8152" s="796"/>
      <c r="R8152" s="796"/>
      <c r="S8152" s="796"/>
      <c r="T8152" s="796"/>
      <c r="U8152" s="796"/>
      <c r="V8152" s="796"/>
      <c r="W8152" s="796"/>
      <c r="X8152" s="796"/>
      <c r="Y8152" s="801"/>
      <c r="Z8152" s="788"/>
      <c r="AA8152" s="388"/>
      <c r="AB8152" s="391"/>
      <c r="AC8152" s="392"/>
      <c r="AD8152" s="388"/>
      <c r="AE8152" s="388"/>
      <c r="AF8152" s="388"/>
      <c r="AG8152" s="388"/>
      <c r="AH8152" s="391"/>
      <c r="AI8152" s="397"/>
      <c r="AJ8152" s="397"/>
      <c r="AK8152" s="392"/>
      <c r="AL8152" s="392"/>
      <c r="AM8152" s="392"/>
      <c r="AN8152" s="392"/>
      <c r="AO8152" s="392"/>
      <c r="AP8152" s="392"/>
      <c r="AQ8152" s="392"/>
      <c r="AR8152" s="392"/>
      <c r="AS8152" s="392"/>
      <c r="AT8152" s="392"/>
      <c r="AU8152" s="397"/>
      <c r="AV8152" s="397"/>
      <c r="AW8152" s="397"/>
      <c r="AX8152" s="397"/>
      <c r="AY8152" s="392"/>
      <c r="AZ8152" s="392"/>
      <c r="BA8152" s="392"/>
      <c r="BB8152" s="392"/>
      <c r="BC8152" s="392"/>
      <c r="BD8152" s="392"/>
      <c r="BE8152" s="392"/>
      <c r="BF8152" s="392"/>
      <c r="BG8152" s="392"/>
      <c r="BH8152" s="392"/>
      <c r="BI8152" s="397"/>
      <c r="BJ8152" s="397"/>
      <c r="BK8152" s="397"/>
      <c r="BL8152" s="397"/>
      <c r="BM8152" s="397"/>
      <c r="BN8152" s="397"/>
      <c r="BO8152" s="397"/>
      <c r="BP8152" s="397"/>
      <c r="BQ8152" s="397"/>
      <c r="BR8152" s="397"/>
      <c r="BS8152" s="397"/>
      <c r="BT8152" s="397"/>
      <c r="BU8152" s="397"/>
      <c r="BV8152" s="397"/>
      <c r="BW8152" s="397"/>
      <c r="BX8152" s="397"/>
      <c r="BY8152" s="397"/>
      <c r="BZ8152" s="397"/>
      <c r="CA8152" s="392"/>
      <c r="CB8152" s="392"/>
    </row>
    <row r="8153" spans="1:80" ht="15" x14ac:dyDescent="0.25">
      <c r="A8153" s="385"/>
      <c r="B8153" s="392"/>
      <c r="C8153" s="392"/>
      <c r="D8153" s="700"/>
      <c r="E8153" s="397"/>
      <c r="F8153" s="392"/>
      <c r="G8153" s="392"/>
      <c r="H8153" s="401"/>
      <c r="I8153" s="401"/>
      <c r="J8153" s="401"/>
      <c r="K8153" s="401"/>
      <c r="L8153" s="675"/>
      <c r="M8153" s="672">
        <v>30459</v>
      </c>
      <c r="N8153" s="623">
        <v>0.22669311419665628</v>
      </c>
      <c r="O8153" s="805">
        <v>2.0999999999999998E-6</v>
      </c>
      <c r="P8153" s="800"/>
      <c r="Q8153" s="796"/>
      <c r="R8153" s="796"/>
      <c r="S8153" s="796"/>
      <c r="T8153" s="796"/>
      <c r="U8153" s="796"/>
      <c r="V8153" s="796"/>
      <c r="W8153" s="796"/>
      <c r="X8153" s="796"/>
      <c r="Y8153" s="801"/>
      <c r="Z8153" s="788"/>
      <c r="AA8153" s="388"/>
      <c r="AB8153" s="391"/>
      <c r="AC8153" s="392"/>
      <c r="AD8153" s="388"/>
      <c r="AE8153" s="388"/>
      <c r="AF8153" s="388"/>
      <c r="AG8153" s="388"/>
      <c r="AH8153" s="391"/>
      <c r="AI8153" s="397"/>
      <c r="AJ8153" s="397"/>
      <c r="AK8153" s="392"/>
      <c r="AL8153" s="392"/>
      <c r="AM8153" s="392"/>
      <c r="AN8153" s="392"/>
      <c r="AO8153" s="392"/>
      <c r="AP8153" s="392"/>
      <c r="AQ8153" s="392"/>
      <c r="AR8153" s="392"/>
      <c r="AS8153" s="392"/>
      <c r="AT8153" s="392"/>
      <c r="AU8153" s="397"/>
      <c r="AV8153" s="397"/>
      <c r="AW8153" s="397"/>
      <c r="AX8153" s="397"/>
      <c r="AY8153" s="392"/>
      <c r="AZ8153" s="392"/>
      <c r="BA8153" s="392"/>
      <c r="BB8153" s="392"/>
      <c r="BC8153" s="392"/>
      <c r="BD8153" s="392"/>
      <c r="BE8153" s="392"/>
      <c r="BF8153" s="392"/>
      <c r="BG8153" s="392"/>
      <c r="BH8153" s="392"/>
      <c r="BI8153" s="397"/>
      <c r="BJ8153" s="397"/>
      <c r="BK8153" s="397"/>
      <c r="BL8153" s="397"/>
      <c r="BM8153" s="397"/>
      <c r="BN8153" s="397"/>
      <c r="BO8153" s="397"/>
      <c r="BP8153" s="397"/>
      <c r="BQ8153" s="397"/>
      <c r="BR8153" s="397"/>
      <c r="BS8153" s="397"/>
      <c r="BT8153" s="397"/>
      <c r="BU8153" s="397"/>
      <c r="BV8153" s="397"/>
      <c r="BW8153" s="397"/>
      <c r="BX8153" s="397"/>
      <c r="BY8153" s="397"/>
      <c r="BZ8153" s="397"/>
      <c r="CA8153" s="392"/>
      <c r="CB8153" s="392"/>
    </row>
    <row r="8154" spans="1:80" ht="15" x14ac:dyDescent="0.25">
      <c r="A8154" s="385"/>
      <c r="B8154" s="392"/>
      <c r="C8154" s="392"/>
      <c r="D8154" s="700"/>
      <c r="E8154" s="397"/>
      <c r="F8154" s="392"/>
      <c r="G8154" s="392"/>
      <c r="H8154" s="401"/>
      <c r="I8154" s="401"/>
      <c r="J8154" s="401"/>
      <c r="K8154" s="401"/>
      <c r="L8154" s="675"/>
      <c r="M8154" s="672">
        <v>30461</v>
      </c>
      <c r="N8154" s="623">
        <v>0.38</v>
      </c>
      <c r="O8154" s="805">
        <v>6.0800000000000003E-4</v>
      </c>
      <c r="P8154" s="800"/>
      <c r="Q8154" s="796"/>
      <c r="R8154" s="796"/>
      <c r="S8154" s="796"/>
      <c r="T8154" s="796"/>
      <c r="U8154" s="796"/>
      <c r="V8154" s="796"/>
      <c r="W8154" s="796"/>
      <c r="X8154" s="796"/>
      <c r="Y8154" s="801"/>
      <c r="Z8154" s="788"/>
      <c r="AA8154" s="388"/>
      <c r="AB8154" s="391"/>
      <c r="AC8154" s="392"/>
      <c r="AD8154" s="388"/>
      <c r="AE8154" s="388"/>
      <c r="AF8154" s="388"/>
      <c r="AG8154" s="388"/>
      <c r="AH8154" s="391"/>
      <c r="AI8154" s="397"/>
      <c r="AJ8154" s="397"/>
      <c r="AK8154" s="392"/>
      <c r="AL8154" s="392"/>
      <c r="AM8154" s="392"/>
      <c r="AN8154" s="392"/>
      <c r="AO8154" s="392"/>
      <c r="AP8154" s="392"/>
      <c r="AQ8154" s="392"/>
      <c r="AR8154" s="392"/>
      <c r="AS8154" s="392"/>
      <c r="AT8154" s="392"/>
      <c r="AU8154" s="397"/>
      <c r="AV8154" s="397"/>
      <c r="AW8154" s="397"/>
      <c r="AX8154" s="397"/>
      <c r="AY8154" s="392"/>
      <c r="AZ8154" s="392"/>
      <c r="BA8154" s="392"/>
      <c r="BB8154" s="392"/>
      <c r="BC8154" s="392"/>
      <c r="BD8154" s="392"/>
      <c r="BE8154" s="392"/>
      <c r="BF8154" s="392"/>
      <c r="BG8154" s="392"/>
      <c r="BH8154" s="392"/>
      <c r="BI8154" s="397"/>
      <c r="BJ8154" s="397"/>
      <c r="BK8154" s="397"/>
      <c r="BL8154" s="397"/>
      <c r="BM8154" s="397"/>
      <c r="BN8154" s="397"/>
      <c r="BO8154" s="397"/>
      <c r="BP8154" s="397"/>
      <c r="BQ8154" s="397"/>
      <c r="BR8154" s="397"/>
      <c r="BS8154" s="397"/>
      <c r="BT8154" s="397"/>
      <c r="BU8154" s="397"/>
      <c r="BV8154" s="397"/>
      <c r="BW8154" s="397"/>
      <c r="BX8154" s="397"/>
      <c r="BY8154" s="397"/>
      <c r="BZ8154" s="397"/>
      <c r="CA8154" s="392"/>
      <c r="CB8154" s="392"/>
    </row>
    <row r="8155" spans="1:80" ht="15" x14ac:dyDescent="0.25">
      <c r="A8155" s="385"/>
      <c r="B8155" s="392"/>
      <c r="C8155" s="392"/>
      <c r="D8155" s="700"/>
      <c r="E8155" s="397"/>
      <c r="F8155" s="392"/>
      <c r="G8155" s="392"/>
      <c r="H8155" s="401"/>
      <c r="I8155" s="401"/>
      <c r="J8155" s="401"/>
      <c r="K8155" s="401"/>
      <c r="L8155" s="675"/>
      <c r="M8155" s="672">
        <v>30468</v>
      </c>
      <c r="N8155" s="623">
        <v>0.47</v>
      </c>
      <c r="O8155" s="805">
        <v>1.4400000000000001E-3</v>
      </c>
      <c r="P8155" s="800"/>
      <c r="Q8155" s="796"/>
      <c r="R8155" s="796"/>
      <c r="S8155" s="796"/>
      <c r="T8155" s="796"/>
      <c r="U8155" s="796"/>
      <c r="V8155" s="796"/>
      <c r="W8155" s="796"/>
      <c r="X8155" s="796"/>
      <c r="Y8155" s="801"/>
      <c r="Z8155" s="788"/>
      <c r="AA8155" s="388"/>
      <c r="AB8155" s="391"/>
      <c r="AC8155" s="392"/>
      <c r="AD8155" s="388"/>
      <c r="AE8155" s="388"/>
      <c r="AF8155" s="388"/>
      <c r="AG8155" s="388"/>
      <c r="AH8155" s="391"/>
      <c r="AI8155" s="397"/>
      <c r="AJ8155" s="397"/>
      <c r="AK8155" s="392"/>
      <c r="AL8155" s="392"/>
      <c r="AM8155" s="392"/>
      <c r="AN8155" s="392"/>
      <c r="AO8155" s="392"/>
      <c r="AP8155" s="392"/>
      <c r="AQ8155" s="392"/>
      <c r="AR8155" s="392"/>
      <c r="AS8155" s="392"/>
      <c r="AT8155" s="392"/>
      <c r="AU8155" s="397"/>
      <c r="AV8155" s="397"/>
      <c r="AW8155" s="397"/>
      <c r="AX8155" s="397"/>
      <c r="AY8155" s="392"/>
      <c r="AZ8155" s="392"/>
      <c r="BA8155" s="392"/>
      <c r="BB8155" s="392"/>
      <c r="BC8155" s="392"/>
      <c r="BD8155" s="392"/>
      <c r="BE8155" s="392"/>
      <c r="BF8155" s="392"/>
      <c r="BG8155" s="392"/>
      <c r="BH8155" s="392"/>
      <c r="BI8155" s="397"/>
      <c r="BJ8155" s="397"/>
      <c r="BK8155" s="397"/>
      <c r="BL8155" s="397"/>
      <c r="BM8155" s="397"/>
      <c r="BN8155" s="397"/>
      <c r="BO8155" s="397"/>
      <c r="BP8155" s="397"/>
      <c r="BQ8155" s="397"/>
      <c r="BR8155" s="397"/>
      <c r="BS8155" s="397"/>
      <c r="BT8155" s="397"/>
      <c r="BU8155" s="397"/>
      <c r="BV8155" s="397"/>
      <c r="BW8155" s="397"/>
      <c r="BX8155" s="397"/>
      <c r="BY8155" s="397"/>
      <c r="BZ8155" s="397"/>
      <c r="CA8155" s="392"/>
      <c r="CB8155" s="392"/>
    </row>
    <row r="8156" spans="1:80" ht="15" x14ac:dyDescent="0.25">
      <c r="A8156" s="385"/>
      <c r="B8156" s="392"/>
      <c r="C8156" s="392"/>
      <c r="D8156" s="700"/>
      <c r="E8156" s="397"/>
      <c r="F8156" s="392"/>
      <c r="G8156" s="392"/>
      <c r="H8156" s="401"/>
      <c r="I8156" s="401"/>
      <c r="J8156" s="401"/>
      <c r="K8156" s="401"/>
      <c r="L8156" s="675"/>
      <c r="M8156" s="672">
        <v>30470</v>
      </c>
      <c r="N8156" s="623">
        <v>0.66</v>
      </c>
      <c r="O8156" s="805">
        <v>1.12E-2</v>
      </c>
      <c r="P8156" s="800"/>
      <c r="Q8156" s="796"/>
      <c r="R8156" s="796"/>
      <c r="S8156" s="796"/>
      <c r="T8156" s="796"/>
      <c r="U8156" s="796"/>
      <c r="V8156" s="796"/>
      <c r="W8156" s="796"/>
      <c r="X8156" s="796"/>
      <c r="Y8156" s="801"/>
      <c r="Z8156" s="788"/>
      <c r="AA8156" s="388"/>
      <c r="AB8156" s="391"/>
      <c r="AC8156" s="392"/>
      <c r="AD8156" s="388"/>
      <c r="AE8156" s="388"/>
      <c r="AF8156" s="388"/>
      <c r="AG8156" s="388"/>
      <c r="AH8156" s="391"/>
      <c r="AI8156" s="397"/>
      <c r="AJ8156" s="397"/>
      <c r="AK8156" s="392"/>
      <c r="AL8156" s="392"/>
      <c r="AM8156" s="392"/>
      <c r="AN8156" s="392"/>
      <c r="AO8156" s="392"/>
      <c r="AP8156" s="392"/>
      <c r="AQ8156" s="392"/>
      <c r="AR8156" s="392"/>
      <c r="AS8156" s="392"/>
      <c r="AT8156" s="392"/>
      <c r="AU8156" s="397"/>
      <c r="AV8156" s="397"/>
      <c r="AW8156" s="397"/>
      <c r="AX8156" s="397"/>
      <c r="AY8156" s="392"/>
      <c r="AZ8156" s="392"/>
      <c r="BA8156" s="392"/>
      <c r="BB8156" s="392"/>
      <c r="BC8156" s="392"/>
      <c r="BD8156" s="392"/>
      <c r="BE8156" s="392"/>
      <c r="BF8156" s="392"/>
      <c r="BG8156" s="392"/>
      <c r="BH8156" s="392"/>
      <c r="BI8156" s="397"/>
      <c r="BJ8156" s="397"/>
      <c r="BK8156" s="397"/>
      <c r="BL8156" s="397"/>
      <c r="BM8156" s="397"/>
      <c r="BN8156" s="397"/>
      <c r="BO8156" s="397"/>
      <c r="BP8156" s="397"/>
      <c r="BQ8156" s="397"/>
      <c r="BR8156" s="397"/>
      <c r="BS8156" s="397"/>
      <c r="BT8156" s="397"/>
      <c r="BU8156" s="397"/>
      <c r="BV8156" s="397"/>
      <c r="BW8156" s="397"/>
      <c r="BX8156" s="397"/>
      <c r="BY8156" s="397"/>
      <c r="BZ8156" s="397"/>
      <c r="CA8156" s="392"/>
      <c r="CB8156" s="392"/>
    </row>
    <row r="8157" spans="1:80" ht="15" x14ac:dyDescent="0.25">
      <c r="A8157" s="385"/>
      <c r="B8157" s="392"/>
      <c r="C8157" s="392"/>
      <c r="D8157" s="700"/>
      <c r="E8157" s="397"/>
      <c r="F8157" s="392"/>
      <c r="G8157" s="392"/>
      <c r="H8157" s="401"/>
      <c r="I8157" s="401"/>
      <c r="J8157" s="401"/>
      <c r="K8157" s="401"/>
      <c r="L8157" s="675"/>
      <c r="M8157" s="672">
        <v>30473</v>
      </c>
      <c r="N8157" s="623">
        <v>0.56000000000000005</v>
      </c>
      <c r="O8157" s="805">
        <v>3.6600000000000001E-3</v>
      </c>
      <c r="P8157" s="800"/>
      <c r="Q8157" s="796"/>
      <c r="R8157" s="796"/>
      <c r="S8157" s="796"/>
      <c r="T8157" s="796"/>
      <c r="U8157" s="796"/>
      <c r="V8157" s="796"/>
      <c r="W8157" s="796"/>
      <c r="X8157" s="796"/>
      <c r="Y8157" s="801"/>
      <c r="Z8157" s="788"/>
      <c r="AA8157" s="388"/>
      <c r="AB8157" s="391"/>
      <c r="AC8157" s="392"/>
      <c r="AD8157" s="388"/>
      <c r="AE8157" s="388"/>
      <c r="AF8157" s="388"/>
      <c r="AG8157" s="388"/>
      <c r="AH8157" s="391"/>
      <c r="AI8157" s="397"/>
      <c r="AJ8157" s="397"/>
      <c r="AK8157" s="392"/>
      <c r="AL8157" s="392"/>
      <c r="AM8157" s="392"/>
      <c r="AN8157" s="392"/>
      <c r="AO8157" s="392"/>
      <c r="AP8157" s="392"/>
      <c r="AQ8157" s="392"/>
      <c r="AR8157" s="392"/>
      <c r="AS8157" s="392"/>
      <c r="AT8157" s="392"/>
      <c r="AU8157" s="397"/>
      <c r="AV8157" s="397"/>
      <c r="AW8157" s="397"/>
      <c r="AX8157" s="397"/>
      <c r="AY8157" s="392"/>
      <c r="AZ8157" s="392"/>
      <c r="BA8157" s="392"/>
      <c r="BB8157" s="392"/>
      <c r="BC8157" s="392"/>
      <c r="BD8157" s="392"/>
      <c r="BE8157" s="392"/>
      <c r="BF8157" s="392"/>
      <c r="BG8157" s="392"/>
      <c r="BH8157" s="392"/>
      <c r="BI8157" s="397"/>
      <c r="BJ8157" s="397"/>
      <c r="BK8157" s="397"/>
      <c r="BL8157" s="397"/>
      <c r="BM8157" s="397"/>
      <c r="BN8157" s="397"/>
      <c r="BO8157" s="397"/>
      <c r="BP8157" s="397"/>
      <c r="BQ8157" s="397"/>
      <c r="BR8157" s="397"/>
      <c r="BS8157" s="397"/>
      <c r="BT8157" s="397"/>
      <c r="BU8157" s="397"/>
      <c r="BV8157" s="397"/>
      <c r="BW8157" s="397"/>
      <c r="BX8157" s="397"/>
      <c r="BY8157" s="397"/>
      <c r="BZ8157" s="397"/>
      <c r="CA8157" s="392"/>
      <c r="CB8157" s="392"/>
    </row>
    <row r="8158" spans="1:80" ht="15" x14ac:dyDescent="0.25">
      <c r="A8158" s="385"/>
      <c r="B8158" s="392"/>
      <c r="C8158" s="392"/>
      <c r="D8158" s="700"/>
      <c r="E8158" s="397"/>
      <c r="F8158" s="392"/>
      <c r="G8158" s="392"/>
      <c r="H8158" s="401"/>
      <c r="I8158" s="401"/>
      <c r="J8158" s="401"/>
      <c r="K8158" s="401"/>
      <c r="L8158" s="675"/>
      <c r="M8158" s="672">
        <v>30475</v>
      </c>
      <c r="N8158" s="623">
        <v>0.59</v>
      </c>
      <c r="O8158" s="805">
        <v>2.8700000000000002E-3</v>
      </c>
      <c r="P8158" s="800"/>
      <c r="Q8158" s="796"/>
      <c r="R8158" s="796"/>
      <c r="S8158" s="796"/>
      <c r="T8158" s="796"/>
      <c r="U8158" s="796"/>
      <c r="V8158" s="796"/>
      <c r="W8158" s="796"/>
      <c r="X8158" s="796"/>
      <c r="Y8158" s="801"/>
      <c r="Z8158" s="788"/>
      <c r="AA8158" s="388"/>
      <c r="AB8158" s="391"/>
      <c r="AC8158" s="392"/>
      <c r="AD8158" s="388"/>
      <c r="AE8158" s="388"/>
      <c r="AF8158" s="388"/>
      <c r="AG8158" s="388"/>
      <c r="AH8158" s="391"/>
      <c r="AI8158" s="397"/>
      <c r="AJ8158" s="397"/>
      <c r="AK8158" s="392"/>
      <c r="AL8158" s="392"/>
      <c r="AM8158" s="392"/>
      <c r="AN8158" s="392"/>
      <c r="AO8158" s="392"/>
      <c r="AP8158" s="392"/>
      <c r="AQ8158" s="392"/>
      <c r="AR8158" s="392"/>
      <c r="AS8158" s="392"/>
      <c r="AT8158" s="392"/>
      <c r="AU8158" s="397"/>
      <c r="AV8158" s="397"/>
      <c r="AW8158" s="397"/>
      <c r="AX8158" s="397"/>
      <c r="AY8158" s="392"/>
      <c r="AZ8158" s="392"/>
      <c r="BA8158" s="392"/>
      <c r="BB8158" s="392"/>
      <c r="BC8158" s="392"/>
      <c r="BD8158" s="392"/>
      <c r="BE8158" s="392"/>
      <c r="BF8158" s="392"/>
      <c r="BG8158" s="392"/>
      <c r="BH8158" s="392"/>
      <c r="BI8158" s="397"/>
      <c r="BJ8158" s="397"/>
      <c r="BK8158" s="397"/>
      <c r="BL8158" s="397"/>
      <c r="BM8158" s="397"/>
      <c r="BN8158" s="397"/>
      <c r="BO8158" s="397"/>
      <c r="BP8158" s="397"/>
      <c r="BQ8158" s="397"/>
      <c r="BR8158" s="397"/>
      <c r="BS8158" s="397"/>
      <c r="BT8158" s="397"/>
      <c r="BU8158" s="397"/>
      <c r="BV8158" s="397"/>
      <c r="BW8158" s="397"/>
      <c r="BX8158" s="397"/>
      <c r="BY8158" s="397"/>
      <c r="BZ8158" s="397"/>
      <c r="CA8158" s="392"/>
      <c r="CB8158" s="392"/>
    </row>
    <row r="8159" spans="1:80" ht="15" x14ac:dyDescent="0.25">
      <c r="A8159" s="385"/>
      <c r="B8159" s="392"/>
      <c r="C8159" s="392"/>
      <c r="D8159" s="700"/>
      <c r="E8159" s="397"/>
      <c r="F8159" s="392"/>
      <c r="G8159" s="392"/>
      <c r="H8159" s="401"/>
      <c r="I8159" s="401"/>
      <c r="J8159" s="401"/>
      <c r="K8159" s="401"/>
      <c r="L8159" s="675"/>
      <c r="M8159" s="672">
        <v>30482</v>
      </c>
      <c r="N8159" s="623">
        <v>0.86</v>
      </c>
      <c r="O8159" s="805">
        <v>1.5900000000000001E-3</v>
      </c>
      <c r="P8159" s="800"/>
      <c r="Q8159" s="796"/>
      <c r="R8159" s="796"/>
      <c r="S8159" s="796"/>
      <c r="T8159" s="796"/>
      <c r="U8159" s="796"/>
      <c r="V8159" s="796"/>
      <c r="W8159" s="796"/>
      <c r="X8159" s="796"/>
      <c r="Y8159" s="801"/>
      <c r="Z8159" s="788"/>
      <c r="AA8159" s="388"/>
      <c r="AB8159" s="391"/>
      <c r="AC8159" s="392"/>
      <c r="AD8159" s="388"/>
      <c r="AE8159" s="388"/>
      <c r="AF8159" s="388"/>
      <c r="AG8159" s="388"/>
      <c r="AH8159" s="391"/>
      <c r="AI8159" s="397"/>
      <c r="AJ8159" s="397"/>
      <c r="AK8159" s="392"/>
      <c r="AL8159" s="392"/>
      <c r="AM8159" s="392"/>
      <c r="AN8159" s="392"/>
      <c r="AO8159" s="392"/>
      <c r="AP8159" s="392"/>
      <c r="AQ8159" s="392"/>
      <c r="AR8159" s="392"/>
      <c r="AS8159" s="392"/>
      <c r="AT8159" s="392"/>
      <c r="AU8159" s="397"/>
      <c r="AV8159" s="397"/>
      <c r="AW8159" s="397"/>
      <c r="AX8159" s="397"/>
      <c r="AY8159" s="392"/>
      <c r="AZ8159" s="392"/>
      <c r="BA8159" s="392"/>
      <c r="BB8159" s="392"/>
      <c r="BC8159" s="392"/>
      <c r="BD8159" s="392"/>
      <c r="BE8159" s="392"/>
      <c r="BF8159" s="392"/>
      <c r="BG8159" s="392"/>
      <c r="BH8159" s="392"/>
      <c r="BI8159" s="397"/>
      <c r="BJ8159" s="397"/>
      <c r="BK8159" s="397"/>
      <c r="BL8159" s="397"/>
      <c r="BM8159" s="397"/>
      <c r="BN8159" s="397"/>
      <c r="BO8159" s="397"/>
      <c r="BP8159" s="397"/>
      <c r="BQ8159" s="397"/>
      <c r="BR8159" s="397"/>
      <c r="BS8159" s="397"/>
      <c r="BT8159" s="397"/>
      <c r="BU8159" s="397"/>
      <c r="BV8159" s="397"/>
      <c r="BW8159" s="397"/>
      <c r="BX8159" s="397"/>
      <c r="BY8159" s="397"/>
      <c r="BZ8159" s="397"/>
      <c r="CA8159" s="392"/>
      <c r="CB8159" s="392"/>
    </row>
    <row r="8160" spans="1:80" ht="15" x14ac:dyDescent="0.25">
      <c r="A8160" s="385"/>
      <c r="B8160" s="392"/>
      <c r="C8160" s="392"/>
      <c r="D8160" s="700"/>
      <c r="E8160" s="397"/>
      <c r="F8160" s="392"/>
      <c r="G8160" s="392"/>
      <c r="H8160" s="401"/>
      <c r="I8160" s="401"/>
      <c r="J8160" s="401"/>
      <c r="K8160" s="401"/>
      <c r="L8160" s="675"/>
      <c r="M8160" s="672">
        <v>30487</v>
      </c>
      <c r="N8160" s="623">
        <v>0.82176253896287899</v>
      </c>
      <c r="O8160" s="805">
        <v>1.5299999999999999E-3</v>
      </c>
      <c r="P8160" s="800"/>
      <c r="Q8160" s="796"/>
      <c r="R8160" s="796"/>
      <c r="S8160" s="796"/>
      <c r="T8160" s="796"/>
      <c r="U8160" s="796"/>
      <c r="V8160" s="796"/>
      <c r="W8160" s="796"/>
      <c r="X8160" s="796"/>
      <c r="Y8160" s="801"/>
      <c r="Z8160" s="788"/>
      <c r="AA8160" s="388"/>
      <c r="AB8160" s="391"/>
      <c r="AC8160" s="392"/>
      <c r="AD8160" s="388"/>
      <c r="AE8160" s="388"/>
      <c r="AF8160" s="388"/>
      <c r="AG8160" s="388"/>
      <c r="AH8160" s="391"/>
      <c r="AI8160" s="397"/>
      <c r="AJ8160" s="397"/>
      <c r="AK8160" s="392"/>
      <c r="AL8160" s="392"/>
      <c r="AM8160" s="392"/>
      <c r="AN8160" s="392"/>
      <c r="AO8160" s="392"/>
      <c r="AP8160" s="392"/>
      <c r="AQ8160" s="392"/>
      <c r="AR8160" s="392"/>
      <c r="AS8160" s="392"/>
      <c r="AT8160" s="392"/>
      <c r="AU8160" s="397"/>
      <c r="AV8160" s="397"/>
      <c r="AW8160" s="397"/>
      <c r="AX8160" s="397"/>
      <c r="AY8160" s="392"/>
      <c r="AZ8160" s="392"/>
      <c r="BA8160" s="392"/>
      <c r="BB8160" s="392"/>
      <c r="BC8160" s="392"/>
      <c r="BD8160" s="392"/>
      <c r="BE8160" s="392"/>
      <c r="BF8160" s="392"/>
      <c r="BG8160" s="392"/>
      <c r="BH8160" s="392"/>
      <c r="BI8160" s="397"/>
      <c r="BJ8160" s="397"/>
      <c r="BK8160" s="397"/>
      <c r="BL8160" s="397"/>
      <c r="BM8160" s="397"/>
      <c r="BN8160" s="397"/>
      <c r="BO8160" s="397"/>
      <c r="BP8160" s="397"/>
      <c r="BQ8160" s="397"/>
      <c r="BR8160" s="397"/>
      <c r="BS8160" s="397"/>
      <c r="BT8160" s="397"/>
      <c r="BU8160" s="397"/>
      <c r="BV8160" s="397"/>
      <c r="BW8160" s="397"/>
      <c r="BX8160" s="397"/>
      <c r="BY8160" s="397"/>
      <c r="BZ8160" s="397"/>
      <c r="CA8160" s="392"/>
      <c r="CB8160" s="392"/>
    </row>
    <row r="8161" spans="1:80" ht="15" x14ac:dyDescent="0.25">
      <c r="A8161" s="385"/>
      <c r="B8161" s="392"/>
      <c r="C8161" s="392"/>
      <c r="D8161" s="700"/>
      <c r="E8161" s="397"/>
      <c r="F8161" s="392"/>
      <c r="G8161" s="392"/>
      <c r="H8161" s="401"/>
      <c r="I8161" s="401"/>
      <c r="J8161" s="401"/>
      <c r="K8161" s="401"/>
      <c r="L8161" s="675"/>
      <c r="M8161" s="672">
        <v>30489</v>
      </c>
      <c r="N8161" s="623">
        <v>0.65174270331538686</v>
      </c>
      <c r="O8161" s="805">
        <v>4.8700000000000002E-3</v>
      </c>
      <c r="P8161" s="800"/>
      <c r="Q8161" s="796"/>
      <c r="R8161" s="796"/>
      <c r="S8161" s="796"/>
      <c r="T8161" s="796"/>
      <c r="U8161" s="796"/>
      <c r="V8161" s="796"/>
      <c r="W8161" s="796"/>
      <c r="X8161" s="796"/>
      <c r="Y8161" s="801"/>
      <c r="Z8161" s="788"/>
      <c r="AA8161" s="388"/>
      <c r="AB8161" s="391"/>
      <c r="AC8161" s="392"/>
      <c r="AD8161" s="388"/>
      <c r="AE8161" s="388"/>
      <c r="AF8161" s="388"/>
      <c r="AG8161" s="388"/>
      <c r="AH8161" s="391"/>
      <c r="AI8161" s="397"/>
      <c r="AJ8161" s="397"/>
      <c r="AK8161" s="392"/>
      <c r="AL8161" s="392"/>
      <c r="AM8161" s="392"/>
      <c r="AN8161" s="392"/>
      <c r="AO8161" s="392"/>
      <c r="AP8161" s="392"/>
      <c r="AQ8161" s="392"/>
      <c r="AR8161" s="392"/>
      <c r="AS8161" s="392"/>
      <c r="AT8161" s="392"/>
      <c r="AU8161" s="397"/>
      <c r="AV8161" s="397"/>
      <c r="AW8161" s="397"/>
      <c r="AX8161" s="397"/>
      <c r="AY8161" s="392"/>
      <c r="AZ8161" s="392"/>
      <c r="BA8161" s="392"/>
      <c r="BB8161" s="392"/>
      <c r="BC8161" s="392"/>
      <c r="BD8161" s="392"/>
      <c r="BE8161" s="392"/>
      <c r="BF8161" s="392"/>
      <c r="BG8161" s="392"/>
      <c r="BH8161" s="392"/>
      <c r="BI8161" s="397"/>
      <c r="BJ8161" s="397"/>
      <c r="BK8161" s="397"/>
      <c r="BL8161" s="397"/>
      <c r="BM8161" s="397"/>
      <c r="BN8161" s="397"/>
      <c r="BO8161" s="397"/>
      <c r="BP8161" s="397"/>
      <c r="BQ8161" s="397"/>
      <c r="BR8161" s="397"/>
      <c r="BS8161" s="397"/>
      <c r="BT8161" s="397"/>
      <c r="BU8161" s="397"/>
      <c r="BV8161" s="397"/>
      <c r="BW8161" s="397"/>
      <c r="BX8161" s="397"/>
      <c r="BY8161" s="397"/>
      <c r="BZ8161" s="397"/>
      <c r="CA8161" s="392"/>
      <c r="CB8161" s="392"/>
    </row>
    <row r="8162" spans="1:80" ht="15" x14ac:dyDescent="0.25">
      <c r="A8162" s="385"/>
      <c r="B8162" s="392"/>
      <c r="C8162" s="392"/>
      <c r="D8162" s="700"/>
      <c r="E8162" s="397"/>
      <c r="F8162" s="392"/>
      <c r="G8162" s="392"/>
      <c r="H8162" s="401"/>
      <c r="I8162" s="401"/>
      <c r="J8162" s="401"/>
      <c r="K8162" s="401"/>
      <c r="L8162" s="675"/>
      <c r="M8162" s="672">
        <v>30494</v>
      </c>
      <c r="N8162" s="623">
        <v>0.76508926041371494</v>
      </c>
      <c r="O8162" s="805">
        <v>2.7599999999999999E-3</v>
      </c>
      <c r="P8162" s="800"/>
      <c r="Q8162" s="796"/>
      <c r="R8162" s="796"/>
      <c r="S8162" s="796"/>
      <c r="T8162" s="796"/>
      <c r="U8162" s="796"/>
      <c r="V8162" s="796"/>
      <c r="W8162" s="796"/>
      <c r="X8162" s="796"/>
      <c r="Y8162" s="801"/>
      <c r="Z8162" s="788"/>
      <c r="AA8162" s="388"/>
      <c r="AB8162" s="391"/>
      <c r="AC8162" s="392"/>
      <c r="AD8162" s="388"/>
      <c r="AE8162" s="388"/>
      <c r="AF8162" s="388"/>
      <c r="AG8162" s="388"/>
      <c r="AH8162" s="391"/>
      <c r="AI8162" s="397"/>
      <c r="AJ8162" s="397"/>
      <c r="AK8162" s="392"/>
      <c r="AL8162" s="392"/>
      <c r="AM8162" s="392"/>
      <c r="AN8162" s="392"/>
      <c r="AO8162" s="392"/>
      <c r="AP8162" s="392"/>
      <c r="AQ8162" s="392"/>
      <c r="AR8162" s="392"/>
      <c r="AS8162" s="392"/>
      <c r="AT8162" s="392"/>
      <c r="AU8162" s="397"/>
      <c r="AV8162" s="397"/>
      <c r="AW8162" s="397"/>
      <c r="AX8162" s="397"/>
      <c r="AY8162" s="392"/>
      <c r="AZ8162" s="392"/>
      <c r="BA8162" s="392"/>
      <c r="BB8162" s="392"/>
      <c r="BC8162" s="392"/>
      <c r="BD8162" s="392"/>
      <c r="BE8162" s="392"/>
      <c r="BF8162" s="392"/>
      <c r="BG8162" s="392"/>
      <c r="BH8162" s="392"/>
      <c r="BI8162" s="397"/>
      <c r="BJ8162" s="397"/>
      <c r="BK8162" s="397"/>
      <c r="BL8162" s="397"/>
      <c r="BM8162" s="397"/>
      <c r="BN8162" s="397"/>
      <c r="BO8162" s="397"/>
      <c r="BP8162" s="397"/>
      <c r="BQ8162" s="397"/>
      <c r="BR8162" s="397"/>
      <c r="BS8162" s="397"/>
      <c r="BT8162" s="397"/>
      <c r="BU8162" s="397"/>
      <c r="BV8162" s="397"/>
      <c r="BW8162" s="397"/>
      <c r="BX8162" s="397"/>
      <c r="BY8162" s="397"/>
      <c r="BZ8162" s="397"/>
      <c r="CA8162" s="392"/>
      <c r="CB8162" s="392"/>
    </row>
    <row r="8163" spans="1:80" ht="15" x14ac:dyDescent="0.25">
      <c r="A8163" s="385"/>
      <c r="B8163" s="392"/>
      <c r="C8163" s="392"/>
      <c r="D8163" s="700"/>
      <c r="E8163" s="397"/>
      <c r="F8163" s="392"/>
      <c r="G8163" s="392"/>
      <c r="H8163" s="401"/>
      <c r="I8163" s="401"/>
      <c r="J8163" s="401"/>
      <c r="K8163" s="401"/>
      <c r="L8163" s="675"/>
      <c r="M8163" s="672">
        <v>30497</v>
      </c>
      <c r="N8163" s="623">
        <v>0.42504958911873053</v>
      </c>
      <c r="O8163" s="805">
        <v>4.1100000000000002E-4</v>
      </c>
      <c r="P8163" s="800"/>
      <c r="Q8163" s="796"/>
      <c r="R8163" s="796"/>
      <c r="S8163" s="796"/>
      <c r="T8163" s="796"/>
      <c r="U8163" s="796"/>
      <c r="V8163" s="796"/>
      <c r="W8163" s="796"/>
      <c r="X8163" s="796"/>
      <c r="Y8163" s="801"/>
      <c r="Z8163" s="788"/>
      <c r="AA8163" s="388"/>
      <c r="AB8163" s="391"/>
      <c r="AC8163" s="392"/>
      <c r="AD8163" s="388"/>
      <c r="AE8163" s="388"/>
      <c r="AF8163" s="388"/>
      <c r="AG8163" s="388"/>
      <c r="AH8163" s="391"/>
      <c r="AI8163" s="397"/>
      <c r="AJ8163" s="397"/>
      <c r="AK8163" s="392"/>
      <c r="AL8163" s="392"/>
      <c r="AM8163" s="392"/>
      <c r="AN8163" s="392"/>
      <c r="AO8163" s="392"/>
      <c r="AP8163" s="392"/>
      <c r="AQ8163" s="392"/>
      <c r="AR8163" s="392"/>
      <c r="AS8163" s="392"/>
      <c r="AT8163" s="392"/>
      <c r="AU8163" s="397"/>
      <c r="AV8163" s="397"/>
      <c r="AW8163" s="397"/>
      <c r="AX8163" s="397"/>
      <c r="AY8163" s="392"/>
      <c r="AZ8163" s="392"/>
      <c r="BA8163" s="392"/>
      <c r="BB8163" s="392"/>
      <c r="BC8163" s="392"/>
      <c r="BD8163" s="392"/>
      <c r="BE8163" s="392"/>
      <c r="BF8163" s="392"/>
      <c r="BG8163" s="392"/>
      <c r="BH8163" s="392"/>
      <c r="BI8163" s="397"/>
      <c r="BJ8163" s="397"/>
      <c r="BK8163" s="397"/>
      <c r="BL8163" s="397"/>
      <c r="BM8163" s="397"/>
      <c r="BN8163" s="397"/>
      <c r="BO8163" s="397"/>
      <c r="BP8163" s="397"/>
      <c r="BQ8163" s="397"/>
      <c r="BR8163" s="397"/>
      <c r="BS8163" s="397"/>
      <c r="BT8163" s="397"/>
      <c r="BU8163" s="397"/>
      <c r="BV8163" s="397"/>
      <c r="BW8163" s="397"/>
      <c r="BX8163" s="397"/>
      <c r="BY8163" s="397"/>
      <c r="BZ8163" s="397"/>
      <c r="CA8163" s="392"/>
      <c r="CB8163" s="392"/>
    </row>
    <row r="8164" spans="1:80" ht="15" x14ac:dyDescent="0.25">
      <c r="A8164" s="385"/>
      <c r="B8164" s="392"/>
      <c r="C8164" s="392"/>
      <c r="D8164" s="700"/>
      <c r="E8164" s="397"/>
      <c r="F8164" s="392"/>
      <c r="G8164" s="392"/>
      <c r="H8164" s="401"/>
      <c r="I8164" s="401"/>
      <c r="J8164" s="401"/>
      <c r="K8164" s="401"/>
      <c r="L8164" s="675"/>
      <c r="M8164" s="672">
        <v>30503</v>
      </c>
      <c r="N8164" s="623">
        <v>0.39671294984414851</v>
      </c>
      <c r="O8164" s="805">
        <v>1.17E-3</v>
      </c>
      <c r="P8164" s="800"/>
      <c r="Q8164" s="796"/>
      <c r="R8164" s="796"/>
      <c r="S8164" s="796"/>
      <c r="T8164" s="796"/>
      <c r="U8164" s="796"/>
      <c r="V8164" s="796"/>
      <c r="W8164" s="796"/>
      <c r="X8164" s="796"/>
      <c r="Y8164" s="801"/>
      <c r="Z8164" s="788"/>
      <c r="AA8164" s="388"/>
      <c r="AB8164" s="391"/>
      <c r="AC8164" s="392"/>
      <c r="AD8164" s="388"/>
      <c r="AE8164" s="388"/>
      <c r="AF8164" s="388"/>
      <c r="AG8164" s="388"/>
      <c r="AH8164" s="391"/>
      <c r="AI8164" s="397"/>
      <c r="AJ8164" s="397"/>
      <c r="AK8164" s="392"/>
      <c r="AL8164" s="392"/>
      <c r="AM8164" s="392"/>
      <c r="AN8164" s="392"/>
      <c r="AO8164" s="392"/>
      <c r="AP8164" s="392"/>
      <c r="AQ8164" s="392"/>
      <c r="AR8164" s="392"/>
      <c r="AS8164" s="392"/>
      <c r="AT8164" s="392"/>
      <c r="AU8164" s="397"/>
      <c r="AV8164" s="397"/>
      <c r="AW8164" s="397"/>
      <c r="AX8164" s="397"/>
      <c r="AY8164" s="392"/>
      <c r="AZ8164" s="392"/>
      <c r="BA8164" s="392"/>
      <c r="BB8164" s="392"/>
      <c r="BC8164" s="392"/>
      <c r="BD8164" s="392"/>
      <c r="BE8164" s="392"/>
      <c r="BF8164" s="392"/>
      <c r="BG8164" s="392"/>
      <c r="BH8164" s="392"/>
      <c r="BI8164" s="397"/>
      <c r="BJ8164" s="397"/>
      <c r="BK8164" s="397"/>
      <c r="BL8164" s="397"/>
      <c r="BM8164" s="397"/>
      <c r="BN8164" s="397"/>
      <c r="BO8164" s="397"/>
      <c r="BP8164" s="397"/>
      <c r="BQ8164" s="397"/>
      <c r="BR8164" s="397"/>
      <c r="BS8164" s="397"/>
      <c r="BT8164" s="397"/>
      <c r="BU8164" s="397"/>
      <c r="BV8164" s="397"/>
      <c r="BW8164" s="397"/>
      <c r="BX8164" s="397"/>
      <c r="BY8164" s="397"/>
      <c r="BZ8164" s="397"/>
      <c r="CA8164" s="392"/>
      <c r="CB8164" s="392"/>
    </row>
    <row r="8165" spans="1:80" ht="15" x14ac:dyDescent="0.25">
      <c r="A8165" s="385"/>
      <c r="B8165" s="392"/>
      <c r="C8165" s="392"/>
      <c r="D8165" s="700"/>
      <c r="E8165" s="397"/>
      <c r="F8165" s="392"/>
      <c r="G8165" s="392"/>
      <c r="H8165" s="401"/>
      <c r="I8165" s="401"/>
      <c r="J8165" s="401"/>
      <c r="K8165" s="401"/>
      <c r="L8165" s="675"/>
      <c r="M8165" s="672">
        <v>30510</v>
      </c>
      <c r="N8165" s="623">
        <v>0.39671294984414851</v>
      </c>
      <c r="O8165" s="805">
        <v>1.49E-3</v>
      </c>
      <c r="P8165" s="800"/>
      <c r="Q8165" s="796"/>
      <c r="R8165" s="796"/>
      <c r="S8165" s="796"/>
      <c r="T8165" s="796"/>
      <c r="U8165" s="796"/>
      <c r="V8165" s="796"/>
      <c r="W8165" s="796"/>
      <c r="X8165" s="796"/>
      <c r="Y8165" s="801"/>
      <c r="Z8165" s="788"/>
      <c r="AA8165" s="388"/>
      <c r="AB8165" s="391"/>
      <c r="AC8165" s="392"/>
      <c r="AD8165" s="388"/>
      <c r="AE8165" s="388"/>
      <c r="AF8165" s="388"/>
      <c r="AG8165" s="388"/>
      <c r="AH8165" s="391"/>
      <c r="AI8165" s="397"/>
      <c r="AJ8165" s="397"/>
      <c r="AK8165" s="392"/>
      <c r="AL8165" s="392"/>
      <c r="AM8165" s="392"/>
      <c r="AN8165" s="392"/>
      <c r="AO8165" s="392"/>
      <c r="AP8165" s="392"/>
      <c r="AQ8165" s="392"/>
      <c r="AR8165" s="392"/>
      <c r="AS8165" s="392"/>
      <c r="AT8165" s="392"/>
      <c r="AU8165" s="397"/>
      <c r="AV8165" s="397"/>
      <c r="AW8165" s="397"/>
      <c r="AX8165" s="397"/>
      <c r="AY8165" s="392"/>
      <c r="AZ8165" s="392"/>
      <c r="BA8165" s="392"/>
      <c r="BB8165" s="392"/>
      <c r="BC8165" s="392"/>
      <c r="BD8165" s="392"/>
      <c r="BE8165" s="392"/>
      <c r="BF8165" s="392"/>
      <c r="BG8165" s="392"/>
      <c r="BH8165" s="392"/>
      <c r="BI8165" s="397"/>
      <c r="BJ8165" s="397"/>
      <c r="BK8165" s="397"/>
      <c r="BL8165" s="397"/>
      <c r="BM8165" s="397"/>
      <c r="BN8165" s="397"/>
      <c r="BO8165" s="397"/>
      <c r="BP8165" s="397"/>
      <c r="BQ8165" s="397"/>
      <c r="BR8165" s="397"/>
      <c r="BS8165" s="397"/>
      <c r="BT8165" s="397"/>
      <c r="BU8165" s="397"/>
      <c r="BV8165" s="397"/>
      <c r="BW8165" s="397"/>
      <c r="BX8165" s="397"/>
      <c r="BY8165" s="397"/>
      <c r="BZ8165" s="397"/>
      <c r="CA8165" s="392"/>
      <c r="CB8165" s="392"/>
    </row>
    <row r="8166" spans="1:80" ht="15" x14ac:dyDescent="0.25">
      <c r="A8166" s="385"/>
      <c r="B8166" s="392"/>
      <c r="C8166" s="392"/>
      <c r="D8166" s="700"/>
      <c r="E8166" s="397"/>
      <c r="F8166" s="392"/>
      <c r="G8166" s="392"/>
      <c r="H8166" s="401"/>
      <c r="I8166" s="401"/>
      <c r="J8166" s="401"/>
      <c r="K8166" s="401"/>
      <c r="L8166" s="675"/>
      <c r="M8166" s="672">
        <v>30516</v>
      </c>
      <c r="N8166" s="623">
        <v>0.31170303202040239</v>
      </c>
      <c r="O8166" s="805">
        <v>4.17E-4</v>
      </c>
      <c r="P8166" s="800"/>
      <c r="Q8166" s="796"/>
      <c r="R8166" s="796"/>
      <c r="S8166" s="796"/>
      <c r="T8166" s="796"/>
      <c r="U8166" s="796"/>
      <c r="V8166" s="796"/>
      <c r="W8166" s="796"/>
      <c r="X8166" s="796"/>
      <c r="Y8166" s="801"/>
      <c r="Z8166" s="788"/>
      <c r="AA8166" s="388"/>
      <c r="AB8166" s="391"/>
      <c r="AC8166" s="392"/>
      <c r="AD8166" s="388"/>
      <c r="AE8166" s="388"/>
      <c r="AF8166" s="388"/>
      <c r="AG8166" s="388"/>
      <c r="AH8166" s="391"/>
      <c r="AI8166" s="397"/>
      <c r="AJ8166" s="397"/>
      <c r="AK8166" s="392"/>
      <c r="AL8166" s="392"/>
      <c r="AM8166" s="392"/>
      <c r="AN8166" s="392"/>
      <c r="AO8166" s="392"/>
      <c r="AP8166" s="392"/>
      <c r="AQ8166" s="392"/>
      <c r="AR8166" s="392"/>
      <c r="AS8166" s="392"/>
      <c r="AT8166" s="392"/>
      <c r="AU8166" s="397"/>
      <c r="AV8166" s="397"/>
      <c r="AW8166" s="397"/>
      <c r="AX8166" s="397"/>
      <c r="AY8166" s="392"/>
      <c r="AZ8166" s="392"/>
      <c r="BA8166" s="392"/>
      <c r="BB8166" s="392"/>
      <c r="BC8166" s="392"/>
      <c r="BD8166" s="392"/>
      <c r="BE8166" s="392"/>
      <c r="BF8166" s="392"/>
      <c r="BG8166" s="392"/>
      <c r="BH8166" s="392"/>
      <c r="BI8166" s="397"/>
      <c r="BJ8166" s="397"/>
      <c r="BK8166" s="397"/>
      <c r="BL8166" s="397"/>
      <c r="BM8166" s="397"/>
      <c r="BN8166" s="397"/>
      <c r="BO8166" s="397"/>
      <c r="BP8166" s="397"/>
      <c r="BQ8166" s="397"/>
      <c r="BR8166" s="397"/>
      <c r="BS8166" s="397"/>
      <c r="BT8166" s="397"/>
      <c r="BU8166" s="397"/>
      <c r="BV8166" s="397"/>
      <c r="BW8166" s="397"/>
      <c r="BX8166" s="397"/>
      <c r="BY8166" s="397"/>
      <c r="BZ8166" s="397"/>
      <c r="CA8166" s="392"/>
      <c r="CB8166" s="392"/>
    </row>
    <row r="8167" spans="1:80" ht="15" x14ac:dyDescent="0.25">
      <c r="A8167" s="385"/>
      <c r="B8167" s="392"/>
      <c r="C8167" s="392"/>
      <c r="D8167" s="700"/>
      <c r="E8167" s="397"/>
      <c r="F8167" s="392"/>
      <c r="G8167" s="392"/>
      <c r="H8167" s="401"/>
      <c r="I8167" s="401"/>
      <c r="J8167" s="401"/>
      <c r="K8167" s="401"/>
      <c r="L8167" s="675"/>
      <c r="M8167" s="672">
        <v>30523</v>
      </c>
      <c r="N8167" s="623">
        <v>0.31170303202040239</v>
      </c>
      <c r="O8167" s="805">
        <v>8.8900000000000003E-4</v>
      </c>
      <c r="P8167" s="800"/>
      <c r="Q8167" s="796"/>
      <c r="R8167" s="796"/>
      <c r="S8167" s="796"/>
      <c r="T8167" s="796"/>
      <c r="U8167" s="796"/>
      <c r="V8167" s="796"/>
      <c r="W8167" s="796"/>
      <c r="X8167" s="796"/>
      <c r="Y8167" s="801"/>
      <c r="Z8167" s="788"/>
      <c r="AA8167" s="388"/>
      <c r="AB8167" s="391"/>
      <c r="AC8167" s="392"/>
      <c r="AD8167" s="388"/>
      <c r="AE8167" s="388"/>
      <c r="AF8167" s="388"/>
      <c r="AG8167" s="388"/>
      <c r="AH8167" s="391"/>
      <c r="AI8167" s="397"/>
      <c r="AJ8167" s="397"/>
      <c r="AK8167" s="392"/>
      <c r="AL8167" s="392"/>
      <c r="AM8167" s="392"/>
      <c r="AN8167" s="392"/>
      <c r="AO8167" s="392"/>
      <c r="AP8167" s="392"/>
      <c r="AQ8167" s="392"/>
      <c r="AR8167" s="392"/>
      <c r="AS8167" s="392"/>
      <c r="AT8167" s="392"/>
      <c r="AU8167" s="397"/>
      <c r="AV8167" s="397"/>
      <c r="AW8167" s="397"/>
      <c r="AX8167" s="397"/>
      <c r="AY8167" s="392"/>
      <c r="AZ8167" s="392"/>
      <c r="BA8167" s="392"/>
      <c r="BB8167" s="392"/>
      <c r="BC8167" s="392"/>
      <c r="BD8167" s="392"/>
      <c r="BE8167" s="392"/>
      <c r="BF8167" s="392"/>
      <c r="BG8167" s="392"/>
      <c r="BH8167" s="392"/>
      <c r="BI8167" s="397"/>
      <c r="BJ8167" s="397"/>
      <c r="BK8167" s="397"/>
      <c r="BL8167" s="397"/>
      <c r="BM8167" s="397"/>
      <c r="BN8167" s="397"/>
      <c r="BO8167" s="397"/>
      <c r="BP8167" s="397"/>
      <c r="BQ8167" s="397"/>
      <c r="BR8167" s="397"/>
      <c r="BS8167" s="397"/>
      <c r="BT8167" s="397"/>
      <c r="BU8167" s="397"/>
      <c r="BV8167" s="397"/>
      <c r="BW8167" s="397"/>
      <c r="BX8167" s="397"/>
      <c r="BY8167" s="397"/>
      <c r="BZ8167" s="397"/>
      <c r="CA8167" s="392"/>
      <c r="CB8167" s="392"/>
    </row>
    <row r="8168" spans="1:80" ht="15" x14ac:dyDescent="0.25">
      <c r="A8168" s="385"/>
      <c r="B8168" s="392"/>
      <c r="C8168" s="392"/>
      <c r="D8168" s="700"/>
      <c r="E8168" s="397"/>
      <c r="F8168" s="392"/>
      <c r="G8168" s="392"/>
      <c r="H8168" s="401"/>
      <c r="I8168" s="401"/>
      <c r="J8168" s="401"/>
      <c r="K8168" s="401"/>
      <c r="L8168" s="675"/>
      <c r="M8168" s="672">
        <v>30530</v>
      </c>
      <c r="N8168" s="623">
        <v>0.31170303202040239</v>
      </c>
      <c r="O8168" s="805">
        <v>1.7899999999999999E-4</v>
      </c>
      <c r="P8168" s="800"/>
      <c r="Q8168" s="796"/>
      <c r="R8168" s="796"/>
      <c r="S8168" s="796"/>
      <c r="T8168" s="796"/>
      <c r="U8168" s="796"/>
      <c r="V8168" s="796"/>
      <c r="W8168" s="796"/>
      <c r="X8168" s="796"/>
      <c r="Y8168" s="801"/>
      <c r="Z8168" s="788"/>
      <c r="AA8168" s="388"/>
      <c r="AB8168" s="391"/>
      <c r="AC8168" s="392"/>
      <c r="AD8168" s="388"/>
      <c r="AE8168" s="388"/>
      <c r="AF8168" s="388"/>
      <c r="AG8168" s="388"/>
      <c r="AH8168" s="391"/>
      <c r="AI8168" s="397"/>
      <c r="AJ8168" s="397"/>
      <c r="AK8168" s="392"/>
      <c r="AL8168" s="392"/>
      <c r="AM8168" s="392"/>
      <c r="AN8168" s="392"/>
      <c r="AO8168" s="392"/>
      <c r="AP8168" s="392"/>
      <c r="AQ8168" s="392"/>
      <c r="AR8168" s="392"/>
      <c r="AS8168" s="392"/>
      <c r="AT8168" s="392"/>
      <c r="AU8168" s="397"/>
      <c r="AV8168" s="397"/>
      <c r="AW8168" s="397"/>
      <c r="AX8168" s="397"/>
      <c r="AY8168" s="392"/>
      <c r="AZ8168" s="392"/>
      <c r="BA8168" s="392"/>
      <c r="BB8168" s="392"/>
      <c r="BC8168" s="392"/>
      <c r="BD8168" s="392"/>
      <c r="BE8168" s="392"/>
      <c r="BF8168" s="392"/>
      <c r="BG8168" s="392"/>
      <c r="BH8168" s="392"/>
      <c r="BI8168" s="397"/>
      <c r="BJ8168" s="397"/>
      <c r="BK8168" s="397"/>
      <c r="BL8168" s="397"/>
      <c r="BM8168" s="397"/>
      <c r="BN8168" s="397"/>
      <c r="BO8168" s="397"/>
      <c r="BP8168" s="397"/>
      <c r="BQ8168" s="397"/>
      <c r="BR8168" s="397"/>
      <c r="BS8168" s="397"/>
      <c r="BT8168" s="397"/>
      <c r="BU8168" s="397"/>
      <c r="BV8168" s="397"/>
      <c r="BW8168" s="397"/>
      <c r="BX8168" s="397"/>
      <c r="BY8168" s="397"/>
      <c r="BZ8168" s="397"/>
      <c r="CA8168" s="392"/>
      <c r="CB8168" s="392"/>
    </row>
    <row r="8169" spans="1:80" ht="15" x14ac:dyDescent="0.25">
      <c r="A8169" s="385"/>
      <c r="B8169" s="392"/>
      <c r="C8169" s="392"/>
      <c r="D8169" s="700"/>
      <c r="E8169" s="397"/>
      <c r="F8169" s="392"/>
      <c r="G8169" s="392"/>
      <c r="H8169" s="401"/>
      <c r="I8169" s="401"/>
      <c r="J8169" s="401"/>
      <c r="K8169" s="401"/>
      <c r="L8169" s="675"/>
      <c r="M8169" s="672">
        <v>30537</v>
      </c>
      <c r="N8169" s="623">
        <v>0.31170303202040239</v>
      </c>
      <c r="O8169" s="805">
        <v>7.4000000000000001E-7</v>
      </c>
      <c r="P8169" s="800"/>
      <c r="Q8169" s="796"/>
      <c r="R8169" s="796"/>
      <c r="S8169" s="796"/>
      <c r="T8169" s="796"/>
      <c r="U8169" s="796"/>
      <c r="V8169" s="796"/>
      <c r="W8169" s="796"/>
      <c r="X8169" s="796"/>
      <c r="Y8169" s="801"/>
      <c r="Z8169" s="788"/>
      <c r="AA8169" s="388"/>
      <c r="AB8169" s="391"/>
      <c r="AC8169" s="392"/>
      <c r="AD8169" s="388"/>
      <c r="AE8169" s="388"/>
      <c r="AF8169" s="388"/>
      <c r="AG8169" s="388"/>
      <c r="AH8169" s="391"/>
      <c r="AI8169" s="397"/>
      <c r="AJ8169" s="397"/>
      <c r="AK8169" s="392"/>
      <c r="AL8169" s="392"/>
      <c r="AM8169" s="392"/>
      <c r="AN8169" s="392"/>
      <c r="AO8169" s="392"/>
      <c r="AP8169" s="392"/>
      <c r="AQ8169" s="392"/>
      <c r="AR8169" s="392"/>
      <c r="AS8169" s="392"/>
      <c r="AT8169" s="392"/>
      <c r="AU8169" s="397"/>
      <c r="AV8169" s="397"/>
      <c r="AW8169" s="397"/>
      <c r="AX8169" s="397"/>
      <c r="AY8169" s="392"/>
      <c r="AZ8169" s="392"/>
      <c r="BA8169" s="392"/>
      <c r="BB8169" s="392"/>
      <c r="BC8169" s="392"/>
      <c r="BD8169" s="392"/>
      <c r="BE8169" s="392"/>
      <c r="BF8169" s="392"/>
      <c r="BG8169" s="392"/>
      <c r="BH8169" s="392"/>
      <c r="BI8169" s="397"/>
      <c r="BJ8169" s="397"/>
      <c r="BK8169" s="397"/>
      <c r="BL8169" s="397"/>
      <c r="BM8169" s="397"/>
      <c r="BN8169" s="397"/>
      <c r="BO8169" s="397"/>
      <c r="BP8169" s="397"/>
      <c r="BQ8169" s="397"/>
      <c r="BR8169" s="397"/>
      <c r="BS8169" s="397"/>
      <c r="BT8169" s="397"/>
      <c r="BU8169" s="397"/>
      <c r="BV8169" s="397"/>
      <c r="BW8169" s="397"/>
      <c r="BX8169" s="397"/>
      <c r="BY8169" s="397"/>
      <c r="BZ8169" s="397"/>
      <c r="CA8169" s="392"/>
      <c r="CB8169" s="392"/>
    </row>
    <row r="8170" spans="1:80" ht="15" x14ac:dyDescent="0.25">
      <c r="A8170" s="385"/>
      <c r="B8170" s="392"/>
      <c r="C8170" s="392"/>
      <c r="D8170" s="700"/>
      <c r="E8170" s="397"/>
      <c r="F8170" s="392"/>
      <c r="G8170" s="392"/>
      <c r="H8170" s="401"/>
      <c r="I8170" s="401"/>
      <c r="J8170" s="401"/>
      <c r="K8170" s="401"/>
      <c r="L8170" s="675"/>
      <c r="M8170" s="672">
        <v>30543</v>
      </c>
      <c r="N8170" s="623">
        <v>0.36837631056956643</v>
      </c>
      <c r="O8170" s="805">
        <v>3.3100000000000002E-4</v>
      </c>
      <c r="P8170" s="800"/>
      <c r="Q8170" s="796"/>
      <c r="R8170" s="796"/>
      <c r="S8170" s="796"/>
      <c r="T8170" s="796"/>
      <c r="U8170" s="796"/>
      <c r="V8170" s="796"/>
      <c r="W8170" s="796"/>
      <c r="X8170" s="796"/>
      <c r="Y8170" s="801"/>
      <c r="Z8170" s="788"/>
      <c r="AA8170" s="388"/>
      <c r="AB8170" s="391"/>
      <c r="AC8170" s="392"/>
      <c r="AD8170" s="388"/>
      <c r="AE8170" s="388"/>
      <c r="AF8170" s="388"/>
      <c r="AG8170" s="388"/>
      <c r="AH8170" s="391"/>
      <c r="AI8170" s="397"/>
      <c r="AJ8170" s="397"/>
      <c r="AK8170" s="392"/>
      <c r="AL8170" s="392"/>
      <c r="AM8170" s="392"/>
      <c r="AN8170" s="392"/>
      <c r="AO8170" s="392"/>
      <c r="AP8170" s="392"/>
      <c r="AQ8170" s="392"/>
      <c r="AR8170" s="392"/>
      <c r="AS8170" s="392"/>
      <c r="AT8170" s="392"/>
      <c r="AU8170" s="397"/>
      <c r="AV8170" s="397"/>
      <c r="AW8170" s="397"/>
      <c r="AX8170" s="397"/>
      <c r="AY8170" s="392"/>
      <c r="AZ8170" s="392"/>
      <c r="BA8170" s="392"/>
      <c r="BB8170" s="392"/>
      <c r="BC8170" s="392"/>
      <c r="BD8170" s="392"/>
      <c r="BE8170" s="392"/>
      <c r="BF8170" s="392"/>
      <c r="BG8170" s="392"/>
      <c r="BH8170" s="392"/>
      <c r="BI8170" s="397"/>
      <c r="BJ8170" s="397"/>
      <c r="BK8170" s="397"/>
      <c r="BL8170" s="397"/>
      <c r="BM8170" s="397"/>
      <c r="BN8170" s="397"/>
      <c r="BO8170" s="397"/>
      <c r="BP8170" s="397"/>
      <c r="BQ8170" s="397"/>
      <c r="BR8170" s="397"/>
      <c r="BS8170" s="397"/>
      <c r="BT8170" s="397"/>
      <c r="BU8170" s="397"/>
      <c r="BV8170" s="397"/>
      <c r="BW8170" s="397"/>
      <c r="BX8170" s="397"/>
      <c r="BY8170" s="397"/>
      <c r="BZ8170" s="397"/>
      <c r="CA8170" s="392"/>
      <c r="CB8170" s="392"/>
    </row>
    <row r="8171" spans="1:80" ht="15" x14ac:dyDescent="0.25">
      <c r="A8171" s="385"/>
      <c r="B8171" s="392"/>
      <c r="C8171" s="392"/>
      <c r="D8171" s="700"/>
      <c r="E8171" s="397"/>
      <c r="F8171" s="392"/>
      <c r="G8171" s="392"/>
      <c r="H8171" s="401"/>
      <c r="I8171" s="401"/>
      <c r="J8171" s="401"/>
      <c r="K8171" s="401"/>
      <c r="L8171" s="675"/>
      <c r="M8171" s="672">
        <v>30550</v>
      </c>
      <c r="N8171" s="623">
        <v>0.14168319637291019</v>
      </c>
      <c r="O8171" s="805">
        <v>9.3999999999999994E-5</v>
      </c>
      <c r="P8171" s="800"/>
      <c r="Q8171" s="796"/>
      <c r="R8171" s="796"/>
      <c r="S8171" s="796"/>
      <c r="T8171" s="796"/>
      <c r="U8171" s="796"/>
      <c r="V8171" s="796"/>
      <c r="W8171" s="796"/>
      <c r="X8171" s="796"/>
      <c r="Y8171" s="801"/>
      <c r="Z8171" s="788"/>
      <c r="AA8171" s="388"/>
      <c r="AB8171" s="391"/>
      <c r="AC8171" s="392"/>
      <c r="AD8171" s="388"/>
      <c r="AE8171" s="388"/>
      <c r="AF8171" s="388"/>
      <c r="AG8171" s="388"/>
      <c r="AH8171" s="391"/>
      <c r="AI8171" s="397"/>
      <c r="AJ8171" s="397"/>
      <c r="AK8171" s="392"/>
      <c r="AL8171" s="392"/>
      <c r="AM8171" s="392"/>
      <c r="AN8171" s="392"/>
      <c r="AO8171" s="392"/>
      <c r="AP8171" s="392"/>
      <c r="AQ8171" s="392"/>
      <c r="AR8171" s="392"/>
      <c r="AS8171" s="392"/>
      <c r="AT8171" s="392"/>
      <c r="AU8171" s="397"/>
      <c r="AV8171" s="397"/>
      <c r="AW8171" s="397"/>
      <c r="AX8171" s="397"/>
      <c r="AY8171" s="392"/>
      <c r="AZ8171" s="392"/>
      <c r="BA8171" s="392"/>
      <c r="BB8171" s="392"/>
      <c r="BC8171" s="392"/>
      <c r="BD8171" s="392"/>
      <c r="BE8171" s="392"/>
      <c r="BF8171" s="392"/>
      <c r="BG8171" s="392"/>
      <c r="BH8171" s="392"/>
      <c r="BI8171" s="397"/>
      <c r="BJ8171" s="397"/>
      <c r="BK8171" s="397"/>
      <c r="BL8171" s="397"/>
      <c r="BM8171" s="397"/>
      <c r="BN8171" s="397"/>
      <c r="BO8171" s="397"/>
      <c r="BP8171" s="397"/>
      <c r="BQ8171" s="397"/>
      <c r="BR8171" s="397"/>
      <c r="BS8171" s="397"/>
      <c r="BT8171" s="397"/>
      <c r="BU8171" s="397"/>
      <c r="BV8171" s="397"/>
      <c r="BW8171" s="397"/>
      <c r="BX8171" s="397"/>
      <c r="BY8171" s="397"/>
      <c r="BZ8171" s="397"/>
      <c r="CA8171" s="392"/>
      <c r="CB8171" s="392"/>
    </row>
    <row r="8172" spans="1:80" ht="15" x14ac:dyDescent="0.25">
      <c r="A8172" s="385"/>
      <c r="B8172" s="392"/>
      <c r="C8172" s="392"/>
      <c r="D8172" s="700"/>
      <c r="E8172" s="397"/>
      <c r="F8172" s="392"/>
      <c r="G8172" s="392"/>
      <c r="H8172" s="401"/>
      <c r="I8172" s="401"/>
      <c r="J8172" s="401"/>
      <c r="K8172" s="401"/>
      <c r="L8172" s="675"/>
      <c r="M8172" s="672">
        <v>30558</v>
      </c>
      <c r="N8172" s="623">
        <v>0.31170303202040239</v>
      </c>
      <c r="O8172" s="805">
        <v>2.9000000000000002E-6</v>
      </c>
      <c r="P8172" s="800"/>
      <c r="Q8172" s="796"/>
      <c r="R8172" s="796"/>
      <c r="S8172" s="796"/>
      <c r="T8172" s="796"/>
      <c r="U8172" s="796"/>
      <c r="V8172" s="796"/>
      <c r="W8172" s="796"/>
      <c r="X8172" s="796"/>
      <c r="Y8172" s="801"/>
      <c r="Z8172" s="788"/>
      <c r="AA8172" s="388"/>
      <c r="AB8172" s="391"/>
      <c r="AC8172" s="392"/>
      <c r="AD8172" s="388"/>
      <c r="AE8172" s="388"/>
      <c r="AF8172" s="388"/>
      <c r="AG8172" s="388"/>
      <c r="AH8172" s="391"/>
      <c r="AI8172" s="397"/>
      <c r="AJ8172" s="397"/>
      <c r="AK8172" s="392"/>
      <c r="AL8172" s="392"/>
      <c r="AM8172" s="392"/>
      <c r="AN8172" s="392"/>
      <c r="AO8172" s="392"/>
      <c r="AP8172" s="392"/>
      <c r="AQ8172" s="392"/>
      <c r="AR8172" s="392"/>
      <c r="AS8172" s="392"/>
      <c r="AT8172" s="392"/>
      <c r="AU8172" s="397"/>
      <c r="AV8172" s="397"/>
      <c r="AW8172" s="397"/>
      <c r="AX8172" s="397"/>
      <c r="AY8172" s="392"/>
      <c r="AZ8172" s="392"/>
      <c r="BA8172" s="392"/>
      <c r="BB8172" s="392"/>
      <c r="BC8172" s="392"/>
      <c r="BD8172" s="392"/>
      <c r="BE8172" s="392"/>
      <c r="BF8172" s="392"/>
      <c r="BG8172" s="392"/>
      <c r="BH8172" s="392"/>
      <c r="BI8172" s="397"/>
      <c r="BJ8172" s="397"/>
      <c r="BK8172" s="397"/>
      <c r="BL8172" s="397"/>
      <c r="BM8172" s="397"/>
      <c r="BN8172" s="397"/>
      <c r="BO8172" s="397"/>
      <c r="BP8172" s="397"/>
      <c r="BQ8172" s="397"/>
      <c r="BR8172" s="397"/>
      <c r="BS8172" s="397"/>
      <c r="BT8172" s="397"/>
      <c r="BU8172" s="397"/>
      <c r="BV8172" s="397"/>
      <c r="BW8172" s="397"/>
      <c r="BX8172" s="397"/>
      <c r="BY8172" s="397"/>
      <c r="BZ8172" s="397"/>
      <c r="CA8172" s="392"/>
      <c r="CB8172" s="392"/>
    </row>
    <row r="8173" spans="1:80" ht="15" x14ac:dyDescent="0.25">
      <c r="A8173" s="385"/>
      <c r="B8173" s="392"/>
      <c r="C8173" s="392"/>
      <c r="D8173" s="700"/>
      <c r="E8173" s="397"/>
      <c r="F8173" s="392"/>
      <c r="G8173" s="392"/>
      <c r="H8173" s="401"/>
      <c r="I8173" s="401"/>
      <c r="J8173" s="401"/>
      <c r="K8173" s="401"/>
      <c r="L8173" s="675"/>
      <c r="M8173" s="672">
        <v>30571</v>
      </c>
      <c r="N8173" s="623">
        <v>0.14168319637291019</v>
      </c>
      <c r="O8173" s="805">
        <v>1.7899999999999999E-4</v>
      </c>
      <c r="P8173" s="802"/>
      <c r="Q8173" s="803"/>
      <c r="R8173" s="803"/>
      <c r="S8173" s="803"/>
      <c r="T8173" s="803"/>
      <c r="U8173" s="803"/>
      <c r="V8173" s="803"/>
      <c r="W8173" s="803"/>
      <c r="X8173" s="803"/>
      <c r="Y8173" s="804"/>
      <c r="Z8173" s="788"/>
      <c r="AA8173" s="388"/>
      <c r="AB8173" s="391"/>
      <c r="AC8173" s="392"/>
      <c r="AD8173" s="388"/>
      <c r="AE8173" s="388"/>
      <c r="AF8173" s="388"/>
      <c r="AG8173" s="388"/>
      <c r="AH8173" s="391"/>
      <c r="AI8173" s="397"/>
      <c r="AJ8173" s="397"/>
      <c r="AK8173" s="392"/>
      <c r="AL8173" s="392"/>
      <c r="AM8173" s="392"/>
      <c r="AN8173" s="392"/>
      <c r="AO8173" s="392"/>
      <c r="AP8173" s="392"/>
      <c r="AQ8173" s="392"/>
      <c r="AR8173" s="392"/>
      <c r="AS8173" s="392"/>
      <c r="AT8173" s="392"/>
      <c r="AU8173" s="397"/>
      <c r="AV8173" s="397"/>
      <c r="AW8173" s="397"/>
      <c r="AX8173" s="397"/>
      <c r="AY8173" s="392"/>
      <c r="AZ8173" s="392"/>
      <c r="BA8173" s="392"/>
      <c r="BB8173" s="392"/>
      <c r="BC8173" s="392"/>
      <c r="BD8173" s="392"/>
      <c r="BE8173" s="392"/>
      <c r="BF8173" s="392"/>
      <c r="BG8173" s="392"/>
      <c r="BH8173" s="392"/>
      <c r="BI8173" s="397"/>
      <c r="BJ8173" s="397"/>
      <c r="BK8173" s="397"/>
      <c r="BL8173" s="397"/>
      <c r="BM8173" s="397"/>
      <c r="BN8173" s="397"/>
      <c r="BO8173" s="397"/>
      <c r="BP8173" s="397"/>
      <c r="BQ8173" s="397"/>
      <c r="BR8173" s="397"/>
      <c r="BS8173" s="397"/>
      <c r="BT8173" s="397"/>
      <c r="BU8173" s="397"/>
      <c r="BV8173" s="397"/>
      <c r="BW8173" s="397"/>
      <c r="BX8173" s="397"/>
      <c r="BY8173" s="397"/>
      <c r="BZ8173" s="397"/>
      <c r="CA8173" s="392"/>
      <c r="CB8173" s="392"/>
    </row>
    <row r="8174" spans="1:80" ht="15" x14ac:dyDescent="0.25">
      <c r="A8174" s="412" t="s">
        <v>552</v>
      </c>
      <c r="B8174" s="639" t="s">
        <v>34</v>
      </c>
      <c r="C8174" s="639"/>
      <c r="D8174" s="4">
        <f>VLOOKUP(E8174,'Quality Code'!$D$4:$E$24,2,TRUE)*VLOOKUP(MROUND(F8174,10),'Quality Code'!$D$28:$E$69,2,TRUE)*VLOOKUP(COUNTA(CB8174:CB8184),'Quality Code'!$D$73:$E$93,2,TRUE)</f>
        <v>2.8499928749999994</v>
      </c>
      <c r="E8174" s="14">
        <v>0.95</v>
      </c>
      <c r="F8174" s="2">
        <v>92</v>
      </c>
      <c r="G8174" s="12">
        <f>4.5*2.58998811</f>
        <v>11.654946495000001</v>
      </c>
      <c r="H8174" s="2" t="s">
        <v>559</v>
      </c>
      <c r="I8174" s="2"/>
      <c r="J8174" s="2"/>
      <c r="K8174" s="2"/>
      <c r="L8174" s="534"/>
      <c r="M8174" s="534"/>
      <c r="N8174" s="578"/>
      <c r="O8174" s="578"/>
      <c r="P8174" s="142"/>
      <c r="Q8174" s="142"/>
      <c r="R8174" s="142"/>
      <c r="S8174" s="142"/>
      <c r="T8174" s="142"/>
      <c r="U8174" s="142"/>
      <c r="V8174" s="142"/>
      <c r="W8174" s="142"/>
      <c r="X8174" s="142"/>
      <c r="Y8174" s="142"/>
      <c r="Z8174" s="2"/>
      <c r="AA8174" s="2"/>
      <c r="AB8174" s="2"/>
      <c r="AC8174" s="3">
        <v>3.49E-2</v>
      </c>
      <c r="AD8174" s="26"/>
      <c r="AE8174" s="26"/>
      <c r="AF8174" s="26"/>
      <c r="AG8174" s="26"/>
      <c r="AH8174" s="26"/>
      <c r="AI8174" s="18">
        <f>AM8175</f>
        <v>13.095107766229161</v>
      </c>
      <c r="AJ8174" s="26"/>
      <c r="AK8174" s="26" t="s">
        <v>554</v>
      </c>
      <c r="AL8174" s="26" t="s">
        <v>239</v>
      </c>
      <c r="AM8174" s="26" t="s">
        <v>240</v>
      </c>
      <c r="AN8174" s="26" t="s">
        <v>242</v>
      </c>
      <c r="AO8174" s="26" t="s">
        <v>555</v>
      </c>
      <c r="AP8174" s="135" t="s">
        <v>556</v>
      </c>
      <c r="AQ8174" s="135" t="s">
        <v>29</v>
      </c>
      <c r="AR8174" s="135"/>
      <c r="AS8174" s="135"/>
      <c r="AT8174" s="135"/>
      <c r="AU8174" s="4">
        <f>BA8175</f>
        <v>78.383671769061721</v>
      </c>
      <c r="AV8174" s="135"/>
      <c r="AW8174" s="135"/>
      <c r="AX8174" s="135"/>
      <c r="AY8174" s="135" t="s">
        <v>554</v>
      </c>
      <c r="AZ8174" s="135" t="s">
        <v>239</v>
      </c>
      <c r="BA8174" s="135" t="s">
        <v>240</v>
      </c>
      <c r="BB8174" s="135" t="s">
        <v>242</v>
      </c>
      <c r="BC8174" s="135" t="s">
        <v>555</v>
      </c>
      <c r="BD8174" s="135" t="s">
        <v>556</v>
      </c>
      <c r="BE8174" s="135" t="s">
        <v>29</v>
      </c>
      <c r="BF8174" s="135"/>
      <c r="BG8174" s="135"/>
      <c r="BH8174" s="135"/>
      <c r="BI8174" s="12">
        <f>AU8174/AI8174</f>
        <v>5.9857217800990208</v>
      </c>
      <c r="BJ8174" s="12" t="s">
        <v>407</v>
      </c>
      <c r="BK8174" s="12" t="s">
        <v>55</v>
      </c>
      <c r="BL8174" s="2"/>
      <c r="BM8174" s="12">
        <f>40*0.028317</f>
        <v>1.1326799999999999</v>
      </c>
      <c r="BN8174" s="12">
        <f>16.5*0.3048</f>
        <v>5.0292000000000003</v>
      </c>
      <c r="BO8174" s="12">
        <f>0.86*0.3048</f>
        <v>0.26212800000000003</v>
      </c>
      <c r="BP8174" s="12">
        <f>14.05*(0.3048^2)</f>
        <v>1.3052877120000002</v>
      </c>
      <c r="BQ8174" s="4">
        <f>BN8174/BO8174</f>
        <v>19.186046511627907</v>
      </c>
      <c r="BR8174" s="2"/>
      <c r="BS8174" s="2"/>
      <c r="BT8174" s="2"/>
      <c r="BU8174" s="9"/>
      <c r="BV8174" s="381"/>
      <c r="BW8174" s="2"/>
      <c r="BX8174" s="2"/>
      <c r="BY8174" s="2" t="s">
        <v>89</v>
      </c>
      <c r="BZ8174" s="2" t="s">
        <v>557</v>
      </c>
      <c r="CA8174" s="9"/>
      <c r="CB8174" s="381" t="s">
        <v>567</v>
      </c>
    </row>
    <row r="8175" spans="1:80" ht="15" x14ac:dyDescent="0.25">
      <c r="A8175" s="385"/>
      <c r="B8175" s="392"/>
      <c r="C8175" s="392"/>
      <c r="D8175" s="700"/>
      <c r="E8175" s="397"/>
      <c r="F8175" s="392"/>
      <c r="G8175" s="392"/>
      <c r="H8175" s="401"/>
      <c r="I8175" s="165">
        <v>10</v>
      </c>
      <c r="J8175" s="165">
        <v>120</v>
      </c>
      <c r="K8175" s="165">
        <v>1</v>
      </c>
      <c r="L8175" s="630"/>
      <c r="M8175" s="630"/>
      <c r="N8175" s="623">
        <f>21.67*(0.028317)</f>
        <v>0.61362939000000005</v>
      </c>
      <c r="O8175" s="624">
        <v>0</v>
      </c>
      <c r="P8175" s="413"/>
      <c r="Q8175" s="413"/>
      <c r="R8175" s="413"/>
      <c r="S8175" s="413"/>
      <c r="T8175" s="413"/>
      <c r="U8175" s="413"/>
      <c r="V8175" s="413"/>
      <c r="W8175" s="413"/>
      <c r="X8175" s="413"/>
      <c r="Y8175" s="413"/>
      <c r="Z8175" s="388"/>
      <c r="AA8175" s="388"/>
      <c r="AB8175" s="391"/>
      <c r="AC8175" s="392"/>
      <c r="AD8175" s="388">
        <f>14*(0.3048)</f>
        <v>4.2671999999999999</v>
      </c>
      <c r="AE8175" s="388">
        <f>0.623571428571428*(0.3048)</f>
        <v>0.19006457142857128</v>
      </c>
      <c r="AF8175" s="388">
        <f>AE8175*AD8175</f>
        <v>0.81104353919999939</v>
      </c>
      <c r="AG8175" s="388">
        <f>2.48273883161512*(0.3048)</f>
        <v>0.75673879587628867</v>
      </c>
      <c r="AH8175" s="391"/>
      <c r="AI8175" s="397"/>
      <c r="AJ8175" s="397"/>
      <c r="AK8175" s="433">
        <v>1.4486347391599608</v>
      </c>
      <c r="AL8175" s="433">
        <v>6.3350608319624664</v>
      </c>
      <c r="AM8175" s="433">
        <v>13.095107766229161</v>
      </c>
      <c r="AN8175" s="433">
        <v>29.61040064003608</v>
      </c>
      <c r="AO8175" s="433">
        <v>53.606532021763954</v>
      </c>
      <c r="AP8175" s="433">
        <v>62</v>
      </c>
      <c r="AQ8175" s="392"/>
      <c r="AR8175" s="392"/>
      <c r="AS8175" s="392"/>
      <c r="AT8175" s="392"/>
      <c r="AU8175" s="115">
        <v>78.400000000000006</v>
      </c>
      <c r="AV8175" s="165"/>
      <c r="AW8175" s="165"/>
      <c r="AX8175" s="165"/>
      <c r="AY8175" s="165">
        <v>18.81726436039478</v>
      </c>
      <c r="AZ8175" s="165">
        <v>55.425625842204084</v>
      </c>
      <c r="BA8175" s="165">
        <v>78.383671769061721</v>
      </c>
      <c r="BB8175" s="165">
        <v>148.33483564838673</v>
      </c>
      <c r="BC8175" s="165">
        <v>221.70250336881637</v>
      </c>
      <c r="BD8175" s="165">
        <v>275</v>
      </c>
      <c r="BE8175" s="385"/>
      <c r="BF8175" s="385"/>
      <c r="BG8175" s="385"/>
      <c r="BH8175" s="385"/>
      <c r="BI8175" s="434"/>
      <c r="BJ8175" s="386"/>
      <c r="BK8175" s="386"/>
      <c r="BL8175" s="397"/>
      <c r="BM8175" s="397"/>
      <c r="BN8175" s="397"/>
      <c r="BO8175" s="397"/>
      <c r="BP8175" s="397"/>
      <c r="BQ8175" s="397"/>
      <c r="BR8175" s="397"/>
      <c r="BS8175" s="397"/>
      <c r="BT8175" s="397"/>
      <c r="BU8175" s="397"/>
      <c r="BV8175" s="397"/>
      <c r="BW8175" s="397"/>
      <c r="BX8175" s="397"/>
      <c r="BY8175" s="397"/>
      <c r="BZ8175" s="397"/>
      <c r="CA8175" s="392"/>
      <c r="CB8175" s="392"/>
    </row>
    <row r="8176" spans="1:80" ht="15" x14ac:dyDescent="0.25">
      <c r="A8176" s="385"/>
      <c r="B8176" s="392"/>
      <c r="C8176" s="392"/>
      <c r="D8176" s="700"/>
      <c r="E8176" s="397"/>
      <c r="F8176" s="392"/>
      <c r="G8176" s="392"/>
      <c r="H8176" s="401"/>
      <c r="I8176" s="165">
        <v>10</v>
      </c>
      <c r="J8176" s="165">
        <v>120</v>
      </c>
      <c r="K8176" s="165">
        <v>1</v>
      </c>
      <c r="L8176" s="510"/>
      <c r="M8176" s="510"/>
      <c r="N8176" s="623">
        <f>24.91*(0.028317)</f>
        <v>0.70537646999999992</v>
      </c>
      <c r="O8176" s="624">
        <v>5.6579999999999998E-3</v>
      </c>
      <c r="P8176" s="413"/>
      <c r="Q8176" s="413"/>
      <c r="R8176" s="413"/>
      <c r="S8176" s="413"/>
      <c r="T8176" s="413">
        <v>0.14639175257731959</v>
      </c>
      <c r="U8176" s="413">
        <v>0.1670103092783505</v>
      </c>
      <c r="V8176" s="504">
        <v>0</v>
      </c>
      <c r="W8176" s="504">
        <v>0</v>
      </c>
      <c r="X8176" s="504">
        <v>0</v>
      </c>
      <c r="Y8176" s="504">
        <v>0.6865979381443299</v>
      </c>
      <c r="Z8176" s="388">
        <v>4</v>
      </c>
      <c r="AA8176" s="388"/>
      <c r="AB8176" s="391"/>
      <c r="AC8176" s="392"/>
      <c r="AD8176" s="388">
        <f>14*(0.3048)</f>
        <v>4.2671999999999999</v>
      </c>
      <c r="AE8176" s="388">
        <f>0.6902*(0.3048)</f>
        <v>0.21037296000000003</v>
      </c>
      <c r="AF8176" s="388">
        <f t="shared" ref="AF8176:AF8239" si="60">AE8176*AD8176</f>
        <v>0.89770349491200008</v>
      </c>
      <c r="AG8176" s="388">
        <f>2.57780275903465*(0.3048)</f>
        <v>0.78571428095376139</v>
      </c>
      <c r="AH8176" s="391"/>
      <c r="AI8176" s="397"/>
      <c r="AJ8176" s="397"/>
      <c r="AK8176" s="392"/>
      <c r="AL8176" s="392"/>
      <c r="AM8176" s="392"/>
      <c r="AN8176" s="392"/>
      <c r="AO8176" s="392"/>
      <c r="AP8176" s="392"/>
      <c r="AQ8176" s="392"/>
      <c r="AR8176" s="392"/>
      <c r="AS8176" s="392"/>
      <c r="AT8176" s="392"/>
      <c r="AU8176" s="397"/>
      <c r="AV8176" s="397"/>
      <c r="AW8176" s="397"/>
      <c r="AX8176" s="397"/>
      <c r="AY8176" s="392"/>
      <c r="AZ8176" s="392"/>
      <c r="BA8176" s="392"/>
      <c r="BB8176" s="392"/>
      <c r="BC8176" s="392"/>
      <c r="BD8176" s="392"/>
      <c r="BE8176" s="392"/>
      <c r="BF8176" s="392"/>
      <c r="BG8176" s="392"/>
      <c r="BH8176" s="392"/>
      <c r="BI8176" s="397"/>
      <c r="BJ8176" s="397"/>
      <c r="BK8176" s="397"/>
      <c r="BL8176" s="397"/>
      <c r="BM8176" s="397"/>
      <c r="BN8176" s="397"/>
      <c r="BO8176" s="397"/>
      <c r="BP8176" s="397"/>
      <c r="BQ8176" s="397"/>
      <c r="BR8176" s="397"/>
      <c r="BS8176" s="397"/>
      <c r="BT8176" s="397"/>
      <c r="BU8176" s="397"/>
      <c r="BV8176" s="397"/>
      <c r="BW8176" s="397"/>
      <c r="BX8176" s="397"/>
      <c r="BY8176" s="397"/>
      <c r="BZ8176" s="397"/>
      <c r="CA8176" s="392"/>
      <c r="CB8176" s="392"/>
    </row>
    <row r="8177" spans="1:80" ht="15" x14ac:dyDescent="0.25">
      <c r="A8177" s="385"/>
      <c r="B8177" s="392"/>
      <c r="C8177" s="392"/>
      <c r="D8177" s="700"/>
      <c r="E8177" s="397"/>
      <c r="F8177" s="392"/>
      <c r="G8177" s="392"/>
      <c r="H8177" s="401"/>
      <c r="I8177" s="165">
        <v>10</v>
      </c>
      <c r="J8177" s="165">
        <v>120</v>
      </c>
      <c r="K8177" s="165">
        <v>1</v>
      </c>
      <c r="L8177" s="510"/>
      <c r="M8177" s="510"/>
      <c r="N8177" s="623">
        <f>23.36*(0.028317)</f>
        <v>0.66148511999999993</v>
      </c>
      <c r="O8177" s="624">
        <v>7.0429999999999998E-3</v>
      </c>
      <c r="P8177" s="413"/>
      <c r="Q8177" s="413"/>
      <c r="R8177" s="413"/>
      <c r="S8177" s="413">
        <v>5.7507987220447282E-2</v>
      </c>
      <c r="T8177" s="413">
        <v>9.9041533546325874E-2</v>
      </c>
      <c r="U8177" s="413">
        <v>0.18051118210862621</v>
      </c>
      <c r="V8177" s="504">
        <v>0</v>
      </c>
      <c r="W8177" s="504">
        <v>0</v>
      </c>
      <c r="X8177" s="504">
        <v>0</v>
      </c>
      <c r="Y8177" s="504">
        <v>0.66293929712460065</v>
      </c>
      <c r="Z8177" s="388">
        <v>10</v>
      </c>
      <c r="AA8177" s="388"/>
      <c r="AB8177" s="391"/>
      <c r="AC8177" s="392"/>
      <c r="AD8177" s="388">
        <f>13.5*(0.3048)</f>
        <v>4.1147999999999998</v>
      </c>
      <c r="AE8177" s="388">
        <f>0.665833333333333*(0.3048)</f>
        <v>0.20294599999999993</v>
      </c>
      <c r="AF8177" s="388">
        <f t="shared" si="60"/>
        <v>0.83508220079999973</v>
      </c>
      <c r="AG8177" s="388">
        <f>2.5983813099708*(0.3048)</f>
        <v>0.79198662327909986</v>
      </c>
      <c r="AH8177" s="391"/>
      <c r="AI8177" s="397"/>
      <c r="AJ8177" s="397"/>
      <c r="AK8177" s="392"/>
      <c r="AL8177" s="392"/>
      <c r="AM8177" s="392"/>
      <c r="AN8177" s="392"/>
      <c r="AO8177" s="392"/>
      <c r="AP8177" s="392"/>
      <c r="AQ8177" s="392"/>
      <c r="AR8177" s="392"/>
      <c r="AS8177" s="392"/>
      <c r="AT8177" s="392"/>
      <c r="AU8177" s="397"/>
      <c r="AV8177" s="397"/>
      <c r="AW8177" s="397"/>
      <c r="AX8177" s="397"/>
      <c r="AY8177" s="392"/>
      <c r="AZ8177" s="392"/>
      <c r="BA8177" s="392"/>
      <c r="BB8177" s="392"/>
      <c r="BC8177" s="392"/>
      <c r="BD8177" s="392"/>
      <c r="BE8177" s="392"/>
      <c r="BF8177" s="392"/>
      <c r="BG8177" s="392"/>
      <c r="BH8177" s="392"/>
      <c r="BI8177" s="397"/>
      <c r="BJ8177" s="397"/>
      <c r="BK8177" s="397"/>
      <c r="BL8177" s="397"/>
      <c r="BM8177" s="397"/>
      <c r="BN8177" s="397"/>
      <c r="BO8177" s="397"/>
      <c r="BP8177" s="397"/>
      <c r="BQ8177" s="397"/>
      <c r="BR8177" s="397"/>
      <c r="BS8177" s="397"/>
      <c r="BT8177" s="397"/>
      <c r="BU8177" s="397"/>
      <c r="BV8177" s="397"/>
      <c r="BW8177" s="397"/>
      <c r="BX8177" s="397"/>
      <c r="BY8177" s="397"/>
      <c r="BZ8177" s="397"/>
      <c r="CA8177" s="392"/>
      <c r="CB8177" s="392"/>
    </row>
    <row r="8178" spans="1:80" ht="15" x14ac:dyDescent="0.25">
      <c r="A8178" s="385"/>
      <c r="B8178" s="392"/>
      <c r="C8178" s="392"/>
      <c r="D8178" s="700"/>
      <c r="E8178" s="397"/>
      <c r="F8178" s="392"/>
      <c r="G8178" s="392"/>
      <c r="H8178" s="401"/>
      <c r="I8178" s="165">
        <v>10</v>
      </c>
      <c r="J8178" s="165">
        <v>120</v>
      </c>
      <c r="K8178" s="165">
        <v>1</v>
      </c>
      <c r="L8178" s="628"/>
      <c r="M8178" s="628"/>
      <c r="N8178" s="623">
        <f>32.51*(0.028317)</f>
        <v>0.92058566999999991</v>
      </c>
      <c r="O8178" s="624">
        <v>2.009E-2</v>
      </c>
      <c r="P8178" s="413"/>
      <c r="Q8178" s="413"/>
      <c r="R8178" s="413"/>
      <c r="S8178" s="413">
        <v>4.5876887340301972E-2</v>
      </c>
      <c r="T8178" s="413">
        <v>0.16550522648083624</v>
      </c>
      <c r="U8178" s="413">
        <v>0.18699186991869918</v>
      </c>
      <c r="V8178" s="504">
        <v>0</v>
      </c>
      <c r="W8178" s="504">
        <v>0</v>
      </c>
      <c r="X8178" s="504">
        <v>0</v>
      </c>
      <c r="Y8178" s="504">
        <v>0.60162601626016265</v>
      </c>
      <c r="Z8178" s="388">
        <v>14</v>
      </c>
      <c r="AA8178" s="388"/>
      <c r="AB8178" s="391"/>
      <c r="AC8178" s="392"/>
      <c r="AD8178" s="388">
        <f>14*(0.3048)</f>
        <v>4.2671999999999999</v>
      </c>
      <c r="AE8178" s="388">
        <f>0.756017857142857*(0.3048)</f>
        <v>0.23043424285714281</v>
      </c>
      <c r="AF8178" s="388">
        <f t="shared" si="60"/>
        <v>0.98330900111999975</v>
      </c>
      <c r="AG8178" s="388">
        <f>3.07193282471597*(0.3048)</f>
        <v>0.93632512497342768</v>
      </c>
      <c r="AH8178" s="391"/>
      <c r="AI8178" s="397"/>
      <c r="AJ8178" s="397"/>
      <c r="AK8178" s="392"/>
      <c r="AL8178" s="392"/>
      <c r="AM8178" s="392"/>
      <c r="AN8178" s="392"/>
      <c r="AO8178" s="392"/>
      <c r="AP8178" s="392"/>
      <c r="AQ8178" s="392"/>
      <c r="AR8178" s="392"/>
      <c r="AS8178" s="392"/>
      <c r="AT8178" s="392"/>
      <c r="AU8178" s="397"/>
      <c r="AV8178" s="397"/>
      <c r="AW8178" s="397"/>
      <c r="AX8178" s="397"/>
      <c r="AY8178" s="392"/>
      <c r="AZ8178" s="392"/>
      <c r="BA8178" s="392"/>
      <c r="BB8178" s="392"/>
      <c r="BC8178" s="392"/>
      <c r="BD8178" s="392"/>
      <c r="BE8178" s="392"/>
      <c r="BF8178" s="392"/>
      <c r="BG8178" s="392"/>
      <c r="BH8178" s="392"/>
      <c r="BI8178" s="397"/>
      <c r="BJ8178" s="397"/>
      <c r="BK8178" s="397"/>
      <c r="BL8178" s="397"/>
      <c r="BM8178" s="397"/>
      <c r="BN8178" s="397"/>
      <c r="BO8178" s="397"/>
      <c r="BP8178" s="397"/>
      <c r="BQ8178" s="397"/>
      <c r="BR8178" s="397"/>
      <c r="BS8178" s="397"/>
      <c r="BT8178" s="397"/>
      <c r="BU8178" s="397"/>
      <c r="BV8178" s="397"/>
      <c r="BW8178" s="397"/>
      <c r="BX8178" s="397"/>
      <c r="BY8178" s="397"/>
      <c r="BZ8178" s="397"/>
      <c r="CA8178" s="392"/>
      <c r="CB8178" s="392"/>
    </row>
    <row r="8179" spans="1:80" ht="15" x14ac:dyDescent="0.25">
      <c r="A8179" s="385"/>
      <c r="B8179" s="392"/>
      <c r="C8179" s="392"/>
      <c r="D8179" s="700"/>
      <c r="E8179" s="397"/>
      <c r="F8179" s="392"/>
      <c r="G8179" s="392"/>
      <c r="H8179" s="401"/>
      <c r="I8179" s="165">
        <v>10</v>
      </c>
      <c r="J8179" s="165">
        <v>120</v>
      </c>
      <c r="K8179" s="165">
        <v>1</v>
      </c>
      <c r="L8179" s="628"/>
      <c r="M8179" s="628"/>
      <c r="N8179" s="623">
        <f>34.87*(0.028317)</f>
        <v>0.98741378999999985</v>
      </c>
      <c r="O8179" s="624">
        <v>3.4962E-2</v>
      </c>
      <c r="P8179" s="413">
        <v>0.56937631394533983</v>
      </c>
      <c r="Q8179" s="413"/>
      <c r="R8179" s="413">
        <v>6.2018220042046254E-2</v>
      </c>
      <c r="S8179" s="413">
        <v>4.5199719691660825E-2</v>
      </c>
      <c r="T8179" s="413">
        <v>2.5928521373510861E-2</v>
      </c>
      <c r="U8179" s="413">
        <v>2.8381219341275403E-2</v>
      </c>
      <c r="V8179" s="504">
        <v>0</v>
      </c>
      <c r="W8179" s="504">
        <v>0</v>
      </c>
      <c r="X8179" s="504">
        <v>0</v>
      </c>
      <c r="Y8179" s="504">
        <v>0.26909600560616681</v>
      </c>
      <c r="Z8179" s="388">
        <v>78</v>
      </c>
      <c r="AA8179" s="388"/>
      <c r="AB8179" s="391"/>
      <c r="AC8179" s="392"/>
      <c r="AD8179" s="388">
        <f>14.7*(0.3048)</f>
        <v>4.4805599999999997</v>
      </c>
      <c r="AE8179" s="388">
        <f>0.740765306122449*(0.3048)</f>
        <v>0.22578526530612245</v>
      </c>
      <c r="AF8179" s="388">
        <f t="shared" si="60"/>
        <v>1.0116444283199999</v>
      </c>
      <c r="AG8179" s="388">
        <f>3.20250017218817*(0.3048)</f>
        <v>0.97612205248295425</v>
      </c>
      <c r="AH8179" s="391"/>
      <c r="AI8179" s="397"/>
      <c r="AJ8179" s="397"/>
      <c r="AK8179" s="392"/>
      <c r="AL8179" s="392"/>
      <c r="AM8179" s="392"/>
      <c r="AN8179" s="392"/>
      <c r="AO8179" s="392"/>
      <c r="AP8179" s="392"/>
      <c r="AQ8179" s="392"/>
      <c r="AR8179" s="392"/>
      <c r="AS8179" s="392"/>
      <c r="AT8179" s="392"/>
      <c r="AU8179" s="397"/>
      <c r="AV8179" s="397"/>
      <c r="AW8179" s="397"/>
      <c r="AX8179" s="397"/>
      <c r="AY8179" s="392"/>
      <c r="AZ8179" s="392"/>
      <c r="BA8179" s="392"/>
      <c r="BB8179" s="392"/>
      <c r="BC8179" s="392"/>
      <c r="BD8179" s="392"/>
      <c r="BE8179" s="392"/>
      <c r="BF8179" s="392"/>
      <c r="BG8179" s="392"/>
      <c r="BH8179" s="392"/>
      <c r="BI8179" s="397"/>
      <c r="BJ8179" s="397"/>
      <c r="BK8179" s="397"/>
      <c r="BL8179" s="397"/>
      <c r="BM8179" s="397"/>
      <c r="BN8179" s="397"/>
      <c r="BO8179" s="397"/>
      <c r="BP8179" s="397"/>
      <c r="BQ8179" s="397"/>
      <c r="BR8179" s="397"/>
      <c r="BS8179" s="397"/>
      <c r="BT8179" s="397"/>
      <c r="BU8179" s="397"/>
      <c r="BV8179" s="397"/>
      <c r="BW8179" s="397"/>
      <c r="BX8179" s="397"/>
      <c r="BY8179" s="397"/>
      <c r="BZ8179" s="397"/>
      <c r="CA8179" s="392"/>
      <c r="CB8179" s="392"/>
    </row>
    <row r="8180" spans="1:80" ht="15" x14ac:dyDescent="0.25">
      <c r="A8180" s="385"/>
      <c r="B8180" s="392"/>
      <c r="C8180" s="392"/>
      <c r="D8180" s="700"/>
      <c r="E8180" s="397"/>
      <c r="F8180" s="392"/>
      <c r="G8180" s="392"/>
      <c r="H8180" s="401"/>
      <c r="I8180" s="165">
        <v>10</v>
      </c>
      <c r="J8180" s="165">
        <v>120</v>
      </c>
      <c r="K8180" s="165">
        <v>1</v>
      </c>
      <c r="L8180" s="628"/>
      <c r="M8180" s="628"/>
      <c r="N8180" s="623">
        <f>41.96*(0.028317)</f>
        <v>1.18818132</v>
      </c>
      <c r="O8180" s="624">
        <v>2.2750000000000001E-3</v>
      </c>
      <c r="P8180" s="413"/>
      <c r="Q8180" s="413"/>
      <c r="R8180" s="413"/>
      <c r="S8180" s="413">
        <v>1.1428571428571429E-2</v>
      </c>
      <c r="T8180" s="413"/>
      <c r="U8180" s="413">
        <v>5.7142857142857141E-2</v>
      </c>
      <c r="V8180" s="504">
        <v>0</v>
      </c>
      <c r="W8180" s="504">
        <v>0</v>
      </c>
      <c r="X8180" s="504">
        <v>0</v>
      </c>
      <c r="Y8180" s="504">
        <v>0.93142857142857138</v>
      </c>
      <c r="Z8180" s="388">
        <v>9</v>
      </c>
      <c r="AA8180" s="388"/>
      <c r="AB8180" s="391"/>
      <c r="AC8180" s="392"/>
      <c r="AD8180" s="388">
        <f>15.6*(0.3048)</f>
        <v>4.75488</v>
      </c>
      <c r="AE8180" s="388">
        <f>0.699198717948718*(0.3048)</f>
        <v>0.21311576923076928</v>
      </c>
      <c r="AF8180" s="388">
        <f t="shared" si="60"/>
        <v>1.0133399088000001</v>
      </c>
      <c r="AG8180" s="388">
        <f>3.84709832683933*(0.3048)</f>
        <v>1.1725955700206279</v>
      </c>
      <c r="AH8180" s="391"/>
      <c r="AI8180" s="397"/>
      <c r="AJ8180" s="397"/>
      <c r="AK8180" s="392"/>
      <c r="AL8180" s="392"/>
      <c r="AM8180" s="392"/>
      <c r="AN8180" s="392"/>
      <c r="AO8180" s="392"/>
      <c r="AP8180" s="392"/>
      <c r="AQ8180" s="392"/>
      <c r="AR8180" s="392"/>
      <c r="AS8180" s="392"/>
      <c r="AT8180" s="392"/>
      <c r="AU8180" s="397"/>
      <c r="AV8180" s="397"/>
      <c r="AW8180" s="397"/>
      <c r="AX8180" s="397"/>
      <c r="AY8180" s="392"/>
      <c r="AZ8180" s="392"/>
      <c r="BA8180" s="392"/>
      <c r="BB8180" s="392"/>
      <c r="BC8180" s="392"/>
      <c r="BD8180" s="392"/>
      <c r="BE8180" s="392"/>
      <c r="BF8180" s="392"/>
      <c r="BG8180" s="392"/>
      <c r="BH8180" s="392"/>
      <c r="BI8180" s="397"/>
      <c r="BJ8180" s="397"/>
      <c r="BK8180" s="397"/>
      <c r="BL8180" s="397"/>
      <c r="BM8180" s="397"/>
      <c r="BN8180" s="397"/>
      <c r="BO8180" s="397"/>
      <c r="BP8180" s="397"/>
      <c r="BQ8180" s="397"/>
      <c r="BR8180" s="397"/>
      <c r="BS8180" s="397"/>
      <c r="BT8180" s="397"/>
      <c r="BU8180" s="397"/>
      <c r="BV8180" s="397"/>
      <c r="BW8180" s="397"/>
      <c r="BX8180" s="397"/>
      <c r="BY8180" s="397"/>
      <c r="BZ8180" s="397"/>
      <c r="CA8180" s="392"/>
      <c r="CB8180" s="392"/>
    </row>
    <row r="8181" spans="1:80" ht="15" x14ac:dyDescent="0.25">
      <c r="A8181" s="385"/>
      <c r="B8181" s="392"/>
      <c r="C8181" s="392"/>
      <c r="D8181" s="700"/>
      <c r="E8181" s="397"/>
      <c r="F8181" s="392"/>
      <c r="G8181" s="392"/>
      <c r="H8181" s="401"/>
      <c r="I8181" s="165">
        <v>10</v>
      </c>
      <c r="J8181" s="165">
        <v>120</v>
      </c>
      <c r="K8181" s="165">
        <v>1</v>
      </c>
      <c r="L8181" s="628"/>
      <c r="M8181" s="628"/>
      <c r="N8181" s="623">
        <f>43.81*(0.028317)</f>
        <v>1.24056777</v>
      </c>
      <c r="O8181" s="624">
        <v>8.4650000000000003E-3</v>
      </c>
      <c r="P8181" s="413"/>
      <c r="Q8181" s="413"/>
      <c r="R8181" s="413">
        <v>0.10973724884080371</v>
      </c>
      <c r="S8181" s="413">
        <v>5.2550231839258117E-2</v>
      </c>
      <c r="T8181" s="413">
        <v>3.5548686244204021E-2</v>
      </c>
      <c r="U8181" s="413">
        <v>4.945904173106646E-2</v>
      </c>
      <c r="V8181" s="504">
        <v>0</v>
      </c>
      <c r="W8181" s="504">
        <v>0</v>
      </c>
      <c r="X8181" s="504">
        <v>0</v>
      </c>
      <c r="Y8181" s="504">
        <v>0.75270479134466772</v>
      </c>
      <c r="Z8181" s="388">
        <v>29</v>
      </c>
      <c r="AA8181" s="388"/>
      <c r="AB8181" s="391"/>
      <c r="AC8181" s="392"/>
      <c r="AD8181" s="388">
        <f>15.7*(0.3048)</f>
        <v>4.7853599999999998</v>
      </c>
      <c r="AE8181" s="388">
        <f>0.705971337579618*(0.3048)</f>
        <v>0.21518006369426759</v>
      </c>
      <c r="AF8181" s="388">
        <f t="shared" si="60"/>
        <v>1.0297140696000002</v>
      </c>
      <c r="AG8181" s="388">
        <f>3.95308334273148*(0.3048)</f>
        <v>1.2048998028645552</v>
      </c>
      <c r="AH8181" s="391"/>
      <c r="AI8181" s="397"/>
      <c r="AJ8181" s="397"/>
      <c r="AK8181" s="392"/>
      <c r="AL8181" s="392"/>
      <c r="AM8181" s="392"/>
      <c r="AN8181" s="392"/>
      <c r="AO8181" s="392"/>
      <c r="AP8181" s="392"/>
      <c r="AQ8181" s="392"/>
      <c r="AR8181" s="392"/>
      <c r="AS8181" s="392"/>
      <c r="AT8181" s="392"/>
      <c r="AU8181" s="397"/>
      <c r="AV8181" s="397"/>
      <c r="AW8181" s="397"/>
      <c r="AX8181" s="397"/>
      <c r="AY8181" s="392"/>
      <c r="AZ8181" s="392"/>
      <c r="BA8181" s="392"/>
      <c r="BB8181" s="392"/>
      <c r="BC8181" s="392"/>
      <c r="BD8181" s="392"/>
      <c r="BE8181" s="392"/>
      <c r="BF8181" s="392"/>
      <c r="BG8181" s="392"/>
      <c r="BH8181" s="392"/>
      <c r="BI8181" s="397"/>
      <c r="BJ8181" s="397"/>
      <c r="BK8181" s="397"/>
      <c r="BL8181" s="397"/>
      <c r="BM8181" s="397"/>
      <c r="BN8181" s="397"/>
      <c r="BO8181" s="397"/>
      <c r="BP8181" s="397"/>
      <c r="BQ8181" s="397"/>
      <c r="BR8181" s="397"/>
      <c r="BS8181" s="397"/>
      <c r="BT8181" s="397"/>
      <c r="BU8181" s="397"/>
      <c r="BV8181" s="397"/>
      <c r="BW8181" s="397"/>
      <c r="BX8181" s="397"/>
      <c r="BY8181" s="397"/>
      <c r="BZ8181" s="397"/>
      <c r="CA8181" s="392"/>
      <c r="CB8181" s="392"/>
    </row>
    <row r="8182" spans="1:80" ht="15" x14ac:dyDescent="0.25">
      <c r="A8182" s="385"/>
      <c r="B8182" s="392"/>
      <c r="C8182" s="392"/>
      <c r="D8182" s="700"/>
      <c r="E8182" s="397"/>
      <c r="F8182" s="392"/>
      <c r="G8182" s="392"/>
      <c r="H8182" s="401"/>
      <c r="I8182" s="165">
        <v>10</v>
      </c>
      <c r="J8182" s="165">
        <v>120</v>
      </c>
      <c r="K8182" s="165">
        <v>1</v>
      </c>
      <c r="L8182" s="628"/>
      <c r="M8182" s="628"/>
      <c r="N8182" s="388">
        <f>43.78*(0.028317)</f>
        <v>1.2397182600000001</v>
      </c>
      <c r="O8182" s="389">
        <v>1.3448E-2</v>
      </c>
      <c r="P8182" s="413"/>
      <c r="Q8182" s="413"/>
      <c r="R8182" s="413">
        <v>0.15541922290388549</v>
      </c>
      <c r="S8182" s="413">
        <v>9.3047034764826175E-2</v>
      </c>
      <c r="T8182" s="413">
        <v>6.3394683026584867E-2</v>
      </c>
      <c r="U8182" s="413">
        <v>6.5439672801635998E-2</v>
      </c>
      <c r="V8182" s="504">
        <v>0</v>
      </c>
      <c r="W8182" s="504">
        <v>0</v>
      </c>
      <c r="X8182" s="504">
        <v>0</v>
      </c>
      <c r="Y8182" s="504">
        <v>0.62269938650306744</v>
      </c>
      <c r="Z8182" s="388">
        <v>36</v>
      </c>
      <c r="AA8182" s="388"/>
      <c r="AB8182" s="391"/>
      <c r="AC8182" s="392"/>
      <c r="AD8182" s="388">
        <f>16.5*(0.3048)</f>
        <v>5.0292000000000003</v>
      </c>
      <c r="AE8182" s="388">
        <f>0.786363636363636*(0.3048)</f>
        <v>0.23968363636363627</v>
      </c>
      <c r="AF8182" s="388">
        <f t="shared" si="60"/>
        <v>1.2054169439999995</v>
      </c>
      <c r="AG8182" s="388">
        <f>3.37410404624277*(0.3048)</f>
        <v>1.0284269132947963</v>
      </c>
      <c r="AH8182" s="391"/>
      <c r="AI8182" s="397"/>
      <c r="AJ8182" s="397"/>
      <c r="AK8182" s="392"/>
      <c r="AL8182" s="392"/>
      <c r="AM8182" s="392"/>
      <c r="AN8182" s="392"/>
      <c r="AO8182" s="392"/>
      <c r="AP8182" s="392"/>
      <c r="AQ8182" s="392"/>
      <c r="AR8182" s="392"/>
      <c r="AS8182" s="392"/>
      <c r="AT8182" s="392"/>
      <c r="AU8182" s="397"/>
      <c r="AV8182" s="397"/>
      <c r="AW8182" s="397"/>
      <c r="AX8182" s="397"/>
      <c r="AY8182" s="392"/>
      <c r="AZ8182" s="392"/>
      <c r="BA8182" s="392"/>
      <c r="BB8182" s="392"/>
      <c r="BC8182" s="392"/>
      <c r="BD8182" s="392"/>
      <c r="BE8182" s="392"/>
      <c r="BF8182" s="392"/>
      <c r="BG8182" s="392"/>
      <c r="BH8182" s="392"/>
      <c r="BI8182" s="397"/>
      <c r="BJ8182" s="397"/>
      <c r="BK8182" s="397"/>
      <c r="BL8182" s="397"/>
      <c r="BM8182" s="397"/>
      <c r="BN8182" s="397"/>
      <c r="BO8182" s="397"/>
      <c r="BP8182" s="397"/>
      <c r="BQ8182" s="397"/>
      <c r="BR8182" s="397"/>
      <c r="BS8182" s="397"/>
      <c r="BT8182" s="397"/>
      <c r="BU8182" s="397"/>
      <c r="BV8182" s="397"/>
      <c r="BW8182" s="397"/>
      <c r="BX8182" s="397"/>
      <c r="BY8182" s="397"/>
      <c r="BZ8182" s="397"/>
      <c r="CA8182" s="392"/>
      <c r="CB8182" s="392"/>
    </row>
    <row r="8183" spans="1:80" ht="15" x14ac:dyDescent="0.25">
      <c r="A8183" s="385"/>
      <c r="B8183" s="392"/>
      <c r="C8183" s="392"/>
      <c r="D8183" s="700"/>
      <c r="E8183" s="397"/>
      <c r="F8183" s="392"/>
      <c r="G8183" s="392"/>
      <c r="H8183" s="401"/>
      <c r="I8183" s="165">
        <v>10</v>
      </c>
      <c r="J8183" s="165">
        <v>120</v>
      </c>
      <c r="K8183" s="165">
        <v>1</v>
      </c>
      <c r="L8183" s="628"/>
      <c r="M8183" s="628"/>
      <c r="N8183" s="388">
        <f>41.39*(0.028317)</f>
        <v>1.1720406299999999</v>
      </c>
      <c r="O8183" s="389">
        <v>9.358E-3</v>
      </c>
      <c r="P8183" s="413"/>
      <c r="Q8183" s="413"/>
      <c r="R8183" s="413"/>
      <c r="S8183" s="413">
        <v>5.890603085553997E-2</v>
      </c>
      <c r="T8183" s="413">
        <v>0.10659186535764376</v>
      </c>
      <c r="U8183" s="413">
        <v>9.3969144460028048E-2</v>
      </c>
      <c r="V8183" s="504">
        <v>0</v>
      </c>
      <c r="W8183" s="504">
        <v>0</v>
      </c>
      <c r="X8183" s="504">
        <v>0</v>
      </c>
      <c r="Y8183" s="504">
        <v>0.7405329593267882</v>
      </c>
      <c r="Z8183" s="388">
        <v>10</v>
      </c>
      <c r="AA8183" s="388"/>
      <c r="AB8183" s="391"/>
      <c r="AC8183" s="392"/>
      <c r="AD8183" s="388">
        <f>15.75*(0.3048)</f>
        <v>4.8006000000000002</v>
      </c>
      <c r="AE8183" s="388">
        <f>0.795238095238095*(0.3048)</f>
        <v>0.24238857142857137</v>
      </c>
      <c r="AF8183" s="388">
        <f t="shared" si="60"/>
        <v>1.1636105759999997</v>
      </c>
      <c r="AG8183" s="388">
        <f>3.30473053892216*(0.3048)</f>
        <v>1.0072818682634743</v>
      </c>
      <c r="AH8183" s="391"/>
      <c r="AI8183" s="397"/>
      <c r="AJ8183" s="397"/>
      <c r="AK8183" s="392"/>
      <c r="AL8183" s="392"/>
      <c r="AM8183" s="392"/>
      <c r="AN8183" s="392"/>
      <c r="AO8183" s="392"/>
      <c r="AP8183" s="392"/>
      <c r="AQ8183" s="392"/>
      <c r="AR8183" s="392"/>
      <c r="AS8183" s="392"/>
      <c r="AT8183" s="392"/>
      <c r="AU8183" s="397"/>
      <c r="AV8183" s="397"/>
      <c r="AW8183" s="397"/>
      <c r="AX8183" s="397"/>
      <c r="AY8183" s="392"/>
      <c r="AZ8183" s="392"/>
      <c r="BA8183" s="392"/>
      <c r="BB8183" s="392"/>
      <c r="BC8183" s="392"/>
      <c r="BD8183" s="392"/>
      <c r="BE8183" s="392"/>
      <c r="BF8183" s="392"/>
      <c r="BG8183" s="392"/>
      <c r="BH8183" s="392"/>
      <c r="BI8183" s="397"/>
      <c r="BJ8183" s="397"/>
      <c r="BK8183" s="397"/>
      <c r="BL8183" s="397"/>
      <c r="BM8183" s="397"/>
      <c r="BN8183" s="397"/>
      <c r="BO8183" s="397"/>
      <c r="BP8183" s="397"/>
      <c r="BQ8183" s="397"/>
      <c r="BR8183" s="397"/>
      <c r="BS8183" s="397"/>
      <c r="BT8183" s="397"/>
      <c r="BU8183" s="397"/>
      <c r="BV8183" s="397"/>
      <c r="BW8183" s="397"/>
      <c r="BX8183" s="397"/>
      <c r="BY8183" s="397"/>
      <c r="BZ8183" s="397"/>
      <c r="CA8183" s="392"/>
      <c r="CB8183" s="392"/>
    </row>
    <row r="8184" spans="1:80" ht="15" x14ac:dyDescent="0.25">
      <c r="A8184" s="385"/>
      <c r="B8184" s="392"/>
      <c r="C8184" s="392"/>
      <c r="D8184" s="700"/>
      <c r="E8184" s="397"/>
      <c r="F8184" s="392"/>
      <c r="G8184" s="392"/>
      <c r="H8184" s="401"/>
      <c r="I8184" s="165">
        <v>10</v>
      </c>
      <c r="J8184" s="165">
        <v>120</v>
      </c>
      <c r="K8184" s="165">
        <v>1</v>
      </c>
      <c r="L8184" s="628"/>
      <c r="M8184" s="628"/>
      <c r="N8184" s="388">
        <f>29.6971*(0.028317)</f>
        <v>0.84093278069999988</v>
      </c>
      <c r="O8184" s="389">
        <v>2.771E-3</v>
      </c>
      <c r="P8184" s="413"/>
      <c r="Q8184" s="413"/>
      <c r="R8184" s="413"/>
      <c r="S8184" s="413"/>
      <c r="T8184" s="413"/>
      <c r="U8184" s="413">
        <v>8.8235294117647065E-2</v>
      </c>
      <c r="V8184" s="504">
        <v>0</v>
      </c>
      <c r="W8184" s="504">
        <v>0</v>
      </c>
      <c r="X8184" s="504">
        <v>0</v>
      </c>
      <c r="Y8184" s="504">
        <v>0.91176470588235292</v>
      </c>
      <c r="Z8184" s="388">
        <v>2</v>
      </c>
      <c r="AA8184" s="388"/>
      <c r="AB8184" s="391"/>
      <c r="AC8184" s="392"/>
      <c r="AD8184" s="388">
        <f>16.3*(0.3048)</f>
        <v>4.9682400000000007</v>
      </c>
      <c r="AE8184" s="388"/>
      <c r="AF8184" s="388"/>
      <c r="AG8184" s="388"/>
      <c r="AH8184" s="391"/>
      <c r="AI8184" s="397"/>
      <c r="AJ8184" s="397"/>
      <c r="AK8184" s="392"/>
      <c r="AL8184" s="392"/>
      <c r="AM8184" s="392"/>
      <c r="AN8184" s="392"/>
      <c r="AO8184" s="392"/>
      <c r="AP8184" s="392"/>
      <c r="AQ8184" s="392"/>
      <c r="AR8184" s="392"/>
      <c r="AS8184" s="392"/>
      <c r="AT8184" s="392"/>
      <c r="AU8184" s="397"/>
      <c r="AV8184" s="397"/>
      <c r="AW8184" s="397"/>
      <c r="AX8184" s="397"/>
      <c r="AY8184" s="392"/>
      <c r="AZ8184" s="392"/>
      <c r="BA8184" s="392"/>
      <c r="BB8184" s="392"/>
      <c r="BC8184" s="392"/>
      <c r="BD8184" s="392"/>
      <c r="BE8184" s="392"/>
      <c r="BF8184" s="392"/>
      <c r="BG8184" s="392"/>
      <c r="BH8184" s="392"/>
      <c r="BI8184" s="397"/>
      <c r="BJ8184" s="397"/>
      <c r="BK8184" s="397"/>
      <c r="BL8184" s="397"/>
      <c r="BM8184" s="397"/>
      <c r="BN8184" s="397"/>
      <c r="BO8184" s="397"/>
      <c r="BP8184" s="397"/>
      <c r="BQ8184" s="397"/>
      <c r="BR8184" s="397"/>
      <c r="BS8184" s="397"/>
      <c r="BT8184" s="397"/>
      <c r="BU8184" s="397"/>
      <c r="BV8184" s="397"/>
      <c r="BW8184" s="397"/>
      <c r="BX8184" s="397"/>
      <c r="BY8184" s="397"/>
      <c r="BZ8184" s="397"/>
      <c r="CA8184" s="392"/>
      <c r="CB8184" s="392"/>
    </row>
    <row r="8185" spans="1:80" ht="15" x14ac:dyDescent="0.25">
      <c r="A8185" s="385"/>
      <c r="B8185" s="392"/>
      <c r="C8185" s="392"/>
      <c r="D8185" s="700"/>
      <c r="E8185" s="397"/>
      <c r="F8185" s="392"/>
      <c r="G8185" s="392"/>
      <c r="H8185" s="401"/>
      <c r="I8185" s="165">
        <v>10</v>
      </c>
      <c r="J8185" s="165">
        <v>120</v>
      </c>
      <c r="K8185" s="165">
        <v>1</v>
      </c>
      <c r="L8185" s="628"/>
      <c r="M8185" s="628"/>
      <c r="N8185" s="388">
        <f>30.69*(0.028317)</f>
        <v>0.86904872999999994</v>
      </c>
      <c r="O8185" s="389">
        <v>1.5769999999999999E-2</v>
      </c>
      <c r="P8185" s="413"/>
      <c r="Q8185" s="413"/>
      <c r="R8185" s="413">
        <v>7.8380706287683038E-2</v>
      </c>
      <c r="S8185" s="413">
        <v>6.2876830318690791E-2</v>
      </c>
      <c r="T8185" s="413">
        <v>0.14125753660637383</v>
      </c>
      <c r="U8185" s="413">
        <v>0.16106804478897502</v>
      </c>
      <c r="V8185" s="504">
        <v>0</v>
      </c>
      <c r="W8185" s="504">
        <v>0</v>
      </c>
      <c r="X8185" s="504">
        <v>0</v>
      </c>
      <c r="Y8185" s="504">
        <v>0.55641688199827732</v>
      </c>
      <c r="Z8185" s="388">
        <v>22</v>
      </c>
      <c r="AA8185" s="388"/>
      <c r="AB8185" s="391"/>
      <c r="AC8185" s="392"/>
      <c r="AD8185" s="388">
        <f>16.3*(0.3048)</f>
        <v>4.9682400000000007</v>
      </c>
      <c r="AE8185" s="388">
        <f>0.686196319018405*(0.3048)</f>
        <v>0.20915263803680986</v>
      </c>
      <c r="AF8185" s="388">
        <f t="shared" si="60"/>
        <v>1.0391205024000003</v>
      </c>
      <c r="AG8185" s="388">
        <f>2.74369244523916*(0.3048)</f>
        <v>0.83627745730889602</v>
      </c>
      <c r="AH8185" s="391"/>
      <c r="AI8185" s="397"/>
      <c r="AJ8185" s="397"/>
      <c r="AK8185" s="392"/>
      <c r="AL8185" s="392"/>
      <c r="AM8185" s="392"/>
      <c r="AN8185" s="392"/>
      <c r="AO8185" s="392"/>
      <c r="AP8185" s="392"/>
      <c r="AQ8185" s="392"/>
      <c r="AR8185" s="392"/>
      <c r="AS8185" s="392"/>
      <c r="AT8185" s="392"/>
      <c r="AU8185" s="397"/>
      <c r="AV8185" s="397"/>
      <c r="AW8185" s="397"/>
      <c r="AX8185" s="397"/>
      <c r="AY8185" s="392"/>
      <c r="AZ8185" s="392"/>
      <c r="BA8185" s="392"/>
      <c r="BB8185" s="392"/>
      <c r="BC8185" s="392"/>
      <c r="BD8185" s="392"/>
      <c r="BE8185" s="392"/>
      <c r="BF8185" s="392"/>
      <c r="BG8185" s="392"/>
      <c r="BH8185" s="392"/>
      <c r="BI8185" s="397"/>
      <c r="BJ8185" s="397"/>
      <c r="BK8185" s="397"/>
      <c r="BL8185" s="397"/>
      <c r="BM8185" s="397"/>
      <c r="BN8185" s="397"/>
      <c r="BO8185" s="397"/>
      <c r="BP8185" s="397"/>
      <c r="BQ8185" s="397"/>
      <c r="BR8185" s="397"/>
      <c r="BS8185" s="397"/>
      <c r="BT8185" s="397"/>
      <c r="BU8185" s="397"/>
      <c r="BV8185" s="397"/>
      <c r="BW8185" s="397"/>
      <c r="BX8185" s="397"/>
      <c r="BY8185" s="397"/>
      <c r="BZ8185" s="397"/>
      <c r="CA8185" s="392"/>
      <c r="CB8185" s="392"/>
    </row>
    <row r="8186" spans="1:80" ht="15" x14ac:dyDescent="0.25">
      <c r="A8186" s="385"/>
      <c r="B8186" s="392"/>
      <c r="C8186" s="392"/>
      <c r="D8186" s="700"/>
      <c r="E8186" s="397"/>
      <c r="F8186" s="392"/>
      <c r="G8186" s="392"/>
      <c r="H8186" s="401"/>
      <c r="I8186" s="165">
        <v>10</v>
      </c>
      <c r="J8186" s="165">
        <v>120</v>
      </c>
      <c r="K8186" s="165">
        <v>1</v>
      </c>
      <c r="L8186" s="628"/>
      <c r="M8186" s="628"/>
      <c r="N8186" s="388">
        <f>39.31*(0.028317)</f>
        <v>1.1131412700000001</v>
      </c>
      <c r="O8186" s="389">
        <v>7.1910000000000003E-3</v>
      </c>
      <c r="P8186" s="413"/>
      <c r="Q8186" s="413">
        <v>0.26195028680688337</v>
      </c>
      <c r="R8186" s="413">
        <v>0.31357552581261949</v>
      </c>
      <c r="S8186" s="413"/>
      <c r="T8186" s="413">
        <v>2.2944550669216062E-2</v>
      </c>
      <c r="U8186" s="413">
        <v>1.7208413001912046E-2</v>
      </c>
      <c r="V8186" s="504">
        <v>0</v>
      </c>
      <c r="W8186" s="504">
        <v>0</v>
      </c>
      <c r="X8186" s="504">
        <v>0</v>
      </c>
      <c r="Y8186" s="504">
        <v>0.384321223709369</v>
      </c>
      <c r="Z8186" s="388">
        <v>35</v>
      </c>
      <c r="AA8186" s="388"/>
      <c r="AB8186" s="391"/>
      <c r="AC8186" s="392"/>
      <c r="AD8186" s="388">
        <f>16.5*(0.3048)</f>
        <v>5.0292000000000003</v>
      </c>
      <c r="AE8186" s="388">
        <f>0.7*(0.3048)</f>
        <v>0.21335999999999999</v>
      </c>
      <c r="AF8186" s="388">
        <f t="shared" si="60"/>
        <v>1.0730301120000001</v>
      </c>
      <c r="AG8186" s="388">
        <f>3.40344155844156*(0.3048)</f>
        <v>1.0373689870129876</v>
      </c>
      <c r="AH8186" s="391"/>
      <c r="AI8186" s="397"/>
      <c r="AJ8186" s="397"/>
      <c r="AK8186" s="392"/>
      <c r="AL8186" s="392"/>
      <c r="AM8186" s="392"/>
      <c r="AN8186" s="392"/>
      <c r="AO8186" s="392"/>
      <c r="AP8186" s="392"/>
      <c r="AQ8186" s="392"/>
      <c r="AR8186" s="392"/>
      <c r="AS8186" s="392"/>
      <c r="AT8186" s="392"/>
      <c r="AU8186" s="397"/>
      <c r="AV8186" s="397"/>
      <c r="AW8186" s="397"/>
      <c r="AX8186" s="397"/>
      <c r="AY8186" s="392"/>
      <c r="AZ8186" s="392"/>
      <c r="BA8186" s="392"/>
      <c r="BB8186" s="392"/>
      <c r="BC8186" s="392"/>
      <c r="BD8186" s="392"/>
      <c r="BE8186" s="392"/>
      <c r="BF8186" s="392"/>
      <c r="BG8186" s="392"/>
      <c r="BH8186" s="392"/>
      <c r="BI8186" s="397"/>
      <c r="BJ8186" s="397"/>
      <c r="BK8186" s="397"/>
      <c r="BL8186" s="397"/>
      <c r="BM8186" s="397"/>
      <c r="BN8186" s="397"/>
      <c r="BO8186" s="397"/>
      <c r="BP8186" s="397"/>
      <c r="BQ8186" s="397"/>
      <c r="BR8186" s="397"/>
      <c r="BS8186" s="397"/>
      <c r="BT8186" s="397"/>
      <c r="BU8186" s="397"/>
      <c r="BV8186" s="397"/>
      <c r="BW8186" s="397"/>
      <c r="BX8186" s="397"/>
      <c r="BY8186" s="397"/>
      <c r="BZ8186" s="397"/>
      <c r="CA8186" s="392"/>
      <c r="CB8186" s="392"/>
    </row>
    <row r="8187" spans="1:80" ht="15" x14ac:dyDescent="0.25">
      <c r="A8187" s="385"/>
      <c r="B8187" s="392"/>
      <c r="C8187" s="392"/>
      <c r="D8187" s="700"/>
      <c r="E8187" s="397"/>
      <c r="F8187" s="392"/>
      <c r="G8187" s="392"/>
      <c r="H8187" s="401"/>
      <c r="I8187" s="165">
        <v>10</v>
      </c>
      <c r="J8187" s="165">
        <v>120</v>
      </c>
      <c r="K8187" s="165">
        <v>1</v>
      </c>
      <c r="L8187" s="628"/>
      <c r="M8187" s="628"/>
      <c r="N8187" s="388">
        <f>37.75*(0.028317)</f>
        <v>1.06896675</v>
      </c>
      <c r="O8187" s="389">
        <v>1.1213000000000001E-2</v>
      </c>
      <c r="P8187" s="413"/>
      <c r="Q8187" s="413"/>
      <c r="R8187" s="413"/>
      <c r="S8187" s="413">
        <v>8.5748792270531407E-2</v>
      </c>
      <c r="T8187" s="413">
        <v>0.15942028985507245</v>
      </c>
      <c r="U8187" s="413">
        <v>0.13647342995169082</v>
      </c>
      <c r="V8187" s="504">
        <v>0</v>
      </c>
      <c r="W8187" s="504">
        <v>0</v>
      </c>
      <c r="X8187" s="504">
        <v>0</v>
      </c>
      <c r="Y8187" s="504">
        <v>0.61835748792270528</v>
      </c>
      <c r="Z8187" s="388">
        <v>12</v>
      </c>
      <c r="AA8187" s="388"/>
      <c r="AB8187" s="391"/>
      <c r="AC8187" s="392"/>
      <c r="AD8187" s="388">
        <f>16.25*(0.3048)</f>
        <v>4.9530000000000003</v>
      </c>
      <c r="AE8187" s="388">
        <f>0.710769230769231*(0.3048)</f>
        <v>0.21664246153846164</v>
      </c>
      <c r="AF8187" s="388">
        <f t="shared" si="60"/>
        <v>1.0730301120000005</v>
      </c>
      <c r="AG8187" s="388">
        <f>3.26850649350649*(0.3048)</f>
        <v>0.99624077922077814</v>
      </c>
      <c r="AH8187" s="391"/>
      <c r="AI8187" s="397"/>
      <c r="AJ8187" s="397"/>
      <c r="AK8187" s="392"/>
      <c r="AL8187" s="392"/>
      <c r="AM8187" s="392"/>
      <c r="AN8187" s="392"/>
      <c r="AO8187" s="392"/>
      <c r="AP8187" s="392"/>
      <c r="AQ8187" s="392"/>
      <c r="AR8187" s="392"/>
      <c r="AS8187" s="392"/>
      <c r="AT8187" s="392"/>
      <c r="AU8187" s="397"/>
      <c r="AV8187" s="397"/>
      <c r="AW8187" s="397"/>
      <c r="AX8187" s="397"/>
      <c r="AY8187" s="392"/>
      <c r="AZ8187" s="392"/>
      <c r="BA8187" s="392"/>
      <c r="BB8187" s="392"/>
      <c r="BC8187" s="392"/>
      <c r="BD8187" s="392"/>
      <c r="BE8187" s="392"/>
      <c r="BF8187" s="392"/>
      <c r="BG8187" s="392"/>
      <c r="BH8187" s="392"/>
      <c r="BI8187" s="397"/>
      <c r="BJ8187" s="397"/>
      <c r="BK8187" s="397"/>
      <c r="BL8187" s="397"/>
      <c r="BM8187" s="397"/>
      <c r="BN8187" s="397"/>
      <c r="BO8187" s="397"/>
      <c r="BP8187" s="397"/>
      <c r="BQ8187" s="397"/>
      <c r="BR8187" s="397"/>
      <c r="BS8187" s="397"/>
      <c r="BT8187" s="397"/>
      <c r="BU8187" s="397"/>
      <c r="BV8187" s="397"/>
      <c r="BW8187" s="397"/>
      <c r="BX8187" s="397"/>
      <c r="BY8187" s="397"/>
      <c r="BZ8187" s="397"/>
      <c r="CA8187" s="392"/>
      <c r="CB8187" s="392"/>
    </row>
    <row r="8188" spans="1:80" ht="15" x14ac:dyDescent="0.25">
      <c r="A8188" s="385"/>
      <c r="B8188" s="392"/>
      <c r="C8188" s="392"/>
      <c r="D8188" s="700"/>
      <c r="E8188" s="397"/>
      <c r="F8188" s="392"/>
      <c r="G8188" s="392"/>
      <c r="H8188" s="401"/>
      <c r="I8188" s="165">
        <v>10</v>
      </c>
      <c r="J8188" s="165">
        <v>120</v>
      </c>
      <c r="K8188" s="165">
        <v>1</v>
      </c>
      <c r="L8188" s="628"/>
      <c r="M8188" s="628"/>
      <c r="N8188" s="388">
        <f>33.2246*(0.028317)</f>
        <v>0.94082099819999998</v>
      </c>
      <c r="O8188" s="389">
        <v>1.4886E-2</v>
      </c>
      <c r="P8188" s="413"/>
      <c r="Q8188" s="413"/>
      <c r="R8188" s="413">
        <v>5.7480980557903634E-2</v>
      </c>
      <c r="S8188" s="413">
        <v>0.16990701606086223</v>
      </c>
      <c r="T8188" s="413">
        <v>0.19442096365173289</v>
      </c>
      <c r="U8188" s="413">
        <v>0.16060862214708369</v>
      </c>
      <c r="V8188" s="504">
        <v>0</v>
      </c>
      <c r="W8188" s="504">
        <v>0</v>
      </c>
      <c r="X8188" s="504">
        <v>0</v>
      </c>
      <c r="Y8188" s="504">
        <v>0.4175824175824176</v>
      </c>
      <c r="Z8188" s="388">
        <v>23</v>
      </c>
      <c r="AA8188" s="388"/>
      <c r="AB8188" s="391"/>
      <c r="AC8188" s="392"/>
      <c r="AD8188" s="388">
        <f>15.0997*(0.3048)</f>
        <v>4.6023885600000005</v>
      </c>
      <c r="AE8188" s="388"/>
      <c r="AF8188" s="388"/>
      <c r="AG8188" s="388"/>
      <c r="AH8188" s="391"/>
      <c r="AI8188" s="397"/>
      <c r="AJ8188" s="397"/>
      <c r="AK8188" s="392"/>
      <c r="AL8188" s="392"/>
      <c r="AM8188" s="392"/>
      <c r="AN8188" s="392"/>
      <c r="AO8188" s="392"/>
      <c r="AP8188" s="392"/>
      <c r="AQ8188" s="392"/>
      <c r="AR8188" s="392"/>
      <c r="AS8188" s="392"/>
      <c r="AT8188" s="392"/>
      <c r="AU8188" s="397"/>
      <c r="AV8188" s="397"/>
      <c r="AW8188" s="397"/>
      <c r="AX8188" s="397"/>
      <c r="AY8188" s="392"/>
      <c r="AZ8188" s="392"/>
      <c r="BA8188" s="392"/>
      <c r="BB8188" s="392"/>
      <c r="BC8188" s="392"/>
      <c r="BD8188" s="392"/>
      <c r="BE8188" s="392"/>
      <c r="BF8188" s="392"/>
      <c r="BG8188" s="392"/>
      <c r="BH8188" s="392"/>
      <c r="BI8188" s="397"/>
      <c r="BJ8188" s="397"/>
      <c r="BK8188" s="397"/>
      <c r="BL8188" s="397"/>
      <c r="BM8188" s="397"/>
      <c r="BN8188" s="397"/>
      <c r="BO8188" s="397"/>
      <c r="BP8188" s="397"/>
      <c r="BQ8188" s="397"/>
      <c r="BR8188" s="397"/>
      <c r="BS8188" s="397"/>
      <c r="BT8188" s="397"/>
      <c r="BU8188" s="397"/>
      <c r="BV8188" s="397"/>
      <c r="BW8188" s="397"/>
      <c r="BX8188" s="397"/>
      <c r="BY8188" s="397"/>
      <c r="BZ8188" s="397"/>
      <c r="CA8188" s="392"/>
      <c r="CB8188" s="392"/>
    </row>
    <row r="8189" spans="1:80" ht="15" x14ac:dyDescent="0.25">
      <c r="A8189" s="385"/>
      <c r="B8189" s="392"/>
      <c r="C8189" s="392"/>
      <c r="D8189" s="700"/>
      <c r="E8189" s="397"/>
      <c r="F8189" s="392"/>
      <c r="G8189" s="392"/>
      <c r="H8189" s="401"/>
      <c r="I8189" s="165">
        <v>10</v>
      </c>
      <c r="J8189" s="165">
        <v>120</v>
      </c>
      <c r="K8189" s="165">
        <v>1</v>
      </c>
      <c r="L8189" s="628"/>
      <c r="M8189" s="628"/>
      <c r="N8189" s="388">
        <f>20.7*(0.028317)</f>
        <v>0.5861618999999999</v>
      </c>
      <c r="O8189" s="389">
        <v>1.207E-3</v>
      </c>
      <c r="P8189" s="413"/>
      <c r="Q8189" s="413"/>
      <c r="R8189" s="413"/>
      <c r="S8189" s="413"/>
      <c r="T8189" s="413"/>
      <c r="U8189" s="413">
        <v>0.35789473684210527</v>
      </c>
      <c r="V8189" s="504">
        <v>0</v>
      </c>
      <c r="W8189" s="504">
        <v>0</v>
      </c>
      <c r="X8189" s="504">
        <v>0</v>
      </c>
      <c r="Y8189" s="504">
        <v>0.64210526315789473</v>
      </c>
      <c r="Z8189" s="388">
        <v>1</v>
      </c>
      <c r="AA8189" s="388"/>
      <c r="AB8189" s="391"/>
      <c r="AC8189" s="392"/>
      <c r="AD8189" s="388">
        <f>15.25*(0.3048)</f>
        <v>4.6482000000000001</v>
      </c>
      <c r="AE8189" s="388">
        <f>0.51516393442623*(0.3048)</f>
        <v>0.1570219672131149</v>
      </c>
      <c r="AF8189" s="388">
        <f t="shared" si="60"/>
        <v>0.72986950800000072</v>
      </c>
      <c r="AG8189" s="388">
        <f>2.6354415274463*(0.3048)</f>
        <v>0.80328257756563226</v>
      </c>
      <c r="AH8189" s="391"/>
      <c r="AI8189" s="397"/>
      <c r="AJ8189" s="397"/>
      <c r="AK8189" s="392"/>
      <c r="AL8189" s="392"/>
      <c r="AM8189" s="392"/>
      <c r="AN8189" s="392"/>
      <c r="AO8189" s="392"/>
      <c r="AP8189" s="392"/>
      <c r="AQ8189" s="392"/>
      <c r="AR8189" s="392"/>
      <c r="AS8189" s="392"/>
      <c r="AT8189" s="392"/>
      <c r="AU8189" s="397"/>
      <c r="AV8189" s="397"/>
      <c r="AW8189" s="397"/>
      <c r="AX8189" s="397"/>
      <c r="AY8189" s="392"/>
      <c r="AZ8189" s="392"/>
      <c r="BA8189" s="392"/>
      <c r="BB8189" s="392"/>
      <c r="BC8189" s="392"/>
      <c r="BD8189" s="392"/>
      <c r="BE8189" s="392"/>
      <c r="BF8189" s="392"/>
      <c r="BG8189" s="392"/>
      <c r="BH8189" s="392"/>
      <c r="BI8189" s="397"/>
      <c r="BJ8189" s="397"/>
      <c r="BK8189" s="397"/>
      <c r="BL8189" s="397"/>
      <c r="BM8189" s="397"/>
      <c r="BN8189" s="397"/>
      <c r="BO8189" s="397"/>
      <c r="BP8189" s="397"/>
      <c r="BQ8189" s="397"/>
      <c r="BR8189" s="397"/>
      <c r="BS8189" s="397"/>
      <c r="BT8189" s="397"/>
      <c r="BU8189" s="397"/>
      <c r="BV8189" s="397"/>
      <c r="BW8189" s="397"/>
      <c r="BX8189" s="397"/>
      <c r="BY8189" s="397"/>
      <c r="BZ8189" s="397"/>
      <c r="CA8189" s="392"/>
      <c r="CB8189" s="392"/>
    </row>
    <row r="8190" spans="1:80" ht="15" x14ac:dyDescent="0.25">
      <c r="A8190" s="385"/>
      <c r="B8190" s="392"/>
      <c r="C8190" s="392"/>
      <c r="D8190" s="700"/>
      <c r="E8190" s="397"/>
      <c r="F8190" s="392"/>
      <c r="G8190" s="392"/>
      <c r="H8190" s="401"/>
      <c r="I8190" s="165">
        <v>10</v>
      </c>
      <c r="J8190" s="165">
        <v>120</v>
      </c>
      <c r="K8190" s="165">
        <v>1</v>
      </c>
      <c r="L8190" s="628"/>
      <c r="M8190" s="628"/>
      <c r="N8190" s="388">
        <f>21.4*(0.028317)</f>
        <v>0.60598379999999996</v>
      </c>
      <c r="O8190" s="389">
        <v>2.9359999999999998E-3</v>
      </c>
      <c r="P8190" s="413"/>
      <c r="Q8190" s="413"/>
      <c r="R8190" s="413">
        <v>0.12280701754385964</v>
      </c>
      <c r="S8190" s="413">
        <v>8.771929824561403E-3</v>
      </c>
      <c r="T8190" s="413">
        <v>0.13157894736842105</v>
      </c>
      <c r="U8190" s="413">
        <v>0.14912280701754385</v>
      </c>
      <c r="V8190" s="504">
        <v>0</v>
      </c>
      <c r="W8190" s="504">
        <v>0</v>
      </c>
      <c r="X8190" s="504">
        <v>0</v>
      </c>
      <c r="Y8190" s="504">
        <v>0.58771929824561409</v>
      </c>
      <c r="Z8190" s="388">
        <v>25</v>
      </c>
      <c r="AA8190" s="388"/>
      <c r="AB8190" s="391"/>
      <c r="AC8190" s="392"/>
      <c r="AD8190" s="388">
        <f>15.45*(0.3048)</f>
        <v>4.7091599999999998</v>
      </c>
      <c r="AE8190" s="388">
        <f>0.544902912621359*(0.3048)</f>
        <v>0.16608640776699024</v>
      </c>
      <c r="AF8190" s="388">
        <f t="shared" si="60"/>
        <v>0.78212746799999977</v>
      </c>
      <c r="AG8190" s="388">
        <f>2.54213808463252*(0.3048)</f>
        <v>0.77484368819599214</v>
      </c>
      <c r="AH8190" s="391"/>
      <c r="AI8190" s="397"/>
      <c r="AJ8190" s="397"/>
      <c r="AK8190" s="392"/>
      <c r="AL8190" s="392"/>
      <c r="AM8190" s="392"/>
      <c r="AN8190" s="392"/>
      <c r="AO8190" s="392"/>
      <c r="AP8190" s="392"/>
      <c r="AQ8190" s="392"/>
      <c r="AR8190" s="392"/>
      <c r="AS8190" s="392"/>
      <c r="AT8190" s="392"/>
      <c r="AU8190" s="397"/>
      <c r="AV8190" s="397"/>
      <c r="AW8190" s="397"/>
      <c r="AX8190" s="397"/>
      <c r="AY8190" s="392"/>
      <c r="AZ8190" s="392"/>
      <c r="BA8190" s="392"/>
      <c r="BB8190" s="392"/>
      <c r="BC8190" s="392"/>
      <c r="BD8190" s="392"/>
      <c r="BE8190" s="392"/>
      <c r="BF8190" s="392"/>
      <c r="BG8190" s="392"/>
      <c r="BH8190" s="392"/>
      <c r="BI8190" s="397"/>
      <c r="BJ8190" s="397"/>
      <c r="BK8190" s="397"/>
      <c r="BL8190" s="397"/>
      <c r="BM8190" s="397"/>
      <c r="BN8190" s="397"/>
      <c r="BO8190" s="397"/>
      <c r="BP8190" s="397"/>
      <c r="BQ8190" s="397"/>
      <c r="BR8190" s="397"/>
      <c r="BS8190" s="397"/>
      <c r="BT8190" s="397"/>
      <c r="BU8190" s="397"/>
      <c r="BV8190" s="397"/>
      <c r="BW8190" s="397"/>
      <c r="BX8190" s="397"/>
      <c r="BY8190" s="397"/>
      <c r="BZ8190" s="397"/>
      <c r="CA8190" s="392"/>
      <c r="CB8190" s="392"/>
    </row>
    <row r="8191" spans="1:80" ht="15" x14ac:dyDescent="0.25">
      <c r="A8191" s="385"/>
      <c r="B8191" s="392"/>
      <c r="C8191" s="392"/>
      <c r="D8191" s="700"/>
      <c r="E8191" s="397"/>
      <c r="F8191" s="392"/>
      <c r="G8191" s="392"/>
      <c r="H8191" s="401"/>
      <c r="I8191" s="165">
        <v>10</v>
      </c>
      <c r="J8191" s="165">
        <v>120</v>
      </c>
      <c r="K8191" s="165">
        <v>1</v>
      </c>
      <c r="L8191" s="628"/>
      <c r="M8191" s="628"/>
      <c r="N8191" s="388">
        <f>52.44*(0.028317)</f>
        <v>1.4849434799999999</v>
      </c>
      <c r="O8191" s="389">
        <v>9.4929999999999997E-3</v>
      </c>
      <c r="P8191" s="413"/>
      <c r="Q8191" s="413"/>
      <c r="R8191" s="413">
        <v>7.3033707865168537E-2</v>
      </c>
      <c r="S8191" s="413">
        <v>0.14325842696629212</v>
      </c>
      <c r="T8191" s="413">
        <v>0.12921348314606743</v>
      </c>
      <c r="U8191" s="413">
        <v>0.12359550561797752</v>
      </c>
      <c r="V8191" s="504">
        <v>0</v>
      </c>
      <c r="W8191" s="504">
        <v>0</v>
      </c>
      <c r="X8191" s="504">
        <v>0</v>
      </c>
      <c r="Y8191" s="504">
        <v>0.5308988764044944</v>
      </c>
      <c r="Z8191" s="388">
        <v>24</v>
      </c>
      <c r="AA8191" s="388"/>
      <c r="AB8191" s="391"/>
      <c r="AC8191" s="392"/>
      <c r="AD8191" s="388">
        <f>16*(0.3048)</f>
        <v>4.8768000000000002</v>
      </c>
      <c r="AE8191" s="388">
        <f>0.8109375*(0.3048)</f>
        <v>0.24717375</v>
      </c>
      <c r="AF8191" s="388">
        <f t="shared" si="60"/>
        <v>1.205416944</v>
      </c>
      <c r="AG8191" s="388">
        <f>4.04164739884393*(0.3048)</f>
        <v>1.2318941271676298</v>
      </c>
      <c r="AH8191" s="391"/>
      <c r="AI8191" s="397"/>
      <c r="AJ8191" s="397"/>
      <c r="AK8191" s="392"/>
      <c r="AL8191" s="392"/>
      <c r="AM8191" s="392"/>
      <c r="AN8191" s="392"/>
      <c r="AO8191" s="392"/>
      <c r="AP8191" s="392"/>
      <c r="AQ8191" s="392"/>
      <c r="AR8191" s="392"/>
      <c r="AS8191" s="392"/>
      <c r="AT8191" s="392"/>
      <c r="AU8191" s="397"/>
      <c r="AV8191" s="397"/>
      <c r="AW8191" s="397"/>
      <c r="AX8191" s="397"/>
      <c r="AY8191" s="392"/>
      <c r="AZ8191" s="392"/>
      <c r="BA8191" s="392"/>
      <c r="BB8191" s="392"/>
      <c r="BC8191" s="392"/>
      <c r="BD8191" s="392"/>
      <c r="BE8191" s="392"/>
      <c r="BF8191" s="392"/>
      <c r="BG8191" s="392"/>
      <c r="BH8191" s="392"/>
      <c r="BI8191" s="397"/>
      <c r="BJ8191" s="397"/>
      <c r="BK8191" s="397"/>
      <c r="BL8191" s="397"/>
      <c r="BM8191" s="397"/>
      <c r="BN8191" s="397"/>
      <c r="BO8191" s="397"/>
      <c r="BP8191" s="397"/>
      <c r="BQ8191" s="397"/>
      <c r="BR8191" s="397"/>
      <c r="BS8191" s="397"/>
      <c r="BT8191" s="397"/>
      <c r="BU8191" s="397"/>
      <c r="BV8191" s="397"/>
      <c r="BW8191" s="397"/>
      <c r="BX8191" s="397"/>
      <c r="BY8191" s="397"/>
      <c r="BZ8191" s="397"/>
      <c r="CA8191" s="392"/>
      <c r="CB8191" s="392"/>
    </row>
    <row r="8192" spans="1:80" ht="15" x14ac:dyDescent="0.25">
      <c r="A8192" s="385"/>
      <c r="B8192" s="392"/>
      <c r="C8192" s="392"/>
      <c r="D8192" s="700"/>
      <c r="E8192" s="397"/>
      <c r="F8192" s="392"/>
      <c r="G8192" s="392"/>
      <c r="H8192" s="401"/>
      <c r="I8192" s="165">
        <v>10</v>
      </c>
      <c r="J8192" s="165">
        <v>120</v>
      </c>
      <c r="K8192" s="165">
        <v>1</v>
      </c>
      <c r="L8192" s="628"/>
      <c r="M8192" s="628"/>
      <c r="N8192" s="388">
        <f>57.87*(0.028317)</f>
        <v>1.6387047899999998</v>
      </c>
      <c r="O8192" s="389">
        <v>7.4871999999999994E-2</v>
      </c>
      <c r="P8192" s="413">
        <v>0.56245325355273001</v>
      </c>
      <c r="Q8192" s="413">
        <v>9.4614809274495143E-2</v>
      </c>
      <c r="R8192" s="413">
        <v>0.10396409872849663</v>
      </c>
      <c r="S8192" s="413">
        <v>4.712041884816754E-2</v>
      </c>
      <c r="T8192" s="413">
        <v>2.6178010471204188E-2</v>
      </c>
      <c r="U8192" s="413">
        <v>1.6454749439042633E-2</v>
      </c>
      <c r="V8192" s="504">
        <v>0</v>
      </c>
      <c r="W8192" s="504">
        <v>0</v>
      </c>
      <c r="X8192" s="504">
        <v>0</v>
      </c>
      <c r="Y8192" s="504">
        <v>0.14921465968586387</v>
      </c>
      <c r="Z8192" s="388">
        <v>71</v>
      </c>
      <c r="AA8192" s="388"/>
      <c r="AB8192" s="391"/>
      <c r="AC8192" s="392"/>
      <c r="AD8192" s="388">
        <f>16.8*(0.3048)</f>
        <v>5.1206400000000007</v>
      </c>
      <c r="AE8192" s="388">
        <f>0.778422619047619*(0.3048)</f>
        <v>0.23726321428571429</v>
      </c>
      <c r="AF8192" s="388">
        <f t="shared" si="60"/>
        <v>1.2149395056000001</v>
      </c>
      <c r="AG8192" s="388">
        <f>4.42512139170331*(0.3048)</f>
        <v>1.3487770001911688</v>
      </c>
      <c r="AH8192" s="391"/>
      <c r="AI8192" s="397"/>
      <c r="AJ8192" s="397"/>
      <c r="AK8192" s="392"/>
      <c r="AL8192" s="392"/>
      <c r="AM8192" s="392"/>
      <c r="AN8192" s="392"/>
      <c r="AO8192" s="392"/>
      <c r="AP8192" s="392"/>
      <c r="AQ8192" s="392"/>
      <c r="AR8192" s="392"/>
      <c r="AS8192" s="392"/>
      <c r="AT8192" s="392"/>
      <c r="AU8192" s="397"/>
      <c r="AV8192" s="397"/>
      <c r="AW8192" s="397"/>
      <c r="AX8192" s="397"/>
      <c r="AY8192" s="392"/>
      <c r="AZ8192" s="392"/>
      <c r="BA8192" s="392"/>
      <c r="BB8192" s="392"/>
      <c r="BC8192" s="392"/>
      <c r="BD8192" s="392"/>
      <c r="BE8192" s="392"/>
      <c r="BF8192" s="392"/>
      <c r="BG8192" s="392"/>
      <c r="BH8192" s="392"/>
      <c r="BI8192" s="397"/>
      <c r="BJ8192" s="397"/>
      <c r="BK8192" s="397"/>
      <c r="BL8192" s="397"/>
      <c r="BM8192" s="397"/>
      <c r="BN8192" s="397"/>
      <c r="BO8192" s="397"/>
      <c r="BP8192" s="397"/>
      <c r="BQ8192" s="397"/>
      <c r="BR8192" s="397"/>
      <c r="BS8192" s="397"/>
      <c r="BT8192" s="397"/>
      <c r="BU8192" s="397"/>
      <c r="BV8192" s="397"/>
      <c r="BW8192" s="397"/>
      <c r="BX8192" s="397"/>
      <c r="BY8192" s="397"/>
      <c r="BZ8192" s="397"/>
      <c r="CA8192" s="392"/>
      <c r="CB8192" s="392"/>
    </row>
    <row r="8193" spans="1:80" ht="15" x14ac:dyDescent="0.25">
      <c r="A8193" s="385"/>
      <c r="B8193" s="392"/>
      <c r="C8193" s="392"/>
      <c r="D8193" s="700"/>
      <c r="E8193" s="397"/>
      <c r="F8193" s="392"/>
      <c r="G8193" s="392"/>
      <c r="H8193" s="401"/>
      <c r="I8193" s="165">
        <v>10</v>
      </c>
      <c r="J8193" s="165">
        <v>120</v>
      </c>
      <c r="K8193" s="165">
        <v>1</v>
      </c>
      <c r="L8193" s="628"/>
      <c r="M8193" s="628"/>
      <c r="N8193" s="388">
        <f>60.26*(0.028317)</f>
        <v>1.70638242</v>
      </c>
      <c r="O8193" s="389">
        <v>5.7689999999999998E-3</v>
      </c>
      <c r="P8193" s="413"/>
      <c r="Q8193" s="413"/>
      <c r="R8193" s="413">
        <v>0.11627906976744186</v>
      </c>
      <c r="S8193" s="413"/>
      <c r="T8193" s="413">
        <v>9.7674418604651161E-2</v>
      </c>
      <c r="U8193" s="413">
        <v>0.10232558139534884</v>
      </c>
      <c r="V8193" s="504">
        <v>0</v>
      </c>
      <c r="W8193" s="504">
        <v>0</v>
      </c>
      <c r="X8193" s="504">
        <v>0</v>
      </c>
      <c r="Y8193" s="504">
        <v>0.68372093023255809</v>
      </c>
      <c r="Z8193" s="388">
        <v>21</v>
      </c>
      <c r="AA8193" s="388"/>
      <c r="AB8193" s="391"/>
      <c r="AC8193" s="392"/>
      <c r="AD8193" s="388">
        <f>16.1*(0.3048)</f>
        <v>4.907280000000001</v>
      </c>
      <c r="AE8193" s="388">
        <f>0.788975155279503*(0.3048)</f>
        <v>0.24047962732919254</v>
      </c>
      <c r="AF8193" s="388">
        <f t="shared" si="60"/>
        <v>1.1801008656000003</v>
      </c>
      <c r="AG8193" s="388">
        <f>4.74375516630584*(0.3048)</f>
        <v>1.4458965746900203</v>
      </c>
      <c r="AH8193" s="391"/>
      <c r="AI8193" s="397"/>
      <c r="AJ8193" s="397"/>
      <c r="AK8193" s="392"/>
      <c r="AL8193" s="392"/>
      <c r="AM8193" s="392"/>
      <c r="AN8193" s="392"/>
      <c r="AO8193" s="392"/>
      <c r="AP8193" s="392"/>
      <c r="AQ8193" s="392"/>
      <c r="AR8193" s="392"/>
      <c r="AS8193" s="392"/>
      <c r="AT8193" s="392"/>
      <c r="AU8193" s="397"/>
      <c r="AV8193" s="397"/>
      <c r="AW8193" s="397"/>
      <c r="AX8193" s="397"/>
      <c r="AY8193" s="392"/>
      <c r="AZ8193" s="392"/>
      <c r="BA8193" s="392"/>
      <c r="BB8193" s="392"/>
      <c r="BC8193" s="392"/>
      <c r="BD8193" s="392"/>
      <c r="BE8193" s="392"/>
      <c r="BF8193" s="392"/>
      <c r="BG8193" s="392"/>
      <c r="BH8193" s="392"/>
      <c r="BI8193" s="397"/>
      <c r="BJ8193" s="397"/>
      <c r="BK8193" s="397"/>
      <c r="BL8193" s="397"/>
      <c r="BM8193" s="397"/>
      <c r="BN8193" s="397"/>
      <c r="BO8193" s="397"/>
      <c r="BP8193" s="397"/>
      <c r="BQ8193" s="397"/>
      <c r="BR8193" s="397"/>
      <c r="BS8193" s="397"/>
      <c r="BT8193" s="397"/>
      <c r="BU8193" s="397"/>
      <c r="BV8193" s="397"/>
      <c r="BW8193" s="397"/>
      <c r="BX8193" s="397"/>
      <c r="BY8193" s="397"/>
      <c r="BZ8193" s="397"/>
      <c r="CA8193" s="392"/>
      <c r="CB8193" s="392"/>
    </row>
    <row r="8194" spans="1:80" ht="15" x14ac:dyDescent="0.25">
      <c r="A8194" s="385"/>
      <c r="B8194" s="392"/>
      <c r="C8194" s="392"/>
      <c r="D8194" s="700"/>
      <c r="E8194" s="397"/>
      <c r="F8194" s="392"/>
      <c r="G8194" s="392"/>
      <c r="H8194" s="401"/>
      <c r="I8194" s="165"/>
      <c r="J8194" s="165"/>
      <c r="K8194" s="165"/>
      <c r="L8194" s="628"/>
      <c r="M8194" s="628"/>
      <c r="N8194" s="388">
        <f>52.9791*(0.028317)</f>
        <v>1.5002091746999999</v>
      </c>
      <c r="O8194" s="389"/>
      <c r="P8194" s="413"/>
      <c r="Q8194" s="413"/>
      <c r="R8194" s="413"/>
      <c r="S8194" s="413"/>
      <c r="T8194" s="413"/>
      <c r="U8194" s="413"/>
      <c r="V8194" s="504"/>
      <c r="W8194" s="504"/>
      <c r="X8194" s="504"/>
      <c r="Y8194" s="504"/>
      <c r="Z8194" s="388"/>
      <c r="AA8194" s="388"/>
      <c r="AB8194" s="391"/>
      <c r="AC8194" s="392"/>
      <c r="AD8194" s="388">
        <f>16.1392*(0.3048)</f>
        <v>4.9192281600000003</v>
      </c>
      <c r="AE8194" s="388"/>
      <c r="AF8194" s="388"/>
      <c r="AG8194" s="388"/>
      <c r="AH8194" s="391"/>
      <c r="AI8194" s="397"/>
      <c r="AJ8194" s="397"/>
      <c r="AK8194" s="392"/>
      <c r="AL8194" s="392"/>
      <c r="AM8194" s="392"/>
      <c r="AN8194" s="392"/>
      <c r="AO8194" s="392"/>
      <c r="AP8194" s="392"/>
      <c r="AQ8194" s="392"/>
      <c r="AR8194" s="392"/>
      <c r="AS8194" s="392"/>
      <c r="AT8194" s="392"/>
      <c r="AU8194" s="397"/>
      <c r="AV8194" s="397"/>
      <c r="AW8194" s="397"/>
      <c r="AX8194" s="397"/>
      <c r="AY8194" s="392"/>
      <c r="AZ8194" s="392"/>
      <c r="BA8194" s="392"/>
      <c r="BB8194" s="392"/>
      <c r="BC8194" s="392"/>
      <c r="BD8194" s="392"/>
      <c r="BE8194" s="392"/>
      <c r="BF8194" s="392"/>
      <c r="BG8194" s="392"/>
      <c r="BH8194" s="392"/>
      <c r="BI8194" s="397"/>
      <c r="BJ8194" s="397"/>
      <c r="BK8194" s="397"/>
      <c r="BL8194" s="397"/>
      <c r="BM8194" s="397"/>
      <c r="BN8194" s="397"/>
      <c r="BO8194" s="397"/>
      <c r="BP8194" s="397"/>
      <c r="BQ8194" s="397"/>
      <c r="BR8194" s="397"/>
      <c r="BS8194" s="397"/>
      <c r="BT8194" s="397"/>
      <c r="BU8194" s="397"/>
      <c r="BV8194" s="397"/>
      <c r="BW8194" s="397"/>
      <c r="BX8194" s="397"/>
      <c r="BY8194" s="397"/>
      <c r="BZ8194" s="397"/>
      <c r="CA8194" s="392"/>
      <c r="CB8194" s="392"/>
    </row>
    <row r="8195" spans="1:80" ht="15" x14ac:dyDescent="0.25">
      <c r="A8195" s="385"/>
      <c r="B8195" s="392"/>
      <c r="C8195" s="392"/>
      <c r="D8195" s="700"/>
      <c r="E8195" s="397"/>
      <c r="F8195" s="392"/>
      <c r="G8195" s="392"/>
      <c r="H8195" s="401"/>
      <c r="I8195" s="165">
        <v>10</v>
      </c>
      <c r="J8195" s="165">
        <v>120</v>
      </c>
      <c r="K8195" s="165">
        <v>1</v>
      </c>
      <c r="L8195" s="628"/>
      <c r="M8195" s="628"/>
      <c r="N8195" s="388">
        <f>66*(0.028317)</f>
        <v>1.868922</v>
      </c>
      <c r="O8195" s="389">
        <v>2.8891E-2</v>
      </c>
      <c r="P8195" s="413"/>
      <c r="Q8195" s="413"/>
      <c r="R8195" s="413">
        <v>0.14380321665089876</v>
      </c>
      <c r="S8195" s="413">
        <v>0.21475875118259224</v>
      </c>
      <c r="T8195" s="413">
        <v>0.1977294228949858</v>
      </c>
      <c r="U8195" s="413">
        <v>0.12582781456953643</v>
      </c>
      <c r="V8195" s="504">
        <v>0</v>
      </c>
      <c r="W8195" s="504">
        <v>0</v>
      </c>
      <c r="X8195" s="504">
        <v>0</v>
      </c>
      <c r="Y8195" s="504">
        <v>0.31788079470198677</v>
      </c>
      <c r="Z8195" s="388">
        <v>25</v>
      </c>
      <c r="AA8195" s="388"/>
      <c r="AB8195" s="391"/>
      <c r="AC8195" s="392"/>
      <c r="AD8195" s="388">
        <f>16.4*(0.3048)</f>
        <v>4.9987199999999996</v>
      </c>
      <c r="AE8195" s="388">
        <f>0.897469512195122*(0.3048)</f>
        <v>0.2735487073170732</v>
      </c>
      <c r="AF8195" s="388">
        <f t="shared" si="60"/>
        <v>1.3673933942400001</v>
      </c>
      <c r="AG8195" s="388">
        <f>3.60387709345382*(0.3048)</f>
        <v>1.0984617380847244</v>
      </c>
      <c r="AH8195" s="391"/>
      <c r="AI8195" s="397"/>
      <c r="AJ8195" s="397"/>
      <c r="AK8195" s="392"/>
      <c r="AL8195" s="392"/>
      <c r="AM8195" s="392"/>
      <c r="AN8195" s="392"/>
      <c r="AO8195" s="392"/>
      <c r="AP8195" s="392"/>
      <c r="AQ8195" s="392"/>
      <c r="AR8195" s="392"/>
      <c r="AS8195" s="392"/>
      <c r="AT8195" s="392"/>
      <c r="AU8195" s="397"/>
      <c r="AV8195" s="397"/>
      <c r="AW8195" s="397"/>
      <c r="AX8195" s="397"/>
      <c r="AY8195" s="392"/>
      <c r="AZ8195" s="392"/>
      <c r="BA8195" s="392"/>
      <c r="BB8195" s="392"/>
      <c r="BC8195" s="392"/>
      <c r="BD8195" s="392"/>
      <c r="BE8195" s="392"/>
      <c r="BF8195" s="392"/>
      <c r="BG8195" s="392"/>
      <c r="BH8195" s="392"/>
      <c r="BI8195" s="397"/>
      <c r="BJ8195" s="397"/>
      <c r="BK8195" s="397"/>
      <c r="BL8195" s="397"/>
      <c r="BM8195" s="397"/>
      <c r="BN8195" s="397"/>
      <c r="BO8195" s="397"/>
      <c r="BP8195" s="397"/>
      <c r="BQ8195" s="397"/>
      <c r="BR8195" s="397"/>
      <c r="BS8195" s="397"/>
      <c r="BT8195" s="397"/>
      <c r="BU8195" s="397"/>
      <c r="BV8195" s="397"/>
      <c r="BW8195" s="397"/>
      <c r="BX8195" s="397"/>
      <c r="BY8195" s="397"/>
      <c r="BZ8195" s="397"/>
      <c r="CA8195" s="392"/>
      <c r="CB8195" s="392"/>
    </row>
    <row r="8196" spans="1:80" ht="15" x14ac:dyDescent="0.25">
      <c r="A8196" s="385"/>
      <c r="B8196" s="392"/>
      <c r="C8196" s="392"/>
      <c r="D8196" s="700"/>
      <c r="E8196" s="397"/>
      <c r="F8196" s="392"/>
      <c r="G8196" s="392"/>
      <c r="H8196" s="401"/>
      <c r="I8196" s="165">
        <v>10</v>
      </c>
      <c r="J8196" s="165">
        <v>120</v>
      </c>
      <c r="K8196" s="165">
        <v>1</v>
      </c>
      <c r="L8196" s="628"/>
      <c r="M8196" s="628"/>
      <c r="N8196" s="388">
        <f>43.87*(0.028317)</f>
        <v>1.24226679</v>
      </c>
      <c r="O8196" s="389">
        <v>1.2612999999999999E-2</v>
      </c>
      <c r="P8196" s="413"/>
      <c r="Q8196" s="413"/>
      <c r="R8196" s="413">
        <v>0.10782241014799154</v>
      </c>
      <c r="S8196" s="413">
        <v>0.16067653276955601</v>
      </c>
      <c r="T8196" s="413">
        <v>0.14799154334038056</v>
      </c>
      <c r="U8196" s="413">
        <v>0.13953488372093023</v>
      </c>
      <c r="V8196" s="504">
        <v>0</v>
      </c>
      <c r="W8196" s="504">
        <v>0</v>
      </c>
      <c r="X8196" s="504">
        <v>0</v>
      </c>
      <c r="Y8196" s="504">
        <v>0.44397463002114163</v>
      </c>
      <c r="Z8196" s="388">
        <v>20</v>
      </c>
      <c r="AA8196" s="388"/>
      <c r="AB8196" s="391"/>
      <c r="AC8196" s="392"/>
      <c r="AD8196" s="388">
        <f>16*(0.3048)</f>
        <v>4.8768000000000002</v>
      </c>
      <c r="AE8196" s="388">
        <f>0.8550625*(0.3048)</f>
        <v>0.26062305000000002</v>
      </c>
      <c r="AF8196" s="388">
        <f t="shared" si="60"/>
        <v>1.2710064902400002</v>
      </c>
      <c r="AG8196" s="388">
        <f>3.20675206490754*(0.3048)</f>
        <v>0.97741802938381828</v>
      </c>
      <c r="AH8196" s="391"/>
      <c r="AI8196" s="397"/>
      <c r="AJ8196" s="397"/>
      <c r="AK8196" s="392"/>
      <c r="AL8196" s="392"/>
      <c r="AM8196" s="392"/>
      <c r="AN8196" s="392"/>
      <c r="AO8196" s="392"/>
      <c r="AP8196" s="392"/>
      <c r="AQ8196" s="392"/>
      <c r="AR8196" s="392"/>
      <c r="AS8196" s="392"/>
      <c r="AT8196" s="392"/>
      <c r="AU8196" s="397"/>
      <c r="AV8196" s="397"/>
      <c r="AW8196" s="397"/>
      <c r="AX8196" s="397"/>
      <c r="AY8196" s="392"/>
      <c r="AZ8196" s="392"/>
      <c r="BA8196" s="392"/>
      <c r="BB8196" s="392"/>
      <c r="BC8196" s="392"/>
      <c r="BD8196" s="392"/>
      <c r="BE8196" s="392"/>
      <c r="BF8196" s="392"/>
      <c r="BG8196" s="392"/>
      <c r="BH8196" s="392"/>
      <c r="BI8196" s="397"/>
      <c r="BJ8196" s="397"/>
      <c r="BK8196" s="397"/>
      <c r="BL8196" s="397"/>
      <c r="BM8196" s="397"/>
      <c r="BN8196" s="397"/>
      <c r="BO8196" s="397"/>
      <c r="BP8196" s="397"/>
      <c r="BQ8196" s="397"/>
      <c r="BR8196" s="397"/>
      <c r="BS8196" s="397"/>
      <c r="BT8196" s="397"/>
      <c r="BU8196" s="397"/>
      <c r="BV8196" s="397"/>
      <c r="BW8196" s="397"/>
      <c r="BX8196" s="397"/>
      <c r="BY8196" s="397"/>
      <c r="BZ8196" s="397"/>
      <c r="CA8196" s="392"/>
      <c r="CB8196" s="392"/>
    </row>
    <row r="8197" spans="1:80" ht="15" x14ac:dyDescent="0.25">
      <c r="A8197" s="385"/>
      <c r="B8197" s="392"/>
      <c r="C8197" s="392"/>
      <c r="D8197" s="700"/>
      <c r="E8197" s="397"/>
      <c r="F8197" s="392"/>
      <c r="G8197" s="392"/>
      <c r="H8197" s="401"/>
      <c r="I8197" s="165">
        <v>10</v>
      </c>
      <c r="J8197" s="165">
        <v>120</v>
      </c>
      <c r="K8197" s="165">
        <v>1</v>
      </c>
      <c r="L8197" s="628"/>
      <c r="M8197" s="628"/>
      <c r="N8197" s="388">
        <f>43.8074*(0.028317)</f>
        <v>1.2404941458000001</v>
      </c>
      <c r="O8197" s="389">
        <v>2.9687000000000002E-2</v>
      </c>
      <c r="P8197" s="413"/>
      <c r="Q8197" s="413"/>
      <c r="R8197" s="413">
        <v>6.7019400352733682E-2</v>
      </c>
      <c r="S8197" s="413">
        <v>0.17813051146384479</v>
      </c>
      <c r="T8197" s="413">
        <v>0.2257495590828924</v>
      </c>
      <c r="U8197" s="413">
        <v>0.21428571428571427</v>
      </c>
      <c r="V8197" s="504">
        <v>0</v>
      </c>
      <c r="W8197" s="504">
        <v>0</v>
      </c>
      <c r="X8197" s="504">
        <v>0</v>
      </c>
      <c r="Y8197" s="504">
        <v>0.31481481481481483</v>
      </c>
      <c r="Z8197" s="388">
        <v>31</v>
      </c>
      <c r="AA8197" s="388"/>
      <c r="AB8197" s="391"/>
      <c r="AC8197" s="392"/>
      <c r="AD8197" s="388">
        <f>15.7073*(0.3048)</f>
        <v>4.7875850400000006</v>
      </c>
      <c r="AE8197" s="388"/>
      <c r="AF8197" s="388"/>
      <c r="AG8197" s="388"/>
      <c r="AH8197" s="391"/>
      <c r="AI8197" s="397"/>
      <c r="AJ8197" s="397"/>
      <c r="AK8197" s="392"/>
      <c r="AL8197" s="392"/>
      <c r="AM8197" s="392"/>
      <c r="AN8197" s="392"/>
      <c r="AO8197" s="392"/>
      <c r="AP8197" s="392"/>
      <c r="AQ8197" s="392"/>
      <c r="AR8197" s="392"/>
      <c r="AS8197" s="392"/>
      <c r="AT8197" s="392"/>
      <c r="AU8197" s="397"/>
      <c r="AV8197" s="397"/>
      <c r="AW8197" s="397"/>
      <c r="AX8197" s="397"/>
      <c r="AY8197" s="392"/>
      <c r="AZ8197" s="392"/>
      <c r="BA8197" s="392"/>
      <c r="BB8197" s="392"/>
      <c r="BC8197" s="392"/>
      <c r="BD8197" s="392"/>
      <c r="BE8197" s="392"/>
      <c r="BF8197" s="392"/>
      <c r="BG8197" s="392"/>
      <c r="BH8197" s="392"/>
      <c r="BI8197" s="397"/>
      <c r="BJ8197" s="397"/>
      <c r="BK8197" s="397"/>
      <c r="BL8197" s="397"/>
      <c r="BM8197" s="397"/>
      <c r="BN8197" s="397"/>
      <c r="BO8197" s="397"/>
      <c r="BP8197" s="397"/>
      <c r="BQ8197" s="397"/>
      <c r="BR8197" s="397"/>
      <c r="BS8197" s="397"/>
      <c r="BT8197" s="397"/>
      <c r="BU8197" s="397"/>
      <c r="BV8197" s="397"/>
      <c r="BW8197" s="397"/>
      <c r="BX8197" s="397"/>
      <c r="BY8197" s="397"/>
      <c r="BZ8197" s="397"/>
      <c r="CA8197" s="392"/>
      <c r="CB8197" s="392"/>
    </row>
    <row r="8198" spans="1:80" ht="15" x14ac:dyDescent="0.25">
      <c r="A8198" s="385"/>
      <c r="B8198" s="392"/>
      <c r="C8198" s="392"/>
      <c r="D8198" s="700"/>
      <c r="E8198" s="397"/>
      <c r="F8198" s="392"/>
      <c r="G8198" s="392"/>
      <c r="H8198" s="401"/>
      <c r="I8198" s="165"/>
      <c r="J8198" s="165"/>
      <c r="K8198" s="165"/>
      <c r="L8198" s="628"/>
      <c r="M8198" s="628"/>
      <c r="N8198" s="388">
        <f>38.8688*(0.028317)</f>
        <v>1.1006478095999999</v>
      </c>
      <c r="O8198" s="389"/>
      <c r="P8198" s="413"/>
      <c r="Q8198" s="413"/>
      <c r="R8198" s="413"/>
      <c r="S8198" s="413"/>
      <c r="T8198" s="413"/>
      <c r="U8198" s="413"/>
      <c r="V8198" s="504"/>
      <c r="W8198" s="504"/>
      <c r="X8198" s="504"/>
      <c r="Y8198" s="504"/>
      <c r="Z8198" s="388"/>
      <c r="AA8198" s="388"/>
      <c r="AB8198" s="391"/>
      <c r="AC8198" s="392"/>
      <c r="AD8198" s="388">
        <f>15.4416*(0.3048)</f>
        <v>4.7065996800000001</v>
      </c>
      <c r="AE8198" s="388"/>
      <c r="AF8198" s="388"/>
      <c r="AG8198" s="388"/>
      <c r="AH8198" s="391"/>
      <c r="AI8198" s="397"/>
      <c r="AJ8198" s="397"/>
      <c r="AK8198" s="392"/>
      <c r="AL8198" s="392"/>
      <c r="AM8198" s="392"/>
      <c r="AN8198" s="392"/>
      <c r="AO8198" s="392"/>
      <c r="AP8198" s="392"/>
      <c r="AQ8198" s="392"/>
      <c r="AR8198" s="392"/>
      <c r="AS8198" s="392"/>
      <c r="AT8198" s="392"/>
      <c r="AU8198" s="397"/>
      <c r="AV8198" s="397"/>
      <c r="AW8198" s="397"/>
      <c r="AX8198" s="397"/>
      <c r="AY8198" s="392"/>
      <c r="AZ8198" s="392"/>
      <c r="BA8198" s="392"/>
      <c r="BB8198" s="392"/>
      <c r="BC8198" s="392"/>
      <c r="BD8198" s="392"/>
      <c r="BE8198" s="392"/>
      <c r="BF8198" s="392"/>
      <c r="BG8198" s="392"/>
      <c r="BH8198" s="392"/>
      <c r="BI8198" s="397"/>
      <c r="BJ8198" s="397"/>
      <c r="BK8198" s="397"/>
      <c r="BL8198" s="397"/>
      <c r="BM8198" s="397"/>
      <c r="BN8198" s="397"/>
      <c r="BO8198" s="397"/>
      <c r="BP8198" s="397"/>
      <c r="BQ8198" s="397"/>
      <c r="BR8198" s="397"/>
      <c r="BS8198" s="397"/>
      <c r="BT8198" s="397"/>
      <c r="BU8198" s="397"/>
      <c r="BV8198" s="397"/>
      <c r="BW8198" s="397"/>
      <c r="BX8198" s="397"/>
      <c r="BY8198" s="397"/>
      <c r="BZ8198" s="397"/>
      <c r="CA8198" s="392"/>
      <c r="CB8198" s="392"/>
    </row>
    <row r="8199" spans="1:80" ht="15" x14ac:dyDescent="0.25">
      <c r="A8199" s="385"/>
      <c r="B8199" s="392"/>
      <c r="C8199" s="392"/>
      <c r="D8199" s="700"/>
      <c r="E8199" s="397"/>
      <c r="F8199" s="392"/>
      <c r="G8199" s="392"/>
      <c r="H8199" s="401"/>
      <c r="I8199" s="165">
        <v>10</v>
      </c>
      <c r="J8199" s="165">
        <v>120</v>
      </c>
      <c r="K8199" s="165">
        <v>1</v>
      </c>
      <c r="L8199" s="628"/>
      <c r="M8199" s="628"/>
      <c r="N8199" s="388">
        <f>26.52*(0.028317)</f>
        <v>0.75096683999999991</v>
      </c>
      <c r="O8199" s="389">
        <v>4.0320000000000002E-2</v>
      </c>
      <c r="P8199" s="413"/>
      <c r="Q8199" s="413">
        <v>0.26190476190476192</v>
      </c>
      <c r="R8199" s="413">
        <v>4.5238095238095237E-2</v>
      </c>
      <c r="S8199" s="413">
        <v>0.10535714285714286</v>
      </c>
      <c r="T8199" s="413">
        <v>0.16607142857142856</v>
      </c>
      <c r="U8199" s="413">
        <v>0.17142857142857143</v>
      </c>
      <c r="V8199" s="504">
        <v>0</v>
      </c>
      <c r="W8199" s="504">
        <v>0</v>
      </c>
      <c r="X8199" s="504">
        <v>0</v>
      </c>
      <c r="Y8199" s="504">
        <v>0.25</v>
      </c>
      <c r="Z8199" s="388">
        <v>70</v>
      </c>
      <c r="AA8199" s="388"/>
      <c r="AB8199" s="391"/>
      <c r="AC8199" s="392"/>
      <c r="AD8199" s="388">
        <f>14.4*(0.3048)</f>
        <v>4.3891200000000001</v>
      </c>
      <c r="AE8199" s="388">
        <f>0.656597222222222*(0.3048)</f>
        <v>0.20013083333333329</v>
      </c>
      <c r="AF8199" s="388">
        <f t="shared" si="60"/>
        <v>0.87839824319999982</v>
      </c>
      <c r="AG8199" s="388">
        <f>2.80451612903226*(0.3048)</f>
        <v>0.85481651612903287</v>
      </c>
      <c r="AH8199" s="391"/>
      <c r="AI8199" s="397"/>
      <c r="AJ8199" s="397"/>
      <c r="AK8199" s="392"/>
      <c r="AL8199" s="392"/>
      <c r="AM8199" s="392"/>
      <c r="AN8199" s="392"/>
      <c r="AO8199" s="392"/>
      <c r="AP8199" s="392"/>
      <c r="AQ8199" s="392"/>
      <c r="AR8199" s="392"/>
      <c r="AS8199" s="392"/>
      <c r="AT8199" s="392"/>
      <c r="AU8199" s="397"/>
      <c r="AV8199" s="397"/>
      <c r="AW8199" s="397"/>
      <c r="AX8199" s="397"/>
      <c r="AY8199" s="392"/>
      <c r="AZ8199" s="392"/>
      <c r="BA8199" s="392"/>
      <c r="BB8199" s="392"/>
      <c r="BC8199" s="392"/>
      <c r="BD8199" s="392"/>
      <c r="BE8199" s="392"/>
      <c r="BF8199" s="392"/>
      <c r="BG8199" s="392"/>
      <c r="BH8199" s="392"/>
      <c r="BI8199" s="397"/>
      <c r="BJ8199" s="397"/>
      <c r="BK8199" s="397"/>
      <c r="BL8199" s="397"/>
      <c r="BM8199" s="397"/>
      <c r="BN8199" s="397"/>
      <c r="BO8199" s="397"/>
      <c r="BP8199" s="397"/>
      <c r="BQ8199" s="397"/>
      <c r="BR8199" s="397"/>
      <c r="BS8199" s="397"/>
      <c r="BT8199" s="397"/>
      <c r="BU8199" s="397"/>
      <c r="BV8199" s="397"/>
      <c r="BW8199" s="397"/>
      <c r="BX8199" s="397"/>
      <c r="BY8199" s="397"/>
      <c r="BZ8199" s="397"/>
      <c r="CA8199" s="392"/>
      <c r="CB8199" s="392"/>
    </row>
    <row r="8200" spans="1:80" ht="15" x14ac:dyDescent="0.25">
      <c r="A8200" s="385"/>
      <c r="B8200" s="392"/>
      <c r="C8200" s="392"/>
      <c r="D8200" s="700"/>
      <c r="E8200" s="397"/>
      <c r="F8200" s="392"/>
      <c r="G8200" s="392"/>
      <c r="H8200" s="401"/>
      <c r="I8200" s="165">
        <v>10</v>
      </c>
      <c r="J8200" s="165">
        <v>120</v>
      </c>
      <c r="K8200" s="165">
        <v>1</v>
      </c>
      <c r="L8200" s="628"/>
      <c r="M8200" s="628"/>
      <c r="N8200" s="388">
        <f>19.93*(0.028317)</f>
        <v>0.56435780999999996</v>
      </c>
      <c r="O8200" s="389">
        <v>3.9890000000000004E-3</v>
      </c>
      <c r="P8200" s="413"/>
      <c r="Q8200" s="413"/>
      <c r="R8200" s="413"/>
      <c r="S8200" s="413">
        <v>0.14204545454545456</v>
      </c>
      <c r="T8200" s="413">
        <v>0.13068181818181818</v>
      </c>
      <c r="U8200" s="413">
        <v>0.25</v>
      </c>
      <c r="V8200" s="504">
        <v>0</v>
      </c>
      <c r="W8200" s="504">
        <v>0</v>
      </c>
      <c r="X8200" s="504">
        <v>0</v>
      </c>
      <c r="Y8200" s="504">
        <v>0.47727272727272729</v>
      </c>
      <c r="Z8200" s="388">
        <v>21</v>
      </c>
      <c r="AA8200" s="388"/>
      <c r="AB8200" s="391"/>
      <c r="AC8200" s="392"/>
      <c r="AD8200" s="388">
        <f>13.6*(0.3048)</f>
        <v>4.1452800000000005</v>
      </c>
      <c r="AE8200" s="388">
        <f>0.593014705882353*(0.3048)</f>
        <v>0.18075088235294123</v>
      </c>
      <c r="AF8200" s="388">
        <f t="shared" si="60"/>
        <v>0.74926301760000036</v>
      </c>
      <c r="AG8200" s="388">
        <f>2.47125232486051*(0.3048)</f>
        <v>0.7532377086174834</v>
      </c>
      <c r="AH8200" s="391"/>
      <c r="AI8200" s="397"/>
      <c r="AJ8200" s="397"/>
      <c r="AK8200" s="392"/>
      <c r="AL8200" s="392"/>
      <c r="AM8200" s="392"/>
      <c r="AN8200" s="392"/>
      <c r="AO8200" s="392"/>
      <c r="AP8200" s="392"/>
      <c r="AQ8200" s="392"/>
      <c r="AR8200" s="392"/>
      <c r="AS8200" s="392"/>
      <c r="AT8200" s="392"/>
      <c r="AU8200" s="397"/>
      <c r="AV8200" s="397"/>
      <c r="AW8200" s="397"/>
      <c r="AX8200" s="397"/>
      <c r="AY8200" s="392"/>
      <c r="AZ8200" s="392"/>
      <c r="BA8200" s="392"/>
      <c r="BB8200" s="392"/>
      <c r="BC8200" s="392"/>
      <c r="BD8200" s="392"/>
      <c r="BE8200" s="392"/>
      <c r="BF8200" s="392"/>
      <c r="BG8200" s="392"/>
      <c r="BH8200" s="392"/>
      <c r="BI8200" s="397"/>
      <c r="BJ8200" s="397"/>
      <c r="BK8200" s="397"/>
      <c r="BL8200" s="397"/>
      <c r="BM8200" s="397"/>
      <c r="BN8200" s="397"/>
      <c r="BO8200" s="397"/>
      <c r="BP8200" s="397"/>
      <c r="BQ8200" s="397"/>
      <c r="BR8200" s="397"/>
      <c r="BS8200" s="397"/>
      <c r="BT8200" s="397"/>
      <c r="BU8200" s="397"/>
      <c r="BV8200" s="397"/>
      <c r="BW8200" s="397"/>
      <c r="BX8200" s="397"/>
      <c r="BY8200" s="397"/>
      <c r="BZ8200" s="397"/>
      <c r="CA8200" s="392"/>
      <c r="CB8200" s="392"/>
    </row>
    <row r="8201" spans="1:80" ht="15" x14ac:dyDescent="0.25">
      <c r="A8201" s="385"/>
      <c r="B8201" s="392"/>
      <c r="C8201" s="392"/>
      <c r="D8201" s="700"/>
      <c r="E8201" s="397"/>
      <c r="F8201" s="392"/>
      <c r="G8201" s="392"/>
      <c r="H8201" s="401"/>
      <c r="I8201" s="165">
        <v>10</v>
      </c>
      <c r="J8201" s="165">
        <v>120</v>
      </c>
      <c r="K8201" s="165">
        <v>1</v>
      </c>
      <c r="L8201" s="628"/>
      <c r="M8201" s="628"/>
      <c r="N8201" s="388">
        <f>22.86*(0.028317)</f>
        <v>0.64732661999999996</v>
      </c>
      <c r="O8201" s="389">
        <v>3.15E-3</v>
      </c>
      <c r="P8201" s="413"/>
      <c r="Q8201" s="413"/>
      <c r="R8201" s="413">
        <v>0.18518518518518517</v>
      </c>
      <c r="S8201" s="413">
        <v>0.18518518518518517</v>
      </c>
      <c r="T8201" s="413">
        <v>0</v>
      </c>
      <c r="U8201" s="413">
        <v>0.16296296296296298</v>
      </c>
      <c r="V8201" s="504">
        <v>0</v>
      </c>
      <c r="W8201" s="504">
        <v>0</v>
      </c>
      <c r="X8201" s="504">
        <v>0</v>
      </c>
      <c r="Y8201" s="504">
        <v>0.46666666666666667</v>
      </c>
      <c r="Z8201" s="388">
        <v>37</v>
      </c>
      <c r="AA8201" s="388"/>
      <c r="AB8201" s="391"/>
      <c r="AC8201" s="392"/>
      <c r="AD8201" s="388">
        <f>14*(0.3048)</f>
        <v>4.2671999999999999</v>
      </c>
      <c r="AE8201" s="388">
        <f>0.657321428571429*(0.3048)</f>
        <v>0.20035157142857155</v>
      </c>
      <c r="AF8201" s="388">
        <f t="shared" si="60"/>
        <v>0.85494022560000049</v>
      </c>
      <c r="AG8201" s="388">
        <f>2.48424612876936*(0.3048)</f>
        <v>0.75719822004890092</v>
      </c>
      <c r="AH8201" s="391"/>
      <c r="AI8201" s="397"/>
      <c r="AJ8201" s="397"/>
      <c r="AK8201" s="392"/>
      <c r="AL8201" s="392"/>
      <c r="AM8201" s="392"/>
      <c r="AN8201" s="392"/>
      <c r="AO8201" s="392"/>
      <c r="AP8201" s="392"/>
      <c r="AQ8201" s="392"/>
      <c r="AR8201" s="392"/>
      <c r="AS8201" s="392"/>
      <c r="AT8201" s="392"/>
      <c r="AU8201" s="397"/>
      <c r="AV8201" s="397"/>
      <c r="AW8201" s="397"/>
      <c r="AX8201" s="397"/>
      <c r="AY8201" s="392"/>
      <c r="AZ8201" s="392"/>
      <c r="BA8201" s="392"/>
      <c r="BB8201" s="392"/>
      <c r="BC8201" s="392"/>
      <c r="BD8201" s="392"/>
      <c r="BE8201" s="392"/>
      <c r="BF8201" s="392"/>
      <c r="BG8201" s="392"/>
      <c r="BH8201" s="392"/>
      <c r="BI8201" s="397"/>
      <c r="BJ8201" s="397"/>
      <c r="BK8201" s="397"/>
      <c r="BL8201" s="397"/>
      <c r="BM8201" s="397"/>
      <c r="BN8201" s="397"/>
      <c r="BO8201" s="397"/>
      <c r="BP8201" s="397"/>
      <c r="BQ8201" s="397"/>
      <c r="BR8201" s="397"/>
      <c r="BS8201" s="397"/>
      <c r="BT8201" s="397"/>
      <c r="BU8201" s="397"/>
      <c r="BV8201" s="397"/>
      <c r="BW8201" s="397"/>
      <c r="BX8201" s="397"/>
      <c r="BY8201" s="397"/>
      <c r="BZ8201" s="397"/>
      <c r="CA8201" s="392"/>
      <c r="CB8201" s="392"/>
    </row>
    <row r="8202" spans="1:80" ht="15" x14ac:dyDescent="0.25">
      <c r="A8202" s="385"/>
      <c r="B8202" s="392"/>
      <c r="C8202" s="392"/>
      <c r="D8202" s="700"/>
      <c r="E8202" s="397"/>
      <c r="F8202" s="392"/>
      <c r="G8202" s="392"/>
      <c r="H8202" s="401"/>
      <c r="I8202" s="165">
        <v>10</v>
      </c>
      <c r="J8202" s="165">
        <v>120</v>
      </c>
      <c r="K8202" s="165">
        <v>1</v>
      </c>
      <c r="L8202" s="628"/>
      <c r="M8202" s="628"/>
      <c r="N8202" s="388">
        <f>22.86*(0.028317)</f>
        <v>0.64732661999999996</v>
      </c>
      <c r="O8202" s="389">
        <v>5.0870000000000004E-3</v>
      </c>
      <c r="P8202" s="413"/>
      <c r="Q8202" s="413"/>
      <c r="R8202" s="413"/>
      <c r="S8202" s="413"/>
      <c r="T8202" s="413">
        <v>0.21559633027522937</v>
      </c>
      <c r="U8202" s="413">
        <v>0.30275229357798167</v>
      </c>
      <c r="V8202" s="504">
        <v>0</v>
      </c>
      <c r="W8202" s="504">
        <v>0</v>
      </c>
      <c r="X8202" s="504">
        <v>0</v>
      </c>
      <c r="Y8202" s="504">
        <v>0.48165137614678899</v>
      </c>
      <c r="Z8202" s="388">
        <v>10</v>
      </c>
      <c r="AA8202" s="388"/>
      <c r="AB8202" s="391"/>
      <c r="AC8202" s="392"/>
      <c r="AD8202" s="388">
        <f>14*(0.3048)</f>
        <v>4.2671999999999999</v>
      </c>
      <c r="AE8202" s="388">
        <f>0.657321428571429*(0.3048)</f>
        <v>0.20035157142857155</v>
      </c>
      <c r="AF8202" s="388">
        <f t="shared" si="60"/>
        <v>0.85494022560000049</v>
      </c>
      <c r="AG8202" s="388">
        <f>2.48424612876936*(0.3048)</f>
        <v>0.75719822004890092</v>
      </c>
      <c r="AH8202" s="391"/>
      <c r="AI8202" s="397"/>
      <c r="AJ8202" s="397"/>
      <c r="AK8202" s="392"/>
      <c r="AL8202" s="392"/>
      <c r="AM8202" s="392"/>
      <c r="AN8202" s="392"/>
      <c r="AO8202" s="392"/>
      <c r="AP8202" s="392"/>
      <c r="AQ8202" s="392"/>
      <c r="AR8202" s="392"/>
      <c r="AS8202" s="392"/>
      <c r="AT8202" s="392"/>
      <c r="AU8202" s="397"/>
      <c r="AV8202" s="397"/>
      <c r="AW8202" s="397"/>
      <c r="AX8202" s="397"/>
      <c r="AY8202" s="392"/>
      <c r="AZ8202" s="392"/>
      <c r="BA8202" s="392"/>
      <c r="BB8202" s="392"/>
      <c r="BC8202" s="392"/>
      <c r="BD8202" s="392"/>
      <c r="BE8202" s="392"/>
      <c r="BF8202" s="392"/>
      <c r="BG8202" s="392"/>
      <c r="BH8202" s="392"/>
      <c r="BI8202" s="397"/>
      <c r="BJ8202" s="397"/>
      <c r="BK8202" s="397"/>
      <c r="BL8202" s="397"/>
      <c r="BM8202" s="397"/>
      <c r="BN8202" s="397"/>
      <c r="BO8202" s="397"/>
      <c r="BP8202" s="397"/>
      <c r="BQ8202" s="397"/>
      <c r="BR8202" s="397"/>
      <c r="BS8202" s="397"/>
      <c r="BT8202" s="397"/>
      <c r="BU8202" s="397"/>
      <c r="BV8202" s="397"/>
      <c r="BW8202" s="397"/>
      <c r="BX8202" s="397"/>
      <c r="BY8202" s="397"/>
      <c r="BZ8202" s="397"/>
      <c r="CA8202" s="392"/>
      <c r="CB8202" s="392"/>
    </row>
    <row r="8203" spans="1:80" ht="15" x14ac:dyDescent="0.25">
      <c r="A8203" s="385"/>
      <c r="B8203" s="392"/>
      <c r="C8203" s="392"/>
      <c r="D8203" s="700"/>
      <c r="E8203" s="397"/>
      <c r="F8203" s="392"/>
      <c r="G8203" s="392"/>
      <c r="H8203" s="401"/>
      <c r="I8203" s="165">
        <v>10</v>
      </c>
      <c r="J8203" s="165">
        <v>120</v>
      </c>
      <c r="K8203" s="165">
        <v>1</v>
      </c>
      <c r="L8203" s="628"/>
      <c r="M8203" s="628"/>
      <c r="N8203" s="388">
        <f>24.49*(0.028317)</f>
        <v>0.69348332999999995</v>
      </c>
      <c r="O8203" s="389">
        <v>3.9260999999999997E-2</v>
      </c>
      <c r="P8203" s="413"/>
      <c r="Q8203" s="413"/>
      <c r="R8203" s="413">
        <v>7.3813708260105443E-2</v>
      </c>
      <c r="S8203" s="413">
        <v>0.14821323960164032</v>
      </c>
      <c r="T8203" s="413">
        <v>0.27240773286467485</v>
      </c>
      <c r="U8203" s="413">
        <v>0.2595196250732279</v>
      </c>
      <c r="V8203" s="504">
        <v>0</v>
      </c>
      <c r="W8203" s="504">
        <v>0</v>
      </c>
      <c r="X8203" s="504">
        <v>0</v>
      </c>
      <c r="Y8203" s="504">
        <v>0.24604569420035149</v>
      </c>
      <c r="Z8203" s="388">
        <v>27</v>
      </c>
      <c r="AA8203" s="388"/>
      <c r="AB8203" s="391"/>
      <c r="AC8203" s="392"/>
      <c r="AD8203" s="388">
        <f>13.8*(0.3048)</f>
        <v>4.2062400000000002</v>
      </c>
      <c r="AE8203" s="388">
        <f>0.559420289855073*(0.3048)</f>
        <v>0.17051130434782624</v>
      </c>
      <c r="AF8203" s="388">
        <f t="shared" si="60"/>
        <v>0.71721146880000064</v>
      </c>
      <c r="AG8203" s="388">
        <f>3.17176165803109*(0.3048)</f>
        <v>0.96675295336787637</v>
      </c>
      <c r="AH8203" s="391"/>
      <c r="AI8203" s="397"/>
      <c r="AJ8203" s="397"/>
      <c r="AK8203" s="392"/>
      <c r="AL8203" s="392"/>
      <c r="AM8203" s="392"/>
      <c r="AN8203" s="392"/>
      <c r="AO8203" s="392"/>
      <c r="AP8203" s="392"/>
      <c r="AQ8203" s="392"/>
      <c r="AR8203" s="392"/>
      <c r="AS8203" s="392"/>
      <c r="AT8203" s="392"/>
      <c r="AU8203" s="397"/>
      <c r="AV8203" s="397"/>
      <c r="AW8203" s="397"/>
      <c r="AX8203" s="397"/>
      <c r="AY8203" s="392"/>
      <c r="AZ8203" s="392"/>
      <c r="BA8203" s="392"/>
      <c r="BB8203" s="392"/>
      <c r="BC8203" s="392"/>
      <c r="BD8203" s="392"/>
      <c r="BE8203" s="392"/>
      <c r="BF8203" s="392"/>
      <c r="BG8203" s="392"/>
      <c r="BH8203" s="392"/>
      <c r="BI8203" s="397"/>
      <c r="BJ8203" s="397"/>
      <c r="BK8203" s="397"/>
      <c r="BL8203" s="397"/>
      <c r="BM8203" s="397"/>
      <c r="BN8203" s="397"/>
      <c r="BO8203" s="397"/>
      <c r="BP8203" s="397"/>
      <c r="BQ8203" s="397"/>
      <c r="BR8203" s="397"/>
      <c r="BS8203" s="397"/>
      <c r="BT8203" s="397"/>
      <c r="BU8203" s="397"/>
      <c r="BV8203" s="397"/>
      <c r="BW8203" s="397"/>
      <c r="BX8203" s="397"/>
      <c r="BY8203" s="397"/>
      <c r="BZ8203" s="397"/>
      <c r="CA8203" s="392"/>
      <c r="CB8203" s="392"/>
    </row>
    <row r="8204" spans="1:80" ht="15" x14ac:dyDescent="0.25">
      <c r="A8204" s="385"/>
      <c r="B8204" s="392"/>
      <c r="C8204" s="392"/>
      <c r="D8204" s="700"/>
      <c r="E8204" s="397"/>
      <c r="F8204" s="392"/>
      <c r="G8204" s="392"/>
      <c r="H8204" s="401"/>
      <c r="I8204" s="165">
        <v>10</v>
      </c>
      <c r="J8204" s="165">
        <v>120</v>
      </c>
      <c r="K8204" s="165">
        <v>1</v>
      </c>
      <c r="L8204" s="628"/>
      <c r="M8204" s="628"/>
      <c r="N8204" s="388">
        <f>26.48*(0.028317)</f>
        <v>0.74983415999999992</v>
      </c>
      <c r="O8204" s="389">
        <v>2.7962000000000001E-2</v>
      </c>
      <c r="P8204" s="413"/>
      <c r="Q8204" s="413"/>
      <c r="R8204" s="413">
        <v>8.3678541839270926E-2</v>
      </c>
      <c r="S8204" s="413">
        <v>0.14664457332228667</v>
      </c>
      <c r="T8204" s="413">
        <v>0.27009113504556753</v>
      </c>
      <c r="U8204" s="413">
        <v>0.23860811930405965</v>
      </c>
      <c r="V8204" s="504">
        <v>0</v>
      </c>
      <c r="W8204" s="504">
        <v>0</v>
      </c>
      <c r="X8204" s="504">
        <v>0</v>
      </c>
      <c r="Y8204" s="504">
        <v>0.26097763048881523</v>
      </c>
      <c r="Z8204" s="388">
        <v>28</v>
      </c>
      <c r="AA8204" s="388"/>
      <c r="AB8204" s="391"/>
      <c r="AC8204" s="392"/>
      <c r="AD8204" s="388">
        <f>13.9*(0.3048)</f>
        <v>4.23672</v>
      </c>
      <c r="AE8204" s="388">
        <f>0.599640287769784*(0.3048)</f>
        <v>0.18277035971223016</v>
      </c>
      <c r="AF8204" s="388">
        <f t="shared" si="60"/>
        <v>0.77434683839999974</v>
      </c>
      <c r="AG8204" s="388">
        <f>3.17708458308338*(0.3048)</f>
        <v>0.96837538092381426</v>
      </c>
      <c r="AH8204" s="391"/>
      <c r="AI8204" s="397"/>
      <c r="AJ8204" s="397"/>
      <c r="AK8204" s="392"/>
      <c r="AL8204" s="392"/>
      <c r="AM8204" s="392"/>
      <c r="AN8204" s="392"/>
      <c r="AO8204" s="392"/>
      <c r="AP8204" s="392"/>
      <c r="AQ8204" s="392"/>
      <c r="AR8204" s="392"/>
      <c r="AS8204" s="392"/>
      <c r="AT8204" s="392"/>
      <c r="AU8204" s="397"/>
      <c r="AV8204" s="397"/>
      <c r="AW8204" s="397"/>
      <c r="AX8204" s="397"/>
      <c r="AY8204" s="392"/>
      <c r="AZ8204" s="392"/>
      <c r="BA8204" s="392"/>
      <c r="BB8204" s="392"/>
      <c r="BC8204" s="392"/>
      <c r="BD8204" s="392"/>
      <c r="BE8204" s="392"/>
      <c r="BF8204" s="392"/>
      <c r="BG8204" s="392"/>
      <c r="BH8204" s="392"/>
      <c r="BI8204" s="397"/>
      <c r="BJ8204" s="397"/>
      <c r="BK8204" s="397"/>
      <c r="BL8204" s="397"/>
      <c r="BM8204" s="397"/>
      <c r="BN8204" s="397"/>
      <c r="BO8204" s="397"/>
      <c r="BP8204" s="397"/>
      <c r="BQ8204" s="397"/>
      <c r="BR8204" s="397"/>
      <c r="BS8204" s="397"/>
      <c r="BT8204" s="397"/>
      <c r="BU8204" s="397"/>
      <c r="BV8204" s="397"/>
      <c r="BW8204" s="397"/>
      <c r="BX8204" s="397"/>
      <c r="BY8204" s="397"/>
      <c r="BZ8204" s="397"/>
      <c r="CA8204" s="392"/>
      <c r="CB8204" s="392"/>
    </row>
    <row r="8205" spans="1:80" ht="15" x14ac:dyDescent="0.25">
      <c r="A8205" s="385"/>
      <c r="B8205" s="392"/>
      <c r="C8205" s="392"/>
      <c r="D8205" s="700"/>
      <c r="E8205" s="397"/>
      <c r="F8205" s="392"/>
      <c r="G8205" s="392"/>
      <c r="H8205" s="401"/>
      <c r="I8205" s="165">
        <v>10</v>
      </c>
      <c r="J8205" s="165">
        <v>120</v>
      </c>
      <c r="K8205" s="165">
        <v>1</v>
      </c>
      <c r="L8205" s="628"/>
      <c r="M8205" s="628"/>
      <c r="N8205" s="388">
        <f>19.47*(0.028317)</f>
        <v>0.55133198999999988</v>
      </c>
      <c r="O8205" s="389">
        <v>9.4409999999999997E-3</v>
      </c>
      <c r="P8205" s="413"/>
      <c r="Q8205" s="413"/>
      <c r="R8205" s="413"/>
      <c r="S8205" s="413">
        <v>0.30361445783132529</v>
      </c>
      <c r="T8205" s="413">
        <v>0.27951807228915665</v>
      </c>
      <c r="U8205" s="413">
        <v>0.21445783132530122</v>
      </c>
      <c r="V8205" s="504">
        <v>0</v>
      </c>
      <c r="W8205" s="504">
        <v>0</v>
      </c>
      <c r="X8205" s="504">
        <v>0</v>
      </c>
      <c r="Y8205" s="504">
        <v>0.20240963855421687</v>
      </c>
      <c r="Z8205" s="388">
        <v>15</v>
      </c>
      <c r="AA8205" s="388"/>
      <c r="AB8205" s="391"/>
      <c r="AC8205" s="392"/>
      <c r="AD8205" s="388">
        <f>13.65*(0.3048)</f>
        <v>4.16052</v>
      </c>
      <c r="AE8205" s="388">
        <f>0.575274725274725*(0.3048)</f>
        <v>0.1753437362637362</v>
      </c>
      <c r="AF8205" s="388">
        <f t="shared" si="60"/>
        <v>0.72952112159999971</v>
      </c>
      <c r="AG8205" s="388">
        <f>2.47956064947469*(0.3048)</f>
        <v>0.75577008595988548</v>
      </c>
      <c r="AH8205" s="391"/>
      <c r="AI8205" s="397"/>
      <c r="AJ8205" s="397"/>
      <c r="AK8205" s="392"/>
      <c r="AL8205" s="392"/>
      <c r="AM8205" s="392"/>
      <c r="AN8205" s="392"/>
      <c r="AO8205" s="392"/>
      <c r="AP8205" s="392"/>
      <c r="AQ8205" s="392"/>
      <c r="AR8205" s="392"/>
      <c r="AS8205" s="392"/>
      <c r="AT8205" s="392"/>
      <c r="AU8205" s="397"/>
      <c r="AV8205" s="397"/>
      <c r="AW8205" s="397"/>
      <c r="AX8205" s="397"/>
      <c r="AY8205" s="392"/>
      <c r="AZ8205" s="392"/>
      <c r="BA8205" s="392"/>
      <c r="BB8205" s="392"/>
      <c r="BC8205" s="392"/>
      <c r="BD8205" s="392"/>
      <c r="BE8205" s="392"/>
      <c r="BF8205" s="392"/>
      <c r="BG8205" s="392"/>
      <c r="BH8205" s="392"/>
      <c r="BI8205" s="397"/>
      <c r="BJ8205" s="397"/>
      <c r="BK8205" s="397"/>
      <c r="BL8205" s="397"/>
      <c r="BM8205" s="397"/>
      <c r="BN8205" s="397"/>
      <c r="BO8205" s="397"/>
      <c r="BP8205" s="397"/>
      <c r="BQ8205" s="397"/>
      <c r="BR8205" s="397"/>
      <c r="BS8205" s="397"/>
      <c r="BT8205" s="397"/>
      <c r="BU8205" s="397"/>
      <c r="BV8205" s="397"/>
      <c r="BW8205" s="397"/>
      <c r="BX8205" s="397"/>
      <c r="BY8205" s="397"/>
      <c r="BZ8205" s="397"/>
      <c r="CA8205" s="392"/>
      <c r="CB8205" s="392"/>
    </row>
    <row r="8206" spans="1:80" ht="15" x14ac:dyDescent="0.25">
      <c r="A8206" s="385"/>
      <c r="B8206" s="392"/>
      <c r="C8206" s="392"/>
      <c r="D8206" s="700"/>
      <c r="E8206" s="397"/>
      <c r="F8206" s="392"/>
      <c r="G8206" s="392"/>
      <c r="H8206" s="401"/>
      <c r="I8206" s="165">
        <v>10</v>
      </c>
      <c r="J8206" s="165">
        <v>120</v>
      </c>
      <c r="K8206" s="165">
        <v>1</v>
      </c>
      <c r="L8206" s="628"/>
      <c r="M8206" s="628"/>
      <c r="N8206" s="388">
        <f>21.96*(0.028317)</f>
        <v>0.62184132000000003</v>
      </c>
      <c r="O8206" s="389">
        <v>1.0366E-2</v>
      </c>
      <c r="P8206" s="413"/>
      <c r="Q8206" s="413"/>
      <c r="R8206" s="413">
        <v>0.1111111111111111</v>
      </c>
      <c r="S8206" s="413">
        <v>0.16557734204793029</v>
      </c>
      <c r="T8206" s="413">
        <v>0.25272331154684097</v>
      </c>
      <c r="U8206" s="413">
        <v>0.24183006535947713</v>
      </c>
      <c r="V8206" s="504">
        <v>0</v>
      </c>
      <c r="W8206" s="504">
        <v>0</v>
      </c>
      <c r="X8206" s="504">
        <v>0</v>
      </c>
      <c r="Y8206" s="504">
        <v>0.22875816993464052</v>
      </c>
      <c r="Z8206" s="388">
        <v>32</v>
      </c>
      <c r="AA8206" s="388"/>
      <c r="AB8206" s="391"/>
      <c r="AC8206" s="392"/>
      <c r="AD8206" s="388">
        <f>13.55*(0.3048)</f>
        <v>4.1300400000000002</v>
      </c>
      <c r="AE8206" s="388">
        <f>0.538191881918819*(0.3048)</f>
        <v>0.16404088560885602</v>
      </c>
      <c r="AF8206" s="388">
        <f t="shared" si="60"/>
        <v>0.67749541919999978</v>
      </c>
      <c r="AG8206" s="388">
        <f>3.01148440178265*(0.3048)</f>
        <v>0.91790044566335183</v>
      </c>
      <c r="AH8206" s="391"/>
      <c r="AI8206" s="397"/>
      <c r="AJ8206" s="397"/>
      <c r="AK8206" s="392"/>
      <c r="AL8206" s="392"/>
      <c r="AM8206" s="392"/>
      <c r="AN8206" s="392"/>
      <c r="AO8206" s="392"/>
      <c r="AP8206" s="392"/>
      <c r="AQ8206" s="392"/>
      <c r="AR8206" s="392"/>
      <c r="AS8206" s="392"/>
      <c r="AT8206" s="392"/>
      <c r="AU8206" s="397"/>
      <c r="AV8206" s="397"/>
      <c r="AW8206" s="397"/>
      <c r="AX8206" s="397"/>
      <c r="AY8206" s="392"/>
      <c r="AZ8206" s="392"/>
      <c r="BA8206" s="392"/>
      <c r="BB8206" s="392"/>
      <c r="BC8206" s="392"/>
      <c r="BD8206" s="392"/>
      <c r="BE8206" s="392"/>
      <c r="BF8206" s="392"/>
      <c r="BG8206" s="392"/>
      <c r="BH8206" s="392"/>
      <c r="BI8206" s="397"/>
      <c r="BJ8206" s="397"/>
      <c r="BK8206" s="397"/>
      <c r="BL8206" s="397"/>
      <c r="BM8206" s="397"/>
      <c r="BN8206" s="397"/>
      <c r="BO8206" s="397"/>
      <c r="BP8206" s="397"/>
      <c r="BQ8206" s="397"/>
      <c r="BR8206" s="397"/>
      <c r="BS8206" s="397"/>
      <c r="BT8206" s="397"/>
      <c r="BU8206" s="397"/>
      <c r="BV8206" s="397"/>
      <c r="BW8206" s="397"/>
      <c r="BX8206" s="397"/>
      <c r="BY8206" s="397"/>
      <c r="BZ8206" s="397"/>
      <c r="CA8206" s="392"/>
      <c r="CB8206" s="392"/>
    </row>
    <row r="8207" spans="1:80" ht="15" x14ac:dyDescent="0.25">
      <c r="A8207" s="385"/>
      <c r="B8207" s="392"/>
      <c r="C8207" s="392"/>
      <c r="D8207" s="700"/>
      <c r="E8207" s="397"/>
      <c r="F8207" s="392"/>
      <c r="G8207" s="392"/>
      <c r="H8207" s="401"/>
      <c r="I8207" s="165"/>
      <c r="J8207" s="165"/>
      <c r="K8207" s="165"/>
      <c r="L8207" s="628"/>
      <c r="M8207" s="628"/>
      <c r="N8207" s="388">
        <f>24.7584*(0.028317)</f>
        <v>0.70108361279999998</v>
      </c>
      <c r="O8207" s="389"/>
      <c r="P8207" s="413"/>
      <c r="Q8207" s="413"/>
      <c r="R8207" s="413"/>
      <c r="S8207" s="413"/>
      <c r="T8207" s="413"/>
      <c r="U8207" s="413"/>
      <c r="V8207" s="504"/>
      <c r="W8207" s="504"/>
      <c r="X8207" s="504"/>
      <c r="Y8207" s="504"/>
      <c r="Z8207" s="388"/>
      <c r="AA8207" s="388"/>
      <c r="AB8207" s="391"/>
      <c r="AC8207" s="392"/>
      <c r="AD8207" s="388">
        <f>14.4792*(0.3048)</f>
        <v>4.4132601600000001</v>
      </c>
      <c r="AE8207" s="388"/>
      <c r="AF8207" s="388"/>
      <c r="AG8207" s="388"/>
      <c r="AH8207" s="391"/>
      <c r="AI8207" s="397"/>
      <c r="AJ8207" s="397"/>
      <c r="AK8207" s="392"/>
      <c r="AL8207" s="392"/>
      <c r="AM8207" s="392"/>
      <c r="AN8207" s="392"/>
      <c r="AO8207" s="392"/>
      <c r="AP8207" s="392"/>
      <c r="AQ8207" s="392"/>
      <c r="AR8207" s="392"/>
      <c r="AS8207" s="392"/>
      <c r="AT8207" s="392"/>
      <c r="AU8207" s="397"/>
      <c r="AV8207" s="397"/>
      <c r="AW8207" s="397"/>
      <c r="AX8207" s="397"/>
      <c r="AY8207" s="392"/>
      <c r="AZ8207" s="392"/>
      <c r="BA8207" s="392"/>
      <c r="BB8207" s="392"/>
      <c r="BC8207" s="392"/>
      <c r="BD8207" s="392"/>
      <c r="BE8207" s="392"/>
      <c r="BF8207" s="392"/>
      <c r="BG8207" s="392"/>
      <c r="BH8207" s="392"/>
      <c r="BI8207" s="397"/>
      <c r="BJ8207" s="397"/>
      <c r="BK8207" s="397"/>
      <c r="BL8207" s="397"/>
      <c r="BM8207" s="397"/>
      <c r="BN8207" s="397"/>
      <c r="BO8207" s="397"/>
      <c r="BP8207" s="397"/>
      <c r="BQ8207" s="397"/>
      <c r="BR8207" s="397"/>
      <c r="BS8207" s="397"/>
      <c r="BT8207" s="397"/>
      <c r="BU8207" s="397"/>
      <c r="BV8207" s="397"/>
      <c r="BW8207" s="397"/>
      <c r="BX8207" s="397"/>
      <c r="BY8207" s="397"/>
      <c r="BZ8207" s="397"/>
      <c r="CA8207" s="392"/>
      <c r="CB8207" s="392"/>
    </row>
    <row r="8208" spans="1:80" ht="15" x14ac:dyDescent="0.25">
      <c r="A8208" s="385"/>
      <c r="B8208" s="392"/>
      <c r="C8208" s="392"/>
      <c r="D8208" s="700"/>
      <c r="E8208" s="397"/>
      <c r="F8208" s="392"/>
      <c r="G8208" s="392"/>
      <c r="H8208" s="401"/>
      <c r="I8208" s="165">
        <v>10</v>
      </c>
      <c r="J8208" s="165">
        <v>120</v>
      </c>
      <c r="K8208" s="165">
        <v>1</v>
      </c>
      <c r="L8208" s="628"/>
      <c r="M8208" s="628"/>
      <c r="N8208" s="388">
        <f>20.33*(0.028317)</f>
        <v>0.57568460999999993</v>
      </c>
      <c r="O8208" s="389">
        <v>1.3650000000000001E-2</v>
      </c>
      <c r="P8208" s="413"/>
      <c r="Q8208" s="413"/>
      <c r="R8208" s="413"/>
      <c r="S8208" s="413">
        <v>0.12666666666666668</v>
      </c>
      <c r="T8208" s="413">
        <v>0.19333333333333333</v>
      </c>
      <c r="U8208" s="413">
        <v>0.29499999999999998</v>
      </c>
      <c r="V8208" s="504">
        <v>0</v>
      </c>
      <c r="W8208" s="504">
        <v>0</v>
      </c>
      <c r="X8208" s="504">
        <v>0</v>
      </c>
      <c r="Y8208" s="504">
        <v>0.38500000000000001</v>
      </c>
      <c r="Z8208" s="388">
        <v>15</v>
      </c>
      <c r="AA8208" s="388"/>
      <c r="AB8208" s="391"/>
      <c r="AC8208" s="392"/>
      <c r="AD8208" s="388">
        <f>13.65*(0.3048)</f>
        <v>4.16052</v>
      </c>
      <c r="AE8208" s="388">
        <f>0.562087912087912*(0.3048)</f>
        <v>0.17132439560439558</v>
      </c>
      <c r="AF8208" s="388">
        <f t="shared" si="60"/>
        <v>0.71279857439999994</v>
      </c>
      <c r="AG8208" s="388">
        <f>2.65016617790811*(0.3048)</f>
        <v>0.80777065102639201</v>
      </c>
      <c r="AH8208" s="391"/>
      <c r="AI8208" s="397"/>
      <c r="AJ8208" s="397"/>
      <c r="AK8208" s="392"/>
      <c r="AL8208" s="392"/>
      <c r="AM8208" s="392"/>
      <c r="AN8208" s="392"/>
      <c r="AO8208" s="392"/>
      <c r="AP8208" s="392"/>
      <c r="AQ8208" s="392"/>
      <c r="AR8208" s="392"/>
      <c r="AS8208" s="392"/>
      <c r="AT8208" s="392"/>
      <c r="AU8208" s="397"/>
      <c r="AV8208" s="397"/>
      <c r="AW8208" s="397"/>
      <c r="AX8208" s="397"/>
      <c r="AY8208" s="392"/>
      <c r="AZ8208" s="392"/>
      <c r="BA8208" s="392"/>
      <c r="BB8208" s="392"/>
      <c r="BC8208" s="392"/>
      <c r="BD8208" s="392"/>
      <c r="BE8208" s="392"/>
      <c r="BF8208" s="392"/>
      <c r="BG8208" s="392"/>
      <c r="BH8208" s="392"/>
      <c r="BI8208" s="397"/>
      <c r="BJ8208" s="397"/>
      <c r="BK8208" s="397"/>
      <c r="BL8208" s="397"/>
      <c r="BM8208" s="397"/>
      <c r="BN8208" s="397"/>
      <c r="BO8208" s="397"/>
      <c r="BP8208" s="397"/>
      <c r="BQ8208" s="397"/>
      <c r="BR8208" s="397"/>
      <c r="BS8208" s="397"/>
      <c r="BT8208" s="397"/>
      <c r="BU8208" s="397"/>
      <c r="BV8208" s="397"/>
      <c r="BW8208" s="397"/>
      <c r="BX8208" s="397"/>
      <c r="BY8208" s="397"/>
      <c r="BZ8208" s="397"/>
      <c r="CA8208" s="392"/>
      <c r="CB8208" s="392"/>
    </row>
    <row r="8209" spans="1:80" ht="15" x14ac:dyDescent="0.25">
      <c r="A8209" s="385"/>
      <c r="B8209" s="392"/>
      <c r="C8209" s="392"/>
      <c r="D8209" s="700"/>
      <c r="E8209" s="397"/>
      <c r="F8209" s="392"/>
      <c r="G8209" s="392"/>
      <c r="H8209" s="401"/>
      <c r="I8209" s="165"/>
      <c r="J8209" s="165"/>
      <c r="K8209" s="165"/>
      <c r="L8209" s="628"/>
      <c r="M8209" s="628"/>
      <c r="N8209" s="388">
        <f>17.7033*(0.028317)</f>
        <v>0.50130434609999996</v>
      </c>
      <c r="O8209" s="389"/>
      <c r="P8209" s="413"/>
      <c r="Q8209" s="413"/>
      <c r="R8209" s="413"/>
      <c r="S8209" s="413"/>
      <c r="T8209" s="413"/>
      <c r="U8209" s="413"/>
      <c r="V8209" s="504"/>
      <c r="W8209" s="504"/>
      <c r="X8209" s="504"/>
      <c r="Y8209" s="504"/>
      <c r="Z8209" s="388"/>
      <c r="AA8209" s="388"/>
      <c r="AB8209" s="391"/>
      <c r="AC8209" s="392"/>
      <c r="AD8209" s="388">
        <f>13.8027*(0.3048)</f>
        <v>4.20706296</v>
      </c>
      <c r="AE8209" s="388"/>
      <c r="AF8209" s="388"/>
      <c r="AG8209" s="388"/>
      <c r="AH8209" s="391"/>
      <c r="AI8209" s="397"/>
      <c r="AJ8209" s="397"/>
      <c r="AK8209" s="392"/>
      <c r="AL8209" s="392"/>
      <c r="AM8209" s="392"/>
      <c r="AN8209" s="392"/>
      <c r="AO8209" s="392"/>
      <c r="AP8209" s="392"/>
      <c r="AQ8209" s="392"/>
      <c r="AR8209" s="392"/>
      <c r="AS8209" s="392"/>
      <c r="AT8209" s="392"/>
      <c r="AU8209" s="397"/>
      <c r="AV8209" s="397"/>
      <c r="AW8209" s="397"/>
      <c r="AX8209" s="397"/>
      <c r="AY8209" s="392"/>
      <c r="AZ8209" s="392"/>
      <c r="BA8209" s="392"/>
      <c r="BB8209" s="392"/>
      <c r="BC8209" s="392"/>
      <c r="BD8209" s="392"/>
      <c r="BE8209" s="392"/>
      <c r="BF8209" s="392"/>
      <c r="BG8209" s="392"/>
      <c r="BH8209" s="392"/>
      <c r="BI8209" s="397"/>
      <c r="BJ8209" s="397"/>
      <c r="BK8209" s="397"/>
      <c r="BL8209" s="397"/>
      <c r="BM8209" s="397"/>
      <c r="BN8209" s="397"/>
      <c r="BO8209" s="397"/>
      <c r="BP8209" s="397"/>
      <c r="BQ8209" s="397"/>
      <c r="BR8209" s="397"/>
      <c r="BS8209" s="397"/>
      <c r="BT8209" s="397"/>
      <c r="BU8209" s="397"/>
      <c r="BV8209" s="397"/>
      <c r="BW8209" s="397"/>
      <c r="BX8209" s="397"/>
      <c r="BY8209" s="397"/>
      <c r="BZ8209" s="397"/>
      <c r="CA8209" s="392"/>
      <c r="CB8209" s="392"/>
    </row>
    <row r="8210" spans="1:80" ht="15" x14ac:dyDescent="0.25">
      <c r="A8210" s="385"/>
      <c r="B8210" s="392"/>
      <c r="C8210" s="392"/>
      <c r="D8210" s="700"/>
      <c r="E8210" s="397"/>
      <c r="F8210" s="392"/>
      <c r="G8210" s="392"/>
      <c r="H8210" s="401"/>
      <c r="I8210" s="165">
        <v>10</v>
      </c>
      <c r="J8210" s="165">
        <v>120</v>
      </c>
      <c r="K8210" s="165">
        <v>1</v>
      </c>
      <c r="L8210" s="628"/>
      <c r="M8210" s="628"/>
      <c r="N8210" s="388">
        <f>17.89*(0.028317)</f>
        <v>0.50659113</v>
      </c>
      <c r="O8210" s="389">
        <v>1.9994000000000001E-2</v>
      </c>
      <c r="P8210" s="413"/>
      <c r="Q8210" s="413">
        <v>9.2017738359201767E-2</v>
      </c>
      <c r="R8210" s="413">
        <v>2.771618625277162E-2</v>
      </c>
      <c r="S8210" s="413">
        <v>5.6541019955654102E-2</v>
      </c>
      <c r="T8210" s="413">
        <v>0.15521064301552107</v>
      </c>
      <c r="U8210" s="413">
        <v>0.31929046563192903</v>
      </c>
      <c r="V8210" s="504">
        <v>0</v>
      </c>
      <c r="W8210" s="504">
        <v>0</v>
      </c>
      <c r="X8210" s="504">
        <v>0</v>
      </c>
      <c r="Y8210" s="504">
        <v>0.34922394678492241</v>
      </c>
      <c r="Z8210" s="388">
        <v>36</v>
      </c>
      <c r="AA8210" s="388"/>
      <c r="AB8210" s="391"/>
      <c r="AC8210" s="392"/>
      <c r="AD8210" s="388">
        <f>13.3*(0.3048)</f>
        <v>4.0538400000000001</v>
      </c>
      <c r="AE8210" s="388">
        <f>0.561466165413534*(0.3048)</f>
        <v>0.17113488721804518</v>
      </c>
      <c r="AF8210" s="388">
        <f t="shared" si="60"/>
        <v>0.69375345120000032</v>
      </c>
      <c r="AG8210" s="388">
        <f>2.39594911282223*(0.3048)</f>
        <v>0.73028528958821581</v>
      </c>
      <c r="AH8210" s="391"/>
      <c r="AI8210" s="397"/>
      <c r="AJ8210" s="397"/>
      <c r="AK8210" s="392"/>
      <c r="AL8210" s="392"/>
      <c r="AM8210" s="392"/>
      <c r="AN8210" s="392"/>
      <c r="AO8210" s="392"/>
      <c r="AP8210" s="392"/>
      <c r="AQ8210" s="392"/>
      <c r="AR8210" s="392"/>
      <c r="AS8210" s="392"/>
      <c r="AT8210" s="392"/>
      <c r="AU8210" s="397"/>
      <c r="AV8210" s="397"/>
      <c r="AW8210" s="397"/>
      <c r="AX8210" s="397"/>
      <c r="AY8210" s="392"/>
      <c r="AZ8210" s="392"/>
      <c r="BA8210" s="392"/>
      <c r="BB8210" s="392"/>
      <c r="BC8210" s="392"/>
      <c r="BD8210" s="392"/>
      <c r="BE8210" s="392"/>
      <c r="BF8210" s="392"/>
      <c r="BG8210" s="392"/>
      <c r="BH8210" s="392"/>
      <c r="BI8210" s="397"/>
      <c r="BJ8210" s="397"/>
      <c r="BK8210" s="397"/>
      <c r="BL8210" s="397"/>
      <c r="BM8210" s="397"/>
      <c r="BN8210" s="397"/>
      <c r="BO8210" s="397"/>
      <c r="BP8210" s="397"/>
      <c r="BQ8210" s="397"/>
      <c r="BR8210" s="397"/>
      <c r="BS8210" s="397"/>
      <c r="BT8210" s="397"/>
      <c r="BU8210" s="397"/>
      <c r="BV8210" s="397"/>
      <c r="BW8210" s="397"/>
      <c r="BX8210" s="397"/>
      <c r="BY8210" s="397"/>
      <c r="BZ8210" s="397"/>
      <c r="CA8210" s="392"/>
      <c r="CB8210" s="392"/>
    </row>
    <row r="8211" spans="1:80" ht="15" x14ac:dyDescent="0.25">
      <c r="A8211" s="385"/>
      <c r="B8211" s="392"/>
      <c r="C8211" s="392"/>
      <c r="D8211" s="700"/>
      <c r="E8211" s="397"/>
      <c r="F8211" s="392"/>
      <c r="G8211" s="392"/>
      <c r="H8211" s="401"/>
      <c r="I8211" s="165">
        <v>10</v>
      </c>
      <c r="J8211" s="165">
        <v>120</v>
      </c>
      <c r="K8211" s="165">
        <v>1</v>
      </c>
      <c r="L8211" s="628"/>
      <c r="M8211" s="628"/>
      <c r="N8211" s="388">
        <f>15.07*(0.028317)</f>
        <v>0.42673718999999999</v>
      </c>
      <c r="O8211" s="389">
        <v>1.3760000000000001E-3</v>
      </c>
      <c r="P8211" s="413"/>
      <c r="Q8211" s="413"/>
      <c r="R8211" s="413"/>
      <c r="S8211" s="413"/>
      <c r="T8211" s="413"/>
      <c r="U8211" s="413"/>
      <c r="V8211" s="504">
        <v>0</v>
      </c>
      <c r="W8211" s="504">
        <v>0</v>
      </c>
      <c r="X8211" s="504">
        <v>0</v>
      </c>
      <c r="Y8211" s="504">
        <v>1</v>
      </c>
      <c r="Z8211" s="388">
        <v>1</v>
      </c>
      <c r="AA8211" s="388"/>
      <c r="AB8211" s="391"/>
      <c r="AC8211" s="392"/>
      <c r="AD8211" s="388">
        <f>13.1*(0.3048)</f>
        <v>3.99288</v>
      </c>
      <c r="AE8211" s="388">
        <f>0.520515267175573*(0.3048)</f>
        <v>0.15865305343511465</v>
      </c>
      <c r="AF8211" s="388">
        <f t="shared" si="60"/>
        <v>0.63348260400000056</v>
      </c>
      <c r="AG8211" s="388">
        <f>2.21048945921173*(0.3048)</f>
        <v>0.67375718716773536</v>
      </c>
      <c r="AH8211" s="391"/>
      <c r="AI8211" s="397"/>
      <c r="AJ8211" s="397"/>
      <c r="AK8211" s="392"/>
      <c r="AL8211" s="392"/>
      <c r="AM8211" s="392"/>
      <c r="AN8211" s="392"/>
      <c r="AO8211" s="392"/>
      <c r="AP8211" s="392"/>
      <c r="AQ8211" s="392"/>
      <c r="AR8211" s="392"/>
      <c r="AS8211" s="392"/>
      <c r="AT8211" s="392"/>
      <c r="AU8211" s="397"/>
      <c r="AV8211" s="397"/>
      <c r="AW8211" s="397"/>
      <c r="AX8211" s="397"/>
      <c r="AY8211" s="392"/>
      <c r="AZ8211" s="392"/>
      <c r="BA8211" s="392"/>
      <c r="BB8211" s="392"/>
      <c r="BC8211" s="392"/>
      <c r="BD8211" s="392"/>
      <c r="BE8211" s="392"/>
      <c r="BF8211" s="392"/>
      <c r="BG8211" s="392"/>
      <c r="BH8211" s="392"/>
      <c r="BI8211" s="397"/>
      <c r="BJ8211" s="397"/>
      <c r="BK8211" s="397"/>
      <c r="BL8211" s="397"/>
      <c r="BM8211" s="397"/>
      <c r="BN8211" s="397"/>
      <c r="BO8211" s="397"/>
      <c r="BP8211" s="397"/>
      <c r="BQ8211" s="397"/>
      <c r="BR8211" s="397"/>
      <c r="BS8211" s="397"/>
      <c r="BT8211" s="397"/>
      <c r="BU8211" s="397"/>
      <c r="BV8211" s="397"/>
      <c r="BW8211" s="397"/>
      <c r="BX8211" s="397"/>
      <c r="BY8211" s="397"/>
      <c r="BZ8211" s="397"/>
      <c r="CA8211" s="392"/>
      <c r="CB8211" s="392"/>
    </row>
    <row r="8212" spans="1:80" ht="15" x14ac:dyDescent="0.25">
      <c r="A8212" s="385"/>
      <c r="B8212" s="392"/>
      <c r="C8212" s="392"/>
      <c r="D8212" s="700"/>
      <c r="E8212" s="397"/>
      <c r="F8212" s="392"/>
      <c r="G8212" s="392"/>
      <c r="H8212" s="401"/>
      <c r="I8212" s="165">
        <v>10</v>
      </c>
      <c r="J8212" s="165">
        <v>120</v>
      </c>
      <c r="K8212" s="165">
        <v>1</v>
      </c>
      <c r="L8212" s="628"/>
      <c r="M8212" s="628"/>
      <c r="N8212" s="388">
        <f>11.17*(0.028317)</f>
        <v>0.31630089</v>
      </c>
      <c r="O8212" s="389">
        <v>2.2230000000000001E-3</v>
      </c>
      <c r="P8212" s="413"/>
      <c r="Q8212" s="413"/>
      <c r="R8212" s="413"/>
      <c r="S8212" s="413"/>
      <c r="T8212" s="413"/>
      <c r="U8212" s="413"/>
      <c r="V8212" s="504">
        <v>0</v>
      </c>
      <c r="W8212" s="504">
        <v>0</v>
      </c>
      <c r="X8212" s="504">
        <v>0</v>
      </c>
      <c r="Y8212" s="504">
        <v>1</v>
      </c>
      <c r="Z8212" s="388">
        <v>11</v>
      </c>
      <c r="AA8212" s="388"/>
      <c r="AB8212" s="391"/>
      <c r="AC8212" s="392"/>
      <c r="AD8212" s="388">
        <f>12.7*(0.3048)</f>
        <v>3.8709600000000002</v>
      </c>
      <c r="AE8212" s="388">
        <f>0.502755905511811*(0.3048)</f>
        <v>0.15324000000000002</v>
      </c>
      <c r="AF8212" s="388">
        <f t="shared" si="60"/>
        <v>0.59318591040000013</v>
      </c>
      <c r="AG8212" s="388">
        <f>1.74878621769773*(0.3048)</f>
        <v>0.53303003915426816</v>
      </c>
      <c r="AH8212" s="391"/>
      <c r="AI8212" s="397"/>
      <c r="AJ8212" s="397"/>
      <c r="AK8212" s="392"/>
      <c r="AL8212" s="392"/>
      <c r="AM8212" s="392"/>
      <c r="AN8212" s="392"/>
      <c r="AO8212" s="392"/>
      <c r="AP8212" s="392"/>
      <c r="AQ8212" s="392"/>
      <c r="AR8212" s="392"/>
      <c r="AS8212" s="392"/>
      <c r="AT8212" s="392"/>
      <c r="AU8212" s="397"/>
      <c r="AV8212" s="397"/>
      <c r="AW8212" s="397"/>
      <c r="AX8212" s="397"/>
      <c r="AY8212" s="392"/>
      <c r="AZ8212" s="392"/>
      <c r="BA8212" s="392"/>
      <c r="BB8212" s="392"/>
      <c r="BC8212" s="392"/>
      <c r="BD8212" s="392"/>
      <c r="BE8212" s="392"/>
      <c r="BF8212" s="392"/>
      <c r="BG8212" s="392"/>
      <c r="BH8212" s="392"/>
      <c r="BI8212" s="397"/>
      <c r="BJ8212" s="397"/>
      <c r="BK8212" s="397"/>
      <c r="BL8212" s="397"/>
      <c r="BM8212" s="397"/>
      <c r="BN8212" s="397"/>
      <c r="BO8212" s="397"/>
      <c r="BP8212" s="397"/>
      <c r="BQ8212" s="397"/>
      <c r="BR8212" s="397"/>
      <c r="BS8212" s="397"/>
      <c r="BT8212" s="397"/>
      <c r="BU8212" s="397"/>
      <c r="BV8212" s="397"/>
      <c r="BW8212" s="397"/>
      <c r="BX8212" s="397"/>
      <c r="BY8212" s="397"/>
      <c r="BZ8212" s="397"/>
      <c r="CA8212" s="392"/>
      <c r="CB8212" s="392"/>
    </row>
    <row r="8213" spans="1:80" ht="15" x14ac:dyDescent="0.25">
      <c r="A8213" s="385"/>
      <c r="B8213" s="392"/>
      <c r="C8213" s="392"/>
      <c r="D8213" s="700"/>
      <c r="E8213" s="397"/>
      <c r="F8213" s="392"/>
      <c r="G8213" s="392"/>
      <c r="H8213" s="401"/>
      <c r="I8213" s="165">
        <v>10</v>
      </c>
      <c r="J8213" s="165">
        <v>120</v>
      </c>
      <c r="K8213" s="165">
        <v>1</v>
      </c>
      <c r="L8213" s="628"/>
      <c r="M8213" s="628"/>
      <c r="N8213" s="388">
        <f>8*(0.028317)</f>
        <v>0.22653599999999999</v>
      </c>
      <c r="O8213" s="389">
        <v>8.8900000000000003E-4</v>
      </c>
      <c r="P8213" s="413"/>
      <c r="Q8213" s="413"/>
      <c r="R8213" s="413"/>
      <c r="S8213" s="413"/>
      <c r="T8213" s="413"/>
      <c r="U8213" s="413"/>
      <c r="V8213" s="504">
        <v>0</v>
      </c>
      <c r="W8213" s="504">
        <v>0</v>
      </c>
      <c r="X8213" s="504">
        <v>0</v>
      </c>
      <c r="Y8213" s="504">
        <v>1</v>
      </c>
      <c r="Z8213" s="388"/>
      <c r="AA8213" s="388"/>
      <c r="AB8213" s="391"/>
      <c r="AC8213" s="392"/>
      <c r="AD8213" s="388">
        <f>12.7*(0.3048)</f>
        <v>3.8709600000000002</v>
      </c>
      <c r="AE8213" s="388"/>
      <c r="AF8213" s="388"/>
      <c r="AG8213" s="388"/>
      <c r="AH8213" s="391"/>
      <c r="AI8213" s="397"/>
      <c r="AJ8213" s="397"/>
      <c r="AK8213" s="392"/>
      <c r="AL8213" s="392"/>
      <c r="AM8213" s="392"/>
      <c r="AN8213" s="392"/>
      <c r="AO8213" s="392"/>
      <c r="AP8213" s="392"/>
      <c r="AQ8213" s="392"/>
      <c r="AR8213" s="392"/>
      <c r="AS8213" s="392"/>
      <c r="AT8213" s="392"/>
      <c r="AU8213" s="397"/>
      <c r="AV8213" s="397"/>
      <c r="AW8213" s="397"/>
      <c r="AX8213" s="397"/>
      <c r="AY8213" s="392"/>
      <c r="AZ8213" s="392"/>
      <c r="BA8213" s="392"/>
      <c r="BB8213" s="392"/>
      <c r="BC8213" s="392"/>
      <c r="BD8213" s="392"/>
      <c r="BE8213" s="392"/>
      <c r="BF8213" s="392"/>
      <c r="BG8213" s="392"/>
      <c r="BH8213" s="392"/>
      <c r="BI8213" s="397"/>
      <c r="BJ8213" s="397"/>
      <c r="BK8213" s="397"/>
      <c r="BL8213" s="397"/>
      <c r="BM8213" s="397"/>
      <c r="BN8213" s="397"/>
      <c r="BO8213" s="397"/>
      <c r="BP8213" s="397"/>
      <c r="BQ8213" s="397"/>
      <c r="BR8213" s="397"/>
      <c r="BS8213" s="397"/>
      <c r="BT8213" s="397"/>
      <c r="BU8213" s="397"/>
      <c r="BV8213" s="397"/>
      <c r="BW8213" s="397"/>
      <c r="BX8213" s="397"/>
      <c r="BY8213" s="397"/>
      <c r="BZ8213" s="397"/>
      <c r="CA8213" s="392"/>
      <c r="CB8213" s="392"/>
    </row>
    <row r="8214" spans="1:80" ht="15" x14ac:dyDescent="0.25">
      <c r="A8214" s="385"/>
      <c r="B8214" s="392"/>
      <c r="C8214" s="392"/>
      <c r="D8214" s="700"/>
      <c r="E8214" s="397"/>
      <c r="F8214" s="392"/>
      <c r="G8214" s="392"/>
      <c r="H8214" s="401"/>
      <c r="I8214" s="165">
        <v>10</v>
      </c>
      <c r="J8214" s="165">
        <v>120</v>
      </c>
      <c r="K8214" s="165">
        <v>1</v>
      </c>
      <c r="L8214" s="628"/>
      <c r="M8214" s="628"/>
      <c r="N8214" s="388">
        <f>6.25*(0.028317)</f>
        <v>0.17698124999999998</v>
      </c>
      <c r="O8214" s="389">
        <v>0</v>
      </c>
      <c r="P8214" s="413"/>
      <c r="Q8214" s="413"/>
      <c r="R8214" s="413"/>
      <c r="S8214" s="413"/>
      <c r="T8214" s="413"/>
      <c r="U8214" s="413"/>
      <c r="V8214" s="504"/>
      <c r="W8214" s="504"/>
      <c r="X8214" s="504"/>
      <c r="Y8214" s="504"/>
      <c r="Z8214" s="388"/>
      <c r="AA8214" s="388"/>
      <c r="AB8214" s="391"/>
      <c r="AC8214" s="392"/>
      <c r="AD8214" s="388">
        <f>12.7*(0.3048)</f>
        <v>3.8709600000000002</v>
      </c>
      <c r="AE8214" s="388">
        <f>0.416929133858268*(0.3048)</f>
        <v>0.12708000000000011</v>
      </c>
      <c r="AF8214" s="388">
        <f t="shared" si="60"/>
        <v>0.49192159680000047</v>
      </c>
      <c r="AG8214" s="388">
        <f>1.18007554296506*(0.3048)</f>
        <v>0.35968702549575032</v>
      </c>
      <c r="AH8214" s="391"/>
      <c r="AI8214" s="397"/>
      <c r="AJ8214" s="397"/>
      <c r="AK8214" s="392"/>
      <c r="AL8214" s="392"/>
      <c r="AM8214" s="392"/>
      <c r="AN8214" s="392"/>
      <c r="AO8214" s="392"/>
      <c r="AP8214" s="392"/>
      <c r="AQ8214" s="392"/>
      <c r="AR8214" s="392"/>
      <c r="AS8214" s="392"/>
      <c r="AT8214" s="392"/>
      <c r="AU8214" s="397"/>
      <c r="AV8214" s="397"/>
      <c r="AW8214" s="397"/>
      <c r="AX8214" s="397"/>
      <c r="AY8214" s="392"/>
      <c r="AZ8214" s="392"/>
      <c r="BA8214" s="392"/>
      <c r="BB8214" s="392"/>
      <c r="BC8214" s="392"/>
      <c r="BD8214" s="392"/>
      <c r="BE8214" s="392"/>
      <c r="BF8214" s="392"/>
      <c r="BG8214" s="392"/>
      <c r="BH8214" s="392"/>
      <c r="BI8214" s="397"/>
      <c r="BJ8214" s="397"/>
      <c r="BK8214" s="397"/>
      <c r="BL8214" s="397"/>
      <c r="BM8214" s="397"/>
      <c r="BN8214" s="397"/>
      <c r="BO8214" s="397"/>
      <c r="BP8214" s="397"/>
      <c r="BQ8214" s="397"/>
      <c r="BR8214" s="397"/>
      <c r="BS8214" s="397"/>
      <c r="BT8214" s="397"/>
      <c r="BU8214" s="397"/>
      <c r="BV8214" s="397"/>
      <c r="BW8214" s="397"/>
      <c r="BX8214" s="397"/>
      <c r="BY8214" s="397"/>
      <c r="BZ8214" s="397"/>
      <c r="CA8214" s="392"/>
      <c r="CB8214" s="392"/>
    </row>
    <row r="8215" spans="1:80" ht="15" x14ac:dyDescent="0.25">
      <c r="A8215" s="385"/>
      <c r="B8215" s="392"/>
      <c r="C8215" s="392"/>
      <c r="D8215" s="700"/>
      <c r="E8215" s="397"/>
      <c r="F8215" s="392"/>
      <c r="G8215" s="392"/>
      <c r="H8215" s="401"/>
      <c r="I8215" s="165">
        <v>10</v>
      </c>
      <c r="J8215" s="165">
        <v>120</v>
      </c>
      <c r="K8215" s="165">
        <v>1</v>
      </c>
      <c r="L8215" s="628"/>
      <c r="M8215" s="628"/>
      <c r="N8215" s="388">
        <f>5.8*(0.028317)</f>
        <v>0.16423859999999998</v>
      </c>
      <c r="O8215" s="389">
        <v>4.2700000000000002E-4</v>
      </c>
      <c r="P8215" s="413"/>
      <c r="Q8215" s="413"/>
      <c r="R8215" s="413"/>
      <c r="S8215" s="413"/>
      <c r="T8215" s="413"/>
      <c r="U8215" s="413"/>
      <c r="V8215" s="504">
        <v>0</v>
      </c>
      <c r="W8215" s="504">
        <v>0</v>
      </c>
      <c r="X8215" s="504">
        <v>0</v>
      </c>
      <c r="Y8215" s="504">
        <v>1</v>
      </c>
      <c r="Z8215" s="388">
        <v>1</v>
      </c>
      <c r="AA8215" s="388"/>
      <c r="AB8215" s="391"/>
      <c r="AC8215" s="392"/>
      <c r="AD8215" s="388">
        <f>12.2*(0.3048)</f>
        <v>3.7185600000000001</v>
      </c>
      <c r="AE8215" s="388">
        <f>0.445081967213115*(0.3048)</f>
        <v>0.13566098360655746</v>
      </c>
      <c r="AF8215" s="388">
        <f t="shared" si="60"/>
        <v>0.50446350720000033</v>
      </c>
      <c r="AG8215" s="388">
        <f>1.06827808471455*(0.3048)</f>
        <v>0.3256111602209949</v>
      </c>
      <c r="AH8215" s="391"/>
      <c r="AI8215" s="397"/>
      <c r="AJ8215" s="397"/>
      <c r="AK8215" s="392"/>
      <c r="AL8215" s="392"/>
      <c r="AM8215" s="392"/>
      <c r="AN8215" s="392"/>
      <c r="AO8215" s="392"/>
      <c r="AP8215" s="392"/>
      <c r="AQ8215" s="392"/>
      <c r="AR8215" s="392"/>
      <c r="AS8215" s="392"/>
      <c r="AT8215" s="392"/>
      <c r="AU8215" s="397"/>
      <c r="AV8215" s="397"/>
      <c r="AW8215" s="397"/>
      <c r="AX8215" s="397"/>
      <c r="AY8215" s="392"/>
      <c r="AZ8215" s="392"/>
      <c r="BA8215" s="392"/>
      <c r="BB8215" s="392"/>
      <c r="BC8215" s="392"/>
      <c r="BD8215" s="392"/>
      <c r="BE8215" s="392"/>
      <c r="BF8215" s="392"/>
      <c r="BG8215" s="392"/>
      <c r="BH8215" s="392"/>
      <c r="BI8215" s="397"/>
      <c r="BJ8215" s="397"/>
      <c r="BK8215" s="397"/>
      <c r="BL8215" s="397"/>
      <c r="BM8215" s="397"/>
      <c r="BN8215" s="397"/>
      <c r="BO8215" s="397"/>
      <c r="BP8215" s="397"/>
      <c r="BQ8215" s="397"/>
      <c r="BR8215" s="397"/>
      <c r="BS8215" s="397"/>
      <c r="BT8215" s="397"/>
      <c r="BU8215" s="397"/>
      <c r="BV8215" s="397"/>
      <c r="BW8215" s="397"/>
      <c r="BX8215" s="397"/>
      <c r="BY8215" s="397"/>
      <c r="BZ8215" s="397"/>
      <c r="CA8215" s="392"/>
      <c r="CB8215" s="392"/>
    </row>
    <row r="8216" spans="1:80" ht="15" x14ac:dyDescent="0.25">
      <c r="A8216" s="385"/>
      <c r="B8216" s="392"/>
      <c r="C8216" s="392"/>
      <c r="D8216" s="700"/>
      <c r="E8216" s="397"/>
      <c r="F8216" s="392"/>
      <c r="G8216" s="392"/>
      <c r="H8216" s="401"/>
      <c r="I8216" s="165">
        <v>10</v>
      </c>
      <c r="J8216" s="165">
        <v>120</v>
      </c>
      <c r="K8216" s="165">
        <v>1</v>
      </c>
      <c r="L8216" s="628"/>
      <c r="M8216" s="628"/>
      <c r="N8216" s="388">
        <f>11.77*(0.028317)</f>
        <v>0.33329108999999996</v>
      </c>
      <c r="O8216" s="389">
        <v>4.62E-3</v>
      </c>
      <c r="P8216" s="413"/>
      <c r="Q8216" s="413"/>
      <c r="R8216" s="413"/>
      <c r="S8216" s="413">
        <v>0.11197989388438982</v>
      </c>
      <c r="T8216" s="413">
        <v>0.1382760867541655</v>
      </c>
      <c r="U8216" s="413">
        <v>0.23387321977101366</v>
      </c>
      <c r="V8216" s="504">
        <v>0</v>
      </c>
      <c r="W8216" s="504">
        <v>0</v>
      </c>
      <c r="X8216" s="504">
        <v>0</v>
      </c>
      <c r="Y8216" s="504">
        <v>0.51587079959043092</v>
      </c>
      <c r="Z8216" s="388">
        <v>15</v>
      </c>
      <c r="AA8216" s="388"/>
      <c r="AB8216" s="391"/>
      <c r="AC8216" s="392"/>
      <c r="AD8216" s="388">
        <f>12.9*(0.3048)</f>
        <v>3.9319200000000003</v>
      </c>
      <c r="AE8216" s="388">
        <f>0.583333333333333*(0.3048)</f>
        <v>0.17779999999999993</v>
      </c>
      <c r="AF8216" s="388">
        <f t="shared" si="60"/>
        <v>0.69909537599999982</v>
      </c>
      <c r="AG8216" s="388">
        <f>1.56468438538206*(0.3048)</f>
        <v>0.47691580066445194</v>
      </c>
      <c r="AH8216" s="391"/>
      <c r="AI8216" s="397"/>
      <c r="AJ8216" s="397"/>
      <c r="AK8216" s="392"/>
      <c r="AL8216" s="392"/>
      <c r="AM8216" s="392"/>
      <c r="AN8216" s="392"/>
      <c r="AO8216" s="392"/>
      <c r="AP8216" s="392"/>
      <c r="AQ8216" s="392"/>
      <c r="AR8216" s="392"/>
      <c r="AS8216" s="392"/>
      <c r="AT8216" s="392"/>
      <c r="AU8216" s="397"/>
      <c r="AV8216" s="397"/>
      <c r="AW8216" s="397"/>
      <c r="AX8216" s="397"/>
      <c r="AY8216" s="392"/>
      <c r="AZ8216" s="392"/>
      <c r="BA8216" s="392"/>
      <c r="BB8216" s="392"/>
      <c r="BC8216" s="392"/>
      <c r="BD8216" s="392"/>
      <c r="BE8216" s="392"/>
      <c r="BF8216" s="392"/>
      <c r="BG8216" s="392"/>
      <c r="BH8216" s="392"/>
      <c r="BI8216" s="397"/>
      <c r="BJ8216" s="397"/>
      <c r="BK8216" s="397"/>
      <c r="BL8216" s="397"/>
      <c r="BM8216" s="397"/>
      <c r="BN8216" s="397"/>
      <c r="BO8216" s="397"/>
      <c r="BP8216" s="397"/>
      <c r="BQ8216" s="397"/>
      <c r="BR8216" s="397"/>
      <c r="BS8216" s="397"/>
      <c r="BT8216" s="397"/>
      <c r="BU8216" s="397"/>
      <c r="BV8216" s="397"/>
      <c r="BW8216" s="397"/>
      <c r="BX8216" s="397"/>
      <c r="BY8216" s="397"/>
      <c r="BZ8216" s="397"/>
      <c r="CA8216" s="392"/>
      <c r="CB8216" s="392"/>
    </row>
    <row r="8217" spans="1:80" ht="15" x14ac:dyDescent="0.25">
      <c r="A8217" s="385"/>
      <c r="B8217" s="392"/>
      <c r="C8217" s="392"/>
      <c r="D8217" s="700"/>
      <c r="E8217" s="397"/>
      <c r="F8217" s="392"/>
      <c r="G8217" s="392"/>
      <c r="H8217" s="401"/>
      <c r="I8217" s="165">
        <v>10</v>
      </c>
      <c r="J8217" s="165">
        <v>120</v>
      </c>
      <c r="K8217" s="165">
        <v>1</v>
      </c>
      <c r="L8217" s="628"/>
      <c r="M8217" s="628"/>
      <c r="N8217" s="388">
        <f>18.52*(0.028317)</f>
        <v>0.52443083999999995</v>
      </c>
      <c r="O8217" s="389">
        <v>6.7930000000000004E-3</v>
      </c>
      <c r="P8217" s="413"/>
      <c r="Q8217" s="413"/>
      <c r="R8217" s="413">
        <v>3.2030963264489003E-2</v>
      </c>
      <c r="S8217" s="413">
        <v>0.11023989856861631</v>
      </c>
      <c r="T8217" s="413">
        <v>0.11247539287978378</v>
      </c>
      <c r="U8217" s="413">
        <v>0.1896833605818958</v>
      </c>
      <c r="V8217" s="504">
        <v>0</v>
      </c>
      <c r="W8217" s="504">
        <v>0</v>
      </c>
      <c r="X8217" s="504">
        <v>0</v>
      </c>
      <c r="Y8217" s="504">
        <v>0.55557038470521491</v>
      </c>
      <c r="Z8217" s="388">
        <v>18</v>
      </c>
      <c r="AA8217" s="388"/>
      <c r="AB8217" s="391"/>
      <c r="AC8217" s="392"/>
      <c r="AD8217" s="388">
        <f>13.6*(0.3048)</f>
        <v>4.1452800000000005</v>
      </c>
      <c r="AE8217" s="388">
        <f>0.6125*(0.3048)</f>
        <v>0.18669000000000002</v>
      </c>
      <c r="AF8217" s="388">
        <f t="shared" si="60"/>
        <v>0.77388232320000017</v>
      </c>
      <c r="AG8217" s="388">
        <f>2.22307322929172*(0.3048)</f>
        <v>0.67759272028811635</v>
      </c>
      <c r="AH8217" s="391"/>
      <c r="AI8217" s="397"/>
      <c r="AJ8217" s="397"/>
      <c r="AK8217" s="392"/>
      <c r="AL8217" s="392"/>
      <c r="AM8217" s="392"/>
      <c r="AN8217" s="392"/>
      <c r="AO8217" s="392"/>
      <c r="AP8217" s="392"/>
      <c r="AQ8217" s="392"/>
      <c r="AR8217" s="392"/>
      <c r="AS8217" s="392"/>
      <c r="AT8217" s="392"/>
      <c r="AU8217" s="397"/>
      <c r="AV8217" s="397"/>
      <c r="AW8217" s="397"/>
      <c r="AX8217" s="397"/>
      <c r="AY8217" s="392"/>
      <c r="AZ8217" s="392"/>
      <c r="BA8217" s="392"/>
      <c r="BB8217" s="392"/>
      <c r="BC8217" s="392"/>
      <c r="BD8217" s="392"/>
      <c r="BE8217" s="392"/>
      <c r="BF8217" s="392"/>
      <c r="BG8217" s="392"/>
      <c r="BH8217" s="392"/>
      <c r="BI8217" s="397"/>
      <c r="BJ8217" s="397"/>
      <c r="BK8217" s="397"/>
      <c r="BL8217" s="397"/>
      <c r="BM8217" s="397"/>
      <c r="BN8217" s="397"/>
      <c r="BO8217" s="397"/>
      <c r="BP8217" s="397"/>
      <c r="BQ8217" s="397"/>
      <c r="BR8217" s="397"/>
      <c r="BS8217" s="397"/>
      <c r="BT8217" s="397"/>
      <c r="BU8217" s="397"/>
      <c r="BV8217" s="397"/>
      <c r="BW8217" s="397"/>
      <c r="BX8217" s="397"/>
      <c r="BY8217" s="397"/>
      <c r="BZ8217" s="397"/>
      <c r="CA8217" s="392"/>
      <c r="CB8217" s="392"/>
    </row>
    <row r="8218" spans="1:80" ht="15" x14ac:dyDescent="0.25">
      <c r="A8218" s="385"/>
      <c r="B8218" s="392"/>
      <c r="C8218" s="392"/>
      <c r="D8218" s="700"/>
      <c r="E8218" s="397"/>
      <c r="F8218" s="392"/>
      <c r="G8218" s="392"/>
      <c r="H8218" s="401"/>
      <c r="I8218" s="165">
        <v>10</v>
      </c>
      <c r="J8218" s="165">
        <v>120</v>
      </c>
      <c r="K8218" s="165">
        <v>1</v>
      </c>
      <c r="L8218" s="628"/>
      <c r="M8218" s="628"/>
      <c r="N8218" s="388">
        <f>28.29*(0.028317)</f>
        <v>0.80108792999999989</v>
      </c>
      <c r="O8218" s="389">
        <v>6.9680000000000002E-3</v>
      </c>
      <c r="P8218" s="413"/>
      <c r="Q8218" s="413"/>
      <c r="R8218" s="413"/>
      <c r="S8218" s="413">
        <v>2.6975020489612658E-2</v>
      </c>
      <c r="T8218" s="413">
        <v>6.2145886042119521E-2</v>
      </c>
      <c r="U8218" s="413">
        <v>0.18686526743398782</v>
      </c>
      <c r="V8218" s="504">
        <v>0</v>
      </c>
      <c r="W8218" s="504">
        <v>0</v>
      </c>
      <c r="X8218" s="504">
        <v>0</v>
      </c>
      <c r="Y8218" s="504">
        <v>0.72401382603427999</v>
      </c>
      <c r="Z8218" s="388">
        <v>11</v>
      </c>
      <c r="AA8218" s="388"/>
      <c r="AB8218" s="391"/>
      <c r="AC8218" s="392"/>
      <c r="AD8218" s="388">
        <f>14.9*(0.3048)</f>
        <v>4.5415200000000002</v>
      </c>
      <c r="AE8218" s="388">
        <f>0.669798657718121*(0.3048)</f>
        <v>0.20415463087248328</v>
      </c>
      <c r="AF8218" s="388">
        <f t="shared" si="60"/>
        <v>0.92717233920000031</v>
      </c>
      <c r="AG8218" s="388">
        <f>2.83481763527054*(0.3048)</f>
        <v>0.86405241523046061</v>
      </c>
      <c r="AH8218" s="391"/>
      <c r="AI8218" s="397"/>
      <c r="AJ8218" s="397"/>
      <c r="AK8218" s="392"/>
      <c r="AL8218" s="392"/>
      <c r="AM8218" s="392"/>
      <c r="AN8218" s="392"/>
      <c r="AO8218" s="392"/>
      <c r="AP8218" s="392"/>
      <c r="AQ8218" s="392"/>
      <c r="AR8218" s="392"/>
      <c r="AS8218" s="392"/>
      <c r="AT8218" s="392"/>
      <c r="AU8218" s="397"/>
      <c r="AV8218" s="397"/>
      <c r="AW8218" s="397"/>
      <c r="AX8218" s="397"/>
      <c r="AY8218" s="392"/>
      <c r="AZ8218" s="392"/>
      <c r="BA8218" s="392"/>
      <c r="BB8218" s="392"/>
      <c r="BC8218" s="392"/>
      <c r="BD8218" s="392"/>
      <c r="BE8218" s="392"/>
      <c r="BF8218" s="392"/>
      <c r="BG8218" s="392"/>
      <c r="BH8218" s="392"/>
      <c r="BI8218" s="397"/>
      <c r="BJ8218" s="397"/>
      <c r="BK8218" s="397"/>
      <c r="BL8218" s="397"/>
      <c r="BM8218" s="397"/>
      <c r="BN8218" s="397"/>
      <c r="BO8218" s="397"/>
      <c r="BP8218" s="397"/>
      <c r="BQ8218" s="397"/>
      <c r="BR8218" s="397"/>
      <c r="BS8218" s="397"/>
      <c r="BT8218" s="397"/>
      <c r="BU8218" s="397"/>
      <c r="BV8218" s="397"/>
      <c r="BW8218" s="397"/>
      <c r="BX8218" s="397"/>
      <c r="BY8218" s="397"/>
      <c r="BZ8218" s="397"/>
      <c r="CA8218" s="392"/>
      <c r="CB8218" s="392"/>
    </row>
    <row r="8219" spans="1:80" ht="15" x14ac:dyDescent="0.25">
      <c r="A8219" s="385"/>
      <c r="B8219" s="392"/>
      <c r="C8219" s="392"/>
      <c r="D8219" s="700"/>
      <c r="E8219" s="397"/>
      <c r="F8219" s="392"/>
      <c r="G8219" s="392"/>
      <c r="H8219" s="401"/>
      <c r="I8219" s="165">
        <v>10</v>
      </c>
      <c r="J8219" s="165">
        <v>120</v>
      </c>
      <c r="K8219" s="165">
        <v>1</v>
      </c>
      <c r="L8219" s="628"/>
      <c r="M8219" s="628"/>
      <c r="N8219" s="388">
        <f>16.93*(0.028317)</f>
        <v>0.47940680999999996</v>
      </c>
      <c r="O8219" s="389">
        <v>3.8070000000000001E-3</v>
      </c>
      <c r="P8219" s="413"/>
      <c r="Q8219" s="413"/>
      <c r="R8219" s="413"/>
      <c r="S8219" s="413">
        <v>2.3613434564406125E-2</v>
      </c>
      <c r="T8219" s="413">
        <v>5.3789731051344741E-2</v>
      </c>
      <c r="U8219" s="413">
        <v>0.18691288122506758</v>
      </c>
      <c r="V8219" s="504">
        <v>0</v>
      </c>
      <c r="W8219" s="504">
        <v>0</v>
      </c>
      <c r="X8219" s="504">
        <v>0</v>
      </c>
      <c r="Y8219" s="504">
        <v>0.73568395315918167</v>
      </c>
      <c r="Z8219" s="388">
        <v>16</v>
      </c>
      <c r="AA8219" s="388"/>
      <c r="AB8219" s="391"/>
      <c r="AC8219" s="392"/>
      <c r="AD8219" s="388">
        <f>14.7*(0.3048)</f>
        <v>4.4805599999999997</v>
      </c>
      <c r="AE8219" s="388">
        <f>0.510714285714286*(0.3048)</f>
        <v>0.15566571428571438</v>
      </c>
      <c r="AF8219" s="388">
        <f t="shared" si="60"/>
        <v>0.69746957280000033</v>
      </c>
      <c r="AG8219" s="388">
        <f>2.25548118548119*(0.3048)</f>
        <v>0.68747066533466672</v>
      </c>
      <c r="AH8219" s="391"/>
      <c r="AI8219" s="397"/>
      <c r="AJ8219" s="397"/>
      <c r="AK8219" s="392"/>
      <c r="AL8219" s="392"/>
      <c r="AM8219" s="392"/>
      <c r="AN8219" s="392"/>
      <c r="AO8219" s="392"/>
      <c r="AP8219" s="392"/>
      <c r="AQ8219" s="392"/>
      <c r="AR8219" s="392"/>
      <c r="AS8219" s="392"/>
      <c r="AT8219" s="392"/>
      <c r="AU8219" s="397"/>
      <c r="AV8219" s="397"/>
      <c r="AW8219" s="397"/>
      <c r="AX8219" s="397"/>
      <c r="AY8219" s="392"/>
      <c r="AZ8219" s="392"/>
      <c r="BA8219" s="392"/>
      <c r="BB8219" s="392"/>
      <c r="BC8219" s="392"/>
      <c r="BD8219" s="392"/>
      <c r="BE8219" s="392"/>
      <c r="BF8219" s="392"/>
      <c r="BG8219" s="392"/>
      <c r="BH8219" s="392"/>
      <c r="BI8219" s="397"/>
      <c r="BJ8219" s="397"/>
      <c r="BK8219" s="397"/>
      <c r="BL8219" s="397"/>
      <c r="BM8219" s="397"/>
      <c r="BN8219" s="397"/>
      <c r="BO8219" s="397"/>
      <c r="BP8219" s="397"/>
      <c r="BQ8219" s="397"/>
      <c r="BR8219" s="397"/>
      <c r="BS8219" s="397"/>
      <c r="BT8219" s="397"/>
      <c r="BU8219" s="397"/>
      <c r="BV8219" s="397"/>
      <c r="BW8219" s="397"/>
      <c r="BX8219" s="397"/>
      <c r="BY8219" s="397"/>
      <c r="BZ8219" s="397"/>
      <c r="CA8219" s="392"/>
      <c r="CB8219" s="392"/>
    </row>
    <row r="8220" spans="1:80" ht="15" x14ac:dyDescent="0.25">
      <c r="A8220" s="385"/>
      <c r="B8220" s="392"/>
      <c r="C8220" s="392"/>
      <c r="D8220" s="700"/>
      <c r="E8220" s="397"/>
      <c r="F8220" s="392"/>
      <c r="G8220" s="392"/>
      <c r="H8220" s="401"/>
      <c r="I8220" s="165">
        <v>10</v>
      </c>
      <c r="J8220" s="165">
        <v>120</v>
      </c>
      <c r="K8220" s="165">
        <v>1</v>
      </c>
      <c r="L8220" s="628"/>
      <c r="M8220" s="628"/>
      <c r="N8220" s="388">
        <f>14.42*(0.028317)</f>
        <v>0.40833113999999998</v>
      </c>
      <c r="O8220" s="389">
        <v>1.7669999999999999E-3</v>
      </c>
      <c r="P8220" s="413"/>
      <c r="Q8220" s="413"/>
      <c r="R8220" s="413">
        <v>0.10579479000531633</v>
      </c>
      <c r="S8220" s="413">
        <v>0.20135566188197768</v>
      </c>
      <c r="T8220" s="413">
        <v>0.13516746411483255</v>
      </c>
      <c r="U8220" s="413">
        <v>9.2503987240829352E-2</v>
      </c>
      <c r="V8220" s="504">
        <v>0</v>
      </c>
      <c r="W8220" s="504">
        <v>0</v>
      </c>
      <c r="X8220" s="504">
        <v>0</v>
      </c>
      <c r="Y8220" s="504">
        <v>0.46517809675704413</v>
      </c>
      <c r="Z8220" s="388">
        <v>21</v>
      </c>
      <c r="AA8220" s="388"/>
      <c r="AB8220" s="391"/>
      <c r="AC8220" s="392"/>
      <c r="AD8220" s="388">
        <f>14.1*(0.3048)</f>
        <v>4.2976799999999997</v>
      </c>
      <c r="AE8220" s="388">
        <f>0.474468085106383*(0.3048)</f>
        <v>0.14461787234042556</v>
      </c>
      <c r="AF8220" s="388">
        <f t="shared" si="60"/>
        <v>0.62152133760000006</v>
      </c>
      <c r="AG8220" s="388">
        <f>2.15526158445441*(0.3048)</f>
        <v>0.6569237309417042</v>
      </c>
      <c r="AH8220" s="391"/>
      <c r="AI8220" s="397"/>
      <c r="AJ8220" s="397"/>
      <c r="AK8220" s="392"/>
      <c r="AL8220" s="392"/>
      <c r="AM8220" s="392"/>
      <c r="AN8220" s="392"/>
      <c r="AO8220" s="392"/>
      <c r="AP8220" s="392"/>
      <c r="AQ8220" s="392"/>
      <c r="AR8220" s="392"/>
      <c r="AS8220" s="392"/>
      <c r="AT8220" s="392"/>
      <c r="AU8220" s="397"/>
      <c r="AV8220" s="397"/>
      <c r="AW8220" s="397"/>
      <c r="AX8220" s="397"/>
      <c r="AY8220" s="392"/>
      <c r="AZ8220" s="392"/>
      <c r="BA8220" s="392"/>
      <c r="BB8220" s="392"/>
      <c r="BC8220" s="392"/>
      <c r="BD8220" s="392"/>
      <c r="BE8220" s="392"/>
      <c r="BF8220" s="392"/>
      <c r="BG8220" s="392"/>
      <c r="BH8220" s="392"/>
      <c r="BI8220" s="397"/>
      <c r="BJ8220" s="397"/>
      <c r="BK8220" s="397"/>
      <c r="BL8220" s="397"/>
      <c r="BM8220" s="397"/>
      <c r="BN8220" s="397"/>
      <c r="BO8220" s="397"/>
      <c r="BP8220" s="397"/>
      <c r="BQ8220" s="397"/>
      <c r="BR8220" s="397"/>
      <c r="BS8220" s="397"/>
      <c r="BT8220" s="397"/>
      <c r="BU8220" s="397"/>
      <c r="BV8220" s="397"/>
      <c r="BW8220" s="397"/>
      <c r="BX8220" s="397"/>
      <c r="BY8220" s="397"/>
      <c r="BZ8220" s="397"/>
      <c r="CA8220" s="392"/>
      <c r="CB8220" s="392"/>
    </row>
    <row r="8221" spans="1:80" ht="15" x14ac:dyDescent="0.25">
      <c r="A8221" s="385"/>
      <c r="B8221" s="392"/>
      <c r="C8221" s="392"/>
      <c r="D8221" s="700"/>
      <c r="E8221" s="397"/>
      <c r="F8221" s="392"/>
      <c r="G8221" s="392"/>
      <c r="H8221" s="401"/>
      <c r="I8221" s="165">
        <v>10</v>
      </c>
      <c r="J8221" s="165">
        <v>120</v>
      </c>
      <c r="K8221" s="165">
        <v>1</v>
      </c>
      <c r="L8221" s="628"/>
      <c r="M8221" s="628"/>
      <c r="N8221" s="388">
        <f>18.68*(0.028317)</f>
        <v>0.52896155999999994</v>
      </c>
      <c r="O8221" s="389">
        <v>5.7559999999999998E-3</v>
      </c>
      <c r="P8221" s="413"/>
      <c r="Q8221" s="413"/>
      <c r="R8221" s="413"/>
      <c r="S8221" s="413">
        <v>1.8664693307021873E-2</v>
      </c>
      <c r="T8221" s="413">
        <v>0.10536918270021378</v>
      </c>
      <c r="U8221" s="413">
        <v>0.23355533629337283</v>
      </c>
      <c r="V8221" s="504">
        <v>0</v>
      </c>
      <c r="W8221" s="504">
        <v>0</v>
      </c>
      <c r="X8221" s="504">
        <v>0</v>
      </c>
      <c r="Y8221" s="504">
        <v>0.64241078769939153</v>
      </c>
      <c r="Z8221" s="388">
        <v>12</v>
      </c>
      <c r="AA8221" s="388"/>
      <c r="AB8221" s="391"/>
      <c r="AC8221" s="392"/>
      <c r="AD8221" s="388">
        <f>14.2*(0.3048)</f>
        <v>4.3281599999999996</v>
      </c>
      <c r="AE8221" s="388">
        <f>0.532394366197183*(0.3048)</f>
        <v>0.1622738028169014</v>
      </c>
      <c r="AF8221" s="388">
        <f t="shared" si="60"/>
        <v>0.70234698239999993</v>
      </c>
      <c r="AG8221" s="388">
        <f>2.47070105820106*(0.3048)</f>
        <v>0.75306968253968309</v>
      </c>
      <c r="AH8221" s="391"/>
      <c r="AI8221" s="397"/>
      <c r="AJ8221" s="397"/>
      <c r="AK8221" s="392"/>
      <c r="AL8221" s="392"/>
      <c r="AM8221" s="392"/>
      <c r="AN8221" s="392"/>
      <c r="AO8221" s="392"/>
      <c r="AP8221" s="392"/>
      <c r="AQ8221" s="392"/>
      <c r="AR8221" s="392"/>
      <c r="AS8221" s="392"/>
      <c r="AT8221" s="392"/>
      <c r="AU8221" s="397"/>
      <c r="AV8221" s="397"/>
      <c r="AW8221" s="397"/>
      <c r="AX8221" s="397"/>
      <c r="AY8221" s="392"/>
      <c r="AZ8221" s="392"/>
      <c r="BA8221" s="392"/>
      <c r="BB8221" s="392"/>
      <c r="BC8221" s="392"/>
      <c r="BD8221" s="392"/>
      <c r="BE8221" s="392"/>
      <c r="BF8221" s="392"/>
      <c r="BG8221" s="392"/>
      <c r="BH8221" s="392"/>
      <c r="BI8221" s="397"/>
      <c r="BJ8221" s="397"/>
      <c r="BK8221" s="397"/>
      <c r="BL8221" s="397"/>
      <c r="BM8221" s="397"/>
      <c r="BN8221" s="397"/>
      <c r="BO8221" s="397"/>
      <c r="BP8221" s="397"/>
      <c r="BQ8221" s="397"/>
      <c r="BR8221" s="397"/>
      <c r="BS8221" s="397"/>
      <c r="BT8221" s="397"/>
      <c r="BU8221" s="397"/>
      <c r="BV8221" s="397"/>
      <c r="BW8221" s="397"/>
      <c r="BX8221" s="397"/>
      <c r="BY8221" s="397"/>
      <c r="BZ8221" s="397"/>
      <c r="CA8221" s="392"/>
      <c r="CB8221" s="392"/>
    </row>
    <row r="8222" spans="1:80" ht="15" x14ac:dyDescent="0.25">
      <c r="A8222" s="385"/>
      <c r="B8222" s="392"/>
      <c r="C8222" s="392"/>
      <c r="D8222" s="700"/>
      <c r="E8222" s="397"/>
      <c r="F8222" s="392"/>
      <c r="G8222" s="392"/>
      <c r="H8222" s="401"/>
      <c r="I8222" s="165">
        <v>10</v>
      </c>
      <c r="J8222" s="165">
        <v>120</v>
      </c>
      <c r="K8222" s="165">
        <v>1</v>
      </c>
      <c r="L8222" s="628"/>
      <c r="M8222" s="628"/>
      <c r="N8222" s="388">
        <f>21.88*(0.028317)</f>
        <v>0.61957595999999993</v>
      </c>
      <c r="O8222" s="389">
        <v>2.2699999999999999E-3</v>
      </c>
      <c r="P8222" s="413"/>
      <c r="Q8222" s="413"/>
      <c r="R8222" s="413"/>
      <c r="S8222" s="413">
        <v>6.8942875902823372E-2</v>
      </c>
      <c r="T8222" s="413">
        <v>2.4075289997811337E-3</v>
      </c>
      <c r="U8222" s="413">
        <v>1.6196104180345811E-2</v>
      </c>
      <c r="V8222" s="504">
        <v>0.1238783103523747</v>
      </c>
      <c r="W8222" s="504">
        <v>0.26318669293061941</v>
      </c>
      <c r="X8222" s="504">
        <v>0.17487415189319327</v>
      </c>
      <c r="Y8222" s="504">
        <v>0.35051433574086238</v>
      </c>
      <c r="Z8222" s="388">
        <v>18</v>
      </c>
      <c r="AA8222" s="388"/>
      <c r="AB8222" s="391"/>
      <c r="AC8222" s="392"/>
      <c r="AD8222" s="388">
        <f>14.9*(0.3048)</f>
        <v>4.5415200000000002</v>
      </c>
      <c r="AE8222" s="388">
        <f>0.629614093959732*(0.3048)</f>
        <v>0.19190637583892634</v>
      </c>
      <c r="AF8222" s="388">
        <f t="shared" si="60"/>
        <v>0.87154664400000081</v>
      </c>
      <c r="AG8222" s="388">
        <f>2.33215083277815*(0.3048)</f>
        <v>0.71083957383078011</v>
      </c>
      <c r="AH8222" s="391"/>
      <c r="AI8222" s="397"/>
      <c r="AJ8222" s="397"/>
      <c r="AK8222" s="392"/>
      <c r="AL8222" s="392"/>
      <c r="AM8222" s="392"/>
      <c r="AN8222" s="392"/>
      <c r="AO8222" s="392"/>
      <c r="AP8222" s="392"/>
      <c r="AQ8222" s="392"/>
      <c r="AR8222" s="392"/>
      <c r="AS8222" s="392"/>
      <c r="AT8222" s="392"/>
      <c r="AU8222" s="397"/>
      <c r="AV8222" s="397"/>
      <c r="AW8222" s="397"/>
      <c r="AX8222" s="397"/>
      <c r="AY8222" s="392"/>
      <c r="AZ8222" s="392"/>
      <c r="BA8222" s="392"/>
      <c r="BB8222" s="392"/>
      <c r="BC8222" s="392"/>
      <c r="BD8222" s="392"/>
      <c r="BE8222" s="392"/>
      <c r="BF8222" s="392"/>
      <c r="BG8222" s="392"/>
      <c r="BH8222" s="392"/>
      <c r="BI8222" s="397"/>
      <c r="BJ8222" s="397"/>
      <c r="BK8222" s="397"/>
      <c r="BL8222" s="397"/>
      <c r="BM8222" s="397"/>
      <c r="BN8222" s="397"/>
      <c r="BO8222" s="397"/>
      <c r="BP8222" s="397"/>
      <c r="BQ8222" s="397"/>
      <c r="BR8222" s="397"/>
      <c r="BS8222" s="397"/>
      <c r="BT8222" s="397"/>
      <c r="BU8222" s="397"/>
      <c r="BV8222" s="397"/>
      <c r="BW8222" s="397"/>
      <c r="BX8222" s="397"/>
      <c r="BY8222" s="397"/>
      <c r="BZ8222" s="397"/>
      <c r="CA8222" s="392"/>
      <c r="CB8222" s="392"/>
    </row>
    <row r="8223" spans="1:80" ht="15" x14ac:dyDescent="0.25">
      <c r="A8223" s="385"/>
      <c r="B8223" s="392"/>
      <c r="C8223" s="392"/>
      <c r="D8223" s="700"/>
      <c r="E8223" s="397"/>
      <c r="F8223" s="392"/>
      <c r="G8223" s="392"/>
      <c r="H8223" s="401"/>
      <c r="I8223" s="165">
        <v>10</v>
      </c>
      <c r="J8223" s="165">
        <v>120</v>
      </c>
      <c r="K8223" s="165">
        <v>1</v>
      </c>
      <c r="L8223" s="628"/>
      <c r="M8223" s="628"/>
      <c r="N8223" s="388">
        <f>23.5*(0.028317)</f>
        <v>0.66544949999999992</v>
      </c>
      <c r="O8223" s="389">
        <v>6.3249999999999999E-3</v>
      </c>
      <c r="P8223" s="413"/>
      <c r="Q8223" s="413"/>
      <c r="R8223" s="413">
        <v>4.2010208087946602E-2</v>
      </c>
      <c r="S8223" s="413">
        <v>0.15677267373380449</v>
      </c>
      <c r="T8223" s="413">
        <v>0.18637612877895562</v>
      </c>
      <c r="U8223" s="413">
        <v>0.16784452296819788</v>
      </c>
      <c r="V8223" s="504">
        <v>0.15198272477424421</v>
      </c>
      <c r="W8223" s="504">
        <v>0.16097369454259913</v>
      </c>
      <c r="X8223" s="504">
        <v>6.289752650176679E-2</v>
      </c>
      <c r="Y8223" s="504">
        <v>7.1142520612485285E-2</v>
      </c>
      <c r="Z8223" s="388">
        <v>13</v>
      </c>
      <c r="AA8223" s="388"/>
      <c r="AB8223" s="391"/>
      <c r="AC8223" s="392"/>
      <c r="AD8223" s="388">
        <f>14.9*(0.3048)</f>
        <v>4.5415200000000002</v>
      </c>
      <c r="AE8223" s="388">
        <f>0.591610738255034*(0.3048)</f>
        <v>0.18032295302013437</v>
      </c>
      <c r="AF8223" s="388">
        <f t="shared" si="60"/>
        <v>0.81894029760000076</v>
      </c>
      <c r="AG8223" s="388">
        <f>2.66602949517867*(0.3048)</f>
        <v>0.81260579013045864</v>
      </c>
      <c r="AH8223" s="391"/>
      <c r="AI8223" s="397"/>
      <c r="AJ8223" s="397"/>
      <c r="AK8223" s="392"/>
      <c r="AL8223" s="392"/>
      <c r="AM8223" s="392"/>
      <c r="AN8223" s="392"/>
      <c r="AO8223" s="392"/>
      <c r="AP8223" s="392"/>
      <c r="AQ8223" s="392"/>
      <c r="AR8223" s="392"/>
      <c r="AS8223" s="392"/>
      <c r="AT8223" s="392"/>
      <c r="AU8223" s="397"/>
      <c r="AV8223" s="397"/>
      <c r="AW8223" s="397"/>
      <c r="AX8223" s="397"/>
      <c r="AY8223" s="392"/>
      <c r="AZ8223" s="392"/>
      <c r="BA8223" s="392"/>
      <c r="BB8223" s="392"/>
      <c r="BC8223" s="392"/>
      <c r="BD8223" s="392"/>
      <c r="BE8223" s="392"/>
      <c r="BF8223" s="392"/>
      <c r="BG8223" s="392"/>
      <c r="BH8223" s="392"/>
      <c r="BI8223" s="397"/>
      <c r="BJ8223" s="397"/>
      <c r="BK8223" s="397"/>
      <c r="BL8223" s="397"/>
      <c r="BM8223" s="397"/>
      <c r="BN8223" s="397"/>
      <c r="BO8223" s="397"/>
      <c r="BP8223" s="397"/>
      <c r="BQ8223" s="397"/>
      <c r="BR8223" s="397"/>
      <c r="BS8223" s="397"/>
      <c r="BT8223" s="397"/>
      <c r="BU8223" s="397"/>
      <c r="BV8223" s="397"/>
      <c r="BW8223" s="397"/>
      <c r="BX8223" s="397"/>
      <c r="BY8223" s="397"/>
      <c r="BZ8223" s="397"/>
      <c r="CA8223" s="392"/>
      <c r="CB8223" s="392"/>
    </row>
    <row r="8224" spans="1:80" ht="15" x14ac:dyDescent="0.25">
      <c r="A8224" s="385"/>
      <c r="B8224" s="392"/>
      <c r="C8224" s="392"/>
      <c r="D8224" s="700"/>
      <c r="E8224" s="397"/>
      <c r="F8224" s="392"/>
      <c r="G8224" s="392"/>
      <c r="H8224" s="401"/>
      <c r="I8224" s="165">
        <v>10</v>
      </c>
      <c r="J8224" s="165">
        <v>120</v>
      </c>
      <c r="K8224" s="165">
        <v>1</v>
      </c>
      <c r="L8224" s="628"/>
      <c r="M8224" s="628"/>
      <c r="N8224" s="388">
        <f>18.87*(0.028317)</f>
        <v>0.53434179000000004</v>
      </c>
      <c r="O8224" s="389">
        <v>3.4150000000000001E-3</v>
      </c>
      <c r="P8224" s="413"/>
      <c r="Q8224" s="413"/>
      <c r="R8224" s="413"/>
      <c r="S8224" s="413"/>
      <c r="T8224" s="413">
        <v>1.2860154602951509E-2</v>
      </c>
      <c r="U8224" s="413">
        <v>8.6647926914968351E-2</v>
      </c>
      <c r="V8224" s="504">
        <v>0.33822909346451152</v>
      </c>
      <c r="W8224" s="504">
        <v>0.36605762473647219</v>
      </c>
      <c r="X8224" s="504">
        <v>0.11567111735769499</v>
      </c>
      <c r="Y8224" s="504">
        <v>8.0534082923401251E-2</v>
      </c>
      <c r="Z8224" s="388">
        <v>7</v>
      </c>
      <c r="AA8224" s="388"/>
      <c r="AB8224" s="391"/>
      <c r="AC8224" s="392"/>
      <c r="AD8224" s="388">
        <f>14.4*(0.3048)</f>
        <v>4.3891200000000001</v>
      </c>
      <c r="AE8224" s="388">
        <f>0.550347222222222*(0.3048)</f>
        <v>0.16774583333333326</v>
      </c>
      <c r="AF8224" s="388">
        <f t="shared" si="60"/>
        <v>0.73625659199999971</v>
      </c>
      <c r="AG8224" s="388">
        <f>2.3807570977918*(0.3048)</f>
        <v>0.72565476340694068</v>
      </c>
      <c r="AH8224" s="391"/>
      <c r="AI8224" s="397"/>
      <c r="AJ8224" s="397"/>
      <c r="AK8224" s="392"/>
      <c r="AL8224" s="392"/>
      <c r="AM8224" s="392"/>
      <c r="AN8224" s="392"/>
      <c r="AO8224" s="392"/>
      <c r="AP8224" s="392"/>
      <c r="AQ8224" s="392"/>
      <c r="AR8224" s="392"/>
      <c r="AS8224" s="392"/>
      <c r="AT8224" s="392"/>
      <c r="AU8224" s="397"/>
      <c r="AV8224" s="397"/>
      <c r="AW8224" s="397"/>
      <c r="AX8224" s="397"/>
      <c r="AY8224" s="392"/>
      <c r="AZ8224" s="392"/>
      <c r="BA8224" s="392"/>
      <c r="BB8224" s="392"/>
      <c r="BC8224" s="392"/>
      <c r="BD8224" s="392"/>
      <c r="BE8224" s="392"/>
      <c r="BF8224" s="392"/>
      <c r="BG8224" s="392"/>
      <c r="BH8224" s="392"/>
      <c r="BI8224" s="397"/>
      <c r="BJ8224" s="397"/>
      <c r="BK8224" s="397"/>
      <c r="BL8224" s="397"/>
      <c r="BM8224" s="397"/>
      <c r="BN8224" s="397"/>
      <c r="BO8224" s="397"/>
      <c r="BP8224" s="397"/>
      <c r="BQ8224" s="397"/>
      <c r="BR8224" s="397"/>
      <c r="BS8224" s="397"/>
      <c r="BT8224" s="397"/>
      <c r="BU8224" s="397"/>
      <c r="BV8224" s="397"/>
      <c r="BW8224" s="397"/>
      <c r="BX8224" s="397"/>
      <c r="BY8224" s="397"/>
      <c r="BZ8224" s="397"/>
      <c r="CA8224" s="392"/>
      <c r="CB8224" s="392"/>
    </row>
    <row r="8225" spans="1:80" ht="15" x14ac:dyDescent="0.25">
      <c r="A8225" s="385"/>
      <c r="B8225" s="392"/>
      <c r="C8225" s="392"/>
      <c r="D8225" s="700"/>
      <c r="E8225" s="397"/>
      <c r="F8225" s="392"/>
      <c r="G8225" s="392"/>
      <c r="H8225" s="401"/>
      <c r="I8225" s="165">
        <v>10</v>
      </c>
      <c r="J8225" s="165">
        <v>120</v>
      </c>
      <c r="K8225" s="165">
        <v>1</v>
      </c>
      <c r="L8225" s="628"/>
      <c r="M8225" s="628"/>
      <c r="N8225" s="388">
        <f>21.36*(0.028317)</f>
        <v>0.60485111999999996</v>
      </c>
      <c r="O8225" s="389">
        <v>3.699E-3</v>
      </c>
      <c r="P8225" s="413"/>
      <c r="Q8225" s="413"/>
      <c r="R8225" s="413">
        <v>0.1505149363525875</v>
      </c>
      <c r="S8225" s="413">
        <v>4.0811104714386238E-2</v>
      </c>
      <c r="T8225" s="413">
        <v>5.2709012985351508E-2</v>
      </c>
      <c r="U8225" s="413">
        <v>6.8700825177509126E-2</v>
      </c>
      <c r="V8225" s="504">
        <v>0.2540139448602316</v>
      </c>
      <c r="W8225" s="504">
        <v>0.29412140983816287</v>
      </c>
      <c r="X8225" s="504">
        <v>8.1750143926309735E-2</v>
      </c>
      <c r="Y8225" s="504">
        <v>5.7378622145461536E-2</v>
      </c>
      <c r="Z8225" s="388">
        <v>22</v>
      </c>
      <c r="AA8225" s="388"/>
      <c r="AB8225" s="391"/>
      <c r="AC8225" s="392"/>
      <c r="AD8225" s="388">
        <f>14.2*(0.3048)</f>
        <v>4.3281599999999996</v>
      </c>
      <c r="AE8225" s="388">
        <f>0.585915492957746*(0.3048)</f>
        <v>0.17858704225352101</v>
      </c>
      <c r="AF8225" s="388">
        <f t="shared" si="60"/>
        <v>0.77295329279999947</v>
      </c>
      <c r="AG8225" s="388">
        <f>2.56768629807692*(0.3048)</f>
        <v>0.78263078365384531</v>
      </c>
      <c r="AH8225" s="391"/>
      <c r="AI8225" s="397"/>
      <c r="AJ8225" s="397"/>
      <c r="AK8225" s="392"/>
      <c r="AL8225" s="392"/>
      <c r="AM8225" s="392"/>
      <c r="AN8225" s="392"/>
      <c r="AO8225" s="392"/>
      <c r="AP8225" s="392"/>
      <c r="AQ8225" s="392"/>
      <c r="AR8225" s="392"/>
      <c r="AS8225" s="392"/>
      <c r="AT8225" s="392"/>
      <c r="AU8225" s="397"/>
      <c r="AV8225" s="397"/>
      <c r="AW8225" s="397"/>
      <c r="AX8225" s="397"/>
      <c r="AY8225" s="392"/>
      <c r="AZ8225" s="392"/>
      <c r="BA8225" s="392"/>
      <c r="BB8225" s="392"/>
      <c r="BC8225" s="392"/>
      <c r="BD8225" s="392"/>
      <c r="BE8225" s="392"/>
      <c r="BF8225" s="392"/>
      <c r="BG8225" s="392"/>
      <c r="BH8225" s="392"/>
      <c r="BI8225" s="397"/>
      <c r="BJ8225" s="397"/>
      <c r="BK8225" s="397"/>
      <c r="BL8225" s="397"/>
      <c r="BM8225" s="397"/>
      <c r="BN8225" s="397"/>
      <c r="BO8225" s="397"/>
      <c r="BP8225" s="397"/>
      <c r="BQ8225" s="397"/>
      <c r="BR8225" s="397"/>
      <c r="BS8225" s="397"/>
      <c r="BT8225" s="397"/>
      <c r="BU8225" s="397"/>
      <c r="BV8225" s="397"/>
      <c r="BW8225" s="397"/>
      <c r="BX8225" s="397"/>
      <c r="BY8225" s="397"/>
      <c r="BZ8225" s="397"/>
      <c r="CA8225" s="392"/>
      <c r="CB8225" s="392"/>
    </row>
    <row r="8226" spans="1:80" ht="15" x14ac:dyDescent="0.25">
      <c r="A8226" s="385"/>
      <c r="B8226" s="392"/>
      <c r="C8226" s="392"/>
      <c r="D8226" s="700"/>
      <c r="E8226" s="397"/>
      <c r="F8226" s="392"/>
      <c r="G8226" s="392"/>
      <c r="H8226" s="401"/>
      <c r="I8226" s="165">
        <v>10</v>
      </c>
      <c r="J8226" s="165">
        <v>120</v>
      </c>
      <c r="K8226" s="165">
        <v>1</v>
      </c>
      <c r="L8226" s="628"/>
      <c r="M8226" s="628"/>
      <c r="N8226" s="388">
        <f>30.21*(0.028317)</f>
        <v>0.85545656999999997</v>
      </c>
      <c r="O8226" s="389">
        <v>3.539E-3</v>
      </c>
      <c r="P8226" s="413"/>
      <c r="Q8226" s="413"/>
      <c r="R8226" s="413">
        <v>7.5801537791962845E-2</v>
      </c>
      <c r="S8226" s="413">
        <v>4.134629334107065E-2</v>
      </c>
      <c r="T8226" s="413">
        <v>6.0713767590308998E-2</v>
      </c>
      <c r="U8226" s="413">
        <v>3.9315247352386472E-2</v>
      </c>
      <c r="V8226" s="504">
        <v>8.4070796460176983E-2</v>
      </c>
      <c r="W8226" s="504">
        <v>0.29123748730596255</v>
      </c>
      <c r="X8226" s="504">
        <v>0.21014072247207308</v>
      </c>
      <c r="Y8226" s="504">
        <v>0.19737414768605829</v>
      </c>
      <c r="Z8226" s="388">
        <v>27</v>
      </c>
      <c r="AA8226" s="388"/>
      <c r="AB8226" s="391"/>
      <c r="AC8226" s="392"/>
      <c r="AD8226" s="388">
        <f>15.4*(0.3048)</f>
        <v>4.6939200000000003</v>
      </c>
      <c r="AE8226" s="388">
        <f>0.705194805194805*(0.3048)</f>
        <v>0.21494337662337659</v>
      </c>
      <c r="AF8226" s="388">
        <f t="shared" si="60"/>
        <v>1.0089270144</v>
      </c>
      <c r="AG8226" s="388">
        <f>2.78195211786372*(0.3048)</f>
        <v>0.8479390055248619</v>
      </c>
      <c r="AH8226" s="391"/>
      <c r="AI8226" s="397"/>
      <c r="AJ8226" s="397"/>
      <c r="AK8226" s="392"/>
      <c r="AL8226" s="392"/>
      <c r="AM8226" s="392"/>
      <c r="AN8226" s="392"/>
      <c r="AO8226" s="392"/>
      <c r="AP8226" s="392"/>
      <c r="AQ8226" s="392"/>
      <c r="AR8226" s="392"/>
      <c r="AS8226" s="392"/>
      <c r="AT8226" s="392"/>
      <c r="AU8226" s="397"/>
      <c r="AV8226" s="397"/>
      <c r="AW8226" s="397"/>
      <c r="AX8226" s="397"/>
      <c r="AY8226" s="392"/>
      <c r="AZ8226" s="392"/>
      <c r="BA8226" s="392"/>
      <c r="BB8226" s="392"/>
      <c r="BC8226" s="392"/>
      <c r="BD8226" s="392"/>
      <c r="BE8226" s="392"/>
      <c r="BF8226" s="392"/>
      <c r="BG8226" s="392"/>
      <c r="BH8226" s="392"/>
      <c r="BI8226" s="397"/>
      <c r="BJ8226" s="397"/>
      <c r="BK8226" s="397"/>
      <c r="BL8226" s="397"/>
      <c r="BM8226" s="397"/>
      <c r="BN8226" s="397"/>
      <c r="BO8226" s="397"/>
      <c r="BP8226" s="397"/>
      <c r="BQ8226" s="397"/>
      <c r="BR8226" s="397"/>
      <c r="BS8226" s="397"/>
      <c r="BT8226" s="397"/>
      <c r="BU8226" s="397"/>
      <c r="BV8226" s="397"/>
      <c r="BW8226" s="397"/>
      <c r="BX8226" s="397"/>
      <c r="BY8226" s="397"/>
      <c r="BZ8226" s="397"/>
      <c r="CA8226" s="392"/>
      <c r="CB8226" s="392"/>
    </row>
    <row r="8227" spans="1:80" ht="15" x14ac:dyDescent="0.25">
      <c r="A8227" s="385"/>
      <c r="B8227" s="392"/>
      <c r="C8227" s="392"/>
      <c r="D8227" s="700"/>
      <c r="E8227" s="397"/>
      <c r="F8227" s="392"/>
      <c r="G8227" s="392"/>
      <c r="H8227" s="401"/>
      <c r="I8227" s="165">
        <v>10</v>
      </c>
      <c r="J8227" s="165">
        <v>120</v>
      </c>
      <c r="K8227" s="165">
        <v>1</v>
      </c>
      <c r="L8227" s="628"/>
      <c r="M8227" s="628"/>
      <c r="N8227" s="388">
        <f>34.52*(0.028317)</f>
        <v>0.97750283999999998</v>
      </c>
      <c r="O8227" s="389">
        <v>5.3990000000000002E-3</v>
      </c>
      <c r="P8227" s="413"/>
      <c r="Q8227" s="413"/>
      <c r="R8227" s="413">
        <v>0.44356729343093632</v>
      </c>
      <c r="S8227" s="413">
        <v>1.1578393378307258E-2</v>
      </c>
      <c r="T8227" s="413">
        <v>5.4973446246591076E-2</v>
      </c>
      <c r="U8227" s="413">
        <v>6.3154872972585041E-2</v>
      </c>
      <c r="V8227" s="504">
        <v>9.6359025883929E-2</v>
      </c>
      <c r="W8227" s="504">
        <v>0.13238601023874458</v>
      </c>
      <c r="X8227" s="504">
        <v>8.1192287450361222E-2</v>
      </c>
      <c r="Y8227" s="504">
        <v>0.11678867039854553</v>
      </c>
      <c r="Z8227" s="388">
        <v>32</v>
      </c>
      <c r="AA8227" s="388"/>
      <c r="AB8227" s="391"/>
      <c r="AC8227" s="392"/>
      <c r="AD8227" s="388">
        <f>15.5*(0.3048)</f>
        <v>4.7244000000000002</v>
      </c>
      <c r="AE8227" s="388">
        <f>0.786129032258064*(0.3048)</f>
        <v>0.2396121290322579</v>
      </c>
      <c r="AF8227" s="388">
        <f t="shared" si="60"/>
        <v>1.1320235423999994</v>
      </c>
      <c r="AG8227" s="388">
        <f>2.8332416906032*(0.3048)</f>
        <v>0.86357206729585545</v>
      </c>
      <c r="AH8227" s="391"/>
      <c r="AI8227" s="397"/>
      <c r="AJ8227" s="397"/>
      <c r="AK8227" s="392"/>
      <c r="AL8227" s="392"/>
      <c r="AM8227" s="392"/>
      <c r="AN8227" s="392"/>
      <c r="AO8227" s="392"/>
      <c r="AP8227" s="392"/>
      <c r="AQ8227" s="392"/>
      <c r="AR8227" s="392"/>
      <c r="AS8227" s="392"/>
      <c r="AT8227" s="392"/>
      <c r="AU8227" s="397"/>
      <c r="AV8227" s="397"/>
      <c r="AW8227" s="397"/>
      <c r="AX8227" s="397"/>
      <c r="AY8227" s="392"/>
      <c r="AZ8227" s="392"/>
      <c r="BA8227" s="392"/>
      <c r="BB8227" s="392"/>
      <c r="BC8227" s="392"/>
      <c r="BD8227" s="392"/>
      <c r="BE8227" s="392"/>
      <c r="BF8227" s="392"/>
      <c r="BG8227" s="392"/>
      <c r="BH8227" s="392"/>
      <c r="BI8227" s="397"/>
      <c r="BJ8227" s="397"/>
      <c r="BK8227" s="397"/>
      <c r="BL8227" s="397"/>
      <c r="BM8227" s="397"/>
      <c r="BN8227" s="397"/>
      <c r="BO8227" s="397"/>
      <c r="BP8227" s="397"/>
      <c r="BQ8227" s="397"/>
      <c r="BR8227" s="397"/>
      <c r="BS8227" s="397"/>
      <c r="BT8227" s="397"/>
      <c r="BU8227" s="397"/>
      <c r="BV8227" s="397"/>
      <c r="BW8227" s="397"/>
      <c r="BX8227" s="397"/>
      <c r="BY8227" s="397"/>
      <c r="BZ8227" s="397"/>
      <c r="CA8227" s="392"/>
      <c r="CB8227" s="392"/>
    </row>
    <row r="8228" spans="1:80" ht="15" x14ac:dyDescent="0.25">
      <c r="A8228" s="385"/>
      <c r="B8228" s="392"/>
      <c r="C8228" s="392"/>
      <c r="D8228" s="700"/>
      <c r="E8228" s="397"/>
      <c r="F8228" s="392"/>
      <c r="G8228" s="392"/>
      <c r="H8228" s="401"/>
      <c r="I8228" s="165">
        <v>10</v>
      </c>
      <c r="J8228" s="165">
        <v>120</v>
      </c>
      <c r="K8228" s="165">
        <v>1</v>
      </c>
      <c r="L8228" s="628"/>
      <c r="M8228" s="628"/>
      <c r="N8228" s="388">
        <f>37.75*(0.028317)</f>
        <v>1.06896675</v>
      </c>
      <c r="O8228" s="389">
        <v>5.3379999999999999E-3</v>
      </c>
      <c r="P8228" s="413"/>
      <c r="Q8228" s="413"/>
      <c r="R8228" s="413">
        <v>9.9157453854770372E-2</v>
      </c>
      <c r="S8228" s="413">
        <v>3.0828422539326938E-2</v>
      </c>
      <c r="T8228" s="413">
        <v>3.2386889397555157E-2</v>
      </c>
      <c r="U8228" s="413">
        <v>7.1251156674621355E-2</v>
      </c>
      <c r="V8228" s="504">
        <v>0.18039253883991624</v>
      </c>
      <c r="W8228" s="504">
        <v>0.25646520235718112</v>
      </c>
      <c r="X8228" s="504">
        <v>0.1368528709881654</v>
      </c>
      <c r="Y8228" s="504">
        <v>0.19266546534846349</v>
      </c>
      <c r="Z8228" s="388">
        <v>28</v>
      </c>
      <c r="AA8228" s="388"/>
      <c r="AB8228" s="391"/>
      <c r="AC8228" s="392"/>
      <c r="AD8228" s="388">
        <f>15.6*(0.3048)</f>
        <v>4.75488</v>
      </c>
      <c r="AE8228" s="388">
        <f>0.829326923076923*(0.3048)</f>
        <v>0.25277884615384616</v>
      </c>
      <c r="AF8228" s="388">
        <f t="shared" si="60"/>
        <v>1.2019330800000001</v>
      </c>
      <c r="AG8228" s="388">
        <f>2.91772946859903*(0.3048)</f>
        <v>0.88932394202898435</v>
      </c>
      <c r="AH8228" s="391"/>
      <c r="AI8228" s="397"/>
      <c r="AJ8228" s="397"/>
      <c r="AK8228" s="392"/>
      <c r="AL8228" s="392"/>
      <c r="AM8228" s="392"/>
      <c r="AN8228" s="392"/>
      <c r="AO8228" s="392"/>
      <c r="AP8228" s="392"/>
      <c r="AQ8228" s="392"/>
      <c r="AR8228" s="392"/>
      <c r="AS8228" s="392"/>
      <c r="AT8228" s="392"/>
      <c r="AU8228" s="397"/>
      <c r="AV8228" s="397"/>
      <c r="AW8228" s="397"/>
      <c r="AX8228" s="397"/>
      <c r="AY8228" s="392"/>
      <c r="AZ8228" s="392"/>
      <c r="BA8228" s="392"/>
      <c r="BB8228" s="392"/>
      <c r="BC8228" s="392"/>
      <c r="BD8228" s="392"/>
      <c r="BE8228" s="392"/>
      <c r="BF8228" s="392"/>
      <c r="BG8228" s="392"/>
      <c r="BH8228" s="392"/>
      <c r="BI8228" s="397"/>
      <c r="BJ8228" s="397"/>
      <c r="BK8228" s="397"/>
      <c r="BL8228" s="397"/>
      <c r="BM8228" s="397"/>
      <c r="BN8228" s="397"/>
      <c r="BO8228" s="397"/>
      <c r="BP8228" s="397"/>
      <c r="BQ8228" s="397"/>
      <c r="BR8228" s="397"/>
      <c r="BS8228" s="397"/>
      <c r="BT8228" s="397"/>
      <c r="BU8228" s="397"/>
      <c r="BV8228" s="397"/>
      <c r="BW8228" s="397"/>
      <c r="BX8228" s="397"/>
      <c r="BY8228" s="397"/>
      <c r="BZ8228" s="397"/>
      <c r="CA8228" s="392"/>
      <c r="CB8228" s="392"/>
    </row>
    <row r="8229" spans="1:80" ht="15" x14ac:dyDescent="0.25">
      <c r="A8229" s="385"/>
      <c r="B8229" s="392"/>
      <c r="C8229" s="392"/>
      <c r="D8229" s="700"/>
      <c r="E8229" s="397"/>
      <c r="F8229" s="392"/>
      <c r="G8229" s="392"/>
      <c r="H8229" s="401"/>
      <c r="I8229" s="165">
        <v>10</v>
      </c>
      <c r="J8229" s="165">
        <v>120</v>
      </c>
      <c r="K8229" s="165">
        <v>1</v>
      </c>
      <c r="L8229" s="628"/>
      <c r="M8229" s="628"/>
      <c r="N8229" s="388">
        <f>32.36*(0.028317)</f>
        <v>0.91633811999999992</v>
      </c>
      <c r="O8229" s="389">
        <v>3.1310000000000001E-3</v>
      </c>
      <c r="P8229" s="413"/>
      <c r="Q8229" s="413"/>
      <c r="R8229" s="413"/>
      <c r="S8229" s="413">
        <v>1.068815259393242E-2</v>
      </c>
      <c r="T8229" s="413">
        <v>1.8169859409685112E-2</v>
      </c>
      <c r="U8229" s="413">
        <v>2.2527337005672946E-2</v>
      </c>
      <c r="V8229" s="504">
        <v>8.6902902244512054E-2</v>
      </c>
      <c r="W8229" s="504">
        <v>0.26564170023842809</v>
      </c>
      <c r="X8229" s="504">
        <v>0.27123242621063887</v>
      </c>
      <c r="Y8229" s="504">
        <v>0.3248376222971307</v>
      </c>
      <c r="Z8229" s="388">
        <v>12</v>
      </c>
      <c r="AA8229" s="388"/>
      <c r="AB8229" s="391"/>
      <c r="AC8229" s="392"/>
      <c r="AD8229" s="388">
        <f>15.45*(0.3048)</f>
        <v>4.7091599999999998</v>
      </c>
      <c r="AE8229" s="388">
        <f>0.67168284789644*(0.3048)</f>
        <v>0.20472893203883491</v>
      </c>
      <c r="AF8229" s="388">
        <f t="shared" si="60"/>
        <v>0.96410129759999974</v>
      </c>
      <c r="AG8229" s="388">
        <f>3.11816188870152*(0.3048)</f>
        <v>0.95041574367622339</v>
      </c>
      <c r="AH8229" s="391"/>
      <c r="AI8229" s="397"/>
      <c r="AJ8229" s="397"/>
      <c r="AK8229" s="392"/>
      <c r="AL8229" s="392"/>
      <c r="AM8229" s="392"/>
      <c r="AN8229" s="392"/>
      <c r="AO8229" s="392"/>
      <c r="AP8229" s="392"/>
      <c r="AQ8229" s="392"/>
      <c r="AR8229" s="392"/>
      <c r="AS8229" s="392"/>
      <c r="AT8229" s="392"/>
      <c r="AU8229" s="397"/>
      <c r="AV8229" s="397"/>
      <c r="AW8229" s="397"/>
      <c r="AX8229" s="397"/>
      <c r="AY8229" s="392"/>
      <c r="AZ8229" s="392"/>
      <c r="BA8229" s="392"/>
      <c r="BB8229" s="392"/>
      <c r="BC8229" s="392"/>
      <c r="BD8229" s="392"/>
      <c r="BE8229" s="392"/>
      <c r="BF8229" s="392"/>
      <c r="BG8229" s="392"/>
      <c r="BH8229" s="392"/>
      <c r="BI8229" s="397"/>
      <c r="BJ8229" s="397"/>
      <c r="BK8229" s="397"/>
      <c r="BL8229" s="397"/>
      <c r="BM8229" s="397"/>
      <c r="BN8229" s="397"/>
      <c r="BO8229" s="397"/>
      <c r="BP8229" s="397"/>
      <c r="BQ8229" s="397"/>
      <c r="BR8229" s="397"/>
      <c r="BS8229" s="397"/>
      <c r="BT8229" s="397"/>
      <c r="BU8229" s="397"/>
      <c r="BV8229" s="397"/>
      <c r="BW8229" s="397"/>
      <c r="BX8229" s="397"/>
      <c r="BY8229" s="397"/>
      <c r="BZ8229" s="397"/>
      <c r="CA8229" s="392"/>
      <c r="CB8229" s="392"/>
    </row>
    <row r="8230" spans="1:80" ht="15" x14ac:dyDescent="0.25">
      <c r="A8230" s="385"/>
      <c r="B8230" s="392"/>
      <c r="C8230" s="392"/>
      <c r="D8230" s="700"/>
      <c r="E8230" s="397"/>
      <c r="F8230" s="392"/>
      <c r="G8230" s="392"/>
      <c r="H8230" s="401"/>
      <c r="I8230" s="165">
        <v>10</v>
      </c>
      <c r="J8230" s="165">
        <v>120</v>
      </c>
      <c r="K8230" s="165">
        <v>1</v>
      </c>
      <c r="L8230" s="628"/>
      <c r="M8230" s="628"/>
      <c r="N8230" s="388">
        <f>35.73*(0.028317)</f>
        <v>1.0117664099999999</v>
      </c>
      <c r="O8230" s="389">
        <v>5.7035000000000002E-2</v>
      </c>
      <c r="P8230" s="413">
        <v>0.53006636309082567</v>
      </c>
      <c r="Q8230" s="413">
        <v>0.11781213597373717</v>
      </c>
      <c r="R8230" s="413">
        <v>9.7651699671714512E-2</v>
      </c>
      <c r="S8230" s="413">
        <v>3.0684104627766606E-2</v>
      </c>
      <c r="T8230" s="413">
        <v>4.6154117688587668E-2</v>
      </c>
      <c r="U8230" s="413">
        <v>5.5565851247837916E-2</v>
      </c>
      <c r="V8230" s="504">
        <v>5.5367291468106893E-2</v>
      </c>
      <c r="W8230" s="504">
        <v>3.8979490980973565E-2</v>
      </c>
      <c r="X8230" s="504">
        <v>1.4675773941896997E-2</v>
      </c>
      <c r="Y8230" s="504">
        <v>1.3043171308553075E-2</v>
      </c>
      <c r="Z8230" s="388">
        <v>90</v>
      </c>
      <c r="AA8230" s="388"/>
      <c r="AB8230" s="391"/>
      <c r="AC8230" s="392"/>
      <c r="AD8230" s="388">
        <f>15.1*(0.3048)</f>
        <v>4.6024799999999999</v>
      </c>
      <c r="AE8230" s="388">
        <f>0.694370860927152*(0.3048)</f>
        <v>0.21164423841059593</v>
      </c>
      <c r="AF8230" s="388">
        <f t="shared" si="60"/>
        <v>0.97408837439999951</v>
      </c>
      <c r="AG8230" s="388">
        <f>3.40813066285169*(0.3048)</f>
        <v>1.0387982260371951</v>
      </c>
      <c r="AH8230" s="391"/>
      <c r="AI8230" s="397"/>
      <c r="AJ8230" s="397"/>
      <c r="AK8230" s="392"/>
      <c r="AL8230" s="392"/>
      <c r="AM8230" s="392"/>
      <c r="AN8230" s="392"/>
      <c r="AO8230" s="392"/>
      <c r="AP8230" s="392"/>
      <c r="AQ8230" s="392"/>
      <c r="AR8230" s="392"/>
      <c r="AS8230" s="392"/>
      <c r="AT8230" s="392"/>
      <c r="AU8230" s="397"/>
      <c r="AV8230" s="397"/>
      <c r="AW8230" s="397"/>
      <c r="AX8230" s="397"/>
      <c r="AY8230" s="392"/>
      <c r="AZ8230" s="392"/>
      <c r="BA8230" s="392"/>
      <c r="BB8230" s="392"/>
      <c r="BC8230" s="392"/>
      <c r="BD8230" s="392"/>
      <c r="BE8230" s="392"/>
      <c r="BF8230" s="392"/>
      <c r="BG8230" s="392"/>
      <c r="BH8230" s="392"/>
      <c r="BI8230" s="397"/>
      <c r="BJ8230" s="397"/>
      <c r="BK8230" s="397"/>
      <c r="BL8230" s="397"/>
      <c r="BM8230" s="397"/>
      <c r="BN8230" s="397"/>
      <c r="BO8230" s="397"/>
      <c r="BP8230" s="397"/>
      <c r="BQ8230" s="397"/>
      <c r="BR8230" s="397"/>
      <c r="BS8230" s="397"/>
      <c r="BT8230" s="397"/>
      <c r="BU8230" s="397"/>
      <c r="BV8230" s="397"/>
      <c r="BW8230" s="397"/>
      <c r="BX8230" s="397"/>
      <c r="BY8230" s="397"/>
      <c r="BZ8230" s="397"/>
      <c r="CA8230" s="392"/>
      <c r="CB8230" s="392"/>
    </row>
    <row r="8231" spans="1:80" ht="15" x14ac:dyDescent="0.25">
      <c r="A8231" s="385"/>
      <c r="B8231" s="392"/>
      <c r="C8231" s="392"/>
      <c r="D8231" s="700"/>
      <c r="E8231" s="397"/>
      <c r="F8231" s="392"/>
      <c r="G8231" s="392"/>
      <c r="H8231" s="401"/>
      <c r="I8231" s="165">
        <v>10</v>
      </c>
      <c r="J8231" s="165">
        <v>120</v>
      </c>
      <c r="K8231" s="165">
        <v>1</v>
      </c>
      <c r="L8231" s="628"/>
      <c r="M8231" s="628"/>
      <c r="N8231" s="388">
        <f>26.91*(0.028317)</f>
        <v>0.76201047</v>
      </c>
      <c r="O8231" s="389">
        <v>1.3185000000000001E-2</v>
      </c>
      <c r="P8231" s="413"/>
      <c r="Q8231" s="413">
        <v>0.31721097135004106</v>
      </c>
      <c r="R8231" s="413">
        <v>7.214979672081083E-2</v>
      </c>
      <c r="S8231" s="413">
        <v>6.4114065392911007E-2</v>
      </c>
      <c r="T8231" s="413">
        <v>6.3426924471760418E-2</v>
      </c>
      <c r="U8231" s="413">
        <v>8.2323299803401362E-2</v>
      </c>
      <c r="V8231" s="504">
        <v>0.13624477486591208</v>
      </c>
      <c r="W8231" s="504">
        <v>0.15945486820255389</v>
      </c>
      <c r="X8231" s="504">
        <v>5.9399515183905641E-2</v>
      </c>
      <c r="Y8231" s="504">
        <v>4.5675784008703785E-2</v>
      </c>
      <c r="Z8231" s="388">
        <v>51</v>
      </c>
      <c r="AA8231" s="388"/>
      <c r="AB8231" s="391"/>
      <c r="AC8231" s="392"/>
      <c r="AD8231" s="388">
        <f>15.1*(0.3048)</f>
        <v>4.6024799999999999</v>
      </c>
      <c r="AE8231" s="388">
        <f>0.623509933774834*(0.3048)</f>
        <v>0.19004582781456941</v>
      </c>
      <c r="AF8231" s="388">
        <f t="shared" si="60"/>
        <v>0.87468212159999936</v>
      </c>
      <c r="AG8231" s="388">
        <f>2.85776420605417*(0.3048)</f>
        <v>0.87104653000531107</v>
      </c>
      <c r="AH8231" s="391"/>
      <c r="AI8231" s="397"/>
      <c r="AJ8231" s="397"/>
      <c r="AK8231" s="392"/>
      <c r="AL8231" s="392"/>
      <c r="AM8231" s="392"/>
      <c r="AN8231" s="392"/>
      <c r="AO8231" s="392"/>
      <c r="AP8231" s="392"/>
      <c r="AQ8231" s="392"/>
      <c r="AR8231" s="392"/>
      <c r="AS8231" s="392"/>
      <c r="AT8231" s="392"/>
      <c r="AU8231" s="397"/>
      <c r="AV8231" s="397"/>
      <c r="AW8231" s="397"/>
      <c r="AX8231" s="397"/>
      <c r="AY8231" s="392"/>
      <c r="AZ8231" s="392"/>
      <c r="BA8231" s="392"/>
      <c r="BB8231" s="392"/>
      <c r="BC8231" s="392"/>
      <c r="BD8231" s="392"/>
      <c r="BE8231" s="392"/>
      <c r="BF8231" s="392"/>
      <c r="BG8231" s="392"/>
      <c r="BH8231" s="392"/>
      <c r="BI8231" s="397"/>
      <c r="BJ8231" s="397"/>
      <c r="BK8231" s="397"/>
      <c r="BL8231" s="397"/>
      <c r="BM8231" s="397"/>
      <c r="BN8231" s="397"/>
      <c r="BO8231" s="397"/>
      <c r="BP8231" s="397"/>
      <c r="BQ8231" s="397"/>
      <c r="BR8231" s="397"/>
      <c r="BS8231" s="397"/>
      <c r="BT8231" s="397"/>
      <c r="BU8231" s="397"/>
      <c r="BV8231" s="397"/>
      <c r="BW8231" s="397"/>
      <c r="BX8231" s="397"/>
      <c r="BY8231" s="397"/>
      <c r="BZ8231" s="397"/>
      <c r="CA8231" s="392"/>
      <c r="CB8231" s="392"/>
    </row>
    <row r="8232" spans="1:80" ht="15" x14ac:dyDescent="0.25">
      <c r="A8232" s="385"/>
      <c r="B8232" s="392"/>
      <c r="C8232" s="392"/>
      <c r="D8232" s="700"/>
      <c r="E8232" s="397"/>
      <c r="F8232" s="392"/>
      <c r="G8232" s="392"/>
      <c r="H8232" s="401"/>
      <c r="I8232" s="165">
        <v>10</v>
      </c>
      <c r="J8232" s="165">
        <v>120</v>
      </c>
      <c r="K8232" s="165">
        <v>1</v>
      </c>
      <c r="L8232" s="628"/>
      <c r="M8232" s="628"/>
      <c r="N8232" s="388">
        <f>28.92*(0.028317)</f>
        <v>0.81892763999999996</v>
      </c>
      <c r="O8232" s="389">
        <v>1.5674E-2</v>
      </c>
      <c r="P8232" s="413"/>
      <c r="Q8232" s="413">
        <v>0.10174395112411307</v>
      </c>
      <c r="R8232" s="413">
        <v>5.2803413554007535E-2</v>
      </c>
      <c r="S8232" s="413">
        <v>5.2043768486043543E-2</v>
      </c>
      <c r="T8232" s="413">
        <v>7.1778377592086745E-2</v>
      </c>
      <c r="U8232" s="413">
        <v>0.12264227182363303</v>
      </c>
      <c r="V8232" s="504">
        <v>0.26437264631248886</v>
      </c>
      <c r="W8232" s="504">
        <v>0.23127151654248354</v>
      </c>
      <c r="X8232" s="504">
        <v>6.4747620048164728E-2</v>
      </c>
      <c r="Y8232" s="504">
        <v>3.8596434516978868E-2</v>
      </c>
      <c r="Z8232" s="388">
        <v>45</v>
      </c>
      <c r="AA8232" s="388"/>
      <c r="AB8232" s="391"/>
      <c r="AC8232" s="392"/>
      <c r="AD8232" s="388">
        <f>15.2*(0.3048)</f>
        <v>4.6329599999999997</v>
      </c>
      <c r="AE8232" s="388">
        <f>0.678289473684211*(0.3048)</f>
        <v>0.20674263157894751</v>
      </c>
      <c r="AF8232" s="388">
        <f t="shared" si="60"/>
        <v>0.95783034240000064</v>
      </c>
      <c r="AG8232" s="388">
        <f>2.80511639185257*(0.3048)</f>
        <v>0.85499947623666339</v>
      </c>
      <c r="AH8232" s="391"/>
      <c r="AI8232" s="397"/>
      <c r="AJ8232" s="397"/>
      <c r="AK8232" s="392"/>
      <c r="AL8232" s="392"/>
      <c r="AM8232" s="392"/>
      <c r="AN8232" s="392"/>
      <c r="AO8232" s="392"/>
      <c r="AP8232" s="392"/>
      <c r="AQ8232" s="392"/>
      <c r="AR8232" s="392"/>
      <c r="AS8232" s="392"/>
      <c r="AT8232" s="392"/>
      <c r="AU8232" s="397"/>
      <c r="AV8232" s="397"/>
      <c r="AW8232" s="397"/>
      <c r="AX8232" s="397"/>
      <c r="AY8232" s="392"/>
      <c r="AZ8232" s="392"/>
      <c r="BA8232" s="392"/>
      <c r="BB8232" s="392"/>
      <c r="BC8232" s="392"/>
      <c r="BD8232" s="392"/>
      <c r="BE8232" s="392"/>
      <c r="BF8232" s="392"/>
      <c r="BG8232" s="392"/>
      <c r="BH8232" s="392"/>
      <c r="BI8232" s="397"/>
      <c r="BJ8232" s="397"/>
      <c r="BK8232" s="397"/>
      <c r="BL8232" s="397"/>
      <c r="BM8232" s="397"/>
      <c r="BN8232" s="397"/>
      <c r="BO8232" s="397"/>
      <c r="BP8232" s="397"/>
      <c r="BQ8232" s="397"/>
      <c r="BR8232" s="397"/>
      <c r="BS8232" s="397"/>
      <c r="BT8232" s="397"/>
      <c r="BU8232" s="397"/>
      <c r="BV8232" s="397"/>
      <c r="BW8232" s="397"/>
      <c r="BX8232" s="397"/>
      <c r="BY8232" s="397"/>
      <c r="BZ8232" s="397"/>
      <c r="CA8232" s="392"/>
      <c r="CB8232" s="392"/>
    </row>
    <row r="8233" spans="1:80" ht="15" x14ac:dyDescent="0.25">
      <c r="A8233" s="385"/>
      <c r="B8233" s="392"/>
      <c r="C8233" s="392"/>
      <c r="D8233" s="700"/>
      <c r="E8233" s="397"/>
      <c r="F8233" s="392"/>
      <c r="G8233" s="392"/>
      <c r="H8233" s="401"/>
      <c r="I8233" s="165">
        <v>10</v>
      </c>
      <c r="J8233" s="165">
        <v>120</v>
      </c>
      <c r="K8233" s="165">
        <v>1</v>
      </c>
      <c r="L8233" s="628"/>
      <c r="M8233" s="628"/>
      <c r="N8233" s="388">
        <f>35.99*(0.028317)</f>
        <v>1.0191288300000001</v>
      </c>
      <c r="O8233" s="389">
        <v>2.4480999999999999E-2</v>
      </c>
      <c r="P8233" s="413"/>
      <c r="Q8233" s="413"/>
      <c r="R8233" s="413">
        <v>8.1177136626687935E-2</v>
      </c>
      <c r="S8233" s="413">
        <v>8.9050574519835612E-2</v>
      </c>
      <c r="T8233" s="413">
        <v>0.11982093432860859</v>
      </c>
      <c r="U8233" s="413">
        <v>0.14032751824205317</v>
      </c>
      <c r="V8233" s="504">
        <v>0.22081271492074145</v>
      </c>
      <c r="W8233" s="504">
        <v>0.20668036567977857</v>
      </c>
      <c r="X8233" s="504">
        <v>7.2989180575358567E-2</v>
      </c>
      <c r="Y8233" s="504">
        <v>6.9141575106936179E-2</v>
      </c>
      <c r="Z8233" s="388">
        <v>25</v>
      </c>
      <c r="AA8233" s="388"/>
      <c r="AB8233" s="391"/>
      <c r="AC8233" s="392"/>
      <c r="AD8233" s="388">
        <f>15.4*(0.3048)</f>
        <v>4.6939200000000003</v>
      </c>
      <c r="AE8233" s="388">
        <f>0.740746753246753*(0.3048)</f>
        <v>0.22577961038961031</v>
      </c>
      <c r="AF8233" s="388">
        <f t="shared" si="60"/>
        <v>1.0597914287999997</v>
      </c>
      <c r="AG8233" s="388">
        <f>3.15521367521368*(0.3048)</f>
        <v>0.96170912820512966</v>
      </c>
      <c r="AH8233" s="391"/>
      <c r="AI8233" s="397"/>
      <c r="AJ8233" s="397"/>
      <c r="AK8233" s="392"/>
      <c r="AL8233" s="392"/>
      <c r="AM8233" s="392"/>
      <c r="AN8233" s="392"/>
      <c r="AO8233" s="392"/>
      <c r="AP8233" s="392"/>
      <c r="AQ8233" s="392"/>
      <c r="AR8233" s="392"/>
      <c r="AS8233" s="392"/>
      <c r="AT8233" s="392"/>
      <c r="AU8233" s="397"/>
      <c r="AV8233" s="397"/>
      <c r="AW8233" s="397"/>
      <c r="AX8233" s="397"/>
      <c r="AY8233" s="392"/>
      <c r="AZ8233" s="392"/>
      <c r="BA8233" s="392"/>
      <c r="BB8233" s="392"/>
      <c r="BC8233" s="392"/>
      <c r="BD8233" s="392"/>
      <c r="BE8233" s="392"/>
      <c r="BF8233" s="392"/>
      <c r="BG8233" s="392"/>
      <c r="BH8233" s="392"/>
      <c r="BI8233" s="397"/>
      <c r="BJ8233" s="397"/>
      <c r="BK8233" s="397"/>
      <c r="BL8233" s="397"/>
      <c r="BM8233" s="397"/>
      <c r="BN8233" s="397"/>
      <c r="BO8233" s="397"/>
      <c r="BP8233" s="397"/>
      <c r="BQ8233" s="397"/>
      <c r="BR8233" s="397"/>
      <c r="BS8233" s="397"/>
      <c r="BT8233" s="397"/>
      <c r="BU8233" s="397"/>
      <c r="BV8233" s="397"/>
      <c r="BW8233" s="397"/>
      <c r="BX8233" s="397"/>
      <c r="BY8233" s="397"/>
      <c r="BZ8233" s="397"/>
      <c r="CA8233" s="392"/>
      <c r="CB8233" s="392"/>
    </row>
    <row r="8234" spans="1:80" ht="15" x14ac:dyDescent="0.25">
      <c r="A8234" s="385"/>
      <c r="B8234" s="392"/>
      <c r="C8234" s="392"/>
      <c r="D8234" s="700"/>
      <c r="E8234" s="397"/>
      <c r="F8234" s="392"/>
      <c r="G8234" s="392"/>
      <c r="H8234" s="401"/>
      <c r="I8234" s="165">
        <v>10</v>
      </c>
      <c r="J8234" s="165">
        <v>120</v>
      </c>
      <c r="K8234" s="165">
        <v>1</v>
      </c>
      <c r="L8234" s="628"/>
      <c r="M8234" s="628"/>
      <c r="N8234" s="388">
        <f>37.52*(0.028317)</f>
        <v>1.0624538400000001</v>
      </c>
      <c r="O8234" s="389">
        <v>4.666E-3</v>
      </c>
      <c r="P8234" s="413"/>
      <c r="Q8234" s="413"/>
      <c r="R8234" s="413">
        <v>9.9692506878135634E-2</v>
      </c>
      <c r="S8234" s="413">
        <v>2.2927118735501972E-2</v>
      </c>
      <c r="T8234" s="413">
        <v>5.3676430921939911E-2</v>
      </c>
      <c r="U8234" s="413">
        <v>5.6967146787506077E-2</v>
      </c>
      <c r="V8234" s="504">
        <v>0.12531693370016725</v>
      </c>
      <c r="W8234" s="504">
        <v>0.25106543669417924</v>
      </c>
      <c r="X8234" s="504">
        <v>0.18341694988401577</v>
      </c>
      <c r="Y8234" s="504">
        <v>0.20693747639855425</v>
      </c>
      <c r="Z8234" s="388">
        <v>19</v>
      </c>
      <c r="AA8234" s="388"/>
      <c r="AB8234" s="391"/>
      <c r="AC8234" s="392"/>
      <c r="AD8234" s="388">
        <f>15.1*(0.3048)</f>
        <v>4.6024799999999999</v>
      </c>
      <c r="AE8234" s="388">
        <f>0.696125827814569*(0.3048)</f>
        <v>0.21217915231788065</v>
      </c>
      <c r="AF8234" s="388">
        <f t="shared" si="60"/>
        <v>0.97655030495999928</v>
      </c>
      <c r="AG8234" s="388">
        <f>3.56926556628455*(0.3048)</f>
        <v>1.0879121446035309</v>
      </c>
      <c r="AH8234" s="391"/>
      <c r="AI8234" s="397"/>
      <c r="AJ8234" s="397"/>
      <c r="AK8234" s="392"/>
      <c r="AL8234" s="392"/>
      <c r="AM8234" s="392"/>
      <c r="AN8234" s="392"/>
      <c r="AO8234" s="392"/>
      <c r="AP8234" s="392"/>
      <c r="AQ8234" s="392"/>
      <c r="AR8234" s="392"/>
      <c r="AS8234" s="392"/>
      <c r="AT8234" s="392"/>
      <c r="AU8234" s="397"/>
      <c r="AV8234" s="397"/>
      <c r="AW8234" s="397"/>
      <c r="AX8234" s="397"/>
      <c r="AY8234" s="392"/>
      <c r="AZ8234" s="392"/>
      <c r="BA8234" s="392"/>
      <c r="BB8234" s="392"/>
      <c r="BC8234" s="392"/>
      <c r="BD8234" s="392"/>
      <c r="BE8234" s="392"/>
      <c r="BF8234" s="392"/>
      <c r="BG8234" s="392"/>
      <c r="BH8234" s="392"/>
      <c r="BI8234" s="397"/>
      <c r="BJ8234" s="397"/>
      <c r="BK8234" s="397"/>
      <c r="BL8234" s="397"/>
      <c r="BM8234" s="397"/>
      <c r="BN8234" s="397"/>
      <c r="BO8234" s="397"/>
      <c r="BP8234" s="397"/>
      <c r="BQ8234" s="397"/>
      <c r="BR8234" s="397"/>
      <c r="BS8234" s="397"/>
      <c r="BT8234" s="397"/>
      <c r="BU8234" s="397"/>
      <c r="BV8234" s="397"/>
      <c r="BW8234" s="397"/>
      <c r="BX8234" s="397"/>
      <c r="BY8234" s="397"/>
      <c r="BZ8234" s="397"/>
      <c r="CA8234" s="392"/>
      <c r="CB8234" s="392"/>
    </row>
    <row r="8235" spans="1:80" ht="15" x14ac:dyDescent="0.25">
      <c r="A8235" s="385"/>
      <c r="B8235" s="392"/>
      <c r="C8235" s="392"/>
      <c r="D8235" s="700"/>
      <c r="E8235" s="397"/>
      <c r="F8235" s="392"/>
      <c r="G8235" s="392"/>
      <c r="H8235" s="401"/>
      <c r="I8235" s="165">
        <v>10</v>
      </c>
      <c r="J8235" s="165">
        <v>120</v>
      </c>
      <c r="K8235" s="165">
        <v>1</v>
      </c>
      <c r="L8235" s="628"/>
      <c r="M8235" s="628"/>
      <c r="N8235" s="388">
        <f>43.79*(0.028317)</f>
        <v>1.24000143</v>
      </c>
      <c r="O8235" s="389">
        <v>2.2043E-2</v>
      </c>
      <c r="P8235" s="413"/>
      <c r="Q8235" s="413">
        <v>0.36146397273038228</v>
      </c>
      <c r="R8235" s="413">
        <v>0.16453770213368246</v>
      </c>
      <c r="S8235" s="413">
        <v>6.6723281789981492E-2</v>
      </c>
      <c r="T8235" s="413">
        <v>4.4383897715343887E-2</v>
      </c>
      <c r="U8235" s="413">
        <v>6.1085359093214449E-2</v>
      </c>
      <c r="V8235" s="504">
        <v>8.7836004859464759E-2</v>
      </c>
      <c r="W8235" s="504">
        <v>0.10490310557541017</v>
      </c>
      <c r="X8235" s="504">
        <v>5.0658740549402601E-2</v>
      </c>
      <c r="Y8235" s="504">
        <v>5.8407935553117969E-2</v>
      </c>
      <c r="Z8235" s="388">
        <v>49</v>
      </c>
      <c r="AA8235" s="388"/>
      <c r="AB8235" s="391"/>
      <c r="AC8235" s="392"/>
      <c r="AD8235" s="388">
        <f>15.6*(0.3048)</f>
        <v>4.75488</v>
      </c>
      <c r="AE8235" s="388">
        <f>0.759775641025641*(0.3048)</f>
        <v>0.23157961538461538</v>
      </c>
      <c r="AF8235" s="388">
        <f t="shared" si="60"/>
        <v>1.1011332815999999</v>
      </c>
      <c r="AG8235" s="388">
        <f>3.69491246572453*(0.3048)</f>
        <v>1.1262093195528369</v>
      </c>
      <c r="AH8235" s="391"/>
      <c r="AI8235" s="397"/>
      <c r="AJ8235" s="397"/>
      <c r="AK8235" s="392"/>
      <c r="AL8235" s="392"/>
      <c r="AM8235" s="392"/>
      <c r="AN8235" s="392"/>
      <c r="AO8235" s="392"/>
      <c r="AP8235" s="392"/>
      <c r="AQ8235" s="392"/>
      <c r="AR8235" s="392"/>
      <c r="AS8235" s="392"/>
      <c r="AT8235" s="392"/>
      <c r="AU8235" s="397"/>
      <c r="AV8235" s="397"/>
      <c r="AW8235" s="397"/>
      <c r="AX8235" s="397"/>
      <c r="AY8235" s="392"/>
      <c r="AZ8235" s="392"/>
      <c r="BA8235" s="392"/>
      <c r="BB8235" s="392"/>
      <c r="BC8235" s="392"/>
      <c r="BD8235" s="392"/>
      <c r="BE8235" s="392"/>
      <c r="BF8235" s="392"/>
      <c r="BG8235" s="392"/>
      <c r="BH8235" s="392"/>
      <c r="BI8235" s="397"/>
      <c r="BJ8235" s="397"/>
      <c r="BK8235" s="397"/>
      <c r="BL8235" s="397"/>
      <c r="BM8235" s="397"/>
      <c r="BN8235" s="397"/>
      <c r="BO8235" s="397"/>
      <c r="BP8235" s="397"/>
      <c r="BQ8235" s="397"/>
      <c r="BR8235" s="397"/>
      <c r="BS8235" s="397"/>
      <c r="BT8235" s="397"/>
      <c r="BU8235" s="397"/>
      <c r="BV8235" s="397"/>
      <c r="BW8235" s="397"/>
      <c r="BX8235" s="397"/>
      <c r="BY8235" s="397"/>
      <c r="BZ8235" s="397"/>
      <c r="CA8235" s="392"/>
      <c r="CB8235" s="392"/>
    </row>
    <row r="8236" spans="1:80" ht="15" x14ac:dyDescent="0.25">
      <c r="A8236" s="385"/>
      <c r="B8236" s="392"/>
      <c r="C8236" s="392"/>
      <c r="D8236" s="700"/>
      <c r="E8236" s="397"/>
      <c r="F8236" s="392"/>
      <c r="G8236" s="392"/>
      <c r="H8236" s="401"/>
      <c r="I8236" s="165">
        <v>10</v>
      </c>
      <c r="J8236" s="165">
        <v>120</v>
      </c>
      <c r="K8236" s="165">
        <v>1</v>
      </c>
      <c r="L8236" s="628"/>
      <c r="M8236" s="628"/>
      <c r="N8236" s="388">
        <f>39.34*(0.028317)</f>
        <v>1.11399078</v>
      </c>
      <c r="O8236" s="389">
        <v>7.6249999999999998E-3</v>
      </c>
      <c r="P8236" s="413"/>
      <c r="Q8236" s="413"/>
      <c r="R8236" s="413">
        <v>0.12148694438907712</v>
      </c>
      <c r="S8236" s="413">
        <v>0.11829778752242374</v>
      </c>
      <c r="T8236" s="413">
        <v>0.12102185901269016</v>
      </c>
      <c r="U8236" s="413">
        <v>0.11135472726064713</v>
      </c>
      <c r="V8236" s="504">
        <v>0.14583748588133677</v>
      </c>
      <c r="W8236" s="504">
        <v>0.17357650654441564</v>
      </c>
      <c r="X8236" s="504">
        <v>9.5276061391269665E-2</v>
      </c>
      <c r="Y8236" s="504">
        <v>0.11314862799813966</v>
      </c>
      <c r="Z8236" s="388">
        <v>32</v>
      </c>
      <c r="AA8236" s="388"/>
      <c r="AB8236" s="391"/>
      <c r="AC8236" s="392"/>
      <c r="AD8236" s="388">
        <f>15.2*(0.3048)</f>
        <v>4.6329599999999997</v>
      </c>
      <c r="AE8236" s="388">
        <f>0.792763157894737*(0.3048)</f>
        <v>0.24163421052631584</v>
      </c>
      <c r="AF8236" s="388">
        <f t="shared" si="60"/>
        <v>1.1194816320000003</v>
      </c>
      <c r="AG8236" s="388">
        <f>3.26491286307054*(0.3048)</f>
        <v>0.99514544066390065</v>
      </c>
      <c r="AH8236" s="391"/>
      <c r="AI8236" s="397"/>
      <c r="AJ8236" s="397"/>
      <c r="AK8236" s="392"/>
      <c r="AL8236" s="392"/>
      <c r="AM8236" s="392"/>
      <c r="AN8236" s="392"/>
      <c r="AO8236" s="392"/>
      <c r="AP8236" s="392"/>
      <c r="AQ8236" s="392"/>
      <c r="AR8236" s="392"/>
      <c r="AS8236" s="392"/>
      <c r="AT8236" s="392"/>
      <c r="AU8236" s="397"/>
      <c r="AV8236" s="397"/>
      <c r="AW8236" s="397"/>
      <c r="AX8236" s="397"/>
      <c r="AY8236" s="392"/>
      <c r="AZ8236" s="392"/>
      <c r="BA8236" s="392"/>
      <c r="BB8236" s="392"/>
      <c r="BC8236" s="392"/>
      <c r="BD8236" s="392"/>
      <c r="BE8236" s="392"/>
      <c r="BF8236" s="392"/>
      <c r="BG8236" s="392"/>
      <c r="BH8236" s="392"/>
      <c r="BI8236" s="397"/>
      <c r="BJ8236" s="397"/>
      <c r="BK8236" s="397"/>
      <c r="BL8236" s="397"/>
      <c r="BM8236" s="397"/>
      <c r="BN8236" s="397"/>
      <c r="BO8236" s="397"/>
      <c r="BP8236" s="397"/>
      <c r="BQ8236" s="397"/>
      <c r="BR8236" s="397"/>
      <c r="BS8236" s="397"/>
      <c r="BT8236" s="397"/>
      <c r="BU8236" s="397"/>
      <c r="BV8236" s="397"/>
      <c r="BW8236" s="397"/>
      <c r="BX8236" s="397"/>
      <c r="BY8236" s="397"/>
      <c r="BZ8236" s="397"/>
      <c r="CA8236" s="392"/>
      <c r="CB8236" s="392"/>
    </row>
    <row r="8237" spans="1:80" ht="15" x14ac:dyDescent="0.25">
      <c r="A8237" s="385"/>
      <c r="B8237" s="392"/>
      <c r="C8237" s="392"/>
      <c r="D8237" s="700"/>
      <c r="E8237" s="397"/>
      <c r="F8237" s="392"/>
      <c r="G8237" s="392"/>
      <c r="H8237" s="401"/>
      <c r="I8237" s="165">
        <v>10</v>
      </c>
      <c r="J8237" s="165">
        <v>120</v>
      </c>
      <c r="K8237" s="165">
        <v>1</v>
      </c>
      <c r="L8237" s="628"/>
      <c r="M8237" s="628"/>
      <c r="N8237" s="388">
        <f>29.46*(0.028317)</f>
        <v>0.83421882000000003</v>
      </c>
      <c r="O8237" s="389">
        <v>6.3489999999999996E-3</v>
      </c>
      <c r="P8237" s="413"/>
      <c r="Q8237" s="413"/>
      <c r="R8237" s="413">
        <v>0.11324077486996764</v>
      </c>
      <c r="S8237" s="413">
        <v>6.9009296801408868E-2</v>
      </c>
      <c r="T8237" s="413">
        <v>8.1131998197976812E-2</v>
      </c>
      <c r="U8237" s="413">
        <v>0.17397714706966458</v>
      </c>
      <c r="V8237" s="504">
        <v>0.22103452512593685</v>
      </c>
      <c r="W8237" s="504">
        <v>0.1978539542122292</v>
      </c>
      <c r="X8237" s="504">
        <v>7.5725928656264083E-2</v>
      </c>
      <c r="Y8237" s="504">
        <v>6.8026375066552E-2</v>
      </c>
      <c r="Z8237" s="388">
        <v>26</v>
      </c>
      <c r="AA8237" s="388"/>
      <c r="AB8237" s="391"/>
      <c r="AC8237" s="392"/>
      <c r="AD8237" s="388">
        <f>15.6*(0.3048)</f>
        <v>4.75488</v>
      </c>
      <c r="AE8237" s="388">
        <f>0.708333333333333*(0.3048)</f>
        <v>0.21589999999999993</v>
      </c>
      <c r="AF8237" s="388">
        <f t="shared" si="60"/>
        <v>1.0265785919999997</v>
      </c>
      <c r="AG8237" s="388">
        <f>2.66645248868778*(0.3048)</f>
        <v>0.81273471855203538</v>
      </c>
      <c r="AH8237" s="391"/>
      <c r="AI8237" s="397"/>
      <c r="AJ8237" s="397"/>
      <c r="AK8237" s="392"/>
      <c r="AL8237" s="392"/>
      <c r="AM8237" s="392"/>
      <c r="AN8237" s="392"/>
      <c r="AO8237" s="392"/>
      <c r="AP8237" s="392"/>
      <c r="AQ8237" s="392"/>
      <c r="AR8237" s="392"/>
      <c r="AS8237" s="392"/>
      <c r="AT8237" s="392"/>
      <c r="AU8237" s="397"/>
      <c r="AV8237" s="397"/>
      <c r="AW8237" s="397"/>
      <c r="AX8237" s="397"/>
      <c r="AY8237" s="392"/>
      <c r="AZ8237" s="392"/>
      <c r="BA8237" s="392"/>
      <c r="BB8237" s="392"/>
      <c r="BC8237" s="392"/>
      <c r="BD8237" s="392"/>
      <c r="BE8237" s="392"/>
      <c r="BF8237" s="392"/>
      <c r="BG8237" s="392"/>
      <c r="BH8237" s="392"/>
      <c r="BI8237" s="397"/>
      <c r="BJ8237" s="397"/>
      <c r="BK8237" s="397"/>
      <c r="BL8237" s="397"/>
      <c r="BM8237" s="397"/>
      <c r="BN8237" s="397"/>
      <c r="BO8237" s="397"/>
      <c r="BP8237" s="397"/>
      <c r="BQ8237" s="397"/>
      <c r="BR8237" s="397"/>
      <c r="BS8237" s="397"/>
      <c r="BT8237" s="397"/>
      <c r="BU8237" s="397"/>
      <c r="BV8237" s="397"/>
      <c r="BW8237" s="397"/>
      <c r="BX8237" s="397"/>
      <c r="BY8237" s="397"/>
      <c r="BZ8237" s="397"/>
      <c r="CA8237" s="392"/>
      <c r="CB8237" s="392"/>
    </row>
    <row r="8238" spans="1:80" ht="15" x14ac:dyDescent="0.25">
      <c r="A8238" s="385"/>
      <c r="B8238" s="392"/>
      <c r="C8238" s="392"/>
      <c r="D8238" s="700"/>
      <c r="E8238" s="397"/>
      <c r="F8238" s="392"/>
      <c r="G8238" s="392"/>
      <c r="H8238" s="401"/>
      <c r="I8238" s="165">
        <v>10</v>
      </c>
      <c r="J8238" s="165">
        <v>120</v>
      </c>
      <c r="K8238" s="165">
        <v>1</v>
      </c>
      <c r="L8238" s="628"/>
      <c r="M8238" s="628"/>
      <c r="N8238" s="388">
        <f>23.64*(0.028317)</f>
        <v>0.66941388000000002</v>
      </c>
      <c r="O8238" s="389">
        <v>1.3008E-2</v>
      </c>
      <c r="P8238" s="413"/>
      <c r="Q8238" s="413"/>
      <c r="R8238" s="413">
        <v>0.28292760922572652</v>
      </c>
      <c r="S8238" s="413">
        <v>0.11052484310668743</v>
      </c>
      <c r="T8238" s="413">
        <v>5.9539513131070865E-2</v>
      </c>
      <c r="U8238" s="413">
        <v>7.3929727785106134E-2</v>
      </c>
      <c r="V8238" s="504">
        <v>0.15089738977495301</v>
      </c>
      <c r="W8238" s="504">
        <v>0.17544070032377981</v>
      </c>
      <c r="X8238" s="504">
        <v>7.8326737818283559E-2</v>
      </c>
      <c r="Y8238" s="504">
        <v>6.8413478834392596E-2</v>
      </c>
      <c r="Z8238" s="388">
        <v>32</v>
      </c>
      <c r="AA8238" s="388"/>
      <c r="AB8238" s="391"/>
      <c r="AC8238" s="392"/>
      <c r="AD8238" s="388">
        <f>15.6*(0.3048)</f>
        <v>4.75488</v>
      </c>
      <c r="AE8238" s="388">
        <f>0.756570512820513*(0.3048)</f>
        <v>0.23060269230769237</v>
      </c>
      <c r="AF8238" s="388">
        <f t="shared" si="60"/>
        <v>1.0964881296000002</v>
      </c>
      <c r="AG8238" s="388">
        <f>2.00266892607498*(0.3048)</f>
        <v>0.61041348866765399</v>
      </c>
      <c r="AH8238" s="391"/>
      <c r="AI8238" s="397"/>
      <c r="AJ8238" s="397"/>
      <c r="AK8238" s="392"/>
      <c r="AL8238" s="392"/>
      <c r="AM8238" s="392"/>
      <c r="AN8238" s="392"/>
      <c r="AO8238" s="392"/>
      <c r="AP8238" s="392"/>
      <c r="AQ8238" s="392"/>
      <c r="AR8238" s="392"/>
      <c r="AS8238" s="392"/>
      <c r="AT8238" s="392"/>
      <c r="AU8238" s="397"/>
      <c r="AV8238" s="397"/>
      <c r="AW8238" s="397"/>
      <c r="AX8238" s="397"/>
      <c r="AY8238" s="392"/>
      <c r="AZ8238" s="392"/>
      <c r="BA8238" s="392"/>
      <c r="BB8238" s="392"/>
      <c r="BC8238" s="392"/>
      <c r="BD8238" s="392"/>
      <c r="BE8238" s="392"/>
      <c r="BF8238" s="392"/>
      <c r="BG8238" s="392"/>
      <c r="BH8238" s="392"/>
      <c r="BI8238" s="397"/>
      <c r="BJ8238" s="397"/>
      <c r="BK8238" s="397"/>
      <c r="BL8238" s="397"/>
      <c r="BM8238" s="397"/>
      <c r="BN8238" s="397"/>
      <c r="BO8238" s="397"/>
      <c r="BP8238" s="397"/>
      <c r="BQ8238" s="397"/>
      <c r="BR8238" s="397"/>
      <c r="BS8238" s="397"/>
      <c r="BT8238" s="397"/>
      <c r="BU8238" s="397"/>
      <c r="BV8238" s="397"/>
      <c r="BW8238" s="397"/>
      <c r="BX8238" s="397"/>
      <c r="BY8238" s="397"/>
      <c r="BZ8238" s="397"/>
      <c r="CA8238" s="392"/>
      <c r="CB8238" s="392"/>
    </row>
    <row r="8239" spans="1:80" ht="15" x14ac:dyDescent="0.25">
      <c r="A8239" s="385"/>
      <c r="B8239" s="392"/>
      <c r="C8239" s="392"/>
      <c r="D8239" s="700"/>
      <c r="E8239" s="397"/>
      <c r="F8239" s="392"/>
      <c r="G8239" s="392"/>
      <c r="H8239" s="401"/>
      <c r="I8239" s="165">
        <v>10</v>
      </c>
      <c r="J8239" s="165">
        <v>120</v>
      </c>
      <c r="K8239" s="165">
        <v>1</v>
      </c>
      <c r="L8239" s="628"/>
      <c r="M8239" s="628"/>
      <c r="N8239" s="388">
        <f>28.91*(0.028317)</f>
        <v>0.81864446999999996</v>
      </c>
      <c r="O8239" s="389">
        <v>1.8010000000000002E-2</v>
      </c>
      <c r="P8239" s="413"/>
      <c r="Q8239" s="413">
        <v>0.11956506249020253</v>
      </c>
      <c r="R8239" s="413">
        <v>0.25181342719927036</v>
      </c>
      <c r="S8239" s="413">
        <v>0.16703481495204572</v>
      </c>
      <c r="T8239" s="413">
        <v>0.11158455772327601</v>
      </c>
      <c r="U8239" s="413">
        <v>8.2655227943167417E-2</v>
      </c>
      <c r="V8239" s="504">
        <v>0.1065539895398384</v>
      </c>
      <c r="W8239" s="504">
        <v>9.7632925282524138E-2</v>
      </c>
      <c r="X8239" s="504">
        <v>3.5841016944321728E-2</v>
      </c>
      <c r="Y8239" s="504">
        <v>2.7318977925353784E-2</v>
      </c>
      <c r="Z8239" s="388">
        <v>39</v>
      </c>
      <c r="AA8239" s="388"/>
      <c r="AB8239" s="391"/>
      <c r="AC8239" s="392"/>
      <c r="AD8239" s="388">
        <f>15.4*(0.3048)</f>
        <v>4.6939200000000003</v>
      </c>
      <c r="AE8239" s="388">
        <f>0.770454545454546*(0.3048)</f>
        <v>0.23483454545454563</v>
      </c>
      <c r="AF8239" s="388">
        <f t="shared" si="60"/>
        <v>1.1022945696000008</v>
      </c>
      <c r="AG8239" s="388">
        <f>2.43663295406658*(0.3048)</f>
        <v>0.74268572439949354</v>
      </c>
      <c r="AH8239" s="391"/>
      <c r="AI8239" s="397"/>
      <c r="AJ8239" s="397"/>
      <c r="AK8239" s="392"/>
      <c r="AL8239" s="392"/>
      <c r="AM8239" s="392"/>
      <c r="AN8239" s="392"/>
      <c r="AO8239" s="392"/>
      <c r="AP8239" s="392"/>
      <c r="AQ8239" s="392"/>
      <c r="AR8239" s="392"/>
      <c r="AS8239" s="392"/>
      <c r="AT8239" s="392"/>
      <c r="AU8239" s="397"/>
      <c r="AV8239" s="397"/>
      <c r="AW8239" s="397"/>
      <c r="AX8239" s="397"/>
      <c r="AY8239" s="392"/>
      <c r="AZ8239" s="392"/>
      <c r="BA8239" s="392"/>
      <c r="BB8239" s="392"/>
      <c r="BC8239" s="392"/>
      <c r="BD8239" s="392"/>
      <c r="BE8239" s="392"/>
      <c r="BF8239" s="392"/>
      <c r="BG8239" s="392"/>
      <c r="BH8239" s="392"/>
      <c r="BI8239" s="397"/>
      <c r="BJ8239" s="397"/>
      <c r="BK8239" s="397"/>
      <c r="BL8239" s="397"/>
      <c r="BM8239" s="397"/>
      <c r="BN8239" s="397"/>
      <c r="BO8239" s="397"/>
      <c r="BP8239" s="397"/>
      <c r="BQ8239" s="397"/>
      <c r="BR8239" s="397"/>
      <c r="BS8239" s="397"/>
      <c r="BT8239" s="397"/>
      <c r="BU8239" s="397"/>
      <c r="BV8239" s="397"/>
      <c r="BW8239" s="397"/>
      <c r="BX8239" s="397"/>
      <c r="BY8239" s="397"/>
      <c r="BZ8239" s="397"/>
      <c r="CA8239" s="392"/>
      <c r="CB8239" s="392"/>
    </row>
    <row r="8240" spans="1:80" ht="15" x14ac:dyDescent="0.25">
      <c r="A8240" s="385"/>
      <c r="B8240" s="392"/>
      <c r="C8240" s="392"/>
      <c r="D8240" s="700"/>
      <c r="E8240" s="397"/>
      <c r="F8240" s="392"/>
      <c r="G8240" s="392"/>
      <c r="H8240" s="401"/>
      <c r="I8240" s="165">
        <v>10</v>
      </c>
      <c r="J8240" s="165">
        <v>120</v>
      </c>
      <c r="K8240" s="165">
        <v>1</v>
      </c>
      <c r="L8240" s="628"/>
      <c r="M8240" s="628"/>
      <c r="N8240" s="388">
        <f>30.43*(0.028317)</f>
        <v>0.86168630999999996</v>
      </c>
      <c r="O8240" s="389">
        <v>5.2050000000000004E-3</v>
      </c>
      <c r="P8240" s="413"/>
      <c r="Q8240" s="413"/>
      <c r="R8240" s="413"/>
      <c r="S8240" s="413">
        <v>6.9024073519128953E-2</v>
      </c>
      <c r="T8240" s="413">
        <v>0.1440415542902807</v>
      </c>
      <c r="U8240" s="413">
        <v>0.212716012386375</v>
      </c>
      <c r="V8240" s="504">
        <v>0.24657876336030365</v>
      </c>
      <c r="W8240" s="504">
        <v>0.21196683647987213</v>
      </c>
      <c r="X8240" s="504">
        <v>8.0960942962740992E-2</v>
      </c>
      <c r="Y8240" s="504">
        <v>3.4711817001298571E-2</v>
      </c>
      <c r="Z8240" s="388">
        <v>14</v>
      </c>
      <c r="AA8240" s="388"/>
      <c r="AB8240" s="391"/>
      <c r="AC8240" s="392"/>
      <c r="AD8240" s="388">
        <f>15.6*(0.3048)</f>
        <v>4.75488</v>
      </c>
      <c r="AE8240" s="388">
        <f>0.730448717948718*(0.3048)</f>
        <v>0.22264076923076925</v>
      </c>
      <c r="AF8240" s="388">
        <f t="shared" ref="AF8240:AF8265" si="61">AE8240*AD8240</f>
        <v>1.0586301408000001</v>
      </c>
      <c r="AG8240" s="388">
        <f>2.67020184291356*(0.3048)</f>
        <v>0.81387752172005312</v>
      </c>
      <c r="AH8240" s="391"/>
      <c r="AI8240" s="397"/>
      <c r="AJ8240" s="397"/>
      <c r="AK8240" s="392"/>
      <c r="AL8240" s="392"/>
      <c r="AM8240" s="392"/>
      <c r="AN8240" s="392"/>
      <c r="AO8240" s="392"/>
      <c r="AP8240" s="392"/>
      <c r="AQ8240" s="392"/>
      <c r="AR8240" s="392"/>
      <c r="AS8240" s="392"/>
      <c r="AT8240" s="392"/>
      <c r="AU8240" s="397"/>
      <c r="AV8240" s="397"/>
      <c r="AW8240" s="397"/>
      <c r="AX8240" s="397"/>
      <c r="AY8240" s="392"/>
      <c r="AZ8240" s="392"/>
      <c r="BA8240" s="392"/>
      <c r="BB8240" s="392"/>
      <c r="BC8240" s="392"/>
      <c r="BD8240" s="392"/>
      <c r="BE8240" s="392"/>
      <c r="BF8240" s="392"/>
      <c r="BG8240" s="392"/>
      <c r="BH8240" s="392"/>
      <c r="BI8240" s="397"/>
      <c r="BJ8240" s="397"/>
      <c r="BK8240" s="397"/>
      <c r="BL8240" s="397"/>
      <c r="BM8240" s="397"/>
      <c r="BN8240" s="397"/>
      <c r="BO8240" s="397"/>
      <c r="BP8240" s="397"/>
      <c r="BQ8240" s="397"/>
      <c r="BR8240" s="397"/>
      <c r="BS8240" s="397"/>
      <c r="BT8240" s="397"/>
      <c r="BU8240" s="397"/>
      <c r="BV8240" s="397"/>
      <c r="BW8240" s="397"/>
      <c r="BX8240" s="397"/>
      <c r="BY8240" s="397"/>
      <c r="BZ8240" s="397"/>
      <c r="CA8240" s="392"/>
      <c r="CB8240" s="392"/>
    </row>
    <row r="8241" spans="1:80" ht="15" x14ac:dyDescent="0.25">
      <c r="A8241" s="385"/>
      <c r="B8241" s="392"/>
      <c r="C8241" s="392"/>
      <c r="D8241" s="700"/>
      <c r="E8241" s="397"/>
      <c r="F8241" s="392"/>
      <c r="G8241" s="392"/>
      <c r="H8241" s="401"/>
      <c r="I8241" s="165">
        <v>10</v>
      </c>
      <c r="J8241" s="165">
        <v>120</v>
      </c>
      <c r="K8241" s="165">
        <v>1</v>
      </c>
      <c r="L8241" s="628"/>
      <c r="M8241" s="628"/>
      <c r="N8241" s="388">
        <f>23.85*(0.028317)</f>
        <v>0.67536045</v>
      </c>
      <c r="O8241" s="389">
        <v>7.7640000000000001E-3</v>
      </c>
      <c r="P8241" s="413"/>
      <c r="Q8241" s="413"/>
      <c r="R8241" s="413">
        <v>0.12958641255023984</v>
      </c>
      <c r="S8241" s="413">
        <v>8.7320108907040062E-2</v>
      </c>
      <c r="T8241" s="413">
        <v>0.19496304939712172</v>
      </c>
      <c r="U8241" s="413">
        <v>0.20057046544794502</v>
      </c>
      <c r="V8241" s="504">
        <v>0.19817191754181251</v>
      </c>
      <c r="W8241" s="504">
        <v>0.13380007779074288</v>
      </c>
      <c r="X8241" s="504">
        <v>4.2169065214572796E-2</v>
      </c>
      <c r="Y8241" s="504">
        <v>1.3418903150525085E-2</v>
      </c>
      <c r="Z8241" s="388">
        <v>30</v>
      </c>
      <c r="AA8241" s="388"/>
      <c r="AB8241" s="391"/>
      <c r="AC8241" s="392"/>
      <c r="AD8241" s="388">
        <f>15.1*(0.3048)</f>
        <v>4.6024799999999999</v>
      </c>
      <c r="AE8241" s="388">
        <f>0.619039735099338*(0.3048)</f>
        <v>0.18868331125827822</v>
      </c>
      <c r="AF8241" s="388">
        <f t="shared" si="61"/>
        <v>0.86841116640000038</v>
      </c>
      <c r="AG8241" s="388">
        <f>2.55141481679593*(0.3048)</f>
        <v>0.77767123615939948</v>
      </c>
      <c r="AH8241" s="391"/>
      <c r="AI8241" s="397"/>
      <c r="AJ8241" s="397"/>
      <c r="AK8241" s="392"/>
      <c r="AL8241" s="392"/>
      <c r="AM8241" s="392"/>
      <c r="AN8241" s="392"/>
      <c r="AO8241" s="392"/>
      <c r="AP8241" s="392"/>
      <c r="AQ8241" s="392"/>
      <c r="AR8241" s="392"/>
      <c r="AS8241" s="392"/>
      <c r="AT8241" s="392"/>
      <c r="AU8241" s="397"/>
      <c r="AV8241" s="397"/>
      <c r="AW8241" s="397"/>
      <c r="AX8241" s="397"/>
      <c r="AY8241" s="392"/>
      <c r="AZ8241" s="392"/>
      <c r="BA8241" s="392"/>
      <c r="BB8241" s="392"/>
      <c r="BC8241" s="392"/>
      <c r="BD8241" s="392"/>
      <c r="BE8241" s="392"/>
      <c r="BF8241" s="392"/>
      <c r="BG8241" s="392"/>
      <c r="BH8241" s="392"/>
      <c r="BI8241" s="397"/>
      <c r="BJ8241" s="397"/>
      <c r="BK8241" s="397"/>
      <c r="BL8241" s="397"/>
      <c r="BM8241" s="397"/>
      <c r="BN8241" s="397"/>
      <c r="BO8241" s="397"/>
      <c r="BP8241" s="397"/>
      <c r="BQ8241" s="397"/>
      <c r="BR8241" s="397"/>
      <c r="BS8241" s="397"/>
      <c r="BT8241" s="397"/>
      <c r="BU8241" s="397"/>
      <c r="BV8241" s="397"/>
      <c r="BW8241" s="397"/>
      <c r="BX8241" s="397"/>
      <c r="BY8241" s="397"/>
      <c r="BZ8241" s="397"/>
      <c r="CA8241" s="392"/>
      <c r="CB8241" s="392"/>
    </row>
    <row r="8242" spans="1:80" ht="15" x14ac:dyDescent="0.25">
      <c r="A8242" s="385"/>
      <c r="B8242" s="392"/>
      <c r="C8242" s="392"/>
      <c r="D8242" s="700"/>
      <c r="E8242" s="397"/>
      <c r="F8242" s="392"/>
      <c r="G8242" s="392"/>
      <c r="H8242" s="401"/>
      <c r="I8242" s="165">
        <v>10</v>
      </c>
      <c r="J8242" s="165">
        <v>120</v>
      </c>
      <c r="K8242" s="165">
        <v>1</v>
      </c>
      <c r="L8242" s="628"/>
      <c r="M8242" s="628"/>
      <c r="N8242" s="388">
        <f>19.85*(0.028317)</f>
        <v>0.56209244999999997</v>
      </c>
      <c r="O8242" s="389">
        <v>1.078E-3</v>
      </c>
      <c r="P8242" s="413"/>
      <c r="Q8242" s="413"/>
      <c r="R8242" s="413"/>
      <c r="S8242" s="413">
        <v>4.8829431438127097E-2</v>
      </c>
      <c r="T8242" s="413">
        <v>5.6633221850613161E-2</v>
      </c>
      <c r="U8242" s="413">
        <v>0.13957636566332221</v>
      </c>
      <c r="V8242" s="504">
        <v>0.23166109253065778</v>
      </c>
      <c r="W8242" s="504">
        <v>0.30167224080267563</v>
      </c>
      <c r="X8242" s="504">
        <v>0.1032329988851728</v>
      </c>
      <c r="Y8242" s="504">
        <v>0.11839464882943145</v>
      </c>
      <c r="Z8242" s="388">
        <v>12</v>
      </c>
      <c r="AA8242" s="388"/>
      <c r="AB8242" s="391"/>
      <c r="AC8242" s="392"/>
      <c r="AD8242" s="388">
        <f>14.4*(0.3048)</f>
        <v>4.3891200000000001</v>
      </c>
      <c r="AE8242" s="388">
        <f>0.539409722222222*(0.3048)</f>
        <v>0.16441208333333329</v>
      </c>
      <c r="AF8242" s="388">
        <f t="shared" si="61"/>
        <v>0.72162436319999979</v>
      </c>
      <c r="AG8242" s="388">
        <f>2.55549726424203*(0.3048)</f>
        <v>0.77891556614097079</v>
      </c>
      <c r="AH8242" s="391"/>
      <c r="AI8242" s="397"/>
      <c r="AJ8242" s="397"/>
      <c r="AK8242" s="392"/>
      <c r="AL8242" s="392"/>
      <c r="AM8242" s="392"/>
      <c r="AN8242" s="392"/>
      <c r="AO8242" s="392"/>
      <c r="AP8242" s="392"/>
      <c r="AQ8242" s="392"/>
      <c r="AR8242" s="392"/>
      <c r="AS8242" s="392"/>
      <c r="AT8242" s="392"/>
      <c r="AU8242" s="397"/>
      <c r="AV8242" s="397"/>
      <c r="AW8242" s="397"/>
      <c r="AX8242" s="397"/>
      <c r="AY8242" s="392"/>
      <c r="AZ8242" s="392"/>
      <c r="BA8242" s="392"/>
      <c r="BB8242" s="392"/>
      <c r="BC8242" s="392"/>
      <c r="BD8242" s="392"/>
      <c r="BE8242" s="392"/>
      <c r="BF8242" s="392"/>
      <c r="BG8242" s="392"/>
      <c r="BH8242" s="392"/>
      <c r="BI8242" s="397"/>
      <c r="BJ8242" s="397"/>
      <c r="BK8242" s="397"/>
      <c r="BL8242" s="397"/>
      <c r="BM8242" s="397"/>
      <c r="BN8242" s="397"/>
      <c r="BO8242" s="397"/>
      <c r="BP8242" s="397"/>
      <c r="BQ8242" s="397"/>
      <c r="BR8242" s="397"/>
      <c r="BS8242" s="397"/>
      <c r="BT8242" s="397"/>
      <c r="BU8242" s="397"/>
      <c r="BV8242" s="397"/>
      <c r="BW8242" s="397"/>
      <c r="BX8242" s="397"/>
      <c r="BY8242" s="397"/>
      <c r="BZ8242" s="397"/>
      <c r="CA8242" s="392"/>
      <c r="CB8242" s="392"/>
    </row>
    <row r="8243" spans="1:80" ht="15" x14ac:dyDescent="0.25">
      <c r="A8243" s="385"/>
      <c r="B8243" s="392"/>
      <c r="C8243" s="392"/>
      <c r="D8243" s="700"/>
      <c r="E8243" s="397"/>
      <c r="F8243" s="392"/>
      <c r="G8243" s="392"/>
      <c r="H8243" s="401"/>
      <c r="I8243" s="165">
        <v>10</v>
      </c>
      <c r="J8243" s="165">
        <v>120</v>
      </c>
      <c r="K8243" s="165">
        <v>1</v>
      </c>
      <c r="L8243" s="628"/>
      <c r="M8243" s="628"/>
      <c r="N8243" s="388">
        <f>17.96*(0.028317)</f>
        <v>0.50857332</v>
      </c>
      <c r="O8243" s="389">
        <v>2.6459999999999999E-3</v>
      </c>
      <c r="P8243" s="413"/>
      <c r="Q8243" s="413"/>
      <c r="R8243" s="413"/>
      <c r="S8243" s="413">
        <v>4.7018555215276529E-2</v>
      </c>
      <c r="T8243" s="413">
        <v>0.15078364258692126</v>
      </c>
      <c r="U8243" s="413">
        <v>0.27895874617186095</v>
      </c>
      <c r="V8243" s="504">
        <v>0.19690145919654117</v>
      </c>
      <c r="W8243" s="504">
        <v>0.19095658439920735</v>
      </c>
      <c r="X8243" s="504">
        <v>4.4046117816609616E-2</v>
      </c>
      <c r="Y8243" s="504">
        <v>9.1334894613583142E-2</v>
      </c>
      <c r="Z8243" s="388">
        <v>14</v>
      </c>
      <c r="AA8243" s="388"/>
      <c r="AB8243" s="391"/>
      <c r="AC8243" s="392"/>
      <c r="AD8243" s="388">
        <f>14.3*(0.3048)</f>
        <v>4.3586400000000003</v>
      </c>
      <c r="AE8243" s="388">
        <f>0.553671328671329*(0.3048)</f>
        <v>0.16875902097902107</v>
      </c>
      <c r="AF8243" s="388">
        <f t="shared" si="61"/>
        <v>0.73555981920000046</v>
      </c>
      <c r="AG8243" s="388">
        <f>2.26855067887591*(0.3048)</f>
        <v>0.69145424692137736</v>
      </c>
      <c r="AH8243" s="391"/>
      <c r="AI8243" s="397"/>
      <c r="AJ8243" s="397"/>
      <c r="AK8243" s="392"/>
      <c r="AL8243" s="392"/>
      <c r="AM8243" s="392"/>
      <c r="AN8243" s="392"/>
      <c r="AO8243" s="392"/>
      <c r="AP8243" s="392"/>
      <c r="AQ8243" s="392"/>
      <c r="AR8243" s="392"/>
      <c r="AS8243" s="392"/>
      <c r="AT8243" s="392"/>
      <c r="AU8243" s="397"/>
      <c r="AV8243" s="397"/>
      <c r="AW8243" s="397"/>
      <c r="AX8243" s="397"/>
      <c r="AY8243" s="392"/>
      <c r="AZ8243" s="392"/>
      <c r="BA8243" s="392"/>
      <c r="BB8243" s="392"/>
      <c r="BC8243" s="392"/>
      <c r="BD8243" s="392"/>
      <c r="BE8243" s="392"/>
      <c r="BF8243" s="392"/>
      <c r="BG8243" s="392"/>
      <c r="BH8243" s="392"/>
      <c r="BI8243" s="397"/>
      <c r="BJ8243" s="397"/>
      <c r="BK8243" s="397"/>
      <c r="BL8243" s="397"/>
      <c r="BM8243" s="397"/>
      <c r="BN8243" s="397"/>
      <c r="BO8243" s="397"/>
      <c r="BP8243" s="397"/>
      <c r="BQ8243" s="397"/>
      <c r="BR8243" s="397"/>
      <c r="BS8243" s="397"/>
      <c r="BT8243" s="397"/>
      <c r="BU8243" s="397"/>
      <c r="BV8243" s="397"/>
      <c r="BW8243" s="397"/>
      <c r="BX8243" s="397"/>
      <c r="BY8243" s="397"/>
      <c r="BZ8243" s="397"/>
      <c r="CA8243" s="392"/>
      <c r="CB8243" s="392"/>
    </row>
    <row r="8244" spans="1:80" ht="15" x14ac:dyDescent="0.25">
      <c r="A8244" s="385"/>
      <c r="B8244" s="392"/>
      <c r="C8244" s="392"/>
      <c r="D8244" s="700"/>
      <c r="E8244" s="397"/>
      <c r="F8244" s="392"/>
      <c r="G8244" s="392"/>
      <c r="H8244" s="401"/>
      <c r="I8244" s="165">
        <v>10</v>
      </c>
      <c r="J8244" s="165">
        <v>120</v>
      </c>
      <c r="K8244" s="165">
        <v>1</v>
      </c>
      <c r="L8244" s="628"/>
      <c r="M8244" s="628"/>
      <c r="N8244" s="388">
        <f>17.27*(0.028317)</f>
        <v>0.48903458999999994</v>
      </c>
      <c r="O8244" s="389">
        <v>1.8339999999999999E-3</v>
      </c>
      <c r="P8244" s="413"/>
      <c r="Q8244" s="413"/>
      <c r="R8244" s="413"/>
      <c r="S8244" s="413">
        <v>9.098049482916612E-2</v>
      </c>
      <c r="T8244" s="413">
        <v>0.11061657284984945</v>
      </c>
      <c r="U8244" s="413">
        <v>0.24204738840162324</v>
      </c>
      <c r="V8244" s="504">
        <v>0.27333420604791203</v>
      </c>
      <c r="W8244" s="504">
        <v>0.18889907055897368</v>
      </c>
      <c r="X8244" s="504">
        <v>4.7912030370467339E-2</v>
      </c>
      <c r="Y8244" s="504">
        <v>4.6210236942008112E-2</v>
      </c>
      <c r="Z8244" s="388">
        <v>16</v>
      </c>
      <c r="AA8244" s="388"/>
      <c r="AB8244" s="391"/>
      <c r="AC8244" s="392"/>
      <c r="AD8244" s="388">
        <f>14.4*(0.3048)</f>
        <v>4.3891200000000001</v>
      </c>
      <c r="AE8244" s="388" t="s">
        <v>71</v>
      </c>
      <c r="AF8244" s="388"/>
      <c r="AG8244" s="388" t="s">
        <v>71</v>
      </c>
      <c r="AH8244" s="391"/>
      <c r="AI8244" s="397"/>
      <c r="AJ8244" s="397"/>
      <c r="AK8244" s="392"/>
      <c r="AL8244" s="392"/>
      <c r="AM8244" s="392"/>
      <c r="AN8244" s="392"/>
      <c r="AO8244" s="392"/>
      <c r="AP8244" s="392"/>
      <c r="AQ8244" s="392"/>
      <c r="AR8244" s="392"/>
      <c r="AS8244" s="392"/>
      <c r="AT8244" s="392"/>
      <c r="AU8244" s="397"/>
      <c r="AV8244" s="397"/>
      <c r="AW8244" s="397"/>
      <c r="AX8244" s="397"/>
      <c r="AY8244" s="392"/>
      <c r="AZ8244" s="392"/>
      <c r="BA8244" s="392"/>
      <c r="BB8244" s="392"/>
      <c r="BC8244" s="392"/>
      <c r="BD8244" s="392"/>
      <c r="BE8244" s="392"/>
      <c r="BF8244" s="392"/>
      <c r="BG8244" s="392"/>
      <c r="BH8244" s="392"/>
      <c r="BI8244" s="397"/>
      <c r="BJ8244" s="397"/>
      <c r="BK8244" s="397"/>
      <c r="BL8244" s="397"/>
      <c r="BM8244" s="397"/>
      <c r="BN8244" s="397"/>
      <c r="BO8244" s="397"/>
      <c r="BP8244" s="397"/>
      <c r="BQ8244" s="397"/>
      <c r="BR8244" s="397"/>
      <c r="BS8244" s="397"/>
      <c r="BT8244" s="397"/>
      <c r="BU8244" s="397"/>
      <c r="BV8244" s="397"/>
      <c r="BW8244" s="397"/>
      <c r="BX8244" s="397"/>
      <c r="BY8244" s="397"/>
      <c r="BZ8244" s="397"/>
      <c r="CA8244" s="392"/>
      <c r="CB8244" s="392"/>
    </row>
    <row r="8245" spans="1:80" ht="15" x14ac:dyDescent="0.25">
      <c r="A8245" s="385"/>
      <c r="B8245" s="392"/>
      <c r="C8245" s="392"/>
      <c r="D8245" s="700"/>
      <c r="E8245" s="397"/>
      <c r="F8245" s="392"/>
      <c r="G8245" s="392"/>
      <c r="H8245" s="401"/>
      <c r="I8245" s="165">
        <v>10</v>
      </c>
      <c r="J8245" s="165">
        <v>120</v>
      </c>
      <c r="K8245" s="165">
        <v>1</v>
      </c>
      <c r="L8245" s="628"/>
      <c r="M8245" s="628"/>
      <c r="N8245" s="388">
        <f>16.7*(0.028317)</f>
        <v>0.47289389999999998</v>
      </c>
      <c r="O8245" s="389">
        <v>1.5167999999999999E-2</v>
      </c>
      <c r="P8245" s="413"/>
      <c r="Q8245" s="413"/>
      <c r="R8245" s="413">
        <v>0.14738041362722917</v>
      </c>
      <c r="S8245" s="413">
        <v>0.1527604158425242</v>
      </c>
      <c r="T8245" s="413">
        <v>0.26773422789056445</v>
      </c>
      <c r="U8245" s="413">
        <v>0.1824928398499929</v>
      </c>
      <c r="V8245" s="504">
        <v>0.14706394290868238</v>
      </c>
      <c r="W8245" s="504">
        <v>8.1427915882083021E-2</v>
      </c>
      <c r="X8245" s="504">
        <v>1.645647736443186E-2</v>
      </c>
      <c r="Y8245" s="504">
        <v>4.6837666344921444E-3</v>
      </c>
      <c r="Z8245" s="388">
        <v>30</v>
      </c>
      <c r="AA8245" s="388"/>
      <c r="AB8245" s="391"/>
      <c r="AC8245" s="392"/>
      <c r="AD8245" s="388">
        <f>14.4*(0.3048)</f>
        <v>4.3891200000000001</v>
      </c>
      <c r="AE8245" s="388">
        <f>0.55*(0.3048)</f>
        <v>0.16764000000000001</v>
      </c>
      <c r="AF8245" s="388">
        <f t="shared" si="61"/>
        <v>0.73579207680000003</v>
      </c>
      <c r="AG8245" s="388">
        <f>2.10916035353535*(0.3048)</f>
        <v>0.64287207575757477</v>
      </c>
      <c r="AH8245" s="391"/>
      <c r="AI8245" s="397"/>
      <c r="AJ8245" s="397"/>
      <c r="AK8245" s="392"/>
      <c r="AL8245" s="392"/>
      <c r="AM8245" s="392"/>
      <c r="AN8245" s="392"/>
      <c r="AO8245" s="392"/>
      <c r="AP8245" s="392"/>
      <c r="AQ8245" s="392"/>
      <c r="AR8245" s="392"/>
      <c r="AS8245" s="392"/>
      <c r="AT8245" s="392"/>
      <c r="AU8245" s="397"/>
      <c r="AV8245" s="397"/>
      <c r="AW8245" s="397"/>
      <c r="AX8245" s="397"/>
      <c r="AY8245" s="392"/>
      <c r="AZ8245" s="392"/>
      <c r="BA8245" s="392"/>
      <c r="BB8245" s="392"/>
      <c r="BC8245" s="392"/>
      <c r="BD8245" s="392"/>
      <c r="BE8245" s="392"/>
      <c r="BF8245" s="392"/>
      <c r="BG8245" s="392"/>
      <c r="BH8245" s="392"/>
      <c r="BI8245" s="397"/>
      <c r="BJ8245" s="397"/>
      <c r="BK8245" s="397"/>
      <c r="BL8245" s="397"/>
      <c r="BM8245" s="397"/>
      <c r="BN8245" s="397"/>
      <c r="BO8245" s="397"/>
      <c r="BP8245" s="397"/>
      <c r="BQ8245" s="397"/>
      <c r="BR8245" s="397"/>
      <c r="BS8245" s="397"/>
      <c r="BT8245" s="397"/>
      <c r="BU8245" s="397"/>
      <c r="BV8245" s="397"/>
      <c r="BW8245" s="397"/>
      <c r="BX8245" s="397"/>
      <c r="BY8245" s="397"/>
      <c r="BZ8245" s="397"/>
      <c r="CA8245" s="392"/>
      <c r="CB8245" s="392"/>
    </row>
    <row r="8246" spans="1:80" ht="15" x14ac:dyDescent="0.25">
      <c r="A8246" s="385"/>
      <c r="B8246" s="392"/>
      <c r="C8246" s="392"/>
      <c r="D8246" s="700"/>
      <c r="E8246" s="397"/>
      <c r="F8246" s="392"/>
      <c r="G8246" s="392"/>
      <c r="H8246" s="401"/>
      <c r="I8246" s="165">
        <v>10</v>
      </c>
      <c r="J8246" s="165">
        <v>120</v>
      </c>
      <c r="K8246" s="165">
        <v>1</v>
      </c>
      <c r="L8246" s="628"/>
      <c r="M8246" s="628"/>
      <c r="N8246" s="388">
        <f>14.01*(0.028317)</f>
        <v>0.39672116999999996</v>
      </c>
      <c r="O8246" s="389">
        <v>5.9389999999999998E-3</v>
      </c>
      <c r="P8246" s="413"/>
      <c r="Q8246" s="413"/>
      <c r="R8246" s="413">
        <v>8.8990531214893268E-2</v>
      </c>
      <c r="S8246" s="413">
        <v>0.1655031295137217</v>
      </c>
      <c r="T8246" s="413">
        <v>0.23872572620767132</v>
      </c>
      <c r="U8246" s="413">
        <v>0.15013641470069011</v>
      </c>
      <c r="V8246" s="504">
        <v>0.17208313272347936</v>
      </c>
      <c r="W8246" s="504">
        <v>0.141911410688493</v>
      </c>
      <c r="X8246" s="504">
        <v>3.5828919916546298E-2</v>
      </c>
      <c r="Y8246" s="504">
        <v>6.8207350345048942E-3</v>
      </c>
      <c r="Z8246" s="388">
        <v>26</v>
      </c>
      <c r="AA8246" s="388"/>
      <c r="AB8246" s="391"/>
      <c r="AC8246" s="392"/>
      <c r="AD8246" s="388">
        <f>14.3*(0.3048)</f>
        <v>4.3586400000000003</v>
      </c>
      <c r="AE8246" s="388">
        <f>0.587412587412588*(0.3048)</f>
        <v>0.17904335664335683</v>
      </c>
      <c r="AF8246" s="388">
        <f t="shared" si="61"/>
        <v>0.78038553600000082</v>
      </c>
      <c r="AG8246" s="388">
        <f>1.66751785714286*(0.3048)</f>
        <v>0.50825944285714375</v>
      </c>
      <c r="AH8246" s="391"/>
      <c r="AI8246" s="397"/>
      <c r="AJ8246" s="397"/>
      <c r="AK8246" s="392"/>
      <c r="AL8246" s="392"/>
      <c r="AM8246" s="392"/>
      <c r="AN8246" s="392"/>
      <c r="AO8246" s="392"/>
      <c r="AP8246" s="392"/>
      <c r="AQ8246" s="392"/>
      <c r="AR8246" s="392"/>
      <c r="AS8246" s="392"/>
      <c r="AT8246" s="392"/>
      <c r="AU8246" s="397"/>
      <c r="AV8246" s="397"/>
      <c r="AW8246" s="397"/>
      <c r="AX8246" s="397"/>
      <c r="AY8246" s="392"/>
      <c r="AZ8246" s="392"/>
      <c r="BA8246" s="392"/>
      <c r="BB8246" s="392"/>
      <c r="BC8246" s="392"/>
      <c r="BD8246" s="392"/>
      <c r="BE8246" s="392"/>
      <c r="BF8246" s="392"/>
      <c r="BG8246" s="392"/>
      <c r="BH8246" s="392"/>
      <c r="BI8246" s="397"/>
      <c r="BJ8246" s="397"/>
      <c r="BK8246" s="397"/>
      <c r="BL8246" s="397"/>
      <c r="BM8246" s="397"/>
      <c r="BN8246" s="397"/>
      <c r="BO8246" s="397"/>
      <c r="BP8246" s="397"/>
      <c r="BQ8246" s="397"/>
      <c r="BR8246" s="397"/>
      <c r="BS8246" s="397"/>
      <c r="BT8246" s="397"/>
      <c r="BU8246" s="397"/>
      <c r="BV8246" s="397"/>
      <c r="BW8246" s="397"/>
      <c r="BX8246" s="397"/>
      <c r="BY8246" s="397"/>
      <c r="BZ8246" s="397"/>
      <c r="CA8246" s="392"/>
      <c r="CB8246" s="392"/>
    </row>
    <row r="8247" spans="1:80" ht="15" x14ac:dyDescent="0.25">
      <c r="A8247" s="385"/>
      <c r="B8247" s="392"/>
      <c r="C8247" s="392"/>
      <c r="D8247" s="700"/>
      <c r="E8247" s="397"/>
      <c r="F8247" s="392"/>
      <c r="G8247" s="392"/>
      <c r="H8247" s="401"/>
      <c r="I8247" s="165">
        <v>10</v>
      </c>
      <c r="J8247" s="165">
        <v>120</v>
      </c>
      <c r="K8247" s="165">
        <v>1</v>
      </c>
      <c r="L8247" s="628"/>
      <c r="M8247" s="628"/>
      <c r="N8247" s="388">
        <f>14.42*(0.028317)</f>
        <v>0.40833113999999998</v>
      </c>
      <c r="O8247" s="389">
        <v>4.5209999999999998E-3</v>
      </c>
      <c r="P8247" s="413"/>
      <c r="Q8247" s="413"/>
      <c r="R8247" s="413"/>
      <c r="S8247" s="413">
        <v>4.7435829863490221E-3</v>
      </c>
      <c r="T8247" s="413">
        <v>3.7368892636905071E-2</v>
      </c>
      <c r="U8247" s="413">
        <v>0.10098561113160806</v>
      </c>
      <c r="V8247" s="504">
        <v>0.21804669793917669</v>
      </c>
      <c r="W8247" s="504">
        <v>0.31934854793654138</v>
      </c>
      <c r="X8247" s="504">
        <v>0.19364359879829229</v>
      </c>
      <c r="Y8247" s="504">
        <v>0.12586306857112736</v>
      </c>
      <c r="Z8247" s="388">
        <v>10</v>
      </c>
      <c r="AA8247" s="388"/>
      <c r="AB8247" s="391"/>
      <c r="AC8247" s="392"/>
      <c r="AD8247" s="388">
        <f>14.3*(0.3048)</f>
        <v>4.3586400000000003</v>
      </c>
      <c r="AE8247" s="388">
        <f>0.528181818181818*(0.3048)</f>
        <v>0.16098981818181812</v>
      </c>
      <c r="AF8247" s="388">
        <f t="shared" si="61"/>
        <v>0.70169666111999984</v>
      </c>
      <c r="AG8247" s="388">
        <f>1.90858797828677*(0.3048)</f>
        <v>0.58173761578180749</v>
      </c>
      <c r="AH8247" s="391"/>
      <c r="AI8247" s="397"/>
      <c r="AJ8247" s="397"/>
      <c r="AK8247" s="392"/>
      <c r="AL8247" s="392"/>
      <c r="AM8247" s="392"/>
      <c r="AN8247" s="392"/>
      <c r="AO8247" s="392"/>
      <c r="AP8247" s="392"/>
      <c r="AQ8247" s="392"/>
      <c r="AR8247" s="392"/>
      <c r="AS8247" s="392"/>
      <c r="AT8247" s="392"/>
      <c r="AU8247" s="397"/>
      <c r="AV8247" s="397"/>
      <c r="AW8247" s="397"/>
      <c r="AX8247" s="397"/>
      <c r="AY8247" s="392"/>
      <c r="AZ8247" s="392"/>
      <c r="BA8247" s="392"/>
      <c r="BB8247" s="392"/>
      <c r="BC8247" s="392"/>
      <c r="BD8247" s="392"/>
      <c r="BE8247" s="392"/>
      <c r="BF8247" s="392"/>
      <c r="BG8247" s="392"/>
      <c r="BH8247" s="392"/>
      <c r="BI8247" s="397"/>
      <c r="BJ8247" s="397"/>
      <c r="BK8247" s="397"/>
      <c r="BL8247" s="397"/>
      <c r="BM8247" s="397"/>
      <c r="BN8247" s="397"/>
      <c r="BO8247" s="397"/>
      <c r="BP8247" s="397"/>
      <c r="BQ8247" s="397"/>
      <c r="BR8247" s="397"/>
      <c r="BS8247" s="397"/>
      <c r="BT8247" s="397"/>
      <c r="BU8247" s="397"/>
      <c r="BV8247" s="397"/>
      <c r="BW8247" s="397"/>
      <c r="BX8247" s="397"/>
      <c r="BY8247" s="397"/>
      <c r="BZ8247" s="397"/>
      <c r="CA8247" s="392"/>
      <c r="CB8247" s="392"/>
    </row>
    <row r="8248" spans="1:80" ht="15" x14ac:dyDescent="0.25">
      <c r="A8248" s="385"/>
      <c r="B8248" s="392"/>
      <c r="C8248" s="392"/>
      <c r="D8248" s="700"/>
      <c r="E8248" s="397"/>
      <c r="F8248" s="392"/>
      <c r="G8248" s="392"/>
      <c r="H8248" s="401"/>
      <c r="I8248" s="165">
        <v>10</v>
      </c>
      <c r="J8248" s="165">
        <v>120</v>
      </c>
      <c r="K8248" s="165">
        <v>1</v>
      </c>
      <c r="L8248" s="628"/>
      <c r="M8248" s="628"/>
      <c r="N8248" s="388">
        <f>13.35*(0.028317)</f>
        <v>0.37803194999999995</v>
      </c>
      <c r="O8248" s="389">
        <v>7.9600000000000005E-4</v>
      </c>
      <c r="P8248" s="413"/>
      <c r="Q8248" s="413"/>
      <c r="R8248" s="413"/>
      <c r="S8248" s="413">
        <v>3.9845376152245017E-2</v>
      </c>
      <c r="T8248" s="413">
        <v>0.20190306274159975</v>
      </c>
      <c r="U8248" s="413">
        <v>0.31757359500446025</v>
      </c>
      <c r="V8248" s="504">
        <v>0.3021112102289622</v>
      </c>
      <c r="W8248" s="504">
        <v>9.6937258400237869E-2</v>
      </c>
      <c r="X8248" s="504">
        <v>3.2411537317870949E-2</v>
      </c>
      <c r="Y8248" s="504">
        <v>9.2179601546238474E-3</v>
      </c>
      <c r="Z8248" s="388">
        <v>12</v>
      </c>
      <c r="AA8248" s="388"/>
      <c r="AB8248" s="391"/>
      <c r="AC8248" s="392"/>
      <c r="AD8248" s="388">
        <f>14.21*(0.3048)</f>
        <v>4.3312080000000002</v>
      </c>
      <c r="AE8248" s="388">
        <f>0.53082336382829*(0.3048)</f>
        <v>0.16179496129486279</v>
      </c>
      <c r="AF8248" s="388">
        <f t="shared" si="61"/>
        <v>0.70076763072000015</v>
      </c>
      <c r="AG8248" s="388">
        <f>1.76963940076892*(0.3048)</f>
        <v>0.53938608935436683</v>
      </c>
      <c r="AH8248" s="391"/>
      <c r="AI8248" s="397"/>
      <c r="AJ8248" s="397"/>
      <c r="AK8248" s="392"/>
      <c r="AL8248" s="392"/>
      <c r="AM8248" s="392"/>
      <c r="AN8248" s="392"/>
      <c r="AO8248" s="392"/>
      <c r="AP8248" s="392"/>
      <c r="AQ8248" s="392"/>
      <c r="AR8248" s="392"/>
      <c r="AS8248" s="392"/>
      <c r="AT8248" s="392"/>
      <c r="AU8248" s="397"/>
      <c r="AV8248" s="397"/>
      <c r="AW8248" s="397"/>
      <c r="AX8248" s="397"/>
      <c r="AY8248" s="392"/>
      <c r="AZ8248" s="392"/>
      <c r="BA8248" s="392"/>
      <c r="BB8248" s="392"/>
      <c r="BC8248" s="392"/>
      <c r="BD8248" s="392"/>
      <c r="BE8248" s="392"/>
      <c r="BF8248" s="392"/>
      <c r="BG8248" s="392"/>
      <c r="BH8248" s="392"/>
      <c r="BI8248" s="397"/>
      <c r="BJ8248" s="397"/>
      <c r="BK8248" s="397"/>
      <c r="BL8248" s="397"/>
      <c r="BM8248" s="397"/>
      <c r="BN8248" s="397"/>
      <c r="BO8248" s="397"/>
      <c r="BP8248" s="397"/>
      <c r="BQ8248" s="397"/>
      <c r="BR8248" s="397"/>
      <c r="BS8248" s="397"/>
      <c r="BT8248" s="397"/>
      <c r="BU8248" s="397"/>
      <c r="BV8248" s="397"/>
      <c r="BW8248" s="397"/>
      <c r="BX8248" s="397"/>
      <c r="BY8248" s="397"/>
      <c r="BZ8248" s="397"/>
      <c r="CA8248" s="392"/>
      <c r="CB8248" s="392"/>
    </row>
    <row r="8249" spans="1:80" ht="15" x14ac:dyDescent="0.25">
      <c r="A8249" s="385"/>
      <c r="B8249" s="392"/>
      <c r="C8249" s="392"/>
      <c r="D8249" s="700"/>
      <c r="E8249" s="397"/>
      <c r="F8249" s="392"/>
      <c r="G8249" s="392"/>
      <c r="H8249" s="401"/>
      <c r="I8249" s="165">
        <v>10</v>
      </c>
      <c r="J8249" s="165">
        <v>120</v>
      </c>
      <c r="K8249" s="165">
        <v>1</v>
      </c>
      <c r="L8249" s="628"/>
      <c r="M8249" s="628"/>
      <c r="N8249" s="388">
        <f>11.26*(0.028317)</f>
        <v>0.31884941999999999</v>
      </c>
      <c r="O8249" s="389">
        <v>9.4499999999999998E-4</v>
      </c>
      <c r="P8249" s="413"/>
      <c r="Q8249" s="413"/>
      <c r="R8249" s="413"/>
      <c r="S8249" s="413">
        <v>1.6069221260815825E-2</v>
      </c>
      <c r="T8249" s="413">
        <v>5.1668726823238566E-2</v>
      </c>
      <c r="U8249" s="413">
        <v>0.22867737948084058</v>
      </c>
      <c r="V8249" s="504">
        <v>0.36390605686032146</v>
      </c>
      <c r="W8249" s="504">
        <v>0.24375772558714465</v>
      </c>
      <c r="X8249" s="504">
        <v>5.9579728059332517E-2</v>
      </c>
      <c r="Y8249" s="504">
        <v>3.6341161928306553E-2</v>
      </c>
      <c r="Z8249" s="388">
        <v>8</v>
      </c>
      <c r="AA8249" s="388"/>
      <c r="AB8249" s="391"/>
      <c r="AC8249" s="392"/>
      <c r="AD8249" s="388">
        <f>14*(0.3048)</f>
        <v>4.2671999999999999</v>
      </c>
      <c r="AE8249" s="388">
        <f>0.501607142857143*(0.3048)</f>
        <v>0.15288985714285722</v>
      </c>
      <c r="AF8249" s="388">
        <f t="shared" si="61"/>
        <v>0.65241159840000029</v>
      </c>
      <c r="AG8249" s="388">
        <f>1.60369526521894*(0.3048)</f>
        <v>0.48880631683873293</v>
      </c>
      <c r="AH8249" s="391"/>
      <c r="AI8249" s="397"/>
      <c r="AJ8249" s="397"/>
      <c r="AK8249" s="392"/>
      <c r="AL8249" s="392"/>
      <c r="AM8249" s="392"/>
      <c r="AN8249" s="392"/>
      <c r="AO8249" s="392"/>
      <c r="AP8249" s="392"/>
      <c r="AQ8249" s="392"/>
      <c r="AR8249" s="392"/>
      <c r="AS8249" s="392"/>
      <c r="AT8249" s="392"/>
      <c r="AU8249" s="397"/>
      <c r="AV8249" s="397"/>
      <c r="AW8249" s="397"/>
      <c r="AX8249" s="397"/>
      <c r="AY8249" s="392"/>
      <c r="AZ8249" s="392"/>
      <c r="BA8249" s="392"/>
      <c r="BB8249" s="392"/>
      <c r="BC8249" s="392"/>
      <c r="BD8249" s="392"/>
      <c r="BE8249" s="392"/>
      <c r="BF8249" s="392"/>
      <c r="BG8249" s="392"/>
      <c r="BH8249" s="392"/>
      <c r="BI8249" s="397"/>
      <c r="BJ8249" s="397"/>
      <c r="BK8249" s="397"/>
      <c r="BL8249" s="397"/>
      <c r="BM8249" s="397"/>
      <c r="BN8249" s="397"/>
      <c r="BO8249" s="397"/>
      <c r="BP8249" s="397"/>
      <c r="BQ8249" s="397"/>
      <c r="BR8249" s="397"/>
      <c r="BS8249" s="397"/>
      <c r="BT8249" s="397"/>
      <c r="BU8249" s="397"/>
      <c r="BV8249" s="397"/>
      <c r="BW8249" s="397"/>
      <c r="BX8249" s="397"/>
      <c r="BY8249" s="397"/>
      <c r="BZ8249" s="397"/>
      <c r="CA8249" s="392"/>
      <c r="CB8249" s="392"/>
    </row>
    <row r="8250" spans="1:80" ht="15" x14ac:dyDescent="0.25">
      <c r="A8250" s="385"/>
      <c r="B8250" s="392"/>
      <c r="C8250" s="392"/>
      <c r="D8250" s="700"/>
      <c r="E8250" s="397"/>
      <c r="F8250" s="392"/>
      <c r="G8250" s="392"/>
      <c r="H8250" s="401"/>
      <c r="I8250" s="165">
        <v>10</v>
      </c>
      <c r="J8250" s="165">
        <v>120</v>
      </c>
      <c r="K8250" s="165">
        <v>1</v>
      </c>
      <c r="L8250" s="628"/>
      <c r="M8250" s="628"/>
      <c r="N8250" s="388">
        <f>12.37*(0.028317)</f>
        <v>0.35028128999999997</v>
      </c>
      <c r="O8250" s="389">
        <v>7.8299999999999995E-4</v>
      </c>
      <c r="P8250" s="413"/>
      <c r="Q8250" s="413"/>
      <c r="R8250" s="413"/>
      <c r="S8250" s="413"/>
      <c r="T8250" s="413">
        <v>0.14678344910903052</v>
      </c>
      <c r="U8250" s="413">
        <v>0.15644820295983086</v>
      </c>
      <c r="V8250" s="504">
        <v>0.24101479915433405</v>
      </c>
      <c r="W8250" s="504">
        <v>0.25762609483539717</v>
      </c>
      <c r="X8250" s="504">
        <v>8.5472666868015704E-2</v>
      </c>
      <c r="Y8250" s="504">
        <v>0.11265478707339173</v>
      </c>
      <c r="Z8250" s="388">
        <v>7</v>
      </c>
      <c r="AA8250" s="388"/>
      <c r="AB8250" s="391"/>
      <c r="AC8250" s="392"/>
      <c r="AD8250" s="388">
        <f>14.2*(0.3048)</f>
        <v>4.3281599999999996</v>
      </c>
      <c r="AE8250" s="388">
        <f>0.573943661971831*(0.3048)</f>
        <v>0.1749380281690141</v>
      </c>
      <c r="AF8250" s="388">
        <f t="shared" si="61"/>
        <v>0.75715977599999995</v>
      </c>
      <c r="AG8250" s="388">
        <f>1.51833128834356*(0.3048)</f>
        <v>0.46278737668711711</v>
      </c>
      <c r="AH8250" s="391"/>
      <c r="AI8250" s="397"/>
      <c r="AJ8250" s="397"/>
      <c r="AK8250" s="392"/>
      <c r="AL8250" s="392"/>
      <c r="AM8250" s="392"/>
      <c r="AN8250" s="392"/>
      <c r="AO8250" s="392"/>
      <c r="AP8250" s="392"/>
      <c r="AQ8250" s="392"/>
      <c r="AR8250" s="392"/>
      <c r="AS8250" s="392"/>
      <c r="AT8250" s="392"/>
      <c r="AU8250" s="397"/>
      <c r="AV8250" s="397"/>
      <c r="AW8250" s="397"/>
      <c r="AX8250" s="397"/>
      <c r="AY8250" s="392"/>
      <c r="AZ8250" s="392"/>
      <c r="BA8250" s="392"/>
      <c r="BB8250" s="392"/>
      <c r="BC8250" s="392"/>
      <c r="BD8250" s="392"/>
      <c r="BE8250" s="392"/>
      <c r="BF8250" s="392"/>
      <c r="BG8250" s="392"/>
      <c r="BH8250" s="392"/>
      <c r="BI8250" s="397"/>
      <c r="BJ8250" s="397"/>
      <c r="BK8250" s="397"/>
      <c r="BL8250" s="397"/>
      <c r="BM8250" s="397"/>
      <c r="BN8250" s="397"/>
      <c r="BO8250" s="397"/>
      <c r="BP8250" s="397"/>
      <c r="BQ8250" s="397"/>
      <c r="BR8250" s="397"/>
      <c r="BS8250" s="397"/>
      <c r="BT8250" s="397"/>
      <c r="BU8250" s="397"/>
      <c r="BV8250" s="397"/>
      <c r="BW8250" s="397"/>
      <c r="BX8250" s="397"/>
      <c r="BY8250" s="397"/>
      <c r="BZ8250" s="397"/>
      <c r="CA8250" s="392"/>
      <c r="CB8250" s="392"/>
    </row>
    <row r="8251" spans="1:80" ht="15" x14ac:dyDescent="0.25">
      <c r="A8251" s="385"/>
      <c r="B8251" s="392"/>
      <c r="C8251" s="392"/>
      <c r="D8251" s="700"/>
      <c r="E8251" s="397"/>
      <c r="F8251" s="392"/>
      <c r="G8251" s="392"/>
      <c r="H8251" s="401"/>
      <c r="I8251" s="165">
        <v>10</v>
      </c>
      <c r="J8251" s="165">
        <v>120</v>
      </c>
      <c r="K8251" s="165">
        <v>1</v>
      </c>
      <c r="L8251" s="628"/>
      <c r="M8251" s="628"/>
      <c r="N8251" s="388">
        <f>13.31*(0.028317)</f>
        <v>0.37689927000000001</v>
      </c>
      <c r="O8251" s="389">
        <v>3.7199999999999999E-4</v>
      </c>
      <c r="P8251" s="413"/>
      <c r="Q8251" s="413"/>
      <c r="R8251" s="413"/>
      <c r="S8251" s="413">
        <v>0.13018134715025903</v>
      </c>
      <c r="T8251" s="413">
        <v>0.15479274611398963</v>
      </c>
      <c r="U8251" s="413">
        <v>0.14443005181347149</v>
      </c>
      <c r="V8251" s="504">
        <v>0.15284974093264247</v>
      </c>
      <c r="W8251" s="504">
        <v>0.17616580310880828</v>
      </c>
      <c r="X8251" s="504">
        <v>7.2538860103626937E-2</v>
      </c>
      <c r="Y8251" s="504">
        <v>0.16904145077720206</v>
      </c>
      <c r="Z8251" s="388">
        <v>15</v>
      </c>
      <c r="AA8251" s="388"/>
      <c r="AB8251" s="391"/>
      <c r="AC8251" s="392"/>
      <c r="AD8251" s="388">
        <f>14.5*(0.3048)</f>
        <v>4.4196</v>
      </c>
      <c r="AE8251" s="388">
        <f>0.56*(0.3048)</f>
        <v>0.17068800000000003</v>
      </c>
      <c r="AF8251" s="388">
        <f t="shared" si="61"/>
        <v>0.75437268480000019</v>
      </c>
      <c r="AG8251" s="388">
        <f>1.63915024630542*(0.3048)</f>
        <v>0.49961299507389201</v>
      </c>
      <c r="AH8251" s="391"/>
      <c r="AI8251" s="397"/>
      <c r="AJ8251" s="397"/>
      <c r="AK8251" s="392"/>
      <c r="AL8251" s="392"/>
      <c r="AM8251" s="392"/>
      <c r="AN8251" s="392"/>
      <c r="AO8251" s="392"/>
      <c r="AP8251" s="392"/>
      <c r="AQ8251" s="392"/>
      <c r="AR8251" s="392"/>
      <c r="AS8251" s="392"/>
      <c r="AT8251" s="392"/>
      <c r="AU8251" s="397"/>
      <c r="AV8251" s="397"/>
      <c r="AW8251" s="397"/>
      <c r="AX8251" s="397"/>
      <c r="AY8251" s="392"/>
      <c r="AZ8251" s="392"/>
      <c r="BA8251" s="392"/>
      <c r="BB8251" s="392"/>
      <c r="BC8251" s="392"/>
      <c r="BD8251" s="392"/>
      <c r="BE8251" s="392"/>
      <c r="BF8251" s="392"/>
      <c r="BG8251" s="392"/>
      <c r="BH8251" s="392"/>
      <c r="BI8251" s="397"/>
      <c r="BJ8251" s="397"/>
      <c r="BK8251" s="397"/>
      <c r="BL8251" s="397"/>
      <c r="BM8251" s="397"/>
      <c r="BN8251" s="397"/>
      <c r="BO8251" s="397"/>
      <c r="BP8251" s="397"/>
      <c r="BQ8251" s="397"/>
      <c r="BR8251" s="397"/>
      <c r="BS8251" s="397"/>
      <c r="BT8251" s="397"/>
      <c r="BU8251" s="397"/>
      <c r="BV8251" s="397"/>
      <c r="BW8251" s="397"/>
      <c r="BX8251" s="397"/>
      <c r="BY8251" s="397"/>
      <c r="BZ8251" s="397"/>
      <c r="CA8251" s="392"/>
      <c r="CB8251" s="392"/>
    </row>
    <row r="8252" spans="1:80" ht="15" x14ac:dyDescent="0.25">
      <c r="A8252" s="385"/>
      <c r="B8252" s="392"/>
      <c r="C8252" s="392"/>
      <c r="D8252" s="700"/>
      <c r="E8252" s="397"/>
      <c r="F8252" s="392"/>
      <c r="G8252" s="392"/>
      <c r="H8252" s="401"/>
      <c r="I8252" s="165">
        <v>10</v>
      </c>
      <c r="J8252" s="165">
        <v>120</v>
      </c>
      <c r="K8252" s="165">
        <v>1</v>
      </c>
      <c r="L8252" s="628"/>
      <c r="M8252" s="628"/>
      <c r="N8252" s="388">
        <f>12.32*(0.028317)</f>
        <v>0.34886543999999997</v>
      </c>
      <c r="O8252" s="389">
        <v>1.333E-3</v>
      </c>
      <c r="P8252" s="413"/>
      <c r="Q8252" s="413"/>
      <c r="R8252" s="413"/>
      <c r="S8252" s="413">
        <v>3.3907331794780754E-2</v>
      </c>
      <c r="T8252" s="413">
        <v>0.12231492987750754</v>
      </c>
      <c r="U8252" s="413">
        <v>0.30427835966625244</v>
      </c>
      <c r="V8252" s="504">
        <v>0.2941594177170247</v>
      </c>
      <c r="W8252" s="504">
        <v>0.17184448783951714</v>
      </c>
      <c r="X8252" s="504">
        <v>3.9233090715426952E-2</v>
      </c>
      <c r="Y8252" s="504">
        <v>3.4262382389490503E-2</v>
      </c>
      <c r="Z8252" s="388">
        <v>9</v>
      </c>
      <c r="AA8252" s="388"/>
      <c r="AB8252" s="391"/>
      <c r="AC8252" s="392"/>
      <c r="AD8252" s="388">
        <f>14.21*(0.3048)</f>
        <v>4.3312080000000002</v>
      </c>
      <c r="AE8252" s="388">
        <f>0.545566502463054*(0.3048)</f>
        <v>0.16628866995073888</v>
      </c>
      <c r="AF8252" s="388">
        <f t="shared" si="61"/>
        <v>0.72023081759999985</v>
      </c>
      <c r="AG8252" s="388">
        <f>1.58929377620123*(0.3048)</f>
        <v>0.48441674298613496</v>
      </c>
      <c r="AH8252" s="391"/>
      <c r="AI8252" s="397"/>
      <c r="AJ8252" s="397"/>
      <c r="AK8252" s="392"/>
      <c r="AL8252" s="392"/>
      <c r="AM8252" s="392"/>
      <c r="AN8252" s="392"/>
      <c r="AO8252" s="392"/>
      <c r="AP8252" s="392"/>
      <c r="AQ8252" s="392"/>
      <c r="AR8252" s="392"/>
      <c r="AS8252" s="392"/>
      <c r="AT8252" s="392"/>
      <c r="AU8252" s="397"/>
      <c r="AV8252" s="397"/>
      <c r="AW8252" s="397"/>
      <c r="AX8252" s="397"/>
      <c r="AY8252" s="392"/>
      <c r="AZ8252" s="392"/>
      <c r="BA8252" s="392"/>
      <c r="BB8252" s="392"/>
      <c r="BC8252" s="392"/>
      <c r="BD8252" s="392"/>
      <c r="BE8252" s="392"/>
      <c r="BF8252" s="392"/>
      <c r="BG8252" s="392"/>
      <c r="BH8252" s="392"/>
      <c r="BI8252" s="397"/>
      <c r="BJ8252" s="397"/>
      <c r="BK8252" s="397"/>
      <c r="BL8252" s="397"/>
      <c r="BM8252" s="397"/>
      <c r="BN8252" s="397"/>
      <c r="BO8252" s="397"/>
      <c r="BP8252" s="397"/>
      <c r="BQ8252" s="397"/>
      <c r="BR8252" s="397"/>
      <c r="BS8252" s="397"/>
      <c r="BT8252" s="397"/>
      <c r="BU8252" s="397"/>
      <c r="BV8252" s="397"/>
      <c r="BW8252" s="397"/>
      <c r="BX8252" s="397"/>
      <c r="BY8252" s="397"/>
      <c r="BZ8252" s="397"/>
      <c r="CA8252" s="392"/>
      <c r="CB8252" s="392"/>
    </row>
    <row r="8253" spans="1:80" ht="15" x14ac:dyDescent="0.25">
      <c r="A8253" s="385"/>
      <c r="B8253" s="392"/>
      <c r="C8253" s="392"/>
      <c r="D8253" s="700"/>
      <c r="E8253" s="397"/>
      <c r="F8253" s="392"/>
      <c r="G8253" s="392"/>
      <c r="H8253" s="401"/>
      <c r="I8253" s="165">
        <v>10</v>
      </c>
      <c r="J8253" s="165">
        <v>120</v>
      </c>
      <c r="K8253" s="165">
        <v>1</v>
      </c>
      <c r="L8253" s="628"/>
      <c r="M8253" s="628"/>
      <c r="N8253" s="388">
        <f>14.12*(0.028317)</f>
        <v>0.39983603999999995</v>
      </c>
      <c r="O8253" s="389">
        <v>1.5799999999999999E-4</v>
      </c>
      <c r="P8253" s="413"/>
      <c r="Q8253" s="413"/>
      <c r="R8253" s="413"/>
      <c r="S8253" s="413"/>
      <c r="T8253" s="413"/>
      <c r="U8253" s="413">
        <v>6.4914992272024727E-2</v>
      </c>
      <c r="V8253" s="504">
        <v>0.21329211746522411</v>
      </c>
      <c r="W8253" s="504">
        <v>0.36939721792890268</v>
      </c>
      <c r="X8253" s="504">
        <v>0.21020092735703247</v>
      </c>
      <c r="Y8253" s="504">
        <v>0.14219474497681608</v>
      </c>
      <c r="Z8253" s="388">
        <v>2</v>
      </c>
      <c r="AA8253" s="388"/>
      <c r="AB8253" s="391"/>
      <c r="AC8253" s="392"/>
      <c r="AD8253" s="388">
        <f>14.61*(0.3048)</f>
        <v>4.4531280000000004</v>
      </c>
      <c r="AE8253" s="388">
        <f>0.545482546201232*(0.3048)</f>
        <v>0.16626308008213553</v>
      </c>
      <c r="AF8253" s="388">
        <f t="shared" si="61"/>
        <v>0.74039077728000013</v>
      </c>
      <c r="AG8253" s="388">
        <f>1.7721268586486*(0.3048)</f>
        <v>0.54014426651609337</v>
      </c>
      <c r="AH8253" s="391"/>
      <c r="AI8253" s="397"/>
      <c r="AJ8253" s="397"/>
      <c r="AK8253" s="392"/>
      <c r="AL8253" s="392"/>
      <c r="AM8253" s="392"/>
      <c r="AN8253" s="392"/>
      <c r="AO8253" s="392"/>
      <c r="AP8253" s="392"/>
      <c r="AQ8253" s="392"/>
      <c r="AR8253" s="392"/>
      <c r="AS8253" s="392"/>
      <c r="AT8253" s="392"/>
      <c r="AU8253" s="397"/>
      <c r="AV8253" s="397"/>
      <c r="AW8253" s="397"/>
      <c r="AX8253" s="397"/>
      <c r="AY8253" s="392"/>
      <c r="AZ8253" s="392"/>
      <c r="BA8253" s="392"/>
      <c r="BB8253" s="392"/>
      <c r="BC8253" s="392"/>
      <c r="BD8253" s="392"/>
      <c r="BE8253" s="392"/>
      <c r="BF8253" s="392"/>
      <c r="BG8253" s="392"/>
      <c r="BH8253" s="392"/>
      <c r="BI8253" s="397"/>
      <c r="BJ8253" s="397"/>
      <c r="BK8253" s="397"/>
      <c r="BL8253" s="397"/>
      <c r="BM8253" s="397"/>
      <c r="BN8253" s="397"/>
      <c r="BO8253" s="397"/>
      <c r="BP8253" s="397"/>
      <c r="BQ8253" s="397"/>
      <c r="BR8253" s="397"/>
      <c r="BS8253" s="397"/>
      <c r="BT8253" s="397"/>
      <c r="BU8253" s="397"/>
      <c r="BV8253" s="397"/>
      <c r="BW8253" s="397"/>
      <c r="BX8253" s="397"/>
      <c r="BY8253" s="397"/>
      <c r="BZ8253" s="397"/>
      <c r="CA8253" s="392"/>
      <c r="CB8253" s="392"/>
    </row>
    <row r="8254" spans="1:80" ht="15" x14ac:dyDescent="0.25">
      <c r="A8254" s="385"/>
      <c r="B8254" s="392"/>
      <c r="C8254" s="392"/>
      <c r="D8254" s="700"/>
      <c r="E8254" s="397"/>
      <c r="F8254" s="392"/>
      <c r="G8254" s="392"/>
      <c r="H8254" s="401"/>
      <c r="I8254" s="165">
        <v>10</v>
      </c>
      <c r="J8254" s="165">
        <v>120</v>
      </c>
      <c r="K8254" s="165">
        <v>1</v>
      </c>
      <c r="L8254" s="628"/>
      <c r="M8254" s="628"/>
      <c r="N8254" s="388">
        <f>8.84*(0.028317)</f>
        <v>0.25032228000000001</v>
      </c>
      <c r="O8254" s="389">
        <v>2.5700000000000001E-4</v>
      </c>
      <c r="P8254" s="413"/>
      <c r="Q8254" s="413"/>
      <c r="R8254" s="413"/>
      <c r="S8254" s="413">
        <v>0.27470534904805077</v>
      </c>
      <c r="T8254" s="413">
        <v>6.2556663644605617E-2</v>
      </c>
      <c r="U8254" s="413">
        <v>0.13508612873980055</v>
      </c>
      <c r="V8254" s="504">
        <v>0.1514052583862194</v>
      </c>
      <c r="W8254" s="504">
        <v>0.20398912058023574</v>
      </c>
      <c r="X8254" s="504">
        <v>7.343608340888487E-2</v>
      </c>
      <c r="Y8254" s="504">
        <v>9.8821396192203093E-2</v>
      </c>
      <c r="Z8254" s="388">
        <v>11</v>
      </c>
      <c r="AA8254" s="388"/>
      <c r="AB8254" s="391"/>
      <c r="AC8254" s="392"/>
      <c r="AD8254" s="388">
        <f>14*(0.3048)</f>
        <v>4.2671999999999999</v>
      </c>
      <c r="AE8254" s="388">
        <f>0.526428571428571*(0.3048)</f>
        <v>0.16045542857142844</v>
      </c>
      <c r="AF8254" s="388">
        <f t="shared" si="61"/>
        <v>0.68469540479999946</v>
      </c>
      <c r="AG8254" s="388">
        <f>1.19966078697422*(0.3048)</f>
        <v>0.36565660786974225</v>
      </c>
      <c r="AH8254" s="391"/>
      <c r="AI8254" s="397"/>
      <c r="AJ8254" s="397"/>
      <c r="AK8254" s="392"/>
      <c r="AL8254" s="392"/>
      <c r="AM8254" s="392"/>
      <c r="AN8254" s="392"/>
      <c r="AO8254" s="392"/>
      <c r="AP8254" s="392"/>
      <c r="AQ8254" s="392"/>
      <c r="AR8254" s="392"/>
      <c r="AS8254" s="392"/>
      <c r="AT8254" s="392"/>
      <c r="AU8254" s="397"/>
      <c r="AV8254" s="397"/>
      <c r="AW8254" s="397"/>
      <c r="AX8254" s="397"/>
      <c r="AY8254" s="392"/>
      <c r="AZ8254" s="392"/>
      <c r="BA8254" s="392"/>
      <c r="BB8254" s="392"/>
      <c r="BC8254" s="392"/>
      <c r="BD8254" s="392"/>
      <c r="BE8254" s="392"/>
      <c r="BF8254" s="392"/>
      <c r="BG8254" s="392"/>
      <c r="BH8254" s="392"/>
      <c r="BI8254" s="397"/>
      <c r="BJ8254" s="397"/>
      <c r="BK8254" s="397"/>
      <c r="BL8254" s="397"/>
      <c r="BM8254" s="397"/>
      <c r="BN8254" s="397"/>
      <c r="BO8254" s="397"/>
      <c r="BP8254" s="397"/>
      <c r="BQ8254" s="397"/>
      <c r="BR8254" s="397"/>
      <c r="BS8254" s="397"/>
      <c r="BT8254" s="397"/>
      <c r="BU8254" s="397"/>
      <c r="BV8254" s="397"/>
      <c r="BW8254" s="397"/>
      <c r="BX8254" s="397"/>
      <c r="BY8254" s="397"/>
      <c r="BZ8254" s="397"/>
      <c r="CA8254" s="392"/>
      <c r="CB8254" s="392"/>
    </row>
    <row r="8255" spans="1:80" ht="15" x14ac:dyDescent="0.25">
      <c r="A8255" s="385"/>
      <c r="B8255" s="392"/>
      <c r="C8255" s="392"/>
      <c r="D8255" s="700"/>
      <c r="E8255" s="397"/>
      <c r="F8255" s="392"/>
      <c r="G8255" s="392"/>
      <c r="H8255" s="401"/>
      <c r="I8255" s="165">
        <v>10</v>
      </c>
      <c r="J8255" s="165">
        <v>120</v>
      </c>
      <c r="K8255" s="165">
        <v>1</v>
      </c>
      <c r="L8255" s="628"/>
      <c r="M8255" s="628"/>
      <c r="N8255" s="388">
        <f>10.17*(0.028317)</f>
        <v>0.28798388999999996</v>
      </c>
      <c r="O8255" s="389">
        <v>5.71E-4</v>
      </c>
      <c r="P8255" s="413"/>
      <c r="Q8255" s="413"/>
      <c r="R8255" s="413"/>
      <c r="S8255" s="413">
        <v>2.5535420098846785E-2</v>
      </c>
      <c r="T8255" s="413">
        <v>7.413509060955518E-3</v>
      </c>
      <c r="U8255" s="413">
        <v>3.2125205930807248E-2</v>
      </c>
      <c r="V8255" s="504">
        <v>0.20799011532125206</v>
      </c>
      <c r="W8255" s="504">
        <v>0.45387149917627673</v>
      </c>
      <c r="X8255" s="504">
        <v>0.16598023064250411</v>
      </c>
      <c r="Y8255" s="504">
        <v>0.1070840197693575</v>
      </c>
      <c r="Z8255" s="388">
        <v>8</v>
      </c>
      <c r="AA8255" s="388"/>
      <c r="AB8255" s="391"/>
      <c r="AC8255" s="392"/>
      <c r="AD8255" s="388">
        <f>14.11*(0.3048)</f>
        <v>4.3007280000000003</v>
      </c>
      <c r="AE8255" s="388">
        <f>0.509160170092133*(0.3048)</f>
        <v>0.15519201984408215</v>
      </c>
      <c r="AF8255" s="388">
        <f t="shared" si="61"/>
        <v>0.66743866511999983</v>
      </c>
      <c r="AG8255" s="388">
        <f>1.41544420085604*(0.3048)</f>
        <v>0.43142739242092099</v>
      </c>
      <c r="AH8255" s="391"/>
      <c r="AI8255" s="397"/>
      <c r="AJ8255" s="397"/>
      <c r="AK8255" s="392"/>
      <c r="AL8255" s="392"/>
      <c r="AM8255" s="392"/>
      <c r="AN8255" s="392"/>
      <c r="AO8255" s="392"/>
      <c r="AP8255" s="392"/>
      <c r="AQ8255" s="392"/>
      <c r="AR8255" s="392"/>
      <c r="AS8255" s="392"/>
      <c r="AT8255" s="392"/>
      <c r="AU8255" s="397"/>
      <c r="AV8255" s="397"/>
      <c r="AW8255" s="397"/>
      <c r="AX8255" s="397"/>
      <c r="AY8255" s="392"/>
      <c r="AZ8255" s="392"/>
      <c r="BA8255" s="392"/>
      <c r="BB8255" s="392"/>
      <c r="BC8255" s="392"/>
      <c r="BD8255" s="392"/>
      <c r="BE8255" s="392"/>
      <c r="BF8255" s="392"/>
      <c r="BG8255" s="392"/>
      <c r="BH8255" s="392"/>
      <c r="BI8255" s="397"/>
      <c r="BJ8255" s="397"/>
      <c r="BK8255" s="397"/>
      <c r="BL8255" s="397"/>
      <c r="BM8255" s="397"/>
      <c r="BN8255" s="397"/>
      <c r="BO8255" s="397"/>
      <c r="BP8255" s="397"/>
      <c r="BQ8255" s="397"/>
      <c r="BR8255" s="397"/>
      <c r="BS8255" s="397"/>
      <c r="BT8255" s="397"/>
      <c r="BU8255" s="397"/>
      <c r="BV8255" s="397"/>
      <c r="BW8255" s="397"/>
      <c r="BX8255" s="397"/>
      <c r="BY8255" s="397"/>
      <c r="BZ8255" s="397"/>
      <c r="CA8255" s="392"/>
      <c r="CB8255" s="392"/>
    </row>
    <row r="8256" spans="1:80" ht="15" x14ac:dyDescent="0.25">
      <c r="A8256" s="385"/>
      <c r="B8256" s="392"/>
      <c r="C8256" s="392"/>
      <c r="D8256" s="700"/>
      <c r="E8256" s="397"/>
      <c r="F8256" s="392"/>
      <c r="G8256" s="392"/>
      <c r="H8256" s="401"/>
      <c r="I8256" s="165">
        <v>10</v>
      </c>
      <c r="J8256" s="165">
        <v>120</v>
      </c>
      <c r="K8256" s="165">
        <v>1</v>
      </c>
      <c r="L8256" s="628"/>
      <c r="M8256" s="628"/>
      <c r="N8256" s="388">
        <f>10.3*(0.028317)</f>
        <v>0.29166510000000001</v>
      </c>
      <c r="O8256" s="389">
        <v>1.2999999999999999E-4</v>
      </c>
      <c r="P8256" s="413"/>
      <c r="Q8256" s="413"/>
      <c r="R8256" s="413"/>
      <c r="S8256" s="413"/>
      <c r="T8256" s="413"/>
      <c r="U8256" s="413">
        <v>0.15722120658135283</v>
      </c>
      <c r="V8256" s="504">
        <v>0.25228519195612431</v>
      </c>
      <c r="W8256" s="504">
        <v>0.26873857404021939</v>
      </c>
      <c r="X8256" s="504">
        <v>0.10786106032906764</v>
      </c>
      <c r="Y8256" s="504">
        <v>0.21389396709323583</v>
      </c>
      <c r="Z8256" s="388">
        <v>3</v>
      </c>
      <c r="AA8256" s="388"/>
      <c r="AB8256" s="391"/>
      <c r="AC8256" s="392"/>
      <c r="AD8256" s="388">
        <f>14.21*(0.3048)</f>
        <v>4.3312080000000002</v>
      </c>
      <c r="AE8256" s="388">
        <f>0.518824771287826*(0.3048)</f>
        <v>0.15813779028852937</v>
      </c>
      <c r="AF8256" s="388">
        <f t="shared" si="61"/>
        <v>0.68492766240000069</v>
      </c>
      <c r="AG8256" s="388">
        <f>1.39672770430654*(0.3048)</f>
        <v>0.42572260427263342</v>
      </c>
      <c r="AH8256" s="391"/>
      <c r="AI8256" s="397"/>
      <c r="AJ8256" s="397"/>
      <c r="AK8256" s="392"/>
      <c r="AL8256" s="392"/>
      <c r="AM8256" s="392"/>
      <c r="AN8256" s="392"/>
      <c r="AO8256" s="392"/>
      <c r="AP8256" s="392"/>
      <c r="AQ8256" s="392"/>
      <c r="AR8256" s="392"/>
      <c r="AS8256" s="392"/>
      <c r="AT8256" s="392"/>
      <c r="AU8256" s="397"/>
      <c r="AV8256" s="397"/>
      <c r="AW8256" s="397"/>
      <c r="AX8256" s="397"/>
      <c r="AY8256" s="392"/>
      <c r="AZ8256" s="392"/>
      <c r="BA8256" s="392"/>
      <c r="BB8256" s="392"/>
      <c r="BC8256" s="392"/>
      <c r="BD8256" s="392"/>
      <c r="BE8256" s="392"/>
      <c r="BF8256" s="392"/>
      <c r="BG8256" s="392"/>
      <c r="BH8256" s="392"/>
      <c r="BI8256" s="397"/>
      <c r="BJ8256" s="397"/>
      <c r="BK8256" s="397"/>
      <c r="BL8256" s="397"/>
      <c r="BM8256" s="397"/>
      <c r="BN8256" s="397"/>
      <c r="BO8256" s="397"/>
      <c r="BP8256" s="397"/>
      <c r="BQ8256" s="397"/>
      <c r="BR8256" s="397"/>
      <c r="BS8256" s="397"/>
      <c r="BT8256" s="397"/>
      <c r="BU8256" s="397"/>
      <c r="BV8256" s="397"/>
      <c r="BW8256" s="397"/>
      <c r="BX8256" s="397"/>
      <c r="BY8256" s="397"/>
      <c r="BZ8256" s="397"/>
      <c r="CA8256" s="392"/>
      <c r="CB8256" s="392"/>
    </row>
    <row r="8257" spans="1:80" ht="15" x14ac:dyDescent="0.25">
      <c r="A8257" s="385"/>
      <c r="B8257" s="392"/>
      <c r="C8257" s="392"/>
      <c r="D8257" s="700"/>
      <c r="E8257" s="397"/>
      <c r="F8257" s="392"/>
      <c r="G8257" s="392"/>
      <c r="H8257" s="401"/>
      <c r="I8257" s="165">
        <v>10</v>
      </c>
      <c r="J8257" s="165">
        <v>120</v>
      </c>
      <c r="K8257" s="165">
        <v>1</v>
      </c>
      <c r="L8257" s="628"/>
      <c r="M8257" s="628"/>
      <c r="N8257" s="388">
        <f>10.08*(0.028317)</f>
        <v>0.28543535999999997</v>
      </c>
      <c r="O8257" s="389">
        <v>1.18E-4</v>
      </c>
      <c r="P8257" s="413"/>
      <c r="Q8257" s="413"/>
      <c r="R8257" s="413"/>
      <c r="S8257" s="413"/>
      <c r="T8257" s="413"/>
      <c r="U8257" s="413">
        <v>4.6464646464646459E-2</v>
      </c>
      <c r="V8257" s="504">
        <v>0.22626262626262625</v>
      </c>
      <c r="W8257" s="504">
        <v>0.29494949494949491</v>
      </c>
      <c r="X8257" s="504">
        <v>0.12121212121212119</v>
      </c>
      <c r="Y8257" s="504">
        <v>0.31111111111111106</v>
      </c>
      <c r="Z8257" s="388">
        <v>2</v>
      </c>
      <c r="AA8257" s="388"/>
      <c r="AB8257" s="391"/>
      <c r="AC8257" s="392"/>
      <c r="AD8257" s="388">
        <f>14.2*(0.3048)</f>
        <v>4.3281599999999996</v>
      </c>
      <c r="AE8257" s="388"/>
      <c r="AF8257" s="388"/>
      <c r="AG8257" s="388"/>
      <c r="AH8257" s="391"/>
      <c r="AI8257" s="397"/>
      <c r="AJ8257" s="397"/>
      <c r="AK8257" s="392"/>
      <c r="AL8257" s="392"/>
      <c r="AM8257" s="392"/>
      <c r="AN8257" s="392"/>
      <c r="AO8257" s="392"/>
      <c r="AP8257" s="392"/>
      <c r="AQ8257" s="392"/>
      <c r="AR8257" s="392"/>
      <c r="AS8257" s="392"/>
      <c r="AT8257" s="392"/>
      <c r="AU8257" s="397"/>
      <c r="AV8257" s="397"/>
      <c r="AW8257" s="397"/>
      <c r="AX8257" s="397"/>
      <c r="AY8257" s="392"/>
      <c r="AZ8257" s="392"/>
      <c r="BA8257" s="392"/>
      <c r="BB8257" s="392"/>
      <c r="BC8257" s="392"/>
      <c r="BD8257" s="392"/>
      <c r="BE8257" s="392"/>
      <c r="BF8257" s="392"/>
      <c r="BG8257" s="392"/>
      <c r="BH8257" s="392"/>
      <c r="BI8257" s="397"/>
      <c r="BJ8257" s="397"/>
      <c r="BK8257" s="397"/>
      <c r="BL8257" s="397"/>
      <c r="BM8257" s="397"/>
      <c r="BN8257" s="397"/>
      <c r="BO8257" s="397"/>
      <c r="BP8257" s="397"/>
      <c r="BQ8257" s="397"/>
      <c r="BR8257" s="397"/>
      <c r="BS8257" s="397"/>
      <c r="BT8257" s="397"/>
      <c r="BU8257" s="397"/>
      <c r="BV8257" s="397"/>
      <c r="BW8257" s="397"/>
      <c r="BX8257" s="397"/>
      <c r="BY8257" s="397"/>
      <c r="BZ8257" s="397"/>
      <c r="CA8257" s="392"/>
      <c r="CB8257" s="392"/>
    </row>
    <row r="8258" spans="1:80" ht="15" x14ac:dyDescent="0.25">
      <c r="A8258" s="385"/>
      <c r="B8258" s="392"/>
      <c r="C8258" s="392"/>
      <c r="D8258" s="700"/>
      <c r="E8258" s="397"/>
      <c r="F8258" s="392"/>
      <c r="G8258" s="392"/>
      <c r="H8258" s="401"/>
      <c r="I8258" s="165">
        <v>10</v>
      </c>
      <c r="J8258" s="165">
        <v>120</v>
      </c>
      <c r="K8258" s="165">
        <v>1</v>
      </c>
      <c r="L8258" s="628"/>
      <c r="M8258" s="628"/>
      <c r="N8258" s="388">
        <f>6.59*(0.028317)</f>
        <v>0.18660902999999998</v>
      </c>
      <c r="O8258" s="389">
        <v>5.5999999999999999E-5</v>
      </c>
      <c r="P8258" s="413"/>
      <c r="Q8258" s="413"/>
      <c r="R8258" s="413"/>
      <c r="S8258" s="413"/>
      <c r="T8258" s="413"/>
      <c r="U8258" s="413">
        <v>9.9173553719008267E-2</v>
      </c>
      <c r="V8258" s="504">
        <v>0.26033057851239672</v>
      </c>
      <c r="W8258" s="504">
        <v>0.36776859504132231</v>
      </c>
      <c r="X8258" s="504">
        <v>0.2024793388429752</v>
      </c>
      <c r="Y8258" s="504">
        <v>7.0247933884297523E-2</v>
      </c>
      <c r="Z8258" s="388">
        <v>2</v>
      </c>
      <c r="AA8258" s="388"/>
      <c r="AB8258" s="391"/>
      <c r="AC8258" s="392"/>
      <c r="AD8258" s="388">
        <f>13.9*(0.3048)</f>
        <v>4.23672</v>
      </c>
      <c r="AE8258" s="388">
        <f>0.465107913669065*(0.3048)</f>
        <v>0.14176489208633103</v>
      </c>
      <c r="AF8258" s="388">
        <f t="shared" si="61"/>
        <v>0.60061815360000037</v>
      </c>
      <c r="AG8258" s="388">
        <f>1.01957463263728*(0.3048)</f>
        <v>0.31076634802784298</v>
      </c>
      <c r="AH8258" s="391"/>
      <c r="AI8258" s="397"/>
      <c r="AJ8258" s="397"/>
      <c r="AK8258" s="392"/>
      <c r="AL8258" s="392"/>
      <c r="AM8258" s="392"/>
      <c r="AN8258" s="392"/>
      <c r="AO8258" s="392"/>
      <c r="AP8258" s="392"/>
      <c r="AQ8258" s="392"/>
      <c r="AR8258" s="392"/>
      <c r="AS8258" s="392"/>
      <c r="AT8258" s="392"/>
      <c r="AU8258" s="397"/>
      <c r="AV8258" s="397"/>
      <c r="AW8258" s="397"/>
      <c r="AX8258" s="397"/>
      <c r="AY8258" s="392"/>
      <c r="AZ8258" s="392"/>
      <c r="BA8258" s="392"/>
      <c r="BB8258" s="392"/>
      <c r="BC8258" s="392"/>
      <c r="BD8258" s="392"/>
      <c r="BE8258" s="392"/>
      <c r="BF8258" s="392"/>
      <c r="BG8258" s="392"/>
      <c r="BH8258" s="392"/>
      <c r="BI8258" s="397"/>
      <c r="BJ8258" s="397"/>
      <c r="BK8258" s="397"/>
      <c r="BL8258" s="397"/>
      <c r="BM8258" s="397"/>
      <c r="BN8258" s="397"/>
      <c r="BO8258" s="397"/>
      <c r="BP8258" s="397"/>
      <c r="BQ8258" s="397"/>
      <c r="BR8258" s="397"/>
      <c r="BS8258" s="397"/>
      <c r="BT8258" s="397"/>
      <c r="BU8258" s="397"/>
      <c r="BV8258" s="397"/>
      <c r="BW8258" s="397"/>
      <c r="BX8258" s="397"/>
      <c r="BY8258" s="397"/>
      <c r="BZ8258" s="397"/>
      <c r="CA8258" s="392"/>
      <c r="CB8258" s="392"/>
    </row>
    <row r="8259" spans="1:80" ht="15" x14ac:dyDescent="0.25">
      <c r="A8259" s="385"/>
      <c r="B8259" s="392"/>
      <c r="C8259" s="392"/>
      <c r="D8259" s="700"/>
      <c r="E8259" s="397"/>
      <c r="F8259" s="392"/>
      <c r="G8259" s="392"/>
      <c r="H8259" s="401"/>
      <c r="I8259" s="165">
        <v>10</v>
      </c>
      <c r="J8259" s="165">
        <v>120</v>
      </c>
      <c r="K8259" s="165">
        <v>1</v>
      </c>
      <c r="L8259" s="628"/>
      <c r="M8259" s="628"/>
      <c r="N8259" s="388">
        <f>5.87*(0.028317)</f>
        <v>0.16622079000000001</v>
      </c>
      <c r="O8259" s="389">
        <v>4.1E-5</v>
      </c>
      <c r="P8259" s="413"/>
      <c r="Q8259" s="413"/>
      <c r="R8259" s="413"/>
      <c r="S8259" s="413"/>
      <c r="T8259" s="413"/>
      <c r="U8259" s="413">
        <v>7.3863636363636354E-2</v>
      </c>
      <c r="V8259" s="504">
        <v>0.19318181818181818</v>
      </c>
      <c r="W8259" s="504">
        <v>0.36931818181818177</v>
      </c>
      <c r="X8259" s="504">
        <v>0.26136363636363635</v>
      </c>
      <c r="Y8259" s="504">
        <v>0.10227272727272725</v>
      </c>
      <c r="Z8259" s="388">
        <v>2</v>
      </c>
      <c r="AA8259" s="388"/>
      <c r="AB8259" s="391"/>
      <c r="AC8259" s="392"/>
      <c r="AD8259" s="388">
        <f>13.7*(0.3048)</f>
        <v>4.1757600000000004</v>
      </c>
      <c r="AE8259" s="388">
        <f>0.455839416058394*(0.3048)</f>
        <v>0.13893985401459849</v>
      </c>
      <c r="AF8259" s="388">
        <f t="shared" si="61"/>
        <v>0.58017948479999981</v>
      </c>
      <c r="AG8259" s="388">
        <f>0.939719775820656*(0.3048)</f>
        <v>0.28642658767013596</v>
      </c>
      <c r="AH8259" s="391"/>
      <c r="AI8259" s="397"/>
      <c r="AJ8259" s="397"/>
      <c r="AK8259" s="392"/>
      <c r="AL8259" s="392"/>
      <c r="AM8259" s="392"/>
      <c r="AN8259" s="392"/>
      <c r="AO8259" s="392"/>
      <c r="AP8259" s="392"/>
      <c r="AQ8259" s="392"/>
      <c r="AR8259" s="392"/>
      <c r="AS8259" s="392"/>
      <c r="AT8259" s="392"/>
      <c r="AU8259" s="397"/>
      <c r="AV8259" s="397"/>
      <c r="AW8259" s="397"/>
      <c r="AX8259" s="397"/>
      <c r="AY8259" s="392"/>
      <c r="AZ8259" s="392"/>
      <c r="BA8259" s="392"/>
      <c r="BB8259" s="392"/>
      <c r="BC8259" s="392"/>
      <c r="BD8259" s="392"/>
      <c r="BE8259" s="392"/>
      <c r="BF8259" s="392"/>
      <c r="BG8259" s="392"/>
      <c r="BH8259" s="392"/>
      <c r="BI8259" s="397"/>
      <c r="BJ8259" s="397"/>
      <c r="BK8259" s="397"/>
      <c r="BL8259" s="397"/>
      <c r="BM8259" s="397"/>
      <c r="BN8259" s="397"/>
      <c r="BO8259" s="397"/>
      <c r="BP8259" s="397"/>
      <c r="BQ8259" s="397"/>
      <c r="BR8259" s="397"/>
      <c r="BS8259" s="397"/>
      <c r="BT8259" s="397"/>
      <c r="BU8259" s="397"/>
      <c r="BV8259" s="397"/>
      <c r="BW8259" s="397"/>
      <c r="BX8259" s="397"/>
      <c r="BY8259" s="397"/>
      <c r="BZ8259" s="397"/>
      <c r="CA8259" s="392"/>
      <c r="CB8259" s="392"/>
    </row>
    <row r="8260" spans="1:80" ht="15" x14ac:dyDescent="0.25">
      <c r="A8260" s="385"/>
      <c r="B8260" s="392"/>
      <c r="C8260" s="392"/>
      <c r="D8260" s="700"/>
      <c r="E8260" s="397"/>
      <c r="F8260" s="392"/>
      <c r="G8260" s="392"/>
      <c r="H8260" s="401"/>
      <c r="I8260" s="165">
        <v>10</v>
      </c>
      <c r="J8260" s="165">
        <v>120</v>
      </c>
      <c r="K8260" s="165">
        <v>1</v>
      </c>
      <c r="L8260" s="628"/>
      <c r="M8260" s="628"/>
      <c r="N8260" s="388">
        <f>5.17*(0.028317)</f>
        <v>0.14639888999999998</v>
      </c>
      <c r="O8260" s="389">
        <v>5.1E-5</v>
      </c>
      <c r="P8260" s="413"/>
      <c r="Q8260" s="413"/>
      <c r="R8260" s="413"/>
      <c r="S8260" s="413"/>
      <c r="T8260" s="413"/>
      <c r="U8260" s="413">
        <v>1.2605042016806723E-2</v>
      </c>
      <c r="V8260" s="504">
        <v>7.5630252100840331E-2</v>
      </c>
      <c r="W8260" s="504">
        <v>0.32773109243697479</v>
      </c>
      <c r="X8260" s="504">
        <v>0.20168067226890757</v>
      </c>
      <c r="Y8260" s="504">
        <v>0.38235294117647062</v>
      </c>
      <c r="Z8260" s="388">
        <v>1</v>
      </c>
      <c r="AA8260" s="388"/>
      <c r="AB8260" s="391"/>
      <c r="AC8260" s="392"/>
      <c r="AD8260" s="388">
        <f>12.85*(0.3048)</f>
        <v>3.9166799999999999</v>
      </c>
      <c r="AE8260" s="388">
        <f>0.445525291828794*(0.3048)</f>
        <v>0.13579610894941643</v>
      </c>
      <c r="AF8260" s="388">
        <f t="shared" si="61"/>
        <v>0.53186990400000034</v>
      </c>
      <c r="AG8260" s="388">
        <f>0.902401746724891*(0.3048)</f>
        <v>0.27505205240174679</v>
      </c>
      <c r="AH8260" s="391"/>
      <c r="AI8260" s="397"/>
      <c r="AJ8260" s="397"/>
      <c r="AK8260" s="392"/>
      <c r="AL8260" s="392"/>
      <c r="AM8260" s="392"/>
      <c r="AN8260" s="392"/>
      <c r="AO8260" s="392"/>
      <c r="AP8260" s="392"/>
      <c r="AQ8260" s="392"/>
      <c r="AR8260" s="392"/>
      <c r="AS8260" s="392"/>
      <c r="AT8260" s="392"/>
      <c r="AU8260" s="397"/>
      <c r="AV8260" s="397"/>
      <c r="AW8260" s="397"/>
      <c r="AX8260" s="397"/>
      <c r="AY8260" s="392"/>
      <c r="AZ8260" s="392"/>
      <c r="BA8260" s="392"/>
      <c r="BB8260" s="392"/>
      <c r="BC8260" s="392"/>
      <c r="BD8260" s="392"/>
      <c r="BE8260" s="392"/>
      <c r="BF8260" s="392"/>
      <c r="BG8260" s="392"/>
      <c r="BH8260" s="392"/>
      <c r="BI8260" s="397"/>
      <c r="BJ8260" s="397"/>
      <c r="BK8260" s="397"/>
      <c r="BL8260" s="397"/>
      <c r="BM8260" s="397"/>
      <c r="BN8260" s="397"/>
      <c r="BO8260" s="397"/>
      <c r="BP8260" s="397"/>
      <c r="BQ8260" s="397"/>
      <c r="BR8260" s="397"/>
      <c r="BS8260" s="397"/>
      <c r="BT8260" s="397"/>
      <c r="BU8260" s="397"/>
      <c r="BV8260" s="397"/>
      <c r="BW8260" s="397"/>
      <c r="BX8260" s="397"/>
      <c r="BY8260" s="397"/>
      <c r="BZ8260" s="397"/>
      <c r="CA8260" s="392"/>
      <c r="CB8260" s="392"/>
    </row>
    <row r="8261" spans="1:80" ht="15" x14ac:dyDescent="0.25">
      <c r="A8261" s="385"/>
      <c r="B8261" s="392"/>
      <c r="C8261" s="392"/>
      <c r="D8261" s="700"/>
      <c r="E8261" s="397"/>
      <c r="F8261" s="392"/>
      <c r="G8261" s="392"/>
      <c r="H8261" s="401"/>
      <c r="I8261" s="165">
        <v>10</v>
      </c>
      <c r="J8261" s="165">
        <v>120</v>
      </c>
      <c r="K8261" s="165">
        <v>1</v>
      </c>
      <c r="L8261" s="628"/>
      <c r="M8261" s="628"/>
      <c r="N8261" s="388">
        <f>4.67*(0.028317)</f>
        <v>0.13224038999999999</v>
      </c>
      <c r="O8261" s="389">
        <v>3.3500000000000001E-4</v>
      </c>
      <c r="P8261" s="413"/>
      <c r="Q8261" s="413"/>
      <c r="R8261" s="413"/>
      <c r="S8261" s="413"/>
      <c r="T8261" s="413"/>
      <c r="U8261" s="413">
        <v>6.4683053040103505E-3</v>
      </c>
      <c r="V8261" s="504">
        <v>0.10219922380336353</v>
      </c>
      <c r="W8261" s="504">
        <v>0.34023285899094435</v>
      </c>
      <c r="X8261" s="504">
        <v>0.34734799482535578</v>
      </c>
      <c r="Y8261" s="504">
        <v>0.203751617076326</v>
      </c>
      <c r="Z8261" s="388">
        <v>2</v>
      </c>
      <c r="AA8261" s="388"/>
      <c r="AB8261" s="391"/>
      <c r="AC8261" s="392"/>
      <c r="AD8261" s="388">
        <f>12.95*(0.3048)</f>
        <v>3.9471599999999998</v>
      </c>
      <c r="AE8261" s="388">
        <f>0.399420849420849*(0.3048)</f>
        <v>0.12174347490347477</v>
      </c>
      <c r="AF8261" s="388">
        <f t="shared" si="61"/>
        <v>0.48054097439999943</v>
      </c>
      <c r="AG8261" s="388">
        <f>0.903620106331561*(0.3048)</f>
        <v>0.27542340840985979</v>
      </c>
      <c r="AH8261" s="391"/>
      <c r="AI8261" s="397"/>
      <c r="AJ8261" s="397"/>
      <c r="AK8261" s="392"/>
      <c r="AL8261" s="392"/>
      <c r="AM8261" s="392"/>
      <c r="AN8261" s="392"/>
      <c r="AO8261" s="392"/>
      <c r="AP8261" s="392"/>
      <c r="AQ8261" s="392"/>
      <c r="AR8261" s="392"/>
      <c r="AS8261" s="392"/>
      <c r="AT8261" s="392"/>
      <c r="AU8261" s="397"/>
      <c r="AV8261" s="397"/>
      <c r="AW8261" s="397"/>
      <c r="AX8261" s="397"/>
      <c r="AY8261" s="392"/>
      <c r="AZ8261" s="392"/>
      <c r="BA8261" s="392"/>
      <c r="BB8261" s="392"/>
      <c r="BC8261" s="392"/>
      <c r="BD8261" s="392"/>
      <c r="BE8261" s="392"/>
      <c r="BF8261" s="392"/>
      <c r="BG8261" s="392"/>
      <c r="BH8261" s="392"/>
      <c r="BI8261" s="397"/>
      <c r="BJ8261" s="397"/>
      <c r="BK8261" s="397"/>
      <c r="BL8261" s="397"/>
      <c r="BM8261" s="397"/>
      <c r="BN8261" s="397"/>
      <c r="BO8261" s="397"/>
      <c r="BP8261" s="397"/>
      <c r="BQ8261" s="397"/>
      <c r="BR8261" s="397"/>
      <c r="BS8261" s="397"/>
      <c r="BT8261" s="397"/>
      <c r="BU8261" s="397"/>
      <c r="BV8261" s="397"/>
      <c r="BW8261" s="397"/>
      <c r="BX8261" s="397"/>
      <c r="BY8261" s="397"/>
      <c r="BZ8261" s="397"/>
      <c r="CA8261" s="392"/>
      <c r="CB8261" s="392"/>
    </row>
    <row r="8262" spans="1:80" ht="15" x14ac:dyDescent="0.25">
      <c r="A8262" s="385"/>
      <c r="B8262" s="392"/>
      <c r="C8262" s="392"/>
      <c r="D8262" s="700"/>
      <c r="E8262" s="397"/>
      <c r="F8262" s="392"/>
      <c r="G8262" s="392"/>
      <c r="H8262" s="401"/>
      <c r="I8262" s="165">
        <v>10</v>
      </c>
      <c r="J8262" s="165">
        <v>120</v>
      </c>
      <c r="K8262" s="165">
        <v>1</v>
      </c>
      <c r="L8262" s="628"/>
      <c r="M8262" s="628"/>
      <c r="N8262" s="388">
        <f>2.81*(0.028317)</f>
        <v>7.9570769999999999E-2</v>
      </c>
      <c r="O8262" s="389">
        <v>2.3E-5</v>
      </c>
      <c r="P8262" s="413"/>
      <c r="Q8262" s="413"/>
      <c r="R8262" s="413"/>
      <c r="S8262" s="413"/>
      <c r="T8262" s="413"/>
      <c r="U8262" s="413"/>
      <c r="V8262" s="504">
        <v>0.13157894736842105</v>
      </c>
      <c r="W8262" s="504">
        <v>0.31578947368421056</v>
      </c>
      <c r="X8262" s="504">
        <v>0.18421052631578949</v>
      </c>
      <c r="Y8262" s="504">
        <v>0.36842105263157898</v>
      </c>
      <c r="Z8262" s="388">
        <v>1</v>
      </c>
      <c r="AA8262" s="388"/>
      <c r="AB8262" s="391"/>
      <c r="AC8262" s="392"/>
      <c r="AD8262" s="388">
        <f>12.65*(0.3048)</f>
        <v>3.8557200000000003</v>
      </c>
      <c r="AE8262" s="388">
        <f>0.401185770750988*(0.3048)</f>
        <v>0.12228142292490114</v>
      </c>
      <c r="AF8262" s="388">
        <f t="shared" si="61"/>
        <v>0.47148292799999986</v>
      </c>
      <c r="AG8262" s="388">
        <f>0.55448275862069*(0.3048)</f>
        <v>0.16900634482758631</v>
      </c>
      <c r="AH8262" s="391"/>
      <c r="AI8262" s="397"/>
      <c r="AJ8262" s="397"/>
      <c r="AK8262" s="392"/>
      <c r="AL8262" s="392"/>
      <c r="AM8262" s="392"/>
      <c r="AN8262" s="392"/>
      <c r="AO8262" s="392"/>
      <c r="AP8262" s="392"/>
      <c r="AQ8262" s="392"/>
      <c r="AR8262" s="392"/>
      <c r="AS8262" s="392"/>
      <c r="AT8262" s="392"/>
      <c r="AU8262" s="397"/>
      <c r="AV8262" s="397"/>
      <c r="AW8262" s="397"/>
      <c r="AX8262" s="397"/>
      <c r="AY8262" s="392"/>
      <c r="AZ8262" s="392"/>
      <c r="BA8262" s="392"/>
      <c r="BB8262" s="392"/>
      <c r="BC8262" s="392"/>
      <c r="BD8262" s="392"/>
      <c r="BE8262" s="392"/>
      <c r="BF8262" s="392"/>
      <c r="BG8262" s="392"/>
      <c r="BH8262" s="392"/>
      <c r="BI8262" s="397"/>
      <c r="BJ8262" s="397"/>
      <c r="BK8262" s="397"/>
      <c r="BL8262" s="397"/>
      <c r="BM8262" s="397"/>
      <c r="BN8262" s="397"/>
      <c r="BO8262" s="397"/>
      <c r="BP8262" s="397"/>
      <c r="BQ8262" s="397"/>
      <c r="BR8262" s="397"/>
      <c r="BS8262" s="397"/>
      <c r="BT8262" s="397"/>
      <c r="BU8262" s="397"/>
      <c r="BV8262" s="397"/>
      <c r="BW8262" s="397"/>
      <c r="BX8262" s="397"/>
      <c r="BY8262" s="397"/>
      <c r="BZ8262" s="397"/>
      <c r="CA8262" s="392"/>
      <c r="CB8262" s="392"/>
    </row>
    <row r="8263" spans="1:80" ht="15" x14ac:dyDescent="0.25">
      <c r="A8263" s="385"/>
      <c r="B8263" s="392"/>
      <c r="C8263" s="392"/>
      <c r="D8263" s="700"/>
      <c r="E8263" s="397"/>
      <c r="F8263" s="392"/>
      <c r="G8263" s="392"/>
      <c r="H8263" s="401"/>
      <c r="I8263" s="165">
        <v>10</v>
      </c>
      <c r="J8263" s="165">
        <v>120</v>
      </c>
      <c r="K8263" s="165">
        <v>1</v>
      </c>
      <c r="L8263" s="574"/>
      <c r="M8263" s="574"/>
      <c r="N8263" s="388">
        <f>3.72*(0.028317)</f>
        <v>0.10533924</v>
      </c>
      <c r="O8263" s="389">
        <v>4.55E-4</v>
      </c>
      <c r="P8263" s="413"/>
      <c r="Q8263" s="413"/>
      <c r="R8263" s="413"/>
      <c r="S8263" s="413"/>
      <c r="T8263" s="413"/>
      <c r="U8263" s="413">
        <v>2.3444544634806136E-2</v>
      </c>
      <c r="V8263" s="504">
        <v>0.36203787195671777</v>
      </c>
      <c r="W8263" s="504">
        <v>0.41794409377817859</v>
      </c>
      <c r="X8263" s="504">
        <v>9.3327321911632108E-2</v>
      </c>
      <c r="Y8263" s="504">
        <v>0.10324616771866549</v>
      </c>
      <c r="Z8263" s="388">
        <v>3</v>
      </c>
      <c r="AA8263" s="388"/>
      <c r="AB8263" s="391"/>
      <c r="AC8263" s="392"/>
      <c r="AD8263" s="388">
        <f>12.3*(0.3048)</f>
        <v>3.7490400000000004</v>
      </c>
      <c r="AE8263" s="388">
        <f>0.409349593495935*(0.3048)</f>
        <v>0.124769756097561</v>
      </c>
      <c r="AF8263" s="388">
        <f t="shared" si="61"/>
        <v>0.46776680640000012</v>
      </c>
      <c r="AG8263" s="388">
        <f>0.738440913604767*(0.3048)</f>
        <v>0.22507679046673301</v>
      </c>
      <c r="AH8263" s="391"/>
      <c r="AI8263" s="397"/>
      <c r="AJ8263" s="397"/>
      <c r="AK8263" s="392"/>
      <c r="AL8263" s="392"/>
      <c r="AM8263" s="392"/>
      <c r="AN8263" s="392"/>
      <c r="AO8263" s="392"/>
      <c r="AP8263" s="392"/>
      <c r="AQ8263" s="392"/>
      <c r="AR8263" s="392"/>
      <c r="AS8263" s="392"/>
      <c r="AT8263" s="392"/>
      <c r="AU8263" s="397"/>
      <c r="AV8263" s="397"/>
      <c r="AW8263" s="397"/>
      <c r="AX8263" s="397"/>
      <c r="AY8263" s="392"/>
      <c r="AZ8263" s="392"/>
      <c r="BA8263" s="392"/>
      <c r="BB8263" s="392"/>
      <c r="BC8263" s="392"/>
      <c r="BD8263" s="392"/>
      <c r="BE8263" s="392"/>
      <c r="BF8263" s="392"/>
      <c r="BG8263" s="392"/>
      <c r="BH8263" s="392"/>
      <c r="BI8263" s="397"/>
      <c r="BJ8263" s="397"/>
      <c r="BK8263" s="397"/>
      <c r="BL8263" s="397"/>
      <c r="BM8263" s="397"/>
      <c r="BN8263" s="397"/>
      <c r="BO8263" s="397"/>
      <c r="BP8263" s="397"/>
      <c r="BQ8263" s="397"/>
      <c r="BR8263" s="397"/>
      <c r="BS8263" s="397"/>
      <c r="BT8263" s="397"/>
      <c r="BU8263" s="397"/>
      <c r="BV8263" s="397"/>
      <c r="BW8263" s="397"/>
      <c r="BX8263" s="397"/>
      <c r="BY8263" s="397"/>
      <c r="BZ8263" s="397"/>
      <c r="CA8263" s="392"/>
      <c r="CB8263" s="392"/>
    </row>
    <row r="8264" spans="1:80" ht="15" x14ac:dyDescent="0.25">
      <c r="A8264" s="385"/>
      <c r="B8264" s="392"/>
      <c r="C8264" s="392"/>
      <c r="D8264" s="700"/>
      <c r="E8264" s="397"/>
      <c r="F8264" s="392"/>
      <c r="G8264" s="392"/>
      <c r="H8264" s="401"/>
      <c r="I8264" s="165">
        <v>10</v>
      </c>
      <c r="J8264" s="165">
        <v>120</v>
      </c>
      <c r="K8264" s="165">
        <v>1</v>
      </c>
      <c r="L8264" s="628"/>
      <c r="M8264" s="628"/>
      <c r="N8264" s="388">
        <f>2.17*(0.028317)</f>
        <v>6.1447889999999991E-2</v>
      </c>
      <c r="O8264" s="389">
        <v>6.6699999999999995E-4</v>
      </c>
      <c r="P8264" s="413"/>
      <c r="Q8264" s="413"/>
      <c r="R8264" s="413"/>
      <c r="S8264" s="413"/>
      <c r="T8264" s="413"/>
      <c r="U8264" s="413">
        <v>1.3469985358711568E-2</v>
      </c>
      <c r="V8264" s="504">
        <v>0.96632503660322111</v>
      </c>
      <c r="W8264" s="504">
        <v>8.4919472913616394E-3</v>
      </c>
      <c r="X8264" s="504">
        <v>3.8067349926793562E-3</v>
      </c>
      <c r="Y8264" s="504">
        <v>7.9062957540263559E-3</v>
      </c>
      <c r="Z8264" s="388">
        <v>2</v>
      </c>
      <c r="AA8264" s="388"/>
      <c r="AB8264" s="391"/>
      <c r="AC8264" s="392"/>
      <c r="AD8264" s="388">
        <f>11.7*(0.3048)</f>
        <v>3.56616</v>
      </c>
      <c r="AE8264" s="388">
        <f>0.339380341880342*(0.3048)</f>
        <v>0.10344312820512824</v>
      </c>
      <c r="AF8264" s="388">
        <f t="shared" si="61"/>
        <v>0.36889474608000011</v>
      </c>
      <c r="AG8264" s="388">
        <f>0.545864131461311*(0.3048)</f>
        <v>0.1663793872694076</v>
      </c>
      <c r="AH8264" s="391"/>
      <c r="AI8264" s="397"/>
      <c r="AJ8264" s="397"/>
      <c r="AK8264" s="392"/>
      <c r="AL8264" s="392"/>
      <c r="AM8264" s="392"/>
      <c r="AN8264" s="392"/>
      <c r="AO8264" s="392"/>
      <c r="AP8264" s="392"/>
      <c r="AQ8264" s="392"/>
      <c r="AR8264" s="392"/>
      <c r="AS8264" s="392"/>
      <c r="AT8264" s="392"/>
      <c r="AU8264" s="397"/>
      <c r="AV8264" s="397"/>
      <c r="AW8264" s="397"/>
      <c r="AX8264" s="397"/>
      <c r="AY8264" s="392"/>
      <c r="AZ8264" s="392"/>
      <c r="BA8264" s="392"/>
      <c r="BB8264" s="392"/>
      <c r="BC8264" s="392"/>
      <c r="BD8264" s="392"/>
      <c r="BE8264" s="392"/>
      <c r="BF8264" s="392"/>
      <c r="BG8264" s="392"/>
      <c r="BH8264" s="392"/>
      <c r="BI8264" s="397"/>
      <c r="BJ8264" s="397"/>
      <c r="BK8264" s="397"/>
      <c r="BL8264" s="397"/>
      <c r="BM8264" s="397"/>
      <c r="BN8264" s="397"/>
      <c r="BO8264" s="397"/>
      <c r="BP8264" s="397"/>
      <c r="BQ8264" s="397"/>
      <c r="BR8264" s="397"/>
      <c r="BS8264" s="397"/>
      <c r="BT8264" s="397"/>
      <c r="BU8264" s="397"/>
      <c r="BV8264" s="397"/>
      <c r="BW8264" s="397"/>
      <c r="BX8264" s="397"/>
      <c r="BY8264" s="397"/>
      <c r="BZ8264" s="397"/>
      <c r="CA8264" s="392"/>
      <c r="CB8264" s="392"/>
    </row>
    <row r="8265" spans="1:80" ht="15" x14ac:dyDescent="0.25">
      <c r="A8265" s="385"/>
      <c r="B8265" s="392"/>
      <c r="C8265" s="392"/>
      <c r="D8265" s="700"/>
      <c r="E8265" s="397"/>
      <c r="F8265" s="392"/>
      <c r="G8265" s="392"/>
      <c r="H8265" s="401"/>
      <c r="I8265" s="165">
        <v>10</v>
      </c>
      <c r="J8265" s="165">
        <v>120</v>
      </c>
      <c r="K8265" s="165">
        <v>1</v>
      </c>
      <c r="L8265" s="628"/>
      <c r="M8265" s="628"/>
      <c r="N8265" s="388">
        <f>2.09*(0.028317)</f>
        <v>5.918252999999999E-2</v>
      </c>
      <c r="O8265" s="389">
        <v>1.5999999999999999E-5</v>
      </c>
      <c r="P8265" s="413"/>
      <c r="Q8265" s="413"/>
      <c r="R8265" s="413"/>
      <c r="S8265" s="413"/>
      <c r="T8265" s="413">
        <v>0.56521739130434778</v>
      </c>
      <c r="U8265" s="413">
        <v>0.17391304347826086</v>
      </c>
      <c r="V8265" s="504">
        <v>5.434782608695652E-2</v>
      </c>
      <c r="W8265" s="504">
        <v>0.10869565217391304</v>
      </c>
      <c r="X8265" s="504">
        <v>6.5217391304347824E-2</v>
      </c>
      <c r="Y8265" s="504">
        <v>3.2608695652173912E-2</v>
      </c>
      <c r="Z8265" s="388">
        <v>6</v>
      </c>
      <c r="AA8265" s="388"/>
      <c r="AB8265" s="391"/>
      <c r="AC8265" s="392"/>
      <c r="AD8265" s="388">
        <f>10.7*(0.3048)</f>
        <v>3.2613599999999998</v>
      </c>
      <c r="AE8265" s="388">
        <f>0.373598130841121*(0.3048)</f>
        <v>0.11387271028037368</v>
      </c>
      <c r="AF8265" s="388">
        <f t="shared" si="61"/>
        <v>0.37137990239999952</v>
      </c>
      <c r="AG8265" s="388">
        <f>0.522001250781739*(0.3048)</f>
        <v>0.15910598123827405</v>
      </c>
      <c r="AH8265" s="391"/>
      <c r="AI8265" s="397"/>
      <c r="AJ8265" s="397"/>
      <c r="AK8265" s="392"/>
      <c r="AL8265" s="392"/>
      <c r="AM8265" s="392"/>
      <c r="AN8265" s="392"/>
      <c r="AO8265" s="392"/>
      <c r="AP8265" s="392"/>
      <c r="AQ8265" s="392"/>
      <c r="AR8265" s="392"/>
      <c r="AS8265" s="392"/>
      <c r="AT8265" s="392"/>
      <c r="AU8265" s="397"/>
      <c r="AV8265" s="397"/>
      <c r="AW8265" s="397"/>
      <c r="AX8265" s="397"/>
      <c r="AY8265" s="392"/>
      <c r="AZ8265" s="392"/>
      <c r="BA8265" s="392"/>
      <c r="BB8265" s="392"/>
      <c r="BC8265" s="392"/>
      <c r="BD8265" s="392"/>
      <c r="BE8265" s="392"/>
      <c r="BF8265" s="392"/>
      <c r="BG8265" s="392"/>
      <c r="BH8265" s="392"/>
      <c r="BI8265" s="397"/>
      <c r="BJ8265" s="397"/>
      <c r="BK8265" s="397"/>
      <c r="BL8265" s="397"/>
      <c r="BM8265" s="397"/>
      <c r="BN8265" s="397"/>
      <c r="BO8265" s="397"/>
      <c r="BP8265" s="397"/>
      <c r="BQ8265" s="397"/>
      <c r="BR8265" s="397"/>
      <c r="BS8265" s="397"/>
      <c r="BT8265" s="397"/>
      <c r="BU8265" s="397"/>
      <c r="BV8265" s="397"/>
      <c r="BW8265" s="397"/>
      <c r="BX8265" s="397"/>
      <c r="BY8265" s="397"/>
      <c r="BZ8265" s="397"/>
      <c r="CA8265" s="392"/>
      <c r="CB8265" s="392"/>
    </row>
    <row r="8266" spans="1:80" ht="15" x14ac:dyDescent="0.25">
      <c r="A8266" s="385"/>
      <c r="B8266" s="392"/>
      <c r="C8266" s="392"/>
      <c r="D8266" s="700"/>
      <c r="E8266" s="397"/>
      <c r="F8266" s="392"/>
      <c r="G8266" s="392"/>
      <c r="H8266" s="401"/>
      <c r="I8266" s="165">
        <v>10</v>
      </c>
      <c r="J8266" s="165">
        <v>120</v>
      </c>
      <c r="K8266" s="165">
        <v>1</v>
      </c>
      <c r="L8266" s="628"/>
      <c r="M8266" s="628"/>
      <c r="N8266" s="388">
        <f>14.71*(0.028317)</f>
        <v>0.41654307000000002</v>
      </c>
      <c r="O8266" s="389">
        <v>9.6900000000000003E-4</v>
      </c>
      <c r="P8266" s="413"/>
      <c r="Q8266" s="413"/>
      <c r="R8266" s="413"/>
      <c r="S8266" s="413"/>
      <c r="T8266" s="413">
        <v>5.1457975986277868E-3</v>
      </c>
      <c r="U8266" s="413">
        <v>6.6405292820387152E-2</v>
      </c>
      <c r="V8266" s="504">
        <v>0.3153638814016172</v>
      </c>
      <c r="W8266" s="504">
        <v>0.12080372457730947</v>
      </c>
      <c r="X8266" s="504">
        <v>0.20877235971575592</v>
      </c>
      <c r="Y8266" s="504">
        <v>0.28350894388630238</v>
      </c>
      <c r="Z8266" s="388">
        <v>7</v>
      </c>
      <c r="AA8266" s="388"/>
      <c r="AB8266" s="391"/>
      <c r="AC8266" s="392"/>
      <c r="AD8266" s="388">
        <f>14.25*(0.3048)</f>
        <v>4.3433999999999999</v>
      </c>
      <c r="AE8266" s="388"/>
      <c r="AF8266" s="388"/>
      <c r="AG8266" s="388"/>
      <c r="AH8266" s="391"/>
      <c r="AI8266" s="397"/>
      <c r="AJ8266" s="397"/>
      <c r="AK8266" s="392"/>
      <c r="AL8266" s="392"/>
      <c r="AM8266" s="392"/>
      <c r="AN8266" s="392"/>
      <c r="AO8266" s="392"/>
      <c r="AP8266" s="392"/>
      <c r="AQ8266" s="392"/>
      <c r="AR8266" s="392"/>
      <c r="AS8266" s="392"/>
      <c r="AT8266" s="392"/>
      <c r="AU8266" s="397"/>
      <c r="AV8266" s="397"/>
      <c r="AW8266" s="397"/>
      <c r="AX8266" s="397"/>
      <c r="AY8266" s="392"/>
      <c r="AZ8266" s="392"/>
      <c r="BA8266" s="392"/>
      <c r="BB8266" s="392"/>
      <c r="BC8266" s="392"/>
      <c r="BD8266" s="392"/>
      <c r="BE8266" s="392"/>
      <c r="BF8266" s="392"/>
      <c r="BG8266" s="392"/>
      <c r="BH8266" s="392"/>
      <c r="BI8266" s="397"/>
      <c r="BJ8266" s="397"/>
      <c r="BK8266" s="397"/>
      <c r="BL8266" s="397"/>
      <c r="BM8266" s="397"/>
      <c r="BN8266" s="397"/>
      <c r="BO8266" s="397"/>
      <c r="BP8266" s="397"/>
      <c r="BQ8266" s="397"/>
      <c r="BR8266" s="397"/>
      <c r="BS8266" s="397"/>
      <c r="BT8266" s="397"/>
      <c r="BU8266" s="397"/>
      <c r="BV8266" s="397"/>
      <c r="BW8266" s="397"/>
      <c r="BX8266" s="397"/>
      <c r="BY8266" s="397"/>
      <c r="BZ8266" s="397"/>
      <c r="CA8266" s="392"/>
      <c r="CB8266" s="392"/>
    </row>
    <row r="8267" spans="1:80" ht="15" x14ac:dyDescent="0.25">
      <c r="A8267" s="412" t="s">
        <v>558</v>
      </c>
      <c r="B8267" s="639" t="s">
        <v>34</v>
      </c>
      <c r="C8267" s="639"/>
      <c r="D8267" s="4">
        <f>VLOOKUP(E8267,'Quality Code'!$D$4:$E$24,2,TRUE)*VLOOKUP(MROUND(F8267,10),'Quality Code'!$D$28:$E$69,2,TRUE)*VLOOKUP(COUNTA(CB8267:CB8277),'Quality Code'!$D$73:$E$93,2,TRUE)</f>
        <v>3.1666587499999999</v>
      </c>
      <c r="E8267" s="14">
        <v>0.95</v>
      </c>
      <c r="F8267" s="2">
        <v>102</v>
      </c>
      <c r="G8267" s="12">
        <f>50.5*2.58998811</f>
        <v>130.79439955500001</v>
      </c>
      <c r="H8267" s="2" t="s">
        <v>559</v>
      </c>
      <c r="I8267" s="2"/>
      <c r="J8267" s="2" t="s">
        <v>283</v>
      </c>
      <c r="K8267" s="2"/>
      <c r="L8267" s="533"/>
      <c r="M8267" s="533"/>
      <c r="N8267" s="10"/>
      <c r="O8267" s="10"/>
      <c r="P8267" s="10"/>
      <c r="Q8267" s="10"/>
      <c r="R8267" s="10"/>
      <c r="S8267" s="10"/>
      <c r="T8267" s="10"/>
      <c r="U8267" s="10"/>
      <c r="V8267" s="162"/>
      <c r="W8267" s="162"/>
      <c r="X8267" s="162"/>
      <c r="Y8267" s="162"/>
      <c r="Z8267" s="2"/>
      <c r="AA8267" s="2"/>
      <c r="AB8267" s="2"/>
      <c r="AC8267" s="3">
        <v>1.17E-2</v>
      </c>
      <c r="AD8267" s="26"/>
      <c r="AE8267" s="26"/>
      <c r="AF8267" s="26"/>
      <c r="AG8267" s="26"/>
      <c r="AH8267" s="26"/>
      <c r="AI8267" s="18">
        <f>AM8268</f>
        <v>75.912751566281102</v>
      </c>
      <c r="AJ8267" s="26"/>
      <c r="AK8267" s="26" t="s">
        <v>554</v>
      </c>
      <c r="AL8267" s="26" t="s">
        <v>239</v>
      </c>
      <c r="AM8267" s="26" t="s">
        <v>240</v>
      </c>
      <c r="AN8267" s="26" t="s">
        <v>242</v>
      </c>
      <c r="AO8267" s="26" t="s">
        <v>555</v>
      </c>
      <c r="AP8267" s="135" t="s">
        <v>556</v>
      </c>
      <c r="AQ8267" s="135" t="s">
        <v>29</v>
      </c>
      <c r="AR8267" s="135"/>
      <c r="AS8267" s="135"/>
      <c r="AT8267" s="135"/>
      <c r="AU8267" s="4">
        <f>BA8268</f>
        <v>76.14609852700076</v>
      </c>
      <c r="AV8267" s="26"/>
      <c r="AW8267" s="26"/>
      <c r="AX8267" s="26"/>
      <c r="AY8267" s="135" t="s">
        <v>554</v>
      </c>
      <c r="AZ8267" s="135" t="s">
        <v>239</v>
      </c>
      <c r="BA8267" s="135" t="s">
        <v>240</v>
      </c>
      <c r="BB8267" s="135" t="s">
        <v>242</v>
      </c>
      <c r="BC8267" s="135" t="s">
        <v>555</v>
      </c>
      <c r="BD8267" s="135" t="s">
        <v>556</v>
      </c>
      <c r="BE8267" s="135" t="s">
        <v>29</v>
      </c>
      <c r="BF8267" s="135"/>
      <c r="BG8267" s="135"/>
      <c r="BH8267" s="135"/>
      <c r="BI8267" s="12">
        <f>AU8267/AI8267</f>
        <v>1.0030738835822057</v>
      </c>
      <c r="BJ8267" s="12" t="s">
        <v>560</v>
      </c>
      <c r="BK8267" s="12" t="s">
        <v>175</v>
      </c>
      <c r="BL8267" s="2"/>
      <c r="BM8267" s="12">
        <f>600*0.028317</f>
        <v>16.990199999999998</v>
      </c>
      <c r="BN8267" s="12">
        <f>48*0.3048</f>
        <v>14.630400000000002</v>
      </c>
      <c r="BO8267" s="12">
        <f>2.55*0.3048</f>
        <v>0.77723999999999993</v>
      </c>
      <c r="BP8267" s="12">
        <f>122.587271509851*(0.3048^2)</f>
        <v>11.38873018857055</v>
      </c>
      <c r="BQ8267" s="4">
        <f>BN8267/BO8267</f>
        <v>18.82352941176471</v>
      </c>
      <c r="BR8267" s="2"/>
      <c r="BS8267" s="2"/>
      <c r="BT8267" s="2"/>
      <c r="BU8267" s="9"/>
      <c r="BV8267" s="381"/>
      <c r="BW8267" s="2"/>
      <c r="BX8267" s="2"/>
      <c r="BY8267" s="2" t="s">
        <v>86</v>
      </c>
      <c r="BZ8267" s="2" t="s">
        <v>234</v>
      </c>
      <c r="CA8267" s="9"/>
      <c r="CB8267" s="381" t="s">
        <v>567</v>
      </c>
    </row>
    <row r="8268" spans="1:80" ht="15" x14ac:dyDescent="0.25">
      <c r="A8268" s="385"/>
      <c r="B8268" s="392"/>
      <c r="C8268" s="392"/>
      <c r="D8268" s="700"/>
      <c r="E8268" s="397"/>
      <c r="F8268" s="392"/>
      <c r="G8268" s="392"/>
      <c r="H8268" s="401"/>
      <c r="I8268" s="165">
        <v>5</v>
      </c>
      <c r="J8268" s="165">
        <v>240</v>
      </c>
      <c r="K8268" s="165">
        <v>1</v>
      </c>
      <c r="L8268" s="628"/>
      <c r="M8268" s="628"/>
      <c r="N8268" s="388">
        <f>99.9582577132486*(0.028317)</f>
        <v>2.8305179836660606</v>
      </c>
      <c r="O8268" s="389">
        <v>4.8760000000000005E-2</v>
      </c>
      <c r="P8268" s="413"/>
      <c r="Q8268" s="413"/>
      <c r="R8268" s="413">
        <v>6.7894905216185839E-2</v>
      </c>
      <c r="S8268" s="413">
        <v>0.17229244764537482</v>
      </c>
      <c r="T8268" s="413">
        <v>0.23205833859682221</v>
      </c>
      <c r="U8268" s="413">
        <v>0.2181791336160579</v>
      </c>
      <c r="V8268" s="504">
        <v>0</v>
      </c>
      <c r="W8268" s="504">
        <v>0</v>
      </c>
      <c r="X8268" s="504">
        <v>0</v>
      </c>
      <c r="Y8268" s="504">
        <v>0.30957517492555925</v>
      </c>
      <c r="Z8268" s="388">
        <v>27</v>
      </c>
      <c r="AA8268" s="388"/>
      <c r="AB8268" s="391"/>
      <c r="AC8268" s="392"/>
      <c r="AD8268" s="388">
        <f t="shared" ref="AD8268:AD8309" si="62">48*(0.3048)</f>
        <v>14.630400000000002</v>
      </c>
      <c r="AE8268" s="388"/>
      <c r="AF8268" s="388"/>
      <c r="AG8268" s="388"/>
      <c r="AH8268" s="391"/>
      <c r="AI8268" s="397"/>
      <c r="AJ8268" s="397"/>
      <c r="AK8268" s="433">
        <v>8.217808807419873</v>
      </c>
      <c r="AL8268" s="433">
        <v>65.254628038713861</v>
      </c>
      <c r="AM8268" s="433">
        <v>75.912751566281102</v>
      </c>
      <c r="AN8268" s="433">
        <v>140.30437934244307</v>
      </c>
      <c r="AO8268" s="433">
        <v>174.07217394582517</v>
      </c>
      <c r="AP8268" s="433">
        <v>175</v>
      </c>
      <c r="AQ8268" s="392"/>
      <c r="AR8268" s="392"/>
      <c r="AS8268" s="392"/>
      <c r="AT8268" s="392"/>
      <c r="AU8268" s="397"/>
      <c r="AV8268" s="397"/>
      <c r="AW8268" s="397"/>
      <c r="AX8268" s="397"/>
      <c r="AY8268" s="433">
        <v>13.463461745354397</v>
      </c>
      <c r="AZ8268" s="433">
        <v>45.298658756903905</v>
      </c>
      <c r="BA8268" s="433">
        <v>76.14609852700076</v>
      </c>
      <c r="BB8268" s="433">
        <v>298.03974795799024</v>
      </c>
      <c r="BC8268" s="433">
        <v>574.70056873439955</v>
      </c>
      <c r="BD8268" s="433">
        <v>840</v>
      </c>
      <c r="BE8268" s="392"/>
      <c r="BF8268" s="392"/>
      <c r="BG8268" s="392"/>
      <c r="BH8268" s="392"/>
      <c r="BI8268" s="397"/>
      <c r="BJ8268" s="397"/>
      <c r="BK8268" s="397"/>
      <c r="BL8268" s="397"/>
      <c r="BM8268" s="397"/>
      <c r="BN8268" s="397"/>
      <c r="BO8268" s="397"/>
      <c r="BP8268" s="397"/>
      <c r="BQ8268" s="397"/>
      <c r="BR8268" s="397"/>
      <c r="BS8268" s="397"/>
      <c r="BT8268" s="397"/>
      <c r="BU8268" s="397"/>
      <c r="BV8268" s="397"/>
      <c r="BW8268" s="397"/>
      <c r="BX8268" s="397"/>
      <c r="BY8268" s="397"/>
      <c r="BZ8268" s="397"/>
      <c r="CA8268" s="392"/>
      <c r="CB8268" s="392"/>
    </row>
    <row r="8269" spans="1:80" ht="15" x14ac:dyDescent="0.25">
      <c r="A8269" s="385"/>
      <c r="B8269" s="392"/>
      <c r="C8269" s="392"/>
      <c r="D8269" s="700"/>
      <c r="E8269" s="397"/>
      <c r="F8269" s="392"/>
      <c r="G8269" s="392"/>
      <c r="H8269" s="401"/>
      <c r="I8269" s="165">
        <v>5</v>
      </c>
      <c r="J8269" s="165">
        <v>240</v>
      </c>
      <c r="K8269" s="165">
        <v>1</v>
      </c>
      <c r="L8269" s="628"/>
      <c r="M8269" s="628"/>
      <c r="N8269" s="388">
        <f>87.8590441621297*(0.028317)</f>
        <v>2.487904553539027</v>
      </c>
      <c r="O8269" s="389">
        <v>3.2319999999999996E-3</v>
      </c>
      <c r="P8269" s="413"/>
      <c r="Q8269" s="413"/>
      <c r="R8269" s="413"/>
      <c r="S8269" s="413">
        <v>6.6089108910891078E-2</v>
      </c>
      <c r="T8269" s="413">
        <v>0.29430693069306929</v>
      </c>
      <c r="U8269" s="413">
        <v>0.32821782178217818</v>
      </c>
      <c r="V8269" s="504">
        <v>0</v>
      </c>
      <c r="W8269" s="504">
        <v>0</v>
      </c>
      <c r="X8269" s="504">
        <v>0</v>
      </c>
      <c r="Y8269" s="504">
        <v>0.31138613861386133</v>
      </c>
      <c r="Z8269" s="388">
        <v>14</v>
      </c>
      <c r="AA8269" s="388"/>
      <c r="AB8269" s="391"/>
      <c r="AC8269" s="392"/>
      <c r="AD8269" s="388">
        <f t="shared" si="62"/>
        <v>14.630400000000002</v>
      </c>
      <c r="AE8269" s="388"/>
      <c r="AF8269" s="388"/>
      <c r="AG8269" s="399"/>
      <c r="AH8269" s="391"/>
      <c r="AI8269" s="397"/>
      <c r="AJ8269" s="397"/>
      <c r="AK8269" s="392"/>
      <c r="AL8269" s="392"/>
      <c r="AM8269" s="392"/>
      <c r="AN8269" s="392"/>
      <c r="AO8269" s="392"/>
      <c r="AP8269" s="392"/>
      <c r="AQ8269" s="392"/>
      <c r="AR8269" s="392"/>
      <c r="AS8269" s="392"/>
      <c r="AT8269" s="392"/>
      <c r="AU8269" s="397"/>
      <c r="AV8269" s="397"/>
      <c r="AW8269" s="397"/>
      <c r="AX8269" s="397"/>
      <c r="AY8269" s="392"/>
      <c r="AZ8269" s="392"/>
      <c r="BA8269" s="392"/>
      <c r="BB8269" s="392"/>
      <c r="BC8269" s="392"/>
      <c r="BD8269" s="392"/>
      <c r="BE8269" s="392"/>
      <c r="BF8269" s="392"/>
      <c r="BG8269" s="392"/>
      <c r="BH8269" s="392"/>
      <c r="BI8269" s="397"/>
      <c r="BJ8269" s="397"/>
      <c r="BK8269" s="397"/>
      <c r="BL8269" s="397"/>
      <c r="BM8269" s="397"/>
      <c r="BN8269" s="397"/>
      <c r="BO8269" s="397"/>
      <c r="BP8269" s="397"/>
      <c r="BQ8269" s="397"/>
      <c r="BR8269" s="397"/>
      <c r="BS8269" s="397"/>
      <c r="BT8269" s="397"/>
      <c r="BU8269" s="397"/>
      <c r="BV8269" s="397"/>
      <c r="BW8269" s="397"/>
      <c r="BX8269" s="397"/>
      <c r="BY8269" s="397"/>
      <c r="BZ8269" s="397"/>
      <c r="CA8269" s="392"/>
      <c r="CB8269" s="392"/>
    </row>
    <row r="8270" spans="1:80" ht="15" x14ac:dyDescent="0.25">
      <c r="A8270" s="385"/>
      <c r="B8270" s="392"/>
      <c r="C8270" s="392"/>
      <c r="D8270" s="700"/>
      <c r="E8270" s="397"/>
      <c r="F8270" s="392"/>
      <c r="G8270" s="392"/>
      <c r="H8270" s="401"/>
      <c r="I8270" s="165">
        <v>5</v>
      </c>
      <c r="J8270" s="165">
        <v>240</v>
      </c>
      <c r="K8270" s="165">
        <v>1</v>
      </c>
      <c r="L8270" s="628"/>
      <c r="M8270" s="628"/>
      <c r="N8270" s="388">
        <f>295.71*(0.028317)</f>
        <v>8.3736200699999994</v>
      </c>
      <c r="O8270" s="389">
        <v>1.54E-2</v>
      </c>
      <c r="P8270" s="413"/>
      <c r="Q8270" s="413"/>
      <c r="R8270" s="413">
        <v>6.93362418198816E-2</v>
      </c>
      <c r="S8270" s="413">
        <v>3.235691284927808E-2</v>
      </c>
      <c r="T8270" s="413">
        <v>0.10647138256985564</v>
      </c>
      <c r="U8270" s="413">
        <v>0.15191648488625742</v>
      </c>
      <c r="V8270" s="504">
        <v>0</v>
      </c>
      <c r="W8270" s="504">
        <v>0</v>
      </c>
      <c r="X8270" s="504">
        <v>0</v>
      </c>
      <c r="Y8270" s="504">
        <v>0.6399189778747274</v>
      </c>
      <c r="Z8270" s="388">
        <v>18</v>
      </c>
      <c r="AA8270" s="388"/>
      <c r="AB8270" s="391"/>
      <c r="AC8270" s="392"/>
      <c r="AD8270" s="388">
        <f t="shared" si="62"/>
        <v>14.630400000000002</v>
      </c>
      <c r="AE8270" s="388">
        <f>1.87333333333333*(0.3048)</f>
        <v>0.57099199999999906</v>
      </c>
      <c r="AF8270" s="388"/>
      <c r="AG8270" s="388">
        <f>3.28861209964413*(0.3048)</f>
        <v>1.0023689679715309</v>
      </c>
      <c r="AH8270" s="391"/>
      <c r="AI8270" s="397"/>
      <c r="AJ8270" s="397"/>
      <c r="AK8270" s="392"/>
      <c r="AL8270" s="392"/>
      <c r="AM8270" s="392"/>
      <c r="AN8270" s="392"/>
      <c r="AO8270" s="392"/>
      <c r="AP8270" s="392"/>
      <c r="AQ8270" s="392"/>
      <c r="AR8270" s="392"/>
      <c r="AS8270" s="392"/>
      <c r="AT8270" s="392"/>
      <c r="AU8270" s="397"/>
      <c r="AV8270" s="397"/>
      <c r="AW8270" s="397"/>
      <c r="AX8270" s="397"/>
      <c r="AY8270" s="392"/>
      <c r="AZ8270" s="392"/>
      <c r="BA8270" s="392"/>
      <c r="BB8270" s="392"/>
      <c r="BC8270" s="392"/>
      <c r="BD8270" s="392"/>
      <c r="BE8270" s="392"/>
      <c r="BF8270" s="392"/>
      <c r="BG8270" s="392"/>
      <c r="BH8270" s="392"/>
      <c r="BI8270" s="397"/>
      <c r="BJ8270" s="397"/>
      <c r="BK8270" s="397"/>
      <c r="BL8270" s="397"/>
      <c r="BM8270" s="397"/>
      <c r="BN8270" s="397"/>
      <c r="BO8270" s="397"/>
      <c r="BP8270" s="397"/>
      <c r="BQ8270" s="397"/>
      <c r="BR8270" s="397"/>
      <c r="BS8270" s="397"/>
      <c r="BT8270" s="397"/>
      <c r="BU8270" s="397"/>
      <c r="BV8270" s="397"/>
      <c r="BW8270" s="397"/>
      <c r="BX8270" s="397"/>
      <c r="BY8270" s="397"/>
      <c r="BZ8270" s="397"/>
      <c r="CA8270" s="392"/>
      <c r="CB8270" s="392"/>
    </row>
    <row r="8271" spans="1:80" ht="15" x14ac:dyDescent="0.25">
      <c r="A8271" s="385"/>
      <c r="B8271" s="392"/>
      <c r="C8271" s="392"/>
      <c r="D8271" s="700"/>
      <c r="E8271" s="397"/>
      <c r="F8271" s="392"/>
      <c r="G8271" s="392"/>
      <c r="H8271" s="401"/>
      <c r="I8271" s="165">
        <v>5</v>
      </c>
      <c r="J8271" s="165">
        <v>240</v>
      </c>
      <c r="K8271" s="165">
        <v>1</v>
      </c>
      <c r="L8271" s="628"/>
      <c r="M8271" s="628"/>
      <c r="N8271" s="388">
        <f>448.08*(0.028317)</f>
        <v>12.68828136</v>
      </c>
      <c r="O8271" s="389">
        <v>6.0808000000000008E-2</v>
      </c>
      <c r="P8271" s="413"/>
      <c r="Q8271" s="413"/>
      <c r="R8271" s="413">
        <v>1.6978811022741475E-2</v>
      </c>
      <c r="S8271" s="413">
        <v>0.1346595356976048</v>
      </c>
      <c r="T8271" s="413">
        <v>0.21631044713281103</v>
      </c>
      <c r="U8271" s="413">
        <v>0.17445876339523594</v>
      </c>
      <c r="V8271" s="504">
        <v>0</v>
      </c>
      <c r="W8271" s="504">
        <v>0</v>
      </c>
      <c r="X8271" s="504">
        <v>0</v>
      </c>
      <c r="Y8271" s="504">
        <v>0.45759244275160682</v>
      </c>
      <c r="Z8271" s="388">
        <v>17</v>
      </c>
      <c r="AA8271" s="388"/>
      <c r="AB8271" s="391"/>
      <c r="AC8271" s="392"/>
      <c r="AD8271" s="388">
        <f t="shared" si="62"/>
        <v>14.630400000000002</v>
      </c>
      <c r="AE8271" s="388">
        <f>2.22833333333333*(0.3048)</f>
        <v>0.67919599999999902</v>
      </c>
      <c r="AF8271" s="388"/>
      <c r="AG8271" s="388">
        <f>4.18924457741212*(0.3048)</f>
        <v>1.2768817471952143</v>
      </c>
      <c r="AH8271" s="391"/>
      <c r="AI8271" s="397"/>
      <c r="AJ8271" s="397"/>
      <c r="AK8271" s="392"/>
      <c r="AL8271" s="392"/>
      <c r="AM8271" s="392"/>
      <c r="AN8271" s="392"/>
      <c r="AO8271" s="392"/>
      <c r="AP8271" s="392"/>
      <c r="AQ8271" s="392"/>
      <c r="AR8271" s="392"/>
      <c r="AS8271" s="392"/>
      <c r="AT8271" s="392"/>
      <c r="AU8271" s="397"/>
      <c r="AV8271" s="397"/>
      <c r="AW8271" s="397"/>
      <c r="AX8271" s="397"/>
      <c r="AY8271" s="392"/>
      <c r="AZ8271" s="392"/>
      <c r="BA8271" s="392"/>
      <c r="BB8271" s="392"/>
      <c r="BC8271" s="392"/>
      <c r="BD8271" s="392"/>
      <c r="BE8271" s="392"/>
      <c r="BF8271" s="392"/>
      <c r="BG8271" s="392"/>
      <c r="BH8271" s="392"/>
      <c r="BI8271" s="397"/>
      <c r="BJ8271" s="397"/>
      <c r="BK8271" s="397"/>
      <c r="BL8271" s="397"/>
      <c r="BM8271" s="397"/>
      <c r="BN8271" s="397"/>
      <c r="BO8271" s="397"/>
      <c r="BP8271" s="397"/>
      <c r="BQ8271" s="397"/>
      <c r="BR8271" s="397"/>
      <c r="BS8271" s="397"/>
      <c r="BT8271" s="397"/>
      <c r="BU8271" s="397"/>
      <c r="BV8271" s="397"/>
      <c r="BW8271" s="397"/>
      <c r="BX8271" s="397"/>
      <c r="BY8271" s="397"/>
      <c r="BZ8271" s="397"/>
      <c r="CA8271" s="392"/>
      <c r="CB8271" s="392"/>
    </row>
    <row r="8272" spans="1:80" ht="15" x14ac:dyDescent="0.25">
      <c r="A8272" s="385"/>
      <c r="B8272" s="392"/>
      <c r="C8272" s="392"/>
      <c r="D8272" s="700"/>
      <c r="E8272" s="397"/>
      <c r="F8272" s="392"/>
      <c r="G8272" s="392"/>
      <c r="H8272" s="401"/>
      <c r="I8272" s="165">
        <v>5</v>
      </c>
      <c r="J8272" s="165">
        <v>240</v>
      </c>
      <c r="K8272" s="165">
        <v>1</v>
      </c>
      <c r="L8272" s="628"/>
      <c r="M8272" s="628"/>
      <c r="N8272" s="388">
        <f>444.77*(0.028317)</f>
        <v>12.594552089999999</v>
      </c>
      <c r="O8272" s="389">
        <v>0.10731200000000002</v>
      </c>
      <c r="P8272" s="413"/>
      <c r="Q8272" s="413">
        <v>8.2436260623229465E-2</v>
      </c>
      <c r="R8272" s="413">
        <v>0.134024153869092</v>
      </c>
      <c r="S8272" s="413">
        <v>0.26672133591769792</v>
      </c>
      <c r="T8272" s="413">
        <v>0.16566274042045626</v>
      </c>
      <c r="U8272" s="413">
        <v>8.111674370061131E-2</v>
      </c>
      <c r="V8272" s="504">
        <v>0</v>
      </c>
      <c r="W8272" s="504">
        <v>0</v>
      </c>
      <c r="X8272" s="504">
        <v>0</v>
      </c>
      <c r="Y8272" s="504">
        <v>0.27003876546891314</v>
      </c>
      <c r="Z8272" s="388">
        <v>45</v>
      </c>
      <c r="AA8272" s="388"/>
      <c r="AB8272" s="391"/>
      <c r="AC8272" s="392"/>
      <c r="AD8272" s="388">
        <f t="shared" si="62"/>
        <v>14.630400000000002</v>
      </c>
      <c r="AE8272" s="388">
        <f>2.24166666666667*(0.3048)</f>
        <v>0.68326000000000098</v>
      </c>
      <c r="AF8272" s="388"/>
      <c r="AG8272" s="388">
        <f>4.1335687732342*(0.3048)</f>
        <v>1.2599117620817841</v>
      </c>
      <c r="AH8272" s="391"/>
      <c r="AI8272" s="397"/>
      <c r="AJ8272" s="397"/>
      <c r="AK8272" s="392"/>
      <c r="AL8272" s="392"/>
      <c r="AM8272" s="392"/>
      <c r="AN8272" s="392"/>
      <c r="AO8272" s="392"/>
      <c r="AP8272" s="392"/>
      <c r="AQ8272" s="392"/>
      <c r="AR8272" s="392"/>
      <c r="AS8272" s="392"/>
      <c r="AT8272" s="392"/>
      <c r="AU8272" s="397"/>
      <c r="AV8272" s="397"/>
      <c r="AW8272" s="397"/>
      <c r="AX8272" s="397"/>
      <c r="AY8272" s="392"/>
      <c r="AZ8272" s="392"/>
      <c r="BA8272" s="392"/>
      <c r="BB8272" s="392"/>
      <c r="BC8272" s="392"/>
      <c r="BD8272" s="392"/>
      <c r="BE8272" s="392"/>
      <c r="BF8272" s="392"/>
      <c r="BG8272" s="392"/>
      <c r="BH8272" s="392"/>
      <c r="BI8272" s="397"/>
      <c r="BJ8272" s="397"/>
      <c r="BK8272" s="397"/>
      <c r="BL8272" s="397"/>
      <c r="BM8272" s="397"/>
      <c r="BN8272" s="397"/>
      <c r="BO8272" s="397"/>
      <c r="BP8272" s="397"/>
      <c r="BQ8272" s="397"/>
      <c r="BR8272" s="397"/>
      <c r="BS8272" s="397"/>
      <c r="BT8272" s="397"/>
      <c r="BU8272" s="397"/>
      <c r="BV8272" s="397"/>
      <c r="BW8272" s="397"/>
      <c r="BX8272" s="397"/>
      <c r="BY8272" s="397"/>
      <c r="BZ8272" s="397"/>
      <c r="CA8272" s="392"/>
      <c r="CB8272" s="392"/>
    </row>
    <row r="8273" spans="1:80" ht="15" x14ac:dyDescent="0.25">
      <c r="A8273" s="385"/>
      <c r="B8273" s="392"/>
      <c r="C8273" s="392"/>
      <c r="D8273" s="700"/>
      <c r="E8273" s="397"/>
      <c r="F8273" s="392"/>
      <c r="G8273" s="392"/>
      <c r="H8273" s="401"/>
      <c r="I8273" s="165">
        <v>5</v>
      </c>
      <c r="J8273" s="165">
        <v>240</v>
      </c>
      <c r="K8273" s="165">
        <v>1</v>
      </c>
      <c r="L8273" s="628"/>
      <c r="M8273" s="628"/>
      <c r="N8273" s="388">
        <f>527.11*(0.028317)</f>
        <v>14.92617387</v>
      </c>
      <c r="O8273" s="389">
        <v>0.28531200000000001</v>
      </c>
      <c r="P8273" s="413"/>
      <c r="Q8273" s="413">
        <v>7.8059544972773509E-2</v>
      </c>
      <c r="R8273" s="413">
        <v>4.6292038425518309E-2</v>
      </c>
      <c r="S8273" s="413">
        <v>0.18354606071142165</v>
      </c>
      <c r="T8273" s="413">
        <v>0.2399267604685984</v>
      </c>
      <c r="U8273" s="413">
        <v>0.26595034741110035</v>
      </c>
      <c r="V8273" s="504">
        <v>0</v>
      </c>
      <c r="W8273" s="504">
        <v>0</v>
      </c>
      <c r="X8273" s="504">
        <v>0</v>
      </c>
      <c r="Y8273" s="504">
        <v>0.18622524801058776</v>
      </c>
      <c r="Z8273" s="388">
        <v>48</v>
      </c>
      <c r="AA8273" s="388"/>
      <c r="AB8273" s="391"/>
      <c r="AC8273" s="392"/>
      <c r="AD8273" s="388">
        <f t="shared" si="62"/>
        <v>14.630400000000002</v>
      </c>
      <c r="AE8273" s="388">
        <f>2.49583333333333*(0.3048)</f>
        <v>0.76072999999999902</v>
      </c>
      <c r="AF8273" s="388"/>
      <c r="AG8273" s="388">
        <f>4.39993322203673*(0.3048)</f>
        <v>1.3410996460767954</v>
      </c>
      <c r="AH8273" s="391"/>
      <c r="AI8273" s="397"/>
      <c r="AJ8273" s="397"/>
      <c r="AK8273" s="392"/>
      <c r="AL8273" s="392"/>
      <c r="AM8273" s="392"/>
      <c r="AN8273" s="392"/>
      <c r="AO8273" s="392"/>
      <c r="AP8273" s="392"/>
      <c r="AQ8273" s="392"/>
      <c r="AR8273" s="392"/>
      <c r="AS8273" s="392"/>
      <c r="AT8273" s="392"/>
      <c r="AU8273" s="397"/>
      <c r="AV8273" s="397"/>
      <c r="AW8273" s="397"/>
      <c r="AX8273" s="397"/>
      <c r="AY8273" s="392"/>
      <c r="AZ8273" s="392"/>
      <c r="BA8273" s="392"/>
      <c r="BB8273" s="392"/>
      <c r="BC8273" s="392"/>
      <c r="BD8273" s="392"/>
      <c r="BE8273" s="392"/>
      <c r="BF8273" s="392"/>
      <c r="BG8273" s="392"/>
      <c r="BH8273" s="392"/>
      <c r="BI8273" s="397"/>
      <c r="BJ8273" s="397"/>
      <c r="BK8273" s="397"/>
      <c r="BL8273" s="397"/>
      <c r="BM8273" s="397"/>
      <c r="BN8273" s="397"/>
      <c r="BO8273" s="397"/>
      <c r="BP8273" s="397"/>
      <c r="BQ8273" s="397"/>
      <c r="BR8273" s="397"/>
      <c r="BS8273" s="397"/>
      <c r="BT8273" s="397"/>
      <c r="BU8273" s="397"/>
      <c r="BV8273" s="397"/>
      <c r="BW8273" s="397"/>
      <c r="BX8273" s="397"/>
      <c r="BY8273" s="397"/>
      <c r="BZ8273" s="397"/>
      <c r="CA8273" s="392"/>
      <c r="CB8273" s="392"/>
    </row>
    <row r="8274" spans="1:80" ht="15" x14ac:dyDescent="0.25">
      <c r="A8274" s="385"/>
      <c r="B8274" s="392"/>
      <c r="C8274" s="392"/>
      <c r="D8274" s="700"/>
      <c r="E8274" s="397"/>
      <c r="F8274" s="392"/>
      <c r="G8274" s="392"/>
      <c r="H8274" s="401"/>
      <c r="I8274" s="165">
        <v>5</v>
      </c>
      <c r="J8274" s="165">
        <v>240</v>
      </c>
      <c r="K8274" s="165">
        <v>1</v>
      </c>
      <c r="L8274" s="628"/>
      <c r="M8274" s="628"/>
      <c r="N8274" s="388">
        <f>455*(0.028317)</f>
        <v>12.884234999999999</v>
      </c>
      <c r="O8274" s="389">
        <v>9.5760000000000012E-2</v>
      </c>
      <c r="P8274" s="413"/>
      <c r="Q8274" s="413"/>
      <c r="R8274" s="413">
        <v>5.5762547617456394E-2</v>
      </c>
      <c r="S8274" s="413">
        <v>0.12936911047249885</v>
      </c>
      <c r="T8274" s="413">
        <v>0.15413018779656487</v>
      </c>
      <c r="U8274" s="413">
        <v>0.17267593397046047</v>
      </c>
      <c r="V8274" s="504">
        <v>0</v>
      </c>
      <c r="W8274" s="504">
        <v>0</v>
      </c>
      <c r="X8274" s="504">
        <v>0</v>
      </c>
      <c r="Y8274" s="504">
        <v>0.48806222014301948</v>
      </c>
      <c r="Z8274" s="388">
        <v>30</v>
      </c>
      <c r="AA8274" s="388"/>
      <c r="AB8274" s="391"/>
      <c r="AC8274" s="392"/>
      <c r="AD8274" s="388">
        <f t="shared" si="62"/>
        <v>14.630400000000002</v>
      </c>
      <c r="AE8274" s="388">
        <f>2.28333333333333*(0.3048)</f>
        <v>0.69595999999999902</v>
      </c>
      <c r="AF8274" s="388"/>
      <c r="AG8274" s="388">
        <f>4.15149635036496*(0.3048)</f>
        <v>1.2653760875912399</v>
      </c>
      <c r="AH8274" s="391"/>
      <c r="AI8274" s="397"/>
      <c r="AJ8274" s="397"/>
      <c r="AK8274" s="392"/>
      <c r="AL8274" s="392"/>
      <c r="AM8274" s="392"/>
      <c r="AN8274" s="392"/>
      <c r="AO8274" s="392"/>
      <c r="AP8274" s="392"/>
      <c r="AQ8274" s="392"/>
      <c r="AR8274" s="392"/>
      <c r="AS8274" s="392"/>
      <c r="AT8274" s="392"/>
      <c r="AU8274" s="397"/>
      <c r="AV8274" s="397"/>
      <c r="AW8274" s="397"/>
      <c r="AX8274" s="397"/>
      <c r="AY8274" s="392"/>
      <c r="AZ8274" s="392"/>
      <c r="BA8274" s="392"/>
      <c r="BB8274" s="392"/>
      <c r="BC8274" s="392"/>
      <c r="BD8274" s="392"/>
      <c r="BE8274" s="392"/>
      <c r="BF8274" s="392"/>
      <c r="BG8274" s="392"/>
      <c r="BH8274" s="392"/>
      <c r="BI8274" s="397"/>
      <c r="BJ8274" s="397"/>
      <c r="BK8274" s="397"/>
      <c r="BL8274" s="397"/>
      <c r="BM8274" s="397"/>
      <c r="BN8274" s="397"/>
      <c r="BO8274" s="397"/>
      <c r="BP8274" s="397"/>
      <c r="BQ8274" s="397"/>
      <c r="BR8274" s="397"/>
      <c r="BS8274" s="397"/>
      <c r="BT8274" s="397"/>
      <c r="BU8274" s="397"/>
      <c r="BV8274" s="397"/>
      <c r="BW8274" s="397"/>
      <c r="BX8274" s="397"/>
      <c r="BY8274" s="397"/>
      <c r="BZ8274" s="397"/>
      <c r="CA8274" s="392"/>
      <c r="CB8274" s="392"/>
    </row>
    <row r="8275" spans="1:80" ht="15" x14ac:dyDescent="0.25">
      <c r="A8275" s="385"/>
      <c r="B8275" s="392"/>
      <c r="C8275" s="392"/>
      <c r="D8275" s="700"/>
      <c r="E8275" s="397"/>
      <c r="F8275" s="392"/>
      <c r="G8275" s="392"/>
      <c r="H8275" s="401"/>
      <c r="I8275" s="165">
        <v>5</v>
      </c>
      <c r="J8275" s="165">
        <v>240</v>
      </c>
      <c r="K8275" s="165">
        <v>1</v>
      </c>
      <c r="L8275" s="628"/>
      <c r="M8275" s="628"/>
      <c r="N8275" s="388">
        <f>417.562613430127*(0.028317)</f>
        <v>11.824120524500906</v>
      </c>
      <c r="O8275" s="389">
        <v>0.12759999999999999</v>
      </c>
      <c r="P8275" s="413"/>
      <c r="Q8275" s="413"/>
      <c r="R8275" s="413">
        <v>8.9281515779442044E-2</v>
      </c>
      <c r="S8275" s="413">
        <v>0.18944421629450356</v>
      </c>
      <c r="T8275" s="413">
        <v>0.21233200936703542</v>
      </c>
      <c r="U8275" s="413">
        <v>0.19855105629939401</v>
      </c>
      <c r="V8275" s="504">
        <v>0</v>
      </c>
      <c r="W8275" s="504">
        <v>0</v>
      </c>
      <c r="X8275" s="504">
        <v>0</v>
      </c>
      <c r="Y8275" s="504">
        <v>0.31039120225962485</v>
      </c>
      <c r="Z8275" s="388">
        <v>33</v>
      </c>
      <c r="AA8275" s="388"/>
      <c r="AB8275" s="391"/>
      <c r="AC8275" s="392"/>
      <c r="AD8275" s="388">
        <f t="shared" si="62"/>
        <v>14.630400000000002</v>
      </c>
      <c r="AE8275" s="388"/>
      <c r="AF8275" s="388"/>
      <c r="AG8275" s="435"/>
      <c r="AH8275" s="391"/>
      <c r="AI8275" s="397"/>
      <c r="AJ8275" s="397"/>
      <c r="AK8275" s="392"/>
      <c r="AL8275" s="392"/>
      <c r="AM8275" s="392"/>
      <c r="AN8275" s="392"/>
      <c r="AO8275" s="392"/>
      <c r="AP8275" s="392"/>
      <c r="AQ8275" s="392"/>
      <c r="AR8275" s="392"/>
      <c r="AS8275" s="392"/>
      <c r="AT8275" s="392"/>
      <c r="AU8275" s="397"/>
      <c r="AV8275" s="397"/>
      <c r="AW8275" s="397"/>
      <c r="AX8275" s="397"/>
      <c r="AY8275" s="392"/>
      <c r="AZ8275" s="392"/>
      <c r="BA8275" s="392"/>
      <c r="BB8275" s="392"/>
      <c r="BC8275" s="392"/>
      <c r="BD8275" s="392"/>
      <c r="BE8275" s="392"/>
      <c r="BF8275" s="392"/>
      <c r="BG8275" s="392"/>
      <c r="BH8275" s="392"/>
      <c r="BI8275" s="397"/>
      <c r="BJ8275" s="397"/>
      <c r="BK8275" s="397"/>
      <c r="BL8275" s="397"/>
      <c r="BM8275" s="397"/>
      <c r="BN8275" s="397"/>
      <c r="BO8275" s="397"/>
      <c r="BP8275" s="397"/>
      <c r="BQ8275" s="397"/>
      <c r="BR8275" s="397"/>
      <c r="BS8275" s="397"/>
      <c r="BT8275" s="397"/>
      <c r="BU8275" s="397"/>
      <c r="BV8275" s="397"/>
      <c r="BW8275" s="397"/>
      <c r="BX8275" s="397"/>
      <c r="BY8275" s="397"/>
      <c r="BZ8275" s="397"/>
      <c r="CA8275" s="392"/>
      <c r="CB8275" s="392"/>
    </row>
    <row r="8276" spans="1:80" ht="15" x14ac:dyDescent="0.25">
      <c r="A8276" s="385"/>
      <c r="B8276" s="392"/>
      <c r="C8276" s="392"/>
      <c r="D8276" s="700"/>
      <c r="E8276" s="397"/>
      <c r="F8276" s="392"/>
      <c r="G8276" s="392"/>
      <c r="H8276" s="401"/>
      <c r="I8276" s="165">
        <v>5</v>
      </c>
      <c r="J8276" s="165">
        <v>240</v>
      </c>
      <c r="K8276" s="165">
        <v>1</v>
      </c>
      <c r="L8276" s="628"/>
      <c r="M8276" s="628"/>
      <c r="N8276" s="388">
        <f>372.47*(0.028317)</f>
        <v>10.547232989999999</v>
      </c>
      <c r="O8276" s="389">
        <v>1.4416E-2</v>
      </c>
      <c r="P8276" s="413"/>
      <c r="Q8276" s="413"/>
      <c r="R8276" s="413"/>
      <c r="S8276" s="413">
        <v>6.915690736526614E-2</v>
      </c>
      <c r="T8276" s="413">
        <v>0.16612088583004939</v>
      </c>
      <c r="U8276" s="413">
        <v>0.17533440639396125</v>
      </c>
      <c r="V8276" s="504">
        <v>0</v>
      </c>
      <c r="W8276" s="504">
        <v>0</v>
      </c>
      <c r="X8276" s="504">
        <v>0</v>
      </c>
      <c r="Y8276" s="504">
        <v>0.58938780041072314</v>
      </c>
      <c r="Z8276" s="388">
        <v>10</v>
      </c>
      <c r="AA8276" s="388"/>
      <c r="AB8276" s="391"/>
      <c r="AC8276" s="392"/>
      <c r="AD8276" s="388">
        <f t="shared" si="62"/>
        <v>14.630400000000002</v>
      </c>
      <c r="AE8276" s="388">
        <f>2.16583333333333*(0.3048)</f>
        <v>0.66014599999999901</v>
      </c>
      <c r="AF8276" s="388"/>
      <c r="AG8276" s="388">
        <f>3.58286263947672*(0.3048)</f>
        <v>1.0920565325125042</v>
      </c>
      <c r="AH8276" s="391"/>
      <c r="AI8276" s="397"/>
      <c r="AJ8276" s="397"/>
      <c r="AK8276" s="392"/>
      <c r="AL8276" s="392"/>
      <c r="AM8276" s="392"/>
      <c r="AN8276" s="392"/>
      <c r="AO8276" s="392"/>
      <c r="AP8276" s="392"/>
      <c r="AQ8276" s="392"/>
      <c r="AR8276" s="392"/>
      <c r="AS8276" s="392"/>
      <c r="AT8276" s="392"/>
      <c r="AU8276" s="397"/>
      <c r="AV8276" s="397"/>
      <c r="AW8276" s="397"/>
      <c r="AX8276" s="397"/>
      <c r="AY8276" s="392"/>
      <c r="AZ8276" s="392"/>
      <c r="BA8276" s="392"/>
      <c r="BB8276" s="392"/>
      <c r="BC8276" s="392"/>
      <c r="BD8276" s="392"/>
      <c r="BE8276" s="392"/>
      <c r="BF8276" s="392"/>
      <c r="BG8276" s="392"/>
      <c r="BH8276" s="392"/>
      <c r="BI8276" s="397"/>
      <c r="BJ8276" s="397"/>
      <c r="BK8276" s="397"/>
      <c r="BL8276" s="397"/>
      <c r="BM8276" s="397"/>
      <c r="BN8276" s="397"/>
      <c r="BO8276" s="397"/>
      <c r="BP8276" s="397"/>
      <c r="BQ8276" s="397"/>
      <c r="BR8276" s="397"/>
      <c r="BS8276" s="397"/>
      <c r="BT8276" s="397"/>
      <c r="BU8276" s="397"/>
      <c r="BV8276" s="397"/>
      <c r="BW8276" s="397"/>
      <c r="BX8276" s="397"/>
      <c r="BY8276" s="397"/>
      <c r="BZ8276" s="397"/>
      <c r="CA8276" s="392"/>
      <c r="CB8276" s="392"/>
    </row>
    <row r="8277" spans="1:80" ht="15" x14ac:dyDescent="0.25">
      <c r="A8277" s="385"/>
      <c r="B8277" s="392"/>
      <c r="C8277" s="392"/>
      <c r="D8277" s="700"/>
      <c r="E8277" s="397"/>
      <c r="F8277" s="392"/>
      <c r="G8277" s="392"/>
      <c r="H8277" s="401"/>
      <c r="I8277" s="165">
        <v>5</v>
      </c>
      <c r="J8277" s="165">
        <v>240</v>
      </c>
      <c r="K8277" s="165">
        <v>1</v>
      </c>
      <c r="L8277" s="628"/>
      <c r="M8277" s="628"/>
      <c r="N8277" s="388">
        <f>424.89*(0.028317)</f>
        <v>12.031610129999999</v>
      </c>
      <c r="O8277" s="389">
        <v>0.22393599999999997</v>
      </c>
      <c r="P8277" s="413"/>
      <c r="Q8277" s="413">
        <v>0.11764800448706843</v>
      </c>
      <c r="R8277" s="413">
        <v>6.9631728146529945E-2</v>
      </c>
      <c r="S8277" s="413">
        <v>0.16597151640405766</v>
      </c>
      <c r="T8277" s="413">
        <v>0.18982871616612873</v>
      </c>
      <c r="U8277" s="413">
        <v>0.19519819374061101</v>
      </c>
      <c r="V8277" s="504">
        <v>0</v>
      </c>
      <c r="W8277" s="504">
        <v>0</v>
      </c>
      <c r="X8277" s="504">
        <v>0</v>
      </c>
      <c r="Y8277" s="504">
        <v>0.26172184105560431</v>
      </c>
      <c r="Z8277" s="388">
        <v>63</v>
      </c>
      <c r="AA8277" s="388"/>
      <c r="AB8277" s="391"/>
      <c r="AC8277" s="392"/>
      <c r="AD8277" s="388">
        <f t="shared" si="62"/>
        <v>14.630400000000002</v>
      </c>
      <c r="AE8277" s="388">
        <f>2.1825*(0.3048)</f>
        <v>0.6652260000000001</v>
      </c>
      <c r="AF8277" s="388"/>
      <c r="AG8277" s="388">
        <f>4.05582665139366*(0.3048)</f>
        <v>1.2362159633447876</v>
      </c>
      <c r="AH8277" s="391"/>
      <c r="AI8277" s="397"/>
      <c r="AJ8277" s="397"/>
      <c r="AK8277" s="392"/>
      <c r="AL8277" s="392"/>
      <c r="AM8277" s="392"/>
      <c r="AN8277" s="392"/>
      <c r="AO8277" s="392"/>
      <c r="AP8277" s="392"/>
      <c r="AQ8277" s="392"/>
      <c r="AR8277" s="392"/>
      <c r="AS8277" s="392"/>
      <c r="AT8277" s="392"/>
      <c r="AU8277" s="397"/>
      <c r="AV8277" s="397"/>
      <c r="AW8277" s="397"/>
      <c r="AX8277" s="397"/>
      <c r="AY8277" s="392"/>
      <c r="AZ8277" s="392"/>
      <c r="BA8277" s="392"/>
      <c r="BB8277" s="392"/>
      <c r="BC8277" s="392"/>
      <c r="BD8277" s="392"/>
      <c r="BE8277" s="392"/>
      <c r="BF8277" s="392"/>
      <c r="BG8277" s="392"/>
      <c r="BH8277" s="392"/>
      <c r="BI8277" s="397"/>
      <c r="BJ8277" s="397"/>
      <c r="BK8277" s="397"/>
      <c r="BL8277" s="397"/>
      <c r="BM8277" s="397"/>
      <c r="BN8277" s="397"/>
      <c r="BO8277" s="397"/>
      <c r="BP8277" s="397"/>
      <c r="BQ8277" s="397"/>
      <c r="BR8277" s="397"/>
      <c r="BS8277" s="397"/>
      <c r="BT8277" s="397"/>
      <c r="BU8277" s="397"/>
      <c r="BV8277" s="397"/>
      <c r="BW8277" s="397"/>
      <c r="BX8277" s="397"/>
      <c r="BY8277" s="397"/>
      <c r="BZ8277" s="397"/>
      <c r="CA8277" s="392"/>
      <c r="CB8277" s="392"/>
    </row>
    <row r="8278" spans="1:80" ht="15" x14ac:dyDescent="0.25">
      <c r="A8278" s="385"/>
      <c r="B8278" s="392"/>
      <c r="C8278" s="392"/>
      <c r="D8278" s="700"/>
      <c r="E8278" s="397"/>
      <c r="F8278" s="392"/>
      <c r="G8278" s="392"/>
      <c r="H8278" s="401"/>
      <c r="I8278" s="165">
        <v>5</v>
      </c>
      <c r="J8278" s="165">
        <v>240</v>
      </c>
      <c r="K8278" s="165">
        <v>1</v>
      </c>
      <c r="L8278" s="628"/>
      <c r="M8278" s="628"/>
      <c r="N8278" s="388">
        <f>400.8*(0.028317)</f>
        <v>11.3494536</v>
      </c>
      <c r="O8278" s="389">
        <v>9.8640000000000005E-2</v>
      </c>
      <c r="P8278" s="413"/>
      <c r="Q8278" s="413">
        <v>0.11721626575400237</v>
      </c>
      <c r="R8278" s="413">
        <v>0.13678204733094354</v>
      </c>
      <c r="S8278" s="413">
        <v>0.18009034727741643</v>
      </c>
      <c r="T8278" s="413">
        <v>0.25869815574767646</v>
      </c>
      <c r="U8278" s="413">
        <v>0.15087346515060585</v>
      </c>
      <c r="V8278" s="504">
        <v>0</v>
      </c>
      <c r="W8278" s="504">
        <v>0</v>
      </c>
      <c r="X8278" s="504">
        <v>0</v>
      </c>
      <c r="Y8278" s="504">
        <v>0.15633971873935543</v>
      </c>
      <c r="Z8278" s="388">
        <v>40</v>
      </c>
      <c r="AA8278" s="388"/>
      <c r="AB8278" s="391"/>
      <c r="AC8278" s="392"/>
      <c r="AD8278" s="388">
        <f t="shared" si="62"/>
        <v>14.630400000000002</v>
      </c>
      <c r="AE8278" s="388">
        <f>2.17*(0.3048)</f>
        <v>0.661416</v>
      </c>
      <c r="AF8278" s="388"/>
      <c r="AG8278" s="388">
        <f>3.8478801843318*(0.3048)</f>
        <v>1.1728338801843328</v>
      </c>
      <c r="AH8278" s="391"/>
      <c r="AI8278" s="397"/>
      <c r="AJ8278" s="397"/>
      <c r="AK8278" s="392"/>
      <c r="AL8278" s="392"/>
      <c r="AM8278" s="392"/>
      <c r="AN8278" s="392"/>
      <c r="AO8278" s="392"/>
      <c r="AP8278" s="392"/>
      <c r="AQ8278" s="392"/>
      <c r="AR8278" s="392"/>
      <c r="AS8278" s="392"/>
      <c r="AT8278" s="392"/>
      <c r="AU8278" s="397"/>
      <c r="AV8278" s="397"/>
      <c r="AW8278" s="397"/>
      <c r="AX8278" s="397"/>
      <c r="AY8278" s="392"/>
      <c r="AZ8278" s="392"/>
      <c r="BA8278" s="392"/>
      <c r="BB8278" s="392"/>
      <c r="BC8278" s="392"/>
      <c r="BD8278" s="392"/>
      <c r="BE8278" s="392"/>
      <c r="BF8278" s="392"/>
      <c r="BG8278" s="392"/>
      <c r="BH8278" s="392"/>
      <c r="BI8278" s="397"/>
      <c r="BJ8278" s="397"/>
      <c r="BK8278" s="397"/>
      <c r="BL8278" s="397"/>
      <c r="BM8278" s="397"/>
      <c r="BN8278" s="397"/>
      <c r="BO8278" s="397"/>
      <c r="BP8278" s="397"/>
      <c r="BQ8278" s="397"/>
      <c r="BR8278" s="397"/>
      <c r="BS8278" s="397"/>
      <c r="BT8278" s="397"/>
      <c r="BU8278" s="397"/>
      <c r="BV8278" s="397"/>
      <c r="BW8278" s="397"/>
      <c r="BX8278" s="397"/>
      <c r="BY8278" s="397"/>
      <c r="BZ8278" s="397"/>
      <c r="CA8278" s="392"/>
      <c r="CB8278" s="392"/>
    </row>
    <row r="8279" spans="1:80" ht="15" x14ac:dyDescent="0.25">
      <c r="A8279" s="385"/>
      <c r="B8279" s="392"/>
      <c r="C8279" s="392"/>
      <c r="D8279" s="700"/>
      <c r="E8279" s="397"/>
      <c r="F8279" s="392"/>
      <c r="G8279" s="392"/>
      <c r="H8279" s="401"/>
      <c r="I8279" s="165">
        <v>5</v>
      </c>
      <c r="J8279" s="165">
        <v>240</v>
      </c>
      <c r="K8279" s="165">
        <v>1</v>
      </c>
      <c r="L8279" s="628"/>
      <c r="M8279" s="628"/>
      <c r="N8279" s="388">
        <f>357.066545674531*(0.028317)</f>
        <v>10.111053373865694</v>
      </c>
      <c r="O8279" s="389">
        <v>8.0112000000000003E-2</v>
      </c>
      <c r="P8279" s="413"/>
      <c r="Q8279" s="413"/>
      <c r="R8279" s="413">
        <v>5.3327208360587795E-3</v>
      </c>
      <c r="S8279" s="413">
        <v>8.4879139973935577E-2</v>
      </c>
      <c r="T8279" s="413">
        <v>0.19612229306995949</v>
      </c>
      <c r="U8279" s="413">
        <v>0.28431191423706637</v>
      </c>
      <c r="V8279" s="504">
        <v>0</v>
      </c>
      <c r="W8279" s="504">
        <v>0</v>
      </c>
      <c r="X8279" s="504">
        <v>0</v>
      </c>
      <c r="Y8279" s="504">
        <v>0.42935393188297971</v>
      </c>
      <c r="Z8279" s="388">
        <v>14</v>
      </c>
      <c r="AA8279" s="388"/>
      <c r="AB8279" s="391"/>
      <c r="AC8279" s="392"/>
      <c r="AD8279" s="388">
        <f t="shared" si="62"/>
        <v>14.630400000000002</v>
      </c>
      <c r="AE8279" s="388"/>
      <c r="AF8279" s="388"/>
      <c r="AG8279" s="435"/>
      <c r="AH8279" s="391"/>
      <c r="AI8279" s="397"/>
      <c r="AJ8279" s="397"/>
      <c r="AK8279" s="392"/>
      <c r="AL8279" s="392"/>
      <c r="AM8279" s="392"/>
      <c r="AN8279" s="392"/>
      <c r="AO8279" s="392"/>
      <c r="AP8279" s="392"/>
      <c r="AQ8279" s="392"/>
      <c r="AR8279" s="392"/>
      <c r="AS8279" s="392"/>
      <c r="AT8279" s="392"/>
      <c r="AU8279" s="397"/>
      <c r="AV8279" s="397"/>
      <c r="AW8279" s="397"/>
      <c r="AX8279" s="397"/>
      <c r="AY8279" s="392"/>
      <c r="AZ8279" s="392"/>
      <c r="BA8279" s="392"/>
      <c r="BB8279" s="392"/>
      <c r="BC8279" s="392"/>
      <c r="BD8279" s="392"/>
      <c r="BE8279" s="392"/>
      <c r="BF8279" s="392"/>
      <c r="BG8279" s="392"/>
      <c r="BH8279" s="392"/>
      <c r="BI8279" s="397"/>
      <c r="BJ8279" s="397"/>
      <c r="BK8279" s="397"/>
      <c r="BL8279" s="397"/>
      <c r="BM8279" s="397"/>
      <c r="BN8279" s="397"/>
      <c r="BO8279" s="397"/>
      <c r="BP8279" s="397"/>
      <c r="BQ8279" s="397"/>
      <c r="BR8279" s="397"/>
      <c r="BS8279" s="397"/>
      <c r="BT8279" s="397"/>
      <c r="BU8279" s="397"/>
      <c r="BV8279" s="397"/>
      <c r="BW8279" s="397"/>
      <c r="BX8279" s="397"/>
      <c r="BY8279" s="397"/>
      <c r="BZ8279" s="397"/>
      <c r="CA8279" s="392"/>
      <c r="CB8279" s="392"/>
    </row>
    <row r="8280" spans="1:80" ht="15" x14ac:dyDescent="0.25">
      <c r="A8280" s="385"/>
      <c r="B8280" s="392"/>
      <c r="C8280" s="392"/>
      <c r="D8280" s="700"/>
      <c r="E8280" s="397"/>
      <c r="F8280" s="392"/>
      <c r="G8280" s="392"/>
      <c r="H8280" s="401"/>
      <c r="I8280" s="165">
        <v>5</v>
      </c>
      <c r="J8280" s="165">
        <v>240</v>
      </c>
      <c r="K8280" s="165">
        <v>1</v>
      </c>
      <c r="L8280" s="628"/>
      <c r="M8280" s="628"/>
      <c r="N8280" s="388">
        <f>254.55*(0.028317)</f>
        <v>7.2080923500000003</v>
      </c>
      <c r="O8280" s="389">
        <v>6.992E-3</v>
      </c>
      <c r="P8280" s="413"/>
      <c r="Q8280" s="413"/>
      <c r="R8280" s="413">
        <v>7.1261080926508444E-2</v>
      </c>
      <c r="S8280" s="413">
        <v>9.671146697169003E-2</v>
      </c>
      <c r="T8280" s="413">
        <v>0.20165856448384328</v>
      </c>
      <c r="U8280" s="413">
        <v>0.16059479553903344</v>
      </c>
      <c r="V8280" s="504">
        <v>0</v>
      </c>
      <c r="W8280" s="504">
        <v>0</v>
      </c>
      <c r="X8280" s="504">
        <v>0</v>
      </c>
      <c r="Y8280" s="504">
        <v>0.46977409207892479</v>
      </c>
      <c r="Z8280" s="388">
        <v>20</v>
      </c>
      <c r="AA8280" s="388"/>
      <c r="AB8280" s="391"/>
      <c r="AC8280" s="392"/>
      <c r="AD8280" s="388">
        <f t="shared" si="62"/>
        <v>14.630400000000002</v>
      </c>
      <c r="AE8280" s="388">
        <f>1.75416666666667*(0.3048)</f>
        <v>0.53467000000000109</v>
      </c>
      <c r="AF8280" s="388"/>
      <c r="AG8280" s="388">
        <f>3.02313539192399*(0.3048)</f>
        <v>0.92145166745843221</v>
      </c>
      <c r="AH8280" s="391"/>
      <c r="AI8280" s="397"/>
      <c r="AJ8280" s="397"/>
      <c r="AK8280" s="392"/>
      <c r="AL8280" s="392"/>
      <c r="AM8280" s="392"/>
      <c r="AN8280" s="392"/>
      <c r="AO8280" s="392"/>
      <c r="AP8280" s="392"/>
      <c r="AQ8280" s="392"/>
      <c r="AR8280" s="392"/>
      <c r="AS8280" s="392"/>
      <c r="AT8280" s="392"/>
      <c r="AU8280" s="397"/>
      <c r="AV8280" s="397"/>
      <c r="AW8280" s="397"/>
      <c r="AX8280" s="397"/>
      <c r="AY8280" s="392"/>
      <c r="AZ8280" s="392"/>
      <c r="BA8280" s="392"/>
      <c r="BB8280" s="392"/>
      <c r="BC8280" s="392"/>
      <c r="BD8280" s="392"/>
      <c r="BE8280" s="392"/>
      <c r="BF8280" s="392"/>
      <c r="BG8280" s="392"/>
      <c r="BH8280" s="392"/>
      <c r="BI8280" s="397"/>
      <c r="BJ8280" s="397"/>
      <c r="BK8280" s="397"/>
      <c r="BL8280" s="397"/>
      <c r="BM8280" s="397"/>
      <c r="BN8280" s="397"/>
      <c r="BO8280" s="397"/>
      <c r="BP8280" s="397"/>
      <c r="BQ8280" s="397"/>
      <c r="BR8280" s="397"/>
      <c r="BS8280" s="397"/>
      <c r="BT8280" s="397"/>
      <c r="BU8280" s="397"/>
      <c r="BV8280" s="397"/>
      <c r="BW8280" s="397"/>
      <c r="BX8280" s="397"/>
      <c r="BY8280" s="397"/>
      <c r="BZ8280" s="397"/>
      <c r="CA8280" s="392"/>
      <c r="CB8280" s="392"/>
    </row>
    <row r="8281" spans="1:80" ht="15" x14ac:dyDescent="0.25">
      <c r="A8281" s="385"/>
      <c r="B8281" s="392"/>
      <c r="C8281" s="392"/>
      <c r="D8281" s="700"/>
      <c r="E8281" s="397"/>
      <c r="F8281" s="392"/>
      <c r="G8281" s="392"/>
      <c r="H8281" s="401"/>
      <c r="I8281" s="165">
        <v>5</v>
      </c>
      <c r="J8281" s="165">
        <v>240</v>
      </c>
      <c r="K8281" s="165">
        <v>1</v>
      </c>
      <c r="L8281" s="628"/>
      <c r="M8281" s="628"/>
      <c r="N8281" s="388">
        <f>361.69*(0.028317)</f>
        <v>10.24197573</v>
      </c>
      <c r="O8281" s="389">
        <v>1.0728E-2</v>
      </c>
      <c r="P8281" s="413"/>
      <c r="Q8281" s="413"/>
      <c r="R8281" s="413"/>
      <c r="S8281" s="413">
        <v>9.2936525695532193E-2</v>
      </c>
      <c r="T8281" s="413">
        <v>0.25076452599388377</v>
      </c>
      <c r="U8281" s="413">
        <v>0.15126426493622736</v>
      </c>
      <c r="V8281" s="504">
        <v>0</v>
      </c>
      <c r="W8281" s="504">
        <v>0</v>
      </c>
      <c r="X8281" s="504">
        <v>0</v>
      </c>
      <c r="Y8281" s="504">
        <v>0.50503468337435664</v>
      </c>
      <c r="Z8281" s="388">
        <v>14</v>
      </c>
      <c r="AA8281" s="388"/>
      <c r="AB8281" s="391"/>
      <c r="AC8281" s="392"/>
      <c r="AD8281" s="388">
        <f t="shared" si="62"/>
        <v>14.630400000000002</v>
      </c>
      <c r="AE8281" s="388">
        <f>1.92083333333333*(0.3048)</f>
        <v>0.58546999999999905</v>
      </c>
      <c r="AF8281" s="388"/>
      <c r="AG8281" s="388">
        <f>3.92290672451193*(0.3048)</f>
        <v>1.1957019696312363</v>
      </c>
      <c r="AH8281" s="391"/>
      <c r="AI8281" s="397"/>
      <c r="AJ8281" s="397"/>
      <c r="AK8281" s="392"/>
      <c r="AL8281" s="392"/>
      <c r="AM8281" s="392"/>
      <c r="AN8281" s="392"/>
      <c r="AO8281" s="392"/>
      <c r="AP8281" s="392"/>
      <c r="AQ8281" s="392"/>
      <c r="AR8281" s="392"/>
      <c r="AS8281" s="392"/>
      <c r="AT8281" s="392"/>
      <c r="AU8281" s="397"/>
      <c r="AV8281" s="397"/>
      <c r="AW8281" s="397"/>
      <c r="AX8281" s="397"/>
      <c r="AY8281" s="392"/>
      <c r="AZ8281" s="392"/>
      <c r="BA8281" s="392"/>
      <c r="BB8281" s="392"/>
      <c r="BC8281" s="392"/>
      <c r="BD8281" s="392"/>
      <c r="BE8281" s="392"/>
      <c r="BF8281" s="392"/>
      <c r="BG8281" s="392"/>
      <c r="BH8281" s="392"/>
      <c r="BI8281" s="397"/>
      <c r="BJ8281" s="397"/>
      <c r="BK8281" s="397"/>
      <c r="BL8281" s="397"/>
      <c r="BM8281" s="397"/>
      <c r="BN8281" s="397"/>
      <c r="BO8281" s="397"/>
      <c r="BP8281" s="397"/>
      <c r="BQ8281" s="397"/>
      <c r="BR8281" s="397"/>
      <c r="BS8281" s="397"/>
      <c r="BT8281" s="397"/>
      <c r="BU8281" s="397"/>
      <c r="BV8281" s="397"/>
      <c r="BW8281" s="397"/>
      <c r="BX8281" s="397"/>
      <c r="BY8281" s="397"/>
      <c r="BZ8281" s="397"/>
      <c r="CA8281" s="392"/>
      <c r="CB8281" s="392"/>
    </row>
    <row r="8282" spans="1:80" ht="15" x14ac:dyDescent="0.25">
      <c r="A8282" s="385"/>
      <c r="B8282" s="392"/>
      <c r="C8282" s="392"/>
      <c r="D8282" s="700"/>
      <c r="E8282" s="397"/>
      <c r="F8282" s="392"/>
      <c r="G8282" s="392"/>
      <c r="H8282" s="401"/>
      <c r="I8282" s="165">
        <v>5</v>
      </c>
      <c r="J8282" s="165">
        <v>240</v>
      </c>
      <c r="K8282" s="165">
        <v>1</v>
      </c>
      <c r="L8282" s="628"/>
      <c r="M8282" s="628"/>
      <c r="N8282" s="388">
        <f>498.26*(0.028317)</f>
        <v>14.109228419999999</v>
      </c>
      <c r="O8282" s="389">
        <v>7.5679999999999997E-2</v>
      </c>
      <c r="P8282" s="413"/>
      <c r="Q8282" s="413"/>
      <c r="R8282" s="413">
        <v>5.3911205073995772E-2</v>
      </c>
      <c r="S8282" s="413">
        <v>8.0338266384778007E-2</v>
      </c>
      <c r="T8282" s="413">
        <v>0.14799154334038056</v>
      </c>
      <c r="U8282" s="413">
        <v>0.14059196617336153</v>
      </c>
      <c r="V8282" s="504">
        <v>0</v>
      </c>
      <c r="W8282" s="504">
        <v>0</v>
      </c>
      <c r="X8282" s="504">
        <v>0</v>
      </c>
      <c r="Y8282" s="504">
        <v>0.57716701902748413</v>
      </c>
      <c r="Z8282" s="388">
        <v>37</v>
      </c>
      <c r="AA8282" s="388"/>
      <c r="AB8282" s="391"/>
      <c r="AC8282" s="392"/>
      <c r="AD8282" s="388">
        <f t="shared" si="62"/>
        <v>14.630400000000002</v>
      </c>
      <c r="AE8282" s="388">
        <f>2.40416666666667*(0.3048)</f>
        <v>0.73279000000000105</v>
      </c>
      <c r="AF8282" s="388"/>
      <c r="AG8282" s="388">
        <f>4.31767764298093*(0.3048)</f>
        <v>1.3160281455805873</v>
      </c>
      <c r="AH8282" s="391"/>
      <c r="AI8282" s="397"/>
      <c r="AJ8282" s="397"/>
      <c r="AK8282" s="392"/>
      <c r="AL8282" s="392"/>
      <c r="AM8282" s="392"/>
      <c r="AN8282" s="392"/>
      <c r="AO8282" s="392"/>
      <c r="AP8282" s="392"/>
      <c r="AQ8282" s="392"/>
      <c r="AR8282" s="392"/>
      <c r="AS8282" s="392"/>
      <c r="AT8282" s="392"/>
      <c r="AU8282" s="397"/>
      <c r="AV8282" s="397"/>
      <c r="AW8282" s="397"/>
      <c r="AX8282" s="397"/>
      <c r="AY8282" s="392"/>
      <c r="AZ8282" s="392"/>
      <c r="BA8282" s="392"/>
      <c r="BB8282" s="392"/>
      <c r="BC8282" s="392"/>
      <c r="BD8282" s="392"/>
      <c r="BE8282" s="392"/>
      <c r="BF8282" s="392"/>
      <c r="BG8282" s="392"/>
      <c r="BH8282" s="392"/>
      <c r="BI8282" s="397"/>
      <c r="BJ8282" s="397"/>
      <c r="BK8282" s="397"/>
      <c r="BL8282" s="397"/>
      <c r="BM8282" s="397"/>
      <c r="BN8282" s="397"/>
      <c r="BO8282" s="397"/>
      <c r="BP8282" s="397"/>
      <c r="BQ8282" s="397"/>
      <c r="BR8282" s="397"/>
      <c r="BS8282" s="397"/>
      <c r="BT8282" s="397"/>
      <c r="BU8282" s="397"/>
      <c r="BV8282" s="397"/>
      <c r="BW8282" s="397"/>
      <c r="BX8282" s="397"/>
      <c r="BY8282" s="397"/>
      <c r="BZ8282" s="397"/>
      <c r="CA8282" s="392"/>
      <c r="CB8282" s="392"/>
    </row>
    <row r="8283" spans="1:80" ht="15" x14ac:dyDescent="0.25">
      <c r="A8283" s="385"/>
      <c r="B8283" s="392"/>
      <c r="C8283" s="392"/>
      <c r="D8283" s="700"/>
      <c r="E8283" s="397"/>
      <c r="F8283" s="392"/>
      <c r="G8283" s="392"/>
      <c r="H8283" s="401"/>
      <c r="I8283" s="165">
        <v>5</v>
      </c>
      <c r="J8283" s="165">
        <v>240</v>
      </c>
      <c r="K8283" s="165">
        <v>1</v>
      </c>
      <c r="L8283" s="628"/>
      <c r="M8283" s="628"/>
      <c r="N8283" s="388">
        <f>655.03*(0.028317)</f>
        <v>18.548484509999998</v>
      </c>
      <c r="O8283" s="389">
        <v>0.68599999999999994</v>
      </c>
      <c r="P8283" s="413"/>
      <c r="Q8283" s="413">
        <v>8.3498542274052484E-2</v>
      </c>
      <c r="R8283" s="413">
        <v>0.1119533527696793</v>
      </c>
      <c r="S8283" s="413">
        <v>0.20909620991253644</v>
      </c>
      <c r="T8283" s="413">
        <v>0.17364431486880466</v>
      </c>
      <c r="U8283" s="413">
        <v>0.15486880466472303</v>
      </c>
      <c r="V8283" s="504">
        <v>0</v>
      </c>
      <c r="W8283" s="504">
        <v>0</v>
      </c>
      <c r="X8283" s="504">
        <v>0</v>
      </c>
      <c r="Y8283" s="504">
        <v>0.26693877551020406</v>
      </c>
      <c r="Z8283" s="388">
        <v>52</v>
      </c>
      <c r="AA8283" s="388"/>
      <c r="AB8283" s="391"/>
      <c r="AC8283" s="392"/>
      <c r="AD8283" s="388">
        <f t="shared" si="62"/>
        <v>14.630400000000002</v>
      </c>
      <c r="AE8283" s="388">
        <f>2.59125*(0.3048)</f>
        <v>0.7898130000000001</v>
      </c>
      <c r="AF8283" s="388"/>
      <c r="AG8283" s="388">
        <f>5.26639331082167*(0.3048)</f>
        <v>1.605196681138445</v>
      </c>
      <c r="AH8283" s="391"/>
      <c r="AI8283" s="397"/>
      <c r="AJ8283" s="397"/>
      <c r="AK8283" s="392"/>
      <c r="AL8283" s="392"/>
      <c r="AM8283" s="392"/>
      <c r="AN8283" s="392"/>
      <c r="AO8283" s="392"/>
      <c r="AP8283" s="392"/>
      <c r="AQ8283" s="392"/>
      <c r="AR8283" s="392"/>
      <c r="AS8283" s="392"/>
      <c r="AT8283" s="392"/>
      <c r="AU8283" s="397"/>
      <c r="AV8283" s="397"/>
      <c r="AW8283" s="397"/>
      <c r="AX8283" s="397"/>
      <c r="AY8283" s="392"/>
      <c r="AZ8283" s="392"/>
      <c r="BA8283" s="392"/>
      <c r="BB8283" s="392"/>
      <c r="BC8283" s="392"/>
      <c r="BD8283" s="392"/>
      <c r="BE8283" s="392"/>
      <c r="BF8283" s="392"/>
      <c r="BG8283" s="392"/>
      <c r="BH8283" s="392"/>
      <c r="BI8283" s="397"/>
      <c r="BJ8283" s="397"/>
      <c r="BK8283" s="397"/>
      <c r="BL8283" s="397"/>
      <c r="BM8283" s="397"/>
      <c r="BN8283" s="397"/>
      <c r="BO8283" s="397"/>
      <c r="BP8283" s="397"/>
      <c r="BQ8283" s="397"/>
      <c r="BR8283" s="397"/>
      <c r="BS8283" s="397"/>
      <c r="BT8283" s="397"/>
      <c r="BU8283" s="397"/>
      <c r="BV8283" s="397"/>
      <c r="BW8283" s="397"/>
      <c r="BX8283" s="397"/>
      <c r="BY8283" s="397"/>
      <c r="BZ8283" s="397"/>
      <c r="CA8283" s="392"/>
      <c r="CB8283" s="392"/>
    </row>
    <row r="8284" spans="1:80" ht="15" x14ac:dyDescent="0.25">
      <c r="A8284" s="385"/>
      <c r="B8284" s="392"/>
      <c r="C8284" s="392"/>
      <c r="D8284" s="700"/>
      <c r="E8284" s="397"/>
      <c r="F8284" s="392"/>
      <c r="G8284" s="392"/>
      <c r="H8284" s="401"/>
      <c r="I8284" s="165">
        <v>5</v>
      </c>
      <c r="J8284" s="165">
        <v>240</v>
      </c>
      <c r="K8284" s="165">
        <v>1</v>
      </c>
      <c r="L8284" s="628"/>
      <c r="M8284" s="628"/>
      <c r="N8284" s="388">
        <f>955.77*(0.028317)</f>
        <v>27.064539089999997</v>
      </c>
      <c r="O8284" s="389">
        <v>1.82616</v>
      </c>
      <c r="P8284" s="413">
        <v>6.089280238314277E-2</v>
      </c>
      <c r="Q8284" s="413">
        <v>0.1506987339554037</v>
      </c>
      <c r="R8284" s="413">
        <v>0.23121741796994788</v>
      </c>
      <c r="S8284" s="413">
        <v>0.25001095194287465</v>
      </c>
      <c r="T8284" s="413">
        <v>0.14167433302667892</v>
      </c>
      <c r="U8284" s="413">
        <v>6.9829587768870202E-2</v>
      </c>
      <c r="V8284" s="504">
        <v>0</v>
      </c>
      <c r="W8284" s="504">
        <v>0</v>
      </c>
      <c r="X8284" s="504">
        <v>0</v>
      </c>
      <c r="Y8284" s="504">
        <v>9.5676172953081881E-2</v>
      </c>
      <c r="Z8284" s="388">
        <v>86</v>
      </c>
      <c r="AA8284" s="388"/>
      <c r="AB8284" s="391"/>
      <c r="AC8284" s="392"/>
      <c r="AD8284" s="388">
        <f t="shared" si="62"/>
        <v>14.630400000000002</v>
      </c>
      <c r="AE8284" s="388">
        <f>2.72958333333333*(0.3048)</f>
        <v>0.83197699999999908</v>
      </c>
      <c r="AF8284" s="388"/>
      <c r="AG8284" s="388">
        <f>7.29485880018318*(0.3048)</f>
        <v>2.2234729622958334</v>
      </c>
      <c r="AH8284" s="391"/>
      <c r="AI8284" s="397"/>
      <c r="AJ8284" s="397"/>
      <c r="AK8284" s="392"/>
      <c r="AL8284" s="392"/>
      <c r="AM8284" s="392"/>
      <c r="AN8284" s="392"/>
      <c r="AO8284" s="392"/>
      <c r="AP8284" s="392"/>
      <c r="AQ8284" s="392"/>
      <c r="AR8284" s="392"/>
      <c r="AS8284" s="392"/>
      <c r="AT8284" s="392"/>
      <c r="AU8284" s="397"/>
      <c r="AV8284" s="397"/>
      <c r="AW8284" s="397"/>
      <c r="AX8284" s="397"/>
      <c r="AY8284" s="392"/>
      <c r="AZ8284" s="392"/>
      <c r="BA8284" s="392"/>
      <c r="BB8284" s="392"/>
      <c r="BC8284" s="392"/>
      <c r="BD8284" s="392"/>
      <c r="BE8284" s="392"/>
      <c r="BF8284" s="392"/>
      <c r="BG8284" s="392"/>
      <c r="BH8284" s="392"/>
      <c r="BI8284" s="397"/>
      <c r="BJ8284" s="397"/>
      <c r="BK8284" s="397"/>
      <c r="BL8284" s="397"/>
      <c r="BM8284" s="397"/>
      <c r="BN8284" s="397"/>
      <c r="BO8284" s="397"/>
      <c r="BP8284" s="397"/>
      <c r="BQ8284" s="397"/>
      <c r="BR8284" s="397"/>
      <c r="BS8284" s="397"/>
      <c r="BT8284" s="397"/>
      <c r="BU8284" s="397"/>
      <c r="BV8284" s="397"/>
      <c r="BW8284" s="397"/>
      <c r="BX8284" s="397"/>
      <c r="BY8284" s="397"/>
      <c r="BZ8284" s="397"/>
      <c r="CA8284" s="392"/>
      <c r="CB8284" s="392"/>
    </row>
    <row r="8285" spans="1:80" ht="15" x14ac:dyDescent="0.25">
      <c r="A8285" s="385"/>
      <c r="B8285" s="392"/>
      <c r="C8285" s="392"/>
      <c r="D8285" s="700"/>
      <c r="E8285" s="397"/>
      <c r="F8285" s="392"/>
      <c r="G8285" s="392"/>
      <c r="H8285" s="401"/>
      <c r="I8285" s="165">
        <v>5</v>
      </c>
      <c r="J8285" s="165">
        <v>240</v>
      </c>
      <c r="K8285" s="165">
        <v>1</v>
      </c>
      <c r="L8285" s="628"/>
      <c r="M8285" s="628"/>
      <c r="N8285" s="388">
        <f>957.27*(0.028317)</f>
        <v>27.107014589999999</v>
      </c>
      <c r="O8285" s="389">
        <v>1.48288</v>
      </c>
      <c r="P8285" s="413"/>
      <c r="Q8285" s="413">
        <v>0.23311394044022443</v>
      </c>
      <c r="R8285" s="413">
        <v>0.21525679758308158</v>
      </c>
      <c r="S8285" s="413">
        <v>0.16756581786793268</v>
      </c>
      <c r="T8285" s="413">
        <v>0.10541648683642642</v>
      </c>
      <c r="U8285" s="413">
        <v>8.7181700474751836E-2</v>
      </c>
      <c r="V8285" s="504">
        <v>0</v>
      </c>
      <c r="W8285" s="504">
        <v>0</v>
      </c>
      <c r="X8285" s="504">
        <v>0</v>
      </c>
      <c r="Y8285" s="504">
        <v>0.19146525679758308</v>
      </c>
      <c r="Z8285" s="388">
        <v>75</v>
      </c>
      <c r="AA8285" s="388"/>
      <c r="AB8285" s="391"/>
      <c r="AC8285" s="392"/>
      <c r="AD8285" s="388">
        <f t="shared" si="62"/>
        <v>14.630400000000002</v>
      </c>
      <c r="AE8285" s="388">
        <f>2.88333333333333*(0.3048)</f>
        <v>0.87883999999999907</v>
      </c>
      <c r="AF8285" s="388"/>
      <c r="AG8285" s="388">
        <f>6.91667630057803*(0.3048)</f>
        <v>2.1082029364161836</v>
      </c>
      <c r="AH8285" s="391"/>
      <c r="AI8285" s="397"/>
      <c r="AJ8285" s="397"/>
      <c r="AK8285" s="392"/>
      <c r="AL8285" s="392"/>
      <c r="AM8285" s="392"/>
      <c r="AN8285" s="392"/>
      <c r="AO8285" s="392"/>
      <c r="AP8285" s="392"/>
      <c r="AQ8285" s="392"/>
      <c r="AR8285" s="392"/>
      <c r="AS8285" s="392"/>
      <c r="AT8285" s="392"/>
      <c r="AU8285" s="397"/>
      <c r="AV8285" s="397"/>
      <c r="AW8285" s="397"/>
      <c r="AX8285" s="397"/>
      <c r="AY8285" s="392"/>
      <c r="AZ8285" s="392"/>
      <c r="BA8285" s="392"/>
      <c r="BB8285" s="392"/>
      <c r="BC8285" s="392"/>
      <c r="BD8285" s="392"/>
      <c r="BE8285" s="392"/>
      <c r="BF8285" s="392"/>
      <c r="BG8285" s="392"/>
      <c r="BH8285" s="392"/>
      <c r="BI8285" s="397"/>
      <c r="BJ8285" s="397"/>
      <c r="BK8285" s="397"/>
      <c r="BL8285" s="397"/>
      <c r="BM8285" s="397"/>
      <c r="BN8285" s="397"/>
      <c r="BO8285" s="397"/>
      <c r="BP8285" s="397"/>
      <c r="BQ8285" s="397"/>
      <c r="BR8285" s="397"/>
      <c r="BS8285" s="397"/>
      <c r="BT8285" s="397"/>
      <c r="BU8285" s="397"/>
      <c r="BV8285" s="397"/>
      <c r="BW8285" s="397"/>
      <c r="BX8285" s="397"/>
      <c r="BY8285" s="397"/>
      <c r="BZ8285" s="397"/>
      <c r="CA8285" s="392"/>
      <c r="CB8285" s="392"/>
    </row>
    <row r="8286" spans="1:80" ht="15" x14ac:dyDescent="0.25">
      <c r="A8286" s="385"/>
      <c r="B8286" s="392"/>
      <c r="C8286" s="392"/>
      <c r="D8286" s="700"/>
      <c r="E8286" s="397"/>
      <c r="F8286" s="392"/>
      <c r="G8286" s="392"/>
      <c r="H8286" s="401"/>
      <c r="I8286" s="165">
        <v>5</v>
      </c>
      <c r="J8286" s="165">
        <v>240</v>
      </c>
      <c r="K8286" s="165">
        <v>1</v>
      </c>
      <c r="L8286" s="628"/>
      <c r="M8286" s="628"/>
      <c r="N8286" s="388">
        <f>908.43*(0.028317)</f>
        <v>25.724012309999996</v>
      </c>
      <c r="O8286" s="389">
        <v>0.62544</v>
      </c>
      <c r="P8286" s="413">
        <v>0.11256075722691225</v>
      </c>
      <c r="Q8286" s="413">
        <v>0.15144538245075467</v>
      </c>
      <c r="R8286" s="413">
        <v>7.1117932975185469E-2</v>
      </c>
      <c r="S8286" s="413">
        <v>0.15182911230493731</v>
      </c>
      <c r="T8286" s="413">
        <v>0.13993348682527501</v>
      </c>
      <c r="U8286" s="413">
        <v>0.10475825019186492</v>
      </c>
      <c r="V8286" s="504">
        <v>0</v>
      </c>
      <c r="W8286" s="504">
        <v>0</v>
      </c>
      <c r="X8286" s="504">
        <v>0</v>
      </c>
      <c r="Y8286" s="504">
        <v>0.26835507802507036</v>
      </c>
      <c r="Z8286" s="388">
        <v>85</v>
      </c>
      <c r="AA8286" s="388"/>
      <c r="AB8286" s="391"/>
      <c r="AC8286" s="392"/>
      <c r="AD8286" s="388">
        <f t="shared" si="62"/>
        <v>14.630400000000002</v>
      </c>
      <c r="AE8286" s="388">
        <f>3.01666666666667*(0.3048)</f>
        <v>0.91948000000000107</v>
      </c>
      <c r="AF8286" s="388"/>
      <c r="AG8286" s="388">
        <f>6.27366022099448*(0.3048)</f>
        <v>1.9122116353591176</v>
      </c>
      <c r="AH8286" s="391"/>
      <c r="AI8286" s="397"/>
      <c r="AJ8286" s="397"/>
      <c r="AK8286" s="392"/>
      <c r="AL8286" s="392"/>
      <c r="AM8286" s="392"/>
      <c r="AN8286" s="392"/>
      <c r="AO8286" s="392"/>
      <c r="AP8286" s="392"/>
      <c r="AQ8286" s="392"/>
      <c r="AR8286" s="392"/>
      <c r="AS8286" s="392"/>
      <c r="AT8286" s="392"/>
      <c r="AU8286" s="397"/>
      <c r="AV8286" s="397"/>
      <c r="AW8286" s="397"/>
      <c r="AX8286" s="397"/>
      <c r="AY8286" s="392"/>
      <c r="AZ8286" s="392"/>
      <c r="BA8286" s="392"/>
      <c r="BB8286" s="392"/>
      <c r="BC8286" s="392"/>
      <c r="BD8286" s="392"/>
      <c r="BE8286" s="392"/>
      <c r="BF8286" s="392"/>
      <c r="BG8286" s="392"/>
      <c r="BH8286" s="392"/>
      <c r="BI8286" s="397"/>
      <c r="BJ8286" s="397"/>
      <c r="BK8286" s="397"/>
      <c r="BL8286" s="397"/>
      <c r="BM8286" s="397"/>
      <c r="BN8286" s="397"/>
      <c r="BO8286" s="397"/>
      <c r="BP8286" s="397"/>
      <c r="BQ8286" s="397"/>
      <c r="BR8286" s="397"/>
      <c r="BS8286" s="397"/>
      <c r="BT8286" s="397"/>
      <c r="BU8286" s="397"/>
      <c r="BV8286" s="397"/>
      <c r="BW8286" s="397"/>
      <c r="BX8286" s="397"/>
      <c r="BY8286" s="397"/>
      <c r="BZ8286" s="397"/>
      <c r="CA8286" s="392"/>
      <c r="CB8286" s="392"/>
    </row>
    <row r="8287" spans="1:80" ht="15" x14ac:dyDescent="0.25">
      <c r="A8287" s="385"/>
      <c r="B8287" s="392"/>
      <c r="C8287" s="392"/>
      <c r="D8287" s="700"/>
      <c r="E8287" s="397"/>
      <c r="F8287" s="392"/>
      <c r="G8287" s="392"/>
      <c r="H8287" s="401"/>
      <c r="I8287" s="165">
        <v>5</v>
      </c>
      <c r="J8287" s="165">
        <v>240</v>
      </c>
      <c r="K8287" s="165">
        <v>1</v>
      </c>
      <c r="L8287" s="628"/>
      <c r="M8287" s="628"/>
      <c r="N8287" s="388">
        <f>862.208711433757*(0.028317)</f>
        <v>24.415164081669694</v>
      </c>
      <c r="O8287" s="389">
        <v>1.1495200000000001</v>
      </c>
      <c r="P8287" s="413">
        <v>0.49961723154012111</v>
      </c>
      <c r="Q8287" s="413">
        <v>5.7484863247268425E-2</v>
      </c>
      <c r="R8287" s="413">
        <v>7.2030064722666848E-2</v>
      </c>
      <c r="S8287" s="413">
        <v>7.5579372259725802E-2</v>
      </c>
      <c r="T8287" s="413">
        <v>8.4209061173359315E-2</v>
      </c>
      <c r="U8287" s="413">
        <v>6.9315888370798245E-2</v>
      </c>
      <c r="V8287" s="504">
        <v>0</v>
      </c>
      <c r="W8287" s="504">
        <v>0</v>
      </c>
      <c r="X8287" s="504">
        <v>0</v>
      </c>
      <c r="Y8287" s="504">
        <v>0.14176351868606027</v>
      </c>
      <c r="Z8287" s="388">
        <v>146</v>
      </c>
      <c r="AA8287" s="388"/>
      <c r="AB8287" s="391"/>
      <c r="AC8287" s="392"/>
      <c r="AD8287" s="388">
        <f t="shared" si="62"/>
        <v>14.630400000000002</v>
      </c>
      <c r="AE8287" s="388"/>
      <c r="AF8287" s="388"/>
      <c r="AG8287" s="436"/>
      <c r="AH8287" s="391"/>
      <c r="AI8287" s="397"/>
      <c r="AJ8287" s="397"/>
      <c r="AK8287" s="392"/>
      <c r="AL8287" s="392"/>
      <c r="AM8287" s="392"/>
      <c r="AN8287" s="392"/>
      <c r="AO8287" s="392"/>
      <c r="AP8287" s="392"/>
      <c r="AQ8287" s="392"/>
      <c r="AR8287" s="392"/>
      <c r="AS8287" s="392"/>
      <c r="AT8287" s="392"/>
      <c r="AU8287" s="397"/>
      <c r="AV8287" s="397"/>
      <c r="AW8287" s="397"/>
      <c r="AX8287" s="397"/>
      <c r="AY8287" s="392"/>
      <c r="AZ8287" s="392"/>
      <c r="BA8287" s="392"/>
      <c r="BB8287" s="392"/>
      <c r="BC8287" s="392"/>
      <c r="BD8287" s="392"/>
      <c r="BE8287" s="392"/>
      <c r="BF8287" s="392"/>
      <c r="BG8287" s="392"/>
      <c r="BH8287" s="392"/>
      <c r="BI8287" s="397"/>
      <c r="BJ8287" s="397"/>
      <c r="BK8287" s="397"/>
      <c r="BL8287" s="397"/>
      <c r="BM8287" s="397"/>
      <c r="BN8287" s="397"/>
      <c r="BO8287" s="397"/>
      <c r="BP8287" s="397"/>
      <c r="BQ8287" s="397"/>
      <c r="BR8287" s="397"/>
      <c r="BS8287" s="397"/>
      <c r="BT8287" s="397"/>
      <c r="BU8287" s="397"/>
      <c r="BV8287" s="397"/>
      <c r="BW8287" s="397"/>
      <c r="BX8287" s="397"/>
      <c r="BY8287" s="397"/>
      <c r="BZ8287" s="397"/>
      <c r="CA8287" s="392"/>
      <c r="CB8287" s="392"/>
    </row>
    <row r="8288" spans="1:80" ht="15" x14ac:dyDescent="0.25">
      <c r="A8288" s="385"/>
      <c r="B8288" s="392"/>
      <c r="C8288" s="392"/>
      <c r="D8288" s="700"/>
      <c r="E8288" s="397"/>
      <c r="F8288" s="392"/>
      <c r="G8288" s="392"/>
      <c r="H8288" s="401"/>
      <c r="I8288" s="165">
        <v>5</v>
      </c>
      <c r="J8288" s="165">
        <v>240</v>
      </c>
      <c r="K8288" s="165">
        <v>1</v>
      </c>
      <c r="L8288" s="628"/>
      <c r="M8288" s="628"/>
      <c r="N8288" s="388">
        <f>701.894131881428*(0.028317)</f>
        <v>19.875536132486396</v>
      </c>
      <c r="O8288" s="389">
        <v>2.57456</v>
      </c>
      <c r="P8288" s="413">
        <v>0.15517991423777266</v>
      </c>
      <c r="Q8288" s="413">
        <v>0.3079050400845193</v>
      </c>
      <c r="R8288" s="413">
        <v>0.2393263314896526</v>
      </c>
      <c r="S8288" s="413">
        <v>0.12162078180349263</v>
      </c>
      <c r="T8288" s="413">
        <v>6.7242557951649989E-2</v>
      </c>
      <c r="U8288" s="413">
        <v>4.6081660555590084E-2</v>
      </c>
      <c r="V8288" s="504">
        <v>0</v>
      </c>
      <c r="W8288" s="504">
        <v>0</v>
      </c>
      <c r="X8288" s="504">
        <v>0</v>
      </c>
      <c r="Y8288" s="504">
        <v>6.2643713877322732E-2</v>
      </c>
      <c r="Z8288" s="388">
        <v>110</v>
      </c>
      <c r="AA8288" s="388"/>
      <c r="AB8288" s="391"/>
      <c r="AC8288" s="392"/>
      <c r="AD8288" s="388">
        <f t="shared" si="62"/>
        <v>14.630400000000002</v>
      </c>
      <c r="AE8288" s="388"/>
      <c r="AF8288" s="388"/>
      <c r="AG8288" s="399"/>
      <c r="AH8288" s="391"/>
      <c r="AI8288" s="397"/>
      <c r="AJ8288" s="397"/>
      <c r="AK8288" s="392"/>
      <c r="AL8288" s="392"/>
      <c r="AM8288" s="392"/>
      <c r="AN8288" s="392"/>
      <c r="AO8288" s="392"/>
      <c r="AP8288" s="392"/>
      <c r="AQ8288" s="392"/>
      <c r="AR8288" s="392"/>
      <c r="AS8288" s="392"/>
      <c r="AT8288" s="392"/>
      <c r="AU8288" s="397"/>
      <c r="AV8288" s="397"/>
      <c r="AW8288" s="397"/>
      <c r="AX8288" s="397"/>
      <c r="AY8288" s="392"/>
      <c r="AZ8288" s="392"/>
      <c r="BA8288" s="392"/>
      <c r="BB8288" s="392"/>
      <c r="BC8288" s="392"/>
      <c r="BD8288" s="392"/>
      <c r="BE8288" s="392"/>
      <c r="BF8288" s="392"/>
      <c r="BG8288" s="392"/>
      <c r="BH8288" s="392"/>
      <c r="BI8288" s="397"/>
      <c r="BJ8288" s="397"/>
      <c r="BK8288" s="397"/>
      <c r="BL8288" s="397"/>
      <c r="BM8288" s="397"/>
      <c r="BN8288" s="397"/>
      <c r="BO8288" s="397"/>
      <c r="BP8288" s="397"/>
      <c r="BQ8288" s="397"/>
      <c r="BR8288" s="397"/>
      <c r="BS8288" s="397"/>
      <c r="BT8288" s="397"/>
      <c r="BU8288" s="397"/>
      <c r="BV8288" s="397"/>
      <c r="BW8288" s="397"/>
      <c r="BX8288" s="397"/>
      <c r="BY8288" s="397"/>
      <c r="BZ8288" s="397"/>
      <c r="CA8288" s="392"/>
      <c r="CB8288" s="392"/>
    </row>
    <row r="8289" spans="1:80" ht="15" x14ac:dyDescent="0.25">
      <c r="A8289" s="385"/>
      <c r="B8289" s="392"/>
      <c r="C8289" s="392"/>
      <c r="D8289" s="700"/>
      <c r="E8289" s="397"/>
      <c r="F8289" s="392"/>
      <c r="G8289" s="392"/>
      <c r="H8289" s="401"/>
      <c r="I8289" s="165">
        <v>5</v>
      </c>
      <c r="J8289" s="165">
        <v>240</v>
      </c>
      <c r="K8289" s="165">
        <v>1</v>
      </c>
      <c r="L8289" s="628"/>
      <c r="M8289" s="628"/>
      <c r="N8289" s="388">
        <f>480.94*(0.028317)</f>
        <v>13.618777979999999</v>
      </c>
      <c r="O8289" s="389">
        <v>8.6720000000000005E-2</v>
      </c>
      <c r="P8289" s="413"/>
      <c r="Q8289" s="413"/>
      <c r="R8289" s="413">
        <v>4.7047970479704798E-2</v>
      </c>
      <c r="S8289" s="413">
        <v>2.3062730627306273E-2</v>
      </c>
      <c r="T8289" s="413">
        <v>0.30073800738007378</v>
      </c>
      <c r="U8289" s="413">
        <v>0.18357933579335795</v>
      </c>
      <c r="V8289" s="504">
        <v>0</v>
      </c>
      <c r="W8289" s="504">
        <v>0</v>
      </c>
      <c r="X8289" s="504">
        <v>0</v>
      </c>
      <c r="Y8289" s="504">
        <v>0.44557195571955721</v>
      </c>
      <c r="Z8289" s="388">
        <v>21</v>
      </c>
      <c r="AA8289" s="388"/>
      <c r="AB8289" s="391"/>
      <c r="AC8289" s="392"/>
      <c r="AD8289" s="388">
        <f t="shared" si="62"/>
        <v>14.630400000000002</v>
      </c>
      <c r="AE8289" s="388">
        <f>2.22091145833333*(0.3048)</f>
        <v>0.67693381249999907</v>
      </c>
      <c r="AF8289" s="388"/>
      <c r="AG8289" s="388">
        <f>4.51150088528781*(0.3048)</f>
        <v>1.3751054698357246</v>
      </c>
      <c r="AH8289" s="391"/>
      <c r="AI8289" s="397"/>
      <c r="AJ8289" s="397"/>
      <c r="AK8289" s="392"/>
      <c r="AL8289" s="392"/>
      <c r="AM8289" s="392"/>
      <c r="AN8289" s="392"/>
      <c r="AO8289" s="392"/>
      <c r="AP8289" s="392"/>
      <c r="AQ8289" s="392"/>
      <c r="AR8289" s="392"/>
      <c r="AS8289" s="392"/>
      <c r="AT8289" s="392"/>
      <c r="AU8289" s="397"/>
      <c r="AV8289" s="397"/>
      <c r="AW8289" s="397"/>
      <c r="AX8289" s="397"/>
      <c r="AY8289" s="392"/>
      <c r="AZ8289" s="392"/>
      <c r="BA8289" s="392"/>
      <c r="BB8289" s="392"/>
      <c r="BC8289" s="392"/>
      <c r="BD8289" s="392"/>
      <c r="BE8289" s="392"/>
      <c r="BF8289" s="392"/>
      <c r="BG8289" s="392"/>
      <c r="BH8289" s="392"/>
      <c r="BI8289" s="397"/>
      <c r="BJ8289" s="397"/>
      <c r="BK8289" s="397"/>
      <c r="BL8289" s="397"/>
      <c r="BM8289" s="397"/>
      <c r="BN8289" s="397"/>
      <c r="BO8289" s="397"/>
      <c r="BP8289" s="397"/>
      <c r="BQ8289" s="397"/>
      <c r="BR8289" s="397"/>
      <c r="BS8289" s="397"/>
      <c r="BT8289" s="397"/>
      <c r="BU8289" s="397"/>
      <c r="BV8289" s="397"/>
      <c r="BW8289" s="397"/>
      <c r="BX8289" s="397"/>
      <c r="BY8289" s="397"/>
      <c r="BZ8289" s="397"/>
      <c r="CA8289" s="392"/>
      <c r="CB8289" s="392"/>
    </row>
    <row r="8290" spans="1:80" ht="15" x14ac:dyDescent="0.25">
      <c r="A8290" s="385"/>
      <c r="B8290" s="392"/>
      <c r="C8290" s="392"/>
      <c r="D8290" s="700"/>
      <c r="E8290" s="397"/>
      <c r="F8290" s="392"/>
      <c r="G8290" s="392"/>
      <c r="H8290" s="401"/>
      <c r="I8290" s="165">
        <v>5</v>
      </c>
      <c r="J8290" s="165">
        <v>240</v>
      </c>
      <c r="K8290" s="165">
        <v>1</v>
      </c>
      <c r="L8290" s="628"/>
      <c r="M8290" s="628"/>
      <c r="N8290" s="388">
        <f>544.604355716879*(0.028317)</f>
        <v>15.421561540834862</v>
      </c>
      <c r="O8290" s="389">
        <v>0.21</v>
      </c>
      <c r="P8290" s="413">
        <v>0.30285714285714288</v>
      </c>
      <c r="Q8290" s="413">
        <v>6.2857142857142861E-2</v>
      </c>
      <c r="R8290" s="413">
        <v>0.11542857142857142</v>
      </c>
      <c r="S8290" s="413">
        <v>0.13485714285714287</v>
      </c>
      <c r="T8290" s="413">
        <v>0.16838095238095238</v>
      </c>
      <c r="U8290" s="413">
        <v>0.15161904761904763</v>
      </c>
      <c r="V8290" s="504">
        <v>0</v>
      </c>
      <c r="W8290" s="504">
        <v>0</v>
      </c>
      <c r="X8290" s="504">
        <v>0</v>
      </c>
      <c r="Y8290" s="504">
        <v>6.4000000000000001E-2</v>
      </c>
      <c r="Z8290" s="388">
        <v>96</v>
      </c>
      <c r="AA8290" s="388"/>
      <c r="AB8290" s="391"/>
      <c r="AC8290" s="392"/>
      <c r="AD8290" s="388">
        <f t="shared" si="62"/>
        <v>14.630400000000002</v>
      </c>
      <c r="AE8290" s="388"/>
      <c r="AF8290" s="388"/>
      <c r="AG8290" s="436"/>
      <c r="AH8290" s="391"/>
      <c r="AI8290" s="397"/>
      <c r="AJ8290" s="397"/>
      <c r="AK8290" s="392"/>
      <c r="AL8290" s="392"/>
      <c r="AM8290" s="392"/>
      <c r="AN8290" s="392"/>
      <c r="AO8290" s="392"/>
      <c r="AP8290" s="392"/>
      <c r="AQ8290" s="392"/>
      <c r="AR8290" s="392"/>
      <c r="AS8290" s="392"/>
      <c r="AT8290" s="392"/>
      <c r="AU8290" s="397"/>
      <c r="AV8290" s="397"/>
      <c r="AW8290" s="397"/>
      <c r="AX8290" s="397"/>
      <c r="AY8290" s="392"/>
      <c r="AZ8290" s="392"/>
      <c r="BA8290" s="392"/>
      <c r="BB8290" s="392"/>
      <c r="BC8290" s="392"/>
      <c r="BD8290" s="392"/>
      <c r="BE8290" s="392"/>
      <c r="BF8290" s="392"/>
      <c r="BG8290" s="392"/>
      <c r="BH8290" s="392"/>
      <c r="BI8290" s="397"/>
      <c r="BJ8290" s="397"/>
      <c r="BK8290" s="397"/>
      <c r="BL8290" s="397"/>
      <c r="BM8290" s="397"/>
      <c r="BN8290" s="397"/>
      <c r="BO8290" s="397"/>
      <c r="BP8290" s="397"/>
      <c r="BQ8290" s="397"/>
      <c r="BR8290" s="397"/>
      <c r="BS8290" s="397"/>
      <c r="BT8290" s="397"/>
      <c r="BU8290" s="397"/>
      <c r="BV8290" s="397"/>
      <c r="BW8290" s="397"/>
      <c r="BX8290" s="397"/>
      <c r="BY8290" s="397"/>
      <c r="BZ8290" s="397"/>
      <c r="CA8290" s="392"/>
      <c r="CB8290" s="392"/>
    </row>
    <row r="8291" spans="1:80" ht="15" x14ac:dyDescent="0.25">
      <c r="A8291" s="385"/>
      <c r="B8291" s="392"/>
      <c r="C8291" s="392"/>
      <c r="D8291" s="700"/>
      <c r="E8291" s="397"/>
      <c r="F8291" s="392"/>
      <c r="G8291" s="392"/>
      <c r="H8291" s="401"/>
      <c r="I8291" s="165">
        <v>5</v>
      </c>
      <c r="J8291" s="165">
        <v>240</v>
      </c>
      <c r="K8291" s="165">
        <v>1</v>
      </c>
      <c r="L8291" s="628"/>
      <c r="M8291" s="628"/>
      <c r="N8291" s="388">
        <f>574.852389594676*(0.028317)</f>
        <v>16.278095116152439</v>
      </c>
      <c r="O8291" s="389">
        <v>0.13040000000000002</v>
      </c>
      <c r="P8291" s="413"/>
      <c r="Q8291" s="413"/>
      <c r="R8291" s="413">
        <v>0.15521472392638036</v>
      </c>
      <c r="S8291" s="413">
        <v>0.17055214723926379</v>
      </c>
      <c r="T8291" s="413">
        <v>0.2</v>
      </c>
      <c r="U8291" s="413">
        <v>0.20368098159509201</v>
      </c>
      <c r="V8291" s="504">
        <v>0</v>
      </c>
      <c r="W8291" s="504">
        <v>0</v>
      </c>
      <c r="X8291" s="504">
        <v>0</v>
      </c>
      <c r="Y8291" s="504">
        <v>0.2705521472392638</v>
      </c>
      <c r="Z8291" s="388">
        <v>35</v>
      </c>
      <c r="AA8291" s="388"/>
      <c r="AB8291" s="391"/>
      <c r="AC8291" s="392"/>
      <c r="AD8291" s="388">
        <f t="shared" si="62"/>
        <v>14.630400000000002</v>
      </c>
      <c r="AE8291" s="388"/>
      <c r="AF8291" s="388"/>
      <c r="AG8291" s="388"/>
      <c r="AH8291" s="391"/>
      <c r="AI8291" s="397"/>
      <c r="AJ8291" s="397"/>
      <c r="AK8291" s="392"/>
      <c r="AL8291" s="392"/>
      <c r="AM8291" s="392"/>
      <c r="AN8291" s="392"/>
      <c r="AO8291" s="392"/>
      <c r="AP8291" s="392"/>
      <c r="AQ8291" s="392"/>
      <c r="AR8291" s="392"/>
      <c r="AS8291" s="392"/>
      <c r="AT8291" s="392"/>
      <c r="AU8291" s="397"/>
      <c r="AV8291" s="397"/>
      <c r="AW8291" s="397"/>
      <c r="AX8291" s="397"/>
      <c r="AY8291" s="392"/>
      <c r="AZ8291" s="392"/>
      <c r="BA8291" s="392"/>
      <c r="BB8291" s="392"/>
      <c r="BC8291" s="392"/>
      <c r="BD8291" s="392"/>
      <c r="BE8291" s="392"/>
      <c r="BF8291" s="392"/>
      <c r="BG8291" s="392"/>
      <c r="BH8291" s="392"/>
      <c r="BI8291" s="397"/>
      <c r="BJ8291" s="397"/>
      <c r="BK8291" s="397"/>
      <c r="BL8291" s="397"/>
      <c r="BM8291" s="397"/>
      <c r="BN8291" s="397"/>
      <c r="BO8291" s="397"/>
      <c r="BP8291" s="397"/>
      <c r="BQ8291" s="397"/>
      <c r="BR8291" s="397"/>
      <c r="BS8291" s="397"/>
      <c r="BT8291" s="397"/>
      <c r="BU8291" s="397"/>
      <c r="BV8291" s="397"/>
      <c r="BW8291" s="397"/>
      <c r="BX8291" s="397"/>
      <c r="BY8291" s="397"/>
      <c r="BZ8291" s="397"/>
      <c r="CA8291" s="392"/>
      <c r="CB8291" s="392"/>
    </row>
    <row r="8292" spans="1:80" ht="15" x14ac:dyDescent="0.25">
      <c r="A8292" s="385"/>
      <c r="B8292" s="392"/>
      <c r="C8292" s="392"/>
      <c r="D8292" s="700"/>
      <c r="E8292" s="397"/>
      <c r="F8292" s="392"/>
      <c r="G8292" s="392"/>
      <c r="H8292" s="401"/>
      <c r="I8292" s="165">
        <v>5</v>
      </c>
      <c r="J8292" s="165">
        <v>240</v>
      </c>
      <c r="K8292" s="165">
        <v>1</v>
      </c>
      <c r="L8292" s="628"/>
      <c r="M8292" s="628"/>
      <c r="N8292" s="388">
        <f>481.083484573503*(0.028317)</f>
        <v>13.622841032667884</v>
      </c>
      <c r="O8292" s="389">
        <v>0.15423999999999999</v>
      </c>
      <c r="P8292" s="413"/>
      <c r="Q8292" s="413"/>
      <c r="R8292" s="413">
        <v>6.5352697095435688E-2</v>
      </c>
      <c r="S8292" s="413">
        <v>0.14419087136929459</v>
      </c>
      <c r="T8292" s="413">
        <v>0.18101659751037344</v>
      </c>
      <c r="U8292" s="413">
        <v>0.20643153526970953</v>
      </c>
      <c r="V8292" s="504">
        <v>0</v>
      </c>
      <c r="W8292" s="504">
        <v>0</v>
      </c>
      <c r="X8292" s="504">
        <v>0</v>
      </c>
      <c r="Y8292" s="504">
        <v>0.40300829875518673</v>
      </c>
      <c r="Z8292" s="388">
        <v>25</v>
      </c>
      <c r="AA8292" s="388"/>
      <c r="AB8292" s="391"/>
      <c r="AC8292" s="392"/>
      <c r="AD8292" s="388">
        <f t="shared" si="62"/>
        <v>14.630400000000002</v>
      </c>
      <c r="AE8292" s="388"/>
      <c r="AF8292" s="388"/>
      <c r="AG8292" s="388"/>
      <c r="AH8292" s="391"/>
      <c r="AI8292" s="397"/>
      <c r="AJ8292" s="397"/>
      <c r="AK8292" s="392"/>
      <c r="AL8292" s="392"/>
      <c r="AM8292" s="392"/>
      <c r="AN8292" s="392"/>
      <c r="AO8292" s="392"/>
      <c r="AP8292" s="392"/>
      <c r="AQ8292" s="392"/>
      <c r="AR8292" s="392"/>
      <c r="AS8292" s="392"/>
      <c r="AT8292" s="392"/>
      <c r="AU8292" s="397"/>
      <c r="AV8292" s="397"/>
      <c r="AW8292" s="397"/>
      <c r="AX8292" s="397"/>
      <c r="AY8292" s="392"/>
      <c r="AZ8292" s="392"/>
      <c r="BA8292" s="392"/>
      <c r="BB8292" s="392"/>
      <c r="BC8292" s="392"/>
      <c r="BD8292" s="392"/>
      <c r="BE8292" s="392"/>
      <c r="BF8292" s="392"/>
      <c r="BG8292" s="392"/>
      <c r="BH8292" s="392"/>
      <c r="BI8292" s="397"/>
      <c r="BJ8292" s="397"/>
      <c r="BK8292" s="397"/>
      <c r="BL8292" s="397"/>
      <c r="BM8292" s="397"/>
      <c r="BN8292" s="397"/>
      <c r="BO8292" s="397"/>
      <c r="BP8292" s="397"/>
      <c r="BQ8292" s="397"/>
      <c r="BR8292" s="397"/>
      <c r="BS8292" s="397"/>
      <c r="BT8292" s="397"/>
      <c r="BU8292" s="397"/>
      <c r="BV8292" s="397"/>
      <c r="BW8292" s="397"/>
      <c r="BX8292" s="397"/>
      <c r="BY8292" s="397"/>
      <c r="BZ8292" s="397"/>
      <c r="CA8292" s="392"/>
      <c r="CB8292" s="392"/>
    </row>
    <row r="8293" spans="1:80" ht="15" x14ac:dyDescent="0.25">
      <c r="A8293" s="385"/>
      <c r="B8293" s="392"/>
      <c r="C8293" s="392"/>
      <c r="D8293" s="700"/>
      <c r="E8293" s="397"/>
      <c r="F8293" s="392"/>
      <c r="G8293" s="392"/>
      <c r="H8293" s="401"/>
      <c r="I8293" s="165">
        <v>5</v>
      </c>
      <c r="J8293" s="165">
        <v>240</v>
      </c>
      <c r="K8293" s="165">
        <v>1</v>
      </c>
      <c r="L8293" s="628"/>
      <c r="M8293" s="628"/>
      <c r="N8293" s="388">
        <f>589.976406533576*(0.028317)</f>
        <v>16.706361903811271</v>
      </c>
      <c r="O8293" s="389">
        <v>0.21280000000000002</v>
      </c>
      <c r="P8293" s="413"/>
      <c r="Q8293" s="413">
        <v>0.26917293233082706</v>
      </c>
      <c r="R8293" s="413">
        <v>0.12330827067669173</v>
      </c>
      <c r="S8293" s="413">
        <v>0.20902255639097744</v>
      </c>
      <c r="T8293" s="413">
        <v>0.1575187969924812</v>
      </c>
      <c r="U8293" s="413">
        <v>8.30827067669173E-2</v>
      </c>
      <c r="V8293" s="504">
        <v>0</v>
      </c>
      <c r="W8293" s="504">
        <v>0</v>
      </c>
      <c r="X8293" s="504">
        <v>0</v>
      </c>
      <c r="Y8293" s="504">
        <v>0.15789473684210525</v>
      </c>
      <c r="Z8293" s="388">
        <v>53</v>
      </c>
      <c r="AA8293" s="388"/>
      <c r="AB8293" s="391"/>
      <c r="AC8293" s="392"/>
      <c r="AD8293" s="388">
        <f t="shared" si="62"/>
        <v>14.630400000000002</v>
      </c>
      <c r="AE8293" s="388"/>
      <c r="AF8293" s="388"/>
      <c r="AG8293" s="388"/>
      <c r="AH8293" s="391"/>
      <c r="AI8293" s="397"/>
      <c r="AJ8293" s="397"/>
      <c r="AK8293" s="392"/>
      <c r="AL8293" s="392"/>
      <c r="AM8293" s="392"/>
      <c r="AN8293" s="392"/>
      <c r="AO8293" s="392"/>
      <c r="AP8293" s="392"/>
      <c r="AQ8293" s="392"/>
      <c r="AR8293" s="392"/>
      <c r="AS8293" s="392"/>
      <c r="AT8293" s="392"/>
      <c r="AU8293" s="397"/>
      <c r="AV8293" s="397"/>
      <c r="AW8293" s="397"/>
      <c r="AX8293" s="397"/>
      <c r="AY8293" s="392"/>
      <c r="AZ8293" s="392"/>
      <c r="BA8293" s="392"/>
      <c r="BB8293" s="392"/>
      <c r="BC8293" s="392"/>
      <c r="BD8293" s="392"/>
      <c r="BE8293" s="392"/>
      <c r="BF8293" s="392"/>
      <c r="BG8293" s="392"/>
      <c r="BH8293" s="392"/>
      <c r="BI8293" s="397"/>
      <c r="BJ8293" s="397"/>
      <c r="BK8293" s="397"/>
      <c r="BL8293" s="397"/>
      <c r="BM8293" s="397"/>
      <c r="BN8293" s="397"/>
      <c r="BO8293" s="397"/>
      <c r="BP8293" s="397"/>
      <c r="BQ8293" s="397"/>
      <c r="BR8293" s="397"/>
      <c r="BS8293" s="397"/>
      <c r="BT8293" s="397"/>
      <c r="BU8293" s="397"/>
      <c r="BV8293" s="397"/>
      <c r="BW8293" s="397"/>
      <c r="BX8293" s="397"/>
      <c r="BY8293" s="397"/>
      <c r="BZ8293" s="397"/>
      <c r="CA8293" s="392"/>
      <c r="CB8293" s="392"/>
    </row>
    <row r="8294" spans="1:80" ht="15" x14ac:dyDescent="0.25">
      <c r="A8294" s="385"/>
      <c r="B8294" s="392"/>
      <c r="C8294" s="392"/>
      <c r="D8294" s="700"/>
      <c r="E8294" s="397"/>
      <c r="F8294" s="392"/>
      <c r="G8294" s="392"/>
      <c r="H8294" s="401"/>
      <c r="I8294" s="165">
        <v>5</v>
      </c>
      <c r="J8294" s="165">
        <v>240</v>
      </c>
      <c r="K8294" s="165">
        <v>1</v>
      </c>
      <c r="L8294" s="628"/>
      <c r="M8294" s="628"/>
      <c r="N8294" s="388">
        <f>550.653962492438*(0.028317)</f>
        <v>15.592868255898367</v>
      </c>
      <c r="O8294" s="389">
        <v>0.25864000000000004</v>
      </c>
      <c r="P8294" s="413"/>
      <c r="Q8294" s="413">
        <v>0.11073306526446025</v>
      </c>
      <c r="R8294" s="413">
        <v>0.10145375811939375</v>
      </c>
      <c r="S8294" s="413">
        <v>0.16393442622950818</v>
      </c>
      <c r="T8294" s="413">
        <v>0.18713269409217445</v>
      </c>
      <c r="U8294" s="413">
        <v>0.15743891122796164</v>
      </c>
      <c r="V8294" s="504">
        <v>0</v>
      </c>
      <c r="W8294" s="504">
        <v>0</v>
      </c>
      <c r="X8294" s="504">
        <v>0</v>
      </c>
      <c r="Y8294" s="504">
        <v>0.27930714506650173</v>
      </c>
      <c r="Z8294" s="388">
        <v>66</v>
      </c>
      <c r="AA8294" s="388"/>
      <c r="AB8294" s="391"/>
      <c r="AC8294" s="392"/>
      <c r="AD8294" s="388">
        <f t="shared" si="62"/>
        <v>14.630400000000002</v>
      </c>
      <c r="AE8294" s="388"/>
      <c r="AF8294" s="388"/>
      <c r="AG8294" s="388"/>
      <c r="AH8294" s="391"/>
      <c r="AI8294" s="397"/>
      <c r="AJ8294" s="397"/>
      <c r="AK8294" s="392"/>
      <c r="AL8294" s="392"/>
      <c r="AM8294" s="392"/>
      <c r="AN8294" s="392"/>
      <c r="AO8294" s="392"/>
      <c r="AP8294" s="392"/>
      <c r="AQ8294" s="392"/>
      <c r="AR8294" s="392"/>
      <c r="AS8294" s="392"/>
      <c r="AT8294" s="392"/>
      <c r="AU8294" s="397"/>
      <c r="AV8294" s="397"/>
      <c r="AW8294" s="397"/>
      <c r="AX8294" s="397"/>
      <c r="AY8294" s="392"/>
      <c r="AZ8294" s="392"/>
      <c r="BA8294" s="392"/>
      <c r="BB8294" s="392"/>
      <c r="BC8294" s="392"/>
      <c r="BD8294" s="392"/>
      <c r="BE8294" s="392"/>
      <c r="BF8294" s="392"/>
      <c r="BG8294" s="392"/>
      <c r="BH8294" s="392"/>
      <c r="BI8294" s="397"/>
      <c r="BJ8294" s="397"/>
      <c r="BK8294" s="397"/>
      <c r="BL8294" s="397"/>
      <c r="BM8294" s="397"/>
      <c r="BN8294" s="397"/>
      <c r="BO8294" s="397"/>
      <c r="BP8294" s="397"/>
      <c r="BQ8294" s="397"/>
      <c r="BR8294" s="397"/>
      <c r="BS8294" s="397"/>
      <c r="BT8294" s="397"/>
      <c r="BU8294" s="397"/>
      <c r="BV8294" s="397"/>
      <c r="BW8294" s="397"/>
      <c r="BX8294" s="397"/>
      <c r="BY8294" s="397"/>
      <c r="BZ8294" s="397"/>
      <c r="CA8294" s="392"/>
      <c r="CB8294" s="392"/>
    </row>
    <row r="8295" spans="1:80" ht="15" x14ac:dyDescent="0.25">
      <c r="A8295" s="385"/>
      <c r="B8295" s="392"/>
      <c r="C8295" s="392"/>
      <c r="D8295" s="700"/>
      <c r="E8295" s="397"/>
      <c r="F8295" s="392"/>
      <c r="G8295" s="392"/>
      <c r="H8295" s="401"/>
      <c r="I8295" s="165">
        <v>5</v>
      </c>
      <c r="J8295" s="165">
        <v>240</v>
      </c>
      <c r="K8295" s="165">
        <v>1</v>
      </c>
      <c r="L8295" s="628"/>
      <c r="M8295" s="628"/>
      <c r="N8295" s="388">
        <f>586.951603145796*(0.028317)</f>
        <v>16.620708546279502</v>
      </c>
      <c r="O8295" s="389">
        <v>0.21856</v>
      </c>
      <c r="P8295" s="413">
        <v>0.14531478770131773</v>
      </c>
      <c r="Q8295" s="413">
        <v>0.18118594436310395</v>
      </c>
      <c r="R8295" s="413">
        <v>6.4787701317715954E-2</v>
      </c>
      <c r="S8295" s="413">
        <v>9.2606149341142016E-2</v>
      </c>
      <c r="T8295" s="413">
        <v>0.11054172767203514</v>
      </c>
      <c r="U8295" s="413">
        <v>0.11346998535871157</v>
      </c>
      <c r="V8295" s="504">
        <v>0</v>
      </c>
      <c r="W8295" s="504">
        <v>0</v>
      </c>
      <c r="X8295" s="504">
        <v>0</v>
      </c>
      <c r="Y8295" s="504">
        <v>0.29209370424597364</v>
      </c>
      <c r="Z8295" s="388">
        <v>69</v>
      </c>
      <c r="AA8295" s="388"/>
      <c r="AB8295" s="391"/>
      <c r="AC8295" s="392"/>
      <c r="AD8295" s="388">
        <f t="shared" si="62"/>
        <v>14.630400000000002</v>
      </c>
      <c r="AE8295" s="388"/>
      <c r="AF8295" s="388"/>
      <c r="AG8295" s="388"/>
      <c r="AH8295" s="391"/>
      <c r="AI8295" s="397"/>
      <c r="AJ8295" s="397"/>
      <c r="AK8295" s="392"/>
      <c r="AL8295" s="392"/>
      <c r="AM8295" s="392"/>
      <c r="AN8295" s="392"/>
      <c r="AO8295" s="392"/>
      <c r="AP8295" s="392"/>
      <c r="AQ8295" s="392"/>
      <c r="AR8295" s="392"/>
      <c r="AS8295" s="392"/>
      <c r="AT8295" s="392"/>
      <c r="AU8295" s="397"/>
      <c r="AV8295" s="397"/>
      <c r="AW8295" s="397"/>
      <c r="AX8295" s="397"/>
      <c r="AY8295" s="392"/>
      <c r="AZ8295" s="392"/>
      <c r="BA8295" s="392"/>
      <c r="BB8295" s="392"/>
      <c r="BC8295" s="392"/>
      <c r="BD8295" s="392"/>
      <c r="BE8295" s="392"/>
      <c r="BF8295" s="392"/>
      <c r="BG8295" s="392"/>
      <c r="BH8295" s="392"/>
      <c r="BI8295" s="397"/>
      <c r="BJ8295" s="397"/>
      <c r="BK8295" s="397"/>
      <c r="BL8295" s="397"/>
      <c r="BM8295" s="397"/>
      <c r="BN8295" s="397"/>
      <c r="BO8295" s="397"/>
      <c r="BP8295" s="397"/>
      <c r="BQ8295" s="397"/>
      <c r="BR8295" s="397"/>
      <c r="BS8295" s="397"/>
      <c r="BT8295" s="397"/>
      <c r="BU8295" s="397"/>
      <c r="BV8295" s="397"/>
      <c r="BW8295" s="397"/>
      <c r="BX8295" s="397"/>
      <c r="BY8295" s="397"/>
      <c r="BZ8295" s="397"/>
      <c r="CA8295" s="392"/>
      <c r="CB8295" s="392"/>
    </row>
    <row r="8296" spans="1:80" ht="15" x14ac:dyDescent="0.25">
      <c r="A8296" s="385"/>
      <c r="B8296" s="392"/>
      <c r="C8296" s="392"/>
      <c r="D8296" s="700"/>
      <c r="E8296" s="397"/>
      <c r="F8296" s="392"/>
      <c r="G8296" s="392"/>
      <c r="H8296" s="401"/>
      <c r="I8296" s="165">
        <v>5</v>
      </c>
      <c r="J8296" s="165">
        <v>240</v>
      </c>
      <c r="K8296" s="165">
        <v>1</v>
      </c>
      <c r="L8296" s="628"/>
      <c r="M8296" s="628"/>
      <c r="N8296" s="388">
        <f>656.522081064731*(0.028317)</f>
        <v>18.590735769509987</v>
      </c>
      <c r="O8296" s="389">
        <v>0.25648000000000004</v>
      </c>
      <c r="P8296" s="413"/>
      <c r="Q8296" s="413">
        <v>3.4310667498440424E-2</v>
      </c>
      <c r="R8296" s="413">
        <v>3.9301310043668124E-2</v>
      </c>
      <c r="S8296" s="413">
        <v>0.16531503431066749</v>
      </c>
      <c r="T8296" s="413">
        <v>0.23955084217092951</v>
      </c>
      <c r="U8296" s="413">
        <v>0.20711166562694946</v>
      </c>
      <c r="V8296" s="504">
        <v>0</v>
      </c>
      <c r="W8296" s="504">
        <v>0</v>
      </c>
      <c r="X8296" s="504">
        <v>0</v>
      </c>
      <c r="Y8296" s="504">
        <v>0.31441048034934499</v>
      </c>
      <c r="Z8296" s="388">
        <v>40</v>
      </c>
      <c r="AA8296" s="388"/>
      <c r="AB8296" s="391"/>
      <c r="AC8296" s="392"/>
      <c r="AD8296" s="388">
        <f t="shared" si="62"/>
        <v>14.630400000000002</v>
      </c>
      <c r="AE8296" s="388"/>
      <c r="AF8296" s="388"/>
      <c r="AG8296" s="388"/>
      <c r="AH8296" s="391"/>
      <c r="AI8296" s="397"/>
      <c r="AJ8296" s="397"/>
      <c r="AK8296" s="392"/>
      <c r="AL8296" s="392"/>
      <c r="AM8296" s="392"/>
      <c r="AN8296" s="392"/>
      <c r="AO8296" s="392"/>
      <c r="AP8296" s="392"/>
      <c r="AQ8296" s="392"/>
      <c r="AR8296" s="392"/>
      <c r="AS8296" s="392"/>
      <c r="AT8296" s="392"/>
      <c r="AU8296" s="397"/>
      <c r="AV8296" s="397"/>
      <c r="AW8296" s="397"/>
      <c r="AX8296" s="397"/>
      <c r="AY8296" s="392"/>
      <c r="AZ8296" s="392"/>
      <c r="BA8296" s="392"/>
      <c r="BB8296" s="392"/>
      <c r="BC8296" s="392"/>
      <c r="BD8296" s="392"/>
      <c r="BE8296" s="392"/>
      <c r="BF8296" s="392"/>
      <c r="BG8296" s="392"/>
      <c r="BH8296" s="392"/>
      <c r="BI8296" s="397"/>
      <c r="BJ8296" s="397"/>
      <c r="BK8296" s="397"/>
      <c r="BL8296" s="397"/>
      <c r="BM8296" s="397"/>
      <c r="BN8296" s="397"/>
      <c r="BO8296" s="397"/>
      <c r="BP8296" s="397"/>
      <c r="BQ8296" s="397"/>
      <c r="BR8296" s="397"/>
      <c r="BS8296" s="397"/>
      <c r="BT8296" s="397"/>
      <c r="BU8296" s="397"/>
      <c r="BV8296" s="397"/>
      <c r="BW8296" s="397"/>
      <c r="BX8296" s="397"/>
      <c r="BY8296" s="397"/>
      <c r="BZ8296" s="397"/>
      <c r="CA8296" s="392"/>
      <c r="CB8296" s="392"/>
    </row>
    <row r="8297" spans="1:80" ht="15" x14ac:dyDescent="0.25">
      <c r="A8297" s="385"/>
      <c r="B8297" s="392"/>
      <c r="C8297" s="392"/>
      <c r="D8297" s="700"/>
      <c r="E8297" s="397"/>
      <c r="F8297" s="392"/>
      <c r="G8297" s="392"/>
      <c r="H8297" s="401"/>
      <c r="I8297" s="165">
        <v>5</v>
      </c>
      <c r="J8297" s="165">
        <v>240</v>
      </c>
      <c r="K8297" s="165">
        <v>1</v>
      </c>
      <c r="L8297" s="628"/>
      <c r="M8297" s="628"/>
      <c r="N8297" s="388">
        <f>638.373260738052*(0.028317)</f>
        <v>18.076815624319416</v>
      </c>
      <c r="O8297" s="389">
        <v>0.36831999999999998</v>
      </c>
      <c r="P8297" s="413"/>
      <c r="Q8297" s="413">
        <v>8.9704604691572543E-2</v>
      </c>
      <c r="R8297" s="413">
        <v>7.1242397914856648E-2</v>
      </c>
      <c r="S8297" s="413">
        <v>0.1865768896611642</v>
      </c>
      <c r="T8297" s="413">
        <v>0.19200695047784536</v>
      </c>
      <c r="U8297" s="413">
        <v>0.17311033883579496</v>
      </c>
      <c r="V8297" s="504">
        <v>0</v>
      </c>
      <c r="W8297" s="504">
        <v>0</v>
      </c>
      <c r="X8297" s="504">
        <v>0</v>
      </c>
      <c r="Y8297" s="504">
        <v>0.28735881841876632</v>
      </c>
      <c r="Z8297" s="388">
        <v>57</v>
      </c>
      <c r="AA8297" s="388"/>
      <c r="AB8297" s="391"/>
      <c r="AC8297" s="392"/>
      <c r="AD8297" s="388">
        <f t="shared" si="62"/>
        <v>14.630400000000002</v>
      </c>
      <c r="AE8297" s="388"/>
      <c r="AF8297" s="388"/>
      <c r="AG8297" s="388"/>
      <c r="AH8297" s="391"/>
      <c r="AI8297" s="397"/>
      <c r="AJ8297" s="397"/>
      <c r="AK8297" s="392"/>
      <c r="AL8297" s="392"/>
      <c r="AM8297" s="392"/>
      <c r="AN8297" s="392"/>
      <c r="AO8297" s="392"/>
      <c r="AP8297" s="392"/>
      <c r="AQ8297" s="392"/>
      <c r="AR8297" s="392"/>
      <c r="AS8297" s="392"/>
      <c r="AT8297" s="392"/>
      <c r="AU8297" s="397"/>
      <c r="AV8297" s="397"/>
      <c r="AW8297" s="397"/>
      <c r="AX8297" s="397"/>
      <c r="AY8297" s="392"/>
      <c r="AZ8297" s="392"/>
      <c r="BA8297" s="392"/>
      <c r="BB8297" s="392"/>
      <c r="BC8297" s="392"/>
      <c r="BD8297" s="392"/>
      <c r="BE8297" s="392"/>
      <c r="BF8297" s="392"/>
      <c r="BG8297" s="392"/>
      <c r="BH8297" s="392"/>
      <c r="BI8297" s="397"/>
      <c r="BJ8297" s="397"/>
      <c r="BK8297" s="397"/>
      <c r="BL8297" s="397"/>
      <c r="BM8297" s="397"/>
      <c r="BN8297" s="397"/>
      <c r="BO8297" s="397"/>
      <c r="BP8297" s="397"/>
      <c r="BQ8297" s="397"/>
      <c r="BR8297" s="397"/>
      <c r="BS8297" s="397"/>
      <c r="BT8297" s="397"/>
      <c r="BU8297" s="397"/>
      <c r="BV8297" s="397"/>
      <c r="BW8297" s="397"/>
      <c r="BX8297" s="397"/>
      <c r="BY8297" s="397"/>
      <c r="BZ8297" s="397"/>
      <c r="CA8297" s="392"/>
      <c r="CB8297" s="392"/>
    </row>
    <row r="8298" spans="1:80" ht="15" x14ac:dyDescent="0.25">
      <c r="A8298" s="385"/>
      <c r="B8298" s="392"/>
      <c r="C8298" s="392"/>
      <c r="D8298" s="700"/>
      <c r="E8298" s="397"/>
      <c r="F8298" s="392"/>
      <c r="G8298" s="392"/>
      <c r="H8298" s="401"/>
      <c r="I8298" s="165">
        <v>5</v>
      </c>
      <c r="J8298" s="165">
        <v>240</v>
      </c>
      <c r="K8298" s="165">
        <v>1</v>
      </c>
      <c r="L8298" s="628"/>
      <c r="M8298" s="628"/>
      <c r="N8298" s="388">
        <f>614.174833635814*(0.028317)</f>
        <v>17.391588764065343</v>
      </c>
      <c r="O8298" s="389">
        <v>0.65832000000000002</v>
      </c>
      <c r="P8298" s="413"/>
      <c r="Q8298" s="413">
        <v>2.005103900838498E-2</v>
      </c>
      <c r="R8298" s="413">
        <v>0.16879329201604082</v>
      </c>
      <c r="S8298" s="413">
        <v>0.31607728764126869</v>
      </c>
      <c r="T8298" s="413">
        <v>0.23745291043869243</v>
      </c>
      <c r="U8298" s="413">
        <v>0.14789160286790617</v>
      </c>
      <c r="V8298" s="504">
        <v>0</v>
      </c>
      <c r="W8298" s="504">
        <v>0</v>
      </c>
      <c r="X8298" s="504">
        <v>0</v>
      </c>
      <c r="Y8298" s="504">
        <v>0.10973386802770689</v>
      </c>
      <c r="Z8298" s="388">
        <v>34</v>
      </c>
      <c r="AA8298" s="388"/>
      <c r="AB8298" s="391"/>
      <c r="AC8298" s="392"/>
      <c r="AD8298" s="388">
        <f t="shared" si="62"/>
        <v>14.630400000000002</v>
      </c>
      <c r="AE8298" s="388"/>
      <c r="AF8298" s="388"/>
      <c r="AG8298" s="388"/>
      <c r="AH8298" s="391"/>
      <c r="AI8298" s="397"/>
      <c r="AJ8298" s="397"/>
      <c r="AK8298" s="392"/>
      <c r="AL8298" s="392"/>
      <c r="AM8298" s="392"/>
      <c r="AN8298" s="392"/>
      <c r="AO8298" s="392"/>
      <c r="AP8298" s="392"/>
      <c r="AQ8298" s="392"/>
      <c r="AR8298" s="392"/>
      <c r="AS8298" s="392"/>
      <c r="AT8298" s="392"/>
      <c r="AU8298" s="397"/>
      <c r="AV8298" s="397"/>
      <c r="AW8298" s="397"/>
      <c r="AX8298" s="397"/>
      <c r="AY8298" s="392"/>
      <c r="AZ8298" s="392"/>
      <c r="BA8298" s="392"/>
      <c r="BB8298" s="392"/>
      <c r="BC8298" s="392"/>
      <c r="BD8298" s="392"/>
      <c r="BE8298" s="392"/>
      <c r="BF8298" s="392"/>
      <c r="BG8298" s="392"/>
      <c r="BH8298" s="392"/>
      <c r="BI8298" s="397"/>
      <c r="BJ8298" s="397"/>
      <c r="BK8298" s="397"/>
      <c r="BL8298" s="397"/>
      <c r="BM8298" s="397"/>
      <c r="BN8298" s="397"/>
      <c r="BO8298" s="397"/>
      <c r="BP8298" s="397"/>
      <c r="BQ8298" s="397"/>
      <c r="BR8298" s="397"/>
      <c r="BS8298" s="397"/>
      <c r="BT8298" s="397"/>
      <c r="BU8298" s="397"/>
      <c r="BV8298" s="397"/>
      <c r="BW8298" s="397"/>
      <c r="BX8298" s="397"/>
      <c r="BY8298" s="397"/>
      <c r="BZ8298" s="397"/>
      <c r="CA8298" s="392"/>
      <c r="CB8298" s="392"/>
    </row>
    <row r="8299" spans="1:80" ht="15" x14ac:dyDescent="0.25">
      <c r="A8299" s="385"/>
      <c r="B8299" s="392"/>
      <c r="C8299" s="392"/>
      <c r="D8299" s="700"/>
      <c r="E8299" s="397"/>
      <c r="F8299" s="392"/>
      <c r="G8299" s="392"/>
      <c r="H8299" s="401"/>
      <c r="I8299" s="165">
        <v>5</v>
      </c>
      <c r="J8299" s="165">
        <v>240</v>
      </c>
      <c r="K8299" s="165">
        <v>1</v>
      </c>
      <c r="L8299" s="628"/>
      <c r="M8299" s="628"/>
      <c r="N8299" s="388">
        <f>472.009074410163*(0.028317)</f>
        <v>13.365880960072586</v>
      </c>
      <c r="O8299" s="389">
        <v>0.32223999999999997</v>
      </c>
      <c r="P8299" s="413">
        <v>0.3239821251241311</v>
      </c>
      <c r="Q8299" s="413"/>
      <c r="R8299" s="413">
        <v>3.7735849056603772E-2</v>
      </c>
      <c r="S8299" s="413">
        <v>0.11295928500496524</v>
      </c>
      <c r="T8299" s="413">
        <v>6.9265143992055606E-2</v>
      </c>
      <c r="U8299" s="413">
        <v>0.18123138033763656</v>
      </c>
      <c r="V8299" s="504">
        <v>0</v>
      </c>
      <c r="W8299" s="504">
        <v>0</v>
      </c>
      <c r="X8299" s="504">
        <v>0</v>
      </c>
      <c r="Y8299" s="504">
        <v>0.27482621648460775</v>
      </c>
      <c r="Z8299" s="388">
        <v>90</v>
      </c>
      <c r="AA8299" s="388"/>
      <c r="AB8299" s="391"/>
      <c r="AC8299" s="392"/>
      <c r="AD8299" s="388">
        <f t="shared" si="62"/>
        <v>14.630400000000002</v>
      </c>
      <c r="AE8299" s="388"/>
      <c r="AF8299" s="388"/>
      <c r="AG8299" s="388"/>
      <c r="AH8299" s="391"/>
      <c r="AI8299" s="397"/>
      <c r="AJ8299" s="397"/>
      <c r="AK8299" s="392"/>
      <c r="AL8299" s="392"/>
      <c r="AM8299" s="392"/>
      <c r="AN8299" s="392"/>
      <c r="AO8299" s="392"/>
      <c r="AP8299" s="392"/>
      <c r="AQ8299" s="392"/>
      <c r="AR8299" s="392"/>
      <c r="AS8299" s="392"/>
      <c r="AT8299" s="392"/>
      <c r="AU8299" s="397"/>
      <c r="AV8299" s="397"/>
      <c r="AW8299" s="397"/>
      <c r="AX8299" s="397"/>
      <c r="AY8299" s="392"/>
      <c r="AZ8299" s="392"/>
      <c r="BA8299" s="392"/>
      <c r="BB8299" s="392"/>
      <c r="BC8299" s="392"/>
      <c r="BD8299" s="392"/>
      <c r="BE8299" s="392"/>
      <c r="BF8299" s="392"/>
      <c r="BG8299" s="392"/>
      <c r="BH8299" s="392"/>
      <c r="BI8299" s="397"/>
      <c r="BJ8299" s="397"/>
      <c r="BK8299" s="397"/>
      <c r="BL8299" s="397"/>
      <c r="BM8299" s="397"/>
      <c r="BN8299" s="397"/>
      <c r="BO8299" s="397"/>
      <c r="BP8299" s="397"/>
      <c r="BQ8299" s="397"/>
      <c r="BR8299" s="397"/>
      <c r="BS8299" s="397"/>
      <c r="BT8299" s="397"/>
      <c r="BU8299" s="397"/>
      <c r="BV8299" s="397"/>
      <c r="BW8299" s="397"/>
      <c r="BX8299" s="397"/>
      <c r="BY8299" s="397"/>
      <c r="BZ8299" s="397"/>
      <c r="CA8299" s="392"/>
      <c r="CB8299" s="392"/>
    </row>
    <row r="8300" spans="1:80" ht="15" x14ac:dyDescent="0.25">
      <c r="A8300" s="385"/>
      <c r="B8300" s="392"/>
      <c r="C8300" s="392"/>
      <c r="D8300" s="700"/>
      <c r="E8300" s="397"/>
      <c r="F8300" s="392"/>
      <c r="G8300" s="392"/>
      <c r="H8300" s="401"/>
      <c r="I8300" s="165">
        <v>5</v>
      </c>
      <c r="J8300" s="165">
        <v>240</v>
      </c>
      <c r="K8300" s="165">
        <v>1</v>
      </c>
      <c r="L8300" s="628"/>
      <c r="M8300" s="628"/>
      <c r="N8300" s="388">
        <f>426.637023593466*(0.028317)</f>
        <v>12.081080597096175</v>
      </c>
      <c r="O8300" s="389">
        <v>0.17480000000000001</v>
      </c>
      <c r="P8300" s="413"/>
      <c r="Q8300" s="413">
        <v>0.18901601830663617</v>
      </c>
      <c r="R8300" s="413">
        <v>0.19633867276887873</v>
      </c>
      <c r="S8300" s="413">
        <v>0.16201372997711672</v>
      </c>
      <c r="T8300" s="413">
        <v>0.15972540045766589</v>
      </c>
      <c r="U8300" s="413">
        <v>9.107551487414188E-2</v>
      </c>
      <c r="V8300" s="504">
        <v>0</v>
      </c>
      <c r="W8300" s="504">
        <v>0</v>
      </c>
      <c r="X8300" s="504">
        <v>0</v>
      </c>
      <c r="Y8300" s="504">
        <v>0.20183066361556065</v>
      </c>
      <c r="Z8300" s="388">
        <v>57</v>
      </c>
      <c r="AA8300" s="388"/>
      <c r="AB8300" s="391"/>
      <c r="AC8300" s="392"/>
      <c r="AD8300" s="388">
        <f t="shared" si="62"/>
        <v>14.630400000000002</v>
      </c>
      <c r="AE8300" s="388"/>
      <c r="AF8300" s="388"/>
      <c r="AG8300" s="388"/>
      <c r="AH8300" s="391"/>
      <c r="AI8300" s="397"/>
      <c r="AJ8300" s="397"/>
      <c r="AK8300" s="392"/>
      <c r="AL8300" s="392"/>
      <c r="AM8300" s="392"/>
      <c r="AN8300" s="392"/>
      <c r="AO8300" s="392"/>
      <c r="AP8300" s="392"/>
      <c r="AQ8300" s="392"/>
      <c r="AR8300" s="392"/>
      <c r="AS8300" s="392"/>
      <c r="AT8300" s="392"/>
      <c r="AU8300" s="397"/>
      <c r="AV8300" s="397"/>
      <c r="AW8300" s="397"/>
      <c r="AX8300" s="397"/>
      <c r="AY8300" s="392"/>
      <c r="AZ8300" s="392"/>
      <c r="BA8300" s="392"/>
      <c r="BB8300" s="392"/>
      <c r="BC8300" s="392"/>
      <c r="BD8300" s="392"/>
      <c r="BE8300" s="392"/>
      <c r="BF8300" s="392"/>
      <c r="BG8300" s="392"/>
      <c r="BH8300" s="392"/>
      <c r="BI8300" s="397"/>
      <c r="BJ8300" s="397"/>
      <c r="BK8300" s="397"/>
      <c r="BL8300" s="397"/>
      <c r="BM8300" s="397"/>
      <c r="BN8300" s="397"/>
      <c r="BO8300" s="397"/>
      <c r="BP8300" s="397"/>
      <c r="BQ8300" s="397"/>
      <c r="BR8300" s="397"/>
      <c r="BS8300" s="397"/>
      <c r="BT8300" s="397"/>
      <c r="BU8300" s="397"/>
      <c r="BV8300" s="397"/>
      <c r="BW8300" s="397"/>
      <c r="BX8300" s="397"/>
      <c r="BY8300" s="397"/>
      <c r="BZ8300" s="397"/>
      <c r="CA8300" s="392"/>
      <c r="CB8300" s="392"/>
    </row>
    <row r="8301" spans="1:80" ht="15" x14ac:dyDescent="0.25">
      <c r="A8301" s="385"/>
      <c r="B8301" s="392"/>
      <c r="C8301" s="392"/>
      <c r="D8301" s="700"/>
      <c r="E8301" s="397"/>
      <c r="F8301" s="392"/>
      <c r="G8301" s="392"/>
      <c r="H8301" s="401"/>
      <c r="I8301" s="165">
        <v>5</v>
      </c>
      <c r="J8301" s="165">
        <v>240</v>
      </c>
      <c r="K8301" s="165">
        <v>1</v>
      </c>
      <c r="L8301" s="628"/>
      <c r="M8301" s="628"/>
      <c r="N8301" s="388">
        <f>360.091349062311*(0.028317)</f>
        <v>10.196706731397461</v>
      </c>
      <c r="O8301" s="389">
        <v>7.0480000000000001E-2</v>
      </c>
      <c r="P8301" s="413"/>
      <c r="Q8301" s="413"/>
      <c r="R8301" s="413">
        <v>0.11464245175936436</v>
      </c>
      <c r="S8301" s="413">
        <v>0.14301929625425652</v>
      </c>
      <c r="T8301" s="413">
        <v>0.18501702610669693</v>
      </c>
      <c r="U8301" s="413">
        <v>0.17593643586833144</v>
      </c>
      <c r="V8301" s="504">
        <v>0</v>
      </c>
      <c r="W8301" s="504">
        <v>0</v>
      </c>
      <c r="X8301" s="504">
        <v>0</v>
      </c>
      <c r="Y8301" s="504">
        <v>0.38138479001135073</v>
      </c>
      <c r="Z8301" s="388">
        <v>39</v>
      </c>
      <c r="AA8301" s="388"/>
      <c r="AB8301" s="391"/>
      <c r="AC8301" s="392"/>
      <c r="AD8301" s="388">
        <f t="shared" si="62"/>
        <v>14.630400000000002</v>
      </c>
      <c r="AE8301" s="388"/>
      <c r="AF8301" s="388"/>
      <c r="AG8301" s="388"/>
      <c r="AH8301" s="391"/>
      <c r="AI8301" s="397"/>
      <c r="AJ8301" s="397"/>
      <c r="AK8301" s="392"/>
      <c r="AL8301" s="392"/>
      <c r="AM8301" s="392"/>
      <c r="AN8301" s="392"/>
      <c r="AO8301" s="392"/>
      <c r="AP8301" s="392"/>
      <c r="AQ8301" s="392"/>
      <c r="AR8301" s="392"/>
      <c r="AS8301" s="392"/>
      <c r="AT8301" s="392"/>
      <c r="AU8301" s="397"/>
      <c r="AV8301" s="397"/>
      <c r="AW8301" s="397"/>
      <c r="AX8301" s="397"/>
      <c r="AY8301" s="392"/>
      <c r="AZ8301" s="392"/>
      <c r="BA8301" s="392"/>
      <c r="BB8301" s="392"/>
      <c r="BC8301" s="392"/>
      <c r="BD8301" s="392"/>
      <c r="BE8301" s="392"/>
      <c r="BF8301" s="392"/>
      <c r="BG8301" s="392"/>
      <c r="BH8301" s="392"/>
      <c r="BI8301" s="397"/>
      <c r="BJ8301" s="397"/>
      <c r="BK8301" s="397"/>
      <c r="BL8301" s="397"/>
      <c r="BM8301" s="397"/>
      <c r="BN8301" s="397"/>
      <c r="BO8301" s="397"/>
      <c r="BP8301" s="397"/>
      <c r="BQ8301" s="397"/>
      <c r="BR8301" s="397"/>
      <c r="BS8301" s="397"/>
      <c r="BT8301" s="397"/>
      <c r="BU8301" s="397"/>
      <c r="BV8301" s="397"/>
      <c r="BW8301" s="397"/>
      <c r="BX8301" s="397"/>
      <c r="BY8301" s="397"/>
      <c r="BZ8301" s="397"/>
      <c r="CA8301" s="392"/>
      <c r="CB8301" s="392"/>
    </row>
    <row r="8302" spans="1:80" ht="15" x14ac:dyDescent="0.25">
      <c r="A8302" s="385"/>
      <c r="B8302" s="392"/>
      <c r="C8302" s="392"/>
      <c r="D8302" s="700"/>
      <c r="E8302" s="397"/>
      <c r="F8302" s="392"/>
      <c r="G8302" s="392"/>
      <c r="H8302" s="401"/>
      <c r="I8302" s="165">
        <v>5</v>
      </c>
      <c r="J8302" s="165">
        <v>240</v>
      </c>
      <c r="K8302" s="165">
        <v>1</v>
      </c>
      <c r="L8302" s="628"/>
      <c r="M8302" s="628"/>
      <c r="N8302" s="388">
        <f>320.768905021174*(0.028317)</f>
        <v>9.0832130834845834</v>
      </c>
      <c r="O8302" s="389">
        <v>4.1919999999999999E-2</v>
      </c>
      <c r="P8302" s="413"/>
      <c r="Q8302" s="413"/>
      <c r="R8302" s="413">
        <v>4.7709923664122141E-2</v>
      </c>
      <c r="S8302" s="413">
        <v>0.19274809160305342</v>
      </c>
      <c r="T8302" s="413">
        <v>0.26717557251908397</v>
      </c>
      <c r="U8302" s="413">
        <v>0.21183206106870228</v>
      </c>
      <c r="V8302" s="504">
        <v>0</v>
      </c>
      <c r="W8302" s="504">
        <v>0</v>
      </c>
      <c r="X8302" s="504">
        <v>0</v>
      </c>
      <c r="Y8302" s="504">
        <v>0.28053435114503816</v>
      </c>
      <c r="Z8302" s="388">
        <v>20</v>
      </c>
      <c r="AA8302" s="388"/>
      <c r="AB8302" s="391"/>
      <c r="AC8302" s="392"/>
      <c r="AD8302" s="388">
        <f t="shared" si="62"/>
        <v>14.630400000000002</v>
      </c>
      <c r="AE8302" s="388"/>
      <c r="AF8302" s="388"/>
      <c r="AG8302" s="388"/>
      <c r="AH8302" s="391"/>
      <c r="AI8302" s="397"/>
      <c r="AJ8302" s="397"/>
      <c r="AK8302" s="392"/>
      <c r="AL8302" s="392"/>
      <c r="AM8302" s="392"/>
      <c r="AN8302" s="392"/>
      <c r="AO8302" s="392"/>
      <c r="AP8302" s="392"/>
      <c r="AQ8302" s="392"/>
      <c r="AR8302" s="392"/>
      <c r="AS8302" s="392"/>
      <c r="AT8302" s="392"/>
      <c r="AU8302" s="397"/>
      <c r="AV8302" s="397"/>
      <c r="AW8302" s="397"/>
      <c r="AX8302" s="397"/>
      <c r="AY8302" s="392"/>
      <c r="AZ8302" s="392"/>
      <c r="BA8302" s="392"/>
      <c r="BB8302" s="392"/>
      <c r="BC8302" s="392"/>
      <c r="BD8302" s="392"/>
      <c r="BE8302" s="392"/>
      <c r="BF8302" s="392"/>
      <c r="BG8302" s="392"/>
      <c r="BH8302" s="392"/>
      <c r="BI8302" s="397"/>
      <c r="BJ8302" s="397"/>
      <c r="BK8302" s="397"/>
      <c r="BL8302" s="397"/>
      <c r="BM8302" s="397"/>
      <c r="BN8302" s="397"/>
      <c r="BO8302" s="397"/>
      <c r="BP8302" s="397"/>
      <c r="BQ8302" s="397"/>
      <c r="BR8302" s="397"/>
      <c r="BS8302" s="397"/>
      <c r="BT8302" s="397"/>
      <c r="BU8302" s="397"/>
      <c r="BV8302" s="397"/>
      <c r="BW8302" s="397"/>
      <c r="BX8302" s="397"/>
      <c r="BY8302" s="397"/>
      <c r="BZ8302" s="397"/>
      <c r="CA8302" s="392"/>
      <c r="CB8302" s="392"/>
    </row>
    <row r="8303" spans="1:80" ht="15" x14ac:dyDescent="0.25">
      <c r="A8303" s="385"/>
      <c r="B8303" s="392"/>
      <c r="C8303" s="392"/>
      <c r="D8303" s="700"/>
      <c r="E8303" s="397"/>
      <c r="F8303" s="392"/>
      <c r="G8303" s="392"/>
      <c r="H8303" s="401"/>
      <c r="I8303" s="165">
        <v>5</v>
      </c>
      <c r="J8303" s="165">
        <v>240</v>
      </c>
      <c r="K8303" s="165">
        <v>1</v>
      </c>
      <c r="L8303" s="628"/>
      <c r="M8303" s="628"/>
      <c r="N8303" s="388">
        <f>332.868118572293*(0.028317)</f>
        <v>9.4258265136116197</v>
      </c>
      <c r="O8303" s="389">
        <v>8.3999999999999995E-3</v>
      </c>
      <c r="P8303" s="413"/>
      <c r="Q8303" s="413"/>
      <c r="R8303" s="413"/>
      <c r="S8303" s="413"/>
      <c r="T8303" s="413"/>
      <c r="U8303" s="413"/>
      <c r="V8303" s="504">
        <v>0</v>
      </c>
      <c r="W8303" s="504">
        <v>0</v>
      </c>
      <c r="X8303" s="504">
        <v>0</v>
      </c>
      <c r="Y8303" s="504">
        <v>1</v>
      </c>
      <c r="Z8303" s="388">
        <v>5</v>
      </c>
      <c r="AA8303" s="388"/>
      <c r="AB8303" s="391"/>
      <c r="AC8303" s="392"/>
      <c r="AD8303" s="388">
        <f t="shared" si="62"/>
        <v>14.630400000000002</v>
      </c>
      <c r="AE8303" s="388"/>
      <c r="AF8303" s="388"/>
      <c r="AG8303" s="388"/>
      <c r="AH8303" s="391"/>
      <c r="AI8303" s="397"/>
      <c r="AJ8303" s="397"/>
      <c r="AK8303" s="392"/>
      <c r="AL8303" s="392"/>
      <c r="AM8303" s="392"/>
      <c r="AN8303" s="392"/>
      <c r="AO8303" s="392"/>
      <c r="AP8303" s="392"/>
      <c r="AQ8303" s="392"/>
      <c r="AR8303" s="392"/>
      <c r="AS8303" s="392"/>
      <c r="AT8303" s="392"/>
      <c r="AU8303" s="397"/>
      <c r="AV8303" s="397"/>
      <c r="AW8303" s="397"/>
      <c r="AX8303" s="397"/>
      <c r="AY8303" s="392"/>
      <c r="AZ8303" s="392"/>
      <c r="BA8303" s="392"/>
      <c r="BB8303" s="392"/>
      <c r="BC8303" s="392"/>
      <c r="BD8303" s="392"/>
      <c r="BE8303" s="392"/>
      <c r="BF8303" s="392"/>
      <c r="BG8303" s="392"/>
      <c r="BH8303" s="392"/>
      <c r="BI8303" s="397"/>
      <c r="BJ8303" s="397"/>
      <c r="BK8303" s="397"/>
      <c r="BL8303" s="397"/>
      <c r="BM8303" s="397"/>
      <c r="BN8303" s="397"/>
      <c r="BO8303" s="397"/>
      <c r="BP8303" s="397"/>
      <c r="BQ8303" s="397"/>
      <c r="BR8303" s="397"/>
      <c r="BS8303" s="397"/>
      <c r="BT8303" s="397"/>
      <c r="BU8303" s="397"/>
      <c r="BV8303" s="397"/>
      <c r="BW8303" s="397"/>
      <c r="BX8303" s="397"/>
      <c r="BY8303" s="397"/>
      <c r="BZ8303" s="397"/>
      <c r="CA8303" s="392"/>
      <c r="CB8303" s="392"/>
    </row>
    <row r="8304" spans="1:80" ht="15" x14ac:dyDescent="0.25">
      <c r="A8304" s="385"/>
      <c r="B8304" s="392"/>
      <c r="C8304" s="392"/>
      <c r="D8304" s="700"/>
      <c r="E8304" s="397"/>
      <c r="F8304" s="392"/>
      <c r="G8304" s="392"/>
      <c r="H8304" s="401"/>
      <c r="I8304" s="165">
        <v>5</v>
      </c>
      <c r="J8304" s="165">
        <v>240</v>
      </c>
      <c r="K8304" s="165">
        <v>1</v>
      </c>
      <c r="L8304" s="628"/>
      <c r="M8304" s="628"/>
      <c r="N8304" s="388">
        <f>223.97519661222*(0.028317)</f>
        <v>6.3423056424682338</v>
      </c>
      <c r="O8304" s="389">
        <v>5.0400000000000002E-3</v>
      </c>
      <c r="P8304" s="413"/>
      <c r="Q8304" s="413"/>
      <c r="R8304" s="413"/>
      <c r="S8304" s="413"/>
      <c r="T8304" s="413"/>
      <c r="U8304" s="413"/>
      <c r="V8304" s="504">
        <v>0</v>
      </c>
      <c r="W8304" s="504">
        <v>0</v>
      </c>
      <c r="X8304" s="504">
        <v>0</v>
      </c>
      <c r="Y8304" s="504">
        <v>1</v>
      </c>
      <c r="Z8304" s="388">
        <v>4</v>
      </c>
      <c r="AA8304" s="388"/>
      <c r="AB8304" s="391"/>
      <c r="AC8304" s="392"/>
      <c r="AD8304" s="388">
        <f t="shared" si="62"/>
        <v>14.630400000000002</v>
      </c>
      <c r="AE8304" s="388"/>
      <c r="AF8304" s="388"/>
      <c r="AG8304" s="388"/>
      <c r="AH8304" s="391"/>
      <c r="AI8304" s="397"/>
      <c r="AJ8304" s="397"/>
      <c r="AK8304" s="392"/>
      <c r="AL8304" s="392"/>
      <c r="AM8304" s="392"/>
      <c r="AN8304" s="392"/>
      <c r="AO8304" s="392"/>
      <c r="AP8304" s="392"/>
      <c r="AQ8304" s="392"/>
      <c r="AR8304" s="392"/>
      <c r="AS8304" s="392"/>
      <c r="AT8304" s="392"/>
      <c r="AU8304" s="397"/>
      <c r="AV8304" s="397"/>
      <c r="AW8304" s="397"/>
      <c r="AX8304" s="397"/>
      <c r="AY8304" s="392"/>
      <c r="AZ8304" s="392"/>
      <c r="BA8304" s="392"/>
      <c r="BB8304" s="392"/>
      <c r="BC8304" s="392"/>
      <c r="BD8304" s="392"/>
      <c r="BE8304" s="392"/>
      <c r="BF8304" s="392"/>
      <c r="BG8304" s="392"/>
      <c r="BH8304" s="392"/>
      <c r="BI8304" s="397"/>
      <c r="BJ8304" s="397"/>
      <c r="BK8304" s="397"/>
      <c r="BL8304" s="397"/>
      <c r="BM8304" s="397"/>
      <c r="BN8304" s="397"/>
      <c r="BO8304" s="397"/>
      <c r="BP8304" s="397"/>
      <c r="BQ8304" s="397"/>
      <c r="BR8304" s="397"/>
      <c r="BS8304" s="397"/>
      <c r="BT8304" s="397"/>
      <c r="BU8304" s="397"/>
      <c r="BV8304" s="397"/>
      <c r="BW8304" s="397"/>
      <c r="BX8304" s="397"/>
      <c r="BY8304" s="397"/>
      <c r="BZ8304" s="397"/>
      <c r="CA8304" s="392"/>
      <c r="CB8304" s="392"/>
    </row>
    <row r="8305" spans="1:80" ht="15" x14ac:dyDescent="0.25">
      <c r="A8305" s="385"/>
      <c r="B8305" s="392"/>
      <c r="C8305" s="392"/>
      <c r="D8305" s="700"/>
      <c r="E8305" s="397"/>
      <c r="F8305" s="392"/>
      <c r="G8305" s="392"/>
      <c r="H8305" s="401"/>
      <c r="I8305" s="165">
        <v>5</v>
      </c>
      <c r="J8305" s="165">
        <v>240</v>
      </c>
      <c r="K8305" s="165">
        <v>1</v>
      </c>
      <c r="L8305" s="628"/>
      <c r="M8305" s="628"/>
      <c r="N8305" s="388">
        <f>181.627949183303*(0.028317)</f>
        <v>5.1431586370235909</v>
      </c>
      <c r="O8305" s="389">
        <v>1.6800000000000001E-3</v>
      </c>
      <c r="P8305" s="413"/>
      <c r="Q8305" s="413"/>
      <c r="R8305" s="413"/>
      <c r="S8305" s="413"/>
      <c r="T8305" s="413"/>
      <c r="U8305" s="413"/>
      <c r="V8305" s="504">
        <v>0</v>
      </c>
      <c r="W8305" s="504">
        <v>0</v>
      </c>
      <c r="X8305" s="504">
        <v>0</v>
      </c>
      <c r="Y8305" s="504">
        <v>1</v>
      </c>
      <c r="Z8305" s="388">
        <v>4</v>
      </c>
      <c r="AA8305" s="388"/>
      <c r="AB8305" s="391"/>
      <c r="AC8305" s="392"/>
      <c r="AD8305" s="388">
        <f t="shared" si="62"/>
        <v>14.630400000000002</v>
      </c>
      <c r="AE8305" s="388"/>
      <c r="AF8305" s="388"/>
      <c r="AG8305" s="388"/>
      <c r="AH8305" s="391"/>
      <c r="AI8305" s="397"/>
      <c r="AJ8305" s="397"/>
      <c r="AK8305" s="392"/>
      <c r="AL8305" s="392"/>
      <c r="AM8305" s="392"/>
      <c r="AN8305" s="392"/>
      <c r="AO8305" s="392"/>
      <c r="AP8305" s="392"/>
      <c r="AQ8305" s="392"/>
      <c r="AR8305" s="392"/>
      <c r="AS8305" s="392"/>
      <c r="AT8305" s="392"/>
      <c r="AU8305" s="397"/>
      <c r="AV8305" s="397"/>
      <c r="AW8305" s="397"/>
      <c r="AX8305" s="397"/>
      <c r="AY8305" s="392"/>
      <c r="AZ8305" s="392"/>
      <c r="BA8305" s="392"/>
      <c r="BB8305" s="392"/>
      <c r="BC8305" s="392"/>
      <c r="BD8305" s="392"/>
      <c r="BE8305" s="392"/>
      <c r="BF8305" s="392"/>
      <c r="BG8305" s="392"/>
      <c r="BH8305" s="392"/>
      <c r="BI8305" s="397"/>
      <c r="BJ8305" s="397"/>
      <c r="BK8305" s="397"/>
      <c r="BL8305" s="397"/>
      <c r="BM8305" s="397"/>
      <c r="BN8305" s="397"/>
      <c r="BO8305" s="397"/>
      <c r="BP8305" s="397"/>
      <c r="BQ8305" s="397"/>
      <c r="BR8305" s="397"/>
      <c r="BS8305" s="397"/>
      <c r="BT8305" s="397"/>
      <c r="BU8305" s="397"/>
      <c r="BV8305" s="397"/>
      <c r="BW8305" s="397"/>
      <c r="BX8305" s="397"/>
      <c r="BY8305" s="397"/>
      <c r="BZ8305" s="397"/>
      <c r="CA8305" s="392"/>
      <c r="CB8305" s="392"/>
    </row>
    <row r="8306" spans="1:80" ht="15" x14ac:dyDescent="0.25">
      <c r="A8306" s="385"/>
      <c r="B8306" s="392"/>
      <c r="C8306" s="392"/>
      <c r="D8306" s="700"/>
      <c r="E8306" s="397"/>
      <c r="F8306" s="392"/>
      <c r="G8306" s="392"/>
      <c r="H8306" s="401"/>
      <c r="I8306" s="165">
        <v>5</v>
      </c>
      <c r="J8306" s="165">
        <v>240</v>
      </c>
      <c r="K8306" s="165">
        <v>1</v>
      </c>
      <c r="L8306" s="628"/>
      <c r="M8306" s="628"/>
      <c r="N8306" s="388">
        <f>124.156684815487*(0.028317)</f>
        <v>3.5157448439201451</v>
      </c>
      <c r="O8306" s="389">
        <v>1.6800000000000001E-3</v>
      </c>
      <c r="P8306" s="413"/>
      <c r="Q8306" s="413"/>
      <c r="R8306" s="413"/>
      <c r="S8306" s="413"/>
      <c r="T8306" s="413"/>
      <c r="U8306" s="413"/>
      <c r="V8306" s="504">
        <v>0</v>
      </c>
      <c r="W8306" s="504">
        <v>0</v>
      </c>
      <c r="X8306" s="504">
        <v>0</v>
      </c>
      <c r="Y8306" s="504">
        <v>1</v>
      </c>
      <c r="Z8306" s="388">
        <v>12</v>
      </c>
      <c r="AA8306" s="388"/>
      <c r="AB8306" s="391"/>
      <c r="AC8306" s="392"/>
      <c r="AD8306" s="388">
        <f t="shared" si="62"/>
        <v>14.630400000000002</v>
      </c>
      <c r="AE8306" s="388"/>
      <c r="AF8306" s="388"/>
      <c r="AG8306" s="388"/>
      <c r="AH8306" s="391"/>
      <c r="AI8306" s="397"/>
      <c r="AJ8306" s="397"/>
      <c r="AK8306" s="392"/>
      <c r="AL8306" s="392"/>
      <c r="AM8306" s="392"/>
      <c r="AN8306" s="392"/>
      <c r="AO8306" s="392"/>
      <c r="AP8306" s="392"/>
      <c r="AQ8306" s="392"/>
      <c r="AR8306" s="392"/>
      <c r="AS8306" s="392"/>
      <c r="AT8306" s="392"/>
      <c r="AU8306" s="397"/>
      <c r="AV8306" s="397"/>
      <c r="AW8306" s="397"/>
      <c r="AX8306" s="397"/>
      <c r="AY8306" s="392"/>
      <c r="AZ8306" s="392"/>
      <c r="BA8306" s="392"/>
      <c r="BB8306" s="392"/>
      <c r="BC8306" s="392"/>
      <c r="BD8306" s="392"/>
      <c r="BE8306" s="392"/>
      <c r="BF8306" s="392"/>
      <c r="BG8306" s="392"/>
      <c r="BH8306" s="392"/>
      <c r="BI8306" s="397"/>
      <c r="BJ8306" s="397"/>
      <c r="BK8306" s="397"/>
      <c r="BL8306" s="397"/>
      <c r="BM8306" s="397"/>
      <c r="BN8306" s="397"/>
      <c r="BO8306" s="397"/>
      <c r="BP8306" s="397"/>
      <c r="BQ8306" s="397"/>
      <c r="BR8306" s="397"/>
      <c r="BS8306" s="397"/>
      <c r="BT8306" s="397"/>
      <c r="BU8306" s="397"/>
      <c r="BV8306" s="397"/>
      <c r="BW8306" s="397"/>
      <c r="BX8306" s="397"/>
      <c r="BY8306" s="397"/>
      <c r="BZ8306" s="397"/>
      <c r="CA8306" s="392"/>
      <c r="CB8306" s="392"/>
    </row>
    <row r="8307" spans="1:80" ht="15" x14ac:dyDescent="0.25">
      <c r="A8307" s="385"/>
      <c r="B8307" s="392"/>
      <c r="C8307" s="392"/>
      <c r="D8307" s="700"/>
      <c r="E8307" s="397"/>
      <c r="F8307" s="392"/>
      <c r="G8307" s="392"/>
      <c r="H8307" s="401"/>
      <c r="I8307" s="165">
        <v>5</v>
      </c>
      <c r="J8307" s="165">
        <v>240</v>
      </c>
      <c r="K8307" s="165">
        <v>1</v>
      </c>
      <c r="L8307" s="628"/>
      <c r="M8307" s="628"/>
      <c r="N8307" s="388">
        <f>72.7350272232305*(0.028317)</f>
        <v>2.0596377658802179</v>
      </c>
      <c r="O8307" s="389">
        <v>5.0400000000000002E-3</v>
      </c>
      <c r="P8307" s="413"/>
      <c r="Q8307" s="413"/>
      <c r="R8307" s="413"/>
      <c r="S8307" s="413"/>
      <c r="T8307" s="413"/>
      <c r="U8307" s="413"/>
      <c r="V8307" s="504">
        <v>0</v>
      </c>
      <c r="W8307" s="504">
        <v>0</v>
      </c>
      <c r="X8307" s="504">
        <v>0</v>
      </c>
      <c r="Y8307" s="504">
        <v>1</v>
      </c>
      <c r="Z8307" s="388">
        <v>16</v>
      </c>
      <c r="AA8307" s="388"/>
      <c r="AB8307" s="391"/>
      <c r="AC8307" s="392"/>
      <c r="AD8307" s="388">
        <f t="shared" si="62"/>
        <v>14.630400000000002</v>
      </c>
      <c r="AE8307" s="388"/>
      <c r="AF8307" s="388"/>
      <c r="AG8307" s="388"/>
      <c r="AH8307" s="391"/>
      <c r="AI8307" s="397"/>
      <c r="AJ8307" s="397"/>
      <c r="AK8307" s="392"/>
      <c r="AL8307" s="392"/>
      <c r="AM8307" s="392"/>
      <c r="AN8307" s="392"/>
      <c r="AO8307" s="392"/>
      <c r="AP8307" s="392"/>
      <c r="AQ8307" s="392"/>
      <c r="AR8307" s="392"/>
      <c r="AS8307" s="392"/>
      <c r="AT8307" s="392"/>
      <c r="AU8307" s="397"/>
      <c r="AV8307" s="397"/>
      <c r="AW8307" s="397"/>
      <c r="AX8307" s="397"/>
      <c r="AY8307" s="392"/>
      <c r="AZ8307" s="392"/>
      <c r="BA8307" s="392"/>
      <c r="BB8307" s="392"/>
      <c r="BC8307" s="392"/>
      <c r="BD8307" s="392"/>
      <c r="BE8307" s="392"/>
      <c r="BF8307" s="392"/>
      <c r="BG8307" s="392"/>
      <c r="BH8307" s="392"/>
      <c r="BI8307" s="397"/>
      <c r="BJ8307" s="397"/>
      <c r="BK8307" s="397"/>
      <c r="BL8307" s="397"/>
      <c r="BM8307" s="397"/>
      <c r="BN8307" s="397"/>
      <c r="BO8307" s="397"/>
      <c r="BP8307" s="397"/>
      <c r="BQ8307" s="397"/>
      <c r="BR8307" s="397"/>
      <c r="BS8307" s="397"/>
      <c r="BT8307" s="397"/>
      <c r="BU8307" s="397"/>
      <c r="BV8307" s="397"/>
      <c r="BW8307" s="397"/>
      <c r="BX8307" s="397"/>
      <c r="BY8307" s="397"/>
      <c r="BZ8307" s="397"/>
      <c r="CA8307" s="392"/>
      <c r="CB8307" s="392"/>
    </row>
    <row r="8308" spans="1:80" ht="15" x14ac:dyDescent="0.25">
      <c r="A8308" s="385"/>
      <c r="B8308" s="392"/>
      <c r="C8308" s="392"/>
      <c r="D8308" s="700"/>
      <c r="E8308" s="397"/>
      <c r="F8308" s="392"/>
      <c r="G8308" s="392"/>
      <c r="H8308" s="401"/>
      <c r="I8308" s="165">
        <v>5</v>
      </c>
      <c r="J8308" s="165">
        <v>240</v>
      </c>
      <c r="K8308" s="165">
        <v>1</v>
      </c>
      <c r="L8308" s="628"/>
      <c r="M8308" s="628"/>
      <c r="N8308" s="388">
        <f>102.983061101028*(0.028317)</f>
        <v>2.9161713411978099</v>
      </c>
      <c r="O8308" s="389">
        <v>1.6800000000000001E-3</v>
      </c>
      <c r="P8308" s="413"/>
      <c r="Q8308" s="413"/>
      <c r="R8308" s="413"/>
      <c r="S8308" s="413"/>
      <c r="T8308" s="413"/>
      <c r="U8308" s="413"/>
      <c r="V8308" s="504">
        <v>0</v>
      </c>
      <c r="W8308" s="504">
        <v>0</v>
      </c>
      <c r="X8308" s="504">
        <v>0</v>
      </c>
      <c r="Y8308" s="504">
        <v>1</v>
      </c>
      <c r="Z8308" s="388">
        <v>4</v>
      </c>
      <c r="AA8308" s="388"/>
      <c r="AB8308" s="391"/>
      <c r="AC8308" s="392"/>
      <c r="AD8308" s="388">
        <f t="shared" si="62"/>
        <v>14.630400000000002</v>
      </c>
      <c r="AE8308" s="388"/>
      <c r="AF8308" s="388"/>
      <c r="AG8308" s="388"/>
      <c r="AH8308" s="391"/>
      <c r="AI8308" s="397"/>
      <c r="AJ8308" s="397"/>
      <c r="AK8308" s="392"/>
      <c r="AL8308" s="392"/>
      <c r="AM8308" s="392"/>
      <c r="AN8308" s="392"/>
      <c r="AO8308" s="392"/>
      <c r="AP8308" s="392"/>
      <c r="AQ8308" s="392"/>
      <c r="AR8308" s="392"/>
      <c r="AS8308" s="392"/>
      <c r="AT8308" s="392"/>
      <c r="AU8308" s="397"/>
      <c r="AV8308" s="397"/>
      <c r="AW8308" s="397"/>
      <c r="AX8308" s="397"/>
      <c r="AY8308" s="392"/>
      <c r="AZ8308" s="392"/>
      <c r="BA8308" s="392"/>
      <c r="BB8308" s="392"/>
      <c r="BC8308" s="392"/>
      <c r="BD8308" s="392"/>
      <c r="BE8308" s="392"/>
      <c r="BF8308" s="392"/>
      <c r="BG8308" s="392"/>
      <c r="BH8308" s="392"/>
      <c r="BI8308" s="397"/>
      <c r="BJ8308" s="397"/>
      <c r="BK8308" s="397"/>
      <c r="BL8308" s="397"/>
      <c r="BM8308" s="397"/>
      <c r="BN8308" s="397"/>
      <c r="BO8308" s="397"/>
      <c r="BP8308" s="397"/>
      <c r="BQ8308" s="397"/>
      <c r="BR8308" s="397"/>
      <c r="BS8308" s="397"/>
      <c r="BT8308" s="397"/>
      <c r="BU8308" s="397"/>
      <c r="BV8308" s="397"/>
      <c r="BW8308" s="397"/>
      <c r="BX8308" s="397"/>
      <c r="BY8308" s="397"/>
      <c r="BZ8308" s="397"/>
      <c r="CA8308" s="392"/>
      <c r="CB8308" s="392"/>
    </row>
    <row r="8309" spans="1:80" ht="15" x14ac:dyDescent="0.25">
      <c r="A8309" s="385"/>
      <c r="B8309" s="392"/>
      <c r="C8309" s="392"/>
      <c r="D8309" s="700"/>
      <c r="E8309" s="397"/>
      <c r="F8309" s="392"/>
      <c r="G8309" s="392"/>
      <c r="H8309" s="401"/>
      <c r="I8309" s="165">
        <v>5</v>
      </c>
      <c r="J8309" s="165">
        <v>240</v>
      </c>
      <c r="K8309" s="165">
        <v>1</v>
      </c>
      <c r="L8309" s="628"/>
      <c r="M8309" s="628"/>
      <c r="N8309" s="388">
        <f>217.925589836661*(0.028317)</f>
        <v>6.170998927404729</v>
      </c>
      <c r="O8309" s="389">
        <v>1.0320000000000001E-3</v>
      </c>
      <c r="P8309" s="413"/>
      <c r="Q8309" s="413"/>
      <c r="R8309" s="413"/>
      <c r="S8309" s="413"/>
      <c r="T8309" s="413">
        <v>6.2111801242236024E-2</v>
      </c>
      <c r="U8309" s="413">
        <v>4.3478260869565216E-2</v>
      </c>
      <c r="V8309" s="504">
        <v>0</v>
      </c>
      <c r="W8309" s="504">
        <v>0</v>
      </c>
      <c r="X8309" s="504">
        <v>0</v>
      </c>
      <c r="Y8309" s="504">
        <v>0.89440993788819867</v>
      </c>
      <c r="Z8309" s="388">
        <v>5</v>
      </c>
      <c r="AA8309" s="388"/>
      <c r="AB8309" s="391"/>
      <c r="AC8309" s="392"/>
      <c r="AD8309" s="388">
        <f t="shared" si="62"/>
        <v>14.630400000000002</v>
      </c>
      <c r="AE8309" s="388"/>
      <c r="AF8309" s="388"/>
      <c r="AG8309" s="399"/>
      <c r="AH8309" s="391"/>
      <c r="AI8309" s="397"/>
      <c r="AJ8309" s="397"/>
      <c r="AK8309" s="392"/>
      <c r="AL8309" s="392"/>
      <c r="AM8309" s="392"/>
      <c r="AN8309" s="392"/>
      <c r="AO8309" s="392"/>
      <c r="AP8309" s="392"/>
      <c r="AQ8309" s="392"/>
      <c r="AR8309" s="392"/>
      <c r="AS8309" s="392"/>
      <c r="AT8309" s="392"/>
      <c r="AU8309" s="397"/>
      <c r="AV8309" s="397"/>
      <c r="AW8309" s="397"/>
      <c r="AX8309" s="397"/>
      <c r="AY8309" s="392"/>
      <c r="AZ8309" s="392"/>
      <c r="BA8309" s="392"/>
      <c r="BB8309" s="392"/>
      <c r="BC8309" s="392"/>
      <c r="BD8309" s="392"/>
      <c r="BE8309" s="392"/>
      <c r="BF8309" s="392"/>
      <c r="BG8309" s="392"/>
      <c r="BH8309" s="392"/>
      <c r="BI8309" s="397"/>
      <c r="BJ8309" s="397"/>
      <c r="BK8309" s="397"/>
      <c r="BL8309" s="397"/>
      <c r="BM8309" s="397"/>
      <c r="BN8309" s="397"/>
      <c r="BO8309" s="397"/>
      <c r="BP8309" s="397"/>
      <c r="BQ8309" s="397"/>
      <c r="BR8309" s="397"/>
      <c r="BS8309" s="397"/>
      <c r="BT8309" s="397"/>
      <c r="BU8309" s="397"/>
      <c r="BV8309" s="397"/>
      <c r="BW8309" s="397"/>
      <c r="BX8309" s="397"/>
      <c r="BY8309" s="397"/>
      <c r="BZ8309" s="397"/>
      <c r="CA8309" s="392"/>
      <c r="CB8309" s="392"/>
    </row>
    <row r="8310" spans="1:80" ht="15" x14ac:dyDescent="0.25">
      <c r="A8310" s="385"/>
      <c r="B8310" s="392"/>
      <c r="C8310" s="392"/>
      <c r="D8310" s="700"/>
      <c r="E8310" s="397"/>
      <c r="F8310" s="392"/>
      <c r="G8310" s="392"/>
      <c r="H8310" s="401"/>
      <c r="I8310" s="165">
        <v>5</v>
      </c>
      <c r="J8310" s="165">
        <v>240</v>
      </c>
      <c r="K8310" s="165">
        <v>1</v>
      </c>
      <c r="L8310" s="628"/>
      <c r="M8310" s="628"/>
      <c r="N8310" s="388">
        <f>212.18*(0.028317)</f>
        <v>6.00830106</v>
      </c>
      <c r="O8310" s="389">
        <v>6.0068666666666668E-3</v>
      </c>
      <c r="P8310" s="413"/>
      <c r="Q8310" s="413"/>
      <c r="R8310" s="413">
        <v>0.15005302226935313</v>
      </c>
      <c r="S8310" s="413"/>
      <c r="T8310" s="413">
        <v>3.1150583244962886E-2</v>
      </c>
      <c r="U8310" s="413">
        <v>7.9003181336161188E-2</v>
      </c>
      <c r="V8310" s="504">
        <v>0</v>
      </c>
      <c r="W8310" s="504">
        <v>0</v>
      </c>
      <c r="X8310" s="504">
        <v>0</v>
      </c>
      <c r="Y8310" s="504">
        <v>0.73979321314952284</v>
      </c>
      <c r="Z8310" s="388">
        <v>30</v>
      </c>
      <c r="AA8310" s="388"/>
      <c r="AB8310" s="391"/>
      <c r="AC8310" s="392"/>
      <c r="AD8310" s="388">
        <f>47.8*(0.3048)</f>
        <v>14.56944</v>
      </c>
      <c r="AE8310" s="388">
        <f>1.24518828451883*(0.3048)</f>
        <v>0.37953338912133938</v>
      </c>
      <c r="AF8310" s="388"/>
      <c r="AG8310" s="388">
        <f>3.56484206989247*(0.3048)</f>
        <v>1.086563862903225</v>
      </c>
      <c r="AH8310" s="391"/>
      <c r="AI8310" s="397"/>
      <c r="AJ8310" s="397"/>
      <c r="AK8310" s="392"/>
      <c r="AL8310" s="392"/>
      <c r="AM8310" s="392"/>
      <c r="AN8310" s="392"/>
      <c r="AO8310" s="392"/>
      <c r="AP8310" s="392"/>
      <c r="AQ8310" s="392"/>
      <c r="AR8310" s="392"/>
      <c r="AS8310" s="392"/>
      <c r="AT8310" s="392"/>
      <c r="AU8310" s="397"/>
      <c r="AV8310" s="397"/>
      <c r="AW8310" s="397"/>
      <c r="AX8310" s="397"/>
      <c r="AY8310" s="392"/>
      <c r="AZ8310" s="392"/>
      <c r="BA8310" s="392"/>
      <c r="BB8310" s="392"/>
      <c r="BC8310" s="392"/>
      <c r="BD8310" s="392"/>
      <c r="BE8310" s="392"/>
      <c r="BF8310" s="392"/>
      <c r="BG8310" s="392"/>
      <c r="BH8310" s="392"/>
      <c r="BI8310" s="397"/>
      <c r="BJ8310" s="397"/>
      <c r="BK8310" s="397"/>
      <c r="BL8310" s="397"/>
      <c r="BM8310" s="397"/>
      <c r="BN8310" s="397"/>
      <c r="BO8310" s="397"/>
      <c r="BP8310" s="397"/>
      <c r="BQ8310" s="397"/>
      <c r="BR8310" s="397"/>
      <c r="BS8310" s="397"/>
      <c r="BT8310" s="397"/>
      <c r="BU8310" s="397"/>
      <c r="BV8310" s="397"/>
      <c r="BW8310" s="397"/>
      <c r="BX8310" s="397"/>
      <c r="BY8310" s="397"/>
      <c r="BZ8310" s="397"/>
      <c r="CA8310" s="392"/>
      <c r="CB8310" s="392"/>
    </row>
    <row r="8311" spans="1:80" ht="15" x14ac:dyDescent="0.25">
      <c r="A8311" s="385"/>
      <c r="B8311" s="392"/>
      <c r="C8311" s="392"/>
      <c r="D8311" s="700"/>
      <c r="E8311" s="397"/>
      <c r="F8311" s="392"/>
      <c r="G8311" s="392"/>
      <c r="H8311" s="401"/>
      <c r="I8311" s="165">
        <v>5</v>
      </c>
      <c r="J8311" s="165">
        <v>240</v>
      </c>
      <c r="K8311" s="165">
        <v>1</v>
      </c>
      <c r="L8311" s="628"/>
      <c r="M8311" s="628"/>
      <c r="N8311" s="388">
        <f>171.25*(0.028317)</f>
        <v>4.8492862499999996</v>
      </c>
      <c r="O8311" s="389">
        <v>1.0920000000000001E-2</v>
      </c>
      <c r="P8311" s="413"/>
      <c r="Q8311" s="413"/>
      <c r="R8311" s="413">
        <v>5.9353704110793576E-2</v>
      </c>
      <c r="S8311" s="413">
        <v>8.448743313548765E-2</v>
      </c>
      <c r="T8311" s="413">
        <v>7.2763244669158053E-2</v>
      </c>
      <c r="U8311" s="413">
        <v>9.4526269509782379E-2</v>
      </c>
      <c r="V8311" s="504">
        <v>0</v>
      </c>
      <c r="W8311" s="504">
        <v>0</v>
      </c>
      <c r="X8311" s="504">
        <v>0</v>
      </c>
      <c r="Y8311" s="504">
        <v>0.68886934857477833</v>
      </c>
      <c r="Z8311" s="388">
        <v>21</v>
      </c>
      <c r="AA8311" s="388"/>
      <c r="AB8311" s="391"/>
      <c r="AC8311" s="392"/>
      <c r="AD8311" s="388">
        <f>48*(0.3048)</f>
        <v>14.630400000000002</v>
      </c>
      <c r="AE8311" s="388">
        <f>1.16765625*(0.3048)</f>
        <v>0.35590162500000005</v>
      </c>
      <c r="AF8311" s="388"/>
      <c r="AG8311" s="388">
        <f>3.05536063160712*(0.3048)</f>
        <v>0.93127392051385016</v>
      </c>
      <c r="AH8311" s="391"/>
      <c r="AI8311" s="397"/>
      <c r="AJ8311" s="397"/>
      <c r="AK8311" s="392"/>
      <c r="AL8311" s="392"/>
      <c r="AM8311" s="392"/>
      <c r="AN8311" s="392"/>
      <c r="AO8311" s="392"/>
      <c r="AP8311" s="392"/>
      <c r="AQ8311" s="392"/>
      <c r="AR8311" s="392"/>
      <c r="AS8311" s="392"/>
      <c r="AT8311" s="392"/>
      <c r="AU8311" s="397"/>
      <c r="AV8311" s="397"/>
      <c r="AW8311" s="397"/>
      <c r="AX8311" s="397"/>
      <c r="AY8311" s="392"/>
      <c r="AZ8311" s="392"/>
      <c r="BA8311" s="392"/>
      <c r="BB8311" s="392"/>
      <c r="BC8311" s="392"/>
      <c r="BD8311" s="392"/>
      <c r="BE8311" s="392"/>
      <c r="BF8311" s="392"/>
      <c r="BG8311" s="392"/>
      <c r="BH8311" s="392"/>
      <c r="BI8311" s="397"/>
      <c r="BJ8311" s="397"/>
      <c r="BK8311" s="397"/>
      <c r="BL8311" s="397"/>
      <c r="BM8311" s="397"/>
      <c r="BN8311" s="397"/>
      <c r="BO8311" s="397"/>
      <c r="BP8311" s="397"/>
      <c r="BQ8311" s="397"/>
      <c r="BR8311" s="397"/>
      <c r="BS8311" s="397"/>
      <c r="BT8311" s="397"/>
      <c r="BU8311" s="397"/>
      <c r="BV8311" s="397"/>
      <c r="BW8311" s="397"/>
      <c r="BX8311" s="397"/>
      <c r="BY8311" s="397"/>
      <c r="BZ8311" s="397"/>
      <c r="CA8311" s="392"/>
      <c r="CB8311" s="392"/>
    </row>
    <row r="8312" spans="1:80" ht="15" x14ac:dyDescent="0.25">
      <c r="A8312" s="385"/>
      <c r="B8312" s="392"/>
      <c r="C8312" s="392"/>
      <c r="D8312" s="700"/>
      <c r="E8312" s="397"/>
      <c r="F8312" s="392"/>
      <c r="G8312" s="392"/>
      <c r="H8312" s="401"/>
      <c r="I8312" s="165">
        <v>5</v>
      </c>
      <c r="J8312" s="165">
        <v>240</v>
      </c>
      <c r="K8312" s="165">
        <v>1</v>
      </c>
      <c r="L8312" s="628"/>
      <c r="M8312" s="628"/>
      <c r="N8312" s="388">
        <f>163.23*(0.028317)</f>
        <v>4.6221839099999995</v>
      </c>
      <c r="O8312" s="389">
        <v>7.6479999999999994E-4</v>
      </c>
      <c r="P8312" s="413"/>
      <c r="Q8312" s="413"/>
      <c r="R8312" s="413"/>
      <c r="S8312" s="413"/>
      <c r="T8312" s="413"/>
      <c r="U8312" s="413">
        <v>4.9947970863683654E-2</v>
      </c>
      <c r="V8312" s="504">
        <v>0</v>
      </c>
      <c r="W8312" s="504">
        <v>0</v>
      </c>
      <c r="X8312" s="504">
        <v>0</v>
      </c>
      <c r="Y8312" s="504">
        <v>0.95005202913631626</v>
      </c>
      <c r="Z8312" s="388">
        <v>2</v>
      </c>
      <c r="AA8312" s="388"/>
      <c r="AB8312" s="391"/>
      <c r="AC8312" s="392"/>
      <c r="AD8312" s="388">
        <f>47.8*(0.3048)</f>
        <v>14.56944</v>
      </c>
      <c r="AE8312" s="388">
        <f>1.12824267782427*(0.3048)</f>
        <v>0.34388836820083751</v>
      </c>
      <c r="AF8312" s="388"/>
      <c r="AG8312" s="388">
        <f>3.02673094752457*(0.3048)</f>
        <v>0.92254759280548904</v>
      </c>
      <c r="AH8312" s="391"/>
      <c r="AI8312" s="397"/>
      <c r="AJ8312" s="397"/>
      <c r="AK8312" s="392"/>
      <c r="AL8312" s="392"/>
      <c r="AM8312" s="392"/>
      <c r="AN8312" s="392"/>
      <c r="AO8312" s="392"/>
      <c r="AP8312" s="392"/>
      <c r="AQ8312" s="392"/>
      <c r="AR8312" s="392"/>
      <c r="AS8312" s="392"/>
      <c r="AT8312" s="392"/>
      <c r="AU8312" s="397"/>
      <c r="AV8312" s="397"/>
      <c r="AW8312" s="397"/>
      <c r="AX8312" s="397"/>
      <c r="AY8312" s="392"/>
      <c r="AZ8312" s="392"/>
      <c r="BA8312" s="392"/>
      <c r="BB8312" s="392"/>
      <c r="BC8312" s="392"/>
      <c r="BD8312" s="392"/>
      <c r="BE8312" s="392"/>
      <c r="BF8312" s="392"/>
      <c r="BG8312" s="392"/>
      <c r="BH8312" s="392"/>
      <c r="BI8312" s="397"/>
      <c r="BJ8312" s="397"/>
      <c r="BK8312" s="397"/>
      <c r="BL8312" s="397"/>
      <c r="BM8312" s="397"/>
      <c r="BN8312" s="397"/>
      <c r="BO8312" s="397"/>
      <c r="BP8312" s="397"/>
      <c r="BQ8312" s="397"/>
      <c r="BR8312" s="397"/>
      <c r="BS8312" s="397"/>
      <c r="BT8312" s="397"/>
      <c r="BU8312" s="397"/>
      <c r="BV8312" s="397"/>
      <c r="BW8312" s="397"/>
      <c r="BX8312" s="397"/>
      <c r="BY8312" s="397"/>
      <c r="BZ8312" s="397"/>
      <c r="CA8312" s="392"/>
      <c r="CB8312" s="392"/>
    </row>
    <row r="8313" spans="1:80" ht="15" x14ac:dyDescent="0.25">
      <c r="A8313" s="385"/>
      <c r="B8313" s="392"/>
      <c r="C8313" s="392"/>
      <c r="D8313" s="700"/>
      <c r="E8313" s="397"/>
      <c r="F8313" s="392"/>
      <c r="G8313" s="392"/>
      <c r="H8313" s="401"/>
      <c r="I8313" s="165">
        <v>5</v>
      </c>
      <c r="J8313" s="165">
        <v>240</v>
      </c>
      <c r="K8313" s="165">
        <v>1</v>
      </c>
      <c r="L8313" s="628"/>
      <c r="M8313" s="628"/>
      <c r="N8313" s="388">
        <f>151.42*(0.028317)</f>
        <v>4.2877601399999996</v>
      </c>
      <c r="O8313" s="389">
        <v>2.8500000000000001E-3</v>
      </c>
      <c r="P8313" s="413"/>
      <c r="Q8313" s="413"/>
      <c r="R8313" s="413"/>
      <c r="S8313" s="413">
        <v>6.4408661854525262E-2</v>
      </c>
      <c r="T8313" s="413">
        <v>0.1529705719044975</v>
      </c>
      <c r="U8313" s="413">
        <v>0.21682398667406996</v>
      </c>
      <c r="V8313" s="504">
        <v>0</v>
      </c>
      <c r="W8313" s="504">
        <v>0</v>
      </c>
      <c r="X8313" s="504">
        <v>0</v>
      </c>
      <c r="Y8313" s="504">
        <v>0.56579677956690733</v>
      </c>
      <c r="Z8313" s="388">
        <v>11</v>
      </c>
      <c r="AA8313" s="388"/>
      <c r="AB8313" s="391"/>
      <c r="AC8313" s="392"/>
      <c r="AD8313" s="388">
        <f>47.5*(0.3048)</f>
        <v>14.478000000000002</v>
      </c>
      <c r="AE8313" s="388">
        <f>1.06557894736842*(0.3048)</f>
        <v>0.32478846315789445</v>
      </c>
      <c r="AF8313" s="388"/>
      <c r="AG8313" s="388">
        <f>2.99169317396029*(0.3048)</f>
        <v>0.91186807942309644</v>
      </c>
      <c r="AH8313" s="391"/>
      <c r="AI8313" s="397"/>
      <c r="AJ8313" s="397"/>
      <c r="AK8313" s="392"/>
      <c r="AL8313" s="392"/>
      <c r="AM8313" s="392"/>
      <c r="AN8313" s="392"/>
      <c r="AO8313" s="392"/>
      <c r="AP8313" s="392"/>
      <c r="AQ8313" s="392"/>
      <c r="AR8313" s="392"/>
      <c r="AS8313" s="392"/>
      <c r="AT8313" s="392"/>
      <c r="AU8313" s="397"/>
      <c r="AV8313" s="397"/>
      <c r="AW8313" s="397"/>
      <c r="AX8313" s="397"/>
      <c r="AY8313" s="392"/>
      <c r="AZ8313" s="392"/>
      <c r="BA8313" s="392"/>
      <c r="BB8313" s="392"/>
      <c r="BC8313" s="392"/>
      <c r="BD8313" s="392"/>
      <c r="BE8313" s="392"/>
      <c r="BF8313" s="392"/>
      <c r="BG8313" s="392"/>
      <c r="BH8313" s="392"/>
      <c r="BI8313" s="397"/>
      <c r="BJ8313" s="397"/>
      <c r="BK8313" s="397"/>
      <c r="BL8313" s="397"/>
      <c r="BM8313" s="397"/>
      <c r="BN8313" s="397"/>
      <c r="BO8313" s="397"/>
      <c r="BP8313" s="397"/>
      <c r="BQ8313" s="397"/>
      <c r="BR8313" s="397"/>
      <c r="BS8313" s="397"/>
      <c r="BT8313" s="397"/>
      <c r="BU8313" s="397"/>
      <c r="BV8313" s="397"/>
      <c r="BW8313" s="397"/>
      <c r="BX8313" s="397"/>
      <c r="BY8313" s="397"/>
      <c r="BZ8313" s="397"/>
      <c r="CA8313" s="392"/>
      <c r="CB8313" s="392"/>
    </row>
    <row r="8314" spans="1:80" ht="15" x14ac:dyDescent="0.25">
      <c r="A8314" s="385"/>
      <c r="B8314" s="392"/>
      <c r="C8314" s="392"/>
      <c r="D8314" s="700"/>
      <c r="E8314" s="397"/>
      <c r="F8314" s="392"/>
      <c r="G8314" s="392"/>
      <c r="H8314" s="401"/>
      <c r="I8314" s="165">
        <v>5</v>
      </c>
      <c r="J8314" s="165">
        <v>240</v>
      </c>
      <c r="K8314" s="165">
        <v>1</v>
      </c>
      <c r="L8314" s="628"/>
      <c r="M8314" s="628"/>
      <c r="N8314" s="388">
        <f>266.32*(0.028317)</f>
        <v>7.5413834399999997</v>
      </c>
      <c r="O8314" s="389">
        <v>9.4723666666666675E-3</v>
      </c>
      <c r="P8314" s="413"/>
      <c r="Q8314" s="413"/>
      <c r="R8314" s="413"/>
      <c r="S8314" s="413">
        <v>7.916210986792295E-2</v>
      </c>
      <c r="T8314" s="413">
        <v>0.23328005384032979</v>
      </c>
      <c r="U8314" s="413">
        <v>0.29662656683772187</v>
      </c>
      <c r="V8314" s="504">
        <v>0.22511987885925805</v>
      </c>
      <c r="W8314" s="504">
        <v>0.10280137965845042</v>
      </c>
      <c r="X8314" s="504">
        <v>3.2220072347943135E-2</v>
      </c>
      <c r="Y8314" s="504">
        <v>3.0789938588373856E-2</v>
      </c>
      <c r="Z8314" s="388">
        <v>12</v>
      </c>
      <c r="AA8314" s="388"/>
      <c r="AB8314" s="391"/>
      <c r="AC8314" s="392"/>
      <c r="AD8314" s="388">
        <f t="shared" ref="AD8314:AD8319" si="63">47.8*(0.3048)</f>
        <v>14.56944</v>
      </c>
      <c r="AE8314" s="388">
        <f>1.40716527196653*(0.3048)</f>
        <v>0.42890397489539833</v>
      </c>
      <c r="AF8314" s="388"/>
      <c r="AG8314" s="388">
        <f>3.95943950938487*(0.3048)</f>
        <v>1.2068371624605085</v>
      </c>
      <c r="AH8314" s="391"/>
      <c r="AI8314" s="397"/>
      <c r="AJ8314" s="397"/>
      <c r="AK8314" s="392"/>
      <c r="AL8314" s="392"/>
      <c r="AM8314" s="392"/>
      <c r="AN8314" s="392"/>
      <c r="AO8314" s="392"/>
      <c r="AP8314" s="392"/>
      <c r="AQ8314" s="392"/>
      <c r="AR8314" s="392"/>
      <c r="AS8314" s="392"/>
      <c r="AT8314" s="392"/>
      <c r="AU8314" s="397"/>
      <c r="AV8314" s="397"/>
      <c r="AW8314" s="397"/>
      <c r="AX8314" s="397"/>
      <c r="AY8314" s="392"/>
      <c r="AZ8314" s="392"/>
      <c r="BA8314" s="392"/>
      <c r="BB8314" s="392"/>
      <c r="BC8314" s="392"/>
      <c r="BD8314" s="392"/>
      <c r="BE8314" s="392"/>
      <c r="BF8314" s="392"/>
      <c r="BG8314" s="392"/>
      <c r="BH8314" s="392"/>
      <c r="BI8314" s="397"/>
      <c r="BJ8314" s="397"/>
      <c r="BK8314" s="397"/>
      <c r="BL8314" s="397"/>
      <c r="BM8314" s="397"/>
      <c r="BN8314" s="397"/>
      <c r="BO8314" s="397"/>
      <c r="BP8314" s="397"/>
      <c r="BQ8314" s="397"/>
      <c r="BR8314" s="397"/>
      <c r="BS8314" s="397"/>
      <c r="BT8314" s="397"/>
      <c r="BU8314" s="397"/>
      <c r="BV8314" s="397"/>
      <c r="BW8314" s="397"/>
      <c r="BX8314" s="397"/>
      <c r="BY8314" s="397"/>
      <c r="BZ8314" s="397"/>
      <c r="CA8314" s="392"/>
      <c r="CB8314" s="392"/>
    </row>
    <row r="8315" spans="1:80" ht="15" x14ac:dyDescent="0.25">
      <c r="A8315" s="385"/>
      <c r="B8315" s="392"/>
      <c r="C8315" s="392"/>
      <c r="D8315" s="700"/>
      <c r="E8315" s="397"/>
      <c r="F8315" s="392"/>
      <c r="G8315" s="392"/>
      <c r="H8315" s="401"/>
      <c r="I8315" s="165">
        <v>5</v>
      </c>
      <c r="J8315" s="165">
        <v>240</v>
      </c>
      <c r="K8315" s="165">
        <v>1</v>
      </c>
      <c r="L8315" s="628"/>
      <c r="M8315" s="628"/>
      <c r="N8315" s="388">
        <f>232.25*(0.028317)</f>
        <v>6.5766232499999999</v>
      </c>
      <c r="O8315" s="389">
        <v>1.3495533333333332E-2</v>
      </c>
      <c r="P8315" s="413"/>
      <c r="Q8315" s="413"/>
      <c r="R8315" s="413"/>
      <c r="S8315" s="413">
        <v>9.8087818696883849E-2</v>
      </c>
      <c r="T8315" s="413">
        <v>0.13662653446647777</v>
      </c>
      <c r="U8315" s="413">
        <v>0.19050991501416428</v>
      </c>
      <c r="V8315" s="504">
        <v>0.30701133144475917</v>
      </c>
      <c r="W8315" s="504">
        <v>0.19493626062322944</v>
      </c>
      <c r="X8315" s="504">
        <v>3.8833805476864963E-2</v>
      </c>
      <c r="Y8315" s="504">
        <v>3.3994334277620393E-2</v>
      </c>
      <c r="Z8315" s="388">
        <v>16</v>
      </c>
      <c r="AA8315" s="388"/>
      <c r="AB8315" s="391"/>
      <c r="AC8315" s="392"/>
      <c r="AD8315" s="388">
        <f t="shared" si="63"/>
        <v>14.56944</v>
      </c>
      <c r="AE8315" s="388">
        <f>1.39375523012552*(0.3048)</f>
        <v>0.42481659414225853</v>
      </c>
      <c r="AF8315" s="388"/>
      <c r="AG8315" s="388">
        <f>3.48607394009441*(0.3048)</f>
        <v>1.0625553369407763</v>
      </c>
      <c r="AH8315" s="391"/>
      <c r="AI8315" s="397"/>
      <c r="AJ8315" s="397"/>
      <c r="AK8315" s="392"/>
      <c r="AL8315" s="392"/>
      <c r="AM8315" s="392"/>
      <c r="AN8315" s="392"/>
      <c r="AO8315" s="392"/>
      <c r="AP8315" s="392"/>
      <c r="AQ8315" s="392"/>
      <c r="AR8315" s="392"/>
      <c r="AS8315" s="392"/>
      <c r="AT8315" s="392"/>
      <c r="AU8315" s="397"/>
      <c r="AV8315" s="397"/>
      <c r="AW8315" s="397"/>
      <c r="AX8315" s="397"/>
      <c r="AY8315" s="392"/>
      <c r="AZ8315" s="392"/>
      <c r="BA8315" s="392"/>
      <c r="BB8315" s="392"/>
      <c r="BC8315" s="392"/>
      <c r="BD8315" s="392"/>
      <c r="BE8315" s="392"/>
      <c r="BF8315" s="392"/>
      <c r="BG8315" s="392"/>
      <c r="BH8315" s="392"/>
      <c r="BI8315" s="397"/>
      <c r="BJ8315" s="397"/>
      <c r="BK8315" s="397"/>
      <c r="BL8315" s="397"/>
      <c r="BM8315" s="397"/>
      <c r="BN8315" s="397"/>
      <c r="BO8315" s="397"/>
      <c r="BP8315" s="397"/>
      <c r="BQ8315" s="397"/>
      <c r="BR8315" s="397"/>
      <c r="BS8315" s="397"/>
      <c r="BT8315" s="397"/>
      <c r="BU8315" s="397"/>
      <c r="BV8315" s="397"/>
      <c r="BW8315" s="397"/>
      <c r="BX8315" s="397"/>
      <c r="BY8315" s="397"/>
      <c r="BZ8315" s="397"/>
      <c r="CA8315" s="392"/>
      <c r="CB8315" s="392"/>
    </row>
    <row r="8316" spans="1:80" ht="15" x14ac:dyDescent="0.25">
      <c r="A8316" s="385"/>
      <c r="B8316" s="392"/>
      <c r="C8316" s="392"/>
      <c r="D8316" s="700"/>
      <c r="E8316" s="397"/>
      <c r="F8316" s="392"/>
      <c r="G8316" s="392"/>
      <c r="H8316" s="401"/>
      <c r="I8316" s="165">
        <v>5</v>
      </c>
      <c r="J8316" s="165">
        <v>240</v>
      </c>
      <c r="K8316" s="165">
        <v>1</v>
      </c>
      <c r="L8316" s="628"/>
      <c r="M8316" s="628"/>
      <c r="N8316" s="388">
        <f>160.35*(0.028317)</f>
        <v>4.5406309499999997</v>
      </c>
      <c r="O8316" s="389">
        <v>4.803899999999999E-3</v>
      </c>
      <c r="P8316" s="413"/>
      <c r="Q8316" s="413"/>
      <c r="R8316" s="413"/>
      <c r="S8316" s="413">
        <v>0.22737819025522041</v>
      </c>
      <c r="T8316" s="413">
        <v>0.23168710639708318</v>
      </c>
      <c r="U8316" s="413">
        <v>0.26168379184620483</v>
      </c>
      <c r="V8316" s="504">
        <v>0.15528670865097777</v>
      </c>
      <c r="W8316" s="504">
        <v>7.7063307921776597E-2</v>
      </c>
      <c r="X8316" s="504">
        <v>2.5853496851176664E-2</v>
      </c>
      <c r="Y8316" s="504">
        <v>2.1047398077560491E-2</v>
      </c>
      <c r="Z8316" s="388">
        <v>15</v>
      </c>
      <c r="AA8316" s="388"/>
      <c r="AB8316" s="391"/>
      <c r="AC8316" s="392"/>
      <c r="AD8316" s="388">
        <f t="shared" si="63"/>
        <v>14.56944</v>
      </c>
      <c r="AE8316" s="388">
        <f>1.33985355648536*(0.3048)</f>
        <v>0.40838736401673775</v>
      </c>
      <c r="AF8316" s="388"/>
      <c r="AG8316" s="388">
        <f>2.50367085642907*(0.3048)</f>
        <v>0.76311887703958059</v>
      </c>
      <c r="AH8316" s="391"/>
      <c r="AI8316" s="397"/>
      <c r="AJ8316" s="397"/>
      <c r="AK8316" s="392"/>
      <c r="AL8316" s="392"/>
      <c r="AM8316" s="392"/>
      <c r="AN8316" s="392"/>
      <c r="AO8316" s="392"/>
      <c r="AP8316" s="392"/>
      <c r="AQ8316" s="392"/>
      <c r="AR8316" s="392"/>
      <c r="AS8316" s="392"/>
      <c r="AT8316" s="392"/>
      <c r="AU8316" s="397"/>
      <c r="AV8316" s="397"/>
      <c r="AW8316" s="397"/>
      <c r="AX8316" s="397"/>
      <c r="AY8316" s="392"/>
      <c r="AZ8316" s="392"/>
      <c r="BA8316" s="392"/>
      <c r="BB8316" s="392"/>
      <c r="BC8316" s="392"/>
      <c r="BD8316" s="392"/>
      <c r="BE8316" s="392"/>
      <c r="BF8316" s="392"/>
      <c r="BG8316" s="392"/>
      <c r="BH8316" s="392"/>
      <c r="BI8316" s="397"/>
      <c r="BJ8316" s="397"/>
      <c r="BK8316" s="397"/>
      <c r="BL8316" s="397"/>
      <c r="BM8316" s="397"/>
      <c r="BN8316" s="397"/>
      <c r="BO8316" s="397"/>
      <c r="BP8316" s="397"/>
      <c r="BQ8316" s="397"/>
      <c r="BR8316" s="397"/>
      <c r="BS8316" s="397"/>
      <c r="BT8316" s="397"/>
      <c r="BU8316" s="397"/>
      <c r="BV8316" s="397"/>
      <c r="BW8316" s="397"/>
      <c r="BX8316" s="397"/>
      <c r="BY8316" s="397"/>
      <c r="BZ8316" s="397"/>
      <c r="CA8316" s="392"/>
      <c r="CB8316" s="392"/>
    </row>
    <row r="8317" spans="1:80" ht="15" x14ac:dyDescent="0.25">
      <c r="A8317" s="385"/>
      <c r="B8317" s="392"/>
      <c r="C8317" s="392"/>
      <c r="D8317" s="700"/>
      <c r="E8317" s="397"/>
      <c r="F8317" s="392"/>
      <c r="G8317" s="392"/>
      <c r="H8317" s="401"/>
      <c r="I8317" s="165">
        <v>5</v>
      </c>
      <c r="J8317" s="165">
        <v>240</v>
      </c>
      <c r="K8317" s="165">
        <v>1</v>
      </c>
      <c r="L8317" s="628"/>
      <c r="M8317" s="628"/>
      <c r="N8317" s="388">
        <f>173.28*(0.028317)</f>
        <v>4.9067697599999995</v>
      </c>
      <c r="O8317" s="389">
        <v>2.5891666666666667E-3</v>
      </c>
      <c r="P8317" s="413"/>
      <c r="Q8317" s="413"/>
      <c r="R8317" s="413"/>
      <c r="S8317" s="413">
        <v>5.9311616472034416E-2</v>
      </c>
      <c r="T8317" s="413">
        <v>0.2523048555623848</v>
      </c>
      <c r="U8317" s="413">
        <v>0.36385986478180699</v>
      </c>
      <c r="V8317" s="504">
        <v>0.2464658881376767</v>
      </c>
      <c r="W8317" s="504">
        <v>5.3779963122311002E-2</v>
      </c>
      <c r="X8317" s="504">
        <v>1.5980331899200985E-2</v>
      </c>
      <c r="Y8317" s="504">
        <v>8.2974800245851268E-3</v>
      </c>
      <c r="Z8317" s="388">
        <v>9</v>
      </c>
      <c r="AA8317" s="388"/>
      <c r="AB8317" s="391"/>
      <c r="AC8317" s="392"/>
      <c r="AD8317" s="388">
        <f t="shared" si="63"/>
        <v>14.56944</v>
      </c>
      <c r="AE8317" s="388">
        <f>1.38054393305439*(0.3048)</f>
        <v>0.42078979079497814</v>
      </c>
      <c r="AF8317" s="388"/>
      <c r="AG8317" s="388">
        <f>2.62587361721473*(0.3048)</f>
        <v>0.80036627852704967</v>
      </c>
      <c r="AH8317" s="391"/>
      <c r="AI8317" s="397"/>
      <c r="AJ8317" s="397"/>
      <c r="AK8317" s="392"/>
      <c r="AL8317" s="392"/>
      <c r="AM8317" s="392"/>
      <c r="AN8317" s="392"/>
      <c r="AO8317" s="392"/>
      <c r="AP8317" s="392"/>
      <c r="AQ8317" s="392"/>
      <c r="AR8317" s="392"/>
      <c r="AS8317" s="392"/>
      <c r="AT8317" s="392"/>
      <c r="AU8317" s="397"/>
      <c r="AV8317" s="397"/>
      <c r="AW8317" s="397"/>
      <c r="AX8317" s="397"/>
      <c r="AY8317" s="392"/>
      <c r="AZ8317" s="392"/>
      <c r="BA8317" s="392"/>
      <c r="BB8317" s="392"/>
      <c r="BC8317" s="392"/>
      <c r="BD8317" s="392"/>
      <c r="BE8317" s="392"/>
      <c r="BF8317" s="392"/>
      <c r="BG8317" s="392"/>
      <c r="BH8317" s="392"/>
      <c r="BI8317" s="397"/>
      <c r="BJ8317" s="397"/>
      <c r="BK8317" s="397"/>
      <c r="BL8317" s="397"/>
      <c r="BM8317" s="397"/>
      <c r="BN8317" s="397"/>
      <c r="BO8317" s="397"/>
      <c r="BP8317" s="397"/>
      <c r="BQ8317" s="397"/>
      <c r="BR8317" s="397"/>
      <c r="BS8317" s="397"/>
      <c r="BT8317" s="397"/>
      <c r="BU8317" s="397"/>
      <c r="BV8317" s="397"/>
      <c r="BW8317" s="397"/>
      <c r="BX8317" s="397"/>
      <c r="BY8317" s="397"/>
      <c r="BZ8317" s="397"/>
      <c r="CA8317" s="392"/>
      <c r="CB8317" s="392"/>
    </row>
    <row r="8318" spans="1:80" ht="15" x14ac:dyDescent="0.25">
      <c r="A8318" s="385"/>
      <c r="B8318" s="392"/>
      <c r="C8318" s="392"/>
      <c r="D8318" s="700"/>
      <c r="E8318" s="397"/>
      <c r="F8318" s="392"/>
      <c r="G8318" s="392"/>
      <c r="H8318" s="401"/>
      <c r="I8318" s="165">
        <v>5</v>
      </c>
      <c r="J8318" s="165">
        <v>240</v>
      </c>
      <c r="K8318" s="165">
        <v>1</v>
      </c>
      <c r="L8318" s="628"/>
      <c r="M8318" s="628"/>
      <c r="N8318" s="388">
        <f>268.86*(0.028317)</f>
        <v>7.6133086199999997</v>
      </c>
      <c r="O8318" s="389">
        <v>2.1079800000000003E-2</v>
      </c>
      <c r="P8318" s="413"/>
      <c r="Q8318" s="413"/>
      <c r="R8318" s="413">
        <v>9.926289926289926E-2</v>
      </c>
      <c r="S8318" s="413">
        <v>0.19810999810999808</v>
      </c>
      <c r="T8318" s="413">
        <v>0.13933093933093932</v>
      </c>
      <c r="U8318" s="413">
        <v>0.12727272727272729</v>
      </c>
      <c r="V8318" s="504">
        <v>0.16099036099036099</v>
      </c>
      <c r="W8318" s="504">
        <v>0.14965034965034965</v>
      </c>
      <c r="X8318" s="504">
        <v>5.5074655074655074E-2</v>
      </c>
      <c r="Y8318" s="504">
        <v>7.0308070308070306E-2</v>
      </c>
      <c r="Z8318" s="388">
        <v>20</v>
      </c>
      <c r="AA8318" s="388"/>
      <c r="AB8318" s="391"/>
      <c r="AC8318" s="392"/>
      <c r="AD8318" s="388">
        <f t="shared" si="63"/>
        <v>14.56944</v>
      </c>
      <c r="AE8318" s="388">
        <f>1.64063807531381*(0.3048)</f>
        <v>0.50006648535564924</v>
      </c>
      <c r="AF8318" s="388"/>
      <c r="AG8318" s="388">
        <f>3.42829290063438*(0.3048)</f>
        <v>1.044943676113359</v>
      </c>
      <c r="AH8318" s="391"/>
      <c r="AI8318" s="397"/>
      <c r="AJ8318" s="397"/>
      <c r="AK8318" s="392"/>
      <c r="AL8318" s="392"/>
      <c r="AM8318" s="392"/>
      <c r="AN8318" s="392"/>
      <c r="AO8318" s="392"/>
      <c r="AP8318" s="392"/>
      <c r="AQ8318" s="392"/>
      <c r="AR8318" s="392"/>
      <c r="AS8318" s="392"/>
      <c r="AT8318" s="392"/>
      <c r="AU8318" s="397"/>
      <c r="AV8318" s="397"/>
      <c r="AW8318" s="397"/>
      <c r="AX8318" s="397"/>
      <c r="AY8318" s="392"/>
      <c r="AZ8318" s="392"/>
      <c r="BA8318" s="392"/>
      <c r="BB8318" s="392"/>
      <c r="BC8318" s="392"/>
      <c r="BD8318" s="392"/>
      <c r="BE8318" s="392"/>
      <c r="BF8318" s="392"/>
      <c r="BG8318" s="392"/>
      <c r="BH8318" s="392"/>
      <c r="BI8318" s="397"/>
      <c r="BJ8318" s="397"/>
      <c r="BK8318" s="397"/>
      <c r="BL8318" s="397"/>
      <c r="BM8318" s="397"/>
      <c r="BN8318" s="397"/>
      <c r="BO8318" s="397"/>
      <c r="BP8318" s="397"/>
      <c r="BQ8318" s="397"/>
      <c r="BR8318" s="397"/>
      <c r="BS8318" s="397"/>
      <c r="BT8318" s="397"/>
      <c r="BU8318" s="397"/>
      <c r="BV8318" s="397"/>
      <c r="BW8318" s="397"/>
      <c r="BX8318" s="397"/>
      <c r="BY8318" s="397"/>
      <c r="BZ8318" s="397"/>
      <c r="CA8318" s="392"/>
      <c r="CB8318" s="392"/>
    </row>
    <row r="8319" spans="1:80" ht="15" x14ac:dyDescent="0.25">
      <c r="A8319" s="385"/>
      <c r="B8319" s="392"/>
      <c r="C8319" s="392"/>
      <c r="D8319" s="700"/>
      <c r="E8319" s="397"/>
      <c r="F8319" s="392"/>
      <c r="G8319" s="392"/>
      <c r="H8319" s="401"/>
      <c r="I8319" s="165">
        <v>5</v>
      </c>
      <c r="J8319" s="165">
        <v>240</v>
      </c>
      <c r="K8319" s="165">
        <v>1</v>
      </c>
      <c r="L8319" s="628"/>
      <c r="M8319" s="628"/>
      <c r="N8319" s="388">
        <f>334.59*(0.028317)</f>
        <v>9.4745850299999983</v>
      </c>
      <c r="O8319" s="389">
        <v>7.2815333333333338E-3</v>
      </c>
      <c r="P8319" s="413"/>
      <c r="Q8319" s="413"/>
      <c r="R8319" s="413"/>
      <c r="S8319" s="413">
        <v>6.948243790349054E-2</v>
      </c>
      <c r="T8319" s="413">
        <v>9.0819564503775055E-2</v>
      </c>
      <c r="U8319" s="413">
        <v>3.9501039501039503E-2</v>
      </c>
      <c r="V8319" s="504">
        <v>8.6880402669876372E-2</v>
      </c>
      <c r="W8319" s="504">
        <v>0.16281868913447864</v>
      </c>
      <c r="X8319" s="504">
        <v>0.15001641317430794</v>
      </c>
      <c r="Y8319" s="504">
        <v>0.40048145311303213</v>
      </c>
      <c r="Z8319" s="388">
        <v>11</v>
      </c>
      <c r="AA8319" s="388"/>
      <c r="AB8319" s="391"/>
      <c r="AC8319" s="392"/>
      <c r="AD8319" s="388">
        <f t="shared" si="63"/>
        <v>14.56944</v>
      </c>
      <c r="AE8319" s="388"/>
      <c r="AF8319" s="388"/>
      <c r="AG8319" s="435"/>
      <c r="AH8319" s="391"/>
      <c r="AI8319" s="397"/>
      <c r="AJ8319" s="397"/>
      <c r="AK8319" s="392"/>
      <c r="AL8319" s="392"/>
      <c r="AM8319" s="392"/>
      <c r="AN8319" s="392"/>
      <c r="AO8319" s="392"/>
      <c r="AP8319" s="392"/>
      <c r="AQ8319" s="392"/>
      <c r="AR8319" s="392"/>
      <c r="AS8319" s="392"/>
      <c r="AT8319" s="392"/>
      <c r="AU8319" s="397"/>
      <c r="AV8319" s="397"/>
      <c r="AW8319" s="397"/>
      <c r="AX8319" s="397"/>
      <c r="AY8319" s="392"/>
      <c r="AZ8319" s="392"/>
      <c r="BA8319" s="392"/>
      <c r="BB8319" s="392"/>
      <c r="BC8319" s="392"/>
      <c r="BD8319" s="392"/>
      <c r="BE8319" s="392"/>
      <c r="BF8319" s="392"/>
      <c r="BG8319" s="392"/>
      <c r="BH8319" s="392"/>
      <c r="BI8319" s="397"/>
      <c r="BJ8319" s="397"/>
      <c r="BK8319" s="397"/>
      <c r="BL8319" s="397"/>
      <c r="BM8319" s="397"/>
      <c r="BN8319" s="397"/>
      <c r="BO8319" s="397"/>
      <c r="BP8319" s="397"/>
      <c r="BQ8319" s="397"/>
      <c r="BR8319" s="397"/>
      <c r="BS8319" s="397"/>
      <c r="BT8319" s="397"/>
      <c r="BU8319" s="397"/>
      <c r="BV8319" s="397"/>
      <c r="BW8319" s="397"/>
      <c r="BX8319" s="397"/>
      <c r="BY8319" s="397"/>
      <c r="BZ8319" s="397"/>
      <c r="CA8319" s="392"/>
      <c r="CB8319" s="392"/>
    </row>
    <row r="8320" spans="1:80" ht="15" x14ac:dyDescent="0.25">
      <c r="A8320" s="385"/>
      <c r="B8320" s="392"/>
      <c r="C8320" s="392"/>
      <c r="D8320" s="700"/>
      <c r="E8320" s="397"/>
      <c r="F8320" s="392"/>
      <c r="G8320" s="392"/>
      <c r="H8320" s="401"/>
      <c r="I8320" s="165">
        <v>5</v>
      </c>
      <c r="J8320" s="165">
        <v>240</v>
      </c>
      <c r="K8320" s="165">
        <v>1</v>
      </c>
      <c r="L8320" s="628"/>
      <c r="M8320" s="628"/>
      <c r="N8320" s="388">
        <f>372.47*(0.028317)</f>
        <v>10.547232989999999</v>
      </c>
      <c r="O8320" s="389">
        <v>1.9136E-2</v>
      </c>
      <c r="P8320" s="413"/>
      <c r="Q8320" s="413"/>
      <c r="R8320" s="413"/>
      <c r="S8320" s="413">
        <v>2.7213443691998993E-2</v>
      </c>
      <c r="T8320" s="413">
        <v>9.4515508736727691E-2</v>
      </c>
      <c r="U8320" s="413">
        <v>0.16173396873171136</v>
      </c>
      <c r="V8320" s="504">
        <v>0.22213861717247718</v>
      </c>
      <c r="W8320" s="504">
        <v>0.23150238274391771</v>
      </c>
      <c r="X8320" s="504">
        <v>0.1073070813477134</v>
      </c>
      <c r="Y8320" s="504">
        <v>0.15558899757545352</v>
      </c>
      <c r="Z8320" s="388">
        <v>12</v>
      </c>
      <c r="AA8320" s="388"/>
      <c r="AB8320" s="391"/>
      <c r="AC8320" s="392"/>
      <c r="AD8320" s="388">
        <f>48*(0.3048)</f>
        <v>14.630400000000002</v>
      </c>
      <c r="AE8320" s="388">
        <f>2.16583333333333*(0.3048)</f>
        <v>0.66014599999999901</v>
      </c>
      <c r="AF8320" s="388"/>
      <c r="AG8320" s="388">
        <f>3.58286263947672*(0.3048)</f>
        <v>1.0920565325125042</v>
      </c>
      <c r="AH8320" s="391"/>
      <c r="AI8320" s="397"/>
      <c r="AJ8320" s="397"/>
      <c r="AK8320" s="392"/>
      <c r="AL8320" s="392"/>
      <c r="AM8320" s="392"/>
      <c r="AN8320" s="392"/>
      <c r="AO8320" s="392"/>
      <c r="AP8320" s="392"/>
      <c r="AQ8320" s="392"/>
      <c r="AR8320" s="392"/>
      <c r="AS8320" s="392"/>
      <c r="AT8320" s="392"/>
      <c r="AU8320" s="397"/>
      <c r="AV8320" s="397"/>
      <c r="AW8320" s="397"/>
      <c r="AX8320" s="397"/>
      <c r="AY8320" s="392"/>
      <c r="AZ8320" s="392"/>
      <c r="BA8320" s="392"/>
      <c r="BB8320" s="392"/>
      <c r="BC8320" s="392"/>
      <c r="BD8320" s="392"/>
      <c r="BE8320" s="392"/>
      <c r="BF8320" s="392"/>
      <c r="BG8320" s="392"/>
      <c r="BH8320" s="392"/>
      <c r="BI8320" s="397"/>
      <c r="BJ8320" s="397"/>
      <c r="BK8320" s="397"/>
      <c r="BL8320" s="397"/>
      <c r="BM8320" s="397"/>
      <c r="BN8320" s="397"/>
      <c r="BO8320" s="397"/>
      <c r="BP8320" s="397"/>
      <c r="BQ8320" s="397"/>
      <c r="BR8320" s="397"/>
      <c r="BS8320" s="397"/>
      <c r="BT8320" s="397"/>
      <c r="BU8320" s="397"/>
      <c r="BV8320" s="397"/>
      <c r="BW8320" s="397"/>
      <c r="BX8320" s="397"/>
      <c r="BY8320" s="397"/>
      <c r="BZ8320" s="397"/>
      <c r="CA8320" s="392"/>
      <c r="CB8320" s="392"/>
    </row>
    <row r="8321" spans="1:80" ht="15" x14ac:dyDescent="0.25">
      <c r="A8321" s="385"/>
      <c r="B8321" s="392"/>
      <c r="C8321" s="392"/>
      <c r="D8321" s="700"/>
      <c r="E8321" s="397"/>
      <c r="F8321" s="392"/>
      <c r="G8321" s="392"/>
      <c r="H8321" s="401"/>
      <c r="I8321" s="165">
        <v>5</v>
      </c>
      <c r="J8321" s="165">
        <v>240</v>
      </c>
      <c r="K8321" s="165">
        <v>1</v>
      </c>
      <c r="L8321" s="628"/>
      <c r="M8321" s="628"/>
      <c r="N8321" s="388">
        <f>444.76*(0.028317)</f>
        <v>12.594268919999999</v>
      </c>
      <c r="O8321" s="389">
        <v>9.3313566666666653E-2</v>
      </c>
      <c r="P8321" s="413"/>
      <c r="Q8321" s="413"/>
      <c r="R8321" s="413">
        <v>2.346051070151025E-2</v>
      </c>
      <c r="S8321" s="413">
        <v>3.4157752298669034E-2</v>
      </c>
      <c r="T8321" s="413">
        <v>8.4340023733704431E-2</v>
      </c>
      <c r="U8321" s="413">
        <v>0.1437425832173683</v>
      </c>
      <c r="V8321" s="504">
        <v>0.25869737819401878</v>
      </c>
      <c r="W8321" s="504">
        <v>0.2514492073113469</v>
      </c>
      <c r="X8321" s="504">
        <v>9.7180128571794464E-2</v>
      </c>
      <c r="Y8321" s="504">
        <v>0.10697241597158785</v>
      </c>
      <c r="Z8321" s="388">
        <v>27</v>
      </c>
      <c r="AA8321" s="388"/>
      <c r="AB8321" s="391"/>
      <c r="AC8321" s="392"/>
      <c r="AD8321" s="388">
        <f t="shared" ref="AD8321:AD8359" si="64">47.8*(0.3048)</f>
        <v>14.56944</v>
      </c>
      <c r="AE8321" s="388">
        <f>2.06997907949791*(0.3048)</f>
        <v>0.63092962343096304</v>
      </c>
      <c r="AF8321" s="388"/>
      <c r="AG8321" s="388">
        <f>4.49506442973369*(0.3048)</f>
        <v>1.3700956381828286</v>
      </c>
      <c r="AH8321" s="391"/>
      <c r="AI8321" s="397"/>
      <c r="AJ8321" s="397"/>
      <c r="AK8321" s="392"/>
      <c r="AL8321" s="392"/>
      <c r="AM8321" s="392"/>
      <c r="AN8321" s="392"/>
      <c r="AO8321" s="392"/>
      <c r="AP8321" s="392"/>
      <c r="AQ8321" s="392"/>
      <c r="AR8321" s="392"/>
      <c r="AS8321" s="392"/>
      <c r="AT8321" s="392"/>
      <c r="AU8321" s="397"/>
      <c r="AV8321" s="397"/>
      <c r="AW8321" s="397"/>
      <c r="AX8321" s="397"/>
      <c r="AY8321" s="392"/>
      <c r="AZ8321" s="392"/>
      <c r="BA8321" s="392"/>
      <c r="BB8321" s="392"/>
      <c r="BC8321" s="392"/>
      <c r="BD8321" s="392"/>
      <c r="BE8321" s="392"/>
      <c r="BF8321" s="392"/>
      <c r="BG8321" s="392"/>
      <c r="BH8321" s="392"/>
      <c r="BI8321" s="397"/>
      <c r="BJ8321" s="397"/>
      <c r="BK8321" s="397"/>
      <c r="BL8321" s="397"/>
      <c r="BM8321" s="397"/>
      <c r="BN8321" s="397"/>
      <c r="BO8321" s="397"/>
      <c r="BP8321" s="397"/>
      <c r="BQ8321" s="397"/>
      <c r="BR8321" s="397"/>
      <c r="BS8321" s="397"/>
      <c r="BT8321" s="397"/>
      <c r="BU8321" s="397"/>
      <c r="BV8321" s="397"/>
      <c r="BW8321" s="397"/>
      <c r="BX8321" s="397"/>
      <c r="BY8321" s="397"/>
      <c r="BZ8321" s="397"/>
      <c r="CA8321" s="392"/>
      <c r="CB8321" s="392"/>
    </row>
    <row r="8322" spans="1:80" ht="15" x14ac:dyDescent="0.25">
      <c r="A8322" s="385"/>
      <c r="B8322" s="392"/>
      <c r="C8322" s="392"/>
      <c r="D8322" s="700"/>
      <c r="E8322" s="397"/>
      <c r="F8322" s="392"/>
      <c r="G8322" s="392"/>
      <c r="H8322" s="401"/>
      <c r="I8322" s="165">
        <v>5</v>
      </c>
      <c r="J8322" s="165">
        <v>240</v>
      </c>
      <c r="K8322" s="165">
        <v>1</v>
      </c>
      <c r="L8322" s="628"/>
      <c r="M8322" s="628"/>
      <c r="N8322" s="388">
        <f>374.67*(0.028317)</f>
        <v>10.60953039</v>
      </c>
      <c r="O8322" s="389">
        <v>0.11206709999999999</v>
      </c>
      <c r="P8322" s="413"/>
      <c r="Q8322" s="413"/>
      <c r="R8322" s="413">
        <v>0.1210609001016542</v>
      </c>
      <c r="S8322" s="413">
        <v>0.2815039133309164</v>
      </c>
      <c r="T8322" s="413">
        <v>0.25129911212528344</v>
      </c>
      <c r="U8322" s="413">
        <v>0.1456000796172684</v>
      </c>
      <c r="V8322" s="504">
        <v>8.0825744812437358E-2</v>
      </c>
      <c r="W8322" s="504">
        <v>6.0288754771704589E-2</v>
      </c>
      <c r="X8322" s="504">
        <v>3.316912271722363E-2</v>
      </c>
      <c r="Y8322" s="504">
        <v>2.6252372523511973E-2</v>
      </c>
      <c r="Z8322" s="388">
        <v>30</v>
      </c>
      <c r="AA8322" s="388"/>
      <c r="AB8322" s="391"/>
      <c r="AC8322" s="392"/>
      <c r="AD8322" s="388">
        <f t="shared" si="64"/>
        <v>14.56944</v>
      </c>
      <c r="AE8322" s="388">
        <f>1.82625523012552*(0.3048)</f>
        <v>0.55664259414225847</v>
      </c>
      <c r="AF8322" s="388"/>
      <c r="AG8322" s="388">
        <f>4.29205109112779*(0.3048)</f>
        <v>1.3082171725757503</v>
      </c>
      <c r="AH8322" s="391"/>
      <c r="AI8322" s="397"/>
      <c r="AJ8322" s="397"/>
      <c r="AK8322" s="392"/>
      <c r="AL8322" s="392"/>
      <c r="AM8322" s="392"/>
      <c r="AN8322" s="392"/>
      <c r="AO8322" s="392"/>
      <c r="AP8322" s="392"/>
      <c r="AQ8322" s="392"/>
      <c r="AR8322" s="392"/>
      <c r="AS8322" s="392"/>
      <c r="AT8322" s="392"/>
      <c r="AU8322" s="397"/>
      <c r="AV8322" s="397"/>
      <c r="AW8322" s="397"/>
      <c r="AX8322" s="397"/>
      <c r="AY8322" s="392"/>
      <c r="AZ8322" s="392"/>
      <c r="BA8322" s="392"/>
      <c r="BB8322" s="392"/>
      <c r="BC8322" s="392"/>
      <c r="BD8322" s="392"/>
      <c r="BE8322" s="392"/>
      <c r="BF8322" s="392"/>
      <c r="BG8322" s="392"/>
      <c r="BH8322" s="392"/>
      <c r="BI8322" s="397"/>
      <c r="BJ8322" s="397"/>
      <c r="BK8322" s="397"/>
      <c r="BL8322" s="397"/>
      <c r="BM8322" s="397"/>
      <c r="BN8322" s="397"/>
      <c r="BO8322" s="397"/>
      <c r="BP8322" s="397"/>
      <c r="BQ8322" s="397"/>
      <c r="BR8322" s="397"/>
      <c r="BS8322" s="397"/>
      <c r="BT8322" s="397"/>
      <c r="BU8322" s="397"/>
      <c r="BV8322" s="397"/>
      <c r="BW8322" s="397"/>
      <c r="BX8322" s="397"/>
      <c r="BY8322" s="397"/>
      <c r="BZ8322" s="397"/>
      <c r="CA8322" s="392"/>
      <c r="CB8322" s="392"/>
    </row>
    <row r="8323" spans="1:80" ht="15" x14ac:dyDescent="0.25">
      <c r="A8323" s="385"/>
      <c r="B8323" s="392"/>
      <c r="C8323" s="392"/>
      <c r="D8323" s="700"/>
      <c r="E8323" s="397"/>
      <c r="F8323" s="392"/>
      <c r="G8323" s="392"/>
      <c r="H8323" s="401"/>
      <c r="I8323" s="165">
        <v>5</v>
      </c>
      <c r="J8323" s="165">
        <v>240</v>
      </c>
      <c r="K8323" s="165">
        <v>1</v>
      </c>
      <c r="L8323" s="628"/>
      <c r="M8323" s="628"/>
      <c r="N8323" s="388">
        <f>355.87*(0.028317)</f>
        <v>10.07717079</v>
      </c>
      <c r="O8323" s="389">
        <v>9.4070399999999998E-2</v>
      </c>
      <c r="P8323" s="413"/>
      <c r="Q8323" s="413">
        <v>3.2087871140393964E-2</v>
      </c>
      <c r="R8323" s="413">
        <v>0.33088023576836434</v>
      </c>
      <c r="S8323" s="413">
        <v>0.18624345793601058</v>
      </c>
      <c r="T8323" s="413">
        <v>0.11889195643705221</v>
      </c>
      <c r="U8323" s="413">
        <v>8.3094798529835201E-2</v>
      </c>
      <c r="V8323" s="504">
        <v>8.0130756592876148E-2</v>
      </c>
      <c r="W8323" s="504">
        <v>9.2825324774309381E-2</v>
      </c>
      <c r="X8323" s="504">
        <v>4.2834640334682678E-2</v>
      </c>
      <c r="Y8323" s="504">
        <v>3.3010958486475499E-2</v>
      </c>
      <c r="Z8323" s="388">
        <v>45</v>
      </c>
      <c r="AA8323" s="388"/>
      <c r="AB8323" s="391"/>
      <c r="AC8323" s="392"/>
      <c r="AD8323" s="388">
        <f t="shared" si="64"/>
        <v>14.56944</v>
      </c>
      <c r="AE8323" s="388">
        <f>1.82217573221757*(0.3048)</f>
        <v>0.55539916317991533</v>
      </c>
      <c r="AF8323" s="388"/>
      <c r="AG8323" s="388">
        <f>4.0857588978186*(0.3048)</f>
        <v>1.2453393120551093</v>
      </c>
      <c r="AH8323" s="391"/>
      <c r="AI8323" s="397"/>
      <c r="AJ8323" s="397"/>
      <c r="AK8323" s="392"/>
      <c r="AL8323" s="392"/>
      <c r="AM8323" s="392"/>
      <c r="AN8323" s="392"/>
      <c r="AO8323" s="392"/>
      <c r="AP8323" s="392"/>
      <c r="AQ8323" s="392"/>
      <c r="AR8323" s="392"/>
      <c r="AS8323" s="392"/>
      <c r="AT8323" s="392"/>
      <c r="AU8323" s="397"/>
      <c r="AV8323" s="397"/>
      <c r="AW8323" s="397"/>
      <c r="AX8323" s="397"/>
      <c r="AY8323" s="392"/>
      <c r="AZ8323" s="392"/>
      <c r="BA8323" s="392"/>
      <c r="BB8323" s="392"/>
      <c r="BC8323" s="392"/>
      <c r="BD8323" s="392"/>
      <c r="BE8323" s="392"/>
      <c r="BF8323" s="392"/>
      <c r="BG8323" s="392"/>
      <c r="BH8323" s="392"/>
      <c r="BI8323" s="397"/>
      <c r="BJ8323" s="397"/>
      <c r="BK8323" s="397"/>
      <c r="BL8323" s="397"/>
      <c r="BM8323" s="397"/>
      <c r="BN8323" s="397"/>
      <c r="BO8323" s="397"/>
      <c r="BP8323" s="397"/>
      <c r="BQ8323" s="397"/>
      <c r="BR8323" s="397"/>
      <c r="BS8323" s="397"/>
      <c r="BT8323" s="397"/>
      <c r="BU8323" s="397"/>
      <c r="BV8323" s="397"/>
      <c r="BW8323" s="397"/>
      <c r="BX8323" s="397"/>
      <c r="BY8323" s="397"/>
      <c r="BZ8323" s="397"/>
      <c r="CA8323" s="392"/>
      <c r="CB8323" s="392"/>
    </row>
    <row r="8324" spans="1:80" ht="15" x14ac:dyDescent="0.25">
      <c r="A8324" s="385"/>
      <c r="B8324" s="392"/>
      <c r="C8324" s="392"/>
      <c r="D8324" s="700"/>
      <c r="E8324" s="397"/>
      <c r="F8324" s="392"/>
      <c r="G8324" s="392"/>
      <c r="H8324" s="401"/>
      <c r="I8324" s="165">
        <v>5</v>
      </c>
      <c r="J8324" s="165">
        <v>240</v>
      </c>
      <c r="K8324" s="165">
        <v>1</v>
      </c>
      <c r="L8324" s="628"/>
      <c r="M8324" s="628"/>
      <c r="N8324" s="388">
        <f>333.39*(0.028317)</f>
        <v>9.4406046299999993</v>
      </c>
      <c r="O8324" s="389">
        <v>5.7662733333333327E-2</v>
      </c>
      <c r="P8324" s="413"/>
      <c r="Q8324" s="413"/>
      <c r="R8324" s="413">
        <v>6.2438687392055263E-2</v>
      </c>
      <c r="S8324" s="413">
        <v>0.10755094991364422</v>
      </c>
      <c r="T8324" s="413">
        <v>0.18803454231433506</v>
      </c>
      <c r="U8324" s="413">
        <v>0.22252158894645943</v>
      </c>
      <c r="V8324" s="504">
        <v>0.24151986183074267</v>
      </c>
      <c r="W8324" s="504">
        <v>0.1254853195164076</v>
      </c>
      <c r="X8324" s="504">
        <v>2.9153713298791021E-2</v>
      </c>
      <c r="Y8324" s="504">
        <v>2.3295336787564767E-2</v>
      </c>
      <c r="Z8324" s="388">
        <v>25</v>
      </c>
      <c r="AA8324" s="388"/>
      <c r="AB8324" s="391"/>
      <c r="AC8324" s="392"/>
      <c r="AD8324" s="388">
        <f t="shared" si="64"/>
        <v>14.56944</v>
      </c>
      <c r="AE8324" s="388">
        <f>1.76924686192469*(0.3048)</f>
        <v>0.53926644351464548</v>
      </c>
      <c r="AF8324" s="388"/>
      <c r="AG8324" s="388">
        <f>3.9421248669741*(0.3048)</f>
        <v>1.2015596594537057</v>
      </c>
      <c r="AH8324" s="391"/>
      <c r="AI8324" s="397"/>
      <c r="AJ8324" s="397"/>
      <c r="AK8324" s="392"/>
      <c r="AL8324" s="392"/>
      <c r="AM8324" s="392"/>
      <c r="AN8324" s="392"/>
      <c r="AO8324" s="392"/>
      <c r="AP8324" s="392"/>
      <c r="AQ8324" s="392"/>
      <c r="AR8324" s="392"/>
      <c r="AS8324" s="392"/>
      <c r="AT8324" s="392"/>
      <c r="AU8324" s="397"/>
      <c r="AV8324" s="397"/>
      <c r="AW8324" s="397"/>
      <c r="AX8324" s="397"/>
      <c r="AY8324" s="392"/>
      <c r="AZ8324" s="392"/>
      <c r="BA8324" s="392"/>
      <c r="BB8324" s="392"/>
      <c r="BC8324" s="392"/>
      <c r="BD8324" s="392"/>
      <c r="BE8324" s="392"/>
      <c r="BF8324" s="392"/>
      <c r="BG8324" s="392"/>
      <c r="BH8324" s="392"/>
      <c r="BI8324" s="397"/>
      <c r="BJ8324" s="397"/>
      <c r="BK8324" s="397"/>
      <c r="BL8324" s="397"/>
      <c r="BM8324" s="397"/>
      <c r="BN8324" s="397"/>
      <c r="BO8324" s="397"/>
      <c r="BP8324" s="397"/>
      <c r="BQ8324" s="397"/>
      <c r="BR8324" s="397"/>
      <c r="BS8324" s="397"/>
      <c r="BT8324" s="397"/>
      <c r="BU8324" s="397"/>
      <c r="BV8324" s="397"/>
      <c r="BW8324" s="397"/>
      <c r="BX8324" s="397"/>
      <c r="BY8324" s="397"/>
      <c r="BZ8324" s="397"/>
      <c r="CA8324" s="392"/>
      <c r="CB8324" s="392"/>
    </row>
    <row r="8325" spans="1:80" ht="15" x14ac:dyDescent="0.25">
      <c r="A8325" s="385"/>
      <c r="B8325" s="392"/>
      <c r="C8325" s="392"/>
      <c r="D8325" s="700"/>
      <c r="E8325" s="397"/>
      <c r="F8325" s="392"/>
      <c r="G8325" s="392"/>
      <c r="H8325" s="401"/>
      <c r="I8325" s="165">
        <v>5</v>
      </c>
      <c r="J8325" s="165">
        <v>240</v>
      </c>
      <c r="K8325" s="165">
        <v>1</v>
      </c>
      <c r="L8325" s="628"/>
      <c r="M8325" s="628"/>
      <c r="N8325" s="388">
        <f>404.23*(0.028317)</f>
        <v>11.44658091</v>
      </c>
      <c r="O8325" s="389">
        <v>3.1285099999999996E-2</v>
      </c>
      <c r="P8325" s="413"/>
      <c r="Q8325" s="413">
        <v>0.24164184045018205</v>
      </c>
      <c r="R8325" s="413">
        <v>3.3534489343823998E-2</v>
      </c>
      <c r="S8325" s="413">
        <v>5.6400071295801178E-2</v>
      </c>
      <c r="T8325" s="413">
        <v>8.7872074962442384E-2</v>
      </c>
      <c r="U8325" s="413">
        <v>0.12428385913986709</v>
      </c>
      <c r="V8325" s="504">
        <v>0.1603137015252209</v>
      </c>
      <c r="W8325" s="504">
        <v>0.14541797163445624</v>
      </c>
      <c r="X8325" s="504">
        <v>7.6872151350800805E-2</v>
      </c>
      <c r="Y8325" s="504">
        <v>7.3663840297405345E-2</v>
      </c>
      <c r="Z8325" s="388">
        <v>40</v>
      </c>
      <c r="AA8325" s="388"/>
      <c r="AB8325" s="391"/>
      <c r="AC8325" s="392"/>
      <c r="AD8325" s="388">
        <f t="shared" si="64"/>
        <v>14.56944</v>
      </c>
      <c r="AE8325" s="388">
        <f>1.91046025104603*(0.3048)</f>
        <v>0.58230828451882999</v>
      </c>
      <c r="AF8325" s="388"/>
      <c r="AG8325" s="388">
        <f>4.42656592203241*(0.3048)</f>
        <v>1.3492172930354784</v>
      </c>
      <c r="AH8325" s="391"/>
      <c r="AI8325" s="397"/>
      <c r="AJ8325" s="397"/>
      <c r="AK8325" s="392"/>
      <c r="AL8325" s="392"/>
      <c r="AM8325" s="392"/>
      <c r="AN8325" s="392"/>
      <c r="AO8325" s="392"/>
      <c r="AP8325" s="392"/>
      <c r="AQ8325" s="392"/>
      <c r="AR8325" s="392"/>
      <c r="AS8325" s="392"/>
      <c r="AT8325" s="392"/>
      <c r="AU8325" s="397"/>
      <c r="AV8325" s="397"/>
      <c r="AW8325" s="397"/>
      <c r="AX8325" s="397"/>
      <c r="AY8325" s="392"/>
      <c r="AZ8325" s="392"/>
      <c r="BA8325" s="392"/>
      <c r="BB8325" s="392"/>
      <c r="BC8325" s="392"/>
      <c r="BD8325" s="392"/>
      <c r="BE8325" s="392"/>
      <c r="BF8325" s="392"/>
      <c r="BG8325" s="392"/>
      <c r="BH8325" s="392"/>
      <c r="BI8325" s="397"/>
      <c r="BJ8325" s="397"/>
      <c r="BK8325" s="397"/>
      <c r="BL8325" s="397"/>
      <c r="BM8325" s="397"/>
      <c r="BN8325" s="397"/>
      <c r="BO8325" s="397"/>
      <c r="BP8325" s="397"/>
      <c r="BQ8325" s="397"/>
      <c r="BR8325" s="397"/>
      <c r="BS8325" s="397"/>
      <c r="BT8325" s="397"/>
      <c r="BU8325" s="397"/>
      <c r="BV8325" s="397"/>
      <c r="BW8325" s="397"/>
      <c r="BX8325" s="397"/>
      <c r="BY8325" s="397"/>
      <c r="BZ8325" s="397"/>
      <c r="CA8325" s="392"/>
      <c r="CB8325" s="392"/>
    </row>
    <row r="8326" spans="1:80" ht="15" x14ac:dyDescent="0.25">
      <c r="A8326" s="385"/>
      <c r="B8326" s="392"/>
      <c r="C8326" s="392"/>
      <c r="D8326" s="700"/>
      <c r="E8326" s="397"/>
      <c r="F8326" s="392"/>
      <c r="G8326" s="392"/>
      <c r="H8326" s="401"/>
      <c r="I8326" s="165">
        <v>5</v>
      </c>
      <c r="J8326" s="165">
        <v>240</v>
      </c>
      <c r="K8326" s="165">
        <v>1</v>
      </c>
      <c r="L8326" s="628"/>
      <c r="M8326" s="628"/>
      <c r="N8326" s="388">
        <f>551.63*(0.028317)</f>
        <v>15.620506709999999</v>
      </c>
      <c r="O8326" s="389">
        <v>0.34984023333333336</v>
      </c>
      <c r="P8326" s="413"/>
      <c r="Q8326" s="413">
        <v>7.8676914318246513E-2</v>
      </c>
      <c r="R8326" s="413">
        <v>0.26017876458867067</v>
      </c>
      <c r="S8326" s="413">
        <v>0.12314716766296613</v>
      </c>
      <c r="T8326" s="413">
        <v>8.502590378593794E-2</v>
      </c>
      <c r="U8326" s="413">
        <v>0.12320409906063193</v>
      </c>
      <c r="V8326" s="504">
        <v>0.14736806148590947</v>
      </c>
      <c r="W8326" s="504">
        <v>0.10892342727013948</v>
      </c>
      <c r="X8326" s="504">
        <v>3.8141759180187876E-2</v>
      </c>
      <c r="Y8326" s="504">
        <v>3.5333902647309991E-2</v>
      </c>
      <c r="Z8326" s="388">
        <v>41</v>
      </c>
      <c r="AA8326" s="388"/>
      <c r="AB8326" s="391"/>
      <c r="AC8326" s="392"/>
      <c r="AD8326" s="388">
        <f t="shared" si="64"/>
        <v>14.56944</v>
      </c>
      <c r="AE8326" s="388">
        <f>2.34918410041841*(0.3048)</f>
        <v>0.71603131380753149</v>
      </c>
      <c r="AF8326" s="388"/>
      <c r="AG8326" s="388">
        <f>4.91248586262479*(0.3048)</f>
        <v>1.4973256909280359</v>
      </c>
      <c r="AH8326" s="391"/>
      <c r="AI8326" s="397"/>
      <c r="AJ8326" s="397"/>
      <c r="AK8326" s="392"/>
      <c r="AL8326" s="392"/>
      <c r="AM8326" s="392"/>
      <c r="AN8326" s="392"/>
      <c r="AO8326" s="392"/>
      <c r="AP8326" s="392"/>
      <c r="AQ8326" s="392"/>
      <c r="AR8326" s="392"/>
      <c r="AS8326" s="392"/>
      <c r="AT8326" s="392"/>
      <c r="AU8326" s="397"/>
      <c r="AV8326" s="397"/>
      <c r="AW8326" s="397"/>
      <c r="AX8326" s="397"/>
      <c r="AY8326" s="392"/>
      <c r="AZ8326" s="392"/>
      <c r="BA8326" s="392"/>
      <c r="BB8326" s="392"/>
      <c r="BC8326" s="392"/>
      <c r="BD8326" s="392"/>
      <c r="BE8326" s="392"/>
      <c r="BF8326" s="392"/>
      <c r="BG8326" s="392"/>
      <c r="BH8326" s="392"/>
      <c r="BI8326" s="397"/>
      <c r="BJ8326" s="397"/>
      <c r="BK8326" s="397"/>
      <c r="BL8326" s="397"/>
      <c r="BM8326" s="397"/>
      <c r="BN8326" s="397"/>
      <c r="BO8326" s="397"/>
      <c r="BP8326" s="397"/>
      <c r="BQ8326" s="397"/>
      <c r="BR8326" s="397"/>
      <c r="BS8326" s="397"/>
      <c r="BT8326" s="397"/>
      <c r="BU8326" s="397"/>
      <c r="BV8326" s="397"/>
      <c r="BW8326" s="397"/>
      <c r="BX8326" s="397"/>
      <c r="BY8326" s="397"/>
      <c r="BZ8326" s="397"/>
      <c r="CA8326" s="392"/>
      <c r="CB8326" s="392"/>
    </row>
    <row r="8327" spans="1:80" ht="15" x14ac:dyDescent="0.25">
      <c r="A8327" s="385"/>
      <c r="B8327" s="392"/>
      <c r="C8327" s="392"/>
      <c r="D8327" s="700"/>
      <c r="E8327" s="397"/>
      <c r="F8327" s="392"/>
      <c r="G8327" s="392"/>
      <c r="H8327" s="401"/>
      <c r="I8327" s="165">
        <v>5</v>
      </c>
      <c r="J8327" s="165">
        <v>240</v>
      </c>
      <c r="K8327" s="165">
        <v>1</v>
      </c>
      <c r="L8327" s="628"/>
      <c r="M8327" s="628"/>
      <c r="N8327" s="388">
        <f>592.52*(0.028317)</f>
        <v>16.778388839999998</v>
      </c>
      <c r="O8327" s="389">
        <v>0.3123013</v>
      </c>
      <c r="P8327" s="413"/>
      <c r="Q8327" s="413">
        <v>7.2792438871953177E-2</v>
      </c>
      <c r="R8327" s="413">
        <v>0.14176094692669738</v>
      </c>
      <c r="S8327" s="413">
        <v>0.20948712388872592</v>
      </c>
      <c r="T8327" s="413">
        <v>0.17810742209920793</v>
      </c>
      <c r="U8327" s="413">
        <v>0.12386321603040779</v>
      </c>
      <c r="V8327" s="504">
        <v>0.10892463106337931</v>
      </c>
      <c r="W8327" s="504">
        <v>9.3123812196273012E-2</v>
      </c>
      <c r="X8327" s="504">
        <v>3.6152600094386554E-2</v>
      </c>
      <c r="Y8327" s="504">
        <v>3.5787808828969016E-2</v>
      </c>
      <c r="Z8327" s="388">
        <v>63</v>
      </c>
      <c r="AA8327" s="388"/>
      <c r="AB8327" s="391"/>
      <c r="AC8327" s="392"/>
      <c r="AD8327" s="388">
        <f t="shared" si="64"/>
        <v>14.56944</v>
      </c>
      <c r="AE8327" s="388">
        <f>2.36945606694561*(0.3048)</f>
        <v>0.72221020920502199</v>
      </c>
      <c r="AF8327" s="388"/>
      <c r="AG8327" s="388">
        <f>5.23153805403496*(0.3048)</f>
        <v>1.5945727988698559</v>
      </c>
      <c r="AH8327" s="391"/>
      <c r="AI8327" s="397"/>
      <c r="AJ8327" s="397"/>
      <c r="AK8327" s="392"/>
      <c r="AL8327" s="392"/>
      <c r="AM8327" s="392"/>
      <c r="AN8327" s="392"/>
      <c r="AO8327" s="392"/>
      <c r="AP8327" s="392"/>
      <c r="AQ8327" s="392"/>
      <c r="AR8327" s="392"/>
      <c r="AS8327" s="392"/>
      <c r="AT8327" s="392"/>
      <c r="AU8327" s="397"/>
      <c r="AV8327" s="397"/>
      <c r="AW8327" s="397"/>
      <c r="AX8327" s="397"/>
      <c r="AY8327" s="392"/>
      <c r="AZ8327" s="392"/>
      <c r="BA8327" s="392"/>
      <c r="BB8327" s="392"/>
      <c r="BC8327" s="392"/>
      <c r="BD8327" s="392"/>
      <c r="BE8327" s="392"/>
      <c r="BF8327" s="392"/>
      <c r="BG8327" s="392"/>
      <c r="BH8327" s="392"/>
      <c r="BI8327" s="397"/>
      <c r="BJ8327" s="397"/>
      <c r="BK8327" s="397"/>
      <c r="BL8327" s="397"/>
      <c r="BM8327" s="397"/>
      <c r="BN8327" s="397"/>
      <c r="BO8327" s="397"/>
      <c r="BP8327" s="397"/>
      <c r="BQ8327" s="397"/>
      <c r="BR8327" s="397"/>
      <c r="BS8327" s="397"/>
      <c r="BT8327" s="397"/>
      <c r="BU8327" s="397"/>
      <c r="BV8327" s="397"/>
      <c r="BW8327" s="397"/>
      <c r="BX8327" s="397"/>
      <c r="BY8327" s="397"/>
      <c r="BZ8327" s="397"/>
      <c r="CA8327" s="392"/>
      <c r="CB8327" s="392"/>
    </row>
    <row r="8328" spans="1:80" ht="15" x14ac:dyDescent="0.25">
      <c r="A8328" s="385"/>
      <c r="B8328" s="392"/>
      <c r="C8328" s="392"/>
      <c r="D8328" s="700"/>
      <c r="E8328" s="397"/>
      <c r="F8328" s="392"/>
      <c r="G8328" s="392"/>
      <c r="H8328" s="401"/>
      <c r="I8328" s="165">
        <v>5</v>
      </c>
      <c r="J8328" s="165">
        <v>240</v>
      </c>
      <c r="K8328" s="165">
        <v>1</v>
      </c>
      <c r="L8328" s="628"/>
      <c r="M8328" s="628"/>
      <c r="N8328" s="388">
        <f>640.18*(0.028317)</f>
        <v>18.127977059999999</v>
      </c>
      <c r="O8328" s="389">
        <v>0.27745510000000001</v>
      </c>
      <c r="P8328" s="413"/>
      <c r="Q8328" s="413">
        <v>3.4131760598160046E-2</v>
      </c>
      <c r="R8328" s="413">
        <v>0.17266874935394586</v>
      </c>
      <c r="S8328" s="413">
        <v>0.1888086186500052</v>
      </c>
      <c r="T8328" s="413">
        <v>0.15148678603833832</v>
      </c>
      <c r="U8328" s="413">
        <v>0.12178552149494069</v>
      </c>
      <c r="V8328" s="504">
        <v>0.13169455706524863</v>
      </c>
      <c r="W8328" s="504">
        <v>0.12780961788048287</v>
      </c>
      <c r="X8328" s="504">
        <v>4.3704847990627918E-2</v>
      </c>
      <c r="Y8328" s="504">
        <v>2.7909540928250664E-2</v>
      </c>
      <c r="Z8328" s="388">
        <v>45</v>
      </c>
      <c r="AA8328" s="388"/>
      <c r="AB8328" s="391"/>
      <c r="AC8328" s="392"/>
      <c r="AD8328" s="388">
        <f t="shared" si="64"/>
        <v>14.56944</v>
      </c>
      <c r="AE8328" s="388">
        <f>2.32573221757322*(0.3048)</f>
        <v>0.70888317991631744</v>
      </c>
      <c r="AF8328" s="388"/>
      <c r="AG8328" s="388">
        <f>5.75852388234236*(0.3048)</f>
        <v>1.7551980793379516</v>
      </c>
      <c r="AH8328" s="391"/>
      <c r="AI8328" s="397"/>
      <c r="AJ8328" s="397"/>
      <c r="AK8328" s="392"/>
      <c r="AL8328" s="392"/>
      <c r="AM8328" s="392"/>
      <c r="AN8328" s="392"/>
      <c r="AO8328" s="392"/>
      <c r="AP8328" s="392"/>
      <c r="AQ8328" s="392"/>
      <c r="AR8328" s="392"/>
      <c r="AS8328" s="392"/>
      <c r="AT8328" s="392"/>
      <c r="AU8328" s="397"/>
      <c r="AV8328" s="397"/>
      <c r="AW8328" s="397"/>
      <c r="AX8328" s="397"/>
      <c r="AY8328" s="392"/>
      <c r="AZ8328" s="392"/>
      <c r="BA8328" s="392"/>
      <c r="BB8328" s="392"/>
      <c r="BC8328" s="392"/>
      <c r="BD8328" s="392"/>
      <c r="BE8328" s="392"/>
      <c r="BF8328" s="392"/>
      <c r="BG8328" s="392"/>
      <c r="BH8328" s="392"/>
      <c r="BI8328" s="397"/>
      <c r="BJ8328" s="397"/>
      <c r="BK8328" s="397"/>
      <c r="BL8328" s="397"/>
      <c r="BM8328" s="397"/>
      <c r="BN8328" s="397"/>
      <c r="BO8328" s="397"/>
      <c r="BP8328" s="397"/>
      <c r="BQ8328" s="397"/>
      <c r="BR8328" s="397"/>
      <c r="BS8328" s="397"/>
      <c r="BT8328" s="397"/>
      <c r="BU8328" s="397"/>
      <c r="BV8328" s="397"/>
      <c r="BW8328" s="397"/>
      <c r="BX8328" s="397"/>
      <c r="BY8328" s="397"/>
      <c r="BZ8328" s="397"/>
      <c r="CA8328" s="392"/>
      <c r="CB8328" s="392"/>
    </row>
    <row r="8329" spans="1:80" ht="15" x14ac:dyDescent="0.25">
      <c r="A8329" s="385"/>
      <c r="B8329" s="392"/>
      <c r="C8329" s="392"/>
      <c r="D8329" s="700"/>
      <c r="E8329" s="397"/>
      <c r="F8329" s="392"/>
      <c r="G8329" s="392"/>
      <c r="H8329" s="401"/>
      <c r="I8329" s="165">
        <v>5</v>
      </c>
      <c r="J8329" s="165">
        <v>240</v>
      </c>
      <c r="K8329" s="165">
        <v>1</v>
      </c>
      <c r="L8329" s="628"/>
      <c r="M8329" s="628"/>
      <c r="N8329" s="388">
        <f>480.84*(0.028317)</f>
        <v>13.615946279999999</v>
      </c>
      <c r="O8329" s="389">
        <v>9.8221033333333319E-2</v>
      </c>
      <c r="P8329" s="413"/>
      <c r="Q8329" s="413"/>
      <c r="R8329" s="413">
        <v>5.8640798747698564E-2</v>
      </c>
      <c r="S8329" s="413">
        <v>9.0808075073199601E-2</v>
      </c>
      <c r="T8329" s="413">
        <v>9.3281857039734614E-2</v>
      </c>
      <c r="U8329" s="413">
        <v>0.14734818683947992</v>
      </c>
      <c r="V8329" s="504">
        <v>0.22380021574623052</v>
      </c>
      <c r="W8329" s="504">
        <v>0.23290048907886091</v>
      </c>
      <c r="X8329" s="504">
        <v>8.8634391246867214E-2</v>
      </c>
      <c r="Y8329" s="504">
        <v>6.4585986227928591E-2</v>
      </c>
      <c r="Z8329" s="388">
        <v>29</v>
      </c>
      <c r="AA8329" s="388"/>
      <c r="AB8329" s="391"/>
      <c r="AC8329" s="392"/>
      <c r="AD8329" s="388">
        <f t="shared" si="64"/>
        <v>14.56944</v>
      </c>
      <c r="AE8329" s="388">
        <f>2.14424686192469*(0.3048)</f>
        <v>0.65356644351464555</v>
      </c>
      <c r="AF8329" s="388"/>
      <c r="AG8329" s="388">
        <f>4.69131957656471*(0.3048)</f>
        <v>1.4299142069369235</v>
      </c>
      <c r="AH8329" s="391"/>
      <c r="AI8329" s="397"/>
      <c r="AJ8329" s="397"/>
      <c r="AK8329" s="392"/>
      <c r="AL8329" s="392"/>
      <c r="AM8329" s="392"/>
      <c r="AN8329" s="392"/>
      <c r="AO8329" s="392"/>
      <c r="AP8329" s="392"/>
      <c r="AQ8329" s="392"/>
      <c r="AR8329" s="392"/>
      <c r="AS8329" s="392"/>
      <c r="AT8329" s="392"/>
      <c r="AU8329" s="397"/>
      <c r="AV8329" s="397"/>
      <c r="AW8329" s="397"/>
      <c r="AX8329" s="397"/>
      <c r="AY8329" s="392"/>
      <c r="AZ8329" s="392"/>
      <c r="BA8329" s="392"/>
      <c r="BB8329" s="392"/>
      <c r="BC8329" s="392"/>
      <c r="BD8329" s="392"/>
      <c r="BE8329" s="392"/>
      <c r="BF8329" s="392"/>
      <c r="BG8329" s="392"/>
      <c r="BH8329" s="392"/>
      <c r="BI8329" s="397"/>
      <c r="BJ8329" s="397"/>
      <c r="BK8329" s="397"/>
      <c r="BL8329" s="397"/>
      <c r="BM8329" s="397"/>
      <c r="BN8329" s="397"/>
      <c r="BO8329" s="397"/>
      <c r="BP8329" s="397"/>
      <c r="BQ8329" s="397"/>
      <c r="BR8329" s="397"/>
      <c r="BS8329" s="397"/>
      <c r="BT8329" s="397"/>
      <c r="BU8329" s="397"/>
      <c r="BV8329" s="397"/>
      <c r="BW8329" s="397"/>
      <c r="BX8329" s="397"/>
      <c r="BY8329" s="397"/>
      <c r="BZ8329" s="397"/>
      <c r="CA8329" s="392"/>
      <c r="CB8329" s="392"/>
    </row>
    <row r="8330" spans="1:80" ht="15" x14ac:dyDescent="0.25">
      <c r="A8330" s="385"/>
      <c r="B8330" s="392"/>
      <c r="C8330" s="392"/>
      <c r="D8330" s="700"/>
      <c r="E8330" s="397"/>
      <c r="F8330" s="392"/>
      <c r="G8330" s="392"/>
      <c r="H8330" s="401"/>
      <c r="I8330" s="165">
        <v>5</v>
      </c>
      <c r="J8330" s="165">
        <v>240</v>
      </c>
      <c r="K8330" s="165">
        <v>1</v>
      </c>
      <c r="L8330" s="628"/>
      <c r="M8330" s="628"/>
      <c r="N8330" s="388">
        <f>512.71*(0.028317)</f>
        <v>14.518409070000001</v>
      </c>
      <c r="O8330" s="389">
        <v>0.54107209999999994</v>
      </c>
      <c r="P8330" s="413">
        <v>0.30471150689005794</v>
      </c>
      <c r="Q8330" s="413"/>
      <c r="R8330" s="413">
        <v>8.808437394631953E-2</v>
      </c>
      <c r="S8330" s="413">
        <v>0.12232632033064032</v>
      </c>
      <c r="T8330" s="413">
        <v>0.11974521730296082</v>
      </c>
      <c r="U8330" s="413">
        <v>0.10669688014877048</v>
      </c>
      <c r="V8330" s="504">
        <v>0.10146105449764196</v>
      </c>
      <c r="W8330" s="504">
        <v>9.9304000341594936E-2</v>
      </c>
      <c r="X8330" s="504">
        <v>3.2987468472408112E-2</v>
      </c>
      <c r="Y8330" s="504">
        <v>2.4683178069605852E-2</v>
      </c>
      <c r="Z8330" s="388">
        <v>113</v>
      </c>
      <c r="AA8330" s="388"/>
      <c r="AB8330" s="391"/>
      <c r="AC8330" s="392"/>
      <c r="AD8330" s="388">
        <f t="shared" si="64"/>
        <v>14.56944</v>
      </c>
      <c r="AE8330" s="388">
        <f>2.1689539748954*(0.3048)</f>
        <v>0.66109717154811798</v>
      </c>
      <c r="AF8330" s="388"/>
      <c r="AG8330" s="388">
        <f>4.94529881554072*(0.3048)</f>
        <v>1.5073270789768114</v>
      </c>
      <c r="AH8330" s="391"/>
      <c r="AI8330" s="397"/>
      <c r="AJ8330" s="397"/>
      <c r="AK8330" s="392"/>
      <c r="AL8330" s="392"/>
      <c r="AM8330" s="392"/>
      <c r="AN8330" s="392"/>
      <c r="AO8330" s="392"/>
      <c r="AP8330" s="392"/>
      <c r="AQ8330" s="392"/>
      <c r="AR8330" s="392"/>
      <c r="AS8330" s="392"/>
      <c r="AT8330" s="392"/>
      <c r="AU8330" s="397"/>
      <c r="AV8330" s="397"/>
      <c r="AW8330" s="397"/>
      <c r="AX8330" s="397"/>
      <c r="AY8330" s="392"/>
      <c r="AZ8330" s="392"/>
      <c r="BA8330" s="392"/>
      <c r="BB8330" s="392"/>
      <c r="BC8330" s="392"/>
      <c r="BD8330" s="392"/>
      <c r="BE8330" s="392"/>
      <c r="BF8330" s="392"/>
      <c r="BG8330" s="392"/>
      <c r="BH8330" s="392"/>
      <c r="BI8330" s="397"/>
      <c r="BJ8330" s="397"/>
      <c r="BK8330" s="397"/>
      <c r="BL8330" s="397"/>
      <c r="BM8330" s="397"/>
      <c r="BN8330" s="397"/>
      <c r="BO8330" s="397"/>
      <c r="BP8330" s="397"/>
      <c r="BQ8330" s="397"/>
      <c r="BR8330" s="397"/>
      <c r="BS8330" s="397"/>
      <c r="BT8330" s="397"/>
      <c r="BU8330" s="397"/>
      <c r="BV8330" s="397"/>
      <c r="BW8330" s="397"/>
      <c r="BX8330" s="397"/>
      <c r="BY8330" s="397"/>
      <c r="BZ8330" s="397"/>
      <c r="CA8330" s="392"/>
      <c r="CB8330" s="392"/>
    </row>
    <row r="8331" spans="1:80" ht="15" x14ac:dyDescent="0.25">
      <c r="A8331" s="385"/>
      <c r="B8331" s="392"/>
      <c r="C8331" s="392"/>
      <c r="D8331" s="700"/>
      <c r="E8331" s="397"/>
      <c r="F8331" s="392"/>
      <c r="G8331" s="392"/>
      <c r="H8331" s="401"/>
      <c r="I8331" s="165">
        <v>5</v>
      </c>
      <c r="J8331" s="165">
        <v>240</v>
      </c>
      <c r="K8331" s="165">
        <v>1</v>
      </c>
      <c r="L8331" s="628"/>
      <c r="M8331" s="628"/>
      <c r="N8331" s="388">
        <f>535.88*(0.028317)</f>
        <v>15.174513959999999</v>
      </c>
      <c r="O8331" s="389">
        <v>0.21353853333333334</v>
      </c>
      <c r="P8331" s="413"/>
      <c r="Q8331" s="413"/>
      <c r="R8331" s="413">
        <v>8.7977316395246891E-2</v>
      </c>
      <c r="S8331" s="413">
        <v>0.1550916857873039</v>
      </c>
      <c r="T8331" s="413">
        <v>0.16853769097319382</v>
      </c>
      <c r="U8331" s="413">
        <v>0.13687391571996196</v>
      </c>
      <c r="V8331" s="504">
        <v>0.12712145801854235</v>
      </c>
      <c r="W8331" s="504">
        <v>0.15909862517954745</v>
      </c>
      <c r="X8331" s="504">
        <v>8.8354132855783765E-2</v>
      </c>
      <c r="Y8331" s="504">
        <v>7.6945175070419911E-2</v>
      </c>
      <c r="Z8331" s="388">
        <v>35</v>
      </c>
      <c r="AA8331" s="388"/>
      <c r="AB8331" s="391"/>
      <c r="AC8331" s="392"/>
      <c r="AD8331" s="388">
        <f t="shared" si="64"/>
        <v>14.56944</v>
      </c>
      <c r="AE8331" s="388">
        <f>2.41820083682008*(0.3048)</f>
        <v>0.73706761506276042</v>
      </c>
      <c r="AF8331" s="388"/>
      <c r="AG8331" s="388">
        <f>4.63603079851198*(0.3048)</f>
        <v>1.4130621873864515</v>
      </c>
      <c r="AH8331" s="391"/>
      <c r="AI8331" s="397"/>
      <c r="AJ8331" s="397"/>
      <c r="AK8331" s="392"/>
      <c r="AL8331" s="392"/>
      <c r="AM8331" s="392"/>
      <c r="AN8331" s="392"/>
      <c r="AO8331" s="392"/>
      <c r="AP8331" s="392"/>
      <c r="AQ8331" s="392"/>
      <c r="AR8331" s="392"/>
      <c r="AS8331" s="392"/>
      <c r="AT8331" s="392"/>
      <c r="AU8331" s="397"/>
      <c r="AV8331" s="397"/>
      <c r="AW8331" s="397"/>
      <c r="AX8331" s="397"/>
      <c r="AY8331" s="392"/>
      <c r="AZ8331" s="392"/>
      <c r="BA8331" s="392"/>
      <c r="BB8331" s="392"/>
      <c r="BC8331" s="392"/>
      <c r="BD8331" s="392"/>
      <c r="BE8331" s="392"/>
      <c r="BF8331" s="392"/>
      <c r="BG8331" s="392"/>
      <c r="BH8331" s="392"/>
      <c r="BI8331" s="397"/>
      <c r="BJ8331" s="397"/>
      <c r="BK8331" s="397"/>
      <c r="BL8331" s="397"/>
      <c r="BM8331" s="397"/>
      <c r="BN8331" s="397"/>
      <c r="BO8331" s="397"/>
      <c r="BP8331" s="397"/>
      <c r="BQ8331" s="397"/>
      <c r="BR8331" s="397"/>
      <c r="BS8331" s="397"/>
      <c r="BT8331" s="397"/>
      <c r="BU8331" s="397"/>
      <c r="BV8331" s="397"/>
      <c r="BW8331" s="397"/>
      <c r="BX8331" s="397"/>
      <c r="BY8331" s="397"/>
      <c r="BZ8331" s="397"/>
      <c r="CA8331" s="392"/>
      <c r="CB8331" s="392"/>
    </row>
    <row r="8332" spans="1:80" ht="15" x14ac:dyDescent="0.25">
      <c r="A8332" s="385"/>
      <c r="B8332" s="392"/>
      <c r="C8332" s="392"/>
      <c r="D8332" s="700"/>
      <c r="E8332" s="397"/>
      <c r="F8332" s="392"/>
      <c r="G8332" s="392"/>
      <c r="H8332" s="401"/>
      <c r="I8332" s="165">
        <v>5</v>
      </c>
      <c r="J8332" s="165">
        <v>240</v>
      </c>
      <c r="K8332" s="165">
        <v>1</v>
      </c>
      <c r="L8332" s="628"/>
      <c r="M8332" s="628"/>
      <c r="N8332" s="388">
        <f>536.74*(0.028317)</f>
        <v>15.198866579999999</v>
      </c>
      <c r="O8332" s="389">
        <v>0.49793259999999995</v>
      </c>
      <c r="P8332" s="413"/>
      <c r="Q8332" s="413">
        <v>1.7370532971533893E-2</v>
      </c>
      <c r="R8332" s="413">
        <v>9.129569424534098E-2</v>
      </c>
      <c r="S8332" s="413">
        <v>0.15279413270530412</v>
      </c>
      <c r="T8332" s="413">
        <v>0.17616283534712268</v>
      </c>
      <c r="U8332" s="413">
        <v>0.15973146631169363</v>
      </c>
      <c r="V8332" s="504">
        <v>0.16506886135572396</v>
      </c>
      <c r="W8332" s="504">
        <v>0.15172697368421054</v>
      </c>
      <c r="X8332" s="504">
        <v>5.039166496006553E-2</v>
      </c>
      <c r="Y8332" s="504">
        <v>3.5457838419004711E-2</v>
      </c>
      <c r="Z8332" s="388">
        <v>35</v>
      </c>
      <c r="AA8332" s="388"/>
      <c r="AB8332" s="391"/>
      <c r="AC8332" s="392"/>
      <c r="AD8332" s="388">
        <f t="shared" si="64"/>
        <v>14.56944</v>
      </c>
      <c r="AE8332" s="388">
        <f>2.42*(0.3048)</f>
        <v>0.73761600000000005</v>
      </c>
      <c r="AF8332" s="388"/>
      <c r="AG8332" s="388">
        <f>4.64*(0.3048)</f>
        <v>1.414272</v>
      </c>
      <c r="AH8332" s="391"/>
      <c r="AI8332" s="397"/>
      <c r="AJ8332" s="397"/>
      <c r="AK8332" s="392"/>
      <c r="AL8332" s="392"/>
      <c r="AM8332" s="392"/>
      <c r="AN8332" s="392"/>
      <c r="AO8332" s="392"/>
      <c r="AP8332" s="392"/>
      <c r="AQ8332" s="392"/>
      <c r="AR8332" s="392"/>
      <c r="AS8332" s="392"/>
      <c r="AT8332" s="392"/>
      <c r="AU8332" s="397"/>
      <c r="AV8332" s="397"/>
      <c r="AW8332" s="397"/>
      <c r="AX8332" s="397"/>
      <c r="AY8332" s="392"/>
      <c r="AZ8332" s="392"/>
      <c r="BA8332" s="392"/>
      <c r="BB8332" s="392"/>
      <c r="BC8332" s="392"/>
      <c r="BD8332" s="392"/>
      <c r="BE8332" s="392"/>
      <c r="BF8332" s="392"/>
      <c r="BG8332" s="392"/>
      <c r="BH8332" s="392"/>
      <c r="BI8332" s="397"/>
      <c r="BJ8332" s="397"/>
      <c r="BK8332" s="397"/>
      <c r="BL8332" s="397"/>
      <c r="BM8332" s="397"/>
      <c r="BN8332" s="397"/>
      <c r="BO8332" s="397"/>
      <c r="BP8332" s="397"/>
      <c r="BQ8332" s="397"/>
      <c r="BR8332" s="397"/>
      <c r="BS8332" s="397"/>
      <c r="BT8332" s="397"/>
      <c r="BU8332" s="397"/>
      <c r="BV8332" s="397"/>
      <c r="BW8332" s="397"/>
      <c r="BX8332" s="397"/>
      <c r="BY8332" s="397"/>
      <c r="BZ8332" s="397"/>
      <c r="CA8332" s="392"/>
      <c r="CB8332" s="392"/>
    </row>
    <row r="8333" spans="1:80" ht="15" x14ac:dyDescent="0.25">
      <c r="A8333" s="385"/>
      <c r="B8333" s="392"/>
      <c r="C8333" s="392"/>
      <c r="D8333" s="700"/>
      <c r="E8333" s="397"/>
      <c r="F8333" s="392"/>
      <c r="G8333" s="392"/>
      <c r="H8333" s="401"/>
      <c r="I8333" s="165">
        <v>5</v>
      </c>
      <c r="J8333" s="165">
        <v>240</v>
      </c>
      <c r="K8333" s="165">
        <v>1</v>
      </c>
      <c r="L8333" s="628"/>
      <c r="M8333" s="628"/>
      <c r="N8333" s="388">
        <f>429.11*(0.028317)</f>
        <v>12.151107870000001</v>
      </c>
      <c r="O8333" s="389">
        <v>0.27363906666666665</v>
      </c>
      <c r="P8333" s="413"/>
      <c r="Q8333" s="413">
        <v>3.7757546996777108E-2</v>
      </c>
      <c r="R8333" s="413">
        <v>6.1147487051685531E-2</v>
      </c>
      <c r="S8333" s="413">
        <v>0.11510680357865499</v>
      </c>
      <c r="T8333" s="413">
        <v>8.2036560974260569E-2</v>
      </c>
      <c r="U8333" s="413">
        <v>0.18454878144642642</v>
      </c>
      <c r="V8333" s="504">
        <v>0.21673687918691281</v>
      </c>
      <c r="W8333" s="504">
        <v>0.14517251318122398</v>
      </c>
      <c r="X8333" s="504">
        <v>4.2951429627839675E-2</v>
      </c>
      <c r="Y8333" s="504">
        <v>0.11454199795621882</v>
      </c>
      <c r="Z8333" s="388">
        <v>44</v>
      </c>
      <c r="AA8333" s="388"/>
      <c r="AB8333" s="391"/>
      <c r="AC8333" s="392"/>
      <c r="AD8333" s="388">
        <f t="shared" si="64"/>
        <v>14.56944</v>
      </c>
      <c r="AE8333" s="388">
        <f>2.06359832635983*(0.3048)</f>
        <v>0.62898476987447627</v>
      </c>
      <c r="AF8333" s="388"/>
      <c r="AG8333" s="388">
        <f>4.35029805352798*(0.3048)</f>
        <v>1.3259708467153284</v>
      </c>
      <c r="AH8333" s="391"/>
      <c r="AI8333" s="397"/>
      <c r="AJ8333" s="397"/>
      <c r="AK8333" s="392"/>
      <c r="AL8333" s="392"/>
      <c r="AM8333" s="392"/>
      <c r="AN8333" s="392"/>
      <c r="AO8333" s="392"/>
      <c r="AP8333" s="392"/>
      <c r="AQ8333" s="392"/>
      <c r="AR8333" s="392"/>
      <c r="AS8333" s="392"/>
      <c r="AT8333" s="392"/>
      <c r="AU8333" s="397"/>
      <c r="AV8333" s="397"/>
      <c r="AW8333" s="397"/>
      <c r="AX8333" s="397"/>
      <c r="AY8333" s="392"/>
      <c r="AZ8333" s="392"/>
      <c r="BA8333" s="392"/>
      <c r="BB8333" s="392"/>
      <c r="BC8333" s="392"/>
      <c r="BD8333" s="392"/>
      <c r="BE8333" s="392"/>
      <c r="BF8333" s="392"/>
      <c r="BG8333" s="392"/>
      <c r="BH8333" s="392"/>
      <c r="BI8333" s="397"/>
      <c r="BJ8333" s="397"/>
      <c r="BK8333" s="397"/>
      <c r="BL8333" s="397"/>
      <c r="BM8333" s="397"/>
      <c r="BN8333" s="397"/>
      <c r="BO8333" s="397"/>
      <c r="BP8333" s="397"/>
      <c r="BQ8333" s="397"/>
      <c r="BR8333" s="397"/>
      <c r="BS8333" s="397"/>
      <c r="BT8333" s="397"/>
      <c r="BU8333" s="397"/>
      <c r="BV8333" s="397"/>
      <c r="BW8333" s="397"/>
      <c r="BX8333" s="397"/>
      <c r="BY8333" s="397"/>
      <c r="BZ8333" s="397"/>
      <c r="CA8333" s="392"/>
      <c r="CB8333" s="392"/>
    </row>
    <row r="8334" spans="1:80" ht="15" x14ac:dyDescent="0.25">
      <c r="A8334" s="385"/>
      <c r="B8334" s="392"/>
      <c r="C8334" s="392"/>
      <c r="D8334" s="700"/>
      <c r="E8334" s="397"/>
      <c r="F8334" s="392"/>
      <c r="G8334" s="392"/>
      <c r="H8334" s="401"/>
      <c r="I8334" s="165">
        <v>5</v>
      </c>
      <c r="J8334" s="165">
        <v>240</v>
      </c>
      <c r="K8334" s="165">
        <v>1</v>
      </c>
      <c r="L8334" s="628"/>
      <c r="M8334" s="628"/>
      <c r="N8334" s="388">
        <f>567.08*(0.028317)</f>
        <v>16.058004360000002</v>
      </c>
      <c r="O8334" s="389">
        <v>0.28958833333333334</v>
      </c>
      <c r="P8334" s="413"/>
      <c r="Q8334" s="413">
        <v>3.4121420868455217E-2</v>
      </c>
      <c r="R8334" s="413">
        <v>9.2020269824152109E-2</v>
      </c>
      <c r="S8334" s="413">
        <v>0.25945264872240681</v>
      </c>
      <c r="T8334" s="413">
        <v>0.11651297400796705</v>
      </c>
      <c r="U8334" s="413">
        <v>0.16023835200387349</v>
      </c>
      <c r="V8334" s="504">
        <v>0.19076413495609301</v>
      </c>
      <c r="W8334" s="504">
        <v>9.4377929880934033E-2</v>
      </c>
      <c r="X8334" s="504">
        <v>3.540891784228712E-2</v>
      </c>
      <c r="Y8334" s="504">
        <v>1.7103351893831015E-2</v>
      </c>
      <c r="Z8334" s="388">
        <v>39</v>
      </c>
      <c r="AA8334" s="388"/>
      <c r="AB8334" s="391"/>
      <c r="AC8334" s="392"/>
      <c r="AD8334" s="388">
        <f t="shared" si="64"/>
        <v>14.56944</v>
      </c>
      <c r="AE8334" s="388">
        <f>2.29909709821429*(0.3048)</f>
        <v>0.70076479553571569</v>
      </c>
      <c r="AF8334" s="388"/>
      <c r="AG8334" s="388">
        <f>5.16007104399971*(0.3048)</f>
        <v>1.5727896542111117</v>
      </c>
      <c r="AH8334" s="391"/>
      <c r="AI8334" s="397"/>
      <c r="AJ8334" s="397"/>
      <c r="AK8334" s="392"/>
      <c r="AL8334" s="392"/>
      <c r="AM8334" s="392"/>
      <c r="AN8334" s="392"/>
      <c r="AO8334" s="392"/>
      <c r="AP8334" s="392"/>
      <c r="AQ8334" s="392"/>
      <c r="AR8334" s="392"/>
      <c r="AS8334" s="392"/>
      <c r="AT8334" s="392"/>
      <c r="AU8334" s="397"/>
      <c r="AV8334" s="397"/>
      <c r="AW8334" s="397"/>
      <c r="AX8334" s="397"/>
      <c r="AY8334" s="392"/>
      <c r="AZ8334" s="392"/>
      <c r="BA8334" s="392"/>
      <c r="BB8334" s="392"/>
      <c r="BC8334" s="392"/>
      <c r="BD8334" s="392"/>
      <c r="BE8334" s="392"/>
      <c r="BF8334" s="392"/>
      <c r="BG8334" s="392"/>
      <c r="BH8334" s="392"/>
      <c r="BI8334" s="397"/>
      <c r="BJ8334" s="397"/>
      <c r="BK8334" s="397"/>
      <c r="BL8334" s="397"/>
      <c r="BM8334" s="397"/>
      <c r="BN8334" s="397"/>
      <c r="BO8334" s="397"/>
      <c r="BP8334" s="397"/>
      <c r="BQ8334" s="397"/>
      <c r="BR8334" s="397"/>
      <c r="BS8334" s="397"/>
      <c r="BT8334" s="397"/>
      <c r="BU8334" s="397"/>
      <c r="BV8334" s="397"/>
      <c r="BW8334" s="397"/>
      <c r="BX8334" s="397"/>
      <c r="BY8334" s="397"/>
      <c r="BZ8334" s="397"/>
      <c r="CA8334" s="392"/>
      <c r="CB8334" s="392"/>
    </row>
    <row r="8335" spans="1:80" ht="15" x14ac:dyDescent="0.25">
      <c r="A8335" s="385"/>
      <c r="B8335" s="392"/>
      <c r="C8335" s="392"/>
      <c r="D8335" s="700"/>
      <c r="E8335" s="397"/>
      <c r="F8335" s="392"/>
      <c r="G8335" s="392"/>
      <c r="H8335" s="401"/>
      <c r="I8335" s="165">
        <v>5</v>
      </c>
      <c r="J8335" s="165">
        <v>240</v>
      </c>
      <c r="K8335" s="165">
        <v>1</v>
      </c>
      <c r="L8335" s="628"/>
      <c r="M8335" s="628"/>
      <c r="N8335" s="388">
        <f>391.12*(0.028317)</f>
        <v>11.07534504</v>
      </c>
      <c r="O8335" s="389">
        <v>3.8678166666666666E-2</v>
      </c>
      <c r="P8335" s="413"/>
      <c r="Q8335" s="413"/>
      <c r="R8335" s="413">
        <v>4.9945420468354165E-2</v>
      </c>
      <c r="S8335" s="413">
        <v>3.3365600477828349E-2</v>
      </c>
      <c r="T8335" s="413">
        <v>9.6636665087636187E-2</v>
      </c>
      <c r="U8335" s="413">
        <v>0.15469692912899305</v>
      </c>
      <c r="V8335" s="504">
        <v>0.25434061746956932</v>
      </c>
      <c r="W8335" s="504">
        <v>0.27588408543241405</v>
      </c>
      <c r="X8335" s="504">
        <v>8.318744464811649E-2</v>
      </c>
      <c r="Y8335" s="504">
        <v>5.1943237287088329E-2</v>
      </c>
      <c r="Z8335" s="388">
        <v>26</v>
      </c>
      <c r="AA8335" s="388"/>
      <c r="AB8335" s="391"/>
      <c r="AC8335" s="392"/>
      <c r="AD8335" s="388">
        <f t="shared" si="64"/>
        <v>14.56944</v>
      </c>
      <c r="AE8335" s="388"/>
      <c r="AF8335" s="388"/>
      <c r="AG8335" s="435"/>
      <c r="AH8335" s="391"/>
      <c r="AI8335" s="397"/>
      <c r="AJ8335" s="397"/>
      <c r="AK8335" s="392"/>
      <c r="AL8335" s="392"/>
      <c r="AM8335" s="392"/>
      <c r="AN8335" s="392"/>
      <c r="AO8335" s="392"/>
      <c r="AP8335" s="392"/>
      <c r="AQ8335" s="392"/>
      <c r="AR8335" s="392"/>
      <c r="AS8335" s="392"/>
      <c r="AT8335" s="392"/>
      <c r="AU8335" s="397"/>
      <c r="AV8335" s="397"/>
      <c r="AW8335" s="397"/>
      <c r="AX8335" s="397"/>
      <c r="AY8335" s="392"/>
      <c r="AZ8335" s="392"/>
      <c r="BA8335" s="392"/>
      <c r="BB8335" s="392"/>
      <c r="BC8335" s="392"/>
      <c r="BD8335" s="392"/>
      <c r="BE8335" s="392"/>
      <c r="BF8335" s="392"/>
      <c r="BG8335" s="392"/>
      <c r="BH8335" s="392"/>
      <c r="BI8335" s="397"/>
      <c r="BJ8335" s="397"/>
      <c r="BK8335" s="397"/>
      <c r="BL8335" s="397"/>
      <c r="BM8335" s="397"/>
      <c r="BN8335" s="397"/>
      <c r="BO8335" s="397"/>
      <c r="BP8335" s="397"/>
      <c r="BQ8335" s="397"/>
      <c r="BR8335" s="397"/>
      <c r="BS8335" s="397"/>
      <c r="BT8335" s="397"/>
      <c r="BU8335" s="397"/>
      <c r="BV8335" s="397"/>
      <c r="BW8335" s="397"/>
      <c r="BX8335" s="397"/>
      <c r="BY8335" s="397"/>
      <c r="BZ8335" s="397"/>
      <c r="CA8335" s="392"/>
      <c r="CB8335" s="392"/>
    </row>
    <row r="8336" spans="1:80" ht="15" x14ac:dyDescent="0.25">
      <c r="A8336" s="385"/>
      <c r="B8336" s="392"/>
      <c r="C8336" s="392"/>
      <c r="D8336" s="700"/>
      <c r="E8336" s="397"/>
      <c r="F8336" s="392"/>
      <c r="G8336" s="392"/>
      <c r="H8336" s="401"/>
      <c r="I8336" s="165">
        <v>5</v>
      </c>
      <c r="J8336" s="165">
        <v>240</v>
      </c>
      <c r="K8336" s="165">
        <v>1</v>
      </c>
      <c r="L8336" s="628"/>
      <c r="M8336" s="628"/>
      <c r="N8336" s="388">
        <f>303.04*(0.028317)</f>
        <v>8.5811836800000005</v>
      </c>
      <c r="O8336" s="389">
        <v>1.3877933333333332E-2</v>
      </c>
      <c r="P8336" s="413"/>
      <c r="Q8336" s="413"/>
      <c r="R8336" s="413"/>
      <c r="S8336" s="413">
        <v>3.1348682321869437E-2</v>
      </c>
      <c r="T8336" s="413">
        <v>0.1123040707354883</v>
      </c>
      <c r="U8336" s="413">
        <v>0.15433197450766489</v>
      </c>
      <c r="V8336" s="504">
        <v>0.29792731239593501</v>
      </c>
      <c r="W8336" s="504">
        <v>0.24832060630418554</v>
      </c>
      <c r="X8336" s="504">
        <v>9.0715967158523272E-2</v>
      </c>
      <c r="Y8336" s="504">
        <v>6.5051386576333456E-2</v>
      </c>
      <c r="Z8336" s="388">
        <v>12</v>
      </c>
      <c r="AA8336" s="388"/>
      <c r="AB8336" s="391"/>
      <c r="AC8336" s="392"/>
      <c r="AD8336" s="388">
        <f t="shared" si="64"/>
        <v>14.56944</v>
      </c>
      <c r="AE8336" s="388">
        <f>1.68175732217573*(0.3048)</f>
        <v>0.51259963179916257</v>
      </c>
      <c r="AF8336" s="388"/>
      <c r="AG8336" s="388">
        <f>3.76971189729811*(0.3048)</f>
        <v>1.1490081862964641</v>
      </c>
      <c r="AH8336" s="391"/>
      <c r="AI8336" s="397"/>
      <c r="AJ8336" s="397"/>
      <c r="AK8336" s="392"/>
      <c r="AL8336" s="392"/>
      <c r="AM8336" s="392"/>
      <c r="AN8336" s="392"/>
      <c r="AO8336" s="392"/>
      <c r="AP8336" s="392"/>
      <c r="AQ8336" s="392"/>
      <c r="AR8336" s="392"/>
      <c r="AS8336" s="392"/>
      <c r="AT8336" s="392"/>
      <c r="AU8336" s="397"/>
      <c r="AV8336" s="397"/>
      <c r="AW8336" s="397"/>
      <c r="AX8336" s="397"/>
      <c r="AY8336" s="392"/>
      <c r="AZ8336" s="392"/>
      <c r="BA8336" s="392"/>
      <c r="BB8336" s="392"/>
      <c r="BC8336" s="392"/>
      <c r="BD8336" s="392"/>
      <c r="BE8336" s="392"/>
      <c r="BF8336" s="392"/>
      <c r="BG8336" s="392"/>
      <c r="BH8336" s="392"/>
      <c r="BI8336" s="397"/>
      <c r="BJ8336" s="397"/>
      <c r="BK8336" s="397"/>
      <c r="BL8336" s="397"/>
      <c r="BM8336" s="397"/>
      <c r="BN8336" s="397"/>
      <c r="BO8336" s="397"/>
      <c r="BP8336" s="397"/>
      <c r="BQ8336" s="397"/>
      <c r="BR8336" s="397"/>
      <c r="BS8336" s="397"/>
      <c r="BT8336" s="397"/>
      <c r="BU8336" s="397"/>
      <c r="BV8336" s="397"/>
      <c r="BW8336" s="397"/>
      <c r="BX8336" s="397"/>
      <c r="BY8336" s="397"/>
      <c r="BZ8336" s="397"/>
      <c r="CA8336" s="392"/>
      <c r="CB8336" s="392"/>
    </row>
    <row r="8337" spans="1:80" ht="15" x14ac:dyDescent="0.25">
      <c r="A8337" s="385"/>
      <c r="B8337" s="392"/>
      <c r="C8337" s="392"/>
      <c r="D8337" s="700"/>
      <c r="E8337" s="397"/>
      <c r="F8337" s="392"/>
      <c r="G8337" s="392"/>
      <c r="H8337" s="401"/>
      <c r="I8337" s="165">
        <v>5</v>
      </c>
      <c r="J8337" s="165">
        <v>240</v>
      </c>
      <c r="K8337" s="165">
        <v>1</v>
      </c>
      <c r="L8337" s="628"/>
      <c r="M8337" s="628"/>
      <c r="N8337" s="388">
        <f>259.54*(0.028317)</f>
        <v>7.34939418</v>
      </c>
      <c r="O8337" s="389">
        <v>2.2187166666666664E-2</v>
      </c>
      <c r="P8337" s="413"/>
      <c r="Q8337" s="413"/>
      <c r="R8337" s="413">
        <v>8.2728904847396742E-2</v>
      </c>
      <c r="S8337" s="413">
        <v>0.14323159784560141</v>
      </c>
      <c r="T8337" s="413">
        <v>0.1997127468581687</v>
      </c>
      <c r="U8337" s="413">
        <v>0.19396768402154396</v>
      </c>
      <c r="V8337" s="504">
        <v>0.19913824057450624</v>
      </c>
      <c r="W8337" s="504">
        <v>0.12197486535008974</v>
      </c>
      <c r="X8337" s="504">
        <v>3.5798922800718128E-2</v>
      </c>
      <c r="Y8337" s="504">
        <v>2.3447037701974861E-2</v>
      </c>
      <c r="Z8337" s="388">
        <v>31</v>
      </c>
      <c r="AA8337" s="388"/>
      <c r="AB8337" s="391"/>
      <c r="AC8337" s="392"/>
      <c r="AD8337" s="388">
        <f t="shared" si="64"/>
        <v>14.56944</v>
      </c>
      <c r="AE8337" s="388">
        <f>1.57092050209205*(0.3048)</f>
        <v>0.47881656903765685</v>
      </c>
      <c r="AF8337" s="388"/>
      <c r="AG8337" s="388">
        <f>3.45639232920495*(0.3048)</f>
        <v>1.0535083819416688</v>
      </c>
      <c r="AH8337" s="391"/>
      <c r="AI8337" s="397"/>
      <c r="AJ8337" s="397"/>
      <c r="AK8337" s="392"/>
      <c r="AL8337" s="392"/>
      <c r="AM8337" s="392"/>
      <c r="AN8337" s="392"/>
      <c r="AO8337" s="392"/>
      <c r="AP8337" s="392"/>
      <c r="AQ8337" s="392"/>
      <c r="AR8337" s="392"/>
      <c r="AS8337" s="392"/>
      <c r="AT8337" s="392"/>
      <c r="AU8337" s="397"/>
      <c r="AV8337" s="397"/>
      <c r="AW8337" s="397"/>
      <c r="AX8337" s="397"/>
      <c r="AY8337" s="392"/>
      <c r="AZ8337" s="392"/>
      <c r="BA8337" s="392"/>
      <c r="BB8337" s="392"/>
      <c r="BC8337" s="392"/>
      <c r="BD8337" s="392"/>
      <c r="BE8337" s="392"/>
      <c r="BF8337" s="392"/>
      <c r="BG8337" s="392"/>
      <c r="BH8337" s="392"/>
      <c r="BI8337" s="397"/>
      <c r="BJ8337" s="397"/>
      <c r="BK8337" s="397"/>
      <c r="BL8337" s="397"/>
      <c r="BM8337" s="397"/>
      <c r="BN8337" s="397"/>
      <c r="BO8337" s="397"/>
      <c r="BP8337" s="397"/>
      <c r="BQ8337" s="397"/>
      <c r="BR8337" s="397"/>
      <c r="BS8337" s="397"/>
      <c r="BT8337" s="397"/>
      <c r="BU8337" s="397"/>
      <c r="BV8337" s="397"/>
      <c r="BW8337" s="397"/>
      <c r="BX8337" s="397"/>
      <c r="BY8337" s="397"/>
      <c r="BZ8337" s="397"/>
      <c r="CA8337" s="392"/>
      <c r="CB8337" s="392"/>
    </row>
    <row r="8338" spans="1:80" ht="15" x14ac:dyDescent="0.25">
      <c r="A8338" s="385"/>
      <c r="B8338" s="392"/>
      <c r="C8338" s="392"/>
      <c r="D8338" s="700"/>
      <c r="E8338" s="397"/>
      <c r="F8338" s="392"/>
      <c r="G8338" s="392"/>
      <c r="H8338" s="401"/>
      <c r="I8338" s="165">
        <v>5</v>
      </c>
      <c r="J8338" s="165">
        <v>240</v>
      </c>
      <c r="K8338" s="165">
        <v>1</v>
      </c>
      <c r="L8338" s="628"/>
      <c r="M8338" s="628"/>
      <c r="N8338" s="388">
        <f>271.25*(0.028317)</f>
        <v>7.6809862499999992</v>
      </c>
      <c r="O8338" s="389">
        <v>1.9358999999999999E-3</v>
      </c>
      <c r="P8338" s="413"/>
      <c r="Q8338" s="413"/>
      <c r="R8338" s="413"/>
      <c r="S8338" s="413">
        <v>0.13892314015618579</v>
      </c>
      <c r="T8338" s="413">
        <v>0.32100287710645292</v>
      </c>
      <c r="U8338" s="413">
        <v>0.24537607891491986</v>
      </c>
      <c r="V8338" s="504">
        <v>0.1364570489108097</v>
      </c>
      <c r="W8338" s="504">
        <v>8.5491163173037413E-2</v>
      </c>
      <c r="X8338" s="504">
        <v>3.0004110152075627E-2</v>
      </c>
      <c r="Y8338" s="504">
        <v>4.2745581586518706E-2</v>
      </c>
      <c r="Z8338" s="388">
        <v>14</v>
      </c>
      <c r="AA8338" s="388"/>
      <c r="AB8338" s="391"/>
      <c r="AC8338" s="392"/>
      <c r="AD8338" s="388">
        <f t="shared" si="64"/>
        <v>14.56944</v>
      </c>
      <c r="AE8338" s="388"/>
      <c r="AF8338" s="388"/>
      <c r="AG8338" s="435"/>
      <c r="AH8338" s="391"/>
      <c r="AI8338" s="397"/>
      <c r="AJ8338" s="397"/>
      <c r="AK8338" s="392"/>
      <c r="AL8338" s="392"/>
      <c r="AM8338" s="392"/>
      <c r="AN8338" s="392"/>
      <c r="AO8338" s="392"/>
      <c r="AP8338" s="392"/>
      <c r="AQ8338" s="392"/>
      <c r="AR8338" s="392"/>
      <c r="AS8338" s="392"/>
      <c r="AT8338" s="392"/>
      <c r="AU8338" s="397"/>
      <c r="AV8338" s="397"/>
      <c r="AW8338" s="397"/>
      <c r="AX8338" s="397"/>
      <c r="AY8338" s="392"/>
      <c r="AZ8338" s="392"/>
      <c r="BA8338" s="392"/>
      <c r="BB8338" s="392"/>
      <c r="BC8338" s="392"/>
      <c r="BD8338" s="392"/>
      <c r="BE8338" s="392"/>
      <c r="BF8338" s="392"/>
      <c r="BG8338" s="392"/>
      <c r="BH8338" s="392"/>
      <c r="BI8338" s="397"/>
      <c r="BJ8338" s="397"/>
      <c r="BK8338" s="397"/>
      <c r="BL8338" s="397"/>
      <c r="BM8338" s="397"/>
      <c r="BN8338" s="397"/>
      <c r="BO8338" s="397"/>
      <c r="BP8338" s="397"/>
      <c r="BQ8338" s="397"/>
      <c r="BR8338" s="397"/>
      <c r="BS8338" s="397"/>
      <c r="BT8338" s="397"/>
      <c r="BU8338" s="397"/>
      <c r="BV8338" s="397"/>
      <c r="BW8338" s="397"/>
      <c r="BX8338" s="397"/>
      <c r="BY8338" s="397"/>
      <c r="BZ8338" s="397"/>
      <c r="CA8338" s="392"/>
      <c r="CB8338" s="392"/>
    </row>
    <row r="8339" spans="1:80" ht="15" x14ac:dyDescent="0.25">
      <c r="A8339" s="385"/>
      <c r="B8339" s="392"/>
      <c r="C8339" s="392"/>
      <c r="D8339" s="700"/>
      <c r="E8339" s="397"/>
      <c r="F8339" s="392"/>
      <c r="G8339" s="392"/>
      <c r="H8339" s="401"/>
      <c r="I8339" s="165">
        <v>5</v>
      </c>
      <c r="J8339" s="165">
        <v>240</v>
      </c>
      <c r="K8339" s="165">
        <v>1</v>
      </c>
      <c r="L8339" s="628"/>
      <c r="M8339" s="628"/>
      <c r="N8339" s="388">
        <f>276.42*(0.028317)</f>
        <v>7.8273851399999996</v>
      </c>
      <c r="O8339" s="389">
        <v>1.8641999999999999E-3</v>
      </c>
      <c r="P8339" s="413"/>
      <c r="Q8339" s="413"/>
      <c r="R8339" s="413"/>
      <c r="S8339" s="413"/>
      <c r="T8339" s="413">
        <v>9.824861170439984E-3</v>
      </c>
      <c r="U8339" s="413">
        <v>0.11191798376762067</v>
      </c>
      <c r="V8339" s="504">
        <v>0.24989320803075607</v>
      </c>
      <c r="W8339" s="504">
        <v>0.37889790687740277</v>
      </c>
      <c r="X8339" s="504">
        <v>0.21956428876548481</v>
      </c>
      <c r="Y8339" s="504">
        <v>2.9901751388295598E-2</v>
      </c>
      <c r="Z8339" s="388">
        <v>4</v>
      </c>
      <c r="AA8339" s="388"/>
      <c r="AB8339" s="391"/>
      <c r="AC8339" s="392"/>
      <c r="AD8339" s="388">
        <f t="shared" si="64"/>
        <v>14.56944</v>
      </c>
      <c r="AE8339" s="388">
        <f>1.64822175732218*(0.3048)</f>
        <v>0.50237799163180052</v>
      </c>
      <c r="AF8339" s="388"/>
      <c r="AG8339" s="388">
        <f>3.50857142857143*(0.3048)</f>
        <v>1.0694125714285718</v>
      </c>
      <c r="AH8339" s="391"/>
      <c r="AI8339" s="397"/>
      <c r="AJ8339" s="397"/>
      <c r="AK8339" s="392"/>
      <c r="AL8339" s="392"/>
      <c r="AM8339" s="392"/>
      <c r="AN8339" s="392"/>
      <c r="AO8339" s="392"/>
      <c r="AP8339" s="392"/>
      <c r="AQ8339" s="392"/>
      <c r="AR8339" s="392"/>
      <c r="AS8339" s="392"/>
      <c r="AT8339" s="392"/>
      <c r="AU8339" s="397"/>
      <c r="AV8339" s="397"/>
      <c r="AW8339" s="397"/>
      <c r="AX8339" s="397"/>
      <c r="AY8339" s="392"/>
      <c r="AZ8339" s="392"/>
      <c r="BA8339" s="392"/>
      <c r="BB8339" s="392"/>
      <c r="BC8339" s="392"/>
      <c r="BD8339" s="392"/>
      <c r="BE8339" s="392"/>
      <c r="BF8339" s="392"/>
      <c r="BG8339" s="392"/>
      <c r="BH8339" s="392"/>
      <c r="BI8339" s="397"/>
      <c r="BJ8339" s="397"/>
      <c r="BK8339" s="397"/>
      <c r="BL8339" s="397"/>
      <c r="BM8339" s="397"/>
      <c r="BN8339" s="397"/>
      <c r="BO8339" s="397"/>
      <c r="BP8339" s="397"/>
      <c r="BQ8339" s="397"/>
      <c r="BR8339" s="397"/>
      <c r="BS8339" s="397"/>
      <c r="BT8339" s="397"/>
      <c r="BU8339" s="397"/>
      <c r="BV8339" s="397"/>
      <c r="BW8339" s="397"/>
      <c r="BX8339" s="397"/>
      <c r="BY8339" s="397"/>
      <c r="BZ8339" s="397"/>
      <c r="CA8339" s="392"/>
      <c r="CB8339" s="392"/>
    </row>
    <row r="8340" spans="1:80" ht="15" x14ac:dyDescent="0.25">
      <c r="A8340" s="385"/>
      <c r="B8340" s="392"/>
      <c r="C8340" s="392"/>
      <c r="D8340" s="700"/>
      <c r="E8340" s="397"/>
      <c r="F8340" s="392"/>
      <c r="G8340" s="392"/>
      <c r="H8340" s="401"/>
      <c r="I8340" s="165">
        <v>5</v>
      </c>
      <c r="J8340" s="165">
        <v>240</v>
      </c>
      <c r="K8340" s="165">
        <v>1</v>
      </c>
      <c r="L8340" s="628"/>
      <c r="M8340" s="628"/>
      <c r="N8340" s="388">
        <f>271.01*(0.028317)</f>
        <v>7.6741901699999993</v>
      </c>
      <c r="O8340" s="389">
        <v>8.2216000000000008E-3</v>
      </c>
      <c r="P8340" s="413"/>
      <c r="Q8340" s="413"/>
      <c r="R8340" s="413"/>
      <c r="S8340" s="413">
        <v>5.1836062397054551E-2</v>
      </c>
      <c r="T8340" s="413">
        <v>0.13128572812711947</v>
      </c>
      <c r="U8340" s="413">
        <v>0.21926169944772794</v>
      </c>
      <c r="V8340" s="504">
        <v>0.30365274682685789</v>
      </c>
      <c r="W8340" s="504">
        <v>0.21083228369344059</v>
      </c>
      <c r="X8340" s="504">
        <v>6.6757097180505764E-2</v>
      </c>
      <c r="Y8340" s="504">
        <v>1.6374382327293869E-2</v>
      </c>
      <c r="Z8340" s="388">
        <v>12</v>
      </c>
      <c r="AA8340" s="388"/>
      <c r="AB8340" s="391"/>
      <c r="AC8340" s="392"/>
      <c r="AD8340" s="388">
        <f t="shared" si="64"/>
        <v>14.56944</v>
      </c>
      <c r="AE8340" s="388">
        <f>1.59518828451883*(0.3048)</f>
        <v>0.48621338912133943</v>
      </c>
      <c r="AF8340" s="388"/>
      <c r="AG8340" s="388">
        <f>3.55422950819672*(0.3048)</f>
        <v>1.0833291540983603</v>
      </c>
      <c r="AH8340" s="391"/>
      <c r="AI8340" s="397"/>
      <c r="AJ8340" s="397"/>
      <c r="AK8340" s="392"/>
      <c r="AL8340" s="392"/>
      <c r="AM8340" s="392"/>
      <c r="AN8340" s="392"/>
      <c r="AO8340" s="392"/>
      <c r="AP8340" s="392"/>
      <c r="AQ8340" s="392"/>
      <c r="AR8340" s="392"/>
      <c r="AS8340" s="392"/>
      <c r="AT8340" s="392"/>
      <c r="AU8340" s="397"/>
      <c r="AV8340" s="397"/>
      <c r="AW8340" s="397"/>
      <c r="AX8340" s="397"/>
      <c r="AY8340" s="392"/>
      <c r="AZ8340" s="392"/>
      <c r="BA8340" s="392"/>
      <c r="BB8340" s="392"/>
      <c r="BC8340" s="392"/>
      <c r="BD8340" s="392"/>
      <c r="BE8340" s="392"/>
      <c r="BF8340" s="392"/>
      <c r="BG8340" s="392"/>
      <c r="BH8340" s="392"/>
      <c r="BI8340" s="397"/>
      <c r="BJ8340" s="397"/>
      <c r="BK8340" s="397"/>
      <c r="BL8340" s="397"/>
      <c r="BM8340" s="397"/>
      <c r="BN8340" s="397"/>
      <c r="BO8340" s="397"/>
      <c r="BP8340" s="397"/>
      <c r="BQ8340" s="397"/>
      <c r="BR8340" s="397"/>
      <c r="BS8340" s="397"/>
      <c r="BT8340" s="397"/>
      <c r="BU8340" s="397"/>
      <c r="BV8340" s="397"/>
      <c r="BW8340" s="397"/>
      <c r="BX8340" s="397"/>
      <c r="BY8340" s="397"/>
      <c r="BZ8340" s="397"/>
      <c r="CA8340" s="392"/>
      <c r="CB8340" s="392"/>
    </row>
    <row r="8341" spans="1:80" ht="15" x14ac:dyDescent="0.25">
      <c r="A8341" s="385"/>
      <c r="B8341" s="392"/>
      <c r="C8341" s="392"/>
      <c r="D8341" s="700"/>
      <c r="E8341" s="397"/>
      <c r="F8341" s="392"/>
      <c r="G8341" s="392"/>
      <c r="H8341" s="401"/>
      <c r="I8341" s="165">
        <v>5</v>
      </c>
      <c r="J8341" s="165">
        <v>240</v>
      </c>
      <c r="K8341" s="165">
        <v>1</v>
      </c>
      <c r="L8341" s="628"/>
      <c r="M8341" s="628"/>
      <c r="N8341" s="388">
        <f>246.33*(0.028317)</f>
        <v>6.9753266099999998</v>
      </c>
      <c r="O8341" s="389">
        <v>1.8052466666666666E-2</v>
      </c>
      <c r="P8341" s="413"/>
      <c r="Q8341" s="413"/>
      <c r="R8341" s="413">
        <v>0.19563106796116503</v>
      </c>
      <c r="S8341" s="413">
        <v>8.786407766990291E-2</v>
      </c>
      <c r="T8341" s="413">
        <v>0.14920564872021183</v>
      </c>
      <c r="U8341" s="413">
        <v>0.19245366284201235</v>
      </c>
      <c r="V8341" s="504">
        <v>0.20392762577228596</v>
      </c>
      <c r="W8341" s="504">
        <v>0.13128861429832303</v>
      </c>
      <c r="X8341" s="504">
        <v>3.4686672550750218E-2</v>
      </c>
      <c r="Y8341" s="504">
        <v>4.9426301853486322E-3</v>
      </c>
      <c r="Z8341" s="388">
        <v>28</v>
      </c>
      <c r="AA8341" s="388"/>
      <c r="AB8341" s="391"/>
      <c r="AC8341" s="392"/>
      <c r="AD8341" s="388">
        <f t="shared" si="64"/>
        <v>14.56944</v>
      </c>
      <c r="AE8341" s="388">
        <f>1.6005230125523*(0.3048)</f>
        <v>0.48783941422594107</v>
      </c>
      <c r="AF8341" s="388"/>
      <c r="AG8341" s="388">
        <f>3.21985164368342*(0.3048)</f>
        <v>0.98141078099470647</v>
      </c>
      <c r="AH8341" s="391"/>
      <c r="AI8341" s="397"/>
      <c r="AJ8341" s="397"/>
      <c r="AK8341" s="392"/>
      <c r="AL8341" s="392"/>
      <c r="AM8341" s="392"/>
      <c r="AN8341" s="392"/>
      <c r="AO8341" s="392"/>
      <c r="AP8341" s="392"/>
      <c r="AQ8341" s="392"/>
      <c r="AR8341" s="392"/>
      <c r="AS8341" s="392"/>
      <c r="AT8341" s="392"/>
      <c r="AU8341" s="397"/>
      <c r="AV8341" s="397"/>
      <c r="AW8341" s="397"/>
      <c r="AX8341" s="397"/>
      <c r="AY8341" s="392"/>
      <c r="AZ8341" s="392"/>
      <c r="BA8341" s="392"/>
      <c r="BB8341" s="392"/>
      <c r="BC8341" s="392"/>
      <c r="BD8341" s="392"/>
      <c r="BE8341" s="392"/>
      <c r="BF8341" s="392"/>
      <c r="BG8341" s="392"/>
      <c r="BH8341" s="392"/>
      <c r="BI8341" s="397"/>
      <c r="BJ8341" s="397"/>
      <c r="BK8341" s="397"/>
      <c r="BL8341" s="397"/>
      <c r="BM8341" s="397"/>
      <c r="BN8341" s="397"/>
      <c r="BO8341" s="397"/>
      <c r="BP8341" s="397"/>
      <c r="BQ8341" s="397"/>
      <c r="BR8341" s="397"/>
      <c r="BS8341" s="397"/>
      <c r="BT8341" s="397"/>
      <c r="BU8341" s="397"/>
      <c r="BV8341" s="397"/>
      <c r="BW8341" s="397"/>
      <c r="BX8341" s="397"/>
      <c r="BY8341" s="397"/>
      <c r="BZ8341" s="397"/>
      <c r="CA8341" s="392"/>
      <c r="CB8341" s="392"/>
    </row>
    <row r="8342" spans="1:80" ht="15" x14ac:dyDescent="0.25">
      <c r="A8342" s="385"/>
      <c r="B8342" s="392"/>
      <c r="C8342" s="392"/>
      <c r="D8342" s="700"/>
      <c r="E8342" s="397"/>
      <c r="F8342" s="392"/>
      <c r="G8342" s="392"/>
      <c r="H8342" s="401"/>
      <c r="I8342" s="165">
        <v>5</v>
      </c>
      <c r="J8342" s="165">
        <v>240</v>
      </c>
      <c r="K8342" s="165">
        <v>1</v>
      </c>
      <c r="L8342" s="628"/>
      <c r="M8342" s="628"/>
      <c r="N8342" s="388">
        <f>264.38*(0.028317)</f>
        <v>7.4864484599999992</v>
      </c>
      <c r="O8342" s="389">
        <v>6.0116466666666667E-2</v>
      </c>
      <c r="P8342" s="413"/>
      <c r="Q8342" s="413"/>
      <c r="R8342" s="413">
        <v>2.5217322166861018E-2</v>
      </c>
      <c r="S8342" s="413">
        <v>0.21359853705077914</v>
      </c>
      <c r="T8342" s="413">
        <v>0.20994116399872786</v>
      </c>
      <c r="U8342" s="413">
        <v>0.1949141312413866</v>
      </c>
      <c r="V8342" s="504">
        <v>0.18036414714300858</v>
      </c>
      <c r="W8342" s="504">
        <v>0.11663839711650587</v>
      </c>
      <c r="X8342" s="504">
        <v>3.5208841301812781E-2</v>
      </c>
      <c r="Y8342" s="504">
        <v>2.4117459980918049E-2</v>
      </c>
      <c r="Z8342" s="388">
        <v>21</v>
      </c>
      <c r="AA8342" s="388"/>
      <c r="AB8342" s="391"/>
      <c r="AC8342" s="392"/>
      <c r="AD8342" s="388">
        <f t="shared" si="64"/>
        <v>14.56944</v>
      </c>
      <c r="AE8342" s="388">
        <f>1.56443514644351*(0.3048)</f>
        <v>0.4768398326359819</v>
      </c>
      <c r="AF8342" s="388"/>
      <c r="AG8342" s="388">
        <f>3.53541454934474*(0.3048)</f>
        <v>1.0775943546402769</v>
      </c>
      <c r="AH8342" s="391"/>
      <c r="AI8342" s="397"/>
      <c r="AJ8342" s="397"/>
      <c r="AK8342" s="392"/>
      <c r="AL8342" s="392"/>
      <c r="AM8342" s="392"/>
      <c r="AN8342" s="392"/>
      <c r="AO8342" s="392"/>
      <c r="AP8342" s="392"/>
      <c r="AQ8342" s="392"/>
      <c r="AR8342" s="392"/>
      <c r="AS8342" s="392"/>
      <c r="AT8342" s="392"/>
      <c r="AU8342" s="397"/>
      <c r="AV8342" s="397"/>
      <c r="AW8342" s="397"/>
      <c r="AX8342" s="397"/>
      <c r="AY8342" s="392"/>
      <c r="AZ8342" s="392"/>
      <c r="BA8342" s="392"/>
      <c r="BB8342" s="392"/>
      <c r="BC8342" s="392"/>
      <c r="BD8342" s="392"/>
      <c r="BE8342" s="392"/>
      <c r="BF8342" s="392"/>
      <c r="BG8342" s="392"/>
      <c r="BH8342" s="392"/>
      <c r="BI8342" s="397"/>
      <c r="BJ8342" s="397"/>
      <c r="BK8342" s="397"/>
      <c r="BL8342" s="397"/>
      <c r="BM8342" s="397"/>
      <c r="BN8342" s="397"/>
      <c r="BO8342" s="397"/>
      <c r="BP8342" s="397"/>
      <c r="BQ8342" s="397"/>
      <c r="BR8342" s="397"/>
      <c r="BS8342" s="397"/>
      <c r="BT8342" s="397"/>
      <c r="BU8342" s="397"/>
      <c r="BV8342" s="397"/>
      <c r="BW8342" s="397"/>
      <c r="BX8342" s="397"/>
      <c r="BY8342" s="397"/>
      <c r="BZ8342" s="397"/>
      <c r="CA8342" s="392"/>
      <c r="CB8342" s="392"/>
    </row>
    <row r="8343" spans="1:80" ht="15" x14ac:dyDescent="0.25">
      <c r="A8343" s="385"/>
      <c r="B8343" s="392"/>
      <c r="C8343" s="392"/>
      <c r="D8343" s="700"/>
      <c r="E8343" s="397"/>
      <c r="F8343" s="392"/>
      <c r="G8343" s="392"/>
      <c r="H8343" s="401"/>
      <c r="I8343" s="165">
        <v>5</v>
      </c>
      <c r="J8343" s="165">
        <v>240</v>
      </c>
      <c r="K8343" s="165">
        <v>1</v>
      </c>
      <c r="L8343" s="628"/>
      <c r="M8343" s="628"/>
      <c r="N8343" s="388">
        <f>289.81*(0.028317)</f>
        <v>8.2065497699999987</v>
      </c>
      <c r="O8343" s="389">
        <v>1.3081266666666666E-2</v>
      </c>
      <c r="P8343" s="413"/>
      <c r="Q8343" s="413"/>
      <c r="R8343" s="413"/>
      <c r="S8343" s="413">
        <v>1.9181585677749361E-2</v>
      </c>
      <c r="T8343" s="413">
        <v>8.8357081963220063E-2</v>
      </c>
      <c r="U8343" s="413">
        <v>0.16417001583241994</v>
      </c>
      <c r="V8343" s="504">
        <v>0.1918158567774936</v>
      </c>
      <c r="W8343" s="504">
        <v>0.29344781390817193</v>
      </c>
      <c r="X8343" s="504">
        <v>9.5298989160881753E-2</v>
      </c>
      <c r="Y8343" s="504">
        <v>0.14772865668006335</v>
      </c>
      <c r="Z8343" s="388">
        <v>16</v>
      </c>
      <c r="AA8343" s="388"/>
      <c r="AB8343" s="391"/>
      <c r="AC8343" s="392"/>
      <c r="AD8343" s="388">
        <f t="shared" si="64"/>
        <v>14.56944</v>
      </c>
      <c r="AE8343" s="388">
        <f>1.71966527196653*(0.3048)</f>
        <v>0.52415397489539839</v>
      </c>
      <c r="AF8343" s="388"/>
      <c r="AG8343" s="388">
        <f>3.52560827250608*(0.3048)</f>
        <v>1.0746054014598532</v>
      </c>
      <c r="AH8343" s="391"/>
      <c r="AI8343" s="397"/>
      <c r="AJ8343" s="397"/>
      <c r="AK8343" s="392"/>
      <c r="AL8343" s="392"/>
      <c r="AM8343" s="392"/>
      <c r="AN8343" s="392"/>
      <c r="AO8343" s="392"/>
      <c r="AP8343" s="392"/>
      <c r="AQ8343" s="392"/>
      <c r="AR8343" s="392"/>
      <c r="AS8343" s="392"/>
      <c r="AT8343" s="392"/>
      <c r="AU8343" s="397"/>
      <c r="AV8343" s="397"/>
      <c r="AW8343" s="397"/>
      <c r="AX8343" s="397"/>
      <c r="AY8343" s="392"/>
      <c r="AZ8343" s="392"/>
      <c r="BA8343" s="392"/>
      <c r="BB8343" s="392"/>
      <c r="BC8343" s="392"/>
      <c r="BD8343" s="392"/>
      <c r="BE8343" s="392"/>
      <c r="BF8343" s="392"/>
      <c r="BG8343" s="392"/>
      <c r="BH8343" s="392"/>
      <c r="BI8343" s="397"/>
      <c r="BJ8343" s="397"/>
      <c r="BK8343" s="397"/>
      <c r="BL8343" s="397"/>
      <c r="BM8343" s="397"/>
      <c r="BN8343" s="397"/>
      <c r="BO8343" s="397"/>
      <c r="BP8343" s="397"/>
      <c r="BQ8343" s="397"/>
      <c r="BR8343" s="397"/>
      <c r="BS8343" s="397"/>
      <c r="BT8343" s="397"/>
      <c r="BU8343" s="397"/>
      <c r="BV8343" s="397"/>
      <c r="BW8343" s="397"/>
      <c r="BX8343" s="397"/>
      <c r="BY8343" s="397"/>
      <c r="BZ8343" s="397"/>
      <c r="CA8343" s="392"/>
      <c r="CB8343" s="392"/>
    </row>
    <row r="8344" spans="1:80" ht="15" x14ac:dyDescent="0.25">
      <c r="A8344" s="385"/>
      <c r="B8344" s="392"/>
      <c r="C8344" s="392"/>
      <c r="D8344" s="700"/>
      <c r="E8344" s="397"/>
      <c r="F8344" s="392"/>
      <c r="G8344" s="392"/>
      <c r="H8344" s="401"/>
      <c r="I8344" s="165">
        <v>5</v>
      </c>
      <c r="J8344" s="165">
        <v>240</v>
      </c>
      <c r="K8344" s="165">
        <v>1</v>
      </c>
      <c r="L8344" s="628"/>
      <c r="M8344" s="628"/>
      <c r="N8344" s="388">
        <f>289.55*(0.028317)</f>
        <v>8.199187349999999</v>
      </c>
      <c r="O8344" s="389">
        <v>1.07072E-2</v>
      </c>
      <c r="P8344" s="413"/>
      <c r="Q8344" s="413"/>
      <c r="R8344" s="413"/>
      <c r="S8344" s="413">
        <v>3.5940174120098221E-2</v>
      </c>
      <c r="T8344" s="413">
        <v>0.1349802812709279</v>
      </c>
      <c r="U8344" s="413">
        <v>0.25798050450182303</v>
      </c>
      <c r="V8344" s="504">
        <v>0.31378822829079545</v>
      </c>
      <c r="W8344" s="504">
        <v>0.17426891881836445</v>
      </c>
      <c r="X8344" s="504">
        <v>4.3827665748939648E-2</v>
      </c>
      <c r="Y8344" s="504">
        <v>3.9214227249051263E-2</v>
      </c>
      <c r="Z8344" s="388">
        <v>10</v>
      </c>
      <c r="AA8344" s="388"/>
      <c r="AB8344" s="391"/>
      <c r="AC8344" s="392"/>
      <c r="AD8344" s="388">
        <f t="shared" si="64"/>
        <v>14.56944</v>
      </c>
      <c r="AE8344" s="388"/>
      <c r="AF8344" s="388"/>
      <c r="AG8344" s="435"/>
      <c r="AH8344" s="391"/>
      <c r="AI8344" s="397"/>
      <c r="AJ8344" s="397"/>
      <c r="AK8344" s="392"/>
      <c r="AL8344" s="392"/>
      <c r="AM8344" s="392"/>
      <c r="AN8344" s="392"/>
      <c r="AO8344" s="392"/>
      <c r="AP8344" s="392"/>
      <c r="AQ8344" s="392"/>
      <c r="AR8344" s="392"/>
      <c r="AS8344" s="392"/>
      <c r="AT8344" s="392"/>
      <c r="AU8344" s="397"/>
      <c r="AV8344" s="397"/>
      <c r="AW8344" s="397"/>
      <c r="AX8344" s="397"/>
      <c r="AY8344" s="392"/>
      <c r="AZ8344" s="392"/>
      <c r="BA8344" s="392"/>
      <c r="BB8344" s="392"/>
      <c r="BC8344" s="392"/>
      <c r="BD8344" s="392"/>
      <c r="BE8344" s="392"/>
      <c r="BF8344" s="392"/>
      <c r="BG8344" s="392"/>
      <c r="BH8344" s="392"/>
      <c r="BI8344" s="397"/>
      <c r="BJ8344" s="397"/>
      <c r="BK8344" s="397"/>
      <c r="BL8344" s="397"/>
      <c r="BM8344" s="397"/>
      <c r="BN8344" s="397"/>
      <c r="BO8344" s="397"/>
      <c r="BP8344" s="397"/>
      <c r="BQ8344" s="397"/>
      <c r="BR8344" s="397"/>
      <c r="BS8344" s="397"/>
      <c r="BT8344" s="397"/>
      <c r="BU8344" s="397"/>
      <c r="BV8344" s="397"/>
      <c r="BW8344" s="397"/>
      <c r="BX8344" s="397"/>
      <c r="BY8344" s="397"/>
      <c r="BZ8344" s="397"/>
      <c r="CA8344" s="392"/>
      <c r="CB8344" s="392"/>
    </row>
    <row r="8345" spans="1:80" ht="15" x14ac:dyDescent="0.25">
      <c r="A8345" s="385"/>
      <c r="B8345" s="392"/>
      <c r="C8345" s="392"/>
      <c r="D8345" s="700"/>
      <c r="E8345" s="397"/>
      <c r="F8345" s="392"/>
      <c r="G8345" s="392"/>
      <c r="H8345" s="401"/>
      <c r="I8345" s="165">
        <v>5</v>
      </c>
      <c r="J8345" s="165">
        <v>240</v>
      </c>
      <c r="K8345" s="165">
        <v>1</v>
      </c>
      <c r="L8345" s="628"/>
      <c r="M8345" s="628"/>
      <c r="N8345" s="388">
        <f>253.92*(0.028317)</f>
        <v>7.1902526399999989</v>
      </c>
      <c r="O8345" s="389">
        <v>2.3262666666666663E-3</v>
      </c>
      <c r="P8345" s="413"/>
      <c r="Q8345" s="413"/>
      <c r="R8345" s="413"/>
      <c r="S8345" s="413"/>
      <c r="T8345" s="413">
        <v>4.9382716049382706E-2</v>
      </c>
      <c r="U8345" s="413">
        <v>0.11008230452674896</v>
      </c>
      <c r="V8345" s="504">
        <v>0.22976680384087789</v>
      </c>
      <c r="W8345" s="504">
        <v>0.36762688614540462</v>
      </c>
      <c r="X8345" s="504">
        <v>0.12860082304526749</v>
      </c>
      <c r="Y8345" s="504">
        <v>0.11454046639231823</v>
      </c>
      <c r="Z8345" s="388">
        <v>7</v>
      </c>
      <c r="AA8345" s="388"/>
      <c r="AB8345" s="391"/>
      <c r="AC8345" s="392"/>
      <c r="AD8345" s="388">
        <f t="shared" si="64"/>
        <v>14.56944</v>
      </c>
      <c r="AE8345" s="388">
        <f>1.58661087866109*(0.3048)</f>
        <v>0.48359899581590027</v>
      </c>
      <c r="AF8345" s="388"/>
      <c r="AG8345" s="388">
        <f>3.34815400843882*(0.3048)</f>
        <v>1.0205173417721525</v>
      </c>
      <c r="AH8345" s="391"/>
      <c r="AI8345" s="397"/>
      <c r="AJ8345" s="397"/>
      <c r="AK8345" s="392"/>
      <c r="AL8345" s="392"/>
      <c r="AM8345" s="392"/>
      <c r="AN8345" s="392"/>
      <c r="AO8345" s="392"/>
      <c r="AP8345" s="392"/>
      <c r="AQ8345" s="392"/>
      <c r="AR8345" s="392"/>
      <c r="AS8345" s="392"/>
      <c r="AT8345" s="392"/>
      <c r="AU8345" s="397"/>
      <c r="AV8345" s="397"/>
      <c r="AW8345" s="397"/>
      <c r="AX8345" s="397"/>
      <c r="AY8345" s="392"/>
      <c r="AZ8345" s="392"/>
      <c r="BA8345" s="392"/>
      <c r="BB8345" s="392"/>
      <c r="BC8345" s="392"/>
      <c r="BD8345" s="392"/>
      <c r="BE8345" s="392"/>
      <c r="BF8345" s="392"/>
      <c r="BG8345" s="392"/>
      <c r="BH8345" s="392"/>
      <c r="BI8345" s="397"/>
      <c r="BJ8345" s="397"/>
      <c r="BK8345" s="397"/>
      <c r="BL8345" s="397"/>
      <c r="BM8345" s="397"/>
      <c r="BN8345" s="397"/>
      <c r="BO8345" s="397"/>
      <c r="BP8345" s="397"/>
      <c r="BQ8345" s="397"/>
      <c r="BR8345" s="397"/>
      <c r="BS8345" s="397"/>
      <c r="BT8345" s="397"/>
      <c r="BU8345" s="397"/>
      <c r="BV8345" s="397"/>
      <c r="BW8345" s="397"/>
      <c r="BX8345" s="397"/>
      <c r="BY8345" s="397"/>
      <c r="BZ8345" s="397"/>
      <c r="CA8345" s="392"/>
      <c r="CB8345" s="392"/>
    </row>
    <row r="8346" spans="1:80" ht="15" x14ac:dyDescent="0.25">
      <c r="A8346" s="385"/>
      <c r="B8346" s="392"/>
      <c r="C8346" s="392"/>
      <c r="D8346" s="700"/>
      <c r="E8346" s="397"/>
      <c r="F8346" s="392"/>
      <c r="G8346" s="392"/>
      <c r="H8346" s="401"/>
      <c r="I8346" s="165">
        <v>5</v>
      </c>
      <c r="J8346" s="165">
        <v>240</v>
      </c>
      <c r="K8346" s="165">
        <v>1</v>
      </c>
      <c r="L8346" s="628"/>
      <c r="M8346" s="628"/>
      <c r="N8346" s="388">
        <f>299.91*(0.028317)</f>
        <v>8.4925514700000004</v>
      </c>
      <c r="O8346" s="389">
        <v>1.3017533333333331E-2</v>
      </c>
      <c r="P8346" s="413"/>
      <c r="Q8346" s="413"/>
      <c r="R8346" s="413"/>
      <c r="S8346" s="413">
        <v>3.9902080783353722E-2</v>
      </c>
      <c r="T8346" s="413">
        <v>8.2374541003671961E-2</v>
      </c>
      <c r="U8346" s="413">
        <v>0.18935128518971844</v>
      </c>
      <c r="V8346" s="504">
        <v>0.3345777233782129</v>
      </c>
      <c r="W8346" s="504">
        <v>0.25403916768665846</v>
      </c>
      <c r="X8346" s="504">
        <v>6.5361077111383087E-2</v>
      </c>
      <c r="Y8346" s="504">
        <v>3.4394124847001217E-2</v>
      </c>
      <c r="Z8346" s="388">
        <v>13</v>
      </c>
      <c r="AA8346" s="388"/>
      <c r="AB8346" s="391"/>
      <c r="AC8346" s="392"/>
      <c r="AD8346" s="388">
        <f t="shared" si="64"/>
        <v>14.56944</v>
      </c>
      <c r="AE8346" s="388" t="s">
        <v>71</v>
      </c>
      <c r="AF8346" s="388"/>
      <c r="AG8346" s="436" t="s">
        <v>71</v>
      </c>
      <c r="AH8346" s="391"/>
      <c r="AI8346" s="397"/>
      <c r="AJ8346" s="397"/>
      <c r="AK8346" s="392"/>
      <c r="AL8346" s="392"/>
      <c r="AM8346" s="392"/>
      <c r="AN8346" s="392"/>
      <c r="AO8346" s="392"/>
      <c r="AP8346" s="392"/>
      <c r="AQ8346" s="392"/>
      <c r="AR8346" s="392"/>
      <c r="AS8346" s="392"/>
      <c r="AT8346" s="392"/>
      <c r="AU8346" s="397"/>
      <c r="AV8346" s="397"/>
      <c r="AW8346" s="397"/>
      <c r="AX8346" s="397"/>
      <c r="AY8346" s="392"/>
      <c r="AZ8346" s="392"/>
      <c r="BA8346" s="392"/>
      <c r="BB8346" s="392"/>
      <c r="BC8346" s="392"/>
      <c r="BD8346" s="392"/>
      <c r="BE8346" s="392"/>
      <c r="BF8346" s="392"/>
      <c r="BG8346" s="392"/>
      <c r="BH8346" s="392"/>
      <c r="BI8346" s="397"/>
      <c r="BJ8346" s="397"/>
      <c r="BK8346" s="397"/>
      <c r="BL8346" s="397"/>
      <c r="BM8346" s="397"/>
      <c r="BN8346" s="397"/>
      <c r="BO8346" s="397"/>
      <c r="BP8346" s="397"/>
      <c r="BQ8346" s="397"/>
      <c r="BR8346" s="397"/>
      <c r="BS8346" s="397"/>
      <c r="BT8346" s="397"/>
      <c r="BU8346" s="397"/>
      <c r="BV8346" s="397"/>
      <c r="BW8346" s="397"/>
      <c r="BX8346" s="397"/>
      <c r="BY8346" s="397"/>
      <c r="BZ8346" s="397"/>
      <c r="CA8346" s="392"/>
      <c r="CB8346" s="392"/>
    </row>
    <row r="8347" spans="1:80" ht="15" x14ac:dyDescent="0.25">
      <c r="A8347" s="385"/>
      <c r="B8347" s="392"/>
      <c r="C8347" s="392"/>
      <c r="D8347" s="700"/>
      <c r="E8347" s="397"/>
      <c r="F8347" s="392"/>
      <c r="G8347" s="392"/>
      <c r="H8347" s="401"/>
      <c r="I8347" s="165">
        <v>5</v>
      </c>
      <c r="J8347" s="165">
        <v>240</v>
      </c>
      <c r="K8347" s="165">
        <v>1</v>
      </c>
      <c r="L8347" s="628"/>
      <c r="M8347" s="628"/>
      <c r="N8347" s="388">
        <f>281.12*(0.028317)</f>
        <v>7.9604750399999995</v>
      </c>
      <c r="O8347" s="389">
        <v>1.3599099999999998E-2</v>
      </c>
      <c r="P8347" s="413"/>
      <c r="Q8347" s="413"/>
      <c r="R8347" s="413"/>
      <c r="S8347" s="413">
        <v>0.1245605812045934</v>
      </c>
      <c r="T8347" s="413">
        <v>0.27343566908835248</v>
      </c>
      <c r="U8347" s="413">
        <v>0.2648816498711038</v>
      </c>
      <c r="V8347" s="504">
        <v>0.21519803140379656</v>
      </c>
      <c r="W8347" s="504">
        <v>8.5950316381532693E-2</v>
      </c>
      <c r="X8347" s="504">
        <v>1.8924302788844622E-2</v>
      </c>
      <c r="Y8347" s="504">
        <v>1.7049449261776425E-2</v>
      </c>
      <c r="Z8347" s="388">
        <v>14</v>
      </c>
      <c r="AA8347" s="388"/>
      <c r="AB8347" s="391"/>
      <c r="AC8347" s="392"/>
      <c r="AD8347" s="388">
        <f t="shared" si="64"/>
        <v>14.56944</v>
      </c>
      <c r="AE8347" s="388"/>
      <c r="AF8347" s="388"/>
      <c r="AG8347" s="399"/>
      <c r="AH8347" s="391"/>
      <c r="AI8347" s="397"/>
      <c r="AJ8347" s="397"/>
      <c r="AK8347" s="392"/>
      <c r="AL8347" s="392"/>
      <c r="AM8347" s="392"/>
      <c r="AN8347" s="392"/>
      <c r="AO8347" s="392"/>
      <c r="AP8347" s="392"/>
      <c r="AQ8347" s="392"/>
      <c r="AR8347" s="392"/>
      <c r="AS8347" s="392"/>
      <c r="AT8347" s="392"/>
      <c r="AU8347" s="397"/>
      <c r="AV8347" s="397"/>
      <c r="AW8347" s="397"/>
      <c r="AX8347" s="397"/>
      <c r="AY8347" s="392"/>
      <c r="AZ8347" s="392"/>
      <c r="BA8347" s="392"/>
      <c r="BB8347" s="392"/>
      <c r="BC8347" s="392"/>
      <c r="BD8347" s="392"/>
      <c r="BE8347" s="392"/>
      <c r="BF8347" s="392"/>
      <c r="BG8347" s="392"/>
      <c r="BH8347" s="392"/>
      <c r="BI8347" s="397"/>
      <c r="BJ8347" s="397"/>
      <c r="BK8347" s="397"/>
      <c r="BL8347" s="397"/>
      <c r="BM8347" s="397"/>
      <c r="BN8347" s="397"/>
      <c r="BO8347" s="397"/>
      <c r="BP8347" s="397"/>
      <c r="BQ8347" s="397"/>
      <c r="BR8347" s="397"/>
      <c r="BS8347" s="397"/>
      <c r="BT8347" s="397"/>
      <c r="BU8347" s="397"/>
      <c r="BV8347" s="397"/>
      <c r="BW8347" s="397"/>
      <c r="BX8347" s="397"/>
      <c r="BY8347" s="397"/>
      <c r="BZ8347" s="397"/>
      <c r="CA8347" s="392"/>
      <c r="CB8347" s="392"/>
    </row>
    <row r="8348" spans="1:80" ht="15" x14ac:dyDescent="0.25">
      <c r="A8348" s="385"/>
      <c r="B8348" s="392"/>
      <c r="C8348" s="392"/>
      <c r="D8348" s="700"/>
      <c r="E8348" s="397"/>
      <c r="F8348" s="392"/>
      <c r="G8348" s="392"/>
      <c r="H8348" s="401"/>
      <c r="I8348" s="165">
        <v>5</v>
      </c>
      <c r="J8348" s="165">
        <v>240</v>
      </c>
      <c r="K8348" s="165">
        <v>1</v>
      </c>
      <c r="L8348" s="628"/>
      <c r="M8348" s="628"/>
      <c r="N8348" s="388">
        <f>266.41*(0.028317)</f>
        <v>7.54393197</v>
      </c>
      <c r="O8348" s="389">
        <v>1.4339999999999999E-3</v>
      </c>
      <c r="P8348" s="413"/>
      <c r="Q8348" s="413"/>
      <c r="R8348" s="413"/>
      <c r="S8348" s="413"/>
      <c r="T8348" s="413">
        <v>8.4491384102279049E-2</v>
      </c>
      <c r="U8348" s="413">
        <v>0.13007226236798222</v>
      </c>
      <c r="V8348" s="504">
        <v>0.19232907170650362</v>
      </c>
      <c r="W8348" s="504">
        <v>0.31517509727626464</v>
      </c>
      <c r="X8348" s="504">
        <v>9.8387993329627582E-2</v>
      </c>
      <c r="Y8348" s="504">
        <v>0.179544191217343</v>
      </c>
      <c r="Z8348" s="388">
        <v>7</v>
      </c>
      <c r="AA8348" s="388"/>
      <c r="AB8348" s="391"/>
      <c r="AC8348" s="392"/>
      <c r="AD8348" s="388">
        <f t="shared" si="64"/>
        <v>14.56944</v>
      </c>
      <c r="AE8348" s="388">
        <f>1.60774058577406*(0.3048)</f>
        <v>0.49003933054393356</v>
      </c>
      <c r="AF8348" s="388"/>
      <c r="AG8348" s="388">
        <f>3.4666649316851*(0.3048)</f>
        <v>1.0566394711776186</v>
      </c>
      <c r="AH8348" s="391"/>
      <c r="AI8348" s="397"/>
      <c r="AJ8348" s="397"/>
      <c r="AK8348" s="392"/>
      <c r="AL8348" s="392"/>
      <c r="AM8348" s="392"/>
      <c r="AN8348" s="392"/>
      <c r="AO8348" s="392"/>
      <c r="AP8348" s="392"/>
      <c r="AQ8348" s="392"/>
      <c r="AR8348" s="392"/>
      <c r="AS8348" s="392"/>
      <c r="AT8348" s="392"/>
      <c r="AU8348" s="397"/>
      <c r="AV8348" s="397"/>
      <c r="AW8348" s="397"/>
      <c r="AX8348" s="397"/>
      <c r="AY8348" s="392"/>
      <c r="AZ8348" s="392"/>
      <c r="BA8348" s="392"/>
      <c r="BB8348" s="392"/>
      <c r="BC8348" s="392"/>
      <c r="BD8348" s="392"/>
      <c r="BE8348" s="392"/>
      <c r="BF8348" s="392"/>
      <c r="BG8348" s="392"/>
      <c r="BH8348" s="392"/>
      <c r="BI8348" s="397"/>
      <c r="BJ8348" s="397"/>
      <c r="BK8348" s="397"/>
      <c r="BL8348" s="397"/>
      <c r="BM8348" s="397"/>
      <c r="BN8348" s="397"/>
      <c r="BO8348" s="397"/>
      <c r="BP8348" s="397"/>
      <c r="BQ8348" s="397"/>
      <c r="BR8348" s="397"/>
      <c r="BS8348" s="397"/>
      <c r="BT8348" s="397"/>
      <c r="BU8348" s="397"/>
      <c r="BV8348" s="397"/>
      <c r="BW8348" s="397"/>
      <c r="BX8348" s="397"/>
      <c r="BY8348" s="397"/>
      <c r="BZ8348" s="397"/>
      <c r="CA8348" s="392"/>
      <c r="CB8348" s="392"/>
    </row>
    <row r="8349" spans="1:80" ht="15" x14ac:dyDescent="0.25">
      <c r="A8349" s="385"/>
      <c r="B8349" s="392"/>
      <c r="C8349" s="392"/>
      <c r="D8349" s="700"/>
      <c r="E8349" s="397"/>
      <c r="F8349" s="392"/>
      <c r="G8349" s="392"/>
      <c r="H8349" s="401"/>
      <c r="I8349" s="165">
        <v>5</v>
      </c>
      <c r="J8349" s="165">
        <v>240</v>
      </c>
      <c r="K8349" s="165">
        <v>1</v>
      </c>
      <c r="L8349" s="628"/>
      <c r="M8349" s="628"/>
      <c r="N8349" s="388">
        <f>258.51*(0.028317)</f>
        <v>7.3202276699999995</v>
      </c>
      <c r="O8349" s="389">
        <v>3.107E-3</v>
      </c>
      <c r="P8349" s="413"/>
      <c r="Q8349" s="413"/>
      <c r="R8349" s="413">
        <v>0.20071776467572419</v>
      </c>
      <c r="S8349" s="413">
        <v>4.0502435273006926E-2</v>
      </c>
      <c r="T8349" s="413">
        <v>9.1258651627787749E-2</v>
      </c>
      <c r="U8349" s="413">
        <v>0.15816457318636248</v>
      </c>
      <c r="V8349" s="504">
        <v>0.23455524224557808</v>
      </c>
      <c r="W8349" s="504">
        <v>0.1702127659574468</v>
      </c>
      <c r="X8349" s="504">
        <v>4.3065880543450397E-2</v>
      </c>
      <c r="Y8349" s="504">
        <v>6.1522686490643429E-2</v>
      </c>
      <c r="Z8349" s="388">
        <v>19</v>
      </c>
      <c r="AA8349" s="388"/>
      <c r="AB8349" s="391"/>
      <c r="AC8349" s="392"/>
      <c r="AD8349" s="388">
        <f t="shared" si="64"/>
        <v>14.56944</v>
      </c>
      <c r="AE8349" s="388"/>
      <c r="AF8349" s="388"/>
      <c r="AG8349" s="435"/>
      <c r="AH8349" s="391"/>
      <c r="AI8349" s="397"/>
      <c r="AJ8349" s="397"/>
      <c r="AK8349" s="392"/>
      <c r="AL8349" s="392"/>
      <c r="AM8349" s="392"/>
      <c r="AN8349" s="392"/>
      <c r="AO8349" s="392"/>
      <c r="AP8349" s="392"/>
      <c r="AQ8349" s="392"/>
      <c r="AR8349" s="392"/>
      <c r="AS8349" s="392"/>
      <c r="AT8349" s="392"/>
      <c r="AU8349" s="397"/>
      <c r="AV8349" s="397"/>
      <c r="AW8349" s="397"/>
      <c r="AX8349" s="397"/>
      <c r="AY8349" s="392"/>
      <c r="AZ8349" s="392"/>
      <c r="BA8349" s="392"/>
      <c r="BB8349" s="392"/>
      <c r="BC8349" s="392"/>
      <c r="BD8349" s="392"/>
      <c r="BE8349" s="392"/>
      <c r="BF8349" s="392"/>
      <c r="BG8349" s="392"/>
      <c r="BH8349" s="392"/>
      <c r="BI8349" s="397"/>
      <c r="BJ8349" s="397"/>
      <c r="BK8349" s="397"/>
      <c r="BL8349" s="397"/>
      <c r="BM8349" s="397"/>
      <c r="BN8349" s="397"/>
      <c r="BO8349" s="397"/>
      <c r="BP8349" s="397"/>
      <c r="BQ8349" s="397"/>
      <c r="BR8349" s="397"/>
      <c r="BS8349" s="397"/>
      <c r="BT8349" s="397"/>
      <c r="BU8349" s="397"/>
      <c r="BV8349" s="397"/>
      <c r="BW8349" s="397"/>
      <c r="BX8349" s="397"/>
      <c r="BY8349" s="397"/>
      <c r="BZ8349" s="397"/>
      <c r="CA8349" s="392"/>
      <c r="CB8349" s="392"/>
    </row>
    <row r="8350" spans="1:80" ht="15" x14ac:dyDescent="0.25">
      <c r="A8350" s="385"/>
      <c r="B8350" s="392"/>
      <c r="C8350" s="392"/>
      <c r="D8350" s="700"/>
      <c r="E8350" s="397"/>
      <c r="F8350" s="392"/>
      <c r="G8350" s="392"/>
      <c r="H8350" s="401"/>
      <c r="I8350" s="165">
        <v>5</v>
      </c>
      <c r="J8350" s="165">
        <v>240</v>
      </c>
      <c r="K8350" s="165">
        <v>1</v>
      </c>
      <c r="L8350" s="628"/>
      <c r="M8350" s="628"/>
      <c r="N8350" s="388">
        <f>342.58*(0.028317)</f>
        <v>9.7008378599999983</v>
      </c>
      <c r="O8350" s="389">
        <v>2.7716033333333331E-2</v>
      </c>
      <c r="P8350" s="413"/>
      <c r="Q8350" s="413"/>
      <c r="R8350" s="413"/>
      <c r="S8350" s="413">
        <v>0.13943661971830987</v>
      </c>
      <c r="T8350" s="413">
        <v>0.15714285714285717</v>
      </c>
      <c r="U8350" s="413">
        <v>0.21980454153492385</v>
      </c>
      <c r="V8350" s="504">
        <v>0.23038229376257549</v>
      </c>
      <c r="W8350" s="504">
        <v>0.16050589249784422</v>
      </c>
      <c r="X8350" s="504">
        <v>4.9611957459039964E-2</v>
      </c>
      <c r="Y8350" s="504">
        <v>4.3115837884449559E-2</v>
      </c>
      <c r="Z8350" s="388">
        <v>16</v>
      </c>
      <c r="AA8350" s="388"/>
      <c r="AB8350" s="391"/>
      <c r="AC8350" s="392"/>
      <c r="AD8350" s="388">
        <f t="shared" si="64"/>
        <v>14.56944</v>
      </c>
      <c r="AE8350" s="388">
        <f>1.85083682008368*(0.3048)</f>
        <v>0.56413506276150571</v>
      </c>
      <c r="AF8350" s="388"/>
      <c r="AG8350" s="388">
        <f>3.87224143777552*(0.3048)</f>
        <v>1.1802591902339785</v>
      </c>
      <c r="AH8350" s="391"/>
      <c r="AI8350" s="397"/>
      <c r="AJ8350" s="397"/>
      <c r="AK8350" s="392"/>
      <c r="AL8350" s="392"/>
      <c r="AM8350" s="392"/>
      <c r="AN8350" s="392"/>
      <c r="AO8350" s="392"/>
      <c r="AP8350" s="392"/>
      <c r="AQ8350" s="392"/>
      <c r="AR8350" s="392"/>
      <c r="AS8350" s="392"/>
      <c r="AT8350" s="392"/>
      <c r="AU8350" s="397"/>
      <c r="AV8350" s="397"/>
      <c r="AW8350" s="397"/>
      <c r="AX8350" s="397"/>
      <c r="AY8350" s="392"/>
      <c r="AZ8350" s="392"/>
      <c r="BA8350" s="392"/>
      <c r="BB8350" s="392"/>
      <c r="BC8350" s="392"/>
      <c r="BD8350" s="392"/>
      <c r="BE8350" s="392"/>
      <c r="BF8350" s="392"/>
      <c r="BG8350" s="392"/>
      <c r="BH8350" s="392"/>
      <c r="BI8350" s="397"/>
      <c r="BJ8350" s="397"/>
      <c r="BK8350" s="397"/>
      <c r="BL8350" s="397"/>
      <c r="BM8350" s="397"/>
      <c r="BN8350" s="397"/>
      <c r="BO8350" s="397"/>
      <c r="BP8350" s="397"/>
      <c r="BQ8350" s="397"/>
      <c r="BR8350" s="397"/>
      <c r="BS8350" s="397"/>
      <c r="BT8350" s="397"/>
      <c r="BU8350" s="397"/>
      <c r="BV8350" s="397"/>
      <c r="BW8350" s="397"/>
      <c r="BX8350" s="397"/>
      <c r="BY8350" s="397"/>
      <c r="BZ8350" s="397"/>
      <c r="CA8350" s="392"/>
      <c r="CB8350" s="392"/>
    </row>
    <row r="8351" spans="1:80" ht="15" x14ac:dyDescent="0.25">
      <c r="A8351" s="385"/>
      <c r="B8351" s="392"/>
      <c r="C8351" s="392"/>
      <c r="D8351" s="700"/>
      <c r="E8351" s="397"/>
      <c r="F8351" s="392"/>
      <c r="G8351" s="392"/>
      <c r="H8351" s="401"/>
      <c r="I8351" s="165">
        <v>5</v>
      </c>
      <c r="J8351" s="165">
        <v>240</v>
      </c>
      <c r="K8351" s="165">
        <v>1</v>
      </c>
      <c r="L8351" s="628"/>
      <c r="M8351" s="628"/>
      <c r="N8351" s="388">
        <f>279.46*(0.028317)</f>
        <v>7.9134688199999994</v>
      </c>
      <c r="O8351" s="389">
        <v>3.3619333333333337E-3</v>
      </c>
      <c r="P8351" s="413"/>
      <c r="Q8351" s="413"/>
      <c r="R8351" s="413"/>
      <c r="S8351" s="413">
        <v>3.5324798482693216E-2</v>
      </c>
      <c r="T8351" s="413">
        <v>0.19535324798482689</v>
      </c>
      <c r="U8351" s="413">
        <v>0.22996680891417728</v>
      </c>
      <c r="V8351" s="504">
        <v>0.21716453295400662</v>
      </c>
      <c r="W8351" s="504">
        <v>0.16050260787102888</v>
      </c>
      <c r="X8351" s="504">
        <v>5.8321479374110946E-2</v>
      </c>
      <c r="Y8351" s="504">
        <v>0.10336652441915599</v>
      </c>
      <c r="Z8351" s="388">
        <v>12</v>
      </c>
      <c r="AA8351" s="388"/>
      <c r="AB8351" s="391"/>
      <c r="AC8351" s="392"/>
      <c r="AD8351" s="388">
        <f t="shared" si="64"/>
        <v>14.56944</v>
      </c>
      <c r="AE8351" s="388"/>
      <c r="AF8351" s="388"/>
      <c r="AG8351" s="435"/>
      <c r="AH8351" s="391"/>
      <c r="AI8351" s="397"/>
      <c r="AJ8351" s="397"/>
      <c r="AK8351" s="392"/>
      <c r="AL8351" s="392"/>
      <c r="AM8351" s="392"/>
      <c r="AN8351" s="392"/>
      <c r="AO8351" s="392"/>
      <c r="AP8351" s="392"/>
      <c r="AQ8351" s="392"/>
      <c r="AR8351" s="392"/>
      <c r="AS8351" s="392"/>
      <c r="AT8351" s="392"/>
      <c r="AU8351" s="397"/>
      <c r="AV8351" s="397"/>
      <c r="AW8351" s="397"/>
      <c r="AX8351" s="397"/>
      <c r="AY8351" s="392"/>
      <c r="AZ8351" s="392"/>
      <c r="BA8351" s="392"/>
      <c r="BB8351" s="392"/>
      <c r="BC8351" s="392"/>
      <c r="BD8351" s="392"/>
      <c r="BE8351" s="392"/>
      <c r="BF8351" s="392"/>
      <c r="BG8351" s="392"/>
      <c r="BH8351" s="392"/>
      <c r="BI8351" s="397"/>
      <c r="BJ8351" s="397"/>
      <c r="BK8351" s="397"/>
      <c r="BL8351" s="397"/>
      <c r="BM8351" s="397"/>
      <c r="BN8351" s="397"/>
      <c r="BO8351" s="397"/>
      <c r="BP8351" s="397"/>
      <c r="BQ8351" s="397"/>
      <c r="BR8351" s="397"/>
      <c r="BS8351" s="397"/>
      <c r="BT8351" s="397"/>
      <c r="BU8351" s="397"/>
      <c r="BV8351" s="397"/>
      <c r="BW8351" s="397"/>
      <c r="BX8351" s="397"/>
      <c r="BY8351" s="397"/>
      <c r="BZ8351" s="397"/>
      <c r="CA8351" s="392"/>
      <c r="CB8351" s="392"/>
    </row>
    <row r="8352" spans="1:80" ht="15" x14ac:dyDescent="0.25">
      <c r="A8352" s="385"/>
      <c r="B8352" s="392"/>
      <c r="C8352" s="392"/>
      <c r="D8352" s="700"/>
      <c r="E8352" s="397"/>
      <c r="F8352" s="392"/>
      <c r="G8352" s="392"/>
      <c r="H8352" s="401"/>
      <c r="I8352" s="165">
        <v>5</v>
      </c>
      <c r="J8352" s="165">
        <v>240</v>
      </c>
      <c r="K8352" s="165">
        <v>1</v>
      </c>
      <c r="L8352" s="628"/>
      <c r="M8352" s="628"/>
      <c r="N8352" s="388">
        <f>299.88*(0.028317)</f>
        <v>8.4917019599999986</v>
      </c>
      <c r="O8352" s="389">
        <v>3.05203E-2</v>
      </c>
      <c r="P8352" s="413"/>
      <c r="Q8352" s="413">
        <v>0.83415563735087572</v>
      </c>
      <c r="R8352" s="413"/>
      <c r="S8352" s="413">
        <v>1.0520270446654658E-2</v>
      </c>
      <c r="T8352" s="413">
        <v>3.9496697731485106E-2</v>
      </c>
      <c r="U8352" s="413">
        <v>3.419740517398908E-2</v>
      </c>
      <c r="V8352" s="504">
        <v>4.2864228469992431E-2</v>
      </c>
      <c r="W8352" s="504">
        <v>2.8976427284830443E-2</v>
      </c>
      <c r="X8352" s="504">
        <v>6.86558592424361E-3</v>
      </c>
      <c r="Y8352" s="504">
        <v>2.9237476179288379E-3</v>
      </c>
      <c r="Z8352" s="388">
        <v>53</v>
      </c>
      <c r="AA8352" s="388"/>
      <c r="AB8352" s="391"/>
      <c r="AC8352" s="392"/>
      <c r="AD8352" s="388">
        <f t="shared" si="64"/>
        <v>14.56944</v>
      </c>
      <c r="AE8352" s="388">
        <f>1.73901673640167*(0.3048)</f>
        <v>0.53005230125522906</v>
      </c>
      <c r="AF8352" s="388"/>
      <c r="AG8352" s="388">
        <f>3.60752481203008*(0.3048)</f>
        <v>1.0995735627067684</v>
      </c>
      <c r="AH8352" s="391"/>
      <c r="AI8352" s="397"/>
      <c r="AJ8352" s="397"/>
      <c r="AK8352" s="392"/>
      <c r="AL8352" s="392"/>
      <c r="AM8352" s="392"/>
      <c r="AN8352" s="392"/>
      <c r="AO8352" s="392"/>
      <c r="AP8352" s="392"/>
      <c r="AQ8352" s="392"/>
      <c r="AR8352" s="392"/>
      <c r="AS8352" s="392"/>
      <c r="AT8352" s="392"/>
      <c r="AU8352" s="397"/>
      <c r="AV8352" s="397"/>
      <c r="AW8352" s="397"/>
      <c r="AX8352" s="397"/>
      <c r="AY8352" s="392"/>
      <c r="AZ8352" s="392"/>
      <c r="BA8352" s="392"/>
      <c r="BB8352" s="392"/>
      <c r="BC8352" s="392"/>
      <c r="BD8352" s="392"/>
      <c r="BE8352" s="392"/>
      <c r="BF8352" s="392"/>
      <c r="BG8352" s="392"/>
      <c r="BH8352" s="392"/>
      <c r="BI8352" s="397"/>
      <c r="BJ8352" s="397"/>
      <c r="BK8352" s="397"/>
      <c r="BL8352" s="397"/>
      <c r="BM8352" s="397"/>
      <c r="BN8352" s="397"/>
      <c r="BO8352" s="397"/>
      <c r="BP8352" s="397"/>
      <c r="BQ8352" s="397"/>
      <c r="BR8352" s="397"/>
      <c r="BS8352" s="397"/>
      <c r="BT8352" s="397"/>
      <c r="BU8352" s="397"/>
      <c r="BV8352" s="397"/>
      <c r="BW8352" s="397"/>
      <c r="BX8352" s="397"/>
      <c r="BY8352" s="397"/>
      <c r="BZ8352" s="397"/>
      <c r="CA8352" s="392"/>
      <c r="CB8352" s="392"/>
    </row>
    <row r="8353" spans="1:80" ht="15" x14ac:dyDescent="0.25">
      <c r="A8353" s="385"/>
      <c r="B8353" s="392"/>
      <c r="C8353" s="392"/>
      <c r="D8353" s="700"/>
      <c r="E8353" s="397"/>
      <c r="F8353" s="392"/>
      <c r="G8353" s="392"/>
      <c r="H8353" s="401"/>
      <c r="I8353" s="165">
        <v>5</v>
      </c>
      <c r="J8353" s="165">
        <v>240</v>
      </c>
      <c r="K8353" s="165">
        <v>1</v>
      </c>
      <c r="L8353" s="628"/>
      <c r="M8353" s="628"/>
      <c r="N8353" s="388">
        <f>239.22*(0.028317)</f>
        <v>6.7739927399999997</v>
      </c>
      <c r="O8353" s="389">
        <v>1.2985666666666667E-3</v>
      </c>
      <c r="P8353" s="413"/>
      <c r="Q8353" s="413"/>
      <c r="R8353" s="413"/>
      <c r="S8353" s="413"/>
      <c r="T8353" s="413">
        <v>0.10220318237454097</v>
      </c>
      <c r="U8353" s="413">
        <v>0.28396572827417371</v>
      </c>
      <c r="V8353" s="504">
        <v>0.25397796817625456</v>
      </c>
      <c r="W8353" s="504">
        <v>0.20134638922888612</v>
      </c>
      <c r="X8353" s="504">
        <v>3.3659730722154217E-2</v>
      </c>
      <c r="Y8353" s="504">
        <v>0.12484700122399019</v>
      </c>
      <c r="Z8353" s="388">
        <v>6</v>
      </c>
      <c r="AA8353" s="388"/>
      <c r="AB8353" s="391"/>
      <c r="AC8353" s="392"/>
      <c r="AD8353" s="388">
        <f t="shared" si="64"/>
        <v>14.56944</v>
      </c>
      <c r="AE8353" s="388">
        <f>1.50753138075314*(0.3048)</f>
        <v>0.45949556485355714</v>
      </c>
      <c r="AF8353" s="388"/>
      <c r="AG8353" s="388">
        <f>3.31978767693589*(0.3048)</f>
        <v>1.0118712839300592</v>
      </c>
      <c r="AH8353" s="391"/>
      <c r="AI8353" s="397"/>
      <c r="AJ8353" s="397"/>
      <c r="AK8353" s="392"/>
      <c r="AL8353" s="392"/>
      <c r="AM8353" s="392"/>
      <c r="AN8353" s="392"/>
      <c r="AO8353" s="392"/>
      <c r="AP8353" s="392"/>
      <c r="AQ8353" s="392"/>
      <c r="AR8353" s="392"/>
      <c r="AS8353" s="392"/>
      <c r="AT8353" s="392"/>
      <c r="AU8353" s="397"/>
      <c r="AV8353" s="397"/>
      <c r="AW8353" s="397"/>
      <c r="AX8353" s="397"/>
      <c r="AY8353" s="392"/>
      <c r="AZ8353" s="392"/>
      <c r="BA8353" s="392"/>
      <c r="BB8353" s="392"/>
      <c r="BC8353" s="392"/>
      <c r="BD8353" s="392"/>
      <c r="BE8353" s="392"/>
      <c r="BF8353" s="392"/>
      <c r="BG8353" s="392"/>
      <c r="BH8353" s="392"/>
      <c r="BI8353" s="397"/>
      <c r="BJ8353" s="397"/>
      <c r="BK8353" s="397"/>
      <c r="BL8353" s="397"/>
      <c r="BM8353" s="397"/>
      <c r="BN8353" s="397"/>
      <c r="BO8353" s="397"/>
      <c r="BP8353" s="397"/>
      <c r="BQ8353" s="397"/>
      <c r="BR8353" s="397"/>
      <c r="BS8353" s="397"/>
      <c r="BT8353" s="397"/>
      <c r="BU8353" s="397"/>
      <c r="BV8353" s="397"/>
      <c r="BW8353" s="397"/>
      <c r="BX8353" s="397"/>
      <c r="BY8353" s="397"/>
      <c r="BZ8353" s="397"/>
      <c r="CA8353" s="392"/>
      <c r="CB8353" s="392"/>
    </row>
    <row r="8354" spans="1:80" ht="15" x14ac:dyDescent="0.25">
      <c r="A8354" s="385"/>
      <c r="B8354" s="392"/>
      <c r="C8354" s="392"/>
      <c r="D8354" s="700"/>
      <c r="E8354" s="397"/>
      <c r="F8354" s="392"/>
      <c r="G8354" s="392"/>
      <c r="H8354" s="401"/>
      <c r="I8354" s="165">
        <v>5</v>
      </c>
      <c r="J8354" s="165">
        <v>240</v>
      </c>
      <c r="K8354" s="165">
        <v>1</v>
      </c>
      <c r="L8354" s="628"/>
      <c r="M8354" s="628"/>
      <c r="N8354" s="388">
        <f>210.6*(0.028317)</f>
        <v>5.9635601999999999</v>
      </c>
      <c r="O8354" s="389">
        <v>1.8323333333333331E-4</v>
      </c>
      <c r="P8354" s="413"/>
      <c r="Q8354" s="413"/>
      <c r="R8354" s="413"/>
      <c r="S8354" s="413"/>
      <c r="T8354" s="413">
        <v>4.2735042735042743E-2</v>
      </c>
      <c r="U8354" s="413">
        <v>8.11965811965812E-2</v>
      </c>
      <c r="V8354" s="504">
        <v>1.7094017094017096E-2</v>
      </c>
      <c r="W8354" s="504">
        <v>0.44444444444444448</v>
      </c>
      <c r="X8354" s="504">
        <v>0.33333333333333337</v>
      </c>
      <c r="Y8354" s="504">
        <v>8.11965811965812E-2</v>
      </c>
      <c r="Z8354" s="388">
        <v>4</v>
      </c>
      <c r="AA8354" s="388"/>
      <c r="AB8354" s="391"/>
      <c r="AC8354" s="392"/>
      <c r="AD8354" s="388">
        <f t="shared" si="64"/>
        <v>14.56944</v>
      </c>
      <c r="AE8354" s="388">
        <f>1.37751046025105*(0.3048)</f>
        <v>0.41986518828452002</v>
      </c>
      <c r="AF8354" s="388"/>
      <c r="AG8354" s="388">
        <f>3.19841142076088*(0.3048)</f>
        <v>0.97487580104791627</v>
      </c>
      <c r="AH8354" s="391"/>
      <c r="AI8354" s="397"/>
      <c r="AJ8354" s="397"/>
      <c r="AK8354" s="392"/>
      <c r="AL8354" s="392"/>
      <c r="AM8354" s="392"/>
      <c r="AN8354" s="392"/>
      <c r="AO8354" s="392"/>
      <c r="AP8354" s="392"/>
      <c r="AQ8354" s="392"/>
      <c r="AR8354" s="392"/>
      <c r="AS8354" s="392"/>
      <c r="AT8354" s="392"/>
      <c r="AU8354" s="397"/>
      <c r="AV8354" s="397"/>
      <c r="AW8354" s="397"/>
      <c r="AX8354" s="397"/>
      <c r="AY8354" s="392"/>
      <c r="AZ8354" s="392"/>
      <c r="BA8354" s="392"/>
      <c r="BB8354" s="392"/>
      <c r="BC8354" s="392"/>
      <c r="BD8354" s="392"/>
      <c r="BE8354" s="392"/>
      <c r="BF8354" s="392"/>
      <c r="BG8354" s="392"/>
      <c r="BH8354" s="392"/>
      <c r="BI8354" s="397"/>
      <c r="BJ8354" s="397"/>
      <c r="BK8354" s="397"/>
      <c r="BL8354" s="397"/>
      <c r="BM8354" s="397"/>
      <c r="BN8354" s="397"/>
      <c r="BO8354" s="397"/>
      <c r="BP8354" s="397"/>
      <c r="BQ8354" s="397"/>
      <c r="BR8354" s="397"/>
      <c r="BS8354" s="397"/>
      <c r="BT8354" s="397"/>
      <c r="BU8354" s="397"/>
      <c r="BV8354" s="397"/>
      <c r="BW8354" s="397"/>
      <c r="BX8354" s="397"/>
      <c r="BY8354" s="397"/>
      <c r="BZ8354" s="397"/>
      <c r="CA8354" s="392"/>
      <c r="CB8354" s="392"/>
    </row>
    <row r="8355" spans="1:80" ht="15" x14ac:dyDescent="0.25">
      <c r="A8355" s="385"/>
      <c r="B8355" s="392"/>
      <c r="C8355" s="392"/>
      <c r="D8355" s="700"/>
      <c r="E8355" s="397"/>
      <c r="F8355" s="392"/>
      <c r="G8355" s="392"/>
      <c r="H8355" s="401"/>
      <c r="I8355" s="165">
        <v>5</v>
      </c>
      <c r="J8355" s="165">
        <v>240</v>
      </c>
      <c r="K8355" s="165">
        <v>1</v>
      </c>
      <c r="L8355" s="628"/>
      <c r="M8355" s="628"/>
      <c r="N8355" s="388">
        <f>212.53*(0.028317)</f>
        <v>6.0182120100000001</v>
      </c>
      <c r="O8355" s="389">
        <v>6.9309999999999988E-4</v>
      </c>
      <c r="P8355" s="413"/>
      <c r="Q8355" s="413"/>
      <c r="R8355" s="413"/>
      <c r="S8355" s="413"/>
      <c r="T8355" s="413">
        <v>7.7277970011534025E-2</v>
      </c>
      <c r="U8355" s="413">
        <v>5.3056516724336797E-2</v>
      </c>
      <c r="V8355" s="504">
        <v>0.24106113033448673</v>
      </c>
      <c r="W8355" s="504">
        <v>0.35870818915801611</v>
      </c>
      <c r="X8355" s="504">
        <v>0.13379469434832755</v>
      </c>
      <c r="Y8355" s="504">
        <v>0.13610149942329872</v>
      </c>
      <c r="Z8355" s="388">
        <v>7</v>
      </c>
      <c r="AA8355" s="388"/>
      <c r="AB8355" s="391"/>
      <c r="AC8355" s="392"/>
      <c r="AD8355" s="388">
        <f t="shared" si="64"/>
        <v>14.56944</v>
      </c>
      <c r="AE8355" s="388">
        <f>1.43096234309623*(0.3048)</f>
        <v>0.43615732217573089</v>
      </c>
      <c r="AF8355" s="388"/>
      <c r="AG8355" s="388">
        <f>3.10722807017544*(0.3048)</f>
        <v>0.94708311578947413</v>
      </c>
      <c r="AH8355" s="391"/>
      <c r="AI8355" s="397"/>
      <c r="AJ8355" s="397"/>
      <c r="AK8355" s="392"/>
      <c r="AL8355" s="392"/>
      <c r="AM8355" s="392"/>
      <c r="AN8355" s="392"/>
      <c r="AO8355" s="392"/>
      <c r="AP8355" s="392"/>
      <c r="AQ8355" s="392"/>
      <c r="AR8355" s="392"/>
      <c r="AS8355" s="392"/>
      <c r="AT8355" s="392"/>
      <c r="AU8355" s="397"/>
      <c r="AV8355" s="397"/>
      <c r="AW8355" s="397"/>
      <c r="AX8355" s="397"/>
      <c r="AY8355" s="392"/>
      <c r="AZ8355" s="392"/>
      <c r="BA8355" s="392"/>
      <c r="BB8355" s="392"/>
      <c r="BC8355" s="392"/>
      <c r="BD8355" s="392"/>
      <c r="BE8355" s="392"/>
      <c r="BF8355" s="392"/>
      <c r="BG8355" s="392"/>
      <c r="BH8355" s="392"/>
      <c r="BI8355" s="397"/>
      <c r="BJ8355" s="397"/>
      <c r="BK8355" s="397"/>
      <c r="BL8355" s="397"/>
      <c r="BM8355" s="397"/>
      <c r="BN8355" s="397"/>
      <c r="BO8355" s="397"/>
      <c r="BP8355" s="397"/>
      <c r="BQ8355" s="397"/>
      <c r="BR8355" s="397"/>
      <c r="BS8355" s="397"/>
      <c r="BT8355" s="397"/>
      <c r="BU8355" s="397"/>
      <c r="BV8355" s="397"/>
      <c r="BW8355" s="397"/>
      <c r="BX8355" s="397"/>
      <c r="BY8355" s="397"/>
      <c r="BZ8355" s="397"/>
      <c r="CA8355" s="392"/>
      <c r="CB8355" s="392"/>
    </row>
    <row r="8356" spans="1:80" ht="15" x14ac:dyDescent="0.25">
      <c r="A8356" s="385"/>
      <c r="B8356" s="392"/>
      <c r="C8356" s="392"/>
      <c r="D8356" s="700"/>
      <c r="E8356" s="397"/>
      <c r="F8356" s="392"/>
      <c r="G8356" s="392"/>
      <c r="H8356" s="401"/>
      <c r="I8356" s="165">
        <v>5</v>
      </c>
      <c r="J8356" s="165">
        <v>240</v>
      </c>
      <c r="K8356" s="165">
        <v>1</v>
      </c>
      <c r="L8356" s="628"/>
      <c r="M8356" s="628"/>
      <c r="N8356" s="388">
        <f>195.53*(0.028317)</f>
        <v>5.53682301</v>
      </c>
      <c r="O8356" s="389">
        <v>5.0986666666666674E-4</v>
      </c>
      <c r="P8356" s="413"/>
      <c r="Q8356" s="413"/>
      <c r="R8356" s="413"/>
      <c r="S8356" s="413"/>
      <c r="T8356" s="413"/>
      <c r="U8356" s="413">
        <v>6.6770186335403728E-2</v>
      </c>
      <c r="V8356" s="504">
        <v>0.28105590062111802</v>
      </c>
      <c r="W8356" s="504">
        <v>0.35559006211180127</v>
      </c>
      <c r="X8356" s="504">
        <v>0.14285714285714288</v>
      </c>
      <c r="Y8356" s="504">
        <v>0.15372670807453417</v>
      </c>
      <c r="Z8356" s="388">
        <v>2</v>
      </c>
      <c r="AA8356" s="388"/>
      <c r="AB8356" s="391"/>
      <c r="AC8356" s="392"/>
      <c r="AD8356" s="388">
        <f t="shared" si="64"/>
        <v>14.56944</v>
      </c>
      <c r="AE8356" s="388">
        <f>1.42803347280335*(0.3048)</f>
        <v>0.43526460251046106</v>
      </c>
      <c r="AF8356" s="388"/>
      <c r="AG8356" s="388">
        <f>2.86448578962789*(0.3048)</f>
        <v>0.87309526867858089</v>
      </c>
      <c r="AH8356" s="391"/>
      <c r="AI8356" s="397"/>
      <c r="AJ8356" s="397"/>
      <c r="AK8356" s="392"/>
      <c r="AL8356" s="392"/>
      <c r="AM8356" s="392"/>
      <c r="AN8356" s="392"/>
      <c r="AO8356" s="392"/>
      <c r="AP8356" s="392"/>
      <c r="AQ8356" s="392"/>
      <c r="AR8356" s="392"/>
      <c r="AS8356" s="392"/>
      <c r="AT8356" s="392"/>
      <c r="AU8356" s="397"/>
      <c r="AV8356" s="397"/>
      <c r="AW8356" s="397"/>
      <c r="AX8356" s="397"/>
      <c r="AY8356" s="392"/>
      <c r="AZ8356" s="392"/>
      <c r="BA8356" s="392"/>
      <c r="BB8356" s="392"/>
      <c r="BC8356" s="392"/>
      <c r="BD8356" s="392"/>
      <c r="BE8356" s="392"/>
      <c r="BF8356" s="392"/>
      <c r="BG8356" s="392"/>
      <c r="BH8356" s="392"/>
      <c r="BI8356" s="397"/>
      <c r="BJ8356" s="397"/>
      <c r="BK8356" s="397"/>
      <c r="BL8356" s="397"/>
      <c r="BM8356" s="397"/>
      <c r="BN8356" s="397"/>
      <c r="BO8356" s="397"/>
      <c r="BP8356" s="397"/>
      <c r="BQ8356" s="397"/>
      <c r="BR8356" s="397"/>
      <c r="BS8356" s="397"/>
      <c r="BT8356" s="397"/>
      <c r="BU8356" s="397"/>
      <c r="BV8356" s="397"/>
      <c r="BW8356" s="397"/>
      <c r="BX8356" s="397"/>
      <c r="BY8356" s="397"/>
      <c r="BZ8356" s="397"/>
      <c r="CA8356" s="392"/>
      <c r="CB8356" s="392"/>
    </row>
    <row r="8357" spans="1:80" ht="15" x14ac:dyDescent="0.25">
      <c r="A8357" s="385"/>
      <c r="B8357" s="392"/>
      <c r="C8357" s="392"/>
      <c r="D8357" s="700"/>
      <c r="E8357" s="397"/>
      <c r="F8357" s="392"/>
      <c r="G8357" s="392"/>
      <c r="H8357" s="401"/>
      <c r="I8357" s="165">
        <v>5</v>
      </c>
      <c r="J8357" s="165">
        <v>240</v>
      </c>
      <c r="K8357" s="165">
        <v>1</v>
      </c>
      <c r="L8357" s="628"/>
      <c r="M8357" s="628"/>
      <c r="N8357" s="388">
        <f>169.56*(0.028317)</f>
        <v>4.8014305199999994</v>
      </c>
      <c r="O8357" s="389">
        <v>1.9916666666666667E-4</v>
      </c>
      <c r="P8357" s="413"/>
      <c r="Q8357" s="413"/>
      <c r="R8357" s="413"/>
      <c r="S8357" s="413"/>
      <c r="T8357" s="413">
        <v>0.29199999999999998</v>
      </c>
      <c r="U8357" s="413">
        <v>0.26800000000000002</v>
      </c>
      <c r="V8357" s="504">
        <v>0.13200000000000001</v>
      </c>
      <c r="W8357" s="504">
        <v>8.7999999999999995E-2</v>
      </c>
      <c r="X8357" s="504">
        <v>8.3999999999999991E-2</v>
      </c>
      <c r="Y8357" s="504">
        <v>0.13600000000000001</v>
      </c>
      <c r="Z8357" s="388">
        <v>7</v>
      </c>
      <c r="AA8357" s="388"/>
      <c r="AB8357" s="391"/>
      <c r="AC8357" s="392"/>
      <c r="AD8357" s="388">
        <f t="shared" si="64"/>
        <v>14.56944</v>
      </c>
      <c r="AE8357" s="388">
        <f>1.36851464435146*(0.3048)</f>
        <v>0.41712326359832502</v>
      </c>
      <c r="AF8357" s="388"/>
      <c r="AG8357" s="388">
        <f>2.59202017885806*(0.3048)</f>
        <v>0.79004775051593679</v>
      </c>
      <c r="AH8357" s="391"/>
      <c r="AI8357" s="397"/>
      <c r="AJ8357" s="397"/>
      <c r="AK8357" s="392"/>
      <c r="AL8357" s="392"/>
      <c r="AM8357" s="392"/>
      <c r="AN8357" s="392"/>
      <c r="AO8357" s="392"/>
      <c r="AP8357" s="392"/>
      <c r="AQ8357" s="392"/>
      <c r="AR8357" s="392"/>
      <c r="AS8357" s="392"/>
      <c r="AT8357" s="392"/>
      <c r="AU8357" s="397"/>
      <c r="AV8357" s="397"/>
      <c r="AW8357" s="397"/>
      <c r="AX8357" s="397"/>
      <c r="AY8357" s="392"/>
      <c r="AZ8357" s="392"/>
      <c r="BA8357" s="392"/>
      <c r="BB8357" s="392"/>
      <c r="BC8357" s="392"/>
      <c r="BD8357" s="392"/>
      <c r="BE8357" s="392"/>
      <c r="BF8357" s="392"/>
      <c r="BG8357" s="392"/>
      <c r="BH8357" s="392"/>
      <c r="BI8357" s="397"/>
      <c r="BJ8357" s="397"/>
      <c r="BK8357" s="397"/>
      <c r="BL8357" s="397"/>
      <c r="BM8357" s="397"/>
      <c r="BN8357" s="397"/>
      <c r="BO8357" s="397"/>
      <c r="BP8357" s="397"/>
      <c r="BQ8357" s="397"/>
      <c r="BR8357" s="397"/>
      <c r="BS8357" s="397"/>
      <c r="BT8357" s="397"/>
      <c r="BU8357" s="397"/>
      <c r="BV8357" s="397"/>
      <c r="BW8357" s="397"/>
      <c r="BX8357" s="397"/>
      <c r="BY8357" s="397"/>
      <c r="BZ8357" s="397"/>
      <c r="CA8357" s="392"/>
      <c r="CB8357" s="392"/>
    </row>
    <row r="8358" spans="1:80" ht="15" x14ac:dyDescent="0.25">
      <c r="A8358" s="385"/>
      <c r="B8358" s="392"/>
      <c r="C8358" s="392"/>
      <c r="D8358" s="700"/>
      <c r="E8358" s="397"/>
      <c r="F8358" s="392"/>
      <c r="G8358" s="392"/>
      <c r="H8358" s="401"/>
      <c r="I8358" s="165">
        <v>5</v>
      </c>
      <c r="J8358" s="165">
        <v>240</v>
      </c>
      <c r="K8358" s="165">
        <v>1</v>
      </c>
      <c r="L8358" s="628"/>
      <c r="M8358" s="628"/>
      <c r="N8358" s="388">
        <f>163.06*(0.028317)</f>
        <v>4.6173700200000001</v>
      </c>
      <c r="O8358" s="389">
        <v>1.5136666666666664E-4</v>
      </c>
      <c r="P8358" s="413"/>
      <c r="Q8358" s="413"/>
      <c r="R8358" s="413"/>
      <c r="S8358" s="413"/>
      <c r="T8358" s="413">
        <v>0.17708333333333334</v>
      </c>
      <c r="U8358" s="413">
        <v>0.24999999999999997</v>
      </c>
      <c r="V8358" s="504">
        <v>0.10416666666666666</v>
      </c>
      <c r="W8358" s="504">
        <v>0.15104166666666666</v>
      </c>
      <c r="X8358" s="504">
        <v>0.17708333333333334</v>
      </c>
      <c r="Y8358" s="504">
        <v>0.140625</v>
      </c>
      <c r="Z8358" s="388">
        <v>5</v>
      </c>
      <c r="AA8358" s="388"/>
      <c r="AB8358" s="391"/>
      <c r="AC8358" s="392"/>
      <c r="AD8358" s="388">
        <f t="shared" si="64"/>
        <v>14.56944</v>
      </c>
      <c r="AE8358" s="388">
        <f>1.21255230125523*(0.3048)</f>
        <v>0.3695859414225941</v>
      </c>
      <c r="AF8358" s="388"/>
      <c r="AG8358" s="388">
        <f>2.81339379678989*(0.3048)</f>
        <v>0.85752242926155853</v>
      </c>
      <c r="AH8358" s="391"/>
      <c r="AI8358" s="397"/>
      <c r="AJ8358" s="397"/>
      <c r="AK8358" s="392"/>
      <c r="AL8358" s="392"/>
      <c r="AM8358" s="392"/>
      <c r="AN8358" s="392"/>
      <c r="AO8358" s="392"/>
      <c r="AP8358" s="392"/>
      <c r="AQ8358" s="392"/>
      <c r="AR8358" s="392"/>
      <c r="AS8358" s="392"/>
      <c r="AT8358" s="392"/>
      <c r="AU8358" s="397"/>
      <c r="AV8358" s="397"/>
      <c r="AW8358" s="397"/>
      <c r="AX8358" s="397"/>
      <c r="AY8358" s="392"/>
      <c r="AZ8358" s="392"/>
      <c r="BA8358" s="392"/>
      <c r="BB8358" s="392"/>
      <c r="BC8358" s="392"/>
      <c r="BD8358" s="392"/>
      <c r="BE8358" s="392"/>
      <c r="BF8358" s="392"/>
      <c r="BG8358" s="392"/>
      <c r="BH8358" s="392"/>
      <c r="BI8358" s="397"/>
      <c r="BJ8358" s="397"/>
      <c r="BK8358" s="397"/>
      <c r="BL8358" s="397"/>
      <c r="BM8358" s="397"/>
      <c r="BN8358" s="397"/>
      <c r="BO8358" s="397"/>
      <c r="BP8358" s="397"/>
      <c r="BQ8358" s="397"/>
      <c r="BR8358" s="397"/>
      <c r="BS8358" s="397"/>
      <c r="BT8358" s="397"/>
      <c r="BU8358" s="397"/>
      <c r="BV8358" s="397"/>
      <c r="BW8358" s="397"/>
      <c r="BX8358" s="397"/>
      <c r="BY8358" s="397"/>
      <c r="BZ8358" s="397"/>
      <c r="CA8358" s="392"/>
      <c r="CB8358" s="392"/>
    </row>
    <row r="8359" spans="1:80" ht="15" x14ac:dyDescent="0.25">
      <c r="A8359" s="385"/>
      <c r="B8359" s="392"/>
      <c r="C8359" s="392"/>
      <c r="D8359" s="700"/>
      <c r="E8359" s="397"/>
      <c r="F8359" s="392"/>
      <c r="G8359" s="392"/>
      <c r="H8359" s="401"/>
      <c r="I8359" s="165">
        <v>5</v>
      </c>
      <c r="J8359" s="165">
        <v>240</v>
      </c>
      <c r="K8359" s="165">
        <v>1</v>
      </c>
      <c r="L8359" s="628"/>
      <c r="M8359" s="628"/>
      <c r="N8359" s="388">
        <f>175.23*(0.028317)</f>
        <v>4.9619879099999995</v>
      </c>
      <c r="O8359" s="389">
        <v>2.3103333333333333E-4</v>
      </c>
      <c r="P8359" s="413"/>
      <c r="Q8359" s="413"/>
      <c r="R8359" s="413"/>
      <c r="S8359" s="413"/>
      <c r="T8359" s="413">
        <v>4.7781569965870317E-2</v>
      </c>
      <c r="U8359" s="413">
        <v>0.2081911262798635</v>
      </c>
      <c r="V8359" s="504">
        <v>0.37201365187713314</v>
      </c>
      <c r="W8359" s="504">
        <v>0.20477815699658705</v>
      </c>
      <c r="X8359" s="504">
        <v>7.8498293515358378E-2</v>
      </c>
      <c r="Y8359" s="504">
        <v>8.8737201365187729E-2</v>
      </c>
      <c r="Z8359" s="388">
        <v>4</v>
      </c>
      <c r="AA8359" s="388"/>
      <c r="AB8359" s="391"/>
      <c r="AC8359" s="392"/>
      <c r="AD8359" s="388">
        <f t="shared" si="64"/>
        <v>14.56944</v>
      </c>
      <c r="AE8359" s="388">
        <f>1.3*(0.3048)</f>
        <v>0.39624000000000004</v>
      </c>
      <c r="AF8359" s="388"/>
      <c r="AG8359" s="388">
        <f>2.82*(0.3048)</f>
        <v>0.85953599999999997</v>
      </c>
      <c r="AH8359" s="391"/>
      <c r="AI8359" s="397"/>
      <c r="AJ8359" s="397"/>
      <c r="AK8359" s="392"/>
      <c r="AL8359" s="392"/>
      <c r="AM8359" s="392"/>
      <c r="AN8359" s="392"/>
      <c r="AO8359" s="392"/>
      <c r="AP8359" s="392"/>
      <c r="AQ8359" s="392"/>
      <c r="AR8359" s="392"/>
      <c r="AS8359" s="392"/>
      <c r="AT8359" s="392"/>
      <c r="AU8359" s="397"/>
      <c r="AV8359" s="397"/>
      <c r="AW8359" s="397"/>
      <c r="AX8359" s="397"/>
      <c r="AY8359" s="392"/>
      <c r="AZ8359" s="392"/>
      <c r="BA8359" s="392"/>
      <c r="BB8359" s="392"/>
      <c r="BC8359" s="392"/>
      <c r="BD8359" s="392"/>
      <c r="BE8359" s="392"/>
      <c r="BF8359" s="392"/>
      <c r="BG8359" s="392"/>
      <c r="BH8359" s="392"/>
      <c r="BI8359" s="397"/>
      <c r="BJ8359" s="397"/>
      <c r="BK8359" s="397"/>
      <c r="BL8359" s="397"/>
      <c r="BM8359" s="397"/>
      <c r="BN8359" s="397"/>
      <c r="BO8359" s="397"/>
      <c r="BP8359" s="397"/>
      <c r="BQ8359" s="397"/>
      <c r="BR8359" s="397"/>
      <c r="BS8359" s="397"/>
      <c r="BT8359" s="397"/>
      <c r="BU8359" s="397"/>
      <c r="BV8359" s="397"/>
      <c r="BW8359" s="397"/>
      <c r="BX8359" s="397"/>
      <c r="BY8359" s="397"/>
      <c r="BZ8359" s="397"/>
      <c r="CA8359" s="392"/>
      <c r="CB8359" s="392"/>
    </row>
    <row r="8360" spans="1:80" ht="15" x14ac:dyDescent="0.25">
      <c r="A8360" s="385"/>
      <c r="B8360" s="392"/>
      <c r="C8360" s="392"/>
      <c r="D8360" s="700"/>
      <c r="E8360" s="397"/>
      <c r="F8360" s="392"/>
      <c r="G8360" s="392"/>
      <c r="H8360" s="401"/>
      <c r="I8360" s="165">
        <v>5</v>
      </c>
      <c r="J8360" s="165">
        <v>240</v>
      </c>
      <c r="K8360" s="165">
        <v>1</v>
      </c>
      <c r="L8360" s="628"/>
      <c r="M8360" s="628"/>
      <c r="N8360" s="388">
        <f>141.5*(0.028317)</f>
        <v>4.0068554999999995</v>
      </c>
      <c r="O8360" s="389">
        <v>2.5849999999999999E-4</v>
      </c>
      <c r="P8360" s="413"/>
      <c r="Q8360" s="413"/>
      <c r="R8360" s="413"/>
      <c r="S8360" s="413"/>
      <c r="T8360" s="413">
        <v>0.28923076923076924</v>
      </c>
      <c r="U8360" s="413">
        <v>0.12615384615384614</v>
      </c>
      <c r="V8360" s="504">
        <v>0.26461538461538459</v>
      </c>
      <c r="W8360" s="504">
        <v>0.12000000000000001</v>
      </c>
      <c r="X8360" s="504">
        <v>0.12615384615384614</v>
      </c>
      <c r="Y8360" s="504">
        <v>7.3846153846153839E-2</v>
      </c>
      <c r="Z8360" s="388">
        <v>7</v>
      </c>
      <c r="AA8360" s="388"/>
      <c r="AB8360" s="391"/>
      <c r="AC8360" s="392"/>
      <c r="AD8360" s="388">
        <f>47*(0.3048)</f>
        <v>14.325600000000001</v>
      </c>
      <c r="AE8360" s="388">
        <f>1.1681914893617*(0.3048)</f>
        <v>0.35606476595744618</v>
      </c>
      <c r="AF8360" s="388"/>
      <c r="AG8360" s="388">
        <f>2.57723522447865*(0.3048)</f>
        <v>0.78554129642109249</v>
      </c>
      <c r="AH8360" s="391"/>
      <c r="AI8360" s="397"/>
      <c r="AJ8360" s="397"/>
      <c r="AK8360" s="392"/>
      <c r="AL8360" s="392"/>
      <c r="AM8360" s="392"/>
      <c r="AN8360" s="392"/>
      <c r="AO8360" s="392"/>
      <c r="AP8360" s="392"/>
      <c r="AQ8360" s="392"/>
      <c r="AR8360" s="392"/>
      <c r="AS8360" s="392"/>
      <c r="AT8360" s="392"/>
      <c r="AU8360" s="397"/>
      <c r="AV8360" s="397"/>
      <c r="AW8360" s="397"/>
      <c r="AX8360" s="397"/>
      <c r="AY8360" s="392"/>
      <c r="AZ8360" s="392"/>
      <c r="BA8360" s="392"/>
      <c r="BB8360" s="392"/>
      <c r="BC8360" s="392"/>
      <c r="BD8360" s="392"/>
      <c r="BE8360" s="392"/>
      <c r="BF8360" s="392"/>
      <c r="BG8360" s="392"/>
      <c r="BH8360" s="392"/>
      <c r="BI8360" s="397"/>
      <c r="BJ8360" s="397"/>
      <c r="BK8360" s="397"/>
      <c r="BL8360" s="397"/>
      <c r="BM8360" s="397"/>
      <c r="BN8360" s="397"/>
      <c r="BO8360" s="397"/>
      <c r="BP8360" s="397"/>
      <c r="BQ8360" s="397"/>
      <c r="BR8360" s="397"/>
      <c r="BS8360" s="397"/>
      <c r="BT8360" s="397"/>
      <c r="BU8360" s="397"/>
      <c r="BV8360" s="397"/>
      <c r="BW8360" s="397"/>
      <c r="BX8360" s="397"/>
      <c r="BY8360" s="397"/>
      <c r="BZ8360" s="397"/>
      <c r="CA8360" s="392"/>
      <c r="CB8360" s="392"/>
    </row>
    <row r="8361" spans="1:80" ht="15" x14ac:dyDescent="0.25">
      <c r="A8361" s="385"/>
      <c r="B8361" s="392"/>
      <c r="C8361" s="392"/>
      <c r="D8361" s="700"/>
      <c r="E8361" s="397"/>
      <c r="F8361" s="392"/>
      <c r="G8361" s="392"/>
      <c r="H8361" s="401"/>
      <c r="I8361" s="165">
        <v>5</v>
      </c>
      <c r="J8361" s="165">
        <v>240</v>
      </c>
      <c r="K8361" s="165">
        <v>1</v>
      </c>
      <c r="L8361" s="628"/>
      <c r="M8361" s="628"/>
      <c r="N8361" s="388">
        <f>152.44*(0.028317)</f>
        <v>4.3166434799999998</v>
      </c>
      <c r="O8361" s="389">
        <v>1.9458333333333334E-4</v>
      </c>
      <c r="P8361" s="413"/>
      <c r="Q8361" s="413"/>
      <c r="R8361" s="413"/>
      <c r="S8361" s="413"/>
      <c r="T8361" s="413"/>
      <c r="U8361" s="413">
        <v>0.18253968253968256</v>
      </c>
      <c r="V8361" s="504">
        <v>0.3174603174603175</v>
      </c>
      <c r="W8361" s="504">
        <v>0.38095238095238093</v>
      </c>
      <c r="X8361" s="504">
        <v>9.1269841269841279E-2</v>
      </c>
      <c r="Y8361" s="504">
        <v>2.777777777777778E-2</v>
      </c>
      <c r="Z8361" s="388">
        <v>3</v>
      </c>
      <c r="AA8361" s="388"/>
      <c r="AB8361" s="391"/>
      <c r="AC8361" s="392"/>
      <c r="AD8361" s="388">
        <f>46.7*(0.3048)</f>
        <v>14.234160000000001</v>
      </c>
      <c r="AE8361" s="388">
        <f>1.17*(0.3048)</f>
        <v>0.35661599999999999</v>
      </c>
      <c r="AF8361" s="388"/>
      <c r="AG8361" s="388">
        <f>2.79*(0.3048)</f>
        <v>0.85039200000000004</v>
      </c>
      <c r="AH8361" s="391"/>
      <c r="AI8361" s="397"/>
      <c r="AJ8361" s="397"/>
      <c r="AK8361" s="392"/>
      <c r="AL8361" s="392"/>
      <c r="AM8361" s="392"/>
      <c r="AN8361" s="392"/>
      <c r="AO8361" s="392"/>
      <c r="AP8361" s="392"/>
      <c r="AQ8361" s="392"/>
      <c r="AR8361" s="392"/>
      <c r="AS8361" s="392"/>
      <c r="AT8361" s="392"/>
      <c r="AU8361" s="397"/>
      <c r="AV8361" s="397"/>
      <c r="AW8361" s="397"/>
      <c r="AX8361" s="397"/>
      <c r="AY8361" s="392"/>
      <c r="AZ8361" s="392"/>
      <c r="BA8361" s="392"/>
      <c r="BB8361" s="392"/>
      <c r="BC8361" s="392"/>
      <c r="BD8361" s="392"/>
      <c r="BE8361" s="392"/>
      <c r="BF8361" s="392"/>
      <c r="BG8361" s="392"/>
      <c r="BH8361" s="392"/>
      <c r="BI8361" s="397"/>
      <c r="BJ8361" s="397"/>
      <c r="BK8361" s="397"/>
      <c r="BL8361" s="397"/>
      <c r="BM8361" s="397"/>
      <c r="BN8361" s="397"/>
      <c r="BO8361" s="397"/>
      <c r="BP8361" s="397"/>
      <c r="BQ8361" s="397"/>
      <c r="BR8361" s="397"/>
      <c r="BS8361" s="397"/>
      <c r="BT8361" s="397"/>
      <c r="BU8361" s="397"/>
      <c r="BV8361" s="397"/>
      <c r="BW8361" s="397"/>
      <c r="BX8361" s="397"/>
      <c r="BY8361" s="397"/>
      <c r="BZ8361" s="397"/>
      <c r="CA8361" s="392"/>
      <c r="CB8361" s="392"/>
    </row>
    <row r="8362" spans="1:80" ht="15" x14ac:dyDescent="0.25">
      <c r="A8362" s="385"/>
      <c r="B8362" s="392"/>
      <c r="C8362" s="392"/>
      <c r="D8362" s="700"/>
      <c r="E8362" s="397"/>
      <c r="F8362" s="392"/>
      <c r="G8362" s="392"/>
      <c r="H8362" s="401"/>
      <c r="I8362" s="165">
        <v>5</v>
      </c>
      <c r="J8362" s="165">
        <v>240</v>
      </c>
      <c r="K8362" s="165">
        <v>1</v>
      </c>
      <c r="L8362" s="628"/>
      <c r="M8362" s="628"/>
      <c r="N8362" s="388">
        <f>229.59*(0.028317)</f>
        <v>6.5013000299999995</v>
      </c>
      <c r="O8362" s="389">
        <v>2.2466000000000001E-3</v>
      </c>
      <c r="P8362" s="413"/>
      <c r="Q8362" s="413"/>
      <c r="R8362" s="413"/>
      <c r="S8362" s="413">
        <v>2.911931818181818E-2</v>
      </c>
      <c r="T8362" s="413">
        <v>3.4446022727272728E-2</v>
      </c>
      <c r="U8362" s="413">
        <v>5.3977272727272728E-2</v>
      </c>
      <c r="V8362" s="504">
        <v>0.17720170454545456</v>
      </c>
      <c r="W8362" s="504">
        <v>0.34801136363636365</v>
      </c>
      <c r="X8362" s="504">
        <v>0.16477272727272727</v>
      </c>
      <c r="Y8362" s="504">
        <v>0.19247159090909091</v>
      </c>
      <c r="Z8362" s="388">
        <v>11</v>
      </c>
      <c r="AA8362" s="388"/>
      <c r="AB8362" s="391"/>
      <c r="AC8362" s="392"/>
      <c r="AD8362" s="388">
        <f>47.8*(0.3048)</f>
        <v>14.56944</v>
      </c>
      <c r="AE8362" s="388">
        <f>1.52*(0.3048)</f>
        <v>0.46329600000000004</v>
      </c>
      <c r="AF8362" s="388"/>
      <c r="AG8362" s="388">
        <f>3.16*(0.3048)</f>
        <v>0.96316800000000014</v>
      </c>
      <c r="AH8362" s="391"/>
      <c r="AI8362" s="397"/>
      <c r="AJ8362" s="397"/>
      <c r="AK8362" s="392"/>
      <c r="AL8362" s="392"/>
      <c r="AM8362" s="392"/>
      <c r="AN8362" s="392"/>
      <c r="AO8362" s="392"/>
      <c r="AP8362" s="392"/>
      <c r="AQ8362" s="392"/>
      <c r="AR8362" s="392"/>
      <c r="AS8362" s="392"/>
      <c r="AT8362" s="392"/>
      <c r="AU8362" s="397"/>
      <c r="AV8362" s="397"/>
      <c r="AW8362" s="397"/>
      <c r="AX8362" s="397"/>
      <c r="AY8362" s="392"/>
      <c r="AZ8362" s="392"/>
      <c r="BA8362" s="392"/>
      <c r="BB8362" s="392"/>
      <c r="BC8362" s="392"/>
      <c r="BD8362" s="392"/>
      <c r="BE8362" s="392"/>
      <c r="BF8362" s="392"/>
      <c r="BG8362" s="392"/>
      <c r="BH8362" s="392"/>
      <c r="BI8362" s="397"/>
      <c r="BJ8362" s="397"/>
      <c r="BK8362" s="397"/>
      <c r="BL8362" s="397"/>
      <c r="BM8362" s="397"/>
      <c r="BN8362" s="397"/>
      <c r="BO8362" s="397"/>
      <c r="BP8362" s="397"/>
      <c r="BQ8362" s="397"/>
      <c r="BR8362" s="397"/>
      <c r="BS8362" s="397"/>
      <c r="BT8362" s="397"/>
      <c r="BU8362" s="397"/>
      <c r="BV8362" s="397"/>
      <c r="BW8362" s="397"/>
      <c r="BX8362" s="397"/>
      <c r="BY8362" s="397"/>
      <c r="BZ8362" s="397"/>
      <c r="CA8362" s="392"/>
      <c r="CB8362" s="392"/>
    </row>
    <row r="8363" spans="1:80" ht="15" x14ac:dyDescent="0.25">
      <c r="A8363" s="385"/>
      <c r="B8363" s="392"/>
      <c r="C8363" s="392"/>
      <c r="D8363" s="700"/>
      <c r="E8363" s="397"/>
      <c r="F8363" s="392"/>
      <c r="G8363" s="392"/>
      <c r="H8363" s="401"/>
      <c r="I8363" s="165">
        <v>5</v>
      </c>
      <c r="J8363" s="165">
        <v>240</v>
      </c>
      <c r="K8363" s="165">
        <v>1</v>
      </c>
      <c r="L8363" s="628"/>
      <c r="M8363" s="628"/>
      <c r="N8363" s="388">
        <f>283.92*(0.028317)</f>
        <v>8.0397626399999993</v>
      </c>
      <c r="O8363" s="389">
        <v>5.0986666666666663E-3</v>
      </c>
      <c r="P8363" s="413"/>
      <c r="Q8363" s="413"/>
      <c r="R8363" s="413"/>
      <c r="S8363" s="413">
        <v>1.4698983580922595E-2</v>
      </c>
      <c r="T8363" s="413">
        <v>7.8029710711493366E-2</v>
      </c>
      <c r="U8363" s="413">
        <v>0.12525410476935106</v>
      </c>
      <c r="V8363" s="504">
        <v>0.22783424550430026</v>
      </c>
      <c r="W8363" s="504">
        <v>0.26598905394839722</v>
      </c>
      <c r="X8363" s="504">
        <v>0.12447224394057858</v>
      </c>
      <c r="Y8363" s="504">
        <v>0.16372165754495702</v>
      </c>
      <c r="Z8363" s="388">
        <v>8</v>
      </c>
      <c r="AA8363" s="388"/>
      <c r="AB8363" s="391"/>
      <c r="AC8363" s="392"/>
      <c r="AD8363" s="388">
        <f>47.8*(0.3048)</f>
        <v>14.56944</v>
      </c>
      <c r="AE8363" s="388">
        <f>1.81338912133891*(0.3048)</f>
        <v>0.55272100418409975</v>
      </c>
      <c r="AF8363" s="388"/>
      <c r="AG8363" s="388">
        <f>3.27544993077988*(0.3048)</f>
        <v>0.99835713890170741</v>
      </c>
      <c r="AH8363" s="391"/>
      <c r="AI8363" s="397"/>
      <c r="AJ8363" s="397"/>
      <c r="AK8363" s="392"/>
      <c r="AL8363" s="392"/>
      <c r="AM8363" s="392"/>
      <c r="AN8363" s="392"/>
      <c r="AO8363" s="392"/>
      <c r="AP8363" s="392"/>
      <c r="AQ8363" s="392"/>
      <c r="AR8363" s="392"/>
      <c r="AS8363" s="392"/>
      <c r="AT8363" s="392"/>
      <c r="AU8363" s="397"/>
      <c r="AV8363" s="397"/>
      <c r="AW8363" s="397"/>
      <c r="AX8363" s="397"/>
      <c r="AY8363" s="392"/>
      <c r="AZ8363" s="392"/>
      <c r="BA8363" s="392"/>
      <c r="BB8363" s="392"/>
      <c r="BC8363" s="392"/>
      <c r="BD8363" s="392"/>
      <c r="BE8363" s="392"/>
      <c r="BF8363" s="392"/>
      <c r="BG8363" s="392"/>
      <c r="BH8363" s="392"/>
      <c r="BI8363" s="397"/>
      <c r="BJ8363" s="397"/>
      <c r="BK8363" s="397"/>
      <c r="BL8363" s="397"/>
      <c r="BM8363" s="397"/>
      <c r="BN8363" s="397"/>
      <c r="BO8363" s="397"/>
      <c r="BP8363" s="397"/>
      <c r="BQ8363" s="397"/>
      <c r="BR8363" s="397"/>
      <c r="BS8363" s="397"/>
      <c r="BT8363" s="397"/>
      <c r="BU8363" s="397"/>
      <c r="BV8363" s="397"/>
      <c r="BW8363" s="397"/>
      <c r="BX8363" s="397"/>
      <c r="BY8363" s="397"/>
      <c r="BZ8363" s="397"/>
      <c r="CA8363" s="392"/>
      <c r="CB8363" s="392"/>
    </row>
    <row r="8364" spans="1:80" ht="15" x14ac:dyDescent="0.25">
      <c r="A8364" s="385"/>
      <c r="B8364" s="392"/>
      <c r="C8364" s="392"/>
      <c r="D8364" s="700"/>
      <c r="E8364" s="397"/>
      <c r="F8364" s="392"/>
      <c r="G8364" s="392"/>
      <c r="H8364" s="401"/>
      <c r="I8364" s="165">
        <v>5</v>
      </c>
      <c r="J8364" s="165">
        <v>240</v>
      </c>
      <c r="K8364" s="165">
        <v>1</v>
      </c>
      <c r="L8364" s="628"/>
      <c r="M8364" s="628"/>
      <c r="N8364" s="388">
        <f>228.63*(0.028317)</f>
        <v>6.4741157099999995</v>
      </c>
      <c r="O8364" s="389">
        <v>4.3020000000000005E-4</v>
      </c>
      <c r="P8364" s="413"/>
      <c r="Q8364" s="413"/>
      <c r="R8364" s="413"/>
      <c r="S8364" s="413"/>
      <c r="T8364" s="413">
        <v>7.5925925925925924E-2</v>
      </c>
      <c r="U8364" s="413">
        <v>0.23333333333333336</v>
      </c>
      <c r="V8364" s="504">
        <v>0.22592592592592595</v>
      </c>
      <c r="W8364" s="504">
        <v>0.32962962962962966</v>
      </c>
      <c r="X8364" s="504">
        <v>9.0740740740740747E-2</v>
      </c>
      <c r="Y8364" s="504">
        <v>4.4444444444444446E-2</v>
      </c>
      <c r="Z8364" s="388">
        <v>5</v>
      </c>
      <c r="AA8364" s="388"/>
      <c r="AB8364" s="391"/>
      <c r="AC8364" s="392"/>
      <c r="AD8364" s="388">
        <f>47.8*(0.3048)</f>
        <v>14.56944</v>
      </c>
      <c r="AE8364" s="388"/>
      <c r="AF8364" s="388"/>
      <c r="AG8364" s="436"/>
      <c r="AH8364" s="391"/>
      <c r="AI8364" s="397"/>
      <c r="AJ8364" s="397"/>
      <c r="AK8364" s="392"/>
      <c r="AL8364" s="392"/>
      <c r="AM8364" s="392"/>
      <c r="AN8364" s="392"/>
      <c r="AO8364" s="392"/>
      <c r="AP8364" s="392"/>
      <c r="AQ8364" s="392"/>
      <c r="AR8364" s="392"/>
      <c r="AS8364" s="392"/>
      <c r="AT8364" s="392"/>
      <c r="AU8364" s="397"/>
      <c r="AV8364" s="397"/>
      <c r="AW8364" s="397"/>
      <c r="AX8364" s="397"/>
      <c r="AY8364" s="392"/>
      <c r="AZ8364" s="392"/>
      <c r="BA8364" s="392"/>
      <c r="BB8364" s="392"/>
      <c r="BC8364" s="392"/>
      <c r="BD8364" s="392"/>
      <c r="BE8364" s="392"/>
      <c r="BF8364" s="392"/>
      <c r="BG8364" s="392"/>
      <c r="BH8364" s="392"/>
      <c r="BI8364" s="397"/>
      <c r="BJ8364" s="397"/>
      <c r="BK8364" s="397"/>
      <c r="BL8364" s="397"/>
      <c r="BM8364" s="397"/>
      <c r="BN8364" s="397"/>
      <c r="BO8364" s="397"/>
      <c r="BP8364" s="397"/>
      <c r="BQ8364" s="397"/>
      <c r="BR8364" s="397"/>
      <c r="BS8364" s="397"/>
      <c r="BT8364" s="397"/>
      <c r="BU8364" s="397"/>
      <c r="BV8364" s="397"/>
      <c r="BW8364" s="397"/>
      <c r="BX8364" s="397"/>
      <c r="BY8364" s="397"/>
      <c r="BZ8364" s="397"/>
      <c r="CA8364" s="392"/>
      <c r="CB8364" s="392"/>
    </row>
    <row r="8365" spans="1:80" ht="15" x14ac:dyDescent="0.25">
      <c r="A8365" s="385"/>
      <c r="B8365" s="392"/>
      <c r="C8365" s="392"/>
      <c r="D8365" s="700"/>
      <c r="E8365" s="397"/>
      <c r="F8365" s="392"/>
      <c r="G8365" s="392"/>
      <c r="H8365" s="401"/>
      <c r="I8365" s="165">
        <v>5</v>
      </c>
      <c r="J8365" s="165">
        <v>240</v>
      </c>
      <c r="K8365" s="165">
        <v>1</v>
      </c>
      <c r="L8365" s="628"/>
      <c r="M8365" s="628"/>
      <c r="N8365" s="388">
        <f>143.13*(0.028317)</f>
        <v>4.0530122099999994</v>
      </c>
      <c r="O8365" s="389">
        <v>4.6686666666666665E-3</v>
      </c>
      <c r="P8365" s="413"/>
      <c r="Q8365" s="413"/>
      <c r="R8365" s="413"/>
      <c r="S8365" s="413">
        <v>0.14328859060402682</v>
      </c>
      <c r="T8365" s="413">
        <v>0.18003355704697988</v>
      </c>
      <c r="U8365" s="413">
        <v>0.30234899328859061</v>
      </c>
      <c r="V8365" s="504">
        <v>0.20318791946308723</v>
      </c>
      <c r="W8365" s="504">
        <v>0.10822147651006711</v>
      </c>
      <c r="X8365" s="504">
        <v>2.3825503355704696E-2</v>
      </c>
      <c r="Y8365" s="504">
        <v>3.9093959731543622E-2</v>
      </c>
      <c r="Z8365" s="388">
        <v>14</v>
      </c>
      <c r="AA8365" s="388"/>
      <c r="AB8365" s="391"/>
      <c r="AC8365" s="392"/>
      <c r="AD8365" s="388">
        <f>47*(0.3048)</f>
        <v>14.325600000000001</v>
      </c>
      <c r="AE8365" s="388"/>
      <c r="AF8365" s="388"/>
      <c r="AG8365" s="388"/>
      <c r="AH8365" s="391"/>
      <c r="AI8365" s="397"/>
      <c r="AJ8365" s="397"/>
      <c r="AK8365" s="392"/>
      <c r="AL8365" s="392"/>
      <c r="AM8365" s="392"/>
      <c r="AN8365" s="392"/>
      <c r="AO8365" s="392"/>
      <c r="AP8365" s="392"/>
      <c r="AQ8365" s="392"/>
      <c r="AR8365" s="392"/>
      <c r="AS8365" s="392"/>
      <c r="AT8365" s="392"/>
      <c r="AU8365" s="397"/>
      <c r="AV8365" s="397"/>
      <c r="AW8365" s="397"/>
      <c r="AX8365" s="397"/>
      <c r="AY8365" s="392"/>
      <c r="AZ8365" s="392"/>
      <c r="BA8365" s="392"/>
      <c r="BB8365" s="392"/>
      <c r="BC8365" s="392"/>
      <c r="BD8365" s="392"/>
      <c r="BE8365" s="392"/>
      <c r="BF8365" s="392"/>
      <c r="BG8365" s="392"/>
      <c r="BH8365" s="392"/>
      <c r="BI8365" s="397"/>
      <c r="BJ8365" s="397"/>
      <c r="BK8365" s="397"/>
      <c r="BL8365" s="397"/>
      <c r="BM8365" s="397"/>
      <c r="BN8365" s="397"/>
      <c r="BO8365" s="397"/>
      <c r="BP8365" s="397"/>
      <c r="BQ8365" s="397"/>
      <c r="BR8365" s="397"/>
      <c r="BS8365" s="397"/>
      <c r="BT8365" s="397"/>
      <c r="BU8365" s="397"/>
      <c r="BV8365" s="397"/>
      <c r="BW8365" s="397"/>
      <c r="BX8365" s="397"/>
      <c r="BY8365" s="397"/>
      <c r="BZ8365" s="397"/>
      <c r="CA8365" s="392"/>
      <c r="CB8365" s="392"/>
    </row>
    <row r="8366" spans="1:80" ht="15" x14ac:dyDescent="0.25">
      <c r="A8366" s="385"/>
      <c r="B8366" s="392"/>
      <c r="C8366" s="392"/>
      <c r="D8366" s="700"/>
      <c r="E8366" s="397"/>
      <c r="F8366" s="392"/>
      <c r="G8366" s="392"/>
      <c r="H8366" s="401"/>
      <c r="I8366" s="165">
        <v>5</v>
      </c>
      <c r="J8366" s="165">
        <v>240</v>
      </c>
      <c r="K8366" s="165">
        <v>1</v>
      </c>
      <c r="L8366" s="574"/>
      <c r="M8366" s="574"/>
      <c r="N8366" s="388">
        <f>107.16*(0.028317)</f>
        <v>3.0344497199999996</v>
      </c>
      <c r="O8366" s="389">
        <v>1.0054E-3</v>
      </c>
      <c r="P8366" s="413"/>
      <c r="Q8366" s="413"/>
      <c r="R8366" s="413"/>
      <c r="S8366" s="413"/>
      <c r="T8366" s="413">
        <v>0.12235649546827797</v>
      </c>
      <c r="U8366" s="413">
        <v>0.30211480362537768</v>
      </c>
      <c r="V8366" s="504">
        <v>0.32552870090634439</v>
      </c>
      <c r="W8366" s="504">
        <v>0.12537764350453173</v>
      </c>
      <c r="X8366" s="504">
        <v>7.4018126888217531E-2</v>
      </c>
      <c r="Y8366" s="504">
        <v>5.0604229607250764E-2</v>
      </c>
      <c r="Z8366" s="388">
        <v>5</v>
      </c>
      <c r="AA8366" s="388"/>
      <c r="AB8366" s="391"/>
      <c r="AC8366" s="392"/>
      <c r="AD8366" s="388">
        <f>45.7*(0.3048)</f>
        <v>13.929360000000001</v>
      </c>
      <c r="AE8366" s="388"/>
      <c r="AF8366" s="388"/>
      <c r="AG8366" s="388"/>
      <c r="AH8366" s="391"/>
      <c r="AI8366" s="397"/>
      <c r="AJ8366" s="397"/>
      <c r="AK8366" s="392"/>
      <c r="AL8366" s="392"/>
      <c r="AM8366" s="392"/>
      <c r="AN8366" s="392"/>
      <c r="AO8366" s="392"/>
      <c r="AP8366" s="392"/>
      <c r="AQ8366" s="392"/>
      <c r="AR8366" s="392"/>
      <c r="AS8366" s="392"/>
      <c r="AT8366" s="392"/>
      <c r="AU8366" s="397"/>
      <c r="AV8366" s="397"/>
      <c r="AW8366" s="397"/>
      <c r="AX8366" s="397"/>
      <c r="AY8366" s="392"/>
      <c r="AZ8366" s="392"/>
      <c r="BA8366" s="392"/>
      <c r="BB8366" s="392"/>
      <c r="BC8366" s="392"/>
      <c r="BD8366" s="392"/>
      <c r="BE8366" s="392"/>
      <c r="BF8366" s="392"/>
      <c r="BG8366" s="392"/>
      <c r="BH8366" s="392"/>
      <c r="BI8366" s="397"/>
      <c r="BJ8366" s="397"/>
      <c r="BK8366" s="397"/>
      <c r="BL8366" s="397"/>
      <c r="BM8366" s="397"/>
      <c r="BN8366" s="397"/>
      <c r="BO8366" s="397"/>
      <c r="BP8366" s="397"/>
      <c r="BQ8366" s="397"/>
      <c r="BR8366" s="397"/>
      <c r="BS8366" s="397"/>
      <c r="BT8366" s="397"/>
      <c r="BU8366" s="397"/>
      <c r="BV8366" s="397"/>
      <c r="BW8366" s="397"/>
      <c r="BX8366" s="397"/>
      <c r="BY8366" s="397"/>
      <c r="BZ8366" s="397"/>
      <c r="CA8366" s="392"/>
      <c r="CB8366" s="392"/>
    </row>
    <row r="8367" spans="1:80" ht="15" x14ac:dyDescent="0.25">
      <c r="A8367" s="385"/>
      <c r="B8367" s="392"/>
      <c r="C8367" s="392"/>
      <c r="D8367" s="700"/>
      <c r="E8367" s="397"/>
      <c r="F8367" s="392"/>
      <c r="G8367" s="392"/>
      <c r="H8367" s="401"/>
      <c r="I8367" s="165">
        <v>5</v>
      </c>
      <c r="J8367" s="165">
        <v>240</v>
      </c>
      <c r="K8367" s="165">
        <v>1</v>
      </c>
      <c r="L8367" s="628"/>
      <c r="M8367" s="628"/>
      <c r="N8367" s="388">
        <f>120.61*(0.028317)</f>
        <v>3.4153133699999998</v>
      </c>
      <c r="O8367" s="389">
        <v>6.69E-5</v>
      </c>
      <c r="P8367" s="413"/>
      <c r="Q8367" s="413"/>
      <c r="R8367" s="413"/>
      <c r="S8367" s="413"/>
      <c r="T8367" s="413"/>
      <c r="U8367" s="413">
        <v>3.2258064516129031E-2</v>
      </c>
      <c r="V8367" s="504">
        <v>0.39784946236559138</v>
      </c>
      <c r="W8367" s="504">
        <v>0.31182795698924726</v>
      </c>
      <c r="X8367" s="504">
        <v>0.13978494623655913</v>
      </c>
      <c r="Y8367" s="504">
        <v>0.11827956989247311</v>
      </c>
      <c r="Z8367" s="388">
        <v>2</v>
      </c>
      <c r="AA8367" s="388"/>
      <c r="AB8367" s="391"/>
      <c r="AC8367" s="392"/>
      <c r="AD8367" s="388">
        <f>44.6*(0.3048)</f>
        <v>13.594080000000002</v>
      </c>
      <c r="AE8367" s="388"/>
      <c r="AF8367" s="388"/>
      <c r="AG8367" s="388"/>
      <c r="AH8367" s="391"/>
      <c r="AI8367" s="397"/>
      <c r="AJ8367" s="397"/>
      <c r="AK8367" s="392"/>
      <c r="AL8367" s="392"/>
      <c r="AM8367" s="392"/>
      <c r="AN8367" s="392"/>
      <c r="AO8367" s="392"/>
      <c r="AP8367" s="392"/>
      <c r="AQ8367" s="392"/>
      <c r="AR8367" s="392"/>
      <c r="AS8367" s="392"/>
      <c r="AT8367" s="392"/>
      <c r="AU8367" s="397"/>
      <c r="AV8367" s="397"/>
      <c r="AW8367" s="397"/>
      <c r="AX8367" s="397"/>
      <c r="AY8367" s="392"/>
      <c r="AZ8367" s="392"/>
      <c r="BA8367" s="392"/>
      <c r="BB8367" s="392"/>
      <c r="BC8367" s="392"/>
      <c r="BD8367" s="392"/>
      <c r="BE8367" s="392"/>
      <c r="BF8367" s="392"/>
      <c r="BG8367" s="392"/>
      <c r="BH8367" s="392"/>
      <c r="BI8367" s="397"/>
      <c r="BJ8367" s="397"/>
      <c r="BK8367" s="397"/>
      <c r="BL8367" s="397"/>
      <c r="BM8367" s="397"/>
      <c r="BN8367" s="397"/>
      <c r="BO8367" s="397"/>
      <c r="BP8367" s="397"/>
      <c r="BQ8367" s="397"/>
      <c r="BR8367" s="397"/>
      <c r="BS8367" s="397"/>
      <c r="BT8367" s="397"/>
      <c r="BU8367" s="397"/>
      <c r="BV8367" s="397"/>
      <c r="BW8367" s="397"/>
      <c r="BX8367" s="397"/>
      <c r="BY8367" s="397"/>
      <c r="BZ8367" s="397"/>
      <c r="CA8367" s="392"/>
      <c r="CB8367" s="392"/>
    </row>
    <row r="8368" spans="1:80" ht="15" x14ac:dyDescent="0.25">
      <c r="A8368" s="385"/>
      <c r="B8368" s="392"/>
      <c r="C8368" s="392"/>
      <c r="D8368" s="700"/>
      <c r="E8368" s="397"/>
      <c r="F8368" s="392"/>
      <c r="G8368" s="392"/>
      <c r="H8368" s="401"/>
      <c r="I8368" s="165">
        <v>5</v>
      </c>
      <c r="J8368" s="165">
        <v>240</v>
      </c>
      <c r="K8368" s="165">
        <v>1</v>
      </c>
      <c r="L8368" s="628"/>
      <c r="M8368" s="628"/>
      <c r="N8368" s="388">
        <f>306.97*(0.028317)</f>
        <v>8.6924694900000006</v>
      </c>
      <c r="O8368" s="389">
        <v>9.4564333333333334E-3</v>
      </c>
      <c r="P8368" s="413"/>
      <c r="Q8368" s="413"/>
      <c r="R8368" s="413"/>
      <c r="S8368" s="413">
        <v>1.3569321533923304E-2</v>
      </c>
      <c r="T8368" s="413">
        <v>3.4134007585335017E-2</v>
      </c>
      <c r="U8368" s="413">
        <v>9.9367888748419717E-2</v>
      </c>
      <c r="V8368" s="504">
        <v>0.16300042140750104</v>
      </c>
      <c r="W8368" s="504">
        <v>0.25174884112937213</v>
      </c>
      <c r="X8368" s="504">
        <v>0.17640117994100293</v>
      </c>
      <c r="Y8368" s="504">
        <v>0.2617783396544458</v>
      </c>
      <c r="Z8368" s="388">
        <v>8</v>
      </c>
      <c r="AA8368" s="388"/>
      <c r="AB8368" s="391"/>
      <c r="AC8368" s="392"/>
      <c r="AD8368" s="388">
        <f>47.8*(0.3048)</f>
        <v>14.56944</v>
      </c>
      <c r="AE8368" s="388"/>
      <c r="AF8368" s="388"/>
      <c r="AG8368" s="388"/>
      <c r="AH8368" s="391"/>
      <c r="AI8368" s="397"/>
      <c r="AJ8368" s="397"/>
      <c r="AK8368" s="392"/>
      <c r="AL8368" s="392"/>
      <c r="AM8368" s="392"/>
      <c r="AN8368" s="392"/>
      <c r="AO8368" s="392"/>
      <c r="AP8368" s="392"/>
      <c r="AQ8368" s="392"/>
      <c r="AR8368" s="392"/>
      <c r="AS8368" s="392"/>
      <c r="AT8368" s="392"/>
      <c r="AU8368" s="397"/>
      <c r="AV8368" s="397"/>
      <c r="AW8368" s="397"/>
      <c r="AX8368" s="397"/>
      <c r="AY8368" s="392"/>
      <c r="AZ8368" s="392"/>
      <c r="BA8368" s="392"/>
      <c r="BB8368" s="392"/>
      <c r="BC8368" s="392"/>
      <c r="BD8368" s="392"/>
      <c r="BE8368" s="392"/>
      <c r="BF8368" s="392"/>
      <c r="BG8368" s="392"/>
      <c r="BH8368" s="392"/>
      <c r="BI8368" s="397"/>
      <c r="BJ8368" s="397"/>
      <c r="BK8368" s="397"/>
      <c r="BL8368" s="397"/>
      <c r="BM8368" s="397"/>
      <c r="BN8368" s="397"/>
      <c r="BO8368" s="397"/>
      <c r="BP8368" s="397"/>
      <c r="BQ8368" s="397"/>
      <c r="BR8368" s="397"/>
      <c r="BS8368" s="397"/>
      <c r="BT8368" s="397"/>
      <c r="BU8368" s="397"/>
      <c r="BV8368" s="397"/>
      <c r="BW8368" s="397"/>
      <c r="BX8368" s="397"/>
      <c r="BY8368" s="397"/>
      <c r="BZ8368" s="397"/>
      <c r="CA8368" s="392"/>
      <c r="CB8368" s="392"/>
    </row>
    <row r="8369" spans="1:80" ht="15" x14ac:dyDescent="0.25">
      <c r="A8369" s="385"/>
      <c r="B8369" s="392"/>
      <c r="C8369" s="392"/>
      <c r="D8369" s="700"/>
      <c r="E8369" s="397"/>
      <c r="F8369" s="392"/>
      <c r="G8369" s="392"/>
      <c r="H8369" s="401"/>
      <c r="I8369" s="165">
        <v>5</v>
      </c>
      <c r="J8369" s="165">
        <v>240</v>
      </c>
      <c r="K8369" s="165">
        <v>1</v>
      </c>
      <c r="L8369" s="628"/>
      <c r="M8369" s="628"/>
      <c r="N8369" s="388">
        <f>216.07*(0.028317)</f>
        <v>6.1184541899999996</v>
      </c>
      <c r="O8369" s="389">
        <v>5.6324333333333332E-3</v>
      </c>
      <c r="P8369" s="413"/>
      <c r="Q8369" s="413"/>
      <c r="R8369" s="413"/>
      <c r="S8369" s="413">
        <v>1.1887913954146618E-2</v>
      </c>
      <c r="T8369" s="413">
        <v>3.325785451457685E-2</v>
      </c>
      <c r="U8369" s="413">
        <v>5.5901500141522793E-2</v>
      </c>
      <c r="V8369" s="504">
        <v>0.20110387772431362</v>
      </c>
      <c r="W8369" s="504">
        <v>0.29691480328332864</v>
      </c>
      <c r="X8369" s="504">
        <v>0.18412114350410416</v>
      </c>
      <c r="Y8369" s="504">
        <v>0.21681290687800736</v>
      </c>
      <c r="Z8369" s="388">
        <v>14</v>
      </c>
      <c r="AA8369" s="388"/>
      <c r="AB8369" s="391"/>
      <c r="AC8369" s="392"/>
      <c r="AD8369" s="388">
        <f>47.8*(0.3048)</f>
        <v>14.56944</v>
      </c>
      <c r="AE8369" s="388"/>
      <c r="AF8369" s="388"/>
      <c r="AG8369" s="388"/>
      <c r="AH8369" s="391"/>
      <c r="AI8369" s="397"/>
      <c r="AJ8369" s="397"/>
      <c r="AK8369" s="392"/>
      <c r="AL8369" s="392"/>
      <c r="AM8369" s="392"/>
      <c r="AN8369" s="392"/>
      <c r="AO8369" s="392"/>
      <c r="AP8369" s="392"/>
      <c r="AQ8369" s="392"/>
      <c r="AR8369" s="392"/>
      <c r="AS8369" s="392"/>
      <c r="AT8369" s="392"/>
      <c r="AU8369" s="397"/>
      <c r="AV8369" s="397"/>
      <c r="AW8369" s="397"/>
      <c r="AX8369" s="397"/>
      <c r="AY8369" s="392"/>
      <c r="AZ8369" s="392"/>
      <c r="BA8369" s="392"/>
      <c r="BB8369" s="392"/>
      <c r="BC8369" s="392"/>
      <c r="BD8369" s="392"/>
      <c r="BE8369" s="392"/>
      <c r="BF8369" s="392"/>
      <c r="BG8369" s="392"/>
      <c r="BH8369" s="392"/>
      <c r="BI8369" s="397"/>
      <c r="BJ8369" s="397"/>
      <c r="BK8369" s="397"/>
      <c r="BL8369" s="397"/>
      <c r="BM8369" s="397"/>
      <c r="BN8369" s="397"/>
      <c r="BO8369" s="397"/>
      <c r="BP8369" s="397"/>
      <c r="BQ8369" s="397"/>
      <c r="BR8369" s="397"/>
      <c r="BS8369" s="397"/>
      <c r="BT8369" s="397"/>
      <c r="BU8369" s="397"/>
      <c r="BV8369" s="397"/>
      <c r="BW8369" s="397"/>
      <c r="BX8369" s="397"/>
      <c r="BY8369" s="397"/>
      <c r="BZ8369" s="397"/>
      <c r="CA8369" s="392"/>
      <c r="CB8369" s="392"/>
    </row>
    <row r="8370" spans="1:80" ht="15" x14ac:dyDescent="0.25">
      <c r="A8370" s="412" t="s">
        <v>561</v>
      </c>
      <c r="B8370" s="639" t="s">
        <v>34</v>
      </c>
      <c r="C8370" s="639"/>
      <c r="D8370" s="4">
        <f>VLOOKUP(E8370,'Quality Code'!$D$4:$E$24,2,TRUE)*VLOOKUP(MROUND(F8370,10),'Quality Code'!$D$28:$E$69,2,TRUE)*VLOOKUP(COUNTA(CB8370:CB8380),'Quality Code'!$D$73:$E$93,2,TRUE)</f>
        <v>1.5833293749999999</v>
      </c>
      <c r="E8370" s="14">
        <v>0.95</v>
      </c>
      <c r="F8370" s="2">
        <v>49</v>
      </c>
      <c r="G8370" s="12">
        <f>85.4*2.58998811</f>
        <v>221.18498459400004</v>
      </c>
      <c r="H8370" s="2" t="s">
        <v>559</v>
      </c>
      <c r="I8370" s="2"/>
      <c r="J8370" s="2"/>
      <c r="K8370" s="2"/>
      <c r="L8370" s="628"/>
      <c r="M8370" s="628"/>
      <c r="N8370" s="10"/>
      <c r="O8370" s="10"/>
      <c r="P8370" s="10"/>
      <c r="Q8370" s="10"/>
      <c r="R8370" s="10"/>
      <c r="S8370" s="10"/>
      <c r="T8370" s="10"/>
      <c r="U8370" s="10"/>
      <c r="V8370" s="162"/>
      <c r="W8370" s="162"/>
      <c r="X8370" s="162"/>
      <c r="Y8370" s="162"/>
      <c r="Z8370" s="2"/>
      <c r="AA8370" s="2"/>
      <c r="AB8370" s="2"/>
      <c r="AC8370" s="3">
        <v>2.8999999999999998E-3</v>
      </c>
      <c r="AD8370" s="26"/>
      <c r="AE8370" s="26"/>
      <c r="AF8370" s="26"/>
      <c r="AG8370" s="26"/>
      <c r="AH8370" s="26"/>
      <c r="AI8370" s="18">
        <f>AM8371</f>
        <v>43.54711997682211</v>
      </c>
      <c r="AJ8370" s="26"/>
      <c r="AK8370" s="26" t="s">
        <v>554</v>
      </c>
      <c r="AL8370" s="26" t="s">
        <v>239</v>
      </c>
      <c r="AM8370" s="26" t="s">
        <v>240</v>
      </c>
      <c r="AN8370" s="26" t="s">
        <v>242</v>
      </c>
      <c r="AO8370" s="26" t="s">
        <v>555</v>
      </c>
      <c r="AP8370" s="135" t="s">
        <v>556</v>
      </c>
      <c r="AQ8370" s="135" t="s">
        <v>29</v>
      </c>
      <c r="AR8370" s="135"/>
      <c r="AS8370" s="135"/>
      <c r="AT8370" s="135"/>
      <c r="AU8370" s="4">
        <f>BA8371</f>
        <v>42.134755247775509</v>
      </c>
      <c r="AV8370" s="26"/>
      <c r="AW8370" s="26"/>
      <c r="AX8370" s="26"/>
      <c r="AY8370" s="135" t="s">
        <v>554</v>
      </c>
      <c r="AZ8370" s="135" t="s">
        <v>239</v>
      </c>
      <c r="BA8370" s="135" t="s">
        <v>240</v>
      </c>
      <c r="BB8370" s="135" t="s">
        <v>242</v>
      </c>
      <c r="BC8370" s="135" t="s">
        <v>555</v>
      </c>
      <c r="BD8370" s="135" t="s">
        <v>556</v>
      </c>
      <c r="BE8370" s="135" t="s">
        <v>29</v>
      </c>
      <c r="BF8370" s="135"/>
      <c r="BG8370" s="135"/>
      <c r="BH8370" s="135"/>
      <c r="BI8370" s="12">
        <f>AU8370/AI8370</f>
        <v>0.96756697733860864</v>
      </c>
      <c r="BJ8370" s="12" t="s">
        <v>560</v>
      </c>
      <c r="BK8370" s="12" t="s">
        <v>175</v>
      </c>
      <c r="BL8370" s="2"/>
      <c r="BM8370" s="12">
        <f>1100*0.028317</f>
        <v>31.148699999999998</v>
      </c>
      <c r="BN8370" s="12">
        <f>85.54*0.3048</f>
        <v>26.072592000000004</v>
      </c>
      <c r="BO8370" s="12">
        <f>2.44*0.3048</f>
        <v>0.74371200000000004</v>
      </c>
      <c r="BP8370" s="12">
        <f>208.71*(0.3048^2)</f>
        <v>19.389793478400001</v>
      </c>
      <c r="BQ8370" s="4">
        <f>BN8370/BO8370</f>
        <v>35.057377049180332</v>
      </c>
      <c r="BR8370" s="2"/>
      <c r="BS8370" s="2"/>
      <c r="BT8370" s="2"/>
      <c r="BU8370" s="9"/>
      <c r="BV8370" s="381"/>
      <c r="BW8370" s="2"/>
      <c r="BX8370" s="2"/>
      <c r="BY8370" s="2" t="s">
        <v>83</v>
      </c>
      <c r="BZ8370" s="2" t="s">
        <v>557</v>
      </c>
      <c r="CA8370" s="9"/>
      <c r="CB8370" s="381" t="s">
        <v>567</v>
      </c>
    </row>
    <row r="8371" spans="1:80" ht="15" x14ac:dyDescent="0.25">
      <c r="A8371" s="385"/>
      <c r="B8371" s="392"/>
      <c r="C8371" s="392"/>
      <c r="D8371" s="700"/>
      <c r="E8371" s="397"/>
      <c r="F8371" s="392"/>
      <c r="G8371" s="392"/>
      <c r="H8371" s="401"/>
      <c r="I8371" s="165">
        <v>10</v>
      </c>
      <c r="J8371" s="165">
        <v>120</v>
      </c>
      <c r="K8371" s="165">
        <v>1</v>
      </c>
      <c r="L8371" s="628"/>
      <c r="M8371" s="628"/>
      <c r="N8371" s="388">
        <f>315.3*(0.028317)</f>
        <v>8.9283500999999994</v>
      </c>
      <c r="O8371" s="389">
        <v>6.2713333333333328E-3</v>
      </c>
      <c r="P8371" s="413"/>
      <c r="Q8371" s="413"/>
      <c r="R8371" s="413"/>
      <c r="S8371" s="413">
        <v>2.6103980857080704E-2</v>
      </c>
      <c r="T8371" s="413">
        <v>4.06787035022841E-2</v>
      </c>
      <c r="U8371" s="413">
        <v>0.11638024798781814</v>
      </c>
      <c r="V8371" s="504">
        <v>0.24581248640417666</v>
      </c>
      <c r="W8371" s="504">
        <v>0.46682619099412664</v>
      </c>
      <c r="X8371" s="504">
        <v>6.3519686752229715E-2</v>
      </c>
      <c r="Y8371" s="504">
        <v>4.06787035022841E-2</v>
      </c>
      <c r="Z8371" s="388">
        <v>9</v>
      </c>
      <c r="AA8371" s="388"/>
      <c r="AB8371" s="391"/>
      <c r="AC8371" s="392"/>
      <c r="AD8371" s="388">
        <f>81.8*(0.3048)</f>
        <v>24.932639999999999</v>
      </c>
      <c r="AE8371" s="388">
        <f>1.53960880195599*(0.3048)</f>
        <v>0.46927276283618574</v>
      </c>
      <c r="AF8371" s="388"/>
      <c r="AG8371" s="388">
        <f>2.50357471811974*(0.3048)</f>
        <v>0.76308957408289679</v>
      </c>
      <c r="AH8371" s="391"/>
      <c r="AI8371" s="397"/>
      <c r="AJ8371" s="397"/>
      <c r="AK8371" s="437">
        <v>3.2832310481065359</v>
      </c>
      <c r="AL8371" s="437">
        <v>22.484318428957923</v>
      </c>
      <c r="AM8371" s="437">
        <v>43.54711997682211</v>
      </c>
      <c r="AN8371" s="437">
        <v>102.25509940567106</v>
      </c>
      <c r="AO8371" s="437">
        <v>119.32554013278329</v>
      </c>
      <c r="AP8371" s="438">
        <v>125</v>
      </c>
      <c r="AQ8371" s="392"/>
      <c r="AR8371" s="392"/>
      <c r="AS8371" s="392"/>
      <c r="AT8371" s="392"/>
      <c r="AU8371" s="397"/>
      <c r="AV8371" s="397"/>
      <c r="AW8371" s="397"/>
      <c r="AX8371" s="397"/>
      <c r="AY8371" s="437">
        <v>13.31899752044033</v>
      </c>
      <c r="AZ8371" s="437">
        <v>28.753345684477924</v>
      </c>
      <c r="BA8371" s="437">
        <v>42.134755247775509</v>
      </c>
      <c r="BB8371" s="437">
        <v>93.015355606618783</v>
      </c>
      <c r="BC8371" s="437">
        <v>127.44884046654047</v>
      </c>
      <c r="BD8371" s="438">
        <v>1250</v>
      </c>
      <c r="BE8371" s="392"/>
      <c r="BF8371" s="392"/>
      <c r="BG8371" s="392"/>
      <c r="BH8371" s="392"/>
      <c r="BI8371" s="397"/>
      <c r="BJ8371" s="397"/>
      <c r="BK8371" s="397"/>
      <c r="BL8371" s="397"/>
      <c r="BM8371" s="397"/>
      <c r="BN8371" s="397"/>
      <c r="BO8371" s="397"/>
      <c r="BP8371" s="397"/>
      <c r="BQ8371" s="397"/>
      <c r="BR8371" s="397"/>
      <c r="BS8371" s="397"/>
      <c r="BT8371" s="397"/>
      <c r="BU8371" s="397"/>
      <c r="BV8371" s="397"/>
      <c r="BW8371" s="397"/>
      <c r="BX8371" s="397"/>
      <c r="BY8371" s="397"/>
      <c r="BZ8371" s="397"/>
      <c r="CA8371" s="392"/>
      <c r="CB8371" s="392"/>
    </row>
    <row r="8372" spans="1:80" ht="15" x14ac:dyDescent="0.25">
      <c r="A8372" s="385"/>
      <c r="B8372" s="392"/>
      <c r="C8372" s="392"/>
      <c r="D8372" s="700"/>
      <c r="E8372" s="397"/>
      <c r="F8372" s="392"/>
      <c r="G8372" s="392"/>
      <c r="H8372" s="401"/>
      <c r="I8372" s="165">
        <v>10</v>
      </c>
      <c r="J8372" s="165">
        <v>120</v>
      </c>
      <c r="K8372" s="165">
        <v>1</v>
      </c>
      <c r="L8372" s="628"/>
      <c r="M8372" s="628"/>
      <c r="N8372" s="388">
        <f>469.93*(0.028317)</f>
        <v>13.30700781</v>
      </c>
      <c r="O8372" s="389">
        <v>2.2070116666666667E-2</v>
      </c>
      <c r="P8372" s="413"/>
      <c r="Q8372" s="413"/>
      <c r="R8372" s="413"/>
      <c r="S8372" s="413"/>
      <c r="T8372" s="413">
        <v>2.9333167609222544E-2</v>
      </c>
      <c r="U8372" s="413">
        <v>6.5626747871480956E-2</v>
      </c>
      <c r="V8372" s="504">
        <v>0.17301597166117705</v>
      </c>
      <c r="W8372" s="504">
        <v>0.44969237461935246</v>
      </c>
      <c r="X8372" s="504">
        <v>0.18233795289292151</v>
      </c>
      <c r="Y8372" s="504">
        <v>9.9993785345845507E-2</v>
      </c>
      <c r="Z8372" s="388">
        <v>6</v>
      </c>
      <c r="AA8372" s="388"/>
      <c r="AB8372" s="391"/>
      <c r="AC8372" s="392"/>
      <c r="AD8372" s="388">
        <f>82.3*(0.3048)</f>
        <v>25.085039999999999</v>
      </c>
      <c r="AE8372" s="388">
        <f>1.70340218712029*(0.3048)</f>
        <v>0.51919698663426439</v>
      </c>
      <c r="AF8372" s="388"/>
      <c r="AG8372" s="388">
        <f>3.35209358727441*(0.3048)</f>
        <v>1.0217181254012402</v>
      </c>
      <c r="AH8372" s="391"/>
      <c r="AI8372" s="397"/>
      <c r="AJ8372" s="397"/>
      <c r="AK8372" s="392"/>
      <c r="AL8372" s="392"/>
      <c r="AM8372" s="392"/>
      <c r="AN8372" s="392"/>
      <c r="AO8372" s="392"/>
      <c r="AP8372" s="392"/>
      <c r="AQ8372" s="392"/>
      <c r="AR8372" s="392"/>
      <c r="AS8372" s="392"/>
      <c r="AT8372" s="392"/>
      <c r="AU8372" s="397"/>
      <c r="AV8372" s="397"/>
      <c r="AW8372" s="397"/>
      <c r="AX8372" s="397"/>
      <c r="AY8372" s="392"/>
      <c r="AZ8372" s="392"/>
      <c r="BA8372" s="392"/>
      <c r="BB8372" s="392"/>
      <c r="BC8372" s="392"/>
      <c r="BD8372" s="392"/>
      <c r="BE8372" s="392"/>
      <c r="BF8372" s="392"/>
      <c r="BG8372" s="392"/>
      <c r="BH8372" s="392"/>
      <c r="BI8372" s="397"/>
      <c r="BJ8372" s="397"/>
      <c r="BK8372" s="397"/>
      <c r="BL8372" s="397"/>
      <c r="BM8372" s="397"/>
      <c r="BN8372" s="397"/>
      <c r="BO8372" s="397"/>
      <c r="BP8372" s="397"/>
      <c r="BQ8372" s="397"/>
      <c r="BR8372" s="397"/>
      <c r="BS8372" s="397"/>
      <c r="BT8372" s="397"/>
      <c r="BU8372" s="397"/>
      <c r="BV8372" s="397"/>
      <c r="BW8372" s="397"/>
      <c r="BX8372" s="397"/>
      <c r="BY8372" s="397"/>
      <c r="BZ8372" s="397"/>
      <c r="CA8372" s="392"/>
      <c r="CB8372" s="392"/>
    </row>
    <row r="8373" spans="1:80" ht="15" x14ac:dyDescent="0.25">
      <c r="A8373" s="385"/>
      <c r="B8373" s="392"/>
      <c r="C8373" s="392"/>
      <c r="D8373" s="700"/>
      <c r="E8373" s="397"/>
      <c r="F8373" s="392"/>
      <c r="G8373" s="392"/>
      <c r="H8373" s="401"/>
      <c r="I8373" s="165">
        <v>10</v>
      </c>
      <c r="J8373" s="165">
        <v>120</v>
      </c>
      <c r="K8373" s="165">
        <v>1</v>
      </c>
      <c r="L8373" s="628"/>
      <c r="M8373" s="628"/>
      <c r="N8373" s="388">
        <f>480.02*(0.028317)</f>
        <v>13.592726339999999</v>
      </c>
      <c r="O8373" s="389">
        <v>4.2401333333333326E-2</v>
      </c>
      <c r="P8373" s="413"/>
      <c r="Q8373" s="413"/>
      <c r="R8373" s="413"/>
      <c r="S8373" s="413">
        <v>2.0910448730437046E-2</v>
      </c>
      <c r="T8373" s="413">
        <v>2.9579842846938115E-2</v>
      </c>
      <c r="U8373" s="413">
        <v>5.6691992986557575E-2</v>
      </c>
      <c r="V8373" s="504">
        <v>0.19829209688940844</v>
      </c>
      <c r="W8373" s="504">
        <v>0.40015585427625172</v>
      </c>
      <c r="X8373" s="504">
        <v>0.16458860964997729</v>
      </c>
      <c r="Y8373" s="504">
        <v>0.12978115462042991</v>
      </c>
      <c r="Z8373" s="388">
        <v>19</v>
      </c>
      <c r="AA8373" s="388"/>
      <c r="AB8373" s="391"/>
      <c r="AC8373" s="392"/>
      <c r="AD8373" s="388">
        <f>82.6*(0.3048)</f>
        <v>25.176479999999998</v>
      </c>
      <c r="AE8373" s="388">
        <f>1.24370460048426*(0.3048)</f>
        <v>0.37908116222760246</v>
      </c>
      <c r="AF8373" s="388"/>
      <c r="AG8373" s="388">
        <f>3.32691813491677*(0.3048)</f>
        <v>1.0140446475226315</v>
      </c>
      <c r="AH8373" s="391"/>
      <c r="AI8373" s="397"/>
      <c r="AJ8373" s="397"/>
      <c r="AK8373" s="392"/>
      <c r="AL8373" s="392"/>
      <c r="AM8373" s="392"/>
      <c r="AN8373" s="392"/>
      <c r="AO8373" s="392"/>
      <c r="AP8373" s="392"/>
      <c r="AQ8373" s="392"/>
      <c r="AR8373" s="392"/>
      <c r="AS8373" s="392"/>
      <c r="AT8373" s="392"/>
      <c r="AU8373" s="397"/>
      <c r="AV8373" s="397"/>
      <c r="AW8373" s="397"/>
      <c r="AX8373" s="397"/>
      <c r="AY8373" s="392"/>
      <c r="AZ8373" s="392"/>
      <c r="BA8373" s="392"/>
      <c r="BB8373" s="392"/>
      <c r="BC8373" s="392"/>
      <c r="BD8373" s="392"/>
      <c r="BE8373" s="392"/>
      <c r="BF8373" s="392"/>
      <c r="BG8373" s="392"/>
      <c r="BH8373" s="392"/>
      <c r="BI8373" s="397"/>
      <c r="BJ8373" s="397"/>
      <c r="BK8373" s="397"/>
      <c r="BL8373" s="397"/>
      <c r="BM8373" s="397"/>
      <c r="BN8373" s="397"/>
      <c r="BO8373" s="397"/>
      <c r="BP8373" s="397"/>
      <c r="BQ8373" s="397"/>
      <c r="BR8373" s="397"/>
      <c r="BS8373" s="397"/>
      <c r="BT8373" s="397"/>
      <c r="BU8373" s="397"/>
      <c r="BV8373" s="397"/>
      <c r="BW8373" s="397"/>
      <c r="BX8373" s="397"/>
      <c r="BY8373" s="397"/>
      <c r="BZ8373" s="397"/>
      <c r="CA8373" s="392"/>
      <c r="CB8373" s="392"/>
    </row>
    <row r="8374" spans="1:80" ht="15" x14ac:dyDescent="0.25">
      <c r="A8374" s="385"/>
      <c r="B8374" s="392"/>
      <c r="C8374" s="392"/>
      <c r="D8374" s="700"/>
      <c r="E8374" s="397"/>
      <c r="F8374" s="392"/>
      <c r="G8374" s="392"/>
      <c r="H8374" s="401"/>
      <c r="I8374" s="165">
        <v>10</v>
      </c>
      <c r="J8374" s="165">
        <v>120</v>
      </c>
      <c r="K8374" s="165">
        <v>1</v>
      </c>
      <c r="L8374" s="628"/>
      <c r="M8374" s="628"/>
      <c r="N8374" s="388">
        <f>423.79*(0.028317)</f>
        <v>12.00046143</v>
      </c>
      <c r="O8374" s="389">
        <v>2.6171400000000001E-2</v>
      </c>
      <c r="P8374" s="413"/>
      <c r="Q8374" s="413"/>
      <c r="R8374" s="413"/>
      <c r="S8374" s="413">
        <v>2.7731180540993917E-2</v>
      </c>
      <c r="T8374" s="413">
        <v>4.2566575802054932E-2</v>
      </c>
      <c r="U8374" s="413">
        <v>8.7387292933529037E-2</v>
      </c>
      <c r="V8374" s="504">
        <v>0.28355001048437828</v>
      </c>
      <c r="W8374" s="504">
        <v>0.37366324176976301</v>
      </c>
      <c r="X8374" s="504">
        <v>0.11228769133990354</v>
      </c>
      <c r="Y8374" s="504">
        <v>7.2814007129377217E-2</v>
      </c>
      <c r="Z8374" s="388">
        <v>12</v>
      </c>
      <c r="AA8374" s="388"/>
      <c r="AB8374" s="391"/>
      <c r="AC8374" s="392"/>
      <c r="AD8374" s="388">
        <f>82.3*(0.3048)</f>
        <v>25.085039999999999</v>
      </c>
      <c r="AE8374" s="388">
        <f>1.75091130012151*(0.3048)</f>
        <v>0.53367776427703628</v>
      </c>
      <c r="AF8374" s="388"/>
      <c r="AG8374" s="388">
        <f>2.94093546148508*(0.3048)</f>
        <v>0.89639712866065246</v>
      </c>
      <c r="AH8374" s="391"/>
      <c r="AI8374" s="397"/>
      <c r="AJ8374" s="397"/>
      <c r="AK8374" s="392"/>
      <c r="AL8374" s="392"/>
      <c r="AM8374" s="392"/>
      <c r="AN8374" s="392"/>
      <c r="AO8374" s="392"/>
      <c r="AP8374" s="392"/>
      <c r="AQ8374" s="392"/>
      <c r="AR8374" s="392"/>
      <c r="AS8374" s="392"/>
      <c r="AT8374" s="392"/>
      <c r="AU8374" s="397"/>
      <c r="AV8374" s="397"/>
      <c r="AW8374" s="397"/>
      <c r="AX8374" s="397"/>
      <c r="AY8374" s="392"/>
      <c r="AZ8374" s="392"/>
      <c r="BA8374" s="392"/>
      <c r="BB8374" s="392"/>
      <c r="BC8374" s="392"/>
      <c r="BD8374" s="392"/>
      <c r="BE8374" s="392"/>
      <c r="BF8374" s="392"/>
      <c r="BG8374" s="392"/>
      <c r="BH8374" s="392"/>
      <c r="BI8374" s="397"/>
      <c r="BJ8374" s="397"/>
      <c r="BK8374" s="397"/>
      <c r="BL8374" s="397"/>
      <c r="BM8374" s="397"/>
      <c r="BN8374" s="397"/>
      <c r="BO8374" s="397"/>
      <c r="BP8374" s="397"/>
      <c r="BQ8374" s="397"/>
      <c r="BR8374" s="397"/>
      <c r="BS8374" s="397"/>
      <c r="BT8374" s="397"/>
      <c r="BU8374" s="397"/>
      <c r="BV8374" s="397"/>
      <c r="BW8374" s="397"/>
      <c r="BX8374" s="397"/>
      <c r="BY8374" s="397"/>
      <c r="BZ8374" s="397"/>
      <c r="CA8374" s="392"/>
      <c r="CB8374" s="392"/>
    </row>
    <row r="8375" spans="1:80" ht="15" x14ac:dyDescent="0.25">
      <c r="A8375" s="385"/>
      <c r="B8375" s="392"/>
      <c r="C8375" s="392"/>
      <c r="D8375" s="700"/>
      <c r="E8375" s="397"/>
      <c r="F8375" s="392"/>
      <c r="G8375" s="392"/>
      <c r="H8375" s="401"/>
      <c r="I8375" s="165">
        <v>10</v>
      </c>
      <c r="J8375" s="165">
        <v>120</v>
      </c>
      <c r="K8375" s="165">
        <v>1</v>
      </c>
      <c r="L8375" s="628"/>
      <c r="M8375" s="628"/>
      <c r="N8375" s="388">
        <f>599.46*(0.028317)</f>
        <v>16.97490882</v>
      </c>
      <c r="O8375" s="389">
        <v>1.35779E-2</v>
      </c>
      <c r="P8375" s="413"/>
      <c r="Q8375" s="413"/>
      <c r="R8375" s="413"/>
      <c r="S8375" s="413">
        <v>5.1442012681529953E-2</v>
      </c>
      <c r="T8375" s="413">
        <v>3.4771937001431774E-2</v>
      </c>
      <c r="U8375" s="413">
        <v>2.0556350992022899E-2</v>
      </c>
      <c r="V8375" s="504">
        <v>3.3646962569032511E-2</v>
      </c>
      <c r="W8375" s="504">
        <v>0.151462466762119</v>
      </c>
      <c r="X8375" s="504">
        <v>0.30343628553896496</v>
      </c>
      <c r="Y8375" s="504">
        <v>0.40468398445489862</v>
      </c>
      <c r="Z8375" s="388">
        <v>12</v>
      </c>
      <c r="AA8375" s="388"/>
      <c r="AB8375" s="391"/>
      <c r="AC8375" s="392"/>
      <c r="AD8375" s="388">
        <f>83.3*(0.3048)</f>
        <v>25.38984</v>
      </c>
      <c r="AE8375" s="388"/>
      <c r="AF8375" s="388"/>
      <c r="AG8375" s="388"/>
      <c r="AH8375" s="391"/>
      <c r="AI8375" s="397"/>
      <c r="AJ8375" s="397"/>
      <c r="AK8375" s="392"/>
      <c r="AL8375" s="392"/>
      <c r="AM8375" s="392"/>
      <c r="AN8375" s="392"/>
      <c r="AO8375" s="392"/>
      <c r="AP8375" s="392"/>
      <c r="AQ8375" s="392"/>
      <c r="AR8375" s="392"/>
      <c r="AS8375" s="392"/>
      <c r="AT8375" s="392"/>
      <c r="AU8375" s="397"/>
      <c r="AV8375" s="397"/>
      <c r="AW8375" s="397"/>
      <c r="AX8375" s="397"/>
      <c r="AY8375" s="392"/>
      <c r="AZ8375" s="392"/>
      <c r="BA8375" s="392"/>
      <c r="BB8375" s="392"/>
      <c r="BC8375" s="392"/>
      <c r="BD8375" s="392"/>
      <c r="BE8375" s="392"/>
      <c r="BF8375" s="392"/>
      <c r="BG8375" s="392"/>
      <c r="BH8375" s="392"/>
      <c r="BI8375" s="397"/>
      <c r="BJ8375" s="397"/>
      <c r="BK8375" s="397"/>
      <c r="BL8375" s="397"/>
      <c r="BM8375" s="397"/>
      <c r="BN8375" s="397"/>
      <c r="BO8375" s="397"/>
      <c r="BP8375" s="397"/>
      <c r="BQ8375" s="397"/>
      <c r="BR8375" s="397"/>
      <c r="BS8375" s="397"/>
      <c r="BT8375" s="397"/>
      <c r="BU8375" s="397"/>
      <c r="BV8375" s="397"/>
      <c r="BW8375" s="397"/>
      <c r="BX8375" s="397"/>
      <c r="BY8375" s="397"/>
      <c r="BZ8375" s="397"/>
      <c r="CA8375" s="392"/>
      <c r="CB8375" s="392"/>
    </row>
    <row r="8376" spans="1:80" ht="15" x14ac:dyDescent="0.25">
      <c r="A8376" s="385"/>
      <c r="B8376" s="392"/>
      <c r="C8376" s="392"/>
      <c r="D8376" s="700"/>
      <c r="E8376" s="397"/>
      <c r="F8376" s="392"/>
      <c r="G8376" s="392"/>
      <c r="H8376" s="401"/>
      <c r="I8376" s="165">
        <v>10</v>
      </c>
      <c r="J8376" s="165">
        <v>120</v>
      </c>
      <c r="K8376" s="165">
        <v>1</v>
      </c>
      <c r="L8376" s="628"/>
      <c r="M8376" s="628"/>
      <c r="N8376" s="388">
        <f>657.81*(0.028317)</f>
        <v>18.627205769999996</v>
      </c>
      <c r="O8376" s="389">
        <v>1.56332E-2</v>
      </c>
      <c r="P8376" s="413"/>
      <c r="Q8376" s="413"/>
      <c r="R8376" s="413"/>
      <c r="S8376" s="413"/>
      <c r="T8376" s="413"/>
      <c r="U8376" s="413">
        <v>8.6445058372694051E-3</v>
      </c>
      <c r="V8376" s="504">
        <v>3.0478566972640581E-2</v>
      </c>
      <c r="W8376" s="504">
        <v>0.21049817306835397</v>
      </c>
      <c r="X8376" s="504">
        <v>0.24917565279386863</v>
      </c>
      <c r="Y8376" s="504">
        <v>0.50120310132786738</v>
      </c>
      <c r="Z8376" s="388">
        <v>2</v>
      </c>
      <c r="AA8376" s="388"/>
      <c r="AB8376" s="391"/>
      <c r="AC8376" s="392"/>
      <c r="AD8376" s="388">
        <f>83.6*(0.3048)</f>
        <v>25.481279999999998</v>
      </c>
      <c r="AE8376" s="388">
        <f>1.90131578947368*(0.3048)</f>
        <v>0.57952105263157772</v>
      </c>
      <c r="AF8376" s="388"/>
      <c r="AG8376" s="388">
        <f>4.13847184649261*(0.3048)</f>
        <v>1.2614062188109476</v>
      </c>
      <c r="AH8376" s="391"/>
      <c r="AI8376" s="397"/>
      <c r="AJ8376" s="397"/>
      <c r="AK8376" s="392"/>
      <c r="AL8376" s="392"/>
      <c r="AM8376" s="392"/>
      <c r="AN8376" s="392"/>
      <c r="AO8376" s="392"/>
      <c r="AP8376" s="392"/>
      <c r="AQ8376" s="392"/>
      <c r="AR8376" s="392"/>
      <c r="AS8376" s="392"/>
      <c r="AT8376" s="392"/>
      <c r="AU8376" s="397"/>
      <c r="AV8376" s="397"/>
      <c r="AW8376" s="397"/>
      <c r="AX8376" s="397"/>
      <c r="AY8376" s="392"/>
      <c r="AZ8376" s="392"/>
      <c r="BA8376" s="392"/>
      <c r="BB8376" s="392"/>
      <c r="BC8376" s="392"/>
      <c r="BD8376" s="392"/>
      <c r="BE8376" s="392"/>
      <c r="BF8376" s="392"/>
      <c r="BG8376" s="392"/>
      <c r="BH8376" s="392"/>
      <c r="BI8376" s="397"/>
      <c r="BJ8376" s="397"/>
      <c r="BK8376" s="397"/>
      <c r="BL8376" s="397"/>
      <c r="BM8376" s="397"/>
      <c r="BN8376" s="397"/>
      <c r="BO8376" s="397"/>
      <c r="BP8376" s="397"/>
      <c r="BQ8376" s="397"/>
      <c r="BR8376" s="397"/>
      <c r="BS8376" s="397"/>
      <c r="BT8376" s="397"/>
      <c r="BU8376" s="397"/>
      <c r="BV8376" s="397"/>
      <c r="BW8376" s="397"/>
      <c r="BX8376" s="397"/>
      <c r="BY8376" s="397"/>
      <c r="BZ8376" s="397"/>
      <c r="CA8376" s="392"/>
      <c r="CB8376" s="392"/>
    </row>
    <row r="8377" spans="1:80" ht="15" x14ac:dyDescent="0.25">
      <c r="A8377" s="385"/>
      <c r="B8377" s="392"/>
      <c r="C8377" s="392"/>
      <c r="D8377" s="700"/>
      <c r="E8377" s="397"/>
      <c r="F8377" s="392"/>
      <c r="G8377" s="392"/>
      <c r="H8377" s="401"/>
      <c r="I8377" s="165">
        <v>10</v>
      </c>
      <c r="J8377" s="165">
        <v>120</v>
      </c>
      <c r="K8377" s="165">
        <v>1</v>
      </c>
      <c r="L8377" s="628"/>
      <c r="M8377" s="628"/>
      <c r="N8377" s="388">
        <f>885.34*(0.028317)</f>
        <v>25.07017278</v>
      </c>
      <c r="O8377" s="389">
        <v>1.3763633333333336E-2</v>
      </c>
      <c r="P8377" s="413"/>
      <c r="Q8377" s="413"/>
      <c r="R8377" s="413"/>
      <c r="S8377" s="413"/>
      <c r="T8377" s="413"/>
      <c r="U8377" s="413">
        <v>3.5178479048111745E-3</v>
      </c>
      <c r="V8377" s="504">
        <v>2.172788411795137E-2</v>
      </c>
      <c r="W8377" s="504">
        <v>0.18841179513709261</v>
      </c>
      <c r="X8377" s="504">
        <v>0.33740300051733058</v>
      </c>
      <c r="Y8377" s="504">
        <v>0.44893947232281428</v>
      </c>
      <c r="Z8377" s="388">
        <v>2</v>
      </c>
      <c r="AA8377" s="388"/>
      <c r="AB8377" s="391"/>
      <c r="AC8377" s="392"/>
      <c r="AD8377" s="388">
        <f>85.4*(0.3048)</f>
        <v>26.029920000000004</v>
      </c>
      <c r="AE8377" s="388">
        <f>2.24383489461358*(0.3048)</f>
        <v>0.68392087587821926</v>
      </c>
      <c r="AF8377" s="388"/>
      <c r="AG8377" s="388">
        <f>4.62022011913988*(0.3048)</f>
        <v>1.4082430923138354</v>
      </c>
      <c r="AH8377" s="391"/>
      <c r="AI8377" s="397"/>
      <c r="AJ8377" s="397"/>
      <c r="AK8377" s="392"/>
      <c r="AL8377" s="392"/>
      <c r="AM8377" s="392"/>
      <c r="AN8377" s="392"/>
      <c r="AO8377" s="392"/>
      <c r="AP8377" s="392"/>
      <c r="AQ8377" s="392"/>
      <c r="AR8377" s="392"/>
      <c r="AS8377" s="392"/>
      <c r="AT8377" s="392"/>
      <c r="AU8377" s="397"/>
      <c r="AV8377" s="397"/>
      <c r="AW8377" s="397"/>
      <c r="AX8377" s="397"/>
      <c r="AY8377" s="392"/>
      <c r="AZ8377" s="392"/>
      <c r="BA8377" s="392"/>
      <c r="BB8377" s="392"/>
      <c r="BC8377" s="392"/>
      <c r="BD8377" s="392"/>
      <c r="BE8377" s="392"/>
      <c r="BF8377" s="392"/>
      <c r="BG8377" s="392"/>
      <c r="BH8377" s="392"/>
      <c r="BI8377" s="397"/>
      <c r="BJ8377" s="397"/>
      <c r="BK8377" s="397"/>
      <c r="BL8377" s="397"/>
      <c r="BM8377" s="397"/>
      <c r="BN8377" s="397"/>
      <c r="BO8377" s="397"/>
      <c r="BP8377" s="397"/>
      <c r="BQ8377" s="397"/>
      <c r="BR8377" s="397"/>
      <c r="BS8377" s="397"/>
      <c r="BT8377" s="397"/>
      <c r="BU8377" s="397"/>
      <c r="BV8377" s="397"/>
      <c r="BW8377" s="397"/>
      <c r="BX8377" s="397"/>
      <c r="BY8377" s="397"/>
      <c r="BZ8377" s="397"/>
      <c r="CA8377" s="392"/>
      <c r="CB8377" s="392"/>
    </row>
    <row r="8378" spans="1:80" ht="15" x14ac:dyDescent="0.25">
      <c r="A8378" s="385"/>
      <c r="B8378" s="392"/>
      <c r="C8378" s="392"/>
      <c r="D8378" s="700"/>
      <c r="E8378" s="397"/>
      <c r="F8378" s="392"/>
      <c r="G8378" s="392"/>
      <c r="H8378" s="401"/>
      <c r="I8378" s="165">
        <v>10</v>
      </c>
      <c r="J8378" s="165">
        <v>120</v>
      </c>
      <c r="K8378" s="165">
        <v>1</v>
      </c>
      <c r="L8378" s="628"/>
      <c r="M8378" s="628"/>
      <c r="N8378" s="388">
        <f>774.72*(0.028317)</f>
        <v>21.937746239999999</v>
      </c>
      <c r="O8378" s="389">
        <v>0.44263350000000001</v>
      </c>
      <c r="P8378" s="413"/>
      <c r="Q8378" s="413">
        <v>0.19346736043920723</v>
      </c>
      <c r="R8378" s="413">
        <v>2.7686819057103872E-2</v>
      </c>
      <c r="S8378" s="413">
        <v>3.6486090406840241E-2</v>
      </c>
      <c r="T8378" s="413">
        <v>3.4349304599132054E-2</v>
      </c>
      <c r="U8378" s="413">
        <v>7.8232203694307278E-2</v>
      </c>
      <c r="V8378" s="504">
        <v>0.24059010586229398</v>
      </c>
      <c r="W8378" s="504">
        <v>0.3162726639541884</v>
      </c>
      <c r="X8378" s="504">
        <v>4.6369512667862184E-2</v>
      </c>
      <c r="Y8378" s="504">
        <v>2.6545939319064991E-2</v>
      </c>
      <c r="Z8378" s="388">
        <v>54</v>
      </c>
      <c r="AA8378" s="388"/>
      <c r="AB8378" s="391"/>
      <c r="AC8378" s="392"/>
      <c r="AD8378" s="388">
        <f>83.7*(0.3048)</f>
        <v>25.511760000000002</v>
      </c>
      <c r="AE8378" s="388">
        <f>2.10400238948626*(0.3048)</f>
        <v>0.64129992831541205</v>
      </c>
      <c r="AF8378" s="388"/>
      <c r="AG8378" s="388">
        <f>4.39918230601062*(0.3048)</f>
        <v>1.340870766872037</v>
      </c>
      <c r="AH8378" s="391"/>
      <c r="AI8378" s="397"/>
      <c r="AJ8378" s="397"/>
      <c r="AK8378" s="392"/>
      <c r="AL8378" s="392"/>
      <c r="AM8378" s="392"/>
      <c r="AN8378" s="392"/>
      <c r="AO8378" s="392"/>
      <c r="AP8378" s="392"/>
      <c r="AQ8378" s="392"/>
      <c r="AR8378" s="392"/>
      <c r="AS8378" s="392"/>
      <c r="AT8378" s="392"/>
      <c r="AU8378" s="397"/>
      <c r="AV8378" s="397"/>
      <c r="AW8378" s="397"/>
      <c r="AX8378" s="397"/>
      <c r="AY8378" s="392"/>
      <c r="AZ8378" s="392"/>
      <c r="BA8378" s="392"/>
      <c r="BB8378" s="392"/>
      <c r="BC8378" s="392"/>
      <c r="BD8378" s="392"/>
      <c r="BE8378" s="392"/>
      <c r="BF8378" s="392"/>
      <c r="BG8378" s="392"/>
      <c r="BH8378" s="392"/>
      <c r="BI8378" s="397"/>
      <c r="BJ8378" s="397"/>
      <c r="BK8378" s="397"/>
      <c r="BL8378" s="397"/>
      <c r="BM8378" s="397"/>
      <c r="BN8378" s="397"/>
      <c r="BO8378" s="397"/>
      <c r="BP8378" s="397"/>
      <c r="BQ8378" s="397"/>
      <c r="BR8378" s="397"/>
      <c r="BS8378" s="397"/>
      <c r="BT8378" s="397"/>
      <c r="BU8378" s="397"/>
      <c r="BV8378" s="397"/>
      <c r="BW8378" s="397"/>
      <c r="BX8378" s="397"/>
      <c r="BY8378" s="397"/>
      <c r="BZ8378" s="397"/>
      <c r="CA8378" s="392"/>
      <c r="CB8378" s="392"/>
    </row>
    <row r="8379" spans="1:80" ht="15" x14ac:dyDescent="0.25">
      <c r="A8379" s="385"/>
      <c r="B8379" s="392"/>
      <c r="C8379" s="392"/>
      <c r="D8379" s="700"/>
      <c r="E8379" s="397"/>
      <c r="F8379" s="392"/>
      <c r="G8379" s="392"/>
      <c r="H8379" s="401"/>
      <c r="I8379" s="165">
        <v>10</v>
      </c>
      <c r="J8379" s="165">
        <v>120</v>
      </c>
      <c r="K8379" s="165">
        <v>1</v>
      </c>
      <c r="L8379" s="628"/>
      <c r="M8379" s="628"/>
      <c r="N8379" s="388">
        <f>586.13*(0.028317)</f>
        <v>16.597443209999998</v>
      </c>
      <c r="O8379" s="389">
        <v>0.199686</v>
      </c>
      <c r="P8379" s="413"/>
      <c r="Q8379" s="413"/>
      <c r="R8379" s="413">
        <v>3.5700957830575933E-2</v>
      </c>
      <c r="S8379" s="413">
        <v>4.5776837915163571E-2</v>
      </c>
      <c r="T8379" s="413">
        <v>4.175477878674793E-2</v>
      </c>
      <c r="U8379" s="413">
        <v>9.4124476510345376E-2</v>
      </c>
      <c r="V8379" s="504">
        <v>0.40713328081159894</v>
      </c>
      <c r="W8379" s="504">
        <v>0.2850755345468618</v>
      </c>
      <c r="X8379" s="504">
        <v>6.0171939572362498E-2</v>
      </c>
      <c r="Y8379" s="504">
        <v>3.0262194026343791E-2</v>
      </c>
      <c r="Z8379" s="388">
        <v>25</v>
      </c>
      <c r="AA8379" s="388"/>
      <c r="AB8379" s="391"/>
      <c r="AC8379" s="392"/>
      <c r="AD8379" s="388">
        <f>82.8*(0.3048)</f>
        <v>25.237439999999999</v>
      </c>
      <c r="AE8379" s="388">
        <f>1.87880434782609*(0.3048)</f>
        <v>0.57265956521739225</v>
      </c>
      <c r="AF8379" s="388"/>
      <c r="AG8379" s="388">
        <f>3.76777392086909*(0.3048)</f>
        <v>1.1484174910808986</v>
      </c>
      <c r="AH8379" s="391"/>
      <c r="AI8379" s="397"/>
      <c r="AJ8379" s="397"/>
      <c r="AK8379" s="392"/>
      <c r="AL8379" s="392"/>
      <c r="AM8379" s="392"/>
      <c r="AN8379" s="392"/>
      <c r="AO8379" s="392"/>
      <c r="AP8379" s="392"/>
      <c r="AQ8379" s="392"/>
      <c r="AR8379" s="392"/>
      <c r="AS8379" s="392"/>
      <c r="AT8379" s="392"/>
      <c r="AU8379" s="397"/>
      <c r="AV8379" s="397"/>
      <c r="AW8379" s="397"/>
      <c r="AX8379" s="397"/>
      <c r="AY8379" s="392"/>
      <c r="AZ8379" s="392"/>
      <c r="BA8379" s="392"/>
      <c r="BB8379" s="392"/>
      <c r="BC8379" s="392"/>
      <c r="BD8379" s="392"/>
      <c r="BE8379" s="392"/>
      <c r="BF8379" s="392"/>
      <c r="BG8379" s="392"/>
      <c r="BH8379" s="392"/>
      <c r="BI8379" s="397"/>
      <c r="BJ8379" s="397"/>
      <c r="BK8379" s="397"/>
      <c r="BL8379" s="397"/>
      <c r="BM8379" s="397"/>
      <c r="BN8379" s="397"/>
      <c r="BO8379" s="397"/>
      <c r="BP8379" s="397"/>
      <c r="BQ8379" s="397"/>
      <c r="BR8379" s="397"/>
      <c r="BS8379" s="397"/>
      <c r="BT8379" s="397"/>
      <c r="BU8379" s="397"/>
      <c r="BV8379" s="397"/>
      <c r="BW8379" s="397"/>
      <c r="BX8379" s="397"/>
      <c r="BY8379" s="397"/>
      <c r="BZ8379" s="397"/>
      <c r="CA8379" s="392"/>
      <c r="CB8379" s="392"/>
    </row>
    <row r="8380" spans="1:80" ht="15" x14ac:dyDescent="0.25">
      <c r="A8380" s="385"/>
      <c r="B8380" s="392"/>
      <c r="C8380" s="392"/>
      <c r="D8380" s="700"/>
      <c r="E8380" s="397"/>
      <c r="F8380" s="392"/>
      <c r="G8380" s="392"/>
      <c r="H8380" s="401"/>
      <c r="I8380" s="165">
        <v>10</v>
      </c>
      <c r="J8380" s="165">
        <v>120</v>
      </c>
      <c r="K8380" s="165">
        <v>1</v>
      </c>
      <c r="L8380" s="628"/>
      <c r="M8380" s="628"/>
      <c r="N8380" s="388">
        <f>633.35*(0.028317)</f>
        <v>17.934571949999999</v>
      </c>
      <c r="O8380" s="389">
        <v>0.1522115</v>
      </c>
      <c r="P8380" s="413"/>
      <c r="Q8380" s="413"/>
      <c r="R8380" s="413">
        <v>4.5022338286275818E-2</v>
      </c>
      <c r="S8380" s="413">
        <v>2.8325492943649277E-2</v>
      </c>
      <c r="T8380" s="413">
        <v>5.0736572005714221E-2</v>
      </c>
      <c r="U8380" s="413">
        <v>9.7869901092801692E-2</v>
      </c>
      <c r="V8380" s="504">
        <v>0.34854095959090448</v>
      </c>
      <c r="W8380" s="504">
        <v>0.31815907043611974</v>
      </c>
      <c r="X8380" s="504">
        <v>7.1109453053202418E-2</v>
      </c>
      <c r="Y8380" s="504">
        <v>4.0236212591332192E-2</v>
      </c>
      <c r="Z8380" s="388">
        <v>31</v>
      </c>
      <c r="AA8380" s="388"/>
      <c r="AB8380" s="391"/>
      <c r="AC8380" s="392"/>
      <c r="AD8380" s="388">
        <f>83.1*(0.3048)</f>
        <v>25.328879999999998</v>
      </c>
      <c r="AE8380" s="388">
        <f>1.93338146811071*(0.3048)</f>
        <v>0.58929467148014447</v>
      </c>
      <c r="AF8380" s="388"/>
      <c r="AG8380" s="388">
        <f>3.94207507593487*(0.3048)</f>
        <v>1.2015444831449484</v>
      </c>
      <c r="AH8380" s="391"/>
      <c r="AI8380" s="397"/>
      <c r="AJ8380" s="397"/>
      <c r="AK8380" s="392"/>
      <c r="AL8380" s="392"/>
      <c r="AM8380" s="392"/>
      <c r="AN8380" s="392"/>
      <c r="AO8380" s="392"/>
      <c r="AP8380" s="392"/>
      <c r="AQ8380" s="392"/>
      <c r="AR8380" s="392"/>
      <c r="AS8380" s="392"/>
      <c r="AT8380" s="392"/>
      <c r="AU8380" s="397"/>
      <c r="AV8380" s="397"/>
      <c r="AW8380" s="397"/>
      <c r="AX8380" s="397"/>
      <c r="AY8380" s="392"/>
      <c r="AZ8380" s="392"/>
      <c r="BA8380" s="392"/>
      <c r="BB8380" s="392"/>
      <c r="BC8380" s="392"/>
      <c r="BD8380" s="392"/>
      <c r="BE8380" s="392"/>
      <c r="BF8380" s="392"/>
      <c r="BG8380" s="392"/>
      <c r="BH8380" s="392"/>
      <c r="BI8380" s="397"/>
      <c r="BJ8380" s="397"/>
      <c r="BK8380" s="397"/>
      <c r="BL8380" s="397"/>
      <c r="BM8380" s="397"/>
      <c r="BN8380" s="397"/>
      <c r="BO8380" s="397"/>
      <c r="BP8380" s="397"/>
      <c r="BQ8380" s="397"/>
      <c r="BR8380" s="397"/>
      <c r="BS8380" s="397"/>
      <c r="BT8380" s="397"/>
      <c r="BU8380" s="397"/>
      <c r="BV8380" s="397"/>
      <c r="BW8380" s="397"/>
      <c r="BX8380" s="397"/>
      <c r="BY8380" s="397"/>
      <c r="BZ8380" s="397"/>
      <c r="CA8380" s="392"/>
      <c r="CB8380" s="392"/>
    </row>
    <row r="8381" spans="1:80" ht="15" x14ac:dyDescent="0.25">
      <c r="A8381" s="385"/>
      <c r="B8381" s="392"/>
      <c r="C8381" s="392"/>
      <c r="D8381" s="700"/>
      <c r="E8381" s="397"/>
      <c r="F8381" s="392"/>
      <c r="G8381" s="392"/>
      <c r="H8381" s="401"/>
      <c r="I8381" s="165">
        <v>10</v>
      </c>
      <c r="J8381" s="165">
        <v>120</v>
      </c>
      <c r="K8381" s="165">
        <v>1</v>
      </c>
      <c r="L8381" s="628"/>
      <c r="M8381" s="628"/>
      <c r="N8381" s="388">
        <f>625.13*(0.028317)</f>
        <v>17.701806209999997</v>
      </c>
      <c r="O8381" s="389">
        <v>0.20578329999999997</v>
      </c>
      <c r="P8381" s="413"/>
      <c r="Q8381" s="413">
        <v>6.1581742191233184E-2</v>
      </c>
      <c r="R8381" s="413">
        <v>5.9091551523390969E-2</v>
      </c>
      <c r="S8381" s="413">
        <v>9.1564983881063128E-2</v>
      </c>
      <c r="T8381" s="413">
        <v>8.3757899625125351E-2</v>
      </c>
      <c r="U8381" s="413">
        <v>0.13406648136058633</v>
      </c>
      <c r="V8381" s="504">
        <v>0.21906947631963281</v>
      </c>
      <c r="W8381" s="504">
        <v>0.23868814063520052</v>
      </c>
      <c r="X8381" s="504">
        <v>8.0594684452460916E-2</v>
      </c>
      <c r="Y8381" s="504">
        <v>3.1585040011306811E-2</v>
      </c>
      <c r="Z8381" s="388">
        <v>49</v>
      </c>
      <c r="AA8381" s="388"/>
      <c r="AB8381" s="391"/>
      <c r="AC8381" s="392"/>
      <c r="AD8381" s="388">
        <f>83.1*(0.3048)</f>
        <v>25.328879999999998</v>
      </c>
      <c r="AE8381" s="388">
        <f>1.83020457280385*(0.3048)</f>
        <v>0.55784635379061354</v>
      </c>
      <c r="AF8381" s="388"/>
      <c r="AG8381" s="388">
        <f>4.11026563219147*(0.3048)</f>
        <v>1.25280896469196</v>
      </c>
      <c r="AH8381" s="391"/>
      <c r="AI8381" s="397"/>
      <c r="AJ8381" s="397"/>
      <c r="AK8381" s="392"/>
      <c r="AL8381" s="392"/>
      <c r="AM8381" s="392"/>
      <c r="AN8381" s="392"/>
      <c r="AO8381" s="392"/>
      <c r="AP8381" s="392"/>
      <c r="AQ8381" s="392"/>
      <c r="AR8381" s="392"/>
      <c r="AS8381" s="392"/>
      <c r="AT8381" s="392"/>
      <c r="AU8381" s="397"/>
      <c r="AV8381" s="397"/>
      <c r="AW8381" s="397"/>
      <c r="AX8381" s="397"/>
      <c r="AY8381" s="392"/>
      <c r="AZ8381" s="392"/>
      <c r="BA8381" s="392"/>
      <c r="BB8381" s="392"/>
      <c r="BC8381" s="392"/>
      <c r="BD8381" s="392"/>
      <c r="BE8381" s="392"/>
      <c r="BF8381" s="392"/>
      <c r="BG8381" s="392"/>
      <c r="BH8381" s="392"/>
      <c r="BI8381" s="397"/>
      <c r="BJ8381" s="397"/>
      <c r="BK8381" s="397"/>
      <c r="BL8381" s="397"/>
      <c r="BM8381" s="397"/>
      <c r="BN8381" s="397"/>
      <c r="BO8381" s="397"/>
      <c r="BP8381" s="397"/>
      <c r="BQ8381" s="397"/>
      <c r="BR8381" s="397"/>
      <c r="BS8381" s="397"/>
      <c r="BT8381" s="397"/>
      <c r="BU8381" s="397"/>
      <c r="BV8381" s="397"/>
      <c r="BW8381" s="397"/>
      <c r="BX8381" s="397"/>
      <c r="BY8381" s="397"/>
      <c r="BZ8381" s="397"/>
      <c r="CA8381" s="392"/>
      <c r="CB8381" s="392"/>
    </row>
    <row r="8382" spans="1:80" ht="15" x14ac:dyDescent="0.25">
      <c r="A8382" s="385"/>
      <c r="B8382" s="392"/>
      <c r="C8382" s="392"/>
      <c r="D8382" s="700"/>
      <c r="E8382" s="397"/>
      <c r="F8382" s="392"/>
      <c r="G8382" s="392"/>
      <c r="H8382" s="401"/>
      <c r="I8382" s="165">
        <v>10</v>
      </c>
      <c r="J8382" s="165">
        <v>120</v>
      </c>
      <c r="K8382" s="165">
        <v>1</v>
      </c>
      <c r="L8382" s="628"/>
      <c r="M8382" s="628"/>
      <c r="N8382" s="388">
        <f>784.69*(0.028317)</f>
        <v>22.220066729999999</v>
      </c>
      <c r="O8382" s="389">
        <v>0.4843594</v>
      </c>
      <c r="P8382" s="413"/>
      <c r="Q8382" s="413">
        <v>2.3999747461703136E-2</v>
      </c>
      <c r="R8382" s="413">
        <v>3.5381189340588065E-2</v>
      </c>
      <c r="S8382" s="413">
        <v>7.0291739127939332E-2</v>
      </c>
      <c r="T8382" s="413">
        <v>8.0157951225671653E-2</v>
      </c>
      <c r="U8382" s="413">
        <v>0.18773065642738659</v>
      </c>
      <c r="V8382" s="504">
        <v>0.22823148578611149</v>
      </c>
      <c r="W8382" s="504">
        <v>0.28439255930345342</v>
      </c>
      <c r="X8382" s="504">
        <v>5.7940320608846872E-2</v>
      </c>
      <c r="Y8382" s="504">
        <v>3.1874350718299263E-2</v>
      </c>
      <c r="Z8382" s="388">
        <v>34</v>
      </c>
      <c r="AA8382" s="388"/>
      <c r="AB8382" s="391"/>
      <c r="AC8382" s="392"/>
      <c r="AD8382" s="388">
        <f>83.4*(0.3048)</f>
        <v>25.420320000000004</v>
      </c>
      <c r="AE8382" s="388"/>
      <c r="AF8382" s="388"/>
      <c r="AG8382" s="388"/>
      <c r="AH8382" s="391"/>
      <c r="AI8382" s="397"/>
      <c r="AJ8382" s="397"/>
      <c r="AK8382" s="392"/>
      <c r="AL8382" s="392"/>
      <c r="AM8382" s="392"/>
      <c r="AN8382" s="392"/>
      <c r="AO8382" s="392"/>
      <c r="AP8382" s="392"/>
      <c r="AQ8382" s="392"/>
      <c r="AR8382" s="392"/>
      <c r="AS8382" s="392"/>
      <c r="AT8382" s="392"/>
      <c r="AU8382" s="397"/>
      <c r="AV8382" s="397"/>
      <c r="AW8382" s="397"/>
      <c r="AX8382" s="397"/>
      <c r="AY8382" s="392"/>
      <c r="AZ8382" s="392"/>
      <c r="BA8382" s="392"/>
      <c r="BB8382" s="392"/>
      <c r="BC8382" s="392"/>
      <c r="BD8382" s="392"/>
      <c r="BE8382" s="392"/>
      <c r="BF8382" s="392"/>
      <c r="BG8382" s="392"/>
      <c r="BH8382" s="392"/>
      <c r="BI8382" s="397"/>
      <c r="BJ8382" s="397"/>
      <c r="BK8382" s="397"/>
      <c r="BL8382" s="397"/>
      <c r="BM8382" s="397"/>
      <c r="BN8382" s="397"/>
      <c r="BO8382" s="397"/>
      <c r="BP8382" s="397"/>
      <c r="BQ8382" s="397"/>
      <c r="BR8382" s="397"/>
      <c r="BS8382" s="397"/>
      <c r="BT8382" s="397"/>
      <c r="BU8382" s="397"/>
      <c r="BV8382" s="397"/>
      <c r="BW8382" s="397"/>
      <c r="BX8382" s="397"/>
      <c r="BY8382" s="397"/>
      <c r="BZ8382" s="397"/>
      <c r="CA8382" s="392"/>
      <c r="CB8382" s="392"/>
    </row>
    <row r="8383" spans="1:80" ht="15" x14ac:dyDescent="0.25">
      <c r="A8383" s="385"/>
      <c r="B8383" s="392"/>
      <c r="C8383" s="392"/>
      <c r="D8383" s="700"/>
      <c r="E8383" s="397"/>
      <c r="F8383" s="392"/>
      <c r="G8383" s="392"/>
      <c r="H8383" s="401"/>
      <c r="I8383" s="165">
        <v>10</v>
      </c>
      <c r="J8383" s="165">
        <v>120</v>
      </c>
      <c r="K8383" s="165">
        <v>1</v>
      </c>
      <c r="L8383" s="628"/>
      <c r="M8383" s="628"/>
      <c r="N8383" s="388">
        <f>902.86*(0.028317)</f>
        <v>25.56628662</v>
      </c>
      <c r="O8383" s="389">
        <v>0.20196839999999999</v>
      </c>
      <c r="P8383" s="413"/>
      <c r="Q8383" s="413"/>
      <c r="R8383" s="413">
        <v>6.3985310955346417E-2</v>
      </c>
      <c r="S8383" s="413">
        <v>4.465357870926303E-2</v>
      </c>
      <c r="T8383" s="413">
        <v>6.0948364936189221E-2</v>
      </c>
      <c r="U8383" s="413">
        <v>9.8620458543941455E-2</v>
      </c>
      <c r="V8383" s="504">
        <v>0.21469462984165988</v>
      </c>
      <c r="W8383" s="504">
        <v>0.41134212069591441</v>
      </c>
      <c r="X8383" s="504">
        <v>6.9779943589600379E-2</v>
      </c>
      <c r="Y8383" s="504">
        <v>3.5975592728085114E-2</v>
      </c>
      <c r="Z8383" s="388">
        <v>28</v>
      </c>
      <c r="AA8383" s="388"/>
      <c r="AB8383" s="391"/>
      <c r="AC8383" s="392"/>
      <c r="AD8383" s="388">
        <f>84.6*(0.3048)</f>
        <v>25.786079999999998</v>
      </c>
      <c r="AE8383" s="388">
        <f>2.09739952718676*(0.3048)</f>
        <v>0.6392873758865244</v>
      </c>
      <c r="AF8383" s="388"/>
      <c r="AG8383" s="388">
        <f>5.08823940486925*(0.3048)</f>
        <v>1.5508953706041475</v>
      </c>
      <c r="AH8383" s="391"/>
      <c r="AI8383" s="397"/>
      <c r="AJ8383" s="397"/>
      <c r="AK8383" s="392"/>
      <c r="AL8383" s="392"/>
      <c r="AM8383" s="392"/>
      <c r="AN8383" s="392"/>
      <c r="AO8383" s="392"/>
      <c r="AP8383" s="392"/>
      <c r="AQ8383" s="392"/>
      <c r="AR8383" s="392"/>
      <c r="AS8383" s="392"/>
      <c r="AT8383" s="392"/>
      <c r="AU8383" s="397"/>
      <c r="AV8383" s="397"/>
      <c r="AW8383" s="397"/>
      <c r="AX8383" s="397"/>
      <c r="AY8383" s="392"/>
      <c r="AZ8383" s="392"/>
      <c r="BA8383" s="392"/>
      <c r="BB8383" s="392"/>
      <c r="BC8383" s="392"/>
      <c r="BD8383" s="392"/>
      <c r="BE8383" s="392"/>
      <c r="BF8383" s="392"/>
      <c r="BG8383" s="392"/>
      <c r="BH8383" s="392"/>
      <c r="BI8383" s="397"/>
      <c r="BJ8383" s="397"/>
      <c r="BK8383" s="397"/>
      <c r="BL8383" s="397"/>
      <c r="BM8383" s="397"/>
      <c r="BN8383" s="397"/>
      <c r="BO8383" s="397"/>
      <c r="BP8383" s="397"/>
      <c r="BQ8383" s="397"/>
      <c r="BR8383" s="397"/>
      <c r="BS8383" s="397"/>
      <c r="BT8383" s="397"/>
      <c r="BU8383" s="397"/>
      <c r="BV8383" s="397"/>
      <c r="BW8383" s="397"/>
      <c r="BX8383" s="397"/>
      <c r="BY8383" s="397"/>
      <c r="BZ8383" s="397"/>
      <c r="CA8383" s="392"/>
      <c r="CB8383" s="392"/>
    </row>
    <row r="8384" spans="1:80" ht="15" x14ac:dyDescent="0.25">
      <c r="A8384" s="385"/>
      <c r="B8384" s="392"/>
      <c r="C8384" s="392"/>
      <c r="D8384" s="700"/>
      <c r="E8384" s="397"/>
      <c r="F8384" s="392"/>
      <c r="G8384" s="392"/>
      <c r="H8384" s="401"/>
      <c r="I8384" s="165">
        <v>10</v>
      </c>
      <c r="J8384" s="165">
        <v>120</v>
      </c>
      <c r="K8384" s="165">
        <v>1</v>
      </c>
      <c r="L8384" s="628"/>
      <c r="M8384" s="628"/>
      <c r="N8384" s="388">
        <f>986.16*(0.028317)</f>
        <v>27.925092719999999</v>
      </c>
      <c r="O8384" s="389">
        <v>0.15951666666666667</v>
      </c>
      <c r="P8384" s="413"/>
      <c r="Q8384" s="413"/>
      <c r="R8384" s="413">
        <v>5.7263636525106132E-2</v>
      </c>
      <c r="S8384" s="413">
        <v>4.3267437523312198E-2</v>
      </c>
      <c r="T8384" s="413">
        <v>4.9031100690929114E-2</v>
      </c>
      <c r="U8384" s="413">
        <v>8.4518925063497993E-2</v>
      </c>
      <c r="V8384" s="504">
        <v>0.23378803218415303</v>
      </c>
      <c r="W8384" s="504">
        <v>0.36539315465089428</v>
      </c>
      <c r="X8384" s="504">
        <v>0.10953624269551163</v>
      </c>
      <c r="Y8384" s="504">
        <v>5.7201470666595616E-2</v>
      </c>
      <c r="Z8384" s="388">
        <v>31</v>
      </c>
      <c r="AA8384" s="388"/>
      <c r="AB8384" s="391"/>
      <c r="AC8384" s="392"/>
      <c r="AD8384" s="388">
        <f>85*(0.3048)</f>
        <v>25.908000000000001</v>
      </c>
      <c r="AE8384" s="388"/>
      <c r="AF8384" s="388"/>
      <c r="AG8384" s="388"/>
      <c r="AH8384" s="391"/>
      <c r="AI8384" s="397"/>
      <c r="AJ8384" s="397"/>
      <c r="AK8384" s="392"/>
      <c r="AL8384" s="392"/>
      <c r="AM8384" s="392"/>
      <c r="AN8384" s="392"/>
      <c r="AO8384" s="392"/>
      <c r="AP8384" s="392"/>
      <c r="AQ8384" s="392"/>
      <c r="AR8384" s="392"/>
      <c r="AS8384" s="392"/>
      <c r="AT8384" s="392"/>
      <c r="AU8384" s="397"/>
      <c r="AV8384" s="397"/>
      <c r="AW8384" s="397"/>
      <c r="AX8384" s="397"/>
      <c r="AY8384" s="392"/>
      <c r="AZ8384" s="392"/>
      <c r="BA8384" s="392"/>
      <c r="BB8384" s="392"/>
      <c r="BC8384" s="392"/>
      <c r="BD8384" s="392"/>
      <c r="BE8384" s="392"/>
      <c r="BF8384" s="392"/>
      <c r="BG8384" s="392"/>
      <c r="BH8384" s="392"/>
      <c r="BI8384" s="397"/>
      <c r="BJ8384" s="397"/>
      <c r="BK8384" s="397"/>
      <c r="BL8384" s="397"/>
      <c r="BM8384" s="397"/>
      <c r="BN8384" s="397"/>
      <c r="BO8384" s="397"/>
      <c r="BP8384" s="397"/>
      <c r="BQ8384" s="397"/>
      <c r="BR8384" s="397"/>
      <c r="BS8384" s="397"/>
      <c r="BT8384" s="397"/>
      <c r="BU8384" s="397"/>
      <c r="BV8384" s="397"/>
      <c r="BW8384" s="397"/>
      <c r="BX8384" s="397"/>
      <c r="BY8384" s="397"/>
      <c r="BZ8384" s="397"/>
      <c r="CA8384" s="392"/>
      <c r="CB8384" s="392"/>
    </row>
    <row r="8385" spans="1:80" ht="15" x14ac:dyDescent="0.25">
      <c r="A8385" s="385"/>
      <c r="B8385" s="392"/>
      <c r="C8385" s="392"/>
      <c r="D8385" s="700"/>
      <c r="E8385" s="397"/>
      <c r="F8385" s="392"/>
      <c r="G8385" s="392"/>
      <c r="H8385" s="401"/>
      <c r="I8385" s="165">
        <v>10</v>
      </c>
      <c r="J8385" s="165">
        <v>120</v>
      </c>
      <c r="K8385" s="165">
        <v>1</v>
      </c>
      <c r="L8385" s="628"/>
      <c r="M8385" s="628"/>
      <c r="N8385" s="388">
        <f>788.36*(0.028317)</f>
        <v>22.323990119999998</v>
      </c>
      <c r="O8385" s="389">
        <v>0.24760533333333334</v>
      </c>
      <c r="P8385" s="413"/>
      <c r="Q8385" s="413"/>
      <c r="R8385" s="413">
        <v>2.8125632320870522E-2</v>
      </c>
      <c r="S8385" s="413">
        <v>3.6224960093527284E-2</v>
      </c>
      <c r="T8385" s="413">
        <v>6.5098136199105192E-2</v>
      </c>
      <c r="U8385" s="413">
        <v>0.11980934823174981</v>
      </c>
      <c r="V8385" s="504">
        <v>0.32138200049461541</v>
      </c>
      <c r="W8385" s="504">
        <v>0.29447604487510959</v>
      </c>
      <c r="X8385" s="504">
        <v>8.113379347557273E-2</v>
      </c>
      <c r="Y8385" s="504">
        <v>5.37500843094494E-2</v>
      </c>
      <c r="Z8385" s="388">
        <v>25</v>
      </c>
      <c r="AA8385" s="388"/>
      <c r="AB8385" s="391"/>
      <c r="AC8385" s="392"/>
      <c r="AD8385" s="388">
        <f>83.5*(0.3048)</f>
        <v>25.450800000000001</v>
      </c>
      <c r="AE8385" s="388">
        <f>2.12068862275449*(0.3048)</f>
        <v>0.64638589221556864</v>
      </c>
      <c r="AF8385" s="388"/>
      <c r="AG8385" s="388">
        <f>4.45206915051319*(0.3048)</f>
        <v>1.3569906770764204</v>
      </c>
      <c r="AH8385" s="391"/>
      <c r="AI8385" s="397"/>
      <c r="AJ8385" s="397"/>
      <c r="AK8385" s="392"/>
      <c r="AL8385" s="392"/>
      <c r="AM8385" s="392"/>
      <c r="AN8385" s="392"/>
      <c r="AO8385" s="392"/>
      <c r="AP8385" s="392"/>
      <c r="AQ8385" s="392"/>
      <c r="AR8385" s="392"/>
      <c r="AS8385" s="392"/>
      <c r="AT8385" s="392"/>
      <c r="AU8385" s="397"/>
      <c r="AV8385" s="397"/>
      <c r="AW8385" s="397"/>
      <c r="AX8385" s="397"/>
      <c r="AY8385" s="392"/>
      <c r="AZ8385" s="392"/>
      <c r="BA8385" s="392"/>
      <c r="BB8385" s="392"/>
      <c r="BC8385" s="392"/>
      <c r="BD8385" s="392"/>
      <c r="BE8385" s="392"/>
      <c r="BF8385" s="392"/>
      <c r="BG8385" s="392"/>
      <c r="BH8385" s="392"/>
      <c r="BI8385" s="397"/>
      <c r="BJ8385" s="397"/>
      <c r="BK8385" s="397"/>
      <c r="BL8385" s="397"/>
      <c r="BM8385" s="397"/>
      <c r="BN8385" s="397"/>
      <c r="BO8385" s="397"/>
      <c r="BP8385" s="397"/>
      <c r="BQ8385" s="397"/>
      <c r="BR8385" s="397"/>
      <c r="BS8385" s="397"/>
      <c r="BT8385" s="397"/>
      <c r="BU8385" s="397"/>
      <c r="BV8385" s="397"/>
      <c r="BW8385" s="397"/>
      <c r="BX8385" s="397"/>
      <c r="BY8385" s="397"/>
      <c r="BZ8385" s="397"/>
      <c r="CA8385" s="392"/>
      <c r="CB8385" s="392"/>
    </row>
    <row r="8386" spans="1:80" ht="15" x14ac:dyDescent="0.25">
      <c r="A8386" s="385"/>
      <c r="B8386" s="392"/>
      <c r="C8386" s="392"/>
      <c r="D8386" s="700"/>
      <c r="E8386" s="397"/>
      <c r="F8386" s="392"/>
      <c r="G8386" s="392"/>
      <c r="H8386" s="401"/>
      <c r="I8386" s="165">
        <v>10</v>
      </c>
      <c r="J8386" s="165">
        <v>120</v>
      </c>
      <c r="K8386" s="165">
        <v>1</v>
      </c>
      <c r="L8386" s="628"/>
      <c r="M8386" s="628"/>
      <c r="N8386" s="388">
        <f>849.59*(0.028317)</f>
        <v>24.057840030000001</v>
      </c>
      <c r="O8386" s="389">
        <v>0.18790173999999998</v>
      </c>
      <c r="P8386" s="413"/>
      <c r="Q8386" s="413"/>
      <c r="R8386" s="413">
        <v>0.15044016711429423</v>
      </c>
      <c r="S8386" s="413">
        <v>3.8570575947478362E-2</v>
      </c>
      <c r="T8386" s="413">
        <v>5.8818263205013425E-2</v>
      </c>
      <c r="U8386" s="413">
        <v>8.7764846314532977E-2</v>
      </c>
      <c r="V8386" s="504">
        <v>0.15338704864219635</v>
      </c>
      <c r="W8386" s="504">
        <v>0.32385108922709632</v>
      </c>
      <c r="X8386" s="504">
        <v>0.11783795881826319</v>
      </c>
      <c r="Y8386" s="504">
        <v>6.933005073112504E-2</v>
      </c>
      <c r="Z8386" s="388">
        <v>28</v>
      </c>
      <c r="AA8386" s="388"/>
      <c r="AB8386" s="391"/>
      <c r="AC8386" s="392"/>
      <c r="AD8386" s="388">
        <f>84.11*(0.3048)</f>
        <v>25.636728000000002</v>
      </c>
      <c r="AE8386" s="388">
        <f>2.20452978242777*(0.3048)</f>
        <v>0.67194067768398436</v>
      </c>
      <c r="AF8386" s="388"/>
      <c r="AG8386" s="388">
        <f>4.5819220916499*(0.3048)</f>
        <v>1.3965698535348896</v>
      </c>
      <c r="AH8386" s="391"/>
      <c r="AI8386" s="397"/>
      <c r="AJ8386" s="397"/>
      <c r="AK8386" s="392"/>
      <c r="AL8386" s="392"/>
      <c r="AM8386" s="392"/>
      <c r="AN8386" s="392"/>
      <c r="AO8386" s="392"/>
      <c r="AP8386" s="392"/>
      <c r="AQ8386" s="392"/>
      <c r="AR8386" s="392"/>
      <c r="AS8386" s="392"/>
      <c r="AT8386" s="392"/>
      <c r="AU8386" s="397"/>
      <c r="AV8386" s="397"/>
      <c r="AW8386" s="397"/>
      <c r="AX8386" s="397"/>
      <c r="AY8386" s="392"/>
      <c r="AZ8386" s="392"/>
      <c r="BA8386" s="392"/>
      <c r="BB8386" s="392"/>
      <c r="BC8386" s="392"/>
      <c r="BD8386" s="392"/>
      <c r="BE8386" s="392"/>
      <c r="BF8386" s="392"/>
      <c r="BG8386" s="392"/>
      <c r="BH8386" s="392"/>
      <c r="BI8386" s="397"/>
      <c r="BJ8386" s="397"/>
      <c r="BK8386" s="397"/>
      <c r="BL8386" s="397"/>
      <c r="BM8386" s="397"/>
      <c r="BN8386" s="397"/>
      <c r="BO8386" s="397"/>
      <c r="BP8386" s="397"/>
      <c r="BQ8386" s="397"/>
      <c r="BR8386" s="397"/>
      <c r="BS8386" s="397"/>
      <c r="BT8386" s="397"/>
      <c r="BU8386" s="397"/>
      <c r="BV8386" s="397"/>
      <c r="BW8386" s="397"/>
      <c r="BX8386" s="397"/>
      <c r="BY8386" s="397"/>
      <c r="BZ8386" s="397"/>
      <c r="CA8386" s="392"/>
      <c r="CB8386" s="392"/>
    </row>
    <row r="8387" spans="1:80" ht="15" x14ac:dyDescent="0.25">
      <c r="A8387" s="385"/>
      <c r="B8387" s="392"/>
      <c r="C8387" s="392"/>
      <c r="D8387" s="700"/>
      <c r="E8387" s="397"/>
      <c r="F8387" s="392"/>
      <c r="G8387" s="392"/>
      <c r="H8387" s="401"/>
      <c r="I8387" s="165">
        <v>10</v>
      </c>
      <c r="J8387" s="165">
        <v>120</v>
      </c>
      <c r="K8387" s="165">
        <v>1</v>
      </c>
      <c r="L8387" s="628"/>
      <c r="M8387" s="628"/>
      <c r="N8387" s="388">
        <f>958.26*(0.028317)</f>
        <v>27.135048419999997</v>
      </c>
      <c r="O8387" s="389">
        <v>0.26194980000000001</v>
      </c>
      <c r="P8387" s="413"/>
      <c r="Q8387" s="413">
        <v>4.9385839317049013E-2</v>
      </c>
      <c r="R8387" s="413">
        <v>0.11725570830328019</v>
      </c>
      <c r="S8387" s="413">
        <v>7.375849113477087E-2</v>
      </c>
      <c r="T8387" s="413">
        <v>0.10558073440914621</v>
      </c>
      <c r="U8387" s="413">
        <v>0.13269853914803373</v>
      </c>
      <c r="V8387" s="504">
        <v>0.18881807710111853</v>
      </c>
      <c r="W8387" s="504">
        <v>0.22042501426402988</v>
      </c>
      <c r="X8387" s="504">
        <v>6.1453746864604752E-2</v>
      </c>
      <c r="Y8387" s="504">
        <v>5.0623849457966864E-2</v>
      </c>
      <c r="Z8387" s="388">
        <v>54</v>
      </c>
      <c r="AA8387" s="388"/>
      <c r="AB8387" s="391"/>
      <c r="AC8387" s="392"/>
      <c r="AD8387" s="388">
        <f>84.6*(0.3048)</f>
        <v>25.786079999999998</v>
      </c>
      <c r="AE8387" s="388">
        <f>2.20709219858156*(0.3048)</f>
        <v>0.67272170212765947</v>
      </c>
      <c r="AF8387" s="388"/>
      <c r="AG8387" s="388">
        <f>5.13207369323051*(0.3048)</f>
        <v>1.5642560616966596</v>
      </c>
      <c r="AH8387" s="391"/>
      <c r="AI8387" s="397"/>
      <c r="AJ8387" s="397"/>
      <c r="AK8387" s="392"/>
      <c r="AL8387" s="392"/>
      <c r="AM8387" s="392"/>
      <c r="AN8387" s="392"/>
      <c r="AO8387" s="392"/>
      <c r="AP8387" s="392"/>
      <c r="AQ8387" s="392"/>
      <c r="AR8387" s="392"/>
      <c r="AS8387" s="392"/>
      <c r="AT8387" s="392"/>
      <c r="AU8387" s="397"/>
      <c r="AV8387" s="397"/>
      <c r="AW8387" s="397"/>
      <c r="AX8387" s="397"/>
      <c r="AY8387" s="392"/>
      <c r="AZ8387" s="392"/>
      <c r="BA8387" s="392"/>
      <c r="BB8387" s="392"/>
      <c r="BC8387" s="392"/>
      <c r="BD8387" s="392"/>
      <c r="BE8387" s="392"/>
      <c r="BF8387" s="392"/>
      <c r="BG8387" s="392"/>
      <c r="BH8387" s="392"/>
      <c r="BI8387" s="397"/>
      <c r="BJ8387" s="397"/>
      <c r="BK8387" s="397"/>
      <c r="BL8387" s="397"/>
      <c r="BM8387" s="397"/>
      <c r="BN8387" s="397"/>
      <c r="BO8387" s="397"/>
      <c r="BP8387" s="397"/>
      <c r="BQ8387" s="397"/>
      <c r="BR8387" s="397"/>
      <c r="BS8387" s="397"/>
      <c r="BT8387" s="397"/>
      <c r="BU8387" s="397"/>
      <c r="BV8387" s="397"/>
      <c r="BW8387" s="397"/>
      <c r="BX8387" s="397"/>
      <c r="BY8387" s="397"/>
      <c r="BZ8387" s="397"/>
      <c r="CA8387" s="392"/>
      <c r="CB8387" s="392"/>
    </row>
    <row r="8388" spans="1:80" ht="15" x14ac:dyDescent="0.25">
      <c r="A8388" s="385"/>
      <c r="B8388" s="392"/>
      <c r="C8388" s="392"/>
      <c r="D8388" s="700"/>
      <c r="E8388" s="397"/>
      <c r="F8388" s="392"/>
      <c r="G8388" s="392"/>
      <c r="H8388" s="401"/>
      <c r="I8388" s="165">
        <v>10</v>
      </c>
      <c r="J8388" s="165">
        <v>120</v>
      </c>
      <c r="K8388" s="165">
        <v>1</v>
      </c>
      <c r="L8388" s="628"/>
      <c r="M8388" s="628"/>
      <c r="N8388" s="388">
        <f>734.52*(0.028317)</f>
        <v>20.799402839999999</v>
      </c>
      <c r="O8388" s="389">
        <v>0.15931712000000001</v>
      </c>
      <c r="P8388" s="413"/>
      <c r="Q8388" s="413">
        <v>8.682981636880728E-2</v>
      </c>
      <c r="R8388" s="413">
        <v>0.10229626768723009</v>
      </c>
      <c r="S8388" s="413">
        <v>5.385169060075138E-2</v>
      </c>
      <c r="T8388" s="413">
        <v>8.8137705838980368E-2</v>
      </c>
      <c r="U8388" s="413">
        <v>0.13138583617148275</v>
      </c>
      <c r="V8388" s="504">
        <v>0.16337207260981004</v>
      </c>
      <c r="W8388" s="504">
        <v>0.27341034373793055</v>
      </c>
      <c r="X8388" s="504">
        <v>5.5923247076998701E-2</v>
      </c>
      <c r="Y8388" s="504">
        <v>4.4793019908008852E-2</v>
      </c>
      <c r="Z8388" s="388">
        <v>41</v>
      </c>
      <c r="AA8388" s="388"/>
      <c r="AB8388" s="391"/>
      <c r="AC8388" s="392"/>
      <c r="AD8388" s="388">
        <f>83.91*(0.3048)</f>
        <v>25.575768</v>
      </c>
      <c r="AE8388" s="388">
        <f>2.06853771898463*(0.3048)</f>
        <v>0.63049029674651524</v>
      </c>
      <c r="AF8388" s="388"/>
      <c r="AG8388" s="388">
        <f>4.23180548593947*(0.3048)</f>
        <v>1.2898543121143504</v>
      </c>
      <c r="AH8388" s="391"/>
      <c r="AI8388" s="397"/>
      <c r="AJ8388" s="397"/>
      <c r="AK8388" s="392"/>
      <c r="AL8388" s="392"/>
      <c r="AM8388" s="392"/>
      <c r="AN8388" s="392"/>
      <c r="AO8388" s="392"/>
      <c r="AP8388" s="392"/>
      <c r="AQ8388" s="392"/>
      <c r="AR8388" s="392"/>
      <c r="AS8388" s="392"/>
      <c r="AT8388" s="392"/>
      <c r="AU8388" s="397"/>
      <c r="AV8388" s="397"/>
      <c r="AW8388" s="397"/>
      <c r="AX8388" s="397"/>
      <c r="AY8388" s="392"/>
      <c r="AZ8388" s="392"/>
      <c r="BA8388" s="392"/>
      <c r="BB8388" s="392"/>
      <c r="BC8388" s="392"/>
      <c r="BD8388" s="392"/>
      <c r="BE8388" s="392"/>
      <c r="BF8388" s="392"/>
      <c r="BG8388" s="392"/>
      <c r="BH8388" s="392"/>
      <c r="BI8388" s="397"/>
      <c r="BJ8388" s="397"/>
      <c r="BK8388" s="397"/>
      <c r="BL8388" s="397"/>
      <c r="BM8388" s="397"/>
      <c r="BN8388" s="397"/>
      <c r="BO8388" s="397"/>
      <c r="BP8388" s="397"/>
      <c r="BQ8388" s="397"/>
      <c r="BR8388" s="397"/>
      <c r="BS8388" s="397"/>
      <c r="BT8388" s="397"/>
      <c r="BU8388" s="397"/>
      <c r="BV8388" s="397"/>
      <c r="BW8388" s="397"/>
      <c r="BX8388" s="397"/>
      <c r="BY8388" s="397"/>
      <c r="BZ8388" s="397"/>
      <c r="CA8388" s="392"/>
      <c r="CB8388" s="392"/>
    </row>
    <row r="8389" spans="1:80" ht="15" x14ac:dyDescent="0.25">
      <c r="A8389" s="385"/>
      <c r="B8389" s="392"/>
      <c r="C8389" s="392"/>
      <c r="D8389" s="700"/>
      <c r="E8389" s="397"/>
      <c r="F8389" s="392"/>
      <c r="G8389" s="392"/>
      <c r="H8389" s="401"/>
      <c r="I8389" s="165">
        <v>10</v>
      </c>
      <c r="J8389" s="165">
        <v>120</v>
      </c>
      <c r="K8389" s="165">
        <v>1</v>
      </c>
      <c r="L8389" s="628"/>
      <c r="M8389" s="628"/>
      <c r="N8389" s="388">
        <f>599.9*(0.028317)</f>
        <v>16.9873683</v>
      </c>
      <c r="O8389" s="389">
        <v>9.3578933333333336E-2</v>
      </c>
      <c r="P8389" s="413"/>
      <c r="Q8389" s="413">
        <v>0.29673006927321832</v>
      </c>
      <c r="R8389" s="413">
        <v>3.9993542327110491E-2</v>
      </c>
      <c r="S8389" s="413">
        <v>2.1002113420218391E-2</v>
      </c>
      <c r="T8389" s="413">
        <v>4.6216390747915941E-2</v>
      </c>
      <c r="U8389" s="413">
        <v>9.9183984971234013E-2</v>
      </c>
      <c r="V8389" s="504">
        <v>0.15524832687566048</v>
      </c>
      <c r="W8389" s="504">
        <v>0.21401315017024777</v>
      </c>
      <c r="X8389" s="504">
        <v>7.3573441352588947E-2</v>
      </c>
      <c r="Y8389" s="504">
        <v>5.4038980861805808E-2</v>
      </c>
      <c r="Z8389" s="388">
        <v>41</v>
      </c>
      <c r="AA8389" s="388"/>
      <c r="AB8389" s="391"/>
      <c r="AC8389" s="392"/>
      <c r="AD8389" s="388">
        <f>82.4*(0.3048)</f>
        <v>25.115520000000004</v>
      </c>
      <c r="AE8389" s="388">
        <f>1.81507888349515*(0.3048)</f>
        <v>0.55323604368932167</v>
      </c>
      <c r="AF8389" s="388"/>
      <c r="AG8389" s="388">
        <f>4.01105725031341*(0.3048)</f>
        <v>1.2225702498955275</v>
      </c>
      <c r="AH8389" s="391"/>
      <c r="AI8389" s="397"/>
      <c r="AJ8389" s="397"/>
      <c r="AK8389" s="392"/>
      <c r="AL8389" s="392"/>
      <c r="AM8389" s="392"/>
      <c r="AN8389" s="392"/>
      <c r="AO8389" s="392"/>
      <c r="AP8389" s="392"/>
      <c r="AQ8389" s="392"/>
      <c r="AR8389" s="392"/>
      <c r="AS8389" s="392"/>
      <c r="AT8389" s="392"/>
      <c r="AU8389" s="397"/>
      <c r="AV8389" s="397"/>
      <c r="AW8389" s="397"/>
      <c r="AX8389" s="397"/>
      <c r="AY8389" s="392"/>
      <c r="AZ8389" s="392"/>
      <c r="BA8389" s="392"/>
      <c r="BB8389" s="392"/>
      <c r="BC8389" s="392"/>
      <c r="BD8389" s="392"/>
      <c r="BE8389" s="392"/>
      <c r="BF8389" s="392"/>
      <c r="BG8389" s="392"/>
      <c r="BH8389" s="392"/>
      <c r="BI8389" s="397"/>
      <c r="BJ8389" s="397"/>
      <c r="BK8389" s="397"/>
      <c r="BL8389" s="397"/>
      <c r="BM8389" s="397"/>
      <c r="BN8389" s="397"/>
      <c r="BO8389" s="397"/>
      <c r="BP8389" s="397"/>
      <c r="BQ8389" s="397"/>
      <c r="BR8389" s="397"/>
      <c r="BS8389" s="397"/>
      <c r="BT8389" s="397"/>
      <c r="BU8389" s="397"/>
      <c r="BV8389" s="397"/>
      <c r="BW8389" s="397"/>
      <c r="BX8389" s="397"/>
      <c r="BY8389" s="397"/>
      <c r="BZ8389" s="397"/>
      <c r="CA8389" s="392"/>
      <c r="CB8389" s="392"/>
    </row>
    <row r="8390" spans="1:80" ht="15" x14ac:dyDescent="0.25">
      <c r="A8390" s="385"/>
      <c r="B8390" s="392"/>
      <c r="C8390" s="392"/>
      <c r="D8390" s="700"/>
      <c r="E8390" s="397"/>
      <c r="F8390" s="392"/>
      <c r="G8390" s="392"/>
      <c r="H8390" s="401"/>
      <c r="I8390" s="165">
        <v>10</v>
      </c>
      <c r="J8390" s="165">
        <v>120</v>
      </c>
      <c r="K8390" s="165">
        <v>1</v>
      </c>
      <c r="L8390" s="628"/>
      <c r="M8390" s="628"/>
      <c r="N8390" s="388">
        <f>579.25*(0.028317)</f>
        <v>16.40262225</v>
      </c>
      <c r="O8390" s="389">
        <v>7.0855999999999992E-3</v>
      </c>
      <c r="P8390" s="413"/>
      <c r="Q8390" s="413"/>
      <c r="R8390" s="413"/>
      <c r="S8390" s="413"/>
      <c r="T8390" s="413">
        <v>1.2667946257197698E-2</v>
      </c>
      <c r="U8390" s="413">
        <v>2.2072936660268716E-2</v>
      </c>
      <c r="V8390" s="504">
        <v>0.17562380038387718</v>
      </c>
      <c r="W8390" s="504">
        <v>0.36909788867562388</v>
      </c>
      <c r="X8390" s="504">
        <v>0.21957773512476009</v>
      </c>
      <c r="Y8390" s="504">
        <v>0.20095969289827259</v>
      </c>
      <c r="Z8390" s="388">
        <v>5</v>
      </c>
      <c r="AA8390" s="388"/>
      <c r="AB8390" s="391"/>
      <c r="AC8390" s="392"/>
      <c r="AD8390" s="388">
        <f>81.6*(0.3048)</f>
        <v>24.871679999999998</v>
      </c>
      <c r="AE8390" s="388">
        <f>1.80970588235294*(0.3048)</f>
        <v>0.5515983529411761</v>
      </c>
      <c r="AF8390" s="388"/>
      <c r="AG8390" s="388">
        <f>3.92251205374072*(0.3048)</f>
        <v>1.1955816739801715</v>
      </c>
      <c r="AH8390" s="391"/>
      <c r="AI8390" s="397"/>
      <c r="AJ8390" s="397"/>
      <c r="AK8390" s="392"/>
      <c r="AL8390" s="392"/>
      <c r="AM8390" s="392"/>
      <c r="AN8390" s="392"/>
      <c r="AO8390" s="392"/>
      <c r="AP8390" s="392"/>
      <c r="AQ8390" s="392"/>
      <c r="AR8390" s="392"/>
      <c r="AS8390" s="392"/>
      <c r="AT8390" s="392"/>
      <c r="AU8390" s="397"/>
      <c r="AV8390" s="397"/>
      <c r="AW8390" s="397"/>
      <c r="AX8390" s="397"/>
      <c r="AY8390" s="392"/>
      <c r="AZ8390" s="392"/>
      <c r="BA8390" s="392"/>
      <c r="BB8390" s="392"/>
      <c r="BC8390" s="392"/>
      <c r="BD8390" s="392"/>
      <c r="BE8390" s="392"/>
      <c r="BF8390" s="392"/>
      <c r="BG8390" s="392"/>
      <c r="BH8390" s="392"/>
      <c r="BI8390" s="397"/>
      <c r="BJ8390" s="397"/>
      <c r="BK8390" s="397"/>
      <c r="BL8390" s="397"/>
      <c r="BM8390" s="397"/>
      <c r="BN8390" s="397"/>
      <c r="BO8390" s="397"/>
      <c r="BP8390" s="397"/>
      <c r="BQ8390" s="397"/>
      <c r="BR8390" s="397"/>
      <c r="BS8390" s="397"/>
      <c r="BT8390" s="397"/>
      <c r="BU8390" s="397"/>
      <c r="BV8390" s="397"/>
      <c r="BW8390" s="397"/>
      <c r="BX8390" s="397"/>
      <c r="BY8390" s="397"/>
      <c r="BZ8390" s="397"/>
      <c r="CA8390" s="392"/>
      <c r="CB8390" s="392"/>
    </row>
    <row r="8391" spans="1:80" ht="15" x14ac:dyDescent="0.25">
      <c r="A8391" s="385"/>
      <c r="B8391" s="392"/>
      <c r="C8391" s="392"/>
      <c r="D8391" s="700"/>
      <c r="E8391" s="397"/>
      <c r="F8391" s="392"/>
      <c r="G8391" s="392"/>
      <c r="H8391" s="401"/>
      <c r="I8391" s="165">
        <v>10</v>
      </c>
      <c r="J8391" s="165">
        <v>120</v>
      </c>
      <c r="K8391" s="165">
        <v>1</v>
      </c>
      <c r="L8391" s="628"/>
      <c r="M8391" s="628"/>
      <c r="N8391" s="388">
        <f>529.55*(0.028317)</f>
        <v>14.995267349999997</v>
      </c>
      <c r="O8391" s="389">
        <v>3.1280099999999998E-2</v>
      </c>
      <c r="P8391" s="413"/>
      <c r="Q8391" s="413"/>
      <c r="R8391" s="413"/>
      <c r="S8391" s="413">
        <v>2.0953630796150483E-2</v>
      </c>
      <c r="T8391" s="413">
        <v>6.4260717410323714E-2</v>
      </c>
      <c r="U8391" s="413">
        <v>0.22226596675415575</v>
      </c>
      <c r="V8391" s="504">
        <v>0.34951881014873143</v>
      </c>
      <c r="W8391" s="504">
        <v>0.23464566929133859</v>
      </c>
      <c r="X8391" s="504">
        <v>5.9186351706036741E-2</v>
      </c>
      <c r="Y8391" s="504">
        <v>4.9168853893263344E-2</v>
      </c>
      <c r="Z8391" s="388">
        <v>16</v>
      </c>
      <c r="AA8391" s="388"/>
      <c r="AB8391" s="391"/>
      <c r="AC8391" s="392"/>
      <c r="AD8391" s="388">
        <f>82.1*(0.3048)</f>
        <v>25.024079999999998</v>
      </c>
      <c r="AE8391" s="388">
        <f>1.89866017052375*(0.3048)</f>
        <v>0.57871161997563902</v>
      </c>
      <c r="AF8391" s="388"/>
      <c r="AG8391" s="388">
        <f>3.39713946625609*(0.3048)</f>
        <v>1.0354481093148562</v>
      </c>
      <c r="AH8391" s="391"/>
      <c r="AI8391" s="397"/>
      <c r="AJ8391" s="397"/>
      <c r="AK8391" s="392"/>
      <c r="AL8391" s="392"/>
      <c r="AM8391" s="392"/>
      <c r="AN8391" s="392"/>
      <c r="AO8391" s="392"/>
      <c r="AP8391" s="392"/>
      <c r="AQ8391" s="392"/>
      <c r="AR8391" s="392"/>
      <c r="AS8391" s="392"/>
      <c r="AT8391" s="392"/>
      <c r="AU8391" s="397"/>
      <c r="AV8391" s="397"/>
      <c r="AW8391" s="397"/>
      <c r="AX8391" s="397"/>
      <c r="AY8391" s="392"/>
      <c r="AZ8391" s="392"/>
      <c r="BA8391" s="392"/>
      <c r="BB8391" s="392"/>
      <c r="BC8391" s="392"/>
      <c r="BD8391" s="392"/>
      <c r="BE8391" s="392"/>
      <c r="BF8391" s="392"/>
      <c r="BG8391" s="392"/>
      <c r="BH8391" s="392"/>
      <c r="BI8391" s="397"/>
      <c r="BJ8391" s="397"/>
      <c r="BK8391" s="397"/>
      <c r="BL8391" s="397"/>
      <c r="BM8391" s="397"/>
      <c r="BN8391" s="397"/>
      <c r="BO8391" s="397"/>
      <c r="BP8391" s="397"/>
      <c r="BQ8391" s="397"/>
      <c r="BR8391" s="397"/>
      <c r="BS8391" s="397"/>
      <c r="BT8391" s="397"/>
      <c r="BU8391" s="397"/>
      <c r="BV8391" s="397"/>
      <c r="BW8391" s="397"/>
      <c r="BX8391" s="397"/>
      <c r="BY8391" s="397"/>
      <c r="BZ8391" s="397"/>
      <c r="CA8391" s="392"/>
      <c r="CB8391" s="392"/>
    </row>
    <row r="8392" spans="1:80" ht="15" x14ac:dyDescent="0.25">
      <c r="A8392" s="385"/>
      <c r="B8392" s="392"/>
      <c r="C8392" s="392"/>
      <c r="D8392" s="700"/>
      <c r="E8392" s="397"/>
      <c r="F8392" s="392"/>
      <c r="G8392" s="392"/>
      <c r="H8392" s="401"/>
      <c r="I8392" s="165">
        <v>10</v>
      </c>
      <c r="J8392" s="165">
        <v>120</v>
      </c>
      <c r="K8392" s="165">
        <v>1</v>
      </c>
      <c r="L8392" s="628"/>
      <c r="M8392" s="628"/>
      <c r="N8392" s="388">
        <f>487.46*(0.028317)</f>
        <v>13.803404819999999</v>
      </c>
      <c r="O8392" s="389">
        <v>2.0595666666666665E-2</v>
      </c>
      <c r="P8392" s="413"/>
      <c r="Q8392" s="413"/>
      <c r="R8392" s="413">
        <v>6.6940887679957539E-2</v>
      </c>
      <c r="S8392" s="413">
        <v>7.2182047369468594E-2</v>
      </c>
      <c r="T8392" s="413">
        <v>3.6953493000729788E-2</v>
      </c>
      <c r="U8392" s="413">
        <v>0.1165660452464672</v>
      </c>
      <c r="V8392" s="504">
        <v>0.22669674251973732</v>
      </c>
      <c r="W8392" s="504">
        <v>0.27320374178995555</v>
      </c>
      <c r="X8392" s="504">
        <v>0.12724739600610363</v>
      </c>
      <c r="Y8392" s="504">
        <v>8.0209646387580449E-2</v>
      </c>
      <c r="Z8392" s="388">
        <v>23</v>
      </c>
      <c r="AA8392" s="388"/>
      <c r="AB8392" s="391"/>
      <c r="AC8392" s="392"/>
      <c r="AD8392" s="388">
        <f>82*(0.3048)</f>
        <v>24.993600000000001</v>
      </c>
      <c r="AE8392" s="388">
        <f>1.81353658536585*(0.3048)</f>
        <v>0.55276595121951111</v>
      </c>
      <c r="AF8392" s="388"/>
      <c r="AG8392" s="388">
        <f>3.27795104565934*(0.3048)</f>
        <v>0.99911947871696694</v>
      </c>
      <c r="AH8392" s="391"/>
      <c r="AI8392" s="397"/>
      <c r="AJ8392" s="397"/>
      <c r="AK8392" s="392"/>
      <c r="AL8392" s="392"/>
      <c r="AM8392" s="392"/>
      <c r="AN8392" s="392"/>
      <c r="AO8392" s="392"/>
      <c r="AP8392" s="392"/>
      <c r="AQ8392" s="392"/>
      <c r="AR8392" s="392"/>
      <c r="AS8392" s="392"/>
      <c r="AT8392" s="392"/>
      <c r="AU8392" s="397"/>
      <c r="AV8392" s="397"/>
      <c r="AW8392" s="397"/>
      <c r="AX8392" s="397"/>
      <c r="AY8392" s="392"/>
      <c r="AZ8392" s="392"/>
      <c r="BA8392" s="392"/>
      <c r="BB8392" s="392"/>
      <c r="BC8392" s="392"/>
      <c r="BD8392" s="392"/>
      <c r="BE8392" s="392"/>
      <c r="BF8392" s="392"/>
      <c r="BG8392" s="392"/>
      <c r="BH8392" s="392"/>
      <c r="BI8392" s="397"/>
      <c r="BJ8392" s="397"/>
      <c r="BK8392" s="397"/>
      <c r="BL8392" s="397"/>
      <c r="BM8392" s="397"/>
      <c r="BN8392" s="397"/>
      <c r="BO8392" s="397"/>
      <c r="BP8392" s="397"/>
      <c r="BQ8392" s="397"/>
      <c r="BR8392" s="397"/>
      <c r="BS8392" s="397"/>
      <c r="BT8392" s="397"/>
      <c r="BU8392" s="397"/>
      <c r="BV8392" s="397"/>
      <c r="BW8392" s="397"/>
      <c r="BX8392" s="397"/>
      <c r="BY8392" s="397"/>
      <c r="BZ8392" s="397"/>
      <c r="CA8392" s="392"/>
      <c r="CB8392" s="392"/>
    </row>
    <row r="8393" spans="1:80" ht="15" x14ac:dyDescent="0.25">
      <c r="A8393" s="385"/>
      <c r="B8393" s="392"/>
      <c r="C8393" s="392"/>
      <c r="D8393" s="700"/>
      <c r="E8393" s="397"/>
      <c r="F8393" s="392"/>
      <c r="G8393" s="392"/>
      <c r="H8393" s="401"/>
      <c r="I8393" s="165">
        <v>10</v>
      </c>
      <c r="J8393" s="165">
        <v>120</v>
      </c>
      <c r="K8393" s="165">
        <v>1</v>
      </c>
      <c r="L8393" s="628"/>
      <c r="M8393" s="628"/>
      <c r="N8393" s="388">
        <f>465.09*(0.028317)</f>
        <v>13.169953529999999</v>
      </c>
      <c r="O8393" s="389">
        <v>1.7367250000000001E-2</v>
      </c>
      <c r="P8393" s="413"/>
      <c r="Q8393" s="413"/>
      <c r="R8393" s="413">
        <v>0</v>
      </c>
      <c r="S8393" s="413">
        <v>3.6619940148054815E-2</v>
      </c>
      <c r="T8393" s="413">
        <v>3.5517404315640252E-2</v>
      </c>
      <c r="U8393" s="413">
        <v>0.14143959678689558</v>
      </c>
      <c r="V8393" s="504">
        <v>0.31335643408410774</v>
      </c>
      <c r="W8393" s="504">
        <v>0.28736808946290754</v>
      </c>
      <c r="X8393" s="504">
        <v>0.11568750984406992</v>
      </c>
      <c r="Y8393" s="504">
        <v>7.0011025358324153E-2</v>
      </c>
      <c r="Z8393" s="388">
        <v>11</v>
      </c>
      <c r="AA8393" s="388"/>
      <c r="AB8393" s="391"/>
      <c r="AC8393" s="392"/>
      <c r="AD8393" s="388">
        <f>82.05*(0.3048)</f>
        <v>25.008839999999999</v>
      </c>
      <c r="AE8393" s="388">
        <f>1.69829372333943*(0.3048)</f>
        <v>0.51763992687385829</v>
      </c>
      <c r="AF8393" s="388"/>
      <c r="AG8393" s="388">
        <f>3.33772237970505*(0.3048)</f>
        <v>1.0173377813340994</v>
      </c>
      <c r="AH8393" s="391"/>
      <c r="AI8393" s="397"/>
      <c r="AJ8393" s="397"/>
      <c r="AK8393" s="392"/>
      <c r="AL8393" s="392"/>
      <c r="AM8393" s="392"/>
      <c r="AN8393" s="392"/>
      <c r="AO8393" s="392"/>
      <c r="AP8393" s="392"/>
      <c r="AQ8393" s="392"/>
      <c r="AR8393" s="392"/>
      <c r="AS8393" s="392"/>
      <c r="AT8393" s="392"/>
      <c r="AU8393" s="397"/>
      <c r="AV8393" s="397"/>
      <c r="AW8393" s="397"/>
      <c r="AX8393" s="397"/>
      <c r="AY8393" s="392"/>
      <c r="AZ8393" s="392"/>
      <c r="BA8393" s="392"/>
      <c r="BB8393" s="392"/>
      <c r="BC8393" s="392"/>
      <c r="BD8393" s="392"/>
      <c r="BE8393" s="392"/>
      <c r="BF8393" s="392"/>
      <c r="BG8393" s="392"/>
      <c r="BH8393" s="392"/>
      <c r="BI8393" s="397"/>
      <c r="BJ8393" s="397"/>
      <c r="BK8393" s="397"/>
      <c r="BL8393" s="397"/>
      <c r="BM8393" s="397"/>
      <c r="BN8393" s="397"/>
      <c r="BO8393" s="397"/>
      <c r="BP8393" s="397"/>
      <c r="BQ8393" s="397"/>
      <c r="BR8393" s="397"/>
      <c r="BS8393" s="397"/>
      <c r="BT8393" s="397"/>
      <c r="BU8393" s="397"/>
      <c r="BV8393" s="397"/>
      <c r="BW8393" s="397"/>
      <c r="BX8393" s="397"/>
      <c r="BY8393" s="397"/>
      <c r="BZ8393" s="397"/>
      <c r="CA8393" s="392"/>
      <c r="CB8393" s="392"/>
    </row>
    <row r="8394" spans="1:80" ht="15" x14ac:dyDescent="0.25">
      <c r="A8394" s="385"/>
      <c r="B8394" s="392"/>
      <c r="C8394" s="392"/>
      <c r="D8394" s="700"/>
      <c r="E8394" s="397"/>
      <c r="F8394" s="392"/>
      <c r="G8394" s="392"/>
      <c r="H8394" s="401"/>
      <c r="I8394" s="165">
        <v>10</v>
      </c>
      <c r="J8394" s="165">
        <v>120</v>
      </c>
      <c r="K8394" s="165">
        <v>1</v>
      </c>
      <c r="L8394" s="628"/>
      <c r="M8394" s="628"/>
      <c r="N8394" s="388">
        <f>437.69*(0.028317)</f>
        <v>12.39406773</v>
      </c>
      <c r="O8394" s="389">
        <v>3.3931999999999997E-2</v>
      </c>
      <c r="P8394" s="413"/>
      <c r="Q8394" s="413"/>
      <c r="R8394" s="413">
        <v>0.12686387686387685</v>
      </c>
      <c r="S8394" s="413">
        <v>2.4611191277857943E-2</v>
      </c>
      <c r="T8394" s="413">
        <v>5.0585217251883911E-2</v>
      </c>
      <c r="U8394" s="413">
        <v>0.1431377264710598</v>
      </c>
      <c r="V8394" s="504">
        <v>0.26090267756934421</v>
      </c>
      <c r="W8394" s="504">
        <v>0.24743466410133075</v>
      </c>
      <c r="X8394" s="504">
        <v>0.10129068462401795</v>
      </c>
      <c r="Y8394" s="504">
        <v>4.5173961840628503E-2</v>
      </c>
      <c r="Z8394" s="388">
        <v>24</v>
      </c>
      <c r="AA8394" s="388"/>
      <c r="AB8394" s="391"/>
      <c r="AC8394" s="392"/>
      <c r="AD8394" s="388">
        <f>81.6*(0.3048)</f>
        <v>24.871679999999998</v>
      </c>
      <c r="AE8394" s="388">
        <f>1.77086397058824*(0.3048)</f>
        <v>0.53975933823529565</v>
      </c>
      <c r="AF8394" s="388"/>
      <c r="AG8394" s="388">
        <f>3.02894378989983*(0.3048)</f>
        <v>0.92322206716146826</v>
      </c>
      <c r="AH8394" s="391"/>
      <c r="AI8394" s="397"/>
      <c r="AJ8394" s="397"/>
      <c r="AK8394" s="392"/>
      <c r="AL8394" s="392"/>
      <c r="AM8394" s="392"/>
      <c r="AN8394" s="392"/>
      <c r="AO8394" s="392"/>
      <c r="AP8394" s="392"/>
      <c r="AQ8394" s="392"/>
      <c r="AR8394" s="392"/>
      <c r="AS8394" s="392"/>
      <c r="AT8394" s="392"/>
      <c r="AU8394" s="397"/>
      <c r="AV8394" s="397"/>
      <c r="AW8394" s="397"/>
      <c r="AX8394" s="397"/>
      <c r="AY8394" s="392"/>
      <c r="AZ8394" s="392"/>
      <c r="BA8394" s="392"/>
      <c r="BB8394" s="392"/>
      <c r="BC8394" s="392"/>
      <c r="BD8394" s="392"/>
      <c r="BE8394" s="392"/>
      <c r="BF8394" s="392"/>
      <c r="BG8394" s="392"/>
      <c r="BH8394" s="392"/>
      <c r="BI8394" s="397"/>
      <c r="BJ8394" s="397"/>
      <c r="BK8394" s="397"/>
      <c r="BL8394" s="397"/>
      <c r="BM8394" s="397"/>
      <c r="BN8394" s="397"/>
      <c r="BO8394" s="397"/>
      <c r="BP8394" s="397"/>
      <c r="BQ8394" s="397"/>
      <c r="BR8394" s="397"/>
      <c r="BS8394" s="397"/>
      <c r="BT8394" s="397"/>
      <c r="BU8394" s="397"/>
      <c r="BV8394" s="397"/>
      <c r="BW8394" s="397"/>
      <c r="BX8394" s="397"/>
      <c r="BY8394" s="397"/>
      <c r="BZ8394" s="397"/>
      <c r="CA8394" s="392"/>
      <c r="CB8394" s="392"/>
    </row>
    <row r="8395" spans="1:80" ht="15" x14ac:dyDescent="0.25">
      <c r="A8395" s="385"/>
      <c r="B8395" s="392"/>
      <c r="C8395" s="392"/>
      <c r="D8395" s="700"/>
      <c r="E8395" s="397"/>
      <c r="F8395" s="392"/>
      <c r="G8395" s="392"/>
      <c r="H8395" s="401"/>
      <c r="I8395" s="165">
        <v>10</v>
      </c>
      <c r="J8395" s="165">
        <v>120</v>
      </c>
      <c r="K8395" s="165">
        <v>1</v>
      </c>
      <c r="L8395" s="628"/>
      <c r="M8395" s="628"/>
      <c r="N8395" s="388">
        <f>366.27*(0.028317)</f>
        <v>10.371667589999999</v>
      </c>
      <c r="O8395" s="389">
        <v>2.2867200000000004E-2</v>
      </c>
      <c r="P8395" s="413"/>
      <c r="Q8395" s="413"/>
      <c r="R8395" s="413"/>
      <c r="S8395" s="413">
        <v>1.2387843704775688E-2</v>
      </c>
      <c r="T8395" s="413">
        <v>0.18732272069464545</v>
      </c>
      <c r="U8395" s="413">
        <v>0.35971056439942112</v>
      </c>
      <c r="V8395" s="504">
        <v>0.27247467438494938</v>
      </c>
      <c r="W8395" s="504">
        <v>0.13371924746743849</v>
      </c>
      <c r="X8395" s="504">
        <v>3.3227206946454417E-2</v>
      </c>
      <c r="Y8395" s="504">
        <v>1.1577424023154848E-3</v>
      </c>
      <c r="Z8395" s="388">
        <v>9</v>
      </c>
      <c r="AA8395" s="388"/>
      <c r="AB8395" s="391"/>
      <c r="AC8395" s="392"/>
      <c r="AD8395" s="388">
        <f>79.4*(0.3048)</f>
        <v>24.201120000000003</v>
      </c>
      <c r="AE8395" s="388">
        <f>1.64578085642317*(0.3048)</f>
        <v>0.50163400503778222</v>
      </c>
      <c r="AF8395" s="388"/>
      <c r="AG8395" s="388">
        <f>2.80292902238378*(0.3048)</f>
        <v>0.85433276602257613</v>
      </c>
      <c r="AH8395" s="391"/>
      <c r="AI8395" s="397"/>
      <c r="AJ8395" s="397"/>
      <c r="AK8395" s="392"/>
      <c r="AL8395" s="392"/>
      <c r="AM8395" s="392"/>
      <c r="AN8395" s="392"/>
      <c r="AO8395" s="392"/>
      <c r="AP8395" s="392"/>
      <c r="AQ8395" s="392"/>
      <c r="AR8395" s="392"/>
      <c r="AS8395" s="392"/>
      <c r="AT8395" s="392"/>
      <c r="AU8395" s="397"/>
      <c r="AV8395" s="397"/>
      <c r="AW8395" s="397"/>
      <c r="AX8395" s="397"/>
      <c r="AY8395" s="392"/>
      <c r="AZ8395" s="392"/>
      <c r="BA8395" s="392"/>
      <c r="BB8395" s="392"/>
      <c r="BC8395" s="392"/>
      <c r="BD8395" s="392"/>
      <c r="BE8395" s="392"/>
      <c r="BF8395" s="392"/>
      <c r="BG8395" s="392"/>
      <c r="BH8395" s="392"/>
      <c r="BI8395" s="397"/>
      <c r="BJ8395" s="397"/>
      <c r="BK8395" s="397"/>
      <c r="BL8395" s="397"/>
      <c r="BM8395" s="397"/>
      <c r="BN8395" s="397"/>
      <c r="BO8395" s="397"/>
      <c r="BP8395" s="397"/>
      <c r="BQ8395" s="397"/>
      <c r="BR8395" s="397"/>
      <c r="BS8395" s="397"/>
      <c r="BT8395" s="397"/>
      <c r="BU8395" s="397"/>
      <c r="BV8395" s="397"/>
      <c r="BW8395" s="397"/>
      <c r="BX8395" s="397"/>
      <c r="BY8395" s="397"/>
      <c r="BZ8395" s="397"/>
      <c r="CA8395" s="392"/>
      <c r="CB8395" s="392"/>
    </row>
    <row r="8396" spans="1:80" ht="15" x14ac:dyDescent="0.25">
      <c r="A8396" s="385"/>
      <c r="B8396" s="392"/>
      <c r="C8396" s="392"/>
      <c r="D8396" s="700"/>
      <c r="E8396" s="397"/>
      <c r="F8396" s="392"/>
      <c r="G8396" s="392"/>
      <c r="H8396" s="401"/>
      <c r="I8396" s="165">
        <v>10</v>
      </c>
      <c r="J8396" s="165">
        <v>120</v>
      </c>
      <c r="K8396" s="165">
        <v>1</v>
      </c>
      <c r="L8396" s="628"/>
      <c r="M8396" s="628"/>
      <c r="N8396" s="388">
        <f>346.02*(0.028317)</f>
        <v>9.7982483399999989</v>
      </c>
      <c r="O8396" s="389">
        <v>5.2191866666666663E-2</v>
      </c>
      <c r="P8396" s="413"/>
      <c r="Q8396" s="413"/>
      <c r="R8396" s="413"/>
      <c r="S8396" s="413">
        <v>1.7689539770010823E-2</v>
      </c>
      <c r="T8396" s="413">
        <v>2.8459273797841023E-2</v>
      </c>
      <c r="U8396" s="413">
        <v>8.2358269796935155E-2</v>
      </c>
      <c r="V8396" s="504">
        <v>0.27520696509901615</v>
      </c>
      <c r="W8396" s="504">
        <v>0.34382627513147629</v>
      </c>
      <c r="X8396" s="504">
        <v>0.13489846757756474</v>
      </c>
      <c r="Y8396" s="504">
        <v>0.11756120882715584</v>
      </c>
      <c r="Z8396" s="388">
        <v>12</v>
      </c>
      <c r="AA8396" s="388"/>
      <c r="AB8396" s="391"/>
      <c r="AC8396" s="392"/>
      <c r="AD8396" s="388">
        <f>78.8*(0.3048)</f>
        <v>24.018239999999999</v>
      </c>
      <c r="AE8396" s="388">
        <f>1.6248730964467*(0.3048)</f>
        <v>0.4952613197969542</v>
      </c>
      <c r="AF8396" s="388"/>
      <c r="AG8396" s="388">
        <f>2.70240237425804*(0.3048)</f>
        <v>0.82369224367385063</v>
      </c>
      <c r="AH8396" s="391"/>
      <c r="AI8396" s="397"/>
      <c r="AJ8396" s="397"/>
      <c r="AK8396" s="392"/>
      <c r="AL8396" s="392"/>
      <c r="AM8396" s="392"/>
      <c r="AN8396" s="392"/>
      <c r="AO8396" s="392"/>
      <c r="AP8396" s="392"/>
      <c r="AQ8396" s="392"/>
      <c r="AR8396" s="392"/>
      <c r="AS8396" s="392"/>
      <c r="AT8396" s="392"/>
      <c r="AU8396" s="397"/>
      <c r="AV8396" s="397"/>
      <c r="AW8396" s="397"/>
      <c r="AX8396" s="397"/>
      <c r="AY8396" s="392"/>
      <c r="AZ8396" s="392"/>
      <c r="BA8396" s="392"/>
      <c r="BB8396" s="392"/>
      <c r="BC8396" s="392"/>
      <c r="BD8396" s="392"/>
      <c r="BE8396" s="392"/>
      <c r="BF8396" s="392"/>
      <c r="BG8396" s="392"/>
      <c r="BH8396" s="392"/>
      <c r="BI8396" s="397"/>
      <c r="BJ8396" s="397"/>
      <c r="BK8396" s="397"/>
      <c r="BL8396" s="397"/>
      <c r="BM8396" s="397"/>
      <c r="BN8396" s="397"/>
      <c r="BO8396" s="397"/>
      <c r="BP8396" s="397"/>
      <c r="BQ8396" s="397"/>
      <c r="BR8396" s="397"/>
      <c r="BS8396" s="397"/>
      <c r="BT8396" s="397"/>
      <c r="BU8396" s="397"/>
      <c r="BV8396" s="397"/>
      <c r="BW8396" s="397"/>
      <c r="BX8396" s="397"/>
      <c r="BY8396" s="397"/>
      <c r="BZ8396" s="397"/>
      <c r="CA8396" s="392"/>
      <c r="CB8396" s="392"/>
    </row>
    <row r="8397" spans="1:80" ht="15" x14ac:dyDescent="0.25">
      <c r="A8397" s="385"/>
      <c r="B8397" s="392"/>
      <c r="C8397" s="392"/>
      <c r="D8397" s="700"/>
      <c r="E8397" s="397"/>
      <c r="F8397" s="392"/>
      <c r="G8397" s="392"/>
      <c r="H8397" s="401"/>
      <c r="I8397" s="165">
        <v>10</v>
      </c>
      <c r="J8397" s="165">
        <v>120</v>
      </c>
      <c r="K8397" s="165">
        <v>1</v>
      </c>
      <c r="L8397" s="628"/>
      <c r="M8397" s="628"/>
      <c r="N8397" s="388">
        <f>416.91*(0.028317)</f>
        <v>11.80564047</v>
      </c>
      <c r="O8397" s="389">
        <v>5.5009954999999999E-2</v>
      </c>
      <c r="P8397" s="413"/>
      <c r="Q8397" s="413"/>
      <c r="R8397" s="413"/>
      <c r="S8397" s="413">
        <v>3.5859840354981069E-2</v>
      </c>
      <c r="T8397" s="413">
        <v>9.2459063833892033E-2</v>
      </c>
      <c r="U8397" s="413">
        <v>0.17515132515011939</v>
      </c>
      <c r="V8397" s="504">
        <v>0.27084187426146095</v>
      </c>
      <c r="W8397" s="504">
        <v>0.24233728024694337</v>
      </c>
      <c r="X8397" s="504">
        <v>9.9235536691827247E-2</v>
      </c>
      <c r="Y8397" s="504">
        <v>8.4115079460776052E-2</v>
      </c>
      <c r="Z8397" s="388">
        <v>13</v>
      </c>
      <c r="AA8397" s="388"/>
      <c r="AB8397" s="391"/>
      <c r="AC8397" s="392"/>
      <c r="AD8397" s="388">
        <f>79.59*(0.3048)</f>
        <v>24.259032000000001</v>
      </c>
      <c r="AE8397" s="388">
        <f>1.73796331197387*(0.3048)</f>
        <v>0.52973121748963559</v>
      </c>
      <c r="AF8397" s="388"/>
      <c r="AG8397" s="388">
        <f>3.01403102848736*(0.3048)</f>
        <v>0.91867665748294747</v>
      </c>
      <c r="AH8397" s="391"/>
      <c r="AI8397" s="397"/>
      <c r="AJ8397" s="397"/>
      <c r="AK8397" s="392"/>
      <c r="AL8397" s="392"/>
      <c r="AM8397" s="392"/>
      <c r="AN8397" s="392"/>
      <c r="AO8397" s="392"/>
      <c r="AP8397" s="392"/>
      <c r="AQ8397" s="392"/>
      <c r="AR8397" s="392"/>
      <c r="AS8397" s="392"/>
      <c r="AT8397" s="392"/>
      <c r="AU8397" s="397"/>
      <c r="AV8397" s="397"/>
      <c r="AW8397" s="397"/>
      <c r="AX8397" s="397"/>
      <c r="AY8397" s="392"/>
      <c r="AZ8397" s="392"/>
      <c r="BA8397" s="392"/>
      <c r="BB8397" s="392"/>
      <c r="BC8397" s="392"/>
      <c r="BD8397" s="392"/>
      <c r="BE8397" s="392"/>
      <c r="BF8397" s="392"/>
      <c r="BG8397" s="392"/>
      <c r="BH8397" s="392"/>
      <c r="BI8397" s="397"/>
      <c r="BJ8397" s="397"/>
      <c r="BK8397" s="397"/>
      <c r="BL8397" s="397"/>
      <c r="BM8397" s="397"/>
      <c r="BN8397" s="397"/>
      <c r="BO8397" s="397"/>
      <c r="BP8397" s="397"/>
      <c r="BQ8397" s="397"/>
      <c r="BR8397" s="397"/>
      <c r="BS8397" s="397"/>
      <c r="BT8397" s="397"/>
      <c r="BU8397" s="397"/>
      <c r="BV8397" s="397"/>
      <c r="BW8397" s="397"/>
      <c r="BX8397" s="397"/>
      <c r="BY8397" s="397"/>
      <c r="BZ8397" s="397"/>
      <c r="CA8397" s="392"/>
      <c r="CB8397" s="392"/>
    </row>
    <row r="8398" spans="1:80" ht="15" x14ac:dyDescent="0.25">
      <c r="A8398" s="385"/>
      <c r="B8398" s="392"/>
      <c r="C8398" s="392"/>
      <c r="D8398" s="700"/>
      <c r="E8398" s="397"/>
      <c r="F8398" s="392"/>
      <c r="G8398" s="392"/>
      <c r="H8398" s="401"/>
      <c r="I8398" s="165">
        <v>10</v>
      </c>
      <c r="J8398" s="165">
        <v>120</v>
      </c>
      <c r="K8398" s="165">
        <v>1</v>
      </c>
      <c r="L8398" s="628"/>
      <c r="M8398" s="628"/>
      <c r="N8398" s="388">
        <f>468.69*(0.028317)</f>
        <v>13.27189473</v>
      </c>
      <c r="O8398" s="389">
        <v>0.15384891666666667</v>
      </c>
      <c r="P8398" s="413">
        <v>0.60227094343571774</v>
      </c>
      <c r="Q8398" s="413"/>
      <c r="R8398" s="413">
        <v>5.4418921040238613E-2</v>
      </c>
      <c r="S8398" s="413">
        <v>2.9790870877156265E-2</v>
      </c>
      <c r="T8398" s="413">
        <v>3.1020529189123198E-2</v>
      </c>
      <c r="U8398" s="413">
        <v>4.9029354821830365E-2</v>
      </c>
      <c r="V8398" s="504">
        <v>6.6323060017790814E-2</v>
      </c>
      <c r="W8398" s="504">
        <v>8.3503392461584086E-2</v>
      </c>
      <c r="X8398" s="504">
        <v>4.7729928662375951E-2</v>
      </c>
      <c r="Y8398" s="504">
        <v>3.5912999494183112E-2</v>
      </c>
      <c r="Z8398" s="388">
        <v>85</v>
      </c>
      <c r="AA8398" s="388"/>
      <c r="AB8398" s="391"/>
      <c r="AC8398" s="392"/>
      <c r="AD8398" s="388">
        <f>80.5*(0.3048)</f>
        <v>24.5364</v>
      </c>
      <c r="AE8398" s="388">
        <f>1.86291925465838*(0.3048)</f>
        <v>0.56781778881987421</v>
      </c>
      <c r="AF8398" s="388"/>
      <c r="AG8398" s="388">
        <f>3.12532357550095*(0.3048)</f>
        <v>0.95259862581268961</v>
      </c>
      <c r="AH8398" s="391"/>
      <c r="AI8398" s="397"/>
      <c r="AJ8398" s="397"/>
      <c r="AK8398" s="392"/>
      <c r="AL8398" s="392"/>
      <c r="AM8398" s="392"/>
      <c r="AN8398" s="392"/>
      <c r="AO8398" s="392"/>
      <c r="AP8398" s="392"/>
      <c r="AQ8398" s="392"/>
      <c r="AR8398" s="392"/>
      <c r="AS8398" s="392"/>
      <c r="AT8398" s="392"/>
      <c r="AU8398" s="397"/>
      <c r="AV8398" s="397"/>
      <c r="AW8398" s="397"/>
      <c r="AX8398" s="397"/>
      <c r="AY8398" s="392"/>
      <c r="AZ8398" s="392"/>
      <c r="BA8398" s="392"/>
      <c r="BB8398" s="392"/>
      <c r="BC8398" s="392"/>
      <c r="BD8398" s="392"/>
      <c r="BE8398" s="392"/>
      <c r="BF8398" s="392"/>
      <c r="BG8398" s="392"/>
      <c r="BH8398" s="392"/>
      <c r="BI8398" s="397"/>
      <c r="BJ8398" s="397"/>
      <c r="BK8398" s="397"/>
      <c r="BL8398" s="397"/>
      <c r="BM8398" s="397"/>
      <c r="BN8398" s="397"/>
      <c r="BO8398" s="397"/>
      <c r="BP8398" s="397"/>
      <c r="BQ8398" s="397"/>
      <c r="BR8398" s="397"/>
      <c r="BS8398" s="397"/>
      <c r="BT8398" s="397"/>
      <c r="BU8398" s="397"/>
      <c r="BV8398" s="397"/>
      <c r="BW8398" s="397"/>
      <c r="BX8398" s="397"/>
      <c r="BY8398" s="397"/>
      <c r="BZ8398" s="397"/>
      <c r="CA8398" s="392"/>
      <c r="CB8398" s="392"/>
    </row>
    <row r="8399" spans="1:80" ht="15" x14ac:dyDescent="0.25">
      <c r="A8399" s="385"/>
      <c r="B8399" s="392"/>
      <c r="C8399" s="392"/>
      <c r="D8399" s="700"/>
      <c r="E8399" s="397"/>
      <c r="F8399" s="392"/>
      <c r="G8399" s="392"/>
      <c r="H8399" s="401"/>
      <c r="I8399" s="165">
        <v>10</v>
      </c>
      <c r="J8399" s="165">
        <v>120</v>
      </c>
      <c r="K8399" s="165">
        <v>1</v>
      </c>
      <c r="L8399" s="628"/>
      <c r="M8399" s="628"/>
      <c r="N8399" s="388">
        <f>419.56*(0.028317)</f>
        <v>11.880680519999999</v>
      </c>
      <c r="O8399" s="389">
        <v>7.4957849999999993E-2</v>
      </c>
      <c r="P8399" s="413"/>
      <c r="Q8399" s="413">
        <v>8.6486486486486505E-2</v>
      </c>
      <c r="R8399" s="413"/>
      <c r="S8399" s="413">
        <v>5.2884359769605684E-2</v>
      </c>
      <c r="T8399" s="413">
        <v>8.166592822330529E-2</v>
      </c>
      <c r="U8399" s="413">
        <v>0.1572352680549402</v>
      </c>
      <c r="V8399" s="504">
        <v>0.28077979618963234</v>
      </c>
      <c r="W8399" s="504">
        <v>0.22626495347806827</v>
      </c>
      <c r="X8399" s="504">
        <v>7.4824988923349586E-2</v>
      </c>
      <c r="Y8399" s="504">
        <v>3.9858218874612321E-2</v>
      </c>
      <c r="Z8399" s="388">
        <v>37</v>
      </c>
      <c r="AA8399" s="388"/>
      <c r="AB8399" s="391"/>
      <c r="AC8399" s="392"/>
      <c r="AD8399" s="388">
        <f>79.7*(0.3048)</f>
        <v>24.292560000000002</v>
      </c>
      <c r="AE8399" s="388">
        <f>1.75213299874529*(0.3048)</f>
        <v>0.5340501380175644</v>
      </c>
      <c r="AF8399" s="388"/>
      <c r="AG8399" s="388">
        <f>3.00446095456336*(0.3048)</f>
        <v>0.91575969895091214</v>
      </c>
      <c r="AH8399" s="391"/>
      <c r="AI8399" s="397"/>
      <c r="AJ8399" s="397"/>
      <c r="AK8399" s="392"/>
      <c r="AL8399" s="392"/>
      <c r="AM8399" s="392"/>
      <c r="AN8399" s="392"/>
      <c r="AO8399" s="392"/>
      <c r="AP8399" s="392"/>
      <c r="AQ8399" s="392"/>
      <c r="AR8399" s="392"/>
      <c r="AS8399" s="392"/>
      <c r="AT8399" s="392"/>
      <c r="AU8399" s="397"/>
      <c r="AV8399" s="397"/>
      <c r="AW8399" s="397"/>
      <c r="AX8399" s="397"/>
      <c r="AY8399" s="392"/>
      <c r="AZ8399" s="392"/>
      <c r="BA8399" s="392"/>
      <c r="BB8399" s="392"/>
      <c r="BC8399" s="392"/>
      <c r="BD8399" s="392"/>
      <c r="BE8399" s="392"/>
      <c r="BF8399" s="392"/>
      <c r="BG8399" s="392"/>
      <c r="BH8399" s="392"/>
      <c r="BI8399" s="397"/>
      <c r="BJ8399" s="397"/>
      <c r="BK8399" s="397"/>
      <c r="BL8399" s="397"/>
      <c r="BM8399" s="397"/>
      <c r="BN8399" s="397"/>
      <c r="BO8399" s="397"/>
      <c r="BP8399" s="397"/>
      <c r="BQ8399" s="397"/>
      <c r="BR8399" s="397"/>
      <c r="BS8399" s="397"/>
      <c r="BT8399" s="397"/>
      <c r="BU8399" s="397"/>
      <c r="BV8399" s="397"/>
      <c r="BW8399" s="397"/>
      <c r="BX8399" s="397"/>
      <c r="BY8399" s="397"/>
      <c r="BZ8399" s="397"/>
      <c r="CA8399" s="392"/>
      <c r="CB8399" s="392"/>
    </row>
    <row r="8400" spans="1:80" ht="15" x14ac:dyDescent="0.25">
      <c r="A8400" s="385"/>
      <c r="B8400" s="392"/>
      <c r="C8400" s="392"/>
      <c r="D8400" s="700"/>
      <c r="E8400" s="397"/>
      <c r="F8400" s="392"/>
      <c r="G8400" s="392"/>
      <c r="H8400" s="401"/>
      <c r="I8400" s="165">
        <v>10</v>
      </c>
      <c r="J8400" s="165">
        <v>120</v>
      </c>
      <c r="K8400" s="165">
        <v>1</v>
      </c>
      <c r="L8400" s="628"/>
      <c r="M8400" s="628"/>
      <c r="N8400" s="388">
        <f>432.96*(0.028317)</f>
        <v>12.260128319999998</v>
      </c>
      <c r="O8400" s="389">
        <v>6.5890348333333335E-2</v>
      </c>
      <c r="P8400" s="413"/>
      <c r="Q8400" s="413"/>
      <c r="R8400" s="413">
        <v>1.5058965830057452E-2</v>
      </c>
      <c r="S8400" s="413">
        <v>9.3458320733796979E-2</v>
      </c>
      <c r="T8400" s="413">
        <v>7.7411551254913807E-2</v>
      </c>
      <c r="U8400" s="413">
        <v>0.18371131942344518</v>
      </c>
      <c r="V8400" s="504">
        <v>0.26136478177603062</v>
      </c>
      <c r="W8400" s="504">
        <v>0.22070355810906156</v>
      </c>
      <c r="X8400" s="504">
        <v>9.1906057857070858E-2</v>
      </c>
      <c r="Y8400" s="504">
        <v>5.6385445015623412E-2</v>
      </c>
      <c r="Z8400" s="388">
        <v>19</v>
      </c>
      <c r="AA8400" s="388"/>
      <c r="AB8400" s="391"/>
      <c r="AC8400" s="392"/>
      <c r="AD8400" s="388">
        <f>79.69*(0.3048)</f>
        <v>24.289512000000002</v>
      </c>
      <c r="AE8400" s="388">
        <f>1.82426653281466*(0.3048)</f>
        <v>0.55603643920190837</v>
      </c>
      <c r="AF8400" s="388"/>
      <c r="AG8400" s="388">
        <f>2.97824253417694*(0.3048)</f>
        <v>0.90776832441713129</v>
      </c>
      <c r="AH8400" s="391"/>
      <c r="AI8400" s="397"/>
      <c r="AJ8400" s="397"/>
      <c r="AK8400" s="392"/>
      <c r="AL8400" s="392"/>
      <c r="AM8400" s="392"/>
      <c r="AN8400" s="392"/>
      <c r="AO8400" s="392"/>
      <c r="AP8400" s="392"/>
      <c r="AQ8400" s="392"/>
      <c r="AR8400" s="392"/>
      <c r="AS8400" s="392"/>
      <c r="AT8400" s="392"/>
      <c r="AU8400" s="397"/>
      <c r="AV8400" s="397"/>
      <c r="AW8400" s="397"/>
      <c r="AX8400" s="397"/>
      <c r="AY8400" s="392"/>
      <c r="AZ8400" s="392"/>
      <c r="BA8400" s="392"/>
      <c r="BB8400" s="392"/>
      <c r="BC8400" s="392"/>
      <c r="BD8400" s="392"/>
      <c r="BE8400" s="392"/>
      <c r="BF8400" s="392"/>
      <c r="BG8400" s="392"/>
      <c r="BH8400" s="392"/>
      <c r="BI8400" s="397"/>
      <c r="BJ8400" s="397"/>
      <c r="BK8400" s="397"/>
      <c r="BL8400" s="397"/>
      <c r="BM8400" s="397"/>
      <c r="BN8400" s="397"/>
      <c r="BO8400" s="397"/>
      <c r="BP8400" s="397"/>
      <c r="BQ8400" s="397"/>
      <c r="BR8400" s="397"/>
      <c r="BS8400" s="397"/>
      <c r="BT8400" s="397"/>
      <c r="BU8400" s="397"/>
      <c r="BV8400" s="397"/>
      <c r="BW8400" s="397"/>
      <c r="BX8400" s="397"/>
      <c r="BY8400" s="397"/>
      <c r="BZ8400" s="397"/>
      <c r="CA8400" s="392"/>
      <c r="CB8400" s="392"/>
    </row>
    <row r="8401" spans="1:80" ht="15" x14ac:dyDescent="0.25">
      <c r="A8401" s="385"/>
      <c r="B8401" s="392"/>
      <c r="C8401" s="392"/>
      <c r="D8401" s="700"/>
      <c r="E8401" s="397"/>
      <c r="F8401" s="392"/>
      <c r="G8401" s="392"/>
      <c r="H8401" s="401"/>
      <c r="I8401" s="165">
        <v>10</v>
      </c>
      <c r="J8401" s="165">
        <v>120</v>
      </c>
      <c r="K8401" s="165">
        <v>1</v>
      </c>
      <c r="L8401" s="628"/>
      <c r="M8401" s="628"/>
      <c r="N8401" s="388">
        <f>500.51*(0.028317)</f>
        <v>14.172941669999998</v>
      </c>
      <c r="O8401" s="389">
        <v>1.6422449999999998E-2</v>
      </c>
      <c r="P8401" s="413"/>
      <c r="Q8401" s="413"/>
      <c r="R8401" s="413"/>
      <c r="S8401" s="413">
        <v>5.8172879967226546E-2</v>
      </c>
      <c r="T8401" s="413">
        <v>2.4252355591970504E-2</v>
      </c>
      <c r="U8401" s="413">
        <v>7.5133142154854574E-2</v>
      </c>
      <c r="V8401" s="504">
        <v>0.13822204014748055</v>
      </c>
      <c r="W8401" s="504">
        <v>0.32019664072101595</v>
      </c>
      <c r="X8401" s="504">
        <v>0.21286358049979517</v>
      </c>
      <c r="Y8401" s="504">
        <v>0.17115936091765671</v>
      </c>
      <c r="Z8401" s="388">
        <v>15</v>
      </c>
      <c r="AA8401" s="388"/>
      <c r="AB8401" s="391"/>
      <c r="AC8401" s="392"/>
      <c r="AD8401" s="388">
        <f>80.7*(0.3048)</f>
        <v>24.597360000000002</v>
      </c>
      <c r="AE8401" s="388">
        <f>1.87267657992565*(0.3048)</f>
        <v>0.57079182156133812</v>
      </c>
      <c r="AF8401" s="388"/>
      <c r="AG8401" s="388">
        <f>3.31190405293631*(0.3048)</f>
        <v>1.0094683553349875</v>
      </c>
      <c r="AH8401" s="391"/>
      <c r="AI8401" s="397"/>
      <c r="AJ8401" s="397"/>
      <c r="AK8401" s="392"/>
      <c r="AL8401" s="392"/>
      <c r="AM8401" s="392"/>
      <c r="AN8401" s="392"/>
      <c r="AO8401" s="392"/>
      <c r="AP8401" s="392"/>
      <c r="AQ8401" s="392"/>
      <c r="AR8401" s="392"/>
      <c r="AS8401" s="392"/>
      <c r="AT8401" s="392"/>
      <c r="AU8401" s="397"/>
      <c r="AV8401" s="397"/>
      <c r="AW8401" s="397"/>
      <c r="AX8401" s="397"/>
      <c r="AY8401" s="392"/>
      <c r="AZ8401" s="392"/>
      <c r="BA8401" s="392"/>
      <c r="BB8401" s="392"/>
      <c r="BC8401" s="392"/>
      <c r="BD8401" s="392"/>
      <c r="BE8401" s="392"/>
      <c r="BF8401" s="392"/>
      <c r="BG8401" s="392"/>
      <c r="BH8401" s="392"/>
      <c r="BI8401" s="397"/>
      <c r="BJ8401" s="397"/>
      <c r="BK8401" s="397"/>
      <c r="BL8401" s="397"/>
      <c r="BM8401" s="397"/>
      <c r="BN8401" s="397"/>
      <c r="BO8401" s="397"/>
      <c r="BP8401" s="397"/>
      <c r="BQ8401" s="397"/>
      <c r="BR8401" s="397"/>
      <c r="BS8401" s="397"/>
      <c r="BT8401" s="397"/>
      <c r="BU8401" s="397"/>
      <c r="BV8401" s="397"/>
      <c r="BW8401" s="397"/>
      <c r="BX8401" s="397"/>
      <c r="BY8401" s="397"/>
      <c r="BZ8401" s="397"/>
      <c r="CA8401" s="392"/>
      <c r="CB8401" s="392"/>
    </row>
    <row r="8402" spans="1:80" ht="15" x14ac:dyDescent="0.25">
      <c r="A8402" s="385"/>
      <c r="B8402" s="392"/>
      <c r="C8402" s="392"/>
      <c r="D8402" s="700"/>
      <c r="E8402" s="397"/>
      <c r="F8402" s="392"/>
      <c r="G8402" s="392"/>
      <c r="H8402" s="401"/>
      <c r="I8402" s="165">
        <v>10</v>
      </c>
      <c r="J8402" s="165">
        <v>120</v>
      </c>
      <c r="K8402" s="165">
        <v>1</v>
      </c>
      <c r="L8402" s="628"/>
      <c r="M8402" s="628"/>
      <c r="N8402" s="388">
        <f>405.91*(0.028317)</f>
        <v>11.494153470000001</v>
      </c>
      <c r="O8402" s="389">
        <v>0.10569548333333334</v>
      </c>
      <c r="P8402" s="413"/>
      <c r="Q8402" s="413"/>
      <c r="R8402" s="413"/>
      <c r="S8402" s="413">
        <v>2.5713208495664195E-2</v>
      </c>
      <c r="T8402" s="413">
        <v>8.0583134347115754E-2</v>
      </c>
      <c r="U8402" s="413">
        <v>0.20174688953123035</v>
      </c>
      <c r="V8402" s="504">
        <v>0.30079175568681665</v>
      </c>
      <c r="W8402" s="504">
        <v>0.24509237149679527</v>
      </c>
      <c r="X8402" s="504">
        <v>8.1575970843282636E-2</v>
      </c>
      <c r="Y8402" s="504">
        <v>6.4496669599095127E-2</v>
      </c>
      <c r="Z8402" s="388">
        <v>13</v>
      </c>
      <c r="AA8402" s="388"/>
      <c r="AB8402" s="391"/>
      <c r="AC8402" s="392"/>
      <c r="AD8402" s="388">
        <f>79.7*(0.3048)</f>
        <v>24.292560000000002</v>
      </c>
      <c r="AE8402" s="388">
        <f>1.75611668757842*(0.3048)</f>
        <v>0.5352643663739024</v>
      </c>
      <c r="AF8402" s="388"/>
      <c r="AG8402" s="388">
        <f>2.9001528980977*(0.3048)</f>
        <v>0.88396660334017907</v>
      </c>
      <c r="AH8402" s="391"/>
      <c r="AI8402" s="397"/>
      <c r="AJ8402" s="397"/>
      <c r="AK8402" s="392"/>
      <c r="AL8402" s="392"/>
      <c r="AM8402" s="392"/>
      <c r="AN8402" s="392"/>
      <c r="AO8402" s="392"/>
      <c r="AP8402" s="392"/>
      <c r="AQ8402" s="392"/>
      <c r="AR8402" s="392"/>
      <c r="AS8402" s="392"/>
      <c r="AT8402" s="392"/>
      <c r="AU8402" s="397"/>
      <c r="AV8402" s="397"/>
      <c r="AW8402" s="397"/>
      <c r="AX8402" s="397"/>
      <c r="AY8402" s="392"/>
      <c r="AZ8402" s="392"/>
      <c r="BA8402" s="392"/>
      <c r="BB8402" s="392"/>
      <c r="BC8402" s="392"/>
      <c r="BD8402" s="392"/>
      <c r="BE8402" s="392"/>
      <c r="BF8402" s="392"/>
      <c r="BG8402" s="392"/>
      <c r="BH8402" s="392"/>
      <c r="BI8402" s="397"/>
      <c r="BJ8402" s="397"/>
      <c r="BK8402" s="397"/>
      <c r="BL8402" s="397"/>
      <c r="BM8402" s="397"/>
      <c r="BN8402" s="397"/>
      <c r="BO8402" s="397"/>
      <c r="BP8402" s="397"/>
      <c r="BQ8402" s="397"/>
      <c r="BR8402" s="397"/>
      <c r="BS8402" s="397"/>
      <c r="BT8402" s="397"/>
      <c r="BU8402" s="397"/>
      <c r="BV8402" s="397"/>
      <c r="BW8402" s="397"/>
      <c r="BX8402" s="397"/>
      <c r="BY8402" s="397"/>
      <c r="BZ8402" s="397"/>
      <c r="CA8402" s="392"/>
      <c r="CB8402" s="392"/>
    </row>
    <row r="8403" spans="1:80" ht="15" x14ac:dyDescent="0.25">
      <c r="A8403" s="385"/>
      <c r="B8403" s="392"/>
      <c r="C8403" s="392"/>
      <c r="D8403" s="700"/>
      <c r="E8403" s="397"/>
      <c r="F8403" s="392"/>
      <c r="G8403" s="392"/>
      <c r="H8403" s="401"/>
      <c r="I8403" s="165">
        <v>10</v>
      </c>
      <c r="J8403" s="165">
        <v>120</v>
      </c>
      <c r="K8403" s="165">
        <v>1</v>
      </c>
      <c r="L8403" s="628"/>
      <c r="M8403" s="628"/>
      <c r="N8403" s="388">
        <f>397.74*(0.028317)</f>
        <v>11.26280358</v>
      </c>
      <c r="O8403" s="389">
        <v>9.5757750000000016E-2</v>
      </c>
      <c r="P8403" s="413"/>
      <c r="Q8403" s="413"/>
      <c r="R8403" s="413">
        <v>0.13622526636225266</v>
      </c>
      <c r="S8403" s="413">
        <v>5.0172962501729618E-2</v>
      </c>
      <c r="T8403" s="413">
        <v>7.5231769752317684E-2</v>
      </c>
      <c r="U8403" s="413">
        <v>0.10156358101563581</v>
      </c>
      <c r="V8403" s="504">
        <v>0.24333748443337486</v>
      </c>
      <c r="W8403" s="504">
        <v>0.25699460356994602</v>
      </c>
      <c r="X8403" s="504">
        <v>7.6823024768230247E-2</v>
      </c>
      <c r="Y8403" s="504">
        <v>5.9651307596513069E-2</v>
      </c>
      <c r="Z8403" s="388">
        <v>27</v>
      </c>
      <c r="AA8403" s="388"/>
      <c r="AB8403" s="391"/>
      <c r="AC8403" s="392"/>
      <c r="AD8403" s="388">
        <f>79.5*(0.3048)</f>
        <v>24.2316</v>
      </c>
      <c r="AE8403" s="388">
        <f>1.79182389937107*(0.3048)</f>
        <v>0.54614792452830219</v>
      </c>
      <c r="AF8403" s="388"/>
      <c r="AG8403" s="388">
        <f>2.79214285714286*(0.3048)</f>
        <v>0.85104514285714372</v>
      </c>
      <c r="AH8403" s="391"/>
      <c r="AI8403" s="397"/>
      <c r="AJ8403" s="397"/>
      <c r="AK8403" s="392"/>
      <c r="AL8403" s="392"/>
      <c r="AM8403" s="392"/>
      <c r="AN8403" s="392"/>
      <c r="AO8403" s="392"/>
      <c r="AP8403" s="392"/>
      <c r="AQ8403" s="392"/>
      <c r="AR8403" s="392"/>
      <c r="AS8403" s="392"/>
      <c r="AT8403" s="392"/>
      <c r="AU8403" s="397"/>
      <c r="AV8403" s="397"/>
      <c r="AW8403" s="397"/>
      <c r="AX8403" s="397"/>
      <c r="AY8403" s="392"/>
      <c r="AZ8403" s="392"/>
      <c r="BA8403" s="392"/>
      <c r="BB8403" s="392"/>
      <c r="BC8403" s="392"/>
      <c r="BD8403" s="392"/>
      <c r="BE8403" s="392"/>
      <c r="BF8403" s="392"/>
      <c r="BG8403" s="392"/>
      <c r="BH8403" s="392"/>
      <c r="BI8403" s="397"/>
      <c r="BJ8403" s="397"/>
      <c r="BK8403" s="397"/>
      <c r="BL8403" s="397"/>
      <c r="BM8403" s="397"/>
      <c r="BN8403" s="397"/>
      <c r="BO8403" s="397"/>
      <c r="BP8403" s="397"/>
      <c r="BQ8403" s="397"/>
      <c r="BR8403" s="397"/>
      <c r="BS8403" s="397"/>
      <c r="BT8403" s="397"/>
      <c r="BU8403" s="397"/>
      <c r="BV8403" s="397"/>
      <c r="BW8403" s="397"/>
      <c r="BX8403" s="397"/>
      <c r="BY8403" s="397"/>
      <c r="BZ8403" s="397"/>
      <c r="CA8403" s="392"/>
      <c r="CB8403" s="392"/>
    </row>
    <row r="8404" spans="1:80" ht="15" x14ac:dyDescent="0.25">
      <c r="A8404" s="385"/>
      <c r="B8404" s="392"/>
      <c r="C8404" s="392"/>
      <c r="D8404" s="700"/>
      <c r="E8404" s="397"/>
      <c r="F8404" s="392"/>
      <c r="G8404" s="392"/>
      <c r="H8404" s="401"/>
      <c r="I8404" s="165">
        <v>10</v>
      </c>
      <c r="J8404" s="165">
        <v>120</v>
      </c>
      <c r="K8404" s="165">
        <v>1</v>
      </c>
      <c r="L8404" s="628"/>
      <c r="M8404" s="628"/>
      <c r="N8404" s="388">
        <f>481.32*(0.028317)</f>
        <v>13.629538439999999</v>
      </c>
      <c r="O8404" s="389">
        <v>0.10400000000000001</v>
      </c>
      <c r="P8404" s="413"/>
      <c r="Q8404" s="413">
        <v>9.2320512820512846E-2</v>
      </c>
      <c r="R8404" s="413">
        <v>1.6692307692307694E-2</v>
      </c>
      <c r="S8404" s="413">
        <v>2.7935897435897437E-2</v>
      </c>
      <c r="T8404" s="413">
        <v>6.8641025641025644E-2</v>
      </c>
      <c r="U8404" s="413">
        <v>0.138474358974359</v>
      </c>
      <c r="V8404" s="504">
        <v>0.25333333333333335</v>
      </c>
      <c r="W8404" s="504">
        <v>0.28239743589743593</v>
      </c>
      <c r="X8404" s="504">
        <v>7.2615384615384623E-2</v>
      </c>
      <c r="Y8404" s="504">
        <v>4.7589743589743591E-2</v>
      </c>
      <c r="Z8404" s="388">
        <v>33</v>
      </c>
      <c r="AA8404" s="388"/>
      <c r="AB8404" s="391"/>
      <c r="AC8404" s="392"/>
      <c r="AD8404" s="388">
        <f>80*(0.3048)</f>
        <v>24.384</v>
      </c>
      <c r="AE8404" s="388">
        <f>1.8494375*(0.3048)</f>
        <v>0.56370855000000009</v>
      </c>
      <c r="AF8404" s="388"/>
      <c r="AG8404" s="388">
        <f>3.25318272447704*(0.3048)</f>
        <v>0.99157009442060184</v>
      </c>
      <c r="AH8404" s="391"/>
      <c r="AI8404" s="397"/>
      <c r="AJ8404" s="397"/>
      <c r="AK8404" s="392"/>
      <c r="AL8404" s="392"/>
      <c r="AM8404" s="392"/>
      <c r="AN8404" s="392"/>
      <c r="AO8404" s="392"/>
      <c r="AP8404" s="392"/>
      <c r="AQ8404" s="392"/>
      <c r="AR8404" s="392"/>
      <c r="AS8404" s="392"/>
      <c r="AT8404" s="392"/>
      <c r="AU8404" s="397"/>
      <c r="AV8404" s="397"/>
      <c r="AW8404" s="397"/>
      <c r="AX8404" s="397"/>
      <c r="AY8404" s="392"/>
      <c r="AZ8404" s="392"/>
      <c r="BA8404" s="392"/>
      <c r="BB8404" s="392"/>
      <c r="BC8404" s="392"/>
      <c r="BD8404" s="392"/>
      <c r="BE8404" s="392"/>
      <c r="BF8404" s="392"/>
      <c r="BG8404" s="392"/>
      <c r="BH8404" s="392"/>
      <c r="BI8404" s="397"/>
      <c r="BJ8404" s="397"/>
      <c r="BK8404" s="397"/>
      <c r="BL8404" s="397"/>
      <c r="BM8404" s="397"/>
      <c r="BN8404" s="397"/>
      <c r="BO8404" s="397"/>
      <c r="BP8404" s="397"/>
      <c r="BQ8404" s="397"/>
      <c r="BR8404" s="397"/>
      <c r="BS8404" s="397"/>
      <c r="BT8404" s="397"/>
      <c r="BU8404" s="397"/>
      <c r="BV8404" s="397"/>
      <c r="BW8404" s="397"/>
      <c r="BX8404" s="397"/>
      <c r="BY8404" s="397"/>
      <c r="BZ8404" s="397"/>
      <c r="CA8404" s="392"/>
      <c r="CB8404" s="392"/>
    </row>
    <row r="8405" spans="1:80" ht="15" x14ac:dyDescent="0.25">
      <c r="A8405" s="385"/>
      <c r="B8405" s="392"/>
      <c r="C8405" s="392"/>
      <c r="D8405" s="700"/>
      <c r="E8405" s="397"/>
      <c r="F8405" s="392"/>
      <c r="G8405" s="392"/>
      <c r="H8405" s="401"/>
      <c r="I8405" s="165">
        <v>10</v>
      </c>
      <c r="J8405" s="165">
        <v>120</v>
      </c>
      <c r="K8405" s="165">
        <v>1</v>
      </c>
      <c r="L8405" s="628"/>
      <c r="M8405" s="628"/>
      <c r="N8405" s="388">
        <f>307.47*(0.028317)</f>
        <v>8.7066279899999994</v>
      </c>
      <c r="O8405" s="389">
        <v>9.5812500000000012E-3</v>
      </c>
      <c r="P8405" s="413"/>
      <c r="Q8405" s="413"/>
      <c r="R8405" s="413"/>
      <c r="S8405" s="413">
        <v>3.3561643835616432E-2</v>
      </c>
      <c r="T8405" s="413">
        <v>4.3150684931506839E-2</v>
      </c>
      <c r="U8405" s="413">
        <v>0.18356164383561641</v>
      </c>
      <c r="V8405" s="504">
        <v>0.27315068493150679</v>
      </c>
      <c r="W8405" s="504">
        <v>0.27082191780821913</v>
      </c>
      <c r="X8405" s="504">
        <v>0.10465753424657531</v>
      </c>
      <c r="Y8405" s="504">
        <v>9.1095890410958891E-2</v>
      </c>
      <c r="Z8405" s="388">
        <v>11</v>
      </c>
      <c r="AA8405" s="388"/>
      <c r="AB8405" s="391"/>
      <c r="AC8405" s="392"/>
      <c r="AD8405" s="388">
        <f>78.75*(0.3048)</f>
        <v>24.003</v>
      </c>
      <c r="AE8405" s="388">
        <f>1.59757142857143*(0.3048)</f>
        <v>0.48693977142857187</v>
      </c>
      <c r="AF8405" s="388"/>
      <c r="AG8405" s="388">
        <f>2.44398084393971*(0.3048)</f>
        <v>0.7449253612328236</v>
      </c>
      <c r="AH8405" s="391"/>
      <c r="AI8405" s="397"/>
      <c r="AJ8405" s="397"/>
      <c r="AK8405" s="392"/>
      <c r="AL8405" s="392"/>
      <c r="AM8405" s="392"/>
      <c r="AN8405" s="392"/>
      <c r="AO8405" s="392"/>
      <c r="AP8405" s="392"/>
      <c r="AQ8405" s="392"/>
      <c r="AR8405" s="392"/>
      <c r="AS8405" s="392"/>
      <c r="AT8405" s="392"/>
      <c r="AU8405" s="397"/>
      <c r="AV8405" s="397"/>
      <c r="AW8405" s="397"/>
      <c r="AX8405" s="397"/>
      <c r="AY8405" s="392"/>
      <c r="AZ8405" s="392"/>
      <c r="BA8405" s="392"/>
      <c r="BB8405" s="392"/>
      <c r="BC8405" s="392"/>
      <c r="BD8405" s="392"/>
      <c r="BE8405" s="392"/>
      <c r="BF8405" s="392"/>
      <c r="BG8405" s="392"/>
      <c r="BH8405" s="392"/>
      <c r="BI8405" s="397"/>
      <c r="BJ8405" s="397"/>
      <c r="BK8405" s="397"/>
      <c r="BL8405" s="397"/>
      <c r="BM8405" s="397"/>
      <c r="BN8405" s="397"/>
      <c r="BO8405" s="397"/>
      <c r="BP8405" s="397"/>
      <c r="BQ8405" s="397"/>
      <c r="BR8405" s="397"/>
      <c r="BS8405" s="397"/>
      <c r="BT8405" s="397"/>
      <c r="BU8405" s="397"/>
      <c r="BV8405" s="397"/>
      <c r="BW8405" s="397"/>
      <c r="BX8405" s="397"/>
      <c r="BY8405" s="397"/>
      <c r="BZ8405" s="397"/>
      <c r="CA8405" s="392"/>
      <c r="CB8405" s="392"/>
    </row>
    <row r="8406" spans="1:80" ht="15" x14ac:dyDescent="0.25">
      <c r="A8406" s="385"/>
      <c r="B8406" s="392"/>
      <c r="C8406" s="392"/>
      <c r="D8406" s="700"/>
      <c r="E8406" s="397"/>
      <c r="F8406" s="392"/>
      <c r="G8406" s="392"/>
      <c r="H8406" s="401"/>
      <c r="I8406" s="165">
        <v>10</v>
      </c>
      <c r="J8406" s="165">
        <v>120</v>
      </c>
      <c r="K8406" s="165">
        <v>1</v>
      </c>
      <c r="L8406" s="628"/>
      <c r="M8406" s="628"/>
      <c r="N8406" s="388">
        <f>367.02*(0.028317)</f>
        <v>10.392905339999999</v>
      </c>
      <c r="O8406" s="389">
        <v>1.1885691666666668E-2</v>
      </c>
      <c r="P8406" s="413"/>
      <c r="Q8406" s="413"/>
      <c r="R8406" s="413"/>
      <c r="S8406" s="413">
        <v>3.0400532564074125E-2</v>
      </c>
      <c r="T8406" s="413">
        <v>1.8417840896482861E-2</v>
      </c>
      <c r="U8406" s="413">
        <v>6.3131032952402105E-2</v>
      </c>
      <c r="V8406" s="504">
        <v>0.23377343836680356</v>
      </c>
      <c r="W8406" s="504">
        <v>0.41295905913680248</v>
      </c>
      <c r="X8406" s="504">
        <v>0.14190613558193721</v>
      </c>
      <c r="Y8406" s="504">
        <v>9.9411960501497865E-2</v>
      </c>
      <c r="Z8406" s="388">
        <v>13</v>
      </c>
      <c r="AA8406" s="388"/>
      <c r="AB8406" s="391"/>
      <c r="AC8406" s="392"/>
      <c r="AD8406" s="388">
        <f>79.15*(0.3048)</f>
        <v>24.124920000000003</v>
      </c>
      <c r="AE8406" s="388">
        <f>1.71490840176879*(0.3048)</f>
        <v>0.52270408085912723</v>
      </c>
      <c r="AF8406" s="388"/>
      <c r="AG8406" s="388">
        <f>2.70395900099458*(0.3048)</f>
        <v>0.82416670350314813</v>
      </c>
      <c r="AH8406" s="391"/>
      <c r="AI8406" s="397"/>
      <c r="AJ8406" s="397"/>
      <c r="AK8406" s="392"/>
      <c r="AL8406" s="392"/>
      <c r="AM8406" s="392"/>
      <c r="AN8406" s="392"/>
      <c r="AO8406" s="392"/>
      <c r="AP8406" s="392"/>
      <c r="AQ8406" s="392"/>
      <c r="AR8406" s="392"/>
      <c r="AS8406" s="392"/>
      <c r="AT8406" s="392"/>
      <c r="AU8406" s="397"/>
      <c r="AV8406" s="397"/>
      <c r="AW8406" s="397"/>
      <c r="AX8406" s="397"/>
      <c r="AY8406" s="392"/>
      <c r="AZ8406" s="392"/>
      <c r="BA8406" s="392"/>
      <c r="BB8406" s="392"/>
      <c r="BC8406" s="392"/>
      <c r="BD8406" s="392"/>
      <c r="BE8406" s="392"/>
      <c r="BF8406" s="392"/>
      <c r="BG8406" s="392"/>
      <c r="BH8406" s="392"/>
      <c r="BI8406" s="397"/>
      <c r="BJ8406" s="397"/>
      <c r="BK8406" s="397"/>
      <c r="BL8406" s="397"/>
      <c r="BM8406" s="397"/>
      <c r="BN8406" s="397"/>
      <c r="BO8406" s="397"/>
      <c r="BP8406" s="397"/>
      <c r="BQ8406" s="397"/>
      <c r="BR8406" s="397"/>
      <c r="BS8406" s="397"/>
      <c r="BT8406" s="397"/>
      <c r="BU8406" s="397"/>
      <c r="BV8406" s="397"/>
      <c r="BW8406" s="397"/>
      <c r="BX8406" s="397"/>
      <c r="BY8406" s="397"/>
      <c r="BZ8406" s="397"/>
      <c r="CA8406" s="392"/>
      <c r="CB8406" s="392"/>
    </row>
    <row r="8407" spans="1:80" ht="15" x14ac:dyDescent="0.25">
      <c r="A8407" s="385"/>
      <c r="B8407" s="392"/>
      <c r="C8407" s="392"/>
      <c r="D8407" s="700"/>
      <c r="E8407" s="397"/>
      <c r="F8407" s="392"/>
      <c r="G8407" s="392"/>
      <c r="H8407" s="401"/>
      <c r="I8407" s="165">
        <v>10</v>
      </c>
      <c r="J8407" s="165">
        <v>120</v>
      </c>
      <c r="K8407" s="165">
        <v>1</v>
      </c>
      <c r="L8407" s="628"/>
      <c r="M8407" s="628"/>
      <c r="N8407" s="388">
        <f>297.28*(0.028317)</f>
        <v>8.4180777599999992</v>
      </c>
      <c r="O8407" s="389">
        <v>6.8949166666666664E-3</v>
      </c>
      <c r="P8407" s="413"/>
      <c r="Q8407" s="413"/>
      <c r="R8407" s="413"/>
      <c r="S8407" s="413"/>
      <c r="T8407" s="413">
        <v>4.4254510921177589E-2</v>
      </c>
      <c r="U8407" s="413">
        <v>0.12003798670465338</v>
      </c>
      <c r="V8407" s="504">
        <v>0.32725546058879396</v>
      </c>
      <c r="W8407" s="504">
        <v>0.36163342830009498</v>
      </c>
      <c r="X8407" s="504">
        <v>7.8632478632478631E-2</v>
      </c>
      <c r="Y8407" s="504">
        <v>6.8186134852801519E-2</v>
      </c>
      <c r="Z8407" s="388">
        <v>6</v>
      </c>
      <c r="AA8407" s="388"/>
      <c r="AB8407" s="391"/>
      <c r="AC8407" s="392"/>
      <c r="AD8407" s="388">
        <f>78.5*(0.3048)</f>
        <v>23.9268</v>
      </c>
      <c r="AE8407" s="388">
        <f>1.55894904458599*(0.3048)</f>
        <v>0.47516766878980976</v>
      </c>
      <c r="AF8407" s="388"/>
      <c r="AG8407" s="388">
        <f>2.42918796347368*(0.3048)</f>
        <v>0.74041649126677778</v>
      </c>
      <c r="AH8407" s="391"/>
      <c r="AI8407" s="397"/>
      <c r="AJ8407" s="397"/>
      <c r="AK8407" s="392"/>
      <c r="AL8407" s="392"/>
      <c r="AM8407" s="392"/>
      <c r="AN8407" s="392"/>
      <c r="AO8407" s="392"/>
      <c r="AP8407" s="392"/>
      <c r="AQ8407" s="392"/>
      <c r="AR8407" s="392"/>
      <c r="AS8407" s="392"/>
      <c r="AT8407" s="392"/>
      <c r="AU8407" s="397"/>
      <c r="AV8407" s="397"/>
      <c r="AW8407" s="397"/>
      <c r="AX8407" s="397"/>
      <c r="AY8407" s="392"/>
      <c r="AZ8407" s="392"/>
      <c r="BA8407" s="392"/>
      <c r="BB8407" s="392"/>
      <c r="BC8407" s="392"/>
      <c r="BD8407" s="392"/>
      <c r="BE8407" s="392"/>
      <c r="BF8407" s="392"/>
      <c r="BG8407" s="392"/>
      <c r="BH8407" s="392"/>
      <c r="BI8407" s="397"/>
      <c r="BJ8407" s="397"/>
      <c r="BK8407" s="397"/>
      <c r="BL8407" s="397"/>
      <c r="BM8407" s="397"/>
      <c r="BN8407" s="397"/>
      <c r="BO8407" s="397"/>
      <c r="BP8407" s="397"/>
      <c r="BQ8407" s="397"/>
      <c r="BR8407" s="397"/>
      <c r="BS8407" s="397"/>
      <c r="BT8407" s="397"/>
      <c r="BU8407" s="397"/>
      <c r="BV8407" s="397"/>
      <c r="BW8407" s="397"/>
      <c r="BX8407" s="397"/>
      <c r="BY8407" s="397"/>
      <c r="BZ8407" s="397"/>
      <c r="CA8407" s="392"/>
      <c r="CB8407" s="392"/>
    </row>
    <row r="8408" spans="1:80" ht="15" x14ac:dyDescent="0.25">
      <c r="A8408" s="385"/>
      <c r="B8408" s="392"/>
      <c r="C8408" s="392"/>
      <c r="D8408" s="700"/>
      <c r="E8408" s="397"/>
      <c r="F8408" s="392"/>
      <c r="G8408" s="392"/>
      <c r="H8408" s="401"/>
      <c r="I8408" s="165">
        <v>10</v>
      </c>
      <c r="J8408" s="165">
        <v>120</v>
      </c>
      <c r="K8408" s="165">
        <v>1</v>
      </c>
      <c r="L8408" s="628"/>
      <c r="M8408" s="628"/>
      <c r="N8408" s="388">
        <f>297.67*(0.028317)</f>
        <v>8.4291213900000006</v>
      </c>
      <c r="O8408" s="389">
        <v>2.3198141666666668E-2</v>
      </c>
      <c r="P8408" s="413"/>
      <c r="Q8408" s="413"/>
      <c r="R8408" s="413">
        <v>4.4121817047581238E-2</v>
      </c>
      <c r="S8408" s="413">
        <v>6.623943741847671E-2</v>
      </c>
      <c r="T8408" s="413">
        <v>5.1607780865422781E-2</v>
      </c>
      <c r="U8408" s="413">
        <v>8.926444734304996E-2</v>
      </c>
      <c r="V8408" s="504">
        <v>0.23558101287358926</v>
      </c>
      <c r="W8408" s="504">
        <v>0.33800260874496679</v>
      </c>
      <c r="X8408" s="504">
        <v>0.10355583281347473</v>
      </c>
      <c r="Y8408" s="504">
        <v>7.162706289343844E-2</v>
      </c>
      <c r="Z8408" s="388">
        <v>20</v>
      </c>
      <c r="AA8408" s="388"/>
      <c r="AB8408" s="391"/>
      <c r="AC8408" s="392"/>
      <c r="AD8408" s="388">
        <f>78.95*(0.3048)</f>
        <v>24.063960000000002</v>
      </c>
      <c r="AE8408" s="388">
        <f>1.5901519949335*(0.3048)</f>
        <v>0.4846783280557308</v>
      </c>
      <c r="AF8408" s="388"/>
      <c r="AG8408" s="388">
        <f>2.37110898699644*(0.3048)</f>
        <v>0.72271401923651502</v>
      </c>
      <c r="AH8408" s="391"/>
      <c r="AI8408" s="397"/>
      <c r="AJ8408" s="397"/>
      <c r="AK8408" s="392"/>
      <c r="AL8408" s="392"/>
      <c r="AM8408" s="392"/>
      <c r="AN8408" s="392"/>
      <c r="AO8408" s="392"/>
      <c r="AP8408" s="392"/>
      <c r="AQ8408" s="392"/>
      <c r="AR8408" s="392"/>
      <c r="AS8408" s="392"/>
      <c r="AT8408" s="392"/>
      <c r="AU8408" s="397"/>
      <c r="AV8408" s="397"/>
      <c r="AW8408" s="397"/>
      <c r="AX8408" s="397"/>
      <c r="AY8408" s="392"/>
      <c r="AZ8408" s="392"/>
      <c r="BA8408" s="392"/>
      <c r="BB8408" s="392"/>
      <c r="BC8408" s="392"/>
      <c r="BD8408" s="392"/>
      <c r="BE8408" s="392"/>
      <c r="BF8408" s="392"/>
      <c r="BG8408" s="392"/>
      <c r="BH8408" s="392"/>
      <c r="BI8408" s="397"/>
      <c r="BJ8408" s="397"/>
      <c r="BK8408" s="397"/>
      <c r="BL8408" s="397"/>
      <c r="BM8408" s="397"/>
      <c r="BN8408" s="397"/>
      <c r="BO8408" s="397"/>
      <c r="BP8408" s="397"/>
      <c r="BQ8408" s="397"/>
      <c r="BR8408" s="397"/>
      <c r="BS8408" s="397"/>
      <c r="BT8408" s="397"/>
      <c r="BU8408" s="397"/>
      <c r="BV8408" s="397"/>
      <c r="BW8408" s="397"/>
      <c r="BX8408" s="397"/>
      <c r="BY8408" s="397"/>
      <c r="BZ8408" s="397"/>
      <c r="CA8408" s="392"/>
      <c r="CB8408" s="392"/>
    </row>
    <row r="8409" spans="1:80" ht="15" x14ac:dyDescent="0.25">
      <c r="A8409" s="385"/>
      <c r="B8409" s="392"/>
      <c r="C8409" s="392"/>
      <c r="D8409" s="700"/>
      <c r="E8409" s="397"/>
      <c r="F8409" s="392"/>
      <c r="G8409" s="392"/>
      <c r="H8409" s="401"/>
      <c r="I8409" s="165">
        <v>10</v>
      </c>
      <c r="J8409" s="165">
        <v>120</v>
      </c>
      <c r="K8409" s="165">
        <v>1</v>
      </c>
      <c r="L8409" s="628"/>
      <c r="M8409" s="628"/>
      <c r="N8409" s="388">
        <f>254.99*(0.028317)</f>
        <v>7.2205518299999998</v>
      </c>
      <c r="O8409" s="389">
        <v>1.4468633333333333E-2</v>
      </c>
      <c r="P8409" s="413"/>
      <c r="Q8409" s="413"/>
      <c r="R8409" s="413"/>
      <c r="S8409" s="413"/>
      <c r="T8409" s="413">
        <v>4.8483206933911151E-2</v>
      </c>
      <c r="U8409" s="413">
        <v>0.19023113037197542</v>
      </c>
      <c r="V8409" s="504">
        <v>0.28042614662332965</v>
      </c>
      <c r="W8409" s="504">
        <v>0.29297580353918379</v>
      </c>
      <c r="X8409" s="504">
        <v>0.10373781148429034</v>
      </c>
      <c r="Y8409" s="504">
        <v>8.4145901047309485E-2</v>
      </c>
      <c r="Z8409" s="388">
        <v>8</v>
      </c>
      <c r="AA8409" s="388"/>
      <c r="AB8409" s="391"/>
      <c r="AC8409" s="392"/>
      <c r="AD8409" s="388">
        <f>78.35*(0.3048)</f>
        <v>23.881080000000001</v>
      </c>
      <c r="AE8409" s="388">
        <f>1.49518187619655*(0.3048)</f>
        <v>0.45573143586470849</v>
      </c>
      <c r="AF8409" s="388"/>
      <c r="AG8409" s="388">
        <f>2.17663330416782*(0.3048)</f>
        <v>0.66343783111035159</v>
      </c>
      <c r="AH8409" s="391"/>
      <c r="AI8409" s="397"/>
      <c r="AJ8409" s="397"/>
      <c r="AK8409" s="392"/>
      <c r="AL8409" s="392"/>
      <c r="AM8409" s="392"/>
      <c r="AN8409" s="392"/>
      <c r="AO8409" s="392"/>
      <c r="AP8409" s="392"/>
      <c r="AQ8409" s="392"/>
      <c r="AR8409" s="392"/>
      <c r="AS8409" s="392"/>
      <c r="AT8409" s="392"/>
      <c r="AU8409" s="397"/>
      <c r="AV8409" s="397"/>
      <c r="AW8409" s="397"/>
      <c r="AX8409" s="397"/>
      <c r="AY8409" s="392"/>
      <c r="AZ8409" s="392"/>
      <c r="BA8409" s="392"/>
      <c r="BB8409" s="392"/>
      <c r="BC8409" s="392"/>
      <c r="BD8409" s="392"/>
      <c r="BE8409" s="392"/>
      <c r="BF8409" s="392"/>
      <c r="BG8409" s="392"/>
      <c r="BH8409" s="392"/>
      <c r="BI8409" s="397"/>
      <c r="BJ8409" s="397"/>
      <c r="BK8409" s="397"/>
      <c r="BL8409" s="397"/>
      <c r="BM8409" s="397"/>
      <c r="BN8409" s="397"/>
      <c r="BO8409" s="397"/>
      <c r="BP8409" s="397"/>
      <c r="BQ8409" s="397"/>
      <c r="BR8409" s="397"/>
      <c r="BS8409" s="397"/>
      <c r="BT8409" s="397"/>
      <c r="BU8409" s="397"/>
      <c r="BV8409" s="397"/>
      <c r="BW8409" s="397"/>
      <c r="BX8409" s="397"/>
      <c r="BY8409" s="397"/>
      <c r="BZ8409" s="397"/>
      <c r="CA8409" s="392"/>
      <c r="CB8409" s="392"/>
    </row>
    <row r="8410" spans="1:80" ht="15" x14ac:dyDescent="0.25">
      <c r="A8410" s="385"/>
      <c r="B8410" s="392"/>
      <c r="C8410" s="392"/>
      <c r="D8410" s="700"/>
      <c r="E8410" s="397"/>
      <c r="F8410" s="392"/>
      <c r="G8410" s="392"/>
      <c r="H8410" s="401"/>
      <c r="I8410" s="165">
        <v>10</v>
      </c>
      <c r="J8410" s="165">
        <v>120</v>
      </c>
      <c r="K8410" s="165">
        <v>1</v>
      </c>
      <c r="L8410" s="628"/>
      <c r="M8410" s="628"/>
      <c r="N8410" s="388">
        <f>255.9*(0.028317)</f>
        <v>7.2463202999999998</v>
      </c>
      <c r="O8410" s="389">
        <v>8.2294166666666661E-3</v>
      </c>
      <c r="P8410" s="413"/>
      <c r="Q8410" s="413"/>
      <c r="R8410" s="413"/>
      <c r="S8410" s="413"/>
      <c r="T8410" s="413">
        <v>1.176657656225155E-2</v>
      </c>
      <c r="U8410" s="413">
        <v>4.4522181586897754E-2</v>
      </c>
      <c r="V8410" s="504">
        <v>0.15312450310065195</v>
      </c>
      <c r="W8410" s="504">
        <v>0.39577039274924469</v>
      </c>
      <c r="X8410" s="504">
        <v>0.22133884560343456</v>
      </c>
      <c r="Y8410" s="504">
        <v>0.17347750039751947</v>
      </c>
      <c r="Z8410" s="388">
        <v>4</v>
      </c>
      <c r="AA8410" s="388"/>
      <c r="AB8410" s="391"/>
      <c r="AC8410" s="392"/>
      <c r="AD8410" s="388">
        <f>78.5*(0.3048)</f>
        <v>23.9268</v>
      </c>
      <c r="AE8410" s="388">
        <f>1.49261146496815*(0.3048)</f>
        <v>0.45494797452229213</v>
      </c>
      <c r="AF8410" s="388"/>
      <c r="AG8410" s="388">
        <f>2.18400102415294*(0.3048)</f>
        <v>0.66568351216181609</v>
      </c>
      <c r="AH8410" s="391"/>
      <c r="AI8410" s="397"/>
      <c r="AJ8410" s="397"/>
      <c r="AK8410" s="392"/>
      <c r="AL8410" s="392"/>
      <c r="AM8410" s="392"/>
      <c r="AN8410" s="392"/>
      <c r="AO8410" s="392"/>
      <c r="AP8410" s="392"/>
      <c r="AQ8410" s="392"/>
      <c r="AR8410" s="392"/>
      <c r="AS8410" s="392"/>
      <c r="AT8410" s="392"/>
      <c r="AU8410" s="397"/>
      <c r="AV8410" s="397"/>
      <c r="AW8410" s="397"/>
      <c r="AX8410" s="397"/>
      <c r="AY8410" s="392"/>
      <c r="AZ8410" s="392"/>
      <c r="BA8410" s="392"/>
      <c r="BB8410" s="392"/>
      <c r="BC8410" s="392"/>
      <c r="BD8410" s="392"/>
      <c r="BE8410" s="392"/>
      <c r="BF8410" s="392"/>
      <c r="BG8410" s="392"/>
      <c r="BH8410" s="392"/>
      <c r="BI8410" s="397"/>
      <c r="BJ8410" s="397"/>
      <c r="BK8410" s="397"/>
      <c r="BL8410" s="397"/>
      <c r="BM8410" s="397"/>
      <c r="BN8410" s="397"/>
      <c r="BO8410" s="397"/>
      <c r="BP8410" s="397"/>
      <c r="BQ8410" s="397"/>
      <c r="BR8410" s="397"/>
      <c r="BS8410" s="397"/>
      <c r="BT8410" s="397"/>
      <c r="BU8410" s="397"/>
      <c r="BV8410" s="397"/>
      <c r="BW8410" s="397"/>
      <c r="BX8410" s="397"/>
      <c r="BY8410" s="397"/>
      <c r="BZ8410" s="397"/>
      <c r="CA8410" s="392"/>
      <c r="CB8410" s="392"/>
    </row>
    <row r="8411" spans="1:80" ht="15" x14ac:dyDescent="0.25">
      <c r="A8411" s="385"/>
      <c r="B8411" s="392"/>
      <c r="C8411" s="392"/>
      <c r="D8411" s="700"/>
      <c r="E8411" s="397"/>
      <c r="F8411" s="392"/>
      <c r="G8411" s="392"/>
      <c r="H8411" s="401"/>
      <c r="I8411" s="165">
        <v>10</v>
      </c>
      <c r="J8411" s="165">
        <v>120</v>
      </c>
      <c r="K8411" s="165">
        <v>1</v>
      </c>
      <c r="L8411" s="628"/>
      <c r="M8411" s="628"/>
      <c r="N8411" s="388">
        <f>215.65*(0.028317)</f>
        <v>6.1065610499999998</v>
      </c>
      <c r="O8411" s="389">
        <v>5.6198999999999989E-3</v>
      </c>
      <c r="P8411" s="413"/>
      <c r="Q8411" s="413"/>
      <c r="R8411" s="413"/>
      <c r="S8411" s="413"/>
      <c r="T8411" s="413">
        <v>5.3588070829450139E-3</v>
      </c>
      <c r="U8411" s="413">
        <v>2.3998136067101584E-2</v>
      </c>
      <c r="V8411" s="504">
        <v>9.2264678471575018E-2</v>
      </c>
      <c r="W8411" s="504">
        <v>0.30242311276794037</v>
      </c>
      <c r="X8411" s="504">
        <v>0.2751630941286114</v>
      </c>
      <c r="Y8411" s="504">
        <v>0.30079217148182663</v>
      </c>
      <c r="Z8411" s="388">
        <v>5</v>
      </c>
      <c r="AA8411" s="388"/>
      <c r="AB8411" s="391"/>
      <c r="AC8411" s="392"/>
      <c r="AD8411" s="388">
        <f>78.6*(0.3048)</f>
        <v>23.957280000000001</v>
      </c>
      <c r="AE8411" s="388">
        <f>1.44395674300254*(0.3048)</f>
        <v>0.4401180152671742</v>
      </c>
      <c r="AF8411" s="388"/>
      <c r="AG8411" s="388">
        <f>1.90009736111723*(0.3048)</f>
        <v>0.5791496756685317</v>
      </c>
      <c r="AH8411" s="391"/>
      <c r="AI8411" s="397"/>
      <c r="AJ8411" s="397"/>
      <c r="AK8411" s="392"/>
      <c r="AL8411" s="392"/>
      <c r="AM8411" s="392"/>
      <c r="AN8411" s="392"/>
      <c r="AO8411" s="392"/>
      <c r="AP8411" s="392"/>
      <c r="AQ8411" s="392"/>
      <c r="AR8411" s="392"/>
      <c r="AS8411" s="392"/>
      <c r="AT8411" s="392"/>
      <c r="AU8411" s="397"/>
      <c r="AV8411" s="397"/>
      <c r="AW8411" s="397"/>
      <c r="AX8411" s="397"/>
      <c r="AY8411" s="392"/>
      <c r="AZ8411" s="392"/>
      <c r="BA8411" s="392"/>
      <c r="BB8411" s="392"/>
      <c r="BC8411" s="392"/>
      <c r="BD8411" s="392"/>
      <c r="BE8411" s="392"/>
      <c r="BF8411" s="392"/>
      <c r="BG8411" s="392"/>
      <c r="BH8411" s="392"/>
      <c r="BI8411" s="397"/>
      <c r="BJ8411" s="397"/>
      <c r="BK8411" s="397"/>
      <c r="BL8411" s="397"/>
      <c r="BM8411" s="397"/>
      <c r="BN8411" s="397"/>
      <c r="BO8411" s="397"/>
      <c r="BP8411" s="397"/>
      <c r="BQ8411" s="397"/>
      <c r="BR8411" s="397"/>
      <c r="BS8411" s="397"/>
      <c r="BT8411" s="397"/>
      <c r="BU8411" s="397"/>
      <c r="BV8411" s="397"/>
      <c r="BW8411" s="397"/>
      <c r="BX8411" s="397"/>
      <c r="BY8411" s="397"/>
      <c r="BZ8411" s="397"/>
      <c r="CA8411" s="392"/>
      <c r="CB8411" s="392"/>
    </row>
    <row r="8412" spans="1:80" ht="15" x14ac:dyDescent="0.25">
      <c r="A8412" s="385"/>
      <c r="B8412" s="392"/>
      <c r="C8412" s="392"/>
      <c r="D8412" s="700"/>
      <c r="E8412" s="397"/>
      <c r="F8412" s="392"/>
      <c r="G8412" s="392"/>
      <c r="H8412" s="401"/>
      <c r="I8412" s="165">
        <v>10</v>
      </c>
      <c r="J8412" s="165">
        <v>120</v>
      </c>
      <c r="K8412" s="165">
        <v>1</v>
      </c>
      <c r="L8412" s="628"/>
      <c r="M8412" s="628"/>
      <c r="N8412" s="388">
        <f>214.66*(0.028317)</f>
        <v>6.0785272199999998</v>
      </c>
      <c r="O8412" s="389">
        <v>1.2375256666666664E-2</v>
      </c>
      <c r="P8412" s="413"/>
      <c r="Q8412" s="413"/>
      <c r="R8412" s="413"/>
      <c r="S8412" s="413"/>
      <c r="T8412" s="413">
        <v>1.7343485617597292E-2</v>
      </c>
      <c r="U8412" s="413">
        <v>7.0325719120135369E-2</v>
      </c>
      <c r="V8412" s="504">
        <v>0.26311336717428085</v>
      </c>
      <c r="W8412" s="504">
        <v>0.29008037225042299</v>
      </c>
      <c r="X8412" s="504">
        <v>0.13293147208121828</v>
      </c>
      <c r="Y8412" s="504">
        <v>0.22620558375634517</v>
      </c>
      <c r="Z8412" s="388">
        <v>8</v>
      </c>
      <c r="AA8412" s="388"/>
      <c r="AB8412" s="391"/>
      <c r="AC8412" s="392"/>
      <c r="AD8412" s="388">
        <f>78.49*(0.3048)</f>
        <v>23.923752</v>
      </c>
      <c r="AE8412" s="388">
        <f>1.40437635367563*(0.3048)</f>
        <v>0.42805391260033204</v>
      </c>
      <c r="AF8412" s="388"/>
      <c r="AG8412" s="388">
        <f>1.9473802385024*(0.3048)</f>
        <v>0.59356149669553149</v>
      </c>
      <c r="AH8412" s="391"/>
      <c r="AI8412" s="397"/>
      <c r="AJ8412" s="397"/>
      <c r="AK8412" s="392"/>
      <c r="AL8412" s="392"/>
      <c r="AM8412" s="392"/>
      <c r="AN8412" s="392"/>
      <c r="AO8412" s="392"/>
      <c r="AP8412" s="392"/>
      <c r="AQ8412" s="392"/>
      <c r="AR8412" s="392"/>
      <c r="AS8412" s="392"/>
      <c r="AT8412" s="392"/>
      <c r="AU8412" s="397"/>
      <c r="AV8412" s="397"/>
      <c r="AW8412" s="397"/>
      <c r="AX8412" s="397"/>
      <c r="AY8412" s="392"/>
      <c r="AZ8412" s="392"/>
      <c r="BA8412" s="392"/>
      <c r="BB8412" s="392"/>
      <c r="BC8412" s="392"/>
      <c r="BD8412" s="392"/>
      <c r="BE8412" s="392"/>
      <c r="BF8412" s="392"/>
      <c r="BG8412" s="392"/>
      <c r="BH8412" s="392"/>
      <c r="BI8412" s="397"/>
      <c r="BJ8412" s="397"/>
      <c r="BK8412" s="397"/>
      <c r="BL8412" s="397"/>
      <c r="BM8412" s="397"/>
      <c r="BN8412" s="397"/>
      <c r="BO8412" s="397"/>
      <c r="BP8412" s="397"/>
      <c r="BQ8412" s="397"/>
      <c r="BR8412" s="397"/>
      <c r="BS8412" s="397"/>
      <c r="BT8412" s="397"/>
      <c r="BU8412" s="397"/>
      <c r="BV8412" s="397"/>
      <c r="BW8412" s="397"/>
      <c r="BX8412" s="397"/>
      <c r="BY8412" s="397"/>
      <c r="BZ8412" s="397"/>
      <c r="CA8412" s="392"/>
      <c r="CB8412" s="392"/>
    </row>
    <row r="8413" spans="1:80" ht="15" x14ac:dyDescent="0.25">
      <c r="A8413" s="385"/>
      <c r="B8413" s="392"/>
      <c r="C8413" s="392"/>
      <c r="D8413" s="700"/>
      <c r="E8413" s="397"/>
      <c r="F8413" s="392"/>
      <c r="G8413" s="392"/>
      <c r="H8413" s="401"/>
      <c r="I8413" s="165">
        <v>10</v>
      </c>
      <c r="J8413" s="165">
        <v>120</v>
      </c>
      <c r="K8413" s="165">
        <v>1</v>
      </c>
      <c r="L8413" s="628"/>
      <c r="M8413" s="628"/>
      <c r="N8413" s="388">
        <f>204.67*(0.028317)</f>
        <v>5.7956403899999991</v>
      </c>
      <c r="O8413" s="389">
        <v>3.9798666666666666E-3</v>
      </c>
      <c r="P8413" s="413"/>
      <c r="Q8413" s="413"/>
      <c r="R8413" s="413"/>
      <c r="S8413" s="413"/>
      <c r="T8413" s="413">
        <v>1.3482407102926667E-2</v>
      </c>
      <c r="U8413" s="413">
        <v>6.2479447550147981E-3</v>
      </c>
      <c r="V8413" s="504">
        <v>4.0776060506412366E-2</v>
      </c>
      <c r="W8413" s="504">
        <v>0.43110818809602103</v>
      </c>
      <c r="X8413" s="504">
        <v>0.29858599145018089</v>
      </c>
      <c r="Y8413" s="504">
        <v>0.20979940808944425</v>
      </c>
      <c r="Z8413" s="388">
        <v>6</v>
      </c>
      <c r="AA8413" s="388"/>
      <c r="AB8413" s="391"/>
      <c r="AC8413" s="392"/>
      <c r="AD8413" s="388">
        <f>78.55*(0.3048)</f>
        <v>23.942039999999999</v>
      </c>
      <c r="AE8413" s="388">
        <f>1.3846276257161*(0.3048)</f>
        <v>0.42203450031826734</v>
      </c>
      <c r="AF8413" s="388"/>
      <c r="AG8413" s="388">
        <f>1.88179703482358*(0.3048)</f>
        <v>0.57357173621422719</v>
      </c>
      <c r="AH8413" s="391"/>
      <c r="AI8413" s="397"/>
      <c r="AJ8413" s="397"/>
      <c r="AK8413" s="392"/>
      <c r="AL8413" s="392"/>
      <c r="AM8413" s="392"/>
      <c r="AN8413" s="392"/>
      <c r="AO8413" s="392"/>
      <c r="AP8413" s="392"/>
      <c r="AQ8413" s="392"/>
      <c r="AR8413" s="392"/>
      <c r="AS8413" s="392"/>
      <c r="AT8413" s="392"/>
      <c r="AU8413" s="397"/>
      <c r="AV8413" s="397"/>
      <c r="AW8413" s="397"/>
      <c r="AX8413" s="397"/>
      <c r="AY8413" s="392"/>
      <c r="AZ8413" s="392"/>
      <c r="BA8413" s="392"/>
      <c r="BB8413" s="392"/>
      <c r="BC8413" s="392"/>
      <c r="BD8413" s="392"/>
      <c r="BE8413" s="392"/>
      <c r="BF8413" s="392"/>
      <c r="BG8413" s="392"/>
      <c r="BH8413" s="392"/>
      <c r="BI8413" s="397"/>
      <c r="BJ8413" s="397"/>
      <c r="BK8413" s="397"/>
      <c r="BL8413" s="397"/>
      <c r="BM8413" s="397"/>
      <c r="BN8413" s="397"/>
      <c r="BO8413" s="397"/>
      <c r="BP8413" s="397"/>
      <c r="BQ8413" s="397"/>
      <c r="BR8413" s="397"/>
      <c r="BS8413" s="397"/>
      <c r="BT8413" s="397"/>
      <c r="BU8413" s="397"/>
      <c r="BV8413" s="397"/>
      <c r="BW8413" s="397"/>
      <c r="BX8413" s="397"/>
      <c r="BY8413" s="397"/>
      <c r="BZ8413" s="397"/>
      <c r="CA8413" s="392"/>
      <c r="CB8413" s="392"/>
    </row>
    <row r="8414" spans="1:80" ht="15" x14ac:dyDescent="0.25">
      <c r="A8414" s="385"/>
      <c r="B8414" s="392"/>
      <c r="C8414" s="392"/>
      <c r="D8414" s="700"/>
      <c r="E8414" s="397"/>
      <c r="F8414" s="392"/>
      <c r="G8414" s="392"/>
      <c r="H8414" s="401"/>
      <c r="I8414" s="165">
        <v>10</v>
      </c>
      <c r="J8414" s="165">
        <v>120</v>
      </c>
      <c r="K8414" s="165">
        <v>1</v>
      </c>
      <c r="L8414" s="628"/>
      <c r="M8414" s="628"/>
      <c r="N8414" s="388">
        <f>201.86*(0.028317)</f>
        <v>5.7160696199999999</v>
      </c>
      <c r="O8414" s="389">
        <v>6.7496766666666676E-3</v>
      </c>
      <c r="P8414" s="413"/>
      <c r="Q8414" s="413"/>
      <c r="R8414" s="413"/>
      <c r="S8414" s="413"/>
      <c r="T8414" s="413">
        <v>7.5816485225505452E-3</v>
      </c>
      <c r="U8414" s="413">
        <v>5.8514774494556762E-2</v>
      </c>
      <c r="V8414" s="504">
        <v>0.24066874027993782</v>
      </c>
      <c r="W8414" s="504">
        <v>0.3427293934681182</v>
      </c>
      <c r="X8414" s="504">
        <v>0.17807153965785383</v>
      </c>
      <c r="Y8414" s="504">
        <v>0.17243390357698288</v>
      </c>
      <c r="Z8414" s="388">
        <v>5</v>
      </c>
      <c r="AA8414" s="388"/>
      <c r="AB8414" s="391"/>
      <c r="AC8414" s="392"/>
      <c r="AD8414" s="388">
        <f>78.79*(0.3048)</f>
        <v>24.015192000000003</v>
      </c>
      <c r="AE8414" s="388">
        <f>1.4*(0.3048)</f>
        <v>0.42671999999999999</v>
      </c>
      <c r="AF8414" s="388"/>
      <c r="AG8414" s="388">
        <f>1.83*(0.3048)</f>
        <v>0.55778400000000006</v>
      </c>
      <c r="AH8414" s="391"/>
      <c r="AI8414" s="397"/>
      <c r="AJ8414" s="397"/>
      <c r="AK8414" s="392"/>
      <c r="AL8414" s="392"/>
      <c r="AM8414" s="392"/>
      <c r="AN8414" s="392"/>
      <c r="AO8414" s="392"/>
      <c r="AP8414" s="392"/>
      <c r="AQ8414" s="392"/>
      <c r="AR8414" s="392"/>
      <c r="AS8414" s="392"/>
      <c r="AT8414" s="392"/>
      <c r="AU8414" s="397"/>
      <c r="AV8414" s="397"/>
      <c r="AW8414" s="397"/>
      <c r="AX8414" s="397"/>
      <c r="AY8414" s="392"/>
      <c r="AZ8414" s="392"/>
      <c r="BA8414" s="392"/>
      <c r="BB8414" s="392"/>
      <c r="BC8414" s="392"/>
      <c r="BD8414" s="392"/>
      <c r="BE8414" s="392"/>
      <c r="BF8414" s="392"/>
      <c r="BG8414" s="392"/>
      <c r="BH8414" s="392"/>
      <c r="BI8414" s="397"/>
      <c r="BJ8414" s="397"/>
      <c r="BK8414" s="397"/>
      <c r="BL8414" s="397"/>
      <c r="BM8414" s="397"/>
      <c r="BN8414" s="397"/>
      <c r="BO8414" s="397"/>
      <c r="BP8414" s="397"/>
      <c r="BQ8414" s="397"/>
      <c r="BR8414" s="397"/>
      <c r="BS8414" s="397"/>
      <c r="BT8414" s="397"/>
      <c r="BU8414" s="397"/>
      <c r="BV8414" s="397"/>
      <c r="BW8414" s="397"/>
      <c r="BX8414" s="397"/>
      <c r="BY8414" s="397"/>
      <c r="BZ8414" s="397"/>
      <c r="CA8414" s="392"/>
      <c r="CB8414" s="392"/>
    </row>
    <row r="8415" spans="1:80" ht="15" x14ac:dyDescent="0.25">
      <c r="A8415" s="385"/>
      <c r="B8415" s="392"/>
      <c r="C8415" s="392"/>
      <c r="D8415" s="700"/>
      <c r="E8415" s="397"/>
      <c r="F8415" s="392"/>
      <c r="G8415" s="392"/>
      <c r="H8415" s="401"/>
      <c r="I8415" s="165">
        <v>10</v>
      </c>
      <c r="J8415" s="165">
        <v>120</v>
      </c>
      <c r="K8415" s="165">
        <v>1</v>
      </c>
      <c r="L8415" s="628"/>
      <c r="M8415" s="628"/>
      <c r="N8415" s="388">
        <f>283.04*(0.028317)</f>
        <v>8.0148436800000002</v>
      </c>
      <c r="O8415" s="389">
        <v>2.8550224999999995E-2</v>
      </c>
      <c r="P8415" s="413"/>
      <c r="Q8415" s="413"/>
      <c r="R8415" s="413">
        <v>0.25100373805897824</v>
      </c>
      <c r="S8415" s="413">
        <v>5.3209654344916701E-2</v>
      </c>
      <c r="T8415" s="413">
        <v>5.0717615026074116E-2</v>
      </c>
      <c r="U8415" s="413">
        <v>4.3933730213669295E-2</v>
      </c>
      <c r="V8415" s="504">
        <v>0.10125063454704879</v>
      </c>
      <c r="W8415" s="504">
        <v>0.17633485624625042</v>
      </c>
      <c r="X8415" s="504">
        <v>0.17416585906133186</v>
      </c>
      <c r="Y8415" s="504">
        <v>0.14938391250173058</v>
      </c>
      <c r="Z8415" s="388">
        <v>28</v>
      </c>
      <c r="AA8415" s="388"/>
      <c r="AB8415" s="391"/>
      <c r="AC8415" s="392"/>
      <c r="AD8415" s="388">
        <f>79.05*(0.3048)</f>
        <v>24.094439999999999</v>
      </c>
      <c r="AE8415" s="388">
        <f>1.54259962049336*(0.3048)</f>
        <v>0.47018436432637617</v>
      </c>
      <c r="AF8415" s="388"/>
      <c r="AG8415" s="388">
        <f>2.32113086085655*(0.3048)</f>
        <v>0.70748068638907657</v>
      </c>
      <c r="AH8415" s="391"/>
      <c r="AI8415" s="397"/>
      <c r="AJ8415" s="397"/>
      <c r="AK8415" s="392"/>
      <c r="AL8415" s="392"/>
      <c r="AM8415" s="392"/>
      <c r="AN8415" s="392"/>
      <c r="AO8415" s="392"/>
      <c r="AP8415" s="392"/>
      <c r="AQ8415" s="392"/>
      <c r="AR8415" s="392"/>
      <c r="AS8415" s="392"/>
      <c r="AT8415" s="392"/>
      <c r="AU8415" s="397"/>
      <c r="AV8415" s="397"/>
      <c r="AW8415" s="397"/>
      <c r="AX8415" s="397"/>
      <c r="AY8415" s="392"/>
      <c r="AZ8415" s="392"/>
      <c r="BA8415" s="392"/>
      <c r="BB8415" s="392"/>
      <c r="BC8415" s="392"/>
      <c r="BD8415" s="392"/>
      <c r="BE8415" s="392"/>
      <c r="BF8415" s="392"/>
      <c r="BG8415" s="392"/>
      <c r="BH8415" s="392"/>
      <c r="BI8415" s="397"/>
      <c r="BJ8415" s="397"/>
      <c r="BK8415" s="397"/>
      <c r="BL8415" s="397"/>
      <c r="BM8415" s="397"/>
      <c r="BN8415" s="397"/>
      <c r="BO8415" s="397"/>
      <c r="BP8415" s="397"/>
      <c r="BQ8415" s="397"/>
      <c r="BR8415" s="397"/>
      <c r="BS8415" s="397"/>
      <c r="BT8415" s="397"/>
      <c r="BU8415" s="397"/>
      <c r="BV8415" s="397"/>
      <c r="BW8415" s="397"/>
      <c r="BX8415" s="397"/>
      <c r="BY8415" s="397"/>
      <c r="BZ8415" s="397"/>
      <c r="CA8415" s="392"/>
      <c r="CB8415" s="392"/>
    </row>
    <row r="8416" spans="1:80" ht="15" x14ac:dyDescent="0.25">
      <c r="A8416" s="385"/>
      <c r="B8416" s="392"/>
      <c r="C8416" s="392"/>
      <c r="D8416" s="700"/>
      <c r="E8416" s="397"/>
      <c r="F8416" s="392"/>
      <c r="G8416" s="392"/>
      <c r="H8416" s="401"/>
      <c r="I8416" s="165">
        <v>10</v>
      </c>
      <c r="J8416" s="165">
        <v>120</v>
      </c>
      <c r="K8416" s="165">
        <v>1</v>
      </c>
      <c r="L8416" s="574"/>
      <c r="M8416" s="574"/>
      <c r="N8416" s="388">
        <f>324.41*(0.028317)</f>
        <v>9.1863179700000011</v>
      </c>
      <c r="O8416" s="389">
        <v>5.1112999999999999E-2</v>
      </c>
      <c r="P8416" s="413"/>
      <c r="Q8416" s="413"/>
      <c r="R8416" s="413"/>
      <c r="S8416" s="413">
        <v>4.5232084900314246E-2</v>
      </c>
      <c r="T8416" s="413">
        <v>6.5941991654216686E-2</v>
      </c>
      <c r="U8416" s="413">
        <v>0.12407913038998505</v>
      </c>
      <c r="V8416" s="504">
        <v>0.22747411261655762</v>
      </c>
      <c r="W8416" s="504">
        <v>0.33401164288290142</v>
      </c>
      <c r="X8416" s="504">
        <v>0.11699551800525475</v>
      </c>
      <c r="Y8416" s="504">
        <v>8.6265519550770178E-2</v>
      </c>
      <c r="Z8416" s="388">
        <v>16</v>
      </c>
      <c r="AA8416" s="388"/>
      <c r="AB8416" s="391"/>
      <c r="AC8416" s="392"/>
      <c r="AD8416" s="388">
        <f>79*(0.3048)</f>
        <v>24.0792</v>
      </c>
      <c r="AE8416" s="388">
        <f>1.66088607594937*(0.3048)</f>
        <v>0.50623807594936798</v>
      </c>
      <c r="AF8416" s="388"/>
      <c r="AG8416" s="388">
        <f>2.47246627543632*(0.3048)</f>
        <v>0.75360772075299032</v>
      </c>
      <c r="AH8416" s="391"/>
      <c r="AI8416" s="397"/>
      <c r="AJ8416" s="397"/>
      <c r="AK8416" s="392"/>
      <c r="AL8416" s="392"/>
      <c r="AM8416" s="392"/>
      <c r="AN8416" s="392"/>
      <c r="AO8416" s="392"/>
      <c r="AP8416" s="392"/>
      <c r="AQ8416" s="392"/>
      <c r="AR8416" s="392"/>
      <c r="AS8416" s="392"/>
      <c r="AT8416" s="392"/>
      <c r="AU8416" s="397"/>
      <c r="AV8416" s="397"/>
      <c r="AW8416" s="397"/>
      <c r="AX8416" s="397"/>
      <c r="AY8416" s="392"/>
      <c r="AZ8416" s="392"/>
      <c r="BA8416" s="392"/>
      <c r="BB8416" s="392"/>
      <c r="BC8416" s="392"/>
      <c r="BD8416" s="392"/>
      <c r="BE8416" s="392"/>
      <c r="BF8416" s="392"/>
      <c r="BG8416" s="392"/>
      <c r="BH8416" s="392"/>
      <c r="BI8416" s="397"/>
      <c r="BJ8416" s="397"/>
      <c r="BK8416" s="397"/>
      <c r="BL8416" s="397"/>
      <c r="BM8416" s="397"/>
      <c r="BN8416" s="397"/>
      <c r="BO8416" s="397"/>
      <c r="BP8416" s="397"/>
      <c r="BQ8416" s="397"/>
      <c r="BR8416" s="397"/>
      <c r="BS8416" s="397"/>
      <c r="BT8416" s="397"/>
      <c r="BU8416" s="397"/>
      <c r="BV8416" s="397"/>
      <c r="BW8416" s="397"/>
      <c r="BX8416" s="397"/>
      <c r="BY8416" s="397"/>
      <c r="BZ8416" s="397"/>
      <c r="CA8416" s="392"/>
      <c r="CB8416" s="392"/>
    </row>
    <row r="8417" spans="1:80" ht="15" x14ac:dyDescent="0.25">
      <c r="A8417" s="385"/>
      <c r="B8417" s="392"/>
      <c r="C8417" s="392"/>
      <c r="D8417" s="700"/>
      <c r="E8417" s="397"/>
      <c r="F8417" s="392"/>
      <c r="G8417" s="392"/>
      <c r="H8417" s="401"/>
      <c r="I8417" s="165">
        <v>10</v>
      </c>
      <c r="J8417" s="165">
        <v>120</v>
      </c>
      <c r="K8417" s="165">
        <v>1</v>
      </c>
      <c r="L8417" s="628"/>
      <c r="M8417" s="628"/>
      <c r="N8417" s="388">
        <f>191.9*(0.028317)</f>
        <v>5.4340323000000001</v>
      </c>
      <c r="O8417" s="389">
        <v>1.3239416666666668E-2</v>
      </c>
      <c r="P8417" s="413"/>
      <c r="Q8417" s="413"/>
      <c r="R8417" s="413"/>
      <c r="S8417" s="413">
        <v>6.714865801723284E-2</v>
      </c>
      <c r="T8417" s="413">
        <v>1.653956620778449E-2</v>
      </c>
      <c r="U8417" s="413">
        <v>4.724175497672576E-2</v>
      </c>
      <c r="V8417" s="504">
        <v>0.28067742893928888</v>
      </c>
      <c r="W8417" s="504">
        <v>0.37971674754877688</v>
      </c>
      <c r="X8417" s="504">
        <v>0.12221451916410815</v>
      </c>
      <c r="Y8417" s="504">
        <v>8.6461325146082998E-2</v>
      </c>
      <c r="Z8417" s="388">
        <v>15</v>
      </c>
      <c r="AA8417" s="388"/>
      <c r="AB8417" s="391"/>
      <c r="AC8417" s="392"/>
      <c r="AD8417" s="388">
        <f>78.65*(0.3048)</f>
        <v>23.972520000000003</v>
      </c>
      <c r="AE8417" s="388"/>
      <c r="AF8417" s="388"/>
      <c r="AG8417" s="388"/>
      <c r="AH8417" s="391"/>
      <c r="AI8417" s="397"/>
      <c r="AJ8417" s="397"/>
      <c r="AK8417" s="392"/>
      <c r="AL8417" s="392"/>
      <c r="AM8417" s="392"/>
      <c r="AN8417" s="392"/>
      <c r="AO8417" s="392"/>
      <c r="AP8417" s="392"/>
      <c r="AQ8417" s="392"/>
      <c r="AR8417" s="392"/>
      <c r="AS8417" s="392"/>
      <c r="AT8417" s="392"/>
      <c r="AU8417" s="397"/>
      <c r="AV8417" s="397"/>
      <c r="AW8417" s="397"/>
      <c r="AX8417" s="397"/>
      <c r="AY8417" s="392"/>
      <c r="AZ8417" s="392"/>
      <c r="BA8417" s="392"/>
      <c r="BB8417" s="392"/>
      <c r="BC8417" s="392"/>
      <c r="BD8417" s="392"/>
      <c r="BE8417" s="392"/>
      <c r="BF8417" s="392"/>
      <c r="BG8417" s="392"/>
      <c r="BH8417" s="392"/>
      <c r="BI8417" s="397"/>
      <c r="BJ8417" s="397"/>
      <c r="BK8417" s="397"/>
      <c r="BL8417" s="397"/>
      <c r="BM8417" s="397"/>
      <c r="BN8417" s="397"/>
      <c r="BO8417" s="397"/>
      <c r="BP8417" s="397"/>
      <c r="BQ8417" s="397"/>
      <c r="BR8417" s="397"/>
      <c r="BS8417" s="397"/>
      <c r="BT8417" s="397"/>
      <c r="BU8417" s="397"/>
      <c r="BV8417" s="397"/>
      <c r="BW8417" s="397"/>
      <c r="BX8417" s="397"/>
      <c r="BY8417" s="397"/>
      <c r="BZ8417" s="397"/>
      <c r="CA8417" s="392"/>
      <c r="CB8417" s="392"/>
    </row>
    <row r="8418" spans="1:80" ht="15" x14ac:dyDescent="0.25">
      <c r="A8418" s="385"/>
      <c r="B8418" s="392"/>
      <c r="C8418" s="392"/>
      <c r="D8418" s="700"/>
      <c r="E8418" s="397"/>
      <c r="F8418" s="392"/>
      <c r="G8418" s="392"/>
      <c r="H8418" s="401"/>
      <c r="I8418" s="165">
        <v>10</v>
      </c>
      <c r="J8418" s="165">
        <v>120</v>
      </c>
      <c r="K8418" s="165">
        <v>1</v>
      </c>
      <c r="L8418" s="628"/>
      <c r="M8418" s="628"/>
      <c r="N8418" s="388">
        <f>136.96*(0.028317)</f>
        <v>3.87829632</v>
      </c>
      <c r="O8418" s="389">
        <v>1.4858E-3</v>
      </c>
      <c r="P8418" s="413"/>
      <c r="Q8418" s="413"/>
      <c r="R8418" s="413"/>
      <c r="S8418" s="413"/>
      <c r="T8418" s="413">
        <v>2.0193151887620719E-2</v>
      </c>
      <c r="U8418" s="413">
        <v>4.0386303775241439E-2</v>
      </c>
      <c r="V8418" s="504">
        <v>0.15013169446883229</v>
      </c>
      <c r="W8418" s="504">
        <v>0.33625987708516242</v>
      </c>
      <c r="X8418" s="504">
        <v>0.19841966637401226</v>
      </c>
      <c r="Y8418" s="504">
        <v>0.25460930640913082</v>
      </c>
      <c r="Z8418" s="388">
        <v>5</v>
      </c>
      <c r="AA8418" s="388"/>
      <c r="AB8418" s="391"/>
      <c r="AC8418" s="392"/>
      <c r="AD8418" s="388">
        <f>78.2*(0.3048)</f>
        <v>23.835360000000001</v>
      </c>
      <c r="AE8418" s="388"/>
      <c r="AF8418" s="388"/>
      <c r="AG8418" s="388"/>
      <c r="AH8418" s="391"/>
      <c r="AI8418" s="397"/>
      <c r="AJ8418" s="397"/>
      <c r="AK8418" s="392"/>
      <c r="AL8418" s="392"/>
      <c r="AM8418" s="392"/>
      <c r="AN8418" s="392"/>
      <c r="AO8418" s="392"/>
      <c r="AP8418" s="392"/>
      <c r="AQ8418" s="392"/>
      <c r="AR8418" s="392"/>
      <c r="AS8418" s="392"/>
      <c r="AT8418" s="392"/>
      <c r="AU8418" s="397"/>
      <c r="AV8418" s="397"/>
      <c r="AW8418" s="397"/>
      <c r="AX8418" s="397"/>
      <c r="AY8418" s="392"/>
      <c r="AZ8418" s="392"/>
      <c r="BA8418" s="392"/>
      <c r="BB8418" s="392"/>
      <c r="BC8418" s="392"/>
      <c r="BD8418" s="392"/>
      <c r="BE8418" s="392"/>
      <c r="BF8418" s="392"/>
      <c r="BG8418" s="392"/>
      <c r="BH8418" s="392"/>
      <c r="BI8418" s="397"/>
      <c r="BJ8418" s="397"/>
      <c r="BK8418" s="397"/>
      <c r="BL8418" s="397"/>
      <c r="BM8418" s="397"/>
      <c r="BN8418" s="397"/>
      <c r="BO8418" s="397"/>
      <c r="BP8418" s="397"/>
      <c r="BQ8418" s="397"/>
      <c r="BR8418" s="397"/>
      <c r="BS8418" s="397"/>
      <c r="BT8418" s="397"/>
      <c r="BU8418" s="397"/>
      <c r="BV8418" s="397"/>
      <c r="BW8418" s="397"/>
      <c r="BX8418" s="397"/>
      <c r="BY8418" s="397"/>
      <c r="BZ8418" s="397"/>
      <c r="CA8418" s="392"/>
      <c r="CB8418" s="392"/>
    </row>
    <row r="8419" spans="1:80" ht="15" x14ac:dyDescent="0.25">
      <c r="A8419" s="385"/>
      <c r="B8419" s="392"/>
      <c r="C8419" s="392"/>
      <c r="D8419" s="700"/>
      <c r="E8419" s="397"/>
      <c r="F8419" s="392"/>
      <c r="G8419" s="392"/>
      <c r="H8419" s="401"/>
      <c r="I8419" s="165">
        <v>10</v>
      </c>
      <c r="J8419" s="165">
        <v>120</v>
      </c>
      <c r="K8419" s="165">
        <v>1</v>
      </c>
      <c r="L8419" s="628"/>
      <c r="M8419" s="628"/>
      <c r="N8419" s="388">
        <f>269.29*(0.028317)</f>
        <v>7.6254849299999998</v>
      </c>
      <c r="O8419" s="389">
        <v>3.3469480000000003E-2</v>
      </c>
      <c r="P8419" s="413"/>
      <c r="Q8419" s="413"/>
      <c r="R8419" s="413"/>
      <c r="S8419" s="413">
        <v>2.1239909083783998E-2</v>
      </c>
      <c r="T8419" s="413">
        <v>0.13974449408260836</v>
      </c>
      <c r="U8419" s="413">
        <v>0.24014421192883456</v>
      </c>
      <c r="V8419" s="504">
        <v>0.24139822870130889</v>
      </c>
      <c r="W8419" s="504">
        <v>0.20969511717219219</v>
      </c>
      <c r="X8419" s="504">
        <v>7.4731562034642221E-2</v>
      </c>
      <c r="Y8419" s="504">
        <v>7.3046476996629833E-2</v>
      </c>
      <c r="Z8419" s="388">
        <v>10</v>
      </c>
      <c r="AA8419" s="388"/>
      <c r="AB8419" s="391"/>
      <c r="AC8419" s="392"/>
      <c r="AD8419" s="388">
        <f>78.69*(0.3048)</f>
        <v>23.984712000000002</v>
      </c>
      <c r="AE8419" s="388">
        <f>1.55144872283645*(0.3048)</f>
        <v>0.47288157072054998</v>
      </c>
      <c r="AF8419" s="388"/>
      <c r="AG8419" s="388">
        <f>2.20575696142394*(0.3048)</f>
        <v>0.67231472184201702</v>
      </c>
      <c r="AH8419" s="391"/>
      <c r="AI8419" s="397"/>
      <c r="AJ8419" s="397"/>
      <c r="AK8419" s="392"/>
      <c r="AL8419" s="392"/>
      <c r="AM8419" s="392"/>
      <c r="AN8419" s="392"/>
      <c r="AO8419" s="392"/>
      <c r="AP8419" s="392"/>
      <c r="AQ8419" s="392"/>
      <c r="AR8419" s="392"/>
      <c r="AS8419" s="392"/>
      <c r="AT8419" s="392"/>
      <c r="AU8419" s="397"/>
      <c r="AV8419" s="397"/>
      <c r="AW8419" s="397"/>
      <c r="AX8419" s="397"/>
      <c r="AY8419" s="392"/>
      <c r="AZ8419" s="392"/>
      <c r="BA8419" s="392"/>
      <c r="BB8419" s="392"/>
      <c r="BC8419" s="392"/>
      <c r="BD8419" s="392"/>
      <c r="BE8419" s="392"/>
      <c r="BF8419" s="392"/>
      <c r="BG8419" s="392"/>
      <c r="BH8419" s="392"/>
      <c r="BI8419" s="397"/>
      <c r="BJ8419" s="397"/>
      <c r="BK8419" s="397"/>
      <c r="BL8419" s="397"/>
      <c r="BM8419" s="397"/>
      <c r="BN8419" s="397"/>
      <c r="BO8419" s="397"/>
      <c r="BP8419" s="397"/>
      <c r="BQ8419" s="397"/>
      <c r="BR8419" s="397"/>
      <c r="BS8419" s="397"/>
      <c r="BT8419" s="397"/>
      <c r="BU8419" s="397"/>
      <c r="BV8419" s="397"/>
      <c r="BW8419" s="397"/>
      <c r="BX8419" s="397"/>
      <c r="BY8419" s="397"/>
      <c r="BZ8419" s="397"/>
      <c r="CA8419" s="392"/>
      <c r="CB8419" s="392"/>
    </row>
    <row r="8420" spans="1:80" ht="15" x14ac:dyDescent="0.25">
      <c r="A8420" s="412" t="s">
        <v>568</v>
      </c>
      <c r="B8420" s="639" t="s">
        <v>34</v>
      </c>
      <c r="C8420" s="639"/>
      <c r="D8420" s="4">
        <f>VLOOKUP(E8420,'Quality Code'!$D$4:$E$24,2,TRUE)*VLOOKUP(MROUND(F8420,10),'Quality Code'!$D$28:$E$69,2,TRUE)*VLOOKUP(COUNTA(CB8420:CB8430),'Quality Code'!$D$73:$E$93,2,TRUE)</f>
        <v>3.1666587499999999</v>
      </c>
      <c r="E8420" s="14">
        <v>0.95</v>
      </c>
      <c r="F8420" s="2">
        <v>105</v>
      </c>
      <c r="G8420" s="12">
        <f>18*2.58998811</f>
        <v>46.619785980000003</v>
      </c>
      <c r="H8420" s="2" t="s">
        <v>559</v>
      </c>
      <c r="I8420" s="2"/>
      <c r="J8420" s="2"/>
      <c r="K8420" s="2"/>
      <c r="L8420" s="628"/>
      <c r="M8420" s="628"/>
      <c r="N8420" s="10"/>
      <c r="O8420" s="10"/>
      <c r="P8420" s="10"/>
      <c r="Q8420" s="10"/>
      <c r="R8420" s="10"/>
      <c r="S8420" s="10"/>
      <c r="T8420" s="10"/>
      <c r="U8420" s="10"/>
      <c r="V8420" s="162"/>
      <c r="W8420" s="162"/>
      <c r="X8420" s="162"/>
      <c r="Y8420" s="162"/>
      <c r="Z8420" s="2"/>
      <c r="AA8420" s="2"/>
      <c r="AB8420" s="2"/>
      <c r="AC8420" s="3">
        <v>1.6299999999999999E-2</v>
      </c>
      <c r="AD8420" s="26"/>
      <c r="AE8420" s="26"/>
      <c r="AF8420" s="26"/>
      <c r="AG8420" s="26"/>
      <c r="AH8420" s="26"/>
      <c r="AI8420" s="18">
        <f>AM8421</f>
        <v>42.826794621037479</v>
      </c>
      <c r="AJ8420" s="26"/>
      <c r="AK8420" s="26" t="s">
        <v>554</v>
      </c>
      <c r="AL8420" s="26" t="s">
        <v>239</v>
      </c>
      <c r="AM8420" s="26" t="s">
        <v>240</v>
      </c>
      <c r="AN8420" s="26" t="s">
        <v>242</v>
      </c>
      <c r="AO8420" s="26" t="s">
        <v>555</v>
      </c>
      <c r="AP8420" s="135" t="s">
        <v>556</v>
      </c>
      <c r="AQ8420" s="135" t="s">
        <v>29</v>
      </c>
      <c r="AR8420" s="135"/>
      <c r="AS8420" s="135"/>
      <c r="AT8420" s="135"/>
      <c r="AU8420" s="4">
        <f>BA8421</f>
        <v>48.870851770181901</v>
      </c>
      <c r="AV8420" s="26"/>
      <c r="AW8420" s="26"/>
      <c r="AX8420" s="26"/>
      <c r="AY8420" s="135" t="s">
        <v>554</v>
      </c>
      <c r="AZ8420" s="135" t="s">
        <v>239</v>
      </c>
      <c r="BA8420" s="135" t="s">
        <v>240</v>
      </c>
      <c r="BB8420" s="135" t="s">
        <v>242</v>
      </c>
      <c r="BC8420" s="135" t="s">
        <v>555</v>
      </c>
      <c r="BD8420" s="135" t="s">
        <v>556</v>
      </c>
      <c r="BE8420" s="135" t="s">
        <v>29</v>
      </c>
      <c r="BF8420" s="135"/>
      <c r="BG8420" s="135"/>
      <c r="BH8420" s="135"/>
      <c r="BI8420" s="12">
        <f>AU8420/AI8420</f>
        <v>1.1411279364385456</v>
      </c>
      <c r="BJ8420" s="12" t="s">
        <v>560</v>
      </c>
      <c r="BK8420" s="12" t="s">
        <v>175</v>
      </c>
      <c r="BL8420" s="2"/>
      <c r="BM8420" s="12">
        <f>280*0.028317</f>
        <v>7.9287599999999996</v>
      </c>
      <c r="BN8420" s="12">
        <f>26.4*0.3048</f>
        <v>8.0467200000000005</v>
      </c>
      <c r="BO8420" s="12">
        <f>2.12*0.3048</f>
        <v>0.64617600000000008</v>
      </c>
      <c r="BP8420" s="12">
        <f>54.12*(0.3048^2)</f>
        <v>5.0279125248000005</v>
      </c>
      <c r="BQ8420" s="4">
        <f>BN8420/BO8420</f>
        <v>12.452830188679245</v>
      </c>
      <c r="BR8420" s="2"/>
      <c r="BS8420" s="2"/>
      <c r="BT8420" s="2"/>
      <c r="BU8420" s="9"/>
      <c r="BV8420" s="381"/>
      <c r="BW8420" s="2"/>
      <c r="BX8420" s="2"/>
      <c r="BY8420" s="2" t="s">
        <v>84</v>
      </c>
      <c r="BZ8420" s="2" t="s">
        <v>557</v>
      </c>
      <c r="CA8420" s="9"/>
      <c r="CB8420" s="381">
        <v>1</v>
      </c>
    </row>
    <row r="8421" spans="1:80" ht="15" x14ac:dyDescent="0.25">
      <c r="A8421" s="385"/>
      <c r="B8421" s="392"/>
      <c r="C8421" s="392"/>
      <c r="D8421" s="385"/>
      <c r="E8421" s="397"/>
      <c r="F8421" s="392"/>
      <c r="G8421" s="392"/>
      <c r="H8421" s="401"/>
      <c r="I8421" s="165">
        <v>5</v>
      </c>
      <c r="J8421" s="165">
        <v>240</v>
      </c>
      <c r="K8421" s="165">
        <v>1</v>
      </c>
      <c r="L8421" s="628"/>
      <c r="M8421" s="628"/>
      <c r="N8421" s="388">
        <f>138.55*(0.028317)</f>
        <v>3.92332035</v>
      </c>
      <c r="O8421" s="389">
        <v>0.12612101666666664</v>
      </c>
      <c r="P8421" s="413">
        <v>0.4468867202806337</v>
      </c>
      <c r="Q8421" s="413">
        <v>0.29728229432948333</v>
      </c>
      <c r="R8421" s="413">
        <v>6.8502416360345569E-2</v>
      </c>
      <c r="S8421" s="413">
        <v>3.3213292780773611E-2</v>
      </c>
      <c r="T8421" s="413">
        <v>4.112010896945497E-2</v>
      </c>
      <c r="U8421" s="413">
        <v>3.9296176739499561E-2</v>
      </c>
      <c r="V8421" s="504">
        <v>0</v>
      </c>
      <c r="W8421" s="504">
        <v>0</v>
      </c>
      <c r="X8421" s="504">
        <v>0</v>
      </c>
      <c r="Y8421" s="504">
        <v>7.3698990539809314E-2</v>
      </c>
      <c r="Z8421" s="388">
        <v>90</v>
      </c>
      <c r="AA8421" s="388"/>
      <c r="AB8421" s="391"/>
      <c r="AC8421" s="392"/>
      <c r="AD8421" s="388">
        <v>10.75944</v>
      </c>
      <c r="AE8421" s="388">
        <v>0.37944146175637389</v>
      </c>
      <c r="AF8421" s="388"/>
      <c r="AG8421" s="388">
        <v>0.96100781076130126</v>
      </c>
      <c r="AH8421" s="391"/>
      <c r="AI8421" s="397"/>
      <c r="AJ8421" s="397"/>
      <c r="AK8421" s="437">
        <v>3.2090424123493606</v>
      </c>
      <c r="AL8421" s="437">
        <v>20.550122195654385</v>
      </c>
      <c r="AM8421" s="437">
        <v>42.826794621037479</v>
      </c>
      <c r="AN8421" s="437">
        <v>148.16740946365644</v>
      </c>
      <c r="AO8421" s="437">
        <v>177.06381191055974</v>
      </c>
      <c r="AP8421" s="437">
        <v>185</v>
      </c>
      <c r="AQ8421" s="392"/>
      <c r="AR8421" s="392"/>
      <c r="AS8421" s="392"/>
      <c r="AT8421" s="392"/>
      <c r="AU8421" s="397"/>
      <c r="AV8421" s="397"/>
      <c r="AW8421" s="397"/>
      <c r="AX8421" s="397"/>
      <c r="AY8421" s="437">
        <v>0.49141029927262547</v>
      </c>
      <c r="AZ8421" s="437">
        <v>22.055939546878808</v>
      </c>
      <c r="BA8421" s="437">
        <v>48.870851770181901</v>
      </c>
      <c r="BB8421" s="437">
        <v>125.56850410462904</v>
      </c>
      <c r="BC8421" s="437">
        <v>190.23882488961652</v>
      </c>
      <c r="BD8421" s="437">
        <v>360</v>
      </c>
      <c r="BE8421" s="392"/>
      <c r="BF8421" s="392"/>
      <c r="BG8421" s="392"/>
      <c r="BH8421" s="392"/>
      <c r="BI8421" s="397"/>
      <c r="BJ8421" s="397"/>
      <c r="BK8421" s="397"/>
      <c r="BL8421" s="397"/>
      <c r="BM8421" s="397"/>
      <c r="BN8421" s="397"/>
      <c r="BO8421" s="397"/>
      <c r="BP8421" s="397"/>
      <c r="BQ8421" s="397"/>
      <c r="BR8421" s="397"/>
      <c r="BS8421" s="397"/>
      <c r="BT8421" s="397"/>
      <c r="BU8421" s="397"/>
      <c r="BV8421" s="397"/>
      <c r="BW8421" s="397"/>
      <c r="BX8421" s="397"/>
      <c r="BY8421" s="397"/>
      <c r="BZ8421" s="397"/>
      <c r="CA8421" s="392"/>
      <c r="CB8421" s="392"/>
    </row>
    <row r="8422" spans="1:80" ht="15" x14ac:dyDescent="0.25">
      <c r="A8422" s="385"/>
      <c r="B8422" s="392"/>
      <c r="C8422" s="392"/>
      <c r="D8422" s="385"/>
      <c r="E8422" s="397"/>
      <c r="F8422" s="392"/>
      <c r="G8422" s="392"/>
      <c r="H8422" s="401"/>
      <c r="I8422" s="165">
        <v>5</v>
      </c>
      <c r="J8422" s="165">
        <v>240</v>
      </c>
      <c r="K8422" s="165">
        <v>1</v>
      </c>
      <c r="L8422" s="628"/>
      <c r="M8422" s="628"/>
      <c r="N8422" s="388">
        <f>98.9647887323943*(0.028317)</f>
        <v>2.8023859225352092</v>
      </c>
      <c r="O8422" s="389">
        <v>1.9348549999999999E-2</v>
      </c>
      <c r="P8422" s="413"/>
      <c r="Q8422" s="413">
        <v>0.11540694630840542</v>
      </c>
      <c r="R8422" s="413">
        <v>0.14146750045210968</v>
      </c>
      <c r="S8422" s="413">
        <v>0.10758306920609538</v>
      </c>
      <c r="T8422" s="413">
        <v>9.599954313126409E-2</v>
      </c>
      <c r="U8422" s="413">
        <v>9.6513520459153068E-2</v>
      </c>
      <c r="V8422" s="504">
        <v>0</v>
      </c>
      <c r="W8422" s="504">
        <v>0</v>
      </c>
      <c r="X8422" s="504">
        <v>0</v>
      </c>
      <c r="Y8422" s="504">
        <v>0.44302942044297222</v>
      </c>
      <c r="Z8422" s="388">
        <v>35</v>
      </c>
      <c r="AA8422" s="388"/>
      <c r="AB8422" s="391"/>
      <c r="AC8422" s="392"/>
      <c r="AD8422" s="388">
        <v>6.7360800000000012</v>
      </c>
      <c r="AE8422" s="388"/>
      <c r="AF8422" s="388"/>
      <c r="AG8422" s="388"/>
      <c r="AH8422" s="391"/>
      <c r="AI8422" s="397"/>
      <c r="AJ8422" s="397"/>
      <c r="AK8422" s="392"/>
      <c r="AL8422" s="392"/>
      <c r="AM8422" s="392"/>
      <c r="AN8422" s="392"/>
      <c r="AO8422" s="392"/>
      <c r="AP8422" s="392"/>
      <c r="AQ8422" s="392"/>
      <c r="AR8422" s="392"/>
      <c r="AS8422" s="392"/>
      <c r="AT8422" s="392"/>
      <c r="AU8422" s="397"/>
      <c r="AV8422" s="397"/>
      <c r="AW8422" s="397"/>
      <c r="AX8422" s="397"/>
      <c r="AY8422" s="392"/>
      <c r="AZ8422" s="392"/>
      <c r="BA8422" s="392"/>
      <c r="BB8422" s="392"/>
      <c r="BC8422" s="392"/>
      <c r="BD8422" s="392"/>
      <c r="BE8422" s="392"/>
      <c r="BF8422" s="392"/>
      <c r="BG8422" s="392"/>
      <c r="BH8422" s="392"/>
      <c r="BI8422" s="397"/>
      <c r="BJ8422" s="397"/>
      <c r="BK8422" s="397"/>
      <c r="BL8422" s="397"/>
      <c r="BM8422" s="397"/>
      <c r="BN8422" s="397"/>
      <c r="BO8422" s="397"/>
      <c r="BP8422" s="397"/>
      <c r="BQ8422" s="397"/>
      <c r="BR8422" s="397"/>
      <c r="BS8422" s="397"/>
      <c r="BT8422" s="397"/>
      <c r="BU8422" s="397"/>
      <c r="BV8422" s="397"/>
      <c r="BW8422" s="397"/>
      <c r="BX8422" s="397"/>
      <c r="BY8422" s="397"/>
      <c r="BZ8422" s="397"/>
      <c r="CA8422" s="392"/>
      <c r="CB8422" s="392"/>
    </row>
    <row r="8423" spans="1:80" ht="15" x14ac:dyDescent="0.25">
      <c r="A8423" s="385"/>
      <c r="B8423" s="392"/>
      <c r="C8423" s="392"/>
      <c r="D8423" s="385"/>
      <c r="E8423" s="397"/>
      <c r="F8423" s="392"/>
      <c r="G8423" s="392"/>
      <c r="H8423" s="401"/>
      <c r="I8423" s="165">
        <v>5</v>
      </c>
      <c r="J8423" s="165">
        <v>240</v>
      </c>
      <c r="K8423" s="165">
        <v>1</v>
      </c>
      <c r="L8423" s="628"/>
      <c r="M8423" s="628"/>
      <c r="N8423" s="388">
        <f>185.69*(0.028317)</f>
        <v>5.2581837299999998</v>
      </c>
      <c r="O8423" s="389">
        <v>1.1827833333333334E-2</v>
      </c>
      <c r="P8423" s="413"/>
      <c r="Q8423" s="413">
        <v>0.35860858524562622</v>
      </c>
      <c r="R8423" s="413">
        <v>6.3147674440315937E-2</v>
      </c>
      <c r="S8423" s="413">
        <v>8.4750826222529274E-2</v>
      </c>
      <c r="T8423" s="413">
        <v>4.1339134006759162E-2</v>
      </c>
      <c r="U8423" s="413">
        <v>3.3497021864555526E-2</v>
      </c>
      <c r="V8423" s="504">
        <v>0</v>
      </c>
      <c r="W8423" s="504">
        <v>0</v>
      </c>
      <c r="X8423" s="504">
        <v>0</v>
      </c>
      <c r="Y8423" s="504">
        <v>0.41865675822021403</v>
      </c>
      <c r="Z8423" s="388">
        <v>53</v>
      </c>
      <c r="AA8423" s="388"/>
      <c r="AB8423" s="391"/>
      <c r="AC8423" s="392"/>
      <c r="AD8423" s="388">
        <v>8.0772000000000013</v>
      </c>
      <c r="AE8423" s="388">
        <v>0.44782596226415095</v>
      </c>
      <c r="AF8423" s="388"/>
      <c r="AG8423" s="388">
        <v>1.4536584070887377</v>
      </c>
      <c r="AH8423" s="391"/>
      <c r="AI8423" s="397"/>
      <c r="AJ8423" s="397"/>
      <c r="AK8423" s="392"/>
      <c r="AL8423" s="392"/>
      <c r="AM8423" s="392"/>
      <c r="AN8423" s="392"/>
      <c r="AO8423" s="392"/>
      <c r="AP8423" s="392"/>
      <c r="AQ8423" s="392"/>
      <c r="AR8423" s="392"/>
      <c r="AS8423" s="392"/>
      <c r="AT8423" s="392"/>
      <c r="AU8423" s="397"/>
      <c r="AV8423" s="397"/>
      <c r="AW8423" s="397"/>
      <c r="AX8423" s="397"/>
      <c r="AY8423" s="392"/>
      <c r="AZ8423" s="392"/>
      <c r="BA8423" s="392"/>
      <c r="BB8423" s="392"/>
      <c r="BC8423" s="392"/>
      <c r="BD8423" s="392"/>
      <c r="BE8423" s="392"/>
      <c r="BF8423" s="392"/>
      <c r="BG8423" s="392"/>
      <c r="BH8423" s="392"/>
      <c r="BI8423" s="397"/>
      <c r="BJ8423" s="397"/>
      <c r="BK8423" s="397"/>
      <c r="BL8423" s="397"/>
      <c r="BM8423" s="397"/>
      <c r="BN8423" s="397"/>
      <c r="BO8423" s="397"/>
      <c r="BP8423" s="397"/>
      <c r="BQ8423" s="397"/>
      <c r="BR8423" s="397"/>
      <c r="BS8423" s="397"/>
      <c r="BT8423" s="397"/>
      <c r="BU8423" s="397"/>
      <c r="BV8423" s="397"/>
      <c r="BW8423" s="397"/>
      <c r="BX8423" s="397"/>
      <c r="BY8423" s="397"/>
      <c r="BZ8423" s="397"/>
      <c r="CA8423" s="392"/>
      <c r="CB8423" s="392"/>
    </row>
    <row r="8424" spans="1:80" ht="15" x14ac:dyDescent="0.25">
      <c r="A8424" s="385"/>
      <c r="B8424" s="392"/>
      <c r="C8424" s="392"/>
      <c r="D8424" s="385"/>
      <c r="E8424" s="397"/>
      <c r="F8424" s="392"/>
      <c r="G8424" s="392"/>
      <c r="H8424" s="401"/>
      <c r="I8424" s="165">
        <v>5</v>
      </c>
      <c r="J8424" s="165">
        <v>240</v>
      </c>
      <c r="K8424" s="165">
        <v>1</v>
      </c>
      <c r="L8424" s="628"/>
      <c r="M8424" s="628"/>
      <c r="N8424" s="388">
        <f>211.28*(0.028317)</f>
        <v>5.9828157599999994</v>
      </c>
      <c r="O8424" s="389">
        <v>4.5296333333333334E-2</v>
      </c>
      <c r="P8424" s="413"/>
      <c r="Q8424" s="413">
        <v>0</v>
      </c>
      <c r="R8424" s="413">
        <v>2.0860738664357843E-2</v>
      </c>
      <c r="S8424" s="413">
        <v>5.5344816864622857E-2</v>
      </c>
      <c r="T8424" s="413">
        <v>0.12198820394828108</v>
      </c>
      <c r="U8424" s="413">
        <v>0.22871711958211557</v>
      </c>
      <c r="V8424" s="504">
        <v>0</v>
      </c>
      <c r="W8424" s="504">
        <v>0</v>
      </c>
      <c r="X8424" s="504">
        <v>0</v>
      </c>
      <c r="Y8424" s="504">
        <v>0.57308912094062281</v>
      </c>
      <c r="Z8424" s="388">
        <v>23</v>
      </c>
      <c r="AA8424" s="388"/>
      <c r="AB8424" s="391"/>
      <c r="AC8424" s="392"/>
      <c r="AD8424" s="388">
        <v>7.9248000000000003</v>
      </c>
      <c r="AE8424" s="388">
        <v>0.49154861538461542</v>
      </c>
      <c r="AF8424" s="388"/>
      <c r="AG8424" s="388">
        <v>1.5358285370856188</v>
      </c>
      <c r="AH8424" s="391"/>
      <c r="AI8424" s="397"/>
      <c r="AJ8424" s="397"/>
      <c r="AK8424" s="392"/>
      <c r="AL8424" s="392"/>
      <c r="AM8424" s="392"/>
      <c r="AN8424" s="392"/>
      <c r="AO8424" s="392"/>
      <c r="AP8424" s="392"/>
      <c r="AQ8424" s="392"/>
      <c r="AR8424" s="392"/>
      <c r="AS8424" s="392"/>
      <c r="AT8424" s="392"/>
      <c r="AU8424" s="397"/>
      <c r="AV8424" s="397"/>
      <c r="AW8424" s="397"/>
      <c r="AX8424" s="397"/>
      <c r="AY8424" s="392"/>
      <c r="AZ8424" s="392"/>
      <c r="BA8424" s="392"/>
      <c r="BB8424" s="392"/>
      <c r="BC8424" s="392"/>
      <c r="BD8424" s="392"/>
      <c r="BE8424" s="392"/>
      <c r="BF8424" s="392"/>
      <c r="BG8424" s="392"/>
      <c r="BH8424" s="392"/>
      <c r="BI8424" s="397"/>
      <c r="BJ8424" s="397"/>
      <c r="BK8424" s="397"/>
      <c r="BL8424" s="397"/>
      <c r="BM8424" s="397"/>
      <c r="BN8424" s="397"/>
      <c r="BO8424" s="397"/>
      <c r="BP8424" s="397"/>
      <c r="BQ8424" s="397"/>
      <c r="BR8424" s="397"/>
      <c r="BS8424" s="397"/>
      <c r="BT8424" s="397"/>
      <c r="BU8424" s="397"/>
      <c r="BV8424" s="397"/>
      <c r="BW8424" s="397"/>
      <c r="BX8424" s="397"/>
      <c r="BY8424" s="397"/>
      <c r="BZ8424" s="397"/>
      <c r="CA8424" s="392"/>
      <c r="CB8424" s="392"/>
    </row>
    <row r="8425" spans="1:80" ht="15" x14ac:dyDescent="0.25">
      <c r="A8425" s="385"/>
      <c r="B8425" s="392"/>
      <c r="C8425" s="392"/>
      <c r="D8425" s="385"/>
      <c r="E8425" s="397"/>
      <c r="F8425" s="392"/>
      <c r="G8425" s="392"/>
      <c r="H8425" s="401"/>
      <c r="I8425" s="165">
        <v>5</v>
      </c>
      <c r="J8425" s="165">
        <v>240</v>
      </c>
      <c r="K8425" s="165">
        <v>1</v>
      </c>
      <c r="L8425" s="628"/>
      <c r="M8425" s="628"/>
      <c r="N8425" s="388">
        <f>144.532311516156*(0.028317)</f>
        <v>4.0927214652029891</v>
      </c>
      <c r="O8425" s="389">
        <v>5.8331000000000001E-2</v>
      </c>
      <c r="P8425" s="413"/>
      <c r="Q8425" s="413">
        <v>0.18844396567735225</v>
      </c>
      <c r="R8425" s="413">
        <v>0.14149548679469559</v>
      </c>
      <c r="S8425" s="413">
        <v>6.3805207830318345E-2</v>
      </c>
      <c r="T8425" s="413">
        <v>9.2596857471862123E-2</v>
      </c>
      <c r="U8425" s="413">
        <v>0.10546413580476209</v>
      </c>
      <c r="V8425" s="504">
        <v>0</v>
      </c>
      <c r="W8425" s="504">
        <v>0</v>
      </c>
      <c r="X8425" s="504">
        <v>0</v>
      </c>
      <c r="Y8425" s="504">
        <v>0.40819434642100966</v>
      </c>
      <c r="Z8425" s="388">
        <v>71</v>
      </c>
      <c r="AA8425" s="388"/>
      <c r="AB8425" s="391"/>
      <c r="AC8425" s="392"/>
      <c r="AD8425" s="388">
        <v>7.9248000000000003</v>
      </c>
      <c r="AE8425" s="388"/>
      <c r="AF8425" s="388"/>
      <c r="AG8425" s="388"/>
      <c r="AH8425" s="391"/>
      <c r="AI8425" s="397"/>
      <c r="AJ8425" s="397"/>
      <c r="AK8425" s="392"/>
      <c r="AL8425" s="392"/>
      <c r="AM8425" s="392"/>
      <c r="AN8425" s="392"/>
      <c r="AO8425" s="392"/>
      <c r="AP8425" s="392"/>
      <c r="AQ8425" s="392"/>
      <c r="AR8425" s="392"/>
      <c r="AS8425" s="392"/>
      <c r="AT8425" s="392"/>
      <c r="AU8425" s="397"/>
      <c r="AV8425" s="397"/>
      <c r="AW8425" s="397"/>
      <c r="AX8425" s="397"/>
      <c r="AY8425" s="392"/>
      <c r="AZ8425" s="392"/>
      <c r="BA8425" s="392"/>
      <c r="BB8425" s="392"/>
      <c r="BC8425" s="392"/>
      <c r="BD8425" s="392"/>
      <c r="BE8425" s="392"/>
      <c r="BF8425" s="392"/>
      <c r="BG8425" s="392"/>
      <c r="BH8425" s="392"/>
      <c r="BI8425" s="397"/>
      <c r="BJ8425" s="397"/>
      <c r="BK8425" s="397"/>
      <c r="BL8425" s="397"/>
      <c r="BM8425" s="397"/>
      <c r="BN8425" s="397"/>
      <c r="BO8425" s="397"/>
      <c r="BP8425" s="397"/>
      <c r="BQ8425" s="397"/>
      <c r="BR8425" s="397"/>
      <c r="BS8425" s="397"/>
      <c r="BT8425" s="397"/>
      <c r="BU8425" s="397"/>
      <c r="BV8425" s="397"/>
      <c r="BW8425" s="397"/>
      <c r="BX8425" s="397"/>
      <c r="BY8425" s="397"/>
      <c r="BZ8425" s="397"/>
      <c r="CA8425" s="392"/>
      <c r="CB8425" s="392"/>
    </row>
    <row r="8426" spans="1:80" ht="15" x14ac:dyDescent="0.25">
      <c r="A8426" s="385"/>
      <c r="B8426" s="392"/>
      <c r="C8426" s="392"/>
      <c r="D8426" s="385"/>
      <c r="E8426" s="397"/>
      <c r="F8426" s="392"/>
      <c r="G8426" s="392"/>
      <c r="H8426" s="401"/>
      <c r="I8426" s="165">
        <v>5</v>
      </c>
      <c r="J8426" s="165">
        <v>240</v>
      </c>
      <c r="K8426" s="165">
        <v>1</v>
      </c>
      <c r="L8426" s="628"/>
      <c r="M8426" s="628"/>
      <c r="N8426" s="388">
        <f>232.21*(0.028317)</f>
        <v>6.5754905699999995</v>
      </c>
      <c r="O8426" s="389">
        <v>0.12556349999999999</v>
      </c>
      <c r="P8426" s="413">
        <v>0.22739164402904305</v>
      </c>
      <c r="Q8426" s="413">
        <v>9.2469018112488074E-2</v>
      </c>
      <c r="R8426" s="413">
        <v>2.966305181447422E-2</v>
      </c>
      <c r="S8426" s="413">
        <v>4.9757377237182564E-2</v>
      </c>
      <c r="T8426" s="413">
        <v>8.4928718364070316E-2</v>
      </c>
      <c r="U8426" s="413">
        <v>0.19861020520796749</v>
      </c>
      <c r="V8426" s="504">
        <v>0</v>
      </c>
      <c r="W8426" s="504">
        <v>0</v>
      </c>
      <c r="X8426" s="504">
        <v>0</v>
      </c>
      <c r="Y8426" s="504">
        <v>0.31717998523477425</v>
      </c>
      <c r="Z8426" s="388">
        <v>105</v>
      </c>
      <c r="AA8426" s="388"/>
      <c r="AB8426" s="391"/>
      <c r="AC8426" s="388">
        <v>0.30480000000000002</v>
      </c>
      <c r="AD8426" s="388">
        <v>8.2295999999999996</v>
      </c>
      <c r="AE8426" s="388">
        <v>0.50658888888888887</v>
      </c>
      <c r="AF8426" s="388"/>
      <c r="AG8426" s="388">
        <v>1.5772236835654596</v>
      </c>
      <c r="AH8426" s="391"/>
      <c r="AI8426" s="397"/>
      <c r="AJ8426" s="397"/>
      <c r="AK8426" s="392"/>
      <c r="AL8426" s="392"/>
      <c r="AM8426" s="392"/>
      <c r="AN8426" s="392"/>
      <c r="AO8426" s="392"/>
      <c r="AP8426" s="392"/>
      <c r="AQ8426" s="392"/>
      <c r="AR8426" s="392"/>
      <c r="AS8426" s="392"/>
      <c r="AT8426" s="392"/>
      <c r="AU8426" s="397"/>
      <c r="AV8426" s="397"/>
      <c r="AW8426" s="397"/>
      <c r="AX8426" s="397"/>
      <c r="AY8426" s="392"/>
      <c r="AZ8426" s="392"/>
      <c r="BA8426" s="392"/>
      <c r="BB8426" s="392"/>
      <c r="BC8426" s="392"/>
      <c r="BD8426" s="392"/>
      <c r="BE8426" s="392"/>
      <c r="BF8426" s="392"/>
      <c r="BG8426" s="392"/>
      <c r="BH8426" s="392"/>
      <c r="BI8426" s="397"/>
      <c r="BJ8426" s="397"/>
      <c r="BK8426" s="397"/>
      <c r="BL8426" s="397"/>
      <c r="BM8426" s="397"/>
      <c r="BN8426" s="397"/>
      <c r="BO8426" s="397"/>
      <c r="BP8426" s="397"/>
      <c r="BQ8426" s="397"/>
      <c r="BR8426" s="397"/>
      <c r="BS8426" s="397"/>
      <c r="BT8426" s="397"/>
      <c r="BU8426" s="397"/>
      <c r="BV8426" s="397"/>
      <c r="BW8426" s="397"/>
      <c r="BX8426" s="397"/>
      <c r="BY8426" s="397"/>
      <c r="BZ8426" s="397"/>
      <c r="CA8426" s="392"/>
      <c r="CB8426" s="392"/>
    </row>
    <row r="8427" spans="1:80" ht="15" x14ac:dyDescent="0.25">
      <c r="A8427" s="385"/>
      <c r="B8427" s="392"/>
      <c r="C8427" s="392"/>
      <c r="D8427" s="385"/>
      <c r="E8427" s="397"/>
      <c r="F8427" s="392"/>
      <c r="G8427" s="392"/>
      <c r="H8427" s="401"/>
      <c r="I8427" s="165">
        <v>5</v>
      </c>
      <c r="J8427" s="165">
        <v>240</v>
      </c>
      <c r="K8427" s="165">
        <v>1</v>
      </c>
      <c r="L8427" s="628"/>
      <c r="M8427" s="628"/>
      <c r="N8427" s="388">
        <f>223.239850869925*(0.028317)</f>
        <v>6.3214828570836659</v>
      </c>
      <c r="O8427" s="389">
        <v>9.2673000000000005E-2</v>
      </c>
      <c r="P8427" s="413"/>
      <c r="Q8427" s="413">
        <v>0</v>
      </c>
      <c r="R8427" s="413">
        <v>3.1331637062862364E-2</v>
      </c>
      <c r="S8427" s="413">
        <v>0.11300997368191044</v>
      </c>
      <c r="T8427" s="413">
        <v>0.18156568354196811</v>
      </c>
      <c r="U8427" s="413">
        <v>0.2802730865971973</v>
      </c>
      <c r="V8427" s="504">
        <v>0</v>
      </c>
      <c r="W8427" s="504">
        <v>0</v>
      </c>
      <c r="X8427" s="504">
        <v>0</v>
      </c>
      <c r="Y8427" s="504">
        <v>0.39381961911606178</v>
      </c>
      <c r="Z8427" s="388">
        <v>29</v>
      </c>
      <c r="AA8427" s="388"/>
      <c r="AB8427" s="391"/>
      <c r="AC8427" s="392"/>
      <c r="AD8427" s="388">
        <v>8.2295999999999996</v>
      </c>
      <c r="AE8427" s="388"/>
      <c r="AF8427" s="388"/>
      <c r="AG8427" s="388"/>
      <c r="AH8427" s="391"/>
      <c r="AI8427" s="397"/>
      <c r="AJ8427" s="397"/>
      <c r="AK8427" s="392"/>
      <c r="AL8427" s="392"/>
      <c r="AM8427" s="392"/>
      <c r="AN8427" s="392"/>
      <c r="AO8427" s="392"/>
      <c r="AP8427" s="392"/>
      <c r="AQ8427" s="392"/>
      <c r="AR8427" s="392"/>
      <c r="AS8427" s="392"/>
      <c r="AT8427" s="392"/>
      <c r="AU8427" s="397"/>
      <c r="AV8427" s="397"/>
      <c r="AW8427" s="397"/>
      <c r="AX8427" s="397"/>
      <c r="AY8427" s="392"/>
      <c r="AZ8427" s="392"/>
      <c r="BA8427" s="392"/>
      <c r="BB8427" s="392"/>
      <c r="BC8427" s="392"/>
      <c r="BD8427" s="392"/>
      <c r="BE8427" s="392"/>
      <c r="BF8427" s="392"/>
      <c r="BG8427" s="392"/>
      <c r="BH8427" s="392"/>
      <c r="BI8427" s="397"/>
      <c r="BJ8427" s="397"/>
      <c r="BK8427" s="397"/>
      <c r="BL8427" s="397"/>
      <c r="BM8427" s="397"/>
      <c r="BN8427" s="397"/>
      <c r="BO8427" s="397"/>
      <c r="BP8427" s="397"/>
      <c r="BQ8427" s="397"/>
      <c r="BR8427" s="397"/>
      <c r="BS8427" s="397"/>
      <c r="BT8427" s="397"/>
      <c r="BU8427" s="397"/>
      <c r="BV8427" s="397"/>
      <c r="BW8427" s="397"/>
      <c r="BX8427" s="397"/>
      <c r="BY8427" s="397"/>
      <c r="BZ8427" s="397"/>
      <c r="CA8427" s="392"/>
      <c r="CB8427" s="392"/>
    </row>
    <row r="8428" spans="1:80" ht="15" x14ac:dyDescent="0.25">
      <c r="A8428" s="385"/>
      <c r="B8428" s="392"/>
      <c r="C8428" s="392"/>
      <c r="D8428" s="385"/>
      <c r="E8428" s="397"/>
      <c r="F8428" s="392"/>
      <c r="G8428" s="392"/>
      <c r="H8428" s="401"/>
      <c r="I8428" s="165">
        <v>5</v>
      </c>
      <c r="J8428" s="165">
        <v>240</v>
      </c>
      <c r="K8428" s="165">
        <v>1</v>
      </c>
      <c r="L8428" s="628"/>
      <c r="M8428" s="628"/>
      <c r="N8428" s="388">
        <f>199.38*(0.028317)</f>
        <v>5.6458434599999991</v>
      </c>
      <c r="O8428" s="389">
        <v>8.4253499999999995E-2</v>
      </c>
      <c r="P8428" s="413"/>
      <c r="Q8428" s="413">
        <v>0.10594751361297233</v>
      </c>
      <c r="R8428" s="413">
        <v>5.4665530805775804E-2</v>
      </c>
      <c r="S8428" s="413">
        <v>0.15639095334869774</v>
      </c>
      <c r="T8428" s="413">
        <v>0.17212031223712076</v>
      </c>
      <c r="U8428" s="413">
        <v>0.27037405964337891</v>
      </c>
      <c r="V8428" s="504">
        <v>0</v>
      </c>
      <c r="W8428" s="504">
        <v>0</v>
      </c>
      <c r="X8428" s="504">
        <v>0</v>
      </c>
      <c r="Y8428" s="504">
        <v>0.2405016303520546</v>
      </c>
      <c r="Z8428" s="388">
        <v>44</v>
      </c>
      <c r="AA8428" s="388"/>
      <c r="AB8428" s="391"/>
      <c r="AC8428" s="392"/>
      <c r="AD8428" s="388">
        <v>8.2295999999999996</v>
      </c>
      <c r="AE8428" s="388">
        <v>0.47718133333333335</v>
      </c>
      <c r="AF8428" s="388"/>
      <c r="AG8428" s="388">
        <v>1.4377009311568489</v>
      </c>
      <c r="AH8428" s="391"/>
      <c r="AI8428" s="397"/>
      <c r="AJ8428" s="397"/>
      <c r="AK8428" s="392"/>
      <c r="AL8428" s="392"/>
      <c r="AM8428" s="392"/>
      <c r="AN8428" s="392"/>
      <c r="AO8428" s="392"/>
      <c r="AP8428" s="392"/>
      <c r="AQ8428" s="392"/>
      <c r="AR8428" s="392"/>
      <c r="AS8428" s="392"/>
      <c r="AT8428" s="392"/>
      <c r="AU8428" s="397"/>
      <c r="AV8428" s="397"/>
      <c r="AW8428" s="397"/>
      <c r="AX8428" s="397"/>
      <c r="AY8428" s="392"/>
      <c r="AZ8428" s="392"/>
      <c r="BA8428" s="392"/>
      <c r="BB8428" s="392"/>
      <c r="BC8428" s="392"/>
      <c r="BD8428" s="392"/>
      <c r="BE8428" s="392"/>
      <c r="BF8428" s="392"/>
      <c r="BG8428" s="392"/>
      <c r="BH8428" s="392"/>
      <c r="BI8428" s="397"/>
      <c r="BJ8428" s="397"/>
      <c r="BK8428" s="397"/>
      <c r="BL8428" s="397"/>
      <c r="BM8428" s="397"/>
      <c r="BN8428" s="397"/>
      <c r="BO8428" s="397"/>
      <c r="BP8428" s="397"/>
      <c r="BQ8428" s="397"/>
      <c r="BR8428" s="397"/>
      <c r="BS8428" s="397"/>
      <c r="BT8428" s="397"/>
      <c r="BU8428" s="397"/>
      <c r="BV8428" s="397"/>
      <c r="BW8428" s="397"/>
      <c r="BX8428" s="397"/>
      <c r="BY8428" s="397"/>
      <c r="BZ8428" s="397"/>
      <c r="CA8428" s="392"/>
      <c r="CB8428" s="392"/>
    </row>
    <row r="8429" spans="1:80" ht="15" x14ac:dyDescent="0.25">
      <c r="A8429" s="385"/>
      <c r="B8429" s="392"/>
      <c r="C8429" s="392"/>
      <c r="D8429" s="385"/>
      <c r="E8429" s="397"/>
      <c r="F8429" s="392"/>
      <c r="G8429" s="392"/>
      <c r="H8429" s="401"/>
      <c r="I8429" s="165">
        <v>5</v>
      </c>
      <c r="J8429" s="165">
        <v>240</v>
      </c>
      <c r="K8429" s="165">
        <v>1</v>
      </c>
      <c r="L8429" s="628"/>
      <c r="M8429" s="628"/>
      <c r="N8429" s="388">
        <f>222.79*(0.028317)</f>
        <v>6.3087444299999991</v>
      </c>
      <c r="O8429" s="389">
        <v>8.6872499999999991E-2</v>
      </c>
      <c r="P8429" s="413"/>
      <c r="Q8429" s="413">
        <v>8.8182274966459306E-2</v>
      </c>
      <c r="R8429" s="413">
        <v>0.16550720283451353</v>
      </c>
      <c r="S8429" s="413">
        <v>8.4597692813741604E-2</v>
      </c>
      <c r="T8429" s="413">
        <v>0.10173064869540895</v>
      </c>
      <c r="U8429" s="413">
        <v>0.20080912100036782</v>
      </c>
      <c r="V8429" s="504">
        <v>0</v>
      </c>
      <c r="W8429" s="504">
        <v>0</v>
      </c>
      <c r="X8429" s="504">
        <v>0</v>
      </c>
      <c r="Y8429" s="504">
        <v>0.35917305968950891</v>
      </c>
      <c r="Z8429" s="388">
        <v>50</v>
      </c>
      <c r="AA8429" s="388"/>
      <c r="AB8429" s="391"/>
      <c r="AC8429" s="392"/>
      <c r="AD8429" s="388">
        <v>8.2295999999999996</v>
      </c>
      <c r="AE8429" s="388">
        <v>0.49276000000000003</v>
      </c>
      <c r="AF8429" s="388"/>
      <c r="AG8429" s="388">
        <v>1.5556740618556701</v>
      </c>
      <c r="AH8429" s="391"/>
      <c r="AI8429" s="397"/>
      <c r="AJ8429" s="397"/>
      <c r="AK8429" s="392"/>
      <c r="AL8429" s="392"/>
      <c r="AM8429" s="392"/>
      <c r="AN8429" s="392"/>
      <c r="AO8429" s="392"/>
      <c r="AP8429" s="392"/>
      <c r="AQ8429" s="392"/>
      <c r="AR8429" s="392"/>
      <c r="AS8429" s="392"/>
      <c r="AT8429" s="392"/>
      <c r="AU8429" s="397"/>
      <c r="AV8429" s="397"/>
      <c r="AW8429" s="397"/>
      <c r="AX8429" s="397"/>
      <c r="AY8429" s="392"/>
      <c r="AZ8429" s="392"/>
      <c r="BA8429" s="392"/>
      <c r="BB8429" s="392"/>
      <c r="BC8429" s="392"/>
      <c r="BD8429" s="392"/>
      <c r="BE8429" s="392"/>
      <c r="BF8429" s="392"/>
      <c r="BG8429" s="392"/>
      <c r="BH8429" s="392"/>
      <c r="BI8429" s="397"/>
      <c r="BJ8429" s="397"/>
      <c r="BK8429" s="397"/>
      <c r="BL8429" s="397"/>
      <c r="BM8429" s="397"/>
      <c r="BN8429" s="397"/>
      <c r="BO8429" s="397"/>
      <c r="BP8429" s="397"/>
      <c r="BQ8429" s="397"/>
      <c r="BR8429" s="397"/>
      <c r="BS8429" s="397"/>
      <c r="BT8429" s="397"/>
      <c r="BU8429" s="397"/>
      <c r="BV8429" s="397"/>
      <c r="BW8429" s="397"/>
      <c r="BX8429" s="397"/>
      <c r="BY8429" s="397"/>
      <c r="BZ8429" s="397"/>
      <c r="CA8429" s="392"/>
      <c r="CB8429" s="392"/>
    </row>
    <row r="8430" spans="1:80" ht="15" x14ac:dyDescent="0.25">
      <c r="A8430" s="385"/>
      <c r="B8430" s="392"/>
      <c r="C8430" s="392"/>
      <c r="D8430" s="385"/>
      <c r="E8430" s="397"/>
      <c r="F8430" s="392"/>
      <c r="G8430" s="392"/>
      <c r="H8430" s="401"/>
      <c r="I8430" s="165">
        <v>5</v>
      </c>
      <c r="J8430" s="165">
        <v>240</v>
      </c>
      <c r="K8430" s="165">
        <v>1</v>
      </c>
      <c r="L8430" s="628"/>
      <c r="M8430" s="628"/>
      <c r="N8430" s="388">
        <f>210.63*(0.028317)</f>
        <v>5.96440971</v>
      </c>
      <c r="O8430" s="389">
        <v>0.111375</v>
      </c>
      <c r="P8430" s="413"/>
      <c r="Q8430" s="413">
        <v>4.2130632232206353E-2</v>
      </c>
      <c r="R8430" s="413">
        <v>5.8792989204214878E-2</v>
      </c>
      <c r="S8430" s="413">
        <v>0.12477778136918999</v>
      </c>
      <c r="T8430" s="413">
        <v>0.13964622793975046</v>
      </c>
      <c r="U8430" s="413">
        <v>0.29261345271187539</v>
      </c>
      <c r="V8430" s="504">
        <v>0</v>
      </c>
      <c r="W8430" s="504">
        <v>0</v>
      </c>
      <c r="X8430" s="504">
        <v>0</v>
      </c>
      <c r="Y8430" s="504">
        <v>0.34203891654276292</v>
      </c>
      <c r="Z8430" s="388">
        <v>45</v>
      </c>
      <c r="AA8430" s="388"/>
      <c r="AB8430" s="391"/>
      <c r="AC8430" s="392"/>
      <c r="AD8430" s="388">
        <v>8.2295999999999996</v>
      </c>
      <c r="AE8430" s="388">
        <v>0.49259066666666668</v>
      </c>
      <c r="AF8430" s="388"/>
      <c r="AG8430" s="388">
        <v>1.4712797634926094</v>
      </c>
      <c r="AH8430" s="391"/>
      <c r="AI8430" s="397"/>
      <c r="AJ8430" s="397"/>
      <c r="AK8430" s="392"/>
      <c r="AL8430" s="392"/>
      <c r="AM8430" s="392"/>
      <c r="AN8430" s="392"/>
      <c r="AO8430" s="392"/>
      <c r="AP8430" s="392"/>
      <c r="AQ8430" s="392"/>
      <c r="AR8430" s="392"/>
      <c r="AS8430" s="392"/>
      <c r="AT8430" s="392"/>
      <c r="AU8430" s="397"/>
      <c r="AV8430" s="397"/>
      <c r="AW8430" s="397"/>
      <c r="AX8430" s="397"/>
      <c r="AY8430" s="392"/>
      <c r="AZ8430" s="392"/>
      <c r="BA8430" s="392"/>
      <c r="BB8430" s="392"/>
      <c r="BC8430" s="392"/>
      <c r="BD8430" s="392"/>
      <c r="BE8430" s="392"/>
      <c r="BF8430" s="392"/>
      <c r="BG8430" s="392"/>
      <c r="BH8430" s="392"/>
      <c r="BI8430" s="397"/>
      <c r="BJ8430" s="397"/>
      <c r="BK8430" s="397"/>
      <c r="BL8430" s="397"/>
      <c r="BM8430" s="397"/>
      <c r="BN8430" s="397"/>
      <c r="BO8430" s="397"/>
      <c r="BP8430" s="397"/>
      <c r="BQ8430" s="397"/>
      <c r="BR8430" s="397"/>
      <c r="BS8430" s="397"/>
      <c r="BT8430" s="397"/>
      <c r="BU8430" s="397"/>
      <c r="BV8430" s="397"/>
      <c r="BW8430" s="397"/>
      <c r="BX8430" s="397"/>
      <c r="BY8430" s="397"/>
      <c r="BZ8430" s="397"/>
      <c r="CA8430" s="392"/>
      <c r="CB8430" s="392"/>
    </row>
    <row r="8431" spans="1:80" ht="15" x14ac:dyDescent="0.25">
      <c r="A8431" s="385"/>
      <c r="B8431" s="392"/>
      <c r="C8431" s="392"/>
      <c r="D8431" s="385"/>
      <c r="E8431" s="397"/>
      <c r="F8431" s="392"/>
      <c r="G8431" s="392"/>
      <c r="H8431" s="401"/>
      <c r="I8431" s="165">
        <v>5</v>
      </c>
      <c r="J8431" s="165">
        <v>240</v>
      </c>
      <c r="K8431" s="165">
        <v>1</v>
      </c>
      <c r="L8431" s="628"/>
      <c r="M8431" s="628"/>
      <c r="N8431" s="388">
        <f>203.32*(0.028317)</f>
        <v>5.7574124399999995</v>
      </c>
      <c r="O8431" s="389">
        <v>2.1437999999999999E-2</v>
      </c>
      <c r="P8431" s="413"/>
      <c r="Q8431" s="413">
        <v>0</v>
      </c>
      <c r="R8431" s="413">
        <v>2.8955543428067675E-2</v>
      </c>
      <c r="S8431" s="413">
        <v>9.6207128164224859E-2</v>
      </c>
      <c r="T8431" s="413">
        <v>0.14457831325301204</v>
      </c>
      <c r="U8431" s="413">
        <v>0.1710885353259729</v>
      </c>
      <c r="V8431" s="504">
        <v>0</v>
      </c>
      <c r="W8431" s="504">
        <v>0</v>
      </c>
      <c r="X8431" s="504">
        <v>0</v>
      </c>
      <c r="Y8431" s="504">
        <v>0.55917047982872259</v>
      </c>
      <c r="Z8431" s="388">
        <v>21</v>
      </c>
      <c r="AA8431" s="388"/>
      <c r="AB8431" s="391"/>
      <c r="AC8431" s="392"/>
      <c r="AD8431" s="388">
        <v>8.2295999999999996</v>
      </c>
      <c r="AE8431" s="388">
        <v>0.48276933333333327</v>
      </c>
      <c r="AF8431" s="388"/>
      <c r="AG8431" s="388">
        <v>1.4490978856541568</v>
      </c>
      <c r="AH8431" s="391"/>
      <c r="AI8431" s="397"/>
      <c r="AJ8431" s="397"/>
      <c r="AK8431" s="392"/>
      <c r="AL8431" s="392"/>
      <c r="AM8431" s="392"/>
      <c r="AN8431" s="392"/>
      <c r="AO8431" s="392"/>
      <c r="AP8431" s="392"/>
      <c r="AQ8431" s="392"/>
      <c r="AR8431" s="392"/>
      <c r="AS8431" s="392"/>
      <c r="AT8431" s="392"/>
      <c r="AU8431" s="397"/>
      <c r="AV8431" s="397"/>
      <c r="AW8431" s="397"/>
      <c r="AX8431" s="397"/>
      <c r="AY8431" s="392"/>
      <c r="AZ8431" s="392"/>
      <c r="BA8431" s="392"/>
      <c r="BB8431" s="392"/>
      <c r="BC8431" s="392"/>
      <c r="BD8431" s="392"/>
      <c r="BE8431" s="392"/>
      <c r="BF8431" s="392"/>
      <c r="BG8431" s="392"/>
      <c r="BH8431" s="392"/>
      <c r="BI8431" s="397"/>
      <c r="BJ8431" s="397"/>
      <c r="BK8431" s="397"/>
      <c r="BL8431" s="397"/>
      <c r="BM8431" s="397"/>
      <c r="BN8431" s="397"/>
      <c r="BO8431" s="397"/>
      <c r="BP8431" s="397"/>
      <c r="BQ8431" s="397"/>
      <c r="BR8431" s="397"/>
      <c r="BS8431" s="397"/>
      <c r="BT8431" s="397"/>
      <c r="BU8431" s="397"/>
      <c r="BV8431" s="397"/>
      <c r="BW8431" s="397"/>
      <c r="BX8431" s="397"/>
      <c r="BY8431" s="397"/>
      <c r="BZ8431" s="397"/>
      <c r="CA8431" s="392"/>
      <c r="CB8431" s="392"/>
    </row>
    <row r="8432" spans="1:80" ht="15" x14ac:dyDescent="0.25">
      <c r="A8432" s="385"/>
      <c r="B8432" s="392"/>
      <c r="C8432" s="392"/>
      <c r="D8432" s="385"/>
      <c r="E8432" s="397"/>
      <c r="F8432" s="392"/>
      <c r="G8432" s="392"/>
      <c r="H8432" s="401"/>
      <c r="I8432" s="165">
        <v>5</v>
      </c>
      <c r="J8432" s="165">
        <v>240</v>
      </c>
      <c r="K8432" s="165">
        <v>1</v>
      </c>
      <c r="L8432" s="628"/>
      <c r="M8432" s="628"/>
      <c r="N8432" s="388">
        <f>123.85*(0.028317)</f>
        <v>3.5070604499999996</v>
      </c>
      <c r="O8432" s="389">
        <v>2.4840000000000001E-3</v>
      </c>
      <c r="P8432" s="413"/>
      <c r="Q8432" s="413">
        <v>0</v>
      </c>
      <c r="R8432" s="413"/>
      <c r="S8432" s="413"/>
      <c r="T8432" s="413">
        <v>8.1702898550724642E-2</v>
      </c>
      <c r="U8432" s="413">
        <v>0.26141304347826089</v>
      </c>
      <c r="V8432" s="504">
        <v>0</v>
      </c>
      <c r="W8432" s="504">
        <v>0</v>
      </c>
      <c r="X8432" s="504">
        <v>0</v>
      </c>
      <c r="Y8432" s="504">
        <v>0.65688405797101446</v>
      </c>
      <c r="Z8432" s="388">
        <v>4</v>
      </c>
      <c r="AA8432" s="388"/>
      <c r="AB8432" s="391"/>
      <c r="AC8432" s="392"/>
      <c r="AD8432" s="388">
        <v>8.2295999999999996</v>
      </c>
      <c r="AE8432" s="388">
        <v>0.40961733333333344</v>
      </c>
      <c r="AF8432" s="388"/>
      <c r="AG8432" s="388">
        <v>1.0403785398925176</v>
      </c>
      <c r="AH8432" s="391"/>
      <c r="AI8432" s="397"/>
      <c r="AJ8432" s="397"/>
      <c r="AK8432" s="392"/>
      <c r="AL8432" s="392"/>
      <c r="AM8432" s="392"/>
      <c r="AN8432" s="392"/>
      <c r="AO8432" s="392"/>
      <c r="AP8432" s="392"/>
      <c r="AQ8432" s="392"/>
      <c r="AR8432" s="392"/>
      <c r="AS8432" s="392"/>
      <c r="AT8432" s="392"/>
      <c r="AU8432" s="397"/>
      <c r="AV8432" s="397"/>
      <c r="AW8432" s="397"/>
      <c r="AX8432" s="397"/>
      <c r="AY8432" s="392"/>
      <c r="AZ8432" s="392"/>
      <c r="BA8432" s="392"/>
      <c r="BB8432" s="392"/>
      <c r="BC8432" s="392"/>
      <c r="BD8432" s="392"/>
      <c r="BE8432" s="392"/>
      <c r="BF8432" s="392"/>
      <c r="BG8432" s="392"/>
      <c r="BH8432" s="392"/>
      <c r="BI8432" s="397"/>
      <c r="BJ8432" s="397"/>
      <c r="BK8432" s="397"/>
      <c r="BL8432" s="397"/>
      <c r="BM8432" s="397"/>
      <c r="BN8432" s="397"/>
      <c r="BO8432" s="397"/>
      <c r="BP8432" s="397"/>
      <c r="BQ8432" s="397"/>
      <c r="BR8432" s="397"/>
      <c r="BS8432" s="397"/>
      <c r="BT8432" s="397"/>
      <c r="BU8432" s="397"/>
      <c r="BV8432" s="397"/>
      <c r="BW8432" s="397"/>
      <c r="BX8432" s="397"/>
      <c r="BY8432" s="397"/>
      <c r="BZ8432" s="397"/>
      <c r="CA8432" s="392"/>
      <c r="CB8432" s="392"/>
    </row>
    <row r="8433" spans="1:80" ht="15" x14ac:dyDescent="0.25">
      <c r="A8433" s="385"/>
      <c r="B8433" s="392"/>
      <c r="C8433" s="392"/>
      <c r="D8433" s="385"/>
      <c r="E8433" s="397"/>
      <c r="F8433" s="392"/>
      <c r="G8433" s="392"/>
      <c r="H8433" s="401"/>
      <c r="I8433" s="165">
        <v>5</v>
      </c>
      <c r="J8433" s="165">
        <v>240</v>
      </c>
      <c r="K8433" s="165">
        <v>1</v>
      </c>
      <c r="L8433" s="628"/>
      <c r="M8433" s="628"/>
      <c r="N8433" s="388">
        <f>145.93*(0.028317)</f>
        <v>4.1322998100000001</v>
      </c>
      <c r="O8433" s="389">
        <v>5.5008000000000008E-2</v>
      </c>
      <c r="P8433" s="413"/>
      <c r="Q8433" s="413">
        <v>0.24639127607095965</v>
      </c>
      <c r="R8433" s="413">
        <v>0.12341038216273922</v>
      </c>
      <c r="S8433" s="413">
        <v>0.13360357006998613</v>
      </c>
      <c r="T8433" s="413">
        <v>0.1116914883608683</v>
      </c>
      <c r="U8433" s="413">
        <v>0.12761936705702376</v>
      </c>
      <c r="V8433" s="504">
        <v>0</v>
      </c>
      <c r="W8433" s="504">
        <v>0</v>
      </c>
      <c r="X8433" s="504">
        <v>0</v>
      </c>
      <c r="Y8433" s="504">
        <v>0.2572839162784229</v>
      </c>
      <c r="Z8433" s="388">
        <v>63</v>
      </c>
      <c r="AA8433" s="388"/>
      <c r="AB8433" s="391"/>
      <c r="AC8433" s="392"/>
      <c r="AD8433" s="388">
        <v>8.2295999999999996</v>
      </c>
      <c r="AE8433" s="388">
        <v>0.41681400000000002</v>
      </c>
      <c r="AF8433" s="388"/>
      <c r="AG8433" s="388">
        <v>1.204689959780622</v>
      </c>
      <c r="AH8433" s="391"/>
      <c r="AI8433" s="397"/>
      <c r="AJ8433" s="397"/>
      <c r="AK8433" s="392"/>
      <c r="AL8433" s="392"/>
      <c r="AM8433" s="392"/>
      <c r="AN8433" s="392"/>
      <c r="AO8433" s="392"/>
      <c r="AP8433" s="392"/>
      <c r="AQ8433" s="392"/>
      <c r="AR8433" s="392"/>
      <c r="AS8433" s="392"/>
      <c r="AT8433" s="392"/>
      <c r="AU8433" s="397"/>
      <c r="AV8433" s="397"/>
      <c r="AW8433" s="397"/>
      <c r="AX8433" s="397"/>
      <c r="AY8433" s="392"/>
      <c r="AZ8433" s="392"/>
      <c r="BA8433" s="392"/>
      <c r="BB8433" s="392"/>
      <c r="BC8433" s="392"/>
      <c r="BD8433" s="392"/>
      <c r="BE8433" s="392"/>
      <c r="BF8433" s="392"/>
      <c r="BG8433" s="392"/>
      <c r="BH8433" s="392"/>
      <c r="BI8433" s="397"/>
      <c r="BJ8433" s="397"/>
      <c r="BK8433" s="397"/>
      <c r="BL8433" s="397"/>
      <c r="BM8433" s="397"/>
      <c r="BN8433" s="397"/>
      <c r="BO8433" s="397"/>
      <c r="BP8433" s="397"/>
      <c r="BQ8433" s="397"/>
      <c r="BR8433" s="397"/>
      <c r="BS8433" s="397"/>
      <c r="BT8433" s="397"/>
      <c r="BU8433" s="397"/>
      <c r="BV8433" s="397"/>
      <c r="BW8433" s="397"/>
      <c r="BX8433" s="397"/>
      <c r="BY8433" s="397"/>
      <c r="BZ8433" s="397"/>
      <c r="CA8433" s="392"/>
      <c r="CB8433" s="392"/>
    </row>
    <row r="8434" spans="1:80" ht="15" x14ac:dyDescent="0.25">
      <c r="A8434" s="385"/>
      <c r="B8434" s="392"/>
      <c r="C8434" s="392"/>
      <c r="D8434" s="385"/>
      <c r="E8434" s="397"/>
      <c r="F8434" s="392"/>
      <c r="G8434" s="392"/>
      <c r="H8434" s="401"/>
      <c r="I8434" s="165">
        <v>5</v>
      </c>
      <c r="J8434" s="165">
        <v>240</v>
      </c>
      <c r="K8434" s="165">
        <v>1</v>
      </c>
      <c r="L8434" s="628"/>
      <c r="M8434" s="628"/>
      <c r="N8434" s="388">
        <f>303.16*(0.028317)</f>
        <v>8.584581720000001</v>
      </c>
      <c r="O8434" s="389">
        <v>0.10899000000000002</v>
      </c>
      <c r="P8434" s="413"/>
      <c r="Q8434" s="413">
        <v>0.13625103220478943</v>
      </c>
      <c r="R8434" s="413">
        <v>0.12510322047894301</v>
      </c>
      <c r="S8434" s="413">
        <v>0.15648224607762179</v>
      </c>
      <c r="T8434" s="413">
        <v>0.12469033856317094</v>
      </c>
      <c r="U8434" s="413">
        <v>0.12799339388934763</v>
      </c>
      <c r="V8434" s="504">
        <v>0</v>
      </c>
      <c r="W8434" s="504">
        <v>0</v>
      </c>
      <c r="X8434" s="504">
        <v>0</v>
      </c>
      <c r="Y8434" s="504">
        <v>0.32947976878612717</v>
      </c>
      <c r="Z8434" s="388">
        <v>60</v>
      </c>
      <c r="AA8434" s="388"/>
      <c r="AB8434" s="391"/>
      <c r="AC8434" s="392"/>
      <c r="AD8434" s="388">
        <v>8.2295999999999996</v>
      </c>
      <c r="AE8434" s="388">
        <v>0.56388000000000005</v>
      </c>
      <c r="AF8434" s="388"/>
      <c r="AG8434" s="388">
        <v>1.8499163243243244</v>
      </c>
      <c r="AH8434" s="391"/>
      <c r="AI8434" s="397"/>
      <c r="AJ8434" s="397"/>
      <c r="AK8434" s="392"/>
      <c r="AL8434" s="392"/>
      <c r="AM8434" s="392"/>
      <c r="AN8434" s="392"/>
      <c r="AO8434" s="392"/>
      <c r="AP8434" s="392"/>
      <c r="AQ8434" s="392"/>
      <c r="AR8434" s="392"/>
      <c r="AS8434" s="392"/>
      <c r="AT8434" s="392"/>
      <c r="AU8434" s="397"/>
      <c r="AV8434" s="397"/>
      <c r="AW8434" s="397"/>
      <c r="AX8434" s="397"/>
      <c r="AY8434" s="392"/>
      <c r="AZ8434" s="392"/>
      <c r="BA8434" s="392"/>
      <c r="BB8434" s="392"/>
      <c r="BC8434" s="392"/>
      <c r="BD8434" s="392"/>
      <c r="BE8434" s="392"/>
      <c r="BF8434" s="392"/>
      <c r="BG8434" s="392"/>
      <c r="BH8434" s="392"/>
      <c r="BI8434" s="397"/>
      <c r="BJ8434" s="397"/>
      <c r="BK8434" s="397"/>
      <c r="BL8434" s="397"/>
      <c r="BM8434" s="397"/>
      <c r="BN8434" s="397"/>
      <c r="BO8434" s="397"/>
      <c r="BP8434" s="397"/>
      <c r="BQ8434" s="397"/>
      <c r="BR8434" s="397"/>
      <c r="BS8434" s="397"/>
      <c r="BT8434" s="397"/>
      <c r="BU8434" s="397"/>
      <c r="BV8434" s="397"/>
      <c r="BW8434" s="397"/>
      <c r="BX8434" s="397"/>
      <c r="BY8434" s="397"/>
      <c r="BZ8434" s="397"/>
      <c r="CA8434" s="392"/>
      <c r="CB8434" s="392"/>
    </row>
    <row r="8435" spans="1:80" ht="15" x14ac:dyDescent="0.25">
      <c r="A8435" s="385"/>
      <c r="B8435" s="392"/>
      <c r="C8435" s="392"/>
      <c r="D8435" s="385"/>
      <c r="E8435" s="397"/>
      <c r="F8435" s="392"/>
      <c r="G8435" s="392"/>
      <c r="H8435" s="401"/>
      <c r="I8435" s="165">
        <v>5</v>
      </c>
      <c r="J8435" s="165">
        <v>240</v>
      </c>
      <c r="K8435" s="165">
        <v>1</v>
      </c>
      <c r="L8435" s="628"/>
      <c r="M8435" s="628"/>
      <c r="N8435" s="388">
        <f>318.31*(0.028317)</f>
        <v>9.0135842699999991</v>
      </c>
      <c r="O8435" s="389">
        <v>0.23206500000000002</v>
      </c>
      <c r="P8435" s="413">
        <v>0.42369594725615667</v>
      </c>
      <c r="Q8435" s="413">
        <v>6.3990692262943571E-2</v>
      </c>
      <c r="R8435" s="413">
        <v>8.318789994182664E-2</v>
      </c>
      <c r="S8435" s="413">
        <v>5.3907310451813073E-2</v>
      </c>
      <c r="T8435" s="413">
        <v>7.6788830715532289E-2</v>
      </c>
      <c r="U8435" s="413">
        <v>0.10296684118673648</v>
      </c>
      <c r="V8435" s="504">
        <v>0</v>
      </c>
      <c r="W8435" s="504">
        <v>0</v>
      </c>
      <c r="X8435" s="504">
        <v>0</v>
      </c>
      <c r="Y8435" s="504">
        <v>0.19546247818499127</v>
      </c>
      <c r="Z8435" s="388">
        <v>160</v>
      </c>
      <c r="AA8435" s="388"/>
      <c r="AB8435" s="391"/>
      <c r="AC8435" s="392"/>
      <c r="AD8435" s="388">
        <v>8.2295999999999996</v>
      </c>
      <c r="AE8435" s="388">
        <v>0.59546066666666675</v>
      </c>
      <c r="AF8435" s="388"/>
      <c r="AG8435" s="388">
        <v>1.8393668044931037</v>
      </c>
      <c r="AH8435" s="391"/>
      <c r="AI8435" s="397"/>
      <c r="AJ8435" s="397"/>
      <c r="AK8435" s="392"/>
      <c r="AL8435" s="392"/>
      <c r="AM8435" s="392"/>
      <c r="AN8435" s="392"/>
      <c r="AO8435" s="392"/>
      <c r="AP8435" s="392"/>
      <c r="AQ8435" s="392"/>
      <c r="AR8435" s="392"/>
      <c r="AS8435" s="392"/>
      <c r="AT8435" s="392"/>
      <c r="AU8435" s="397"/>
      <c r="AV8435" s="397"/>
      <c r="AW8435" s="397"/>
      <c r="AX8435" s="397"/>
      <c r="AY8435" s="392"/>
      <c r="AZ8435" s="392"/>
      <c r="BA8435" s="392"/>
      <c r="BB8435" s="392"/>
      <c r="BC8435" s="392"/>
      <c r="BD8435" s="392"/>
      <c r="BE8435" s="392"/>
      <c r="BF8435" s="392"/>
      <c r="BG8435" s="392"/>
      <c r="BH8435" s="392"/>
      <c r="BI8435" s="397"/>
      <c r="BJ8435" s="397"/>
      <c r="BK8435" s="397"/>
      <c r="BL8435" s="397"/>
      <c r="BM8435" s="397"/>
      <c r="BN8435" s="397"/>
      <c r="BO8435" s="397"/>
      <c r="BP8435" s="397"/>
      <c r="BQ8435" s="397"/>
      <c r="BR8435" s="397"/>
      <c r="BS8435" s="397"/>
      <c r="BT8435" s="397"/>
      <c r="BU8435" s="397"/>
      <c r="BV8435" s="397"/>
      <c r="BW8435" s="397"/>
      <c r="BX8435" s="397"/>
      <c r="BY8435" s="397"/>
      <c r="BZ8435" s="397"/>
      <c r="CA8435" s="392"/>
      <c r="CB8435" s="392"/>
    </row>
    <row r="8436" spans="1:80" ht="15" x14ac:dyDescent="0.25">
      <c r="A8436" s="385"/>
      <c r="B8436" s="392"/>
      <c r="C8436" s="392"/>
      <c r="D8436" s="385"/>
      <c r="E8436" s="397"/>
      <c r="F8436" s="392"/>
      <c r="G8436" s="392"/>
      <c r="H8436" s="401"/>
      <c r="I8436" s="165">
        <v>5</v>
      </c>
      <c r="J8436" s="165">
        <v>240</v>
      </c>
      <c r="K8436" s="165">
        <v>1</v>
      </c>
      <c r="L8436" s="628"/>
      <c r="M8436" s="628"/>
      <c r="N8436" s="388">
        <f>356.26*(0.028317)</f>
        <v>10.08821442</v>
      </c>
      <c r="O8436" s="389">
        <v>7.4880000000000002E-2</v>
      </c>
      <c r="P8436" s="413"/>
      <c r="Q8436" s="413">
        <v>6.6105769230769232E-2</v>
      </c>
      <c r="R8436" s="413">
        <v>1.5024038461538462E-2</v>
      </c>
      <c r="S8436" s="413">
        <v>0.30348557692307693</v>
      </c>
      <c r="T8436" s="413">
        <v>5.588942307692308E-2</v>
      </c>
      <c r="U8436" s="413">
        <v>7.9927884615384609E-2</v>
      </c>
      <c r="V8436" s="504">
        <v>0</v>
      </c>
      <c r="W8436" s="504">
        <v>0</v>
      </c>
      <c r="X8436" s="504">
        <v>0</v>
      </c>
      <c r="Y8436" s="504">
        <v>0.47956730769230771</v>
      </c>
      <c r="Z8436" s="388">
        <v>53</v>
      </c>
      <c r="AA8436" s="388"/>
      <c r="AB8436" s="391"/>
      <c r="AC8436" s="392"/>
      <c r="AD8436" s="388">
        <v>8.2295999999999996</v>
      </c>
      <c r="AE8436" s="388">
        <v>0.627888</v>
      </c>
      <c r="AF8436" s="388"/>
      <c r="AG8436" s="388">
        <v>1.9523212686084142</v>
      </c>
      <c r="AH8436" s="391"/>
      <c r="AI8436" s="397"/>
      <c r="AJ8436" s="397"/>
      <c r="AK8436" s="392"/>
      <c r="AL8436" s="392"/>
      <c r="AM8436" s="392"/>
      <c r="AN8436" s="392"/>
      <c r="AO8436" s="392"/>
      <c r="AP8436" s="392"/>
      <c r="AQ8436" s="392"/>
      <c r="AR8436" s="392"/>
      <c r="AS8436" s="392"/>
      <c r="AT8436" s="392"/>
      <c r="AU8436" s="397"/>
      <c r="AV8436" s="397"/>
      <c r="AW8436" s="397"/>
      <c r="AX8436" s="397"/>
      <c r="AY8436" s="392"/>
      <c r="AZ8436" s="392"/>
      <c r="BA8436" s="392"/>
      <c r="BB8436" s="392"/>
      <c r="BC8436" s="392"/>
      <c r="BD8436" s="392"/>
      <c r="BE8436" s="392"/>
      <c r="BF8436" s="392"/>
      <c r="BG8436" s="392"/>
      <c r="BH8436" s="392"/>
      <c r="BI8436" s="397"/>
      <c r="BJ8436" s="397"/>
      <c r="BK8436" s="397"/>
      <c r="BL8436" s="397"/>
      <c r="BM8436" s="397"/>
      <c r="BN8436" s="397"/>
      <c r="BO8436" s="397"/>
      <c r="BP8436" s="397"/>
      <c r="BQ8436" s="397"/>
      <c r="BR8436" s="397"/>
      <c r="BS8436" s="397"/>
      <c r="BT8436" s="397"/>
      <c r="BU8436" s="397"/>
      <c r="BV8436" s="397"/>
      <c r="BW8436" s="397"/>
      <c r="BX8436" s="397"/>
      <c r="BY8436" s="397"/>
      <c r="BZ8436" s="397"/>
      <c r="CA8436" s="392"/>
      <c r="CB8436" s="392"/>
    </row>
    <row r="8437" spans="1:80" ht="15" x14ac:dyDescent="0.25">
      <c r="A8437" s="385"/>
      <c r="B8437" s="392"/>
      <c r="C8437" s="392"/>
      <c r="D8437" s="385"/>
      <c r="E8437" s="397"/>
      <c r="F8437" s="392"/>
      <c r="G8437" s="392"/>
      <c r="H8437" s="401"/>
      <c r="I8437" s="165">
        <v>5</v>
      </c>
      <c r="J8437" s="165">
        <v>240</v>
      </c>
      <c r="K8437" s="165">
        <v>1</v>
      </c>
      <c r="L8437" s="628"/>
      <c r="M8437" s="628"/>
      <c r="N8437" s="388">
        <f>355.14*(0.028317)</f>
        <v>10.056499379999998</v>
      </c>
      <c r="O8437" s="389">
        <v>0.19961999999999999</v>
      </c>
      <c r="P8437" s="413"/>
      <c r="Q8437" s="413">
        <v>0.2357980162308386</v>
      </c>
      <c r="R8437" s="413">
        <v>0.15802524797114517</v>
      </c>
      <c r="S8437" s="413">
        <v>0.13097385031559963</v>
      </c>
      <c r="T8437" s="413">
        <v>0.13119927862939584</v>
      </c>
      <c r="U8437" s="413">
        <v>5.9963931469792606E-2</v>
      </c>
      <c r="V8437" s="504">
        <v>0</v>
      </c>
      <c r="W8437" s="504">
        <v>0</v>
      </c>
      <c r="X8437" s="504">
        <v>0</v>
      </c>
      <c r="Y8437" s="504">
        <v>0.28403967538322811</v>
      </c>
      <c r="Z8437" s="388">
        <v>59</v>
      </c>
      <c r="AA8437" s="388"/>
      <c r="AB8437" s="391"/>
      <c r="AC8437" s="392"/>
      <c r="AD8437" s="388">
        <v>8.2295999999999996</v>
      </c>
      <c r="AE8437" s="388">
        <v>0.5940213333333334</v>
      </c>
      <c r="AF8437" s="388"/>
      <c r="AG8437" s="388">
        <v>2.057152371721779</v>
      </c>
      <c r="AH8437" s="391"/>
      <c r="AI8437" s="397"/>
      <c r="AJ8437" s="397"/>
      <c r="AK8437" s="392"/>
      <c r="AL8437" s="392"/>
      <c r="AM8437" s="392"/>
      <c r="AN8437" s="392"/>
      <c r="AO8437" s="392"/>
      <c r="AP8437" s="392"/>
      <c r="AQ8437" s="392"/>
      <c r="AR8437" s="392"/>
      <c r="AS8437" s="392"/>
      <c r="AT8437" s="392"/>
      <c r="AU8437" s="397"/>
      <c r="AV8437" s="397"/>
      <c r="AW8437" s="397"/>
      <c r="AX8437" s="397"/>
      <c r="AY8437" s="392"/>
      <c r="AZ8437" s="392"/>
      <c r="BA8437" s="392"/>
      <c r="BB8437" s="392"/>
      <c r="BC8437" s="392"/>
      <c r="BD8437" s="392"/>
      <c r="BE8437" s="392"/>
      <c r="BF8437" s="392"/>
      <c r="BG8437" s="392"/>
      <c r="BH8437" s="392"/>
      <c r="BI8437" s="397"/>
      <c r="BJ8437" s="397"/>
      <c r="BK8437" s="397"/>
      <c r="BL8437" s="397"/>
      <c r="BM8437" s="397"/>
      <c r="BN8437" s="397"/>
      <c r="BO8437" s="397"/>
      <c r="BP8437" s="397"/>
      <c r="BQ8437" s="397"/>
      <c r="BR8437" s="397"/>
      <c r="BS8437" s="397"/>
      <c r="BT8437" s="397"/>
      <c r="BU8437" s="397"/>
      <c r="BV8437" s="397"/>
      <c r="BW8437" s="397"/>
      <c r="BX8437" s="397"/>
      <c r="BY8437" s="397"/>
      <c r="BZ8437" s="397"/>
      <c r="CA8437" s="392"/>
      <c r="CB8437" s="392"/>
    </row>
    <row r="8438" spans="1:80" ht="15" x14ac:dyDescent="0.25">
      <c r="A8438" s="385"/>
      <c r="B8438" s="392"/>
      <c r="C8438" s="392"/>
      <c r="D8438" s="385"/>
      <c r="E8438" s="397"/>
      <c r="F8438" s="392"/>
      <c r="G8438" s="392"/>
      <c r="H8438" s="401"/>
      <c r="I8438" s="165">
        <v>5</v>
      </c>
      <c r="J8438" s="165">
        <v>240</v>
      </c>
      <c r="K8438" s="165">
        <v>1</v>
      </c>
      <c r="L8438" s="628"/>
      <c r="M8438" s="628"/>
      <c r="N8438" s="388">
        <f>336.52*(0.028317)</f>
        <v>9.5292368399999994</v>
      </c>
      <c r="O8438" s="389">
        <v>0.3986075</v>
      </c>
      <c r="P8438" s="413">
        <v>4.54206205352383E-2</v>
      </c>
      <c r="Q8438" s="413">
        <v>0.2406439918967907</v>
      </c>
      <c r="R8438" s="413">
        <v>8.0818850623733868E-2</v>
      </c>
      <c r="S8438" s="413">
        <v>9.9584177417635145E-2</v>
      </c>
      <c r="T8438" s="413">
        <v>0.12655933468386821</v>
      </c>
      <c r="U8438" s="413">
        <v>0.16515620002132422</v>
      </c>
      <c r="V8438" s="504">
        <v>0</v>
      </c>
      <c r="W8438" s="504">
        <v>0</v>
      </c>
      <c r="X8438" s="504">
        <v>0</v>
      </c>
      <c r="Y8438" s="504">
        <v>0.24181682482140954</v>
      </c>
      <c r="Z8438" s="388">
        <v>81</v>
      </c>
      <c r="AA8438" s="388"/>
      <c r="AB8438" s="391"/>
      <c r="AC8438" s="392"/>
      <c r="AD8438" s="388">
        <v>7.7724000000000002</v>
      </c>
      <c r="AE8438" s="388">
        <v>0.66051952941176484</v>
      </c>
      <c r="AF8438" s="388"/>
      <c r="AG8438" s="388">
        <v>1.8561619500542885</v>
      </c>
      <c r="AH8438" s="391"/>
      <c r="AI8438" s="397"/>
      <c r="AJ8438" s="397"/>
      <c r="AK8438" s="392"/>
      <c r="AL8438" s="392"/>
      <c r="AM8438" s="392"/>
      <c r="AN8438" s="392"/>
      <c r="AO8438" s="392"/>
      <c r="AP8438" s="392"/>
      <c r="AQ8438" s="392"/>
      <c r="AR8438" s="392"/>
      <c r="AS8438" s="392"/>
      <c r="AT8438" s="392"/>
      <c r="AU8438" s="397"/>
      <c r="AV8438" s="397"/>
      <c r="AW8438" s="397"/>
      <c r="AX8438" s="397"/>
      <c r="AY8438" s="392"/>
      <c r="AZ8438" s="392"/>
      <c r="BA8438" s="392"/>
      <c r="BB8438" s="392"/>
      <c r="BC8438" s="392"/>
      <c r="BD8438" s="392"/>
      <c r="BE8438" s="392"/>
      <c r="BF8438" s="392"/>
      <c r="BG8438" s="392"/>
      <c r="BH8438" s="392"/>
      <c r="BI8438" s="397"/>
      <c r="BJ8438" s="397"/>
      <c r="BK8438" s="397"/>
      <c r="BL8438" s="397"/>
      <c r="BM8438" s="397"/>
      <c r="BN8438" s="397"/>
      <c r="BO8438" s="397"/>
      <c r="BP8438" s="397"/>
      <c r="BQ8438" s="397"/>
      <c r="BR8438" s="397"/>
      <c r="BS8438" s="397"/>
      <c r="BT8438" s="397"/>
      <c r="BU8438" s="397"/>
      <c r="BV8438" s="397"/>
      <c r="BW8438" s="397"/>
      <c r="BX8438" s="397"/>
      <c r="BY8438" s="397"/>
      <c r="BZ8438" s="397"/>
      <c r="CA8438" s="392"/>
      <c r="CB8438" s="392"/>
    </row>
    <row r="8439" spans="1:80" ht="15" x14ac:dyDescent="0.25">
      <c r="A8439" s="385"/>
      <c r="B8439" s="392"/>
      <c r="C8439" s="392"/>
      <c r="D8439" s="385"/>
      <c r="E8439" s="397"/>
      <c r="F8439" s="392"/>
      <c r="G8439" s="392"/>
      <c r="H8439" s="401"/>
      <c r="I8439" s="165">
        <v>5</v>
      </c>
      <c r="J8439" s="165">
        <v>240</v>
      </c>
      <c r="K8439" s="165">
        <v>1</v>
      </c>
      <c r="L8439" s="628"/>
      <c r="M8439" s="628"/>
      <c r="N8439" s="388">
        <f>426.4*(0.028317)</f>
        <v>12.074368799999998</v>
      </c>
      <c r="O8439" s="389">
        <v>0.186885</v>
      </c>
      <c r="P8439" s="413"/>
      <c r="Q8439" s="413">
        <v>2.4319768841801107E-2</v>
      </c>
      <c r="R8439" s="413">
        <v>7.295930652540332E-2</v>
      </c>
      <c r="S8439" s="413">
        <v>0.10955935468336142</v>
      </c>
      <c r="T8439" s="413">
        <v>0.11196725258849025</v>
      </c>
      <c r="U8439" s="413">
        <v>0.26655429809776066</v>
      </c>
      <c r="V8439" s="504">
        <v>0</v>
      </c>
      <c r="W8439" s="504">
        <v>0</v>
      </c>
      <c r="X8439" s="504">
        <v>0</v>
      </c>
      <c r="Y8439" s="504">
        <v>0.41464001926318322</v>
      </c>
      <c r="Z8439" s="388">
        <v>43</v>
      </c>
      <c r="AA8439" s="388"/>
      <c r="AB8439" s="391"/>
      <c r="AC8439" s="392"/>
      <c r="AD8439" s="388">
        <v>8.2295999999999996</v>
      </c>
      <c r="AE8439" s="388">
        <v>0.6910493333333334</v>
      </c>
      <c r="AF8439" s="388"/>
      <c r="AG8439" s="388">
        <v>2.1231138642489586</v>
      </c>
      <c r="AH8439" s="391"/>
      <c r="AI8439" s="397"/>
      <c r="AJ8439" s="397"/>
      <c r="AK8439" s="392"/>
      <c r="AL8439" s="392"/>
      <c r="AM8439" s="392"/>
      <c r="AN8439" s="392"/>
      <c r="AO8439" s="392"/>
      <c r="AP8439" s="392"/>
      <c r="AQ8439" s="392"/>
      <c r="AR8439" s="392"/>
      <c r="AS8439" s="392"/>
      <c r="AT8439" s="392"/>
      <c r="AU8439" s="397"/>
      <c r="AV8439" s="397"/>
      <c r="AW8439" s="397"/>
      <c r="AX8439" s="397"/>
      <c r="AY8439" s="392"/>
      <c r="AZ8439" s="392"/>
      <c r="BA8439" s="392"/>
      <c r="BB8439" s="392"/>
      <c r="BC8439" s="392"/>
      <c r="BD8439" s="392"/>
      <c r="BE8439" s="392"/>
      <c r="BF8439" s="392"/>
      <c r="BG8439" s="392"/>
      <c r="BH8439" s="392"/>
      <c r="BI8439" s="397"/>
      <c r="BJ8439" s="397"/>
      <c r="BK8439" s="397"/>
      <c r="BL8439" s="397"/>
      <c r="BM8439" s="397"/>
      <c r="BN8439" s="397"/>
      <c r="BO8439" s="397"/>
      <c r="BP8439" s="397"/>
      <c r="BQ8439" s="397"/>
      <c r="BR8439" s="397"/>
      <c r="BS8439" s="397"/>
      <c r="BT8439" s="397"/>
      <c r="BU8439" s="397"/>
      <c r="BV8439" s="397"/>
      <c r="BW8439" s="397"/>
      <c r="BX8439" s="397"/>
      <c r="BY8439" s="397"/>
      <c r="BZ8439" s="397"/>
      <c r="CA8439" s="392"/>
      <c r="CB8439" s="392"/>
    </row>
    <row r="8440" spans="1:80" ht="15" x14ac:dyDescent="0.25">
      <c r="A8440" s="385"/>
      <c r="B8440" s="392"/>
      <c r="C8440" s="392"/>
      <c r="D8440" s="385"/>
      <c r="E8440" s="397"/>
      <c r="F8440" s="392"/>
      <c r="G8440" s="392"/>
      <c r="H8440" s="401"/>
      <c r="I8440" s="165">
        <v>5</v>
      </c>
      <c r="J8440" s="165">
        <v>240</v>
      </c>
      <c r="K8440" s="165">
        <v>1</v>
      </c>
      <c r="L8440" s="628"/>
      <c r="M8440" s="628"/>
      <c r="N8440" s="388">
        <f>341.30115990058*(0.028317)</f>
        <v>9.6646249449047232</v>
      </c>
      <c r="O8440" s="389">
        <v>0.14373</v>
      </c>
      <c r="P8440" s="413"/>
      <c r="Q8440" s="413">
        <v>0.12053850970569818</v>
      </c>
      <c r="R8440" s="413">
        <v>6.3243581715716965E-2</v>
      </c>
      <c r="S8440" s="413">
        <v>5.54164057608015E-2</v>
      </c>
      <c r="T8440" s="413">
        <v>9.4552285535378838E-2</v>
      </c>
      <c r="U8440" s="413">
        <v>0.17313713212273013</v>
      </c>
      <c r="V8440" s="504">
        <v>0</v>
      </c>
      <c r="W8440" s="504">
        <v>0</v>
      </c>
      <c r="X8440" s="504">
        <v>0</v>
      </c>
      <c r="Y8440" s="504">
        <v>0.49311208515967436</v>
      </c>
      <c r="Z8440" s="388">
        <v>73</v>
      </c>
      <c r="AA8440" s="388"/>
      <c r="AB8440" s="391"/>
      <c r="AC8440" s="392"/>
      <c r="AD8440" s="388">
        <v>8.2295999999999996</v>
      </c>
      <c r="AE8440" s="388"/>
      <c r="AF8440" s="388"/>
      <c r="AG8440" s="388"/>
      <c r="AH8440" s="391"/>
      <c r="AI8440" s="397"/>
      <c r="AJ8440" s="397"/>
      <c r="AK8440" s="392"/>
      <c r="AL8440" s="392"/>
      <c r="AM8440" s="392"/>
      <c r="AN8440" s="392"/>
      <c r="AO8440" s="392"/>
      <c r="AP8440" s="392"/>
      <c r="AQ8440" s="392"/>
      <c r="AR8440" s="392"/>
      <c r="AS8440" s="392"/>
      <c r="AT8440" s="392"/>
      <c r="AU8440" s="397"/>
      <c r="AV8440" s="397"/>
      <c r="AW8440" s="397"/>
      <c r="AX8440" s="397"/>
      <c r="AY8440" s="392"/>
      <c r="AZ8440" s="392"/>
      <c r="BA8440" s="392"/>
      <c r="BB8440" s="392"/>
      <c r="BC8440" s="392"/>
      <c r="BD8440" s="392"/>
      <c r="BE8440" s="392"/>
      <c r="BF8440" s="392"/>
      <c r="BG8440" s="392"/>
      <c r="BH8440" s="392"/>
      <c r="BI8440" s="397"/>
      <c r="BJ8440" s="397"/>
      <c r="BK8440" s="397"/>
      <c r="BL8440" s="397"/>
      <c r="BM8440" s="397"/>
      <c r="BN8440" s="397"/>
      <c r="BO8440" s="397"/>
      <c r="BP8440" s="397"/>
      <c r="BQ8440" s="397"/>
      <c r="BR8440" s="397"/>
      <c r="BS8440" s="397"/>
      <c r="BT8440" s="397"/>
      <c r="BU8440" s="397"/>
      <c r="BV8440" s="397"/>
      <c r="BW8440" s="397"/>
      <c r="BX8440" s="397"/>
      <c r="BY8440" s="397"/>
      <c r="BZ8440" s="397"/>
      <c r="CA8440" s="392"/>
      <c r="CB8440" s="392"/>
    </row>
    <row r="8441" spans="1:80" ht="15" x14ac:dyDescent="0.25">
      <c r="A8441" s="385"/>
      <c r="B8441" s="392"/>
      <c r="C8441" s="392"/>
      <c r="D8441" s="385"/>
      <c r="E8441" s="397"/>
      <c r="F8441" s="392"/>
      <c r="G8441" s="392"/>
      <c r="H8441" s="401"/>
      <c r="I8441" s="165">
        <v>5</v>
      </c>
      <c r="J8441" s="165">
        <v>240</v>
      </c>
      <c r="K8441" s="165">
        <v>1</v>
      </c>
      <c r="L8441" s="628"/>
      <c r="M8441" s="628"/>
      <c r="N8441" s="388">
        <f>310.232394366197*(0.028317)</f>
        <v>8.7848507112676</v>
      </c>
      <c r="O8441" s="389">
        <v>7.9379999999999992E-2</v>
      </c>
      <c r="P8441" s="413"/>
      <c r="Q8441" s="413">
        <v>0</v>
      </c>
      <c r="R8441" s="413"/>
      <c r="S8441" s="413"/>
      <c r="T8441" s="413">
        <v>0.22448979591836735</v>
      </c>
      <c r="U8441" s="413">
        <v>0.26360544217687076</v>
      </c>
      <c r="V8441" s="504">
        <v>0</v>
      </c>
      <c r="W8441" s="504">
        <v>0</v>
      </c>
      <c r="X8441" s="504">
        <v>0</v>
      </c>
      <c r="Y8441" s="504">
        <v>0.51190476190476186</v>
      </c>
      <c r="Z8441" s="388">
        <v>22</v>
      </c>
      <c r="AA8441" s="388"/>
      <c r="AB8441" s="391"/>
      <c r="AC8441" s="392"/>
      <c r="AD8441" s="388">
        <v>8.2295999999999996</v>
      </c>
      <c r="AE8441" s="388"/>
      <c r="AF8441" s="388"/>
      <c r="AG8441" s="388"/>
      <c r="AH8441" s="391"/>
      <c r="AI8441" s="397"/>
      <c r="AJ8441" s="397"/>
      <c r="AK8441" s="392"/>
      <c r="AL8441" s="392"/>
      <c r="AM8441" s="392"/>
      <c r="AN8441" s="392"/>
      <c r="AO8441" s="392"/>
      <c r="AP8441" s="392"/>
      <c r="AQ8441" s="392"/>
      <c r="AR8441" s="392"/>
      <c r="AS8441" s="392"/>
      <c r="AT8441" s="392"/>
      <c r="AU8441" s="397"/>
      <c r="AV8441" s="397"/>
      <c r="AW8441" s="397"/>
      <c r="AX8441" s="397"/>
      <c r="AY8441" s="392"/>
      <c r="AZ8441" s="392"/>
      <c r="BA8441" s="392"/>
      <c r="BB8441" s="392"/>
      <c r="BC8441" s="392"/>
      <c r="BD8441" s="392"/>
      <c r="BE8441" s="392"/>
      <c r="BF8441" s="392"/>
      <c r="BG8441" s="392"/>
      <c r="BH8441" s="392"/>
      <c r="BI8441" s="397"/>
      <c r="BJ8441" s="397"/>
      <c r="BK8441" s="397"/>
      <c r="BL8441" s="397"/>
      <c r="BM8441" s="397"/>
      <c r="BN8441" s="397"/>
      <c r="BO8441" s="397"/>
      <c r="BP8441" s="397"/>
      <c r="BQ8441" s="397"/>
      <c r="BR8441" s="397"/>
      <c r="BS8441" s="397"/>
      <c r="BT8441" s="397"/>
      <c r="BU8441" s="397"/>
      <c r="BV8441" s="397"/>
      <c r="BW8441" s="397"/>
      <c r="BX8441" s="397"/>
      <c r="BY8441" s="397"/>
      <c r="BZ8441" s="397"/>
      <c r="CA8441" s="392"/>
      <c r="CB8441" s="392"/>
    </row>
    <row r="8442" spans="1:80" ht="15" x14ac:dyDescent="0.25">
      <c r="A8442" s="385"/>
      <c r="B8442" s="392"/>
      <c r="C8442" s="392"/>
      <c r="D8442" s="385"/>
      <c r="E8442" s="397"/>
      <c r="F8442" s="392"/>
      <c r="G8442" s="392"/>
      <c r="H8442" s="401"/>
      <c r="I8442" s="165">
        <v>5</v>
      </c>
      <c r="J8442" s="165">
        <v>240</v>
      </c>
      <c r="K8442" s="165">
        <v>1</v>
      </c>
      <c r="L8442" s="628"/>
      <c r="M8442" s="628"/>
      <c r="N8442" s="388">
        <f>257.04*(0.028317)</f>
        <v>7.2786016800000004</v>
      </c>
      <c r="O8442" s="389">
        <v>6.6191666666666673E-3</v>
      </c>
      <c r="P8442" s="413"/>
      <c r="Q8442" s="413">
        <v>0</v>
      </c>
      <c r="R8442" s="413"/>
      <c r="S8442" s="413"/>
      <c r="T8442" s="413">
        <v>0</v>
      </c>
      <c r="U8442" s="413">
        <v>0.13017751479289941</v>
      </c>
      <c r="V8442" s="504">
        <v>0</v>
      </c>
      <c r="W8442" s="504">
        <v>0</v>
      </c>
      <c r="X8442" s="504">
        <v>0</v>
      </c>
      <c r="Y8442" s="504">
        <v>0.86982248520710059</v>
      </c>
      <c r="Z8442" s="388">
        <v>13</v>
      </c>
      <c r="AA8442" s="388"/>
      <c r="AB8442" s="391"/>
      <c r="AC8442" s="392"/>
      <c r="AD8442" s="388">
        <v>7.1628000000000007</v>
      </c>
      <c r="AE8442" s="388">
        <v>0.6562927659574469</v>
      </c>
      <c r="AF8442" s="388"/>
      <c r="AG8442" s="388">
        <v>1.5483523754940711</v>
      </c>
      <c r="AH8442" s="391"/>
      <c r="AI8442" s="397"/>
      <c r="AJ8442" s="397"/>
      <c r="AK8442" s="392"/>
      <c r="AL8442" s="392"/>
      <c r="AM8442" s="392"/>
      <c r="AN8442" s="392"/>
      <c r="AO8442" s="392"/>
      <c r="AP8442" s="392"/>
      <c r="AQ8442" s="392"/>
      <c r="AR8442" s="392"/>
      <c r="AS8442" s="392"/>
      <c r="AT8442" s="392"/>
      <c r="AU8442" s="397"/>
      <c r="AV8442" s="397"/>
      <c r="AW8442" s="397"/>
      <c r="AX8442" s="397"/>
      <c r="AY8442" s="392"/>
      <c r="AZ8442" s="392"/>
      <c r="BA8442" s="392"/>
      <c r="BB8442" s="392"/>
      <c r="BC8442" s="392"/>
      <c r="BD8442" s="392"/>
      <c r="BE8442" s="392"/>
      <c r="BF8442" s="392"/>
      <c r="BG8442" s="392"/>
      <c r="BH8442" s="392"/>
      <c r="BI8442" s="397"/>
      <c r="BJ8442" s="397"/>
      <c r="BK8442" s="397"/>
      <c r="BL8442" s="397"/>
      <c r="BM8442" s="397"/>
      <c r="BN8442" s="397"/>
      <c r="BO8442" s="397"/>
      <c r="BP8442" s="397"/>
      <c r="BQ8442" s="397"/>
      <c r="BR8442" s="397"/>
      <c r="BS8442" s="397"/>
      <c r="BT8442" s="397"/>
      <c r="BU8442" s="397"/>
      <c r="BV8442" s="397"/>
      <c r="BW8442" s="397"/>
      <c r="BX8442" s="397"/>
      <c r="BY8442" s="397"/>
      <c r="BZ8442" s="397"/>
      <c r="CA8442" s="392"/>
      <c r="CB8442" s="392"/>
    </row>
    <row r="8443" spans="1:80" ht="15" x14ac:dyDescent="0.25">
      <c r="A8443" s="385"/>
      <c r="B8443" s="392"/>
      <c r="C8443" s="392"/>
      <c r="D8443" s="385"/>
      <c r="E8443" s="397"/>
      <c r="F8443" s="392"/>
      <c r="G8443" s="392"/>
      <c r="H8443" s="401"/>
      <c r="I8443" s="165">
        <v>5</v>
      </c>
      <c r="J8443" s="165">
        <v>240</v>
      </c>
      <c r="K8443" s="165">
        <v>1</v>
      </c>
      <c r="L8443" s="628"/>
      <c r="M8443" s="628"/>
      <c r="N8443" s="388">
        <f>235.76*(0.028317)</f>
        <v>6.6760159199999993</v>
      </c>
      <c r="O8443" s="389">
        <v>0.12314</v>
      </c>
      <c r="P8443" s="413"/>
      <c r="Q8443" s="413">
        <v>3.4987277353689568E-2</v>
      </c>
      <c r="R8443" s="413">
        <v>0.1205470737913486</v>
      </c>
      <c r="S8443" s="413">
        <v>0.14790076335877864</v>
      </c>
      <c r="T8443" s="413">
        <v>0.17748091603053434</v>
      </c>
      <c r="U8443" s="413">
        <v>0.22519083969465647</v>
      </c>
      <c r="V8443" s="504">
        <v>0</v>
      </c>
      <c r="W8443" s="504">
        <v>0</v>
      </c>
      <c r="X8443" s="504">
        <v>0</v>
      </c>
      <c r="Y8443" s="504">
        <v>0.29389312977099236</v>
      </c>
      <c r="Z8443" s="388">
        <v>55</v>
      </c>
      <c r="AA8443" s="388"/>
      <c r="AB8443" s="391"/>
      <c r="AC8443" s="392"/>
      <c r="AD8443" s="388">
        <v>7.1628000000000007</v>
      </c>
      <c r="AE8443" s="388">
        <v>0.65305021276595743</v>
      </c>
      <c r="AF8443" s="388"/>
      <c r="AG8443" s="388">
        <v>1.4272101092353524</v>
      </c>
      <c r="AH8443" s="391"/>
      <c r="AI8443" s="397"/>
      <c r="AJ8443" s="397"/>
      <c r="AK8443" s="392"/>
      <c r="AL8443" s="392"/>
      <c r="AM8443" s="392"/>
      <c r="AN8443" s="392"/>
      <c r="AO8443" s="392"/>
      <c r="AP8443" s="392"/>
      <c r="AQ8443" s="392"/>
      <c r="AR8443" s="392"/>
      <c r="AS8443" s="392"/>
      <c r="AT8443" s="392"/>
      <c r="AU8443" s="397"/>
      <c r="AV8443" s="397"/>
      <c r="AW8443" s="397"/>
      <c r="AX8443" s="397"/>
      <c r="AY8443" s="392"/>
      <c r="AZ8443" s="392"/>
      <c r="BA8443" s="392"/>
      <c r="BB8443" s="392"/>
      <c r="BC8443" s="392"/>
      <c r="BD8443" s="392"/>
      <c r="BE8443" s="392"/>
      <c r="BF8443" s="392"/>
      <c r="BG8443" s="392"/>
      <c r="BH8443" s="392"/>
      <c r="BI8443" s="397"/>
      <c r="BJ8443" s="397"/>
      <c r="BK8443" s="397"/>
      <c r="BL8443" s="397"/>
      <c r="BM8443" s="397"/>
      <c r="BN8443" s="397"/>
      <c r="BO8443" s="397"/>
      <c r="BP8443" s="397"/>
      <c r="BQ8443" s="397"/>
      <c r="BR8443" s="397"/>
      <c r="BS8443" s="397"/>
      <c r="BT8443" s="397"/>
      <c r="BU8443" s="397"/>
      <c r="BV8443" s="397"/>
      <c r="BW8443" s="397"/>
      <c r="BX8443" s="397"/>
      <c r="BY8443" s="397"/>
      <c r="BZ8443" s="397"/>
      <c r="CA8443" s="392"/>
      <c r="CB8443" s="392"/>
    </row>
    <row r="8444" spans="1:80" ht="15" x14ac:dyDescent="0.25">
      <c r="A8444" s="385"/>
      <c r="B8444" s="392"/>
      <c r="C8444" s="392"/>
      <c r="D8444" s="385"/>
      <c r="E8444" s="397"/>
      <c r="F8444" s="392"/>
      <c r="G8444" s="392"/>
      <c r="H8444" s="401"/>
      <c r="I8444" s="165">
        <v>5</v>
      </c>
      <c r="J8444" s="165">
        <v>240</v>
      </c>
      <c r="K8444" s="165">
        <v>1</v>
      </c>
      <c r="L8444" s="628"/>
      <c r="M8444" s="628"/>
      <c r="N8444" s="388">
        <f>318.517398508699*(0.028317)</f>
        <v>9.019457173570828</v>
      </c>
      <c r="O8444" s="389">
        <v>4.0304E-2</v>
      </c>
      <c r="P8444" s="413"/>
      <c r="Q8444" s="413">
        <v>0</v>
      </c>
      <c r="R8444" s="413">
        <v>2.7292576419213975E-2</v>
      </c>
      <c r="S8444" s="413">
        <v>5.5676855895196505E-2</v>
      </c>
      <c r="T8444" s="413">
        <v>0.12663755458515283</v>
      </c>
      <c r="U8444" s="413">
        <v>0.21724890829694324</v>
      </c>
      <c r="V8444" s="504">
        <v>0</v>
      </c>
      <c r="W8444" s="504">
        <v>0</v>
      </c>
      <c r="X8444" s="504">
        <v>0</v>
      </c>
      <c r="Y8444" s="504">
        <v>0.57314410480349343</v>
      </c>
      <c r="Z8444" s="388">
        <v>19</v>
      </c>
      <c r="AA8444" s="388"/>
      <c r="AB8444" s="391"/>
      <c r="AC8444" s="392"/>
      <c r="AD8444" s="388">
        <v>8.0467200000000005</v>
      </c>
      <c r="AE8444" s="388"/>
      <c r="AF8444" s="388"/>
      <c r="AG8444" s="388"/>
      <c r="AH8444" s="391"/>
      <c r="AI8444" s="397"/>
      <c r="AJ8444" s="397"/>
      <c r="AK8444" s="392"/>
      <c r="AL8444" s="392"/>
      <c r="AM8444" s="392"/>
      <c r="AN8444" s="392"/>
      <c r="AO8444" s="392"/>
      <c r="AP8444" s="392"/>
      <c r="AQ8444" s="392"/>
      <c r="AR8444" s="392"/>
      <c r="AS8444" s="392"/>
      <c r="AT8444" s="392"/>
      <c r="AU8444" s="397"/>
      <c r="AV8444" s="397"/>
      <c r="AW8444" s="397"/>
      <c r="AX8444" s="397"/>
      <c r="AY8444" s="392"/>
      <c r="AZ8444" s="392"/>
      <c r="BA8444" s="392"/>
      <c r="BB8444" s="392"/>
      <c r="BC8444" s="392"/>
      <c r="BD8444" s="392"/>
      <c r="BE8444" s="392"/>
      <c r="BF8444" s="392"/>
      <c r="BG8444" s="392"/>
      <c r="BH8444" s="392"/>
      <c r="BI8444" s="397"/>
      <c r="BJ8444" s="397"/>
      <c r="BK8444" s="397"/>
      <c r="BL8444" s="397"/>
      <c r="BM8444" s="397"/>
      <c r="BN8444" s="397"/>
      <c r="BO8444" s="397"/>
      <c r="BP8444" s="397"/>
      <c r="BQ8444" s="397"/>
      <c r="BR8444" s="397"/>
      <c r="BS8444" s="397"/>
      <c r="BT8444" s="397"/>
      <c r="BU8444" s="397"/>
      <c r="BV8444" s="397"/>
      <c r="BW8444" s="397"/>
      <c r="BX8444" s="397"/>
      <c r="BY8444" s="397"/>
      <c r="BZ8444" s="397"/>
      <c r="CA8444" s="392"/>
      <c r="CB8444" s="392"/>
    </row>
    <row r="8445" spans="1:80" ht="15" x14ac:dyDescent="0.25">
      <c r="A8445" s="385"/>
      <c r="B8445" s="392"/>
      <c r="C8445" s="392"/>
      <c r="D8445" s="385"/>
      <c r="E8445" s="397"/>
      <c r="F8445" s="392"/>
      <c r="G8445" s="392"/>
      <c r="H8445" s="401"/>
      <c r="I8445" s="165">
        <v>5</v>
      </c>
      <c r="J8445" s="165">
        <v>240</v>
      </c>
      <c r="K8445" s="165">
        <v>1</v>
      </c>
      <c r="L8445" s="628"/>
      <c r="M8445" s="628"/>
      <c r="N8445" s="388">
        <f>260.522369511185*(0.028317)</f>
        <v>7.3772119374482248</v>
      </c>
      <c r="O8445" s="389">
        <v>0.155892</v>
      </c>
      <c r="P8445" s="413"/>
      <c r="Q8445" s="413">
        <v>3.8950042337002541E-2</v>
      </c>
      <c r="R8445" s="413">
        <v>0.12108382726502964</v>
      </c>
      <c r="S8445" s="413">
        <v>0.14253457521874119</v>
      </c>
      <c r="T8445" s="413">
        <v>0.2034998588766582</v>
      </c>
      <c r="U8445" s="413">
        <v>0.38724244990121365</v>
      </c>
      <c r="V8445" s="504">
        <v>0</v>
      </c>
      <c r="W8445" s="504">
        <v>0</v>
      </c>
      <c r="X8445" s="504">
        <v>0</v>
      </c>
      <c r="Y8445" s="504">
        <v>0.10668924640135478</v>
      </c>
      <c r="Z8445" s="388">
        <v>44</v>
      </c>
      <c r="AA8445" s="388"/>
      <c r="AB8445" s="391"/>
      <c r="AC8445" s="392"/>
      <c r="AD8445" s="388">
        <v>8.0467200000000005</v>
      </c>
      <c r="AE8445" s="388"/>
      <c r="AF8445" s="388"/>
      <c r="AG8445" s="388"/>
      <c r="AH8445" s="391"/>
      <c r="AI8445" s="397"/>
      <c r="AJ8445" s="397"/>
      <c r="AK8445" s="392"/>
      <c r="AL8445" s="392"/>
      <c r="AM8445" s="392"/>
      <c r="AN8445" s="392"/>
      <c r="AO8445" s="392"/>
      <c r="AP8445" s="392"/>
      <c r="AQ8445" s="392"/>
      <c r="AR8445" s="392"/>
      <c r="AS8445" s="392"/>
      <c r="AT8445" s="392"/>
      <c r="AU8445" s="397"/>
      <c r="AV8445" s="397"/>
      <c r="AW8445" s="397"/>
      <c r="AX8445" s="397"/>
      <c r="AY8445" s="392"/>
      <c r="AZ8445" s="392"/>
      <c r="BA8445" s="392"/>
      <c r="BB8445" s="392"/>
      <c r="BC8445" s="392"/>
      <c r="BD8445" s="392"/>
      <c r="BE8445" s="392"/>
      <c r="BF8445" s="392"/>
      <c r="BG8445" s="392"/>
      <c r="BH8445" s="392"/>
      <c r="BI8445" s="397"/>
      <c r="BJ8445" s="397"/>
      <c r="BK8445" s="397"/>
      <c r="BL8445" s="397"/>
      <c r="BM8445" s="397"/>
      <c r="BN8445" s="397"/>
      <c r="BO8445" s="397"/>
      <c r="BP8445" s="397"/>
      <c r="BQ8445" s="397"/>
      <c r="BR8445" s="397"/>
      <c r="BS8445" s="397"/>
      <c r="BT8445" s="397"/>
      <c r="BU8445" s="397"/>
      <c r="BV8445" s="397"/>
      <c r="BW8445" s="397"/>
      <c r="BX8445" s="397"/>
      <c r="BY8445" s="397"/>
      <c r="BZ8445" s="397"/>
      <c r="CA8445" s="392"/>
      <c r="CB8445" s="392"/>
    </row>
    <row r="8446" spans="1:80" ht="15" x14ac:dyDescent="0.25">
      <c r="A8446" s="385"/>
      <c r="B8446" s="392"/>
      <c r="C8446" s="392"/>
      <c r="D8446" s="385"/>
      <c r="E8446" s="397"/>
      <c r="F8446" s="392"/>
      <c r="G8446" s="392"/>
      <c r="H8446" s="401"/>
      <c r="I8446" s="165">
        <v>5</v>
      </c>
      <c r="J8446" s="165">
        <v>240</v>
      </c>
      <c r="K8446" s="165">
        <v>1</v>
      </c>
      <c r="L8446" s="628"/>
      <c r="M8446" s="628"/>
      <c r="N8446" s="388">
        <f>264.664871582436*(0.028317)</f>
        <v>7.4945151685998388</v>
      </c>
      <c r="O8446" s="389">
        <v>1.7512E-2</v>
      </c>
      <c r="P8446" s="413"/>
      <c r="Q8446" s="413"/>
      <c r="R8446" s="413"/>
      <c r="S8446" s="413"/>
      <c r="T8446" s="413"/>
      <c r="U8446" s="413"/>
      <c r="V8446" s="504">
        <v>0</v>
      </c>
      <c r="W8446" s="504">
        <v>0</v>
      </c>
      <c r="X8446" s="504">
        <v>0</v>
      </c>
      <c r="Y8446" s="504">
        <v>0.21105527638190955</v>
      </c>
      <c r="Z8446" s="388">
        <v>25</v>
      </c>
      <c r="AA8446" s="388"/>
      <c r="AB8446" s="391"/>
      <c r="AC8446" s="392"/>
      <c r="AD8446" s="388">
        <v>8.0467200000000005</v>
      </c>
      <c r="AE8446" s="388"/>
      <c r="AF8446" s="388"/>
      <c r="AG8446" s="388"/>
      <c r="AH8446" s="391"/>
      <c r="AI8446" s="397"/>
      <c r="AJ8446" s="397"/>
      <c r="AK8446" s="392"/>
      <c r="AL8446" s="392"/>
      <c r="AM8446" s="392"/>
      <c r="AN8446" s="392"/>
      <c r="AO8446" s="392"/>
      <c r="AP8446" s="392"/>
      <c r="AQ8446" s="392"/>
      <c r="AR8446" s="392"/>
      <c r="AS8446" s="392"/>
      <c r="AT8446" s="392"/>
      <c r="AU8446" s="397"/>
      <c r="AV8446" s="397"/>
      <c r="AW8446" s="397"/>
      <c r="AX8446" s="397"/>
      <c r="AY8446" s="392"/>
      <c r="AZ8446" s="392"/>
      <c r="BA8446" s="392"/>
      <c r="BB8446" s="392"/>
      <c r="BC8446" s="392"/>
      <c r="BD8446" s="392"/>
      <c r="BE8446" s="392"/>
      <c r="BF8446" s="392"/>
      <c r="BG8446" s="392"/>
      <c r="BH8446" s="392"/>
      <c r="BI8446" s="397"/>
      <c r="BJ8446" s="397"/>
      <c r="BK8446" s="397"/>
      <c r="BL8446" s="397"/>
      <c r="BM8446" s="397"/>
      <c r="BN8446" s="397"/>
      <c r="BO8446" s="397"/>
      <c r="BP8446" s="397"/>
      <c r="BQ8446" s="397"/>
      <c r="BR8446" s="397"/>
      <c r="BS8446" s="397"/>
      <c r="BT8446" s="397"/>
      <c r="BU8446" s="397"/>
      <c r="BV8446" s="397"/>
      <c r="BW8446" s="397"/>
      <c r="BX8446" s="397"/>
      <c r="BY8446" s="397"/>
      <c r="BZ8446" s="397"/>
      <c r="CA8446" s="392"/>
      <c r="CB8446" s="392"/>
    </row>
    <row r="8447" spans="1:80" ht="15" x14ac:dyDescent="0.25">
      <c r="A8447" s="385"/>
      <c r="B8447" s="392"/>
      <c r="C8447" s="392"/>
      <c r="D8447" s="385"/>
      <c r="E8447" s="397"/>
      <c r="F8447" s="392"/>
      <c r="G8447" s="392"/>
      <c r="H8447" s="401"/>
      <c r="I8447" s="165">
        <v>5</v>
      </c>
      <c r="J8447" s="165">
        <v>240</v>
      </c>
      <c r="K8447" s="165">
        <v>1</v>
      </c>
      <c r="L8447" s="628"/>
      <c r="M8447" s="628"/>
      <c r="N8447" s="388">
        <f>297.804888152444*(0.028317)</f>
        <v>8.4329410178127553</v>
      </c>
      <c r="O8447" s="389">
        <v>7.4099999999999991E-3</v>
      </c>
      <c r="P8447" s="413"/>
      <c r="Q8447" s="413"/>
      <c r="R8447" s="413"/>
      <c r="S8447" s="413"/>
      <c r="T8447" s="413"/>
      <c r="U8447" s="413"/>
      <c r="V8447" s="504">
        <v>0</v>
      </c>
      <c r="W8447" s="504">
        <v>0</v>
      </c>
      <c r="X8447" s="504">
        <v>0</v>
      </c>
      <c r="Y8447" s="504">
        <v>1.3508771929824561</v>
      </c>
      <c r="Z8447" s="388">
        <v>14</v>
      </c>
      <c r="AA8447" s="388"/>
      <c r="AB8447" s="391"/>
      <c r="AC8447" s="392"/>
      <c r="AD8447" s="388">
        <v>7.9248000000000003</v>
      </c>
      <c r="AE8447" s="388"/>
      <c r="AF8447" s="388"/>
      <c r="AG8447" s="388"/>
      <c r="AH8447" s="391"/>
      <c r="AI8447" s="397"/>
      <c r="AJ8447" s="397"/>
      <c r="AK8447" s="392"/>
      <c r="AL8447" s="392"/>
      <c r="AM8447" s="392"/>
      <c r="AN8447" s="392"/>
      <c r="AO8447" s="392"/>
      <c r="AP8447" s="392"/>
      <c r="AQ8447" s="392"/>
      <c r="AR8447" s="392"/>
      <c r="AS8447" s="392"/>
      <c r="AT8447" s="392"/>
      <c r="AU8447" s="397"/>
      <c r="AV8447" s="397"/>
      <c r="AW8447" s="397"/>
      <c r="AX8447" s="397"/>
      <c r="AY8447" s="392"/>
      <c r="AZ8447" s="392"/>
      <c r="BA8447" s="392"/>
      <c r="BB8447" s="392"/>
      <c r="BC8447" s="392"/>
      <c r="BD8447" s="392"/>
      <c r="BE8447" s="392"/>
      <c r="BF8447" s="392"/>
      <c r="BG8447" s="392"/>
      <c r="BH8447" s="392"/>
      <c r="BI8447" s="397"/>
      <c r="BJ8447" s="397"/>
      <c r="BK8447" s="397"/>
      <c r="BL8447" s="397"/>
      <c r="BM8447" s="397"/>
      <c r="BN8447" s="397"/>
      <c r="BO8447" s="397"/>
      <c r="BP8447" s="397"/>
      <c r="BQ8447" s="397"/>
      <c r="BR8447" s="397"/>
      <c r="BS8447" s="397"/>
      <c r="BT8447" s="397"/>
      <c r="BU8447" s="397"/>
      <c r="BV8447" s="397"/>
      <c r="BW8447" s="397"/>
      <c r="BX8447" s="397"/>
      <c r="BY8447" s="397"/>
      <c r="BZ8447" s="397"/>
      <c r="CA8447" s="392"/>
      <c r="CB8447" s="392"/>
    </row>
    <row r="8448" spans="1:80" ht="15" x14ac:dyDescent="0.25">
      <c r="A8448" s="385"/>
      <c r="B8448" s="392"/>
      <c r="C8448" s="392"/>
      <c r="D8448" s="385"/>
      <c r="E8448" s="397"/>
      <c r="F8448" s="392"/>
      <c r="G8448" s="392"/>
      <c r="H8448" s="401"/>
      <c r="I8448" s="165">
        <v>5</v>
      </c>
      <c r="J8448" s="165">
        <v>240</v>
      </c>
      <c r="K8448" s="165">
        <v>1</v>
      </c>
      <c r="L8448" s="628"/>
      <c r="M8448" s="628"/>
      <c r="N8448" s="388">
        <f>243.952361226181*(0.028317)</f>
        <v>6.907999012841767</v>
      </c>
      <c r="O8448" s="389">
        <v>6.8399999999999997E-3</v>
      </c>
      <c r="P8448" s="413"/>
      <c r="Q8448" s="413"/>
      <c r="R8448" s="413"/>
      <c r="S8448" s="413"/>
      <c r="T8448" s="413">
        <v>0.13450292397660818</v>
      </c>
      <c r="U8448" s="413">
        <v>0.12865497076023391</v>
      </c>
      <c r="V8448" s="504">
        <v>0</v>
      </c>
      <c r="W8448" s="504">
        <v>0</v>
      </c>
      <c r="X8448" s="504">
        <v>0</v>
      </c>
      <c r="Y8448" s="504">
        <v>0.73684210526315785</v>
      </c>
      <c r="Z8448" s="388">
        <v>15</v>
      </c>
      <c r="AA8448" s="388"/>
      <c r="AB8448" s="391"/>
      <c r="AC8448" s="392"/>
      <c r="AD8448" s="388">
        <v>7.3152000000000008</v>
      </c>
      <c r="AE8448" s="388"/>
      <c r="AF8448" s="388"/>
      <c r="AG8448" s="388"/>
      <c r="AH8448" s="391"/>
      <c r="AI8448" s="397"/>
      <c r="AJ8448" s="397"/>
      <c r="AK8448" s="392"/>
      <c r="AL8448" s="392"/>
      <c r="AM8448" s="392"/>
      <c r="AN8448" s="392"/>
      <c r="AO8448" s="392"/>
      <c r="AP8448" s="392"/>
      <c r="AQ8448" s="392"/>
      <c r="AR8448" s="392"/>
      <c r="AS8448" s="392"/>
      <c r="AT8448" s="392"/>
      <c r="AU8448" s="397"/>
      <c r="AV8448" s="397"/>
      <c r="AW8448" s="397"/>
      <c r="AX8448" s="397"/>
      <c r="AY8448" s="392"/>
      <c r="AZ8448" s="392"/>
      <c r="BA8448" s="392"/>
      <c r="BB8448" s="392"/>
      <c r="BC8448" s="392"/>
      <c r="BD8448" s="392"/>
      <c r="BE8448" s="392"/>
      <c r="BF8448" s="392"/>
      <c r="BG8448" s="392"/>
      <c r="BH8448" s="392"/>
      <c r="BI8448" s="397"/>
      <c r="BJ8448" s="397"/>
      <c r="BK8448" s="397"/>
      <c r="BL8448" s="397"/>
      <c r="BM8448" s="397"/>
      <c r="BN8448" s="397"/>
      <c r="BO8448" s="397"/>
      <c r="BP8448" s="397"/>
      <c r="BQ8448" s="397"/>
      <c r="BR8448" s="397"/>
      <c r="BS8448" s="397"/>
      <c r="BT8448" s="397"/>
      <c r="BU8448" s="397"/>
      <c r="BV8448" s="397"/>
      <c r="BW8448" s="397"/>
      <c r="BX8448" s="397"/>
      <c r="BY8448" s="397"/>
      <c r="BZ8448" s="397"/>
      <c r="CA8448" s="392"/>
      <c r="CB8448" s="392"/>
    </row>
    <row r="8449" spans="1:80" ht="15" x14ac:dyDescent="0.25">
      <c r="A8449" s="385"/>
      <c r="B8449" s="392"/>
      <c r="C8449" s="392"/>
      <c r="D8449" s="385"/>
      <c r="E8449" s="397"/>
      <c r="F8449" s="392"/>
      <c r="G8449" s="392"/>
      <c r="H8449" s="401"/>
      <c r="I8449" s="165">
        <v>5</v>
      </c>
      <c r="J8449" s="165">
        <v>240</v>
      </c>
      <c r="K8449" s="165">
        <v>1</v>
      </c>
      <c r="L8449" s="628"/>
      <c r="M8449" s="628"/>
      <c r="N8449" s="388">
        <f>293.662386081193*(0.028317)</f>
        <v>8.3156377866611422</v>
      </c>
      <c r="O8449" s="389">
        <v>4.5089999999999998E-2</v>
      </c>
      <c r="P8449" s="413"/>
      <c r="Q8449" s="413"/>
      <c r="R8449" s="413">
        <v>5.089820359281437E-2</v>
      </c>
      <c r="S8449" s="413">
        <v>0.10079840319361277</v>
      </c>
      <c r="T8449" s="413">
        <v>0.16267465069860279</v>
      </c>
      <c r="U8449" s="413">
        <v>0.28742514970059879</v>
      </c>
      <c r="V8449" s="504">
        <v>0</v>
      </c>
      <c r="W8449" s="504">
        <v>0</v>
      </c>
      <c r="X8449" s="504">
        <v>0</v>
      </c>
      <c r="Y8449" s="504">
        <v>0.39820359281437123</v>
      </c>
      <c r="Z8449" s="388">
        <v>33</v>
      </c>
      <c r="AA8449" s="388"/>
      <c r="AB8449" s="391"/>
      <c r="AC8449" s="392"/>
      <c r="AD8449" s="388">
        <v>8.2295999999999996</v>
      </c>
      <c r="AE8449" s="388"/>
      <c r="AF8449" s="388"/>
      <c r="AG8449" s="388"/>
      <c r="AH8449" s="391"/>
      <c r="AI8449" s="397"/>
      <c r="AJ8449" s="397"/>
      <c r="AK8449" s="392"/>
      <c r="AL8449" s="392"/>
      <c r="AM8449" s="392"/>
      <c r="AN8449" s="392"/>
      <c r="AO8449" s="392"/>
      <c r="AP8449" s="392"/>
      <c r="AQ8449" s="392"/>
      <c r="AR8449" s="392"/>
      <c r="AS8449" s="392"/>
      <c r="AT8449" s="392"/>
      <c r="AU8449" s="397"/>
      <c r="AV8449" s="397"/>
      <c r="AW8449" s="397"/>
      <c r="AX8449" s="397"/>
      <c r="AY8449" s="392"/>
      <c r="AZ8449" s="392"/>
      <c r="BA8449" s="392"/>
      <c r="BB8449" s="392"/>
      <c r="BC8449" s="392"/>
      <c r="BD8449" s="392"/>
      <c r="BE8449" s="392"/>
      <c r="BF8449" s="392"/>
      <c r="BG8449" s="392"/>
      <c r="BH8449" s="392"/>
      <c r="BI8449" s="397"/>
      <c r="BJ8449" s="397"/>
      <c r="BK8449" s="397"/>
      <c r="BL8449" s="397"/>
      <c r="BM8449" s="397"/>
      <c r="BN8449" s="397"/>
      <c r="BO8449" s="397"/>
      <c r="BP8449" s="397"/>
      <c r="BQ8449" s="397"/>
      <c r="BR8449" s="397"/>
      <c r="BS8449" s="397"/>
      <c r="BT8449" s="397"/>
      <c r="BU8449" s="397"/>
      <c r="BV8449" s="397"/>
      <c r="BW8449" s="397"/>
      <c r="BX8449" s="397"/>
      <c r="BY8449" s="397"/>
      <c r="BZ8449" s="397"/>
      <c r="CA8449" s="392"/>
      <c r="CB8449" s="392"/>
    </row>
    <row r="8450" spans="1:80" ht="15" x14ac:dyDescent="0.25">
      <c r="A8450" s="385"/>
      <c r="B8450" s="392"/>
      <c r="C8450" s="392"/>
      <c r="D8450" s="385"/>
      <c r="E8450" s="397"/>
      <c r="F8450" s="392"/>
      <c r="G8450" s="392"/>
      <c r="H8450" s="401"/>
      <c r="I8450" s="165">
        <v>5</v>
      </c>
      <c r="J8450" s="165">
        <v>240</v>
      </c>
      <c r="K8450" s="165">
        <v>1</v>
      </c>
      <c r="L8450" s="628"/>
      <c r="M8450" s="628"/>
      <c r="N8450" s="388">
        <f>268.807373653687*(0.028317)</f>
        <v>7.6118183997514546</v>
      </c>
      <c r="O8450" s="389">
        <v>1.7505E-2</v>
      </c>
      <c r="P8450" s="413"/>
      <c r="Q8450" s="413"/>
      <c r="R8450" s="413"/>
      <c r="S8450" s="413">
        <v>6.4267352185089971E-2</v>
      </c>
      <c r="T8450" s="413">
        <v>5.9125964010282778E-2</v>
      </c>
      <c r="U8450" s="413">
        <v>0.22879177377892032</v>
      </c>
      <c r="V8450" s="504">
        <v>0</v>
      </c>
      <c r="W8450" s="504">
        <v>0</v>
      </c>
      <c r="X8450" s="504">
        <v>0</v>
      </c>
      <c r="Y8450" s="504">
        <v>0.6478149100257069</v>
      </c>
      <c r="Z8450" s="388">
        <v>15</v>
      </c>
      <c r="AA8450" s="388"/>
      <c r="AB8450" s="391"/>
      <c r="AC8450" s="392"/>
      <c r="AD8450" s="388">
        <v>8.2295999999999996</v>
      </c>
      <c r="AE8450" s="388"/>
      <c r="AF8450" s="388"/>
      <c r="AG8450" s="388"/>
      <c r="AH8450" s="391"/>
      <c r="AI8450" s="397"/>
      <c r="AJ8450" s="397"/>
      <c r="AK8450" s="392"/>
      <c r="AL8450" s="392"/>
      <c r="AM8450" s="392"/>
      <c r="AN8450" s="392"/>
      <c r="AO8450" s="392"/>
      <c r="AP8450" s="392"/>
      <c r="AQ8450" s="392"/>
      <c r="AR8450" s="392"/>
      <c r="AS8450" s="392"/>
      <c r="AT8450" s="392"/>
      <c r="AU8450" s="397"/>
      <c r="AV8450" s="397"/>
      <c r="AW8450" s="397"/>
      <c r="AX8450" s="397"/>
      <c r="AY8450" s="392"/>
      <c r="AZ8450" s="392"/>
      <c r="BA8450" s="392"/>
      <c r="BB8450" s="392"/>
      <c r="BC8450" s="392"/>
      <c r="BD8450" s="392"/>
      <c r="BE8450" s="392"/>
      <c r="BF8450" s="392"/>
      <c r="BG8450" s="392"/>
      <c r="BH8450" s="392"/>
      <c r="BI8450" s="397"/>
      <c r="BJ8450" s="397"/>
      <c r="BK8450" s="397"/>
      <c r="BL8450" s="397"/>
      <c r="BM8450" s="397"/>
      <c r="BN8450" s="397"/>
      <c r="BO8450" s="397"/>
      <c r="BP8450" s="397"/>
      <c r="BQ8450" s="397"/>
      <c r="BR8450" s="397"/>
      <c r="BS8450" s="397"/>
      <c r="BT8450" s="397"/>
      <c r="BU8450" s="397"/>
      <c r="BV8450" s="397"/>
      <c r="BW8450" s="397"/>
      <c r="BX8450" s="397"/>
      <c r="BY8450" s="397"/>
      <c r="BZ8450" s="397"/>
      <c r="CA8450" s="392"/>
      <c r="CB8450" s="392"/>
    </row>
    <row r="8451" spans="1:80" ht="15" x14ac:dyDescent="0.25">
      <c r="A8451" s="385"/>
      <c r="B8451" s="392"/>
      <c r="C8451" s="392"/>
      <c r="D8451" s="385"/>
      <c r="E8451" s="397"/>
      <c r="F8451" s="392"/>
      <c r="G8451" s="392"/>
      <c r="H8451" s="401"/>
      <c r="I8451" s="165">
        <v>5</v>
      </c>
      <c r="J8451" s="165">
        <v>240</v>
      </c>
      <c r="K8451" s="165">
        <v>1</v>
      </c>
      <c r="L8451" s="628"/>
      <c r="M8451" s="628"/>
      <c r="N8451" s="388">
        <f>252.237365368683*(0.028317)</f>
        <v>7.1426054751449959</v>
      </c>
      <c r="O8451" s="389">
        <v>5.4911999999999996E-2</v>
      </c>
      <c r="P8451" s="413"/>
      <c r="Q8451" s="413">
        <v>6.6506410256410256E-2</v>
      </c>
      <c r="R8451" s="413">
        <v>6.0897435897435896E-2</v>
      </c>
      <c r="S8451" s="413">
        <v>8.0929487179487183E-2</v>
      </c>
      <c r="T8451" s="413">
        <v>0.14903846153846154</v>
      </c>
      <c r="U8451" s="413">
        <v>0.14182692307692307</v>
      </c>
      <c r="V8451" s="504">
        <v>0</v>
      </c>
      <c r="W8451" s="504">
        <v>0</v>
      </c>
      <c r="X8451" s="504">
        <v>0</v>
      </c>
      <c r="Y8451" s="504">
        <v>0.50080128205128205</v>
      </c>
      <c r="Z8451" s="388">
        <v>45</v>
      </c>
      <c r="AA8451" s="388"/>
      <c r="AB8451" s="391"/>
      <c r="AC8451" s="392"/>
      <c r="AD8451" s="388">
        <v>8.0467200000000005</v>
      </c>
      <c r="AE8451" s="388"/>
      <c r="AF8451" s="388"/>
      <c r="AG8451" s="388"/>
      <c r="AH8451" s="391"/>
      <c r="AI8451" s="397"/>
      <c r="AJ8451" s="397"/>
      <c r="AK8451" s="392"/>
      <c r="AL8451" s="392"/>
      <c r="AM8451" s="392"/>
      <c r="AN8451" s="392"/>
      <c r="AO8451" s="392"/>
      <c r="AP8451" s="392"/>
      <c r="AQ8451" s="392"/>
      <c r="AR8451" s="392"/>
      <c r="AS8451" s="392"/>
      <c r="AT8451" s="392"/>
      <c r="AU8451" s="397"/>
      <c r="AV8451" s="397"/>
      <c r="AW8451" s="397"/>
      <c r="AX8451" s="397"/>
      <c r="AY8451" s="392"/>
      <c r="AZ8451" s="392"/>
      <c r="BA8451" s="392"/>
      <c r="BB8451" s="392"/>
      <c r="BC8451" s="392"/>
      <c r="BD8451" s="392"/>
      <c r="BE8451" s="392"/>
      <c r="BF8451" s="392"/>
      <c r="BG8451" s="392"/>
      <c r="BH8451" s="392"/>
      <c r="BI8451" s="397"/>
      <c r="BJ8451" s="397"/>
      <c r="BK8451" s="397"/>
      <c r="BL8451" s="397"/>
      <c r="BM8451" s="397"/>
      <c r="BN8451" s="397"/>
      <c r="BO8451" s="397"/>
      <c r="BP8451" s="397"/>
      <c r="BQ8451" s="397"/>
      <c r="BR8451" s="397"/>
      <c r="BS8451" s="397"/>
      <c r="BT8451" s="397"/>
      <c r="BU8451" s="397"/>
      <c r="BV8451" s="397"/>
      <c r="BW8451" s="397"/>
      <c r="BX8451" s="397"/>
      <c r="BY8451" s="397"/>
      <c r="BZ8451" s="397"/>
      <c r="CA8451" s="392"/>
      <c r="CB8451" s="392"/>
    </row>
    <row r="8452" spans="1:80" ht="15" x14ac:dyDescent="0.25">
      <c r="A8452" s="385"/>
      <c r="B8452" s="392"/>
      <c r="C8452" s="392"/>
      <c r="D8452" s="385"/>
      <c r="E8452" s="397"/>
      <c r="F8452" s="392"/>
      <c r="G8452" s="392"/>
      <c r="H8452" s="401"/>
      <c r="I8452" s="165">
        <v>5</v>
      </c>
      <c r="J8452" s="165">
        <v>240</v>
      </c>
      <c r="K8452" s="165">
        <v>1</v>
      </c>
      <c r="L8452" s="628"/>
      <c r="M8452" s="628"/>
      <c r="N8452" s="388">
        <f>248.094863297432*(0.028317)</f>
        <v>7.0253022439933819</v>
      </c>
      <c r="O8452" s="389">
        <v>2.2019E-2</v>
      </c>
      <c r="P8452" s="413"/>
      <c r="Q8452" s="413"/>
      <c r="R8452" s="413">
        <v>0.13058419243986255</v>
      </c>
      <c r="S8452" s="413">
        <v>8.7628865979381437E-2</v>
      </c>
      <c r="T8452" s="413">
        <v>0.12027491408934708</v>
      </c>
      <c r="U8452" s="413">
        <v>0.22852233676975944</v>
      </c>
      <c r="V8452" s="504">
        <v>0</v>
      </c>
      <c r="W8452" s="504">
        <v>0</v>
      </c>
      <c r="X8452" s="504">
        <v>0</v>
      </c>
      <c r="Y8452" s="504">
        <v>0.4329896907216495</v>
      </c>
      <c r="Z8452" s="388">
        <v>50</v>
      </c>
      <c r="AA8452" s="388"/>
      <c r="AB8452" s="391"/>
      <c r="AC8452" s="392"/>
      <c r="AD8452" s="388">
        <v>6.9189600000000002</v>
      </c>
      <c r="AE8452" s="388"/>
      <c r="AF8452" s="388"/>
      <c r="AG8452" s="388"/>
      <c r="AH8452" s="391"/>
      <c r="AI8452" s="397"/>
      <c r="AJ8452" s="397"/>
      <c r="AK8452" s="392"/>
      <c r="AL8452" s="392"/>
      <c r="AM8452" s="392"/>
      <c r="AN8452" s="392"/>
      <c r="AO8452" s="392"/>
      <c r="AP8452" s="392"/>
      <c r="AQ8452" s="392"/>
      <c r="AR8452" s="392"/>
      <c r="AS8452" s="392"/>
      <c r="AT8452" s="392"/>
      <c r="AU8452" s="397"/>
      <c r="AV8452" s="397"/>
      <c r="AW8452" s="397"/>
      <c r="AX8452" s="397"/>
      <c r="AY8452" s="392"/>
      <c r="AZ8452" s="392"/>
      <c r="BA8452" s="392"/>
      <c r="BB8452" s="392"/>
      <c r="BC8452" s="392"/>
      <c r="BD8452" s="392"/>
      <c r="BE8452" s="392"/>
      <c r="BF8452" s="392"/>
      <c r="BG8452" s="392"/>
      <c r="BH8452" s="392"/>
      <c r="BI8452" s="397"/>
      <c r="BJ8452" s="397"/>
      <c r="BK8452" s="397"/>
      <c r="BL8452" s="397"/>
      <c r="BM8452" s="397"/>
      <c r="BN8452" s="397"/>
      <c r="BO8452" s="397"/>
      <c r="BP8452" s="397"/>
      <c r="BQ8452" s="397"/>
      <c r="BR8452" s="397"/>
      <c r="BS8452" s="397"/>
      <c r="BT8452" s="397"/>
      <c r="BU8452" s="397"/>
      <c r="BV8452" s="397"/>
      <c r="BW8452" s="397"/>
      <c r="BX8452" s="397"/>
      <c r="BY8452" s="397"/>
      <c r="BZ8452" s="397"/>
      <c r="CA8452" s="392"/>
      <c r="CB8452" s="392"/>
    </row>
    <row r="8453" spans="1:80" ht="15" x14ac:dyDescent="0.25">
      <c r="A8453" s="385"/>
      <c r="B8453" s="392"/>
      <c r="C8453" s="392"/>
      <c r="D8453" s="385"/>
      <c r="E8453" s="397"/>
      <c r="F8453" s="392"/>
      <c r="G8453" s="392"/>
      <c r="H8453" s="401"/>
      <c r="I8453" s="165">
        <v>5</v>
      </c>
      <c r="J8453" s="165">
        <v>240</v>
      </c>
      <c r="K8453" s="165">
        <v>1</v>
      </c>
      <c r="L8453" s="628"/>
      <c r="M8453" s="628"/>
      <c r="N8453" s="388">
        <f>194.242336371168*(0.028317)</f>
        <v>5.5003602390223634</v>
      </c>
      <c r="O8453" s="389">
        <v>1.848E-3</v>
      </c>
      <c r="P8453" s="413"/>
      <c r="Q8453" s="413"/>
      <c r="R8453" s="413"/>
      <c r="S8453" s="413"/>
      <c r="T8453" s="413"/>
      <c r="U8453" s="413"/>
      <c r="V8453" s="504">
        <v>0</v>
      </c>
      <c r="W8453" s="504">
        <v>0</v>
      </c>
      <c r="X8453" s="504">
        <v>0</v>
      </c>
      <c r="Y8453" s="504">
        <v>1</v>
      </c>
      <c r="Z8453" s="388">
        <v>1</v>
      </c>
      <c r="AA8453" s="388"/>
      <c r="AB8453" s="391"/>
      <c r="AC8453" s="392"/>
      <c r="AD8453" s="388">
        <v>8.0467200000000005</v>
      </c>
      <c r="AE8453" s="388"/>
      <c r="AF8453" s="388"/>
      <c r="AG8453" s="388"/>
      <c r="AH8453" s="391"/>
      <c r="AI8453" s="397"/>
      <c r="AJ8453" s="397"/>
      <c r="AK8453" s="392"/>
      <c r="AL8453" s="392"/>
      <c r="AM8453" s="392"/>
      <c r="AN8453" s="392"/>
      <c r="AO8453" s="392"/>
      <c r="AP8453" s="392"/>
      <c r="AQ8453" s="392"/>
      <c r="AR8453" s="392"/>
      <c r="AS8453" s="392"/>
      <c r="AT8453" s="392"/>
      <c r="AU8453" s="397"/>
      <c r="AV8453" s="397"/>
      <c r="AW8453" s="397"/>
      <c r="AX8453" s="397"/>
      <c r="AY8453" s="392"/>
      <c r="AZ8453" s="392"/>
      <c r="BA8453" s="392"/>
      <c r="BB8453" s="392"/>
      <c r="BC8453" s="392"/>
      <c r="BD8453" s="392"/>
      <c r="BE8453" s="392"/>
      <c r="BF8453" s="392"/>
      <c r="BG8453" s="392"/>
      <c r="BH8453" s="392"/>
      <c r="BI8453" s="397"/>
      <c r="BJ8453" s="397"/>
      <c r="BK8453" s="397"/>
      <c r="BL8453" s="397"/>
      <c r="BM8453" s="397"/>
      <c r="BN8453" s="397"/>
      <c r="BO8453" s="397"/>
      <c r="BP8453" s="397"/>
      <c r="BQ8453" s="397"/>
      <c r="BR8453" s="397"/>
      <c r="BS8453" s="397"/>
      <c r="BT8453" s="397"/>
      <c r="BU8453" s="397"/>
      <c r="BV8453" s="397"/>
      <c r="BW8453" s="397"/>
      <c r="BX8453" s="397"/>
      <c r="BY8453" s="397"/>
      <c r="BZ8453" s="397"/>
      <c r="CA8453" s="392"/>
      <c r="CB8453" s="392"/>
    </row>
    <row r="8454" spans="1:80" ht="15" x14ac:dyDescent="0.25">
      <c r="A8454" s="385"/>
      <c r="B8454" s="392"/>
      <c r="C8454" s="392"/>
      <c r="D8454" s="385"/>
      <c r="E8454" s="397"/>
      <c r="F8454" s="392"/>
      <c r="G8454" s="392"/>
      <c r="H8454" s="401"/>
      <c r="I8454" s="165">
        <v>5</v>
      </c>
      <c r="J8454" s="165">
        <v>240</v>
      </c>
      <c r="K8454" s="165">
        <v>1</v>
      </c>
      <c r="L8454" s="628"/>
      <c r="M8454" s="628"/>
      <c r="N8454" s="388">
        <f>198.384838442419*(0.028317)</f>
        <v>5.6176634701739792</v>
      </c>
      <c r="O8454" s="389">
        <v>1.0515999999999999E-2</v>
      </c>
      <c r="P8454" s="413"/>
      <c r="Q8454" s="413"/>
      <c r="R8454" s="413">
        <v>0.10460251046025104</v>
      </c>
      <c r="S8454" s="413">
        <v>0</v>
      </c>
      <c r="T8454" s="413">
        <v>9.6234309623430964E-2</v>
      </c>
      <c r="U8454" s="413">
        <v>0.18410041841004185</v>
      </c>
      <c r="V8454" s="504">
        <v>0</v>
      </c>
      <c r="W8454" s="504">
        <v>0</v>
      </c>
      <c r="X8454" s="504">
        <v>0</v>
      </c>
      <c r="Y8454" s="504">
        <v>0.61506276150627615</v>
      </c>
      <c r="Z8454" s="388">
        <v>18</v>
      </c>
      <c r="AA8454" s="388"/>
      <c r="AB8454" s="391"/>
      <c r="AC8454" s="392"/>
      <c r="AD8454" s="388">
        <v>8.0467200000000005</v>
      </c>
      <c r="AE8454" s="388"/>
      <c r="AF8454" s="388"/>
      <c r="AG8454" s="388"/>
      <c r="AH8454" s="391"/>
      <c r="AI8454" s="397"/>
      <c r="AJ8454" s="397"/>
      <c r="AK8454" s="392"/>
      <c r="AL8454" s="392"/>
      <c r="AM8454" s="392"/>
      <c r="AN8454" s="392"/>
      <c r="AO8454" s="392"/>
      <c r="AP8454" s="392"/>
      <c r="AQ8454" s="392"/>
      <c r="AR8454" s="392"/>
      <c r="AS8454" s="392"/>
      <c r="AT8454" s="392"/>
      <c r="AU8454" s="397"/>
      <c r="AV8454" s="397"/>
      <c r="AW8454" s="397"/>
      <c r="AX8454" s="397"/>
      <c r="AY8454" s="392"/>
      <c r="AZ8454" s="392"/>
      <c r="BA8454" s="392"/>
      <c r="BB8454" s="392"/>
      <c r="BC8454" s="392"/>
      <c r="BD8454" s="392"/>
      <c r="BE8454" s="392"/>
      <c r="BF8454" s="392"/>
      <c r="BG8454" s="392"/>
      <c r="BH8454" s="392"/>
      <c r="BI8454" s="397"/>
      <c r="BJ8454" s="397"/>
      <c r="BK8454" s="397"/>
      <c r="BL8454" s="397"/>
      <c r="BM8454" s="397"/>
      <c r="BN8454" s="397"/>
      <c r="BO8454" s="397"/>
      <c r="BP8454" s="397"/>
      <c r="BQ8454" s="397"/>
      <c r="BR8454" s="397"/>
      <c r="BS8454" s="397"/>
      <c r="BT8454" s="397"/>
      <c r="BU8454" s="397"/>
      <c r="BV8454" s="397"/>
      <c r="BW8454" s="397"/>
      <c r="BX8454" s="397"/>
      <c r="BY8454" s="397"/>
      <c r="BZ8454" s="397"/>
      <c r="CA8454" s="392"/>
      <c r="CB8454" s="392"/>
    </row>
    <row r="8455" spans="1:80" ht="15" x14ac:dyDescent="0.25">
      <c r="A8455" s="385"/>
      <c r="B8455" s="392"/>
      <c r="C8455" s="392"/>
      <c r="D8455" s="385"/>
      <c r="E8455" s="397"/>
      <c r="F8455" s="392"/>
      <c r="G8455" s="392"/>
      <c r="H8455" s="401"/>
      <c r="I8455" s="165">
        <v>5</v>
      </c>
      <c r="J8455" s="165">
        <v>240</v>
      </c>
      <c r="K8455" s="165">
        <v>1</v>
      </c>
      <c r="L8455" s="628"/>
      <c r="M8455" s="628"/>
      <c r="N8455" s="388">
        <f>136.247307373654*(0.028317)</f>
        <v>3.8581150028997602</v>
      </c>
      <c r="O8455" s="389">
        <v>9.2400000000000002E-4</v>
      </c>
      <c r="P8455" s="413"/>
      <c r="Q8455" s="413"/>
      <c r="R8455" s="413"/>
      <c r="S8455" s="413"/>
      <c r="T8455" s="413"/>
      <c r="U8455" s="413"/>
      <c r="V8455" s="504">
        <v>0</v>
      </c>
      <c r="W8455" s="504">
        <v>0</v>
      </c>
      <c r="X8455" s="504">
        <v>0</v>
      </c>
      <c r="Y8455" s="504">
        <v>1</v>
      </c>
      <c r="Z8455" s="388">
        <v>1</v>
      </c>
      <c r="AA8455" s="388"/>
      <c r="AB8455" s="391"/>
      <c r="AC8455" s="392"/>
      <c r="AD8455" s="388">
        <v>8.0467200000000005</v>
      </c>
      <c r="AE8455" s="388"/>
      <c r="AF8455" s="388"/>
      <c r="AG8455" s="388"/>
      <c r="AH8455" s="391"/>
      <c r="AI8455" s="397"/>
      <c r="AJ8455" s="397"/>
      <c r="AK8455" s="392"/>
      <c r="AL8455" s="392"/>
      <c r="AM8455" s="392"/>
      <c r="AN8455" s="392"/>
      <c r="AO8455" s="392"/>
      <c r="AP8455" s="392"/>
      <c r="AQ8455" s="392"/>
      <c r="AR8455" s="392"/>
      <c r="AS8455" s="392"/>
      <c r="AT8455" s="392"/>
      <c r="AU8455" s="397"/>
      <c r="AV8455" s="397"/>
      <c r="AW8455" s="397"/>
      <c r="AX8455" s="397"/>
      <c r="AY8455" s="392"/>
      <c r="AZ8455" s="392"/>
      <c r="BA8455" s="392"/>
      <c r="BB8455" s="392"/>
      <c r="BC8455" s="392"/>
      <c r="BD8455" s="392"/>
      <c r="BE8455" s="392"/>
      <c r="BF8455" s="392"/>
      <c r="BG8455" s="392"/>
      <c r="BH8455" s="392"/>
      <c r="BI8455" s="397"/>
      <c r="BJ8455" s="397"/>
      <c r="BK8455" s="397"/>
      <c r="BL8455" s="397"/>
      <c r="BM8455" s="397"/>
      <c r="BN8455" s="397"/>
      <c r="BO8455" s="397"/>
      <c r="BP8455" s="397"/>
      <c r="BQ8455" s="397"/>
      <c r="BR8455" s="397"/>
      <c r="BS8455" s="397"/>
      <c r="BT8455" s="397"/>
      <c r="BU8455" s="397"/>
      <c r="BV8455" s="397"/>
      <c r="BW8455" s="397"/>
      <c r="BX8455" s="397"/>
      <c r="BY8455" s="397"/>
      <c r="BZ8455" s="397"/>
      <c r="CA8455" s="392"/>
      <c r="CB8455" s="392"/>
    </row>
    <row r="8456" spans="1:80" ht="15" x14ac:dyDescent="0.25">
      <c r="A8456" s="385"/>
      <c r="B8456" s="392"/>
      <c r="C8456" s="392"/>
      <c r="D8456" s="385"/>
      <c r="E8456" s="397"/>
      <c r="F8456" s="392"/>
      <c r="G8456" s="392"/>
      <c r="H8456" s="401"/>
      <c r="I8456" s="165">
        <v>5</v>
      </c>
      <c r="J8456" s="165">
        <v>240</v>
      </c>
      <c r="K8456" s="165">
        <v>1</v>
      </c>
      <c r="L8456" s="628"/>
      <c r="M8456" s="628"/>
      <c r="N8456" s="388">
        <f>161.10231980116*(0.028317)</f>
        <v>4.5619343898094478</v>
      </c>
      <c r="O8456" s="389">
        <v>1.848E-3</v>
      </c>
      <c r="P8456" s="413"/>
      <c r="Q8456" s="413"/>
      <c r="R8456" s="413"/>
      <c r="S8456" s="413"/>
      <c r="T8456" s="413"/>
      <c r="U8456" s="413"/>
      <c r="V8456" s="504">
        <v>0</v>
      </c>
      <c r="W8456" s="504">
        <v>0</v>
      </c>
      <c r="X8456" s="504">
        <v>0</v>
      </c>
      <c r="Y8456" s="504">
        <v>1</v>
      </c>
      <c r="Z8456" s="388">
        <v>1</v>
      </c>
      <c r="AA8456" s="388"/>
      <c r="AB8456" s="391"/>
      <c r="AC8456" s="392"/>
      <c r="AD8456" s="388">
        <v>8.0467200000000005</v>
      </c>
      <c r="AE8456" s="388"/>
      <c r="AF8456" s="388"/>
      <c r="AG8456" s="388"/>
      <c r="AH8456" s="391"/>
      <c r="AI8456" s="397"/>
      <c r="AJ8456" s="397"/>
      <c r="AK8456" s="392"/>
      <c r="AL8456" s="392"/>
      <c r="AM8456" s="392"/>
      <c r="AN8456" s="392"/>
      <c r="AO8456" s="392"/>
      <c r="AP8456" s="392"/>
      <c r="AQ8456" s="392"/>
      <c r="AR8456" s="392"/>
      <c r="AS8456" s="392"/>
      <c r="AT8456" s="392"/>
      <c r="AU8456" s="397"/>
      <c r="AV8456" s="397"/>
      <c r="AW8456" s="397"/>
      <c r="AX8456" s="397"/>
      <c r="AY8456" s="392"/>
      <c r="AZ8456" s="392"/>
      <c r="BA8456" s="392"/>
      <c r="BB8456" s="392"/>
      <c r="BC8456" s="392"/>
      <c r="BD8456" s="392"/>
      <c r="BE8456" s="392"/>
      <c r="BF8456" s="392"/>
      <c r="BG8456" s="392"/>
      <c r="BH8456" s="392"/>
      <c r="BI8456" s="397"/>
      <c r="BJ8456" s="397"/>
      <c r="BK8456" s="397"/>
      <c r="BL8456" s="397"/>
      <c r="BM8456" s="397"/>
      <c r="BN8456" s="397"/>
      <c r="BO8456" s="397"/>
      <c r="BP8456" s="397"/>
      <c r="BQ8456" s="397"/>
      <c r="BR8456" s="397"/>
      <c r="BS8456" s="397"/>
      <c r="BT8456" s="397"/>
      <c r="BU8456" s="397"/>
      <c r="BV8456" s="397"/>
      <c r="BW8456" s="397"/>
      <c r="BX8456" s="397"/>
      <c r="BY8456" s="397"/>
      <c r="BZ8456" s="397"/>
      <c r="CA8456" s="392"/>
      <c r="CB8456" s="392"/>
    </row>
    <row r="8457" spans="1:80" ht="15" x14ac:dyDescent="0.25">
      <c r="A8457" s="385"/>
      <c r="B8457" s="392"/>
      <c r="C8457" s="392"/>
      <c r="D8457" s="385"/>
      <c r="E8457" s="397"/>
      <c r="F8457" s="392"/>
      <c r="G8457" s="392"/>
      <c r="H8457" s="401"/>
      <c r="I8457" s="165">
        <v>5</v>
      </c>
      <c r="J8457" s="165">
        <v>240</v>
      </c>
      <c r="K8457" s="165">
        <v>1</v>
      </c>
      <c r="L8457" s="628"/>
      <c r="M8457" s="628"/>
      <c r="N8457" s="388">
        <f>138.318558409279*(0.028317)</f>
        <v>3.9167666184755534</v>
      </c>
      <c r="O8457" s="389">
        <v>1.848E-3</v>
      </c>
      <c r="P8457" s="413"/>
      <c r="Q8457" s="413"/>
      <c r="R8457" s="413"/>
      <c r="S8457" s="413"/>
      <c r="T8457" s="413"/>
      <c r="U8457" s="413"/>
      <c r="V8457" s="504">
        <v>0</v>
      </c>
      <c r="W8457" s="504">
        <v>0</v>
      </c>
      <c r="X8457" s="504">
        <v>0</v>
      </c>
      <c r="Y8457" s="504">
        <v>1</v>
      </c>
      <c r="Z8457" s="388">
        <v>10</v>
      </c>
      <c r="AA8457" s="388"/>
      <c r="AB8457" s="391"/>
      <c r="AC8457" s="392"/>
      <c r="AD8457" s="388">
        <v>8.0467200000000005</v>
      </c>
      <c r="AE8457" s="388"/>
      <c r="AF8457" s="388"/>
      <c r="AG8457" s="388"/>
      <c r="AH8457" s="391"/>
      <c r="AI8457" s="397"/>
      <c r="AJ8457" s="397"/>
      <c r="AK8457" s="392"/>
      <c r="AL8457" s="392"/>
      <c r="AM8457" s="392"/>
      <c r="AN8457" s="392"/>
      <c r="AO8457" s="392"/>
      <c r="AP8457" s="392"/>
      <c r="AQ8457" s="392"/>
      <c r="AR8457" s="392"/>
      <c r="AS8457" s="392"/>
      <c r="AT8457" s="392"/>
      <c r="AU8457" s="397"/>
      <c r="AV8457" s="397"/>
      <c r="AW8457" s="397"/>
      <c r="AX8457" s="397"/>
      <c r="AY8457" s="392"/>
      <c r="AZ8457" s="392"/>
      <c r="BA8457" s="392"/>
      <c r="BB8457" s="392"/>
      <c r="BC8457" s="392"/>
      <c r="BD8457" s="392"/>
      <c r="BE8457" s="392"/>
      <c r="BF8457" s="392"/>
      <c r="BG8457" s="392"/>
      <c r="BH8457" s="392"/>
      <c r="BI8457" s="397"/>
      <c r="BJ8457" s="397"/>
      <c r="BK8457" s="397"/>
      <c r="BL8457" s="397"/>
      <c r="BM8457" s="397"/>
      <c r="BN8457" s="397"/>
      <c r="BO8457" s="397"/>
      <c r="BP8457" s="397"/>
      <c r="BQ8457" s="397"/>
      <c r="BR8457" s="397"/>
      <c r="BS8457" s="397"/>
      <c r="BT8457" s="397"/>
      <c r="BU8457" s="397"/>
      <c r="BV8457" s="397"/>
      <c r="BW8457" s="397"/>
      <c r="BX8457" s="397"/>
      <c r="BY8457" s="397"/>
      <c r="BZ8457" s="397"/>
      <c r="CA8457" s="392"/>
      <c r="CB8457" s="392"/>
    </row>
    <row r="8458" spans="1:80" ht="15" x14ac:dyDescent="0.25">
      <c r="A8458" s="385"/>
      <c r="B8458" s="392"/>
      <c r="C8458" s="392"/>
      <c r="D8458" s="385"/>
      <c r="E8458" s="397"/>
      <c r="F8458" s="392"/>
      <c r="G8458" s="392"/>
      <c r="H8458" s="401"/>
      <c r="I8458" s="165">
        <v>5</v>
      </c>
      <c r="J8458" s="165">
        <v>240</v>
      </c>
      <c r="K8458" s="165">
        <v>1</v>
      </c>
      <c r="L8458" s="628"/>
      <c r="M8458" s="628"/>
      <c r="N8458" s="388"/>
      <c r="O8458" s="389"/>
      <c r="P8458" s="413"/>
      <c r="Q8458" s="413"/>
      <c r="R8458" s="413"/>
      <c r="S8458" s="413"/>
      <c r="T8458" s="413"/>
      <c r="U8458" s="413"/>
      <c r="V8458" s="504">
        <v>0</v>
      </c>
      <c r="W8458" s="504">
        <v>0</v>
      </c>
      <c r="X8458" s="504">
        <v>0</v>
      </c>
      <c r="Y8458" s="504">
        <v>1</v>
      </c>
      <c r="Z8458" s="388">
        <v>1</v>
      </c>
      <c r="AA8458" s="388"/>
      <c r="AB8458" s="391"/>
      <c r="AC8458" s="392"/>
      <c r="AD8458" s="388">
        <v>8.0467200000000005</v>
      </c>
      <c r="AE8458" s="388"/>
      <c r="AF8458" s="388"/>
      <c r="AG8458" s="388"/>
      <c r="AH8458" s="391"/>
      <c r="AI8458" s="397"/>
      <c r="AJ8458" s="397"/>
      <c r="AK8458" s="392"/>
      <c r="AL8458" s="392"/>
      <c r="AM8458" s="392"/>
      <c r="AN8458" s="392"/>
      <c r="AO8458" s="392"/>
      <c r="AP8458" s="392"/>
      <c r="AQ8458" s="392"/>
      <c r="AR8458" s="392"/>
      <c r="AS8458" s="392"/>
      <c r="AT8458" s="392"/>
      <c r="AU8458" s="397"/>
      <c r="AV8458" s="397"/>
      <c r="AW8458" s="397"/>
      <c r="AX8458" s="397"/>
      <c r="AY8458" s="392"/>
      <c r="AZ8458" s="392"/>
      <c r="BA8458" s="392"/>
      <c r="BB8458" s="392"/>
      <c r="BC8458" s="392"/>
      <c r="BD8458" s="392"/>
      <c r="BE8458" s="392"/>
      <c r="BF8458" s="392"/>
      <c r="BG8458" s="392"/>
      <c r="BH8458" s="392"/>
      <c r="BI8458" s="397"/>
      <c r="BJ8458" s="397"/>
      <c r="BK8458" s="397"/>
      <c r="BL8458" s="397"/>
      <c r="BM8458" s="397"/>
      <c r="BN8458" s="397"/>
      <c r="BO8458" s="397"/>
      <c r="BP8458" s="397"/>
      <c r="BQ8458" s="397"/>
      <c r="BR8458" s="397"/>
      <c r="BS8458" s="397"/>
      <c r="BT8458" s="397"/>
      <c r="BU8458" s="397"/>
      <c r="BV8458" s="397"/>
      <c r="BW8458" s="397"/>
      <c r="BX8458" s="397"/>
      <c r="BY8458" s="397"/>
      <c r="BZ8458" s="397"/>
      <c r="CA8458" s="392"/>
      <c r="CB8458" s="392"/>
    </row>
    <row r="8459" spans="1:80" ht="15" x14ac:dyDescent="0.25">
      <c r="A8459" s="385"/>
      <c r="B8459" s="392"/>
      <c r="C8459" s="392"/>
      <c r="D8459" s="385"/>
      <c r="E8459" s="397"/>
      <c r="F8459" s="392"/>
      <c r="G8459" s="392"/>
      <c r="H8459" s="401"/>
      <c r="I8459" s="165">
        <v>5</v>
      </c>
      <c r="J8459" s="165">
        <v>240</v>
      </c>
      <c r="K8459" s="165">
        <v>1</v>
      </c>
      <c r="L8459" s="628"/>
      <c r="M8459" s="628"/>
      <c r="N8459" s="388">
        <f>94.2*(0.028317)</f>
        <v>2.6674614000000001</v>
      </c>
      <c r="O8459" s="389">
        <v>9.2400000000000002E-4</v>
      </c>
      <c r="P8459" s="413"/>
      <c r="Q8459" s="413"/>
      <c r="R8459" s="413"/>
      <c r="S8459" s="413"/>
      <c r="T8459" s="413"/>
      <c r="U8459" s="413"/>
      <c r="V8459" s="504">
        <v>0</v>
      </c>
      <c r="W8459" s="504">
        <v>0</v>
      </c>
      <c r="X8459" s="504">
        <v>0</v>
      </c>
      <c r="Y8459" s="504">
        <v>1</v>
      </c>
      <c r="Z8459" s="388">
        <v>10</v>
      </c>
      <c r="AA8459" s="388"/>
      <c r="AB8459" s="391"/>
      <c r="AC8459" s="392"/>
      <c r="AD8459" s="388">
        <v>8.0467200000000005</v>
      </c>
      <c r="AE8459" s="388"/>
      <c r="AF8459" s="388"/>
      <c r="AG8459" s="388"/>
      <c r="AH8459" s="391"/>
      <c r="AI8459" s="397"/>
      <c r="AJ8459" s="397"/>
      <c r="AK8459" s="392"/>
      <c r="AL8459" s="392"/>
      <c r="AM8459" s="392"/>
      <c r="AN8459" s="392"/>
      <c r="AO8459" s="392"/>
      <c r="AP8459" s="392"/>
      <c r="AQ8459" s="392"/>
      <c r="AR8459" s="392"/>
      <c r="AS8459" s="392"/>
      <c r="AT8459" s="392"/>
      <c r="AU8459" s="397"/>
      <c r="AV8459" s="397"/>
      <c r="AW8459" s="397"/>
      <c r="AX8459" s="397"/>
      <c r="AY8459" s="392"/>
      <c r="AZ8459" s="392"/>
      <c r="BA8459" s="392"/>
      <c r="BB8459" s="392"/>
      <c r="BC8459" s="392"/>
      <c r="BD8459" s="392"/>
      <c r="BE8459" s="392"/>
      <c r="BF8459" s="392"/>
      <c r="BG8459" s="392"/>
      <c r="BH8459" s="392"/>
      <c r="BI8459" s="397"/>
      <c r="BJ8459" s="397"/>
      <c r="BK8459" s="397"/>
      <c r="BL8459" s="397"/>
      <c r="BM8459" s="397"/>
      <c r="BN8459" s="397"/>
      <c r="BO8459" s="397"/>
      <c r="BP8459" s="397"/>
      <c r="BQ8459" s="397"/>
      <c r="BR8459" s="397"/>
      <c r="BS8459" s="397"/>
      <c r="BT8459" s="397"/>
      <c r="BU8459" s="397"/>
      <c r="BV8459" s="397"/>
      <c r="BW8459" s="397"/>
      <c r="BX8459" s="397"/>
      <c r="BY8459" s="397"/>
      <c r="BZ8459" s="397"/>
      <c r="CA8459" s="392"/>
      <c r="CB8459" s="392"/>
    </row>
    <row r="8460" spans="1:80" ht="15" x14ac:dyDescent="0.25">
      <c r="A8460" s="385"/>
      <c r="B8460" s="392"/>
      <c r="C8460" s="392"/>
      <c r="D8460" s="385"/>
      <c r="E8460" s="397"/>
      <c r="F8460" s="392"/>
      <c r="G8460" s="392"/>
      <c r="H8460" s="401"/>
      <c r="I8460" s="165">
        <v>5</v>
      </c>
      <c r="J8460" s="165">
        <v>240</v>
      </c>
      <c r="K8460" s="165">
        <v>1</v>
      </c>
      <c r="L8460" s="628"/>
      <c r="M8460" s="628"/>
      <c r="N8460" s="388">
        <f>40.9697597348799*(0.028317)</f>
        <v>1.160140686412594</v>
      </c>
      <c r="O8460" s="389">
        <v>9.2400000000000002E-4</v>
      </c>
      <c r="P8460" s="413"/>
      <c r="Q8460" s="413"/>
      <c r="R8460" s="413"/>
      <c r="S8460" s="413"/>
      <c r="T8460" s="413"/>
      <c r="U8460" s="413"/>
      <c r="V8460" s="504">
        <v>0</v>
      </c>
      <c r="W8460" s="504">
        <v>0</v>
      </c>
      <c r="X8460" s="504">
        <v>0</v>
      </c>
      <c r="Y8460" s="504">
        <v>1</v>
      </c>
      <c r="Z8460" s="388">
        <v>1</v>
      </c>
      <c r="AA8460" s="388"/>
      <c r="AB8460" s="391"/>
      <c r="AC8460" s="392"/>
      <c r="AD8460" s="388">
        <v>8.0467200000000005</v>
      </c>
      <c r="AE8460" s="388"/>
      <c r="AF8460" s="388"/>
      <c r="AG8460" s="388"/>
      <c r="AH8460" s="391"/>
      <c r="AI8460" s="397"/>
      <c r="AJ8460" s="397"/>
      <c r="AK8460" s="392"/>
      <c r="AL8460" s="392"/>
      <c r="AM8460" s="392"/>
      <c r="AN8460" s="392"/>
      <c r="AO8460" s="392"/>
      <c r="AP8460" s="392"/>
      <c r="AQ8460" s="392"/>
      <c r="AR8460" s="392"/>
      <c r="AS8460" s="392"/>
      <c r="AT8460" s="392"/>
      <c r="AU8460" s="397"/>
      <c r="AV8460" s="397"/>
      <c r="AW8460" s="397"/>
      <c r="AX8460" s="397"/>
      <c r="AY8460" s="392"/>
      <c r="AZ8460" s="392"/>
      <c r="BA8460" s="392"/>
      <c r="BB8460" s="392"/>
      <c r="BC8460" s="392"/>
      <c r="BD8460" s="392"/>
      <c r="BE8460" s="392"/>
      <c r="BF8460" s="392"/>
      <c r="BG8460" s="392"/>
      <c r="BH8460" s="392"/>
      <c r="BI8460" s="397"/>
      <c r="BJ8460" s="397"/>
      <c r="BK8460" s="397"/>
      <c r="BL8460" s="397"/>
      <c r="BM8460" s="397"/>
      <c r="BN8460" s="397"/>
      <c r="BO8460" s="397"/>
      <c r="BP8460" s="397"/>
      <c r="BQ8460" s="397"/>
      <c r="BR8460" s="397"/>
      <c r="BS8460" s="397"/>
      <c r="BT8460" s="397"/>
      <c r="BU8460" s="397"/>
      <c r="BV8460" s="397"/>
      <c r="BW8460" s="397"/>
      <c r="BX8460" s="397"/>
      <c r="BY8460" s="397"/>
      <c r="BZ8460" s="397"/>
      <c r="CA8460" s="392"/>
      <c r="CB8460" s="392"/>
    </row>
    <row r="8461" spans="1:80" ht="15" x14ac:dyDescent="0.25">
      <c r="A8461" s="385"/>
      <c r="B8461" s="392"/>
      <c r="C8461" s="392"/>
      <c r="D8461" s="385"/>
      <c r="E8461" s="397"/>
      <c r="F8461" s="392"/>
      <c r="G8461" s="392"/>
      <c r="H8461" s="401"/>
      <c r="I8461" s="165">
        <v>5</v>
      </c>
      <c r="J8461" s="165">
        <v>240</v>
      </c>
      <c r="K8461" s="165">
        <v>1</v>
      </c>
      <c r="L8461" s="628"/>
      <c r="M8461" s="628"/>
      <c r="N8461" s="388">
        <f>20.2572493786248*(0.028317)</f>
        <v>0.57362453065451835</v>
      </c>
      <c r="O8461" s="389">
        <v>9.2400000000000002E-4</v>
      </c>
      <c r="P8461" s="413"/>
      <c r="Q8461" s="413"/>
      <c r="R8461" s="413"/>
      <c r="S8461" s="413"/>
      <c r="T8461" s="413"/>
      <c r="U8461" s="413"/>
      <c r="V8461" s="504">
        <v>0</v>
      </c>
      <c r="W8461" s="504">
        <v>0</v>
      </c>
      <c r="X8461" s="504">
        <v>0</v>
      </c>
      <c r="Y8461" s="504">
        <v>1</v>
      </c>
      <c r="Z8461" s="388">
        <v>12</v>
      </c>
      <c r="AA8461" s="388"/>
      <c r="AB8461" s="391"/>
      <c r="AC8461" s="392"/>
      <c r="AD8461" s="388">
        <v>8.0467200000000005</v>
      </c>
      <c r="AE8461" s="388"/>
      <c r="AF8461" s="388"/>
      <c r="AG8461" s="388"/>
      <c r="AH8461" s="391"/>
      <c r="AI8461" s="397"/>
      <c r="AJ8461" s="397"/>
      <c r="AK8461" s="392"/>
      <c r="AL8461" s="392"/>
      <c r="AM8461" s="392"/>
      <c r="AN8461" s="392"/>
      <c r="AO8461" s="392"/>
      <c r="AP8461" s="392"/>
      <c r="AQ8461" s="392"/>
      <c r="AR8461" s="392"/>
      <c r="AS8461" s="392"/>
      <c r="AT8461" s="392"/>
      <c r="AU8461" s="397"/>
      <c r="AV8461" s="397"/>
      <c r="AW8461" s="397"/>
      <c r="AX8461" s="397"/>
      <c r="AY8461" s="392"/>
      <c r="AZ8461" s="392"/>
      <c r="BA8461" s="392"/>
      <c r="BB8461" s="392"/>
      <c r="BC8461" s="392"/>
      <c r="BD8461" s="392"/>
      <c r="BE8461" s="392"/>
      <c r="BF8461" s="392"/>
      <c r="BG8461" s="392"/>
      <c r="BH8461" s="392"/>
      <c r="BI8461" s="397"/>
      <c r="BJ8461" s="397"/>
      <c r="BK8461" s="397"/>
      <c r="BL8461" s="397"/>
      <c r="BM8461" s="397"/>
      <c r="BN8461" s="397"/>
      <c r="BO8461" s="397"/>
      <c r="BP8461" s="397"/>
      <c r="BQ8461" s="397"/>
      <c r="BR8461" s="397"/>
      <c r="BS8461" s="397"/>
      <c r="BT8461" s="397"/>
      <c r="BU8461" s="397"/>
      <c r="BV8461" s="397"/>
      <c r="BW8461" s="397"/>
      <c r="BX8461" s="397"/>
      <c r="BY8461" s="397"/>
      <c r="BZ8461" s="397"/>
      <c r="CA8461" s="392"/>
      <c r="CB8461" s="392"/>
    </row>
    <row r="8462" spans="1:80" ht="15" x14ac:dyDescent="0.25">
      <c r="A8462" s="385"/>
      <c r="B8462" s="392"/>
      <c r="C8462" s="392"/>
      <c r="D8462" s="385"/>
      <c r="E8462" s="397"/>
      <c r="F8462" s="392"/>
      <c r="G8462" s="392"/>
      <c r="H8462" s="401"/>
      <c r="I8462" s="165">
        <v>5</v>
      </c>
      <c r="J8462" s="165">
        <v>240</v>
      </c>
      <c r="K8462" s="165">
        <v>1</v>
      </c>
      <c r="L8462" s="628"/>
      <c r="M8462" s="628"/>
      <c r="N8462" s="388">
        <f>16.1147473073737*(0.028317)</f>
        <v>0.45632129950290107</v>
      </c>
      <c r="O8462" s="389">
        <v>2.9039999999999999E-3</v>
      </c>
      <c r="P8462" s="413"/>
      <c r="Q8462" s="413"/>
      <c r="R8462" s="413"/>
      <c r="S8462" s="413"/>
      <c r="T8462" s="413">
        <v>0.34848484848484851</v>
      </c>
      <c r="U8462" s="413">
        <v>0.33333333333333331</v>
      </c>
      <c r="V8462" s="504">
        <v>0</v>
      </c>
      <c r="W8462" s="504">
        <v>0</v>
      </c>
      <c r="X8462" s="504">
        <v>0</v>
      </c>
      <c r="Y8462" s="504">
        <v>0.31818181818181818</v>
      </c>
      <c r="Z8462" s="388">
        <v>5</v>
      </c>
      <c r="AA8462" s="388"/>
      <c r="AB8462" s="391"/>
      <c r="AC8462" s="392"/>
      <c r="AD8462" s="388">
        <v>8.0467200000000005</v>
      </c>
      <c r="AE8462" s="388"/>
      <c r="AF8462" s="388"/>
      <c r="AG8462" s="388"/>
      <c r="AH8462" s="391"/>
      <c r="AI8462" s="397"/>
      <c r="AJ8462" s="397"/>
      <c r="AK8462" s="392"/>
      <c r="AL8462" s="392"/>
      <c r="AM8462" s="392"/>
      <c r="AN8462" s="392"/>
      <c r="AO8462" s="392"/>
      <c r="AP8462" s="392"/>
      <c r="AQ8462" s="392"/>
      <c r="AR8462" s="392"/>
      <c r="AS8462" s="392"/>
      <c r="AT8462" s="392"/>
      <c r="AU8462" s="397"/>
      <c r="AV8462" s="397"/>
      <c r="AW8462" s="397"/>
      <c r="AX8462" s="397"/>
      <c r="AY8462" s="392"/>
      <c r="AZ8462" s="392"/>
      <c r="BA8462" s="392"/>
      <c r="BB8462" s="392"/>
      <c r="BC8462" s="392"/>
      <c r="BD8462" s="392"/>
      <c r="BE8462" s="392"/>
      <c r="BF8462" s="392"/>
      <c r="BG8462" s="392"/>
      <c r="BH8462" s="392"/>
      <c r="BI8462" s="397"/>
      <c r="BJ8462" s="397"/>
      <c r="BK8462" s="397"/>
      <c r="BL8462" s="397"/>
      <c r="BM8462" s="397"/>
      <c r="BN8462" s="397"/>
      <c r="BO8462" s="397"/>
      <c r="BP8462" s="397"/>
      <c r="BQ8462" s="397"/>
      <c r="BR8462" s="397"/>
      <c r="BS8462" s="397"/>
      <c r="BT8462" s="397"/>
      <c r="BU8462" s="397"/>
      <c r="BV8462" s="397"/>
      <c r="BW8462" s="397"/>
      <c r="BX8462" s="397"/>
      <c r="BY8462" s="397"/>
      <c r="BZ8462" s="397"/>
      <c r="CA8462" s="392"/>
      <c r="CB8462" s="392"/>
    </row>
    <row r="8463" spans="1:80" ht="15" x14ac:dyDescent="0.25">
      <c r="A8463" s="385"/>
      <c r="B8463" s="392"/>
      <c r="C8463" s="392"/>
      <c r="D8463" s="385"/>
      <c r="E8463" s="397"/>
      <c r="F8463" s="392"/>
      <c r="G8463" s="392"/>
      <c r="H8463" s="401"/>
      <c r="I8463" s="165">
        <v>5</v>
      </c>
      <c r="J8463" s="165">
        <v>240</v>
      </c>
      <c r="K8463" s="165">
        <v>1</v>
      </c>
      <c r="L8463" s="628"/>
      <c r="M8463" s="628"/>
      <c r="N8463" s="388">
        <f>44.81*(0.028317)</f>
        <v>1.2688847699999999</v>
      </c>
      <c r="O8463" s="389">
        <v>9.5107333333333335E-3</v>
      </c>
      <c r="P8463" s="413"/>
      <c r="Q8463" s="413"/>
      <c r="R8463" s="413"/>
      <c r="S8463" s="413">
        <v>2.9936438712072001E-2</v>
      </c>
      <c r="T8463" s="413">
        <v>4.4368794655284399E-2</v>
      </c>
      <c r="U8463" s="413">
        <v>0.17338661037394451</v>
      </c>
      <c r="V8463" s="504">
        <v>0</v>
      </c>
      <c r="W8463" s="504">
        <v>0</v>
      </c>
      <c r="X8463" s="504">
        <v>0</v>
      </c>
      <c r="Y8463" s="504">
        <v>0.75230815625869907</v>
      </c>
      <c r="Z8463" s="388">
        <v>13</v>
      </c>
      <c r="AA8463" s="388"/>
      <c r="AB8463" s="391"/>
      <c r="AC8463" s="392"/>
      <c r="AD8463" s="388">
        <v>10.088880000000001</v>
      </c>
      <c r="AE8463" s="388">
        <v>0.28755716012084592</v>
      </c>
      <c r="AF8463" s="388"/>
      <c r="AG8463" s="388">
        <v>0.43739812665118882</v>
      </c>
      <c r="AH8463" s="391"/>
      <c r="AI8463" s="397"/>
      <c r="AJ8463" s="397"/>
      <c r="AK8463" s="392"/>
      <c r="AL8463" s="392"/>
      <c r="AM8463" s="392"/>
      <c r="AN8463" s="392"/>
      <c r="AO8463" s="392"/>
      <c r="AP8463" s="392"/>
      <c r="AQ8463" s="392"/>
      <c r="AR8463" s="392"/>
      <c r="AS8463" s="392"/>
      <c r="AT8463" s="392"/>
      <c r="AU8463" s="397"/>
      <c r="AV8463" s="397"/>
      <c r="AW8463" s="397"/>
      <c r="AX8463" s="397"/>
      <c r="AY8463" s="392"/>
      <c r="AZ8463" s="392"/>
      <c r="BA8463" s="392"/>
      <c r="BB8463" s="392"/>
      <c r="BC8463" s="392"/>
      <c r="BD8463" s="392"/>
      <c r="BE8463" s="392"/>
      <c r="BF8463" s="392"/>
      <c r="BG8463" s="392"/>
      <c r="BH8463" s="392"/>
      <c r="BI8463" s="397"/>
      <c r="BJ8463" s="397"/>
      <c r="BK8463" s="397"/>
      <c r="BL8463" s="397"/>
      <c r="BM8463" s="397"/>
      <c r="BN8463" s="397"/>
      <c r="BO8463" s="397"/>
      <c r="BP8463" s="397"/>
      <c r="BQ8463" s="397"/>
      <c r="BR8463" s="397"/>
      <c r="BS8463" s="397"/>
      <c r="BT8463" s="397"/>
      <c r="BU8463" s="397"/>
      <c r="BV8463" s="397"/>
      <c r="BW8463" s="397"/>
      <c r="BX8463" s="397"/>
      <c r="BY8463" s="397"/>
      <c r="BZ8463" s="397"/>
      <c r="CA8463" s="392"/>
      <c r="CB8463" s="392"/>
    </row>
    <row r="8464" spans="1:80" ht="15" x14ac:dyDescent="0.25">
      <c r="A8464" s="385"/>
      <c r="B8464" s="392"/>
      <c r="C8464" s="392"/>
      <c r="D8464" s="385"/>
      <c r="E8464" s="397"/>
      <c r="F8464" s="392"/>
      <c r="G8464" s="392"/>
      <c r="H8464" s="401"/>
      <c r="I8464" s="165">
        <v>10</v>
      </c>
      <c r="J8464" s="165">
        <v>120</v>
      </c>
      <c r="K8464" s="165">
        <v>1</v>
      </c>
      <c r="L8464" s="628"/>
      <c r="M8464" s="628"/>
      <c r="N8464" s="388">
        <f>54.49*(0.028317)</f>
        <v>1.5429933300000001</v>
      </c>
      <c r="O8464" s="389">
        <v>2.4426666666666666E-2</v>
      </c>
      <c r="P8464" s="413"/>
      <c r="Q8464" s="413"/>
      <c r="R8464" s="413"/>
      <c r="S8464" s="413"/>
      <c r="T8464" s="413">
        <v>2.4147944368026902E-2</v>
      </c>
      <c r="U8464" s="413">
        <v>0.12905831750398464</v>
      </c>
      <c r="V8464" s="504">
        <v>0</v>
      </c>
      <c r="W8464" s="504">
        <v>0</v>
      </c>
      <c r="X8464" s="504">
        <v>0</v>
      </c>
      <c r="Y8464" s="504">
        <v>0.84679373812798842</v>
      </c>
      <c r="Z8464" s="388">
        <v>3</v>
      </c>
      <c r="AA8464" s="388"/>
      <c r="AB8464" s="391"/>
      <c r="AC8464" s="392"/>
      <c r="AD8464" s="388">
        <v>9.7536000000000005</v>
      </c>
      <c r="AE8464" s="388">
        <v>0.29813250000000002</v>
      </c>
      <c r="AF8464" s="388"/>
      <c r="AG8464" s="388">
        <v>0.53065387859424928</v>
      </c>
      <c r="AH8464" s="391"/>
      <c r="AI8464" s="397"/>
      <c r="AJ8464" s="397"/>
      <c r="AK8464" s="392"/>
      <c r="AL8464" s="392"/>
      <c r="AM8464" s="392"/>
      <c r="AN8464" s="392"/>
      <c r="AO8464" s="392"/>
      <c r="AP8464" s="392"/>
      <c r="AQ8464" s="392"/>
      <c r="AR8464" s="392"/>
      <c r="AS8464" s="392"/>
      <c r="AT8464" s="392"/>
      <c r="AU8464" s="397"/>
      <c r="AV8464" s="397"/>
      <c r="AW8464" s="397"/>
      <c r="AX8464" s="397"/>
      <c r="AY8464" s="392"/>
      <c r="AZ8464" s="392"/>
      <c r="BA8464" s="392"/>
      <c r="BB8464" s="392"/>
      <c r="BC8464" s="392"/>
      <c r="BD8464" s="392"/>
      <c r="BE8464" s="392"/>
      <c r="BF8464" s="392"/>
      <c r="BG8464" s="392"/>
      <c r="BH8464" s="392"/>
      <c r="BI8464" s="397"/>
      <c r="BJ8464" s="397"/>
      <c r="BK8464" s="397"/>
      <c r="BL8464" s="397"/>
      <c r="BM8464" s="397"/>
      <c r="BN8464" s="397"/>
      <c r="BO8464" s="397"/>
      <c r="BP8464" s="397"/>
      <c r="BQ8464" s="397"/>
      <c r="BR8464" s="397"/>
      <c r="BS8464" s="397"/>
      <c r="BT8464" s="397"/>
      <c r="BU8464" s="397"/>
      <c r="BV8464" s="397"/>
      <c r="BW8464" s="397"/>
      <c r="BX8464" s="397"/>
      <c r="BY8464" s="397"/>
      <c r="BZ8464" s="397"/>
      <c r="CA8464" s="392"/>
      <c r="CB8464" s="392"/>
    </row>
    <row r="8465" spans="1:80" ht="15" x14ac:dyDescent="0.25">
      <c r="A8465" s="385"/>
      <c r="B8465" s="392"/>
      <c r="C8465" s="392"/>
      <c r="D8465" s="385"/>
      <c r="E8465" s="397"/>
      <c r="F8465" s="392"/>
      <c r="G8465" s="392"/>
      <c r="H8465" s="401"/>
      <c r="I8465" s="165">
        <v>10</v>
      </c>
      <c r="J8465" s="165">
        <v>120</v>
      </c>
      <c r="K8465" s="165">
        <v>1</v>
      </c>
      <c r="L8465" s="628"/>
      <c r="M8465" s="628"/>
      <c r="N8465" s="388">
        <f>74.15*(0.028317)</f>
        <v>2.0997055499999999</v>
      </c>
      <c r="O8465" s="389">
        <v>7.9204666666666656E-3</v>
      </c>
      <c r="P8465" s="413"/>
      <c r="Q8465" s="413"/>
      <c r="R8465" s="413"/>
      <c r="S8465" s="413">
        <v>2.0975540386803188E-2</v>
      </c>
      <c r="T8465" s="413">
        <v>8.6177474402730381E-2</v>
      </c>
      <c r="U8465" s="413">
        <v>0.16140500568828214</v>
      </c>
      <c r="V8465" s="504">
        <v>0</v>
      </c>
      <c r="W8465" s="504">
        <v>0</v>
      </c>
      <c r="X8465" s="504">
        <v>0</v>
      </c>
      <c r="Y8465" s="504">
        <v>0.73144197952218437</v>
      </c>
      <c r="Z8465" s="388">
        <v>14</v>
      </c>
      <c r="AA8465" s="388"/>
      <c r="AB8465" s="391"/>
      <c r="AC8465" s="392"/>
      <c r="AD8465" s="388">
        <v>10.302239999999999</v>
      </c>
      <c r="AE8465" s="388">
        <v>0.32251988165680467</v>
      </c>
      <c r="AF8465" s="388"/>
      <c r="AG8465" s="388">
        <v>0.63191180315951345</v>
      </c>
      <c r="AH8465" s="391"/>
      <c r="AI8465" s="397"/>
      <c r="AJ8465" s="397"/>
      <c r="AK8465" s="392"/>
      <c r="AL8465" s="392"/>
      <c r="AM8465" s="392"/>
      <c r="AN8465" s="392"/>
      <c r="AO8465" s="392"/>
      <c r="AP8465" s="392"/>
      <c r="AQ8465" s="392"/>
      <c r="AR8465" s="392"/>
      <c r="AS8465" s="392"/>
      <c r="AT8465" s="392"/>
      <c r="AU8465" s="397"/>
      <c r="AV8465" s="397"/>
      <c r="AW8465" s="397"/>
      <c r="AX8465" s="397"/>
      <c r="AY8465" s="392"/>
      <c r="AZ8465" s="392"/>
      <c r="BA8465" s="392"/>
      <c r="BB8465" s="392"/>
      <c r="BC8465" s="392"/>
      <c r="BD8465" s="392"/>
      <c r="BE8465" s="392"/>
      <c r="BF8465" s="392"/>
      <c r="BG8465" s="392"/>
      <c r="BH8465" s="392"/>
      <c r="BI8465" s="397"/>
      <c r="BJ8465" s="397"/>
      <c r="BK8465" s="397"/>
      <c r="BL8465" s="397"/>
      <c r="BM8465" s="397"/>
      <c r="BN8465" s="397"/>
      <c r="BO8465" s="397"/>
      <c r="BP8465" s="397"/>
      <c r="BQ8465" s="397"/>
      <c r="BR8465" s="397"/>
      <c r="BS8465" s="397"/>
      <c r="BT8465" s="397"/>
      <c r="BU8465" s="397"/>
      <c r="BV8465" s="397"/>
      <c r="BW8465" s="397"/>
      <c r="BX8465" s="397"/>
      <c r="BY8465" s="397"/>
      <c r="BZ8465" s="397"/>
      <c r="CA8465" s="392"/>
      <c r="CB8465" s="392"/>
    </row>
    <row r="8466" spans="1:80" ht="15" x14ac:dyDescent="0.25">
      <c r="A8466" s="385"/>
      <c r="B8466" s="392"/>
      <c r="C8466" s="392"/>
      <c r="D8466" s="385"/>
      <c r="E8466" s="397"/>
      <c r="F8466" s="392"/>
      <c r="G8466" s="392"/>
      <c r="H8466" s="401"/>
      <c r="I8466" s="165">
        <v>10</v>
      </c>
      <c r="J8466" s="165">
        <v>120</v>
      </c>
      <c r="K8466" s="165">
        <v>1</v>
      </c>
      <c r="L8466" s="628"/>
      <c r="M8466" s="628"/>
      <c r="N8466" s="388">
        <f>112.67*(0.028317)</f>
        <v>3.1904763899999997</v>
      </c>
      <c r="O8466" s="389">
        <v>2.0926319999999998E-2</v>
      </c>
      <c r="P8466" s="413"/>
      <c r="Q8466" s="413"/>
      <c r="R8466" s="413">
        <v>0.13087831399585223</v>
      </c>
      <c r="S8466" s="413">
        <v>0.12729107112829996</v>
      </c>
      <c r="T8466" s="413">
        <v>9.3268314556358936E-2</v>
      </c>
      <c r="U8466" s="413">
        <v>0.17022588419931617</v>
      </c>
      <c r="V8466" s="504">
        <v>0</v>
      </c>
      <c r="W8466" s="504">
        <v>0</v>
      </c>
      <c r="X8466" s="504">
        <v>0</v>
      </c>
      <c r="Y8466" s="504">
        <v>0.47833641612017258</v>
      </c>
      <c r="Z8466" s="388">
        <v>27</v>
      </c>
      <c r="AA8466" s="388"/>
      <c r="AB8466" s="391"/>
      <c r="AC8466" s="392"/>
      <c r="AD8466" s="388">
        <v>10.725911999999999</v>
      </c>
      <c r="AE8466" s="388">
        <v>0.3663316624040921</v>
      </c>
      <c r="AF8466" s="388"/>
      <c r="AG8466" s="388">
        <v>0.81194391658391274</v>
      </c>
      <c r="AH8466" s="391"/>
      <c r="AI8466" s="397"/>
      <c r="AJ8466" s="397"/>
      <c r="AK8466" s="392"/>
      <c r="AL8466" s="392"/>
      <c r="AM8466" s="392"/>
      <c r="AN8466" s="392"/>
      <c r="AO8466" s="392"/>
      <c r="AP8466" s="392"/>
      <c r="AQ8466" s="392"/>
      <c r="AR8466" s="392"/>
      <c r="AS8466" s="392"/>
      <c r="AT8466" s="392"/>
      <c r="AU8466" s="397"/>
      <c r="AV8466" s="397"/>
      <c r="AW8466" s="397"/>
      <c r="AX8466" s="397"/>
      <c r="AY8466" s="392"/>
      <c r="AZ8466" s="392"/>
      <c r="BA8466" s="392"/>
      <c r="BB8466" s="392"/>
      <c r="BC8466" s="392"/>
      <c r="BD8466" s="392"/>
      <c r="BE8466" s="392"/>
      <c r="BF8466" s="392"/>
      <c r="BG8466" s="392"/>
      <c r="BH8466" s="392"/>
      <c r="BI8466" s="397"/>
      <c r="BJ8466" s="397"/>
      <c r="BK8466" s="397"/>
      <c r="BL8466" s="397"/>
      <c r="BM8466" s="397"/>
      <c r="BN8466" s="397"/>
      <c r="BO8466" s="397"/>
      <c r="BP8466" s="397"/>
      <c r="BQ8466" s="397"/>
      <c r="BR8466" s="397"/>
      <c r="BS8466" s="397"/>
      <c r="BT8466" s="397"/>
      <c r="BU8466" s="397"/>
      <c r="BV8466" s="397"/>
      <c r="BW8466" s="397"/>
      <c r="BX8466" s="397"/>
      <c r="BY8466" s="397"/>
      <c r="BZ8466" s="397"/>
      <c r="CA8466" s="392"/>
      <c r="CB8466" s="392"/>
    </row>
    <row r="8467" spans="1:80" ht="15" x14ac:dyDescent="0.25">
      <c r="A8467" s="385"/>
      <c r="B8467" s="392"/>
      <c r="C8467" s="392"/>
      <c r="D8467" s="385"/>
      <c r="E8467" s="397"/>
      <c r="F8467" s="392"/>
      <c r="G8467" s="392"/>
      <c r="H8467" s="401"/>
      <c r="I8467" s="165">
        <v>11</v>
      </c>
      <c r="J8467" s="165">
        <v>120</v>
      </c>
      <c r="K8467" s="165">
        <v>1</v>
      </c>
      <c r="L8467" s="628"/>
      <c r="M8467" s="628"/>
      <c r="N8467" s="388">
        <f>92.62*(0.028317)</f>
        <v>2.62272054</v>
      </c>
      <c r="O8467" s="389">
        <v>4.0550151515151511E-2</v>
      </c>
      <c r="P8467" s="413"/>
      <c r="Q8467" s="413"/>
      <c r="R8467" s="413">
        <v>3.2723511539207446E-2</v>
      </c>
      <c r="S8467" s="413">
        <v>7.0670373004072667E-2</v>
      </c>
      <c r="T8467" s="413">
        <v>0.17564160579222962</v>
      </c>
      <c r="U8467" s="413">
        <v>0.25532355032645937</v>
      </c>
      <c r="V8467" s="504">
        <v>0</v>
      </c>
      <c r="W8467" s="504">
        <v>0</v>
      </c>
      <c r="X8467" s="504">
        <v>0</v>
      </c>
      <c r="Y8467" s="504">
        <v>0.4656409593380309</v>
      </c>
      <c r="Z8467" s="388">
        <v>26</v>
      </c>
      <c r="AA8467" s="388"/>
      <c r="AB8467" s="391"/>
      <c r="AC8467" s="392"/>
      <c r="AD8467" s="388">
        <v>10.546080000000002</v>
      </c>
      <c r="AE8467" s="388">
        <v>0.3367335260115607</v>
      </c>
      <c r="AF8467" s="388"/>
      <c r="AG8467" s="388">
        <v>0.73856089993459784</v>
      </c>
      <c r="AH8467" s="391"/>
      <c r="AI8467" s="397"/>
      <c r="AJ8467" s="397"/>
      <c r="AK8467" s="392"/>
      <c r="AL8467" s="392"/>
      <c r="AM8467" s="392"/>
      <c r="AN8467" s="392"/>
      <c r="AO8467" s="392"/>
      <c r="AP8467" s="392"/>
      <c r="AQ8467" s="392"/>
      <c r="AR8467" s="392"/>
      <c r="AS8467" s="392"/>
      <c r="AT8467" s="392"/>
      <c r="AU8467" s="397"/>
      <c r="AV8467" s="397"/>
      <c r="AW8467" s="397"/>
      <c r="AX8467" s="397"/>
      <c r="AY8467" s="392"/>
      <c r="AZ8467" s="392"/>
      <c r="BA8467" s="392"/>
      <c r="BB8467" s="392"/>
      <c r="BC8467" s="392"/>
      <c r="BD8467" s="392"/>
      <c r="BE8467" s="392"/>
      <c r="BF8467" s="392"/>
      <c r="BG8467" s="392"/>
      <c r="BH8467" s="392"/>
      <c r="BI8467" s="397"/>
      <c r="BJ8467" s="397"/>
      <c r="BK8467" s="397"/>
      <c r="BL8467" s="397"/>
      <c r="BM8467" s="397"/>
      <c r="BN8467" s="397"/>
      <c r="BO8467" s="397"/>
      <c r="BP8467" s="397"/>
      <c r="BQ8467" s="397"/>
      <c r="BR8467" s="397"/>
      <c r="BS8467" s="397"/>
      <c r="BT8467" s="397"/>
      <c r="BU8467" s="397"/>
      <c r="BV8467" s="397"/>
      <c r="BW8467" s="397"/>
      <c r="BX8467" s="397"/>
      <c r="BY8467" s="397"/>
      <c r="BZ8467" s="397"/>
      <c r="CA8467" s="392"/>
      <c r="CB8467" s="392"/>
    </row>
    <row r="8468" spans="1:80" ht="15" x14ac:dyDescent="0.25">
      <c r="A8468" s="385"/>
      <c r="B8468" s="392"/>
      <c r="C8468" s="392"/>
      <c r="D8468" s="385"/>
      <c r="E8468" s="397"/>
      <c r="F8468" s="392"/>
      <c r="G8468" s="392"/>
      <c r="H8468" s="401"/>
      <c r="I8468" s="165">
        <v>10</v>
      </c>
      <c r="J8468" s="165">
        <v>120</v>
      </c>
      <c r="K8468" s="165">
        <v>1</v>
      </c>
      <c r="L8468" s="628"/>
      <c r="M8468" s="628"/>
      <c r="N8468" s="388">
        <f>79.86*(0.028317)</f>
        <v>2.2613956200000001</v>
      </c>
      <c r="O8468" s="389">
        <v>1.25083E-2</v>
      </c>
      <c r="P8468" s="413"/>
      <c r="Q8468" s="413"/>
      <c r="R8468" s="413">
        <v>4.5221880980994354E-2</v>
      </c>
      <c r="S8468" s="413">
        <v>4.4109137846619496E-2</v>
      </c>
      <c r="T8468" s="413">
        <v>9.4360617794988222E-2</v>
      </c>
      <c r="U8468" s="413">
        <v>0.1321938843637335</v>
      </c>
      <c r="V8468" s="504">
        <v>0</v>
      </c>
      <c r="W8468" s="504">
        <v>0</v>
      </c>
      <c r="X8468" s="504">
        <v>0</v>
      </c>
      <c r="Y8468" s="504">
        <v>0.68411447901366451</v>
      </c>
      <c r="Z8468" s="388">
        <v>22</v>
      </c>
      <c r="AA8468" s="388"/>
      <c r="AB8468" s="391"/>
      <c r="AC8468" s="392"/>
      <c r="AD8468" s="388">
        <v>10.18032</v>
      </c>
      <c r="AE8468" s="388">
        <v>0.34700658682634733</v>
      </c>
      <c r="AF8468" s="388"/>
      <c r="AG8468" s="388">
        <v>0.64014332465483226</v>
      </c>
      <c r="AH8468" s="391"/>
      <c r="AI8468" s="397"/>
      <c r="AJ8468" s="397"/>
      <c r="AK8468" s="392"/>
      <c r="AL8468" s="392"/>
      <c r="AM8468" s="392"/>
      <c r="AN8468" s="392"/>
      <c r="AO8468" s="392"/>
      <c r="AP8468" s="392"/>
      <c r="AQ8468" s="392"/>
      <c r="AR8468" s="392"/>
      <c r="AS8468" s="392"/>
      <c r="AT8468" s="392"/>
      <c r="AU8468" s="397"/>
      <c r="AV8468" s="397"/>
      <c r="AW8468" s="397"/>
      <c r="AX8468" s="397"/>
      <c r="AY8468" s="392"/>
      <c r="AZ8468" s="392"/>
      <c r="BA8468" s="392"/>
      <c r="BB8468" s="392"/>
      <c r="BC8468" s="392"/>
      <c r="BD8468" s="392"/>
      <c r="BE8468" s="392"/>
      <c r="BF8468" s="392"/>
      <c r="BG8468" s="392"/>
      <c r="BH8468" s="392"/>
      <c r="BI8468" s="397"/>
      <c r="BJ8468" s="397"/>
      <c r="BK8468" s="397"/>
      <c r="BL8468" s="397"/>
      <c r="BM8468" s="397"/>
      <c r="BN8468" s="397"/>
      <c r="BO8468" s="397"/>
      <c r="BP8468" s="397"/>
      <c r="BQ8468" s="397"/>
      <c r="BR8468" s="397"/>
      <c r="BS8468" s="397"/>
      <c r="BT8468" s="397"/>
      <c r="BU8468" s="397"/>
      <c r="BV8468" s="397"/>
      <c r="BW8468" s="397"/>
      <c r="BX8468" s="397"/>
      <c r="BY8468" s="397"/>
      <c r="BZ8468" s="397"/>
      <c r="CA8468" s="392"/>
      <c r="CB8468" s="392"/>
    </row>
    <row r="8469" spans="1:80" ht="15" x14ac:dyDescent="0.25">
      <c r="A8469" s="385"/>
      <c r="B8469" s="392"/>
      <c r="C8469" s="392"/>
      <c r="D8469" s="385"/>
      <c r="E8469" s="397"/>
      <c r="F8469" s="392"/>
      <c r="G8469" s="392"/>
      <c r="H8469" s="401"/>
      <c r="I8469" s="165">
        <v>10</v>
      </c>
      <c r="J8469" s="165">
        <v>120</v>
      </c>
      <c r="K8469" s="165">
        <v>1</v>
      </c>
      <c r="L8469" s="628"/>
      <c r="M8469" s="628"/>
      <c r="N8469" s="388">
        <f>84.71*(0.028317)</f>
        <v>2.3987330699999996</v>
      </c>
      <c r="O8469" s="389">
        <v>3.1110600000000002E-2</v>
      </c>
      <c r="P8469" s="413"/>
      <c r="Q8469" s="413"/>
      <c r="R8469" s="413"/>
      <c r="S8469" s="413">
        <v>6.2624819069605528E-2</v>
      </c>
      <c r="T8469" s="413">
        <v>0.2531742978068488</v>
      </c>
      <c r="U8469" s="413">
        <v>0.28259953461954235</v>
      </c>
      <c r="V8469" s="504">
        <v>0</v>
      </c>
      <c r="W8469" s="504">
        <v>0</v>
      </c>
      <c r="X8469" s="504">
        <v>0</v>
      </c>
      <c r="Y8469" s="504">
        <v>0.40160134850400342</v>
      </c>
      <c r="Z8469" s="388">
        <v>12</v>
      </c>
      <c r="AA8469" s="388"/>
      <c r="AB8469" s="391"/>
      <c r="AC8469" s="392"/>
      <c r="AD8469" s="388">
        <v>10.424160000000001</v>
      </c>
      <c r="AE8469" s="388">
        <v>0.3336757894736842</v>
      </c>
      <c r="AF8469" s="388"/>
      <c r="AG8469" s="388">
        <v>0.68958679807692302</v>
      </c>
      <c r="AH8469" s="391"/>
      <c r="AI8469" s="397"/>
      <c r="AJ8469" s="397"/>
      <c r="AK8469" s="392"/>
      <c r="AL8469" s="392"/>
      <c r="AM8469" s="392"/>
      <c r="AN8469" s="392"/>
      <c r="AO8469" s="392"/>
      <c r="AP8469" s="392"/>
      <c r="AQ8469" s="392"/>
      <c r="AR8469" s="392"/>
      <c r="AS8469" s="392"/>
      <c r="AT8469" s="392"/>
      <c r="AU8469" s="397"/>
      <c r="AV8469" s="397"/>
      <c r="AW8469" s="397"/>
      <c r="AX8469" s="397"/>
      <c r="AY8469" s="392"/>
      <c r="AZ8469" s="392"/>
      <c r="BA8469" s="392"/>
      <c r="BB8469" s="392"/>
      <c r="BC8469" s="392"/>
      <c r="BD8469" s="392"/>
      <c r="BE8469" s="392"/>
      <c r="BF8469" s="392"/>
      <c r="BG8469" s="392"/>
      <c r="BH8469" s="392"/>
      <c r="BI8469" s="397"/>
      <c r="BJ8469" s="397"/>
      <c r="BK8469" s="397"/>
      <c r="BL8469" s="397"/>
      <c r="BM8469" s="397"/>
      <c r="BN8469" s="397"/>
      <c r="BO8469" s="397"/>
      <c r="BP8469" s="397"/>
      <c r="BQ8469" s="397"/>
      <c r="BR8469" s="397"/>
      <c r="BS8469" s="397"/>
      <c r="BT8469" s="397"/>
      <c r="BU8469" s="397"/>
      <c r="BV8469" s="397"/>
      <c r="BW8469" s="397"/>
      <c r="BX8469" s="397"/>
      <c r="BY8469" s="397"/>
      <c r="BZ8469" s="397"/>
      <c r="CA8469" s="392"/>
      <c r="CB8469" s="392"/>
    </row>
    <row r="8470" spans="1:80" ht="15" x14ac:dyDescent="0.25">
      <c r="A8470" s="385"/>
      <c r="B8470" s="392"/>
      <c r="C8470" s="392"/>
      <c r="D8470" s="385"/>
      <c r="E8470" s="397"/>
      <c r="F8470" s="392"/>
      <c r="G8470" s="392"/>
      <c r="H8470" s="401"/>
      <c r="I8470" s="165">
        <v>10</v>
      </c>
      <c r="J8470" s="165">
        <v>120</v>
      </c>
      <c r="K8470" s="165">
        <v>1</v>
      </c>
      <c r="L8470" s="628"/>
      <c r="M8470" s="628"/>
      <c r="N8470" s="388">
        <f>144.78*(0.028317)</f>
        <v>4.0997352600000001</v>
      </c>
      <c r="O8470" s="389">
        <v>1.3701833333333331E-2</v>
      </c>
      <c r="P8470" s="413"/>
      <c r="Q8470" s="413"/>
      <c r="R8470" s="413">
        <v>0.12107584159280443</v>
      </c>
      <c r="S8470" s="413">
        <v>0.15233812164345281</v>
      </c>
      <c r="T8470" s="413">
        <v>9.2127668864340928E-2</v>
      </c>
      <c r="U8470" s="413">
        <v>9.645024669257303E-2</v>
      </c>
      <c r="V8470" s="504">
        <v>0</v>
      </c>
      <c r="W8470" s="504">
        <v>0</v>
      </c>
      <c r="X8470" s="504">
        <v>0</v>
      </c>
      <c r="Y8470" s="504">
        <v>0.53800812120682884</v>
      </c>
      <c r="Z8470" s="388">
        <v>26</v>
      </c>
      <c r="AA8470" s="388"/>
      <c r="AB8470" s="391"/>
      <c r="AC8470" s="392"/>
      <c r="AD8470" s="388">
        <v>10.94232</v>
      </c>
      <c r="AE8470" s="388">
        <v>0.40422083565459616</v>
      </c>
      <c r="AF8470" s="388"/>
      <c r="AG8470" s="388">
        <v>0.92685320226843115</v>
      </c>
      <c r="AH8470" s="391"/>
      <c r="AI8470" s="397"/>
      <c r="AJ8470" s="397"/>
      <c r="AK8470" s="392"/>
      <c r="AL8470" s="392"/>
      <c r="AM8470" s="392"/>
      <c r="AN8470" s="392"/>
      <c r="AO8470" s="392"/>
      <c r="AP8470" s="392"/>
      <c r="AQ8470" s="392"/>
      <c r="AR8470" s="392"/>
      <c r="AS8470" s="392"/>
      <c r="AT8470" s="392"/>
      <c r="AU8470" s="397"/>
      <c r="AV8470" s="397"/>
      <c r="AW8470" s="397"/>
      <c r="AX8470" s="397"/>
      <c r="AY8470" s="392"/>
      <c r="AZ8470" s="392"/>
      <c r="BA8470" s="392"/>
      <c r="BB8470" s="392"/>
      <c r="BC8470" s="392"/>
      <c r="BD8470" s="392"/>
      <c r="BE8470" s="392"/>
      <c r="BF8470" s="392"/>
      <c r="BG8470" s="392"/>
      <c r="BH8470" s="392"/>
      <c r="BI8470" s="397"/>
      <c r="BJ8470" s="397"/>
      <c r="BK8470" s="397"/>
      <c r="BL8470" s="397"/>
      <c r="BM8470" s="397"/>
      <c r="BN8470" s="397"/>
      <c r="BO8470" s="397"/>
      <c r="BP8470" s="397"/>
      <c r="BQ8470" s="397"/>
      <c r="BR8470" s="397"/>
      <c r="BS8470" s="397"/>
      <c r="BT8470" s="397"/>
      <c r="BU8470" s="397"/>
      <c r="BV8470" s="397"/>
      <c r="BW8470" s="397"/>
      <c r="BX8470" s="397"/>
      <c r="BY8470" s="397"/>
      <c r="BZ8470" s="397"/>
      <c r="CA8470" s="392"/>
      <c r="CB8470" s="392"/>
    </row>
    <row r="8471" spans="1:80" ht="15" x14ac:dyDescent="0.25">
      <c r="A8471" s="385"/>
      <c r="B8471" s="392"/>
      <c r="C8471" s="392"/>
      <c r="D8471" s="385"/>
      <c r="E8471" s="397"/>
      <c r="F8471" s="392"/>
      <c r="G8471" s="392"/>
      <c r="H8471" s="401"/>
      <c r="I8471" s="165">
        <v>5</v>
      </c>
      <c r="J8471" s="165">
        <v>240</v>
      </c>
      <c r="K8471" s="165">
        <v>1</v>
      </c>
      <c r="L8471" s="628"/>
      <c r="M8471" s="628"/>
      <c r="N8471" s="388">
        <f>125.72*(0.028317)</f>
        <v>3.56001324</v>
      </c>
      <c r="O8471" s="389">
        <v>1.036575E-2</v>
      </c>
      <c r="P8471" s="413"/>
      <c r="Q8471" s="413"/>
      <c r="R8471" s="413"/>
      <c r="S8471" s="413">
        <v>2.9888073469722443E-2</v>
      </c>
      <c r="T8471" s="413">
        <v>0.111885531548522</v>
      </c>
      <c r="U8471" s="413">
        <v>0.19888483457012834</v>
      </c>
      <c r="V8471" s="504">
        <v>0</v>
      </c>
      <c r="W8471" s="504">
        <v>0</v>
      </c>
      <c r="X8471" s="504">
        <v>0</v>
      </c>
      <c r="Y8471" s="504">
        <v>0.65934156041162728</v>
      </c>
      <c r="Z8471" s="388">
        <v>12</v>
      </c>
      <c r="AA8471" s="388"/>
      <c r="AB8471" s="391"/>
      <c r="AC8471" s="392"/>
      <c r="AD8471" s="388">
        <v>7.7724000000000002</v>
      </c>
      <c r="AE8471" s="388">
        <v>0.41596235294117645</v>
      </c>
      <c r="AF8471" s="388"/>
      <c r="AG8471" s="388">
        <v>1.1011491206896553</v>
      </c>
      <c r="AH8471" s="391"/>
      <c r="AI8471" s="397"/>
      <c r="AJ8471" s="397"/>
      <c r="AK8471" s="392"/>
      <c r="AL8471" s="392"/>
      <c r="AM8471" s="392"/>
      <c r="AN8471" s="392"/>
      <c r="AO8471" s="392"/>
      <c r="AP8471" s="392"/>
      <c r="AQ8471" s="392"/>
      <c r="AR8471" s="392"/>
      <c r="AS8471" s="392"/>
      <c r="AT8471" s="392"/>
      <c r="AU8471" s="397"/>
      <c r="AV8471" s="397"/>
      <c r="AW8471" s="397"/>
      <c r="AX8471" s="397"/>
      <c r="AY8471" s="392"/>
      <c r="AZ8471" s="392"/>
      <c r="BA8471" s="392"/>
      <c r="BB8471" s="392"/>
      <c r="BC8471" s="392"/>
      <c r="BD8471" s="392"/>
      <c r="BE8471" s="392"/>
      <c r="BF8471" s="392"/>
      <c r="BG8471" s="392"/>
      <c r="BH8471" s="392"/>
      <c r="BI8471" s="397"/>
      <c r="BJ8471" s="397"/>
      <c r="BK8471" s="397"/>
      <c r="BL8471" s="397"/>
      <c r="BM8471" s="397"/>
      <c r="BN8471" s="397"/>
      <c r="BO8471" s="397"/>
      <c r="BP8471" s="397"/>
      <c r="BQ8471" s="397"/>
      <c r="BR8471" s="397"/>
      <c r="BS8471" s="397"/>
      <c r="BT8471" s="397"/>
      <c r="BU8471" s="397"/>
      <c r="BV8471" s="397"/>
      <c r="BW8471" s="397"/>
      <c r="BX8471" s="397"/>
      <c r="BY8471" s="397"/>
      <c r="BZ8471" s="397"/>
      <c r="CA8471" s="392"/>
      <c r="CB8471" s="392"/>
    </row>
    <row r="8472" spans="1:80" ht="15" x14ac:dyDescent="0.25">
      <c r="A8472" s="385"/>
      <c r="B8472" s="392"/>
      <c r="C8472" s="392"/>
      <c r="D8472" s="385"/>
      <c r="E8472" s="397"/>
      <c r="F8472" s="392"/>
      <c r="G8472" s="392"/>
      <c r="H8472" s="401"/>
      <c r="I8472" s="165">
        <v>11</v>
      </c>
      <c r="J8472" s="165">
        <v>120</v>
      </c>
      <c r="K8472" s="165">
        <v>1</v>
      </c>
      <c r="L8472" s="628"/>
      <c r="M8472" s="628"/>
      <c r="N8472" s="388">
        <f>101.52*(0.028317)</f>
        <v>2.8747418399999995</v>
      </c>
      <c r="O8472" s="389">
        <v>2.2749530303030306E-2</v>
      </c>
      <c r="P8472" s="413"/>
      <c r="Q8472" s="413"/>
      <c r="R8472" s="413">
        <v>4.495550676066104E-2</v>
      </c>
      <c r="S8472" s="413">
        <v>3.2520513116838096E-2</v>
      </c>
      <c r="T8472" s="413">
        <v>8.0688778458338148E-2</v>
      </c>
      <c r="U8472" s="413">
        <v>0.17665549520397553</v>
      </c>
      <c r="V8472" s="504">
        <v>0</v>
      </c>
      <c r="W8472" s="504">
        <v>0</v>
      </c>
      <c r="X8472" s="504">
        <v>0</v>
      </c>
      <c r="Y8472" s="504">
        <v>0.66517970646018731</v>
      </c>
      <c r="Z8472" s="388">
        <v>29</v>
      </c>
      <c r="AA8472" s="388"/>
      <c r="AB8472" s="391"/>
      <c r="AC8472" s="392"/>
      <c r="AD8472" s="388">
        <v>10.576560000000001</v>
      </c>
      <c r="AE8472" s="388">
        <v>0.35153014409221905</v>
      </c>
      <c r="AF8472" s="388"/>
      <c r="AG8472" s="388">
        <v>0.77318209295352314</v>
      </c>
      <c r="AH8472" s="391"/>
      <c r="AI8472" s="397"/>
      <c r="AJ8472" s="397"/>
      <c r="AK8472" s="392"/>
      <c r="AL8472" s="392"/>
      <c r="AM8472" s="392"/>
      <c r="AN8472" s="392"/>
      <c r="AO8472" s="392"/>
      <c r="AP8472" s="392"/>
      <c r="AQ8472" s="392"/>
      <c r="AR8472" s="392"/>
      <c r="AS8472" s="392"/>
      <c r="AT8472" s="392"/>
      <c r="AU8472" s="397"/>
      <c r="AV8472" s="397"/>
      <c r="AW8472" s="397"/>
      <c r="AX8472" s="397"/>
      <c r="AY8472" s="392"/>
      <c r="AZ8472" s="392"/>
      <c r="BA8472" s="392"/>
      <c r="BB8472" s="392"/>
      <c r="BC8472" s="392"/>
      <c r="BD8472" s="392"/>
      <c r="BE8472" s="392"/>
      <c r="BF8472" s="392"/>
      <c r="BG8472" s="392"/>
      <c r="BH8472" s="392"/>
      <c r="BI8472" s="397"/>
      <c r="BJ8472" s="397"/>
      <c r="BK8472" s="397"/>
      <c r="BL8472" s="397"/>
      <c r="BM8472" s="397"/>
      <c r="BN8472" s="397"/>
      <c r="BO8472" s="397"/>
      <c r="BP8472" s="397"/>
      <c r="BQ8472" s="397"/>
      <c r="BR8472" s="397"/>
      <c r="BS8472" s="397"/>
      <c r="BT8472" s="397"/>
      <c r="BU8472" s="397"/>
      <c r="BV8472" s="397"/>
      <c r="BW8472" s="397"/>
      <c r="BX8472" s="397"/>
      <c r="BY8472" s="397"/>
      <c r="BZ8472" s="397"/>
      <c r="CA8472" s="392"/>
      <c r="CB8472" s="392"/>
    </row>
    <row r="8473" spans="1:80" ht="15" x14ac:dyDescent="0.25">
      <c r="A8473" s="385"/>
      <c r="B8473" s="392"/>
      <c r="C8473" s="392"/>
      <c r="D8473" s="385"/>
      <c r="E8473" s="397"/>
      <c r="F8473" s="392"/>
      <c r="G8473" s="392"/>
      <c r="H8473" s="401"/>
      <c r="I8473" s="165">
        <v>10</v>
      </c>
      <c r="J8473" s="165">
        <v>120</v>
      </c>
      <c r="K8473" s="165">
        <v>1</v>
      </c>
      <c r="L8473" s="628"/>
      <c r="M8473" s="628"/>
      <c r="N8473" s="388">
        <f>97.38*(0.028317)</f>
        <v>2.7575094599999996</v>
      </c>
      <c r="O8473" s="389">
        <v>5.3715599999999995E-2</v>
      </c>
      <c r="P8473" s="413"/>
      <c r="Q8473" s="413">
        <v>0.10427545516209261</v>
      </c>
      <c r="R8473" s="413">
        <v>0.15512656251682297</v>
      </c>
      <c r="S8473" s="413">
        <v>0.10171298140591521</v>
      </c>
      <c r="T8473" s="413">
        <v>0.12862972254223234</v>
      </c>
      <c r="U8473" s="413">
        <v>0.16775589745798294</v>
      </c>
      <c r="V8473" s="504">
        <v>0</v>
      </c>
      <c r="W8473" s="504">
        <v>0</v>
      </c>
      <c r="X8473" s="504">
        <v>0</v>
      </c>
      <c r="Y8473" s="504">
        <v>0.34249938091495385</v>
      </c>
      <c r="Z8473" s="388">
        <v>40</v>
      </c>
      <c r="AA8473" s="388"/>
      <c r="AB8473" s="391"/>
      <c r="AC8473" s="392"/>
      <c r="AD8473" s="388">
        <v>10.576560000000001</v>
      </c>
      <c r="AE8473" s="388">
        <v>0.3539457060518732</v>
      </c>
      <c r="AF8473" s="388"/>
      <c r="AG8473" s="388">
        <v>0.73658424122099508</v>
      </c>
      <c r="AH8473" s="391"/>
      <c r="AI8473" s="397"/>
      <c r="AJ8473" s="397"/>
      <c r="AK8473" s="392"/>
      <c r="AL8473" s="392"/>
      <c r="AM8473" s="392"/>
      <c r="AN8473" s="392"/>
      <c r="AO8473" s="392"/>
      <c r="AP8473" s="392"/>
      <c r="AQ8473" s="392"/>
      <c r="AR8473" s="392"/>
      <c r="AS8473" s="392"/>
      <c r="AT8473" s="392"/>
      <c r="AU8473" s="397"/>
      <c r="AV8473" s="397"/>
      <c r="AW8473" s="397"/>
      <c r="AX8473" s="397"/>
      <c r="AY8473" s="392"/>
      <c r="AZ8473" s="392"/>
      <c r="BA8473" s="392"/>
      <c r="BB8473" s="392"/>
      <c r="BC8473" s="392"/>
      <c r="BD8473" s="392"/>
      <c r="BE8473" s="392"/>
      <c r="BF8473" s="392"/>
      <c r="BG8473" s="392"/>
      <c r="BH8473" s="392"/>
      <c r="BI8473" s="397"/>
      <c r="BJ8473" s="397"/>
      <c r="BK8473" s="397"/>
      <c r="BL8473" s="397"/>
      <c r="BM8473" s="397"/>
      <c r="BN8473" s="397"/>
      <c r="BO8473" s="397"/>
      <c r="BP8473" s="397"/>
      <c r="BQ8473" s="397"/>
      <c r="BR8473" s="397"/>
      <c r="BS8473" s="397"/>
      <c r="BT8473" s="397"/>
      <c r="BU8473" s="397"/>
      <c r="BV8473" s="397"/>
      <c r="BW8473" s="397"/>
      <c r="BX8473" s="397"/>
      <c r="BY8473" s="397"/>
      <c r="BZ8473" s="397"/>
      <c r="CA8473" s="392"/>
      <c r="CB8473" s="392"/>
    </row>
    <row r="8474" spans="1:80" ht="15" x14ac:dyDescent="0.25">
      <c r="A8474" s="385"/>
      <c r="B8474" s="392"/>
      <c r="C8474" s="392"/>
      <c r="D8474" s="385"/>
      <c r="E8474" s="397"/>
      <c r="F8474" s="392"/>
      <c r="G8474" s="392"/>
      <c r="H8474" s="401"/>
      <c r="I8474" s="165">
        <v>5</v>
      </c>
      <c r="J8474" s="165">
        <v>240</v>
      </c>
      <c r="K8474" s="165">
        <v>1</v>
      </c>
      <c r="L8474" s="628"/>
      <c r="M8474" s="628"/>
      <c r="N8474" s="388">
        <f>180.56*(0.028317)</f>
        <v>5.1129175199999999</v>
      </c>
      <c r="O8474" s="389">
        <v>3.7331999999999997E-2</v>
      </c>
      <c r="P8474" s="413"/>
      <c r="Q8474" s="413">
        <v>0.62169874324570462</v>
      </c>
      <c r="R8474" s="413"/>
      <c r="S8474" s="413">
        <v>3.4894663347702019E-2</v>
      </c>
      <c r="T8474" s="413">
        <v>3.0948333434521278E-2</v>
      </c>
      <c r="U8474" s="413">
        <v>3.3862546293485514E-2</v>
      </c>
      <c r="V8474" s="504">
        <v>0</v>
      </c>
      <c r="W8474" s="504">
        <v>0</v>
      </c>
      <c r="X8474" s="504">
        <v>0</v>
      </c>
      <c r="Y8474" s="504">
        <v>0.2785957136785866</v>
      </c>
      <c r="Z8474" s="388">
        <v>54</v>
      </c>
      <c r="AA8474" s="388"/>
      <c r="AB8474" s="391"/>
      <c r="AC8474" s="392"/>
      <c r="AD8474" s="388">
        <v>10.363200000000001</v>
      </c>
      <c r="AE8474" s="388">
        <v>0.39265411764705888</v>
      </c>
      <c r="AF8474" s="388"/>
      <c r="AG8474" s="388">
        <v>1.256520602739726</v>
      </c>
      <c r="AH8474" s="391"/>
      <c r="AI8474" s="397"/>
      <c r="AJ8474" s="397"/>
      <c r="AK8474" s="392"/>
      <c r="AL8474" s="392"/>
      <c r="AM8474" s="392"/>
      <c r="AN8474" s="392"/>
      <c r="AO8474" s="392"/>
      <c r="AP8474" s="392"/>
      <c r="AQ8474" s="392"/>
      <c r="AR8474" s="392"/>
      <c r="AS8474" s="392"/>
      <c r="AT8474" s="392"/>
      <c r="AU8474" s="397"/>
      <c r="AV8474" s="397"/>
      <c r="AW8474" s="397"/>
      <c r="AX8474" s="397"/>
      <c r="AY8474" s="392"/>
      <c r="AZ8474" s="392"/>
      <c r="BA8474" s="392"/>
      <c r="BB8474" s="392"/>
      <c r="BC8474" s="392"/>
      <c r="BD8474" s="392"/>
      <c r="BE8474" s="392"/>
      <c r="BF8474" s="392"/>
      <c r="BG8474" s="392"/>
      <c r="BH8474" s="392"/>
      <c r="BI8474" s="397"/>
      <c r="BJ8474" s="397"/>
      <c r="BK8474" s="397"/>
      <c r="BL8474" s="397"/>
      <c r="BM8474" s="397"/>
      <c r="BN8474" s="397"/>
      <c r="BO8474" s="397"/>
      <c r="BP8474" s="397"/>
      <c r="BQ8474" s="397"/>
      <c r="BR8474" s="397"/>
      <c r="BS8474" s="397"/>
      <c r="BT8474" s="397"/>
      <c r="BU8474" s="397"/>
      <c r="BV8474" s="397"/>
      <c r="BW8474" s="397"/>
      <c r="BX8474" s="397"/>
      <c r="BY8474" s="397"/>
      <c r="BZ8474" s="397"/>
      <c r="CA8474" s="392"/>
      <c r="CB8474" s="392"/>
    </row>
    <row r="8475" spans="1:80" ht="15" x14ac:dyDescent="0.25">
      <c r="A8475" s="385"/>
      <c r="B8475" s="392"/>
      <c r="C8475" s="392"/>
      <c r="D8475" s="385"/>
      <c r="E8475" s="397"/>
      <c r="F8475" s="392"/>
      <c r="G8475" s="392"/>
      <c r="H8475" s="401"/>
      <c r="I8475" s="165">
        <v>5</v>
      </c>
      <c r="J8475" s="165">
        <v>240</v>
      </c>
      <c r="K8475" s="165">
        <v>1</v>
      </c>
      <c r="L8475" s="628"/>
      <c r="M8475" s="628"/>
      <c r="N8475" s="388">
        <f>194.22*(0.028317)</f>
        <v>5.49972774</v>
      </c>
      <c r="O8475" s="389">
        <v>0.16232450000000001</v>
      </c>
      <c r="P8475" s="413"/>
      <c r="Q8475" s="413">
        <v>0.213972802409021</v>
      </c>
      <c r="R8475" s="413">
        <v>0.12372261019989748</v>
      </c>
      <c r="S8475" s="413">
        <v>8.2505766273705788E-2</v>
      </c>
      <c r="T8475" s="413">
        <v>8.7298981291645303E-2</v>
      </c>
      <c r="U8475" s="413">
        <v>0.10162656970784212</v>
      </c>
      <c r="V8475" s="504">
        <v>0.1396999935930292</v>
      </c>
      <c r="W8475" s="504">
        <v>0</v>
      </c>
      <c r="X8475" s="504">
        <v>0.20586798436699127</v>
      </c>
      <c r="Y8475" s="504">
        <v>4.5305292157867758E-2</v>
      </c>
      <c r="Z8475" s="388">
        <v>60</v>
      </c>
      <c r="AA8475" s="388"/>
      <c r="AB8475" s="391"/>
      <c r="AC8475" s="392"/>
      <c r="AD8475" s="388">
        <v>11.8872</v>
      </c>
      <c r="AE8475" s="388"/>
      <c r="AF8475" s="388"/>
      <c r="AG8475" s="388"/>
      <c r="AH8475" s="391"/>
      <c r="AI8475" s="397"/>
      <c r="AJ8475" s="397"/>
      <c r="AK8475" s="392"/>
      <c r="AL8475" s="392"/>
      <c r="AM8475" s="392"/>
      <c r="AN8475" s="392"/>
      <c r="AO8475" s="392"/>
      <c r="AP8475" s="392"/>
      <c r="AQ8475" s="392"/>
      <c r="AR8475" s="392"/>
      <c r="AS8475" s="392"/>
      <c r="AT8475" s="392"/>
      <c r="AU8475" s="397"/>
      <c r="AV8475" s="397"/>
      <c r="AW8475" s="397"/>
      <c r="AX8475" s="397"/>
      <c r="AY8475" s="392"/>
      <c r="AZ8475" s="392"/>
      <c r="BA8475" s="392"/>
      <c r="BB8475" s="392"/>
      <c r="BC8475" s="392"/>
      <c r="BD8475" s="392"/>
      <c r="BE8475" s="392"/>
      <c r="BF8475" s="392"/>
      <c r="BG8475" s="392"/>
      <c r="BH8475" s="392"/>
      <c r="BI8475" s="397"/>
      <c r="BJ8475" s="397"/>
      <c r="BK8475" s="397"/>
      <c r="BL8475" s="397"/>
      <c r="BM8475" s="397"/>
      <c r="BN8475" s="397"/>
      <c r="BO8475" s="397"/>
      <c r="BP8475" s="397"/>
      <c r="BQ8475" s="397"/>
      <c r="BR8475" s="397"/>
      <c r="BS8475" s="397"/>
      <c r="BT8475" s="397"/>
      <c r="BU8475" s="397"/>
      <c r="BV8475" s="397"/>
      <c r="BW8475" s="397"/>
      <c r="BX8475" s="397"/>
      <c r="BY8475" s="397"/>
      <c r="BZ8475" s="397"/>
      <c r="CA8475" s="392"/>
      <c r="CB8475" s="392"/>
    </row>
    <row r="8476" spans="1:80" ht="15" x14ac:dyDescent="0.25">
      <c r="A8476" s="385"/>
      <c r="B8476" s="392"/>
      <c r="C8476" s="392"/>
      <c r="D8476" s="385"/>
      <c r="E8476" s="397"/>
      <c r="F8476" s="392"/>
      <c r="G8476" s="392"/>
      <c r="H8476" s="401"/>
      <c r="I8476" s="165">
        <v>5</v>
      </c>
      <c r="J8476" s="165">
        <v>240</v>
      </c>
      <c r="K8476" s="165">
        <v>1</v>
      </c>
      <c r="L8476" s="628"/>
      <c r="M8476" s="628"/>
      <c r="N8476" s="388">
        <f>232.91*(0.028317)</f>
        <v>6.5953124699999996</v>
      </c>
      <c r="O8476" s="389">
        <v>9.3559033333333347E-2</v>
      </c>
      <c r="P8476" s="413"/>
      <c r="Q8476" s="413">
        <v>0.14684210206598264</v>
      </c>
      <c r="R8476" s="413">
        <v>0.11571568287986199</v>
      </c>
      <c r="S8476" s="413">
        <v>0.10538880688134419</v>
      </c>
      <c r="T8476" s="413">
        <v>0.14066420036569291</v>
      </c>
      <c r="U8476" s="413">
        <v>0.13836191448131746</v>
      </c>
      <c r="V8476" s="504">
        <v>0.14466130884041331</v>
      </c>
      <c r="W8476" s="504">
        <v>0.13276110291035664</v>
      </c>
      <c r="X8476" s="504">
        <v>4.3658386941969031E-2</v>
      </c>
      <c r="Y8476" s="504">
        <v>3.1946494633061796E-2</v>
      </c>
      <c r="Z8476" s="388">
        <v>60</v>
      </c>
      <c r="AA8476" s="388"/>
      <c r="AB8476" s="391"/>
      <c r="AC8476" s="392"/>
      <c r="AD8476" s="388">
        <v>10.393680000000002</v>
      </c>
      <c r="AE8476" s="388">
        <v>0.46591495601173022</v>
      </c>
      <c r="AF8476" s="388"/>
      <c r="AG8476" s="388">
        <v>1.3619656886330938</v>
      </c>
      <c r="AH8476" s="391"/>
      <c r="AI8476" s="397"/>
      <c r="AJ8476" s="397"/>
      <c r="AK8476" s="392"/>
      <c r="AL8476" s="392"/>
      <c r="AM8476" s="392"/>
      <c r="AN8476" s="392"/>
      <c r="AO8476" s="392"/>
      <c r="AP8476" s="392"/>
      <c r="AQ8476" s="392"/>
      <c r="AR8476" s="392"/>
      <c r="AS8476" s="392"/>
      <c r="AT8476" s="392"/>
      <c r="AU8476" s="397"/>
      <c r="AV8476" s="397"/>
      <c r="AW8476" s="397"/>
      <c r="AX8476" s="397"/>
      <c r="AY8476" s="392"/>
      <c r="AZ8476" s="392"/>
      <c r="BA8476" s="392"/>
      <c r="BB8476" s="392"/>
      <c r="BC8476" s="392"/>
      <c r="BD8476" s="392"/>
      <c r="BE8476" s="392"/>
      <c r="BF8476" s="392"/>
      <c r="BG8476" s="392"/>
      <c r="BH8476" s="392"/>
      <c r="BI8476" s="397"/>
      <c r="BJ8476" s="397"/>
      <c r="BK8476" s="397"/>
      <c r="BL8476" s="397"/>
      <c r="BM8476" s="397"/>
      <c r="BN8476" s="397"/>
      <c r="BO8476" s="397"/>
      <c r="BP8476" s="397"/>
      <c r="BQ8476" s="397"/>
      <c r="BR8476" s="397"/>
      <c r="BS8476" s="397"/>
      <c r="BT8476" s="397"/>
      <c r="BU8476" s="397"/>
      <c r="BV8476" s="397"/>
      <c r="BW8476" s="397"/>
      <c r="BX8476" s="397"/>
      <c r="BY8476" s="397"/>
      <c r="BZ8476" s="397"/>
      <c r="CA8476" s="392"/>
      <c r="CB8476" s="392"/>
    </row>
    <row r="8477" spans="1:80" ht="15" x14ac:dyDescent="0.25">
      <c r="A8477" s="385"/>
      <c r="B8477" s="392"/>
      <c r="C8477" s="392"/>
      <c r="D8477" s="385"/>
      <c r="E8477" s="397"/>
      <c r="F8477" s="392"/>
      <c r="G8477" s="392"/>
      <c r="H8477" s="401"/>
      <c r="I8477" s="165">
        <v>5</v>
      </c>
      <c r="J8477" s="165">
        <v>240</v>
      </c>
      <c r="K8477" s="165">
        <v>1</v>
      </c>
      <c r="L8477" s="628"/>
      <c r="M8477" s="628"/>
      <c r="N8477" s="388">
        <f>211.16*(0.028317)</f>
        <v>5.9794177199999998</v>
      </c>
      <c r="O8477" s="389">
        <v>6.9416999999999993E-2</v>
      </c>
      <c r="P8477" s="413"/>
      <c r="Q8477" s="413">
        <v>0.30487291019765206</v>
      </c>
      <c r="R8477" s="413">
        <v>4.7406667919953842E-2</v>
      </c>
      <c r="S8477" s="413">
        <v>9.7970323023965883E-2</v>
      </c>
      <c r="T8477" s="413">
        <v>0.10123751304607127</v>
      </c>
      <c r="U8477" s="413">
        <v>0.1289178729555753</v>
      </c>
      <c r="V8477" s="504">
        <v>0.13696916265290643</v>
      </c>
      <c r="W8477" s="504">
        <v>8.8428053753054889E-2</v>
      </c>
      <c r="X8477" s="504">
        <v>4.2830008881052241E-2</v>
      </c>
      <c r="Y8477" s="504">
        <v>5.1367487569768118E-2</v>
      </c>
      <c r="Z8477" s="388">
        <v>63</v>
      </c>
      <c r="AA8477" s="388"/>
      <c r="AB8477" s="391"/>
      <c r="AC8477" s="392"/>
      <c r="AD8477" s="388">
        <v>8.2295999999999996</v>
      </c>
      <c r="AE8477" s="388">
        <v>0.50052111111111108</v>
      </c>
      <c r="AF8477" s="388"/>
      <c r="AG8477" s="388">
        <v>1.4516076368762336</v>
      </c>
      <c r="AH8477" s="391"/>
      <c r="AI8477" s="397"/>
      <c r="AJ8477" s="397"/>
      <c r="AK8477" s="392"/>
      <c r="AL8477" s="392"/>
      <c r="AM8477" s="392"/>
      <c r="AN8477" s="392"/>
      <c r="AO8477" s="392"/>
      <c r="AP8477" s="392"/>
      <c r="AQ8477" s="392"/>
      <c r="AR8477" s="392"/>
      <c r="AS8477" s="392"/>
      <c r="AT8477" s="392"/>
      <c r="AU8477" s="397"/>
      <c r="AV8477" s="397"/>
      <c r="AW8477" s="397"/>
      <c r="AX8477" s="397"/>
      <c r="AY8477" s="392"/>
      <c r="AZ8477" s="392"/>
      <c r="BA8477" s="392"/>
      <c r="BB8477" s="392"/>
      <c r="BC8477" s="392"/>
      <c r="BD8477" s="392"/>
      <c r="BE8477" s="392"/>
      <c r="BF8477" s="392"/>
      <c r="BG8477" s="392"/>
      <c r="BH8477" s="392"/>
      <c r="BI8477" s="397"/>
      <c r="BJ8477" s="397"/>
      <c r="BK8477" s="397"/>
      <c r="BL8477" s="397"/>
      <c r="BM8477" s="397"/>
      <c r="BN8477" s="397"/>
      <c r="BO8477" s="397"/>
      <c r="BP8477" s="397"/>
      <c r="BQ8477" s="397"/>
      <c r="BR8477" s="397"/>
      <c r="BS8477" s="397"/>
      <c r="BT8477" s="397"/>
      <c r="BU8477" s="397"/>
      <c r="BV8477" s="397"/>
      <c r="BW8477" s="397"/>
      <c r="BX8477" s="397"/>
      <c r="BY8477" s="397"/>
      <c r="BZ8477" s="397"/>
      <c r="CA8477" s="392"/>
      <c r="CB8477" s="392"/>
    </row>
    <row r="8478" spans="1:80" ht="15" x14ac:dyDescent="0.25">
      <c r="A8478" s="385"/>
      <c r="B8478" s="392"/>
      <c r="C8478" s="392"/>
      <c r="D8478" s="385"/>
      <c r="E8478" s="397"/>
      <c r="F8478" s="392"/>
      <c r="G8478" s="392"/>
      <c r="H8478" s="401"/>
      <c r="I8478" s="165">
        <v>5</v>
      </c>
      <c r="J8478" s="165">
        <v>240</v>
      </c>
      <c r="K8478" s="165">
        <v>1</v>
      </c>
      <c r="L8478" s="628"/>
      <c r="M8478" s="628"/>
      <c r="N8478" s="388">
        <f>252.69*(0.028317)</f>
        <v>7.1554227299999997</v>
      </c>
      <c r="O8478" s="389">
        <v>4.6511999999999998E-2</v>
      </c>
      <c r="P8478" s="413"/>
      <c r="Q8478" s="413"/>
      <c r="R8478" s="413">
        <v>2.6750902177804004E-2</v>
      </c>
      <c r="S8478" s="413">
        <v>3.7025570573040123E-2</v>
      </c>
      <c r="T8478" s="413">
        <v>8.0842871102253258E-2</v>
      </c>
      <c r="U8478" s="413">
        <v>0.15090798270140574</v>
      </c>
      <c r="V8478" s="504">
        <v>0.22844206228654906</v>
      </c>
      <c r="W8478" s="504">
        <v>0.25009432958272459</v>
      </c>
      <c r="X8478" s="504">
        <v>0.12586952525614109</v>
      </c>
      <c r="Y8478" s="504">
        <v>0.10006675632008204</v>
      </c>
      <c r="Z8478" s="388">
        <v>26</v>
      </c>
      <c r="AA8478" s="388"/>
      <c r="AB8478" s="391"/>
      <c r="AC8478" s="392"/>
      <c r="AD8478" s="388">
        <v>8.2295999999999996</v>
      </c>
      <c r="AE8478" s="388">
        <v>0.53148088888888889</v>
      </c>
      <c r="AF8478" s="388"/>
      <c r="AG8478" s="388">
        <v>1.635914946474087</v>
      </c>
      <c r="AH8478" s="391"/>
      <c r="AI8478" s="397"/>
      <c r="AJ8478" s="397"/>
      <c r="AK8478" s="392"/>
      <c r="AL8478" s="392"/>
      <c r="AM8478" s="392"/>
      <c r="AN8478" s="392"/>
      <c r="AO8478" s="392"/>
      <c r="AP8478" s="392"/>
      <c r="AQ8478" s="392"/>
      <c r="AR8478" s="392"/>
      <c r="AS8478" s="392"/>
      <c r="AT8478" s="392"/>
      <c r="AU8478" s="397"/>
      <c r="AV8478" s="397"/>
      <c r="AW8478" s="397"/>
      <c r="AX8478" s="397"/>
      <c r="AY8478" s="392"/>
      <c r="AZ8478" s="392"/>
      <c r="BA8478" s="392"/>
      <c r="BB8478" s="392"/>
      <c r="BC8478" s="392"/>
      <c r="BD8478" s="392"/>
      <c r="BE8478" s="392"/>
      <c r="BF8478" s="392"/>
      <c r="BG8478" s="392"/>
      <c r="BH8478" s="392"/>
      <c r="BI8478" s="397"/>
      <c r="BJ8478" s="397"/>
      <c r="BK8478" s="397"/>
      <c r="BL8478" s="397"/>
      <c r="BM8478" s="397"/>
      <c r="BN8478" s="397"/>
      <c r="BO8478" s="397"/>
      <c r="BP8478" s="397"/>
      <c r="BQ8478" s="397"/>
      <c r="BR8478" s="397"/>
      <c r="BS8478" s="397"/>
      <c r="BT8478" s="397"/>
      <c r="BU8478" s="397"/>
      <c r="BV8478" s="397"/>
      <c r="BW8478" s="397"/>
      <c r="BX8478" s="397"/>
      <c r="BY8478" s="397"/>
      <c r="BZ8478" s="397"/>
      <c r="CA8478" s="392"/>
      <c r="CB8478" s="392"/>
    </row>
    <row r="8479" spans="1:80" ht="15" x14ac:dyDescent="0.25">
      <c r="A8479" s="385"/>
      <c r="B8479" s="392"/>
      <c r="C8479" s="392"/>
      <c r="D8479" s="385"/>
      <c r="E8479" s="397"/>
      <c r="F8479" s="392"/>
      <c r="G8479" s="392"/>
      <c r="H8479" s="401"/>
      <c r="I8479" s="165">
        <v>5</v>
      </c>
      <c r="J8479" s="165">
        <v>240</v>
      </c>
      <c r="K8479" s="165">
        <v>1</v>
      </c>
      <c r="L8479" s="628"/>
      <c r="M8479" s="628"/>
      <c r="N8479" s="388">
        <f>210.89*(0.028317)</f>
        <v>5.9717721299999988</v>
      </c>
      <c r="O8479" s="389">
        <v>3.4006500000000002E-2</v>
      </c>
      <c r="P8479" s="413"/>
      <c r="Q8479" s="413">
        <v>9.1565882446343977E-2</v>
      </c>
      <c r="R8479" s="413">
        <v>9.0639637970730672E-2</v>
      </c>
      <c r="S8479" s="413">
        <v>6.5564876809484737E-2</v>
      </c>
      <c r="T8479" s="413">
        <v>4.4764072299997348E-2</v>
      </c>
      <c r="U8479" s="413">
        <v>7.4774393309868473E-2</v>
      </c>
      <c r="V8479" s="504">
        <v>0.17204329531320298</v>
      </c>
      <c r="W8479" s="504">
        <v>0.2754915711752719</v>
      </c>
      <c r="X8479" s="504">
        <v>0.11898271892449784</v>
      </c>
      <c r="Y8479" s="504">
        <v>6.617355175060205E-2</v>
      </c>
      <c r="Z8479" s="388">
        <v>40</v>
      </c>
      <c r="AA8479" s="388"/>
      <c r="AB8479" s="391"/>
      <c r="AC8479" s="392"/>
      <c r="AD8479" s="388">
        <v>8.2295999999999996</v>
      </c>
      <c r="AE8479" s="388">
        <v>0.50212413333333339</v>
      </c>
      <c r="AF8479" s="388"/>
      <c r="AG8479" s="388">
        <v>1.4451134401241021</v>
      </c>
      <c r="AH8479" s="391"/>
      <c r="AI8479" s="397"/>
      <c r="AJ8479" s="397"/>
      <c r="AK8479" s="392"/>
      <c r="AL8479" s="392"/>
      <c r="AM8479" s="392"/>
      <c r="AN8479" s="392"/>
      <c r="AO8479" s="392"/>
      <c r="AP8479" s="392"/>
      <c r="AQ8479" s="392"/>
      <c r="AR8479" s="392"/>
      <c r="AS8479" s="392"/>
      <c r="AT8479" s="392"/>
      <c r="AU8479" s="397"/>
      <c r="AV8479" s="397"/>
      <c r="AW8479" s="397"/>
      <c r="AX8479" s="397"/>
      <c r="AY8479" s="392"/>
      <c r="AZ8479" s="392"/>
      <c r="BA8479" s="392"/>
      <c r="BB8479" s="392"/>
      <c r="BC8479" s="392"/>
      <c r="BD8479" s="392"/>
      <c r="BE8479" s="392"/>
      <c r="BF8479" s="392"/>
      <c r="BG8479" s="392"/>
      <c r="BH8479" s="392"/>
      <c r="BI8479" s="397"/>
      <c r="BJ8479" s="397"/>
      <c r="BK8479" s="397"/>
      <c r="BL8479" s="397"/>
      <c r="BM8479" s="397"/>
      <c r="BN8479" s="397"/>
      <c r="BO8479" s="397"/>
      <c r="BP8479" s="397"/>
      <c r="BQ8479" s="397"/>
      <c r="BR8479" s="397"/>
      <c r="BS8479" s="397"/>
      <c r="BT8479" s="397"/>
      <c r="BU8479" s="397"/>
      <c r="BV8479" s="397"/>
      <c r="BW8479" s="397"/>
      <c r="BX8479" s="397"/>
      <c r="BY8479" s="397"/>
      <c r="BZ8479" s="397"/>
      <c r="CA8479" s="392"/>
      <c r="CB8479" s="392"/>
    </row>
    <row r="8480" spans="1:80" ht="15" x14ac:dyDescent="0.25">
      <c r="A8480" s="385"/>
      <c r="B8480" s="392"/>
      <c r="C8480" s="392"/>
      <c r="D8480" s="385"/>
      <c r="E8480" s="397"/>
      <c r="F8480" s="392"/>
      <c r="G8480" s="392"/>
      <c r="H8480" s="401"/>
      <c r="I8480" s="165">
        <v>5</v>
      </c>
      <c r="J8480" s="165">
        <v>240</v>
      </c>
      <c r="K8480" s="165">
        <v>1</v>
      </c>
      <c r="L8480" s="628"/>
      <c r="M8480" s="628"/>
      <c r="N8480" s="388">
        <f>191.51*(0.028317)</f>
        <v>5.4229886699999996</v>
      </c>
      <c r="O8480" s="389">
        <v>3.9712500000000005E-2</v>
      </c>
      <c r="P8480" s="413"/>
      <c r="Q8480" s="413"/>
      <c r="R8480" s="413">
        <v>2.7389033054948053E-2</v>
      </c>
      <c r="S8480" s="413">
        <v>3.7576348204471546E-2</v>
      </c>
      <c r="T8480" s="413">
        <v>0.10017337699865154</v>
      </c>
      <c r="U8480" s="413">
        <v>0.17370562172085174</v>
      </c>
      <c r="V8480" s="504">
        <v>0.25229186261289338</v>
      </c>
      <c r="W8480" s="504">
        <v>0.25119267510510279</v>
      </c>
      <c r="X8480" s="504">
        <v>0.10137455097623717</v>
      </c>
      <c r="Y8480" s="504">
        <v>5.6296531326843986E-2</v>
      </c>
      <c r="Z8480" s="388">
        <v>21</v>
      </c>
      <c r="AA8480" s="388"/>
      <c r="AB8480" s="391"/>
      <c r="AC8480" s="392"/>
      <c r="AD8480" s="388">
        <v>8.2295999999999996</v>
      </c>
      <c r="AE8480" s="388">
        <v>0.47311733333333333</v>
      </c>
      <c r="AF8480" s="388"/>
      <c r="AG8480" s="388">
        <v>1.3927927272727274</v>
      </c>
      <c r="AH8480" s="391"/>
      <c r="AI8480" s="397"/>
      <c r="AJ8480" s="397"/>
      <c r="AK8480" s="392"/>
      <c r="AL8480" s="392"/>
      <c r="AM8480" s="392"/>
      <c r="AN8480" s="392"/>
      <c r="AO8480" s="392"/>
      <c r="AP8480" s="392"/>
      <c r="AQ8480" s="392"/>
      <c r="AR8480" s="392"/>
      <c r="AS8480" s="392"/>
      <c r="AT8480" s="392"/>
      <c r="AU8480" s="397"/>
      <c r="AV8480" s="397"/>
      <c r="AW8480" s="397"/>
      <c r="AX8480" s="397"/>
      <c r="AY8480" s="392"/>
      <c r="AZ8480" s="392"/>
      <c r="BA8480" s="392"/>
      <c r="BB8480" s="392"/>
      <c r="BC8480" s="392"/>
      <c r="BD8480" s="392"/>
      <c r="BE8480" s="392"/>
      <c r="BF8480" s="392"/>
      <c r="BG8480" s="392"/>
      <c r="BH8480" s="392"/>
      <c r="BI8480" s="397"/>
      <c r="BJ8480" s="397"/>
      <c r="BK8480" s="397"/>
      <c r="BL8480" s="397"/>
      <c r="BM8480" s="397"/>
      <c r="BN8480" s="397"/>
      <c r="BO8480" s="397"/>
      <c r="BP8480" s="397"/>
      <c r="BQ8480" s="397"/>
      <c r="BR8480" s="397"/>
      <c r="BS8480" s="397"/>
      <c r="BT8480" s="397"/>
      <c r="BU8480" s="397"/>
      <c r="BV8480" s="397"/>
      <c r="BW8480" s="397"/>
      <c r="BX8480" s="397"/>
      <c r="BY8480" s="397"/>
      <c r="BZ8480" s="397"/>
      <c r="CA8480" s="392"/>
      <c r="CB8480" s="392"/>
    </row>
    <row r="8481" spans="1:80" ht="15" x14ac:dyDescent="0.25">
      <c r="A8481" s="385"/>
      <c r="B8481" s="392"/>
      <c r="C8481" s="392"/>
      <c r="D8481" s="385"/>
      <c r="E8481" s="397"/>
      <c r="F8481" s="392"/>
      <c r="G8481" s="392"/>
      <c r="H8481" s="401"/>
      <c r="I8481" s="165">
        <v>5</v>
      </c>
      <c r="J8481" s="165">
        <v>240</v>
      </c>
      <c r="K8481" s="165">
        <v>1</v>
      </c>
      <c r="L8481" s="628"/>
      <c r="M8481" s="628"/>
      <c r="N8481" s="388">
        <f>222.8*(0.028317)</f>
        <v>6.3090276000000003</v>
      </c>
      <c r="O8481" s="389">
        <v>1.1535999999999999E-2</v>
      </c>
      <c r="P8481" s="413"/>
      <c r="Q8481" s="413">
        <v>0.2725810855911891</v>
      </c>
      <c r="R8481" s="413">
        <v>0.13170909311568918</v>
      </c>
      <c r="S8481" s="413">
        <v>0</v>
      </c>
      <c r="T8481" s="413">
        <v>1.1893564731939683E-2</v>
      </c>
      <c r="U8481" s="413">
        <v>3.4254680057040562E-2</v>
      </c>
      <c r="V8481" s="504">
        <v>0.1011559816742013</v>
      </c>
      <c r="W8481" s="504">
        <v>0.17133408173791681</v>
      </c>
      <c r="X8481" s="504">
        <v>0.10804332655723779</v>
      </c>
      <c r="Y8481" s="504">
        <v>0.16902818653478566</v>
      </c>
      <c r="Z8481" s="388">
        <v>41</v>
      </c>
      <c r="AA8481" s="388"/>
      <c r="AB8481" s="391"/>
      <c r="AC8481" s="392"/>
      <c r="AD8481" s="388">
        <v>6.4008000000000003</v>
      </c>
      <c r="AE8481" s="388">
        <v>0.61796022857142852</v>
      </c>
      <c r="AF8481" s="388"/>
      <c r="AG8481" s="388">
        <v>1.5950068167981968</v>
      </c>
      <c r="AH8481" s="391"/>
      <c r="AI8481" s="397"/>
      <c r="AJ8481" s="397"/>
      <c r="AK8481" s="392"/>
      <c r="AL8481" s="392"/>
      <c r="AM8481" s="392"/>
      <c r="AN8481" s="392"/>
      <c r="AO8481" s="392"/>
      <c r="AP8481" s="392"/>
      <c r="AQ8481" s="392"/>
      <c r="AR8481" s="392"/>
      <c r="AS8481" s="392"/>
      <c r="AT8481" s="392"/>
      <c r="AU8481" s="397"/>
      <c r="AV8481" s="397"/>
      <c r="AW8481" s="397"/>
      <c r="AX8481" s="397"/>
      <c r="AY8481" s="392"/>
      <c r="AZ8481" s="392"/>
      <c r="BA8481" s="392"/>
      <c r="BB8481" s="392"/>
      <c r="BC8481" s="392"/>
      <c r="BD8481" s="392"/>
      <c r="BE8481" s="392"/>
      <c r="BF8481" s="392"/>
      <c r="BG8481" s="392"/>
      <c r="BH8481" s="392"/>
      <c r="BI8481" s="397"/>
      <c r="BJ8481" s="397"/>
      <c r="BK8481" s="397"/>
      <c r="BL8481" s="397"/>
      <c r="BM8481" s="397"/>
      <c r="BN8481" s="397"/>
      <c r="BO8481" s="397"/>
      <c r="BP8481" s="397"/>
      <c r="BQ8481" s="397"/>
      <c r="BR8481" s="397"/>
      <c r="BS8481" s="397"/>
      <c r="BT8481" s="397"/>
      <c r="BU8481" s="397"/>
      <c r="BV8481" s="397"/>
      <c r="BW8481" s="397"/>
      <c r="BX8481" s="397"/>
      <c r="BY8481" s="397"/>
      <c r="BZ8481" s="397"/>
      <c r="CA8481" s="392"/>
      <c r="CB8481" s="392"/>
    </row>
    <row r="8482" spans="1:80" ht="15" x14ac:dyDescent="0.25">
      <c r="A8482" s="385"/>
      <c r="B8482" s="392"/>
      <c r="C8482" s="392"/>
      <c r="D8482" s="385"/>
      <c r="E8482" s="397"/>
      <c r="F8482" s="392"/>
      <c r="G8482" s="392"/>
      <c r="H8482" s="401"/>
      <c r="I8482" s="165">
        <v>5</v>
      </c>
      <c r="J8482" s="165">
        <v>240</v>
      </c>
      <c r="K8482" s="165">
        <v>1</v>
      </c>
      <c r="L8482" s="628"/>
      <c r="M8482" s="628"/>
      <c r="N8482" s="388">
        <f>259.72*(0.028317)</f>
        <v>7.3544912400000007</v>
      </c>
      <c r="O8482" s="389">
        <v>3.0627000000000001E-2</v>
      </c>
      <c r="P8482" s="413"/>
      <c r="Q8482" s="413"/>
      <c r="R8482" s="413">
        <v>3.6498280878074572E-2</v>
      </c>
      <c r="S8482" s="413">
        <v>1.6353698316142112E-2</v>
      </c>
      <c r="T8482" s="413">
        <v>2.4053013606041902E-2</v>
      </c>
      <c r="U8482" s="413">
        <v>7.7977607334920193E-2</v>
      </c>
      <c r="V8482" s="504">
        <v>0.25012489347321393</v>
      </c>
      <c r="W8482" s="504">
        <v>0.32924858209174523</v>
      </c>
      <c r="X8482" s="504">
        <v>0.14337770724969875</v>
      </c>
      <c r="Y8482" s="504">
        <v>0.12236621705016307</v>
      </c>
      <c r="Z8482" s="388">
        <v>21</v>
      </c>
      <c r="AA8482" s="388"/>
      <c r="AB8482" s="391"/>
      <c r="AC8482" s="392"/>
      <c r="AD8482" s="388">
        <v>8.2295999999999996</v>
      </c>
      <c r="AE8482" s="388">
        <v>0.55767111111111112</v>
      </c>
      <c r="AF8482" s="388"/>
      <c r="AG8482" s="388">
        <v>1.6024921700404859</v>
      </c>
      <c r="AH8482" s="391"/>
      <c r="AI8482" s="397"/>
      <c r="AJ8482" s="397"/>
      <c r="AK8482" s="392"/>
      <c r="AL8482" s="392"/>
      <c r="AM8482" s="392"/>
      <c r="AN8482" s="392"/>
      <c r="AO8482" s="392"/>
      <c r="AP8482" s="392"/>
      <c r="AQ8482" s="392"/>
      <c r="AR8482" s="392"/>
      <c r="AS8482" s="392"/>
      <c r="AT8482" s="392"/>
      <c r="AU8482" s="397"/>
      <c r="AV8482" s="397"/>
      <c r="AW8482" s="397"/>
      <c r="AX8482" s="397"/>
      <c r="AY8482" s="392"/>
      <c r="AZ8482" s="392"/>
      <c r="BA8482" s="392"/>
      <c r="BB8482" s="392"/>
      <c r="BC8482" s="392"/>
      <c r="BD8482" s="392"/>
      <c r="BE8482" s="392"/>
      <c r="BF8482" s="392"/>
      <c r="BG8482" s="392"/>
      <c r="BH8482" s="392"/>
      <c r="BI8482" s="397"/>
      <c r="BJ8482" s="397"/>
      <c r="BK8482" s="397"/>
      <c r="BL8482" s="397"/>
      <c r="BM8482" s="397"/>
      <c r="BN8482" s="397"/>
      <c r="BO8482" s="397"/>
      <c r="BP8482" s="397"/>
      <c r="BQ8482" s="397"/>
      <c r="BR8482" s="397"/>
      <c r="BS8482" s="397"/>
      <c r="BT8482" s="397"/>
      <c r="BU8482" s="397"/>
      <c r="BV8482" s="397"/>
      <c r="BW8482" s="397"/>
      <c r="BX8482" s="397"/>
      <c r="BY8482" s="397"/>
      <c r="BZ8482" s="397"/>
      <c r="CA8482" s="392"/>
      <c r="CB8482" s="392"/>
    </row>
    <row r="8483" spans="1:80" ht="15" x14ac:dyDescent="0.25">
      <c r="A8483" s="385"/>
      <c r="B8483" s="392"/>
      <c r="C8483" s="392"/>
      <c r="D8483" s="385"/>
      <c r="E8483" s="397"/>
      <c r="F8483" s="392"/>
      <c r="G8483" s="392"/>
      <c r="H8483" s="401"/>
      <c r="I8483" s="165">
        <v>5</v>
      </c>
      <c r="J8483" s="165">
        <v>240</v>
      </c>
      <c r="K8483" s="165">
        <v>1</v>
      </c>
      <c r="L8483" s="628"/>
      <c r="M8483" s="628"/>
      <c r="N8483" s="388">
        <f>281.03*(0.028317)</f>
        <v>7.9579265099999992</v>
      </c>
      <c r="O8483" s="389">
        <v>1.8287999999999999E-2</v>
      </c>
      <c r="P8483" s="413"/>
      <c r="Q8483" s="413">
        <v>0.12351421188630492</v>
      </c>
      <c r="R8483" s="413"/>
      <c r="S8483" s="413">
        <v>1.0483573274270949E-2</v>
      </c>
      <c r="T8483" s="413">
        <v>1.6586686354128216E-2</v>
      </c>
      <c r="U8483" s="413">
        <v>6.3172142241909687E-2</v>
      </c>
      <c r="V8483" s="504">
        <v>0.17524301710348222</v>
      </c>
      <c r="W8483" s="504">
        <v>0.26228620647225298</v>
      </c>
      <c r="X8483" s="504">
        <v>0.20991755875476806</v>
      </c>
      <c r="Y8483" s="504">
        <v>0.13879660391288298</v>
      </c>
      <c r="Z8483" s="388">
        <v>40</v>
      </c>
      <c r="AA8483" s="388"/>
      <c r="AB8483" s="391"/>
      <c r="AC8483" s="392"/>
      <c r="AD8483" s="388">
        <v>8.2295999999999996</v>
      </c>
      <c r="AE8483" s="388">
        <v>0.60000444444444445</v>
      </c>
      <c r="AF8483" s="388"/>
      <c r="AG8483" s="388">
        <v>1.6116378852304798</v>
      </c>
      <c r="AH8483" s="391"/>
      <c r="AI8483" s="397"/>
      <c r="AJ8483" s="397"/>
      <c r="AK8483" s="392"/>
      <c r="AL8483" s="392"/>
      <c r="AM8483" s="392"/>
      <c r="AN8483" s="392"/>
      <c r="AO8483" s="392"/>
      <c r="AP8483" s="392"/>
      <c r="AQ8483" s="392"/>
      <c r="AR8483" s="392"/>
      <c r="AS8483" s="392"/>
      <c r="AT8483" s="392"/>
      <c r="AU8483" s="397"/>
      <c r="AV8483" s="397"/>
      <c r="AW8483" s="397"/>
      <c r="AX8483" s="397"/>
      <c r="AY8483" s="392"/>
      <c r="AZ8483" s="392"/>
      <c r="BA8483" s="392"/>
      <c r="BB8483" s="392"/>
      <c r="BC8483" s="392"/>
      <c r="BD8483" s="392"/>
      <c r="BE8483" s="392"/>
      <c r="BF8483" s="392"/>
      <c r="BG8483" s="392"/>
      <c r="BH8483" s="392"/>
      <c r="BI8483" s="397"/>
      <c r="BJ8483" s="397"/>
      <c r="BK8483" s="397"/>
      <c r="BL8483" s="397"/>
      <c r="BM8483" s="397"/>
      <c r="BN8483" s="397"/>
      <c r="BO8483" s="397"/>
      <c r="BP8483" s="397"/>
      <c r="BQ8483" s="397"/>
      <c r="BR8483" s="397"/>
      <c r="BS8483" s="397"/>
      <c r="BT8483" s="397"/>
      <c r="BU8483" s="397"/>
      <c r="BV8483" s="397"/>
      <c r="BW8483" s="397"/>
      <c r="BX8483" s="397"/>
      <c r="BY8483" s="397"/>
      <c r="BZ8483" s="397"/>
      <c r="CA8483" s="392"/>
      <c r="CB8483" s="392"/>
    </row>
    <row r="8484" spans="1:80" ht="15" x14ac:dyDescent="0.25">
      <c r="A8484" s="385"/>
      <c r="B8484" s="392"/>
      <c r="C8484" s="392"/>
      <c r="D8484" s="385"/>
      <c r="E8484" s="397"/>
      <c r="F8484" s="392"/>
      <c r="G8484" s="392"/>
      <c r="H8484" s="401"/>
      <c r="I8484" s="165">
        <v>5</v>
      </c>
      <c r="J8484" s="165">
        <v>240</v>
      </c>
      <c r="K8484" s="165">
        <v>1</v>
      </c>
      <c r="L8484" s="628"/>
      <c r="M8484" s="628"/>
      <c r="N8484" s="388">
        <f>321.97*(0.028317)</f>
        <v>9.1172244899999999</v>
      </c>
      <c r="O8484" s="389">
        <v>0.10543950000000001</v>
      </c>
      <c r="P8484" s="413">
        <v>0.36681860083990581</v>
      </c>
      <c r="Q8484" s="413"/>
      <c r="R8484" s="413">
        <v>5.1640547645873877E-3</v>
      </c>
      <c r="S8484" s="413">
        <v>2.1979241353409132E-2</v>
      </c>
      <c r="T8484" s="413">
        <v>2.4795998497729524E-2</v>
      </c>
      <c r="U8484" s="413">
        <v>7.2595513674075587E-2</v>
      </c>
      <c r="V8484" s="504">
        <v>0.19768513776503124</v>
      </c>
      <c r="W8484" s="504">
        <v>0.21057393560722457</v>
      </c>
      <c r="X8484" s="504">
        <v>5.735941821161529E-2</v>
      </c>
      <c r="Y8484" s="504">
        <v>4.3028099286421526E-2</v>
      </c>
      <c r="Z8484" s="388">
        <v>89</v>
      </c>
      <c r="AA8484" s="388"/>
      <c r="AB8484" s="391"/>
      <c r="AC8484" s="392"/>
      <c r="AD8484" s="388">
        <v>8.2295999999999996</v>
      </c>
      <c r="AE8484" s="388">
        <v>0.62185973333333344</v>
      </c>
      <c r="AF8484" s="388"/>
      <c r="AG8484" s="388">
        <v>1.7815256782485571</v>
      </c>
      <c r="AH8484" s="391"/>
      <c r="AI8484" s="397"/>
      <c r="AJ8484" s="397"/>
      <c r="AK8484" s="392"/>
      <c r="AL8484" s="392"/>
      <c r="AM8484" s="392"/>
      <c r="AN8484" s="392"/>
      <c r="AO8484" s="392"/>
      <c r="AP8484" s="392"/>
      <c r="AQ8484" s="392"/>
      <c r="AR8484" s="392"/>
      <c r="AS8484" s="392"/>
      <c r="AT8484" s="392"/>
      <c r="AU8484" s="397"/>
      <c r="AV8484" s="397"/>
      <c r="AW8484" s="397"/>
      <c r="AX8484" s="397"/>
      <c r="AY8484" s="392"/>
      <c r="AZ8484" s="392"/>
      <c r="BA8484" s="392"/>
      <c r="BB8484" s="392"/>
      <c r="BC8484" s="392"/>
      <c r="BD8484" s="392"/>
      <c r="BE8484" s="392"/>
      <c r="BF8484" s="392"/>
      <c r="BG8484" s="392"/>
      <c r="BH8484" s="392"/>
      <c r="BI8484" s="397"/>
      <c r="BJ8484" s="397"/>
      <c r="BK8484" s="397"/>
      <c r="BL8484" s="397"/>
      <c r="BM8484" s="397"/>
      <c r="BN8484" s="397"/>
      <c r="BO8484" s="397"/>
      <c r="BP8484" s="397"/>
      <c r="BQ8484" s="397"/>
      <c r="BR8484" s="397"/>
      <c r="BS8484" s="397"/>
      <c r="BT8484" s="397"/>
      <c r="BU8484" s="397"/>
      <c r="BV8484" s="397"/>
      <c r="BW8484" s="397"/>
      <c r="BX8484" s="397"/>
      <c r="BY8484" s="397"/>
      <c r="BZ8484" s="397"/>
      <c r="CA8484" s="392"/>
      <c r="CB8484" s="392"/>
    </row>
    <row r="8485" spans="1:80" ht="15" x14ac:dyDescent="0.25">
      <c r="A8485" s="385"/>
      <c r="B8485" s="392"/>
      <c r="C8485" s="392"/>
      <c r="D8485" s="385"/>
      <c r="E8485" s="397"/>
      <c r="F8485" s="392"/>
      <c r="G8485" s="392"/>
      <c r="H8485" s="401"/>
      <c r="I8485" s="165">
        <v>5</v>
      </c>
      <c r="J8485" s="165">
        <v>240</v>
      </c>
      <c r="K8485" s="165">
        <v>1</v>
      </c>
      <c r="L8485" s="628"/>
      <c r="M8485" s="628"/>
      <c r="N8485" s="388">
        <f>261.46*(0.028317)</f>
        <v>7.403762819999999</v>
      </c>
      <c r="O8485" s="389">
        <v>7.95825E-2</v>
      </c>
      <c r="P8485" s="413"/>
      <c r="Q8485" s="413">
        <v>8.3069928923217851E-2</v>
      </c>
      <c r="R8485" s="413">
        <v>6.6762415818966248E-2</v>
      </c>
      <c r="S8485" s="413">
        <v>0.11576977229419116</v>
      </c>
      <c r="T8485" s="413">
        <v>0.12624751909799775</v>
      </c>
      <c r="U8485" s="413">
        <v>0.16448875041701772</v>
      </c>
      <c r="V8485" s="504">
        <v>0.20809042640414813</v>
      </c>
      <c r="W8485" s="504">
        <v>0.15385267824326693</v>
      </c>
      <c r="X8485" s="504">
        <v>4.4602518504277607E-2</v>
      </c>
      <c r="Y8485" s="504">
        <v>3.7115990296916611E-2</v>
      </c>
      <c r="Z8485" s="388">
        <v>40</v>
      </c>
      <c r="AA8485" s="388"/>
      <c r="AB8485" s="391"/>
      <c r="AC8485" s="392"/>
      <c r="AD8485" s="388">
        <v>8.2295999999999996</v>
      </c>
      <c r="AE8485" s="388">
        <v>0.55959022222222221</v>
      </c>
      <c r="AF8485" s="388"/>
      <c r="AG8485" s="388">
        <v>1.6077037861609849</v>
      </c>
      <c r="AH8485" s="391"/>
      <c r="AI8485" s="397"/>
      <c r="AJ8485" s="397"/>
      <c r="AK8485" s="392"/>
      <c r="AL8485" s="392"/>
      <c r="AM8485" s="392"/>
      <c r="AN8485" s="392"/>
      <c r="AO8485" s="392"/>
      <c r="AP8485" s="392"/>
      <c r="AQ8485" s="392"/>
      <c r="AR8485" s="392"/>
      <c r="AS8485" s="392"/>
      <c r="AT8485" s="392"/>
      <c r="AU8485" s="397"/>
      <c r="AV8485" s="397"/>
      <c r="AW8485" s="397"/>
      <c r="AX8485" s="397"/>
      <c r="AY8485" s="392"/>
      <c r="AZ8485" s="392"/>
      <c r="BA8485" s="392"/>
      <c r="BB8485" s="392"/>
      <c r="BC8485" s="392"/>
      <c r="BD8485" s="392"/>
      <c r="BE8485" s="392"/>
      <c r="BF8485" s="392"/>
      <c r="BG8485" s="392"/>
      <c r="BH8485" s="392"/>
      <c r="BI8485" s="397"/>
      <c r="BJ8485" s="397"/>
      <c r="BK8485" s="397"/>
      <c r="BL8485" s="397"/>
      <c r="BM8485" s="397"/>
      <c r="BN8485" s="397"/>
      <c r="BO8485" s="397"/>
      <c r="BP8485" s="397"/>
      <c r="BQ8485" s="397"/>
      <c r="BR8485" s="397"/>
      <c r="BS8485" s="397"/>
      <c r="BT8485" s="397"/>
      <c r="BU8485" s="397"/>
      <c r="BV8485" s="397"/>
      <c r="BW8485" s="397"/>
      <c r="BX8485" s="397"/>
      <c r="BY8485" s="397"/>
      <c r="BZ8485" s="397"/>
      <c r="CA8485" s="392"/>
      <c r="CB8485" s="392"/>
    </row>
    <row r="8486" spans="1:80" ht="15" x14ac:dyDescent="0.25">
      <c r="A8486" s="385"/>
      <c r="B8486" s="392"/>
      <c r="C8486" s="392"/>
      <c r="D8486" s="385"/>
      <c r="E8486" s="397"/>
      <c r="F8486" s="392"/>
      <c r="G8486" s="392"/>
      <c r="H8486" s="401"/>
      <c r="I8486" s="165">
        <v>5</v>
      </c>
      <c r="J8486" s="165">
        <v>240</v>
      </c>
      <c r="K8486" s="165">
        <v>1</v>
      </c>
      <c r="L8486" s="628"/>
      <c r="M8486" s="628"/>
      <c r="N8486" s="388">
        <f>274.46*(0.028317)</f>
        <v>7.7718838199999993</v>
      </c>
      <c r="O8486" s="389">
        <v>0.23509799999999997</v>
      </c>
      <c r="P8486" s="413">
        <v>0.1318881774766239</v>
      </c>
      <c r="Q8486" s="413">
        <v>9.273115315780911E-2</v>
      </c>
      <c r="R8486" s="413">
        <v>2.6860757797620764E-2</v>
      </c>
      <c r="S8486" s="413">
        <v>4.4149032894044239E-2</v>
      </c>
      <c r="T8486" s="413">
        <v>6.2346512006278304E-2</v>
      </c>
      <c r="U8486" s="413">
        <v>0.12672581278053729</v>
      </c>
      <c r="V8486" s="504">
        <v>0.24404949898073447</v>
      </c>
      <c r="W8486" s="504">
        <v>0.1800893891106071</v>
      </c>
      <c r="X8486" s="504">
        <v>5.36372945916717E-2</v>
      </c>
      <c r="Y8486" s="504">
        <v>3.7522371204073236E-2</v>
      </c>
      <c r="Z8486" s="388">
        <v>80</v>
      </c>
      <c r="AA8486" s="388"/>
      <c r="AB8486" s="391"/>
      <c r="AC8486" s="392"/>
      <c r="AD8486" s="388">
        <v>8.2295999999999996</v>
      </c>
      <c r="AE8486" s="388">
        <v>0.58137777777777788</v>
      </c>
      <c r="AF8486" s="388"/>
      <c r="AG8486" s="388">
        <v>1.6243768543689319</v>
      </c>
      <c r="AH8486" s="391"/>
      <c r="AI8486" s="397"/>
      <c r="AJ8486" s="397"/>
      <c r="AK8486" s="392"/>
      <c r="AL8486" s="392"/>
      <c r="AM8486" s="392"/>
      <c r="AN8486" s="392"/>
      <c r="AO8486" s="392"/>
      <c r="AP8486" s="392"/>
      <c r="AQ8486" s="392"/>
      <c r="AR8486" s="392"/>
      <c r="AS8486" s="392"/>
      <c r="AT8486" s="392"/>
      <c r="AU8486" s="397"/>
      <c r="AV8486" s="397"/>
      <c r="AW8486" s="397"/>
      <c r="AX8486" s="397"/>
      <c r="AY8486" s="392"/>
      <c r="AZ8486" s="392"/>
      <c r="BA8486" s="392"/>
      <c r="BB8486" s="392"/>
      <c r="BC8486" s="392"/>
      <c r="BD8486" s="392"/>
      <c r="BE8486" s="392"/>
      <c r="BF8486" s="392"/>
      <c r="BG8486" s="392"/>
      <c r="BH8486" s="392"/>
      <c r="BI8486" s="397"/>
      <c r="BJ8486" s="397"/>
      <c r="BK8486" s="397"/>
      <c r="BL8486" s="397"/>
      <c r="BM8486" s="397"/>
      <c r="BN8486" s="397"/>
      <c r="BO8486" s="397"/>
      <c r="BP8486" s="397"/>
      <c r="BQ8486" s="397"/>
      <c r="BR8486" s="397"/>
      <c r="BS8486" s="397"/>
      <c r="BT8486" s="397"/>
      <c r="BU8486" s="397"/>
      <c r="BV8486" s="397"/>
      <c r="BW8486" s="397"/>
      <c r="BX8486" s="397"/>
      <c r="BY8486" s="397"/>
      <c r="BZ8486" s="397"/>
      <c r="CA8486" s="392"/>
      <c r="CB8486" s="392"/>
    </row>
    <row r="8487" spans="1:80" ht="15" x14ac:dyDescent="0.25">
      <c r="A8487" s="385"/>
      <c r="B8487" s="392"/>
      <c r="C8487" s="392"/>
      <c r="D8487" s="385"/>
      <c r="E8487" s="397"/>
      <c r="F8487" s="392"/>
      <c r="G8487" s="392"/>
      <c r="H8487" s="401"/>
      <c r="I8487" s="165">
        <v>5</v>
      </c>
      <c r="J8487" s="165">
        <v>240</v>
      </c>
      <c r="K8487" s="165">
        <v>1</v>
      </c>
      <c r="L8487" s="628"/>
      <c r="M8487" s="628"/>
      <c r="N8487" s="388">
        <f>339.83*(0.028317)</f>
        <v>9.6229661099999984</v>
      </c>
      <c r="O8487" s="389">
        <v>0.37200150000000004</v>
      </c>
      <c r="P8487" s="413">
        <v>4.1777351972012947E-2</v>
      </c>
      <c r="Q8487" s="413">
        <v>0.18856421199320644</v>
      </c>
      <c r="R8487" s="413">
        <v>7.5516410457402483E-2</v>
      </c>
      <c r="S8487" s="413">
        <v>3.9843080898256618E-2</v>
      </c>
      <c r="T8487" s="413">
        <v>6.4818040616063527E-2</v>
      </c>
      <c r="U8487" s="413">
        <v>0.14064291831787368</v>
      </c>
      <c r="V8487" s="504">
        <v>0.24636129619145775</v>
      </c>
      <c r="W8487" s="504">
        <v>0.13296752747172988</v>
      </c>
      <c r="X8487" s="504">
        <v>4.4389041307997888E-2</v>
      </c>
      <c r="Y8487" s="504">
        <v>2.512495947587181E-2</v>
      </c>
      <c r="Z8487" s="388">
        <v>75</v>
      </c>
      <c r="AA8487" s="388"/>
      <c r="AB8487" s="391"/>
      <c r="AC8487" s="392"/>
      <c r="AD8487" s="388">
        <v>8.2295999999999996</v>
      </c>
      <c r="AE8487" s="388">
        <v>0.67778488888888888</v>
      </c>
      <c r="AF8487" s="388"/>
      <c r="AG8487" s="388">
        <v>1.7251989673550967</v>
      </c>
      <c r="AH8487" s="391"/>
      <c r="AI8487" s="397"/>
      <c r="AJ8487" s="397"/>
      <c r="AK8487" s="392"/>
      <c r="AL8487" s="392"/>
      <c r="AM8487" s="392"/>
      <c r="AN8487" s="392"/>
      <c r="AO8487" s="392"/>
      <c r="AP8487" s="392"/>
      <c r="AQ8487" s="392"/>
      <c r="AR8487" s="392"/>
      <c r="AS8487" s="392"/>
      <c r="AT8487" s="392"/>
      <c r="AU8487" s="397"/>
      <c r="AV8487" s="397"/>
      <c r="AW8487" s="397"/>
      <c r="AX8487" s="397"/>
      <c r="AY8487" s="392"/>
      <c r="AZ8487" s="392"/>
      <c r="BA8487" s="392"/>
      <c r="BB8487" s="392"/>
      <c r="BC8487" s="392"/>
      <c r="BD8487" s="392"/>
      <c r="BE8487" s="392"/>
      <c r="BF8487" s="392"/>
      <c r="BG8487" s="392"/>
      <c r="BH8487" s="392"/>
      <c r="BI8487" s="397"/>
      <c r="BJ8487" s="397"/>
      <c r="BK8487" s="397"/>
      <c r="BL8487" s="397"/>
      <c r="BM8487" s="397"/>
      <c r="BN8487" s="397"/>
      <c r="BO8487" s="397"/>
      <c r="BP8487" s="397"/>
      <c r="BQ8487" s="397"/>
      <c r="BR8487" s="397"/>
      <c r="BS8487" s="397"/>
      <c r="BT8487" s="397"/>
      <c r="BU8487" s="397"/>
      <c r="BV8487" s="397"/>
      <c r="BW8487" s="397"/>
      <c r="BX8487" s="397"/>
      <c r="BY8487" s="397"/>
      <c r="BZ8487" s="397"/>
      <c r="CA8487" s="392"/>
      <c r="CB8487" s="392"/>
    </row>
    <row r="8488" spans="1:80" ht="15" x14ac:dyDescent="0.25">
      <c r="A8488" s="385"/>
      <c r="B8488" s="392"/>
      <c r="C8488" s="392"/>
      <c r="D8488" s="385"/>
      <c r="E8488" s="397"/>
      <c r="F8488" s="392"/>
      <c r="G8488" s="392"/>
      <c r="H8488" s="401"/>
      <c r="I8488" s="165">
        <v>10</v>
      </c>
      <c r="J8488" s="165">
        <v>120</v>
      </c>
      <c r="K8488" s="165">
        <v>1</v>
      </c>
      <c r="L8488" s="628"/>
      <c r="M8488" s="628"/>
      <c r="N8488" s="388">
        <f>339.26*(0.028317)</f>
        <v>9.6068254199999998</v>
      </c>
      <c r="O8488" s="389">
        <v>0.32729399999999997</v>
      </c>
      <c r="P8488" s="413"/>
      <c r="Q8488" s="413">
        <v>0.16134642803619328</v>
      </c>
      <c r="R8488" s="413">
        <v>4.2084813087003327E-2</v>
      </c>
      <c r="S8488" s="413">
        <v>4.3452854807463595E-2</v>
      </c>
      <c r="T8488" s="413">
        <v>6.8528578322794603E-2</v>
      </c>
      <c r="U8488" s="413">
        <v>0.20567647944431383</v>
      </c>
      <c r="V8488" s="504">
        <v>0.26831904107837434</v>
      </c>
      <c r="W8488" s="504">
        <v>0.14864907598749927</v>
      </c>
      <c r="X8488" s="504">
        <v>4.2051815095756048E-2</v>
      </c>
      <c r="Y8488" s="504">
        <v>1.989366397320563E-2</v>
      </c>
      <c r="Z8488" s="388">
        <v>60</v>
      </c>
      <c r="AA8488" s="388"/>
      <c r="AB8488" s="391"/>
      <c r="AC8488" s="392"/>
      <c r="AD8488" s="388">
        <v>8.2295999999999996</v>
      </c>
      <c r="AE8488" s="388">
        <v>0.67665600000000015</v>
      </c>
      <c r="AF8488" s="388"/>
      <c r="AG8488" s="388">
        <v>1.725168</v>
      </c>
      <c r="AH8488" s="391"/>
      <c r="AI8488" s="397"/>
      <c r="AJ8488" s="397"/>
      <c r="AK8488" s="392"/>
      <c r="AL8488" s="392"/>
      <c r="AM8488" s="392"/>
      <c r="AN8488" s="392"/>
      <c r="AO8488" s="392"/>
      <c r="AP8488" s="392"/>
      <c r="AQ8488" s="392"/>
      <c r="AR8488" s="392"/>
      <c r="AS8488" s="392"/>
      <c r="AT8488" s="392"/>
      <c r="AU8488" s="397"/>
      <c r="AV8488" s="397"/>
      <c r="AW8488" s="397"/>
      <c r="AX8488" s="397"/>
      <c r="AY8488" s="392"/>
      <c r="AZ8488" s="392"/>
      <c r="BA8488" s="392"/>
      <c r="BB8488" s="392"/>
      <c r="BC8488" s="392"/>
      <c r="BD8488" s="392"/>
      <c r="BE8488" s="392"/>
      <c r="BF8488" s="392"/>
      <c r="BG8488" s="392"/>
      <c r="BH8488" s="392"/>
      <c r="BI8488" s="397"/>
      <c r="BJ8488" s="397"/>
      <c r="BK8488" s="397"/>
      <c r="BL8488" s="397"/>
      <c r="BM8488" s="397"/>
      <c r="BN8488" s="397"/>
      <c r="BO8488" s="397"/>
      <c r="BP8488" s="397"/>
      <c r="BQ8488" s="397"/>
      <c r="BR8488" s="397"/>
      <c r="BS8488" s="397"/>
      <c r="BT8488" s="397"/>
      <c r="BU8488" s="397"/>
      <c r="BV8488" s="397"/>
      <c r="BW8488" s="397"/>
      <c r="BX8488" s="397"/>
      <c r="BY8488" s="397"/>
      <c r="BZ8488" s="397"/>
      <c r="CA8488" s="392"/>
      <c r="CB8488" s="392"/>
    </row>
    <row r="8489" spans="1:80" ht="15" x14ac:dyDescent="0.25">
      <c r="A8489" s="385"/>
      <c r="B8489" s="392"/>
      <c r="C8489" s="392"/>
      <c r="D8489" s="385"/>
      <c r="E8489" s="397"/>
      <c r="F8489" s="392"/>
      <c r="G8489" s="392"/>
      <c r="H8489" s="401"/>
      <c r="I8489" s="165">
        <v>5</v>
      </c>
      <c r="J8489" s="165">
        <v>240</v>
      </c>
      <c r="K8489" s="165">
        <v>1</v>
      </c>
      <c r="L8489" s="628"/>
      <c r="M8489" s="628"/>
      <c r="N8489" s="388">
        <f>248.11*(0.028317)</f>
        <v>7.0257308700000003</v>
      </c>
      <c r="O8489" s="389">
        <v>0.10503899999999999</v>
      </c>
      <c r="P8489" s="413">
        <v>0.17362768240803017</v>
      </c>
      <c r="Q8489" s="413"/>
      <c r="R8489" s="413">
        <v>8.7525008675386311E-3</v>
      </c>
      <c r="S8489" s="413">
        <v>6.1588816677305612E-2</v>
      </c>
      <c r="T8489" s="413">
        <v>0.13420072916086523</v>
      </c>
      <c r="U8489" s="413">
        <v>0.22988274305005163</v>
      </c>
      <c r="V8489" s="504">
        <v>0.23354139980035901</v>
      </c>
      <c r="W8489" s="504">
        <v>0.10564692677117116</v>
      </c>
      <c r="X8489" s="504">
        <v>3.4881479228340451E-2</v>
      </c>
      <c r="Y8489" s="504">
        <v>1.7877722036338084E-2</v>
      </c>
      <c r="Z8489" s="388">
        <v>83</v>
      </c>
      <c r="AA8489" s="388"/>
      <c r="AB8489" s="391"/>
      <c r="AC8489" s="392"/>
      <c r="AD8489" s="388">
        <v>8.2295999999999996</v>
      </c>
      <c r="AE8489" s="388">
        <v>0.54903511111111114</v>
      </c>
      <c r="AF8489" s="388"/>
      <c r="AG8489" s="388">
        <v>1.5549374976868513</v>
      </c>
      <c r="AH8489" s="391"/>
      <c r="AI8489" s="397"/>
      <c r="AJ8489" s="397"/>
      <c r="AK8489" s="392"/>
      <c r="AL8489" s="392"/>
      <c r="AM8489" s="392"/>
      <c r="AN8489" s="392"/>
      <c r="AO8489" s="392"/>
      <c r="AP8489" s="392"/>
      <c r="AQ8489" s="392"/>
      <c r="AR8489" s="392"/>
      <c r="AS8489" s="392"/>
      <c r="AT8489" s="392"/>
      <c r="AU8489" s="397"/>
      <c r="AV8489" s="397"/>
      <c r="AW8489" s="397"/>
      <c r="AX8489" s="397"/>
      <c r="AY8489" s="392"/>
      <c r="AZ8489" s="392"/>
      <c r="BA8489" s="392"/>
      <c r="BB8489" s="392"/>
      <c r="BC8489" s="392"/>
      <c r="BD8489" s="392"/>
      <c r="BE8489" s="392"/>
      <c r="BF8489" s="392"/>
      <c r="BG8489" s="392"/>
      <c r="BH8489" s="392"/>
      <c r="BI8489" s="397"/>
      <c r="BJ8489" s="397"/>
      <c r="BK8489" s="397"/>
      <c r="BL8489" s="397"/>
      <c r="BM8489" s="397"/>
      <c r="BN8489" s="397"/>
      <c r="BO8489" s="397"/>
      <c r="BP8489" s="397"/>
      <c r="BQ8489" s="397"/>
      <c r="BR8489" s="397"/>
      <c r="BS8489" s="397"/>
      <c r="BT8489" s="397"/>
      <c r="BU8489" s="397"/>
      <c r="BV8489" s="397"/>
      <c r="BW8489" s="397"/>
      <c r="BX8489" s="397"/>
      <c r="BY8489" s="397"/>
      <c r="BZ8489" s="397"/>
      <c r="CA8489" s="392"/>
      <c r="CB8489" s="392"/>
    </row>
    <row r="8490" spans="1:80" ht="15" x14ac:dyDescent="0.25">
      <c r="A8490" s="385"/>
      <c r="B8490" s="392"/>
      <c r="C8490" s="392"/>
      <c r="D8490" s="385"/>
      <c r="E8490" s="397"/>
      <c r="F8490" s="392"/>
      <c r="G8490" s="392"/>
      <c r="H8490" s="401"/>
      <c r="I8490" s="165">
        <v>5</v>
      </c>
      <c r="J8490" s="165">
        <v>240</v>
      </c>
      <c r="K8490" s="165">
        <v>1</v>
      </c>
      <c r="L8490" s="628"/>
      <c r="M8490" s="628"/>
      <c r="N8490" s="388">
        <f>278.71*(0.028317)</f>
        <v>7.8922310699999993</v>
      </c>
      <c r="O8490" s="389">
        <v>0.145341</v>
      </c>
      <c r="P8490" s="413"/>
      <c r="Q8490" s="413">
        <v>0.13475447396123599</v>
      </c>
      <c r="R8490" s="413"/>
      <c r="S8490" s="413">
        <v>5.6121122050900987E-2</v>
      </c>
      <c r="T8490" s="413">
        <v>8.3516007183107324E-2</v>
      </c>
      <c r="U8490" s="413">
        <v>0.20010836584308625</v>
      </c>
      <c r="V8490" s="504">
        <v>0.22268561520837207</v>
      </c>
      <c r="W8490" s="504">
        <v>0.13035791689887918</v>
      </c>
      <c r="X8490" s="504">
        <v>0.1216236299461267</v>
      </c>
      <c r="Y8490" s="504">
        <v>5.0832868908291542E-2</v>
      </c>
      <c r="Z8490" s="388">
        <v>63</v>
      </c>
      <c r="AA8490" s="388"/>
      <c r="AB8490" s="391"/>
      <c r="AC8490" s="392"/>
      <c r="AD8490" s="388">
        <v>8.2295999999999996</v>
      </c>
      <c r="AE8490" s="388">
        <v>0.6033911111111111</v>
      </c>
      <c r="AF8490" s="388"/>
      <c r="AG8490" s="388">
        <v>1.5893224321796071</v>
      </c>
      <c r="AH8490" s="391"/>
      <c r="AI8490" s="397"/>
      <c r="AJ8490" s="397"/>
      <c r="AK8490" s="392"/>
      <c r="AL8490" s="392"/>
      <c r="AM8490" s="392"/>
      <c r="AN8490" s="392"/>
      <c r="AO8490" s="392"/>
      <c r="AP8490" s="392"/>
      <c r="AQ8490" s="392"/>
      <c r="AR8490" s="392"/>
      <c r="AS8490" s="392"/>
      <c r="AT8490" s="392"/>
      <c r="AU8490" s="397"/>
      <c r="AV8490" s="397"/>
      <c r="AW8490" s="397"/>
      <c r="AX8490" s="397"/>
      <c r="AY8490" s="392"/>
      <c r="AZ8490" s="392"/>
      <c r="BA8490" s="392"/>
      <c r="BB8490" s="392"/>
      <c r="BC8490" s="392"/>
      <c r="BD8490" s="392"/>
      <c r="BE8490" s="392"/>
      <c r="BF8490" s="392"/>
      <c r="BG8490" s="392"/>
      <c r="BH8490" s="392"/>
      <c r="BI8490" s="397"/>
      <c r="BJ8490" s="397"/>
      <c r="BK8490" s="397"/>
      <c r="BL8490" s="397"/>
      <c r="BM8490" s="397"/>
      <c r="BN8490" s="397"/>
      <c r="BO8490" s="397"/>
      <c r="BP8490" s="397"/>
      <c r="BQ8490" s="397"/>
      <c r="BR8490" s="397"/>
      <c r="BS8490" s="397"/>
      <c r="BT8490" s="397"/>
      <c r="BU8490" s="397"/>
      <c r="BV8490" s="397"/>
      <c r="BW8490" s="397"/>
      <c r="BX8490" s="397"/>
      <c r="BY8490" s="397"/>
      <c r="BZ8490" s="397"/>
      <c r="CA8490" s="392"/>
      <c r="CB8490" s="392"/>
    </row>
    <row r="8491" spans="1:80" ht="15" x14ac:dyDescent="0.25">
      <c r="A8491" s="385"/>
      <c r="B8491" s="392"/>
      <c r="C8491" s="392"/>
      <c r="D8491" s="385"/>
      <c r="E8491" s="397"/>
      <c r="F8491" s="392"/>
      <c r="G8491" s="392"/>
      <c r="H8491" s="401"/>
      <c r="I8491" s="165">
        <v>5</v>
      </c>
      <c r="J8491" s="165">
        <v>240</v>
      </c>
      <c r="K8491" s="165">
        <v>1</v>
      </c>
      <c r="L8491" s="628"/>
      <c r="M8491" s="628"/>
      <c r="N8491" s="388">
        <f>204.16*(0.028317)</f>
        <v>5.7811987199999999</v>
      </c>
      <c r="O8491" s="389">
        <v>6.4480499999999996E-2</v>
      </c>
      <c r="P8491" s="413"/>
      <c r="Q8491" s="413"/>
      <c r="R8491" s="413">
        <v>8.7477493823886546E-2</v>
      </c>
      <c r="S8491" s="413">
        <v>0.10197914776613116</v>
      </c>
      <c r="T8491" s="413">
        <v>0.13434616941393218</v>
      </c>
      <c r="U8491" s="413">
        <v>0.2165547754965316</v>
      </c>
      <c r="V8491" s="504">
        <v>0.26667550630172931</v>
      </c>
      <c r="W8491" s="504">
        <v>0.13456250785099166</v>
      </c>
      <c r="X8491" s="504">
        <v>3.6651918433430568E-2</v>
      </c>
      <c r="Y8491" s="504">
        <v>2.1752480913366925E-2</v>
      </c>
      <c r="Z8491" s="388">
        <v>29</v>
      </c>
      <c r="AA8491" s="388"/>
      <c r="AB8491" s="391"/>
      <c r="AC8491" s="392"/>
      <c r="AD8491" s="388">
        <v>8.2295999999999996</v>
      </c>
      <c r="AE8491" s="388">
        <v>0.53328711111111116</v>
      </c>
      <c r="AF8491" s="388"/>
      <c r="AG8491" s="388">
        <v>1.3172728196443695</v>
      </c>
      <c r="AH8491" s="391"/>
      <c r="AI8491" s="397"/>
      <c r="AJ8491" s="397"/>
      <c r="AK8491" s="392"/>
      <c r="AL8491" s="392"/>
      <c r="AM8491" s="392"/>
      <c r="AN8491" s="392"/>
      <c r="AO8491" s="392"/>
      <c r="AP8491" s="392"/>
      <c r="AQ8491" s="392"/>
      <c r="AR8491" s="392"/>
      <c r="AS8491" s="392"/>
      <c r="AT8491" s="392"/>
      <c r="AU8491" s="397"/>
      <c r="AV8491" s="397"/>
      <c r="AW8491" s="397"/>
      <c r="AX8491" s="397"/>
      <c r="AY8491" s="392"/>
      <c r="AZ8491" s="392"/>
      <c r="BA8491" s="392"/>
      <c r="BB8491" s="392"/>
      <c r="BC8491" s="392"/>
      <c r="BD8491" s="392"/>
      <c r="BE8491" s="392"/>
      <c r="BF8491" s="392"/>
      <c r="BG8491" s="392"/>
      <c r="BH8491" s="392"/>
      <c r="BI8491" s="397"/>
      <c r="BJ8491" s="397"/>
      <c r="BK8491" s="397"/>
      <c r="BL8491" s="397"/>
      <c r="BM8491" s="397"/>
      <c r="BN8491" s="397"/>
      <c r="BO8491" s="397"/>
      <c r="BP8491" s="397"/>
      <c r="BQ8491" s="397"/>
      <c r="BR8491" s="397"/>
      <c r="BS8491" s="397"/>
      <c r="BT8491" s="397"/>
      <c r="BU8491" s="397"/>
      <c r="BV8491" s="397"/>
      <c r="BW8491" s="397"/>
      <c r="BX8491" s="397"/>
      <c r="BY8491" s="397"/>
      <c r="BZ8491" s="397"/>
      <c r="CA8491" s="392"/>
      <c r="CB8491" s="392"/>
    </row>
    <row r="8492" spans="1:80" ht="15" x14ac:dyDescent="0.25">
      <c r="A8492" s="385"/>
      <c r="B8492" s="392"/>
      <c r="C8492" s="392"/>
      <c r="D8492" s="385"/>
      <c r="E8492" s="397"/>
      <c r="F8492" s="392"/>
      <c r="G8492" s="392"/>
      <c r="H8492" s="401"/>
      <c r="I8492" s="165">
        <v>5</v>
      </c>
      <c r="J8492" s="165">
        <v>240</v>
      </c>
      <c r="K8492" s="165">
        <v>1</v>
      </c>
      <c r="L8492" s="628"/>
      <c r="M8492" s="628"/>
      <c r="N8492" s="388">
        <f>164.28*(0.028317)</f>
        <v>4.6519167599999998</v>
      </c>
      <c r="O8492" s="389">
        <v>2.2499999999999998E-3</v>
      </c>
      <c r="P8492" s="413"/>
      <c r="Q8492" s="413"/>
      <c r="R8492" s="413"/>
      <c r="S8492" s="413"/>
      <c r="T8492" s="413">
        <v>2.4009603841536612E-2</v>
      </c>
      <c r="U8492" s="413">
        <v>0.10404161664665866</v>
      </c>
      <c r="V8492" s="504">
        <v>0.26290516206482595</v>
      </c>
      <c r="W8492" s="504">
        <v>0.36594637855142054</v>
      </c>
      <c r="X8492" s="504">
        <v>0.1214485794317727</v>
      </c>
      <c r="Y8492" s="504">
        <v>0.1216486594637855</v>
      </c>
      <c r="Z8492" s="388">
        <v>6</v>
      </c>
      <c r="AA8492" s="388"/>
      <c r="AB8492" s="391"/>
      <c r="AC8492" s="392"/>
      <c r="AD8492" s="388">
        <v>8.2295999999999996</v>
      </c>
      <c r="AE8492" s="388">
        <v>0.47757644444444447</v>
      </c>
      <c r="AF8492" s="388"/>
      <c r="AG8492" s="388">
        <v>1.1836240293109561</v>
      </c>
      <c r="AH8492" s="391"/>
      <c r="AI8492" s="397"/>
      <c r="AJ8492" s="397"/>
      <c r="AK8492" s="392"/>
      <c r="AL8492" s="392"/>
      <c r="AM8492" s="392"/>
      <c r="AN8492" s="392"/>
      <c r="AO8492" s="392"/>
      <c r="AP8492" s="392"/>
      <c r="AQ8492" s="392"/>
      <c r="AR8492" s="392"/>
      <c r="AS8492" s="392"/>
      <c r="AT8492" s="392"/>
      <c r="AU8492" s="397"/>
      <c r="AV8492" s="397"/>
      <c r="AW8492" s="397"/>
      <c r="AX8492" s="397"/>
      <c r="AY8492" s="392"/>
      <c r="AZ8492" s="392"/>
      <c r="BA8492" s="392"/>
      <c r="BB8492" s="392"/>
      <c r="BC8492" s="392"/>
      <c r="BD8492" s="392"/>
      <c r="BE8492" s="392"/>
      <c r="BF8492" s="392"/>
      <c r="BG8492" s="392"/>
      <c r="BH8492" s="392"/>
      <c r="BI8492" s="397"/>
      <c r="BJ8492" s="397"/>
      <c r="BK8492" s="397"/>
      <c r="BL8492" s="397"/>
      <c r="BM8492" s="397"/>
      <c r="BN8492" s="397"/>
      <c r="BO8492" s="397"/>
      <c r="BP8492" s="397"/>
      <c r="BQ8492" s="397"/>
      <c r="BR8492" s="397"/>
      <c r="BS8492" s="397"/>
      <c r="BT8492" s="397"/>
      <c r="BU8492" s="397"/>
      <c r="BV8492" s="397"/>
      <c r="BW8492" s="397"/>
      <c r="BX8492" s="397"/>
      <c r="BY8492" s="397"/>
      <c r="BZ8492" s="397"/>
      <c r="CA8492" s="392"/>
      <c r="CB8492" s="392"/>
    </row>
    <row r="8493" spans="1:80" ht="15" x14ac:dyDescent="0.25">
      <c r="A8493" s="385"/>
      <c r="B8493" s="392"/>
      <c r="C8493" s="392"/>
      <c r="D8493" s="385"/>
      <c r="E8493" s="397"/>
      <c r="F8493" s="392"/>
      <c r="G8493" s="392"/>
      <c r="H8493" s="401"/>
      <c r="I8493" s="165">
        <v>5</v>
      </c>
      <c r="J8493" s="165">
        <v>240</v>
      </c>
      <c r="K8493" s="165">
        <v>1</v>
      </c>
      <c r="L8493" s="628"/>
      <c r="M8493" s="628"/>
      <c r="N8493" s="388">
        <f>134.33*(0.028317)</f>
        <v>3.8038226100000001</v>
      </c>
      <c r="O8493" s="389">
        <v>7.145833333333333E-3</v>
      </c>
      <c r="P8493" s="413"/>
      <c r="Q8493" s="413"/>
      <c r="R8493" s="413">
        <v>4.3082842651431232E-2</v>
      </c>
      <c r="S8493" s="413">
        <v>4.7630152159972017E-2</v>
      </c>
      <c r="T8493" s="413">
        <v>7.462251501195126E-2</v>
      </c>
      <c r="U8493" s="413">
        <v>0.19028741328047571</v>
      </c>
      <c r="V8493" s="504">
        <v>0.36774908179327231</v>
      </c>
      <c r="W8493" s="504">
        <v>0.20911793855302277</v>
      </c>
      <c r="X8493" s="504">
        <v>4.5881186964379407E-2</v>
      </c>
      <c r="Y8493" s="504">
        <v>2.1628869585495248E-2</v>
      </c>
      <c r="Z8493" s="388">
        <v>19</v>
      </c>
      <c r="AA8493" s="388"/>
      <c r="AB8493" s="391"/>
      <c r="AC8493" s="392"/>
      <c r="AD8493" s="388">
        <v>7.62</v>
      </c>
      <c r="AE8493" s="388">
        <v>0.48652176000000003</v>
      </c>
      <c r="AF8493" s="388"/>
      <c r="AG8493" s="388">
        <v>1.0260631229169277</v>
      </c>
      <c r="AH8493" s="391"/>
      <c r="AI8493" s="397"/>
      <c r="AJ8493" s="397"/>
      <c r="AK8493" s="392"/>
      <c r="AL8493" s="392"/>
      <c r="AM8493" s="392"/>
      <c r="AN8493" s="392"/>
      <c r="AO8493" s="392"/>
      <c r="AP8493" s="392"/>
      <c r="AQ8493" s="392"/>
      <c r="AR8493" s="392"/>
      <c r="AS8493" s="392"/>
      <c r="AT8493" s="392"/>
      <c r="AU8493" s="397"/>
      <c r="AV8493" s="397"/>
      <c r="AW8493" s="397"/>
      <c r="AX8493" s="397"/>
      <c r="AY8493" s="392"/>
      <c r="AZ8493" s="392"/>
      <c r="BA8493" s="392"/>
      <c r="BB8493" s="392"/>
      <c r="BC8493" s="392"/>
      <c r="BD8493" s="392"/>
      <c r="BE8493" s="392"/>
      <c r="BF8493" s="392"/>
      <c r="BG8493" s="392"/>
      <c r="BH8493" s="392"/>
      <c r="BI8493" s="397"/>
      <c r="BJ8493" s="397"/>
      <c r="BK8493" s="397"/>
      <c r="BL8493" s="397"/>
      <c r="BM8493" s="397"/>
      <c r="BN8493" s="397"/>
      <c r="BO8493" s="397"/>
      <c r="BP8493" s="397"/>
      <c r="BQ8493" s="397"/>
      <c r="BR8493" s="397"/>
      <c r="BS8493" s="397"/>
      <c r="BT8493" s="397"/>
      <c r="BU8493" s="397"/>
      <c r="BV8493" s="397"/>
      <c r="BW8493" s="397"/>
      <c r="BX8493" s="397"/>
      <c r="BY8493" s="397"/>
      <c r="BZ8493" s="397"/>
      <c r="CA8493" s="392"/>
      <c r="CB8493" s="392"/>
    </row>
    <row r="8494" spans="1:80" ht="15" x14ac:dyDescent="0.25">
      <c r="A8494" s="385"/>
      <c r="B8494" s="392"/>
      <c r="C8494" s="392"/>
      <c r="D8494" s="385"/>
      <c r="E8494" s="397"/>
      <c r="F8494" s="392"/>
      <c r="G8494" s="392"/>
      <c r="H8494" s="401"/>
      <c r="I8494" s="165">
        <v>5</v>
      </c>
      <c r="J8494" s="165">
        <v>240</v>
      </c>
      <c r="K8494" s="165">
        <v>1</v>
      </c>
      <c r="L8494" s="628"/>
      <c r="M8494" s="628"/>
      <c r="N8494" s="388">
        <f>149.08*(0.028317)</f>
        <v>4.22149836</v>
      </c>
      <c r="O8494" s="389">
        <v>1.206E-3</v>
      </c>
      <c r="P8494" s="413"/>
      <c r="Q8494" s="413"/>
      <c r="R8494" s="413"/>
      <c r="S8494" s="413"/>
      <c r="T8494" s="413">
        <v>9.9105812220566331E-2</v>
      </c>
      <c r="U8494" s="413">
        <v>0.1706408345752608</v>
      </c>
      <c r="V8494" s="504">
        <v>0.29582712369597619</v>
      </c>
      <c r="W8494" s="504">
        <v>0.24925484351713861</v>
      </c>
      <c r="X8494" s="504">
        <v>8.3457526080476907E-2</v>
      </c>
      <c r="Y8494" s="504">
        <v>0.10171385991058123</v>
      </c>
      <c r="Z8494" s="388">
        <v>9</v>
      </c>
      <c r="AA8494" s="388"/>
      <c r="AB8494" s="391"/>
      <c r="AC8494" s="392"/>
      <c r="AD8494" s="388">
        <v>8.2295999999999996</v>
      </c>
      <c r="AE8494" s="388">
        <v>0.47018222222222222</v>
      </c>
      <c r="AF8494" s="388"/>
      <c r="AG8494" s="388">
        <v>1.0909754333733492</v>
      </c>
      <c r="AH8494" s="391"/>
      <c r="AI8494" s="397"/>
      <c r="AJ8494" s="397"/>
      <c r="AK8494" s="392"/>
      <c r="AL8494" s="392"/>
      <c r="AM8494" s="392"/>
      <c r="AN8494" s="392"/>
      <c r="AO8494" s="392"/>
      <c r="AP8494" s="392"/>
      <c r="AQ8494" s="392"/>
      <c r="AR8494" s="392"/>
      <c r="AS8494" s="392"/>
      <c r="AT8494" s="392"/>
      <c r="AU8494" s="397"/>
      <c r="AV8494" s="397"/>
      <c r="AW8494" s="397"/>
      <c r="AX8494" s="397"/>
      <c r="AY8494" s="392"/>
      <c r="AZ8494" s="392"/>
      <c r="BA8494" s="392"/>
      <c r="BB8494" s="392"/>
      <c r="BC8494" s="392"/>
      <c r="BD8494" s="392"/>
      <c r="BE8494" s="392"/>
      <c r="BF8494" s="392"/>
      <c r="BG8494" s="392"/>
      <c r="BH8494" s="392"/>
      <c r="BI8494" s="397"/>
      <c r="BJ8494" s="397"/>
      <c r="BK8494" s="397"/>
      <c r="BL8494" s="397"/>
      <c r="BM8494" s="397"/>
      <c r="BN8494" s="397"/>
      <c r="BO8494" s="397"/>
      <c r="BP8494" s="397"/>
      <c r="BQ8494" s="397"/>
      <c r="BR8494" s="397"/>
      <c r="BS8494" s="397"/>
      <c r="BT8494" s="397"/>
      <c r="BU8494" s="397"/>
      <c r="BV8494" s="397"/>
      <c r="BW8494" s="397"/>
      <c r="BX8494" s="397"/>
      <c r="BY8494" s="397"/>
      <c r="BZ8494" s="397"/>
      <c r="CA8494" s="392"/>
      <c r="CB8494" s="392"/>
    </row>
    <row r="8495" spans="1:80" ht="15" x14ac:dyDescent="0.25">
      <c r="A8495" s="385"/>
      <c r="B8495" s="392"/>
      <c r="C8495" s="392"/>
      <c r="D8495" s="385"/>
      <c r="E8495" s="397"/>
      <c r="F8495" s="392"/>
      <c r="G8495" s="392"/>
      <c r="H8495" s="401"/>
      <c r="I8495" s="165">
        <v>5</v>
      </c>
      <c r="J8495" s="165">
        <v>240</v>
      </c>
      <c r="K8495" s="165">
        <v>1</v>
      </c>
      <c r="L8495" s="628"/>
      <c r="M8495" s="628"/>
      <c r="N8495" s="388">
        <f>137.01*(0.028317)</f>
        <v>3.8797121699999995</v>
      </c>
      <c r="O8495" s="389">
        <v>2.9880000000000002E-3</v>
      </c>
      <c r="P8495" s="413"/>
      <c r="Q8495" s="413"/>
      <c r="R8495" s="413"/>
      <c r="S8495" s="413"/>
      <c r="T8495" s="413">
        <v>0.11611088790678988</v>
      </c>
      <c r="U8495" s="413">
        <v>0.22338288469264764</v>
      </c>
      <c r="V8495" s="504">
        <v>0.43725726530065617</v>
      </c>
      <c r="W8495" s="504">
        <v>0.18548279094683273</v>
      </c>
      <c r="X8495" s="504">
        <v>3.2275344850676312E-2</v>
      </c>
      <c r="Y8495" s="504">
        <v>5.4908263023972139E-3</v>
      </c>
      <c r="Z8495" s="388">
        <v>4</v>
      </c>
      <c r="AA8495" s="388"/>
      <c r="AB8495" s="391"/>
      <c r="AC8495" s="392"/>
      <c r="AD8495" s="388">
        <v>7.3152000000000008</v>
      </c>
      <c r="AE8495" s="388">
        <v>0.50164999999999993</v>
      </c>
      <c r="AF8495" s="388"/>
      <c r="AG8495" s="388">
        <v>1.0572296658227853</v>
      </c>
      <c r="AH8495" s="391"/>
      <c r="AI8495" s="397"/>
      <c r="AJ8495" s="397"/>
      <c r="AK8495" s="392"/>
      <c r="AL8495" s="392"/>
      <c r="AM8495" s="392"/>
      <c r="AN8495" s="392"/>
      <c r="AO8495" s="392"/>
      <c r="AP8495" s="392"/>
      <c r="AQ8495" s="392"/>
      <c r="AR8495" s="392"/>
      <c r="AS8495" s="392"/>
      <c r="AT8495" s="392"/>
      <c r="AU8495" s="397"/>
      <c r="AV8495" s="397"/>
      <c r="AW8495" s="397"/>
      <c r="AX8495" s="397"/>
      <c r="AY8495" s="392"/>
      <c r="AZ8495" s="392"/>
      <c r="BA8495" s="392"/>
      <c r="BB8495" s="392"/>
      <c r="BC8495" s="392"/>
      <c r="BD8495" s="392"/>
      <c r="BE8495" s="392"/>
      <c r="BF8495" s="392"/>
      <c r="BG8495" s="392"/>
      <c r="BH8495" s="392"/>
      <c r="BI8495" s="397"/>
      <c r="BJ8495" s="397"/>
      <c r="BK8495" s="397"/>
      <c r="BL8495" s="397"/>
      <c r="BM8495" s="397"/>
      <c r="BN8495" s="397"/>
      <c r="BO8495" s="397"/>
      <c r="BP8495" s="397"/>
      <c r="BQ8495" s="397"/>
      <c r="BR8495" s="397"/>
      <c r="BS8495" s="397"/>
      <c r="BT8495" s="397"/>
      <c r="BU8495" s="397"/>
      <c r="BV8495" s="397"/>
      <c r="BW8495" s="397"/>
      <c r="BX8495" s="397"/>
      <c r="BY8495" s="397"/>
      <c r="BZ8495" s="397"/>
      <c r="CA8495" s="392"/>
      <c r="CB8495" s="392"/>
    </row>
    <row r="8496" spans="1:80" ht="15" x14ac:dyDescent="0.25">
      <c r="A8496" s="385"/>
      <c r="B8496" s="392"/>
      <c r="C8496" s="392"/>
      <c r="D8496" s="385"/>
      <c r="E8496" s="397"/>
      <c r="F8496" s="392"/>
      <c r="G8496" s="392"/>
      <c r="H8496" s="401"/>
      <c r="I8496" s="165">
        <v>5</v>
      </c>
      <c r="J8496" s="165">
        <v>240</v>
      </c>
      <c r="K8496" s="165">
        <v>1</v>
      </c>
      <c r="L8496" s="628"/>
      <c r="M8496" s="628"/>
      <c r="N8496" s="388">
        <f>139.69*(0.028317)</f>
        <v>3.9556017299999997</v>
      </c>
      <c r="O8496" s="389">
        <v>1.1325333333333332E-3</v>
      </c>
      <c r="P8496" s="413"/>
      <c r="Q8496" s="413"/>
      <c r="R8496" s="413"/>
      <c r="S8496" s="413">
        <v>2.6642335766423355E-2</v>
      </c>
      <c r="T8496" s="413">
        <v>0.12445255474452555</v>
      </c>
      <c r="U8496" s="413">
        <v>0.22007299270072991</v>
      </c>
      <c r="V8496" s="504">
        <v>0.23540145985401459</v>
      </c>
      <c r="W8496" s="504">
        <v>0.27992700729927006</v>
      </c>
      <c r="X8496" s="504">
        <v>7.9197080291970798E-2</v>
      </c>
      <c r="Y8496" s="504">
        <v>3.4306569343065689E-2</v>
      </c>
      <c r="Z8496" s="388">
        <v>8</v>
      </c>
      <c r="AA8496" s="388"/>
      <c r="AB8496" s="391"/>
      <c r="AC8496" s="392"/>
      <c r="AD8496" s="388">
        <v>7.5590400000000004</v>
      </c>
      <c r="AE8496" s="388">
        <v>0.47588129032258075</v>
      </c>
      <c r="AF8496" s="388"/>
      <c r="AG8496" s="388">
        <v>1.0996584948347106</v>
      </c>
      <c r="AH8496" s="391"/>
      <c r="AI8496" s="397"/>
      <c r="AJ8496" s="397"/>
      <c r="AK8496" s="392"/>
      <c r="AL8496" s="392"/>
      <c r="AM8496" s="392"/>
      <c r="AN8496" s="392"/>
      <c r="AO8496" s="392"/>
      <c r="AP8496" s="392"/>
      <c r="AQ8496" s="392"/>
      <c r="AR8496" s="392"/>
      <c r="AS8496" s="392"/>
      <c r="AT8496" s="392"/>
      <c r="AU8496" s="397"/>
      <c r="AV8496" s="397"/>
      <c r="AW8496" s="397"/>
      <c r="AX8496" s="397"/>
      <c r="AY8496" s="392"/>
      <c r="AZ8496" s="392"/>
      <c r="BA8496" s="392"/>
      <c r="BB8496" s="392"/>
      <c r="BC8496" s="392"/>
      <c r="BD8496" s="392"/>
      <c r="BE8496" s="392"/>
      <c r="BF8496" s="392"/>
      <c r="BG8496" s="392"/>
      <c r="BH8496" s="392"/>
      <c r="BI8496" s="397"/>
      <c r="BJ8496" s="397"/>
      <c r="BK8496" s="397"/>
      <c r="BL8496" s="397"/>
      <c r="BM8496" s="397"/>
      <c r="BN8496" s="397"/>
      <c r="BO8496" s="397"/>
      <c r="BP8496" s="397"/>
      <c r="BQ8496" s="397"/>
      <c r="BR8496" s="397"/>
      <c r="BS8496" s="397"/>
      <c r="BT8496" s="397"/>
      <c r="BU8496" s="397"/>
      <c r="BV8496" s="397"/>
      <c r="BW8496" s="397"/>
      <c r="BX8496" s="397"/>
      <c r="BY8496" s="397"/>
      <c r="BZ8496" s="397"/>
      <c r="CA8496" s="392"/>
      <c r="CB8496" s="392"/>
    </row>
    <row r="8497" spans="1:80" ht="15" x14ac:dyDescent="0.25">
      <c r="A8497" s="385"/>
      <c r="B8497" s="392"/>
      <c r="C8497" s="392"/>
      <c r="D8497" s="385"/>
      <c r="E8497" s="397"/>
      <c r="F8497" s="392"/>
      <c r="G8497" s="392"/>
      <c r="H8497" s="401"/>
      <c r="I8497" s="165">
        <v>5</v>
      </c>
      <c r="J8497" s="165">
        <v>240</v>
      </c>
      <c r="K8497" s="165">
        <v>1</v>
      </c>
      <c r="L8497" s="628"/>
      <c r="M8497" s="628"/>
      <c r="N8497" s="388">
        <f>132.25*(0.028317)</f>
        <v>3.7449232499999998</v>
      </c>
      <c r="O8497" s="389">
        <v>1.4391666666666667E-2</v>
      </c>
      <c r="P8497" s="413"/>
      <c r="Q8497" s="413"/>
      <c r="R8497" s="413"/>
      <c r="S8497" s="413">
        <v>4.0100758584747237E-2</v>
      </c>
      <c r="T8497" s="413">
        <v>0.16897330476576525</v>
      </c>
      <c r="U8497" s="413">
        <v>0.30482367247669234</v>
      </c>
      <c r="V8497" s="504">
        <v>0.28412183681741848</v>
      </c>
      <c r="W8497" s="504">
        <v>0.15536510510162718</v>
      </c>
      <c r="X8497" s="504">
        <v>3.4367942556025245E-2</v>
      </c>
      <c r="Y8497" s="504">
        <v>1.2247379697724247E-2</v>
      </c>
      <c r="Z8497" s="388">
        <v>16</v>
      </c>
      <c r="AA8497" s="388"/>
      <c r="AB8497" s="391"/>
      <c r="AC8497" s="392"/>
      <c r="AD8497" s="388">
        <v>7.62</v>
      </c>
      <c r="AE8497" s="388">
        <v>0.46244255999999995</v>
      </c>
      <c r="AF8497" s="388"/>
      <c r="AG8497" s="388">
        <v>1.0627418929607173</v>
      </c>
      <c r="AH8497" s="391"/>
      <c r="AI8497" s="397"/>
      <c r="AJ8497" s="397"/>
      <c r="AK8497" s="392"/>
      <c r="AL8497" s="392"/>
      <c r="AM8497" s="392"/>
      <c r="AN8497" s="392"/>
      <c r="AO8497" s="392"/>
      <c r="AP8497" s="392"/>
      <c r="AQ8497" s="392"/>
      <c r="AR8497" s="392"/>
      <c r="AS8497" s="392"/>
      <c r="AT8497" s="392"/>
      <c r="AU8497" s="397"/>
      <c r="AV8497" s="397"/>
      <c r="AW8497" s="397"/>
      <c r="AX8497" s="397"/>
      <c r="AY8497" s="392"/>
      <c r="AZ8497" s="392"/>
      <c r="BA8497" s="392"/>
      <c r="BB8497" s="392"/>
      <c r="BC8497" s="392"/>
      <c r="BD8497" s="392"/>
      <c r="BE8497" s="392"/>
      <c r="BF8497" s="392"/>
      <c r="BG8497" s="392"/>
      <c r="BH8497" s="392"/>
      <c r="BI8497" s="397"/>
      <c r="BJ8497" s="397"/>
      <c r="BK8497" s="397"/>
      <c r="BL8497" s="397"/>
      <c r="BM8497" s="397"/>
      <c r="BN8497" s="397"/>
      <c r="BO8497" s="397"/>
      <c r="BP8497" s="397"/>
      <c r="BQ8497" s="397"/>
      <c r="BR8497" s="397"/>
      <c r="BS8497" s="397"/>
      <c r="BT8497" s="397"/>
      <c r="BU8497" s="397"/>
      <c r="BV8497" s="397"/>
      <c r="BW8497" s="397"/>
      <c r="BX8497" s="397"/>
      <c r="BY8497" s="397"/>
      <c r="BZ8497" s="397"/>
      <c r="CA8497" s="392"/>
      <c r="CB8497" s="392"/>
    </row>
    <row r="8498" spans="1:80" ht="15" x14ac:dyDescent="0.25">
      <c r="A8498" s="385"/>
      <c r="B8498" s="392"/>
      <c r="C8498" s="392"/>
      <c r="D8498" s="385"/>
      <c r="E8498" s="397"/>
      <c r="F8498" s="392"/>
      <c r="G8498" s="392"/>
      <c r="H8498" s="401"/>
      <c r="I8498" s="165">
        <v>5</v>
      </c>
      <c r="J8498" s="165">
        <v>240</v>
      </c>
      <c r="K8498" s="165">
        <v>1</v>
      </c>
      <c r="L8498" s="628"/>
      <c r="M8498" s="628"/>
      <c r="N8498" s="388">
        <f>132.66*(0.028317)</f>
        <v>3.7565332199999997</v>
      </c>
      <c r="O8498" s="389">
        <v>4.5665999999999997E-3</v>
      </c>
      <c r="P8498" s="413"/>
      <c r="Q8498" s="413"/>
      <c r="R8498" s="413"/>
      <c r="S8498" s="413">
        <v>7.7970190402343417E-2</v>
      </c>
      <c r="T8498" s="413">
        <v>0.21030412682002242</v>
      </c>
      <c r="U8498" s="413">
        <v>0.31687774618764541</v>
      </c>
      <c r="V8498" s="504">
        <v>0.25639700180925307</v>
      </c>
      <c r="W8498" s="504">
        <v>0.10286895838718015</v>
      </c>
      <c r="X8498" s="504">
        <v>2.6018781769621781E-2</v>
      </c>
      <c r="Y8498" s="504">
        <v>9.563194623933834E-3</v>
      </c>
      <c r="Z8498" s="388">
        <v>14</v>
      </c>
      <c r="AA8498" s="388"/>
      <c r="AB8498" s="391"/>
      <c r="AC8498" s="392"/>
      <c r="AD8498" s="388">
        <v>7.1932800000000006</v>
      </c>
      <c r="AE8498" s="388" t="s">
        <v>71</v>
      </c>
      <c r="AF8498" s="388"/>
      <c r="AG8498" s="388" t="s">
        <v>71</v>
      </c>
      <c r="AH8498" s="391"/>
      <c r="AI8498" s="397"/>
      <c r="AJ8498" s="397"/>
      <c r="AK8498" s="392"/>
      <c r="AL8498" s="392"/>
      <c r="AM8498" s="392"/>
      <c r="AN8498" s="392"/>
      <c r="AO8498" s="392"/>
      <c r="AP8498" s="392"/>
      <c r="AQ8498" s="392"/>
      <c r="AR8498" s="392"/>
      <c r="AS8498" s="392"/>
      <c r="AT8498" s="392"/>
      <c r="AU8498" s="397"/>
      <c r="AV8498" s="397"/>
      <c r="AW8498" s="397"/>
      <c r="AX8498" s="397"/>
      <c r="AY8498" s="392"/>
      <c r="AZ8498" s="392"/>
      <c r="BA8498" s="392"/>
      <c r="BB8498" s="392"/>
      <c r="BC8498" s="392"/>
      <c r="BD8498" s="392"/>
      <c r="BE8498" s="392"/>
      <c r="BF8498" s="392"/>
      <c r="BG8498" s="392"/>
      <c r="BH8498" s="392"/>
      <c r="BI8498" s="397"/>
      <c r="BJ8498" s="397"/>
      <c r="BK8498" s="397"/>
      <c r="BL8498" s="397"/>
      <c r="BM8498" s="397"/>
      <c r="BN8498" s="397"/>
      <c r="BO8498" s="397"/>
      <c r="BP8498" s="397"/>
      <c r="BQ8498" s="397"/>
      <c r="BR8498" s="397"/>
      <c r="BS8498" s="397"/>
      <c r="BT8498" s="397"/>
      <c r="BU8498" s="397"/>
      <c r="BV8498" s="397"/>
      <c r="BW8498" s="397"/>
      <c r="BX8498" s="397"/>
      <c r="BY8498" s="397"/>
      <c r="BZ8498" s="397"/>
      <c r="CA8498" s="392"/>
      <c r="CB8498" s="392"/>
    </row>
    <row r="8499" spans="1:80" ht="15" x14ac:dyDescent="0.25">
      <c r="A8499" s="385"/>
      <c r="B8499" s="392"/>
      <c r="C8499" s="392"/>
      <c r="D8499" s="385"/>
      <c r="E8499" s="397"/>
      <c r="F8499" s="392"/>
      <c r="G8499" s="392"/>
      <c r="H8499" s="401"/>
      <c r="I8499" s="165">
        <v>5</v>
      </c>
      <c r="J8499" s="165">
        <v>240</v>
      </c>
      <c r="K8499" s="165">
        <v>1</v>
      </c>
      <c r="L8499" s="628"/>
      <c r="M8499" s="628"/>
      <c r="N8499" s="388">
        <f>126.64*(0.028317)</f>
        <v>3.5860648799999999</v>
      </c>
      <c r="O8499" s="389">
        <v>1.8377333333333332E-3</v>
      </c>
      <c r="P8499" s="413"/>
      <c r="Q8499" s="413"/>
      <c r="R8499" s="413"/>
      <c r="S8499" s="413"/>
      <c r="T8499" s="413">
        <v>3.866146848602988E-2</v>
      </c>
      <c r="U8499" s="413">
        <v>8.6744639376218305E-2</v>
      </c>
      <c r="V8499" s="504">
        <v>0.26738141650422348</v>
      </c>
      <c r="W8499" s="504">
        <v>0.4025341130604288</v>
      </c>
      <c r="X8499" s="504">
        <v>0.13417803768680958</v>
      </c>
      <c r="Y8499" s="504">
        <v>7.0500324886289781E-2</v>
      </c>
      <c r="Z8499" s="388">
        <v>6</v>
      </c>
      <c r="AA8499" s="388"/>
      <c r="AB8499" s="391"/>
      <c r="AC8499" s="392"/>
      <c r="AD8499" s="388">
        <v>10.91184</v>
      </c>
      <c r="AE8499" s="388">
        <v>0.38815173184357538</v>
      </c>
      <c r="AF8499" s="388"/>
      <c r="AG8499" s="388">
        <v>0.84664267251590275</v>
      </c>
      <c r="AH8499" s="391"/>
      <c r="AI8499" s="397"/>
      <c r="AJ8499" s="397"/>
      <c r="AK8499" s="392"/>
      <c r="AL8499" s="392"/>
      <c r="AM8499" s="392"/>
      <c r="AN8499" s="392"/>
      <c r="AO8499" s="392"/>
      <c r="AP8499" s="392"/>
      <c r="AQ8499" s="392"/>
      <c r="AR8499" s="392"/>
      <c r="AS8499" s="392"/>
      <c r="AT8499" s="392"/>
      <c r="AU8499" s="397"/>
      <c r="AV8499" s="397"/>
      <c r="AW8499" s="397"/>
      <c r="AX8499" s="397"/>
      <c r="AY8499" s="392"/>
      <c r="AZ8499" s="392"/>
      <c r="BA8499" s="392"/>
      <c r="BB8499" s="392"/>
      <c r="BC8499" s="392"/>
      <c r="BD8499" s="392"/>
      <c r="BE8499" s="392"/>
      <c r="BF8499" s="392"/>
      <c r="BG8499" s="392"/>
      <c r="BH8499" s="392"/>
      <c r="BI8499" s="397"/>
      <c r="BJ8499" s="397"/>
      <c r="BK8499" s="397"/>
      <c r="BL8499" s="397"/>
      <c r="BM8499" s="397"/>
      <c r="BN8499" s="397"/>
      <c r="BO8499" s="397"/>
      <c r="BP8499" s="397"/>
      <c r="BQ8499" s="397"/>
      <c r="BR8499" s="397"/>
      <c r="BS8499" s="397"/>
      <c r="BT8499" s="397"/>
      <c r="BU8499" s="397"/>
      <c r="BV8499" s="397"/>
      <c r="BW8499" s="397"/>
      <c r="BX8499" s="397"/>
      <c r="BY8499" s="397"/>
      <c r="BZ8499" s="397"/>
      <c r="CA8499" s="392"/>
      <c r="CB8499" s="392"/>
    </row>
    <row r="8500" spans="1:80" ht="15" x14ac:dyDescent="0.25">
      <c r="A8500" s="385"/>
      <c r="B8500" s="392"/>
      <c r="C8500" s="392"/>
      <c r="D8500" s="385"/>
      <c r="E8500" s="397"/>
      <c r="F8500" s="392"/>
      <c r="G8500" s="392"/>
      <c r="H8500" s="401"/>
      <c r="I8500" s="165">
        <v>5</v>
      </c>
      <c r="J8500" s="165">
        <v>240</v>
      </c>
      <c r="K8500" s="165">
        <v>1</v>
      </c>
      <c r="L8500" s="628"/>
      <c r="M8500" s="628"/>
      <c r="N8500" s="388">
        <f>136.85*(0.028317)</f>
        <v>3.8751814499999995</v>
      </c>
      <c r="O8500" s="389">
        <v>8.9293283333333334E-3</v>
      </c>
      <c r="P8500" s="413"/>
      <c r="Q8500" s="413"/>
      <c r="R8500" s="413"/>
      <c r="S8500" s="413">
        <v>6.0909508497932939E-2</v>
      </c>
      <c r="T8500" s="413">
        <v>7.4322462103812589E-2</v>
      </c>
      <c r="U8500" s="413">
        <v>0.22797427652733121</v>
      </c>
      <c r="V8500" s="504">
        <v>0.3492420762517226</v>
      </c>
      <c r="W8500" s="504">
        <v>0.2137344970142398</v>
      </c>
      <c r="X8500" s="504">
        <v>4.294901240238861E-2</v>
      </c>
      <c r="Y8500" s="504">
        <v>3.0868167202572346E-2</v>
      </c>
      <c r="Z8500" s="388">
        <v>11</v>
      </c>
      <c r="AA8500" s="388"/>
      <c r="AB8500" s="391"/>
      <c r="AC8500" s="392"/>
      <c r="AD8500" s="388">
        <v>7.5011280000000005</v>
      </c>
      <c r="AE8500" s="388">
        <v>0.49471479886225111</v>
      </c>
      <c r="AF8500" s="388"/>
      <c r="AG8500" s="388">
        <v>1.0442873486881636</v>
      </c>
      <c r="AH8500" s="391"/>
      <c r="AI8500" s="397"/>
      <c r="AJ8500" s="397"/>
      <c r="AK8500" s="392"/>
      <c r="AL8500" s="392"/>
      <c r="AM8500" s="392"/>
      <c r="AN8500" s="392"/>
      <c r="AO8500" s="392"/>
      <c r="AP8500" s="392"/>
      <c r="AQ8500" s="392"/>
      <c r="AR8500" s="392"/>
      <c r="AS8500" s="392"/>
      <c r="AT8500" s="392"/>
      <c r="AU8500" s="397"/>
      <c r="AV8500" s="397"/>
      <c r="AW8500" s="397"/>
      <c r="AX8500" s="397"/>
      <c r="AY8500" s="392"/>
      <c r="AZ8500" s="392"/>
      <c r="BA8500" s="392"/>
      <c r="BB8500" s="392"/>
      <c r="BC8500" s="392"/>
      <c r="BD8500" s="392"/>
      <c r="BE8500" s="392"/>
      <c r="BF8500" s="392"/>
      <c r="BG8500" s="392"/>
      <c r="BH8500" s="392"/>
      <c r="BI8500" s="397"/>
      <c r="BJ8500" s="397"/>
      <c r="BK8500" s="397"/>
      <c r="BL8500" s="397"/>
      <c r="BM8500" s="397"/>
      <c r="BN8500" s="397"/>
      <c r="BO8500" s="397"/>
      <c r="BP8500" s="397"/>
      <c r="BQ8500" s="397"/>
      <c r="BR8500" s="397"/>
      <c r="BS8500" s="397"/>
      <c r="BT8500" s="397"/>
      <c r="BU8500" s="397"/>
      <c r="BV8500" s="397"/>
      <c r="BW8500" s="397"/>
      <c r="BX8500" s="397"/>
      <c r="BY8500" s="397"/>
      <c r="BZ8500" s="397"/>
      <c r="CA8500" s="392"/>
      <c r="CB8500" s="392"/>
    </row>
    <row r="8501" spans="1:80" ht="15" x14ac:dyDescent="0.25">
      <c r="A8501" s="385"/>
      <c r="B8501" s="392"/>
      <c r="C8501" s="392"/>
      <c r="D8501" s="385"/>
      <c r="E8501" s="397"/>
      <c r="F8501" s="392"/>
      <c r="G8501" s="392"/>
      <c r="H8501" s="401"/>
      <c r="I8501" s="165">
        <v>5</v>
      </c>
      <c r="J8501" s="165">
        <v>240</v>
      </c>
      <c r="K8501" s="165">
        <v>1</v>
      </c>
      <c r="L8501" s="628"/>
      <c r="M8501" s="628"/>
      <c r="N8501" s="388">
        <f>139.54*(0.028317)</f>
        <v>3.9513541799999996</v>
      </c>
      <c r="O8501" s="389">
        <v>4.3989999999999993E-3</v>
      </c>
      <c r="P8501" s="413"/>
      <c r="Q8501" s="413"/>
      <c r="R8501" s="413"/>
      <c r="S8501" s="413">
        <v>2.4400040164675171E-2</v>
      </c>
      <c r="T8501" s="413">
        <v>5.0908725775680293E-2</v>
      </c>
      <c r="U8501" s="413">
        <v>0.14017471633698164</v>
      </c>
      <c r="V8501" s="504">
        <v>0.31077417411386682</v>
      </c>
      <c r="W8501" s="504">
        <v>0.32272316497640324</v>
      </c>
      <c r="X8501" s="504">
        <v>8.5249523044482384E-2</v>
      </c>
      <c r="Y8501" s="504">
        <v>6.5769655587910425E-2</v>
      </c>
      <c r="Z8501" s="388">
        <v>11</v>
      </c>
      <c r="AA8501" s="388"/>
      <c r="AB8501" s="391"/>
      <c r="AC8501" s="392"/>
      <c r="AD8501" s="388">
        <v>8.0772000000000013</v>
      </c>
      <c r="AE8501" s="388">
        <v>0.47002460377358501</v>
      </c>
      <c r="AF8501" s="388"/>
      <c r="AG8501" s="388">
        <v>1.040819464089074</v>
      </c>
      <c r="AH8501" s="391"/>
      <c r="AI8501" s="397"/>
      <c r="AJ8501" s="397"/>
      <c r="AK8501" s="392"/>
      <c r="AL8501" s="392"/>
      <c r="AM8501" s="392"/>
      <c r="AN8501" s="392"/>
      <c r="AO8501" s="392"/>
      <c r="AP8501" s="392"/>
      <c r="AQ8501" s="392"/>
      <c r="AR8501" s="392"/>
      <c r="AS8501" s="392"/>
      <c r="AT8501" s="392"/>
      <c r="AU8501" s="397"/>
      <c r="AV8501" s="397"/>
      <c r="AW8501" s="397"/>
      <c r="AX8501" s="397"/>
      <c r="AY8501" s="392"/>
      <c r="AZ8501" s="392"/>
      <c r="BA8501" s="392"/>
      <c r="BB8501" s="392"/>
      <c r="BC8501" s="392"/>
      <c r="BD8501" s="392"/>
      <c r="BE8501" s="392"/>
      <c r="BF8501" s="392"/>
      <c r="BG8501" s="392"/>
      <c r="BH8501" s="392"/>
      <c r="BI8501" s="397"/>
      <c r="BJ8501" s="397"/>
      <c r="BK8501" s="397"/>
      <c r="BL8501" s="397"/>
      <c r="BM8501" s="397"/>
      <c r="BN8501" s="397"/>
      <c r="BO8501" s="397"/>
      <c r="BP8501" s="397"/>
      <c r="BQ8501" s="397"/>
      <c r="BR8501" s="397"/>
      <c r="BS8501" s="397"/>
      <c r="BT8501" s="397"/>
      <c r="BU8501" s="397"/>
      <c r="BV8501" s="397"/>
      <c r="BW8501" s="397"/>
      <c r="BX8501" s="397"/>
      <c r="BY8501" s="397"/>
      <c r="BZ8501" s="397"/>
      <c r="CA8501" s="392"/>
      <c r="CB8501" s="392"/>
    </row>
    <row r="8502" spans="1:80" ht="15" x14ac:dyDescent="0.25">
      <c r="A8502" s="385"/>
      <c r="B8502" s="392"/>
      <c r="C8502" s="392"/>
      <c r="D8502" s="385"/>
      <c r="E8502" s="397"/>
      <c r="F8502" s="392"/>
      <c r="G8502" s="392"/>
      <c r="H8502" s="401"/>
      <c r="I8502" s="165">
        <v>5</v>
      </c>
      <c r="J8502" s="165">
        <v>240</v>
      </c>
      <c r="K8502" s="165">
        <v>1</v>
      </c>
      <c r="L8502" s="628"/>
      <c r="M8502" s="628"/>
      <c r="N8502" s="388">
        <f>148.17*(0.028317)</f>
        <v>4.1957298899999991</v>
      </c>
      <c r="O8502" s="389">
        <v>2.9684000000000004E-3</v>
      </c>
      <c r="P8502" s="413"/>
      <c r="Q8502" s="413"/>
      <c r="R8502" s="413"/>
      <c r="S8502" s="413">
        <v>2.2796352583586622E-2</v>
      </c>
      <c r="T8502" s="413">
        <v>3.64741641337386E-2</v>
      </c>
      <c r="U8502" s="413">
        <v>0.10168554849405913</v>
      </c>
      <c r="V8502" s="504">
        <v>0.32343188726167443</v>
      </c>
      <c r="W8502" s="504">
        <v>0.37786681403702677</v>
      </c>
      <c r="X8502" s="504">
        <v>8.7455098093395953E-2</v>
      </c>
      <c r="Y8502" s="504">
        <v>5.0290135396518373E-2</v>
      </c>
      <c r="Z8502" s="388">
        <v>9</v>
      </c>
      <c r="AA8502" s="388"/>
      <c r="AB8502" s="391"/>
      <c r="AC8502" s="392"/>
      <c r="AD8502" s="388">
        <v>7.4980800000000007</v>
      </c>
      <c r="AE8502" s="388" t="s">
        <v>71</v>
      </c>
      <c r="AF8502" s="388"/>
      <c r="AG8502" s="388" t="s">
        <v>71</v>
      </c>
      <c r="AH8502" s="391"/>
      <c r="AI8502" s="397"/>
      <c r="AJ8502" s="397"/>
      <c r="AK8502" s="392"/>
      <c r="AL8502" s="392"/>
      <c r="AM8502" s="392"/>
      <c r="AN8502" s="392"/>
      <c r="AO8502" s="392"/>
      <c r="AP8502" s="392"/>
      <c r="AQ8502" s="392"/>
      <c r="AR8502" s="392"/>
      <c r="AS8502" s="392"/>
      <c r="AT8502" s="392"/>
      <c r="AU8502" s="397"/>
      <c r="AV8502" s="397"/>
      <c r="AW8502" s="397"/>
      <c r="AX8502" s="397"/>
      <c r="AY8502" s="392"/>
      <c r="AZ8502" s="392"/>
      <c r="BA8502" s="392"/>
      <c r="BB8502" s="392"/>
      <c r="BC8502" s="392"/>
      <c r="BD8502" s="392"/>
      <c r="BE8502" s="392"/>
      <c r="BF8502" s="392"/>
      <c r="BG8502" s="392"/>
      <c r="BH8502" s="392"/>
      <c r="BI8502" s="397"/>
      <c r="BJ8502" s="397"/>
      <c r="BK8502" s="397"/>
      <c r="BL8502" s="397"/>
      <c r="BM8502" s="397"/>
      <c r="BN8502" s="397"/>
      <c r="BO8502" s="397"/>
      <c r="BP8502" s="397"/>
      <c r="BQ8502" s="397"/>
      <c r="BR8502" s="397"/>
      <c r="BS8502" s="397"/>
      <c r="BT8502" s="397"/>
      <c r="BU8502" s="397"/>
      <c r="BV8502" s="397"/>
      <c r="BW8502" s="397"/>
      <c r="BX8502" s="397"/>
      <c r="BY8502" s="397"/>
      <c r="BZ8502" s="397"/>
      <c r="CA8502" s="392"/>
      <c r="CB8502" s="392"/>
    </row>
    <row r="8503" spans="1:80" ht="15" x14ac:dyDescent="0.25">
      <c r="A8503" s="385"/>
      <c r="B8503" s="392"/>
      <c r="C8503" s="392"/>
      <c r="D8503" s="385"/>
      <c r="E8503" s="397"/>
      <c r="F8503" s="392"/>
      <c r="G8503" s="392"/>
      <c r="H8503" s="401"/>
      <c r="I8503" s="165">
        <v>5</v>
      </c>
      <c r="J8503" s="165">
        <v>240</v>
      </c>
      <c r="K8503" s="165">
        <v>1</v>
      </c>
      <c r="L8503" s="628"/>
      <c r="M8503" s="628"/>
      <c r="N8503" s="388">
        <f>148.17*(0.028317)</f>
        <v>4.1957298899999991</v>
      </c>
      <c r="O8503" s="389">
        <v>5.845333333333333E-4</v>
      </c>
      <c r="P8503" s="413"/>
      <c r="Q8503" s="413"/>
      <c r="R8503" s="413"/>
      <c r="S8503" s="413"/>
      <c r="T8503" s="413">
        <v>2.4034959941733432E-2</v>
      </c>
      <c r="U8503" s="413">
        <v>0.14348142753095411</v>
      </c>
      <c r="V8503" s="504">
        <v>0.30735615440640929</v>
      </c>
      <c r="W8503" s="504">
        <v>0.35615440640932261</v>
      </c>
      <c r="X8503" s="504">
        <v>0.11507647487254188</v>
      </c>
      <c r="Y8503" s="504">
        <v>5.3896576839038597E-2</v>
      </c>
      <c r="Z8503" s="388">
        <v>6</v>
      </c>
      <c r="AA8503" s="388"/>
      <c r="AB8503" s="391"/>
      <c r="AC8503" s="392"/>
      <c r="AD8503" s="388">
        <v>7.8028800000000009</v>
      </c>
      <c r="AE8503" s="388" t="s">
        <v>71</v>
      </c>
      <c r="AF8503" s="388"/>
      <c r="AG8503" s="388" t="s">
        <v>71</v>
      </c>
      <c r="AH8503" s="391"/>
      <c r="AI8503" s="397"/>
      <c r="AJ8503" s="397"/>
      <c r="AK8503" s="392"/>
      <c r="AL8503" s="392"/>
      <c r="AM8503" s="392"/>
      <c r="AN8503" s="392"/>
      <c r="AO8503" s="392"/>
      <c r="AP8503" s="392"/>
      <c r="AQ8503" s="392"/>
      <c r="AR8503" s="392"/>
      <c r="AS8503" s="392"/>
      <c r="AT8503" s="392"/>
      <c r="AU8503" s="397"/>
      <c r="AV8503" s="397"/>
      <c r="AW8503" s="397"/>
      <c r="AX8503" s="397"/>
      <c r="AY8503" s="392"/>
      <c r="AZ8503" s="392"/>
      <c r="BA8503" s="392"/>
      <c r="BB8503" s="392"/>
      <c r="BC8503" s="392"/>
      <c r="BD8503" s="392"/>
      <c r="BE8503" s="392"/>
      <c r="BF8503" s="392"/>
      <c r="BG8503" s="392"/>
      <c r="BH8503" s="392"/>
      <c r="BI8503" s="397"/>
      <c r="BJ8503" s="397"/>
      <c r="BK8503" s="397"/>
      <c r="BL8503" s="397"/>
      <c r="BM8503" s="397"/>
      <c r="BN8503" s="397"/>
      <c r="BO8503" s="397"/>
      <c r="BP8503" s="397"/>
      <c r="BQ8503" s="397"/>
      <c r="BR8503" s="397"/>
      <c r="BS8503" s="397"/>
      <c r="BT8503" s="397"/>
      <c r="BU8503" s="397"/>
      <c r="BV8503" s="397"/>
      <c r="BW8503" s="397"/>
      <c r="BX8503" s="397"/>
      <c r="BY8503" s="397"/>
      <c r="BZ8503" s="397"/>
      <c r="CA8503" s="392"/>
      <c r="CB8503" s="392"/>
    </row>
    <row r="8504" spans="1:80" ht="15" x14ac:dyDescent="0.25">
      <c r="A8504" s="385"/>
      <c r="B8504" s="392"/>
      <c r="C8504" s="392"/>
      <c r="D8504" s="385"/>
      <c r="E8504" s="397"/>
      <c r="F8504" s="392"/>
      <c r="G8504" s="392"/>
      <c r="H8504" s="401"/>
      <c r="I8504" s="165">
        <v>5</v>
      </c>
      <c r="J8504" s="165">
        <v>240</v>
      </c>
      <c r="K8504" s="165">
        <v>1</v>
      </c>
      <c r="L8504" s="628"/>
      <c r="M8504" s="628"/>
      <c r="N8504" s="388">
        <f>139.52*(0.028317)</f>
        <v>3.9507878400000003</v>
      </c>
      <c r="O8504" s="389">
        <v>8.7500000000000013E-4</v>
      </c>
      <c r="P8504" s="413"/>
      <c r="Q8504" s="413"/>
      <c r="R8504" s="413"/>
      <c r="S8504" s="413"/>
      <c r="T8504" s="413">
        <v>4.6600095102234902E-2</v>
      </c>
      <c r="U8504" s="413">
        <v>0.15216357584403234</v>
      </c>
      <c r="V8504" s="504">
        <v>0.25820256776034234</v>
      </c>
      <c r="W8504" s="504">
        <v>0.33903946742748453</v>
      </c>
      <c r="X8504" s="504">
        <v>0.14217784117926771</v>
      </c>
      <c r="Y8504" s="504">
        <v>6.1816452686638136E-2</v>
      </c>
      <c r="Z8504" s="388">
        <v>6</v>
      </c>
      <c r="AA8504" s="388"/>
      <c r="AB8504" s="391"/>
      <c r="AC8504" s="392"/>
      <c r="AD8504" s="388">
        <v>7.62</v>
      </c>
      <c r="AE8504" s="388">
        <v>0.48127919999999996</v>
      </c>
      <c r="AF8504" s="388"/>
      <c r="AG8504" s="388">
        <v>1.0772527675744146</v>
      </c>
      <c r="AH8504" s="391"/>
      <c r="AI8504" s="397"/>
      <c r="AJ8504" s="397"/>
      <c r="AK8504" s="392"/>
      <c r="AL8504" s="392"/>
      <c r="AM8504" s="392"/>
      <c r="AN8504" s="392"/>
      <c r="AO8504" s="392"/>
      <c r="AP8504" s="392"/>
      <c r="AQ8504" s="392"/>
      <c r="AR8504" s="392"/>
      <c r="AS8504" s="392"/>
      <c r="AT8504" s="392"/>
      <c r="AU8504" s="397"/>
      <c r="AV8504" s="397"/>
      <c r="AW8504" s="397"/>
      <c r="AX8504" s="397"/>
      <c r="AY8504" s="392"/>
      <c r="AZ8504" s="392"/>
      <c r="BA8504" s="392"/>
      <c r="BB8504" s="392"/>
      <c r="BC8504" s="392"/>
      <c r="BD8504" s="392"/>
      <c r="BE8504" s="392"/>
      <c r="BF8504" s="392"/>
      <c r="BG8504" s="392"/>
      <c r="BH8504" s="392"/>
      <c r="BI8504" s="397"/>
      <c r="BJ8504" s="397"/>
      <c r="BK8504" s="397"/>
      <c r="BL8504" s="397"/>
      <c r="BM8504" s="397"/>
      <c r="BN8504" s="397"/>
      <c r="BO8504" s="397"/>
      <c r="BP8504" s="397"/>
      <c r="BQ8504" s="397"/>
      <c r="BR8504" s="397"/>
      <c r="BS8504" s="397"/>
      <c r="BT8504" s="397"/>
      <c r="BU8504" s="397"/>
      <c r="BV8504" s="397"/>
      <c r="BW8504" s="397"/>
      <c r="BX8504" s="397"/>
      <c r="BY8504" s="397"/>
      <c r="BZ8504" s="397"/>
      <c r="CA8504" s="392"/>
      <c r="CB8504" s="392"/>
    </row>
    <row r="8505" spans="1:80" ht="15" x14ac:dyDescent="0.25">
      <c r="A8505" s="385"/>
      <c r="B8505" s="392"/>
      <c r="C8505" s="392"/>
      <c r="D8505" s="385"/>
      <c r="E8505" s="397"/>
      <c r="F8505" s="392"/>
      <c r="G8505" s="392"/>
      <c r="H8505" s="401"/>
      <c r="I8505" s="165">
        <v>5</v>
      </c>
      <c r="J8505" s="165">
        <v>240</v>
      </c>
      <c r="K8505" s="165">
        <v>1</v>
      </c>
      <c r="L8505" s="628"/>
      <c r="M8505" s="628"/>
      <c r="N8505" s="388">
        <f>114.46*(0.028317)</f>
        <v>3.2411638199999997</v>
      </c>
      <c r="O8505" s="389">
        <v>3.6543000000000001E-3</v>
      </c>
      <c r="P8505" s="413"/>
      <c r="Q8505" s="413"/>
      <c r="R8505" s="413"/>
      <c r="S8505" s="413">
        <v>0.10062960196350441</v>
      </c>
      <c r="T8505" s="413">
        <v>0.17458115462597373</v>
      </c>
      <c r="U8505" s="413">
        <v>0.269768434532067</v>
      </c>
      <c r="V8505" s="504">
        <v>0.28097321523850172</v>
      </c>
      <c r="W8505" s="504">
        <v>0.13627147582968732</v>
      </c>
      <c r="X8505" s="504">
        <v>2.7531746878668231E-2</v>
      </c>
      <c r="Y8505" s="504">
        <v>1.0244370931597481E-2</v>
      </c>
      <c r="Z8505" s="388">
        <v>12</v>
      </c>
      <c r="AA8505" s="388"/>
      <c r="AB8505" s="391"/>
      <c r="AC8505" s="392"/>
      <c r="AD8505" s="388">
        <v>7.13232</v>
      </c>
      <c r="AE8505" s="388">
        <v>0.50800000000000001</v>
      </c>
      <c r="AF8505" s="388"/>
      <c r="AG8505" s="388">
        <v>0.89451688000000018</v>
      </c>
      <c r="AH8505" s="391"/>
      <c r="AI8505" s="397"/>
      <c r="AJ8505" s="397"/>
      <c r="AK8505" s="392"/>
      <c r="AL8505" s="392"/>
      <c r="AM8505" s="392"/>
      <c r="AN8505" s="392"/>
      <c r="AO8505" s="392"/>
      <c r="AP8505" s="392"/>
      <c r="AQ8505" s="392"/>
      <c r="AR8505" s="392"/>
      <c r="AS8505" s="392"/>
      <c r="AT8505" s="392"/>
      <c r="AU8505" s="397"/>
      <c r="AV8505" s="397"/>
      <c r="AW8505" s="397"/>
      <c r="AX8505" s="397"/>
      <c r="AY8505" s="392"/>
      <c r="AZ8505" s="392"/>
      <c r="BA8505" s="392"/>
      <c r="BB8505" s="392"/>
      <c r="BC8505" s="392"/>
      <c r="BD8505" s="392"/>
      <c r="BE8505" s="392"/>
      <c r="BF8505" s="392"/>
      <c r="BG8505" s="392"/>
      <c r="BH8505" s="392"/>
      <c r="BI8505" s="397"/>
      <c r="BJ8505" s="397"/>
      <c r="BK8505" s="397"/>
      <c r="BL8505" s="397"/>
      <c r="BM8505" s="397"/>
      <c r="BN8505" s="397"/>
      <c r="BO8505" s="397"/>
      <c r="BP8505" s="397"/>
      <c r="BQ8505" s="397"/>
      <c r="BR8505" s="397"/>
      <c r="BS8505" s="397"/>
      <c r="BT8505" s="397"/>
      <c r="BU8505" s="397"/>
      <c r="BV8505" s="397"/>
      <c r="BW8505" s="397"/>
      <c r="BX8505" s="397"/>
      <c r="BY8505" s="397"/>
      <c r="BZ8505" s="397"/>
      <c r="CA8505" s="392"/>
      <c r="CB8505" s="392"/>
    </row>
    <row r="8506" spans="1:80" ht="15" x14ac:dyDescent="0.25">
      <c r="A8506" s="385"/>
      <c r="B8506" s="392"/>
      <c r="C8506" s="392"/>
      <c r="D8506" s="385"/>
      <c r="E8506" s="397"/>
      <c r="F8506" s="392"/>
      <c r="G8506" s="392"/>
      <c r="H8506" s="401"/>
      <c r="I8506" s="165">
        <v>5</v>
      </c>
      <c r="J8506" s="165">
        <v>240</v>
      </c>
      <c r="K8506" s="165">
        <v>1</v>
      </c>
      <c r="L8506" s="628"/>
      <c r="M8506" s="628"/>
      <c r="N8506" s="388">
        <f>135.2*(0.028317)</f>
        <v>3.8284583999999993</v>
      </c>
      <c r="O8506" s="389">
        <v>4.0035000000000001E-3</v>
      </c>
      <c r="P8506" s="413"/>
      <c r="Q8506" s="413"/>
      <c r="R8506" s="413"/>
      <c r="S8506" s="413">
        <v>9.5541401273885329E-3</v>
      </c>
      <c r="T8506" s="413">
        <v>3.842887473460721E-2</v>
      </c>
      <c r="U8506" s="413">
        <v>0.13099787685774944</v>
      </c>
      <c r="V8506" s="504">
        <v>0.30053078556263263</v>
      </c>
      <c r="W8506" s="504">
        <v>0.27834394904458593</v>
      </c>
      <c r="X8506" s="504">
        <v>6.9957537154989369E-2</v>
      </c>
      <c r="Y8506" s="504">
        <v>0.17218683651804667</v>
      </c>
      <c r="Z8506" s="388">
        <v>8</v>
      </c>
      <c r="AA8506" s="388"/>
      <c r="AB8506" s="391"/>
      <c r="AC8506" s="392"/>
      <c r="AD8506" s="388">
        <v>7.7724000000000002</v>
      </c>
      <c r="AE8506" s="388">
        <v>0.47381458823529432</v>
      </c>
      <c r="AF8506" s="388"/>
      <c r="AG8506" s="388">
        <v>1.0396182835519674</v>
      </c>
      <c r="AH8506" s="391"/>
      <c r="AI8506" s="397"/>
      <c r="AJ8506" s="397"/>
      <c r="AK8506" s="392"/>
      <c r="AL8506" s="392"/>
      <c r="AM8506" s="392"/>
      <c r="AN8506" s="392"/>
      <c r="AO8506" s="392"/>
      <c r="AP8506" s="392"/>
      <c r="AQ8506" s="392"/>
      <c r="AR8506" s="392"/>
      <c r="AS8506" s="392"/>
      <c r="AT8506" s="392"/>
      <c r="AU8506" s="397"/>
      <c r="AV8506" s="397"/>
      <c r="AW8506" s="397"/>
      <c r="AX8506" s="397"/>
      <c r="AY8506" s="392"/>
      <c r="AZ8506" s="392"/>
      <c r="BA8506" s="392"/>
      <c r="BB8506" s="392"/>
      <c r="BC8506" s="392"/>
      <c r="BD8506" s="392"/>
      <c r="BE8506" s="392"/>
      <c r="BF8506" s="392"/>
      <c r="BG8506" s="392"/>
      <c r="BH8506" s="392"/>
      <c r="BI8506" s="397"/>
      <c r="BJ8506" s="397"/>
      <c r="BK8506" s="397"/>
      <c r="BL8506" s="397"/>
      <c r="BM8506" s="397"/>
      <c r="BN8506" s="397"/>
      <c r="BO8506" s="397"/>
      <c r="BP8506" s="397"/>
      <c r="BQ8506" s="397"/>
      <c r="BR8506" s="397"/>
      <c r="BS8506" s="397"/>
      <c r="BT8506" s="397"/>
      <c r="BU8506" s="397"/>
      <c r="BV8506" s="397"/>
      <c r="BW8506" s="397"/>
      <c r="BX8506" s="397"/>
      <c r="BY8506" s="397"/>
      <c r="BZ8506" s="397"/>
      <c r="CA8506" s="392"/>
      <c r="CB8506" s="392"/>
    </row>
    <row r="8507" spans="1:80" ht="15" x14ac:dyDescent="0.25">
      <c r="A8507" s="385"/>
      <c r="B8507" s="392"/>
      <c r="C8507" s="392"/>
      <c r="D8507" s="385"/>
      <c r="E8507" s="397"/>
      <c r="F8507" s="392"/>
      <c r="G8507" s="392"/>
      <c r="H8507" s="401"/>
      <c r="I8507" s="165">
        <v>5</v>
      </c>
      <c r="J8507" s="165">
        <v>240</v>
      </c>
      <c r="K8507" s="165">
        <v>1</v>
      </c>
      <c r="L8507" s="628"/>
      <c r="M8507" s="628"/>
      <c r="N8507" s="388">
        <f>143.81*(0.028317)</f>
        <v>4.0722677699999998</v>
      </c>
      <c r="O8507" s="389">
        <v>1.3090000000000001E-3</v>
      </c>
      <c r="P8507" s="413"/>
      <c r="Q8507" s="413"/>
      <c r="R8507" s="413"/>
      <c r="S8507" s="413"/>
      <c r="T8507" s="413"/>
      <c r="U8507" s="413">
        <v>7.108081791626096E-2</v>
      </c>
      <c r="V8507" s="504">
        <v>0.24602401817591693</v>
      </c>
      <c r="W8507" s="504">
        <v>0.38753651411879259</v>
      </c>
      <c r="X8507" s="504">
        <v>0.12236286919831224</v>
      </c>
      <c r="Y8507" s="504">
        <v>0.1729957805907173</v>
      </c>
      <c r="Z8507" s="388">
        <v>2</v>
      </c>
      <c r="AA8507" s="388"/>
      <c r="AB8507" s="391"/>
      <c r="AC8507" s="392"/>
      <c r="AD8507" s="388">
        <v>7.7724000000000002</v>
      </c>
      <c r="AE8507" s="388"/>
      <c r="AF8507" s="388"/>
      <c r="AG8507" s="388"/>
      <c r="AH8507" s="391"/>
      <c r="AI8507" s="397"/>
      <c r="AJ8507" s="397"/>
      <c r="AK8507" s="392"/>
      <c r="AL8507" s="392"/>
      <c r="AM8507" s="392"/>
      <c r="AN8507" s="392"/>
      <c r="AO8507" s="392"/>
      <c r="AP8507" s="392"/>
      <c r="AQ8507" s="392"/>
      <c r="AR8507" s="392"/>
      <c r="AS8507" s="392"/>
      <c r="AT8507" s="392"/>
      <c r="AU8507" s="397"/>
      <c r="AV8507" s="397"/>
      <c r="AW8507" s="397"/>
      <c r="AX8507" s="397"/>
      <c r="AY8507" s="392"/>
      <c r="AZ8507" s="392"/>
      <c r="BA8507" s="392"/>
      <c r="BB8507" s="392"/>
      <c r="BC8507" s="392"/>
      <c r="BD8507" s="392"/>
      <c r="BE8507" s="392"/>
      <c r="BF8507" s="392"/>
      <c r="BG8507" s="392"/>
      <c r="BH8507" s="392"/>
      <c r="BI8507" s="397"/>
      <c r="BJ8507" s="397"/>
      <c r="BK8507" s="397"/>
      <c r="BL8507" s="397"/>
      <c r="BM8507" s="397"/>
      <c r="BN8507" s="397"/>
      <c r="BO8507" s="397"/>
      <c r="BP8507" s="397"/>
      <c r="BQ8507" s="397"/>
      <c r="BR8507" s="397"/>
      <c r="BS8507" s="397"/>
      <c r="BT8507" s="397"/>
      <c r="BU8507" s="397"/>
      <c r="BV8507" s="397"/>
      <c r="BW8507" s="397"/>
      <c r="BX8507" s="397"/>
      <c r="BY8507" s="397"/>
      <c r="BZ8507" s="397"/>
      <c r="CA8507" s="392"/>
      <c r="CB8507" s="392"/>
    </row>
    <row r="8508" spans="1:80" ht="15" x14ac:dyDescent="0.25">
      <c r="A8508" s="385"/>
      <c r="B8508" s="392"/>
      <c r="C8508" s="392"/>
      <c r="D8508" s="385"/>
      <c r="E8508" s="397"/>
      <c r="F8508" s="392"/>
      <c r="G8508" s="392"/>
      <c r="H8508" s="401"/>
      <c r="I8508" s="165">
        <v>10</v>
      </c>
      <c r="J8508" s="165">
        <v>120</v>
      </c>
      <c r="K8508" s="165">
        <v>1</v>
      </c>
      <c r="L8508" s="628"/>
      <c r="M8508" s="628"/>
      <c r="N8508" s="388">
        <f>94.52*(0.028317)</f>
        <v>2.6765228399999996</v>
      </c>
      <c r="O8508" s="389">
        <v>1.2387699999999998E-2</v>
      </c>
      <c r="P8508" s="413"/>
      <c r="Q8508" s="413"/>
      <c r="R8508" s="413">
        <v>7.4037018509254635E-2</v>
      </c>
      <c r="S8508" s="413">
        <v>0.13738687525580973</v>
      </c>
      <c r="T8508" s="413">
        <v>0.1302014643685479</v>
      </c>
      <c r="U8508" s="413">
        <v>0.19759879939969988</v>
      </c>
      <c r="V8508" s="504">
        <v>0.21847287280003638</v>
      </c>
      <c r="W8508" s="504">
        <v>0.16517349583882851</v>
      </c>
      <c r="X8508" s="504">
        <v>4.0929555686934377E-2</v>
      </c>
      <c r="Y8508" s="504">
        <v>3.6199918140888625E-2</v>
      </c>
      <c r="Z8508" s="388">
        <v>23</v>
      </c>
      <c r="AA8508" s="388"/>
      <c r="AB8508" s="391"/>
      <c r="AC8508" s="392"/>
      <c r="AD8508" s="388">
        <v>10.302239999999999</v>
      </c>
      <c r="AE8508" s="388">
        <v>0.36598544378698228</v>
      </c>
      <c r="AF8508" s="388"/>
      <c r="AG8508" s="388">
        <v>0.70985017321670563</v>
      </c>
      <c r="AH8508" s="391"/>
      <c r="AI8508" s="397"/>
      <c r="AJ8508" s="397"/>
      <c r="AK8508" s="392"/>
      <c r="AL8508" s="392"/>
      <c r="AM8508" s="392"/>
      <c r="AN8508" s="392"/>
      <c r="AO8508" s="392"/>
      <c r="AP8508" s="392"/>
      <c r="AQ8508" s="392"/>
      <c r="AR8508" s="392"/>
      <c r="AS8508" s="392"/>
      <c r="AT8508" s="392"/>
      <c r="AU8508" s="397"/>
      <c r="AV8508" s="397"/>
      <c r="AW8508" s="397"/>
      <c r="AX8508" s="397"/>
      <c r="AY8508" s="392"/>
      <c r="AZ8508" s="392"/>
      <c r="BA8508" s="392"/>
      <c r="BB8508" s="392"/>
      <c r="BC8508" s="392"/>
      <c r="BD8508" s="392"/>
      <c r="BE8508" s="392"/>
      <c r="BF8508" s="392"/>
      <c r="BG8508" s="392"/>
      <c r="BH8508" s="392"/>
      <c r="BI8508" s="397"/>
      <c r="BJ8508" s="397"/>
      <c r="BK8508" s="397"/>
      <c r="BL8508" s="397"/>
      <c r="BM8508" s="397"/>
      <c r="BN8508" s="397"/>
      <c r="BO8508" s="397"/>
      <c r="BP8508" s="397"/>
      <c r="BQ8508" s="397"/>
      <c r="BR8508" s="397"/>
      <c r="BS8508" s="397"/>
      <c r="BT8508" s="397"/>
      <c r="BU8508" s="397"/>
      <c r="BV8508" s="397"/>
      <c r="BW8508" s="397"/>
      <c r="BX8508" s="397"/>
      <c r="BY8508" s="397"/>
      <c r="BZ8508" s="397"/>
      <c r="CA8508" s="392"/>
      <c r="CB8508" s="392"/>
    </row>
    <row r="8509" spans="1:80" ht="15" x14ac:dyDescent="0.25">
      <c r="A8509" s="385"/>
      <c r="B8509" s="392"/>
      <c r="C8509" s="392"/>
      <c r="D8509" s="385"/>
      <c r="E8509" s="397"/>
      <c r="F8509" s="392"/>
      <c r="G8509" s="392"/>
      <c r="H8509" s="401"/>
      <c r="I8509" s="165">
        <v>10</v>
      </c>
      <c r="J8509" s="165">
        <v>120</v>
      </c>
      <c r="K8509" s="165">
        <v>1</v>
      </c>
      <c r="L8509" s="628"/>
      <c r="M8509" s="628"/>
      <c r="N8509" s="388">
        <f>99.35*(0.028317)</f>
        <v>2.8132939499999998</v>
      </c>
      <c r="O8509" s="389">
        <v>8.3598416666666661E-3</v>
      </c>
      <c r="P8509" s="413"/>
      <c r="Q8509" s="413"/>
      <c r="R8509" s="413">
        <v>9.7932001402032953E-2</v>
      </c>
      <c r="S8509" s="413">
        <v>4.2411496670171744E-2</v>
      </c>
      <c r="T8509" s="413">
        <v>5.250613389414651E-2</v>
      </c>
      <c r="U8509" s="413">
        <v>0.15324220119172799</v>
      </c>
      <c r="V8509" s="504">
        <v>0.36971608832807573</v>
      </c>
      <c r="W8509" s="504">
        <v>0.21598317560462668</v>
      </c>
      <c r="X8509" s="504">
        <v>3.9046617595513498E-2</v>
      </c>
      <c r="Y8509" s="504">
        <v>2.9162285313704871E-2</v>
      </c>
      <c r="Z8509" s="388">
        <v>27</v>
      </c>
      <c r="AA8509" s="388"/>
      <c r="AB8509" s="391"/>
      <c r="AC8509" s="392"/>
      <c r="AD8509" s="388">
        <v>10.71372</v>
      </c>
      <c r="AE8509" s="388">
        <v>0.35468227596017071</v>
      </c>
      <c r="AF8509" s="388"/>
      <c r="AG8509" s="388">
        <v>0.74033406857771533</v>
      </c>
      <c r="AH8509" s="391"/>
      <c r="AI8509" s="397"/>
      <c r="AJ8509" s="397"/>
      <c r="AK8509" s="392"/>
      <c r="AL8509" s="392"/>
      <c r="AM8509" s="392"/>
      <c r="AN8509" s="392"/>
      <c r="AO8509" s="392"/>
      <c r="AP8509" s="392"/>
      <c r="AQ8509" s="392"/>
      <c r="AR8509" s="392"/>
      <c r="AS8509" s="392"/>
      <c r="AT8509" s="392"/>
      <c r="AU8509" s="397"/>
      <c r="AV8509" s="397"/>
      <c r="AW8509" s="397"/>
      <c r="AX8509" s="397"/>
      <c r="AY8509" s="392"/>
      <c r="AZ8509" s="392"/>
      <c r="BA8509" s="392"/>
      <c r="BB8509" s="392"/>
      <c r="BC8509" s="392"/>
      <c r="BD8509" s="392"/>
      <c r="BE8509" s="392"/>
      <c r="BF8509" s="392"/>
      <c r="BG8509" s="392"/>
      <c r="BH8509" s="392"/>
      <c r="BI8509" s="397"/>
      <c r="BJ8509" s="397"/>
      <c r="BK8509" s="397"/>
      <c r="BL8509" s="397"/>
      <c r="BM8509" s="397"/>
      <c r="BN8509" s="397"/>
      <c r="BO8509" s="397"/>
      <c r="BP8509" s="397"/>
      <c r="BQ8509" s="397"/>
      <c r="BR8509" s="397"/>
      <c r="BS8509" s="397"/>
      <c r="BT8509" s="397"/>
      <c r="BU8509" s="397"/>
      <c r="BV8509" s="397"/>
      <c r="BW8509" s="397"/>
      <c r="BX8509" s="397"/>
      <c r="BY8509" s="397"/>
      <c r="BZ8509" s="397"/>
      <c r="CA8509" s="392"/>
      <c r="CB8509" s="392"/>
    </row>
    <row r="8510" spans="1:80" ht="15" x14ac:dyDescent="0.25">
      <c r="A8510" s="385"/>
      <c r="B8510" s="392"/>
      <c r="C8510" s="392"/>
      <c r="D8510" s="385"/>
      <c r="E8510" s="397"/>
      <c r="F8510" s="392"/>
      <c r="G8510" s="392"/>
      <c r="H8510" s="401"/>
      <c r="I8510" s="165">
        <v>10</v>
      </c>
      <c r="J8510" s="165">
        <v>120</v>
      </c>
      <c r="K8510" s="165">
        <v>1</v>
      </c>
      <c r="L8510" s="628"/>
      <c r="M8510" s="628"/>
      <c r="N8510" s="388">
        <f>96.78*(0.028317)</f>
        <v>2.7405192599999997</v>
      </c>
      <c r="O8510" s="389">
        <v>1.6934833333333333E-2</v>
      </c>
      <c r="P8510" s="413"/>
      <c r="Q8510" s="413"/>
      <c r="R8510" s="413"/>
      <c r="S8510" s="413">
        <v>7.6465358046645227E-2</v>
      </c>
      <c r="T8510" s="413">
        <v>0.15087887285411392</v>
      </c>
      <c r="U8510" s="413">
        <v>0.25497571985500306</v>
      </c>
      <c r="V8510" s="504">
        <v>0.32518295602215991</v>
      </c>
      <c r="W8510" s="504">
        <v>0.15470898023391014</v>
      </c>
      <c r="X8510" s="504">
        <v>3.3274057861979345E-2</v>
      </c>
      <c r="Y8510" s="504">
        <v>4.5140551261883596E-3</v>
      </c>
      <c r="Z8510" s="388">
        <v>13</v>
      </c>
      <c r="AA8510" s="388"/>
      <c r="AB8510" s="391"/>
      <c r="AC8510" s="392"/>
      <c r="AD8510" s="388">
        <v>10.591800000000001</v>
      </c>
      <c r="AE8510" s="388">
        <v>0.34635366906474813</v>
      </c>
      <c r="AF8510" s="388"/>
      <c r="AG8510" s="388">
        <v>0.74703498575498595</v>
      </c>
      <c r="AH8510" s="391"/>
      <c r="AI8510" s="397"/>
      <c r="AJ8510" s="397"/>
      <c r="AK8510" s="392"/>
      <c r="AL8510" s="392"/>
      <c r="AM8510" s="392"/>
      <c r="AN8510" s="392"/>
      <c r="AO8510" s="392"/>
      <c r="AP8510" s="392"/>
      <c r="AQ8510" s="392"/>
      <c r="AR8510" s="392"/>
      <c r="AS8510" s="392"/>
      <c r="AT8510" s="392"/>
      <c r="AU8510" s="397"/>
      <c r="AV8510" s="397"/>
      <c r="AW8510" s="397"/>
      <c r="AX8510" s="397"/>
      <c r="AY8510" s="392"/>
      <c r="AZ8510" s="392"/>
      <c r="BA8510" s="392"/>
      <c r="BB8510" s="392"/>
      <c r="BC8510" s="392"/>
      <c r="BD8510" s="392"/>
      <c r="BE8510" s="392"/>
      <c r="BF8510" s="392"/>
      <c r="BG8510" s="392"/>
      <c r="BH8510" s="392"/>
      <c r="BI8510" s="397"/>
      <c r="BJ8510" s="397"/>
      <c r="BK8510" s="397"/>
      <c r="BL8510" s="397"/>
      <c r="BM8510" s="397"/>
      <c r="BN8510" s="397"/>
      <c r="BO8510" s="397"/>
      <c r="BP8510" s="397"/>
      <c r="BQ8510" s="397"/>
      <c r="BR8510" s="397"/>
      <c r="BS8510" s="397"/>
      <c r="BT8510" s="397"/>
      <c r="BU8510" s="397"/>
      <c r="BV8510" s="397"/>
      <c r="BW8510" s="397"/>
      <c r="BX8510" s="397"/>
      <c r="BY8510" s="397"/>
      <c r="BZ8510" s="397"/>
      <c r="CA8510" s="392"/>
      <c r="CB8510" s="392"/>
    </row>
    <row r="8511" spans="1:80" ht="15" x14ac:dyDescent="0.25">
      <c r="A8511" s="385"/>
      <c r="B8511" s="392"/>
      <c r="C8511" s="392"/>
      <c r="D8511" s="385"/>
      <c r="E8511" s="397"/>
      <c r="F8511" s="392"/>
      <c r="G8511" s="392"/>
      <c r="H8511" s="401"/>
      <c r="I8511" s="165">
        <v>10</v>
      </c>
      <c r="J8511" s="165">
        <v>120</v>
      </c>
      <c r="K8511" s="165">
        <v>1</v>
      </c>
      <c r="L8511" s="628"/>
      <c r="M8511" s="628"/>
      <c r="N8511" s="388">
        <f>87.5*(0.028317)</f>
        <v>2.4777374999999999</v>
      </c>
      <c r="O8511" s="389">
        <v>3.0353749999999994E-3</v>
      </c>
      <c r="P8511" s="413"/>
      <c r="Q8511" s="413"/>
      <c r="R8511" s="413"/>
      <c r="S8511" s="413"/>
      <c r="T8511" s="413">
        <v>4.8399390243902433E-2</v>
      </c>
      <c r="U8511" s="413">
        <v>0.16272865853658533</v>
      </c>
      <c r="V8511" s="504">
        <v>0.37823932926829268</v>
      </c>
      <c r="W8511" s="504">
        <v>0.2892530487804878</v>
      </c>
      <c r="X8511" s="504">
        <v>6.097560975609756E-2</v>
      </c>
      <c r="Y8511" s="504">
        <v>6.0403963414634138E-2</v>
      </c>
      <c r="Z8511" s="388">
        <v>7</v>
      </c>
      <c r="AA8511" s="388"/>
      <c r="AB8511" s="391"/>
      <c r="AC8511" s="392"/>
      <c r="AD8511" s="388">
        <v>10.573511999999999</v>
      </c>
      <c r="AE8511" s="388">
        <v>0.33512623810896508</v>
      </c>
      <c r="AF8511" s="388"/>
      <c r="AG8511" s="388">
        <v>0.69925342600579454</v>
      </c>
      <c r="AH8511" s="391"/>
      <c r="AI8511" s="397"/>
      <c r="AJ8511" s="397"/>
      <c r="AK8511" s="392"/>
      <c r="AL8511" s="392"/>
      <c r="AM8511" s="392"/>
      <c r="AN8511" s="392"/>
      <c r="AO8511" s="392"/>
      <c r="AP8511" s="392"/>
      <c r="AQ8511" s="392"/>
      <c r="AR8511" s="392"/>
      <c r="AS8511" s="392"/>
      <c r="AT8511" s="392"/>
      <c r="AU8511" s="397"/>
      <c r="AV8511" s="397"/>
      <c r="AW8511" s="397"/>
      <c r="AX8511" s="397"/>
      <c r="AY8511" s="392"/>
      <c r="AZ8511" s="392"/>
      <c r="BA8511" s="392"/>
      <c r="BB8511" s="392"/>
      <c r="BC8511" s="392"/>
      <c r="BD8511" s="392"/>
      <c r="BE8511" s="392"/>
      <c r="BF8511" s="392"/>
      <c r="BG8511" s="392"/>
      <c r="BH8511" s="392"/>
      <c r="BI8511" s="397"/>
      <c r="BJ8511" s="397"/>
      <c r="BK8511" s="397"/>
      <c r="BL8511" s="397"/>
      <c r="BM8511" s="397"/>
      <c r="BN8511" s="397"/>
      <c r="BO8511" s="397"/>
      <c r="BP8511" s="397"/>
      <c r="BQ8511" s="397"/>
      <c r="BR8511" s="397"/>
      <c r="BS8511" s="397"/>
      <c r="BT8511" s="397"/>
      <c r="BU8511" s="397"/>
      <c r="BV8511" s="397"/>
      <c r="BW8511" s="397"/>
      <c r="BX8511" s="397"/>
      <c r="BY8511" s="397"/>
      <c r="BZ8511" s="397"/>
      <c r="CA8511" s="392"/>
      <c r="CB8511" s="392"/>
    </row>
    <row r="8512" spans="1:80" ht="15" x14ac:dyDescent="0.25">
      <c r="A8512" s="385"/>
      <c r="B8512" s="392"/>
      <c r="C8512" s="392"/>
      <c r="D8512" s="385"/>
      <c r="E8512" s="397"/>
      <c r="F8512" s="392"/>
      <c r="G8512" s="392"/>
      <c r="H8512" s="401"/>
      <c r="I8512" s="165">
        <v>10</v>
      </c>
      <c r="J8512" s="165">
        <v>120</v>
      </c>
      <c r="K8512" s="165">
        <v>1</v>
      </c>
      <c r="L8512" s="628"/>
      <c r="M8512" s="628"/>
      <c r="N8512" s="388">
        <f>69.25*(0.028317)</f>
        <v>1.9609522499999998</v>
      </c>
      <c r="O8512" s="389">
        <v>5.7296316666666661E-3</v>
      </c>
      <c r="P8512" s="413"/>
      <c r="Q8512" s="413"/>
      <c r="R8512" s="413"/>
      <c r="S8512" s="413"/>
      <c r="T8512" s="413">
        <v>1.3112769820455921E-3</v>
      </c>
      <c r="U8512" s="413">
        <v>8.2408714948557588E-2</v>
      </c>
      <c r="V8512" s="504">
        <v>0.46580593100665724</v>
      </c>
      <c r="W8512" s="504">
        <v>0.39166834779100262</v>
      </c>
      <c r="X8512" s="504">
        <v>4.1658261044986884E-2</v>
      </c>
      <c r="Y8512" s="504">
        <v>1.7147468226750048E-2</v>
      </c>
      <c r="Z8512" s="388">
        <v>4</v>
      </c>
      <c r="AA8512" s="388"/>
      <c r="AB8512" s="391"/>
      <c r="AC8512" s="392"/>
      <c r="AD8512" s="388">
        <v>10.573511999999999</v>
      </c>
      <c r="AE8512" s="388">
        <v>0.33235852407033722</v>
      </c>
      <c r="AF8512" s="388"/>
      <c r="AG8512" s="388">
        <v>0.55801493778171396</v>
      </c>
      <c r="AH8512" s="391"/>
      <c r="AI8512" s="397"/>
      <c r="AJ8512" s="397"/>
      <c r="AK8512" s="392"/>
      <c r="AL8512" s="392"/>
      <c r="AM8512" s="392"/>
      <c r="AN8512" s="392"/>
      <c r="AO8512" s="392"/>
      <c r="AP8512" s="392"/>
      <c r="AQ8512" s="392"/>
      <c r="AR8512" s="392"/>
      <c r="AS8512" s="392"/>
      <c r="AT8512" s="392"/>
      <c r="AU8512" s="397"/>
      <c r="AV8512" s="397"/>
      <c r="AW8512" s="397"/>
      <c r="AX8512" s="397"/>
      <c r="AY8512" s="392"/>
      <c r="AZ8512" s="392"/>
      <c r="BA8512" s="392"/>
      <c r="BB8512" s="392"/>
      <c r="BC8512" s="392"/>
      <c r="BD8512" s="392"/>
      <c r="BE8512" s="392"/>
      <c r="BF8512" s="392"/>
      <c r="BG8512" s="392"/>
      <c r="BH8512" s="392"/>
      <c r="BI8512" s="397"/>
      <c r="BJ8512" s="397"/>
      <c r="BK8512" s="397"/>
      <c r="BL8512" s="397"/>
      <c r="BM8512" s="397"/>
      <c r="BN8512" s="397"/>
      <c r="BO8512" s="397"/>
      <c r="BP8512" s="397"/>
      <c r="BQ8512" s="397"/>
      <c r="BR8512" s="397"/>
      <c r="BS8512" s="397"/>
      <c r="BT8512" s="397"/>
      <c r="BU8512" s="397"/>
      <c r="BV8512" s="397"/>
      <c r="BW8512" s="397"/>
      <c r="BX8512" s="397"/>
      <c r="BY8512" s="397"/>
      <c r="BZ8512" s="397"/>
      <c r="CA8512" s="392"/>
      <c r="CB8512" s="392"/>
    </row>
    <row r="8513" spans="1:80" ht="15" x14ac:dyDescent="0.25">
      <c r="A8513" s="385"/>
      <c r="B8513" s="392"/>
      <c r="C8513" s="392"/>
      <c r="D8513" s="385"/>
      <c r="E8513" s="397"/>
      <c r="F8513" s="392"/>
      <c r="G8513" s="392"/>
      <c r="H8513" s="401"/>
      <c r="I8513" s="165">
        <v>10</v>
      </c>
      <c r="J8513" s="165">
        <v>120</v>
      </c>
      <c r="K8513" s="165">
        <v>1</v>
      </c>
      <c r="L8513" s="628"/>
      <c r="M8513" s="628"/>
      <c r="N8513" s="388">
        <f>67.19*(0.028317)</f>
        <v>1.9026192299999998</v>
      </c>
      <c r="O8513" s="389">
        <v>4.6816000000000002E-3</v>
      </c>
      <c r="P8513" s="413"/>
      <c r="Q8513" s="413"/>
      <c r="R8513" s="413"/>
      <c r="S8513" s="413">
        <v>2.1055150137576265E-2</v>
      </c>
      <c r="T8513" s="413">
        <v>4.6177772460820672E-2</v>
      </c>
      <c r="U8513" s="413">
        <v>0.16533078119392272</v>
      </c>
      <c r="V8513" s="504">
        <v>0.30601746620409137</v>
      </c>
      <c r="W8513" s="504">
        <v>0.30039478406507952</v>
      </c>
      <c r="X8513" s="504">
        <v>9.3192965665749486E-2</v>
      </c>
      <c r="Y8513" s="504">
        <v>6.78310802727599E-2</v>
      </c>
      <c r="Z8513" s="388">
        <v>11</v>
      </c>
      <c r="AA8513" s="388"/>
      <c r="AB8513" s="391"/>
      <c r="AC8513" s="392"/>
      <c r="AD8513" s="388">
        <v>10.241280000000001</v>
      </c>
      <c r="AE8513" s="388">
        <v>0.31196642857142853</v>
      </c>
      <c r="AF8513" s="388"/>
      <c r="AG8513" s="388">
        <v>0.59549287583599897</v>
      </c>
      <c r="AH8513" s="391"/>
      <c r="AI8513" s="397"/>
      <c r="AJ8513" s="397"/>
      <c r="AK8513" s="392"/>
      <c r="AL8513" s="392"/>
      <c r="AM8513" s="392"/>
      <c r="AN8513" s="392"/>
      <c r="AO8513" s="392"/>
      <c r="AP8513" s="392"/>
      <c r="AQ8513" s="392"/>
      <c r="AR8513" s="392"/>
      <c r="AS8513" s="392"/>
      <c r="AT8513" s="392"/>
      <c r="AU8513" s="397"/>
      <c r="AV8513" s="397"/>
      <c r="AW8513" s="397"/>
      <c r="AX8513" s="397"/>
      <c r="AY8513" s="392"/>
      <c r="AZ8513" s="392"/>
      <c r="BA8513" s="392"/>
      <c r="BB8513" s="392"/>
      <c r="BC8513" s="392"/>
      <c r="BD8513" s="392"/>
      <c r="BE8513" s="392"/>
      <c r="BF8513" s="392"/>
      <c r="BG8513" s="392"/>
      <c r="BH8513" s="392"/>
      <c r="BI8513" s="397"/>
      <c r="BJ8513" s="397"/>
      <c r="BK8513" s="397"/>
      <c r="BL8513" s="397"/>
      <c r="BM8513" s="397"/>
      <c r="BN8513" s="397"/>
      <c r="BO8513" s="397"/>
      <c r="BP8513" s="397"/>
      <c r="BQ8513" s="397"/>
      <c r="BR8513" s="397"/>
      <c r="BS8513" s="397"/>
      <c r="BT8513" s="397"/>
      <c r="BU8513" s="397"/>
      <c r="BV8513" s="397"/>
      <c r="BW8513" s="397"/>
      <c r="BX8513" s="397"/>
      <c r="BY8513" s="397"/>
      <c r="BZ8513" s="397"/>
      <c r="CA8513" s="392"/>
      <c r="CB8513" s="392"/>
    </row>
    <row r="8514" spans="1:80" ht="15" x14ac:dyDescent="0.25">
      <c r="A8514" s="385"/>
      <c r="B8514" s="392"/>
      <c r="C8514" s="392"/>
      <c r="D8514" s="385"/>
      <c r="E8514" s="397"/>
      <c r="F8514" s="392"/>
      <c r="G8514" s="392"/>
      <c r="H8514" s="401"/>
      <c r="I8514" s="165">
        <v>10</v>
      </c>
      <c r="J8514" s="165">
        <v>120</v>
      </c>
      <c r="K8514" s="165">
        <v>1</v>
      </c>
      <c r="L8514" s="628"/>
      <c r="M8514" s="628"/>
      <c r="N8514" s="388">
        <f>61.76*(0.028317)</f>
        <v>1.7488579199999998</v>
      </c>
      <c r="O8514" s="389">
        <v>5.3074999999999997E-3</v>
      </c>
      <c r="P8514" s="413"/>
      <c r="Q8514" s="413"/>
      <c r="R8514" s="413"/>
      <c r="S8514" s="413">
        <v>0.12602342211628148</v>
      </c>
      <c r="T8514" s="413">
        <v>0.33039693232459322</v>
      </c>
      <c r="U8514" s="413">
        <v>0.33008601927660902</v>
      </c>
      <c r="V8514" s="504">
        <v>0.15400559643486372</v>
      </c>
      <c r="W8514" s="504">
        <v>3.5858638200849828E-2</v>
      </c>
      <c r="X8514" s="504">
        <v>8.3946522955746714E-3</v>
      </c>
      <c r="Y8514" s="504">
        <v>1.5234739351228106E-2</v>
      </c>
      <c r="Z8514" s="388">
        <v>13</v>
      </c>
      <c r="AA8514" s="388"/>
      <c r="AB8514" s="391"/>
      <c r="AC8514" s="392"/>
      <c r="AD8514" s="388">
        <v>10.058400000000001</v>
      </c>
      <c r="AE8514" s="388">
        <v>0.29768800000000001</v>
      </c>
      <c r="AF8514" s="388"/>
      <c r="AG8514" s="388">
        <v>0.58410101644430668</v>
      </c>
      <c r="AH8514" s="391"/>
      <c r="AI8514" s="397"/>
      <c r="AJ8514" s="397"/>
      <c r="AK8514" s="392"/>
      <c r="AL8514" s="392"/>
      <c r="AM8514" s="392"/>
      <c r="AN8514" s="392"/>
      <c r="AO8514" s="392"/>
      <c r="AP8514" s="392"/>
      <c r="AQ8514" s="392"/>
      <c r="AR8514" s="392"/>
      <c r="AS8514" s="392"/>
      <c r="AT8514" s="392"/>
      <c r="AU8514" s="397"/>
      <c r="AV8514" s="397"/>
      <c r="AW8514" s="397"/>
      <c r="AX8514" s="397"/>
      <c r="AY8514" s="392"/>
      <c r="AZ8514" s="392"/>
      <c r="BA8514" s="392"/>
      <c r="BB8514" s="392"/>
      <c r="BC8514" s="392"/>
      <c r="BD8514" s="392"/>
      <c r="BE8514" s="392"/>
      <c r="BF8514" s="392"/>
      <c r="BG8514" s="392"/>
      <c r="BH8514" s="392"/>
      <c r="BI8514" s="397"/>
      <c r="BJ8514" s="397"/>
      <c r="BK8514" s="397"/>
      <c r="BL8514" s="397"/>
      <c r="BM8514" s="397"/>
      <c r="BN8514" s="397"/>
      <c r="BO8514" s="397"/>
      <c r="BP8514" s="397"/>
      <c r="BQ8514" s="397"/>
      <c r="BR8514" s="397"/>
      <c r="BS8514" s="397"/>
      <c r="BT8514" s="397"/>
      <c r="BU8514" s="397"/>
      <c r="BV8514" s="397"/>
      <c r="BW8514" s="397"/>
      <c r="BX8514" s="397"/>
      <c r="BY8514" s="397"/>
      <c r="BZ8514" s="397"/>
      <c r="CA8514" s="392"/>
      <c r="CB8514" s="392"/>
    </row>
    <row r="8515" spans="1:80" ht="15" x14ac:dyDescent="0.25">
      <c r="A8515" s="385"/>
      <c r="B8515" s="392"/>
      <c r="C8515" s="392"/>
      <c r="D8515" s="385"/>
      <c r="E8515" s="397"/>
      <c r="F8515" s="392"/>
      <c r="G8515" s="392"/>
      <c r="H8515" s="401"/>
      <c r="I8515" s="165">
        <v>10</v>
      </c>
      <c r="J8515" s="165">
        <v>120</v>
      </c>
      <c r="K8515" s="165">
        <v>1</v>
      </c>
      <c r="L8515" s="628"/>
      <c r="M8515" s="628"/>
      <c r="N8515" s="388">
        <f>59.18*(0.028317)</f>
        <v>1.6758000599999998</v>
      </c>
      <c r="O8515" s="389">
        <v>1.0615000000000002E-3</v>
      </c>
      <c r="P8515" s="413"/>
      <c r="Q8515" s="413"/>
      <c r="R8515" s="413"/>
      <c r="S8515" s="413"/>
      <c r="T8515" s="413">
        <v>4.9273858921161831E-2</v>
      </c>
      <c r="U8515" s="413">
        <v>0.25155601659751037</v>
      </c>
      <c r="V8515" s="504">
        <v>0.25155601659751037</v>
      </c>
      <c r="W8515" s="504">
        <v>0.32313278008298763</v>
      </c>
      <c r="X8515" s="504">
        <v>8.5580912863070541E-2</v>
      </c>
      <c r="Y8515" s="504">
        <v>3.8900414937759344E-2</v>
      </c>
      <c r="Z8515" s="388">
        <v>4</v>
      </c>
      <c r="AA8515" s="388"/>
      <c r="AB8515" s="391"/>
      <c r="AC8515" s="392"/>
      <c r="AD8515" s="388">
        <v>10.058400000000001</v>
      </c>
      <c r="AE8515" s="388">
        <v>0.29870400000000003</v>
      </c>
      <c r="AF8515" s="388"/>
      <c r="AG8515" s="388">
        <v>0.55778400000000006</v>
      </c>
      <c r="AH8515" s="391"/>
      <c r="AI8515" s="397"/>
      <c r="AJ8515" s="397"/>
      <c r="AK8515" s="392"/>
      <c r="AL8515" s="392"/>
      <c r="AM8515" s="392"/>
      <c r="AN8515" s="392"/>
      <c r="AO8515" s="392"/>
      <c r="AP8515" s="392"/>
      <c r="AQ8515" s="392"/>
      <c r="AR8515" s="392"/>
      <c r="AS8515" s="392"/>
      <c r="AT8515" s="392"/>
      <c r="AU8515" s="397"/>
      <c r="AV8515" s="397"/>
      <c r="AW8515" s="397"/>
      <c r="AX8515" s="397"/>
      <c r="AY8515" s="392"/>
      <c r="AZ8515" s="392"/>
      <c r="BA8515" s="392"/>
      <c r="BB8515" s="392"/>
      <c r="BC8515" s="392"/>
      <c r="BD8515" s="392"/>
      <c r="BE8515" s="392"/>
      <c r="BF8515" s="392"/>
      <c r="BG8515" s="392"/>
      <c r="BH8515" s="392"/>
      <c r="BI8515" s="397"/>
      <c r="BJ8515" s="397"/>
      <c r="BK8515" s="397"/>
      <c r="BL8515" s="397"/>
      <c r="BM8515" s="397"/>
      <c r="BN8515" s="397"/>
      <c r="BO8515" s="397"/>
      <c r="BP8515" s="397"/>
      <c r="BQ8515" s="397"/>
      <c r="BR8515" s="397"/>
      <c r="BS8515" s="397"/>
      <c r="BT8515" s="397"/>
      <c r="BU8515" s="397"/>
      <c r="BV8515" s="397"/>
      <c r="BW8515" s="397"/>
      <c r="BX8515" s="397"/>
      <c r="BY8515" s="397"/>
      <c r="BZ8515" s="397"/>
      <c r="CA8515" s="392"/>
      <c r="CB8515" s="392"/>
    </row>
    <row r="8516" spans="1:80" ht="15" x14ac:dyDescent="0.25">
      <c r="A8516" s="385"/>
      <c r="B8516" s="392"/>
      <c r="C8516" s="392"/>
      <c r="D8516" s="385"/>
      <c r="E8516" s="397"/>
      <c r="F8516" s="392"/>
      <c r="G8516" s="392"/>
      <c r="H8516" s="401"/>
      <c r="I8516" s="165">
        <v>10</v>
      </c>
      <c r="J8516" s="165">
        <v>120</v>
      </c>
      <c r="K8516" s="165">
        <v>1</v>
      </c>
      <c r="L8516" s="628"/>
      <c r="M8516" s="628"/>
      <c r="N8516" s="388">
        <f>47.16*(0.028317)</f>
        <v>1.3354297199999998</v>
      </c>
      <c r="O8516" s="389">
        <v>1.0314333333333332E-3</v>
      </c>
      <c r="P8516" s="413"/>
      <c r="Q8516" s="413"/>
      <c r="R8516" s="413"/>
      <c r="S8516" s="413"/>
      <c r="T8516" s="413">
        <v>0.17386831275720163</v>
      </c>
      <c r="U8516" s="413">
        <v>0.30658436213991769</v>
      </c>
      <c r="V8516" s="504">
        <v>0.26748971193415638</v>
      </c>
      <c r="W8516" s="504">
        <v>0.19855967078189299</v>
      </c>
      <c r="X8516" s="504">
        <v>3.8580246913580245E-2</v>
      </c>
      <c r="Y8516" s="504">
        <v>1.4917695473251027E-2</v>
      </c>
      <c r="Z8516" s="388">
        <v>7</v>
      </c>
      <c r="AA8516" s="388"/>
      <c r="AB8516" s="391"/>
      <c r="AC8516" s="392"/>
      <c r="AD8516" s="388">
        <v>9.7231199999999998</v>
      </c>
      <c r="AE8516" s="388">
        <v>0.29260799999999998</v>
      </c>
      <c r="AF8516" s="388"/>
      <c r="AG8516" s="388">
        <v>0.46939200000000003</v>
      </c>
      <c r="AH8516" s="391"/>
      <c r="AI8516" s="397"/>
      <c r="AJ8516" s="397"/>
      <c r="AK8516" s="392"/>
      <c r="AL8516" s="392"/>
      <c r="AM8516" s="392"/>
      <c r="AN8516" s="392"/>
      <c r="AO8516" s="392"/>
      <c r="AP8516" s="392"/>
      <c r="AQ8516" s="392"/>
      <c r="AR8516" s="392"/>
      <c r="AS8516" s="392"/>
      <c r="AT8516" s="392"/>
      <c r="AU8516" s="397"/>
      <c r="AV8516" s="397"/>
      <c r="AW8516" s="397"/>
      <c r="AX8516" s="397"/>
      <c r="AY8516" s="392"/>
      <c r="AZ8516" s="392"/>
      <c r="BA8516" s="392"/>
      <c r="BB8516" s="392"/>
      <c r="BC8516" s="392"/>
      <c r="BD8516" s="392"/>
      <c r="BE8516" s="392"/>
      <c r="BF8516" s="392"/>
      <c r="BG8516" s="392"/>
      <c r="BH8516" s="392"/>
      <c r="BI8516" s="397"/>
      <c r="BJ8516" s="397"/>
      <c r="BK8516" s="397"/>
      <c r="BL8516" s="397"/>
      <c r="BM8516" s="397"/>
      <c r="BN8516" s="397"/>
      <c r="BO8516" s="397"/>
      <c r="BP8516" s="397"/>
      <c r="BQ8516" s="397"/>
      <c r="BR8516" s="397"/>
      <c r="BS8516" s="397"/>
      <c r="BT8516" s="397"/>
      <c r="BU8516" s="397"/>
      <c r="BV8516" s="397"/>
      <c r="BW8516" s="397"/>
      <c r="BX8516" s="397"/>
      <c r="BY8516" s="397"/>
      <c r="BZ8516" s="397"/>
      <c r="CA8516" s="392"/>
      <c r="CB8516" s="392"/>
    </row>
    <row r="8517" spans="1:80" ht="15" x14ac:dyDescent="0.25">
      <c r="A8517" s="385"/>
      <c r="B8517" s="392"/>
      <c r="C8517" s="392"/>
      <c r="D8517" s="385"/>
      <c r="E8517" s="397"/>
      <c r="F8517" s="392"/>
      <c r="G8517" s="392"/>
      <c r="H8517" s="401"/>
      <c r="I8517" s="165">
        <v>10</v>
      </c>
      <c r="J8517" s="165">
        <v>120</v>
      </c>
      <c r="K8517" s="165">
        <v>1</v>
      </c>
      <c r="L8517" s="628"/>
      <c r="M8517" s="628"/>
      <c r="N8517" s="388">
        <f>43.42*(0.028317)</f>
        <v>1.2295241399999999</v>
      </c>
      <c r="O8517" s="389">
        <v>1.4722933333333333E-3</v>
      </c>
      <c r="P8517" s="413"/>
      <c r="Q8517" s="413"/>
      <c r="R8517" s="413"/>
      <c r="S8517" s="413"/>
      <c r="T8517" s="413">
        <v>0.20802919708029197</v>
      </c>
      <c r="U8517" s="413">
        <v>0.37627737226277369</v>
      </c>
      <c r="V8517" s="504">
        <v>0.24635036496350363</v>
      </c>
      <c r="W8517" s="504">
        <v>9.7810218978102187E-2</v>
      </c>
      <c r="X8517" s="504">
        <v>1.2408759124087591E-2</v>
      </c>
      <c r="Y8517" s="504">
        <v>5.9124087591240874E-2</v>
      </c>
      <c r="Z8517" s="388">
        <v>7</v>
      </c>
      <c r="AA8517" s="388"/>
      <c r="AB8517" s="391"/>
      <c r="AC8517" s="392"/>
      <c r="AD8517" s="388">
        <v>9.8267520000000008</v>
      </c>
      <c r="AE8517" s="388">
        <v>0.277368</v>
      </c>
      <c r="AF8517" s="388"/>
      <c r="AG8517" s="388">
        <v>0.451104</v>
      </c>
      <c r="AH8517" s="391"/>
      <c r="AI8517" s="397"/>
      <c r="AJ8517" s="397"/>
      <c r="AK8517" s="392"/>
      <c r="AL8517" s="392"/>
      <c r="AM8517" s="392"/>
      <c r="AN8517" s="392"/>
      <c r="AO8517" s="392"/>
      <c r="AP8517" s="392"/>
      <c r="AQ8517" s="392"/>
      <c r="AR8517" s="392"/>
      <c r="AS8517" s="392"/>
      <c r="AT8517" s="392"/>
      <c r="AU8517" s="397"/>
      <c r="AV8517" s="397"/>
      <c r="AW8517" s="397"/>
      <c r="AX8517" s="397"/>
      <c r="AY8517" s="392"/>
      <c r="AZ8517" s="392"/>
      <c r="BA8517" s="392"/>
      <c r="BB8517" s="392"/>
      <c r="BC8517" s="392"/>
      <c r="BD8517" s="392"/>
      <c r="BE8517" s="392"/>
      <c r="BF8517" s="392"/>
      <c r="BG8517" s="392"/>
      <c r="BH8517" s="392"/>
      <c r="BI8517" s="397"/>
      <c r="BJ8517" s="397"/>
      <c r="BK8517" s="397"/>
      <c r="BL8517" s="397"/>
      <c r="BM8517" s="397"/>
      <c r="BN8517" s="397"/>
      <c r="BO8517" s="397"/>
      <c r="BP8517" s="397"/>
      <c r="BQ8517" s="397"/>
      <c r="BR8517" s="397"/>
      <c r="BS8517" s="397"/>
      <c r="BT8517" s="397"/>
      <c r="BU8517" s="397"/>
      <c r="BV8517" s="397"/>
      <c r="BW8517" s="397"/>
      <c r="BX8517" s="397"/>
      <c r="BY8517" s="397"/>
      <c r="BZ8517" s="397"/>
      <c r="CA8517" s="392"/>
      <c r="CB8517" s="392"/>
    </row>
    <row r="8518" spans="1:80" ht="15" x14ac:dyDescent="0.25">
      <c r="A8518" s="385"/>
      <c r="B8518" s="392"/>
      <c r="C8518" s="392"/>
      <c r="D8518" s="385"/>
      <c r="E8518" s="397"/>
      <c r="F8518" s="392"/>
      <c r="G8518" s="392"/>
      <c r="H8518" s="401"/>
      <c r="I8518" s="165">
        <v>10</v>
      </c>
      <c r="J8518" s="165">
        <v>120</v>
      </c>
      <c r="K8518" s="165">
        <v>1</v>
      </c>
      <c r="L8518" s="628"/>
      <c r="M8518" s="628"/>
      <c r="N8518" s="388">
        <f>51.78*(0.028317)</f>
        <v>1.4662542599999999</v>
      </c>
      <c r="O8518" s="389">
        <v>5.3763416666666678E-3</v>
      </c>
      <c r="P8518" s="413"/>
      <c r="Q8518" s="413"/>
      <c r="R8518" s="413"/>
      <c r="S8518" s="413">
        <v>4.1364518435297717E-2</v>
      </c>
      <c r="T8518" s="413">
        <v>0.23082422633030333</v>
      </c>
      <c r="U8518" s="413">
        <v>0.35369216627515065</v>
      </c>
      <c r="V8518" s="504">
        <v>0.21407414972934327</v>
      </c>
      <c r="W8518" s="504">
        <v>0.1021346134204882</v>
      </c>
      <c r="X8518" s="504">
        <v>2.8801960984577667E-2</v>
      </c>
      <c r="Y8518" s="504">
        <v>2.9108364824839136E-2</v>
      </c>
      <c r="Z8518" s="388">
        <v>15</v>
      </c>
      <c r="AA8518" s="388"/>
      <c r="AB8518" s="391"/>
      <c r="AC8518" s="392"/>
      <c r="AD8518" s="388">
        <v>10.043160000000002</v>
      </c>
      <c r="AE8518" s="388">
        <v>0.29565600000000003</v>
      </c>
      <c r="AF8518" s="388"/>
      <c r="AG8518" s="388">
        <v>0.49377600000000005</v>
      </c>
      <c r="AH8518" s="391"/>
      <c r="AI8518" s="397"/>
      <c r="AJ8518" s="397"/>
      <c r="AK8518" s="392"/>
      <c r="AL8518" s="392"/>
      <c r="AM8518" s="392"/>
      <c r="AN8518" s="392"/>
      <c r="AO8518" s="392"/>
      <c r="AP8518" s="392"/>
      <c r="AQ8518" s="392"/>
      <c r="AR8518" s="392"/>
      <c r="AS8518" s="392"/>
      <c r="AT8518" s="392"/>
      <c r="AU8518" s="397"/>
      <c r="AV8518" s="397"/>
      <c r="AW8518" s="397"/>
      <c r="AX8518" s="397"/>
      <c r="AY8518" s="392"/>
      <c r="AZ8518" s="392"/>
      <c r="BA8518" s="392"/>
      <c r="BB8518" s="392"/>
      <c r="BC8518" s="392"/>
      <c r="BD8518" s="392"/>
      <c r="BE8518" s="392"/>
      <c r="BF8518" s="392"/>
      <c r="BG8518" s="392"/>
      <c r="BH8518" s="392"/>
      <c r="BI8518" s="397"/>
      <c r="BJ8518" s="397"/>
      <c r="BK8518" s="397"/>
      <c r="BL8518" s="397"/>
      <c r="BM8518" s="397"/>
      <c r="BN8518" s="397"/>
      <c r="BO8518" s="397"/>
      <c r="BP8518" s="397"/>
      <c r="BQ8518" s="397"/>
      <c r="BR8518" s="397"/>
      <c r="BS8518" s="397"/>
      <c r="BT8518" s="397"/>
      <c r="BU8518" s="397"/>
      <c r="BV8518" s="397"/>
      <c r="BW8518" s="397"/>
      <c r="BX8518" s="397"/>
      <c r="BY8518" s="397"/>
      <c r="BZ8518" s="397"/>
      <c r="CA8518" s="392"/>
      <c r="CB8518" s="392"/>
    </row>
    <row r="8519" spans="1:80" ht="15" x14ac:dyDescent="0.25">
      <c r="A8519" s="385"/>
      <c r="B8519" s="392"/>
      <c r="C8519" s="392"/>
      <c r="D8519" s="385"/>
      <c r="E8519" s="397"/>
      <c r="F8519" s="392"/>
      <c r="G8519" s="392"/>
      <c r="H8519" s="401"/>
      <c r="I8519" s="165">
        <v>10</v>
      </c>
      <c r="J8519" s="165">
        <v>120</v>
      </c>
      <c r="K8519" s="165">
        <v>1</v>
      </c>
      <c r="L8519" s="628"/>
      <c r="M8519" s="628"/>
      <c r="N8519" s="388">
        <f>58.51*(0.028317)</f>
        <v>1.6568276699999998</v>
      </c>
      <c r="O8519" s="389">
        <v>2.7486750000000001E-2</v>
      </c>
      <c r="P8519" s="413"/>
      <c r="Q8519" s="413"/>
      <c r="R8519" s="413">
        <v>3.4998984359130611E-2</v>
      </c>
      <c r="S8519" s="413">
        <v>0.13093642088157625</v>
      </c>
      <c r="T8519" s="413">
        <v>0.17785902904732886</v>
      </c>
      <c r="U8519" s="413">
        <v>0.26272598009343895</v>
      </c>
      <c r="V8519" s="504">
        <v>0.27974812106439162</v>
      </c>
      <c r="W8519" s="504">
        <v>8.6756043063172861E-2</v>
      </c>
      <c r="X8519" s="504">
        <v>1.4990859232175502E-2</v>
      </c>
      <c r="Y8519" s="504">
        <v>1.1984562258785294E-2</v>
      </c>
      <c r="Z8519" s="388">
        <v>24</v>
      </c>
      <c r="AA8519" s="388"/>
      <c r="AB8519" s="391"/>
      <c r="AC8519" s="392"/>
      <c r="AD8519" s="388">
        <v>10.210800000000001</v>
      </c>
      <c r="AE8519" s="388">
        <v>0.31771988059701495</v>
      </c>
      <c r="AF8519" s="388"/>
      <c r="AG8519" s="388">
        <v>0.51073071821305838</v>
      </c>
      <c r="AH8519" s="391"/>
      <c r="AI8519" s="397"/>
      <c r="AJ8519" s="397"/>
      <c r="AK8519" s="392"/>
      <c r="AL8519" s="392"/>
      <c r="AM8519" s="392"/>
      <c r="AN8519" s="392"/>
      <c r="AO8519" s="392"/>
      <c r="AP8519" s="392"/>
      <c r="AQ8519" s="392"/>
      <c r="AR8519" s="392"/>
      <c r="AS8519" s="392"/>
      <c r="AT8519" s="392"/>
      <c r="AU8519" s="397"/>
      <c r="AV8519" s="397"/>
      <c r="AW8519" s="397"/>
      <c r="AX8519" s="397"/>
      <c r="AY8519" s="392"/>
      <c r="AZ8519" s="392"/>
      <c r="BA8519" s="392"/>
      <c r="BB8519" s="392"/>
      <c r="BC8519" s="392"/>
      <c r="BD8519" s="392"/>
      <c r="BE8519" s="392"/>
      <c r="BF8519" s="392"/>
      <c r="BG8519" s="392"/>
      <c r="BH8519" s="392"/>
      <c r="BI8519" s="397"/>
      <c r="BJ8519" s="397"/>
      <c r="BK8519" s="397"/>
      <c r="BL8519" s="397"/>
      <c r="BM8519" s="397"/>
      <c r="BN8519" s="397"/>
      <c r="BO8519" s="397"/>
      <c r="BP8519" s="397"/>
      <c r="BQ8519" s="397"/>
      <c r="BR8519" s="397"/>
      <c r="BS8519" s="397"/>
      <c r="BT8519" s="397"/>
      <c r="BU8519" s="397"/>
      <c r="BV8519" s="397"/>
      <c r="BW8519" s="397"/>
      <c r="BX8519" s="397"/>
      <c r="BY8519" s="397"/>
      <c r="BZ8519" s="397"/>
      <c r="CA8519" s="392"/>
      <c r="CB8519" s="392"/>
    </row>
    <row r="8520" spans="1:80" ht="15" x14ac:dyDescent="0.25">
      <c r="A8520" s="385"/>
      <c r="B8520" s="392"/>
      <c r="C8520" s="392"/>
      <c r="D8520" s="385"/>
      <c r="E8520" s="397"/>
      <c r="F8520" s="392"/>
      <c r="G8520" s="392"/>
      <c r="H8520" s="401"/>
      <c r="I8520" s="165">
        <v>10</v>
      </c>
      <c r="J8520" s="165">
        <v>120</v>
      </c>
      <c r="K8520" s="165">
        <v>1</v>
      </c>
      <c r="L8520" s="628"/>
      <c r="M8520" s="628"/>
      <c r="N8520" s="388">
        <f>96.84*(0.028317)</f>
        <v>2.7422182799999999</v>
      </c>
      <c r="O8520" s="389">
        <v>8.565333333333333E-4</v>
      </c>
      <c r="P8520" s="413"/>
      <c r="Q8520" s="413"/>
      <c r="R8520" s="413"/>
      <c r="S8520" s="413"/>
      <c r="T8520" s="413">
        <v>5.475701574264203E-2</v>
      </c>
      <c r="U8520" s="413">
        <v>7.4606433949349765E-2</v>
      </c>
      <c r="V8520" s="504">
        <v>0.20533880903490762</v>
      </c>
      <c r="W8520" s="504">
        <v>0.31690622861054074</v>
      </c>
      <c r="X8520" s="504">
        <v>0.11156741957563313</v>
      </c>
      <c r="Y8520" s="504">
        <v>0.23682409308692676</v>
      </c>
      <c r="Z8520" s="388">
        <v>6</v>
      </c>
      <c r="AA8520" s="388"/>
      <c r="AB8520" s="391"/>
      <c r="AC8520" s="392"/>
      <c r="AD8520" s="388">
        <v>10.728960000000001</v>
      </c>
      <c r="AE8520" s="388"/>
      <c r="AF8520" s="388"/>
      <c r="AG8520" s="388"/>
      <c r="AH8520" s="391"/>
      <c r="AI8520" s="397"/>
      <c r="AJ8520" s="397"/>
      <c r="AK8520" s="392"/>
      <c r="AL8520" s="392"/>
      <c r="AM8520" s="392"/>
      <c r="AN8520" s="392"/>
      <c r="AO8520" s="392"/>
      <c r="AP8520" s="392"/>
      <c r="AQ8520" s="392"/>
      <c r="AR8520" s="392"/>
      <c r="AS8520" s="392"/>
      <c r="AT8520" s="392"/>
      <c r="AU8520" s="397"/>
      <c r="AV8520" s="397"/>
      <c r="AW8520" s="397"/>
      <c r="AX8520" s="397"/>
      <c r="AY8520" s="392"/>
      <c r="AZ8520" s="392"/>
      <c r="BA8520" s="392"/>
      <c r="BB8520" s="392"/>
      <c r="BC8520" s="392"/>
      <c r="BD8520" s="392"/>
      <c r="BE8520" s="392"/>
      <c r="BF8520" s="392"/>
      <c r="BG8520" s="392"/>
      <c r="BH8520" s="392"/>
      <c r="BI8520" s="397"/>
      <c r="BJ8520" s="397"/>
      <c r="BK8520" s="397"/>
      <c r="BL8520" s="397"/>
      <c r="BM8520" s="397"/>
      <c r="BN8520" s="397"/>
      <c r="BO8520" s="397"/>
      <c r="BP8520" s="397"/>
      <c r="BQ8520" s="397"/>
      <c r="BR8520" s="397"/>
      <c r="BS8520" s="397"/>
      <c r="BT8520" s="397"/>
      <c r="BU8520" s="397"/>
      <c r="BV8520" s="397"/>
      <c r="BW8520" s="397"/>
      <c r="BX8520" s="397"/>
      <c r="BY8520" s="397"/>
      <c r="BZ8520" s="397"/>
      <c r="CA8520" s="392"/>
      <c r="CB8520" s="392"/>
    </row>
    <row r="8521" spans="1:80" ht="15" x14ac:dyDescent="0.25">
      <c r="A8521" s="385"/>
      <c r="B8521" s="392"/>
      <c r="C8521" s="392"/>
      <c r="D8521" s="385"/>
      <c r="E8521" s="397"/>
      <c r="F8521" s="392"/>
      <c r="G8521" s="392"/>
      <c r="H8521" s="401"/>
      <c r="I8521" s="165">
        <v>10</v>
      </c>
      <c r="J8521" s="165">
        <v>120</v>
      </c>
      <c r="K8521" s="165">
        <v>1</v>
      </c>
      <c r="L8521" s="628"/>
      <c r="M8521" s="628"/>
      <c r="N8521" s="388">
        <f>38.31*(0.028317)</f>
        <v>1.0848242699999999</v>
      </c>
      <c r="O8521" s="389">
        <v>5.287E-4</v>
      </c>
      <c r="P8521" s="413"/>
      <c r="Q8521" s="413"/>
      <c r="R8521" s="413"/>
      <c r="S8521" s="413">
        <v>7.2336265884652973E-2</v>
      </c>
      <c r="T8521" s="413">
        <v>2.9325513196480937E-2</v>
      </c>
      <c r="U8521" s="413">
        <v>0.12414467253176931</v>
      </c>
      <c r="V8521" s="504">
        <v>0.25610948191593352</v>
      </c>
      <c r="W8521" s="504">
        <v>0.31378299120234604</v>
      </c>
      <c r="X8521" s="504">
        <v>0.10850439882697947</v>
      </c>
      <c r="Y8521" s="504">
        <v>9.579667644183773E-2</v>
      </c>
      <c r="Z8521" s="388">
        <v>10</v>
      </c>
      <c r="AA8521" s="388"/>
      <c r="AB8521" s="391"/>
      <c r="AC8521" s="392"/>
      <c r="AD8521" s="388">
        <v>9.479280000000001</v>
      </c>
      <c r="AE8521" s="388"/>
      <c r="AF8521" s="388"/>
      <c r="AG8521" s="388"/>
      <c r="AH8521" s="391"/>
      <c r="AI8521" s="397"/>
      <c r="AJ8521" s="397"/>
      <c r="AK8521" s="392"/>
      <c r="AL8521" s="392"/>
      <c r="AM8521" s="392"/>
      <c r="AN8521" s="392"/>
      <c r="AO8521" s="392"/>
      <c r="AP8521" s="392"/>
      <c r="AQ8521" s="392"/>
      <c r="AR8521" s="392"/>
      <c r="AS8521" s="392"/>
      <c r="AT8521" s="392"/>
      <c r="AU8521" s="397"/>
      <c r="AV8521" s="397"/>
      <c r="AW8521" s="397"/>
      <c r="AX8521" s="397"/>
      <c r="AY8521" s="392"/>
      <c r="AZ8521" s="392"/>
      <c r="BA8521" s="392"/>
      <c r="BB8521" s="392"/>
      <c r="BC8521" s="392"/>
      <c r="BD8521" s="392"/>
      <c r="BE8521" s="392"/>
      <c r="BF8521" s="392"/>
      <c r="BG8521" s="392"/>
      <c r="BH8521" s="392"/>
      <c r="BI8521" s="397"/>
      <c r="BJ8521" s="397"/>
      <c r="BK8521" s="397"/>
      <c r="BL8521" s="397"/>
      <c r="BM8521" s="397"/>
      <c r="BN8521" s="397"/>
      <c r="BO8521" s="397"/>
      <c r="BP8521" s="397"/>
      <c r="BQ8521" s="397"/>
      <c r="BR8521" s="397"/>
      <c r="BS8521" s="397"/>
      <c r="BT8521" s="397"/>
      <c r="BU8521" s="397"/>
      <c r="BV8521" s="397"/>
      <c r="BW8521" s="397"/>
      <c r="BX8521" s="397"/>
      <c r="BY8521" s="397"/>
      <c r="BZ8521" s="397"/>
      <c r="CA8521" s="392"/>
      <c r="CB8521" s="392"/>
    </row>
    <row r="8522" spans="1:80" ht="15" x14ac:dyDescent="0.25">
      <c r="A8522" s="385"/>
      <c r="B8522" s="392"/>
      <c r="C8522" s="392"/>
      <c r="D8522" s="385"/>
      <c r="E8522" s="397"/>
      <c r="F8522" s="392"/>
      <c r="G8522" s="392"/>
      <c r="H8522" s="401"/>
      <c r="I8522" s="165">
        <v>10</v>
      </c>
      <c r="J8522" s="165">
        <v>120</v>
      </c>
      <c r="K8522" s="165">
        <v>1</v>
      </c>
      <c r="L8522" s="514"/>
      <c r="M8522" s="514"/>
      <c r="N8522" s="388">
        <f>29.69*(0.028317)</f>
        <v>0.84073173000000001</v>
      </c>
      <c r="O8522" s="389">
        <v>1.225E-4</v>
      </c>
      <c r="P8522" s="413"/>
      <c r="Q8522" s="413"/>
      <c r="R8522" s="413"/>
      <c r="S8522" s="413"/>
      <c r="T8522" s="413"/>
      <c r="U8522" s="413">
        <v>6.4516129032258049E-2</v>
      </c>
      <c r="V8522" s="504">
        <v>0.18145161290322578</v>
      </c>
      <c r="W8522" s="504">
        <v>0.40725806451612895</v>
      </c>
      <c r="X8522" s="504">
        <v>0.13306451612903225</v>
      </c>
      <c r="Y8522" s="504">
        <v>0.21370967741935482</v>
      </c>
      <c r="Z8522" s="388">
        <v>2</v>
      </c>
      <c r="AA8522" s="388"/>
      <c r="AB8522" s="391"/>
      <c r="AC8522" s="392"/>
      <c r="AD8522" s="388">
        <v>8.9611199999999993</v>
      </c>
      <c r="AE8522" s="388"/>
      <c r="AF8522" s="388"/>
      <c r="AG8522" s="388"/>
      <c r="AH8522" s="391"/>
      <c r="AI8522" s="397"/>
      <c r="AJ8522" s="397"/>
      <c r="AK8522" s="392"/>
      <c r="AL8522" s="392"/>
      <c r="AM8522" s="392"/>
      <c r="AN8522" s="392"/>
      <c r="AO8522" s="392"/>
      <c r="AP8522" s="392"/>
      <c r="AQ8522" s="392"/>
      <c r="AR8522" s="392"/>
      <c r="AS8522" s="392"/>
      <c r="AT8522" s="392"/>
      <c r="AU8522" s="397"/>
      <c r="AV8522" s="397"/>
      <c r="AW8522" s="397"/>
      <c r="AX8522" s="397"/>
      <c r="AY8522" s="392"/>
      <c r="AZ8522" s="392"/>
      <c r="BA8522" s="392"/>
      <c r="BB8522" s="392"/>
      <c r="BC8522" s="392"/>
      <c r="BD8522" s="392"/>
      <c r="BE8522" s="392"/>
      <c r="BF8522" s="392"/>
      <c r="BG8522" s="392"/>
      <c r="BH8522" s="392"/>
      <c r="BI8522" s="397"/>
      <c r="BJ8522" s="397"/>
      <c r="BK8522" s="397"/>
      <c r="BL8522" s="397"/>
      <c r="BM8522" s="397"/>
      <c r="BN8522" s="397"/>
      <c r="BO8522" s="397"/>
      <c r="BP8522" s="397"/>
      <c r="BQ8522" s="397"/>
      <c r="BR8522" s="397"/>
      <c r="BS8522" s="397"/>
      <c r="BT8522" s="397"/>
      <c r="BU8522" s="397"/>
      <c r="BV8522" s="397"/>
      <c r="BW8522" s="397"/>
      <c r="BX8522" s="397"/>
      <c r="BY8522" s="397"/>
      <c r="BZ8522" s="397"/>
      <c r="CA8522" s="392"/>
      <c r="CB8522" s="392"/>
    </row>
    <row r="8523" spans="1:80" ht="15" x14ac:dyDescent="0.25">
      <c r="A8523" s="385"/>
      <c r="B8523" s="392"/>
      <c r="C8523" s="392"/>
      <c r="D8523" s="385"/>
      <c r="E8523" s="397"/>
      <c r="F8523" s="392"/>
      <c r="G8523" s="392"/>
      <c r="H8523" s="401"/>
      <c r="I8523" s="165">
        <v>10</v>
      </c>
      <c r="J8523" s="165">
        <v>120</v>
      </c>
      <c r="K8523" s="165">
        <v>1</v>
      </c>
      <c r="L8523" s="532"/>
      <c r="M8523" s="532"/>
      <c r="N8523" s="388">
        <f>18.99*(0.028317)</f>
        <v>0.53773982999999992</v>
      </c>
      <c r="O8523" s="389">
        <v>9.0666666666666674E-6</v>
      </c>
      <c r="P8523" s="413"/>
      <c r="Q8523" s="413"/>
      <c r="R8523" s="413"/>
      <c r="S8523" s="413"/>
      <c r="T8523" s="413"/>
      <c r="U8523" s="413"/>
      <c r="V8523" s="504">
        <v>0</v>
      </c>
      <c r="W8523" s="504">
        <v>0.45454545454545453</v>
      </c>
      <c r="X8523" s="504">
        <v>0.22727272727272727</v>
      </c>
      <c r="Y8523" s="504">
        <v>0.31818181818181818</v>
      </c>
      <c r="Z8523" s="388">
        <v>0.5</v>
      </c>
      <c r="AA8523" s="388"/>
      <c r="AB8523" s="391"/>
      <c r="AC8523" s="392"/>
      <c r="AD8523" s="388">
        <v>8.290560000000001</v>
      </c>
      <c r="AE8523" s="388"/>
      <c r="AF8523" s="388"/>
      <c r="AG8523" s="388"/>
      <c r="AH8523" s="391"/>
      <c r="AI8523" s="397"/>
      <c r="AJ8523" s="397"/>
      <c r="AK8523" s="392"/>
      <c r="AL8523" s="392"/>
      <c r="AM8523" s="392"/>
      <c r="AN8523" s="392"/>
      <c r="AO8523" s="392"/>
      <c r="AP8523" s="392"/>
      <c r="AQ8523" s="392"/>
      <c r="AR8523" s="392"/>
      <c r="AS8523" s="392"/>
      <c r="AT8523" s="392"/>
      <c r="AU8523" s="397"/>
      <c r="AV8523" s="397"/>
      <c r="AW8523" s="397"/>
      <c r="AX8523" s="397"/>
      <c r="AY8523" s="392"/>
      <c r="AZ8523" s="392"/>
      <c r="BA8523" s="392"/>
      <c r="BB8523" s="392"/>
      <c r="BC8523" s="392"/>
      <c r="BD8523" s="392"/>
      <c r="BE8523" s="392"/>
      <c r="BF8523" s="392"/>
      <c r="BG8523" s="392"/>
      <c r="BH8523" s="392"/>
      <c r="BI8523" s="397"/>
      <c r="BJ8523" s="397"/>
      <c r="BK8523" s="397"/>
      <c r="BL8523" s="397"/>
      <c r="BM8523" s="397"/>
      <c r="BN8523" s="397"/>
      <c r="BO8523" s="397"/>
      <c r="BP8523" s="397"/>
      <c r="BQ8523" s="397"/>
      <c r="BR8523" s="397"/>
      <c r="BS8523" s="397"/>
      <c r="BT8523" s="397"/>
      <c r="BU8523" s="397"/>
      <c r="BV8523" s="397"/>
      <c r="BW8523" s="397"/>
      <c r="BX8523" s="397"/>
      <c r="BY8523" s="397"/>
      <c r="BZ8523" s="397"/>
      <c r="CA8523" s="392"/>
      <c r="CB8523" s="392"/>
    </row>
    <row r="8524" spans="1:80" ht="15" x14ac:dyDescent="0.25">
      <c r="A8524" s="385"/>
      <c r="B8524" s="392"/>
      <c r="C8524" s="392"/>
      <c r="D8524" s="385"/>
      <c r="E8524" s="397"/>
      <c r="F8524" s="392"/>
      <c r="G8524" s="392"/>
      <c r="H8524" s="401"/>
      <c r="I8524" s="165">
        <v>10</v>
      </c>
      <c r="J8524" s="165">
        <v>120</v>
      </c>
      <c r="K8524" s="165">
        <v>1</v>
      </c>
      <c r="L8524" s="532"/>
      <c r="M8524" s="532"/>
      <c r="N8524" s="388">
        <f>22.03*(0.028317)</f>
        <v>0.62382351000000003</v>
      </c>
      <c r="O8524" s="389">
        <v>1.8466666666666667E-5</v>
      </c>
      <c r="P8524" s="413"/>
      <c r="Q8524" s="413"/>
      <c r="R8524" s="413"/>
      <c r="S8524" s="413"/>
      <c r="T8524" s="413"/>
      <c r="U8524" s="413">
        <v>0.16666666666666666</v>
      </c>
      <c r="V8524" s="504">
        <v>4.7619047619047616E-2</v>
      </c>
      <c r="W8524" s="504">
        <v>0.26190476190476186</v>
      </c>
      <c r="X8524" s="504">
        <v>0.30952380952380948</v>
      </c>
      <c r="Y8524" s="504">
        <v>0.21428571428571425</v>
      </c>
      <c r="Z8524" s="388">
        <v>3</v>
      </c>
      <c r="AA8524" s="388"/>
      <c r="AB8524" s="391"/>
      <c r="AC8524" s="392"/>
      <c r="AD8524" s="388">
        <v>8.4429599999999994</v>
      </c>
      <c r="AE8524" s="388"/>
      <c r="AF8524" s="388"/>
      <c r="AG8524" s="388"/>
      <c r="AH8524" s="391"/>
      <c r="AI8524" s="397"/>
      <c r="AJ8524" s="397"/>
      <c r="AK8524" s="392"/>
      <c r="AL8524" s="392"/>
      <c r="AM8524" s="392"/>
      <c r="AN8524" s="392"/>
      <c r="AO8524" s="392"/>
      <c r="AP8524" s="392"/>
      <c r="AQ8524" s="392"/>
      <c r="AR8524" s="392"/>
      <c r="AS8524" s="392"/>
      <c r="AT8524" s="392"/>
      <c r="AU8524" s="397"/>
      <c r="AV8524" s="397"/>
      <c r="AW8524" s="397"/>
      <c r="AX8524" s="397"/>
      <c r="AY8524" s="392"/>
      <c r="AZ8524" s="392"/>
      <c r="BA8524" s="392"/>
      <c r="BB8524" s="392"/>
      <c r="BC8524" s="392"/>
      <c r="BD8524" s="392"/>
      <c r="BE8524" s="392"/>
      <c r="BF8524" s="392"/>
      <c r="BG8524" s="392"/>
      <c r="BH8524" s="392"/>
      <c r="BI8524" s="397"/>
      <c r="BJ8524" s="397"/>
      <c r="BK8524" s="397"/>
      <c r="BL8524" s="397"/>
      <c r="BM8524" s="397"/>
      <c r="BN8524" s="397"/>
      <c r="BO8524" s="397"/>
      <c r="BP8524" s="397"/>
      <c r="BQ8524" s="397"/>
      <c r="BR8524" s="397"/>
      <c r="BS8524" s="397"/>
      <c r="BT8524" s="397"/>
      <c r="BU8524" s="397"/>
      <c r="BV8524" s="397"/>
      <c r="BW8524" s="397"/>
      <c r="BX8524" s="397"/>
      <c r="BY8524" s="397"/>
      <c r="BZ8524" s="397"/>
      <c r="CA8524" s="392"/>
      <c r="CB8524" s="392"/>
    </row>
    <row r="8525" spans="1:80" ht="15" x14ac:dyDescent="0.25">
      <c r="A8525" s="385"/>
      <c r="B8525" s="392"/>
      <c r="C8525" s="392"/>
      <c r="D8525" s="385"/>
      <c r="E8525" s="397"/>
      <c r="F8525" s="392"/>
      <c r="G8525" s="392"/>
      <c r="H8525" s="519"/>
      <c r="I8525" s="165">
        <v>10</v>
      </c>
      <c r="J8525" s="165">
        <v>120</v>
      </c>
      <c r="K8525" s="165">
        <v>1</v>
      </c>
      <c r="L8525" s="532"/>
      <c r="M8525" s="532"/>
      <c r="N8525" s="388">
        <f>32.66*(0.028317)</f>
        <v>0.9248332199999999</v>
      </c>
      <c r="O8525" s="389">
        <v>8.6320666666666671E-3</v>
      </c>
      <c r="P8525" s="413"/>
      <c r="Q8525" s="413"/>
      <c r="R8525" s="413"/>
      <c r="S8525" s="413">
        <v>5.156241008229269E-2</v>
      </c>
      <c r="T8525" s="413">
        <v>0.11889278931921504</v>
      </c>
      <c r="U8525" s="413">
        <v>0.17949013063244518</v>
      </c>
      <c r="V8525" s="504">
        <v>0.2656384876560971</v>
      </c>
      <c r="W8525" s="504">
        <v>0.30166311791448464</v>
      </c>
      <c r="X8525" s="504">
        <v>4.8397306784830521E-2</v>
      </c>
      <c r="Y8525" s="504">
        <v>3.4355757610634745E-2</v>
      </c>
      <c r="Z8525" s="388">
        <v>12</v>
      </c>
      <c r="AA8525" s="388"/>
      <c r="AB8525" s="391"/>
      <c r="AC8525" s="392"/>
      <c r="AD8525" s="399">
        <v>9.0830400000000004</v>
      </c>
      <c r="AE8525" s="388"/>
      <c r="AF8525" s="388"/>
      <c r="AG8525" s="388"/>
      <c r="AH8525" s="391"/>
      <c r="AI8525" s="397"/>
      <c r="AJ8525" s="397"/>
      <c r="AK8525" s="392"/>
      <c r="AL8525" s="392"/>
      <c r="AM8525" s="392"/>
      <c r="AN8525" s="392"/>
      <c r="AO8525" s="392"/>
      <c r="AP8525" s="392"/>
      <c r="AQ8525" s="392"/>
      <c r="AR8525" s="392"/>
      <c r="AS8525" s="392"/>
      <c r="AT8525" s="392"/>
      <c r="AU8525" s="397"/>
      <c r="AV8525" s="397"/>
      <c r="AW8525" s="397"/>
      <c r="AX8525" s="397"/>
      <c r="AY8525" s="392"/>
      <c r="AZ8525" s="392"/>
      <c r="BA8525" s="392"/>
      <c r="BB8525" s="392"/>
      <c r="BC8525" s="392"/>
      <c r="BD8525" s="392"/>
      <c r="BE8525" s="392"/>
      <c r="BF8525" s="392"/>
      <c r="BG8525" s="392"/>
      <c r="BH8525" s="392"/>
      <c r="BI8525" s="397"/>
      <c r="BJ8525" s="397"/>
      <c r="BK8525" s="397"/>
      <c r="BL8525" s="397"/>
      <c r="BM8525" s="397"/>
      <c r="BN8525" s="397"/>
      <c r="BO8525" s="397"/>
      <c r="BP8525" s="397"/>
      <c r="BQ8525" s="397"/>
      <c r="BR8525" s="397"/>
      <c r="BS8525" s="397"/>
      <c r="BT8525" s="397"/>
      <c r="BU8525" s="397"/>
      <c r="BV8525" s="397"/>
      <c r="BW8525" s="397"/>
      <c r="BX8525" s="397"/>
      <c r="BY8525" s="397"/>
      <c r="BZ8525" s="397"/>
      <c r="CA8525" s="392"/>
      <c r="CB8525" s="392"/>
    </row>
    <row r="8526" spans="1:80" s="9" customFormat="1" ht="15" x14ac:dyDescent="0.25">
      <c r="A8526" s="9" t="s">
        <v>670</v>
      </c>
      <c r="B8526" s="639" t="s">
        <v>53</v>
      </c>
      <c r="C8526" s="639"/>
      <c r="D8526" s="4">
        <f>VLOOKUP(E8526,'Quality Code'!$D$4:$E$24,2,TRUE)*VLOOKUP(MROUND(F8526,10),'Quality Code'!$D$28:$E$69,2,TRUE)*VLOOKUP(COUNTA(CB8526:CB8536),'Quality Code'!$D$73:$E$93,2,TRUE)</f>
        <v>0.27500000000000002</v>
      </c>
      <c r="E8526" s="14">
        <v>0.55000000000000004</v>
      </c>
      <c r="F8526" s="684">
        <f>COUNT(I8527:I8550)</f>
        <v>24</v>
      </c>
      <c r="G8526" s="639">
        <v>438</v>
      </c>
      <c r="H8526" s="610" t="s">
        <v>671</v>
      </c>
      <c r="I8526" s="639"/>
      <c r="J8526" s="639"/>
      <c r="K8526" s="639"/>
      <c r="L8526" s="639"/>
      <c r="M8526" s="639"/>
      <c r="N8526" s="639"/>
      <c r="O8526" s="639"/>
      <c r="P8526" s="639"/>
      <c r="Q8526" s="639"/>
      <c r="R8526" s="639"/>
      <c r="S8526" s="639"/>
      <c r="T8526" s="639"/>
      <c r="U8526" s="639"/>
      <c r="V8526" s="639" t="s">
        <v>940</v>
      </c>
      <c r="W8526" s="379"/>
      <c r="X8526" s="379"/>
      <c r="Y8526" s="379"/>
      <c r="Z8526" s="639"/>
      <c r="AA8526" s="639"/>
      <c r="AC8526" s="9">
        <v>3.5000000000000001E-3</v>
      </c>
      <c r="AF8526" s="639"/>
      <c r="AG8526" s="639"/>
      <c r="AH8526" s="345"/>
      <c r="AI8526" s="639"/>
      <c r="AJ8526" s="685"/>
      <c r="AK8526" s="685"/>
      <c r="AL8526" s="686"/>
      <c r="AM8526" s="686"/>
      <c r="AN8526" s="686"/>
      <c r="AO8526" s="686"/>
      <c r="AP8526" s="686"/>
      <c r="AQ8526" s="686"/>
      <c r="AR8526" s="686"/>
      <c r="AS8526" s="686"/>
      <c r="AT8526" s="686"/>
      <c r="AU8526" s="687"/>
      <c r="AV8526" s="685"/>
      <c r="AW8526" s="685"/>
      <c r="AX8526" s="685"/>
      <c r="AY8526" s="685"/>
      <c r="AZ8526" s="686"/>
      <c r="BA8526" s="686"/>
      <c r="BB8526" s="686"/>
      <c r="BC8526" s="686"/>
      <c r="BD8526" s="686"/>
      <c r="BE8526" s="686"/>
      <c r="BF8526" s="686"/>
      <c r="BG8526" s="686"/>
      <c r="BH8526" s="686"/>
      <c r="BI8526" s="639"/>
      <c r="BJ8526" s="639"/>
      <c r="BK8526" s="639"/>
      <c r="BL8526" s="639"/>
      <c r="BM8526" s="639"/>
      <c r="BN8526" s="639">
        <v>43</v>
      </c>
      <c r="BO8526" s="639"/>
      <c r="BP8526" s="639"/>
      <c r="BQ8526" s="639"/>
      <c r="BR8526" s="639"/>
      <c r="BS8526" s="639"/>
      <c r="BT8526" s="639"/>
      <c r="BU8526" s="639"/>
      <c r="BV8526" s="639"/>
      <c r="BW8526" s="639"/>
      <c r="BX8526" s="639"/>
      <c r="BY8526" s="639"/>
      <c r="BZ8526" s="639"/>
    </row>
    <row r="8527" spans="1:80" s="83" customFormat="1" ht="15" x14ac:dyDescent="0.25">
      <c r="A8527" s="494"/>
      <c r="B8527" s="128"/>
      <c r="C8527" s="128"/>
      <c r="D8527" s="701"/>
      <c r="E8527" s="512"/>
      <c r="F8527" s="529"/>
      <c r="G8527" s="128"/>
      <c r="H8527" s="520"/>
      <c r="I8527" s="514">
        <v>11</v>
      </c>
      <c r="J8527" s="473">
        <v>60</v>
      </c>
      <c r="K8527" s="532">
        <v>1</v>
      </c>
      <c r="L8527" s="532">
        <f>J8527*I8527</f>
        <v>660</v>
      </c>
      <c r="M8527" s="679">
        <v>38858</v>
      </c>
      <c r="N8527" s="515">
        <v>53</v>
      </c>
      <c r="O8527" s="516">
        <v>0.17522727272727273</v>
      </c>
      <c r="P8527" s="517">
        <v>0.11351491569390401</v>
      </c>
      <c r="Q8527" s="517">
        <v>0.20911370514483354</v>
      </c>
      <c r="R8527" s="517">
        <v>0.24349329874621703</v>
      </c>
      <c r="S8527" s="517">
        <v>0.21649805447470816</v>
      </c>
      <c r="T8527" s="517">
        <v>0.12136619109381755</v>
      </c>
      <c r="U8527" s="517">
        <v>4.8346735840899269E-2</v>
      </c>
      <c r="V8527" s="806">
        <v>4.7667099005620404E-2</v>
      </c>
      <c r="W8527" s="807"/>
      <c r="X8527" s="816"/>
      <c r="Y8527" s="817"/>
      <c r="Z8527" s="811">
        <v>122</v>
      </c>
      <c r="AA8527" s="515">
        <v>19.399999999999999</v>
      </c>
      <c r="AB8527" s="673"/>
      <c r="AC8527" s="674"/>
      <c r="AD8527" s="472">
        <v>44</v>
      </c>
      <c r="AE8527" s="515"/>
      <c r="AF8527" s="515"/>
      <c r="AG8527" s="515"/>
      <c r="AH8527" s="518"/>
      <c r="AI8527" s="512"/>
      <c r="AJ8527" s="512"/>
      <c r="AK8527" s="128"/>
      <c r="AL8527" s="128"/>
      <c r="AM8527" s="128"/>
      <c r="AN8527" s="128"/>
      <c r="AO8527" s="128"/>
      <c r="AP8527" s="128"/>
      <c r="AQ8527" s="128"/>
      <c r="AR8527" s="128"/>
      <c r="AS8527" s="128"/>
      <c r="AT8527" s="128"/>
      <c r="AU8527" s="512"/>
      <c r="AV8527" s="512"/>
      <c r="AW8527" s="512"/>
      <c r="AX8527" s="512"/>
      <c r="AY8527" s="128"/>
      <c r="AZ8527" s="128"/>
      <c r="BA8527" s="128"/>
      <c r="BB8527" s="128"/>
      <c r="BC8527" s="128"/>
      <c r="BD8527" s="128"/>
      <c r="BE8527" s="128"/>
      <c r="BF8527" s="128"/>
      <c r="BG8527" s="128"/>
      <c r="BH8527" s="128"/>
      <c r="BI8527" s="512"/>
      <c r="BJ8527" s="512"/>
      <c r="BK8527" s="512"/>
      <c r="BL8527" s="512"/>
      <c r="BM8527" s="512"/>
      <c r="BN8527" s="512"/>
      <c r="BO8527" s="512"/>
      <c r="BP8527" s="512"/>
      <c r="BQ8527" s="512"/>
      <c r="BR8527" s="512"/>
      <c r="BS8527" s="512"/>
      <c r="BT8527" s="512"/>
      <c r="BU8527" s="512"/>
      <c r="BV8527" s="512"/>
      <c r="BW8527" s="512"/>
      <c r="BX8527" s="512"/>
      <c r="BY8527" s="512"/>
      <c r="BZ8527" s="512"/>
      <c r="CA8527" s="128"/>
      <c r="CB8527" s="128"/>
    </row>
    <row r="8528" spans="1:80" s="83" customFormat="1" ht="15" x14ac:dyDescent="0.25">
      <c r="A8528" s="494"/>
      <c r="B8528" s="128"/>
      <c r="C8528" s="128"/>
      <c r="D8528" s="701"/>
      <c r="E8528" s="512"/>
      <c r="F8528" s="529"/>
      <c r="G8528" s="128"/>
      <c r="H8528" s="513"/>
      <c r="I8528" s="514">
        <v>11</v>
      </c>
      <c r="J8528" s="473">
        <v>30</v>
      </c>
      <c r="K8528" s="532">
        <v>1</v>
      </c>
      <c r="L8528" s="532">
        <f t="shared" ref="L8528:L8590" si="65">J8528*I8528</f>
        <v>330</v>
      </c>
      <c r="M8528" s="679">
        <v>38859</v>
      </c>
      <c r="N8528" s="515">
        <v>67</v>
      </c>
      <c r="O8528" s="516">
        <v>0.21543030303030303</v>
      </c>
      <c r="P8528" s="517">
        <v>0.11346705677150733</v>
      </c>
      <c r="Q8528" s="517">
        <v>0.21263151972092503</v>
      </c>
      <c r="R8528" s="517">
        <v>0.20640859731052721</v>
      </c>
      <c r="S8528" s="517">
        <v>0.17231193383221741</v>
      </c>
      <c r="T8528" s="517">
        <v>0.12085748044787037</v>
      </c>
      <c r="U8528" s="517">
        <v>0.10613008496033309</v>
      </c>
      <c r="V8528" s="806">
        <v>6.8193326956619588E-2</v>
      </c>
      <c r="W8528" s="818"/>
      <c r="X8528" s="815"/>
      <c r="Y8528" s="819"/>
      <c r="Z8528" s="811">
        <v>89</v>
      </c>
      <c r="AA8528" s="515">
        <v>17.899999999999999</v>
      </c>
      <c r="AB8528" s="673"/>
      <c r="AC8528" s="674"/>
      <c r="AD8528" s="515">
        <v>44</v>
      </c>
      <c r="AE8528" s="515"/>
      <c r="AF8528" s="515"/>
      <c r="AG8528" s="515"/>
      <c r="AH8528" s="518"/>
      <c r="AI8528" s="512"/>
      <c r="AJ8528" s="512"/>
      <c r="AK8528" s="128"/>
      <c r="AL8528" s="128"/>
      <c r="AM8528" s="128"/>
      <c r="AN8528" s="128"/>
      <c r="AO8528" s="128"/>
      <c r="AP8528" s="128"/>
      <c r="AQ8528" s="128"/>
      <c r="AR8528" s="128"/>
      <c r="AS8528" s="128"/>
      <c r="AT8528" s="128"/>
      <c r="AU8528" s="512"/>
      <c r="AV8528" s="512"/>
      <c r="AW8528" s="512"/>
      <c r="AX8528" s="512"/>
      <c r="AY8528" s="128"/>
      <c r="AZ8528" s="128"/>
      <c r="BA8528" s="128"/>
      <c r="BB8528" s="128"/>
      <c r="BC8528" s="128"/>
      <c r="BD8528" s="128"/>
      <c r="BE8528" s="128"/>
      <c r="BF8528" s="128"/>
      <c r="BG8528" s="128"/>
      <c r="BH8528" s="128"/>
      <c r="BI8528" s="512"/>
      <c r="BJ8528" s="512"/>
      <c r="BK8528" s="512"/>
      <c r="BL8528" s="512"/>
      <c r="BM8528" s="512"/>
      <c r="BN8528" s="512"/>
      <c r="BO8528" s="512"/>
      <c r="BP8528" s="512"/>
      <c r="BQ8528" s="512"/>
      <c r="BR8528" s="512"/>
      <c r="BS8528" s="512"/>
      <c r="BT8528" s="512"/>
      <c r="BU8528" s="512"/>
      <c r="BV8528" s="512"/>
      <c r="BW8528" s="512"/>
      <c r="BX8528" s="512"/>
      <c r="BY8528" s="512"/>
      <c r="BZ8528" s="512"/>
      <c r="CA8528" s="128"/>
      <c r="CB8528" s="128"/>
    </row>
    <row r="8529" spans="1:80" s="83" customFormat="1" ht="15" x14ac:dyDescent="0.25">
      <c r="A8529" s="494"/>
      <c r="B8529" s="128"/>
      <c r="C8529" s="128"/>
      <c r="D8529" s="701"/>
      <c r="E8529" s="512"/>
      <c r="F8529" s="529"/>
      <c r="G8529" s="128"/>
      <c r="H8529" s="513"/>
      <c r="I8529" s="514">
        <v>11</v>
      </c>
      <c r="J8529" s="473">
        <v>30</v>
      </c>
      <c r="K8529" s="532">
        <v>1</v>
      </c>
      <c r="L8529" s="532">
        <f t="shared" si="65"/>
        <v>330</v>
      </c>
      <c r="M8529" s="679">
        <v>38859</v>
      </c>
      <c r="N8529" s="515">
        <v>58</v>
      </c>
      <c r="O8529" s="516">
        <v>0.23084333333333334</v>
      </c>
      <c r="P8529" s="517">
        <v>9.3656592494188048E-2</v>
      </c>
      <c r="Q8529" s="517">
        <v>0.1744551926204706</v>
      </c>
      <c r="R8529" s="517">
        <v>0.16881447866387145</v>
      </c>
      <c r="S8529" s="517">
        <v>0.25505951169821328</v>
      </c>
      <c r="T8529" s="517">
        <v>0.17305453127727974</v>
      </c>
      <c r="U8529" s="517">
        <v>6.8117823579680825E-2</v>
      </c>
      <c r="V8529" s="806">
        <v>6.6841869666296044E-2</v>
      </c>
      <c r="W8529" s="818"/>
      <c r="X8529" s="815"/>
      <c r="Y8529" s="819"/>
      <c r="Z8529" s="811">
        <v>97</v>
      </c>
      <c r="AA8529" s="515">
        <v>13.4</v>
      </c>
      <c r="AB8529" s="673"/>
      <c r="AC8529" s="674"/>
      <c r="AD8529" s="515">
        <v>44</v>
      </c>
      <c r="AE8529" s="515"/>
      <c r="AF8529" s="515"/>
      <c r="AG8529" s="515"/>
      <c r="AH8529" s="518"/>
      <c r="AI8529" s="512"/>
      <c r="AJ8529" s="512"/>
      <c r="AK8529" s="128"/>
      <c r="AL8529" s="128"/>
      <c r="AM8529" s="128"/>
      <c r="AN8529" s="128"/>
      <c r="AO8529" s="128"/>
      <c r="AP8529" s="128"/>
      <c r="AQ8529" s="128"/>
      <c r="AR8529" s="128"/>
      <c r="AS8529" s="128"/>
      <c r="AT8529" s="128"/>
      <c r="AU8529" s="512"/>
      <c r="AV8529" s="512"/>
      <c r="AW8529" s="512"/>
      <c r="AX8529" s="512"/>
      <c r="AY8529" s="128"/>
      <c r="AZ8529" s="128"/>
      <c r="BA8529" s="128"/>
      <c r="BB8529" s="128"/>
      <c r="BC8529" s="128"/>
      <c r="BD8529" s="128"/>
      <c r="BE8529" s="128"/>
      <c r="BF8529" s="128"/>
      <c r="BG8529" s="128"/>
      <c r="BH8529" s="128"/>
      <c r="BI8529" s="512"/>
      <c r="BJ8529" s="512"/>
      <c r="BK8529" s="512"/>
      <c r="BL8529" s="512"/>
      <c r="BM8529" s="512"/>
      <c r="BN8529" s="512"/>
      <c r="BO8529" s="512"/>
      <c r="BP8529" s="512"/>
      <c r="BQ8529" s="512"/>
      <c r="BR8529" s="512"/>
      <c r="BS8529" s="512"/>
      <c r="BT8529" s="512"/>
      <c r="BU8529" s="512"/>
      <c r="BV8529" s="512"/>
      <c r="BW8529" s="512"/>
      <c r="BX8529" s="512"/>
      <c r="BY8529" s="512"/>
      <c r="BZ8529" s="512"/>
      <c r="CA8529" s="128"/>
      <c r="CB8529" s="128"/>
    </row>
    <row r="8530" spans="1:80" s="83" customFormat="1" ht="15" x14ac:dyDescent="0.25">
      <c r="A8530" s="494"/>
      <c r="B8530" s="128"/>
      <c r="C8530" s="128"/>
      <c r="D8530" s="701"/>
      <c r="E8530" s="512"/>
      <c r="F8530" s="529"/>
      <c r="G8530" s="128"/>
      <c r="H8530" s="513"/>
      <c r="I8530" s="514">
        <v>11</v>
      </c>
      <c r="J8530" s="473">
        <v>30</v>
      </c>
      <c r="K8530" s="532">
        <v>1</v>
      </c>
      <c r="L8530" s="532">
        <f t="shared" si="65"/>
        <v>330</v>
      </c>
      <c r="M8530" s="679">
        <v>38860</v>
      </c>
      <c r="N8530" s="515">
        <v>144</v>
      </c>
      <c r="O8530" s="516">
        <v>0.41346969696969693</v>
      </c>
      <c r="P8530" s="517">
        <v>6.7279856352376419E-2</v>
      </c>
      <c r="Q8530" s="517">
        <v>0.22329143610978783</v>
      </c>
      <c r="R8530" s="517">
        <v>0.22873685367730587</v>
      </c>
      <c r="S8530" s="517">
        <v>0.19816775990325772</v>
      </c>
      <c r="T8530" s="517">
        <v>0.13634065007878632</v>
      </c>
      <c r="U8530" s="517">
        <v>8.103631499871744E-2</v>
      </c>
      <c r="V8530" s="806">
        <v>6.5147128879768409E-2</v>
      </c>
      <c r="W8530" s="818"/>
      <c r="X8530" s="815"/>
      <c r="Y8530" s="819"/>
      <c r="Z8530" s="811">
        <v>78</v>
      </c>
      <c r="AA8530" s="515">
        <v>17</v>
      </c>
      <c r="AB8530" s="673"/>
      <c r="AC8530" s="674"/>
      <c r="AD8530" s="515">
        <v>44</v>
      </c>
      <c r="AE8530" s="515"/>
      <c r="AF8530" s="515"/>
      <c r="AG8530" s="515"/>
      <c r="AH8530" s="518"/>
      <c r="AI8530" s="512"/>
      <c r="AJ8530" s="512"/>
      <c r="AK8530" s="128"/>
      <c r="AL8530" s="128"/>
      <c r="AM8530" s="128"/>
      <c r="AN8530" s="128"/>
      <c r="AO8530" s="128"/>
      <c r="AP8530" s="128"/>
      <c r="AQ8530" s="128"/>
      <c r="AR8530" s="128"/>
      <c r="AS8530" s="128"/>
      <c r="AT8530" s="128"/>
      <c r="AU8530" s="512"/>
      <c r="AV8530" s="512"/>
      <c r="AW8530" s="512"/>
      <c r="AX8530" s="512"/>
      <c r="AY8530" s="128"/>
      <c r="AZ8530" s="128"/>
      <c r="BA8530" s="128"/>
      <c r="BB8530" s="128"/>
      <c r="BC8530" s="128"/>
      <c r="BD8530" s="128"/>
      <c r="BE8530" s="128"/>
      <c r="BF8530" s="128"/>
      <c r="BG8530" s="128"/>
      <c r="BH8530" s="128"/>
      <c r="BI8530" s="512"/>
      <c r="BJ8530" s="512"/>
      <c r="BK8530" s="512"/>
      <c r="BL8530" s="512"/>
      <c r="BM8530" s="512"/>
      <c r="BN8530" s="512"/>
      <c r="BO8530" s="512"/>
      <c r="BP8530" s="512"/>
      <c r="BQ8530" s="512"/>
      <c r="BR8530" s="512"/>
      <c r="BS8530" s="512"/>
      <c r="BT8530" s="512"/>
      <c r="BU8530" s="512"/>
      <c r="BV8530" s="512"/>
      <c r="BW8530" s="512"/>
      <c r="BX8530" s="512"/>
      <c r="BY8530" s="512"/>
      <c r="BZ8530" s="512"/>
      <c r="CA8530" s="128"/>
      <c r="CB8530" s="128"/>
    </row>
    <row r="8531" spans="1:80" s="83" customFormat="1" ht="15" x14ac:dyDescent="0.25">
      <c r="A8531" s="494"/>
      <c r="B8531" s="128"/>
      <c r="C8531" s="128"/>
      <c r="D8531" s="701"/>
      <c r="E8531" s="512"/>
      <c r="F8531" s="529"/>
      <c r="G8531" s="128"/>
      <c r="H8531" s="513"/>
      <c r="I8531" s="514">
        <v>11</v>
      </c>
      <c r="J8531" s="473">
        <v>30</v>
      </c>
      <c r="K8531" s="532">
        <v>1</v>
      </c>
      <c r="L8531" s="532">
        <f t="shared" si="65"/>
        <v>330</v>
      </c>
      <c r="M8531" s="679">
        <v>38860</v>
      </c>
      <c r="N8531" s="515">
        <v>98</v>
      </c>
      <c r="O8531" s="516">
        <v>7.5677878787878794E-2</v>
      </c>
      <c r="P8531" s="517">
        <v>2.3032229905860995E-2</v>
      </c>
      <c r="Q8531" s="517">
        <v>0.2090799521096193</v>
      </c>
      <c r="R8531" s="517">
        <v>0.31409042312512758</v>
      </c>
      <c r="S8531" s="517">
        <v>0.2285043866147187</v>
      </c>
      <c r="T8531" s="517">
        <v>9.7906998162066466E-2</v>
      </c>
      <c r="U8531" s="517">
        <v>3.4352138449649031E-2</v>
      </c>
      <c r="V8531" s="806">
        <v>9.3033871632957871E-2</v>
      </c>
      <c r="W8531" s="818"/>
      <c r="X8531" s="815"/>
      <c r="Y8531" s="819"/>
      <c r="Z8531" s="811">
        <v>73</v>
      </c>
      <c r="AA8531" s="515">
        <v>17.8</v>
      </c>
      <c r="AB8531" s="673"/>
      <c r="AC8531" s="674"/>
      <c r="AD8531" s="515">
        <v>44</v>
      </c>
      <c r="AE8531" s="515"/>
      <c r="AF8531" s="515"/>
      <c r="AG8531" s="515"/>
      <c r="AH8531" s="518"/>
      <c r="AI8531" s="512"/>
      <c r="AJ8531" s="512"/>
      <c r="AK8531" s="128"/>
      <c r="AL8531" s="128"/>
      <c r="AM8531" s="128"/>
      <c r="AN8531" s="128"/>
      <c r="AO8531" s="128"/>
      <c r="AP8531" s="128"/>
      <c r="AQ8531" s="128"/>
      <c r="AR8531" s="128"/>
      <c r="AS8531" s="128"/>
      <c r="AT8531" s="128"/>
      <c r="AU8531" s="512"/>
      <c r="AV8531" s="512"/>
      <c r="AW8531" s="512"/>
      <c r="AX8531" s="512"/>
      <c r="AY8531" s="128"/>
      <c r="AZ8531" s="128"/>
      <c r="BA8531" s="128"/>
      <c r="BB8531" s="128"/>
      <c r="BC8531" s="128"/>
      <c r="BD8531" s="128"/>
      <c r="BE8531" s="128"/>
      <c r="BF8531" s="128"/>
      <c r="BG8531" s="128"/>
      <c r="BH8531" s="128"/>
      <c r="BI8531" s="512"/>
      <c r="BJ8531" s="512"/>
      <c r="BK8531" s="512"/>
      <c r="BL8531" s="512"/>
      <c r="BM8531" s="512"/>
      <c r="BN8531" s="512"/>
      <c r="BO8531" s="512"/>
      <c r="BP8531" s="512"/>
      <c r="BQ8531" s="512"/>
      <c r="BR8531" s="512"/>
      <c r="BS8531" s="512"/>
      <c r="BT8531" s="512"/>
      <c r="BU8531" s="512"/>
      <c r="BV8531" s="512"/>
      <c r="BW8531" s="512"/>
      <c r="BX8531" s="512"/>
      <c r="BY8531" s="512"/>
      <c r="BZ8531" s="512"/>
      <c r="CA8531" s="128"/>
      <c r="CB8531" s="128"/>
    </row>
    <row r="8532" spans="1:80" s="83" customFormat="1" ht="15" x14ac:dyDescent="0.25">
      <c r="A8532" s="494"/>
      <c r="B8532" s="128"/>
      <c r="C8532" s="128"/>
      <c r="D8532" s="701"/>
      <c r="E8532" s="512"/>
      <c r="F8532" s="529"/>
      <c r="G8532" s="128"/>
      <c r="H8532" s="513"/>
      <c r="I8532" s="514">
        <v>11</v>
      </c>
      <c r="J8532" s="473">
        <v>30</v>
      </c>
      <c r="K8532" s="532">
        <v>1</v>
      </c>
      <c r="L8532" s="532">
        <f t="shared" si="65"/>
        <v>330</v>
      </c>
      <c r="M8532" s="679">
        <v>38860</v>
      </c>
      <c r="N8532" s="515">
        <v>88</v>
      </c>
      <c r="O8532" s="516">
        <v>0.13757393939393939</v>
      </c>
      <c r="P8532" s="517">
        <v>9.9483693617096261E-2</v>
      </c>
      <c r="Q8532" s="517">
        <v>0.18055084428428572</v>
      </c>
      <c r="R8532" s="517">
        <v>0.20128019313030571</v>
      </c>
      <c r="S8532" s="517">
        <v>0.18517865874879402</v>
      </c>
      <c r="T8532" s="517">
        <v>0.13654806010652124</v>
      </c>
      <c r="U8532" s="517">
        <v>9.0146565813645108E-2</v>
      </c>
      <c r="V8532" s="806">
        <v>0.10681198429935197</v>
      </c>
      <c r="W8532" s="818"/>
      <c r="X8532" s="815"/>
      <c r="Y8532" s="819"/>
      <c r="Z8532" s="811">
        <v>92</v>
      </c>
      <c r="AA8532" s="515">
        <v>14.9</v>
      </c>
      <c r="AB8532" s="673"/>
      <c r="AC8532" s="674"/>
      <c r="AD8532" s="515">
        <v>44</v>
      </c>
      <c r="AE8532" s="515"/>
      <c r="AF8532" s="515"/>
      <c r="AG8532" s="515"/>
      <c r="AH8532" s="518"/>
      <c r="AI8532" s="512"/>
      <c r="AJ8532" s="512"/>
      <c r="AK8532" s="128"/>
      <c r="AL8532" s="128"/>
      <c r="AM8532" s="128"/>
      <c r="AN8532" s="128"/>
      <c r="AO8532" s="128"/>
      <c r="AP8532" s="128"/>
      <c r="AQ8532" s="128"/>
      <c r="AR8532" s="128"/>
      <c r="AS8532" s="128"/>
      <c r="AT8532" s="128"/>
      <c r="AU8532" s="512"/>
      <c r="AV8532" s="512"/>
      <c r="AW8532" s="512"/>
      <c r="AX8532" s="512"/>
      <c r="AY8532" s="128"/>
      <c r="AZ8532" s="128"/>
      <c r="BA8532" s="128"/>
      <c r="BB8532" s="128"/>
      <c r="BC8532" s="128"/>
      <c r="BD8532" s="128"/>
      <c r="BE8532" s="128"/>
      <c r="BF8532" s="128"/>
      <c r="BG8532" s="128"/>
      <c r="BH8532" s="128"/>
      <c r="BI8532" s="512"/>
      <c r="BJ8532" s="512"/>
      <c r="BK8532" s="512"/>
      <c r="BL8532" s="512"/>
      <c r="BM8532" s="512"/>
      <c r="BN8532" s="512"/>
      <c r="BO8532" s="512"/>
      <c r="BP8532" s="512"/>
      <c r="BQ8532" s="512"/>
      <c r="BR8532" s="512"/>
      <c r="BS8532" s="512"/>
      <c r="BT8532" s="512"/>
      <c r="BU8532" s="512"/>
      <c r="BV8532" s="512"/>
      <c r="BW8532" s="512"/>
      <c r="BX8532" s="512"/>
      <c r="BY8532" s="512"/>
      <c r="BZ8532" s="512"/>
      <c r="CA8532" s="128"/>
      <c r="CB8532" s="128"/>
    </row>
    <row r="8533" spans="1:80" s="83" customFormat="1" ht="15" x14ac:dyDescent="0.25">
      <c r="A8533" s="494"/>
      <c r="B8533" s="128"/>
      <c r="C8533" s="128"/>
      <c r="D8533" s="701"/>
      <c r="E8533" s="512"/>
      <c r="F8533" s="529"/>
      <c r="H8533" s="513"/>
      <c r="I8533" s="514">
        <v>10</v>
      </c>
      <c r="J8533" s="473">
        <v>60</v>
      </c>
      <c r="K8533" s="532">
        <v>1</v>
      </c>
      <c r="L8533" s="532">
        <f t="shared" si="65"/>
        <v>600</v>
      </c>
      <c r="M8533" s="679">
        <v>38882</v>
      </c>
      <c r="N8533" s="515">
        <v>37</v>
      </c>
      <c r="O8533" s="516">
        <v>5.601333333333334E-3</v>
      </c>
      <c r="P8533" s="517">
        <v>0.13220066650797435</v>
      </c>
      <c r="Q8533" s="517">
        <v>0.32599381099738151</v>
      </c>
      <c r="R8533" s="517">
        <v>0.19986312782670793</v>
      </c>
      <c r="S8533" s="517">
        <v>0.12821352059033564</v>
      </c>
      <c r="T8533" s="517">
        <v>6.435967626755533E-2</v>
      </c>
      <c r="U8533" s="517">
        <v>4.9869078790764104E-2</v>
      </c>
      <c r="V8533" s="806">
        <v>9.9500119019281116E-2</v>
      </c>
      <c r="W8533" s="818"/>
      <c r="X8533" s="815"/>
      <c r="Y8533" s="819"/>
      <c r="Z8533" s="811">
        <v>72</v>
      </c>
      <c r="AA8533" s="515">
        <v>28.4</v>
      </c>
      <c r="AB8533" s="673"/>
      <c r="AC8533" s="674"/>
      <c r="AD8533" s="515">
        <v>22</v>
      </c>
      <c r="AE8533" s="515"/>
      <c r="AF8533" s="515"/>
      <c r="AG8533" s="515"/>
      <c r="AH8533" s="518"/>
      <c r="AI8533" s="512"/>
      <c r="AJ8533" s="512"/>
      <c r="AK8533" s="128"/>
      <c r="AL8533" s="128"/>
      <c r="AM8533" s="128"/>
      <c r="AN8533" s="128"/>
      <c r="AO8533" s="128"/>
      <c r="AP8533" s="128"/>
      <c r="AQ8533" s="128"/>
      <c r="AR8533" s="128"/>
      <c r="AS8533" s="128"/>
      <c r="AT8533" s="128"/>
      <c r="AU8533" s="512"/>
      <c r="AV8533" s="512"/>
      <c r="AW8533" s="512"/>
      <c r="AX8533" s="512"/>
      <c r="AY8533" s="128"/>
      <c r="AZ8533" s="128"/>
      <c r="BA8533" s="128"/>
      <c r="BB8533" s="128"/>
      <c r="BC8533" s="128"/>
      <c r="BD8533" s="128"/>
      <c r="BE8533" s="128"/>
      <c r="BF8533" s="128"/>
      <c r="BG8533" s="128"/>
      <c r="BH8533" s="128"/>
      <c r="BI8533" s="512"/>
      <c r="BJ8533" s="512"/>
      <c r="BK8533" s="512"/>
      <c r="BL8533" s="512"/>
      <c r="BM8533" s="512"/>
      <c r="BN8533" s="512"/>
      <c r="BO8533" s="512"/>
      <c r="BP8533" s="512"/>
      <c r="BQ8533" s="512"/>
      <c r="BR8533" s="512"/>
      <c r="BS8533" s="512"/>
      <c r="BT8533" s="512"/>
      <c r="BU8533" s="512"/>
      <c r="BV8533" s="512"/>
      <c r="BW8533" s="512"/>
      <c r="BX8533" s="512"/>
      <c r="BY8533" s="512"/>
      <c r="BZ8533" s="512"/>
      <c r="CA8533" s="128"/>
      <c r="CB8533" s="128"/>
    </row>
    <row r="8534" spans="1:80" s="83" customFormat="1" ht="15" x14ac:dyDescent="0.25">
      <c r="A8534" s="494"/>
      <c r="B8534" s="128"/>
      <c r="C8534" s="128"/>
      <c r="D8534" s="701"/>
      <c r="E8534" s="512"/>
      <c r="F8534" s="529"/>
      <c r="G8534" s="128"/>
      <c r="H8534" s="513"/>
      <c r="I8534" s="514">
        <v>10</v>
      </c>
      <c r="J8534" s="473">
        <v>60</v>
      </c>
      <c r="K8534" s="532">
        <v>1</v>
      </c>
      <c r="L8534" s="532">
        <f t="shared" si="65"/>
        <v>600</v>
      </c>
      <c r="M8534" s="679">
        <v>38882</v>
      </c>
      <c r="N8534" s="515">
        <v>36</v>
      </c>
      <c r="O8534" s="516">
        <v>4.6981666666666673E-3</v>
      </c>
      <c r="P8534" s="517">
        <v>0</v>
      </c>
      <c r="Q8534" s="517">
        <v>8.1308311752811474E-2</v>
      </c>
      <c r="R8534" s="517">
        <v>0.13182447053815316</v>
      </c>
      <c r="S8534" s="517">
        <v>0.10656639114548222</v>
      </c>
      <c r="T8534" s="517">
        <v>7.7938202845081433E-2</v>
      </c>
      <c r="U8534" s="517">
        <v>6.8537372734045199E-2</v>
      </c>
      <c r="V8534" s="806">
        <v>0.53382525098442657</v>
      </c>
      <c r="W8534" s="818"/>
      <c r="X8534" s="815"/>
      <c r="Y8534" s="819"/>
      <c r="Z8534" s="811">
        <v>43</v>
      </c>
      <c r="AA8534" s="515">
        <v>1.5</v>
      </c>
      <c r="AB8534" s="673"/>
      <c r="AC8534" s="674"/>
      <c r="AD8534" s="515">
        <v>20</v>
      </c>
      <c r="AE8534" s="515"/>
      <c r="AF8534" s="515"/>
      <c r="AG8534" s="515"/>
      <c r="AH8534" s="518"/>
      <c r="AI8534" s="512"/>
      <c r="AJ8534" s="512"/>
      <c r="AK8534" s="128"/>
      <c r="AL8534" s="128"/>
      <c r="AM8534" s="128"/>
      <c r="AN8534" s="128"/>
      <c r="AO8534" s="128"/>
      <c r="AP8534" s="128"/>
      <c r="AQ8534" s="128"/>
      <c r="AR8534" s="128"/>
      <c r="AS8534" s="128"/>
      <c r="AT8534" s="128"/>
      <c r="AU8534" s="512"/>
      <c r="AV8534" s="512"/>
      <c r="AW8534" s="512"/>
      <c r="AX8534" s="512"/>
      <c r="AY8534" s="128"/>
      <c r="AZ8534" s="128"/>
      <c r="BA8534" s="128"/>
      <c r="BB8534" s="128"/>
      <c r="BC8534" s="128"/>
      <c r="BD8534" s="128"/>
      <c r="BE8534" s="128"/>
      <c r="BF8534" s="128"/>
      <c r="BG8534" s="128"/>
      <c r="BH8534" s="128"/>
      <c r="BI8534" s="512"/>
      <c r="BJ8534" s="512"/>
      <c r="BK8534" s="512"/>
      <c r="BL8534" s="512"/>
      <c r="BM8534" s="512"/>
      <c r="BN8534" s="512"/>
      <c r="BO8534" s="512"/>
      <c r="BP8534" s="512"/>
      <c r="BQ8534" s="512"/>
      <c r="BR8534" s="512"/>
      <c r="BS8534" s="512"/>
      <c r="BT8534" s="512"/>
      <c r="BU8534" s="512"/>
      <c r="BV8534" s="512"/>
      <c r="BW8534" s="512"/>
      <c r="BX8534" s="512"/>
      <c r="BY8534" s="512"/>
      <c r="BZ8534" s="512"/>
      <c r="CA8534" s="128"/>
      <c r="CB8534" s="128"/>
    </row>
    <row r="8535" spans="1:80" s="83" customFormat="1" ht="15" x14ac:dyDescent="0.25">
      <c r="A8535" s="494"/>
      <c r="B8535" s="128"/>
      <c r="C8535" s="128"/>
      <c r="D8535" s="701"/>
      <c r="E8535" s="512"/>
      <c r="F8535" s="529"/>
      <c r="G8535" s="128"/>
      <c r="H8535" s="513"/>
      <c r="I8535" s="514">
        <v>10</v>
      </c>
      <c r="J8535" s="473">
        <v>60</v>
      </c>
      <c r="K8535" s="532">
        <v>1</v>
      </c>
      <c r="L8535" s="532">
        <f t="shared" si="65"/>
        <v>600</v>
      </c>
      <c r="M8535" s="679">
        <v>38883</v>
      </c>
      <c r="N8535" s="515">
        <v>33</v>
      </c>
      <c r="O8535" s="516">
        <v>5.1786666666666665E-3</v>
      </c>
      <c r="P8535" s="517">
        <v>0</v>
      </c>
      <c r="Q8535" s="517">
        <v>0.17140834191555096</v>
      </c>
      <c r="R8535" s="517">
        <v>0.42752317198764156</v>
      </c>
      <c r="S8535" s="517">
        <v>0.2222901647785788</v>
      </c>
      <c r="T8535" s="517">
        <v>7.9846807415036053E-2</v>
      </c>
      <c r="U8535" s="517">
        <v>2.6358135942327492E-2</v>
      </c>
      <c r="V8535" s="806">
        <v>7.257337796086509E-2</v>
      </c>
      <c r="W8535" s="818"/>
      <c r="X8535" s="815"/>
      <c r="Y8535" s="819"/>
      <c r="Z8535" s="811">
        <v>49</v>
      </c>
      <c r="AA8535" s="515">
        <v>19.600000000000001</v>
      </c>
      <c r="AB8535" s="673"/>
      <c r="AC8535" s="674"/>
      <c r="AD8535" s="515">
        <v>20</v>
      </c>
      <c r="AE8535" s="515"/>
      <c r="AF8535" s="515"/>
      <c r="AG8535" s="515"/>
      <c r="AH8535" s="518"/>
      <c r="AI8535" s="512"/>
      <c r="AJ8535" s="512"/>
      <c r="AK8535" s="128"/>
      <c r="AL8535" s="128"/>
      <c r="AM8535" s="128"/>
      <c r="AN8535" s="128"/>
      <c r="AO8535" s="128"/>
      <c r="AP8535" s="128"/>
      <c r="AQ8535" s="128"/>
      <c r="AR8535" s="128"/>
      <c r="AS8535" s="128"/>
      <c r="AT8535" s="128"/>
      <c r="AU8535" s="512"/>
      <c r="AV8535" s="512"/>
      <c r="AW8535" s="512"/>
      <c r="AX8535" s="512"/>
      <c r="AY8535" s="128"/>
      <c r="AZ8535" s="128"/>
      <c r="BA8535" s="128"/>
      <c r="BB8535" s="128"/>
      <c r="BC8535" s="128"/>
      <c r="BD8535" s="128"/>
      <c r="BE8535" s="128"/>
      <c r="BF8535" s="128"/>
      <c r="BG8535" s="128"/>
      <c r="BH8535" s="128"/>
      <c r="BI8535" s="512"/>
      <c r="BJ8535" s="512"/>
      <c r="BK8535" s="512"/>
      <c r="BL8535" s="512"/>
      <c r="BM8535" s="512"/>
      <c r="BN8535" s="512"/>
      <c r="BO8535" s="512"/>
      <c r="BP8535" s="512"/>
      <c r="BQ8535" s="512"/>
      <c r="BR8535" s="512"/>
      <c r="BS8535" s="512"/>
      <c r="BT8535" s="512"/>
      <c r="BU8535" s="512"/>
      <c r="BV8535" s="512"/>
      <c r="BW8535" s="512"/>
      <c r="BX8535" s="512"/>
      <c r="BY8535" s="512"/>
      <c r="BZ8535" s="512"/>
      <c r="CA8535" s="128"/>
      <c r="CB8535" s="128"/>
    </row>
    <row r="8536" spans="1:80" s="83" customFormat="1" ht="15" x14ac:dyDescent="0.25">
      <c r="A8536" s="494"/>
      <c r="B8536" s="128"/>
      <c r="C8536" s="128"/>
      <c r="D8536" s="701"/>
      <c r="E8536" s="512"/>
      <c r="F8536" s="529"/>
      <c r="G8536" s="128"/>
      <c r="H8536" s="513"/>
      <c r="I8536" s="514">
        <v>10</v>
      </c>
      <c r="J8536" s="473">
        <v>60</v>
      </c>
      <c r="K8536" s="532">
        <v>1</v>
      </c>
      <c r="L8536" s="532">
        <f t="shared" si="65"/>
        <v>600</v>
      </c>
      <c r="M8536" s="679">
        <v>38883</v>
      </c>
      <c r="N8536" s="515">
        <v>33</v>
      </c>
      <c r="O8536" s="516">
        <v>6.0840000000000009E-3</v>
      </c>
      <c r="P8536" s="517">
        <v>0</v>
      </c>
      <c r="Q8536" s="517">
        <v>1.4847687924611075E-2</v>
      </c>
      <c r="R8536" s="517">
        <v>0.14516217400832776</v>
      </c>
      <c r="S8536" s="517">
        <v>0.18576046460661855</v>
      </c>
      <c r="T8536" s="517">
        <v>0.15436664475126005</v>
      </c>
      <c r="U8536" s="517">
        <v>0.18622616699539773</v>
      </c>
      <c r="V8536" s="806">
        <v>0.3136368617137848</v>
      </c>
      <c r="W8536" s="818"/>
      <c r="X8536" s="815"/>
      <c r="Y8536" s="819"/>
      <c r="Z8536" s="811">
        <v>43</v>
      </c>
      <c r="AA8536" s="515">
        <v>4</v>
      </c>
      <c r="AB8536" s="673"/>
      <c r="AC8536" s="674"/>
      <c r="AD8536" s="515">
        <v>20</v>
      </c>
      <c r="AE8536" s="515"/>
      <c r="AF8536" s="515"/>
      <c r="AG8536" s="515"/>
      <c r="AH8536" s="518"/>
      <c r="AI8536" s="512"/>
      <c r="AJ8536" s="512"/>
      <c r="AK8536" s="128"/>
      <c r="AL8536" s="128"/>
      <c r="AM8536" s="128"/>
      <c r="AN8536" s="128"/>
      <c r="AO8536" s="128"/>
      <c r="AP8536" s="128"/>
      <c r="AQ8536" s="128"/>
      <c r="AR8536" s="128"/>
      <c r="AS8536" s="128"/>
      <c r="AT8536" s="128"/>
      <c r="AU8536" s="512"/>
      <c r="AV8536" s="512"/>
      <c r="AW8536" s="512"/>
      <c r="AX8536" s="512"/>
      <c r="AY8536" s="128"/>
      <c r="AZ8536" s="128"/>
      <c r="BA8536" s="128"/>
      <c r="BB8536" s="128"/>
      <c r="BC8536" s="128"/>
      <c r="BD8536" s="128"/>
      <c r="BE8536" s="128"/>
      <c r="BF8536" s="128"/>
      <c r="BG8536" s="128"/>
      <c r="BH8536" s="128"/>
      <c r="BI8536" s="512"/>
      <c r="BJ8536" s="512"/>
      <c r="BK8536" s="512"/>
      <c r="BL8536" s="512"/>
      <c r="BM8536" s="512"/>
      <c r="BN8536" s="512"/>
      <c r="BO8536" s="512"/>
      <c r="BP8536" s="512"/>
      <c r="BQ8536" s="512"/>
      <c r="BR8536" s="512"/>
      <c r="BS8536" s="512"/>
      <c r="BT8536" s="512"/>
      <c r="BU8536" s="512"/>
      <c r="BV8536" s="512"/>
      <c r="BW8536" s="512"/>
      <c r="BX8536" s="512"/>
      <c r="BY8536" s="512"/>
      <c r="BZ8536" s="512"/>
      <c r="CA8536" s="128"/>
      <c r="CB8536" s="128"/>
    </row>
    <row r="8537" spans="1:80" s="83" customFormat="1" ht="15" x14ac:dyDescent="0.25">
      <c r="A8537" s="494"/>
      <c r="B8537" s="128"/>
      <c r="C8537" s="128"/>
      <c r="D8537" s="701"/>
      <c r="E8537" s="512"/>
      <c r="F8537" s="529"/>
      <c r="G8537" s="128"/>
      <c r="H8537" s="513"/>
      <c r="I8537" s="514">
        <v>10</v>
      </c>
      <c r="J8537" s="473">
        <v>60</v>
      </c>
      <c r="K8537" s="532">
        <v>1</v>
      </c>
      <c r="L8537" s="532">
        <f t="shared" si="65"/>
        <v>600</v>
      </c>
      <c r="M8537" s="679">
        <v>38883</v>
      </c>
      <c r="N8537" s="515">
        <v>32</v>
      </c>
      <c r="O8537" s="516">
        <v>8.7113333333333331E-3</v>
      </c>
      <c r="P8537" s="517">
        <v>0</v>
      </c>
      <c r="Q8537" s="517">
        <v>3.4036121527512155E-2</v>
      </c>
      <c r="R8537" s="517">
        <v>5.2556057243437634E-2</v>
      </c>
      <c r="S8537" s="517">
        <v>0.18326700849468119</v>
      </c>
      <c r="T8537" s="517">
        <v>0.22394199127573275</v>
      </c>
      <c r="U8537" s="517">
        <v>0.22155047065125894</v>
      </c>
      <c r="V8537" s="806">
        <v>0.28464835080737733</v>
      </c>
      <c r="W8537" s="818"/>
      <c r="X8537" s="815"/>
      <c r="Y8537" s="819"/>
      <c r="Z8537" s="811">
        <v>37</v>
      </c>
      <c r="AA8537" s="515">
        <v>3.9</v>
      </c>
      <c r="AB8537" s="673"/>
      <c r="AC8537" s="674"/>
      <c r="AD8537" s="515">
        <v>20</v>
      </c>
      <c r="AE8537" s="515"/>
      <c r="AF8537" s="515"/>
      <c r="AG8537" s="515"/>
      <c r="AH8537" s="518"/>
      <c r="AI8537" s="512"/>
      <c r="AJ8537" s="512"/>
      <c r="AK8537" s="128"/>
      <c r="AL8537" s="128"/>
      <c r="AM8537" s="128"/>
      <c r="AN8537" s="128"/>
      <c r="AO8537" s="128"/>
      <c r="AP8537" s="128"/>
      <c r="AQ8537" s="128"/>
      <c r="AR8537" s="128"/>
      <c r="AS8537" s="128"/>
      <c r="AT8537" s="128"/>
      <c r="AU8537" s="512"/>
      <c r="AV8537" s="512"/>
      <c r="AW8537" s="512"/>
      <c r="AX8537" s="512"/>
      <c r="AY8537" s="128"/>
      <c r="AZ8537" s="128"/>
      <c r="BA8537" s="128"/>
      <c r="BB8537" s="128"/>
      <c r="BC8537" s="128"/>
      <c r="BD8537" s="128"/>
      <c r="BE8537" s="128"/>
      <c r="BF8537" s="128"/>
      <c r="BG8537" s="128"/>
      <c r="BH8537" s="128"/>
      <c r="BI8537" s="512"/>
      <c r="BJ8537" s="512"/>
      <c r="BK8537" s="512"/>
      <c r="BL8537" s="512"/>
      <c r="BM8537" s="512"/>
      <c r="BN8537" s="512"/>
      <c r="BO8537" s="512"/>
      <c r="BP8537" s="512"/>
      <c r="BQ8537" s="512"/>
      <c r="BR8537" s="512"/>
      <c r="BS8537" s="512"/>
      <c r="BT8537" s="512"/>
      <c r="BU8537" s="512"/>
      <c r="BV8537" s="512"/>
      <c r="BW8537" s="512"/>
      <c r="BX8537" s="512"/>
      <c r="BY8537" s="512"/>
      <c r="BZ8537" s="512"/>
      <c r="CA8537" s="128"/>
      <c r="CB8537" s="128"/>
    </row>
    <row r="8538" spans="1:80" s="83" customFormat="1" ht="15" x14ac:dyDescent="0.25">
      <c r="A8538" s="494"/>
      <c r="B8538" s="128"/>
      <c r="C8538" s="128"/>
      <c r="D8538" s="701"/>
      <c r="E8538" s="512"/>
      <c r="F8538" s="529"/>
      <c r="G8538" s="128"/>
      <c r="H8538" s="513"/>
      <c r="I8538" s="514">
        <v>10</v>
      </c>
      <c r="J8538" s="473">
        <v>60</v>
      </c>
      <c r="K8538" s="532">
        <v>1</v>
      </c>
      <c r="L8538" s="532">
        <f t="shared" si="65"/>
        <v>600</v>
      </c>
      <c r="M8538" s="679">
        <v>38883</v>
      </c>
      <c r="N8538" s="515">
        <v>32</v>
      </c>
      <c r="O8538" s="516">
        <v>5.6241666666666662E-3</v>
      </c>
      <c r="P8538" s="517">
        <v>0</v>
      </c>
      <c r="Q8538" s="517">
        <v>7.8678322714476223E-2</v>
      </c>
      <c r="R8538" s="517">
        <v>0.22370721588383466</v>
      </c>
      <c r="S8538" s="517">
        <v>0.23316046821751368</v>
      </c>
      <c r="T8538" s="517">
        <v>0.11646169802933767</v>
      </c>
      <c r="U8538" s="517">
        <v>9.9985182990072599E-2</v>
      </c>
      <c r="V8538" s="806">
        <v>0.24800711216476515</v>
      </c>
      <c r="W8538" s="818"/>
      <c r="X8538" s="815"/>
      <c r="Y8538" s="819"/>
      <c r="Z8538" s="811">
        <v>39</v>
      </c>
      <c r="AA8538" s="515">
        <v>9.1999999999999993</v>
      </c>
      <c r="AB8538" s="673"/>
      <c r="AC8538" s="674"/>
      <c r="AD8538" s="515">
        <v>20</v>
      </c>
      <c r="AE8538" s="515"/>
      <c r="AF8538" s="515"/>
      <c r="AG8538" s="515"/>
      <c r="AH8538" s="518"/>
      <c r="AI8538" s="512"/>
      <c r="AJ8538" s="512"/>
      <c r="AK8538" s="128"/>
      <c r="AL8538" s="128"/>
      <c r="AM8538" s="128"/>
      <c r="AN8538" s="128"/>
      <c r="AO8538" s="128"/>
      <c r="AP8538" s="128"/>
      <c r="AQ8538" s="128"/>
      <c r="AR8538" s="128"/>
      <c r="AS8538" s="128"/>
      <c r="AT8538" s="128"/>
      <c r="AU8538" s="512"/>
      <c r="AV8538" s="512"/>
      <c r="AW8538" s="512"/>
      <c r="AX8538" s="512"/>
      <c r="AY8538" s="128"/>
      <c r="AZ8538" s="128"/>
      <c r="BA8538" s="128"/>
      <c r="BB8538" s="128"/>
      <c r="BC8538" s="128"/>
      <c r="BD8538" s="128"/>
      <c r="BE8538" s="128"/>
      <c r="BF8538" s="128"/>
      <c r="BG8538" s="128"/>
      <c r="BH8538" s="128"/>
      <c r="BI8538" s="512"/>
      <c r="BJ8538" s="512"/>
      <c r="BK8538" s="512"/>
      <c r="BL8538" s="512"/>
      <c r="BM8538" s="512"/>
      <c r="BN8538" s="512"/>
      <c r="BO8538" s="512"/>
      <c r="BP8538" s="512"/>
      <c r="BQ8538" s="512"/>
      <c r="BR8538" s="512"/>
      <c r="BS8538" s="512"/>
      <c r="BT8538" s="512"/>
      <c r="BU8538" s="512"/>
      <c r="BV8538" s="512"/>
      <c r="BW8538" s="512"/>
      <c r="BX8538" s="512"/>
      <c r="BY8538" s="512"/>
      <c r="BZ8538" s="512"/>
      <c r="CA8538" s="128"/>
      <c r="CB8538" s="128"/>
    </row>
    <row r="8539" spans="1:80" s="83" customFormat="1" ht="15" x14ac:dyDescent="0.25">
      <c r="A8539" s="494"/>
      <c r="B8539" s="128"/>
      <c r="C8539" s="128"/>
      <c r="D8539" s="701"/>
      <c r="E8539" s="512"/>
      <c r="F8539" s="529"/>
      <c r="G8539" s="128"/>
      <c r="H8539" s="513"/>
      <c r="I8539" s="514">
        <v>10</v>
      </c>
      <c r="J8539" s="473">
        <v>60</v>
      </c>
      <c r="K8539" s="532">
        <v>1</v>
      </c>
      <c r="L8539" s="532">
        <f t="shared" si="65"/>
        <v>600</v>
      </c>
      <c r="M8539" s="679">
        <v>38883</v>
      </c>
      <c r="N8539" s="515">
        <v>31</v>
      </c>
      <c r="O8539" s="516">
        <v>4.1536666666666666E-3</v>
      </c>
      <c r="P8539" s="517">
        <v>0</v>
      </c>
      <c r="Q8539" s="517">
        <v>2.4757242596902262E-2</v>
      </c>
      <c r="R8539" s="517">
        <v>0.22458069175828588</v>
      </c>
      <c r="S8539" s="517">
        <v>0.27285129604365621</v>
      </c>
      <c r="T8539" s="517">
        <v>0.13630527245004412</v>
      </c>
      <c r="U8539" s="517">
        <v>0.11223015809325097</v>
      </c>
      <c r="V8539" s="806">
        <v>0.22927533905786054</v>
      </c>
      <c r="W8539" s="818"/>
      <c r="X8539" s="815"/>
      <c r="Y8539" s="819"/>
      <c r="Z8539" s="811">
        <v>35</v>
      </c>
      <c r="AA8539" s="515">
        <v>8.5</v>
      </c>
      <c r="AB8539" s="673"/>
      <c r="AC8539" s="674"/>
      <c r="AD8539" s="515">
        <v>20</v>
      </c>
      <c r="AE8539" s="515"/>
      <c r="AF8539" s="515"/>
      <c r="AG8539" s="515"/>
      <c r="AH8539" s="518"/>
      <c r="AI8539" s="512"/>
      <c r="AJ8539" s="512"/>
      <c r="AK8539" s="128"/>
      <c r="AL8539" s="128"/>
      <c r="AM8539" s="128"/>
      <c r="AN8539" s="128"/>
      <c r="AO8539" s="128"/>
      <c r="AP8539" s="128"/>
      <c r="AQ8539" s="128"/>
      <c r="AR8539" s="128"/>
      <c r="AS8539" s="128"/>
      <c r="AT8539" s="128"/>
      <c r="AU8539" s="512"/>
      <c r="AV8539" s="512"/>
      <c r="AW8539" s="512"/>
      <c r="AX8539" s="512"/>
      <c r="AY8539" s="128"/>
      <c r="AZ8539" s="128"/>
      <c r="BA8539" s="128"/>
      <c r="BB8539" s="128"/>
      <c r="BC8539" s="128"/>
      <c r="BD8539" s="128"/>
      <c r="BE8539" s="128"/>
      <c r="BF8539" s="128"/>
      <c r="BG8539" s="128"/>
      <c r="BH8539" s="128"/>
      <c r="BI8539" s="512"/>
      <c r="BJ8539" s="512"/>
      <c r="BK8539" s="512"/>
      <c r="BL8539" s="512"/>
      <c r="BM8539" s="512"/>
      <c r="BN8539" s="512"/>
      <c r="BO8539" s="512"/>
      <c r="BP8539" s="512"/>
      <c r="BQ8539" s="512"/>
      <c r="BR8539" s="512"/>
      <c r="BS8539" s="512"/>
      <c r="BT8539" s="512"/>
      <c r="BU8539" s="512"/>
      <c r="BV8539" s="512"/>
      <c r="BW8539" s="512"/>
      <c r="BX8539" s="512"/>
      <c r="BY8539" s="512"/>
      <c r="BZ8539" s="512"/>
      <c r="CA8539" s="128"/>
      <c r="CB8539" s="128"/>
    </row>
    <row r="8540" spans="1:80" s="83" customFormat="1" ht="15" x14ac:dyDescent="0.25">
      <c r="A8540" s="494"/>
      <c r="B8540" s="128"/>
      <c r="C8540" s="128"/>
      <c r="D8540" s="701"/>
      <c r="E8540" s="512"/>
      <c r="F8540" s="529"/>
      <c r="G8540" s="128"/>
      <c r="H8540" s="513"/>
      <c r="I8540" s="514">
        <v>10</v>
      </c>
      <c r="J8540" s="473">
        <v>60</v>
      </c>
      <c r="K8540" s="532">
        <v>1</v>
      </c>
      <c r="L8540" s="532">
        <f t="shared" si="65"/>
        <v>600</v>
      </c>
      <c r="M8540" s="679">
        <v>38883</v>
      </c>
      <c r="N8540" s="515">
        <v>31</v>
      </c>
      <c r="O8540" s="516">
        <v>9.3875E-3</v>
      </c>
      <c r="P8540" s="517">
        <v>0</v>
      </c>
      <c r="Q8540" s="517">
        <v>2.2068353306702208E-2</v>
      </c>
      <c r="R8540" s="517">
        <v>0.12030181979582769</v>
      </c>
      <c r="S8540" s="517">
        <v>0.24294718153573025</v>
      </c>
      <c r="T8540" s="517">
        <v>0.1600532623169108</v>
      </c>
      <c r="U8540" s="517">
        <v>0.11447847314691517</v>
      </c>
      <c r="V8540" s="806">
        <v>0.34015090989791391</v>
      </c>
      <c r="W8540" s="818"/>
      <c r="X8540" s="815"/>
      <c r="Y8540" s="819"/>
      <c r="Z8540" s="811">
        <v>47</v>
      </c>
      <c r="AA8540" s="515">
        <v>5</v>
      </c>
      <c r="AB8540" s="673"/>
      <c r="AC8540" s="674"/>
      <c r="AD8540" s="515">
        <v>20</v>
      </c>
      <c r="AE8540" s="515"/>
      <c r="AF8540" s="515"/>
      <c r="AG8540" s="515"/>
      <c r="AH8540" s="518"/>
      <c r="AI8540" s="512"/>
      <c r="AJ8540" s="512"/>
      <c r="AK8540" s="128"/>
      <c r="AL8540" s="128"/>
      <c r="AM8540" s="128"/>
      <c r="AN8540" s="128"/>
      <c r="AO8540" s="128"/>
      <c r="AP8540" s="128"/>
      <c r="AQ8540" s="128"/>
      <c r="AR8540" s="128"/>
      <c r="AS8540" s="128"/>
      <c r="AT8540" s="128"/>
      <c r="AU8540" s="512"/>
      <c r="AV8540" s="512"/>
      <c r="AW8540" s="512"/>
      <c r="AX8540" s="512"/>
      <c r="AY8540" s="128"/>
      <c r="AZ8540" s="128"/>
      <c r="BA8540" s="128"/>
      <c r="BB8540" s="128"/>
      <c r="BC8540" s="128"/>
      <c r="BD8540" s="128"/>
      <c r="BE8540" s="128"/>
      <c r="BF8540" s="128"/>
      <c r="BG8540" s="128"/>
      <c r="BH8540" s="128"/>
      <c r="BI8540" s="512"/>
      <c r="BJ8540" s="512"/>
      <c r="BK8540" s="512"/>
      <c r="BL8540" s="512"/>
      <c r="BM8540" s="512"/>
      <c r="BN8540" s="512"/>
      <c r="BO8540" s="512"/>
      <c r="BP8540" s="512"/>
      <c r="BQ8540" s="512"/>
      <c r="BR8540" s="512"/>
      <c r="BS8540" s="512"/>
      <c r="BT8540" s="512"/>
      <c r="BU8540" s="512"/>
      <c r="BV8540" s="512"/>
      <c r="BW8540" s="512"/>
      <c r="BX8540" s="512"/>
      <c r="BY8540" s="512"/>
      <c r="BZ8540" s="512"/>
      <c r="CA8540" s="128"/>
      <c r="CB8540" s="128"/>
    </row>
    <row r="8541" spans="1:80" s="83" customFormat="1" ht="15" x14ac:dyDescent="0.25">
      <c r="A8541" s="494"/>
      <c r="B8541" s="128"/>
      <c r="C8541" s="128"/>
      <c r="D8541" s="701"/>
      <c r="E8541" s="512"/>
      <c r="F8541" s="529"/>
      <c r="G8541" s="128"/>
      <c r="H8541" s="521"/>
      <c r="I8541" s="522">
        <v>10</v>
      </c>
      <c r="J8541" s="523">
        <v>60</v>
      </c>
      <c r="K8541" s="532">
        <v>1</v>
      </c>
      <c r="L8541" s="532">
        <f t="shared" si="65"/>
        <v>600</v>
      </c>
      <c r="M8541" s="679">
        <v>38883</v>
      </c>
      <c r="N8541" s="524">
        <v>31</v>
      </c>
      <c r="O8541" s="516">
        <v>5.1851666666666669E-3</v>
      </c>
      <c r="P8541" s="526">
        <v>0</v>
      </c>
      <c r="Q8541" s="526">
        <v>0.17408633602262863</v>
      </c>
      <c r="R8541" s="526">
        <v>0.16026485808877888</v>
      </c>
      <c r="S8541" s="526">
        <v>0.13455048053743054</v>
      </c>
      <c r="T8541" s="526">
        <v>9.2282472437401536E-2</v>
      </c>
      <c r="U8541" s="526">
        <v>8.8843174439908745E-2</v>
      </c>
      <c r="V8541" s="807">
        <v>0.34997267847385166</v>
      </c>
      <c r="W8541" s="818"/>
      <c r="X8541" s="815"/>
      <c r="Y8541" s="819"/>
      <c r="Z8541" s="812">
        <v>53</v>
      </c>
      <c r="AA8541" s="524">
        <v>6.5</v>
      </c>
      <c r="AB8541" s="673"/>
      <c r="AC8541" s="674"/>
      <c r="AD8541" s="524">
        <v>20</v>
      </c>
      <c r="AE8541" s="524"/>
      <c r="AF8541" s="524"/>
      <c r="AG8541" s="524"/>
      <c r="AH8541" s="518"/>
      <c r="AI8541" s="512"/>
      <c r="AJ8541" s="512"/>
      <c r="AK8541" s="128"/>
      <c r="AL8541" s="128"/>
      <c r="AM8541" s="128"/>
      <c r="AN8541" s="128"/>
      <c r="AO8541" s="128"/>
      <c r="AP8541" s="128"/>
      <c r="AQ8541" s="128"/>
      <c r="AR8541" s="128"/>
      <c r="AS8541" s="128"/>
      <c r="AT8541" s="128"/>
      <c r="AU8541" s="512"/>
      <c r="AV8541" s="512"/>
      <c r="AW8541" s="512"/>
      <c r="AX8541" s="512"/>
      <c r="AY8541" s="128"/>
      <c r="AZ8541" s="128"/>
      <c r="BA8541" s="128"/>
      <c r="BB8541" s="128"/>
      <c r="BC8541" s="128"/>
      <c r="BD8541" s="128"/>
      <c r="BE8541" s="128"/>
      <c r="BF8541" s="128"/>
      <c r="BG8541" s="128"/>
      <c r="BH8541" s="128"/>
      <c r="BI8541" s="512"/>
      <c r="BJ8541" s="512"/>
      <c r="BK8541" s="512"/>
      <c r="BL8541" s="512"/>
      <c r="BM8541" s="512"/>
      <c r="BN8541" s="512"/>
      <c r="BO8541" s="512"/>
      <c r="BP8541" s="512"/>
      <c r="BQ8541" s="512"/>
      <c r="BR8541" s="512"/>
      <c r="BS8541" s="512"/>
      <c r="BT8541" s="512"/>
      <c r="BU8541" s="512"/>
      <c r="BV8541" s="512"/>
      <c r="BW8541" s="512"/>
      <c r="BX8541" s="512"/>
      <c r="BY8541" s="512"/>
      <c r="BZ8541" s="512"/>
      <c r="CA8541" s="128"/>
      <c r="CB8541" s="128"/>
    </row>
    <row r="8542" spans="1:80" ht="15" x14ac:dyDescent="0.25">
      <c r="A8542" s="385"/>
      <c r="B8542" s="392"/>
      <c r="C8542" s="392"/>
      <c r="D8542" s="434"/>
      <c r="E8542" s="397"/>
      <c r="F8542" s="530"/>
      <c r="G8542" s="392"/>
      <c r="H8542" s="401"/>
      <c r="I8542" s="514">
        <v>10</v>
      </c>
      <c r="J8542" s="473">
        <v>60</v>
      </c>
      <c r="K8542" s="532">
        <v>1</v>
      </c>
      <c r="L8542" s="532">
        <f t="shared" si="65"/>
        <v>600</v>
      </c>
      <c r="M8542" s="679">
        <v>38883</v>
      </c>
      <c r="N8542" s="388">
        <v>31</v>
      </c>
      <c r="O8542" s="516">
        <v>4.9808333333333336E-3</v>
      </c>
      <c r="P8542" s="413">
        <v>0</v>
      </c>
      <c r="Q8542" s="413">
        <v>0.14421950811443868</v>
      </c>
      <c r="R8542" s="413">
        <v>0.33244102392504604</v>
      </c>
      <c r="S8542" s="413">
        <v>0.27515475991299981</v>
      </c>
      <c r="T8542" s="413">
        <v>9.1316714070603988E-2</v>
      </c>
      <c r="U8542" s="413">
        <v>4.2262004350008368E-2</v>
      </c>
      <c r="V8542" s="795">
        <v>0.11460598962690313</v>
      </c>
      <c r="W8542" s="818"/>
      <c r="X8542" s="815"/>
      <c r="Y8542" s="819"/>
      <c r="Z8542" s="788">
        <v>60</v>
      </c>
      <c r="AA8542" s="388">
        <v>15.3</v>
      </c>
      <c r="AB8542" s="388"/>
      <c r="AC8542" s="402"/>
      <c r="AD8542" s="515">
        <v>20</v>
      </c>
      <c r="AE8542" s="388"/>
      <c r="AF8542" s="388"/>
      <c r="AG8542" s="388"/>
      <c r="AH8542" s="391"/>
      <c r="AI8542" s="397"/>
      <c r="AJ8542" s="397"/>
      <c r="AK8542" s="392"/>
      <c r="AL8542" s="392"/>
      <c r="AM8542" s="392"/>
      <c r="AN8542" s="392"/>
      <c r="AO8542" s="392"/>
      <c r="AP8542" s="392"/>
      <c r="AQ8542" s="392"/>
      <c r="AR8542" s="392"/>
      <c r="AS8542" s="392"/>
      <c r="AT8542" s="392"/>
      <c r="AU8542" s="397"/>
      <c r="AV8542" s="397"/>
      <c r="AW8542" s="397"/>
      <c r="AX8542" s="397"/>
      <c r="AY8542" s="392"/>
      <c r="AZ8542" s="392"/>
      <c r="BA8542" s="392"/>
      <c r="BB8542" s="392"/>
      <c r="BC8542" s="392"/>
      <c r="BD8542" s="392"/>
      <c r="BE8542" s="392"/>
      <c r="BF8542" s="392"/>
      <c r="BG8542" s="392"/>
      <c r="BH8542" s="392"/>
      <c r="BI8542" s="397"/>
      <c r="BJ8542" s="397"/>
      <c r="BK8542" s="397"/>
      <c r="BL8542" s="397"/>
      <c r="BM8542" s="397"/>
      <c r="BN8542" s="397"/>
      <c r="BO8542" s="397"/>
      <c r="BP8542" s="397"/>
      <c r="BQ8542" s="397"/>
      <c r="BR8542" s="397"/>
      <c r="BS8542" s="397"/>
      <c r="BT8542" s="397"/>
      <c r="BU8542" s="397"/>
      <c r="BV8542" s="397"/>
      <c r="BW8542" s="397"/>
      <c r="BX8542" s="397"/>
      <c r="BY8542" s="397"/>
      <c r="BZ8542" s="397"/>
      <c r="CA8542" s="392"/>
      <c r="CB8542" s="392"/>
    </row>
    <row r="8543" spans="1:80" ht="15" x14ac:dyDescent="0.25">
      <c r="A8543" s="189"/>
      <c r="B8543" s="648"/>
      <c r="C8543" s="648"/>
      <c r="D8543" s="697"/>
      <c r="E8543" s="79"/>
      <c r="F8543" s="531"/>
      <c r="G8543" s="190"/>
      <c r="H8543" s="187"/>
      <c r="I8543" s="514">
        <v>10</v>
      </c>
      <c r="J8543" s="473">
        <v>60</v>
      </c>
      <c r="K8543" s="532">
        <v>1</v>
      </c>
      <c r="L8543" s="532">
        <f t="shared" si="65"/>
        <v>600</v>
      </c>
      <c r="M8543" s="679">
        <v>38853</v>
      </c>
      <c r="N8543" s="187">
        <v>28</v>
      </c>
      <c r="O8543" s="516">
        <v>9.0383333333333331E-4</v>
      </c>
      <c r="P8543" s="528">
        <v>0</v>
      </c>
      <c r="Q8543" s="528">
        <v>0</v>
      </c>
      <c r="R8543" s="528">
        <v>0.33394799926240082</v>
      </c>
      <c r="S8543" s="528">
        <v>0.28360685967176841</v>
      </c>
      <c r="T8543" s="528">
        <v>8.7958694449566693E-2</v>
      </c>
      <c r="U8543" s="528">
        <v>6.9149917020099552E-2</v>
      </c>
      <c r="V8543" s="808">
        <v>0.22533652959616451</v>
      </c>
      <c r="W8543" s="818"/>
      <c r="X8543" s="815"/>
      <c r="Y8543" s="819"/>
      <c r="Z8543" s="237">
        <v>40</v>
      </c>
      <c r="AA8543" s="187">
        <v>12.2</v>
      </c>
      <c r="AB8543" s="192"/>
      <c r="AC8543" s="192"/>
      <c r="AD8543" s="515">
        <v>20</v>
      </c>
      <c r="AE8543" s="192"/>
      <c r="AF8543" s="187"/>
      <c r="AG8543" s="187"/>
      <c r="AH8543" s="337"/>
      <c r="AI8543" s="190"/>
      <c r="AJ8543" s="190"/>
      <c r="AK8543" s="190"/>
      <c r="AL8543" s="189"/>
      <c r="AM8543" s="189"/>
      <c r="AN8543" s="189"/>
      <c r="AO8543" s="189"/>
      <c r="AP8543" s="189"/>
      <c r="AQ8543" s="189"/>
      <c r="AR8543" s="189"/>
      <c r="AS8543" s="189"/>
      <c r="AT8543" s="189"/>
      <c r="AU8543" s="190"/>
      <c r="AV8543" s="190"/>
      <c r="AW8543" s="190"/>
      <c r="AX8543" s="190"/>
      <c r="AY8543" s="190"/>
      <c r="AZ8543" s="189"/>
      <c r="BA8543" s="189"/>
      <c r="BB8543" s="189"/>
      <c r="BC8543" s="189"/>
      <c r="BD8543" s="189"/>
      <c r="BE8543" s="189"/>
      <c r="BF8543" s="189"/>
      <c r="BG8543" s="189"/>
      <c r="BH8543" s="189"/>
      <c r="BI8543" s="190"/>
      <c r="BJ8543" s="190"/>
      <c r="BK8543" s="190"/>
      <c r="BL8543" s="190"/>
      <c r="BM8543" s="190"/>
      <c r="BN8543" s="190"/>
      <c r="BO8543" s="190"/>
      <c r="BP8543" s="190"/>
      <c r="BQ8543" s="190"/>
      <c r="BR8543" s="190"/>
      <c r="BS8543" s="190"/>
      <c r="BT8543" s="190"/>
      <c r="BU8543" s="190"/>
      <c r="BV8543" s="190"/>
      <c r="BW8543" s="190"/>
      <c r="BX8543" s="190"/>
      <c r="BY8543" s="190"/>
      <c r="BZ8543" s="190"/>
      <c r="CA8543" s="189"/>
      <c r="CB8543" s="189"/>
    </row>
    <row r="8544" spans="1:80" ht="15" x14ac:dyDescent="0.25">
      <c r="D8544" s="702"/>
      <c r="F8544" s="531"/>
      <c r="H8544" s="507"/>
      <c r="I8544" s="514">
        <v>10</v>
      </c>
      <c r="J8544" s="507">
        <v>120</v>
      </c>
      <c r="K8544" s="532">
        <v>1</v>
      </c>
      <c r="L8544" s="532">
        <f t="shared" si="65"/>
        <v>1200</v>
      </c>
      <c r="M8544" s="679">
        <v>38853</v>
      </c>
      <c r="N8544" s="507">
        <v>28</v>
      </c>
      <c r="O8544" s="516">
        <v>9.2441666666666659E-4</v>
      </c>
      <c r="P8544" s="508">
        <v>0</v>
      </c>
      <c r="Q8544" s="508">
        <v>0.22717028756873706</v>
      </c>
      <c r="R8544" s="508">
        <v>0.2250067610204633</v>
      </c>
      <c r="S8544" s="508">
        <v>0.20841972415036514</v>
      </c>
      <c r="T8544" s="508">
        <v>6.4455061750653575E-2</v>
      </c>
      <c r="U8544" s="508">
        <v>5.1293608581988649E-2</v>
      </c>
      <c r="V8544" s="809">
        <v>0.22365455692779229</v>
      </c>
      <c r="W8544" s="818"/>
      <c r="X8544" s="815"/>
      <c r="Y8544" s="819"/>
      <c r="Z8544" s="813">
        <v>47</v>
      </c>
      <c r="AA8544" s="507">
        <v>14.1</v>
      </c>
      <c r="AB8544" s="527"/>
      <c r="AC8544" s="527"/>
      <c r="AD8544" s="515">
        <v>20</v>
      </c>
      <c r="AE8544" s="527"/>
      <c r="AF8544" s="507"/>
      <c r="AG8544" s="507"/>
    </row>
    <row r="8545" spans="1:78" ht="15" x14ac:dyDescent="0.25">
      <c r="D8545" s="702"/>
      <c r="E8545" s="79"/>
      <c r="F8545" s="531"/>
      <c r="H8545" s="507"/>
      <c r="I8545" s="514">
        <v>10</v>
      </c>
      <c r="J8545" s="507">
        <v>120</v>
      </c>
      <c r="K8545" s="532">
        <v>1</v>
      </c>
      <c r="L8545" s="532">
        <f t="shared" si="65"/>
        <v>1200</v>
      </c>
      <c r="M8545" s="679">
        <v>38853</v>
      </c>
      <c r="N8545" s="507">
        <v>28</v>
      </c>
      <c r="O8545" s="516">
        <v>1.1835000000000001E-3</v>
      </c>
      <c r="P8545" s="508">
        <v>0</v>
      </c>
      <c r="Q8545" s="508">
        <v>0.14181101253344605</v>
      </c>
      <c r="R8545" s="508">
        <v>0.25756935642867196</v>
      </c>
      <c r="S8545" s="508">
        <v>0.22926348401633573</v>
      </c>
      <c r="T8545" s="508">
        <v>0.1362484157160963</v>
      </c>
      <c r="U8545" s="508">
        <v>0.10047880580199971</v>
      </c>
      <c r="V8545" s="809">
        <v>0.13462892550345021</v>
      </c>
      <c r="W8545" s="818"/>
      <c r="X8545" s="815"/>
      <c r="Y8545" s="819"/>
      <c r="Z8545" s="813">
        <v>43</v>
      </c>
      <c r="AA8545" s="507">
        <v>12.3</v>
      </c>
      <c r="AB8545" s="527"/>
      <c r="AC8545" s="527"/>
      <c r="AD8545" s="515">
        <v>20</v>
      </c>
      <c r="AE8545" s="527"/>
      <c r="AF8545" s="507"/>
      <c r="AG8545" s="507"/>
    </row>
    <row r="8546" spans="1:78" ht="15" x14ac:dyDescent="0.25">
      <c r="D8546" s="702"/>
      <c r="E8546" s="79"/>
      <c r="F8546" s="531"/>
      <c r="H8546" s="507"/>
      <c r="I8546" s="514">
        <v>10</v>
      </c>
      <c r="J8546" s="507">
        <v>120</v>
      </c>
      <c r="K8546" s="532">
        <v>1</v>
      </c>
      <c r="L8546" s="532">
        <f t="shared" si="65"/>
        <v>1200</v>
      </c>
      <c r="M8546" s="679">
        <v>38853</v>
      </c>
      <c r="N8546" s="507">
        <v>28</v>
      </c>
      <c r="O8546" s="516">
        <v>8.285833333333333E-4</v>
      </c>
      <c r="P8546" s="508">
        <v>0</v>
      </c>
      <c r="Q8546" s="508">
        <v>0</v>
      </c>
      <c r="R8546" s="508">
        <v>0.43266619732475103</v>
      </c>
      <c r="S8546" s="508">
        <v>-6.6680076435683355E-2</v>
      </c>
      <c r="T8546" s="508">
        <v>0.14090314794327666</v>
      </c>
      <c r="U8546" s="508">
        <v>0.12923664889872272</v>
      </c>
      <c r="V8546" s="809">
        <v>0.36387408226893292</v>
      </c>
      <c r="W8546" s="818"/>
      <c r="X8546" s="815"/>
      <c r="Y8546" s="819"/>
      <c r="Z8546" s="813">
        <v>29</v>
      </c>
      <c r="AA8546" s="507">
        <v>4.2</v>
      </c>
      <c r="AB8546" s="527"/>
      <c r="AC8546" s="527"/>
      <c r="AD8546" s="515">
        <v>20</v>
      </c>
      <c r="AE8546" s="527"/>
      <c r="AF8546" s="507"/>
      <c r="AG8546" s="507"/>
    </row>
    <row r="8547" spans="1:78" ht="15" x14ac:dyDescent="0.25">
      <c r="D8547" s="702"/>
      <c r="F8547" s="531"/>
      <c r="H8547" s="507"/>
      <c r="I8547" s="514">
        <v>10</v>
      </c>
      <c r="J8547" s="507">
        <v>120</v>
      </c>
      <c r="K8547" s="532">
        <v>1</v>
      </c>
      <c r="L8547" s="532">
        <f t="shared" si="65"/>
        <v>1200</v>
      </c>
      <c r="M8547" s="679">
        <v>38853</v>
      </c>
      <c r="N8547" s="507">
        <v>27</v>
      </c>
      <c r="O8547" s="516">
        <v>2.2105833333333331E-3</v>
      </c>
      <c r="P8547" s="508">
        <v>0</v>
      </c>
      <c r="Q8547" s="508">
        <v>0</v>
      </c>
      <c r="R8547" s="508">
        <v>0.10283861725788809</v>
      </c>
      <c r="S8547" s="508">
        <v>0.16839446601575755</v>
      </c>
      <c r="T8547" s="508">
        <v>0.14988502280695148</v>
      </c>
      <c r="U8547" s="508">
        <v>0.15086515625589017</v>
      </c>
      <c r="V8547" s="809">
        <v>0.42801673766351273</v>
      </c>
      <c r="W8547" s="818"/>
      <c r="X8547" s="815"/>
      <c r="Y8547" s="819"/>
      <c r="Z8547" s="813">
        <v>38</v>
      </c>
      <c r="AA8547" s="507">
        <v>2.7</v>
      </c>
      <c r="AB8547" s="527"/>
      <c r="AC8547" s="527"/>
      <c r="AD8547" s="515">
        <v>20</v>
      </c>
      <c r="AE8547" s="527"/>
      <c r="AF8547" s="507"/>
      <c r="AG8547" s="507"/>
    </row>
    <row r="8548" spans="1:78" ht="15" x14ac:dyDescent="0.25">
      <c r="D8548" s="702"/>
      <c r="F8548" s="531"/>
      <c r="H8548" s="507"/>
      <c r="I8548" s="514">
        <v>10</v>
      </c>
      <c r="J8548" s="507">
        <v>120</v>
      </c>
      <c r="K8548" s="532">
        <v>1</v>
      </c>
      <c r="L8548" s="532">
        <f t="shared" si="65"/>
        <v>1200</v>
      </c>
      <c r="M8548" s="679">
        <v>38853</v>
      </c>
      <c r="N8548" s="507">
        <v>27</v>
      </c>
      <c r="O8548" s="516">
        <v>1.8713333333333334E-3</v>
      </c>
      <c r="P8548" s="508">
        <v>0</v>
      </c>
      <c r="Q8548" s="508">
        <v>0.13399536872105444</v>
      </c>
      <c r="R8548" s="508">
        <v>0.17416280726754549</v>
      </c>
      <c r="S8548" s="508">
        <v>0.2035090844317777</v>
      </c>
      <c r="T8548" s="508">
        <v>0.10024047025293904</v>
      </c>
      <c r="U8548" s="508">
        <v>8.4743498396864958E-2</v>
      </c>
      <c r="V8548" s="809">
        <v>0.30334877092981832</v>
      </c>
      <c r="W8548" s="818"/>
      <c r="X8548" s="815"/>
      <c r="Y8548" s="819"/>
      <c r="Z8548" s="813">
        <v>39</v>
      </c>
      <c r="AA8548" s="507">
        <v>8.4</v>
      </c>
      <c r="AB8548" s="527"/>
      <c r="AC8548" s="527"/>
      <c r="AD8548" s="515">
        <v>20</v>
      </c>
      <c r="AE8548" s="527"/>
      <c r="AF8548" s="507"/>
      <c r="AG8548" s="507"/>
    </row>
    <row r="8549" spans="1:78" ht="15" x14ac:dyDescent="0.25">
      <c r="D8549" s="702"/>
      <c r="F8549" s="531"/>
      <c r="H8549" s="507"/>
      <c r="I8549" s="514">
        <v>10</v>
      </c>
      <c r="J8549" s="507">
        <v>120</v>
      </c>
      <c r="K8549" s="532">
        <v>1</v>
      </c>
      <c r="L8549" s="532">
        <f t="shared" si="65"/>
        <v>1200</v>
      </c>
      <c r="M8549" s="679">
        <v>38853</v>
      </c>
      <c r="N8549" s="507">
        <v>26</v>
      </c>
      <c r="O8549" s="516">
        <v>5.004166666666667E-4</v>
      </c>
      <c r="P8549" s="508">
        <v>0</v>
      </c>
      <c r="Q8549" s="508">
        <v>0</v>
      </c>
      <c r="R8549" s="508">
        <v>0.36769358867610324</v>
      </c>
      <c r="S8549" s="508">
        <v>0.14837635303913399</v>
      </c>
      <c r="T8549" s="508">
        <v>6.2781015820149902E-2</v>
      </c>
      <c r="U8549" s="508">
        <v>6.4279766860949203E-2</v>
      </c>
      <c r="V8549" s="809">
        <v>0.3568692756036636</v>
      </c>
      <c r="W8549" s="818"/>
      <c r="X8549" s="815"/>
      <c r="Y8549" s="819"/>
      <c r="Z8549" s="813">
        <v>44</v>
      </c>
      <c r="AA8549" s="507">
        <v>15.9</v>
      </c>
      <c r="AB8549" s="527"/>
      <c r="AC8549" s="527"/>
      <c r="AD8549" s="515">
        <v>20</v>
      </c>
      <c r="AE8549" s="527"/>
      <c r="AF8549" s="507"/>
      <c r="AG8549" s="507"/>
    </row>
    <row r="8550" spans="1:78" ht="15" x14ac:dyDescent="0.25">
      <c r="D8550" s="702"/>
      <c r="F8550" s="531"/>
      <c r="H8550" s="535"/>
      <c r="I8550" s="522">
        <v>10</v>
      </c>
      <c r="J8550" s="535">
        <v>120</v>
      </c>
      <c r="K8550" s="536">
        <v>1</v>
      </c>
      <c r="L8550" s="532">
        <f t="shared" si="65"/>
        <v>1200</v>
      </c>
      <c r="M8550" s="679">
        <v>38853</v>
      </c>
      <c r="N8550" s="535">
        <v>26</v>
      </c>
      <c r="O8550" s="525">
        <v>5.5266666666666669E-4</v>
      </c>
      <c r="P8550" s="537">
        <v>0</v>
      </c>
      <c r="Q8550" s="537">
        <v>0</v>
      </c>
      <c r="R8550" s="537">
        <v>0.35886610373944516</v>
      </c>
      <c r="S8550" s="537">
        <v>0.23039806996381182</v>
      </c>
      <c r="T8550" s="537">
        <v>6.2876960193003595E-2</v>
      </c>
      <c r="U8550" s="537">
        <v>3.5585042219541604E-2</v>
      </c>
      <c r="V8550" s="810">
        <v>0.31227382388419778</v>
      </c>
      <c r="W8550" s="820"/>
      <c r="X8550" s="821"/>
      <c r="Y8550" s="822"/>
      <c r="Z8550" s="814">
        <v>33</v>
      </c>
      <c r="AA8550" s="535">
        <v>10.3</v>
      </c>
      <c r="AB8550" s="538"/>
      <c r="AC8550" s="538"/>
      <c r="AD8550" s="524">
        <v>20</v>
      </c>
      <c r="AE8550" s="538"/>
      <c r="AF8550" s="535"/>
      <c r="AG8550" s="535"/>
    </row>
    <row r="8551" spans="1:78" s="9" customFormat="1" ht="15" x14ac:dyDescent="0.25">
      <c r="A8551" s="9" t="s">
        <v>672</v>
      </c>
      <c r="B8551" s="639" t="s">
        <v>53</v>
      </c>
      <c r="C8551" s="639"/>
      <c r="D8551" s="4">
        <f>VLOOKUP(E8551,'Quality Code'!$D$4:$E$24,2,TRUE)*VLOOKUP(MROUND(F8551,10),'Quality Code'!$D$28:$E$69,2,TRUE)*VLOOKUP(COUNTA(CB8551:CB8561),'Quality Code'!$D$73:$E$93,2,TRUE)</f>
        <v>0.55000000000000004</v>
      </c>
      <c r="E8551" s="14">
        <v>0.55000000000000004</v>
      </c>
      <c r="F8551" s="684">
        <f>COUNT(I8552:I8590)</f>
        <v>39</v>
      </c>
      <c r="G8551" s="639">
        <v>979</v>
      </c>
      <c r="H8551" s="610" t="str">
        <f>H8526</f>
        <v>Toutle River Sampler</v>
      </c>
      <c r="I8551" s="639"/>
      <c r="J8551" s="639"/>
      <c r="K8551" s="639"/>
      <c r="L8551" s="639"/>
      <c r="M8551" s="639"/>
      <c r="N8551" s="639"/>
      <c r="O8551" s="639"/>
      <c r="P8551" s="639"/>
      <c r="Q8551" s="639"/>
      <c r="R8551" s="639"/>
      <c r="S8551" s="639"/>
      <c r="T8551" s="639"/>
      <c r="U8551" s="639"/>
      <c r="V8551" s="639" t="s">
        <v>940</v>
      </c>
      <c r="W8551" s="786"/>
      <c r="X8551" s="786"/>
      <c r="Y8551" s="786"/>
      <c r="Z8551" s="639"/>
      <c r="AA8551" s="639"/>
      <c r="AC8551" s="9">
        <v>2.5000000000000001E-3</v>
      </c>
      <c r="AF8551" s="639"/>
      <c r="AG8551" s="639"/>
      <c r="AH8551" s="345"/>
      <c r="AI8551" s="639"/>
      <c r="AJ8551" s="685"/>
      <c r="AK8551" s="685"/>
      <c r="AL8551" s="686"/>
      <c r="AM8551" s="686"/>
      <c r="AN8551" s="686"/>
      <c r="AO8551" s="686"/>
      <c r="AP8551" s="686"/>
      <c r="AQ8551" s="686"/>
      <c r="AR8551" s="686"/>
      <c r="AS8551" s="686"/>
      <c r="AT8551" s="686"/>
      <c r="AU8551" s="687"/>
      <c r="AV8551" s="685"/>
      <c r="AW8551" s="685"/>
      <c r="AX8551" s="685"/>
      <c r="AY8551" s="685"/>
      <c r="AZ8551" s="686"/>
      <c r="BA8551" s="686"/>
      <c r="BB8551" s="686"/>
      <c r="BC8551" s="686"/>
      <c r="BD8551" s="686"/>
      <c r="BE8551" s="686"/>
      <c r="BF8551" s="686"/>
      <c r="BG8551" s="686"/>
      <c r="BH8551" s="686"/>
      <c r="BI8551" s="639"/>
      <c r="BJ8551" s="639"/>
      <c r="BK8551" s="639"/>
      <c r="BL8551" s="639"/>
      <c r="BM8551" s="639"/>
      <c r="BN8551" s="639">
        <v>45</v>
      </c>
      <c r="BO8551" s="639"/>
      <c r="BP8551" s="639"/>
      <c r="BQ8551" s="639"/>
      <c r="BR8551" s="639"/>
      <c r="BS8551" s="639"/>
      <c r="BT8551" s="639"/>
      <c r="BU8551" s="639"/>
      <c r="BV8551" s="639"/>
      <c r="BW8551" s="639"/>
      <c r="BX8551" s="639"/>
      <c r="BY8551" s="639"/>
      <c r="BZ8551" s="639"/>
    </row>
    <row r="8552" spans="1:78" ht="15" x14ac:dyDescent="0.25">
      <c r="D8552" s="702"/>
      <c r="H8552" s="539"/>
      <c r="I8552" s="539">
        <v>12</v>
      </c>
      <c r="J8552" s="539">
        <v>60</v>
      </c>
      <c r="K8552" s="539">
        <v>1</v>
      </c>
      <c r="L8552" s="532">
        <f t="shared" si="65"/>
        <v>720</v>
      </c>
      <c r="M8552" s="680">
        <v>38875</v>
      </c>
      <c r="N8552" s="539">
        <v>89</v>
      </c>
      <c r="O8552" s="542">
        <v>4.3573611111111112E-2</v>
      </c>
      <c r="P8552" s="541">
        <v>0.1524559334459567</v>
      </c>
      <c r="Q8552" s="541">
        <v>0.22844484110540911</v>
      </c>
      <c r="R8552" s="541">
        <v>0.14566665604181939</v>
      </c>
      <c r="S8552" s="541">
        <v>0.13776176967456094</v>
      </c>
      <c r="T8552" s="541">
        <v>9.9085200650240665E-2</v>
      </c>
      <c r="U8552" s="541">
        <v>7.2265961176808086E-2</v>
      </c>
      <c r="V8552" s="541">
        <v>0.1643196379052051</v>
      </c>
      <c r="W8552" s="818"/>
      <c r="X8552" s="815"/>
      <c r="Y8552" s="819"/>
      <c r="Z8552" s="539">
        <v>120</v>
      </c>
      <c r="AA8552" s="539">
        <v>17.8</v>
      </c>
      <c r="AB8552" s="540"/>
      <c r="AC8552" s="540"/>
      <c r="AD8552" s="539">
        <v>48</v>
      </c>
      <c r="AE8552" s="540"/>
      <c r="AF8552" s="539"/>
      <c r="AG8552" s="539"/>
    </row>
    <row r="8553" spans="1:78" ht="15" x14ac:dyDescent="0.25">
      <c r="D8553" s="702"/>
      <c r="H8553" s="507"/>
      <c r="I8553" s="507">
        <v>11</v>
      </c>
      <c r="J8553" s="507">
        <v>60</v>
      </c>
      <c r="K8553" s="507">
        <v>1</v>
      </c>
      <c r="L8553" s="532">
        <f t="shared" si="65"/>
        <v>660</v>
      </c>
      <c r="M8553" s="680">
        <v>38875</v>
      </c>
      <c r="N8553" s="507">
        <v>88</v>
      </c>
      <c r="O8553" s="543">
        <v>2.1112121212121211E-2</v>
      </c>
      <c r="P8553" s="508">
        <v>0.1258073776374336</v>
      </c>
      <c r="Q8553" s="508">
        <v>3.9184728003444809E-2</v>
      </c>
      <c r="R8553" s="508">
        <v>0.11260226783407493</v>
      </c>
      <c r="S8553" s="508">
        <v>0.14184728003444813</v>
      </c>
      <c r="T8553" s="508">
        <v>0.12259222046792018</v>
      </c>
      <c r="U8553" s="508">
        <v>0.11779819147409218</v>
      </c>
      <c r="V8553" s="508">
        <v>0.34016793454858618</v>
      </c>
      <c r="W8553" s="818"/>
      <c r="X8553" s="815"/>
      <c r="Y8553" s="819"/>
      <c r="Z8553" s="507">
        <v>84</v>
      </c>
      <c r="AA8553" s="507">
        <v>5.2</v>
      </c>
      <c r="AB8553" s="527"/>
      <c r="AC8553" s="527"/>
      <c r="AD8553" s="507">
        <v>44</v>
      </c>
      <c r="AE8553" s="527"/>
      <c r="AF8553" s="507"/>
      <c r="AG8553" s="507"/>
    </row>
    <row r="8554" spans="1:78" ht="15" x14ac:dyDescent="0.25">
      <c r="D8554" s="702"/>
      <c r="H8554" s="507"/>
      <c r="I8554" s="507">
        <v>11</v>
      </c>
      <c r="J8554" s="507">
        <v>120</v>
      </c>
      <c r="K8554" s="539">
        <v>1</v>
      </c>
      <c r="L8554" s="532">
        <f t="shared" si="65"/>
        <v>1320</v>
      </c>
      <c r="M8554" s="680">
        <v>38875</v>
      </c>
      <c r="N8554" s="507">
        <v>86</v>
      </c>
      <c r="O8554" s="543">
        <v>5.2773484848484847E-2</v>
      </c>
      <c r="P8554" s="508">
        <v>8.5901724063679824E-2</v>
      </c>
      <c r="Q8554" s="508">
        <v>9.04092677394812E-2</v>
      </c>
      <c r="R8554" s="508">
        <v>0.15741950302177687</v>
      </c>
      <c r="S8554" s="508">
        <v>0.14612193336300083</v>
      </c>
      <c r="T8554" s="508">
        <v>0.11663628142001981</v>
      </c>
      <c r="U8554" s="508">
        <v>0.11564577023011441</v>
      </c>
      <c r="V8554" s="508">
        <v>0.28786552016192707</v>
      </c>
      <c r="W8554" s="818"/>
      <c r="X8554" s="815"/>
      <c r="Y8554" s="819"/>
      <c r="Z8554" s="507">
        <v>124</v>
      </c>
      <c r="AA8554" s="507">
        <v>7.1</v>
      </c>
      <c r="AB8554" s="527"/>
      <c r="AC8554" s="527"/>
      <c r="AD8554" s="507">
        <v>44</v>
      </c>
      <c r="AE8554" s="527"/>
      <c r="AF8554" s="507"/>
      <c r="AG8554" s="507"/>
    </row>
    <row r="8555" spans="1:78" ht="15" x14ac:dyDescent="0.25">
      <c r="D8555" s="702"/>
      <c r="H8555" s="507"/>
      <c r="I8555" s="507">
        <v>10</v>
      </c>
      <c r="J8555" s="507">
        <v>120</v>
      </c>
      <c r="K8555" s="507">
        <v>1</v>
      </c>
      <c r="L8555" s="532">
        <f t="shared" si="65"/>
        <v>1200</v>
      </c>
      <c r="M8555" s="680">
        <v>38875</v>
      </c>
      <c r="N8555" s="507">
        <v>84</v>
      </c>
      <c r="O8555" s="543">
        <v>3.8725000000000002E-2</v>
      </c>
      <c r="P8555" s="508">
        <v>0.1170432537120723</v>
      </c>
      <c r="Q8555" s="508">
        <v>5.1904454486765651E-2</v>
      </c>
      <c r="R8555" s="508">
        <v>0.10473423714224231</v>
      </c>
      <c r="S8555" s="508">
        <v>0.19106950720895199</v>
      </c>
      <c r="T8555" s="508">
        <v>0.17215407789972026</v>
      </c>
      <c r="U8555" s="508">
        <v>0.11198622767376801</v>
      </c>
      <c r="V8555" s="508">
        <v>0.25110824187647945</v>
      </c>
      <c r="W8555" s="818"/>
      <c r="X8555" s="815"/>
      <c r="Y8555" s="819"/>
      <c r="Z8555" s="507">
        <v>110</v>
      </c>
      <c r="AA8555" s="507">
        <v>7</v>
      </c>
      <c r="AB8555" s="527"/>
      <c r="AC8555" s="527"/>
      <c r="AD8555" s="507">
        <v>40</v>
      </c>
      <c r="AE8555" s="527"/>
      <c r="AF8555" s="507"/>
      <c r="AG8555" s="507"/>
    </row>
    <row r="8556" spans="1:78" ht="15" x14ac:dyDescent="0.25">
      <c r="D8556" s="702"/>
      <c r="H8556" s="507"/>
      <c r="I8556" s="507">
        <v>11</v>
      </c>
      <c r="J8556" s="507">
        <v>60</v>
      </c>
      <c r="K8556" s="539">
        <v>1</v>
      </c>
      <c r="L8556" s="532">
        <f t="shared" si="65"/>
        <v>660</v>
      </c>
      <c r="M8556" s="680">
        <v>38876</v>
      </c>
      <c r="N8556" s="507">
        <v>104</v>
      </c>
      <c r="O8556" s="543">
        <v>2.9395454545454544E-2</v>
      </c>
      <c r="P8556" s="508">
        <v>0.17014586876965104</v>
      </c>
      <c r="Q8556" s="508">
        <v>0.14189990206690378</v>
      </c>
      <c r="R8556" s="508">
        <v>0.21950930364414212</v>
      </c>
      <c r="S8556" s="508">
        <v>0.2144837894953868</v>
      </c>
      <c r="T8556" s="508">
        <v>7.9042317406319285E-2</v>
      </c>
      <c r="U8556" s="508">
        <v>2.5127570743776091E-2</v>
      </c>
      <c r="V8556" s="508">
        <v>0.14979124787382092</v>
      </c>
      <c r="W8556" s="818"/>
      <c r="X8556" s="815"/>
      <c r="Y8556" s="819"/>
      <c r="Z8556" s="507">
        <v>110</v>
      </c>
      <c r="AA8556" s="507">
        <v>17.3</v>
      </c>
      <c r="AB8556" s="527"/>
      <c r="AC8556" s="527"/>
      <c r="AD8556" s="507">
        <v>44</v>
      </c>
      <c r="AE8556" s="527"/>
      <c r="AF8556" s="507"/>
      <c r="AG8556" s="507"/>
    </row>
    <row r="8557" spans="1:78" ht="15" x14ac:dyDescent="0.25">
      <c r="D8557" s="702"/>
      <c r="H8557" s="507"/>
      <c r="I8557" s="507">
        <v>10</v>
      </c>
      <c r="J8557" s="507">
        <v>60</v>
      </c>
      <c r="K8557" s="507">
        <v>1</v>
      </c>
      <c r="L8557" s="532">
        <f t="shared" si="65"/>
        <v>600</v>
      </c>
      <c r="M8557" s="680">
        <v>38876</v>
      </c>
      <c r="N8557" s="507">
        <v>104</v>
      </c>
      <c r="O8557" s="543">
        <v>2.5646666666666665E-2</v>
      </c>
      <c r="P8557" s="508">
        <v>4.1915778528723684E-2</v>
      </c>
      <c r="Q8557" s="508">
        <v>9.1304912919157794E-2</v>
      </c>
      <c r="R8557" s="508">
        <v>0.10020795425006498</v>
      </c>
      <c r="S8557" s="508">
        <v>0.1093059526904081</v>
      </c>
      <c r="T8557" s="508">
        <v>0.13057577332986745</v>
      </c>
      <c r="U8557" s="508">
        <v>0.12840525084481413</v>
      </c>
      <c r="V8557" s="508">
        <v>0.39828437743696388</v>
      </c>
      <c r="W8557" s="818"/>
      <c r="X8557" s="815"/>
      <c r="Y8557" s="819"/>
      <c r="Z8557" s="507">
        <v>84</v>
      </c>
      <c r="AA8557" s="507">
        <v>3.5</v>
      </c>
      <c r="AB8557" s="527"/>
      <c r="AC8557" s="527"/>
      <c r="AD8557" s="507">
        <v>40</v>
      </c>
      <c r="AE8557" s="527"/>
      <c r="AF8557" s="507"/>
      <c r="AG8557" s="507"/>
    </row>
    <row r="8558" spans="1:78" ht="15" x14ac:dyDescent="0.25">
      <c r="D8558" s="702"/>
      <c r="H8558" s="507"/>
      <c r="I8558" s="507">
        <v>10</v>
      </c>
      <c r="J8558" s="507">
        <v>60</v>
      </c>
      <c r="K8558" s="539">
        <v>1</v>
      </c>
      <c r="L8558" s="532">
        <f t="shared" si="65"/>
        <v>600</v>
      </c>
      <c r="M8558" s="680">
        <v>38876</v>
      </c>
      <c r="N8558" s="507">
        <v>103</v>
      </c>
      <c r="O8558" s="543">
        <v>2.1035000000000002E-2</v>
      </c>
      <c r="P8558" s="508">
        <v>7.5588305205609704E-2</v>
      </c>
      <c r="Q8558" s="508">
        <v>0.20093494968702957</v>
      </c>
      <c r="R8558" s="508">
        <v>0.15898106330718642</v>
      </c>
      <c r="S8558" s="508">
        <v>0.11914269867680849</v>
      </c>
      <c r="T8558" s="508">
        <v>9.2742254971872273E-2</v>
      </c>
      <c r="U8558" s="508">
        <v>7.8607083432374644E-2</v>
      </c>
      <c r="V8558" s="508">
        <v>0.27400364471911892</v>
      </c>
      <c r="W8558" s="818"/>
      <c r="X8558" s="815"/>
      <c r="Y8558" s="819"/>
      <c r="Z8558" s="507">
        <v>68</v>
      </c>
      <c r="AA8558" s="507">
        <v>11.2</v>
      </c>
      <c r="AB8558" s="527"/>
      <c r="AC8558" s="527"/>
      <c r="AD8558" s="507">
        <v>40</v>
      </c>
      <c r="AE8558" s="527"/>
      <c r="AF8558" s="507"/>
      <c r="AG8558" s="507"/>
    </row>
    <row r="8559" spans="1:78" ht="15" x14ac:dyDescent="0.25">
      <c r="D8559" s="702"/>
      <c r="H8559" s="507"/>
      <c r="I8559" s="507">
        <v>10</v>
      </c>
      <c r="J8559" s="507">
        <v>60</v>
      </c>
      <c r="K8559" s="507">
        <v>1</v>
      </c>
      <c r="L8559" s="532">
        <f t="shared" si="65"/>
        <v>600</v>
      </c>
      <c r="M8559" s="680">
        <v>38876</v>
      </c>
      <c r="N8559" s="507">
        <v>102</v>
      </c>
      <c r="O8559" s="543">
        <v>3.9173333333333338E-2</v>
      </c>
      <c r="P8559" s="508">
        <v>6.0415248468345811E-2</v>
      </c>
      <c r="Q8559" s="508">
        <v>0.18686181075561606</v>
      </c>
      <c r="R8559" s="508">
        <v>0.19988087134104832</v>
      </c>
      <c r="S8559" s="508">
        <v>0.11840537780803267</v>
      </c>
      <c r="T8559" s="508">
        <v>0.10441201497617428</v>
      </c>
      <c r="U8559" s="508">
        <v>0.10141252552756974</v>
      </c>
      <c r="V8559" s="508">
        <v>0.22861215112321306</v>
      </c>
      <c r="W8559" s="818"/>
      <c r="X8559" s="815"/>
      <c r="Y8559" s="819"/>
      <c r="Z8559" s="507">
        <v>92</v>
      </c>
      <c r="AA8559" s="507">
        <v>12.1</v>
      </c>
      <c r="AB8559" s="527"/>
      <c r="AC8559" s="527"/>
      <c r="AD8559" s="507">
        <v>40</v>
      </c>
      <c r="AE8559" s="527"/>
      <c r="AF8559" s="507"/>
      <c r="AG8559" s="507"/>
    </row>
    <row r="8560" spans="1:78" ht="15" x14ac:dyDescent="0.25">
      <c r="D8560" s="702"/>
      <c r="H8560" s="507"/>
      <c r="I8560" s="507">
        <v>10</v>
      </c>
      <c r="J8560" s="507">
        <v>60</v>
      </c>
      <c r="K8560" s="539">
        <v>1</v>
      </c>
      <c r="L8560" s="532">
        <f t="shared" si="65"/>
        <v>600</v>
      </c>
      <c r="M8560" s="680">
        <v>38876</v>
      </c>
      <c r="N8560" s="507">
        <v>100</v>
      </c>
      <c r="O8560" s="543">
        <v>2.5436666666666666E-2</v>
      </c>
      <c r="P8560" s="508">
        <v>0.22519984274669114</v>
      </c>
      <c r="Q8560" s="508">
        <v>5.7528502162233E-2</v>
      </c>
      <c r="R8560" s="508">
        <v>9.5118595203774123E-2</v>
      </c>
      <c r="S8560" s="508">
        <v>0.12972087537675267</v>
      </c>
      <c r="T8560" s="508">
        <v>0.14820469139038131</v>
      </c>
      <c r="U8560" s="508">
        <v>0.11843139824400475</v>
      </c>
      <c r="V8560" s="508">
        <v>0.22579609487616301</v>
      </c>
      <c r="W8560" s="818"/>
      <c r="X8560" s="815"/>
      <c r="Y8560" s="819"/>
      <c r="Z8560" s="507">
        <v>116</v>
      </c>
      <c r="AA8560" s="507">
        <v>8.3000000000000007</v>
      </c>
      <c r="AB8560" s="527"/>
      <c r="AC8560" s="527"/>
      <c r="AD8560" s="507">
        <v>40</v>
      </c>
      <c r="AE8560" s="527"/>
      <c r="AF8560" s="507"/>
      <c r="AG8560" s="507"/>
    </row>
    <row r="8561" spans="4:33" ht="15" x14ac:dyDescent="0.25">
      <c r="D8561" s="702"/>
      <c r="H8561" s="507"/>
      <c r="I8561" s="507">
        <v>10</v>
      </c>
      <c r="J8561" s="507">
        <v>60</v>
      </c>
      <c r="K8561" s="507">
        <v>1</v>
      </c>
      <c r="L8561" s="532">
        <f t="shared" si="65"/>
        <v>600</v>
      </c>
      <c r="M8561" s="680">
        <v>38877</v>
      </c>
      <c r="N8561" s="507">
        <v>100</v>
      </c>
      <c r="O8561" s="543">
        <v>1.6632333333333332E-2</v>
      </c>
      <c r="P8561" s="508">
        <v>0.17748562037797852</v>
      </c>
      <c r="Q8561" s="508">
        <v>0.10998657233901843</v>
      </c>
      <c r="R8561" s="508">
        <v>0.15474878249193341</v>
      </c>
      <c r="S8561" s="508">
        <v>9.7711285247610108E-2</v>
      </c>
      <c r="T8561" s="508">
        <v>7.225885323766959E-2</v>
      </c>
      <c r="U8561" s="508">
        <v>7.6537667595246189E-2</v>
      </c>
      <c r="V8561" s="508">
        <v>0.31127121871054375</v>
      </c>
      <c r="W8561" s="818"/>
      <c r="X8561" s="815"/>
      <c r="Y8561" s="819"/>
      <c r="Z8561" s="507">
        <v>84</v>
      </c>
      <c r="AA8561" s="507">
        <v>10.5</v>
      </c>
      <c r="AB8561" s="527"/>
      <c r="AC8561" s="527"/>
      <c r="AD8561" s="507">
        <v>40</v>
      </c>
      <c r="AE8561" s="527"/>
      <c r="AF8561" s="507"/>
      <c r="AG8561" s="507"/>
    </row>
    <row r="8562" spans="4:33" ht="15" x14ac:dyDescent="0.25">
      <c r="D8562" s="702"/>
      <c r="H8562" s="507"/>
      <c r="I8562" s="507">
        <v>11</v>
      </c>
      <c r="J8562" s="507">
        <v>60</v>
      </c>
      <c r="K8562" s="539">
        <v>1</v>
      </c>
      <c r="L8562" s="532">
        <f t="shared" si="65"/>
        <v>660</v>
      </c>
      <c r="M8562" s="680">
        <v>38877</v>
      </c>
      <c r="N8562" s="507">
        <v>117</v>
      </c>
      <c r="O8562" s="543">
        <v>2.029848484848485E-2</v>
      </c>
      <c r="P8562" s="508">
        <v>0.21445099649175187</v>
      </c>
      <c r="Q8562" s="508">
        <v>0.14174068821377916</v>
      </c>
      <c r="R8562" s="508">
        <v>9.6984399492423684E-2</v>
      </c>
      <c r="S8562" s="508">
        <v>0.15570650145554976</v>
      </c>
      <c r="T8562" s="508">
        <v>0.11140553855340748</v>
      </c>
      <c r="U8562" s="508">
        <v>9.7088900500111985E-2</v>
      </c>
      <c r="V8562" s="508">
        <v>0.18262297529297603</v>
      </c>
      <c r="W8562" s="818"/>
      <c r="X8562" s="815"/>
      <c r="Y8562" s="819"/>
      <c r="Z8562" s="507">
        <v>91</v>
      </c>
      <c r="AA8562" s="507">
        <v>12.9</v>
      </c>
      <c r="AB8562" s="527"/>
      <c r="AC8562" s="527"/>
      <c r="AD8562" s="507">
        <v>44</v>
      </c>
      <c r="AE8562" s="527"/>
      <c r="AF8562" s="507"/>
      <c r="AG8562" s="507"/>
    </row>
    <row r="8563" spans="4:33" ht="15" x14ac:dyDescent="0.25">
      <c r="D8563" s="702"/>
      <c r="H8563" s="507"/>
      <c r="I8563" s="507">
        <v>11</v>
      </c>
      <c r="J8563" s="507">
        <v>60</v>
      </c>
      <c r="K8563" s="507">
        <v>1</v>
      </c>
      <c r="L8563" s="532">
        <f t="shared" si="65"/>
        <v>660</v>
      </c>
      <c r="M8563" s="680">
        <v>38877</v>
      </c>
      <c r="N8563" s="507">
        <v>115</v>
      </c>
      <c r="O8563" s="543">
        <v>2.0333333333333332E-2</v>
      </c>
      <c r="P8563" s="508">
        <v>0.16587183308494785</v>
      </c>
      <c r="Q8563" s="508">
        <v>0.14979880774962737</v>
      </c>
      <c r="R8563" s="508">
        <v>0.11173621460506714</v>
      </c>
      <c r="S8563" s="508">
        <v>0.13639344262295078</v>
      </c>
      <c r="T8563" s="508">
        <v>0.1018628912071535</v>
      </c>
      <c r="U8563" s="508">
        <v>7.4076005961251884E-2</v>
      </c>
      <c r="V8563" s="508">
        <v>0.26026080476900149</v>
      </c>
      <c r="W8563" s="818"/>
      <c r="X8563" s="815"/>
      <c r="Y8563" s="819"/>
      <c r="Z8563" s="507">
        <v>112</v>
      </c>
      <c r="AA8563" s="507">
        <v>10.7</v>
      </c>
      <c r="AB8563" s="527"/>
      <c r="AC8563" s="527"/>
      <c r="AD8563" s="507">
        <v>44</v>
      </c>
      <c r="AE8563" s="527"/>
      <c r="AF8563" s="507"/>
      <c r="AG8563" s="507"/>
    </row>
    <row r="8564" spans="4:33" ht="15" x14ac:dyDescent="0.25">
      <c r="D8564" s="702"/>
      <c r="H8564" s="507"/>
      <c r="I8564" s="507">
        <v>11</v>
      </c>
      <c r="J8564" s="507">
        <v>60</v>
      </c>
      <c r="K8564" s="539">
        <v>1</v>
      </c>
      <c r="L8564" s="532">
        <f t="shared" si="65"/>
        <v>660</v>
      </c>
      <c r="M8564" s="680">
        <v>38885</v>
      </c>
      <c r="N8564" s="507">
        <v>113</v>
      </c>
      <c r="O8564" s="543">
        <v>4.1983333333333331E-2</v>
      </c>
      <c r="P8564" s="508">
        <v>0.14096502941282615</v>
      </c>
      <c r="Q8564" s="508">
        <v>0.12255945721606698</v>
      </c>
      <c r="R8564" s="508">
        <v>7.8241726514850771E-2</v>
      </c>
      <c r="S8564" s="508">
        <v>9.5492439279656421E-2</v>
      </c>
      <c r="T8564" s="508">
        <v>8.7011440326247788E-2</v>
      </c>
      <c r="U8564" s="508">
        <v>9.7513443285575083E-2</v>
      </c>
      <c r="V8564" s="508">
        <v>0.37821646396477676</v>
      </c>
      <c r="W8564" s="818"/>
      <c r="X8564" s="815"/>
      <c r="Y8564" s="819"/>
      <c r="Z8564" s="507">
        <v>110</v>
      </c>
      <c r="AA8564" s="507">
        <v>4.9000000000000004</v>
      </c>
      <c r="AB8564" s="527"/>
      <c r="AC8564" s="527"/>
      <c r="AD8564" s="507">
        <v>44</v>
      </c>
      <c r="AE8564" s="527"/>
      <c r="AF8564" s="507"/>
      <c r="AG8564" s="507"/>
    </row>
    <row r="8565" spans="4:33" ht="15" x14ac:dyDescent="0.25">
      <c r="D8565" s="702"/>
      <c r="H8565" s="507"/>
      <c r="I8565" s="507">
        <v>10</v>
      </c>
      <c r="J8565" s="507">
        <v>60</v>
      </c>
      <c r="K8565" s="507">
        <v>1</v>
      </c>
      <c r="L8565" s="532">
        <f t="shared" si="65"/>
        <v>600</v>
      </c>
      <c r="M8565" s="680">
        <v>38885</v>
      </c>
      <c r="N8565" s="507">
        <v>51</v>
      </c>
      <c r="O8565" s="543">
        <v>3.6809999999999996E-2</v>
      </c>
      <c r="P8565" s="508">
        <v>0</v>
      </c>
      <c r="Q8565" s="508">
        <v>3.3369555374445352E-2</v>
      </c>
      <c r="R8565" s="508">
        <v>4.2198677895499415E-2</v>
      </c>
      <c r="S8565" s="508">
        <v>0.13211989495608079</v>
      </c>
      <c r="T8565" s="508">
        <v>0.2076428506746355</v>
      </c>
      <c r="U8565" s="508">
        <v>0.2016526306257358</v>
      </c>
      <c r="V8565" s="508">
        <v>0.38301639047360314</v>
      </c>
      <c r="W8565" s="818"/>
      <c r="X8565" s="815"/>
      <c r="Y8565" s="819"/>
      <c r="Z8565" s="507">
        <v>54</v>
      </c>
      <c r="AA8565" s="507">
        <v>3</v>
      </c>
      <c r="AB8565" s="527"/>
      <c r="AC8565" s="527"/>
      <c r="AD8565" s="507">
        <v>40</v>
      </c>
      <c r="AE8565" s="527"/>
      <c r="AF8565" s="507"/>
      <c r="AG8565" s="507"/>
    </row>
    <row r="8566" spans="4:33" ht="15" x14ac:dyDescent="0.25">
      <c r="D8566" s="702"/>
      <c r="H8566" s="507"/>
      <c r="I8566" s="507">
        <v>10</v>
      </c>
      <c r="J8566" s="507">
        <v>60</v>
      </c>
      <c r="K8566" s="539">
        <v>1</v>
      </c>
      <c r="L8566" s="532">
        <f t="shared" si="65"/>
        <v>600</v>
      </c>
      <c r="M8566" s="680">
        <v>38885</v>
      </c>
      <c r="N8566" s="507">
        <v>50</v>
      </c>
      <c r="O8566" s="543">
        <v>2.5115000000000002E-2</v>
      </c>
      <c r="P8566" s="508">
        <v>0</v>
      </c>
      <c r="Q8566" s="508">
        <v>6.2114274338044992E-2</v>
      </c>
      <c r="R8566" s="508">
        <v>0.12502488552657776</v>
      </c>
      <c r="S8566" s="508">
        <v>0.18726524653261661</v>
      </c>
      <c r="T8566" s="508">
        <v>0.14888844647952754</v>
      </c>
      <c r="U8566" s="508">
        <v>0.16155020240228279</v>
      </c>
      <c r="V8566" s="508">
        <v>0.31515694472095029</v>
      </c>
      <c r="W8566" s="818"/>
      <c r="X8566" s="815"/>
      <c r="Y8566" s="819"/>
      <c r="Z8566" s="507">
        <v>52</v>
      </c>
      <c r="AA8566" s="507">
        <v>4.5</v>
      </c>
      <c r="AB8566" s="527"/>
      <c r="AC8566" s="527"/>
      <c r="AD8566" s="507">
        <v>40</v>
      </c>
      <c r="AE8566" s="527"/>
      <c r="AF8566" s="507"/>
      <c r="AG8566" s="507"/>
    </row>
    <row r="8567" spans="4:33" ht="15" x14ac:dyDescent="0.25">
      <c r="D8567" s="702"/>
      <c r="H8567" s="507"/>
      <c r="I8567" s="507">
        <v>10</v>
      </c>
      <c r="J8567" s="507">
        <v>60</v>
      </c>
      <c r="K8567" s="507">
        <v>1</v>
      </c>
      <c r="L8567" s="532">
        <f t="shared" si="65"/>
        <v>600</v>
      </c>
      <c r="M8567" s="680">
        <v>38885</v>
      </c>
      <c r="N8567" s="507">
        <v>49</v>
      </c>
      <c r="O8567" s="543">
        <v>3.7988333333333332E-2</v>
      </c>
      <c r="P8567" s="508">
        <v>3.8652217786162416E-2</v>
      </c>
      <c r="Q8567" s="508">
        <v>1.0836660378186284E-2</v>
      </c>
      <c r="R8567" s="508">
        <v>0.10691879085684201</v>
      </c>
      <c r="S8567" s="508">
        <v>0.22818409160707234</v>
      </c>
      <c r="T8567" s="508">
        <v>0.1708857982713991</v>
      </c>
      <c r="U8567" s="508">
        <v>0.44310533935857499</v>
      </c>
      <c r="V8567" s="508">
        <v>1.4171017417628218E-3</v>
      </c>
      <c r="W8567" s="818"/>
      <c r="X8567" s="815"/>
      <c r="Y8567" s="819"/>
      <c r="Z8567" s="507">
        <v>103</v>
      </c>
      <c r="AA8567" s="507">
        <v>5.2</v>
      </c>
      <c r="AB8567" s="527"/>
      <c r="AC8567" s="527"/>
      <c r="AD8567" s="507">
        <v>30</v>
      </c>
      <c r="AE8567" s="527"/>
      <c r="AF8567" s="507"/>
      <c r="AG8567" s="507"/>
    </row>
    <row r="8568" spans="4:33" ht="15" x14ac:dyDescent="0.25">
      <c r="D8568" s="702"/>
      <c r="H8568" s="507"/>
      <c r="I8568" s="507">
        <v>10</v>
      </c>
      <c r="J8568" s="507">
        <v>60</v>
      </c>
      <c r="K8568" s="539">
        <v>1</v>
      </c>
      <c r="L8568" s="532">
        <f t="shared" si="65"/>
        <v>600</v>
      </c>
      <c r="M8568" s="680">
        <v>38885</v>
      </c>
      <c r="N8568" s="507">
        <v>49</v>
      </c>
      <c r="O8568" s="543">
        <v>3.8481666666666664E-2</v>
      </c>
      <c r="P8568" s="508">
        <v>0</v>
      </c>
      <c r="Q8568" s="508">
        <v>9.0822469574256132E-2</v>
      </c>
      <c r="R8568" s="508">
        <v>0.14231885313352677</v>
      </c>
      <c r="S8568" s="508">
        <v>0.21906535579713282</v>
      </c>
      <c r="T8568" s="508">
        <v>0.20826800640997878</v>
      </c>
      <c r="U8568" s="508">
        <v>0.15490926415176057</v>
      </c>
      <c r="V8568" s="508">
        <v>0.18461605093334491</v>
      </c>
      <c r="W8568" s="818"/>
      <c r="X8568" s="815"/>
      <c r="Y8568" s="819"/>
      <c r="Z8568" s="507">
        <v>56</v>
      </c>
      <c r="AA8568" s="507">
        <v>6.8</v>
      </c>
      <c r="AB8568" s="527"/>
      <c r="AC8568" s="527"/>
      <c r="AD8568" s="507">
        <v>30</v>
      </c>
      <c r="AE8568" s="527"/>
      <c r="AF8568" s="507"/>
      <c r="AG8568" s="507"/>
    </row>
    <row r="8569" spans="4:33" ht="15" x14ac:dyDescent="0.25">
      <c r="D8569" s="702"/>
      <c r="H8569" s="507"/>
      <c r="I8569" s="507">
        <v>10</v>
      </c>
      <c r="J8569" s="507">
        <v>60</v>
      </c>
      <c r="K8569" s="507">
        <v>1</v>
      </c>
      <c r="L8569" s="532">
        <f t="shared" si="65"/>
        <v>600</v>
      </c>
      <c r="M8569" s="680">
        <v>38885</v>
      </c>
      <c r="N8569" s="507">
        <v>49</v>
      </c>
      <c r="O8569" s="543">
        <v>6.9143333333333334E-2</v>
      </c>
      <c r="P8569" s="508">
        <v>0</v>
      </c>
      <c r="Q8569" s="508">
        <v>2.210384226003953E-2</v>
      </c>
      <c r="R8569" s="508">
        <v>0.10058815021935111</v>
      </c>
      <c r="S8569" s="508">
        <v>0.25813527455045077</v>
      </c>
      <c r="T8569" s="508">
        <v>0.23576628260135951</v>
      </c>
      <c r="U8569" s="508">
        <v>0.17653425251892207</v>
      </c>
      <c r="V8569" s="508">
        <v>0.20687219784987704</v>
      </c>
      <c r="W8569" s="818"/>
      <c r="X8569" s="815"/>
      <c r="Y8569" s="819"/>
      <c r="Z8569" s="507">
        <v>54</v>
      </c>
      <c r="AA8569" s="507">
        <v>5.8</v>
      </c>
      <c r="AB8569" s="527"/>
      <c r="AC8569" s="527"/>
      <c r="AD8569" s="507">
        <v>30</v>
      </c>
      <c r="AE8569" s="527"/>
      <c r="AF8569" s="507"/>
      <c r="AG8569" s="507"/>
    </row>
    <row r="8570" spans="4:33" ht="15" x14ac:dyDescent="0.25">
      <c r="D8570" s="702"/>
      <c r="H8570" s="507"/>
      <c r="I8570" s="507">
        <v>11</v>
      </c>
      <c r="J8570" s="507">
        <v>60</v>
      </c>
      <c r="K8570" s="539">
        <v>1</v>
      </c>
      <c r="L8570" s="532">
        <f t="shared" si="65"/>
        <v>660</v>
      </c>
      <c r="M8570" s="680">
        <v>38886</v>
      </c>
      <c r="N8570" s="507">
        <v>55</v>
      </c>
      <c r="O8570" s="543">
        <v>3.9206060606060605E-2</v>
      </c>
      <c r="P8570" s="508">
        <v>0</v>
      </c>
      <c r="Q8570" s="508">
        <v>0.10909723295718041</v>
      </c>
      <c r="R8570" s="508">
        <v>0.19284278868449528</v>
      </c>
      <c r="S8570" s="508">
        <v>0.27956407481836454</v>
      </c>
      <c r="T8570" s="508">
        <v>0.15628381511825631</v>
      </c>
      <c r="U8570" s="508">
        <v>0.1014646776936157</v>
      </c>
      <c r="V8570" s="508">
        <v>0.16074741072808779</v>
      </c>
      <c r="W8570" s="818"/>
      <c r="X8570" s="815"/>
      <c r="Y8570" s="819"/>
      <c r="Z8570" s="507">
        <v>85</v>
      </c>
      <c r="AA8570" s="507">
        <v>9.6</v>
      </c>
      <c r="AB8570" s="527"/>
      <c r="AC8570" s="527"/>
      <c r="AD8570" s="507">
        <v>27.5</v>
      </c>
      <c r="AE8570" s="527"/>
      <c r="AF8570" s="507"/>
      <c r="AG8570" s="507"/>
    </row>
    <row r="8571" spans="4:33" ht="15" x14ac:dyDescent="0.25">
      <c r="D8571" s="702"/>
      <c r="H8571" s="507"/>
      <c r="I8571" s="507">
        <v>10</v>
      </c>
      <c r="J8571" s="507">
        <v>60</v>
      </c>
      <c r="K8571" s="507">
        <v>1</v>
      </c>
      <c r="L8571" s="532">
        <f t="shared" si="65"/>
        <v>600</v>
      </c>
      <c r="M8571" s="680">
        <v>38886</v>
      </c>
      <c r="N8571" s="507">
        <v>54</v>
      </c>
      <c r="O8571" s="543">
        <v>4.5536666666666663E-2</v>
      </c>
      <c r="P8571" s="508">
        <v>1.6726447551423763E-2</v>
      </c>
      <c r="Q8571" s="508">
        <v>4.7763706902862163E-2</v>
      </c>
      <c r="R8571" s="508">
        <v>0.17008271722421492</v>
      </c>
      <c r="S8571" s="508">
        <v>0.22040846204523828</v>
      </c>
      <c r="T8571" s="508">
        <v>0.17293755947588024</v>
      </c>
      <c r="U8571" s="508">
        <v>0.13019178683844521</v>
      </c>
      <c r="V8571" s="508">
        <v>0.24188931996193541</v>
      </c>
      <c r="W8571" s="818"/>
      <c r="X8571" s="815"/>
      <c r="Y8571" s="819"/>
      <c r="Z8571" s="507">
        <v>74</v>
      </c>
      <c r="AA8571" s="507">
        <v>6.8</v>
      </c>
      <c r="AB8571" s="527"/>
      <c r="AC8571" s="527"/>
      <c r="AD8571" s="507">
        <v>25</v>
      </c>
      <c r="AE8571" s="527"/>
      <c r="AF8571" s="507"/>
      <c r="AG8571" s="507"/>
    </row>
    <row r="8572" spans="4:33" ht="15" x14ac:dyDescent="0.25">
      <c r="D8572" s="702"/>
      <c r="H8572" s="507"/>
      <c r="I8572" s="507">
        <v>10</v>
      </c>
      <c r="J8572" s="507">
        <v>60</v>
      </c>
      <c r="K8572" s="539">
        <v>1</v>
      </c>
      <c r="L8572" s="532">
        <f t="shared" si="65"/>
        <v>600</v>
      </c>
      <c r="M8572" s="680">
        <v>38886</v>
      </c>
      <c r="N8572" s="507">
        <v>53</v>
      </c>
      <c r="O8572" s="543">
        <v>5.0349999999999999E-2</v>
      </c>
      <c r="P8572" s="508">
        <v>9.3809996689837805E-2</v>
      </c>
      <c r="Q8572" s="508">
        <v>9.8411122144985097E-2</v>
      </c>
      <c r="R8572" s="508">
        <v>0.10810989738497187</v>
      </c>
      <c r="S8572" s="508">
        <v>0.16914928831512743</v>
      </c>
      <c r="T8572" s="508">
        <v>0.16285998013902681</v>
      </c>
      <c r="U8572" s="508">
        <v>0.14179741807348559</v>
      </c>
      <c r="V8572" s="508">
        <v>0.22586229725256537</v>
      </c>
      <c r="W8572" s="818"/>
      <c r="X8572" s="815"/>
      <c r="Y8572" s="819"/>
      <c r="Z8572" s="507">
        <v>94</v>
      </c>
      <c r="AA8572" s="507">
        <v>7</v>
      </c>
      <c r="AB8572" s="527"/>
      <c r="AC8572" s="527"/>
      <c r="AD8572" s="507">
        <v>25</v>
      </c>
      <c r="AE8572" s="527"/>
      <c r="AF8572" s="507"/>
      <c r="AG8572" s="507"/>
    </row>
    <row r="8573" spans="4:33" ht="15" x14ac:dyDescent="0.25">
      <c r="D8573" s="702"/>
      <c r="H8573" s="507"/>
      <c r="I8573" s="507">
        <v>10</v>
      </c>
      <c r="J8573" s="507">
        <v>60</v>
      </c>
      <c r="K8573" s="507">
        <v>1</v>
      </c>
      <c r="L8573" s="532">
        <f t="shared" si="65"/>
        <v>600</v>
      </c>
      <c r="M8573" s="680">
        <v>38886</v>
      </c>
      <c r="N8573" s="507">
        <v>53</v>
      </c>
      <c r="O8573" s="543">
        <v>5.2066666666666664E-2</v>
      </c>
      <c r="P8573" s="508">
        <v>4.2925736235595389E-2</v>
      </c>
      <c r="Q8573" s="508">
        <v>4.833546734955186E-2</v>
      </c>
      <c r="R8573" s="508">
        <v>0.1520166453265045</v>
      </c>
      <c r="S8573" s="508">
        <v>0.19647887323943664</v>
      </c>
      <c r="T8573" s="508">
        <v>0.16667733674775931</v>
      </c>
      <c r="U8573" s="508">
        <v>0.12338668373879644</v>
      </c>
      <c r="V8573" s="508">
        <v>0.27017925736235593</v>
      </c>
      <c r="W8573" s="818"/>
      <c r="X8573" s="815"/>
      <c r="Y8573" s="819"/>
      <c r="Z8573" s="507">
        <v>103</v>
      </c>
      <c r="AA8573" s="507">
        <v>6.3</v>
      </c>
      <c r="AB8573" s="527"/>
      <c r="AC8573" s="527"/>
      <c r="AD8573" s="507">
        <v>25</v>
      </c>
      <c r="AE8573" s="527"/>
      <c r="AF8573" s="507"/>
      <c r="AG8573" s="507"/>
    </row>
    <row r="8574" spans="4:33" ht="15" x14ac:dyDescent="0.25">
      <c r="D8574" s="702"/>
      <c r="H8574" s="507"/>
      <c r="I8574" s="507">
        <v>10</v>
      </c>
      <c r="J8574" s="507">
        <v>60</v>
      </c>
      <c r="K8574" s="539">
        <v>1</v>
      </c>
      <c r="L8574" s="532">
        <f t="shared" si="65"/>
        <v>600</v>
      </c>
      <c r="M8574" s="680">
        <v>38886</v>
      </c>
      <c r="N8574" s="507">
        <v>52</v>
      </c>
      <c r="O8574" s="543">
        <v>5.433166666666666E-2</v>
      </c>
      <c r="P8574" s="508">
        <v>4.9111935948955486E-2</v>
      </c>
      <c r="Q8574" s="508">
        <v>1.9356421976134238E-2</v>
      </c>
      <c r="R8574" s="508">
        <v>0.1034387557900549</v>
      </c>
      <c r="S8574" s="508">
        <v>0.17491334090002758</v>
      </c>
      <c r="T8574" s="508">
        <v>0.16730574557501765</v>
      </c>
      <c r="U8574" s="508">
        <v>0.1339304886652965</v>
      </c>
      <c r="V8574" s="508">
        <v>0.35194331114451366</v>
      </c>
      <c r="W8574" s="818"/>
      <c r="X8574" s="815"/>
      <c r="Y8574" s="819"/>
      <c r="Z8574" s="507">
        <v>93</v>
      </c>
      <c r="AA8574" s="507">
        <v>4.3</v>
      </c>
      <c r="AB8574" s="527"/>
      <c r="AC8574" s="527"/>
      <c r="AD8574" s="507">
        <v>25</v>
      </c>
      <c r="AE8574" s="527"/>
      <c r="AF8574" s="507"/>
      <c r="AG8574" s="507"/>
    </row>
    <row r="8575" spans="4:33" ht="15" x14ac:dyDescent="0.25">
      <c r="D8575" s="702"/>
      <c r="H8575" s="507"/>
      <c r="I8575" s="507">
        <v>10</v>
      </c>
      <c r="J8575" s="507">
        <v>60</v>
      </c>
      <c r="K8575" s="507">
        <v>1</v>
      </c>
      <c r="L8575" s="532">
        <f t="shared" si="65"/>
        <v>600</v>
      </c>
      <c r="M8575" s="680">
        <v>38886</v>
      </c>
      <c r="N8575" s="507">
        <v>51</v>
      </c>
      <c r="O8575" s="543">
        <v>7.2446666666666673E-2</v>
      </c>
      <c r="P8575" s="508">
        <v>3.4347105916996412E-2</v>
      </c>
      <c r="Q8575" s="508">
        <v>4.8633477500690164E-2</v>
      </c>
      <c r="R8575" s="508">
        <v>9.5610564093125988E-2</v>
      </c>
      <c r="S8575" s="508">
        <v>0.18986380785865464</v>
      </c>
      <c r="T8575" s="508">
        <v>0.16195822214042513</v>
      </c>
      <c r="U8575" s="508">
        <v>0.14571638906782</v>
      </c>
      <c r="V8575" s="508">
        <v>0.32387043342228766</v>
      </c>
      <c r="W8575" s="818"/>
      <c r="X8575" s="815"/>
      <c r="Y8575" s="819"/>
      <c r="Z8575" s="507">
        <v>94</v>
      </c>
      <c r="AA8575" s="507">
        <v>4.5999999999999996</v>
      </c>
      <c r="AB8575" s="527"/>
      <c r="AC8575" s="527"/>
      <c r="AD8575" s="507">
        <v>25</v>
      </c>
      <c r="AE8575" s="527"/>
      <c r="AF8575" s="507"/>
      <c r="AG8575" s="507"/>
    </row>
    <row r="8576" spans="4:33" ht="15" x14ac:dyDescent="0.25">
      <c r="D8576" s="702"/>
      <c r="H8576" s="507"/>
      <c r="I8576" s="507">
        <v>10</v>
      </c>
      <c r="J8576" s="507">
        <v>60</v>
      </c>
      <c r="K8576" s="539">
        <v>1</v>
      </c>
      <c r="L8576" s="532">
        <f t="shared" si="65"/>
        <v>600</v>
      </c>
      <c r="M8576" s="680">
        <v>38888</v>
      </c>
      <c r="N8576" s="507">
        <v>58</v>
      </c>
      <c r="O8576" s="543">
        <v>4.1505E-2</v>
      </c>
      <c r="P8576" s="508">
        <v>5.123880656948962E-2</v>
      </c>
      <c r="Q8576" s="508">
        <v>4.4854033650564187E-2</v>
      </c>
      <c r="R8576" s="508">
        <v>0.12110990643697547</v>
      </c>
      <c r="S8576" s="508">
        <v>0.18527888206240212</v>
      </c>
      <c r="T8576" s="508">
        <v>0.16014134843191583</v>
      </c>
      <c r="U8576" s="508">
        <v>0.12467975745894068</v>
      </c>
      <c r="V8576" s="508">
        <v>0.3126972653897121</v>
      </c>
      <c r="W8576" s="818"/>
      <c r="X8576" s="815"/>
      <c r="Y8576" s="819"/>
      <c r="Z8576" s="507">
        <v>101</v>
      </c>
      <c r="AA8576" s="507">
        <v>5.5</v>
      </c>
      <c r="AB8576" s="527"/>
      <c r="AC8576" s="527"/>
      <c r="AD8576" s="507">
        <v>25</v>
      </c>
      <c r="AE8576" s="527"/>
      <c r="AF8576" s="507"/>
      <c r="AG8576" s="507"/>
    </row>
    <row r="8577" spans="1:78" ht="15" x14ac:dyDescent="0.25">
      <c r="D8577" s="702"/>
      <c r="H8577" s="507"/>
      <c r="I8577" s="507">
        <v>10</v>
      </c>
      <c r="J8577" s="507">
        <v>60</v>
      </c>
      <c r="K8577" s="507">
        <v>1</v>
      </c>
      <c r="L8577" s="532">
        <f t="shared" si="65"/>
        <v>600</v>
      </c>
      <c r="M8577" s="680">
        <v>38888</v>
      </c>
      <c r="N8577" s="507">
        <v>57</v>
      </c>
      <c r="O8577" s="543">
        <v>6.4836666666666667E-2</v>
      </c>
      <c r="P8577" s="508">
        <v>6.2104776104056347E-2</v>
      </c>
      <c r="Q8577" s="508">
        <v>0.10246259832399363</v>
      </c>
      <c r="R8577" s="508">
        <v>0.13554573029664285</v>
      </c>
      <c r="S8577" s="508">
        <v>0.19230373759703873</v>
      </c>
      <c r="T8577" s="508">
        <v>0.12724281527942008</v>
      </c>
      <c r="U8577" s="508">
        <v>0.11747467996504035</v>
      </c>
      <c r="V8577" s="508">
        <v>0.26286566243380804</v>
      </c>
      <c r="W8577" s="818"/>
      <c r="X8577" s="815"/>
      <c r="Y8577" s="819"/>
      <c r="Z8577" s="507">
        <v>60</v>
      </c>
      <c r="AA8577" s="507">
        <v>7.7</v>
      </c>
      <c r="AB8577" s="527"/>
      <c r="AC8577" s="527"/>
      <c r="AD8577" s="507">
        <v>25</v>
      </c>
      <c r="AE8577" s="527"/>
      <c r="AF8577" s="507"/>
      <c r="AG8577" s="507"/>
    </row>
    <row r="8578" spans="1:78" ht="15" x14ac:dyDescent="0.25">
      <c r="D8578" s="702"/>
      <c r="H8578" s="507"/>
      <c r="I8578" s="507">
        <v>10</v>
      </c>
      <c r="J8578" s="507">
        <v>60</v>
      </c>
      <c r="K8578" s="539">
        <v>1</v>
      </c>
      <c r="L8578" s="532">
        <f t="shared" si="65"/>
        <v>600</v>
      </c>
      <c r="M8578" s="680">
        <v>38888</v>
      </c>
      <c r="N8578" s="507">
        <v>55</v>
      </c>
      <c r="O8578" s="543">
        <v>5.8808333333333331E-2</v>
      </c>
      <c r="P8578" s="508">
        <v>0</v>
      </c>
      <c r="Q8578" s="508">
        <v>2.1170469037834774E-2</v>
      </c>
      <c r="R8578" s="508">
        <v>8.1621085447073832E-2</v>
      </c>
      <c r="S8578" s="508">
        <v>0.20221057106419157</v>
      </c>
      <c r="T8578" s="508">
        <v>0.18750177129091683</v>
      </c>
      <c r="U8578" s="508">
        <v>0.17177270794955363</v>
      </c>
      <c r="V8578" s="508">
        <v>0.33572339521042938</v>
      </c>
      <c r="W8578" s="818"/>
      <c r="X8578" s="815"/>
      <c r="Y8578" s="819"/>
      <c r="Z8578" s="507">
        <v>60</v>
      </c>
      <c r="AA8578" s="507">
        <v>3.9</v>
      </c>
      <c r="AB8578" s="527"/>
      <c r="AC8578" s="527"/>
      <c r="AD8578" s="507">
        <v>25</v>
      </c>
      <c r="AE8578" s="527"/>
      <c r="AF8578" s="507"/>
      <c r="AG8578" s="507"/>
    </row>
    <row r="8579" spans="1:78" ht="15" x14ac:dyDescent="0.25">
      <c r="D8579" s="702"/>
      <c r="H8579" s="507"/>
      <c r="I8579" s="507">
        <v>10</v>
      </c>
      <c r="J8579" s="507">
        <v>60</v>
      </c>
      <c r="K8579" s="507">
        <v>1</v>
      </c>
      <c r="L8579" s="532">
        <f t="shared" si="65"/>
        <v>600</v>
      </c>
      <c r="M8579" s="680">
        <v>38888</v>
      </c>
      <c r="N8579" s="507">
        <v>55</v>
      </c>
      <c r="O8579" s="543">
        <v>2.5830499999999999E-2</v>
      </c>
      <c r="P8579" s="508">
        <v>0</v>
      </c>
      <c r="Q8579" s="508">
        <v>4.2862765593645713E-2</v>
      </c>
      <c r="R8579" s="508">
        <v>0.12756237780917906</v>
      </c>
      <c r="S8579" s="508">
        <v>0.22059193588974271</v>
      </c>
      <c r="T8579" s="508">
        <v>0.16134027603027434</v>
      </c>
      <c r="U8579" s="508">
        <v>0.14484814463521806</v>
      </c>
      <c r="V8579" s="508">
        <v>0.30279450004194008</v>
      </c>
      <c r="W8579" s="818"/>
      <c r="X8579" s="815"/>
      <c r="Y8579" s="819"/>
      <c r="Z8579" s="507">
        <v>45</v>
      </c>
      <c r="AA8579" s="507">
        <v>5.2</v>
      </c>
      <c r="AB8579" s="527"/>
      <c r="AC8579" s="527"/>
      <c r="AD8579" s="507">
        <v>25</v>
      </c>
      <c r="AE8579" s="527"/>
      <c r="AF8579" s="507"/>
      <c r="AG8579" s="507"/>
    </row>
    <row r="8580" spans="1:78" ht="15" x14ac:dyDescent="0.25">
      <c r="D8580" s="702"/>
      <c r="H8580" s="507"/>
      <c r="I8580" s="507">
        <v>10</v>
      </c>
      <c r="J8580" s="507">
        <v>60</v>
      </c>
      <c r="K8580" s="539">
        <v>1</v>
      </c>
      <c r="L8580" s="532">
        <f t="shared" si="65"/>
        <v>600</v>
      </c>
      <c r="M8580" s="680">
        <v>38889</v>
      </c>
      <c r="N8580" s="507">
        <v>57</v>
      </c>
      <c r="O8580" s="543">
        <v>5.024066666666667E-2</v>
      </c>
      <c r="P8580" s="508">
        <v>0</v>
      </c>
      <c r="Q8580" s="508">
        <v>1.8159260094744015E-2</v>
      </c>
      <c r="R8580" s="508">
        <v>7.4972465864306476E-2</v>
      </c>
      <c r="S8580" s="508">
        <v>0.16046098114409307</v>
      </c>
      <c r="T8580" s="508">
        <v>0.17946948686986636</v>
      </c>
      <c r="U8580" s="508">
        <v>0.21460039012221174</v>
      </c>
      <c r="V8580" s="508">
        <v>0.35233741590477829</v>
      </c>
      <c r="W8580" s="818"/>
      <c r="X8580" s="815"/>
      <c r="Y8580" s="819"/>
      <c r="Z8580" s="507">
        <v>54</v>
      </c>
      <c r="AA8580" s="507">
        <v>3.2</v>
      </c>
      <c r="AB8580" s="527"/>
      <c r="AC8580" s="527"/>
      <c r="AD8580" s="507">
        <v>25</v>
      </c>
      <c r="AE8580" s="527"/>
      <c r="AF8580" s="507"/>
      <c r="AG8580" s="507"/>
    </row>
    <row r="8581" spans="1:78" ht="15" x14ac:dyDescent="0.25">
      <c r="D8581" s="702"/>
      <c r="H8581" s="507"/>
      <c r="I8581" s="507">
        <v>10</v>
      </c>
      <c r="J8581" s="507">
        <v>60</v>
      </c>
      <c r="K8581" s="507">
        <v>1</v>
      </c>
      <c r="L8581" s="532">
        <f t="shared" si="65"/>
        <v>600</v>
      </c>
      <c r="M8581" s="680">
        <v>38889</v>
      </c>
      <c r="N8581" s="507">
        <v>56</v>
      </c>
      <c r="O8581" s="543">
        <v>5.0738333333333337E-2</v>
      </c>
      <c r="P8581" s="508">
        <v>3.5574680550537072E-2</v>
      </c>
      <c r="Q8581" s="508">
        <v>9.6836711230824823E-2</v>
      </c>
      <c r="R8581" s="508">
        <v>6.4514009788785603E-2</v>
      </c>
      <c r="S8581" s="508">
        <v>0.1482442597641494</v>
      </c>
      <c r="T8581" s="508">
        <v>0.15149623887264724</v>
      </c>
      <c r="U8581" s="508">
        <v>0.1780376441218014</v>
      </c>
      <c r="V8581" s="508">
        <v>0.32529645567125448</v>
      </c>
      <c r="W8581" s="818"/>
      <c r="X8581" s="815"/>
      <c r="Y8581" s="819"/>
      <c r="Z8581" s="507">
        <v>87</v>
      </c>
      <c r="AA8581" s="507">
        <v>3.9</v>
      </c>
      <c r="AB8581" s="527"/>
      <c r="AC8581" s="527"/>
      <c r="AD8581" s="507">
        <v>25</v>
      </c>
      <c r="AE8581" s="527"/>
      <c r="AF8581" s="507"/>
      <c r="AG8581" s="507"/>
    </row>
    <row r="8582" spans="1:78" ht="15" x14ac:dyDescent="0.25">
      <c r="D8582" s="702"/>
      <c r="H8582" s="507"/>
      <c r="I8582" s="507">
        <v>10</v>
      </c>
      <c r="J8582" s="507">
        <v>60</v>
      </c>
      <c r="K8582" s="539">
        <v>1</v>
      </c>
      <c r="L8582" s="532">
        <f t="shared" si="65"/>
        <v>600</v>
      </c>
      <c r="M8582" s="680">
        <v>38889</v>
      </c>
      <c r="N8582" s="507">
        <v>51</v>
      </c>
      <c r="O8582" s="543">
        <v>4.3500000000000004E-2</v>
      </c>
      <c r="P8582" s="508">
        <v>0</v>
      </c>
      <c r="Q8582" s="508">
        <v>7.429118773946361E-2</v>
      </c>
      <c r="R8582" s="508">
        <v>0.13459770114942529</v>
      </c>
      <c r="S8582" s="508">
        <v>0.20842911877394638</v>
      </c>
      <c r="T8582" s="508">
        <v>0.21134099616858237</v>
      </c>
      <c r="U8582" s="508">
        <v>0.1339080459770115</v>
      </c>
      <c r="V8582" s="508">
        <v>0.23743295019157087</v>
      </c>
      <c r="W8582" s="818"/>
      <c r="X8582" s="815"/>
      <c r="Y8582" s="819"/>
      <c r="Z8582" s="507">
        <v>70</v>
      </c>
      <c r="AA8582" s="507">
        <v>6.2</v>
      </c>
      <c r="AB8582" s="527"/>
      <c r="AC8582" s="527"/>
      <c r="AD8582" s="507">
        <v>25</v>
      </c>
      <c r="AE8582" s="527"/>
      <c r="AF8582" s="507"/>
      <c r="AG8582" s="507"/>
    </row>
    <row r="8583" spans="1:78" ht="15" x14ac:dyDescent="0.25">
      <c r="D8583" s="702"/>
      <c r="H8583" s="507"/>
      <c r="I8583" s="507">
        <v>10</v>
      </c>
      <c r="J8583" s="507">
        <v>60</v>
      </c>
      <c r="K8583" s="507">
        <v>1</v>
      </c>
      <c r="L8583" s="532">
        <f t="shared" si="65"/>
        <v>600</v>
      </c>
      <c r="M8583" s="680">
        <v>38889</v>
      </c>
      <c r="N8583" s="507">
        <v>51</v>
      </c>
      <c r="O8583" s="543">
        <v>5.5198333333333335E-2</v>
      </c>
      <c r="P8583" s="508">
        <v>7.5998671457471551E-2</v>
      </c>
      <c r="Q8583" s="508">
        <v>5.963344303873909E-2</v>
      </c>
      <c r="R8583" s="508">
        <v>8.8166913252211723E-2</v>
      </c>
      <c r="S8583" s="508">
        <v>0.19580905220568257</v>
      </c>
      <c r="T8583" s="508">
        <v>0.18436546997191944</v>
      </c>
      <c r="U8583" s="508">
        <v>0.14216310878951657</v>
      </c>
      <c r="V8583" s="508">
        <v>0.25386334128445909</v>
      </c>
      <c r="W8583" s="818"/>
      <c r="X8583" s="815"/>
      <c r="Y8583" s="819"/>
      <c r="Z8583" s="507">
        <v>98</v>
      </c>
      <c r="AA8583" s="507">
        <v>6</v>
      </c>
      <c r="AB8583" s="527"/>
      <c r="AC8583" s="527"/>
      <c r="AD8583" s="507">
        <v>25</v>
      </c>
      <c r="AE8583" s="527"/>
      <c r="AF8583" s="507"/>
      <c r="AG8583" s="507"/>
    </row>
    <row r="8584" spans="1:78" ht="15" x14ac:dyDescent="0.25">
      <c r="D8584" s="702"/>
      <c r="H8584" s="507"/>
      <c r="I8584" s="507">
        <v>10</v>
      </c>
      <c r="J8584" s="507">
        <v>60</v>
      </c>
      <c r="K8584" s="539">
        <v>1</v>
      </c>
      <c r="L8584" s="532">
        <f t="shared" si="65"/>
        <v>600</v>
      </c>
      <c r="M8584" s="680">
        <v>38890</v>
      </c>
      <c r="N8584" s="507">
        <v>51</v>
      </c>
      <c r="O8584" s="543">
        <v>3.5370000000000006E-2</v>
      </c>
      <c r="P8584" s="508">
        <v>0</v>
      </c>
      <c r="Q8584" s="508">
        <v>9.0189426067288664E-2</v>
      </c>
      <c r="R8584" s="508">
        <v>0.15568749410988597</v>
      </c>
      <c r="S8584" s="508">
        <v>0.23456790123456792</v>
      </c>
      <c r="T8584" s="508">
        <v>0.18689096220902834</v>
      </c>
      <c r="U8584" s="508">
        <v>0.11418810668174537</v>
      </c>
      <c r="V8584" s="508">
        <v>0.21847610969748374</v>
      </c>
      <c r="W8584" s="818"/>
      <c r="X8584" s="815"/>
      <c r="Y8584" s="819"/>
      <c r="Z8584" s="507">
        <v>47</v>
      </c>
      <c r="AA8584" s="507">
        <v>7.5</v>
      </c>
      <c r="AB8584" s="527"/>
      <c r="AC8584" s="527"/>
      <c r="AD8584" s="507">
        <v>25</v>
      </c>
      <c r="AE8584" s="527"/>
      <c r="AF8584" s="507"/>
      <c r="AG8584" s="507"/>
    </row>
    <row r="8585" spans="1:78" ht="15" x14ac:dyDescent="0.25">
      <c r="D8585" s="702"/>
      <c r="H8585" s="507"/>
      <c r="I8585" s="507">
        <v>10</v>
      </c>
      <c r="J8585" s="507">
        <v>60</v>
      </c>
      <c r="K8585" s="507">
        <v>1</v>
      </c>
      <c r="L8585" s="532">
        <f t="shared" si="65"/>
        <v>600</v>
      </c>
      <c r="M8585" s="680">
        <v>38890</v>
      </c>
      <c r="N8585" s="507">
        <v>51</v>
      </c>
      <c r="O8585" s="543">
        <v>2.9076333333333329E-2</v>
      </c>
      <c r="P8585" s="508">
        <v>0</v>
      </c>
      <c r="Q8585" s="508">
        <v>2.0566554700844862E-2</v>
      </c>
      <c r="R8585" s="508">
        <v>9.9852113402652792E-2</v>
      </c>
      <c r="S8585" s="508">
        <v>0.17918352841371563</v>
      </c>
      <c r="T8585" s="508">
        <v>0.16026206880739202</v>
      </c>
      <c r="U8585" s="508">
        <v>0.16899769572045997</v>
      </c>
      <c r="V8585" s="508">
        <v>0.37113803895493475</v>
      </c>
      <c r="W8585" s="818"/>
      <c r="X8585" s="815"/>
      <c r="Y8585" s="819"/>
      <c r="Z8585" s="507">
        <v>91</v>
      </c>
      <c r="AA8585" s="507">
        <v>3.4</v>
      </c>
      <c r="AB8585" s="527"/>
      <c r="AC8585" s="527"/>
      <c r="AD8585" s="507">
        <v>25</v>
      </c>
      <c r="AE8585" s="527"/>
      <c r="AF8585" s="507"/>
      <c r="AG8585" s="507"/>
    </row>
    <row r="8586" spans="1:78" ht="15" x14ac:dyDescent="0.25">
      <c r="D8586" s="702"/>
      <c r="H8586" s="507"/>
      <c r="I8586" s="507">
        <v>10</v>
      </c>
      <c r="J8586" s="507">
        <v>120</v>
      </c>
      <c r="K8586" s="539">
        <v>1</v>
      </c>
      <c r="L8586" s="532">
        <f t="shared" si="65"/>
        <v>1200</v>
      </c>
      <c r="M8586" s="680">
        <v>38896</v>
      </c>
      <c r="N8586" s="507">
        <v>41</v>
      </c>
      <c r="O8586" s="543">
        <v>1.6515833333333334E-2</v>
      </c>
      <c r="P8586" s="508">
        <v>0</v>
      </c>
      <c r="Q8586" s="508">
        <v>3.5168272869468692E-2</v>
      </c>
      <c r="R8586" s="508">
        <v>0.14622332105555275</v>
      </c>
      <c r="S8586" s="508">
        <v>0.22256420606488722</v>
      </c>
      <c r="T8586" s="508">
        <v>0.13075836318684092</v>
      </c>
      <c r="U8586" s="508">
        <v>9.9742671174125858E-2</v>
      </c>
      <c r="V8586" s="508">
        <v>0.36554316564912459</v>
      </c>
      <c r="W8586" s="818"/>
      <c r="X8586" s="815"/>
      <c r="Y8586" s="819"/>
      <c r="Z8586" s="507">
        <v>46</v>
      </c>
      <c r="AA8586" s="507">
        <v>4.9000000000000004</v>
      </c>
      <c r="AB8586" s="527"/>
      <c r="AC8586" s="527"/>
      <c r="AD8586" s="507">
        <v>20</v>
      </c>
      <c r="AE8586" s="527"/>
      <c r="AF8586" s="507"/>
      <c r="AG8586" s="507"/>
    </row>
    <row r="8587" spans="1:78" ht="15" x14ac:dyDescent="0.25">
      <c r="D8587" s="702"/>
      <c r="H8587" s="507"/>
      <c r="I8587" s="507">
        <v>10</v>
      </c>
      <c r="J8587" s="507">
        <v>120</v>
      </c>
      <c r="K8587" s="507">
        <v>1</v>
      </c>
      <c r="L8587" s="532">
        <f t="shared" si="65"/>
        <v>1200</v>
      </c>
      <c r="M8587" s="680">
        <v>38896</v>
      </c>
      <c r="N8587" s="507">
        <v>41</v>
      </c>
      <c r="O8587" s="543">
        <v>5.3940833333333323E-3</v>
      </c>
      <c r="P8587" s="508">
        <v>0</v>
      </c>
      <c r="Q8587" s="508">
        <v>3.9873935948338372E-2</v>
      </c>
      <c r="R8587" s="508">
        <v>0.14793987239104581</v>
      </c>
      <c r="S8587" s="508">
        <v>0.27595050132089172</v>
      </c>
      <c r="T8587" s="508">
        <v>0.15263637627647578</v>
      </c>
      <c r="U8587" s="508">
        <v>9.4069118942050722E-2</v>
      </c>
      <c r="V8587" s="508">
        <v>0.2895301951211976</v>
      </c>
      <c r="W8587" s="818"/>
      <c r="X8587" s="815"/>
      <c r="Y8587" s="819"/>
      <c r="Z8587" s="507">
        <v>44</v>
      </c>
      <c r="AA8587" s="507">
        <v>6.9</v>
      </c>
      <c r="AB8587" s="527"/>
      <c r="AC8587" s="527"/>
      <c r="AD8587" s="507">
        <v>20</v>
      </c>
      <c r="AE8587" s="527"/>
      <c r="AF8587" s="507"/>
      <c r="AG8587" s="507"/>
    </row>
    <row r="8588" spans="1:78" ht="15" x14ac:dyDescent="0.25">
      <c r="D8588" s="702"/>
      <c r="H8588" s="507"/>
      <c r="I8588" s="507">
        <v>10</v>
      </c>
      <c r="J8588" s="507">
        <v>120</v>
      </c>
      <c r="K8588" s="539">
        <v>1</v>
      </c>
      <c r="L8588" s="532">
        <f t="shared" si="65"/>
        <v>1200</v>
      </c>
      <c r="M8588" s="680">
        <v>38896</v>
      </c>
      <c r="N8588" s="507">
        <v>10</v>
      </c>
      <c r="O8588" s="543">
        <v>9.828333333333333E-3</v>
      </c>
      <c r="P8588" s="508">
        <v>0.19197897235882658</v>
      </c>
      <c r="Q8588" s="508">
        <v>5.9521790741054771E-2</v>
      </c>
      <c r="R8588" s="508">
        <v>0.18088858741733083</v>
      </c>
      <c r="S8588" s="508">
        <v>0.17068848567067996</v>
      </c>
      <c r="T8588" s="508">
        <v>0.10374766830591829</v>
      </c>
      <c r="U8588" s="508">
        <v>7.407156181109037E-2</v>
      </c>
      <c r="V8588" s="508">
        <v>0.2191029336950992</v>
      </c>
      <c r="W8588" s="818"/>
      <c r="X8588" s="815"/>
      <c r="Y8588" s="819"/>
      <c r="Z8588" s="507">
        <v>111</v>
      </c>
      <c r="AA8588" s="507">
        <v>12.5</v>
      </c>
      <c r="AB8588" s="527"/>
      <c r="AC8588" s="527"/>
      <c r="AD8588" s="507">
        <v>20</v>
      </c>
      <c r="AE8588" s="527"/>
      <c r="AF8588" s="507"/>
      <c r="AG8588" s="507"/>
    </row>
    <row r="8589" spans="1:78" ht="15" x14ac:dyDescent="0.25">
      <c r="D8589" s="702"/>
      <c r="H8589" s="507"/>
      <c r="I8589" s="507">
        <v>11</v>
      </c>
      <c r="J8589" s="507">
        <v>120</v>
      </c>
      <c r="K8589" s="507">
        <v>1</v>
      </c>
      <c r="L8589" s="532">
        <f t="shared" si="65"/>
        <v>1320</v>
      </c>
      <c r="M8589" s="680">
        <v>38897</v>
      </c>
      <c r="N8589" s="507">
        <v>46</v>
      </c>
      <c r="O8589" s="543">
        <v>1.4408333333333301E-2</v>
      </c>
      <c r="P8589" s="508">
        <v>0</v>
      </c>
      <c r="Q8589" s="508">
        <v>7.5713759924286236E-2</v>
      </c>
      <c r="R8589" s="508">
        <v>0.13570639886429359</v>
      </c>
      <c r="S8589" s="508">
        <v>0.16210105683789894</v>
      </c>
      <c r="T8589" s="508">
        <v>0.14654293075345709</v>
      </c>
      <c r="U8589" s="508">
        <v>0.12304011777695986</v>
      </c>
      <c r="V8589" s="508">
        <v>0.3568957358431043</v>
      </c>
      <c r="W8589" s="818"/>
      <c r="X8589" s="815"/>
      <c r="Y8589" s="819"/>
      <c r="Z8589" s="507">
        <v>51</v>
      </c>
      <c r="AA8589" s="507">
        <v>4.4000000000000004</v>
      </c>
      <c r="AB8589" s="527"/>
      <c r="AC8589" s="527"/>
      <c r="AD8589" s="507">
        <v>22</v>
      </c>
      <c r="AE8589" s="527"/>
      <c r="AF8589" s="507"/>
      <c r="AG8589" s="507"/>
    </row>
    <row r="8590" spans="1:78" ht="15" x14ac:dyDescent="0.25">
      <c r="D8590" s="702"/>
      <c r="H8590" s="535"/>
      <c r="I8590" s="535">
        <v>11</v>
      </c>
      <c r="J8590" s="535">
        <v>120</v>
      </c>
      <c r="K8590" s="539">
        <v>1</v>
      </c>
      <c r="L8590" s="532">
        <f t="shared" si="65"/>
        <v>1320</v>
      </c>
      <c r="M8590" s="680">
        <v>38897</v>
      </c>
      <c r="N8590" s="535">
        <v>45</v>
      </c>
      <c r="O8590" s="544">
        <v>2.0056060606060605E-2</v>
      </c>
      <c r="P8590" s="537">
        <v>1.8697590088388609E-2</v>
      </c>
      <c r="Q8590" s="537">
        <v>5.9530105008687766E-2</v>
      </c>
      <c r="R8590" s="537">
        <v>0.16197023494749566</v>
      </c>
      <c r="S8590" s="537">
        <v>0.22882828435446098</v>
      </c>
      <c r="T8590" s="537">
        <v>0.15632318501170961</v>
      </c>
      <c r="U8590" s="537">
        <v>0.11350003777290928</v>
      </c>
      <c r="V8590" s="537">
        <v>0.26115056281634813</v>
      </c>
      <c r="W8590" s="818"/>
      <c r="X8590" s="815"/>
      <c r="Y8590" s="819"/>
      <c r="Z8590" s="535">
        <v>68</v>
      </c>
      <c r="AA8590" s="535">
        <v>7.1</v>
      </c>
      <c r="AB8590" s="538"/>
      <c r="AC8590" s="538"/>
      <c r="AD8590" s="535">
        <v>22</v>
      </c>
      <c r="AE8590" s="538"/>
      <c r="AF8590" s="535"/>
      <c r="AG8590" s="535"/>
    </row>
    <row r="8591" spans="1:78" s="9" customFormat="1" ht="15" x14ac:dyDescent="0.25">
      <c r="A8591" s="9" t="s">
        <v>689</v>
      </c>
      <c r="B8591" s="639" t="s">
        <v>53</v>
      </c>
      <c r="C8591" s="639"/>
      <c r="D8591" s="4">
        <f>VLOOKUP(E8591,'Quality Code'!$D$4:$E$24,2,TRUE)*VLOOKUP(MROUND(F8591,10),'Quality Code'!$D$28:$E$69,2,TRUE)*VLOOKUP(COUNTA(CB8591:CB8601),'Quality Code'!$D$73:$E$93,2,TRUE)</f>
        <v>0.82500000000000007</v>
      </c>
      <c r="E8591" s="14">
        <v>0.55000000000000004</v>
      </c>
      <c r="F8591" s="684">
        <f>COUNT(I8592:I8653)</f>
        <v>60</v>
      </c>
      <c r="G8591" s="639"/>
      <c r="H8591" s="610" t="str">
        <f>H8551</f>
        <v>Toutle River Sampler</v>
      </c>
      <c r="I8591" s="639"/>
      <c r="J8591" s="639"/>
      <c r="K8591" s="639"/>
      <c r="L8591" s="639"/>
      <c r="M8591" s="639"/>
      <c r="N8591" s="639"/>
      <c r="O8591" s="639"/>
      <c r="P8591" s="639"/>
      <c r="Q8591" s="639"/>
      <c r="R8591" s="639"/>
      <c r="S8591" s="639"/>
      <c r="T8591" s="639"/>
      <c r="U8591" s="639"/>
      <c r="V8591" s="639" t="s">
        <v>940</v>
      </c>
      <c r="W8591" s="639"/>
      <c r="X8591" s="639"/>
      <c r="Y8591" s="639"/>
      <c r="Z8591" s="639"/>
      <c r="AA8591" s="639"/>
      <c r="AF8591" s="639"/>
      <c r="AG8591" s="639"/>
      <c r="AH8591" s="345"/>
      <c r="AI8591" s="639"/>
      <c r="AJ8591" s="685"/>
      <c r="AK8591" s="685"/>
      <c r="AL8591" s="686"/>
      <c r="AM8591" s="686"/>
      <c r="AN8591" s="686"/>
      <c r="AO8591" s="686"/>
      <c r="AP8591" s="686"/>
      <c r="AQ8591" s="686"/>
      <c r="AR8591" s="686"/>
      <c r="AS8591" s="686"/>
      <c r="AT8591" s="686"/>
      <c r="AU8591" s="687"/>
      <c r="AV8591" s="685"/>
      <c r="AW8591" s="685"/>
      <c r="AX8591" s="685"/>
      <c r="AY8591" s="685"/>
      <c r="AZ8591" s="686"/>
      <c r="BA8591" s="686"/>
      <c r="BB8591" s="686"/>
      <c r="BC8591" s="686"/>
      <c r="BD8591" s="686"/>
      <c r="BE8591" s="686"/>
      <c r="BF8591" s="686"/>
      <c r="BG8591" s="686"/>
      <c r="BH8591" s="686"/>
      <c r="BI8591" s="639"/>
      <c r="BJ8591" s="639"/>
      <c r="BK8591" s="639"/>
      <c r="BL8591" s="639"/>
      <c r="BM8591" s="639"/>
      <c r="BN8591" s="639"/>
      <c r="BO8591" s="639"/>
      <c r="BP8591" s="639"/>
      <c r="BQ8591" s="639"/>
      <c r="BR8591" s="639"/>
      <c r="BS8591" s="639"/>
      <c r="BT8591" s="639"/>
      <c r="BU8591" s="639"/>
      <c r="BV8591" s="639"/>
      <c r="BW8591" s="639"/>
      <c r="BX8591" s="639"/>
      <c r="BY8591" s="639"/>
      <c r="BZ8591" s="639"/>
    </row>
    <row r="8592" spans="1:78" ht="15" x14ac:dyDescent="0.25">
      <c r="D8592" s="702"/>
      <c r="H8592" s="556"/>
      <c r="I8592" s="556">
        <v>10</v>
      </c>
      <c r="J8592" s="556">
        <v>120</v>
      </c>
      <c r="K8592" s="507">
        <v>1</v>
      </c>
      <c r="L8592" s="532">
        <f t="shared" ref="L8592:L8653" si="66">J8592*I8592</f>
        <v>1200</v>
      </c>
      <c r="M8592" s="681">
        <v>39201</v>
      </c>
      <c r="N8592" s="556">
        <v>48</v>
      </c>
      <c r="O8592" s="557">
        <v>8.8333333333333341E-4</v>
      </c>
      <c r="P8592" s="558">
        <v>0</v>
      </c>
      <c r="Q8592" s="558">
        <v>0</v>
      </c>
      <c r="R8592" s="558">
        <v>0</v>
      </c>
      <c r="S8592" s="558">
        <v>1.8867924528301887E-3</v>
      </c>
      <c r="T8592" s="558">
        <v>9.433962264150943E-3</v>
      </c>
      <c r="U8592" s="558">
        <v>5.849056603773585E-2</v>
      </c>
      <c r="V8592" s="558">
        <v>0.93018867924528303</v>
      </c>
      <c r="W8592" s="818"/>
      <c r="X8592" s="815"/>
      <c r="Y8592" s="819"/>
      <c r="Z8592" s="556"/>
      <c r="AA8592" s="556"/>
      <c r="AB8592" s="559"/>
      <c r="AC8592" s="559"/>
      <c r="AD8592" s="556">
        <v>50</v>
      </c>
      <c r="AE8592" s="559"/>
      <c r="AF8592" s="556"/>
      <c r="AG8592" s="556"/>
    </row>
    <row r="8593" spans="4:33" ht="15" x14ac:dyDescent="0.25">
      <c r="D8593" s="702"/>
      <c r="H8593" s="535"/>
      <c r="I8593" s="535">
        <v>9</v>
      </c>
      <c r="J8593" s="535">
        <v>240</v>
      </c>
      <c r="K8593" s="507">
        <v>1</v>
      </c>
      <c r="L8593" s="532">
        <f t="shared" si="66"/>
        <v>2160</v>
      </c>
      <c r="M8593" s="681">
        <v>39202</v>
      </c>
      <c r="N8593" s="535">
        <v>62</v>
      </c>
      <c r="O8593" s="544">
        <v>7.8611111111111113E-4</v>
      </c>
      <c r="P8593" s="537">
        <v>0</v>
      </c>
      <c r="Q8593" s="537">
        <v>0</v>
      </c>
      <c r="R8593" s="537">
        <v>0</v>
      </c>
      <c r="S8593" s="537">
        <v>2.9446407538280331E-3</v>
      </c>
      <c r="T8593" s="537">
        <v>7.6560659599528864E-3</v>
      </c>
      <c r="U8593" s="537">
        <v>3.2979976442873968E-2</v>
      </c>
      <c r="V8593" s="537">
        <v>0.95641931684334514</v>
      </c>
      <c r="W8593" s="818"/>
      <c r="X8593" s="815"/>
      <c r="Y8593" s="819"/>
      <c r="Z8593" s="535"/>
      <c r="AA8593" s="535"/>
      <c r="AB8593" s="538"/>
      <c r="AC8593" s="538"/>
      <c r="AD8593" s="535">
        <v>36</v>
      </c>
      <c r="AE8593" s="538"/>
      <c r="AF8593" s="535"/>
      <c r="AG8593" s="535"/>
    </row>
    <row r="8594" spans="4:33" ht="15" x14ac:dyDescent="0.25">
      <c r="D8594" s="702"/>
      <c r="H8594" s="535"/>
      <c r="I8594" s="535">
        <v>8</v>
      </c>
      <c r="J8594" s="535">
        <v>120</v>
      </c>
      <c r="K8594" s="507">
        <v>1</v>
      </c>
      <c r="L8594" s="532">
        <f t="shared" si="66"/>
        <v>960</v>
      </c>
      <c r="M8594" s="681">
        <v>39203</v>
      </c>
      <c r="N8594" s="535">
        <v>74</v>
      </c>
      <c r="O8594" s="544">
        <v>2.9666666666666665E-3</v>
      </c>
      <c r="P8594" s="537">
        <v>0</v>
      </c>
      <c r="Q8594" s="537">
        <v>0</v>
      </c>
      <c r="R8594" s="537">
        <v>5.2668539325842695E-3</v>
      </c>
      <c r="S8594" s="537">
        <v>1.0533707865168539E-2</v>
      </c>
      <c r="T8594" s="537">
        <v>3.4761235955056174E-2</v>
      </c>
      <c r="U8594" s="537">
        <v>6.4606741573033713E-2</v>
      </c>
      <c r="V8594" s="537">
        <v>0.8848314606741573</v>
      </c>
      <c r="W8594" s="818"/>
      <c r="X8594" s="815"/>
      <c r="Y8594" s="819"/>
      <c r="Z8594" s="535"/>
      <c r="AA8594" s="535"/>
      <c r="AB8594" s="538"/>
      <c r="AC8594" s="538"/>
      <c r="AD8594" s="535">
        <v>40</v>
      </c>
      <c r="AE8594" s="538"/>
      <c r="AF8594" s="535"/>
      <c r="AG8594" s="535"/>
    </row>
    <row r="8595" spans="4:33" ht="15" x14ac:dyDescent="0.25">
      <c r="D8595" s="702"/>
      <c r="H8595" s="535"/>
      <c r="I8595" s="535">
        <v>11</v>
      </c>
      <c r="J8595" s="535">
        <v>180</v>
      </c>
      <c r="K8595" s="507">
        <v>1</v>
      </c>
      <c r="L8595" s="532">
        <f t="shared" si="66"/>
        <v>1980</v>
      </c>
      <c r="M8595" s="681">
        <v>39203</v>
      </c>
      <c r="N8595" s="535">
        <v>72</v>
      </c>
      <c r="O8595" s="544">
        <v>9.2070707070707072E-4</v>
      </c>
      <c r="P8595" s="537">
        <v>0</v>
      </c>
      <c r="Q8595" s="537">
        <v>0</v>
      </c>
      <c r="R8595" s="537">
        <v>8.2281952825013719E-3</v>
      </c>
      <c r="S8595" s="537">
        <v>1.3713658804168952E-2</v>
      </c>
      <c r="T8595" s="537">
        <v>3.236423477783873E-2</v>
      </c>
      <c r="U8595" s="537">
        <v>5.7597366977509598E-2</v>
      </c>
      <c r="V8595" s="537">
        <v>0.88809654415798134</v>
      </c>
      <c r="W8595" s="818"/>
      <c r="X8595" s="815"/>
      <c r="Y8595" s="819"/>
      <c r="Z8595" s="535"/>
      <c r="AA8595" s="535"/>
      <c r="AB8595" s="538"/>
      <c r="AC8595" s="538"/>
      <c r="AD8595" s="535">
        <v>44</v>
      </c>
      <c r="AE8595" s="538"/>
      <c r="AF8595" s="535"/>
      <c r="AG8595" s="535"/>
    </row>
    <row r="8596" spans="4:33" ht="15" x14ac:dyDescent="0.25">
      <c r="D8596" s="702"/>
      <c r="H8596" s="535"/>
      <c r="I8596" s="535">
        <v>11</v>
      </c>
      <c r="J8596" s="535">
        <v>180</v>
      </c>
      <c r="K8596" s="507">
        <v>1</v>
      </c>
      <c r="L8596" s="532">
        <f t="shared" si="66"/>
        <v>1980</v>
      </c>
      <c r="M8596" s="681">
        <v>39203</v>
      </c>
      <c r="N8596" s="535">
        <v>69</v>
      </c>
      <c r="O8596" s="544">
        <v>1.2050505050505052E-3</v>
      </c>
      <c r="P8596" s="537">
        <v>0</v>
      </c>
      <c r="Q8596" s="537">
        <v>0</v>
      </c>
      <c r="R8596" s="537">
        <v>5.86756077116513E-3</v>
      </c>
      <c r="S8596" s="537">
        <v>2.6823134953897737E-2</v>
      </c>
      <c r="T8596" s="537">
        <v>4.987426655490361E-2</v>
      </c>
      <c r="U8596" s="537">
        <v>5.4903604358759434E-2</v>
      </c>
      <c r="V8596" s="537">
        <v>0.86253143336127414</v>
      </c>
      <c r="W8596" s="818"/>
      <c r="X8596" s="815"/>
      <c r="Y8596" s="819"/>
      <c r="Z8596" s="535"/>
      <c r="AA8596" s="535"/>
      <c r="AB8596" s="538"/>
      <c r="AC8596" s="538"/>
      <c r="AD8596" s="535">
        <v>44</v>
      </c>
      <c r="AE8596" s="538"/>
      <c r="AF8596" s="535"/>
      <c r="AG8596" s="535"/>
    </row>
    <row r="8597" spans="4:33" ht="15" x14ac:dyDescent="0.25">
      <c r="D8597" s="702"/>
      <c r="H8597" s="535"/>
      <c r="I8597" s="535">
        <v>11</v>
      </c>
      <c r="J8597" s="535">
        <v>180</v>
      </c>
      <c r="K8597" s="507">
        <v>1</v>
      </c>
      <c r="L8597" s="532">
        <f t="shared" si="66"/>
        <v>1980</v>
      </c>
      <c r="M8597" s="681">
        <v>39203</v>
      </c>
      <c r="N8597" s="535">
        <v>68</v>
      </c>
      <c r="O8597" s="544">
        <v>1.3535353535353537E-3</v>
      </c>
      <c r="P8597" s="537">
        <v>0</v>
      </c>
      <c r="Q8597" s="537">
        <v>0</v>
      </c>
      <c r="R8597" s="537">
        <v>0</v>
      </c>
      <c r="S8597" s="537">
        <v>9.7014925373134324E-3</v>
      </c>
      <c r="T8597" s="537">
        <v>2.6492537313432835E-2</v>
      </c>
      <c r="U8597" s="537">
        <v>6.7910447761194037E-2</v>
      </c>
      <c r="V8597" s="537">
        <v>0.8958955223880597</v>
      </c>
      <c r="W8597" s="818"/>
      <c r="X8597" s="815"/>
      <c r="Y8597" s="819"/>
      <c r="Z8597" s="535"/>
      <c r="AA8597" s="535"/>
      <c r="AB8597" s="538"/>
      <c r="AC8597" s="538"/>
      <c r="AD8597" s="535">
        <v>44</v>
      </c>
      <c r="AE8597" s="538"/>
      <c r="AF8597" s="535"/>
      <c r="AG8597" s="535"/>
    </row>
    <row r="8598" spans="4:33" ht="15" x14ac:dyDescent="0.25">
      <c r="D8598" s="702"/>
      <c r="H8598" s="535"/>
      <c r="I8598" s="535">
        <v>11</v>
      </c>
      <c r="J8598" s="535">
        <v>180</v>
      </c>
      <c r="K8598" s="507">
        <v>1</v>
      </c>
      <c r="L8598" s="532">
        <f t="shared" si="66"/>
        <v>1980</v>
      </c>
      <c r="M8598" s="681">
        <v>39204</v>
      </c>
      <c r="N8598" s="535">
        <v>82</v>
      </c>
      <c r="O8598" s="544">
        <v>8.2171717171717175E-4</v>
      </c>
      <c r="P8598" s="537">
        <v>0</v>
      </c>
      <c r="Q8598" s="537">
        <v>0</v>
      </c>
      <c r="R8598" s="537">
        <v>0</v>
      </c>
      <c r="S8598" s="537">
        <v>3.6877688998156115E-3</v>
      </c>
      <c r="T8598" s="537">
        <v>6.7609096496619543E-3</v>
      </c>
      <c r="U8598" s="537">
        <v>3.8721573448063921E-2</v>
      </c>
      <c r="V8598" s="537">
        <v>0.95082974800245856</v>
      </c>
      <c r="W8598" s="818"/>
      <c r="X8598" s="815"/>
      <c r="Y8598" s="819"/>
      <c r="Z8598" s="535"/>
      <c r="AA8598" s="535"/>
      <c r="AB8598" s="538"/>
      <c r="AC8598" s="538"/>
      <c r="AD8598" s="535">
        <v>44</v>
      </c>
      <c r="AE8598" s="538"/>
      <c r="AF8598" s="535"/>
      <c r="AG8598" s="535"/>
    </row>
    <row r="8599" spans="4:33" ht="15" x14ac:dyDescent="0.25">
      <c r="D8599" s="702"/>
      <c r="H8599" s="535"/>
      <c r="I8599" s="535">
        <v>11</v>
      </c>
      <c r="J8599" s="535">
        <v>180</v>
      </c>
      <c r="K8599" s="507">
        <v>1</v>
      </c>
      <c r="L8599" s="532">
        <f t="shared" si="66"/>
        <v>1980</v>
      </c>
      <c r="M8599" s="681">
        <v>39204</v>
      </c>
      <c r="N8599" s="535">
        <v>80</v>
      </c>
      <c r="O8599" s="544">
        <v>1.2828282828282829E-3</v>
      </c>
      <c r="P8599" s="537">
        <v>0</v>
      </c>
      <c r="Q8599" s="537">
        <v>0</v>
      </c>
      <c r="R8599" s="537">
        <v>1.6929133858267716E-2</v>
      </c>
      <c r="S8599" s="537">
        <v>1.2598425196850394E-2</v>
      </c>
      <c r="T8599" s="537">
        <v>3.7795275590551181E-2</v>
      </c>
      <c r="U8599" s="537">
        <v>3.858267716535433E-2</v>
      </c>
      <c r="V8599" s="537">
        <v>0.89409448818897641</v>
      </c>
      <c r="W8599" s="818"/>
      <c r="X8599" s="815"/>
      <c r="Y8599" s="819"/>
      <c r="Z8599" s="535"/>
      <c r="AA8599" s="535"/>
      <c r="AB8599" s="538"/>
      <c r="AC8599" s="538"/>
      <c r="AD8599" s="535">
        <v>44</v>
      </c>
      <c r="AE8599" s="538"/>
      <c r="AF8599" s="535"/>
      <c r="AG8599" s="535"/>
    </row>
    <row r="8600" spans="4:33" ht="15" x14ac:dyDescent="0.25">
      <c r="D8600" s="702"/>
      <c r="H8600" s="535"/>
      <c r="I8600" s="535">
        <v>11</v>
      </c>
      <c r="J8600" s="535">
        <v>180</v>
      </c>
      <c r="K8600" s="507">
        <v>1</v>
      </c>
      <c r="L8600" s="532">
        <f t="shared" si="66"/>
        <v>1980</v>
      </c>
      <c r="M8600" s="682">
        <v>39204</v>
      </c>
      <c r="N8600" s="535">
        <v>74</v>
      </c>
      <c r="O8600" s="544">
        <v>1.6762626262626262E-3</v>
      </c>
      <c r="P8600" s="537">
        <v>0</v>
      </c>
      <c r="Q8600" s="537">
        <v>0</v>
      </c>
      <c r="R8600" s="537">
        <v>1.0545344983428743E-2</v>
      </c>
      <c r="S8600" s="537">
        <v>0.11780656824344682</v>
      </c>
      <c r="T8600" s="537">
        <v>0.23079240735161194</v>
      </c>
      <c r="U8600" s="537">
        <v>0.17655920457969268</v>
      </c>
      <c r="V8600" s="537">
        <v>0.46429647484181985</v>
      </c>
      <c r="W8600" s="818"/>
      <c r="X8600" s="815"/>
      <c r="Y8600" s="819"/>
      <c r="Z8600" s="535"/>
      <c r="AA8600" s="535"/>
      <c r="AB8600" s="538"/>
      <c r="AC8600" s="538"/>
      <c r="AD8600" s="535">
        <v>44</v>
      </c>
      <c r="AE8600" s="538"/>
      <c r="AF8600" s="535"/>
      <c r="AG8600" s="535"/>
    </row>
    <row r="8601" spans="4:33" ht="15" x14ac:dyDescent="0.25">
      <c r="D8601" s="702"/>
      <c r="H8601" s="535"/>
      <c r="I8601" s="535">
        <v>11</v>
      </c>
      <c r="J8601" s="535">
        <v>180</v>
      </c>
      <c r="K8601" s="507">
        <v>1</v>
      </c>
      <c r="L8601" s="532">
        <f t="shared" si="66"/>
        <v>1980</v>
      </c>
      <c r="M8601" s="682">
        <v>39204</v>
      </c>
      <c r="N8601" s="535">
        <v>73</v>
      </c>
      <c r="O8601" s="544">
        <v>1.3171717171717172E-3</v>
      </c>
      <c r="P8601" s="537">
        <v>0</v>
      </c>
      <c r="Q8601" s="537">
        <v>0</v>
      </c>
      <c r="R8601" s="537">
        <v>3.25920245398773E-2</v>
      </c>
      <c r="S8601" s="537">
        <v>4.8696319018404904E-2</v>
      </c>
      <c r="T8601" s="537">
        <v>7.3619631901840496E-2</v>
      </c>
      <c r="U8601" s="537">
        <v>8.1671779141104295E-2</v>
      </c>
      <c r="V8601" s="537">
        <v>0.76342024539877296</v>
      </c>
      <c r="W8601" s="818"/>
      <c r="X8601" s="815"/>
      <c r="Y8601" s="819"/>
      <c r="Z8601" s="535"/>
      <c r="AA8601" s="535"/>
      <c r="AB8601" s="538"/>
      <c r="AC8601" s="538"/>
      <c r="AD8601" s="535">
        <v>44</v>
      </c>
      <c r="AE8601" s="538"/>
      <c r="AF8601" s="535"/>
      <c r="AG8601" s="535"/>
    </row>
    <row r="8602" spans="4:33" ht="15" x14ac:dyDescent="0.25">
      <c r="D8602" s="702"/>
      <c r="H8602" s="535"/>
      <c r="I8602" s="535">
        <v>10</v>
      </c>
      <c r="J8602" s="535">
        <v>240</v>
      </c>
      <c r="K8602" s="507">
        <v>1</v>
      </c>
      <c r="L8602" s="532">
        <f t="shared" si="66"/>
        <v>2400</v>
      </c>
      <c r="M8602" s="682">
        <v>39210</v>
      </c>
      <c r="N8602" s="535">
        <v>57</v>
      </c>
      <c r="O8602" s="544">
        <v>2.4812499999999999E-3</v>
      </c>
      <c r="P8602" s="537">
        <v>0</v>
      </c>
      <c r="Q8602" s="537">
        <v>0</v>
      </c>
      <c r="R8602" s="537">
        <v>2.5188916876574307E-3</v>
      </c>
      <c r="S8602" s="537">
        <v>9.4038623005877411E-3</v>
      </c>
      <c r="T8602" s="537">
        <v>5.4072208228379513E-2</v>
      </c>
      <c r="U8602" s="537">
        <v>0.15734676742233417</v>
      </c>
      <c r="V8602" s="537">
        <v>0.77665827036104118</v>
      </c>
      <c r="W8602" s="818"/>
      <c r="X8602" s="815"/>
      <c r="Y8602" s="819"/>
      <c r="Z8602" s="535"/>
      <c r="AA8602" s="535"/>
      <c r="AB8602" s="538"/>
      <c r="AC8602" s="538"/>
      <c r="AD8602" s="535">
        <v>20</v>
      </c>
      <c r="AE8602" s="538"/>
      <c r="AF8602" s="535"/>
      <c r="AG8602" s="535"/>
    </row>
    <row r="8603" spans="4:33" ht="15" x14ac:dyDescent="0.25">
      <c r="D8603" s="702"/>
      <c r="H8603" s="535"/>
      <c r="I8603" s="535">
        <v>10</v>
      </c>
      <c r="J8603" s="535">
        <v>240</v>
      </c>
      <c r="K8603" s="507">
        <v>1</v>
      </c>
      <c r="L8603" s="532">
        <f t="shared" si="66"/>
        <v>2400</v>
      </c>
      <c r="M8603" s="682">
        <v>39210</v>
      </c>
      <c r="N8603" s="535">
        <v>57</v>
      </c>
      <c r="O8603" s="544">
        <v>3.721666666666667E-3</v>
      </c>
      <c r="P8603" s="537">
        <v>0</v>
      </c>
      <c r="Q8603" s="537">
        <v>0</v>
      </c>
      <c r="R8603" s="537">
        <v>9.2924317062248098E-3</v>
      </c>
      <c r="S8603" s="537">
        <v>4.2655620241827133E-2</v>
      </c>
      <c r="T8603" s="537">
        <v>8.0161218092252573E-2</v>
      </c>
      <c r="U8603" s="537">
        <v>0.14778325123152708</v>
      </c>
      <c r="V8603" s="537">
        <v>0.72010747872816838</v>
      </c>
      <c r="W8603" s="818"/>
      <c r="X8603" s="815"/>
      <c r="Y8603" s="819"/>
      <c r="Z8603" s="535"/>
      <c r="AA8603" s="535"/>
      <c r="AB8603" s="538"/>
      <c r="AC8603" s="538"/>
      <c r="AD8603" s="535">
        <v>20</v>
      </c>
      <c r="AE8603" s="538"/>
      <c r="AF8603" s="535"/>
      <c r="AG8603" s="535"/>
    </row>
    <row r="8604" spans="4:33" ht="15" x14ac:dyDescent="0.25">
      <c r="D8604" s="702"/>
      <c r="H8604" s="535"/>
      <c r="I8604" s="535">
        <v>10</v>
      </c>
      <c r="J8604" s="535">
        <v>180</v>
      </c>
      <c r="K8604" s="507">
        <v>1</v>
      </c>
      <c r="L8604" s="532">
        <f t="shared" si="66"/>
        <v>1800</v>
      </c>
      <c r="M8604" s="682">
        <v>39211</v>
      </c>
      <c r="N8604" s="535">
        <v>74</v>
      </c>
      <c r="O8604" s="544">
        <v>1.8022222222222224E-3</v>
      </c>
      <c r="P8604" s="537">
        <v>0</v>
      </c>
      <c r="Q8604" s="537">
        <v>1.6337854500616523E-2</v>
      </c>
      <c r="R8604" s="537">
        <v>1.2330456226880395E-3</v>
      </c>
      <c r="S8604" s="537">
        <v>1.5104808877928482E-2</v>
      </c>
      <c r="T8604" s="537">
        <v>4.3464858199753389E-2</v>
      </c>
      <c r="U8604" s="537">
        <v>8.3538840937114667E-2</v>
      </c>
      <c r="V8604" s="537">
        <v>0.84032059186189889</v>
      </c>
      <c r="W8604" s="818"/>
      <c r="X8604" s="815"/>
      <c r="Y8604" s="819"/>
      <c r="Z8604" s="535"/>
      <c r="AA8604" s="535"/>
      <c r="AB8604" s="538"/>
      <c r="AC8604" s="538"/>
      <c r="AD8604" s="535">
        <v>40</v>
      </c>
      <c r="AE8604" s="538"/>
      <c r="AF8604" s="535"/>
      <c r="AG8604" s="535"/>
    </row>
    <row r="8605" spans="4:33" ht="15" x14ac:dyDescent="0.25">
      <c r="D8605" s="702"/>
      <c r="H8605" s="535"/>
      <c r="I8605" s="535">
        <v>10</v>
      </c>
      <c r="J8605" s="535">
        <v>240</v>
      </c>
      <c r="K8605" s="507">
        <v>1</v>
      </c>
      <c r="L8605" s="532">
        <f t="shared" si="66"/>
        <v>2400</v>
      </c>
      <c r="M8605" s="682">
        <v>39211</v>
      </c>
      <c r="N8605" s="535">
        <v>72</v>
      </c>
      <c r="O8605" s="544">
        <v>1.6591666666666666E-3</v>
      </c>
      <c r="P8605" s="537">
        <v>0</v>
      </c>
      <c r="Q8605" s="537">
        <v>0</v>
      </c>
      <c r="R8605" s="537">
        <v>0</v>
      </c>
      <c r="S8605" s="537">
        <v>2.0592667001506779E-2</v>
      </c>
      <c r="T8605" s="537">
        <v>4.2692114515318937E-2</v>
      </c>
      <c r="U8605" s="537">
        <v>7.3329984932194878E-2</v>
      </c>
      <c r="V8605" s="537">
        <v>0.8633852335509794</v>
      </c>
      <c r="W8605" s="818"/>
      <c r="X8605" s="815"/>
      <c r="Y8605" s="819"/>
      <c r="Z8605" s="535"/>
      <c r="AA8605" s="535"/>
      <c r="AB8605" s="538"/>
      <c r="AC8605" s="538"/>
      <c r="AD8605" s="535">
        <v>40</v>
      </c>
      <c r="AE8605" s="538"/>
      <c r="AF8605" s="535"/>
      <c r="AG8605" s="535"/>
    </row>
    <row r="8606" spans="4:33" ht="15" x14ac:dyDescent="0.25">
      <c r="D8606" s="702"/>
      <c r="H8606" s="535"/>
      <c r="I8606" s="535">
        <v>10</v>
      </c>
      <c r="J8606" s="535">
        <v>240</v>
      </c>
      <c r="K8606" s="507">
        <v>1</v>
      </c>
      <c r="L8606" s="532">
        <f t="shared" si="66"/>
        <v>2400</v>
      </c>
      <c r="M8606" s="682">
        <v>39211</v>
      </c>
      <c r="N8606" s="535">
        <v>68</v>
      </c>
      <c r="O8606" s="544">
        <v>1.5933333333333333E-3</v>
      </c>
      <c r="P8606" s="537">
        <v>0</v>
      </c>
      <c r="Q8606" s="537">
        <v>0</v>
      </c>
      <c r="R8606" s="537">
        <v>2.615062761506276E-3</v>
      </c>
      <c r="S8606" s="537">
        <v>9.1527196652719661E-3</v>
      </c>
      <c r="T8606" s="537">
        <v>4.4717573221757324E-2</v>
      </c>
      <c r="U8606" s="537">
        <v>7.7667364016736407E-2</v>
      </c>
      <c r="V8606" s="537">
        <v>0.86584728033472802</v>
      </c>
      <c r="W8606" s="818"/>
      <c r="X8606" s="815"/>
      <c r="Y8606" s="819"/>
      <c r="Z8606" s="535"/>
      <c r="AA8606" s="535"/>
      <c r="AB8606" s="538"/>
      <c r="AC8606" s="538"/>
      <c r="AD8606" s="535">
        <v>40</v>
      </c>
      <c r="AE8606" s="538"/>
      <c r="AF8606" s="535"/>
      <c r="AG8606" s="535"/>
    </row>
    <row r="8607" spans="4:33" ht="15" x14ac:dyDescent="0.25">
      <c r="D8607" s="702"/>
      <c r="H8607" s="535"/>
      <c r="I8607" s="535">
        <v>10</v>
      </c>
      <c r="J8607" s="535">
        <v>180</v>
      </c>
      <c r="K8607" s="507">
        <v>1</v>
      </c>
      <c r="L8607" s="532">
        <f t="shared" si="66"/>
        <v>1800</v>
      </c>
      <c r="M8607" s="682">
        <v>39212</v>
      </c>
      <c r="N8607" s="535">
        <v>91</v>
      </c>
      <c r="O8607" s="544">
        <v>2.1088888888888889E-3</v>
      </c>
      <c r="P8607" s="537">
        <v>0</v>
      </c>
      <c r="Q8607" s="537">
        <v>2.3709167544783982E-2</v>
      </c>
      <c r="R8607" s="537">
        <v>3.1612223393045313E-2</v>
      </c>
      <c r="S8607" s="537">
        <v>7.08640674394099E-2</v>
      </c>
      <c r="T8607" s="537">
        <v>0.10273972602739725</v>
      </c>
      <c r="U8607" s="537">
        <v>0.10853530031612224</v>
      </c>
      <c r="V8607" s="537">
        <v>0.66253951527924126</v>
      </c>
      <c r="W8607" s="818"/>
      <c r="X8607" s="815"/>
      <c r="Y8607" s="819"/>
      <c r="Z8607" s="535"/>
      <c r="AA8607" s="535"/>
      <c r="AB8607" s="538"/>
      <c r="AC8607" s="538"/>
      <c r="AD8607" s="535">
        <v>40</v>
      </c>
      <c r="AE8607" s="538"/>
      <c r="AF8607" s="535"/>
      <c r="AG8607" s="535"/>
    </row>
    <row r="8608" spans="4:33" ht="15" x14ac:dyDescent="0.25">
      <c r="D8608" s="702"/>
      <c r="H8608" s="535"/>
      <c r="I8608" s="535">
        <v>10</v>
      </c>
      <c r="J8608" s="535">
        <v>240</v>
      </c>
      <c r="K8608" s="507">
        <v>1</v>
      </c>
      <c r="L8608" s="532">
        <f t="shared" si="66"/>
        <v>2400</v>
      </c>
      <c r="M8608" s="682">
        <v>39212</v>
      </c>
      <c r="N8608" s="535">
        <v>88</v>
      </c>
      <c r="O8608" s="544">
        <v>1.6820833333333334E-3</v>
      </c>
      <c r="P8608" s="537">
        <v>0</v>
      </c>
      <c r="Q8608" s="537">
        <v>0</v>
      </c>
      <c r="R8608" s="537">
        <v>1.7339608620262571E-3</v>
      </c>
      <c r="S8608" s="537">
        <v>7.8028238791181564E-2</v>
      </c>
      <c r="T8608" s="537">
        <v>9.0661382214515723E-2</v>
      </c>
      <c r="U8608" s="537">
        <v>0.11543225167203369</v>
      </c>
      <c r="V8608" s="537">
        <v>0.7141441664602427</v>
      </c>
      <c r="W8608" s="818"/>
      <c r="X8608" s="815"/>
      <c r="Y8608" s="819"/>
      <c r="Z8608" s="535"/>
      <c r="AA8608" s="535"/>
      <c r="AB8608" s="538"/>
      <c r="AC8608" s="538"/>
      <c r="AD8608" s="535">
        <v>40</v>
      </c>
      <c r="AE8608" s="538"/>
      <c r="AF8608" s="535"/>
      <c r="AG8608" s="535"/>
    </row>
    <row r="8609" spans="4:33" ht="15" x14ac:dyDescent="0.25">
      <c r="D8609" s="702"/>
      <c r="H8609" s="535"/>
      <c r="I8609" s="535">
        <v>10</v>
      </c>
      <c r="J8609" s="535">
        <v>240</v>
      </c>
      <c r="K8609" s="507">
        <v>1</v>
      </c>
      <c r="L8609" s="532">
        <f t="shared" si="66"/>
        <v>2400</v>
      </c>
      <c r="M8609" s="682">
        <v>39212</v>
      </c>
      <c r="N8609" s="535">
        <v>87</v>
      </c>
      <c r="O8609" s="544">
        <v>1.3095833333333332E-3</v>
      </c>
      <c r="P8609" s="537">
        <v>0</v>
      </c>
      <c r="Q8609" s="537">
        <v>0</v>
      </c>
      <c r="R8609" s="537">
        <v>1.9090041361756285E-3</v>
      </c>
      <c r="S8609" s="537">
        <v>1.3363028953229399E-2</v>
      </c>
      <c r="T8609" s="537">
        <v>3.1816735602927138E-2</v>
      </c>
      <c r="U8609" s="537">
        <v>6.9678650970410427E-2</v>
      </c>
      <c r="V8609" s="537">
        <v>0.88323258033725738</v>
      </c>
      <c r="W8609" s="818"/>
      <c r="X8609" s="815"/>
      <c r="Y8609" s="819"/>
      <c r="Z8609" s="535"/>
      <c r="AA8609" s="535"/>
      <c r="AB8609" s="538"/>
      <c r="AC8609" s="538"/>
      <c r="AD8609" s="535">
        <v>40</v>
      </c>
      <c r="AE8609" s="538"/>
      <c r="AF8609" s="535"/>
      <c r="AG8609" s="535"/>
    </row>
    <row r="8610" spans="4:33" ht="15" x14ac:dyDescent="0.25">
      <c r="D8610" s="702"/>
      <c r="H8610" s="535"/>
      <c r="I8610" s="535">
        <v>11</v>
      </c>
      <c r="J8610" s="535">
        <v>180</v>
      </c>
      <c r="K8610" s="507">
        <v>1</v>
      </c>
      <c r="L8610" s="532">
        <f t="shared" si="66"/>
        <v>1980</v>
      </c>
      <c r="M8610" s="682">
        <v>39213</v>
      </c>
      <c r="N8610" s="535">
        <v>106</v>
      </c>
      <c r="O8610" s="544">
        <v>2.335353535353535E-3</v>
      </c>
      <c r="P8610" s="537">
        <v>0</v>
      </c>
      <c r="Q8610" s="537">
        <v>0</v>
      </c>
      <c r="R8610" s="537">
        <v>8.6505190311418692E-3</v>
      </c>
      <c r="S8610" s="537">
        <v>8.3044982698961933E-2</v>
      </c>
      <c r="T8610" s="537">
        <v>0.14121972318339099</v>
      </c>
      <c r="U8610" s="537">
        <v>0.13473183391003463</v>
      </c>
      <c r="V8610" s="537">
        <v>0.63235294117647056</v>
      </c>
      <c r="W8610" s="818"/>
      <c r="X8610" s="815"/>
      <c r="Y8610" s="819"/>
      <c r="Z8610" s="535"/>
      <c r="AA8610" s="535"/>
      <c r="AB8610" s="538"/>
      <c r="AC8610" s="538"/>
      <c r="AD8610" s="535">
        <v>44</v>
      </c>
      <c r="AE8610" s="538"/>
      <c r="AF8610" s="535"/>
      <c r="AG8610" s="535"/>
    </row>
    <row r="8611" spans="4:33" ht="15" x14ac:dyDescent="0.25">
      <c r="D8611" s="702"/>
      <c r="H8611" s="535"/>
      <c r="I8611" s="535">
        <v>10</v>
      </c>
      <c r="J8611" s="535">
        <v>180</v>
      </c>
      <c r="K8611" s="507">
        <v>1</v>
      </c>
      <c r="L8611" s="532">
        <f t="shared" si="66"/>
        <v>1800</v>
      </c>
      <c r="M8611" s="682">
        <v>39213</v>
      </c>
      <c r="N8611" s="535">
        <v>102</v>
      </c>
      <c r="O8611" s="544">
        <v>2.245E-3</v>
      </c>
      <c r="P8611" s="537">
        <v>0</v>
      </c>
      <c r="Q8611" s="537">
        <v>0</v>
      </c>
      <c r="R8611" s="537">
        <v>4.4295966344964119E-2</v>
      </c>
      <c r="S8611" s="537">
        <v>9.9480326651818857E-2</v>
      </c>
      <c r="T8611" s="537">
        <v>0.12323682256867113</v>
      </c>
      <c r="U8611" s="537">
        <v>0.13140311804008908</v>
      </c>
      <c r="V8611" s="537">
        <v>0.60158376639445676</v>
      </c>
      <c r="W8611" s="818"/>
      <c r="X8611" s="815"/>
      <c r="Y8611" s="819"/>
      <c r="Z8611" s="535"/>
      <c r="AA8611" s="535"/>
      <c r="AB8611" s="538"/>
      <c r="AC8611" s="538"/>
      <c r="AD8611" s="535">
        <v>40</v>
      </c>
      <c r="AE8611" s="538"/>
      <c r="AF8611" s="535"/>
      <c r="AG8611" s="535"/>
    </row>
    <row r="8612" spans="4:33" ht="15" x14ac:dyDescent="0.25">
      <c r="D8612" s="702"/>
      <c r="H8612" s="535"/>
      <c r="I8612" s="535">
        <v>10</v>
      </c>
      <c r="J8612" s="535">
        <v>180</v>
      </c>
      <c r="K8612" s="507">
        <v>1</v>
      </c>
      <c r="L8612" s="532">
        <f t="shared" si="66"/>
        <v>1800</v>
      </c>
      <c r="M8612" s="682">
        <v>39213</v>
      </c>
      <c r="N8612" s="535">
        <v>99</v>
      </c>
      <c r="O8612" s="544">
        <v>2.2372222222222225E-3</v>
      </c>
      <c r="P8612" s="537">
        <v>0</v>
      </c>
      <c r="Q8612" s="537">
        <v>0</v>
      </c>
      <c r="R8612" s="537">
        <v>3.6751924509560469E-2</v>
      </c>
      <c r="S8612" s="537">
        <v>9.0389868388378453E-2</v>
      </c>
      <c r="T8612" s="537">
        <v>0.14005463123913584</v>
      </c>
      <c r="U8612" s="537">
        <v>0.12788676434070029</v>
      </c>
      <c r="V8612" s="537">
        <v>0.60491681152222498</v>
      </c>
      <c r="W8612" s="818"/>
      <c r="X8612" s="815"/>
      <c r="Y8612" s="819"/>
      <c r="Z8612" s="535"/>
      <c r="AA8612" s="535"/>
      <c r="AB8612" s="538"/>
      <c r="AC8612" s="538"/>
      <c r="AD8612" s="535">
        <v>40</v>
      </c>
      <c r="AE8612" s="538"/>
      <c r="AF8612" s="535"/>
      <c r="AG8612" s="535"/>
    </row>
    <row r="8613" spans="4:33" ht="15" x14ac:dyDescent="0.25">
      <c r="D8613" s="702"/>
      <c r="H8613" s="535"/>
      <c r="I8613" s="535">
        <v>10</v>
      </c>
      <c r="J8613" s="535">
        <v>180</v>
      </c>
      <c r="K8613" s="507">
        <v>1</v>
      </c>
      <c r="L8613" s="532">
        <f t="shared" si="66"/>
        <v>1800</v>
      </c>
      <c r="M8613" s="682">
        <v>39213</v>
      </c>
      <c r="N8613" s="535">
        <v>94</v>
      </c>
      <c r="O8613" s="544">
        <v>3.1816666666666668E-3</v>
      </c>
      <c r="P8613" s="537">
        <v>0</v>
      </c>
      <c r="Q8613" s="537">
        <v>1.1000523834468309E-2</v>
      </c>
      <c r="R8613" s="537">
        <v>3.1255456609044871E-2</v>
      </c>
      <c r="S8613" s="537">
        <v>4.1557534485769161E-2</v>
      </c>
      <c r="T8613" s="537">
        <v>7.8400558756766187E-2</v>
      </c>
      <c r="U8613" s="537">
        <v>0.14248297537978</v>
      </c>
      <c r="V8613" s="537">
        <v>0.69530295093417149</v>
      </c>
      <c r="W8613" s="818"/>
      <c r="X8613" s="815"/>
      <c r="Y8613" s="819"/>
      <c r="Z8613" s="535"/>
      <c r="AA8613" s="535"/>
      <c r="AB8613" s="538"/>
      <c r="AC8613" s="538"/>
      <c r="AD8613" s="535">
        <v>40</v>
      </c>
      <c r="AE8613" s="538"/>
      <c r="AF8613" s="535"/>
      <c r="AG8613" s="535"/>
    </row>
    <row r="8614" spans="4:33" ht="15" x14ac:dyDescent="0.25">
      <c r="D8614" s="702"/>
      <c r="H8614" s="535"/>
      <c r="I8614" s="535">
        <v>11</v>
      </c>
      <c r="J8614" s="535">
        <v>240</v>
      </c>
      <c r="K8614" s="507">
        <v>1</v>
      </c>
      <c r="L8614" s="532">
        <f t="shared" si="66"/>
        <v>2640</v>
      </c>
      <c r="M8614" s="682">
        <v>39215</v>
      </c>
      <c r="N8614" s="535">
        <v>125</v>
      </c>
      <c r="O8614" s="544">
        <v>1.5571969696969697E-3</v>
      </c>
      <c r="P8614" s="537">
        <v>0</v>
      </c>
      <c r="Q8614" s="537">
        <v>0</v>
      </c>
      <c r="R8614" s="537">
        <v>2.9919727560204331E-2</v>
      </c>
      <c r="S8614" s="537">
        <v>2.6270980296764779E-2</v>
      </c>
      <c r="T8614" s="537">
        <v>3.2108975918268064E-2</v>
      </c>
      <c r="U8614" s="537">
        <v>5.0839211870591094E-2</v>
      </c>
      <c r="V8614" s="537">
        <v>0.86086110435417174</v>
      </c>
      <c r="W8614" s="818"/>
      <c r="X8614" s="815"/>
      <c r="Y8614" s="819"/>
      <c r="Z8614" s="535"/>
      <c r="AA8614" s="535"/>
      <c r="AB8614" s="538"/>
      <c r="AC8614" s="538"/>
      <c r="AD8614" s="535">
        <v>55</v>
      </c>
      <c r="AE8614" s="538"/>
      <c r="AF8614" s="535"/>
      <c r="AG8614" s="535"/>
    </row>
    <row r="8615" spans="4:33" ht="15" x14ac:dyDescent="0.25">
      <c r="D8615" s="702"/>
      <c r="H8615" s="535"/>
      <c r="I8615" s="535">
        <v>11</v>
      </c>
      <c r="J8615" s="535">
        <v>240</v>
      </c>
      <c r="K8615" s="507">
        <v>1</v>
      </c>
      <c r="L8615" s="532">
        <f t="shared" si="66"/>
        <v>2640</v>
      </c>
      <c r="M8615" s="682">
        <v>39215</v>
      </c>
      <c r="N8615" s="535">
        <v>120</v>
      </c>
      <c r="O8615" s="544">
        <v>2.8560606060606059E-3</v>
      </c>
      <c r="P8615" s="537">
        <v>0</v>
      </c>
      <c r="Q8615" s="537">
        <v>9.9602122015915118E-2</v>
      </c>
      <c r="R8615" s="537">
        <v>0.15251989389920426</v>
      </c>
      <c r="S8615" s="537">
        <v>0.14071618037135281</v>
      </c>
      <c r="T8615" s="537">
        <v>8.7267904509283817E-2</v>
      </c>
      <c r="U8615" s="537">
        <v>5.0132625994694958E-2</v>
      </c>
      <c r="V8615" s="537">
        <v>0.46976127320954908</v>
      </c>
      <c r="W8615" s="818"/>
      <c r="X8615" s="815"/>
      <c r="Y8615" s="819"/>
      <c r="Z8615" s="535"/>
      <c r="AA8615" s="535"/>
      <c r="AB8615" s="538"/>
      <c r="AC8615" s="538"/>
      <c r="AD8615" s="535">
        <v>55</v>
      </c>
      <c r="AE8615" s="538"/>
      <c r="AF8615" s="535"/>
      <c r="AG8615" s="535"/>
    </row>
    <row r="8616" spans="4:33" ht="15" x14ac:dyDescent="0.25">
      <c r="D8616" s="702"/>
      <c r="H8616" s="535"/>
      <c r="I8616" s="535">
        <v>11</v>
      </c>
      <c r="J8616" s="535">
        <v>240</v>
      </c>
      <c r="K8616" s="507">
        <v>1</v>
      </c>
      <c r="L8616" s="532">
        <f t="shared" si="66"/>
        <v>2640</v>
      </c>
      <c r="M8616" s="682">
        <v>39215</v>
      </c>
      <c r="N8616" s="535">
        <v>112</v>
      </c>
      <c r="O8616" s="544">
        <v>1.2950757575757577E-3</v>
      </c>
      <c r="P8616" s="537">
        <v>0</v>
      </c>
      <c r="Q8616" s="537">
        <v>0</v>
      </c>
      <c r="R8616" s="537">
        <v>6.4638783269961975E-2</v>
      </c>
      <c r="S8616" s="537">
        <v>6.8441064638783272E-2</v>
      </c>
      <c r="T8616" s="537">
        <v>5.6741737350102371E-2</v>
      </c>
      <c r="U8616" s="537">
        <v>6.9318514185434332E-2</v>
      </c>
      <c r="V8616" s="537">
        <v>0.74085990055571804</v>
      </c>
      <c r="W8616" s="818"/>
      <c r="X8616" s="815"/>
      <c r="Y8616" s="819"/>
      <c r="Z8616" s="535"/>
      <c r="AA8616" s="535"/>
      <c r="AB8616" s="538"/>
      <c r="AC8616" s="538"/>
      <c r="AD8616" s="535">
        <v>55</v>
      </c>
      <c r="AE8616" s="538"/>
      <c r="AF8616" s="535"/>
      <c r="AG8616" s="535"/>
    </row>
    <row r="8617" spans="4:33" ht="15" x14ac:dyDescent="0.25">
      <c r="D8617" s="702"/>
      <c r="H8617" s="535"/>
      <c r="I8617" s="535">
        <v>11</v>
      </c>
      <c r="J8617" s="535">
        <v>180</v>
      </c>
      <c r="K8617" s="507">
        <v>1</v>
      </c>
      <c r="L8617" s="532">
        <f t="shared" si="66"/>
        <v>1980</v>
      </c>
      <c r="M8617" s="682">
        <v>39216</v>
      </c>
      <c r="N8617" s="535">
        <v>134</v>
      </c>
      <c r="O8617" s="544">
        <v>3.7272727272727271E-3</v>
      </c>
      <c r="P8617" s="537">
        <v>0</v>
      </c>
      <c r="Q8617" s="537">
        <v>0.1111111111111111</v>
      </c>
      <c r="R8617" s="537">
        <v>0.33495934959349594</v>
      </c>
      <c r="S8617" s="537">
        <v>0.18387533875338752</v>
      </c>
      <c r="T8617" s="537">
        <v>5.3523035230352303E-2</v>
      </c>
      <c r="U8617" s="537">
        <v>7.8590785907859083E-3</v>
      </c>
      <c r="V8617" s="537">
        <v>0.30867208672086721</v>
      </c>
      <c r="W8617" s="818"/>
      <c r="X8617" s="815"/>
      <c r="Y8617" s="819"/>
      <c r="Z8617" s="535"/>
      <c r="AA8617" s="535"/>
      <c r="AB8617" s="538"/>
      <c r="AC8617" s="538"/>
      <c r="AD8617" s="535">
        <v>55</v>
      </c>
      <c r="AE8617" s="538"/>
      <c r="AF8617" s="535"/>
      <c r="AG8617" s="535"/>
    </row>
    <row r="8618" spans="4:33" ht="15" x14ac:dyDescent="0.25">
      <c r="D8618" s="702"/>
      <c r="H8618" s="535"/>
      <c r="I8618" s="535">
        <v>10</v>
      </c>
      <c r="J8618" s="535">
        <v>180</v>
      </c>
      <c r="K8618" s="507">
        <v>1</v>
      </c>
      <c r="L8618" s="532">
        <f t="shared" si="66"/>
        <v>1800</v>
      </c>
      <c r="M8618" s="682">
        <v>39216</v>
      </c>
      <c r="N8618" s="535">
        <v>129</v>
      </c>
      <c r="O8618" s="544">
        <v>1.8890555555555556E-2</v>
      </c>
      <c r="P8618" s="537">
        <v>0</v>
      </c>
      <c r="Q8618" s="537">
        <v>2.5938887745198952E-2</v>
      </c>
      <c r="R8618" s="537">
        <v>0.17739611210775519</v>
      </c>
      <c r="S8618" s="537">
        <v>0.26768226332970624</v>
      </c>
      <c r="T8618" s="537">
        <v>0.19648266329441519</v>
      </c>
      <c r="U8618" s="537">
        <v>0.13181189895009265</v>
      </c>
      <c r="V8618" s="537">
        <v>0.20068817457283181</v>
      </c>
      <c r="W8618" s="818"/>
      <c r="X8618" s="815"/>
      <c r="Y8618" s="819"/>
      <c r="Z8618" s="535"/>
      <c r="AA8618" s="535"/>
      <c r="AB8618" s="538"/>
      <c r="AC8618" s="538"/>
      <c r="AD8618" s="535">
        <v>40</v>
      </c>
      <c r="AE8618" s="538"/>
      <c r="AF8618" s="535"/>
      <c r="AG8618" s="535"/>
    </row>
    <row r="8619" spans="4:33" ht="15" x14ac:dyDescent="0.25">
      <c r="D8619" s="702"/>
      <c r="H8619" s="535"/>
      <c r="I8619" s="535">
        <v>10</v>
      </c>
      <c r="J8619" s="535">
        <v>150</v>
      </c>
      <c r="K8619" s="507">
        <v>1</v>
      </c>
      <c r="L8619" s="532">
        <f t="shared" si="66"/>
        <v>1500</v>
      </c>
      <c r="M8619" s="682">
        <v>39216</v>
      </c>
      <c r="N8619" s="535">
        <v>121</v>
      </c>
      <c r="O8619" s="544">
        <v>1.0758E-2</v>
      </c>
      <c r="P8619" s="537">
        <v>0</v>
      </c>
      <c r="Q8619" s="537">
        <v>1.4748714135217203E-2</v>
      </c>
      <c r="R8619" s="537">
        <v>0.1181756212431059</v>
      </c>
      <c r="S8619" s="537">
        <v>0.20827911011960093</v>
      </c>
      <c r="T8619" s="537">
        <v>0.17407200842783666</v>
      </c>
      <c r="U8619" s="537">
        <v>0.13193282518435895</v>
      </c>
      <c r="V8619" s="537">
        <v>0.35279172088988042</v>
      </c>
      <c r="W8619" s="818"/>
      <c r="X8619" s="815"/>
      <c r="Y8619" s="819"/>
      <c r="Z8619" s="535"/>
      <c r="AA8619" s="535"/>
      <c r="AB8619" s="538"/>
      <c r="AC8619" s="538"/>
      <c r="AD8619" s="535">
        <v>30</v>
      </c>
      <c r="AE8619" s="538"/>
      <c r="AF8619" s="535"/>
      <c r="AG8619" s="535"/>
    </row>
    <row r="8620" spans="4:33" ht="15" x14ac:dyDescent="0.25">
      <c r="D8620" s="702"/>
      <c r="H8620" s="535"/>
      <c r="I8620" s="535">
        <v>10</v>
      </c>
      <c r="J8620" s="535">
        <v>150</v>
      </c>
      <c r="K8620" s="507">
        <v>1</v>
      </c>
      <c r="L8620" s="532">
        <f t="shared" si="66"/>
        <v>1500</v>
      </c>
      <c r="M8620" s="682">
        <v>39216</v>
      </c>
      <c r="N8620" s="535">
        <v>113</v>
      </c>
      <c r="O8620" s="544">
        <v>5.4886666666666667E-2</v>
      </c>
      <c r="P8620" s="537">
        <v>0</v>
      </c>
      <c r="Q8620" s="537">
        <v>2.5312765699016155E-2</v>
      </c>
      <c r="R8620" s="537">
        <v>0.10290295153649945</v>
      </c>
      <c r="S8620" s="537">
        <v>0.26487307178428277</v>
      </c>
      <c r="T8620" s="537">
        <v>0.22023563707032673</v>
      </c>
      <c r="U8620" s="537">
        <v>0.17120126320903681</v>
      </c>
      <c r="V8620" s="537">
        <v>0.21547431070083808</v>
      </c>
      <c r="W8620" s="818"/>
      <c r="X8620" s="815"/>
      <c r="Y8620" s="819"/>
      <c r="Z8620" s="535"/>
      <c r="AA8620" s="535"/>
      <c r="AB8620" s="538"/>
      <c r="AC8620" s="538"/>
      <c r="AD8620" s="535">
        <v>30</v>
      </c>
      <c r="AE8620" s="538"/>
      <c r="AF8620" s="535"/>
      <c r="AG8620" s="535"/>
    </row>
    <row r="8621" spans="4:33" ht="15" x14ac:dyDescent="0.25">
      <c r="D8621" s="702"/>
      <c r="H8621" s="535"/>
      <c r="I8621" s="535">
        <v>10</v>
      </c>
      <c r="J8621" s="535">
        <v>120</v>
      </c>
      <c r="K8621" s="507">
        <v>1</v>
      </c>
      <c r="L8621" s="532">
        <f t="shared" si="66"/>
        <v>1200</v>
      </c>
      <c r="M8621" s="682">
        <v>39217</v>
      </c>
      <c r="N8621" s="535">
        <v>112</v>
      </c>
      <c r="O8621" s="544">
        <v>1.9294166666666664E-2</v>
      </c>
      <c r="P8621" s="537">
        <v>2.3323111475834664E-2</v>
      </c>
      <c r="Q8621" s="537">
        <v>4.077225413553319E-2</v>
      </c>
      <c r="R8621" s="537">
        <v>7.3770137779121503E-2</v>
      </c>
      <c r="S8621" s="537">
        <v>0.24394246965835958</v>
      </c>
      <c r="T8621" s="537">
        <v>0.25245108625232149</v>
      </c>
      <c r="U8621" s="537">
        <v>0.12633352049410443</v>
      </c>
      <c r="V8621" s="537">
        <v>0.23940742020472508</v>
      </c>
      <c r="W8621" s="818"/>
      <c r="X8621" s="815"/>
      <c r="Y8621" s="819"/>
      <c r="Z8621" s="535"/>
      <c r="AA8621" s="535"/>
      <c r="AB8621" s="538"/>
      <c r="AC8621" s="538"/>
      <c r="AD8621" s="535">
        <v>30</v>
      </c>
      <c r="AE8621" s="538"/>
      <c r="AF8621" s="535"/>
      <c r="AG8621" s="535"/>
    </row>
    <row r="8622" spans="4:33" ht="15" x14ac:dyDescent="0.25">
      <c r="D8622" s="702"/>
      <c r="H8622" s="535"/>
      <c r="I8622" s="535">
        <v>10</v>
      </c>
      <c r="J8622" s="535">
        <v>120</v>
      </c>
      <c r="K8622" s="507">
        <v>1</v>
      </c>
      <c r="L8622" s="532">
        <f t="shared" si="66"/>
        <v>1200</v>
      </c>
      <c r="M8622" s="682">
        <v>39217</v>
      </c>
      <c r="N8622" s="535">
        <v>109</v>
      </c>
      <c r="O8622" s="544">
        <v>2.7683333333333334E-2</v>
      </c>
      <c r="P8622" s="537">
        <v>0</v>
      </c>
      <c r="Q8622" s="537">
        <v>4.7019867549668873E-2</v>
      </c>
      <c r="R8622" s="537">
        <v>0.12308850090307044</v>
      </c>
      <c r="S8622" s="537">
        <v>0.34825406381697777</v>
      </c>
      <c r="T8622" s="537">
        <v>0.28413606261288382</v>
      </c>
      <c r="U8622" s="537">
        <v>7.3269114990969289E-2</v>
      </c>
      <c r="V8622" s="537">
        <v>0.12423239012642986</v>
      </c>
      <c r="W8622" s="818"/>
      <c r="X8622" s="815"/>
      <c r="Y8622" s="819"/>
      <c r="Z8622" s="535"/>
      <c r="AA8622" s="535"/>
      <c r="AB8622" s="538"/>
      <c r="AC8622" s="538"/>
      <c r="AD8622" s="535">
        <v>30</v>
      </c>
      <c r="AE8622" s="538"/>
      <c r="AF8622" s="535"/>
      <c r="AG8622" s="535"/>
    </row>
    <row r="8623" spans="4:33" ht="15" x14ac:dyDescent="0.25">
      <c r="D8623" s="702"/>
      <c r="H8623" s="535"/>
      <c r="I8623" s="198" t="s">
        <v>29</v>
      </c>
      <c r="J8623" s="198" t="s">
        <v>29</v>
      </c>
      <c r="K8623" s="187" t="s">
        <v>29</v>
      </c>
      <c r="L8623" s="642" t="s">
        <v>29</v>
      </c>
      <c r="M8623" s="682">
        <v>39217</v>
      </c>
      <c r="N8623" s="198" t="s">
        <v>29</v>
      </c>
      <c r="O8623" s="560" t="s">
        <v>29</v>
      </c>
      <c r="P8623" s="537">
        <v>0</v>
      </c>
      <c r="Q8623" s="537">
        <v>0</v>
      </c>
      <c r="R8623" s="537">
        <v>0</v>
      </c>
      <c r="S8623" s="537">
        <v>0</v>
      </c>
      <c r="T8623" s="537">
        <v>0</v>
      </c>
      <c r="U8623" s="537">
        <v>0</v>
      </c>
      <c r="V8623" s="537">
        <v>0</v>
      </c>
      <c r="W8623" s="818"/>
      <c r="X8623" s="815"/>
      <c r="Y8623" s="819"/>
      <c r="Z8623" s="535"/>
      <c r="AA8623" s="535"/>
      <c r="AB8623" s="538"/>
      <c r="AC8623" s="538"/>
      <c r="AD8623" s="198" t="s">
        <v>29</v>
      </c>
      <c r="AE8623" s="538"/>
      <c r="AF8623" s="535"/>
      <c r="AG8623" s="535"/>
    </row>
    <row r="8624" spans="4:33" ht="15" x14ac:dyDescent="0.25">
      <c r="D8624" s="702"/>
      <c r="H8624" s="535"/>
      <c r="I8624" s="535">
        <v>10</v>
      </c>
      <c r="J8624" s="535">
        <v>120</v>
      </c>
      <c r="K8624" s="507">
        <v>1</v>
      </c>
      <c r="L8624" s="532">
        <f t="shared" si="66"/>
        <v>1200</v>
      </c>
      <c r="M8624" s="682">
        <v>39218</v>
      </c>
      <c r="N8624" s="535">
        <v>101</v>
      </c>
      <c r="O8624" s="544">
        <v>1.0885833333333334E-2</v>
      </c>
      <c r="P8624" s="537">
        <v>0</v>
      </c>
      <c r="Q8624" s="537">
        <v>6.8820332236086662E-2</v>
      </c>
      <c r="R8624" s="537">
        <v>5.4045778152032459E-2</v>
      </c>
      <c r="S8624" s="537">
        <v>0.21916864426242058</v>
      </c>
      <c r="T8624" s="537">
        <v>0.13143994488249253</v>
      </c>
      <c r="U8624" s="537">
        <v>0.15631937533491541</v>
      </c>
      <c r="V8624" s="537">
        <v>0.37020592513205236</v>
      </c>
      <c r="W8624" s="818"/>
      <c r="X8624" s="815"/>
      <c r="Y8624" s="819"/>
      <c r="Z8624" s="535"/>
      <c r="AA8624" s="535"/>
      <c r="AB8624" s="538"/>
      <c r="AC8624" s="538"/>
      <c r="AD8624" s="535">
        <v>30</v>
      </c>
      <c r="AE8624" s="538"/>
      <c r="AF8624" s="535"/>
      <c r="AG8624" s="535"/>
    </row>
    <row r="8625" spans="4:33" ht="15" x14ac:dyDescent="0.25">
      <c r="D8625" s="702"/>
      <c r="H8625" s="535"/>
      <c r="I8625" s="535">
        <v>10</v>
      </c>
      <c r="J8625" s="535">
        <v>120</v>
      </c>
      <c r="K8625" s="507">
        <v>1</v>
      </c>
      <c r="L8625" s="532">
        <f t="shared" si="66"/>
        <v>1200</v>
      </c>
      <c r="M8625" s="682">
        <v>39218</v>
      </c>
      <c r="N8625" s="535">
        <v>101</v>
      </c>
      <c r="O8625" s="544">
        <v>1.02475E-2</v>
      </c>
      <c r="P8625" s="537">
        <v>0</v>
      </c>
      <c r="Q8625" s="537">
        <v>4.5295600552980403E-2</v>
      </c>
      <c r="R8625" s="537">
        <v>6.2454257135886801E-2</v>
      </c>
      <c r="S8625" s="537">
        <v>0.22932422542083436</v>
      </c>
      <c r="T8625" s="537">
        <v>0.12271285679434007</v>
      </c>
      <c r="U8625" s="537">
        <v>0.13686264942668944</v>
      </c>
      <c r="V8625" s="537">
        <v>0.40335041066926891</v>
      </c>
      <c r="W8625" s="818"/>
      <c r="X8625" s="815"/>
      <c r="Y8625" s="819"/>
      <c r="Z8625" s="535"/>
      <c r="AA8625" s="535"/>
      <c r="AB8625" s="538"/>
      <c r="AC8625" s="538"/>
      <c r="AD8625" s="535">
        <v>30</v>
      </c>
      <c r="AE8625" s="538"/>
      <c r="AF8625" s="535"/>
      <c r="AG8625" s="535"/>
    </row>
    <row r="8626" spans="4:33" ht="15" x14ac:dyDescent="0.25">
      <c r="D8626" s="702"/>
      <c r="H8626" s="535"/>
      <c r="I8626" s="535">
        <v>10</v>
      </c>
      <c r="J8626" s="535">
        <v>120</v>
      </c>
      <c r="K8626" s="507">
        <v>1</v>
      </c>
      <c r="L8626" s="532">
        <f t="shared" si="66"/>
        <v>1200</v>
      </c>
      <c r="M8626" s="682">
        <v>39218</v>
      </c>
      <c r="N8626" s="535">
        <v>95</v>
      </c>
      <c r="O8626" s="544">
        <v>1.04925E-2</v>
      </c>
      <c r="P8626" s="537">
        <v>0</v>
      </c>
      <c r="Q8626" s="537">
        <v>6.0042887776983557E-2</v>
      </c>
      <c r="R8626" s="537">
        <v>0.11937097927090778</v>
      </c>
      <c r="S8626" s="537">
        <v>0.23326185370502742</v>
      </c>
      <c r="T8626" s="537">
        <v>9.8403621634500837E-2</v>
      </c>
      <c r="U8626" s="537">
        <v>0.12532761496306885</v>
      </c>
      <c r="V8626" s="537">
        <v>0.36359304264951153</v>
      </c>
      <c r="W8626" s="818"/>
      <c r="X8626" s="815"/>
      <c r="Y8626" s="819"/>
      <c r="Z8626" s="535"/>
      <c r="AA8626" s="535"/>
      <c r="AB8626" s="538"/>
      <c r="AC8626" s="538"/>
      <c r="AD8626" s="535">
        <v>30</v>
      </c>
      <c r="AE8626" s="538"/>
      <c r="AF8626" s="535"/>
      <c r="AG8626" s="535"/>
    </row>
    <row r="8627" spans="4:33" ht="15" x14ac:dyDescent="0.25">
      <c r="D8627" s="702"/>
      <c r="H8627" s="535"/>
      <c r="I8627" s="198" t="s">
        <v>29</v>
      </c>
      <c r="J8627" s="198" t="s">
        <v>29</v>
      </c>
      <c r="K8627" s="187" t="s">
        <v>29</v>
      </c>
      <c r="L8627" s="642" t="s">
        <v>29</v>
      </c>
      <c r="M8627" s="682">
        <v>39219</v>
      </c>
      <c r="N8627" s="198" t="s">
        <v>29</v>
      </c>
      <c r="O8627" s="560" t="s">
        <v>29</v>
      </c>
      <c r="P8627" s="537">
        <v>0</v>
      </c>
      <c r="Q8627" s="537">
        <v>0</v>
      </c>
      <c r="R8627" s="537">
        <v>0</v>
      </c>
      <c r="S8627" s="537">
        <v>0</v>
      </c>
      <c r="T8627" s="537">
        <v>0</v>
      </c>
      <c r="U8627" s="537">
        <v>0</v>
      </c>
      <c r="V8627" s="537">
        <v>0</v>
      </c>
      <c r="W8627" s="818"/>
      <c r="X8627" s="815"/>
      <c r="Y8627" s="819"/>
      <c r="Z8627" s="535"/>
      <c r="AA8627" s="535"/>
      <c r="AB8627" s="538"/>
      <c r="AC8627" s="538"/>
      <c r="AD8627" s="198" t="s">
        <v>29</v>
      </c>
      <c r="AE8627" s="538"/>
      <c r="AF8627" s="535"/>
      <c r="AG8627" s="535"/>
    </row>
    <row r="8628" spans="4:33" ht="15" x14ac:dyDescent="0.25">
      <c r="D8628" s="702"/>
      <c r="H8628" s="535"/>
      <c r="I8628" s="535">
        <v>10</v>
      </c>
      <c r="J8628" s="535">
        <v>120</v>
      </c>
      <c r="K8628" s="507">
        <v>1</v>
      </c>
      <c r="L8628" s="532">
        <f t="shared" si="66"/>
        <v>1200</v>
      </c>
      <c r="M8628" s="682">
        <v>39219</v>
      </c>
      <c r="N8628" s="535">
        <v>108</v>
      </c>
      <c r="O8628" s="544">
        <v>2.6160833333333335E-2</v>
      </c>
      <c r="P8628" s="537">
        <v>0</v>
      </c>
      <c r="Q8628" s="537">
        <v>5.2400216608798136E-2</v>
      </c>
      <c r="R8628" s="537">
        <v>3.9308126015353738E-2</v>
      </c>
      <c r="S8628" s="537">
        <v>0.2734367534163667</v>
      </c>
      <c r="T8628" s="537">
        <v>0.25441977510910074</v>
      </c>
      <c r="U8628" s="537">
        <v>0.17902080081546839</v>
      </c>
      <c r="V8628" s="537">
        <v>0.20141432803491224</v>
      </c>
      <c r="W8628" s="818"/>
      <c r="X8628" s="815"/>
      <c r="Y8628" s="819"/>
      <c r="Z8628" s="535"/>
      <c r="AA8628" s="535"/>
      <c r="AB8628" s="538"/>
      <c r="AC8628" s="538"/>
      <c r="AD8628" s="535">
        <v>30</v>
      </c>
      <c r="AE8628" s="538"/>
      <c r="AF8628" s="535"/>
      <c r="AG8628" s="535"/>
    </row>
    <row r="8629" spans="4:33" ht="15" x14ac:dyDescent="0.25">
      <c r="D8629" s="702"/>
      <c r="H8629" s="535"/>
      <c r="I8629" s="535">
        <v>10</v>
      </c>
      <c r="J8629" s="535">
        <v>120</v>
      </c>
      <c r="K8629" s="507">
        <v>1</v>
      </c>
      <c r="L8629" s="532">
        <f t="shared" si="66"/>
        <v>1200</v>
      </c>
      <c r="M8629" s="682">
        <v>39219</v>
      </c>
      <c r="N8629" s="535">
        <v>105</v>
      </c>
      <c r="O8629" s="544">
        <v>2.7773333333333337E-2</v>
      </c>
      <c r="P8629" s="537">
        <v>0</v>
      </c>
      <c r="Q8629" s="537">
        <v>2.6014162265962554E-2</v>
      </c>
      <c r="R8629" s="537">
        <v>3.9966394623139702E-2</v>
      </c>
      <c r="S8629" s="537">
        <v>0.36278804608737403</v>
      </c>
      <c r="T8629" s="537">
        <v>0.24627940470475279</v>
      </c>
      <c r="U8629" s="537">
        <v>0.14072251560249641</v>
      </c>
      <c r="V8629" s="537">
        <v>0.1842294767162746</v>
      </c>
      <c r="W8629" s="818"/>
      <c r="X8629" s="815"/>
      <c r="Y8629" s="819"/>
      <c r="Z8629" s="535"/>
      <c r="AA8629" s="535"/>
      <c r="AB8629" s="538"/>
      <c r="AC8629" s="538"/>
      <c r="AD8629" s="535">
        <v>30</v>
      </c>
      <c r="AE8629" s="538"/>
      <c r="AF8629" s="535"/>
      <c r="AG8629" s="535"/>
    </row>
    <row r="8630" spans="4:33" ht="15" x14ac:dyDescent="0.25">
      <c r="D8630" s="702"/>
      <c r="H8630" s="535"/>
      <c r="I8630" s="535">
        <v>10</v>
      </c>
      <c r="J8630" s="535">
        <v>120</v>
      </c>
      <c r="K8630" s="507">
        <v>1</v>
      </c>
      <c r="L8630" s="532">
        <f t="shared" si="66"/>
        <v>1200</v>
      </c>
      <c r="M8630" s="682">
        <v>39219</v>
      </c>
      <c r="N8630" s="535">
        <v>105</v>
      </c>
      <c r="O8630" s="544">
        <v>1.6346666666666666E-2</v>
      </c>
      <c r="P8630" s="537">
        <v>0</v>
      </c>
      <c r="Q8630" s="537">
        <v>2.6712887438825446E-2</v>
      </c>
      <c r="R8630" s="537">
        <v>3.3085236541598693E-2</v>
      </c>
      <c r="S8630" s="537">
        <v>0.2732463295269168</v>
      </c>
      <c r="T8630" s="537">
        <v>0.21344820554649263</v>
      </c>
      <c r="U8630" s="537">
        <v>0.14804241435562807</v>
      </c>
      <c r="V8630" s="537">
        <v>0.30546492659053831</v>
      </c>
      <c r="W8630" s="818"/>
      <c r="X8630" s="815"/>
      <c r="Y8630" s="819"/>
      <c r="Z8630" s="535"/>
      <c r="AA8630" s="535"/>
      <c r="AB8630" s="538"/>
      <c r="AC8630" s="538"/>
      <c r="AD8630" s="535">
        <v>30</v>
      </c>
      <c r="AE8630" s="538"/>
      <c r="AF8630" s="535"/>
      <c r="AG8630" s="535"/>
    </row>
    <row r="8631" spans="4:33" ht="15" x14ac:dyDescent="0.25">
      <c r="D8631" s="702"/>
      <c r="H8631" s="535"/>
      <c r="I8631" s="535">
        <v>10</v>
      </c>
      <c r="J8631" s="535">
        <v>120</v>
      </c>
      <c r="K8631" s="507">
        <v>1</v>
      </c>
      <c r="L8631" s="532">
        <f t="shared" si="66"/>
        <v>1200</v>
      </c>
      <c r="M8631" s="682">
        <v>39219</v>
      </c>
      <c r="N8631" s="535">
        <v>102</v>
      </c>
      <c r="O8631" s="544">
        <v>1.1140833333333332E-2</v>
      </c>
      <c r="P8631" s="537">
        <v>0.29508564589722491</v>
      </c>
      <c r="Q8631" s="537">
        <v>2.094397486723016E-2</v>
      </c>
      <c r="R8631" s="537">
        <v>2.8947565262921686E-2</v>
      </c>
      <c r="S8631" s="537">
        <v>6.3205924152891016E-2</v>
      </c>
      <c r="T8631" s="537">
        <v>5.8568329718004339E-2</v>
      </c>
      <c r="U8631" s="537">
        <v>7.8839105393073539E-2</v>
      </c>
      <c r="V8631" s="537">
        <v>0.45440945470865435</v>
      </c>
      <c r="W8631" s="818"/>
      <c r="X8631" s="815"/>
      <c r="Y8631" s="819"/>
      <c r="Z8631" s="535"/>
      <c r="AA8631" s="535"/>
      <c r="AB8631" s="538"/>
      <c r="AC8631" s="538"/>
      <c r="AD8631" s="535">
        <v>30</v>
      </c>
      <c r="AE8631" s="538"/>
      <c r="AF8631" s="535"/>
      <c r="AG8631" s="535"/>
    </row>
    <row r="8632" spans="4:33" ht="15" x14ac:dyDescent="0.25">
      <c r="D8632" s="702"/>
      <c r="H8632" s="535"/>
      <c r="I8632" s="535">
        <v>10</v>
      </c>
      <c r="J8632" s="535">
        <v>120</v>
      </c>
      <c r="K8632" s="507">
        <v>1</v>
      </c>
      <c r="L8632" s="532">
        <f t="shared" si="66"/>
        <v>1200</v>
      </c>
      <c r="M8632" s="682">
        <v>39220</v>
      </c>
      <c r="N8632" s="535">
        <v>110</v>
      </c>
      <c r="O8632" s="544">
        <v>9.5541666666666674E-3</v>
      </c>
      <c r="P8632" s="537">
        <v>0.29655473179241171</v>
      </c>
      <c r="Q8632" s="537">
        <v>3.8813781072830351E-2</v>
      </c>
      <c r="R8632" s="537">
        <v>1.6746620148277366E-2</v>
      </c>
      <c r="S8632" s="537">
        <v>9.6293065852594867E-2</v>
      </c>
      <c r="T8632" s="537">
        <v>7.6668120366332318E-2</v>
      </c>
      <c r="U8632" s="537">
        <v>0.10021805494984737</v>
      </c>
      <c r="V8632" s="537">
        <v>0.37470562581770606</v>
      </c>
      <c r="W8632" s="818"/>
      <c r="X8632" s="815"/>
      <c r="Y8632" s="819"/>
      <c r="Z8632" s="535"/>
      <c r="AA8632" s="535"/>
      <c r="AB8632" s="538"/>
      <c r="AC8632" s="538"/>
      <c r="AD8632" s="535">
        <v>30</v>
      </c>
      <c r="AE8632" s="538"/>
      <c r="AF8632" s="535"/>
      <c r="AG8632" s="535"/>
    </row>
    <row r="8633" spans="4:33" ht="15" x14ac:dyDescent="0.25">
      <c r="D8633" s="702"/>
      <c r="H8633" s="535"/>
      <c r="I8633" s="535">
        <v>10</v>
      </c>
      <c r="J8633" s="535">
        <v>120</v>
      </c>
      <c r="K8633" s="507">
        <v>1</v>
      </c>
      <c r="L8633" s="532">
        <f t="shared" si="66"/>
        <v>1200</v>
      </c>
      <c r="M8633" s="682">
        <v>39220</v>
      </c>
      <c r="N8633" s="535">
        <v>109</v>
      </c>
      <c r="O8633" s="544">
        <v>2.5072500000000001E-2</v>
      </c>
      <c r="P8633" s="537">
        <v>4.6564961611327151E-2</v>
      </c>
      <c r="Q8633" s="537">
        <v>2.090603915312261E-2</v>
      </c>
      <c r="R8633" s="537">
        <v>2.7885797852893277E-2</v>
      </c>
      <c r="S8633" s="537">
        <v>0.2545285339183036</v>
      </c>
      <c r="T8633" s="537">
        <v>0.20377571708711403</v>
      </c>
      <c r="U8633" s="537">
        <v>0.20706617475986305</v>
      </c>
      <c r="V8633" s="537">
        <v>0.23927277561737628</v>
      </c>
      <c r="W8633" s="818"/>
      <c r="X8633" s="815"/>
      <c r="Y8633" s="819"/>
      <c r="Z8633" s="535"/>
      <c r="AA8633" s="535"/>
      <c r="AB8633" s="538"/>
      <c r="AC8633" s="538"/>
      <c r="AD8633" s="535">
        <v>30</v>
      </c>
      <c r="AE8633" s="538"/>
      <c r="AF8633" s="535"/>
      <c r="AG8633" s="535"/>
    </row>
    <row r="8634" spans="4:33" ht="15" x14ac:dyDescent="0.25">
      <c r="D8634" s="702"/>
      <c r="H8634" s="535"/>
      <c r="I8634" s="535">
        <v>10</v>
      </c>
      <c r="J8634" s="535">
        <v>120</v>
      </c>
      <c r="K8634" s="507">
        <v>1</v>
      </c>
      <c r="L8634" s="532">
        <f t="shared" si="66"/>
        <v>1200</v>
      </c>
      <c r="M8634" s="682">
        <v>39220</v>
      </c>
      <c r="N8634" s="535">
        <v>107</v>
      </c>
      <c r="O8634" s="544">
        <v>1.2530833333333335E-2</v>
      </c>
      <c r="P8634" s="537">
        <v>0</v>
      </c>
      <c r="Q8634" s="537">
        <v>5.5396688169182681E-2</v>
      </c>
      <c r="R8634" s="537">
        <v>1.8022211877369156E-2</v>
      </c>
      <c r="S8634" s="537">
        <v>0.25916073684910557</v>
      </c>
      <c r="T8634" s="537">
        <v>0.21912615548314157</v>
      </c>
      <c r="U8634" s="537">
        <v>0.13047815388707854</v>
      </c>
      <c r="V8634" s="537">
        <v>0.31781605373412247</v>
      </c>
      <c r="W8634" s="818"/>
      <c r="X8634" s="815"/>
      <c r="Y8634" s="819"/>
      <c r="Z8634" s="535"/>
      <c r="AA8634" s="535"/>
      <c r="AB8634" s="538"/>
      <c r="AC8634" s="538"/>
      <c r="AD8634" s="535">
        <v>30</v>
      </c>
      <c r="AE8634" s="538"/>
      <c r="AF8634" s="535"/>
      <c r="AG8634" s="535"/>
    </row>
    <row r="8635" spans="4:33" ht="15" x14ac:dyDescent="0.25">
      <c r="D8635" s="702"/>
      <c r="H8635" s="535"/>
      <c r="I8635" s="535">
        <v>10</v>
      </c>
      <c r="J8635" s="535">
        <v>120</v>
      </c>
      <c r="K8635" s="507">
        <v>1</v>
      </c>
      <c r="L8635" s="532">
        <f t="shared" si="66"/>
        <v>1200</v>
      </c>
      <c r="M8635" s="682">
        <v>39220</v>
      </c>
      <c r="N8635" s="535">
        <v>106</v>
      </c>
      <c r="O8635" s="544">
        <v>1.2489166666666668E-2</v>
      </c>
      <c r="P8635" s="537">
        <v>0</v>
      </c>
      <c r="Q8635" s="537">
        <v>4.4171615400013346E-2</v>
      </c>
      <c r="R8635" s="537">
        <v>4.6306799225995864E-2</v>
      </c>
      <c r="S8635" s="537">
        <v>0.24180956829252018</v>
      </c>
      <c r="T8635" s="537">
        <v>0.19196637085474078</v>
      </c>
      <c r="U8635" s="537">
        <v>0.19109895242543537</v>
      </c>
      <c r="V8635" s="537">
        <v>0.28464669380129448</v>
      </c>
      <c r="W8635" s="818"/>
      <c r="X8635" s="815"/>
      <c r="Y8635" s="819"/>
      <c r="Z8635" s="535"/>
      <c r="AA8635" s="535"/>
      <c r="AB8635" s="538"/>
      <c r="AC8635" s="538"/>
      <c r="AD8635" s="535">
        <v>30</v>
      </c>
      <c r="AE8635" s="538"/>
      <c r="AF8635" s="535"/>
      <c r="AG8635" s="535"/>
    </row>
    <row r="8636" spans="4:33" ht="15" x14ac:dyDescent="0.25">
      <c r="D8636" s="702"/>
      <c r="H8636" s="535"/>
      <c r="I8636" s="535">
        <v>10</v>
      </c>
      <c r="J8636" s="535">
        <v>120</v>
      </c>
      <c r="K8636" s="507">
        <v>1</v>
      </c>
      <c r="L8636" s="532">
        <f t="shared" si="66"/>
        <v>1200</v>
      </c>
      <c r="M8636" s="682">
        <v>39220</v>
      </c>
      <c r="N8636" s="535">
        <v>104</v>
      </c>
      <c r="O8636" s="544">
        <v>1.2937500000000001E-2</v>
      </c>
      <c r="P8636" s="537">
        <v>0</v>
      </c>
      <c r="Q8636" s="537">
        <v>2.8148148148148148E-2</v>
      </c>
      <c r="R8636" s="537">
        <v>2.5056360708534623E-2</v>
      </c>
      <c r="S8636" s="537">
        <v>0.21159420289855072</v>
      </c>
      <c r="T8636" s="537">
        <v>0.11400966183574879</v>
      </c>
      <c r="U8636" s="537">
        <v>0.14434782608695651</v>
      </c>
      <c r="V8636" s="537">
        <v>0.4768438003220612</v>
      </c>
      <c r="W8636" s="818"/>
      <c r="X8636" s="815"/>
      <c r="Y8636" s="819"/>
      <c r="Z8636" s="535"/>
      <c r="AA8636" s="535"/>
      <c r="AB8636" s="538"/>
      <c r="AC8636" s="538"/>
      <c r="AD8636" s="535">
        <v>30</v>
      </c>
      <c r="AE8636" s="538"/>
      <c r="AF8636" s="535"/>
      <c r="AG8636" s="535"/>
    </row>
    <row r="8637" spans="4:33" ht="15" x14ac:dyDescent="0.25">
      <c r="D8637" s="702"/>
      <c r="H8637" s="535"/>
      <c r="I8637" s="535">
        <v>10</v>
      </c>
      <c r="J8637" s="535">
        <v>120</v>
      </c>
      <c r="K8637" s="507">
        <v>1</v>
      </c>
      <c r="L8637" s="532">
        <f t="shared" si="66"/>
        <v>1200</v>
      </c>
      <c r="M8637" s="682">
        <v>39221</v>
      </c>
      <c r="N8637" s="535">
        <v>105</v>
      </c>
      <c r="O8637" s="544">
        <v>1.728E-2</v>
      </c>
      <c r="P8637" s="537">
        <v>0</v>
      </c>
      <c r="Q8637" s="537">
        <v>4.5910493827160496E-2</v>
      </c>
      <c r="R8637" s="537">
        <v>6.7177854938271608E-2</v>
      </c>
      <c r="S8637" s="537">
        <v>0.31553819444444442</v>
      </c>
      <c r="T8637" s="537">
        <v>0.1872588734567901</v>
      </c>
      <c r="U8637" s="537">
        <v>0.13831018518518517</v>
      </c>
      <c r="V8637" s="537">
        <v>0.24580439814814814</v>
      </c>
      <c r="W8637" s="818"/>
      <c r="X8637" s="815"/>
      <c r="Y8637" s="819"/>
      <c r="Z8637" s="535"/>
      <c r="AA8637" s="535"/>
      <c r="AB8637" s="538"/>
      <c r="AC8637" s="538"/>
      <c r="AD8637" s="535">
        <v>25</v>
      </c>
      <c r="AE8637" s="538"/>
      <c r="AF8637" s="535"/>
      <c r="AG8637" s="535"/>
    </row>
    <row r="8638" spans="4:33" ht="15" x14ac:dyDescent="0.25">
      <c r="D8638" s="702"/>
      <c r="H8638" s="535"/>
      <c r="I8638" s="535">
        <v>10</v>
      </c>
      <c r="J8638" s="535">
        <v>120</v>
      </c>
      <c r="K8638" s="507">
        <v>1</v>
      </c>
      <c r="L8638" s="532">
        <f t="shared" si="66"/>
        <v>1200</v>
      </c>
      <c r="M8638" s="682">
        <v>39221</v>
      </c>
      <c r="N8638" s="535">
        <v>104</v>
      </c>
      <c r="O8638" s="544">
        <v>2.6217499999999998E-2</v>
      </c>
      <c r="P8638" s="537">
        <v>0</v>
      </c>
      <c r="Q8638" s="537">
        <v>5.5846921585455012E-2</v>
      </c>
      <c r="R8638" s="537">
        <v>3.6775690537490864E-2</v>
      </c>
      <c r="S8638" s="537">
        <v>0.35126029051841962</v>
      </c>
      <c r="T8638" s="537">
        <v>0.30463113060614727</v>
      </c>
      <c r="U8638" s="537">
        <v>0.1232001525698484</v>
      </c>
      <c r="V8638" s="537">
        <v>0.12828581418263882</v>
      </c>
      <c r="W8638" s="818"/>
      <c r="X8638" s="815"/>
      <c r="Y8638" s="819"/>
      <c r="Z8638" s="535"/>
      <c r="AA8638" s="535"/>
      <c r="AB8638" s="538"/>
      <c r="AC8638" s="538"/>
      <c r="AD8638" s="535">
        <v>20</v>
      </c>
      <c r="AE8638" s="538"/>
      <c r="AF8638" s="535"/>
      <c r="AG8638" s="535"/>
    </row>
    <row r="8639" spans="4:33" ht="15" x14ac:dyDescent="0.25">
      <c r="D8639" s="702"/>
      <c r="H8639" s="535"/>
      <c r="I8639" s="535">
        <v>10</v>
      </c>
      <c r="J8639" s="535">
        <v>120</v>
      </c>
      <c r="K8639" s="507">
        <v>1</v>
      </c>
      <c r="L8639" s="532">
        <f t="shared" si="66"/>
        <v>1200</v>
      </c>
      <c r="M8639" s="682">
        <v>39221</v>
      </c>
      <c r="N8639" s="535">
        <v>102</v>
      </c>
      <c r="O8639" s="544">
        <v>4.5450833333333329E-2</v>
      </c>
      <c r="P8639" s="537">
        <v>0</v>
      </c>
      <c r="Q8639" s="537">
        <v>5.3739388716745204E-2</v>
      </c>
      <c r="R8639" s="537">
        <v>6.0394932252800647E-2</v>
      </c>
      <c r="S8639" s="537">
        <v>0.38699327111714121</v>
      </c>
      <c r="T8639" s="537">
        <v>0.22375827359234338</v>
      </c>
      <c r="U8639" s="537">
        <v>0.19357914229662088</v>
      </c>
      <c r="V8639" s="537">
        <v>8.1534992024348649E-2</v>
      </c>
      <c r="W8639" s="818"/>
      <c r="X8639" s="815"/>
      <c r="Y8639" s="819"/>
      <c r="Z8639" s="535"/>
      <c r="AA8639" s="535"/>
      <c r="AB8639" s="538"/>
      <c r="AC8639" s="538"/>
      <c r="AD8639" s="535">
        <v>15</v>
      </c>
      <c r="AE8639" s="538"/>
      <c r="AF8639" s="535"/>
      <c r="AG8639" s="535"/>
    </row>
    <row r="8640" spans="4:33" ht="15" x14ac:dyDescent="0.25">
      <c r="D8640" s="702"/>
      <c r="H8640" s="535"/>
      <c r="I8640" s="535">
        <v>10</v>
      </c>
      <c r="J8640" s="535">
        <v>120</v>
      </c>
      <c r="K8640" s="507">
        <v>1</v>
      </c>
      <c r="L8640" s="532">
        <f t="shared" si="66"/>
        <v>1200</v>
      </c>
      <c r="M8640" s="682">
        <v>39222</v>
      </c>
      <c r="N8640" s="535">
        <v>114</v>
      </c>
      <c r="O8640" s="544">
        <v>1.5868333333333335E-2</v>
      </c>
      <c r="P8640" s="537">
        <v>0.30458985400693206</v>
      </c>
      <c r="Q8640" s="537">
        <v>6.5644365087700876E-3</v>
      </c>
      <c r="R8640" s="537">
        <v>9.1376956202079609E-3</v>
      </c>
      <c r="S8640" s="537">
        <v>0.10907467702972376</v>
      </c>
      <c r="T8640" s="537">
        <v>9.1481987186219943E-2</v>
      </c>
      <c r="U8640" s="537">
        <v>0.11212057556979309</v>
      </c>
      <c r="V8640" s="537">
        <v>0.36703077407835311</v>
      </c>
      <c r="W8640" s="818"/>
      <c r="X8640" s="815"/>
      <c r="Y8640" s="819"/>
      <c r="Z8640" s="535"/>
      <c r="AA8640" s="535"/>
      <c r="AB8640" s="538"/>
      <c r="AC8640" s="538"/>
      <c r="AD8640" s="535">
        <v>25</v>
      </c>
      <c r="AE8640" s="538"/>
      <c r="AF8640" s="535"/>
      <c r="AG8640" s="535"/>
    </row>
    <row r="8641" spans="1:81" ht="15" x14ac:dyDescent="0.25">
      <c r="D8641" s="702"/>
      <c r="H8641" s="535"/>
      <c r="I8641" s="535">
        <v>10</v>
      </c>
      <c r="J8641" s="535">
        <v>120</v>
      </c>
      <c r="K8641" s="507">
        <v>1</v>
      </c>
      <c r="L8641" s="532">
        <f t="shared" si="66"/>
        <v>1200</v>
      </c>
      <c r="M8641" s="682">
        <v>39222</v>
      </c>
      <c r="N8641" s="535">
        <v>113</v>
      </c>
      <c r="O8641" s="544">
        <v>2.009E-2</v>
      </c>
      <c r="P8641" s="537">
        <v>0</v>
      </c>
      <c r="Q8641" s="537">
        <v>1.5679442508710801E-2</v>
      </c>
      <c r="R8641" s="537">
        <v>9.0426414468226315E-3</v>
      </c>
      <c r="S8641" s="537">
        <v>0.11792765886842543</v>
      </c>
      <c r="T8641" s="537">
        <v>0.16533930645428901</v>
      </c>
      <c r="U8641" s="537">
        <v>0.23050439688070351</v>
      </c>
      <c r="V8641" s="537">
        <v>0.46150655384104861</v>
      </c>
      <c r="W8641" s="818"/>
      <c r="X8641" s="815"/>
      <c r="Y8641" s="819"/>
      <c r="Z8641" s="535"/>
      <c r="AA8641" s="535"/>
      <c r="AB8641" s="538"/>
      <c r="AC8641" s="538"/>
      <c r="AD8641" s="535">
        <v>20</v>
      </c>
      <c r="AE8641" s="538"/>
      <c r="AF8641" s="535"/>
      <c r="AG8641" s="535"/>
    </row>
    <row r="8642" spans="1:81" ht="15" x14ac:dyDescent="0.25">
      <c r="D8642" s="702"/>
      <c r="H8642" s="535"/>
      <c r="I8642" s="535">
        <v>10</v>
      </c>
      <c r="J8642" s="535">
        <v>120</v>
      </c>
      <c r="K8642" s="507">
        <v>1</v>
      </c>
      <c r="L8642" s="532">
        <f t="shared" si="66"/>
        <v>1200</v>
      </c>
      <c r="M8642" s="682">
        <v>39222</v>
      </c>
      <c r="N8642" s="535">
        <v>111</v>
      </c>
      <c r="O8642" s="544">
        <v>1.4410833333333333E-2</v>
      </c>
      <c r="P8642" s="537">
        <v>0</v>
      </c>
      <c r="Q8642" s="537">
        <v>7.511709940438327E-2</v>
      </c>
      <c r="R8642" s="537">
        <v>4.93263170068814E-2</v>
      </c>
      <c r="S8642" s="537">
        <v>0.24917596715433993</v>
      </c>
      <c r="T8642" s="537">
        <v>0.17926328572254668</v>
      </c>
      <c r="U8642" s="537">
        <v>0.13629792401549759</v>
      </c>
      <c r="V8642" s="537">
        <v>0.31081940669635111</v>
      </c>
      <c r="W8642" s="818"/>
      <c r="X8642" s="815"/>
      <c r="Y8642" s="819"/>
      <c r="Z8642" s="535"/>
      <c r="AA8642" s="535"/>
      <c r="AB8642" s="538"/>
      <c r="AC8642" s="538"/>
      <c r="AD8642" s="535">
        <v>15</v>
      </c>
      <c r="AE8642" s="538"/>
      <c r="AF8642" s="535"/>
      <c r="AG8642" s="535"/>
    </row>
    <row r="8643" spans="1:81" ht="15" x14ac:dyDescent="0.25">
      <c r="D8643" s="702"/>
      <c r="H8643" s="535"/>
      <c r="I8643" s="535">
        <v>10</v>
      </c>
      <c r="J8643" s="535">
        <v>120</v>
      </c>
      <c r="K8643" s="507">
        <v>1</v>
      </c>
      <c r="L8643" s="532">
        <f t="shared" si="66"/>
        <v>1200</v>
      </c>
      <c r="M8643" s="682">
        <v>39223</v>
      </c>
      <c r="N8643" s="535">
        <v>109</v>
      </c>
      <c r="O8643" s="544">
        <v>1.2605E-2</v>
      </c>
      <c r="P8643" s="537">
        <v>0</v>
      </c>
      <c r="Q8643" s="537">
        <v>7.1796905989686632E-2</v>
      </c>
      <c r="R8643" s="537">
        <v>3.5634007668914454E-2</v>
      </c>
      <c r="S8643" s="537">
        <v>0.24917360835647229</v>
      </c>
      <c r="T8643" s="537">
        <v>0.20190400634668781</v>
      </c>
      <c r="U8643" s="537">
        <v>0.20732513552822954</v>
      </c>
      <c r="V8643" s="537">
        <v>0.23416633611000925</v>
      </c>
      <c r="W8643" s="818"/>
      <c r="X8643" s="815"/>
      <c r="Y8643" s="819"/>
      <c r="Z8643" s="535"/>
      <c r="AA8643" s="535"/>
      <c r="AB8643" s="538"/>
      <c r="AC8643" s="538"/>
      <c r="AD8643" s="535">
        <v>30</v>
      </c>
      <c r="AE8643" s="538"/>
      <c r="AF8643" s="535"/>
      <c r="AG8643" s="535"/>
    </row>
    <row r="8644" spans="1:81" ht="15" x14ac:dyDescent="0.25">
      <c r="D8644" s="702"/>
      <c r="H8644" s="535"/>
      <c r="I8644" s="535">
        <v>10</v>
      </c>
      <c r="J8644" s="535">
        <v>120</v>
      </c>
      <c r="K8644" s="507">
        <v>1</v>
      </c>
      <c r="L8644" s="532">
        <f t="shared" si="66"/>
        <v>1200</v>
      </c>
      <c r="M8644" s="682">
        <v>39223</v>
      </c>
      <c r="N8644" s="535">
        <v>108</v>
      </c>
      <c r="O8644" s="544">
        <v>6.4399999999999995E-3</v>
      </c>
      <c r="P8644" s="537">
        <v>0</v>
      </c>
      <c r="Q8644" s="537">
        <v>5.2406832298136648E-2</v>
      </c>
      <c r="R8644" s="537">
        <v>3.687888198757764E-2</v>
      </c>
      <c r="S8644" s="537">
        <v>0.2056159420289855</v>
      </c>
      <c r="T8644" s="537">
        <v>7.2075569358178049E-2</v>
      </c>
      <c r="U8644" s="537">
        <v>7.9839544513457567E-2</v>
      </c>
      <c r="V8644" s="537">
        <v>0.55318322981366463</v>
      </c>
      <c r="W8644" s="818"/>
      <c r="X8644" s="815"/>
      <c r="Y8644" s="819"/>
      <c r="Z8644" s="535"/>
      <c r="AA8644" s="535"/>
      <c r="AB8644" s="538"/>
      <c r="AC8644" s="538"/>
      <c r="AD8644" s="535">
        <v>25</v>
      </c>
      <c r="AE8644" s="538"/>
      <c r="AF8644" s="535"/>
      <c r="AG8644" s="535"/>
    </row>
    <row r="8645" spans="1:81" ht="15" x14ac:dyDescent="0.25">
      <c r="D8645" s="702"/>
      <c r="H8645" s="535"/>
      <c r="I8645" s="535">
        <v>10</v>
      </c>
      <c r="J8645" s="535">
        <v>120</v>
      </c>
      <c r="K8645" s="507">
        <v>1</v>
      </c>
      <c r="L8645" s="532">
        <f t="shared" si="66"/>
        <v>1200</v>
      </c>
      <c r="M8645" s="682">
        <v>39223</v>
      </c>
      <c r="N8645" s="535">
        <v>108</v>
      </c>
      <c r="O8645" s="544">
        <v>7.6533333333333323E-3</v>
      </c>
      <c r="P8645" s="537">
        <v>0</v>
      </c>
      <c r="Q8645" s="537">
        <v>2.5696864111498258E-2</v>
      </c>
      <c r="R8645" s="537">
        <v>3.9525261324041813E-2</v>
      </c>
      <c r="S8645" s="537">
        <v>0.29736498257839722</v>
      </c>
      <c r="T8645" s="537">
        <v>0.18172909407665505</v>
      </c>
      <c r="U8645" s="537">
        <v>9.6036585365853661E-2</v>
      </c>
      <c r="V8645" s="537">
        <v>0.35964721254355403</v>
      </c>
      <c r="W8645" s="818"/>
      <c r="X8645" s="815"/>
      <c r="Y8645" s="819"/>
      <c r="Z8645" s="535"/>
      <c r="AA8645" s="535"/>
      <c r="AB8645" s="538"/>
      <c r="AC8645" s="538"/>
      <c r="AD8645" s="535">
        <v>20</v>
      </c>
      <c r="AE8645" s="538"/>
      <c r="AF8645" s="535"/>
      <c r="AG8645" s="535"/>
    </row>
    <row r="8646" spans="1:81" ht="15" x14ac:dyDescent="0.25">
      <c r="D8646" s="702"/>
      <c r="H8646" s="535"/>
      <c r="I8646" s="535">
        <v>10</v>
      </c>
      <c r="J8646" s="535">
        <v>120</v>
      </c>
      <c r="K8646" s="507">
        <v>1</v>
      </c>
      <c r="L8646" s="532">
        <f t="shared" si="66"/>
        <v>1200</v>
      </c>
      <c r="M8646" s="682">
        <v>39223</v>
      </c>
      <c r="N8646" s="535">
        <v>107</v>
      </c>
      <c r="O8646" s="544">
        <v>4.5825000000000005E-2</v>
      </c>
      <c r="P8646" s="537">
        <v>0</v>
      </c>
      <c r="Q8646" s="537">
        <v>1.3220585561011093E-2</v>
      </c>
      <c r="R8646" s="537">
        <v>4.0407346790325517E-2</v>
      </c>
      <c r="S8646" s="537">
        <v>0.35406437534097107</v>
      </c>
      <c r="T8646" s="537">
        <v>0.22764138934351702</v>
      </c>
      <c r="U8646" s="537">
        <v>0.20716493907983269</v>
      </c>
      <c r="V8646" s="537">
        <v>0.1575013638843426</v>
      </c>
      <c r="W8646" s="818"/>
      <c r="X8646" s="815"/>
      <c r="Y8646" s="819"/>
      <c r="Z8646" s="535"/>
      <c r="AA8646" s="535"/>
      <c r="AB8646" s="538"/>
      <c r="AC8646" s="538"/>
      <c r="AD8646" s="535">
        <v>15</v>
      </c>
      <c r="AE8646" s="538"/>
      <c r="AF8646" s="535"/>
      <c r="AG8646" s="535"/>
    </row>
    <row r="8647" spans="1:81" ht="15" x14ac:dyDescent="0.25">
      <c r="D8647" s="702"/>
      <c r="H8647" s="535"/>
      <c r="I8647" s="535">
        <v>11</v>
      </c>
      <c r="J8647" s="535">
        <v>60</v>
      </c>
      <c r="K8647" s="507">
        <v>1</v>
      </c>
      <c r="L8647" s="532">
        <f t="shared" si="66"/>
        <v>660</v>
      </c>
      <c r="M8647" s="682">
        <v>39224</v>
      </c>
      <c r="N8647" s="535">
        <v>148</v>
      </c>
      <c r="O8647" s="544">
        <v>8.6107575757575758E-2</v>
      </c>
      <c r="P8647" s="537">
        <v>0</v>
      </c>
      <c r="Q8647" s="537">
        <v>2.767855571783006E-2</v>
      </c>
      <c r="R8647" s="537">
        <v>2.4476078196758812E-2</v>
      </c>
      <c r="S8647" s="537">
        <v>0.21706463021942252</v>
      </c>
      <c r="T8647" s="537">
        <v>0.19672361915151942</v>
      </c>
      <c r="U8647" s="537">
        <v>0.19783216906265946</v>
      </c>
      <c r="V8647" s="537">
        <v>0.33622494765180977</v>
      </c>
      <c r="W8647" s="818"/>
      <c r="X8647" s="815"/>
      <c r="Y8647" s="819"/>
      <c r="Z8647" s="535"/>
      <c r="AA8647" s="535"/>
      <c r="AB8647" s="538"/>
      <c r="AC8647" s="538"/>
      <c r="AD8647" s="535">
        <v>33</v>
      </c>
      <c r="AE8647" s="538"/>
      <c r="AF8647" s="535"/>
      <c r="AG8647" s="535"/>
    </row>
    <row r="8648" spans="1:81" ht="15" x14ac:dyDescent="0.25">
      <c r="D8648" s="702"/>
      <c r="H8648" s="535"/>
      <c r="I8648" s="535">
        <v>11</v>
      </c>
      <c r="J8648" s="535">
        <v>30</v>
      </c>
      <c r="K8648" s="507">
        <v>1</v>
      </c>
      <c r="L8648" s="532">
        <f t="shared" si="66"/>
        <v>330</v>
      </c>
      <c r="M8648" s="682">
        <v>39224</v>
      </c>
      <c r="N8648" s="535">
        <v>147</v>
      </c>
      <c r="O8648" s="544">
        <v>4.0833333333333333E-2</v>
      </c>
      <c r="P8648" s="537">
        <v>0</v>
      </c>
      <c r="Q8648" s="537">
        <v>5.981447124304267E-2</v>
      </c>
      <c r="R8648" s="537">
        <v>4.8534322820037105E-2</v>
      </c>
      <c r="S8648" s="537">
        <v>0.25528756957328386</v>
      </c>
      <c r="T8648" s="537">
        <v>0.14894248608534322</v>
      </c>
      <c r="U8648" s="537">
        <v>0.10775510204081633</v>
      </c>
      <c r="V8648" s="537">
        <v>0.37966604823747679</v>
      </c>
      <c r="W8648" s="818"/>
      <c r="X8648" s="815"/>
      <c r="Y8648" s="819"/>
      <c r="Z8648" s="535"/>
      <c r="AA8648" s="535"/>
      <c r="AB8648" s="538"/>
      <c r="AC8648" s="538"/>
      <c r="AD8648" s="535">
        <v>27.5</v>
      </c>
      <c r="AE8648" s="538"/>
      <c r="AF8648" s="535"/>
      <c r="AG8648" s="535"/>
    </row>
    <row r="8649" spans="1:81" ht="15" x14ac:dyDescent="0.25">
      <c r="D8649" s="702"/>
      <c r="H8649" s="535"/>
      <c r="I8649" s="535">
        <v>11</v>
      </c>
      <c r="J8649" s="535">
        <v>30</v>
      </c>
      <c r="K8649" s="507">
        <v>1</v>
      </c>
      <c r="L8649" s="532">
        <f t="shared" si="66"/>
        <v>330</v>
      </c>
      <c r="M8649" s="682">
        <v>39224</v>
      </c>
      <c r="N8649" s="535">
        <v>152</v>
      </c>
      <c r="O8649" s="544">
        <v>7.8293939393939388E-2</v>
      </c>
      <c r="P8649" s="537">
        <v>0</v>
      </c>
      <c r="Q8649" s="537">
        <v>7.5395750280605328E-2</v>
      </c>
      <c r="R8649" s="537">
        <v>6.7500096760459802E-2</v>
      </c>
      <c r="S8649" s="537">
        <v>0.31269110190811628</v>
      </c>
      <c r="T8649" s="537">
        <v>0.15791307040291055</v>
      </c>
      <c r="U8649" s="537">
        <v>0.12203429190695514</v>
      </c>
      <c r="V8649" s="537">
        <v>0.26446568874095289</v>
      </c>
      <c r="W8649" s="818"/>
      <c r="X8649" s="815"/>
      <c r="Y8649" s="819"/>
      <c r="Z8649" s="535"/>
      <c r="AA8649" s="535"/>
      <c r="AB8649" s="538"/>
      <c r="AC8649" s="538"/>
      <c r="AD8649" s="535">
        <v>27.5</v>
      </c>
      <c r="AE8649" s="538"/>
      <c r="AF8649" s="535"/>
      <c r="AG8649" s="535"/>
    </row>
    <row r="8650" spans="1:81" ht="15" x14ac:dyDescent="0.25">
      <c r="D8650" s="702"/>
      <c r="H8650" s="535"/>
      <c r="I8650" s="535">
        <v>11</v>
      </c>
      <c r="J8650" s="535">
        <v>30</v>
      </c>
      <c r="K8650" s="507">
        <v>1</v>
      </c>
      <c r="L8650" s="532">
        <f t="shared" si="66"/>
        <v>330</v>
      </c>
      <c r="M8650" s="682">
        <v>39224</v>
      </c>
      <c r="N8650" s="535">
        <v>159</v>
      </c>
      <c r="O8650" s="544">
        <v>2.1666666666666667E-2</v>
      </c>
      <c r="P8650" s="537">
        <v>0</v>
      </c>
      <c r="Q8650" s="537">
        <v>0.10251748251748252</v>
      </c>
      <c r="R8650" s="537">
        <v>5.944055944055944E-2</v>
      </c>
      <c r="S8650" s="537">
        <v>0.12643356643356643</v>
      </c>
      <c r="T8650" s="537">
        <v>9.034965034965034E-2</v>
      </c>
      <c r="U8650" s="537">
        <v>0.11020979020979021</v>
      </c>
      <c r="V8650" s="537">
        <v>0.51104895104895109</v>
      </c>
      <c r="W8650" s="818"/>
      <c r="X8650" s="815"/>
      <c r="Y8650" s="819"/>
      <c r="Z8650" s="535"/>
      <c r="AA8650" s="535"/>
      <c r="AB8650" s="538"/>
      <c r="AC8650" s="538"/>
      <c r="AD8650" s="535">
        <v>27.5</v>
      </c>
      <c r="AE8650" s="538"/>
      <c r="AF8650" s="535"/>
      <c r="AG8650" s="535"/>
    </row>
    <row r="8651" spans="1:81" ht="15" x14ac:dyDescent="0.25">
      <c r="D8651" s="702"/>
      <c r="H8651" s="535"/>
      <c r="I8651" s="535">
        <v>11</v>
      </c>
      <c r="J8651" s="535">
        <v>30</v>
      </c>
      <c r="K8651" s="507">
        <v>1</v>
      </c>
      <c r="L8651" s="532">
        <f t="shared" si="66"/>
        <v>330</v>
      </c>
      <c r="M8651" s="682">
        <v>39224</v>
      </c>
      <c r="N8651" s="535">
        <v>158</v>
      </c>
      <c r="O8651" s="544">
        <v>7.9890909090909096E-2</v>
      </c>
      <c r="P8651" s="537">
        <v>0.22379001668942497</v>
      </c>
      <c r="Q8651" s="537">
        <v>0.13598088302230313</v>
      </c>
      <c r="R8651" s="537">
        <v>7.980579578212714E-2</v>
      </c>
      <c r="S8651" s="537">
        <v>0.16219086633287816</v>
      </c>
      <c r="T8651" s="537">
        <v>8.6671218328023061E-2</v>
      </c>
      <c r="U8651" s="537">
        <v>8.1436807768168723E-2</v>
      </c>
      <c r="V8651" s="537">
        <v>0.23012441207707479</v>
      </c>
      <c r="W8651" s="818"/>
      <c r="X8651" s="815"/>
      <c r="Y8651" s="819"/>
      <c r="Z8651" s="535"/>
      <c r="AA8651" s="535"/>
      <c r="AB8651" s="538"/>
      <c r="AC8651" s="538"/>
      <c r="AD8651" s="535">
        <v>27.5</v>
      </c>
      <c r="AE8651" s="538"/>
      <c r="AF8651" s="535"/>
      <c r="AG8651" s="535"/>
    </row>
    <row r="8652" spans="1:81" ht="15" x14ac:dyDescent="0.25">
      <c r="D8652" s="702"/>
      <c r="H8652" s="535"/>
      <c r="I8652" s="535">
        <v>11</v>
      </c>
      <c r="J8652" s="535">
        <v>30</v>
      </c>
      <c r="K8652" s="507">
        <v>1</v>
      </c>
      <c r="L8652" s="532">
        <f t="shared" si="66"/>
        <v>330</v>
      </c>
      <c r="M8652" s="682">
        <v>39224</v>
      </c>
      <c r="N8652" s="535">
        <v>178</v>
      </c>
      <c r="O8652" s="544">
        <v>7.3387878787878794E-2</v>
      </c>
      <c r="P8652" s="537">
        <v>4.0135436452225615E-2</v>
      </c>
      <c r="Q8652" s="537">
        <v>9.32364357089768E-2</v>
      </c>
      <c r="R8652" s="537">
        <v>7.4407465521512922E-2</v>
      </c>
      <c r="S8652" s="537">
        <v>0.27710793624576763</v>
      </c>
      <c r="T8652" s="537">
        <v>0.12887108762077792</v>
      </c>
      <c r="U8652" s="537">
        <v>0.1173920224626311</v>
      </c>
      <c r="V8652" s="537">
        <v>0.26884961598810803</v>
      </c>
      <c r="W8652" s="818"/>
      <c r="X8652" s="815"/>
      <c r="Y8652" s="819"/>
      <c r="Z8652" s="535"/>
      <c r="AA8652" s="535"/>
      <c r="AB8652" s="538"/>
      <c r="AC8652" s="538"/>
      <c r="AD8652" s="535">
        <v>27.5</v>
      </c>
      <c r="AE8652" s="538"/>
      <c r="AF8652" s="535"/>
      <c r="AG8652" s="535"/>
    </row>
    <row r="8653" spans="1:81" ht="15" x14ac:dyDescent="0.25">
      <c r="D8653" s="702"/>
      <c r="H8653" s="535"/>
      <c r="I8653" s="535">
        <v>11</v>
      </c>
      <c r="J8653" s="535">
        <v>30</v>
      </c>
      <c r="K8653" s="507">
        <v>1</v>
      </c>
      <c r="L8653" s="532">
        <f t="shared" si="66"/>
        <v>330</v>
      </c>
      <c r="M8653" s="682">
        <v>39224</v>
      </c>
      <c r="N8653" s="535">
        <v>181</v>
      </c>
      <c r="O8653" s="544">
        <v>7.0648484848484849E-2</v>
      </c>
      <c r="P8653" s="537">
        <v>4.3278716650939353E-2</v>
      </c>
      <c r="Q8653" s="537">
        <v>0.12919275971519259</v>
      </c>
      <c r="R8653" s="537">
        <v>9.4020760058334055E-2</v>
      </c>
      <c r="S8653" s="537">
        <v>0.27850218752680789</v>
      </c>
      <c r="T8653" s="537">
        <v>0.16861113494037916</v>
      </c>
      <c r="U8653" s="537">
        <v>0.10748906236596037</v>
      </c>
      <c r="V8653" s="537">
        <v>0.17890537874238654</v>
      </c>
      <c r="W8653" s="818"/>
      <c r="X8653" s="815"/>
      <c r="Y8653" s="819"/>
      <c r="Z8653" s="535"/>
      <c r="AA8653" s="535"/>
      <c r="AB8653" s="538"/>
      <c r="AC8653" s="538"/>
      <c r="AD8653" s="535">
        <v>27.5</v>
      </c>
      <c r="AE8653" s="538"/>
      <c r="AF8653" s="535"/>
      <c r="AG8653" s="535"/>
    </row>
    <row r="8654" spans="1:81" ht="18.75" x14ac:dyDescent="0.35">
      <c r="A8654" s="874" t="s">
        <v>978</v>
      </c>
      <c r="B8654" s="872" t="s">
        <v>109</v>
      </c>
      <c r="C8654" s="881" t="s">
        <v>986</v>
      </c>
      <c r="D8654" s="873">
        <f>VLOOKUP(E8654,'Quality Code'!$D$4:$E$24,2,TRUE)*VLOOKUP(MROUND(F8654,10),'Quality Code'!$D$28:$E$69,2,TRUE)*VLOOKUP(COUNTA(CB8654:CB8656),'Quality Code'!$D$73:$E$93,2,TRUE)</f>
        <v>0.249999</v>
      </c>
      <c r="E8654" s="878">
        <v>0.6</v>
      </c>
      <c r="F8654" s="880">
        <v>14</v>
      </c>
      <c r="G8654" s="880">
        <f>114*1.60934</f>
        <v>183.46476000000001</v>
      </c>
      <c r="H8654" s="872" t="s">
        <v>615</v>
      </c>
      <c r="I8654" s="872"/>
      <c r="J8654" s="872" t="s">
        <v>967</v>
      </c>
      <c r="K8654" s="872"/>
      <c r="L8654" s="872" t="s">
        <v>967</v>
      </c>
      <c r="M8654" s="875"/>
      <c r="N8654" s="876" t="s">
        <v>980</v>
      </c>
      <c r="O8654" s="876"/>
      <c r="P8654" s="876" t="s">
        <v>968</v>
      </c>
      <c r="Q8654" s="876" t="s">
        <v>969</v>
      </c>
      <c r="R8654" s="876" t="s">
        <v>970</v>
      </c>
      <c r="S8654" s="876" t="s">
        <v>971</v>
      </c>
      <c r="T8654" s="876" t="s">
        <v>972</v>
      </c>
      <c r="U8654" s="876" t="s">
        <v>973</v>
      </c>
      <c r="V8654" s="876" t="s">
        <v>974</v>
      </c>
      <c r="W8654" s="876"/>
      <c r="X8654" s="876"/>
      <c r="Y8654" s="876"/>
      <c r="Z8654" s="876"/>
      <c r="AA8654" s="876"/>
      <c r="AB8654" s="876"/>
      <c r="AC8654" s="884"/>
      <c r="AD8654" s="882"/>
      <c r="AE8654" s="882"/>
      <c r="AF8654" s="882"/>
      <c r="AG8654" s="882"/>
      <c r="AH8654" s="900"/>
      <c r="AI8654" s="886">
        <v>24.421956748113047</v>
      </c>
      <c r="AJ8654" s="888" t="s">
        <v>975</v>
      </c>
      <c r="AK8654" s="879" t="s">
        <v>517</v>
      </c>
      <c r="AL8654" s="879" t="s">
        <v>976</v>
      </c>
      <c r="AM8654" s="879" t="s">
        <v>404</v>
      </c>
      <c r="AN8654" s="879" t="s">
        <v>977</v>
      </c>
      <c r="AO8654" s="879" t="s">
        <v>405</v>
      </c>
      <c r="AP8654" s="879" t="s">
        <v>406</v>
      </c>
      <c r="AQ8654" s="879"/>
      <c r="AR8654" s="879"/>
      <c r="AS8654" s="879"/>
      <c r="AT8654" s="879"/>
      <c r="AU8654" s="880">
        <v>71.288748861579194</v>
      </c>
      <c r="AV8654" s="887"/>
      <c r="AW8654" s="887" t="s">
        <v>975</v>
      </c>
      <c r="AX8654" s="887" t="s">
        <v>517</v>
      </c>
      <c r="AY8654" s="887" t="s">
        <v>976</v>
      </c>
      <c r="AZ8654" s="887" t="s">
        <v>404</v>
      </c>
      <c r="BA8654" s="887" t="s">
        <v>977</v>
      </c>
      <c r="BB8654" s="887" t="s">
        <v>405</v>
      </c>
      <c r="BC8654" s="887" t="s">
        <v>406</v>
      </c>
      <c r="BD8654" s="887"/>
      <c r="BE8654" s="887"/>
      <c r="BF8654" s="887"/>
      <c r="BG8654" s="887"/>
      <c r="BH8654" s="887"/>
      <c r="BI8654" s="873">
        <f>AU8654/AI8654</f>
        <v>2.9190432853865116</v>
      </c>
      <c r="BJ8654" s="872" t="s">
        <v>982</v>
      </c>
      <c r="BK8654" s="872" t="s">
        <v>68</v>
      </c>
      <c r="BL8654" s="877"/>
      <c r="BM8654" s="877"/>
      <c r="BN8654" s="877"/>
      <c r="BO8654" s="877"/>
      <c r="BP8654" s="877"/>
      <c r="BQ8654" s="877"/>
      <c r="BR8654" s="877"/>
      <c r="BS8654" s="880"/>
      <c r="BT8654" s="877"/>
      <c r="BU8654" s="872"/>
      <c r="BV8654" s="872"/>
      <c r="BW8654" s="872"/>
      <c r="BX8654" s="872"/>
      <c r="BY8654" s="872"/>
      <c r="BZ8654" s="872"/>
      <c r="CA8654" s="874"/>
      <c r="CB8654" s="874" t="s">
        <v>983</v>
      </c>
    </row>
    <row r="8655" spans="1:81" ht="15" x14ac:dyDescent="0.25">
      <c r="A8655" s="857"/>
      <c r="B8655" s="918"/>
      <c r="C8655" s="894"/>
      <c r="D8655" s="894"/>
      <c r="E8655" s="919"/>
      <c r="F8655" s="920"/>
      <c r="G8655" s="894"/>
      <c r="H8655" s="857"/>
      <c r="I8655" s="857">
        <v>12</v>
      </c>
      <c r="J8655" s="863">
        <v>4.166666666666667</v>
      </c>
      <c r="K8655" s="894"/>
      <c r="L8655" s="921">
        <v>50</v>
      </c>
      <c r="M8655" s="854">
        <v>40670</v>
      </c>
      <c r="N8655" s="858">
        <v>14.094786749999999</v>
      </c>
      <c r="O8655" s="859">
        <v>0.34479258660000006</v>
      </c>
      <c r="P8655" s="922">
        <v>5.5464218268792846</v>
      </c>
      <c r="Q8655" s="922">
        <v>12.428341324890857</v>
      </c>
      <c r="R8655" s="922">
        <v>22.392210727483697</v>
      </c>
      <c r="S8655" s="922">
        <v>53.779356401070494</v>
      </c>
      <c r="T8655" s="922">
        <v>75.17937617111113</v>
      </c>
      <c r="U8655" s="922">
        <v>84.30760402913063</v>
      </c>
      <c r="V8655" s="922">
        <v>108.85249888412937</v>
      </c>
      <c r="W8655" s="893"/>
      <c r="X8655" s="894"/>
      <c r="Y8655" s="894"/>
      <c r="Z8655" s="857">
        <v>130</v>
      </c>
      <c r="AA8655" s="858">
        <f>S8655</f>
        <v>53.779356401070494</v>
      </c>
      <c r="AB8655" s="902"/>
      <c r="AC8655" s="903"/>
      <c r="AD8655" s="699">
        <v>5.8673999999999999</v>
      </c>
      <c r="AE8655" s="904"/>
      <c r="AF8655" s="905"/>
      <c r="AG8655" s="902"/>
      <c r="AH8655" s="902"/>
      <c r="AI8655" s="895"/>
      <c r="AJ8655" s="922">
        <v>0.38372985393555664</v>
      </c>
      <c r="AK8655" s="922">
        <v>4.2835066685948995</v>
      </c>
      <c r="AL8655" s="922">
        <v>10.010444440678466</v>
      </c>
      <c r="AM8655" s="922">
        <v>24.421956748113047</v>
      </c>
      <c r="AN8655" s="922">
        <v>43.0321475932639</v>
      </c>
      <c r="AO8655" s="922">
        <v>50.625158042905397</v>
      </c>
      <c r="AP8655" s="922">
        <v>75.196073967068259</v>
      </c>
      <c r="AQ8655" s="922"/>
      <c r="AR8655" s="883"/>
      <c r="AS8655" s="883"/>
      <c r="AT8655" s="883"/>
      <c r="AU8655" s="883"/>
      <c r="AV8655" s="895"/>
      <c r="AW8655" s="922">
        <v>19.444420179014816</v>
      </c>
      <c r="AX8655" s="922">
        <v>40.53845055411113</v>
      </c>
      <c r="AY8655" s="922">
        <v>48.954822000898794</v>
      </c>
      <c r="AZ8655" s="922">
        <v>71.288748861579194</v>
      </c>
      <c r="BA8655" s="922">
        <v>92.677211594098452</v>
      </c>
      <c r="BB8655" s="922">
        <v>104.10181047473912</v>
      </c>
      <c r="BC8655" s="922">
        <v>119.99483901892826</v>
      </c>
      <c r="BD8655" s="883"/>
      <c r="BE8655" s="883"/>
      <c r="BF8655" s="883"/>
      <c r="BG8655" s="883"/>
      <c r="BH8655" s="883"/>
      <c r="BI8655" s="883"/>
      <c r="BJ8655" s="895"/>
      <c r="BK8655" s="895"/>
      <c r="BL8655" s="895"/>
      <c r="BM8655" s="895"/>
      <c r="BN8655" s="895"/>
      <c r="BO8655" s="895"/>
      <c r="BP8655" s="895"/>
      <c r="BQ8655" s="895"/>
      <c r="BR8655" s="895"/>
      <c r="BS8655" s="895"/>
      <c r="BT8655" s="895"/>
      <c r="BU8655" s="895"/>
      <c r="BV8655" s="895"/>
      <c r="BW8655" s="895"/>
      <c r="BX8655" s="895"/>
      <c r="BY8655" s="895"/>
      <c r="BZ8655" s="895"/>
      <c r="CA8655" s="895"/>
      <c r="CB8655" s="883" t="s">
        <v>984</v>
      </c>
      <c r="CC8655" s="931"/>
    </row>
    <row r="8656" spans="1:81" ht="15" x14ac:dyDescent="0.25">
      <c r="A8656" s="910"/>
      <c r="B8656" s="889"/>
      <c r="C8656" s="890"/>
      <c r="D8656" s="890"/>
      <c r="E8656" s="891"/>
      <c r="F8656" s="916"/>
      <c r="G8656" s="890"/>
      <c r="H8656" s="910"/>
      <c r="I8656" s="910">
        <v>6</v>
      </c>
      <c r="J8656" s="910">
        <v>2</v>
      </c>
      <c r="K8656" s="890"/>
      <c r="L8656" s="917">
        <v>12</v>
      </c>
      <c r="M8656" s="914">
        <v>40675</v>
      </c>
      <c r="N8656" s="913">
        <v>11.836506</v>
      </c>
      <c r="O8656" s="912">
        <v>5.3300362499999997E-3</v>
      </c>
      <c r="P8656" s="915">
        <v>6.0208579184045572</v>
      </c>
      <c r="Q8656" s="915">
        <v>38.888954831149917</v>
      </c>
      <c r="R8656" s="915">
        <v>40.018320149298823</v>
      </c>
      <c r="S8656" s="915">
        <v>43.330510622770937</v>
      </c>
      <c r="T8656" s="915">
        <v>46.916840682603294</v>
      </c>
      <c r="U8656" s="915">
        <v>48.279342013228074</v>
      </c>
      <c r="V8656" s="915">
        <v>49.998470809233794</v>
      </c>
      <c r="W8656" s="893"/>
      <c r="X8656" s="890"/>
      <c r="Y8656" s="890"/>
      <c r="Z8656" s="910">
        <v>48</v>
      </c>
      <c r="AA8656" s="858">
        <f t="shared" ref="AA8656:AA8696" si="67">S8656</f>
        <v>43.330510622770937</v>
      </c>
      <c r="AB8656" s="902"/>
      <c r="AC8656" s="903"/>
      <c r="AD8656" s="699">
        <v>5.8673999999999999</v>
      </c>
      <c r="AE8656" s="904"/>
      <c r="AF8656" s="905"/>
      <c r="AG8656" s="902"/>
      <c r="AH8656" s="902"/>
      <c r="AI8656" s="901"/>
      <c r="AJ8656" s="895"/>
      <c r="AK8656" s="895"/>
      <c r="AL8656" s="895"/>
      <c r="AM8656" s="883"/>
      <c r="AN8656" s="883"/>
      <c r="AO8656" s="883"/>
      <c r="AP8656" s="883"/>
      <c r="AQ8656" s="883"/>
      <c r="AR8656" s="883"/>
      <c r="AS8656" s="883"/>
      <c r="AT8656" s="883"/>
      <c r="AU8656" s="883"/>
      <c r="AV8656" s="895"/>
      <c r="AW8656" s="895"/>
      <c r="AX8656" s="895"/>
      <c r="AY8656" s="895"/>
      <c r="AZ8656" s="895"/>
      <c r="BA8656" s="883"/>
      <c r="BB8656" s="883"/>
      <c r="BC8656" s="883"/>
      <c r="BD8656" s="883"/>
      <c r="BE8656" s="883"/>
      <c r="BF8656" s="883"/>
      <c r="BG8656" s="883"/>
      <c r="BH8656" s="883"/>
      <c r="BI8656" s="883"/>
      <c r="BJ8656" s="895"/>
      <c r="BK8656" s="895"/>
      <c r="BL8656" s="895"/>
      <c r="BM8656" s="895"/>
      <c r="BN8656" s="895"/>
      <c r="BO8656" s="895"/>
      <c r="BP8656" s="895"/>
      <c r="BQ8656" s="895"/>
      <c r="BR8656" s="895"/>
      <c r="BS8656" s="895"/>
      <c r="BT8656" s="895"/>
      <c r="BU8656" s="895"/>
      <c r="BV8656" s="895"/>
      <c r="BW8656" s="895"/>
      <c r="BX8656" s="895"/>
      <c r="BY8656" s="895"/>
      <c r="BZ8656" s="895"/>
      <c r="CA8656" s="895"/>
      <c r="CB8656" s="883"/>
      <c r="CC8656" s="931"/>
    </row>
    <row r="8657" spans="1:81" ht="15" x14ac:dyDescent="0.25">
      <c r="A8657" s="910"/>
      <c r="B8657" s="889"/>
      <c r="C8657" s="890"/>
      <c r="D8657" s="890"/>
      <c r="E8657" s="891"/>
      <c r="F8657" s="916"/>
      <c r="G8657" s="890"/>
      <c r="H8657" s="910"/>
      <c r="I8657" s="910">
        <v>12</v>
      </c>
      <c r="J8657" s="910">
        <v>2</v>
      </c>
      <c r="K8657" s="890"/>
      <c r="L8657" s="917">
        <v>24</v>
      </c>
      <c r="M8657" s="914">
        <v>40676</v>
      </c>
      <c r="N8657" s="913">
        <v>11.9072985</v>
      </c>
      <c r="O8657" s="912">
        <v>0.33092612437500002</v>
      </c>
      <c r="P8657" s="915">
        <v>22.541551648356037</v>
      </c>
      <c r="Q8657" s="915">
        <v>34.939722441671762</v>
      </c>
      <c r="R8657" s="915">
        <v>43.017593206975157</v>
      </c>
      <c r="S8657" s="915">
        <v>59.433823583893833</v>
      </c>
      <c r="T8657" s="915">
        <v>82.80541159981162</v>
      </c>
      <c r="U8657" s="915">
        <v>95.588368604510976</v>
      </c>
      <c r="V8657" s="915">
        <v>116.83781649619394</v>
      </c>
      <c r="W8657" s="893"/>
      <c r="X8657" s="890"/>
      <c r="Y8657" s="890"/>
      <c r="Z8657" s="910">
        <v>120</v>
      </c>
      <c r="AA8657" s="858">
        <f t="shared" si="67"/>
        <v>59.433823583893833</v>
      </c>
      <c r="AB8657" s="902"/>
      <c r="AC8657" s="903"/>
      <c r="AD8657" s="699">
        <v>5.8673999999999999</v>
      </c>
      <c r="AE8657" s="904"/>
      <c r="AF8657" s="905"/>
      <c r="AG8657" s="902"/>
      <c r="AH8657" s="902"/>
      <c r="AI8657" s="901"/>
      <c r="AJ8657" s="895"/>
      <c r="AK8657" s="895"/>
      <c r="AL8657" s="895"/>
      <c r="AM8657" s="883"/>
      <c r="AN8657" s="883"/>
      <c r="AO8657" s="883"/>
      <c r="AP8657" s="883"/>
      <c r="AQ8657" s="883"/>
      <c r="AR8657" s="883"/>
      <c r="AS8657" s="883"/>
      <c r="AT8657" s="883"/>
      <c r="AU8657" s="883"/>
      <c r="AV8657" s="895"/>
      <c r="AW8657" s="895"/>
      <c r="AX8657" s="895"/>
      <c r="AY8657" s="895"/>
      <c r="AZ8657" s="895"/>
      <c r="BA8657" s="883"/>
      <c r="BB8657" s="883"/>
      <c r="BC8657" s="883"/>
      <c r="BD8657" s="883"/>
      <c r="BE8657" s="883"/>
      <c r="BF8657" s="883"/>
      <c r="BG8657" s="883"/>
      <c r="BH8657" s="883"/>
      <c r="BI8657" s="883"/>
      <c r="BJ8657" s="895"/>
      <c r="BK8657" s="895"/>
      <c r="BL8657" s="895"/>
      <c r="BM8657" s="895"/>
      <c r="BN8657" s="895"/>
      <c r="BO8657" s="895"/>
      <c r="BP8657" s="895"/>
      <c r="BQ8657" s="895"/>
      <c r="BR8657" s="895"/>
      <c r="BS8657" s="895"/>
      <c r="BT8657" s="895"/>
      <c r="BU8657" s="895"/>
      <c r="BV8657" s="895"/>
      <c r="BW8657" s="895"/>
      <c r="BX8657" s="895"/>
      <c r="BY8657" s="895"/>
      <c r="BZ8657" s="895"/>
      <c r="CA8657" s="895"/>
      <c r="CB8657" s="883"/>
      <c r="CC8657" s="883"/>
    </row>
    <row r="8658" spans="1:81" ht="15" x14ac:dyDescent="0.25">
      <c r="A8658" s="910"/>
      <c r="B8658" s="889"/>
      <c r="C8658" s="890"/>
      <c r="D8658" s="890"/>
      <c r="E8658" s="891"/>
      <c r="F8658" s="916"/>
      <c r="G8658" s="890"/>
      <c r="H8658" s="910"/>
      <c r="I8658" s="910">
        <v>12</v>
      </c>
      <c r="J8658" s="910">
        <v>2</v>
      </c>
      <c r="K8658" s="890"/>
      <c r="L8658" s="917">
        <v>24</v>
      </c>
      <c r="M8658" s="914">
        <v>40677</v>
      </c>
      <c r="N8658" s="913">
        <v>14.838107999999998</v>
      </c>
      <c r="O8658" s="912">
        <v>0.24242872499999998</v>
      </c>
      <c r="P8658" s="915">
        <v>5.4381183049876753</v>
      </c>
      <c r="Q8658" s="915">
        <v>14.859688784409352</v>
      </c>
      <c r="R8658" s="915">
        <v>25.66198722683561</v>
      </c>
      <c r="S8658" s="915">
        <v>68.798753638109588</v>
      </c>
      <c r="T8658" s="915">
        <v>113.62955418184475</v>
      </c>
      <c r="U8658" s="915">
        <v>135.56502202197831</v>
      </c>
      <c r="V8658" s="915">
        <v>164.738833915599</v>
      </c>
      <c r="W8658" s="893"/>
      <c r="X8658" s="890"/>
      <c r="Y8658" s="890"/>
      <c r="Z8658" s="890"/>
      <c r="AA8658" s="858">
        <f t="shared" si="67"/>
        <v>68.798753638109588</v>
      </c>
      <c r="AB8658" s="902"/>
      <c r="AC8658" s="903"/>
      <c r="AD8658" s="699">
        <v>5.8673999999999999</v>
      </c>
      <c r="AE8658" s="904"/>
      <c r="AF8658" s="905"/>
      <c r="AG8658" s="902"/>
      <c r="AH8658" s="902"/>
      <c r="AI8658" s="901"/>
      <c r="AJ8658" s="895"/>
      <c r="AK8658" s="895"/>
      <c r="AL8658" s="895"/>
      <c r="AM8658" s="883"/>
      <c r="AN8658" s="883"/>
      <c r="AO8658" s="883"/>
      <c r="AP8658" s="883"/>
      <c r="AQ8658" s="883"/>
      <c r="AR8658" s="883"/>
      <c r="AS8658" s="883"/>
      <c r="AT8658" s="883"/>
      <c r="AU8658" s="883"/>
      <c r="AV8658" s="895"/>
      <c r="AW8658" s="895"/>
      <c r="AX8658" s="895"/>
      <c r="AY8658" s="895"/>
      <c r="AZ8658" s="895"/>
      <c r="BA8658" s="883"/>
      <c r="BB8658" s="883"/>
      <c r="BC8658" s="883"/>
      <c r="BD8658" s="883"/>
      <c r="BE8658" s="883"/>
      <c r="BF8658" s="883"/>
      <c r="BG8658" s="883"/>
      <c r="BH8658" s="883"/>
      <c r="BI8658" s="883"/>
      <c r="BJ8658" s="895"/>
      <c r="BK8658" s="895"/>
      <c r="BL8658" s="895"/>
      <c r="BM8658" s="895"/>
      <c r="BN8658" s="895"/>
      <c r="BO8658" s="895"/>
      <c r="BP8658" s="895"/>
      <c r="BQ8658" s="895"/>
      <c r="BR8658" s="895"/>
      <c r="BS8658" s="895"/>
      <c r="BT8658" s="895"/>
      <c r="BU8658" s="895"/>
      <c r="BV8658" s="895"/>
      <c r="BW8658" s="895"/>
      <c r="BX8658" s="895"/>
      <c r="BY8658" s="895"/>
      <c r="BZ8658" s="895"/>
      <c r="CA8658" s="895"/>
      <c r="CB8658" s="883"/>
      <c r="CC8658" s="883"/>
    </row>
    <row r="8659" spans="1:81" ht="15" x14ac:dyDescent="0.25">
      <c r="A8659" s="910"/>
      <c r="B8659" s="889"/>
      <c r="C8659" s="890"/>
      <c r="D8659" s="890"/>
      <c r="E8659" s="891"/>
      <c r="F8659" s="916"/>
      <c r="G8659" s="890"/>
      <c r="H8659" s="910"/>
      <c r="I8659" s="910">
        <v>12</v>
      </c>
      <c r="J8659" s="910">
        <v>1</v>
      </c>
      <c r="K8659" s="890"/>
      <c r="L8659" s="917">
        <v>12</v>
      </c>
      <c r="M8659" s="914">
        <v>40680</v>
      </c>
      <c r="N8659" s="913">
        <v>14.200975499999998</v>
      </c>
      <c r="O8659" s="912">
        <v>5.4500985000000002E-2</v>
      </c>
      <c r="P8659" s="915">
        <v>2.9282214133974414</v>
      </c>
      <c r="Q8659" s="915">
        <v>4.7090741191008032</v>
      </c>
      <c r="R8659" s="915">
        <v>5.8725045989892175</v>
      </c>
      <c r="S8659" s="915">
        <v>11.349575812215699</v>
      </c>
      <c r="T8659" s="915">
        <v>26.745937862207555</v>
      </c>
      <c r="U8659" s="915">
        <v>35.871501092811776</v>
      </c>
      <c r="V8659" s="915">
        <v>45.890482177212583</v>
      </c>
      <c r="W8659" s="893"/>
      <c r="X8659" s="890"/>
      <c r="Y8659" s="890"/>
      <c r="Z8659" s="890"/>
      <c r="AA8659" s="858">
        <f t="shared" si="67"/>
        <v>11.349575812215699</v>
      </c>
      <c r="AB8659" s="902"/>
      <c r="AC8659" s="903"/>
      <c r="AD8659" s="699">
        <v>5.8673999999999999</v>
      </c>
      <c r="AE8659" s="904"/>
      <c r="AF8659" s="905"/>
      <c r="AG8659" s="902"/>
      <c r="AH8659" s="902"/>
      <c r="AI8659" s="901"/>
      <c r="AJ8659" s="895"/>
      <c r="AK8659" s="895"/>
      <c r="AL8659" s="895"/>
      <c r="AM8659" s="883"/>
      <c r="AN8659" s="883"/>
      <c r="AO8659" s="883"/>
      <c r="AP8659" s="883"/>
      <c r="AQ8659" s="883"/>
      <c r="AR8659" s="883"/>
      <c r="AS8659" s="883"/>
      <c r="AT8659" s="883"/>
      <c r="AU8659" s="883"/>
      <c r="AV8659" s="895"/>
      <c r="AW8659" s="895"/>
      <c r="AX8659" s="895"/>
      <c r="AY8659" s="895"/>
      <c r="AZ8659" s="895"/>
      <c r="BA8659" s="883"/>
      <c r="BB8659" s="883"/>
      <c r="BC8659" s="883"/>
      <c r="BD8659" s="883"/>
      <c r="BE8659" s="883"/>
      <c r="BF8659" s="883"/>
      <c r="BG8659" s="883"/>
      <c r="BH8659" s="883"/>
      <c r="BI8659" s="883"/>
      <c r="BJ8659" s="895"/>
      <c r="BK8659" s="895"/>
      <c r="BL8659" s="895"/>
      <c r="BM8659" s="895"/>
      <c r="BN8659" s="895"/>
      <c r="BO8659" s="895"/>
      <c r="BP8659" s="895"/>
      <c r="BQ8659" s="895"/>
      <c r="BR8659" s="895"/>
      <c r="BS8659" s="895"/>
      <c r="BT8659" s="895"/>
      <c r="BU8659" s="895"/>
      <c r="BV8659" s="895"/>
      <c r="BW8659" s="895"/>
      <c r="BX8659" s="895"/>
      <c r="BY8659" s="895"/>
      <c r="BZ8659" s="895"/>
      <c r="CA8659" s="895"/>
      <c r="CB8659" s="883"/>
      <c r="CC8659" s="883"/>
    </row>
    <row r="8660" spans="1:81" ht="15" x14ac:dyDescent="0.25">
      <c r="A8660" s="910"/>
      <c r="B8660" s="889"/>
      <c r="C8660" s="890"/>
      <c r="D8660" s="890"/>
      <c r="E8660" s="891"/>
      <c r="F8660" s="916"/>
      <c r="G8660" s="890"/>
      <c r="H8660" s="910"/>
      <c r="I8660" s="910">
        <v>12</v>
      </c>
      <c r="J8660" s="910">
        <v>5</v>
      </c>
      <c r="K8660" s="890"/>
      <c r="L8660" s="917">
        <v>60</v>
      </c>
      <c r="M8660" s="914">
        <v>40682</v>
      </c>
      <c r="N8660" s="913">
        <v>10.930361999999999</v>
      </c>
      <c r="O8660" s="912">
        <v>3.9855815999999995E-2</v>
      </c>
      <c r="P8660" s="861">
        <v>6.1228674350616465</v>
      </c>
      <c r="Q8660" s="861">
        <v>11.949646332246173</v>
      </c>
      <c r="R8660" s="861">
        <v>17.225830359612097</v>
      </c>
      <c r="S8660" s="861">
        <v>30.00246630628385</v>
      </c>
      <c r="T8660" s="861">
        <v>45.921528030150547</v>
      </c>
      <c r="U8660" s="861">
        <v>55.156545297338489</v>
      </c>
      <c r="V8660" s="861">
        <v>78.600641751336539</v>
      </c>
      <c r="W8660" s="893"/>
      <c r="X8660" s="890"/>
      <c r="Y8660" s="890"/>
      <c r="Z8660" s="890"/>
      <c r="AA8660" s="858">
        <f t="shared" si="67"/>
        <v>30.00246630628385</v>
      </c>
      <c r="AB8660" s="902"/>
      <c r="AC8660" s="903"/>
      <c r="AD8660" s="699">
        <v>5.8673999999999999</v>
      </c>
      <c r="AE8660" s="904"/>
      <c r="AF8660" s="905"/>
      <c r="AG8660" s="902"/>
      <c r="AH8660" s="902"/>
      <c r="AI8660" s="901"/>
      <c r="AJ8660" s="895"/>
      <c r="AK8660" s="895"/>
      <c r="AL8660" s="895"/>
      <c r="AM8660" s="883"/>
      <c r="AN8660" s="883"/>
      <c r="AO8660" s="883"/>
      <c r="AP8660" s="883"/>
      <c r="AQ8660" s="883"/>
      <c r="AR8660" s="883"/>
      <c r="AS8660" s="883"/>
      <c r="AT8660" s="883"/>
      <c r="AU8660" s="883"/>
      <c r="AV8660" s="895"/>
      <c r="AW8660" s="895"/>
      <c r="AX8660" s="895"/>
      <c r="AY8660" s="895"/>
      <c r="AZ8660" s="895"/>
      <c r="BA8660" s="883"/>
      <c r="BB8660" s="883"/>
      <c r="BC8660" s="883"/>
      <c r="BD8660" s="883"/>
      <c r="BE8660" s="883"/>
      <c r="BF8660" s="883"/>
      <c r="BG8660" s="883"/>
      <c r="BH8660" s="883"/>
      <c r="BI8660" s="883"/>
      <c r="BJ8660" s="895"/>
      <c r="BK8660" s="895"/>
      <c r="BL8660" s="895"/>
      <c r="BM8660" s="895"/>
      <c r="BN8660" s="895"/>
      <c r="BO8660" s="895"/>
      <c r="BP8660" s="895"/>
      <c r="BQ8660" s="895"/>
      <c r="BR8660" s="895"/>
      <c r="BS8660" s="895"/>
      <c r="BT8660" s="895"/>
      <c r="BU8660" s="895"/>
      <c r="BV8660" s="895"/>
      <c r="BW8660" s="895"/>
      <c r="BX8660" s="895"/>
      <c r="BY8660" s="895"/>
      <c r="BZ8660" s="895"/>
      <c r="CA8660" s="895"/>
      <c r="CB8660" s="883"/>
      <c r="CC8660" s="883"/>
    </row>
    <row r="8661" spans="1:81" ht="15" x14ac:dyDescent="0.25">
      <c r="A8661" s="910"/>
      <c r="B8661" s="889"/>
      <c r="C8661" s="890"/>
      <c r="D8661" s="890"/>
      <c r="E8661" s="891"/>
      <c r="F8661" s="916"/>
      <c r="G8661" s="890"/>
      <c r="H8661" s="910"/>
      <c r="I8661" s="910">
        <v>12</v>
      </c>
      <c r="J8661" s="910">
        <v>5</v>
      </c>
      <c r="K8661" s="890"/>
      <c r="L8661" s="917">
        <v>60</v>
      </c>
      <c r="M8661" s="914">
        <v>40683</v>
      </c>
      <c r="N8661" s="913">
        <v>10.618874999999999</v>
      </c>
      <c r="O8661" s="912">
        <v>0.10320623775000001</v>
      </c>
      <c r="P8661" s="861">
        <v>6.8314100764518937</v>
      </c>
      <c r="Q8661" s="861">
        <v>18.672827356146097</v>
      </c>
      <c r="R8661" s="861">
        <v>24.883245981603906</v>
      </c>
      <c r="S8661" s="861">
        <v>45.015350489544424</v>
      </c>
      <c r="T8661" s="861">
        <v>78.832418308649835</v>
      </c>
      <c r="U8661" s="861">
        <v>99.032642974980178</v>
      </c>
      <c r="V8661" s="861">
        <v>118.13745061860921</v>
      </c>
      <c r="W8661" s="893"/>
      <c r="X8661" s="890"/>
      <c r="Y8661" s="890"/>
      <c r="Z8661" s="890"/>
      <c r="AA8661" s="858">
        <f t="shared" si="67"/>
        <v>45.015350489544424</v>
      </c>
      <c r="AB8661" s="902"/>
      <c r="AC8661" s="903"/>
      <c r="AD8661" s="699">
        <v>5.8673999999999999</v>
      </c>
      <c r="AE8661" s="904"/>
      <c r="AF8661" s="905"/>
      <c r="AG8661" s="902"/>
      <c r="AH8661" s="902"/>
      <c r="AI8661" s="901"/>
      <c r="AJ8661" s="895"/>
      <c r="AK8661" s="895"/>
      <c r="AL8661" s="895"/>
      <c r="AM8661" s="883"/>
      <c r="AN8661" s="883"/>
      <c r="AO8661" s="883"/>
      <c r="AP8661" s="883"/>
      <c r="AQ8661" s="883"/>
      <c r="AR8661" s="883"/>
      <c r="AS8661" s="883"/>
      <c r="AT8661" s="883"/>
      <c r="AU8661" s="883"/>
      <c r="AV8661" s="895"/>
      <c r="AW8661" s="895"/>
      <c r="AX8661" s="895"/>
      <c r="AY8661" s="895"/>
      <c r="AZ8661" s="895"/>
      <c r="BA8661" s="883"/>
      <c r="BB8661" s="883"/>
      <c r="BC8661" s="883"/>
      <c r="BD8661" s="883"/>
      <c r="BE8661" s="883"/>
      <c r="BF8661" s="883"/>
      <c r="BG8661" s="883"/>
      <c r="BH8661" s="883"/>
      <c r="BI8661" s="883"/>
      <c r="BJ8661" s="895"/>
      <c r="BK8661" s="895"/>
      <c r="BL8661" s="895"/>
      <c r="BM8661" s="895"/>
      <c r="BN8661" s="895"/>
      <c r="BO8661" s="895"/>
      <c r="BP8661" s="895"/>
      <c r="BQ8661" s="895"/>
      <c r="BR8661" s="895"/>
      <c r="BS8661" s="895"/>
      <c r="BT8661" s="895"/>
      <c r="BU8661" s="895"/>
      <c r="BV8661" s="895"/>
      <c r="BW8661" s="895"/>
      <c r="BX8661" s="895"/>
      <c r="BY8661" s="895"/>
      <c r="BZ8661" s="895"/>
      <c r="CA8661" s="895"/>
      <c r="CB8661" s="883"/>
      <c r="CC8661" s="883"/>
    </row>
    <row r="8662" spans="1:81" ht="15" x14ac:dyDescent="0.25">
      <c r="A8662" s="910"/>
      <c r="B8662" s="889"/>
      <c r="C8662" s="890"/>
      <c r="D8662" s="890"/>
      <c r="E8662" s="891"/>
      <c r="F8662" s="916"/>
      <c r="G8662" s="890"/>
      <c r="H8662" s="910"/>
      <c r="I8662" s="910">
        <v>12</v>
      </c>
      <c r="J8662" s="910">
        <v>5</v>
      </c>
      <c r="K8662" s="890"/>
      <c r="L8662" s="917">
        <v>60</v>
      </c>
      <c r="M8662" s="914">
        <v>40684</v>
      </c>
      <c r="N8662" s="913">
        <v>10.420655999999999</v>
      </c>
      <c r="O8662" s="912">
        <v>2.3666816250000004E-2</v>
      </c>
      <c r="P8662" s="861">
        <v>6.8314100764518937</v>
      </c>
      <c r="Q8662" s="861">
        <v>18.672827356146097</v>
      </c>
      <c r="R8662" s="861">
        <v>24.883245981603906</v>
      </c>
      <c r="S8662" s="861">
        <v>45.015350489544424</v>
      </c>
      <c r="T8662" s="861">
        <v>78.832418308649835</v>
      </c>
      <c r="U8662" s="861">
        <v>99.032642974980178</v>
      </c>
      <c r="V8662" s="861">
        <v>118.13745061860921</v>
      </c>
      <c r="W8662" s="893"/>
      <c r="X8662" s="890"/>
      <c r="Y8662" s="890"/>
      <c r="Z8662" s="890"/>
      <c r="AA8662" s="858">
        <f t="shared" si="67"/>
        <v>45.015350489544424</v>
      </c>
      <c r="AB8662" s="902"/>
      <c r="AC8662" s="903"/>
      <c r="AD8662" s="699">
        <v>5.8673999999999999</v>
      </c>
      <c r="AE8662" s="904"/>
      <c r="AF8662" s="905"/>
      <c r="AG8662" s="902"/>
      <c r="AH8662" s="902"/>
      <c r="AI8662" s="901"/>
      <c r="AJ8662" s="895"/>
      <c r="AK8662" s="895"/>
      <c r="AL8662" s="895"/>
      <c r="AM8662" s="883"/>
      <c r="AN8662" s="883"/>
      <c r="AO8662" s="883"/>
      <c r="AP8662" s="883"/>
      <c r="AQ8662" s="883"/>
      <c r="AR8662" s="883"/>
      <c r="AS8662" s="883"/>
      <c r="AT8662" s="883"/>
      <c r="AU8662" s="883"/>
      <c r="AV8662" s="895"/>
      <c r="AW8662" s="895"/>
      <c r="AX8662" s="895"/>
      <c r="AY8662" s="895"/>
      <c r="AZ8662" s="895"/>
      <c r="BA8662" s="883"/>
      <c r="BB8662" s="883"/>
      <c r="BC8662" s="883"/>
      <c r="BD8662" s="883"/>
      <c r="BE8662" s="883"/>
      <c r="BF8662" s="883"/>
      <c r="BG8662" s="883"/>
      <c r="BH8662" s="883"/>
      <c r="BI8662" s="883"/>
      <c r="BJ8662" s="895"/>
      <c r="BK8662" s="895"/>
      <c r="BL8662" s="895"/>
      <c r="BM8662" s="895"/>
      <c r="BN8662" s="895"/>
      <c r="BO8662" s="895"/>
      <c r="BP8662" s="895"/>
      <c r="BQ8662" s="895"/>
      <c r="BR8662" s="895"/>
      <c r="BS8662" s="895"/>
      <c r="BT8662" s="895"/>
      <c r="BU8662" s="895"/>
      <c r="BV8662" s="895"/>
      <c r="BW8662" s="895"/>
      <c r="BX8662" s="895"/>
      <c r="BY8662" s="895"/>
      <c r="BZ8662" s="895"/>
      <c r="CA8662" s="895"/>
      <c r="CB8662" s="883"/>
      <c r="CC8662" s="883"/>
    </row>
    <row r="8663" spans="1:81" ht="15" x14ac:dyDescent="0.25">
      <c r="A8663" s="910"/>
      <c r="B8663" s="889"/>
      <c r="C8663" s="890"/>
      <c r="D8663" s="890"/>
      <c r="E8663" s="891"/>
      <c r="F8663" s="916"/>
      <c r="G8663" s="890"/>
      <c r="H8663" s="910"/>
      <c r="I8663" s="910">
        <v>12</v>
      </c>
      <c r="J8663" s="910">
        <v>3</v>
      </c>
      <c r="K8663" s="890"/>
      <c r="L8663" s="917">
        <v>36</v>
      </c>
      <c r="M8663" s="914">
        <v>40687</v>
      </c>
      <c r="N8663" s="913">
        <v>11.8789815</v>
      </c>
      <c r="O8663" s="912">
        <v>1.6232658750000004E-2</v>
      </c>
      <c r="P8663" s="861">
        <v>3.1755033952560048</v>
      </c>
      <c r="Q8663" s="861">
        <v>5.8084032537461692</v>
      </c>
      <c r="R8663" s="861">
        <v>8.8637366274875813</v>
      </c>
      <c r="S8663" s="861">
        <v>64.85524889143872</v>
      </c>
      <c r="T8663" s="861">
        <v>76.400081153291552</v>
      </c>
      <c r="U8663" s="861">
        <v>81.041477109009278</v>
      </c>
      <c r="V8663" s="861">
        <v>87.098920322348505</v>
      </c>
      <c r="W8663" s="893"/>
      <c r="X8663" s="890"/>
      <c r="Y8663" s="890"/>
      <c r="Z8663" s="890"/>
      <c r="AA8663" s="858">
        <f t="shared" si="67"/>
        <v>64.85524889143872</v>
      </c>
      <c r="AB8663" s="902"/>
      <c r="AC8663" s="903"/>
      <c r="AD8663" s="699">
        <v>5.8673999999999999</v>
      </c>
      <c r="AE8663" s="904"/>
      <c r="AF8663" s="905"/>
      <c r="AG8663" s="902"/>
      <c r="AH8663" s="902"/>
      <c r="AI8663" s="901"/>
      <c r="AJ8663" s="895"/>
      <c r="AK8663" s="895"/>
      <c r="AL8663" s="895"/>
      <c r="AM8663" s="883"/>
      <c r="AN8663" s="883"/>
      <c r="AO8663" s="883"/>
      <c r="AP8663" s="883"/>
      <c r="AQ8663" s="883"/>
      <c r="AR8663" s="883"/>
      <c r="AS8663" s="883"/>
      <c r="AT8663" s="883"/>
      <c r="AU8663" s="883"/>
      <c r="AV8663" s="895"/>
      <c r="AW8663" s="895"/>
      <c r="AX8663" s="895"/>
      <c r="AY8663" s="895"/>
      <c r="AZ8663" s="895"/>
      <c r="BA8663" s="883"/>
      <c r="BB8663" s="883"/>
      <c r="BC8663" s="883"/>
      <c r="BD8663" s="883"/>
      <c r="BE8663" s="883"/>
      <c r="BF8663" s="883"/>
      <c r="BG8663" s="883"/>
      <c r="BH8663" s="883"/>
      <c r="BI8663" s="883"/>
      <c r="BJ8663" s="895"/>
      <c r="BK8663" s="895"/>
      <c r="BL8663" s="895"/>
      <c r="BM8663" s="895"/>
      <c r="BN8663" s="895"/>
      <c r="BO8663" s="895"/>
      <c r="BP8663" s="895"/>
      <c r="BQ8663" s="895"/>
      <c r="BR8663" s="895"/>
      <c r="BS8663" s="895"/>
      <c r="BT8663" s="895"/>
      <c r="BU8663" s="895"/>
      <c r="BV8663" s="895"/>
      <c r="BW8663" s="895"/>
      <c r="BX8663" s="895"/>
      <c r="BY8663" s="895"/>
      <c r="BZ8663" s="895"/>
      <c r="CA8663" s="895"/>
      <c r="CB8663" s="883"/>
      <c r="CC8663" s="883"/>
    </row>
    <row r="8664" spans="1:81" ht="15" x14ac:dyDescent="0.25">
      <c r="A8664" s="910"/>
      <c r="B8664" s="889"/>
      <c r="C8664" s="890"/>
      <c r="D8664" s="890"/>
      <c r="E8664" s="891"/>
      <c r="F8664" s="916"/>
      <c r="G8664" s="890"/>
      <c r="H8664" s="910"/>
      <c r="I8664" s="910">
        <v>12</v>
      </c>
      <c r="J8664" s="910">
        <v>3</v>
      </c>
      <c r="K8664" s="890"/>
      <c r="L8664" s="917">
        <v>36</v>
      </c>
      <c r="M8664" s="914">
        <v>40688</v>
      </c>
      <c r="N8664" s="913">
        <v>11.624128499999999</v>
      </c>
      <c r="O8664" s="912">
        <v>3.1248525000000002E-3</v>
      </c>
      <c r="P8664" s="915">
        <v>4.0181215940785657</v>
      </c>
      <c r="Q8664" s="915">
        <v>9.758172296723636</v>
      </c>
      <c r="R8664" s="915">
        <v>17.614495944452987</v>
      </c>
      <c r="S8664" s="915">
        <v>30.175443772754875</v>
      </c>
      <c r="T8664" s="915">
        <v>53.591771397407193</v>
      </c>
      <c r="U8664" s="915">
        <v>57.127810896236419</v>
      </c>
      <c r="V8664" s="915">
        <v>61.768008845086868</v>
      </c>
      <c r="W8664" s="893"/>
      <c r="X8664" s="890"/>
      <c r="Y8664" s="890"/>
      <c r="Z8664" s="890"/>
      <c r="AA8664" s="858">
        <f t="shared" si="67"/>
        <v>30.175443772754875</v>
      </c>
      <c r="AB8664" s="902"/>
      <c r="AC8664" s="903"/>
      <c r="AD8664" s="699">
        <v>5.8673999999999999</v>
      </c>
      <c r="AE8664" s="904"/>
      <c r="AF8664" s="905"/>
      <c r="AG8664" s="902"/>
      <c r="AH8664" s="902"/>
      <c r="AI8664" s="901"/>
      <c r="AJ8664" s="895"/>
      <c r="AK8664" s="895"/>
      <c r="AL8664" s="895"/>
      <c r="AM8664" s="883"/>
      <c r="AN8664" s="883"/>
      <c r="AO8664" s="883"/>
      <c r="AP8664" s="883"/>
      <c r="AQ8664" s="883"/>
      <c r="AR8664" s="883"/>
      <c r="AS8664" s="883"/>
      <c r="AT8664" s="883"/>
      <c r="AU8664" s="883"/>
      <c r="AV8664" s="895"/>
      <c r="AW8664" s="895"/>
      <c r="AX8664" s="895"/>
      <c r="AY8664" s="895"/>
      <c r="AZ8664" s="895"/>
      <c r="BA8664" s="883"/>
      <c r="BB8664" s="883"/>
      <c r="BC8664" s="883"/>
      <c r="BD8664" s="883"/>
      <c r="BE8664" s="883"/>
      <c r="BF8664" s="883"/>
      <c r="BG8664" s="883"/>
      <c r="BH8664" s="883"/>
      <c r="BI8664" s="883"/>
      <c r="BJ8664" s="895"/>
      <c r="BK8664" s="895"/>
      <c r="BL8664" s="895"/>
      <c r="BM8664" s="895"/>
      <c r="BN8664" s="895"/>
      <c r="BO8664" s="895"/>
      <c r="BP8664" s="895"/>
      <c r="BQ8664" s="895"/>
      <c r="BR8664" s="895"/>
      <c r="BS8664" s="895"/>
      <c r="BT8664" s="895"/>
      <c r="BU8664" s="895"/>
      <c r="BV8664" s="895"/>
      <c r="BW8664" s="895"/>
      <c r="BX8664" s="895"/>
      <c r="BY8664" s="895"/>
      <c r="BZ8664" s="895"/>
      <c r="CA8664" s="895"/>
      <c r="CB8664" s="883"/>
      <c r="CC8664" s="883"/>
    </row>
    <row r="8665" spans="1:81" ht="15" x14ac:dyDescent="0.25">
      <c r="A8665" s="910"/>
      <c r="B8665" s="889"/>
      <c r="C8665" s="890"/>
      <c r="D8665" s="890"/>
      <c r="E8665" s="891"/>
      <c r="F8665" s="916"/>
      <c r="G8665" s="890"/>
      <c r="H8665" s="910"/>
      <c r="I8665" s="910">
        <v>12</v>
      </c>
      <c r="J8665" s="910">
        <v>3</v>
      </c>
      <c r="K8665" s="890"/>
      <c r="L8665" s="917">
        <v>36</v>
      </c>
      <c r="M8665" s="914">
        <v>40689</v>
      </c>
      <c r="N8665" s="913">
        <v>12.048883499999999</v>
      </c>
      <c r="O8665" s="912">
        <v>7.6302187499999998E-3</v>
      </c>
      <c r="P8665" s="915">
        <v>2.8864740351116338</v>
      </c>
      <c r="Q8665" s="915">
        <v>4.5118066003685664</v>
      </c>
      <c r="R8665" s="915">
        <v>5.763227398158965</v>
      </c>
      <c r="S8665" s="915">
        <v>11.122354746068483</v>
      </c>
      <c r="T8665" s="915">
        <v>24.650908133273585</v>
      </c>
      <c r="U8665" s="915">
        <v>32.983549070249083</v>
      </c>
      <c r="V8665" s="915">
        <v>44.848200300441917</v>
      </c>
      <c r="W8665" s="893"/>
      <c r="X8665" s="890"/>
      <c r="Y8665" s="890"/>
      <c r="Z8665" s="890"/>
      <c r="AA8665" s="858">
        <f t="shared" si="67"/>
        <v>11.122354746068483</v>
      </c>
      <c r="AB8665" s="902"/>
      <c r="AC8665" s="903"/>
      <c r="AD8665" s="699">
        <v>5.8673999999999999</v>
      </c>
      <c r="AE8665" s="904"/>
      <c r="AF8665" s="905"/>
      <c r="AG8665" s="902"/>
      <c r="AH8665" s="902"/>
      <c r="AI8665" s="901"/>
      <c r="AJ8665" s="895"/>
      <c r="AK8665" s="895"/>
      <c r="AL8665" s="895"/>
      <c r="AM8665" s="883"/>
      <c r="AN8665" s="883"/>
      <c r="AO8665" s="883"/>
      <c r="AP8665" s="883"/>
      <c r="AQ8665" s="883"/>
      <c r="AR8665" s="883"/>
      <c r="AS8665" s="883"/>
      <c r="AT8665" s="883"/>
      <c r="AU8665" s="883"/>
      <c r="AV8665" s="895"/>
      <c r="AW8665" s="895"/>
      <c r="AX8665" s="895"/>
      <c r="AY8665" s="895"/>
      <c r="AZ8665" s="895"/>
      <c r="BA8665" s="883"/>
      <c r="BB8665" s="883"/>
      <c r="BC8665" s="883"/>
      <c r="BD8665" s="883"/>
      <c r="BE8665" s="883"/>
      <c r="BF8665" s="883"/>
      <c r="BG8665" s="883"/>
      <c r="BH8665" s="883"/>
      <c r="BI8665" s="883"/>
      <c r="BJ8665" s="895"/>
      <c r="BK8665" s="895"/>
      <c r="BL8665" s="895"/>
      <c r="BM8665" s="895"/>
      <c r="BN8665" s="895"/>
      <c r="BO8665" s="895"/>
      <c r="BP8665" s="895"/>
      <c r="BQ8665" s="895"/>
      <c r="BR8665" s="895"/>
      <c r="BS8665" s="895"/>
      <c r="BT8665" s="895"/>
      <c r="BU8665" s="895"/>
      <c r="BV8665" s="895"/>
      <c r="BW8665" s="895"/>
      <c r="BX8665" s="895"/>
      <c r="BY8665" s="895"/>
      <c r="BZ8665" s="895"/>
      <c r="CA8665" s="895"/>
      <c r="CB8665" s="883"/>
      <c r="CC8665" s="883"/>
    </row>
    <row r="8666" spans="1:81" ht="15" x14ac:dyDescent="0.25">
      <c r="A8666" s="910"/>
      <c r="B8666" s="889"/>
      <c r="C8666" s="890"/>
      <c r="D8666" s="890"/>
      <c r="E8666" s="891"/>
      <c r="F8666" s="916"/>
      <c r="G8666" s="890"/>
      <c r="H8666" s="910"/>
      <c r="I8666" s="910">
        <v>12</v>
      </c>
      <c r="J8666" s="910">
        <v>3</v>
      </c>
      <c r="K8666" s="890"/>
      <c r="L8666" s="917">
        <v>36</v>
      </c>
      <c r="M8666" s="914">
        <v>40690</v>
      </c>
      <c r="N8666" s="913">
        <v>11.1144225</v>
      </c>
      <c r="O8666" s="912">
        <v>2.3907345E-2</v>
      </c>
      <c r="P8666" s="915">
        <v>14.080925681590202</v>
      </c>
      <c r="Q8666" s="915">
        <v>24.578638194149303</v>
      </c>
      <c r="R8666" s="915">
        <v>32.529582134090646</v>
      </c>
      <c r="S8666" s="915">
        <v>51.49400250021786</v>
      </c>
      <c r="T8666" s="915">
        <v>94.698571549639212</v>
      </c>
      <c r="U8666" s="915">
        <v>105.54930622601731</v>
      </c>
      <c r="V8666" s="915">
        <v>120.51376687867639</v>
      </c>
      <c r="W8666" s="893"/>
      <c r="X8666" s="890"/>
      <c r="Y8666" s="890"/>
      <c r="Z8666" s="890"/>
      <c r="AA8666" s="858">
        <f t="shared" si="67"/>
        <v>51.49400250021786</v>
      </c>
      <c r="AB8666" s="902"/>
      <c r="AC8666" s="903"/>
      <c r="AD8666" s="699">
        <v>5.8673999999999999</v>
      </c>
      <c r="AE8666" s="904"/>
      <c r="AF8666" s="905"/>
      <c r="AG8666" s="902"/>
      <c r="AH8666" s="902"/>
      <c r="AI8666" s="901"/>
      <c r="AJ8666" s="895"/>
      <c r="AK8666" s="895"/>
      <c r="AL8666" s="895"/>
      <c r="AM8666" s="883"/>
      <c r="AN8666" s="883"/>
      <c r="AO8666" s="883"/>
      <c r="AP8666" s="883"/>
      <c r="AQ8666" s="883"/>
      <c r="AR8666" s="883"/>
      <c r="AS8666" s="883"/>
      <c r="AT8666" s="883"/>
      <c r="AU8666" s="883"/>
      <c r="AV8666" s="895"/>
      <c r="AW8666" s="895"/>
      <c r="AX8666" s="895"/>
      <c r="AY8666" s="895"/>
      <c r="AZ8666" s="895"/>
      <c r="BA8666" s="883"/>
      <c r="BB8666" s="883"/>
      <c r="BC8666" s="883"/>
      <c r="BD8666" s="883"/>
      <c r="BE8666" s="883"/>
      <c r="BF8666" s="883"/>
      <c r="BG8666" s="883"/>
      <c r="BH8666" s="883"/>
      <c r="BI8666" s="883"/>
      <c r="BJ8666" s="895"/>
      <c r="BK8666" s="895"/>
      <c r="BL8666" s="895"/>
      <c r="BM8666" s="895"/>
      <c r="BN8666" s="895"/>
      <c r="BO8666" s="895"/>
      <c r="BP8666" s="895"/>
      <c r="BQ8666" s="895"/>
      <c r="BR8666" s="895"/>
      <c r="BS8666" s="895"/>
      <c r="BT8666" s="895"/>
      <c r="BU8666" s="895"/>
      <c r="BV8666" s="895"/>
      <c r="BW8666" s="895"/>
      <c r="BX8666" s="895"/>
      <c r="BY8666" s="895"/>
      <c r="BZ8666" s="895"/>
      <c r="CA8666" s="895"/>
      <c r="CB8666" s="883"/>
      <c r="CC8666" s="883"/>
    </row>
    <row r="8667" spans="1:81" ht="15" x14ac:dyDescent="0.25">
      <c r="A8667" s="910"/>
      <c r="B8667" s="889"/>
      <c r="C8667" s="890"/>
      <c r="D8667" s="890"/>
      <c r="E8667" s="891"/>
      <c r="F8667" s="916"/>
      <c r="G8667" s="890"/>
      <c r="H8667" s="910"/>
      <c r="I8667" s="910">
        <v>12</v>
      </c>
      <c r="J8667" s="910">
        <v>3</v>
      </c>
      <c r="K8667" s="890"/>
      <c r="L8667" s="917">
        <v>36</v>
      </c>
      <c r="M8667" s="914">
        <v>40695</v>
      </c>
      <c r="N8667" s="913">
        <v>8.2119299999999988</v>
      </c>
      <c r="O8667" s="912">
        <v>1.2693450000000001E-3</v>
      </c>
      <c r="P8667" s="915">
        <v>2.7657059804918331</v>
      </c>
      <c r="Q8667" s="915">
        <v>3.8693189348442107</v>
      </c>
      <c r="R8667" s="915">
        <v>4.9138926822074085</v>
      </c>
      <c r="S8667" s="915">
        <v>7.1270510713751669</v>
      </c>
      <c r="T8667" s="915">
        <v>11.245987706223252</v>
      </c>
      <c r="U8667" s="915">
        <v>14.75789032445944</v>
      </c>
      <c r="V8667" s="915">
        <v>24.068719982778838</v>
      </c>
      <c r="W8667" s="893"/>
      <c r="X8667" s="890"/>
      <c r="Y8667" s="890"/>
      <c r="Z8667" s="890"/>
      <c r="AA8667" s="858">
        <f t="shared" si="67"/>
        <v>7.1270510713751669</v>
      </c>
      <c r="AB8667" s="902"/>
      <c r="AC8667" s="903"/>
      <c r="AD8667" s="699">
        <v>5.8673999999999999</v>
      </c>
      <c r="AE8667" s="904"/>
      <c r="AF8667" s="905"/>
      <c r="AG8667" s="902"/>
      <c r="AH8667" s="902"/>
      <c r="AI8667" s="901"/>
      <c r="AJ8667" s="895"/>
      <c r="AK8667" s="895"/>
      <c r="AL8667" s="895"/>
      <c r="AM8667" s="883"/>
      <c r="AN8667" s="883"/>
      <c r="AO8667" s="883"/>
      <c r="AP8667" s="883"/>
      <c r="AQ8667" s="883"/>
      <c r="AR8667" s="883"/>
      <c r="AS8667" s="883"/>
      <c r="AT8667" s="883"/>
      <c r="AU8667" s="883"/>
      <c r="AV8667" s="895"/>
      <c r="AW8667" s="895"/>
      <c r="AX8667" s="895"/>
      <c r="AY8667" s="895"/>
      <c r="AZ8667" s="895"/>
      <c r="BA8667" s="883"/>
      <c r="BB8667" s="883"/>
      <c r="BC8667" s="883"/>
      <c r="BD8667" s="883"/>
      <c r="BE8667" s="883"/>
      <c r="BF8667" s="883"/>
      <c r="BG8667" s="883"/>
      <c r="BH8667" s="883"/>
      <c r="BI8667" s="883"/>
      <c r="BJ8667" s="895"/>
      <c r="BK8667" s="895"/>
      <c r="BL8667" s="895"/>
      <c r="BM8667" s="895"/>
      <c r="BN8667" s="895"/>
      <c r="BO8667" s="895"/>
      <c r="BP8667" s="895"/>
      <c r="BQ8667" s="895"/>
      <c r="BR8667" s="895"/>
      <c r="BS8667" s="895"/>
      <c r="BT8667" s="895"/>
      <c r="BU8667" s="895"/>
      <c r="BV8667" s="895"/>
      <c r="BW8667" s="895"/>
      <c r="BX8667" s="895"/>
      <c r="BY8667" s="895"/>
      <c r="BZ8667" s="895"/>
      <c r="CA8667" s="895"/>
      <c r="CB8667" s="883"/>
      <c r="CC8667" s="883"/>
    </row>
    <row r="8668" spans="1:81" ht="15" x14ac:dyDescent="0.25">
      <c r="A8668" s="853"/>
      <c r="B8668" s="899"/>
      <c r="C8668" s="897"/>
      <c r="D8668" s="897"/>
      <c r="E8668" s="898"/>
      <c r="F8668" s="923"/>
      <c r="G8668" s="897"/>
      <c r="H8668" s="853"/>
      <c r="I8668" s="853">
        <v>12</v>
      </c>
      <c r="J8668" s="853">
        <v>3</v>
      </c>
      <c r="K8668" s="897"/>
      <c r="L8668" s="924">
        <v>36</v>
      </c>
      <c r="M8668" s="860">
        <v>40696</v>
      </c>
      <c r="N8668" s="855">
        <v>7.8154919999999999</v>
      </c>
      <c r="O8668" s="852">
        <v>3.3249562500000003E-4</v>
      </c>
      <c r="P8668" s="925">
        <v>2.7675910162507655</v>
      </c>
      <c r="Q8668" s="925">
        <v>3.7836205115163186</v>
      </c>
      <c r="R8668" s="925">
        <v>4.8165688213199083</v>
      </c>
      <c r="S8668" s="925">
        <v>6.8280853757626438</v>
      </c>
      <c r="T8668" s="925">
        <v>9.8207740558499417</v>
      </c>
      <c r="U8668" s="925">
        <v>12.466239126821018</v>
      </c>
      <c r="V8668" s="925">
        <v>16.685726777583493</v>
      </c>
      <c r="W8668" s="893"/>
      <c r="X8668" s="897"/>
      <c r="Y8668" s="897"/>
      <c r="Z8668" s="897"/>
      <c r="AA8668" s="858">
        <f t="shared" si="67"/>
        <v>6.8280853757626438</v>
      </c>
      <c r="AB8668" s="902"/>
      <c r="AC8668" s="903"/>
      <c r="AD8668" s="699">
        <v>5.8673999999999999</v>
      </c>
      <c r="AE8668" s="904"/>
      <c r="AF8668" s="905"/>
      <c r="AG8668" s="902"/>
      <c r="AH8668" s="902"/>
      <c r="AI8668" s="901"/>
      <c r="AJ8668" s="895"/>
      <c r="AK8668" s="895"/>
      <c r="AL8668" s="895"/>
      <c r="AM8668" s="883"/>
      <c r="AN8668" s="883"/>
      <c r="AO8668" s="883"/>
      <c r="AP8668" s="883"/>
      <c r="AQ8668" s="883"/>
      <c r="AR8668" s="883"/>
      <c r="AS8668" s="883"/>
      <c r="AT8668" s="883"/>
      <c r="AU8668" s="883"/>
      <c r="AV8668" s="895"/>
      <c r="AW8668" s="895"/>
      <c r="AX8668" s="895"/>
      <c r="AY8668" s="895"/>
      <c r="AZ8668" s="895"/>
      <c r="BA8668" s="883"/>
      <c r="BB8668" s="883"/>
      <c r="BC8668" s="883"/>
      <c r="BD8668" s="883"/>
      <c r="BE8668" s="883"/>
      <c r="BF8668" s="883"/>
      <c r="BG8668" s="883"/>
      <c r="BH8668" s="883"/>
      <c r="BI8668" s="883"/>
      <c r="BJ8668" s="895"/>
      <c r="BK8668" s="895"/>
      <c r="BL8668" s="895"/>
      <c r="BM8668" s="895"/>
      <c r="BN8668" s="895"/>
      <c r="BO8668" s="895"/>
      <c r="BP8668" s="895"/>
      <c r="BQ8668" s="895"/>
      <c r="BR8668" s="895"/>
      <c r="BS8668" s="895"/>
      <c r="BT8668" s="895"/>
      <c r="BU8668" s="895"/>
      <c r="BV8668" s="895"/>
      <c r="BW8668" s="895"/>
      <c r="BX8668" s="895"/>
      <c r="BY8668" s="895"/>
      <c r="BZ8668" s="895"/>
      <c r="CA8668" s="895"/>
      <c r="CB8668" s="883"/>
      <c r="CC8668" s="883"/>
    </row>
    <row r="8669" spans="1:81" ht="18.75" x14ac:dyDescent="0.35">
      <c r="A8669" s="874" t="s">
        <v>979</v>
      </c>
      <c r="B8669" s="872" t="s">
        <v>109</v>
      </c>
      <c r="C8669" s="872" t="s">
        <v>985</v>
      </c>
      <c r="D8669" s="873">
        <f>VLOOKUP(E8669,'Quality Code'!$D$4:$E$24,2,TRUE)*VLOOKUP(MROUND(F8669,10),'Quality Code'!$D$28:$E$69,2,TRUE)*VLOOKUP(COUNTA(CB8669:CB8671),'Quality Code'!$D$73:$E$93,2,TRUE)</f>
        <v>0.74999699999999991</v>
      </c>
      <c r="E8669" s="878">
        <v>0.6</v>
      </c>
      <c r="F8669" s="880">
        <v>27</v>
      </c>
      <c r="G8669" s="880">
        <f>114*1.60934</f>
        <v>183.46476000000001</v>
      </c>
      <c r="H8669" s="872" t="s">
        <v>615</v>
      </c>
      <c r="I8669" s="872"/>
      <c r="J8669" s="872" t="s">
        <v>967</v>
      </c>
      <c r="K8669" s="872"/>
      <c r="L8669" s="872" t="s">
        <v>967</v>
      </c>
      <c r="M8669" s="875"/>
      <c r="N8669" s="876" t="s">
        <v>980</v>
      </c>
      <c r="O8669" s="876"/>
      <c r="P8669" s="876" t="s">
        <v>968</v>
      </c>
      <c r="Q8669" s="876" t="s">
        <v>969</v>
      </c>
      <c r="R8669" s="876" t="s">
        <v>970</v>
      </c>
      <c r="S8669" s="876" t="s">
        <v>971</v>
      </c>
      <c r="T8669" s="876" t="s">
        <v>972</v>
      </c>
      <c r="U8669" s="876" t="s">
        <v>973</v>
      </c>
      <c r="V8669" s="876" t="s">
        <v>974</v>
      </c>
      <c r="W8669" s="876"/>
      <c r="X8669" s="876"/>
      <c r="Y8669" s="876"/>
      <c r="Z8669" s="876"/>
      <c r="AA8669" s="876"/>
      <c r="AB8669" s="876"/>
      <c r="AC8669" s="884"/>
      <c r="AD8669" s="882"/>
      <c r="AE8669" s="882"/>
      <c r="AF8669" s="882"/>
      <c r="AG8669" s="882"/>
      <c r="AH8669" s="900"/>
      <c r="AI8669" s="886">
        <v>23.719814064320165</v>
      </c>
      <c r="AJ8669" s="888" t="s">
        <v>975</v>
      </c>
      <c r="AK8669" s="879" t="s">
        <v>517</v>
      </c>
      <c r="AL8669" s="879" t="s">
        <v>976</v>
      </c>
      <c r="AM8669" s="879" t="s">
        <v>404</v>
      </c>
      <c r="AN8669" s="879" t="s">
        <v>977</v>
      </c>
      <c r="AO8669" s="879" t="s">
        <v>405</v>
      </c>
      <c r="AP8669" s="879" t="s">
        <v>406</v>
      </c>
      <c r="AQ8669" s="879"/>
      <c r="AR8669" s="879"/>
      <c r="AS8669" s="879"/>
      <c r="AT8669" s="879"/>
      <c r="AU8669" s="880">
        <v>82.604956414611209</v>
      </c>
      <c r="AV8669" s="887"/>
      <c r="AW8669" s="887" t="s">
        <v>975</v>
      </c>
      <c r="AX8669" s="887" t="s">
        <v>517</v>
      </c>
      <c r="AY8669" s="887" t="s">
        <v>976</v>
      </c>
      <c r="AZ8669" s="887" t="s">
        <v>404</v>
      </c>
      <c r="BA8669" s="887" t="s">
        <v>977</v>
      </c>
      <c r="BB8669" s="887" t="s">
        <v>405</v>
      </c>
      <c r="BC8669" s="887" t="s">
        <v>406</v>
      </c>
      <c r="BD8669" s="887"/>
      <c r="BE8669" s="887"/>
      <c r="BF8669" s="887"/>
      <c r="BG8669" s="887"/>
      <c r="BH8669" s="887"/>
      <c r="BI8669" s="873">
        <f>AU8669/AI8669</f>
        <v>3.4825296771135865</v>
      </c>
      <c r="BJ8669" s="872" t="s">
        <v>68</v>
      </c>
      <c r="BK8669" s="872" t="s">
        <v>68</v>
      </c>
      <c r="BL8669" s="877"/>
      <c r="BM8669" s="877"/>
      <c r="BN8669" s="877"/>
      <c r="BO8669" s="877"/>
      <c r="BP8669" s="877"/>
      <c r="BQ8669" s="877"/>
      <c r="BR8669" s="877"/>
      <c r="BS8669" s="880"/>
      <c r="BT8669" s="877"/>
      <c r="BU8669" s="872"/>
      <c r="BV8669" s="872"/>
      <c r="BW8669" s="872"/>
      <c r="BX8669" s="872"/>
      <c r="BY8669" s="872"/>
      <c r="BZ8669" s="872"/>
      <c r="CA8669" s="874"/>
      <c r="CB8669" s="874" t="s">
        <v>983</v>
      </c>
    </row>
    <row r="8670" spans="1:81" ht="15" x14ac:dyDescent="0.25">
      <c r="A8670" s="926"/>
      <c r="B8670" s="918"/>
      <c r="C8670" s="894"/>
      <c r="D8670" s="894"/>
      <c r="E8670" s="919"/>
      <c r="F8670" s="920"/>
      <c r="G8670" s="894"/>
      <c r="H8670" s="926"/>
      <c r="I8670" s="926">
        <v>12</v>
      </c>
      <c r="J8670" s="926">
        <v>1</v>
      </c>
      <c r="K8670" s="894"/>
      <c r="L8670" s="921">
        <v>12</v>
      </c>
      <c r="M8670" s="927">
        <v>40652</v>
      </c>
      <c r="N8670" s="928">
        <v>15.220387499999999</v>
      </c>
      <c r="O8670" s="929">
        <v>0.77833871639999996</v>
      </c>
      <c r="P8670" s="922">
        <v>6.4798568538921586</v>
      </c>
      <c r="Q8670" s="922">
        <v>13.159595306559964</v>
      </c>
      <c r="R8670" s="922">
        <v>19.394271573102831</v>
      </c>
      <c r="S8670" s="922">
        <v>36.264822318648548</v>
      </c>
      <c r="T8670" s="922">
        <v>68.52226641285948</v>
      </c>
      <c r="U8670" s="922">
        <v>83.372290033608465</v>
      </c>
      <c r="V8670" s="922">
        <v>111.16695740410685</v>
      </c>
      <c r="W8670" s="893"/>
      <c r="X8670" s="894"/>
      <c r="Y8670" s="894"/>
      <c r="Z8670" s="926">
        <v>90</v>
      </c>
      <c r="AA8670" s="858">
        <f t="shared" si="67"/>
        <v>36.264822318648548</v>
      </c>
      <c r="AB8670" s="902"/>
      <c r="AC8670" s="903"/>
      <c r="AD8670" s="699">
        <v>5.3827680000000004</v>
      </c>
      <c r="AE8670" s="904"/>
      <c r="AF8670" s="905"/>
      <c r="AG8670" s="902"/>
      <c r="AH8670" s="902"/>
      <c r="AI8670" s="895"/>
      <c r="AJ8670" s="922">
        <v>0.50766650475302211</v>
      </c>
      <c r="AK8670" s="922">
        <v>3.9069066895942655</v>
      </c>
      <c r="AL8670" s="922">
        <v>8.5377934540862963</v>
      </c>
      <c r="AM8670" s="922">
        <v>23.719814064320165</v>
      </c>
      <c r="AN8670" s="922">
        <v>40.98260733211837</v>
      </c>
      <c r="AO8670" s="922">
        <v>48.232474757268143</v>
      </c>
      <c r="AP8670" s="922">
        <v>60.808891617474352</v>
      </c>
      <c r="AQ8670" s="922"/>
      <c r="AR8670" s="883"/>
      <c r="AS8670" s="883"/>
      <c r="AT8670" s="883"/>
      <c r="AU8670" s="883"/>
      <c r="AV8670" s="895"/>
      <c r="AW8670" s="892">
        <v>23.042124754497653</v>
      </c>
      <c r="AX8670" s="892">
        <v>54.317366895882529</v>
      </c>
      <c r="AY8670" s="892">
        <v>65.625292772852049</v>
      </c>
      <c r="AZ8670" s="892">
        <v>82.604956414611209</v>
      </c>
      <c r="BA8670" s="930">
        <v>105.27726835540345</v>
      </c>
      <c r="BB8670" s="930">
        <v>115.18768379047616</v>
      </c>
      <c r="BC8670" s="930">
        <v>131.64826036498286</v>
      </c>
      <c r="BD8670" s="883"/>
      <c r="BE8670" s="883"/>
      <c r="BF8670" s="883"/>
      <c r="BG8670" s="883"/>
      <c r="BH8670" s="883"/>
      <c r="BI8670" s="883"/>
      <c r="BJ8670" s="895"/>
      <c r="BK8670" s="895"/>
      <c r="BL8670" s="895"/>
      <c r="BM8670" s="895"/>
      <c r="BN8670" s="895"/>
      <c r="BO8670" s="895"/>
      <c r="BP8670" s="895"/>
      <c r="BQ8670" s="895"/>
      <c r="BR8670" s="895"/>
      <c r="BS8670" s="895"/>
      <c r="BT8670" s="895"/>
      <c r="BU8670" s="895"/>
      <c r="BV8670" s="895"/>
      <c r="BW8670" s="895"/>
      <c r="BX8670" s="895"/>
      <c r="BY8670" s="895"/>
      <c r="BZ8670" s="895"/>
      <c r="CA8670" s="895"/>
      <c r="CB8670" s="883" t="s">
        <v>984</v>
      </c>
      <c r="CC8670" s="931"/>
    </row>
    <row r="8671" spans="1:81" ht="15" x14ac:dyDescent="0.25">
      <c r="A8671" s="906"/>
      <c r="B8671" s="889"/>
      <c r="C8671" s="890"/>
      <c r="D8671" s="890"/>
      <c r="E8671" s="891"/>
      <c r="F8671" s="916"/>
      <c r="G8671" s="890"/>
      <c r="H8671" s="906"/>
      <c r="I8671" s="906">
        <v>18</v>
      </c>
      <c r="J8671" s="906">
        <v>2</v>
      </c>
      <c r="K8671" s="890"/>
      <c r="L8671" s="917">
        <v>36</v>
      </c>
      <c r="M8671" s="907">
        <v>40653</v>
      </c>
      <c r="N8671" s="911">
        <v>10.19412</v>
      </c>
      <c r="O8671" s="908">
        <v>4.0614732899999999E-2</v>
      </c>
      <c r="P8671" s="915">
        <v>6.1355285303299443</v>
      </c>
      <c r="Q8671" s="915">
        <v>11.424562910989136</v>
      </c>
      <c r="R8671" s="915">
        <v>15.24535734903581</v>
      </c>
      <c r="S8671" s="915">
        <v>30.663453626138207</v>
      </c>
      <c r="T8671" s="915">
        <v>50.83460090002248</v>
      </c>
      <c r="U8671" s="915">
        <v>58.772938293272347</v>
      </c>
      <c r="V8671" s="915">
        <v>76.763367714624593</v>
      </c>
      <c r="W8671" s="893"/>
      <c r="X8671" s="890"/>
      <c r="Y8671" s="890"/>
      <c r="Z8671" s="906">
        <v>80</v>
      </c>
      <c r="AA8671" s="858">
        <f t="shared" si="67"/>
        <v>30.663453626138207</v>
      </c>
      <c r="AB8671" s="902"/>
      <c r="AC8671" s="903"/>
      <c r="AD8671" s="699">
        <v>5.3827680000000004</v>
      </c>
      <c r="AE8671" s="904"/>
      <c r="AF8671" s="905"/>
      <c r="AG8671" s="902"/>
      <c r="AH8671" s="902"/>
      <c r="AI8671" s="901"/>
      <c r="AJ8671" s="895"/>
      <c r="AK8671" s="895"/>
      <c r="AL8671" s="895"/>
      <c r="AM8671" s="883"/>
      <c r="AN8671" s="883"/>
      <c r="AO8671" s="883"/>
      <c r="AP8671" s="883"/>
      <c r="AQ8671" s="883"/>
      <c r="AR8671" s="883"/>
      <c r="AS8671" s="883"/>
      <c r="AT8671" s="883"/>
      <c r="AU8671" s="883"/>
      <c r="AV8671" s="895"/>
      <c r="AW8671" s="895"/>
      <c r="AX8671" s="895"/>
      <c r="AY8671" s="895"/>
      <c r="AZ8671" s="895"/>
      <c r="BA8671" s="883"/>
      <c r="BB8671" s="883"/>
      <c r="BC8671" s="883"/>
      <c r="BD8671" s="883"/>
      <c r="BE8671" s="883"/>
      <c r="BF8671" s="883"/>
      <c r="BG8671" s="883"/>
      <c r="BH8671" s="883"/>
      <c r="BI8671" s="883"/>
      <c r="BJ8671" s="895"/>
      <c r="BK8671" s="895"/>
      <c r="BL8671" s="895"/>
      <c r="BM8671" s="895"/>
      <c r="BN8671" s="895"/>
      <c r="BO8671" s="895"/>
      <c r="BP8671" s="895"/>
      <c r="BQ8671" s="895"/>
      <c r="BR8671" s="895"/>
      <c r="BS8671" s="895"/>
      <c r="BT8671" s="895"/>
      <c r="BU8671" s="895"/>
      <c r="BV8671" s="895"/>
      <c r="BW8671" s="895"/>
      <c r="BX8671" s="895"/>
      <c r="BY8671" s="895"/>
      <c r="BZ8671" s="895"/>
      <c r="CA8671" s="895"/>
      <c r="CB8671" s="883"/>
      <c r="CC8671" s="931"/>
    </row>
    <row r="8672" spans="1:81" ht="15" x14ac:dyDescent="0.25">
      <c r="A8672" s="906"/>
      <c r="B8672" s="889"/>
      <c r="C8672" s="890"/>
      <c r="D8672" s="890"/>
      <c r="E8672" s="891"/>
      <c r="F8672" s="916"/>
      <c r="G8672" s="890"/>
      <c r="H8672" s="906"/>
      <c r="I8672" s="906">
        <v>12</v>
      </c>
      <c r="J8672" s="906">
        <v>5</v>
      </c>
      <c r="K8672" s="890"/>
      <c r="L8672" s="917">
        <v>60</v>
      </c>
      <c r="M8672" s="907">
        <v>40653</v>
      </c>
      <c r="N8672" s="911">
        <v>9.6844140000000003</v>
      </c>
      <c r="O8672" s="908">
        <v>4.1754014820000004E-2</v>
      </c>
      <c r="P8672" s="915">
        <v>8.1297439282254036</v>
      </c>
      <c r="Q8672" s="915">
        <v>19.274966021406421</v>
      </c>
      <c r="R8672" s="915">
        <v>24.156945674645339</v>
      </c>
      <c r="S8672" s="915">
        <v>43.757320239847552</v>
      </c>
      <c r="T8672" s="915">
        <v>64.165809391221444</v>
      </c>
      <c r="U8672" s="915">
        <v>72.477241657769383</v>
      </c>
      <c r="V8672" s="915">
        <v>84.111376997664806</v>
      </c>
      <c r="W8672" s="893"/>
      <c r="X8672" s="890"/>
      <c r="Y8672" s="890"/>
      <c r="Z8672" s="906">
        <v>86</v>
      </c>
      <c r="AA8672" s="858">
        <f t="shared" si="67"/>
        <v>43.757320239847552</v>
      </c>
      <c r="AB8672" s="902"/>
      <c r="AC8672" s="903"/>
      <c r="AD8672" s="699">
        <v>5.3827680000000004</v>
      </c>
      <c r="AE8672" s="904"/>
      <c r="AF8672" s="905"/>
      <c r="AG8672" s="902"/>
      <c r="AH8672" s="902"/>
      <c r="AI8672" s="901"/>
      <c r="AJ8672" s="895"/>
      <c r="AK8672" s="895"/>
      <c r="AL8672" s="895"/>
      <c r="AM8672" s="883"/>
      <c r="AN8672" s="883"/>
      <c r="AO8672" s="883"/>
      <c r="AP8672" s="883"/>
      <c r="AQ8672" s="883"/>
      <c r="AR8672" s="883"/>
      <c r="AS8672" s="883"/>
      <c r="AT8672" s="883"/>
      <c r="AU8672" s="883"/>
      <c r="AV8672" s="895"/>
      <c r="AW8672" s="895"/>
      <c r="AX8672" s="895"/>
      <c r="AY8672" s="895"/>
      <c r="AZ8672" s="895"/>
      <c r="BA8672" s="883"/>
      <c r="BB8672" s="883"/>
      <c r="BC8672" s="883"/>
      <c r="BD8672" s="883"/>
      <c r="BE8672" s="883"/>
      <c r="BF8672" s="883"/>
      <c r="BG8672" s="883"/>
      <c r="BH8672" s="883"/>
      <c r="BI8672" s="883"/>
      <c r="BJ8672" s="895"/>
      <c r="BK8672" s="895"/>
      <c r="BL8672" s="895"/>
      <c r="BM8672" s="895"/>
      <c r="BN8672" s="895"/>
      <c r="BO8672" s="895"/>
      <c r="BP8672" s="895"/>
      <c r="BQ8672" s="895"/>
      <c r="BR8672" s="895"/>
      <c r="BS8672" s="895"/>
      <c r="BT8672" s="895"/>
      <c r="BU8672" s="895"/>
      <c r="BV8672" s="895"/>
      <c r="BW8672" s="895"/>
      <c r="BX8672" s="895"/>
      <c r="BY8672" s="895"/>
      <c r="BZ8672" s="895"/>
      <c r="CA8672" s="895"/>
      <c r="CB8672" s="883"/>
      <c r="CC8672" s="883"/>
    </row>
    <row r="8673" spans="1:81" ht="15" x14ac:dyDescent="0.25">
      <c r="A8673" s="906"/>
      <c r="B8673" s="889"/>
      <c r="C8673" s="890"/>
      <c r="D8673" s="890"/>
      <c r="E8673" s="891"/>
      <c r="F8673" s="916"/>
      <c r="G8673" s="890"/>
      <c r="H8673" s="906"/>
      <c r="I8673" s="906">
        <v>12</v>
      </c>
      <c r="J8673" s="906">
        <v>5</v>
      </c>
      <c r="K8673" s="890"/>
      <c r="L8673" s="917">
        <v>60</v>
      </c>
      <c r="M8673" s="907">
        <v>40654</v>
      </c>
      <c r="N8673" s="911">
        <v>10.024217999999999</v>
      </c>
      <c r="O8673" s="908">
        <v>1.6437256920000001E-2</v>
      </c>
      <c r="P8673" s="915">
        <v>15.578807580840008</v>
      </c>
      <c r="Q8673" s="915">
        <v>47.370141317117174</v>
      </c>
      <c r="R8673" s="915">
        <v>54.03686540680895</v>
      </c>
      <c r="S8673" s="915">
        <v>71.647488582118683</v>
      </c>
      <c r="T8673" s="915">
        <v>99.220643218313597</v>
      </c>
      <c r="U8673" s="915">
        <v>108.74790357974646</v>
      </c>
      <c r="V8673" s="915">
        <v>121.64335320445737</v>
      </c>
      <c r="W8673" s="893"/>
      <c r="X8673" s="890"/>
      <c r="Y8673" s="890"/>
      <c r="Z8673" s="906">
        <v>112</v>
      </c>
      <c r="AA8673" s="858">
        <f t="shared" si="67"/>
        <v>71.647488582118683</v>
      </c>
      <c r="AB8673" s="902"/>
      <c r="AC8673" s="903"/>
      <c r="AD8673" s="699">
        <v>5.3827680000000004</v>
      </c>
      <c r="AE8673" s="904"/>
      <c r="AF8673" s="905"/>
      <c r="AG8673" s="902"/>
      <c r="AH8673" s="902"/>
      <c r="AI8673" s="901"/>
      <c r="AJ8673" s="895"/>
      <c r="AK8673" s="895"/>
      <c r="AL8673" s="895"/>
      <c r="AM8673" s="883"/>
      <c r="AN8673" s="883"/>
      <c r="AO8673" s="883"/>
      <c r="AP8673" s="883"/>
      <c r="AQ8673" s="883"/>
      <c r="AR8673" s="883"/>
      <c r="AS8673" s="883"/>
      <c r="AT8673" s="883"/>
      <c r="AU8673" s="883"/>
      <c r="AV8673" s="895"/>
      <c r="AW8673" s="895"/>
      <c r="AX8673" s="895"/>
      <c r="AY8673" s="895"/>
      <c r="AZ8673" s="895"/>
      <c r="BA8673" s="883"/>
      <c r="BB8673" s="883"/>
      <c r="BC8673" s="883"/>
      <c r="BD8673" s="883"/>
      <c r="BE8673" s="883"/>
      <c r="BF8673" s="883"/>
      <c r="BG8673" s="883"/>
      <c r="BH8673" s="883"/>
      <c r="BI8673" s="883"/>
      <c r="BJ8673" s="895"/>
      <c r="BK8673" s="895"/>
      <c r="BL8673" s="895"/>
      <c r="BM8673" s="895"/>
      <c r="BN8673" s="895"/>
      <c r="BO8673" s="895"/>
      <c r="BP8673" s="895"/>
      <c r="BQ8673" s="895"/>
      <c r="BR8673" s="895"/>
      <c r="BS8673" s="895"/>
      <c r="BT8673" s="895"/>
      <c r="BU8673" s="895"/>
      <c r="BV8673" s="895"/>
      <c r="BW8673" s="895"/>
      <c r="BX8673" s="895"/>
      <c r="BY8673" s="895"/>
      <c r="BZ8673" s="895"/>
      <c r="CA8673" s="895"/>
      <c r="CB8673" s="883"/>
      <c r="CC8673" s="883"/>
    </row>
    <row r="8674" spans="1:81" ht="15" x14ac:dyDescent="0.25">
      <c r="A8674" s="906"/>
      <c r="B8674" s="889"/>
      <c r="C8674" s="890"/>
      <c r="D8674" s="890"/>
      <c r="E8674" s="891"/>
      <c r="F8674" s="916"/>
      <c r="G8674" s="890"/>
      <c r="H8674" s="906"/>
      <c r="I8674" s="906">
        <v>12</v>
      </c>
      <c r="J8674" s="906">
        <v>5</v>
      </c>
      <c r="K8674" s="890"/>
      <c r="L8674" s="917">
        <v>60</v>
      </c>
      <c r="M8674" s="907">
        <v>40654</v>
      </c>
      <c r="N8674" s="911">
        <v>10.109169</v>
      </c>
      <c r="O8674" s="908">
        <v>4.9142658600000002E-3</v>
      </c>
      <c r="P8674" s="915">
        <v>11.539071241729287</v>
      </c>
      <c r="Q8674" s="915">
        <v>24.989095623678249</v>
      </c>
      <c r="R8674" s="915">
        <v>33.150296337458975</v>
      </c>
      <c r="S8674" s="915">
        <v>41.432428411460293</v>
      </c>
      <c r="T8674" s="915">
        <v>45.877743659667885</v>
      </c>
      <c r="U8674" s="915">
        <v>47.592251256392437</v>
      </c>
      <c r="V8674" s="915">
        <v>49.77501274706092</v>
      </c>
      <c r="W8674" s="893"/>
      <c r="X8674" s="890"/>
      <c r="Y8674" s="890"/>
      <c r="Z8674" s="906">
        <v>46</v>
      </c>
      <c r="AA8674" s="858">
        <f t="shared" si="67"/>
        <v>41.432428411460293</v>
      </c>
      <c r="AB8674" s="902"/>
      <c r="AC8674" s="903"/>
      <c r="AD8674" s="699">
        <v>5.3827680000000004</v>
      </c>
      <c r="AE8674" s="904"/>
      <c r="AF8674" s="905"/>
      <c r="AG8674" s="902"/>
      <c r="AH8674" s="902"/>
      <c r="AI8674" s="901"/>
      <c r="AJ8674" s="895"/>
      <c r="AK8674" s="895"/>
      <c r="AL8674" s="895"/>
      <c r="AM8674" s="883"/>
      <c r="AN8674" s="883"/>
      <c r="AO8674" s="883"/>
      <c r="AP8674" s="883"/>
      <c r="AQ8674" s="883"/>
      <c r="AR8674" s="883"/>
      <c r="AS8674" s="883"/>
      <c r="AT8674" s="883"/>
      <c r="AU8674" s="883"/>
      <c r="AV8674" s="895"/>
      <c r="AW8674" s="895"/>
      <c r="AX8674" s="895"/>
      <c r="AY8674" s="895"/>
      <c r="AZ8674" s="895"/>
      <c r="BA8674" s="883"/>
      <c r="BB8674" s="883"/>
      <c r="BC8674" s="883"/>
      <c r="BD8674" s="883"/>
      <c r="BE8674" s="883"/>
      <c r="BF8674" s="883"/>
      <c r="BG8674" s="883"/>
      <c r="BH8674" s="883"/>
      <c r="BI8674" s="883"/>
      <c r="BJ8674" s="895"/>
      <c r="BK8674" s="895"/>
      <c r="BL8674" s="895"/>
      <c r="BM8674" s="895"/>
      <c r="BN8674" s="895"/>
      <c r="BO8674" s="895"/>
      <c r="BP8674" s="895"/>
      <c r="BQ8674" s="895"/>
      <c r="BR8674" s="895"/>
      <c r="BS8674" s="895"/>
      <c r="BT8674" s="895"/>
      <c r="BU8674" s="895"/>
      <c r="BV8674" s="895"/>
      <c r="BW8674" s="895"/>
      <c r="BX8674" s="895"/>
      <c r="BY8674" s="895"/>
      <c r="BZ8674" s="895"/>
      <c r="CA8674" s="895"/>
      <c r="CB8674" s="883"/>
      <c r="CC8674" s="883"/>
    </row>
    <row r="8675" spans="1:81" ht="15" x14ac:dyDescent="0.25">
      <c r="A8675" s="906"/>
      <c r="B8675" s="889"/>
      <c r="C8675" s="890"/>
      <c r="D8675" s="890"/>
      <c r="E8675" s="891"/>
      <c r="F8675" s="916"/>
      <c r="G8675" s="890"/>
      <c r="H8675" s="906"/>
      <c r="I8675" s="906">
        <v>12</v>
      </c>
      <c r="J8675" s="906">
        <v>5</v>
      </c>
      <c r="K8675" s="890"/>
      <c r="L8675" s="917">
        <v>60</v>
      </c>
      <c r="M8675" s="907">
        <v>40655</v>
      </c>
      <c r="N8675" s="911">
        <v>9.3729269999999989</v>
      </c>
      <c r="O8675" s="908">
        <v>7.635636539999999E-3</v>
      </c>
      <c r="P8675" s="915">
        <v>6.1260892856245688</v>
      </c>
      <c r="Q8675" s="915">
        <v>15.873218145784492</v>
      </c>
      <c r="R8675" s="915">
        <v>25.667036325585297</v>
      </c>
      <c r="S8675" s="915">
        <v>53.083254859369966</v>
      </c>
      <c r="T8675" s="915">
        <v>66.310978456577473</v>
      </c>
      <c r="U8675" s="915">
        <v>74.018790215302985</v>
      </c>
      <c r="V8675" s="915">
        <v>84.666400147138603</v>
      </c>
      <c r="W8675" s="893"/>
      <c r="X8675" s="889"/>
      <c r="Y8675" s="890"/>
      <c r="Z8675" s="906">
        <v>88</v>
      </c>
      <c r="AA8675" s="858">
        <f t="shared" si="67"/>
        <v>53.083254859369966</v>
      </c>
      <c r="AB8675" s="902"/>
      <c r="AC8675" s="903"/>
      <c r="AD8675" s="699">
        <v>5.3827680000000004</v>
      </c>
      <c r="AE8675" s="904"/>
      <c r="AF8675" s="905"/>
      <c r="AG8675" s="902"/>
      <c r="AH8675" s="902"/>
      <c r="AI8675" s="901"/>
      <c r="AJ8675" s="895"/>
      <c r="AK8675" s="895"/>
      <c r="AL8675" s="895"/>
      <c r="AM8675" s="883"/>
      <c r="AN8675" s="883"/>
      <c r="AO8675" s="883"/>
      <c r="AP8675" s="883"/>
      <c r="AQ8675" s="883"/>
      <c r="AR8675" s="883"/>
      <c r="AS8675" s="883"/>
      <c r="AT8675" s="883"/>
      <c r="AU8675" s="883"/>
      <c r="AV8675" s="895"/>
      <c r="AW8675" s="895"/>
      <c r="AX8675" s="895"/>
      <c r="AY8675" s="895"/>
      <c r="AZ8675" s="895"/>
      <c r="BA8675" s="883"/>
      <c r="BB8675" s="883"/>
      <c r="BC8675" s="883"/>
      <c r="BD8675" s="883"/>
      <c r="BE8675" s="883"/>
      <c r="BF8675" s="883"/>
      <c r="BG8675" s="883"/>
      <c r="BH8675" s="883"/>
      <c r="BI8675" s="883"/>
      <c r="BJ8675" s="895"/>
      <c r="BK8675" s="895"/>
      <c r="BL8675" s="895"/>
      <c r="BM8675" s="895"/>
      <c r="BN8675" s="895"/>
      <c r="BO8675" s="895"/>
      <c r="BP8675" s="895"/>
      <c r="BQ8675" s="895"/>
      <c r="BR8675" s="895"/>
      <c r="BS8675" s="895"/>
      <c r="BT8675" s="895"/>
      <c r="BU8675" s="895"/>
      <c r="BV8675" s="895"/>
      <c r="BW8675" s="895"/>
      <c r="BX8675" s="895"/>
      <c r="BY8675" s="895"/>
      <c r="BZ8675" s="895"/>
      <c r="CA8675" s="895"/>
      <c r="CB8675" s="883"/>
      <c r="CC8675" s="883"/>
    </row>
    <row r="8676" spans="1:81" ht="15" x14ac:dyDescent="0.25">
      <c r="A8676" s="906"/>
      <c r="B8676" s="889"/>
      <c r="C8676" s="890"/>
      <c r="D8676" s="890"/>
      <c r="E8676" s="891"/>
      <c r="F8676" s="916"/>
      <c r="G8676" s="890"/>
      <c r="H8676" s="906"/>
      <c r="I8676" s="906">
        <v>12</v>
      </c>
      <c r="J8676" s="906">
        <v>5</v>
      </c>
      <c r="K8676" s="890"/>
      <c r="L8676" s="917">
        <v>60</v>
      </c>
      <c r="M8676" s="907">
        <v>40656</v>
      </c>
      <c r="N8676" s="911">
        <v>8.9623305000000002</v>
      </c>
      <c r="O8676" s="908">
        <v>8.2348721280000009E-2</v>
      </c>
      <c r="P8676" s="915">
        <v>9.4058479412498919</v>
      </c>
      <c r="Q8676" s="915">
        <v>18.336064736369231</v>
      </c>
      <c r="R8676" s="915">
        <v>26.080509439590912</v>
      </c>
      <c r="S8676" s="915">
        <v>60.338682999539394</v>
      </c>
      <c r="T8676" s="915">
        <v>95.963164392230212</v>
      </c>
      <c r="U8676" s="915">
        <v>106.44922593750361</v>
      </c>
      <c r="V8676" s="915">
        <v>120.83392641215336</v>
      </c>
      <c r="W8676" s="893"/>
      <c r="X8676" s="890"/>
      <c r="Y8676" s="890"/>
      <c r="Z8676" s="906">
        <v>111</v>
      </c>
      <c r="AA8676" s="858">
        <f t="shared" si="67"/>
        <v>60.338682999539394</v>
      </c>
      <c r="AB8676" s="902"/>
      <c r="AC8676" s="903"/>
      <c r="AD8676" s="699">
        <v>5.3827680000000004</v>
      </c>
      <c r="AE8676" s="904"/>
      <c r="AF8676" s="905"/>
      <c r="AG8676" s="902"/>
      <c r="AH8676" s="902"/>
      <c r="AI8676" s="901"/>
      <c r="AJ8676" s="895"/>
      <c r="AK8676" s="895"/>
      <c r="AL8676" s="895"/>
      <c r="AM8676" s="883"/>
      <c r="AN8676" s="883"/>
      <c r="AO8676" s="883"/>
      <c r="AP8676" s="883"/>
      <c r="AQ8676" s="883"/>
      <c r="AR8676" s="883"/>
      <c r="AS8676" s="883"/>
      <c r="AT8676" s="883"/>
      <c r="AU8676" s="883"/>
      <c r="AV8676" s="895"/>
      <c r="AW8676" s="895"/>
      <c r="AX8676" s="895"/>
      <c r="AY8676" s="895"/>
      <c r="AZ8676" s="895"/>
      <c r="BA8676" s="883"/>
      <c r="BB8676" s="883"/>
      <c r="BC8676" s="883"/>
      <c r="BD8676" s="883"/>
      <c r="BE8676" s="883"/>
      <c r="BF8676" s="883"/>
      <c r="BG8676" s="883"/>
      <c r="BH8676" s="883"/>
      <c r="BI8676" s="883"/>
      <c r="BJ8676" s="895"/>
      <c r="BK8676" s="895"/>
      <c r="BL8676" s="895"/>
      <c r="BM8676" s="895"/>
      <c r="BN8676" s="895"/>
      <c r="BO8676" s="895"/>
      <c r="BP8676" s="895"/>
      <c r="BQ8676" s="895"/>
      <c r="BR8676" s="895"/>
      <c r="BS8676" s="895"/>
      <c r="BT8676" s="895"/>
      <c r="BU8676" s="895"/>
      <c r="BV8676" s="895"/>
      <c r="BW8676" s="895"/>
      <c r="BX8676" s="895"/>
      <c r="BY8676" s="895"/>
      <c r="BZ8676" s="895"/>
      <c r="CA8676" s="895"/>
      <c r="CB8676" s="883"/>
      <c r="CC8676" s="883"/>
    </row>
    <row r="8677" spans="1:81" s="9" customFormat="1" ht="15" x14ac:dyDescent="0.25">
      <c r="A8677" s="906"/>
      <c r="B8677" s="889"/>
      <c r="C8677" s="890"/>
      <c r="D8677" s="890"/>
      <c r="E8677" s="891"/>
      <c r="F8677" s="916"/>
      <c r="G8677" s="890"/>
      <c r="H8677" s="906"/>
      <c r="I8677" s="906">
        <v>12</v>
      </c>
      <c r="J8677" s="906">
        <v>5</v>
      </c>
      <c r="K8677" s="890"/>
      <c r="L8677" s="917">
        <v>60</v>
      </c>
      <c r="M8677" s="907">
        <v>40656</v>
      </c>
      <c r="N8677" s="911">
        <v>8.3393564999999992</v>
      </c>
      <c r="O8677" s="908">
        <v>9.0118980000000021E-5</v>
      </c>
      <c r="P8677" s="915">
        <v>1.8169889063290721</v>
      </c>
      <c r="Q8677" s="915">
        <v>2.825986574195424</v>
      </c>
      <c r="R8677" s="915">
        <v>3.3830140200405876</v>
      </c>
      <c r="S8677" s="915">
        <v>5.2295884206257401</v>
      </c>
      <c r="T8677" s="915">
        <v>7.0577496205561427</v>
      </c>
      <c r="U8677" s="915">
        <v>7.8620860469620109</v>
      </c>
      <c r="V8677" s="915">
        <v>8.9706773570216427</v>
      </c>
      <c r="W8677" s="893"/>
      <c r="X8677" s="890"/>
      <c r="Y8677" s="890"/>
      <c r="Z8677" s="906">
        <v>11</v>
      </c>
      <c r="AA8677" s="858">
        <f t="shared" si="67"/>
        <v>5.2295884206257401</v>
      </c>
      <c r="AB8677" s="902"/>
      <c r="AC8677" s="903"/>
      <c r="AD8677" s="699">
        <v>5.3827680000000004</v>
      </c>
      <c r="AE8677" s="904"/>
      <c r="AF8677" s="905"/>
      <c r="AG8677" s="902"/>
      <c r="AH8677" s="902"/>
      <c r="AI8677" s="901"/>
      <c r="AJ8677" s="895"/>
      <c r="AK8677" s="895"/>
      <c r="AL8677" s="895"/>
      <c r="AM8677" s="883"/>
      <c r="AN8677" s="883"/>
      <c r="AO8677" s="883"/>
      <c r="AP8677" s="883"/>
      <c r="AQ8677" s="883"/>
      <c r="AR8677" s="883"/>
      <c r="AS8677" s="883"/>
      <c r="AT8677" s="883"/>
      <c r="AU8677" s="883"/>
      <c r="AV8677" s="895"/>
      <c r="AW8677" s="895"/>
      <c r="AX8677" s="895"/>
      <c r="AY8677" s="895"/>
      <c r="AZ8677" s="895"/>
      <c r="BA8677" s="883"/>
      <c r="BB8677" s="883"/>
      <c r="BC8677" s="883"/>
      <c r="BD8677" s="883"/>
      <c r="BE8677" s="883"/>
      <c r="BF8677" s="883"/>
      <c r="BG8677" s="883"/>
      <c r="BH8677" s="883"/>
      <c r="BI8677" s="883"/>
      <c r="BJ8677" s="895"/>
      <c r="BK8677" s="895"/>
      <c r="BL8677" s="895"/>
      <c r="BM8677" s="895"/>
      <c r="BN8677" s="895"/>
      <c r="BO8677" s="895"/>
      <c r="BP8677" s="895"/>
      <c r="BQ8677" s="895"/>
      <c r="BR8677" s="895"/>
      <c r="BS8677" s="895"/>
      <c r="BT8677" s="895"/>
      <c r="BU8677" s="895"/>
      <c r="BV8677" s="895"/>
      <c r="BW8677" s="895"/>
      <c r="BX8677" s="895"/>
      <c r="BY8677" s="895"/>
      <c r="BZ8677" s="895"/>
      <c r="CA8677" s="895"/>
      <c r="CB8677" s="883"/>
      <c r="CC8677" s="883"/>
    </row>
    <row r="8678" spans="1:81" ht="15" x14ac:dyDescent="0.25">
      <c r="A8678" s="906"/>
      <c r="B8678" s="889"/>
      <c r="C8678" s="890"/>
      <c r="D8678" s="890"/>
      <c r="E8678" s="891"/>
      <c r="F8678" s="916"/>
      <c r="G8678" s="890"/>
      <c r="H8678" s="906"/>
      <c r="I8678" s="906">
        <v>6</v>
      </c>
      <c r="J8678" s="906">
        <v>5</v>
      </c>
      <c r="K8678" s="890"/>
      <c r="L8678" s="917">
        <v>30</v>
      </c>
      <c r="M8678" s="907">
        <v>40658</v>
      </c>
      <c r="N8678" s="911">
        <v>6.9942989999999998</v>
      </c>
      <c r="O8678" s="908">
        <v>2.2385109600000005E-3</v>
      </c>
      <c r="P8678" s="915">
        <v>5.177232245978308</v>
      </c>
      <c r="Q8678" s="915">
        <v>8.1006159410371357</v>
      </c>
      <c r="R8678" s="915">
        <v>10.407612108717219</v>
      </c>
      <c r="S8678" s="915">
        <v>16.181529276228108</v>
      </c>
      <c r="T8678" s="915">
        <v>24.903980694939879</v>
      </c>
      <c r="U8678" s="915">
        <v>29.023180627167459</v>
      </c>
      <c r="V8678" s="915">
        <v>34.994011865616507</v>
      </c>
      <c r="W8678" s="893"/>
      <c r="X8678" s="890"/>
      <c r="Y8678" s="890"/>
      <c r="Z8678" s="906">
        <v>25</v>
      </c>
      <c r="AA8678" s="858">
        <f t="shared" si="67"/>
        <v>16.181529276228108</v>
      </c>
      <c r="AB8678" s="902"/>
      <c r="AC8678" s="903"/>
      <c r="AD8678" s="699">
        <v>5.3827680000000004</v>
      </c>
      <c r="AE8678" s="904"/>
      <c r="AF8678" s="905"/>
      <c r="AG8678" s="902"/>
      <c r="AH8678" s="902"/>
      <c r="AI8678" s="901"/>
      <c r="AJ8678" s="895"/>
      <c r="AK8678" s="895"/>
      <c r="AL8678" s="895"/>
      <c r="AM8678" s="883"/>
      <c r="AN8678" s="883"/>
      <c r="AO8678" s="883"/>
      <c r="AP8678" s="883"/>
      <c r="AQ8678" s="883"/>
      <c r="AR8678" s="883"/>
      <c r="AS8678" s="883"/>
      <c r="AT8678" s="883"/>
      <c r="AU8678" s="883"/>
      <c r="AV8678" s="895"/>
      <c r="AW8678" s="895"/>
      <c r="AX8678" s="895"/>
      <c r="AY8678" s="895"/>
      <c r="AZ8678" s="895"/>
      <c r="BA8678" s="883"/>
      <c r="BB8678" s="883"/>
      <c r="BC8678" s="883"/>
      <c r="BD8678" s="883"/>
      <c r="BE8678" s="883"/>
      <c r="BF8678" s="883"/>
      <c r="BG8678" s="883"/>
      <c r="BH8678" s="883"/>
      <c r="BI8678" s="883"/>
      <c r="BJ8678" s="895"/>
      <c r="BK8678" s="895"/>
      <c r="BL8678" s="895"/>
      <c r="BM8678" s="895"/>
      <c r="BN8678" s="895"/>
      <c r="BO8678" s="895"/>
      <c r="BP8678" s="895"/>
      <c r="BQ8678" s="895"/>
      <c r="BR8678" s="895"/>
      <c r="BS8678" s="895"/>
      <c r="BT8678" s="895"/>
      <c r="BU8678" s="895"/>
      <c r="BV8678" s="895"/>
      <c r="BW8678" s="895"/>
      <c r="BX8678" s="895"/>
      <c r="BY8678" s="895"/>
      <c r="BZ8678" s="895"/>
      <c r="CA8678" s="895"/>
      <c r="CB8678" s="883"/>
      <c r="CC8678" s="883"/>
    </row>
    <row r="8679" spans="1:81" ht="15" x14ac:dyDescent="0.25">
      <c r="A8679" s="906"/>
      <c r="B8679" s="889"/>
      <c r="C8679" s="890"/>
      <c r="D8679" s="890"/>
      <c r="E8679" s="891"/>
      <c r="F8679" s="916"/>
      <c r="G8679" s="890"/>
      <c r="H8679" s="906"/>
      <c r="I8679" s="906">
        <v>12</v>
      </c>
      <c r="J8679" s="906">
        <v>5</v>
      </c>
      <c r="K8679" s="890"/>
      <c r="L8679" s="917">
        <v>60</v>
      </c>
      <c r="M8679" s="907">
        <v>40658</v>
      </c>
      <c r="N8679" s="911">
        <v>7.0934084999999998</v>
      </c>
      <c r="O8679" s="908">
        <v>1.1036793600000001E-3</v>
      </c>
      <c r="P8679" s="915">
        <v>13.856200761745379</v>
      </c>
      <c r="Q8679" s="915">
        <v>39.257135255970105</v>
      </c>
      <c r="R8679" s="915">
        <v>40.356428343960005</v>
      </c>
      <c r="S8679" s="915">
        <v>43.574229798524414</v>
      </c>
      <c r="T8679" s="915">
        <v>47.048601188186836</v>
      </c>
      <c r="U8679" s="915">
        <v>48.366073839936199</v>
      </c>
      <c r="V8679" s="915">
        <v>50.026522296445613</v>
      </c>
      <c r="W8679" s="893"/>
      <c r="X8679" s="890"/>
      <c r="Y8679" s="890"/>
      <c r="Z8679" s="906">
        <v>46</v>
      </c>
      <c r="AA8679" s="858">
        <f t="shared" si="67"/>
        <v>43.574229798524414</v>
      </c>
      <c r="AB8679" s="902"/>
      <c r="AC8679" s="903"/>
      <c r="AD8679" s="699">
        <v>5.3827680000000004</v>
      </c>
      <c r="AE8679" s="904"/>
      <c r="AF8679" s="905"/>
      <c r="AG8679" s="902"/>
      <c r="AH8679" s="902"/>
      <c r="AI8679" s="901"/>
      <c r="AJ8679" s="895"/>
      <c r="AK8679" s="895"/>
      <c r="AL8679" s="895"/>
      <c r="AM8679" s="883"/>
      <c r="AN8679" s="883"/>
      <c r="AO8679" s="883"/>
      <c r="AP8679" s="883"/>
      <c r="AQ8679" s="883"/>
      <c r="AR8679" s="883"/>
      <c r="AS8679" s="883"/>
      <c r="AT8679" s="883"/>
      <c r="AU8679" s="883"/>
      <c r="AV8679" s="895"/>
      <c r="AW8679" s="895"/>
      <c r="AX8679" s="895"/>
      <c r="AY8679" s="895"/>
      <c r="AZ8679" s="895"/>
      <c r="BA8679" s="883"/>
      <c r="BB8679" s="883"/>
      <c r="BC8679" s="883"/>
      <c r="BD8679" s="883"/>
      <c r="BE8679" s="883"/>
      <c r="BF8679" s="883"/>
      <c r="BG8679" s="883"/>
      <c r="BH8679" s="883"/>
      <c r="BI8679" s="883"/>
      <c r="BJ8679" s="895"/>
      <c r="BK8679" s="895"/>
      <c r="BL8679" s="895"/>
      <c r="BM8679" s="895"/>
      <c r="BN8679" s="895"/>
      <c r="BO8679" s="895"/>
      <c r="BP8679" s="895"/>
      <c r="BQ8679" s="895"/>
      <c r="BR8679" s="895"/>
      <c r="BS8679" s="895"/>
      <c r="BT8679" s="895"/>
      <c r="BU8679" s="895"/>
      <c r="BV8679" s="895"/>
      <c r="BW8679" s="895"/>
      <c r="BX8679" s="895"/>
      <c r="BY8679" s="895"/>
      <c r="BZ8679" s="895"/>
      <c r="CA8679" s="895"/>
      <c r="CB8679" s="883"/>
      <c r="CC8679" s="883"/>
    </row>
    <row r="8680" spans="1:81" ht="15" x14ac:dyDescent="0.25">
      <c r="A8680" s="906"/>
      <c r="B8680" s="889"/>
      <c r="C8680" s="890"/>
      <c r="D8680" s="890"/>
      <c r="E8680" s="891"/>
      <c r="F8680" s="916"/>
      <c r="G8680" s="890"/>
      <c r="H8680" s="906"/>
      <c r="I8680" s="906">
        <v>12</v>
      </c>
      <c r="J8680" s="906">
        <v>2</v>
      </c>
      <c r="K8680" s="890"/>
      <c r="L8680" s="917">
        <v>24</v>
      </c>
      <c r="M8680" s="907">
        <v>40670</v>
      </c>
      <c r="N8680" s="911">
        <v>12.402845999999998</v>
      </c>
      <c r="O8680" s="908">
        <v>1.0168842127500002</v>
      </c>
      <c r="P8680" s="915">
        <v>11.555797286414117</v>
      </c>
      <c r="Q8680" s="915">
        <v>21.292153846061879</v>
      </c>
      <c r="R8680" s="915">
        <v>27.333006904447352</v>
      </c>
      <c r="S8680" s="915">
        <v>46.598427624531055</v>
      </c>
      <c r="T8680" s="915">
        <v>70.220552073187562</v>
      </c>
      <c r="U8680" s="915">
        <v>81.305866404307196</v>
      </c>
      <c r="V8680" s="915">
        <v>106.87174474855314</v>
      </c>
      <c r="W8680" s="893"/>
      <c r="X8680" s="890"/>
      <c r="Y8680" s="890"/>
      <c r="Z8680" s="906">
        <v>109</v>
      </c>
      <c r="AA8680" s="858">
        <f t="shared" si="67"/>
        <v>46.598427624531055</v>
      </c>
      <c r="AB8680" s="902"/>
      <c r="AC8680" s="903"/>
      <c r="AD8680" s="699">
        <v>5.3827680000000004</v>
      </c>
      <c r="AE8680" s="904"/>
      <c r="AF8680" s="905"/>
      <c r="AG8680" s="902"/>
      <c r="AH8680" s="902"/>
      <c r="AI8680" s="901"/>
      <c r="AJ8680" s="895"/>
      <c r="AK8680" s="895"/>
      <c r="AL8680" s="895"/>
      <c r="AM8680" s="883"/>
      <c r="AN8680" s="883"/>
      <c r="AO8680" s="883"/>
      <c r="AP8680" s="883"/>
      <c r="AQ8680" s="883"/>
      <c r="AR8680" s="883"/>
      <c r="AS8680" s="883"/>
      <c r="AT8680" s="883"/>
      <c r="AU8680" s="883"/>
      <c r="AV8680" s="895"/>
      <c r="AW8680" s="895"/>
      <c r="AX8680" s="895"/>
      <c r="AY8680" s="895"/>
      <c r="AZ8680" s="895"/>
      <c r="BA8680" s="883"/>
      <c r="BB8680" s="883"/>
      <c r="BC8680" s="883"/>
      <c r="BD8680" s="883"/>
      <c r="BE8680" s="883"/>
      <c r="BF8680" s="883"/>
      <c r="BG8680" s="883"/>
      <c r="BH8680" s="883"/>
      <c r="BI8680" s="883"/>
      <c r="BJ8680" s="895"/>
      <c r="BK8680" s="895"/>
      <c r="BL8680" s="895"/>
      <c r="BM8680" s="895"/>
      <c r="BN8680" s="895"/>
      <c r="BO8680" s="895"/>
      <c r="BP8680" s="895"/>
      <c r="BQ8680" s="895"/>
      <c r="BR8680" s="895"/>
      <c r="BS8680" s="895"/>
      <c r="BT8680" s="895"/>
      <c r="BU8680" s="895"/>
      <c r="BV8680" s="895"/>
      <c r="BW8680" s="895"/>
      <c r="BX8680" s="895"/>
      <c r="BY8680" s="895"/>
      <c r="BZ8680" s="895"/>
      <c r="CA8680" s="895"/>
      <c r="CB8680" s="883"/>
      <c r="CC8680" s="883"/>
    </row>
    <row r="8681" spans="1:81" ht="15" x14ac:dyDescent="0.25">
      <c r="A8681" s="906"/>
      <c r="B8681" s="889"/>
      <c r="C8681" s="890"/>
      <c r="D8681" s="890"/>
      <c r="E8681" s="891"/>
      <c r="F8681" s="916"/>
      <c r="G8681" s="890"/>
      <c r="H8681" s="906"/>
      <c r="I8681" s="906">
        <v>12</v>
      </c>
      <c r="J8681" s="909">
        <v>1.25</v>
      </c>
      <c r="K8681" s="890"/>
      <c r="L8681" s="917">
        <v>15</v>
      </c>
      <c r="M8681" s="907">
        <v>40673</v>
      </c>
      <c r="N8681" s="911">
        <v>14.469987</v>
      </c>
      <c r="O8681" s="908">
        <v>0.37126794600000007</v>
      </c>
      <c r="P8681" s="915">
        <v>10.254768555375435</v>
      </c>
      <c r="Q8681" s="915">
        <v>19.691976640987889</v>
      </c>
      <c r="R8681" s="915">
        <v>26.077834638460388</v>
      </c>
      <c r="S8681" s="915">
        <v>46.562031987732155</v>
      </c>
      <c r="T8681" s="915">
        <v>70.274681350851054</v>
      </c>
      <c r="U8681" s="915">
        <v>78.763719838110319</v>
      </c>
      <c r="V8681" s="915">
        <v>92.795811986718718</v>
      </c>
      <c r="W8681" s="893"/>
      <c r="X8681" s="890"/>
      <c r="Y8681" s="890"/>
      <c r="Z8681" s="906">
        <v>117</v>
      </c>
      <c r="AA8681" s="858">
        <f t="shared" si="67"/>
        <v>46.562031987732155</v>
      </c>
      <c r="AB8681" s="902"/>
      <c r="AC8681" s="903"/>
      <c r="AD8681" s="699">
        <v>5.3827680000000004</v>
      </c>
      <c r="AE8681" s="904"/>
      <c r="AF8681" s="905"/>
      <c r="AG8681" s="902"/>
      <c r="AH8681" s="902"/>
      <c r="AI8681" s="901"/>
      <c r="AJ8681" s="895"/>
      <c r="AK8681" s="895"/>
      <c r="AL8681" s="895"/>
      <c r="AM8681" s="883"/>
      <c r="AN8681" s="883"/>
      <c r="AO8681" s="883"/>
      <c r="AP8681" s="883"/>
      <c r="AQ8681" s="883"/>
      <c r="AR8681" s="883"/>
      <c r="AS8681" s="883"/>
      <c r="AT8681" s="883"/>
      <c r="AU8681" s="883"/>
      <c r="AV8681" s="895"/>
      <c r="AW8681" s="895"/>
      <c r="AX8681" s="895"/>
      <c r="AY8681" s="895"/>
      <c r="AZ8681" s="895"/>
      <c r="BA8681" s="883"/>
      <c r="BB8681" s="883"/>
      <c r="BC8681" s="883"/>
      <c r="BD8681" s="883"/>
      <c r="BE8681" s="883"/>
      <c r="BF8681" s="883"/>
      <c r="BG8681" s="883"/>
      <c r="BH8681" s="883"/>
      <c r="BI8681" s="883"/>
      <c r="BJ8681" s="895"/>
      <c r="BK8681" s="895"/>
      <c r="BL8681" s="895"/>
      <c r="BM8681" s="895"/>
      <c r="BN8681" s="895"/>
      <c r="BO8681" s="895"/>
      <c r="BP8681" s="895"/>
      <c r="BQ8681" s="895"/>
      <c r="BR8681" s="895"/>
      <c r="BS8681" s="895"/>
      <c r="BT8681" s="895"/>
      <c r="BU8681" s="895"/>
      <c r="BV8681" s="895"/>
      <c r="BW8681" s="895"/>
      <c r="BX8681" s="895"/>
      <c r="BY8681" s="895"/>
      <c r="BZ8681" s="895"/>
      <c r="CA8681" s="895"/>
      <c r="CB8681" s="883"/>
      <c r="CC8681" s="883"/>
    </row>
    <row r="8682" spans="1:81" ht="15" x14ac:dyDescent="0.25">
      <c r="A8682" s="906"/>
      <c r="B8682" s="889"/>
      <c r="C8682" s="890"/>
      <c r="D8682" s="890"/>
      <c r="E8682" s="891"/>
      <c r="F8682" s="916"/>
      <c r="G8682" s="890"/>
      <c r="H8682" s="906"/>
      <c r="I8682" s="906">
        <v>6</v>
      </c>
      <c r="J8682" s="906">
        <v>2</v>
      </c>
      <c r="K8682" s="890"/>
      <c r="L8682" s="917">
        <v>12</v>
      </c>
      <c r="M8682" s="907">
        <v>40674</v>
      </c>
      <c r="N8682" s="911">
        <v>12.261260999999999</v>
      </c>
      <c r="O8682" s="908">
        <v>2.7758871000000004E-3</v>
      </c>
      <c r="P8682" s="915">
        <v>3.8949615334610148</v>
      </c>
      <c r="Q8682" s="915">
        <v>7.3260913362184343</v>
      </c>
      <c r="R8682" s="915">
        <v>15.288886153961247</v>
      </c>
      <c r="S8682" s="915">
        <v>41.753580789430721</v>
      </c>
      <c r="T8682" s="915">
        <v>46.055204962122303</v>
      </c>
      <c r="U8682" s="915">
        <v>47.709989045746426</v>
      </c>
      <c r="V8682" s="915">
        <v>49.813460597428424</v>
      </c>
      <c r="W8682" s="893"/>
      <c r="X8682" s="890"/>
      <c r="Y8682" s="890"/>
      <c r="Z8682" s="906">
        <v>53</v>
      </c>
      <c r="AA8682" s="858">
        <f t="shared" si="67"/>
        <v>41.753580789430721</v>
      </c>
      <c r="AB8682" s="902"/>
      <c r="AC8682" s="903"/>
      <c r="AD8682" s="699">
        <v>5.3827680000000004</v>
      </c>
      <c r="AE8682" s="904"/>
      <c r="AF8682" s="905"/>
      <c r="AG8682" s="902"/>
      <c r="AH8682" s="902"/>
      <c r="AI8682" s="901"/>
      <c r="AJ8682" s="895"/>
      <c r="AK8682" s="895"/>
      <c r="AL8682" s="895"/>
      <c r="AM8682" s="883"/>
      <c r="AN8682" s="883"/>
      <c r="AO8682" s="883"/>
      <c r="AP8682" s="883"/>
      <c r="AQ8682" s="883"/>
      <c r="AR8682" s="883"/>
      <c r="AS8682" s="883"/>
      <c r="AT8682" s="883"/>
      <c r="AU8682" s="883"/>
      <c r="AV8682" s="895"/>
      <c r="AW8682" s="895"/>
      <c r="AX8682" s="895"/>
      <c r="AY8682" s="895"/>
      <c r="AZ8682" s="895"/>
      <c r="BA8682" s="883"/>
      <c r="BB8682" s="883"/>
      <c r="BC8682" s="883"/>
      <c r="BD8682" s="883"/>
      <c r="BE8682" s="883"/>
      <c r="BF8682" s="883"/>
      <c r="BG8682" s="883"/>
      <c r="BH8682" s="883"/>
      <c r="BI8682" s="883"/>
      <c r="BJ8682" s="895"/>
      <c r="BK8682" s="895"/>
      <c r="BL8682" s="895"/>
      <c r="BM8682" s="895"/>
      <c r="BN8682" s="895"/>
      <c r="BO8682" s="895"/>
      <c r="BP8682" s="895"/>
      <c r="BQ8682" s="895"/>
      <c r="BR8682" s="895"/>
      <c r="BS8682" s="895"/>
      <c r="BT8682" s="895"/>
      <c r="BU8682" s="895"/>
      <c r="BV8682" s="895"/>
      <c r="BW8682" s="895"/>
      <c r="BX8682" s="895"/>
      <c r="BY8682" s="895"/>
      <c r="BZ8682" s="895"/>
      <c r="CA8682" s="895"/>
      <c r="CB8682" s="883"/>
      <c r="CC8682" s="883"/>
    </row>
    <row r="8683" spans="1:81" ht="15" x14ac:dyDescent="0.25">
      <c r="A8683" s="906"/>
      <c r="B8683" s="889"/>
      <c r="C8683" s="890"/>
      <c r="D8683" s="890"/>
      <c r="E8683" s="891"/>
      <c r="F8683" s="916"/>
      <c r="G8683" s="890"/>
      <c r="H8683" s="906"/>
      <c r="I8683" s="906">
        <v>6</v>
      </c>
      <c r="J8683" s="906">
        <v>2</v>
      </c>
      <c r="K8683" s="890"/>
      <c r="L8683" s="917">
        <v>12</v>
      </c>
      <c r="M8683" s="907">
        <v>40674</v>
      </c>
      <c r="N8683" s="911">
        <v>12.091358999999999</v>
      </c>
      <c r="O8683" s="908">
        <v>2.7608672700000003E-2</v>
      </c>
      <c r="P8683" s="915">
        <v>6.0781183571659394</v>
      </c>
      <c r="Q8683" s="915">
        <v>12.541249372895154</v>
      </c>
      <c r="R8683" s="915">
        <v>18.992560664015066</v>
      </c>
      <c r="S8683" s="915">
        <v>39.439839831443116</v>
      </c>
      <c r="T8683" s="915">
        <v>49.514851980155989</v>
      </c>
      <c r="U8683" s="915">
        <v>54.178671402316368</v>
      </c>
      <c r="V8683" s="915">
        <v>60.753330609816807</v>
      </c>
      <c r="W8683" s="893"/>
      <c r="X8683" s="890"/>
      <c r="Y8683" s="890"/>
      <c r="Z8683" s="906">
        <v>66</v>
      </c>
      <c r="AA8683" s="858">
        <f t="shared" si="67"/>
        <v>39.439839831443116</v>
      </c>
      <c r="AB8683" s="902"/>
      <c r="AC8683" s="903"/>
      <c r="AD8683" s="699">
        <v>5.3827680000000004</v>
      </c>
      <c r="AE8683" s="904"/>
      <c r="AF8683" s="905"/>
      <c r="AG8683" s="902"/>
      <c r="AH8683" s="902"/>
      <c r="AI8683" s="901"/>
      <c r="AJ8683" s="895"/>
      <c r="AK8683" s="895"/>
      <c r="AL8683" s="895"/>
      <c r="AM8683" s="883"/>
      <c r="AN8683" s="883"/>
      <c r="AO8683" s="883"/>
      <c r="AP8683" s="883"/>
      <c r="AQ8683" s="883"/>
      <c r="AR8683" s="883"/>
      <c r="AS8683" s="883"/>
      <c r="AT8683" s="883"/>
      <c r="AU8683" s="883"/>
      <c r="AV8683" s="895"/>
      <c r="AW8683" s="895"/>
      <c r="AX8683" s="895"/>
      <c r="AY8683" s="895"/>
      <c r="AZ8683" s="895"/>
      <c r="BA8683" s="883"/>
      <c r="BB8683" s="883"/>
      <c r="BC8683" s="883"/>
      <c r="BD8683" s="883"/>
      <c r="BE8683" s="883"/>
      <c r="BF8683" s="883"/>
      <c r="BG8683" s="883"/>
      <c r="BH8683" s="883"/>
      <c r="BI8683" s="883"/>
      <c r="BJ8683" s="895"/>
      <c r="BK8683" s="895"/>
      <c r="BL8683" s="895"/>
      <c r="BM8683" s="895"/>
      <c r="BN8683" s="895"/>
      <c r="BO8683" s="895"/>
      <c r="BP8683" s="895"/>
      <c r="BQ8683" s="895"/>
      <c r="BR8683" s="895"/>
      <c r="BS8683" s="895"/>
      <c r="BT8683" s="895"/>
      <c r="BU8683" s="895"/>
      <c r="BV8683" s="895"/>
      <c r="BW8683" s="895"/>
      <c r="BX8683" s="895"/>
      <c r="BY8683" s="895"/>
      <c r="BZ8683" s="895"/>
      <c r="CA8683" s="895"/>
      <c r="CB8683" s="883"/>
      <c r="CC8683" s="883"/>
    </row>
    <row r="8684" spans="1:81" ht="15" x14ac:dyDescent="0.25">
      <c r="A8684" s="906"/>
      <c r="B8684" s="889"/>
      <c r="C8684" s="890"/>
      <c r="D8684" s="890"/>
      <c r="E8684" s="891"/>
      <c r="F8684" s="916"/>
      <c r="G8684" s="890"/>
      <c r="H8684" s="906"/>
      <c r="I8684" s="906">
        <v>12</v>
      </c>
      <c r="J8684" s="906">
        <v>5</v>
      </c>
      <c r="K8684" s="890"/>
      <c r="L8684" s="917">
        <v>60</v>
      </c>
      <c r="M8684" s="907">
        <v>40675</v>
      </c>
      <c r="N8684" s="911">
        <v>11.355117</v>
      </c>
      <c r="O8684" s="908">
        <v>5.9066872199999999E-3</v>
      </c>
      <c r="P8684" s="915">
        <v>4.8428272854142911</v>
      </c>
      <c r="Q8684" s="915">
        <v>9.2684926276224999</v>
      </c>
      <c r="R8684" s="915">
        <v>14.271374907250465</v>
      </c>
      <c r="S8684" s="915">
        <v>31.663216051514599</v>
      </c>
      <c r="T8684" s="915">
        <v>50.188715550365828</v>
      </c>
      <c r="U8684" s="915">
        <v>54.937213974273604</v>
      </c>
      <c r="V8684" s="915">
        <v>61.017871558758159</v>
      </c>
      <c r="W8684" s="893"/>
      <c r="X8684" s="890"/>
      <c r="Y8684" s="890"/>
      <c r="Z8684" s="906">
        <v>68</v>
      </c>
      <c r="AA8684" s="858">
        <f t="shared" si="67"/>
        <v>31.663216051514599</v>
      </c>
      <c r="AB8684" s="902"/>
      <c r="AC8684" s="903"/>
      <c r="AD8684" s="699">
        <v>5.3827680000000004</v>
      </c>
      <c r="AE8684" s="904"/>
      <c r="AF8684" s="905"/>
      <c r="AG8684" s="902"/>
      <c r="AH8684" s="902"/>
      <c r="AI8684" s="901"/>
      <c r="AJ8684" s="895"/>
      <c r="AK8684" s="895"/>
      <c r="AL8684" s="895"/>
      <c r="AM8684" s="883"/>
      <c r="AN8684" s="883"/>
      <c r="AO8684" s="883"/>
      <c r="AP8684" s="883"/>
      <c r="AQ8684" s="883"/>
      <c r="AR8684" s="883"/>
      <c r="AS8684" s="883"/>
      <c r="AT8684" s="883"/>
      <c r="AU8684" s="883"/>
      <c r="AV8684" s="895"/>
      <c r="AW8684" s="895"/>
      <c r="AX8684" s="895"/>
      <c r="AY8684" s="895"/>
      <c r="AZ8684" s="895"/>
      <c r="BA8684" s="883"/>
      <c r="BB8684" s="883"/>
      <c r="BC8684" s="883"/>
      <c r="BD8684" s="883"/>
      <c r="BE8684" s="883"/>
      <c r="BF8684" s="883"/>
      <c r="BG8684" s="883"/>
      <c r="BH8684" s="883"/>
      <c r="BI8684" s="883"/>
      <c r="BJ8684" s="895"/>
      <c r="BK8684" s="895"/>
      <c r="BL8684" s="895"/>
      <c r="BM8684" s="895"/>
      <c r="BN8684" s="895"/>
      <c r="BO8684" s="895"/>
      <c r="BP8684" s="895"/>
      <c r="BQ8684" s="895"/>
      <c r="BR8684" s="895"/>
      <c r="BS8684" s="895"/>
      <c r="BT8684" s="895"/>
      <c r="BU8684" s="895"/>
      <c r="BV8684" s="895"/>
      <c r="BW8684" s="895"/>
      <c r="BX8684" s="895"/>
      <c r="BY8684" s="895"/>
      <c r="BZ8684" s="895"/>
      <c r="CA8684" s="895"/>
      <c r="CB8684" s="883"/>
      <c r="CC8684" s="883"/>
    </row>
    <row r="8685" spans="1:81" ht="15" x14ac:dyDescent="0.25">
      <c r="A8685" s="906"/>
      <c r="B8685" s="889"/>
      <c r="C8685" s="890"/>
      <c r="D8685" s="890"/>
      <c r="E8685" s="891"/>
      <c r="F8685" s="916"/>
      <c r="G8685" s="890"/>
      <c r="H8685" s="906"/>
      <c r="I8685" s="906">
        <v>4</v>
      </c>
      <c r="J8685" s="906">
        <v>2</v>
      </c>
      <c r="K8685" s="890"/>
      <c r="L8685" s="917">
        <v>8</v>
      </c>
      <c r="M8685" s="907">
        <v>40677</v>
      </c>
      <c r="N8685" s="911">
        <v>14.569096499999999</v>
      </c>
      <c r="O8685" s="908">
        <v>5.7225552299999996E-2</v>
      </c>
      <c r="P8685" s="915">
        <v>12.710420267063926</v>
      </c>
      <c r="Q8685" s="915">
        <v>22.08545050062434</v>
      </c>
      <c r="R8685" s="915">
        <v>27.662832605621986</v>
      </c>
      <c r="S8685" s="915">
        <v>44.43268689105922</v>
      </c>
      <c r="T8685" s="915">
        <v>72.480770167093013</v>
      </c>
      <c r="U8685" s="915">
        <v>78.355573749555305</v>
      </c>
      <c r="V8685" s="915">
        <v>86.186365627541491</v>
      </c>
      <c r="W8685" s="893"/>
      <c r="X8685" s="890"/>
      <c r="Y8685" s="890"/>
      <c r="Z8685" s="890"/>
      <c r="AA8685" s="858">
        <f t="shared" si="67"/>
        <v>44.43268689105922</v>
      </c>
      <c r="AB8685" s="902"/>
      <c r="AC8685" s="903"/>
      <c r="AD8685" s="699">
        <v>5.3827680000000004</v>
      </c>
      <c r="AE8685" s="904"/>
      <c r="AF8685" s="905"/>
      <c r="AG8685" s="902"/>
      <c r="AH8685" s="902"/>
      <c r="AI8685" s="901"/>
      <c r="AJ8685" s="895"/>
      <c r="AK8685" s="895"/>
      <c r="AL8685" s="895"/>
      <c r="AM8685" s="883"/>
      <c r="AN8685" s="883"/>
      <c r="AO8685" s="883"/>
      <c r="AP8685" s="883"/>
      <c r="AQ8685" s="883"/>
      <c r="AR8685" s="883"/>
      <c r="AS8685" s="883"/>
      <c r="AT8685" s="883"/>
      <c r="AU8685" s="883"/>
      <c r="AV8685" s="895"/>
      <c r="AW8685" s="895"/>
      <c r="AX8685" s="895"/>
      <c r="AY8685" s="895"/>
      <c r="AZ8685" s="895"/>
      <c r="BA8685" s="883"/>
      <c r="BB8685" s="883"/>
      <c r="BC8685" s="883"/>
      <c r="BD8685" s="883"/>
      <c r="BE8685" s="883"/>
      <c r="BF8685" s="883"/>
      <c r="BG8685" s="883"/>
      <c r="BH8685" s="883"/>
      <c r="BI8685" s="883"/>
      <c r="BJ8685" s="895"/>
      <c r="BK8685" s="895"/>
      <c r="BL8685" s="895"/>
      <c r="BM8685" s="895"/>
      <c r="BN8685" s="895"/>
      <c r="BO8685" s="895"/>
      <c r="BP8685" s="895"/>
      <c r="BQ8685" s="895"/>
      <c r="BR8685" s="895"/>
      <c r="BS8685" s="895"/>
      <c r="BT8685" s="895"/>
      <c r="BU8685" s="895"/>
      <c r="BV8685" s="895"/>
      <c r="BW8685" s="895"/>
      <c r="BX8685" s="895"/>
      <c r="BY8685" s="895"/>
      <c r="BZ8685" s="895"/>
      <c r="CA8685" s="895"/>
      <c r="CB8685" s="883"/>
      <c r="CC8685" s="883"/>
    </row>
    <row r="8686" spans="1:81" ht="15" x14ac:dyDescent="0.25">
      <c r="A8686" s="906"/>
      <c r="B8686" s="889"/>
      <c r="C8686" s="890"/>
      <c r="D8686" s="890"/>
      <c r="E8686" s="891"/>
      <c r="F8686" s="916"/>
      <c r="G8686" s="890"/>
      <c r="H8686" s="906"/>
      <c r="I8686" s="906">
        <v>12</v>
      </c>
      <c r="J8686" s="906">
        <v>1</v>
      </c>
      <c r="K8686" s="890"/>
      <c r="L8686" s="917">
        <v>12</v>
      </c>
      <c r="M8686" s="907">
        <v>40680</v>
      </c>
      <c r="N8686" s="911">
        <v>14.5124625</v>
      </c>
      <c r="O8686" s="908">
        <v>6.3038782799999998E-2</v>
      </c>
      <c r="P8686" s="915">
        <v>8.500744727194208</v>
      </c>
      <c r="Q8686" s="915">
        <v>45.506093880670797</v>
      </c>
      <c r="R8686" s="915">
        <v>70.487102788480186</v>
      </c>
      <c r="S8686" s="915">
        <v>94.213931012733028</v>
      </c>
      <c r="T8686" s="915">
        <v>109.81522285015829</v>
      </c>
      <c r="U8686" s="915">
        <v>116.04317940660545</v>
      </c>
      <c r="V8686" s="915">
        <v>124.13678262683494</v>
      </c>
      <c r="W8686" s="893"/>
      <c r="X8686" s="890"/>
      <c r="Y8686" s="890"/>
      <c r="Z8686" s="890"/>
      <c r="AA8686" s="858">
        <f t="shared" si="67"/>
        <v>94.213931012733028</v>
      </c>
      <c r="AB8686" s="902"/>
      <c r="AC8686" s="903"/>
      <c r="AD8686" s="699">
        <v>5.3827680000000004</v>
      </c>
      <c r="AE8686" s="904"/>
      <c r="AF8686" s="905"/>
      <c r="AG8686" s="902"/>
      <c r="AH8686" s="902"/>
      <c r="AI8686" s="901"/>
      <c r="AJ8686" s="895"/>
      <c r="AK8686" s="895"/>
      <c r="AL8686" s="895"/>
      <c r="AM8686" s="883"/>
      <c r="AN8686" s="883"/>
      <c r="AO8686" s="883"/>
      <c r="AP8686" s="883"/>
      <c r="AQ8686" s="883"/>
      <c r="AR8686" s="883"/>
      <c r="AS8686" s="883"/>
      <c r="AT8686" s="883"/>
      <c r="AU8686" s="883"/>
      <c r="AV8686" s="895"/>
      <c r="AW8686" s="895"/>
      <c r="AX8686" s="895"/>
      <c r="AY8686" s="895"/>
      <c r="AZ8686" s="895"/>
      <c r="BA8686" s="883"/>
      <c r="BB8686" s="883"/>
      <c r="BC8686" s="883"/>
      <c r="BD8686" s="883"/>
      <c r="BE8686" s="883"/>
      <c r="BF8686" s="883"/>
      <c r="BG8686" s="883"/>
      <c r="BH8686" s="883"/>
      <c r="BI8686" s="883"/>
      <c r="BJ8686" s="895"/>
      <c r="BK8686" s="895"/>
      <c r="BL8686" s="895"/>
      <c r="BM8686" s="895"/>
      <c r="BN8686" s="895"/>
      <c r="BO8686" s="895"/>
      <c r="BP8686" s="895"/>
      <c r="BQ8686" s="895"/>
      <c r="BR8686" s="895"/>
      <c r="BS8686" s="895"/>
      <c r="BT8686" s="895"/>
      <c r="BU8686" s="895"/>
      <c r="BV8686" s="895"/>
      <c r="BW8686" s="895"/>
      <c r="BX8686" s="895"/>
      <c r="BY8686" s="895"/>
      <c r="BZ8686" s="895"/>
      <c r="CA8686" s="895"/>
      <c r="CB8686" s="883"/>
      <c r="CC8686" s="883"/>
    </row>
    <row r="8687" spans="1:81" ht="15" x14ac:dyDescent="0.25">
      <c r="A8687" s="906"/>
      <c r="B8687" s="889"/>
      <c r="C8687" s="890"/>
      <c r="D8687" s="890"/>
      <c r="E8687" s="891"/>
      <c r="F8687" s="916"/>
      <c r="G8687" s="890"/>
      <c r="H8687" s="906"/>
      <c r="I8687" s="906">
        <v>12</v>
      </c>
      <c r="J8687" s="906">
        <v>3</v>
      </c>
      <c r="K8687" s="890"/>
      <c r="L8687" s="917">
        <v>36</v>
      </c>
      <c r="M8687" s="907">
        <v>40687</v>
      </c>
      <c r="N8687" s="911">
        <v>11.723237999999998</v>
      </c>
      <c r="O8687" s="908">
        <v>0.1015748454</v>
      </c>
      <c r="P8687" s="915">
        <v>4.7679994953372464</v>
      </c>
      <c r="Q8687" s="915">
        <v>9.8192026335332354</v>
      </c>
      <c r="R8687" s="915">
        <v>15.115691710177833</v>
      </c>
      <c r="S8687" s="915">
        <v>37.774212953271501</v>
      </c>
      <c r="T8687" s="915">
        <v>53.96814047686513</v>
      </c>
      <c r="U8687" s="915">
        <v>61.969970599315616</v>
      </c>
      <c r="V8687" s="915">
        <v>79.61396143217047</v>
      </c>
      <c r="W8687" s="893"/>
      <c r="X8687" s="890"/>
      <c r="Y8687" s="890"/>
      <c r="Z8687" s="890"/>
      <c r="AA8687" s="858">
        <f t="shared" si="67"/>
        <v>37.774212953271501</v>
      </c>
      <c r="AB8687" s="902"/>
      <c r="AC8687" s="903"/>
      <c r="AD8687" s="699">
        <v>5.3827680000000004</v>
      </c>
      <c r="AE8687" s="904"/>
      <c r="AF8687" s="905"/>
      <c r="AG8687" s="902"/>
      <c r="AH8687" s="902"/>
      <c r="AI8687" s="901"/>
      <c r="AJ8687" s="895"/>
      <c r="AK8687" s="895"/>
      <c r="AL8687" s="895"/>
      <c r="AM8687" s="883"/>
      <c r="AN8687" s="883"/>
      <c r="AO8687" s="883"/>
      <c r="AP8687" s="883"/>
      <c r="AQ8687" s="883"/>
      <c r="AR8687" s="883"/>
      <c r="AS8687" s="883"/>
      <c r="AT8687" s="883"/>
      <c r="AU8687" s="883"/>
      <c r="AV8687" s="895"/>
      <c r="AW8687" s="895"/>
      <c r="AX8687" s="895"/>
      <c r="AY8687" s="895"/>
      <c r="AZ8687" s="895"/>
      <c r="BA8687" s="883"/>
      <c r="BB8687" s="883"/>
      <c r="BC8687" s="883"/>
      <c r="BD8687" s="883"/>
      <c r="BE8687" s="883"/>
      <c r="BF8687" s="883"/>
      <c r="BG8687" s="883"/>
      <c r="BH8687" s="883"/>
      <c r="BI8687" s="883"/>
      <c r="BJ8687" s="895"/>
      <c r="BK8687" s="895"/>
      <c r="BL8687" s="895"/>
      <c r="BM8687" s="895"/>
      <c r="BN8687" s="895"/>
      <c r="BO8687" s="895"/>
      <c r="BP8687" s="895"/>
      <c r="BQ8687" s="895"/>
      <c r="BR8687" s="895"/>
      <c r="BS8687" s="895"/>
      <c r="BT8687" s="895"/>
      <c r="BU8687" s="895"/>
      <c r="BV8687" s="895"/>
      <c r="BW8687" s="895"/>
      <c r="BX8687" s="895"/>
      <c r="BY8687" s="895"/>
      <c r="BZ8687" s="895"/>
      <c r="CA8687" s="895"/>
      <c r="CB8687" s="883"/>
      <c r="CC8687" s="883"/>
    </row>
    <row r="8688" spans="1:81" ht="15" x14ac:dyDescent="0.25">
      <c r="A8688" s="906"/>
      <c r="B8688" s="889"/>
      <c r="C8688" s="890"/>
      <c r="D8688" s="890"/>
      <c r="E8688" s="891"/>
      <c r="F8688" s="916"/>
      <c r="G8688" s="890"/>
      <c r="H8688" s="906"/>
      <c r="I8688" s="906">
        <v>8</v>
      </c>
      <c r="J8688" s="906">
        <v>3</v>
      </c>
      <c r="K8688" s="890"/>
      <c r="L8688" s="917">
        <v>24</v>
      </c>
      <c r="M8688" s="907">
        <v>40688</v>
      </c>
      <c r="N8688" s="911">
        <v>11.87190225</v>
      </c>
      <c r="O8688" s="908">
        <v>1.6532660655000003E-2</v>
      </c>
      <c r="P8688" s="915">
        <v>1.6618288588288115</v>
      </c>
      <c r="Q8688" s="915">
        <v>3.251124115808369</v>
      </c>
      <c r="R8688" s="915">
        <v>5.331789529874186</v>
      </c>
      <c r="S8688" s="915">
        <v>19.313306521729658</v>
      </c>
      <c r="T8688" s="915">
        <v>46.243750433757178</v>
      </c>
      <c r="U8688" s="915">
        <v>53.309470186168049</v>
      </c>
      <c r="V8688" s="915">
        <v>60.447048019464077</v>
      </c>
      <c r="W8688" s="893"/>
      <c r="X8688" s="890"/>
      <c r="Y8688" s="890"/>
      <c r="Z8688" s="890"/>
      <c r="AA8688" s="858">
        <f t="shared" si="67"/>
        <v>19.313306521729658</v>
      </c>
      <c r="AB8688" s="902"/>
      <c r="AC8688" s="903"/>
      <c r="AD8688" s="699">
        <v>5.3827680000000004</v>
      </c>
      <c r="AE8688" s="904"/>
      <c r="AF8688" s="905"/>
      <c r="AG8688" s="902"/>
      <c r="AH8688" s="902"/>
      <c r="AI8688" s="901"/>
      <c r="AJ8688" s="895"/>
      <c r="AK8688" s="895"/>
      <c r="AL8688" s="895"/>
      <c r="AM8688" s="883"/>
      <c r="AN8688" s="883"/>
      <c r="AO8688" s="883"/>
      <c r="AP8688" s="883"/>
      <c r="AQ8688" s="883"/>
      <c r="AR8688" s="883"/>
      <c r="AS8688" s="883"/>
      <c r="AT8688" s="883"/>
      <c r="AU8688" s="883"/>
      <c r="AV8688" s="895"/>
      <c r="AW8688" s="895"/>
      <c r="AX8688" s="895"/>
      <c r="AY8688" s="895"/>
      <c r="AZ8688" s="895"/>
      <c r="BA8688" s="883"/>
      <c r="BB8688" s="883"/>
      <c r="BC8688" s="883"/>
      <c r="BD8688" s="883"/>
      <c r="BE8688" s="883"/>
      <c r="BF8688" s="883"/>
      <c r="BG8688" s="883"/>
      <c r="BH8688" s="883"/>
      <c r="BI8688" s="883"/>
      <c r="BJ8688" s="895"/>
      <c r="BK8688" s="895"/>
      <c r="BL8688" s="895"/>
      <c r="BM8688" s="895"/>
      <c r="BN8688" s="895"/>
      <c r="BO8688" s="895"/>
      <c r="BP8688" s="895"/>
      <c r="BQ8688" s="895"/>
      <c r="BR8688" s="895"/>
      <c r="BS8688" s="895"/>
      <c r="BT8688" s="895"/>
      <c r="BU8688" s="895"/>
      <c r="BV8688" s="895"/>
      <c r="BW8688" s="895"/>
      <c r="BX8688" s="895"/>
      <c r="BY8688" s="895"/>
      <c r="BZ8688" s="895"/>
      <c r="CA8688" s="895"/>
      <c r="CB8688" s="883"/>
      <c r="CC8688" s="883"/>
    </row>
    <row r="8689" spans="1:81" ht="15" x14ac:dyDescent="0.25">
      <c r="A8689" s="906"/>
      <c r="B8689" s="889"/>
      <c r="C8689" s="890"/>
      <c r="D8689" s="890"/>
      <c r="E8689" s="891"/>
      <c r="F8689" s="916"/>
      <c r="G8689" s="890"/>
      <c r="H8689" s="906"/>
      <c r="I8689" s="906">
        <v>12</v>
      </c>
      <c r="J8689" s="906">
        <v>3</v>
      </c>
      <c r="K8689" s="890"/>
      <c r="L8689" s="917">
        <v>36</v>
      </c>
      <c r="M8689" s="907">
        <v>40689</v>
      </c>
      <c r="N8689" s="911">
        <v>12.247102499999999</v>
      </c>
      <c r="O8689" s="908">
        <v>2.8964166000000004E-3</v>
      </c>
      <c r="P8689" s="915">
        <v>5.2469038478905414</v>
      </c>
      <c r="Q8689" s="915">
        <v>13.398382694562734</v>
      </c>
      <c r="R8689" s="915">
        <v>20.587340645865915</v>
      </c>
      <c r="S8689" s="915">
        <v>32.755343321113465</v>
      </c>
      <c r="T8689" s="915">
        <v>71.989132280994738</v>
      </c>
      <c r="U8689" s="915">
        <v>78.015005645010064</v>
      </c>
      <c r="V8689" s="915">
        <v>86.06912648165212</v>
      </c>
      <c r="W8689" s="893"/>
      <c r="X8689" s="890"/>
      <c r="Y8689" s="890"/>
      <c r="Z8689" s="890"/>
      <c r="AA8689" s="858">
        <f t="shared" si="67"/>
        <v>32.755343321113465</v>
      </c>
      <c r="AB8689" s="902"/>
      <c r="AC8689" s="903"/>
      <c r="AD8689" s="699">
        <v>5.3827680000000004</v>
      </c>
      <c r="AE8689" s="904"/>
      <c r="AF8689" s="905"/>
      <c r="AG8689" s="902"/>
      <c r="AH8689" s="902"/>
      <c r="AI8689" s="901"/>
      <c r="AJ8689" s="895"/>
      <c r="AK8689" s="895"/>
      <c r="AL8689" s="895"/>
      <c r="AM8689" s="883"/>
      <c r="AN8689" s="883"/>
      <c r="AO8689" s="883"/>
      <c r="AP8689" s="883"/>
      <c r="AQ8689" s="883"/>
      <c r="AR8689" s="883"/>
      <c r="AS8689" s="883"/>
      <c r="AT8689" s="883"/>
      <c r="AU8689" s="883"/>
      <c r="AV8689" s="895"/>
      <c r="AW8689" s="895"/>
      <c r="AX8689" s="895"/>
      <c r="AY8689" s="895"/>
      <c r="AZ8689" s="895"/>
      <c r="BA8689" s="883"/>
      <c r="BB8689" s="883"/>
      <c r="BC8689" s="883"/>
      <c r="BD8689" s="883"/>
      <c r="BE8689" s="883"/>
      <c r="BF8689" s="883"/>
      <c r="BG8689" s="883"/>
      <c r="BH8689" s="883"/>
      <c r="BI8689" s="883"/>
      <c r="BJ8689" s="895"/>
      <c r="BK8689" s="895"/>
      <c r="BL8689" s="895"/>
      <c r="BM8689" s="895"/>
      <c r="BN8689" s="895"/>
      <c r="BO8689" s="895"/>
      <c r="BP8689" s="895"/>
      <c r="BQ8689" s="895"/>
      <c r="BR8689" s="895"/>
      <c r="BS8689" s="895"/>
      <c r="BT8689" s="895"/>
      <c r="BU8689" s="895"/>
      <c r="BV8689" s="895"/>
      <c r="BW8689" s="895"/>
      <c r="BX8689" s="895"/>
      <c r="BY8689" s="895"/>
      <c r="BZ8689" s="895"/>
      <c r="CA8689" s="895"/>
      <c r="CB8689" s="883"/>
      <c r="CC8689" s="883"/>
    </row>
    <row r="8690" spans="1:81" ht="15" x14ac:dyDescent="0.25">
      <c r="A8690" s="906"/>
      <c r="B8690" s="889"/>
      <c r="C8690" s="890"/>
      <c r="D8690" s="890"/>
      <c r="E8690" s="891"/>
      <c r="F8690" s="916"/>
      <c r="G8690" s="890"/>
      <c r="H8690" s="906"/>
      <c r="I8690" s="906">
        <v>12</v>
      </c>
      <c r="J8690" s="906">
        <v>3</v>
      </c>
      <c r="K8690" s="890"/>
      <c r="L8690" s="917">
        <v>36</v>
      </c>
      <c r="M8690" s="907">
        <v>40690</v>
      </c>
      <c r="N8690" s="911">
        <v>11.185214999999999</v>
      </c>
      <c r="O8690" s="908">
        <v>1.09867275E-2</v>
      </c>
      <c r="P8690" s="915">
        <v>7.5475394985195425</v>
      </c>
      <c r="Q8690" s="915">
        <v>30.653513912645618</v>
      </c>
      <c r="R8690" s="915">
        <v>41.236636901024582</v>
      </c>
      <c r="S8690" s="915">
        <v>57.150805383364315</v>
      </c>
      <c r="T8690" s="915">
        <v>75.300038520072277</v>
      </c>
      <c r="U8690" s="915">
        <v>83.275870743152353</v>
      </c>
      <c r="V8690" s="915">
        <v>105.38453465673943</v>
      </c>
      <c r="W8690" s="893"/>
      <c r="X8690" s="890"/>
      <c r="Y8690" s="890"/>
      <c r="Z8690" s="890"/>
      <c r="AA8690" s="858">
        <f t="shared" si="67"/>
        <v>57.150805383364315</v>
      </c>
      <c r="AB8690" s="902"/>
      <c r="AC8690" s="903"/>
      <c r="AD8690" s="699">
        <v>5.3827680000000004</v>
      </c>
      <c r="AE8690" s="904"/>
      <c r="AF8690" s="905"/>
      <c r="AG8690" s="902"/>
      <c r="AH8690" s="902"/>
      <c r="AI8690" s="901"/>
      <c r="AJ8690" s="895"/>
      <c r="AK8690" s="895"/>
      <c r="AL8690" s="895"/>
      <c r="AM8690" s="883"/>
      <c r="AN8690" s="883"/>
      <c r="AO8690" s="883"/>
      <c r="AP8690" s="883"/>
      <c r="AQ8690" s="883"/>
      <c r="AR8690" s="883"/>
      <c r="AS8690" s="883"/>
      <c r="AT8690" s="883"/>
      <c r="AU8690" s="883"/>
      <c r="AV8690" s="895"/>
      <c r="AW8690" s="895"/>
      <c r="AX8690" s="895"/>
      <c r="AY8690" s="895"/>
      <c r="AZ8690" s="895"/>
      <c r="BA8690" s="883"/>
      <c r="BB8690" s="883"/>
      <c r="BC8690" s="883"/>
      <c r="BD8690" s="883"/>
      <c r="BE8690" s="883"/>
      <c r="BF8690" s="883"/>
      <c r="BG8690" s="883"/>
      <c r="BH8690" s="883"/>
      <c r="BI8690" s="883"/>
      <c r="BJ8690" s="895"/>
      <c r="BK8690" s="895"/>
      <c r="BL8690" s="895"/>
      <c r="BM8690" s="895"/>
      <c r="BN8690" s="895"/>
      <c r="BO8690" s="895"/>
      <c r="BP8690" s="895"/>
      <c r="BQ8690" s="895"/>
      <c r="BR8690" s="895"/>
      <c r="BS8690" s="895"/>
      <c r="BT8690" s="895"/>
      <c r="BU8690" s="895"/>
      <c r="BV8690" s="895"/>
      <c r="BW8690" s="895"/>
      <c r="BX8690" s="895"/>
      <c r="BY8690" s="895"/>
      <c r="BZ8690" s="895"/>
      <c r="CA8690" s="895"/>
      <c r="CB8690" s="883"/>
      <c r="CC8690" s="883"/>
    </row>
    <row r="8691" spans="1:81" ht="15" x14ac:dyDescent="0.25">
      <c r="A8691" s="906"/>
      <c r="B8691" s="889"/>
      <c r="C8691" s="890"/>
      <c r="D8691" s="890"/>
      <c r="E8691" s="891"/>
      <c r="F8691" s="916"/>
      <c r="G8691" s="890"/>
      <c r="H8691" s="906"/>
      <c r="I8691" s="906">
        <v>6</v>
      </c>
      <c r="J8691" s="906">
        <v>3</v>
      </c>
      <c r="K8691" s="890"/>
      <c r="L8691" s="917">
        <v>18</v>
      </c>
      <c r="M8691" s="907">
        <v>40690</v>
      </c>
      <c r="N8691" s="911">
        <v>11.043629999999999</v>
      </c>
      <c r="O8691" s="908">
        <v>1.46267184E-2</v>
      </c>
      <c r="P8691" s="915">
        <v>21.528904306588348</v>
      </c>
      <c r="Q8691" s="915">
        <v>38.377097555679796</v>
      </c>
      <c r="R8691" s="915">
        <v>44.523243008198229</v>
      </c>
      <c r="S8691" s="915">
        <v>66.233485413700635</v>
      </c>
      <c r="T8691" s="915">
        <v>78.814794107281926</v>
      </c>
      <c r="U8691" s="915">
        <v>83.907077392748391</v>
      </c>
      <c r="V8691" s="915">
        <v>95.079193064191557</v>
      </c>
      <c r="W8691" s="893"/>
      <c r="X8691" s="890"/>
      <c r="Y8691" s="890"/>
      <c r="Z8691" s="890"/>
      <c r="AA8691" s="858">
        <f t="shared" si="67"/>
        <v>66.233485413700635</v>
      </c>
      <c r="AB8691" s="902"/>
      <c r="AC8691" s="903"/>
      <c r="AD8691" s="699">
        <v>5.3827680000000004</v>
      </c>
      <c r="AE8691" s="904"/>
      <c r="AF8691" s="905"/>
      <c r="AG8691" s="902"/>
      <c r="AH8691" s="902"/>
      <c r="AI8691" s="901"/>
      <c r="AJ8691" s="895"/>
      <c r="AK8691" s="895"/>
      <c r="AL8691" s="895"/>
      <c r="AM8691" s="883"/>
      <c r="AN8691" s="883"/>
      <c r="AO8691" s="883"/>
      <c r="AP8691" s="883"/>
      <c r="AQ8691" s="883"/>
      <c r="AR8691" s="883"/>
      <c r="AS8691" s="883"/>
      <c r="AT8691" s="883"/>
      <c r="AU8691" s="883"/>
      <c r="AV8691" s="895"/>
      <c r="AW8691" s="895"/>
      <c r="AX8691" s="895"/>
      <c r="AY8691" s="895"/>
      <c r="AZ8691" s="895"/>
      <c r="BA8691" s="883"/>
      <c r="BB8691" s="883"/>
      <c r="BC8691" s="883"/>
      <c r="BD8691" s="883"/>
      <c r="BE8691" s="883"/>
      <c r="BF8691" s="883"/>
      <c r="BG8691" s="883"/>
      <c r="BH8691" s="883"/>
      <c r="BI8691" s="883"/>
      <c r="BJ8691" s="895"/>
      <c r="BK8691" s="895"/>
      <c r="BL8691" s="895"/>
      <c r="BM8691" s="895"/>
      <c r="BN8691" s="895"/>
      <c r="BO8691" s="895"/>
      <c r="BP8691" s="895"/>
      <c r="BQ8691" s="895"/>
      <c r="BR8691" s="895"/>
      <c r="BS8691" s="895"/>
      <c r="BT8691" s="895"/>
      <c r="BU8691" s="895"/>
      <c r="BV8691" s="895"/>
      <c r="BW8691" s="895"/>
      <c r="BX8691" s="895"/>
      <c r="BY8691" s="895"/>
      <c r="BZ8691" s="895"/>
      <c r="CA8691" s="895"/>
      <c r="CB8691" s="883"/>
      <c r="CC8691" s="883"/>
    </row>
    <row r="8692" spans="1:81" ht="15" x14ac:dyDescent="0.25">
      <c r="A8692" s="910"/>
      <c r="B8692" s="889"/>
      <c r="C8692" s="890"/>
      <c r="D8692" s="890"/>
      <c r="E8692" s="891"/>
      <c r="F8692" s="916"/>
      <c r="G8692" s="890"/>
      <c r="H8692" s="910"/>
      <c r="I8692" s="910">
        <v>1</v>
      </c>
      <c r="J8692" s="910">
        <v>3</v>
      </c>
      <c r="K8692" s="890"/>
      <c r="L8692" s="917">
        <v>3</v>
      </c>
      <c r="M8692" s="914">
        <v>40691</v>
      </c>
      <c r="N8692" s="913">
        <v>10.788777</v>
      </c>
      <c r="O8692" s="912">
        <v>2.1826816955999999</v>
      </c>
      <c r="P8692" s="915">
        <v>10.033648811859443</v>
      </c>
      <c r="Q8692" s="915">
        <v>22.129863203100882</v>
      </c>
      <c r="R8692" s="915">
        <v>29.402523633403902</v>
      </c>
      <c r="S8692" s="915">
        <v>46.956758304176397</v>
      </c>
      <c r="T8692" s="915">
        <v>62.090879884561453</v>
      </c>
      <c r="U8692" s="915">
        <v>73.668840699005514</v>
      </c>
      <c r="V8692" s="915">
        <v>100.23674293146966</v>
      </c>
      <c r="W8692" s="893"/>
      <c r="X8692" s="890"/>
      <c r="Y8692" s="890"/>
      <c r="Z8692" s="890"/>
      <c r="AA8692" s="858">
        <f t="shared" si="67"/>
        <v>46.956758304176397</v>
      </c>
      <c r="AB8692" s="902"/>
      <c r="AC8692" s="903"/>
      <c r="AD8692" s="699">
        <v>5.3827680000000004</v>
      </c>
      <c r="AE8692" s="904"/>
      <c r="AF8692" s="905"/>
      <c r="AG8692" s="902"/>
      <c r="AH8692" s="902"/>
      <c r="AI8692" s="901"/>
      <c r="AJ8692" s="895"/>
      <c r="AK8692" s="895"/>
      <c r="AL8692" s="895"/>
      <c r="AM8692" s="883"/>
      <c r="AN8692" s="883"/>
      <c r="AO8692" s="883"/>
      <c r="AP8692" s="883"/>
      <c r="AQ8692" s="883"/>
      <c r="AR8692" s="883"/>
      <c r="AS8692" s="883"/>
      <c r="AT8692" s="883"/>
      <c r="AU8692" s="883"/>
      <c r="AV8692" s="895"/>
      <c r="AW8692" s="895"/>
      <c r="AX8692" s="895"/>
      <c r="AY8692" s="895"/>
      <c r="AZ8692" s="895"/>
      <c r="BA8692" s="883"/>
      <c r="BB8692" s="883"/>
      <c r="BC8692" s="883"/>
      <c r="BD8692" s="883"/>
      <c r="BE8692" s="883"/>
      <c r="BF8692" s="883"/>
      <c r="BG8692" s="883"/>
      <c r="BH8692" s="883"/>
      <c r="BI8692" s="883"/>
      <c r="BJ8692" s="895"/>
      <c r="BK8692" s="895"/>
      <c r="BL8692" s="895"/>
      <c r="BM8692" s="895"/>
      <c r="BN8692" s="895"/>
      <c r="BO8692" s="895"/>
      <c r="BP8692" s="895"/>
      <c r="BQ8692" s="895"/>
      <c r="BR8692" s="895"/>
      <c r="BS8692" s="895"/>
      <c r="BT8692" s="895"/>
      <c r="BU8692" s="895"/>
      <c r="BV8692" s="895"/>
      <c r="BW8692" s="895"/>
      <c r="BX8692" s="895"/>
      <c r="BY8692" s="895"/>
      <c r="BZ8692" s="895"/>
      <c r="CA8692" s="895"/>
      <c r="CB8692" s="883"/>
      <c r="CC8692" s="883"/>
    </row>
    <row r="8693" spans="1:81" ht="15" x14ac:dyDescent="0.25">
      <c r="A8693" s="906"/>
      <c r="B8693" s="889"/>
      <c r="C8693" s="890"/>
      <c r="D8693" s="890"/>
      <c r="E8693" s="891"/>
      <c r="F8693" s="916"/>
      <c r="G8693" s="890"/>
      <c r="H8693" s="906"/>
      <c r="I8693" s="906">
        <v>12</v>
      </c>
      <c r="J8693" s="906">
        <v>3</v>
      </c>
      <c r="K8693" s="890"/>
      <c r="L8693" s="917">
        <v>36</v>
      </c>
      <c r="M8693" s="907">
        <v>40692</v>
      </c>
      <c r="N8693" s="911">
        <v>10.448972999999999</v>
      </c>
      <c r="O8693" s="908">
        <v>4.0711156500000002E-3</v>
      </c>
      <c r="P8693" s="915">
        <v>3.085010197225408</v>
      </c>
      <c r="Q8693" s="915">
        <v>4.9734380888687744</v>
      </c>
      <c r="R8693" s="915">
        <v>5.7336835555535774</v>
      </c>
      <c r="S8693" s="915">
        <v>8.5120959442616115</v>
      </c>
      <c r="T8693" s="915">
        <v>19.154657684970044</v>
      </c>
      <c r="U8693" s="915">
        <v>24.535143594799763</v>
      </c>
      <c r="V8693" s="915">
        <v>33.204340560346559</v>
      </c>
      <c r="W8693" s="893"/>
      <c r="X8693" s="890"/>
      <c r="Y8693" s="890"/>
      <c r="Z8693" s="890"/>
      <c r="AA8693" s="858">
        <f t="shared" si="67"/>
        <v>8.5120959442616115</v>
      </c>
      <c r="AB8693" s="902"/>
      <c r="AC8693" s="903"/>
      <c r="AD8693" s="699">
        <v>5.3827680000000004</v>
      </c>
      <c r="AE8693" s="904"/>
      <c r="AF8693" s="905"/>
      <c r="AG8693" s="902"/>
      <c r="AH8693" s="902"/>
      <c r="AI8693" s="901"/>
      <c r="AJ8693" s="895"/>
      <c r="AK8693" s="895"/>
      <c r="AL8693" s="895"/>
      <c r="AM8693" s="883"/>
      <c r="AN8693" s="883"/>
      <c r="AO8693" s="883"/>
      <c r="AP8693" s="883"/>
      <c r="AQ8693" s="883"/>
      <c r="AR8693" s="883"/>
      <c r="AS8693" s="883"/>
      <c r="AT8693" s="883"/>
      <c r="AU8693" s="883"/>
      <c r="AV8693" s="895"/>
      <c r="AW8693" s="895"/>
      <c r="AX8693" s="895"/>
      <c r="AY8693" s="895"/>
      <c r="AZ8693" s="895"/>
      <c r="BA8693" s="883"/>
      <c r="BB8693" s="883"/>
      <c r="BC8693" s="883"/>
      <c r="BD8693" s="883"/>
      <c r="BE8693" s="883"/>
      <c r="BF8693" s="883"/>
      <c r="BG8693" s="883"/>
      <c r="BH8693" s="883"/>
      <c r="BI8693" s="883"/>
      <c r="BJ8693" s="895"/>
      <c r="BK8693" s="895"/>
      <c r="BL8693" s="895"/>
      <c r="BM8693" s="895"/>
      <c r="BN8693" s="895"/>
      <c r="BO8693" s="895"/>
      <c r="BP8693" s="895"/>
      <c r="BQ8693" s="895"/>
      <c r="BR8693" s="895"/>
      <c r="BS8693" s="895"/>
      <c r="BT8693" s="895"/>
      <c r="BU8693" s="895"/>
      <c r="BV8693" s="895"/>
      <c r="BW8693" s="895"/>
      <c r="BX8693" s="895"/>
      <c r="BY8693" s="895"/>
      <c r="BZ8693" s="895"/>
      <c r="CA8693" s="895"/>
      <c r="CB8693" s="883"/>
      <c r="CC8693" s="883"/>
    </row>
    <row r="8694" spans="1:81" ht="15" x14ac:dyDescent="0.25">
      <c r="A8694" s="906"/>
      <c r="B8694" s="889"/>
      <c r="C8694" s="890"/>
      <c r="D8694" s="890"/>
      <c r="E8694" s="891"/>
      <c r="F8694" s="916"/>
      <c r="G8694" s="890"/>
      <c r="H8694" s="906"/>
      <c r="I8694" s="906">
        <v>12</v>
      </c>
      <c r="J8694" s="906">
        <v>3</v>
      </c>
      <c r="K8694" s="890"/>
      <c r="L8694" s="917">
        <v>36</v>
      </c>
      <c r="M8694" s="907">
        <v>40693</v>
      </c>
      <c r="N8694" s="911">
        <v>9.9675839999999987</v>
      </c>
      <c r="O8694" s="908">
        <v>7.8779935499999985E-3</v>
      </c>
      <c r="P8694" s="915">
        <v>9.2466928475822421</v>
      </c>
      <c r="Q8694" s="915">
        <v>92.821619005857983</v>
      </c>
      <c r="R8694" s="915">
        <v>96.073162148371878</v>
      </c>
      <c r="S8694" s="915">
        <v>105.71534872402061</v>
      </c>
      <c r="T8694" s="915">
        <v>116.32525364973313</v>
      </c>
      <c r="U8694" s="915">
        <v>120.40012957688225</v>
      </c>
      <c r="V8694" s="915">
        <v>125.57488160173463</v>
      </c>
      <c r="W8694" s="893"/>
      <c r="X8694" s="890"/>
      <c r="Y8694" s="890"/>
      <c r="Z8694" s="890"/>
      <c r="AA8694" s="858">
        <f t="shared" si="67"/>
        <v>105.71534872402061</v>
      </c>
      <c r="AB8694" s="902"/>
      <c r="AC8694" s="903"/>
      <c r="AD8694" s="699">
        <v>5.3827680000000004</v>
      </c>
      <c r="AE8694" s="904"/>
      <c r="AF8694" s="905"/>
      <c r="AG8694" s="902"/>
      <c r="AH8694" s="902"/>
      <c r="AI8694" s="901"/>
      <c r="AJ8694" s="895"/>
      <c r="AK8694" s="895"/>
      <c r="AL8694" s="895"/>
      <c r="AM8694" s="883"/>
      <c r="AN8694" s="883"/>
      <c r="AO8694" s="883"/>
      <c r="AP8694" s="883"/>
      <c r="AQ8694" s="883"/>
      <c r="AR8694" s="883"/>
      <c r="AS8694" s="883"/>
      <c r="AT8694" s="883"/>
      <c r="AU8694" s="883"/>
      <c r="AV8694" s="895"/>
      <c r="AW8694" s="895"/>
      <c r="AX8694" s="895"/>
      <c r="AY8694" s="895"/>
      <c r="AZ8694" s="895"/>
      <c r="BA8694" s="883"/>
      <c r="BB8694" s="883"/>
      <c r="BC8694" s="883"/>
      <c r="BD8694" s="883"/>
      <c r="BE8694" s="883"/>
      <c r="BF8694" s="883"/>
      <c r="BG8694" s="883"/>
      <c r="BH8694" s="883"/>
      <c r="BI8694" s="883"/>
      <c r="BJ8694" s="895"/>
      <c r="BK8694" s="895"/>
      <c r="BL8694" s="895"/>
      <c r="BM8694" s="895"/>
      <c r="BN8694" s="895"/>
      <c r="BO8694" s="895"/>
      <c r="BP8694" s="895"/>
      <c r="BQ8694" s="895"/>
      <c r="BR8694" s="895"/>
      <c r="BS8694" s="895"/>
      <c r="BT8694" s="895"/>
      <c r="BU8694" s="895"/>
      <c r="BV8694" s="895"/>
      <c r="BW8694" s="895"/>
      <c r="BX8694" s="895"/>
      <c r="BY8694" s="895"/>
      <c r="BZ8694" s="895"/>
      <c r="CA8694" s="895"/>
      <c r="CB8694" s="883"/>
      <c r="CC8694" s="883"/>
    </row>
    <row r="8695" spans="1:81" ht="15" x14ac:dyDescent="0.25">
      <c r="A8695" s="906"/>
      <c r="B8695" s="889"/>
      <c r="C8695" s="890"/>
      <c r="D8695" s="890"/>
      <c r="E8695" s="891"/>
      <c r="F8695" s="916"/>
      <c r="G8695" s="890"/>
      <c r="H8695" s="906"/>
      <c r="I8695" s="906">
        <v>6</v>
      </c>
      <c r="J8695" s="906">
        <v>3</v>
      </c>
      <c r="K8695" s="890"/>
      <c r="L8695" s="917">
        <v>18</v>
      </c>
      <c r="M8695" s="907">
        <v>40695</v>
      </c>
      <c r="N8695" s="911">
        <v>7.9499977499999996</v>
      </c>
      <c r="O8695" s="908">
        <v>7.639716E-4</v>
      </c>
      <c r="P8695" s="915">
        <v>4.5454608564555192</v>
      </c>
      <c r="Q8695" s="915">
        <v>9.8644964526617507</v>
      </c>
      <c r="R8695" s="915">
        <v>19.092642668080021</v>
      </c>
      <c r="S8695" s="915">
        <v>24.037300247821499</v>
      </c>
      <c r="T8695" s="915">
        <v>30.26253689699535</v>
      </c>
      <c r="U8695" s="915">
        <v>32.878530886576527</v>
      </c>
      <c r="V8695" s="915">
        <v>36.384888378489443</v>
      </c>
      <c r="W8695" s="893"/>
      <c r="X8695" s="890"/>
      <c r="Y8695" s="890"/>
      <c r="Z8695" s="890"/>
      <c r="AA8695" s="858">
        <f t="shared" si="67"/>
        <v>24.037300247821499</v>
      </c>
      <c r="AB8695" s="902"/>
      <c r="AC8695" s="903"/>
      <c r="AD8695" s="699">
        <v>5.3827680000000004</v>
      </c>
      <c r="AE8695" s="904"/>
      <c r="AF8695" s="905"/>
      <c r="AG8695" s="902"/>
      <c r="AH8695" s="902"/>
      <c r="AI8695" s="901"/>
      <c r="AJ8695" s="895"/>
      <c r="AK8695" s="895"/>
      <c r="AL8695" s="895"/>
      <c r="AM8695" s="883"/>
      <c r="AN8695" s="883"/>
      <c r="AO8695" s="883"/>
      <c r="AP8695" s="883"/>
      <c r="AQ8695" s="883"/>
      <c r="AR8695" s="883"/>
      <c r="AS8695" s="883"/>
      <c r="AT8695" s="883"/>
      <c r="AU8695" s="883"/>
      <c r="AV8695" s="895"/>
      <c r="AW8695" s="895"/>
      <c r="AX8695" s="895"/>
      <c r="AY8695" s="895"/>
      <c r="AZ8695" s="895"/>
      <c r="BA8695" s="883"/>
      <c r="BB8695" s="883"/>
      <c r="BC8695" s="883"/>
      <c r="BD8695" s="883"/>
      <c r="BE8695" s="883"/>
      <c r="BF8695" s="883"/>
      <c r="BG8695" s="883"/>
      <c r="BH8695" s="883"/>
      <c r="BI8695" s="883"/>
      <c r="BJ8695" s="895"/>
      <c r="BK8695" s="895"/>
      <c r="BL8695" s="895"/>
      <c r="BM8695" s="895"/>
      <c r="BN8695" s="895"/>
      <c r="BO8695" s="895"/>
      <c r="BP8695" s="895"/>
      <c r="BQ8695" s="895"/>
      <c r="BR8695" s="895"/>
      <c r="BS8695" s="895"/>
      <c r="BT8695" s="895"/>
      <c r="BU8695" s="895"/>
      <c r="BV8695" s="895"/>
      <c r="BW8695" s="895"/>
      <c r="BX8695" s="895"/>
      <c r="BY8695" s="895"/>
      <c r="BZ8695" s="895"/>
      <c r="CA8695" s="895"/>
      <c r="CB8695" s="883"/>
      <c r="CC8695" s="883"/>
    </row>
    <row r="8696" spans="1:81" ht="15" x14ac:dyDescent="0.25">
      <c r="A8696" s="906"/>
      <c r="B8696" s="889"/>
      <c r="C8696" s="890"/>
      <c r="D8696" s="890"/>
      <c r="E8696" s="891"/>
      <c r="F8696" s="916"/>
      <c r="G8696" s="890"/>
      <c r="H8696" s="906"/>
      <c r="I8696" s="906">
        <v>6</v>
      </c>
      <c r="J8696" s="906">
        <v>3</v>
      </c>
      <c r="K8696" s="890"/>
      <c r="L8696" s="917">
        <v>18</v>
      </c>
      <c r="M8696" s="907">
        <v>40696</v>
      </c>
      <c r="N8696" s="911">
        <v>8.0986619999999991</v>
      </c>
      <c r="O8696" s="908">
        <v>6.3491232000000009E-3</v>
      </c>
      <c r="P8696" s="915">
        <v>1.0011918669320337</v>
      </c>
      <c r="Q8696" s="915">
        <v>1.9337631635527748</v>
      </c>
      <c r="R8696" s="915">
        <v>2.5392640929723602</v>
      </c>
      <c r="S8696" s="915">
        <v>3.510594687684629</v>
      </c>
      <c r="T8696" s="915">
        <v>4.9609194669932277</v>
      </c>
      <c r="U8696" s="915">
        <v>6.2740964056116653</v>
      </c>
      <c r="V8696" s="915">
        <v>8.3599643004262436</v>
      </c>
      <c r="W8696" s="893"/>
      <c r="X8696" s="890"/>
      <c r="Y8696" s="890"/>
      <c r="Z8696" s="890"/>
      <c r="AA8696" s="858">
        <f t="shared" si="67"/>
        <v>3.510594687684629</v>
      </c>
      <c r="AB8696" s="902"/>
      <c r="AC8696" s="903"/>
      <c r="AD8696" s="699">
        <v>5.3827680000000004</v>
      </c>
      <c r="AE8696" s="904"/>
      <c r="AF8696" s="905"/>
      <c r="AG8696" s="902"/>
      <c r="AH8696" s="902"/>
      <c r="AI8696" s="901"/>
      <c r="AJ8696" s="895"/>
      <c r="AK8696" s="895"/>
      <c r="AL8696" s="895"/>
      <c r="AM8696" s="883"/>
      <c r="AN8696" s="883"/>
      <c r="AO8696" s="883"/>
      <c r="AP8696" s="883"/>
      <c r="AQ8696" s="883"/>
      <c r="AR8696" s="883"/>
      <c r="AS8696" s="883"/>
      <c r="AT8696" s="883"/>
      <c r="AU8696" s="883"/>
      <c r="AV8696" s="895"/>
      <c r="AW8696" s="895"/>
      <c r="AX8696" s="895"/>
      <c r="AY8696" s="895"/>
      <c r="AZ8696" s="895"/>
      <c r="BA8696" s="883"/>
      <c r="BB8696" s="883"/>
      <c r="BC8696" s="883"/>
      <c r="BD8696" s="883"/>
      <c r="BE8696" s="883"/>
      <c r="BF8696" s="883"/>
      <c r="BG8696" s="883"/>
      <c r="BH8696" s="883"/>
      <c r="BI8696" s="883"/>
      <c r="BJ8696" s="895"/>
      <c r="BK8696" s="895"/>
      <c r="BL8696" s="895"/>
      <c r="BM8696" s="895"/>
      <c r="BN8696" s="895"/>
      <c r="BO8696" s="895"/>
      <c r="BP8696" s="895"/>
      <c r="BQ8696" s="895"/>
      <c r="BR8696" s="895"/>
      <c r="BS8696" s="895"/>
      <c r="BT8696" s="895"/>
      <c r="BU8696" s="895"/>
      <c r="BV8696" s="895"/>
      <c r="BW8696" s="895"/>
      <c r="BX8696" s="895"/>
      <c r="BY8696" s="895"/>
      <c r="BZ8696" s="895"/>
      <c r="CA8696" s="895"/>
      <c r="CB8696" s="883"/>
      <c r="CC8696" s="883"/>
    </row>
    <row r="8697" spans="1:81" ht="15" x14ac:dyDescent="0.25">
      <c r="A8697" s="9" t="s">
        <v>943</v>
      </c>
      <c r="B8697" s="639" t="s">
        <v>965</v>
      </c>
      <c r="C8697" s="639" t="s">
        <v>952</v>
      </c>
      <c r="D8697" s="4">
        <f>VLOOKUP(E8697,'Quality Code'!$D$4:$E$24,2,TRUE)*VLOOKUP(MROUND(F8697,10),'Quality Code'!$D$28:$E$69,2,TRUE)*VLOOKUP(COUNTA(CB8697:CB8699),'Quality Code'!$D$73:$E$93,2,TRUE)</f>
        <v>0.27500000000000002</v>
      </c>
      <c r="E8697" s="14">
        <v>0.55000000000000004</v>
      </c>
      <c r="F8697" s="18">
        <v>10</v>
      </c>
      <c r="G8697" s="12"/>
      <c r="H8697" s="639" t="s">
        <v>942</v>
      </c>
      <c r="I8697" s="640"/>
      <c r="J8697" s="640"/>
      <c r="K8697" s="640"/>
      <c r="L8697" s="640"/>
      <c r="M8697" s="640"/>
      <c r="N8697" s="579"/>
      <c r="O8697" s="579"/>
      <c r="P8697" s="640"/>
      <c r="Q8697" s="640"/>
      <c r="R8697" s="640"/>
      <c r="S8697" s="640"/>
      <c r="T8697" s="640"/>
      <c r="U8697" s="640"/>
      <c r="V8697" s="640"/>
      <c r="W8697" s="640"/>
      <c r="X8697" s="640"/>
      <c r="Y8697" s="640"/>
      <c r="Z8697" s="579"/>
      <c r="AA8697" s="81"/>
      <c r="AB8697" s="81"/>
      <c r="AC8697" s="116"/>
      <c r="AD8697" s="580"/>
      <c r="AE8697" s="580"/>
      <c r="AF8697" s="580"/>
      <c r="AG8697" s="580"/>
      <c r="AH8697" s="330"/>
      <c r="AI8697" s="123"/>
      <c r="AJ8697" s="123"/>
      <c r="AK8697" s="143"/>
      <c r="AL8697" s="17"/>
      <c r="AM8697" s="17"/>
      <c r="AN8697" s="17"/>
      <c r="AO8697" s="17"/>
      <c r="AP8697" s="17"/>
      <c r="AQ8697" s="17"/>
      <c r="AR8697" s="17"/>
      <c r="AS8697" s="17"/>
      <c r="AT8697" s="17"/>
      <c r="AU8697" s="18"/>
      <c r="AV8697" s="147">
        <v>1</v>
      </c>
      <c r="AW8697" s="147">
        <v>1</v>
      </c>
      <c r="AX8697" s="147">
        <v>1</v>
      </c>
      <c r="AY8697" s="147">
        <v>1</v>
      </c>
      <c r="AZ8697" s="17">
        <v>1</v>
      </c>
      <c r="BA8697" s="17">
        <v>0.99843051994648502</v>
      </c>
      <c r="BB8697" s="17">
        <v>0.91990017068028862</v>
      </c>
      <c r="BC8697" s="17">
        <v>0.79368050970972193</v>
      </c>
      <c r="BD8697" s="17">
        <v>0.64103730276493964</v>
      </c>
      <c r="BE8697" s="17">
        <v>0.52341467282899545</v>
      </c>
      <c r="BF8697" s="17">
        <v>0.43720059099570269</v>
      </c>
      <c r="BG8697" s="17">
        <v>0.27273085411092202</v>
      </c>
      <c r="BH8697" s="17">
        <v>8.0009909592151263E-2</v>
      </c>
      <c r="BI8697" s="4"/>
      <c r="BJ8697" s="639"/>
      <c r="BK8697" s="639" t="s">
        <v>961</v>
      </c>
      <c r="BL8697" s="12"/>
      <c r="BM8697" s="12"/>
      <c r="BN8697" s="12"/>
      <c r="BO8697" s="12"/>
      <c r="BP8697" s="12"/>
      <c r="BQ8697" s="12"/>
      <c r="BR8697" s="12"/>
      <c r="BS8697" s="12"/>
      <c r="BT8697" s="12"/>
      <c r="BU8697" s="639"/>
      <c r="BV8697" s="639"/>
      <c r="BW8697" s="639"/>
      <c r="BX8697" s="639"/>
      <c r="BY8697" s="639"/>
      <c r="BZ8697" s="639"/>
      <c r="CA8697" s="381"/>
      <c r="CB8697" s="9" t="s">
        <v>962</v>
      </c>
    </row>
    <row r="8698" spans="1:81" s="83" customFormat="1" ht="13.5" customHeight="1" x14ac:dyDescent="0.2">
      <c r="A8698" s="183"/>
      <c r="B8698" s="563"/>
      <c r="C8698" s="563"/>
      <c r="D8698" s="703"/>
      <c r="E8698" s="564"/>
      <c r="F8698" s="572"/>
      <c r="G8698" s="563"/>
      <c r="H8698" s="563"/>
      <c r="I8698" s="563"/>
      <c r="J8698" s="563"/>
      <c r="K8698" s="563"/>
      <c r="L8698" s="563"/>
      <c r="M8698" s="828">
        <v>36099</v>
      </c>
      <c r="N8698" s="829">
        <v>4075</v>
      </c>
      <c r="O8698" s="582">
        <v>59.891998594527571</v>
      </c>
      <c r="P8698" s="584"/>
      <c r="Q8698" s="830">
        <v>6.2864591132173039E-3</v>
      </c>
      <c r="R8698" s="830">
        <v>2.6988411108333308E-2</v>
      </c>
      <c r="S8698" s="830">
        <v>9.0889162115610156E-2</v>
      </c>
      <c r="T8698" s="830">
        <v>0.10659527279456378</v>
      </c>
      <c r="U8698" s="830">
        <v>8.810052279702682E-2</v>
      </c>
      <c r="V8698" s="830">
        <v>4.8262158856642132E-2</v>
      </c>
      <c r="W8698" s="830">
        <v>0.17032875596964725</v>
      </c>
      <c r="X8698" s="830">
        <v>0.40306714321632986</v>
      </c>
      <c r="Y8698" s="830">
        <v>5.9482114028629421E-2</v>
      </c>
      <c r="Z8698" s="823"/>
      <c r="AA8698" s="823"/>
      <c r="AB8698" s="824"/>
      <c r="AC8698" s="840">
        <v>8.0000000000000007E-5</v>
      </c>
      <c r="AD8698" s="532">
        <v>246.66</v>
      </c>
      <c r="AE8698" s="532">
        <v>9.2899999999999991</v>
      </c>
      <c r="AF8698" s="837">
        <f>AE8698*AD8698</f>
        <v>2291.4713999999999</v>
      </c>
      <c r="AG8698" s="532">
        <v>1.63</v>
      </c>
      <c r="AH8698" s="565"/>
      <c r="AI8698" s="563"/>
      <c r="AJ8698" s="563"/>
      <c r="AK8698" s="563"/>
      <c r="AU8698" s="563"/>
      <c r="AV8698" s="563"/>
      <c r="AW8698" s="563"/>
      <c r="AX8698" s="563"/>
      <c r="AY8698" s="563"/>
      <c r="BI8698" s="563"/>
      <c r="BJ8698" s="563"/>
      <c r="BK8698" s="563"/>
      <c r="BL8698" s="563"/>
      <c r="BM8698" s="563"/>
      <c r="BN8698" s="563"/>
      <c r="BO8698" s="563"/>
      <c r="BP8698" s="563"/>
      <c r="BQ8698" s="563"/>
      <c r="BR8698" s="563"/>
      <c r="BS8698" s="563"/>
      <c r="BT8698" s="563"/>
      <c r="BU8698" s="563"/>
      <c r="BV8698" s="563"/>
      <c r="BW8698" s="563"/>
      <c r="BX8698" s="563"/>
      <c r="BY8698" s="563"/>
      <c r="BZ8698" s="563"/>
      <c r="CB8698" s="634" t="s">
        <v>964</v>
      </c>
    </row>
    <row r="8699" spans="1:81" s="83" customFormat="1" ht="13.5" customHeight="1" x14ac:dyDescent="0.2">
      <c r="A8699" s="183"/>
      <c r="B8699" s="563"/>
      <c r="C8699" s="563"/>
      <c r="D8699" s="703"/>
      <c r="E8699" s="564"/>
      <c r="F8699" s="572"/>
      <c r="G8699" s="563"/>
      <c r="H8699" s="563"/>
      <c r="I8699" s="563"/>
      <c r="J8699" s="563"/>
      <c r="K8699" s="563"/>
      <c r="L8699" s="563"/>
      <c r="M8699" s="663">
        <v>36101</v>
      </c>
      <c r="N8699" s="532">
        <v>5405</v>
      </c>
      <c r="O8699" s="582">
        <v>74.031610345593819</v>
      </c>
      <c r="P8699" s="584"/>
      <c r="Q8699" s="826">
        <v>0</v>
      </c>
      <c r="R8699" s="826">
        <v>5.288901059868862E-2</v>
      </c>
      <c r="S8699" s="826">
        <v>8.0059228037978644E-2</v>
      </c>
      <c r="T8699" s="826">
        <v>8.669198728786752E-2</v>
      </c>
      <c r="U8699" s="826">
        <v>7.066039431202642E-2</v>
      </c>
      <c r="V8699" s="826">
        <v>4.2804797434423877E-2</v>
      </c>
      <c r="W8699" s="826">
        <v>0.13458049188229715</v>
      </c>
      <c r="X8699" s="826">
        <v>0.46690819337859191</v>
      </c>
      <c r="Y8699" s="826">
        <v>6.5405897068125871E-2</v>
      </c>
      <c r="Z8699" s="823"/>
      <c r="AA8699" s="823"/>
      <c r="AB8699" s="824"/>
      <c r="AC8699" s="840">
        <v>7.8000000000000012E-5</v>
      </c>
      <c r="AD8699" s="532">
        <v>246.66</v>
      </c>
      <c r="AE8699" s="532">
        <v>9.92</v>
      </c>
      <c r="AF8699" s="837">
        <f t="shared" ref="AF8699:AF8714" si="68">AE8699*AD8699</f>
        <v>2446.8672000000001</v>
      </c>
      <c r="AG8699" s="532">
        <v>1.75</v>
      </c>
      <c r="AH8699" s="565"/>
      <c r="AI8699" s="563"/>
      <c r="AJ8699" s="563"/>
      <c r="AK8699" s="563"/>
      <c r="AU8699" s="563"/>
      <c r="AV8699" s="563"/>
      <c r="AW8699" s="563"/>
      <c r="AX8699" s="563"/>
      <c r="AY8699" s="563"/>
      <c r="BI8699" s="563"/>
      <c r="BJ8699" s="563"/>
      <c r="BK8699" s="563"/>
      <c r="BL8699" s="563"/>
      <c r="BM8699" s="563"/>
      <c r="BN8699" s="563"/>
      <c r="BO8699" s="563"/>
      <c r="BP8699" s="563"/>
      <c r="BQ8699" s="563"/>
      <c r="BR8699" s="563"/>
      <c r="BS8699" s="563"/>
      <c r="BT8699" s="563"/>
      <c r="BU8699" s="563"/>
      <c r="BV8699" s="563"/>
      <c r="BW8699" s="563"/>
      <c r="BX8699" s="563"/>
      <c r="BY8699" s="563"/>
      <c r="BZ8699" s="563"/>
      <c r="CB8699" s="862" t="s">
        <v>966</v>
      </c>
    </row>
    <row r="8700" spans="1:81" s="83" customFormat="1" ht="13.5" customHeight="1" x14ac:dyDescent="0.2">
      <c r="A8700" s="183"/>
      <c r="B8700" s="563"/>
      <c r="C8700" s="563"/>
      <c r="D8700" s="703"/>
      <c r="E8700" s="564"/>
      <c r="F8700" s="572"/>
      <c r="G8700" s="563"/>
      <c r="H8700" s="563"/>
      <c r="I8700" s="563"/>
      <c r="J8700" s="563"/>
      <c r="K8700" s="563"/>
      <c r="L8700" s="563"/>
      <c r="M8700" s="663">
        <v>36102</v>
      </c>
      <c r="N8700" s="532">
        <v>5961</v>
      </c>
      <c r="O8700" s="582">
        <v>74.255938531646436</v>
      </c>
      <c r="P8700" s="584"/>
      <c r="Q8700" s="826">
        <v>0</v>
      </c>
      <c r="R8700" s="826">
        <v>6.1835043418001702E-2</v>
      </c>
      <c r="S8700" s="826">
        <v>7.015848183474345E-2</v>
      </c>
      <c r="T8700" s="826">
        <v>6.8528324024437134E-2</v>
      </c>
      <c r="U8700" s="826">
        <v>5.9484834149220484E-2</v>
      </c>
      <c r="V8700" s="826">
        <v>4.1758908305832482E-2</v>
      </c>
      <c r="W8700" s="826">
        <v>0.11447644780982685</v>
      </c>
      <c r="X8700" s="826">
        <v>0.51959830579084776</v>
      </c>
      <c r="Y8700" s="826">
        <v>6.4159654667090157E-2</v>
      </c>
      <c r="Z8700" s="823"/>
      <c r="AA8700" s="823"/>
      <c r="AB8700" s="824"/>
      <c r="AC8700" s="840">
        <v>7.5000000000000007E-5</v>
      </c>
      <c r="AD8700" s="532">
        <v>246.66</v>
      </c>
      <c r="AE8700" s="532">
        <v>10.29</v>
      </c>
      <c r="AF8700" s="837">
        <f t="shared" si="68"/>
        <v>2538.1313999999998</v>
      </c>
      <c r="AG8700" s="532">
        <v>1.82</v>
      </c>
      <c r="AH8700" s="565"/>
      <c r="AI8700" s="563"/>
      <c r="AJ8700" s="563"/>
      <c r="AK8700" s="563"/>
      <c r="AU8700" s="563"/>
      <c r="AV8700" s="563"/>
      <c r="AW8700" s="563"/>
      <c r="AX8700" s="563"/>
      <c r="AY8700" s="563"/>
      <c r="BI8700" s="563"/>
      <c r="BJ8700" s="563"/>
      <c r="BK8700" s="563"/>
      <c r="BL8700" s="563"/>
      <c r="BM8700" s="563"/>
      <c r="BN8700" s="563"/>
      <c r="BO8700" s="563"/>
      <c r="BP8700" s="563"/>
      <c r="BQ8700" s="563"/>
      <c r="BR8700" s="563"/>
      <c r="BS8700" s="563"/>
      <c r="BT8700" s="563"/>
      <c r="BU8700" s="563"/>
      <c r="BV8700" s="563"/>
      <c r="BW8700" s="563"/>
      <c r="BX8700" s="563"/>
      <c r="BY8700" s="563"/>
      <c r="BZ8700" s="563"/>
    </row>
    <row r="8701" spans="1:81" s="83" customFormat="1" ht="13.5" customHeight="1" x14ac:dyDescent="0.25">
      <c r="A8701" s="183"/>
      <c r="B8701" s="563"/>
      <c r="C8701" s="563"/>
      <c r="D8701" s="703"/>
      <c r="E8701" s="564"/>
      <c r="F8701" s="572"/>
      <c r="G8701" s="563"/>
      <c r="H8701" s="563"/>
      <c r="I8701" s="563"/>
      <c r="J8701" s="563"/>
      <c r="K8701" s="563"/>
      <c r="L8701" s="563"/>
      <c r="M8701" s="663">
        <v>36103</v>
      </c>
      <c r="N8701" s="532">
        <v>6173</v>
      </c>
      <c r="O8701" s="831">
        <v>78.277722560252954</v>
      </c>
      <c r="P8701" s="584"/>
      <c r="Q8701" s="827">
        <v>6.2516639008081036E-3</v>
      </c>
      <c r="R8701" s="827">
        <v>5.7368965297535879E-2</v>
      </c>
      <c r="S8701" s="827">
        <v>6.1272350247694791E-2</v>
      </c>
      <c r="T8701" s="827">
        <v>5.8662075007801837E-2</v>
      </c>
      <c r="U8701" s="827">
        <v>7.3473596104673022E-2</v>
      </c>
      <c r="V8701" s="827">
        <v>4.1939635370151995E-2</v>
      </c>
      <c r="W8701" s="827">
        <v>0.11390763332018028</v>
      </c>
      <c r="X8701" s="827">
        <v>0.53317607383970778</v>
      </c>
      <c r="Y8701" s="827">
        <v>5.3948006911446286E-2</v>
      </c>
      <c r="Z8701" s="823"/>
      <c r="AA8701" s="823"/>
      <c r="AB8701" s="824"/>
      <c r="AC8701" s="840">
        <v>8.3999999999999995E-5</v>
      </c>
      <c r="AD8701" s="532">
        <v>246.66</v>
      </c>
      <c r="AE8701" s="532">
        <v>10.5</v>
      </c>
      <c r="AF8701" s="837">
        <f t="shared" si="68"/>
        <v>2589.9299999999998</v>
      </c>
      <c r="AG8701" s="532">
        <v>1.84</v>
      </c>
      <c r="AH8701" s="565"/>
      <c r="AI8701" s="563"/>
      <c r="AJ8701" s="563"/>
      <c r="AK8701" s="563"/>
      <c r="AU8701" s="563"/>
      <c r="AV8701" s="563"/>
      <c r="AW8701" s="563"/>
      <c r="AX8701" s="563"/>
      <c r="AY8701" s="563"/>
      <c r="BI8701" s="563"/>
      <c r="BJ8701" s="563"/>
      <c r="BK8701" s="563"/>
      <c r="BL8701" s="563"/>
      <c r="BM8701" s="563"/>
      <c r="BN8701" s="563"/>
      <c r="BO8701" s="563"/>
      <c r="BP8701" s="563"/>
      <c r="BQ8701" s="563"/>
      <c r="BR8701" s="563"/>
      <c r="BS8701" s="563"/>
      <c r="BT8701" s="563"/>
      <c r="BU8701" s="563"/>
      <c r="BV8701" s="563"/>
      <c r="BW8701" s="563"/>
      <c r="BX8701" s="563"/>
      <c r="BY8701" s="563"/>
      <c r="BZ8701" s="563"/>
    </row>
    <row r="8702" spans="1:81" s="83" customFormat="1" ht="13.5" customHeight="1" x14ac:dyDescent="0.2">
      <c r="A8702" s="183"/>
      <c r="B8702" s="563"/>
      <c r="C8702" s="563"/>
      <c r="D8702" s="703"/>
      <c r="E8702" s="564"/>
      <c r="F8702" s="572"/>
      <c r="G8702" s="563"/>
      <c r="H8702" s="563"/>
      <c r="I8702" s="563"/>
      <c r="J8702" s="563"/>
      <c r="K8702" s="563"/>
      <c r="L8702" s="563"/>
      <c r="M8702" s="663">
        <v>36104</v>
      </c>
      <c r="N8702" s="532">
        <v>5982</v>
      </c>
      <c r="O8702" s="831">
        <v>77.425873540951045</v>
      </c>
      <c r="P8702" s="584"/>
      <c r="Q8702" s="826">
        <v>1.2503327801616207E-2</v>
      </c>
      <c r="R8702" s="826">
        <v>5.2705913250566901E-2</v>
      </c>
      <c r="S8702" s="826">
        <v>5.4536891428051966E-2</v>
      </c>
      <c r="T8702" s="826">
        <v>5.4050971461220745E-2</v>
      </c>
      <c r="U8702" s="826">
        <v>8.8538843110409896E-2</v>
      </c>
      <c r="V8702" s="826">
        <v>4.129307720547095E-2</v>
      </c>
      <c r="W8702" s="826">
        <v>0.11630982649528865</v>
      </c>
      <c r="X8702" s="826">
        <v>0.53831239984719526</v>
      </c>
      <c r="Y8702" s="826">
        <v>4.1748749400179572E-2</v>
      </c>
      <c r="Z8702" s="823"/>
      <c r="AA8702" s="823"/>
      <c r="AB8702" s="824"/>
      <c r="AC8702" s="840">
        <v>8.3999999999999995E-5</v>
      </c>
      <c r="AD8702" s="532">
        <v>246.66</v>
      </c>
      <c r="AE8702" s="532">
        <v>10.43</v>
      </c>
      <c r="AF8702" s="837">
        <f t="shared" si="68"/>
        <v>2572.6637999999998</v>
      </c>
      <c r="AG8702" s="532">
        <v>1.77</v>
      </c>
      <c r="AH8702" s="565"/>
      <c r="AI8702" s="563"/>
      <c r="AJ8702" s="563"/>
      <c r="AK8702" s="563"/>
      <c r="AU8702" s="563"/>
      <c r="AV8702" s="563"/>
      <c r="AW8702" s="563"/>
      <c r="AX8702" s="563"/>
      <c r="AY8702" s="563"/>
      <c r="BI8702" s="563"/>
      <c r="BJ8702" s="563"/>
      <c r="BK8702" s="563"/>
      <c r="BL8702" s="563"/>
      <c r="BM8702" s="563"/>
      <c r="BN8702" s="563"/>
      <c r="BO8702" s="563"/>
      <c r="BP8702" s="563"/>
      <c r="BQ8702" s="563"/>
      <c r="BR8702" s="563"/>
      <c r="BS8702" s="563"/>
      <c r="BT8702" s="563"/>
      <c r="BU8702" s="563"/>
      <c r="BV8702" s="563"/>
      <c r="BW8702" s="563"/>
      <c r="BX8702" s="563"/>
      <c r="BY8702" s="563"/>
      <c r="BZ8702" s="563"/>
    </row>
    <row r="8703" spans="1:81" s="83" customFormat="1" ht="13.5" customHeight="1" x14ac:dyDescent="0.2">
      <c r="A8703" s="183"/>
      <c r="B8703" s="563"/>
      <c r="C8703" s="563"/>
      <c r="D8703" s="703"/>
      <c r="E8703" s="564"/>
      <c r="F8703" s="572"/>
      <c r="G8703" s="563"/>
      <c r="H8703" s="563"/>
      <c r="I8703" s="563"/>
      <c r="J8703" s="563"/>
      <c r="K8703" s="563"/>
      <c r="L8703" s="563"/>
      <c r="M8703" s="663">
        <v>36105</v>
      </c>
      <c r="N8703" s="532">
        <v>5494</v>
      </c>
      <c r="O8703" s="831">
        <v>93.072297165147972</v>
      </c>
      <c r="P8703" s="584"/>
      <c r="Q8703" s="826">
        <v>2.1963498445676821E-3</v>
      </c>
      <c r="R8703" s="826">
        <v>4.2857283198129759E-2</v>
      </c>
      <c r="S8703" s="826">
        <v>5.196749615344972E-2</v>
      </c>
      <c r="T8703" s="826">
        <v>5.1431233150776683E-2</v>
      </c>
      <c r="U8703" s="826">
        <v>8.6427132217916702E-2</v>
      </c>
      <c r="V8703" s="826">
        <v>3.4821995530324501E-2</v>
      </c>
      <c r="W8703" s="826">
        <v>0.12072191298508461</v>
      </c>
      <c r="X8703" s="826">
        <v>0.57584054754485514</v>
      </c>
      <c r="Y8703" s="826">
        <v>3.3736049374895181E-2</v>
      </c>
      <c r="Z8703" s="823"/>
      <c r="AA8703" s="823"/>
      <c r="AB8703" s="824"/>
      <c r="AC8703" s="840">
        <v>7.6000000000000004E-5</v>
      </c>
      <c r="AD8703" s="532">
        <v>246.66</v>
      </c>
      <c r="AE8703" s="532">
        <v>10.23</v>
      </c>
      <c r="AF8703" s="837">
        <f t="shared" si="68"/>
        <v>2523.3317999999999</v>
      </c>
      <c r="AG8703" s="532">
        <v>1.68</v>
      </c>
      <c r="AH8703" s="565"/>
      <c r="AI8703" s="563"/>
      <c r="AJ8703" s="563"/>
      <c r="AK8703" s="563"/>
      <c r="AU8703" s="563"/>
      <c r="AV8703" s="563"/>
      <c r="AW8703" s="563"/>
      <c r="AX8703" s="563"/>
      <c r="AY8703" s="563"/>
      <c r="BI8703" s="563"/>
      <c r="BJ8703" s="563"/>
      <c r="BK8703" s="563"/>
      <c r="BL8703" s="563"/>
      <c r="BM8703" s="563"/>
      <c r="BN8703" s="563"/>
      <c r="BO8703" s="563"/>
      <c r="BP8703" s="563"/>
      <c r="BQ8703" s="563"/>
      <c r="BR8703" s="563"/>
      <c r="BS8703" s="563"/>
      <c r="BT8703" s="563"/>
      <c r="BU8703" s="563"/>
      <c r="BV8703" s="563"/>
      <c r="BW8703" s="563"/>
      <c r="BX8703" s="563"/>
      <c r="BY8703" s="563"/>
      <c r="BZ8703" s="563"/>
    </row>
    <row r="8704" spans="1:81" s="83" customFormat="1" ht="13.5" customHeight="1" x14ac:dyDescent="0.2">
      <c r="A8704" s="183"/>
      <c r="B8704" s="563"/>
      <c r="C8704" s="563"/>
      <c r="D8704" s="703"/>
      <c r="E8704" s="564"/>
      <c r="F8704" s="572"/>
      <c r="G8704" s="563"/>
      <c r="H8704" s="563"/>
      <c r="I8704" s="563"/>
      <c r="J8704" s="563"/>
      <c r="K8704" s="563"/>
      <c r="L8704" s="563"/>
      <c r="M8704" s="663">
        <v>36106</v>
      </c>
      <c r="N8704" s="532">
        <v>4851</v>
      </c>
      <c r="O8704" s="831">
        <v>93.559490436613373</v>
      </c>
      <c r="P8704" s="584"/>
      <c r="Q8704" s="826">
        <v>0</v>
      </c>
      <c r="R8704" s="826">
        <v>4.3590560169467593E-2</v>
      </c>
      <c r="S8704" s="826">
        <v>5.2998630019754245E-2</v>
      </c>
      <c r="T8704" s="826">
        <v>5.3004646319920384E-2</v>
      </c>
      <c r="U8704" s="826">
        <v>0.13064446276802247</v>
      </c>
      <c r="V8704" s="826">
        <v>4.3422665147953142E-2</v>
      </c>
      <c r="W8704" s="826">
        <v>0.14054265161937884</v>
      </c>
      <c r="X8704" s="826">
        <v>0.50569699009802105</v>
      </c>
      <c r="Y8704" s="826">
        <v>3.0099393857482303E-2</v>
      </c>
      <c r="Z8704" s="823"/>
      <c r="AA8704" s="823"/>
      <c r="AB8704" s="824"/>
      <c r="AC8704" s="840">
        <v>7.6000000000000004E-5</v>
      </c>
      <c r="AD8704" s="532">
        <v>246.66</v>
      </c>
      <c r="AE8704" s="532">
        <v>9.92</v>
      </c>
      <c r="AF8704" s="837">
        <f t="shared" si="68"/>
        <v>2446.8672000000001</v>
      </c>
      <c r="AG8704" s="532">
        <v>1.59</v>
      </c>
      <c r="AH8704" s="565"/>
      <c r="AI8704" s="563"/>
      <c r="AJ8704" s="563"/>
      <c r="AK8704" s="563"/>
      <c r="AU8704" s="563"/>
      <c r="AV8704" s="563"/>
      <c r="AW8704" s="563"/>
      <c r="AX8704" s="563"/>
      <c r="AY8704" s="563"/>
      <c r="BI8704" s="563"/>
      <c r="BJ8704" s="563"/>
      <c r="BK8704" s="563"/>
      <c r="BL8704" s="563"/>
      <c r="BM8704" s="563"/>
      <c r="BN8704" s="563"/>
      <c r="BO8704" s="563"/>
      <c r="BP8704" s="563"/>
      <c r="BQ8704" s="563"/>
      <c r="BR8704" s="563"/>
      <c r="BS8704" s="563"/>
      <c r="BT8704" s="563"/>
      <c r="BU8704" s="563"/>
      <c r="BV8704" s="563"/>
      <c r="BW8704" s="563"/>
      <c r="BX8704" s="563"/>
      <c r="BY8704" s="563"/>
      <c r="BZ8704" s="563"/>
    </row>
    <row r="8705" spans="1:80" s="83" customFormat="1" ht="13.5" customHeight="1" x14ac:dyDescent="0.2">
      <c r="A8705" s="183"/>
      <c r="B8705" s="563"/>
      <c r="C8705" s="563"/>
      <c r="D8705" s="703"/>
      <c r="E8705" s="564"/>
      <c r="F8705" s="572"/>
      <c r="G8705" s="563"/>
      <c r="H8705" s="563"/>
      <c r="I8705" s="563"/>
      <c r="J8705" s="563"/>
      <c r="K8705" s="563"/>
      <c r="L8705" s="563"/>
      <c r="M8705" s="663">
        <v>36108</v>
      </c>
      <c r="N8705" s="532">
        <v>4101</v>
      </c>
      <c r="O8705" s="582">
        <v>103.71453928119149</v>
      </c>
      <c r="P8705" s="584"/>
      <c r="Q8705" s="826">
        <v>0</v>
      </c>
      <c r="R8705" s="826">
        <v>5.2084576181128731E-2</v>
      </c>
      <c r="S8705" s="826">
        <v>6.0800275415584297E-2</v>
      </c>
      <c r="T8705" s="826">
        <v>5.9077001822639079E-2</v>
      </c>
      <c r="U8705" s="826">
        <v>8.7365792633710304E-2</v>
      </c>
      <c r="V8705" s="826">
        <v>6.3576775473894884E-2</v>
      </c>
      <c r="W8705" s="826">
        <v>0.20449540404192426</v>
      </c>
      <c r="X8705" s="826">
        <v>0.43777117775350149</v>
      </c>
      <c r="Y8705" s="826">
        <v>3.4828996677617019E-2</v>
      </c>
      <c r="Z8705" s="823"/>
      <c r="AA8705" s="823"/>
      <c r="AB8705" s="824"/>
      <c r="AC8705" s="840" t="s">
        <v>29</v>
      </c>
      <c r="AD8705" s="532">
        <v>246.66</v>
      </c>
      <c r="AE8705" s="532">
        <v>9.35</v>
      </c>
      <c r="AF8705" s="837">
        <f t="shared" si="68"/>
        <v>2306.2709999999997</v>
      </c>
      <c r="AG8705" s="532">
        <v>1.5</v>
      </c>
      <c r="AH8705" s="565"/>
      <c r="AI8705" s="563"/>
      <c r="AJ8705" s="563"/>
      <c r="AK8705" s="563"/>
      <c r="AU8705" s="563"/>
      <c r="AV8705" s="563"/>
      <c r="AW8705" s="563"/>
      <c r="AX8705" s="563"/>
      <c r="AY8705" s="563"/>
      <c r="BI8705" s="563"/>
      <c r="BJ8705" s="563"/>
      <c r="BK8705" s="563"/>
      <c r="BL8705" s="563"/>
      <c r="BM8705" s="563"/>
      <c r="BN8705" s="563"/>
      <c r="BO8705" s="563"/>
      <c r="BP8705" s="563"/>
      <c r="BQ8705" s="563"/>
      <c r="BR8705" s="563"/>
      <c r="BS8705" s="563"/>
      <c r="BT8705" s="563"/>
      <c r="BU8705" s="563"/>
      <c r="BV8705" s="563"/>
      <c r="BW8705" s="563"/>
      <c r="BX8705" s="563"/>
      <c r="BY8705" s="563"/>
      <c r="BZ8705" s="563"/>
    </row>
    <row r="8706" spans="1:80" s="83" customFormat="1" ht="13.5" customHeight="1" x14ac:dyDescent="0.2">
      <c r="A8706" s="183"/>
      <c r="B8706" s="563"/>
      <c r="C8706" s="563"/>
      <c r="D8706" s="703"/>
      <c r="E8706" s="564"/>
      <c r="F8706" s="572"/>
      <c r="G8706" s="563"/>
      <c r="H8706" s="563"/>
      <c r="I8706" s="563"/>
      <c r="J8706" s="563"/>
      <c r="K8706" s="563"/>
      <c r="L8706" s="563"/>
      <c r="M8706" s="663">
        <v>36109</v>
      </c>
      <c r="N8706" s="532">
        <v>3760</v>
      </c>
      <c r="O8706" s="831">
        <v>102.56310238599818</v>
      </c>
      <c r="P8706" s="584"/>
      <c r="Q8706" s="826">
        <v>0</v>
      </c>
      <c r="R8706" s="826">
        <v>4.188493784871973E-2</v>
      </c>
      <c r="S8706" s="826">
        <v>5.5085237241152683E-2</v>
      </c>
      <c r="T8706" s="826">
        <v>5.717686471677931E-2</v>
      </c>
      <c r="U8706" s="826">
        <v>5.5399863890201254E-2</v>
      </c>
      <c r="V8706" s="826">
        <v>5.7511323321078001E-2</v>
      </c>
      <c r="W8706" s="826">
        <v>0.2018772447157185</v>
      </c>
      <c r="X8706" s="826">
        <v>0.50060322463091866</v>
      </c>
      <c r="Y8706" s="826">
        <v>3.0461303635431973E-2</v>
      </c>
      <c r="Z8706" s="823"/>
      <c r="AA8706" s="823"/>
      <c r="AB8706" s="824"/>
      <c r="AC8706" s="840">
        <v>7.1000000000000005E-5</v>
      </c>
      <c r="AD8706" s="532">
        <v>246.66</v>
      </c>
      <c r="AE8706" s="532">
        <v>9.11</v>
      </c>
      <c r="AF8706" s="837">
        <f t="shared" si="68"/>
        <v>2247.0726</v>
      </c>
      <c r="AG8706" s="532">
        <v>1.46</v>
      </c>
      <c r="AH8706" s="565"/>
      <c r="AI8706" s="563"/>
      <c r="AJ8706" s="563"/>
      <c r="AK8706" s="563"/>
      <c r="AU8706" s="563"/>
      <c r="AV8706" s="563"/>
      <c r="AW8706" s="563"/>
      <c r="AX8706" s="563"/>
      <c r="AY8706" s="563"/>
      <c r="BI8706" s="563"/>
      <c r="BJ8706" s="563"/>
      <c r="BK8706" s="563"/>
      <c r="BL8706" s="563"/>
      <c r="BM8706" s="563"/>
      <c r="BN8706" s="563"/>
      <c r="BO8706" s="563"/>
      <c r="BP8706" s="563"/>
      <c r="BQ8706" s="563"/>
      <c r="BR8706" s="563"/>
      <c r="BS8706" s="563"/>
      <c r="BT8706" s="563"/>
      <c r="BU8706" s="563"/>
      <c r="BV8706" s="563"/>
      <c r="BW8706" s="563"/>
      <c r="BX8706" s="563"/>
      <c r="BY8706" s="563"/>
      <c r="BZ8706" s="563"/>
    </row>
    <row r="8707" spans="1:80" s="83" customFormat="1" ht="13.5" customHeight="1" x14ac:dyDescent="0.2">
      <c r="A8707" s="183"/>
      <c r="B8707" s="563"/>
      <c r="C8707" s="563"/>
      <c r="D8707" s="703"/>
      <c r="E8707" s="564"/>
      <c r="F8707" s="572"/>
      <c r="G8707" s="563"/>
      <c r="H8707" s="563"/>
      <c r="I8707" s="563"/>
      <c r="J8707" s="563"/>
      <c r="K8707" s="563"/>
      <c r="L8707" s="563"/>
      <c r="M8707" s="663">
        <v>36111</v>
      </c>
      <c r="N8707" s="532">
        <v>3425</v>
      </c>
      <c r="O8707" s="582">
        <v>107.23134490501965</v>
      </c>
      <c r="P8707" s="584"/>
      <c r="Q8707" s="826">
        <v>0</v>
      </c>
      <c r="R8707" s="826">
        <v>3.5881697192981961E-2</v>
      </c>
      <c r="S8707" s="826">
        <v>6.088392166717492E-2</v>
      </c>
      <c r="T8707" s="826">
        <v>5.872385636767595E-2</v>
      </c>
      <c r="U8707" s="826">
        <v>4.9890272024840976E-2</v>
      </c>
      <c r="V8707" s="826">
        <v>4.9455157860054659E-2</v>
      </c>
      <c r="W8707" s="826">
        <v>0.18849292631056222</v>
      </c>
      <c r="X8707" s="826">
        <v>0.52995895188975028</v>
      </c>
      <c r="Y8707" s="826">
        <v>2.6713216686958953E-2</v>
      </c>
      <c r="Z8707" s="823"/>
      <c r="AA8707" s="823"/>
      <c r="AB8707" s="824"/>
      <c r="AC8707" s="840">
        <v>7.2999999999999999E-5</v>
      </c>
      <c r="AD8707" s="532">
        <v>246.66</v>
      </c>
      <c r="AE8707" s="532">
        <v>8.67</v>
      </c>
      <c r="AF8707" s="837">
        <f t="shared" si="68"/>
        <v>2138.5421999999999</v>
      </c>
      <c r="AG8707" s="532">
        <v>1.42</v>
      </c>
      <c r="AH8707" s="565"/>
      <c r="AI8707" s="563"/>
      <c r="AJ8707" s="563"/>
      <c r="AK8707" s="563"/>
      <c r="AU8707" s="563"/>
      <c r="AV8707" s="563"/>
      <c r="AW8707" s="563"/>
      <c r="AX8707" s="563"/>
      <c r="AY8707" s="563"/>
      <c r="BI8707" s="563"/>
      <c r="BJ8707" s="563"/>
      <c r="BK8707" s="563"/>
      <c r="BL8707" s="563"/>
      <c r="BM8707" s="563"/>
      <c r="BN8707" s="563"/>
      <c r="BO8707" s="563"/>
      <c r="BP8707" s="563"/>
      <c r="BQ8707" s="563"/>
      <c r="BR8707" s="563"/>
      <c r="BS8707" s="563"/>
      <c r="BT8707" s="563"/>
      <c r="BU8707" s="563"/>
      <c r="BV8707" s="563"/>
      <c r="BW8707" s="563"/>
      <c r="BX8707" s="563"/>
      <c r="BY8707" s="563"/>
      <c r="BZ8707" s="563"/>
    </row>
    <row r="8708" spans="1:80" ht="15" x14ac:dyDescent="0.25">
      <c r="A8708" s="9" t="s">
        <v>943</v>
      </c>
      <c r="B8708" s="639" t="s">
        <v>965</v>
      </c>
      <c r="C8708" s="639" t="s">
        <v>952</v>
      </c>
      <c r="D8708" s="4">
        <f>VLOOKUP(E8708,'Quality Code'!$D$4:$E$24,2,TRUE)*VLOOKUP(MROUND(F8708,10),'Quality Code'!$D$28:$E$69,2,TRUE)*VLOOKUP(COUNTA(CB8708:CB8710),'Quality Code'!$D$73:$E$93,2,TRUE)</f>
        <v>0.27500000000000002</v>
      </c>
      <c r="E8708" s="14">
        <v>0.55000000000000004</v>
      </c>
      <c r="F8708" s="18">
        <v>8</v>
      </c>
      <c r="G8708" s="12"/>
      <c r="H8708" s="639" t="s">
        <v>690</v>
      </c>
      <c r="I8708" s="640"/>
      <c r="J8708" s="640"/>
      <c r="K8708" s="640"/>
      <c r="L8708" s="640"/>
      <c r="M8708" s="640"/>
      <c r="N8708" s="579"/>
      <c r="O8708" s="579"/>
      <c r="P8708" s="640"/>
      <c r="Q8708" s="640"/>
      <c r="R8708" s="640"/>
      <c r="S8708" s="640"/>
      <c r="T8708" s="640"/>
      <c r="U8708" s="640"/>
      <c r="V8708" s="640"/>
      <c r="W8708" s="640"/>
      <c r="X8708" s="640"/>
      <c r="Y8708" s="640"/>
      <c r="Z8708" s="579"/>
      <c r="AA8708" s="81"/>
      <c r="AB8708" s="81"/>
      <c r="AC8708" s="116"/>
      <c r="AD8708" s="580"/>
      <c r="AE8708" s="580"/>
      <c r="AF8708" s="580"/>
      <c r="AG8708" s="580"/>
      <c r="AH8708" s="330"/>
      <c r="AI8708" s="123"/>
      <c r="AJ8708" s="123"/>
      <c r="AK8708" s="143"/>
      <c r="AL8708" s="17"/>
      <c r="AM8708" s="17"/>
      <c r="AN8708" s="17"/>
      <c r="AO8708" s="17"/>
      <c r="AP8708" s="17"/>
      <c r="AQ8708" s="17"/>
      <c r="AR8708" s="17"/>
      <c r="AS8708" s="17"/>
      <c r="AT8708" s="17"/>
      <c r="AU8708" s="18"/>
      <c r="AV8708" s="147">
        <v>1</v>
      </c>
      <c r="AW8708" s="147">
        <v>1</v>
      </c>
      <c r="AX8708" s="147">
        <v>1</v>
      </c>
      <c r="AY8708" s="147">
        <v>1</v>
      </c>
      <c r="AZ8708" s="17">
        <v>1</v>
      </c>
      <c r="BA8708" s="17">
        <v>0.99843051994648502</v>
      </c>
      <c r="BB8708" s="17">
        <v>0.91990017068028862</v>
      </c>
      <c r="BC8708" s="17">
        <v>0.79368050970972193</v>
      </c>
      <c r="BD8708" s="17">
        <v>0.64103730276493964</v>
      </c>
      <c r="BE8708" s="17">
        <v>0.52341467282899545</v>
      </c>
      <c r="BF8708" s="17">
        <v>0.43720059099570269</v>
      </c>
      <c r="BG8708" s="17">
        <v>0.27273085411092202</v>
      </c>
      <c r="BH8708" s="17">
        <v>8.0009909592151263E-2</v>
      </c>
      <c r="BI8708" s="4"/>
      <c r="BJ8708" s="639"/>
      <c r="BK8708" s="639" t="s">
        <v>961</v>
      </c>
      <c r="BL8708" s="12"/>
      <c r="BM8708" s="12"/>
      <c r="BN8708" s="12"/>
      <c r="BO8708" s="12"/>
      <c r="BP8708" s="12"/>
      <c r="BQ8708" s="12"/>
      <c r="BR8708" s="12"/>
      <c r="BS8708" s="12"/>
      <c r="BT8708" s="12"/>
      <c r="BU8708" s="639"/>
      <c r="BV8708" s="639"/>
      <c r="BW8708" s="639"/>
      <c r="BX8708" s="639"/>
      <c r="BY8708" s="639"/>
      <c r="BZ8708" s="639"/>
      <c r="CA8708" s="381"/>
      <c r="CB8708" s="9" t="s">
        <v>962</v>
      </c>
    </row>
    <row r="8709" spans="1:80" s="83" customFormat="1" ht="13.5" customHeight="1" x14ac:dyDescent="0.25">
      <c r="A8709" s="183"/>
      <c r="B8709" s="563"/>
      <c r="C8709" s="563"/>
      <c r="D8709" s="703"/>
      <c r="E8709" s="564"/>
      <c r="F8709" s="572"/>
      <c r="G8709" s="563"/>
      <c r="H8709" s="563"/>
      <c r="I8709" s="563"/>
      <c r="J8709" s="563"/>
      <c r="K8709" s="563"/>
      <c r="L8709" s="563"/>
      <c r="M8709" s="663">
        <v>36103</v>
      </c>
      <c r="N8709" s="532">
        <v>6173</v>
      </c>
      <c r="O8709" s="831">
        <v>127.24972430555555</v>
      </c>
      <c r="P8709" s="441"/>
      <c r="Q8709" s="441"/>
      <c r="R8709" s="441"/>
      <c r="S8709" s="441"/>
      <c r="T8709" s="441"/>
      <c r="U8709" s="441"/>
      <c r="V8709" s="441"/>
      <c r="W8709" s="441"/>
      <c r="X8709" s="441"/>
      <c r="Y8709" s="441"/>
      <c r="Z8709" s="586"/>
      <c r="AA8709" s="823"/>
      <c r="AB8709" s="824"/>
      <c r="AC8709" s="840">
        <v>8.3999999999999995E-5</v>
      </c>
      <c r="AD8709" s="532">
        <v>246.66</v>
      </c>
      <c r="AE8709" s="532">
        <v>10.5</v>
      </c>
      <c r="AF8709" s="837">
        <f t="shared" si="68"/>
        <v>2589.9299999999998</v>
      </c>
      <c r="AG8709" s="532">
        <v>1.84</v>
      </c>
      <c r="AH8709" s="565"/>
      <c r="AI8709" s="563"/>
      <c r="AJ8709" s="563"/>
      <c r="AK8709" s="563"/>
      <c r="AU8709" s="563"/>
      <c r="AV8709" s="563"/>
      <c r="AW8709" s="563"/>
      <c r="AX8709" s="563"/>
      <c r="AY8709" s="563"/>
      <c r="BI8709" s="563"/>
      <c r="BJ8709" s="563"/>
      <c r="BK8709" s="563"/>
      <c r="BL8709" s="563"/>
      <c r="BM8709" s="563"/>
      <c r="BN8709" s="563"/>
      <c r="BO8709" s="563"/>
      <c r="BP8709" s="563"/>
      <c r="BQ8709" s="563"/>
      <c r="BR8709" s="563"/>
      <c r="BS8709" s="563"/>
      <c r="BT8709" s="563"/>
      <c r="BU8709" s="563"/>
      <c r="BV8709" s="563"/>
      <c r="BW8709" s="563"/>
      <c r="BX8709" s="563"/>
      <c r="BY8709" s="563"/>
      <c r="BZ8709" s="563"/>
      <c r="CB8709" s="634" t="s">
        <v>964</v>
      </c>
    </row>
    <row r="8710" spans="1:80" s="83" customFormat="1" ht="13.5" customHeight="1" x14ac:dyDescent="0.2">
      <c r="A8710" s="183"/>
      <c r="B8710" s="563"/>
      <c r="C8710" s="563"/>
      <c r="D8710" s="703"/>
      <c r="E8710" s="564"/>
      <c r="F8710" s="572"/>
      <c r="G8710" s="563"/>
      <c r="H8710" s="563"/>
      <c r="I8710" s="563"/>
      <c r="J8710" s="563"/>
      <c r="K8710" s="563"/>
      <c r="L8710" s="563"/>
      <c r="M8710" s="663">
        <v>36104</v>
      </c>
      <c r="N8710" s="532">
        <v>5982</v>
      </c>
      <c r="O8710" s="831">
        <v>112.87549861111111</v>
      </c>
      <c r="P8710" s="566"/>
      <c r="Q8710" s="566"/>
      <c r="R8710" s="566"/>
      <c r="S8710" s="566"/>
      <c r="T8710" s="566"/>
      <c r="U8710" s="566"/>
      <c r="V8710" s="566"/>
      <c r="W8710" s="566"/>
      <c r="X8710" s="566"/>
      <c r="Y8710" s="566"/>
      <c r="Z8710" s="586"/>
      <c r="AA8710" s="823"/>
      <c r="AB8710" s="824"/>
      <c r="AC8710" s="840">
        <v>8.3999999999999995E-5</v>
      </c>
      <c r="AD8710" s="532">
        <v>246.66</v>
      </c>
      <c r="AE8710" s="532">
        <v>10.43</v>
      </c>
      <c r="AF8710" s="837">
        <f t="shared" si="68"/>
        <v>2572.6637999999998</v>
      </c>
      <c r="AG8710" s="532">
        <v>1.77</v>
      </c>
      <c r="AH8710" s="565"/>
      <c r="AI8710" s="563"/>
      <c r="AJ8710" s="563"/>
      <c r="AK8710" s="563"/>
      <c r="AU8710" s="563"/>
      <c r="AV8710" s="563"/>
      <c r="AW8710" s="563"/>
      <c r="AX8710" s="563"/>
      <c r="AY8710" s="563"/>
      <c r="BI8710" s="563"/>
      <c r="BJ8710" s="563"/>
      <c r="BK8710" s="563"/>
      <c r="BL8710" s="563"/>
      <c r="BM8710" s="563"/>
      <c r="BN8710" s="563"/>
      <c r="BO8710" s="563"/>
      <c r="BP8710" s="563"/>
      <c r="BQ8710" s="563"/>
      <c r="BR8710" s="563"/>
      <c r="BS8710" s="563"/>
      <c r="BT8710" s="563"/>
      <c r="BU8710" s="563"/>
      <c r="BV8710" s="563"/>
      <c r="BW8710" s="563"/>
      <c r="BX8710" s="563"/>
      <c r="BY8710" s="563"/>
      <c r="BZ8710" s="563"/>
      <c r="CB8710" s="864" t="s">
        <v>966</v>
      </c>
    </row>
    <row r="8711" spans="1:80" s="83" customFormat="1" ht="13.5" customHeight="1" x14ac:dyDescent="0.2">
      <c r="A8711" s="183"/>
      <c r="B8711" s="563"/>
      <c r="C8711" s="563"/>
      <c r="D8711" s="703"/>
      <c r="E8711" s="564"/>
      <c r="F8711" s="572"/>
      <c r="G8711" s="563"/>
      <c r="H8711" s="563"/>
      <c r="I8711" s="563"/>
      <c r="J8711" s="563"/>
      <c r="K8711" s="563"/>
      <c r="L8711" s="563"/>
      <c r="M8711" s="663">
        <v>36105</v>
      </c>
      <c r="N8711" s="532">
        <v>5494</v>
      </c>
      <c r="O8711" s="831">
        <v>110.15196111111111</v>
      </c>
      <c r="P8711" s="566"/>
      <c r="Q8711" s="566"/>
      <c r="R8711" s="566"/>
      <c r="S8711" s="566"/>
      <c r="T8711" s="566"/>
      <c r="U8711" s="566"/>
      <c r="V8711" s="566"/>
      <c r="W8711" s="566"/>
      <c r="X8711" s="566"/>
      <c r="Y8711" s="566"/>
      <c r="Z8711" s="586"/>
      <c r="AA8711" s="823"/>
      <c r="AB8711" s="824"/>
      <c r="AC8711" s="840">
        <v>7.6000000000000004E-5</v>
      </c>
      <c r="AD8711" s="532">
        <v>246.66</v>
      </c>
      <c r="AE8711" s="532">
        <v>10.23</v>
      </c>
      <c r="AF8711" s="837">
        <f t="shared" si="68"/>
        <v>2523.3317999999999</v>
      </c>
      <c r="AG8711" s="532">
        <v>1.68</v>
      </c>
      <c r="AH8711" s="565"/>
      <c r="AI8711" s="563"/>
      <c r="AJ8711" s="563"/>
      <c r="AK8711" s="563"/>
      <c r="AU8711" s="563"/>
      <c r="AV8711" s="563"/>
      <c r="AW8711" s="563"/>
      <c r="AX8711" s="563"/>
      <c r="AY8711" s="563"/>
      <c r="BI8711" s="563"/>
      <c r="BJ8711" s="563"/>
      <c r="BK8711" s="563"/>
      <c r="BL8711" s="563"/>
      <c r="BM8711" s="563"/>
      <c r="BN8711" s="563"/>
      <c r="BO8711" s="563"/>
      <c r="BP8711" s="563"/>
      <c r="BQ8711" s="563"/>
      <c r="BR8711" s="563"/>
      <c r="BS8711" s="563"/>
      <c r="BT8711" s="563"/>
      <c r="BU8711" s="563"/>
      <c r="BV8711" s="563"/>
      <c r="BW8711" s="563"/>
      <c r="BX8711" s="563"/>
      <c r="BY8711" s="563"/>
      <c r="BZ8711" s="563"/>
    </row>
    <row r="8712" spans="1:80" s="83" customFormat="1" ht="13.5" customHeight="1" x14ac:dyDescent="0.2">
      <c r="A8712" s="183"/>
      <c r="B8712" s="563"/>
      <c r="C8712" s="563"/>
      <c r="D8712" s="703"/>
      <c r="E8712" s="564"/>
      <c r="F8712" s="572"/>
      <c r="G8712" s="563"/>
      <c r="H8712" s="563"/>
      <c r="I8712" s="563"/>
      <c r="J8712" s="563"/>
      <c r="K8712" s="563"/>
      <c r="L8712" s="563"/>
      <c r="M8712" s="663">
        <v>36106</v>
      </c>
      <c r="N8712" s="532">
        <v>4851</v>
      </c>
      <c r="O8712" s="831">
        <v>107.65538506944443</v>
      </c>
      <c r="P8712" s="566"/>
      <c r="Q8712" s="566"/>
      <c r="R8712" s="566"/>
      <c r="S8712" s="566"/>
      <c r="T8712" s="566"/>
      <c r="U8712" s="566"/>
      <c r="V8712" s="566"/>
      <c r="W8712" s="566"/>
      <c r="X8712" s="566"/>
      <c r="Y8712" s="566"/>
      <c r="Z8712" s="586"/>
      <c r="AA8712" s="823"/>
      <c r="AB8712" s="824"/>
      <c r="AC8712" s="840">
        <v>7.6000000000000004E-5</v>
      </c>
      <c r="AD8712" s="532">
        <v>246.66</v>
      </c>
      <c r="AE8712" s="532">
        <v>9.92</v>
      </c>
      <c r="AF8712" s="837">
        <f t="shared" si="68"/>
        <v>2446.8672000000001</v>
      </c>
      <c r="AG8712" s="532">
        <v>1.59</v>
      </c>
      <c r="AH8712" s="565"/>
      <c r="AI8712" s="563"/>
      <c r="AJ8712" s="563"/>
      <c r="AK8712" s="563"/>
      <c r="AU8712" s="563"/>
      <c r="AV8712" s="563"/>
      <c r="AW8712" s="563"/>
      <c r="AX8712" s="563"/>
      <c r="AY8712" s="563"/>
      <c r="BI8712" s="563"/>
      <c r="BJ8712" s="563"/>
      <c r="BK8712" s="563"/>
      <c r="BL8712" s="563"/>
      <c r="BM8712" s="563"/>
      <c r="BN8712" s="563"/>
      <c r="BO8712" s="563"/>
      <c r="BP8712" s="563"/>
      <c r="BQ8712" s="563"/>
      <c r="BR8712" s="563"/>
      <c r="BS8712" s="563"/>
      <c r="BT8712" s="563"/>
      <c r="BU8712" s="563"/>
      <c r="BV8712" s="563"/>
      <c r="BW8712" s="563"/>
      <c r="BX8712" s="563"/>
      <c r="BY8712" s="563"/>
      <c r="BZ8712" s="563"/>
    </row>
    <row r="8713" spans="1:80" s="83" customFormat="1" ht="13.5" customHeight="1" x14ac:dyDescent="0.2">
      <c r="A8713" s="183"/>
      <c r="B8713" s="563"/>
      <c r="C8713" s="563"/>
      <c r="D8713" s="703"/>
      <c r="E8713" s="564"/>
      <c r="F8713" s="572"/>
      <c r="G8713" s="563"/>
      <c r="H8713" s="563"/>
      <c r="I8713" s="563"/>
      <c r="J8713" s="563"/>
      <c r="K8713" s="563"/>
      <c r="L8713" s="563"/>
      <c r="M8713" s="663">
        <v>36109</v>
      </c>
      <c r="N8713" s="532">
        <v>3760</v>
      </c>
      <c r="O8713" s="831">
        <v>61.203939930555556</v>
      </c>
      <c r="P8713" s="566"/>
      <c r="Q8713" s="566"/>
      <c r="R8713" s="566"/>
      <c r="S8713" s="566"/>
      <c r="T8713" s="566"/>
      <c r="U8713" s="566"/>
      <c r="V8713" s="566"/>
      <c r="W8713" s="566"/>
      <c r="X8713" s="566"/>
      <c r="Y8713" s="566"/>
      <c r="Z8713" s="586"/>
      <c r="AA8713" s="823"/>
      <c r="AB8713" s="824"/>
      <c r="AC8713" s="840">
        <v>7.1000000000000005E-5</v>
      </c>
      <c r="AD8713" s="532">
        <v>246.66</v>
      </c>
      <c r="AE8713" s="532">
        <v>9.11</v>
      </c>
      <c r="AF8713" s="837">
        <f t="shared" si="68"/>
        <v>2247.0726</v>
      </c>
      <c r="AG8713" s="532">
        <v>1.46</v>
      </c>
      <c r="AH8713" s="565"/>
      <c r="AI8713" s="563"/>
      <c r="AJ8713" s="563"/>
      <c r="AK8713" s="563"/>
      <c r="AU8713" s="563"/>
      <c r="AV8713" s="563"/>
      <c r="AW8713" s="563"/>
      <c r="AX8713" s="563"/>
      <c r="AY8713" s="563"/>
      <c r="BI8713" s="563"/>
      <c r="BJ8713" s="563"/>
      <c r="BK8713" s="563"/>
      <c r="BL8713" s="563"/>
      <c r="BM8713" s="563"/>
      <c r="BN8713" s="563"/>
      <c r="BO8713" s="563"/>
      <c r="BP8713" s="563"/>
      <c r="BQ8713" s="563"/>
      <c r="BR8713" s="563"/>
      <c r="BS8713" s="563"/>
      <c r="BT8713" s="563"/>
      <c r="BU8713" s="563"/>
      <c r="BV8713" s="563"/>
      <c r="BW8713" s="563"/>
      <c r="BX8713" s="563"/>
      <c r="BY8713" s="563"/>
      <c r="BZ8713" s="563"/>
    </row>
    <row r="8714" spans="1:80" s="83" customFormat="1" ht="13.5" customHeight="1" x14ac:dyDescent="0.2">
      <c r="A8714" s="183"/>
      <c r="B8714" s="563"/>
      <c r="C8714" s="563"/>
      <c r="D8714" s="703"/>
      <c r="E8714" s="564"/>
      <c r="F8714" s="572"/>
      <c r="G8714" s="563"/>
      <c r="H8714" s="563"/>
      <c r="I8714" s="563"/>
      <c r="J8714" s="563"/>
      <c r="K8714" s="563"/>
      <c r="L8714" s="563"/>
      <c r="M8714" s="663">
        <v>36111</v>
      </c>
      <c r="N8714" s="532">
        <v>3425</v>
      </c>
      <c r="O8714" s="582">
        <v>55.756864930555551</v>
      </c>
      <c r="P8714" s="566"/>
      <c r="Q8714" s="566"/>
      <c r="R8714" s="566"/>
      <c r="S8714" s="566"/>
      <c r="T8714" s="566"/>
      <c r="U8714" s="566"/>
      <c r="V8714" s="566"/>
      <c r="W8714" s="566"/>
      <c r="X8714" s="566"/>
      <c r="Y8714" s="566"/>
      <c r="Z8714" s="586"/>
      <c r="AA8714" s="823"/>
      <c r="AB8714" s="824"/>
      <c r="AC8714" s="840">
        <v>7.2999999999999999E-5</v>
      </c>
      <c r="AD8714" s="532">
        <v>246.66</v>
      </c>
      <c r="AE8714" s="532">
        <v>8.67</v>
      </c>
      <c r="AF8714" s="837">
        <f t="shared" si="68"/>
        <v>2138.5421999999999</v>
      </c>
      <c r="AG8714" s="532">
        <v>1.42</v>
      </c>
      <c r="AH8714" s="565"/>
      <c r="AI8714" s="563"/>
      <c r="AJ8714" s="563"/>
      <c r="AK8714" s="563"/>
      <c r="AU8714" s="563"/>
      <c r="AV8714" s="563"/>
      <c r="AW8714" s="563"/>
      <c r="AX8714" s="563"/>
      <c r="AY8714" s="563"/>
      <c r="BI8714" s="563"/>
      <c r="BJ8714" s="563"/>
      <c r="BK8714" s="563"/>
      <c r="BL8714" s="563"/>
      <c r="BM8714" s="563"/>
      <c r="BN8714" s="563"/>
      <c r="BO8714" s="563"/>
      <c r="BP8714" s="563"/>
      <c r="BQ8714" s="563"/>
      <c r="BR8714" s="563"/>
      <c r="BS8714" s="563"/>
      <c r="BT8714" s="563"/>
      <c r="BU8714" s="563"/>
      <c r="BV8714" s="563"/>
      <c r="BW8714" s="563"/>
      <c r="BX8714" s="563"/>
      <c r="BY8714" s="563"/>
      <c r="BZ8714" s="563"/>
    </row>
    <row r="8715" spans="1:80" s="83" customFormat="1" ht="13.5" customHeight="1" x14ac:dyDescent="0.2">
      <c r="A8715" s="183"/>
      <c r="B8715" s="563"/>
      <c r="C8715" s="563"/>
      <c r="D8715" s="703"/>
      <c r="E8715" s="564"/>
      <c r="F8715" s="572"/>
      <c r="G8715" s="563"/>
      <c r="H8715" s="563"/>
      <c r="I8715" s="563"/>
      <c r="J8715" s="563"/>
      <c r="K8715" s="563"/>
      <c r="L8715" s="563"/>
      <c r="M8715" s="663">
        <v>36112</v>
      </c>
      <c r="N8715" s="532">
        <v>3259</v>
      </c>
      <c r="O8715" s="582">
        <v>54.319442361111115</v>
      </c>
      <c r="P8715" s="586"/>
      <c r="Q8715" s="586"/>
      <c r="R8715" s="586"/>
      <c r="S8715" s="586"/>
      <c r="T8715" s="586"/>
      <c r="U8715" s="586"/>
      <c r="V8715" s="586"/>
      <c r="W8715" s="586"/>
      <c r="X8715" s="586"/>
      <c r="Y8715" s="586"/>
      <c r="Z8715" s="586"/>
      <c r="AA8715" s="823"/>
      <c r="AB8715" s="824"/>
      <c r="AC8715" s="840">
        <v>7.2999999999999999E-5</v>
      </c>
      <c r="AD8715" s="532">
        <v>246.66</v>
      </c>
      <c r="AE8715" s="642" t="s">
        <v>29</v>
      </c>
      <c r="AF8715" s="837"/>
      <c r="AG8715" s="642" t="s">
        <v>29</v>
      </c>
      <c r="AH8715" s="565"/>
      <c r="AI8715" s="563"/>
      <c r="AJ8715" s="563"/>
      <c r="AK8715" s="563"/>
      <c r="AU8715" s="563"/>
      <c r="AV8715" s="563"/>
      <c r="AW8715" s="563"/>
      <c r="AX8715" s="563"/>
      <c r="AY8715" s="563"/>
      <c r="BI8715" s="563"/>
      <c r="BJ8715" s="563"/>
      <c r="BK8715" s="563"/>
      <c r="BL8715" s="563"/>
      <c r="BM8715" s="563"/>
      <c r="BN8715" s="563"/>
      <c r="BO8715" s="563"/>
      <c r="BP8715" s="563"/>
      <c r="BQ8715" s="563"/>
      <c r="BR8715" s="563"/>
      <c r="BS8715" s="563"/>
      <c r="BT8715" s="563"/>
      <c r="BU8715" s="563"/>
      <c r="BV8715" s="563"/>
      <c r="BW8715" s="563"/>
      <c r="BX8715" s="563"/>
      <c r="BY8715" s="563"/>
      <c r="BZ8715" s="563"/>
    </row>
    <row r="8716" spans="1:80" s="83" customFormat="1" ht="13.5" customHeight="1" x14ac:dyDescent="0.2">
      <c r="A8716" s="183"/>
      <c r="B8716" s="563"/>
      <c r="C8716" s="563"/>
      <c r="D8716" s="703"/>
      <c r="E8716" s="564"/>
      <c r="F8716" s="572"/>
      <c r="G8716" s="563"/>
      <c r="H8716" s="563"/>
      <c r="I8716" s="563"/>
      <c r="J8716" s="563"/>
      <c r="K8716" s="563"/>
      <c r="L8716" s="563"/>
      <c r="M8716" s="663">
        <v>36115</v>
      </c>
      <c r="N8716" s="532">
        <v>3041</v>
      </c>
      <c r="O8716" s="582">
        <v>58.177787152777775</v>
      </c>
      <c r="P8716" s="586"/>
      <c r="Q8716" s="586"/>
      <c r="R8716" s="586"/>
      <c r="S8716" s="586"/>
      <c r="T8716" s="586"/>
      <c r="U8716" s="586"/>
      <c r="V8716" s="586"/>
      <c r="W8716" s="586"/>
      <c r="X8716" s="586"/>
      <c r="Y8716" s="586"/>
      <c r="Z8716" s="586"/>
      <c r="AA8716" s="823"/>
      <c r="AB8716" s="824"/>
      <c r="AC8716" s="840">
        <v>7.6000000000000004E-5</v>
      </c>
      <c r="AD8716" s="532">
        <v>246.66</v>
      </c>
      <c r="AE8716" s="642" t="s">
        <v>29</v>
      </c>
      <c r="AF8716" s="837"/>
      <c r="AG8716" s="642" t="s">
        <v>29</v>
      </c>
      <c r="AH8716" s="565"/>
      <c r="AI8716" s="563"/>
      <c r="AJ8716" s="563"/>
      <c r="AK8716" s="563"/>
      <c r="AU8716" s="563"/>
      <c r="AV8716" s="563"/>
      <c r="AW8716" s="844"/>
      <c r="AX8716" s="844"/>
      <c r="AY8716" s="844"/>
      <c r="AZ8716" s="844"/>
      <c r="BA8716" s="844"/>
      <c r="BB8716" s="844"/>
      <c r="BC8716" s="844"/>
      <c r="BD8716" s="844"/>
      <c r="BE8716" s="844"/>
      <c r="BF8716" s="844"/>
      <c r="BG8716" s="844"/>
      <c r="BH8716" s="844"/>
      <c r="BI8716" s="563"/>
      <c r="BJ8716" s="563"/>
      <c r="BK8716" s="563"/>
      <c r="BL8716" s="563"/>
      <c r="BM8716" s="563"/>
      <c r="BN8716" s="563"/>
      <c r="BO8716" s="563"/>
      <c r="BP8716" s="563"/>
      <c r="BQ8716" s="563"/>
      <c r="BR8716" s="563"/>
      <c r="BS8716" s="563"/>
      <c r="BT8716" s="563"/>
      <c r="BU8716" s="563"/>
      <c r="BV8716" s="563"/>
      <c r="BW8716" s="563"/>
      <c r="BX8716" s="563"/>
      <c r="BY8716" s="563"/>
      <c r="BZ8716" s="563"/>
    </row>
    <row r="8717" spans="1:80" ht="15" x14ac:dyDescent="0.25">
      <c r="A8717" s="9" t="s">
        <v>946</v>
      </c>
      <c r="B8717" s="639" t="s">
        <v>965</v>
      </c>
      <c r="C8717" s="639" t="s">
        <v>953</v>
      </c>
      <c r="D8717" s="4">
        <f>VLOOKUP(E8717,'Quality Code'!$D$4:$E$24,2,TRUE)*VLOOKUP(MROUND(F8717,10),'Quality Code'!$D$28:$E$69,2,TRUE)*VLOOKUP(COUNTA(CB8717:CB8719),'Quality Code'!$D$73:$E$93,2,TRUE)</f>
        <v>0.27500000000000002</v>
      </c>
      <c r="E8717" s="14">
        <v>0.55000000000000004</v>
      </c>
      <c r="F8717" s="18">
        <v>8</v>
      </c>
      <c r="G8717" s="12"/>
      <c r="H8717" s="639" t="s">
        <v>690</v>
      </c>
      <c r="I8717" s="640"/>
      <c r="J8717" s="640"/>
      <c r="K8717" s="640"/>
      <c r="L8717" s="640"/>
      <c r="M8717" s="640"/>
      <c r="N8717" s="579"/>
      <c r="O8717" s="579"/>
      <c r="P8717" s="640"/>
      <c r="Q8717" s="640"/>
      <c r="R8717" s="640"/>
      <c r="S8717" s="640"/>
      <c r="T8717" s="640"/>
      <c r="U8717" s="640"/>
      <c r="V8717" s="640"/>
      <c r="W8717" s="640"/>
      <c r="X8717" s="640"/>
      <c r="Y8717" s="640"/>
      <c r="Z8717" s="579"/>
      <c r="AA8717" s="81"/>
      <c r="AB8717" s="81"/>
      <c r="AC8717" s="116"/>
      <c r="AD8717" s="580"/>
      <c r="AE8717" s="580"/>
      <c r="AF8717" s="580"/>
      <c r="AG8717" s="580"/>
      <c r="AH8717" s="330"/>
      <c r="AI8717" s="123"/>
      <c r="AJ8717" s="123"/>
      <c r="AK8717" s="143"/>
      <c r="AL8717" s="17"/>
      <c r="AM8717" s="17"/>
      <c r="AN8717" s="17"/>
      <c r="AO8717" s="17"/>
      <c r="AP8717" s="17"/>
      <c r="AQ8717" s="17"/>
      <c r="AR8717" s="17"/>
      <c r="AS8717" s="17"/>
      <c r="AT8717" s="17"/>
      <c r="AU8717" s="18"/>
      <c r="AV8717" s="147">
        <v>1</v>
      </c>
      <c r="AW8717" s="147">
        <v>1</v>
      </c>
      <c r="AX8717" s="147">
        <v>1</v>
      </c>
      <c r="AY8717" s="147">
        <v>1</v>
      </c>
      <c r="AZ8717" s="17">
        <v>0.99994541450167851</v>
      </c>
      <c r="BA8717" s="17">
        <v>0.99906711201274401</v>
      </c>
      <c r="BB8717" s="17">
        <v>0.96873281696139013</v>
      </c>
      <c r="BC8717" s="17">
        <v>0.80822563509882328</v>
      </c>
      <c r="BD8717" s="17">
        <v>0.55167040304416937</v>
      </c>
      <c r="BE8717" s="17">
        <v>0.3799330951490012</v>
      </c>
      <c r="BF8717" s="17">
        <v>0.27698725552561998</v>
      </c>
      <c r="BG8717" s="17">
        <v>0.10926718316334177</v>
      </c>
      <c r="BH8717" s="17">
        <v>8.1482804292201533E-3</v>
      </c>
      <c r="BI8717" s="4"/>
      <c r="BJ8717" s="639"/>
      <c r="BK8717" s="639" t="s">
        <v>961</v>
      </c>
      <c r="BL8717" s="12"/>
      <c r="BM8717" s="12"/>
      <c r="BN8717" s="12"/>
      <c r="BO8717" s="12"/>
      <c r="BP8717" s="12"/>
      <c r="BQ8717" s="12"/>
      <c r="BR8717" s="12"/>
      <c r="BS8717" s="12"/>
      <c r="BT8717" s="12"/>
      <c r="BU8717" s="639"/>
      <c r="BV8717" s="639"/>
      <c r="BW8717" s="639"/>
      <c r="BX8717" s="639"/>
      <c r="BY8717" s="639"/>
      <c r="BZ8717" s="639"/>
      <c r="CA8717" s="381"/>
      <c r="CB8717" s="9" t="s">
        <v>962</v>
      </c>
    </row>
    <row r="8718" spans="1:80" s="83" customFormat="1" ht="13.5" customHeight="1" x14ac:dyDescent="0.2">
      <c r="A8718" s="183"/>
      <c r="B8718" s="563"/>
      <c r="C8718" s="563"/>
      <c r="D8718" s="703"/>
      <c r="E8718" s="564"/>
      <c r="F8718" s="572"/>
      <c r="G8718" s="563"/>
      <c r="H8718" s="563"/>
      <c r="I8718" s="563"/>
      <c r="J8718" s="563"/>
      <c r="K8718" s="563"/>
      <c r="L8718" s="78"/>
      <c r="M8718" s="663">
        <v>37566.5</v>
      </c>
      <c r="N8718" s="532">
        <v>1388</v>
      </c>
      <c r="O8718" s="831">
        <v>11.330590277777778</v>
      </c>
      <c r="P8718" s="586"/>
      <c r="Q8718" s="184"/>
      <c r="R8718" s="184"/>
      <c r="S8718" s="184"/>
      <c r="T8718" s="184"/>
      <c r="U8718" s="184"/>
      <c r="V8718" s="184"/>
      <c r="W8718" s="184"/>
      <c r="X8718" s="184"/>
      <c r="Y8718" s="184"/>
      <c r="Z8718" s="184"/>
      <c r="AA8718" s="184"/>
      <c r="AC8718" s="642" t="s">
        <v>29</v>
      </c>
      <c r="AD8718" s="532">
        <v>131</v>
      </c>
      <c r="AE8718" s="642" t="s">
        <v>29</v>
      </c>
      <c r="AF8718" s="532"/>
      <c r="AG8718" s="642" t="s">
        <v>29</v>
      </c>
      <c r="AH8718" s="565"/>
      <c r="AI8718" s="563"/>
      <c r="AJ8718" s="563"/>
      <c r="AK8718" s="563"/>
      <c r="AU8718" s="563"/>
      <c r="BI8718" s="563"/>
      <c r="BJ8718" s="563"/>
      <c r="BK8718" s="563"/>
      <c r="BL8718" s="563"/>
      <c r="BM8718" s="563"/>
      <c r="BN8718" s="563"/>
      <c r="BO8718" s="563"/>
      <c r="BP8718" s="563"/>
      <c r="BQ8718" s="563"/>
      <c r="BR8718" s="563"/>
      <c r="BS8718" s="563"/>
      <c r="BT8718" s="563"/>
      <c r="BU8718" s="563"/>
      <c r="BV8718" s="563"/>
      <c r="BW8718" s="563"/>
      <c r="BX8718" s="563"/>
      <c r="BY8718" s="563"/>
      <c r="BZ8718" s="563"/>
      <c r="CB8718" s="634" t="s">
        <v>964</v>
      </c>
    </row>
    <row r="8719" spans="1:80" s="83" customFormat="1" ht="13.5" customHeight="1" x14ac:dyDescent="0.2">
      <c r="A8719" s="183"/>
      <c r="B8719" s="563"/>
      <c r="C8719" s="563"/>
      <c r="D8719" s="703"/>
      <c r="E8719" s="564"/>
      <c r="F8719" s="572"/>
      <c r="G8719" s="563"/>
      <c r="H8719" s="563"/>
      <c r="I8719" s="563"/>
      <c r="J8719" s="563"/>
      <c r="K8719" s="563"/>
      <c r="L8719" s="78"/>
      <c r="M8719" s="663">
        <v>37574.5</v>
      </c>
      <c r="N8719" s="532">
        <v>2113</v>
      </c>
      <c r="O8719" s="831">
        <v>19.888802083333335</v>
      </c>
      <c r="P8719" s="586"/>
      <c r="Q8719" s="184"/>
      <c r="R8719" s="184"/>
      <c r="S8719" s="184"/>
      <c r="T8719" s="184"/>
      <c r="U8719" s="184"/>
      <c r="V8719" s="184"/>
      <c r="W8719" s="184"/>
      <c r="X8719" s="184"/>
      <c r="Y8719" s="184"/>
      <c r="Z8719" s="184"/>
      <c r="AA8719" s="184"/>
      <c r="AC8719" s="642" t="s">
        <v>29</v>
      </c>
      <c r="AD8719" s="532">
        <v>131</v>
      </c>
      <c r="AE8719" s="642" t="s">
        <v>29</v>
      </c>
      <c r="AF8719" s="532"/>
      <c r="AG8719" s="642" t="s">
        <v>29</v>
      </c>
      <c r="AH8719" s="565"/>
      <c r="AI8719" s="563"/>
      <c r="AJ8719" s="563"/>
      <c r="AK8719" s="563"/>
      <c r="AU8719" s="563"/>
      <c r="AV8719" s="563"/>
      <c r="AW8719" s="563"/>
      <c r="AX8719" s="563"/>
      <c r="AY8719" s="563"/>
      <c r="BI8719" s="563"/>
      <c r="BJ8719" s="563"/>
      <c r="BK8719" s="563"/>
      <c r="BL8719" s="563"/>
      <c r="BM8719" s="563"/>
      <c r="BN8719" s="563"/>
      <c r="BO8719" s="563"/>
      <c r="BP8719" s="563"/>
      <c r="BQ8719" s="563"/>
      <c r="BR8719" s="563"/>
      <c r="BS8719" s="563"/>
      <c r="BT8719" s="563"/>
      <c r="BU8719" s="563"/>
      <c r="BV8719" s="563"/>
      <c r="BW8719" s="563"/>
      <c r="BX8719" s="563"/>
      <c r="BY8719" s="563"/>
      <c r="BZ8719" s="563"/>
      <c r="CB8719" s="865" t="s">
        <v>966</v>
      </c>
    </row>
    <row r="8720" spans="1:80" s="83" customFormat="1" x14ac:dyDescent="0.2">
      <c r="A8720" s="183"/>
      <c r="B8720" s="563"/>
      <c r="C8720" s="563"/>
      <c r="D8720" s="703"/>
      <c r="E8720" s="564"/>
      <c r="F8720" s="572"/>
      <c r="G8720" s="563"/>
      <c r="H8720" s="563"/>
      <c r="I8720" s="563"/>
      <c r="J8720" s="563"/>
      <c r="K8720" s="563"/>
      <c r="L8720" s="78"/>
      <c r="M8720" s="663">
        <v>37580.5</v>
      </c>
      <c r="N8720" s="532">
        <v>1955</v>
      </c>
      <c r="O8720" s="831">
        <v>16.473553240740738</v>
      </c>
      <c r="P8720" s="586"/>
      <c r="Q8720" s="184"/>
      <c r="R8720" s="184"/>
      <c r="S8720" s="184"/>
      <c r="T8720" s="184"/>
      <c r="U8720" s="184"/>
      <c r="V8720" s="184"/>
      <c r="W8720" s="184"/>
      <c r="X8720" s="184"/>
      <c r="Y8720" s="184"/>
      <c r="Z8720" s="184"/>
      <c r="AA8720" s="184"/>
      <c r="AC8720" s="642" t="s">
        <v>29</v>
      </c>
      <c r="AD8720" s="532">
        <v>131</v>
      </c>
      <c r="AE8720" s="642" t="s">
        <v>29</v>
      </c>
      <c r="AF8720" s="532"/>
      <c r="AG8720" s="642" t="s">
        <v>29</v>
      </c>
      <c r="AH8720" s="565"/>
      <c r="AI8720" s="563"/>
      <c r="AJ8720" s="563"/>
      <c r="AK8720" s="563"/>
      <c r="AU8720" s="563"/>
      <c r="AV8720" s="563"/>
      <c r="AW8720" s="563"/>
      <c r="AX8720" s="563"/>
      <c r="AY8720" s="563"/>
      <c r="BI8720" s="563"/>
      <c r="BJ8720" s="563"/>
      <c r="BK8720" s="563"/>
      <c r="BL8720" s="563"/>
      <c r="BM8720" s="563"/>
      <c r="BN8720" s="563"/>
      <c r="BO8720" s="563"/>
      <c r="BP8720" s="563"/>
      <c r="BQ8720" s="563"/>
      <c r="BR8720" s="563"/>
      <c r="BS8720" s="563"/>
      <c r="BT8720" s="563"/>
      <c r="BU8720" s="563"/>
      <c r="BV8720" s="563"/>
      <c r="BW8720" s="563"/>
      <c r="BX8720" s="563"/>
      <c r="BY8720" s="563"/>
      <c r="BZ8720" s="563"/>
    </row>
    <row r="8721" spans="1:80" s="83" customFormat="1" x14ac:dyDescent="0.2">
      <c r="A8721" s="183"/>
      <c r="B8721" s="563"/>
      <c r="C8721" s="563"/>
      <c r="D8721" s="703"/>
      <c r="E8721" s="564"/>
      <c r="F8721" s="572"/>
      <c r="G8721" s="563"/>
      <c r="H8721" s="563"/>
      <c r="I8721" s="563"/>
      <c r="J8721" s="563"/>
      <c r="K8721" s="563"/>
      <c r="L8721" s="563"/>
      <c r="M8721" s="663">
        <v>38002.5</v>
      </c>
      <c r="N8721" s="532">
        <v>1629</v>
      </c>
      <c r="O8721" s="831">
        <v>19.205752314814816</v>
      </c>
      <c r="P8721" s="566"/>
      <c r="Q8721" s="566"/>
      <c r="R8721" s="566"/>
      <c r="S8721" s="566"/>
      <c r="T8721" s="566"/>
      <c r="U8721" s="566"/>
      <c r="V8721" s="566"/>
      <c r="W8721" s="566"/>
      <c r="X8721" s="566"/>
      <c r="Y8721" s="566"/>
      <c r="Z8721" s="184"/>
      <c r="AA8721" s="184"/>
      <c r="AC8721" s="839">
        <v>9.1799999999999998E-4</v>
      </c>
      <c r="AD8721" s="532">
        <v>131</v>
      </c>
      <c r="AE8721" s="532">
        <v>7.92</v>
      </c>
      <c r="AF8721" s="837">
        <f t="shared" ref="AF8721:AF8769" si="69">AE8721*AD8721</f>
        <v>1037.52</v>
      </c>
      <c r="AG8721" s="532">
        <v>1.39</v>
      </c>
      <c r="AH8721" s="565"/>
      <c r="AI8721" s="563"/>
      <c r="AJ8721" s="563"/>
      <c r="AK8721" s="563"/>
      <c r="AU8721" s="563"/>
      <c r="AV8721" s="563"/>
      <c r="AW8721" s="563"/>
      <c r="AX8721" s="563"/>
      <c r="AY8721" s="563"/>
      <c r="BI8721" s="563"/>
      <c r="BJ8721" s="563"/>
      <c r="BK8721" s="563"/>
      <c r="BL8721" s="563"/>
      <c r="BM8721" s="563"/>
      <c r="BN8721" s="563"/>
      <c r="BO8721" s="563"/>
      <c r="BP8721" s="563"/>
      <c r="BQ8721" s="563"/>
      <c r="BR8721" s="563"/>
      <c r="BS8721" s="563"/>
      <c r="BT8721" s="563"/>
      <c r="BU8721" s="563"/>
      <c r="BV8721" s="563"/>
      <c r="BW8721" s="563"/>
      <c r="BX8721" s="563"/>
      <c r="BY8721" s="563"/>
      <c r="BZ8721" s="563"/>
    </row>
    <row r="8722" spans="1:80" x14ac:dyDescent="0.2">
      <c r="A8722" s="183"/>
      <c r="D8722" s="702"/>
      <c r="E8722" s="79"/>
      <c r="F8722" s="573"/>
      <c r="L8722" s="563"/>
      <c r="M8722" s="663">
        <v>38005.5</v>
      </c>
      <c r="N8722" s="507">
        <v>2220</v>
      </c>
      <c r="O8722" s="832">
        <v>16.99588541666667</v>
      </c>
      <c r="P8722" s="567"/>
      <c r="Q8722" s="567"/>
      <c r="R8722" s="567"/>
      <c r="S8722" s="567"/>
      <c r="T8722" s="567"/>
      <c r="U8722" s="567"/>
      <c r="V8722" s="567"/>
      <c r="W8722" s="567"/>
      <c r="X8722" s="567"/>
      <c r="Y8722" s="567"/>
      <c r="Z8722" s="184"/>
      <c r="AA8722" s="184"/>
      <c r="AC8722" s="839">
        <v>1.0460000000000001E-3</v>
      </c>
      <c r="AD8722" s="532">
        <v>131</v>
      </c>
      <c r="AE8722" s="507">
        <v>9.39</v>
      </c>
      <c r="AF8722" s="837">
        <f t="shared" si="69"/>
        <v>1230.0900000000001</v>
      </c>
      <c r="AG8722" s="507">
        <v>1.43</v>
      </c>
    </row>
    <row r="8723" spans="1:80" x14ac:dyDescent="0.2">
      <c r="A8723" s="183"/>
      <c r="D8723" s="702"/>
      <c r="E8723" s="79"/>
      <c r="F8723" s="573"/>
      <c r="L8723" s="563"/>
      <c r="M8723" s="663">
        <v>38008.5</v>
      </c>
      <c r="N8723" s="507">
        <v>1796</v>
      </c>
      <c r="O8723" s="832">
        <v>10.928796296296298</v>
      </c>
      <c r="P8723" s="567"/>
      <c r="Q8723" s="567"/>
      <c r="R8723" s="567"/>
      <c r="S8723" s="567"/>
      <c r="T8723" s="567"/>
      <c r="U8723" s="567"/>
      <c r="V8723" s="567"/>
      <c r="W8723" s="567"/>
      <c r="X8723" s="567"/>
      <c r="Y8723" s="567"/>
      <c r="Z8723" s="184"/>
      <c r="AA8723" s="184"/>
      <c r="AC8723" s="839">
        <v>8.2100000000000012E-4</v>
      </c>
      <c r="AD8723" s="532">
        <v>131</v>
      </c>
      <c r="AE8723" s="507">
        <v>8.39</v>
      </c>
      <c r="AF8723" s="837">
        <f t="shared" si="69"/>
        <v>1099.0900000000001</v>
      </c>
      <c r="AG8723" s="507">
        <v>1.37</v>
      </c>
    </row>
    <row r="8724" spans="1:80" x14ac:dyDescent="0.2">
      <c r="A8724" s="183"/>
      <c r="D8724" s="702"/>
      <c r="E8724" s="79"/>
      <c r="F8724" s="573"/>
      <c r="L8724" s="563"/>
      <c r="M8724" s="663">
        <v>38012.5</v>
      </c>
      <c r="N8724" s="507">
        <v>1278</v>
      </c>
      <c r="O8724" s="832">
        <v>5.9867303240740739</v>
      </c>
      <c r="P8724" s="567"/>
      <c r="Q8724" s="567"/>
      <c r="R8724" s="567"/>
      <c r="S8724" s="567"/>
      <c r="T8724" s="567"/>
      <c r="U8724" s="567"/>
      <c r="V8724" s="567"/>
      <c r="W8724" s="567"/>
      <c r="X8724" s="567"/>
      <c r="Y8724" s="567"/>
      <c r="Z8724" s="184"/>
      <c r="AA8724" s="184"/>
      <c r="AC8724" s="839">
        <v>5.7400000000000007E-4</v>
      </c>
      <c r="AD8724" s="532">
        <v>131</v>
      </c>
      <c r="AE8724" s="507">
        <v>7.52</v>
      </c>
      <c r="AF8724" s="837">
        <f t="shared" si="69"/>
        <v>985.11999999999989</v>
      </c>
      <c r="AG8724" s="507">
        <v>1.17</v>
      </c>
    </row>
    <row r="8725" spans="1:80" x14ac:dyDescent="0.2">
      <c r="A8725" s="183"/>
      <c r="D8725" s="702"/>
      <c r="E8725" s="79"/>
      <c r="F8725" s="573"/>
      <c r="L8725" s="563"/>
      <c r="M8725" s="663">
        <v>38015.5</v>
      </c>
      <c r="N8725" s="507">
        <v>937</v>
      </c>
      <c r="O8725" s="832">
        <v>5.0224247685185182</v>
      </c>
      <c r="P8725" s="568"/>
      <c r="Q8725" s="568"/>
      <c r="R8725" s="568"/>
      <c r="S8725" s="568"/>
      <c r="T8725" s="568"/>
      <c r="U8725" s="568"/>
      <c r="V8725" s="568"/>
      <c r="W8725" s="568"/>
      <c r="X8725" s="568"/>
      <c r="Y8725" s="568"/>
      <c r="Z8725" s="184"/>
      <c r="AA8725" s="184"/>
      <c r="AC8725" s="647" t="s">
        <v>29</v>
      </c>
      <c r="AD8725" s="532">
        <v>131</v>
      </c>
      <c r="AE8725" s="507">
        <v>5.78</v>
      </c>
      <c r="AF8725" s="837">
        <f t="shared" si="69"/>
        <v>757.18000000000006</v>
      </c>
      <c r="AG8725" s="507">
        <v>1.0900000000000001</v>
      </c>
    </row>
    <row r="8726" spans="1:80" ht="15" x14ac:dyDescent="0.25">
      <c r="A8726" s="9" t="s">
        <v>946</v>
      </c>
      <c r="B8726" s="639" t="s">
        <v>965</v>
      </c>
      <c r="C8726" s="639" t="s">
        <v>953</v>
      </c>
      <c r="D8726" s="4">
        <f>VLOOKUP(E8726,'Quality Code'!$D$4:$E$24,2,TRUE)*VLOOKUP(MROUND(F8726,10),'Quality Code'!$D$28:$E$69,2,TRUE)*VLOOKUP(COUNTA(CB8726:CB8728),'Quality Code'!$D$73:$E$93,2,TRUE)</f>
        <v>0.27500000000000002</v>
      </c>
      <c r="E8726" s="14">
        <v>0.55000000000000004</v>
      </c>
      <c r="F8726" s="18">
        <v>5</v>
      </c>
      <c r="G8726" s="12"/>
      <c r="H8726" s="639" t="s">
        <v>944</v>
      </c>
      <c r="I8726" s="640"/>
      <c r="J8726" s="640"/>
      <c r="K8726" s="640"/>
      <c r="L8726" s="640"/>
      <c r="M8726" s="640"/>
      <c r="N8726" s="579"/>
      <c r="O8726" s="579"/>
      <c r="P8726" s="640"/>
      <c r="Q8726" s="640"/>
      <c r="R8726" s="640"/>
      <c r="S8726" s="640"/>
      <c r="T8726" s="640"/>
      <c r="U8726" s="640"/>
      <c r="V8726" s="640"/>
      <c r="W8726" s="640"/>
      <c r="X8726" s="640"/>
      <c r="Y8726" s="640"/>
      <c r="Z8726" s="579"/>
      <c r="AA8726" s="81"/>
      <c r="AB8726" s="81"/>
      <c r="AC8726" s="116"/>
      <c r="AD8726" s="580"/>
      <c r="AE8726" s="580"/>
      <c r="AF8726" s="580"/>
      <c r="AG8726" s="580"/>
      <c r="AH8726" s="330"/>
      <c r="AI8726" s="123"/>
      <c r="AJ8726" s="123"/>
      <c r="AK8726" s="143"/>
      <c r="AL8726" s="17"/>
      <c r="AM8726" s="17"/>
      <c r="AN8726" s="17"/>
      <c r="AO8726" s="17"/>
      <c r="AP8726" s="17"/>
      <c r="AQ8726" s="17"/>
      <c r="AR8726" s="17"/>
      <c r="AS8726" s="17"/>
      <c r="AT8726" s="17"/>
      <c r="AU8726" s="18"/>
      <c r="AV8726" s="147">
        <v>1</v>
      </c>
      <c r="AW8726" s="147">
        <v>1</v>
      </c>
      <c r="AX8726" s="147">
        <v>1</v>
      </c>
      <c r="AY8726" s="147">
        <v>1</v>
      </c>
      <c r="AZ8726" s="17">
        <v>0.99994541450167851</v>
      </c>
      <c r="BA8726" s="17">
        <v>0.99906711201274401</v>
      </c>
      <c r="BB8726" s="17">
        <v>0.96873281696139013</v>
      </c>
      <c r="BC8726" s="17">
        <v>0.80822563509882328</v>
      </c>
      <c r="BD8726" s="17">
        <v>0.55167040304416937</v>
      </c>
      <c r="BE8726" s="17">
        <v>0.3799330951490012</v>
      </c>
      <c r="BF8726" s="17">
        <v>0.27698725552561998</v>
      </c>
      <c r="BG8726" s="17">
        <v>0.10926718316334177</v>
      </c>
      <c r="BH8726" s="17">
        <v>8.1482804292201533E-3</v>
      </c>
      <c r="BI8726" s="4"/>
      <c r="BJ8726" s="639"/>
      <c r="BK8726" s="639" t="s">
        <v>961</v>
      </c>
      <c r="BL8726" s="12"/>
      <c r="BM8726" s="12"/>
      <c r="BN8726" s="12"/>
      <c r="BO8726" s="12"/>
      <c r="BP8726" s="12"/>
      <c r="BQ8726" s="12"/>
      <c r="BR8726" s="12"/>
      <c r="BS8726" s="12"/>
      <c r="BT8726" s="12"/>
      <c r="BU8726" s="639"/>
      <c r="BV8726" s="639"/>
      <c r="BW8726" s="639"/>
      <c r="BX8726" s="639"/>
      <c r="BY8726" s="639"/>
      <c r="BZ8726" s="639"/>
      <c r="CA8726" s="381"/>
      <c r="CB8726" s="9" t="s">
        <v>962</v>
      </c>
    </row>
    <row r="8727" spans="1:80" s="83" customFormat="1" x14ac:dyDescent="0.2">
      <c r="A8727" s="183"/>
      <c r="B8727" s="563"/>
      <c r="C8727" s="563"/>
      <c r="D8727" s="703"/>
      <c r="E8727" s="564"/>
      <c r="F8727" s="572"/>
      <c r="G8727" s="563"/>
      <c r="H8727" s="563"/>
      <c r="I8727" s="563"/>
      <c r="J8727" s="563"/>
      <c r="K8727" s="563"/>
      <c r="L8727" s="563"/>
      <c r="M8727" s="663">
        <v>38002.5</v>
      </c>
      <c r="N8727" s="532">
        <v>1629</v>
      </c>
      <c r="O8727" s="831">
        <v>9.1832613479915786</v>
      </c>
      <c r="P8727" s="584"/>
      <c r="Q8727" s="833"/>
      <c r="R8727" s="833">
        <v>4.7490537220027544E-2</v>
      </c>
      <c r="S8727" s="833">
        <v>0.10903108971193784</v>
      </c>
      <c r="T8727" s="833">
        <v>0.18242751961190254</v>
      </c>
      <c r="U8727" s="833">
        <v>0.11284473548329786</v>
      </c>
      <c r="V8727" s="833">
        <v>7.64562464522347E-2</v>
      </c>
      <c r="W8727" s="833">
        <v>0.20808248314602146</v>
      </c>
      <c r="X8727" s="833">
        <v>0.26028863966677052</v>
      </c>
      <c r="Y8727" s="833">
        <v>3.3175135098648294E-3</v>
      </c>
      <c r="Z8727" s="823"/>
      <c r="AA8727" s="586"/>
      <c r="AC8727" s="294">
        <v>9.1799999999999998E-4</v>
      </c>
      <c r="AD8727" s="532">
        <v>131</v>
      </c>
      <c r="AE8727" s="532">
        <v>7.92</v>
      </c>
      <c r="AF8727" s="837">
        <f t="shared" si="69"/>
        <v>1037.52</v>
      </c>
      <c r="AG8727" s="532">
        <v>1.39</v>
      </c>
      <c r="AH8727" s="565"/>
      <c r="AI8727" s="563"/>
      <c r="AJ8727" s="563"/>
      <c r="AK8727" s="563"/>
      <c r="AU8727" s="563"/>
      <c r="AV8727" s="563"/>
      <c r="AW8727" s="563"/>
      <c r="AX8727" s="563"/>
      <c r="AY8727" s="563"/>
      <c r="BI8727" s="563"/>
      <c r="BJ8727" s="563"/>
      <c r="BK8727" s="563"/>
      <c r="BL8727" s="563"/>
      <c r="BM8727" s="563"/>
      <c r="BN8727" s="563"/>
      <c r="BO8727" s="563"/>
      <c r="BP8727" s="563"/>
      <c r="BQ8727" s="563"/>
      <c r="BR8727" s="563"/>
      <c r="BS8727" s="563"/>
      <c r="BT8727" s="563"/>
      <c r="BU8727" s="563"/>
      <c r="BV8727" s="563"/>
      <c r="BW8727" s="563"/>
      <c r="BX8727" s="563"/>
      <c r="BY8727" s="563"/>
      <c r="BZ8727" s="563"/>
      <c r="CB8727" s="634" t="s">
        <v>964</v>
      </c>
    </row>
    <row r="8728" spans="1:80" x14ac:dyDescent="0.2">
      <c r="A8728" s="183"/>
      <c r="D8728" s="702"/>
      <c r="E8728" s="79"/>
      <c r="F8728" s="573"/>
      <c r="L8728" s="563"/>
      <c r="M8728" s="663">
        <v>38005.5</v>
      </c>
      <c r="N8728" s="507">
        <v>2220</v>
      </c>
      <c r="O8728" s="832">
        <v>8.3107824344023324</v>
      </c>
      <c r="P8728" s="584"/>
      <c r="Q8728" s="833"/>
      <c r="R8728" s="833">
        <v>4.4043931050112971E-2</v>
      </c>
      <c r="S8728" s="833">
        <v>0.10918117051127112</v>
      </c>
      <c r="T8728" s="833">
        <v>0.19852131970667408</v>
      </c>
      <c r="U8728" s="833">
        <v>0.12617556895769344</v>
      </c>
      <c r="V8728" s="833">
        <v>7.6311041063438056E-2</v>
      </c>
      <c r="W8728" s="833">
        <v>0.21382382618785012</v>
      </c>
      <c r="X8728" s="833">
        <v>0.22894099822048353</v>
      </c>
      <c r="Y8728" s="833">
        <v>2.97807187279567E-3</v>
      </c>
      <c r="Z8728" s="586"/>
      <c r="AA8728" s="586"/>
      <c r="AC8728" s="294">
        <v>1.0460000000000001E-3</v>
      </c>
      <c r="AD8728" s="532">
        <v>131</v>
      </c>
      <c r="AE8728" s="507">
        <v>9.39</v>
      </c>
      <c r="AF8728" s="837">
        <f t="shared" si="69"/>
        <v>1230.0900000000001</v>
      </c>
      <c r="AG8728" s="507">
        <v>1.43</v>
      </c>
      <c r="CB8728" s="866" t="s">
        <v>966</v>
      </c>
    </row>
    <row r="8729" spans="1:80" x14ac:dyDescent="0.2">
      <c r="A8729" s="183"/>
      <c r="D8729" s="702"/>
      <c r="E8729" s="79"/>
      <c r="F8729" s="573"/>
      <c r="L8729" s="563"/>
      <c r="M8729" s="663">
        <v>38008.5</v>
      </c>
      <c r="N8729" s="507">
        <v>1796</v>
      </c>
      <c r="O8729" s="832">
        <v>6.5892401299805652</v>
      </c>
      <c r="P8729" s="584"/>
      <c r="Q8729" s="833"/>
      <c r="R8729" s="833">
        <v>2.653795189097297E-2</v>
      </c>
      <c r="S8729" s="833">
        <v>6.5957753119848722E-2</v>
      </c>
      <c r="T8729" s="833">
        <v>0.22912355148514513</v>
      </c>
      <c r="U8729" s="833">
        <v>0.1970886428752584</v>
      </c>
      <c r="V8729" s="833">
        <v>0.1385273660464561</v>
      </c>
      <c r="W8729" s="833">
        <v>0.21797504066133735</v>
      </c>
      <c r="X8729" s="833">
        <v>0.12379127701566128</v>
      </c>
      <c r="Y8729" s="833">
        <v>9.9447270493404532E-4</v>
      </c>
      <c r="Z8729" s="586"/>
      <c r="AA8729" s="586"/>
      <c r="AC8729" s="294">
        <v>8.2100000000000012E-4</v>
      </c>
      <c r="AD8729" s="532">
        <v>131</v>
      </c>
      <c r="AE8729" s="507">
        <v>8.39</v>
      </c>
      <c r="AF8729" s="837">
        <f t="shared" si="69"/>
        <v>1099.0900000000001</v>
      </c>
      <c r="AG8729" s="507">
        <v>1.37</v>
      </c>
    </row>
    <row r="8730" spans="1:80" x14ac:dyDescent="0.2">
      <c r="A8730" s="183"/>
      <c r="D8730" s="702"/>
      <c r="E8730" s="79"/>
      <c r="F8730" s="573"/>
      <c r="L8730" s="563"/>
      <c r="M8730" s="663">
        <v>38012.5</v>
      </c>
      <c r="N8730" s="507">
        <v>1278</v>
      </c>
      <c r="O8730" s="832">
        <v>8.0243524801587292</v>
      </c>
      <c r="P8730" s="584"/>
      <c r="Q8730" s="833"/>
      <c r="R8730" s="833">
        <v>8.8879985256417535E-3</v>
      </c>
      <c r="S8730" s="833">
        <v>8.2273143300932203E-2</v>
      </c>
      <c r="T8730" s="833">
        <v>0.24454220977448421</v>
      </c>
      <c r="U8730" s="833">
        <v>0.24067660686123232</v>
      </c>
      <c r="V8730" s="833">
        <v>0.14182505406248991</v>
      </c>
      <c r="W8730" s="833">
        <v>0.19251983802501829</v>
      </c>
      <c r="X8730" s="833">
        <v>8.8635449871331706E-2</v>
      </c>
      <c r="Y8730" s="833">
        <v>6.397008823103823E-4</v>
      </c>
      <c r="Z8730" s="586"/>
      <c r="AA8730" s="586"/>
      <c r="AC8730" s="294">
        <v>5.7400000000000007E-4</v>
      </c>
      <c r="AD8730" s="532">
        <v>131</v>
      </c>
      <c r="AE8730" s="507">
        <v>7.52</v>
      </c>
      <c r="AF8730" s="837">
        <f t="shared" si="69"/>
        <v>985.11999999999989</v>
      </c>
      <c r="AG8730" s="507">
        <v>1.17</v>
      </c>
    </row>
    <row r="8731" spans="1:80" x14ac:dyDescent="0.2">
      <c r="A8731" s="183"/>
      <c r="D8731" s="702"/>
      <c r="F8731" s="571"/>
      <c r="M8731" s="663">
        <v>38236</v>
      </c>
      <c r="N8731" s="507">
        <v>553</v>
      </c>
      <c r="O8731" s="587">
        <v>4.3961260465724739E-2</v>
      </c>
      <c r="P8731" s="584"/>
      <c r="Q8731" s="833"/>
      <c r="R8731" s="833">
        <v>0.13680191</v>
      </c>
      <c r="S8731" s="833">
        <v>9.4824316999999991E-2</v>
      </c>
      <c r="T8731" s="833">
        <v>0.15749813899999998</v>
      </c>
      <c r="U8731" s="833">
        <v>0.188919215</v>
      </c>
      <c r="V8731" s="833">
        <v>0.140385544</v>
      </c>
      <c r="W8731" s="833">
        <v>0.17782329000000002</v>
      </c>
      <c r="X8731" s="833">
        <v>0.10086836910000001</v>
      </c>
      <c r="Y8731" s="833">
        <v>2.7512463400000001E-3</v>
      </c>
      <c r="Z8731" s="586"/>
      <c r="AA8731" s="586"/>
      <c r="AC8731" s="647" t="s">
        <v>29</v>
      </c>
      <c r="AD8731" s="532">
        <v>131</v>
      </c>
      <c r="AE8731" s="507">
        <v>4.74</v>
      </c>
      <c r="AF8731" s="837">
        <f t="shared" si="69"/>
        <v>620.94000000000005</v>
      </c>
      <c r="AG8731" s="507">
        <v>0.63</v>
      </c>
      <c r="AW8731" s="843"/>
      <c r="AX8731" s="843"/>
      <c r="AY8731" s="843"/>
      <c r="AZ8731" s="843"/>
      <c r="BA8731" s="843"/>
      <c r="BB8731" s="843"/>
      <c r="BC8731" s="843"/>
      <c r="BD8731" s="843"/>
      <c r="BE8731" s="843"/>
      <c r="BF8731" s="843"/>
      <c r="BG8731" s="843"/>
      <c r="BH8731" s="843"/>
    </row>
    <row r="8732" spans="1:80" ht="15" x14ac:dyDescent="0.25">
      <c r="A8732" s="9" t="s">
        <v>945</v>
      </c>
      <c r="B8732" s="639" t="s">
        <v>965</v>
      </c>
      <c r="C8732" s="639" t="s">
        <v>954</v>
      </c>
      <c r="D8732" s="4">
        <f>VLOOKUP(E8732,'Quality Code'!$D$4:$E$24,2,TRUE)*VLOOKUP(MROUND(F8732,10),'Quality Code'!$D$28:$E$69,2,TRUE)*VLOOKUP(COUNTA(CB8732:CB8734),'Quality Code'!$D$73:$E$93,2,TRUE)</f>
        <v>0.27500000000000002</v>
      </c>
      <c r="E8732" s="14">
        <v>0.55000000000000004</v>
      </c>
      <c r="F8732" s="18">
        <v>5</v>
      </c>
      <c r="G8732" s="12"/>
      <c r="H8732" s="639" t="s">
        <v>690</v>
      </c>
      <c r="I8732" s="640"/>
      <c r="J8732" s="640"/>
      <c r="K8732" s="640"/>
      <c r="L8732" s="640"/>
      <c r="M8732" s="640"/>
      <c r="N8732" s="579"/>
      <c r="O8732" s="579"/>
      <c r="P8732" s="640"/>
      <c r="Q8732" s="640"/>
      <c r="R8732" s="640"/>
      <c r="S8732" s="640"/>
      <c r="T8732" s="640"/>
      <c r="U8732" s="640"/>
      <c r="V8732" s="640"/>
      <c r="W8732" s="640"/>
      <c r="X8732" s="640"/>
      <c r="Y8732" s="640"/>
      <c r="Z8732" s="579"/>
      <c r="AA8732" s="81"/>
      <c r="AB8732" s="81"/>
      <c r="AC8732" s="116"/>
      <c r="AD8732" s="580"/>
      <c r="AE8732" s="580"/>
      <c r="AF8732" s="580"/>
      <c r="AG8732" s="580"/>
      <c r="AH8732" s="330"/>
      <c r="AI8732" s="123"/>
      <c r="AJ8732" s="123"/>
      <c r="AK8732" s="143"/>
      <c r="AL8732" s="17"/>
      <c r="AM8732" s="17"/>
      <c r="AN8732" s="17"/>
      <c r="AO8732" s="17"/>
      <c r="AP8732" s="17"/>
      <c r="AQ8732" s="17"/>
      <c r="AR8732" s="17"/>
      <c r="AS8732" s="17"/>
      <c r="AT8732" s="17"/>
      <c r="AU8732" s="18"/>
      <c r="AV8732" s="147">
        <v>1</v>
      </c>
      <c r="AW8732" s="147">
        <v>1</v>
      </c>
      <c r="AX8732" s="147">
        <v>1</v>
      </c>
      <c r="AY8732" s="147">
        <v>1</v>
      </c>
      <c r="AZ8732" s="17">
        <v>0.99999251529987765</v>
      </c>
      <c r="BA8732" s="17">
        <v>0.99898783598531216</v>
      </c>
      <c r="BB8732" s="17">
        <v>0.95265483108935134</v>
      </c>
      <c r="BC8732" s="17">
        <v>0.78424135740514078</v>
      </c>
      <c r="BD8732" s="17">
        <v>0.53024110648714817</v>
      </c>
      <c r="BE8732" s="17">
        <v>0.36637161933904527</v>
      </c>
      <c r="BF8732" s="17">
        <v>0.2634375569155446</v>
      </c>
      <c r="BG8732" s="17">
        <v>9.6610044063647343E-2</v>
      </c>
      <c r="BH8732" s="17">
        <v>5.9113243574050456E-3</v>
      </c>
      <c r="BI8732" s="4"/>
      <c r="BJ8732" s="639"/>
      <c r="BK8732" s="639" t="s">
        <v>961</v>
      </c>
      <c r="BL8732" s="12"/>
      <c r="BM8732" s="12"/>
      <c r="BN8732" s="12"/>
      <c r="BO8732" s="12"/>
      <c r="BP8732" s="12"/>
      <c r="BQ8732" s="12"/>
      <c r="BR8732" s="12"/>
      <c r="BS8732" s="12"/>
      <c r="BT8732" s="12"/>
      <c r="BU8732" s="639"/>
      <c r="BV8732" s="639"/>
      <c r="BW8732" s="639"/>
      <c r="BX8732" s="639"/>
      <c r="BY8732" s="639"/>
      <c r="BZ8732" s="639"/>
      <c r="CA8732" s="381"/>
      <c r="CB8732" s="9" t="s">
        <v>962</v>
      </c>
    </row>
    <row r="8733" spans="1:80" x14ac:dyDescent="0.2">
      <c r="A8733" s="189"/>
      <c r="D8733" s="702"/>
      <c r="F8733" s="571"/>
      <c r="L8733" s="563"/>
      <c r="M8733" s="663">
        <v>38002.5</v>
      </c>
      <c r="N8733" s="507">
        <v>909</v>
      </c>
      <c r="O8733" s="832">
        <v>10.102511574074073</v>
      </c>
      <c r="P8733" s="567"/>
      <c r="Q8733" s="567"/>
      <c r="R8733" s="567"/>
      <c r="S8733" s="567"/>
      <c r="T8733" s="567"/>
      <c r="U8733" s="567"/>
      <c r="V8733" s="567"/>
      <c r="W8733" s="567"/>
      <c r="X8733" s="567"/>
      <c r="Y8733" s="567"/>
      <c r="Z8733" s="190"/>
      <c r="AA8733" s="190"/>
      <c r="AC8733" s="839">
        <v>8.1400000000000005E-4</v>
      </c>
      <c r="AD8733" s="527">
        <v>86</v>
      </c>
      <c r="AE8733" s="527">
        <v>6.5</v>
      </c>
      <c r="AF8733" s="837">
        <f t="shared" si="69"/>
        <v>559</v>
      </c>
      <c r="AG8733" s="507">
        <v>1.24</v>
      </c>
      <c r="CB8733" s="634" t="s">
        <v>964</v>
      </c>
    </row>
    <row r="8734" spans="1:80" x14ac:dyDescent="0.2">
      <c r="A8734" s="189"/>
      <c r="D8734" s="702"/>
      <c r="F8734" s="571"/>
      <c r="L8734" s="563"/>
      <c r="M8734" s="663">
        <v>38005.5</v>
      </c>
      <c r="N8734" s="507">
        <v>1267</v>
      </c>
      <c r="O8734" s="832">
        <v>12.291828703703704</v>
      </c>
      <c r="P8734" s="567"/>
      <c r="Q8734" s="567"/>
      <c r="R8734" s="567"/>
      <c r="S8734" s="567"/>
      <c r="T8734" s="567"/>
      <c r="U8734" s="567"/>
      <c r="V8734" s="567"/>
      <c r="W8734" s="567"/>
      <c r="X8734" s="567"/>
      <c r="Y8734" s="567"/>
      <c r="Z8734" s="190"/>
      <c r="AA8734" s="190"/>
      <c r="AC8734" s="839">
        <v>7.54E-4</v>
      </c>
      <c r="AD8734" s="527">
        <v>86</v>
      </c>
      <c r="AE8734" s="527">
        <v>7.4</v>
      </c>
      <c r="AF8734" s="837">
        <f t="shared" si="69"/>
        <v>636.4</v>
      </c>
      <c r="AG8734" s="507">
        <v>1.23</v>
      </c>
      <c r="CB8734" s="867" t="s">
        <v>966</v>
      </c>
    </row>
    <row r="8735" spans="1:80" x14ac:dyDescent="0.2">
      <c r="A8735" s="189"/>
      <c r="D8735" s="702"/>
      <c r="F8735" s="571"/>
      <c r="L8735" s="563"/>
      <c r="M8735" s="663">
        <v>38008.5</v>
      </c>
      <c r="N8735" s="507">
        <v>958</v>
      </c>
      <c r="O8735" s="832">
        <v>9.1001736111111118</v>
      </c>
      <c r="P8735" s="567"/>
      <c r="Q8735" s="567"/>
      <c r="R8735" s="567"/>
      <c r="S8735" s="567"/>
      <c r="T8735" s="567"/>
      <c r="U8735" s="567"/>
      <c r="V8735" s="567"/>
      <c r="W8735" s="567"/>
      <c r="X8735" s="567"/>
      <c r="Y8735" s="567"/>
      <c r="Z8735" s="190"/>
      <c r="AA8735" s="190"/>
      <c r="AC8735" s="839">
        <v>7.2900000000000005E-4</v>
      </c>
      <c r="AD8735" s="527">
        <v>86</v>
      </c>
      <c r="AE8735" s="527">
        <v>6.7</v>
      </c>
      <c r="AF8735" s="837">
        <f t="shared" si="69"/>
        <v>576.20000000000005</v>
      </c>
      <c r="AG8735" s="507">
        <v>1.19</v>
      </c>
    </row>
    <row r="8736" spans="1:80" x14ac:dyDescent="0.2">
      <c r="A8736" s="189"/>
      <c r="D8736" s="702"/>
      <c r="F8736" s="571"/>
      <c r="L8736" s="563"/>
      <c r="M8736" s="663">
        <v>38012.5</v>
      </c>
      <c r="N8736" s="507">
        <v>709</v>
      </c>
      <c r="O8736" s="832">
        <v>7.3592708333333334</v>
      </c>
      <c r="P8736" s="567"/>
      <c r="Q8736" s="567"/>
      <c r="R8736" s="567"/>
      <c r="S8736" s="567"/>
      <c r="T8736" s="567"/>
      <c r="U8736" s="567"/>
      <c r="V8736" s="567"/>
      <c r="W8736" s="567"/>
      <c r="X8736" s="567"/>
      <c r="Y8736" s="567"/>
      <c r="Z8736" s="190"/>
      <c r="AA8736" s="190"/>
      <c r="AC8736" s="839">
        <v>7.9299999999999998E-4</v>
      </c>
      <c r="AD8736" s="527">
        <v>86</v>
      </c>
      <c r="AE8736" s="527">
        <v>5.5</v>
      </c>
      <c r="AF8736" s="837">
        <f t="shared" si="69"/>
        <v>473</v>
      </c>
      <c r="AG8736" s="507">
        <v>1.19</v>
      </c>
    </row>
    <row r="8737" spans="1:80" x14ac:dyDescent="0.2">
      <c r="A8737" s="189"/>
      <c r="D8737" s="702"/>
      <c r="F8737" s="571"/>
      <c r="L8737" s="563"/>
      <c r="M8737" s="663">
        <v>38015.5</v>
      </c>
      <c r="N8737" s="507">
        <v>503</v>
      </c>
      <c r="O8737" s="832">
        <v>7.6230439814814819</v>
      </c>
      <c r="P8737" s="567"/>
      <c r="Q8737" s="567"/>
      <c r="R8737" s="567"/>
      <c r="S8737" s="567"/>
      <c r="T8737" s="567"/>
      <c r="U8737" s="567"/>
      <c r="V8737" s="567"/>
      <c r="W8737" s="567"/>
      <c r="X8737" s="567"/>
      <c r="Y8737" s="567"/>
      <c r="Z8737" s="190"/>
      <c r="AA8737" s="190"/>
      <c r="AC8737" s="647" t="s">
        <v>29</v>
      </c>
      <c r="AD8737" s="527">
        <v>86</v>
      </c>
      <c r="AE8737" s="527">
        <v>4.7</v>
      </c>
      <c r="AF8737" s="837">
        <f t="shared" si="69"/>
        <v>404.2</v>
      </c>
      <c r="AG8737" s="507">
        <v>1.1399999999999999</v>
      </c>
    </row>
    <row r="8738" spans="1:80" ht="15" x14ac:dyDescent="0.25">
      <c r="A8738" s="9" t="s">
        <v>945</v>
      </c>
      <c r="B8738" s="639" t="s">
        <v>965</v>
      </c>
      <c r="C8738" s="639" t="s">
        <v>954</v>
      </c>
      <c r="D8738" s="4">
        <f>VLOOKUP(E8738,'Quality Code'!$D$4:$E$24,2,TRUE)*VLOOKUP(MROUND(F8738,10),'Quality Code'!$D$28:$E$69,2,TRUE)*VLOOKUP(COUNTA(CB8738:CB8740),'Quality Code'!$D$73:$E$93,2,TRUE)</f>
        <v>0</v>
      </c>
      <c r="E8738" s="14">
        <v>0.55000000000000004</v>
      </c>
      <c r="F8738" s="18">
        <v>1</v>
      </c>
      <c r="G8738" s="12"/>
      <c r="H8738" s="639" t="s">
        <v>690</v>
      </c>
      <c r="I8738" s="640"/>
      <c r="J8738" s="640"/>
      <c r="K8738" s="640"/>
      <c r="L8738" s="640"/>
      <c r="M8738" s="640"/>
      <c r="N8738" s="579"/>
      <c r="O8738" s="579"/>
      <c r="P8738" s="640"/>
      <c r="Q8738" s="640"/>
      <c r="R8738" s="640"/>
      <c r="S8738" s="640"/>
      <c r="T8738" s="640"/>
      <c r="U8738" s="640"/>
      <c r="V8738" s="640"/>
      <c r="W8738" s="640"/>
      <c r="X8738" s="640"/>
      <c r="Y8738" s="640"/>
      <c r="Z8738" s="579"/>
      <c r="AA8738" s="81"/>
      <c r="AB8738" s="81"/>
      <c r="AC8738" s="116"/>
      <c r="AD8738" s="580"/>
      <c r="AE8738" s="580"/>
      <c r="AF8738" s="580"/>
      <c r="AG8738" s="580"/>
      <c r="AH8738" s="330"/>
      <c r="AI8738" s="123"/>
      <c r="AJ8738" s="123"/>
      <c r="AK8738" s="143"/>
      <c r="AL8738" s="17"/>
      <c r="AM8738" s="17"/>
      <c r="AN8738" s="17"/>
      <c r="AO8738" s="17"/>
      <c r="AP8738" s="17"/>
      <c r="AQ8738" s="17"/>
      <c r="AR8738" s="17"/>
      <c r="AS8738" s="17"/>
      <c r="AT8738" s="17"/>
      <c r="AU8738" s="18"/>
      <c r="AV8738" s="147">
        <v>1</v>
      </c>
      <c r="AW8738" s="147">
        <v>1</v>
      </c>
      <c r="AX8738" s="147">
        <v>1</v>
      </c>
      <c r="AY8738" s="147">
        <v>1</v>
      </c>
      <c r="AZ8738" s="17">
        <v>0.99999251529987765</v>
      </c>
      <c r="BA8738" s="17">
        <v>0.99898783598531216</v>
      </c>
      <c r="BB8738" s="17">
        <v>0.95265483108935134</v>
      </c>
      <c r="BC8738" s="17">
        <v>0.78424135740514078</v>
      </c>
      <c r="BD8738" s="17">
        <v>0.53024110648714817</v>
      </c>
      <c r="BE8738" s="17">
        <v>0.36637161933904527</v>
      </c>
      <c r="BF8738" s="17">
        <v>0.2634375569155446</v>
      </c>
      <c r="BG8738" s="17">
        <v>9.6610044063647343E-2</v>
      </c>
      <c r="BH8738" s="17">
        <v>5.9113243574050456E-3</v>
      </c>
      <c r="BI8738" s="4"/>
      <c r="BJ8738" s="639"/>
      <c r="BK8738" s="639" t="s">
        <v>961</v>
      </c>
      <c r="BL8738" s="12"/>
      <c r="BM8738" s="12"/>
      <c r="BN8738" s="12"/>
      <c r="BO8738" s="12"/>
      <c r="BP8738" s="12"/>
      <c r="BQ8738" s="12"/>
      <c r="BR8738" s="12"/>
      <c r="BS8738" s="12"/>
      <c r="BT8738" s="12"/>
      <c r="BU8738" s="639"/>
      <c r="BV8738" s="639"/>
      <c r="BW8738" s="639"/>
      <c r="BX8738" s="639"/>
      <c r="BY8738" s="639"/>
      <c r="BZ8738" s="639"/>
      <c r="CA8738" s="381"/>
      <c r="CB8738" s="9" t="s">
        <v>962</v>
      </c>
    </row>
    <row r="8739" spans="1:80" x14ac:dyDescent="0.2">
      <c r="A8739" s="189"/>
      <c r="D8739" s="702"/>
      <c r="F8739" s="571"/>
      <c r="M8739" s="663">
        <v>38237</v>
      </c>
      <c r="N8739" s="507">
        <v>90</v>
      </c>
      <c r="O8739" s="587">
        <v>1.7856953892668177E-3</v>
      </c>
      <c r="P8739" s="584"/>
      <c r="Q8739" s="190"/>
      <c r="R8739" s="190"/>
      <c r="S8739" s="190"/>
      <c r="T8739" s="190"/>
      <c r="U8739" s="190"/>
      <c r="V8739" s="190"/>
      <c r="W8739" s="190"/>
      <c r="X8739" s="190"/>
      <c r="Y8739" s="190"/>
      <c r="Z8739" s="190"/>
      <c r="AA8739" s="190"/>
      <c r="AC8739" s="647" t="s">
        <v>29</v>
      </c>
      <c r="AD8739" s="527">
        <v>86</v>
      </c>
      <c r="AE8739" s="527">
        <v>3.8</v>
      </c>
      <c r="AF8739" s="837">
        <f t="shared" si="69"/>
        <v>326.8</v>
      </c>
      <c r="AG8739" s="507">
        <v>0.37</v>
      </c>
      <c r="AW8739" s="843"/>
      <c r="AX8739" s="843"/>
      <c r="AY8739" s="843"/>
      <c r="AZ8739" s="843"/>
      <c r="BA8739" s="843"/>
      <c r="BB8739" s="843"/>
      <c r="BC8739" s="843"/>
      <c r="BD8739" s="843"/>
      <c r="BE8739" s="843"/>
      <c r="BF8739" s="843"/>
      <c r="BG8739" s="843"/>
      <c r="BH8739" s="843"/>
      <c r="CB8739" s="634" t="s">
        <v>964</v>
      </c>
    </row>
    <row r="8740" spans="1:80" ht="15" x14ac:dyDescent="0.25">
      <c r="A8740" s="9" t="s">
        <v>947</v>
      </c>
      <c r="B8740" s="639" t="s">
        <v>965</v>
      </c>
      <c r="C8740" s="639" t="s">
        <v>955</v>
      </c>
      <c r="D8740" s="4">
        <f>VLOOKUP(E8740,'Quality Code'!$D$4:$E$24,2,TRUE)*VLOOKUP(MROUND(F8740,10),'Quality Code'!$D$28:$E$69,2,TRUE)*VLOOKUP(COUNTA(CB8740:CB8742),'Quality Code'!$D$73:$E$93,2,TRUE)</f>
        <v>0</v>
      </c>
      <c r="E8740" s="14">
        <v>0.55000000000000004</v>
      </c>
      <c r="F8740" s="18">
        <v>1</v>
      </c>
      <c r="G8740" s="12"/>
      <c r="H8740" s="639" t="s">
        <v>941</v>
      </c>
      <c r="I8740" s="640"/>
      <c r="J8740" s="640"/>
      <c r="K8740" s="640"/>
      <c r="L8740" s="640"/>
      <c r="M8740" s="640"/>
      <c r="N8740" s="579"/>
      <c r="O8740" s="579"/>
      <c r="P8740" s="640"/>
      <c r="Q8740" s="640"/>
      <c r="R8740" s="640"/>
      <c r="S8740" s="640"/>
      <c r="T8740" s="640"/>
      <c r="U8740" s="640"/>
      <c r="V8740" s="640"/>
      <c r="W8740" s="640"/>
      <c r="X8740" s="640"/>
      <c r="Y8740" s="640"/>
      <c r="Z8740" s="579"/>
      <c r="AA8740" s="81"/>
      <c r="AB8740" s="81"/>
      <c r="AC8740" s="116"/>
      <c r="AD8740" s="580"/>
      <c r="AE8740" s="580"/>
      <c r="AF8740" s="580"/>
      <c r="AG8740" s="580"/>
      <c r="AH8740" s="330"/>
      <c r="AI8740" s="123"/>
      <c r="AJ8740" s="123"/>
      <c r="AK8740" s="143"/>
      <c r="AL8740" s="17"/>
      <c r="AM8740" s="17"/>
      <c r="AN8740" s="17"/>
      <c r="AO8740" s="17"/>
      <c r="AP8740" s="17"/>
      <c r="AQ8740" s="17"/>
      <c r="AR8740" s="17"/>
      <c r="AS8740" s="17"/>
      <c r="AT8740" s="17"/>
      <c r="AU8740" s="18"/>
      <c r="AV8740" s="147">
        <v>1</v>
      </c>
      <c r="AW8740" s="147">
        <v>1</v>
      </c>
      <c r="AX8740" s="147">
        <v>1</v>
      </c>
      <c r="AY8740" s="147">
        <v>1</v>
      </c>
      <c r="AZ8740" s="17">
        <v>0.99999866421568628</v>
      </c>
      <c r="BA8740" s="17">
        <v>0.99940919117647065</v>
      </c>
      <c r="BB8740" s="17">
        <v>0.92759343481924028</v>
      </c>
      <c r="BC8740" s="17">
        <v>0.65543958180147066</v>
      </c>
      <c r="BD8740" s="17">
        <v>0.33077735638786765</v>
      </c>
      <c r="BE8740" s="17">
        <v>0.21107797564338246</v>
      </c>
      <c r="BF8740" s="17">
        <v>0.17279731119791666</v>
      </c>
      <c r="BG8740" s="17">
        <v>0.11349813802083338</v>
      </c>
      <c r="BH8740" s="17">
        <v>1.1046923253676483E-2</v>
      </c>
      <c r="BI8740" s="4"/>
      <c r="BJ8740" s="639"/>
      <c r="BK8740" s="639" t="s">
        <v>961</v>
      </c>
      <c r="BL8740" s="12"/>
      <c r="BM8740" s="12"/>
      <c r="BN8740" s="12"/>
      <c r="BO8740" s="12"/>
      <c r="BP8740" s="12"/>
      <c r="BQ8740" s="12"/>
      <c r="BR8740" s="12"/>
      <c r="BS8740" s="12"/>
      <c r="BT8740" s="12"/>
      <c r="BU8740" s="639"/>
      <c r="BV8740" s="639"/>
      <c r="BW8740" s="639"/>
      <c r="BX8740" s="639"/>
      <c r="BY8740" s="639"/>
      <c r="BZ8740" s="639"/>
      <c r="CA8740" s="381"/>
      <c r="CB8740" s="9" t="s">
        <v>962</v>
      </c>
    </row>
    <row r="8741" spans="1:80" x14ac:dyDescent="0.2">
      <c r="A8741" s="189"/>
      <c r="D8741" s="702"/>
      <c r="F8741" s="571"/>
      <c r="L8741" s="563"/>
      <c r="M8741" s="663">
        <v>38238</v>
      </c>
      <c r="N8741" s="507">
        <v>319</v>
      </c>
      <c r="O8741" s="587">
        <v>0</v>
      </c>
      <c r="P8741" s="584"/>
      <c r="Q8741" s="833"/>
      <c r="R8741" s="833">
        <v>5.6785586312500004E-2</v>
      </c>
      <c r="S8741" s="833">
        <v>0.28327131078125001</v>
      </c>
      <c r="T8741" s="833">
        <v>0.245882026921875</v>
      </c>
      <c r="U8741" s="833">
        <v>5.7587824312499994E-2</v>
      </c>
      <c r="V8741" s="833">
        <v>1.5979454137500002E-2</v>
      </c>
      <c r="W8741" s="833">
        <v>6.5558448020312493E-2</v>
      </c>
      <c r="X8741" s="833">
        <v>0.27015054189062498</v>
      </c>
      <c r="Y8741" s="833">
        <v>4.7350134608125007E-3</v>
      </c>
      <c r="Z8741" s="834"/>
      <c r="AA8741" s="190"/>
      <c r="AB8741" s="825"/>
      <c r="AC8741" s="647" t="s">
        <v>29</v>
      </c>
      <c r="AD8741" s="527"/>
      <c r="AE8741" s="838" t="s">
        <v>29</v>
      </c>
      <c r="AF8741" s="837"/>
      <c r="AG8741" s="507"/>
      <c r="CB8741" s="634" t="s">
        <v>964</v>
      </c>
    </row>
    <row r="8742" spans="1:80" ht="15" x14ac:dyDescent="0.25">
      <c r="A8742" s="9" t="s">
        <v>948</v>
      </c>
      <c r="B8742" s="639" t="s">
        <v>965</v>
      </c>
      <c r="C8742" s="639" t="s">
        <v>956</v>
      </c>
      <c r="D8742" s="4">
        <f>VLOOKUP(E8742,'Quality Code'!$D$4:$E$24,2,TRUE)*VLOOKUP(MROUND(F8742,10),'Quality Code'!$D$28:$E$69,2,TRUE)*VLOOKUP(COUNTA(CB8742:CB8744),'Quality Code'!$D$73:$E$93,2,TRUE)</f>
        <v>0.27500000000000002</v>
      </c>
      <c r="E8742" s="14">
        <v>0.55000000000000004</v>
      </c>
      <c r="F8742" s="18">
        <f>COUNT(O8743:O8749)</f>
        <v>7</v>
      </c>
      <c r="G8742" s="12"/>
      <c r="H8742" s="639" t="s">
        <v>691</v>
      </c>
      <c r="I8742" s="640"/>
      <c r="J8742" s="640"/>
      <c r="K8742" s="640"/>
      <c r="L8742" s="640"/>
      <c r="M8742" s="640"/>
      <c r="N8742" s="579"/>
      <c r="O8742" s="579"/>
      <c r="P8742" s="640"/>
      <c r="Q8742" s="640"/>
      <c r="R8742" s="640"/>
      <c r="S8742" s="640"/>
      <c r="T8742" s="640"/>
      <c r="U8742" s="640"/>
      <c r="V8742" s="640"/>
      <c r="W8742" s="640"/>
      <c r="X8742" s="640"/>
      <c r="Y8742" s="640"/>
      <c r="Z8742" s="579"/>
      <c r="AA8742" s="81"/>
      <c r="AB8742" s="81"/>
      <c r="AC8742" s="116"/>
      <c r="AD8742" s="580"/>
      <c r="AE8742" s="580"/>
      <c r="AF8742" s="580"/>
      <c r="AG8742" s="580"/>
      <c r="AH8742" s="330"/>
      <c r="AI8742" s="123"/>
      <c r="AJ8742" s="123"/>
      <c r="AK8742" s="143"/>
      <c r="AL8742" s="17"/>
      <c r="AM8742" s="17"/>
      <c r="AN8742" s="17"/>
      <c r="AO8742" s="17"/>
      <c r="AP8742" s="17"/>
      <c r="AQ8742" s="17"/>
      <c r="AR8742" s="17"/>
      <c r="AS8742" s="17"/>
      <c r="AT8742" s="17"/>
      <c r="AU8742" s="18"/>
      <c r="AV8742" s="147"/>
      <c r="AW8742" s="147"/>
      <c r="AX8742" s="147"/>
      <c r="AY8742" s="147"/>
      <c r="AZ8742" s="17"/>
      <c r="BA8742" s="17"/>
      <c r="BB8742" s="17"/>
      <c r="BC8742" s="17"/>
      <c r="BD8742" s="17"/>
      <c r="BE8742" s="17"/>
      <c r="BF8742" s="17"/>
      <c r="BG8742" s="17"/>
      <c r="BH8742" s="17"/>
      <c r="BI8742" s="4"/>
      <c r="BJ8742" s="639"/>
      <c r="BK8742" s="639"/>
      <c r="BL8742" s="12"/>
      <c r="BM8742" s="12"/>
      <c r="BN8742" s="12"/>
      <c r="BO8742" s="12"/>
      <c r="BP8742" s="12"/>
      <c r="BQ8742" s="12"/>
      <c r="BR8742" s="12"/>
      <c r="BS8742" s="12"/>
      <c r="BT8742" s="12"/>
      <c r="BU8742" s="639"/>
      <c r="BV8742" s="639"/>
      <c r="BW8742" s="639"/>
      <c r="BX8742" s="639"/>
      <c r="BY8742" s="639"/>
      <c r="BZ8742" s="639"/>
      <c r="CA8742" s="381"/>
      <c r="CB8742" s="9" t="s">
        <v>962</v>
      </c>
    </row>
    <row r="8743" spans="1:80" x14ac:dyDescent="0.2">
      <c r="A8743" s="189"/>
      <c r="D8743" s="702"/>
      <c r="F8743" s="571"/>
      <c r="L8743" s="563"/>
      <c r="M8743" s="663">
        <v>38003.5</v>
      </c>
      <c r="N8743" s="507">
        <v>3146</v>
      </c>
      <c r="O8743" s="832">
        <v>29.340705357142859</v>
      </c>
      <c r="P8743" s="584"/>
      <c r="Q8743" s="833"/>
      <c r="R8743" s="833">
        <v>2.2174161615692439E-3</v>
      </c>
      <c r="S8743" s="833">
        <v>9.0578110209704361E-3</v>
      </c>
      <c r="T8743" s="833">
        <v>1.1969215168776305E-2</v>
      </c>
      <c r="U8743" s="833">
        <v>1.3694529196874734E-2</v>
      </c>
      <c r="V8743" s="833">
        <v>3.4058463397382562E-2</v>
      </c>
      <c r="W8743" s="833">
        <v>0.41616481648672832</v>
      </c>
      <c r="X8743" s="833">
        <v>0.49219443240333338</v>
      </c>
      <c r="Y8743" s="833">
        <v>2.0643313210384494E-2</v>
      </c>
      <c r="Z8743" s="834"/>
      <c r="AA8743" s="190"/>
      <c r="AB8743" s="825"/>
      <c r="AC8743" s="840">
        <v>2.7000000000000002E-5</v>
      </c>
      <c r="AD8743" s="527">
        <v>440</v>
      </c>
      <c r="AE8743" s="527">
        <v>7.46</v>
      </c>
      <c r="AF8743" s="837">
        <f t="shared" si="69"/>
        <v>3282.4</v>
      </c>
      <c r="AG8743" s="507">
        <v>1.06</v>
      </c>
      <c r="AZ8743" s="841">
        <v>38004.5</v>
      </c>
      <c r="BA8743" s="567">
        <v>5.5885834772727268E-3</v>
      </c>
      <c r="BB8743" s="567">
        <v>1.2792971108636364E-2</v>
      </c>
      <c r="BC8743" s="567">
        <v>1.5795852969090907E-2</v>
      </c>
      <c r="BD8743" s="567">
        <v>2.1486323116295458E-2</v>
      </c>
      <c r="BE8743" s="567">
        <v>2.0061479494659092E-2</v>
      </c>
      <c r="BF8743" s="567">
        <v>4.7181054266181813E-2</v>
      </c>
      <c r="BG8743" s="567">
        <v>0.35930064020034091</v>
      </c>
      <c r="BH8743" s="567">
        <v>0.50344660654590911</v>
      </c>
      <c r="BI8743" s="842"/>
      <c r="BK8743" s="648" t="s">
        <v>959</v>
      </c>
      <c r="CB8743" s="634" t="s">
        <v>964</v>
      </c>
    </row>
    <row r="8744" spans="1:80" x14ac:dyDescent="0.2">
      <c r="A8744" s="189"/>
      <c r="D8744" s="702"/>
      <c r="F8744" s="571"/>
      <c r="L8744" s="563"/>
      <c r="M8744" s="663">
        <v>38004.5</v>
      </c>
      <c r="N8744" s="507">
        <v>3769</v>
      </c>
      <c r="O8744" s="832">
        <v>72.769842772108845</v>
      </c>
      <c r="P8744" s="584"/>
      <c r="Q8744" s="833"/>
      <c r="R8744" s="833">
        <v>1.9038716851565709E-3</v>
      </c>
      <c r="S8744" s="833">
        <v>9.1827326947395531E-3</v>
      </c>
      <c r="T8744" s="833">
        <v>9.8250953728498003E-3</v>
      </c>
      <c r="U8744" s="833">
        <v>1.2758586427867919E-2</v>
      </c>
      <c r="V8744" s="833">
        <v>2.6757001250423851E-2</v>
      </c>
      <c r="W8744" s="833">
        <v>0.32112260405301618</v>
      </c>
      <c r="X8744" s="833">
        <v>0.57166925275834157</v>
      </c>
      <c r="Y8744" s="833">
        <v>4.6780852713992342E-2</v>
      </c>
      <c r="Z8744" s="834"/>
      <c r="AA8744" s="190"/>
      <c r="AB8744" s="825"/>
      <c r="AC8744" s="840">
        <v>8.6000000000000003E-5</v>
      </c>
      <c r="AD8744" s="527">
        <v>440</v>
      </c>
      <c r="AE8744" s="527">
        <v>7.27</v>
      </c>
      <c r="AF8744" s="837">
        <f t="shared" si="69"/>
        <v>3198.7999999999997</v>
      </c>
      <c r="AG8744" s="507">
        <v>1.25</v>
      </c>
      <c r="AZ8744" s="841">
        <v>38005.5</v>
      </c>
      <c r="BA8744" s="567">
        <v>0</v>
      </c>
      <c r="BB8744" s="567">
        <v>6.0798863363636362E-3</v>
      </c>
      <c r="BC8744" s="567">
        <v>1.47741786175E-2</v>
      </c>
      <c r="BD8744" s="567">
        <v>2.1510381610454547E-2</v>
      </c>
      <c r="BE8744" s="567">
        <v>1.6025439523863635E-2</v>
      </c>
      <c r="BF8744" s="567">
        <v>3.7510058803863634E-2</v>
      </c>
      <c r="BG8744" s="567">
        <v>0.36732191889090904</v>
      </c>
      <c r="BH8744" s="567">
        <v>0.51923243126181817</v>
      </c>
      <c r="BK8744" s="648" t="s">
        <v>959</v>
      </c>
      <c r="CB8744" s="868" t="s">
        <v>966</v>
      </c>
    </row>
    <row r="8745" spans="1:80" x14ac:dyDescent="0.2">
      <c r="A8745" s="189"/>
      <c r="D8745" s="702"/>
      <c r="F8745" s="571"/>
      <c r="L8745" s="563"/>
      <c r="M8745" s="663">
        <v>38005.5</v>
      </c>
      <c r="N8745" s="507">
        <v>1309</v>
      </c>
      <c r="O8745" s="832">
        <v>51.053068532818536</v>
      </c>
      <c r="P8745" s="584"/>
      <c r="Q8745" s="833"/>
      <c r="R8745" s="833">
        <v>0</v>
      </c>
      <c r="S8745" s="833">
        <v>1.5012924042977702E-2</v>
      </c>
      <c r="T8745" s="833">
        <v>2.1608215376270379E-2</v>
      </c>
      <c r="U8745" s="833">
        <v>1.8523273911663848E-2</v>
      </c>
      <c r="V8745" s="833">
        <v>4.6440363933397781E-2</v>
      </c>
      <c r="W8745" s="833">
        <v>0.38931936243818921</v>
      </c>
      <c r="X8745" s="833">
        <v>0.48622165518841998</v>
      </c>
      <c r="Y8745" s="833">
        <v>2.2874202772462944E-2</v>
      </c>
      <c r="Z8745" s="834"/>
      <c r="AA8745" s="190"/>
      <c r="AB8745" s="825"/>
      <c r="AC8745" s="840">
        <v>9.1000000000000003E-5</v>
      </c>
      <c r="AD8745" s="527">
        <v>440</v>
      </c>
      <c r="AE8745" s="527">
        <v>7.55</v>
      </c>
      <c r="AF8745" s="837">
        <f t="shared" si="69"/>
        <v>3322</v>
      </c>
      <c r="AG8745" s="507">
        <v>1.18</v>
      </c>
      <c r="AZ8745" s="841">
        <v>38006.5</v>
      </c>
      <c r="BA8745" s="567">
        <v>0</v>
      </c>
      <c r="BB8745" s="567">
        <v>3.2375952159090907E-3</v>
      </c>
      <c r="BC8745" s="567">
        <v>7.2854203706818176E-3</v>
      </c>
      <c r="BD8745" s="567">
        <v>1.5647747247954542E-2</v>
      </c>
      <c r="BE8745" s="567">
        <v>1.6802130611818185E-2</v>
      </c>
      <c r="BF8745" s="567">
        <v>4.6391712915909093E-2</v>
      </c>
      <c r="BG8745" s="567">
        <v>0.36315460492136364</v>
      </c>
      <c r="BH8745" s="567">
        <v>0.53239915538772731</v>
      </c>
      <c r="BK8745" s="648" t="s">
        <v>959</v>
      </c>
    </row>
    <row r="8746" spans="1:80" x14ac:dyDescent="0.2">
      <c r="A8746" s="189"/>
      <c r="D8746" s="702"/>
      <c r="F8746" s="571"/>
      <c r="L8746" s="563"/>
      <c r="M8746" s="663">
        <v>38006.5</v>
      </c>
      <c r="N8746" s="507">
        <v>4527</v>
      </c>
      <c r="O8746" s="832">
        <v>77.257440719144796</v>
      </c>
      <c r="P8746" s="584"/>
      <c r="Q8746" s="833"/>
      <c r="R8746" s="833">
        <v>5.6554035589478852E-3</v>
      </c>
      <c r="S8746" s="833">
        <v>1.9936657858512001E-2</v>
      </c>
      <c r="T8746" s="833">
        <v>1.2909800952725477E-2</v>
      </c>
      <c r="U8746" s="833">
        <v>9.3959349769310967E-3</v>
      </c>
      <c r="V8746" s="833">
        <v>2.4888919840301258E-2</v>
      </c>
      <c r="W8746" s="833">
        <v>0.41923995137872039</v>
      </c>
      <c r="X8746" s="833">
        <v>0.48883901160896565</v>
      </c>
      <c r="Y8746" s="833">
        <v>1.9134320406518791E-2</v>
      </c>
      <c r="Z8746" s="834"/>
      <c r="AA8746" s="190"/>
      <c r="AB8746" s="825"/>
      <c r="AC8746" s="840">
        <v>9.1000000000000003E-5</v>
      </c>
      <c r="AD8746" s="527">
        <v>440</v>
      </c>
      <c r="AE8746" s="527">
        <v>7.63</v>
      </c>
      <c r="AF8746" s="837">
        <f t="shared" si="69"/>
        <v>3357.2</v>
      </c>
      <c r="AG8746" s="507">
        <v>1.22</v>
      </c>
      <c r="AZ8746" s="841">
        <v>38008.5</v>
      </c>
      <c r="BA8746" s="567">
        <v>0</v>
      </c>
      <c r="BB8746" s="567">
        <v>0</v>
      </c>
      <c r="BC8746" s="567">
        <v>1.5052511861590907E-2</v>
      </c>
      <c r="BD8746" s="567">
        <v>1.2904258392045453E-2</v>
      </c>
      <c r="BE8746" s="567">
        <v>1.5908672043636364E-2</v>
      </c>
      <c r="BF8746" s="567">
        <v>4.5875624888863639E-2</v>
      </c>
      <c r="BG8746" s="567">
        <v>0.3596673347963637</v>
      </c>
      <c r="BH8746" s="567">
        <v>0.53711611529818182</v>
      </c>
      <c r="BK8746" s="648" t="s">
        <v>959</v>
      </c>
    </row>
    <row r="8747" spans="1:80" ht="15" x14ac:dyDescent="0.25">
      <c r="A8747" s="189"/>
      <c r="D8747" s="702"/>
      <c r="F8747" s="571"/>
      <c r="L8747" s="563"/>
      <c r="M8747" s="663">
        <v>38008.5</v>
      </c>
      <c r="N8747" s="507">
        <v>3905</v>
      </c>
      <c r="O8747" s="832">
        <v>72.15870932851162</v>
      </c>
      <c r="P8747" s="584"/>
      <c r="Q8747" s="833"/>
      <c r="R8747" s="833">
        <v>4.7169677319707174E-3</v>
      </c>
      <c r="S8747" s="833">
        <v>1.4703917231756763E-2</v>
      </c>
      <c r="T8747" s="833">
        <v>1.4984314692971576E-2</v>
      </c>
      <c r="U8747" s="833">
        <v>1.2002221775032174E-2</v>
      </c>
      <c r="V8747" s="833">
        <v>2.9911816905529097E-2</v>
      </c>
      <c r="W8747" s="833">
        <v>0.35502256380857011</v>
      </c>
      <c r="X8747" s="833">
        <v>0.54870407467409144</v>
      </c>
      <c r="Y8747" s="833">
        <v>1.9954123016997727E-2</v>
      </c>
      <c r="Z8747" s="834"/>
      <c r="AA8747" s="190"/>
      <c r="AB8747" s="825"/>
      <c r="AC8747" s="840">
        <v>9.6000000000000002E-5</v>
      </c>
      <c r="AD8747" s="527">
        <v>440</v>
      </c>
      <c r="AE8747" s="527">
        <v>7.21</v>
      </c>
      <c r="AF8747" s="837">
        <f t="shared" si="69"/>
        <v>3172.4</v>
      </c>
      <c r="AG8747" s="507">
        <v>1.18</v>
      </c>
      <c r="AZ8747" s="841">
        <v>38014.5</v>
      </c>
      <c r="BA8747" s="441">
        <v>0</v>
      </c>
      <c r="BB8747" s="441">
        <v>1.2385536268181821E-3</v>
      </c>
      <c r="BC8747" s="441">
        <v>7.5141404924999999E-3</v>
      </c>
      <c r="BD8747" s="441">
        <v>1.2573811639772729E-2</v>
      </c>
      <c r="BE8747" s="441">
        <v>1.5098147167272726E-2</v>
      </c>
      <c r="BF8747" s="441">
        <v>3.9152491944738639E-2</v>
      </c>
      <c r="BG8747" s="441">
        <v>0.35027186921261366</v>
      </c>
      <c r="BH8747" s="441">
        <v>0.55838905832545449</v>
      </c>
      <c r="BK8747" s="648" t="s">
        <v>959</v>
      </c>
    </row>
    <row r="8748" spans="1:80" x14ac:dyDescent="0.2">
      <c r="A8748" s="189"/>
      <c r="D8748" s="702"/>
      <c r="F8748" s="571"/>
      <c r="L8748" s="563"/>
      <c r="M8748" s="663">
        <v>38014.5</v>
      </c>
      <c r="N8748" s="507">
        <v>2358</v>
      </c>
      <c r="O8748" s="832">
        <v>9.5340209750566896</v>
      </c>
      <c r="P8748" s="584"/>
      <c r="Q8748" s="833"/>
      <c r="R8748" s="833">
        <v>0</v>
      </c>
      <c r="S8748" s="833">
        <v>3.979609086844302E-3</v>
      </c>
      <c r="T8748" s="833">
        <v>7.1889177069035231E-3</v>
      </c>
      <c r="U8748" s="833">
        <v>1.0718512459600708E-2</v>
      </c>
      <c r="V8748" s="833">
        <v>4.0408184603528852E-2</v>
      </c>
      <c r="W8748" s="833">
        <v>0.40774888812898735</v>
      </c>
      <c r="X8748" s="833">
        <v>0.51792123234683185</v>
      </c>
      <c r="Y8748" s="833">
        <v>1.2034659790674057E-2</v>
      </c>
      <c r="Z8748" s="834"/>
      <c r="AA8748" s="190"/>
      <c r="AB8748" s="825"/>
      <c r="AC8748" s="647" t="s">
        <v>29</v>
      </c>
      <c r="AD8748" s="527">
        <v>440</v>
      </c>
      <c r="AE8748" s="527">
        <v>6.71</v>
      </c>
      <c r="AF8748" s="837">
        <f t="shared" si="69"/>
        <v>2952.4</v>
      </c>
      <c r="AG8748" s="507">
        <v>0.77</v>
      </c>
      <c r="AZ8748" s="841">
        <v>38015</v>
      </c>
      <c r="BA8748" s="567">
        <v>0</v>
      </c>
      <c r="BB8748" s="567">
        <v>9.6381555E-4</v>
      </c>
      <c r="BC8748" s="567">
        <v>7.7949148394999999E-3</v>
      </c>
      <c r="BD8748" s="567">
        <v>9.7742386004545465E-3</v>
      </c>
      <c r="BE8748" s="567">
        <v>1.1853563460454544E-2</v>
      </c>
      <c r="BF8748" s="567">
        <v>3.4935804473636367E-2</v>
      </c>
      <c r="BG8748" s="567">
        <v>0.36241557852772727</v>
      </c>
      <c r="BH8748" s="567">
        <v>0.55583072144772727</v>
      </c>
      <c r="BK8748" s="648" t="s">
        <v>959</v>
      </c>
    </row>
    <row r="8749" spans="1:80" x14ac:dyDescent="0.2">
      <c r="A8749" s="189"/>
      <c r="D8749" s="702"/>
      <c r="F8749" s="571"/>
      <c r="L8749" s="563"/>
      <c r="M8749" s="663">
        <v>38015</v>
      </c>
      <c r="N8749" s="507">
        <v>2134</v>
      </c>
      <c r="O8749" s="832">
        <v>4.137823700194363</v>
      </c>
      <c r="P8749" s="584"/>
      <c r="Q8749" s="833"/>
      <c r="R8749" s="833">
        <v>0</v>
      </c>
      <c r="S8749" s="833">
        <v>4.3481745277804355E-3</v>
      </c>
      <c r="T8749" s="833">
        <v>8.8437227185343588E-3</v>
      </c>
      <c r="U8749" s="833">
        <v>1.438119679907275E-2</v>
      </c>
      <c r="V8749" s="833">
        <v>4.5305981074878245E-2</v>
      </c>
      <c r="W8749" s="833">
        <v>0.47684939373217439</v>
      </c>
      <c r="X8749" s="833">
        <v>0.43811901398402436</v>
      </c>
      <c r="Y8749" s="833">
        <v>1.215251556752716E-2</v>
      </c>
      <c r="Z8749" s="834"/>
      <c r="AA8749" s="190"/>
      <c r="AB8749" s="825"/>
      <c r="AC8749" s="647" t="s">
        <v>29</v>
      </c>
      <c r="AD8749" s="527">
        <v>440</v>
      </c>
      <c r="AE8749" s="527">
        <v>6.88</v>
      </c>
      <c r="AF8749" s="837">
        <f t="shared" si="69"/>
        <v>3027.2</v>
      </c>
      <c r="AG8749" s="507">
        <v>0.69</v>
      </c>
    </row>
    <row r="8750" spans="1:80" ht="15" x14ac:dyDescent="0.25">
      <c r="A8750" s="9" t="s">
        <v>948</v>
      </c>
      <c r="B8750" s="639" t="s">
        <v>965</v>
      </c>
      <c r="C8750" s="639" t="s">
        <v>956</v>
      </c>
      <c r="D8750" s="4">
        <f>VLOOKUP(E8750,'Quality Code'!$D$4:$E$24,2,TRUE)*VLOOKUP(MROUND(F8750,10),'Quality Code'!$D$28:$E$69,2,TRUE)*VLOOKUP(COUNTA(CB8750:CB8752),'Quality Code'!$D$73:$E$93,2,TRUE)</f>
        <v>0.27500000000000002</v>
      </c>
      <c r="E8750" s="14">
        <v>0.55000000000000004</v>
      </c>
      <c r="F8750" s="18">
        <f>COUNT(O8751:O8757)</f>
        <v>7</v>
      </c>
      <c r="G8750" s="12"/>
      <c r="H8750" s="639" t="s">
        <v>949</v>
      </c>
      <c r="I8750" s="640"/>
      <c r="J8750" s="640"/>
      <c r="K8750" s="640"/>
      <c r="L8750" s="640"/>
      <c r="M8750" s="640"/>
      <c r="N8750" s="579"/>
      <c r="O8750" s="579"/>
      <c r="P8750" s="640"/>
      <c r="Q8750" s="640"/>
      <c r="R8750" s="640"/>
      <c r="S8750" s="640"/>
      <c r="T8750" s="640"/>
      <c r="U8750" s="640"/>
      <c r="V8750" s="640"/>
      <c r="W8750" s="640"/>
      <c r="X8750" s="640"/>
      <c r="Y8750" s="640"/>
      <c r="Z8750" s="579"/>
      <c r="AA8750" s="81"/>
      <c r="AB8750" s="81"/>
      <c r="AC8750" s="116"/>
      <c r="AD8750" s="580"/>
      <c r="AE8750" s="580"/>
      <c r="AF8750" s="580"/>
      <c r="AG8750" s="580"/>
      <c r="AH8750" s="330"/>
      <c r="AI8750" s="123"/>
      <c r="AJ8750" s="123"/>
      <c r="AK8750" s="143"/>
      <c r="AL8750" s="17"/>
      <c r="AM8750" s="17"/>
      <c r="AN8750" s="17"/>
      <c r="AO8750" s="17"/>
      <c r="AP8750" s="17"/>
      <c r="AQ8750" s="17"/>
      <c r="AR8750" s="17"/>
      <c r="AS8750" s="17"/>
      <c r="AT8750" s="17"/>
      <c r="AU8750" s="18"/>
      <c r="AV8750" s="147"/>
      <c r="AW8750" s="147"/>
      <c r="AX8750" s="147"/>
      <c r="AY8750" s="147"/>
      <c r="AZ8750" s="17"/>
      <c r="BA8750" s="17"/>
      <c r="BB8750" s="17"/>
      <c r="BC8750" s="17"/>
      <c r="BD8750" s="17"/>
      <c r="BE8750" s="17"/>
      <c r="BF8750" s="17"/>
      <c r="BG8750" s="17"/>
      <c r="BH8750" s="17"/>
      <c r="BI8750" s="4"/>
      <c r="BJ8750" s="639"/>
      <c r="BK8750" s="639"/>
      <c r="BL8750" s="12"/>
      <c r="BM8750" s="12"/>
      <c r="BN8750" s="12"/>
      <c r="BO8750" s="12"/>
      <c r="BP8750" s="12"/>
      <c r="BQ8750" s="12"/>
      <c r="BR8750" s="12"/>
      <c r="BS8750" s="12"/>
      <c r="BT8750" s="12"/>
      <c r="BU8750" s="639"/>
      <c r="BV8750" s="639"/>
      <c r="BW8750" s="639"/>
      <c r="BX8750" s="639"/>
      <c r="BY8750" s="639"/>
      <c r="BZ8750" s="639"/>
      <c r="CA8750" s="381"/>
      <c r="CB8750" s="9" t="s">
        <v>962</v>
      </c>
    </row>
    <row r="8751" spans="1:80" x14ac:dyDescent="0.2">
      <c r="A8751" s="634"/>
      <c r="D8751" s="702"/>
      <c r="F8751" s="571"/>
      <c r="L8751" s="563"/>
      <c r="M8751" s="663">
        <v>38003.5</v>
      </c>
      <c r="N8751" s="507">
        <v>3146</v>
      </c>
      <c r="O8751" s="832">
        <v>21.816909518006057</v>
      </c>
      <c r="P8751" s="567"/>
      <c r="Q8751" s="567"/>
      <c r="R8751" s="567"/>
      <c r="S8751" s="567"/>
      <c r="T8751" s="567"/>
      <c r="U8751" s="567"/>
      <c r="V8751" s="567"/>
      <c r="W8751" s="567"/>
      <c r="X8751" s="567"/>
      <c r="Y8751" s="567"/>
      <c r="Z8751" s="648"/>
      <c r="AA8751" s="648"/>
      <c r="AB8751" s="825"/>
      <c r="AC8751" s="840">
        <v>2.7000000000000002E-5</v>
      </c>
      <c r="AD8751" s="527">
        <v>440</v>
      </c>
      <c r="AE8751" s="527">
        <v>7.46</v>
      </c>
      <c r="AF8751" s="837">
        <f t="shared" si="69"/>
        <v>3282.4</v>
      </c>
      <c r="AG8751" s="507">
        <v>1.06</v>
      </c>
      <c r="AZ8751" s="841">
        <v>38004.5</v>
      </c>
      <c r="BA8751" s="567">
        <v>5.5885834772727268E-3</v>
      </c>
      <c r="BB8751" s="567">
        <v>1.2792971108636364E-2</v>
      </c>
      <c r="BC8751" s="567">
        <v>1.5795852969090907E-2</v>
      </c>
      <c r="BD8751" s="567">
        <v>2.1486323116295458E-2</v>
      </c>
      <c r="BE8751" s="567">
        <v>2.0061479494659092E-2</v>
      </c>
      <c r="BF8751" s="567">
        <v>4.7181054266181813E-2</v>
      </c>
      <c r="BG8751" s="567">
        <v>0.35930064020034091</v>
      </c>
      <c r="BH8751" s="567">
        <v>0.50344660654590911</v>
      </c>
      <c r="BK8751" s="648" t="s">
        <v>959</v>
      </c>
      <c r="CB8751" s="634" t="s">
        <v>964</v>
      </c>
    </row>
    <row r="8752" spans="1:80" x14ac:dyDescent="0.2">
      <c r="A8752" s="634"/>
      <c r="D8752" s="702"/>
      <c r="F8752" s="571"/>
      <c r="L8752" s="563"/>
      <c r="M8752" s="663">
        <v>38004.5</v>
      </c>
      <c r="N8752" s="507">
        <v>3769</v>
      </c>
      <c r="O8752" s="832">
        <v>72.004237148914996</v>
      </c>
      <c r="P8752" s="567"/>
      <c r="Q8752" s="567"/>
      <c r="R8752" s="567"/>
      <c r="S8752" s="567"/>
      <c r="T8752" s="567"/>
      <c r="U8752" s="567"/>
      <c r="V8752" s="567"/>
      <c r="W8752" s="567"/>
      <c r="X8752" s="567"/>
      <c r="Y8752" s="567"/>
      <c r="Z8752" s="648"/>
      <c r="AA8752" s="648"/>
      <c r="AB8752" s="825"/>
      <c r="AC8752" s="840">
        <v>8.6000000000000003E-5</v>
      </c>
      <c r="AD8752" s="527">
        <v>440</v>
      </c>
      <c r="AE8752" s="527">
        <v>7.27</v>
      </c>
      <c r="AF8752" s="837">
        <f t="shared" si="69"/>
        <v>3198.7999999999997</v>
      </c>
      <c r="AG8752" s="507">
        <v>1.25</v>
      </c>
      <c r="AZ8752" s="841">
        <v>38005.5</v>
      </c>
      <c r="BA8752" s="567">
        <v>0</v>
      </c>
      <c r="BB8752" s="567">
        <v>6.0798863363636362E-3</v>
      </c>
      <c r="BC8752" s="567">
        <v>1.47741786175E-2</v>
      </c>
      <c r="BD8752" s="567">
        <v>2.1510381610454547E-2</v>
      </c>
      <c r="BE8752" s="567">
        <v>1.6025439523863635E-2</v>
      </c>
      <c r="BF8752" s="567">
        <v>3.7510058803863634E-2</v>
      </c>
      <c r="BG8752" s="567">
        <v>0.36732191889090904</v>
      </c>
      <c r="BH8752" s="567">
        <v>0.51923243126181817</v>
      </c>
      <c r="BK8752" s="648" t="s">
        <v>959</v>
      </c>
      <c r="CB8752" s="869" t="s">
        <v>966</v>
      </c>
    </row>
    <row r="8753" spans="1:80" x14ac:dyDescent="0.2">
      <c r="A8753" s="634"/>
      <c r="D8753" s="702"/>
      <c r="F8753" s="571"/>
      <c r="L8753" s="563"/>
      <c r="M8753" s="663">
        <v>38005.5</v>
      </c>
      <c r="N8753" s="507">
        <v>1309</v>
      </c>
      <c r="O8753" s="832">
        <v>84.727461962777397</v>
      </c>
      <c r="P8753" s="567"/>
      <c r="Q8753" s="567"/>
      <c r="R8753" s="567"/>
      <c r="S8753" s="567"/>
      <c r="T8753" s="567"/>
      <c r="U8753" s="567"/>
      <c r="V8753" s="567"/>
      <c r="W8753" s="567"/>
      <c r="X8753" s="567"/>
      <c r="Y8753" s="567"/>
      <c r="Z8753" s="648"/>
      <c r="AA8753" s="648"/>
      <c r="AB8753" s="825"/>
      <c r="AC8753" s="840">
        <v>9.1000000000000003E-5</v>
      </c>
      <c r="AD8753" s="527">
        <v>440</v>
      </c>
      <c r="AE8753" s="527">
        <v>7.55</v>
      </c>
      <c r="AF8753" s="837">
        <f t="shared" si="69"/>
        <v>3322</v>
      </c>
      <c r="AG8753" s="507">
        <v>1.18</v>
      </c>
      <c r="AZ8753" s="841">
        <v>38006.5</v>
      </c>
      <c r="BA8753" s="567">
        <v>0</v>
      </c>
      <c r="BB8753" s="567">
        <v>3.2375952159090907E-3</v>
      </c>
      <c r="BC8753" s="567">
        <v>7.2854203706818176E-3</v>
      </c>
      <c r="BD8753" s="567">
        <v>1.5647747247954542E-2</v>
      </c>
      <c r="BE8753" s="567">
        <v>1.6802130611818185E-2</v>
      </c>
      <c r="BF8753" s="567">
        <v>4.6391712915909093E-2</v>
      </c>
      <c r="BG8753" s="567">
        <v>0.36315460492136364</v>
      </c>
      <c r="BH8753" s="567">
        <v>0.53239915538772731</v>
      </c>
      <c r="BK8753" s="648" t="s">
        <v>959</v>
      </c>
    </row>
    <row r="8754" spans="1:80" x14ac:dyDescent="0.2">
      <c r="A8754" s="634"/>
      <c r="D8754" s="702"/>
      <c r="F8754" s="571"/>
      <c r="L8754" s="563"/>
      <c r="M8754" s="663">
        <v>38006.5</v>
      </c>
      <c r="N8754" s="507">
        <v>4527</v>
      </c>
      <c r="O8754" s="832">
        <v>88.410934772405099</v>
      </c>
      <c r="P8754" s="567"/>
      <c r="Q8754" s="567"/>
      <c r="R8754" s="567"/>
      <c r="S8754" s="567"/>
      <c r="T8754" s="567"/>
      <c r="U8754" s="567"/>
      <c r="V8754" s="567"/>
      <c r="W8754" s="567"/>
      <c r="X8754" s="567"/>
      <c r="Y8754" s="567"/>
      <c r="Z8754" s="648"/>
      <c r="AA8754" s="648"/>
      <c r="AB8754" s="825"/>
      <c r="AC8754" s="840">
        <v>9.1000000000000003E-5</v>
      </c>
      <c r="AD8754" s="527">
        <v>440</v>
      </c>
      <c r="AE8754" s="527">
        <v>7.63</v>
      </c>
      <c r="AF8754" s="837">
        <f t="shared" si="69"/>
        <v>3357.2</v>
      </c>
      <c r="AG8754" s="507">
        <v>1.22</v>
      </c>
      <c r="AZ8754" s="841">
        <v>38008.5</v>
      </c>
      <c r="BA8754" s="567">
        <v>0</v>
      </c>
      <c r="BB8754" s="567">
        <v>0</v>
      </c>
      <c r="BC8754" s="567">
        <v>1.5052511861590907E-2</v>
      </c>
      <c r="BD8754" s="567">
        <v>1.2904258392045453E-2</v>
      </c>
      <c r="BE8754" s="567">
        <v>1.5908672043636364E-2</v>
      </c>
      <c r="BF8754" s="567">
        <v>4.5875624888863639E-2</v>
      </c>
      <c r="BG8754" s="567">
        <v>0.3596673347963637</v>
      </c>
      <c r="BH8754" s="567">
        <v>0.53711611529818182</v>
      </c>
      <c r="BK8754" s="648" t="s">
        <v>959</v>
      </c>
    </row>
    <row r="8755" spans="1:80" ht="15" x14ac:dyDescent="0.25">
      <c r="A8755" s="634"/>
      <c r="D8755" s="702"/>
      <c r="F8755" s="571"/>
      <c r="L8755" s="563"/>
      <c r="M8755" s="663">
        <v>38008.5</v>
      </c>
      <c r="N8755" s="507">
        <v>3905</v>
      </c>
      <c r="O8755" s="832">
        <v>69.808436263062532</v>
      </c>
      <c r="P8755" s="567"/>
      <c r="Q8755" s="567"/>
      <c r="R8755" s="567"/>
      <c r="S8755" s="567"/>
      <c r="T8755" s="567"/>
      <c r="U8755" s="567"/>
      <c r="V8755" s="567"/>
      <c r="W8755" s="567"/>
      <c r="X8755" s="567"/>
      <c r="Y8755" s="567"/>
      <c r="Z8755" s="648"/>
      <c r="AA8755" s="648"/>
      <c r="AB8755" s="825"/>
      <c r="AC8755" s="840">
        <v>9.6000000000000002E-5</v>
      </c>
      <c r="AD8755" s="527">
        <v>440</v>
      </c>
      <c r="AE8755" s="527">
        <v>7.21</v>
      </c>
      <c r="AF8755" s="837">
        <f t="shared" si="69"/>
        <v>3172.4</v>
      </c>
      <c r="AG8755" s="507">
        <v>1.18</v>
      </c>
      <c r="AZ8755" s="841">
        <v>38014.5</v>
      </c>
      <c r="BA8755" s="441">
        <v>0</v>
      </c>
      <c r="BB8755" s="441">
        <v>1.2385536268181821E-3</v>
      </c>
      <c r="BC8755" s="441">
        <v>7.5141404924999999E-3</v>
      </c>
      <c r="BD8755" s="441">
        <v>1.2573811639772729E-2</v>
      </c>
      <c r="BE8755" s="441">
        <v>1.5098147167272726E-2</v>
      </c>
      <c r="BF8755" s="441">
        <v>3.9152491944738639E-2</v>
      </c>
      <c r="BG8755" s="441">
        <v>0.35027186921261366</v>
      </c>
      <c r="BH8755" s="441">
        <v>0.55838905832545449</v>
      </c>
      <c r="BK8755" s="648" t="s">
        <v>959</v>
      </c>
    </row>
    <row r="8756" spans="1:80" x14ac:dyDescent="0.2">
      <c r="A8756" s="634"/>
      <c r="D8756" s="702"/>
      <c r="F8756" s="571"/>
      <c r="L8756" s="563"/>
      <c r="M8756" s="663">
        <v>38014.5</v>
      </c>
      <c r="N8756" s="507">
        <v>2358</v>
      </c>
      <c r="O8756" s="832">
        <v>4.5252743510102675</v>
      </c>
      <c r="P8756" s="567"/>
      <c r="Q8756" s="567"/>
      <c r="R8756" s="567"/>
      <c r="S8756" s="567"/>
      <c r="T8756" s="567"/>
      <c r="U8756" s="567"/>
      <c r="V8756" s="567"/>
      <c r="W8756" s="567"/>
      <c r="X8756" s="567"/>
      <c r="Y8756" s="567"/>
      <c r="Z8756" s="648"/>
      <c r="AA8756" s="648"/>
      <c r="AB8756" s="825"/>
      <c r="AC8756" s="647" t="s">
        <v>29</v>
      </c>
      <c r="AD8756" s="527">
        <v>440</v>
      </c>
      <c r="AE8756" s="527">
        <v>6.71</v>
      </c>
      <c r="AF8756" s="837">
        <f t="shared" si="69"/>
        <v>2952.4</v>
      </c>
      <c r="AG8756" s="507">
        <v>0.77</v>
      </c>
      <c r="AZ8756" s="841">
        <v>38015</v>
      </c>
      <c r="BA8756" s="567">
        <v>0</v>
      </c>
      <c r="BB8756" s="567">
        <v>9.6381555E-4</v>
      </c>
      <c r="BC8756" s="567">
        <v>7.7949148394999999E-3</v>
      </c>
      <c r="BD8756" s="567">
        <v>9.7742386004545465E-3</v>
      </c>
      <c r="BE8756" s="567">
        <v>1.1853563460454544E-2</v>
      </c>
      <c r="BF8756" s="567">
        <v>3.4935804473636367E-2</v>
      </c>
      <c r="BG8756" s="567">
        <v>0.36241557852772727</v>
      </c>
      <c r="BH8756" s="567">
        <v>0.55583072144772727</v>
      </c>
      <c r="BK8756" s="648" t="s">
        <v>959</v>
      </c>
    </row>
    <row r="8757" spans="1:80" x14ac:dyDescent="0.2">
      <c r="A8757" s="634"/>
      <c r="D8757" s="702"/>
      <c r="F8757" s="571"/>
      <c r="L8757" s="563"/>
      <c r="M8757" s="663">
        <v>38015</v>
      </c>
      <c r="N8757" s="507">
        <v>2134</v>
      </c>
      <c r="O8757" s="832">
        <v>2.1670628593227681</v>
      </c>
      <c r="P8757" s="567"/>
      <c r="Q8757" s="567"/>
      <c r="R8757" s="567"/>
      <c r="S8757" s="567"/>
      <c r="T8757" s="567"/>
      <c r="U8757" s="567"/>
      <c r="V8757" s="567"/>
      <c r="W8757" s="567"/>
      <c r="X8757" s="567"/>
      <c r="Y8757" s="567"/>
      <c r="Z8757" s="648"/>
      <c r="AA8757" s="648"/>
      <c r="AB8757" s="825"/>
      <c r="AC8757" s="647" t="s">
        <v>29</v>
      </c>
      <c r="AD8757" s="527">
        <v>440</v>
      </c>
      <c r="AE8757" s="527">
        <v>6.88</v>
      </c>
      <c r="AF8757" s="837">
        <f t="shared" si="69"/>
        <v>3027.2</v>
      </c>
      <c r="AG8757" s="507">
        <v>0.69</v>
      </c>
    </row>
    <row r="8758" spans="1:80" ht="15" x14ac:dyDescent="0.25">
      <c r="A8758" s="9" t="s">
        <v>950</v>
      </c>
      <c r="B8758" s="639" t="s">
        <v>965</v>
      </c>
      <c r="C8758" s="639" t="s">
        <v>957</v>
      </c>
      <c r="D8758" s="4">
        <f>VLOOKUP(E8758,'Quality Code'!$D$4:$E$24,2,TRUE)*VLOOKUP(MROUND(F8758,10),'Quality Code'!$D$28:$E$69,2,TRUE)*VLOOKUP(COUNTA(CB8758:CB8760),'Quality Code'!$D$73:$E$93,2,TRUE)</f>
        <v>0.27500000000000002</v>
      </c>
      <c r="E8758" s="14">
        <v>0.55000000000000004</v>
      </c>
      <c r="F8758" s="18">
        <f>COUNT(O8759:O8763)</f>
        <v>5</v>
      </c>
      <c r="G8758" s="12"/>
      <c r="H8758" s="639" t="s">
        <v>692</v>
      </c>
      <c r="I8758" s="640"/>
      <c r="J8758" s="640"/>
      <c r="K8758" s="640"/>
      <c r="L8758" s="640"/>
      <c r="M8758" s="640"/>
      <c r="N8758" s="579"/>
      <c r="O8758" s="579"/>
      <c r="P8758" s="640"/>
      <c r="Q8758" s="640"/>
      <c r="R8758" s="640"/>
      <c r="S8758" s="640"/>
      <c r="T8758" s="640"/>
      <c r="U8758" s="640"/>
      <c r="V8758" s="640"/>
      <c r="W8758" s="640"/>
      <c r="X8758" s="640"/>
      <c r="Y8758" s="640"/>
      <c r="Z8758" s="579"/>
      <c r="AA8758" s="81"/>
      <c r="AB8758" s="81"/>
      <c r="AC8758" s="116"/>
      <c r="AD8758" s="580"/>
      <c r="AE8758" s="580"/>
      <c r="AF8758" s="580"/>
      <c r="AG8758" s="580"/>
      <c r="AH8758" s="330"/>
      <c r="AI8758" s="123"/>
      <c r="AJ8758" s="123"/>
      <c r="AK8758" s="143"/>
      <c r="AL8758" s="17"/>
      <c r="AM8758" s="17"/>
      <c r="AN8758" s="17"/>
      <c r="AO8758" s="17"/>
      <c r="AP8758" s="17"/>
      <c r="AQ8758" s="17"/>
      <c r="AR8758" s="17"/>
      <c r="AS8758" s="17"/>
      <c r="AT8758" s="17"/>
      <c r="AU8758" s="18"/>
      <c r="AV8758" s="147"/>
      <c r="AW8758" s="147"/>
      <c r="AX8758" s="147"/>
      <c r="AY8758" s="147"/>
      <c r="AZ8758" s="17"/>
      <c r="BA8758" s="17">
        <v>1</v>
      </c>
      <c r="BB8758" s="17">
        <v>1</v>
      </c>
      <c r="BC8758" s="17">
        <v>0.98887072612352944</v>
      </c>
      <c r="BD8758" s="17">
        <v>0.97830885101176479</v>
      </c>
      <c r="BE8758" s="17">
        <v>0.97075694928235301</v>
      </c>
      <c r="BF8758" s="17">
        <v>0.95706639318235298</v>
      </c>
      <c r="BG8758" s="17">
        <v>0.8073158399294118</v>
      </c>
      <c r="BH8758" s="17">
        <v>3.1518961223529596E-2</v>
      </c>
      <c r="BI8758" s="4"/>
      <c r="BJ8758" s="639"/>
      <c r="BK8758" s="639" t="s">
        <v>960</v>
      </c>
      <c r="BL8758" s="12"/>
      <c r="BM8758" s="12"/>
      <c r="BN8758" s="12"/>
      <c r="BO8758" s="12"/>
      <c r="BP8758" s="12"/>
      <c r="BQ8758" s="12"/>
      <c r="BR8758" s="12"/>
      <c r="BS8758" s="12"/>
      <c r="BT8758" s="12"/>
      <c r="BU8758" s="639"/>
      <c r="BV8758" s="639"/>
      <c r="BW8758" s="639"/>
      <c r="BX8758" s="639"/>
      <c r="BY8758" s="639"/>
      <c r="BZ8758" s="639"/>
      <c r="CA8758" s="381"/>
      <c r="CB8758" s="9" t="s">
        <v>962</v>
      </c>
    </row>
    <row r="8759" spans="1:80" x14ac:dyDescent="0.2">
      <c r="A8759" s="189"/>
      <c r="D8759" s="702"/>
      <c r="F8759" s="571"/>
      <c r="L8759" s="563"/>
      <c r="M8759" s="663">
        <v>38003.5</v>
      </c>
      <c r="N8759" s="507">
        <v>1995</v>
      </c>
      <c r="O8759" s="832">
        <v>6.8826388888888888</v>
      </c>
      <c r="P8759" s="648"/>
      <c r="Q8759" s="190"/>
      <c r="R8759" s="190"/>
      <c r="S8759" s="190"/>
      <c r="T8759" s="190"/>
      <c r="U8759" s="190"/>
      <c r="V8759" s="190"/>
      <c r="W8759" s="190"/>
      <c r="X8759" s="190"/>
      <c r="Y8759" s="190"/>
      <c r="Z8759" s="190"/>
      <c r="AA8759" s="190"/>
      <c r="AC8759" s="840">
        <v>6.0000000000000002E-5</v>
      </c>
      <c r="AD8759" s="527">
        <v>340</v>
      </c>
      <c r="AE8759" s="527">
        <v>6.47</v>
      </c>
      <c r="AF8759" s="837">
        <f t="shared" si="69"/>
        <v>2199.7999999999997</v>
      </c>
      <c r="AG8759" s="507"/>
      <c r="AJ8759" s="567"/>
      <c r="AK8759" s="567"/>
      <c r="AL8759" s="570"/>
      <c r="AM8759" s="570"/>
      <c r="AN8759" s="570"/>
      <c r="AO8759" s="570"/>
      <c r="AP8759" s="570"/>
      <c r="AQ8759" s="570"/>
      <c r="AR8759" s="570"/>
      <c r="AS8759" s="570"/>
      <c r="AT8759" s="570"/>
      <c r="AU8759" s="567"/>
      <c r="AV8759" s="567"/>
      <c r="CB8759" s="634" t="s">
        <v>964</v>
      </c>
    </row>
    <row r="8760" spans="1:80" x14ac:dyDescent="0.2">
      <c r="A8760" s="189"/>
      <c r="D8760" s="702"/>
      <c r="F8760" s="571"/>
      <c r="L8760" s="563"/>
      <c r="M8760" s="663">
        <v>38005.5</v>
      </c>
      <c r="N8760" s="507">
        <v>2276</v>
      </c>
      <c r="O8760" s="832">
        <v>35.664583333333333</v>
      </c>
      <c r="P8760" s="648"/>
      <c r="Q8760" s="190"/>
      <c r="R8760" s="190"/>
      <c r="S8760" s="190"/>
      <c r="T8760" s="190"/>
      <c r="U8760" s="190"/>
      <c r="V8760" s="190"/>
      <c r="W8760" s="190"/>
      <c r="X8760" s="190"/>
      <c r="Y8760" s="190"/>
      <c r="Z8760" s="190"/>
      <c r="AA8760" s="190"/>
      <c r="AC8760" s="840">
        <v>9.2000000000000014E-5</v>
      </c>
      <c r="AD8760" s="527">
        <v>340</v>
      </c>
      <c r="AE8760" s="527">
        <v>6.55</v>
      </c>
      <c r="AF8760" s="837">
        <f t="shared" si="69"/>
        <v>2227</v>
      </c>
      <c r="AG8760" s="507"/>
      <c r="AV8760" s="567"/>
      <c r="AW8760" s="567"/>
      <c r="AX8760" s="567"/>
      <c r="AY8760" s="567"/>
      <c r="AZ8760" s="567"/>
      <c r="CB8760" s="870" t="s">
        <v>966</v>
      </c>
    </row>
    <row r="8761" spans="1:80" x14ac:dyDescent="0.2">
      <c r="A8761" s="189"/>
      <c r="D8761" s="702"/>
      <c r="F8761" s="571"/>
      <c r="L8761" s="563"/>
      <c r="M8761" s="663">
        <v>38006.5</v>
      </c>
      <c r="N8761" s="507">
        <v>2302</v>
      </c>
      <c r="O8761" s="832">
        <v>41.921527777777776</v>
      </c>
      <c r="P8761" s="648"/>
      <c r="Q8761" s="190"/>
      <c r="R8761" s="190"/>
      <c r="S8761" s="190"/>
      <c r="T8761" s="190"/>
      <c r="U8761" s="190"/>
      <c r="V8761" s="190"/>
      <c r="W8761" s="190"/>
      <c r="X8761" s="190"/>
      <c r="Y8761" s="190"/>
      <c r="Z8761" s="190"/>
      <c r="AA8761" s="190"/>
      <c r="AC8761" s="840">
        <v>9.3000000000000011E-5</v>
      </c>
      <c r="AD8761" s="527">
        <v>340</v>
      </c>
      <c r="AE8761" s="527">
        <v>6.65</v>
      </c>
      <c r="AF8761" s="837">
        <f t="shared" si="69"/>
        <v>2261</v>
      </c>
      <c r="AG8761" s="507"/>
      <c r="AV8761" s="567"/>
      <c r="AW8761" s="567"/>
      <c r="AX8761" s="567"/>
      <c r="AY8761" s="567"/>
      <c r="AZ8761" s="567"/>
    </row>
    <row r="8762" spans="1:80" x14ac:dyDescent="0.2">
      <c r="A8762" s="189"/>
      <c r="D8762" s="702"/>
      <c r="F8762" s="571"/>
      <c r="L8762" s="563"/>
      <c r="M8762" s="663">
        <v>38008.5</v>
      </c>
      <c r="N8762" s="507">
        <v>2092</v>
      </c>
      <c r="O8762" s="832">
        <v>25.966319444444451</v>
      </c>
      <c r="P8762" s="648"/>
      <c r="Q8762" s="190"/>
      <c r="R8762" s="190"/>
      <c r="S8762" s="190"/>
      <c r="T8762" s="190"/>
      <c r="U8762" s="190"/>
      <c r="V8762" s="190"/>
      <c r="W8762" s="190"/>
      <c r="X8762" s="190"/>
      <c r="Y8762" s="190"/>
      <c r="Z8762" s="190"/>
      <c r="AA8762" s="190"/>
      <c r="AC8762" s="840">
        <v>8.3999999999999995E-5</v>
      </c>
      <c r="AD8762" s="527">
        <v>340</v>
      </c>
      <c r="AE8762" s="527">
        <v>6.21</v>
      </c>
      <c r="AF8762" s="837">
        <f t="shared" si="69"/>
        <v>2111.4</v>
      </c>
      <c r="AG8762" s="507"/>
      <c r="AV8762" s="567"/>
      <c r="AW8762" s="567"/>
      <c r="AX8762" s="567"/>
      <c r="AY8762" s="567"/>
      <c r="AZ8762" s="567"/>
    </row>
    <row r="8763" spans="1:80" ht="15" x14ac:dyDescent="0.25">
      <c r="A8763" s="189"/>
      <c r="D8763" s="702"/>
      <c r="F8763" s="571"/>
      <c r="L8763" s="563"/>
      <c r="M8763" s="663">
        <v>38014.5</v>
      </c>
      <c r="N8763" s="507">
        <v>1522</v>
      </c>
      <c r="O8763" s="832">
        <v>2.0856481481481484</v>
      </c>
      <c r="P8763" s="648"/>
      <c r="Q8763" s="190"/>
      <c r="R8763" s="190"/>
      <c r="S8763" s="190"/>
      <c r="T8763" s="190"/>
      <c r="U8763" s="190"/>
      <c r="V8763" s="190"/>
      <c r="W8763" s="190"/>
      <c r="X8763" s="190"/>
      <c r="Y8763" s="190"/>
      <c r="Z8763" s="190"/>
      <c r="AA8763" s="190"/>
      <c r="AC8763" s="840">
        <v>4.3000000000000002E-5</v>
      </c>
      <c r="AD8763" s="527">
        <v>340</v>
      </c>
      <c r="AE8763" s="527">
        <v>5.87</v>
      </c>
      <c r="AF8763" s="837">
        <f t="shared" si="69"/>
        <v>1995.8</v>
      </c>
      <c r="AG8763" s="507"/>
      <c r="AV8763" s="441"/>
      <c r="AW8763" s="441"/>
      <c r="AX8763" s="441"/>
      <c r="AY8763" s="441"/>
      <c r="AZ8763" s="441"/>
    </row>
    <row r="8764" spans="1:80" ht="15" x14ac:dyDescent="0.25">
      <c r="A8764" s="9" t="s">
        <v>951</v>
      </c>
      <c r="B8764" s="639" t="s">
        <v>965</v>
      </c>
      <c r="C8764" s="639" t="s">
        <v>958</v>
      </c>
      <c r="D8764" s="4">
        <f>VLOOKUP(E8764,'Quality Code'!$D$4:$E$24,2,TRUE)*VLOOKUP(MROUND(F8764,10),'Quality Code'!$D$28:$E$69,2,TRUE)*VLOOKUP(COUNTA(CB8764:CB8766),'Quality Code'!$D$73:$E$93,2,TRUE)</f>
        <v>0.27500000000000002</v>
      </c>
      <c r="E8764" s="14">
        <v>0.55000000000000004</v>
      </c>
      <c r="F8764" s="18">
        <f>COUNT(O8765:O8769)</f>
        <v>5</v>
      </c>
      <c r="G8764" s="12"/>
      <c r="H8764" s="639" t="s">
        <v>692</v>
      </c>
      <c r="I8764" s="640"/>
      <c r="J8764" s="640"/>
      <c r="K8764" s="640"/>
      <c r="L8764" s="640"/>
      <c r="M8764" s="640"/>
      <c r="N8764" s="579"/>
      <c r="O8764" s="579"/>
      <c r="P8764" s="640"/>
      <c r="Q8764" s="640"/>
      <c r="R8764" s="640"/>
      <c r="S8764" s="640"/>
      <c r="T8764" s="640"/>
      <c r="U8764" s="640"/>
      <c r="V8764" s="640"/>
      <c r="W8764" s="640"/>
      <c r="X8764" s="640"/>
      <c r="Y8764" s="640"/>
      <c r="Z8764" s="579"/>
      <c r="AA8764" s="81"/>
      <c r="AB8764" s="81"/>
      <c r="AC8764" s="116"/>
      <c r="AD8764" s="580"/>
      <c r="AE8764" s="580"/>
      <c r="AF8764" s="580"/>
      <c r="AG8764" s="580"/>
      <c r="AH8764" s="330"/>
      <c r="AI8764" s="123"/>
      <c r="AJ8764" s="123"/>
      <c r="AK8764" s="143"/>
      <c r="AL8764" s="17"/>
      <c r="AM8764" s="17"/>
      <c r="AN8764" s="17"/>
      <c r="AO8764" s="17"/>
      <c r="AP8764" s="17"/>
      <c r="AQ8764" s="17"/>
      <c r="AR8764" s="17"/>
      <c r="AS8764" s="17"/>
      <c r="AT8764" s="17"/>
      <c r="AU8764" s="18"/>
      <c r="AV8764" s="147"/>
      <c r="AW8764" s="147"/>
      <c r="AX8764" s="147"/>
      <c r="AY8764" s="147"/>
      <c r="AZ8764" s="17"/>
      <c r="BA8764" s="17">
        <v>1</v>
      </c>
      <c r="BB8764" s="17">
        <v>0.9533246163611111</v>
      </c>
      <c r="BC8764" s="17">
        <v>0.86488539416999999</v>
      </c>
      <c r="BD8764" s="17">
        <v>0.80752168875888886</v>
      </c>
      <c r="BE8764" s="17">
        <v>0.76554642397833328</v>
      </c>
      <c r="BF8764" s="17">
        <v>0.68113567395555552</v>
      </c>
      <c r="BG8764" s="17">
        <v>0.25352146861111102</v>
      </c>
      <c r="BH8764" s="17">
        <v>9.8530066683332196E-3</v>
      </c>
      <c r="BI8764" s="4"/>
      <c r="BJ8764" s="639"/>
      <c r="BK8764" s="639" t="s">
        <v>960</v>
      </c>
      <c r="BL8764" s="12"/>
      <c r="BM8764" s="12"/>
      <c r="BN8764" s="12"/>
      <c r="BO8764" s="12"/>
      <c r="BP8764" s="12"/>
      <c r="BQ8764" s="12"/>
      <c r="BR8764" s="12"/>
      <c r="BS8764" s="12"/>
      <c r="BT8764" s="12"/>
      <c r="BU8764" s="639"/>
      <c r="BV8764" s="639"/>
      <c r="BW8764" s="639"/>
      <c r="BX8764" s="639"/>
      <c r="BY8764" s="639"/>
      <c r="BZ8764" s="639"/>
      <c r="CA8764" s="381"/>
      <c r="CB8764" s="9" t="s">
        <v>962</v>
      </c>
    </row>
    <row r="8765" spans="1:80" x14ac:dyDescent="0.2">
      <c r="A8765" s="189"/>
      <c r="D8765" s="702"/>
      <c r="F8765" s="571"/>
      <c r="L8765" s="563"/>
      <c r="M8765" s="663">
        <v>38003.5</v>
      </c>
      <c r="N8765" s="507">
        <v>1369</v>
      </c>
      <c r="O8765" s="832">
        <v>6.625</v>
      </c>
      <c r="P8765" s="648"/>
      <c r="Q8765" s="190"/>
      <c r="R8765" s="190"/>
      <c r="S8765" s="190"/>
      <c r="T8765" s="190"/>
      <c r="U8765" s="190"/>
      <c r="V8765" s="190"/>
      <c r="W8765" s="190"/>
      <c r="X8765" s="190"/>
      <c r="Y8765" s="190"/>
      <c r="Z8765" s="190"/>
      <c r="AA8765" s="190"/>
      <c r="AC8765" s="840">
        <v>1.18E-4</v>
      </c>
      <c r="AD8765" s="527">
        <v>180</v>
      </c>
      <c r="AE8765" s="527">
        <v>7.49</v>
      </c>
      <c r="AF8765" s="837">
        <f t="shared" si="69"/>
        <v>1348.2</v>
      </c>
      <c r="AG8765" s="507"/>
      <c r="CB8765" s="634" t="s">
        <v>964</v>
      </c>
    </row>
    <row r="8766" spans="1:80" x14ac:dyDescent="0.2">
      <c r="A8766" s="189"/>
      <c r="D8766" s="702"/>
      <c r="L8766" s="563"/>
      <c r="M8766" s="663">
        <v>38005.5</v>
      </c>
      <c r="N8766" s="507">
        <v>1499</v>
      </c>
      <c r="O8766" s="832">
        <v>19.488541666666666</v>
      </c>
      <c r="P8766" s="648"/>
      <c r="Q8766" s="190"/>
      <c r="R8766" s="190"/>
      <c r="S8766" s="190"/>
      <c r="T8766" s="190"/>
      <c r="U8766" s="190"/>
      <c r="V8766" s="190"/>
      <c r="W8766" s="190"/>
      <c r="X8766" s="190"/>
      <c r="Y8766" s="190"/>
      <c r="Z8766" s="190"/>
      <c r="AA8766" s="190"/>
      <c r="AC8766" s="840">
        <v>1.44E-4</v>
      </c>
      <c r="AD8766" s="527">
        <v>180</v>
      </c>
      <c r="AE8766" s="527">
        <v>7.55</v>
      </c>
      <c r="AF8766" s="837">
        <f t="shared" si="69"/>
        <v>1359</v>
      </c>
      <c r="AG8766" s="507"/>
      <c r="AZ8766" s="78"/>
      <c r="CB8766" s="871" t="s">
        <v>966</v>
      </c>
    </row>
    <row r="8767" spans="1:80" x14ac:dyDescent="0.2">
      <c r="A8767" s="189"/>
      <c r="D8767" s="702"/>
      <c r="L8767" s="563"/>
      <c r="M8767" s="663">
        <v>38006.5</v>
      </c>
      <c r="N8767" s="507">
        <v>1641</v>
      </c>
      <c r="O8767" s="832">
        <v>20.758333333333333</v>
      </c>
      <c r="P8767" s="648"/>
      <c r="Q8767" s="190"/>
      <c r="R8767" s="190"/>
      <c r="S8767" s="190"/>
      <c r="T8767" s="190"/>
      <c r="U8767" s="190"/>
      <c r="V8767" s="190"/>
      <c r="W8767" s="190"/>
      <c r="X8767" s="190"/>
      <c r="Y8767" s="190"/>
      <c r="Z8767" s="190"/>
      <c r="AA8767" s="190"/>
      <c r="AC8767" s="840">
        <v>1.4799999999999999E-4</v>
      </c>
      <c r="AD8767" s="527">
        <v>180</v>
      </c>
      <c r="AE8767" s="527">
        <v>7.61</v>
      </c>
      <c r="AF8767" s="837">
        <f t="shared" si="69"/>
        <v>1369.8</v>
      </c>
      <c r="AG8767" s="507"/>
    </row>
    <row r="8768" spans="1:80" x14ac:dyDescent="0.2">
      <c r="A8768" s="189"/>
      <c r="D8768" s="702"/>
      <c r="M8768" s="663">
        <v>38008.5</v>
      </c>
      <c r="N8768" s="507">
        <v>1531</v>
      </c>
      <c r="O8768" s="832">
        <v>19.433333333333334</v>
      </c>
      <c r="P8768" s="648"/>
      <c r="Q8768" s="190"/>
      <c r="R8768" s="190"/>
      <c r="S8768" s="190"/>
      <c r="T8768" s="190"/>
      <c r="U8768" s="190"/>
      <c r="V8768" s="190"/>
      <c r="W8768" s="190"/>
      <c r="X8768" s="190"/>
      <c r="Y8768" s="190"/>
      <c r="Z8768" s="190"/>
      <c r="AA8768" s="190"/>
      <c r="AC8768" s="840">
        <v>1.34E-4</v>
      </c>
      <c r="AD8768" s="527">
        <v>180</v>
      </c>
      <c r="AE8768" s="527">
        <v>7.14</v>
      </c>
      <c r="AF8768" s="837">
        <f t="shared" si="69"/>
        <v>1285.2</v>
      </c>
      <c r="AG8768" s="507"/>
    </row>
    <row r="8769" spans="1:80" x14ac:dyDescent="0.2">
      <c r="A8769" s="189"/>
      <c r="D8769" s="702"/>
      <c r="M8769" s="663">
        <v>38014.5</v>
      </c>
      <c r="N8769" s="507">
        <v>528</v>
      </c>
      <c r="O8769" s="832">
        <v>4.3614583333333332</v>
      </c>
      <c r="P8769" s="648"/>
      <c r="Q8769" s="190"/>
      <c r="R8769" s="190"/>
      <c r="S8769" s="190"/>
      <c r="T8769" s="190"/>
      <c r="U8769" s="190"/>
      <c r="V8769" s="190"/>
      <c r="W8769" s="190"/>
      <c r="X8769" s="190"/>
      <c r="Y8769" s="190"/>
      <c r="Z8769" s="190"/>
      <c r="AA8769" s="190"/>
      <c r="AC8769" s="840">
        <v>3.9000000000000006E-5</v>
      </c>
      <c r="AD8769" s="527">
        <v>180</v>
      </c>
      <c r="AE8769" s="527">
        <v>6.91</v>
      </c>
      <c r="AF8769" s="837">
        <f t="shared" si="69"/>
        <v>1243.8</v>
      </c>
      <c r="AG8769" s="507"/>
    </row>
    <row r="8770" spans="1:80" ht="15" x14ac:dyDescent="0.25">
      <c r="A8770" s="9" t="s">
        <v>693</v>
      </c>
      <c r="B8770" s="639" t="s">
        <v>694</v>
      </c>
      <c r="C8770" s="639"/>
      <c r="D8770" s="873">
        <f>VLOOKUP(E8770,'Quality Code'!$D$4:$E$24,2,TRUE)*VLOOKUP(MROUND(F8770,10),'Quality Code'!$D$28:$E$69,2,TRUE)*VLOOKUP(COUNTA(CB8770:CB8772),'Quality Code'!$D$73:$E$93,2,TRUE)</f>
        <v>1.8749925000000001</v>
      </c>
      <c r="E8770" s="14">
        <v>0.45</v>
      </c>
      <c r="F8770" s="18">
        <f>COUNT(N8771:N8980)</f>
        <v>210</v>
      </c>
      <c r="G8770" s="12">
        <v>7</v>
      </c>
      <c r="H8770" s="639" t="s">
        <v>695</v>
      </c>
      <c r="I8770" s="640"/>
      <c r="J8770" s="640"/>
      <c r="K8770" s="640"/>
      <c r="L8770" s="640"/>
      <c r="M8770" s="640"/>
      <c r="N8770" s="579"/>
      <c r="O8770" s="579" t="s">
        <v>934</v>
      </c>
      <c r="P8770" s="640"/>
      <c r="Q8770" s="640"/>
      <c r="R8770" s="640"/>
      <c r="S8770" s="640"/>
      <c r="T8770" s="640"/>
      <c r="U8770" s="640"/>
      <c r="V8770" s="640"/>
      <c r="W8770" s="640"/>
      <c r="X8770" s="640"/>
      <c r="Y8770" s="640"/>
      <c r="Z8770" s="579"/>
      <c r="AA8770" s="81"/>
      <c r="AB8770" s="81"/>
      <c r="AC8770" s="116"/>
      <c r="AD8770" s="580"/>
      <c r="AE8770" s="580"/>
      <c r="AF8770" s="580"/>
      <c r="AG8770" s="580"/>
      <c r="AH8770" s="330"/>
      <c r="AI8770" s="123"/>
      <c r="AJ8770" s="123"/>
      <c r="AK8770" s="143"/>
      <c r="AL8770" s="17"/>
      <c r="AM8770" s="17"/>
      <c r="AN8770" s="17"/>
      <c r="AO8770" s="17"/>
      <c r="AP8770" s="17"/>
      <c r="AQ8770" s="17"/>
      <c r="AR8770" s="17"/>
      <c r="AS8770" s="17"/>
      <c r="AT8770" s="17"/>
      <c r="AU8770" s="18">
        <v>16</v>
      </c>
      <c r="AV8770" s="147"/>
      <c r="AW8770" s="147"/>
      <c r="AX8770" s="147"/>
      <c r="AY8770" s="147"/>
      <c r="AZ8770" s="17"/>
      <c r="BA8770" s="17"/>
      <c r="BB8770" s="17"/>
      <c r="BC8770" s="17"/>
      <c r="BD8770" s="17"/>
      <c r="BE8770" s="17"/>
      <c r="BF8770" s="17"/>
      <c r="BG8770" s="17"/>
      <c r="BH8770" s="17"/>
      <c r="BI8770" s="4"/>
      <c r="BJ8770" s="639"/>
      <c r="BK8770" s="639"/>
      <c r="BL8770" s="12"/>
      <c r="BM8770" s="12">
        <v>13</v>
      </c>
      <c r="BN8770" s="12"/>
      <c r="BO8770" s="12"/>
      <c r="BP8770" s="12"/>
      <c r="BQ8770" s="12"/>
      <c r="BR8770" s="12"/>
      <c r="BS8770" s="12"/>
      <c r="BT8770" s="12"/>
      <c r="BU8770" s="639"/>
      <c r="BV8770" s="639"/>
      <c r="BW8770" s="639"/>
      <c r="BX8770" s="639"/>
      <c r="BY8770" s="639"/>
      <c r="BZ8770" s="639"/>
      <c r="CA8770" s="381"/>
      <c r="CB8770" s="9" t="s">
        <v>963</v>
      </c>
    </row>
    <row r="8771" spans="1:80" x14ac:dyDescent="0.2">
      <c r="M8771" s="836">
        <v>28775</v>
      </c>
      <c r="N8771" s="507">
        <v>5.1859999999999999</v>
      </c>
      <c r="O8771" s="507">
        <v>3.2000000000000002E-3</v>
      </c>
      <c r="AC8771" s="507">
        <v>1.4200000000000001E-2</v>
      </c>
      <c r="AD8771" s="507"/>
      <c r="AE8771" s="507">
        <v>0.62</v>
      </c>
      <c r="CB8771" s="885" t="s">
        <v>641</v>
      </c>
    </row>
    <row r="8772" spans="1:80" x14ac:dyDescent="0.2">
      <c r="M8772" s="836">
        <v>28775</v>
      </c>
      <c r="N8772" s="507">
        <v>5.3029999999999999</v>
      </c>
      <c r="O8772" s="507">
        <v>1.01E-2</v>
      </c>
      <c r="AC8772" s="507">
        <v>1.4E-2</v>
      </c>
      <c r="AD8772" s="507"/>
      <c r="AE8772" s="507">
        <v>0.626</v>
      </c>
    </row>
    <row r="8773" spans="1:80" x14ac:dyDescent="0.2">
      <c r="M8773" s="836">
        <v>28775</v>
      </c>
      <c r="N8773" s="507">
        <v>3.9350000000000001</v>
      </c>
      <c r="O8773" s="507">
        <v>1.52E-2</v>
      </c>
      <c r="AC8773" s="507">
        <v>1.21E-2</v>
      </c>
      <c r="AD8773" s="507"/>
      <c r="AE8773" s="507">
        <v>0.54900000000000004</v>
      </c>
    </row>
    <row r="8774" spans="1:80" x14ac:dyDescent="0.2">
      <c r="M8774" s="836">
        <v>28806</v>
      </c>
      <c r="N8774" s="507">
        <v>2.4369999999999998</v>
      </c>
      <c r="O8774" s="507">
        <v>5.7000000000000002E-3</v>
      </c>
      <c r="AC8774" s="507">
        <v>1.12E-2</v>
      </c>
      <c r="AD8774" s="507"/>
      <c r="AE8774" s="507">
        <v>0.443</v>
      </c>
    </row>
    <row r="8775" spans="1:80" x14ac:dyDescent="0.2">
      <c r="M8775" s="836">
        <v>28806</v>
      </c>
      <c r="N8775" s="507">
        <v>1.173</v>
      </c>
      <c r="O8775" s="507">
        <v>2.1299999999999999E-2</v>
      </c>
      <c r="AC8775" s="507">
        <v>9.4999999999999998E-3</v>
      </c>
      <c r="AD8775" s="507"/>
      <c r="AE8775" s="507">
        <v>0.31</v>
      </c>
    </row>
    <row r="8776" spans="1:80" x14ac:dyDescent="0.2">
      <c r="M8776" s="836">
        <v>28806</v>
      </c>
      <c r="N8776" s="507">
        <v>1.1220000000000001</v>
      </c>
      <c r="O8776" s="507">
        <v>2.5000000000000001E-2</v>
      </c>
      <c r="AC8776" s="507">
        <v>8.2000000000000007E-3</v>
      </c>
      <c r="AD8776" s="507"/>
      <c r="AE8776" s="507">
        <v>0.30299999999999999</v>
      </c>
    </row>
    <row r="8777" spans="1:80" x14ac:dyDescent="0.2">
      <c r="M8777" s="836">
        <v>28806</v>
      </c>
      <c r="N8777" s="507">
        <v>0.89100000000000001</v>
      </c>
      <c r="O8777" s="507">
        <v>8.6E-3</v>
      </c>
      <c r="AC8777" s="507">
        <v>6.1999999999999998E-3</v>
      </c>
      <c r="AD8777" s="507"/>
      <c r="AE8777" s="507">
        <v>0.26800000000000002</v>
      </c>
    </row>
    <row r="8778" spans="1:80" x14ac:dyDescent="0.2">
      <c r="M8778" s="836">
        <v>28806</v>
      </c>
      <c r="N8778" s="507">
        <v>0.82599999999999996</v>
      </c>
      <c r="O8778" s="507">
        <v>5.4000000000000003E-3</v>
      </c>
      <c r="AC8778" s="507">
        <v>6.1999999999999998E-3</v>
      </c>
      <c r="AD8778" s="507"/>
      <c r="AE8778" s="507">
        <v>0.25700000000000001</v>
      </c>
    </row>
    <row r="8779" spans="1:80" x14ac:dyDescent="0.2">
      <c r="M8779" s="836">
        <v>28806</v>
      </c>
      <c r="N8779" s="507">
        <v>0.72499999999999998</v>
      </c>
      <c r="O8779" s="507">
        <v>8.3000000000000001E-3</v>
      </c>
      <c r="AC8779" s="507">
        <v>5.7000000000000002E-3</v>
      </c>
      <c r="AD8779" s="507"/>
      <c r="AE8779" s="507">
        <v>0.23899999999999999</v>
      </c>
    </row>
    <row r="8780" spans="1:80" x14ac:dyDescent="0.2">
      <c r="M8780" s="836">
        <v>28806</v>
      </c>
      <c r="N8780" s="507">
        <v>0.67800000000000005</v>
      </c>
      <c r="O8780" s="507">
        <v>2.5999999999999999E-3</v>
      </c>
      <c r="AC8780" s="507">
        <v>5.4000000000000003E-3</v>
      </c>
      <c r="AD8780" s="507"/>
      <c r="AE8780" s="507">
        <v>0.23</v>
      </c>
    </row>
    <row r="8781" spans="1:80" x14ac:dyDescent="0.2">
      <c r="M8781" s="836">
        <v>28806</v>
      </c>
      <c r="N8781" s="507">
        <v>0.624</v>
      </c>
      <c r="O8781" s="507">
        <v>6.9999999999999999E-4</v>
      </c>
      <c r="AC8781" s="507">
        <v>5.7999999999999996E-3</v>
      </c>
      <c r="AD8781" s="507"/>
      <c r="AE8781" s="507">
        <v>0.22</v>
      </c>
    </row>
    <row r="8782" spans="1:80" x14ac:dyDescent="0.2">
      <c r="M8782" s="836">
        <v>28806</v>
      </c>
      <c r="N8782" s="507">
        <v>0.56200000000000006</v>
      </c>
      <c r="O8782" s="507">
        <v>5.9999999999999995E-4</v>
      </c>
      <c r="AC8782" s="507">
        <v>5.7999999999999996E-3</v>
      </c>
      <c r="AD8782" s="507"/>
      <c r="AE8782" s="507">
        <v>0.20499999999999999</v>
      </c>
    </row>
    <row r="8783" spans="1:80" x14ac:dyDescent="0.2">
      <c r="M8783" s="836">
        <v>28806</v>
      </c>
      <c r="N8783" s="507">
        <v>0.501</v>
      </c>
      <c r="O8783" s="507">
        <v>4.0000000000000002E-4</v>
      </c>
      <c r="AC8783" s="507">
        <v>5.7999999999999996E-3</v>
      </c>
      <c r="AD8783" s="507"/>
      <c r="AE8783" s="507">
        <v>0.19500000000000001</v>
      </c>
    </row>
    <row r="8784" spans="1:80" x14ac:dyDescent="0.2">
      <c r="M8784" s="836">
        <v>28806</v>
      </c>
      <c r="N8784" s="507">
        <v>0.47299999999999998</v>
      </c>
      <c r="O8784" s="507">
        <v>5.0000000000000001E-4</v>
      </c>
      <c r="AC8784" s="507">
        <v>5.7999999999999996E-3</v>
      </c>
      <c r="AD8784" s="507"/>
      <c r="AE8784" s="507">
        <v>0.185</v>
      </c>
    </row>
    <row r="8785" spans="6:31" x14ac:dyDescent="0.2">
      <c r="M8785" s="647" t="s">
        <v>920</v>
      </c>
      <c r="N8785" s="507">
        <v>0.13300000000000001</v>
      </c>
      <c r="O8785" s="507">
        <v>2.3999999999999998E-3</v>
      </c>
      <c r="AC8785" s="507">
        <v>1.3100000000000001E-2</v>
      </c>
      <c r="AD8785" s="507"/>
      <c r="AE8785" s="507">
        <v>6.4000000000000001E-2</v>
      </c>
    </row>
    <row r="8786" spans="6:31" x14ac:dyDescent="0.2">
      <c r="M8786" s="647" t="s">
        <v>920</v>
      </c>
      <c r="N8786" s="507">
        <v>0.186</v>
      </c>
      <c r="O8786" s="507">
        <v>2.0000000000000001E-4</v>
      </c>
      <c r="AC8786" s="507">
        <v>1.2699999999999999E-2</v>
      </c>
      <c r="AD8786" s="507"/>
      <c r="AE8786" s="507">
        <v>0.09</v>
      </c>
    </row>
    <row r="8787" spans="6:31" x14ac:dyDescent="0.2">
      <c r="M8787" s="647" t="s">
        <v>920</v>
      </c>
      <c r="N8787" s="507">
        <v>0.32700000000000001</v>
      </c>
      <c r="O8787" s="507">
        <v>6.8999999999999999E-3</v>
      </c>
      <c r="AC8787" s="507">
        <v>9.7000000000000003E-3</v>
      </c>
      <c r="AD8787" s="507"/>
      <c r="AE8787" s="507">
        <v>0.14399999999999999</v>
      </c>
    </row>
    <row r="8788" spans="6:31" x14ac:dyDescent="0.2">
      <c r="M8788" s="647" t="s">
        <v>920</v>
      </c>
      <c r="N8788" s="507">
        <v>0.39</v>
      </c>
      <c r="O8788" s="507">
        <v>5.4999999999999997E-3</v>
      </c>
      <c r="AC8788" s="507">
        <v>9.1999999999999998E-3</v>
      </c>
      <c r="AD8788" s="507"/>
      <c r="AE8788" s="507">
        <v>0.16300000000000001</v>
      </c>
    </row>
    <row r="8789" spans="6:31" x14ac:dyDescent="0.2">
      <c r="M8789" s="647" t="s">
        <v>920</v>
      </c>
      <c r="N8789" s="507">
        <v>0.45400000000000001</v>
      </c>
      <c r="O8789" s="507">
        <v>5.8999999999999999E-3</v>
      </c>
      <c r="AC8789" s="507">
        <v>8.0999999999999996E-3</v>
      </c>
      <c r="AD8789" s="507"/>
      <c r="AE8789" s="507">
        <v>0.18</v>
      </c>
    </row>
    <row r="8790" spans="6:31" x14ac:dyDescent="0.2">
      <c r="F8790" s="688"/>
      <c r="M8790" s="647" t="s">
        <v>920</v>
      </c>
      <c r="N8790" s="507">
        <v>0.45800000000000002</v>
      </c>
      <c r="O8790" s="507">
        <v>4.1999999999999997E-3</v>
      </c>
      <c r="AC8790" s="507">
        <v>7.4999999999999997E-3</v>
      </c>
      <c r="AD8790" s="507"/>
      <c r="AE8790" s="507">
        <v>0.18099999999999999</v>
      </c>
    </row>
    <row r="8791" spans="6:31" x14ac:dyDescent="0.2">
      <c r="M8791" s="647" t="s">
        <v>920</v>
      </c>
      <c r="N8791" s="507">
        <v>0.40799999999999997</v>
      </c>
      <c r="O8791" s="507">
        <v>2.8E-3</v>
      </c>
      <c r="AC8791" s="507">
        <v>6.7000000000000002E-3</v>
      </c>
      <c r="AD8791" s="507"/>
      <c r="AE8791" s="507">
        <v>0.16800000000000001</v>
      </c>
    </row>
    <row r="8792" spans="6:31" x14ac:dyDescent="0.2">
      <c r="M8792" s="647" t="s">
        <v>920</v>
      </c>
      <c r="N8792" s="507">
        <v>0.39400000000000002</v>
      </c>
      <c r="O8792" s="507">
        <v>1.1000000000000001E-3</v>
      </c>
      <c r="AC8792" s="507">
        <v>6.6E-3</v>
      </c>
      <c r="AD8792" s="507"/>
      <c r="AE8792" s="507">
        <v>0.16400000000000001</v>
      </c>
    </row>
    <row r="8793" spans="6:31" x14ac:dyDescent="0.2">
      <c r="M8793" s="647" t="s">
        <v>920</v>
      </c>
      <c r="N8793" s="507">
        <v>0.34599999999999997</v>
      </c>
      <c r="O8793" s="507">
        <v>1.9E-3</v>
      </c>
      <c r="AC8793" s="507">
        <v>6.1999999999999998E-3</v>
      </c>
      <c r="AD8793" s="507"/>
      <c r="AE8793" s="507">
        <v>0.14899999999999999</v>
      </c>
    </row>
    <row r="8794" spans="6:31" x14ac:dyDescent="0.2">
      <c r="M8794" s="647" t="s">
        <v>920</v>
      </c>
      <c r="N8794" s="507">
        <v>0.32900000000000001</v>
      </c>
      <c r="O8794" s="507">
        <v>8.0000000000000004E-4</v>
      </c>
      <c r="AC8794" s="507">
        <v>6.6E-3</v>
      </c>
      <c r="AD8794" s="507"/>
      <c r="AE8794" s="507">
        <v>0.14499999999999999</v>
      </c>
    </row>
    <row r="8795" spans="6:31" x14ac:dyDescent="0.2">
      <c r="M8795" s="647" t="s">
        <v>920</v>
      </c>
      <c r="N8795" s="507">
        <v>0.29299999999999998</v>
      </c>
      <c r="O8795" s="507">
        <v>8.0000000000000004E-4</v>
      </c>
      <c r="AC8795" s="507">
        <v>7.0000000000000001E-3</v>
      </c>
      <c r="AD8795" s="507"/>
      <c r="AE8795" s="507">
        <v>0.13300000000000001</v>
      </c>
    </row>
    <row r="8796" spans="6:31" x14ac:dyDescent="0.2">
      <c r="M8796" s="647" t="s">
        <v>920</v>
      </c>
      <c r="N8796" s="507">
        <v>0.28399999999999997</v>
      </c>
      <c r="O8796" s="507">
        <v>6.9999999999999999E-4</v>
      </c>
      <c r="AC8796" s="507">
        <v>7.7999999999999996E-3</v>
      </c>
      <c r="AD8796" s="507"/>
      <c r="AE8796" s="507">
        <v>0.13</v>
      </c>
    </row>
    <row r="8797" spans="6:31" x14ac:dyDescent="0.2">
      <c r="M8797" s="647" t="s">
        <v>920</v>
      </c>
      <c r="N8797" s="507">
        <v>0.25700000000000001</v>
      </c>
      <c r="O8797" s="507">
        <v>8.0000000000000004E-4</v>
      </c>
      <c r="AC8797" s="507">
        <v>7.7999999999999996E-3</v>
      </c>
      <c r="AD8797" s="507"/>
      <c r="AE8797" s="507">
        <v>0.12</v>
      </c>
    </row>
    <row r="8798" spans="6:31" x14ac:dyDescent="0.2">
      <c r="M8798" s="647" t="s">
        <v>920</v>
      </c>
      <c r="N8798" s="507">
        <v>0.251</v>
      </c>
      <c r="O8798" s="507">
        <v>6.9999999999999999E-4</v>
      </c>
      <c r="AC8798" s="507">
        <v>7.7000000000000002E-3</v>
      </c>
      <c r="AD8798" s="507"/>
      <c r="AE8798" s="507">
        <v>0.11799999999999999</v>
      </c>
    </row>
    <row r="8799" spans="6:31" x14ac:dyDescent="0.2">
      <c r="M8799" s="647" t="s">
        <v>920</v>
      </c>
      <c r="N8799" s="507">
        <v>0.246</v>
      </c>
      <c r="O8799" s="507">
        <v>5.0000000000000001E-4</v>
      </c>
      <c r="AC8799" s="507">
        <v>7.3000000000000001E-3</v>
      </c>
      <c r="AD8799" s="507"/>
      <c r="AE8799" s="507">
        <v>0.11600000000000001</v>
      </c>
    </row>
    <row r="8800" spans="6:31" x14ac:dyDescent="0.2">
      <c r="M8800" s="647" t="s">
        <v>920</v>
      </c>
      <c r="N8800" s="507">
        <v>0.24299999999999999</v>
      </c>
      <c r="O8800" s="507">
        <v>0</v>
      </c>
      <c r="AC8800" s="507">
        <v>7.1000000000000004E-3</v>
      </c>
      <c r="AD8800" s="507"/>
      <c r="AE8800" s="507">
        <v>0.115</v>
      </c>
    </row>
    <row r="8801" spans="13:31" x14ac:dyDescent="0.2">
      <c r="M8801" s="647" t="s">
        <v>920</v>
      </c>
      <c r="N8801" s="507">
        <v>0.23300000000000001</v>
      </c>
      <c r="O8801" s="507">
        <v>1.1000000000000001E-3</v>
      </c>
      <c r="AC8801" s="507">
        <v>6.8999999999999999E-3</v>
      </c>
      <c r="AD8801" s="507"/>
      <c r="AE8801" s="507">
        <v>0.111</v>
      </c>
    </row>
    <row r="8802" spans="13:31" x14ac:dyDescent="0.2">
      <c r="M8802" s="647" t="s">
        <v>920</v>
      </c>
      <c r="N8802" s="507">
        <v>0.22600000000000001</v>
      </c>
      <c r="O8802" s="507">
        <v>0</v>
      </c>
      <c r="AC8802" s="507">
        <v>6.7000000000000002E-3</v>
      </c>
      <c r="AD8802" s="507"/>
      <c r="AE8802" s="507">
        <v>0.108</v>
      </c>
    </row>
    <row r="8803" spans="13:31" x14ac:dyDescent="0.2">
      <c r="M8803" s="647" t="s">
        <v>920</v>
      </c>
      <c r="N8803" s="507">
        <v>0.214</v>
      </c>
      <c r="O8803" s="507">
        <v>2.9999999999999997E-4</v>
      </c>
      <c r="AC8803" s="507">
        <v>6.4999999999999997E-3</v>
      </c>
      <c r="AD8803" s="507"/>
      <c r="AE8803" s="507">
        <v>0.10299999999999999</v>
      </c>
    </row>
    <row r="8804" spans="13:31" x14ac:dyDescent="0.2">
      <c r="M8804" s="647" t="s">
        <v>920</v>
      </c>
      <c r="N8804" s="507">
        <v>0.20200000000000001</v>
      </c>
      <c r="O8804" s="507">
        <v>0</v>
      </c>
      <c r="AC8804" s="507">
        <v>6.3E-3</v>
      </c>
      <c r="AD8804" s="507"/>
      <c r="AE8804" s="507">
        <v>9.8000000000000004E-2</v>
      </c>
    </row>
    <row r="8805" spans="13:31" x14ac:dyDescent="0.2">
      <c r="M8805" s="647" t="s">
        <v>921</v>
      </c>
      <c r="N8805" s="507">
        <v>0.19700000000000001</v>
      </c>
      <c r="O8805" s="507">
        <v>8.0000000000000004E-4</v>
      </c>
      <c r="AC8805" s="507">
        <v>6.1999999999999998E-3</v>
      </c>
      <c r="AD8805" s="507"/>
      <c r="AE8805" s="507">
        <v>9.6000000000000002E-2</v>
      </c>
    </row>
    <row r="8806" spans="13:31" x14ac:dyDescent="0.2">
      <c r="M8806" s="647" t="s">
        <v>921</v>
      </c>
      <c r="N8806" s="507">
        <v>0.188</v>
      </c>
      <c r="O8806" s="507">
        <v>0</v>
      </c>
      <c r="AC8806" s="507">
        <v>6.0000000000000001E-3</v>
      </c>
      <c r="AD8806" s="507"/>
      <c r="AE8806" s="507">
        <v>9.1999999999999998E-2</v>
      </c>
    </row>
    <row r="8807" spans="13:31" x14ac:dyDescent="0.2">
      <c r="M8807" s="647" t="s">
        <v>921</v>
      </c>
      <c r="N8807" s="507">
        <v>0.184</v>
      </c>
      <c r="O8807" s="507">
        <v>2.9999999999999997E-4</v>
      </c>
      <c r="AC8807" s="507">
        <v>6.0000000000000001E-3</v>
      </c>
      <c r="AD8807" s="507"/>
      <c r="AE8807" s="507">
        <v>0.09</v>
      </c>
    </row>
    <row r="8808" spans="13:31" x14ac:dyDescent="0.2">
      <c r="M8808" s="647" t="s">
        <v>922</v>
      </c>
      <c r="N8808" s="507">
        <v>0.191</v>
      </c>
      <c r="O8808" s="507">
        <v>8.9999999999999998E-4</v>
      </c>
      <c r="AC8808" s="507">
        <v>9.9000000000000008E-3</v>
      </c>
      <c r="AD8808" s="507"/>
      <c r="AE8808" s="507">
        <v>9.2999999999999999E-2</v>
      </c>
    </row>
    <row r="8809" spans="13:31" x14ac:dyDescent="0.2">
      <c r="M8809" s="647" t="s">
        <v>922</v>
      </c>
      <c r="N8809" s="507">
        <v>0.45400000000000001</v>
      </c>
      <c r="O8809" s="507">
        <v>1.2999999999999999E-3</v>
      </c>
      <c r="AC8809" s="507">
        <v>1.1299999999999999E-2</v>
      </c>
      <c r="AD8809" s="507"/>
      <c r="AE8809" s="507">
        <v>0.18</v>
      </c>
    </row>
    <row r="8810" spans="13:31" x14ac:dyDescent="0.2">
      <c r="M8810" s="647" t="s">
        <v>922</v>
      </c>
      <c r="N8810" s="507">
        <v>1.4910000000000001</v>
      </c>
      <c r="O8810" s="507">
        <v>1.21E-2</v>
      </c>
      <c r="AC8810" s="507">
        <v>1.09E-2</v>
      </c>
      <c r="AD8810" s="507"/>
      <c r="AE8810" s="507">
        <v>0.35</v>
      </c>
    </row>
    <row r="8811" spans="13:31" x14ac:dyDescent="0.2">
      <c r="M8811" s="647" t="s">
        <v>922</v>
      </c>
      <c r="N8811" s="507">
        <v>3.3490000000000002</v>
      </c>
      <c r="O8811" s="507">
        <v>1.0500000000000001E-2</v>
      </c>
      <c r="AC8811" s="507">
        <v>1.04E-2</v>
      </c>
      <c r="AD8811" s="507"/>
      <c r="AE8811" s="507">
        <v>0.51200000000000001</v>
      </c>
    </row>
    <row r="8812" spans="13:31" x14ac:dyDescent="0.2">
      <c r="M8812" s="647" t="s">
        <v>922</v>
      </c>
      <c r="N8812" s="507">
        <v>3.4079999999999999</v>
      </c>
      <c r="O8812" s="507">
        <v>3.2000000000000002E-3</v>
      </c>
      <c r="AC8812" s="507">
        <v>8.2000000000000007E-3</v>
      </c>
      <c r="AD8812" s="507"/>
      <c r="AE8812" s="507">
        <v>0.51600000000000001</v>
      </c>
    </row>
    <row r="8813" spans="13:31" x14ac:dyDescent="0.2">
      <c r="M8813" s="647" t="s">
        <v>922</v>
      </c>
      <c r="N8813" s="507">
        <v>3.512</v>
      </c>
      <c r="O8813" s="507">
        <v>8.2000000000000007E-3</v>
      </c>
      <c r="AC8813" s="507">
        <v>7.9000000000000008E-3</v>
      </c>
      <c r="AD8813" s="507"/>
      <c r="AE8813" s="507">
        <v>0.52300000000000002</v>
      </c>
    </row>
    <row r="8814" spans="13:31" x14ac:dyDescent="0.2">
      <c r="M8814" s="647" t="s">
        <v>922</v>
      </c>
      <c r="N8814" s="507">
        <v>3.363</v>
      </c>
      <c r="O8814" s="507">
        <v>2.5399999999999999E-2</v>
      </c>
      <c r="AC8814" s="507">
        <v>6.3E-3</v>
      </c>
      <c r="AD8814" s="507"/>
      <c r="AE8814" s="507">
        <v>0.51300000000000001</v>
      </c>
    </row>
    <row r="8815" spans="13:31" x14ac:dyDescent="0.2">
      <c r="M8815" s="647" t="s">
        <v>923</v>
      </c>
      <c r="N8815" s="507">
        <v>2.141</v>
      </c>
      <c r="O8815" s="507">
        <v>3.9300000000000002E-2</v>
      </c>
      <c r="AC8815" s="507">
        <v>6.1999999999999998E-3</v>
      </c>
      <c r="AD8815" s="507"/>
      <c r="AE8815" s="507">
        <v>0.41699999999999998</v>
      </c>
    </row>
    <row r="8816" spans="13:31" x14ac:dyDescent="0.2">
      <c r="M8816" s="647" t="s">
        <v>923</v>
      </c>
      <c r="N8816" s="507">
        <v>1.569</v>
      </c>
      <c r="O8816" s="507">
        <v>4.2799999999999998E-2</v>
      </c>
      <c r="AC8816" s="507">
        <v>5.7000000000000002E-3</v>
      </c>
      <c r="AD8816" s="507"/>
      <c r="AE8816" s="507">
        <v>0.35899999999999999</v>
      </c>
    </row>
    <row r="8817" spans="13:31" x14ac:dyDescent="0.2">
      <c r="M8817" s="647" t="s">
        <v>923</v>
      </c>
      <c r="N8817" s="507">
        <v>1.24</v>
      </c>
      <c r="O8817" s="507">
        <v>2.81E-2</v>
      </c>
      <c r="AC8817" s="507">
        <v>6.7999999999999996E-3</v>
      </c>
      <c r="AD8817" s="507"/>
      <c r="AE8817" s="507">
        <v>0.31900000000000001</v>
      </c>
    </row>
    <row r="8818" spans="13:31" x14ac:dyDescent="0.2">
      <c r="M8818" s="647" t="s">
        <v>924</v>
      </c>
      <c r="N8818" s="507">
        <v>0.376</v>
      </c>
      <c r="O8818" s="507">
        <v>4.0000000000000001E-3</v>
      </c>
      <c r="AC8818" s="507">
        <v>1.4200000000000001E-2</v>
      </c>
      <c r="AD8818" s="507"/>
      <c r="AE8818" s="507">
        <v>0.159</v>
      </c>
    </row>
    <row r="8819" spans="13:31" x14ac:dyDescent="0.2">
      <c r="M8819" s="647" t="s">
        <v>924</v>
      </c>
      <c r="N8819" s="507">
        <v>0.46500000000000002</v>
      </c>
      <c r="O8819" s="507">
        <v>1.7899999999999999E-2</v>
      </c>
      <c r="AC8819" s="507">
        <v>1.52E-2</v>
      </c>
      <c r="AD8819" s="507"/>
      <c r="AE8819" s="507">
        <v>0.183</v>
      </c>
    </row>
    <row r="8820" spans="13:31" x14ac:dyDescent="0.2">
      <c r="M8820" s="647" t="s">
        <v>924</v>
      </c>
      <c r="N8820" s="507">
        <v>0.54100000000000004</v>
      </c>
      <c r="O8820" s="507">
        <v>1.06E-2</v>
      </c>
      <c r="AC8820" s="507">
        <v>1.5699999999999999E-2</v>
      </c>
      <c r="AD8820" s="507"/>
      <c r="AE8820" s="507">
        <v>0.20100000000000001</v>
      </c>
    </row>
    <row r="8821" spans="13:31" x14ac:dyDescent="0.2">
      <c r="M8821" s="647" t="s">
        <v>924</v>
      </c>
      <c r="N8821" s="507">
        <v>0.61399999999999999</v>
      </c>
      <c r="O8821" s="507">
        <v>8.0999999999999996E-3</v>
      </c>
      <c r="AC8821" s="507">
        <v>1.5599999999999999E-2</v>
      </c>
      <c r="AD8821" s="507"/>
      <c r="AE8821" s="507">
        <v>0.217</v>
      </c>
    </row>
    <row r="8822" spans="13:31" x14ac:dyDescent="0.2">
      <c r="M8822" s="647" t="s">
        <v>924</v>
      </c>
      <c r="N8822" s="507">
        <v>0.79700000000000004</v>
      </c>
      <c r="O8822" s="507">
        <v>7.7000000000000002E-3</v>
      </c>
      <c r="AC8822" s="507">
        <v>1.52E-2</v>
      </c>
      <c r="AD8822" s="507"/>
      <c r="AE8822" s="507">
        <v>0.252</v>
      </c>
    </row>
    <row r="8823" spans="13:31" x14ac:dyDescent="0.2">
      <c r="M8823" s="647" t="s">
        <v>924</v>
      </c>
      <c r="N8823" s="507">
        <v>1.101</v>
      </c>
      <c r="O8823" s="507">
        <v>8.9999999999999993E-3</v>
      </c>
      <c r="AC8823" s="507">
        <v>1.3899999999999999E-2</v>
      </c>
      <c r="AD8823" s="507"/>
      <c r="AE8823" s="507">
        <v>0.29899999999999999</v>
      </c>
    </row>
    <row r="8824" spans="13:31" x14ac:dyDescent="0.2">
      <c r="M8824" s="647" t="s">
        <v>924</v>
      </c>
      <c r="N8824" s="507">
        <v>1.669</v>
      </c>
      <c r="O8824" s="507">
        <v>1.06E-2</v>
      </c>
      <c r="AC8824" s="507">
        <v>1.3100000000000001E-2</v>
      </c>
      <c r="AD8824" s="507"/>
      <c r="AE8824" s="507">
        <v>0.37</v>
      </c>
    </row>
    <row r="8825" spans="13:31" x14ac:dyDescent="0.2">
      <c r="M8825" s="647" t="s">
        <v>924</v>
      </c>
      <c r="N8825" s="507">
        <v>1.982</v>
      </c>
      <c r="O8825" s="507">
        <v>7.4999999999999997E-3</v>
      </c>
      <c r="AC8825" s="507">
        <v>1.11E-2</v>
      </c>
      <c r="AD8825" s="507"/>
      <c r="AE8825" s="507">
        <v>0.40200000000000002</v>
      </c>
    </row>
    <row r="8826" spans="13:31" x14ac:dyDescent="0.2">
      <c r="M8826" s="647" t="s">
        <v>924</v>
      </c>
      <c r="N8826" s="507">
        <v>2.569</v>
      </c>
      <c r="O8826" s="507">
        <v>6.0000000000000001E-3</v>
      </c>
      <c r="AC8826" s="507">
        <v>8.0000000000000002E-3</v>
      </c>
      <c r="AD8826" s="507"/>
      <c r="AE8826" s="507">
        <v>0.45400000000000001</v>
      </c>
    </row>
    <row r="8827" spans="13:31" x14ac:dyDescent="0.2">
      <c r="M8827" s="647" t="s">
        <v>924</v>
      </c>
      <c r="N8827" s="507">
        <v>2.6070000000000002</v>
      </c>
      <c r="O8827" s="507">
        <v>1.8599999999999998E-2</v>
      </c>
      <c r="AC8827" s="507">
        <v>6.6E-3</v>
      </c>
      <c r="AD8827" s="507"/>
      <c r="AE8827" s="507">
        <v>0.45700000000000002</v>
      </c>
    </row>
    <row r="8828" spans="13:31" x14ac:dyDescent="0.2">
      <c r="M8828" s="647" t="s">
        <v>924</v>
      </c>
      <c r="N8828" s="507">
        <v>1.982</v>
      </c>
      <c r="O8828" s="507">
        <v>6.6E-3</v>
      </c>
      <c r="AC8828" s="507">
        <v>5.4999999999999997E-3</v>
      </c>
      <c r="AD8828" s="507"/>
      <c r="AE8828" s="507">
        <v>0.40200000000000002</v>
      </c>
    </row>
    <row r="8829" spans="13:31" x14ac:dyDescent="0.2">
      <c r="M8829" s="647" t="s">
        <v>924</v>
      </c>
      <c r="N8829" s="507">
        <v>1.623</v>
      </c>
      <c r="O8829" s="507">
        <v>1</v>
      </c>
      <c r="AC8829" s="507">
        <v>5.7000000000000002E-3</v>
      </c>
      <c r="AD8829" s="507"/>
      <c r="AE8829" s="507">
        <v>0.36499999999999999</v>
      </c>
    </row>
    <row r="8830" spans="13:31" x14ac:dyDescent="0.2">
      <c r="M8830" s="647" t="s">
        <v>924</v>
      </c>
      <c r="N8830" s="507">
        <v>1.3260000000000001</v>
      </c>
      <c r="O8830" s="507">
        <v>1.0500000000000001E-2</v>
      </c>
      <c r="AC8830" s="507">
        <v>6.0000000000000001E-3</v>
      </c>
      <c r="AD8830" s="507"/>
      <c r="AE8830" s="507">
        <v>0.33</v>
      </c>
    </row>
    <row r="8831" spans="13:31" x14ac:dyDescent="0.2">
      <c r="M8831" s="647" t="s">
        <v>924</v>
      </c>
      <c r="N8831" s="507">
        <v>1.1439999999999999</v>
      </c>
      <c r="O8831" s="507">
        <v>4.5999999999999999E-3</v>
      </c>
      <c r="AC8831" s="507">
        <v>6.7000000000000002E-3</v>
      </c>
      <c r="AD8831" s="507"/>
      <c r="AE8831" s="507">
        <v>0.06</v>
      </c>
    </row>
    <row r="8832" spans="13:31" x14ac:dyDescent="0.2">
      <c r="M8832" s="647" t="s">
        <v>924</v>
      </c>
      <c r="N8832" s="507">
        <v>1.0529999999999999</v>
      </c>
      <c r="O8832" s="507">
        <v>5.1999999999999998E-3</v>
      </c>
      <c r="AC8832" s="507">
        <v>7.4000000000000003E-3</v>
      </c>
      <c r="AD8832" s="507"/>
      <c r="AE8832" s="507">
        <v>0.29299999999999998</v>
      </c>
    </row>
    <row r="8833" spans="13:31" x14ac:dyDescent="0.2">
      <c r="M8833" s="647" t="s">
        <v>924</v>
      </c>
      <c r="N8833" s="507">
        <v>0.97299999999999998</v>
      </c>
      <c r="O8833" s="507">
        <v>1.5E-3</v>
      </c>
      <c r="AC8833" s="507">
        <v>6.7999999999999996E-3</v>
      </c>
      <c r="AD8833" s="507"/>
      <c r="AE8833" s="507">
        <v>0.28100000000000003</v>
      </c>
    </row>
    <row r="8834" spans="13:31" x14ac:dyDescent="0.2">
      <c r="M8834" s="647" t="s">
        <v>924</v>
      </c>
      <c r="N8834" s="507">
        <v>0.88500000000000001</v>
      </c>
      <c r="O8834" s="507">
        <v>1.1999999999999999E-3</v>
      </c>
      <c r="AC8834" s="507">
        <v>6.6E-3</v>
      </c>
      <c r="AD8834" s="507"/>
      <c r="AE8834" s="507">
        <v>0.26700000000000002</v>
      </c>
    </row>
    <row r="8835" spans="13:31" x14ac:dyDescent="0.2">
      <c r="M8835" s="647" t="s">
        <v>924</v>
      </c>
      <c r="N8835" s="507">
        <v>0.79200000000000004</v>
      </c>
      <c r="O8835" s="507">
        <v>2.9999999999999997E-4</v>
      </c>
      <c r="AC8835" s="507">
        <v>5.8999999999999999E-3</v>
      </c>
      <c r="AD8835" s="507"/>
      <c r="AE8835" s="507">
        <v>0.25900000000000001</v>
      </c>
    </row>
    <row r="8836" spans="13:31" x14ac:dyDescent="0.2">
      <c r="M8836" s="647" t="s">
        <v>924</v>
      </c>
      <c r="N8836" s="507">
        <v>0.77100000000000002</v>
      </c>
      <c r="O8836" s="507">
        <v>2.9999999999999997E-4</v>
      </c>
      <c r="AC8836" s="507">
        <v>5.8999999999999999E-3</v>
      </c>
      <c r="AD8836" s="507"/>
      <c r="AE8836" s="507">
        <v>0.247</v>
      </c>
    </row>
    <row r="8837" spans="13:31" x14ac:dyDescent="0.2">
      <c r="M8837" s="647" t="s">
        <v>924</v>
      </c>
      <c r="N8837" s="507">
        <v>0.72</v>
      </c>
      <c r="O8837" s="507">
        <v>5.9999999999999995E-4</v>
      </c>
      <c r="AC8837" s="507">
        <v>5.8999999999999999E-3</v>
      </c>
      <c r="AD8837" s="507"/>
      <c r="AE8837" s="507">
        <v>0.23400000000000001</v>
      </c>
    </row>
    <row r="8838" spans="13:31" x14ac:dyDescent="0.2">
      <c r="M8838" s="647" t="s">
        <v>924</v>
      </c>
      <c r="N8838" s="507">
        <v>0.67800000000000005</v>
      </c>
      <c r="O8838" s="507">
        <v>8.9999999999999998E-4</v>
      </c>
      <c r="AC8838" s="507">
        <v>5.8999999999999999E-3</v>
      </c>
      <c r="AD8838" s="507"/>
      <c r="AE8838" s="507">
        <v>0.22900000000000001</v>
      </c>
    </row>
    <row r="8839" spans="13:31" x14ac:dyDescent="0.2">
      <c r="M8839" s="647" t="s">
        <v>925</v>
      </c>
      <c r="N8839" s="507">
        <v>0.39700000000000002</v>
      </c>
      <c r="O8839" s="507">
        <v>1.6000000000000001E-3</v>
      </c>
      <c r="AC8839" s="507">
        <v>1.4E-2</v>
      </c>
      <c r="AD8839" s="507"/>
      <c r="AE8839" s="507">
        <v>0.16500000000000001</v>
      </c>
    </row>
    <row r="8840" spans="13:31" x14ac:dyDescent="0.2">
      <c r="M8840" s="647" t="s">
        <v>925</v>
      </c>
      <c r="N8840" s="507">
        <v>0.44600000000000001</v>
      </c>
      <c r="O8840" s="507">
        <v>3.0999999999999999E-3</v>
      </c>
      <c r="AC8840" s="507">
        <v>1.5699999999999999E-2</v>
      </c>
      <c r="AD8840" s="507"/>
      <c r="AE8840" s="507">
        <v>0.17799999999999999</v>
      </c>
    </row>
    <row r="8841" spans="13:31" x14ac:dyDescent="0.2">
      <c r="M8841" s="647" t="s">
        <v>925</v>
      </c>
      <c r="N8841" s="507">
        <v>0.60899999999999999</v>
      </c>
      <c r="O8841" s="507">
        <v>1.2999999999999999E-3</v>
      </c>
      <c r="AC8841" s="507">
        <v>1.6199999999999999E-2</v>
      </c>
      <c r="AD8841" s="507"/>
      <c r="AE8841" s="507">
        <v>0.216</v>
      </c>
    </row>
    <row r="8842" spans="13:31" x14ac:dyDescent="0.2">
      <c r="M8842" s="647" t="s">
        <v>925</v>
      </c>
      <c r="N8842" s="507">
        <v>0.78600000000000003</v>
      </c>
      <c r="O8842" s="507">
        <v>1.3100000000000001E-2</v>
      </c>
      <c r="AC8842" s="507">
        <v>1.52E-2</v>
      </c>
      <c r="AD8842" s="507"/>
      <c r="AE8842" s="507">
        <v>0.25</v>
      </c>
    </row>
    <row r="8843" spans="13:31" x14ac:dyDescent="0.2">
      <c r="M8843" s="647" t="s">
        <v>925</v>
      </c>
      <c r="N8843" s="507">
        <v>1.012</v>
      </c>
      <c r="O8843" s="507">
        <v>1.34E-2</v>
      </c>
      <c r="AC8843" s="507">
        <v>1.11E-2</v>
      </c>
      <c r="AD8843" s="507"/>
      <c r="AE8843" s="507">
        <v>0.28699999999999998</v>
      </c>
    </row>
    <row r="8844" spans="13:31" x14ac:dyDescent="0.2">
      <c r="M8844" s="647" t="s">
        <v>925</v>
      </c>
      <c r="N8844" s="507">
        <v>1.3180000000000001</v>
      </c>
      <c r="O8844" s="507">
        <v>1.24E-2</v>
      </c>
      <c r="AC8844" s="507">
        <v>7.6E-3</v>
      </c>
      <c r="AD8844" s="507"/>
      <c r="AE8844" s="507">
        <v>0.32900000000000001</v>
      </c>
    </row>
    <row r="8845" spans="13:31" x14ac:dyDescent="0.2">
      <c r="M8845" s="647" t="s">
        <v>925</v>
      </c>
      <c r="N8845" s="507">
        <v>2.1520000000000001</v>
      </c>
      <c r="O8845" s="507">
        <v>3.7000000000000002E-3</v>
      </c>
      <c r="AC8845" s="507">
        <v>3.7000000000000002E-3</v>
      </c>
      <c r="AD8845" s="507"/>
      <c r="AE8845" s="507">
        <v>0.41799999999999998</v>
      </c>
    </row>
    <row r="8846" spans="13:31" x14ac:dyDescent="0.2">
      <c r="M8846" s="647" t="s">
        <v>925</v>
      </c>
      <c r="N8846" s="507">
        <v>3.9350000000000001</v>
      </c>
      <c r="O8846" s="507">
        <v>1.6299999999999999E-2</v>
      </c>
      <c r="AC8846" s="507">
        <v>4.0000000000000001E-3</v>
      </c>
      <c r="AD8846" s="507"/>
      <c r="AE8846" s="507">
        <v>0.54900000000000004</v>
      </c>
    </row>
    <row r="8847" spans="13:31" x14ac:dyDescent="0.2">
      <c r="M8847" s="647" t="s">
        <v>925</v>
      </c>
      <c r="N8847" s="507">
        <v>5.1079999999999997</v>
      </c>
      <c r="O8847" s="507">
        <v>5.1000000000000004E-4</v>
      </c>
      <c r="AC8847" s="507">
        <v>3.8E-3</v>
      </c>
      <c r="AD8847" s="507"/>
      <c r="AE8847" s="507">
        <v>0.61599999999999999</v>
      </c>
    </row>
    <row r="8848" spans="13:31" x14ac:dyDescent="0.2">
      <c r="M8848" s="647" t="s">
        <v>925</v>
      </c>
      <c r="N8848" s="507">
        <v>5.7210000000000001</v>
      </c>
      <c r="O8848" s="507">
        <v>1.11E-2</v>
      </c>
      <c r="AC8848" s="507">
        <v>4.4999999999999997E-3</v>
      </c>
      <c r="AD8848" s="507"/>
      <c r="AE8848" s="507">
        <v>0.64800000000000002</v>
      </c>
    </row>
    <row r="8849" spans="13:31" x14ac:dyDescent="0.2">
      <c r="M8849" s="647" t="s">
        <v>925</v>
      </c>
      <c r="N8849" s="507">
        <v>5.1470000000000002</v>
      </c>
      <c r="O8849" s="507">
        <v>7.1000000000000004E-3</v>
      </c>
      <c r="AC8849" s="507">
        <v>4.4000000000000003E-3</v>
      </c>
      <c r="AD8849" s="507"/>
      <c r="AE8849" s="507">
        <v>0.61799999999999999</v>
      </c>
    </row>
    <row r="8850" spans="13:31" x14ac:dyDescent="0.2">
      <c r="M8850" s="647" t="s">
        <v>925</v>
      </c>
      <c r="N8850" s="507">
        <v>3.452</v>
      </c>
      <c r="O8850" s="507">
        <v>4.0000000000000001E-3</v>
      </c>
      <c r="AC8850" s="507">
        <v>5.3E-3</v>
      </c>
      <c r="AD8850" s="507"/>
      <c r="AE8850" s="507">
        <v>0.51900000000000002</v>
      </c>
    </row>
    <row r="8851" spans="13:31" x14ac:dyDescent="0.2">
      <c r="M8851" s="647" t="s">
        <v>925</v>
      </c>
      <c r="N8851" s="507">
        <v>2.5939999999999999</v>
      </c>
      <c r="O8851" s="507">
        <v>9.1000000000000004E-3</v>
      </c>
      <c r="AC8851" s="507">
        <v>7.3000000000000001E-3</v>
      </c>
      <c r="AD8851" s="507"/>
      <c r="AE8851" s="507">
        <v>0.45600000000000002</v>
      </c>
    </row>
    <row r="8852" spans="13:31" x14ac:dyDescent="0.2">
      <c r="M8852" s="647" t="s">
        <v>925</v>
      </c>
      <c r="N8852" s="507">
        <v>2.0339999999999998</v>
      </c>
      <c r="O8852" s="507">
        <v>1.01E-2</v>
      </c>
      <c r="AC8852" s="507">
        <v>6.7000000000000002E-3</v>
      </c>
      <c r="AD8852" s="507"/>
      <c r="AE8852" s="507">
        <v>0.40699999999999997</v>
      </c>
    </row>
    <row r="8853" spans="13:31" x14ac:dyDescent="0.2">
      <c r="M8853" s="647" t="s">
        <v>925</v>
      </c>
      <c r="N8853" s="507">
        <v>1.7629999999999999</v>
      </c>
      <c r="O8853" s="507">
        <v>6.7999999999999996E-3</v>
      </c>
      <c r="AC8853" s="507">
        <v>5.7000000000000002E-3</v>
      </c>
      <c r="AD8853" s="507"/>
      <c r="AE8853" s="507">
        <v>0.38</v>
      </c>
    </row>
    <row r="8854" spans="13:31" x14ac:dyDescent="0.2">
      <c r="M8854" s="647" t="s">
        <v>925</v>
      </c>
      <c r="N8854" s="507">
        <v>1.5429999999999999</v>
      </c>
      <c r="O8854" s="507">
        <v>2.5999999999999999E-2</v>
      </c>
      <c r="AC8854" s="507">
        <v>5.7000000000000002E-3</v>
      </c>
      <c r="AD8854" s="507"/>
      <c r="AE8854" s="507">
        <v>0.35599999999999998</v>
      </c>
    </row>
    <row r="8855" spans="13:31" x14ac:dyDescent="0.2">
      <c r="M8855" s="647" t="s">
        <v>925</v>
      </c>
      <c r="N8855" s="507">
        <v>1.39</v>
      </c>
      <c r="O8855" s="507">
        <v>3.0999999999999999E-3</v>
      </c>
      <c r="AC8855" s="507">
        <v>4.3E-3</v>
      </c>
      <c r="AD8855" s="507"/>
      <c r="AE8855" s="507">
        <v>0.33800000000000002</v>
      </c>
    </row>
    <row r="8856" spans="13:31" x14ac:dyDescent="0.2">
      <c r="M8856" s="647" t="s">
        <v>925</v>
      </c>
      <c r="N8856" s="507">
        <v>1.212</v>
      </c>
      <c r="O8856" s="507">
        <v>5.7999999999999996E-3</v>
      </c>
      <c r="AC8856" s="507">
        <v>4.7999999999999996E-3</v>
      </c>
      <c r="AD8856" s="507"/>
      <c r="AE8856" s="507">
        <v>0.314</v>
      </c>
    </row>
    <row r="8857" spans="13:31" x14ac:dyDescent="0.2">
      <c r="M8857" s="647" t="s">
        <v>925</v>
      </c>
      <c r="N8857" s="507">
        <v>1.103</v>
      </c>
      <c r="O8857" s="507">
        <v>4.0000000000000002E-4</v>
      </c>
      <c r="AC8857" s="507">
        <v>5.0000000000000001E-3</v>
      </c>
      <c r="AD8857" s="507"/>
      <c r="AE8857" s="507">
        <v>0.3</v>
      </c>
    </row>
    <row r="8858" spans="13:31" x14ac:dyDescent="0.2">
      <c r="M8858" s="647" t="s">
        <v>925</v>
      </c>
      <c r="N8858" s="507">
        <v>0.90800000000000003</v>
      </c>
      <c r="O8858" s="507">
        <v>2.0000000000000001E-4</v>
      </c>
      <c r="AC8858" s="507">
        <v>5.1000000000000004E-3</v>
      </c>
      <c r="AD8858" s="507"/>
      <c r="AE8858" s="507">
        <v>0.27</v>
      </c>
    </row>
    <row r="8859" spans="13:31" x14ac:dyDescent="0.2">
      <c r="M8859" s="647" t="s">
        <v>926</v>
      </c>
      <c r="N8859" s="507">
        <v>0.42299999999999999</v>
      </c>
      <c r="O8859" s="507">
        <v>2.0000000000000001E-4</v>
      </c>
      <c r="AC8859" s="507">
        <v>8.6E-3</v>
      </c>
      <c r="AD8859" s="507"/>
      <c r="AE8859" s="507">
        <v>0.17199999999999999</v>
      </c>
    </row>
    <row r="8860" spans="13:31" x14ac:dyDescent="0.2">
      <c r="M8860" s="647" t="s">
        <v>926</v>
      </c>
      <c r="N8860" s="507">
        <v>0.46500000000000002</v>
      </c>
      <c r="O8860" s="507">
        <v>5.9999999999999995E-4</v>
      </c>
      <c r="AC8860" s="507">
        <v>8.6E-3</v>
      </c>
      <c r="AD8860" s="507"/>
      <c r="AE8860" s="507">
        <v>0.183</v>
      </c>
    </row>
    <row r="8861" spans="13:31" x14ac:dyDescent="0.2">
      <c r="M8861" s="647" t="s">
        <v>926</v>
      </c>
      <c r="N8861" s="507">
        <v>0.46899999999999997</v>
      </c>
      <c r="O8861" s="507">
        <v>8.0000000000000002E-3</v>
      </c>
      <c r="AC8861" s="507">
        <v>9.1000000000000004E-3</v>
      </c>
      <c r="AD8861" s="507"/>
      <c r="AE8861" s="507">
        <v>0.184</v>
      </c>
    </row>
    <row r="8862" spans="13:31" x14ac:dyDescent="0.2">
      <c r="M8862" s="647" t="s">
        <v>926</v>
      </c>
      <c r="N8862" s="507">
        <v>0.46500000000000002</v>
      </c>
      <c r="O8862" s="507">
        <v>4.4999999999999997E-3</v>
      </c>
      <c r="AC8862" s="507">
        <v>9.1999999999999998E-3</v>
      </c>
      <c r="AD8862" s="507"/>
      <c r="AE8862" s="507">
        <v>0.183</v>
      </c>
    </row>
    <row r="8863" spans="13:31" x14ac:dyDescent="0.2">
      <c r="M8863" s="647" t="s">
        <v>926</v>
      </c>
      <c r="N8863" s="507">
        <v>0.46200000000000002</v>
      </c>
      <c r="O8863" s="507">
        <v>1.4E-3</v>
      </c>
      <c r="AC8863" s="507">
        <v>9.2999999999999992E-3</v>
      </c>
      <c r="AD8863" s="507"/>
      <c r="AE8863" s="507">
        <v>0.182</v>
      </c>
    </row>
    <row r="8864" spans="13:31" x14ac:dyDescent="0.2">
      <c r="M8864" s="647" t="s">
        <v>926</v>
      </c>
      <c r="N8864" s="507">
        <v>0.44600000000000001</v>
      </c>
      <c r="O8864" s="507">
        <v>1E-3</v>
      </c>
      <c r="AC8864" s="507">
        <v>8.8000000000000005E-3</v>
      </c>
      <c r="AD8864" s="507"/>
      <c r="AE8864" s="507">
        <v>0.17799999999999999</v>
      </c>
    </row>
    <row r="8865" spans="13:31" x14ac:dyDescent="0.2">
      <c r="M8865" s="647" t="s">
        <v>926</v>
      </c>
      <c r="N8865" s="507">
        <v>0.39700000000000002</v>
      </c>
      <c r="O8865" s="507">
        <v>2.0999999999999999E-3</v>
      </c>
      <c r="AC8865" s="507">
        <v>9.1999999999999998E-3</v>
      </c>
      <c r="AD8865" s="507"/>
      <c r="AE8865" s="507">
        <v>0.16500000000000001</v>
      </c>
    </row>
    <row r="8866" spans="13:31" x14ac:dyDescent="0.2">
      <c r="M8866" s="647" t="s">
        <v>926</v>
      </c>
      <c r="N8866" s="507">
        <v>0.38</v>
      </c>
      <c r="O8866" s="507">
        <v>6.4999999999999997E-3</v>
      </c>
      <c r="AC8866" s="507">
        <v>8.9999999999999993E-3</v>
      </c>
      <c r="AD8866" s="507"/>
      <c r="AE8866" s="507">
        <v>0.16</v>
      </c>
    </row>
    <row r="8867" spans="13:31" x14ac:dyDescent="0.2">
      <c r="M8867" s="647" t="s">
        <v>926</v>
      </c>
      <c r="N8867" s="507">
        <v>0.373</v>
      </c>
      <c r="O8867" s="507">
        <v>3.8E-3</v>
      </c>
      <c r="AC8867" s="507">
        <v>9.4000000000000004E-3</v>
      </c>
      <c r="AD8867" s="507"/>
      <c r="AE8867" s="507">
        <v>0.158</v>
      </c>
    </row>
    <row r="8868" spans="13:31" x14ac:dyDescent="0.2">
      <c r="M8868" s="647" t="s">
        <v>926</v>
      </c>
      <c r="N8868" s="507">
        <v>0.35899999999999999</v>
      </c>
      <c r="O8868" s="507">
        <v>4.0000000000000002E-4</v>
      </c>
      <c r="AC8868" s="507">
        <v>8.8999999999999999E-3</v>
      </c>
      <c r="AD8868" s="507"/>
      <c r="AE8868" s="507">
        <v>0.154</v>
      </c>
    </row>
    <row r="8869" spans="13:31" x14ac:dyDescent="0.2">
      <c r="M8869" s="647" t="s">
        <v>926</v>
      </c>
      <c r="N8869" s="507">
        <v>0.34599999999999997</v>
      </c>
      <c r="O8869" s="507">
        <v>5.0000000000000001E-4</v>
      </c>
      <c r="AC8869" s="507">
        <v>9.1000000000000004E-3</v>
      </c>
      <c r="AD8869" s="507"/>
      <c r="AE8869" s="507">
        <v>0.15</v>
      </c>
    </row>
    <row r="8870" spans="13:31" x14ac:dyDescent="0.2">
      <c r="M8870" s="647" t="s">
        <v>926</v>
      </c>
      <c r="N8870" s="507">
        <v>0.33</v>
      </c>
      <c r="O8870" s="507">
        <v>2.0000000000000001E-4</v>
      </c>
      <c r="AC8870" s="507">
        <v>9.4000000000000004E-3</v>
      </c>
      <c r="AD8870" s="507"/>
      <c r="AE8870" s="507">
        <v>0.14499999999999999</v>
      </c>
    </row>
    <row r="8871" spans="13:31" x14ac:dyDescent="0.2">
      <c r="M8871" s="647" t="s">
        <v>926</v>
      </c>
      <c r="N8871" s="507">
        <v>0.32</v>
      </c>
      <c r="O8871" s="507">
        <v>8.9999999999999998E-4</v>
      </c>
      <c r="AC8871" s="507">
        <v>9.2999999999999992E-3</v>
      </c>
      <c r="AD8871" s="507"/>
      <c r="AE8871" s="507">
        <v>0.14199999999999999</v>
      </c>
    </row>
    <row r="8872" spans="13:31" x14ac:dyDescent="0.2">
      <c r="M8872" s="647" t="s">
        <v>926</v>
      </c>
      <c r="N8872" s="507">
        <v>0.314</v>
      </c>
      <c r="O8872" s="507">
        <v>3.0999999999999999E-3</v>
      </c>
      <c r="AC8872" s="507">
        <v>8.6E-3</v>
      </c>
      <c r="AD8872" s="507"/>
      <c r="AE8872" s="507">
        <v>0.14000000000000001</v>
      </c>
    </row>
    <row r="8873" spans="13:31" x14ac:dyDescent="0.2">
      <c r="M8873" s="647" t="s">
        <v>926</v>
      </c>
      <c r="N8873" s="507">
        <v>0.317</v>
      </c>
      <c r="O8873" s="507">
        <v>2.0999999999999999E-3</v>
      </c>
      <c r="AC8873" s="507">
        <v>8.0999999999999996E-3</v>
      </c>
      <c r="AD8873" s="507"/>
      <c r="AE8873" s="507">
        <v>0.14099999999999999</v>
      </c>
    </row>
    <row r="8874" spans="13:31" x14ac:dyDescent="0.2">
      <c r="M8874" s="647" t="s">
        <v>926</v>
      </c>
      <c r="N8874" s="507">
        <v>0.32400000000000001</v>
      </c>
      <c r="O8874" s="507">
        <v>2.8999999999999998E-3</v>
      </c>
      <c r="AC8874" s="507">
        <v>8.3000000000000001E-3</v>
      </c>
      <c r="AD8874" s="507"/>
      <c r="AE8874" s="507">
        <v>0.14299999999999999</v>
      </c>
    </row>
    <row r="8875" spans="13:31" x14ac:dyDescent="0.2">
      <c r="M8875" s="647" t="s">
        <v>926</v>
      </c>
      <c r="N8875" s="507">
        <v>0.33</v>
      </c>
      <c r="O8875" s="507">
        <v>2.0999999999999999E-3</v>
      </c>
      <c r="AC8875" s="507">
        <v>8.8999999999999999E-3</v>
      </c>
      <c r="AD8875" s="507"/>
      <c r="AE8875" s="507">
        <v>0.14499999999999999</v>
      </c>
    </row>
    <row r="8876" spans="13:31" x14ac:dyDescent="0.2">
      <c r="M8876" s="647" t="s">
        <v>926</v>
      </c>
      <c r="N8876" s="507">
        <v>0.38</v>
      </c>
      <c r="O8876" s="507">
        <v>2.0000000000000001E-4</v>
      </c>
      <c r="AC8876" s="507">
        <v>8.3999999999999995E-3</v>
      </c>
      <c r="AD8876" s="507"/>
      <c r="AE8876" s="507">
        <v>0.16</v>
      </c>
    </row>
    <row r="8877" spans="13:31" x14ac:dyDescent="0.2">
      <c r="M8877" s="647" t="s">
        <v>927</v>
      </c>
      <c r="N8877" s="507">
        <v>0.46899999999999997</v>
      </c>
      <c r="O8877" s="507">
        <v>2.8E-3</v>
      </c>
      <c r="AC8877" s="507">
        <v>7.1999999999999998E-3</v>
      </c>
      <c r="AD8877" s="507"/>
      <c r="AE8877" s="507">
        <v>0.184</v>
      </c>
    </row>
    <row r="8878" spans="13:31" x14ac:dyDescent="0.2">
      <c r="M8878" s="647" t="s">
        <v>927</v>
      </c>
      <c r="N8878" s="507">
        <v>0.58099999999999996</v>
      </c>
      <c r="O8878" s="507">
        <v>6.0000000000000001E-3</v>
      </c>
      <c r="AC8878" s="507">
        <v>6.4999999999999997E-3</v>
      </c>
      <c r="AD8878" s="507"/>
      <c r="AE8878" s="507">
        <v>0.20899999999999999</v>
      </c>
    </row>
    <row r="8879" spans="13:31" x14ac:dyDescent="0.2">
      <c r="M8879" s="647" t="s">
        <v>927</v>
      </c>
      <c r="N8879" s="507">
        <v>0.63800000000000001</v>
      </c>
      <c r="O8879" s="507">
        <v>2.9999999999999997E-4</v>
      </c>
      <c r="AC8879" s="507">
        <v>7.1999999999999998E-3</v>
      </c>
      <c r="AD8879" s="507"/>
      <c r="AE8879" s="507">
        <v>0.222</v>
      </c>
    </row>
    <row r="8880" spans="13:31" x14ac:dyDescent="0.2">
      <c r="M8880" s="647" t="s">
        <v>927</v>
      </c>
      <c r="N8880" s="507">
        <v>0.70399999999999996</v>
      </c>
      <c r="O8880" s="507">
        <v>8.6E-3</v>
      </c>
      <c r="AC8880" s="507">
        <v>8.8000000000000005E-3</v>
      </c>
      <c r="AD8880" s="507"/>
      <c r="AE8880" s="507">
        <v>0.23499999999999999</v>
      </c>
    </row>
    <row r="8881" spans="13:31" x14ac:dyDescent="0.2">
      <c r="M8881" s="647" t="s">
        <v>927</v>
      </c>
      <c r="N8881" s="507">
        <v>0.71499999999999997</v>
      </c>
      <c r="O8881" s="507">
        <v>9.4999999999999998E-3</v>
      </c>
      <c r="AC8881" s="507">
        <v>9.2999999999999992E-3</v>
      </c>
      <c r="AD8881" s="507"/>
      <c r="AE8881" s="507">
        <v>0.23699999999999999</v>
      </c>
    </row>
    <row r="8882" spans="13:31" x14ac:dyDescent="0.2">
      <c r="M8882" s="647" t="s">
        <v>927</v>
      </c>
      <c r="N8882" s="507">
        <v>0.69399999999999995</v>
      </c>
      <c r="O8882" s="507">
        <v>9.2999999999999992E-3</v>
      </c>
      <c r="AC8882" s="507">
        <v>1.0500000000000001E-2</v>
      </c>
      <c r="AD8882" s="507"/>
      <c r="AE8882" s="507">
        <v>0.23300000000000001</v>
      </c>
    </row>
    <row r="8883" spans="13:31" x14ac:dyDescent="0.2">
      <c r="M8883" s="647" t="s">
        <v>927</v>
      </c>
      <c r="N8883" s="507">
        <v>0.629</v>
      </c>
      <c r="O8883" s="507">
        <v>6.1999999999999998E-3</v>
      </c>
      <c r="AC8883" s="507">
        <v>1.0999999999999999E-2</v>
      </c>
      <c r="AD8883" s="507"/>
      <c r="AE8883" s="507">
        <v>0.22</v>
      </c>
    </row>
    <row r="8884" spans="13:31" x14ac:dyDescent="0.2">
      <c r="M8884" s="647" t="s">
        <v>927</v>
      </c>
      <c r="N8884" s="507">
        <v>0.60299999999999998</v>
      </c>
      <c r="O8884" s="507">
        <v>8.3999999999999995E-3</v>
      </c>
      <c r="AC8884" s="507">
        <v>1.0500000000000001E-2</v>
      </c>
      <c r="AD8884" s="507"/>
      <c r="AE8884" s="507">
        <v>0.215</v>
      </c>
    </row>
    <row r="8885" spans="13:31" x14ac:dyDescent="0.2">
      <c r="M8885" s="647" t="s">
        <v>927</v>
      </c>
      <c r="N8885" s="507">
        <v>0.58099999999999996</v>
      </c>
      <c r="O8885" s="507">
        <v>6.1000000000000004E-3</v>
      </c>
      <c r="AC8885" s="507">
        <v>8.8999999999999999E-3</v>
      </c>
      <c r="AD8885" s="507"/>
      <c r="AE8885" s="507">
        <v>0.21</v>
      </c>
    </row>
    <row r="8886" spans="13:31" x14ac:dyDescent="0.2">
      <c r="M8886" s="647" t="s">
        <v>927</v>
      </c>
      <c r="N8886" s="507">
        <v>0.53600000000000003</v>
      </c>
      <c r="O8886" s="507">
        <v>6.6E-3</v>
      </c>
      <c r="AC8886" s="507">
        <v>8.0000000000000002E-3</v>
      </c>
      <c r="AD8886" s="507"/>
      <c r="AE8886" s="507">
        <v>0.2</v>
      </c>
    </row>
    <row r="8887" spans="13:31" x14ac:dyDescent="0.2">
      <c r="M8887" s="647" t="s">
        <v>927</v>
      </c>
      <c r="N8887" s="507">
        <v>0.49399999999999999</v>
      </c>
      <c r="O8887" s="507">
        <v>4.5999999999999999E-3</v>
      </c>
      <c r="AC8887" s="507">
        <v>8.0000000000000002E-3</v>
      </c>
      <c r="AD8887" s="507"/>
      <c r="AE8887" s="507">
        <v>0.19</v>
      </c>
    </row>
    <row r="8888" spans="13:31" x14ac:dyDescent="0.2">
      <c r="M8888" s="647" t="s">
        <v>927</v>
      </c>
      <c r="N8888" s="507">
        <v>0.45800000000000002</v>
      </c>
      <c r="O8888" s="507">
        <v>3.3999999999999998E-3</v>
      </c>
      <c r="AC8888" s="507">
        <v>8.6E-3</v>
      </c>
      <c r="AD8888" s="507"/>
      <c r="AE8888" s="507">
        <v>0.18099999999999999</v>
      </c>
    </row>
    <row r="8889" spans="13:31" x14ac:dyDescent="0.2">
      <c r="M8889" s="647" t="s">
        <v>927</v>
      </c>
      <c r="N8889" s="507">
        <v>0.44600000000000001</v>
      </c>
      <c r="O8889" s="507">
        <v>2.5000000000000001E-3</v>
      </c>
      <c r="AC8889" s="507">
        <v>8.8999999999999999E-3</v>
      </c>
      <c r="AD8889" s="507"/>
      <c r="AE8889" s="507">
        <v>0.17799999999999999</v>
      </c>
    </row>
    <row r="8890" spans="13:31" x14ac:dyDescent="0.2">
      <c r="M8890" s="647" t="s">
        <v>927</v>
      </c>
      <c r="N8890" s="507">
        <v>0.41199999999999998</v>
      </c>
      <c r="O8890" s="507">
        <v>4.7000000000000002E-3</v>
      </c>
      <c r="AC8890" s="507">
        <v>8.6E-3</v>
      </c>
      <c r="AD8890" s="507"/>
      <c r="AE8890" s="507">
        <v>0.16900000000000001</v>
      </c>
    </row>
    <row r="8891" spans="13:31" x14ac:dyDescent="0.2">
      <c r="M8891" s="647" t="s">
        <v>927</v>
      </c>
      <c r="N8891" s="507">
        <v>0.38</v>
      </c>
      <c r="O8891" s="507">
        <v>3.5000000000000001E-3</v>
      </c>
      <c r="AC8891" s="507">
        <v>8.2000000000000007E-3</v>
      </c>
      <c r="AD8891" s="507"/>
      <c r="AE8891" s="507">
        <v>0.16</v>
      </c>
    </row>
    <row r="8892" spans="13:31" x14ac:dyDescent="0.2">
      <c r="M8892" s="647" t="s">
        <v>927</v>
      </c>
      <c r="N8892" s="507">
        <v>0.35</v>
      </c>
      <c r="O8892" s="507">
        <v>2.8E-3</v>
      </c>
      <c r="AC8892" s="507">
        <v>7.7000000000000002E-3</v>
      </c>
      <c r="AD8892" s="507"/>
      <c r="AE8892" s="507">
        <v>0.151</v>
      </c>
    </row>
    <row r="8893" spans="13:31" x14ac:dyDescent="0.2">
      <c r="M8893" s="647" t="s">
        <v>927</v>
      </c>
      <c r="N8893" s="507">
        <v>0.33600000000000002</v>
      </c>
      <c r="O8893" s="507">
        <v>1E-3</v>
      </c>
      <c r="AC8893" s="507">
        <v>7.6E-3</v>
      </c>
      <c r="AD8893" s="507"/>
      <c r="AE8893" s="507">
        <v>0.14699999999999999</v>
      </c>
    </row>
    <row r="8894" spans="13:31" x14ac:dyDescent="0.2">
      <c r="M8894" s="647" t="s">
        <v>927</v>
      </c>
      <c r="N8894" s="507">
        <v>0.32400000000000001</v>
      </c>
      <c r="O8894" s="507">
        <v>1E-3</v>
      </c>
      <c r="AC8894" s="507">
        <v>7.3000000000000001E-3</v>
      </c>
      <c r="AD8894" s="507"/>
      <c r="AE8894" s="507">
        <v>0.14299999999999999</v>
      </c>
    </row>
    <row r="8895" spans="13:31" x14ac:dyDescent="0.2">
      <c r="M8895" s="647" t="s">
        <v>927</v>
      </c>
      <c r="N8895" s="507">
        <v>0.311</v>
      </c>
      <c r="O8895" s="507">
        <v>1.2999999999999999E-3</v>
      </c>
      <c r="AC8895" s="507">
        <v>7.7999999999999996E-3</v>
      </c>
      <c r="AD8895" s="507"/>
      <c r="AE8895" s="507">
        <v>0.13900000000000001</v>
      </c>
    </row>
    <row r="8896" spans="13:31" x14ac:dyDescent="0.2">
      <c r="M8896" s="647" t="s">
        <v>927</v>
      </c>
      <c r="N8896" s="507">
        <v>0.30199999999999999</v>
      </c>
      <c r="O8896" s="507">
        <v>6.9999999999999999E-4</v>
      </c>
      <c r="AC8896" s="507">
        <v>7.4000000000000003E-3</v>
      </c>
      <c r="AD8896" s="507"/>
      <c r="AE8896" s="507">
        <v>0.13600000000000001</v>
      </c>
    </row>
    <row r="8897" spans="13:31" x14ac:dyDescent="0.2">
      <c r="M8897" s="647" t="s">
        <v>927</v>
      </c>
      <c r="N8897" s="507">
        <v>0.29299999999999998</v>
      </c>
      <c r="O8897" s="507">
        <v>4.0000000000000002E-4</v>
      </c>
      <c r="AC8897" s="507">
        <v>7.6E-3</v>
      </c>
      <c r="AD8897" s="507"/>
      <c r="AE8897" s="507">
        <v>0.13300000000000001</v>
      </c>
    </row>
    <row r="8898" spans="13:31" x14ac:dyDescent="0.2">
      <c r="M8898" s="647" t="s">
        <v>927</v>
      </c>
      <c r="N8898" s="507">
        <v>0.28399999999999997</v>
      </c>
      <c r="O8898" s="507">
        <v>4.0000000000000002E-4</v>
      </c>
      <c r="AC8898" s="507">
        <v>7.1000000000000004E-3</v>
      </c>
      <c r="AD8898" s="507"/>
      <c r="AE8898" s="507">
        <v>0.13</v>
      </c>
    </row>
    <row r="8899" spans="13:31" x14ac:dyDescent="0.2">
      <c r="M8899" s="647" t="s">
        <v>927</v>
      </c>
      <c r="N8899" s="507">
        <v>0.27600000000000002</v>
      </c>
      <c r="O8899" s="507">
        <v>5.9999999999999995E-4</v>
      </c>
      <c r="AC8899" s="507">
        <v>7.0000000000000001E-3</v>
      </c>
      <c r="AD8899" s="507"/>
      <c r="AE8899" s="507">
        <v>0.127</v>
      </c>
    </row>
    <row r="8900" spans="13:31" x14ac:dyDescent="0.2">
      <c r="M8900" s="647" t="s">
        <v>927</v>
      </c>
      <c r="N8900" s="507">
        <v>0.26800000000000002</v>
      </c>
      <c r="O8900" s="507">
        <v>1.1999999999999999E-3</v>
      </c>
      <c r="AC8900" s="507">
        <v>6.7999999999999996E-3</v>
      </c>
      <c r="AD8900" s="507"/>
      <c r="AE8900" s="507">
        <v>0.124</v>
      </c>
    </row>
    <row r="8901" spans="13:31" x14ac:dyDescent="0.2">
      <c r="M8901" s="647" t="s">
        <v>927</v>
      </c>
      <c r="N8901" s="507">
        <v>0.25700000000000001</v>
      </c>
      <c r="O8901" s="507">
        <v>1.6000000000000001E-3</v>
      </c>
      <c r="AC8901" s="507">
        <v>6.7999999999999996E-3</v>
      </c>
      <c r="AD8901" s="507"/>
      <c r="AE8901" s="507">
        <v>0.12</v>
      </c>
    </row>
    <row r="8902" spans="13:31" x14ac:dyDescent="0.2">
      <c r="M8902" s="647" t="s">
        <v>928</v>
      </c>
      <c r="N8902" s="507">
        <v>0.36299999999999999</v>
      </c>
      <c r="O8902" s="507">
        <v>4.0000000000000002E-4</v>
      </c>
      <c r="AC8902" s="507">
        <v>1.6E-2</v>
      </c>
      <c r="AD8902" s="507"/>
      <c r="AE8902" s="507">
        <v>0.155</v>
      </c>
    </row>
    <row r="8903" spans="13:31" x14ac:dyDescent="0.2">
      <c r="M8903" s="647" t="s">
        <v>928</v>
      </c>
      <c r="N8903" s="507">
        <v>0.38</v>
      </c>
      <c r="O8903" s="507">
        <v>2.2000000000000001E-3</v>
      </c>
      <c r="AC8903" s="507">
        <v>1.4500000000000001E-2</v>
      </c>
      <c r="AD8903" s="507"/>
      <c r="AE8903" s="507">
        <v>0.16</v>
      </c>
    </row>
    <row r="8904" spans="13:31" x14ac:dyDescent="0.2">
      <c r="M8904" s="647" t="s">
        <v>928</v>
      </c>
      <c r="N8904" s="507">
        <v>0.42199999999999999</v>
      </c>
      <c r="O8904" s="507">
        <v>2E-3</v>
      </c>
      <c r="AC8904" s="507">
        <v>1.5599999999999999E-2</v>
      </c>
      <c r="AD8904" s="507"/>
      <c r="AE8904" s="507">
        <v>0.17100000000000001</v>
      </c>
    </row>
    <row r="8905" spans="13:31" x14ac:dyDescent="0.2">
      <c r="M8905" s="647" t="s">
        <v>928</v>
      </c>
      <c r="N8905" s="507">
        <v>0.46200000000000002</v>
      </c>
      <c r="O8905" s="507">
        <v>3.5000000000000001E-3</v>
      </c>
      <c r="AC8905" s="507">
        <v>1.5299999999999999E-2</v>
      </c>
      <c r="AD8905" s="507"/>
      <c r="AE8905" s="507">
        <v>0.182</v>
      </c>
    </row>
    <row r="8906" spans="13:31" x14ac:dyDescent="0.2">
      <c r="M8906" s="647" t="s">
        <v>928</v>
      </c>
      <c r="N8906" s="507">
        <v>0.51500000000000001</v>
      </c>
      <c r="O8906" s="507">
        <v>2.8999999999999998E-3</v>
      </c>
      <c r="AC8906" s="507">
        <v>1.5699999999999999E-2</v>
      </c>
      <c r="AD8906" s="507"/>
      <c r="AE8906" s="507">
        <v>0.19500000000000001</v>
      </c>
    </row>
    <row r="8907" spans="13:31" x14ac:dyDescent="0.2">
      <c r="M8907" s="647" t="s">
        <v>928</v>
      </c>
      <c r="N8907" s="507">
        <v>0.57199999999999995</v>
      </c>
      <c r="O8907" s="507">
        <v>4.0000000000000001E-3</v>
      </c>
      <c r="AC8907" s="507">
        <v>1.49E-2</v>
      </c>
      <c r="AD8907" s="507"/>
      <c r="AE8907" s="507">
        <v>0.20699999999999999</v>
      </c>
    </row>
    <row r="8908" spans="13:31" x14ac:dyDescent="0.2">
      <c r="M8908" s="647" t="s">
        <v>929</v>
      </c>
      <c r="N8908" s="507">
        <v>0.59499999999999997</v>
      </c>
      <c r="O8908" s="507">
        <v>0.01</v>
      </c>
      <c r="AC8908" s="507">
        <v>1.3599999999999999E-2</v>
      </c>
      <c r="AD8908" s="507"/>
      <c r="AE8908" s="507">
        <v>0.21299999999999999</v>
      </c>
    </row>
    <row r="8909" spans="13:31" x14ac:dyDescent="0.2">
      <c r="M8909" s="647" t="s">
        <v>929</v>
      </c>
      <c r="N8909" s="507">
        <v>0.61899999999999999</v>
      </c>
      <c r="O8909" s="507">
        <v>2.0899999999999998E-2</v>
      </c>
      <c r="AC8909" s="507">
        <v>1.2E-2</v>
      </c>
      <c r="AD8909" s="507"/>
      <c r="AE8909" s="507">
        <v>0.218</v>
      </c>
    </row>
    <row r="8910" spans="13:31" x14ac:dyDescent="0.2">
      <c r="M8910" s="647" t="s">
        <v>929</v>
      </c>
      <c r="N8910" s="507">
        <v>0.81399999999999995</v>
      </c>
      <c r="O8910" s="507">
        <v>4.6800000000000001E-2</v>
      </c>
      <c r="AC8910" s="507">
        <v>9.4000000000000004E-3</v>
      </c>
      <c r="AD8910" s="507"/>
      <c r="AE8910" s="507">
        <v>0.255</v>
      </c>
    </row>
    <row r="8911" spans="13:31" x14ac:dyDescent="0.2">
      <c r="M8911" s="647" t="s">
        <v>929</v>
      </c>
      <c r="N8911" s="507">
        <v>1.1659999999999999</v>
      </c>
      <c r="O8911" s="507">
        <v>4.3400000000000001E-2</v>
      </c>
      <c r="AC8911" s="507">
        <v>8.0000000000000002E-3</v>
      </c>
      <c r="AD8911" s="507"/>
      <c r="AE8911" s="507">
        <v>0.309</v>
      </c>
    </row>
    <row r="8912" spans="13:31" x14ac:dyDescent="0.2">
      <c r="M8912" s="647" t="s">
        <v>929</v>
      </c>
      <c r="N8912" s="507">
        <v>1.4910000000000001</v>
      </c>
      <c r="O8912" s="507">
        <v>0.26100000000000001</v>
      </c>
      <c r="AC8912" s="507">
        <v>8.8000000000000005E-3</v>
      </c>
      <c r="AD8912" s="507"/>
      <c r="AE8912" s="507">
        <v>0.35</v>
      </c>
    </row>
    <row r="8913" spans="13:31" x14ac:dyDescent="0.2">
      <c r="M8913" s="647" t="s">
        <v>929</v>
      </c>
      <c r="N8913" s="507">
        <v>1.552</v>
      </c>
      <c r="O8913" s="507">
        <v>1.2999999999999999E-3</v>
      </c>
      <c r="AC8913" s="507">
        <v>9.7999999999999997E-3</v>
      </c>
      <c r="AD8913" s="507"/>
      <c r="AE8913" s="507">
        <v>0.35699999999999998</v>
      </c>
    </row>
    <row r="8914" spans="13:31" x14ac:dyDescent="0.2">
      <c r="M8914" s="647" t="s">
        <v>929</v>
      </c>
      <c r="N8914" s="507">
        <v>1.4910000000000001</v>
      </c>
      <c r="O8914" s="507">
        <v>2.0999999999999999E-3</v>
      </c>
      <c r="AC8914" s="507">
        <v>1.06E-2</v>
      </c>
      <c r="AD8914" s="507"/>
      <c r="AE8914" s="507">
        <v>0.35</v>
      </c>
    </row>
    <row r="8915" spans="13:31" x14ac:dyDescent="0.2">
      <c r="M8915" s="647" t="s">
        <v>929</v>
      </c>
      <c r="N8915" s="507">
        <v>1.448</v>
      </c>
      <c r="O8915" s="507">
        <v>8.9999999999999993E-3</v>
      </c>
      <c r="AC8915" s="507">
        <v>1.0800000000000001E-2</v>
      </c>
      <c r="AD8915" s="507"/>
      <c r="AE8915" s="507">
        <v>0.34499999999999997</v>
      </c>
    </row>
    <row r="8916" spans="13:31" x14ac:dyDescent="0.2">
      <c r="M8916" s="647" t="s">
        <v>929</v>
      </c>
      <c r="N8916" s="507">
        <v>1.3819999999999999</v>
      </c>
      <c r="O8916" s="507">
        <v>6.8999999999999999E-3</v>
      </c>
      <c r="AC8916" s="507">
        <v>1.09E-2</v>
      </c>
      <c r="AD8916" s="507"/>
      <c r="AE8916" s="507">
        <v>0.33700000000000002</v>
      </c>
    </row>
    <row r="8917" spans="13:31" x14ac:dyDescent="0.2">
      <c r="M8917" s="647" t="s">
        <v>929</v>
      </c>
      <c r="N8917" s="507">
        <v>1.302</v>
      </c>
      <c r="O8917" s="507">
        <v>6.1999999999999998E-3</v>
      </c>
      <c r="AC8917" s="507">
        <v>1.0800000000000001E-2</v>
      </c>
      <c r="AD8917" s="507"/>
      <c r="AE8917" s="507">
        <v>0.32700000000000001</v>
      </c>
    </row>
    <row r="8918" spans="13:31" x14ac:dyDescent="0.2">
      <c r="M8918" s="647" t="s">
        <v>929</v>
      </c>
      <c r="N8918" s="507">
        <v>1.2170000000000001</v>
      </c>
      <c r="O8918" s="507">
        <v>4.8999999999999998E-3</v>
      </c>
      <c r="AC8918" s="507">
        <v>1.06E-2</v>
      </c>
      <c r="AD8918" s="507"/>
      <c r="AE8918" s="507">
        <v>0.316</v>
      </c>
    </row>
    <row r="8919" spans="13:31" x14ac:dyDescent="0.2">
      <c r="M8919" s="647" t="s">
        <v>929</v>
      </c>
      <c r="N8919" s="507">
        <v>1.1220000000000001</v>
      </c>
      <c r="O8919" s="507">
        <v>3.8E-3</v>
      </c>
      <c r="AC8919" s="507">
        <v>9.7999999999999997E-3</v>
      </c>
      <c r="AD8919" s="507"/>
      <c r="AE8919" s="507">
        <v>0.30299999999999999</v>
      </c>
    </row>
    <row r="8920" spans="13:31" x14ac:dyDescent="0.2">
      <c r="M8920" s="647" t="s">
        <v>929</v>
      </c>
      <c r="N8920" s="507">
        <v>1.0669999999999999</v>
      </c>
      <c r="O8920" s="507">
        <v>3.8999999999999998E-3</v>
      </c>
      <c r="AC8920" s="507">
        <v>9.7999999999999997E-3</v>
      </c>
      <c r="AD8920" s="507"/>
      <c r="AE8920" s="507">
        <v>0.29499999999999998</v>
      </c>
    </row>
    <row r="8921" spans="13:31" x14ac:dyDescent="0.2">
      <c r="M8921" s="647" t="s">
        <v>929</v>
      </c>
      <c r="N8921" s="507">
        <v>0.97299999999999998</v>
      </c>
      <c r="O8921" s="507">
        <v>2E-3</v>
      </c>
      <c r="AC8921" s="507">
        <v>9.9000000000000008E-3</v>
      </c>
      <c r="AD8921" s="507"/>
      <c r="AE8921" s="507">
        <v>0.28100000000000003</v>
      </c>
    </row>
    <row r="8922" spans="13:31" x14ac:dyDescent="0.2">
      <c r="M8922" s="647" t="s">
        <v>929</v>
      </c>
      <c r="N8922" s="507">
        <v>0.96699999999999997</v>
      </c>
      <c r="O8922" s="507">
        <v>1.6999999999999999E-3</v>
      </c>
      <c r="AC8922" s="507">
        <v>1.03E-2</v>
      </c>
      <c r="AD8922" s="507"/>
      <c r="AE8922" s="507">
        <v>0.28000000000000003</v>
      </c>
    </row>
    <row r="8923" spans="13:31" x14ac:dyDescent="0.2">
      <c r="M8923" s="647" t="s">
        <v>929</v>
      </c>
      <c r="N8923" s="507">
        <v>0.97299999999999998</v>
      </c>
      <c r="O8923" s="507">
        <v>3.8999999999999998E-3</v>
      </c>
      <c r="AC8923" s="507">
        <v>0.01</v>
      </c>
      <c r="AD8923" s="507"/>
      <c r="AE8923" s="507">
        <v>0.28100000000000003</v>
      </c>
    </row>
    <row r="8924" spans="13:31" x14ac:dyDescent="0.2">
      <c r="M8924" s="647" t="s">
        <v>929</v>
      </c>
      <c r="N8924" s="507">
        <v>1.006</v>
      </c>
      <c r="O8924" s="507">
        <v>4.0000000000000002E-4</v>
      </c>
      <c r="AC8924" s="507">
        <v>1.04E-2</v>
      </c>
      <c r="AD8924" s="507"/>
      <c r="AE8924" s="507">
        <v>0.28599999999999998</v>
      </c>
    </row>
    <row r="8925" spans="13:31" x14ac:dyDescent="0.2">
      <c r="M8925" s="647" t="s">
        <v>929</v>
      </c>
      <c r="N8925" s="507">
        <v>1.0189999999999999</v>
      </c>
      <c r="O8925" s="507">
        <v>4.0000000000000002E-4</v>
      </c>
      <c r="AC8925" s="507">
        <v>1.1299999999999999E-2</v>
      </c>
      <c r="AD8925" s="507"/>
      <c r="AE8925" s="507">
        <v>0.28799999999999998</v>
      </c>
    </row>
    <row r="8926" spans="13:31" x14ac:dyDescent="0.2">
      <c r="M8926" s="647" t="s">
        <v>929</v>
      </c>
      <c r="N8926" s="507">
        <v>1.0329999999999999</v>
      </c>
      <c r="O8926" s="507">
        <v>3.7000000000000002E-3</v>
      </c>
      <c r="AC8926" s="507">
        <v>1.2200000000000001E-2</v>
      </c>
      <c r="AD8926" s="507"/>
      <c r="AE8926" s="507">
        <v>0.28999999999999998</v>
      </c>
    </row>
    <row r="8927" spans="13:31" x14ac:dyDescent="0.2">
      <c r="M8927" s="647" t="s">
        <v>929</v>
      </c>
      <c r="N8927" s="507">
        <v>1.1879999999999999</v>
      </c>
      <c r="O8927" s="507">
        <v>2E-3</v>
      </c>
      <c r="AC8927" s="507">
        <v>1.2200000000000001E-2</v>
      </c>
      <c r="AD8927" s="507"/>
      <c r="AE8927" s="507">
        <v>0.312</v>
      </c>
    </row>
    <row r="8928" spans="13:31" x14ac:dyDescent="0.2">
      <c r="M8928" s="647" t="s">
        <v>929</v>
      </c>
      <c r="N8928" s="507">
        <v>1.24</v>
      </c>
      <c r="O8928" s="507">
        <v>1.9E-3</v>
      </c>
      <c r="AC8928" s="507">
        <v>1.03E-2</v>
      </c>
      <c r="AD8928" s="507"/>
      <c r="AE8928" s="507">
        <v>0.31900000000000001</v>
      </c>
    </row>
    <row r="8929" spans="13:31" x14ac:dyDescent="0.2">
      <c r="M8929" s="647" t="s">
        <v>929</v>
      </c>
      <c r="N8929" s="507">
        <v>1.2170000000000001</v>
      </c>
      <c r="O8929" s="507">
        <v>7.9000000000000008E-3</v>
      </c>
      <c r="AC8929" s="507">
        <v>8.8000000000000005E-3</v>
      </c>
      <c r="AD8929" s="507"/>
      <c r="AE8929" s="507">
        <v>0.316</v>
      </c>
    </row>
    <row r="8930" spans="13:31" x14ac:dyDescent="0.2">
      <c r="M8930" s="647" t="s">
        <v>930</v>
      </c>
      <c r="N8930" s="507">
        <v>0.25700000000000001</v>
      </c>
      <c r="O8930" s="507">
        <v>6.0000000000000001E-3</v>
      </c>
      <c r="AC8930" s="507">
        <v>1.2999999999999999E-2</v>
      </c>
      <c r="AD8930" s="507"/>
      <c r="AE8930" s="507">
        <v>0.12</v>
      </c>
    </row>
    <row r="8931" spans="13:31" x14ac:dyDescent="0.2">
      <c r="M8931" s="647" t="s">
        <v>930</v>
      </c>
      <c r="N8931" s="507">
        <v>0.629</v>
      </c>
      <c r="O8931" s="507">
        <v>1.5900000000000001E-2</v>
      </c>
      <c r="AC8931" s="507">
        <v>1.24E-2</v>
      </c>
      <c r="AD8931" s="507"/>
      <c r="AE8931" s="507">
        <v>0.22</v>
      </c>
    </row>
    <row r="8932" spans="13:31" x14ac:dyDescent="0.2">
      <c r="M8932" s="647" t="s">
        <v>930</v>
      </c>
      <c r="N8932" s="507">
        <v>2.996</v>
      </c>
      <c r="O8932" s="507">
        <v>1.34E-2</v>
      </c>
      <c r="AC8932" s="507">
        <v>8.3999999999999995E-3</v>
      </c>
      <c r="AD8932" s="507"/>
      <c r="AE8932" s="507">
        <v>0.49</v>
      </c>
    </row>
    <row r="8933" spans="13:31" x14ac:dyDescent="0.2">
      <c r="M8933" s="647" t="s">
        <v>930</v>
      </c>
      <c r="N8933" s="507">
        <v>5.7720000000000002</v>
      </c>
      <c r="O8933" s="507">
        <v>1.2800000000000001E-2</v>
      </c>
      <c r="AC8933" s="507">
        <v>6.7000000000000002E-3</v>
      </c>
      <c r="AD8933" s="507"/>
      <c r="AE8933" s="507">
        <v>0.64900000000000002</v>
      </c>
    </row>
    <row r="8934" spans="13:31" x14ac:dyDescent="0.2">
      <c r="M8934" s="647" t="s">
        <v>930</v>
      </c>
      <c r="N8934" s="507">
        <v>6.1790000000000003</v>
      </c>
      <c r="O8934" s="507">
        <v>1.15E-2</v>
      </c>
      <c r="AC8934" s="507">
        <v>5.0000000000000001E-3</v>
      </c>
      <c r="AD8934" s="507"/>
      <c r="AE8934" s="507">
        <v>0.67</v>
      </c>
    </row>
    <row r="8935" spans="13:31" x14ac:dyDescent="0.2">
      <c r="M8935" s="647" t="s">
        <v>930</v>
      </c>
      <c r="N8935" s="507">
        <v>5.05</v>
      </c>
      <c r="O8935" s="507">
        <v>5.7000000000000002E-3</v>
      </c>
      <c r="AC8935" s="507">
        <v>7.4999999999999997E-3</v>
      </c>
      <c r="AD8935" s="507"/>
      <c r="AE8935" s="507">
        <v>0.61299999999999999</v>
      </c>
    </row>
    <row r="8936" spans="13:31" x14ac:dyDescent="0.2">
      <c r="M8936" s="647" t="s">
        <v>930</v>
      </c>
      <c r="N8936" s="507">
        <v>2.669</v>
      </c>
      <c r="O8936" s="507">
        <v>2.1999999999999999E-2</v>
      </c>
      <c r="AC8936" s="507">
        <v>7.9000000000000008E-3</v>
      </c>
      <c r="AD8936" s="507"/>
      <c r="AE8936" s="507">
        <v>0.46200000000000002</v>
      </c>
    </row>
    <row r="8937" spans="13:31" x14ac:dyDescent="0.2">
      <c r="M8937" s="647" t="s">
        <v>930</v>
      </c>
      <c r="N8937" s="507">
        <v>1.605</v>
      </c>
      <c r="O8937" s="507">
        <v>4.58E-2</v>
      </c>
      <c r="AC8937" s="507">
        <v>7.3000000000000001E-3</v>
      </c>
      <c r="AD8937" s="507"/>
      <c r="AE8937" s="507">
        <v>0.36299999999999999</v>
      </c>
    </row>
    <row r="8938" spans="13:31" x14ac:dyDescent="0.2">
      <c r="M8938" s="647" t="s">
        <v>930</v>
      </c>
      <c r="N8938" s="507">
        <v>1.1950000000000001</v>
      </c>
      <c r="O8938" s="507">
        <v>2.1000000000000001E-2</v>
      </c>
      <c r="AC8938" s="507">
        <v>5.4999999999999997E-3</v>
      </c>
      <c r="AD8938" s="507"/>
      <c r="AE8938" s="507">
        <v>0.313</v>
      </c>
    </row>
    <row r="8939" spans="13:31" x14ac:dyDescent="0.2">
      <c r="M8939" s="836">
        <v>29110</v>
      </c>
      <c r="N8939" s="507">
        <v>0.98</v>
      </c>
      <c r="O8939" s="507">
        <v>3.8999999999999998E-3</v>
      </c>
      <c r="AC8939" s="507">
        <v>1.43E-2</v>
      </c>
      <c r="AD8939" s="507"/>
      <c r="AE8939" s="507">
        <v>0.28199999999999997</v>
      </c>
    </row>
    <row r="8940" spans="13:31" x14ac:dyDescent="0.2">
      <c r="M8940" s="836">
        <v>29110</v>
      </c>
      <c r="N8940" s="507">
        <v>0.96699999999999997</v>
      </c>
      <c r="O8940" s="507">
        <v>4.3700000000000003E-2</v>
      </c>
      <c r="AC8940" s="507">
        <v>1.44E-2</v>
      </c>
      <c r="AD8940" s="507"/>
      <c r="AE8940" s="507">
        <v>0.28000000000000003</v>
      </c>
    </row>
    <row r="8941" spans="13:31" x14ac:dyDescent="0.2">
      <c r="M8941" s="836">
        <v>29110</v>
      </c>
      <c r="N8941" s="507">
        <v>0.93500000000000005</v>
      </c>
      <c r="O8941" s="507">
        <v>2.9399999999999999E-2</v>
      </c>
      <c r="AC8941" s="507">
        <v>1.2699999999999999E-2</v>
      </c>
      <c r="AD8941" s="507"/>
      <c r="AE8941" s="507">
        <v>0.27500000000000002</v>
      </c>
    </row>
    <row r="8942" spans="13:31" x14ac:dyDescent="0.2">
      <c r="M8942" s="836">
        <v>29110</v>
      </c>
      <c r="N8942" s="507">
        <v>0.879</v>
      </c>
      <c r="O8942" s="507">
        <v>2.0500000000000001E-2</v>
      </c>
      <c r="AC8942" s="507">
        <v>1.14E-2</v>
      </c>
      <c r="AD8942" s="507"/>
      <c r="AE8942" s="507">
        <v>0.26600000000000001</v>
      </c>
    </row>
    <row r="8943" spans="13:31" x14ac:dyDescent="0.2">
      <c r="M8943" s="836">
        <v>29110</v>
      </c>
      <c r="N8943" s="507">
        <v>0.76900000000000002</v>
      </c>
      <c r="O8943" s="507">
        <v>6.1000000000000004E-3</v>
      </c>
      <c r="AC8943" s="507">
        <v>1.0500000000000001E-2</v>
      </c>
      <c r="AD8943" s="507"/>
      <c r="AE8943" s="507">
        <v>0.247</v>
      </c>
    </row>
    <row r="8944" spans="13:31" x14ac:dyDescent="0.2">
      <c r="M8944" s="836">
        <v>29110</v>
      </c>
      <c r="N8944" s="507">
        <v>0.66300000000000003</v>
      </c>
      <c r="O8944" s="507">
        <v>0</v>
      </c>
      <c r="AC8944" s="507">
        <v>1.01E-2</v>
      </c>
      <c r="AD8944" s="507"/>
      <c r="AE8944" s="507">
        <v>0.22700000000000001</v>
      </c>
    </row>
    <row r="8945" spans="13:31" x14ac:dyDescent="0.2">
      <c r="M8945" s="836">
        <v>29110</v>
      </c>
      <c r="N8945" s="507">
        <v>0.56299999999999994</v>
      </c>
      <c r="O8945" s="507">
        <v>6.7999999999999996E-3</v>
      </c>
      <c r="AC8945" s="507">
        <v>1.0500000000000001E-2</v>
      </c>
      <c r="AD8945" s="507"/>
      <c r="AE8945" s="507">
        <v>0.20599999999999999</v>
      </c>
    </row>
    <row r="8946" spans="13:31" x14ac:dyDescent="0.2">
      <c r="M8946" s="836">
        <v>29140</v>
      </c>
      <c r="N8946" s="507">
        <v>0.45400000000000001</v>
      </c>
      <c r="O8946" s="507">
        <v>5.3E-3</v>
      </c>
      <c r="AC8946" s="507">
        <v>9.4999999999999998E-3</v>
      </c>
      <c r="AD8946" s="507"/>
      <c r="AE8946" s="507">
        <v>0.18</v>
      </c>
    </row>
    <row r="8947" spans="13:31" x14ac:dyDescent="0.2">
      <c r="M8947" s="836">
        <v>29140</v>
      </c>
      <c r="N8947" s="507">
        <v>0.44600000000000001</v>
      </c>
      <c r="O8947" s="507">
        <v>2E-3</v>
      </c>
      <c r="AC8947" s="507">
        <v>8.8000000000000005E-3</v>
      </c>
      <c r="AD8947" s="507"/>
      <c r="AE8947" s="507">
        <v>0.17799999999999999</v>
      </c>
    </row>
    <row r="8948" spans="13:31" x14ac:dyDescent="0.2">
      <c r="M8948" s="836">
        <v>29140</v>
      </c>
      <c r="N8948" s="507">
        <v>0.40799999999999997</v>
      </c>
      <c r="O8948" s="507">
        <v>4.0000000000000001E-3</v>
      </c>
      <c r="AC8948" s="507">
        <v>7.1000000000000004E-3</v>
      </c>
      <c r="AD8948" s="507"/>
      <c r="AE8948" s="507">
        <v>0.16800000000000001</v>
      </c>
    </row>
    <row r="8949" spans="13:31" x14ac:dyDescent="0.2">
      <c r="M8949" s="836">
        <v>29140</v>
      </c>
      <c r="N8949" s="507">
        <v>0.38700000000000001</v>
      </c>
      <c r="O8949" s="507">
        <v>0</v>
      </c>
      <c r="AC8949" s="507">
        <v>7.0000000000000001E-3</v>
      </c>
      <c r="AD8949" s="507"/>
      <c r="AE8949" s="507">
        <v>0.16200000000000001</v>
      </c>
    </row>
    <row r="8950" spans="13:31" x14ac:dyDescent="0.2">
      <c r="M8950" s="836">
        <v>29140</v>
      </c>
      <c r="N8950" s="507">
        <v>0.36299999999999999</v>
      </c>
      <c r="O8950" s="507">
        <v>1.1999999999999999E-3</v>
      </c>
      <c r="AC8950" s="507">
        <v>6.1000000000000004E-3</v>
      </c>
      <c r="AD8950" s="507"/>
      <c r="AE8950" s="507">
        <v>0.155</v>
      </c>
    </row>
    <row r="8951" spans="13:31" x14ac:dyDescent="0.2">
      <c r="M8951" s="836">
        <v>29140</v>
      </c>
      <c r="N8951" s="507">
        <v>0.35299999999999998</v>
      </c>
      <c r="O8951" s="507">
        <v>1.6000000000000001E-3</v>
      </c>
      <c r="AC8951" s="507">
        <v>6.3E-3</v>
      </c>
      <c r="AD8951" s="507"/>
      <c r="AE8951" s="507">
        <v>0.152</v>
      </c>
    </row>
    <row r="8952" spans="13:31" x14ac:dyDescent="0.2">
      <c r="M8952" s="836">
        <v>29140</v>
      </c>
      <c r="N8952" s="507">
        <v>0.35299999999999998</v>
      </c>
      <c r="O8952" s="507">
        <v>1.1000000000000001E-3</v>
      </c>
      <c r="AC8952" s="507">
        <v>6.3E-3</v>
      </c>
      <c r="AD8952" s="507"/>
      <c r="AE8952" s="507">
        <v>0.152</v>
      </c>
    </row>
    <row r="8953" spans="13:31" x14ac:dyDescent="0.2">
      <c r="M8953" s="836">
        <v>29140</v>
      </c>
      <c r="N8953" s="507">
        <v>0.311</v>
      </c>
      <c r="O8953" s="507">
        <v>2.9999999999999997E-4</v>
      </c>
      <c r="AC8953" s="507">
        <v>7.1000000000000004E-3</v>
      </c>
      <c r="AD8953" s="507"/>
      <c r="AE8953" s="507">
        <v>0.13900000000000001</v>
      </c>
    </row>
    <row r="8954" spans="13:31" x14ac:dyDescent="0.2">
      <c r="M8954" s="647" t="s">
        <v>931</v>
      </c>
      <c r="N8954" s="507">
        <v>0.49</v>
      </c>
      <c r="O8954" s="507">
        <v>3.7000000000000002E-3</v>
      </c>
      <c r="AC8954" s="507">
        <v>1.2E-2</v>
      </c>
      <c r="AD8954" s="507"/>
      <c r="AE8954" s="507">
        <v>0.189</v>
      </c>
    </row>
    <row r="8955" spans="13:31" x14ac:dyDescent="0.2">
      <c r="M8955" s="647" t="s">
        <v>931</v>
      </c>
      <c r="N8955" s="507">
        <v>0.629</v>
      </c>
      <c r="O8955" s="507">
        <v>3.0999999999999999E-3</v>
      </c>
      <c r="AC8955" s="507">
        <v>1.21E-2</v>
      </c>
      <c r="AD8955" s="507"/>
      <c r="AE8955" s="507">
        <v>0.22</v>
      </c>
    </row>
    <row r="8956" spans="13:31" x14ac:dyDescent="0.2">
      <c r="M8956" s="647" t="s">
        <v>931</v>
      </c>
      <c r="N8956" s="507">
        <v>0.82</v>
      </c>
      <c r="O8956" s="507">
        <v>6.4999999999999997E-3</v>
      </c>
      <c r="AC8956" s="507">
        <v>1.2E-2</v>
      </c>
      <c r="AD8956" s="507"/>
      <c r="AE8956" s="507">
        <v>0.25600000000000001</v>
      </c>
    </row>
    <row r="8957" spans="13:31" x14ac:dyDescent="0.2">
      <c r="M8957" s="647" t="s">
        <v>931</v>
      </c>
      <c r="N8957" s="507">
        <v>1.0389999999999999</v>
      </c>
      <c r="O8957" s="507">
        <v>1.8100000000000002E-2</v>
      </c>
      <c r="AC8957" s="507">
        <v>1.2200000000000001E-2</v>
      </c>
      <c r="AD8957" s="507"/>
      <c r="AE8957" s="507">
        <v>0.29099999999999998</v>
      </c>
    </row>
    <row r="8958" spans="13:31" x14ac:dyDescent="0.2">
      <c r="M8958" s="647" t="s">
        <v>931</v>
      </c>
      <c r="N8958" s="507">
        <v>1.248</v>
      </c>
      <c r="O8958" s="507">
        <v>4.3799999999999999E-2</v>
      </c>
      <c r="AC8958" s="507">
        <v>1.12E-2</v>
      </c>
      <c r="AD8958" s="507"/>
      <c r="AE8958" s="507">
        <v>0.32</v>
      </c>
    </row>
    <row r="8959" spans="13:31" x14ac:dyDescent="0.2">
      <c r="M8959" s="647" t="s">
        <v>931</v>
      </c>
      <c r="N8959" s="507">
        <v>1.9610000000000001</v>
      </c>
      <c r="O8959" s="507">
        <v>5.0599999999999999E-2</v>
      </c>
      <c r="AC8959" s="507">
        <v>8.9999999999999993E-3</v>
      </c>
      <c r="AD8959" s="507"/>
      <c r="AE8959" s="507">
        <v>0.4</v>
      </c>
    </row>
    <row r="8960" spans="13:31" x14ac:dyDescent="0.2">
      <c r="M8960" s="647" t="s">
        <v>931</v>
      </c>
      <c r="N8960" s="507">
        <v>3.19</v>
      </c>
      <c r="O8960" s="507">
        <v>4.02E-2</v>
      </c>
      <c r="AC8960" s="507">
        <v>5.7000000000000002E-3</v>
      </c>
      <c r="AD8960" s="507"/>
      <c r="AE8960" s="507">
        <v>0.501</v>
      </c>
    </row>
    <row r="8961" spans="13:31" x14ac:dyDescent="0.2">
      <c r="M8961" s="647" t="s">
        <v>931</v>
      </c>
      <c r="N8961" s="507">
        <v>5.7930000000000001</v>
      </c>
      <c r="O8961" s="507">
        <v>1.7500000000000002E-2</v>
      </c>
      <c r="AC8961" s="507">
        <v>4.5999999999999999E-3</v>
      </c>
      <c r="AD8961" s="507"/>
      <c r="AE8961" s="507">
        <v>0.65</v>
      </c>
    </row>
    <row r="8962" spans="13:31" x14ac:dyDescent="0.2">
      <c r="M8962" s="647" t="s">
        <v>931</v>
      </c>
      <c r="N8962" s="507">
        <v>7.891</v>
      </c>
      <c r="O8962" s="507">
        <v>1.72E-2</v>
      </c>
      <c r="AC8962" s="507">
        <v>5.4000000000000003E-3</v>
      </c>
      <c r="AD8962" s="507"/>
      <c r="AE8962" s="507">
        <v>0.74</v>
      </c>
    </row>
    <row r="8963" spans="13:31" x14ac:dyDescent="0.2">
      <c r="M8963" s="647" t="s">
        <v>931</v>
      </c>
      <c r="N8963" s="507">
        <v>9.7710000000000008</v>
      </c>
      <c r="O8963" s="507">
        <v>0</v>
      </c>
      <c r="AC8963" s="507">
        <v>5.1000000000000004E-3</v>
      </c>
      <c r="AD8963" s="507"/>
      <c r="AE8963" s="507">
        <v>0.80800000000000005</v>
      </c>
    </row>
    <row r="8964" spans="13:31" x14ac:dyDescent="0.2">
      <c r="M8964" s="647" t="s">
        <v>931</v>
      </c>
      <c r="N8964" s="507">
        <v>13.842000000000001</v>
      </c>
      <c r="O8964" s="507">
        <v>4.0000000000000002E-4</v>
      </c>
      <c r="AC8964" s="507">
        <v>2.5999999999999999E-3</v>
      </c>
      <c r="AD8964" s="507"/>
      <c r="AE8964" s="507">
        <v>0.93</v>
      </c>
    </row>
    <row r="8965" spans="13:31" x14ac:dyDescent="0.2">
      <c r="M8965" s="647" t="s">
        <v>931</v>
      </c>
      <c r="N8965" s="507">
        <v>16.616</v>
      </c>
      <c r="O8965" s="507">
        <v>6.7000000000000002E-3</v>
      </c>
      <c r="AC8965" s="896" t="s">
        <v>29</v>
      </c>
      <c r="AD8965" s="507"/>
      <c r="AE8965" s="507">
        <v>1</v>
      </c>
    </row>
    <row r="8966" spans="13:31" x14ac:dyDescent="0.2">
      <c r="M8966" s="647" t="s">
        <v>932</v>
      </c>
      <c r="N8966" s="507">
        <v>17.253</v>
      </c>
      <c r="O8966" s="507">
        <v>1.4E-3</v>
      </c>
      <c r="AC8966" s="896" t="s">
        <v>29</v>
      </c>
      <c r="AD8966" s="507"/>
      <c r="AE8966" s="507">
        <v>1.0149999999999999</v>
      </c>
    </row>
    <row r="8967" spans="13:31" x14ac:dyDescent="0.2">
      <c r="M8967" s="647" t="s">
        <v>932</v>
      </c>
      <c r="N8967" s="507">
        <v>16.448</v>
      </c>
      <c r="O8967" s="507">
        <v>4.7000000000000002E-3</v>
      </c>
      <c r="AC8967" s="896" t="s">
        <v>29</v>
      </c>
      <c r="AD8967" s="507"/>
      <c r="AE8967" s="507">
        <v>0.996</v>
      </c>
    </row>
    <row r="8968" spans="13:31" x14ac:dyDescent="0.2">
      <c r="M8968" s="647" t="s">
        <v>932</v>
      </c>
      <c r="N8968" s="507">
        <v>13.473000000000001</v>
      </c>
      <c r="O8968" s="507">
        <v>4.0000000000000001E-3</v>
      </c>
      <c r="AC8968" s="896" t="s">
        <v>29</v>
      </c>
      <c r="AD8968" s="507"/>
      <c r="AE8968" s="507">
        <v>0.91900000000000004</v>
      </c>
    </row>
    <row r="8969" spans="13:31" x14ac:dyDescent="0.2">
      <c r="M8969" s="647" t="s">
        <v>932</v>
      </c>
      <c r="N8969" s="507">
        <v>9.89</v>
      </c>
      <c r="O8969" s="507">
        <v>3.2000000000000002E-3</v>
      </c>
      <c r="AC8969" s="507">
        <v>3.2000000000000002E-3</v>
      </c>
      <c r="AD8969" s="507"/>
      <c r="AE8969" s="507">
        <v>0.81200000000000006</v>
      </c>
    </row>
    <row r="8970" spans="13:31" x14ac:dyDescent="0.2">
      <c r="M8970" s="647" t="s">
        <v>933</v>
      </c>
      <c r="N8970" s="507">
        <v>0.96699999999999997</v>
      </c>
      <c r="O8970" s="507">
        <v>8.2000000000000007E-3</v>
      </c>
      <c r="AC8970" s="507">
        <v>1.11E-2</v>
      </c>
      <c r="AD8970" s="507"/>
      <c r="AE8970" s="507">
        <v>0.28000000000000003</v>
      </c>
    </row>
    <row r="8971" spans="13:31" x14ac:dyDescent="0.2">
      <c r="M8971" s="647" t="s">
        <v>933</v>
      </c>
      <c r="N8971" s="507">
        <v>0.73099999999999998</v>
      </c>
      <c r="O8971" s="507">
        <v>2.9700000000000001E-2</v>
      </c>
      <c r="AC8971" s="507">
        <v>1.0500000000000001E-2</v>
      </c>
      <c r="AD8971" s="507"/>
      <c r="AE8971" s="507">
        <v>0.24</v>
      </c>
    </row>
    <row r="8972" spans="13:31" x14ac:dyDescent="0.2">
      <c r="M8972" s="647" t="s">
        <v>933</v>
      </c>
      <c r="N8972" s="507">
        <v>0.58099999999999996</v>
      </c>
      <c r="O8972" s="507">
        <v>1.9099999999999999E-2</v>
      </c>
      <c r="AC8972" s="507">
        <v>8.3999999999999995E-3</v>
      </c>
      <c r="AD8972" s="507"/>
      <c r="AE8972" s="507">
        <v>0.21</v>
      </c>
    </row>
    <row r="8973" spans="13:31" x14ac:dyDescent="0.2">
      <c r="M8973" s="647" t="s">
        <v>933</v>
      </c>
      <c r="N8973" s="507">
        <v>0.53600000000000003</v>
      </c>
      <c r="O8973" s="507">
        <v>5.3E-3</v>
      </c>
      <c r="AC8973" s="507">
        <v>6.1000000000000004E-3</v>
      </c>
      <c r="AD8973" s="507"/>
      <c r="AE8973" s="507">
        <v>0.2</v>
      </c>
    </row>
    <row r="8974" spans="13:31" x14ac:dyDescent="0.2">
      <c r="M8974" s="647" t="s">
        <v>933</v>
      </c>
      <c r="N8974" s="507">
        <v>0.49399999999999999</v>
      </c>
      <c r="O8974" s="507">
        <v>2.3999999999999998E-3</v>
      </c>
      <c r="AC8974" s="507">
        <v>5.3E-3</v>
      </c>
      <c r="AD8974" s="507"/>
      <c r="AE8974" s="507">
        <v>0.19</v>
      </c>
    </row>
    <row r="8975" spans="13:31" x14ac:dyDescent="0.2">
      <c r="M8975" s="647" t="s">
        <v>933</v>
      </c>
      <c r="N8975" s="507">
        <v>0.41599999999999998</v>
      </c>
      <c r="O8975" s="507">
        <v>0</v>
      </c>
      <c r="AC8975" s="507">
        <v>5.7000000000000002E-3</v>
      </c>
      <c r="AD8975" s="507"/>
      <c r="AE8975" s="507">
        <v>0.17</v>
      </c>
    </row>
    <row r="8976" spans="13:31" x14ac:dyDescent="0.2">
      <c r="M8976" s="647" t="s">
        <v>933</v>
      </c>
      <c r="N8976" s="507">
        <v>0.38300000000000001</v>
      </c>
      <c r="O8976" s="507">
        <v>0</v>
      </c>
      <c r="AC8976" s="507">
        <v>5.4999999999999997E-3</v>
      </c>
      <c r="AD8976" s="507"/>
      <c r="AE8976" s="507">
        <v>0.161</v>
      </c>
    </row>
    <row r="8977" spans="5:31" x14ac:dyDescent="0.2">
      <c r="M8977" s="647" t="s">
        <v>933</v>
      </c>
      <c r="N8977" s="507">
        <v>0.38300000000000001</v>
      </c>
      <c r="O8977" s="507">
        <v>5.4999999999999997E-3</v>
      </c>
      <c r="AC8977" s="507">
        <v>5.1000000000000004E-3</v>
      </c>
      <c r="AD8977" s="507"/>
      <c r="AE8977" s="507">
        <v>0.161</v>
      </c>
    </row>
    <row r="8978" spans="5:31" x14ac:dyDescent="0.2">
      <c r="M8978" s="647" t="s">
        <v>933</v>
      </c>
      <c r="N8978" s="507">
        <v>0.34300000000000003</v>
      </c>
      <c r="O8978" s="507">
        <v>0</v>
      </c>
      <c r="AC8978" s="507">
        <v>5.1000000000000004E-3</v>
      </c>
      <c r="AD8978" s="507"/>
      <c r="AE8978" s="507">
        <v>0.14899999999999999</v>
      </c>
    </row>
    <row r="8979" spans="5:31" x14ac:dyDescent="0.2">
      <c r="M8979" s="647" t="s">
        <v>933</v>
      </c>
      <c r="N8979" s="507">
        <v>0.28399999999999997</v>
      </c>
      <c r="O8979" s="507">
        <v>1.6000000000000001E-3</v>
      </c>
      <c r="AC8979" s="507">
        <v>6.6E-3</v>
      </c>
      <c r="AD8979" s="507"/>
      <c r="AE8979" s="507">
        <v>0.13</v>
      </c>
    </row>
    <row r="8980" spans="5:31" x14ac:dyDescent="0.2">
      <c r="M8980" s="647" t="s">
        <v>933</v>
      </c>
      <c r="N8980" s="507">
        <v>0.26200000000000001</v>
      </c>
      <c r="O8980" s="507">
        <v>4.0000000000000002E-4</v>
      </c>
      <c r="AC8980" s="507">
        <v>6.7999999999999996E-3</v>
      </c>
      <c r="AD8980" s="507"/>
      <c r="AE8980" s="507">
        <v>0.122</v>
      </c>
    </row>
    <row r="8981" spans="5:31" x14ac:dyDescent="0.2">
      <c r="E8981" s="169" t="s">
        <v>274</v>
      </c>
      <c r="F8981" s="569">
        <f>SUM(F4:F8980)</f>
        <v>8385</v>
      </c>
    </row>
    <row r="8982" spans="5:31" x14ac:dyDescent="0.2">
      <c r="E8982" s="561"/>
      <c r="F8982" s="561"/>
    </row>
    <row r="8983" spans="5:31" x14ac:dyDescent="0.2">
      <c r="E8983" s="160"/>
      <c r="F8983" s="562"/>
    </row>
    <row r="8984" spans="5:31" x14ac:dyDescent="0.2">
      <c r="E8984" s="561"/>
      <c r="F8984" s="562">
        <f>SUM(F6365:F8143)</f>
        <v>1330</v>
      </c>
    </row>
  </sheetData>
  <sortState ref="N5790:AA5889">
    <sortCondition ref="N5790:N5889"/>
  </sortState>
  <mergeCells count="8">
    <mergeCell ref="BA5297:BE5297"/>
    <mergeCell ref="P2200:U2231"/>
    <mergeCell ref="BA5209:BE5209"/>
    <mergeCell ref="BA5257:BE5257"/>
    <mergeCell ref="BA5127:BE5127"/>
    <mergeCell ref="BA5153:BE5153"/>
    <mergeCell ref="BA5089:BD5089"/>
    <mergeCell ref="P4369:U4419"/>
  </mergeCells>
  <pageMargins left="0.7" right="0.7" top="0.75" bottom="0.75" header="0.3" footer="0.3"/>
  <pageSetup paperSize="17" scale="49" fitToWidth="3" orientation="landscape" r:id="rId1"/>
  <ignoredErrors>
    <ignoredError sqref="AD8373" formula="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IV161"/>
  <sheetViews>
    <sheetView topLeftCell="A100" zoomScale="75" zoomScaleNormal="75" workbookViewId="0">
      <selection activeCell="F158" sqref="F158:U161"/>
    </sheetView>
  </sheetViews>
  <sheetFormatPr defaultRowHeight="15" x14ac:dyDescent="0.25"/>
  <cols>
    <col min="1" max="1" width="31.85546875" customWidth="1"/>
    <col min="3" max="3" width="10.7109375" bestFit="1" customWidth="1"/>
    <col min="6" max="6" width="11" customWidth="1"/>
    <col min="19" max="19" width="9.42578125" customWidth="1"/>
    <col min="21" max="21" width="10.85546875" customWidth="1"/>
  </cols>
  <sheetData>
    <row r="1" spans="1:256" s="39" customFormat="1" ht="57" customHeight="1" thickTop="1" thickBot="1" x14ac:dyDescent="0.3">
      <c r="A1" s="35" t="s">
        <v>56</v>
      </c>
      <c r="B1" s="36" t="s">
        <v>120</v>
      </c>
      <c r="C1" s="37" t="s">
        <v>62</v>
      </c>
      <c r="D1" s="37" t="s">
        <v>121</v>
      </c>
      <c r="E1" s="35" t="s">
        <v>122</v>
      </c>
      <c r="F1" s="35" t="s">
        <v>123</v>
      </c>
      <c r="G1" s="35" t="s">
        <v>124</v>
      </c>
      <c r="H1" s="35" t="s">
        <v>125</v>
      </c>
      <c r="I1" s="35" t="s">
        <v>126</v>
      </c>
      <c r="J1" s="35" t="s">
        <v>127</v>
      </c>
      <c r="K1" s="35" t="s">
        <v>128</v>
      </c>
      <c r="L1" s="35" t="s">
        <v>129</v>
      </c>
      <c r="M1" s="35" t="s">
        <v>130</v>
      </c>
      <c r="N1" s="35" t="s">
        <v>131</v>
      </c>
      <c r="O1" s="35" t="s">
        <v>132</v>
      </c>
      <c r="P1" s="35" t="s">
        <v>133</v>
      </c>
      <c r="Q1" s="35" t="s">
        <v>134</v>
      </c>
      <c r="R1" s="35" t="s">
        <v>135</v>
      </c>
      <c r="S1" s="35" t="s">
        <v>136</v>
      </c>
      <c r="T1" s="35" t="s">
        <v>137</v>
      </c>
      <c r="U1" s="35" t="s">
        <v>138</v>
      </c>
      <c r="V1" s="35" t="s">
        <v>139</v>
      </c>
      <c r="W1" s="35" t="s">
        <v>140</v>
      </c>
      <c r="X1" s="35" t="s">
        <v>141</v>
      </c>
      <c r="Y1" s="35" t="s">
        <v>142</v>
      </c>
      <c r="Z1" s="38"/>
      <c r="AA1" s="38"/>
      <c r="AB1" s="38"/>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row>
    <row r="2" spans="1:256" ht="15.75" thickTop="1" x14ac:dyDescent="0.25">
      <c r="A2" s="27" t="s">
        <v>78</v>
      </c>
      <c r="B2" s="23">
        <v>1</v>
      </c>
      <c r="C2" s="28">
        <v>34221</v>
      </c>
      <c r="D2" s="23" t="s">
        <v>116</v>
      </c>
      <c r="E2" s="23">
        <v>1</v>
      </c>
      <c r="F2" s="23" t="s">
        <v>117</v>
      </c>
      <c r="G2" s="29">
        <v>66</v>
      </c>
      <c r="H2" s="29">
        <v>176</v>
      </c>
      <c r="I2" s="29">
        <v>2141</v>
      </c>
      <c r="J2" s="29">
        <v>4864</v>
      </c>
      <c r="K2" s="29">
        <v>2416</v>
      </c>
      <c r="L2" s="29">
        <v>1389</v>
      </c>
      <c r="M2" s="29">
        <v>2711</v>
      </c>
      <c r="N2" s="29">
        <v>4397</v>
      </c>
      <c r="O2" s="29">
        <v>6345</v>
      </c>
      <c r="P2" s="29">
        <v>10466</v>
      </c>
      <c r="Q2" s="29">
        <v>4206</v>
      </c>
      <c r="R2" s="29">
        <v>491</v>
      </c>
      <c r="S2" s="29">
        <v>0</v>
      </c>
      <c r="T2" s="29">
        <v>0</v>
      </c>
    </row>
    <row r="3" spans="1:256" s="34" customFormat="1" x14ac:dyDescent="0.25">
      <c r="A3" s="30" t="s">
        <v>78</v>
      </c>
      <c r="B3" s="31">
        <v>1</v>
      </c>
      <c r="C3" s="32">
        <v>34221</v>
      </c>
      <c r="D3" s="31" t="s">
        <v>118</v>
      </c>
      <c r="E3" s="31">
        <v>1</v>
      </c>
      <c r="F3" s="31" t="s">
        <v>117</v>
      </c>
      <c r="G3" s="33">
        <v>58</v>
      </c>
      <c r="H3" s="33">
        <v>98</v>
      </c>
      <c r="I3" s="33">
        <v>1242</v>
      </c>
      <c r="J3" s="33">
        <v>3426</v>
      </c>
      <c r="K3" s="33">
        <v>1928</v>
      </c>
      <c r="L3" s="33">
        <v>1046</v>
      </c>
      <c r="M3" s="33">
        <v>2019</v>
      </c>
      <c r="N3" s="33">
        <v>3215</v>
      </c>
      <c r="O3" s="33">
        <v>5299</v>
      </c>
      <c r="P3" s="33">
        <v>11088</v>
      </c>
      <c r="Q3" s="33">
        <v>6857</v>
      </c>
      <c r="R3" s="33">
        <v>872</v>
      </c>
      <c r="S3" s="33">
        <v>0</v>
      </c>
      <c r="T3" s="33">
        <v>0</v>
      </c>
    </row>
    <row r="4" spans="1:256" s="34" customFormat="1" x14ac:dyDescent="0.25">
      <c r="A4" s="30" t="s">
        <v>78</v>
      </c>
      <c r="B4" s="31">
        <v>2</v>
      </c>
      <c r="C4" s="32">
        <v>35710</v>
      </c>
      <c r="D4" s="31" t="s">
        <v>118</v>
      </c>
      <c r="E4" s="31">
        <v>1</v>
      </c>
      <c r="F4" s="31" t="s">
        <v>117</v>
      </c>
      <c r="G4" s="33">
        <v>0</v>
      </c>
      <c r="H4" s="33">
        <v>0</v>
      </c>
      <c r="I4" s="33">
        <v>0.1</v>
      </c>
      <c r="J4" s="33">
        <v>0.2</v>
      </c>
      <c r="K4" s="33">
        <v>0.1</v>
      </c>
      <c r="L4" s="33">
        <v>0.2</v>
      </c>
      <c r="M4" s="33">
        <v>0.8</v>
      </c>
      <c r="N4" s="33">
        <v>10.3</v>
      </c>
      <c r="O4" s="33">
        <v>213.2</v>
      </c>
      <c r="P4" s="33">
        <v>537.79999999999995</v>
      </c>
      <c r="Q4" s="33">
        <v>629.5</v>
      </c>
      <c r="R4" s="33">
        <v>0</v>
      </c>
      <c r="S4" s="33">
        <v>0</v>
      </c>
      <c r="T4" s="33">
        <v>0</v>
      </c>
    </row>
    <row r="5" spans="1:256" x14ac:dyDescent="0.25">
      <c r="A5" s="27" t="s">
        <v>78</v>
      </c>
      <c r="B5" s="23">
        <v>2</v>
      </c>
      <c r="C5" s="28">
        <v>35710</v>
      </c>
      <c r="D5" s="23" t="s">
        <v>116</v>
      </c>
      <c r="E5" s="23">
        <v>1</v>
      </c>
      <c r="F5" s="23" t="s">
        <v>117</v>
      </c>
      <c r="G5" s="29">
        <v>1.5</v>
      </c>
      <c r="H5" s="29">
        <v>4.0999999999999996</v>
      </c>
      <c r="I5" s="29">
        <v>78.599999999999994</v>
      </c>
      <c r="J5" s="29">
        <v>138.9</v>
      </c>
      <c r="K5" s="29">
        <v>59.4</v>
      </c>
      <c r="L5" s="29">
        <v>32</v>
      </c>
      <c r="M5" s="29">
        <v>103.7</v>
      </c>
      <c r="N5" s="29">
        <v>219.9</v>
      </c>
      <c r="O5" s="29">
        <v>386.6</v>
      </c>
      <c r="P5" s="29">
        <v>321.39999999999998</v>
      </c>
      <c r="Q5" s="29">
        <v>131.80000000000001</v>
      </c>
      <c r="R5" s="29">
        <v>0</v>
      </c>
      <c r="S5" s="29">
        <v>0</v>
      </c>
      <c r="T5" s="29">
        <v>0</v>
      </c>
    </row>
    <row r="6" spans="1:256" s="34" customFormat="1" x14ac:dyDescent="0.25">
      <c r="A6" s="30" t="s">
        <v>78</v>
      </c>
      <c r="B6" s="31">
        <v>3</v>
      </c>
      <c r="C6" s="32">
        <v>35710</v>
      </c>
      <c r="D6" s="31" t="s">
        <v>118</v>
      </c>
      <c r="E6" s="31">
        <v>2</v>
      </c>
      <c r="F6" s="31" t="s">
        <v>117</v>
      </c>
      <c r="G6" s="33">
        <v>1.4</v>
      </c>
      <c r="H6" s="33">
        <v>1.9</v>
      </c>
      <c r="I6" s="33">
        <v>29.3</v>
      </c>
      <c r="J6" s="33">
        <v>69</v>
      </c>
      <c r="K6" s="33">
        <v>40.5</v>
      </c>
      <c r="L6" s="33">
        <v>22.7</v>
      </c>
      <c r="M6" s="33">
        <v>79.900000000000006</v>
      </c>
      <c r="N6" s="33">
        <v>179.5</v>
      </c>
      <c r="O6" s="33">
        <v>530.5</v>
      </c>
      <c r="P6" s="33">
        <v>934.8</v>
      </c>
      <c r="Q6" s="33">
        <v>1089.9000000000001</v>
      </c>
      <c r="R6" s="33">
        <v>417</v>
      </c>
      <c r="S6" s="33">
        <v>0</v>
      </c>
      <c r="T6" s="33">
        <v>0</v>
      </c>
    </row>
    <row r="7" spans="1:256" x14ac:dyDescent="0.25">
      <c r="A7" s="27" t="s">
        <v>78</v>
      </c>
      <c r="B7" s="23">
        <v>3</v>
      </c>
      <c r="C7" s="28">
        <v>35710</v>
      </c>
      <c r="D7" s="23" t="s">
        <v>116</v>
      </c>
      <c r="E7" s="23">
        <v>2</v>
      </c>
      <c r="F7" s="23" t="s">
        <v>117</v>
      </c>
      <c r="G7" s="29">
        <v>2.7</v>
      </c>
      <c r="H7" s="29">
        <v>8.6999999999999993</v>
      </c>
      <c r="I7" s="29">
        <v>132.9</v>
      </c>
      <c r="J7" s="29">
        <v>271.60000000000002</v>
      </c>
      <c r="K7" s="29">
        <v>144.4</v>
      </c>
      <c r="L7" s="29">
        <v>77.3</v>
      </c>
      <c r="M7" s="29">
        <v>214.1</v>
      </c>
      <c r="N7" s="29">
        <v>359.5</v>
      </c>
      <c r="O7" s="29">
        <v>377.8</v>
      </c>
      <c r="P7" s="29">
        <v>365.7</v>
      </c>
      <c r="Q7" s="29">
        <v>173.8</v>
      </c>
      <c r="R7" s="29">
        <v>0</v>
      </c>
      <c r="S7" s="29">
        <v>0</v>
      </c>
      <c r="T7" s="29">
        <v>0</v>
      </c>
    </row>
    <row r="8" spans="1:256" s="34" customFormat="1" x14ac:dyDescent="0.25">
      <c r="A8" s="30" t="s">
        <v>78</v>
      </c>
      <c r="B8" s="31">
        <v>4</v>
      </c>
      <c r="C8" s="32">
        <v>35710</v>
      </c>
      <c r="D8" s="31" t="s">
        <v>118</v>
      </c>
      <c r="E8" s="31">
        <v>3</v>
      </c>
      <c r="F8" s="31" t="s">
        <v>117</v>
      </c>
      <c r="G8" s="33">
        <v>0.2</v>
      </c>
      <c r="H8" s="33">
        <v>0.3</v>
      </c>
      <c r="I8" s="33">
        <v>0.6</v>
      </c>
      <c r="J8" s="33">
        <v>2.7</v>
      </c>
      <c r="K8" s="33">
        <v>2.2000000000000002</v>
      </c>
      <c r="L8" s="33">
        <v>1.6</v>
      </c>
      <c r="M8" s="33">
        <v>8</v>
      </c>
      <c r="N8" s="33">
        <v>64.599999999999994</v>
      </c>
      <c r="O8" s="33">
        <v>516</v>
      </c>
      <c r="P8" s="33">
        <v>1023.1</v>
      </c>
      <c r="Q8" s="33">
        <v>288</v>
      </c>
      <c r="R8" s="33">
        <v>0</v>
      </c>
      <c r="S8" s="33">
        <v>0</v>
      </c>
      <c r="T8" s="33">
        <v>0</v>
      </c>
    </row>
    <row r="9" spans="1:256" x14ac:dyDescent="0.25">
      <c r="A9" s="27" t="s">
        <v>78</v>
      </c>
      <c r="B9" s="23">
        <v>4</v>
      </c>
      <c r="C9" s="28">
        <v>35710</v>
      </c>
      <c r="D9" s="23" t="s">
        <v>116</v>
      </c>
      <c r="E9" s="23">
        <v>3</v>
      </c>
      <c r="F9" s="23" t="s">
        <v>117</v>
      </c>
      <c r="G9" s="29">
        <v>1.1000000000000001</v>
      </c>
      <c r="H9" s="29">
        <v>2.2999999999999998</v>
      </c>
      <c r="I9" s="29">
        <v>65.599999999999994</v>
      </c>
      <c r="J9" s="29">
        <v>194.2</v>
      </c>
      <c r="K9" s="29">
        <v>124.1</v>
      </c>
      <c r="L9" s="29">
        <v>57.3</v>
      </c>
      <c r="M9" s="29">
        <v>138.4</v>
      </c>
      <c r="N9" s="29">
        <v>326.3</v>
      </c>
      <c r="O9" s="29">
        <v>500.5</v>
      </c>
      <c r="P9" s="29">
        <v>457.6</v>
      </c>
      <c r="Q9" s="29">
        <v>124.1</v>
      </c>
      <c r="R9" s="29">
        <v>0</v>
      </c>
      <c r="S9" s="29">
        <v>0</v>
      </c>
      <c r="T9" s="29">
        <v>0</v>
      </c>
    </row>
    <row r="10" spans="1:256" x14ac:dyDescent="0.25">
      <c r="A10" s="27"/>
      <c r="B10" s="23"/>
      <c r="C10" s="28"/>
      <c r="D10" s="23"/>
      <c r="E10" s="23"/>
      <c r="F10" s="23"/>
      <c r="G10" s="136">
        <v>0.01</v>
      </c>
      <c r="H10" s="136">
        <v>6.25E-2</v>
      </c>
      <c r="I10" s="136">
        <v>0.125</v>
      </c>
      <c r="J10" s="136">
        <v>0.25</v>
      </c>
      <c r="K10" s="136">
        <v>0.5</v>
      </c>
      <c r="L10" s="136">
        <v>1</v>
      </c>
      <c r="M10" s="136">
        <v>2</v>
      </c>
      <c r="N10" s="136">
        <v>4</v>
      </c>
      <c r="O10" s="136">
        <v>8</v>
      </c>
      <c r="P10" s="136">
        <v>16</v>
      </c>
      <c r="Q10" s="136">
        <v>32</v>
      </c>
      <c r="R10" s="136">
        <v>64</v>
      </c>
      <c r="S10" s="136">
        <v>128</v>
      </c>
      <c r="T10" s="136">
        <v>256</v>
      </c>
    </row>
    <row r="11" spans="1:256" ht="51.75" x14ac:dyDescent="0.25">
      <c r="G11" s="76" t="s">
        <v>143</v>
      </c>
      <c r="H11" s="76" t="s">
        <v>144</v>
      </c>
      <c r="I11" s="76" t="s">
        <v>145</v>
      </c>
      <c r="J11" s="76" t="s">
        <v>146</v>
      </c>
      <c r="K11" s="76" t="s">
        <v>147</v>
      </c>
      <c r="L11" s="76" t="s">
        <v>148</v>
      </c>
      <c r="M11" s="76" t="s">
        <v>149</v>
      </c>
      <c r="N11" s="76" t="s">
        <v>150</v>
      </c>
      <c r="O11" s="76" t="s">
        <v>151</v>
      </c>
      <c r="P11" s="76" t="s">
        <v>152</v>
      </c>
      <c r="Q11" s="76" t="s">
        <v>153</v>
      </c>
      <c r="R11" s="76" t="s">
        <v>154</v>
      </c>
      <c r="S11" s="76" t="s">
        <v>155</v>
      </c>
      <c r="T11" s="76" t="s">
        <v>156</v>
      </c>
    </row>
    <row r="12" spans="1:256" x14ac:dyDescent="0.25">
      <c r="A12" t="s">
        <v>119</v>
      </c>
      <c r="G12" s="43">
        <f t="shared" ref="G12:R12" si="0">SUM(G4,G6,G8,G3)/1000</f>
        <v>5.96E-2</v>
      </c>
      <c r="H12" s="43">
        <f t="shared" si="0"/>
        <v>0.1002</v>
      </c>
      <c r="I12" s="43">
        <f t="shared" si="0"/>
        <v>1.272</v>
      </c>
      <c r="J12" s="43">
        <f t="shared" si="0"/>
        <v>3.4979</v>
      </c>
      <c r="K12" s="43">
        <f t="shared" si="0"/>
        <v>1.9707999999999999</v>
      </c>
      <c r="L12" s="43">
        <f t="shared" si="0"/>
        <v>1.0705</v>
      </c>
      <c r="M12" s="43">
        <f t="shared" si="0"/>
        <v>2.1076999999999999</v>
      </c>
      <c r="N12" s="43">
        <f t="shared" si="0"/>
        <v>3.4694000000000003</v>
      </c>
      <c r="O12" s="43">
        <f t="shared" si="0"/>
        <v>6.5587</v>
      </c>
      <c r="P12" s="43">
        <f t="shared" si="0"/>
        <v>13.5837</v>
      </c>
      <c r="Q12" s="43">
        <f t="shared" si="0"/>
        <v>8.8643999999999998</v>
      </c>
      <c r="R12" s="43">
        <f t="shared" si="0"/>
        <v>1.2889999999999999</v>
      </c>
      <c r="S12" s="43">
        <f>SUM(S4,S6,S8)/1000</f>
        <v>0</v>
      </c>
      <c r="T12" s="43">
        <f>SUM(T4,T6,T8)/1000</f>
        <v>0</v>
      </c>
      <c r="U12" s="43">
        <f>SUM(G12:T12)</f>
        <v>43.843900000000005</v>
      </c>
    </row>
    <row r="13" spans="1:256" x14ac:dyDescent="0.25">
      <c r="G13" s="40"/>
      <c r="H13" s="40"/>
      <c r="I13" s="40"/>
      <c r="J13" s="40"/>
      <c r="K13" s="46" t="s">
        <v>158</v>
      </c>
      <c r="L13" s="43">
        <f>SUM(G12,H12,I12,J12,K12,L12)</f>
        <v>7.9710000000000001</v>
      </c>
      <c r="M13" s="40"/>
      <c r="N13" s="40"/>
      <c r="O13" s="40"/>
      <c r="P13" s="40"/>
      <c r="Q13" s="40"/>
      <c r="R13" s="40"/>
      <c r="S13" s="40"/>
      <c r="T13" s="40"/>
    </row>
    <row r="14" spans="1:256" x14ac:dyDescent="0.25">
      <c r="A14" t="s">
        <v>157</v>
      </c>
      <c r="G14" s="43">
        <f>SUM(G5,G7,G9,G2)/1000</f>
        <v>7.1300000000000002E-2</v>
      </c>
      <c r="H14" s="43">
        <f>SUM(H5,H7,H9,H2)/1000</f>
        <v>0.19109999999999999</v>
      </c>
      <c r="I14" s="43">
        <f>SUM(I5,I7,I9,I2)/1000</f>
        <v>2.4180999999999999</v>
      </c>
      <c r="J14" s="44">
        <f>SUM(J5,J7,J9,J2)/1000</f>
        <v>5.4687000000000001</v>
      </c>
      <c r="K14" s="43">
        <f>SUM(K5,K7,K9,K2)/1000</f>
        <v>2.7439</v>
      </c>
      <c r="L14" s="43">
        <f t="shared" ref="L14:S14" si="1">SUM(L2,L5,L7,L9)/1000</f>
        <v>1.5555999999999999</v>
      </c>
      <c r="M14" s="45">
        <f t="shared" si="1"/>
        <v>3.1671999999999998</v>
      </c>
      <c r="N14" s="43">
        <f t="shared" si="1"/>
        <v>5.3026999999999997</v>
      </c>
      <c r="O14" s="43">
        <f t="shared" si="1"/>
        <v>7.6099000000000006</v>
      </c>
      <c r="P14" s="43">
        <f t="shared" si="1"/>
        <v>11.610700000000001</v>
      </c>
      <c r="Q14" s="43">
        <f t="shared" si="1"/>
        <v>4.6357000000000008</v>
      </c>
      <c r="R14" s="43">
        <f t="shared" si="1"/>
        <v>0.49099999999999999</v>
      </c>
      <c r="S14" s="43">
        <f t="shared" si="1"/>
        <v>0</v>
      </c>
      <c r="T14" s="43">
        <f>AVERAGE(T5,T7,T9)/1000</f>
        <v>0</v>
      </c>
      <c r="U14" s="43">
        <f>SUM(G14:T14)</f>
        <v>45.265900000000002</v>
      </c>
    </row>
    <row r="15" spans="1:256" x14ac:dyDescent="0.25">
      <c r="G15" s="40"/>
      <c r="H15" s="40"/>
      <c r="I15" s="40"/>
      <c r="J15" s="40"/>
      <c r="K15" s="46" t="s">
        <v>158</v>
      </c>
      <c r="L15" s="43">
        <f>SUM(G14,H14,I14,J14,K14,L14)</f>
        <v>12.448700000000001</v>
      </c>
      <c r="M15" s="40"/>
      <c r="N15" s="40"/>
      <c r="O15" s="40"/>
      <c r="P15" s="40"/>
      <c r="Q15" s="40"/>
      <c r="R15" s="40"/>
      <c r="S15" s="40"/>
      <c r="T15" s="40"/>
    </row>
    <row r="16" spans="1:256" x14ac:dyDescent="0.25">
      <c r="F16" s="71" t="s">
        <v>22</v>
      </c>
      <c r="G16" s="72">
        <f>G12/U12</f>
        <v>1.3593681219052135E-3</v>
      </c>
      <c r="H16" s="72">
        <f>(H12+G12)/U12</f>
        <v>3.6447487563834417E-3</v>
      </c>
      <c r="I16" s="72">
        <f>(I12+H12+G12)/U12</f>
        <v>3.2656766391675925E-2</v>
      </c>
      <c r="J16" s="72">
        <f>(J12+I12+H12+G12)/U12</f>
        <v>0.11243753406973374</v>
      </c>
      <c r="K16" s="72">
        <f>(K12+J12+I12+H12+G12)/U12</f>
        <v>0.1573879148524652</v>
      </c>
      <c r="L16" s="72">
        <f>(L12+K12+J12+I12+H12+G12)/U12</f>
        <v>0.18180408220983987</v>
      </c>
      <c r="M16" s="72">
        <f>(M12+L12+K12+J12+I12+H12+G12)/U12</f>
        <v>0.22987690419875964</v>
      </c>
      <c r="N16" s="72">
        <f>(N12+M12+L12+K12+J12+I12+H12+G12)/U12</f>
        <v>0.30900763846281915</v>
      </c>
      <c r="O16" s="72">
        <f>(O12+N12+M12+L12+K12+J12+I12+H12+G12)/U12</f>
        <v>0.45859971398529781</v>
      </c>
      <c r="P16" s="72">
        <f>(P12+O12+N12+M12+L12+K12+J12+I12+H12+G12)/U12</f>
        <v>0.76841932401086588</v>
      </c>
      <c r="Q16" s="72">
        <f>(Q12+P12+O12+N12+M12+L12+K12+J12+I12+H12+G12)/U12</f>
        <v>0.97060024313530502</v>
      </c>
      <c r="R16" s="72">
        <f>(R12+Q12+P12+O12+N12+M12+L12+K12+J12+I12+H12+G12)/U12</f>
        <v>1</v>
      </c>
      <c r="S16" s="72">
        <f>(S12+R12+Q12+P12+O12+N12+M12+L12+K12+J12+I12+H12+G12)/U12</f>
        <v>1</v>
      </c>
      <c r="T16" s="72">
        <f>(T12+S12+R12+Q12+P12+O12+N12+M12+L12+K12+J12+I12+H12+G12)/U12</f>
        <v>1</v>
      </c>
    </row>
    <row r="17" spans="1:256" x14ac:dyDescent="0.25">
      <c r="T17" s="73" t="s">
        <v>170</v>
      </c>
      <c r="U17" s="133">
        <f>2.71828182845905^((LOG($P$10,2.71828182845905)-LOG($O$10,2.71828182845905))*(0.5-O16)/(P16-O16)+LOG($O$10,2.71828182845905))</f>
        <v>8.7763865382554513</v>
      </c>
    </row>
    <row r="18" spans="1:256" x14ac:dyDescent="0.25">
      <c r="F18" s="71" t="s">
        <v>21</v>
      </c>
      <c r="G18" s="72">
        <f>G14/U14</f>
        <v>1.5751371341340833E-3</v>
      </c>
      <c r="H18" s="72">
        <f>(H14+G14)/U14</f>
        <v>5.7968581205719971E-3</v>
      </c>
      <c r="I18" s="72">
        <f>(I14+H14+G14)/U14</f>
        <v>5.9216761403175451E-2</v>
      </c>
      <c r="J18" s="72">
        <f>(J14+I14+H14+G14)/U14</f>
        <v>0.18002955867441053</v>
      </c>
      <c r="K18" s="72">
        <f>(K14+J14+I14+H14+G14)/U14</f>
        <v>0.24064693290092545</v>
      </c>
      <c r="L18" s="72">
        <f>(L14+K14+J14+I14+H14+G14)/U14</f>
        <v>0.27501275794803592</v>
      </c>
      <c r="M18" s="72">
        <f>(M14+L14+K14+J14+I14+H14+G14)/U14</f>
        <v>0.34498154239725709</v>
      </c>
      <c r="N18" s="72">
        <f>(N14+M14+L14+K14+J14+I14+H14+G14)/U14</f>
        <v>0.46212711997331318</v>
      </c>
      <c r="O18" s="72">
        <f>(O14+N14+M14+L14+K14+J14+I14+H14+G14)/U14</f>
        <v>0.63024263297537431</v>
      </c>
      <c r="P18" s="72">
        <f>(P14+O14+N14+M14+L14+K14+J14+I14+H14+G14)/U14</f>
        <v>0.88674255896822995</v>
      </c>
      <c r="Q18" s="72">
        <f>(Q14+P14+O14+N14+M14+L14+K14+J14+I14+H14+G14)/U14</f>
        <v>0.98915298270883811</v>
      </c>
      <c r="R18" s="72">
        <f>(R14+Q14+P14+O14+N14+M14+L14+K14+J14+I14+H14+G14)/U14</f>
        <v>0.99999999999999989</v>
      </c>
      <c r="S18" s="72">
        <f>(S14+R14+Q14+P14+O14+N14+M14+L14+K14+J14+I14+H14+G14)/U14</f>
        <v>0.99999999999999989</v>
      </c>
      <c r="T18" s="72">
        <f>(T14+S14+R14+Q14+P14+O14+N14+M14+L14+K14+J14+I14+H14+G14)/U14</f>
        <v>0.99999999999999989</v>
      </c>
      <c r="U18" s="67"/>
    </row>
    <row r="19" spans="1:256" x14ac:dyDescent="0.25">
      <c r="T19" s="70" t="s">
        <v>170</v>
      </c>
      <c r="U19" s="133">
        <f>2.71828182845905^((LOG($O$10,2.71828182845905)-LOG($N$10,2.71828182845905))*(0.5-N18)/(O18-N18)+LOG($N$10,2.71828182845905))</f>
        <v>4.6760129099492946</v>
      </c>
    </row>
    <row r="20" spans="1:256" ht="15.75" thickBot="1" x14ac:dyDescent="0.3">
      <c r="G20" s="40"/>
      <c r="H20" s="40"/>
      <c r="I20" s="40"/>
      <c r="J20" s="40"/>
      <c r="K20" s="49"/>
      <c r="L20" s="50"/>
      <c r="M20" s="40"/>
      <c r="N20" s="40"/>
      <c r="O20" s="40"/>
      <c r="P20" s="40"/>
      <c r="Q20" s="40"/>
      <c r="R20" s="40"/>
      <c r="S20" s="40"/>
      <c r="T20" s="40"/>
    </row>
    <row r="21" spans="1:256" s="39" customFormat="1" ht="57" customHeight="1" thickTop="1" thickBot="1" x14ac:dyDescent="0.3">
      <c r="A21" s="35" t="s">
        <v>56</v>
      </c>
      <c r="B21" s="36" t="s">
        <v>120</v>
      </c>
      <c r="C21" s="37" t="s">
        <v>62</v>
      </c>
      <c r="D21" s="37" t="s">
        <v>121</v>
      </c>
      <c r="E21" s="35" t="s">
        <v>122</v>
      </c>
      <c r="F21" s="35" t="s">
        <v>123</v>
      </c>
      <c r="G21" s="35" t="s">
        <v>124</v>
      </c>
      <c r="H21" s="35" t="s">
        <v>125</v>
      </c>
      <c r="I21" s="35" t="s">
        <v>126</v>
      </c>
      <c r="J21" s="35" t="s">
        <v>127</v>
      </c>
      <c r="K21" s="35" t="s">
        <v>128</v>
      </c>
      <c r="L21" s="35" t="s">
        <v>129</v>
      </c>
      <c r="M21" s="35" t="s">
        <v>130</v>
      </c>
      <c r="N21" s="35" t="s">
        <v>131</v>
      </c>
      <c r="O21" s="35" t="s">
        <v>132</v>
      </c>
      <c r="P21" s="35" t="s">
        <v>133</v>
      </c>
      <c r="Q21" s="35" t="s">
        <v>134</v>
      </c>
      <c r="R21" s="35" t="s">
        <v>135</v>
      </c>
      <c r="S21" s="35" t="s">
        <v>136</v>
      </c>
      <c r="T21" s="35" t="s">
        <v>137</v>
      </c>
      <c r="U21" s="35" t="s">
        <v>138</v>
      </c>
      <c r="V21" s="35" t="s">
        <v>139</v>
      </c>
      <c r="W21" s="35" t="s">
        <v>140</v>
      </c>
      <c r="X21" s="35" t="s">
        <v>141</v>
      </c>
      <c r="Y21" s="35" t="s">
        <v>142</v>
      </c>
      <c r="Z21" s="38"/>
      <c r="AA21" s="38"/>
      <c r="AB21" s="38"/>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s="34" customFormat="1" ht="15.75" thickTop="1" x14ac:dyDescent="0.25">
      <c r="A22" s="30" t="s">
        <v>159</v>
      </c>
      <c r="B22" s="31">
        <v>1</v>
      </c>
      <c r="C22" s="32">
        <v>35277</v>
      </c>
      <c r="D22" s="31" t="s">
        <v>118</v>
      </c>
      <c r="E22" s="31">
        <v>1</v>
      </c>
      <c r="F22" s="31" t="s">
        <v>117</v>
      </c>
      <c r="G22" s="51">
        <f>13+9+10+10</f>
        <v>42</v>
      </c>
      <c r="H22" s="51">
        <f>8+4+9+8</f>
        <v>29</v>
      </c>
      <c r="I22" s="51">
        <f>23+11+24+15</f>
        <v>73</v>
      </c>
      <c r="J22" s="51">
        <f>130+70+111+71</f>
        <v>382</v>
      </c>
      <c r="K22" s="51">
        <f>74+43+56+49</f>
        <v>222</v>
      </c>
      <c r="L22" s="51">
        <f>65+39+44+45</f>
        <v>193</v>
      </c>
      <c r="M22" s="51">
        <f>92+61+56+57</f>
        <v>266</v>
      </c>
      <c r="N22" s="51">
        <f>213+150+105+88</f>
        <v>556</v>
      </c>
      <c r="O22" s="51">
        <f>475+372+148+135</f>
        <v>1130</v>
      </c>
      <c r="P22" s="51">
        <f>830+578+315+274</f>
        <v>1997</v>
      </c>
      <c r="Q22" s="51">
        <f>632+416+280+337</f>
        <v>1665</v>
      </c>
      <c r="R22" s="51">
        <f>296+1482+931+380+939+399+1927+1106</f>
        <v>7460</v>
      </c>
      <c r="S22" s="51">
        <f>28148+13620+925+1870</f>
        <v>44563</v>
      </c>
      <c r="T22" s="51"/>
    </row>
    <row r="23" spans="1:256" s="34" customFormat="1" x14ac:dyDescent="0.25">
      <c r="A23" s="30" t="s">
        <v>159</v>
      </c>
      <c r="B23" s="31">
        <v>2</v>
      </c>
      <c r="C23" s="32">
        <v>35277</v>
      </c>
      <c r="D23" s="31" t="s">
        <v>118</v>
      </c>
      <c r="E23" s="31">
        <v>2</v>
      </c>
      <c r="F23" s="31" t="s">
        <v>117</v>
      </c>
      <c r="G23" s="51">
        <f>6+7+9</f>
        <v>22</v>
      </c>
      <c r="H23" s="51">
        <f>2+3+5</f>
        <v>10</v>
      </c>
      <c r="I23" s="51">
        <f>4+12+14</f>
        <v>30</v>
      </c>
      <c r="J23" s="51">
        <f>15+118+106</f>
        <v>239</v>
      </c>
      <c r="K23" s="51">
        <f>10+104+93</f>
        <v>207</v>
      </c>
      <c r="L23" s="51">
        <f>14+160+156</f>
        <v>330</v>
      </c>
      <c r="M23" s="51">
        <f>17+178+193</f>
        <v>388</v>
      </c>
      <c r="N23" s="51">
        <f>30+201+239</f>
        <v>470</v>
      </c>
      <c r="O23" s="51">
        <f>56+190+284</f>
        <v>530</v>
      </c>
      <c r="P23" s="51">
        <f>393+508+535</f>
        <v>1436</v>
      </c>
      <c r="Q23" s="51">
        <f>508+45+869+896+962+1114+1050</f>
        <v>5444</v>
      </c>
      <c r="R23" s="51">
        <f>625+825+1750+1063+1512+765+1522+553+326+478</f>
        <v>9419</v>
      </c>
      <c r="S23" s="51">
        <f>4882+1313</f>
        <v>6195</v>
      </c>
      <c r="T23" s="51"/>
    </row>
    <row r="24" spans="1:256" x14ac:dyDescent="0.25">
      <c r="A24" s="27" t="s">
        <v>159</v>
      </c>
      <c r="B24" s="23">
        <v>1</v>
      </c>
      <c r="C24" s="28">
        <v>35277</v>
      </c>
      <c r="D24" s="23" t="s">
        <v>116</v>
      </c>
      <c r="E24" s="23">
        <v>1</v>
      </c>
      <c r="F24" s="23" t="s">
        <v>117</v>
      </c>
      <c r="G24" s="38">
        <f>11+8+7+8+14+8+9</f>
        <v>65</v>
      </c>
      <c r="H24" s="38">
        <f>9+7+4+10+9+5+4</f>
        <v>48</v>
      </c>
      <c r="I24" s="38">
        <f>46+36+22+40+45+22+22</f>
        <v>233</v>
      </c>
      <c r="J24" s="38">
        <f>320+248+202+236+362+140+183</f>
        <v>1691</v>
      </c>
      <c r="K24" s="38">
        <f>213+164+157+145+309+116+156</f>
        <v>1260</v>
      </c>
      <c r="L24" s="38">
        <f>208+158+171+131+307+127+172</f>
        <v>1274</v>
      </c>
      <c r="M24" s="38">
        <f>216+155+184+118+260+114+162</f>
        <v>1209</v>
      </c>
      <c r="N24" s="38">
        <f>309+203+260+150+348+136+208</f>
        <v>1614</v>
      </c>
      <c r="O24" s="38">
        <f>462+329+427+109+413+94+291</f>
        <v>2125</v>
      </c>
      <c r="P24" s="38">
        <f>640+361+270+83+453+86+325</f>
        <v>2218</v>
      </c>
      <c r="Q24" s="38">
        <f>775+580+384+478+132</f>
        <v>2349</v>
      </c>
      <c r="R24" s="38">
        <f>356+878+518</f>
        <v>1752</v>
      </c>
      <c r="S24" s="38"/>
      <c r="T24" s="38"/>
    </row>
    <row r="25" spans="1:256" x14ac:dyDescent="0.25">
      <c r="A25" s="27" t="s">
        <v>159</v>
      </c>
      <c r="B25" s="23">
        <v>2</v>
      </c>
      <c r="C25" s="28">
        <v>35277</v>
      </c>
      <c r="D25" s="23" t="s">
        <v>116</v>
      </c>
      <c r="E25" s="23">
        <v>2</v>
      </c>
      <c r="F25" s="23" t="s">
        <v>117</v>
      </c>
      <c r="G25" s="38">
        <f>8+8+10</f>
        <v>26</v>
      </c>
      <c r="H25" s="38">
        <f>5+5+7</f>
        <v>17</v>
      </c>
      <c r="I25" s="38">
        <f>22+25+27</f>
        <v>74</v>
      </c>
      <c r="J25" s="38">
        <f>185+196+188</f>
        <v>569</v>
      </c>
      <c r="K25" s="38">
        <f>159+163+153</f>
        <v>475</v>
      </c>
      <c r="L25" s="38">
        <f>245+257+251</f>
        <v>753</v>
      </c>
      <c r="M25" s="38">
        <f>262+317+309</f>
        <v>888</v>
      </c>
      <c r="N25" s="38">
        <f>292+358+351</f>
        <v>1001</v>
      </c>
      <c r="O25" s="38">
        <f>312+306+293</f>
        <v>911</v>
      </c>
      <c r="P25" s="38">
        <f>459+436+712</f>
        <v>1607</v>
      </c>
      <c r="Q25" s="38">
        <f>33+1256+360+36</f>
        <v>1685</v>
      </c>
      <c r="R25" s="38">
        <f>1618+526+921</f>
        <v>3065</v>
      </c>
      <c r="S25" s="38">
        <f>16344+773</f>
        <v>17117</v>
      </c>
      <c r="T25" s="38"/>
    </row>
    <row r="26" spans="1:256" s="34" customFormat="1" x14ac:dyDescent="0.25">
      <c r="A26" s="30" t="s">
        <v>159</v>
      </c>
      <c r="B26" s="31">
        <v>3</v>
      </c>
      <c r="C26" s="32">
        <v>35705</v>
      </c>
      <c r="D26" s="31" t="s">
        <v>118</v>
      </c>
      <c r="E26" s="31"/>
      <c r="F26" s="31" t="s">
        <v>160</v>
      </c>
      <c r="G26" s="52">
        <f>8.7+40.3+31.6</f>
        <v>80.599999999999994</v>
      </c>
      <c r="H26" s="33">
        <f>7.7+47.2+33</f>
        <v>87.9</v>
      </c>
      <c r="I26" s="33">
        <f>49.6+227.9+185.6</f>
        <v>463.1</v>
      </c>
      <c r="J26" s="33">
        <f>247.6+1127.4+979.4</f>
        <v>2354.4</v>
      </c>
      <c r="K26" s="33">
        <f>194.3+835.2+830.4</f>
        <v>1859.9</v>
      </c>
      <c r="L26" s="33">
        <f>105.4+397.3+487</f>
        <v>989.7</v>
      </c>
      <c r="M26" s="33">
        <f>105+359.8+443.7</f>
        <v>908.5</v>
      </c>
      <c r="N26" s="33">
        <f>182.6+765.1+707.9</f>
        <v>1655.6</v>
      </c>
      <c r="O26" s="33">
        <f>298.8+1287.7+1092.1</f>
        <v>2678.6</v>
      </c>
      <c r="P26" s="33">
        <f>529.8+2379.3+1494</f>
        <v>4403.1000000000004</v>
      </c>
      <c r="Q26" s="33">
        <f>141.6+2815.1+1489.8+429+156+109+167+239+211+193+138+273+316</f>
        <v>6677.5</v>
      </c>
      <c r="R26" s="33">
        <f>781+593+381+729+483+176+845+762+841+660+510+413+312+558+228</f>
        <v>8272</v>
      </c>
      <c r="S26" s="53"/>
      <c r="T26" s="53"/>
    </row>
    <row r="27" spans="1:256" x14ac:dyDescent="0.25">
      <c r="A27" s="27" t="s">
        <v>159</v>
      </c>
      <c r="B27" s="23">
        <v>3</v>
      </c>
      <c r="C27" s="28">
        <v>35705</v>
      </c>
      <c r="D27" s="23" t="s">
        <v>116</v>
      </c>
      <c r="E27" s="23"/>
      <c r="F27" s="23" t="s">
        <v>160</v>
      </c>
      <c r="G27" s="29">
        <f>42.2+43.3</f>
        <v>85.5</v>
      </c>
      <c r="H27" s="29">
        <f>45.2+45.9</f>
        <v>91.1</v>
      </c>
      <c r="I27" s="29">
        <f>240.4+215.8</f>
        <v>456.20000000000005</v>
      </c>
      <c r="J27" s="29">
        <f>959.5+942.4</f>
        <v>1901.9</v>
      </c>
      <c r="K27" s="29">
        <f>794.2+797.5</f>
        <v>1591.7</v>
      </c>
      <c r="L27" s="29">
        <f>594.9+532.1</f>
        <v>1127</v>
      </c>
      <c r="M27" s="29">
        <f>655.5+549.6</f>
        <v>1205.0999999999999</v>
      </c>
      <c r="N27" s="29">
        <f>785.3+759</f>
        <v>1544.3</v>
      </c>
      <c r="O27" s="29">
        <f>981+1017.6</f>
        <v>1998.6</v>
      </c>
      <c r="P27" s="29">
        <f>1228.1+1444.3</f>
        <v>2672.3999999999996</v>
      </c>
      <c r="Q27" s="29">
        <f>1051.2+705.9+199+150</f>
        <v>2106.1</v>
      </c>
      <c r="R27" s="29">
        <f>593+10185+647+554+237+683+562+428+552+432</f>
        <v>14873</v>
      </c>
      <c r="S27" s="48">
        <f>2118+1942</f>
        <v>4060</v>
      </c>
      <c r="T27" s="48"/>
    </row>
    <row r="28" spans="1:256" s="34" customFormat="1" x14ac:dyDescent="0.25">
      <c r="A28" s="30" t="s">
        <v>159</v>
      </c>
      <c r="B28" s="31">
        <v>4</v>
      </c>
      <c r="C28" s="32">
        <v>35766</v>
      </c>
      <c r="D28" s="31" t="s">
        <v>118</v>
      </c>
      <c r="E28" s="31"/>
      <c r="F28" s="31" t="s">
        <v>118</v>
      </c>
      <c r="G28" s="33">
        <f>4.2+12.8+12.6+1.2</f>
        <v>30.8</v>
      </c>
      <c r="H28" s="33">
        <f>3.1+12.6+10.9+1.1</f>
        <v>27.700000000000003</v>
      </c>
      <c r="I28" s="33">
        <f>13+49.7+46.6+1.8</f>
        <v>111.10000000000001</v>
      </c>
      <c r="J28" s="33">
        <f>102+502.5+397.9+8.8</f>
        <v>1011.1999999999999</v>
      </c>
      <c r="K28" s="33">
        <f>172+769.7+634.6+6.7</f>
        <v>1583.0000000000002</v>
      </c>
      <c r="L28" s="33">
        <f>223.5+636.5+718.3+7.7</f>
        <v>1586</v>
      </c>
      <c r="M28" s="33">
        <f>155.4+564.7+548.7+6.4</f>
        <v>1275.2000000000003</v>
      </c>
      <c r="N28" s="33">
        <f>97.5+437.1+420.3+3.8</f>
        <v>958.7</v>
      </c>
      <c r="O28" s="33">
        <f>86.1+481.5+490.1+7.3</f>
        <v>1065</v>
      </c>
      <c r="P28" s="33">
        <f>295.7+902.8+472.9</f>
        <v>1671.4</v>
      </c>
      <c r="Q28" s="33">
        <f>636.2+2117.4+1386+372.5</f>
        <v>4512.1000000000004</v>
      </c>
      <c r="R28" s="33">
        <f>505.1+380.3+713.8+490.9+763.1+626.2</f>
        <v>3479.3999999999996</v>
      </c>
      <c r="S28" s="33">
        <f>1171.3+2799.4+1196.3+843.2+961.6+26786</f>
        <v>33757.800000000003</v>
      </c>
      <c r="T28" s="33">
        <v>61744</v>
      </c>
    </row>
    <row r="29" spans="1:256" ht="15.75" thickBot="1" x14ac:dyDescent="0.3">
      <c r="A29" s="27" t="s">
        <v>159</v>
      </c>
      <c r="B29" s="23">
        <v>4</v>
      </c>
      <c r="C29" s="28">
        <v>35766</v>
      </c>
      <c r="D29" s="23" t="s">
        <v>116</v>
      </c>
      <c r="E29" s="23"/>
      <c r="F29" s="23" t="s">
        <v>118</v>
      </c>
      <c r="G29" s="29">
        <f>14.8+21.5+6.3+19.8</f>
        <v>62.399999999999991</v>
      </c>
      <c r="H29" s="29">
        <f>13+19.4+6.7+17.6</f>
        <v>56.7</v>
      </c>
      <c r="I29" s="29">
        <f>67.4+96.1+48.9+77.6</f>
        <v>290</v>
      </c>
      <c r="J29" s="29">
        <f>510.5+826.1+382.8+543.4</f>
        <v>2262.7999999999997</v>
      </c>
      <c r="K29" s="29">
        <f>704.1+1332.8+496.9+744.3</f>
        <v>3278.1000000000004</v>
      </c>
      <c r="L29" s="29">
        <f>782.4+1594.8+506.6+868</f>
        <v>3751.7999999999997</v>
      </c>
      <c r="M29" s="29">
        <f>599.9+1139+359.6+692.2</f>
        <v>2790.7</v>
      </c>
      <c r="N29" s="29">
        <f>524.5+820.6+288.1+644.3</f>
        <v>2277.5</v>
      </c>
      <c r="O29" s="29">
        <f>507.9+744.1+372.8+848.6</f>
        <v>2473.4</v>
      </c>
      <c r="P29" s="29">
        <f>643+958.7+408.9+1023.3</f>
        <v>3033.8999999999996</v>
      </c>
      <c r="Q29" s="29">
        <f>457.7+747.4+550.9+2006.1</f>
        <v>3762.1</v>
      </c>
      <c r="R29" s="29">
        <f>661.2+590.3+716.4+633.4+339.5</f>
        <v>2940.8</v>
      </c>
      <c r="S29" s="29">
        <f>792.8+2083.1</f>
        <v>2875.8999999999996</v>
      </c>
      <c r="T29" s="29"/>
    </row>
    <row r="30" spans="1:256" ht="52.5" thickTop="1" x14ac:dyDescent="0.25">
      <c r="G30" s="42" t="s">
        <v>143</v>
      </c>
      <c r="H30" s="42" t="s">
        <v>144</v>
      </c>
      <c r="I30" s="42" t="s">
        <v>145</v>
      </c>
      <c r="J30" s="42" t="s">
        <v>146</v>
      </c>
      <c r="K30" s="42" t="s">
        <v>147</v>
      </c>
      <c r="L30" s="42" t="s">
        <v>148</v>
      </c>
      <c r="M30" s="42" t="s">
        <v>149</v>
      </c>
      <c r="N30" s="42" t="s">
        <v>150</v>
      </c>
      <c r="O30" s="42" t="s">
        <v>151</v>
      </c>
      <c r="P30" s="42" t="s">
        <v>152</v>
      </c>
      <c r="Q30" s="42" t="s">
        <v>153</v>
      </c>
      <c r="R30" s="42" t="s">
        <v>154</v>
      </c>
      <c r="S30" s="42" t="s">
        <v>155</v>
      </c>
      <c r="T30" s="42" t="s">
        <v>156</v>
      </c>
      <c r="U30" s="76" t="s">
        <v>172</v>
      </c>
    </row>
    <row r="31" spans="1:256" x14ac:dyDescent="0.25">
      <c r="A31" t="s">
        <v>119</v>
      </c>
      <c r="G31" s="43">
        <f t="shared" ref="G31:T31" si="2">SUM(G22,G23,G26,G28)/1000</f>
        <v>0.1754</v>
      </c>
      <c r="H31" s="43">
        <f t="shared" si="2"/>
        <v>0.15460000000000002</v>
      </c>
      <c r="I31" s="43">
        <f t="shared" si="2"/>
        <v>0.67720000000000002</v>
      </c>
      <c r="J31" s="43">
        <f t="shared" si="2"/>
        <v>3.9865999999999997</v>
      </c>
      <c r="K31" s="43">
        <f t="shared" si="2"/>
        <v>3.8719000000000006</v>
      </c>
      <c r="L31" s="43">
        <f t="shared" si="2"/>
        <v>3.0987</v>
      </c>
      <c r="M31" s="43">
        <f t="shared" si="2"/>
        <v>2.8377000000000003</v>
      </c>
      <c r="N31" s="43">
        <f t="shared" si="2"/>
        <v>3.6403000000000003</v>
      </c>
      <c r="O31" s="43">
        <f t="shared" si="2"/>
        <v>5.4036</v>
      </c>
      <c r="P31" s="43">
        <f t="shared" si="2"/>
        <v>9.5075000000000003</v>
      </c>
      <c r="Q31" s="43">
        <f t="shared" si="2"/>
        <v>18.298599999999997</v>
      </c>
      <c r="R31" s="43">
        <f t="shared" si="2"/>
        <v>28.630400000000002</v>
      </c>
      <c r="S31" s="43">
        <f t="shared" si="2"/>
        <v>84.515799999999999</v>
      </c>
      <c r="T31" s="43">
        <f t="shared" si="2"/>
        <v>61.744</v>
      </c>
      <c r="U31" s="43">
        <f>SUM(G31:T31)</f>
        <v>226.54229999999998</v>
      </c>
    </row>
    <row r="32" spans="1:256" x14ac:dyDescent="0.25">
      <c r="G32" s="40"/>
      <c r="H32" s="40"/>
      <c r="I32" s="40"/>
      <c r="J32" s="40"/>
      <c r="K32" s="46" t="s">
        <v>162</v>
      </c>
      <c r="L32" s="54">
        <f>SUM(G31,H31,I31,J31,K31,L31)</f>
        <v>11.964400000000001</v>
      </c>
      <c r="M32" s="40"/>
      <c r="N32" s="40"/>
      <c r="O32" s="40"/>
      <c r="P32" s="40"/>
      <c r="Q32" s="40"/>
      <c r="R32" s="41" t="s">
        <v>161</v>
      </c>
      <c r="S32" s="40">
        <f>R31+S31+T31</f>
        <v>174.89019999999999</v>
      </c>
      <c r="T32" s="40"/>
    </row>
    <row r="33" spans="1:256" x14ac:dyDescent="0.25">
      <c r="A33" t="s">
        <v>157</v>
      </c>
      <c r="G33" s="43">
        <f t="shared" ref="G33:S33" si="3">SUM(G25,G27,G29,G24)/1000</f>
        <v>0.23889999999999997</v>
      </c>
      <c r="H33" s="43">
        <f t="shared" si="3"/>
        <v>0.21280000000000002</v>
      </c>
      <c r="I33" s="43">
        <f t="shared" si="3"/>
        <v>1.0532000000000001</v>
      </c>
      <c r="J33" s="43">
        <f t="shared" si="3"/>
        <v>6.4246999999999996</v>
      </c>
      <c r="K33" s="43">
        <f t="shared" si="3"/>
        <v>6.6048</v>
      </c>
      <c r="L33" s="43">
        <f t="shared" si="3"/>
        <v>6.9057999999999993</v>
      </c>
      <c r="M33" s="43">
        <f t="shared" si="3"/>
        <v>6.0927999999999995</v>
      </c>
      <c r="N33" s="43">
        <f t="shared" si="3"/>
        <v>6.4367999999999999</v>
      </c>
      <c r="O33" s="43">
        <f t="shared" si="3"/>
        <v>7.508</v>
      </c>
      <c r="P33" s="43">
        <f t="shared" si="3"/>
        <v>9.5312999999999999</v>
      </c>
      <c r="Q33" s="43">
        <f t="shared" si="3"/>
        <v>9.9022000000000006</v>
      </c>
      <c r="R33" s="43">
        <f t="shared" si="3"/>
        <v>22.630800000000001</v>
      </c>
      <c r="S33" s="43">
        <f t="shared" si="3"/>
        <v>24.052900000000001</v>
      </c>
      <c r="T33" s="43"/>
      <c r="U33" s="43">
        <f>SUM(G33:T33)</f>
        <v>107.595</v>
      </c>
    </row>
    <row r="34" spans="1:256" x14ac:dyDescent="0.25">
      <c r="G34" s="40"/>
      <c r="H34" s="40"/>
      <c r="I34" s="40"/>
      <c r="J34" s="40"/>
      <c r="K34" s="46" t="s">
        <v>162</v>
      </c>
      <c r="L34" s="54">
        <f>SUM(G33,H33,I33,J33,K33,L33)</f>
        <v>21.440199999999997</v>
      </c>
      <c r="M34" s="40"/>
      <c r="N34" s="40"/>
      <c r="O34" s="40"/>
      <c r="P34" s="40"/>
      <c r="Q34" s="40"/>
      <c r="R34" s="41" t="s">
        <v>161</v>
      </c>
      <c r="S34" s="40">
        <f>R33+S33+T33</f>
        <v>46.683700000000002</v>
      </c>
      <c r="T34" s="40"/>
    </row>
    <row r="35" spans="1:256" x14ac:dyDescent="0.25">
      <c r="F35" s="71" t="s">
        <v>22</v>
      </c>
      <c r="G35" s="72">
        <f>G31/U31</f>
        <v>7.742483412590056E-4</v>
      </c>
      <c r="H35" s="72">
        <f>(H31+G31)/U31</f>
        <v>1.4566815998601588E-3</v>
      </c>
      <c r="I35" s="72">
        <f>(I31+H31+G31)/U31</f>
        <v>4.4459688102398542E-3</v>
      </c>
      <c r="J35" s="72">
        <f>(J31+I31+H31+G31)/U31</f>
        <v>2.2043565373883821E-2</v>
      </c>
      <c r="K35" s="72">
        <f>(K31+J31+I31+H31+G31)/U31</f>
        <v>3.9134854726909724E-2</v>
      </c>
      <c r="L35" s="72">
        <f>(L31+K31+J31+I31+H31+G31)/U31</f>
        <v>5.2813094949596615E-2</v>
      </c>
      <c r="M35" s="72">
        <f>(M31+L31+K31+J31+I31+H31+G31)/U31</f>
        <v>6.5339232452394105E-2</v>
      </c>
      <c r="N35" s="72">
        <f>(N31+M31+L31+K31+J31+I31+H31+G31)/U31</f>
        <v>8.1408196173518146E-2</v>
      </c>
      <c r="O35" s="72">
        <f>(O31+N31+M31+L31+K31+J31+I31+H31+G31)/U31</f>
        <v>0.1052606952432283</v>
      </c>
      <c r="P35" s="72">
        <f>(P31+O31+N31+M31+L31+K31+J31+I31+H31+G31)/U31</f>
        <v>0.14722857497253278</v>
      </c>
      <c r="Q35" s="72">
        <f>(Q31+P31+O31+N31+M31+L31+K31+J31+I31+H31+G31)/U31</f>
        <v>0.2280020111034452</v>
      </c>
      <c r="R35" s="72">
        <f>(R31+Q31+P31+O31+N31+M31+L31+K31+J31+I31+H31+G31)/U31</f>
        <v>0.35438194103264598</v>
      </c>
      <c r="S35" s="72">
        <f>(S31+R31+Q31+P31+O31+N31+M31+L31+K31+J31+I31+H31+G31)/U31</f>
        <v>0.72745045847949819</v>
      </c>
      <c r="T35" s="72">
        <f>(T31+S31+R31+Q31+P31+O31+N31+M31+L31+K31+J31+I31+H31+G31)/U31</f>
        <v>1.0000000000000002</v>
      </c>
    </row>
    <row r="36" spans="1:256" x14ac:dyDescent="0.25">
      <c r="T36" s="73" t="s">
        <v>170</v>
      </c>
      <c r="U36" s="133">
        <f>2.71828182845905^((LOG($S$10,2.71828182845905)-LOG($R$10,2.71828182845905))*(0.5-R35)/(S35-R35)+LOG($R$10,2.71828182845905))</f>
        <v>83.884086531776134</v>
      </c>
    </row>
    <row r="37" spans="1:256" x14ac:dyDescent="0.25">
      <c r="F37" s="71" t="s">
        <v>21</v>
      </c>
      <c r="G37" s="72">
        <f>G33/U33</f>
        <v>2.2203633997862353E-3</v>
      </c>
      <c r="H37" s="72">
        <f>(H33+G33)/U33</f>
        <v>4.1981504716761932E-3</v>
      </c>
      <c r="I37" s="72">
        <f>(I33+H33+G33)/U33</f>
        <v>1.3986709419582695E-2</v>
      </c>
      <c r="J37" s="72">
        <f>(J33+I33+H33+G33)/U33</f>
        <v>7.3698591942004732E-2</v>
      </c>
      <c r="K37" s="72">
        <f>(K33+J33+I33+H33+G33)/U33</f>
        <v>0.13508434406803288</v>
      </c>
      <c r="L37" s="72">
        <f>(L33+K33+J33+I33+H33+G33)/U33</f>
        <v>0.19926762396022121</v>
      </c>
      <c r="M37" s="72">
        <f>(M33+L33+K33+J33+I33+H33+G33)/U33</f>
        <v>0.25589479065012322</v>
      </c>
      <c r="N37" s="72">
        <f>(N33+M33+L33+K33+J33+I33+H33+G33)/U33</f>
        <v>0.3157191319299224</v>
      </c>
      <c r="O37" s="72">
        <f>(O33+N33+M33+L33+K33+J33+I33+H33+G33)/U33</f>
        <v>0.385499326176867</v>
      </c>
      <c r="P37" s="72">
        <f>(P33+O33+N33+M33+L33+K33+J33+I33+H33+G33)/U33</f>
        <v>0.47408429759747195</v>
      </c>
      <c r="Q37" s="72">
        <f>(Q33+P33+O33+N33+M33+L33+K33+J33+I33+H33+G33)/U33</f>
        <v>0.5661164552256146</v>
      </c>
      <c r="R37" s="72">
        <f>(R33+Q33+P33+O33+N33+M33+L33+K33+J33+I33+H33+G33)/U33</f>
        <v>0.77644964914726522</v>
      </c>
      <c r="S37" s="72">
        <f>(S33+R33+Q33+P33+O33+N33+M33+L33+K33+J33+I33+H33+G33)/U33</f>
        <v>1</v>
      </c>
      <c r="T37" s="72">
        <f>(T33+S33+R33+Q33+P33+O33+N33+M33+L33+K33+J33+I33+H33+G33)/U33</f>
        <v>1</v>
      </c>
      <c r="U37" s="67"/>
    </row>
    <row r="38" spans="1:256" x14ac:dyDescent="0.25">
      <c r="T38" s="70" t="s">
        <v>170</v>
      </c>
      <c r="U38" s="133">
        <f>2.71828182845905^((LOG($Q$10,2.71828182845905)-LOG($P$10,2.71828182845905))*(0.5-P37)/(Q37-P37)+LOG($P$10,2.71828182845905))</f>
        <v>19.448594435505218</v>
      </c>
    </row>
    <row r="39" spans="1:256" ht="15.75" thickBot="1" x14ac:dyDescent="0.3"/>
    <row r="40" spans="1:256" s="39" customFormat="1" ht="57" customHeight="1" thickTop="1" thickBot="1" x14ac:dyDescent="0.3">
      <c r="A40" s="35" t="s">
        <v>56</v>
      </c>
      <c r="B40" s="36" t="s">
        <v>120</v>
      </c>
      <c r="C40" s="37" t="s">
        <v>62</v>
      </c>
      <c r="D40" s="37" t="s">
        <v>121</v>
      </c>
      <c r="E40" s="35" t="s">
        <v>122</v>
      </c>
      <c r="F40" s="35" t="s">
        <v>123</v>
      </c>
      <c r="G40" s="35" t="s">
        <v>124</v>
      </c>
      <c r="H40" s="35" t="s">
        <v>125</v>
      </c>
      <c r="I40" s="35" t="s">
        <v>126</v>
      </c>
      <c r="J40" s="35" t="s">
        <v>127</v>
      </c>
      <c r="K40" s="35" t="s">
        <v>128</v>
      </c>
      <c r="L40" s="35" t="s">
        <v>129</v>
      </c>
      <c r="M40" s="35" t="s">
        <v>130</v>
      </c>
      <c r="N40" s="35" t="s">
        <v>131</v>
      </c>
      <c r="O40" s="35" t="s">
        <v>132</v>
      </c>
      <c r="P40" s="35" t="s">
        <v>133</v>
      </c>
      <c r="Q40" s="35" t="s">
        <v>134</v>
      </c>
      <c r="R40" s="35" t="s">
        <v>135</v>
      </c>
      <c r="S40" s="35" t="s">
        <v>136</v>
      </c>
      <c r="T40" s="35" t="s">
        <v>137</v>
      </c>
      <c r="U40" s="35" t="s">
        <v>138</v>
      </c>
      <c r="V40" s="35" t="s">
        <v>139</v>
      </c>
      <c r="W40" s="35" t="s">
        <v>140</v>
      </c>
      <c r="X40" s="35" t="s">
        <v>141</v>
      </c>
      <c r="Y40" s="35" t="s">
        <v>142</v>
      </c>
      <c r="Z40" s="38"/>
      <c r="AA40" s="38"/>
      <c r="AB40" s="38"/>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row>
    <row r="41" spans="1:256" s="34" customFormat="1" ht="15.75" thickTop="1" x14ac:dyDescent="0.25">
      <c r="A41" s="30" t="s">
        <v>164</v>
      </c>
      <c r="B41" s="31">
        <v>1</v>
      </c>
      <c r="C41" s="32">
        <v>34997</v>
      </c>
      <c r="D41" s="31" t="s">
        <v>118</v>
      </c>
      <c r="E41" s="31">
        <v>1</v>
      </c>
      <c r="F41" s="31" t="s">
        <v>117</v>
      </c>
      <c r="G41" s="33">
        <v>2</v>
      </c>
      <c r="H41" s="33">
        <v>2</v>
      </c>
      <c r="I41" s="33">
        <v>2</v>
      </c>
      <c r="J41" s="33">
        <v>4</v>
      </c>
      <c r="K41" s="33">
        <v>6</v>
      </c>
      <c r="L41" s="33">
        <v>10</v>
      </c>
      <c r="M41" s="33">
        <v>20</v>
      </c>
      <c r="N41" s="33">
        <v>53</v>
      </c>
      <c r="O41" s="33">
        <v>127</v>
      </c>
      <c r="P41" s="33">
        <v>563</v>
      </c>
      <c r="Q41" s="33">
        <v>3412</v>
      </c>
      <c r="R41" s="33">
        <v>1719</v>
      </c>
      <c r="S41" s="33">
        <v>13885</v>
      </c>
      <c r="T41" s="33">
        <v>0</v>
      </c>
    </row>
    <row r="42" spans="1:256" s="34" customFormat="1" x14ac:dyDescent="0.25">
      <c r="A42" s="30" t="s">
        <v>164</v>
      </c>
      <c r="B42" s="31">
        <v>2</v>
      </c>
      <c r="C42" s="32">
        <v>34997</v>
      </c>
      <c r="D42" s="31" t="s">
        <v>118</v>
      </c>
      <c r="E42" s="31">
        <v>2</v>
      </c>
      <c r="F42" s="31" t="s">
        <v>117</v>
      </c>
      <c r="G42" s="33">
        <v>1</v>
      </c>
      <c r="H42" s="33">
        <v>1</v>
      </c>
      <c r="I42" s="33">
        <v>1</v>
      </c>
      <c r="J42" s="33">
        <v>2</v>
      </c>
      <c r="K42" s="33">
        <v>2</v>
      </c>
      <c r="L42" s="33">
        <v>3</v>
      </c>
      <c r="M42" s="33">
        <v>4</v>
      </c>
      <c r="N42" s="33">
        <v>17</v>
      </c>
      <c r="O42" s="33">
        <v>49</v>
      </c>
      <c r="P42" s="33">
        <v>129</v>
      </c>
      <c r="Q42" s="33">
        <v>1282</v>
      </c>
      <c r="R42" s="33">
        <v>6048</v>
      </c>
      <c r="S42" s="33">
        <v>16865</v>
      </c>
      <c r="T42" s="33">
        <v>0</v>
      </c>
    </row>
    <row r="43" spans="1:256" x14ac:dyDescent="0.25">
      <c r="A43" s="27" t="s">
        <v>164</v>
      </c>
      <c r="B43" s="23">
        <v>2</v>
      </c>
      <c r="C43" s="28">
        <v>34997</v>
      </c>
      <c r="D43" s="23" t="s">
        <v>116</v>
      </c>
      <c r="E43" s="23">
        <v>2</v>
      </c>
      <c r="F43" s="23" t="s">
        <v>117</v>
      </c>
      <c r="G43" s="29">
        <v>13</v>
      </c>
      <c r="H43" s="29">
        <v>10</v>
      </c>
      <c r="I43" s="29">
        <v>38</v>
      </c>
      <c r="J43" s="29">
        <v>239</v>
      </c>
      <c r="K43" s="29">
        <v>331</v>
      </c>
      <c r="L43" s="29">
        <v>462</v>
      </c>
      <c r="M43" s="29">
        <v>637</v>
      </c>
      <c r="N43" s="29">
        <v>998</v>
      </c>
      <c r="O43" s="29">
        <v>1917</v>
      </c>
      <c r="P43" s="29">
        <v>2788</v>
      </c>
      <c r="Q43" s="29">
        <v>3414</v>
      </c>
      <c r="R43" s="29">
        <v>854</v>
      </c>
      <c r="S43" s="29">
        <v>0</v>
      </c>
      <c r="T43" s="29">
        <v>0</v>
      </c>
    </row>
    <row r="44" spans="1:256" x14ac:dyDescent="0.25">
      <c r="A44" s="27" t="s">
        <v>164</v>
      </c>
      <c r="B44" s="23">
        <v>1</v>
      </c>
      <c r="C44" s="28">
        <v>34997</v>
      </c>
      <c r="D44" s="23" t="s">
        <v>116</v>
      </c>
      <c r="E44" s="23">
        <v>1</v>
      </c>
      <c r="F44" s="23" t="s">
        <v>117</v>
      </c>
      <c r="G44" s="29">
        <v>44</v>
      </c>
      <c r="H44" s="29">
        <v>38</v>
      </c>
      <c r="I44" s="29">
        <v>78</v>
      </c>
      <c r="J44" s="29">
        <v>534</v>
      </c>
      <c r="K44" s="29">
        <v>719</v>
      </c>
      <c r="L44" s="29">
        <v>1157</v>
      </c>
      <c r="M44" s="29">
        <v>1641</v>
      </c>
      <c r="N44" s="29">
        <v>1992</v>
      </c>
      <c r="O44" s="29">
        <v>2461</v>
      </c>
      <c r="P44" s="29">
        <v>2279</v>
      </c>
      <c r="Q44" s="29">
        <v>1734</v>
      </c>
      <c r="R44" s="29">
        <v>997</v>
      </c>
      <c r="S44" s="29">
        <v>2870</v>
      </c>
      <c r="T44" s="29">
        <v>0</v>
      </c>
    </row>
    <row r="45" spans="1:256" s="34" customFormat="1" x14ac:dyDescent="0.25">
      <c r="A45" s="30" t="s">
        <v>164</v>
      </c>
      <c r="B45" s="31">
        <v>3</v>
      </c>
      <c r="C45" s="32">
        <v>35668</v>
      </c>
      <c r="D45" s="31" t="s">
        <v>118</v>
      </c>
      <c r="E45" s="31" t="s">
        <v>165</v>
      </c>
      <c r="F45" s="31" t="s">
        <v>117</v>
      </c>
      <c r="G45" s="33">
        <v>42.3</v>
      </c>
      <c r="H45" s="33">
        <v>34.9</v>
      </c>
      <c r="I45" s="33">
        <v>177.7</v>
      </c>
      <c r="J45" s="33">
        <v>892.7</v>
      </c>
      <c r="K45" s="33">
        <v>1550.7</v>
      </c>
      <c r="L45" s="33">
        <v>2040.5</v>
      </c>
      <c r="M45" s="33">
        <v>2650.7</v>
      </c>
      <c r="N45" s="33">
        <v>3325.4</v>
      </c>
      <c r="O45" s="33">
        <v>4805.6000000000004</v>
      </c>
      <c r="P45" s="33">
        <v>5153.3999999999996</v>
      </c>
      <c r="Q45" s="33">
        <v>5731</v>
      </c>
      <c r="R45" s="33">
        <v>4518</v>
      </c>
      <c r="S45" s="33">
        <v>51413</v>
      </c>
      <c r="T45" s="33">
        <v>0</v>
      </c>
    </row>
    <row r="46" spans="1:256" ht="15.75" thickBot="1" x14ac:dyDescent="0.3">
      <c r="A46" s="27" t="s">
        <v>164</v>
      </c>
      <c r="B46" s="23">
        <v>3</v>
      </c>
      <c r="C46" s="28">
        <v>35668</v>
      </c>
      <c r="D46" s="23" t="s">
        <v>116</v>
      </c>
      <c r="E46" s="23" t="s">
        <v>165</v>
      </c>
      <c r="F46" s="23" t="s">
        <v>117</v>
      </c>
      <c r="G46" s="29">
        <v>67.2</v>
      </c>
      <c r="H46" s="29">
        <v>49.1</v>
      </c>
      <c r="I46" s="29">
        <v>287.5</v>
      </c>
      <c r="J46" s="29">
        <v>1362</v>
      </c>
      <c r="K46" s="29">
        <v>2258.6</v>
      </c>
      <c r="L46" s="29">
        <v>3108</v>
      </c>
      <c r="M46" s="29">
        <v>4515.3999999999996</v>
      </c>
      <c r="N46" s="29">
        <v>6012.6</v>
      </c>
      <c r="O46" s="29">
        <v>6318.7</v>
      </c>
      <c r="P46" s="29">
        <v>7084.2</v>
      </c>
      <c r="Q46" s="29">
        <v>6033.9</v>
      </c>
      <c r="R46" s="29">
        <v>13364</v>
      </c>
      <c r="S46" s="29">
        <v>7740</v>
      </c>
      <c r="T46" s="29">
        <v>12715</v>
      </c>
    </row>
    <row r="47" spans="1:256" ht="52.5" thickTop="1" x14ac:dyDescent="0.25">
      <c r="G47" s="42" t="s">
        <v>143</v>
      </c>
      <c r="H47" s="42" t="s">
        <v>144</v>
      </c>
      <c r="I47" s="42" t="s">
        <v>145</v>
      </c>
      <c r="J47" s="42" t="s">
        <v>146</v>
      </c>
      <c r="K47" s="42" t="s">
        <v>147</v>
      </c>
      <c r="L47" s="42" t="s">
        <v>148</v>
      </c>
      <c r="M47" s="42" t="s">
        <v>149</v>
      </c>
      <c r="N47" s="42" t="s">
        <v>150</v>
      </c>
      <c r="O47" s="42" t="s">
        <v>151</v>
      </c>
      <c r="P47" s="42" t="s">
        <v>152</v>
      </c>
      <c r="Q47" s="42" t="s">
        <v>153</v>
      </c>
      <c r="R47" s="42" t="s">
        <v>154</v>
      </c>
      <c r="S47" s="42" t="s">
        <v>155</v>
      </c>
      <c r="T47" s="42" t="s">
        <v>156</v>
      </c>
      <c r="U47" s="76" t="s">
        <v>173</v>
      </c>
    </row>
    <row r="48" spans="1:256" x14ac:dyDescent="0.25">
      <c r="A48" t="s">
        <v>119</v>
      </c>
      <c r="G48" s="43">
        <f t="shared" ref="G48:T48" si="4">SUM(G41,G42,G45)/1000</f>
        <v>4.53E-2</v>
      </c>
      <c r="H48" s="43">
        <f t="shared" si="4"/>
        <v>3.7899999999999996E-2</v>
      </c>
      <c r="I48" s="43">
        <f t="shared" si="4"/>
        <v>0.1807</v>
      </c>
      <c r="J48" s="43">
        <f t="shared" si="4"/>
        <v>0.89870000000000005</v>
      </c>
      <c r="K48" s="43">
        <f t="shared" si="4"/>
        <v>1.5587</v>
      </c>
      <c r="L48" s="43">
        <f t="shared" si="4"/>
        <v>2.0535000000000001</v>
      </c>
      <c r="M48" s="43">
        <f t="shared" si="4"/>
        <v>2.6746999999999996</v>
      </c>
      <c r="N48" s="43">
        <f t="shared" si="4"/>
        <v>3.3954</v>
      </c>
      <c r="O48" s="43">
        <f t="shared" si="4"/>
        <v>4.9816000000000003</v>
      </c>
      <c r="P48" s="43">
        <f t="shared" si="4"/>
        <v>5.8453999999999997</v>
      </c>
      <c r="Q48" s="43">
        <f t="shared" si="4"/>
        <v>10.425000000000001</v>
      </c>
      <c r="R48" s="43">
        <f t="shared" si="4"/>
        <v>12.285</v>
      </c>
      <c r="S48" s="43">
        <f t="shared" si="4"/>
        <v>82.162999999999997</v>
      </c>
      <c r="T48" s="43">
        <f t="shared" si="4"/>
        <v>0</v>
      </c>
      <c r="U48" s="43">
        <f>SUM(G48:T48)</f>
        <v>126.5449</v>
      </c>
    </row>
    <row r="49" spans="1:256" x14ac:dyDescent="0.25">
      <c r="G49" s="40"/>
      <c r="H49" s="40"/>
      <c r="I49" s="40"/>
      <c r="J49" s="40"/>
      <c r="K49" s="46" t="s">
        <v>162</v>
      </c>
      <c r="L49" s="54">
        <f>SUM(G48,H48,I48,J48,K48,L48)</f>
        <v>4.7748000000000008</v>
      </c>
      <c r="M49" s="40"/>
      <c r="N49" s="40"/>
      <c r="O49" s="40"/>
      <c r="P49" s="40"/>
      <c r="Q49" s="40"/>
      <c r="R49" s="46" t="s">
        <v>161</v>
      </c>
      <c r="S49" s="54">
        <f>R48+S48+T48</f>
        <v>94.447999999999993</v>
      </c>
      <c r="T49" s="40"/>
    </row>
    <row r="50" spans="1:256" x14ac:dyDescent="0.25">
      <c r="A50" t="s">
        <v>157</v>
      </c>
      <c r="G50" s="43">
        <f t="shared" ref="G50:T50" si="5">SUM(G43,G44,G46)/1000</f>
        <v>0.1242</v>
      </c>
      <c r="H50" s="43">
        <f t="shared" si="5"/>
        <v>9.7099999999999992E-2</v>
      </c>
      <c r="I50" s="43">
        <f t="shared" si="5"/>
        <v>0.40350000000000003</v>
      </c>
      <c r="J50" s="43">
        <f t="shared" si="5"/>
        <v>2.1349999999999998</v>
      </c>
      <c r="K50" s="43">
        <f t="shared" si="5"/>
        <v>3.3085999999999998</v>
      </c>
      <c r="L50" s="43">
        <f t="shared" si="5"/>
        <v>4.7270000000000003</v>
      </c>
      <c r="M50" s="43">
        <f t="shared" si="5"/>
        <v>6.7933999999999992</v>
      </c>
      <c r="N50" s="43">
        <f t="shared" si="5"/>
        <v>9.002600000000001</v>
      </c>
      <c r="O50" s="43">
        <f t="shared" si="5"/>
        <v>10.6967</v>
      </c>
      <c r="P50" s="43">
        <f t="shared" si="5"/>
        <v>12.151200000000001</v>
      </c>
      <c r="Q50" s="44">
        <f t="shared" si="5"/>
        <v>11.181899999999999</v>
      </c>
      <c r="R50" s="43">
        <f t="shared" si="5"/>
        <v>15.215</v>
      </c>
      <c r="S50" s="43">
        <f t="shared" si="5"/>
        <v>10.61</v>
      </c>
      <c r="T50" s="45">
        <f t="shared" si="5"/>
        <v>12.715</v>
      </c>
      <c r="U50" s="43">
        <f>SUM(G50:T50)</f>
        <v>99.161200000000008</v>
      </c>
    </row>
    <row r="51" spans="1:256" x14ac:dyDescent="0.25">
      <c r="G51" s="40"/>
      <c r="H51" s="40"/>
      <c r="I51" s="40"/>
      <c r="J51" s="40"/>
      <c r="K51" s="46" t="s">
        <v>162</v>
      </c>
      <c r="L51" s="54">
        <f>SUM(G50,H50,I50,J50,K50,L50)</f>
        <v>10.795400000000001</v>
      </c>
      <c r="M51" s="40"/>
      <c r="N51" s="40"/>
      <c r="O51" s="40"/>
      <c r="P51" s="40"/>
      <c r="Q51" s="40"/>
      <c r="R51" s="46" t="s">
        <v>161</v>
      </c>
      <c r="S51" s="54">
        <f>R50+S50+T50</f>
        <v>38.54</v>
      </c>
      <c r="T51" s="40"/>
    </row>
    <row r="52" spans="1:256" x14ac:dyDescent="0.25">
      <c r="F52" s="71" t="s">
        <v>22</v>
      </c>
      <c r="G52" s="72">
        <f>G48/U48</f>
        <v>3.579757066464156E-4</v>
      </c>
      <c r="H52" s="72">
        <f>(H48+G48)/U48</f>
        <v>6.574741455404366E-4</v>
      </c>
      <c r="I52" s="72">
        <f>(I48+H48+G48)/U48</f>
        <v>2.0854258053860722E-3</v>
      </c>
      <c r="J52" s="72">
        <f>(J48+I48+H48+G48)/U48</f>
        <v>9.1872529039099971E-3</v>
      </c>
      <c r="K52" s="72">
        <f>(K48+J48+I48+H48+G48)/U48</f>
        <v>2.1504620099269112E-2</v>
      </c>
      <c r="L52" s="72">
        <f>(L48+K48+J48+I48+H48+G48)/U48</f>
        <v>3.7732061900558618E-2</v>
      </c>
      <c r="M52" s="72">
        <f>(M48+L48+K48+J48+I48+H48+G48)/U48</f>
        <v>5.8868433259657238E-2</v>
      </c>
      <c r="N52" s="72">
        <f>(N48+M48+L48+K48+J48+I48+H48+G48)/U48</f>
        <v>8.5700016357830297E-2</v>
      </c>
      <c r="O52" s="72">
        <f>(O48+N48+M48+L48+K48+J48+I48+H48+G48)/U48</f>
        <v>0.12506628082206395</v>
      </c>
      <c r="P52" s="72">
        <f>(P48+O48+N48+M48+L48+K48+J48+I48+H48+G48)/U48</f>
        <v>0.17125858094636773</v>
      </c>
      <c r="Q52" s="72">
        <f>(Q48+P48+O48+N48+M48+L48+K48+J48+I48+H48+G48)/U48</f>
        <v>0.25364040747592353</v>
      </c>
      <c r="R52" s="72">
        <f>(R48+Q48+P48+O48+N48+M48+L48+K48+J48+I48+H48+G48)/U48</f>
        <v>0.35072057427837866</v>
      </c>
      <c r="S52" s="72">
        <f>(S48+R48+Q48+P48+O48+N48+M48+L48+K48+J48+I48+H48+G48)/U48</f>
        <v>0.99999999999999989</v>
      </c>
      <c r="T52" s="72">
        <f>(T48+S48+R48+Q48+P48+O48+N48+M48+L48+K48+J48+I48+H48+G48)/U48</f>
        <v>0.99999999999999989</v>
      </c>
    </row>
    <row r="53" spans="1:256" x14ac:dyDescent="0.25">
      <c r="T53" s="73" t="s">
        <v>170</v>
      </c>
      <c r="U53" s="133">
        <f>2.71828182845905^((LOG($S$10,2.71828182845905)-LOG($R$10,2.71828182845905))*(0.5-R52)/(S52-R52)+LOG($R$10,2.71828182845905))</f>
        <v>75.05704221710306</v>
      </c>
    </row>
    <row r="54" spans="1:256" x14ac:dyDescent="0.25">
      <c r="F54" s="71" t="s">
        <v>21</v>
      </c>
      <c r="G54" s="72">
        <f>G50/U50</f>
        <v>1.2525060204999535E-3</v>
      </c>
      <c r="H54" s="72">
        <f>(H50+G50)/U50</f>
        <v>2.2317196645462133E-3</v>
      </c>
      <c r="I54" s="72">
        <f>(I50+H50+G50)/U50</f>
        <v>6.3008515427405067E-3</v>
      </c>
      <c r="J54" s="72">
        <f>(J50+I50+H50+G50)/U50</f>
        <v>2.7831450204313785E-2</v>
      </c>
      <c r="K54" s="72">
        <f>(K50+J50+I50+H50+G50)/U50</f>
        <v>6.1197323146553288E-2</v>
      </c>
      <c r="L54" s="72">
        <f>(L50+K50+J50+I50+H50+G50)/U50</f>
        <v>0.10886717788812558</v>
      </c>
      <c r="M54" s="72">
        <f>(M50+L50+K50+J50+I50+H50+G50)/U50</f>
        <v>0.17737582844903044</v>
      </c>
      <c r="N54" s="72">
        <f>(N50+M50+L50+K50+J50+I50+H50+G50)/U50</f>
        <v>0.26816335421515669</v>
      </c>
      <c r="O54" s="72">
        <f>(O50+N50+M50+L50+K50+J50+I50+H50+G50)/U50</f>
        <v>0.37603518311597678</v>
      </c>
      <c r="P54" s="72">
        <f>(P50+O50+N50+M50+L50+K50+J50+I50+H50+G50)/U50</f>
        <v>0.49857504749841669</v>
      </c>
      <c r="Q54" s="72">
        <f>(Q50+P50+O50+N50+M50+L50+K50+J50+I50+H50+G50)/U50</f>
        <v>0.611339919242607</v>
      </c>
      <c r="R54" s="72">
        <f>(R50+Q50+P50+O50+N50+M50+L50+K50+J50+I50+H50+G50)/U50</f>
        <v>0.76477694904861981</v>
      </c>
      <c r="S54" s="72">
        <f>(S50+R50+Q50+P50+O50+N50+M50+L50+K50+J50+I50+H50+G50)/U50</f>
        <v>0.87177444403657889</v>
      </c>
      <c r="T54" s="72">
        <f>(T50+S50+R50+Q50+P50+O50+N50+M50+L50+K50+J50+I50+H50+G50)/U50</f>
        <v>1</v>
      </c>
      <c r="U54" s="67"/>
    </row>
    <row r="55" spans="1:256" x14ac:dyDescent="0.25">
      <c r="T55" s="70" t="s">
        <v>170</v>
      </c>
      <c r="U55" s="133">
        <f>2.71828182845905^((LOG($Q$10,2.71828182845905)-LOG($P$10,2.71828182845905))*(0.5-P54)/(Q54-P54)+LOG($P$10,2.71828182845905))</f>
        <v>16.140758740290913</v>
      </c>
    </row>
    <row r="56" spans="1:256" ht="15.75" thickBot="1" x14ac:dyDescent="0.3"/>
    <row r="57" spans="1:256" s="39" customFormat="1" ht="57" customHeight="1" thickTop="1" thickBot="1" x14ac:dyDescent="0.3">
      <c r="A57" s="35" t="s">
        <v>56</v>
      </c>
      <c r="B57" s="36" t="s">
        <v>120</v>
      </c>
      <c r="C57" s="37" t="s">
        <v>62</v>
      </c>
      <c r="D57" s="37" t="s">
        <v>121</v>
      </c>
      <c r="E57" s="35" t="s">
        <v>122</v>
      </c>
      <c r="F57" s="35" t="s">
        <v>123</v>
      </c>
      <c r="G57" s="35" t="s">
        <v>124</v>
      </c>
      <c r="H57" s="35" t="s">
        <v>125</v>
      </c>
      <c r="I57" s="35" t="s">
        <v>126</v>
      </c>
      <c r="J57" s="35" t="s">
        <v>127</v>
      </c>
      <c r="K57" s="35" t="s">
        <v>128</v>
      </c>
      <c r="L57" s="35" t="s">
        <v>129</v>
      </c>
      <c r="M57" s="35" t="s">
        <v>130</v>
      </c>
      <c r="N57" s="35" t="s">
        <v>131</v>
      </c>
      <c r="O57" s="35" t="s">
        <v>132</v>
      </c>
      <c r="P57" s="35" t="s">
        <v>133</v>
      </c>
      <c r="Q57" s="35" t="s">
        <v>134</v>
      </c>
      <c r="R57" s="35" t="s">
        <v>135</v>
      </c>
      <c r="S57" s="35" t="s">
        <v>136</v>
      </c>
      <c r="T57" s="35" t="s">
        <v>137</v>
      </c>
      <c r="U57" s="35" t="s">
        <v>138</v>
      </c>
      <c r="V57" s="35" t="s">
        <v>139</v>
      </c>
      <c r="W57" s="35" t="s">
        <v>140</v>
      </c>
      <c r="X57" s="35" t="s">
        <v>141</v>
      </c>
      <c r="Y57" s="35" t="s">
        <v>142</v>
      </c>
      <c r="Z57" s="38"/>
      <c r="AA57" s="38"/>
      <c r="AB57" s="38"/>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row>
    <row r="58" spans="1:256" s="34" customFormat="1" ht="15.75" thickTop="1" x14ac:dyDescent="0.25">
      <c r="A58" s="30" t="s">
        <v>75</v>
      </c>
      <c r="B58" s="31">
        <v>1</v>
      </c>
      <c r="C58" s="32">
        <v>35278</v>
      </c>
      <c r="D58" s="31" t="s">
        <v>118</v>
      </c>
      <c r="E58" s="31">
        <v>1</v>
      </c>
      <c r="F58" s="31" t="s">
        <v>117</v>
      </c>
      <c r="G58" s="33">
        <v>7.5387000000000004</v>
      </c>
      <c r="H58" s="33">
        <v>2.8744999999999998</v>
      </c>
      <c r="I58" s="33">
        <v>3.1305000000000001</v>
      </c>
      <c r="J58" s="33">
        <v>3.1233</v>
      </c>
      <c r="K58" s="33">
        <v>1.2641</v>
      </c>
      <c r="L58" s="33">
        <v>1.0900000000000001</v>
      </c>
      <c r="M58" s="33">
        <v>3</v>
      </c>
      <c r="N58" s="33">
        <v>25</v>
      </c>
      <c r="O58" s="33">
        <v>245</v>
      </c>
      <c r="P58" s="33">
        <v>612</v>
      </c>
      <c r="Q58" s="33">
        <f>1749+55</f>
        <v>1804</v>
      </c>
      <c r="R58" s="33">
        <v>0</v>
      </c>
      <c r="S58" s="33">
        <v>0</v>
      </c>
      <c r="T58" s="33">
        <v>0</v>
      </c>
    </row>
    <row r="59" spans="1:256" s="34" customFormat="1" x14ac:dyDescent="0.25">
      <c r="A59" s="30" t="s">
        <v>75</v>
      </c>
      <c r="B59" s="31">
        <v>2</v>
      </c>
      <c r="C59" s="32">
        <v>35278</v>
      </c>
      <c r="D59" s="31" t="s">
        <v>118</v>
      </c>
      <c r="E59" s="31">
        <v>2</v>
      </c>
      <c r="F59" s="31" t="s">
        <v>117</v>
      </c>
      <c r="G59" s="33">
        <v>2.9</v>
      </c>
      <c r="H59" s="33">
        <v>0.77</v>
      </c>
      <c r="I59" s="33">
        <v>1.0900000000000001</v>
      </c>
      <c r="J59" s="33">
        <v>4.38</v>
      </c>
      <c r="K59" s="33">
        <v>4.29</v>
      </c>
      <c r="L59" s="33">
        <v>7</v>
      </c>
      <c r="M59" s="33">
        <v>18</v>
      </c>
      <c r="N59" s="33">
        <v>58</v>
      </c>
      <c r="O59" s="33">
        <v>208</v>
      </c>
      <c r="P59" s="33">
        <v>491</v>
      </c>
      <c r="Q59" s="33">
        <v>1208</v>
      </c>
      <c r="R59" s="33">
        <v>397</v>
      </c>
      <c r="S59" s="33">
        <v>0</v>
      </c>
      <c r="T59" s="33">
        <v>0</v>
      </c>
    </row>
    <row r="60" spans="1:256" s="34" customFormat="1" x14ac:dyDescent="0.25">
      <c r="A60" s="30" t="s">
        <v>75</v>
      </c>
      <c r="B60" s="31">
        <v>3</v>
      </c>
      <c r="C60" s="32">
        <v>35278</v>
      </c>
      <c r="D60" s="31" t="s">
        <v>118</v>
      </c>
      <c r="E60" s="31">
        <v>3</v>
      </c>
      <c r="F60" s="31" t="s">
        <v>117</v>
      </c>
      <c r="G60" s="33">
        <v>5.4564000000000004</v>
      </c>
      <c r="H60" s="33">
        <v>1.7284999999999999</v>
      </c>
      <c r="I60" s="33">
        <v>2.4908000000000001</v>
      </c>
      <c r="J60" s="33">
        <v>7</v>
      </c>
      <c r="K60" s="33">
        <v>3</v>
      </c>
      <c r="L60" s="33">
        <v>4</v>
      </c>
      <c r="M60" s="33">
        <v>14</v>
      </c>
      <c r="N60" s="33">
        <v>58</v>
      </c>
      <c r="O60" s="33">
        <v>185</v>
      </c>
      <c r="P60" s="33">
        <v>651</v>
      </c>
      <c r="Q60" s="33">
        <f>1058+1055</f>
        <v>2113</v>
      </c>
      <c r="R60" s="33">
        <v>335</v>
      </c>
      <c r="S60" s="33">
        <v>0</v>
      </c>
      <c r="T60" s="33">
        <v>0</v>
      </c>
    </row>
    <row r="61" spans="1:256" x14ac:dyDescent="0.25">
      <c r="A61" s="27" t="s">
        <v>75</v>
      </c>
      <c r="B61" s="23">
        <v>1</v>
      </c>
      <c r="C61" s="28">
        <v>35278</v>
      </c>
      <c r="D61" s="23" t="s">
        <v>116</v>
      </c>
      <c r="E61" s="23">
        <v>1</v>
      </c>
      <c r="F61" s="23" t="s">
        <v>117</v>
      </c>
      <c r="G61" s="29">
        <v>8</v>
      </c>
      <c r="H61" s="29">
        <v>6</v>
      </c>
      <c r="I61" s="29">
        <v>25</v>
      </c>
      <c r="J61" s="29">
        <v>127</v>
      </c>
      <c r="K61" s="29">
        <v>77</v>
      </c>
      <c r="L61" s="29">
        <v>84</v>
      </c>
      <c r="M61" s="29">
        <v>172</v>
      </c>
      <c r="N61" s="29">
        <v>346</v>
      </c>
      <c r="O61" s="29">
        <v>597</v>
      </c>
      <c r="P61" s="29">
        <v>260</v>
      </c>
      <c r="Q61" s="29">
        <v>825</v>
      </c>
      <c r="R61" s="29">
        <v>0</v>
      </c>
      <c r="S61" s="29">
        <v>0</v>
      </c>
      <c r="T61" s="29">
        <v>0</v>
      </c>
    </row>
    <row r="62" spans="1:256" x14ac:dyDescent="0.25">
      <c r="A62" s="27" t="s">
        <v>75</v>
      </c>
      <c r="B62" s="23">
        <v>2</v>
      </c>
      <c r="C62" s="28">
        <v>35278</v>
      </c>
      <c r="D62" s="23" t="s">
        <v>116</v>
      </c>
      <c r="E62" s="23">
        <v>2</v>
      </c>
      <c r="F62" s="23" t="s">
        <v>117</v>
      </c>
      <c r="G62" s="29">
        <v>10</v>
      </c>
      <c r="H62" s="29">
        <v>6</v>
      </c>
      <c r="I62" s="29">
        <v>15</v>
      </c>
      <c r="J62" s="29">
        <v>105</v>
      </c>
      <c r="K62" s="29">
        <v>96</v>
      </c>
      <c r="L62" s="29">
        <v>111</v>
      </c>
      <c r="M62" s="29">
        <v>194</v>
      </c>
      <c r="N62" s="29">
        <v>327</v>
      </c>
      <c r="O62" s="29">
        <v>603</v>
      </c>
      <c r="P62" s="29">
        <v>504</v>
      </c>
      <c r="Q62" s="29">
        <v>1084</v>
      </c>
      <c r="R62" s="29">
        <v>348</v>
      </c>
      <c r="S62" s="29">
        <v>0</v>
      </c>
      <c r="T62" s="29">
        <v>0</v>
      </c>
    </row>
    <row r="63" spans="1:256" x14ac:dyDescent="0.25">
      <c r="A63" s="27" t="s">
        <v>75</v>
      </c>
      <c r="B63" s="23">
        <v>3</v>
      </c>
      <c r="C63" s="28">
        <v>35278</v>
      </c>
      <c r="D63" s="23" t="s">
        <v>116</v>
      </c>
      <c r="E63" s="23">
        <v>3</v>
      </c>
      <c r="F63" s="23" t="s">
        <v>117</v>
      </c>
      <c r="G63" s="29">
        <v>10</v>
      </c>
      <c r="H63" s="29">
        <v>10</v>
      </c>
      <c r="I63" s="29">
        <v>36</v>
      </c>
      <c r="J63" s="29">
        <v>148</v>
      </c>
      <c r="K63" s="29">
        <v>65</v>
      </c>
      <c r="L63" s="29">
        <v>71</v>
      </c>
      <c r="M63" s="29">
        <v>161</v>
      </c>
      <c r="N63" s="29">
        <v>283</v>
      </c>
      <c r="O63" s="29">
        <v>490</v>
      </c>
      <c r="P63" s="29">
        <v>365</v>
      </c>
      <c r="Q63" s="29">
        <v>1146</v>
      </c>
      <c r="R63" s="29">
        <v>0</v>
      </c>
      <c r="S63" s="29">
        <v>0</v>
      </c>
      <c r="T63" s="29">
        <v>0</v>
      </c>
    </row>
    <row r="64" spans="1:256" x14ac:dyDescent="0.25">
      <c r="A64" s="27" t="s">
        <v>75</v>
      </c>
      <c r="B64" s="23">
        <v>4</v>
      </c>
      <c r="C64" s="28">
        <v>35664</v>
      </c>
      <c r="D64" s="23" t="s">
        <v>116</v>
      </c>
      <c r="E64" s="23">
        <v>1</v>
      </c>
      <c r="F64" s="23" t="s">
        <v>117</v>
      </c>
      <c r="G64" s="38">
        <f>5.9+15.3+25</f>
        <v>46.2</v>
      </c>
      <c r="H64" s="38">
        <f>3.2+8.8+13.4</f>
        <v>25.4</v>
      </c>
      <c r="I64" s="38">
        <f>10.8+33.4+52.2</f>
        <v>96.4</v>
      </c>
      <c r="J64" s="38">
        <f>81.9+245.2+383.8</f>
        <v>710.90000000000009</v>
      </c>
      <c r="K64" s="38">
        <f>91.3+261.4+375.4</f>
        <v>728.09999999999991</v>
      </c>
      <c r="L64" s="38">
        <f>106.8+277.9+372.4</f>
        <v>757.09999999999991</v>
      </c>
      <c r="M64" s="38">
        <f>226.7+547.7+698.7</f>
        <v>1473.1000000000001</v>
      </c>
      <c r="N64" s="38">
        <f>370+829.5+978.6</f>
        <v>2178.1</v>
      </c>
      <c r="O64" s="38">
        <f>507.8+1190.1+1172.5</f>
        <v>2870.3999999999996</v>
      </c>
      <c r="P64" s="38">
        <f>579.1+1018.7+1192.5</f>
        <v>2790.3</v>
      </c>
      <c r="Q64" s="38">
        <f>1283.6+2404.7+1627.6</f>
        <v>5315.9</v>
      </c>
      <c r="R64" s="38">
        <v>305</v>
      </c>
      <c r="S64" s="38"/>
      <c r="T64" s="38"/>
    </row>
    <row r="65" spans="1:256" s="34" customFormat="1" ht="15.75" thickBot="1" x14ac:dyDescent="0.3">
      <c r="A65" s="30" t="s">
        <v>75</v>
      </c>
      <c r="B65" s="31">
        <v>4</v>
      </c>
      <c r="C65" s="32">
        <v>35664</v>
      </c>
      <c r="D65" s="31" t="s">
        <v>118</v>
      </c>
      <c r="E65" s="31">
        <v>1</v>
      </c>
      <c r="F65" s="31" t="s">
        <v>117</v>
      </c>
      <c r="G65" s="51">
        <f>12.1+11.5+0.5</f>
        <v>24.1</v>
      </c>
      <c r="H65" s="51">
        <f>7.3+7.9+0.4</f>
        <v>15.6</v>
      </c>
      <c r="I65" s="51">
        <f>0.1+16.2+23.4+1.1</f>
        <v>40.800000000000004</v>
      </c>
      <c r="J65" s="51">
        <f>0.2+97.3+153.9+10.5</f>
        <v>261.89999999999998</v>
      </c>
      <c r="K65" s="51">
        <f>0.2+94.1+144.5+11.7</f>
        <v>250.5</v>
      </c>
      <c r="L65" s="51">
        <f>0.3+97.1+145.4+14.3</f>
        <v>257.10000000000002</v>
      </c>
      <c r="M65" s="51">
        <f>0.4+228.1+329.4+31.2</f>
        <v>589.1</v>
      </c>
      <c r="N65" s="51">
        <f>481.1+633.4+57.2</f>
        <v>1171.7</v>
      </c>
      <c r="O65" s="51">
        <f>1068.7+995+94.4</f>
        <v>2158.1</v>
      </c>
      <c r="P65" s="51">
        <f>39.7+1537.3+1517.4+198.4</f>
        <v>3292.8</v>
      </c>
      <c r="Q65" s="51">
        <f>959.5+3182.8+2266.4+140.7</f>
        <v>6549.4000000000005</v>
      </c>
      <c r="R65" s="51">
        <f>390.6+434.1+818.8+609.5+433.7</f>
        <v>2686.7</v>
      </c>
      <c r="S65" s="51"/>
      <c r="T65" s="51"/>
    </row>
    <row r="66" spans="1:256" ht="52.5" thickTop="1" x14ac:dyDescent="0.25">
      <c r="G66" s="42" t="s">
        <v>143</v>
      </c>
      <c r="H66" s="42" t="s">
        <v>144</v>
      </c>
      <c r="I66" s="42" t="s">
        <v>145</v>
      </c>
      <c r="J66" s="42" t="s">
        <v>146</v>
      </c>
      <c r="K66" s="42" t="s">
        <v>147</v>
      </c>
      <c r="L66" s="42" t="s">
        <v>148</v>
      </c>
      <c r="M66" s="42" t="s">
        <v>149</v>
      </c>
      <c r="N66" s="42" t="s">
        <v>150</v>
      </c>
      <c r="O66" s="42" t="s">
        <v>151</v>
      </c>
      <c r="P66" s="42" t="s">
        <v>152</v>
      </c>
      <c r="Q66" s="42" t="s">
        <v>153</v>
      </c>
      <c r="R66" s="42" t="s">
        <v>154</v>
      </c>
      <c r="S66" s="42" t="s">
        <v>155</v>
      </c>
      <c r="T66" s="42" t="s">
        <v>156</v>
      </c>
    </row>
    <row r="67" spans="1:256" x14ac:dyDescent="0.25">
      <c r="A67" t="s">
        <v>119</v>
      </c>
      <c r="G67" s="43">
        <f t="shared" ref="G67:T67" si="6">SUM(G58,G59,G60,G65)/1000</f>
        <v>3.9995099999999999E-2</v>
      </c>
      <c r="H67" s="43">
        <f t="shared" si="6"/>
        <v>2.0972999999999999E-2</v>
      </c>
      <c r="I67" s="43">
        <f t="shared" si="6"/>
        <v>4.7511300000000006E-2</v>
      </c>
      <c r="J67" s="43">
        <f t="shared" si="6"/>
        <v>0.27640330000000002</v>
      </c>
      <c r="K67" s="43">
        <f t="shared" si="6"/>
        <v>0.25905410000000001</v>
      </c>
      <c r="L67" s="43">
        <f t="shared" si="6"/>
        <v>0.26918999999999998</v>
      </c>
      <c r="M67" s="43">
        <f t="shared" si="6"/>
        <v>0.62409999999999999</v>
      </c>
      <c r="N67" s="43">
        <f t="shared" si="6"/>
        <v>1.3127</v>
      </c>
      <c r="O67" s="43">
        <f t="shared" si="6"/>
        <v>2.7961</v>
      </c>
      <c r="P67" s="43">
        <f t="shared" si="6"/>
        <v>5.0468000000000002</v>
      </c>
      <c r="Q67" s="43">
        <f t="shared" si="6"/>
        <v>11.674400000000002</v>
      </c>
      <c r="R67" s="43">
        <f t="shared" si="6"/>
        <v>3.4186999999999999</v>
      </c>
      <c r="S67" s="43">
        <f t="shared" si="6"/>
        <v>0</v>
      </c>
      <c r="T67" s="43">
        <f t="shared" si="6"/>
        <v>0</v>
      </c>
      <c r="U67" s="43">
        <f>SUM(G67:T67)</f>
        <v>25.785926800000002</v>
      </c>
    </row>
    <row r="68" spans="1:256" x14ac:dyDescent="0.25">
      <c r="G68" s="40"/>
      <c r="H68" s="40"/>
      <c r="I68" s="40"/>
      <c r="J68" s="40"/>
      <c r="K68" s="46" t="s">
        <v>162</v>
      </c>
      <c r="L68" s="54">
        <f>SUM(G67,H67,I67,J67,K67,L67)</f>
        <v>0.91312680000000013</v>
      </c>
      <c r="M68" s="40"/>
      <c r="N68" s="40"/>
      <c r="O68" s="40"/>
      <c r="P68" s="40"/>
      <c r="Q68" s="40"/>
      <c r="R68" s="46" t="s">
        <v>161</v>
      </c>
      <c r="S68" s="54">
        <f>R67+S67+T67</f>
        <v>3.4186999999999999</v>
      </c>
      <c r="T68" s="40"/>
    </row>
    <row r="69" spans="1:256" x14ac:dyDescent="0.25">
      <c r="A69" t="s">
        <v>157</v>
      </c>
      <c r="G69" s="43">
        <f t="shared" ref="G69:T69" si="7">SUM(G61,G62,G63,G64)/1000</f>
        <v>7.4200000000000002E-2</v>
      </c>
      <c r="H69" s="43">
        <f t="shared" si="7"/>
        <v>4.7399999999999998E-2</v>
      </c>
      <c r="I69" s="43">
        <f t="shared" si="7"/>
        <v>0.1724</v>
      </c>
      <c r="J69" s="43">
        <f t="shared" si="7"/>
        <v>1.0909</v>
      </c>
      <c r="K69" s="43">
        <f t="shared" si="7"/>
        <v>0.96609999999999996</v>
      </c>
      <c r="L69" s="43">
        <f t="shared" si="7"/>
        <v>1.0230999999999999</v>
      </c>
      <c r="M69" s="43">
        <f t="shared" si="7"/>
        <v>2.0001000000000002</v>
      </c>
      <c r="N69" s="43">
        <f t="shared" si="7"/>
        <v>3.1341000000000001</v>
      </c>
      <c r="O69" s="43">
        <f t="shared" si="7"/>
        <v>4.5603999999999996</v>
      </c>
      <c r="P69" s="43">
        <f t="shared" si="7"/>
        <v>3.9193000000000002</v>
      </c>
      <c r="Q69" s="43">
        <f t="shared" si="7"/>
        <v>8.3708999999999989</v>
      </c>
      <c r="R69" s="43">
        <f t="shared" si="7"/>
        <v>0.65300000000000002</v>
      </c>
      <c r="S69" s="43">
        <f t="shared" si="7"/>
        <v>0</v>
      </c>
      <c r="T69" s="43">
        <f t="shared" si="7"/>
        <v>0</v>
      </c>
      <c r="U69" s="43">
        <f>SUM(G69:T69)</f>
        <v>26.011899999999997</v>
      </c>
    </row>
    <row r="70" spans="1:256" x14ac:dyDescent="0.25">
      <c r="G70" s="40"/>
      <c r="H70" s="40"/>
      <c r="I70" s="40"/>
      <c r="J70" s="40"/>
      <c r="K70" s="46" t="s">
        <v>162</v>
      </c>
      <c r="L70" s="54">
        <f>SUM(G69,H69,I69,J69,K69,L69)</f>
        <v>3.3740999999999999</v>
      </c>
      <c r="M70" s="40"/>
      <c r="N70" s="40"/>
      <c r="O70" s="40"/>
      <c r="P70" s="40"/>
      <c r="Q70" s="40"/>
      <c r="R70" s="46" t="s">
        <v>161</v>
      </c>
      <c r="S70" s="54">
        <f>R69+S69+T69</f>
        <v>0.65300000000000002</v>
      </c>
      <c r="T70" s="40"/>
    </row>
    <row r="71" spans="1:256" x14ac:dyDescent="0.25">
      <c r="F71" s="71" t="s">
        <v>22</v>
      </c>
      <c r="G71" s="72">
        <f>G67/U67</f>
        <v>1.5510437266889315E-3</v>
      </c>
      <c r="H71" s="72">
        <f>(H67+G67)/U67</f>
        <v>2.3643943641381933E-3</v>
      </c>
      <c r="I71" s="72">
        <f>(I67+H67+G67)/U67</f>
        <v>4.2069226691514531E-3</v>
      </c>
      <c r="J71" s="72">
        <f>(J67+I67+H67+G67)/U67</f>
        <v>1.4926075877947503E-2</v>
      </c>
      <c r="K71" s="72">
        <f>(K67+J67+I67+H67+G67)/U67</f>
        <v>2.4972412471131349E-2</v>
      </c>
      <c r="L71" s="72">
        <f>(L67+K67+J67+I67+H67+G67)/U67</f>
        <v>3.5411827819196322E-2</v>
      </c>
      <c r="M71" s="72">
        <f>(M67+L67+K67+J67+I67+H67+G67)/U67</f>
        <v>5.9614952447627351E-2</v>
      </c>
      <c r="N71" s="72">
        <f>(N67+M67+L67+K67+J67+I67+H67+G67)/U67</f>
        <v>0.11052256613091758</v>
      </c>
      <c r="O71" s="72">
        <f>(O67+N67+M67+L67+K67+J67+I67+H67+G67)/U67</f>
        <v>0.21895768353767295</v>
      </c>
      <c r="P71" s="72">
        <f>(P67+O67+N67+M67+L67+K67+J67+I67+H67+G67)/U67</f>
        <v>0.41467684613143319</v>
      </c>
      <c r="Q71" s="72">
        <f>(Q67+P67+O67+N67+M67+L67+K67+J67+I67+H67+G67)/U67</f>
        <v>0.86741992923054434</v>
      </c>
      <c r="R71" s="72">
        <f>(R67+Q67+P67+O67+N67+M67+L67+K67+J67+I67+H67+G67)/U67</f>
        <v>0.99999999999999978</v>
      </c>
      <c r="S71" s="72">
        <f>(S67+R67+Q67+P67+O67+N67+M67+L67+K67+J67+I67+H67+G67)/U67</f>
        <v>0.99999999999999978</v>
      </c>
      <c r="T71" s="72">
        <f>(T67+S67+R67+Q67+P67+O67+N67+M67+L67+K67+J67+I67+H67+G67)/U67</f>
        <v>0.99999999999999978</v>
      </c>
    </row>
    <row r="72" spans="1:256" x14ac:dyDescent="0.25">
      <c r="T72" s="73" t="s">
        <v>170</v>
      </c>
      <c r="U72" s="133">
        <f>2.71828182845905^((LOG($Q$10,2.71828182845905)-LOG($P$10,2.71828182845905))*(0.5-P71)/(Q71-P71)+LOG($P$10,2.71828182845905))</f>
        <v>18.232724035464638</v>
      </c>
    </row>
    <row r="73" spans="1:256" x14ac:dyDescent="0.25">
      <c r="F73" s="71" t="s">
        <v>21</v>
      </c>
      <c r="G73" s="72">
        <f>G69/U69</f>
        <v>2.8525405679708138E-3</v>
      </c>
      <c r="H73" s="72">
        <f>(H69+G69)/U69</f>
        <v>4.6747834644912528E-3</v>
      </c>
      <c r="I73" s="72">
        <f>(I69+H69+G69)/U69</f>
        <v>1.1302519231582469E-2</v>
      </c>
      <c r="J73" s="72">
        <f>(J69+I69+H69+G69)/U69</f>
        <v>5.3241016611627771E-2</v>
      </c>
      <c r="K73" s="72">
        <f>(K69+J69+I69+H69+G69)/U69</f>
        <v>9.0381709909695185E-2</v>
      </c>
      <c r="L73" s="72">
        <f>(L69+K69+J69+I69+H69+G69)/U69</f>
        <v>0.12971370795674289</v>
      </c>
      <c r="M73" s="72">
        <f>(M69+L69+K69+J69+I69+H69+G69)/U69</f>
        <v>0.20660543828017175</v>
      </c>
      <c r="N73" s="72">
        <f>(N69+M69+L69+K69+J69+I69+H69+G69)/U69</f>
        <v>0.32709259992541873</v>
      </c>
      <c r="O73" s="72">
        <f>(O69+N69+M69+L69+K69+J69+I69+H69+G69)/U69</f>
        <v>0.50241235742102641</v>
      </c>
      <c r="P73" s="72">
        <f>(P69+O69+N69+M69+L69+K69+J69+I69+H69+G69)/U69</f>
        <v>0.65308570308205094</v>
      </c>
      <c r="Q73" s="72">
        <f>(Q69+P69+O69+N69+M69+L69+K69+J69+I69+H69+G69)/U69</f>
        <v>0.97489610524413839</v>
      </c>
      <c r="R73" s="72">
        <f>(R69+Q69+P69+O69+N69+M69+L69+K69+J69+I69+H69+G69)/U69</f>
        <v>1.0000000000000002</v>
      </c>
      <c r="S73" s="72">
        <f>(S69+R69+Q69+P69+O69+N69+M69+L69+K69+J69+I69+H69+G69)/U69</f>
        <v>1.0000000000000002</v>
      </c>
      <c r="T73" s="72">
        <f>(T69+S69+R69+Q69+P69+O69+N69+M69+L69+K69+J69+I69+H69+G69)/U69</f>
        <v>1.0000000000000002</v>
      </c>
      <c r="U73" s="67"/>
    </row>
    <row r="74" spans="1:256" x14ac:dyDescent="0.25">
      <c r="T74" s="70" t="s">
        <v>170</v>
      </c>
      <c r="U74" s="133">
        <f>2.71828182845905^((LOG($O$10,2.71828182845905)-LOG($N$10,2.71828182845905))*(0.5-N73)/(O73-N73)+LOG($N$10,2.71828182845905))</f>
        <v>7.9240624052234852</v>
      </c>
    </row>
    <row r="75" spans="1:256" ht="15.75" thickBot="1" x14ac:dyDescent="0.3"/>
    <row r="76" spans="1:256" s="39" customFormat="1" ht="57" customHeight="1" thickTop="1" thickBot="1" x14ac:dyDescent="0.3">
      <c r="A76" s="35" t="s">
        <v>56</v>
      </c>
      <c r="B76" s="36" t="s">
        <v>120</v>
      </c>
      <c r="C76" s="37" t="s">
        <v>62</v>
      </c>
      <c r="D76" s="37" t="s">
        <v>121</v>
      </c>
      <c r="E76" s="35" t="s">
        <v>122</v>
      </c>
      <c r="F76" s="35" t="s">
        <v>123</v>
      </c>
      <c r="G76" s="35" t="s">
        <v>124</v>
      </c>
      <c r="H76" s="35" t="s">
        <v>125</v>
      </c>
      <c r="I76" s="35" t="s">
        <v>126</v>
      </c>
      <c r="J76" s="35" t="s">
        <v>127</v>
      </c>
      <c r="K76" s="35" t="s">
        <v>128</v>
      </c>
      <c r="L76" s="35" t="s">
        <v>129</v>
      </c>
      <c r="M76" s="35" t="s">
        <v>130</v>
      </c>
      <c r="N76" s="35" t="s">
        <v>131</v>
      </c>
      <c r="O76" s="35" t="s">
        <v>132</v>
      </c>
      <c r="P76" s="35" t="s">
        <v>133</v>
      </c>
      <c r="Q76" s="35" t="s">
        <v>134</v>
      </c>
      <c r="R76" s="35" t="s">
        <v>135</v>
      </c>
      <c r="S76" s="35" t="s">
        <v>136</v>
      </c>
      <c r="T76" s="35" t="s">
        <v>137</v>
      </c>
      <c r="U76" s="35" t="s">
        <v>138</v>
      </c>
      <c r="V76" s="35" t="s">
        <v>139</v>
      </c>
      <c r="W76" s="35" t="s">
        <v>140</v>
      </c>
      <c r="X76" s="35" t="s">
        <v>141</v>
      </c>
      <c r="Y76" s="35" t="s">
        <v>142</v>
      </c>
      <c r="Z76" s="38"/>
      <c r="AA76" s="38"/>
      <c r="AB76" s="38"/>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row>
    <row r="77" spans="1:256" ht="15.75" thickTop="1" x14ac:dyDescent="0.25">
      <c r="A77" s="27" t="s">
        <v>166</v>
      </c>
      <c r="B77" s="23">
        <v>2</v>
      </c>
      <c r="C77" s="28">
        <v>34996</v>
      </c>
      <c r="D77" s="23" t="s">
        <v>116</v>
      </c>
      <c r="E77" s="23">
        <v>2</v>
      </c>
      <c r="F77" s="23" t="s">
        <v>117</v>
      </c>
      <c r="G77" s="29">
        <v>47</v>
      </c>
      <c r="H77" s="29">
        <v>42</v>
      </c>
      <c r="I77" s="29">
        <v>184</v>
      </c>
      <c r="J77" s="29">
        <v>552</v>
      </c>
      <c r="K77" s="29">
        <v>453</v>
      </c>
      <c r="L77" s="29">
        <v>901</v>
      </c>
      <c r="M77" s="29">
        <v>1359</v>
      </c>
      <c r="N77" s="29">
        <v>1666</v>
      </c>
      <c r="O77" s="29">
        <v>2490</v>
      </c>
      <c r="P77" s="29">
        <v>2803</v>
      </c>
      <c r="Q77" s="29">
        <v>2599</v>
      </c>
      <c r="R77" s="29">
        <v>2647</v>
      </c>
      <c r="S77" s="29">
        <v>7800</v>
      </c>
      <c r="T77" s="29">
        <v>0</v>
      </c>
    </row>
    <row r="78" spans="1:256" x14ac:dyDescent="0.25">
      <c r="A78" s="27" t="s">
        <v>166</v>
      </c>
      <c r="B78" s="23">
        <v>1</v>
      </c>
      <c r="C78" s="28">
        <v>34996</v>
      </c>
      <c r="D78" s="23" t="s">
        <v>116</v>
      </c>
      <c r="E78" s="23">
        <v>1</v>
      </c>
      <c r="F78" s="23" t="s">
        <v>117</v>
      </c>
      <c r="G78" s="29">
        <v>37</v>
      </c>
      <c r="H78" s="29">
        <v>51</v>
      </c>
      <c r="I78" s="29">
        <v>245</v>
      </c>
      <c r="J78" s="29">
        <v>671</v>
      </c>
      <c r="K78" s="29">
        <v>458</v>
      </c>
      <c r="L78" s="29">
        <v>800</v>
      </c>
      <c r="M78" s="29">
        <v>1308</v>
      </c>
      <c r="N78" s="29">
        <v>1692</v>
      </c>
      <c r="O78" s="29">
        <v>2580</v>
      </c>
      <c r="P78" s="29">
        <v>2947</v>
      </c>
      <c r="Q78" s="29">
        <v>5721</v>
      </c>
      <c r="R78" s="29">
        <v>1826</v>
      </c>
      <c r="S78" s="29">
        <v>0</v>
      </c>
      <c r="T78" s="29">
        <v>0</v>
      </c>
    </row>
    <row r="79" spans="1:256" s="34" customFormat="1" x14ac:dyDescent="0.25">
      <c r="A79" s="30" t="s">
        <v>166</v>
      </c>
      <c r="B79" s="31">
        <v>1</v>
      </c>
      <c r="C79" s="32">
        <v>34996</v>
      </c>
      <c r="D79" s="31" t="s">
        <v>118</v>
      </c>
      <c r="E79" s="31">
        <v>1</v>
      </c>
      <c r="F79" s="31" t="s">
        <v>117</v>
      </c>
      <c r="G79" s="51">
        <f>3+2+6+1</f>
        <v>12</v>
      </c>
      <c r="H79" s="51">
        <f>2+2+7+1</f>
        <v>12</v>
      </c>
      <c r="I79" s="51">
        <f>12+6+23+2</f>
        <v>43</v>
      </c>
      <c r="J79" s="51">
        <f>31+16+52+3</f>
        <v>102</v>
      </c>
      <c r="K79" s="51">
        <f>22+15+35+2</f>
        <v>74</v>
      </c>
      <c r="L79" s="51">
        <f>40+34+66+4</f>
        <v>144</v>
      </c>
      <c r="M79" s="51">
        <f>71+68+111+8</f>
        <v>258</v>
      </c>
      <c r="N79" s="51">
        <f>122+95+127+5</f>
        <v>349</v>
      </c>
      <c r="O79" s="51">
        <f>288+253+257+1</f>
        <v>799</v>
      </c>
      <c r="P79" s="51">
        <f>493+724+591+58</f>
        <v>1866</v>
      </c>
      <c r="Q79" s="51">
        <f>892+1112+1436+380+727+367+334</f>
        <v>5248</v>
      </c>
      <c r="R79" s="51">
        <f>1157+360+415+214+400+633+852+493+629+669</f>
        <v>5822</v>
      </c>
      <c r="S79" s="51">
        <f>2574+2034+1481</f>
        <v>6089</v>
      </c>
      <c r="T79" s="51"/>
    </row>
    <row r="80" spans="1:256" s="34" customFormat="1" x14ac:dyDescent="0.25">
      <c r="A80" s="30" t="s">
        <v>166</v>
      </c>
      <c r="B80" s="31">
        <v>2</v>
      </c>
      <c r="C80" s="32">
        <v>34996</v>
      </c>
      <c r="D80" s="31" t="s">
        <v>118</v>
      </c>
      <c r="E80" s="31">
        <v>2</v>
      </c>
      <c r="F80" s="31" t="s">
        <v>117</v>
      </c>
      <c r="G80" s="33">
        <v>1</v>
      </c>
      <c r="H80" s="33">
        <v>2</v>
      </c>
      <c r="I80" s="33">
        <v>3</v>
      </c>
      <c r="J80" s="33">
        <v>4</v>
      </c>
      <c r="K80" s="33">
        <v>3</v>
      </c>
      <c r="L80" s="33">
        <v>5</v>
      </c>
      <c r="M80" s="33">
        <v>6</v>
      </c>
      <c r="N80" s="33">
        <v>4</v>
      </c>
      <c r="O80" s="33">
        <v>19</v>
      </c>
      <c r="P80" s="33">
        <v>323</v>
      </c>
      <c r="Q80" s="33">
        <f>1391+1026+669+1015+404+56</f>
        <v>4561</v>
      </c>
      <c r="R80" s="33">
        <f>382+630+903+1352+718+1037+453+392+561</f>
        <v>6428</v>
      </c>
      <c r="S80" s="33">
        <f>6405+975</f>
        <v>7380</v>
      </c>
      <c r="T80" s="33">
        <v>0</v>
      </c>
    </row>
    <row r="81" spans="1:256" s="34" customFormat="1" x14ac:dyDescent="0.25">
      <c r="A81" s="30" t="s">
        <v>166</v>
      </c>
      <c r="B81" s="31">
        <v>3</v>
      </c>
      <c r="C81" s="32">
        <v>35669</v>
      </c>
      <c r="D81" s="31" t="s">
        <v>118</v>
      </c>
      <c r="E81" s="31" t="s">
        <v>167</v>
      </c>
      <c r="F81" s="31" t="s">
        <v>117</v>
      </c>
      <c r="G81" s="57">
        <f>29.1+21.5</f>
        <v>50.6</v>
      </c>
      <c r="H81" s="57">
        <f>42.8+30.6</f>
        <v>73.400000000000006</v>
      </c>
      <c r="I81" s="57">
        <f>189.7+117.7</f>
        <v>307.39999999999998</v>
      </c>
      <c r="J81" s="57">
        <f>473.7+272.9</f>
        <v>746.59999999999991</v>
      </c>
      <c r="K81" s="57">
        <f>493.1+274.7</f>
        <v>767.8</v>
      </c>
      <c r="L81" s="57">
        <f>887.7+490</f>
        <v>1377.7</v>
      </c>
      <c r="M81" s="57">
        <f>1163.7+620.5</f>
        <v>1784.2</v>
      </c>
      <c r="N81" s="57">
        <f>1270.2+639.7</f>
        <v>1909.9</v>
      </c>
      <c r="O81" s="57">
        <f>1884.1+1132.8</f>
        <v>3016.8999999999996</v>
      </c>
      <c r="P81" s="57">
        <f>2066.7+1810</f>
        <v>3876.7</v>
      </c>
      <c r="Q81" s="57">
        <f>1434.1+4524.6+111+163+118+135</f>
        <v>6485.7000000000007</v>
      </c>
      <c r="R81" s="57">
        <f>675.2+510.1+287.4+499+346+637+1115+1352+512+1005+435+198</f>
        <v>7571.7000000000007</v>
      </c>
      <c r="S81" s="58">
        <f>1392+1611+1503+1859+3726+2068</f>
        <v>12159</v>
      </c>
      <c r="T81" s="58"/>
    </row>
    <row r="82" spans="1:256" ht="15.75" thickBot="1" x14ac:dyDescent="0.3">
      <c r="A82" s="27" t="s">
        <v>166</v>
      </c>
      <c r="B82" s="23">
        <v>3</v>
      </c>
      <c r="C82" s="28">
        <v>35669</v>
      </c>
      <c r="D82" s="23" t="s">
        <v>116</v>
      </c>
      <c r="E82" s="23" t="s">
        <v>167</v>
      </c>
      <c r="F82" s="23" t="s">
        <v>117</v>
      </c>
      <c r="G82" s="55">
        <f>14.9+28.3</f>
        <v>43.2</v>
      </c>
      <c r="H82" s="55">
        <f>19.4+34.7</f>
        <v>54.1</v>
      </c>
      <c r="I82" s="55">
        <f>113.1+173.3</f>
        <v>286.39999999999998</v>
      </c>
      <c r="J82" s="55">
        <f>327.6+488.9</f>
        <v>816.5</v>
      </c>
      <c r="K82" s="55">
        <f>404.3+587.8</f>
        <v>992.09999999999991</v>
      </c>
      <c r="L82" s="55">
        <f>776.8+1118</f>
        <v>1894.8</v>
      </c>
      <c r="M82" s="55">
        <f>919.9+1358.9</f>
        <v>2278.8000000000002</v>
      </c>
      <c r="N82" s="55">
        <f>869.5+1488.1</f>
        <v>2357.6</v>
      </c>
      <c r="O82" s="55">
        <f>994.1+2018</f>
        <v>3012.1</v>
      </c>
      <c r="P82" s="55">
        <f>913.6+1919.6</f>
        <v>2833.2</v>
      </c>
      <c r="Q82" s="55">
        <f>822.5+1723.7</f>
        <v>2546.1999999999998</v>
      </c>
      <c r="R82" s="55">
        <f>500.1+242.2+380.6</f>
        <v>1122.9000000000001</v>
      </c>
      <c r="S82" s="56">
        <v>5184</v>
      </c>
      <c r="T82" s="56"/>
    </row>
    <row r="83" spans="1:256" ht="52.5" thickTop="1" x14ac:dyDescent="0.25">
      <c r="G83" s="42" t="s">
        <v>143</v>
      </c>
      <c r="H83" s="42" t="s">
        <v>144</v>
      </c>
      <c r="I83" s="42" t="s">
        <v>145</v>
      </c>
      <c r="J83" s="42" t="s">
        <v>146</v>
      </c>
      <c r="K83" s="42" t="s">
        <v>147</v>
      </c>
      <c r="L83" s="42" t="s">
        <v>148</v>
      </c>
      <c r="M83" s="42" t="s">
        <v>149</v>
      </c>
      <c r="N83" s="42" t="s">
        <v>150</v>
      </c>
      <c r="O83" s="42" t="s">
        <v>151</v>
      </c>
      <c r="P83" s="42" t="s">
        <v>152</v>
      </c>
      <c r="Q83" s="42" t="s">
        <v>153</v>
      </c>
      <c r="R83" s="42" t="s">
        <v>154</v>
      </c>
      <c r="S83" s="42" t="s">
        <v>155</v>
      </c>
      <c r="T83" s="42" t="s">
        <v>156</v>
      </c>
    </row>
    <row r="84" spans="1:256" x14ac:dyDescent="0.25">
      <c r="A84" t="s">
        <v>119</v>
      </c>
      <c r="G84" s="43">
        <f t="shared" ref="G84:T84" si="8">SUM(G79,G80,G81)/1000</f>
        <v>6.3600000000000004E-2</v>
      </c>
      <c r="H84" s="43">
        <f t="shared" si="8"/>
        <v>8.7400000000000005E-2</v>
      </c>
      <c r="I84" s="43">
        <f t="shared" si="8"/>
        <v>0.35339999999999999</v>
      </c>
      <c r="J84" s="43">
        <f t="shared" si="8"/>
        <v>0.85259999999999991</v>
      </c>
      <c r="K84" s="43">
        <f t="shared" si="8"/>
        <v>0.8448</v>
      </c>
      <c r="L84" s="43">
        <f t="shared" si="8"/>
        <v>1.5266999999999999</v>
      </c>
      <c r="M84" s="43">
        <f t="shared" si="8"/>
        <v>2.0482</v>
      </c>
      <c r="N84" s="43">
        <f t="shared" si="8"/>
        <v>2.2629000000000001</v>
      </c>
      <c r="O84" s="43">
        <f t="shared" si="8"/>
        <v>3.8348999999999998</v>
      </c>
      <c r="P84" s="43">
        <f t="shared" si="8"/>
        <v>6.0656999999999996</v>
      </c>
      <c r="Q84" s="43">
        <f t="shared" si="8"/>
        <v>16.294700000000002</v>
      </c>
      <c r="R84" s="43">
        <f t="shared" si="8"/>
        <v>19.8217</v>
      </c>
      <c r="S84" s="43">
        <f t="shared" si="8"/>
        <v>25.628</v>
      </c>
      <c r="T84" s="43">
        <f t="shared" si="8"/>
        <v>0</v>
      </c>
      <c r="U84" s="43">
        <f>SUM(G84:T84)</f>
        <v>79.684599999999989</v>
      </c>
    </row>
    <row r="85" spans="1:256" x14ac:dyDescent="0.25">
      <c r="G85" s="40"/>
      <c r="H85" s="40"/>
      <c r="I85" s="40"/>
      <c r="J85" s="40"/>
      <c r="K85" s="46" t="s">
        <v>162</v>
      </c>
      <c r="L85" s="54">
        <f>SUM(G84,H84,I84,J84,K84,L84)</f>
        <v>3.7284999999999995</v>
      </c>
      <c r="M85" s="40"/>
      <c r="N85" s="40"/>
      <c r="O85" s="40"/>
      <c r="P85" s="40"/>
      <c r="Q85" s="40"/>
      <c r="R85" s="46" t="s">
        <v>161</v>
      </c>
      <c r="S85" s="54">
        <f>R84+S84+T84</f>
        <v>45.4497</v>
      </c>
      <c r="T85" s="40"/>
    </row>
    <row r="86" spans="1:256" x14ac:dyDescent="0.25">
      <c r="A86" t="s">
        <v>157</v>
      </c>
      <c r="G86" s="43">
        <f t="shared" ref="G86:T86" si="9">SUM(G77,G78,G82)/1000</f>
        <v>0.12720000000000001</v>
      </c>
      <c r="H86" s="43">
        <f t="shared" si="9"/>
        <v>0.14709999999999998</v>
      </c>
      <c r="I86" s="43">
        <f t="shared" si="9"/>
        <v>0.71539999999999992</v>
      </c>
      <c r="J86" s="43">
        <f t="shared" si="9"/>
        <v>2.0394999999999999</v>
      </c>
      <c r="K86" s="43">
        <f t="shared" si="9"/>
        <v>1.9031</v>
      </c>
      <c r="L86" s="43">
        <f t="shared" si="9"/>
        <v>3.5958000000000001</v>
      </c>
      <c r="M86" s="43">
        <f t="shared" si="9"/>
        <v>4.9458000000000002</v>
      </c>
      <c r="N86" s="43">
        <f t="shared" si="9"/>
        <v>5.7156000000000002</v>
      </c>
      <c r="O86" s="43">
        <f t="shared" si="9"/>
        <v>8.0821000000000005</v>
      </c>
      <c r="P86" s="43">
        <f t="shared" si="9"/>
        <v>8.5832000000000015</v>
      </c>
      <c r="Q86" s="43">
        <f t="shared" si="9"/>
        <v>10.866200000000001</v>
      </c>
      <c r="R86" s="43">
        <f t="shared" si="9"/>
        <v>5.5958999999999994</v>
      </c>
      <c r="S86" s="43">
        <f t="shared" si="9"/>
        <v>12.984</v>
      </c>
      <c r="T86" s="43">
        <f t="shared" si="9"/>
        <v>0</v>
      </c>
      <c r="U86" s="43">
        <f>SUM(G86:T86)</f>
        <v>65.300899999999999</v>
      </c>
    </row>
    <row r="87" spans="1:256" x14ac:dyDescent="0.25">
      <c r="G87" s="40"/>
      <c r="H87" s="40"/>
      <c r="I87" s="40"/>
      <c r="J87" s="40"/>
      <c r="K87" s="46" t="s">
        <v>162</v>
      </c>
      <c r="L87" s="54">
        <f>SUM(G86,H86,I86,J86,K86,L86)</f>
        <v>8.5281000000000002</v>
      </c>
      <c r="M87" s="40"/>
      <c r="N87" s="40"/>
      <c r="O87" s="40"/>
      <c r="P87" s="40"/>
      <c r="Q87" s="40"/>
      <c r="R87" s="46" t="s">
        <v>161</v>
      </c>
      <c r="S87" s="54">
        <f>R86+S86+T86</f>
        <v>18.579899999999999</v>
      </c>
      <c r="T87" s="40"/>
    </row>
    <row r="88" spans="1:256" x14ac:dyDescent="0.25">
      <c r="F88" s="71" t="s">
        <v>22</v>
      </c>
      <c r="G88" s="72">
        <f>G84/U84</f>
        <v>7.9814669333848711E-4</v>
      </c>
      <c r="H88" s="72">
        <f>(H84+G84)/U84</f>
        <v>1.8949709228633894E-3</v>
      </c>
      <c r="I88" s="72">
        <f>(I84+H84+G84)/U84</f>
        <v>6.3299558509423409E-3</v>
      </c>
      <c r="J88" s="72">
        <f>(J84+I84+H84+G84)/U84</f>
        <v>1.7029639353149797E-2</v>
      </c>
      <c r="K88" s="72">
        <f>(K84+J84+I84+H84+G84)/U84</f>
        <v>2.7631436940136499E-2</v>
      </c>
      <c r="L88" s="72">
        <f>(L84+K84+J84+I84+H84+G84)/U84</f>
        <v>4.679072242315329E-2</v>
      </c>
      <c r="M88" s="72">
        <f>(M84+L84+K84+J84+I84+H84+G84)/U84</f>
        <v>7.2494559802019465E-2</v>
      </c>
      <c r="N88" s="72">
        <f>(N84+M84+L84+K84+J84+I84+H84+G84)/U84</f>
        <v>0.10089276974471854</v>
      </c>
      <c r="O88" s="72">
        <f>(O84+N84+M84+L84+K84+J84+I84+H84+G84)/U84</f>
        <v>0.14901875644729345</v>
      </c>
      <c r="P88" s="72">
        <f>(P84+O84+N84+M84+L84+K84+J84+I84+H84+G84)/U84</f>
        <v>0.22514011490300509</v>
      </c>
      <c r="Q88" s="72">
        <f>(Q84+P84+O84+N84+M84+L84+K84+J84+I84+H84+G84)/U84</f>
        <v>0.42963006653732361</v>
      </c>
      <c r="R88" s="72">
        <f>(R84+Q84+P84+O84+N84+M84+L84+K84+J84+I84+H84+G84)/U84</f>
        <v>0.67838202111825885</v>
      </c>
      <c r="S88" s="72">
        <f>(S84+R84+Q84+P84+O84+N84+M84+L84+K84+J84+I84+H84+G84)/U84</f>
        <v>1.0000000000000002</v>
      </c>
      <c r="T88" s="72">
        <f>(T84+S84+R84+Q84+P84+O84+N84+M84+L84+K84+J84+I84+H84+G84)/U84</f>
        <v>1.0000000000000002</v>
      </c>
    </row>
    <row r="89" spans="1:256" x14ac:dyDescent="0.25">
      <c r="T89" s="73" t="s">
        <v>170</v>
      </c>
      <c r="U89" s="133">
        <f>2.71828182845905^((LOG($R$10,2.71828182845905)-LOG($Q$10,2.71828182845905))*(0.5-Q88)/(R88-Q88)+LOG($Q$10,2.71828182845905))</f>
        <v>38.932200421496198</v>
      </c>
    </row>
    <row r="90" spans="1:256" x14ac:dyDescent="0.25">
      <c r="F90" s="71" t="s">
        <v>21</v>
      </c>
      <c r="G90" s="72">
        <f>G86/U86</f>
        <v>1.9479057715896719E-3</v>
      </c>
      <c r="H90" s="72">
        <f>(H86+G86)/U86</f>
        <v>4.2005546631057149E-3</v>
      </c>
      <c r="I90" s="72">
        <f>(I86+H86+G86)/U86</f>
        <v>1.5155993255835677E-2</v>
      </c>
      <c r="J90" s="72">
        <f>(J86+I86+H86+G86)/U86</f>
        <v>4.6388334617133917E-2</v>
      </c>
      <c r="K90" s="72">
        <f>(K86+J86+I86+H86+G86)/U86</f>
        <v>7.5531883940343852E-2</v>
      </c>
      <c r="L90" s="72">
        <f>(L86+K86+J86+I86+H86+G86)/U86</f>
        <v>0.13059697492683869</v>
      </c>
      <c r="M90" s="72">
        <f>(M86+L86+K86+J86+I86+H86+G86)/U86</f>
        <v>0.20633559414954469</v>
      </c>
      <c r="N90" s="72">
        <f>(N86+M86+L86+K86+J86+I86+H86+G86)/U86</f>
        <v>0.29386271858427671</v>
      </c>
      <c r="O90" s="72">
        <f>(O86+N86+M86+L86+K86+J86+I86+H86+G86)/U86</f>
        <v>0.41762977233085602</v>
      </c>
      <c r="P90" s="72">
        <f>(P86+O86+N86+M86+L86+K86+J86+I86+H86+G86)/U86</f>
        <v>0.54907053348422463</v>
      </c>
      <c r="Q90" s="72">
        <f>(Q86+P86+O86+N86+M86+L86+K86+J86+I86+H86+G86)/U86</f>
        <v>0.71547252794371907</v>
      </c>
      <c r="R90" s="72">
        <f>(R86+Q86+P86+O86+N86+M86+L86+K86+J86+I86+H86+G86)/U86</f>
        <v>0.80116659954150715</v>
      </c>
      <c r="S90" s="72">
        <f>(S86+R86+Q86+P86+O86+N86+M86+L86+K86+J86+I86+H86+G86)/U86</f>
        <v>1</v>
      </c>
      <c r="T90" s="72">
        <f>(T86+S86+R86+Q86+P86+O86+N86+M86+L86+K86+J86+I86+H86+G86)/U86</f>
        <v>1</v>
      </c>
      <c r="U90" s="67"/>
    </row>
    <row r="91" spans="1:256" x14ac:dyDescent="0.25">
      <c r="T91" s="70" t="s">
        <v>170</v>
      </c>
      <c r="U91" s="133">
        <f>2.71828182845905^((LOG($P$10,2.71828182845905)-LOG($O$10,2.71828182845905))*(0.5-O90)/(P90-O90)+LOG($O$10,2.71828182845905))</f>
        <v>12.351992448749405</v>
      </c>
    </row>
    <row r="92" spans="1:256" ht="15.75" thickBot="1" x14ac:dyDescent="0.3"/>
    <row r="93" spans="1:256" s="39" customFormat="1" ht="57" customHeight="1" thickTop="1" thickBot="1" x14ac:dyDescent="0.3">
      <c r="A93" s="35" t="s">
        <v>56</v>
      </c>
      <c r="B93" s="36" t="s">
        <v>120</v>
      </c>
      <c r="C93" s="37" t="s">
        <v>62</v>
      </c>
      <c r="D93" s="37" t="s">
        <v>121</v>
      </c>
      <c r="E93" s="35" t="s">
        <v>122</v>
      </c>
      <c r="F93" s="35" t="s">
        <v>123</v>
      </c>
      <c r="G93" s="35" t="s">
        <v>124</v>
      </c>
      <c r="H93" s="35" t="s">
        <v>125</v>
      </c>
      <c r="I93" s="35" t="s">
        <v>126</v>
      </c>
      <c r="J93" s="35" t="s">
        <v>127</v>
      </c>
      <c r="K93" s="35" t="s">
        <v>128</v>
      </c>
      <c r="L93" s="35" t="s">
        <v>129</v>
      </c>
      <c r="M93" s="35" t="s">
        <v>130</v>
      </c>
      <c r="N93" s="35" t="s">
        <v>131</v>
      </c>
      <c r="O93" s="35" t="s">
        <v>132</v>
      </c>
      <c r="P93" s="35" t="s">
        <v>133</v>
      </c>
      <c r="Q93" s="35" t="s">
        <v>134</v>
      </c>
      <c r="R93" s="35" t="s">
        <v>135</v>
      </c>
      <c r="S93" s="35" t="s">
        <v>136</v>
      </c>
      <c r="T93" s="35" t="s">
        <v>137</v>
      </c>
      <c r="U93" s="35" t="s">
        <v>138</v>
      </c>
      <c r="V93" s="35" t="s">
        <v>139</v>
      </c>
      <c r="W93" s="35" t="s">
        <v>140</v>
      </c>
      <c r="X93" s="35" t="s">
        <v>141</v>
      </c>
      <c r="Y93" s="35" t="s">
        <v>142</v>
      </c>
      <c r="Z93" s="38"/>
      <c r="AA93" s="38"/>
      <c r="AB93" s="38"/>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row>
    <row r="94" spans="1:256" s="128" customFormat="1" ht="15.75" thickTop="1" x14ac:dyDescent="0.25">
      <c r="A94" s="30" t="s">
        <v>168</v>
      </c>
      <c r="B94" s="31">
        <v>1</v>
      </c>
      <c r="C94" s="32">
        <v>35304</v>
      </c>
      <c r="D94" s="31" t="s">
        <v>118</v>
      </c>
      <c r="E94" s="31">
        <v>1</v>
      </c>
      <c r="F94" s="31" t="s">
        <v>117</v>
      </c>
      <c r="G94" s="51">
        <v>14</v>
      </c>
      <c r="H94" s="51">
        <v>8</v>
      </c>
      <c r="I94" s="51">
        <v>33</v>
      </c>
      <c r="J94" s="51">
        <v>175</v>
      </c>
      <c r="K94" s="51">
        <v>68</v>
      </c>
      <c r="L94" s="51">
        <v>74</v>
      </c>
      <c r="M94" s="51">
        <v>127</v>
      </c>
      <c r="N94" s="51">
        <v>272</v>
      </c>
      <c r="O94" s="51">
        <v>827</v>
      </c>
      <c r="P94" s="51">
        <v>3404</v>
      </c>
      <c r="Q94" s="51">
        <v>4073</v>
      </c>
      <c r="R94" s="51"/>
      <c r="S94" s="51"/>
      <c r="T94" s="51"/>
    </row>
    <row r="95" spans="1:256" s="128" customFormat="1" x14ac:dyDescent="0.25">
      <c r="A95" s="30" t="s">
        <v>168</v>
      </c>
      <c r="B95" s="31">
        <v>2</v>
      </c>
      <c r="C95" s="32">
        <v>35304</v>
      </c>
      <c r="D95" s="31" t="s">
        <v>118</v>
      </c>
      <c r="E95" s="31">
        <v>2</v>
      </c>
      <c r="F95" s="31" t="s">
        <v>117</v>
      </c>
      <c r="G95" s="52">
        <v>9.3186999999999998</v>
      </c>
      <c r="H95" s="52">
        <v>2.8974000000000002</v>
      </c>
      <c r="I95" s="52">
        <v>5.5369999999999999</v>
      </c>
      <c r="J95" s="52">
        <v>16.774999999999999</v>
      </c>
      <c r="K95" s="52">
        <v>10.6546</v>
      </c>
      <c r="L95" s="51">
        <v>42</v>
      </c>
      <c r="M95" s="51">
        <v>111</v>
      </c>
      <c r="N95" s="51">
        <v>272</v>
      </c>
      <c r="O95" s="51">
        <v>745</v>
      </c>
      <c r="P95" s="51">
        <v>2662</v>
      </c>
      <c r="Q95" s="51">
        <v>5393</v>
      </c>
      <c r="R95" s="51"/>
      <c r="S95" s="51"/>
      <c r="T95" s="51"/>
    </row>
    <row r="96" spans="1:256" s="128" customFormat="1" x14ac:dyDescent="0.25">
      <c r="A96" s="27" t="s">
        <v>168</v>
      </c>
      <c r="B96" s="23">
        <v>1</v>
      </c>
      <c r="C96" s="28">
        <v>35304</v>
      </c>
      <c r="D96" s="23" t="s">
        <v>116</v>
      </c>
      <c r="E96" s="23">
        <v>1</v>
      </c>
      <c r="F96" s="23" t="s">
        <v>117</v>
      </c>
      <c r="G96" s="47">
        <v>39.520200000000003</v>
      </c>
      <c r="H96" s="47">
        <v>34.026800000000001</v>
      </c>
      <c r="I96" s="38">
        <v>248</v>
      </c>
      <c r="J96" s="38">
        <v>1207</v>
      </c>
      <c r="K96" s="38">
        <v>486</v>
      </c>
      <c r="L96" s="38">
        <v>567</v>
      </c>
      <c r="M96" s="38">
        <v>1041</v>
      </c>
      <c r="N96" s="38">
        <v>1530</v>
      </c>
      <c r="O96" s="38">
        <v>2044</v>
      </c>
      <c r="P96" s="38">
        <v>3044</v>
      </c>
      <c r="Q96" s="38">
        <v>1461</v>
      </c>
      <c r="R96" s="38"/>
      <c r="S96" s="38"/>
      <c r="T96" s="38"/>
    </row>
    <row r="97" spans="1:21" s="128" customFormat="1" x14ac:dyDescent="0.25">
      <c r="A97" s="27" t="s">
        <v>168</v>
      </c>
      <c r="B97" s="23">
        <v>2</v>
      </c>
      <c r="C97" s="28">
        <v>35304</v>
      </c>
      <c r="D97" s="23" t="s">
        <v>116</v>
      </c>
      <c r="E97" s="23">
        <v>2</v>
      </c>
      <c r="F97" s="23" t="s">
        <v>117</v>
      </c>
      <c r="G97" s="38">
        <v>35</v>
      </c>
      <c r="H97" s="38">
        <v>31</v>
      </c>
      <c r="I97" s="38">
        <v>160</v>
      </c>
      <c r="J97" s="38">
        <v>638</v>
      </c>
      <c r="K97" s="38">
        <v>290</v>
      </c>
      <c r="L97" s="38">
        <v>777</v>
      </c>
      <c r="M97" s="38">
        <v>1398</v>
      </c>
      <c r="N97" s="38">
        <v>1809</v>
      </c>
      <c r="O97" s="38">
        <v>2576</v>
      </c>
      <c r="P97" s="38">
        <v>3343</v>
      </c>
      <c r="Q97" s="38">
        <v>692</v>
      </c>
      <c r="R97" s="38"/>
      <c r="S97" s="38"/>
      <c r="T97" s="38"/>
    </row>
    <row r="98" spans="1:21" s="128" customFormat="1" x14ac:dyDescent="0.25">
      <c r="A98" s="30" t="s">
        <v>168</v>
      </c>
      <c r="B98" s="31">
        <v>3</v>
      </c>
      <c r="C98" s="32">
        <v>35692</v>
      </c>
      <c r="D98" s="61" t="s">
        <v>118</v>
      </c>
      <c r="E98" s="31">
        <v>1</v>
      </c>
      <c r="F98" s="31" t="s">
        <v>118</v>
      </c>
      <c r="G98" s="33">
        <v>9.6999999999999993</v>
      </c>
      <c r="H98" s="33">
        <v>9.9</v>
      </c>
      <c r="I98" s="33">
        <v>32.799999999999997</v>
      </c>
      <c r="J98" s="33">
        <v>162.9</v>
      </c>
      <c r="K98" s="33">
        <v>156.30000000000001</v>
      </c>
      <c r="L98" s="33">
        <v>210.2</v>
      </c>
      <c r="M98" s="33">
        <v>294.8</v>
      </c>
      <c r="N98" s="33">
        <v>451</v>
      </c>
      <c r="O98" s="33">
        <v>913.1</v>
      </c>
      <c r="P98" s="33">
        <v>2844.4</v>
      </c>
      <c r="Q98" s="33">
        <v>3962.9</v>
      </c>
      <c r="R98" s="33">
        <v>2490</v>
      </c>
      <c r="S98" s="33">
        <v>8430</v>
      </c>
      <c r="T98" s="33">
        <v>0</v>
      </c>
    </row>
    <row r="99" spans="1:21" s="128" customFormat="1" x14ac:dyDescent="0.25">
      <c r="A99" s="30" t="s">
        <v>168</v>
      </c>
      <c r="B99" s="31">
        <v>3</v>
      </c>
      <c r="C99" s="32">
        <v>35692</v>
      </c>
      <c r="D99" s="61" t="s">
        <v>118</v>
      </c>
      <c r="E99" s="31">
        <v>2</v>
      </c>
      <c r="F99" s="31" t="s">
        <v>118</v>
      </c>
      <c r="G99" s="33">
        <v>19.600000000000001</v>
      </c>
      <c r="H99" s="33">
        <v>16.899999999999999</v>
      </c>
      <c r="I99" s="33">
        <v>83.6</v>
      </c>
      <c r="J99" s="33">
        <v>491.7</v>
      </c>
      <c r="K99" s="33">
        <v>545.4</v>
      </c>
      <c r="L99" s="33">
        <v>750.7</v>
      </c>
      <c r="M99" s="33">
        <v>1013.1</v>
      </c>
      <c r="N99" s="33">
        <v>1287.4000000000001</v>
      </c>
      <c r="O99" s="33">
        <v>1513.5</v>
      </c>
      <c r="P99" s="33">
        <v>2428.5</v>
      </c>
      <c r="Q99" s="33">
        <v>1210.8</v>
      </c>
      <c r="R99" s="33">
        <v>388.2</v>
      </c>
      <c r="S99" s="33">
        <v>0</v>
      </c>
      <c r="T99" s="33">
        <v>0</v>
      </c>
    </row>
    <row r="100" spans="1:21" s="128" customFormat="1" x14ac:dyDescent="0.25">
      <c r="A100" s="27" t="s">
        <v>168</v>
      </c>
      <c r="B100" s="23">
        <v>3</v>
      </c>
      <c r="C100" s="28">
        <v>35692</v>
      </c>
      <c r="D100" s="59" t="s">
        <v>116</v>
      </c>
      <c r="E100" s="23">
        <v>1</v>
      </c>
      <c r="F100" s="23" t="s">
        <v>118</v>
      </c>
      <c r="G100" s="55">
        <v>70.900000000000006</v>
      </c>
      <c r="H100" s="55">
        <v>78.900000000000006</v>
      </c>
      <c r="I100" s="55">
        <v>347.5</v>
      </c>
      <c r="J100" s="55">
        <v>1660.8</v>
      </c>
      <c r="K100" s="55">
        <v>1546.2</v>
      </c>
      <c r="L100" s="55">
        <v>1949.8</v>
      </c>
      <c r="M100" s="55">
        <v>2483.9</v>
      </c>
      <c r="N100" s="55">
        <v>2655.5</v>
      </c>
      <c r="O100" s="55">
        <v>3101.5</v>
      </c>
      <c r="P100" s="55">
        <v>4637.5</v>
      </c>
      <c r="Q100" s="55">
        <v>4877.3999999999996</v>
      </c>
      <c r="R100" s="55">
        <v>2560</v>
      </c>
      <c r="S100" s="56"/>
      <c r="T100" s="56"/>
    </row>
    <row r="101" spans="1:21" s="128" customFormat="1" x14ac:dyDescent="0.25">
      <c r="A101" s="27" t="s">
        <v>168</v>
      </c>
      <c r="B101" s="23">
        <v>3</v>
      </c>
      <c r="C101" s="28">
        <v>35692</v>
      </c>
      <c r="D101" s="59" t="s">
        <v>116</v>
      </c>
      <c r="E101" s="23">
        <v>2</v>
      </c>
      <c r="F101" s="23" t="s">
        <v>118</v>
      </c>
      <c r="G101" s="55">
        <v>62.699999999999996</v>
      </c>
      <c r="H101" s="55">
        <v>66.7</v>
      </c>
      <c r="I101" s="55">
        <v>410.9</v>
      </c>
      <c r="J101" s="55">
        <v>2196.9</v>
      </c>
      <c r="K101" s="55">
        <v>1950.1</v>
      </c>
      <c r="L101" s="55">
        <v>2426.6</v>
      </c>
      <c r="M101" s="55">
        <v>2976.2</v>
      </c>
      <c r="N101" s="55">
        <v>3139.7000000000003</v>
      </c>
      <c r="O101" s="55">
        <v>3738.5</v>
      </c>
      <c r="P101" s="55">
        <v>5932.9</v>
      </c>
      <c r="Q101" s="55">
        <v>6341.3</v>
      </c>
      <c r="R101" s="55">
        <v>1647.8</v>
      </c>
      <c r="S101" s="56"/>
      <c r="T101" s="56"/>
    </row>
    <row r="102" spans="1:21" s="128" customFormat="1" x14ac:dyDescent="0.25">
      <c r="A102" s="30" t="s">
        <v>168</v>
      </c>
      <c r="B102" s="31">
        <v>4</v>
      </c>
      <c r="C102" s="32">
        <v>35692</v>
      </c>
      <c r="D102" s="61" t="s">
        <v>118</v>
      </c>
      <c r="E102" s="31"/>
      <c r="F102" s="31" t="s">
        <v>160</v>
      </c>
      <c r="G102" s="33">
        <v>9.6999999999999993</v>
      </c>
      <c r="H102" s="33">
        <v>9.9</v>
      </c>
      <c r="I102" s="33">
        <v>32.799999999999997</v>
      </c>
      <c r="J102" s="33">
        <v>162.9</v>
      </c>
      <c r="K102" s="33">
        <v>156.30000000000001</v>
      </c>
      <c r="L102" s="33">
        <v>210.2</v>
      </c>
      <c r="M102" s="33">
        <v>294.8</v>
      </c>
      <c r="N102" s="33">
        <v>451</v>
      </c>
      <c r="O102" s="33">
        <v>913.1</v>
      </c>
      <c r="P102" s="33">
        <v>2844.4</v>
      </c>
      <c r="Q102" s="33">
        <v>3962.9</v>
      </c>
      <c r="R102" s="33">
        <v>2490</v>
      </c>
      <c r="S102" s="33">
        <v>8430</v>
      </c>
      <c r="T102" s="33">
        <v>0</v>
      </c>
    </row>
    <row r="103" spans="1:21" s="128" customFormat="1" x14ac:dyDescent="0.25">
      <c r="A103" s="27" t="s">
        <v>168</v>
      </c>
      <c r="B103" s="23">
        <v>4</v>
      </c>
      <c r="C103" s="28">
        <v>35692</v>
      </c>
      <c r="D103" s="59" t="s">
        <v>116</v>
      </c>
      <c r="E103" s="23"/>
      <c r="F103" s="23" t="s">
        <v>160</v>
      </c>
      <c r="G103" s="29">
        <v>19.600000000000001</v>
      </c>
      <c r="H103" s="29">
        <v>16.899999999999999</v>
      </c>
      <c r="I103" s="29">
        <v>83.6</v>
      </c>
      <c r="J103" s="29">
        <v>491.7</v>
      </c>
      <c r="K103" s="29">
        <v>545.4</v>
      </c>
      <c r="L103" s="29">
        <v>750.7</v>
      </c>
      <c r="M103" s="29">
        <v>1013.1</v>
      </c>
      <c r="N103" s="29">
        <v>1287.4000000000001</v>
      </c>
      <c r="O103" s="29">
        <v>1513.5</v>
      </c>
      <c r="P103" s="29">
        <v>2428.5</v>
      </c>
      <c r="Q103" s="29">
        <v>1210.8</v>
      </c>
      <c r="R103" s="29">
        <v>388.2</v>
      </c>
      <c r="S103" s="29">
        <v>0</v>
      </c>
      <c r="T103" s="29">
        <v>0</v>
      </c>
    </row>
    <row r="104" spans="1:21" s="128" customFormat="1" x14ac:dyDescent="0.25">
      <c r="A104" s="30" t="s">
        <v>168</v>
      </c>
      <c r="B104" s="31">
        <v>5</v>
      </c>
      <c r="C104" s="32">
        <v>35692</v>
      </c>
      <c r="D104" s="61" t="s">
        <v>118</v>
      </c>
      <c r="E104" s="31"/>
      <c r="F104" s="31" t="s">
        <v>117</v>
      </c>
      <c r="G104" s="33">
        <v>100.2</v>
      </c>
      <c r="H104" s="33">
        <v>105.7</v>
      </c>
      <c r="I104" s="33">
        <v>463.9</v>
      </c>
      <c r="J104" s="33">
        <v>2315.4</v>
      </c>
      <c r="K104" s="33">
        <v>2247.9</v>
      </c>
      <c r="L104" s="33">
        <v>2910.7</v>
      </c>
      <c r="M104" s="33">
        <v>3791.8</v>
      </c>
      <c r="N104" s="33">
        <v>4393.8999999999996</v>
      </c>
      <c r="O104" s="33">
        <v>5528.1</v>
      </c>
      <c r="P104" s="33">
        <v>9910.4</v>
      </c>
      <c r="Q104" s="33">
        <v>10051.099999999999</v>
      </c>
      <c r="R104" s="33">
        <v>5438.2</v>
      </c>
      <c r="S104" s="33">
        <v>8430</v>
      </c>
      <c r="T104" s="33">
        <v>0</v>
      </c>
    </row>
    <row r="105" spans="1:21" s="128" customFormat="1" x14ac:dyDescent="0.25">
      <c r="A105" s="27" t="s">
        <v>168</v>
      </c>
      <c r="B105" s="23">
        <v>5</v>
      </c>
      <c r="C105" s="28">
        <v>35692</v>
      </c>
      <c r="D105" s="59" t="s">
        <v>116</v>
      </c>
      <c r="E105" s="23"/>
      <c r="F105" s="23" t="s">
        <v>117</v>
      </c>
      <c r="G105" s="29">
        <v>62.699999999999996</v>
      </c>
      <c r="H105" s="29">
        <v>66.7</v>
      </c>
      <c r="I105" s="29">
        <v>410.9</v>
      </c>
      <c r="J105" s="29">
        <v>2196.9</v>
      </c>
      <c r="K105" s="29">
        <v>1950.1</v>
      </c>
      <c r="L105" s="29">
        <v>2426.6</v>
      </c>
      <c r="M105" s="29">
        <v>2976.2</v>
      </c>
      <c r="N105" s="29">
        <v>3139.7000000000003</v>
      </c>
      <c r="O105" s="29">
        <v>3738.5</v>
      </c>
      <c r="P105" s="29">
        <v>5932.9</v>
      </c>
      <c r="Q105" s="29">
        <v>6341.3</v>
      </c>
      <c r="R105" s="29">
        <v>1647.8</v>
      </c>
      <c r="S105" s="29">
        <v>0</v>
      </c>
      <c r="T105" s="29">
        <v>0</v>
      </c>
    </row>
    <row r="106" spans="1:21" s="128" customFormat="1" x14ac:dyDescent="0.25">
      <c r="A106" s="30" t="s">
        <v>168</v>
      </c>
      <c r="B106" s="31">
        <v>6</v>
      </c>
      <c r="C106" s="32">
        <v>35692</v>
      </c>
      <c r="D106" s="61" t="s">
        <v>118</v>
      </c>
      <c r="E106" s="31"/>
      <c r="F106" s="31" t="s">
        <v>117</v>
      </c>
      <c r="G106" s="33">
        <v>29.3</v>
      </c>
      <c r="H106" s="33">
        <v>26.799999999999997</v>
      </c>
      <c r="I106" s="33">
        <v>116.39999999999999</v>
      </c>
      <c r="J106" s="33">
        <v>654.6</v>
      </c>
      <c r="K106" s="33">
        <v>701.7</v>
      </c>
      <c r="L106" s="33">
        <v>960.90000000000009</v>
      </c>
      <c r="M106" s="33">
        <v>1307.9000000000001</v>
      </c>
      <c r="N106" s="33">
        <v>1738.4</v>
      </c>
      <c r="O106" s="33">
        <v>2426.6</v>
      </c>
      <c r="P106" s="33">
        <v>5272.9</v>
      </c>
      <c r="Q106" s="33">
        <v>5173.7</v>
      </c>
      <c r="R106" s="33">
        <v>2878.2</v>
      </c>
      <c r="S106" s="33">
        <v>8430</v>
      </c>
      <c r="T106" s="33">
        <v>0</v>
      </c>
    </row>
    <row r="107" spans="1:21" s="128" customFormat="1" x14ac:dyDescent="0.25">
      <c r="A107" s="27" t="s">
        <v>168</v>
      </c>
      <c r="B107" s="23">
        <v>6</v>
      </c>
      <c r="C107" s="28">
        <v>35692</v>
      </c>
      <c r="D107" s="59" t="s">
        <v>116</v>
      </c>
      <c r="E107" s="23"/>
      <c r="F107" s="23" t="s">
        <v>117</v>
      </c>
      <c r="G107" s="29">
        <v>133.6</v>
      </c>
      <c r="H107" s="29">
        <v>145.60000000000002</v>
      </c>
      <c r="I107" s="29">
        <v>758.4</v>
      </c>
      <c r="J107" s="29">
        <v>3857.7</v>
      </c>
      <c r="K107" s="29">
        <v>3496.3</v>
      </c>
      <c r="L107" s="29">
        <v>4376.3999999999996</v>
      </c>
      <c r="M107" s="29">
        <v>5460.1</v>
      </c>
      <c r="N107" s="29">
        <v>5795.2000000000007</v>
      </c>
      <c r="O107" s="29">
        <v>6840</v>
      </c>
      <c r="P107" s="29">
        <v>10570.4</v>
      </c>
      <c r="Q107" s="29">
        <v>11218.7</v>
      </c>
      <c r="R107" s="29">
        <v>4207.8</v>
      </c>
      <c r="S107" s="29">
        <v>0</v>
      </c>
      <c r="T107" s="29">
        <v>0</v>
      </c>
    </row>
    <row r="108" spans="1:21" s="128" customFormat="1" x14ac:dyDescent="0.25">
      <c r="A108" s="30" t="s">
        <v>168</v>
      </c>
      <c r="B108" s="31">
        <v>7</v>
      </c>
      <c r="C108" s="62">
        <v>36068</v>
      </c>
      <c r="D108" s="31" t="s">
        <v>118</v>
      </c>
      <c r="E108" s="31">
        <v>1</v>
      </c>
      <c r="F108" s="31" t="s">
        <v>117</v>
      </c>
      <c r="G108" s="51">
        <v>525.79999999999995</v>
      </c>
      <c r="H108" s="33"/>
      <c r="I108" s="33"/>
      <c r="J108" s="33">
        <v>1924.6</v>
      </c>
      <c r="K108" s="33">
        <v>1077.5999999999999</v>
      </c>
      <c r="L108" s="33">
        <v>1231.5</v>
      </c>
      <c r="M108" s="33">
        <v>2274.3000000000002</v>
      </c>
      <c r="N108" s="33">
        <v>3024.1</v>
      </c>
      <c r="O108" s="33">
        <v>3806.3</v>
      </c>
      <c r="P108" s="33">
        <v>8539.7000000000007</v>
      </c>
      <c r="Q108" s="33">
        <v>10967.9</v>
      </c>
      <c r="R108" s="33">
        <v>3588.6</v>
      </c>
      <c r="S108" s="33">
        <v>0</v>
      </c>
      <c r="T108" s="33">
        <v>0</v>
      </c>
    </row>
    <row r="109" spans="1:21" ht="15.75" thickBot="1" x14ac:dyDescent="0.3">
      <c r="A109" s="27" t="s">
        <v>168</v>
      </c>
      <c r="B109" s="23">
        <v>7</v>
      </c>
      <c r="C109" s="60">
        <v>36068</v>
      </c>
      <c r="D109" s="23" t="s">
        <v>116</v>
      </c>
      <c r="E109" s="23">
        <v>1</v>
      </c>
      <c r="F109" s="23" t="s">
        <v>117</v>
      </c>
      <c r="G109" s="38">
        <v>679.09999999999991</v>
      </c>
      <c r="H109" s="29"/>
      <c r="I109" s="29"/>
      <c r="J109" s="29">
        <v>3220.5000000000005</v>
      </c>
      <c r="K109" s="29">
        <v>1981.6</v>
      </c>
      <c r="L109" s="29">
        <v>2311.5</v>
      </c>
      <c r="M109" s="29">
        <v>3734.8</v>
      </c>
      <c r="N109" s="29">
        <v>4368</v>
      </c>
      <c r="O109" s="29">
        <v>4521.8</v>
      </c>
      <c r="P109" s="29">
        <v>6637.5999999999995</v>
      </c>
      <c r="Q109" s="29">
        <v>9173.6</v>
      </c>
      <c r="R109" s="29">
        <v>961.2</v>
      </c>
      <c r="S109" s="29">
        <v>0</v>
      </c>
      <c r="T109" s="29">
        <v>0</v>
      </c>
    </row>
    <row r="110" spans="1:21" ht="52.5" thickTop="1" x14ac:dyDescent="0.25">
      <c r="G110" s="42" t="s">
        <v>143</v>
      </c>
      <c r="H110" s="42" t="s">
        <v>144</v>
      </c>
      <c r="I110" s="42" t="s">
        <v>145</v>
      </c>
      <c r="J110" s="42" t="s">
        <v>146</v>
      </c>
      <c r="K110" s="42" t="s">
        <v>147</v>
      </c>
      <c r="L110" s="42" t="s">
        <v>148</v>
      </c>
      <c r="M110" s="42" t="s">
        <v>149</v>
      </c>
      <c r="N110" s="42" t="s">
        <v>150</v>
      </c>
      <c r="O110" s="42" t="s">
        <v>151</v>
      </c>
      <c r="P110" s="42" t="s">
        <v>152</v>
      </c>
      <c r="Q110" s="42" t="s">
        <v>153</v>
      </c>
      <c r="R110" s="42" t="s">
        <v>154</v>
      </c>
      <c r="S110" s="42" t="s">
        <v>155</v>
      </c>
      <c r="T110" s="42" t="s">
        <v>156</v>
      </c>
    </row>
    <row r="111" spans="1:21" x14ac:dyDescent="0.25">
      <c r="A111" t="s">
        <v>119</v>
      </c>
      <c r="G111" s="43">
        <f t="shared" ref="G111:T111" si="10">SUM(G94,G95,G98,G99,G102,G104,G106,G108)/1000</f>
        <v>0.71761869999999994</v>
      </c>
      <c r="H111" s="43">
        <f t="shared" si="10"/>
        <v>0.18009739999999999</v>
      </c>
      <c r="I111" s="43">
        <f t="shared" si="10"/>
        <v>0.76803699999999997</v>
      </c>
      <c r="J111" s="43">
        <f t="shared" si="10"/>
        <v>5.9038750000000002</v>
      </c>
      <c r="K111" s="43">
        <f t="shared" si="10"/>
        <v>4.9638546000000003</v>
      </c>
      <c r="L111" s="43">
        <f t="shared" si="10"/>
        <v>6.390200000000001</v>
      </c>
      <c r="M111" s="43">
        <f t="shared" si="10"/>
        <v>9.2147000000000006</v>
      </c>
      <c r="N111" s="43">
        <f t="shared" si="10"/>
        <v>11.889799999999999</v>
      </c>
      <c r="O111" s="43">
        <f t="shared" si="10"/>
        <v>16.672699999999999</v>
      </c>
      <c r="P111" s="43">
        <f t="shared" si="10"/>
        <v>37.906300000000002</v>
      </c>
      <c r="Q111" s="43">
        <f t="shared" si="10"/>
        <v>44.795299999999997</v>
      </c>
      <c r="R111" s="43">
        <f t="shared" si="10"/>
        <v>17.273199999999996</v>
      </c>
      <c r="S111" s="43">
        <f t="shared" si="10"/>
        <v>33.72</v>
      </c>
      <c r="T111" s="43">
        <f t="shared" si="10"/>
        <v>0</v>
      </c>
      <c r="U111" s="43">
        <f>SUM(G111:T111)</f>
        <v>190.39568270000001</v>
      </c>
    </row>
    <row r="112" spans="1:21" x14ac:dyDescent="0.25">
      <c r="G112" s="40"/>
      <c r="H112" s="40"/>
      <c r="I112" s="40"/>
      <c r="J112" s="40"/>
      <c r="K112" s="46" t="s">
        <v>162</v>
      </c>
      <c r="L112" s="54">
        <f>SUM(G111,H111,I111,J111,K111,L111)</f>
        <v>18.923682700000001</v>
      </c>
      <c r="M112" s="40"/>
      <c r="N112" s="40"/>
      <c r="O112" s="40"/>
      <c r="P112" s="40"/>
      <c r="Q112" s="40"/>
      <c r="R112" s="46" t="s">
        <v>161</v>
      </c>
      <c r="S112" s="54">
        <f>R111+S111+T111</f>
        <v>50.993199999999995</v>
      </c>
      <c r="T112" s="40"/>
    </row>
    <row r="113" spans="1:256" x14ac:dyDescent="0.25">
      <c r="A113" t="s">
        <v>157</v>
      </c>
      <c r="G113" s="43">
        <f t="shared" ref="G113:T113" si="11">SUM(G96,G97,G100,G101,G103,G105,G107,G109)/1000</f>
        <v>1.1031201999999998</v>
      </c>
      <c r="H113" s="43">
        <f t="shared" si="11"/>
        <v>0.43982680000000007</v>
      </c>
      <c r="I113" s="43">
        <f t="shared" si="11"/>
        <v>2.4193000000000002</v>
      </c>
      <c r="J113" s="43">
        <f t="shared" si="11"/>
        <v>15.4695</v>
      </c>
      <c r="K113" s="43">
        <f t="shared" si="11"/>
        <v>12.245699999999999</v>
      </c>
      <c r="L113" s="43">
        <f t="shared" si="11"/>
        <v>15.585599999999998</v>
      </c>
      <c r="M113" s="43">
        <f t="shared" si="11"/>
        <v>21.083299999999998</v>
      </c>
      <c r="N113" s="43">
        <f t="shared" si="11"/>
        <v>23.724499999999999</v>
      </c>
      <c r="O113" s="43">
        <f t="shared" si="11"/>
        <v>28.073799999999999</v>
      </c>
      <c r="P113" s="43">
        <f t="shared" si="11"/>
        <v>42.526800000000001</v>
      </c>
      <c r="Q113" s="43">
        <f t="shared" si="11"/>
        <v>41.316099999999999</v>
      </c>
      <c r="R113" s="43">
        <f t="shared" si="11"/>
        <v>11.412800000000001</v>
      </c>
      <c r="S113" s="43">
        <f t="shared" si="11"/>
        <v>0</v>
      </c>
      <c r="T113" s="43">
        <f t="shared" si="11"/>
        <v>0</v>
      </c>
      <c r="U113" s="43">
        <f>SUM(G113:T113)</f>
        <v>215.40034700000001</v>
      </c>
    </row>
    <row r="114" spans="1:256" x14ac:dyDescent="0.25">
      <c r="G114" s="40"/>
      <c r="H114" s="40"/>
      <c r="I114" s="40"/>
      <c r="J114" s="40"/>
      <c r="K114" s="46" t="s">
        <v>162</v>
      </c>
      <c r="L114" s="54">
        <f>SUM(G113,H113,I113,J113,K113,L113)</f>
        <v>47.263047</v>
      </c>
      <c r="M114" s="40"/>
      <c r="N114" s="40"/>
      <c r="O114" s="40"/>
      <c r="P114" s="40"/>
      <c r="Q114" s="40"/>
      <c r="R114" s="46" t="s">
        <v>161</v>
      </c>
      <c r="S114" s="54">
        <f>R113+S113+T113</f>
        <v>11.412800000000001</v>
      </c>
      <c r="T114" s="40"/>
    </row>
    <row r="115" spans="1:256" x14ac:dyDescent="0.25">
      <c r="F115" s="71" t="s">
        <v>22</v>
      </c>
      <c r="G115" s="72">
        <f>G111/U111</f>
        <v>3.769091241058902E-3</v>
      </c>
      <c r="H115" s="72">
        <f>(H111+G111)/U111</f>
        <v>4.7150023953773188E-3</v>
      </c>
      <c r="I115" s="72">
        <f>(I111+H111+G111)/U111</f>
        <v>8.7489016367281302E-3</v>
      </c>
      <c r="J115" s="72">
        <f>(J111+I111+H111+G111)/U111</f>
        <v>3.9757351598813329E-2</v>
      </c>
      <c r="K115" s="72">
        <f>(K111+J111+I111+H111+G111)/U111</f>
        <v>6.582860767777271E-2</v>
      </c>
      <c r="L115" s="72">
        <f>(L111+K111+J111+I111+H111+G111)/U111</f>
        <v>9.939134349919794E-2</v>
      </c>
      <c r="M115" s="72">
        <f>(M111+L111+K111+J111+I111+H111+G111)/U111</f>
        <v>0.14778897452384301</v>
      </c>
      <c r="N115" s="72">
        <f>(N111+M111+L111+K111+J111+I111+H111+G111)/U111</f>
        <v>0.21023681909358757</v>
      </c>
      <c r="O115" s="72">
        <f>(O111+N111+M111+L111+K111+J111+I111+H111+G111)/U111</f>
        <v>0.29780550638504577</v>
      </c>
      <c r="P115" s="72">
        <f>(P111+O111+N111+M111+L111+K111+J111+I111+H111+G111)/U111</f>
        <v>0.49689773086435651</v>
      </c>
      <c r="Q115" s="72">
        <f>(Q111+P111+O111+N111+M111+L111+K111+J111+I111+H111+G111)/U111</f>
        <v>0.73217249846810739</v>
      </c>
      <c r="R115" s="72">
        <f>(R111+Q111+P111+O111+N111+M111+L111+K111+J111+I111+H111+G111)/U111</f>
        <v>0.82289514382985507</v>
      </c>
      <c r="S115" s="72">
        <f>(S111+R111+Q111+P111+O111+N111+M111+L111+K111+J111+I111+H111+G111)/U111</f>
        <v>0.99999999999999967</v>
      </c>
      <c r="T115" s="72">
        <f>(T111+S111+R111+Q111+P111+O111+N111+M111+L111+K111+J111+I111+H111+G111)/U111</f>
        <v>0.99999999999999967</v>
      </c>
    </row>
    <row r="116" spans="1:256" x14ac:dyDescent="0.25">
      <c r="T116" s="73" t="s">
        <v>170</v>
      </c>
      <c r="U116" s="133">
        <f>2.71828182845905^((LOG($Q$10,2.71828182845905)-LOG($P$10,2.71828182845905))*(0.5-P115)/(Q115-P115)+LOG($P$10,2.71828182845905))</f>
        <v>16.146904711327835</v>
      </c>
    </row>
    <row r="117" spans="1:256" x14ac:dyDescent="0.25">
      <c r="F117" s="71" t="s">
        <v>21</v>
      </c>
      <c r="G117" s="72">
        <f>G113/U113</f>
        <v>5.1212554453312917E-3</v>
      </c>
      <c r="H117" s="72">
        <f>(H113+G113)/U113</f>
        <v>7.1631593054026039E-3</v>
      </c>
      <c r="I117" s="72">
        <f>(I113+H113+G113)/U113</f>
        <v>1.839480323585551E-2</v>
      </c>
      <c r="J117" s="72">
        <f>(J113+I113+H113+G113)/U113</f>
        <v>9.0212236287623052E-2</v>
      </c>
      <c r="K117" s="72">
        <f>(K113+J113+I113+H113+G113)/U113</f>
        <v>0.14706311963369306</v>
      </c>
      <c r="L117" s="72">
        <f>(L113+K113+J113+I113+H113+G113)/U113</f>
        <v>0.21941954903164568</v>
      </c>
      <c r="M117" s="72">
        <f>(M113+L113+K113+J113+I113+H113+G113)/U113</f>
        <v>0.31729914994055236</v>
      </c>
      <c r="N117" s="72">
        <f>(N113+M113+L113+K113+J113+I113+H113+G113)/U113</f>
        <v>0.4274405695363156</v>
      </c>
      <c r="O117" s="72">
        <f>(O113+N113+M113+L113+K113+J113+I113+H113+G113)/U113</f>
        <v>0.55777369290867485</v>
      </c>
      <c r="P117" s="72">
        <f>(P113+O113+N113+M113+L113+K113+J113+I113+H113+G113)/U113</f>
        <v>0.75520512972989762</v>
      </c>
      <c r="Q117" s="72">
        <f>(Q113+P113+O113+N113+M113+L113+K113+J113+I113+H113+G113)/U113</f>
        <v>0.94701586994193654</v>
      </c>
      <c r="R117" s="72">
        <f>(R113+Q113+P113+O113+N113+M113+L113+K113+J113+I113+H113+G113)/U113</f>
        <v>1</v>
      </c>
      <c r="S117" s="72">
        <f>(S113+R113+Q113+P113+O113+N113+M113+L113+K113+J113+I113+H113+G113)/U113</f>
        <v>1</v>
      </c>
      <c r="T117" s="72">
        <f>(T113+S113+R113+Q113+P113+O113+N113+M113+L113+K113+J113+I113+H113+G113)/U113</f>
        <v>1</v>
      </c>
      <c r="U117" s="67"/>
    </row>
    <row r="118" spans="1:256" x14ac:dyDescent="0.25">
      <c r="T118" s="70" t="s">
        <v>170</v>
      </c>
      <c r="U118" s="133">
        <f>2.71828182845905^((LOG($O$10,2.71828182845905)-LOG($N$10,2.71828182845905))*(0.5-N117)/(O117-N117)+LOG($N$10,2.71828182845905))</f>
        <v>5.883696663387167</v>
      </c>
    </row>
    <row r="119" spans="1:256" x14ac:dyDescent="0.25">
      <c r="G119" s="40"/>
      <c r="H119" s="40"/>
      <c r="I119" s="40"/>
      <c r="J119" s="40"/>
      <c r="K119" s="49"/>
      <c r="L119" s="75"/>
      <c r="M119" s="40"/>
      <c r="N119" s="40"/>
      <c r="O119" s="40"/>
      <c r="P119" s="40"/>
      <c r="Q119" s="40"/>
      <c r="R119" s="49"/>
      <c r="S119" s="75"/>
      <c r="T119" s="40"/>
    </row>
    <row r="120" spans="1:256" ht="15.75" thickBot="1" x14ac:dyDescent="0.3"/>
    <row r="121" spans="1:256" s="39" customFormat="1" ht="57" customHeight="1" thickTop="1" thickBot="1" x14ac:dyDescent="0.3">
      <c r="A121" s="35" t="s">
        <v>56</v>
      </c>
      <c r="B121" s="36" t="s">
        <v>120</v>
      </c>
      <c r="C121" s="37" t="s">
        <v>62</v>
      </c>
      <c r="D121" s="37" t="s">
        <v>121</v>
      </c>
      <c r="E121" s="35" t="s">
        <v>122</v>
      </c>
      <c r="F121" s="35" t="s">
        <v>123</v>
      </c>
      <c r="G121" s="35" t="s">
        <v>124</v>
      </c>
      <c r="H121" s="35" t="s">
        <v>125</v>
      </c>
      <c r="I121" s="35" t="s">
        <v>126</v>
      </c>
      <c r="J121" s="35" t="s">
        <v>127</v>
      </c>
      <c r="K121" s="35" t="s">
        <v>128</v>
      </c>
      <c r="L121" s="35" t="s">
        <v>129</v>
      </c>
      <c r="M121" s="35" t="s">
        <v>130</v>
      </c>
      <c r="N121" s="35" t="s">
        <v>131</v>
      </c>
      <c r="O121" s="35" t="s">
        <v>132</v>
      </c>
      <c r="P121" s="35" t="s">
        <v>133</v>
      </c>
      <c r="Q121" s="35" t="s">
        <v>134</v>
      </c>
      <c r="R121" s="35" t="s">
        <v>135</v>
      </c>
      <c r="S121" s="35" t="s">
        <v>136</v>
      </c>
      <c r="T121" s="35" t="s">
        <v>137</v>
      </c>
      <c r="U121" s="35" t="s">
        <v>138</v>
      </c>
      <c r="V121" s="35" t="s">
        <v>139</v>
      </c>
      <c r="W121" s="35" t="s">
        <v>140</v>
      </c>
      <c r="X121" s="35" t="s">
        <v>141</v>
      </c>
      <c r="Y121" s="35" t="s">
        <v>142</v>
      </c>
      <c r="Z121" s="38"/>
      <c r="AA121" s="38"/>
      <c r="AB121" s="38"/>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row>
    <row r="122" spans="1:256" s="34" customFormat="1" ht="15.75" thickTop="1" x14ac:dyDescent="0.25">
      <c r="A122" s="30" t="s">
        <v>169</v>
      </c>
      <c r="B122" s="31">
        <v>1</v>
      </c>
      <c r="C122" s="32">
        <v>34282</v>
      </c>
      <c r="D122" s="31" t="s">
        <v>118</v>
      </c>
      <c r="E122" s="31"/>
      <c r="F122" s="31" t="s">
        <v>117</v>
      </c>
      <c r="G122" s="51"/>
      <c r="H122" s="51"/>
      <c r="I122" s="51">
        <f>18+9+19+7+3+8+9+4+7+2+5+4+35+13+22</f>
        <v>165</v>
      </c>
      <c r="J122" s="51">
        <f>92+41+33+14+151</f>
        <v>331</v>
      </c>
      <c r="K122" s="51">
        <f>30+296+143+146+71+462</f>
        <v>1148</v>
      </c>
      <c r="L122" s="51">
        <f>206+607+364+459+223+1084</f>
        <v>2943</v>
      </c>
      <c r="M122" s="51">
        <f>869+126+503+679+309+637+730</f>
        <v>3853</v>
      </c>
      <c r="N122" s="51">
        <f>715+143+477+584+287+608+616</f>
        <v>3430</v>
      </c>
      <c r="O122" s="51">
        <f>1007+642+752+351+706+641</f>
        <v>4099</v>
      </c>
      <c r="P122" s="51">
        <f>17+1431+756+1283+723+868+568</f>
        <v>5646</v>
      </c>
      <c r="Q122" s="51">
        <f>1873+1761+1140+4622+636+1780+1429+473</f>
        <v>13714</v>
      </c>
      <c r="R122" s="51">
        <f>1438+1592+3158+2547+3396+6048+460</f>
        <v>18639</v>
      </c>
      <c r="S122" s="51">
        <f>9634+6269+2394+2847</f>
        <v>21144</v>
      </c>
      <c r="T122" s="51">
        <v>0</v>
      </c>
    </row>
    <row r="123" spans="1:256" s="34" customFormat="1" x14ac:dyDescent="0.25">
      <c r="A123" s="30" t="s">
        <v>169</v>
      </c>
      <c r="B123" s="31">
        <v>2</v>
      </c>
      <c r="C123" s="32">
        <v>35721</v>
      </c>
      <c r="D123" s="31" t="s">
        <v>118</v>
      </c>
      <c r="E123" s="31"/>
      <c r="F123" s="31" t="s">
        <v>117</v>
      </c>
      <c r="G123" s="51">
        <f>8.7+6.5</f>
        <v>15.2</v>
      </c>
      <c r="H123" s="51">
        <f>5.7+3.5</f>
        <v>9.1999999999999993</v>
      </c>
      <c r="I123" s="51">
        <f>14.2+7.4</f>
        <v>21.6</v>
      </c>
      <c r="J123" s="51">
        <f>69+36.6</f>
        <v>105.6</v>
      </c>
      <c r="K123" s="51">
        <f>349.6+258.3</f>
        <v>607.90000000000009</v>
      </c>
      <c r="L123" s="51">
        <f>796+799.1</f>
        <v>1595.1</v>
      </c>
      <c r="M123" s="51">
        <f>1035.2+1299.4</f>
        <v>2334.6000000000004</v>
      </c>
      <c r="N123" s="51">
        <f>1131+1603.1</f>
        <v>2734.1</v>
      </c>
      <c r="O123" s="51">
        <f>2035.8+1449.6</f>
        <v>3485.3999999999996</v>
      </c>
      <c r="P123" s="51">
        <f>2011.7+2523.8</f>
        <v>4535.5</v>
      </c>
      <c r="Q123" s="51">
        <f>748.6+1546.3+74+165+141+109+165+255+64+259+177+336+316+153+134+88+124+266+366+286+199+321+86+95+227+109+136+286+244+184+151+69+36+93</f>
        <v>8008.9</v>
      </c>
      <c r="R123" s="51">
        <f>1715+596+659+609+1299+1139+717+262+399+2287+274+1120+492+560+460+394+671+666+883+805+458+542+530+1141+241+675+335+1360</f>
        <v>21289</v>
      </c>
      <c r="S123" s="51">
        <f>9135+24970+11185</f>
        <v>45290</v>
      </c>
      <c r="T123" s="51">
        <v>0</v>
      </c>
    </row>
    <row r="124" spans="1:256" ht="15.75" thickBot="1" x14ac:dyDescent="0.3">
      <c r="A124" s="27" t="s">
        <v>169</v>
      </c>
      <c r="B124" s="23">
        <v>2</v>
      </c>
      <c r="C124" s="28">
        <v>35721</v>
      </c>
      <c r="D124" s="23" t="s">
        <v>116</v>
      </c>
      <c r="E124" s="23"/>
      <c r="F124" s="23" t="s">
        <v>117</v>
      </c>
      <c r="G124" s="38">
        <f>12.2+5.7</f>
        <v>17.899999999999999</v>
      </c>
      <c r="H124" s="38">
        <f>2.2+4.2</f>
        <v>6.4</v>
      </c>
      <c r="I124" s="38">
        <f>14.8+6.9</f>
        <v>21.700000000000003</v>
      </c>
      <c r="J124" s="38">
        <f>69.9+38.6</f>
        <v>108.5</v>
      </c>
      <c r="K124" s="38">
        <f>337.6+175.9</f>
        <v>513.5</v>
      </c>
      <c r="L124" s="38">
        <f>792.4+390.4</f>
        <v>1182.8</v>
      </c>
      <c r="M124" s="38">
        <f>1116.7+533.3</f>
        <v>1650</v>
      </c>
      <c r="N124" s="38">
        <f>1280.4+680.7</f>
        <v>1961.1000000000001</v>
      </c>
      <c r="O124" s="38">
        <f>1568.7+927.2</f>
        <v>2495.9</v>
      </c>
      <c r="P124" s="38">
        <f>2455.2+1891.2</f>
        <v>4346.3999999999996</v>
      </c>
      <c r="Q124" s="38">
        <f>1918+2241.8+267+384+348+190+171+194</f>
        <v>5713.8</v>
      </c>
      <c r="R124" s="38">
        <f>1114+467+492</f>
        <v>2073</v>
      </c>
      <c r="S124" s="38">
        <f>2532+3100</f>
        <v>5632</v>
      </c>
      <c r="T124" s="38">
        <v>0</v>
      </c>
    </row>
    <row r="125" spans="1:256" ht="52.5" thickTop="1" x14ac:dyDescent="0.25">
      <c r="G125" s="42" t="s">
        <v>143</v>
      </c>
      <c r="H125" s="42" t="s">
        <v>144</v>
      </c>
      <c r="I125" s="42" t="s">
        <v>145</v>
      </c>
      <c r="J125" s="42" t="s">
        <v>146</v>
      </c>
      <c r="K125" s="42" t="s">
        <v>147</v>
      </c>
      <c r="L125" s="42" t="s">
        <v>148</v>
      </c>
      <c r="M125" s="42" t="s">
        <v>149</v>
      </c>
      <c r="N125" s="42" t="s">
        <v>150</v>
      </c>
      <c r="O125" s="42" t="s">
        <v>151</v>
      </c>
      <c r="P125" s="42" t="s">
        <v>152</v>
      </c>
      <c r="Q125" s="42" t="s">
        <v>153</v>
      </c>
      <c r="R125" s="42" t="s">
        <v>154</v>
      </c>
      <c r="S125" s="42" t="s">
        <v>155</v>
      </c>
      <c r="T125" s="42" t="s">
        <v>156</v>
      </c>
    </row>
    <row r="126" spans="1:256" x14ac:dyDescent="0.25">
      <c r="A126" t="s">
        <v>119</v>
      </c>
      <c r="G126" s="43">
        <f>AVERAGE(G122,G123)/1000</f>
        <v>1.52E-2</v>
      </c>
      <c r="H126" s="43">
        <f>AVERAGE(H122,H123)/1000</f>
        <v>9.1999999999999998E-3</v>
      </c>
      <c r="I126" s="43">
        <f>AVERAGE(I122,I123)/1000</f>
        <v>9.3299999999999994E-2</v>
      </c>
      <c r="J126" s="43">
        <f>AVERAGE(J122,J123)/1000</f>
        <v>0.21830000000000002</v>
      </c>
      <c r="K126" s="43">
        <f>AVERAGE(K122,K123)/1000</f>
        <v>0.87795000000000001</v>
      </c>
      <c r="L126" s="43">
        <f t="shared" ref="L126:T126" si="12">AVERAGE(L122,L123)/1000</f>
        <v>2.26905</v>
      </c>
      <c r="M126" s="43">
        <f>AVERAGE(M122,M123)/1000</f>
        <v>3.0938000000000003</v>
      </c>
      <c r="N126" s="43">
        <f t="shared" si="12"/>
        <v>3.0820500000000002</v>
      </c>
      <c r="O126" s="43">
        <f t="shared" si="12"/>
        <v>3.7921999999999998</v>
      </c>
      <c r="P126" s="43">
        <f t="shared" si="12"/>
        <v>5.0907499999999999</v>
      </c>
      <c r="Q126" s="43">
        <f t="shared" si="12"/>
        <v>10.861450000000001</v>
      </c>
      <c r="R126" s="43">
        <f t="shared" si="12"/>
        <v>19.963999999999999</v>
      </c>
      <c r="S126" s="43">
        <f t="shared" si="12"/>
        <v>33.216999999999999</v>
      </c>
      <c r="T126" s="43">
        <f t="shared" si="12"/>
        <v>0</v>
      </c>
      <c r="U126" s="43">
        <f>SUM(G126:T126)</f>
        <v>82.584249999999997</v>
      </c>
    </row>
    <row r="127" spans="1:256" x14ac:dyDescent="0.25">
      <c r="G127" s="40"/>
      <c r="H127" s="40"/>
      <c r="I127" s="40"/>
      <c r="J127" s="40"/>
      <c r="K127" s="46" t="s">
        <v>162</v>
      </c>
      <c r="L127" s="54">
        <f>SUM(G126,H126,I126,J126,K126,L126)</f>
        <v>3.4830000000000001</v>
      </c>
      <c r="M127" s="40"/>
      <c r="N127" s="40"/>
      <c r="O127" s="40"/>
      <c r="P127" s="40"/>
      <c r="Q127" s="40"/>
      <c r="R127" s="46" t="s">
        <v>161</v>
      </c>
      <c r="S127" s="54">
        <f>R126+S126+T126</f>
        <v>53.180999999999997</v>
      </c>
      <c r="T127" s="40"/>
    </row>
    <row r="128" spans="1:256" x14ac:dyDescent="0.25">
      <c r="A128" t="s">
        <v>157</v>
      </c>
      <c r="G128" s="43">
        <f>AVERAGE(G124)/1000</f>
        <v>1.7899999999999999E-2</v>
      </c>
      <c r="H128" s="43">
        <f>AVERAGE(H124)/1000</f>
        <v>6.4000000000000003E-3</v>
      </c>
      <c r="I128" s="43">
        <f t="shared" ref="I128:T128" si="13">AVERAGE(I124)/1000</f>
        <v>2.1700000000000004E-2</v>
      </c>
      <c r="J128" s="43">
        <f>AVERAGE(J124)/1000</f>
        <v>0.1085</v>
      </c>
      <c r="K128" s="43">
        <f>AVERAGE(K124)/1000</f>
        <v>0.51349999999999996</v>
      </c>
      <c r="L128" s="43">
        <f>AVERAGE(L124)/1000</f>
        <v>1.1827999999999999</v>
      </c>
      <c r="M128" s="43">
        <f t="shared" si="13"/>
        <v>1.65</v>
      </c>
      <c r="N128" s="43">
        <f t="shared" si="13"/>
        <v>1.9611000000000001</v>
      </c>
      <c r="O128" s="43">
        <f t="shared" si="13"/>
        <v>2.4959000000000002</v>
      </c>
      <c r="P128" s="43">
        <f t="shared" si="13"/>
        <v>4.3464</v>
      </c>
      <c r="Q128" s="43">
        <f t="shared" si="13"/>
        <v>5.7138</v>
      </c>
      <c r="R128" s="43">
        <f t="shared" si="13"/>
        <v>2.073</v>
      </c>
      <c r="S128" s="43">
        <f t="shared" si="13"/>
        <v>5.6319999999999997</v>
      </c>
      <c r="T128" s="43">
        <f t="shared" si="13"/>
        <v>0</v>
      </c>
      <c r="U128" s="43">
        <f>SUM(G128:T128)</f>
        <v>25.722999999999999</v>
      </c>
    </row>
    <row r="129" spans="1:256" x14ac:dyDescent="0.25">
      <c r="G129" s="40"/>
      <c r="H129" s="40"/>
      <c r="I129" s="40"/>
      <c r="J129" s="40"/>
      <c r="K129" s="46" t="s">
        <v>162</v>
      </c>
      <c r="L129" s="54">
        <f>SUM(G128,H128,I128,J128,K128,L128)</f>
        <v>1.8507999999999998</v>
      </c>
      <c r="M129" s="40"/>
      <c r="N129" s="40"/>
      <c r="O129" s="40"/>
      <c r="P129" s="40"/>
      <c r="Q129" s="40"/>
      <c r="R129" s="46" t="s">
        <v>161</v>
      </c>
      <c r="S129" s="54">
        <f>R128+S128+T128</f>
        <v>7.7050000000000001</v>
      </c>
      <c r="T129" s="40"/>
    </row>
    <row r="130" spans="1:256" x14ac:dyDescent="0.25">
      <c r="F130" s="71" t="s">
        <v>22</v>
      </c>
      <c r="G130" s="72">
        <f>G126/U126</f>
        <v>1.8405446559119929E-4</v>
      </c>
      <c r="H130" s="72">
        <f>(H126+G126)/U126</f>
        <v>2.9545585265955675E-4</v>
      </c>
      <c r="I130" s="72">
        <f>(I126+H126+G126)/U126</f>
        <v>1.4252112236897471E-3</v>
      </c>
      <c r="J130" s="72">
        <f>(J126+I126+H126+G126)/U126</f>
        <v>4.0685723972791422E-3</v>
      </c>
      <c r="K130" s="72">
        <f>(K126+J126+I126+H126+G126)/U126</f>
        <v>1.4699534112133974E-2</v>
      </c>
      <c r="L130" s="72">
        <f>(L126+K126+J126+I126+H126+G126)/U126</f>
        <v>4.2175112082509687E-2</v>
      </c>
      <c r="M130" s="72">
        <f>(M126+L126+K126+J126+I126+H126+G126)/U126</f>
        <v>7.9637461138171023E-2</v>
      </c>
      <c r="N130" s="72">
        <f>(N126+M126+L126+K126+J126+I126+H126+G126)/U126</f>
        <v>0.11695753124839178</v>
      </c>
      <c r="O130" s="72">
        <f>(O126+N126+M126+L126+K126+J126+I126+H126+G126)/U126</f>
        <v>0.16287669864411192</v>
      </c>
      <c r="P130" s="72">
        <f>(P126+O126+N126+M126+L126+K126+J126+I126+H126+G126)/U126</f>
        <v>0.22451980855913803</v>
      </c>
      <c r="Q130" s="72">
        <f>(Q126+P126+O126+N126+M126+L126+K126+J126+I126+H126+G126)/U126</f>
        <v>0.35603943851279152</v>
      </c>
      <c r="R130" s="72">
        <f>(R126+Q126+P126+O126+N126+M126+L126+K126+J126+I126+H126+G126)/U126</f>
        <v>0.59778044845112732</v>
      </c>
      <c r="S130" s="72">
        <f>(S126+R126+Q126+P126+O126+N126+M126+L126+K126+J126+I126+H126+G126)/U126</f>
        <v>0.99999999999999978</v>
      </c>
      <c r="T130" s="72">
        <f>(T126+S126+R126+Q126+P126+O126+N126+M126+L126+K126+J126+I126+H126+G126)/U126</f>
        <v>0.99999999999999978</v>
      </c>
    </row>
    <row r="131" spans="1:256" x14ac:dyDescent="0.25">
      <c r="T131" s="73" t="s">
        <v>170</v>
      </c>
      <c r="U131" s="133">
        <f>2.71828182845905^((LOG($R$10,2.71828182845905)-LOG($Q$10,2.71828182845905))*(0.5-Q130)/(R130-Q130)+LOG($Q$10,2.71828182845905))</f>
        <v>48.352402776128805</v>
      </c>
    </row>
    <row r="132" spans="1:256" x14ac:dyDescent="0.25">
      <c r="F132" s="71" t="s">
        <v>21</v>
      </c>
      <c r="G132" s="72">
        <f>G128/U128</f>
        <v>6.9587528670839323E-4</v>
      </c>
      <c r="H132" s="72">
        <f>(H128+G128)/U128</f>
        <v>9.4467985849239981E-4</v>
      </c>
      <c r="I132" s="72">
        <f>(I128+H128+G128)/U128</f>
        <v>1.7882828596975471E-3</v>
      </c>
      <c r="J132" s="72">
        <f>(J128+I128+H128+G128)/U128</f>
        <v>6.0062978657232828E-3</v>
      </c>
      <c r="K132" s="72">
        <f>(K128+J128+I128+H128+G128)/U128</f>
        <v>2.5968977179955683E-2</v>
      </c>
      <c r="L132" s="72">
        <f>(L128+K128+J128+I128+H128+G128)/U128</f>
        <v>7.1951172102787397E-2</v>
      </c>
      <c r="M132" s="72">
        <f>(M128+L128+K128+J128+I128+H128+G128)/U128</f>
        <v>0.13609610076585157</v>
      </c>
      <c r="N132" s="72">
        <f>(N128+M128+L128+K128+J128+I128+H128+G128)/U128</f>
        <v>0.21233526416047896</v>
      </c>
      <c r="O132" s="72">
        <f>(O128+N128+M128+L128+K128+J128+I128+H128+G128)/U128</f>
        <v>0.30936515958480743</v>
      </c>
      <c r="P132" s="72">
        <f>(P128+O128+N128+M128+L128+K128+J128+I128+H128+G128)/U128</f>
        <v>0.47833456439762073</v>
      </c>
      <c r="Q132" s="72">
        <f>(Q128+P128+O128+N128+M128+L128+K128+J128+I128+H128+G128)/U128</f>
        <v>0.70046262100066092</v>
      </c>
      <c r="R132" s="72">
        <f>(R128+Q128+P128+O128+N128+M128+L128+K128+J128+I128+H128+G128)/U128</f>
        <v>0.78105197683007421</v>
      </c>
      <c r="S132" s="72">
        <f>(S128+R128+Q128+P128+O128+N128+M128+L128+K128+J128+I128+H128+G128)/U128</f>
        <v>1</v>
      </c>
      <c r="T132" s="72">
        <f>(T128+S128+R128+Q128+P128+O128+N128+M128+L128+K128+J128+I128+H128+G128)/U128</f>
        <v>1</v>
      </c>
      <c r="U132" s="67"/>
    </row>
    <row r="133" spans="1:256" x14ac:dyDescent="0.25">
      <c r="T133" s="70" t="s">
        <v>170</v>
      </c>
      <c r="U133" s="133">
        <f>2.71828182845905^((LOG($Q$10,2.71828182845905)-LOG($P$10,2.71828182845905))*(0.5-P132)/(Q132-P132)+LOG($P$10,2.71828182845905))</f>
        <v>17.11910994995776</v>
      </c>
    </row>
    <row r="134" spans="1:256" ht="15.75" thickBot="1" x14ac:dyDescent="0.3">
      <c r="G134">
        <v>1E-3</v>
      </c>
      <c r="H134">
        <v>6.25E-2</v>
      </c>
      <c r="I134">
        <v>0.125</v>
      </c>
      <c r="J134">
        <v>0.25</v>
      </c>
      <c r="K134">
        <v>0.5</v>
      </c>
      <c r="L134">
        <v>1</v>
      </c>
      <c r="M134">
        <v>2</v>
      </c>
      <c r="N134">
        <v>4</v>
      </c>
      <c r="O134">
        <v>8</v>
      </c>
      <c r="P134">
        <v>16</v>
      </c>
      <c r="Q134">
        <v>31.5</v>
      </c>
      <c r="R134">
        <v>63</v>
      </c>
      <c r="S134">
        <v>126</v>
      </c>
      <c r="T134">
        <v>253</v>
      </c>
    </row>
    <row r="135" spans="1:256" s="39" customFormat="1" ht="57" customHeight="1" thickTop="1" thickBot="1" x14ac:dyDescent="0.3">
      <c r="A135" s="35" t="s">
        <v>56</v>
      </c>
      <c r="B135" s="36" t="s">
        <v>120</v>
      </c>
      <c r="C135" s="37" t="s">
        <v>62</v>
      </c>
      <c r="D135" s="37" t="s">
        <v>121</v>
      </c>
      <c r="E135" s="35" t="s">
        <v>122</v>
      </c>
      <c r="F135" s="35" t="s">
        <v>123</v>
      </c>
      <c r="G135" s="35" t="s">
        <v>124</v>
      </c>
      <c r="H135" s="35" t="s">
        <v>125</v>
      </c>
      <c r="I135" s="35" t="s">
        <v>126</v>
      </c>
      <c r="J135" s="35" t="s">
        <v>127</v>
      </c>
      <c r="K135" s="35" t="s">
        <v>128</v>
      </c>
      <c r="L135" s="35" t="s">
        <v>129</v>
      </c>
      <c r="M135" s="35" t="s">
        <v>130</v>
      </c>
      <c r="N135" s="35" t="s">
        <v>131</v>
      </c>
      <c r="O135" s="35" t="s">
        <v>132</v>
      </c>
      <c r="P135" s="35" t="s">
        <v>133</v>
      </c>
      <c r="Q135" s="35" t="s">
        <v>134</v>
      </c>
      <c r="R135" s="35" t="s">
        <v>135</v>
      </c>
      <c r="S135" s="35" t="s">
        <v>136</v>
      </c>
      <c r="T135" s="35" t="s">
        <v>137</v>
      </c>
      <c r="U135" s="35" t="s">
        <v>138</v>
      </c>
      <c r="V135" s="35" t="s">
        <v>139</v>
      </c>
      <c r="W135" s="35" t="s">
        <v>140</v>
      </c>
      <c r="X135" s="35" t="s">
        <v>141</v>
      </c>
      <c r="Y135" s="35" t="s">
        <v>142</v>
      </c>
      <c r="Z135" s="38"/>
      <c r="AA135" s="38"/>
      <c r="AB135" s="38"/>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row>
    <row r="136" spans="1:256" ht="15.75" thickTop="1" x14ac:dyDescent="0.25">
      <c r="A136" s="27" t="s">
        <v>80</v>
      </c>
      <c r="B136" s="23">
        <v>1</v>
      </c>
      <c r="C136" s="28">
        <v>34296</v>
      </c>
      <c r="D136" s="23" t="s">
        <v>116</v>
      </c>
      <c r="E136" s="23">
        <v>1</v>
      </c>
      <c r="F136" s="23" t="s">
        <v>117</v>
      </c>
      <c r="G136" s="29">
        <v>124.5</v>
      </c>
      <c r="H136" s="29">
        <v>110.4</v>
      </c>
      <c r="I136" s="29">
        <v>438.2</v>
      </c>
      <c r="J136" s="29">
        <v>1491</v>
      </c>
      <c r="K136" s="29">
        <v>1679</v>
      </c>
      <c r="L136" s="29">
        <v>3104</v>
      </c>
      <c r="M136" s="29">
        <v>5858</v>
      </c>
      <c r="N136" s="29">
        <v>6972</v>
      </c>
      <c r="O136" s="29">
        <v>10004</v>
      </c>
      <c r="P136" s="29">
        <v>12851</v>
      </c>
      <c r="Q136" s="29">
        <v>10624</v>
      </c>
      <c r="R136" s="29">
        <v>7474</v>
      </c>
      <c r="S136" s="29">
        <v>6722</v>
      </c>
      <c r="T136" s="29">
        <v>0</v>
      </c>
    </row>
    <row r="137" spans="1:256" s="128" customFormat="1" x14ac:dyDescent="0.25">
      <c r="A137" s="30" t="s">
        <v>80</v>
      </c>
      <c r="B137" s="31">
        <v>1</v>
      </c>
      <c r="C137" s="32">
        <v>34296</v>
      </c>
      <c r="D137" s="31" t="s">
        <v>118</v>
      </c>
      <c r="E137" s="31">
        <v>1</v>
      </c>
      <c r="F137" s="31" t="s">
        <v>117</v>
      </c>
      <c r="G137" s="33">
        <v>81.900000000000006</v>
      </c>
      <c r="H137" s="33">
        <v>71.3</v>
      </c>
      <c r="I137" s="33">
        <v>269.5</v>
      </c>
      <c r="J137" s="33">
        <v>844</v>
      </c>
      <c r="K137" s="33">
        <v>780</v>
      </c>
      <c r="L137" s="33">
        <v>1604</v>
      </c>
      <c r="M137" s="33">
        <v>3174</v>
      </c>
      <c r="N137" s="33">
        <v>3549</v>
      </c>
      <c r="O137" s="33">
        <v>5357</v>
      </c>
      <c r="P137" s="33">
        <v>7738</v>
      </c>
      <c r="Q137" s="33">
        <v>5076</v>
      </c>
      <c r="R137" s="33">
        <v>13663</v>
      </c>
      <c r="S137" s="33">
        <v>27897</v>
      </c>
      <c r="T137" s="33">
        <v>0</v>
      </c>
    </row>
    <row r="138" spans="1:256" s="128" customFormat="1" x14ac:dyDescent="0.25">
      <c r="A138" s="30" t="s">
        <v>80</v>
      </c>
      <c r="B138" s="31">
        <v>2</v>
      </c>
      <c r="C138" s="32">
        <v>35661</v>
      </c>
      <c r="D138" s="65" t="s">
        <v>118</v>
      </c>
      <c r="E138" s="66"/>
      <c r="F138" s="31" t="s">
        <v>160</v>
      </c>
      <c r="G138" s="33">
        <f>3.2+5.8</f>
        <v>9</v>
      </c>
      <c r="H138" s="33">
        <f>3.8+7.5</f>
        <v>11.3</v>
      </c>
      <c r="I138" s="33">
        <f>10.9+27.8</f>
        <v>38.700000000000003</v>
      </c>
      <c r="J138" s="33">
        <f>28+82</f>
        <v>110</v>
      </c>
      <c r="K138" s="33">
        <f>26.6+89</f>
        <v>115.6</v>
      </c>
      <c r="L138" s="33">
        <f>19.5+71.2</f>
        <v>90.7</v>
      </c>
      <c r="M138" s="33">
        <f>44.8+158.9</f>
        <v>203.7</v>
      </c>
      <c r="N138" s="33">
        <f>87.6+229.7</f>
        <v>317.29999999999995</v>
      </c>
      <c r="O138" s="33">
        <f>259.8+423.6</f>
        <v>683.40000000000009</v>
      </c>
      <c r="P138" s="33">
        <f>841.9+724.6</f>
        <v>1566.5</v>
      </c>
      <c r="Q138" s="33">
        <f>2658.5+1112.2+125</f>
        <v>3895.7</v>
      </c>
      <c r="R138" s="33">
        <f>537+1301+753+1685+508+547+1303+1232+273+482+232</f>
        <v>8853</v>
      </c>
      <c r="S138" s="53">
        <f>2540+1167+3528+4540+3218+3292+5650</f>
        <v>23935</v>
      </c>
      <c r="T138" s="53">
        <v>0</v>
      </c>
    </row>
    <row r="139" spans="1:256" s="128" customFormat="1" x14ac:dyDescent="0.25">
      <c r="A139" s="27" t="s">
        <v>80</v>
      </c>
      <c r="B139" s="23">
        <v>2</v>
      </c>
      <c r="C139" s="28">
        <v>35661</v>
      </c>
      <c r="D139" s="63" t="s">
        <v>116</v>
      </c>
      <c r="E139" s="64"/>
      <c r="F139" s="23" t="s">
        <v>160</v>
      </c>
      <c r="G139" s="29">
        <f>10.1+6.5</f>
        <v>16.600000000000001</v>
      </c>
      <c r="H139" s="29">
        <f>13.9+9.9</f>
        <v>23.8</v>
      </c>
      <c r="I139" s="29">
        <f>51.6+43.1</f>
        <v>94.7</v>
      </c>
      <c r="J139" s="29">
        <f>145.1+123.4</f>
        <v>268.5</v>
      </c>
      <c r="K139" s="29">
        <f>156.4+130.3</f>
        <v>286.70000000000005</v>
      </c>
      <c r="L139" s="29">
        <f>157.9+116.9</f>
        <v>274.8</v>
      </c>
      <c r="M139" s="29">
        <f>344.2+243.8</f>
        <v>588</v>
      </c>
      <c r="N139" s="29">
        <f>495.5+357.9</f>
        <v>853.4</v>
      </c>
      <c r="O139" s="29">
        <f>691.3+485.3</f>
        <v>1176.5999999999999</v>
      </c>
      <c r="P139" s="29">
        <f>1041.5+587.5</f>
        <v>1629</v>
      </c>
      <c r="Q139" s="29">
        <f>1159.9+564.7</f>
        <v>1724.6000000000001</v>
      </c>
      <c r="R139" s="29">
        <f>704.8+500.8+417.3</f>
        <v>1622.8999999999999</v>
      </c>
      <c r="S139" s="48">
        <v>0</v>
      </c>
      <c r="T139" s="48">
        <v>0</v>
      </c>
    </row>
    <row r="140" spans="1:256" s="128" customFormat="1" x14ac:dyDescent="0.25">
      <c r="A140" s="30" t="s">
        <v>80</v>
      </c>
      <c r="B140" s="31">
        <f>'[1]Bed material (0.25mm)'!$B$43</f>
        <v>3</v>
      </c>
      <c r="C140" s="62">
        <f>'[1]Bed material (0.25mm)'!$C$43</f>
        <v>36066</v>
      </c>
      <c r="D140" s="31" t="str">
        <f>'[1]Bed material (0.25mm)'!$D$43</f>
        <v>P</v>
      </c>
      <c r="E140" s="31">
        <f>'[1]Bed material (0.25mm)'!$E$43</f>
        <v>1</v>
      </c>
      <c r="F140" s="31" t="str">
        <f>'[1]Bed material (0.25mm)'!$F$43</f>
        <v>F</v>
      </c>
      <c r="G140" s="51">
        <f>'[1]Bed material (0.25mm)'!$G$43</f>
        <v>29.3</v>
      </c>
      <c r="H140" s="33"/>
      <c r="I140" s="33"/>
      <c r="J140" s="33">
        <f>+'[1]Bed material (0.25mm)'!$H$43+'[1]Bed material (0.25mm)'!$I$43</f>
        <v>60.6</v>
      </c>
      <c r="K140" s="33">
        <f>+'[1]Bed material (0.25mm)'!$J$43+'[1]Bed material (0.25mm)'!$K$43</f>
        <v>58.7</v>
      </c>
      <c r="L140" s="33">
        <f>+'[1]Bed material (0.25mm)'!$M$43+'[1]Bed material (0.25mm)'!$L$43</f>
        <v>69.3</v>
      </c>
      <c r="M140" s="33">
        <f>+'[1]Bed material (0.25mm)'!$N$43+'[1]Bed material (0.25mm)'!$O$43</f>
        <v>218.1</v>
      </c>
      <c r="N140" s="33">
        <f>+'[1]Bed material (0.25mm)'!$Q$43+'[1]Bed material (0.25mm)'!$P$43</f>
        <v>523.9</v>
      </c>
      <c r="O140" s="33">
        <f>+'[1]Bed material (0.25mm)'!$S$43+'[1]Bed material (0.25mm)'!$R$43</f>
        <v>1089.0999999999999</v>
      </c>
      <c r="P140" s="33">
        <f>+'[1]Bed material (0.25mm)'!$T$43+'[1]Bed material (0.25mm)'!$U$43</f>
        <v>2263.5</v>
      </c>
      <c r="Q140" s="33">
        <f>+'[1]Bed material (0.25mm)'!$W$43+'[1]Bed material (0.25mm)'!$V$43</f>
        <v>5308.6</v>
      </c>
      <c r="R140" s="33">
        <f>+'[1]Bed material (0.25mm)'!$X$43+'[1]Bed material (0.25mm)'!$Y$43</f>
        <v>14192</v>
      </c>
      <c r="S140" s="33">
        <f>+'[1]Bed material (0.25mm)'!$AA$43+'[1]Bed material (0.25mm)'!$Z$43</f>
        <v>2826</v>
      </c>
      <c r="T140" s="33">
        <f>+'[1]Bed material (0.25mm)'!$AB$43</f>
        <v>0</v>
      </c>
    </row>
    <row r="141" spans="1:256" s="128" customFormat="1" x14ac:dyDescent="0.25">
      <c r="A141" s="27" t="s">
        <v>80</v>
      </c>
      <c r="B141" s="23">
        <f>'[1]Bed material (0.25mm)'!$B$44</f>
        <v>3</v>
      </c>
      <c r="C141" s="60">
        <f>'[1]Bed material (0.25mm)'!$C$44</f>
        <v>36066</v>
      </c>
      <c r="D141" s="23" t="str">
        <f>'[1]Bed material (0.25mm)'!$D$44</f>
        <v>S</v>
      </c>
      <c r="E141" s="23">
        <f>'[1]Bed material (0.25mm)'!$E$44</f>
        <v>1</v>
      </c>
      <c r="F141" s="23" t="str">
        <f>'[1]Bed material (0.25mm)'!$F$44</f>
        <v>F</v>
      </c>
      <c r="G141" s="38">
        <f>'[1]Bed material (0.25mm)'!$G$44</f>
        <v>193.3</v>
      </c>
      <c r="H141" s="29"/>
      <c r="I141" s="29"/>
      <c r="J141" s="29">
        <f>+'[1]Bed material (0.25mm)'!$H$44+'[1]Bed material (0.25mm)'!$I$44</f>
        <v>746.9</v>
      </c>
      <c r="K141" s="29">
        <f>+'[1]Bed material (0.25mm)'!$J$44+'[1]Bed material (0.25mm)'!$K$44</f>
        <v>841</v>
      </c>
      <c r="L141" s="29">
        <f>+'[1]Bed material (0.25mm)'!$M$44+'[1]Bed material (0.25mm)'!$L$44</f>
        <v>854.30000000000007</v>
      </c>
      <c r="M141" s="29">
        <f>+'[1]Bed material (0.25mm)'!$N$44+'[1]Bed material (0.25mm)'!$O$44</f>
        <v>2235.1</v>
      </c>
      <c r="N141" s="29">
        <f>+'[1]Bed material (0.25mm)'!$Q$44+'[1]Bed material (0.25mm)'!$P$44</f>
        <v>3951</v>
      </c>
      <c r="O141" s="29">
        <f>+'[1]Bed material (0.25mm)'!$S$44+'[1]Bed material (0.25mm)'!$R$44</f>
        <v>4666.3</v>
      </c>
      <c r="P141" s="29">
        <f>+'[1]Bed material (0.25mm)'!$T$44+'[1]Bed material (0.25mm)'!$U$44</f>
        <v>5349.9</v>
      </c>
      <c r="Q141" s="29">
        <f>+'[1]Bed material (0.25mm)'!$W$44+'[1]Bed material (0.25mm)'!$V$44</f>
        <v>8228.4</v>
      </c>
      <c r="R141" s="29">
        <f>+'[1]Bed material (0.25mm)'!$X$44+'[1]Bed material (0.25mm)'!$Y$44</f>
        <v>9680</v>
      </c>
      <c r="S141" s="29">
        <f>+'[1]Bed material (0.25mm)'!$AA$44+'[1]Bed material (0.25mm)'!$Z$44</f>
        <v>8359</v>
      </c>
      <c r="T141" s="29">
        <f>+'[1]Bed material (0.25mm)'!$AB$44</f>
        <v>0</v>
      </c>
    </row>
    <row r="142" spans="1:256" s="128" customFormat="1" x14ac:dyDescent="0.25">
      <c r="A142" s="30" t="s">
        <v>80</v>
      </c>
      <c r="B142" s="31">
        <f>'[1]Bed material (0.25mm)'!$B$45</f>
        <v>4</v>
      </c>
      <c r="C142" s="62">
        <f>'[1]Bed material (0.25mm)'!$C$45</f>
        <v>36066</v>
      </c>
      <c r="D142" s="31" t="str">
        <f>'[1]Bed material (0.25mm)'!$D$45</f>
        <v>P</v>
      </c>
      <c r="E142" s="31">
        <f>'[1]Bed material (0.25mm)'!$E$45</f>
        <v>2</v>
      </c>
      <c r="F142" s="31" t="str">
        <f>'[1]Bed material (0.25mm)'!$F$45</f>
        <v>F</v>
      </c>
      <c r="G142" s="51">
        <f>'[1]Bed material (0.25mm)'!$G$45</f>
        <v>188.4</v>
      </c>
      <c r="H142" s="33"/>
      <c r="I142" s="33"/>
      <c r="J142" s="33">
        <f>+'[1]Bed material (0.25mm)'!$H$45+'[1]Bed material (0.25mm)'!$I$45</f>
        <v>438.3</v>
      </c>
      <c r="K142" s="33">
        <f>+'[1]Bed material (0.25mm)'!$J$45+'[1]Bed material (0.25mm)'!$K$45</f>
        <v>386.3</v>
      </c>
      <c r="L142" s="33">
        <f>+'[1]Bed material (0.25mm)'!$M$45+'[1]Bed material (0.25mm)'!$L$45</f>
        <v>595.70000000000005</v>
      </c>
      <c r="M142" s="33">
        <f>+'[1]Bed material (0.25mm)'!$N$45+'[1]Bed material (0.25mm)'!$O$45</f>
        <v>1040.7</v>
      </c>
      <c r="N142" s="33">
        <f>+'[1]Bed material (0.25mm)'!$Q$45+'[1]Bed material (0.25mm)'!$P$45</f>
        <v>1574.3000000000002</v>
      </c>
      <c r="O142" s="33">
        <f>+'[1]Bed material (0.25mm)'!$S$45+'[1]Bed material (0.25mm)'!$R$45</f>
        <v>2957.8</v>
      </c>
      <c r="P142" s="33">
        <f>+'[1]Bed material (0.25mm)'!$T$45+'[1]Bed material (0.25mm)'!$U$45</f>
        <v>4644.1000000000004</v>
      </c>
      <c r="Q142" s="33">
        <f>+'[1]Bed material (0.25mm)'!$W$45+'[1]Bed material (0.25mm)'!$V$45</f>
        <v>7382.8</v>
      </c>
      <c r="R142" s="33">
        <f>+'[1]Bed material (0.25mm)'!$X$45+'[1]Bed material (0.25mm)'!$Y$45</f>
        <v>13693</v>
      </c>
      <c r="S142" s="33">
        <f>+'[1]Bed material (0.25mm)'!$AA$45+'[1]Bed material (0.25mm)'!$Z$45</f>
        <v>7585</v>
      </c>
      <c r="T142" s="33">
        <f>+'[1]Bed material (0.25mm)'!$AB$45</f>
        <v>0</v>
      </c>
    </row>
    <row r="143" spans="1:256" s="128" customFormat="1" x14ac:dyDescent="0.25">
      <c r="A143" s="27" t="s">
        <v>80</v>
      </c>
      <c r="B143" s="23">
        <f>'[1]Bed material (0.25mm)'!$B$46</f>
        <v>4</v>
      </c>
      <c r="C143" s="60">
        <f>'[1]Bed material (0.25mm)'!$C$46</f>
        <v>36066</v>
      </c>
      <c r="D143" s="23" t="str">
        <f>'[1]Bed material (0.25mm)'!$D$46</f>
        <v>S</v>
      </c>
      <c r="E143" s="23">
        <f>'[1]Bed material (0.25mm)'!$E$46</f>
        <v>2</v>
      </c>
      <c r="F143" s="23" t="str">
        <f>'[1]Bed material (0.25mm)'!$F$46</f>
        <v>F</v>
      </c>
      <c r="G143" s="38">
        <f>'[1]Bed material (0.25mm)'!$G$46</f>
        <v>220.8</v>
      </c>
      <c r="H143" s="29"/>
      <c r="I143" s="29"/>
      <c r="J143" s="29">
        <f>+'[1]Bed material (0.25mm)'!$H$46+'[1]Bed material (0.25mm)'!$I$46</f>
        <v>545.9</v>
      </c>
      <c r="K143" s="29">
        <f>+'[1]Bed material (0.25mm)'!$J$46+'[1]Bed material (0.25mm)'!$K$46</f>
        <v>655.8</v>
      </c>
      <c r="L143" s="29">
        <f>+'[1]Bed material (0.25mm)'!$M$46+'[1]Bed material (0.25mm)'!$L$46</f>
        <v>1087.3</v>
      </c>
      <c r="M143" s="29">
        <f>+'[1]Bed material (0.25mm)'!$N$46+'[1]Bed material (0.25mm)'!$O$46</f>
        <v>2038.2</v>
      </c>
      <c r="N143" s="29">
        <f>+'[1]Bed material (0.25mm)'!$Q$46+'[1]Bed material (0.25mm)'!$P$46</f>
        <v>2432.8000000000002</v>
      </c>
      <c r="O143" s="29">
        <f>+'[1]Bed material (0.25mm)'!$S$46+'[1]Bed material (0.25mm)'!$R$46</f>
        <v>3195.3</v>
      </c>
      <c r="P143" s="29">
        <f>+'[1]Bed material (0.25mm)'!$T$46+'[1]Bed material (0.25mm)'!$U$46</f>
        <v>3761.3</v>
      </c>
      <c r="Q143" s="29">
        <f>+'[1]Bed material (0.25mm)'!$W$46+'[1]Bed material (0.25mm)'!$V$46</f>
        <v>3475.2</v>
      </c>
      <c r="R143" s="29">
        <f>+'[1]Bed material (0.25mm)'!$X$46+'[1]Bed material (0.25mm)'!$Y$46</f>
        <v>5406.8</v>
      </c>
      <c r="S143" s="29">
        <f>+'[1]Bed material (0.25mm)'!$AA$46+'[1]Bed material (0.25mm)'!$Z$46</f>
        <v>0</v>
      </c>
      <c r="T143" s="29">
        <f>+'[1]Bed material (0.25mm)'!$AB$46</f>
        <v>0</v>
      </c>
    </row>
    <row r="144" spans="1:256" s="128" customFormat="1" x14ac:dyDescent="0.25">
      <c r="A144" s="30" t="s">
        <v>80</v>
      </c>
      <c r="B144" s="31">
        <f>'[1]Bed material (0.25mm)'!$B$47</f>
        <v>5</v>
      </c>
      <c r="C144" s="62">
        <f>'[1]Bed material (0.25mm)'!$C$47</f>
        <v>36066</v>
      </c>
      <c r="D144" s="31" t="str">
        <f>'[1]Bed material (0.25mm)'!$D$47</f>
        <v>P</v>
      </c>
      <c r="E144" s="31">
        <f>'[1]Bed material (0.25mm)'!$E$47</f>
        <v>3</v>
      </c>
      <c r="F144" s="31" t="str">
        <f>'[1]Bed material (0.25mm)'!$F$47</f>
        <v>N</v>
      </c>
      <c r="G144" s="51">
        <f>'[1]Bed material (0.25mm)'!$G$47</f>
        <v>13</v>
      </c>
      <c r="H144" s="33"/>
      <c r="I144" s="33"/>
      <c r="J144" s="33">
        <f>+'[1]Bed material (0.25mm)'!$H$47+'[1]Bed material (0.25mm)'!$I$47</f>
        <v>63.8</v>
      </c>
      <c r="K144" s="33">
        <f>+'[1]Bed material (0.25mm)'!$J$47+'[1]Bed material (0.25mm)'!$K$47</f>
        <v>44.7</v>
      </c>
      <c r="L144" s="33">
        <f>+'[1]Bed material (0.25mm)'!$M$47+'[1]Bed material (0.25mm)'!$L$47</f>
        <v>108.39999999999999</v>
      </c>
      <c r="M144" s="33">
        <f>+'[1]Bed material (0.25mm)'!$N$47+'[1]Bed material (0.25mm)'!$O$47</f>
        <v>317.89999999999998</v>
      </c>
      <c r="N144" s="33">
        <f>+'[1]Bed material (0.25mm)'!$Q$47+'[1]Bed material (0.25mm)'!$P$47</f>
        <v>664.1</v>
      </c>
      <c r="O144" s="33">
        <f>+'[1]Bed material (0.25mm)'!$S$47+'[1]Bed material (0.25mm)'!$R$47</f>
        <v>1392.5</v>
      </c>
      <c r="P144" s="33">
        <f>+'[1]Bed material (0.25mm)'!$T$47+'[1]Bed material (0.25mm)'!$U$47</f>
        <v>2175.6999999999998</v>
      </c>
      <c r="Q144" s="33">
        <f>+'[1]Bed material (0.25mm)'!$W$47+'[1]Bed material (0.25mm)'!$V$47</f>
        <v>8018.1</v>
      </c>
      <c r="R144" s="33">
        <f>+'[1]Bed material (0.25mm)'!$X$47+'[1]Bed material (0.25mm)'!$Y$47</f>
        <v>11652</v>
      </c>
      <c r="S144" s="33">
        <f>+'[1]Bed material (0.25mm)'!$AA$47+'[1]Bed material (0.25mm)'!$Z$47</f>
        <v>0</v>
      </c>
      <c r="T144" s="33">
        <f>+'[1]Bed material (0.25mm)'!$AB$47</f>
        <v>0</v>
      </c>
    </row>
    <row r="145" spans="1:22" s="128" customFormat="1" x14ac:dyDescent="0.25">
      <c r="A145" s="27" t="s">
        <v>80</v>
      </c>
      <c r="B145" s="23">
        <f>'[1]Bed material (0.25mm)'!$B$48</f>
        <v>5</v>
      </c>
      <c r="C145" s="60">
        <f>'[1]Bed material (0.25mm)'!$C$48</f>
        <v>36066</v>
      </c>
      <c r="D145" s="23" t="str">
        <f>'[1]Bed material (0.25mm)'!$D$48</f>
        <v>S</v>
      </c>
      <c r="E145" s="23">
        <f>'[1]Bed material (0.25mm)'!$E$48</f>
        <v>3</v>
      </c>
      <c r="F145" s="23" t="str">
        <f>'[1]Bed material (0.25mm)'!$F$48</f>
        <v>F</v>
      </c>
      <c r="G145" s="38">
        <f>'[1]Bed material (0.25mm)'!$G$48</f>
        <v>198.3</v>
      </c>
      <c r="H145" s="29"/>
      <c r="I145" s="29"/>
      <c r="J145" s="29">
        <f>+'[1]Bed material (0.25mm)'!$H$48+'[1]Bed material (0.25mm)'!$I$48</f>
        <v>561</v>
      </c>
      <c r="K145" s="29">
        <f>+'[1]Bed material (0.25mm)'!$J$48+'[1]Bed material (0.25mm)'!$K$48</f>
        <v>716.2</v>
      </c>
      <c r="L145" s="29">
        <f>+'[1]Bed material (0.25mm)'!$M$48+'[1]Bed material (0.25mm)'!$L$48</f>
        <v>1276.2</v>
      </c>
      <c r="M145" s="29">
        <f>+'[1]Bed material (0.25mm)'!$N$48+'[1]Bed material (0.25mm)'!$O$48</f>
        <v>3256.6</v>
      </c>
      <c r="N145" s="29">
        <f>+'[1]Bed material (0.25mm)'!$Q$48+'[1]Bed material (0.25mm)'!$P$48</f>
        <v>4388.8999999999996</v>
      </c>
      <c r="O145" s="29">
        <f>+'[1]Bed material (0.25mm)'!$S$48+'[1]Bed material (0.25mm)'!$R$48</f>
        <v>5059.8</v>
      </c>
      <c r="P145" s="29">
        <f>+'[1]Bed material (0.25mm)'!$T$48+'[1]Bed material (0.25mm)'!$U$48</f>
        <v>5831.2000000000007</v>
      </c>
      <c r="Q145" s="29">
        <f>+'[1]Bed material (0.25mm)'!$W$48+'[1]Bed material (0.25mm)'!$V$48</f>
        <v>7135.2999999999993</v>
      </c>
      <c r="R145" s="29">
        <f>+'[1]Bed material (0.25mm)'!$X$48+'[1]Bed material (0.25mm)'!$Y$48</f>
        <v>7236</v>
      </c>
      <c r="S145" s="29">
        <f>+'[1]Bed material (0.25mm)'!$AA$48+'[1]Bed material (0.25mm)'!$Z$48</f>
        <v>0</v>
      </c>
      <c r="T145" s="29">
        <f>+'[1]Bed material (0.25mm)'!$AB$48</f>
        <v>0</v>
      </c>
    </row>
    <row r="146" spans="1:22" s="128" customFormat="1" x14ac:dyDescent="0.25">
      <c r="A146" s="30" t="s">
        <v>80</v>
      </c>
      <c r="B146" s="31">
        <f>'[1]Bed material (0.25mm)'!$B$49</f>
        <v>6</v>
      </c>
      <c r="C146" s="62">
        <f>'[1]Bed material (0.25mm)'!$C$49</f>
        <v>36066</v>
      </c>
      <c r="D146" s="31" t="str">
        <f>'[1]Bed material (0.25mm)'!$D$49</f>
        <v>P</v>
      </c>
      <c r="E146" s="31">
        <f>'[1]Bed material (0.25mm)'!$E$49</f>
        <v>4</v>
      </c>
      <c r="F146" s="31" t="str">
        <f>'[1]Bed material (0.25mm)'!$F$49</f>
        <v>F</v>
      </c>
      <c r="G146" s="51">
        <f>'[1]Bed material (0.25mm)'!$G$49</f>
        <v>159.30000000000001</v>
      </c>
      <c r="H146" s="33"/>
      <c r="I146" s="33"/>
      <c r="J146" s="33">
        <f>+'[1]Bed material (0.25mm)'!$H$49+'[1]Bed material (0.25mm)'!$I$49</f>
        <v>466</v>
      </c>
      <c r="K146" s="33">
        <f>+'[1]Bed material (0.25mm)'!$J$49+'[1]Bed material (0.25mm)'!$K$49</f>
        <v>590.59999999999991</v>
      </c>
      <c r="L146" s="33">
        <f>+'[1]Bed material (0.25mm)'!$M$49+'[1]Bed material (0.25mm)'!$L$49</f>
        <v>1099.8</v>
      </c>
      <c r="M146" s="33">
        <f>+'[1]Bed material (0.25mm)'!$N$49+'[1]Bed material (0.25mm)'!$O$49</f>
        <v>2023.4</v>
      </c>
      <c r="N146" s="33">
        <f>+'[1]Bed material (0.25mm)'!$Q$49+'[1]Bed material (0.25mm)'!$P$49</f>
        <v>2208.1999999999998</v>
      </c>
      <c r="O146" s="33">
        <f>+'[1]Bed material (0.25mm)'!$S$49+'[1]Bed material (0.25mm)'!$R$49</f>
        <v>2661.2</v>
      </c>
      <c r="P146" s="33">
        <f>+'[1]Bed material (0.25mm)'!$T$49+'[1]Bed material (0.25mm)'!$U$49</f>
        <v>2746.7</v>
      </c>
      <c r="Q146" s="33">
        <f>+'[1]Bed material (0.25mm)'!$W$49+'[1]Bed material (0.25mm)'!$V$49</f>
        <v>4482.6000000000004</v>
      </c>
      <c r="R146" s="33">
        <f>+'[1]Bed material (0.25mm)'!$X$49+'[1]Bed material (0.25mm)'!$Y$49</f>
        <v>15744</v>
      </c>
      <c r="S146" s="33">
        <f>+'[1]Bed material (0.25mm)'!$AA$49+'[1]Bed material (0.25mm)'!$Z$49</f>
        <v>2194</v>
      </c>
      <c r="T146" s="33">
        <f>+'[1]Bed material (0.25mm)'!$AB$49</f>
        <v>0</v>
      </c>
    </row>
    <row r="147" spans="1:22" s="128" customFormat="1" x14ac:dyDescent="0.25">
      <c r="A147" s="27" t="s">
        <v>80</v>
      </c>
      <c r="B147" s="23">
        <f>'[1]Bed material (0.25mm)'!$B$50</f>
        <v>6</v>
      </c>
      <c r="C147" s="60">
        <f>'[1]Bed material (0.25mm)'!$C$50</f>
        <v>36066</v>
      </c>
      <c r="D147" s="23" t="str">
        <f>'[1]Bed material (0.25mm)'!$D$50</f>
        <v>S</v>
      </c>
      <c r="E147" s="23">
        <f>'[1]Bed material (0.25mm)'!$E$50</f>
        <v>4</v>
      </c>
      <c r="F147" s="23" t="str">
        <f>'[1]Bed material (0.25mm)'!$F$50</f>
        <v>F</v>
      </c>
      <c r="G147" s="38">
        <f>'[1]Bed material (0.25mm)'!$G$50</f>
        <v>130.30000000000001</v>
      </c>
      <c r="H147" s="29"/>
      <c r="I147" s="29"/>
      <c r="J147" s="29">
        <f>+'[1]Bed material (0.25mm)'!$H$50+'[1]Bed material (0.25mm)'!$I$50</f>
        <v>425.3</v>
      </c>
      <c r="K147" s="29">
        <f>+'[1]Bed material (0.25mm)'!$J$50+'[1]Bed material (0.25mm)'!$K$50</f>
        <v>541.1</v>
      </c>
      <c r="L147" s="29">
        <f>+'[1]Bed material (0.25mm)'!$M$50+'[1]Bed material (0.25mm)'!$L$50</f>
        <v>1260.5999999999999</v>
      </c>
      <c r="M147" s="29">
        <f>+'[1]Bed material (0.25mm)'!$N$50+'[1]Bed material (0.25mm)'!$O$50</f>
        <v>2469.5</v>
      </c>
      <c r="N147" s="29">
        <f>+'[1]Bed material (0.25mm)'!$Q$50+'[1]Bed material (0.25mm)'!$P$50</f>
        <v>2440.5</v>
      </c>
      <c r="O147" s="29">
        <f>+'[1]Bed material (0.25mm)'!$S$50+'[1]Bed material (0.25mm)'!$R$50</f>
        <v>2728.6000000000004</v>
      </c>
      <c r="P147" s="29">
        <f>+'[1]Bed material (0.25mm)'!$T$50+'[1]Bed material (0.25mm)'!$U$50</f>
        <v>3129.7</v>
      </c>
      <c r="Q147" s="29">
        <f>+'[1]Bed material (0.25mm)'!$W$50+'[1]Bed material (0.25mm)'!$V$50</f>
        <v>4257.6000000000004</v>
      </c>
      <c r="R147" s="29">
        <f>+'[1]Bed material (0.25mm)'!$X$50+'[1]Bed material (0.25mm)'!$Y$50</f>
        <v>1628</v>
      </c>
      <c r="S147" s="29">
        <f>+'[1]Bed material (0.25mm)'!$AA$50+'[1]Bed material (0.25mm)'!$Z$50</f>
        <v>0</v>
      </c>
      <c r="T147" s="29">
        <f>+'[1]Bed material (0.25mm)'!$AB$50</f>
        <v>0</v>
      </c>
    </row>
    <row r="148" spans="1:22" s="128" customFormat="1" x14ac:dyDescent="0.25">
      <c r="A148" s="30" t="s">
        <v>80</v>
      </c>
      <c r="B148" s="31">
        <f>'[1]Bed material (0.25mm)'!$B$51</f>
        <v>7</v>
      </c>
      <c r="C148" s="62">
        <f>'[1]Bed material (0.25mm)'!$C$51</f>
        <v>36066</v>
      </c>
      <c r="D148" s="31" t="str">
        <f>'[1]Bed material (0.25mm)'!$D$51</f>
        <v>P</v>
      </c>
      <c r="E148" s="31">
        <f>'[1]Bed material (0.25mm)'!$E$51</f>
        <v>5</v>
      </c>
      <c r="F148" s="31" t="str">
        <f>'[1]Bed material (0.25mm)'!$F$51</f>
        <v>F</v>
      </c>
      <c r="G148" s="51">
        <f>'[1]Bed material (0.25mm)'!$G$51</f>
        <v>79.7</v>
      </c>
      <c r="H148" s="33"/>
      <c r="I148" s="33"/>
      <c r="J148" s="33">
        <f>+'[1]Bed material (0.25mm)'!$H$51+'[1]Bed material (0.25mm)'!$I$51</f>
        <v>285.3</v>
      </c>
      <c r="K148" s="33">
        <f>+'[1]Bed material (0.25mm)'!$J$51+'[1]Bed material (0.25mm)'!$K$51</f>
        <v>156</v>
      </c>
      <c r="L148" s="33">
        <f>+'[1]Bed material (0.25mm)'!$M$51+'[1]Bed material (0.25mm)'!$L$51</f>
        <v>204.7</v>
      </c>
      <c r="M148" s="33">
        <f>+'[1]Bed material (0.25mm)'!$N$51+'[1]Bed material (0.25mm)'!$O$51</f>
        <v>521.79999999999995</v>
      </c>
      <c r="N148" s="33">
        <f>+'[1]Bed material (0.25mm)'!$Q$51+'[1]Bed material (0.25mm)'!$P$51</f>
        <v>893.9</v>
      </c>
      <c r="O148" s="33">
        <f>+'[1]Bed material (0.25mm)'!$S$51+'[1]Bed material (0.25mm)'!$R$51</f>
        <v>1282.9000000000001</v>
      </c>
      <c r="P148" s="33">
        <f>+'[1]Bed material (0.25mm)'!$T$51+'[1]Bed material (0.25mm)'!$U$51</f>
        <v>1760.4</v>
      </c>
      <c r="Q148" s="33">
        <f>+'[1]Bed material (0.25mm)'!$W$51+'[1]Bed material (0.25mm)'!$V$51</f>
        <v>3842.2999999999997</v>
      </c>
      <c r="R148" s="33">
        <f>+'[1]Bed material (0.25mm)'!$X$51+'[1]Bed material (0.25mm)'!$Y$51</f>
        <v>14412.7</v>
      </c>
      <c r="S148" s="33">
        <f>+'[1]Bed material (0.25mm)'!$AA$51+'[1]Bed material (0.25mm)'!$Z$51</f>
        <v>3872</v>
      </c>
      <c r="T148" s="33">
        <f>+'[1]Bed material (0.25mm)'!$AB$51</f>
        <v>22700</v>
      </c>
    </row>
    <row r="149" spans="1:22" s="128" customFormat="1" x14ac:dyDescent="0.25">
      <c r="A149" s="27" t="s">
        <v>80</v>
      </c>
      <c r="B149" s="23">
        <f>'[1]Bed material (0.25mm)'!$B$52</f>
        <v>7</v>
      </c>
      <c r="C149" s="60">
        <f>'[1]Bed material (0.25mm)'!$C$52</f>
        <v>36066</v>
      </c>
      <c r="D149" s="23" t="str">
        <f>'[1]Bed material (0.25mm)'!$D$52</f>
        <v>S</v>
      </c>
      <c r="E149" s="23">
        <f>'[1]Bed material (0.25mm)'!$E$52</f>
        <v>5</v>
      </c>
      <c r="F149" s="23" t="str">
        <f>'[1]Bed material (0.25mm)'!$F$52</f>
        <v>F</v>
      </c>
      <c r="G149" s="38">
        <f>'[1]Bed material (0.25mm)'!$G$52</f>
        <v>142.19999999999999</v>
      </c>
      <c r="H149" s="29"/>
      <c r="I149" s="29"/>
      <c r="J149" s="29">
        <f>+'[1]Bed material (0.25mm)'!$H$52+'[1]Bed material (0.25mm)'!$I$52</f>
        <v>401.3</v>
      </c>
      <c r="K149" s="29">
        <f>+'[1]Bed material (0.25mm)'!$J$52+'[1]Bed material (0.25mm)'!$K$52</f>
        <v>398.1</v>
      </c>
      <c r="L149" s="29">
        <f>+'[1]Bed material (0.25mm)'!$M$52+'[1]Bed material (0.25mm)'!$L$52</f>
        <v>636.79999999999995</v>
      </c>
      <c r="M149" s="29">
        <f>+'[1]Bed material (0.25mm)'!$N$52+'[1]Bed material (0.25mm)'!$O$52</f>
        <v>1724.6</v>
      </c>
      <c r="N149" s="29">
        <f>+'[1]Bed material (0.25mm)'!$Q$52+'[1]Bed material (0.25mm)'!$P$52</f>
        <v>2268.3999999999996</v>
      </c>
      <c r="O149" s="29">
        <f>+'[1]Bed material (0.25mm)'!$S$52+'[1]Bed material (0.25mm)'!$R$52</f>
        <v>2508.1000000000004</v>
      </c>
      <c r="P149" s="29">
        <f>+'[1]Bed material (0.25mm)'!$T$52+'[1]Bed material (0.25mm)'!$U$52</f>
        <v>2404.6</v>
      </c>
      <c r="Q149" s="29">
        <f>+'[1]Bed material (0.25mm)'!$W$52+'[1]Bed material (0.25mm)'!$V$52</f>
        <v>2729.7</v>
      </c>
      <c r="R149" s="29">
        <f>+'[1]Bed material (0.25mm)'!$X$52+'[1]Bed material (0.25mm)'!$Y$52</f>
        <v>3423.8</v>
      </c>
      <c r="S149" s="29">
        <f>+'[1]Bed material (0.25mm)'!$AA$52+'[1]Bed material (0.25mm)'!$Z$52</f>
        <v>0</v>
      </c>
      <c r="T149" s="29">
        <f>+'[1]Bed material (0.25mm)'!$AB$52</f>
        <v>0</v>
      </c>
    </row>
    <row r="150" spans="1:22" s="128" customFormat="1" x14ac:dyDescent="0.25">
      <c r="A150" s="30" t="s">
        <v>80</v>
      </c>
      <c r="B150" s="31">
        <f>'[1]Bed material (0.25mm)'!$B$53</f>
        <v>8</v>
      </c>
      <c r="C150" s="62">
        <f>'[1]Bed material (0.25mm)'!$C$53</f>
        <v>36066</v>
      </c>
      <c r="D150" s="31" t="str">
        <f>'[1]Bed material (0.25mm)'!$D$53</f>
        <v>P</v>
      </c>
      <c r="E150" s="31">
        <f>'[1]Bed material (0.25mm)'!$E$53</f>
        <v>6</v>
      </c>
      <c r="F150" s="31" t="str">
        <f>'[1]Bed material (0.25mm)'!$F$53</f>
        <v>F</v>
      </c>
      <c r="G150" s="51">
        <f>'[1]Bed material (0.25mm)'!$G$53</f>
        <v>7.1</v>
      </c>
      <c r="H150" s="33"/>
      <c r="I150" s="33"/>
      <c r="J150" s="33">
        <f>+'[1]Bed material (0.25mm)'!$H$53+'[1]Bed material (0.25mm)'!$I$53</f>
        <v>17.5</v>
      </c>
      <c r="K150" s="33">
        <f>+'[1]Bed material (0.25mm)'!$J$53+'[1]Bed material (0.25mm)'!$K$53</f>
        <v>18.700000000000003</v>
      </c>
      <c r="L150" s="33">
        <f>+'[1]Bed material (0.25mm)'!$M$53+'[1]Bed material (0.25mm)'!$L$53</f>
        <v>38.700000000000003</v>
      </c>
      <c r="M150" s="33">
        <f>+'[1]Bed material (0.25mm)'!$N$53+'[1]Bed material (0.25mm)'!$O$53</f>
        <v>140.19999999999999</v>
      </c>
      <c r="N150" s="33">
        <f>+'[1]Bed material (0.25mm)'!$Q$53+'[1]Bed material (0.25mm)'!$P$53</f>
        <v>285.20000000000005</v>
      </c>
      <c r="O150" s="33">
        <f>+'[1]Bed material (0.25mm)'!$S$53+'[1]Bed material (0.25mm)'!$R$53</f>
        <v>765.4</v>
      </c>
      <c r="P150" s="33">
        <f>+'[1]Bed material (0.25mm)'!$T$53+'[1]Bed material (0.25mm)'!$U$53</f>
        <v>1976.1</v>
      </c>
      <c r="Q150" s="33">
        <f>+'[1]Bed material (0.25mm)'!$W$53+'[1]Bed material (0.25mm)'!$V$53</f>
        <v>5088</v>
      </c>
      <c r="R150" s="33">
        <f>+'[1]Bed material (0.25mm)'!$X$53+'[1]Bed material (0.25mm)'!$Y$53</f>
        <v>10636</v>
      </c>
      <c r="S150" s="33">
        <f>+'[1]Bed material (0.25mm)'!$AA$53+'[1]Bed material (0.25mm)'!$Z$53</f>
        <v>9580</v>
      </c>
      <c r="T150" s="33">
        <f>+'[1]Bed material (0.25mm)'!$AB$53</f>
        <v>0</v>
      </c>
    </row>
    <row r="151" spans="1:22" ht="15.75" thickBot="1" x14ac:dyDescent="0.3">
      <c r="A151" s="27" t="s">
        <v>80</v>
      </c>
      <c r="B151" s="23">
        <f>'[1]Bed material (0.25mm)'!$B$54</f>
        <v>8</v>
      </c>
      <c r="C151" s="60">
        <f>'[1]Bed material (0.25mm)'!$C$54</f>
        <v>36066</v>
      </c>
      <c r="D151" s="23" t="str">
        <f>'[1]Bed material (0.25mm)'!$D$54</f>
        <v>S</v>
      </c>
      <c r="E151" s="23">
        <f>'[1]Bed material (0.25mm)'!$E$54</f>
        <v>6</v>
      </c>
      <c r="F151" s="23" t="str">
        <f>'[1]Bed material (0.25mm)'!$F$54</f>
        <v>F</v>
      </c>
      <c r="G151" s="38">
        <f>'[1]Bed material (0.25mm)'!$G$54</f>
        <v>299.2</v>
      </c>
      <c r="H151" s="29"/>
      <c r="I151" s="29"/>
      <c r="J151" s="29">
        <f>+'[1]Bed material (0.25mm)'!$H$54+'[1]Bed material (0.25mm)'!$I$54</f>
        <v>756.5</v>
      </c>
      <c r="K151" s="29">
        <f>+'[1]Bed material (0.25mm)'!$J$54+'[1]Bed material (0.25mm)'!$K$54</f>
        <v>1221.9000000000001</v>
      </c>
      <c r="L151" s="29">
        <f>+'[1]Bed material (0.25mm)'!$M$54+'[1]Bed material (0.25mm)'!$L$54</f>
        <v>2198.4</v>
      </c>
      <c r="M151" s="29">
        <f>+'[1]Bed material (0.25mm)'!$N$54+'[1]Bed material (0.25mm)'!$O$54</f>
        <v>4389.3</v>
      </c>
      <c r="N151" s="29">
        <f>+'[1]Bed material (0.25mm)'!$Q$54+'[1]Bed material (0.25mm)'!$P$54</f>
        <v>5305.2</v>
      </c>
      <c r="O151" s="29">
        <f>+'[1]Bed material (0.25mm)'!$S$54+'[1]Bed material (0.25mm)'!$R$54</f>
        <v>6666.5</v>
      </c>
      <c r="P151" s="29">
        <f>+'[1]Bed material (0.25mm)'!$T$54+'[1]Bed material (0.25mm)'!$U$54</f>
        <v>7535.9</v>
      </c>
      <c r="Q151" s="29">
        <f>+'[1]Bed material (0.25mm)'!$W$54+'[1]Bed material (0.25mm)'!$V$54</f>
        <v>7661.9</v>
      </c>
      <c r="R151" s="29">
        <f>+'[1]Bed material (0.25mm)'!$X$54+'[1]Bed material (0.25mm)'!$Y$54</f>
        <v>4717</v>
      </c>
      <c r="S151" s="29">
        <f>+'[1]Bed material (0.25mm)'!$AA$54+'[1]Bed material (0.25mm)'!$Z$54</f>
        <v>2874</v>
      </c>
      <c r="T151" s="29">
        <f>+'[1]Bed material (0.25mm)'!$AB$54</f>
        <v>0</v>
      </c>
    </row>
    <row r="152" spans="1:22" ht="52.5" thickTop="1" x14ac:dyDescent="0.25">
      <c r="G152" s="42" t="s">
        <v>143</v>
      </c>
      <c r="H152" s="42" t="s">
        <v>144</v>
      </c>
      <c r="I152" s="42" t="s">
        <v>145</v>
      </c>
      <c r="J152" s="42" t="s">
        <v>146</v>
      </c>
      <c r="K152" s="42" t="s">
        <v>147</v>
      </c>
      <c r="L152" s="42" t="s">
        <v>148</v>
      </c>
      <c r="M152" s="42" t="s">
        <v>149</v>
      </c>
      <c r="N152" s="42" t="s">
        <v>150</v>
      </c>
      <c r="O152" s="42" t="s">
        <v>151</v>
      </c>
      <c r="P152" s="42" t="s">
        <v>152</v>
      </c>
      <c r="Q152" s="42" t="s">
        <v>153</v>
      </c>
      <c r="R152" s="42" t="s">
        <v>154</v>
      </c>
      <c r="S152" s="42" t="s">
        <v>155</v>
      </c>
      <c r="T152" s="42" t="s">
        <v>156</v>
      </c>
    </row>
    <row r="153" spans="1:22" x14ac:dyDescent="0.25">
      <c r="A153" t="s">
        <v>119</v>
      </c>
      <c r="G153" s="43">
        <f t="shared" ref="G153:T153" si="14">SUM(G137,G138,G140,G142,G144,G146,G148,G150)/1000</f>
        <v>0.56770000000000009</v>
      </c>
      <c r="H153" s="43">
        <f t="shared" si="14"/>
        <v>8.2599999999999993E-2</v>
      </c>
      <c r="I153" s="43">
        <f t="shared" si="14"/>
        <v>0.30819999999999997</v>
      </c>
      <c r="J153" s="43">
        <f t="shared" si="14"/>
        <v>2.2854999999999999</v>
      </c>
      <c r="K153" s="43">
        <f t="shared" si="14"/>
        <v>2.1505999999999998</v>
      </c>
      <c r="L153" s="43">
        <f t="shared" si="14"/>
        <v>3.8112999999999992</v>
      </c>
      <c r="M153" s="43">
        <f t="shared" si="14"/>
        <v>7.6397999999999993</v>
      </c>
      <c r="N153" s="43">
        <f t="shared" si="14"/>
        <v>10.0159</v>
      </c>
      <c r="O153" s="43">
        <f t="shared" si="14"/>
        <v>16.189299999999999</v>
      </c>
      <c r="P153" s="43">
        <f t="shared" si="14"/>
        <v>24.870999999999999</v>
      </c>
      <c r="Q153" s="43">
        <f t="shared" si="14"/>
        <v>43.094100000000005</v>
      </c>
      <c r="R153" s="43">
        <f t="shared" si="14"/>
        <v>102.84569999999999</v>
      </c>
      <c r="S153" s="43">
        <f t="shared" si="14"/>
        <v>77.888999999999996</v>
      </c>
      <c r="T153" s="43">
        <f t="shared" si="14"/>
        <v>22.7</v>
      </c>
      <c r="U153" s="43">
        <f>SUM(G153:T153)</f>
        <v>314.45069999999998</v>
      </c>
    </row>
    <row r="154" spans="1:22" x14ac:dyDescent="0.25">
      <c r="G154" s="50"/>
      <c r="H154" s="50"/>
      <c r="I154" s="50"/>
      <c r="J154" s="50"/>
      <c r="K154" s="43"/>
      <c r="L154" s="43"/>
      <c r="M154" s="50"/>
      <c r="N154" s="50"/>
      <c r="O154" s="50"/>
      <c r="P154" s="50"/>
      <c r="Q154" s="50"/>
      <c r="R154" s="43"/>
      <c r="S154" s="43"/>
      <c r="T154" s="50"/>
      <c r="U154" s="50"/>
    </row>
    <row r="155" spans="1:22" x14ac:dyDescent="0.25">
      <c r="G155" s="40"/>
      <c r="H155" s="40"/>
      <c r="I155" s="40"/>
      <c r="J155" s="40"/>
      <c r="K155" s="46" t="s">
        <v>162</v>
      </c>
      <c r="L155" s="54">
        <f>SUM(G153,H153,I153,J153,K153,L153)</f>
        <v>9.2058999999999997</v>
      </c>
      <c r="M155" s="40"/>
      <c r="N155" s="40"/>
      <c r="O155" s="40"/>
      <c r="P155" s="40"/>
      <c r="Q155" s="40"/>
      <c r="R155" s="46" t="s">
        <v>161</v>
      </c>
      <c r="S155" s="54">
        <f>R153+S153+T153</f>
        <v>203.43469999999996</v>
      </c>
      <c r="T155" s="40"/>
    </row>
    <row r="156" spans="1:22" x14ac:dyDescent="0.25">
      <c r="A156" t="s">
        <v>157</v>
      </c>
      <c r="G156" s="43">
        <f t="shared" ref="G156:T156" si="15">SUM(G136,G139,G141,G143,G145,G147,G149,G151)/1000</f>
        <v>1.3252000000000002</v>
      </c>
      <c r="H156" s="43">
        <f t="shared" si="15"/>
        <v>0.13420000000000001</v>
      </c>
      <c r="I156" s="43">
        <f t="shared" si="15"/>
        <v>0.53289999999999993</v>
      </c>
      <c r="J156" s="43">
        <f t="shared" si="15"/>
        <v>5.1964000000000006</v>
      </c>
      <c r="K156" s="43">
        <f t="shared" si="15"/>
        <v>6.3398000000000012</v>
      </c>
      <c r="L156" s="43">
        <f t="shared" si="15"/>
        <v>10.692399999999999</v>
      </c>
      <c r="M156" s="43">
        <f t="shared" si="15"/>
        <v>22.5593</v>
      </c>
      <c r="N156" s="43">
        <f t="shared" si="15"/>
        <v>28.612200000000001</v>
      </c>
      <c r="O156" s="43">
        <f t="shared" si="15"/>
        <v>36.005199999999995</v>
      </c>
      <c r="P156" s="43">
        <f t="shared" si="15"/>
        <v>42.492600000000003</v>
      </c>
      <c r="Q156" s="43">
        <f t="shared" si="15"/>
        <v>45.8367</v>
      </c>
      <c r="R156" s="43">
        <f t="shared" si="15"/>
        <v>41.188499999999998</v>
      </c>
      <c r="S156" s="43">
        <f t="shared" si="15"/>
        <v>17.954999999999998</v>
      </c>
      <c r="T156" s="43">
        <f t="shared" si="15"/>
        <v>0</v>
      </c>
      <c r="U156" s="43">
        <f>SUM(G156:T156)</f>
        <v>258.87040000000002</v>
      </c>
    </row>
    <row r="157" spans="1:22" x14ac:dyDescent="0.25">
      <c r="G157" s="40"/>
      <c r="H157" s="40"/>
      <c r="I157" s="40"/>
      <c r="J157" s="40"/>
      <c r="K157" s="68" t="s">
        <v>162</v>
      </c>
      <c r="L157" s="69">
        <f>SUM(G156,H156,I156,J156,K156,L156)</f>
        <v>24.2209</v>
      </c>
      <c r="M157" s="40"/>
      <c r="N157" s="40"/>
      <c r="O157" s="40"/>
      <c r="P157" s="40"/>
      <c r="Q157" s="40"/>
      <c r="R157" s="68" t="s">
        <v>161</v>
      </c>
      <c r="S157" s="69">
        <f>R156+S156+T156</f>
        <v>59.143499999999996</v>
      </c>
      <c r="T157" s="40"/>
    </row>
    <row r="158" spans="1:22" x14ac:dyDescent="0.25">
      <c r="F158" s="129" t="s">
        <v>22</v>
      </c>
      <c r="G158" s="130">
        <f>G153/U153</f>
        <v>1.8053704443971666E-3</v>
      </c>
      <c r="H158" s="130">
        <f>(H153+G153)/$U$153</f>
        <v>2.0680507310048926E-3</v>
      </c>
      <c r="I158" s="130">
        <f>(I153+H153+G153)/$U$153</f>
        <v>3.0481725752240342E-3</v>
      </c>
      <c r="J158" s="130">
        <f>(J153+I153+H153+G153)/$U$153</f>
        <v>1.0316402539412378E-2</v>
      </c>
      <c r="K158" s="130">
        <f>(K153+J153+I153+H153+G153)/$U$153</f>
        <v>1.7155630437458085E-2</v>
      </c>
      <c r="L158" s="130">
        <f>(L153+K153+J153+I153+H153+G153)/$U$153</f>
        <v>2.927613136176831E-2</v>
      </c>
      <c r="M158" s="130">
        <f>(M153+L153+K153+J153+I153+H153+G153)/$U$153</f>
        <v>5.3571831768859136E-2</v>
      </c>
      <c r="N158" s="130">
        <f>(N153+M153+L153+K153+J153+I153+H153+G153)/$U$153</f>
        <v>8.5423883616732282E-2</v>
      </c>
      <c r="O158" s="130">
        <f>(O153+N153+M153+L153+K153+J153+I153+H153+G153)/$U$153</f>
        <v>0.13690826574722206</v>
      </c>
      <c r="P158" s="130">
        <f>(P153+O153+N153+M153+L153+K153+J153+I153+H153+G153)/$U$153</f>
        <v>0.21600174526563304</v>
      </c>
      <c r="Q158" s="130">
        <f>(Q153+P153+O153+N153+M153+L153+K153+J153+I153+H153+G153)/$U$153</f>
        <v>0.35304739343878072</v>
      </c>
      <c r="R158" s="130">
        <f>(R153+Q153+P153+O153+N153+M153+L153+K153+J153+I153+H153+G153)/$U$153</f>
        <v>0.68011201755950945</v>
      </c>
      <c r="S158" s="130">
        <f>(S153+R153+Q153+P153+O153+N153+M153+L153+K153+J153+I153+H153+G153)/$U$153</f>
        <v>0.92781062341409959</v>
      </c>
      <c r="T158" s="130">
        <f>(T153+S153+R153+Q153+P153+O153+N153+M153+L153+K153+J153+I153+H153+G153)/$U$153</f>
        <v>1</v>
      </c>
    </row>
    <row r="159" spans="1:22" x14ac:dyDescent="0.25">
      <c r="F159" s="77"/>
      <c r="G159" s="77"/>
      <c r="H159" s="77"/>
      <c r="I159" s="77"/>
      <c r="J159" s="77"/>
      <c r="K159" s="77"/>
      <c r="L159" s="77"/>
      <c r="M159" s="77"/>
      <c r="N159" s="77"/>
      <c r="O159" s="77"/>
      <c r="P159" s="77"/>
      <c r="Q159" s="77"/>
      <c r="R159" s="77"/>
      <c r="S159" s="77"/>
      <c r="T159" s="131" t="s">
        <v>170</v>
      </c>
      <c r="U159" s="133">
        <f>2.71828182845905^((LOG($R$134,2.71828182845905)-LOG($Q$134,2.71828182845905))*(0.5-$Q$158)/($R$158-$Q$158)+LOG($Q$134,2.71828182845905))</f>
        <v>43.009619962138068</v>
      </c>
      <c r="V159" s="132" t="s">
        <v>171</v>
      </c>
    </row>
    <row r="160" spans="1:22" x14ac:dyDescent="0.25">
      <c r="F160" s="129" t="s">
        <v>21</v>
      </c>
      <c r="G160" s="130">
        <f>G156/U156</f>
        <v>5.1191638750509912E-3</v>
      </c>
      <c r="H160" s="130">
        <f>(H156+G156)/U156</f>
        <v>5.6375699964151954E-3</v>
      </c>
      <c r="I160" s="130">
        <f>(I156+H156+G156)/U156</f>
        <v>7.6961290282705173E-3</v>
      </c>
      <c r="J160" s="130">
        <f>(J156+I156+H156+G156)/U156</f>
        <v>2.776949392437297E-2</v>
      </c>
      <c r="K160" s="130">
        <f>(K156+J156+I156+H156+G156)/U156</f>
        <v>5.2259740781487568E-2</v>
      </c>
      <c r="L160" s="130">
        <f>(L156+K156+J156+I156+H156+G156)/U156</f>
        <v>9.3563806445232822E-2</v>
      </c>
      <c r="M160" s="130">
        <f>(M156+L156+K156+J156+I156+H156+G156)/U156</f>
        <v>0.18070895706886536</v>
      </c>
      <c r="N160" s="130">
        <f>(N156+M156+L156+K156+J156+I156+H156+G156)/U156</f>
        <v>0.29123607797569745</v>
      </c>
      <c r="O160" s="130">
        <f>(O156+N156+M156+L156+K156+J156+I156+H156+G156)/U156</f>
        <v>0.43032189079941158</v>
      </c>
      <c r="P160" s="130">
        <f>(P156+O156+N156+M156+L156+K156+J156+I156+H156+G156)/U156</f>
        <v>0.59446811995500448</v>
      </c>
      <c r="Q160" s="130">
        <f>(Q156+P156+O156+N156+M156+L156+K156+J156+I156+H156+G156)/U156</f>
        <v>0.77153239613335467</v>
      </c>
      <c r="R160" s="130">
        <f>(R156+Q156+P156+O156+N156+M156+L156+K156+J156+I156+H156+G156)/U156</f>
        <v>0.93064096938081753</v>
      </c>
      <c r="S160" s="130">
        <f>(S156+R156+Q156+P156+O156+N156+M156+L156+K156+J156+I156+H156+G156)/U156</f>
        <v>1</v>
      </c>
      <c r="T160" s="130">
        <f>(T156+S156+R156+Q156+P156+O156+N156+M156+L156+K156+J156+I156+H156+G156)/U156</f>
        <v>1</v>
      </c>
      <c r="U160" s="67"/>
    </row>
    <row r="161" spans="20:22" x14ac:dyDescent="0.25">
      <c r="T161" s="134" t="s">
        <v>170</v>
      </c>
      <c r="U161" s="133">
        <f>2.71828182845905^((LOG($P$134,2.71828182845905)-LOG($O$134,2.71828182845905))*(0.5-$O$160)/($P$160-$O$160)+LOG($O$134,2.71828182845905))</f>
        <v>10.73676917165537</v>
      </c>
      <c r="V161" s="132"/>
    </row>
  </sheetData>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47"/>
  <sheetViews>
    <sheetView workbookViewId="0">
      <selection activeCell="B42" sqref="B42"/>
    </sheetView>
  </sheetViews>
  <sheetFormatPr defaultRowHeight="15" x14ac:dyDescent="0.25"/>
  <cols>
    <col min="4" max="4" width="11.85546875" bestFit="1" customWidth="1"/>
    <col min="16" max="16" width="12.5703125" bestFit="1" customWidth="1"/>
  </cols>
  <sheetData>
    <row r="1" spans="1:17" x14ac:dyDescent="0.25">
      <c r="A1">
        <v>1970</v>
      </c>
      <c r="B1">
        <v>26</v>
      </c>
      <c r="P1" t="s">
        <v>530</v>
      </c>
      <c r="Q1" t="s">
        <v>395</v>
      </c>
    </row>
    <row r="2" spans="1:17" x14ac:dyDescent="0.25">
      <c r="A2">
        <v>1971</v>
      </c>
      <c r="B2">
        <v>119</v>
      </c>
      <c r="P2" t="s">
        <v>525</v>
      </c>
      <c r="Q2" t="e">
        <f>COUNTIFS(Data!#REF!,"&gt;0",Data!#REF!,"&lt;=0.5")</f>
        <v>#REF!</v>
      </c>
    </row>
    <row r="3" spans="1:17" x14ac:dyDescent="0.25">
      <c r="A3">
        <v>1973</v>
      </c>
      <c r="B3">
        <f>COUNTIFS(Data!$M$5:$M$8980,"&gt;=01jan1973",Data!$M$5:$M$8980,"&lt;01jan1974")</f>
        <v>33</v>
      </c>
      <c r="P3" t="s">
        <v>526</v>
      </c>
      <c r="Q3" t="e">
        <f>COUNTIFS(Data!#REF!,"&gt;0.5",Data!#REF!,"&lt;=1.0")</f>
        <v>#REF!</v>
      </c>
    </row>
    <row r="4" spans="1:17" x14ac:dyDescent="0.25">
      <c r="A4">
        <v>1974</v>
      </c>
      <c r="B4">
        <f>COUNTIFS(Data!$M$5:$M$8980,"&gt;=01jan1974",Data!$M$5:$M$8980,"&lt;01jan1975")</f>
        <v>37</v>
      </c>
      <c r="D4" s="353" t="s">
        <v>394</v>
      </c>
      <c r="E4" s="353" t="s">
        <v>395</v>
      </c>
      <c r="P4" t="s">
        <v>527</v>
      </c>
      <c r="Q4" t="e">
        <f>COUNTIFS(Data!#REF!,"&gt;1.0",Data!#REF!,"&lt;=1.5")</f>
        <v>#REF!</v>
      </c>
    </row>
    <row r="5" spans="1:17" x14ac:dyDescent="0.25">
      <c r="A5">
        <v>1975</v>
      </c>
      <c r="B5">
        <f>COUNTIFS(Data!$M$5:$M$8980,"&gt;=01jan1975",Data!$M$5:$M$8980,"&lt;01jan1976")</f>
        <v>60</v>
      </c>
      <c r="D5" s="74" t="s">
        <v>385</v>
      </c>
      <c r="E5" s="74">
        <f>SUM(B1:B2)</f>
        <v>145</v>
      </c>
      <c r="P5" t="s">
        <v>528</v>
      </c>
      <c r="Q5" t="e">
        <f>COUNTIFS(Data!#REF!,"&gt;1.5",Data!#REF!,"&lt;=2.0")</f>
        <v>#REF!</v>
      </c>
    </row>
    <row r="6" spans="1:17" x14ac:dyDescent="0.25">
      <c r="A6">
        <v>1976</v>
      </c>
      <c r="B6">
        <f>COUNTIFS(Data!$M$5:$M$8980,"&gt;=01jan1976",Data!$M$5:$M$8980,"&lt;01jan1977")</f>
        <v>38</v>
      </c>
      <c r="D6" s="74" t="s">
        <v>380</v>
      </c>
      <c r="E6" s="74">
        <f>SUM(B3:B5)</f>
        <v>130</v>
      </c>
      <c r="P6" t="s">
        <v>529</v>
      </c>
      <c r="Q6" t="e">
        <f>COUNTIF(Data!#REF!,"&gt;2.0")</f>
        <v>#REF!</v>
      </c>
    </row>
    <row r="7" spans="1:17" x14ac:dyDescent="0.25">
      <c r="A7">
        <v>1977</v>
      </c>
      <c r="B7">
        <f>COUNTIFS(Data!$M$5:$M$8980,"&gt;=01jan1977",Data!$M$5:$M$8980,"&lt;01jan1978")</f>
        <v>254</v>
      </c>
      <c r="D7" s="74" t="s">
        <v>386</v>
      </c>
      <c r="E7" s="74">
        <f>SUM(B6:B8)</f>
        <v>634</v>
      </c>
    </row>
    <row r="8" spans="1:17" x14ac:dyDescent="0.25">
      <c r="A8">
        <v>1978</v>
      </c>
      <c r="B8">
        <f>COUNTIFS(Data!$M$5:$M$8980,"&gt;=01jan1978",Data!$M$5:$M$8980,"&lt;01jan1979")</f>
        <v>342</v>
      </c>
      <c r="D8" s="74" t="s">
        <v>387</v>
      </c>
      <c r="E8" s="74">
        <f>SUM(B9:B11)</f>
        <v>366</v>
      </c>
    </row>
    <row r="9" spans="1:17" x14ac:dyDescent="0.25">
      <c r="A9">
        <v>1979</v>
      </c>
      <c r="B9">
        <f>COUNTIFS(Data!$M$5:$M$8980,"&gt;=01jan1979",Data!$M$5:$M$8980,"&lt;01jan1980")</f>
        <v>181</v>
      </c>
      <c r="D9" s="74" t="s">
        <v>381</v>
      </c>
      <c r="E9" s="74">
        <f>SUM(B12:B14)</f>
        <v>576</v>
      </c>
    </row>
    <row r="10" spans="1:17" x14ac:dyDescent="0.25">
      <c r="A10">
        <v>1980</v>
      </c>
      <c r="B10">
        <f>COUNTIFS(Data!$M$5:$M$8980,"&gt;=01jan1980",Data!$M$5:$M$8980,"&lt;01jan1981")</f>
        <v>171</v>
      </c>
      <c r="D10" s="74" t="s">
        <v>388</v>
      </c>
      <c r="E10" s="74">
        <f>SUM(B15:B17)</f>
        <v>426</v>
      </c>
      <c r="P10" t="s">
        <v>531</v>
      </c>
      <c r="Q10">
        <f>COUNTIFS(Data!BI:BI,"&lt;=1")</f>
        <v>2</v>
      </c>
    </row>
    <row r="11" spans="1:17" x14ac:dyDescent="0.25">
      <c r="A11">
        <v>1981</v>
      </c>
      <c r="B11">
        <f>COUNTIFS(Data!$M$5:$M$8980,"&gt;=01jan1981",Data!$M$5:$M$8980,"&lt;01jan1982")</f>
        <v>14</v>
      </c>
      <c r="D11" s="74" t="s">
        <v>389</v>
      </c>
      <c r="E11" s="74">
        <f>SUM(B18:B20)</f>
        <v>824</v>
      </c>
      <c r="P11" t="s">
        <v>527</v>
      </c>
      <c r="Q11">
        <f>COUNTIFS(Data!BI:BI,"&gt;1",Data!BI:BI,"&lt;=1.5")</f>
        <v>7</v>
      </c>
    </row>
    <row r="12" spans="1:17" x14ac:dyDescent="0.25">
      <c r="A12">
        <v>1982</v>
      </c>
      <c r="B12">
        <f>COUNTIFS(Data!$M$5:$M$8980,"&gt;=01jan1982",Data!$M$5:$M$8980,"&lt;01jan1983")</f>
        <v>26</v>
      </c>
      <c r="D12" s="74" t="s">
        <v>390</v>
      </c>
      <c r="E12" s="74">
        <f>SUM(B21:B23)</f>
        <v>1205</v>
      </c>
      <c r="P12" t="s">
        <v>528</v>
      </c>
      <c r="Q12">
        <f>COUNTIFS(Data!BI:BI,"&gt;1.5",Data!BI:BI,"&lt;=2.0")</f>
        <v>10</v>
      </c>
    </row>
    <row r="13" spans="1:17" x14ac:dyDescent="0.25">
      <c r="A13">
        <v>1983</v>
      </c>
      <c r="B13">
        <f>COUNTIFS(Data!$M$5:$M$8980,"&gt;=01jan1983",Data!$M$5:$M$8980,"&lt;01jan1984")</f>
        <v>82</v>
      </c>
      <c r="D13" s="74" t="s">
        <v>391</v>
      </c>
      <c r="E13" s="74">
        <f>SUM(B24:B26)</f>
        <v>2094</v>
      </c>
      <c r="P13" t="s">
        <v>532</v>
      </c>
      <c r="Q13">
        <f>COUNTIFS(Data!BI:BI,"&gt;2",Data!BI:BI,"&lt;=2.5")</f>
        <v>5</v>
      </c>
    </row>
    <row r="14" spans="1:17" x14ac:dyDescent="0.25">
      <c r="A14">
        <v>1984</v>
      </c>
      <c r="B14">
        <f>COUNTIFS(Data!$M$5:$M$8980,"&gt;=01jan1984",Data!$M$5:$M$8980,"&lt;01jan1985")</f>
        <v>468</v>
      </c>
      <c r="D14" s="74" t="s">
        <v>392</v>
      </c>
      <c r="E14" s="74">
        <f>SUM(B27:B29)</f>
        <v>655</v>
      </c>
      <c r="P14" t="s">
        <v>533</v>
      </c>
      <c r="Q14">
        <f>COUNTIFS(Data!BI:BI,"&gt;2.5",Data!BI:BI,"&lt;=3.0")</f>
        <v>11</v>
      </c>
    </row>
    <row r="15" spans="1:17" x14ac:dyDescent="0.25">
      <c r="A15">
        <v>1985</v>
      </c>
      <c r="B15">
        <f>COUNTIFS(Data!$M$5:$M$8980,"&gt;=01jan1985",Data!$M$5:$M$8980,"&lt;01jan1986")</f>
        <v>106</v>
      </c>
      <c r="D15" s="74" t="s">
        <v>393</v>
      </c>
      <c r="E15" s="74">
        <f>SUM(B30:B32)</f>
        <v>92</v>
      </c>
      <c r="P15" t="s">
        <v>534</v>
      </c>
      <c r="Q15">
        <f>COUNTIFS(Data!BI:BI,"&gt;3",Data!BI:BI,"&lt;=3.5")</f>
        <v>10</v>
      </c>
    </row>
    <row r="16" spans="1:17" x14ac:dyDescent="0.25">
      <c r="A16">
        <v>1986</v>
      </c>
      <c r="B16">
        <f>COUNTIFS(Data!$M$5:$M$8980,"&gt;=01jan1986",Data!$M$5:$M$8980,"&lt;01jan1987")</f>
        <v>247</v>
      </c>
      <c r="D16" s="74" t="s">
        <v>935</v>
      </c>
      <c r="E16" s="74">
        <f>SUM(B33:B35)</f>
        <v>41</v>
      </c>
      <c r="P16" t="s">
        <v>535</v>
      </c>
      <c r="Q16">
        <f>COUNTIFS(Data!BI:BI,"&gt;3.5",Data!BI:BI,"&lt;=4.0")</f>
        <v>7</v>
      </c>
    </row>
    <row r="17" spans="1:17" x14ac:dyDescent="0.25">
      <c r="A17">
        <v>1987</v>
      </c>
      <c r="B17">
        <f>COUNTIFS(Data!$M$5:$M$8980,"&gt;=01jan1987",Data!$M$5:$M$8980,"&lt;01jan1988")</f>
        <v>73</v>
      </c>
      <c r="D17" s="74" t="s">
        <v>936</v>
      </c>
      <c r="E17" s="74">
        <f>SUM(B36:B38)</f>
        <v>125</v>
      </c>
      <c r="P17" t="s">
        <v>536</v>
      </c>
      <c r="Q17">
        <f>COUNTIFS(Data!BI:BI,"&gt;4.0",Data!BI:BI,"&lt;=4.5")</f>
        <v>7</v>
      </c>
    </row>
    <row r="18" spans="1:17" x14ac:dyDescent="0.25">
      <c r="A18">
        <v>1988</v>
      </c>
      <c r="B18">
        <f>COUNTIFS(Data!$M$5:$M$8980,"&gt;=01jan1988",Data!$M$5:$M$8980,"&lt;01jan1989")</f>
        <v>181</v>
      </c>
      <c r="D18" s="74" t="s">
        <v>937</v>
      </c>
      <c r="E18" s="74">
        <f>SUM(B39:B41)</f>
        <v>45</v>
      </c>
      <c r="P18" t="s">
        <v>537</v>
      </c>
      <c r="Q18">
        <f>COUNTIFS(Data!BI:BI,"&gt;4.5",Data!BI:BI,"&lt;=5.0")</f>
        <v>8</v>
      </c>
    </row>
    <row r="19" spans="1:17" x14ac:dyDescent="0.25">
      <c r="A19">
        <v>1989</v>
      </c>
      <c r="B19">
        <f>COUNTIFS(Data!$M$5:$M$8980,"&gt;=01jan1989",Data!$M$5:$M$8980,"&lt;01jan1990")</f>
        <v>505</v>
      </c>
      <c r="P19" t="s">
        <v>538</v>
      </c>
      <c r="Q19">
        <f>COUNTIFS(Data!BI:BI,"&gt;5",Data!BI:BI,"&lt;=6")</f>
        <v>10</v>
      </c>
    </row>
    <row r="20" spans="1:17" x14ac:dyDescent="0.25">
      <c r="A20">
        <v>1990</v>
      </c>
      <c r="B20">
        <f>COUNTIFS(Data!$M$5:$M$8980,"&gt;=01jan1990",Data!$M$5:$M$8980,"&lt;01jan1991")</f>
        <v>138</v>
      </c>
      <c r="P20" t="s">
        <v>539</v>
      </c>
      <c r="Q20">
        <f>COUNTIFS(Data!BI:BI,"&gt;6.0",Data!BI:BI,"&lt;=7.0")</f>
        <v>4</v>
      </c>
    </row>
    <row r="21" spans="1:17" x14ac:dyDescent="0.25">
      <c r="A21">
        <v>1991</v>
      </c>
      <c r="B21">
        <f>COUNTIFS(Data!$M$5:$M$8980,"&gt;=01jan1991",Data!$M$5:$M$8980,"&lt;01jan1992")</f>
        <v>343</v>
      </c>
      <c r="P21" t="s">
        <v>540</v>
      </c>
      <c r="Q21">
        <f>COUNTIFS(Data!BI:BI,"&gt;7",Data!BI:BI,"&lt;=8")</f>
        <v>3</v>
      </c>
    </row>
    <row r="22" spans="1:17" x14ac:dyDescent="0.25">
      <c r="A22">
        <v>1992</v>
      </c>
      <c r="B22">
        <f>COUNTIFS(Data!$M$5:$M$8980,"&gt;=01jan1992",Data!$M$5:$M$8980,"&lt;01jan1993")</f>
        <v>434</v>
      </c>
      <c r="P22" t="s">
        <v>541</v>
      </c>
      <c r="Q22">
        <f>COUNTIFS(Data!BI:BI,"&gt;8",Data!BI:BI,"&lt;=9.0")</f>
        <v>1</v>
      </c>
    </row>
    <row r="23" spans="1:17" x14ac:dyDescent="0.25">
      <c r="A23">
        <v>1993</v>
      </c>
      <c r="B23">
        <f>COUNTIFS(Data!$M$5:$M$8980,"&gt;=01jan1993",Data!$M$5:$M$8980,"&lt;01jan1994")</f>
        <v>428</v>
      </c>
      <c r="P23" s="431" t="s">
        <v>542</v>
      </c>
      <c r="Q23">
        <f>COUNTIFS(Data!BI:BI,"&gt;9",Data!BI:BI,"&lt;=10")</f>
        <v>0</v>
      </c>
    </row>
    <row r="24" spans="1:17" x14ac:dyDescent="0.25">
      <c r="A24">
        <v>1994</v>
      </c>
      <c r="B24">
        <f>COUNTIFS(Data!$M$5:$M$8980,"&gt;=01jan1994",Data!$M$5:$M$8980,"&lt;01jan1995")</f>
        <v>928</v>
      </c>
      <c r="P24" s="431" t="s">
        <v>543</v>
      </c>
      <c r="Q24">
        <f>COUNTIFS(Data!BI:BI,"&gt;10")</f>
        <v>4</v>
      </c>
    </row>
    <row r="25" spans="1:17" x14ac:dyDescent="0.25">
      <c r="A25">
        <v>1995</v>
      </c>
      <c r="B25">
        <f>COUNTIFS(Data!$M$5:$M$8980,"&gt;=01jan1995",Data!$M$5:$M$8980,"&lt;01jan1996")</f>
        <v>1001</v>
      </c>
      <c r="Q25">
        <f>SUM(Q10:Q24)</f>
        <v>89</v>
      </c>
    </row>
    <row r="26" spans="1:17" x14ac:dyDescent="0.25">
      <c r="A26">
        <v>1996</v>
      </c>
      <c r="B26">
        <f>COUNTIFS(Data!$M$5:$M$8980,"&gt;=01jan1996",Data!$M$5:$M$8980,"&lt;01jan1997")</f>
        <v>165</v>
      </c>
    </row>
    <row r="27" spans="1:17" x14ac:dyDescent="0.25">
      <c r="A27">
        <v>1997</v>
      </c>
      <c r="B27">
        <f>COUNTIFS(Data!$M$5:$M$8980,"&gt;=01jan1997",Data!$M$5:$M$8980,"&lt;01jan1998")</f>
        <v>299</v>
      </c>
    </row>
    <row r="28" spans="1:17" x14ac:dyDescent="0.25">
      <c r="A28">
        <v>1998</v>
      </c>
      <c r="B28">
        <f>COUNTIFS(Data!$M$5:$M$8980,"&gt;=01jan1998",Data!$M$5:$M$8980,"&lt;01jan1999")</f>
        <v>98</v>
      </c>
    </row>
    <row r="29" spans="1:17" x14ac:dyDescent="0.25">
      <c r="A29">
        <v>1999</v>
      </c>
      <c r="B29">
        <f>COUNTIFS(Data!$M$5:$M$8980,"&gt;=01jan1999",Data!$M$5:$M$8980,"&lt;01jan2000")</f>
        <v>258</v>
      </c>
    </row>
    <row r="30" spans="1:17" x14ac:dyDescent="0.25">
      <c r="A30">
        <v>2000</v>
      </c>
      <c r="B30">
        <f>COUNTIFS(Data!$M$5:$M$8980,"&gt;=01jan2000",Data!$M$5:$M$8980,"&lt;01jan2001")</f>
        <v>89</v>
      </c>
    </row>
    <row r="31" spans="1:17" x14ac:dyDescent="0.25">
      <c r="A31">
        <v>2001</v>
      </c>
      <c r="B31">
        <f>COUNTIFS(Data!$M$5:$M$8980,"&gt;=01jan2001",Data!$M$5:$M$8980,"&lt;01jan2002")</f>
        <v>0</v>
      </c>
    </row>
    <row r="32" spans="1:17" x14ac:dyDescent="0.25">
      <c r="A32">
        <v>2002</v>
      </c>
      <c r="B32">
        <f>COUNTIFS(Data!$M$5:$M$8980,"&gt;=01jan2002",Data!$M$5:$M$8980,"&lt;01jan2003")</f>
        <v>3</v>
      </c>
    </row>
    <row r="33" spans="1:6" x14ac:dyDescent="0.25">
      <c r="A33">
        <v>2003</v>
      </c>
      <c r="B33">
        <f>COUNTIFS(Data!$M$5:$M$8980,"&gt;=01jan2003",Data!$M$5:$M$8980,"&lt;01jan2004")</f>
        <v>0</v>
      </c>
    </row>
    <row r="34" spans="1:6" x14ac:dyDescent="0.25">
      <c r="A34">
        <v>2004</v>
      </c>
      <c r="B34">
        <f>COUNTIFS(Data!$M$5:$M$8980,"&gt;=01jan2004",Data!$M$5:$M$8980,"&lt;01jan2005")</f>
        <v>41</v>
      </c>
    </row>
    <row r="35" spans="1:6" x14ac:dyDescent="0.25">
      <c r="A35">
        <v>2005</v>
      </c>
      <c r="B35">
        <f>COUNTIFS(Data!$M$5:$M$8980,"&gt;=01jan2005",Data!$M$5:$M$8980,"&lt;01jan2006")</f>
        <v>0</v>
      </c>
    </row>
    <row r="36" spans="1:6" x14ac:dyDescent="0.25">
      <c r="A36">
        <v>2006</v>
      </c>
      <c r="B36">
        <f>COUNTIFS(Data!$M$5:$M$8980,"&gt;=01jan2006",Data!$M$5:$M$8980,"&lt;01jan2007")</f>
        <v>63</v>
      </c>
    </row>
    <row r="37" spans="1:6" x14ac:dyDescent="0.25">
      <c r="A37">
        <v>2007</v>
      </c>
      <c r="B37">
        <f>COUNTIFS(Data!$M$5:$M$8980,"&gt;=01jan2007",Data!$M$5:$M$8980,"&lt;01jan2008")</f>
        <v>62</v>
      </c>
    </row>
    <row r="38" spans="1:6" x14ac:dyDescent="0.25">
      <c r="A38">
        <v>2008</v>
      </c>
      <c r="B38">
        <f>COUNTIFS(Data!$M$5:$M$8980,"&gt;=01jan2008",Data!$M$5:$M$8980,"&lt;01jan2009")</f>
        <v>0</v>
      </c>
    </row>
    <row r="39" spans="1:6" x14ac:dyDescent="0.25">
      <c r="A39">
        <v>2009</v>
      </c>
      <c r="B39">
        <f>COUNTIFS(Data!$M$5:$M$8980,"&gt;=01jan2009",Data!$M$5:$M$8980,"&lt;01jan2010")</f>
        <v>0</v>
      </c>
    </row>
    <row r="40" spans="1:6" x14ac:dyDescent="0.25">
      <c r="A40">
        <v>2010</v>
      </c>
      <c r="B40">
        <f>COUNTIFS(Data!$M$5:$M$8980,"&gt;=01jan2010",Data!$M$5:$M$8980,"&lt;01jan2011")</f>
        <v>0</v>
      </c>
    </row>
    <row r="41" spans="1:6" x14ac:dyDescent="0.25">
      <c r="A41">
        <v>2011</v>
      </c>
      <c r="B41">
        <v>45</v>
      </c>
    </row>
    <row r="42" spans="1:6" x14ac:dyDescent="0.25">
      <c r="B42">
        <f>SUM(B1:B41)</f>
        <v>7358</v>
      </c>
      <c r="E42">
        <v>5594</v>
      </c>
      <c r="F42">
        <f>E42-B42</f>
        <v>-1764</v>
      </c>
    </row>
    <row r="43" spans="1:6" x14ac:dyDescent="0.25">
      <c r="E43" s="352" t="s">
        <v>382</v>
      </c>
      <c r="F43">
        <v>159</v>
      </c>
    </row>
    <row r="44" spans="1:6" x14ac:dyDescent="0.25">
      <c r="E44" s="352" t="s">
        <v>383</v>
      </c>
      <c r="F44">
        <v>81</v>
      </c>
    </row>
    <row r="45" spans="1:6" x14ac:dyDescent="0.25">
      <c r="E45" s="352" t="s">
        <v>384</v>
      </c>
      <c r="F45">
        <v>54</v>
      </c>
    </row>
    <row r="47" spans="1:6" x14ac:dyDescent="0.25">
      <c r="F47">
        <f>F42-SUM(F43:F46)</f>
        <v>-2058</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C15"/>
  <sheetViews>
    <sheetView workbookViewId="0">
      <selection activeCell="S7" sqref="S7"/>
    </sheetView>
  </sheetViews>
  <sheetFormatPr defaultRowHeight="15" x14ac:dyDescent="0.25"/>
  <cols>
    <col min="1" max="8" width="6.140625" customWidth="1"/>
    <col min="9" max="14" width="6.140625" hidden="1" customWidth="1"/>
    <col min="15" max="25" width="6.140625" customWidth="1"/>
    <col min="26" max="26" width="5.5703125" bestFit="1" customWidth="1"/>
    <col min="28" max="28" width="4.140625" customWidth="1"/>
    <col min="29" max="29" width="7.7109375" customWidth="1"/>
  </cols>
  <sheetData>
    <row r="1" spans="1:29" x14ac:dyDescent="0.25">
      <c r="A1" s="439" t="s">
        <v>573</v>
      </c>
    </row>
    <row r="2" spans="1:29" x14ac:dyDescent="0.25">
      <c r="A2" s="439">
        <v>1981</v>
      </c>
    </row>
    <row r="3" spans="1:29" s="77" customFormat="1" x14ac:dyDescent="0.25">
      <c r="B3" s="77">
        <v>0</v>
      </c>
      <c r="C3" s="77">
        <v>15</v>
      </c>
      <c r="D3" s="77">
        <v>30</v>
      </c>
      <c r="E3" s="77">
        <v>90</v>
      </c>
      <c r="F3" s="77">
        <v>105</v>
      </c>
      <c r="G3" s="77">
        <v>120</v>
      </c>
      <c r="H3" s="77">
        <v>135</v>
      </c>
      <c r="I3" s="77">
        <v>150</v>
      </c>
      <c r="J3" s="77">
        <v>165</v>
      </c>
      <c r="K3" s="77">
        <v>180</v>
      </c>
      <c r="L3" s="77">
        <v>195</v>
      </c>
      <c r="M3" s="77">
        <v>210</v>
      </c>
      <c r="N3" s="77">
        <v>225</v>
      </c>
      <c r="O3" s="77">
        <v>240</v>
      </c>
      <c r="P3" s="77">
        <v>255</v>
      </c>
      <c r="Q3" s="77">
        <v>270</v>
      </c>
      <c r="R3" s="77">
        <v>285</v>
      </c>
      <c r="S3" s="77">
        <v>300</v>
      </c>
      <c r="T3" s="77">
        <v>315</v>
      </c>
      <c r="U3" s="77">
        <v>330</v>
      </c>
      <c r="V3" s="77">
        <v>345</v>
      </c>
      <c r="W3" s="77">
        <v>360</v>
      </c>
      <c r="X3" s="77">
        <v>375</v>
      </c>
      <c r="Y3" s="77">
        <v>390</v>
      </c>
      <c r="Z3" s="77">
        <v>405</v>
      </c>
      <c r="AA3" s="77" t="s">
        <v>574</v>
      </c>
    </row>
    <row r="4" spans="1:29" x14ac:dyDescent="0.25">
      <c r="A4" s="77">
        <v>64</v>
      </c>
      <c r="B4" s="440">
        <v>1</v>
      </c>
      <c r="C4" s="440">
        <v>1</v>
      </c>
      <c r="D4" s="440"/>
      <c r="E4" s="440"/>
      <c r="F4" s="440"/>
      <c r="G4" s="440"/>
      <c r="H4" s="440"/>
      <c r="I4" s="440">
        <v>1</v>
      </c>
      <c r="J4" s="440"/>
      <c r="K4" s="440"/>
      <c r="L4" s="440"/>
      <c r="M4" s="440"/>
      <c r="N4" s="440"/>
      <c r="O4" s="440">
        <v>1</v>
      </c>
      <c r="P4" s="440">
        <v>1</v>
      </c>
      <c r="Q4" s="440">
        <v>1</v>
      </c>
      <c r="R4" s="440">
        <v>1</v>
      </c>
      <c r="S4" s="440">
        <v>1</v>
      </c>
      <c r="T4" s="440"/>
      <c r="U4" s="440"/>
      <c r="V4" s="440">
        <v>1</v>
      </c>
      <c r="W4" s="440">
        <v>1</v>
      </c>
      <c r="X4" s="440"/>
      <c r="Y4" s="440">
        <v>1</v>
      </c>
      <c r="Z4" s="440"/>
      <c r="AA4">
        <f>A4*(SUM(B4:Z4))</f>
        <v>704</v>
      </c>
      <c r="AB4">
        <f>AA4/$AA$15</f>
        <v>0.4776384745091487</v>
      </c>
      <c r="AC4" s="441">
        <f t="shared" ref="AC4:AC12" si="0">AC5+AB4</f>
        <v>1.0000000000000002</v>
      </c>
    </row>
    <row r="5" spans="1:29" x14ac:dyDescent="0.25">
      <c r="A5" s="77">
        <v>32</v>
      </c>
      <c r="B5" s="440">
        <v>0.92</v>
      </c>
      <c r="C5" s="440">
        <v>0.95</v>
      </c>
      <c r="D5" s="440">
        <v>1</v>
      </c>
      <c r="E5" s="440"/>
      <c r="F5" s="440"/>
      <c r="G5" s="440">
        <v>1</v>
      </c>
      <c r="H5" s="440">
        <v>1</v>
      </c>
      <c r="I5" s="440">
        <v>0.89</v>
      </c>
      <c r="J5" s="440">
        <v>1</v>
      </c>
      <c r="K5" s="440"/>
      <c r="L5" s="440"/>
      <c r="M5" s="440"/>
      <c r="N5" s="440"/>
      <c r="O5" s="440">
        <v>0.34</v>
      </c>
      <c r="P5" s="440">
        <v>0.91</v>
      </c>
      <c r="Q5" s="440">
        <v>0.56000000000000005</v>
      </c>
      <c r="R5" s="440">
        <v>0.92</v>
      </c>
      <c r="S5" s="440">
        <v>0.88</v>
      </c>
      <c r="T5" s="440">
        <v>1</v>
      </c>
      <c r="U5" s="440">
        <v>1</v>
      </c>
      <c r="V5" s="440">
        <v>0.99</v>
      </c>
      <c r="W5" s="440">
        <v>0.8</v>
      </c>
      <c r="X5" s="440">
        <v>1</v>
      </c>
      <c r="Y5" s="440">
        <v>0.84</v>
      </c>
      <c r="Z5" s="440"/>
      <c r="AA5">
        <f t="shared" ref="AA5:AA14" si="1">A5*(SUM(B5:Z5))</f>
        <v>512.00000000000011</v>
      </c>
      <c r="AB5">
        <f t="shared" ref="AB5:AB14" si="2">AA5/$AA$15</f>
        <v>0.34737343600665371</v>
      </c>
      <c r="AC5" s="441">
        <f t="shared" si="0"/>
        <v>0.52236152549085146</v>
      </c>
    </row>
    <row r="6" spans="1:29" x14ac:dyDescent="0.25">
      <c r="A6" s="77">
        <v>16</v>
      </c>
      <c r="B6" s="440">
        <v>0.87</v>
      </c>
      <c r="C6" s="440">
        <v>0.31</v>
      </c>
      <c r="D6" s="440">
        <v>0.88</v>
      </c>
      <c r="E6" s="440"/>
      <c r="F6" s="440"/>
      <c r="G6" s="440">
        <v>0.84</v>
      </c>
      <c r="H6" s="440">
        <v>0.6</v>
      </c>
      <c r="I6" s="440">
        <v>0.45</v>
      </c>
      <c r="J6" s="440">
        <v>0.62</v>
      </c>
      <c r="K6" s="440">
        <v>1</v>
      </c>
      <c r="L6" s="440"/>
      <c r="M6" s="440"/>
      <c r="N6" s="440"/>
      <c r="O6" s="440">
        <v>7.0000000000000007E-2</v>
      </c>
      <c r="P6" s="440">
        <v>0.3</v>
      </c>
      <c r="Q6" s="440">
        <v>0.14000000000000001</v>
      </c>
      <c r="R6" s="440">
        <v>0.5</v>
      </c>
      <c r="S6" s="440">
        <v>0.61</v>
      </c>
      <c r="T6" s="440">
        <v>0.72</v>
      </c>
      <c r="U6" s="440">
        <v>0.85</v>
      </c>
      <c r="V6" s="440">
        <v>0.79</v>
      </c>
      <c r="W6" s="440">
        <v>0.31</v>
      </c>
      <c r="X6" s="440">
        <v>0.34</v>
      </c>
      <c r="Y6" s="440">
        <v>0.28999999999999998</v>
      </c>
      <c r="Z6" s="440"/>
      <c r="AA6">
        <f t="shared" si="1"/>
        <v>167.84</v>
      </c>
      <c r="AB6">
        <f t="shared" si="2"/>
        <v>0.11387335449093114</v>
      </c>
      <c r="AC6" s="441">
        <f t="shared" si="0"/>
        <v>0.17498808948419772</v>
      </c>
    </row>
    <row r="7" spans="1:29" x14ac:dyDescent="0.25">
      <c r="A7" s="77">
        <v>8</v>
      </c>
      <c r="B7" s="440">
        <v>0.87</v>
      </c>
      <c r="C7" s="440">
        <v>0.05</v>
      </c>
      <c r="D7" s="440">
        <v>0.88</v>
      </c>
      <c r="E7" s="440"/>
      <c r="F7" s="440"/>
      <c r="G7" s="440">
        <v>0.59</v>
      </c>
      <c r="H7" s="440">
        <v>0.2</v>
      </c>
      <c r="I7" s="440">
        <v>0.26</v>
      </c>
      <c r="J7" s="440">
        <v>0.51</v>
      </c>
      <c r="K7" s="440">
        <v>0.99</v>
      </c>
      <c r="L7" s="440"/>
      <c r="M7" s="440"/>
      <c r="N7" s="440"/>
      <c r="O7" s="440">
        <v>0.03</v>
      </c>
      <c r="P7" s="440">
        <v>7.0000000000000007E-2</v>
      </c>
      <c r="Q7" s="440">
        <v>0.03</v>
      </c>
      <c r="R7" s="440">
        <v>0.2</v>
      </c>
      <c r="S7" s="440">
        <v>0.28000000000000003</v>
      </c>
      <c r="T7" s="440">
        <v>0.24</v>
      </c>
      <c r="U7" s="440">
        <v>0.39</v>
      </c>
      <c r="V7" s="440">
        <v>0.33</v>
      </c>
      <c r="W7" s="440">
        <v>0.1</v>
      </c>
      <c r="X7" s="440">
        <v>0.16</v>
      </c>
      <c r="Y7" s="440">
        <v>0.14000000000000001</v>
      </c>
      <c r="Z7" s="440"/>
      <c r="AA7">
        <f t="shared" si="1"/>
        <v>50.560000000000009</v>
      </c>
      <c r="AB7">
        <f t="shared" si="2"/>
        <v>3.4303126805657051E-2</v>
      </c>
      <c r="AC7" s="441">
        <f t="shared" si="0"/>
        <v>6.1114734993266577E-2</v>
      </c>
    </row>
    <row r="8" spans="1:29" x14ac:dyDescent="0.25">
      <c r="A8" s="77">
        <v>4</v>
      </c>
      <c r="B8" s="440">
        <v>0.87</v>
      </c>
      <c r="C8" s="440">
        <v>0.02</v>
      </c>
      <c r="D8" s="440">
        <v>0.88</v>
      </c>
      <c r="E8" s="440"/>
      <c r="F8" s="440"/>
      <c r="G8" s="440">
        <v>0.39</v>
      </c>
      <c r="H8" s="440">
        <v>7.0000000000000007E-2</v>
      </c>
      <c r="I8" s="440">
        <v>0.22</v>
      </c>
      <c r="J8" s="440">
        <v>0.49</v>
      </c>
      <c r="K8" s="440">
        <v>0.99</v>
      </c>
      <c r="L8" s="440"/>
      <c r="M8" s="440"/>
      <c r="N8" s="440"/>
      <c r="O8" s="440">
        <v>0.02</v>
      </c>
      <c r="P8" s="440">
        <v>0.03</v>
      </c>
      <c r="Q8" s="440">
        <v>0.01</v>
      </c>
      <c r="R8" s="440">
        <v>0.1</v>
      </c>
      <c r="S8" s="440">
        <v>0.09</v>
      </c>
      <c r="T8" s="440">
        <v>0.06</v>
      </c>
      <c r="U8" s="440">
        <v>0.09</v>
      </c>
      <c r="V8" s="440">
        <v>0.15</v>
      </c>
      <c r="W8" s="440">
        <v>0.04</v>
      </c>
      <c r="X8" s="440">
        <v>0.11</v>
      </c>
      <c r="Y8" s="440">
        <v>0.11</v>
      </c>
      <c r="Z8" s="440"/>
      <c r="AA8">
        <f t="shared" si="1"/>
        <v>18.96</v>
      </c>
      <c r="AB8">
        <f t="shared" si="2"/>
        <v>1.2863672552121392E-2</v>
      </c>
      <c r="AC8" s="441">
        <f t="shared" si="0"/>
        <v>2.6811608187609526E-2</v>
      </c>
    </row>
    <row r="9" spans="1:29" x14ac:dyDescent="0.25">
      <c r="A9" s="77">
        <v>2</v>
      </c>
      <c r="B9" s="440">
        <v>0.87</v>
      </c>
      <c r="C9" s="440">
        <v>0.01</v>
      </c>
      <c r="D9" s="440">
        <v>0.88</v>
      </c>
      <c r="E9" s="440"/>
      <c r="F9" s="440"/>
      <c r="G9" s="440">
        <v>0.3</v>
      </c>
      <c r="H9" s="440">
        <v>0.04</v>
      </c>
      <c r="I9" s="440">
        <v>0.21</v>
      </c>
      <c r="J9" s="440">
        <v>0.49</v>
      </c>
      <c r="K9" s="440">
        <v>0.98</v>
      </c>
      <c r="L9" s="440"/>
      <c r="M9" s="440"/>
      <c r="N9" s="440"/>
      <c r="O9" s="440">
        <v>0.01</v>
      </c>
      <c r="P9" s="440">
        <v>0.02</v>
      </c>
      <c r="Q9" s="440">
        <v>0.01</v>
      </c>
      <c r="R9" s="440">
        <v>7.0000000000000007E-2</v>
      </c>
      <c r="S9" s="440">
        <v>0.04</v>
      </c>
      <c r="T9" s="440">
        <v>0.02</v>
      </c>
      <c r="U9" s="440">
        <v>0.04</v>
      </c>
      <c r="V9" s="440">
        <v>0.11</v>
      </c>
      <c r="W9" s="440">
        <v>0.03</v>
      </c>
      <c r="X9" s="440">
        <v>0.11</v>
      </c>
      <c r="Y9" s="440">
        <v>0.11</v>
      </c>
      <c r="Z9" s="440"/>
      <c r="AA9">
        <f t="shared" si="1"/>
        <v>8.7000000000000011</v>
      </c>
      <c r="AB9">
        <f t="shared" si="2"/>
        <v>5.9026345571443102E-3</v>
      </c>
      <c r="AC9" s="441">
        <f t="shared" si="0"/>
        <v>1.3947935635488134E-2</v>
      </c>
    </row>
    <row r="10" spans="1:29" x14ac:dyDescent="0.25">
      <c r="A10" s="77">
        <v>1</v>
      </c>
      <c r="B10" s="440">
        <v>0.87</v>
      </c>
      <c r="C10" s="440">
        <v>0.01</v>
      </c>
      <c r="D10" s="440">
        <v>0.87</v>
      </c>
      <c r="E10" s="440"/>
      <c r="F10" s="440"/>
      <c r="G10" s="440">
        <v>0.26</v>
      </c>
      <c r="H10" s="440">
        <v>0.04</v>
      </c>
      <c r="I10" s="440">
        <v>0.21</v>
      </c>
      <c r="J10" s="440">
        <v>0.49</v>
      </c>
      <c r="K10" s="440">
        <v>0.98</v>
      </c>
      <c r="L10" s="440"/>
      <c r="M10" s="440"/>
      <c r="N10" s="440"/>
      <c r="O10" s="440">
        <v>0.01</v>
      </c>
      <c r="P10" s="440">
        <v>0.02</v>
      </c>
      <c r="Q10" s="440">
        <v>0.01</v>
      </c>
      <c r="R10" s="440">
        <v>0.06</v>
      </c>
      <c r="S10" s="440">
        <v>0.03</v>
      </c>
      <c r="T10" s="440">
        <v>0.02</v>
      </c>
      <c r="U10" s="440">
        <v>0.03</v>
      </c>
      <c r="V10" s="440">
        <v>0.1</v>
      </c>
      <c r="W10" s="440">
        <v>0.03</v>
      </c>
      <c r="X10" s="440">
        <v>0.1</v>
      </c>
      <c r="Y10" s="440">
        <v>0.1</v>
      </c>
      <c r="Z10" s="440"/>
      <c r="AA10">
        <f t="shared" si="1"/>
        <v>4.2399999999999984</v>
      </c>
      <c r="AB10">
        <f t="shared" si="2"/>
        <v>2.8766862669300994E-3</v>
      </c>
      <c r="AC10" s="441">
        <f t="shared" si="0"/>
        <v>8.045301078343824E-3</v>
      </c>
    </row>
    <row r="11" spans="1:29" x14ac:dyDescent="0.25">
      <c r="A11" s="77">
        <v>0.5</v>
      </c>
      <c r="B11" s="440">
        <v>0.87</v>
      </c>
      <c r="C11" s="440">
        <v>0.01</v>
      </c>
      <c r="D11" s="440">
        <v>0.87</v>
      </c>
      <c r="E11" s="440">
        <v>1</v>
      </c>
      <c r="F11" s="440">
        <v>1</v>
      </c>
      <c r="G11" s="440">
        <v>0.2</v>
      </c>
      <c r="H11" s="440">
        <v>0.03</v>
      </c>
      <c r="I11" s="440">
        <v>0.21</v>
      </c>
      <c r="J11" s="440">
        <v>0.49</v>
      </c>
      <c r="K11" s="440">
        <v>0.98</v>
      </c>
      <c r="L11" s="440">
        <v>1</v>
      </c>
      <c r="M11" s="440">
        <v>1</v>
      </c>
      <c r="N11" s="440">
        <v>1</v>
      </c>
      <c r="O11" s="440">
        <v>0.01</v>
      </c>
      <c r="P11" s="440">
        <v>0.02</v>
      </c>
      <c r="Q11" s="440">
        <v>0.01</v>
      </c>
      <c r="R11" s="440">
        <v>0.06</v>
      </c>
      <c r="S11" s="440">
        <v>0.03</v>
      </c>
      <c r="T11" s="440">
        <v>0.01</v>
      </c>
      <c r="U11" s="440">
        <v>0.02</v>
      </c>
      <c r="V11" s="440">
        <v>0.09</v>
      </c>
      <c r="W11" s="440">
        <v>0.03</v>
      </c>
      <c r="X11" s="440">
        <v>0.1</v>
      </c>
      <c r="Y11" s="440">
        <v>0.1</v>
      </c>
      <c r="Z11" s="440">
        <v>1</v>
      </c>
      <c r="AA11">
        <f t="shared" si="1"/>
        <v>5.0699999999999985</v>
      </c>
      <c r="AB11">
        <f t="shared" si="2"/>
        <v>3.4398111729565103E-3</v>
      </c>
      <c r="AC11" s="441">
        <f t="shared" si="0"/>
        <v>5.1686148114137246E-3</v>
      </c>
    </row>
    <row r="12" spans="1:29" x14ac:dyDescent="0.25">
      <c r="A12" s="77">
        <v>0.25</v>
      </c>
      <c r="B12" s="440">
        <v>0.86</v>
      </c>
      <c r="C12" s="440">
        <v>0.01</v>
      </c>
      <c r="D12" s="440">
        <v>0.75</v>
      </c>
      <c r="E12" s="440">
        <v>0.99</v>
      </c>
      <c r="F12" s="440">
        <v>0.93</v>
      </c>
      <c r="G12" s="440">
        <v>0.1</v>
      </c>
      <c r="H12" s="440">
        <v>0.01</v>
      </c>
      <c r="I12" s="440">
        <v>0.15</v>
      </c>
      <c r="J12" s="440">
        <v>0.36</v>
      </c>
      <c r="K12" s="440">
        <v>0.77</v>
      </c>
      <c r="L12" s="440">
        <v>0.97</v>
      </c>
      <c r="M12" s="440">
        <v>0.97</v>
      </c>
      <c r="N12" s="440">
        <v>0.96</v>
      </c>
      <c r="O12" s="440">
        <v>0.01</v>
      </c>
      <c r="P12" s="440">
        <v>0.01</v>
      </c>
      <c r="Q12" s="440">
        <v>0.01</v>
      </c>
      <c r="R12" s="440">
        <v>0.02</v>
      </c>
      <c r="S12" s="440">
        <v>0.01</v>
      </c>
      <c r="T12" s="440">
        <v>0.01</v>
      </c>
      <c r="U12" s="440">
        <v>0.01</v>
      </c>
      <c r="V12" s="440">
        <v>0.05</v>
      </c>
      <c r="W12" s="440">
        <v>0.01</v>
      </c>
      <c r="X12" s="440">
        <v>0.04</v>
      </c>
      <c r="Y12" s="440">
        <v>0.06</v>
      </c>
      <c r="Z12" s="440">
        <v>0.81</v>
      </c>
      <c r="AA12">
        <f t="shared" si="1"/>
        <v>2.2199999999999993</v>
      </c>
      <c r="AB12">
        <f t="shared" si="2"/>
        <v>1.5061895076850993E-3</v>
      </c>
      <c r="AC12" s="441">
        <f t="shared" si="0"/>
        <v>1.7288036384572147E-3</v>
      </c>
    </row>
    <row r="13" spans="1:29" x14ac:dyDescent="0.25">
      <c r="A13" s="77">
        <v>0.125</v>
      </c>
      <c r="B13" s="440">
        <v>0.56000000000000005</v>
      </c>
      <c r="C13" s="440">
        <v>4.0000000000000001E-3</v>
      </c>
      <c r="D13" s="440">
        <v>0.24</v>
      </c>
      <c r="E13" s="440">
        <v>0.89</v>
      </c>
      <c r="F13" s="440">
        <v>0.16</v>
      </c>
      <c r="G13" s="440">
        <v>0.01</v>
      </c>
      <c r="H13" s="440">
        <v>1E-3</v>
      </c>
      <c r="I13" s="440">
        <v>0.01</v>
      </c>
      <c r="J13" s="440">
        <v>0.02</v>
      </c>
      <c r="K13" s="440">
        <v>0.04</v>
      </c>
      <c r="L13" s="440">
        <v>0.14000000000000001</v>
      </c>
      <c r="M13" s="440">
        <v>0.17</v>
      </c>
      <c r="N13" s="440">
        <v>0.12</v>
      </c>
      <c r="O13" s="440">
        <v>2E-3</v>
      </c>
      <c r="P13" s="440">
        <v>2E-3</v>
      </c>
      <c r="Q13" s="440">
        <v>2E-3</v>
      </c>
      <c r="R13" s="440">
        <v>2E-3</v>
      </c>
      <c r="S13" s="440">
        <v>2E-3</v>
      </c>
      <c r="T13" s="440">
        <v>1E-3</v>
      </c>
      <c r="U13" s="440">
        <v>1E-3</v>
      </c>
      <c r="V13" s="440">
        <v>3.0000000000000001E-3</v>
      </c>
      <c r="W13" s="440">
        <v>1E-3</v>
      </c>
      <c r="X13" s="440">
        <v>4.0000000000000001E-3</v>
      </c>
      <c r="Y13" s="440">
        <v>4.0000000000000001E-3</v>
      </c>
      <c r="Z13" s="440">
        <v>0.04</v>
      </c>
      <c r="AA13">
        <f t="shared" si="1"/>
        <v>0.30362499999999981</v>
      </c>
      <c r="AB13">
        <f t="shared" si="2"/>
        <v>2.0599855372562526E-4</v>
      </c>
      <c r="AC13" s="441">
        <f>AC14+AB13</f>
        <v>2.2261413077211541E-4</v>
      </c>
    </row>
    <row r="14" spans="1:29" x14ac:dyDescent="0.25">
      <c r="A14" s="77">
        <v>6.2E-2</v>
      </c>
      <c r="B14" s="440">
        <v>0.02</v>
      </c>
      <c r="C14" s="440">
        <v>0</v>
      </c>
      <c r="D14" s="440">
        <v>0.01</v>
      </c>
      <c r="E14" s="440">
        <v>0.34</v>
      </c>
      <c r="F14" s="440">
        <v>0.01</v>
      </c>
      <c r="G14" s="440">
        <v>1E-3</v>
      </c>
      <c r="H14" s="440">
        <v>0</v>
      </c>
      <c r="I14" s="440">
        <v>1E-3</v>
      </c>
      <c r="J14" s="440">
        <v>1E-3</v>
      </c>
      <c r="K14" s="440">
        <v>1E-3</v>
      </c>
      <c r="L14" s="440">
        <v>2E-3</v>
      </c>
      <c r="M14" s="440">
        <v>3.0000000000000001E-3</v>
      </c>
      <c r="N14" s="440">
        <v>4.0000000000000001E-3</v>
      </c>
      <c r="O14" s="440">
        <v>0</v>
      </c>
      <c r="P14" s="440">
        <v>0</v>
      </c>
      <c r="Q14" s="440">
        <v>0</v>
      </c>
      <c r="R14" s="440">
        <v>0</v>
      </c>
      <c r="S14" s="440">
        <v>0</v>
      </c>
      <c r="T14" s="440">
        <v>0</v>
      </c>
      <c r="U14" s="440">
        <v>0</v>
      </c>
      <c r="V14" s="440">
        <v>0</v>
      </c>
      <c r="W14" s="440">
        <v>0</v>
      </c>
      <c r="X14" s="440">
        <v>0</v>
      </c>
      <c r="Y14" s="440">
        <v>0</v>
      </c>
      <c r="Z14" s="440">
        <v>2E-3</v>
      </c>
      <c r="AA14">
        <f t="shared" si="1"/>
        <v>2.4490000000000001E-2</v>
      </c>
      <c r="AB14">
        <f t="shared" si="2"/>
        <v>1.6615577046490133E-5</v>
      </c>
      <c r="AC14" s="441">
        <f>AB14</f>
        <v>1.6615577046490133E-5</v>
      </c>
    </row>
    <row r="15" spans="1:29" x14ac:dyDescent="0.25">
      <c r="AA15">
        <f>SUM(AA4:AA14)</f>
        <v>1473.9181149999999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H7894"/>
  <sheetViews>
    <sheetView workbookViewId="0">
      <selection activeCell="D30" sqref="D30"/>
    </sheetView>
  </sheetViews>
  <sheetFormatPr defaultRowHeight="15" x14ac:dyDescent="0.25"/>
  <cols>
    <col min="1" max="1" width="17" style="78" customWidth="1"/>
    <col min="2" max="2" width="19.28515625" style="467" customWidth="1"/>
    <col min="4" max="4" width="10.5703125" bestFit="1" customWidth="1"/>
    <col min="7" max="7" width="12.5703125" bestFit="1" customWidth="1"/>
  </cols>
  <sheetData>
    <row r="1" spans="1:8" ht="15.75" thickBot="1" x14ac:dyDescent="0.3">
      <c r="A1" s="421"/>
      <c r="B1" s="447"/>
    </row>
    <row r="2" spans="1:8" ht="30.75" thickTop="1" x14ac:dyDescent="0.25">
      <c r="A2" s="355" t="s">
        <v>69</v>
      </c>
      <c r="B2" s="448" t="s">
        <v>26</v>
      </c>
    </row>
    <row r="3" spans="1:8" ht="18" thickBot="1" x14ac:dyDescent="0.3">
      <c r="A3" s="356" t="s">
        <v>614</v>
      </c>
      <c r="B3" s="449" t="s">
        <v>27</v>
      </c>
      <c r="F3" t="s">
        <v>616</v>
      </c>
    </row>
    <row r="4" spans="1:8" ht="15.75" thickTop="1" x14ac:dyDescent="0.25">
      <c r="A4" s="11" t="s">
        <v>254</v>
      </c>
      <c r="B4" s="450"/>
      <c r="F4" t="s">
        <v>617</v>
      </c>
      <c r="G4" t="s">
        <v>618</v>
      </c>
    </row>
    <row r="5" spans="1:8" x14ac:dyDescent="0.25">
      <c r="A5" s="175">
        <v>0.45</v>
      </c>
      <c r="B5" s="451">
        <v>5.7600000000000004E-3</v>
      </c>
      <c r="C5" t="str">
        <f>IF(B5=0,"XXXXXXXX","")</f>
        <v/>
      </c>
      <c r="D5" s="468"/>
      <c r="E5">
        <v>1</v>
      </c>
      <c r="F5" s="469">
        <v>15.220387499999999</v>
      </c>
      <c r="G5" s="438" t="s">
        <v>615</v>
      </c>
      <c r="H5" s="475">
        <v>0.77833871639999996</v>
      </c>
    </row>
    <row r="6" spans="1:8" x14ac:dyDescent="0.25">
      <c r="A6" s="175">
        <v>0.72</v>
      </c>
      <c r="B6" s="451">
        <v>3.5999999999999999E-3</v>
      </c>
      <c r="C6" t="str">
        <f t="shared" ref="C6:C69" si="0">IF(B6=0,"XXXXXXXX","")</f>
        <v/>
      </c>
      <c r="E6">
        <v>2</v>
      </c>
      <c r="F6" s="469">
        <v>10.19412</v>
      </c>
      <c r="G6" s="438" t="s">
        <v>615</v>
      </c>
      <c r="H6" s="475">
        <v>4.0614732899999999E-2</v>
      </c>
    </row>
    <row r="7" spans="1:8" x14ac:dyDescent="0.25">
      <c r="A7" s="175">
        <v>0.56000000000000005</v>
      </c>
      <c r="B7" s="451">
        <v>1.312E-2</v>
      </c>
      <c r="C7" t="str">
        <f t="shared" si="0"/>
        <v/>
      </c>
      <c r="E7">
        <v>3</v>
      </c>
      <c r="F7" s="469">
        <v>9.6844140000000003</v>
      </c>
      <c r="G7" s="438" t="s">
        <v>615</v>
      </c>
      <c r="H7" s="475">
        <v>4.1754014820000004E-2</v>
      </c>
    </row>
    <row r="8" spans="1:8" x14ac:dyDescent="0.25">
      <c r="A8" s="175">
        <v>0.35</v>
      </c>
      <c r="B8" s="451">
        <v>6.8999999999999997E-4</v>
      </c>
      <c r="C8" t="str">
        <f t="shared" si="0"/>
        <v/>
      </c>
      <c r="E8">
        <v>4</v>
      </c>
      <c r="F8" s="469">
        <v>10.024217999999999</v>
      </c>
      <c r="G8" s="438" t="s">
        <v>615</v>
      </c>
      <c r="H8" s="475">
        <v>1.6437256920000001E-2</v>
      </c>
    </row>
    <row r="9" spans="1:8" x14ac:dyDescent="0.25">
      <c r="A9" s="175">
        <v>0.38</v>
      </c>
      <c r="B9" s="451">
        <v>1.17E-3</v>
      </c>
      <c r="C9" t="str">
        <f t="shared" si="0"/>
        <v/>
      </c>
      <c r="E9">
        <v>5</v>
      </c>
      <c r="F9" s="469">
        <v>10.109169</v>
      </c>
      <c r="G9" s="438" t="s">
        <v>615</v>
      </c>
      <c r="H9" s="475">
        <v>4.9142658600000002E-3</v>
      </c>
    </row>
    <row r="10" spans="1:8" x14ac:dyDescent="0.25">
      <c r="A10" s="175">
        <v>0.56000000000000005</v>
      </c>
      <c r="B10" s="451">
        <v>8.0000000000000007E-5</v>
      </c>
      <c r="C10" t="str">
        <f t="shared" si="0"/>
        <v/>
      </c>
      <c r="E10">
        <v>6</v>
      </c>
      <c r="F10" s="469">
        <v>9.3729269999999989</v>
      </c>
      <c r="G10" s="438" t="s">
        <v>615</v>
      </c>
      <c r="H10" s="475">
        <v>7.635636539999999E-3</v>
      </c>
    </row>
    <row r="11" spans="1:8" x14ac:dyDescent="0.25">
      <c r="A11" s="175">
        <v>0.74</v>
      </c>
      <c r="B11" s="451">
        <v>3.8999999999999999E-4</v>
      </c>
      <c r="C11" t="str">
        <f t="shared" si="0"/>
        <v/>
      </c>
      <c r="E11">
        <v>7</v>
      </c>
      <c r="F11" s="469">
        <v>8.9623305000000002</v>
      </c>
      <c r="G11" s="438" t="s">
        <v>615</v>
      </c>
      <c r="H11" s="475">
        <v>8.2348721280000009E-2</v>
      </c>
    </row>
    <row r="12" spans="1:8" x14ac:dyDescent="0.25">
      <c r="A12" s="175">
        <v>0.67</v>
      </c>
      <c r="B12" s="451">
        <v>1.0290000000000001E-2</v>
      </c>
      <c r="C12" t="str">
        <f t="shared" si="0"/>
        <v/>
      </c>
      <c r="E12">
        <v>8</v>
      </c>
      <c r="F12" s="469">
        <v>8.3393564999999992</v>
      </c>
      <c r="G12" s="438" t="s">
        <v>615</v>
      </c>
      <c r="H12" s="475">
        <v>9.0118980000000021E-5</v>
      </c>
    </row>
    <row r="13" spans="1:8" x14ac:dyDescent="0.25">
      <c r="A13" s="175">
        <v>0.88</v>
      </c>
      <c r="B13" s="451">
        <v>2.877E-2</v>
      </c>
      <c r="C13" t="str">
        <f t="shared" si="0"/>
        <v/>
      </c>
      <c r="E13">
        <v>9</v>
      </c>
      <c r="F13" s="469">
        <v>6.9942989999999998</v>
      </c>
      <c r="G13" s="438" t="s">
        <v>615</v>
      </c>
      <c r="H13" s="475">
        <v>2.2385109600000005E-3</v>
      </c>
    </row>
    <row r="14" spans="1:8" x14ac:dyDescent="0.25">
      <c r="A14" s="175">
        <v>0.81</v>
      </c>
      <c r="B14" s="451">
        <v>1.482E-2</v>
      </c>
      <c r="C14" t="str">
        <f t="shared" si="0"/>
        <v/>
      </c>
      <c r="E14">
        <v>10</v>
      </c>
      <c r="F14" s="469">
        <v>7.0934084999999998</v>
      </c>
      <c r="G14" s="438" t="s">
        <v>615</v>
      </c>
      <c r="H14" s="475">
        <v>1.1036793600000001E-3</v>
      </c>
    </row>
    <row r="15" spans="1:8" x14ac:dyDescent="0.25">
      <c r="A15" s="175">
        <v>0.76</v>
      </c>
      <c r="B15" s="451">
        <v>6.5399999999999998E-3</v>
      </c>
      <c r="C15" t="str">
        <f t="shared" si="0"/>
        <v/>
      </c>
      <c r="E15">
        <v>11</v>
      </c>
      <c r="F15" s="470">
        <v>14.094786749999999</v>
      </c>
      <c r="G15" s="471" t="s">
        <v>615</v>
      </c>
      <c r="H15" s="476">
        <v>0.34479258660000006</v>
      </c>
    </row>
    <row r="16" spans="1:8" x14ac:dyDescent="0.25">
      <c r="A16" s="175">
        <v>0.69</v>
      </c>
      <c r="B16" s="451">
        <v>4.8700000000000002E-3</v>
      </c>
      <c r="C16" t="str">
        <f t="shared" si="0"/>
        <v/>
      </c>
      <c r="E16">
        <v>12</v>
      </c>
      <c r="F16" s="469">
        <v>12.402845999999998</v>
      </c>
      <c r="G16" s="438" t="s">
        <v>615</v>
      </c>
      <c r="H16" s="475">
        <v>1.0168842127500002</v>
      </c>
    </row>
    <row r="17" spans="1:8" x14ac:dyDescent="0.25">
      <c r="A17" s="175">
        <v>0.86</v>
      </c>
      <c r="B17" s="451">
        <v>2.3500000000000001E-3</v>
      </c>
      <c r="C17" t="str">
        <f t="shared" si="0"/>
        <v/>
      </c>
      <c r="E17">
        <v>13</v>
      </c>
      <c r="F17" s="469">
        <v>14.469987</v>
      </c>
      <c r="G17" s="438" t="s">
        <v>615</v>
      </c>
      <c r="H17" s="475">
        <v>0.37126794600000007</v>
      </c>
    </row>
    <row r="18" spans="1:8" x14ac:dyDescent="0.25">
      <c r="A18" s="175">
        <v>0.8</v>
      </c>
      <c r="B18" s="451">
        <v>1.1429999999999999E-2</v>
      </c>
      <c r="C18" t="str">
        <f t="shared" si="0"/>
        <v/>
      </c>
      <c r="E18">
        <v>14</v>
      </c>
      <c r="F18" s="469">
        <v>12.261260999999999</v>
      </c>
      <c r="G18" s="438" t="s">
        <v>615</v>
      </c>
      <c r="H18" s="475">
        <v>2.7758871000000004E-3</v>
      </c>
    </row>
    <row r="19" spans="1:8" x14ac:dyDescent="0.25">
      <c r="A19" s="175">
        <v>0.86</v>
      </c>
      <c r="B19" s="451">
        <v>1.025E-2</v>
      </c>
      <c r="C19" t="str">
        <f t="shared" si="0"/>
        <v/>
      </c>
      <c r="E19">
        <v>15</v>
      </c>
      <c r="F19" s="469">
        <v>12.091358999999999</v>
      </c>
      <c r="G19" s="438" t="s">
        <v>615</v>
      </c>
      <c r="H19" s="475">
        <v>2.7608672700000003E-2</v>
      </c>
    </row>
    <row r="20" spans="1:8" x14ac:dyDescent="0.25">
      <c r="A20" s="175">
        <v>0.76</v>
      </c>
      <c r="B20" s="451">
        <v>9.3000000000000005E-4</v>
      </c>
      <c r="C20" t="str">
        <f t="shared" si="0"/>
        <v/>
      </c>
      <c r="E20">
        <v>16</v>
      </c>
      <c r="F20" s="469">
        <v>11.355117</v>
      </c>
      <c r="G20" s="438" t="s">
        <v>615</v>
      </c>
      <c r="H20" s="475">
        <v>5.9066872199999999E-3</v>
      </c>
    </row>
    <row r="21" spans="1:8" x14ac:dyDescent="0.25">
      <c r="A21" s="175">
        <v>0.75</v>
      </c>
      <c r="B21" s="451">
        <v>1.043E-2</v>
      </c>
      <c r="C21" t="str">
        <f t="shared" si="0"/>
        <v/>
      </c>
      <c r="E21">
        <v>17</v>
      </c>
      <c r="F21" s="470">
        <v>11.836506</v>
      </c>
      <c r="G21" s="471" t="s">
        <v>615</v>
      </c>
      <c r="H21" s="476">
        <v>5.3300362499999997E-3</v>
      </c>
    </row>
    <row r="22" spans="1:8" x14ac:dyDescent="0.25">
      <c r="A22" s="175">
        <v>0.79</v>
      </c>
      <c r="B22" s="451">
        <v>4.6000000000000001E-4</v>
      </c>
      <c r="C22" t="str">
        <f t="shared" si="0"/>
        <v/>
      </c>
      <c r="E22">
        <v>18</v>
      </c>
      <c r="F22" s="470">
        <v>11.9072985</v>
      </c>
      <c r="G22" s="471" t="s">
        <v>615</v>
      </c>
      <c r="H22" s="476">
        <v>0.33092612437500002</v>
      </c>
    </row>
    <row r="23" spans="1:8" x14ac:dyDescent="0.25">
      <c r="A23" s="175">
        <v>0.91</v>
      </c>
      <c r="B23" s="451">
        <v>1.8190000000000001E-2</v>
      </c>
      <c r="C23" t="str">
        <f t="shared" si="0"/>
        <v/>
      </c>
      <c r="E23">
        <v>19</v>
      </c>
      <c r="F23" s="470">
        <v>14.838107999999998</v>
      </c>
      <c r="G23" s="471" t="s">
        <v>615</v>
      </c>
      <c r="H23" s="476">
        <v>0.24242872499999998</v>
      </c>
    </row>
    <row r="24" spans="1:8" x14ac:dyDescent="0.25">
      <c r="A24" s="175">
        <v>0.77</v>
      </c>
      <c r="B24" s="451">
        <v>3.14E-3</v>
      </c>
      <c r="C24" t="str">
        <f t="shared" si="0"/>
        <v/>
      </c>
      <c r="E24">
        <v>20</v>
      </c>
      <c r="F24" s="469">
        <v>14.569096499999999</v>
      </c>
      <c r="G24" s="438" t="s">
        <v>615</v>
      </c>
      <c r="H24" s="475">
        <v>5.7225552299999996E-2</v>
      </c>
    </row>
    <row r="25" spans="1:8" x14ac:dyDescent="0.25">
      <c r="A25" s="175">
        <v>0.81</v>
      </c>
      <c r="B25" s="451">
        <v>2.6589999999999999E-2</v>
      </c>
      <c r="C25" t="str">
        <f t="shared" si="0"/>
        <v/>
      </c>
      <c r="E25">
        <v>21</v>
      </c>
      <c r="F25" s="470">
        <v>14.200975499999998</v>
      </c>
      <c r="G25" s="471" t="s">
        <v>615</v>
      </c>
      <c r="H25" s="476">
        <v>5.4500985000000002E-2</v>
      </c>
    </row>
    <row r="26" spans="1:8" x14ac:dyDescent="0.25">
      <c r="A26" s="175">
        <v>0.72</v>
      </c>
      <c r="B26" s="451">
        <v>2.0999999999999999E-3</v>
      </c>
      <c r="C26" t="str">
        <f t="shared" si="0"/>
        <v/>
      </c>
      <c r="E26">
        <v>22</v>
      </c>
      <c r="F26" s="469">
        <v>14.5124625</v>
      </c>
      <c r="G26" s="438" t="s">
        <v>615</v>
      </c>
      <c r="H26" s="475">
        <v>6.3038782799999998E-2</v>
      </c>
    </row>
    <row r="27" spans="1:8" x14ac:dyDescent="0.25">
      <c r="A27" s="175">
        <v>0.55000000000000004</v>
      </c>
      <c r="B27" s="451">
        <v>5.9800000000000001E-3</v>
      </c>
      <c r="C27" t="str">
        <f t="shared" si="0"/>
        <v/>
      </c>
      <c r="E27">
        <v>23</v>
      </c>
      <c r="F27" s="470">
        <v>10.930361999999999</v>
      </c>
      <c r="G27" s="471" t="s">
        <v>615</v>
      </c>
      <c r="H27" s="476">
        <v>3.9855815999999995E-2</v>
      </c>
    </row>
    <row r="28" spans="1:8" x14ac:dyDescent="0.25">
      <c r="A28" s="175">
        <v>0.49</v>
      </c>
      <c r="B28" s="451">
        <v>5.0899999999999999E-3</v>
      </c>
      <c r="C28" t="str">
        <f t="shared" si="0"/>
        <v/>
      </c>
      <c r="E28">
        <v>24</v>
      </c>
      <c r="F28" s="470">
        <v>10.618874999999999</v>
      </c>
      <c r="G28" s="471" t="s">
        <v>615</v>
      </c>
      <c r="H28" s="476">
        <v>0.10320623775000001</v>
      </c>
    </row>
    <row r="29" spans="1:8" x14ac:dyDescent="0.25">
      <c r="A29" s="175">
        <v>0.47</v>
      </c>
      <c r="B29" s="451">
        <v>2.96E-3</v>
      </c>
      <c r="C29" t="str">
        <f t="shared" si="0"/>
        <v/>
      </c>
      <c r="E29">
        <v>25</v>
      </c>
      <c r="F29" s="470">
        <v>10.420655999999999</v>
      </c>
      <c r="G29" s="471" t="s">
        <v>615</v>
      </c>
      <c r="H29" s="476">
        <v>2.3666816250000004E-2</v>
      </c>
    </row>
    <row r="30" spans="1:8" x14ac:dyDescent="0.25">
      <c r="A30" s="175">
        <v>0.47</v>
      </c>
      <c r="B30" s="451">
        <v>5.7200000000000003E-3</v>
      </c>
      <c r="C30" t="str">
        <f t="shared" si="0"/>
        <v/>
      </c>
      <c r="E30">
        <v>26</v>
      </c>
      <c r="F30" s="469">
        <v>11.723237999999998</v>
      </c>
      <c r="G30" s="438" t="s">
        <v>615</v>
      </c>
      <c r="H30" s="475">
        <v>0.1015748454</v>
      </c>
    </row>
    <row r="31" spans="1:8" x14ac:dyDescent="0.25">
      <c r="A31" s="175">
        <v>0.46</v>
      </c>
      <c r="B31" s="451">
        <v>2.2499999999999998E-3</v>
      </c>
      <c r="C31" t="str">
        <f t="shared" si="0"/>
        <v/>
      </c>
      <c r="E31">
        <v>27</v>
      </c>
      <c r="F31" s="470">
        <v>11.8789815</v>
      </c>
      <c r="G31" s="471" t="s">
        <v>615</v>
      </c>
      <c r="H31" s="476">
        <v>1.6232658750000004E-2</v>
      </c>
    </row>
    <row r="32" spans="1:8" x14ac:dyDescent="0.25">
      <c r="A32" s="175">
        <v>0.44</v>
      </c>
      <c r="B32" s="451">
        <v>3.0000000000000001E-3</v>
      </c>
      <c r="C32" t="str">
        <f t="shared" si="0"/>
        <v/>
      </c>
      <c r="E32">
        <v>28</v>
      </c>
      <c r="F32" s="469">
        <v>11.87190225</v>
      </c>
      <c r="G32" s="438" t="s">
        <v>615</v>
      </c>
      <c r="H32" s="475">
        <v>1.6532660655000003E-2</v>
      </c>
    </row>
    <row r="33" spans="1:8" x14ac:dyDescent="0.25">
      <c r="A33" s="175">
        <v>0.43</v>
      </c>
      <c r="B33" s="451">
        <v>1.9599999999999999E-3</v>
      </c>
      <c r="C33" t="str">
        <f t="shared" si="0"/>
        <v/>
      </c>
      <c r="E33">
        <v>29</v>
      </c>
      <c r="F33" s="470">
        <v>11.624128499999999</v>
      </c>
      <c r="G33" s="471" t="s">
        <v>615</v>
      </c>
      <c r="H33" s="476">
        <v>3.1248525000000002E-3</v>
      </c>
    </row>
    <row r="34" spans="1:8" x14ac:dyDescent="0.25">
      <c r="A34" s="175">
        <v>0.41</v>
      </c>
      <c r="B34" s="451">
        <v>1.92E-3</v>
      </c>
      <c r="C34" t="str">
        <f t="shared" si="0"/>
        <v/>
      </c>
      <c r="E34">
        <v>30</v>
      </c>
      <c r="F34" s="469">
        <v>12.247102499999999</v>
      </c>
      <c r="G34" s="438" t="s">
        <v>615</v>
      </c>
      <c r="H34" s="475">
        <v>2.8964166000000004E-3</v>
      </c>
    </row>
    <row r="35" spans="1:8" x14ac:dyDescent="0.25">
      <c r="A35" s="175">
        <v>0.39</v>
      </c>
      <c r="B35" s="451">
        <v>4.8999999999999998E-4</v>
      </c>
      <c r="C35" t="str">
        <f t="shared" si="0"/>
        <v/>
      </c>
      <c r="E35">
        <v>31</v>
      </c>
      <c r="F35" s="470">
        <v>12.048883499999999</v>
      </c>
      <c r="G35" s="471" t="s">
        <v>615</v>
      </c>
      <c r="H35" s="476">
        <v>7.6302187499999998E-3</v>
      </c>
    </row>
    <row r="36" spans="1:8" x14ac:dyDescent="0.25">
      <c r="A36" s="175">
        <v>0.32</v>
      </c>
      <c r="B36" s="451">
        <v>1.3699999999999999E-3</v>
      </c>
      <c r="C36" t="str">
        <f t="shared" si="0"/>
        <v/>
      </c>
      <c r="E36">
        <v>32</v>
      </c>
      <c r="F36" s="469">
        <v>11.185214999999999</v>
      </c>
      <c r="G36" s="438" t="s">
        <v>615</v>
      </c>
      <c r="H36" s="475">
        <v>1.09867275E-2</v>
      </c>
    </row>
    <row r="37" spans="1:8" x14ac:dyDescent="0.25">
      <c r="A37" s="175">
        <v>0.31</v>
      </c>
      <c r="B37" s="451">
        <v>1.2E-4</v>
      </c>
      <c r="C37" t="str">
        <f t="shared" si="0"/>
        <v/>
      </c>
      <c r="E37">
        <v>33</v>
      </c>
      <c r="F37" s="470">
        <v>11.1144225</v>
      </c>
      <c r="G37" s="471" t="s">
        <v>615</v>
      </c>
      <c r="H37" s="476">
        <v>2.3907345E-2</v>
      </c>
    </row>
    <row r="38" spans="1:8" x14ac:dyDescent="0.25">
      <c r="A38" s="175">
        <v>0.3</v>
      </c>
      <c r="B38" s="451">
        <v>7.7999999999999999E-4</v>
      </c>
      <c r="C38" t="str">
        <f t="shared" si="0"/>
        <v/>
      </c>
      <c r="E38">
        <v>34</v>
      </c>
      <c r="F38" s="469">
        <v>11.043629999999999</v>
      </c>
      <c r="G38" s="438" t="s">
        <v>615</v>
      </c>
      <c r="H38" s="475">
        <v>1.46267184E-2</v>
      </c>
    </row>
    <row r="39" spans="1:8" x14ac:dyDescent="0.25">
      <c r="A39" s="175">
        <v>0.23</v>
      </c>
      <c r="B39" s="451">
        <v>5.1000000000000004E-4</v>
      </c>
      <c r="C39" t="str">
        <f t="shared" si="0"/>
        <v/>
      </c>
      <c r="E39">
        <v>35</v>
      </c>
      <c r="F39" s="472">
        <v>10.788777</v>
      </c>
      <c r="G39" s="473" t="s">
        <v>615</v>
      </c>
      <c r="H39" s="474">
        <v>2.1826816955999999</v>
      </c>
    </row>
    <row r="40" spans="1:8" x14ac:dyDescent="0.25">
      <c r="A40" s="175">
        <v>0.23</v>
      </c>
      <c r="B40" s="451">
        <v>1.01E-3</v>
      </c>
      <c r="C40" t="str">
        <f t="shared" si="0"/>
        <v/>
      </c>
      <c r="E40">
        <v>36</v>
      </c>
      <c r="F40" s="469">
        <v>10.448972999999999</v>
      </c>
      <c r="G40" s="438" t="s">
        <v>615</v>
      </c>
      <c r="H40" s="475">
        <v>4.0711156500000002E-3</v>
      </c>
    </row>
    <row r="41" spans="1:8" x14ac:dyDescent="0.25">
      <c r="A41" s="175">
        <v>0.24</v>
      </c>
      <c r="B41" s="451">
        <v>6.0000000000000002E-5</v>
      </c>
      <c r="C41" t="str">
        <f t="shared" si="0"/>
        <v/>
      </c>
      <c r="E41">
        <v>37</v>
      </c>
      <c r="F41" s="469">
        <v>9.9675839999999987</v>
      </c>
      <c r="G41" s="438" t="s">
        <v>615</v>
      </c>
      <c r="H41" s="475">
        <v>7.8779935499999985E-3</v>
      </c>
    </row>
    <row r="42" spans="1:8" x14ac:dyDescent="0.25">
      <c r="A42" s="175">
        <v>0.21</v>
      </c>
      <c r="B42" s="451">
        <v>5.9000000000000003E-4</v>
      </c>
      <c r="C42" t="str">
        <f t="shared" si="0"/>
        <v/>
      </c>
      <c r="E42">
        <v>38</v>
      </c>
      <c r="F42" s="470">
        <v>8.2119299999999988</v>
      </c>
      <c r="G42" s="471" t="s">
        <v>615</v>
      </c>
      <c r="H42" s="476">
        <v>1.2693450000000001E-3</v>
      </c>
    </row>
    <row r="43" spans="1:8" x14ac:dyDescent="0.25">
      <c r="A43" s="175">
        <v>0.38</v>
      </c>
      <c r="B43" s="451">
        <v>4.5900000000000003E-3</v>
      </c>
      <c r="C43" t="str">
        <f t="shared" si="0"/>
        <v/>
      </c>
      <c r="E43">
        <v>39</v>
      </c>
      <c r="F43" s="469">
        <v>7.9499977499999996</v>
      </c>
      <c r="G43" s="438" t="s">
        <v>615</v>
      </c>
      <c r="H43" s="475">
        <v>7.639716E-4</v>
      </c>
    </row>
    <row r="44" spans="1:8" x14ac:dyDescent="0.25">
      <c r="A44" s="175">
        <v>0.39</v>
      </c>
      <c r="B44" s="451">
        <v>1.57E-3</v>
      </c>
      <c r="C44" t="str">
        <f t="shared" si="0"/>
        <v/>
      </c>
      <c r="E44">
        <v>40</v>
      </c>
      <c r="F44" s="469">
        <v>8.0986619999999991</v>
      </c>
      <c r="G44" s="438" t="s">
        <v>615</v>
      </c>
      <c r="H44" s="475">
        <v>6.3491232000000009E-3</v>
      </c>
    </row>
    <row r="45" spans="1:8" x14ac:dyDescent="0.25">
      <c r="A45" s="175">
        <v>0.81</v>
      </c>
      <c r="B45" s="451">
        <v>2.777E-2</v>
      </c>
      <c r="C45" t="str">
        <f t="shared" si="0"/>
        <v/>
      </c>
      <c r="E45">
        <v>41</v>
      </c>
      <c r="F45" s="470">
        <v>7.8154919999999999</v>
      </c>
      <c r="G45" s="471" t="s">
        <v>615</v>
      </c>
      <c r="H45" s="476">
        <v>3.3249562500000003E-4</v>
      </c>
    </row>
    <row r="46" spans="1:8" x14ac:dyDescent="0.25">
      <c r="A46" s="175">
        <v>1.04</v>
      </c>
      <c r="B46" s="451">
        <v>3.124E-2</v>
      </c>
      <c r="C46" t="str">
        <f t="shared" si="0"/>
        <v/>
      </c>
      <c r="E46">
        <v>42</v>
      </c>
    </row>
    <row r="47" spans="1:8" x14ac:dyDescent="0.25">
      <c r="A47" s="175">
        <v>1.06</v>
      </c>
      <c r="B47" s="451">
        <v>1.285E-2</v>
      </c>
      <c r="C47" t="str">
        <f t="shared" si="0"/>
        <v/>
      </c>
    </row>
    <row r="48" spans="1:8" x14ac:dyDescent="0.25">
      <c r="A48" s="175">
        <v>0.94</v>
      </c>
      <c r="B48" s="451">
        <v>2.2530000000000001E-2</v>
      </c>
      <c r="C48" t="str">
        <f t="shared" si="0"/>
        <v/>
      </c>
    </row>
    <row r="49" spans="1:3" x14ac:dyDescent="0.25">
      <c r="A49" s="175">
        <v>1.08</v>
      </c>
      <c r="B49" s="451">
        <v>1.257E-2</v>
      </c>
      <c r="C49" t="str">
        <f t="shared" si="0"/>
        <v/>
      </c>
    </row>
    <row r="50" spans="1:3" x14ac:dyDescent="0.25">
      <c r="A50" s="175">
        <v>1.04</v>
      </c>
      <c r="B50" s="451">
        <v>4.8829999999999998E-2</v>
      </c>
      <c r="C50" t="str">
        <f t="shared" si="0"/>
        <v/>
      </c>
    </row>
    <row r="51" spans="1:3" x14ac:dyDescent="0.25">
      <c r="A51" s="175">
        <v>0.95</v>
      </c>
      <c r="B51" s="451">
        <v>2.205E-2</v>
      </c>
      <c r="C51" t="str">
        <f t="shared" si="0"/>
        <v/>
      </c>
    </row>
    <row r="52" spans="1:3" x14ac:dyDescent="0.25">
      <c r="A52" s="175">
        <v>0.7</v>
      </c>
      <c r="B52" s="451">
        <v>5.5500000000000002E-3</v>
      </c>
      <c r="C52" t="str">
        <f t="shared" si="0"/>
        <v/>
      </c>
    </row>
    <row r="53" spans="1:3" x14ac:dyDescent="0.25">
      <c r="A53" s="175">
        <v>0.87</v>
      </c>
      <c r="B53" s="451">
        <v>7.2899999999999996E-3</v>
      </c>
      <c r="C53" t="str">
        <f t="shared" si="0"/>
        <v/>
      </c>
    </row>
    <row r="54" spans="1:3" x14ac:dyDescent="0.25">
      <c r="A54" s="175">
        <v>0.88</v>
      </c>
      <c r="B54" s="451">
        <v>8.2699999999999996E-3</v>
      </c>
      <c r="C54" t="str">
        <f t="shared" si="0"/>
        <v/>
      </c>
    </row>
    <row r="55" spans="1:3" x14ac:dyDescent="0.25">
      <c r="A55" s="175">
        <v>0.83</v>
      </c>
      <c r="B55" s="451">
        <v>3.47E-3</v>
      </c>
      <c r="C55" t="str">
        <f t="shared" si="0"/>
        <v/>
      </c>
    </row>
    <row r="56" spans="1:3" x14ac:dyDescent="0.25">
      <c r="A56" s="175">
        <v>0.59</v>
      </c>
      <c r="B56" s="451">
        <v>5.9000000000000003E-4</v>
      </c>
      <c r="C56" t="str">
        <f t="shared" si="0"/>
        <v/>
      </c>
    </row>
    <row r="57" spans="1:3" x14ac:dyDescent="0.25">
      <c r="A57" s="175">
        <v>0.66</v>
      </c>
      <c r="B57" s="451">
        <v>4.7299999999999998E-3</v>
      </c>
      <c r="C57" t="str">
        <f t="shared" si="0"/>
        <v/>
      </c>
    </row>
    <row r="58" spans="1:3" x14ac:dyDescent="0.25">
      <c r="A58" s="175">
        <v>1.03</v>
      </c>
      <c r="B58" s="451">
        <v>7.2500000000000004E-3</v>
      </c>
      <c r="C58" t="str">
        <f t="shared" si="0"/>
        <v/>
      </c>
    </row>
    <row r="59" spans="1:3" x14ac:dyDescent="0.25">
      <c r="A59" s="175">
        <v>1.05</v>
      </c>
      <c r="B59" s="451">
        <v>7.8300000000000002E-3</v>
      </c>
      <c r="C59" t="str">
        <f t="shared" si="0"/>
        <v/>
      </c>
    </row>
    <row r="60" spans="1:3" x14ac:dyDescent="0.25">
      <c r="A60" s="175">
        <v>0.85</v>
      </c>
      <c r="B60" s="451">
        <v>3.0100000000000001E-3</v>
      </c>
      <c r="C60" t="str">
        <f t="shared" si="0"/>
        <v/>
      </c>
    </row>
    <row r="61" spans="1:3" x14ac:dyDescent="0.25">
      <c r="A61" s="175">
        <v>0.82</v>
      </c>
      <c r="B61" s="451">
        <v>3.6600000000000001E-3</v>
      </c>
      <c r="C61" t="str">
        <f t="shared" si="0"/>
        <v/>
      </c>
    </row>
    <row r="62" spans="1:3" x14ac:dyDescent="0.25">
      <c r="A62" s="175">
        <v>0.67</v>
      </c>
      <c r="B62" s="451">
        <v>8.9599999999999992E-3</v>
      </c>
      <c r="C62" t="str">
        <f t="shared" si="0"/>
        <v/>
      </c>
    </row>
    <row r="63" spans="1:3" x14ac:dyDescent="0.25">
      <c r="A63" s="175">
        <v>0.66</v>
      </c>
      <c r="B63" s="451">
        <v>4.5999999999999999E-3</v>
      </c>
      <c r="C63" t="str">
        <f t="shared" si="0"/>
        <v/>
      </c>
    </row>
    <row r="64" spans="1:3" x14ac:dyDescent="0.25">
      <c r="A64" s="175">
        <v>0.6</v>
      </c>
      <c r="B64" s="451">
        <v>5.7999999999999996E-3</v>
      </c>
      <c r="C64" t="str">
        <f t="shared" si="0"/>
        <v/>
      </c>
    </row>
    <row r="65" spans="1:3" x14ac:dyDescent="0.25">
      <c r="A65" s="175">
        <v>0.55000000000000004</v>
      </c>
      <c r="B65" s="451">
        <v>4.7999999999999996E-3</v>
      </c>
      <c r="C65" t="str">
        <f t="shared" si="0"/>
        <v/>
      </c>
    </row>
    <row r="66" spans="1:3" x14ac:dyDescent="0.25">
      <c r="A66" s="175">
        <v>0.44</v>
      </c>
      <c r="B66" s="451">
        <v>1.5499999999999999E-3</v>
      </c>
      <c r="C66" t="str">
        <f t="shared" si="0"/>
        <v/>
      </c>
    </row>
    <row r="67" spans="1:3" x14ac:dyDescent="0.25">
      <c r="A67" s="175">
        <v>0.4</v>
      </c>
      <c r="B67" s="451">
        <v>1.8000000000000001E-4</v>
      </c>
      <c r="C67" t="str">
        <f t="shared" si="0"/>
        <v/>
      </c>
    </row>
    <row r="68" spans="1:3" x14ac:dyDescent="0.25">
      <c r="A68" s="175">
        <v>0.3</v>
      </c>
      <c r="B68" s="451">
        <v>8.4999999999999995E-4</v>
      </c>
      <c r="C68" t="str">
        <f t="shared" si="0"/>
        <v/>
      </c>
    </row>
    <row r="69" spans="1:3" x14ac:dyDescent="0.25">
      <c r="A69" s="175">
        <v>0.57999999999999996</v>
      </c>
      <c r="B69" s="451">
        <v>4.96E-3</v>
      </c>
      <c r="C69" t="str">
        <f t="shared" si="0"/>
        <v/>
      </c>
    </row>
    <row r="70" spans="1:3" x14ac:dyDescent="0.25">
      <c r="A70" s="175">
        <v>0.9</v>
      </c>
      <c r="B70" s="451">
        <v>1.354E-2</v>
      </c>
      <c r="C70" t="str">
        <f t="shared" ref="C70:C133" si="1">IF(B70=0,"XXXXXXXX","")</f>
        <v/>
      </c>
    </row>
    <row r="71" spans="1:3" x14ac:dyDescent="0.25">
      <c r="A71" s="175">
        <v>0.98</v>
      </c>
      <c r="B71" s="451">
        <v>2.989E-2</v>
      </c>
      <c r="C71" t="str">
        <f t="shared" si="1"/>
        <v/>
      </c>
    </row>
    <row r="72" spans="1:3" x14ac:dyDescent="0.25">
      <c r="A72" s="175">
        <v>0.88</v>
      </c>
      <c r="B72" s="451">
        <v>1.89E-3</v>
      </c>
      <c r="C72" t="str">
        <f t="shared" si="1"/>
        <v/>
      </c>
    </row>
    <row r="73" spans="1:3" x14ac:dyDescent="0.25">
      <c r="A73" s="175">
        <v>0.95</v>
      </c>
      <c r="B73" s="451">
        <v>6.7000000000000002E-3</v>
      </c>
      <c r="C73" t="str">
        <f t="shared" si="1"/>
        <v/>
      </c>
    </row>
    <row r="74" spans="1:3" x14ac:dyDescent="0.25">
      <c r="A74" s="175">
        <v>0.93</v>
      </c>
      <c r="B74" s="451">
        <v>3.9300000000000003E-3</v>
      </c>
      <c r="C74" t="str">
        <f t="shared" si="1"/>
        <v/>
      </c>
    </row>
    <row r="75" spans="1:3" x14ac:dyDescent="0.25">
      <c r="A75" s="175">
        <v>0.89</v>
      </c>
      <c r="B75" s="451">
        <v>3.6800000000000001E-3</v>
      </c>
      <c r="C75" t="str">
        <f t="shared" si="1"/>
        <v/>
      </c>
    </row>
    <row r="76" spans="1:3" x14ac:dyDescent="0.25">
      <c r="A76" s="175">
        <v>0.89</v>
      </c>
      <c r="B76" s="451">
        <v>7.9000000000000008E-3</v>
      </c>
      <c r="C76" t="str">
        <f t="shared" si="1"/>
        <v/>
      </c>
    </row>
    <row r="77" spans="1:3" x14ac:dyDescent="0.25">
      <c r="A77" s="175">
        <v>0.92</v>
      </c>
      <c r="B77" s="451">
        <v>4.7099999999999998E-3</v>
      </c>
      <c r="C77" t="str">
        <f t="shared" si="1"/>
        <v/>
      </c>
    </row>
    <row r="78" spans="1:3" x14ac:dyDescent="0.25">
      <c r="A78" s="175">
        <v>0.92</v>
      </c>
      <c r="B78" s="451">
        <v>2.8E-3</v>
      </c>
      <c r="C78" t="str">
        <f t="shared" si="1"/>
        <v/>
      </c>
    </row>
    <row r="79" spans="1:3" x14ac:dyDescent="0.25">
      <c r="A79" s="175">
        <v>0.85</v>
      </c>
      <c r="B79" s="451">
        <v>7.0200000000000002E-3</v>
      </c>
      <c r="C79" t="str">
        <f t="shared" si="1"/>
        <v/>
      </c>
    </row>
    <row r="80" spans="1:3" x14ac:dyDescent="0.25">
      <c r="A80" s="175">
        <v>0.66</v>
      </c>
      <c r="B80" s="451">
        <v>5.0000000000000002E-5</v>
      </c>
      <c r="C80" t="str">
        <f t="shared" si="1"/>
        <v/>
      </c>
    </row>
    <row r="81" spans="1:3" x14ac:dyDescent="0.25">
      <c r="A81" s="175">
        <v>0.34</v>
      </c>
      <c r="B81" s="451">
        <v>1E-4</v>
      </c>
      <c r="C81" t="str">
        <f t="shared" si="1"/>
        <v/>
      </c>
    </row>
    <row r="82" spans="1:3" x14ac:dyDescent="0.25">
      <c r="A82" s="175">
        <v>0.77</v>
      </c>
      <c r="B82" s="451">
        <v>1.2409999999999999E-2</v>
      </c>
      <c r="C82" t="str">
        <f t="shared" si="1"/>
        <v/>
      </c>
    </row>
    <row r="83" spans="1:3" x14ac:dyDescent="0.25">
      <c r="A83" s="175">
        <v>0.96</v>
      </c>
      <c r="B83" s="451">
        <v>4.5940000000000002E-2</v>
      </c>
      <c r="C83" t="str">
        <f t="shared" si="1"/>
        <v/>
      </c>
    </row>
    <row r="84" spans="1:3" x14ac:dyDescent="0.25">
      <c r="A84" s="175">
        <v>0.89</v>
      </c>
      <c r="B84" s="451">
        <v>2.836E-2</v>
      </c>
      <c r="C84" t="str">
        <f t="shared" si="1"/>
        <v/>
      </c>
    </row>
    <row r="85" spans="1:3" x14ac:dyDescent="0.25">
      <c r="A85" s="175">
        <v>0.9</v>
      </c>
      <c r="B85" s="451">
        <v>8.6300000000000005E-3</v>
      </c>
      <c r="C85" t="str">
        <f t="shared" si="1"/>
        <v/>
      </c>
    </row>
    <row r="86" spans="1:3" x14ac:dyDescent="0.25">
      <c r="A86" s="175">
        <v>0.9</v>
      </c>
      <c r="B86" s="451">
        <v>2.1489999999999999E-2</v>
      </c>
      <c r="C86" t="str">
        <f t="shared" si="1"/>
        <v/>
      </c>
    </row>
    <row r="87" spans="1:3" x14ac:dyDescent="0.25">
      <c r="A87" s="175">
        <v>0.88</v>
      </c>
      <c r="B87" s="451">
        <v>2.2579999999999999E-2</v>
      </c>
      <c r="C87" t="str">
        <f t="shared" si="1"/>
        <v/>
      </c>
    </row>
    <row r="88" spans="1:3" x14ac:dyDescent="0.25">
      <c r="A88" s="175">
        <v>0.94</v>
      </c>
      <c r="B88" s="451">
        <v>2.5499999999999998E-2</v>
      </c>
      <c r="C88" t="str">
        <f t="shared" si="1"/>
        <v/>
      </c>
    </row>
    <row r="89" spans="1:3" x14ac:dyDescent="0.25">
      <c r="A89" s="175">
        <v>0.92</v>
      </c>
      <c r="B89" s="451">
        <v>2.401E-2</v>
      </c>
      <c r="C89" t="str">
        <f t="shared" si="1"/>
        <v/>
      </c>
    </row>
    <row r="90" spans="1:3" x14ac:dyDescent="0.25">
      <c r="A90" s="175">
        <v>0.88</v>
      </c>
      <c r="B90" s="451">
        <v>4.6249999999999999E-2</v>
      </c>
      <c r="C90" t="str">
        <f t="shared" si="1"/>
        <v/>
      </c>
    </row>
    <row r="91" spans="1:3" x14ac:dyDescent="0.25">
      <c r="A91" s="175">
        <v>0.81</v>
      </c>
      <c r="B91" s="451">
        <v>2.4160000000000001E-2</v>
      </c>
      <c r="C91" t="str">
        <f t="shared" si="1"/>
        <v/>
      </c>
    </row>
    <row r="92" spans="1:3" x14ac:dyDescent="0.25">
      <c r="A92" s="175">
        <v>0.96</v>
      </c>
      <c r="B92" s="451">
        <v>5.525E-2</v>
      </c>
      <c r="C92" t="str">
        <f t="shared" si="1"/>
        <v/>
      </c>
    </row>
    <row r="93" spans="1:3" x14ac:dyDescent="0.25">
      <c r="A93" s="175">
        <v>1.24</v>
      </c>
      <c r="B93" s="451">
        <v>6.0769999999999998E-2</v>
      </c>
      <c r="C93" t="str">
        <f t="shared" si="1"/>
        <v/>
      </c>
    </row>
    <row r="94" spans="1:3" x14ac:dyDescent="0.25">
      <c r="A94" s="175">
        <v>1.1000000000000001</v>
      </c>
      <c r="B94" s="451">
        <v>6.2440000000000002E-2</v>
      </c>
      <c r="C94" t="str">
        <f t="shared" si="1"/>
        <v/>
      </c>
    </row>
    <row r="95" spans="1:3" x14ac:dyDescent="0.25">
      <c r="A95" s="175">
        <v>1.2</v>
      </c>
      <c r="B95" s="451">
        <v>2.9659999999999999E-2</v>
      </c>
      <c r="C95" t="str">
        <f t="shared" si="1"/>
        <v/>
      </c>
    </row>
    <row r="96" spans="1:3" x14ac:dyDescent="0.25">
      <c r="A96" s="175">
        <v>1.1200000000000001</v>
      </c>
      <c r="B96" s="451">
        <v>2.5020000000000001E-2</v>
      </c>
      <c r="C96" t="str">
        <f t="shared" si="1"/>
        <v/>
      </c>
    </row>
    <row r="97" spans="1:3" x14ac:dyDescent="0.25">
      <c r="A97" s="175">
        <v>1.0900000000000001</v>
      </c>
      <c r="B97" s="451">
        <v>1.7479999999999999E-2</v>
      </c>
      <c r="C97" t="str">
        <f t="shared" si="1"/>
        <v/>
      </c>
    </row>
    <row r="98" spans="1:3" x14ac:dyDescent="0.25">
      <c r="A98" s="175">
        <v>0.96</v>
      </c>
      <c r="B98" s="451">
        <v>1.1169999999999999E-2</v>
      </c>
      <c r="C98" t="str">
        <f t="shared" si="1"/>
        <v/>
      </c>
    </row>
    <row r="99" spans="1:3" x14ac:dyDescent="0.25">
      <c r="A99" s="175">
        <v>0.83</v>
      </c>
      <c r="B99" s="451">
        <v>5.0800000000000003E-3</v>
      </c>
      <c r="C99" t="str">
        <f t="shared" si="1"/>
        <v/>
      </c>
    </row>
    <row r="100" spans="1:3" x14ac:dyDescent="0.25">
      <c r="A100" s="175">
        <v>0.77</v>
      </c>
      <c r="B100" s="451">
        <v>1.6299999999999999E-3</v>
      </c>
      <c r="C100" t="str">
        <f t="shared" si="1"/>
        <v/>
      </c>
    </row>
    <row r="101" spans="1:3" x14ac:dyDescent="0.25">
      <c r="A101" s="175">
        <v>0.7</v>
      </c>
      <c r="B101" s="451">
        <v>4.8300000000000001E-3</v>
      </c>
      <c r="C101" t="str">
        <f t="shared" si="1"/>
        <v/>
      </c>
    </row>
    <row r="102" spans="1:3" x14ac:dyDescent="0.25">
      <c r="A102" s="175">
        <v>0.62</v>
      </c>
      <c r="B102" s="451">
        <v>1.0829999999999999E-2</v>
      </c>
      <c r="C102" t="str">
        <f t="shared" si="1"/>
        <v/>
      </c>
    </row>
    <row r="103" spans="1:3" x14ac:dyDescent="0.25">
      <c r="A103" s="193">
        <v>0.56999999999999995</v>
      </c>
      <c r="B103" s="452">
        <v>3.9399999999999999E-3</v>
      </c>
      <c r="C103" t="str">
        <f t="shared" si="1"/>
        <v/>
      </c>
    </row>
    <row r="104" spans="1:3" x14ac:dyDescent="0.25">
      <c r="A104" s="175">
        <v>0.11</v>
      </c>
      <c r="B104" s="451">
        <v>1.5100000000000001E-3</v>
      </c>
      <c r="C104" t="str">
        <f t="shared" si="1"/>
        <v/>
      </c>
    </row>
    <row r="105" spans="1:3" x14ac:dyDescent="0.25">
      <c r="A105" s="175">
        <v>0.12</v>
      </c>
      <c r="B105" s="451">
        <v>8.7000000000000001E-4</v>
      </c>
      <c r="C105" t="str">
        <f t="shared" si="1"/>
        <v/>
      </c>
    </row>
    <row r="106" spans="1:3" x14ac:dyDescent="0.25">
      <c r="A106" s="175">
        <v>0.2</v>
      </c>
      <c r="B106" s="451">
        <v>9.8999999999999999E-4</v>
      </c>
      <c r="C106" t="str">
        <f t="shared" si="1"/>
        <v/>
      </c>
    </row>
    <row r="107" spans="1:3" x14ac:dyDescent="0.25">
      <c r="A107" s="175">
        <v>0.2</v>
      </c>
      <c r="B107" s="451">
        <v>4.0999999999999999E-4</v>
      </c>
      <c r="C107" t="str">
        <f t="shared" si="1"/>
        <v/>
      </c>
    </row>
    <row r="108" spans="1:3" x14ac:dyDescent="0.25">
      <c r="A108" s="175">
        <v>0.27</v>
      </c>
      <c r="B108" s="451">
        <v>1.438E-2</v>
      </c>
      <c r="C108" t="str">
        <f t="shared" si="1"/>
        <v/>
      </c>
    </row>
    <row r="109" spans="1:3" x14ac:dyDescent="0.25">
      <c r="A109" s="175">
        <v>0.27</v>
      </c>
      <c r="B109" s="451">
        <v>3.7299999999999998E-3</v>
      </c>
      <c r="C109" t="str">
        <f t="shared" si="1"/>
        <v/>
      </c>
    </row>
    <row r="110" spans="1:3" x14ac:dyDescent="0.25">
      <c r="A110" s="175">
        <v>0.24</v>
      </c>
      <c r="B110" s="451">
        <v>1.57E-3</v>
      </c>
      <c r="C110" t="str">
        <f t="shared" si="1"/>
        <v/>
      </c>
    </row>
    <row r="111" spans="1:3" x14ac:dyDescent="0.25">
      <c r="A111" s="175">
        <v>0.23</v>
      </c>
      <c r="B111" s="451">
        <v>2.5999999999999999E-3</v>
      </c>
      <c r="C111" t="str">
        <f t="shared" si="1"/>
        <v/>
      </c>
    </row>
    <row r="112" spans="1:3" x14ac:dyDescent="0.25">
      <c r="A112" s="175">
        <v>0.2</v>
      </c>
      <c r="B112" s="451">
        <v>9.6000000000000002E-4</v>
      </c>
      <c r="C112" t="str">
        <f t="shared" si="1"/>
        <v/>
      </c>
    </row>
    <row r="113" spans="1:3" x14ac:dyDescent="0.25">
      <c r="A113" s="175">
        <v>0.19</v>
      </c>
      <c r="B113" s="451">
        <v>3.2000000000000003E-4</v>
      </c>
      <c r="C113" t="str">
        <f t="shared" si="1"/>
        <v/>
      </c>
    </row>
    <row r="114" spans="1:3" x14ac:dyDescent="0.25">
      <c r="A114" s="175">
        <v>0.18</v>
      </c>
      <c r="B114" s="451">
        <v>6.9999999999999999E-4</v>
      </c>
      <c r="C114" t="str">
        <f t="shared" si="1"/>
        <v/>
      </c>
    </row>
    <row r="115" spans="1:3" x14ac:dyDescent="0.25">
      <c r="A115" s="175">
        <v>0.19</v>
      </c>
      <c r="B115" s="451">
        <v>2.1099999999999999E-3</v>
      </c>
      <c r="C115" t="str">
        <f t="shared" si="1"/>
        <v/>
      </c>
    </row>
    <row r="116" spans="1:3" x14ac:dyDescent="0.25">
      <c r="A116" s="175">
        <v>0.25</v>
      </c>
      <c r="B116" s="451">
        <v>4.4600000000000004E-3</v>
      </c>
      <c r="C116" t="str">
        <f t="shared" si="1"/>
        <v/>
      </c>
    </row>
    <row r="117" spans="1:3" x14ac:dyDescent="0.25">
      <c r="A117" s="175">
        <v>0.28999999999999998</v>
      </c>
      <c r="B117" s="451">
        <v>4.8700000000000002E-3</v>
      </c>
      <c r="C117" t="str">
        <f t="shared" si="1"/>
        <v/>
      </c>
    </row>
    <row r="118" spans="1:3" x14ac:dyDescent="0.25">
      <c r="A118" s="175">
        <v>0.28999999999999998</v>
      </c>
      <c r="B118" s="451">
        <v>6.7600000000000004E-3</v>
      </c>
      <c r="C118" t="str">
        <f t="shared" si="1"/>
        <v/>
      </c>
    </row>
    <row r="119" spans="1:3" x14ac:dyDescent="0.25">
      <c r="A119" s="175">
        <v>0.33</v>
      </c>
      <c r="B119" s="451">
        <v>1.243E-2</v>
      </c>
      <c r="C119" t="str">
        <f t="shared" si="1"/>
        <v/>
      </c>
    </row>
    <row r="120" spans="1:3" x14ac:dyDescent="0.25">
      <c r="A120" s="175">
        <v>0.34</v>
      </c>
      <c r="B120" s="451">
        <v>1.9349999999999999E-2</v>
      </c>
      <c r="C120" t="str">
        <f t="shared" si="1"/>
        <v/>
      </c>
    </row>
    <row r="121" spans="1:3" x14ac:dyDescent="0.25">
      <c r="A121" s="175">
        <v>0.32</v>
      </c>
      <c r="B121" s="451">
        <v>1.6580000000000001E-2</v>
      </c>
      <c r="C121" t="str">
        <f t="shared" si="1"/>
        <v/>
      </c>
    </row>
    <row r="122" spans="1:3" x14ac:dyDescent="0.25">
      <c r="A122" s="175">
        <v>0.28000000000000003</v>
      </c>
      <c r="B122" s="451">
        <v>6.2700000000000004E-3</v>
      </c>
      <c r="C122" t="str">
        <f t="shared" si="1"/>
        <v/>
      </c>
    </row>
    <row r="123" spans="1:3" x14ac:dyDescent="0.25">
      <c r="A123" s="175">
        <v>0.28000000000000003</v>
      </c>
      <c r="B123" s="451">
        <v>4.8799999999999998E-3</v>
      </c>
      <c r="C123" t="str">
        <f t="shared" si="1"/>
        <v/>
      </c>
    </row>
    <row r="124" spans="1:3" x14ac:dyDescent="0.25">
      <c r="A124" s="175">
        <v>0.24</v>
      </c>
      <c r="B124" s="451">
        <v>3.3999999999999998E-3</v>
      </c>
      <c r="C124" t="str">
        <f t="shared" si="1"/>
        <v/>
      </c>
    </row>
    <row r="125" spans="1:3" x14ac:dyDescent="0.25">
      <c r="A125" s="175">
        <v>0.24</v>
      </c>
      <c r="B125" s="451">
        <v>6.9300000000000004E-3</v>
      </c>
      <c r="C125" t="str">
        <f t="shared" si="1"/>
        <v/>
      </c>
    </row>
    <row r="126" spans="1:3" x14ac:dyDescent="0.25">
      <c r="A126" s="175">
        <v>0.2</v>
      </c>
      <c r="B126" s="451">
        <v>2.7100000000000002E-3</v>
      </c>
      <c r="C126" t="str">
        <f t="shared" si="1"/>
        <v/>
      </c>
    </row>
    <row r="127" spans="1:3" x14ac:dyDescent="0.25">
      <c r="A127" s="175">
        <v>0.19</v>
      </c>
      <c r="B127" s="451">
        <v>8.2799999999999992E-3</v>
      </c>
      <c r="C127" t="str">
        <f t="shared" si="1"/>
        <v/>
      </c>
    </row>
    <row r="128" spans="1:3" x14ac:dyDescent="0.25">
      <c r="A128" s="175">
        <v>0.17</v>
      </c>
      <c r="B128" s="451">
        <v>1.65E-3</v>
      </c>
      <c r="C128" t="str">
        <f t="shared" si="1"/>
        <v/>
      </c>
    </row>
    <row r="129" spans="1:3" x14ac:dyDescent="0.25">
      <c r="A129" s="175">
        <v>0.16</v>
      </c>
      <c r="B129" s="451">
        <v>1.3799999999999999E-3</v>
      </c>
      <c r="C129" t="str">
        <f t="shared" si="1"/>
        <v/>
      </c>
    </row>
    <row r="130" spans="1:3" x14ac:dyDescent="0.25">
      <c r="A130" s="175">
        <v>0.15</v>
      </c>
      <c r="B130" s="451">
        <v>2.15E-3</v>
      </c>
      <c r="C130" t="str">
        <f t="shared" si="1"/>
        <v/>
      </c>
    </row>
    <row r="131" spans="1:3" x14ac:dyDescent="0.25">
      <c r="A131" s="175">
        <v>0.12</v>
      </c>
      <c r="B131" s="451">
        <v>2.8E-3</v>
      </c>
      <c r="C131" t="str">
        <f t="shared" si="1"/>
        <v/>
      </c>
    </row>
    <row r="132" spans="1:3" x14ac:dyDescent="0.25">
      <c r="A132" s="175">
        <v>0.11</v>
      </c>
      <c r="B132" s="451">
        <v>5.9000000000000003E-4</v>
      </c>
      <c r="C132" t="str">
        <f t="shared" si="1"/>
        <v/>
      </c>
    </row>
    <row r="133" spans="1:3" x14ac:dyDescent="0.25">
      <c r="A133" s="175">
        <v>0.09</v>
      </c>
      <c r="B133" s="451">
        <v>1.8000000000000001E-4</v>
      </c>
      <c r="C133" t="str">
        <f t="shared" si="1"/>
        <v/>
      </c>
    </row>
    <row r="134" spans="1:3" x14ac:dyDescent="0.25">
      <c r="A134" s="175">
        <v>7.0000000000000007E-2</v>
      </c>
      <c r="B134" s="451">
        <v>1.6000000000000001E-4</v>
      </c>
      <c r="C134" t="str">
        <f t="shared" ref="C134:C197" si="2">IF(B134=0,"XXXXXXXX","")</f>
        <v/>
      </c>
    </row>
    <row r="135" spans="1:3" x14ac:dyDescent="0.25">
      <c r="A135" s="175">
        <v>0.06</v>
      </c>
      <c r="B135" s="451">
        <v>1.4E-3</v>
      </c>
      <c r="C135" t="str">
        <f t="shared" si="2"/>
        <v/>
      </c>
    </row>
    <row r="136" spans="1:3" x14ac:dyDescent="0.25">
      <c r="A136" s="175">
        <v>0.06</v>
      </c>
      <c r="B136" s="451">
        <v>1.3999999999999999E-4</v>
      </c>
      <c r="C136" t="str">
        <f t="shared" si="2"/>
        <v/>
      </c>
    </row>
    <row r="137" spans="1:3" x14ac:dyDescent="0.25">
      <c r="A137" s="175">
        <v>0.05</v>
      </c>
      <c r="B137" s="451">
        <v>2.9E-4</v>
      </c>
      <c r="C137" t="str">
        <f t="shared" si="2"/>
        <v/>
      </c>
    </row>
    <row r="138" spans="1:3" x14ac:dyDescent="0.25">
      <c r="A138" s="175">
        <v>0.18</v>
      </c>
      <c r="B138" s="451">
        <v>2.9099999999999998E-3</v>
      </c>
      <c r="C138" t="str">
        <f t="shared" si="2"/>
        <v/>
      </c>
    </row>
    <row r="139" spans="1:3" x14ac:dyDescent="0.25">
      <c r="A139" s="175">
        <v>0.14000000000000001</v>
      </c>
      <c r="B139" s="451">
        <v>1.7600000000000001E-3</v>
      </c>
      <c r="C139" t="str">
        <f t="shared" si="2"/>
        <v/>
      </c>
    </row>
    <row r="140" spans="1:3" x14ac:dyDescent="0.25">
      <c r="A140" s="175">
        <v>0.12</v>
      </c>
      <c r="B140" s="451">
        <v>2.7E-4</v>
      </c>
      <c r="C140" t="str">
        <f t="shared" si="2"/>
        <v/>
      </c>
    </row>
    <row r="141" spans="1:3" x14ac:dyDescent="0.25">
      <c r="A141" s="175">
        <v>0.2</v>
      </c>
      <c r="B141" s="451">
        <v>7.1399999999999996E-3</v>
      </c>
      <c r="C141" t="str">
        <f t="shared" si="2"/>
        <v/>
      </c>
    </row>
    <row r="142" spans="1:3" x14ac:dyDescent="0.25">
      <c r="A142" s="175">
        <v>0.19</v>
      </c>
      <c r="B142" s="451">
        <v>3.14E-3</v>
      </c>
      <c r="C142" t="str">
        <f t="shared" si="2"/>
        <v/>
      </c>
    </row>
    <row r="143" spans="1:3" x14ac:dyDescent="0.25">
      <c r="A143" s="175">
        <v>0.31</v>
      </c>
      <c r="B143" s="451">
        <v>5.8700000000000002E-3</v>
      </c>
      <c r="C143" t="str">
        <f t="shared" si="2"/>
        <v/>
      </c>
    </row>
    <row r="144" spans="1:3" x14ac:dyDescent="0.25">
      <c r="A144" s="175">
        <v>0.4</v>
      </c>
      <c r="B144" s="451">
        <v>2.07E-2</v>
      </c>
      <c r="C144" t="str">
        <f t="shared" si="2"/>
        <v/>
      </c>
    </row>
    <row r="145" spans="1:3" x14ac:dyDescent="0.25">
      <c r="A145" s="175">
        <v>0.42</v>
      </c>
      <c r="B145" s="451">
        <v>1.538E-2</v>
      </c>
      <c r="C145" t="str">
        <f t="shared" si="2"/>
        <v/>
      </c>
    </row>
    <row r="146" spans="1:3" x14ac:dyDescent="0.25">
      <c r="A146" s="175">
        <v>0.37</v>
      </c>
      <c r="B146" s="451">
        <v>2.087E-2</v>
      </c>
      <c r="C146" t="str">
        <f t="shared" si="2"/>
        <v/>
      </c>
    </row>
    <row r="147" spans="1:3" x14ac:dyDescent="0.25">
      <c r="A147" s="175">
        <v>0.36</v>
      </c>
      <c r="B147" s="451">
        <v>8.5800000000000008E-3</v>
      </c>
      <c r="C147" t="str">
        <f t="shared" si="2"/>
        <v/>
      </c>
    </row>
    <row r="148" spans="1:3" x14ac:dyDescent="0.25">
      <c r="A148" s="175">
        <v>0.37</v>
      </c>
      <c r="B148" s="451">
        <v>4.0099999999999997E-3</v>
      </c>
      <c r="C148" t="str">
        <f t="shared" si="2"/>
        <v/>
      </c>
    </row>
    <row r="149" spans="1:3" x14ac:dyDescent="0.25">
      <c r="A149" s="175">
        <v>0.34</v>
      </c>
      <c r="B149" s="451">
        <v>3.8899999999999998E-3</v>
      </c>
      <c r="C149" t="str">
        <f t="shared" si="2"/>
        <v/>
      </c>
    </row>
    <row r="150" spans="1:3" x14ac:dyDescent="0.25">
      <c r="A150" s="175">
        <v>0.27</v>
      </c>
      <c r="B150" s="451">
        <v>7.6000000000000004E-4</v>
      </c>
      <c r="C150" t="str">
        <f t="shared" si="2"/>
        <v/>
      </c>
    </row>
    <row r="151" spans="1:3" x14ac:dyDescent="0.25">
      <c r="A151" s="175">
        <v>0.28999999999999998</v>
      </c>
      <c r="B151" s="451">
        <v>1.57E-3</v>
      </c>
      <c r="C151" t="str">
        <f t="shared" si="2"/>
        <v/>
      </c>
    </row>
    <row r="152" spans="1:3" x14ac:dyDescent="0.25">
      <c r="A152" s="175">
        <v>0.27</v>
      </c>
      <c r="B152" s="451">
        <v>1.9E-3</v>
      </c>
      <c r="C152" t="str">
        <f t="shared" si="2"/>
        <v/>
      </c>
    </row>
    <row r="153" spans="1:3" x14ac:dyDescent="0.25">
      <c r="A153" s="175">
        <v>0.19</v>
      </c>
      <c r="B153" s="451">
        <v>3.65E-3</v>
      </c>
      <c r="C153" t="str">
        <f t="shared" si="2"/>
        <v/>
      </c>
    </row>
    <row r="154" spans="1:3" x14ac:dyDescent="0.25">
      <c r="A154" s="175">
        <v>0.18</v>
      </c>
      <c r="B154" s="451">
        <v>1.9000000000000001E-4</v>
      </c>
      <c r="C154" t="str">
        <f t="shared" si="2"/>
        <v/>
      </c>
    </row>
    <row r="155" spans="1:3" x14ac:dyDescent="0.25">
      <c r="A155" s="175">
        <v>0.09</v>
      </c>
      <c r="B155" s="451">
        <v>1.49E-3</v>
      </c>
      <c r="C155" t="str">
        <f t="shared" si="2"/>
        <v/>
      </c>
    </row>
    <row r="156" spans="1:3" x14ac:dyDescent="0.25">
      <c r="A156" s="175">
        <v>0.34</v>
      </c>
      <c r="B156" s="451">
        <v>1.11E-2</v>
      </c>
      <c r="C156" t="str">
        <f t="shared" si="2"/>
        <v/>
      </c>
    </row>
    <row r="157" spans="1:3" x14ac:dyDescent="0.25">
      <c r="A157" s="175">
        <v>0.36</v>
      </c>
      <c r="B157" s="451">
        <v>2.7060000000000001E-2</v>
      </c>
      <c r="C157" t="str">
        <f t="shared" si="2"/>
        <v/>
      </c>
    </row>
    <row r="158" spans="1:3" x14ac:dyDescent="0.25">
      <c r="A158" s="175">
        <v>0.33</v>
      </c>
      <c r="B158" s="451">
        <v>3.8800000000000002E-3</v>
      </c>
      <c r="C158" t="str">
        <f t="shared" si="2"/>
        <v/>
      </c>
    </row>
    <row r="159" spans="1:3" x14ac:dyDescent="0.25">
      <c r="A159" s="175">
        <v>0.3</v>
      </c>
      <c r="B159" s="451">
        <v>3.6600000000000001E-3</v>
      </c>
      <c r="C159" t="str">
        <f t="shared" si="2"/>
        <v/>
      </c>
    </row>
    <row r="160" spans="1:3" x14ac:dyDescent="0.25">
      <c r="A160" s="175">
        <v>0.4</v>
      </c>
      <c r="B160" s="451">
        <v>2.4330000000000001E-2</v>
      </c>
      <c r="C160" t="str">
        <f t="shared" si="2"/>
        <v/>
      </c>
    </row>
    <row r="161" spans="1:3" x14ac:dyDescent="0.25">
      <c r="A161" s="175">
        <v>0.28999999999999998</v>
      </c>
      <c r="B161" s="451">
        <v>1.2959999999999999E-2</v>
      </c>
      <c r="C161" t="str">
        <f t="shared" si="2"/>
        <v/>
      </c>
    </row>
    <row r="162" spans="1:3" x14ac:dyDescent="0.25">
      <c r="A162" s="175">
        <v>0.27</v>
      </c>
      <c r="B162" s="451">
        <v>1.218E-2</v>
      </c>
      <c r="C162" t="str">
        <f t="shared" si="2"/>
        <v/>
      </c>
    </row>
    <row r="163" spans="1:3" x14ac:dyDescent="0.25">
      <c r="A163" s="175">
        <v>0.25</v>
      </c>
      <c r="B163" s="451">
        <v>5.3299999999999997E-3</v>
      </c>
      <c r="C163" t="str">
        <f t="shared" si="2"/>
        <v/>
      </c>
    </row>
    <row r="164" spans="1:3" x14ac:dyDescent="0.25">
      <c r="A164" s="175">
        <v>0.24</v>
      </c>
      <c r="B164" s="451">
        <v>1.6900000000000001E-3</v>
      </c>
      <c r="C164" t="str">
        <f t="shared" si="2"/>
        <v/>
      </c>
    </row>
    <row r="165" spans="1:3" x14ac:dyDescent="0.25">
      <c r="A165" s="175">
        <v>0.23</v>
      </c>
      <c r="B165" s="451">
        <v>7.5000000000000002E-4</v>
      </c>
      <c r="C165" t="str">
        <f t="shared" si="2"/>
        <v/>
      </c>
    </row>
    <row r="166" spans="1:3" x14ac:dyDescent="0.25">
      <c r="A166" s="175">
        <v>0.24</v>
      </c>
      <c r="B166" s="451">
        <v>4.3299999999999996E-3</v>
      </c>
      <c r="C166" t="str">
        <f t="shared" si="2"/>
        <v/>
      </c>
    </row>
    <row r="167" spans="1:3" x14ac:dyDescent="0.25">
      <c r="A167" s="175">
        <v>0.2</v>
      </c>
      <c r="B167" s="451">
        <v>4.7699999999999999E-3</v>
      </c>
      <c r="C167" t="str">
        <f t="shared" si="2"/>
        <v/>
      </c>
    </row>
    <row r="168" spans="1:3" x14ac:dyDescent="0.25">
      <c r="A168" s="175">
        <v>0.15</v>
      </c>
      <c r="B168" s="451">
        <v>2E-3</v>
      </c>
      <c r="C168" t="str">
        <f t="shared" si="2"/>
        <v/>
      </c>
    </row>
    <row r="169" spans="1:3" x14ac:dyDescent="0.25">
      <c r="A169" s="175">
        <v>0.2</v>
      </c>
      <c r="B169" s="451">
        <v>6.7600000000000004E-3</v>
      </c>
      <c r="C169" t="str">
        <f t="shared" si="2"/>
        <v/>
      </c>
    </row>
    <row r="170" spans="1:3" x14ac:dyDescent="0.25">
      <c r="A170" s="175">
        <v>0.28999999999999998</v>
      </c>
      <c r="B170" s="451">
        <v>3.0849999999999999E-2</v>
      </c>
      <c r="C170" t="str">
        <f t="shared" si="2"/>
        <v/>
      </c>
    </row>
    <row r="171" spans="1:3" x14ac:dyDescent="0.25">
      <c r="A171" s="175">
        <v>0.43</v>
      </c>
      <c r="B171" s="451">
        <v>1.8020000000000001E-2</v>
      </c>
      <c r="C171" t="str">
        <f t="shared" si="2"/>
        <v/>
      </c>
    </row>
    <row r="172" spans="1:3" x14ac:dyDescent="0.25">
      <c r="A172" s="175">
        <v>0.5</v>
      </c>
      <c r="B172" s="451">
        <v>2.9829999999999999E-2</v>
      </c>
      <c r="C172" t="str">
        <f t="shared" si="2"/>
        <v/>
      </c>
    </row>
    <row r="173" spans="1:3" x14ac:dyDescent="0.25">
      <c r="A173" s="175">
        <v>0.49</v>
      </c>
      <c r="B173" s="451">
        <v>2.1360000000000001E-2</v>
      </c>
      <c r="C173" t="str">
        <f t="shared" si="2"/>
        <v/>
      </c>
    </row>
    <row r="174" spans="1:3" x14ac:dyDescent="0.25">
      <c r="A174" s="175">
        <v>0.48</v>
      </c>
      <c r="B174" s="451">
        <v>2.7109999999999999E-2</v>
      </c>
      <c r="C174" t="str">
        <f t="shared" si="2"/>
        <v/>
      </c>
    </row>
    <row r="175" spans="1:3" x14ac:dyDescent="0.25">
      <c r="A175" s="175">
        <v>0.4</v>
      </c>
      <c r="B175" s="451">
        <v>9.9000000000000008E-3</v>
      </c>
      <c r="C175" t="str">
        <f t="shared" si="2"/>
        <v/>
      </c>
    </row>
    <row r="176" spans="1:3" x14ac:dyDescent="0.25">
      <c r="A176" s="175">
        <v>0.37</v>
      </c>
      <c r="B176" s="451">
        <v>1.1089999999999999E-2</v>
      </c>
      <c r="C176" t="str">
        <f t="shared" si="2"/>
        <v/>
      </c>
    </row>
    <row r="177" spans="1:3" x14ac:dyDescent="0.25">
      <c r="A177" s="175">
        <v>0.35</v>
      </c>
      <c r="B177" s="451">
        <v>2.325E-2</v>
      </c>
      <c r="C177" t="str">
        <f t="shared" si="2"/>
        <v/>
      </c>
    </row>
    <row r="178" spans="1:3" x14ac:dyDescent="0.25">
      <c r="A178" s="175">
        <v>0.37</v>
      </c>
      <c r="B178" s="451">
        <v>1.1939999999999999E-2</v>
      </c>
      <c r="C178" t="str">
        <f t="shared" si="2"/>
        <v/>
      </c>
    </row>
    <row r="179" spans="1:3" x14ac:dyDescent="0.25">
      <c r="A179" s="175">
        <v>0.33</v>
      </c>
      <c r="B179" s="451">
        <v>2.8250000000000001E-2</v>
      </c>
      <c r="C179" t="str">
        <f t="shared" si="2"/>
        <v/>
      </c>
    </row>
    <row r="180" spans="1:3" x14ac:dyDescent="0.25">
      <c r="A180" s="175">
        <v>0.3</v>
      </c>
      <c r="B180" s="451">
        <v>7.7200000000000003E-3</v>
      </c>
      <c r="C180" t="str">
        <f t="shared" si="2"/>
        <v/>
      </c>
    </row>
    <row r="181" spans="1:3" x14ac:dyDescent="0.25">
      <c r="A181" s="175">
        <v>0.28999999999999998</v>
      </c>
      <c r="B181" s="451">
        <v>1.401E-2</v>
      </c>
      <c r="C181" t="str">
        <f t="shared" si="2"/>
        <v/>
      </c>
    </row>
    <row r="182" spans="1:3" x14ac:dyDescent="0.25">
      <c r="A182" s="175">
        <v>0.28000000000000003</v>
      </c>
      <c r="B182" s="451">
        <v>1.167E-2</v>
      </c>
      <c r="C182" t="str">
        <f t="shared" si="2"/>
        <v/>
      </c>
    </row>
    <row r="183" spans="1:3" x14ac:dyDescent="0.25">
      <c r="A183" s="175">
        <v>0.32</v>
      </c>
      <c r="B183" s="451">
        <v>2.0469999999999999E-2</v>
      </c>
      <c r="C183" t="str">
        <f t="shared" si="2"/>
        <v/>
      </c>
    </row>
    <row r="184" spans="1:3" x14ac:dyDescent="0.25">
      <c r="A184" s="175">
        <v>0.28999999999999998</v>
      </c>
      <c r="B184" s="451">
        <v>1.1129999999999999E-2</v>
      </c>
      <c r="C184" t="str">
        <f t="shared" si="2"/>
        <v/>
      </c>
    </row>
    <row r="185" spans="1:3" x14ac:dyDescent="0.25">
      <c r="A185" s="193">
        <v>0.23</v>
      </c>
      <c r="B185" s="452">
        <v>5.1500000000000001E-3</v>
      </c>
      <c r="C185" t="str">
        <f t="shared" si="2"/>
        <v/>
      </c>
    </row>
    <row r="186" spans="1:3" x14ac:dyDescent="0.25">
      <c r="A186" s="175">
        <v>0.55000000000000004</v>
      </c>
      <c r="B186" s="451">
        <v>2.2000000000000001E-4</v>
      </c>
      <c r="C186" t="str">
        <f t="shared" si="2"/>
        <v/>
      </c>
    </row>
    <row r="187" spans="1:3" x14ac:dyDescent="0.25">
      <c r="A187" s="175">
        <v>0.53</v>
      </c>
      <c r="B187" s="451">
        <v>7.7299999999999999E-3</v>
      </c>
      <c r="C187" t="str">
        <f t="shared" si="2"/>
        <v/>
      </c>
    </row>
    <row r="188" spans="1:3" x14ac:dyDescent="0.25">
      <c r="A188" s="175">
        <v>0.66</v>
      </c>
      <c r="B188" s="451">
        <v>8.8999999999999995E-4</v>
      </c>
      <c r="C188" t="str">
        <f t="shared" si="2"/>
        <v/>
      </c>
    </row>
    <row r="189" spans="1:3" x14ac:dyDescent="0.25">
      <c r="A189" s="175">
        <v>0.62</v>
      </c>
      <c r="B189" s="451">
        <v>1.4300000000000001E-3</v>
      </c>
      <c r="C189" t="str">
        <f t="shared" si="2"/>
        <v/>
      </c>
    </row>
    <row r="190" spans="1:3" x14ac:dyDescent="0.25">
      <c r="A190" s="175">
        <v>0.63</v>
      </c>
      <c r="B190" s="451">
        <v>4.8599999999999997E-3</v>
      </c>
      <c r="C190" t="str">
        <f t="shared" si="2"/>
        <v/>
      </c>
    </row>
    <row r="191" spans="1:3" x14ac:dyDescent="0.25">
      <c r="A191" s="175">
        <v>0.62</v>
      </c>
      <c r="B191" s="451">
        <v>5.1999999999999995E-4</v>
      </c>
      <c r="C191" t="str">
        <f t="shared" si="2"/>
        <v/>
      </c>
    </row>
    <row r="192" spans="1:3" x14ac:dyDescent="0.25">
      <c r="A192" s="175">
        <v>0.64</v>
      </c>
      <c r="B192" s="451">
        <v>2.2000000000000001E-4</v>
      </c>
      <c r="C192" t="str">
        <f t="shared" si="2"/>
        <v/>
      </c>
    </row>
    <row r="193" spans="1:3" x14ac:dyDescent="0.25">
      <c r="A193" s="175">
        <v>0.65</v>
      </c>
      <c r="B193" s="451">
        <v>2.5799999999999998E-3</v>
      </c>
      <c r="C193" t="str">
        <f t="shared" si="2"/>
        <v/>
      </c>
    </row>
    <row r="194" spans="1:3" x14ac:dyDescent="0.25">
      <c r="A194" s="175">
        <v>0.72</v>
      </c>
      <c r="B194" s="451">
        <v>1.3089999999999999E-2</v>
      </c>
      <c r="C194" t="str">
        <f t="shared" si="2"/>
        <v/>
      </c>
    </row>
    <row r="195" spans="1:3" x14ac:dyDescent="0.25">
      <c r="A195" s="175">
        <v>0.64</v>
      </c>
      <c r="B195" s="451">
        <v>2.8400000000000001E-3</v>
      </c>
      <c r="C195" t="str">
        <f t="shared" si="2"/>
        <v/>
      </c>
    </row>
    <row r="196" spans="1:3" x14ac:dyDescent="0.25">
      <c r="A196" s="175">
        <v>1.1499999999999999</v>
      </c>
      <c r="B196" s="451">
        <v>6.43E-3</v>
      </c>
      <c r="C196" t="str">
        <f t="shared" si="2"/>
        <v/>
      </c>
    </row>
    <row r="197" spans="1:3" x14ac:dyDescent="0.25">
      <c r="A197" s="175">
        <v>1.72</v>
      </c>
      <c r="B197" s="451">
        <v>6.7099999999999998E-3</v>
      </c>
      <c r="C197" t="str">
        <f t="shared" si="2"/>
        <v/>
      </c>
    </row>
    <row r="198" spans="1:3" x14ac:dyDescent="0.25">
      <c r="A198" s="175">
        <v>2.04</v>
      </c>
      <c r="B198" s="451">
        <v>1.34E-2</v>
      </c>
      <c r="C198" t="str">
        <f t="shared" ref="C198:C261" si="3">IF(B198=0,"XXXXXXXX","")</f>
        <v/>
      </c>
    </row>
    <row r="199" spans="1:3" x14ac:dyDescent="0.25">
      <c r="A199" s="175">
        <v>2.25</v>
      </c>
      <c r="B199" s="451">
        <v>8.26E-3</v>
      </c>
      <c r="C199" t="str">
        <f t="shared" si="3"/>
        <v/>
      </c>
    </row>
    <row r="200" spans="1:3" x14ac:dyDescent="0.25">
      <c r="A200" s="175">
        <v>2.4</v>
      </c>
      <c r="B200" s="451">
        <v>1.704E-2</v>
      </c>
      <c r="C200" t="str">
        <f t="shared" si="3"/>
        <v/>
      </c>
    </row>
    <row r="201" spans="1:3" x14ac:dyDescent="0.25">
      <c r="A201" s="175">
        <v>1.98</v>
      </c>
      <c r="B201" s="451">
        <v>5.5969999999999999E-2</v>
      </c>
      <c r="C201" t="str">
        <f t="shared" si="3"/>
        <v/>
      </c>
    </row>
    <row r="202" spans="1:3" x14ac:dyDescent="0.25">
      <c r="A202" s="175">
        <v>1.86</v>
      </c>
      <c r="B202" s="451">
        <v>0.10245</v>
      </c>
      <c r="C202" t="str">
        <f t="shared" si="3"/>
        <v/>
      </c>
    </row>
    <row r="203" spans="1:3" x14ac:dyDescent="0.25">
      <c r="A203" s="175">
        <v>1.27</v>
      </c>
      <c r="B203" s="451">
        <v>4.4229999999999998E-2</v>
      </c>
      <c r="C203" t="str">
        <f t="shared" si="3"/>
        <v/>
      </c>
    </row>
    <row r="204" spans="1:3" x14ac:dyDescent="0.25">
      <c r="A204" s="175">
        <v>1.22</v>
      </c>
      <c r="B204" s="451">
        <v>2.9870000000000001E-2</v>
      </c>
      <c r="C204" t="str">
        <f t="shared" si="3"/>
        <v/>
      </c>
    </row>
    <row r="205" spans="1:3" x14ac:dyDescent="0.25">
      <c r="A205" s="175">
        <v>1.76</v>
      </c>
      <c r="B205" s="451">
        <v>3.7499999999999999E-3</v>
      </c>
      <c r="C205" t="str">
        <f t="shared" si="3"/>
        <v/>
      </c>
    </row>
    <row r="206" spans="1:3" x14ac:dyDescent="0.25">
      <c r="A206" s="175">
        <v>0.76</v>
      </c>
      <c r="B206" s="451">
        <v>6.1000000000000004E-3</v>
      </c>
      <c r="C206" t="str">
        <f t="shared" si="3"/>
        <v/>
      </c>
    </row>
    <row r="207" spans="1:3" x14ac:dyDescent="0.25">
      <c r="A207" s="175">
        <v>1.1200000000000001</v>
      </c>
      <c r="B207" s="451">
        <v>2.32E-3</v>
      </c>
      <c r="C207" t="str">
        <f t="shared" si="3"/>
        <v/>
      </c>
    </row>
    <row r="208" spans="1:3" x14ac:dyDescent="0.25">
      <c r="A208" s="175">
        <v>0.39</v>
      </c>
      <c r="B208" s="451">
        <v>3.6999999999999999E-4</v>
      </c>
      <c r="C208" t="str">
        <f t="shared" si="3"/>
        <v/>
      </c>
    </row>
    <row r="209" spans="1:3" x14ac:dyDescent="0.25">
      <c r="A209" s="175">
        <v>2.5</v>
      </c>
      <c r="B209" s="451">
        <v>4.0600000000000002E-3</v>
      </c>
      <c r="C209" t="str">
        <f t="shared" si="3"/>
        <v/>
      </c>
    </row>
    <row r="210" spans="1:3" x14ac:dyDescent="0.25">
      <c r="A210" s="175">
        <v>3.03</v>
      </c>
      <c r="B210" s="451">
        <v>1.1730000000000001E-2</v>
      </c>
      <c r="C210" t="str">
        <f t="shared" si="3"/>
        <v/>
      </c>
    </row>
    <row r="211" spans="1:3" x14ac:dyDescent="0.25">
      <c r="A211" s="175">
        <v>3.13</v>
      </c>
      <c r="B211" s="451">
        <v>6.046E-2</v>
      </c>
      <c r="C211" t="str">
        <f t="shared" si="3"/>
        <v/>
      </c>
    </row>
    <row r="212" spans="1:3" x14ac:dyDescent="0.25">
      <c r="A212" s="175">
        <v>2.5299999999999998</v>
      </c>
      <c r="B212" s="451">
        <v>9.6100000000000005E-3</v>
      </c>
      <c r="C212" t="str">
        <f t="shared" si="3"/>
        <v/>
      </c>
    </row>
    <row r="213" spans="1:3" x14ac:dyDescent="0.25">
      <c r="A213" s="175">
        <v>2.54</v>
      </c>
      <c r="B213" s="451">
        <v>9.6100000000000005E-3</v>
      </c>
      <c r="C213" t="str">
        <f t="shared" si="3"/>
        <v/>
      </c>
    </row>
    <row r="214" spans="1:3" x14ac:dyDescent="0.25">
      <c r="A214" s="175">
        <v>1.91</v>
      </c>
      <c r="B214" s="451">
        <v>1.7299999999999999E-2</v>
      </c>
      <c r="C214" t="str">
        <f t="shared" si="3"/>
        <v/>
      </c>
    </row>
    <row r="215" spans="1:3" x14ac:dyDescent="0.25">
      <c r="A215" s="175">
        <v>1.63</v>
      </c>
      <c r="B215" s="451">
        <v>2.6099999999999999E-3</v>
      </c>
      <c r="C215" t="str">
        <f t="shared" si="3"/>
        <v/>
      </c>
    </row>
    <row r="216" spans="1:3" x14ac:dyDescent="0.25">
      <c r="A216" s="175">
        <v>0.97</v>
      </c>
      <c r="B216" s="451">
        <v>2.7000000000000001E-3</v>
      </c>
      <c r="C216" t="str">
        <f t="shared" si="3"/>
        <v/>
      </c>
    </row>
    <row r="217" spans="1:3" x14ac:dyDescent="0.25">
      <c r="A217" s="175">
        <v>1.07</v>
      </c>
      <c r="B217" s="451">
        <v>3.8000000000000002E-4</v>
      </c>
      <c r="C217" t="str">
        <f t="shared" si="3"/>
        <v/>
      </c>
    </row>
    <row r="218" spans="1:3" x14ac:dyDescent="0.25">
      <c r="A218" s="175">
        <v>2.56</v>
      </c>
      <c r="B218" s="451">
        <v>6.2120000000000002E-2</v>
      </c>
      <c r="C218" t="str">
        <f t="shared" si="3"/>
        <v/>
      </c>
    </row>
    <row r="219" spans="1:3" x14ac:dyDescent="0.25">
      <c r="A219" s="175">
        <v>2.4900000000000002</v>
      </c>
      <c r="B219" s="451">
        <v>4.9430000000000002E-2</v>
      </c>
      <c r="C219" t="str">
        <f t="shared" si="3"/>
        <v/>
      </c>
    </row>
    <row r="220" spans="1:3" x14ac:dyDescent="0.25">
      <c r="A220" s="175">
        <v>3.85</v>
      </c>
      <c r="B220" s="451">
        <v>4.1680000000000002E-2</v>
      </c>
      <c r="C220" t="str">
        <f t="shared" si="3"/>
        <v/>
      </c>
    </row>
    <row r="221" spans="1:3" x14ac:dyDescent="0.25">
      <c r="A221" s="175">
        <v>5.15</v>
      </c>
      <c r="B221" s="451">
        <v>0.25351000000000001</v>
      </c>
      <c r="C221" t="str">
        <f t="shared" si="3"/>
        <v/>
      </c>
    </row>
    <row r="222" spans="1:3" x14ac:dyDescent="0.25">
      <c r="A222" s="175">
        <v>4.42</v>
      </c>
      <c r="B222" s="451">
        <v>0.12136</v>
      </c>
      <c r="C222" t="str">
        <f t="shared" si="3"/>
        <v/>
      </c>
    </row>
    <row r="223" spans="1:3" x14ac:dyDescent="0.25">
      <c r="A223" s="175">
        <v>4.71</v>
      </c>
      <c r="B223" s="451">
        <v>0.11515</v>
      </c>
      <c r="C223" t="str">
        <f t="shared" si="3"/>
        <v/>
      </c>
    </row>
    <row r="224" spans="1:3" x14ac:dyDescent="0.25">
      <c r="A224" s="175">
        <v>4.22</v>
      </c>
      <c r="B224" s="451">
        <v>6.9040000000000004E-2</v>
      </c>
      <c r="C224" t="str">
        <f t="shared" si="3"/>
        <v/>
      </c>
    </row>
    <row r="225" spans="1:3" x14ac:dyDescent="0.25">
      <c r="A225" s="175">
        <v>6.09</v>
      </c>
      <c r="B225" s="451">
        <v>0.36613000000000001</v>
      </c>
      <c r="C225" t="str">
        <f t="shared" si="3"/>
        <v/>
      </c>
    </row>
    <row r="226" spans="1:3" x14ac:dyDescent="0.25">
      <c r="A226" s="175">
        <v>5.13</v>
      </c>
      <c r="B226" s="451">
        <v>0.38127</v>
      </c>
      <c r="C226" t="str">
        <f t="shared" si="3"/>
        <v/>
      </c>
    </row>
    <row r="227" spans="1:3" x14ac:dyDescent="0.25">
      <c r="A227" s="175">
        <v>4.4800000000000004</v>
      </c>
      <c r="B227" s="451">
        <v>0.22517000000000001</v>
      </c>
      <c r="C227" t="str">
        <f t="shared" si="3"/>
        <v/>
      </c>
    </row>
    <row r="228" spans="1:3" x14ac:dyDescent="0.25">
      <c r="A228" s="175">
        <v>3.32</v>
      </c>
      <c r="B228" s="451">
        <v>2.3949999999999999E-2</v>
      </c>
      <c r="C228" t="str">
        <f t="shared" si="3"/>
        <v/>
      </c>
    </row>
    <row r="229" spans="1:3" x14ac:dyDescent="0.25">
      <c r="A229" s="175">
        <v>3.43</v>
      </c>
      <c r="B229" s="451">
        <v>1.457E-2</v>
      </c>
      <c r="C229" t="str">
        <f t="shared" si="3"/>
        <v/>
      </c>
    </row>
    <row r="230" spans="1:3" x14ac:dyDescent="0.25">
      <c r="A230" s="175">
        <v>0.87</v>
      </c>
      <c r="B230" s="451">
        <v>8.8000000000000003E-4</v>
      </c>
      <c r="C230" t="str">
        <f t="shared" si="3"/>
        <v/>
      </c>
    </row>
    <row r="231" spans="1:3" x14ac:dyDescent="0.25">
      <c r="A231" s="175">
        <v>0.86</v>
      </c>
      <c r="B231" s="451">
        <v>2.0000000000000001E-4</v>
      </c>
      <c r="C231" t="str">
        <f t="shared" si="3"/>
        <v/>
      </c>
    </row>
    <row r="232" spans="1:3" x14ac:dyDescent="0.25">
      <c r="A232" s="175">
        <v>0.65</v>
      </c>
      <c r="B232" s="451">
        <v>2.8900000000000002E-3</v>
      </c>
      <c r="C232" t="str">
        <f t="shared" si="3"/>
        <v/>
      </c>
    </row>
    <row r="233" spans="1:3" x14ac:dyDescent="0.25">
      <c r="A233" s="175">
        <v>0.64</v>
      </c>
      <c r="B233" s="451">
        <v>4.15E-3</v>
      </c>
      <c r="C233" t="str">
        <f t="shared" si="3"/>
        <v/>
      </c>
    </row>
    <row r="234" spans="1:3" x14ac:dyDescent="0.25">
      <c r="A234" s="175">
        <v>1.62</v>
      </c>
      <c r="B234" s="451">
        <v>1.9279999999999999E-2</v>
      </c>
      <c r="C234" t="str">
        <f t="shared" si="3"/>
        <v/>
      </c>
    </row>
    <row r="235" spans="1:3" x14ac:dyDescent="0.25">
      <c r="A235" s="175">
        <v>1.7</v>
      </c>
      <c r="B235" s="451">
        <v>2.8639999999999999E-2</v>
      </c>
      <c r="C235" t="str">
        <f t="shared" si="3"/>
        <v/>
      </c>
    </row>
    <row r="236" spans="1:3" x14ac:dyDescent="0.25">
      <c r="A236" s="175">
        <v>1.17</v>
      </c>
      <c r="B236" s="451">
        <v>9.7199999999999995E-3</v>
      </c>
      <c r="C236" t="str">
        <f t="shared" si="3"/>
        <v/>
      </c>
    </row>
    <row r="237" spans="1:3" x14ac:dyDescent="0.25">
      <c r="A237" s="175">
        <v>0.49</v>
      </c>
      <c r="B237" s="451">
        <v>4.4999999999999999E-4</v>
      </c>
      <c r="C237" t="str">
        <f t="shared" si="3"/>
        <v/>
      </c>
    </row>
    <row r="238" spans="1:3" x14ac:dyDescent="0.25">
      <c r="A238" s="175">
        <v>1.02</v>
      </c>
      <c r="B238" s="451">
        <v>2.8800000000000002E-3</v>
      </c>
      <c r="C238" t="str">
        <f t="shared" si="3"/>
        <v/>
      </c>
    </row>
    <row r="239" spans="1:3" x14ac:dyDescent="0.25">
      <c r="A239" s="175">
        <v>1.53</v>
      </c>
      <c r="B239" s="451">
        <v>1.191E-2</v>
      </c>
      <c r="C239" t="str">
        <f t="shared" si="3"/>
        <v/>
      </c>
    </row>
    <row r="240" spans="1:3" x14ac:dyDescent="0.25">
      <c r="A240" s="175">
        <v>1.9</v>
      </c>
      <c r="B240" s="451">
        <v>1.3180000000000001E-2</v>
      </c>
      <c r="C240" t="str">
        <f t="shared" si="3"/>
        <v/>
      </c>
    </row>
    <row r="241" spans="1:3" x14ac:dyDescent="0.25">
      <c r="A241" s="175">
        <v>1.48</v>
      </c>
      <c r="B241" s="451">
        <v>2.2399999999999998E-3</v>
      </c>
      <c r="C241" t="str">
        <f t="shared" si="3"/>
        <v/>
      </c>
    </row>
    <row r="242" spans="1:3" x14ac:dyDescent="0.25">
      <c r="A242" s="175">
        <v>2.16</v>
      </c>
      <c r="B242" s="451">
        <v>4.9100000000000003E-3</v>
      </c>
      <c r="C242" t="str">
        <f t="shared" si="3"/>
        <v/>
      </c>
    </row>
    <row r="243" spans="1:3" x14ac:dyDescent="0.25">
      <c r="A243" s="175">
        <v>3.77</v>
      </c>
      <c r="B243" s="451">
        <v>4.8410000000000002E-2</v>
      </c>
      <c r="C243" t="str">
        <f t="shared" si="3"/>
        <v/>
      </c>
    </row>
    <row r="244" spans="1:3" x14ac:dyDescent="0.25">
      <c r="A244" s="175">
        <v>5.25</v>
      </c>
      <c r="B244" s="451">
        <v>0.191</v>
      </c>
      <c r="C244" t="str">
        <f t="shared" si="3"/>
        <v/>
      </c>
    </row>
    <row r="245" spans="1:3" x14ac:dyDescent="0.25">
      <c r="A245" s="175">
        <v>5.31</v>
      </c>
      <c r="B245" s="451">
        <v>0.11833</v>
      </c>
      <c r="C245" t="str">
        <f t="shared" si="3"/>
        <v/>
      </c>
    </row>
    <row r="246" spans="1:3" x14ac:dyDescent="0.25">
      <c r="A246" s="175">
        <v>4.63</v>
      </c>
      <c r="B246" s="451">
        <v>0.24856</v>
      </c>
      <c r="C246" t="str">
        <f t="shared" si="3"/>
        <v/>
      </c>
    </row>
    <row r="247" spans="1:3" x14ac:dyDescent="0.25">
      <c r="A247" s="175">
        <v>4.0599999999999996</v>
      </c>
      <c r="B247" s="451">
        <v>0.16925999999999999</v>
      </c>
      <c r="C247" t="str">
        <f t="shared" si="3"/>
        <v/>
      </c>
    </row>
    <row r="248" spans="1:3" x14ac:dyDescent="0.25">
      <c r="A248" s="175">
        <v>3.89</v>
      </c>
      <c r="B248" s="451">
        <v>0.11903</v>
      </c>
      <c r="C248" t="str">
        <f t="shared" si="3"/>
        <v/>
      </c>
    </row>
    <row r="249" spans="1:3" x14ac:dyDescent="0.25">
      <c r="A249" s="175">
        <v>3.55</v>
      </c>
      <c r="B249" s="451">
        <v>3.1140000000000001E-2</v>
      </c>
      <c r="C249" t="str">
        <f t="shared" si="3"/>
        <v/>
      </c>
    </row>
    <row r="250" spans="1:3" x14ac:dyDescent="0.25">
      <c r="A250" s="175">
        <v>4.01</v>
      </c>
      <c r="B250" s="451">
        <v>8.2369999999999999E-2</v>
      </c>
      <c r="C250" t="str">
        <f t="shared" si="3"/>
        <v/>
      </c>
    </row>
    <row r="251" spans="1:3" x14ac:dyDescent="0.25">
      <c r="A251" s="175">
        <v>4.71</v>
      </c>
      <c r="B251" s="451">
        <v>7.7539999999999998E-2</v>
      </c>
      <c r="C251" t="str">
        <f t="shared" si="3"/>
        <v/>
      </c>
    </row>
    <row r="252" spans="1:3" x14ac:dyDescent="0.25">
      <c r="A252" s="175">
        <v>6.69</v>
      </c>
      <c r="B252" s="451">
        <v>0.44706000000000001</v>
      </c>
      <c r="C252" t="str">
        <f t="shared" si="3"/>
        <v/>
      </c>
    </row>
    <row r="253" spans="1:3" x14ac:dyDescent="0.25">
      <c r="A253" s="175">
        <v>5.22</v>
      </c>
      <c r="B253" s="451">
        <v>0.24618000000000001</v>
      </c>
      <c r="C253" t="str">
        <f t="shared" si="3"/>
        <v/>
      </c>
    </row>
    <row r="254" spans="1:3" x14ac:dyDescent="0.25">
      <c r="A254" s="175">
        <v>4.22</v>
      </c>
      <c r="B254" s="451">
        <v>0.19633</v>
      </c>
      <c r="C254" t="str">
        <f t="shared" si="3"/>
        <v/>
      </c>
    </row>
    <row r="255" spans="1:3" x14ac:dyDescent="0.25">
      <c r="A255" s="175">
        <v>3.79</v>
      </c>
      <c r="B255" s="451">
        <v>5.7770000000000002E-2</v>
      </c>
      <c r="C255" t="str">
        <f t="shared" si="3"/>
        <v/>
      </c>
    </row>
    <row r="256" spans="1:3" x14ac:dyDescent="0.25">
      <c r="A256" s="175">
        <v>3.45</v>
      </c>
      <c r="B256" s="451">
        <v>9.6250000000000002E-2</v>
      </c>
      <c r="C256" t="str">
        <f t="shared" si="3"/>
        <v/>
      </c>
    </row>
    <row r="257" spans="1:3" x14ac:dyDescent="0.25">
      <c r="A257" s="175">
        <v>3.01</v>
      </c>
      <c r="B257" s="451">
        <v>3.6510000000000001E-2</v>
      </c>
      <c r="C257" t="str">
        <f t="shared" si="3"/>
        <v/>
      </c>
    </row>
    <row r="258" spans="1:3" x14ac:dyDescent="0.25">
      <c r="A258" s="175">
        <v>2.64</v>
      </c>
      <c r="B258" s="451">
        <v>0.10128</v>
      </c>
      <c r="C258" t="str">
        <f t="shared" si="3"/>
        <v/>
      </c>
    </row>
    <row r="259" spans="1:3" x14ac:dyDescent="0.25">
      <c r="A259" s="175">
        <v>2.13</v>
      </c>
      <c r="B259" s="451">
        <v>6.4599999999999996E-3</v>
      </c>
      <c r="C259" t="str">
        <f t="shared" si="3"/>
        <v/>
      </c>
    </row>
    <row r="260" spans="1:3" x14ac:dyDescent="0.25">
      <c r="A260" s="175">
        <v>2.21</v>
      </c>
      <c r="B260" s="451">
        <v>2.1489999999999999E-2</v>
      </c>
      <c r="C260" t="str">
        <f t="shared" si="3"/>
        <v/>
      </c>
    </row>
    <row r="261" spans="1:3" x14ac:dyDescent="0.25">
      <c r="A261" s="175">
        <v>3.69</v>
      </c>
      <c r="B261" s="451">
        <v>0.18015</v>
      </c>
      <c r="C261" t="str">
        <f t="shared" si="3"/>
        <v/>
      </c>
    </row>
    <row r="262" spans="1:3" x14ac:dyDescent="0.25">
      <c r="A262" s="175">
        <v>6.52</v>
      </c>
      <c r="B262" s="451">
        <v>0.19395000000000001</v>
      </c>
      <c r="C262" t="str">
        <f t="shared" ref="C262:C325" si="4">IF(B262=0,"XXXXXXXX","")</f>
        <v/>
      </c>
    </row>
    <row r="263" spans="1:3" x14ac:dyDescent="0.25">
      <c r="A263" s="175">
        <v>5.92</v>
      </c>
      <c r="B263" s="451">
        <v>7.4870000000000006E-2</v>
      </c>
      <c r="C263" t="str">
        <f t="shared" si="4"/>
        <v/>
      </c>
    </row>
    <row r="264" spans="1:3" x14ac:dyDescent="0.25">
      <c r="A264" s="175">
        <v>6.95</v>
      </c>
      <c r="B264" s="451">
        <v>8.6690000000000003E-2</v>
      </c>
      <c r="C264" t="str">
        <f t="shared" si="4"/>
        <v/>
      </c>
    </row>
    <row r="265" spans="1:3" x14ac:dyDescent="0.25">
      <c r="A265" s="175">
        <v>5.3</v>
      </c>
      <c r="B265" s="451">
        <v>2.019E-2</v>
      </c>
      <c r="C265" t="str">
        <f t="shared" si="4"/>
        <v/>
      </c>
    </row>
    <row r="266" spans="1:3" x14ac:dyDescent="0.25">
      <c r="A266" s="175">
        <v>2.56</v>
      </c>
      <c r="B266" s="451">
        <v>1.473E-2</v>
      </c>
      <c r="C266" t="str">
        <f t="shared" si="4"/>
        <v/>
      </c>
    </row>
    <row r="267" spans="1:3" x14ac:dyDescent="0.25">
      <c r="A267" s="175">
        <v>0.69</v>
      </c>
      <c r="B267" s="451">
        <v>9.1E-4</v>
      </c>
      <c r="C267" t="str">
        <f t="shared" si="4"/>
        <v/>
      </c>
    </row>
    <row r="268" spans="1:3" x14ac:dyDescent="0.25">
      <c r="A268" s="175">
        <v>2.59</v>
      </c>
      <c r="B268" s="451">
        <v>1.418E-2</v>
      </c>
      <c r="C268" t="str">
        <f t="shared" si="4"/>
        <v/>
      </c>
    </row>
    <row r="269" spans="1:3" x14ac:dyDescent="0.25">
      <c r="A269" s="175">
        <v>5.65</v>
      </c>
      <c r="B269" s="451">
        <v>7.2239999999999999E-2</v>
      </c>
      <c r="C269" t="str">
        <f t="shared" si="4"/>
        <v/>
      </c>
    </row>
    <row r="270" spans="1:3" x14ac:dyDescent="0.25">
      <c r="A270" s="175">
        <v>5.04</v>
      </c>
      <c r="B270" s="451">
        <v>0.17288999999999999</v>
      </c>
      <c r="C270" t="str">
        <f t="shared" si="4"/>
        <v/>
      </c>
    </row>
    <row r="271" spans="1:3" x14ac:dyDescent="0.25">
      <c r="A271" s="175">
        <v>5.39</v>
      </c>
      <c r="B271" s="451">
        <v>0.10965</v>
      </c>
      <c r="C271" t="str">
        <f t="shared" si="4"/>
        <v/>
      </c>
    </row>
    <row r="272" spans="1:3" x14ac:dyDescent="0.25">
      <c r="A272" s="175">
        <v>4.87</v>
      </c>
      <c r="B272" s="451">
        <v>7.2730000000000003E-2</v>
      </c>
      <c r="C272" t="str">
        <f t="shared" si="4"/>
        <v/>
      </c>
    </row>
    <row r="273" spans="1:3" x14ac:dyDescent="0.25">
      <c r="A273" s="175">
        <v>4.95</v>
      </c>
      <c r="B273" s="451">
        <v>0.11407</v>
      </c>
      <c r="C273" t="str">
        <f t="shared" si="4"/>
        <v/>
      </c>
    </row>
    <row r="274" spans="1:3" x14ac:dyDescent="0.25">
      <c r="A274" s="175">
        <v>4.7</v>
      </c>
      <c r="B274" s="451">
        <v>4.1709999999999997E-2</v>
      </c>
      <c r="C274" t="str">
        <f t="shared" si="4"/>
        <v/>
      </c>
    </row>
    <row r="275" spans="1:3" x14ac:dyDescent="0.25">
      <c r="A275" s="175">
        <v>6.01</v>
      </c>
      <c r="B275" s="451">
        <v>0.14348</v>
      </c>
      <c r="C275" t="str">
        <f t="shared" si="4"/>
        <v/>
      </c>
    </row>
    <row r="276" spans="1:3" x14ac:dyDescent="0.25">
      <c r="A276" s="175">
        <v>6.76</v>
      </c>
      <c r="B276" s="451">
        <v>0.20141000000000001</v>
      </c>
      <c r="C276" t="str">
        <f t="shared" si="4"/>
        <v/>
      </c>
    </row>
    <row r="277" spans="1:3" x14ac:dyDescent="0.25">
      <c r="A277" s="175">
        <v>6.19</v>
      </c>
      <c r="B277" s="451">
        <v>0.18856999999999999</v>
      </c>
      <c r="C277" t="str">
        <f t="shared" si="4"/>
        <v/>
      </c>
    </row>
    <row r="278" spans="1:3" x14ac:dyDescent="0.25">
      <c r="A278" s="175">
        <v>5.39</v>
      </c>
      <c r="B278" s="451">
        <v>0.16433</v>
      </c>
      <c r="C278" t="str">
        <f t="shared" si="4"/>
        <v/>
      </c>
    </row>
    <row r="279" spans="1:3" x14ac:dyDescent="0.25">
      <c r="A279" s="175">
        <v>5.21</v>
      </c>
      <c r="B279" s="451">
        <v>0.15472</v>
      </c>
      <c r="C279" t="str">
        <f t="shared" si="4"/>
        <v/>
      </c>
    </row>
    <row r="280" spans="1:3" x14ac:dyDescent="0.25">
      <c r="A280" s="175">
        <v>4.37</v>
      </c>
      <c r="B280" s="451">
        <v>6.9889999999999994E-2</v>
      </c>
      <c r="C280" t="str">
        <f t="shared" si="4"/>
        <v/>
      </c>
    </row>
    <row r="281" spans="1:3" x14ac:dyDescent="0.25">
      <c r="A281" s="175">
        <v>4.78</v>
      </c>
      <c r="B281" s="451">
        <v>6.5129999999999993E-2</v>
      </c>
      <c r="C281" t="str">
        <f t="shared" si="4"/>
        <v/>
      </c>
    </row>
    <row r="282" spans="1:3" x14ac:dyDescent="0.25">
      <c r="A282" s="175">
        <v>4.29</v>
      </c>
      <c r="B282" s="451">
        <v>1.427E-2</v>
      </c>
      <c r="C282" t="str">
        <f t="shared" si="4"/>
        <v/>
      </c>
    </row>
    <row r="283" spans="1:3" x14ac:dyDescent="0.25">
      <c r="A283" s="193">
        <v>2.63</v>
      </c>
      <c r="B283" s="452">
        <v>2.3449999999999999E-2</v>
      </c>
      <c r="C283" t="str">
        <f t="shared" si="4"/>
        <v/>
      </c>
    </row>
    <row r="284" spans="1:3" x14ac:dyDescent="0.25">
      <c r="A284" s="175">
        <v>0.71</v>
      </c>
      <c r="B284" s="451">
        <v>1.1999999999999999E-3</v>
      </c>
      <c r="C284" t="str">
        <f t="shared" si="4"/>
        <v/>
      </c>
    </row>
    <row r="285" spans="1:3" x14ac:dyDescent="0.25">
      <c r="A285" s="175">
        <v>0.78</v>
      </c>
      <c r="B285" s="451">
        <v>2.1800000000000001E-3</v>
      </c>
      <c r="C285" t="str">
        <f t="shared" si="4"/>
        <v/>
      </c>
    </row>
    <row r="286" spans="1:3" x14ac:dyDescent="0.25">
      <c r="A286" s="175">
        <v>0.68</v>
      </c>
      <c r="B286" s="451">
        <v>2.3800000000000002E-3</v>
      </c>
      <c r="C286" t="str">
        <f t="shared" si="4"/>
        <v/>
      </c>
    </row>
    <row r="287" spans="1:3" x14ac:dyDescent="0.25">
      <c r="A287" s="175">
        <v>0.72</v>
      </c>
      <c r="B287" s="451">
        <v>1.5299999999999999E-3</v>
      </c>
      <c r="C287" t="str">
        <f t="shared" si="4"/>
        <v/>
      </c>
    </row>
    <row r="288" spans="1:3" x14ac:dyDescent="0.25">
      <c r="A288" s="175">
        <v>0.64</v>
      </c>
      <c r="B288" s="451">
        <v>9.1E-4</v>
      </c>
      <c r="C288" t="str">
        <f t="shared" si="4"/>
        <v/>
      </c>
    </row>
    <row r="289" spans="1:3" x14ac:dyDescent="0.25">
      <c r="A289" s="175">
        <v>0.73</v>
      </c>
      <c r="B289" s="451">
        <v>5.9999999999999995E-4</v>
      </c>
      <c r="C289" t="str">
        <f t="shared" si="4"/>
        <v/>
      </c>
    </row>
    <row r="290" spans="1:3" x14ac:dyDescent="0.25">
      <c r="A290" s="175">
        <v>0.7</v>
      </c>
      <c r="B290" s="451">
        <v>3.6999999999999999E-4</v>
      </c>
      <c r="C290" t="str">
        <f t="shared" si="4"/>
        <v/>
      </c>
    </row>
    <row r="291" spans="1:3" x14ac:dyDescent="0.25">
      <c r="A291" s="175">
        <v>0.68</v>
      </c>
      <c r="B291" s="451">
        <v>2.2200000000000002E-3</v>
      </c>
      <c r="C291" t="str">
        <f t="shared" si="4"/>
        <v/>
      </c>
    </row>
    <row r="292" spans="1:3" x14ac:dyDescent="0.25">
      <c r="A292" s="175">
        <v>0.71</v>
      </c>
      <c r="B292" s="451">
        <v>5.6999999999999998E-4</v>
      </c>
      <c r="C292" t="str">
        <f t="shared" si="4"/>
        <v/>
      </c>
    </row>
    <row r="293" spans="1:3" x14ac:dyDescent="0.25">
      <c r="A293" s="175">
        <v>0.66</v>
      </c>
      <c r="B293" s="451">
        <v>2.9299999999999999E-3</v>
      </c>
      <c r="C293" t="str">
        <f t="shared" si="4"/>
        <v/>
      </c>
    </row>
    <row r="294" spans="1:3" x14ac:dyDescent="0.25">
      <c r="A294" s="175">
        <v>0.75</v>
      </c>
      <c r="B294" s="451">
        <v>2.8E-3</v>
      </c>
      <c r="C294" t="str">
        <f t="shared" si="4"/>
        <v/>
      </c>
    </row>
    <row r="295" spans="1:3" x14ac:dyDescent="0.25">
      <c r="A295" s="175">
        <v>1.05</v>
      </c>
      <c r="B295" s="451">
        <v>1.192E-2</v>
      </c>
      <c r="C295" t="str">
        <f t="shared" si="4"/>
        <v/>
      </c>
    </row>
    <row r="296" spans="1:3" x14ac:dyDescent="0.25">
      <c r="A296" s="175">
        <v>1.53</v>
      </c>
      <c r="B296" s="451">
        <v>4.5500000000000002E-3</v>
      </c>
      <c r="C296" t="str">
        <f t="shared" si="4"/>
        <v/>
      </c>
    </row>
    <row r="297" spans="1:3" x14ac:dyDescent="0.25">
      <c r="A297" s="175">
        <v>1.63</v>
      </c>
      <c r="B297" s="451">
        <v>5.3200000000000001E-3</v>
      </c>
      <c r="C297" t="str">
        <f t="shared" si="4"/>
        <v/>
      </c>
    </row>
    <row r="298" spans="1:3" x14ac:dyDescent="0.25">
      <c r="A298" s="175">
        <v>1.82</v>
      </c>
      <c r="B298" s="451">
        <v>8.3199999999999993E-3</v>
      </c>
      <c r="C298" t="str">
        <f t="shared" si="4"/>
        <v/>
      </c>
    </row>
    <row r="299" spans="1:3" x14ac:dyDescent="0.25">
      <c r="A299" s="175">
        <v>2.59</v>
      </c>
      <c r="B299" s="451">
        <v>3.0089999999999999E-2</v>
      </c>
      <c r="C299" t="str">
        <f t="shared" si="4"/>
        <v/>
      </c>
    </row>
    <row r="300" spans="1:3" x14ac:dyDescent="0.25">
      <c r="A300" s="175">
        <v>2.5099999999999998</v>
      </c>
      <c r="B300" s="451">
        <v>6.7089999999999997E-2</v>
      </c>
      <c r="C300" t="str">
        <f t="shared" si="4"/>
        <v/>
      </c>
    </row>
    <row r="301" spans="1:3" x14ac:dyDescent="0.25">
      <c r="A301" s="175">
        <v>2.2000000000000002</v>
      </c>
      <c r="B301" s="451">
        <v>4.7640000000000002E-2</v>
      </c>
      <c r="C301" t="str">
        <f t="shared" si="4"/>
        <v/>
      </c>
    </row>
    <row r="302" spans="1:3" x14ac:dyDescent="0.25">
      <c r="A302" s="175">
        <v>1.93</v>
      </c>
      <c r="B302" s="451">
        <v>1.456E-2</v>
      </c>
      <c r="C302" t="str">
        <f t="shared" si="4"/>
        <v/>
      </c>
    </row>
    <row r="303" spans="1:3" x14ac:dyDescent="0.25">
      <c r="A303" s="175">
        <v>1.45</v>
      </c>
      <c r="B303" s="451">
        <v>1.8489999999999999E-2</v>
      </c>
      <c r="C303" t="str">
        <f t="shared" si="4"/>
        <v/>
      </c>
    </row>
    <row r="304" spans="1:3" x14ac:dyDescent="0.25">
      <c r="A304" s="175">
        <v>1.1000000000000001</v>
      </c>
      <c r="B304" s="451">
        <v>9.8700000000000003E-3</v>
      </c>
      <c r="C304" t="str">
        <f t="shared" si="4"/>
        <v/>
      </c>
    </row>
    <row r="305" spans="1:3" x14ac:dyDescent="0.25">
      <c r="A305" s="175">
        <v>1.56</v>
      </c>
      <c r="B305" s="451">
        <v>1.2899999999999999E-3</v>
      </c>
      <c r="C305" t="str">
        <f t="shared" si="4"/>
        <v/>
      </c>
    </row>
    <row r="306" spans="1:3" x14ac:dyDescent="0.25">
      <c r="A306" s="175">
        <v>1.58</v>
      </c>
      <c r="B306" s="451">
        <v>3.3700000000000002E-3</v>
      </c>
      <c r="C306" t="str">
        <f t="shared" si="4"/>
        <v/>
      </c>
    </row>
    <row r="307" spans="1:3" x14ac:dyDescent="0.25">
      <c r="A307" s="175">
        <v>1.23</v>
      </c>
      <c r="B307" s="451">
        <v>1.374E-2</v>
      </c>
      <c r="C307" t="str">
        <f t="shared" si="4"/>
        <v/>
      </c>
    </row>
    <row r="308" spans="1:3" x14ac:dyDescent="0.25">
      <c r="A308" s="175">
        <v>0.54</v>
      </c>
      <c r="B308" s="451">
        <v>8.0000000000000007E-5</v>
      </c>
      <c r="C308" t="str">
        <f t="shared" si="4"/>
        <v/>
      </c>
    </row>
    <row r="309" spans="1:3" x14ac:dyDescent="0.25">
      <c r="A309" s="175">
        <v>1.68</v>
      </c>
      <c r="B309" s="451">
        <v>3.0300000000000001E-3</v>
      </c>
      <c r="C309" t="str">
        <f t="shared" si="4"/>
        <v/>
      </c>
    </row>
    <row r="310" spans="1:3" x14ac:dyDescent="0.25">
      <c r="A310" s="175">
        <v>2.1800000000000002</v>
      </c>
      <c r="B310" s="451">
        <v>1.451E-2</v>
      </c>
      <c r="C310" t="str">
        <f t="shared" si="4"/>
        <v/>
      </c>
    </row>
    <row r="311" spans="1:3" x14ac:dyDescent="0.25">
      <c r="A311" s="175">
        <v>3.23</v>
      </c>
      <c r="B311" s="451">
        <v>8.7209999999999996E-2</v>
      </c>
      <c r="C311" t="str">
        <f t="shared" si="4"/>
        <v/>
      </c>
    </row>
    <row r="312" spans="1:3" x14ac:dyDescent="0.25">
      <c r="A312" s="175">
        <v>2.52</v>
      </c>
      <c r="B312" s="451">
        <v>5.9830000000000001E-2</v>
      </c>
      <c r="C312" t="str">
        <f t="shared" si="4"/>
        <v/>
      </c>
    </row>
    <row r="313" spans="1:3" x14ac:dyDescent="0.25">
      <c r="A313" s="175">
        <v>2.62</v>
      </c>
      <c r="B313" s="451">
        <v>3.8059999999999997E-2</v>
      </c>
      <c r="C313" t="str">
        <f t="shared" si="4"/>
        <v/>
      </c>
    </row>
    <row r="314" spans="1:3" x14ac:dyDescent="0.25">
      <c r="A314" s="175">
        <v>2.33</v>
      </c>
      <c r="B314" s="451">
        <v>7.6499999999999997E-3</v>
      </c>
      <c r="C314" t="str">
        <f t="shared" si="4"/>
        <v/>
      </c>
    </row>
    <row r="315" spans="1:3" x14ac:dyDescent="0.25">
      <c r="A315" s="175">
        <v>2.0499999999999998</v>
      </c>
      <c r="B315" s="451">
        <v>3.5200000000000001E-3</v>
      </c>
      <c r="C315" t="str">
        <f t="shared" si="4"/>
        <v/>
      </c>
    </row>
    <row r="316" spans="1:3" x14ac:dyDescent="0.25">
      <c r="A316" s="175">
        <v>1.73</v>
      </c>
      <c r="B316" s="451">
        <v>7.7200000000000003E-3</v>
      </c>
      <c r="C316" t="str">
        <f t="shared" si="4"/>
        <v/>
      </c>
    </row>
    <row r="317" spans="1:3" x14ac:dyDescent="0.25">
      <c r="A317" s="175">
        <v>1.1299999999999999</v>
      </c>
      <c r="B317" s="451">
        <v>9.1800000000000007E-3</v>
      </c>
      <c r="C317" t="str">
        <f t="shared" si="4"/>
        <v/>
      </c>
    </row>
    <row r="318" spans="1:3" x14ac:dyDescent="0.25">
      <c r="A318" s="175">
        <v>1.55</v>
      </c>
      <c r="B318" s="451">
        <v>7.6600000000000001E-3</v>
      </c>
      <c r="C318" t="str">
        <f t="shared" si="4"/>
        <v/>
      </c>
    </row>
    <row r="319" spans="1:3" x14ac:dyDescent="0.25">
      <c r="A319" s="175">
        <v>1.74</v>
      </c>
      <c r="B319" s="451">
        <v>7.5300000000000002E-3</v>
      </c>
      <c r="C319" t="str">
        <f t="shared" si="4"/>
        <v/>
      </c>
    </row>
    <row r="320" spans="1:3" x14ac:dyDescent="0.25">
      <c r="A320" s="175">
        <v>2.95</v>
      </c>
      <c r="B320" s="451">
        <v>7.1819999999999995E-2</v>
      </c>
      <c r="C320" t="str">
        <f t="shared" si="4"/>
        <v/>
      </c>
    </row>
    <row r="321" spans="1:3" x14ac:dyDescent="0.25">
      <c r="A321" s="175">
        <v>2.64</v>
      </c>
      <c r="B321" s="451">
        <v>6.6019999999999995E-2</v>
      </c>
      <c r="C321" t="str">
        <f t="shared" si="4"/>
        <v/>
      </c>
    </row>
    <row r="322" spans="1:3" x14ac:dyDescent="0.25">
      <c r="A322" s="175">
        <v>4.7300000000000004</v>
      </c>
      <c r="B322" s="451">
        <v>0.19585</v>
      </c>
      <c r="C322" t="str">
        <f t="shared" si="4"/>
        <v/>
      </c>
    </row>
    <row r="323" spans="1:3" x14ac:dyDescent="0.25">
      <c r="A323" s="175">
        <v>4.75</v>
      </c>
      <c r="B323" s="451">
        <v>0.13532</v>
      </c>
      <c r="C323" t="str">
        <f t="shared" si="4"/>
        <v/>
      </c>
    </row>
    <row r="324" spans="1:3" x14ac:dyDescent="0.25">
      <c r="A324" s="175">
        <v>4.87</v>
      </c>
      <c r="B324" s="451">
        <v>0.13247999999999999</v>
      </c>
      <c r="C324" t="str">
        <f t="shared" si="4"/>
        <v/>
      </c>
    </row>
    <row r="325" spans="1:3" x14ac:dyDescent="0.25">
      <c r="A325" s="175">
        <v>4.8</v>
      </c>
      <c r="B325" s="451">
        <v>0.14993000000000001</v>
      </c>
      <c r="C325" t="str">
        <f t="shared" si="4"/>
        <v/>
      </c>
    </row>
    <row r="326" spans="1:3" x14ac:dyDescent="0.25">
      <c r="A326" s="175">
        <v>6.04</v>
      </c>
      <c r="B326" s="451">
        <v>0.27681</v>
      </c>
      <c r="C326" t="str">
        <f t="shared" ref="C326:C389" si="5">IF(B326=0,"XXXXXXXX","")</f>
        <v/>
      </c>
    </row>
    <row r="327" spans="1:3" x14ac:dyDescent="0.25">
      <c r="A327" s="175">
        <v>5.73</v>
      </c>
      <c r="B327" s="451">
        <v>0.29854000000000003</v>
      </c>
      <c r="C327" t="str">
        <f t="shared" si="5"/>
        <v/>
      </c>
    </row>
    <row r="328" spans="1:3" x14ac:dyDescent="0.25">
      <c r="A328" s="175">
        <v>5.2</v>
      </c>
      <c r="B328" s="451">
        <v>0.14071</v>
      </c>
      <c r="C328" t="str">
        <f t="shared" si="5"/>
        <v/>
      </c>
    </row>
    <row r="329" spans="1:3" x14ac:dyDescent="0.25">
      <c r="A329" s="175">
        <v>3.65</v>
      </c>
      <c r="B329" s="451">
        <v>2.3910000000000001E-2</v>
      </c>
      <c r="C329" t="str">
        <f t="shared" si="5"/>
        <v/>
      </c>
    </row>
    <row r="330" spans="1:3" x14ac:dyDescent="0.25">
      <c r="A330" s="175">
        <v>3.69</v>
      </c>
      <c r="B330" s="451">
        <v>6.9690000000000002E-2</v>
      </c>
      <c r="C330" t="str">
        <f t="shared" si="5"/>
        <v/>
      </c>
    </row>
    <row r="331" spans="1:3" x14ac:dyDescent="0.25">
      <c r="A331" s="175">
        <v>0.86</v>
      </c>
      <c r="B331" s="451">
        <v>1.9000000000000001E-4</v>
      </c>
      <c r="C331" t="str">
        <f t="shared" si="5"/>
        <v/>
      </c>
    </row>
    <row r="332" spans="1:3" x14ac:dyDescent="0.25">
      <c r="A332" s="175">
        <v>0.89</v>
      </c>
      <c r="B332" s="451">
        <v>3.5799999999999998E-3</v>
      </c>
      <c r="C332" t="str">
        <f t="shared" si="5"/>
        <v/>
      </c>
    </row>
    <row r="333" spans="1:3" x14ac:dyDescent="0.25">
      <c r="A333" s="175">
        <v>0.68</v>
      </c>
      <c r="B333" s="451">
        <v>1.0399999999999999E-3</v>
      </c>
      <c r="C333" t="str">
        <f t="shared" si="5"/>
        <v/>
      </c>
    </row>
    <row r="334" spans="1:3" x14ac:dyDescent="0.25">
      <c r="A334" s="175">
        <v>0.65</v>
      </c>
      <c r="B334" s="451">
        <v>8.3000000000000001E-4</v>
      </c>
      <c r="C334" t="str">
        <f t="shared" si="5"/>
        <v/>
      </c>
    </row>
    <row r="335" spans="1:3" x14ac:dyDescent="0.25">
      <c r="A335" s="175">
        <v>1.98</v>
      </c>
      <c r="B335" s="451">
        <v>9.4800000000000006E-3</v>
      </c>
      <c r="C335" t="str">
        <f t="shared" si="5"/>
        <v/>
      </c>
    </row>
    <row r="336" spans="1:3" x14ac:dyDescent="0.25">
      <c r="A336" s="175">
        <v>1.98</v>
      </c>
      <c r="B336" s="451">
        <v>3.6800000000000001E-3</v>
      </c>
      <c r="C336" t="str">
        <f t="shared" si="5"/>
        <v/>
      </c>
    </row>
    <row r="337" spans="1:3" x14ac:dyDescent="0.25">
      <c r="A337" s="175">
        <v>1.43</v>
      </c>
      <c r="B337" s="451">
        <v>2.31E-3</v>
      </c>
      <c r="C337" t="str">
        <f t="shared" si="5"/>
        <v/>
      </c>
    </row>
    <row r="338" spans="1:3" x14ac:dyDescent="0.25">
      <c r="A338" s="175">
        <v>0.6</v>
      </c>
      <c r="B338" s="451">
        <v>4.2999999999999999E-4</v>
      </c>
      <c r="C338" t="str">
        <f t="shared" si="5"/>
        <v/>
      </c>
    </row>
    <row r="339" spans="1:3" x14ac:dyDescent="0.25">
      <c r="A339" s="175">
        <v>0.77</v>
      </c>
      <c r="B339" s="451">
        <v>1.34E-3</v>
      </c>
      <c r="C339" t="str">
        <f t="shared" si="5"/>
        <v/>
      </c>
    </row>
    <row r="340" spans="1:3" x14ac:dyDescent="0.25">
      <c r="A340" s="175">
        <v>1.43</v>
      </c>
      <c r="B340" s="451">
        <v>3.4399999999999999E-3</v>
      </c>
      <c r="C340" t="str">
        <f t="shared" si="5"/>
        <v/>
      </c>
    </row>
    <row r="341" spans="1:3" x14ac:dyDescent="0.25">
      <c r="A341" s="175">
        <v>2.2200000000000002</v>
      </c>
      <c r="B341" s="451">
        <v>3.1060000000000001E-2</v>
      </c>
      <c r="C341" t="str">
        <f t="shared" si="5"/>
        <v/>
      </c>
    </row>
    <row r="342" spans="1:3" x14ac:dyDescent="0.25">
      <c r="A342" s="175">
        <v>1.53</v>
      </c>
      <c r="B342" s="451">
        <v>3.8500000000000001E-3</v>
      </c>
      <c r="C342" t="str">
        <f t="shared" si="5"/>
        <v/>
      </c>
    </row>
    <row r="343" spans="1:3" x14ac:dyDescent="0.25">
      <c r="A343" s="175">
        <v>1.58</v>
      </c>
      <c r="B343" s="451">
        <v>2.7899999999999999E-3</v>
      </c>
      <c r="C343" t="str">
        <f t="shared" si="5"/>
        <v/>
      </c>
    </row>
    <row r="344" spans="1:3" x14ac:dyDescent="0.25">
      <c r="A344" s="175">
        <v>2.98</v>
      </c>
      <c r="B344" s="451">
        <v>4.0329999999999998E-2</v>
      </c>
      <c r="C344" t="str">
        <f t="shared" si="5"/>
        <v/>
      </c>
    </row>
    <row r="345" spans="1:3" x14ac:dyDescent="0.25">
      <c r="A345" s="175">
        <v>3.79</v>
      </c>
      <c r="B345" s="451">
        <v>4.9270000000000001E-2</v>
      </c>
      <c r="C345" t="str">
        <f t="shared" si="5"/>
        <v/>
      </c>
    </row>
    <row r="346" spans="1:3" x14ac:dyDescent="0.25">
      <c r="A346" s="175">
        <v>6.37</v>
      </c>
      <c r="B346" s="451">
        <v>0.45312999999999998</v>
      </c>
      <c r="C346" t="str">
        <f t="shared" si="5"/>
        <v/>
      </c>
    </row>
    <row r="347" spans="1:3" x14ac:dyDescent="0.25">
      <c r="A347" s="175">
        <v>4.1399999999999997</v>
      </c>
      <c r="B347" s="451">
        <v>3.1189999999999999E-2</v>
      </c>
      <c r="C347" t="str">
        <f t="shared" si="5"/>
        <v/>
      </c>
    </row>
    <row r="348" spans="1:3" x14ac:dyDescent="0.25">
      <c r="A348" s="175">
        <v>4.9800000000000004</v>
      </c>
      <c r="B348" s="451">
        <v>8.2530000000000006E-2</v>
      </c>
      <c r="C348" t="str">
        <f t="shared" si="5"/>
        <v/>
      </c>
    </row>
    <row r="349" spans="1:3" x14ac:dyDescent="0.25">
      <c r="A349" s="175">
        <v>4.5199999999999996</v>
      </c>
      <c r="B349" s="451">
        <v>2.2280000000000001E-2</v>
      </c>
      <c r="C349" t="str">
        <f t="shared" si="5"/>
        <v/>
      </c>
    </row>
    <row r="350" spans="1:3" x14ac:dyDescent="0.25">
      <c r="A350" s="175">
        <v>4.33</v>
      </c>
      <c r="B350" s="451">
        <v>9.0299999999999998E-3</v>
      </c>
      <c r="C350" t="str">
        <f t="shared" si="5"/>
        <v/>
      </c>
    </row>
    <row r="351" spans="1:3" x14ac:dyDescent="0.25">
      <c r="A351" s="175">
        <v>4.62</v>
      </c>
      <c r="B351" s="451">
        <v>1.5259999999999999E-2</v>
      </c>
      <c r="C351" t="str">
        <f t="shared" si="5"/>
        <v/>
      </c>
    </row>
    <row r="352" spans="1:3" x14ac:dyDescent="0.25">
      <c r="A352" s="175">
        <v>3.23</v>
      </c>
      <c r="B352" s="451">
        <v>4.1200000000000004E-3</v>
      </c>
      <c r="C352" t="str">
        <f t="shared" si="5"/>
        <v/>
      </c>
    </row>
    <row r="353" spans="1:3" x14ac:dyDescent="0.25">
      <c r="A353" s="175">
        <v>4.09</v>
      </c>
      <c r="B353" s="451">
        <v>3.3989999999999999E-2</v>
      </c>
      <c r="C353" t="str">
        <f t="shared" si="5"/>
        <v/>
      </c>
    </row>
    <row r="354" spans="1:3" x14ac:dyDescent="0.25">
      <c r="A354" s="175">
        <v>5.21</v>
      </c>
      <c r="B354" s="451">
        <v>0.13563</v>
      </c>
      <c r="C354" t="str">
        <f t="shared" si="5"/>
        <v/>
      </c>
    </row>
    <row r="355" spans="1:3" x14ac:dyDescent="0.25">
      <c r="A355" s="175">
        <v>6.6</v>
      </c>
      <c r="B355" s="451">
        <v>0.27609</v>
      </c>
      <c r="C355" t="str">
        <f t="shared" si="5"/>
        <v/>
      </c>
    </row>
    <row r="356" spans="1:3" x14ac:dyDescent="0.25">
      <c r="A356" s="175">
        <v>5.78</v>
      </c>
      <c r="B356" s="451">
        <v>8.7520000000000001E-2</v>
      </c>
      <c r="C356" t="str">
        <f t="shared" si="5"/>
        <v/>
      </c>
    </row>
    <row r="357" spans="1:3" x14ac:dyDescent="0.25">
      <c r="A357" s="175">
        <v>5.68</v>
      </c>
      <c r="B357" s="451">
        <v>6.0060000000000002E-2</v>
      </c>
      <c r="C357" t="str">
        <f t="shared" si="5"/>
        <v/>
      </c>
    </row>
    <row r="358" spans="1:3" x14ac:dyDescent="0.25">
      <c r="A358" s="175">
        <v>5.63</v>
      </c>
      <c r="B358" s="451">
        <v>7.886E-2</v>
      </c>
      <c r="C358" t="str">
        <f t="shared" si="5"/>
        <v/>
      </c>
    </row>
    <row r="359" spans="1:3" x14ac:dyDescent="0.25">
      <c r="A359" s="175">
        <v>4.72</v>
      </c>
      <c r="B359" s="451">
        <v>2.6700000000000002E-2</v>
      </c>
      <c r="C359" t="str">
        <f t="shared" si="5"/>
        <v/>
      </c>
    </row>
    <row r="360" spans="1:3" x14ac:dyDescent="0.25">
      <c r="A360" s="175">
        <v>4.28</v>
      </c>
      <c r="B360" s="451">
        <v>1.9470000000000001E-2</v>
      </c>
      <c r="C360" t="str">
        <f t="shared" si="5"/>
        <v/>
      </c>
    </row>
    <row r="361" spans="1:3" x14ac:dyDescent="0.25">
      <c r="A361" s="175">
        <v>4.13</v>
      </c>
      <c r="B361" s="451">
        <v>2.4039999999999999E-2</v>
      </c>
      <c r="C361" t="str">
        <f t="shared" si="5"/>
        <v/>
      </c>
    </row>
    <row r="362" spans="1:3" x14ac:dyDescent="0.25">
      <c r="A362" s="175">
        <v>3.34</v>
      </c>
      <c r="B362" s="451">
        <v>1.1950000000000001E-2</v>
      </c>
      <c r="C362" t="str">
        <f t="shared" si="5"/>
        <v/>
      </c>
    </row>
    <row r="363" spans="1:3" x14ac:dyDescent="0.25">
      <c r="A363" s="175">
        <v>3.09</v>
      </c>
      <c r="B363" s="451">
        <v>9.0699999999999999E-3</v>
      </c>
      <c r="C363" t="str">
        <f t="shared" si="5"/>
        <v/>
      </c>
    </row>
    <row r="364" spans="1:3" x14ac:dyDescent="0.25">
      <c r="A364" s="175">
        <v>1.89</v>
      </c>
      <c r="B364" s="451">
        <v>3.9300000000000003E-3</v>
      </c>
      <c r="C364" t="str">
        <f t="shared" si="5"/>
        <v/>
      </c>
    </row>
    <row r="365" spans="1:3" x14ac:dyDescent="0.25">
      <c r="A365" s="175">
        <v>2.37</v>
      </c>
      <c r="B365" s="451">
        <v>8.4200000000000004E-3</v>
      </c>
      <c r="C365" t="str">
        <f t="shared" si="5"/>
        <v/>
      </c>
    </row>
    <row r="366" spans="1:3" x14ac:dyDescent="0.25">
      <c r="A366" s="175">
        <v>3.72</v>
      </c>
      <c r="B366" s="451">
        <v>7.3029999999999998E-2</v>
      </c>
      <c r="C366" t="str">
        <f t="shared" si="5"/>
        <v/>
      </c>
    </row>
    <row r="367" spans="1:3" x14ac:dyDescent="0.25">
      <c r="A367" s="175">
        <v>3.79</v>
      </c>
      <c r="B367" s="451">
        <v>5.935E-2</v>
      </c>
      <c r="C367" t="str">
        <f t="shared" si="5"/>
        <v/>
      </c>
    </row>
    <row r="368" spans="1:3" x14ac:dyDescent="0.25">
      <c r="A368" s="175">
        <v>4.1399999999999997</v>
      </c>
      <c r="B368" s="451">
        <v>5.2080000000000001E-2</v>
      </c>
      <c r="C368" t="str">
        <f t="shared" si="5"/>
        <v/>
      </c>
    </row>
    <row r="369" spans="1:3" x14ac:dyDescent="0.25">
      <c r="A369" s="175">
        <v>5.92</v>
      </c>
      <c r="B369" s="451">
        <v>0.50688999999999995</v>
      </c>
      <c r="C369" t="str">
        <f t="shared" si="5"/>
        <v/>
      </c>
    </row>
    <row r="370" spans="1:3" x14ac:dyDescent="0.25">
      <c r="A370" s="175">
        <v>5.96</v>
      </c>
      <c r="B370" s="451">
        <v>0.33694000000000002</v>
      </c>
      <c r="C370" t="str">
        <f t="shared" si="5"/>
        <v/>
      </c>
    </row>
    <row r="371" spans="1:3" x14ac:dyDescent="0.25">
      <c r="A371" s="175">
        <v>6.33</v>
      </c>
      <c r="B371" s="451">
        <v>0.22883000000000001</v>
      </c>
      <c r="C371" t="str">
        <f t="shared" si="5"/>
        <v/>
      </c>
    </row>
    <row r="372" spans="1:3" x14ac:dyDescent="0.25">
      <c r="A372" s="175">
        <v>6.39</v>
      </c>
      <c r="B372" s="451">
        <v>0.16109999999999999</v>
      </c>
      <c r="C372" t="str">
        <f t="shared" si="5"/>
        <v/>
      </c>
    </row>
    <row r="373" spans="1:3" x14ac:dyDescent="0.25">
      <c r="A373" s="175">
        <v>6.33</v>
      </c>
      <c r="B373" s="451">
        <v>0.27267000000000002</v>
      </c>
      <c r="C373" t="str">
        <f t="shared" si="5"/>
        <v/>
      </c>
    </row>
    <row r="374" spans="1:3" x14ac:dyDescent="0.25">
      <c r="A374" s="175">
        <v>4.88</v>
      </c>
      <c r="B374" s="451">
        <v>8.9069999999999996E-2</v>
      </c>
      <c r="C374" t="str">
        <f t="shared" si="5"/>
        <v/>
      </c>
    </row>
    <row r="375" spans="1:3" x14ac:dyDescent="0.25">
      <c r="A375" s="175">
        <v>1.92</v>
      </c>
      <c r="B375" s="451">
        <v>8.94E-3</v>
      </c>
      <c r="C375" t="str">
        <f t="shared" si="5"/>
        <v/>
      </c>
    </row>
    <row r="376" spans="1:3" x14ac:dyDescent="0.25">
      <c r="A376" s="175">
        <v>1.54</v>
      </c>
      <c r="B376" s="451">
        <v>1.25E-3</v>
      </c>
      <c r="C376" t="str">
        <f t="shared" si="5"/>
        <v/>
      </c>
    </row>
    <row r="377" spans="1:3" x14ac:dyDescent="0.25">
      <c r="A377" s="175">
        <v>5.16</v>
      </c>
      <c r="B377" s="451">
        <v>0.2364</v>
      </c>
      <c r="C377" t="str">
        <f t="shared" si="5"/>
        <v/>
      </c>
    </row>
    <row r="378" spans="1:3" x14ac:dyDescent="0.25">
      <c r="A378" s="175">
        <v>4.95</v>
      </c>
      <c r="B378" s="451">
        <v>0.15304000000000001</v>
      </c>
      <c r="C378" t="str">
        <f t="shared" si="5"/>
        <v/>
      </c>
    </row>
    <row r="379" spans="1:3" x14ac:dyDescent="0.25">
      <c r="A379" s="175">
        <v>4.4000000000000004</v>
      </c>
      <c r="B379" s="451">
        <v>3.1890000000000002E-2</v>
      </c>
      <c r="C379" t="str">
        <f t="shared" si="5"/>
        <v/>
      </c>
    </row>
    <row r="380" spans="1:3" x14ac:dyDescent="0.25">
      <c r="A380" s="175">
        <v>5.12</v>
      </c>
      <c r="B380" s="451">
        <v>8.4570000000000006E-2</v>
      </c>
      <c r="C380" t="str">
        <f t="shared" si="5"/>
        <v/>
      </c>
    </row>
    <row r="381" spans="1:3" x14ac:dyDescent="0.25">
      <c r="A381" s="175">
        <v>5.16</v>
      </c>
      <c r="B381" s="451">
        <v>8.3699999999999997E-2</v>
      </c>
      <c r="C381" t="str">
        <f t="shared" si="5"/>
        <v/>
      </c>
    </row>
    <row r="382" spans="1:3" x14ac:dyDescent="0.25">
      <c r="A382" s="175">
        <v>4.5999999999999996</v>
      </c>
      <c r="B382" s="451">
        <v>9.6140000000000003E-2</v>
      </c>
      <c r="C382" t="str">
        <f t="shared" si="5"/>
        <v/>
      </c>
    </row>
    <row r="383" spans="1:3" x14ac:dyDescent="0.25">
      <c r="A383" s="175">
        <v>4.54</v>
      </c>
      <c r="B383" s="451">
        <v>6.9669999999999996E-2</v>
      </c>
      <c r="C383" t="str">
        <f t="shared" si="5"/>
        <v/>
      </c>
    </row>
    <row r="384" spans="1:3" x14ac:dyDescent="0.25">
      <c r="A384" s="175">
        <v>4.5999999999999996</v>
      </c>
      <c r="B384" s="451">
        <v>6.0909999999999999E-2</v>
      </c>
      <c r="C384" t="str">
        <f t="shared" si="5"/>
        <v/>
      </c>
    </row>
    <row r="385" spans="1:3" x14ac:dyDescent="0.25">
      <c r="A385" s="175">
        <v>5.34</v>
      </c>
      <c r="B385" s="451">
        <v>6.0220000000000003E-2</v>
      </c>
      <c r="C385" t="str">
        <f t="shared" si="5"/>
        <v/>
      </c>
    </row>
    <row r="386" spans="1:3" x14ac:dyDescent="0.25">
      <c r="A386" s="175">
        <v>5.73</v>
      </c>
      <c r="B386" s="451">
        <v>0.12071999999999999</v>
      </c>
      <c r="C386" t="str">
        <f t="shared" si="5"/>
        <v/>
      </c>
    </row>
    <row r="387" spans="1:3" x14ac:dyDescent="0.25">
      <c r="A387" s="175">
        <v>6.99</v>
      </c>
      <c r="B387" s="451">
        <v>0.39756999999999998</v>
      </c>
      <c r="C387" t="str">
        <f t="shared" si="5"/>
        <v/>
      </c>
    </row>
    <row r="388" spans="1:3" x14ac:dyDescent="0.25">
      <c r="A388" s="175">
        <v>6.68</v>
      </c>
      <c r="B388" s="451">
        <v>0.39227000000000001</v>
      </c>
      <c r="C388" t="str">
        <f t="shared" si="5"/>
        <v/>
      </c>
    </row>
    <row r="389" spans="1:3" x14ac:dyDescent="0.25">
      <c r="A389" s="175">
        <v>6.33</v>
      </c>
      <c r="B389" s="451">
        <v>0.15382000000000001</v>
      </c>
      <c r="C389" t="str">
        <f t="shared" si="5"/>
        <v/>
      </c>
    </row>
    <row r="390" spans="1:3" x14ac:dyDescent="0.25">
      <c r="A390" s="175">
        <v>7.15</v>
      </c>
      <c r="B390" s="451">
        <v>0.41372999999999999</v>
      </c>
      <c r="C390" t="str">
        <f t="shared" ref="C390:C453" si="6">IF(B390=0,"XXXXXXXX","")</f>
        <v/>
      </c>
    </row>
    <row r="391" spans="1:3" x14ac:dyDescent="0.25">
      <c r="A391" s="175">
        <v>6.41</v>
      </c>
      <c r="B391" s="451">
        <v>0.15659000000000001</v>
      </c>
      <c r="C391" t="str">
        <f t="shared" si="6"/>
        <v/>
      </c>
    </row>
    <row r="392" spans="1:3" x14ac:dyDescent="0.25">
      <c r="A392" s="175">
        <v>5.77</v>
      </c>
      <c r="B392" s="451">
        <v>0.11414000000000001</v>
      </c>
      <c r="C392" t="str">
        <f t="shared" si="6"/>
        <v/>
      </c>
    </row>
    <row r="393" spans="1:3" x14ac:dyDescent="0.25">
      <c r="A393" s="175">
        <v>5.44</v>
      </c>
      <c r="B393" s="451">
        <v>7.4370000000000006E-2</v>
      </c>
      <c r="C393" t="str">
        <f t="shared" si="6"/>
        <v/>
      </c>
    </row>
    <row r="394" spans="1:3" x14ac:dyDescent="0.25">
      <c r="A394" s="175">
        <v>4.88</v>
      </c>
      <c r="B394" s="451">
        <v>2.4070000000000001E-2</v>
      </c>
      <c r="C394" t="str">
        <f t="shared" si="6"/>
        <v/>
      </c>
    </row>
    <row r="395" spans="1:3" x14ac:dyDescent="0.25">
      <c r="A395" s="175">
        <v>4.37</v>
      </c>
      <c r="B395" s="451">
        <v>8.8599999999999998E-3</v>
      </c>
      <c r="C395" t="str">
        <f t="shared" si="6"/>
        <v/>
      </c>
    </row>
    <row r="396" spans="1:3" x14ac:dyDescent="0.25">
      <c r="A396" s="193">
        <v>2.71</v>
      </c>
      <c r="B396" s="452">
        <v>2.2450000000000001E-2</v>
      </c>
      <c r="C396" t="str">
        <f t="shared" si="6"/>
        <v/>
      </c>
    </row>
    <row r="397" spans="1:3" x14ac:dyDescent="0.25">
      <c r="A397" s="175">
        <v>0.6</v>
      </c>
      <c r="B397" s="451">
        <v>4.2000000000000002E-4</v>
      </c>
      <c r="C397" t="str">
        <f t="shared" si="6"/>
        <v/>
      </c>
    </row>
    <row r="398" spans="1:3" x14ac:dyDescent="0.25">
      <c r="A398" s="175">
        <v>0.57999999999999996</v>
      </c>
      <c r="B398" s="451">
        <v>2.0000000000000001E-4</v>
      </c>
      <c r="C398" t="str">
        <f t="shared" si="6"/>
        <v/>
      </c>
    </row>
    <row r="399" spans="1:3" x14ac:dyDescent="0.25">
      <c r="A399" s="175">
        <v>0.62</v>
      </c>
      <c r="B399" s="451">
        <v>4.2999999999999999E-4</v>
      </c>
      <c r="C399" t="str">
        <f t="shared" si="6"/>
        <v/>
      </c>
    </row>
    <row r="400" spans="1:3" x14ac:dyDescent="0.25">
      <c r="A400" s="175">
        <v>0.67</v>
      </c>
      <c r="B400" s="451">
        <v>4.0000000000000003E-5</v>
      </c>
      <c r="C400" t="str">
        <f t="shared" si="6"/>
        <v/>
      </c>
    </row>
    <row r="401" spans="1:3" x14ac:dyDescent="0.25">
      <c r="A401" s="175">
        <v>0.72</v>
      </c>
      <c r="B401" s="451">
        <v>3.0000000000000001E-5</v>
      </c>
      <c r="C401" t="str">
        <f t="shared" si="6"/>
        <v/>
      </c>
    </row>
    <row r="402" spans="1:3" x14ac:dyDescent="0.25">
      <c r="A402" s="175">
        <v>0.66</v>
      </c>
      <c r="B402" s="451">
        <v>8.0000000000000007E-5</v>
      </c>
      <c r="C402" t="str">
        <f t="shared" si="6"/>
        <v/>
      </c>
    </row>
    <row r="403" spans="1:3" x14ac:dyDescent="0.25">
      <c r="A403" s="175">
        <v>0.71</v>
      </c>
      <c r="B403" s="451">
        <v>1.8000000000000001E-4</v>
      </c>
      <c r="C403" t="str">
        <f t="shared" si="6"/>
        <v/>
      </c>
    </row>
    <row r="404" spans="1:3" x14ac:dyDescent="0.25">
      <c r="A404" s="175">
        <v>0.75</v>
      </c>
      <c r="B404" s="451">
        <v>4.0999999999999999E-4</v>
      </c>
      <c r="C404" t="str">
        <f t="shared" si="6"/>
        <v/>
      </c>
    </row>
    <row r="405" spans="1:3" x14ac:dyDescent="0.25">
      <c r="A405" s="175">
        <v>0.65</v>
      </c>
      <c r="B405" s="451">
        <v>1.6299999999999999E-3</v>
      </c>
      <c r="C405" t="str">
        <f t="shared" si="6"/>
        <v/>
      </c>
    </row>
    <row r="406" spans="1:3" x14ac:dyDescent="0.25">
      <c r="A406" s="175">
        <v>0.77</v>
      </c>
      <c r="B406" s="451">
        <v>1.2600000000000001E-3</v>
      </c>
      <c r="C406" t="str">
        <f t="shared" si="6"/>
        <v/>
      </c>
    </row>
    <row r="407" spans="1:3" x14ac:dyDescent="0.25">
      <c r="A407" s="175">
        <v>1.68</v>
      </c>
      <c r="B407" s="451">
        <v>2.206E-2</v>
      </c>
      <c r="C407" t="str">
        <f t="shared" si="6"/>
        <v/>
      </c>
    </row>
    <row r="408" spans="1:3" x14ac:dyDescent="0.25">
      <c r="A408" s="175">
        <v>1.67</v>
      </c>
      <c r="B408" s="451">
        <v>3.8809999999999997E-2</v>
      </c>
      <c r="C408" t="str">
        <f t="shared" si="6"/>
        <v/>
      </c>
    </row>
    <row r="409" spans="1:3" x14ac:dyDescent="0.25">
      <c r="A409" s="175">
        <v>1.69</v>
      </c>
      <c r="B409" s="451">
        <v>2.0930000000000001E-2</v>
      </c>
      <c r="C409" t="str">
        <f t="shared" si="6"/>
        <v/>
      </c>
    </row>
    <row r="410" spans="1:3" x14ac:dyDescent="0.25">
      <c r="A410" s="175">
        <v>2.09</v>
      </c>
      <c r="B410" s="451">
        <v>4.4889999999999999E-2</v>
      </c>
      <c r="C410" t="str">
        <f t="shared" si="6"/>
        <v/>
      </c>
    </row>
    <row r="411" spans="1:3" x14ac:dyDescent="0.25">
      <c r="A411" s="175">
        <v>2.08</v>
      </c>
      <c r="B411" s="451">
        <v>1.9480000000000001E-2</v>
      </c>
      <c r="C411" t="str">
        <f t="shared" si="6"/>
        <v/>
      </c>
    </row>
    <row r="412" spans="1:3" x14ac:dyDescent="0.25">
      <c r="A412" s="175">
        <v>1.58</v>
      </c>
      <c r="B412" s="451">
        <v>4.1200000000000004E-3</v>
      </c>
      <c r="C412" t="str">
        <f t="shared" si="6"/>
        <v/>
      </c>
    </row>
    <row r="413" spans="1:3" x14ac:dyDescent="0.25">
      <c r="A413" s="175">
        <v>1.29</v>
      </c>
      <c r="B413" s="451">
        <v>6.5900000000000004E-3</v>
      </c>
      <c r="C413" t="str">
        <f t="shared" si="6"/>
        <v/>
      </c>
    </row>
    <row r="414" spans="1:3" x14ac:dyDescent="0.25">
      <c r="A414" s="175">
        <v>1.07</v>
      </c>
      <c r="B414" s="451">
        <v>1.2800000000000001E-3</v>
      </c>
      <c r="C414" t="str">
        <f t="shared" si="6"/>
        <v/>
      </c>
    </row>
    <row r="415" spans="1:3" x14ac:dyDescent="0.25">
      <c r="A415" s="175">
        <v>1.08</v>
      </c>
      <c r="B415" s="451">
        <v>3.49E-3</v>
      </c>
      <c r="C415" t="str">
        <f t="shared" si="6"/>
        <v/>
      </c>
    </row>
    <row r="416" spans="1:3" x14ac:dyDescent="0.25">
      <c r="A416" s="175">
        <v>1.3</v>
      </c>
      <c r="B416" s="451">
        <v>2.3700000000000001E-3</v>
      </c>
      <c r="C416" t="str">
        <f t="shared" si="6"/>
        <v/>
      </c>
    </row>
    <row r="417" spans="1:3" x14ac:dyDescent="0.25">
      <c r="A417" s="175">
        <v>1</v>
      </c>
      <c r="B417" s="451">
        <v>5.2900000000000004E-3</v>
      </c>
      <c r="C417" t="str">
        <f t="shared" si="6"/>
        <v/>
      </c>
    </row>
    <row r="418" spans="1:3" x14ac:dyDescent="0.25">
      <c r="A418" s="175">
        <v>0.54</v>
      </c>
      <c r="B418" s="451">
        <v>1.8400000000000001E-3</v>
      </c>
      <c r="C418" t="str">
        <f t="shared" si="6"/>
        <v/>
      </c>
    </row>
    <row r="419" spans="1:3" x14ac:dyDescent="0.25">
      <c r="A419" s="175">
        <v>1.94</v>
      </c>
      <c r="B419" s="451">
        <v>2.5669999999999998E-2</v>
      </c>
      <c r="C419" t="str">
        <f t="shared" si="6"/>
        <v/>
      </c>
    </row>
    <row r="420" spans="1:3" x14ac:dyDescent="0.25">
      <c r="A420" s="175">
        <v>1.7</v>
      </c>
      <c r="B420" s="451">
        <v>2.0969999999999999E-2</v>
      </c>
      <c r="C420" t="str">
        <f t="shared" si="6"/>
        <v/>
      </c>
    </row>
    <row r="421" spans="1:3" x14ac:dyDescent="0.25">
      <c r="A421" s="175">
        <v>2.5</v>
      </c>
      <c r="B421" s="451">
        <v>7.2529999999999997E-2</v>
      </c>
      <c r="C421" t="str">
        <f t="shared" si="6"/>
        <v/>
      </c>
    </row>
    <row r="422" spans="1:3" x14ac:dyDescent="0.25">
      <c r="A422" s="175">
        <v>3.69</v>
      </c>
      <c r="B422" s="451">
        <v>7.2480000000000003E-2</v>
      </c>
      <c r="C422" t="str">
        <f t="shared" si="6"/>
        <v/>
      </c>
    </row>
    <row r="423" spans="1:3" x14ac:dyDescent="0.25">
      <c r="A423" s="175">
        <v>2.74</v>
      </c>
      <c r="B423" s="451">
        <v>1.6299999999999999E-2</v>
      </c>
      <c r="C423" t="str">
        <f t="shared" si="6"/>
        <v/>
      </c>
    </row>
    <row r="424" spans="1:3" x14ac:dyDescent="0.25">
      <c r="A424" s="175">
        <v>2.29</v>
      </c>
      <c r="B424" s="451">
        <v>1.1180000000000001E-2</v>
      </c>
      <c r="C424" t="str">
        <f t="shared" si="6"/>
        <v/>
      </c>
    </row>
    <row r="425" spans="1:3" x14ac:dyDescent="0.25">
      <c r="A425" s="175">
        <v>2.2999999999999998</v>
      </c>
      <c r="B425" s="451">
        <v>1.7260000000000001E-2</v>
      </c>
      <c r="C425" t="str">
        <f t="shared" si="6"/>
        <v/>
      </c>
    </row>
    <row r="426" spans="1:3" x14ac:dyDescent="0.25">
      <c r="A426" s="175">
        <v>1.9</v>
      </c>
      <c r="B426" s="451">
        <v>4.8199999999999996E-3</v>
      </c>
      <c r="C426" t="str">
        <f t="shared" si="6"/>
        <v/>
      </c>
    </row>
    <row r="427" spans="1:3" x14ac:dyDescent="0.25">
      <c r="A427" s="175">
        <v>1.77</v>
      </c>
      <c r="B427" s="451">
        <v>5.4099999999999999E-3</v>
      </c>
      <c r="C427" t="str">
        <f t="shared" si="6"/>
        <v/>
      </c>
    </row>
    <row r="428" spans="1:3" x14ac:dyDescent="0.25">
      <c r="A428" s="175">
        <v>1.34</v>
      </c>
      <c r="B428" s="451">
        <v>7.6000000000000004E-4</v>
      </c>
      <c r="C428" t="str">
        <f t="shared" si="6"/>
        <v/>
      </c>
    </row>
    <row r="429" spans="1:3" x14ac:dyDescent="0.25">
      <c r="A429" s="175">
        <v>1.57</v>
      </c>
      <c r="B429" s="451">
        <v>1.17E-3</v>
      </c>
      <c r="C429" t="str">
        <f t="shared" si="6"/>
        <v/>
      </c>
    </row>
    <row r="430" spans="1:3" x14ac:dyDescent="0.25">
      <c r="A430" s="175">
        <v>2.5</v>
      </c>
      <c r="B430" s="451">
        <v>4.2470000000000001E-2</v>
      </c>
      <c r="C430" t="str">
        <f t="shared" si="6"/>
        <v/>
      </c>
    </row>
    <row r="431" spans="1:3" x14ac:dyDescent="0.25">
      <c r="A431" s="175">
        <v>2.63</v>
      </c>
      <c r="B431" s="451">
        <v>1.814E-2</v>
      </c>
      <c r="C431" t="str">
        <f t="shared" si="6"/>
        <v/>
      </c>
    </row>
    <row r="432" spans="1:3" x14ac:dyDescent="0.25">
      <c r="A432" s="175">
        <v>3.69</v>
      </c>
      <c r="B432" s="451">
        <v>9.9010000000000001E-2</v>
      </c>
      <c r="C432" t="str">
        <f t="shared" si="6"/>
        <v/>
      </c>
    </row>
    <row r="433" spans="1:3" x14ac:dyDescent="0.25">
      <c r="A433" s="175">
        <v>3.71</v>
      </c>
      <c r="B433" s="451">
        <v>6.2230000000000001E-2</v>
      </c>
      <c r="C433" t="str">
        <f t="shared" si="6"/>
        <v/>
      </c>
    </row>
    <row r="434" spans="1:3" x14ac:dyDescent="0.25">
      <c r="A434" s="175">
        <v>4.42</v>
      </c>
      <c r="B434" s="451">
        <v>8.6440000000000003E-2</v>
      </c>
      <c r="C434" t="str">
        <f t="shared" si="6"/>
        <v/>
      </c>
    </row>
    <row r="435" spans="1:3" x14ac:dyDescent="0.25">
      <c r="A435" s="175">
        <v>5.07</v>
      </c>
      <c r="B435" s="451">
        <v>9.8470000000000002E-2</v>
      </c>
      <c r="C435" t="str">
        <f t="shared" si="6"/>
        <v/>
      </c>
    </row>
    <row r="436" spans="1:3" x14ac:dyDescent="0.25">
      <c r="A436" s="175">
        <v>4.8899999999999997</v>
      </c>
      <c r="B436" s="451">
        <v>0.18382999999999999</v>
      </c>
      <c r="C436" t="str">
        <f t="shared" si="6"/>
        <v/>
      </c>
    </row>
    <row r="437" spans="1:3" x14ac:dyDescent="0.25">
      <c r="A437" s="175">
        <v>5.26</v>
      </c>
      <c r="B437" s="451">
        <v>0.36170000000000002</v>
      </c>
      <c r="C437" t="str">
        <f t="shared" si="6"/>
        <v/>
      </c>
    </row>
    <row r="438" spans="1:3" x14ac:dyDescent="0.25">
      <c r="A438" s="175">
        <v>5.15</v>
      </c>
      <c r="B438" s="451">
        <v>0.15064</v>
      </c>
      <c r="C438" t="str">
        <f t="shared" si="6"/>
        <v/>
      </c>
    </row>
    <row r="439" spans="1:3" x14ac:dyDescent="0.25">
      <c r="A439" s="175">
        <v>5.93</v>
      </c>
      <c r="B439" s="451">
        <v>0.64337</v>
      </c>
      <c r="C439" t="str">
        <f t="shared" si="6"/>
        <v/>
      </c>
    </row>
    <row r="440" spans="1:3" x14ac:dyDescent="0.25">
      <c r="A440" s="175">
        <v>5.3</v>
      </c>
      <c r="B440" s="451">
        <v>0.35010000000000002</v>
      </c>
      <c r="C440" t="str">
        <f t="shared" si="6"/>
        <v/>
      </c>
    </row>
    <row r="441" spans="1:3" x14ac:dyDescent="0.25">
      <c r="A441" s="175">
        <v>4.6500000000000004</v>
      </c>
      <c r="B441" s="451">
        <v>0.30019000000000001</v>
      </c>
      <c r="C441" t="str">
        <f t="shared" si="6"/>
        <v/>
      </c>
    </row>
    <row r="442" spans="1:3" x14ac:dyDescent="0.25">
      <c r="A442" s="175">
        <v>3.61</v>
      </c>
      <c r="B442" s="451">
        <v>0.12669</v>
      </c>
      <c r="C442" t="str">
        <f t="shared" si="6"/>
        <v/>
      </c>
    </row>
    <row r="443" spans="1:3" x14ac:dyDescent="0.25">
      <c r="A443" s="175">
        <v>3.85</v>
      </c>
      <c r="B443" s="451">
        <v>0.11536</v>
      </c>
      <c r="C443" t="str">
        <f t="shared" si="6"/>
        <v/>
      </c>
    </row>
    <row r="444" spans="1:3" x14ac:dyDescent="0.25">
      <c r="A444" s="175">
        <v>0.8</v>
      </c>
      <c r="B444" s="451">
        <v>2.0000000000000001E-4</v>
      </c>
      <c r="C444" t="str">
        <f t="shared" si="6"/>
        <v/>
      </c>
    </row>
    <row r="445" spans="1:3" x14ac:dyDescent="0.25">
      <c r="A445" s="175">
        <v>0.77</v>
      </c>
      <c r="B445" s="451">
        <v>2.4000000000000001E-4</v>
      </c>
      <c r="C445" t="str">
        <f t="shared" si="6"/>
        <v/>
      </c>
    </row>
    <row r="446" spans="1:3" x14ac:dyDescent="0.25">
      <c r="A446" s="175">
        <v>0.79</v>
      </c>
      <c r="B446" s="451">
        <v>4.8000000000000001E-4</v>
      </c>
      <c r="C446" t="str">
        <f t="shared" si="6"/>
        <v/>
      </c>
    </row>
    <row r="447" spans="1:3" x14ac:dyDescent="0.25">
      <c r="A447" s="175">
        <v>1.99</v>
      </c>
      <c r="B447" s="451">
        <v>8.0000000000000002E-3</v>
      </c>
      <c r="C447" t="str">
        <f t="shared" si="6"/>
        <v/>
      </c>
    </row>
    <row r="448" spans="1:3" x14ac:dyDescent="0.25">
      <c r="A448" s="175">
        <v>1.75</v>
      </c>
      <c r="B448" s="451">
        <v>3.7499999999999999E-3</v>
      </c>
      <c r="C448" t="str">
        <f t="shared" si="6"/>
        <v/>
      </c>
    </row>
    <row r="449" spans="1:3" x14ac:dyDescent="0.25">
      <c r="A449" s="175">
        <v>1.53</v>
      </c>
      <c r="B449" s="451">
        <v>7.7999999999999999E-4</v>
      </c>
      <c r="C449" t="str">
        <f t="shared" si="6"/>
        <v/>
      </c>
    </row>
    <row r="450" spans="1:3" x14ac:dyDescent="0.25">
      <c r="A450" s="175">
        <v>0.53</v>
      </c>
      <c r="B450" s="451">
        <v>9.0000000000000006E-5</v>
      </c>
      <c r="C450" t="str">
        <f t="shared" si="6"/>
        <v/>
      </c>
    </row>
    <row r="451" spans="1:3" x14ac:dyDescent="0.25">
      <c r="A451" s="175">
        <v>0.82</v>
      </c>
      <c r="B451" s="451">
        <v>5.6999999999999998E-4</v>
      </c>
      <c r="C451" t="str">
        <f t="shared" si="6"/>
        <v/>
      </c>
    </row>
    <row r="452" spans="1:3" x14ac:dyDescent="0.25">
      <c r="A452" s="175">
        <v>1.33</v>
      </c>
      <c r="B452" s="451">
        <v>9.7000000000000005E-4</v>
      </c>
      <c r="C452" t="str">
        <f t="shared" si="6"/>
        <v/>
      </c>
    </row>
    <row r="453" spans="1:3" x14ac:dyDescent="0.25">
      <c r="A453" s="175">
        <v>1.54</v>
      </c>
      <c r="B453" s="451">
        <v>5.6100000000000004E-3</v>
      </c>
      <c r="C453" t="str">
        <f t="shared" si="6"/>
        <v/>
      </c>
    </row>
    <row r="454" spans="1:3" x14ac:dyDescent="0.25">
      <c r="A454" s="175">
        <v>1.63</v>
      </c>
      <c r="B454" s="451">
        <v>6.0099999999999997E-3</v>
      </c>
      <c r="C454" t="str">
        <f t="shared" ref="C454:C517" si="7">IF(B454=0,"XXXXXXXX","")</f>
        <v/>
      </c>
    </row>
    <row r="455" spans="1:3" x14ac:dyDescent="0.25">
      <c r="A455" s="175">
        <v>1.43</v>
      </c>
      <c r="B455" s="451">
        <v>1.1199999999999999E-3</v>
      </c>
      <c r="C455" t="str">
        <f t="shared" si="7"/>
        <v/>
      </c>
    </row>
    <row r="456" spans="1:3" x14ac:dyDescent="0.25">
      <c r="A456" s="175">
        <v>2.19</v>
      </c>
      <c r="B456" s="451">
        <v>1.754E-2</v>
      </c>
      <c r="C456" t="str">
        <f t="shared" si="7"/>
        <v/>
      </c>
    </row>
    <row r="457" spans="1:3" x14ac:dyDescent="0.25">
      <c r="A457" s="175">
        <v>3.75</v>
      </c>
      <c r="B457" s="451">
        <v>0.10388</v>
      </c>
      <c r="C457" t="str">
        <f t="shared" si="7"/>
        <v/>
      </c>
    </row>
    <row r="458" spans="1:3" x14ac:dyDescent="0.25">
      <c r="A458" s="175">
        <v>4.7</v>
      </c>
      <c r="B458" s="451">
        <v>0.17413000000000001</v>
      </c>
      <c r="C458" t="str">
        <f t="shared" si="7"/>
        <v/>
      </c>
    </row>
    <row r="459" spans="1:3" x14ac:dyDescent="0.25">
      <c r="A459" s="175">
        <v>4.59</v>
      </c>
      <c r="B459" s="451">
        <v>9.2999999999999999E-2</v>
      </c>
      <c r="C459" t="str">
        <f t="shared" si="7"/>
        <v/>
      </c>
    </row>
    <row r="460" spans="1:3" x14ac:dyDescent="0.25">
      <c r="A460" s="175">
        <v>4.83</v>
      </c>
      <c r="B460" s="451">
        <v>2.3390000000000001E-2</v>
      </c>
      <c r="C460" t="str">
        <f t="shared" si="7"/>
        <v/>
      </c>
    </row>
    <row r="461" spans="1:3" x14ac:dyDescent="0.25">
      <c r="A461" s="175">
        <v>4.0199999999999996</v>
      </c>
      <c r="B461" s="451">
        <v>4.6100000000000004E-3</v>
      </c>
      <c r="C461" t="str">
        <f t="shared" si="7"/>
        <v/>
      </c>
    </row>
    <row r="462" spans="1:3" x14ac:dyDescent="0.25">
      <c r="A462" s="175">
        <v>4.63</v>
      </c>
      <c r="B462" s="451">
        <v>5.5840000000000001E-2</v>
      </c>
      <c r="C462" t="str">
        <f t="shared" si="7"/>
        <v/>
      </c>
    </row>
    <row r="463" spans="1:3" x14ac:dyDescent="0.25">
      <c r="A463" s="175">
        <v>3.46</v>
      </c>
      <c r="B463" s="451">
        <v>4.1599999999999996E-3</v>
      </c>
      <c r="C463" t="str">
        <f t="shared" si="7"/>
        <v/>
      </c>
    </row>
    <row r="464" spans="1:3" x14ac:dyDescent="0.25">
      <c r="A464" s="175">
        <v>4.74</v>
      </c>
      <c r="B464" s="451">
        <v>5.518E-2</v>
      </c>
      <c r="C464" t="str">
        <f t="shared" si="7"/>
        <v/>
      </c>
    </row>
    <row r="465" spans="1:3" x14ac:dyDescent="0.25">
      <c r="A465" s="175">
        <v>4.96</v>
      </c>
      <c r="B465" s="451">
        <v>9.8080000000000001E-2</v>
      </c>
      <c r="C465" t="str">
        <f t="shared" si="7"/>
        <v/>
      </c>
    </row>
    <row r="466" spans="1:3" x14ac:dyDescent="0.25">
      <c r="A466" s="175">
        <v>5.4</v>
      </c>
      <c r="B466" s="451">
        <v>3.7519999999999998E-2</v>
      </c>
      <c r="C466" t="str">
        <f t="shared" si="7"/>
        <v/>
      </c>
    </row>
    <row r="467" spans="1:3" x14ac:dyDescent="0.25">
      <c r="A467" s="175">
        <v>4.6399999999999997</v>
      </c>
      <c r="B467" s="451">
        <v>7.7350000000000002E-2</v>
      </c>
      <c r="C467" t="str">
        <f t="shared" si="7"/>
        <v/>
      </c>
    </row>
    <row r="468" spans="1:3" x14ac:dyDescent="0.25">
      <c r="A468" s="175">
        <v>4.46</v>
      </c>
      <c r="B468" s="451">
        <v>5.3089999999999998E-2</v>
      </c>
      <c r="C468" t="str">
        <f t="shared" si="7"/>
        <v/>
      </c>
    </row>
    <row r="469" spans="1:3" x14ac:dyDescent="0.25">
      <c r="A469" s="175">
        <v>3.42</v>
      </c>
      <c r="B469" s="451">
        <v>7.0200000000000002E-3</v>
      </c>
      <c r="C469" t="str">
        <f t="shared" si="7"/>
        <v/>
      </c>
    </row>
    <row r="470" spans="1:3" x14ac:dyDescent="0.25">
      <c r="A470" s="175">
        <v>3.12</v>
      </c>
      <c r="B470" s="451">
        <v>1.227E-2</v>
      </c>
      <c r="C470" t="str">
        <f t="shared" si="7"/>
        <v/>
      </c>
    </row>
    <row r="471" spans="1:3" x14ac:dyDescent="0.25">
      <c r="A471" s="175">
        <v>1.95</v>
      </c>
      <c r="B471" s="451">
        <v>4.6499999999999996E-3</v>
      </c>
      <c r="C471" t="str">
        <f t="shared" si="7"/>
        <v/>
      </c>
    </row>
    <row r="472" spans="1:3" x14ac:dyDescent="0.25">
      <c r="A472" s="175">
        <v>2.4700000000000002</v>
      </c>
      <c r="B472" s="451">
        <v>1.1900000000000001E-3</v>
      </c>
      <c r="C472" t="str">
        <f t="shared" si="7"/>
        <v/>
      </c>
    </row>
    <row r="473" spans="1:3" x14ac:dyDescent="0.25">
      <c r="A473" s="175">
        <v>1.49</v>
      </c>
      <c r="B473" s="451">
        <v>2.8700000000000002E-3</v>
      </c>
      <c r="C473" t="str">
        <f t="shared" si="7"/>
        <v/>
      </c>
    </row>
    <row r="474" spans="1:3" x14ac:dyDescent="0.25">
      <c r="A474" s="175">
        <v>4.54</v>
      </c>
      <c r="B474" s="451">
        <v>0.22911999999999999</v>
      </c>
      <c r="C474" t="str">
        <f t="shared" si="7"/>
        <v/>
      </c>
    </row>
    <row r="475" spans="1:3" x14ac:dyDescent="0.25">
      <c r="A475" s="175">
        <v>4.99</v>
      </c>
      <c r="B475" s="451">
        <v>5.9450000000000003E-2</v>
      </c>
      <c r="C475" t="str">
        <f t="shared" si="7"/>
        <v/>
      </c>
    </row>
    <row r="476" spans="1:3" x14ac:dyDescent="0.25">
      <c r="A476" s="175">
        <v>6.03</v>
      </c>
      <c r="B476" s="451">
        <v>0.17385999999999999</v>
      </c>
      <c r="C476" t="str">
        <f t="shared" si="7"/>
        <v/>
      </c>
    </row>
    <row r="477" spans="1:3" x14ac:dyDescent="0.25">
      <c r="A477" s="175">
        <v>5.48</v>
      </c>
      <c r="B477" s="451">
        <v>6.8680000000000005E-2</v>
      </c>
      <c r="C477" t="str">
        <f t="shared" si="7"/>
        <v/>
      </c>
    </row>
    <row r="478" spans="1:3" x14ac:dyDescent="0.25">
      <c r="A478" s="175">
        <v>5.26</v>
      </c>
      <c r="B478" s="451">
        <v>6.0810000000000003E-2</v>
      </c>
      <c r="C478" t="str">
        <f t="shared" si="7"/>
        <v/>
      </c>
    </row>
    <row r="479" spans="1:3" x14ac:dyDescent="0.25">
      <c r="A479" s="175">
        <v>3.91</v>
      </c>
      <c r="B479" s="451">
        <v>4.836E-2</v>
      </c>
      <c r="C479" t="str">
        <f t="shared" si="7"/>
        <v/>
      </c>
    </row>
    <row r="480" spans="1:3" x14ac:dyDescent="0.25">
      <c r="A480" s="175">
        <v>2.5099999999999998</v>
      </c>
      <c r="B480" s="451">
        <v>1.8100000000000002E-2</v>
      </c>
      <c r="C480" t="str">
        <f t="shared" si="7"/>
        <v/>
      </c>
    </row>
    <row r="481" spans="1:3" x14ac:dyDescent="0.25">
      <c r="A481" s="175">
        <v>0.88</v>
      </c>
      <c r="B481" s="451">
        <v>2.1700000000000001E-3</v>
      </c>
      <c r="C481" t="str">
        <f t="shared" si="7"/>
        <v/>
      </c>
    </row>
    <row r="482" spans="1:3" x14ac:dyDescent="0.25">
      <c r="A482" s="175">
        <v>1.93</v>
      </c>
      <c r="B482" s="451">
        <v>1.0630000000000001E-2</v>
      </c>
      <c r="C482" t="str">
        <f t="shared" si="7"/>
        <v/>
      </c>
    </row>
    <row r="483" spans="1:3" x14ac:dyDescent="0.25">
      <c r="A483" s="175">
        <v>4.3499999999999996</v>
      </c>
      <c r="B483" s="451">
        <v>0.11309</v>
      </c>
      <c r="C483" t="str">
        <f t="shared" si="7"/>
        <v/>
      </c>
    </row>
    <row r="484" spans="1:3" x14ac:dyDescent="0.25">
      <c r="A484" s="175">
        <v>4.5599999999999996</v>
      </c>
      <c r="B484" s="451">
        <v>6.0389999999999999E-2</v>
      </c>
      <c r="C484" t="str">
        <f t="shared" si="7"/>
        <v/>
      </c>
    </row>
    <row r="485" spans="1:3" x14ac:dyDescent="0.25">
      <c r="A485" s="175">
        <v>4.2699999999999996</v>
      </c>
      <c r="B485" s="451">
        <v>0.14907000000000001</v>
      </c>
      <c r="C485" t="str">
        <f t="shared" si="7"/>
        <v/>
      </c>
    </row>
    <row r="486" spans="1:3" x14ac:dyDescent="0.25">
      <c r="A486" s="175">
        <v>5.21</v>
      </c>
      <c r="B486" s="451">
        <v>0.12733</v>
      </c>
      <c r="C486" t="str">
        <f t="shared" si="7"/>
        <v/>
      </c>
    </row>
    <row r="487" spans="1:3" x14ac:dyDescent="0.25">
      <c r="A487" s="175">
        <v>4.6500000000000004</v>
      </c>
      <c r="B487" s="451">
        <v>5.6500000000000002E-2</v>
      </c>
      <c r="C487" t="str">
        <f t="shared" si="7"/>
        <v/>
      </c>
    </row>
    <row r="488" spans="1:3" x14ac:dyDescent="0.25">
      <c r="A488" s="175">
        <v>4.3099999999999996</v>
      </c>
      <c r="B488" s="451">
        <v>5.459E-2</v>
      </c>
      <c r="C488" t="str">
        <f t="shared" si="7"/>
        <v/>
      </c>
    </row>
    <row r="489" spans="1:3" x14ac:dyDescent="0.25">
      <c r="A489" s="175">
        <v>4.3499999999999996</v>
      </c>
      <c r="B489" s="451">
        <v>4.2869999999999998E-2</v>
      </c>
      <c r="C489" t="str">
        <f t="shared" si="7"/>
        <v/>
      </c>
    </row>
    <row r="490" spans="1:3" x14ac:dyDescent="0.25">
      <c r="A490" s="175">
        <v>4.3499999999999996</v>
      </c>
      <c r="B490" s="451">
        <v>5.7979999999999997E-2</v>
      </c>
      <c r="C490" t="str">
        <f t="shared" si="7"/>
        <v/>
      </c>
    </row>
    <row r="491" spans="1:3" x14ac:dyDescent="0.25">
      <c r="A491" s="175">
        <v>5.99</v>
      </c>
      <c r="B491" s="451">
        <v>0.13464000000000001</v>
      </c>
      <c r="C491" t="str">
        <f t="shared" si="7"/>
        <v/>
      </c>
    </row>
    <row r="492" spans="1:3" x14ac:dyDescent="0.25">
      <c r="A492" s="175">
        <v>5.35</v>
      </c>
      <c r="B492" s="451">
        <v>0.13869000000000001</v>
      </c>
      <c r="C492" t="str">
        <f t="shared" si="7"/>
        <v/>
      </c>
    </row>
    <row r="493" spans="1:3" x14ac:dyDescent="0.25">
      <c r="A493" s="175">
        <v>6.55</v>
      </c>
      <c r="B493" s="451">
        <v>0.34018999999999999</v>
      </c>
      <c r="C493" t="str">
        <f t="shared" si="7"/>
        <v/>
      </c>
    </row>
    <row r="494" spans="1:3" x14ac:dyDescent="0.25">
      <c r="A494" s="175">
        <v>7.09</v>
      </c>
      <c r="B494" s="451">
        <v>0.30112</v>
      </c>
      <c r="C494" t="str">
        <f t="shared" si="7"/>
        <v/>
      </c>
    </row>
    <row r="495" spans="1:3" x14ac:dyDescent="0.25">
      <c r="A495" s="175">
        <v>6.22</v>
      </c>
      <c r="B495" s="451">
        <v>0.22417999999999999</v>
      </c>
      <c r="C495" t="str">
        <f t="shared" si="7"/>
        <v/>
      </c>
    </row>
    <row r="496" spans="1:3" x14ac:dyDescent="0.25">
      <c r="A496" s="175">
        <v>6.51</v>
      </c>
      <c r="B496" s="451">
        <v>0.21221000000000001</v>
      </c>
      <c r="C496" t="str">
        <f t="shared" si="7"/>
        <v/>
      </c>
    </row>
    <row r="497" spans="1:3" x14ac:dyDescent="0.25">
      <c r="A497" s="175">
        <v>6.03</v>
      </c>
      <c r="B497" s="451">
        <v>0.12676000000000001</v>
      </c>
      <c r="C497" t="str">
        <f t="shared" si="7"/>
        <v/>
      </c>
    </row>
    <row r="498" spans="1:3" x14ac:dyDescent="0.25">
      <c r="A498" s="175">
        <v>5.53</v>
      </c>
      <c r="B498" s="451">
        <v>0.11845</v>
      </c>
      <c r="C498" t="str">
        <f t="shared" si="7"/>
        <v/>
      </c>
    </row>
    <row r="499" spans="1:3" x14ac:dyDescent="0.25">
      <c r="A499" s="175">
        <v>4.7300000000000004</v>
      </c>
      <c r="B499" s="451">
        <v>7.8829999999999997E-2</v>
      </c>
      <c r="C499" t="str">
        <f t="shared" si="7"/>
        <v/>
      </c>
    </row>
    <row r="500" spans="1:3" x14ac:dyDescent="0.25">
      <c r="A500" s="175">
        <v>4.4000000000000004</v>
      </c>
      <c r="B500" s="451">
        <v>4.5870000000000001E-2</v>
      </c>
      <c r="C500" t="str">
        <f t="shared" si="7"/>
        <v/>
      </c>
    </row>
    <row r="501" spans="1:3" x14ac:dyDescent="0.25">
      <c r="A501" s="175">
        <v>4.3099999999999996</v>
      </c>
      <c r="B501" s="451">
        <v>3.5610000000000003E-2</v>
      </c>
      <c r="C501" t="str">
        <f t="shared" si="7"/>
        <v/>
      </c>
    </row>
    <row r="502" spans="1:3" x14ac:dyDescent="0.25">
      <c r="A502" s="193">
        <v>2.64</v>
      </c>
      <c r="B502" s="452">
        <v>1.342E-2</v>
      </c>
      <c r="C502" t="str">
        <f t="shared" si="7"/>
        <v/>
      </c>
    </row>
    <row r="503" spans="1:3" x14ac:dyDescent="0.25">
      <c r="A503" s="175">
        <v>1.91</v>
      </c>
      <c r="B503" s="451">
        <v>2.97E-3</v>
      </c>
      <c r="C503" t="str">
        <f t="shared" si="7"/>
        <v/>
      </c>
    </row>
    <row r="504" spans="1:3" x14ac:dyDescent="0.25">
      <c r="A504" s="175">
        <v>2</v>
      </c>
      <c r="B504" s="451">
        <v>2.8300000000000001E-3</v>
      </c>
      <c r="C504" t="str">
        <f t="shared" si="7"/>
        <v/>
      </c>
    </row>
    <row r="505" spans="1:3" x14ac:dyDescent="0.25">
      <c r="A505" s="175">
        <v>1.56</v>
      </c>
      <c r="B505" s="451">
        <v>3.5000000000000001E-3</v>
      </c>
      <c r="C505" t="str">
        <f t="shared" si="7"/>
        <v/>
      </c>
    </row>
    <row r="506" spans="1:3" x14ac:dyDescent="0.25">
      <c r="A506" s="175">
        <v>1.58</v>
      </c>
      <c r="B506" s="451">
        <v>8.4499999999999992E-3</v>
      </c>
      <c r="C506" t="str">
        <f t="shared" si="7"/>
        <v/>
      </c>
    </row>
    <row r="507" spans="1:3" x14ac:dyDescent="0.25">
      <c r="A507" s="175">
        <v>1.29</v>
      </c>
      <c r="B507" s="451">
        <v>3.0400000000000002E-3</v>
      </c>
      <c r="C507" t="str">
        <f t="shared" si="7"/>
        <v/>
      </c>
    </row>
    <row r="508" spans="1:3" x14ac:dyDescent="0.25">
      <c r="A508" s="175">
        <v>1.25</v>
      </c>
      <c r="B508" s="451">
        <v>3.7499999999999999E-3</v>
      </c>
      <c r="C508" t="str">
        <f t="shared" si="7"/>
        <v/>
      </c>
    </row>
    <row r="509" spans="1:3" x14ac:dyDescent="0.25">
      <c r="A509" s="175">
        <v>1.23</v>
      </c>
      <c r="B509" s="451">
        <v>1.34E-3</v>
      </c>
      <c r="C509" t="str">
        <f t="shared" si="7"/>
        <v/>
      </c>
    </row>
    <row r="510" spans="1:3" x14ac:dyDescent="0.25">
      <c r="A510" s="175">
        <v>0.99</v>
      </c>
      <c r="B510" s="451">
        <v>7.5000000000000002E-4</v>
      </c>
      <c r="C510" t="str">
        <f t="shared" si="7"/>
        <v/>
      </c>
    </row>
    <row r="511" spans="1:3" x14ac:dyDescent="0.25">
      <c r="A511" s="175">
        <v>1.1399999999999999</v>
      </c>
      <c r="B511" s="451">
        <v>2.7299999999999998E-3</v>
      </c>
      <c r="C511" t="str">
        <f t="shared" si="7"/>
        <v/>
      </c>
    </row>
    <row r="512" spans="1:3" x14ac:dyDescent="0.25">
      <c r="A512" s="175">
        <v>1.3</v>
      </c>
      <c r="B512" s="451">
        <v>4.1399999999999996E-3</v>
      </c>
      <c r="C512" t="str">
        <f t="shared" si="7"/>
        <v/>
      </c>
    </row>
    <row r="513" spans="1:3" x14ac:dyDescent="0.25">
      <c r="A513" s="175">
        <v>1.46</v>
      </c>
      <c r="B513" s="451">
        <v>2.5699999999999998E-3</v>
      </c>
      <c r="C513" t="str">
        <f t="shared" si="7"/>
        <v/>
      </c>
    </row>
    <row r="514" spans="1:3" x14ac:dyDescent="0.25">
      <c r="A514" s="175">
        <v>1.24</v>
      </c>
      <c r="B514" s="451">
        <v>1.7000000000000001E-4</v>
      </c>
      <c r="C514" t="str">
        <f t="shared" si="7"/>
        <v/>
      </c>
    </row>
    <row r="515" spans="1:3" x14ac:dyDescent="0.25">
      <c r="A515" s="175">
        <v>0.99</v>
      </c>
      <c r="B515" s="451">
        <v>3.6000000000000002E-4</v>
      </c>
      <c r="C515" t="str">
        <f t="shared" si="7"/>
        <v/>
      </c>
    </row>
    <row r="516" spans="1:3" x14ac:dyDescent="0.25">
      <c r="A516" s="175">
        <v>1.68</v>
      </c>
      <c r="B516" s="451">
        <v>1.1299999999999999E-3</v>
      </c>
      <c r="C516" t="str">
        <f t="shared" si="7"/>
        <v/>
      </c>
    </row>
    <row r="517" spans="1:3" x14ac:dyDescent="0.25">
      <c r="A517" s="175">
        <v>1.95</v>
      </c>
      <c r="B517" s="451">
        <v>1.99E-3</v>
      </c>
      <c r="C517" t="str">
        <f t="shared" si="7"/>
        <v/>
      </c>
    </row>
    <row r="518" spans="1:3" x14ac:dyDescent="0.25">
      <c r="A518" s="175">
        <v>1.9</v>
      </c>
      <c r="B518" s="451">
        <v>8.9599999999999992E-3</v>
      </c>
      <c r="C518" t="str">
        <f t="shared" ref="C518:C581" si="8">IF(B518=0,"XXXXXXXX","")</f>
        <v/>
      </c>
    </row>
    <row r="519" spans="1:3" x14ac:dyDescent="0.25">
      <c r="A519" s="175">
        <v>2.09</v>
      </c>
      <c r="B519" s="451">
        <v>7.11E-3</v>
      </c>
      <c r="C519" t="str">
        <f t="shared" si="8"/>
        <v/>
      </c>
    </row>
    <row r="520" spans="1:3" x14ac:dyDescent="0.25">
      <c r="A520" s="175">
        <v>1.97</v>
      </c>
      <c r="B520" s="451">
        <v>2.4299999999999999E-2</v>
      </c>
      <c r="C520" t="str">
        <f t="shared" si="8"/>
        <v/>
      </c>
    </row>
    <row r="521" spans="1:3" x14ac:dyDescent="0.25">
      <c r="A521" s="175">
        <v>2.21</v>
      </c>
      <c r="B521" s="451">
        <v>9.8899999999999995E-3</v>
      </c>
      <c r="C521" t="str">
        <f t="shared" si="8"/>
        <v/>
      </c>
    </row>
    <row r="522" spans="1:3" x14ac:dyDescent="0.25">
      <c r="A522" s="175">
        <v>2.02</v>
      </c>
      <c r="B522" s="451">
        <v>4.2900000000000004E-3</v>
      </c>
      <c r="C522" t="str">
        <f t="shared" si="8"/>
        <v/>
      </c>
    </row>
    <row r="523" spans="1:3" x14ac:dyDescent="0.25">
      <c r="A523" s="175">
        <v>1.72</v>
      </c>
      <c r="B523" s="451">
        <v>2.2799999999999999E-3</v>
      </c>
      <c r="C523" t="str">
        <f t="shared" si="8"/>
        <v/>
      </c>
    </row>
    <row r="524" spans="1:3" x14ac:dyDescent="0.25">
      <c r="A524" s="175">
        <v>2.19</v>
      </c>
      <c r="B524" s="451">
        <v>3.0100000000000001E-3</v>
      </c>
      <c r="C524" t="str">
        <f t="shared" si="8"/>
        <v/>
      </c>
    </row>
    <row r="525" spans="1:3" x14ac:dyDescent="0.25">
      <c r="A525" s="175">
        <v>2.19</v>
      </c>
      <c r="B525" s="451">
        <v>2.0300000000000001E-3</v>
      </c>
      <c r="C525" t="str">
        <f t="shared" si="8"/>
        <v/>
      </c>
    </row>
    <row r="526" spans="1:3" x14ac:dyDescent="0.25">
      <c r="A526" s="175">
        <v>1.1399999999999999</v>
      </c>
      <c r="B526" s="451">
        <v>1.9480000000000001E-2</v>
      </c>
      <c r="C526" t="str">
        <f t="shared" si="8"/>
        <v/>
      </c>
    </row>
    <row r="527" spans="1:3" x14ac:dyDescent="0.25">
      <c r="A527" s="175">
        <v>0.87</v>
      </c>
      <c r="B527" s="451">
        <v>3.0000000000000001E-5</v>
      </c>
      <c r="C527" t="str">
        <f t="shared" si="8"/>
        <v/>
      </c>
    </row>
    <row r="528" spans="1:3" x14ac:dyDescent="0.25">
      <c r="A528" s="175">
        <v>1.17</v>
      </c>
      <c r="B528" s="451">
        <v>8.8000000000000003E-4</v>
      </c>
      <c r="C528" t="str">
        <f t="shared" si="8"/>
        <v/>
      </c>
    </row>
    <row r="529" spans="1:3" x14ac:dyDescent="0.25">
      <c r="A529" s="175">
        <v>1.37</v>
      </c>
      <c r="B529" s="451">
        <v>5.6999999999999998E-4</v>
      </c>
      <c r="C529" t="str">
        <f t="shared" si="8"/>
        <v/>
      </c>
    </row>
    <row r="530" spans="1:3" x14ac:dyDescent="0.25">
      <c r="A530" s="175">
        <v>1.81</v>
      </c>
      <c r="B530" s="451">
        <v>1.6100000000000001E-3</v>
      </c>
      <c r="C530" t="str">
        <f t="shared" si="8"/>
        <v/>
      </c>
    </row>
    <row r="531" spans="1:3" x14ac:dyDescent="0.25">
      <c r="A531" s="175">
        <v>2.0099999999999998</v>
      </c>
      <c r="B531" s="451">
        <v>1.1900000000000001E-3</v>
      </c>
      <c r="C531" t="str">
        <f t="shared" si="8"/>
        <v/>
      </c>
    </row>
    <row r="532" spans="1:3" x14ac:dyDescent="0.25">
      <c r="A532" s="175">
        <v>1.64</v>
      </c>
      <c r="B532" s="451">
        <v>1.91E-3</v>
      </c>
      <c r="C532" t="str">
        <f t="shared" si="8"/>
        <v/>
      </c>
    </row>
    <row r="533" spans="1:3" x14ac:dyDescent="0.25">
      <c r="A533" s="175">
        <v>1.1399999999999999</v>
      </c>
      <c r="B533" s="451">
        <v>1.14E-3</v>
      </c>
      <c r="C533" t="str">
        <f t="shared" si="8"/>
        <v/>
      </c>
    </row>
    <row r="534" spans="1:3" x14ac:dyDescent="0.25">
      <c r="A534" s="175">
        <v>1.28</v>
      </c>
      <c r="B534" s="451">
        <v>1.048E-2</v>
      </c>
      <c r="C534" t="str">
        <f t="shared" si="8"/>
        <v/>
      </c>
    </row>
    <row r="535" spans="1:3" x14ac:dyDescent="0.25">
      <c r="A535" s="175">
        <v>1.73</v>
      </c>
      <c r="B535" s="451">
        <v>5.1000000000000004E-4</v>
      </c>
      <c r="C535" t="str">
        <f t="shared" si="8"/>
        <v/>
      </c>
    </row>
    <row r="536" spans="1:3" x14ac:dyDescent="0.25">
      <c r="A536" s="175">
        <v>2.92</v>
      </c>
      <c r="B536" s="451">
        <v>1.9099999999999999E-2</v>
      </c>
      <c r="C536" t="str">
        <f t="shared" si="8"/>
        <v/>
      </c>
    </row>
    <row r="537" spans="1:3" x14ac:dyDescent="0.25">
      <c r="A537" s="175">
        <v>3.05</v>
      </c>
      <c r="B537" s="451">
        <v>0.10777</v>
      </c>
      <c r="C537" t="str">
        <f t="shared" si="8"/>
        <v/>
      </c>
    </row>
    <row r="538" spans="1:3" x14ac:dyDescent="0.25">
      <c r="A538" s="175">
        <v>2.96</v>
      </c>
      <c r="B538" s="451">
        <v>5.0200000000000002E-2</v>
      </c>
      <c r="C538" t="str">
        <f t="shared" si="8"/>
        <v/>
      </c>
    </row>
    <row r="539" spans="1:3" x14ac:dyDescent="0.25">
      <c r="A539" s="175">
        <v>3.79</v>
      </c>
      <c r="B539" s="451">
        <v>1.538E-2</v>
      </c>
      <c r="C539" t="str">
        <f t="shared" si="8"/>
        <v/>
      </c>
    </row>
    <row r="540" spans="1:3" x14ac:dyDescent="0.25">
      <c r="A540" s="175">
        <v>3.51</v>
      </c>
      <c r="B540" s="451">
        <v>0.13514999999999999</v>
      </c>
      <c r="C540" t="str">
        <f t="shared" si="8"/>
        <v/>
      </c>
    </row>
    <row r="541" spans="1:3" x14ac:dyDescent="0.25">
      <c r="A541" s="175">
        <v>3.02</v>
      </c>
      <c r="B541" s="451">
        <v>4.9500000000000002E-2</v>
      </c>
      <c r="C541" t="str">
        <f t="shared" si="8"/>
        <v/>
      </c>
    </row>
    <row r="542" spans="1:3" x14ac:dyDescent="0.25">
      <c r="A542" s="175">
        <v>3.27</v>
      </c>
      <c r="B542" s="451">
        <v>2.1950000000000001E-2</v>
      </c>
      <c r="C542" t="str">
        <f t="shared" si="8"/>
        <v/>
      </c>
    </row>
    <row r="543" spans="1:3" x14ac:dyDescent="0.25">
      <c r="A543" s="175">
        <v>3.83</v>
      </c>
      <c r="B543" s="451">
        <v>8.763E-2</v>
      </c>
      <c r="C543" t="str">
        <f t="shared" si="8"/>
        <v/>
      </c>
    </row>
    <row r="544" spans="1:3" x14ac:dyDescent="0.25">
      <c r="A544" s="175">
        <v>4</v>
      </c>
      <c r="B544" s="451">
        <v>5.006E-2</v>
      </c>
      <c r="C544" t="str">
        <f t="shared" si="8"/>
        <v/>
      </c>
    </row>
    <row r="545" spans="1:3" x14ac:dyDescent="0.25">
      <c r="A545" s="175">
        <v>3.76</v>
      </c>
      <c r="B545" s="451">
        <v>7.1239999999999998E-2</v>
      </c>
      <c r="C545" t="str">
        <f t="shared" si="8"/>
        <v/>
      </c>
    </row>
    <row r="546" spans="1:3" x14ac:dyDescent="0.25">
      <c r="A546" s="175">
        <v>3.96</v>
      </c>
      <c r="B546" s="451">
        <v>9.8330000000000001E-2</v>
      </c>
      <c r="C546" t="str">
        <f t="shared" si="8"/>
        <v/>
      </c>
    </row>
    <row r="547" spans="1:3" x14ac:dyDescent="0.25">
      <c r="A547" s="175">
        <v>4</v>
      </c>
      <c r="B547" s="451">
        <v>9.239E-2</v>
      </c>
      <c r="C547" t="str">
        <f t="shared" si="8"/>
        <v/>
      </c>
    </row>
    <row r="548" spans="1:3" x14ac:dyDescent="0.25">
      <c r="A548" s="175">
        <v>3</v>
      </c>
      <c r="B548" s="451">
        <v>0.1041</v>
      </c>
      <c r="C548" t="str">
        <f t="shared" si="8"/>
        <v/>
      </c>
    </row>
    <row r="549" spans="1:3" x14ac:dyDescent="0.25">
      <c r="A549" s="175">
        <v>3.11</v>
      </c>
      <c r="B549" s="451">
        <v>6.0159999999999998E-2</v>
      </c>
      <c r="C549" t="str">
        <f t="shared" si="8"/>
        <v/>
      </c>
    </row>
    <row r="550" spans="1:3" x14ac:dyDescent="0.25">
      <c r="A550" s="175">
        <v>2.17</v>
      </c>
      <c r="B550" s="451">
        <v>8.9099999999999995E-3</v>
      </c>
      <c r="C550" t="str">
        <f t="shared" si="8"/>
        <v/>
      </c>
    </row>
    <row r="551" spans="1:3" x14ac:dyDescent="0.25">
      <c r="A551" s="175">
        <v>2.41</v>
      </c>
      <c r="B551" s="451">
        <v>7.77E-3</v>
      </c>
      <c r="C551" t="str">
        <f t="shared" si="8"/>
        <v/>
      </c>
    </row>
    <row r="552" spans="1:3" x14ac:dyDescent="0.25">
      <c r="A552" s="175">
        <v>2.2200000000000002</v>
      </c>
      <c r="B552" s="451">
        <v>1.401E-2</v>
      </c>
      <c r="C552" t="str">
        <f t="shared" si="8"/>
        <v/>
      </c>
    </row>
    <row r="553" spans="1:3" x14ac:dyDescent="0.25">
      <c r="A553" s="175">
        <v>2.0099999999999998</v>
      </c>
      <c r="B553" s="451">
        <v>2.845E-2</v>
      </c>
      <c r="C553" t="str">
        <f t="shared" si="8"/>
        <v/>
      </c>
    </row>
    <row r="554" spans="1:3" x14ac:dyDescent="0.25">
      <c r="A554" s="175">
        <v>1.94</v>
      </c>
      <c r="B554" s="451">
        <v>1.174E-2</v>
      </c>
      <c r="C554" t="str">
        <f t="shared" si="8"/>
        <v/>
      </c>
    </row>
    <row r="555" spans="1:3" x14ac:dyDescent="0.25">
      <c r="A555" s="175">
        <v>1.23</v>
      </c>
      <c r="B555" s="451">
        <v>1.32E-3</v>
      </c>
      <c r="C555" t="str">
        <f t="shared" si="8"/>
        <v/>
      </c>
    </row>
    <row r="556" spans="1:3" x14ac:dyDescent="0.25">
      <c r="A556" s="175">
        <v>1.07</v>
      </c>
      <c r="B556" s="451">
        <v>3.6999999999999999E-4</v>
      </c>
      <c r="C556" t="str">
        <f t="shared" si="8"/>
        <v/>
      </c>
    </row>
    <row r="557" spans="1:3" x14ac:dyDescent="0.25">
      <c r="A557" s="175">
        <v>0.96</v>
      </c>
      <c r="B557" s="451">
        <v>7.2999999999999996E-4</v>
      </c>
      <c r="C557" t="str">
        <f t="shared" si="8"/>
        <v/>
      </c>
    </row>
    <row r="558" spans="1:3" x14ac:dyDescent="0.25">
      <c r="A558" s="175">
        <v>1.05</v>
      </c>
      <c r="B558" s="451">
        <v>1.1900000000000001E-3</v>
      </c>
      <c r="C558" t="str">
        <f t="shared" si="8"/>
        <v/>
      </c>
    </row>
    <row r="559" spans="1:3" x14ac:dyDescent="0.25">
      <c r="A559" s="175">
        <v>1.02</v>
      </c>
      <c r="B559" s="451">
        <v>4.8000000000000001E-4</v>
      </c>
      <c r="C559" t="str">
        <f t="shared" si="8"/>
        <v/>
      </c>
    </row>
    <row r="560" spans="1:3" x14ac:dyDescent="0.25">
      <c r="A560" s="175">
        <v>0.91</v>
      </c>
      <c r="B560" s="451">
        <v>1.2E-4</v>
      </c>
      <c r="C560" t="str">
        <f t="shared" si="8"/>
        <v/>
      </c>
    </row>
    <row r="561" spans="1:3" x14ac:dyDescent="0.25">
      <c r="A561" s="175">
        <v>1.1499999999999999</v>
      </c>
      <c r="B561" s="451">
        <v>1.1999999999999999E-3</v>
      </c>
      <c r="C561" t="str">
        <f t="shared" si="8"/>
        <v/>
      </c>
    </row>
    <row r="562" spans="1:3" x14ac:dyDescent="0.25">
      <c r="A562" s="175">
        <v>2.27</v>
      </c>
      <c r="B562" s="451">
        <v>3.5869999999999999E-2</v>
      </c>
      <c r="C562" t="str">
        <f t="shared" si="8"/>
        <v/>
      </c>
    </row>
    <row r="563" spans="1:3" x14ac:dyDescent="0.25">
      <c r="A563" s="175">
        <v>3.19</v>
      </c>
      <c r="B563" s="451">
        <v>3.524E-2</v>
      </c>
      <c r="C563" t="str">
        <f t="shared" si="8"/>
        <v/>
      </c>
    </row>
    <row r="564" spans="1:3" x14ac:dyDescent="0.25">
      <c r="A564" s="175">
        <v>3.75</v>
      </c>
      <c r="B564" s="451">
        <v>5.3850000000000002E-2</v>
      </c>
      <c r="C564" t="str">
        <f t="shared" si="8"/>
        <v/>
      </c>
    </row>
    <row r="565" spans="1:3" x14ac:dyDescent="0.25">
      <c r="A565" s="175">
        <v>3.79</v>
      </c>
      <c r="B565" s="451">
        <v>5.5989999999999998E-2</v>
      </c>
      <c r="C565" t="str">
        <f t="shared" si="8"/>
        <v/>
      </c>
    </row>
    <row r="566" spans="1:3" x14ac:dyDescent="0.25">
      <c r="A566" s="175">
        <v>3.35</v>
      </c>
      <c r="B566" s="451">
        <v>4.2599999999999999E-2</v>
      </c>
      <c r="C566" t="str">
        <f t="shared" si="8"/>
        <v/>
      </c>
    </row>
    <row r="567" spans="1:3" x14ac:dyDescent="0.25">
      <c r="A567" s="175">
        <v>3.57</v>
      </c>
      <c r="B567" s="451">
        <v>2.4729999999999999E-2</v>
      </c>
      <c r="C567" t="str">
        <f t="shared" si="8"/>
        <v/>
      </c>
    </row>
    <row r="568" spans="1:3" x14ac:dyDescent="0.25">
      <c r="A568" s="175">
        <v>3.23</v>
      </c>
      <c r="B568" s="451">
        <v>1.593E-2</v>
      </c>
      <c r="C568" t="str">
        <f t="shared" si="8"/>
        <v/>
      </c>
    </row>
    <row r="569" spans="1:3" x14ac:dyDescent="0.25">
      <c r="A569" s="175">
        <v>3.3</v>
      </c>
      <c r="B569" s="451">
        <v>1.391E-2</v>
      </c>
      <c r="C569" t="str">
        <f t="shared" si="8"/>
        <v/>
      </c>
    </row>
    <row r="570" spans="1:3" x14ac:dyDescent="0.25">
      <c r="A570" s="175">
        <v>2.59</v>
      </c>
      <c r="B570" s="451">
        <v>8.7200000000000003E-3</v>
      </c>
      <c r="C570" t="str">
        <f t="shared" si="8"/>
        <v/>
      </c>
    </row>
    <row r="571" spans="1:3" x14ac:dyDescent="0.25">
      <c r="A571" s="175">
        <v>3.41</v>
      </c>
      <c r="B571" s="451">
        <v>3.993E-2</v>
      </c>
      <c r="C571" t="str">
        <f t="shared" si="8"/>
        <v/>
      </c>
    </row>
    <row r="572" spans="1:3" x14ac:dyDescent="0.25">
      <c r="A572" s="175">
        <v>4.2</v>
      </c>
      <c r="B572" s="451">
        <v>6.6500000000000004E-2</v>
      </c>
      <c r="C572" t="str">
        <f t="shared" si="8"/>
        <v/>
      </c>
    </row>
    <row r="573" spans="1:3" x14ac:dyDescent="0.25">
      <c r="A573" s="175">
        <v>3.56</v>
      </c>
      <c r="B573" s="451">
        <v>2.2179999999999998E-2</v>
      </c>
      <c r="C573" t="str">
        <f t="shared" si="8"/>
        <v/>
      </c>
    </row>
    <row r="574" spans="1:3" x14ac:dyDescent="0.25">
      <c r="A574" s="175">
        <v>4.46</v>
      </c>
      <c r="B574" s="451">
        <v>4.7010000000000003E-2</v>
      </c>
      <c r="C574" t="str">
        <f t="shared" si="8"/>
        <v/>
      </c>
    </row>
    <row r="575" spans="1:3" x14ac:dyDescent="0.25">
      <c r="A575" s="175">
        <v>4.01</v>
      </c>
      <c r="B575" s="451">
        <v>6.2890000000000001E-2</v>
      </c>
      <c r="C575" t="str">
        <f t="shared" si="8"/>
        <v/>
      </c>
    </row>
    <row r="576" spans="1:3" x14ac:dyDescent="0.25">
      <c r="A576" s="175">
        <v>3.32</v>
      </c>
      <c r="B576" s="451">
        <v>6.6650000000000001E-2</v>
      </c>
      <c r="C576" t="str">
        <f t="shared" si="8"/>
        <v/>
      </c>
    </row>
    <row r="577" spans="1:3" x14ac:dyDescent="0.25">
      <c r="A577" s="175">
        <v>2.66</v>
      </c>
      <c r="B577" s="451">
        <v>1.6840000000000001E-2</v>
      </c>
      <c r="C577" t="str">
        <f t="shared" si="8"/>
        <v/>
      </c>
    </row>
    <row r="578" spans="1:3" x14ac:dyDescent="0.25">
      <c r="A578" s="175">
        <v>2.37</v>
      </c>
      <c r="B578" s="451">
        <v>1.5219999999999999E-2</v>
      </c>
      <c r="C578" t="str">
        <f t="shared" si="8"/>
        <v/>
      </c>
    </row>
    <row r="579" spans="1:3" x14ac:dyDescent="0.25">
      <c r="A579" s="175">
        <v>2.2799999999999998</v>
      </c>
      <c r="B579" s="451">
        <v>1.077E-2</v>
      </c>
      <c r="C579" t="str">
        <f t="shared" si="8"/>
        <v/>
      </c>
    </row>
    <row r="580" spans="1:3" x14ac:dyDescent="0.25">
      <c r="A580" s="175">
        <v>1.52</v>
      </c>
      <c r="B580" s="451">
        <v>3.1119999999999998E-2</v>
      </c>
      <c r="C580" t="str">
        <f t="shared" si="8"/>
        <v/>
      </c>
    </row>
    <row r="581" spans="1:3" x14ac:dyDescent="0.25">
      <c r="A581" s="175">
        <v>1.31</v>
      </c>
      <c r="B581" s="451">
        <v>4.6899999999999997E-3</v>
      </c>
      <c r="C581" t="str">
        <f t="shared" si="8"/>
        <v/>
      </c>
    </row>
    <row r="582" spans="1:3" x14ac:dyDescent="0.25">
      <c r="A582" s="175">
        <v>1.1000000000000001</v>
      </c>
      <c r="B582" s="451">
        <v>1.9560000000000001E-2</v>
      </c>
      <c r="C582" t="str">
        <f t="shared" ref="C582:C645" si="9">IF(B582=0,"XXXXXXXX","")</f>
        <v/>
      </c>
    </row>
    <row r="583" spans="1:3" x14ac:dyDescent="0.25">
      <c r="A583" s="175">
        <v>1.73</v>
      </c>
      <c r="B583" s="451">
        <v>7.5000000000000002E-4</v>
      </c>
      <c r="C583" t="str">
        <f t="shared" si="9"/>
        <v/>
      </c>
    </row>
    <row r="584" spans="1:3" x14ac:dyDescent="0.25">
      <c r="A584" s="175">
        <v>1.85</v>
      </c>
      <c r="B584" s="451">
        <v>1.2749999999999999E-2</v>
      </c>
      <c r="C584" t="str">
        <f t="shared" si="9"/>
        <v/>
      </c>
    </row>
    <row r="585" spans="1:3" x14ac:dyDescent="0.25">
      <c r="A585" s="175">
        <v>3.21</v>
      </c>
      <c r="B585" s="451">
        <v>8.4229999999999999E-2</v>
      </c>
      <c r="C585" t="str">
        <f t="shared" si="9"/>
        <v/>
      </c>
    </row>
    <row r="586" spans="1:3" x14ac:dyDescent="0.25">
      <c r="A586" s="175">
        <v>2.61</v>
      </c>
      <c r="B586" s="451">
        <v>1.9970000000000002E-2</v>
      </c>
      <c r="C586" t="str">
        <f t="shared" si="9"/>
        <v/>
      </c>
    </row>
    <row r="587" spans="1:3" x14ac:dyDescent="0.25">
      <c r="A587" s="175">
        <v>2.61</v>
      </c>
      <c r="B587" s="451">
        <v>9.6200000000000001E-3</v>
      </c>
      <c r="C587" t="str">
        <f t="shared" si="9"/>
        <v/>
      </c>
    </row>
    <row r="588" spans="1:3" x14ac:dyDescent="0.25">
      <c r="A588" s="175">
        <v>3.21</v>
      </c>
      <c r="B588" s="451">
        <v>4.2770000000000002E-2</v>
      </c>
      <c r="C588" t="str">
        <f t="shared" si="9"/>
        <v/>
      </c>
    </row>
    <row r="589" spans="1:3" x14ac:dyDescent="0.25">
      <c r="A589" s="175">
        <v>3.27</v>
      </c>
      <c r="B589" s="451">
        <v>0.13056000000000001</v>
      </c>
      <c r="C589" t="str">
        <f t="shared" si="9"/>
        <v/>
      </c>
    </row>
    <row r="590" spans="1:3" x14ac:dyDescent="0.25">
      <c r="A590" s="175">
        <v>2.9</v>
      </c>
      <c r="B590" s="451">
        <v>5.8819999999999997E-2</v>
      </c>
      <c r="C590" t="str">
        <f t="shared" si="9"/>
        <v/>
      </c>
    </row>
    <row r="591" spans="1:3" x14ac:dyDescent="0.25">
      <c r="A591" s="175">
        <v>2.67</v>
      </c>
      <c r="B591" s="451">
        <v>2.7869999999999999E-2</v>
      </c>
      <c r="C591" t="str">
        <f t="shared" si="9"/>
        <v/>
      </c>
    </row>
    <row r="592" spans="1:3" x14ac:dyDescent="0.25">
      <c r="A592" s="175">
        <v>2.9</v>
      </c>
      <c r="B592" s="451">
        <v>1.686E-2</v>
      </c>
      <c r="C592" t="str">
        <f t="shared" si="9"/>
        <v/>
      </c>
    </row>
    <row r="593" spans="1:3" x14ac:dyDescent="0.25">
      <c r="A593" s="175">
        <v>3.53</v>
      </c>
      <c r="B593" s="451">
        <v>2.3949999999999999E-2</v>
      </c>
      <c r="C593" t="str">
        <f t="shared" si="9"/>
        <v/>
      </c>
    </row>
    <row r="594" spans="1:3" x14ac:dyDescent="0.25">
      <c r="A594" s="175">
        <v>3.4</v>
      </c>
      <c r="B594" s="451">
        <v>4.6929999999999999E-2</v>
      </c>
      <c r="C594" t="str">
        <f t="shared" si="9"/>
        <v/>
      </c>
    </row>
    <row r="595" spans="1:3" x14ac:dyDescent="0.25">
      <c r="A595" s="175">
        <v>3.08</v>
      </c>
      <c r="B595" s="451">
        <v>4.5539999999999997E-2</v>
      </c>
      <c r="C595" t="str">
        <f t="shared" si="9"/>
        <v/>
      </c>
    </row>
    <row r="596" spans="1:3" x14ac:dyDescent="0.25">
      <c r="A596" s="175">
        <v>3.88</v>
      </c>
      <c r="B596" s="451">
        <v>9.3609999999999999E-2</v>
      </c>
      <c r="C596" t="str">
        <f t="shared" si="9"/>
        <v/>
      </c>
    </row>
    <row r="597" spans="1:3" x14ac:dyDescent="0.25">
      <c r="A597" s="175">
        <v>3.67</v>
      </c>
      <c r="B597" s="451">
        <v>0.13644000000000001</v>
      </c>
      <c r="C597" t="str">
        <f t="shared" si="9"/>
        <v/>
      </c>
    </row>
    <row r="598" spans="1:3" x14ac:dyDescent="0.25">
      <c r="A598" s="175">
        <v>3.67</v>
      </c>
      <c r="B598" s="451">
        <v>0.10172</v>
      </c>
      <c r="C598" t="str">
        <f t="shared" si="9"/>
        <v/>
      </c>
    </row>
    <row r="599" spans="1:3" x14ac:dyDescent="0.25">
      <c r="A599" s="175">
        <v>3.67</v>
      </c>
      <c r="B599" s="451">
        <v>2.8639999999999999E-2</v>
      </c>
      <c r="C599" t="str">
        <f t="shared" si="9"/>
        <v/>
      </c>
    </row>
    <row r="600" spans="1:3" x14ac:dyDescent="0.25">
      <c r="A600" s="175">
        <v>4.33</v>
      </c>
      <c r="B600" s="451">
        <v>4.5749999999999999E-2</v>
      </c>
      <c r="C600" t="str">
        <f t="shared" si="9"/>
        <v/>
      </c>
    </row>
    <row r="601" spans="1:3" x14ac:dyDescent="0.25">
      <c r="A601" s="175">
        <v>4.1100000000000003</v>
      </c>
      <c r="B601" s="451">
        <v>9.6439999999999998E-2</v>
      </c>
      <c r="C601" t="str">
        <f t="shared" si="9"/>
        <v/>
      </c>
    </row>
    <row r="602" spans="1:3" x14ac:dyDescent="0.25">
      <c r="A602" s="175">
        <v>3.96</v>
      </c>
      <c r="B602" s="451">
        <v>0.10927000000000001</v>
      </c>
      <c r="C602" t="str">
        <f t="shared" si="9"/>
        <v/>
      </c>
    </row>
    <row r="603" spans="1:3" x14ac:dyDescent="0.25">
      <c r="A603" s="175">
        <v>3.74</v>
      </c>
      <c r="B603" s="451">
        <v>3.2939999999999997E-2</v>
      </c>
      <c r="C603" t="str">
        <f t="shared" si="9"/>
        <v/>
      </c>
    </row>
    <row r="604" spans="1:3" x14ac:dyDescent="0.25">
      <c r="A604" s="175">
        <v>4.33</v>
      </c>
      <c r="B604" s="451">
        <v>4.5150000000000003E-2</v>
      </c>
      <c r="C604" t="str">
        <f t="shared" si="9"/>
        <v/>
      </c>
    </row>
    <row r="605" spans="1:3" x14ac:dyDescent="0.25">
      <c r="A605" s="175">
        <v>4.33</v>
      </c>
      <c r="B605" s="451">
        <v>6.3700000000000007E-2</v>
      </c>
      <c r="C605" t="str">
        <f t="shared" si="9"/>
        <v/>
      </c>
    </row>
    <row r="606" spans="1:3" x14ac:dyDescent="0.25">
      <c r="A606" s="175">
        <v>3.88</v>
      </c>
      <c r="B606" s="451">
        <v>6.0979999999999999E-2</v>
      </c>
      <c r="C606" t="str">
        <f t="shared" si="9"/>
        <v/>
      </c>
    </row>
    <row r="607" spans="1:3" x14ac:dyDescent="0.25">
      <c r="A607" s="175">
        <v>3.67</v>
      </c>
      <c r="B607" s="451">
        <v>5.2810000000000003E-2</v>
      </c>
      <c r="C607" t="str">
        <f t="shared" si="9"/>
        <v/>
      </c>
    </row>
    <row r="608" spans="1:3" x14ac:dyDescent="0.25">
      <c r="A608" s="175">
        <v>3.67</v>
      </c>
      <c r="B608" s="451">
        <v>7.79E-3</v>
      </c>
      <c r="C608" t="str">
        <f t="shared" si="9"/>
        <v/>
      </c>
    </row>
    <row r="609" spans="1:3" x14ac:dyDescent="0.25">
      <c r="A609" s="175">
        <v>4.33</v>
      </c>
      <c r="B609" s="451">
        <v>5.0049999999999997E-2</v>
      </c>
      <c r="C609" t="str">
        <f t="shared" si="9"/>
        <v/>
      </c>
    </row>
    <row r="610" spans="1:3" x14ac:dyDescent="0.25">
      <c r="A610" s="175">
        <v>4.1100000000000003</v>
      </c>
      <c r="B610" s="451">
        <v>3.9039999999999998E-2</v>
      </c>
      <c r="C610" t="str">
        <f t="shared" si="9"/>
        <v/>
      </c>
    </row>
    <row r="611" spans="1:3" x14ac:dyDescent="0.25">
      <c r="A611" s="175">
        <v>3.88</v>
      </c>
      <c r="B611" s="451">
        <v>9.0480000000000005E-2</v>
      </c>
      <c r="C611" t="str">
        <f t="shared" si="9"/>
        <v/>
      </c>
    </row>
    <row r="612" spans="1:3" x14ac:dyDescent="0.25">
      <c r="A612" s="175">
        <v>3.74</v>
      </c>
      <c r="B612" s="451">
        <v>4.052E-2</v>
      </c>
      <c r="C612" t="str">
        <f t="shared" si="9"/>
        <v/>
      </c>
    </row>
    <row r="613" spans="1:3" x14ac:dyDescent="0.25">
      <c r="A613" s="175">
        <v>4.1100000000000003</v>
      </c>
      <c r="B613" s="451">
        <v>5.8810000000000001E-2</v>
      </c>
      <c r="C613" t="str">
        <f t="shared" si="9"/>
        <v/>
      </c>
    </row>
    <row r="614" spans="1:3" x14ac:dyDescent="0.25">
      <c r="A614" s="175">
        <v>4.6500000000000004</v>
      </c>
      <c r="B614" s="451">
        <v>3.4000000000000002E-2</v>
      </c>
      <c r="C614" t="str">
        <f t="shared" si="9"/>
        <v/>
      </c>
    </row>
    <row r="615" spans="1:3" x14ac:dyDescent="0.25">
      <c r="A615" s="175">
        <v>4.18</v>
      </c>
      <c r="B615" s="451">
        <v>8.1890000000000004E-2</v>
      </c>
      <c r="C615" t="str">
        <f t="shared" si="9"/>
        <v/>
      </c>
    </row>
    <row r="616" spans="1:3" x14ac:dyDescent="0.25">
      <c r="A616" s="175">
        <v>4.18</v>
      </c>
      <c r="B616" s="451">
        <v>4.9529999999999998E-2</v>
      </c>
      <c r="C616" t="str">
        <f t="shared" si="9"/>
        <v/>
      </c>
    </row>
    <row r="617" spans="1:3" x14ac:dyDescent="0.25">
      <c r="A617" s="175">
        <v>3.74</v>
      </c>
      <c r="B617" s="451">
        <v>8.1710000000000005E-2</v>
      </c>
      <c r="C617" t="str">
        <f t="shared" si="9"/>
        <v/>
      </c>
    </row>
    <row r="618" spans="1:3" x14ac:dyDescent="0.25">
      <c r="A618" s="175">
        <v>3.88</v>
      </c>
      <c r="B618" s="451">
        <v>4.7499999999999999E-3</v>
      </c>
      <c r="C618" t="str">
        <f t="shared" si="9"/>
        <v/>
      </c>
    </row>
    <row r="619" spans="1:3" x14ac:dyDescent="0.25">
      <c r="A619" s="175">
        <v>4.03</v>
      </c>
      <c r="B619" s="451">
        <v>7.6590000000000005E-2</v>
      </c>
      <c r="C619" t="str">
        <f t="shared" si="9"/>
        <v/>
      </c>
    </row>
    <row r="620" spans="1:3" x14ac:dyDescent="0.25">
      <c r="A620" s="175">
        <v>3.96</v>
      </c>
      <c r="B620" s="451">
        <v>4.6260000000000003E-2</v>
      </c>
      <c r="C620" t="str">
        <f t="shared" si="9"/>
        <v/>
      </c>
    </row>
    <row r="621" spans="1:3" x14ac:dyDescent="0.25">
      <c r="A621" s="175">
        <v>3.81</v>
      </c>
      <c r="B621" s="451">
        <v>4.3159999999999997E-2</v>
      </c>
      <c r="C621" t="str">
        <f t="shared" si="9"/>
        <v/>
      </c>
    </row>
    <row r="622" spans="1:3" x14ac:dyDescent="0.25">
      <c r="A622" s="175">
        <v>3.81</v>
      </c>
      <c r="B622" s="451">
        <v>2.6069999999999999E-2</v>
      </c>
      <c r="C622" t="str">
        <f t="shared" si="9"/>
        <v/>
      </c>
    </row>
    <row r="623" spans="1:3" x14ac:dyDescent="0.25">
      <c r="A623" s="175">
        <v>3.74</v>
      </c>
      <c r="B623" s="451">
        <v>6.0879999999999997E-2</v>
      </c>
      <c r="C623" t="str">
        <f t="shared" si="9"/>
        <v/>
      </c>
    </row>
    <row r="624" spans="1:3" x14ac:dyDescent="0.25">
      <c r="A624" s="175">
        <v>4.7300000000000004</v>
      </c>
      <c r="B624" s="451">
        <v>8.8099999999999998E-2</v>
      </c>
      <c r="C624" t="str">
        <f t="shared" si="9"/>
        <v/>
      </c>
    </row>
    <row r="625" spans="1:3" x14ac:dyDescent="0.25">
      <c r="A625" s="175">
        <v>4.6500000000000004</v>
      </c>
      <c r="B625" s="451">
        <v>3.8949999999999999E-2</v>
      </c>
      <c r="C625" t="str">
        <f t="shared" si="9"/>
        <v/>
      </c>
    </row>
    <row r="626" spans="1:3" x14ac:dyDescent="0.25">
      <c r="A626" s="175">
        <v>4.1100000000000003</v>
      </c>
      <c r="B626" s="451">
        <v>3.2320000000000002E-2</v>
      </c>
      <c r="C626" t="str">
        <f t="shared" si="9"/>
        <v/>
      </c>
    </row>
    <row r="627" spans="1:3" x14ac:dyDescent="0.25">
      <c r="A627" s="175">
        <v>3.74</v>
      </c>
      <c r="B627" s="451">
        <v>3.746E-2</v>
      </c>
      <c r="C627" t="str">
        <f t="shared" si="9"/>
        <v/>
      </c>
    </row>
    <row r="628" spans="1:3" x14ac:dyDescent="0.25">
      <c r="A628" s="175">
        <v>3.96</v>
      </c>
      <c r="B628" s="451">
        <v>3.9960000000000002E-2</v>
      </c>
      <c r="C628" t="str">
        <f t="shared" si="9"/>
        <v/>
      </c>
    </row>
    <row r="629" spans="1:3" x14ac:dyDescent="0.25">
      <c r="A629" s="175">
        <v>4.57</v>
      </c>
      <c r="B629" s="451">
        <v>3.8879999999999998E-2</v>
      </c>
      <c r="C629" t="str">
        <f t="shared" si="9"/>
        <v/>
      </c>
    </row>
    <row r="630" spans="1:3" x14ac:dyDescent="0.25">
      <c r="A630" s="175">
        <v>3.96</v>
      </c>
      <c r="B630" s="451">
        <v>6.062E-2</v>
      </c>
      <c r="C630" t="str">
        <f t="shared" si="9"/>
        <v/>
      </c>
    </row>
    <row r="631" spans="1:3" x14ac:dyDescent="0.25">
      <c r="A631" s="175">
        <v>3.88</v>
      </c>
      <c r="B631" s="451">
        <v>5.3620000000000001E-2</v>
      </c>
      <c r="C631" t="str">
        <f t="shared" si="9"/>
        <v/>
      </c>
    </row>
    <row r="632" spans="1:3" x14ac:dyDescent="0.25">
      <c r="A632" s="175">
        <v>3.53</v>
      </c>
      <c r="B632" s="451">
        <v>3.2890000000000003E-2</v>
      </c>
      <c r="C632" t="str">
        <f t="shared" si="9"/>
        <v/>
      </c>
    </row>
    <row r="633" spans="1:3" x14ac:dyDescent="0.25">
      <c r="A633" s="175">
        <v>4.49</v>
      </c>
      <c r="B633" s="451">
        <v>1.9259999999999999E-2</v>
      </c>
      <c r="C633" t="str">
        <f t="shared" si="9"/>
        <v/>
      </c>
    </row>
    <row r="634" spans="1:3" x14ac:dyDescent="0.25">
      <c r="A634" s="175">
        <v>3.96</v>
      </c>
      <c r="B634" s="451">
        <v>2.06E-2</v>
      </c>
      <c r="C634" t="str">
        <f t="shared" si="9"/>
        <v/>
      </c>
    </row>
    <row r="635" spans="1:3" x14ac:dyDescent="0.25">
      <c r="A635" s="175">
        <v>3.88</v>
      </c>
      <c r="B635" s="451">
        <v>6.8500000000000005E-2</v>
      </c>
      <c r="C635" t="str">
        <f t="shared" si="9"/>
        <v/>
      </c>
    </row>
    <row r="636" spans="1:3" x14ac:dyDescent="0.25">
      <c r="A636" s="175">
        <v>3.67</v>
      </c>
      <c r="B636" s="451">
        <v>7.5859999999999997E-2</v>
      </c>
      <c r="C636" t="str">
        <f t="shared" si="9"/>
        <v/>
      </c>
    </row>
    <row r="637" spans="1:3" x14ac:dyDescent="0.25">
      <c r="A637" s="175">
        <v>4.26</v>
      </c>
      <c r="B637" s="451">
        <v>2.8170000000000001E-2</v>
      </c>
      <c r="C637" t="str">
        <f t="shared" si="9"/>
        <v/>
      </c>
    </row>
    <row r="638" spans="1:3" x14ac:dyDescent="0.25">
      <c r="A638" s="175">
        <v>4.49</v>
      </c>
      <c r="B638" s="451">
        <v>3.2009999999999997E-2</v>
      </c>
      <c r="C638" t="str">
        <f t="shared" si="9"/>
        <v/>
      </c>
    </row>
    <row r="639" spans="1:3" x14ac:dyDescent="0.25">
      <c r="A639" s="175">
        <v>3.96</v>
      </c>
      <c r="B639" s="451">
        <v>5.604E-2</v>
      </c>
      <c r="C639" t="str">
        <f t="shared" si="9"/>
        <v/>
      </c>
    </row>
    <row r="640" spans="1:3" x14ac:dyDescent="0.25">
      <c r="A640" s="175">
        <v>3.88</v>
      </c>
      <c r="B640" s="451">
        <v>0.10303</v>
      </c>
      <c r="C640" t="str">
        <f t="shared" si="9"/>
        <v/>
      </c>
    </row>
    <row r="641" spans="1:3" x14ac:dyDescent="0.25">
      <c r="A641" s="175">
        <v>3.53</v>
      </c>
      <c r="B641" s="451">
        <v>4.3499999999999997E-2</v>
      </c>
      <c r="C641" t="str">
        <f t="shared" si="9"/>
        <v/>
      </c>
    </row>
    <row r="642" spans="1:3" x14ac:dyDescent="0.25">
      <c r="A642" s="175">
        <v>4.26</v>
      </c>
      <c r="B642" s="451">
        <v>2.47E-2</v>
      </c>
      <c r="C642" t="str">
        <f t="shared" si="9"/>
        <v/>
      </c>
    </row>
    <row r="643" spans="1:3" x14ac:dyDescent="0.25">
      <c r="A643" s="175">
        <v>4.57</v>
      </c>
      <c r="B643" s="451">
        <v>5.3030000000000001E-2</v>
      </c>
      <c r="C643" t="str">
        <f t="shared" si="9"/>
        <v/>
      </c>
    </row>
    <row r="644" spans="1:3" x14ac:dyDescent="0.25">
      <c r="A644" s="175">
        <v>3.96</v>
      </c>
      <c r="B644" s="451">
        <v>5.8270000000000002E-2</v>
      </c>
      <c r="C644" t="str">
        <f t="shared" si="9"/>
        <v/>
      </c>
    </row>
    <row r="645" spans="1:3" x14ac:dyDescent="0.25">
      <c r="A645" s="175">
        <v>3.81</v>
      </c>
      <c r="B645" s="451">
        <v>6.7430000000000004E-2</v>
      </c>
      <c r="C645" t="str">
        <f t="shared" si="9"/>
        <v/>
      </c>
    </row>
    <row r="646" spans="1:3" x14ac:dyDescent="0.25">
      <c r="A646" s="175">
        <v>3.74</v>
      </c>
      <c r="B646" s="451">
        <v>7.3130000000000001E-2</v>
      </c>
      <c r="C646" t="str">
        <f t="shared" ref="C646:C709" si="10">IF(B646=0,"XXXXXXXX","")</f>
        <v/>
      </c>
    </row>
    <row r="647" spans="1:3" x14ac:dyDescent="0.25">
      <c r="A647" s="175">
        <v>3.6</v>
      </c>
      <c r="B647" s="451">
        <v>2.8760000000000001E-2</v>
      </c>
      <c r="C647" t="str">
        <f t="shared" si="10"/>
        <v/>
      </c>
    </row>
    <row r="648" spans="1:3" x14ac:dyDescent="0.25">
      <c r="A648" s="175">
        <v>4.26</v>
      </c>
      <c r="B648" s="451">
        <v>1.6709999999999999E-2</v>
      </c>
      <c r="C648" t="str">
        <f t="shared" si="10"/>
        <v/>
      </c>
    </row>
    <row r="649" spans="1:3" x14ac:dyDescent="0.25">
      <c r="A649" s="175">
        <v>4.49</v>
      </c>
      <c r="B649" s="451">
        <v>2.069E-2</v>
      </c>
      <c r="C649" t="str">
        <f t="shared" si="10"/>
        <v/>
      </c>
    </row>
    <row r="650" spans="1:3" x14ac:dyDescent="0.25">
      <c r="A650" s="175">
        <v>4.57</v>
      </c>
      <c r="B650" s="451">
        <v>4.4569999999999999E-2</v>
      </c>
      <c r="C650" t="str">
        <f t="shared" si="10"/>
        <v/>
      </c>
    </row>
    <row r="651" spans="1:3" x14ac:dyDescent="0.25">
      <c r="A651" s="175">
        <v>4.41</v>
      </c>
      <c r="B651" s="451">
        <v>5.7579999999999999E-2</v>
      </c>
      <c r="C651" t="str">
        <f t="shared" si="10"/>
        <v/>
      </c>
    </row>
    <row r="652" spans="1:3" x14ac:dyDescent="0.25">
      <c r="A652" s="175">
        <v>3.88</v>
      </c>
      <c r="B652" s="451">
        <v>6.8690000000000001E-2</v>
      </c>
      <c r="C652" t="str">
        <f t="shared" si="10"/>
        <v/>
      </c>
    </row>
    <row r="653" spans="1:3" x14ac:dyDescent="0.25">
      <c r="A653" s="175">
        <v>3.81</v>
      </c>
      <c r="B653" s="451">
        <v>6.114E-2</v>
      </c>
      <c r="C653" t="str">
        <f t="shared" si="10"/>
        <v/>
      </c>
    </row>
    <row r="654" spans="1:3" x14ac:dyDescent="0.25">
      <c r="A654" s="175">
        <v>4.33</v>
      </c>
      <c r="B654" s="451">
        <v>4.9209999999999997E-2</v>
      </c>
      <c r="C654" t="str">
        <f t="shared" si="10"/>
        <v/>
      </c>
    </row>
    <row r="655" spans="1:3" x14ac:dyDescent="0.25">
      <c r="A655" s="175">
        <v>4.7300000000000004</v>
      </c>
      <c r="B655" s="451">
        <v>4.199E-2</v>
      </c>
      <c r="C655" t="str">
        <f t="shared" si="10"/>
        <v/>
      </c>
    </row>
    <row r="656" spans="1:3" x14ac:dyDescent="0.25">
      <c r="A656" s="175">
        <v>5.07</v>
      </c>
      <c r="B656" s="451">
        <v>0.16186</v>
      </c>
      <c r="C656" t="str">
        <f t="shared" si="10"/>
        <v/>
      </c>
    </row>
    <row r="657" spans="1:3" x14ac:dyDescent="0.25">
      <c r="A657" s="175">
        <v>4.57</v>
      </c>
      <c r="B657" s="451">
        <v>0.1376</v>
      </c>
      <c r="C657" t="str">
        <f t="shared" si="10"/>
        <v/>
      </c>
    </row>
    <row r="658" spans="1:3" x14ac:dyDescent="0.25">
      <c r="A658" s="175">
        <v>5.15</v>
      </c>
      <c r="B658" s="451">
        <v>8.4839999999999999E-2</v>
      </c>
      <c r="C658" t="str">
        <f t="shared" si="10"/>
        <v/>
      </c>
    </row>
    <row r="659" spans="1:3" x14ac:dyDescent="0.25">
      <c r="A659" s="175">
        <v>5.07</v>
      </c>
      <c r="B659" s="451">
        <v>9.307E-2</v>
      </c>
      <c r="C659" t="str">
        <f t="shared" si="10"/>
        <v/>
      </c>
    </row>
    <row r="660" spans="1:3" x14ac:dyDescent="0.25">
      <c r="A660" s="175">
        <v>4.6500000000000004</v>
      </c>
      <c r="B660" s="451">
        <v>0.11946</v>
      </c>
      <c r="C660" t="str">
        <f t="shared" si="10"/>
        <v/>
      </c>
    </row>
    <row r="661" spans="1:3" x14ac:dyDescent="0.25">
      <c r="A661" s="175">
        <v>4.26</v>
      </c>
      <c r="B661" s="451">
        <v>9.3170000000000003E-2</v>
      </c>
      <c r="C661" t="str">
        <f t="shared" si="10"/>
        <v/>
      </c>
    </row>
    <row r="662" spans="1:3" x14ac:dyDescent="0.25">
      <c r="A662" s="175">
        <v>3.96</v>
      </c>
      <c r="B662" s="451">
        <v>7.6200000000000004E-2</v>
      </c>
      <c r="C662" t="str">
        <f t="shared" si="10"/>
        <v/>
      </c>
    </row>
    <row r="663" spans="1:3" x14ac:dyDescent="0.25">
      <c r="A663" s="175">
        <v>4.03</v>
      </c>
      <c r="B663" s="451">
        <v>4.6769999999999999E-2</v>
      </c>
      <c r="C663" t="str">
        <f t="shared" si="10"/>
        <v/>
      </c>
    </row>
    <row r="664" spans="1:3" x14ac:dyDescent="0.25">
      <c r="A664" s="175">
        <v>4.33</v>
      </c>
      <c r="B664" s="451">
        <v>9.6970000000000001E-2</v>
      </c>
      <c r="C664" t="str">
        <f t="shared" si="10"/>
        <v/>
      </c>
    </row>
    <row r="665" spans="1:3" x14ac:dyDescent="0.25">
      <c r="A665" s="175">
        <v>3.96</v>
      </c>
      <c r="B665" s="451">
        <v>9.1359999999999997E-2</v>
      </c>
      <c r="C665" t="str">
        <f t="shared" si="10"/>
        <v/>
      </c>
    </row>
    <row r="666" spans="1:3" x14ac:dyDescent="0.25">
      <c r="A666" s="175">
        <v>3.96</v>
      </c>
      <c r="B666" s="451">
        <v>5.636E-2</v>
      </c>
      <c r="C666" t="str">
        <f t="shared" si="10"/>
        <v/>
      </c>
    </row>
    <row r="667" spans="1:3" x14ac:dyDescent="0.25">
      <c r="A667" s="175">
        <v>3.6</v>
      </c>
      <c r="B667" s="451">
        <v>2.2259999999999999E-2</v>
      </c>
      <c r="C667" t="str">
        <f t="shared" si="10"/>
        <v/>
      </c>
    </row>
    <row r="668" spans="1:3" x14ac:dyDescent="0.25">
      <c r="A668" s="175">
        <v>3.6</v>
      </c>
      <c r="B668" s="451">
        <v>4.2380000000000001E-2</v>
      </c>
      <c r="C668" t="str">
        <f t="shared" si="10"/>
        <v/>
      </c>
    </row>
    <row r="669" spans="1:3" x14ac:dyDescent="0.25">
      <c r="A669" s="175">
        <v>3.74</v>
      </c>
      <c r="B669" s="451">
        <v>4.7149999999999997E-2</v>
      </c>
      <c r="C669" t="str">
        <f t="shared" si="10"/>
        <v/>
      </c>
    </row>
    <row r="670" spans="1:3" x14ac:dyDescent="0.25">
      <c r="A670" s="175">
        <v>3.67</v>
      </c>
      <c r="B670" s="451">
        <v>2.8500000000000001E-2</v>
      </c>
      <c r="C670" t="str">
        <f t="shared" si="10"/>
        <v/>
      </c>
    </row>
    <row r="671" spans="1:3" x14ac:dyDescent="0.25">
      <c r="A671" s="175">
        <v>3.53</v>
      </c>
      <c r="B671" s="451">
        <v>2.63E-2</v>
      </c>
      <c r="C671" t="str">
        <f t="shared" si="10"/>
        <v/>
      </c>
    </row>
    <row r="672" spans="1:3" x14ac:dyDescent="0.25">
      <c r="A672" s="175">
        <v>3.21</v>
      </c>
      <c r="B672" s="451">
        <v>1.6889999999999999E-2</v>
      </c>
      <c r="C672" t="str">
        <f t="shared" si="10"/>
        <v/>
      </c>
    </row>
    <row r="673" spans="1:3" x14ac:dyDescent="0.25">
      <c r="A673" s="175">
        <v>3.14</v>
      </c>
      <c r="B673" s="451">
        <v>3.4799999999999998E-2</v>
      </c>
      <c r="C673" t="str">
        <f t="shared" si="10"/>
        <v/>
      </c>
    </row>
    <row r="674" spans="1:3" x14ac:dyDescent="0.25">
      <c r="A674" s="175">
        <v>3.6</v>
      </c>
      <c r="B674" s="451">
        <v>1.248E-2</v>
      </c>
      <c r="C674" t="str">
        <f t="shared" si="10"/>
        <v/>
      </c>
    </row>
    <row r="675" spans="1:3" x14ac:dyDescent="0.25">
      <c r="A675" s="175">
        <v>3.81</v>
      </c>
      <c r="B675" s="451">
        <v>6.1700000000000001E-3</v>
      </c>
      <c r="C675" t="str">
        <f t="shared" si="10"/>
        <v/>
      </c>
    </row>
    <row r="676" spans="1:3" x14ac:dyDescent="0.25">
      <c r="A676" s="175">
        <v>3.47</v>
      </c>
      <c r="B676" s="451">
        <v>5.7250000000000002E-2</v>
      </c>
      <c r="C676" t="str">
        <f t="shared" si="10"/>
        <v/>
      </c>
    </row>
    <row r="677" spans="1:3" x14ac:dyDescent="0.25">
      <c r="A677" s="175">
        <v>3.34</v>
      </c>
      <c r="B677" s="451">
        <v>2.8309999999999998E-2</v>
      </c>
      <c r="C677" t="str">
        <f t="shared" si="10"/>
        <v/>
      </c>
    </row>
    <row r="678" spans="1:3" x14ac:dyDescent="0.25">
      <c r="A678" s="175">
        <v>3.34</v>
      </c>
      <c r="B678" s="451">
        <v>5.7290000000000001E-2</v>
      </c>
      <c r="C678" t="str">
        <f t="shared" si="10"/>
        <v/>
      </c>
    </row>
    <row r="679" spans="1:3" x14ac:dyDescent="0.25">
      <c r="A679" s="175">
        <v>3.21</v>
      </c>
      <c r="B679" s="451">
        <v>5.8590000000000003E-2</v>
      </c>
      <c r="C679" t="str">
        <f t="shared" si="10"/>
        <v/>
      </c>
    </row>
    <row r="680" spans="1:3" x14ac:dyDescent="0.25">
      <c r="A680" s="175">
        <v>3.53</v>
      </c>
      <c r="B680" s="451">
        <v>1.353E-2</v>
      </c>
      <c r="C680" t="str">
        <f t="shared" si="10"/>
        <v/>
      </c>
    </row>
    <row r="681" spans="1:3" x14ac:dyDescent="0.25">
      <c r="A681" s="175">
        <v>3.67</v>
      </c>
      <c r="B681" s="451">
        <v>9.6530000000000005E-2</v>
      </c>
      <c r="C681" t="str">
        <f t="shared" si="10"/>
        <v/>
      </c>
    </row>
    <row r="682" spans="1:3" x14ac:dyDescent="0.25">
      <c r="A682" s="175">
        <v>3.53</v>
      </c>
      <c r="B682" s="451">
        <v>4.0059999999999998E-2</v>
      </c>
      <c r="C682" t="str">
        <f t="shared" si="10"/>
        <v/>
      </c>
    </row>
    <row r="683" spans="1:3" x14ac:dyDescent="0.25">
      <c r="A683" s="175">
        <v>3.34</v>
      </c>
      <c r="B683" s="451">
        <v>2.0729999999999998E-2</v>
      </c>
      <c r="C683" t="str">
        <f t="shared" si="10"/>
        <v/>
      </c>
    </row>
    <row r="684" spans="1:3" x14ac:dyDescent="0.25">
      <c r="A684" s="175">
        <v>3.21</v>
      </c>
      <c r="B684" s="451">
        <v>1.8859999999999998E-2</v>
      </c>
      <c r="C684" t="str">
        <f t="shared" si="10"/>
        <v/>
      </c>
    </row>
    <row r="685" spans="1:3" x14ac:dyDescent="0.25">
      <c r="A685" s="175">
        <v>3.4</v>
      </c>
      <c r="B685" s="451">
        <v>2.2009999999999998E-2</v>
      </c>
      <c r="C685" t="str">
        <f t="shared" si="10"/>
        <v/>
      </c>
    </row>
    <row r="686" spans="1:3" x14ac:dyDescent="0.25">
      <c r="A686" s="175">
        <v>3.53</v>
      </c>
      <c r="B686" s="451">
        <v>4.9699999999999996E-3</v>
      </c>
      <c r="C686" t="str">
        <f t="shared" si="10"/>
        <v/>
      </c>
    </row>
    <row r="687" spans="1:3" x14ac:dyDescent="0.25">
      <c r="A687" s="175">
        <v>3.08</v>
      </c>
      <c r="B687" s="451">
        <v>5.3600000000000002E-3</v>
      </c>
      <c r="C687" t="str">
        <f t="shared" si="10"/>
        <v/>
      </c>
    </row>
    <row r="688" spans="1:3" x14ac:dyDescent="0.25">
      <c r="A688" s="175">
        <v>3.08</v>
      </c>
      <c r="B688" s="451">
        <v>2.8060000000000002E-2</v>
      </c>
      <c r="C688" t="str">
        <f t="shared" si="10"/>
        <v/>
      </c>
    </row>
    <row r="689" spans="1:3" x14ac:dyDescent="0.25">
      <c r="A689" s="175">
        <v>3.14</v>
      </c>
      <c r="B689" s="451">
        <v>9.4800000000000006E-3</v>
      </c>
      <c r="C689" t="str">
        <f t="shared" si="10"/>
        <v/>
      </c>
    </row>
    <row r="690" spans="1:3" x14ac:dyDescent="0.25">
      <c r="A690" s="175">
        <v>1.42</v>
      </c>
      <c r="B690" s="451">
        <v>2.9520000000000001E-2</v>
      </c>
      <c r="C690" t="str">
        <f t="shared" si="10"/>
        <v/>
      </c>
    </row>
    <row r="691" spans="1:3" x14ac:dyDescent="0.25">
      <c r="A691" s="175">
        <v>2.75</v>
      </c>
      <c r="B691" s="451">
        <v>2.0639999999999999E-2</v>
      </c>
      <c r="C691" t="str">
        <f t="shared" si="10"/>
        <v/>
      </c>
    </row>
    <row r="692" spans="1:3" x14ac:dyDescent="0.25">
      <c r="A692" s="175">
        <v>3.85</v>
      </c>
      <c r="B692" s="451">
        <v>5.3359999999999998E-2</v>
      </c>
      <c r="C692" t="str">
        <f t="shared" si="10"/>
        <v/>
      </c>
    </row>
    <row r="693" spans="1:3" x14ac:dyDescent="0.25">
      <c r="A693" s="175">
        <v>2.99</v>
      </c>
      <c r="B693" s="451">
        <v>2.9940000000000001E-2</v>
      </c>
      <c r="C693" t="str">
        <f t="shared" si="10"/>
        <v/>
      </c>
    </row>
    <row r="694" spans="1:3" x14ac:dyDescent="0.25">
      <c r="A694" s="175">
        <v>4.07</v>
      </c>
      <c r="B694" s="451">
        <v>0.12876000000000001</v>
      </c>
      <c r="C694" t="str">
        <f t="shared" si="10"/>
        <v/>
      </c>
    </row>
    <row r="695" spans="1:3" x14ac:dyDescent="0.25">
      <c r="A695" s="175">
        <v>3.24</v>
      </c>
      <c r="B695" s="451">
        <v>1.383E-2</v>
      </c>
      <c r="C695" t="str">
        <f t="shared" si="10"/>
        <v/>
      </c>
    </row>
    <row r="696" spans="1:3" x14ac:dyDescent="0.25">
      <c r="A696" s="175">
        <v>2.99</v>
      </c>
      <c r="B696" s="451">
        <v>2.5239999999999999E-2</v>
      </c>
      <c r="C696" t="str">
        <f t="shared" si="10"/>
        <v/>
      </c>
    </row>
    <row r="697" spans="1:3" x14ac:dyDescent="0.25">
      <c r="A697" s="175">
        <v>3.57</v>
      </c>
      <c r="B697" s="451">
        <v>5.5480000000000002E-2</v>
      </c>
      <c r="C697" t="str">
        <f t="shared" si="10"/>
        <v/>
      </c>
    </row>
    <row r="698" spans="1:3" x14ac:dyDescent="0.25">
      <c r="A698" s="175">
        <v>3.24</v>
      </c>
      <c r="B698" s="451">
        <v>3.1060000000000001E-2</v>
      </c>
      <c r="C698" t="str">
        <f t="shared" si="10"/>
        <v/>
      </c>
    </row>
    <row r="699" spans="1:3" x14ac:dyDescent="0.25">
      <c r="A699" s="175">
        <v>2.93</v>
      </c>
      <c r="B699" s="451">
        <v>1.259E-2</v>
      </c>
      <c r="C699" t="str">
        <f t="shared" si="10"/>
        <v/>
      </c>
    </row>
    <row r="700" spans="1:3" x14ac:dyDescent="0.25">
      <c r="A700" s="175">
        <v>3.6</v>
      </c>
      <c r="B700" s="451">
        <v>2.0369999999999999E-2</v>
      </c>
      <c r="C700" t="str">
        <f t="shared" si="10"/>
        <v/>
      </c>
    </row>
    <row r="701" spans="1:3" x14ac:dyDescent="0.25">
      <c r="A701" s="175">
        <v>2.75</v>
      </c>
      <c r="B701" s="451">
        <v>2.5579999999999999E-2</v>
      </c>
      <c r="C701" t="str">
        <f t="shared" si="10"/>
        <v/>
      </c>
    </row>
    <row r="702" spans="1:3" x14ac:dyDescent="0.25">
      <c r="A702" s="175">
        <v>3.21</v>
      </c>
      <c r="B702" s="451">
        <v>1.0999999999999999E-2</v>
      </c>
      <c r="C702" t="str">
        <f t="shared" si="10"/>
        <v/>
      </c>
    </row>
    <row r="703" spans="1:3" x14ac:dyDescent="0.25">
      <c r="A703" s="175">
        <v>3.37</v>
      </c>
      <c r="B703" s="451">
        <v>4.3630000000000002E-2</v>
      </c>
      <c r="C703" t="str">
        <f t="shared" si="10"/>
        <v/>
      </c>
    </row>
    <row r="704" spans="1:3" x14ac:dyDescent="0.25">
      <c r="A704" s="175">
        <v>3.81</v>
      </c>
      <c r="B704" s="451">
        <v>5.6169999999999998E-2</v>
      </c>
      <c r="C704" t="str">
        <f t="shared" si="10"/>
        <v/>
      </c>
    </row>
    <row r="705" spans="1:3" x14ac:dyDescent="0.25">
      <c r="A705" s="175">
        <v>4.53</v>
      </c>
      <c r="B705" s="451">
        <v>0.10224</v>
      </c>
      <c r="C705" t="str">
        <f t="shared" si="10"/>
        <v/>
      </c>
    </row>
    <row r="706" spans="1:3" x14ac:dyDescent="0.25">
      <c r="A706" s="175">
        <v>4.7300000000000004</v>
      </c>
      <c r="B706" s="451">
        <v>9.0329999999999994E-2</v>
      </c>
      <c r="C706" t="str">
        <f t="shared" si="10"/>
        <v/>
      </c>
    </row>
    <row r="707" spans="1:3" x14ac:dyDescent="0.25">
      <c r="A707" s="175">
        <v>3.96</v>
      </c>
      <c r="B707" s="451">
        <v>7.1910000000000002E-2</v>
      </c>
      <c r="C707" t="str">
        <f t="shared" si="10"/>
        <v/>
      </c>
    </row>
    <row r="708" spans="1:3" x14ac:dyDescent="0.25">
      <c r="A708" s="175">
        <v>3.43</v>
      </c>
      <c r="B708" s="451">
        <v>4.0280000000000003E-2</v>
      </c>
      <c r="C708" t="str">
        <f t="shared" si="10"/>
        <v/>
      </c>
    </row>
    <row r="709" spans="1:3" x14ac:dyDescent="0.25">
      <c r="A709" s="175">
        <v>3.67</v>
      </c>
      <c r="B709" s="451">
        <v>3.3680000000000002E-2</v>
      </c>
      <c r="C709" t="str">
        <f t="shared" si="10"/>
        <v/>
      </c>
    </row>
    <row r="710" spans="1:3" x14ac:dyDescent="0.25">
      <c r="A710" s="175">
        <v>2.73</v>
      </c>
      <c r="B710" s="451">
        <v>2.2519999999999998E-2</v>
      </c>
      <c r="C710" t="str">
        <f t="shared" ref="C710:C773" si="11">IF(B710=0,"XXXXXXXX","")</f>
        <v/>
      </c>
    </row>
    <row r="711" spans="1:3" x14ac:dyDescent="0.25">
      <c r="A711" s="193">
        <v>2.67</v>
      </c>
      <c r="B711" s="452">
        <v>7.8300000000000002E-3</v>
      </c>
      <c r="C711" t="str">
        <f t="shared" si="11"/>
        <v/>
      </c>
    </row>
    <row r="712" spans="1:3" x14ac:dyDescent="0.25">
      <c r="A712" s="175">
        <v>1.49</v>
      </c>
      <c r="B712" s="451">
        <v>1.444E-2</v>
      </c>
      <c r="C712" t="str">
        <f t="shared" si="11"/>
        <v/>
      </c>
    </row>
    <row r="713" spans="1:3" x14ac:dyDescent="0.25">
      <c r="A713" s="16">
        <v>2.33</v>
      </c>
      <c r="B713" s="451">
        <v>1.542E-2</v>
      </c>
      <c r="C713" t="str">
        <f t="shared" si="11"/>
        <v/>
      </c>
    </row>
    <row r="714" spans="1:3" x14ac:dyDescent="0.25">
      <c r="A714" s="16">
        <v>2</v>
      </c>
      <c r="B714" s="451">
        <v>2.7699999999999999E-3</v>
      </c>
      <c r="C714" t="str">
        <f t="shared" si="11"/>
        <v/>
      </c>
    </row>
    <row r="715" spans="1:3" x14ac:dyDescent="0.25">
      <c r="A715" s="175">
        <v>1.45</v>
      </c>
      <c r="B715" s="451">
        <v>1.2999999999999999E-3</v>
      </c>
      <c r="C715" t="str">
        <f t="shared" si="11"/>
        <v/>
      </c>
    </row>
    <row r="716" spans="1:3" x14ac:dyDescent="0.25">
      <c r="A716" s="175">
        <v>1.36</v>
      </c>
      <c r="B716" s="451">
        <v>1.6199999999999999E-3</v>
      </c>
      <c r="C716" t="str">
        <f t="shared" si="11"/>
        <v/>
      </c>
    </row>
    <row r="717" spans="1:3" x14ac:dyDescent="0.25">
      <c r="A717" s="175">
        <v>1.43</v>
      </c>
      <c r="B717" s="451">
        <v>5.2399999999999999E-3</v>
      </c>
      <c r="C717" t="str">
        <f t="shared" si="11"/>
        <v/>
      </c>
    </row>
    <row r="718" spans="1:3" x14ac:dyDescent="0.25">
      <c r="A718" s="175">
        <v>1.78</v>
      </c>
      <c r="B718" s="451">
        <v>7.1900000000000002E-3</v>
      </c>
      <c r="C718" t="str">
        <f t="shared" si="11"/>
        <v/>
      </c>
    </row>
    <row r="719" spans="1:3" x14ac:dyDescent="0.25">
      <c r="A719" s="175">
        <v>2.87</v>
      </c>
      <c r="B719" s="451">
        <v>2.375E-2</v>
      </c>
      <c r="C719" t="str">
        <f t="shared" si="11"/>
        <v/>
      </c>
    </row>
    <row r="720" spans="1:3" x14ac:dyDescent="0.25">
      <c r="A720" s="175">
        <v>3.12</v>
      </c>
      <c r="B720" s="451">
        <v>3.2030000000000003E-2</v>
      </c>
      <c r="C720" t="str">
        <f t="shared" si="11"/>
        <v/>
      </c>
    </row>
    <row r="721" spans="1:3" x14ac:dyDescent="0.25">
      <c r="A721" s="175">
        <v>2.96</v>
      </c>
      <c r="B721" s="451">
        <v>3.363E-2</v>
      </c>
      <c r="C721" t="str">
        <f t="shared" si="11"/>
        <v/>
      </c>
    </row>
    <row r="722" spans="1:3" x14ac:dyDescent="0.25">
      <c r="A722" s="175">
        <v>3.49</v>
      </c>
      <c r="B722" s="451">
        <v>9.8470000000000002E-2</v>
      </c>
      <c r="C722" t="str">
        <f t="shared" si="11"/>
        <v/>
      </c>
    </row>
    <row r="723" spans="1:3" x14ac:dyDescent="0.25">
      <c r="A723" s="175">
        <v>3.24</v>
      </c>
      <c r="B723" s="451">
        <v>3.9410000000000001E-2</v>
      </c>
      <c r="C723" t="str">
        <f t="shared" si="11"/>
        <v/>
      </c>
    </row>
    <row r="724" spans="1:3" x14ac:dyDescent="0.25">
      <c r="A724" s="175">
        <v>3.37</v>
      </c>
      <c r="B724" s="451">
        <v>9.5880000000000007E-2</v>
      </c>
      <c r="C724" t="str">
        <f t="shared" si="11"/>
        <v/>
      </c>
    </row>
    <row r="725" spans="1:3" x14ac:dyDescent="0.25">
      <c r="A725" s="175">
        <v>3.04</v>
      </c>
      <c r="B725" s="451">
        <v>2.2519999999999998E-2</v>
      </c>
      <c r="C725" t="str">
        <f t="shared" si="11"/>
        <v/>
      </c>
    </row>
    <row r="726" spans="1:3" x14ac:dyDescent="0.25">
      <c r="A726" s="175">
        <v>2.86</v>
      </c>
      <c r="B726" s="451">
        <v>5.0799999999999998E-2</v>
      </c>
      <c r="C726" t="str">
        <f t="shared" si="11"/>
        <v/>
      </c>
    </row>
    <row r="727" spans="1:3" x14ac:dyDescent="0.25">
      <c r="A727" s="175">
        <v>4.0999999999999996</v>
      </c>
      <c r="B727" s="451">
        <v>6.6540000000000002E-2</v>
      </c>
      <c r="C727" t="str">
        <f t="shared" si="11"/>
        <v/>
      </c>
    </row>
    <row r="728" spans="1:3" x14ac:dyDescent="0.25">
      <c r="A728" s="175">
        <v>3.46</v>
      </c>
      <c r="B728" s="451">
        <v>2.2880000000000001E-2</v>
      </c>
      <c r="C728" t="str">
        <f t="shared" si="11"/>
        <v/>
      </c>
    </row>
    <row r="729" spans="1:3" x14ac:dyDescent="0.25">
      <c r="A729" s="175">
        <v>2.59</v>
      </c>
      <c r="B729" s="451">
        <v>3.6150000000000002E-2</v>
      </c>
      <c r="C729" t="str">
        <f t="shared" si="11"/>
        <v/>
      </c>
    </row>
    <row r="730" spans="1:3" x14ac:dyDescent="0.25">
      <c r="A730" s="175">
        <v>2.06</v>
      </c>
      <c r="B730" s="451">
        <v>2.479E-2</v>
      </c>
      <c r="C730" t="str">
        <f t="shared" si="11"/>
        <v/>
      </c>
    </row>
    <row r="731" spans="1:3" x14ac:dyDescent="0.25">
      <c r="A731" s="175">
        <v>2.4700000000000002</v>
      </c>
      <c r="B731" s="451">
        <v>1.83E-2</v>
      </c>
      <c r="C731" t="str">
        <f t="shared" si="11"/>
        <v/>
      </c>
    </row>
    <row r="732" spans="1:3" x14ac:dyDescent="0.25">
      <c r="A732" s="175">
        <v>2.66</v>
      </c>
      <c r="B732" s="451">
        <v>2.6579999999999999E-2</v>
      </c>
      <c r="C732" t="str">
        <f t="shared" si="11"/>
        <v/>
      </c>
    </row>
    <row r="733" spans="1:3" x14ac:dyDescent="0.25">
      <c r="A733" s="175">
        <v>2.02</v>
      </c>
      <c r="B733" s="451">
        <v>3.2230000000000002E-2</v>
      </c>
      <c r="C733" t="str">
        <f t="shared" si="11"/>
        <v/>
      </c>
    </row>
    <row r="734" spans="1:3" x14ac:dyDescent="0.25">
      <c r="A734" s="175">
        <v>1.82</v>
      </c>
      <c r="B734" s="451">
        <v>2.0240000000000001E-2</v>
      </c>
      <c r="C734" t="str">
        <f t="shared" si="11"/>
        <v/>
      </c>
    </row>
    <row r="735" spans="1:3" x14ac:dyDescent="0.25">
      <c r="A735" s="175">
        <v>1.49</v>
      </c>
      <c r="B735" s="451">
        <v>3.3700000000000002E-3</v>
      </c>
      <c r="C735" t="str">
        <f t="shared" si="11"/>
        <v/>
      </c>
    </row>
    <row r="736" spans="1:3" x14ac:dyDescent="0.25">
      <c r="A736" s="175">
        <v>1.4</v>
      </c>
      <c r="B736" s="451">
        <v>1.035E-2</v>
      </c>
      <c r="C736" t="str">
        <f t="shared" si="11"/>
        <v/>
      </c>
    </row>
    <row r="737" spans="1:3" x14ac:dyDescent="0.25">
      <c r="A737" s="175">
        <v>1.08</v>
      </c>
      <c r="B737" s="451">
        <v>5.7000000000000002E-3</v>
      </c>
      <c r="C737" t="str">
        <f t="shared" si="11"/>
        <v/>
      </c>
    </row>
    <row r="738" spans="1:3" x14ac:dyDescent="0.25">
      <c r="A738" s="175">
        <v>0.87</v>
      </c>
      <c r="B738" s="451">
        <v>2.7599999999999999E-3</v>
      </c>
      <c r="C738" t="str">
        <f t="shared" si="11"/>
        <v/>
      </c>
    </row>
    <row r="739" spans="1:3" x14ac:dyDescent="0.25">
      <c r="A739" s="175">
        <v>1.1200000000000001</v>
      </c>
      <c r="B739" s="451">
        <v>1.98E-3</v>
      </c>
      <c r="C739" t="str">
        <f t="shared" si="11"/>
        <v/>
      </c>
    </row>
    <row r="740" spans="1:3" x14ac:dyDescent="0.25">
      <c r="A740" s="175">
        <v>1.25</v>
      </c>
      <c r="B740" s="451">
        <v>1.533E-2</v>
      </c>
      <c r="C740" t="str">
        <f t="shared" si="11"/>
        <v/>
      </c>
    </row>
    <row r="741" spans="1:3" x14ac:dyDescent="0.25">
      <c r="A741" s="175">
        <v>1.01</v>
      </c>
      <c r="B741" s="451">
        <v>3.3400000000000001E-3</v>
      </c>
      <c r="C741" t="str">
        <f t="shared" si="11"/>
        <v/>
      </c>
    </row>
    <row r="742" spans="1:3" x14ac:dyDescent="0.25">
      <c r="A742" s="175">
        <v>0.9</v>
      </c>
      <c r="B742" s="451">
        <v>1.6000000000000001E-4</v>
      </c>
      <c r="C742" t="str">
        <f t="shared" si="11"/>
        <v/>
      </c>
    </row>
    <row r="743" spans="1:3" x14ac:dyDescent="0.25">
      <c r="A743" s="175">
        <v>1.02</v>
      </c>
      <c r="B743" s="451">
        <v>1.8749999999999999E-2</v>
      </c>
      <c r="C743" t="str">
        <f t="shared" si="11"/>
        <v/>
      </c>
    </row>
    <row r="744" spans="1:3" x14ac:dyDescent="0.25">
      <c r="A744" s="175">
        <v>2.21</v>
      </c>
      <c r="B744" s="451">
        <v>1.8929999999999999E-2</v>
      </c>
      <c r="C744" t="str">
        <f t="shared" si="11"/>
        <v/>
      </c>
    </row>
    <row r="745" spans="1:3" x14ac:dyDescent="0.25">
      <c r="A745" s="175">
        <v>3.59</v>
      </c>
      <c r="B745" s="451">
        <v>0.14094999999999999</v>
      </c>
      <c r="C745" t="str">
        <f t="shared" si="11"/>
        <v/>
      </c>
    </row>
    <row r="746" spans="1:3" x14ac:dyDescent="0.25">
      <c r="A746" s="175">
        <v>4.18</v>
      </c>
      <c r="B746" s="451">
        <v>0.14038</v>
      </c>
      <c r="C746" t="str">
        <f t="shared" si="11"/>
        <v/>
      </c>
    </row>
    <row r="747" spans="1:3" x14ac:dyDescent="0.25">
      <c r="A747" s="175">
        <v>3.42</v>
      </c>
      <c r="B747" s="451">
        <v>6.615E-2</v>
      </c>
      <c r="C747" t="str">
        <f t="shared" si="11"/>
        <v/>
      </c>
    </row>
    <row r="748" spans="1:3" x14ac:dyDescent="0.25">
      <c r="A748" s="175">
        <v>4.16</v>
      </c>
      <c r="B748" s="451">
        <v>0.10213999999999999</v>
      </c>
      <c r="C748" t="str">
        <f t="shared" si="11"/>
        <v/>
      </c>
    </row>
    <row r="749" spans="1:3" x14ac:dyDescent="0.25">
      <c r="A749" s="175">
        <v>3.74</v>
      </c>
      <c r="B749" s="451">
        <v>0.12447</v>
      </c>
      <c r="C749" t="str">
        <f t="shared" si="11"/>
        <v/>
      </c>
    </row>
    <row r="750" spans="1:3" x14ac:dyDescent="0.25">
      <c r="A750" s="175">
        <v>2.76</v>
      </c>
      <c r="B750" s="451">
        <v>4.0910000000000002E-2</v>
      </c>
      <c r="C750" t="str">
        <f t="shared" si="11"/>
        <v/>
      </c>
    </row>
    <row r="751" spans="1:3" x14ac:dyDescent="0.25">
      <c r="A751" s="175">
        <v>3.28</v>
      </c>
      <c r="B751" s="451">
        <v>9.1000000000000004E-3</v>
      </c>
      <c r="C751" t="str">
        <f t="shared" si="11"/>
        <v/>
      </c>
    </row>
    <row r="752" spans="1:3" x14ac:dyDescent="0.25">
      <c r="A752" s="175">
        <v>3.25</v>
      </c>
      <c r="B752" s="451">
        <v>5.4010000000000002E-2</v>
      </c>
      <c r="C752" t="str">
        <f t="shared" si="11"/>
        <v/>
      </c>
    </row>
    <row r="753" spans="1:3" x14ac:dyDescent="0.25">
      <c r="A753" s="175">
        <v>2.95</v>
      </c>
      <c r="B753" s="451">
        <v>1.593E-2</v>
      </c>
      <c r="C753" t="str">
        <f t="shared" si="11"/>
        <v/>
      </c>
    </row>
    <row r="754" spans="1:3" x14ac:dyDescent="0.25">
      <c r="A754" s="175">
        <v>2.66</v>
      </c>
      <c r="B754" s="451">
        <v>1.0240000000000001E-2</v>
      </c>
      <c r="C754" t="str">
        <f t="shared" si="11"/>
        <v/>
      </c>
    </row>
    <row r="755" spans="1:3" x14ac:dyDescent="0.25">
      <c r="A755" s="175">
        <v>3.61</v>
      </c>
      <c r="B755" s="451">
        <v>4.0939999999999997E-2</v>
      </c>
      <c r="C755" t="str">
        <f t="shared" si="11"/>
        <v/>
      </c>
    </row>
    <row r="756" spans="1:3" x14ac:dyDescent="0.25">
      <c r="A756" s="175">
        <v>3.96</v>
      </c>
      <c r="B756" s="451">
        <v>2.3060000000000001E-2</v>
      </c>
      <c r="C756" t="str">
        <f t="shared" si="11"/>
        <v/>
      </c>
    </row>
    <row r="757" spans="1:3" x14ac:dyDescent="0.25">
      <c r="A757" s="175">
        <v>4.8</v>
      </c>
      <c r="B757" s="451">
        <v>3.6549999999999999E-2</v>
      </c>
      <c r="C757" t="str">
        <f t="shared" si="11"/>
        <v/>
      </c>
    </row>
    <row r="758" spans="1:3" x14ac:dyDescent="0.25">
      <c r="A758" s="175">
        <v>4.4800000000000004</v>
      </c>
      <c r="B758" s="451">
        <v>8.4519999999999998E-2</v>
      </c>
      <c r="C758" t="str">
        <f t="shared" si="11"/>
        <v/>
      </c>
    </row>
    <row r="759" spans="1:3" x14ac:dyDescent="0.25">
      <c r="A759" s="175">
        <v>5.13</v>
      </c>
      <c r="B759" s="451">
        <v>0.11505</v>
      </c>
      <c r="C759" t="str">
        <f t="shared" si="11"/>
        <v/>
      </c>
    </row>
    <row r="760" spans="1:3" x14ac:dyDescent="0.25">
      <c r="A760" s="175">
        <v>4.18</v>
      </c>
      <c r="B760" s="451">
        <v>5.1069999999999997E-2</v>
      </c>
      <c r="C760" t="str">
        <f t="shared" si="11"/>
        <v/>
      </c>
    </row>
    <row r="761" spans="1:3" x14ac:dyDescent="0.25">
      <c r="A761" s="175">
        <v>4</v>
      </c>
      <c r="B761" s="451">
        <v>6.7540000000000003E-2</v>
      </c>
      <c r="C761" t="str">
        <f t="shared" si="11"/>
        <v/>
      </c>
    </row>
    <row r="762" spans="1:3" x14ac:dyDescent="0.25">
      <c r="A762" s="175">
        <v>3.01</v>
      </c>
      <c r="B762" s="451">
        <v>1.0999999999999999E-2</v>
      </c>
      <c r="C762" t="str">
        <f t="shared" si="11"/>
        <v/>
      </c>
    </row>
    <row r="763" spans="1:3" x14ac:dyDescent="0.25">
      <c r="A763" s="175">
        <v>2.7</v>
      </c>
      <c r="B763" s="451">
        <v>8.9700000000000005E-3</v>
      </c>
      <c r="C763" t="str">
        <f t="shared" si="11"/>
        <v/>
      </c>
    </row>
    <row r="764" spans="1:3" x14ac:dyDescent="0.25">
      <c r="A764" s="175">
        <v>2.33</v>
      </c>
      <c r="B764" s="451">
        <v>2.5799999999999998E-3</v>
      </c>
      <c r="C764" t="str">
        <f t="shared" si="11"/>
        <v/>
      </c>
    </row>
    <row r="765" spans="1:3" x14ac:dyDescent="0.25">
      <c r="A765" s="175">
        <v>2.1800000000000002</v>
      </c>
      <c r="B765" s="451">
        <v>3.49E-3</v>
      </c>
      <c r="C765" t="str">
        <f t="shared" si="11"/>
        <v/>
      </c>
    </row>
    <row r="766" spans="1:3" x14ac:dyDescent="0.25">
      <c r="A766" s="175">
        <v>1.96</v>
      </c>
      <c r="B766" s="451">
        <v>9.2800000000000001E-3</v>
      </c>
      <c r="C766" t="str">
        <f t="shared" si="11"/>
        <v/>
      </c>
    </row>
    <row r="767" spans="1:3" x14ac:dyDescent="0.25">
      <c r="A767" s="175">
        <v>1.64</v>
      </c>
      <c r="B767" s="451">
        <v>6.7000000000000002E-4</v>
      </c>
      <c r="C767" t="str">
        <f t="shared" si="11"/>
        <v/>
      </c>
    </row>
    <row r="768" spans="1:3" x14ac:dyDescent="0.25">
      <c r="A768" s="175">
        <v>1.58</v>
      </c>
      <c r="B768" s="451">
        <v>1.076E-2</v>
      </c>
      <c r="C768" t="str">
        <f t="shared" si="11"/>
        <v/>
      </c>
    </row>
    <row r="769" spans="1:3" x14ac:dyDescent="0.25">
      <c r="A769" s="175">
        <v>1.68</v>
      </c>
      <c r="B769" s="451">
        <v>5.7299999999999999E-3</v>
      </c>
      <c r="C769" t="str">
        <f t="shared" si="11"/>
        <v/>
      </c>
    </row>
    <row r="770" spans="1:3" x14ac:dyDescent="0.25">
      <c r="A770" s="175">
        <v>1.74</v>
      </c>
      <c r="B770" s="451">
        <v>6.8999999999999997E-4</v>
      </c>
      <c r="C770" t="str">
        <f t="shared" si="11"/>
        <v/>
      </c>
    </row>
    <row r="771" spans="1:3" x14ac:dyDescent="0.25">
      <c r="A771" s="175">
        <v>1.87</v>
      </c>
      <c r="B771" s="451">
        <v>6.2500000000000003E-3</v>
      </c>
      <c r="C771" t="str">
        <f t="shared" si="11"/>
        <v/>
      </c>
    </row>
    <row r="772" spans="1:3" x14ac:dyDescent="0.25">
      <c r="A772" s="175">
        <v>2.99</v>
      </c>
      <c r="B772" s="451">
        <v>6.5509999999999999E-2</v>
      </c>
      <c r="C772" t="str">
        <f t="shared" si="11"/>
        <v/>
      </c>
    </row>
    <row r="773" spans="1:3" x14ac:dyDescent="0.25">
      <c r="A773" s="175">
        <v>2.4</v>
      </c>
      <c r="B773" s="451">
        <v>2.0879999999999999E-2</v>
      </c>
      <c r="C773" t="str">
        <f t="shared" si="11"/>
        <v/>
      </c>
    </row>
    <row r="774" spans="1:3" x14ac:dyDescent="0.25">
      <c r="A774" s="175">
        <v>2.67</v>
      </c>
      <c r="B774" s="451">
        <v>6.1769999999999999E-2</v>
      </c>
      <c r="C774" t="str">
        <f t="shared" ref="C774:C837" si="12">IF(B774=0,"XXXXXXXX","")</f>
        <v/>
      </c>
    </row>
    <row r="775" spans="1:3" x14ac:dyDescent="0.25">
      <c r="A775" s="175">
        <v>3.14</v>
      </c>
      <c r="B775" s="451">
        <v>9.9699999999999997E-2</v>
      </c>
      <c r="C775" t="str">
        <f t="shared" si="12"/>
        <v/>
      </c>
    </row>
    <row r="776" spans="1:3" x14ac:dyDescent="0.25">
      <c r="A776" s="175">
        <v>2.85</v>
      </c>
      <c r="B776" s="451">
        <v>1.0670000000000001E-2</v>
      </c>
      <c r="C776" t="str">
        <f t="shared" si="12"/>
        <v/>
      </c>
    </row>
    <row r="777" spans="1:3" x14ac:dyDescent="0.25">
      <c r="A777" s="175">
        <v>2.58</v>
      </c>
      <c r="B777" s="451">
        <v>1.6219999999999998E-2</v>
      </c>
      <c r="C777" t="str">
        <f t="shared" si="12"/>
        <v/>
      </c>
    </row>
    <row r="778" spans="1:3" x14ac:dyDescent="0.25">
      <c r="A778" s="175">
        <v>2.85</v>
      </c>
      <c r="B778" s="451">
        <v>1.626E-2</v>
      </c>
      <c r="C778" t="str">
        <f t="shared" si="12"/>
        <v/>
      </c>
    </row>
    <row r="779" spans="1:3" x14ac:dyDescent="0.25">
      <c r="A779" s="175">
        <v>3.28</v>
      </c>
      <c r="B779" s="451">
        <v>7.4999999999999997E-2</v>
      </c>
      <c r="C779" t="str">
        <f t="shared" si="12"/>
        <v/>
      </c>
    </row>
    <row r="780" spans="1:3" x14ac:dyDescent="0.25">
      <c r="A780" s="175">
        <v>3.09</v>
      </c>
      <c r="B780" s="451">
        <v>2.2069999999999999E-2</v>
      </c>
      <c r="C780" t="str">
        <f t="shared" si="12"/>
        <v/>
      </c>
    </row>
    <row r="781" spans="1:3" x14ac:dyDescent="0.25">
      <c r="A781" s="175">
        <v>3.96</v>
      </c>
      <c r="B781" s="451">
        <v>0.16424</v>
      </c>
      <c r="C781" t="str">
        <f t="shared" si="12"/>
        <v/>
      </c>
    </row>
    <row r="782" spans="1:3" x14ac:dyDescent="0.25">
      <c r="A782" s="175">
        <v>3.56</v>
      </c>
      <c r="B782" s="451">
        <v>0.12426</v>
      </c>
      <c r="C782" t="str">
        <f t="shared" si="12"/>
        <v/>
      </c>
    </row>
    <row r="783" spans="1:3" x14ac:dyDescent="0.25">
      <c r="A783" s="175">
        <v>3.37</v>
      </c>
      <c r="B783" s="451">
        <v>5.9400000000000001E-2</v>
      </c>
      <c r="C783" t="str">
        <f t="shared" si="12"/>
        <v/>
      </c>
    </row>
    <row r="784" spans="1:3" x14ac:dyDescent="0.25">
      <c r="A784" s="175">
        <v>4.01</v>
      </c>
      <c r="B784" s="451">
        <v>7.2749999999999995E-2</v>
      </c>
      <c r="C784" t="str">
        <f t="shared" si="12"/>
        <v/>
      </c>
    </row>
    <row r="785" spans="1:3" x14ac:dyDescent="0.25">
      <c r="A785" s="175">
        <v>4.0599999999999996</v>
      </c>
      <c r="B785" s="451">
        <v>0.12920000000000001</v>
      </c>
      <c r="C785" t="str">
        <f t="shared" si="12"/>
        <v/>
      </c>
    </row>
    <row r="786" spans="1:3" x14ac:dyDescent="0.25">
      <c r="A786" s="175">
        <v>3.81</v>
      </c>
      <c r="B786" s="451">
        <v>7.9759999999999998E-2</v>
      </c>
      <c r="C786" t="str">
        <f t="shared" si="12"/>
        <v/>
      </c>
    </row>
    <row r="787" spans="1:3" x14ac:dyDescent="0.25">
      <c r="A787" s="175">
        <v>3.47</v>
      </c>
      <c r="B787" s="451">
        <v>4.4299999999999999E-2</v>
      </c>
      <c r="C787" t="str">
        <f t="shared" si="12"/>
        <v/>
      </c>
    </row>
    <row r="788" spans="1:3" x14ac:dyDescent="0.25">
      <c r="A788" s="175">
        <v>3.66</v>
      </c>
      <c r="B788" s="451">
        <v>5.6849999999999998E-2</v>
      </c>
      <c r="C788" t="str">
        <f t="shared" si="12"/>
        <v/>
      </c>
    </row>
    <row r="789" spans="1:3" x14ac:dyDescent="0.25">
      <c r="A789" s="175">
        <v>4.16</v>
      </c>
      <c r="B789" s="451">
        <v>4.879E-2</v>
      </c>
      <c r="C789" t="str">
        <f t="shared" si="12"/>
        <v/>
      </c>
    </row>
    <row r="790" spans="1:3" x14ac:dyDescent="0.25">
      <c r="A790" s="175">
        <v>3.86</v>
      </c>
      <c r="B790" s="451">
        <v>9.0560000000000002E-2</v>
      </c>
      <c r="C790" t="str">
        <f t="shared" si="12"/>
        <v/>
      </c>
    </row>
    <row r="791" spans="1:3" x14ac:dyDescent="0.25">
      <c r="A791" s="175">
        <v>3.56</v>
      </c>
      <c r="B791" s="451">
        <v>3.3320000000000002E-2</v>
      </c>
      <c r="C791" t="str">
        <f t="shared" si="12"/>
        <v/>
      </c>
    </row>
    <row r="792" spans="1:3" x14ac:dyDescent="0.25">
      <c r="A792" s="175">
        <v>3.42</v>
      </c>
      <c r="B792" s="451">
        <v>9.1980000000000006E-2</v>
      </c>
      <c r="C792" t="str">
        <f t="shared" si="12"/>
        <v/>
      </c>
    </row>
    <row r="793" spans="1:3" x14ac:dyDescent="0.25">
      <c r="A793" s="175">
        <v>3.76</v>
      </c>
      <c r="B793" s="451">
        <v>8.1040000000000001E-2</v>
      </c>
      <c r="C793" t="str">
        <f t="shared" si="12"/>
        <v/>
      </c>
    </row>
    <row r="794" spans="1:3" x14ac:dyDescent="0.25">
      <c r="A794" s="175">
        <v>4.1100000000000003</v>
      </c>
      <c r="B794" s="451">
        <v>0.11931</v>
      </c>
      <c r="C794" t="str">
        <f t="shared" si="12"/>
        <v/>
      </c>
    </row>
    <row r="795" spans="1:3" x14ac:dyDescent="0.25">
      <c r="A795" s="175">
        <v>3.66</v>
      </c>
      <c r="B795" s="451">
        <v>8.6050000000000001E-2</v>
      </c>
      <c r="C795" t="str">
        <f t="shared" si="12"/>
        <v/>
      </c>
    </row>
    <row r="796" spans="1:3" x14ac:dyDescent="0.25">
      <c r="A796" s="175">
        <v>3.52</v>
      </c>
      <c r="B796" s="451">
        <v>9.7960000000000005E-2</v>
      </c>
      <c r="C796" t="str">
        <f t="shared" si="12"/>
        <v/>
      </c>
    </row>
    <row r="797" spans="1:3" x14ac:dyDescent="0.25">
      <c r="A797" s="175">
        <v>3.42</v>
      </c>
      <c r="B797" s="451">
        <v>3.0720000000000001E-2</v>
      </c>
      <c r="C797" t="str">
        <f t="shared" si="12"/>
        <v/>
      </c>
    </row>
    <row r="798" spans="1:3" x14ac:dyDescent="0.25">
      <c r="A798" s="175">
        <v>4.16</v>
      </c>
      <c r="B798" s="451">
        <v>6.4640000000000003E-2</v>
      </c>
      <c r="C798" t="str">
        <f t="shared" si="12"/>
        <v/>
      </c>
    </row>
    <row r="799" spans="1:3" x14ac:dyDescent="0.25">
      <c r="A799" s="175">
        <v>4.3099999999999996</v>
      </c>
      <c r="B799" s="451">
        <v>0.109</v>
      </c>
      <c r="C799" t="str">
        <f t="shared" si="12"/>
        <v/>
      </c>
    </row>
    <row r="800" spans="1:3" x14ac:dyDescent="0.25">
      <c r="A800" s="175">
        <v>3.91</v>
      </c>
      <c r="B800" s="451">
        <v>0.18511</v>
      </c>
      <c r="C800" t="str">
        <f t="shared" si="12"/>
        <v/>
      </c>
    </row>
    <row r="801" spans="1:3" x14ac:dyDescent="0.25">
      <c r="A801" s="175">
        <v>3.71</v>
      </c>
      <c r="B801" s="451">
        <v>0.17452999999999999</v>
      </c>
      <c r="C801" t="str">
        <f t="shared" si="12"/>
        <v/>
      </c>
    </row>
    <row r="802" spans="1:3" x14ac:dyDescent="0.25">
      <c r="A802" s="175">
        <v>3.47</v>
      </c>
      <c r="B802" s="451">
        <v>0.10150000000000001</v>
      </c>
      <c r="C802" t="str">
        <f t="shared" si="12"/>
        <v/>
      </c>
    </row>
    <row r="803" spans="1:3" x14ac:dyDescent="0.25">
      <c r="A803" s="175">
        <v>3.76</v>
      </c>
      <c r="B803" s="451">
        <v>2.4629999999999999E-2</v>
      </c>
      <c r="C803" t="str">
        <f t="shared" si="12"/>
        <v/>
      </c>
    </row>
    <row r="804" spans="1:3" x14ac:dyDescent="0.25">
      <c r="A804" s="175">
        <v>3.96</v>
      </c>
      <c r="B804" s="451">
        <v>0.19334999999999999</v>
      </c>
      <c r="C804" t="str">
        <f t="shared" si="12"/>
        <v/>
      </c>
    </row>
    <row r="805" spans="1:3" x14ac:dyDescent="0.25">
      <c r="A805" s="175">
        <v>3.81</v>
      </c>
      <c r="B805" s="451">
        <v>4.199E-2</v>
      </c>
      <c r="C805" t="str">
        <f t="shared" si="12"/>
        <v/>
      </c>
    </row>
    <row r="806" spans="1:3" x14ac:dyDescent="0.25">
      <c r="A806" s="175">
        <v>3.66</v>
      </c>
      <c r="B806" s="451">
        <v>3.7699999999999997E-2</v>
      </c>
      <c r="C806" t="str">
        <f t="shared" si="12"/>
        <v/>
      </c>
    </row>
    <row r="807" spans="1:3" x14ac:dyDescent="0.25">
      <c r="A807" s="175">
        <v>3.42</v>
      </c>
      <c r="B807" s="451">
        <v>7.0279999999999995E-2</v>
      </c>
      <c r="C807" t="str">
        <f t="shared" si="12"/>
        <v/>
      </c>
    </row>
    <row r="808" spans="1:3" x14ac:dyDescent="0.25">
      <c r="A808" s="175">
        <v>4.0599999999999996</v>
      </c>
      <c r="B808" s="451">
        <v>2.7640000000000001E-2</v>
      </c>
      <c r="C808" t="str">
        <f t="shared" si="12"/>
        <v/>
      </c>
    </row>
    <row r="809" spans="1:3" x14ac:dyDescent="0.25">
      <c r="A809" s="175">
        <v>4.72</v>
      </c>
      <c r="B809" s="451">
        <v>0.14707999999999999</v>
      </c>
      <c r="C809" t="str">
        <f t="shared" si="12"/>
        <v/>
      </c>
    </row>
    <row r="810" spans="1:3" x14ac:dyDescent="0.25">
      <c r="A810" s="175">
        <v>4.1100000000000003</v>
      </c>
      <c r="B810" s="451">
        <v>6.812E-2</v>
      </c>
      <c r="C810" t="str">
        <f t="shared" si="12"/>
        <v/>
      </c>
    </row>
    <row r="811" spans="1:3" x14ac:dyDescent="0.25">
      <c r="A811" s="175">
        <v>3.71</v>
      </c>
      <c r="B811" s="451">
        <v>0.15584000000000001</v>
      </c>
      <c r="C811" t="str">
        <f t="shared" si="12"/>
        <v/>
      </c>
    </row>
    <row r="812" spans="1:3" x14ac:dyDescent="0.25">
      <c r="A812" s="175">
        <v>3.47</v>
      </c>
      <c r="B812" s="451">
        <v>0.13708000000000001</v>
      </c>
      <c r="C812" t="str">
        <f t="shared" si="12"/>
        <v/>
      </c>
    </row>
    <row r="813" spans="1:3" x14ac:dyDescent="0.25">
      <c r="A813" s="175">
        <v>4.21</v>
      </c>
      <c r="B813" s="451">
        <v>6.9129999999999997E-2</v>
      </c>
      <c r="C813" t="str">
        <f t="shared" si="12"/>
        <v/>
      </c>
    </row>
    <row r="814" spans="1:3" x14ac:dyDescent="0.25">
      <c r="A814" s="175">
        <v>4.1100000000000003</v>
      </c>
      <c r="B814" s="451">
        <v>9.1550000000000006E-2</v>
      </c>
      <c r="C814" t="str">
        <f t="shared" si="12"/>
        <v/>
      </c>
    </row>
    <row r="815" spans="1:3" x14ac:dyDescent="0.25">
      <c r="A815" s="175">
        <v>3.81</v>
      </c>
      <c r="B815" s="451">
        <v>5.851E-2</v>
      </c>
      <c r="C815" t="str">
        <f t="shared" si="12"/>
        <v/>
      </c>
    </row>
    <row r="816" spans="1:3" x14ac:dyDescent="0.25">
      <c r="A816" s="175">
        <v>3.52</v>
      </c>
      <c r="B816" s="451">
        <v>1.9879999999999998E-2</v>
      </c>
      <c r="C816" t="str">
        <f t="shared" si="12"/>
        <v/>
      </c>
    </row>
    <row r="817" spans="1:3" x14ac:dyDescent="0.25">
      <c r="A817" s="175">
        <v>3.47</v>
      </c>
      <c r="B817" s="451">
        <v>2.8629999999999999E-2</v>
      </c>
      <c r="C817" t="str">
        <f t="shared" si="12"/>
        <v/>
      </c>
    </row>
    <row r="818" spans="1:3" x14ac:dyDescent="0.25">
      <c r="A818" s="175">
        <v>3.81</v>
      </c>
      <c r="B818" s="451">
        <v>3.2640000000000002E-2</v>
      </c>
      <c r="C818" t="str">
        <f t="shared" si="12"/>
        <v/>
      </c>
    </row>
    <row r="819" spans="1:3" x14ac:dyDescent="0.25">
      <c r="A819" s="175">
        <v>4.16</v>
      </c>
      <c r="B819" s="451">
        <v>0.10555</v>
      </c>
      <c r="C819" t="str">
        <f t="shared" si="12"/>
        <v/>
      </c>
    </row>
    <row r="820" spans="1:3" x14ac:dyDescent="0.25">
      <c r="A820" s="175">
        <v>3.76</v>
      </c>
      <c r="B820" s="451">
        <v>3.6249999999999998E-2</v>
      </c>
      <c r="C820" t="str">
        <f t="shared" si="12"/>
        <v/>
      </c>
    </row>
    <row r="821" spans="1:3" x14ac:dyDescent="0.25">
      <c r="A821" s="175">
        <v>3.52</v>
      </c>
      <c r="B821" s="451">
        <v>0.10839</v>
      </c>
      <c r="C821" t="str">
        <f t="shared" si="12"/>
        <v/>
      </c>
    </row>
    <row r="822" spans="1:3" x14ac:dyDescent="0.25">
      <c r="A822" s="175">
        <v>3.42</v>
      </c>
      <c r="B822" s="451">
        <v>6.0780000000000001E-2</v>
      </c>
      <c r="C822" t="str">
        <f t="shared" si="12"/>
        <v/>
      </c>
    </row>
    <row r="823" spans="1:3" x14ac:dyDescent="0.25">
      <c r="A823" s="175">
        <v>3.56</v>
      </c>
      <c r="B823" s="451">
        <v>4.718E-2</v>
      </c>
      <c r="C823" t="str">
        <f t="shared" si="12"/>
        <v/>
      </c>
    </row>
    <row r="824" spans="1:3" x14ac:dyDescent="0.25">
      <c r="A824" s="175">
        <v>4.3600000000000003</v>
      </c>
      <c r="B824" s="451">
        <v>7.5420000000000001E-2</v>
      </c>
      <c r="C824" t="str">
        <f t="shared" si="12"/>
        <v/>
      </c>
    </row>
    <row r="825" spans="1:3" x14ac:dyDescent="0.25">
      <c r="A825" s="175">
        <v>4.1100000000000003</v>
      </c>
      <c r="B825" s="451">
        <v>0.13203999999999999</v>
      </c>
      <c r="C825" t="str">
        <f t="shared" si="12"/>
        <v/>
      </c>
    </row>
    <row r="826" spans="1:3" x14ac:dyDescent="0.25">
      <c r="A826" s="175">
        <v>3.71</v>
      </c>
      <c r="B826" s="451">
        <v>3.5060000000000001E-2</v>
      </c>
      <c r="C826" t="str">
        <f t="shared" si="12"/>
        <v/>
      </c>
    </row>
    <row r="827" spans="1:3" x14ac:dyDescent="0.25">
      <c r="A827" s="175">
        <v>3.52</v>
      </c>
      <c r="B827" s="451">
        <v>5.4449999999999998E-2</v>
      </c>
      <c r="C827" t="str">
        <f t="shared" si="12"/>
        <v/>
      </c>
    </row>
    <row r="828" spans="1:3" x14ac:dyDescent="0.25">
      <c r="A828" s="175">
        <v>3.42</v>
      </c>
      <c r="B828" s="451">
        <v>5.1450000000000003E-2</v>
      </c>
      <c r="C828" t="str">
        <f t="shared" si="12"/>
        <v/>
      </c>
    </row>
    <row r="829" spans="1:3" x14ac:dyDescent="0.25">
      <c r="A829" s="175">
        <v>4.26</v>
      </c>
      <c r="B829" s="451">
        <v>9.5890000000000003E-2</v>
      </c>
      <c r="C829" t="str">
        <f t="shared" si="12"/>
        <v/>
      </c>
    </row>
    <row r="830" spans="1:3" x14ac:dyDescent="0.25">
      <c r="A830" s="175">
        <v>4.21</v>
      </c>
      <c r="B830" s="451">
        <v>7.5990000000000002E-2</v>
      </c>
      <c r="C830" t="str">
        <f t="shared" si="12"/>
        <v/>
      </c>
    </row>
    <row r="831" spans="1:3" x14ac:dyDescent="0.25">
      <c r="A831" s="175">
        <v>3.91</v>
      </c>
      <c r="B831" s="451">
        <v>6.053E-2</v>
      </c>
      <c r="C831" t="str">
        <f t="shared" si="12"/>
        <v/>
      </c>
    </row>
    <row r="832" spans="1:3" x14ac:dyDescent="0.25">
      <c r="A832" s="175">
        <v>3.71</v>
      </c>
      <c r="B832" s="451">
        <v>5.604E-2</v>
      </c>
      <c r="C832" t="str">
        <f t="shared" si="12"/>
        <v/>
      </c>
    </row>
    <row r="833" spans="1:3" x14ac:dyDescent="0.25">
      <c r="A833" s="175">
        <v>3.52</v>
      </c>
      <c r="B833" s="451">
        <v>6.8809999999999996E-2</v>
      </c>
      <c r="C833" t="str">
        <f t="shared" si="12"/>
        <v/>
      </c>
    </row>
    <row r="834" spans="1:3" x14ac:dyDescent="0.25">
      <c r="A834" s="175">
        <v>3.71</v>
      </c>
      <c r="B834" s="451">
        <v>8.269E-2</v>
      </c>
      <c r="C834" t="str">
        <f t="shared" si="12"/>
        <v/>
      </c>
    </row>
    <row r="835" spans="1:3" x14ac:dyDescent="0.25">
      <c r="A835" s="175">
        <v>4.46</v>
      </c>
      <c r="B835" s="451">
        <v>0.11995</v>
      </c>
      <c r="C835" t="str">
        <f t="shared" si="12"/>
        <v/>
      </c>
    </row>
    <row r="836" spans="1:3" x14ac:dyDescent="0.25">
      <c r="A836" s="175">
        <v>4.3600000000000003</v>
      </c>
      <c r="B836" s="451">
        <v>0.11079</v>
      </c>
      <c r="C836" t="str">
        <f t="shared" si="12"/>
        <v/>
      </c>
    </row>
    <row r="837" spans="1:3" x14ac:dyDescent="0.25">
      <c r="A837" s="175">
        <v>4.46</v>
      </c>
      <c r="B837" s="451">
        <v>7.7649999999999997E-2</v>
      </c>
      <c r="C837" t="str">
        <f t="shared" si="12"/>
        <v/>
      </c>
    </row>
    <row r="838" spans="1:3" x14ac:dyDescent="0.25">
      <c r="A838" s="175">
        <v>4.01</v>
      </c>
      <c r="B838" s="451">
        <v>7.1319999999999995E-2</v>
      </c>
      <c r="C838" t="str">
        <f t="shared" ref="C838:C901" si="13">IF(B838=0,"XXXXXXXX","")</f>
        <v/>
      </c>
    </row>
    <row r="839" spans="1:3" x14ac:dyDescent="0.25">
      <c r="A839" s="175">
        <v>3.81</v>
      </c>
      <c r="B839" s="451">
        <v>8.8400000000000006E-2</v>
      </c>
      <c r="C839" t="str">
        <f t="shared" si="13"/>
        <v/>
      </c>
    </row>
    <row r="840" spans="1:3" x14ac:dyDescent="0.25">
      <c r="A840" s="175">
        <v>4.01</v>
      </c>
      <c r="B840" s="451">
        <v>8.5169999999999996E-2</v>
      </c>
      <c r="C840" t="str">
        <f t="shared" si="13"/>
        <v/>
      </c>
    </row>
    <row r="841" spans="1:3" x14ac:dyDescent="0.25">
      <c r="A841" s="175">
        <v>4.21</v>
      </c>
      <c r="B841" s="451">
        <v>0.14052000000000001</v>
      </c>
      <c r="C841" t="str">
        <f t="shared" si="13"/>
        <v/>
      </c>
    </row>
    <row r="842" spans="1:3" x14ac:dyDescent="0.25">
      <c r="A842" s="175">
        <v>4.87</v>
      </c>
      <c r="B842" s="451">
        <v>0.16569</v>
      </c>
      <c r="C842" t="str">
        <f t="shared" si="13"/>
        <v/>
      </c>
    </row>
    <row r="843" spans="1:3" x14ac:dyDescent="0.25">
      <c r="A843" s="175">
        <v>4.6100000000000003</v>
      </c>
      <c r="B843" s="451">
        <v>0.14333000000000001</v>
      </c>
      <c r="C843" t="str">
        <f t="shared" si="13"/>
        <v/>
      </c>
    </row>
    <row r="844" spans="1:3" x14ac:dyDescent="0.25">
      <c r="A844" s="175">
        <v>4.5599999999999996</v>
      </c>
      <c r="B844" s="451">
        <v>0.17011000000000001</v>
      </c>
      <c r="C844" t="str">
        <f t="shared" si="13"/>
        <v/>
      </c>
    </row>
    <row r="845" spans="1:3" x14ac:dyDescent="0.25">
      <c r="A845" s="175">
        <v>4.5599999999999996</v>
      </c>
      <c r="B845" s="451">
        <v>8.2290000000000002E-2</v>
      </c>
      <c r="C845" t="str">
        <f t="shared" si="13"/>
        <v/>
      </c>
    </row>
    <row r="846" spans="1:3" x14ac:dyDescent="0.25">
      <c r="A846" s="175">
        <v>5.08</v>
      </c>
      <c r="B846" s="451">
        <v>0.17238000000000001</v>
      </c>
      <c r="C846" t="str">
        <f t="shared" si="13"/>
        <v/>
      </c>
    </row>
    <row r="847" spans="1:3" x14ac:dyDescent="0.25">
      <c r="A847" s="175">
        <v>4.7699999999999996</v>
      </c>
      <c r="B847" s="451">
        <v>0.18820000000000001</v>
      </c>
      <c r="C847" t="str">
        <f t="shared" si="13"/>
        <v/>
      </c>
    </row>
    <row r="848" spans="1:3" x14ac:dyDescent="0.25">
      <c r="A848" s="175">
        <v>4.41</v>
      </c>
      <c r="B848" s="451">
        <v>0.12135</v>
      </c>
      <c r="C848" t="str">
        <f t="shared" si="13"/>
        <v/>
      </c>
    </row>
    <row r="849" spans="1:3" x14ac:dyDescent="0.25">
      <c r="A849" s="175">
        <v>4.1100000000000003</v>
      </c>
      <c r="B849" s="451">
        <v>0.13235</v>
      </c>
      <c r="C849" t="str">
        <f t="shared" si="13"/>
        <v/>
      </c>
    </row>
    <row r="850" spans="1:3" x14ac:dyDescent="0.25">
      <c r="A850" s="175">
        <v>3.86</v>
      </c>
      <c r="B850" s="451">
        <v>0.12235</v>
      </c>
      <c r="C850" t="str">
        <f t="shared" si="13"/>
        <v/>
      </c>
    </row>
    <row r="851" spans="1:3" x14ac:dyDescent="0.25">
      <c r="A851" s="175">
        <v>4.21</v>
      </c>
      <c r="B851" s="451">
        <v>7.5469999999999995E-2</v>
      </c>
      <c r="C851" t="str">
        <f t="shared" si="13"/>
        <v/>
      </c>
    </row>
    <row r="852" spans="1:3" x14ac:dyDescent="0.25">
      <c r="A852" s="175">
        <v>4.26</v>
      </c>
      <c r="B852" s="451">
        <v>4.8579999999999998E-2</v>
      </c>
      <c r="C852" t="str">
        <f t="shared" si="13"/>
        <v/>
      </c>
    </row>
    <row r="853" spans="1:3" x14ac:dyDescent="0.25">
      <c r="A853" s="175">
        <v>4.1100000000000003</v>
      </c>
      <c r="B853" s="451">
        <v>7.9399999999999998E-2</v>
      </c>
      <c r="C853" t="str">
        <f t="shared" si="13"/>
        <v/>
      </c>
    </row>
    <row r="854" spans="1:3" x14ac:dyDescent="0.25">
      <c r="A854" s="175">
        <v>3.42</v>
      </c>
      <c r="B854" s="451">
        <v>5.3449999999999998E-2</v>
      </c>
      <c r="C854" t="str">
        <f t="shared" si="13"/>
        <v/>
      </c>
    </row>
    <row r="855" spans="1:3" x14ac:dyDescent="0.25">
      <c r="A855" s="175">
        <v>3.37</v>
      </c>
      <c r="B855" s="451">
        <v>2.3279999999999999E-2</v>
      </c>
      <c r="C855" t="str">
        <f t="shared" si="13"/>
        <v/>
      </c>
    </row>
    <row r="856" spans="1:3" x14ac:dyDescent="0.25">
      <c r="A856" s="175">
        <v>3.47</v>
      </c>
      <c r="B856" s="451">
        <v>4.6890000000000001E-2</v>
      </c>
      <c r="C856" t="str">
        <f t="shared" si="13"/>
        <v/>
      </c>
    </row>
    <row r="857" spans="1:3" x14ac:dyDescent="0.25">
      <c r="A857" s="175">
        <v>3.66</v>
      </c>
      <c r="B857" s="451">
        <v>8.5239999999999996E-2</v>
      </c>
      <c r="C857" t="str">
        <f t="shared" si="13"/>
        <v/>
      </c>
    </row>
    <row r="858" spans="1:3" x14ac:dyDescent="0.25">
      <c r="A858" s="175">
        <v>3.52</v>
      </c>
      <c r="B858" s="451">
        <v>5.219E-2</v>
      </c>
      <c r="C858" t="str">
        <f t="shared" si="13"/>
        <v/>
      </c>
    </row>
    <row r="859" spans="1:3" x14ac:dyDescent="0.25">
      <c r="A859" s="175">
        <v>3.28</v>
      </c>
      <c r="B859" s="451">
        <v>2.7990000000000001E-2</v>
      </c>
      <c r="C859" t="str">
        <f t="shared" si="13"/>
        <v/>
      </c>
    </row>
    <row r="860" spans="1:3" x14ac:dyDescent="0.25">
      <c r="A860" s="175">
        <v>3.18</v>
      </c>
      <c r="B860" s="451">
        <v>4.2229999999999997E-2</v>
      </c>
      <c r="C860" t="str">
        <f t="shared" si="13"/>
        <v/>
      </c>
    </row>
    <row r="861" spans="1:3" x14ac:dyDescent="0.25">
      <c r="A861" s="175">
        <v>3.28</v>
      </c>
      <c r="B861" s="451">
        <v>2.1680000000000001E-2</v>
      </c>
      <c r="C861" t="str">
        <f t="shared" si="13"/>
        <v/>
      </c>
    </row>
    <row r="862" spans="1:3" x14ac:dyDescent="0.25">
      <c r="A862" s="175">
        <v>3.56</v>
      </c>
      <c r="B862" s="451">
        <v>1.355E-2</v>
      </c>
      <c r="C862" t="str">
        <f t="shared" si="13"/>
        <v/>
      </c>
    </row>
    <row r="863" spans="1:3" x14ac:dyDescent="0.25">
      <c r="A863" s="175">
        <v>3.56</v>
      </c>
      <c r="B863" s="451">
        <v>6.3420000000000004E-2</v>
      </c>
      <c r="C863" t="str">
        <f t="shared" si="13"/>
        <v/>
      </c>
    </row>
    <row r="864" spans="1:3" x14ac:dyDescent="0.25">
      <c r="A864" s="175">
        <v>3.47</v>
      </c>
      <c r="B864" s="451">
        <v>6.3310000000000005E-2</v>
      </c>
      <c r="C864" t="str">
        <f t="shared" si="13"/>
        <v/>
      </c>
    </row>
    <row r="865" spans="1:3" x14ac:dyDescent="0.25">
      <c r="A865" s="175">
        <v>3.32</v>
      </c>
      <c r="B865" s="451">
        <v>6.225E-2</v>
      </c>
      <c r="C865" t="str">
        <f t="shared" si="13"/>
        <v/>
      </c>
    </row>
    <row r="866" spans="1:3" x14ac:dyDescent="0.25">
      <c r="A866" s="175">
        <v>3.23</v>
      </c>
      <c r="B866" s="451">
        <v>3.8269999999999998E-2</v>
      </c>
      <c r="C866" t="str">
        <f t="shared" si="13"/>
        <v/>
      </c>
    </row>
    <row r="867" spans="1:3" x14ac:dyDescent="0.25">
      <c r="A867" s="175">
        <v>3.28</v>
      </c>
      <c r="B867" s="451">
        <v>4.7099999999999998E-3</v>
      </c>
      <c r="C867" t="str">
        <f t="shared" si="13"/>
        <v/>
      </c>
    </row>
    <row r="868" spans="1:3" x14ac:dyDescent="0.25">
      <c r="A868" s="175">
        <v>3.47</v>
      </c>
      <c r="B868" s="451">
        <v>3.8980000000000001E-2</v>
      </c>
      <c r="C868" t="str">
        <f t="shared" si="13"/>
        <v/>
      </c>
    </row>
    <row r="869" spans="1:3" x14ac:dyDescent="0.25">
      <c r="A869" s="175">
        <v>3.52</v>
      </c>
      <c r="B869" s="451">
        <v>6.2740000000000004E-2</v>
      </c>
      <c r="C869" t="str">
        <f t="shared" si="13"/>
        <v/>
      </c>
    </row>
    <row r="870" spans="1:3" x14ac:dyDescent="0.25">
      <c r="A870" s="175">
        <v>3.32</v>
      </c>
      <c r="B870" s="451">
        <v>4.7329999999999997E-2</v>
      </c>
      <c r="C870" t="str">
        <f t="shared" si="13"/>
        <v/>
      </c>
    </row>
    <row r="871" spans="1:3" x14ac:dyDescent="0.25">
      <c r="A871" s="175">
        <v>3.18</v>
      </c>
      <c r="B871" s="451">
        <v>2.92E-2</v>
      </c>
      <c r="C871" t="str">
        <f t="shared" si="13"/>
        <v/>
      </c>
    </row>
    <row r="872" spans="1:3" x14ac:dyDescent="0.25">
      <c r="A872" s="175">
        <v>3.09</v>
      </c>
      <c r="B872" s="451">
        <v>2.0369999999999999E-2</v>
      </c>
      <c r="C872" t="str">
        <f t="shared" si="13"/>
        <v/>
      </c>
    </row>
    <row r="873" spans="1:3" x14ac:dyDescent="0.25">
      <c r="A873" s="175">
        <v>3.14</v>
      </c>
      <c r="B873" s="451">
        <v>4.3720000000000002E-2</v>
      </c>
      <c r="C873" t="str">
        <f t="shared" si="13"/>
        <v/>
      </c>
    </row>
    <row r="874" spans="1:3" x14ac:dyDescent="0.25">
      <c r="A874" s="175">
        <v>3.14</v>
      </c>
      <c r="B874" s="451">
        <v>2.155E-2</v>
      </c>
      <c r="C874" t="str">
        <f t="shared" si="13"/>
        <v/>
      </c>
    </row>
    <row r="875" spans="1:3" x14ac:dyDescent="0.25">
      <c r="A875" s="175">
        <v>3.04</v>
      </c>
      <c r="B875" s="451">
        <v>1.899E-2</v>
      </c>
      <c r="C875" t="str">
        <f t="shared" si="13"/>
        <v/>
      </c>
    </row>
    <row r="876" spans="1:3" x14ac:dyDescent="0.25">
      <c r="A876" s="175">
        <v>2.95</v>
      </c>
      <c r="B876" s="451">
        <v>3.4540000000000001E-2</v>
      </c>
      <c r="C876" t="str">
        <f t="shared" si="13"/>
        <v/>
      </c>
    </row>
    <row r="877" spans="1:3" x14ac:dyDescent="0.25">
      <c r="A877" s="175">
        <v>2.76</v>
      </c>
      <c r="B877" s="451">
        <v>1.7389999999999999E-2</v>
      </c>
      <c r="C877" t="str">
        <f t="shared" si="13"/>
        <v/>
      </c>
    </row>
    <row r="878" spans="1:3" x14ac:dyDescent="0.25">
      <c r="A878" s="175">
        <v>2.85</v>
      </c>
      <c r="B878" s="451">
        <v>1.753E-2</v>
      </c>
      <c r="C878" t="str">
        <f t="shared" si="13"/>
        <v/>
      </c>
    </row>
    <row r="879" spans="1:3" x14ac:dyDescent="0.25">
      <c r="A879" s="175">
        <v>1.85</v>
      </c>
      <c r="B879" s="451">
        <v>9.1999999999999998E-3</v>
      </c>
      <c r="C879" t="str">
        <f t="shared" si="13"/>
        <v/>
      </c>
    </row>
    <row r="880" spans="1:3" x14ac:dyDescent="0.25">
      <c r="A880" s="175">
        <v>3.34</v>
      </c>
      <c r="B880" s="451">
        <v>8.5300000000000001E-2</v>
      </c>
      <c r="C880" t="str">
        <f t="shared" si="13"/>
        <v/>
      </c>
    </row>
    <row r="881" spans="1:3" x14ac:dyDescent="0.25">
      <c r="A881" s="175">
        <v>3.6</v>
      </c>
      <c r="B881" s="451">
        <v>0.111</v>
      </c>
      <c r="C881" t="str">
        <f t="shared" si="13"/>
        <v/>
      </c>
    </row>
    <row r="882" spans="1:3" x14ac:dyDescent="0.25">
      <c r="A882" s="175">
        <v>3.85</v>
      </c>
      <c r="B882" s="451">
        <v>7.7700000000000005E-2</v>
      </c>
      <c r="C882" t="str">
        <f t="shared" si="13"/>
        <v/>
      </c>
    </row>
    <row r="883" spans="1:3" x14ac:dyDescent="0.25">
      <c r="A883" s="175">
        <v>4.38</v>
      </c>
      <c r="B883" s="451">
        <v>7.8899999999999998E-2</v>
      </c>
      <c r="C883" t="str">
        <f t="shared" si="13"/>
        <v/>
      </c>
    </row>
    <row r="884" spans="1:3" x14ac:dyDescent="0.25">
      <c r="A884" s="175">
        <v>3.63</v>
      </c>
      <c r="B884" s="451">
        <v>6.0100000000000001E-2</v>
      </c>
      <c r="C884" t="str">
        <f t="shared" si="13"/>
        <v/>
      </c>
    </row>
    <row r="885" spans="1:3" x14ac:dyDescent="0.25">
      <c r="A885" s="175">
        <v>3.2</v>
      </c>
      <c r="B885" s="451">
        <v>5.2600000000000001E-2</v>
      </c>
      <c r="C885" t="str">
        <f t="shared" si="13"/>
        <v/>
      </c>
    </row>
    <row r="886" spans="1:3" x14ac:dyDescent="0.25">
      <c r="A886" s="175">
        <v>3.4</v>
      </c>
      <c r="B886" s="451">
        <v>1.8700000000000001E-2</v>
      </c>
      <c r="C886" t="str">
        <f t="shared" si="13"/>
        <v/>
      </c>
    </row>
    <row r="887" spans="1:3" x14ac:dyDescent="0.25">
      <c r="A887" s="175">
        <v>3.08</v>
      </c>
      <c r="B887" s="451">
        <v>1.6199999999999999E-2</v>
      </c>
      <c r="C887" t="str">
        <f t="shared" si="13"/>
        <v/>
      </c>
    </row>
    <row r="888" spans="1:3" x14ac:dyDescent="0.25">
      <c r="A888" s="175">
        <v>3.03</v>
      </c>
      <c r="B888" s="451">
        <v>3.1E-2</v>
      </c>
      <c r="C888" t="str">
        <f t="shared" si="13"/>
        <v/>
      </c>
    </row>
    <row r="889" spans="1:3" x14ac:dyDescent="0.25">
      <c r="A889" s="175">
        <v>3.49</v>
      </c>
      <c r="B889" s="451">
        <v>3.8699999999999998E-2</v>
      </c>
      <c r="C889" t="str">
        <f t="shared" si="13"/>
        <v/>
      </c>
    </row>
    <row r="890" spans="1:3" x14ac:dyDescent="0.25">
      <c r="A890" s="175">
        <v>2.94</v>
      </c>
      <c r="B890" s="451">
        <v>1.35E-2</v>
      </c>
      <c r="C890" t="str">
        <f t="shared" si="13"/>
        <v/>
      </c>
    </row>
    <row r="891" spans="1:3" x14ac:dyDescent="0.25">
      <c r="A891" s="175">
        <v>3.4</v>
      </c>
      <c r="B891" s="451">
        <v>4.7199999999999999E-2</v>
      </c>
      <c r="C891" t="str">
        <f t="shared" si="13"/>
        <v/>
      </c>
    </row>
    <row r="892" spans="1:3" x14ac:dyDescent="0.25">
      <c r="A892" s="175">
        <v>3.11</v>
      </c>
      <c r="B892" s="451">
        <v>2.1700000000000001E-2</v>
      </c>
      <c r="C892" t="str">
        <f t="shared" si="13"/>
        <v/>
      </c>
    </row>
    <row r="893" spans="1:3" x14ac:dyDescent="0.25">
      <c r="A893" s="175">
        <v>4.3499999999999996</v>
      </c>
      <c r="B893" s="451">
        <v>0.13619999999999999</v>
      </c>
      <c r="C893" t="str">
        <f t="shared" si="13"/>
        <v/>
      </c>
    </row>
    <row r="894" spans="1:3" x14ac:dyDescent="0.25">
      <c r="A894" s="175">
        <v>3.75</v>
      </c>
      <c r="B894" s="451">
        <v>8.1100000000000005E-2</v>
      </c>
      <c r="C894" t="str">
        <f t="shared" si="13"/>
        <v/>
      </c>
    </row>
    <row r="895" spans="1:3" x14ac:dyDescent="0.25">
      <c r="A895" s="175">
        <v>4.6399999999999997</v>
      </c>
      <c r="B895" s="451">
        <v>0.11269999999999999</v>
      </c>
      <c r="C895" t="str">
        <f t="shared" si="13"/>
        <v/>
      </c>
    </row>
    <row r="896" spans="1:3" x14ac:dyDescent="0.25">
      <c r="A896" s="175">
        <v>3.88</v>
      </c>
      <c r="B896" s="451">
        <v>6.1800000000000001E-2</v>
      </c>
      <c r="C896" t="str">
        <f t="shared" si="13"/>
        <v/>
      </c>
    </row>
    <row r="897" spans="1:3" x14ac:dyDescent="0.25">
      <c r="A897" s="175">
        <v>3.22</v>
      </c>
      <c r="B897" s="451">
        <v>5.21E-2</v>
      </c>
      <c r="C897" t="str">
        <f t="shared" si="13"/>
        <v/>
      </c>
    </row>
    <row r="898" spans="1:3" x14ac:dyDescent="0.25">
      <c r="A898" s="175">
        <v>3.22</v>
      </c>
      <c r="B898" s="451">
        <v>5.57E-2</v>
      </c>
      <c r="C898" t="str">
        <f t="shared" si="13"/>
        <v/>
      </c>
    </row>
    <row r="899" spans="1:3" x14ac:dyDescent="0.25">
      <c r="A899" s="175">
        <v>2.4900000000000002</v>
      </c>
      <c r="B899" s="451">
        <v>1.5699999999999999E-2</v>
      </c>
      <c r="C899" t="str">
        <f t="shared" si="13"/>
        <v/>
      </c>
    </row>
    <row r="900" spans="1:3" x14ac:dyDescent="0.25">
      <c r="A900" s="193">
        <v>2.41</v>
      </c>
      <c r="B900" s="452">
        <v>1.3899999999999999E-2</v>
      </c>
      <c r="C900" t="str">
        <f t="shared" si="13"/>
        <v/>
      </c>
    </row>
    <row r="901" spans="1:3" x14ac:dyDescent="0.25">
      <c r="A901" s="175">
        <v>0.67</v>
      </c>
      <c r="B901" s="451">
        <v>2.2200000000000002E-3</v>
      </c>
      <c r="C901" t="str">
        <f t="shared" si="13"/>
        <v/>
      </c>
    </row>
    <row r="902" spans="1:3" x14ac:dyDescent="0.25">
      <c r="A902" s="175">
        <v>0.59</v>
      </c>
      <c r="B902" s="451">
        <v>3.5799999999999998E-3</v>
      </c>
      <c r="C902" t="str">
        <f t="shared" ref="C902:C965" si="14">IF(B902=0,"XXXXXXXX","")</f>
        <v/>
      </c>
    </row>
    <row r="903" spans="1:3" x14ac:dyDescent="0.25">
      <c r="A903" s="175">
        <v>0.69</v>
      </c>
      <c r="B903" s="451">
        <v>1.1100000000000001E-3</v>
      </c>
      <c r="C903" t="str">
        <f t="shared" si="14"/>
        <v/>
      </c>
    </row>
    <row r="904" spans="1:3" x14ac:dyDescent="0.25">
      <c r="A904" s="175">
        <v>0.83</v>
      </c>
      <c r="B904" s="451">
        <v>2.7499999999999998E-3</v>
      </c>
      <c r="C904" t="str">
        <f t="shared" si="14"/>
        <v/>
      </c>
    </row>
    <row r="905" spans="1:3" x14ac:dyDescent="0.25">
      <c r="A905" s="175">
        <v>0.8</v>
      </c>
      <c r="B905" s="451">
        <v>3.46E-3</v>
      </c>
      <c r="C905" t="str">
        <f t="shared" si="14"/>
        <v/>
      </c>
    </row>
    <row r="906" spans="1:3" x14ac:dyDescent="0.25">
      <c r="A906" s="175">
        <v>0.68</v>
      </c>
      <c r="B906" s="451">
        <v>4.8999999999999998E-4</v>
      </c>
      <c r="C906" t="str">
        <f t="shared" si="14"/>
        <v/>
      </c>
    </row>
    <row r="907" spans="1:3" x14ac:dyDescent="0.25">
      <c r="A907" s="175">
        <v>1.01</v>
      </c>
      <c r="B907" s="451">
        <v>3.98E-3</v>
      </c>
      <c r="C907" t="str">
        <f t="shared" si="14"/>
        <v/>
      </c>
    </row>
    <row r="908" spans="1:3" x14ac:dyDescent="0.25">
      <c r="A908" s="175">
        <v>1.25</v>
      </c>
      <c r="B908" s="451">
        <v>3.7299999999999998E-3</v>
      </c>
      <c r="C908" t="str">
        <f t="shared" si="14"/>
        <v/>
      </c>
    </row>
    <row r="909" spans="1:3" x14ac:dyDescent="0.25">
      <c r="A909" s="175">
        <v>1.38</v>
      </c>
      <c r="B909" s="451">
        <v>3.96E-3</v>
      </c>
      <c r="C909" t="str">
        <f t="shared" si="14"/>
        <v/>
      </c>
    </row>
    <row r="910" spans="1:3" x14ac:dyDescent="0.25">
      <c r="A910" s="175">
        <v>1.21</v>
      </c>
      <c r="B910" s="451">
        <v>4.7699999999999999E-3</v>
      </c>
      <c r="C910" t="str">
        <f t="shared" si="14"/>
        <v/>
      </c>
    </row>
    <row r="911" spans="1:3" x14ac:dyDescent="0.25">
      <c r="A911" s="175">
        <v>1.1399999999999999</v>
      </c>
      <c r="B911" s="451">
        <v>1.537E-2</v>
      </c>
      <c r="C911" t="str">
        <f t="shared" si="14"/>
        <v/>
      </c>
    </row>
    <row r="912" spans="1:3" x14ac:dyDescent="0.25">
      <c r="A912" s="175">
        <v>0.9</v>
      </c>
      <c r="B912" s="451">
        <v>1.09E-3</v>
      </c>
      <c r="C912" t="str">
        <f t="shared" si="14"/>
        <v/>
      </c>
    </row>
    <row r="913" spans="1:3" x14ac:dyDescent="0.25">
      <c r="A913" s="175">
        <v>1.49</v>
      </c>
      <c r="B913" s="451">
        <v>7.9799999999999992E-3</v>
      </c>
      <c r="C913" t="str">
        <f t="shared" si="14"/>
        <v/>
      </c>
    </row>
    <row r="914" spans="1:3" x14ac:dyDescent="0.25">
      <c r="A914" s="175">
        <v>1.26</v>
      </c>
      <c r="B914" s="451">
        <v>1.32E-3</v>
      </c>
      <c r="C914" t="str">
        <f t="shared" si="14"/>
        <v/>
      </c>
    </row>
    <row r="915" spans="1:3" x14ac:dyDescent="0.25">
      <c r="A915" s="175">
        <v>0.76</v>
      </c>
      <c r="B915" s="451">
        <v>2.4000000000000001E-4</v>
      </c>
      <c r="C915" t="str">
        <f t="shared" si="14"/>
        <v/>
      </c>
    </row>
    <row r="916" spans="1:3" x14ac:dyDescent="0.25">
      <c r="A916" s="175">
        <v>0.56000000000000005</v>
      </c>
      <c r="B916" s="451">
        <v>6.4999999999999997E-4</v>
      </c>
      <c r="C916" t="str">
        <f t="shared" si="14"/>
        <v/>
      </c>
    </row>
    <row r="917" spans="1:3" x14ac:dyDescent="0.25">
      <c r="A917" s="175">
        <v>1.21</v>
      </c>
      <c r="B917" s="451">
        <v>4.3499999999999997E-3</v>
      </c>
      <c r="C917" t="str">
        <f t="shared" si="14"/>
        <v/>
      </c>
    </row>
    <row r="918" spans="1:3" x14ac:dyDescent="0.25">
      <c r="A918" s="175">
        <v>1.28</v>
      </c>
      <c r="B918" s="451">
        <v>6.5199999999999998E-3</v>
      </c>
      <c r="C918" t="str">
        <f t="shared" si="14"/>
        <v/>
      </c>
    </row>
    <row r="919" spans="1:3" x14ac:dyDescent="0.25">
      <c r="A919" s="175">
        <v>1.26</v>
      </c>
      <c r="B919" s="451">
        <v>1.291E-2</v>
      </c>
      <c r="C919" t="str">
        <f t="shared" si="14"/>
        <v/>
      </c>
    </row>
    <row r="920" spans="1:3" x14ac:dyDescent="0.25">
      <c r="A920" s="175">
        <v>1.2</v>
      </c>
      <c r="B920" s="451">
        <v>7.2000000000000005E-4</v>
      </c>
      <c r="C920" t="str">
        <f t="shared" si="14"/>
        <v/>
      </c>
    </row>
    <row r="921" spans="1:3" x14ac:dyDescent="0.25">
      <c r="A921" s="175">
        <v>1.06</v>
      </c>
      <c r="B921" s="451">
        <v>6.6299999999999996E-3</v>
      </c>
      <c r="C921" t="str">
        <f t="shared" si="14"/>
        <v/>
      </c>
    </row>
    <row r="922" spans="1:3" x14ac:dyDescent="0.25">
      <c r="A922" s="175">
        <v>1.27</v>
      </c>
      <c r="B922" s="451">
        <v>4.6000000000000001E-4</v>
      </c>
      <c r="C922" t="str">
        <f t="shared" si="14"/>
        <v/>
      </c>
    </row>
    <row r="923" spans="1:3" x14ac:dyDescent="0.25">
      <c r="A923" s="175">
        <v>1.41</v>
      </c>
      <c r="B923" s="451">
        <v>1.452E-2</v>
      </c>
      <c r="C923" t="str">
        <f t="shared" si="14"/>
        <v/>
      </c>
    </row>
    <row r="924" spans="1:3" x14ac:dyDescent="0.25">
      <c r="A924" s="175">
        <v>1.61</v>
      </c>
      <c r="B924" s="451">
        <v>1.359E-2</v>
      </c>
      <c r="C924" t="str">
        <f t="shared" si="14"/>
        <v/>
      </c>
    </row>
    <row r="925" spans="1:3" x14ac:dyDescent="0.25">
      <c r="A925" s="175">
        <v>2.58</v>
      </c>
      <c r="B925" s="451">
        <v>5.4309999999999997E-2</v>
      </c>
      <c r="C925" t="str">
        <f t="shared" si="14"/>
        <v/>
      </c>
    </row>
    <row r="926" spans="1:3" x14ac:dyDescent="0.25">
      <c r="A926" s="175">
        <v>2.0499999999999998</v>
      </c>
      <c r="B926" s="451">
        <v>1.6789999999999999E-2</v>
      </c>
      <c r="C926" t="str">
        <f t="shared" si="14"/>
        <v/>
      </c>
    </row>
    <row r="927" spans="1:3" x14ac:dyDescent="0.25">
      <c r="A927" s="175">
        <v>2.2799999999999998</v>
      </c>
      <c r="B927" s="451">
        <v>1.8079999999999999E-2</v>
      </c>
      <c r="C927" t="str">
        <f t="shared" si="14"/>
        <v/>
      </c>
    </row>
    <row r="928" spans="1:3" x14ac:dyDescent="0.25">
      <c r="A928" s="175">
        <v>2.27</v>
      </c>
      <c r="B928" s="451">
        <v>1.4710000000000001E-2</v>
      </c>
      <c r="C928" t="str">
        <f t="shared" si="14"/>
        <v/>
      </c>
    </row>
    <row r="929" spans="1:3" x14ac:dyDescent="0.25">
      <c r="A929" s="175">
        <v>1.99</v>
      </c>
      <c r="B929" s="451">
        <v>8.8800000000000007E-3</v>
      </c>
      <c r="C929" t="str">
        <f t="shared" si="14"/>
        <v/>
      </c>
    </row>
    <row r="930" spans="1:3" x14ac:dyDescent="0.25">
      <c r="A930" s="175">
        <v>2.89</v>
      </c>
      <c r="B930" s="451">
        <v>3.95E-2</v>
      </c>
      <c r="C930" t="str">
        <f t="shared" si="14"/>
        <v/>
      </c>
    </row>
    <row r="931" spans="1:3" x14ac:dyDescent="0.25">
      <c r="A931" s="175">
        <v>2.48</v>
      </c>
      <c r="B931" s="451">
        <v>6.7400000000000003E-3</v>
      </c>
      <c r="C931" t="str">
        <f t="shared" si="14"/>
        <v/>
      </c>
    </row>
    <row r="932" spans="1:3" x14ac:dyDescent="0.25">
      <c r="A932" s="175">
        <v>2.91</v>
      </c>
      <c r="B932" s="451">
        <v>8.77E-3</v>
      </c>
      <c r="C932" t="str">
        <f t="shared" si="14"/>
        <v/>
      </c>
    </row>
    <row r="933" spans="1:3" x14ac:dyDescent="0.25">
      <c r="A933" s="175">
        <v>3.06</v>
      </c>
      <c r="B933" s="451">
        <v>0.10723000000000001</v>
      </c>
      <c r="C933" t="str">
        <f t="shared" si="14"/>
        <v/>
      </c>
    </row>
    <row r="934" spans="1:3" x14ac:dyDescent="0.25">
      <c r="A934" s="175">
        <v>2.91</v>
      </c>
      <c r="B934" s="451">
        <v>1.3169999999999999E-2</v>
      </c>
      <c r="C934" t="str">
        <f t="shared" si="14"/>
        <v/>
      </c>
    </row>
    <row r="935" spans="1:3" x14ac:dyDescent="0.25">
      <c r="A935" s="175">
        <v>1.92</v>
      </c>
      <c r="B935" s="451">
        <v>8.4000000000000003E-4</v>
      </c>
      <c r="C935" t="str">
        <f t="shared" si="14"/>
        <v/>
      </c>
    </row>
    <row r="936" spans="1:3" x14ac:dyDescent="0.25">
      <c r="A936" s="175">
        <v>1.92</v>
      </c>
      <c r="B936" s="451">
        <v>7.2999999999999996E-4</v>
      </c>
      <c r="C936" t="str">
        <f t="shared" si="14"/>
        <v/>
      </c>
    </row>
    <row r="937" spans="1:3" x14ac:dyDescent="0.25">
      <c r="A937" s="175">
        <v>2.1</v>
      </c>
      <c r="B937" s="451">
        <v>9.1900000000000003E-3</v>
      </c>
      <c r="C937" t="str">
        <f t="shared" si="14"/>
        <v/>
      </c>
    </row>
    <row r="938" spans="1:3" x14ac:dyDescent="0.25">
      <c r="A938" s="175">
        <v>1.96</v>
      </c>
      <c r="B938" s="451">
        <v>1.47E-3</v>
      </c>
      <c r="C938" t="str">
        <f t="shared" si="14"/>
        <v/>
      </c>
    </row>
    <row r="939" spans="1:3" x14ac:dyDescent="0.25">
      <c r="A939" s="175">
        <v>1.62</v>
      </c>
      <c r="B939" s="451">
        <v>1.5049999999999999E-2</v>
      </c>
      <c r="C939" t="str">
        <f t="shared" si="14"/>
        <v/>
      </c>
    </row>
    <row r="940" spans="1:3" x14ac:dyDescent="0.25">
      <c r="A940" s="175">
        <v>1.62</v>
      </c>
      <c r="B940" s="451">
        <v>3.63E-3</v>
      </c>
      <c r="C940" t="str">
        <f t="shared" si="14"/>
        <v/>
      </c>
    </row>
    <row r="941" spans="1:3" x14ac:dyDescent="0.25">
      <c r="A941" s="175">
        <v>1.4</v>
      </c>
      <c r="B941" s="451">
        <v>1.7999999999999999E-2</v>
      </c>
      <c r="C941" t="str">
        <f t="shared" si="14"/>
        <v/>
      </c>
    </row>
    <row r="942" spans="1:3" x14ac:dyDescent="0.25">
      <c r="A942" s="175">
        <v>1.1000000000000001</v>
      </c>
      <c r="B942" s="451">
        <v>6.4000000000000005E-4</v>
      </c>
      <c r="C942" t="str">
        <f t="shared" si="14"/>
        <v/>
      </c>
    </row>
    <row r="943" spans="1:3" x14ac:dyDescent="0.25">
      <c r="A943" s="175">
        <v>0.83</v>
      </c>
      <c r="B943" s="451">
        <v>3.8999999999999999E-4</v>
      </c>
      <c r="C943" t="str">
        <f t="shared" si="14"/>
        <v/>
      </c>
    </row>
    <row r="944" spans="1:3" x14ac:dyDescent="0.25">
      <c r="A944" s="175">
        <v>0.8</v>
      </c>
      <c r="B944" s="451">
        <v>1.58E-3</v>
      </c>
      <c r="C944" t="str">
        <f t="shared" si="14"/>
        <v/>
      </c>
    </row>
    <row r="945" spans="1:3" x14ac:dyDescent="0.25">
      <c r="A945" s="175">
        <v>0.71</v>
      </c>
      <c r="B945" s="451">
        <v>7.2999999999999996E-4</v>
      </c>
      <c r="C945" t="str">
        <f t="shared" si="14"/>
        <v/>
      </c>
    </row>
    <row r="946" spans="1:3" x14ac:dyDescent="0.25">
      <c r="A946" s="175">
        <v>1.98</v>
      </c>
      <c r="B946" s="451">
        <v>6.5500000000000003E-3</v>
      </c>
      <c r="C946" t="str">
        <f t="shared" si="14"/>
        <v/>
      </c>
    </row>
    <row r="947" spans="1:3" x14ac:dyDescent="0.25">
      <c r="A947" s="175">
        <v>2.88</v>
      </c>
      <c r="B947" s="451">
        <v>1.383E-2</v>
      </c>
      <c r="C947" t="str">
        <f t="shared" si="14"/>
        <v/>
      </c>
    </row>
    <row r="948" spans="1:3" x14ac:dyDescent="0.25">
      <c r="A948" s="175">
        <v>2.46</v>
      </c>
      <c r="B948" s="451">
        <v>6.1900000000000002E-3</v>
      </c>
      <c r="C948" t="str">
        <f t="shared" si="14"/>
        <v/>
      </c>
    </row>
    <row r="949" spans="1:3" x14ac:dyDescent="0.25">
      <c r="A949" s="175">
        <v>3.09</v>
      </c>
      <c r="B949" s="451">
        <v>8.9990000000000001E-2</v>
      </c>
      <c r="C949" t="str">
        <f t="shared" si="14"/>
        <v/>
      </c>
    </row>
    <row r="950" spans="1:3" x14ac:dyDescent="0.25">
      <c r="A950" s="175">
        <v>2.06</v>
      </c>
      <c r="B950" s="451">
        <v>1.2800000000000001E-3</v>
      </c>
      <c r="C950" t="str">
        <f t="shared" si="14"/>
        <v/>
      </c>
    </row>
    <row r="951" spans="1:3" x14ac:dyDescent="0.25">
      <c r="A951" s="175">
        <v>2.2599999999999998</v>
      </c>
      <c r="B951" s="451">
        <v>2.0999999999999999E-3</v>
      </c>
      <c r="C951" t="str">
        <f t="shared" si="14"/>
        <v/>
      </c>
    </row>
    <row r="952" spans="1:3" x14ac:dyDescent="0.25">
      <c r="A952" s="175">
        <v>2.0299999999999998</v>
      </c>
      <c r="B952" s="451">
        <v>9.6000000000000002E-4</v>
      </c>
      <c r="C952" t="str">
        <f t="shared" si="14"/>
        <v/>
      </c>
    </row>
    <row r="953" spans="1:3" x14ac:dyDescent="0.25">
      <c r="A953" s="175">
        <v>2.27</v>
      </c>
      <c r="B953" s="451">
        <v>5.3699999999999998E-3</v>
      </c>
      <c r="C953" t="str">
        <f t="shared" si="14"/>
        <v/>
      </c>
    </row>
    <row r="954" spans="1:3" x14ac:dyDescent="0.25">
      <c r="A954" s="175">
        <v>3.1</v>
      </c>
      <c r="B954" s="451">
        <v>3.3779999999999998E-2</v>
      </c>
      <c r="C954" t="str">
        <f t="shared" si="14"/>
        <v/>
      </c>
    </row>
    <row r="955" spans="1:3" x14ac:dyDescent="0.25">
      <c r="A955" s="175">
        <v>3.25</v>
      </c>
      <c r="B955" s="451">
        <v>5.3800000000000001E-2</v>
      </c>
      <c r="C955" t="str">
        <f t="shared" si="14"/>
        <v/>
      </c>
    </row>
    <row r="956" spans="1:3" x14ac:dyDescent="0.25">
      <c r="A956" s="175">
        <v>2.85</v>
      </c>
      <c r="B956" s="451">
        <v>7.5459999999999999E-2</v>
      </c>
      <c r="C956" t="str">
        <f t="shared" si="14"/>
        <v/>
      </c>
    </row>
    <row r="957" spans="1:3" x14ac:dyDescent="0.25">
      <c r="A957" s="175">
        <v>2.94</v>
      </c>
      <c r="B957" s="451">
        <v>1.133E-2</v>
      </c>
      <c r="C957" t="str">
        <f t="shared" si="14"/>
        <v/>
      </c>
    </row>
    <row r="958" spans="1:3" x14ac:dyDescent="0.25">
      <c r="A958" s="175">
        <v>2.39</v>
      </c>
      <c r="B958" s="451">
        <v>2.6800000000000001E-3</v>
      </c>
      <c r="C958" t="str">
        <f t="shared" si="14"/>
        <v/>
      </c>
    </row>
    <row r="959" spans="1:3" x14ac:dyDescent="0.25">
      <c r="A959" s="175">
        <v>1.93</v>
      </c>
      <c r="B959" s="451">
        <v>1.0499999999999999E-3</v>
      </c>
      <c r="C959" t="str">
        <f t="shared" si="14"/>
        <v/>
      </c>
    </row>
    <row r="960" spans="1:3" x14ac:dyDescent="0.25">
      <c r="A960" s="175">
        <v>1.37</v>
      </c>
      <c r="B960" s="451">
        <v>5.9000000000000003E-4</v>
      </c>
      <c r="C960" t="str">
        <f t="shared" si="14"/>
        <v/>
      </c>
    </row>
    <row r="961" spans="1:3" x14ac:dyDescent="0.25">
      <c r="A961" s="175">
        <v>1.38</v>
      </c>
      <c r="B961" s="451">
        <v>3.4000000000000002E-4</v>
      </c>
      <c r="C961" t="str">
        <f t="shared" si="14"/>
        <v/>
      </c>
    </row>
    <row r="962" spans="1:3" x14ac:dyDescent="0.25">
      <c r="A962" s="175">
        <v>1.1299999999999999</v>
      </c>
      <c r="B962" s="451">
        <v>1.7000000000000001E-4</v>
      </c>
      <c r="C962" t="str">
        <f t="shared" si="14"/>
        <v/>
      </c>
    </row>
    <row r="963" spans="1:3" x14ac:dyDescent="0.25">
      <c r="A963" s="175">
        <v>0.95</v>
      </c>
      <c r="B963" s="451">
        <v>3.4399999999999999E-3</v>
      </c>
      <c r="C963" t="str">
        <f t="shared" si="14"/>
        <v/>
      </c>
    </row>
    <row r="964" spans="1:3" x14ac:dyDescent="0.25">
      <c r="A964" s="175">
        <v>1.3</v>
      </c>
      <c r="B964" s="451">
        <v>1.5200000000000001E-3</v>
      </c>
      <c r="C964" t="str">
        <f t="shared" si="14"/>
        <v/>
      </c>
    </row>
    <row r="965" spans="1:3" x14ac:dyDescent="0.25">
      <c r="A965" s="175">
        <v>2.17</v>
      </c>
      <c r="B965" s="451">
        <v>6.2199999999999998E-3</v>
      </c>
      <c r="C965" t="str">
        <f t="shared" si="14"/>
        <v/>
      </c>
    </row>
    <row r="966" spans="1:3" x14ac:dyDescent="0.25">
      <c r="A966" s="175">
        <v>3.3</v>
      </c>
      <c r="B966" s="451">
        <v>6.0350000000000001E-2</v>
      </c>
      <c r="C966" t="str">
        <f t="shared" ref="C966:C1029" si="15">IF(B966=0,"XXXXXXXX","")</f>
        <v/>
      </c>
    </row>
    <row r="967" spans="1:3" x14ac:dyDescent="0.25">
      <c r="A967" s="175">
        <v>3.17</v>
      </c>
      <c r="B967" s="451">
        <v>3.2899999999999999E-2</v>
      </c>
      <c r="C967" t="str">
        <f t="shared" si="15"/>
        <v/>
      </c>
    </row>
    <row r="968" spans="1:3" x14ac:dyDescent="0.25">
      <c r="A968" s="175">
        <v>3.35</v>
      </c>
      <c r="B968" s="451">
        <v>2.6720000000000001E-2</v>
      </c>
      <c r="C968" t="str">
        <f t="shared" si="15"/>
        <v/>
      </c>
    </row>
    <row r="969" spans="1:3" x14ac:dyDescent="0.25">
      <c r="A969" s="175">
        <v>3.3</v>
      </c>
      <c r="B969" s="451">
        <v>3.005E-2</v>
      </c>
      <c r="C969" t="str">
        <f t="shared" si="15"/>
        <v/>
      </c>
    </row>
    <row r="970" spans="1:3" x14ac:dyDescent="0.25">
      <c r="A970" s="175">
        <v>2.72</v>
      </c>
      <c r="B970" s="451">
        <v>1.15E-2</v>
      </c>
      <c r="C970" t="str">
        <f t="shared" si="15"/>
        <v/>
      </c>
    </row>
    <row r="971" spans="1:3" x14ac:dyDescent="0.25">
      <c r="A971" s="175">
        <v>2.31</v>
      </c>
      <c r="B971" s="451">
        <v>4.8900000000000002E-3</v>
      </c>
      <c r="C971" t="str">
        <f t="shared" si="15"/>
        <v/>
      </c>
    </row>
    <row r="972" spans="1:3" x14ac:dyDescent="0.25">
      <c r="A972" s="175">
        <v>1.95</v>
      </c>
      <c r="B972" s="451">
        <v>2.2499999999999998E-3</v>
      </c>
      <c r="C972" t="str">
        <f t="shared" si="15"/>
        <v/>
      </c>
    </row>
    <row r="973" spans="1:3" x14ac:dyDescent="0.25">
      <c r="A973" s="175">
        <v>1.99</v>
      </c>
      <c r="B973" s="451">
        <v>2.5850000000000001E-2</v>
      </c>
      <c r="C973" t="str">
        <f t="shared" si="15"/>
        <v/>
      </c>
    </row>
    <row r="974" spans="1:3" x14ac:dyDescent="0.25">
      <c r="A974" s="175">
        <v>2.76</v>
      </c>
      <c r="B974" s="451">
        <v>3.8719999999999997E-2</v>
      </c>
      <c r="C974" t="str">
        <f t="shared" si="15"/>
        <v/>
      </c>
    </row>
    <row r="975" spans="1:3" x14ac:dyDescent="0.25">
      <c r="A975" s="175">
        <v>2.08</v>
      </c>
      <c r="B975" s="451">
        <v>1.2789999999999999E-2</v>
      </c>
      <c r="C975" t="str">
        <f t="shared" si="15"/>
        <v/>
      </c>
    </row>
    <row r="976" spans="1:3" x14ac:dyDescent="0.25">
      <c r="A976" s="175">
        <v>2.79</v>
      </c>
      <c r="B976" s="451">
        <v>5.5359999999999999E-2</v>
      </c>
      <c r="C976" t="str">
        <f t="shared" si="15"/>
        <v/>
      </c>
    </row>
    <row r="977" spans="1:3" x14ac:dyDescent="0.25">
      <c r="A977" s="175">
        <v>2.12</v>
      </c>
      <c r="B977" s="451">
        <v>2.49E-3</v>
      </c>
      <c r="C977" t="str">
        <f t="shared" si="15"/>
        <v/>
      </c>
    </row>
    <row r="978" spans="1:3" x14ac:dyDescent="0.25">
      <c r="A978" s="175">
        <v>2.04</v>
      </c>
      <c r="B978" s="451">
        <v>8.8500000000000002E-3</v>
      </c>
      <c r="C978" t="str">
        <f t="shared" si="15"/>
        <v/>
      </c>
    </row>
    <row r="979" spans="1:3" x14ac:dyDescent="0.25">
      <c r="A979" s="175">
        <v>2.59</v>
      </c>
      <c r="B979" s="451">
        <v>3.3400000000000001E-3</v>
      </c>
      <c r="C979" t="str">
        <f t="shared" si="15"/>
        <v/>
      </c>
    </row>
    <row r="980" spans="1:3" x14ac:dyDescent="0.25">
      <c r="A980" s="175">
        <v>2.31</v>
      </c>
      <c r="B980" s="451">
        <v>3.8E-3</v>
      </c>
      <c r="C980" t="str">
        <f t="shared" si="15"/>
        <v/>
      </c>
    </row>
    <row r="981" spans="1:3" x14ac:dyDescent="0.25">
      <c r="A981" s="175">
        <v>2.17</v>
      </c>
      <c r="B981" s="451">
        <v>1.6449999999999999E-2</v>
      </c>
      <c r="C981" t="str">
        <f t="shared" si="15"/>
        <v/>
      </c>
    </row>
    <row r="982" spans="1:3" x14ac:dyDescent="0.25">
      <c r="A982" s="175">
        <v>2.31</v>
      </c>
      <c r="B982" s="451">
        <v>2.2599999999999999E-3</v>
      </c>
      <c r="C982" t="str">
        <f t="shared" si="15"/>
        <v/>
      </c>
    </row>
    <row r="983" spans="1:3" x14ac:dyDescent="0.25">
      <c r="A983" s="175">
        <v>2.88</v>
      </c>
      <c r="B983" s="451">
        <v>2.3779999999999999E-2</v>
      </c>
      <c r="C983" t="str">
        <f t="shared" si="15"/>
        <v/>
      </c>
    </row>
    <row r="984" spans="1:3" x14ac:dyDescent="0.25">
      <c r="A984" s="175">
        <v>3.4</v>
      </c>
      <c r="B984" s="451">
        <v>5.5079999999999997E-2</v>
      </c>
      <c r="C984" t="str">
        <f t="shared" si="15"/>
        <v/>
      </c>
    </row>
    <row r="985" spans="1:3" x14ac:dyDescent="0.25">
      <c r="A985" s="175">
        <v>3.35</v>
      </c>
      <c r="B985" s="451">
        <v>3.6380000000000003E-2</v>
      </c>
      <c r="C985" t="str">
        <f t="shared" si="15"/>
        <v/>
      </c>
    </row>
    <row r="986" spans="1:3" x14ac:dyDescent="0.25">
      <c r="A986" s="175">
        <v>2.94</v>
      </c>
      <c r="B986" s="451">
        <v>2.2069999999999999E-2</v>
      </c>
      <c r="C986" t="str">
        <f t="shared" si="15"/>
        <v/>
      </c>
    </row>
    <row r="987" spans="1:3" x14ac:dyDescent="0.25">
      <c r="A987" s="175">
        <v>2.64</v>
      </c>
      <c r="B987" s="451">
        <v>5.1000000000000004E-3</v>
      </c>
      <c r="C987" t="str">
        <f t="shared" si="15"/>
        <v/>
      </c>
    </row>
    <row r="988" spans="1:3" x14ac:dyDescent="0.25">
      <c r="A988" s="175">
        <v>2.4500000000000002</v>
      </c>
      <c r="B988" s="451">
        <v>9.8700000000000003E-3</v>
      </c>
      <c r="C988" t="str">
        <f t="shared" si="15"/>
        <v/>
      </c>
    </row>
    <row r="989" spans="1:3" x14ac:dyDescent="0.25">
      <c r="A989" s="175">
        <v>2.69</v>
      </c>
      <c r="B989" s="451">
        <v>7.3299999999999997E-3</v>
      </c>
      <c r="C989" t="str">
        <f t="shared" si="15"/>
        <v/>
      </c>
    </row>
    <row r="990" spans="1:3" x14ac:dyDescent="0.25">
      <c r="A990" s="175">
        <v>2.4500000000000002</v>
      </c>
      <c r="B990" s="451">
        <v>1.694E-2</v>
      </c>
      <c r="C990" t="str">
        <f t="shared" si="15"/>
        <v/>
      </c>
    </row>
    <row r="991" spans="1:3" x14ac:dyDescent="0.25">
      <c r="A991" s="175">
        <v>2.21</v>
      </c>
      <c r="B991" s="451">
        <v>1.65E-3</v>
      </c>
      <c r="C991" t="str">
        <f t="shared" si="15"/>
        <v/>
      </c>
    </row>
    <row r="992" spans="1:3" x14ac:dyDescent="0.25">
      <c r="A992" s="175">
        <v>2.08</v>
      </c>
      <c r="B992" s="451">
        <v>1.1809999999999999E-2</v>
      </c>
      <c r="C992" t="str">
        <f t="shared" si="15"/>
        <v/>
      </c>
    </row>
    <row r="993" spans="1:3" x14ac:dyDescent="0.25">
      <c r="A993" s="193">
        <v>1.95</v>
      </c>
      <c r="B993" s="452">
        <v>6.8999999999999997E-4</v>
      </c>
      <c r="C993" t="str">
        <f t="shared" si="15"/>
        <v/>
      </c>
    </row>
    <row r="994" spans="1:3" x14ac:dyDescent="0.25">
      <c r="A994" s="210">
        <v>2.1585916890923817</v>
      </c>
      <c r="B994" s="453">
        <v>6.9600174753289478E-3</v>
      </c>
      <c r="C994" t="str">
        <f t="shared" si="15"/>
        <v/>
      </c>
    </row>
    <row r="995" spans="1:3" x14ac:dyDescent="0.25">
      <c r="A995" s="210">
        <v>2.3162789051904653</v>
      </c>
      <c r="B995" s="453">
        <v>1.3352165570175439E-2</v>
      </c>
      <c r="C995" t="str">
        <f t="shared" si="15"/>
        <v/>
      </c>
    </row>
    <row r="996" spans="1:3" x14ac:dyDescent="0.25">
      <c r="A996" s="210">
        <v>2.2026689851982209</v>
      </c>
      <c r="B996" s="453">
        <v>1.5637054550438602E-2</v>
      </c>
      <c r="C996" t="str">
        <f t="shared" si="15"/>
        <v/>
      </c>
    </row>
    <row r="997" spans="1:3" x14ac:dyDescent="0.25">
      <c r="A997" s="210">
        <v>1.929524699821799</v>
      </c>
      <c r="B997" s="453">
        <v>2.9575794956140356E-3</v>
      </c>
      <c r="C997" t="str">
        <f t="shared" si="15"/>
        <v/>
      </c>
    </row>
    <row r="998" spans="1:3" x14ac:dyDescent="0.25">
      <c r="A998" s="210">
        <v>1.6685749603933837</v>
      </c>
      <c r="B998" s="453">
        <v>1.6255139802631578E-3</v>
      </c>
      <c r="C998" t="str">
        <f t="shared" si="15"/>
        <v/>
      </c>
    </row>
    <row r="999" spans="1:3" x14ac:dyDescent="0.25">
      <c r="A999" s="210">
        <v>1.5998670727640885</v>
      </c>
      <c r="B999" s="453">
        <v>1.3693804824561405E-3</v>
      </c>
      <c r="C999" t="str">
        <f t="shared" si="15"/>
        <v/>
      </c>
    </row>
    <row r="1000" spans="1:3" x14ac:dyDescent="0.25">
      <c r="A1000" s="210">
        <v>1.7398166685053424</v>
      </c>
      <c r="B1000" s="453">
        <v>2.1394805372807022E-3</v>
      </c>
      <c r="C1000" t="str">
        <f t="shared" si="15"/>
        <v/>
      </c>
    </row>
    <row r="1001" spans="1:3" x14ac:dyDescent="0.25">
      <c r="A1001" s="210">
        <v>1.8902164784571094</v>
      </c>
      <c r="B1001" s="453">
        <v>3.0803728070175444E-3</v>
      </c>
      <c r="C1001" t="str">
        <f t="shared" si="15"/>
        <v/>
      </c>
    </row>
    <row r="1002" spans="1:3" x14ac:dyDescent="0.25">
      <c r="A1002" s="210">
        <v>2.020558502166649</v>
      </c>
      <c r="B1002" s="453">
        <v>6.1725054824561419E-3</v>
      </c>
      <c r="C1002" t="str">
        <f t="shared" si="15"/>
        <v/>
      </c>
    </row>
    <row r="1003" spans="1:3" x14ac:dyDescent="0.25">
      <c r="A1003" s="210">
        <v>2.0939045687398927</v>
      </c>
      <c r="B1003" s="453">
        <v>3.7579666940789486E-3</v>
      </c>
      <c r="C1003" t="str">
        <f t="shared" si="15"/>
        <v/>
      </c>
    </row>
    <row r="1004" spans="1:3" x14ac:dyDescent="0.25">
      <c r="A1004" s="210">
        <v>2.4107767483328448</v>
      </c>
      <c r="B1004" s="453">
        <v>9.109786184210527E-3</v>
      </c>
      <c r="C1004" t="str">
        <f t="shared" si="15"/>
        <v/>
      </c>
    </row>
    <row r="1005" spans="1:3" x14ac:dyDescent="0.25">
      <c r="A1005" s="210">
        <v>2.4107767483328448</v>
      </c>
      <c r="B1005" s="453">
        <v>1.0274414062500001E-2</v>
      </c>
      <c r="C1005" t="str">
        <f t="shared" si="15"/>
        <v/>
      </c>
    </row>
    <row r="1006" spans="1:3" x14ac:dyDescent="0.25">
      <c r="A1006" s="210">
        <v>2.6486599459985904</v>
      </c>
      <c r="B1006" s="453">
        <v>1.3073550575657898E-2</v>
      </c>
      <c r="C1006" t="str">
        <f t="shared" si="15"/>
        <v/>
      </c>
    </row>
    <row r="1007" spans="1:3" x14ac:dyDescent="0.25">
      <c r="A1007" s="210">
        <v>2.6748405143024607</v>
      </c>
      <c r="B1007" s="453">
        <v>1.0168996710526316E-2</v>
      </c>
      <c r="C1007" t="str">
        <f t="shared" si="15"/>
        <v/>
      </c>
    </row>
    <row r="1008" spans="1:3" x14ac:dyDescent="0.25">
      <c r="A1008" s="210">
        <v>2.7145303901494162</v>
      </c>
      <c r="B1008" s="453">
        <v>3.1621247944078952E-2</v>
      </c>
      <c r="C1008" t="str">
        <f t="shared" si="15"/>
        <v/>
      </c>
    </row>
    <row r="1009" spans="1:3" x14ac:dyDescent="0.25">
      <c r="A1009" s="210">
        <v>2.508586092966596</v>
      </c>
      <c r="B1009" s="453">
        <v>6.8424136513157907E-3</v>
      </c>
      <c r="C1009" t="str">
        <f t="shared" si="15"/>
        <v/>
      </c>
    </row>
    <row r="1010" spans="1:3" x14ac:dyDescent="0.25">
      <c r="A1010" s="210">
        <v>2.4107767483328448</v>
      </c>
      <c r="B1010" s="453">
        <v>1.0143092105263159E-2</v>
      </c>
      <c r="C1010" t="str">
        <f t="shared" si="15"/>
        <v/>
      </c>
    </row>
    <row r="1011" spans="1:3" x14ac:dyDescent="0.25">
      <c r="A1011" s="210">
        <v>2.4349148733914885</v>
      </c>
      <c r="B1011" s="453">
        <v>8.3006270559210539E-3</v>
      </c>
      <c r="C1011" t="str">
        <f t="shared" si="15"/>
        <v/>
      </c>
    </row>
    <row r="1012" spans="1:3" x14ac:dyDescent="0.25">
      <c r="A1012" s="210">
        <v>2.3162789051904653</v>
      </c>
      <c r="B1012" s="453">
        <v>6.1778885690789483E-3</v>
      </c>
      <c r="C1012" t="str">
        <f t="shared" si="15"/>
        <v/>
      </c>
    </row>
    <row r="1013" spans="1:3" x14ac:dyDescent="0.25">
      <c r="A1013" s="210">
        <v>2.2702420421926677</v>
      </c>
      <c r="B1013" s="453">
        <v>3.1211451480263157E-3</v>
      </c>
      <c r="C1013" t="str">
        <f t="shared" si="15"/>
        <v/>
      </c>
    </row>
    <row r="1014" spans="1:3" x14ac:dyDescent="0.25">
      <c r="A1014" s="210">
        <v>2.0939045687398927</v>
      </c>
      <c r="B1014" s="453">
        <v>2.0151624177631583E-3</v>
      </c>
      <c r="C1014" t="str">
        <f t="shared" si="15"/>
        <v/>
      </c>
    </row>
    <row r="1015" spans="1:3" x14ac:dyDescent="0.25">
      <c r="A1015" s="210">
        <v>2.0621937821255747</v>
      </c>
      <c r="B1015" s="453">
        <v>2.6778885690789478E-3</v>
      </c>
      <c r="C1015" t="str">
        <f t="shared" si="15"/>
        <v/>
      </c>
    </row>
    <row r="1016" spans="1:3" x14ac:dyDescent="0.25">
      <c r="A1016" s="210">
        <v>1.9594673172652741</v>
      </c>
      <c r="B1016" s="453">
        <v>2.160608552631579E-3</v>
      </c>
      <c r="C1016" t="str">
        <f t="shared" si="15"/>
        <v/>
      </c>
    </row>
    <row r="1017" spans="1:3" x14ac:dyDescent="0.25">
      <c r="A1017" s="210">
        <v>1.9594673172652741</v>
      </c>
      <c r="B1017" s="453">
        <v>1.4019188596491228E-3</v>
      </c>
      <c r="C1017" t="str">
        <f t="shared" si="15"/>
        <v/>
      </c>
    </row>
    <row r="1018" spans="1:3" x14ac:dyDescent="0.25">
      <c r="A1018" s="210">
        <v>1.8902164784571094</v>
      </c>
      <c r="B1018" s="453">
        <v>1.5881167763157897E-3</v>
      </c>
      <c r="C1018" t="str">
        <f t="shared" si="15"/>
        <v/>
      </c>
    </row>
    <row r="1019" spans="1:3" x14ac:dyDescent="0.25">
      <c r="A1019" s="210">
        <v>1.929524699821799</v>
      </c>
      <c r="B1019" s="453">
        <v>1.5033031798245616E-3</v>
      </c>
      <c r="C1019" t="str">
        <f t="shared" si="15"/>
        <v/>
      </c>
    </row>
    <row r="1020" spans="1:3" x14ac:dyDescent="0.25">
      <c r="A1020" s="210">
        <v>1.5664393848392899</v>
      </c>
      <c r="B1020" s="453">
        <v>1.5587290981359646E-3</v>
      </c>
      <c r="C1020" t="str">
        <f t="shared" si="15"/>
        <v/>
      </c>
    </row>
    <row r="1021" spans="1:3" x14ac:dyDescent="0.25">
      <c r="A1021" s="210">
        <v>1.5093910947366738</v>
      </c>
      <c r="B1021" s="453">
        <v>2.9035807291666669E-3</v>
      </c>
      <c r="C1021" t="str">
        <f t="shared" si="15"/>
        <v/>
      </c>
    </row>
    <row r="1022" spans="1:3" x14ac:dyDescent="0.25">
      <c r="A1022" s="210">
        <v>1.4697493202725795</v>
      </c>
      <c r="B1022" s="453">
        <v>1.8987801535087722E-3</v>
      </c>
      <c r="C1022" t="str">
        <f t="shared" si="15"/>
        <v/>
      </c>
    </row>
    <row r="1023" spans="1:3" x14ac:dyDescent="0.25">
      <c r="A1023" s="210">
        <v>1.4081923983407449</v>
      </c>
      <c r="B1023" s="453">
        <v>2.3350054824561404E-3</v>
      </c>
      <c r="C1023" t="str">
        <f t="shared" si="15"/>
        <v/>
      </c>
    </row>
    <row r="1024" spans="1:3" x14ac:dyDescent="0.25">
      <c r="A1024" s="210">
        <v>1.4081923983407449</v>
      </c>
      <c r="B1024" s="453">
        <v>3.4453330592105272E-3</v>
      </c>
      <c r="C1024" t="str">
        <f t="shared" si="15"/>
        <v/>
      </c>
    </row>
    <row r="1025" spans="1:3" x14ac:dyDescent="0.25">
      <c r="A1025" s="210">
        <v>1.3782581558277254</v>
      </c>
      <c r="B1025" s="453">
        <v>7.0041118421052624E-4</v>
      </c>
      <c r="C1025" t="str">
        <f t="shared" si="15"/>
        <v/>
      </c>
    </row>
    <row r="1026" spans="1:3" x14ac:dyDescent="0.25">
      <c r="A1026" s="210">
        <v>1.3488751116244124</v>
      </c>
      <c r="B1026" s="453">
        <v>2.663414884868421E-3</v>
      </c>
      <c r="C1026" t="str">
        <f t="shared" si="15"/>
        <v/>
      </c>
    </row>
    <row r="1027" spans="1:3" x14ac:dyDescent="0.25">
      <c r="A1027" s="210">
        <v>1.3200346926897266</v>
      </c>
      <c r="B1027" s="453">
        <v>6.8380962171052644E-4</v>
      </c>
      <c r="C1027" t="str">
        <f t="shared" si="15"/>
        <v/>
      </c>
    </row>
    <row r="1028" spans="1:3" x14ac:dyDescent="0.25">
      <c r="A1028" s="210">
        <v>1.3200346926897266</v>
      </c>
      <c r="B1028" s="453">
        <v>2.8830797697368417E-3</v>
      </c>
      <c r="C1028" t="str">
        <f t="shared" si="15"/>
        <v/>
      </c>
    </row>
    <row r="1029" spans="1:3" x14ac:dyDescent="0.25">
      <c r="A1029" s="210">
        <v>1.2639479807808942</v>
      </c>
      <c r="B1029" s="453">
        <v>5.3789062500000007E-4</v>
      </c>
      <c r="C1029" t="str">
        <f t="shared" si="15"/>
        <v/>
      </c>
    </row>
    <row r="1030" spans="1:3" x14ac:dyDescent="0.25">
      <c r="A1030" s="210">
        <v>1.2366850808614298</v>
      </c>
      <c r="B1030" s="453">
        <v>7.9565172697368424E-4</v>
      </c>
      <c r="C1030" t="str">
        <f t="shared" ref="C1030:C1093" si="16">IF(B1030=0,"XXXXXXXX","")</f>
        <v/>
      </c>
    </row>
    <row r="1031" spans="1:3" x14ac:dyDescent="0.25">
      <c r="A1031" s="210">
        <v>1.2099315902155392</v>
      </c>
      <c r="B1031" s="453">
        <v>7.3763363486842098E-4</v>
      </c>
      <c r="C1031" t="str">
        <f t="shared" si="16"/>
        <v/>
      </c>
    </row>
    <row r="1032" spans="1:3" x14ac:dyDescent="0.25">
      <c r="A1032" s="210">
        <v>1.2099315902155392</v>
      </c>
      <c r="B1032" s="453">
        <v>4.786492598684211E-4</v>
      </c>
      <c r="C1032" t="str">
        <f t="shared" si="16"/>
        <v/>
      </c>
    </row>
    <row r="1033" spans="1:3" x14ac:dyDescent="0.25">
      <c r="A1033" s="210">
        <v>1.1836794686256866</v>
      </c>
      <c r="B1033" s="453">
        <v>3.8882606907894736E-4</v>
      </c>
      <c r="C1033" t="str">
        <f t="shared" si="16"/>
        <v/>
      </c>
    </row>
    <row r="1034" spans="1:3" x14ac:dyDescent="0.25">
      <c r="A1034" s="210">
        <v>1.1579207793077941</v>
      </c>
      <c r="B1034" s="453">
        <v>7.0792557565789482E-4</v>
      </c>
      <c r="C1034" t="str">
        <f t="shared" si="16"/>
        <v/>
      </c>
    </row>
    <row r="1035" spans="1:3" x14ac:dyDescent="0.25">
      <c r="A1035" s="210">
        <v>1.1579207793077941</v>
      </c>
      <c r="B1035" s="453">
        <v>4.6274671052631573E-4</v>
      </c>
      <c r="C1035" t="str">
        <f t="shared" si="16"/>
        <v/>
      </c>
    </row>
    <row r="1036" spans="1:3" x14ac:dyDescent="0.25">
      <c r="A1036" s="210">
        <v>1.1579207793077941</v>
      </c>
      <c r="B1036" s="453">
        <v>9.4157072368421051E-4</v>
      </c>
      <c r="C1036" t="str">
        <f t="shared" si="16"/>
        <v/>
      </c>
    </row>
    <row r="1037" spans="1:3" x14ac:dyDescent="0.25">
      <c r="A1037" s="210">
        <v>1.0537710214427103</v>
      </c>
      <c r="B1037" s="453">
        <v>2.5915912828947368E-4</v>
      </c>
      <c r="C1037" t="str">
        <f t="shared" si="16"/>
        <v/>
      </c>
    </row>
    <row r="1038" spans="1:3" x14ac:dyDescent="0.25">
      <c r="A1038" s="210">
        <v>1.0362581409062128</v>
      </c>
      <c r="B1038" s="453">
        <v>2.0393708881578948E-4</v>
      </c>
      <c r="C1038" t="str">
        <f t="shared" si="16"/>
        <v/>
      </c>
    </row>
    <row r="1039" spans="1:3" x14ac:dyDescent="0.25">
      <c r="A1039" s="210">
        <v>1.0132990365369481</v>
      </c>
      <c r="B1039" s="453">
        <v>3.4041940789473688E-4</v>
      </c>
      <c r="C1039" t="str">
        <f t="shared" si="16"/>
        <v/>
      </c>
    </row>
    <row r="1040" spans="1:3" x14ac:dyDescent="0.25">
      <c r="A1040" s="210">
        <v>1.0132990365369481</v>
      </c>
      <c r="B1040" s="453">
        <v>4.6851356907894742E-4</v>
      </c>
      <c r="C1040" t="str">
        <f t="shared" si="16"/>
        <v/>
      </c>
    </row>
    <row r="1041" spans="1:3" x14ac:dyDescent="0.25">
      <c r="A1041" s="210">
        <v>0.96869573878650839</v>
      </c>
      <c r="B1041" s="453">
        <v>1.3854440789473684E-3</v>
      </c>
      <c r="C1041" t="str">
        <f t="shared" si="16"/>
        <v/>
      </c>
    </row>
    <row r="1042" spans="1:3" x14ac:dyDescent="0.25">
      <c r="A1042" s="210">
        <v>0.96869573878650839</v>
      </c>
      <c r="B1042" s="453">
        <v>1.3728618421052633E-3</v>
      </c>
      <c r="C1042" t="str">
        <f t="shared" si="16"/>
        <v/>
      </c>
    </row>
    <row r="1043" spans="1:3" x14ac:dyDescent="0.25">
      <c r="A1043" s="210">
        <v>0.89982943002204352</v>
      </c>
      <c r="B1043" s="453">
        <v>1.6044099506578946E-3</v>
      </c>
      <c r="C1043" t="str">
        <f t="shared" si="16"/>
        <v/>
      </c>
    </row>
    <row r="1044" spans="1:3" x14ac:dyDescent="0.25">
      <c r="A1044" s="210">
        <v>0.84490242342695765</v>
      </c>
      <c r="B1044" s="453">
        <v>6.7821751644736854E-4</v>
      </c>
      <c r="C1044" t="str">
        <f t="shared" si="16"/>
        <v/>
      </c>
    </row>
    <row r="1045" spans="1:3" x14ac:dyDescent="0.25">
      <c r="A1045" s="210">
        <v>0.82566005733674797</v>
      </c>
      <c r="B1045" s="453">
        <v>9.0120271381578928E-4</v>
      </c>
      <c r="C1045" t="str">
        <f t="shared" si="16"/>
        <v/>
      </c>
    </row>
    <row r="1046" spans="1:3" x14ac:dyDescent="0.25">
      <c r="A1046" s="210">
        <v>0.80679738563566117</v>
      </c>
      <c r="B1046" s="453">
        <v>3.7187500000000003E-4</v>
      </c>
      <c r="C1046" t="str">
        <f t="shared" si="16"/>
        <v/>
      </c>
    </row>
    <row r="1047" spans="1:3" x14ac:dyDescent="0.25">
      <c r="A1047" s="210">
        <v>0.80679738563566117</v>
      </c>
      <c r="B1047" s="453">
        <v>6.1303453947368419E-4</v>
      </c>
      <c r="C1047" t="str">
        <f t="shared" si="16"/>
        <v/>
      </c>
    </row>
    <row r="1048" spans="1:3" x14ac:dyDescent="0.25">
      <c r="A1048" s="210">
        <v>0.77018589231966461</v>
      </c>
      <c r="B1048" s="453">
        <v>4.7358141447368431E-4</v>
      </c>
      <c r="C1048" t="str">
        <f t="shared" si="16"/>
        <v/>
      </c>
    </row>
    <row r="1049" spans="1:3" x14ac:dyDescent="0.25">
      <c r="A1049" s="210">
        <v>0.77018589231966461</v>
      </c>
      <c r="B1049" s="453">
        <v>3.1857524671052628E-4</v>
      </c>
      <c r="C1049" t="str">
        <f t="shared" si="16"/>
        <v/>
      </c>
    </row>
    <row r="1050" spans="1:3" x14ac:dyDescent="0.25">
      <c r="A1050" s="210">
        <v>0.75683146773355336</v>
      </c>
      <c r="B1050" s="453">
        <v>2.9952713815789475E-4</v>
      </c>
      <c r="C1050" t="str">
        <f t="shared" si="16"/>
        <v/>
      </c>
    </row>
    <row r="1051" spans="1:3" x14ac:dyDescent="0.25">
      <c r="A1051" s="210">
        <v>0.75683146773355336</v>
      </c>
      <c r="B1051" s="453">
        <v>1.7772409539473688E-4</v>
      </c>
      <c r="C1051" t="str">
        <f t="shared" si="16"/>
        <v/>
      </c>
    </row>
    <row r="1052" spans="1:3" x14ac:dyDescent="0.25">
      <c r="A1052" s="210">
        <v>0.75242466831576016</v>
      </c>
      <c r="B1052" s="453">
        <v>4.4527138157894738E-4</v>
      </c>
      <c r="C1052" t="str">
        <f t="shared" si="16"/>
        <v/>
      </c>
    </row>
    <row r="1053" spans="1:3" x14ac:dyDescent="0.25">
      <c r="A1053" s="210">
        <v>0.73501833212493606</v>
      </c>
      <c r="B1053" s="453">
        <v>3.9406866776315789E-4</v>
      </c>
      <c r="C1053" t="str">
        <f t="shared" si="16"/>
        <v/>
      </c>
    </row>
    <row r="1054" spans="1:3" x14ac:dyDescent="0.25">
      <c r="A1054" s="187">
        <v>1.69</v>
      </c>
      <c r="B1054" s="453">
        <v>2.0472222222222153E-6</v>
      </c>
      <c r="C1054" t="str">
        <f t="shared" si="16"/>
        <v/>
      </c>
    </row>
    <row r="1055" spans="1:3" x14ac:dyDescent="0.25">
      <c r="A1055" s="187">
        <v>6.85</v>
      </c>
      <c r="B1055" s="453">
        <v>1.0051111111112001E-4</v>
      </c>
      <c r="C1055" t="str">
        <f t="shared" si="16"/>
        <v/>
      </c>
    </row>
    <row r="1056" spans="1:3" x14ac:dyDescent="0.25">
      <c r="A1056" s="187">
        <v>8.41</v>
      </c>
      <c r="B1056" s="453">
        <v>3.1827499999999829E-4</v>
      </c>
      <c r="C1056" t="str">
        <f t="shared" si="16"/>
        <v/>
      </c>
    </row>
    <row r="1057" spans="1:3" x14ac:dyDescent="0.25">
      <c r="A1057" s="187">
        <v>8.99</v>
      </c>
      <c r="B1057" s="453">
        <v>8.5819444444444937E-5</v>
      </c>
      <c r="C1057" t="str">
        <f t="shared" si="16"/>
        <v/>
      </c>
    </row>
    <row r="1058" spans="1:3" x14ac:dyDescent="0.25">
      <c r="A1058" s="187">
        <v>10.48</v>
      </c>
      <c r="B1058" s="453">
        <v>1.8672777777776353E-4</v>
      </c>
      <c r="C1058" t="str">
        <f t="shared" si="16"/>
        <v/>
      </c>
    </row>
    <row r="1059" spans="1:3" x14ac:dyDescent="0.25">
      <c r="A1059" s="187">
        <v>12.12</v>
      </c>
      <c r="B1059" s="453">
        <v>4.510527777778022E-4</v>
      </c>
      <c r="C1059" t="str">
        <f t="shared" si="16"/>
        <v/>
      </c>
    </row>
    <row r="1060" spans="1:3" x14ac:dyDescent="0.25">
      <c r="A1060" s="187">
        <v>9.9700000000000006</v>
      </c>
      <c r="B1060" s="453">
        <v>1.0691388888888123E-4</v>
      </c>
      <c r="C1060" t="str">
        <f t="shared" si="16"/>
        <v/>
      </c>
    </row>
    <row r="1061" spans="1:3" x14ac:dyDescent="0.25">
      <c r="A1061" s="187">
        <v>9.67</v>
      </c>
      <c r="B1061" s="453">
        <v>5.1658333333329044E-5</v>
      </c>
      <c r="C1061" t="str">
        <f t="shared" si="16"/>
        <v/>
      </c>
    </row>
    <row r="1062" spans="1:3" x14ac:dyDescent="0.25">
      <c r="A1062" s="187">
        <v>10.19</v>
      </c>
      <c r="B1062" s="453">
        <v>7.173055555556205E-5</v>
      </c>
      <c r="C1062" t="str">
        <f t="shared" si="16"/>
        <v/>
      </c>
    </row>
    <row r="1063" spans="1:3" x14ac:dyDescent="0.25">
      <c r="A1063" s="187">
        <v>10.82</v>
      </c>
      <c r="B1063" s="453">
        <v>2.2766944444443918E-4</v>
      </c>
      <c r="C1063" t="str">
        <f t="shared" si="16"/>
        <v/>
      </c>
    </row>
    <row r="1064" spans="1:3" x14ac:dyDescent="0.25">
      <c r="A1064" s="187">
        <v>9.64</v>
      </c>
      <c r="B1064" s="453">
        <v>1.4608611111110642E-4</v>
      </c>
      <c r="C1064" t="str">
        <f t="shared" si="16"/>
        <v/>
      </c>
    </row>
    <row r="1065" spans="1:3" x14ac:dyDescent="0.25">
      <c r="A1065" s="187">
        <v>9.3699999999999992</v>
      </c>
      <c r="B1065" s="453">
        <v>8.2222222222214981E-5</v>
      </c>
      <c r="C1065" t="str">
        <f t="shared" si="16"/>
        <v/>
      </c>
    </row>
    <row r="1066" spans="1:3" x14ac:dyDescent="0.25">
      <c r="A1066" s="187">
        <v>10.68</v>
      </c>
      <c r="B1066" s="453">
        <v>1.138611111111107E-4</v>
      </c>
      <c r="C1066" t="str">
        <f t="shared" si="16"/>
        <v/>
      </c>
    </row>
    <row r="1067" spans="1:3" x14ac:dyDescent="0.25">
      <c r="A1067" s="187">
        <v>12.49</v>
      </c>
      <c r="B1067" s="453">
        <v>4.6193333333331785E-4</v>
      </c>
      <c r="C1067" t="str">
        <f t="shared" si="16"/>
        <v/>
      </c>
    </row>
    <row r="1068" spans="1:3" x14ac:dyDescent="0.25">
      <c r="A1068" s="187">
        <v>12.26</v>
      </c>
      <c r="B1068" s="453">
        <v>3.6056388888888654E-4</v>
      </c>
      <c r="C1068" t="str">
        <f t="shared" si="16"/>
        <v/>
      </c>
    </row>
    <row r="1069" spans="1:3" x14ac:dyDescent="0.25">
      <c r="A1069" s="187">
        <v>13.67</v>
      </c>
      <c r="B1069" s="453">
        <v>7.3317777777777784E-4</v>
      </c>
      <c r="C1069" t="str">
        <f t="shared" si="16"/>
        <v/>
      </c>
    </row>
    <row r="1070" spans="1:3" x14ac:dyDescent="0.25">
      <c r="A1070" s="187">
        <v>14.51</v>
      </c>
      <c r="B1070" s="453">
        <v>1.5948138888887647E-3</v>
      </c>
      <c r="C1070" t="str">
        <f t="shared" si="16"/>
        <v/>
      </c>
    </row>
    <row r="1071" spans="1:3" x14ac:dyDescent="0.25">
      <c r="A1071" s="187">
        <v>10.99</v>
      </c>
      <c r="B1071" s="453">
        <v>2.035083333333246E-4</v>
      </c>
      <c r="C1071" t="str">
        <f t="shared" si="16"/>
        <v/>
      </c>
    </row>
    <row r="1072" spans="1:3" x14ac:dyDescent="0.25">
      <c r="A1072" s="187">
        <v>10.08</v>
      </c>
      <c r="B1072" s="453">
        <v>4.0444444444442825E-5</v>
      </c>
      <c r="C1072" t="str">
        <f t="shared" si="16"/>
        <v/>
      </c>
    </row>
    <row r="1073" spans="1:3" x14ac:dyDescent="0.25">
      <c r="A1073" s="187">
        <v>8.61</v>
      </c>
      <c r="B1073" s="453">
        <v>1.6113888888888998E-5</v>
      </c>
      <c r="C1073" t="str">
        <f t="shared" si="16"/>
        <v/>
      </c>
    </row>
    <row r="1074" spans="1:3" x14ac:dyDescent="0.25">
      <c r="A1074" s="187">
        <v>5.13</v>
      </c>
      <c r="B1074" s="453">
        <v>6.8916666666665273E-6</v>
      </c>
      <c r="C1074" t="str">
        <f t="shared" si="16"/>
        <v/>
      </c>
    </row>
    <row r="1075" spans="1:3" x14ac:dyDescent="0.25">
      <c r="A1075" s="186">
        <v>4.2</v>
      </c>
      <c r="B1075" s="453">
        <v>4.428333333333333E-5</v>
      </c>
      <c r="C1075" t="str">
        <f t="shared" si="16"/>
        <v/>
      </c>
    </row>
    <row r="1076" spans="1:3" x14ac:dyDescent="0.25">
      <c r="A1076" s="186">
        <v>5.42</v>
      </c>
      <c r="B1076" s="453">
        <v>6.3183333333333342E-5</v>
      </c>
      <c r="C1076" t="str">
        <f t="shared" si="16"/>
        <v/>
      </c>
    </row>
    <row r="1077" spans="1:3" x14ac:dyDescent="0.25">
      <c r="A1077" s="186">
        <v>6.36</v>
      </c>
      <c r="B1077" s="453">
        <v>1.3154444444444445E-4</v>
      </c>
      <c r="C1077" t="str">
        <f t="shared" si="16"/>
        <v/>
      </c>
    </row>
    <row r="1078" spans="1:3" x14ac:dyDescent="0.25">
      <c r="A1078" s="186">
        <v>9.56</v>
      </c>
      <c r="B1078" s="453">
        <v>3.7930194444444447E-3</v>
      </c>
      <c r="C1078" t="str">
        <f t="shared" si="16"/>
        <v/>
      </c>
    </row>
    <row r="1079" spans="1:3" x14ac:dyDescent="0.25">
      <c r="A1079" s="186">
        <v>10.59</v>
      </c>
      <c r="B1079" s="453">
        <v>1.8817555555555555E-3</v>
      </c>
      <c r="C1079" t="str">
        <f t="shared" si="16"/>
        <v/>
      </c>
    </row>
    <row r="1080" spans="1:3" x14ac:dyDescent="0.25">
      <c r="A1080" s="186">
        <v>11.21</v>
      </c>
      <c r="B1080" s="453">
        <v>8.9030555555555553E-4</v>
      </c>
      <c r="C1080" t="str">
        <f t="shared" si="16"/>
        <v/>
      </c>
    </row>
    <row r="1081" spans="1:3" x14ac:dyDescent="0.25">
      <c r="A1081" s="186">
        <v>9.75</v>
      </c>
      <c r="B1081" s="453">
        <v>8.7734222222222221E-4</v>
      </c>
      <c r="C1081" t="str">
        <f t="shared" si="16"/>
        <v/>
      </c>
    </row>
    <row r="1082" spans="1:3" x14ac:dyDescent="0.25">
      <c r="A1082" s="186">
        <v>11.74</v>
      </c>
      <c r="B1082" s="453">
        <v>2.4162569444444444E-3</v>
      </c>
      <c r="C1082" t="str">
        <f t="shared" si="16"/>
        <v/>
      </c>
    </row>
    <row r="1083" spans="1:3" x14ac:dyDescent="0.25">
      <c r="A1083" s="186">
        <v>7.77</v>
      </c>
      <c r="B1083" s="453">
        <v>2.8396222222222225E-4</v>
      </c>
      <c r="C1083" t="str">
        <f t="shared" si="16"/>
        <v/>
      </c>
    </row>
    <row r="1084" spans="1:3" x14ac:dyDescent="0.25">
      <c r="A1084" s="186">
        <v>9.56</v>
      </c>
      <c r="B1084" s="453">
        <v>3.5064833333333333E-4</v>
      </c>
      <c r="C1084" t="str">
        <f t="shared" si="16"/>
        <v/>
      </c>
    </row>
    <row r="1085" spans="1:3" x14ac:dyDescent="0.25">
      <c r="A1085" s="186">
        <v>9.65</v>
      </c>
      <c r="B1085" s="453">
        <v>6.0413583333333333E-4</v>
      </c>
      <c r="C1085" t="str">
        <f t="shared" si="16"/>
        <v/>
      </c>
    </row>
    <row r="1086" spans="1:3" x14ac:dyDescent="0.25">
      <c r="A1086" s="186">
        <v>12.89</v>
      </c>
      <c r="B1086" s="453">
        <v>1.0135555555555556E-4</v>
      </c>
      <c r="C1086" t="str">
        <f t="shared" si="16"/>
        <v/>
      </c>
    </row>
    <row r="1087" spans="1:3" x14ac:dyDescent="0.25">
      <c r="A1087" s="186">
        <v>9.65</v>
      </c>
      <c r="B1087" s="453">
        <v>2.1545277777777778E-3</v>
      </c>
      <c r="C1087" t="str">
        <f t="shared" si="16"/>
        <v/>
      </c>
    </row>
    <row r="1088" spans="1:3" x14ac:dyDescent="0.25">
      <c r="A1088" s="186">
        <v>9.56</v>
      </c>
      <c r="B1088" s="453">
        <v>2.1690427777777779E-3</v>
      </c>
      <c r="C1088" t="str">
        <f t="shared" si="16"/>
        <v/>
      </c>
    </row>
    <row r="1089" spans="1:3" x14ac:dyDescent="0.25">
      <c r="A1089" s="186">
        <v>13.02</v>
      </c>
      <c r="B1089" s="453">
        <v>9.8825555555555556E-5</v>
      </c>
      <c r="C1089" t="str">
        <f t="shared" si="16"/>
        <v/>
      </c>
    </row>
    <row r="1090" spans="1:3" x14ac:dyDescent="0.25">
      <c r="A1090" s="186">
        <v>13.22</v>
      </c>
      <c r="B1090" s="453">
        <v>1.0525505555555555E-3</v>
      </c>
      <c r="C1090" t="str">
        <f t="shared" si="16"/>
        <v/>
      </c>
    </row>
    <row r="1091" spans="1:3" x14ac:dyDescent="0.25">
      <c r="A1091" s="186">
        <v>14.14</v>
      </c>
      <c r="B1091" s="453">
        <v>6.4214666666666666E-4</v>
      </c>
      <c r="C1091" t="str">
        <f t="shared" si="16"/>
        <v/>
      </c>
    </row>
    <row r="1092" spans="1:3" x14ac:dyDescent="0.25">
      <c r="A1092" s="186">
        <v>15.04</v>
      </c>
      <c r="B1092" s="453">
        <v>2.4043127777777775E-3</v>
      </c>
      <c r="C1092" t="str">
        <f t="shared" si="16"/>
        <v/>
      </c>
    </row>
    <row r="1093" spans="1:3" x14ac:dyDescent="0.25">
      <c r="A1093" s="186">
        <v>10.98</v>
      </c>
      <c r="B1093" s="453">
        <v>1.8394408333333335E-3</v>
      </c>
      <c r="C1093" t="str">
        <f t="shared" si="16"/>
        <v/>
      </c>
    </row>
    <row r="1094" spans="1:3" x14ac:dyDescent="0.25">
      <c r="A1094" s="186">
        <v>7.38</v>
      </c>
      <c r="B1094" s="453">
        <v>1.9331172222222222E-3</v>
      </c>
      <c r="C1094" t="str">
        <f t="shared" ref="C1094:C1157" si="17">IF(B1094=0,"XXXXXXXX","")</f>
        <v/>
      </c>
    </row>
    <row r="1095" spans="1:3" x14ac:dyDescent="0.25">
      <c r="A1095" s="186">
        <v>7.01</v>
      </c>
      <c r="B1095" s="453">
        <v>1.9654194444444443E-3</v>
      </c>
      <c r="C1095" t="str">
        <f t="shared" si="17"/>
        <v/>
      </c>
    </row>
    <row r="1096" spans="1:3" x14ac:dyDescent="0.25">
      <c r="A1096" s="186">
        <v>6.66</v>
      </c>
      <c r="B1096" s="453">
        <v>2.844652777777778E-4</v>
      </c>
      <c r="C1096" t="str">
        <f t="shared" si="17"/>
        <v/>
      </c>
    </row>
    <row r="1097" spans="1:3" x14ac:dyDescent="0.25">
      <c r="A1097" s="186">
        <v>5.2</v>
      </c>
      <c r="B1097" s="453">
        <v>4.6344444444444449E-6</v>
      </c>
      <c r="C1097" t="str">
        <f t="shared" si="17"/>
        <v/>
      </c>
    </row>
    <row r="1098" spans="1:3" x14ac:dyDescent="0.25">
      <c r="A1098" s="186">
        <v>6.33</v>
      </c>
      <c r="B1098" s="453">
        <v>5.2288888888888895E-6</v>
      </c>
      <c r="C1098" t="str">
        <f t="shared" si="17"/>
        <v/>
      </c>
    </row>
    <row r="1099" spans="1:3" x14ac:dyDescent="0.25">
      <c r="A1099" s="186">
        <v>5.71</v>
      </c>
      <c r="B1099" s="453">
        <v>1.2855555555555556E-6</v>
      </c>
      <c r="C1099" t="str">
        <f t="shared" si="17"/>
        <v/>
      </c>
    </row>
    <row r="1100" spans="1:3" x14ac:dyDescent="0.25">
      <c r="A1100" s="186">
        <v>4.1900000000000004</v>
      </c>
      <c r="B1100" s="453">
        <v>2.8944444444444444E-7</v>
      </c>
      <c r="C1100" t="str">
        <f t="shared" si="17"/>
        <v/>
      </c>
    </row>
    <row r="1101" spans="1:3" x14ac:dyDescent="0.25">
      <c r="A1101" s="186">
        <v>4.08</v>
      </c>
      <c r="B1101" s="453">
        <v>5.9250000000000004E-7</v>
      </c>
      <c r="C1101" t="str">
        <f t="shared" si="17"/>
        <v/>
      </c>
    </row>
    <row r="1102" spans="1:3" x14ac:dyDescent="0.25">
      <c r="A1102" s="186">
        <v>3.98</v>
      </c>
      <c r="B1102" s="453">
        <v>2.6916666666666665E-7</v>
      </c>
      <c r="C1102" t="str">
        <f t="shared" si="17"/>
        <v/>
      </c>
    </row>
    <row r="1103" spans="1:3" x14ac:dyDescent="0.25">
      <c r="A1103" s="186">
        <v>4.34</v>
      </c>
      <c r="B1103" s="453">
        <v>3.7833333333333335E-7</v>
      </c>
      <c r="C1103" t="str">
        <f t="shared" si="17"/>
        <v/>
      </c>
    </row>
    <row r="1104" spans="1:3" x14ac:dyDescent="0.25">
      <c r="A1104" s="186">
        <v>4.34</v>
      </c>
      <c r="B1104" s="453">
        <v>5.5166666666666664E-7</v>
      </c>
      <c r="C1104" t="str">
        <f t="shared" si="17"/>
        <v/>
      </c>
    </row>
    <row r="1105" spans="1:3" x14ac:dyDescent="0.25">
      <c r="A1105" s="186">
        <v>3.86</v>
      </c>
      <c r="B1105" s="453">
        <v>1.9472222222222222E-7</v>
      </c>
      <c r="C1105" t="str">
        <f t="shared" si="17"/>
        <v/>
      </c>
    </row>
    <row r="1106" spans="1:3" x14ac:dyDescent="0.25">
      <c r="A1106" s="186">
        <v>3.96</v>
      </c>
      <c r="B1106" s="453">
        <v>3.9750000000000001E-7</v>
      </c>
      <c r="C1106" t="str">
        <f t="shared" si="17"/>
        <v/>
      </c>
    </row>
    <row r="1107" spans="1:3" x14ac:dyDescent="0.25">
      <c r="A1107" s="186">
        <v>3.84</v>
      </c>
      <c r="B1107" s="453">
        <v>3.0361111111111109E-7</v>
      </c>
      <c r="C1107" t="str">
        <f t="shared" si="17"/>
        <v/>
      </c>
    </row>
    <row r="1108" spans="1:3" x14ac:dyDescent="0.25">
      <c r="A1108" s="186">
        <v>8.6039999999999992</v>
      </c>
      <c r="B1108" s="453">
        <v>1.8794253361731399E-5</v>
      </c>
      <c r="C1108" t="str">
        <f t="shared" si="17"/>
        <v/>
      </c>
    </row>
    <row r="1109" spans="1:3" x14ac:dyDescent="0.25">
      <c r="A1109" s="186">
        <v>9.9440000000000008</v>
      </c>
      <c r="B1109" s="453">
        <v>4.824075662903038E-6</v>
      </c>
      <c r="C1109" t="str">
        <f t="shared" si="17"/>
        <v/>
      </c>
    </row>
    <row r="1110" spans="1:3" x14ac:dyDescent="0.25">
      <c r="A1110" s="186">
        <v>11.278</v>
      </c>
      <c r="B1110" s="453">
        <v>1.2505253197142429E-5</v>
      </c>
      <c r="C1110" t="str">
        <f t="shared" si="17"/>
        <v/>
      </c>
    </row>
    <row r="1111" spans="1:3" x14ac:dyDescent="0.25">
      <c r="A1111" s="186">
        <v>12.611000000000001</v>
      </c>
      <c r="B1111" s="453">
        <v>8.5402050315723464E-5</v>
      </c>
      <c r="C1111" t="str">
        <f t="shared" si="17"/>
        <v/>
      </c>
    </row>
    <row r="1112" spans="1:3" x14ac:dyDescent="0.25">
      <c r="A1112" s="186">
        <v>12.611000000000001</v>
      </c>
      <c r="B1112" s="453">
        <v>1.874997678110195E-4</v>
      </c>
      <c r="C1112" t="str">
        <f t="shared" si="17"/>
        <v/>
      </c>
    </row>
    <row r="1113" spans="1:3" x14ac:dyDescent="0.25">
      <c r="A1113" s="186">
        <v>14.384</v>
      </c>
      <c r="B1113" s="453">
        <v>8.1539129290644676E-4</v>
      </c>
      <c r="C1113" t="str">
        <f t="shared" si="17"/>
        <v/>
      </c>
    </row>
    <row r="1114" spans="1:3" x14ac:dyDescent="0.25">
      <c r="A1114" s="186">
        <v>14.394</v>
      </c>
      <c r="B1114" s="453">
        <v>4.1339829996864128E-4</v>
      </c>
      <c r="C1114" t="str">
        <f t="shared" si="17"/>
        <v/>
      </c>
    </row>
    <row r="1115" spans="1:3" x14ac:dyDescent="0.25">
      <c r="A1115" s="186">
        <v>14.839</v>
      </c>
      <c r="B1115" s="453">
        <v>1.6973009898849271E-4</v>
      </c>
      <c r="C1115" t="str">
        <f t="shared" si="17"/>
        <v/>
      </c>
    </row>
    <row r="1116" spans="1:3" x14ac:dyDescent="0.25">
      <c r="A1116" s="186">
        <v>16.614000000000001</v>
      </c>
      <c r="B1116" s="453">
        <v>9.9189822196976522E-4</v>
      </c>
      <c r="C1116" t="str">
        <f t="shared" si="17"/>
        <v/>
      </c>
    </row>
    <row r="1117" spans="1:3" x14ac:dyDescent="0.25">
      <c r="A1117" s="186">
        <v>13.500999999999999</v>
      </c>
      <c r="B1117" s="453">
        <v>4.1689810129381744E-5</v>
      </c>
      <c r="C1117" t="str">
        <f t="shared" si="17"/>
        <v/>
      </c>
    </row>
    <row r="1118" spans="1:3" x14ac:dyDescent="0.25">
      <c r="A1118" s="186">
        <v>12.167</v>
      </c>
      <c r="B1118" s="453">
        <v>7.5856525262485398E-6</v>
      </c>
      <c r="C1118" t="str">
        <f t="shared" si="17"/>
        <v/>
      </c>
    </row>
    <row r="1119" spans="1:3" x14ac:dyDescent="0.25">
      <c r="A1119" s="186">
        <v>10.387</v>
      </c>
      <c r="B1119" s="453">
        <v>1.7376154992905443E-5</v>
      </c>
      <c r="C1119" t="str">
        <f t="shared" si="17"/>
        <v/>
      </c>
    </row>
    <row r="1120" spans="1:3" x14ac:dyDescent="0.25">
      <c r="A1120" s="186">
        <v>10.387</v>
      </c>
      <c r="B1120" s="453">
        <v>1.0754212726670891E-5</v>
      </c>
      <c r="C1120" t="str">
        <f t="shared" si="17"/>
        <v/>
      </c>
    </row>
    <row r="1121" spans="1:3" x14ac:dyDescent="0.25">
      <c r="A1121" s="186">
        <v>11.278</v>
      </c>
      <c r="B1121" s="453">
        <v>6.6183571953565672E-5</v>
      </c>
      <c r="C1121" t="str">
        <f t="shared" si="17"/>
        <v/>
      </c>
    </row>
    <row r="1122" spans="1:3" x14ac:dyDescent="0.25">
      <c r="A1122" s="186">
        <v>12.167</v>
      </c>
      <c r="B1122" s="453">
        <v>7.1510412125871757E-5</v>
      </c>
      <c r="C1122" t="str">
        <f t="shared" si="17"/>
        <v/>
      </c>
    </row>
    <row r="1123" spans="1:3" x14ac:dyDescent="0.25">
      <c r="A1123" s="186">
        <v>11.717000000000001</v>
      </c>
      <c r="B1123" s="453">
        <v>4.1125684561809864E-5</v>
      </c>
      <c r="C1123" t="str">
        <f t="shared" si="17"/>
        <v/>
      </c>
    </row>
    <row r="1124" spans="1:3" x14ac:dyDescent="0.25">
      <c r="A1124" s="186">
        <v>12.167</v>
      </c>
      <c r="B1124" s="453">
        <v>5.7407373376327212E-5</v>
      </c>
      <c r="C1124" t="str">
        <f t="shared" si="17"/>
        <v/>
      </c>
    </row>
    <row r="1125" spans="1:3" x14ac:dyDescent="0.25">
      <c r="A1125" s="186">
        <v>12.167</v>
      </c>
      <c r="B1125" s="453">
        <v>1.960278584216284E-5</v>
      </c>
      <c r="C1125" t="str">
        <f t="shared" si="17"/>
        <v/>
      </c>
    </row>
    <row r="1126" spans="1:3" x14ac:dyDescent="0.25">
      <c r="A1126" s="186">
        <v>13.500999999999999</v>
      </c>
      <c r="B1126" s="453">
        <v>6.4436310757747529E-5</v>
      </c>
      <c r="C1126" t="str">
        <f t="shared" si="17"/>
        <v/>
      </c>
    </row>
    <row r="1127" spans="1:3" x14ac:dyDescent="0.25">
      <c r="A1127" s="186">
        <v>13.500999999999999</v>
      </c>
      <c r="B1127" s="453">
        <v>4.5329628999609131E-5</v>
      </c>
      <c r="C1127" t="str">
        <f t="shared" si="17"/>
        <v/>
      </c>
    </row>
    <row r="1128" spans="1:3" x14ac:dyDescent="0.25">
      <c r="A1128" s="186">
        <v>12.167</v>
      </c>
      <c r="B1128" s="453">
        <v>1.280833383610729E-5</v>
      </c>
      <c r="C1128" t="str">
        <f t="shared" si="17"/>
        <v/>
      </c>
    </row>
    <row r="1129" spans="1:3" x14ac:dyDescent="0.25">
      <c r="A1129" s="186">
        <v>10.829000000000001</v>
      </c>
      <c r="B1129" s="453">
        <v>1.3191102226501428E-5</v>
      </c>
      <c r="C1129" t="str">
        <f t="shared" si="17"/>
        <v/>
      </c>
    </row>
    <row r="1130" spans="1:3" x14ac:dyDescent="0.25">
      <c r="A1130" s="186">
        <v>9.9440000000000008</v>
      </c>
      <c r="B1130" s="453">
        <v>2.4133095806345232E-6</v>
      </c>
      <c r="C1130" t="str">
        <f t="shared" si="17"/>
        <v/>
      </c>
    </row>
    <row r="1131" spans="1:3" x14ac:dyDescent="0.25">
      <c r="A1131" s="186">
        <v>8.6039999999999992</v>
      </c>
      <c r="B1131" s="453">
        <v>6.5856481472222188E-7</v>
      </c>
      <c r="C1131" t="str">
        <f t="shared" si="17"/>
        <v/>
      </c>
    </row>
    <row r="1132" spans="1:3" x14ac:dyDescent="0.25">
      <c r="A1132" s="186">
        <v>9.0570000000000004</v>
      </c>
      <c r="B1132" s="453">
        <v>7.5451420943055174E-7</v>
      </c>
      <c r="C1132" t="str">
        <f t="shared" si="17"/>
        <v/>
      </c>
    </row>
    <row r="1133" spans="1:3" x14ac:dyDescent="0.25">
      <c r="A1133" s="186">
        <v>9.0570000000000004</v>
      </c>
      <c r="B1133" s="453">
        <v>8.8819450488814263E-7</v>
      </c>
      <c r="C1133" t="str">
        <f t="shared" si="17"/>
        <v/>
      </c>
    </row>
    <row r="1134" spans="1:3" x14ac:dyDescent="0.25">
      <c r="A1134" s="186">
        <v>9.0570000000000004</v>
      </c>
      <c r="B1134" s="453">
        <v>2.7025458692998241E-6</v>
      </c>
      <c r="C1134" t="str">
        <f t="shared" si="17"/>
        <v/>
      </c>
    </row>
    <row r="1135" spans="1:3" x14ac:dyDescent="0.25">
      <c r="A1135" s="186">
        <v>9.4949999999999992</v>
      </c>
      <c r="B1135" s="453">
        <v>3.3119217452885202E-6</v>
      </c>
      <c r="C1135" t="str">
        <f t="shared" si="17"/>
        <v/>
      </c>
    </row>
    <row r="1136" spans="1:3" x14ac:dyDescent="0.25">
      <c r="A1136" s="186">
        <v>10.387</v>
      </c>
      <c r="B1136" s="453">
        <v>2.5034716803773734E-5</v>
      </c>
      <c r="C1136" t="str">
        <f t="shared" si="17"/>
        <v/>
      </c>
    </row>
    <row r="1137" spans="1:3" x14ac:dyDescent="0.25">
      <c r="A1137" s="186">
        <v>11.278</v>
      </c>
      <c r="B1137" s="453">
        <v>1.1974090474007553E-4</v>
      </c>
      <c r="C1137" t="str">
        <f t="shared" si="17"/>
        <v/>
      </c>
    </row>
    <row r="1138" spans="1:3" x14ac:dyDescent="0.25">
      <c r="A1138" s="186">
        <v>13.057</v>
      </c>
      <c r="B1138" s="453">
        <v>9.2638857559849903E-5</v>
      </c>
      <c r="C1138" t="str">
        <f t="shared" si="17"/>
        <v/>
      </c>
    </row>
    <row r="1139" spans="1:3" x14ac:dyDescent="0.25">
      <c r="A1139" s="186">
        <v>11.724</v>
      </c>
      <c r="B1139" s="453">
        <v>2.3455554241873172E-6</v>
      </c>
      <c r="C1139" t="str">
        <f t="shared" si="17"/>
        <v/>
      </c>
    </row>
    <row r="1140" spans="1:3" x14ac:dyDescent="0.25">
      <c r="A1140" s="186">
        <v>8.6896042928630184</v>
      </c>
      <c r="B1140" s="453">
        <v>3.6759166666666665E-5</v>
      </c>
      <c r="C1140" t="str">
        <f t="shared" si="17"/>
        <v/>
      </c>
    </row>
    <row r="1141" spans="1:3" x14ac:dyDescent="0.25">
      <c r="A1141" s="186">
        <v>10.18591388054117</v>
      </c>
      <c r="B1141" s="453">
        <v>2.8088333333333333E-5</v>
      </c>
      <c r="C1141" t="str">
        <f t="shared" si="17"/>
        <v/>
      </c>
    </row>
    <row r="1142" spans="1:3" x14ac:dyDescent="0.25">
      <c r="A1142" s="186">
        <v>11.939881044642732</v>
      </c>
      <c r="B1142" s="453">
        <v>4.6959444444444445E-5</v>
      </c>
      <c r="C1142" t="str">
        <f t="shared" si="17"/>
        <v/>
      </c>
    </row>
    <row r="1143" spans="1:3" x14ac:dyDescent="0.25">
      <c r="A1143" s="186">
        <v>13.99587322572618</v>
      </c>
      <c r="B1143" s="453">
        <v>5.3637499999999996E-4</v>
      </c>
      <c r="C1143" t="str">
        <f t="shared" si="17"/>
        <v/>
      </c>
    </row>
    <row r="1144" spans="1:3" x14ac:dyDescent="0.25">
      <c r="A1144" s="186">
        <v>13.99587322572618</v>
      </c>
      <c r="B1144" s="453">
        <v>1.1374950000000001E-3</v>
      </c>
      <c r="C1144" t="str">
        <f t="shared" si="17"/>
        <v/>
      </c>
    </row>
    <row r="1145" spans="1:3" x14ac:dyDescent="0.25">
      <c r="A1145" s="186">
        <v>17.298163592151017</v>
      </c>
      <c r="B1145" s="453">
        <v>7.9398138888888889E-4</v>
      </c>
      <c r="C1145" t="str">
        <f t="shared" si="17"/>
        <v/>
      </c>
    </row>
    <row r="1146" spans="1:3" x14ac:dyDescent="0.25">
      <c r="A1146" s="186">
        <v>14.757065332758954</v>
      </c>
      <c r="B1146" s="453">
        <v>3.5811111111111113E-3</v>
      </c>
      <c r="C1146" t="str">
        <f t="shared" si="17"/>
        <v/>
      </c>
    </row>
    <row r="1147" spans="1:3" x14ac:dyDescent="0.25">
      <c r="A1147" s="186">
        <v>13.99587322572618</v>
      </c>
      <c r="B1147" s="453">
        <v>1.3273147222222221E-3</v>
      </c>
      <c r="C1147" t="str">
        <f t="shared" si="17"/>
        <v/>
      </c>
    </row>
    <row r="1148" spans="1:3" x14ac:dyDescent="0.25">
      <c r="A1148" s="186">
        <v>13.273944577297399</v>
      </c>
      <c r="B1148" s="453">
        <v>4.1157277777777781E-4</v>
      </c>
      <c r="C1148" t="str">
        <f t="shared" si="17"/>
        <v/>
      </c>
    </row>
    <row r="1149" spans="1:3" x14ac:dyDescent="0.25">
      <c r="A1149" s="186">
        <v>11.939881044642732</v>
      </c>
      <c r="B1149" s="453">
        <v>9.5679055555555556E-4</v>
      </c>
      <c r="C1149" t="str">
        <f t="shared" si="17"/>
        <v/>
      </c>
    </row>
    <row r="1150" spans="1:3" x14ac:dyDescent="0.25">
      <c r="A1150" s="186">
        <v>11.324003632355574</v>
      </c>
      <c r="B1150" s="453">
        <v>4.0301166666666669E-4</v>
      </c>
      <c r="C1150" t="str">
        <f t="shared" si="17"/>
        <v/>
      </c>
    </row>
    <row r="1151" spans="1:3" x14ac:dyDescent="0.25">
      <c r="A1151" s="186">
        <v>10.73989412341245</v>
      </c>
      <c r="B1151" s="453">
        <v>1.2136972222222222E-4</v>
      </c>
      <c r="C1151" t="str">
        <f t="shared" si="17"/>
        <v/>
      </c>
    </row>
    <row r="1152" spans="1:3" x14ac:dyDescent="0.25">
      <c r="A1152" s="186">
        <v>13.273944577297399</v>
      </c>
      <c r="B1152" s="453">
        <v>6.2136833333333334E-4</v>
      </c>
      <c r="C1152" t="str">
        <f t="shared" si="17"/>
        <v/>
      </c>
    </row>
    <row r="1153" spans="1:3" x14ac:dyDescent="0.25">
      <c r="A1153" s="186">
        <v>10.73989412341245</v>
      </c>
      <c r="B1153" s="453">
        <v>2.8407083333333331E-4</v>
      </c>
      <c r="C1153" t="str">
        <f t="shared" si="17"/>
        <v/>
      </c>
    </row>
    <row r="1154" spans="1:3" x14ac:dyDescent="0.25">
      <c r="A1154" s="186">
        <v>10.73989412341245</v>
      </c>
      <c r="B1154" s="453">
        <v>1.5366916666666666E-4</v>
      </c>
      <c r="C1154" t="str">
        <f t="shared" si="17"/>
        <v/>
      </c>
    </row>
    <row r="1155" spans="1:3" x14ac:dyDescent="0.25">
      <c r="A1155" s="186">
        <v>11.939881044642732</v>
      </c>
      <c r="B1155" s="453">
        <v>1.7618749999999999E-4</v>
      </c>
      <c r="C1155" t="str">
        <f t="shared" si="17"/>
        <v/>
      </c>
    </row>
    <row r="1156" spans="1:3" x14ac:dyDescent="0.25">
      <c r="A1156" s="186">
        <v>11.939881044642732</v>
      </c>
      <c r="B1156" s="453">
        <v>1.0918111111111111E-4</v>
      </c>
      <c r="C1156" t="str">
        <f t="shared" si="17"/>
        <v/>
      </c>
    </row>
    <row r="1157" spans="1:3" x14ac:dyDescent="0.25">
      <c r="A1157" s="186">
        <v>13.273944577297399</v>
      </c>
      <c r="B1157" s="453">
        <v>1.1501749999999999E-4</v>
      </c>
      <c r="C1157" t="str">
        <f t="shared" si="17"/>
        <v/>
      </c>
    </row>
    <row r="1158" spans="1:3" x14ac:dyDescent="0.25">
      <c r="A1158" s="186">
        <v>13.273944577297399</v>
      </c>
      <c r="B1158" s="453">
        <v>1.5805944444444444E-4</v>
      </c>
      <c r="C1158" t="str">
        <f t="shared" ref="C1158:C1221" si="18">IF(B1158=0,"XXXXXXXX","")</f>
        <v/>
      </c>
    </row>
    <row r="1159" spans="1:3" x14ac:dyDescent="0.25">
      <c r="A1159" s="186">
        <v>13.273944577297399</v>
      </c>
      <c r="B1159" s="453">
        <v>5.0291722222222226E-4</v>
      </c>
      <c r="C1159" t="str">
        <f t="shared" si="18"/>
        <v/>
      </c>
    </row>
    <row r="1160" spans="1:3" x14ac:dyDescent="0.25">
      <c r="A1160" s="186">
        <v>13.273944577297399</v>
      </c>
      <c r="B1160" s="453">
        <v>6.1700333333333335E-4</v>
      </c>
      <c r="C1160" t="str">
        <f t="shared" si="18"/>
        <v/>
      </c>
    </row>
    <row r="1161" spans="1:3" x14ac:dyDescent="0.25">
      <c r="A1161" s="186">
        <v>15.559656316050749</v>
      </c>
      <c r="B1161" s="453">
        <v>1.1203702777777779E-3</v>
      </c>
      <c r="C1161" t="str">
        <f t="shared" si="18"/>
        <v/>
      </c>
    </row>
    <row r="1162" spans="1:3" x14ac:dyDescent="0.25">
      <c r="A1162" s="186">
        <v>14.757065332758954</v>
      </c>
      <c r="B1162" s="453">
        <v>1.8292333333333334E-3</v>
      </c>
      <c r="C1162" t="str">
        <f t="shared" si="18"/>
        <v/>
      </c>
    </row>
    <row r="1163" spans="1:3" x14ac:dyDescent="0.25">
      <c r="A1163" s="186">
        <v>12.58925411794168</v>
      </c>
      <c r="B1163" s="453">
        <v>7.4138638888888888E-4</v>
      </c>
      <c r="C1163" t="str">
        <f t="shared" si="18"/>
        <v/>
      </c>
    </row>
    <row r="1164" spans="1:3" x14ac:dyDescent="0.25">
      <c r="A1164" s="186">
        <v>15.559656316050749</v>
      </c>
      <c r="B1164" s="453">
        <v>2.3960972222222224E-4</v>
      </c>
      <c r="C1164" t="str">
        <f t="shared" si="18"/>
        <v/>
      </c>
    </row>
    <row r="1165" spans="1:3" x14ac:dyDescent="0.25">
      <c r="A1165" s="186">
        <v>15.559656316050749</v>
      </c>
      <c r="B1165" s="453">
        <v>4.1328972222222225E-4</v>
      </c>
      <c r="C1165" t="str">
        <f t="shared" si="18"/>
        <v/>
      </c>
    </row>
    <row r="1166" spans="1:3" x14ac:dyDescent="0.25">
      <c r="A1166" s="186">
        <v>13.273944577297399</v>
      </c>
      <c r="B1166" s="453">
        <v>1.222688888888889E-4</v>
      </c>
      <c r="C1166" t="str">
        <f t="shared" si="18"/>
        <v/>
      </c>
    </row>
    <row r="1167" spans="1:3" x14ac:dyDescent="0.25">
      <c r="A1167" s="186">
        <v>12.58925411794168</v>
      </c>
      <c r="B1167" s="453">
        <v>8.9298888888888884E-5</v>
      </c>
      <c r="C1167" t="str">
        <f t="shared" si="18"/>
        <v/>
      </c>
    </row>
    <row r="1168" spans="1:3" x14ac:dyDescent="0.25">
      <c r="A1168" s="186">
        <v>10.18591388054117</v>
      </c>
      <c r="B1168" s="453">
        <v>8.3030555555555545E-6</v>
      </c>
      <c r="C1168" t="str">
        <f t="shared" si="18"/>
        <v/>
      </c>
    </row>
    <row r="1169" spans="1:3" x14ac:dyDescent="0.25">
      <c r="A1169" s="186">
        <v>9.1622049012199991</v>
      </c>
      <c r="B1169" s="453">
        <v>6.8613888888888887E-6</v>
      </c>
      <c r="C1169" t="str">
        <f t="shared" si="18"/>
        <v/>
      </c>
    </row>
    <row r="1170" spans="1:3" x14ac:dyDescent="0.25">
      <c r="A1170" s="186">
        <v>9.1622049012199991</v>
      </c>
      <c r="B1170" s="453">
        <v>1.0587222222222222E-5</v>
      </c>
      <c r="C1170" t="str">
        <f t="shared" si="18"/>
        <v/>
      </c>
    </row>
    <row r="1171" spans="1:3" x14ac:dyDescent="0.25">
      <c r="A1171" s="186">
        <v>9.1622049012199991</v>
      </c>
      <c r="B1171" s="453">
        <v>1.6687222222222223E-5</v>
      </c>
      <c r="C1171" t="str">
        <f t="shared" si="18"/>
        <v/>
      </c>
    </row>
    <row r="1172" spans="1:3" x14ac:dyDescent="0.25">
      <c r="A1172" s="186">
        <v>9.6605087898981381</v>
      </c>
      <c r="B1172" s="453">
        <v>3.5961111111111112E-6</v>
      </c>
      <c r="C1172" t="str">
        <f t="shared" si="18"/>
        <v/>
      </c>
    </row>
    <row r="1173" spans="1:3" x14ac:dyDescent="0.25">
      <c r="A1173" s="186">
        <v>9.6605087898981381</v>
      </c>
      <c r="B1173" s="453">
        <v>5.9312222222222222E-5</v>
      </c>
      <c r="C1173" t="str">
        <f t="shared" si="18"/>
        <v/>
      </c>
    </row>
    <row r="1174" spans="1:3" x14ac:dyDescent="0.25">
      <c r="A1174" s="186">
        <v>10.73989412341245</v>
      </c>
      <c r="B1174" s="453">
        <v>2.2322500000000002E-5</v>
      </c>
      <c r="C1174" t="str">
        <f t="shared" si="18"/>
        <v/>
      </c>
    </row>
    <row r="1175" spans="1:3" x14ac:dyDescent="0.25">
      <c r="A1175" s="186">
        <v>10.73989412341245</v>
      </c>
      <c r="B1175" s="453">
        <v>4.1276138888888891E-4</v>
      </c>
      <c r="C1175" t="str">
        <f t="shared" si="18"/>
        <v/>
      </c>
    </row>
    <row r="1176" spans="1:3" x14ac:dyDescent="0.25">
      <c r="A1176" s="186">
        <v>11.939881044642732</v>
      </c>
      <c r="B1176" s="453">
        <v>5.0305E-4</v>
      </c>
      <c r="C1176" t="str">
        <f t="shared" si="18"/>
        <v/>
      </c>
    </row>
    <row r="1177" spans="1:3" x14ac:dyDescent="0.25">
      <c r="A1177" s="186">
        <v>11.939881044642732</v>
      </c>
      <c r="B1177" s="453">
        <v>1.5206725E-3</v>
      </c>
      <c r="C1177" t="str">
        <f t="shared" si="18"/>
        <v/>
      </c>
    </row>
    <row r="1178" spans="1:3" x14ac:dyDescent="0.25">
      <c r="A1178" s="186">
        <v>11.939881044642732</v>
      </c>
      <c r="B1178" s="453">
        <v>4.8778805555555556E-4</v>
      </c>
      <c r="C1178" t="str">
        <f t="shared" si="18"/>
        <v/>
      </c>
    </row>
    <row r="1179" spans="1:3" x14ac:dyDescent="0.25">
      <c r="A1179" s="186">
        <v>12.58925411794168</v>
      </c>
      <c r="B1179" s="453">
        <v>1.5830277777777779E-4</v>
      </c>
      <c r="C1179" t="str">
        <f t="shared" si="18"/>
        <v/>
      </c>
    </row>
    <row r="1180" spans="1:3" x14ac:dyDescent="0.25">
      <c r="A1180" s="186">
        <v>12.58925411794168</v>
      </c>
      <c r="B1180" s="453">
        <v>4.9548333333333335E-5</v>
      </c>
      <c r="C1180" t="str">
        <f t="shared" si="18"/>
        <v/>
      </c>
    </row>
    <row r="1181" spans="1:3" x14ac:dyDescent="0.25">
      <c r="A1181" s="186">
        <v>8.6896042928630184</v>
      </c>
      <c r="B1181" s="453">
        <v>6.373055555555556E-6</v>
      </c>
      <c r="C1181" t="str">
        <f t="shared" si="18"/>
        <v/>
      </c>
    </row>
    <row r="1182" spans="1:3" x14ac:dyDescent="0.25">
      <c r="A1182" s="186">
        <v>1.0363500000000001</v>
      </c>
      <c r="B1182" s="453">
        <v>3.7299999999999998E-3</v>
      </c>
      <c r="C1182" t="str">
        <f t="shared" si="18"/>
        <v/>
      </c>
    </row>
    <row r="1183" spans="1:3" x14ac:dyDescent="0.25">
      <c r="A1183" s="186">
        <v>1.3187800000000001</v>
      </c>
      <c r="B1183" s="453">
        <v>1.18E-2</v>
      </c>
      <c r="C1183" t="str">
        <f t="shared" si="18"/>
        <v/>
      </c>
    </row>
    <row r="1184" spans="1:3" x14ac:dyDescent="0.25">
      <c r="A1184" s="186">
        <v>1.1200000000000001</v>
      </c>
      <c r="B1184" s="453">
        <v>1.507E-2</v>
      </c>
      <c r="C1184" t="str">
        <f t="shared" si="18"/>
        <v/>
      </c>
    </row>
    <row r="1185" spans="1:3" x14ac:dyDescent="0.25">
      <c r="A1185" s="186">
        <v>1.2859499999999999</v>
      </c>
      <c r="B1185" s="453">
        <v>1.49E-2</v>
      </c>
      <c r="C1185" t="str">
        <f t="shared" si="18"/>
        <v/>
      </c>
    </row>
    <row r="1186" spans="1:3" x14ac:dyDescent="0.25">
      <c r="A1186" s="186">
        <v>1.57864</v>
      </c>
      <c r="B1186" s="453">
        <v>2.0549999999999999E-2</v>
      </c>
      <c r="C1186" t="str">
        <f t="shared" si="18"/>
        <v/>
      </c>
    </row>
    <row r="1187" spans="1:3" x14ac:dyDescent="0.25">
      <c r="A1187" s="186">
        <v>1.4377200000000001</v>
      </c>
      <c r="B1187" s="453">
        <v>2.0410000000000001E-2</v>
      </c>
      <c r="C1187" t="str">
        <f t="shared" si="18"/>
        <v/>
      </c>
    </row>
    <row r="1188" spans="1:3" x14ac:dyDescent="0.25">
      <c r="A1188" s="186">
        <v>1.29477</v>
      </c>
      <c r="B1188" s="453">
        <v>7.77E-3</v>
      </c>
      <c r="C1188" t="str">
        <f t="shared" si="18"/>
        <v/>
      </c>
    </row>
    <row r="1189" spans="1:3" x14ac:dyDescent="0.25">
      <c r="A1189" s="186">
        <v>1.1640699999999999</v>
      </c>
      <c r="B1189" s="453">
        <v>3.8600000000000001E-3</v>
      </c>
      <c r="C1189" t="str">
        <f t="shared" si="18"/>
        <v/>
      </c>
    </row>
    <row r="1190" spans="1:3" x14ac:dyDescent="0.25">
      <c r="A1190" s="186">
        <v>1.19062</v>
      </c>
      <c r="B1190" s="453">
        <v>5.8300000000000001E-3</v>
      </c>
      <c r="C1190" t="str">
        <f t="shared" si="18"/>
        <v/>
      </c>
    </row>
    <row r="1191" spans="1:3" x14ac:dyDescent="0.25">
      <c r="A1191" s="186">
        <v>1.3335699999999999</v>
      </c>
      <c r="B1191" s="453">
        <v>1.009E-2</v>
      </c>
      <c r="C1191" t="str">
        <f t="shared" si="18"/>
        <v/>
      </c>
    </row>
    <row r="1192" spans="1:3" x14ac:dyDescent="0.25">
      <c r="A1192" s="186">
        <v>1.35399</v>
      </c>
      <c r="B1192" s="453">
        <v>1.6629999999999999E-2</v>
      </c>
      <c r="C1192" t="str">
        <f t="shared" si="18"/>
        <v/>
      </c>
    </row>
    <row r="1193" spans="1:3" x14ac:dyDescent="0.25">
      <c r="A1193" s="186">
        <v>1.2825200000000001</v>
      </c>
      <c r="B1193" s="453">
        <v>1.5959999999999998E-2</v>
      </c>
      <c r="C1193" t="str">
        <f t="shared" si="18"/>
        <v/>
      </c>
    </row>
    <row r="1194" spans="1:3" x14ac:dyDescent="0.25">
      <c r="A1194" s="186">
        <v>1.5684199999999999</v>
      </c>
      <c r="B1194" s="453">
        <v>3.2669999999999998E-2</v>
      </c>
      <c r="C1194" t="str">
        <f t="shared" si="18"/>
        <v/>
      </c>
    </row>
    <row r="1195" spans="1:3" x14ac:dyDescent="0.25">
      <c r="A1195" s="186">
        <v>1.38463</v>
      </c>
      <c r="B1195" s="453">
        <v>1.4919999999999999E-2</v>
      </c>
      <c r="C1195" t="str">
        <f t="shared" si="18"/>
        <v/>
      </c>
    </row>
    <row r="1196" spans="1:3" x14ac:dyDescent="0.25">
      <c r="A1196" s="186">
        <v>1.3233600000000001</v>
      </c>
      <c r="B1196" s="453">
        <v>1.984E-2</v>
      </c>
      <c r="C1196" t="str">
        <f t="shared" si="18"/>
        <v/>
      </c>
    </row>
    <row r="1197" spans="1:3" x14ac:dyDescent="0.25">
      <c r="A1197" s="186">
        <v>1.60927</v>
      </c>
      <c r="B1197" s="453">
        <v>2.8809999999999999E-2</v>
      </c>
      <c r="C1197" t="str">
        <f t="shared" si="18"/>
        <v/>
      </c>
    </row>
    <row r="1198" spans="1:3" x14ac:dyDescent="0.25">
      <c r="A1198" s="186">
        <v>1.3233600000000001</v>
      </c>
      <c r="B1198" s="453">
        <v>1.0460000000000001E-2</v>
      </c>
      <c r="C1198" t="str">
        <f t="shared" si="18"/>
        <v/>
      </c>
    </row>
    <row r="1199" spans="1:3" x14ac:dyDescent="0.25">
      <c r="A1199" s="186">
        <v>1.69096</v>
      </c>
      <c r="B1199" s="453">
        <v>2.2159999999999999E-2</v>
      </c>
      <c r="C1199" t="str">
        <f t="shared" si="18"/>
        <v/>
      </c>
    </row>
    <row r="1200" spans="1:3" x14ac:dyDescent="0.25">
      <c r="A1200" s="186">
        <v>1.3948400000000001</v>
      </c>
      <c r="B1200" s="453">
        <v>2.087E-2</v>
      </c>
      <c r="C1200" t="str">
        <f t="shared" si="18"/>
        <v/>
      </c>
    </row>
    <row r="1201" spans="1:3" x14ac:dyDescent="0.25">
      <c r="A1201" s="186">
        <v>1.69096</v>
      </c>
      <c r="B1201" s="453">
        <v>3.8080000000000003E-2</v>
      </c>
      <c r="C1201" t="str">
        <f t="shared" si="18"/>
        <v/>
      </c>
    </row>
    <row r="1202" spans="1:3" x14ac:dyDescent="0.25">
      <c r="A1202" s="186">
        <v>1.2825200000000001</v>
      </c>
      <c r="B1202" s="453">
        <v>7.7400000000000004E-3</v>
      </c>
      <c r="C1202" t="str">
        <f t="shared" si="18"/>
        <v/>
      </c>
    </row>
    <row r="1203" spans="1:3" x14ac:dyDescent="0.25">
      <c r="A1203" s="186">
        <v>1.2008300000000001</v>
      </c>
      <c r="B1203" s="453">
        <v>1.146E-2</v>
      </c>
      <c r="C1203" t="str">
        <f t="shared" si="18"/>
        <v/>
      </c>
    </row>
    <row r="1204" spans="1:3" x14ac:dyDescent="0.25">
      <c r="A1204" s="186">
        <v>0.95576000000000005</v>
      </c>
      <c r="B1204" s="453">
        <v>5.5799999999999999E-3</v>
      </c>
      <c r="C1204" t="str">
        <f t="shared" si="18"/>
        <v/>
      </c>
    </row>
    <row r="1205" spans="1:3" x14ac:dyDescent="0.25">
      <c r="A1205" s="186">
        <v>0.95576000000000005</v>
      </c>
      <c r="B1205" s="453">
        <v>4.8300000000000001E-3</v>
      </c>
      <c r="C1205" t="str">
        <f t="shared" si="18"/>
        <v/>
      </c>
    </row>
    <row r="1206" spans="1:3" x14ac:dyDescent="0.25">
      <c r="A1206" s="186">
        <v>0.79239000000000004</v>
      </c>
      <c r="B1206" s="453">
        <v>5.4999999999999997E-3</v>
      </c>
      <c r="C1206" t="str">
        <f t="shared" si="18"/>
        <v/>
      </c>
    </row>
    <row r="1207" spans="1:3" x14ac:dyDescent="0.25">
      <c r="A1207" s="186">
        <v>0.75153999999999999</v>
      </c>
      <c r="B1207" s="453">
        <v>3.5999999999999999E-3</v>
      </c>
      <c r="C1207" t="str">
        <f t="shared" si="18"/>
        <v/>
      </c>
    </row>
    <row r="1208" spans="1:3" x14ac:dyDescent="0.25">
      <c r="A1208" s="186">
        <v>0.75153999999999999</v>
      </c>
      <c r="B1208" s="453">
        <v>1.81E-3</v>
      </c>
      <c r="C1208" t="str">
        <f t="shared" si="18"/>
        <v/>
      </c>
    </row>
    <row r="1209" spans="1:3" x14ac:dyDescent="0.25">
      <c r="A1209" s="186">
        <v>0.79239000000000004</v>
      </c>
      <c r="B1209" s="453">
        <v>4.7099999999999998E-3</v>
      </c>
      <c r="C1209" t="str">
        <f t="shared" si="18"/>
        <v/>
      </c>
    </row>
    <row r="1210" spans="1:3" x14ac:dyDescent="0.25">
      <c r="A1210" s="186">
        <v>0.7107</v>
      </c>
      <c r="B1210" s="453">
        <v>3.1700000000000001E-3</v>
      </c>
      <c r="C1210" t="str">
        <f t="shared" si="18"/>
        <v/>
      </c>
    </row>
    <row r="1211" spans="1:3" x14ac:dyDescent="0.25">
      <c r="A1211" s="186">
        <v>0.81281000000000003</v>
      </c>
      <c r="B1211" s="453">
        <v>4.9899999999999996E-3</v>
      </c>
      <c r="C1211" t="str">
        <f t="shared" si="18"/>
        <v/>
      </c>
    </row>
    <row r="1212" spans="1:3" x14ac:dyDescent="0.25">
      <c r="A1212" s="186">
        <v>0.7107</v>
      </c>
      <c r="B1212" s="453">
        <v>5.3E-3</v>
      </c>
      <c r="C1212" t="str">
        <f t="shared" si="18"/>
        <v/>
      </c>
    </row>
    <row r="1213" spans="1:3" x14ac:dyDescent="0.25">
      <c r="A1213" s="186">
        <v>0.87407999999999997</v>
      </c>
      <c r="B1213" s="453">
        <v>3.0799999999999998E-3</v>
      </c>
      <c r="C1213" t="str">
        <f t="shared" si="18"/>
        <v/>
      </c>
    </row>
    <row r="1214" spans="1:3" x14ac:dyDescent="0.25">
      <c r="A1214" s="186">
        <v>0.69028</v>
      </c>
      <c r="B1214" s="453">
        <v>5.5599999999999998E-3</v>
      </c>
      <c r="C1214" t="str">
        <f t="shared" si="18"/>
        <v/>
      </c>
    </row>
    <row r="1215" spans="1:3" x14ac:dyDescent="0.25">
      <c r="A1215" s="186">
        <v>0.76175999999999999</v>
      </c>
      <c r="B1215" s="453">
        <v>1.65E-3</v>
      </c>
      <c r="C1215" t="str">
        <f t="shared" si="18"/>
        <v/>
      </c>
    </row>
    <row r="1216" spans="1:3" x14ac:dyDescent="0.25">
      <c r="A1216" s="186">
        <v>0.66986000000000001</v>
      </c>
      <c r="B1216" s="453">
        <v>1.89E-3</v>
      </c>
      <c r="C1216" t="str">
        <f t="shared" si="18"/>
        <v/>
      </c>
    </row>
    <row r="1217" spans="1:3" x14ac:dyDescent="0.25">
      <c r="A1217" s="186">
        <v>0.69028</v>
      </c>
      <c r="B1217" s="453">
        <v>1.1999999999999999E-3</v>
      </c>
      <c r="C1217" t="str">
        <f t="shared" si="18"/>
        <v/>
      </c>
    </row>
    <row r="1218" spans="1:3" x14ac:dyDescent="0.25">
      <c r="A1218" s="186">
        <v>0.64942999999999995</v>
      </c>
      <c r="B1218" s="453">
        <v>2.8400000000000001E-3</v>
      </c>
      <c r="C1218" t="str">
        <f t="shared" si="18"/>
        <v/>
      </c>
    </row>
    <row r="1219" spans="1:3" x14ac:dyDescent="0.25">
      <c r="A1219" s="186">
        <v>0.64942999999999995</v>
      </c>
      <c r="B1219" s="453">
        <v>1.49E-3</v>
      </c>
      <c r="C1219" t="str">
        <f t="shared" si="18"/>
        <v/>
      </c>
    </row>
    <row r="1220" spans="1:3" x14ac:dyDescent="0.25">
      <c r="A1220" s="186">
        <v>0.58816999999999997</v>
      </c>
      <c r="B1220" s="453">
        <v>2.0899999999999998E-3</v>
      </c>
      <c r="C1220" t="str">
        <f t="shared" si="18"/>
        <v/>
      </c>
    </row>
    <row r="1221" spans="1:3" x14ac:dyDescent="0.25">
      <c r="A1221" s="186">
        <v>0.64942999999999995</v>
      </c>
      <c r="B1221" s="453">
        <v>1.1199999999999999E-3</v>
      </c>
      <c r="C1221" t="str">
        <f t="shared" si="18"/>
        <v/>
      </c>
    </row>
    <row r="1222" spans="1:3" x14ac:dyDescent="0.25">
      <c r="A1222" s="186">
        <v>0.66986000000000001</v>
      </c>
      <c r="B1222" s="453">
        <v>2.6800000000000001E-3</v>
      </c>
      <c r="C1222" t="str">
        <f t="shared" ref="C1222:C1285" si="19">IF(B1222=0,"XXXXXXXX","")</f>
        <v/>
      </c>
    </row>
    <row r="1223" spans="1:3" x14ac:dyDescent="0.25">
      <c r="A1223" s="186">
        <v>0.85365000000000002</v>
      </c>
      <c r="B1223" s="453">
        <v>4.2599999999999999E-3</v>
      </c>
      <c r="C1223" t="str">
        <f t="shared" si="19"/>
        <v/>
      </c>
    </row>
    <row r="1224" spans="1:3" x14ac:dyDescent="0.25">
      <c r="A1224" s="186">
        <v>0.7107</v>
      </c>
      <c r="B1224" s="453">
        <v>5.64E-3</v>
      </c>
      <c r="C1224" t="str">
        <f t="shared" si="19"/>
        <v/>
      </c>
    </row>
    <row r="1225" spans="1:3" x14ac:dyDescent="0.25">
      <c r="A1225" s="186">
        <v>0.56774999999999998</v>
      </c>
      <c r="B1225" s="453">
        <v>8.0000000000000004E-4</v>
      </c>
      <c r="C1225" t="str">
        <f t="shared" si="19"/>
        <v/>
      </c>
    </row>
    <row r="1226" spans="1:3" x14ac:dyDescent="0.25">
      <c r="A1226" s="186">
        <v>0.60858999999999996</v>
      </c>
      <c r="B1226" s="453">
        <v>9.3999999999999997E-4</v>
      </c>
      <c r="C1226" t="str">
        <f t="shared" si="19"/>
        <v/>
      </c>
    </row>
    <row r="1227" spans="1:3" x14ac:dyDescent="0.25">
      <c r="A1227" s="186">
        <v>0.69389999999999996</v>
      </c>
      <c r="B1227" s="453">
        <v>9.2000000000000003E-4</v>
      </c>
      <c r="C1227" t="str">
        <f t="shared" si="19"/>
        <v/>
      </c>
    </row>
    <row r="1228" spans="1:3" x14ac:dyDescent="0.25">
      <c r="A1228" s="186">
        <v>0.56120000000000003</v>
      </c>
      <c r="B1228" s="453">
        <v>7.3999999999999999E-4</v>
      </c>
      <c r="C1228" t="str">
        <f t="shared" si="19"/>
        <v/>
      </c>
    </row>
    <row r="1229" spans="1:3" x14ac:dyDescent="0.25">
      <c r="A1229" s="186">
        <v>0.64780000000000004</v>
      </c>
      <c r="B1229" s="453">
        <v>1.8500000000000001E-3</v>
      </c>
      <c r="C1229" t="str">
        <f t="shared" si="19"/>
        <v/>
      </c>
    </row>
    <row r="1230" spans="1:3" x14ac:dyDescent="0.25">
      <c r="A1230" s="186">
        <v>0.91583999999999999</v>
      </c>
      <c r="B1230" s="453">
        <v>5.7499999999999999E-3</v>
      </c>
      <c r="C1230" t="str">
        <f t="shared" si="19"/>
        <v/>
      </c>
    </row>
    <row r="1231" spans="1:3" x14ac:dyDescent="0.25">
      <c r="A1231" s="186">
        <v>0.99158000000000002</v>
      </c>
      <c r="B1231" s="453">
        <v>8.8199999999999997E-3</v>
      </c>
      <c r="C1231" t="str">
        <f t="shared" si="19"/>
        <v/>
      </c>
    </row>
    <row r="1232" spans="1:3" x14ac:dyDescent="0.25">
      <c r="A1232" s="186">
        <v>1.7314400000000001</v>
      </c>
      <c r="B1232" s="453">
        <v>2.9929999999999998E-2</v>
      </c>
      <c r="C1232" t="str">
        <f t="shared" si="19"/>
        <v/>
      </c>
    </row>
    <row r="1233" spans="1:3" x14ac:dyDescent="0.25">
      <c r="A1233" s="186">
        <v>1.7585500000000001</v>
      </c>
      <c r="B1233" s="453">
        <v>2.547E-2</v>
      </c>
      <c r="C1233" t="str">
        <f t="shared" si="19"/>
        <v/>
      </c>
    </row>
    <row r="1234" spans="1:3" x14ac:dyDescent="0.25">
      <c r="A1234" s="186">
        <v>1.62547</v>
      </c>
      <c r="B1234" s="453">
        <v>1.9369999999999998E-2</v>
      </c>
      <c r="C1234" t="str">
        <f t="shared" si="19"/>
        <v/>
      </c>
    </row>
    <row r="1235" spans="1:3" x14ac:dyDescent="0.25">
      <c r="A1235" s="186">
        <v>1.8135399999999999</v>
      </c>
      <c r="B1235" s="453">
        <v>1.7680000000000001E-2</v>
      </c>
      <c r="C1235" t="str">
        <f t="shared" si="19"/>
        <v/>
      </c>
    </row>
    <row r="1236" spans="1:3" x14ac:dyDescent="0.25">
      <c r="A1236" s="186">
        <v>1.9845600000000001</v>
      </c>
      <c r="B1236" s="453">
        <v>5.355E-2</v>
      </c>
      <c r="C1236" t="str">
        <f t="shared" si="19"/>
        <v/>
      </c>
    </row>
    <row r="1237" spans="1:3" x14ac:dyDescent="0.25">
      <c r="A1237" s="186">
        <v>2.1036999999999999</v>
      </c>
      <c r="B1237" s="453">
        <v>6.7339999999999997E-2</v>
      </c>
      <c r="C1237" t="str">
        <f t="shared" si="19"/>
        <v/>
      </c>
    </row>
    <row r="1238" spans="1:3" x14ac:dyDescent="0.25">
      <c r="A1238" s="186">
        <v>1.62547</v>
      </c>
      <c r="B1238" s="453">
        <v>2.2970000000000001E-2</v>
      </c>
      <c r="C1238" t="str">
        <f t="shared" si="19"/>
        <v/>
      </c>
    </row>
    <row r="1239" spans="1:3" x14ac:dyDescent="0.25">
      <c r="A1239" s="186">
        <v>1.52345</v>
      </c>
      <c r="B1239" s="453">
        <v>7.4000000000000003E-3</v>
      </c>
      <c r="C1239" t="str">
        <f t="shared" si="19"/>
        <v/>
      </c>
    </row>
    <row r="1240" spans="1:3" x14ac:dyDescent="0.25">
      <c r="A1240" s="186">
        <v>1.4739</v>
      </c>
      <c r="B1240" s="453">
        <v>5.3899999999999998E-3</v>
      </c>
      <c r="C1240" t="str">
        <f t="shared" si="19"/>
        <v/>
      </c>
    </row>
    <row r="1241" spans="1:3" x14ac:dyDescent="0.25">
      <c r="A1241" s="186">
        <v>1.24061</v>
      </c>
      <c r="B1241" s="453">
        <v>6.3400000000000001E-3</v>
      </c>
      <c r="C1241" t="str">
        <f t="shared" si="19"/>
        <v/>
      </c>
    </row>
    <row r="1242" spans="1:3" x14ac:dyDescent="0.25">
      <c r="A1242" s="186">
        <v>1.33107</v>
      </c>
      <c r="B1242" s="453">
        <v>9.1900000000000003E-3</v>
      </c>
      <c r="C1242" t="str">
        <f t="shared" si="19"/>
        <v/>
      </c>
    </row>
    <row r="1243" spans="1:3" x14ac:dyDescent="0.25">
      <c r="A1243" s="186">
        <v>1.2185900000000001</v>
      </c>
      <c r="B1243" s="453">
        <v>1.6310000000000002E-2</v>
      </c>
      <c r="C1243" t="str">
        <f t="shared" si="19"/>
        <v/>
      </c>
    </row>
    <row r="1244" spans="1:3" x14ac:dyDescent="0.25">
      <c r="A1244" s="186">
        <v>1.2185900000000001</v>
      </c>
      <c r="B1244" s="453">
        <v>1.3559999999999999E-2</v>
      </c>
      <c r="C1244" t="str">
        <f t="shared" si="19"/>
        <v/>
      </c>
    </row>
    <row r="1245" spans="1:3" x14ac:dyDescent="0.25">
      <c r="A1245" s="186">
        <v>1.33107</v>
      </c>
      <c r="B1245" s="453">
        <v>1.554E-2</v>
      </c>
      <c r="C1245" t="str">
        <f t="shared" si="19"/>
        <v/>
      </c>
    </row>
    <row r="1246" spans="1:3" x14ac:dyDescent="0.25">
      <c r="A1246" s="186">
        <v>1.4495</v>
      </c>
      <c r="B1246" s="453">
        <v>1.1379999999999999E-2</v>
      </c>
      <c r="C1246" t="str">
        <f t="shared" si="19"/>
        <v/>
      </c>
    </row>
    <row r="1247" spans="1:3" x14ac:dyDescent="0.25">
      <c r="A1247" s="186">
        <v>1.62547</v>
      </c>
      <c r="B1247" s="453">
        <v>1.332E-2</v>
      </c>
      <c r="C1247" t="str">
        <f t="shared" si="19"/>
        <v/>
      </c>
    </row>
    <row r="1248" spans="1:3" x14ac:dyDescent="0.25">
      <c r="A1248" s="186">
        <v>1.52345</v>
      </c>
      <c r="B1248" s="453">
        <v>3.9699999999999996E-3</v>
      </c>
      <c r="C1248" t="str">
        <f t="shared" si="19"/>
        <v/>
      </c>
    </row>
    <row r="1249" spans="1:3" x14ac:dyDescent="0.25">
      <c r="A1249" s="186">
        <v>1.7314400000000001</v>
      </c>
      <c r="B1249" s="453">
        <v>5.9500000000000004E-3</v>
      </c>
      <c r="C1249" t="str">
        <f t="shared" si="19"/>
        <v/>
      </c>
    </row>
    <row r="1250" spans="1:3" x14ac:dyDescent="0.25">
      <c r="A1250" s="186">
        <v>1.1752400000000001</v>
      </c>
      <c r="B1250" s="453">
        <v>6.3600000000000002E-3</v>
      </c>
      <c r="C1250" t="str">
        <f t="shared" si="19"/>
        <v/>
      </c>
    </row>
    <row r="1251" spans="1:3" x14ac:dyDescent="0.25">
      <c r="A1251" s="186">
        <v>1.15391</v>
      </c>
      <c r="B1251" s="453">
        <v>9.8200000000000006E-3</v>
      </c>
      <c r="C1251" t="str">
        <f t="shared" si="19"/>
        <v/>
      </c>
    </row>
    <row r="1252" spans="1:3" x14ac:dyDescent="0.25">
      <c r="A1252" s="186">
        <v>1.5485800000000001</v>
      </c>
      <c r="B1252" s="453">
        <v>1.107E-2</v>
      </c>
      <c r="C1252" t="str">
        <f t="shared" si="19"/>
        <v/>
      </c>
    </row>
    <row r="1253" spans="1:3" x14ac:dyDescent="0.25">
      <c r="A1253" s="186">
        <v>0.39823999999999998</v>
      </c>
      <c r="B1253" s="453">
        <v>2.31E-3</v>
      </c>
      <c r="C1253" t="str">
        <f t="shared" si="19"/>
        <v/>
      </c>
    </row>
    <row r="1254" spans="1:3" x14ac:dyDescent="0.25">
      <c r="A1254" s="186">
        <v>0.38707000000000003</v>
      </c>
      <c r="B1254" s="453">
        <v>1.1999999999999999E-3</v>
      </c>
      <c r="C1254" t="str">
        <f t="shared" si="19"/>
        <v/>
      </c>
    </row>
    <row r="1255" spans="1:3" x14ac:dyDescent="0.25">
      <c r="A1255" s="186">
        <v>0.38707000000000003</v>
      </c>
      <c r="B1255" s="453">
        <v>1.1100000000000001E-3</v>
      </c>
      <c r="C1255" t="str">
        <f t="shared" si="19"/>
        <v/>
      </c>
    </row>
    <row r="1256" spans="1:3" x14ac:dyDescent="0.25">
      <c r="A1256" s="186">
        <v>0.38707000000000003</v>
      </c>
      <c r="B1256" s="453">
        <v>6.9999999999999994E-5</v>
      </c>
      <c r="C1256" t="str">
        <f t="shared" si="19"/>
        <v/>
      </c>
    </row>
    <row r="1257" spans="1:3" x14ac:dyDescent="0.25">
      <c r="A1257" s="186">
        <v>1.0110699999999999</v>
      </c>
      <c r="B1257" s="453">
        <v>1.085E-2</v>
      </c>
      <c r="C1257" t="str">
        <f t="shared" si="19"/>
        <v/>
      </c>
    </row>
    <row r="1258" spans="1:3" x14ac:dyDescent="0.25">
      <c r="A1258" s="186">
        <v>3.9364503979999999</v>
      </c>
      <c r="B1258" s="453">
        <v>4.9769674E-2</v>
      </c>
      <c r="C1258" t="str">
        <f t="shared" si="19"/>
        <v/>
      </c>
    </row>
    <row r="1259" spans="1:3" x14ac:dyDescent="0.25">
      <c r="A1259" s="186">
        <v>2.9452578520000001</v>
      </c>
      <c r="B1259" s="453">
        <v>9.3239389999999998E-3</v>
      </c>
      <c r="C1259" t="str">
        <f t="shared" si="19"/>
        <v/>
      </c>
    </row>
    <row r="1260" spans="1:3" x14ac:dyDescent="0.25">
      <c r="A1260" s="186">
        <v>3.6532525279999999</v>
      </c>
      <c r="B1260" s="453">
        <v>1.6484892000000001E-2</v>
      </c>
      <c r="C1260" t="str">
        <f t="shared" si="19"/>
        <v/>
      </c>
    </row>
    <row r="1261" spans="1:3" x14ac:dyDescent="0.25">
      <c r="A1261" s="186">
        <v>2.831978704</v>
      </c>
      <c r="B1261" s="453">
        <v>1.3103913999999999E-2</v>
      </c>
      <c r="C1261" t="str">
        <f t="shared" si="19"/>
        <v/>
      </c>
    </row>
    <row r="1262" spans="1:3" x14ac:dyDescent="0.25">
      <c r="A1262" s="186">
        <v>1.925745518</v>
      </c>
      <c r="B1262" s="453">
        <v>3.6014760000000002E-3</v>
      </c>
      <c r="C1262" t="str">
        <f t="shared" si="19"/>
        <v/>
      </c>
    </row>
    <row r="1263" spans="1:3" x14ac:dyDescent="0.25">
      <c r="A1263" s="186">
        <v>1.585908074</v>
      </c>
      <c r="B1263" s="453">
        <v>9.6546870000000003E-3</v>
      </c>
      <c r="C1263" t="str">
        <f t="shared" si="19"/>
        <v/>
      </c>
    </row>
    <row r="1264" spans="1:3" x14ac:dyDescent="0.25">
      <c r="A1264" s="186">
        <v>1.24607063</v>
      </c>
      <c r="B1264" s="453">
        <v>9.6074400000000003E-4</v>
      </c>
      <c r="C1264" t="str">
        <f t="shared" si="19"/>
        <v/>
      </c>
    </row>
    <row r="1265" spans="1:3" x14ac:dyDescent="0.25">
      <c r="A1265" s="186">
        <v>0.82127382400000004</v>
      </c>
      <c r="B1265" s="453">
        <v>1.2074900000000001E-4</v>
      </c>
      <c r="C1265" t="str">
        <f t="shared" si="19"/>
        <v/>
      </c>
    </row>
    <row r="1266" spans="1:3" x14ac:dyDescent="0.25">
      <c r="A1266" s="186">
        <v>0.70799467599999999</v>
      </c>
      <c r="B1266" s="453">
        <v>1.88999E-4</v>
      </c>
      <c r="C1266" t="str">
        <f t="shared" si="19"/>
        <v/>
      </c>
    </row>
    <row r="1267" spans="1:3" x14ac:dyDescent="0.25">
      <c r="A1267" s="186">
        <v>0.67967488899999995</v>
      </c>
      <c r="B1267" s="453">
        <v>4.1579729999999997E-3</v>
      </c>
      <c r="C1267" t="str">
        <f t="shared" si="19"/>
        <v/>
      </c>
    </row>
    <row r="1268" spans="1:3" x14ac:dyDescent="0.25">
      <c r="A1268" s="186">
        <v>2.0107048789999999</v>
      </c>
      <c r="B1268" s="453">
        <v>6.6254570000000004E-3</v>
      </c>
      <c r="C1268" t="str">
        <f t="shared" si="19"/>
        <v/>
      </c>
    </row>
    <row r="1269" spans="1:3" x14ac:dyDescent="0.25">
      <c r="A1269" s="186">
        <v>8.4392965360000005</v>
      </c>
      <c r="B1269" s="453">
        <v>0.34019776400000001</v>
      </c>
      <c r="C1269" t="str">
        <f t="shared" si="19"/>
        <v/>
      </c>
    </row>
    <row r="1270" spans="1:3" x14ac:dyDescent="0.25">
      <c r="A1270" s="186">
        <v>11.412874179999999</v>
      </c>
      <c r="B1270" s="453">
        <v>0.29924803700000002</v>
      </c>
      <c r="C1270" t="str">
        <f t="shared" si="19"/>
        <v/>
      </c>
    </row>
    <row r="1271" spans="1:3" x14ac:dyDescent="0.25">
      <c r="A1271" s="186">
        <v>7.0799467590000003</v>
      </c>
      <c r="B1271" s="453">
        <v>1.0998678E-2</v>
      </c>
      <c r="C1271" t="str">
        <f t="shared" si="19"/>
        <v/>
      </c>
    </row>
    <row r="1272" spans="1:3" x14ac:dyDescent="0.25">
      <c r="A1272" s="186">
        <v>5.0975616659999998</v>
      </c>
      <c r="B1272" s="453">
        <v>5.9954609999999997E-3</v>
      </c>
      <c r="C1272" t="str">
        <f t="shared" si="19"/>
        <v/>
      </c>
    </row>
    <row r="1273" spans="1:3" x14ac:dyDescent="0.25">
      <c r="A1273" s="186">
        <v>2.9452578520000001</v>
      </c>
      <c r="B1273" s="453">
        <v>4.6724690000000003E-3</v>
      </c>
      <c r="C1273" t="str">
        <f t="shared" si="19"/>
        <v/>
      </c>
    </row>
    <row r="1274" spans="1:3" x14ac:dyDescent="0.25">
      <c r="A1274" s="186">
        <v>2.3505423240000001</v>
      </c>
      <c r="B1274" s="453">
        <v>7.6964490000000002E-3</v>
      </c>
      <c r="C1274" t="str">
        <f t="shared" si="19"/>
        <v/>
      </c>
    </row>
    <row r="1275" spans="1:3" x14ac:dyDescent="0.25">
      <c r="A1275" s="186">
        <v>1.614227861</v>
      </c>
      <c r="B1275" s="453">
        <v>7.6124500000000002E-4</v>
      </c>
      <c r="C1275" t="str">
        <f t="shared" si="19"/>
        <v/>
      </c>
    </row>
    <row r="1276" spans="1:3" x14ac:dyDescent="0.25">
      <c r="A1276" s="186">
        <v>1.302710204</v>
      </c>
      <c r="B1276" s="453">
        <v>1.055243E-3</v>
      </c>
      <c r="C1276" t="str">
        <f t="shared" si="19"/>
        <v/>
      </c>
    </row>
    <row r="1277" spans="1:3" x14ac:dyDescent="0.25">
      <c r="A1277" s="186">
        <v>1.755826796</v>
      </c>
      <c r="B1277" s="453">
        <v>7.3552019999999999E-3</v>
      </c>
      <c r="C1277" t="str">
        <f t="shared" si="19"/>
        <v/>
      </c>
    </row>
    <row r="1278" spans="1:3" x14ac:dyDescent="0.25">
      <c r="A1278" s="186">
        <v>1.869105944</v>
      </c>
      <c r="B1278" s="453">
        <v>1.0872679E-2</v>
      </c>
      <c r="C1278" t="str">
        <f t="shared" si="19"/>
        <v/>
      </c>
    </row>
    <row r="1279" spans="1:3" x14ac:dyDescent="0.25">
      <c r="A1279" s="186">
        <v>3.0018974260000002</v>
      </c>
      <c r="B1279" s="453">
        <v>5.1502162999999997E-2</v>
      </c>
      <c r="C1279" t="str">
        <f t="shared" si="19"/>
        <v/>
      </c>
    </row>
    <row r="1280" spans="1:3" x14ac:dyDescent="0.25">
      <c r="A1280" s="186">
        <v>2.0956642410000001</v>
      </c>
      <c r="B1280" s="453">
        <v>9.0614409999999999E-3</v>
      </c>
      <c r="C1280" t="str">
        <f t="shared" si="19"/>
        <v/>
      </c>
    </row>
    <row r="1281" spans="1:3" x14ac:dyDescent="0.25">
      <c r="A1281" s="186">
        <v>1.925745518</v>
      </c>
      <c r="B1281" s="453">
        <v>5.6542129999999999E-3</v>
      </c>
      <c r="C1281" t="str">
        <f t="shared" si="19"/>
        <v/>
      </c>
    </row>
    <row r="1282" spans="1:3" x14ac:dyDescent="0.25">
      <c r="A1282" s="186">
        <v>4.4178867769999997</v>
      </c>
      <c r="B1282" s="453">
        <v>1.6211893000000002E-2</v>
      </c>
      <c r="C1282" t="str">
        <f t="shared" si="19"/>
        <v/>
      </c>
    </row>
    <row r="1283" spans="1:3" x14ac:dyDescent="0.25">
      <c r="A1283" s="186">
        <v>4.2196482680000003</v>
      </c>
      <c r="B1283" s="453">
        <v>1.0762429E-2</v>
      </c>
      <c r="C1283" t="str">
        <f t="shared" si="19"/>
        <v/>
      </c>
    </row>
    <row r="1284" spans="1:3" x14ac:dyDescent="0.25">
      <c r="A1284" s="186">
        <v>2.1239840280000002</v>
      </c>
      <c r="B1284" s="453">
        <v>1.1182427E-2</v>
      </c>
      <c r="C1284" t="str">
        <f t="shared" si="19"/>
        <v/>
      </c>
    </row>
    <row r="1285" spans="1:3" x14ac:dyDescent="0.25">
      <c r="A1285" s="186">
        <v>1.6708674349999999</v>
      </c>
      <c r="B1285" s="453">
        <v>9.7124400000000001E-4</v>
      </c>
      <c r="C1285" t="str">
        <f t="shared" si="19"/>
        <v/>
      </c>
    </row>
    <row r="1286" spans="1:3" x14ac:dyDescent="0.25">
      <c r="A1286" s="186">
        <v>1.3593497779999999</v>
      </c>
      <c r="B1286" s="453">
        <v>1.0919930000000001E-3</v>
      </c>
      <c r="C1286" t="str">
        <f t="shared" ref="C1286:C1349" si="20">IF(B1286=0,"XXXXXXXX","")</f>
        <v/>
      </c>
    </row>
    <row r="1287" spans="1:3" x14ac:dyDescent="0.25">
      <c r="A1287" s="186">
        <v>1.161111268</v>
      </c>
      <c r="B1287" s="453">
        <v>4.5149699999999998E-4</v>
      </c>
      <c r="C1287" t="str">
        <f t="shared" si="20"/>
        <v/>
      </c>
    </row>
    <row r="1288" spans="1:3" x14ac:dyDescent="0.25">
      <c r="A1288" s="186">
        <v>2.3788621110000001</v>
      </c>
      <c r="B1288" s="453">
        <v>9.7701860000000001E-3</v>
      </c>
      <c r="C1288" t="str">
        <f t="shared" si="20"/>
        <v/>
      </c>
    </row>
    <row r="1289" spans="1:3" x14ac:dyDescent="0.25">
      <c r="A1289" s="186">
        <v>4.8993231570000004</v>
      </c>
      <c r="B1289" s="453">
        <v>6.0269604999999997E-2</v>
      </c>
      <c r="C1289" t="str">
        <f t="shared" si="20"/>
        <v/>
      </c>
    </row>
    <row r="1290" spans="1:3" x14ac:dyDescent="0.25">
      <c r="A1290" s="186">
        <v>4.3612472029999996</v>
      </c>
      <c r="B1290" s="453">
        <v>6.2264592000000001E-2</v>
      </c>
      <c r="C1290" t="str">
        <f t="shared" si="20"/>
        <v/>
      </c>
    </row>
    <row r="1291" spans="1:3" x14ac:dyDescent="0.25">
      <c r="A1291" s="186">
        <v>3.8798108240000002</v>
      </c>
      <c r="B1291" s="453">
        <v>4.0897231999999999E-2</v>
      </c>
      <c r="C1291" t="str">
        <f t="shared" si="20"/>
        <v/>
      </c>
    </row>
    <row r="1292" spans="1:3" x14ac:dyDescent="0.25">
      <c r="A1292" s="186">
        <v>3.3700546569999998</v>
      </c>
      <c r="B1292" s="453">
        <v>4.3102219999999998E-3</v>
      </c>
      <c r="C1292" t="str">
        <f t="shared" si="20"/>
        <v/>
      </c>
    </row>
    <row r="1293" spans="1:3" x14ac:dyDescent="0.25">
      <c r="A1293" s="186">
        <v>4.7010846480000001</v>
      </c>
      <c r="B1293" s="453">
        <v>3.05548E-2</v>
      </c>
      <c r="C1293" t="str">
        <f t="shared" si="20"/>
        <v/>
      </c>
    </row>
    <row r="1294" spans="1:3" x14ac:dyDescent="0.25">
      <c r="A1294" s="186">
        <v>3.455014018</v>
      </c>
      <c r="B1294" s="453">
        <v>3.8534749999999999E-3</v>
      </c>
      <c r="C1294" t="str">
        <f t="shared" si="20"/>
        <v/>
      </c>
    </row>
    <row r="1295" spans="1:3" x14ac:dyDescent="0.25">
      <c r="A1295" s="186">
        <v>2.2089433889999999</v>
      </c>
      <c r="B1295" s="453">
        <v>1.46999E-3</v>
      </c>
      <c r="C1295" t="str">
        <f t="shared" si="20"/>
        <v/>
      </c>
    </row>
    <row r="1296" spans="1:3" x14ac:dyDescent="0.25">
      <c r="A1296" s="186">
        <v>1.4726289260000001</v>
      </c>
      <c r="B1296" s="453">
        <v>1.2599900000000001E-4</v>
      </c>
      <c r="C1296" t="str">
        <f t="shared" si="20"/>
        <v/>
      </c>
    </row>
    <row r="1297" spans="1:3" x14ac:dyDescent="0.25">
      <c r="A1297" s="186">
        <v>1.274390417</v>
      </c>
      <c r="B1297" s="453">
        <v>1.2074900000000001E-4</v>
      </c>
      <c r="C1297" t="str">
        <f t="shared" si="20"/>
        <v/>
      </c>
    </row>
    <row r="1298" spans="1:3" x14ac:dyDescent="0.25">
      <c r="A1298" s="186">
        <v>1.5292684999999999</v>
      </c>
      <c r="B1298" s="453">
        <v>2.6879819999999998E-3</v>
      </c>
      <c r="C1298" t="str">
        <f t="shared" si="20"/>
        <v/>
      </c>
    </row>
    <row r="1299" spans="1:3" x14ac:dyDescent="0.25">
      <c r="A1299" s="186">
        <v>1.9540653050000001</v>
      </c>
      <c r="B1299" s="453">
        <v>5.4337140000000001E-3</v>
      </c>
      <c r="C1299" t="str">
        <f t="shared" si="20"/>
        <v/>
      </c>
    </row>
    <row r="1300" spans="1:3" x14ac:dyDescent="0.25">
      <c r="A1300" s="186">
        <v>1.557588287</v>
      </c>
      <c r="B1300" s="453">
        <v>5.6699599999999995E-4</v>
      </c>
      <c r="C1300" t="str">
        <f t="shared" si="20"/>
        <v/>
      </c>
    </row>
    <row r="1301" spans="1:3" x14ac:dyDescent="0.25">
      <c r="A1301" s="186">
        <v>2.0390246670000001</v>
      </c>
      <c r="B1301" s="453">
        <v>2.3624850000000001E-3</v>
      </c>
      <c r="C1301" t="str">
        <f t="shared" si="20"/>
        <v/>
      </c>
    </row>
    <row r="1302" spans="1:3" x14ac:dyDescent="0.25">
      <c r="A1302" s="186">
        <v>2.2655829629999999</v>
      </c>
      <c r="B1302" s="453">
        <v>5.6384629999999998E-3</v>
      </c>
      <c r="C1302" t="str">
        <f t="shared" si="20"/>
        <v/>
      </c>
    </row>
    <row r="1303" spans="1:3" x14ac:dyDescent="0.25">
      <c r="A1303" s="186">
        <v>2.0390246670000001</v>
      </c>
      <c r="B1303" s="453">
        <v>6.2317090000000002E-3</v>
      </c>
      <c r="C1303" t="str">
        <f t="shared" si="20"/>
        <v/>
      </c>
    </row>
    <row r="1304" spans="1:3" x14ac:dyDescent="0.25">
      <c r="A1304" s="186">
        <v>1.7841465830000001</v>
      </c>
      <c r="B1304" s="453">
        <v>2.488484E-3</v>
      </c>
      <c r="C1304" t="str">
        <f t="shared" si="20"/>
        <v/>
      </c>
    </row>
    <row r="1305" spans="1:3" x14ac:dyDescent="0.25">
      <c r="A1305" s="186">
        <v>1.727507009</v>
      </c>
      <c r="B1305" s="453">
        <v>3.4387279999999998E-3</v>
      </c>
      <c r="C1305" t="str">
        <f t="shared" si="20"/>
        <v/>
      </c>
    </row>
    <row r="1306" spans="1:3" x14ac:dyDescent="0.25">
      <c r="A1306" s="186">
        <v>1.4726289260000001</v>
      </c>
      <c r="B1306" s="453">
        <v>3.4544770000000001E-3</v>
      </c>
      <c r="C1306" t="str">
        <f t="shared" si="20"/>
        <v/>
      </c>
    </row>
    <row r="1307" spans="1:3" x14ac:dyDescent="0.25">
      <c r="A1307" s="186">
        <v>0.96287275900000002</v>
      </c>
      <c r="B1307" s="453">
        <v>8.7674400000000005E-4</v>
      </c>
      <c r="C1307" t="str">
        <f t="shared" si="20"/>
        <v/>
      </c>
    </row>
    <row r="1308" spans="1:3" x14ac:dyDescent="0.25">
      <c r="A1308" s="186">
        <v>2.6620599810000001</v>
      </c>
      <c r="B1308" s="453">
        <v>5.3024699999999997E-4</v>
      </c>
      <c r="C1308" t="str">
        <f t="shared" si="20"/>
        <v/>
      </c>
    </row>
    <row r="1309" spans="1:3" x14ac:dyDescent="0.25">
      <c r="A1309" s="186">
        <v>2.6620599810000001</v>
      </c>
      <c r="B1309" s="453">
        <v>1.2809919999999999E-3</v>
      </c>
      <c r="C1309" t="str">
        <f t="shared" si="20"/>
        <v/>
      </c>
    </row>
    <row r="1310" spans="1:3" x14ac:dyDescent="0.25">
      <c r="A1310" s="186">
        <v>2.831978704</v>
      </c>
      <c r="B1310" s="453">
        <v>5.5124600000000003E-4</v>
      </c>
      <c r="C1310" t="str">
        <f t="shared" si="20"/>
        <v/>
      </c>
    </row>
    <row r="1311" spans="1:3" x14ac:dyDescent="0.25">
      <c r="A1311" s="186">
        <v>2.4355016850000002</v>
      </c>
      <c r="B1311" s="453">
        <v>7.6124500000000002E-4</v>
      </c>
      <c r="C1311" t="str">
        <f t="shared" si="20"/>
        <v/>
      </c>
    </row>
    <row r="1312" spans="1:3" x14ac:dyDescent="0.25">
      <c r="A1312" s="186">
        <v>2.4355016850000002</v>
      </c>
      <c r="B1312" s="453">
        <v>7.2974499999999996E-4</v>
      </c>
      <c r="C1312" t="str">
        <f t="shared" si="20"/>
        <v/>
      </c>
    </row>
    <row r="1313" spans="1:3" x14ac:dyDescent="0.25">
      <c r="A1313" s="186">
        <v>2.3788621110000001</v>
      </c>
      <c r="B1313" s="453">
        <v>1.7534880000000001E-3</v>
      </c>
      <c r="C1313" t="str">
        <f t="shared" si="20"/>
        <v/>
      </c>
    </row>
    <row r="1314" spans="1:3" x14ac:dyDescent="0.25">
      <c r="A1314" s="186">
        <v>3.143496361</v>
      </c>
      <c r="B1314" s="453">
        <v>6.6044570000000002E-3</v>
      </c>
      <c r="C1314" t="str">
        <f t="shared" si="20"/>
        <v/>
      </c>
    </row>
    <row r="1315" spans="1:3" x14ac:dyDescent="0.25">
      <c r="A1315" s="186">
        <v>4.2196482680000003</v>
      </c>
      <c r="B1315" s="453">
        <v>6.4942070000000001E-3</v>
      </c>
      <c r="C1315" t="str">
        <f t="shared" si="20"/>
        <v/>
      </c>
    </row>
    <row r="1316" spans="1:3" x14ac:dyDescent="0.25">
      <c r="A1316" s="186">
        <v>3.9647701849999999</v>
      </c>
      <c r="B1316" s="453">
        <v>1.2074921000000001E-2</v>
      </c>
      <c r="C1316" t="str">
        <f t="shared" si="20"/>
        <v/>
      </c>
    </row>
    <row r="1317" spans="1:3" x14ac:dyDescent="0.25">
      <c r="A1317" s="186">
        <v>5.1825210269999999</v>
      </c>
      <c r="B1317" s="453">
        <v>2.6459825999999999E-2</v>
      </c>
      <c r="C1317" t="str">
        <f t="shared" si="20"/>
        <v/>
      </c>
    </row>
    <row r="1318" spans="1:3" x14ac:dyDescent="0.25">
      <c r="A1318" s="186">
        <v>5.3807595370000003</v>
      </c>
      <c r="B1318" s="453">
        <v>2.1209860000000001E-2</v>
      </c>
      <c r="C1318" t="str">
        <f t="shared" si="20"/>
        <v/>
      </c>
    </row>
    <row r="1319" spans="1:3" x14ac:dyDescent="0.25">
      <c r="A1319" s="170">
        <v>4.049729546</v>
      </c>
      <c r="B1319" s="454">
        <v>4.2997219999999997E-3</v>
      </c>
      <c r="C1319" t="str">
        <f t="shared" si="20"/>
        <v/>
      </c>
    </row>
    <row r="1320" spans="1:3" x14ac:dyDescent="0.25">
      <c r="A1320" s="170">
        <v>4.049729546</v>
      </c>
      <c r="B1320" s="454">
        <v>5.8642119999999997E-3</v>
      </c>
      <c r="C1320" t="str">
        <f t="shared" si="20"/>
        <v/>
      </c>
    </row>
    <row r="1321" spans="1:3" x14ac:dyDescent="0.25">
      <c r="A1321" s="186">
        <v>4.0780493330000001</v>
      </c>
      <c r="B1321" s="453">
        <v>5.0872169999999998E-3</v>
      </c>
      <c r="C1321" t="str">
        <f t="shared" si="20"/>
        <v/>
      </c>
    </row>
    <row r="1322" spans="1:3" x14ac:dyDescent="0.25">
      <c r="A1322" s="186">
        <v>4.4745263519999998</v>
      </c>
      <c r="B1322" s="453">
        <v>4.6094700000000001E-3</v>
      </c>
      <c r="C1322" t="str">
        <f t="shared" si="20"/>
        <v/>
      </c>
    </row>
    <row r="1323" spans="1:3" x14ac:dyDescent="0.25">
      <c r="A1323" s="186">
        <v>4.2479680550000003</v>
      </c>
      <c r="B1323" s="453">
        <v>9.5391880000000005E-3</v>
      </c>
      <c r="C1323" t="str">
        <f t="shared" si="20"/>
        <v/>
      </c>
    </row>
    <row r="1324" spans="1:3" x14ac:dyDescent="0.25">
      <c r="A1324" s="186">
        <v>3.9364503979999999</v>
      </c>
      <c r="B1324" s="453">
        <v>8.5889439999999994E-3</v>
      </c>
      <c r="C1324" t="str">
        <f t="shared" si="20"/>
        <v/>
      </c>
    </row>
    <row r="1325" spans="1:3" x14ac:dyDescent="0.25">
      <c r="A1325" s="186">
        <v>4.1913284810000002</v>
      </c>
      <c r="B1325" s="453">
        <v>4.9979669999999999E-3</v>
      </c>
      <c r="C1325" t="str">
        <f t="shared" si="20"/>
        <v/>
      </c>
    </row>
    <row r="1326" spans="1:3" x14ac:dyDescent="0.25">
      <c r="A1326" s="186">
        <v>4.3612472029999996</v>
      </c>
      <c r="B1326" s="453">
        <v>7.1557030000000002E-3</v>
      </c>
      <c r="C1326" t="str">
        <f t="shared" si="20"/>
        <v/>
      </c>
    </row>
    <row r="1327" spans="1:3" x14ac:dyDescent="0.25">
      <c r="A1327" s="186">
        <v>4.5028461389999999</v>
      </c>
      <c r="B1327" s="453">
        <v>6.3157090000000001E-3</v>
      </c>
      <c r="C1327" t="str">
        <f t="shared" si="20"/>
        <v/>
      </c>
    </row>
    <row r="1328" spans="1:3" x14ac:dyDescent="0.25">
      <c r="A1328" s="186">
        <v>4.7010846480000001</v>
      </c>
      <c r="B1328" s="453">
        <v>7.502201E-3</v>
      </c>
      <c r="C1328" t="str">
        <f t="shared" si="20"/>
        <v/>
      </c>
    </row>
    <row r="1329" spans="1:3" x14ac:dyDescent="0.25">
      <c r="A1329" s="186">
        <v>4.4178867769999997</v>
      </c>
      <c r="B1329" s="453">
        <v>4.8982180000000002E-3</v>
      </c>
      <c r="C1329" t="str">
        <f t="shared" si="20"/>
        <v/>
      </c>
    </row>
    <row r="1330" spans="1:3" x14ac:dyDescent="0.25">
      <c r="A1330" s="186">
        <v>4.3046076290000004</v>
      </c>
      <c r="B1330" s="453">
        <v>3.1552289999999998E-3</v>
      </c>
      <c r="C1330" t="str">
        <f t="shared" si="20"/>
        <v/>
      </c>
    </row>
    <row r="1331" spans="1:3" x14ac:dyDescent="0.25">
      <c r="A1331" s="186">
        <v>4.1346889070000001</v>
      </c>
      <c r="B1331" s="453">
        <v>9.2661889999999993E-3</v>
      </c>
      <c r="C1331" t="str">
        <f t="shared" si="20"/>
        <v/>
      </c>
    </row>
    <row r="1332" spans="1:3" x14ac:dyDescent="0.25">
      <c r="A1332" s="186">
        <v>0.73631446300000003</v>
      </c>
      <c r="B1332" s="453">
        <v>3.6749799999999998E-5</v>
      </c>
      <c r="C1332" t="str">
        <f t="shared" si="20"/>
        <v/>
      </c>
    </row>
    <row r="1333" spans="1:3" x14ac:dyDescent="0.25">
      <c r="A1333" s="186">
        <v>0.73631446300000003</v>
      </c>
      <c r="B1333" s="453">
        <v>1.2074900000000001E-4</v>
      </c>
      <c r="C1333" t="str">
        <f t="shared" si="20"/>
        <v/>
      </c>
    </row>
    <row r="1334" spans="1:3" x14ac:dyDescent="0.25">
      <c r="A1334" s="186">
        <v>0.70799467599999999</v>
      </c>
      <c r="B1334" s="453">
        <v>2.4674799999999998E-4</v>
      </c>
      <c r="C1334" t="str">
        <f t="shared" si="20"/>
        <v/>
      </c>
    </row>
    <row r="1335" spans="1:3" x14ac:dyDescent="0.25">
      <c r="A1335" s="186">
        <v>0.70799467599999999</v>
      </c>
      <c r="B1335" s="453">
        <v>5.77496E-5</v>
      </c>
      <c r="C1335" t="str">
        <f t="shared" si="20"/>
        <v/>
      </c>
    </row>
    <row r="1336" spans="1:3" x14ac:dyDescent="0.25">
      <c r="A1336" s="186">
        <v>5.5506782589999997</v>
      </c>
      <c r="B1336" s="453">
        <v>4.2839718999999998E-2</v>
      </c>
      <c r="C1336" t="str">
        <f t="shared" si="20"/>
        <v/>
      </c>
    </row>
    <row r="1337" spans="1:3" x14ac:dyDescent="0.25">
      <c r="A1337" s="186">
        <v>5.1542012399999999</v>
      </c>
      <c r="B1337" s="453">
        <v>7.7436991999999996E-2</v>
      </c>
      <c r="C1337" t="str">
        <f t="shared" si="20"/>
        <v/>
      </c>
    </row>
    <row r="1338" spans="1:3" x14ac:dyDescent="0.25">
      <c r="A1338" s="186">
        <v>6.1453937869999997</v>
      </c>
      <c r="B1338" s="453">
        <v>2.1682357999999999E-2</v>
      </c>
      <c r="C1338" t="str">
        <f t="shared" si="20"/>
        <v/>
      </c>
    </row>
    <row r="1339" spans="1:3" x14ac:dyDescent="0.25">
      <c r="A1339" s="186">
        <v>6.2586729349999999</v>
      </c>
      <c r="B1339" s="453">
        <v>2.4779837999999998E-2</v>
      </c>
      <c r="C1339" t="str">
        <f t="shared" si="20"/>
        <v/>
      </c>
    </row>
    <row r="1340" spans="1:3" x14ac:dyDescent="0.25">
      <c r="A1340" s="186">
        <v>6.1170739999999997</v>
      </c>
      <c r="B1340" s="453">
        <v>7.7909489999999998E-2</v>
      </c>
      <c r="C1340" t="str">
        <f t="shared" si="20"/>
        <v/>
      </c>
    </row>
    <row r="1341" spans="1:3" x14ac:dyDescent="0.25">
      <c r="A1341" s="186">
        <v>6.7401093139999997</v>
      </c>
      <c r="B1341" s="453">
        <v>3.6539759999999998E-2</v>
      </c>
      <c r="C1341" t="str">
        <f t="shared" si="20"/>
        <v/>
      </c>
    </row>
    <row r="1342" spans="1:3" x14ac:dyDescent="0.25">
      <c r="A1342" s="186">
        <v>4.3895669899999996</v>
      </c>
      <c r="B1342" s="453">
        <v>1.7744880000000001E-3</v>
      </c>
      <c r="C1342" t="str">
        <f t="shared" si="20"/>
        <v/>
      </c>
    </row>
    <row r="1343" spans="1:3" x14ac:dyDescent="0.25">
      <c r="A1343" s="186">
        <v>4.3329274160000004</v>
      </c>
      <c r="B1343" s="453">
        <v>1.2867665E-2</v>
      </c>
      <c r="C1343" t="str">
        <f t="shared" si="20"/>
        <v/>
      </c>
    </row>
    <row r="1344" spans="1:3" x14ac:dyDescent="0.25">
      <c r="A1344" s="186">
        <v>3.8798108240000002</v>
      </c>
      <c r="B1344" s="453">
        <v>1.1812420000000001E-3</v>
      </c>
      <c r="C1344" t="str">
        <f t="shared" si="20"/>
        <v/>
      </c>
    </row>
    <row r="1345" spans="1:3" x14ac:dyDescent="0.25">
      <c r="A1345" s="186">
        <v>3.7948514630000001</v>
      </c>
      <c r="B1345" s="453">
        <v>1.060493E-3</v>
      </c>
      <c r="C1345" t="str">
        <f t="shared" si="20"/>
        <v/>
      </c>
    </row>
    <row r="1346" spans="1:3" x14ac:dyDescent="0.25">
      <c r="A1346" s="186">
        <v>3.7665316760000001</v>
      </c>
      <c r="B1346" s="453">
        <v>8.4524399999999999E-4</v>
      </c>
      <c r="C1346" t="str">
        <f t="shared" si="20"/>
        <v/>
      </c>
    </row>
    <row r="1347" spans="1:3" x14ac:dyDescent="0.25">
      <c r="A1347" s="186">
        <v>3.5399733790000001</v>
      </c>
      <c r="B1347" s="453">
        <v>7.9799500000000002E-4</v>
      </c>
      <c r="C1347" t="str">
        <f t="shared" si="20"/>
        <v/>
      </c>
    </row>
    <row r="1348" spans="1:3" x14ac:dyDescent="0.25">
      <c r="A1348" s="186">
        <v>7.8781488350000002</v>
      </c>
      <c r="B1348" s="453">
        <v>0.72261670499999997</v>
      </c>
      <c r="C1348" t="str">
        <f t="shared" si="20"/>
        <v/>
      </c>
    </row>
    <row r="1349" spans="1:3" x14ac:dyDescent="0.25">
      <c r="A1349" s="186">
        <v>8.1744976620000003</v>
      </c>
      <c r="B1349" s="453">
        <v>0.26577040400000002</v>
      </c>
      <c r="C1349" t="str">
        <f t="shared" si="20"/>
        <v/>
      </c>
    </row>
    <row r="1350" spans="1:3" x14ac:dyDescent="0.25">
      <c r="A1350" s="186">
        <v>9.7985613550000004</v>
      </c>
      <c r="B1350" s="453">
        <v>0.65202403099999995</v>
      </c>
      <c r="C1350" t="str">
        <f t="shared" ref="C1350:C1413" si="21">IF(B1350=0,"XXXXXXXX","")</f>
        <v/>
      </c>
    </row>
    <row r="1351" spans="1:3" x14ac:dyDescent="0.25">
      <c r="A1351" s="186">
        <v>8.5458700820000004</v>
      </c>
      <c r="B1351" s="453">
        <v>0.49454614800000002</v>
      </c>
      <c r="C1351" t="str">
        <f t="shared" si="21"/>
        <v/>
      </c>
    </row>
    <row r="1352" spans="1:3" x14ac:dyDescent="0.25">
      <c r="A1352" s="186">
        <v>9.231999235</v>
      </c>
      <c r="B1352" s="453">
        <v>0.36537948100000001</v>
      </c>
      <c r="C1352" t="str">
        <f t="shared" si="21"/>
        <v/>
      </c>
    </row>
    <row r="1353" spans="1:3" x14ac:dyDescent="0.25">
      <c r="A1353" s="186">
        <v>6.1861520570000001</v>
      </c>
      <c r="B1353" s="453">
        <v>7.7934837000000007E-2</v>
      </c>
      <c r="C1353" t="str">
        <f t="shared" si="21"/>
        <v/>
      </c>
    </row>
    <row r="1354" spans="1:3" x14ac:dyDescent="0.25">
      <c r="A1354" s="186">
        <v>6.8675483560000004</v>
      </c>
      <c r="B1354" s="453">
        <v>0.43791671700000001</v>
      </c>
      <c r="C1354" t="str">
        <f t="shared" si="21"/>
        <v/>
      </c>
    </row>
    <row r="1355" spans="1:3" x14ac:dyDescent="0.25">
      <c r="A1355" s="186">
        <v>7.0777705229999999</v>
      </c>
      <c r="B1355" s="453">
        <v>0.45816567000000002</v>
      </c>
      <c r="C1355" t="str">
        <f t="shared" si="21"/>
        <v/>
      </c>
    </row>
    <row r="1356" spans="1:3" x14ac:dyDescent="0.25">
      <c r="A1356" s="186">
        <v>7.4942170810000004</v>
      </c>
      <c r="B1356" s="453">
        <v>5.5203661000000001E-2</v>
      </c>
      <c r="C1356" t="str">
        <f t="shared" si="21"/>
        <v/>
      </c>
    </row>
    <row r="1357" spans="1:3" x14ac:dyDescent="0.25">
      <c r="A1357" s="186">
        <v>7.4468510219999997</v>
      </c>
      <c r="B1357" s="453">
        <v>8.5345537999999999E-2</v>
      </c>
      <c r="C1357" t="str">
        <f t="shared" si="21"/>
        <v/>
      </c>
    </row>
    <row r="1358" spans="1:3" x14ac:dyDescent="0.25">
      <c r="A1358" s="186">
        <v>8.8640933420000003</v>
      </c>
      <c r="B1358" s="453">
        <v>0.243215294</v>
      </c>
      <c r="C1358" t="str">
        <f t="shared" si="21"/>
        <v/>
      </c>
    </row>
    <row r="1359" spans="1:3" x14ac:dyDescent="0.25">
      <c r="A1359" s="186">
        <v>7.7804940570000003</v>
      </c>
      <c r="B1359" s="453">
        <v>8.7982551000000006E-2</v>
      </c>
      <c r="C1359" t="str">
        <f t="shared" si="21"/>
        <v/>
      </c>
    </row>
    <row r="1360" spans="1:3" x14ac:dyDescent="0.25">
      <c r="A1360" s="186">
        <v>8.1246115969999995</v>
      </c>
      <c r="B1360" s="453">
        <v>0.14124713999999999</v>
      </c>
      <c r="C1360" t="str">
        <f t="shared" si="21"/>
        <v/>
      </c>
    </row>
    <row r="1361" spans="1:3" x14ac:dyDescent="0.25">
      <c r="A1361" s="186">
        <v>9.4208532750000007</v>
      </c>
      <c r="B1361" s="453">
        <v>0.24983791</v>
      </c>
      <c r="C1361" t="str">
        <f t="shared" si="21"/>
        <v/>
      </c>
    </row>
    <row r="1362" spans="1:3" x14ac:dyDescent="0.25">
      <c r="A1362" s="186">
        <v>10.302172130000001</v>
      </c>
      <c r="B1362" s="453">
        <v>0.20013552600000001</v>
      </c>
      <c r="C1362" t="str">
        <f t="shared" si="21"/>
        <v/>
      </c>
    </row>
    <row r="1363" spans="1:3" x14ac:dyDescent="0.25">
      <c r="A1363" s="186">
        <v>10.050366739999999</v>
      </c>
      <c r="B1363" s="453">
        <v>0.18308561400000001</v>
      </c>
      <c r="C1363" t="str">
        <f t="shared" si="21"/>
        <v/>
      </c>
    </row>
    <row r="1364" spans="1:3" x14ac:dyDescent="0.25">
      <c r="A1364" s="186">
        <v>9.8615127010000005</v>
      </c>
      <c r="B1364" s="453">
        <v>0.13966867699999999</v>
      </c>
      <c r="C1364" t="str">
        <f t="shared" si="21"/>
        <v/>
      </c>
    </row>
    <row r="1365" spans="1:3" x14ac:dyDescent="0.25">
      <c r="A1365" s="186">
        <v>11.243112630000001</v>
      </c>
      <c r="B1365" s="453">
        <v>0.914400557</v>
      </c>
      <c r="C1365" t="str">
        <f t="shared" si="21"/>
        <v/>
      </c>
    </row>
    <row r="1366" spans="1:3" x14ac:dyDescent="0.25">
      <c r="A1366" s="186">
        <v>9.9496445869999999</v>
      </c>
      <c r="B1366" s="453">
        <v>0.83518543899999997</v>
      </c>
      <c r="C1366" t="str">
        <f t="shared" si="21"/>
        <v/>
      </c>
    </row>
    <row r="1367" spans="1:3" x14ac:dyDescent="0.25">
      <c r="A1367" s="186">
        <v>10.0251862</v>
      </c>
      <c r="B1367" s="453">
        <v>1.006038947</v>
      </c>
      <c r="C1367" t="str">
        <f t="shared" si="21"/>
        <v/>
      </c>
    </row>
    <row r="1368" spans="1:3" x14ac:dyDescent="0.25">
      <c r="A1368" s="186">
        <v>11.158310439999999</v>
      </c>
      <c r="B1368" s="453">
        <v>1.0781946689999999</v>
      </c>
      <c r="C1368" t="str">
        <f t="shared" si="21"/>
        <v/>
      </c>
    </row>
    <row r="1369" spans="1:3" x14ac:dyDescent="0.25">
      <c r="A1369" s="186">
        <v>11.56119906</v>
      </c>
      <c r="B1369" s="453">
        <v>1.429622891</v>
      </c>
      <c r="C1369" t="str">
        <f t="shared" si="21"/>
        <v/>
      </c>
    </row>
    <row r="1370" spans="1:3" x14ac:dyDescent="0.25">
      <c r="A1370" s="186">
        <v>9.7230197389999997</v>
      </c>
      <c r="B1370" s="453">
        <v>0.56078810300000004</v>
      </c>
      <c r="C1370" t="str">
        <f t="shared" si="21"/>
        <v/>
      </c>
    </row>
    <row r="1371" spans="1:3" x14ac:dyDescent="0.25">
      <c r="A1371" s="186">
        <v>9.2949505820000002</v>
      </c>
      <c r="B1371" s="453">
        <v>0.63104500399999996</v>
      </c>
      <c r="C1371" t="str">
        <f t="shared" si="21"/>
        <v/>
      </c>
    </row>
    <row r="1372" spans="1:3" x14ac:dyDescent="0.25">
      <c r="A1372" s="186">
        <v>7.2333414359999999</v>
      </c>
      <c r="B1372" s="453">
        <v>0.43038357300000002</v>
      </c>
      <c r="C1372" t="str">
        <f t="shared" si="21"/>
        <v/>
      </c>
    </row>
    <row r="1373" spans="1:3" x14ac:dyDescent="0.25">
      <c r="A1373" s="186">
        <v>6.1367502119999999</v>
      </c>
      <c r="B1373" s="453">
        <v>0.490224728</v>
      </c>
      <c r="C1373" t="str">
        <f t="shared" si="21"/>
        <v/>
      </c>
    </row>
    <row r="1374" spans="1:3" x14ac:dyDescent="0.25">
      <c r="A1374" s="186">
        <v>6.1367502119999999</v>
      </c>
      <c r="B1374" s="453">
        <v>0.56757351700000003</v>
      </c>
      <c r="C1374" t="str">
        <f t="shared" si="21"/>
        <v/>
      </c>
    </row>
    <row r="1375" spans="1:3" x14ac:dyDescent="0.25">
      <c r="A1375" s="186">
        <v>6.0388617719999997</v>
      </c>
      <c r="B1375" s="453">
        <v>0.58711560200000001</v>
      </c>
      <c r="C1375" t="str">
        <f t="shared" si="21"/>
        <v/>
      </c>
    </row>
    <row r="1376" spans="1:3" x14ac:dyDescent="0.25">
      <c r="A1376" s="186">
        <v>5.6424969579999997</v>
      </c>
      <c r="B1376" s="453">
        <v>0.10946700099999999</v>
      </c>
      <c r="C1376" t="str">
        <f t="shared" si="21"/>
        <v/>
      </c>
    </row>
    <row r="1377" spans="1:3" x14ac:dyDescent="0.25">
      <c r="A1377" s="186">
        <v>5.5041950929999999</v>
      </c>
      <c r="B1377" s="453">
        <v>8.8562657000000003E-2</v>
      </c>
      <c r="C1377" t="str">
        <f t="shared" si="21"/>
        <v/>
      </c>
    </row>
    <row r="1378" spans="1:3" x14ac:dyDescent="0.25">
      <c r="A1378" s="186">
        <v>5.6889511500000003</v>
      </c>
      <c r="B1378" s="453">
        <v>0.11115789500000001</v>
      </c>
      <c r="C1378" t="str">
        <f t="shared" si="21"/>
        <v/>
      </c>
    </row>
    <row r="1379" spans="1:3" x14ac:dyDescent="0.25">
      <c r="A1379" s="186">
        <v>5.0893967240000002</v>
      </c>
      <c r="B1379" s="453">
        <v>5.8051796000000003E-2</v>
      </c>
      <c r="C1379" t="str">
        <f t="shared" si="21"/>
        <v/>
      </c>
    </row>
    <row r="1380" spans="1:3" x14ac:dyDescent="0.25">
      <c r="A1380" s="186">
        <v>4.9184800439999998</v>
      </c>
      <c r="B1380" s="453">
        <v>4.9870300999999999E-2</v>
      </c>
      <c r="C1380" t="str">
        <f t="shared" si="21"/>
        <v/>
      </c>
    </row>
    <row r="1381" spans="1:3" x14ac:dyDescent="0.25">
      <c r="A1381" s="19">
        <v>9.5994630000000001</v>
      </c>
      <c r="B1381" s="455">
        <v>8.8850339777874193E-3</v>
      </c>
      <c r="C1381" t="str">
        <f t="shared" si="21"/>
        <v/>
      </c>
    </row>
    <row r="1382" spans="1:3" x14ac:dyDescent="0.25">
      <c r="A1382" s="19">
        <v>9.5994630000000001</v>
      </c>
      <c r="B1382" s="455">
        <v>4.8788171878029564E-2</v>
      </c>
      <c r="C1382" t="str">
        <f t="shared" si="21"/>
        <v/>
      </c>
    </row>
    <row r="1383" spans="1:3" x14ac:dyDescent="0.25">
      <c r="A1383" s="19">
        <v>10.76046</v>
      </c>
      <c r="B1383" s="455">
        <v>2.6765027933087434E-2</v>
      </c>
      <c r="C1383" t="str">
        <f t="shared" si="21"/>
        <v/>
      </c>
    </row>
    <row r="1384" spans="1:3" x14ac:dyDescent="0.25">
      <c r="A1384" s="19">
        <v>10.873728</v>
      </c>
      <c r="B1384" s="455">
        <v>6.9106904827232751E-2</v>
      </c>
      <c r="C1384" t="str">
        <f t="shared" si="21"/>
        <v/>
      </c>
    </row>
    <row r="1385" spans="1:3" x14ac:dyDescent="0.25">
      <c r="A1385" s="19">
        <v>12.969185999999999</v>
      </c>
      <c r="B1385" s="455">
        <v>0.11486297142017043</v>
      </c>
      <c r="C1385" t="str">
        <f t="shared" si="21"/>
        <v/>
      </c>
    </row>
    <row r="1386" spans="1:3" x14ac:dyDescent="0.25">
      <c r="A1386" s="19">
        <v>13.110771</v>
      </c>
      <c r="B1386" s="455">
        <v>3.9165047235420712E-2</v>
      </c>
      <c r="C1386" t="str">
        <f t="shared" si="21"/>
        <v/>
      </c>
    </row>
    <row r="1387" spans="1:3" x14ac:dyDescent="0.25">
      <c r="A1387" s="19">
        <v>28.883339999999997</v>
      </c>
      <c r="B1387" s="455">
        <v>1.0180354689606141</v>
      </c>
      <c r="C1387" t="str">
        <f t="shared" si="21"/>
        <v/>
      </c>
    </row>
    <row r="1388" spans="1:3" x14ac:dyDescent="0.25">
      <c r="A1388" s="19">
        <v>28.883339999999997</v>
      </c>
      <c r="B1388" s="455">
        <v>0.67800167041410986</v>
      </c>
      <c r="C1388" t="str">
        <f t="shared" si="21"/>
        <v/>
      </c>
    </row>
    <row r="1389" spans="1:3" x14ac:dyDescent="0.25">
      <c r="A1389" s="19">
        <v>27.071051999999998</v>
      </c>
      <c r="B1389" s="455">
        <v>0.97330301166026911</v>
      </c>
      <c r="C1389" t="str">
        <f t="shared" si="21"/>
        <v/>
      </c>
    </row>
    <row r="1390" spans="1:3" x14ac:dyDescent="0.25">
      <c r="A1390" s="19">
        <v>27.495806999999999</v>
      </c>
      <c r="B1390" s="455">
        <v>1.2114001344608631</v>
      </c>
      <c r="C1390" t="str">
        <f t="shared" si="21"/>
        <v/>
      </c>
    </row>
    <row r="1391" spans="1:3" x14ac:dyDescent="0.25">
      <c r="A1391" s="19">
        <v>26.419760999999998</v>
      </c>
      <c r="B1391" s="455">
        <v>0.61691154586426844</v>
      </c>
      <c r="C1391" t="str">
        <f t="shared" si="21"/>
        <v/>
      </c>
    </row>
    <row r="1392" spans="1:3" x14ac:dyDescent="0.25">
      <c r="A1392" s="19">
        <v>26.646296999999997</v>
      </c>
      <c r="B1392" s="455">
        <v>0.26243698504706603</v>
      </c>
      <c r="C1392" t="str">
        <f t="shared" si="21"/>
        <v/>
      </c>
    </row>
    <row r="1393" spans="1:3" x14ac:dyDescent="0.25">
      <c r="A1393" s="19">
        <v>28.317</v>
      </c>
      <c r="B1393" s="455">
        <v>0.44487718873709597</v>
      </c>
      <c r="C1393" t="str">
        <f t="shared" si="21"/>
        <v/>
      </c>
    </row>
    <row r="1394" spans="1:3" x14ac:dyDescent="0.25">
      <c r="A1394" s="19">
        <v>28.317</v>
      </c>
      <c r="B1394" s="455">
        <v>0.64818645019343901</v>
      </c>
      <c r="C1394" t="str">
        <f t="shared" si="21"/>
        <v/>
      </c>
    </row>
    <row r="1395" spans="1:3" x14ac:dyDescent="0.25">
      <c r="A1395" s="19">
        <v>28.118780999999998</v>
      </c>
      <c r="B1395" s="455">
        <v>0.72780740107521846</v>
      </c>
      <c r="C1395" t="str">
        <f t="shared" si="21"/>
        <v/>
      </c>
    </row>
    <row r="1396" spans="1:3" x14ac:dyDescent="0.25">
      <c r="A1396" s="19">
        <v>27.920561999999997</v>
      </c>
      <c r="B1396" s="455">
        <v>0.7673272623989924</v>
      </c>
      <c r="C1396" t="str">
        <f t="shared" si="21"/>
        <v/>
      </c>
    </row>
    <row r="1397" spans="1:3" x14ac:dyDescent="0.25">
      <c r="A1397" s="19">
        <v>23.389841999999998</v>
      </c>
      <c r="B1397" s="455">
        <v>0.45323886943279851</v>
      </c>
      <c r="C1397" t="str">
        <f t="shared" si="21"/>
        <v/>
      </c>
    </row>
    <row r="1398" spans="1:3" x14ac:dyDescent="0.25">
      <c r="A1398" s="19">
        <v>23.389841999999998</v>
      </c>
      <c r="B1398" s="455">
        <v>0.39211085744077551</v>
      </c>
      <c r="C1398" t="str">
        <f t="shared" si="21"/>
        <v/>
      </c>
    </row>
    <row r="1399" spans="1:3" x14ac:dyDescent="0.25">
      <c r="A1399" s="19">
        <v>21.662504999999999</v>
      </c>
      <c r="B1399" s="455">
        <v>0.10878639632803401</v>
      </c>
      <c r="C1399" t="str">
        <f t="shared" si="21"/>
        <v/>
      </c>
    </row>
    <row r="1400" spans="1:3" x14ac:dyDescent="0.25">
      <c r="A1400" s="19">
        <v>21.662504999999999</v>
      </c>
      <c r="B1400" s="455">
        <v>0.10794278403014305</v>
      </c>
      <c r="C1400" t="str">
        <f t="shared" si="21"/>
        <v/>
      </c>
    </row>
    <row r="1401" spans="1:3" x14ac:dyDescent="0.25">
      <c r="A1401" s="19">
        <v>22.427063999999998</v>
      </c>
      <c r="B1401" s="455">
        <v>0.16551157556725127</v>
      </c>
      <c r="C1401" t="str">
        <f t="shared" si="21"/>
        <v/>
      </c>
    </row>
    <row r="1402" spans="1:3" x14ac:dyDescent="0.25">
      <c r="A1402" s="19">
        <v>22.625283</v>
      </c>
      <c r="B1402" s="455">
        <v>0.21846078929659932</v>
      </c>
      <c r="C1402" t="str">
        <f t="shared" si="21"/>
        <v/>
      </c>
    </row>
    <row r="1403" spans="1:3" x14ac:dyDescent="0.25">
      <c r="A1403" s="19">
        <v>24.380936999999999</v>
      </c>
      <c r="B1403" s="455">
        <v>0.48322355280363416</v>
      </c>
      <c r="C1403" t="str">
        <f t="shared" si="21"/>
        <v/>
      </c>
    </row>
    <row r="1404" spans="1:3" x14ac:dyDescent="0.25">
      <c r="A1404" s="19">
        <v>24.380936999999999</v>
      </c>
      <c r="B1404" s="455">
        <v>0.42523253867948158</v>
      </c>
      <c r="C1404" t="str">
        <f t="shared" si="21"/>
        <v/>
      </c>
    </row>
    <row r="1405" spans="1:3" x14ac:dyDescent="0.25">
      <c r="A1405" s="19">
        <v>19.991802</v>
      </c>
      <c r="B1405" s="455">
        <v>0.16647037853168395</v>
      </c>
      <c r="C1405" t="str">
        <f t="shared" si="21"/>
        <v/>
      </c>
    </row>
    <row r="1406" spans="1:3" x14ac:dyDescent="0.25">
      <c r="A1406" s="19">
        <v>19.991802</v>
      </c>
      <c r="B1406" s="455">
        <v>0.13079904987300237</v>
      </c>
      <c r="C1406" t="str">
        <f t="shared" si="21"/>
        <v/>
      </c>
    </row>
    <row r="1407" spans="1:3" x14ac:dyDescent="0.25">
      <c r="A1407" s="19">
        <v>18.915755999999998</v>
      </c>
      <c r="B1407" s="455">
        <v>0.20411946611140389</v>
      </c>
      <c r="C1407" t="str">
        <f t="shared" si="21"/>
        <v/>
      </c>
    </row>
    <row r="1408" spans="1:3" x14ac:dyDescent="0.25">
      <c r="A1408" s="19">
        <v>18.915755999999998</v>
      </c>
      <c r="B1408" s="455">
        <v>0.15930158643866388</v>
      </c>
      <c r="C1408" t="str">
        <f t="shared" si="21"/>
        <v/>
      </c>
    </row>
    <row r="1409" spans="1:3" x14ac:dyDescent="0.25">
      <c r="A1409" s="19">
        <v>17.386637999999998</v>
      </c>
      <c r="B1409" s="455">
        <v>0.18353175666590782</v>
      </c>
      <c r="C1409" t="str">
        <f t="shared" si="21"/>
        <v/>
      </c>
    </row>
    <row r="1410" spans="1:3" x14ac:dyDescent="0.25">
      <c r="A1410" s="19">
        <v>17.386637999999998</v>
      </c>
      <c r="B1410" s="455">
        <v>0.11704998570737504</v>
      </c>
      <c r="C1410" t="str">
        <f t="shared" si="21"/>
        <v/>
      </c>
    </row>
    <row r="1411" spans="1:3" x14ac:dyDescent="0.25">
      <c r="A1411" s="19">
        <v>15.574349999999999</v>
      </c>
      <c r="B1411" s="455">
        <v>5.3926793865183016E-2</v>
      </c>
      <c r="C1411" t="str">
        <f t="shared" si="21"/>
        <v/>
      </c>
    </row>
    <row r="1412" spans="1:3" x14ac:dyDescent="0.25">
      <c r="A1412" s="19">
        <v>15.574349999999999</v>
      </c>
      <c r="B1412" s="455">
        <v>6.6237947834405134E-2</v>
      </c>
      <c r="C1412" t="str">
        <f t="shared" si="21"/>
        <v/>
      </c>
    </row>
    <row r="1413" spans="1:3" x14ac:dyDescent="0.25">
      <c r="A1413" s="19">
        <v>18.745853999999998</v>
      </c>
      <c r="B1413" s="455">
        <v>0.13749880471547754</v>
      </c>
      <c r="C1413" t="str">
        <f t="shared" si="21"/>
        <v/>
      </c>
    </row>
    <row r="1414" spans="1:3" x14ac:dyDescent="0.25">
      <c r="A1414" s="19">
        <v>18.915755999999998</v>
      </c>
      <c r="B1414" s="455">
        <v>0.10904826572737934</v>
      </c>
      <c r="C1414" t="str">
        <f t="shared" ref="C1414:C1477" si="22">IF(B1414=0,"XXXXXXXX","")</f>
        <v/>
      </c>
    </row>
    <row r="1415" spans="1:3" x14ac:dyDescent="0.25">
      <c r="A1415" s="19">
        <v>22.625283</v>
      </c>
      <c r="B1415" s="455">
        <v>0.53939913052407817</v>
      </c>
      <c r="C1415" t="str">
        <f t="shared" si="22"/>
        <v/>
      </c>
    </row>
    <row r="1416" spans="1:3" x14ac:dyDescent="0.25">
      <c r="A1416" s="19">
        <v>22.625283</v>
      </c>
      <c r="B1416" s="455">
        <v>0.62327225995272029</v>
      </c>
      <c r="C1416" t="str">
        <f t="shared" si="22"/>
        <v/>
      </c>
    </row>
    <row r="1417" spans="1:3" x14ac:dyDescent="0.25">
      <c r="A1417" s="19">
        <v>28.317</v>
      </c>
      <c r="B1417" s="455">
        <v>1.2394410147435375</v>
      </c>
      <c r="C1417" t="str">
        <f t="shared" si="22"/>
        <v/>
      </c>
    </row>
    <row r="1418" spans="1:3" x14ac:dyDescent="0.25">
      <c r="A1418" s="19">
        <v>28.317</v>
      </c>
      <c r="B1418" s="455">
        <v>2.0267611380642321</v>
      </c>
      <c r="C1418" t="str">
        <f t="shared" si="22"/>
        <v/>
      </c>
    </row>
    <row r="1419" spans="1:3" x14ac:dyDescent="0.25">
      <c r="A1419" s="19">
        <v>30.86553</v>
      </c>
      <c r="B1419" s="455">
        <v>3.8926330174384307</v>
      </c>
      <c r="C1419" t="str">
        <f t="shared" si="22"/>
        <v/>
      </c>
    </row>
    <row r="1420" spans="1:3" x14ac:dyDescent="0.25">
      <c r="A1420" s="19">
        <v>30.86553</v>
      </c>
      <c r="B1420" s="455">
        <v>1.2745172811272318</v>
      </c>
      <c r="C1420" t="str">
        <f t="shared" si="22"/>
        <v/>
      </c>
    </row>
    <row r="1421" spans="1:3" x14ac:dyDescent="0.25">
      <c r="A1421" s="19">
        <v>29.166509999999999</v>
      </c>
      <c r="B1421" s="455">
        <v>0.54952323413081761</v>
      </c>
      <c r="C1421" t="str">
        <f t="shared" si="22"/>
        <v/>
      </c>
    </row>
    <row r="1422" spans="1:3" x14ac:dyDescent="0.25">
      <c r="A1422" s="19">
        <v>28.883339999999997</v>
      </c>
      <c r="B1422" s="455">
        <v>0.86892926418584993</v>
      </c>
      <c r="C1422" t="str">
        <f t="shared" si="22"/>
        <v/>
      </c>
    </row>
    <row r="1423" spans="1:3" x14ac:dyDescent="0.25">
      <c r="A1423" s="19">
        <v>28.883339999999997</v>
      </c>
      <c r="B1423" s="455">
        <v>0.65951411348598654</v>
      </c>
      <c r="C1423" t="str">
        <f t="shared" si="22"/>
        <v/>
      </c>
    </row>
    <row r="1424" spans="1:3" x14ac:dyDescent="0.25">
      <c r="A1424" s="19">
        <v>28.883339999999997</v>
      </c>
      <c r="B1424" s="455">
        <v>1.111716464211143</v>
      </c>
      <c r="C1424" t="str">
        <f t="shared" si="22"/>
        <v/>
      </c>
    </row>
    <row r="1425" spans="1:3" x14ac:dyDescent="0.25">
      <c r="A1425" s="19">
        <v>26.023322999999998</v>
      </c>
      <c r="B1425" s="455">
        <v>0.28606072660873472</v>
      </c>
      <c r="C1425" t="str">
        <f t="shared" si="22"/>
        <v/>
      </c>
    </row>
    <row r="1426" spans="1:3" x14ac:dyDescent="0.25">
      <c r="A1426" s="19">
        <v>26.023322999999998</v>
      </c>
      <c r="B1426" s="455">
        <v>0.34653095344433726</v>
      </c>
      <c r="C1426" t="str">
        <f t="shared" si="22"/>
        <v/>
      </c>
    </row>
    <row r="1427" spans="1:3" x14ac:dyDescent="0.25">
      <c r="A1427" s="19">
        <v>26.023322999999998</v>
      </c>
      <c r="B1427" s="455">
        <v>0.31154910614078901</v>
      </c>
      <c r="C1427" t="str">
        <f t="shared" si="22"/>
        <v/>
      </c>
    </row>
    <row r="1428" spans="1:3" x14ac:dyDescent="0.25">
      <c r="A1428" s="19">
        <v>26.023322999999998</v>
      </c>
      <c r="B1428" s="455">
        <v>0.28071591982035043</v>
      </c>
      <c r="C1428" t="str">
        <f t="shared" si="22"/>
        <v/>
      </c>
    </row>
    <row r="1429" spans="1:3" x14ac:dyDescent="0.25">
      <c r="A1429" s="19">
        <v>22.030625999999998</v>
      </c>
      <c r="B1429" s="455">
        <v>0.31123519352310175</v>
      </c>
      <c r="C1429" t="str">
        <f t="shared" si="22"/>
        <v/>
      </c>
    </row>
    <row r="1430" spans="1:3" x14ac:dyDescent="0.25">
      <c r="A1430" s="19">
        <v>22.030625999999998</v>
      </c>
      <c r="B1430" s="455">
        <v>0.33080811760198325</v>
      </c>
      <c r="C1430" t="str">
        <f t="shared" si="22"/>
        <v/>
      </c>
    </row>
    <row r="1431" spans="1:3" x14ac:dyDescent="0.25">
      <c r="A1431" s="19">
        <v>21.096164999999999</v>
      </c>
      <c r="B1431" s="455">
        <v>0.24131303766877679</v>
      </c>
      <c r="C1431" t="str">
        <f t="shared" si="22"/>
        <v/>
      </c>
    </row>
    <row r="1432" spans="1:3" x14ac:dyDescent="0.25">
      <c r="A1432" s="19">
        <v>17.896343999999999</v>
      </c>
      <c r="B1432" s="455">
        <v>8.9468324776329183E-2</v>
      </c>
      <c r="C1432" t="str">
        <f t="shared" si="22"/>
        <v/>
      </c>
    </row>
    <row r="1433" spans="1:3" x14ac:dyDescent="0.25">
      <c r="A1433" s="19">
        <v>17.556539999999998</v>
      </c>
      <c r="B1433" s="455">
        <v>6.032844884917888E-2</v>
      </c>
      <c r="C1433" t="str">
        <f t="shared" si="22"/>
        <v/>
      </c>
    </row>
    <row r="1434" spans="1:3" x14ac:dyDescent="0.25">
      <c r="A1434" s="19">
        <v>13.563842999999999</v>
      </c>
      <c r="B1434" s="455">
        <v>2.1362471946593822E-2</v>
      </c>
      <c r="C1434" t="str">
        <f t="shared" si="22"/>
        <v/>
      </c>
    </row>
    <row r="1435" spans="1:3" x14ac:dyDescent="0.25">
      <c r="A1435" s="19">
        <v>13.563842999999999</v>
      </c>
      <c r="B1435" s="455">
        <v>3.2081093919797271E-2</v>
      </c>
      <c r="C1435" t="str">
        <f t="shared" si="22"/>
        <v/>
      </c>
    </row>
    <row r="1436" spans="1:3" x14ac:dyDescent="0.25">
      <c r="A1436" s="19">
        <v>12.544430999999999</v>
      </c>
      <c r="B1436" s="455">
        <v>5.3668718865828205E-2</v>
      </c>
      <c r="C1436" t="str">
        <f t="shared" si="22"/>
        <v/>
      </c>
    </row>
    <row r="1437" spans="1:3" x14ac:dyDescent="0.25">
      <c r="A1437" s="19">
        <v>12.544430999999999</v>
      </c>
      <c r="B1437" s="455">
        <v>4.1494832896262913E-2</v>
      </c>
      <c r="C1437" t="str">
        <f t="shared" si="22"/>
        <v/>
      </c>
    </row>
    <row r="1438" spans="1:3" x14ac:dyDescent="0.25">
      <c r="A1438" s="19">
        <v>12.261260999999999</v>
      </c>
      <c r="B1438" s="455">
        <v>2.1670487945823786E-2</v>
      </c>
      <c r="C1438" t="str">
        <f t="shared" si="22"/>
        <v/>
      </c>
    </row>
    <row r="1439" spans="1:3" x14ac:dyDescent="0.25">
      <c r="A1439" s="19">
        <v>12.261260999999999</v>
      </c>
      <c r="B1439" s="455">
        <v>0.11049711272375723</v>
      </c>
      <c r="C1439" t="str">
        <f t="shared" si="22"/>
        <v/>
      </c>
    </row>
    <row r="1440" spans="1:3" x14ac:dyDescent="0.25">
      <c r="A1440" s="19">
        <v>11.694920999999999</v>
      </c>
      <c r="B1440" s="455">
        <v>1.7051363957371592E-2</v>
      </c>
      <c r="C1440" t="str">
        <f t="shared" si="22"/>
        <v/>
      </c>
    </row>
    <row r="1441" spans="1:3" x14ac:dyDescent="0.25">
      <c r="A1441" s="19">
        <v>11.553336</v>
      </c>
      <c r="B1441" s="455">
        <v>1.3782599965543501E-2</v>
      </c>
      <c r="C1441" t="str">
        <f t="shared" si="22"/>
        <v/>
      </c>
    </row>
    <row r="1442" spans="1:3" x14ac:dyDescent="0.25">
      <c r="A1442" s="19">
        <v>11.553336</v>
      </c>
      <c r="B1442" s="455">
        <v>2.3471711941320715E-2</v>
      </c>
      <c r="C1442" t="str">
        <f t="shared" si="22"/>
        <v/>
      </c>
    </row>
    <row r="1443" spans="1:3" x14ac:dyDescent="0.25">
      <c r="A1443" s="19">
        <v>11.694920999999999</v>
      </c>
      <c r="B1443" s="455">
        <v>0.10454129973864675</v>
      </c>
      <c r="C1443" t="str">
        <f t="shared" si="22"/>
        <v/>
      </c>
    </row>
    <row r="1444" spans="1:3" x14ac:dyDescent="0.25">
      <c r="A1444" s="19">
        <v>10.364022</v>
      </c>
      <c r="B1444" s="455">
        <v>8.0112059799719842E-3</v>
      </c>
      <c r="C1444" t="str">
        <f t="shared" si="22"/>
        <v/>
      </c>
    </row>
    <row r="1445" spans="1:3" x14ac:dyDescent="0.25">
      <c r="A1445" s="19">
        <v>10.364022</v>
      </c>
      <c r="B1445" s="455">
        <v>1.4118794964703014E-2</v>
      </c>
      <c r="C1445" t="str">
        <f t="shared" si="22"/>
        <v/>
      </c>
    </row>
    <row r="1446" spans="1:3" x14ac:dyDescent="0.25">
      <c r="A1446" s="19">
        <v>10.222436999999999</v>
      </c>
      <c r="B1446" s="455">
        <v>1.3166009967084976E-2</v>
      </c>
      <c r="C1446" t="str">
        <f t="shared" si="22"/>
        <v/>
      </c>
    </row>
    <row r="1447" spans="1:3" x14ac:dyDescent="0.25">
      <c r="A1447" s="19">
        <v>10.364022</v>
      </c>
      <c r="B1447" s="455">
        <v>1.9227284951931788E-2</v>
      </c>
      <c r="C1447" t="str">
        <f t="shared" si="22"/>
        <v/>
      </c>
    </row>
    <row r="1448" spans="1:3" x14ac:dyDescent="0.25">
      <c r="A1448" s="19">
        <v>11.411750999999999</v>
      </c>
      <c r="B1448" s="455">
        <v>1.5021359962446601E-2</v>
      </c>
      <c r="C1448" t="str">
        <f t="shared" si="22"/>
        <v/>
      </c>
    </row>
    <row r="1449" spans="1:3" x14ac:dyDescent="0.25">
      <c r="A1449" s="19">
        <v>11.298482999999999</v>
      </c>
      <c r="B1449" s="455">
        <v>5.7270329856824169E-2</v>
      </c>
      <c r="C1449" t="str">
        <f t="shared" si="22"/>
        <v/>
      </c>
    </row>
    <row r="1450" spans="1:3" x14ac:dyDescent="0.25">
      <c r="A1450" s="19">
        <v>11.156898</v>
      </c>
      <c r="B1450" s="455">
        <v>5.3615429865961428E-3</v>
      </c>
      <c r="C1450" t="str">
        <f t="shared" si="22"/>
        <v/>
      </c>
    </row>
    <row r="1451" spans="1:3" x14ac:dyDescent="0.25">
      <c r="A1451" s="19">
        <v>11.156898</v>
      </c>
      <c r="B1451" s="455">
        <v>6.1631099845922245E-3</v>
      </c>
      <c r="C1451" t="str">
        <f t="shared" si="22"/>
        <v/>
      </c>
    </row>
    <row r="1452" spans="1:3" x14ac:dyDescent="0.25">
      <c r="A1452" s="19">
        <v>12.544430999999999</v>
      </c>
      <c r="B1452" s="455">
        <v>2.0726630948183423E-2</v>
      </c>
      <c r="C1452" t="str">
        <f t="shared" si="22"/>
        <v/>
      </c>
    </row>
    <row r="1453" spans="1:3" x14ac:dyDescent="0.25">
      <c r="A1453" s="19">
        <v>12.544430999999999</v>
      </c>
      <c r="B1453" s="455">
        <v>2.373397194066507E-2</v>
      </c>
      <c r="C1453" t="str">
        <f t="shared" si="22"/>
        <v/>
      </c>
    </row>
    <row r="1454" spans="1:3" x14ac:dyDescent="0.25">
      <c r="A1454" s="19">
        <v>12.119676</v>
      </c>
      <c r="B1454" s="455">
        <v>5.4979739862550649E-2</v>
      </c>
      <c r="C1454" t="str">
        <f t="shared" si="22"/>
        <v/>
      </c>
    </row>
    <row r="1455" spans="1:3" x14ac:dyDescent="0.25">
      <c r="A1455" s="19">
        <v>12.119676</v>
      </c>
      <c r="B1455" s="455">
        <v>4.2258455894353855E-2</v>
      </c>
      <c r="C1455" t="str">
        <f t="shared" si="22"/>
        <v/>
      </c>
    </row>
    <row r="1456" spans="1:3" x14ac:dyDescent="0.25">
      <c r="A1456" s="19">
        <v>11.978090999999999</v>
      </c>
      <c r="B1456" s="455">
        <v>1.967173195082067E-2</v>
      </c>
      <c r="C1456" t="str">
        <f t="shared" si="22"/>
        <v/>
      </c>
    </row>
    <row r="1457" spans="1:3" x14ac:dyDescent="0.25">
      <c r="A1457" s="19">
        <v>11.978090999999999</v>
      </c>
      <c r="B1457" s="455">
        <v>3.6129104909677232E-2</v>
      </c>
      <c r="C1457" t="str">
        <f t="shared" si="22"/>
        <v/>
      </c>
    </row>
    <row r="1458" spans="1:3" x14ac:dyDescent="0.25">
      <c r="A1458" s="19">
        <v>10.364022</v>
      </c>
      <c r="B1458" s="455">
        <v>2.4572924938567688E-2</v>
      </c>
      <c r="C1458" t="str">
        <f t="shared" si="22"/>
        <v/>
      </c>
    </row>
    <row r="1459" spans="1:3" x14ac:dyDescent="0.25">
      <c r="A1459" s="19">
        <v>10.364022</v>
      </c>
      <c r="B1459" s="455">
        <v>1.5022475962443811E-2</v>
      </c>
      <c r="C1459" t="str">
        <f t="shared" si="22"/>
        <v/>
      </c>
    </row>
    <row r="1460" spans="1:3" x14ac:dyDescent="0.25">
      <c r="A1460" s="19">
        <v>9.4861949999999986</v>
      </c>
      <c r="B1460" s="455">
        <v>2.6881649932795879E-2</v>
      </c>
      <c r="C1460" t="str">
        <f t="shared" si="22"/>
        <v/>
      </c>
    </row>
    <row r="1461" spans="1:3" x14ac:dyDescent="0.25">
      <c r="A1461" s="19">
        <v>9.3446099999999994</v>
      </c>
      <c r="B1461" s="455">
        <v>3.2358419919103951E-3</v>
      </c>
      <c r="C1461" t="str">
        <f t="shared" si="22"/>
        <v/>
      </c>
    </row>
    <row r="1462" spans="1:3" x14ac:dyDescent="0.25">
      <c r="A1462" s="19">
        <v>8.495099999999999</v>
      </c>
      <c r="B1462" s="455">
        <v>3.6401129908997182E-3</v>
      </c>
      <c r="C1462" t="str">
        <f t="shared" si="22"/>
        <v/>
      </c>
    </row>
    <row r="1463" spans="1:3" x14ac:dyDescent="0.25">
      <c r="A1463" s="19">
        <v>8.495099999999999</v>
      </c>
      <c r="B1463" s="455">
        <v>1.9661687950845781E-2</v>
      </c>
      <c r="C1463" t="str">
        <f t="shared" si="22"/>
        <v/>
      </c>
    </row>
    <row r="1464" spans="1:3" x14ac:dyDescent="0.25">
      <c r="A1464" s="19">
        <v>8.495099999999999</v>
      </c>
      <c r="B1464" s="455">
        <v>6.3305099841737249E-3</v>
      </c>
      <c r="C1464" t="str">
        <f t="shared" si="22"/>
        <v/>
      </c>
    </row>
    <row r="1465" spans="1:3" x14ac:dyDescent="0.25">
      <c r="A1465" s="19">
        <v>8.495099999999999</v>
      </c>
      <c r="B1465" s="455">
        <v>9.444149976389626E-3</v>
      </c>
      <c r="C1465" t="str">
        <f t="shared" si="22"/>
        <v/>
      </c>
    </row>
    <row r="1466" spans="1:3" x14ac:dyDescent="0.25">
      <c r="A1466" s="19">
        <v>8.3818319999999993</v>
      </c>
      <c r="B1466" s="455">
        <v>7.7218829806952917E-3</v>
      </c>
      <c r="C1466" t="str">
        <f t="shared" si="22"/>
        <v/>
      </c>
    </row>
    <row r="1467" spans="1:3" x14ac:dyDescent="0.25">
      <c r="A1467" s="19">
        <v>8.3818319999999993</v>
      </c>
      <c r="B1467" s="455">
        <v>1.8243251954391873E-2</v>
      </c>
      <c r="C1467" t="str">
        <f t="shared" si="22"/>
        <v/>
      </c>
    </row>
    <row r="1468" spans="1:3" x14ac:dyDescent="0.25">
      <c r="A1468" s="19">
        <v>8.1552959999999999</v>
      </c>
      <c r="B1468" s="455">
        <v>1.6370045959074889E-2</v>
      </c>
      <c r="C1468" t="str">
        <f t="shared" si="22"/>
        <v/>
      </c>
    </row>
    <row r="1469" spans="1:3" x14ac:dyDescent="0.25">
      <c r="A1469" s="19">
        <v>6.937665</v>
      </c>
      <c r="B1469" s="455">
        <v>3.4623899913440253E-3</v>
      </c>
      <c r="C1469" t="str">
        <f t="shared" si="22"/>
        <v/>
      </c>
    </row>
    <row r="1470" spans="1:3" x14ac:dyDescent="0.25">
      <c r="A1470" s="19">
        <v>6.937665</v>
      </c>
      <c r="B1470" s="455">
        <v>1.7800199955499503E-3</v>
      </c>
      <c r="C1470" t="str">
        <f t="shared" si="22"/>
        <v/>
      </c>
    </row>
    <row r="1471" spans="1:3" x14ac:dyDescent="0.25">
      <c r="A1471" s="19">
        <v>6.5129099999999998</v>
      </c>
      <c r="B1471" s="455">
        <v>1.7511155956222109E-2</v>
      </c>
      <c r="C1471" t="str">
        <f t="shared" si="22"/>
        <v/>
      </c>
    </row>
    <row r="1472" spans="1:3" x14ac:dyDescent="0.25">
      <c r="A1472" s="19">
        <v>6.4279589999999995</v>
      </c>
      <c r="B1472" s="455">
        <v>2.9345219926636954E-3</v>
      </c>
      <c r="C1472" t="str">
        <f t="shared" si="22"/>
        <v/>
      </c>
    </row>
    <row r="1473" spans="1:3" x14ac:dyDescent="0.25">
      <c r="A1473" s="19">
        <v>6.4279589999999995</v>
      </c>
      <c r="B1473" s="455">
        <v>1.3489649966275878E-2</v>
      </c>
      <c r="C1473" t="str">
        <f t="shared" si="22"/>
        <v/>
      </c>
    </row>
    <row r="1474" spans="1:3" x14ac:dyDescent="0.25">
      <c r="A1474" s="19">
        <v>6.4279589999999995</v>
      </c>
      <c r="B1474" s="455">
        <v>1.9354229951614423E-2</v>
      </c>
      <c r="C1474" t="str">
        <f t="shared" si="22"/>
        <v/>
      </c>
    </row>
    <row r="1475" spans="1:3" x14ac:dyDescent="0.25">
      <c r="A1475" s="19">
        <v>6.2297399999999996</v>
      </c>
      <c r="B1475" s="455">
        <v>2.6449199933876997E-3</v>
      </c>
      <c r="C1475" t="str">
        <f t="shared" si="22"/>
        <v/>
      </c>
    </row>
    <row r="1476" spans="1:3" x14ac:dyDescent="0.25">
      <c r="A1476" s="19">
        <v>6.2297399999999996</v>
      </c>
      <c r="B1476" s="455">
        <v>4.8545999878635E-4</v>
      </c>
      <c r="C1476" t="str">
        <f t="shared" si="22"/>
        <v/>
      </c>
    </row>
    <row r="1477" spans="1:3" x14ac:dyDescent="0.25">
      <c r="A1477" s="19">
        <v>6.1164719999999999</v>
      </c>
      <c r="B1477" s="455">
        <v>2.4328799939177998E-3</v>
      </c>
      <c r="C1477" t="str">
        <f t="shared" si="22"/>
        <v/>
      </c>
    </row>
    <row r="1478" spans="1:3" x14ac:dyDescent="0.25">
      <c r="A1478" s="19">
        <v>6.1164719999999999</v>
      </c>
      <c r="B1478" s="455">
        <v>2.7174599932063498E-3</v>
      </c>
      <c r="C1478" t="str">
        <f t="shared" ref="C1478:C1541" si="23">IF(B1478=0,"XXXXXXXX","")</f>
        <v/>
      </c>
    </row>
    <row r="1479" spans="1:3" x14ac:dyDescent="0.25">
      <c r="A1479" s="19">
        <v>6.0315209999999997</v>
      </c>
      <c r="B1479" s="455">
        <v>1.7816939955457652E-3</v>
      </c>
      <c r="C1479" t="str">
        <f t="shared" si="23"/>
        <v/>
      </c>
    </row>
    <row r="1480" spans="1:3" x14ac:dyDescent="0.25">
      <c r="A1480" s="19">
        <v>6.0315209999999997</v>
      </c>
      <c r="B1480" s="455">
        <v>1.9823507950441233E-2</v>
      </c>
      <c r="C1480" t="str">
        <f t="shared" si="23"/>
        <v/>
      </c>
    </row>
    <row r="1481" spans="1:3" x14ac:dyDescent="0.25">
      <c r="A1481" s="92">
        <v>1.0477289999999999</v>
      </c>
      <c r="B1481" s="456">
        <v>5.6385000000000003E-3</v>
      </c>
      <c r="C1481" t="str">
        <f t="shared" si="23"/>
        <v/>
      </c>
    </row>
    <row r="1482" spans="1:3" x14ac:dyDescent="0.25">
      <c r="A1482" s="92">
        <v>1.1326799999999999</v>
      </c>
      <c r="B1482" s="456">
        <v>4.1475000000000001E-3</v>
      </c>
      <c r="C1482" t="str">
        <f t="shared" si="23"/>
        <v/>
      </c>
    </row>
    <row r="1483" spans="1:3" x14ac:dyDescent="0.25">
      <c r="A1483" s="92">
        <v>1.2176309999999999</v>
      </c>
      <c r="B1483" s="456">
        <v>5.3760000000000006E-3</v>
      </c>
      <c r="C1483" t="str">
        <f t="shared" si="23"/>
        <v/>
      </c>
    </row>
    <row r="1484" spans="1:3" x14ac:dyDescent="0.25">
      <c r="A1484" s="92">
        <v>1.8972389999999999</v>
      </c>
      <c r="B1484" s="456">
        <v>6.3420000000000004E-3</v>
      </c>
      <c r="C1484" t="str">
        <f t="shared" si="23"/>
        <v/>
      </c>
    </row>
    <row r="1485" spans="1:3" x14ac:dyDescent="0.25">
      <c r="A1485" s="92">
        <v>2.6051639999999998</v>
      </c>
      <c r="B1485" s="456">
        <v>2.6670000000000003E-2</v>
      </c>
      <c r="C1485" t="str">
        <f t="shared" si="23"/>
        <v/>
      </c>
    </row>
    <row r="1486" spans="1:3" x14ac:dyDescent="0.25">
      <c r="A1486" s="92">
        <v>2.520213</v>
      </c>
      <c r="B1486" s="456">
        <v>3.7590000000000005E-2</v>
      </c>
      <c r="C1486" t="str">
        <f t="shared" si="23"/>
        <v/>
      </c>
    </row>
    <row r="1487" spans="1:3" x14ac:dyDescent="0.25">
      <c r="A1487" s="92">
        <v>3.1431869999999997</v>
      </c>
      <c r="B1487" s="456">
        <v>4.9455000000000006E-2</v>
      </c>
      <c r="C1487" t="str">
        <f t="shared" si="23"/>
        <v/>
      </c>
    </row>
    <row r="1488" spans="1:3" x14ac:dyDescent="0.25">
      <c r="A1488" s="92">
        <v>2.860017</v>
      </c>
      <c r="B1488" s="456">
        <v>1.1864999999999999E-2</v>
      </c>
      <c r="C1488" t="str">
        <f t="shared" si="23"/>
        <v/>
      </c>
    </row>
    <row r="1489" spans="1:3" x14ac:dyDescent="0.25">
      <c r="A1489" s="92">
        <v>2.2370429999999999</v>
      </c>
      <c r="B1489" s="456">
        <v>6.5100000000000002E-3</v>
      </c>
      <c r="C1489" t="str">
        <f t="shared" si="23"/>
        <v/>
      </c>
    </row>
    <row r="1490" spans="1:3" x14ac:dyDescent="0.25">
      <c r="A1490" s="92">
        <v>1.6423859999999999</v>
      </c>
      <c r="B1490" s="456">
        <v>4.6935000000000006E-3</v>
      </c>
      <c r="C1490" t="str">
        <f t="shared" si="23"/>
        <v/>
      </c>
    </row>
    <row r="1491" spans="1:3" x14ac:dyDescent="0.25">
      <c r="A1491" s="92">
        <v>1.6707029999999998</v>
      </c>
      <c r="B1491" s="456">
        <v>2.1315000000000001E-3</v>
      </c>
      <c r="C1491" t="str">
        <f t="shared" si="23"/>
        <v/>
      </c>
    </row>
    <row r="1492" spans="1:3" x14ac:dyDescent="0.25">
      <c r="A1492" s="92">
        <v>2.3219939999999997</v>
      </c>
      <c r="B1492" s="456">
        <v>5.4810000000000006E-3</v>
      </c>
      <c r="C1492" t="str">
        <f t="shared" si="23"/>
        <v/>
      </c>
    </row>
    <row r="1493" spans="1:3" x14ac:dyDescent="0.25">
      <c r="A1493" s="92">
        <v>1.69902</v>
      </c>
      <c r="B1493" s="456">
        <v>1.0185000000000001E-3</v>
      </c>
      <c r="C1493" t="str">
        <f t="shared" si="23"/>
        <v/>
      </c>
    </row>
    <row r="1494" spans="1:3" x14ac:dyDescent="0.25">
      <c r="A1494" s="92">
        <v>1.9255559999999998</v>
      </c>
      <c r="B1494" s="456">
        <v>3.4020000000000005E-3</v>
      </c>
      <c r="C1494" t="str">
        <f t="shared" si="23"/>
        <v/>
      </c>
    </row>
    <row r="1495" spans="1:3" x14ac:dyDescent="0.25">
      <c r="A1495" s="92">
        <v>3.539625</v>
      </c>
      <c r="B1495" s="456">
        <v>4.0005000000000006E-2</v>
      </c>
      <c r="C1495" t="str">
        <f t="shared" si="23"/>
        <v/>
      </c>
    </row>
    <row r="1496" spans="1:3" x14ac:dyDescent="0.25">
      <c r="A1496" s="92">
        <v>2.6617979999999997</v>
      </c>
      <c r="B1496" s="456">
        <v>5.2815000000000008E-2</v>
      </c>
      <c r="C1496" t="str">
        <f t="shared" si="23"/>
        <v/>
      </c>
    </row>
    <row r="1497" spans="1:3" x14ac:dyDescent="0.25">
      <c r="A1497" s="92">
        <v>2.378628</v>
      </c>
      <c r="B1497" s="456">
        <v>1.3755000000000002E-2</v>
      </c>
      <c r="C1497" t="str">
        <f t="shared" si="23"/>
        <v/>
      </c>
    </row>
    <row r="1498" spans="1:3" x14ac:dyDescent="0.25">
      <c r="A1498" s="92">
        <v>0.33980399999999999</v>
      </c>
      <c r="B1498" s="456">
        <v>1.953E-4</v>
      </c>
      <c r="C1498" t="str">
        <f t="shared" si="23"/>
        <v/>
      </c>
    </row>
    <row r="1499" spans="1:3" x14ac:dyDescent="0.25">
      <c r="A1499" s="92">
        <v>0.45307199999999997</v>
      </c>
      <c r="B1499" s="456">
        <v>1.0920000000000001E-3</v>
      </c>
      <c r="C1499" t="str">
        <f t="shared" si="23"/>
        <v/>
      </c>
    </row>
    <row r="1500" spans="1:3" x14ac:dyDescent="0.25">
      <c r="A1500" s="92">
        <v>0.39643799999999996</v>
      </c>
      <c r="B1500" s="456">
        <v>8.305500000000001E-4</v>
      </c>
      <c r="C1500" t="str">
        <f t="shared" si="23"/>
        <v/>
      </c>
    </row>
    <row r="1501" spans="1:3" x14ac:dyDescent="0.25">
      <c r="A1501" s="92">
        <v>0.53802299999999992</v>
      </c>
      <c r="B1501" s="456">
        <v>4.2945E-4</v>
      </c>
      <c r="C1501" t="str">
        <f t="shared" si="23"/>
        <v/>
      </c>
    </row>
    <row r="1502" spans="1:3" x14ac:dyDescent="0.25">
      <c r="A1502" s="92">
        <v>0.56633999999999995</v>
      </c>
      <c r="B1502" s="456">
        <v>6.0899999999999996E-5</v>
      </c>
      <c r="C1502" t="str">
        <f t="shared" si="23"/>
        <v/>
      </c>
    </row>
    <row r="1503" spans="1:3" x14ac:dyDescent="0.25">
      <c r="A1503" s="92">
        <v>0.50970599999999999</v>
      </c>
      <c r="B1503" s="456">
        <v>5.6175000000000007E-4</v>
      </c>
      <c r="C1503" t="str">
        <f t="shared" si="23"/>
        <v/>
      </c>
    </row>
    <row r="1504" spans="1:3" x14ac:dyDescent="0.25">
      <c r="A1504" s="92">
        <v>0.67960799999999999</v>
      </c>
      <c r="B1504" s="456">
        <v>3.1815000000000001E-4</v>
      </c>
      <c r="C1504" t="str">
        <f t="shared" si="23"/>
        <v/>
      </c>
    </row>
    <row r="1505" spans="1:3" x14ac:dyDescent="0.25">
      <c r="A1505" s="92">
        <v>0.79287599999999991</v>
      </c>
      <c r="B1505" s="456">
        <v>1.5015E-3</v>
      </c>
      <c r="C1505" t="str">
        <f t="shared" si="23"/>
        <v/>
      </c>
    </row>
    <row r="1506" spans="1:3" x14ac:dyDescent="0.25">
      <c r="A1506" s="92">
        <v>3.4829909999999997</v>
      </c>
      <c r="B1506" s="456">
        <v>3.7484999999999997E-2</v>
      </c>
      <c r="C1506" t="str">
        <f t="shared" si="23"/>
        <v/>
      </c>
    </row>
    <row r="1507" spans="1:3" x14ac:dyDescent="0.25">
      <c r="A1507" s="92">
        <v>1.3875329999999999</v>
      </c>
      <c r="B1507" s="456">
        <v>1.1445000000000001E-3</v>
      </c>
      <c r="C1507" t="str">
        <f t="shared" si="23"/>
        <v/>
      </c>
    </row>
    <row r="1508" spans="1:3" x14ac:dyDescent="0.25">
      <c r="A1508" s="92">
        <v>1.868922</v>
      </c>
      <c r="B1508" s="456">
        <v>5.3235000000000001E-3</v>
      </c>
      <c r="C1508" t="str">
        <f t="shared" si="23"/>
        <v/>
      </c>
    </row>
    <row r="1509" spans="1:3" x14ac:dyDescent="0.25">
      <c r="A1509" s="92">
        <v>2.4352619999999998</v>
      </c>
      <c r="B1509" s="456">
        <v>3.2445000000000002E-2</v>
      </c>
      <c r="C1509" t="str">
        <f t="shared" si="23"/>
        <v/>
      </c>
    </row>
    <row r="1510" spans="1:3" x14ac:dyDescent="0.25">
      <c r="A1510" s="92">
        <v>2.4069449999999999</v>
      </c>
      <c r="B1510" s="456">
        <v>7.2030000000000011E-3</v>
      </c>
      <c r="C1510" t="str">
        <f t="shared" si="23"/>
        <v/>
      </c>
    </row>
    <row r="1511" spans="1:3" x14ac:dyDescent="0.25">
      <c r="A1511" s="92">
        <v>2.8316999999999997</v>
      </c>
      <c r="B1511" s="456">
        <v>1.7010000000000001E-2</v>
      </c>
      <c r="C1511" t="str">
        <f t="shared" si="23"/>
        <v/>
      </c>
    </row>
    <row r="1512" spans="1:3" x14ac:dyDescent="0.25">
      <c r="A1512" s="92">
        <v>3.3130889999999997</v>
      </c>
      <c r="B1512" s="456">
        <v>1.5015000000000001E-2</v>
      </c>
      <c r="C1512" t="str">
        <f t="shared" si="23"/>
        <v/>
      </c>
    </row>
    <row r="1513" spans="1:3" x14ac:dyDescent="0.25">
      <c r="A1513" s="92">
        <v>2.9449679999999998</v>
      </c>
      <c r="B1513" s="456">
        <v>1.6695000000000002E-3</v>
      </c>
      <c r="C1513" t="str">
        <f t="shared" si="23"/>
        <v/>
      </c>
    </row>
    <row r="1514" spans="1:3" x14ac:dyDescent="0.25">
      <c r="A1514" s="92">
        <v>2.7750659999999998</v>
      </c>
      <c r="B1514" s="456">
        <v>1.9425E-3</v>
      </c>
      <c r="C1514" t="str">
        <f t="shared" si="23"/>
        <v/>
      </c>
    </row>
    <row r="1515" spans="1:3" x14ac:dyDescent="0.25">
      <c r="A1515" s="92">
        <v>2.9449679999999998</v>
      </c>
      <c r="B1515" s="456">
        <v>2.9295000000000002E-3</v>
      </c>
      <c r="C1515" t="str">
        <f t="shared" si="23"/>
        <v/>
      </c>
    </row>
    <row r="1516" spans="1:3" x14ac:dyDescent="0.25">
      <c r="A1516" s="92">
        <v>3.7944779999999998</v>
      </c>
      <c r="B1516" s="456">
        <v>1.197E-2</v>
      </c>
      <c r="C1516" t="str">
        <f t="shared" si="23"/>
        <v/>
      </c>
    </row>
    <row r="1517" spans="1:3" x14ac:dyDescent="0.25">
      <c r="A1517" s="92">
        <v>3.9643799999999998</v>
      </c>
      <c r="B1517" s="456">
        <v>5.9430000000000004E-2</v>
      </c>
      <c r="C1517" t="str">
        <f t="shared" si="23"/>
        <v/>
      </c>
    </row>
    <row r="1518" spans="1:3" x14ac:dyDescent="0.25">
      <c r="A1518" s="92">
        <v>0.48138899999999996</v>
      </c>
      <c r="B1518" s="456">
        <v>2.5725000000000005E-4</v>
      </c>
      <c r="C1518" t="str">
        <f t="shared" si="23"/>
        <v/>
      </c>
    </row>
    <row r="1519" spans="1:3" x14ac:dyDescent="0.25">
      <c r="A1519" s="92">
        <v>0.79287599999999991</v>
      </c>
      <c r="B1519" s="456">
        <v>8.2425000000000016E-3</v>
      </c>
      <c r="C1519" t="str">
        <f t="shared" si="23"/>
        <v/>
      </c>
    </row>
    <row r="1520" spans="1:3" x14ac:dyDescent="0.25">
      <c r="A1520" s="92">
        <v>1.5574349999999999</v>
      </c>
      <c r="B1520" s="456">
        <v>6.0899999999999999E-3</v>
      </c>
      <c r="C1520" t="str">
        <f t="shared" si="23"/>
        <v/>
      </c>
    </row>
    <row r="1521" spans="1:3" x14ac:dyDescent="0.25">
      <c r="A1521" s="92">
        <v>1.7273369999999999</v>
      </c>
      <c r="B1521" s="456">
        <v>9.408000000000001E-4</v>
      </c>
      <c r="C1521" t="str">
        <f t="shared" si="23"/>
        <v/>
      </c>
    </row>
    <row r="1522" spans="1:3" x14ac:dyDescent="0.25">
      <c r="A1522" s="92">
        <v>1.6707029999999998</v>
      </c>
      <c r="B1522" s="456">
        <v>3.4755000000000003E-3</v>
      </c>
      <c r="C1522" t="str">
        <f t="shared" si="23"/>
        <v/>
      </c>
    </row>
    <row r="1523" spans="1:3" x14ac:dyDescent="0.25">
      <c r="A1523" s="92">
        <v>1.783971</v>
      </c>
      <c r="B1523" s="456">
        <v>2.7510000000000004E-3</v>
      </c>
      <c r="C1523" t="str">
        <f t="shared" si="23"/>
        <v/>
      </c>
    </row>
    <row r="1524" spans="1:3" x14ac:dyDescent="0.25">
      <c r="A1524" s="92">
        <v>2.010507</v>
      </c>
      <c r="B1524" s="456">
        <v>1.5645000000000001E-3</v>
      </c>
      <c r="C1524" t="str">
        <f t="shared" si="23"/>
        <v/>
      </c>
    </row>
    <row r="1525" spans="1:3" x14ac:dyDescent="0.25">
      <c r="A1525" s="92">
        <v>2.4352619999999998</v>
      </c>
      <c r="B1525" s="456">
        <v>7.3920000000000001E-3</v>
      </c>
      <c r="C1525" t="str">
        <f t="shared" si="23"/>
        <v/>
      </c>
    </row>
    <row r="1526" spans="1:3" x14ac:dyDescent="0.25">
      <c r="A1526" s="92">
        <v>3.3130889999999997</v>
      </c>
      <c r="B1526" s="456">
        <v>1.0605000000000002E-2</v>
      </c>
      <c r="C1526" t="str">
        <f t="shared" si="23"/>
        <v/>
      </c>
    </row>
    <row r="1527" spans="1:3" x14ac:dyDescent="0.25">
      <c r="A1527" s="92">
        <v>2.4352619999999998</v>
      </c>
      <c r="B1527" s="456">
        <v>1.9845000000000002E-2</v>
      </c>
      <c r="C1527" t="str">
        <f t="shared" si="23"/>
        <v/>
      </c>
    </row>
    <row r="1528" spans="1:3" x14ac:dyDescent="0.25">
      <c r="A1528" s="92">
        <v>2.350311</v>
      </c>
      <c r="B1528" s="456">
        <v>1.8585000000000001E-3</v>
      </c>
      <c r="C1528" t="str">
        <f t="shared" si="23"/>
        <v/>
      </c>
    </row>
    <row r="1529" spans="1:3" x14ac:dyDescent="0.25">
      <c r="A1529" s="92">
        <v>2.0671409999999999</v>
      </c>
      <c r="B1529" s="456">
        <v>5.817000000000001E-3</v>
      </c>
      <c r="C1529" t="str">
        <f t="shared" si="23"/>
        <v/>
      </c>
    </row>
    <row r="1530" spans="1:3" x14ac:dyDescent="0.25">
      <c r="A1530" s="92">
        <v>2.0671409999999999</v>
      </c>
      <c r="B1530" s="456">
        <v>2.8035000000000004E-3</v>
      </c>
      <c r="C1530" t="str">
        <f t="shared" si="23"/>
        <v/>
      </c>
    </row>
    <row r="1531" spans="1:3" x14ac:dyDescent="0.25">
      <c r="A1531" s="92">
        <v>2.4352619999999998</v>
      </c>
      <c r="B1531" s="456">
        <v>3.9900000000000005E-3</v>
      </c>
      <c r="C1531" t="str">
        <f t="shared" si="23"/>
        <v/>
      </c>
    </row>
    <row r="1532" spans="1:3" x14ac:dyDescent="0.25">
      <c r="A1532" s="92">
        <v>2.7750659999999998</v>
      </c>
      <c r="B1532" s="456">
        <v>2.604E-3</v>
      </c>
      <c r="C1532" t="str">
        <f t="shared" si="23"/>
        <v/>
      </c>
    </row>
    <row r="1533" spans="1:3" x14ac:dyDescent="0.25">
      <c r="A1533" s="92">
        <v>2.54853</v>
      </c>
      <c r="B1533" s="456">
        <v>4.4099999999999999E-3</v>
      </c>
      <c r="C1533" t="str">
        <f t="shared" si="23"/>
        <v/>
      </c>
    </row>
    <row r="1534" spans="1:3" x14ac:dyDescent="0.25">
      <c r="A1534" s="92">
        <v>2.378628</v>
      </c>
      <c r="B1534" s="456">
        <v>5.4810000000000006E-3</v>
      </c>
      <c r="C1534" t="str">
        <f t="shared" si="23"/>
        <v/>
      </c>
    </row>
    <row r="1535" spans="1:3" x14ac:dyDescent="0.25">
      <c r="A1535" s="92">
        <v>1.953873</v>
      </c>
      <c r="B1535" s="456">
        <v>7.980000000000001E-3</v>
      </c>
      <c r="C1535" t="str">
        <f t="shared" si="23"/>
        <v/>
      </c>
    </row>
    <row r="1536" spans="1:3" x14ac:dyDescent="0.25">
      <c r="A1536" s="92">
        <v>0.62297399999999992</v>
      </c>
      <c r="B1536" s="457">
        <v>1.3860000000000001E-3</v>
      </c>
      <c r="C1536" t="str">
        <f t="shared" si="23"/>
        <v/>
      </c>
    </row>
    <row r="1537" spans="1:3" x14ac:dyDescent="0.25">
      <c r="A1537" s="92">
        <v>0.59465699999999999</v>
      </c>
      <c r="B1537" s="457">
        <v>4.4310000000000004E-4</v>
      </c>
      <c r="C1537" t="str">
        <f t="shared" si="23"/>
        <v/>
      </c>
    </row>
    <row r="1538" spans="1:3" x14ac:dyDescent="0.25">
      <c r="A1538" s="92">
        <v>0.73624199999999995</v>
      </c>
      <c r="B1538" s="457">
        <v>1.0709999999999999E-3</v>
      </c>
      <c r="C1538" t="str">
        <f t="shared" si="23"/>
        <v/>
      </c>
    </row>
    <row r="1539" spans="1:3" x14ac:dyDescent="0.25">
      <c r="A1539" s="92">
        <v>1.3875329999999999</v>
      </c>
      <c r="B1539" s="457">
        <v>1.8270000000000001E-3</v>
      </c>
      <c r="C1539" t="str">
        <f t="shared" si="23"/>
        <v/>
      </c>
    </row>
    <row r="1540" spans="1:3" x14ac:dyDescent="0.25">
      <c r="A1540" s="92">
        <v>3.1715039999999997</v>
      </c>
      <c r="B1540" s="457">
        <v>4.3889999999999997E-3</v>
      </c>
      <c r="C1540" t="str">
        <f t="shared" si="23"/>
        <v/>
      </c>
    </row>
    <row r="1541" spans="1:3" x14ac:dyDescent="0.25">
      <c r="A1541" s="92">
        <v>4.7006220000000001</v>
      </c>
      <c r="B1541" s="456">
        <v>5.9430000000000004E-2</v>
      </c>
      <c r="C1541" t="str">
        <f t="shared" si="23"/>
        <v/>
      </c>
    </row>
    <row r="1542" spans="1:3" x14ac:dyDescent="0.25">
      <c r="A1542" s="92">
        <v>3.7661609999999999</v>
      </c>
      <c r="B1542" s="457">
        <v>1.533E-2</v>
      </c>
      <c r="C1542" t="str">
        <f t="shared" ref="C1542:C1605" si="24">IF(B1542=0,"XXXXXXXX","")</f>
        <v/>
      </c>
    </row>
    <row r="1543" spans="1:3" x14ac:dyDescent="0.25">
      <c r="A1543" s="92">
        <v>3.6245759999999998</v>
      </c>
      <c r="B1543" s="456">
        <v>2.6564999999999998E-2</v>
      </c>
      <c r="C1543" t="str">
        <f t="shared" si="24"/>
        <v/>
      </c>
    </row>
    <row r="1544" spans="1:3" x14ac:dyDescent="0.25">
      <c r="A1544" s="92">
        <v>3.369723</v>
      </c>
      <c r="B1544" s="456">
        <v>3.4335000000000004E-2</v>
      </c>
      <c r="C1544" t="str">
        <f t="shared" si="24"/>
        <v/>
      </c>
    </row>
    <row r="1545" spans="1:3" x14ac:dyDescent="0.25">
      <c r="A1545" s="92">
        <v>3.5679419999999999</v>
      </c>
      <c r="B1545" s="456">
        <v>6.2055000000000001E-3</v>
      </c>
      <c r="C1545" t="str">
        <f t="shared" si="24"/>
        <v/>
      </c>
    </row>
    <row r="1546" spans="1:3" x14ac:dyDescent="0.25">
      <c r="A1546" s="92">
        <v>3.539625</v>
      </c>
      <c r="B1546" s="457">
        <v>7.980000000000001E-3</v>
      </c>
      <c r="C1546" t="str">
        <f t="shared" si="24"/>
        <v/>
      </c>
    </row>
    <row r="1547" spans="1:3" x14ac:dyDescent="0.25">
      <c r="A1547" s="92">
        <v>0.36812099999999998</v>
      </c>
      <c r="B1547" s="457">
        <v>3.5070000000000001E-5</v>
      </c>
      <c r="C1547" t="str">
        <f t="shared" si="24"/>
        <v/>
      </c>
    </row>
    <row r="1548" spans="1:3" x14ac:dyDescent="0.25">
      <c r="A1548" s="92">
        <v>0.70792499999999992</v>
      </c>
      <c r="B1548" s="457">
        <v>4.0005000000000005E-4</v>
      </c>
      <c r="C1548" t="str">
        <f t="shared" si="24"/>
        <v/>
      </c>
    </row>
    <row r="1549" spans="1:3" x14ac:dyDescent="0.25">
      <c r="A1549" s="92">
        <v>0.96277799999999991</v>
      </c>
      <c r="B1549" s="457">
        <v>8.3895000000000009E-4</v>
      </c>
      <c r="C1549" t="str">
        <f t="shared" si="24"/>
        <v/>
      </c>
    </row>
    <row r="1550" spans="1:3" x14ac:dyDescent="0.25">
      <c r="A1550" s="92">
        <v>1.5857519999999998</v>
      </c>
      <c r="B1550" s="457">
        <v>5.4495000000000004E-3</v>
      </c>
      <c r="C1550" t="str">
        <f t="shared" si="24"/>
        <v/>
      </c>
    </row>
    <row r="1551" spans="1:3" x14ac:dyDescent="0.25">
      <c r="A1551" s="92">
        <v>1.019412</v>
      </c>
      <c r="B1551" s="457">
        <v>1.9110000000000001E-4</v>
      </c>
      <c r="C1551" t="str">
        <f t="shared" si="24"/>
        <v/>
      </c>
    </row>
    <row r="1552" spans="1:3" x14ac:dyDescent="0.25">
      <c r="A1552" s="92">
        <v>1.104363</v>
      </c>
      <c r="B1552" s="457">
        <v>2.4990000000000006E-4</v>
      </c>
      <c r="C1552" t="str">
        <f t="shared" si="24"/>
        <v/>
      </c>
    </row>
    <row r="1553" spans="1:3" x14ac:dyDescent="0.25">
      <c r="A1553" s="92">
        <v>1.189314</v>
      </c>
      <c r="B1553" s="457">
        <v>5.1660000000000009E-4</v>
      </c>
      <c r="C1553" t="str">
        <f t="shared" si="24"/>
        <v/>
      </c>
    </row>
    <row r="1554" spans="1:3" x14ac:dyDescent="0.25">
      <c r="A1554" s="92">
        <v>3.3414059999999997</v>
      </c>
      <c r="B1554" s="457">
        <v>1.0122000000000001E-2</v>
      </c>
      <c r="C1554" t="str">
        <f t="shared" si="24"/>
        <v/>
      </c>
    </row>
    <row r="1555" spans="1:3" x14ac:dyDescent="0.25">
      <c r="A1555" s="92">
        <v>3.2564549999999999</v>
      </c>
      <c r="B1555" s="457">
        <v>9.3135000000000006E-3</v>
      </c>
      <c r="C1555" t="str">
        <f t="shared" si="24"/>
        <v/>
      </c>
    </row>
    <row r="1556" spans="1:3" x14ac:dyDescent="0.25">
      <c r="A1556" s="92">
        <v>1.8122879999999999</v>
      </c>
      <c r="B1556" s="457">
        <v>2.0790000000000001E-3</v>
      </c>
      <c r="C1556" t="str">
        <f t="shared" si="24"/>
        <v/>
      </c>
    </row>
    <row r="1557" spans="1:3" x14ac:dyDescent="0.25">
      <c r="A1557" s="92">
        <v>1.8122879999999999</v>
      </c>
      <c r="B1557" s="457">
        <v>1.8165E-3</v>
      </c>
      <c r="C1557" t="str">
        <f t="shared" si="24"/>
        <v/>
      </c>
    </row>
    <row r="1558" spans="1:3" x14ac:dyDescent="0.25">
      <c r="A1558" s="92">
        <v>1.614069</v>
      </c>
      <c r="B1558" s="457">
        <v>2.1000000000000003E-3</v>
      </c>
      <c r="C1558" t="str">
        <f t="shared" si="24"/>
        <v/>
      </c>
    </row>
    <row r="1559" spans="1:3" x14ac:dyDescent="0.25">
      <c r="A1559" s="92">
        <v>1.614069</v>
      </c>
      <c r="B1559" s="457">
        <v>6.6780000000000008E-4</v>
      </c>
      <c r="C1559" t="str">
        <f t="shared" si="24"/>
        <v/>
      </c>
    </row>
    <row r="1560" spans="1:3" x14ac:dyDescent="0.25">
      <c r="A1560" s="92">
        <v>1.529118</v>
      </c>
      <c r="B1560" s="457">
        <v>5.2290000000000001E-3</v>
      </c>
      <c r="C1560" t="str">
        <f t="shared" si="24"/>
        <v/>
      </c>
    </row>
    <row r="1561" spans="1:3" x14ac:dyDescent="0.25">
      <c r="A1561" s="92">
        <v>1.529118</v>
      </c>
      <c r="B1561" s="457">
        <v>3.3600000000000001E-3</v>
      </c>
      <c r="C1561" t="str">
        <f t="shared" si="24"/>
        <v/>
      </c>
    </row>
    <row r="1562" spans="1:3" x14ac:dyDescent="0.25">
      <c r="A1562" s="92">
        <v>1.5857519999999998</v>
      </c>
      <c r="B1562" s="457">
        <v>3.9690000000000003E-3</v>
      </c>
      <c r="C1562" t="str">
        <f t="shared" si="24"/>
        <v/>
      </c>
    </row>
    <row r="1563" spans="1:3" x14ac:dyDescent="0.25">
      <c r="A1563" s="92">
        <v>1.5857519999999998</v>
      </c>
      <c r="B1563" s="457">
        <v>5.5230000000000003E-4</v>
      </c>
      <c r="C1563" t="str">
        <f t="shared" si="24"/>
        <v/>
      </c>
    </row>
    <row r="1564" spans="1:3" x14ac:dyDescent="0.25">
      <c r="A1564" s="92">
        <v>1.7273369999999999</v>
      </c>
      <c r="B1564" s="457">
        <v>1.3965000000000002E-3</v>
      </c>
      <c r="C1564" t="str">
        <f t="shared" si="24"/>
        <v/>
      </c>
    </row>
    <row r="1565" spans="1:3" x14ac:dyDescent="0.25">
      <c r="A1565" s="92">
        <v>1.9821899999999999</v>
      </c>
      <c r="B1565" s="457">
        <v>1.4595000000000003E-3</v>
      </c>
      <c r="C1565" t="str">
        <f t="shared" si="24"/>
        <v/>
      </c>
    </row>
    <row r="1566" spans="1:3" x14ac:dyDescent="0.25">
      <c r="A1566" s="92">
        <v>1.9821899999999999</v>
      </c>
      <c r="B1566" s="457">
        <v>1.2390000000000001E-3</v>
      </c>
      <c r="C1566" t="str">
        <f t="shared" si="24"/>
        <v/>
      </c>
    </row>
    <row r="1567" spans="1:3" x14ac:dyDescent="0.25">
      <c r="A1567" s="92">
        <v>1.104363</v>
      </c>
      <c r="B1567" s="457">
        <v>3.3075000000000004E-4</v>
      </c>
      <c r="C1567" t="str">
        <f t="shared" si="24"/>
        <v/>
      </c>
    </row>
    <row r="1568" spans="1:3" x14ac:dyDescent="0.25">
      <c r="A1568" s="92">
        <v>0.96277799999999991</v>
      </c>
      <c r="B1568" s="457">
        <v>2.5514999999999999E-4</v>
      </c>
      <c r="C1568" t="str">
        <f t="shared" si="24"/>
        <v/>
      </c>
    </row>
    <row r="1569" spans="1:3" x14ac:dyDescent="0.25">
      <c r="A1569" s="223">
        <v>48.697846425604624</v>
      </c>
      <c r="B1569" s="458">
        <v>0.6244950353003359</v>
      </c>
      <c r="C1569" t="str">
        <f t="shared" si="24"/>
        <v/>
      </c>
    </row>
    <row r="1570" spans="1:3" x14ac:dyDescent="0.25">
      <c r="A1570" s="223">
        <v>48.697846425604624</v>
      </c>
      <c r="B1570" s="458">
        <v>0.22775701287424019</v>
      </c>
      <c r="C1570" t="str">
        <f t="shared" si="24"/>
        <v/>
      </c>
    </row>
    <row r="1571" spans="1:3" x14ac:dyDescent="0.25">
      <c r="A1571" s="223">
        <v>66.534848314052837</v>
      </c>
      <c r="B1571" s="458">
        <v>0.17003058103975535</v>
      </c>
      <c r="C1571" t="str">
        <f t="shared" si="24"/>
        <v/>
      </c>
    </row>
    <row r="1572" spans="1:3" x14ac:dyDescent="0.25">
      <c r="A1572" s="223">
        <v>66.534848314052837</v>
      </c>
      <c r="B1572" s="458">
        <v>0.28338430173292561</v>
      </c>
      <c r="C1572" t="str">
        <f t="shared" si="24"/>
        <v/>
      </c>
    </row>
    <row r="1573" spans="1:3" x14ac:dyDescent="0.25">
      <c r="A1573" s="223">
        <v>54.926640735856381</v>
      </c>
      <c r="B1573" s="458">
        <v>0.21621172650734322</v>
      </c>
      <c r="C1573" t="str">
        <f t="shared" si="24"/>
        <v/>
      </c>
    </row>
    <row r="1574" spans="1:3" x14ac:dyDescent="0.25">
      <c r="A1574" s="223">
        <v>54.926640735856381</v>
      </c>
      <c r="B1574" s="458">
        <v>0.28233473024502587</v>
      </c>
      <c r="C1574" t="str">
        <f t="shared" si="24"/>
        <v/>
      </c>
    </row>
    <row r="1575" spans="1:3" x14ac:dyDescent="0.25">
      <c r="A1575" s="223">
        <v>49.830354482014037</v>
      </c>
      <c r="B1575" s="458">
        <v>0.32956544720051345</v>
      </c>
      <c r="C1575" t="str">
        <f t="shared" si="24"/>
        <v/>
      </c>
    </row>
    <row r="1576" spans="1:3" x14ac:dyDescent="0.25">
      <c r="A1576" s="223">
        <v>49.830354482014037</v>
      </c>
      <c r="B1576" s="458">
        <v>0.17317929550345448</v>
      </c>
      <c r="C1576" t="str">
        <f t="shared" si="24"/>
        <v/>
      </c>
    </row>
    <row r="1577" spans="1:3" x14ac:dyDescent="0.25">
      <c r="A1577" s="223">
        <v>36.806511833305819</v>
      </c>
      <c r="B1577" s="458">
        <v>2.235587269226413E-2</v>
      </c>
      <c r="C1577" t="str">
        <f t="shared" si="24"/>
        <v/>
      </c>
    </row>
    <row r="1578" spans="1:3" x14ac:dyDescent="0.25">
      <c r="A1578" s="223">
        <v>36.806511833305819</v>
      </c>
      <c r="B1578" s="458">
        <v>6.9481632498961748E-2</v>
      </c>
      <c r="C1578" t="str">
        <f t="shared" si="24"/>
        <v/>
      </c>
    </row>
    <row r="1579" spans="1:3" x14ac:dyDescent="0.25">
      <c r="A1579" s="223">
        <v>38.788400932022292</v>
      </c>
      <c r="B1579" s="458">
        <v>6.2659417827613542E-2</v>
      </c>
      <c r="C1579" t="str">
        <f t="shared" si="24"/>
        <v/>
      </c>
    </row>
    <row r="1580" spans="1:3" x14ac:dyDescent="0.25">
      <c r="A1580" s="223">
        <v>38.788400932022292</v>
      </c>
      <c r="B1580" s="458">
        <v>0.11965114962056857</v>
      </c>
      <c r="C1580" t="str">
        <f t="shared" si="24"/>
        <v/>
      </c>
    </row>
    <row r="1581" spans="1:3" x14ac:dyDescent="0.25">
      <c r="A1581" s="223">
        <v>64.26983220123401</v>
      </c>
      <c r="B1581" s="458">
        <v>0.63499075017933315</v>
      </c>
      <c r="C1581" t="str">
        <f t="shared" si="24"/>
        <v/>
      </c>
    </row>
    <row r="1582" spans="1:3" x14ac:dyDescent="0.25">
      <c r="A1582" s="223">
        <v>64.26983220123401</v>
      </c>
      <c r="B1582" s="458">
        <v>0.29912787405142144</v>
      </c>
      <c r="C1582" t="str">
        <f t="shared" si="24"/>
        <v/>
      </c>
    </row>
    <row r="1583" spans="1:3" x14ac:dyDescent="0.25">
      <c r="A1583" s="223">
        <v>82.389961103784572</v>
      </c>
      <c r="B1583" s="458">
        <v>0.42612602408728811</v>
      </c>
      <c r="C1583" t="str">
        <f t="shared" si="24"/>
        <v/>
      </c>
    </row>
    <row r="1584" spans="1:3" x14ac:dyDescent="0.25">
      <c r="A1584" s="223">
        <v>82.389961103784572</v>
      </c>
      <c r="B1584" s="458">
        <v>0.58671046173594577</v>
      </c>
      <c r="C1584" t="str">
        <f t="shared" si="24"/>
        <v/>
      </c>
    </row>
    <row r="1585" spans="1:3" x14ac:dyDescent="0.25">
      <c r="A1585" s="223">
        <v>69.932372483281057</v>
      </c>
      <c r="B1585" s="458">
        <v>0.64548646505833052</v>
      </c>
      <c r="C1585" t="str">
        <f t="shared" si="24"/>
        <v/>
      </c>
    </row>
    <row r="1586" spans="1:3" x14ac:dyDescent="0.25">
      <c r="A1586" s="223">
        <v>69.932372483281057</v>
      </c>
      <c r="B1586" s="458">
        <v>0.61714803488503789</v>
      </c>
      <c r="C1586" t="str">
        <f t="shared" si="24"/>
        <v/>
      </c>
    </row>
    <row r="1587" spans="1:3" x14ac:dyDescent="0.25">
      <c r="A1587" s="223">
        <v>53.794132679446967</v>
      </c>
      <c r="B1587" s="458">
        <v>0.25399630007173329</v>
      </c>
      <c r="C1587" t="str">
        <f t="shared" si="24"/>
        <v/>
      </c>
    </row>
    <row r="1588" spans="1:3" x14ac:dyDescent="0.25">
      <c r="A1588" s="223">
        <v>53.794132679446967</v>
      </c>
      <c r="B1588" s="458">
        <v>0.17842715294295311</v>
      </c>
      <c r="C1588" t="str">
        <f t="shared" si="24"/>
        <v/>
      </c>
    </row>
    <row r="1589" spans="1:3" x14ac:dyDescent="0.25">
      <c r="A1589" s="223">
        <v>43.884687185864635</v>
      </c>
      <c r="B1589" s="458">
        <v>0.21516215501944355</v>
      </c>
      <c r="C1589" t="str">
        <f t="shared" si="24"/>
        <v/>
      </c>
    </row>
    <row r="1590" spans="1:3" x14ac:dyDescent="0.25">
      <c r="A1590" s="223">
        <v>43.884687185864635</v>
      </c>
      <c r="B1590" s="458">
        <v>3.8939102201079767E-2</v>
      </c>
      <c r="C1590" t="str">
        <f t="shared" si="24"/>
        <v/>
      </c>
    </row>
    <row r="1591" spans="1:3" x14ac:dyDescent="0.25">
      <c r="A1591" s="223">
        <v>38.505273917919936</v>
      </c>
      <c r="B1591" s="458">
        <v>5.2583531543776194E-2</v>
      </c>
      <c r="C1591" t="str">
        <f t="shared" si="24"/>
        <v/>
      </c>
    </row>
    <row r="1592" spans="1:3" x14ac:dyDescent="0.25">
      <c r="A1592" s="223">
        <v>38.505273917919936</v>
      </c>
      <c r="B1592" s="458">
        <v>2.2985615585003963E-2</v>
      </c>
      <c r="C1592" t="str">
        <f t="shared" si="24"/>
        <v/>
      </c>
    </row>
    <row r="1593" spans="1:3" x14ac:dyDescent="0.25">
      <c r="A1593" s="223">
        <v>50.113481496116385</v>
      </c>
      <c r="B1593" s="458">
        <v>6.5703175142522746E-2</v>
      </c>
      <c r="C1593" t="str">
        <f t="shared" si="24"/>
        <v/>
      </c>
    </row>
    <row r="1594" spans="1:3" x14ac:dyDescent="0.25">
      <c r="A1594" s="223">
        <v>50.113481496116385</v>
      </c>
      <c r="B1594" s="458">
        <v>8.9423490769056521E-2</v>
      </c>
      <c r="C1594" t="str">
        <f t="shared" si="24"/>
        <v/>
      </c>
    </row>
    <row r="1595" spans="1:3" x14ac:dyDescent="0.25">
      <c r="A1595" s="223">
        <v>50.679735524321096</v>
      </c>
      <c r="B1595" s="458">
        <v>0.14589043681806169</v>
      </c>
      <c r="C1595" t="str">
        <f t="shared" si="24"/>
        <v/>
      </c>
    </row>
    <row r="1596" spans="1:3" x14ac:dyDescent="0.25">
      <c r="A1596" s="223">
        <v>50.679735524321096</v>
      </c>
      <c r="B1596" s="458">
        <v>0.25189715709593385</v>
      </c>
      <c r="C1596" t="str">
        <f t="shared" si="24"/>
        <v/>
      </c>
    </row>
    <row r="1597" spans="1:3" x14ac:dyDescent="0.25">
      <c r="A1597" s="223">
        <v>46.432830312785804</v>
      </c>
      <c r="B1597" s="458">
        <v>3.3061501868841311E-2</v>
      </c>
      <c r="C1597" t="str">
        <f t="shared" si="24"/>
        <v/>
      </c>
    </row>
    <row r="1598" spans="1:3" x14ac:dyDescent="0.25">
      <c r="A1598" s="223">
        <v>46.432830312785804</v>
      </c>
      <c r="B1598" s="458">
        <v>3.4006116207951069E-2</v>
      </c>
      <c r="C1598" t="str">
        <f t="shared" si="24"/>
        <v/>
      </c>
    </row>
    <row r="1599" spans="1:3" x14ac:dyDescent="0.25">
      <c r="A1599" s="223">
        <v>37.089638847408175</v>
      </c>
      <c r="B1599" s="458">
        <v>0.12279986408426777</v>
      </c>
      <c r="C1599" t="str">
        <f t="shared" si="24"/>
        <v/>
      </c>
    </row>
    <row r="1600" spans="1:3" x14ac:dyDescent="0.25">
      <c r="A1600" s="223">
        <v>37.089638847408175</v>
      </c>
      <c r="B1600" s="458">
        <v>3.0752444595461927E-2</v>
      </c>
      <c r="C1600" t="str">
        <f t="shared" si="24"/>
        <v/>
      </c>
    </row>
    <row r="1601" spans="1:3" x14ac:dyDescent="0.25">
      <c r="A1601" s="223">
        <v>33.692114678179948</v>
      </c>
      <c r="B1601" s="458">
        <v>1.7527843847925398E-2</v>
      </c>
      <c r="C1601" t="str">
        <f t="shared" si="24"/>
        <v/>
      </c>
    </row>
    <row r="1602" spans="1:3" x14ac:dyDescent="0.25">
      <c r="A1602" s="223">
        <v>33.692114678179948</v>
      </c>
      <c r="B1602" s="458">
        <v>3.2116887529731568E-2</v>
      </c>
      <c r="C1602" t="str">
        <f t="shared" si="24"/>
        <v/>
      </c>
    </row>
    <row r="1603" spans="1:3" x14ac:dyDescent="0.25">
      <c r="A1603" s="223">
        <v>70.781753525588115</v>
      </c>
      <c r="B1603" s="458">
        <v>0.4061841658171933</v>
      </c>
      <c r="C1603" t="str">
        <f t="shared" si="24"/>
        <v/>
      </c>
    </row>
    <row r="1604" spans="1:3" x14ac:dyDescent="0.25">
      <c r="A1604" s="223">
        <v>70.781753525588115</v>
      </c>
      <c r="B1604" s="458">
        <v>0.6706761807679239</v>
      </c>
      <c r="C1604" t="str">
        <f t="shared" si="24"/>
        <v/>
      </c>
    </row>
    <row r="1605" spans="1:3" x14ac:dyDescent="0.25">
      <c r="A1605" s="223">
        <v>77.293674849942221</v>
      </c>
      <c r="B1605" s="458">
        <v>0.31382187488201757</v>
      </c>
      <c r="C1605" t="str">
        <f t="shared" si="24"/>
        <v/>
      </c>
    </row>
    <row r="1606" spans="1:3" x14ac:dyDescent="0.25">
      <c r="A1606" s="223">
        <v>77.293674849942221</v>
      </c>
      <c r="B1606" s="458">
        <v>0.29283044512402312</v>
      </c>
      <c r="C1606" t="str">
        <f t="shared" ref="C1606:C1669" si="25">IF(B1606=0,"XXXXXXXX","")</f>
        <v/>
      </c>
    </row>
    <row r="1607" spans="1:3" x14ac:dyDescent="0.25">
      <c r="A1607" s="223">
        <v>110.98578952812217</v>
      </c>
      <c r="B1607" s="458">
        <v>1.4064257937856306</v>
      </c>
      <c r="C1607" t="str">
        <f t="shared" si="25"/>
        <v/>
      </c>
    </row>
    <row r="1608" spans="1:3" x14ac:dyDescent="0.25">
      <c r="A1608" s="223">
        <v>110.98578952812217</v>
      </c>
      <c r="B1608" s="458">
        <v>1.9626986823724848</v>
      </c>
      <c r="C1608" t="str">
        <f t="shared" si="25"/>
        <v/>
      </c>
    </row>
    <row r="1609" spans="1:3" x14ac:dyDescent="0.25">
      <c r="A1609" s="223">
        <v>125.7083942614445</v>
      </c>
      <c r="B1609" s="458">
        <v>1.6898100955185562</v>
      </c>
      <c r="C1609" t="str">
        <f t="shared" si="25"/>
        <v/>
      </c>
    </row>
    <row r="1610" spans="1:3" x14ac:dyDescent="0.25">
      <c r="A1610" s="223">
        <v>125.7083942614445</v>
      </c>
      <c r="B1610" s="458">
        <v>1.6373315211235699</v>
      </c>
      <c r="C1610" t="str">
        <f t="shared" si="25"/>
        <v/>
      </c>
    </row>
    <row r="1611" spans="1:3" x14ac:dyDescent="0.25">
      <c r="A1611" s="223">
        <v>91.166898540957504</v>
      </c>
      <c r="B1611" s="458">
        <v>0.47650545550647483</v>
      </c>
      <c r="C1611" t="str">
        <f t="shared" si="25"/>
        <v/>
      </c>
    </row>
    <row r="1612" spans="1:3" x14ac:dyDescent="0.25">
      <c r="A1612" s="223">
        <v>91.166898540957504</v>
      </c>
      <c r="B1612" s="458">
        <v>0.56886774644165072</v>
      </c>
      <c r="C1612" t="str">
        <f t="shared" si="25"/>
        <v/>
      </c>
    </row>
    <row r="1613" spans="1:3" x14ac:dyDescent="0.25">
      <c r="A1613" s="223">
        <v>126.27464828964921</v>
      </c>
      <c r="B1613" s="458">
        <v>1.8262543889455207</v>
      </c>
      <c r="C1613" t="str">
        <f t="shared" si="25"/>
        <v/>
      </c>
    </row>
    <row r="1614" spans="1:3" x14ac:dyDescent="0.25">
      <c r="A1614" s="223">
        <v>126.27464828964921</v>
      </c>
      <c r="B1614" s="458">
        <v>1.6898100955185562</v>
      </c>
      <c r="C1614" t="str">
        <f t="shared" si="25"/>
        <v/>
      </c>
    </row>
    <row r="1615" spans="1:3" x14ac:dyDescent="0.25">
      <c r="A1615" s="223">
        <v>143.82852316399507</v>
      </c>
      <c r="B1615" s="458">
        <v>1.6688186657605617</v>
      </c>
      <c r="C1615" t="str">
        <f t="shared" si="25"/>
        <v/>
      </c>
    </row>
    <row r="1616" spans="1:3" x14ac:dyDescent="0.25">
      <c r="A1616" s="223">
        <v>143.82852316399507</v>
      </c>
      <c r="B1616" s="458">
        <v>2.1936044097104239</v>
      </c>
      <c r="C1616" t="str">
        <f t="shared" si="25"/>
        <v/>
      </c>
    </row>
    <row r="1617" spans="1:3" x14ac:dyDescent="0.25">
      <c r="A1617" s="223">
        <v>123.72650516272803</v>
      </c>
      <c r="B1617" s="458">
        <v>1.3749386491486388</v>
      </c>
      <c r="C1617" t="str">
        <f t="shared" si="25"/>
        <v/>
      </c>
    </row>
    <row r="1618" spans="1:3" x14ac:dyDescent="0.25">
      <c r="A1618" s="223">
        <v>123.72650516272803</v>
      </c>
      <c r="B1618" s="458">
        <v>2.4350058519273605</v>
      </c>
      <c r="C1618" t="str">
        <f t="shared" si="25"/>
        <v/>
      </c>
    </row>
    <row r="1619" spans="1:3" x14ac:dyDescent="0.25">
      <c r="A1619" s="223">
        <v>137.5997288537433</v>
      </c>
      <c r="B1619" s="458">
        <v>2.0151772567674708</v>
      </c>
      <c r="C1619" t="str">
        <f t="shared" si="25"/>
        <v/>
      </c>
    </row>
    <row r="1620" spans="1:3" x14ac:dyDescent="0.25">
      <c r="A1620" s="223">
        <v>137.5997288537433</v>
      </c>
      <c r="B1620" s="458">
        <v>1.8052629591875262</v>
      </c>
      <c r="C1620" t="str">
        <f t="shared" si="25"/>
        <v/>
      </c>
    </row>
    <row r="1621" spans="1:3" x14ac:dyDescent="0.25">
      <c r="A1621" s="223">
        <v>161.66552505244326</v>
      </c>
      <c r="B1621" s="458">
        <v>3.3691244761581158</v>
      </c>
      <c r="C1621" t="str">
        <f t="shared" si="25"/>
        <v/>
      </c>
    </row>
    <row r="1622" spans="1:3" x14ac:dyDescent="0.25">
      <c r="A1622" s="223">
        <v>161.66552505244326</v>
      </c>
      <c r="B1622" s="458">
        <v>4.3872088194208478</v>
      </c>
      <c r="C1622" t="str">
        <f t="shared" si="25"/>
        <v/>
      </c>
    </row>
    <row r="1623" spans="1:3" x14ac:dyDescent="0.25">
      <c r="A1623" s="223">
        <v>176.10500277166324</v>
      </c>
      <c r="B1623" s="458">
        <v>1.3014686449956581</v>
      </c>
      <c r="C1623" t="str">
        <f t="shared" si="25"/>
        <v/>
      </c>
    </row>
    <row r="1624" spans="1:3" x14ac:dyDescent="0.25">
      <c r="A1624" s="223">
        <v>176.10500277166324</v>
      </c>
      <c r="B1624" s="458">
        <v>2.6029372899913161</v>
      </c>
      <c r="C1624" t="str">
        <f t="shared" si="25"/>
        <v/>
      </c>
    </row>
    <row r="1625" spans="1:3" x14ac:dyDescent="0.25">
      <c r="A1625" s="223">
        <v>180.06878096909617</v>
      </c>
      <c r="B1625" s="458">
        <v>3.2851587571261374</v>
      </c>
      <c r="C1625" t="str">
        <f t="shared" si="25"/>
        <v/>
      </c>
    </row>
    <row r="1626" spans="1:3" x14ac:dyDescent="0.25">
      <c r="A1626" s="223">
        <v>180.06878096909617</v>
      </c>
      <c r="B1626" s="458">
        <v>3.0857401744251902</v>
      </c>
      <c r="C1626" t="str">
        <f t="shared" si="25"/>
        <v/>
      </c>
    </row>
    <row r="1627" spans="1:3" x14ac:dyDescent="0.25">
      <c r="A1627" s="223">
        <v>102.4919791050516</v>
      </c>
      <c r="B1627" s="458">
        <v>1.4169215086646278</v>
      </c>
      <c r="C1627" t="str">
        <f t="shared" si="25"/>
        <v/>
      </c>
    </row>
    <row r="1628" spans="1:3" x14ac:dyDescent="0.25">
      <c r="A1628" s="223">
        <v>102.4919791050516</v>
      </c>
      <c r="B1628" s="458">
        <v>0.71370861177181244</v>
      </c>
      <c r="C1628" t="str">
        <f t="shared" si="25"/>
        <v/>
      </c>
    </row>
    <row r="1629" spans="1:3" x14ac:dyDescent="0.25">
      <c r="A1629" s="223">
        <v>124.29275919093274</v>
      </c>
      <c r="B1629" s="458">
        <v>1.3224600747536526</v>
      </c>
      <c r="C1629" t="str">
        <f t="shared" si="25"/>
        <v/>
      </c>
    </row>
    <row r="1630" spans="1:3" x14ac:dyDescent="0.25">
      <c r="A1630" s="223">
        <v>124.29275919093274</v>
      </c>
      <c r="B1630" s="458">
        <v>2.8233473024502582</v>
      </c>
      <c r="C1630" t="str">
        <f t="shared" si="25"/>
        <v/>
      </c>
    </row>
    <row r="1631" spans="1:3" x14ac:dyDescent="0.25">
      <c r="A1631" s="223">
        <v>128.53966440246802</v>
      </c>
      <c r="B1631" s="458">
        <v>1.3014686449956581</v>
      </c>
      <c r="C1631" t="str">
        <f t="shared" si="25"/>
        <v/>
      </c>
    </row>
    <row r="1632" spans="1:3" x14ac:dyDescent="0.25">
      <c r="A1632" s="223">
        <v>128.53966440246802</v>
      </c>
      <c r="B1632" s="458">
        <v>1.0705629176577189</v>
      </c>
      <c r="C1632" t="str">
        <f t="shared" si="25"/>
        <v/>
      </c>
    </row>
    <row r="1633" spans="1:3" x14ac:dyDescent="0.25">
      <c r="A1633" s="223">
        <v>82.67308811788692</v>
      </c>
      <c r="B1633" s="458">
        <v>0.53213274436516023</v>
      </c>
      <c r="C1633" t="str">
        <f t="shared" si="25"/>
        <v/>
      </c>
    </row>
    <row r="1634" spans="1:3" x14ac:dyDescent="0.25">
      <c r="A1634" s="223">
        <v>82.67308811788692</v>
      </c>
      <c r="B1634" s="458">
        <v>0.49644731377656959</v>
      </c>
      <c r="C1634" t="str">
        <f t="shared" si="25"/>
        <v/>
      </c>
    </row>
    <row r="1635" spans="1:3" x14ac:dyDescent="0.25">
      <c r="A1635" s="223">
        <v>131.65406155759391</v>
      </c>
      <c r="B1635" s="458">
        <v>2.5609544304753271</v>
      </c>
      <c r="C1635" t="str">
        <f t="shared" si="25"/>
        <v/>
      </c>
    </row>
    <row r="1636" spans="1:3" x14ac:dyDescent="0.25">
      <c r="A1636" s="223">
        <v>131.65406155759391</v>
      </c>
      <c r="B1636" s="458">
        <v>2.2775701287424019</v>
      </c>
      <c r="C1636" t="str">
        <f t="shared" si="25"/>
        <v/>
      </c>
    </row>
    <row r="1637" spans="1:3" x14ac:dyDescent="0.25">
      <c r="A1637" s="223">
        <v>114.3833136973504</v>
      </c>
      <c r="B1637" s="458">
        <v>1.1860157813266885</v>
      </c>
      <c r="C1637" t="str">
        <f t="shared" si="25"/>
        <v/>
      </c>
    </row>
    <row r="1638" spans="1:3" x14ac:dyDescent="0.25">
      <c r="A1638" s="223">
        <v>114.3833136973504</v>
      </c>
      <c r="B1638" s="458">
        <v>1.0600672027787217</v>
      </c>
      <c r="C1638" t="str">
        <f t="shared" si="25"/>
        <v/>
      </c>
    </row>
    <row r="1639" spans="1:3" x14ac:dyDescent="0.25">
      <c r="A1639" s="223">
        <v>269.8200444395419</v>
      </c>
      <c r="B1639" s="458">
        <v>1.8262543889455207</v>
      </c>
      <c r="C1639" t="str">
        <f t="shared" si="25"/>
        <v/>
      </c>
    </row>
    <row r="1640" spans="1:3" x14ac:dyDescent="0.25">
      <c r="A1640" s="223">
        <v>269.8200444395419</v>
      </c>
      <c r="B1640" s="458">
        <v>1.7947672443085285</v>
      </c>
      <c r="C1640" t="str">
        <f t="shared" si="25"/>
        <v/>
      </c>
    </row>
    <row r="1641" spans="1:3" x14ac:dyDescent="0.25">
      <c r="A1641" s="223">
        <v>160.81614401013621</v>
      </c>
      <c r="B1641" s="458">
        <v>0.98554762713784105</v>
      </c>
      <c r="C1641" t="str">
        <f t="shared" si="25"/>
        <v/>
      </c>
    </row>
    <row r="1642" spans="1:3" x14ac:dyDescent="0.25">
      <c r="A1642" s="223">
        <v>160.81614401013621</v>
      </c>
      <c r="B1642" s="458">
        <v>1.5848529467285839</v>
      </c>
      <c r="C1642" t="str">
        <f t="shared" si="25"/>
        <v/>
      </c>
    </row>
    <row r="1643" spans="1:3" x14ac:dyDescent="0.25">
      <c r="A1643" s="223">
        <v>166.76181130628561</v>
      </c>
      <c r="B1643" s="458">
        <v>6.1609846339713821</v>
      </c>
      <c r="C1643" t="str">
        <f t="shared" si="25"/>
        <v/>
      </c>
    </row>
    <row r="1644" spans="1:3" x14ac:dyDescent="0.25">
      <c r="A1644" s="223">
        <v>166.76181130628561</v>
      </c>
      <c r="B1644" s="458">
        <v>9.5406048250084936</v>
      </c>
      <c r="C1644" t="str">
        <f t="shared" si="25"/>
        <v/>
      </c>
    </row>
    <row r="1645" spans="1:3" x14ac:dyDescent="0.25">
      <c r="A1645" s="223">
        <v>212.91151460496906</v>
      </c>
      <c r="B1645" s="458">
        <v>2.4874844263223466</v>
      </c>
      <c r="C1645" t="str">
        <f t="shared" si="25"/>
        <v/>
      </c>
    </row>
    <row r="1646" spans="1:3" x14ac:dyDescent="0.25">
      <c r="A1646" s="223">
        <v>212.91151460496906</v>
      </c>
      <c r="B1646" s="458">
        <v>3.5370559142220714</v>
      </c>
      <c r="C1646" t="str">
        <f t="shared" si="25"/>
        <v/>
      </c>
    </row>
    <row r="1647" spans="1:3" x14ac:dyDescent="0.25">
      <c r="A1647" s="223">
        <v>230.74851649341727</v>
      </c>
      <c r="B1647" s="458">
        <v>15.638615169705893</v>
      </c>
      <c r="C1647" t="str">
        <f t="shared" si="25"/>
        <v/>
      </c>
    </row>
    <row r="1648" spans="1:3" x14ac:dyDescent="0.25">
      <c r="A1648" s="223">
        <v>230.74851649341727</v>
      </c>
      <c r="B1648" s="458">
        <v>4.8910031336127151</v>
      </c>
      <c r="C1648" t="str">
        <f t="shared" si="25"/>
        <v/>
      </c>
    </row>
    <row r="1649" spans="1:3" x14ac:dyDescent="0.25">
      <c r="A1649" s="223">
        <v>291.62082452542307</v>
      </c>
      <c r="B1649" s="458">
        <v>19.941858270094762</v>
      </c>
      <c r="C1649" t="str">
        <f t="shared" si="25"/>
        <v/>
      </c>
    </row>
    <row r="1650" spans="1:3" x14ac:dyDescent="0.25">
      <c r="A1650" s="223">
        <v>291.62082452542307</v>
      </c>
      <c r="B1650" s="458">
        <v>33.271416166421261</v>
      </c>
      <c r="C1650" t="str">
        <f t="shared" si="25"/>
        <v/>
      </c>
    </row>
    <row r="1651" spans="1:3" x14ac:dyDescent="0.25">
      <c r="A1651" s="223">
        <v>0.20470083119600085</v>
      </c>
      <c r="B1651" s="458">
        <v>4.7335674104277566E-5</v>
      </c>
      <c r="C1651" t="str">
        <f t="shared" si="25"/>
        <v/>
      </c>
    </row>
    <row r="1652" spans="1:3" x14ac:dyDescent="0.25">
      <c r="A1652" s="223">
        <v>0.65119213243541074</v>
      </c>
      <c r="B1652" s="458">
        <v>2.6239287197493107E-3</v>
      </c>
      <c r="C1652" t="str">
        <f t="shared" si="25"/>
        <v/>
      </c>
    </row>
    <row r="1653" spans="1:3" x14ac:dyDescent="0.25">
      <c r="A1653" s="223">
        <v>0.8776937437172927</v>
      </c>
      <c r="B1653" s="458">
        <v>5.8461131876014647E-3</v>
      </c>
      <c r="C1653" t="str">
        <f t="shared" si="25"/>
        <v/>
      </c>
    </row>
    <row r="1654" spans="1:3" x14ac:dyDescent="0.25">
      <c r="A1654" s="223">
        <v>0.36523384819203469</v>
      </c>
      <c r="B1654" s="458">
        <v>1.0705629176577189E-4</v>
      </c>
      <c r="C1654" t="str">
        <f t="shared" si="25"/>
        <v/>
      </c>
    </row>
    <row r="1655" spans="1:3" x14ac:dyDescent="0.25">
      <c r="A1655" s="223">
        <v>0.28086199798953365</v>
      </c>
      <c r="B1655" s="458">
        <v>1.6583229508815646E-5</v>
      </c>
      <c r="C1655" t="str">
        <f t="shared" si="25"/>
        <v/>
      </c>
    </row>
    <row r="1656" spans="1:3" x14ac:dyDescent="0.25">
      <c r="A1656" s="223">
        <v>0.18969509944857615</v>
      </c>
      <c r="B1656" s="458">
        <v>9.068297655453618E-6</v>
      </c>
      <c r="C1656" t="str">
        <f t="shared" si="25"/>
        <v/>
      </c>
    </row>
    <row r="1657" spans="1:3" x14ac:dyDescent="0.25">
      <c r="A1657" s="223">
        <v>1.3505158572682214</v>
      </c>
      <c r="B1657" s="458">
        <v>1.4379129384226226E-3</v>
      </c>
      <c r="C1657" t="str">
        <f t="shared" si="25"/>
        <v/>
      </c>
    </row>
    <row r="1658" spans="1:3" x14ac:dyDescent="0.25">
      <c r="A1658" s="223">
        <v>1.8969509944857617</v>
      </c>
      <c r="B1658" s="458">
        <v>8.4280590478347864E-3</v>
      </c>
      <c r="C1658" t="str">
        <f t="shared" si="25"/>
        <v/>
      </c>
    </row>
    <row r="1659" spans="1:3" x14ac:dyDescent="0.25">
      <c r="A1659" s="223">
        <v>1.2146148904990921</v>
      </c>
      <c r="B1659" s="458">
        <v>6.7067618076792398E-3</v>
      </c>
      <c r="C1659" t="str">
        <f t="shared" si="25"/>
        <v/>
      </c>
    </row>
    <row r="1660" spans="1:3" x14ac:dyDescent="0.25">
      <c r="A1660" s="223">
        <v>0.89185009442241026</v>
      </c>
      <c r="B1660" s="458">
        <v>6.0875146298184008E-4</v>
      </c>
      <c r="C1660" t="str">
        <f t="shared" si="25"/>
        <v/>
      </c>
    </row>
    <row r="1661" spans="1:3" x14ac:dyDescent="0.25">
      <c r="A1661" s="223">
        <v>0.68516737412769302</v>
      </c>
      <c r="B1661" s="458">
        <v>4.7965416997017393E-4</v>
      </c>
      <c r="C1661" t="str">
        <f t="shared" si="25"/>
        <v/>
      </c>
    </row>
    <row r="1662" spans="1:3" x14ac:dyDescent="0.25">
      <c r="A1662" s="223">
        <v>0.38222146903817583</v>
      </c>
      <c r="B1662" s="458">
        <v>2.0151772567674709E-3</v>
      </c>
      <c r="C1662" t="str">
        <f t="shared" si="25"/>
        <v/>
      </c>
    </row>
    <row r="1663" spans="1:3" x14ac:dyDescent="0.25">
      <c r="A1663" s="223">
        <v>0.34541495720486998</v>
      </c>
      <c r="B1663" s="458">
        <v>8.3335976139238112E-5</v>
      </c>
      <c r="C1663" t="str">
        <f t="shared" si="25"/>
        <v/>
      </c>
    </row>
    <row r="1664" spans="1:3" x14ac:dyDescent="0.25">
      <c r="A1664" s="223">
        <v>0.76161166793532808</v>
      </c>
      <c r="B1664" s="458">
        <v>4.397704534299845E-4</v>
      </c>
      <c r="C1664" t="str">
        <f t="shared" si="25"/>
        <v/>
      </c>
    </row>
    <row r="1665" spans="1:3" x14ac:dyDescent="0.25">
      <c r="A1665" s="223">
        <v>0.41902798087148169</v>
      </c>
      <c r="B1665" s="458">
        <v>2.0991429757994487E-5</v>
      </c>
      <c r="C1665" t="str">
        <f t="shared" si="25"/>
        <v/>
      </c>
    </row>
    <row r="1666" spans="1:3" x14ac:dyDescent="0.25">
      <c r="A1666" s="223">
        <v>1.3306969662810566</v>
      </c>
      <c r="B1666" s="458">
        <v>9.6298184014799691E-3</v>
      </c>
      <c r="C1666" t="str">
        <f t="shared" si="25"/>
        <v/>
      </c>
    </row>
    <row r="1667" spans="1:3" x14ac:dyDescent="0.25">
      <c r="A1667" s="223">
        <v>1.0702201133068923</v>
      </c>
      <c r="B1667" s="458">
        <v>1.396979650394533E-3</v>
      </c>
      <c r="C1667" t="str">
        <f t="shared" si="25"/>
        <v/>
      </c>
    </row>
    <row r="1668" spans="1:3" x14ac:dyDescent="0.25">
      <c r="A1668" s="223">
        <v>1.3420220468451507</v>
      </c>
      <c r="B1668" s="458">
        <v>5.0263978555517789E-3</v>
      </c>
      <c r="C1668" t="str">
        <f t="shared" si="25"/>
        <v/>
      </c>
    </row>
    <row r="1669" spans="1:3" x14ac:dyDescent="0.25">
      <c r="A1669" s="223">
        <v>0.80974326033272814</v>
      </c>
      <c r="B1669" s="458">
        <v>5.7264620379808961E-3</v>
      </c>
      <c r="C1669" t="str">
        <f t="shared" si="25"/>
        <v/>
      </c>
    </row>
    <row r="1670" spans="1:3" x14ac:dyDescent="0.25">
      <c r="A1670" s="223">
        <v>0.44450941214069339</v>
      </c>
      <c r="B1670" s="458">
        <v>1.2384943557216749E-4</v>
      </c>
      <c r="C1670" t="str">
        <f t="shared" ref="C1670:C1733" si="26">IF(B1670=0,"XXXXXXXX","")</f>
        <v/>
      </c>
    </row>
    <row r="1671" spans="1:3" x14ac:dyDescent="0.25">
      <c r="A1671" s="223">
        <v>0.37655892875612884</v>
      </c>
      <c r="B1671" s="458">
        <v>1.4484086533016194E-4</v>
      </c>
      <c r="C1671" t="str">
        <f t="shared" si="26"/>
        <v/>
      </c>
    </row>
    <row r="1672" spans="1:3" x14ac:dyDescent="0.25">
      <c r="A1672" s="223">
        <v>1.8516506722293853</v>
      </c>
      <c r="B1672" s="458">
        <v>1.8262543889455206E-3</v>
      </c>
      <c r="C1672" t="str">
        <f t="shared" si="26"/>
        <v/>
      </c>
    </row>
    <row r="1673" spans="1:3" x14ac:dyDescent="0.25">
      <c r="A1673" s="223">
        <v>0.69649245469178711</v>
      </c>
      <c r="B1673" s="458">
        <v>1.4610035111564162E-3</v>
      </c>
      <c r="C1673" t="str">
        <f t="shared" si="26"/>
        <v/>
      </c>
    </row>
    <row r="1674" spans="1:3" x14ac:dyDescent="0.25">
      <c r="A1674" s="223">
        <v>0.73329896652509285</v>
      </c>
      <c r="B1674" s="458">
        <v>3.5370559142220716E-4</v>
      </c>
      <c r="C1674" t="str">
        <f t="shared" si="26"/>
        <v/>
      </c>
    </row>
    <row r="1675" spans="1:3" x14ac:dyDescent="0.25">
      <c r="A1675" s="223">
        <v>1.0758826535889394</v>
      </c>
      <c r="B1675" s="458">
        <v>2.1726129799524294E-2</v>
      </c>
      <c r="C1675" t="str">
        <f t="shared" si="26"/>
        <v/>
      </c>
    </row>
    <row r="1676" spans="1:3" x14ac:dyDescent="0.25">
      <c r="A1676" s="223">
        <v>1.0758826535889394</v>
      </c>
      <c r="B1676" s="458">
        <v>6.5178389398572881E-3</v>
      </c>
      <c r="C1676" t="str">
        <f t="shared" si="26"/>
        <v/>
      </c>
    </row>
    <row r="1677" spans="1:3" x14ac:dyDescent="0.25">
      <c r="A1677" s="223">
        <v>0.53794132679446971</v>
      </c>
      <c r="B1677" s="458">
        <v>7.2934722694151842E-3</v>
      </c>
      <c r="C1677" t="str">
        <f t="shared" si="26"/>
        <v/>
      </c>
    </row>
    <row r="1678" spans="1:3" x14ac:dyDescent="0.25">
      <c r="A1678" s="223">
        <v>0.59456672961494017</v>
      </c>
      <c r="B1678" s="458">
        <v>8.7429304942047037E-4</v>
      </c>
      <c r="C1678" t="str">
        <f t="shared" si="26"/>
        <v/>
      </c>
    </row>
    <row r="1679" spans="1:3" x14ac:dyDescent="0.25">
      <c r="A1679" s="223">
        <v>0.63703578173029307</v>
      </c>
      <c r="B1679" s="458">
        <v>2.158968550609733E-3</v>
      </c>
      <c r="C1679" t="str">
        <f t="shared" si="26"/>
        <v/>
      </c>
    </row>
    <row r="1680" spans="1:3" x14ac:dyDescent="0.25">
      <c r="A1680" s="223">
        <v>0.64269832201234012</v>
      </c>
      <c r="B1680" s="458">
        <v>1.061746517159361E-2</v>
      </c>
      <c r="C1680" t="str">
        <f t="shared" si="26"/>
        <v/>
      </c>
    </row>
    <row r="1681" spans="1:3" x14ac:dyDescent="0.25">
      <c r="A1681" s="223">
        <v>0.39920908988431697</v>
      </c>
      <c r="B1681" s="458">
        <v>9.5930833994034787E-4</v>
      </c>
      <c r="C1681" t="str">
        <f t="shared" si="26"/>
        <v/>
      </c>
    </row>
    <row r="1682" spans="1:3" x14ac:dyDescent="0.25">
      <c r="A1682" s="223">
        <v>0.67667356370462239</v>
      </c>
      <c r="B1682" s="458">
        <v>1.9773926832030806E-3</v>
      </c>
      <c r="C1682" t="str">
        <f t="shared" si="26"/>
        <v/>
      </c>
    </row>
    <row r="1683" spans="1:3" x14ac:dyDescent="0.25">
      <c r="A1683" s="223">
        <v>1.1041953549991748</v>
      </c>
      <c r="B1683" s="458">
        <v>3.4545895830299499E-3</v>
      </c>
      <c r="C1683" t="str">
        <f t="shared" si="26"/>
        <v/>
      </c>
    </row>
    <row r="1684" spans="1:3" x14ac:dyDescent="0.25">
      <c r="A1684" s="223">
        <v>1.8771321034985968</v>
      </c>
      <c r="B1684" s="458">
        <v>1.8244551235376921E-2</v>
      </c>
      <c r="C1684" t="str">
        <f t="shared" si="26"/>
        <v/>
      </c>
    </row>
    <row r="1685" spans="1:3" x14ac:dyDescent="0.25">
      <c r="A1685" s="223">
        <v>1.6817744637679737</v>
      </c>
      <c r="B1685" s="458">
        <v>1.9510367769513762E-2</v>
      </c>
      <c r="C1685" t="str">
        <f t="shared" si="26"/>
        <v/>
      </c>
    </row>
    <row r="1686" spans="1:3" x14ac:dyDescent="0.25">
      <c r="A1686" s="223">
        <v>1.3306969662810566</v>
      </c>
      <c r="B1686" s="459">
        <v>7.2000604069921085E-4</v>
      </c>
      <c r="C1686" t="str">
        <f t="shared" si="26"/>
        <v/>
      </c>
    </row>
    <row r="1687" spans="1:3" x14ac:dyDescent="0.25">
      <c r="A1687" s="223">
        <v>1.4439477719219975</v>
      </c>
      <c r="B1687" s="459">
        <v>5.2583531543776195E-3</v>
      </c>
      <c r="C1687" t="str">
        <f t="shared" si="26"/>
        <v/>
      </c>
    </row>
    <row r="1688" spans="1:3" x14ac:dyDescent="0.25">
      <c r="A1688" s="223">
        <v>2.3216415156392904</v>
      </c>
      <c r="B1688" s="459">
        <v>1.3854343640276361E-2</v>
      </c>
      <c r="C1688" t="str">
        <f t="shared" si="26"/>
        <v/>
      </c>
    </row>
    <row r="1689" spans="1:3" x14ac:dyDescent="0.25">
      <c r="A1689" s="223">
        <v>1.9535763973062321</v>
      </c>
      <c r="B1689" s="459">
        <v>4.4816702533318235E-3</v>
      </c>
      <c r="C1689" t="str">
        <f t="shared" si="26"/>
        <v/>
      </c>
    </row>
    <row r="1690" spans="1:3" x14ac:dyDescent="0.25">
      <c r="A1690" s="223">
        <v>2.8029574396132895</v>
      </c>
      <c r="B1690" s="459">
        <v>2.8443387322082531E-2</v>
      </c>
      <c r="C1690" t="str">
        <f t="shared" si="26"/>
        <v/>
      </c>
    </row>
    <row r="1691" spans="1:3" x14ac:dyDescent="0.25">
      <c r="A1691" s="223">
        <v>3.8505273917919935</v>
      </c>
      <c r="B1691" s="459">
        <v>5.6361988900215196E-2</v>
      </c>
      <c r="C1691" t="str">
        <f t="shared" si="26"/>
        <v/>
      </c>
    </row>
    <row r="1692" spans="1:3" x14ac:dyDescent="0.25">
      <c r="A1692" s="223">
        <v>3.2842733635872889</v>
      </c>
      <c r="B1692" s="459">
        <v>5.4997545965945548E-2</v>
      </c>
      <c r="C1692" t="str">
        <f t="shared" si="26"/>
        <v/>
      </c>
    </row>
    <row r="1693" spans="1:3" x14ac:dyDescent="0.25">
      <c r="A1693" s="223">
        <v>4.5017195242274042</v>
      </c>
      <c r="B1693" s="459">
        <v>2.8863215917242419E-2</v>
      </c>
      <c r="C1693" t="str">
        <f t="shared" si="26"/>
        <v/>
      </c>
    </row>
    <row r="1694" spans="1:3" x14ac:dyDescent="0.25">
      <c r="A1694" s="223">
        <v>2.7463320367928192</v>
      </c>
      <c r="B1694" s="459">
        <v>1.5533658020915921E-2</v>
      </c>
      <c r="C1694" t="str">
        <f t="shared" si="26"/>
        <v/>
      </c>
    </row>
    <row r="1695" spans="1:3" x14ac:dyDescent="0.25">
      <c r="A1695" s="223">
        <v>1.7270747860243501</v>
      </c>
      <c r="B1695" s="459">
        <v>4.8910031336127152E-3</v>
      </c>
      <c r="C1695" t="str">
        <f t="shared" si="26"/>
        <v/>
      </c>
    </row>
    <row r="1696" spans="1:3" x14ac:dyDescent="0.25">
      <c r="A1696" s="223">
        <v>1.7553874874345854</v>
      </c>
      <c r="B1696" s="459">
        <v>4.3137388152678672E-3</v>
      </c>
      <c r="C1696" t="str">
        <f t="shared" si="26"/>
        <v/>
      </c>
    </row>
    <row r="1697" spans="1:3" x14ac:dyDescent="0.25">
      <c r="A1697" s="223">
        <v>1.7553874874345854</v>
      </c>
      <c r="B1697" s="459">
        <v>2.7708687280552724E-3</v>
      </c>
      <c r="C1697" t="str">
        <f t="shared" si="26"/>
        <v/>
      </c>
    </row>
    <row r="1698" spans="1:3" x14ac:dyDescent="0.25">
      <c r="A1698" s="223">
        <v>2.0102018001267026</v>
      </c>
      <c r="B1698" s="459">
        <v>4.2822516706308754E-3</v>
      </c>
      <c r="C1698" t="str">
        <f t="shared" si="26"/>
        <v/>
      </c>
    </row>
    <row r="1699" spans="1:3" x14ac:dyDescent="0.25">
      <c r="A1699" s="223">
        <v>1.8969509944857617</v>
      </c>
      <c r="B1699" s="459">
        <v>6.1294974893343892E-3</v>
      </c>
      <c r="C1699" t="str">
        <f t="shared" si="26"/>
        <v/>
      </c>
    </row>
    <row r="1700" spans="1:3" x14ac:dyDescent="0.25">
      <c r="A1700" s="223">
        <v>3.0011463494849364</v>
      </c>
      <c r="B1700" s="459">
        <v>1.9102201079774981E-2</v>
      </c>
      <c r="C1700" t="str">
        <f t="shared" si="26"/>
        <v/>
      </c>
    </row>
    <row r="1701" spans="1:3" x14ac:dyDescent="0.25">
      <c r="A1701" s="223">
        <v>1.7270747860243501</v>
      </c>
      <c r="B1701" s="459">
        <v>1.0600672027787215E-2</v>
      </c>
      <c r="C1701" t="str">
        <f t="shared" si="26"/>
        <v/>
      </c>
    </row>
    <row r="1702" spans="1:3" x14ac:dyDescent="0.25">
      <c r="A1702" s="223">
        <v>0.45300322256376396</v>
      </c>
      <c r="B1702" s="459">
        <v>6.0875146298184008E-4</v>
      </c>
      <c r="C1702" t="str">
        <f t="shared" si="26"/>
        <v/>
      </c>
    </row>
    <row r="1703" spans="1:3" x14ac:dyDescent="0.25">
      <c r="A1703" s="223">
        <v>0.42469052115352873</v>
      </c>
      <c r="B1703" s="459">
        <v>7.7458375806999658E-5</v>
      </c>
      <c r="C1703" t="str">
        <f t="shared" si="26"/>
        <v/>
      </c>
    </row>
    <row r="1704" spans="1:3" x14ac:dyDescent="0.25">
      <c r="A1704" s="223">
        <v>0.39637781974329345</v>
      </c>
      <c r="B1704" s="459">
        <v>1.4484086533016194E-4</v>
      </c>
      <c r="C1704" t="str">
        <f t="shared" si="26"/>
        <v/>
      </c>
    </row>
    <row r="1705" spans="1:3" x14ac:dyDescent="0.25">
      <c r="A1705" s="223">
        <v>0.99094454935823362</v>
      </c>
      <c r="B1705" s="459">
        <v>1.7212972401555479E-3</v>
      </c>
      <c r="C1705" t="str">
        <f t="shared" si="26"/>
        <v/>
      </c>
    </row>
    <row r="1706" spans="1:3" x14ac:dyDescent="0.25">
      <c r="A1706" s="223">
        <v>0.65119213243541074</v>
      </c>
      <c r="B1706" s="459">
        <v>8.3545890436818057E-4</v>
      </c>
      <c r="C1706" t="str">
        <f t="shared" si="26"/>
        <v/>
      </c>
    </row>
    <row r="1707" spans="1:3" x14ac:dyDescent="0.25">
      <c r="A1707" s="223">
        <v>0.67950483384564597</v>
      </c>
      <c r="B1707" s="459">
        <v>1.9312115377354924E-4</v>
      </c>
      <c r="C1707" t="str">
        <f t="shared" si="26"/>
        <v/>
      </c>
    </row>
    <row r="1708" spans="1:3" x14ac:dyDescent="0.25">
      <c r="A1708" s="223">
        <v>1.0475699521787041</v>
      </c>
      <c r="B1708" s="459">
        <v>3.568543058859063E-3</v>
      </c>
      <c r="C1708" t="str">
        <f t="shared" si="26"/>
        <v/>
      </c>
    </row>
    <row r="1709" spans="1:3" x14ac:dyDescent="0.25">
      <c r="A1709" s="223">
        <v>3.086084453715642</v>
      </c>
      <c r="B1709" s="459">
        <v>8.9843319364216415E-3</v>
      </c>
      <c r="C1709" t="str">
        <f t="shared" si="26"/>
        <v/>
      </c>
    </row>
    <row r="1710" spans="1:3" x14ac:dyDescent="0.25">
      <c r="A1710" s="223">
        <v>2.2650161128188198</v>
      </c>
      <c r="B1710" s="459">
        <v>8.7639219239626989E-3</v>
      </c>
      <c r="C1710" t="str">
        <f t="shared" si="26"/>
        <v/>
      </c>
    </row>
    <row r="1711" spans="1:3" x14ac:dyDescent="0.25">
      <c r="A1711" s="223">
        <v>1.5005731747424682</v>
      </c>
      <c r="B1711" s="459">
        <v>7.6198890021519994E-3</v>
      </c>
      <c r="C1711" t="str">
        <f t="shared" si="26"/>
        <v/>
      </c>
    </row>
    <row r="1712" spans="1:3" x14ac:dyDescent="0.25">
      <c r="A1712" s="223">
        <v>1.5855112789731738</v>
      </c>
      <c r="B1712" s="459">
        <v>5.3318231585306004E-3</v>
      </c>
      <c r="C1712" t="str">
        <f t="shared" si="26"/>
        <v/>
      </c>
    </row>
    <row r="1713" spans="1:3" x14ac:dyDescent="0.25">
      <c r="A1713" s="223">
        <v>2.2650161128188198</v>
      </c>
      <c r="B1713" s="459">
        <v>2.193604409710424E-2</v>
      </c>
      <c r="C1713" t="str">
        <f t="shared" si="26"/>
        <v/>
      </c>
    </row>
    <row r="1714" spans="1:3" x14ac:dyDescent="0.25">
      <c r="A1714" s="223">
        <v>2.7180193353825839</v>
      </c>
      <c r="B1714" s="459">
        <v>1.2804772152376636E-2</v>
      </c>
      <c r="C1714" t="str">
        <f t="shared" si="26"/>
        <v/>
      </c>
    </row>
    <row r="1715" spans="1:3" x14ac:dyDescent="0.25">
      <c r="A1715" s="223">
        <v>4.246905211535287</v>
      </c>
      <c r="B1715" s="459">
        <v>9.6875448333144557E-2</v>
      </c>
      <c r="C1715" t="str">
        <f t="shared" si="26"/>
        <v/>
      </c>
    </row>
    <row r="1716" spans="1:3" x14ac:dyDescent="0.25">
      <c r="A1716" s="223">
        <v>5.5492894764061083</v>
      </c>
      <c r="B1716" s="459">
        <v>2.907313021482236E-2</v>
      </c>
      <c r="C1716" t="str">
        <f t="shared" si="26"/>
        <v/>
      </c>
    </row>
    <row r="1717" spans="1:3" x14ac:dyDescent="0.25">
      <c r="A1717" s="223">
        <v>3.7089638847408173</v>
      </c>
      <c r="B1717" s="459">
        <v>1.0023407709442368E-2</v>
      </c>
      <c r="C1717" t="str">
        <f t="shared" si="26"/>
        <v/>
      </c>
    </row>
    <row r="1718" spans="1:3" x14ac:dyDescent="0.25">
      <c r="A1718" s="223">
        <v>3.7089638847408173</v>
      </c>
      <c r="B1718" s="459">
        <v>1.3749386491486387E-2</v>
      </c>
      <c r="C1718" t="str">
        <f t="shared" si="26"/>
        <v/>
      </c>
    </row>
    <row r="1719" spans="1:3" x14ac:dyDescent="0.25">
      <c r="A1719" s="223">
        <v>3.7089638847408173</v>
      </c>
      <c r="B1719" s="459">
        <v>8.1971533204968482E-3</v>
      </c>
      <c r="C1719" t="str">
        <f t="shared" si="26"/>
        <v/>
      </c>
    </row>
    <row r="1720" spans="1:3" x14ac:dyDescent="0.25">
      <c r="A1720" s="223">
        <v>3.2842733635872889</v>
      </c>
      <c r="B1720" s="459">
        <v>6.4128817910673154E-3</v>
      </c>
      <c r="C1720" t="str">
        <f t="shared" si="26"/>
        <v/>
      </c>
    </row>
    <row r="1721" spans="1:3" x14ac:dyDescent="0.25">
      <c r="A1721" s="223">
        <v>1.8969509944857617</v>
      </c>
      <c r="B1721" s="459">
        <v>3.3691244761581154E-3</v>
      </c>
      <c r="C1721" t="str">
        <f t="shared" si="26"/>
        <v/>
      </c>
    </row>
    <row r="1722" spans="1:3" x14ac:dyDescent="0.25">
      <c r="A1722" s="223">
        <v>0.79275563948658689</v>
      </c>
      <c r="B1722" s="459">
        <v>2.2355872692264133E-4</v>
      </c>
      <c r="C1722" t="str">
        <f t="shared" si="26"/>
        <v/>
      </c>
    </row>
    <row r="1723" spans="1:3" x14ac:dyDescent="0.25">
      <c r="A1723" s="223">
        <v>1.0758826535889394</v>
      </c>
      <c r="B1723" s="459">
        <v>9.0263147959376289E-3</v>
      </c>
      <c r="C1723" t="str">
        <f t="shared" si="26"/>
        <v/>
      </c>
    </row>
    <row r="1724" spans="1:3" x14ac:dyDescent="0.25">
      <c r="A1724" s="223">
        <v>1.5855112789731738</v>
      </c>
      <c r="B1724" s="459">
        <v>6.6437875184052544E-3</v>
      </c>
      <c r="C1724" t="str">
        <f t="shared" si="26"/>
        <v/>
      </c>
    </row>
    <row r="1725" spans="1:3" x14ac:dyDescent="0.25">
      <c r="A1725" s="223">
        <v>1.6704493832038796</v>
      </c>
      <c r="B1725" s="459">
        <v>7.8507947294899384E-3</v>
      </c>
      <c r="C1725" t="str">
        <f t="shared" si="26"/>
        <v/>
      </c>
    </row>
    <row r="1726" spans="1:3" x14ac:dyDescent="0.25">
      <c r="A1726" s="223">
        <v>1.5288858761527033</v>
      </c>
      <c r="B1726" s="459">
        <v>1.7003058103975536E-3</v>
      </c>
      <c r="C1726" t="str">
        <f t="shared" si="26"/>
        <v/>
      </c>
    </row>
    <row r="1727" spans="1:3" x14ac:dyDescent="0.25">
      <c r="A1727" s="223">
        <v>2.1517653071778788</v>
      </c>
      <c r="B1727" s="459">
        <v>6.2449503530033609E-3</v>
      </c>
      <c r="C1727" t="str">
        <f t="shared" si="26"/>
        <v/>
      </c>
    </row>
    <row r="1728" spans="1:3" x14ac:dyDescent="0.25">
      <c r="A1728" s="223">
        <v>2.4915177241007016</v>
      </c>
      <c r="B1728" s="459">
        <v>1.9207158228564954E-2</v>
      </c>
      <c r="C1728" t="str">
        <f t="shared" si="26"/>
        <v/>
      </c>
    </row>
    <row r="1729" spans="1:3" x14ac:dyDescent="0.25">
      <c r="A1729" s="223">
        <v>3.2276479607668183</v>
      </c>
      <c r="B1729" s="459">
        <v>6.717257522558237E-2</v>
      </c>
      <c r="C1729" t="str">
        <f t="shared" si="26"/>
        <v/>
      </c>
    </row>
    <row r="1730" spans="1:3" x14ac:dyDescent="0.25">
      <c r="A1730" s="223">
        <v>3.9354654960226996</v>
      </c>
      <c r="B1730" s="459">
        <v>7.7563332955789639E-3</v>
      </c>
      <c r="C1730" t="str">
        <f t="shared" si="26"/>
        <v/>
      </c>
    </row>
    <row r="1731" spans="1:3" x14ac:dyDescent="0.25">
      <c r="A1731" s="223">
        <v>2.4915177241007016</v>
      </c>
      <c r="B1731" s="459">
        <v>5.3738060180465886E-3</v>
      </c>
      <c r="C1731" t="str">
        <f t="shared" si="26"/>
        <v/>
      </c>
    </row>
    <row r="1732" spans="1:3" x14ac:dyDescent="0.25">
      <c r="A1732" s="223">
        <v>2.0951399043574082</v>
      </c>
      <c r="B1732" s="459">
        <v>3.3691244761581154E-3</v>
      </c>
      <c r="C1732" t="str">
        <f t="shared" si="26"/>
        <v/>
      </c>
    </row>
    <row r="1733" spans="1:3" x14ac:dyDescent="0.25">
      <c r="A1733" s="223">
        <v>2.1517653071778788</v>
      </c>
      <c r="B1733" s="459">
        <v>3.8204402159549965E-3</v>
      </c>
      <c r="C1733" t="str">
        <f t="shared" si="26"/>
        <v/>
      </c>
    </row>
    <row r="1734" spans="1:3" x14ac:dyDescent="0.25">
      <c r="A1734" s="223">
        <v>1.7553874874345854</v>
      </c>
      <c r="B1734" s="459">
        <v>3.1697058934571673E-3</v>
      </c>
      <c r="C1734" t="str">
        <f t="shared" ref="C1734:C1797" si="27">IF(B1734=0,"XXXXXXXX","")</f>
        <v/>
      </c>
    </row>
    <row r="1735" spans="1:3" x14ac:dyDescent="0.25">
      <c r="A1735" s="223">
        <v>1.5288858761527033</v>
      </c>
      <c r="B1735" s="459">
        <v>1.9731943972514819E-3</v>
      </c>
      <c r="C1735" t="str">
        <f t="shared" si="27"/>
        <v/>
      </c>
    </row>
    <row r="1736" spans="1:3" x14ac:dyDescent="0.25">
      <c r="A1736" s="223">
        <v>1.1041953549991748</v>
      </c>
      <c r="B1736" s="459">
        <v>2.0991429757994491E-3</v>
      </c>
      <c r="C1736" t="str">
        <f t="shared" si="27"/>
        <v/>
      </c>
    </row>
    <row r="1737" spans="1:3" x14ac:dyDescent="0.25">
      <c r="A1737" s="223">
        <v>0.99094454935823362</v>
      </c>
      <c r="B1737" s="459">
        <v>2.2460829841054104E-3</v>
      </c>
      <c r="C1737" t="str">
        <f t="shared" si="27"/>
        <v/>
      </c>
    </row>
    <row r="1738" spans="1:3" x14ac:dyDescent="0.25">
      <c r="A1738" s="223">
        <v>0.48131592397399919</v>
      </c>
      <c r="B1738" s="459">
        <v>2.382527277532375E-4</v>
      </c>
      <c r="C1738" t="str">
        <f t="shared" si="27"/>
        <v/>
      </c>
    </row>
    <row r="1739" spans="1:3" x14ac:dyDescent="0.25">
      <c r="A1739" s="223">
        <v>0.73613023666611643</v>
      </c>
      <c r="B1739" s="459">
        <v>1.1860157813266886E-3</v>
      </c>
      <c r="C1739" t="str">
        <f t="shared" si="27"/>
        <v/>
      </c>
    </row>
    <row r="1740" spans="1:3" x14ac:dyDescent="0.25">
      <c r="A1740" s="223">
        <v>1.4156350705117624</v>
      </c>
      <c r="B1740" s="459">
        <v>1.4798957979386112E-2</v>
      </c>
      <c r="C1740" t="str">
        <f t="shared" si="27"/>
        <v/>
      </c>
    </row>
    <row r="1741" spans="1:3" x14ac:dyDescent="0.25">
      <c r="A1741" s="223">
        <v>3.765589287561288</v>
      </c>
      <c r="B1741" s="459">
        <v>2.2460829841054103E-2</v>
      </c>
      <c r="C1741" t="str">
        <f t="shared" si="27"/>
        <v/>
      </c>
    </row>
    <row r="1742" spans="1:3" x14ac:dyDescent="0.25">
      <c r="A1742" s="223">
        <v>6.25710701166199</v>
      </c>
      <c r="B1742" s="459">
        <v>2.5504587155963303E-2</v>
      </c>
      <c r="C1742" t="str">
        <f t="shared" si="27"/>
        <v/>
      </c>
    </row>
    <row r="1743" spans="1:3" x14ac:dyDescent="0.25">
      <c r="A1743" s="223">
        <v>6.3703578173029305</v>
      </c>
      <c r="B1743" s="459">
        <v>6.1294974893343915E-2</v>
      </c>
      <c r="C1743" t="str">
        <f t="shared" si="27"/>
        <v/>
      </c>
    </row>
    <row r="1744" spans="1:3" x14ac:dyDescent="0.25">
      <c r="A1744" s="223">
        <v>3.9354654960226996</v>
      </c>
      <c r="B1744" s="459">
        <v>2.4664929965643526E-2</v>
      </c>
      <c r="C1744" t="str">
        <f t="shared" si="27"/>
        <v/>
      </c>
    </row>
    <row r="1745" spans="1:3" x14ac:dyDescent="0.25">
      <c r="A1745" s="223">
        <v>3.0011463494849364</v>
      </c>
      <c r="B1745" s="459">
        <v>5.8880960471174547E-3</v>
      </c>
      <c r="C1745" t="str">
        <f t="shared" si="27"/>
        <v/>
      </c>
    </row>
    <row r="1746" spans="1:3" x14ac:dyDescent="0.25">
      <c r="A1746" s="223">
        <v>2.9445209466644657</v>
      </c>
      <c r="B1746" s="459">
        <v>1.6793143806395593E-2</v>
      </c>
      <c r="C1746" t="str">
        <f t="shared" si="27"/>
        <v/>
      </c>
    </row>
    <row r="1747" spans="1:3" x14ac:dyDescent="0.25">
      <c r="A1747" s="223">
        <v>2.9445209466644657</v>
      </c>
      <c r="B1747" s="459">
        <v>8.3231018990448137E-3</v>
      </c>
      <c r="C1747" t="str">
        <f t="shared" si="27"/>
        <v/>
      </c>
    </row>
    <row r="1748" spans="1:3" x14ac:dyDescent="0.25">
      <c r="A1748" s="223">
        <v>0.42469052115352873</v>
      </c>
      <c r="B1748" s="459">
        <v>6.2974289273983467E-5</v>
      </c>
      <c r="C1748" t="str">
        <f t="shared" si="27"/>
        <v/>
      </c>
    </row>
    <row r="1749" spans="1:3" x14ac:dyDescent="0.25">
      <c r="A1749" s="223">
        <v>0.45300322256376396</v>
      </c>
      <c r="B1749" s="459">
        <v>3.2431758976101478E-5</v>
      </c>
      <c r="C1749" t="str">
        <f t="shared" si="27"/>
        <v/>
      </c>
    </row>
    <row r="1750" spans="1:3" x14ac:dyDescent="0.25">
      <c r="A1750" s="223">
        <v>0.42469052115352873</v>
      </c>
      <c r="B1750" s="459">
        <v>7.2105561218711059E-5</v>
      </c>
      <c r="C1750" t="str">
        <f t="shared" si="27"/>
        <v/>
      </c>
    </row>
    <row r="1751" spans="1:3" x14ac:dyDescent="0.25">
      <c r="A1751" s="223">
        <v>1.6138239803834091</v>
      </c>
      <c r="B1751" s="459">
        <v>2.1411258353154377E-3</v>
      </c>
      <c r="C1751" t="str">
        <f t="shared" si="27"/>
        <v/>
      </c>
    </row>
    <row r="1752" spans="1:3" x14ac:dyDescent="0.25">
      <c r="A1752" s="223">
        <v>2.406579619869996</v>
      </c>
      <c r="B1752" s="459">
        <v>2.6659115792653002E-3</v>
      </c>
      <c r="C1752" t="str">
        <f t="shared" si="27"/>
        <v/>
      </c>
    </row>
    <row r="1753" spans="1:3" x14ac:dyDescent="0.25">
      <c r="A1753" s="223">
        <v>1.3590096676912919</v>
      </c>
      <c r="B1753" s="459">
        <v>3.2011930380941594E-4</v>
      </c>
      <c r="C1753" t="str">
        <f t="shared" si="27"/>
        <v/>
      </c>
    </row>
    <row r="1754" spans="1:3" x14ac:dyDescent="0.25">
      <c r="A1754" s="223">
        <v>1.5571985775629387</v>
      </c>
      <c r="B1754" s="459">
        <v>1.8682372484615094E-3</v>
      </c>
      <c r="C1754" t="str">
        <f t="shared" si="27"/>
        <v/>
      </c>
    </row>
    <row r="1755" spans="1:3" x14ac:dyDescent="0.25">
      <c r="A1755" s="223">
        <v>1.7553874874345854</v>
      </c>
      <c r="B1755" s="459">
        <v>1.6898100955185563E-3</v>
      </c>
      <c r="C1755" t="str">
        <f t="shared" si="27"/>
        <v/>
      </c>
    </row>
    <row r="1756" spans="1:3" x14ac:dyDescent="0.25">
      <c r="A1756" s="223">
        <v>3.8505273917919935</v>
      </c>
      <c r="B1756" s="459">
        <v>2.1726129799524294E-2</v>
      </c>
      <c r="C1756" t="str">
        <f t="shared" si="27"/>
        <v/>
      </c>
    </row>
    <row r="1757" spans="1:3" x14ac:dyDescent="0.25">
      <c r="A1757" s="223">
        <v>4.5300322256376395</v>
      </c>
      <c r="B1757" s="459">
        <v>8.4280590478347857E-4</v>
      </c>
      <c r="C1757" t="str">
        <f t="shared" si="27"/>
        <v/>
      </c>
    </row>
    <row r="1758" spans="1:3" x14ac:dyDescent="0.25">
      <c r="A1758" s="223">
        <v>3.4541495720487001</v>
      </c>
      <c r="B1758" s="459">
        <v>6.8537018159852007E-3</v>
      </c>
      <c r="C1758" t="str">
        <f t="shared" si="27"/>
        <v/>
      </c>
    </row>
    <row r="1759" spans="1:3" x14ac:dyDescent="0.25">
      <c r="A1759" s="223">
        <v>1.8403255916652912</v>
      </c>
      <c r="B1759" s="459">
        <v>9.3306905274285496E-3</v>
      </c>
      <c r="C1759" t="str">
        <f t="shared" si="27"/>
        <v/>
      </c>
    </row>
    <row r="1760" spans="1:3" x14ac:dyDescent="0.25">
      <c r="A1760" s="223">
        <v>1.8403255916652912</v>
      </c>
      <c r="B1760" s="459">
        <v>1.5428700872125948E-3</v>
      </c>
      <c r="C1760" t="str">
        <f t="shared" si="27"/>
        <v/>
      </c>
    </row>
    <row r="1761" spans="1:3" x14ac:dyDescent="0.25">
      <c r="A1761" s="223">
        <v>1.4722604733322329</v>
      </c>
      <c r="B1761" s="459">
        <v>1.5008872276966059E-3</v>
      </c>
      <c r="C1761" t="str">
        <f t="shared" si="27"/>
        <v/>
      </c>
    </row>
    <row r="1762" spans="1:3" x14ac:dyDescent="0.25">
      <c r="A1762" s="223">
        <v>1.4722604733322329</v>
      </c>
      <c r="B1762" s="459">
        <v>1.1125457771737077E-3</v>
      </c>
      <c r="C1762" t="str">
        <f t="shared" si="27"/>
        <v/>
      </c>
    </row>
    <row r="1763" spans="1:3" x14ac:dyDescent="0.25">
      <c r="A1763" s="223">
        <v>1.4722604733322329</v>
      </c>
      <c r="B1763" s="459">
        <v>3.8939102201079774E-3</v>
      </c>
      <c r="C1763" t="str">
        <f t="shared" si="27"/>
        <v/>
      </c>
    </row>
    <row r="1764" spans="1:3" x14ac:dyDescent="0.25">
      <c r="A1764" s="223">
        <v>1.4722604733322329</v>
      </c>
      <c r="B1764" s="459">
        <v>7.9137690187639203E-4</v>
      </c>
      <c r="C1764" t="str">
        <f t="shared" si="27"/>
        <v/>
      </c>
    </row>
    <row r="1765" spans="1:3" x14ac:dyDescent="0.25">
      <c r="A1765" s="223">
        <v>1.4722604733322329</v>
      </c>
      <c r="B1765" s="459">
        <v>2.5294672858383357E-3</v>
      </c>
      <c r="C1765" t="str">
        <f t="shared" si="27"/>
        <v/>
      </c>
    </row>
    <row r="1766" spans="1:3" x14ac:dyDescent="0.25">
      <c r="A1766" s="223">
        <v>1.4156350705117624</v>
      </c>
      <c r="B1766" s="459">
        <v>6.549326084494281E-4</v>
      </c>
      <c r="C1766" t="str">
        <f t="shared" si="27"/>
        <v/>
      </c>
    </row>
    <row r="1767" spans="1:3" x14ac:dyDescent="0.25">
      <c r="A1767" s="223">
        <v>1.2740715634605861</v>
      </c>
      <c r="B1767" s="459">
        <v>6.3604032166723304E-4</v>
      </c>
      <c r="C1767" t="str">
        <f t="shared" si="27"/>
        <v/>
      </c>
    </row>
    <row r="1768" spans="1:3" x14ac:dyDescent="0.25">
      <c r="A1768" s="223">
        <v>1.1041953549991748</v>
      </c>
      <c r="B1768" s="459">
        <v>2.0781515460414541E-4</v>
      </c>
      <c r="C1768" t="str">
        <f t="shared" si="27"/>
        <v/>
      </c>
    </row>
    <row r="1769" spans="1:3" x14ac:dyDescent="0.25">
      <c r="A1769" s="223">
        <v>0.79275563948658689</v>
      </c>
      <c r="B1769" s="459">
        <v>1.2384943557216749E-4</v>
      </c>
      <c r="C1769" t="str">
        <f t="shared" si="27"/>
        <v/>
      </c>
    </row>
    <row r="1770" spans="1:3" x14ac:dyDescent="0.25">
      <c r="A1770" s="223">
        <v>0.6228794310251754</v>
      </c>
      <c r="B1770" s="459">
        <v>4.009363083776947E-5</v>
      </c>
      <c r="C1770" t="str">
        <f t="shared" si="27"/>
        <v/>
      </c>
    </row>
    <row r="1771" spans="1:3" x14ac:dyDescent="0.25">
      <c r="A1771" s="112">
        <v>4.93490361E-2</v>
      </c>
      <c r="B1771" s="459">
        <v>6.2659329000000008E-4</v>
      </c>
      <c r="C1771" t="str">
        <f t="shared" si="27"/>
        <v/>
      </c>
    </row>
    <row r="1772" spans="1:3" x14ac:dyDescent="0.25">
      <c r="A1772" s="112">
        <v>0.1151477509</v>
      </c>
      <c r="B1772" s="459">
        <v>9.1417547000000009E-3</v>
      </c>
      <c r="C1772" t="str">
        <f t="shared" si="27"/>
        <v/>
      </c>
    </row>
    <row r="1773" spans="1:3" x14ac:dyDescent="0.25">
      <c r="A1773" s="112">
        <v>0.1691966952</v>
      </c>
      <c r="B1773" s="459">
        <v>1.8157560999999999E-2</v>
      </c>
      <c r="C1773" t="str">
        <f t="shared" si="27"/>
        <v/>
      </c>
    </row>
    <row r="1774" spans="1:3" x14ac:dyDescent="0.25">
      <c r="A1774" s="112">
        <v>0.19966116039999998</v>
      </c>
      <c r="B1774" s="459">
        <v>1.5323722E-2</v>
      </c>
      <c r="C1774" t="str">
        <f t="shared" si="27"/>
        <v/>
      </c>
    </row>
    <row r="1775" spans="1:3" x14ac:dyDescent="0.25">
      <c r="A1775" s="112">
        <v>0.10370942009999999</v>
      </c>
      <c r="B1775" s="459">
        <v>1.1125442000000001E-2</v>
      </c>
      <c r="C1775" t="str">
        <f t="shared" si="27"/>
        <v/>
      </c>
    </row>
    <row r="1776" spans="1:3" x14ac:dyDescent="0.25">
      <c r="A1776" s="112">
        <v>0.1013877787</v>
      </c>
      <c r="B1776" s="459">
        <v>1.5218765E-2</v>
      </c>
      <c r="C1776" t="str">
        <f t="shared" si="27"/>
        <v/>
      </c>
    </row>
    <row r="1777" spans="1:3" x14ac:dyDescent="0.25">
      <c r="A1777" s="112">
        <v>6.7157724399999993E-2</v>
      </c>
      <c r="B1777" s="459">
        <v>1.9941830000000001E-3</v>
      </c>
      <c r="C1777" t="str">
        <f t="shared" si="27"/>
        <v/>
      </c>
    </row>
    <row r="1778" spans="1:3" x14ac:dyDescent="0.25">
      <c r="A1778" s="112">
        <v>7.4179274000000003E-2</v>
      </c>
      <c r="B1778" s="459">
        <v>4.4711682000000003E-3</v>
      </c>
      <c r="C1778" t="str">
        <f t="shared" si="27"/>
        <v/>
      </c>
    </row>
    <row r="1779" spans="1:3" x14ac:dyDescent="0.25">
      <c r="A1779" s="112">
        <v>4.48756295E-2</v>
      </c>
      <c r="B1779" s="459">
        <v>6.9166663000000005E-4</v>
      </c>
      <c r="C1779" t="str">
        <f t="shared" si="27"/>
        <v/>
      </c>
    </row>
    <row r="1780" spans="1:3" x14ac:dyDescent="0.25">
      <c r="A1780" s="112">
        <v>4.3063616699999994E-2</v>
      </c>
      <c r="B1780" s="459">
        <v>9.9184365000000007E-4</v>
      </c>
      <c r="C1780" t="str">
        <f t="shared" si="27"/>
        <v/>
      </c>
    </row>
    <row r="1781" spans="1:3" x14ac:dyDescent="0.25">
      <c r="A1781" s="112">
        <v>2.9700022299999997E-2</v>
      </c>
      <c r="B1781" s="459">
        <v>4.2087756999999995E-4</v>
      </c>
      <c r="C1781" t="str">
        <f t="shared" si="27"/>
        <v/>
      </c>
    </row>
    <row r="1782" spans="1:3" x14ac:dyDescent="0.25">
      <c r="A1782" s="112">
        <v>1.7893626400000001E-2</v>
      </c>
      <c r="B1782" s="459">
        <v>1.7632775999999999E-4</v>
      </c>
      <c r="C1782" t="str">
        <f t="shared" si="27"/>
        <v/>
      </c>
    </row>
    <row r="1783" spans="1:3" x14ac:dyDescent="0.25">
      <c r="A1783" s="112">
        <v>2.2678472700000001E-2</v>
      </c>
      <c r="B1783" s="459">
        <v>5.0799188000000002E-4</v>
      </c>
      <c r="C1783" t="str">
        <f t="shared" si="27"/>
        <v/>
      </c>
    </row>
    <row r="1784" spans="1:3" x14ac:dyDescent="0.25">
      <c r="A1784" s="112">
        <v>4.9745413899999993E-2</v>
      </c>
      <c r="B1784" s="459">
        <v>3.4006067999999999E-4</v>
      </c>
      <c r="C1784" t="str">
        <f t="shared" si="27"/>
        <v/>
      </c>
    </row>
    <row r="1785" spans="1:3" x14ac:dyDescent="0.25">
      <c r="A1785" s="112">
        <v>4.5356945400000001E-2</v>
      </c>
      <c r="B1785" s="459">
        <v>1.1020485E-3</v>
      </c>
      <c r="C1785" t="str">
        <f t="shared" si="27"/>
        <v/>
      </c>
    </row>
    <row r="1786" spans="1:3" x14ac:dyDescent="0.25">
      <c r="A1786" s="112">
        <v>4.7197270899999998E-2</v>
      </c>
      <c r="B1786" s="459">
        <v>1.1860141E-3</v>
      </c>
      <c r="C1786" t="str">
        <f t="shared" si="27"/>
        <v/>
      </c>
    </row>
    <row r="1787" spans="1:3" x14ac:dyDescent="0.25">
      <c r="A1787" s="112">
        <v>0.1176392685</v>
      </c>
      <c r="B1787" s="459">
        <v>7.4309555999999997E-3</v>
      </c>
      <c r="C1787" t="str">
        <f t="shared" si="27"/>
        <v/>
      </c>
    </row>
    <row r="1788" spans="1:3" x14ac:dyDescent="0.25">
      <c r="A1788" s="112">
        <v>0.1208669163</v>
      </c>
      <c r="B1788" s="459">
        <v>7.2210415999999994E-3</v>
      </c>
      <c r="C1788" t="str">
        <f t="shared" si="27"/>
        <v/>
      </c>
    </row>
    <row r="1789" spans="1:3" x14ac:dyDescent="0.25">
      <c r="A1789" s="112">
        <v>0.1021805343</v>
      </c>
      <c r="B1789" s="459">
        <v>5.9090790999999998E-3</v>
      </c>
      <c r="C1789" t="str">
        <f t="shared" si="27"/>
        <v/>
      </c>
    </row>
    <row r="1790" spans="1:3" x14ac:dyDescent="0.25">
      <c r="A1790" s="112">
        <v>9.5611987899999987E-2</v>
      </c>
      <c r="B1790" s="459">
        <v>4.0303487999999998E-3</v>
      </c>
      <c r="C1790" t="str">
        <f t="shared" si="27"/>
        <v/>
      </c>
    </row>
    <row r="1791" spans="1:3" x14ac:dyDescent="0.25">
      <c r="A1791" s="112">
        <v>9.4451167199999991E-2</v>
      </c>
      <c r="B1791" s="459">
        <v>4.2507585000000001E-3</v>
      </c>
      <c r="C1791" t="str">
        <f t="shared" si="27"/>
        <v/>
      </c>
    </row>
    <row r="1792" spans="1:3" x14ac:dyDescent="0.25">
      <c r="A1792" s="112">
        <v>9.9122762699999992E-2</v>
      </c>
      <c r="B1792" s="459">
        <v>7.4939298000000001E-3</v>
      </c>
      <c r="C1792" t="str">
        <f t="shared" si="27"/>
        <v/>
      </c>
    </row>
    <row r="1793" spans="1:3" x14ac:dyDescent="0.25">
      <c r="A1793" s="112">
        <v>8.0691195000000007E-2</v>
      </c>
      <c r="B1793" s="459">
        <v>1.9522001999999999E-3</v>
      </c>
      <c r="C1793" t="str">
        <f t="shared" si="27"/>
        <v/>
      </c>
    </row>
    <row r="1794" spans="1:3" x14ac:dyDescent="0.25">
      <c r="A1794" s="112">
        <v>7.3613020000000001E-2</v>
      </c>
      <c r="B1794" s="459">
        <v>1.7317905000000001E-3</v>
      </c>
      <c r="C1794" t="str">
        <f t="shared" si="27"/>
        <v/>
      </c>
    </row>
    <row r="1795" spans="1:3" x14ac:dyDescent="0.25">
      <c r="A1795" s="112">
        <v>7.3754583499999998E-2</v>
      </c>
      <c r="B1795" s="459">
        <v>2.2040969999999999E-3</v>
      </c>
      <c r="C1795" t="str">
        <f t="shared" si="27"/>
        <v/>
      </c>
    </row>
    <row r="1796" spans="1:3" x14ac:dyDescent="0.25">
      <c r="A1796" s="112">
        <v>4.4705753299999998E-2</v>
      </c>
      <c r="B1796" s="459">
        <v>1.7422862000000001E-3</v>
      </c>
      <c r="C1796" t="str">
        <f t="shared" si="27"/>
        <v/>
      </c>
    </row>
    <row r="1797" spans="1:3" x14ac:dyDescent="0.25">
      <c r="A1797" s="112">
        <v>4.4337688200000003E-2</v>
      </c>
      <c r="B1797" s="459">
        <v>1.4903894E-4</v>
      </c>
      <c r="C1797" t="str">
        <f t="shared" si="27"/>
        <v/>
      </c>
    </row>
    <row r="1798" spans="1:3" x14ac:dyDescent="0.25">
      <c r="A1798" s="112">
        <v>4.4167812000000001E-2</v>
      </c>
      <c r="B1798" s="459">
        <v>3.7049821E-4</v>
      </c>
      <c r="C1798" t="str">
        <f t="shared" ref="C1798:C1861" si="28">IF(B1798=0,"XXXXXXXX","")</f>
        <v/>
      </c>
    </row>
    <row r="1799" spans="1:3" x14ac:dyDescent="0.25">
      <c r="A1799" s="112">
        <v>4.3346743699999996E-2</v>
      </c>
      <c r="B1799" s="459">
        <v>3.4740766999999997E-4</v>
      </c>
      <c r="C1799" t="str">
        <f t="shared" si="28"/>
        <v/>
      </c>
    </row>
    <row r="1800" spans="1:3" x14ac:dyDescent="0.25">
      <c r="A1800" s="112">
        <v>4.0034157799999998E-2</v>
      </c>
      <c r="B1800" s="459">
        <v>1.3224581999999999E-3</v>
      </c>
      <c r="C1800" t="str">
        <f t="shared" si="28"/>
        <v/>
      </c>
    </row>
    <row r="1801" spans="1:3" x14ac:dyDescent="0.25">
      <c r="A1801" s="112">
        <v>4.0713662599999999E-2</v>
      </c>
      <c r="B1801" s="459">
        <v>1.2489883E-3</v>
      </c>
      <c r="C1801" t="str">
        <f t="shared" si="28"/>
        <v/>
      </c>
    </row>
    <row r="1802" spans="1:3" x14ac:dyDescent="0.25">
      <c r="A1802" s="112">
        <v>4.3006991299999998E-2</v>
      </c>
      <c r="B1802" s="459">
        <v>9.6140612E-4</v>
      </c>
      <c r="C1802" t="str">
        <f t="shared" si="28"/>
        <v/>
      </c>
    </row>
    <row r="1803" spans="1:3" x14ac:dyDescent="0.25">
      <c r="A1803" s="112">
        <v>4.0628724499999998E-2</v>
      </c>
      <c r="B1803" s="459">
        <v>4.9119875999999998E-4</v>
      </c>
      <c r="C1803" t="str">
        <f t="shared" si="28"/>
        <v/>
      </c>
    </row>
    <row r="1804" spans="1:3" x14ac:dyDescent="0.25">
      <c r="A1804" s="112">
        <v>4.3459994499999995E-2</v>
      </c>
      <c r="B1804" s="459">
        <v>7.3784771000000001E-4</v>
      </c>
      <c r="C1804" t="str">
        <f t="shared" si="28"/>
        <v/>
      </c>
    </row>
    <row r="1805" spans="1:3" x14ac:dyDescent="0.25">
      <c r="A1805" s="112">
        <v>4.1619668999999998E-2</v>
      </c>
      <c r="B1805" s="459">
        <v>3.0227615999999999E-4</v>
      </c>
      <c r="C1805" t="str">
        <f t="shared" si="28"/>
        <v/>
      </c>
    </row>
    <row r="1806" spans="1:3" x14ac:dyDescent="0.25">
      <c r="A1806" s="112">
        <v>5.3511002999999994E-2</v>
      </c>
      <c r="B1806" s="459">
        <v>1.4798936999999999E-3</v>
      </c>
      <c r="C1806" t="str">
        <f t="shared" si="28"/>
        <v/>
      </c>
    </row>
    <row r="1807" spans="1:3" x14ac:dyDescent="0.25">
      <c r="A1807" s="112">
        <v>5.9201855700000007E-2</v>
      </c>
      <c r="B1807" s="459">
        <v>6.4443598000000005E-4</v>
      </c>
      <c r="C1807" t="str">
        <f t="shared" si="28"/>
        <v/>
      </c>
    </row>
    <row r="1808" spans="1:3" x14ac:dyDescent="0.25">
      <c r="A1808" s="112">
        <v>5.2859810899999998E-2</v>
      </c>
      <c r="B1808" s="459">
        <v>5.0274402999999994E-4</v>
      </c>
      <c r="C1808" t="str">
        <f t="shared" si="28"/>
        <v/>
      </c>
    </row>
    <row r="1809" spans="1:3" x14ac:dyDescent="0.25">
      <c r="A1809" s="112">
        <v>5.1698990200000003E-2</v>
      </c>
      <c r="B1809" s="459">
        <v>1.8892259999999999E-4</v>
      </c>
      <c r="C1809" t="str">
        <f t="shared" si="28"/>
        <v/>
      </c>
    </row>
    <row r="1810" spans="1:3" x14ac:dyDescent="0.25">
      <c r="A1810" s="112">
        <v>4.5725010499999996E-2</v>
      </c>
      <c r="B1810" s="459">
        <v>1.0810570999999999E-3</v>
      </c>
      <c r="C1810" t="str">
        <f t="shared" si="28"/>
        <v/>
      </c>
    </row>
    <row r="1811" spans="1:3" x14ac:dyDescent="0.25">
      <c r="A1811" s="112">
        <v>5.53230158E-2</v>
      </c>
      <c r="B1811" s="459">
        <v>1.2279969000000002E-3</v>
      </c>
      <c r="C1811" t="str">
        <f t="shared" si="28"/>
        <v/>
      </c>
    </row>
    <row r="1812" spans="1:3" x14ac:dyDescent="0.25">
      <c r="A1812" s="112">
        <v>5.2378495000000004E-2</v>
      </c>
      <c r="B1812" s="459">
        <v>1.6163378000000001E-3</v>
      </c>
      <c r="C1812" t="str">
        <f t="shared" si="28"/>
        <v/>
      </c>
    </row>
    <row r="1813" spans="1:3" x14ac:dyDescent="0.25">
      <c r="A1813" s="112">
        <v>1.2825653100000001E-2</v>
      </c>
      <c r="B1813" s="459">
        <v>5.5522253000000001E-4</v>
      </c>
      <c r="C1813" t="str">
        <f t="shared" si="28"/>
        <v/>
      </c>
    </row>
    <row r="1814" spans="1:3" x14ac:dyDescent="0.25">
      <c r="A1814" s="112">
        <v>1.24859007E-2</v>
      </c>
      <c r="B1814" s="459">
        <v>4.1248101000000005E-5</v>
      </c>
      <c r="C1814" t="str">
        <f t="shared" si="28"/>
        <v/>
      </c>
    </row>
    <row r="1815" spans="1:3" x14ac:dyDescent="0.25">
      <c r="A1815" s="112">
        <v>1.20612102E-2</v>
      </c>
      <c r="B1815" s="459">
        <v>4.7860391999999998E-5</v>
      </c>
      <c r="C1815" t="str">
        <f t="shared" si="28"/>
        <v/>
      </c>
    </row>
    <row r="1816" spans="1:3" x14ac:dyDescent="0.25">
      <c r="A1816" s="112">
        <v>2.10929615E-2</v>
      </c>
      <c r="B1816" s="459">
        <v>2.0361658000000001E-4</v>
      </c>
      <c r="C1816" t="str">
        <f t="shared" si="28"/>
        <v/>
      </c>
    </row>
    <row r="1817" spans="1:3" x14ac:dyDescent="0.25">
      <c r="A1817" s="112">
        <v>2.0186955099999997E-2</v>
      </c>
      <c r="B1817" s="459">
        <v>3.5055638000000002E-4</v>
      </c>
      <c r="C1817" t="str">
        <f t="shared" si="28"/>
        <v/>
      </c>
    </row>
    <row r="1818" spans="1:3" x14ac:dyDescent="0.25">
      <c r="A1818" s="112">
        <v>1.7242434299999998E-2</v>
      </c>
      <c r="B1818" s="459">
        <v>1.679312E-4</v>
      </c>
      <c r="C1818" t="str">
        <f t="shared" si="28"/>
        <v/>
      </c>
    </row>
    <row r="1819" spans="1:3" x14ac:dyDescent="0.25">
      <c r="A1819" s="112">
        <v>1.35617833E-2</v>
      </c>
      <c r="B1819" s="459">
        <v>1.1020485000000001E-4</v>
      </c>
      <c r="C1819" t="str">
        <f t="shared" si="28"/>
        <v/>
      </c>
    </row>
    <row r="1820" spans="1:3" x14ac:dyDescent="0.25">
      <c r="A1820" s="112">
        <v>3.4654744799999998E-2</v>
      </c>
      <c r="B1820" s="459">
        <v>6.1504802000000001E-4</v>
      </c>
      <c r="C1820" t="str">
        <f t="shared" si="28"/>
        <v/>
      </c>
    </row>
    <row r="1821" spans="1:3" x14ac:dyDescent="0.25">
      <c r="A1821" s="112">
        <v>2.3414602899999998E-2</v>
      </c>
      <c r="B1821" s="459">
        <v>8.3230900999999992E-5</v>
      </c>
      <c r="C1821" t="str">
        <f t="shared" si="28"/>
        <v/>
      </c>
    </row>
    <row r="1822" spans="1:3" x14ac:dyDescent="0.25">
      <c r="A1822" s="112">
        <v>2.27350981E-2</v>
      </c>
      <c r="B1822" s="459">
        <v>1.1230399E-4</v>
      </c>
      <c r="C1822" t="str">
        <f t="shared" si="28"/>
        <v/>
      </c>
    </row>
    <row r="1823" spans="1:3" x14ac:dyDescent="0.25">
      <c r="A1823" s="112">
        <v>2.6245872900000002E-2</v>
      </c>
      <c r="B1823" s="459">
        <v>2.6973949000000001E-4</v>
      </c>
      <c r="C1823" t="str">
        <f t="shared" si="28"/>
        <v/>
      </c>
    </row>
    <row r="1824" spans="1:3" x14ac:dyDescent="0.25">
      <c r="A1824" s="112">
        <v>2.6953690399999997E-2</v>
      </c>
      <c r="B1824" s="459">
        <v>7.5464083000000002E-5</v>
      </c>
      <c r="C1824" t="str">
        <f t="shared" si="28"/>
        <v/>
      </c>
    </row>
    <row r="1825" spans="1:3" x14ac:dyDescent="0.25">
      <c r="A1825" s="112">
        <v>3.3408985999999995E-2</v>
      </c>
      <c r="B1825" s="459">
        <v>9.5825741000000011E-4</v>
      </c>
      <c r="C1825" t="str">
        <f t="shared" si="28"/>
        <v/>
      </c>
    </row>
    <row r="1826" spans="1:3" x14ac:dyDescent="0.25">
      <c r="A1826" s="112">
        <v>3.3012608199999995E-2</v>
      </c>
      <c r="B1826" s="459">
        <v>1.6793120000000001E-3</v>
      </c>
      <c r="C1826" t="str">
        <f t="shared" si="28"/>
        <v/>
      </c>
    </row>
    <row r="1827" spans="1:3" x14ac:dyDescent="0.25">
      <c r="A1827" s="112">
        <v>3.3861989199999998E-2</v>
      </c>
      <c r="B1827" s="459">
        <v>3.6525035999999999E-4</v>
      </c>
      <c r="C1827" t="str">
        <f t="shared" si="28"/>
        <v/>
      </c>
    </row>
    <row r="1828" spans="1:3" x14ac:dyDescent="0.25">
      <c r="A1828" s="112">
        <v>2.6812126899999997E-2</v>
      </c>
      <c r="B1828" s="459">
        <v>6.4128727000000002E-5</v>
      </c>
      <c r="C1828" t="str">
        <f t="shared" si="28"/>
        <v/>
      </c>
    </row>
    <row r="1829" spans="1:3" x14ac:dyDescent="0.25">
      <c r="A1829" s="112">
        <v>2.5481429999999999E-2</v>
      </c>
      <c r="B1829" s="459">
        <v>7.1580673999999993E-5</v>
      </c>
      <c r="C1829" t="str">
        <f t="shared" si="28"/>
        <v/>
      </c>
    </row>
    <row r="1830" spans="1:3" x14ac:dyDescent="0.25">
      <c r="A1830" s="112">
        <v>6.1608435200000006E-2</v>
      </c>
      <c r="B1830" s="459">
        <v>1.3539453E-2</v>
      </c>
      <c r="C1830" t="str">
        <f t="shared" si="28"/>
        <v/>
      </c>
    </row>
    <row r="1831" spans="1:3" x14ac:dyDescent="0.25">
      <c r="A1831" s="112">
        <v>7.5340094699999999E-2</v>
      </c>
      <c r="B1831" s="459">
        <v>1.9522001999999999E-3</v>
      </c>
      <c r="C1831" t="str">
        <f t="shared" si="28"/>
        <v/>
      </c>
    </row>
    <row r="1832" spans="1:3" x14ac:dyDescent="0.25">
      <c r="A1832" s="112">
        <v>0.1175543304</v>
      </c>
      <c r="B1832" s="459">
        <v>4.2717498999999999E-3</v>
      </c>
      <c r="C1832" t="str">
        <f t="shared" si="28"/>
        <v/>
      </c>
    </row>
    <row r="1833" spans="1:3" x14ac:dyDescent="0.25">
      <c r="A1833" s="112">
        <v>0.1286812215</v>
      </c>
      <c r="B1833" s="459">
        <v>7.2420329999999993E-3</v>
      </c>
      <c r="C1833" t="str">
        <f t="shared" si="28"/>
        <v/>
      </c>
    </row>
    <row r="1834" spans="1:3" x14ac:dyDescent="0.25">
      <c r="A1834" s="112">
        <v>0.128539658</v>
      </c>
      <c r="B1834" s="459">
        <v>4.1982800000000004E-3</v>
      </c>
      <c r="C1834" t="str">
        <f t="shared" si="28"/>
        <v/>
      </c>
    </row>
    <row r="1835" spans="1:3" x14ac:dyDescent="0.25">
      <c r="A1835" s="112">
        <v>0.1175543304</v>
      </c>
      <c r="B1835" s="459">
        <v>3.9044003999999998E-3</v>
      </c>
      <c r="C1835" t="str">
        <f t="shared" si="28"/>
        <v/>
      </c>
    </row>
    <row r="1836" spans="1:3" x14ac:dyDescent="0.25">
      <c r="A1836" s="112">
        <v>0.10246366130000001</v>
      </c>
      <c r="B1836" s="459">
        <v>2.6344207E-3</v>
      </c>
      <c r="C1836" t="str">
        <f t="shared" si="28"/>
        <v/>
      </c>
    </row>
    <row r="1837" spans="1:3" x14ac:dyDescent="0.25">
      <c r="A1837" s="112">
        <v>8.134238710000001E-2</v>
      </c>
      <c r="B1837" s="459">
        <v>2.0466615000000001E-3</v>
      </c>
      <c r="C1837" t="str">
        <f t="shared" si="28"/>
        <v/>
      </c>
    </row>
    <row r="1838" spans="1:3" x14ac:dyDescent="0.25">
      <c r="A1838" s="112">
        <v>8.82506859E-2</v>
      </c>
      <c r="B1838" s="459">
        <v>1.3959281000000001E-3</v>
      </c>
      <c r="C1838" t="str">
        <f t="shared" si="28"/>
        <v/>
      </c>
    </row>
    <row r="1839" spans="1:3" x14ac:dyDescent="0.25">
      <c r="A1839" s="112">
        <v>5.9060292199999996E-2</v>
      </c>
      <c r="B1839" s="459">
        <v>1.00233935E-3</v>
      </c>
      <c r="C1839" t="str">
        <f t="shared" si="28"/>
        <v/>
      </c>
    </row>
    <row r="1840" spans="1:3" x14ac:dyDescent="0.25">
      <c r="A1840" s="112">
        <v>4.3714808799999998E-2</v>
      </c>
      <c r="B1840" s="459">
        <v>1.9731916000000002E-3</v>
      </c>
      <c r="C1840" t="str">
        <f t="shared" si="28"/>
        <v/>
      </c>
    </row>
    <row r="1841" spans="1:3" x14ac:dyDescent="0.25">
      <c r="A1841" s="112">
        <v>4.8584593199999998E-2</v>
      </c>
      <c r="B1841" s="459">
        <v>1.3749367E-3</v>
      </c>
      <c r="C1841" t="str">
        <f t="shared" si="28"/>
        <v/>
      </c>
    </row>
    <row r="1842" spans="1:3" x14ac:dyDescent="0.25">
      <c r="A1842" s="112">
        <v>4.2950365899999995E-2</v>
      </c>
      <c r="B1842" s="459">
        <v>9.6140612E-4</v>
      </c>
      <c r="C1842" t="str">
        <f t="shared" si="28"/>
        <v/>
      </c>
    </row>
    <row r="1843" spans="1:3" x14ac:dyDescent="0.25">
      <c r="A1843" s="112">
        <v>3.0266276299999999E-2</v>
      </c>
      <c r="B1843" s="459">
        <v>7.3050071999999997E-4</v>
      </c>
      <c r="C1843" t="str">
        <f t="shared" si="28"/>
        <v/>
      </c>
    </row>
    <row r="1844" spans="1:3" x14ac:dyDescent="0.25">
      <c r="A1844" s="112">
        <v>2.82560746E-2</v>
      </c>
      <c r="B1844" s="459">
        <v>6.5283254000000001E-4</v>
      </c>
      <c r="C1844" t="str">
        <f t="shared" si="28"/>
        <v/>
      </c>
    </row>
    <row r="1845" spans="1:3" x14ac:dyDescent="0.25">
      <c r="A1845" s="112">
        <v>2.81145111E-2</v>
      </c>
      <c r="B1845" s="459">
        <v>2.1411228000000002E-4</v>
      </c>
      <c r="C1845" t="str">
        <f t="shared" si="28"/>
        <v/>
      </c>
    </row>
    <row r="1846" spans="1:3" x14ac:dyDescent="0.25">
      <c r="A1846" s="112">
        <v>2.54248046E-2</v>
      </c>
      <c r="B1846" s="459">
        <v>1.4169194999999999E-4</v>
      </c>
      <c r="C1846" t="str">
        <f t="shared" si="28"/>
        <v/>
      </c>
    </row>
    <row r="1847" spans="1:3" x14ac:dyDescent="0.25">
      <c r="A1847" s="112">
        <v>2.6189247500000002E-2</v>
      </c>
      <c r="B1847" s="459">
        <v>2.9807788000000001E-4</v>
      </c>
      <c r="C1847" t="str">
        <f t="shared" si="28"/>
        <v/>
      </c>
    </row>
    <row r="1848" spans="1:3" x14ac:dyDescent="0.25">
      <c r="A1848" s="112">
        <v>2.4065794999999997E-2</v>
      </c>
      <c r="B1848" s="459">
        <v>2.8758218000000002E-4</v>
      </c>
      <c r="C1848" t="str">
        <f t="shared" si="28"/>
        <v/>
      </c>
    </row>
    <row r="1849" spans="1:3" x14ac:dyDescent="0.25">
      <c r="A1849" s="112">
        <v>2.1036336100000001E-2</v>
      </c>
      <c r="B1849" s="459">
        <v>1.5008851000000001E-4</v>
      </c>
      <c r="C1849" t="str">
        <f t="shared" si="28"/>
        <v/>
      </c>
    </row>
    <row r="1850" spans="1:3" x14ac:dyDescent="0.25">
      <c r="A1850" s="112">
        <v>2.3612791799999998E-2</v>
      </c>
      <c r="B1850" s="459">
        <v>2.6134292999999999E-4</v>
      </c>
      <c r="C1850" t="str">
        <f t="shared" si="28"/>
        <v/>
      </c>
    </row>
    <row r="1851" spans="1:3" x14ac:dyDescent="0.25">
      <c r="A1851" s="112">
        <v>4.2893740499999999E-2</v>
      </c>
      <c r="B1851" s="459">
        <v>7.8192965000000001E-4</v>
      </c>
      <c r="C1851" t="str">
        <f t="shared" si="28"/>
        <v/>
      </c>
    </row>
    <row r="1852" spans="1:3" x14ac:dyDescent="0.25">
      <c r="A1852" s="112">
        <v>7.1659443700000006E-2</v>
      </c>
      <c r="B1852" s="459">
        <v>2.1411227999999999E-3</v>
      </c>
      <c r="C1852" t="str">
        <f t="shared" si="28"/>
        <v/>
      </c>
    </row>
    <row r="1853" spans="1:3" x14ac:dyDescent="0.25">
      <c r="A1853" s="112">
        <v>5.8239223899999998E-2</v>
      </c>
      <c r="B1853" s="459">
        <v>1.6478249000000001E-3</v>
      </c>
      <c r="C1853" t="str">
        <f t="shared" si="28"/>
        <v/>
      </c>
    </row>
    <row r="1854" spans="1:3" x14ac:dyDescent="0.25">
      <c r="A1854" s="112">
        <v>5.6285647600000002E-2</v>
      </c>
      <c r="B1854" s="459">
        <v>1.3854324000000002E-3</v>
      </c>
      <c r="C1854" t="str">
        <f t="shared" si="28"/>
        <v/>
      </c>
    </row>
    <row r="1855" spans="1:3" x14ac:dyDescent="0.25">
      <c r="A1855" s="112">
        <v>5.9116917599999999E-2</v>
      </c>
      <c r="B1855" s="459">
        <v>1.0317273099999999E-3</v>
      </c>
      <c r="C1855" t="str">
        <f t="shared" si="28"/>
        <v/>
      </c>
    </row>
    <row r="1856" spans="1:3" x14ac:dyDescent="0.25">
      <c r="A1856" s="112">
        <v>4.2072672200000001E-2</v>
      </c>
      <c r="B1856" s="459">
        <v>1.4693980000000001E-4</v>
      </c>
      <c r="C1856" t="str">
        <f t="shared" si="28"/>
        <v/>
      </c>
    </row>
    <row r="1857" spans="1:3" x14ac:dyDescent="0.25">
      <c r="A1857" s="112">
        <v>4.2497362699999999E-2</v>
      </c>
      <c r="B1857" s="459">
        <v>2.8233433000000004E-3</v>
      </c>
      <c r="C1857" t="str">
        <f t="shared" si="28"/>
        <v/>
      </c>
    </row>
    <row r="1858" spans="1:3" x14ac:dyDescent="0.25">
      <c r="A1858" s="112">
        <v>4.06004118E-2</v>
      </c>
      <c r="B1858" s="459">
        <v>2.0886443000000003E-3</v>
      </c>
      <c r="C1858" t="str">
        <f t="shared" si="28"/>
        <v/>
      </c>
    </row>
    <row r="1859" spans="1:3" x14ac:dyDescent="0.25">
      <c r="A1859" s="112">
        <v>9.5442111699999999E-2</v>
      </c>
      <c r="B1859" s="459">
        <v>2.3615325000000001E-3</v>
      </c>
      <c r="C1859" t="str">
        <f t="shared" si="28"/>
        <v/>
      </c>
    </row>
    <row r="1860" spans="1:3" x14ac:dyDescent="0.25">
      <c r="A1860" s="112">
        <v>9.3828287800000007E-2</v>
      </c>
      <c r="B1860" s="459">
        <v>6.5808039000000004E-3</v>
      </c>
      <c r="C1860" t="str">
        <f t="shared" si="28"/>
        <v/>
      </c>
    </row>
    <row r="1861" spans="1:3" x14ac:dyDescent="0.25">
      <c r="A1861" s="112">
        <v>0.11591219380000001</v>
      </c>
      <c r="B1861" s="459">
        <v>1.8472432E-3</v>
      </c>
      <c r="C1861" t="str">
        <f t="shared" si="28"/>
        <v/>
      </c>
    </row>
    <row r="1862" spans="1:3" x14ac:dyDescent="0.25">
      <c r="A1862" s="112">
        <v>0.1459519685</v>
      </c>
      <c r="B1862" s="459">
        <v>1.5428678999999999E-3</v>
      </c>
      <c r="C1862" t="str">
        <f t="shared" ref="C1862:C1925" si="29">IF(B1862=0,"XXXXXXXX","")</f>
        <v/>
      </c>
    </row>
    <row r="1863" spans="1:3" x14ac:dyDescent="0.25">
      <c r="A1863" s="112">
        <v>0.15883424700000001</v>
      </c>
      <c r="B1863" s="459">
        <v>7.116084600000001E-3</v>
      </c>
      <c r="C1863" t="str">
        <f t="shared" si="29"/>
        <v/>
      </c>
    </row>
    <row r="1864" spans="1:3" x14ac:dyDescent="0.25">
      <c r="A1864" s="112">
        <v>0.16316609009999999</v>
      </c>
      <c r="B1864" s="459">
        <v>4.3452198000000003E-3</v>
      </c>
      <c r="C1864" t="str">
        <f t="shared" si="29"/>
        <v/>
      </c>
    </row>
    <row r="1865" spans="1:3" x14ac:dyDescent="0.25">
      <c r="A1865" s="112">
        <v>0.17947420530000002</v>
      </c>
      <c r="B1865" s="459">
        <v>2.8548304000000002E-3</v>
      </c>
      <c r="C1865" t="str">
        <f t="shared" si="29"/>
        <v/>
      </c>
    </row>
    <row r="1866" spans="1:3" x14ac:dyDescent="0.25">
      <c r="A1866" s="112">
        <v>0.1307763613</v>
      </c>
      <c r="B1866" s="459">
        <v>1.4798936999999999E-3</v>
      </c>
      <c r="C1866" t="str">
        <f t="shared" si="29"/>
        <v/>
      </c>
    </row>
    <row r="1867" spans="1:3" x14ac:dyDescent="0.25">
      <c r="A1867" s="112">
        <v>0.12004584800000001</v>
      </c>
      <c r="B1867" s="459">
        <v>1.5113807999999999E-3</v>
      </c>
      <c r="C1867" t="str">
        <f t="shared" si="29"/>
        <v/>
      </c>
    </row>
    <row r="1868" spans="1:3" x14ac:dyDescent="0.25">
      <c r="A1868" s="112">
        <v>0.1283697818</v>
      </c>
      <c r="B1868" s="459">
        <v>1.4903893999999999E-3</v>
      </c>
      <c r="C1868" t="str">
        <f t="shared" si="29"/>
        <v/>
      </c>
    </row>
    <row r="1869" spans="1:3" x14ac:dyDescent="0.25">
      <c r="A1869" s="112">
        <v>0.12658608169999999</v>
      </c>
      <c r="B1869" s="459">
        <v>2.2355841000000001E-3</v>
      </c>
      <c r="C1869" t="str">
        <f t="shared" si="29"/>
        <v/>
      </c>
    </row>
    <row r="1870" spans="1:3" x14ac:dyDescent="0.25">
      <c r="A1870" s="112">
        <v>0.15271870379999999</v>
      </c>
      <c r="B1870" s="459">
        <v>3.3271368999999999E-3</v>
      </c>
      <c r="C1870" t="str">
        <f t="shared" si="29"/>
        <v/>
      </c>
    </row>
    <row r="1871" spans="1:3" x14ac:dyDescent="0.25">
      <c r="A1871" s="112">
        <v>0.135334706</v>
      </c>
      <c r="B1871" s="459">
        <v>5.5837124000000004E-3</v>
      </c>
      <c r="C1871" t="str">
        <f t="shared" si="29"/>
        <v/>
      </c>
    </row>
    <row r="1872" spans="1:3" x14ac:dyDescent="0.25">
      <c r="A1872" s="112">
        <v>0.10631418849999999</v>
      </c>
      <c r="B1872" s="459">
        <v>2.2565755E-3</v>
      </c>
      <c r="C1872" t="str">
        <f t="shared" si="29"/>
        <v/>
      </c>
    </row>
    <row r="1873" spans="1:3" x14ac:dyDescent="0.25">
      <c r="A1873" s="112">
        <v>0.1044455503</v>
      </c>
      <c r="B1873" s="459">
        <v>8.3230901E-4</v>
      </c>
      <c r="C1873" t="str">
        <f t="shared" si="29"/>
        <v/>
      </c>
    </row>
    <row r="1874" spans="1:3" x14ac:dyDescent="0.25">
      <c r="A1874" s="112">
        <v>9.4536105299999992E-2</v>
      </c>
      <c r="B1874" s="459">
        <v>2.8548304000000002E-3</v>
      </c>
      <c r="C1874" t="str">
        <f t="shared" si="29"/>
        <v/>
      </c>
    </row>
    <row r="1875" spans="1:3" x14ac:dyDescent="0.25">
      <c r="A1875" s="112">
        <v>8.233333159999999E-2</v>
      </c>
      <c r="B1875" s="459">
        <v>9.2257203000000007E-4</v>
      </c>
      <c r="C1875" t="str">
        <f t="shared" si="29"/>
        <v/>
      </c>
    </row>
    <row r="1876" spans="1:3" x14ac:dyDescent="0.25">
      <c r="A1876" s="112">
        <v>7.78032996E-2</v>
      </c>
      <c r="B1876" s="459">
        <v>7.8612792999999993E-4</v>
      </c>
      <c r="C1876" t="str">
        <f t="shared" si="29"/>
        <v/>
      </c>
    </row>
    <row r="1877" spans="1:3" x14ac:dyDescent="0.25">
      <c r="A1877" s="112">
        <v>0.10229378509999999</v>
      </c>
      <c r="B1877" s="459">
        <v>8.7114310000000004E-4</v>
      </c>
      <c r="C1877" t="str">
        <f t="shared" si="29"/>
        <v/>
      </c>
    </row>
    <row r="1878" spans="1:3" x14ac:dyDescent="0.25">
      <c r="A1878" s="112">
        <v>0.16310946470000001</v>
      </c>
      <c r="B1878" s="459">
        <v>2.9912744999999997E-3</v>
      </c>
      <c r="C1878" t="str">
        <f t="shared" si="29"/>
        <v/>
      </c>
    </row>
    <row r="1879" spans="1:3" x14ac:dyDescent="0.25">
      <c r="A1879" s="112">
        <v>0.24779275040000001</v>
      </c>
      <c r="B1879" s="459">
        <v>5.9090790999999998E-3</v>
      </c>
      <c r="C1879" t="str">
        <f t="shared" si="29"/>
        <v/>
      </c>
    </row>
    <row r="1880" spans="1:3" x14ac:dyDescent="0.25">
      <c r="A1880" s="112">
        <v>0.13887379350000001</v>
      </c>
      <c r="B1880" s="459">
        <v>2.2040969999999999E-3</v>
      </c>
      <c r="C1880" t="str">
        <f t="shared" si="29"/>
        <v/>
      </c>
    </row>
    <row r="1881" spans="1:3" x14ac:dyDescent="0.25">
      <c r="A1881" s="112">
        <v>0.1147513731</v>
      </c>
      <c r="B1881" s="459">
        <v>7.0426147000000007E-3</v>
      </c>
      <c r="C1881" t="str">
        <f t="shared" si="29"/>
        <v/>
      </c>
    </row>
    <row r="1882" spans="1:3" x14ac:dyDescent="0.25">
      <c r="A1882" s="112">
        <v>0.12817159289999999</v>
      </c>
      <c r="B1882" s="459">
        <v>7.7878093999999998E-3</v>
      </c>
      <c r="C1882" t="str">
        <f t="shared" si="29"/>
        <v/>
      </c>
    </row>
    <row r="1883" spans="1:3" x14ac:dyDescent="0.25">
      <c r="A1883" s="112">
        <v>0.17471767169999999</v>
      </c>
      <c r="B1883" s="459">
        <v>9.8239752000000014E-3</v>
      </c>
      <c r="C1883" t="str">
        <f t="shared" si="29"/>
        <v/>
      </c>
    </row>
    <row r="1884" spans="1:3" x14ac:dyDescent="0.25">
      <c r="A1884" s="112">
        <v>0.15521022140000001</v>
      </c>
      <c r="B1884" s="459">
        <v>5.6151995000000001E-3</v>
      </c>
      <c r="C1884" t="str">
        <f t="shared" si="29"/>
        <v/>
      </c>
    </row>
    <row r="1885" spans="1:3" x14ac:dyDescent="0.25">
      <c r="A1885" s="112">
        <v>0.12299036880000001</v>
      </c>
      <c r="B1885" s="459">
        <v>4.7335607000000002E-3</v>
      </c>
      <c r="C1885" t="str">
        <f t="shared" si="29"/>
        <v/>
      </c>
    </row>
    <row r="1886" spans="1:3" x14ac:dyDescent="0.25">
      <c r="A1886" s="112">
        <v>8.8109122400000003E-2</v>
      </c>
      <c r="B1886" s="459">
        <v>2.8233433000000004E-3</v>
      </c>
      <c r="C1886" t="str">
        <f t="shared" si="29"/>
        <v/>
      </c>
    </row>
    <row r="1887" spans="1:3" x14ac:dyDescent="0.25">
      <c r="A1887" s="112">
        <v>7.0158870600000006E-2</v>
      </c>
      <c r="B1887" s="459">
        <v>1.3224581999999999E-3</v>
      </c>
      <c r="C1887" t="str">
        <f t="shared" si="29"/>
        <v/>
      </c>
    </row>
    <row r="1888" spans="1:3" x14ac:dyDescent="0.25">
      <c r="A1888" s="112">
        <v>6.4921021100000004E-2</v>
      </c>
      <c r="B1888" s="459">
        <v>9.0158063000000011E-4</v>
      </c>
      <c r="C1888" t="str">
        <f t="shared" si="29"/>
        <v/>
      </c>
    </row>
    <row r="1889" spans="1:3" x14ac:dyDescent="0.25">
      <c r="A1889" s="112">
        <v>6.2316252699999998E-2</v>
      </c>
      <c r="B1889" s="459">
        <v>7.1475716999999997E-4</v>
      </c>
      <c r="C1889" t="str">
        <f t="shared" si="29"/>
        <v/>
      </c>
    </row>
    <row r="1890" spans="1:3" x14ac:dyDescent="0.25">
      <c r="A1890" s="112">
        <v>7.3075078700000004E-2</v>
      </c>
      <c r="B1890" s="459">
        <v>5.7726350000000001E-4</v>
      </c>
      <c r="C1890" t="str">
        <f t="shared" si="29"/>
        <v/>
      </c>
    </row>
    <row r="1891" spans="1:3" x14ac:dyDescent="0.25">
      <c r="A1891" s="112">
        <v>7.0073932500000005E-2</v>
      </c>
      <c r="B1891" s="459">
        <v>6.3813856000000005E-4</v>
      </c>
      <c r="C1891" t="str">
        <f t="shared" si="29"/>
        <v/>
      </c>
    </row>
    <row r="1892" spans="1:3" x14ac:dyDescent="0.25">
      <c r="A1892" s="112">
        <v>0.12321687040000001</v>
      </c>
      <c r="B1892" s="459">
        <v>4.2717498999999999E-3</v>
      </c>
      <c r="C1892" t="str">
        <f t="shared" si="29"/>
        <v/>
      </c>
    </row>
    <row r="1893" spans="1:3" x14ac:dyDescent="0.25">
      <c r="A1893" s="112">
        <v>0.10696538059999999</v>
      </c>
      <c r="B1893" s="459">
        <v>3.6420078999999999E-3</v>
      </c>
      <c r="C1893" t="str">
        <f t="shared" si="29"/>
        <v/>
      </c>
    </row>
    <row r="1894" spans="1:3" x14ac:dyDescent="0.25">
      <c r="A1894" s="112">
        <v>7.4717215299999987E-2</v>
      </c>
      <c r="B1894" s="459">
        <v>2.0361658000000002E-3</v>
      </c>
      <c r="C1894" t="str">
        <f t="shared" si="29"/>
        <v/>
      </c>
    </row>
    <row r="1895" spans="1:3" x14ac:dyDescent="0.25">
      <c r="A1895" s="112">
        <v>9.7225811800000006E-2</v>
      </c>
      <c r="B1895" s="459">
        <v>3.7679562999999999E-3</v>
      </c>
      <c r="C1895" t="str">
        <f t="shared" si="29"/>
        <v/>
      </c>
    </row>
    <row r="1896" spans="1:3" x14ac:dyDescent="0.25">
      <c r="A1896" s="112">
        <v>8.0804445799999999E-2</v>
      </c>
      <c r="B1896" s="459">
        <v>1.5638593E-3</v>
      </c>
      <c r="C1896" t="str">
        <f t="shared" si="29"/>
        <v/>
      </c>
    </row>
    <row r="1897" spans="1:3" x14ac:dyDescent="0.25">
      <c r="A1897" s="112">
        <v>6.7270975199999999E-2</v>
      </c>
      <c r="B1897" s="459">
        <v>6.1189931000000001E-4</v>
      </c>
      <c r="C1897" t="str">
        <f t="shared" si="29"/>
        <v/>
      </c>
    </row>
    <row r="1898" spans="1:3" x14ac:dyDescent="0.25">
      <c r="A1898" s="112">
        <v>4.5583446999999999E-2</v>
      </c>
      <c r="B1898" s="459">
        <v>6.3813856000000005E-4</v>
      </c>
      <c r="C1898" t="str">
        <f t="shared" si="29"/>
        <v/>
      </c>
    </row>
    <row r="1899" spans="1:3" x14ac:dyDescent="0.25">
      <c r="A1899" s="112">
        <v>5.5889269800000002E-2</v>
      </c>
      <c r="B1899" s="459">
        <v>9.0997718999999996E-4</v>
      </c>
      <c r="C1899" t="str">
        <f t="shared" si="29"/>
        <v/>
      </c>
    </row>
    <row r="1900" spans="1:3" x14ac:dyDescent="0.25">
      <c r="A1900" s="112">
        <v>5.30296871E-2</v>
      </c>
      <c r="B1900" s="459">
        <v>6.8327007000000008E-4</v>
      </c>
      <c r="C1900" t="str">
        <f t="shared" si="29"/>
        <v/>
      </c>
    </row>
    <row r="1901" spans="1:3" x14ac:dyDescent="0.25">
      <c r="A1901" s="112">
        <v>9.5640300600000006E-2</v>
      </c>
      <c r="B1901" s="459">
        <v>2.1936013E-3</v>
      </c>
      <c r="C1901" t="str">
        <f t="shared" si="29"/>
        <v/>
      </c>
    </row>
    <row r="1902" spans="1:3" x14ac:dyDescent="0.25">
      <c r="A1902" s="112">
        <v>0.1362690251</v>
      </c>
      <c r="B1902" s="459">
        <v>6.8746835000000001E-3</v>
      </c>
      <c r="C1902" t="str">
        <f t="shared" si="29"/>
        <v/>
      </c>
    </row>
    <row r="1903" spans="1:3" x14ac:dyDescent="0.25">
      <c r="A1903" s="112">
        <v>0.12737883729999999</v>
      </c>
      <c r="B1903" s="459">
        <v>8.2916029999999998E-3</v>
      </c>
      <c r="C1903" t="str">
        <f t="shared" si="29"/>
        <v/>
      </c>
    </row>
    <row r="1904" spans="1:3" x14ac:dyDescent="0.25">
      <c r="A1904" s="112">
        <v>0.1048702408</v>
      </c>
      <c r="B1904" s="459">
        <v>1.0138846200000002E-3</v>
      </c>
      <c r="C1904" t="str">
        <f t="shared" si="29"/>
        <v/>
      </c>
    </row>
    <row r="1905" spans="1:3" x14ac:dyDescent="0.25">
      <c r="A1905" s="112">
        <v>8.3295963400000006E-2</v>
      </c>
      <c r="B1905" s="459">
        <v>5.2268585999999998E-4</v>
      </c>
      <c r="C1905" t="str">
        <f t="shared" si="29"/>
        <v/>
      </c>
    </row>
    <row r="1906" spans="1:3" x14ac:dyDescent="0.25">
      <c r="A1906" s="112">
        <v>7.9417123500000006E-2</v>
      </c>
      <c r="B1906" s="459">
        <v>1.3119625E-3</v>
      </c>
      <c r="C1906" t="str">
        <f t="shared" si="29"/>
        <v/>
      </c>
    </row>
    <row r="1907" spans="1:3" x14ac:dyDescent="0.25">
      <c r="A1907" s="112">
        <v>8.2305018899999999E-2</v>
      </c>
      <c r="B1907" s="459">
        <v>4.9329790000000005E-4</v>
      </c>
      <c r="C1907" t="str">
        <f t="shared" si="29"/>
        <v/>
      </c>
    </row>
    <row r="1908" spans="1:3" x14ac:dyDescent="0.25">
      <c r="A1908" s="223">
        <v>0.339756</v>
      </c>
      <c r="B1908" s="460">
        <v>9.2469760000000003E-4</v>
      </c>
      <c r="C1908" t="str">
        <f t="shared" si="29"/>
        <v/>
      </c>
    </row>
    <row r="1909" spans="1:3" x14ac:dyDescent="0.25">
      <c r="A1909" s="223">
        <v>0.339756</v>
      </c>
      <c r="B1909" s="460">
        <v>4.8071680000000006E-3</v>
      </c>
      <c r="C1909" t="str">
        <f t="shared" si="29"/>
        <v/>
      </c>
    </row>
    <row r="1910" spans="1:3" x14ac:dyDescent="0.25">
      <c r="A1910" s="223">
        <v>0.44168279999999999</v>
      </c>
      <c r="B1910" s="460">
        <v>4.2088959999999996E-4</v>
      </c>
      <c r="C1910" t="str">
        <f t="shared" si="29"/>
        <v/>
      </c>
    </row>
    <row r="1911" spans="1:3" x14ac:dyDescent="0.25">
      <c r="A1911" s="223">
        <v>0.44168279999999999</v>
      </c>
      <c r="B1911" s="460">
        <v>1.2805119999999999E-3</v>
      </c>
      <c r="C1911" t="str">
        <f t="shared" si="29"/>
        <v/>
      </c>
    </row>
    <row r="1912" spans="1:3" x14ac:dyDescent="0.25">
      <c r="A1912" s="223">
        <v>0.679512</v>
      </c>
      <c r="B1912" s="460">
        <v>3.0753280000000001E-4</v>
      </c>
      <c r="C1912" t="str">
        <f t="shared" si="29"/>
        <v/>
      </c>
    </row>
    <row r="1913" spans="1:3" x14ac:dyDescent="0.25">
      <c r="A1913" s="223">
        <v>0.679512</v>
      </c>
      <c r="B1913" s="460">
        <v>8.9950719999999998E-4</v>
      </c>
      <c r="C1913" t="str">
        <f t="shared" si="29"/>
        <v/>
      </c>
    </row>
    <row r="1914" spans="1:3" x14ac:dyDescent="0.25">
      <c r="A1914" s="223">
        <v>0.79559530000000012</v>
      </c>
      <c r="B1914" s="460">
        <v>5.7413120000000002E-3</v>
      </c>
      <c r="C1914" t="str">
        <f t="shared" si="29"/>
        <v/>
      </c>
    </row>
    <row r="1915" spans="1:3" x14ac:dyDescent="0.25">
      <c r="A1915" s="223">
        <v>0.79559530000000012</v>
      </c>
      <c r="B1915" s="460">
        <v>3.022848E-4</v>
      </c>
      <c r="C1915" t="str">
        <f t="shared" si="29"/>
        <v/>
      </c>
    </row>
    <row r="1916" spans="1:3" x14ac:dyDescent="0.25">
      <c r="A1916" s="223">
        <v>0.79559530000000012</v>
      </c>
      <c r="B1916" s="460">
        <v>1.395968E-3</v>
      </c>
      <c r="C1916" t="str">
        <f t="shared" si="29"/>
        <v/>
      </c>
    </row>
    <row r="1917" spans="1:3" x14ac:dyDescent="0.25">
      <c r="A1917" s="223">
        <v>0.90318469999999995</v>
      </c>
      <c r="B1917" s="460">
        <v>4.9331199999999998E-4</v>
      </c>
      <c r="C1917" t="str">
        <f t="shared" si="29"/>
        <v/>
      </c>
    </row>
    <row r="1918" spans="1:3" x14ac:dyDescent="0.25">
      <c r="A1918" s="223">
        <v>0.90318469999999995</v>
      </c>
      <c r="B1918" s="460">
        <v>3.25376E-4</v>
      </c>
      <c r="C1918" t="str">
        <f t="shared" si="29"/>
        <v/>
      </c>
    </row>
    <row r="1919" spans="1:3" x14ac:dyDescent="0.25">
      <c r="A1919" s="223">
        <v>0.69933109999999998</v>
      </c>
      <c r="B1919" s="460">
        <v>5.8462719999999996E-4</v>
      </c>
      <c r="C1919" t="str">
        <f t="shared" si="29"/>
        <v/>
      </c>
    </row>
    <row r="1920" spans="1:3" x14ac:dyDescent="0.25">
      <c r="A1920" s="223">
        <v>0.69933109999999998</v>
      </c>
      <c r="B1920" s="460">
        <v>1.5219200000000002E-4</v>
      </c>
      <c r="C1920" t="str">
        <f t="shared" si="29"/>
        <v/>
      </c>
    </row>
    <row r="1921" spans="1:3" x14ac:dyDescent="0.25">
      <c r="A1921" s="223">
        <v>0.52662180000000003</v>
      </c>
      <c r="B1921" s="460">
        <v>2.1516800000000001E-4</v>
      </c>
      <c r="C1921" t="str">
        <f t="shared" si="29"/>
        <v/>
      </c>
    </row>
    <row r="1922" spans="1:3" x14ac:dyDescent="0.25">
      <c r="A1922" s="223">
        <v>0.53794700000000006</v>
      </c>
      <c r="B1922" s="460">
        <v>1.721344E-5</v>
      </c>
      <c r="C1922" t="str">
        <f t="shared" si="29"/>
        <v/>
      </c>
    </row>
    <row r="1923" spans="1:3" x14ac:dyDescent="0.25">
      <c r="A1923" s="223">
        <v>0.53794700000000006</v>
      </c>
      <c r="B1923" s="460">
        <v>3.5686399999999998E-5</v>
      </c>
      <c r="C1923" t="str">
        <f t="shared" si="29"/>
        <v/>
      </c>
    </row>
    <row r="1924" spans="1:3" x14ac:dyDescent="0.25">
      <c r="A1924" s="223">
        <v>0.66252420000000001</v>
      </c>
      <c r="B1924" s="460">
        <v>7.1162880000000001E-4</v>
      </c>
      <c r="C1924" t="str">
        <f t="shared" si="29"/>
        <v/>
      </c>
    </row>
    <row r="1925" spans="1:3" x14ac:dyDescent="0.25">
      <c r="A1925" s="223">
        <v>0.66252420000000001</v>
      </c>
      <c r="B1925" s="460">
        <v>3.9779840000000002E-4</v>
      </c>
      <c r="C1925" t="str">
        <f t="shared" si="29"/>
        <v/>
      </c>
    </row>
    <row r="1926" spans="1:3" x14ac:dyDescent="0.25">
      <c r="A1926" s="223">
        <v>0.75595710000000005</v>
      </c>
      <c r="B1926" s="460">
        <v>6.5704960000000006E-5</v>
      </c>
      <c r="C1926" t="str">
        <f t="shared" ref="C1926:C1988" si="30">IF(B1926=0,"XXXXXXXX","")</f>
        <v/>
      </c>
    </row>
    <row r="1927" spans="1:3" x14ac:dyDescent="0.25">
      <c r="A1927" s="223">
        <v>0.75595710000000005</v>
      </c>
      <c r="B1927" s="460">
        <v>1.9627520000000003E-4</v>
      </c>
      <c r="C1927" t="str">
        <f t="shared" si="30"/>
        <v/>
      </c>
    </row>
    <row r="1928" spans="1:3" x14ac:dyDescent="0.25">
      <c r="A1928" s="223">
        <v>0.93149769999999998</v>
      </c>
      <c r="B1928" s="460">
        <v>6.1191679999999995E-4</v>
      </c>
      <c r="C1928" t="str">
        <f t="shared" si="30"/>
        <v/>
      </c>
    </row>
    <row r="1929" spans="1:3" x14ac:dyDescent="0.25">
      <c r="A1929" s="223">
        <v>0.93149769999999998</v>
      </c>
      <c r="B1929" s="460">
        <v>1.322496E-3</v>
      </c>
      <c r="C1929" t="str">
        <f t="shared" si="30"/>
        <v/>
      </c>
    </row>
    <row r="1930" spans="1:3" x14ac:dyDescent="0.25">
      <c r="A1930" s="223">
        <v>0.84089610000000004</v>
      </c>
      <c r="B1930" s="460">
        <v>3.7155839999999996E-3</v>
      </c>
      <c r="C1930" t="str">
        <f t="shared" si="30"/>
        <v/>
      </c>
    </row>
    <row r="1931" spans="1:3" x14ac:dyDescent="0.25">
      <c r="A1931" s="223">
        <v>0.84089610000000004</v>
      </c>
      <c r="B1931" s="460">
        <v>5.877760000000001E-3</v>
      </c>
      <c r="C1931" t="str">
        <f t="shared" si="30"/>
        <v/>
      </c>
    </row>
    <row r="1932" spans="1:3" x14ac:dyDescent="0.25">
      <c r="A1932" s="223">
        <v>0.69366850000000002</v>
      </c>
      <c r="B1932" s="460">
        <v>2.2881280000000001E-4</v>
      </c>
      <c r="C1932" t="str">
        <f t="shared" si="30"/>
        <v/>
      </c>
    </row>
    <row r="1933" spans="1:3" x14ac:dyDescent="0.25">
      <c r="A1933" s="223">
        <v>0.69366850000000002</v>
      </c>
      <c r="B1933" s="460">
        <v>2.6764800000000002E-3</v>
      </c>
      <c r="C1933" t="str">
        <f t="shared" si="30"/>
        <v/>
      </c>
    </row>
    <row r="1934" spans="1:3" x14ac:dyDescent="0.25">
      <c r="A1934" s="223">
        <v>0.57192260000000006</v>
      </c>
      <c r="B1934" s="460">
        <v>3.8625280000000003E-5</v>
      </c>
      <c r="C1934" t="str">
        <f t="shared" si="30"/>
        <v/>
      </c>
    </row>
    <row r="1935" spans="1:3" x14ac:dyDescent="0.25">
      <c r="A1935" s="223">
        <v>0.57192260000000006</v>
      </c>
      <c r="B1935" s="460">
        <v>4.4188160000000002E-5</v>
      </c>
      <c r="C1935" t="str">
        <f t="shared" si="30"/>
        <v/>
      </c>
    </row>
    <row r="1936" spans="1:3" x14ac:dyDescent="0.25">
      <c r="A1936" s="223">
        <v>0.34824990000000006</v>
      </c>
      <c r="B1936" s="460">
        <v>3.810048E-4</v>
      </c>
      <c r="C1936" t="str">
        <f t="shared" si="30"/>
        <v/>
      </c>
    </row>
    <row r="1937" spans="1:3" x14ac:dyDescent="0.25">
      <c r="A1937" s="223">
        <v>0.34824990000000006</v>
      </c>
      <c r="B1937" s="460">
        <v>3.631616E-5</v>
      </c>
      <c r="C1937" t="str">
        <f t="shared" si="30"/>
        <v/>
      </c>
    </row>
    <row r="1938" spans="1:3" x14ac:dyDescent="0.25">
      <c r="A1938" s="223">
        <v>0.15458898000000001</v>
      </c>
      <c r="B1938" s="460">
        <v>3.5686400000000003E-6</v>
      </c>
      <c r="C1938" t="str">
        <f t="shared" si="30"/>
        <v/>
      </c>
    </row>
    <row r="1939" spans="1:3" x14ac:dyDescent="0.25">
      <c r="A1939" s="223">
        <v>0.15458898000000001</v>
      </c>
      <c r="B1939" s="460">
        <v>1.9417600000000002E-5</v>
      </c>
      <c r="C1939" t="str">
        <f t="shared" si="30"/>
        <v/>
      </c>
    </row>
    <row r="1940" spans="1:3" x14ac:dyDescent="0.25">
      <c r="A1940" s="223">
        <v>0.22735338999999999</v>
      </c>
      <c r="B1940" s="460">
        <v>2.0362240000000002E-5</v>
      </c>
      <c r="C1940" t="str">
        <f t="shared" si="30"/>
        <v/>
      </c>
    </row>
    <row r="1941" spans="1:3" x14ac:dyDescent="0.25">
      <c r="A1941" s="223">
        <v>0.4728271</v>
      </c>
      <c r="B1941" s="460">
        <v>8.1029120000000008E-5</v>
      </c>
      <c r="C1941" t="str">
        <f t="shared" si="30"/>
        <v/>
      </c>
    </row>
    <row r="1942" spans="1:3" x14ac:dyDescent="0.25">
      <c r="A1942" s="223">
        <v>0.4728271</v>
      </c>
      <c r="B1942" s="460">
        <v>6.7174400000000005E-4</v>
      </c>
      <c r="C1942" t="str">
        <f t="shared" si="30"/>
        <v/>
      </c>
    </row>
    <row r="1943" spans="1:3" x14ac:dyDescent="0.25">
      <c r="A1943" s="223">
        <v>0.51529659999999999</v>
      </c>
      <c r="B1943" s="460">
        <v>7.6620799999999999E-4</v>
      </c>
      <c r="C1943" t="str">
        <f t="shared" si="30"/>
        <v/>
      </c>
    </row>
    <row r="1944" spans="1:3" x14ac:dyDescent="0.25">
      <c r="A1944" s="223">
        <v>0.51529659999999999</v>
      </c>
      <c r="B1944" s="460">
        <v>2.561024E-4</v>
      </c>
      <c r="C1944" t="str">
        <f t="shared" si="30"/>
        <v/>
      </c>
    </row>
    <row r="1945" spans="1:3" x14ac:dyDescent="0.25">
      <c r="A1945" s="223">
        <v>0.72481280000000003</v>
      </c>
      <c r="B1945" s="460">
        <v>1.637376E-4</v>
      </c>
      <c r="C1945" t="str">
        <f t="shared" si="30"/>
        <v/>
      </c>
    </row>
    <row r="1946" spans="1:3" x14ac:dyDescent="0.25">
      <c r="A1946" s="223">
        <v>0.72481280000000003</v>
      </c>
      <c r="B1946" s="460">
        <v>3.5896320000000003E-4</v>
      </c>
      <c r="C1946" t="str">
        <f t="shared" si="30"/>
        <v/>
      </c>
    </row>
    <row r="1947" spans="1:3" x14ac:dyDescent="0.25">
      <c r="A1947" s="223">
        <v>1.2712536999999999</v>
      </c>
      <c r="B1947" s="460">
        <v>3.5161600000000004E-3</v>
      </c>
      <c r="C1947" t="str">
        <f t="shared" si="30"/>
        <v/>
      </c>
    </row>
    <row r="1948" spans="1:3" x14ac:dyDescent="0.25">
      <c r="A1948" s="223">
        <v>1.9337778999999999</v>
      </c>
      <c r="B1948" s="460">
        <v>5.0485759999999999E-3</v>
      </c>
      <c r="C1948" t="str">
        <f t="shared" si="30"/>
        <v/>
      </c>
    </row>
    <row r="1949" spans="1:3" x14ac:dyDescent="0.25">
      <c r="A1949" s="223">
        <v>1.9337778999999999</v>
      </c>
      <c r="B1949" s="460">
        <v>1.973248E-2</v>
      </c>
      <c r="C1949" t="str">
        <f t="shared" si="30"/>
        <v/>
      </c>
    </row>
    <row r="1950" spans="1:3" x14ac:dyDescent="0.25">
      <c r="A1950" s="223">
        <v>2.3782920000000001</v>
      </c>
      <c r="B1950" s="460">
        <v>1.9837439999999998E-2</v>
      </c>
      <c r="C1950" t="str">
        <f t="shared" si="30"/>
        <v/>
      </c>
    </row>
    <row r="1951" spans="1:3" x14ac:dyDescent="0.25">
      <c r="A1951" s="223">
        <v>2.3782920000000001</v>
      </c>
      <c r="B1951" s="460">
        <v>1.52192E-2</v>
      </c>
      <c r="C1951" t="str">
        <f t="shared" si="30"/>
        <v/>
      </c>
    </row>
    <row r="1952" spans="1:3" x14ac:dyDescent="0.25">
      <c r="A1952" s="223">
        <v>2.1461253999999998</v>
      </c>
      <c r="B1952" s="460">
        <v>1.332992E-2</v>
      </c>
      <c r="C1952" t="str">
        <f t="shared" si="30"/>
        <v/>
      </c>
    </row>
    <row r="1953" spans="1:3" x14ac:dyDescent="0.25">
      <c r="A1953" s="223">
        <v>2.1461253999999998</v>
      </c>
      <c r="B1953" s="460">
        <v>1.3224960000000001E-2</v>
      </c>
      <c r="C1953" t="str">
        <f t="shared" si="30"/>
        <v/>
      </c>
    </row>
    <row r="1954" spans="1:3" x14ac:dyDescent="0.25">
      <c r="A1954" s="223">
        <v>1.7440808000000001</v>
      </c>
      <c r="B1954" s="460">
        <v>3.9674879999999999E-3</v>
      </c>
      <c r="C1954" t="str">
        <f t="shared" si="30"/>
        <v/>
      </c>
    </row>
    <row r="1955" spans="1:3" x14ac:dyDescent="0.25">
      <c r="A1955" s="223">
        <v>1.7440808000000001</v>
      </c>
      <c r="B1955" s="460">
        <v>1.4169600000000001E-2</v>
      </c>
      <c r="C1955" t="str">
        <f t="shared" si="30"/>
        <v/>
      </c>
    </row>
    <row r="1956" spans="1:3" x14ac:dyDescent="0.25">
      <c r="A1956" s="223">
        <v>1.4637821000000002</v>
      </c>
      <c r="B1956" s="460">
        <v>3.3587199999999999E-3</v>
      </c>
      <c r="C1956" t="str">
        <f t="shared" si="30"/>
        <v/>
      </c>
    </row>
    <row r="1957" spans="1:3" x14ac:dyDescent="0.25">
      <c r="A1957" s="223">
        <v>1.4637821000000002</v>
      </c>
      <c r="B1957" s="460">
        <v>1.186048E-2</v>
      </c>
      <c r="C1957" t="str">
        <f t="shared" si="30"/>
        <v/>
      </c>
    </row>
    <row r="1958" spans="1:3" x14ac:dyDescent="0.25">
      <c r="A1958" s="223">
        <v>1.3080606000000001</v>
      </c>
      <c r="B1958" s="460">
        <v>6.3500800000000001E-3</v>
      </c>
      <c r="C1958" t="str">
        <f t="shared" si="30"/>
        <v/>
      </c>
    </row>
    <row r="1959" spans="1:3" x14ac:dyDescent="0.25">
      <c r="A1959" s="223">
        <v>1.3080606000000001</v>
      </c>
      <c r="B1959" s="460">
        <v>5.5943680000000006E-3</v>
      </c>
      <c r="C1959" t="str">
        <f t="shared" si="30"/>
        <v/>
      </c>
    </row>
    <row r="1960" spans="1:3" x14ac:dyDescent="0.25">
      <c r="A1960" s="223">
        <v>1.5968532</v>
      </c>
      <c r="B1960" s="460">
        <v>1.1230720000000001E-2</v>
      </c>
      <c r="C1960" t="str">
        <f t="shared" si="30"/>
        <v/>
      </c>
    </row>
    <row r="1961" spans="1:3" x14ac:dyDescent="0.25">
      <c r="A1961" s="223">
        <v>1.5968532</v>
      </c>
      <c r="B1961" s="460">
        <v>8.44928E-3</v>
      </c>
      <c r="C1961" t="str">
        <f t="shared" si="30"/>
        <v/>
      </c>
    </row>
    <row r="1962" spans="1:3" x14ac:dyDescent="0.25">
      <c r="A1962" s="223">
        <v>2.4547371</v>
      </c>
      <c r="B1962" s="460">
        <v>6.2976000000000004E-2</v>
      </c>
      <c r="C1962" t="str">
        <f t="shared" si="30"/>
        <v/>
      </c>
    </row>
    <row r="1963" spans="1:3" x14ac:dyDescent="0.25">
      <c r="A1963" s="223">
        <v>2.4547371</v>
      </c>
      <c r="B1963" s="460">
        <v>2.3301120000000002E-2</v>
      </c>
      <c r="C1963" t="str">
        <f t="shared" si="30"/>
        <v/>
      </c>
    </row>
    <row r="1964" spans="1:3" x14ac:dyDescent="0.25">
      <c r="A1964" s="223">
        <v>2.6274464000000002</v>
      </c>
      <c r="B1964" s="460">
        <v>2.2671360000000002E-2</v>
      </c>
      <c r="C1964" t="str">
        <f t="shared" si="30"/>
        <v/>
      </c>
    </row>
    <row r="1965" spans="1:3" x14ac:dyDescent="0.25">
      <c r="A1965" s="223">
        <v>2.6274464000000002</v>
      </c>
      <c r="B1965" s="460">
        <v>3.505664E-2</v>
      </c>
      <c r="C1965" t="str">
        <f t="shared" si="30"/>
        <v/>
      </c>
    </row>
    <row r="1966" spans="1:3" x14ac:dyDescent="0.25">
      <c r="A1966" s="223">
        <v>2.6132898999999998</v>
      </c>
      <c r="B1966" s="460">
        <v>2.1411840000000001E-2</v>
      </c>
      <c r="C1966" t="str">
        <f t="shared" si="30"/>
        <v/>
      </c>
    </row>
    <row r="1967" spans="1:3" x14ac:dyDescent="0.25">
      <c r="A1967" s="223">
        <v>2.2310644000000002</v>
      </c>
      <c r="B1967" s="460">
        <v>3.0438400000000001E-2</v>
      </c>
      <c r="C1967" t="str">
        <f t="shared" si="30"/>
        <v/>
      </c>
    </row>
    <row r="1968" spans="1:3" x14ac:dyDescent="0.25">
      <c r="A1968" s="223">
        <v>2.2310644000000002</v>
      </c>
      <c r="B1968" s="460">
        <v>1.8263040000000001E-2</v>
      </c>
      <c r="C1968" t="str">
        <f t="shared" si="30"/>
        <v/>
      </c>
    </row>
    <row r="1969" spans="1:3" x14ac:dyDescent="0.25">
      <c r="A1969" s="223">
        <v>2.0102230000000003</v>
      </c>
      <c r="B1969" s="460">
        <v>1.1020800000000001E-2</v>
      </c>
      <c r="C1969" t="str">
        <f t="shared" si="30"/>
        <v/>
      </c>
    </row>
    <row r="1970" spans="1:3" x14ac:dyDescent="0.25">
      <c r="A1970" s="223">
        <v>2.0102230000000003</v>
      </c>
      <c r="B1970" s="460">
        <v>2.004736E-2</v>
      </c>
      <c r="C1970" t="str">
        <f t="shared" si="30"/>
        <v/>
      </c>
    </row>
    <row r="1971" spans="1:3" x14ac:dyDescent="0.25">
      <c r="A1971" s="223">
        <v>1.7016113000000002</v>
      </c>
      <c r="B1971" s="460">
        <v>3.6211199999999998E-3</v>
      </c>
      <c r="C1971" t="str">
        <f t="shared" si="30"/>
        <v/>
      </c>
    </row>
    <row r="1972" spans="1:3" x14ac:dyDescent="0.25">
      <c r="A1972" s="223">
        <v>1.7016113000000002</v>
      </c>
      <c r="B1972" s="460">
        <v>1.9627519999999999E-3</v>
      </c>
      <c r="C1972" t="str">
        <f t="shared" si="30"/>
        <v/>
      </c>
    </row>
    <row r="1973" spans="1:3" x14ac:dyDescent="0.25">
      <c r="A1973" s="223">
        <v>3.4824990000000002</v>
      </c>
      <c r="B1973" s="460">
        <v>2.7499520000000003E-2</v>
      </c>
      <c r="C1973" t="str">
        <f t="shared" si="30"/>
        <v/>
      </c>
    </row>
    <row r="1974" spans="1:3" x14ac:dyDescent="0.25">
      <c r="A1974" s="223">
        <v>3.4824990000000002</v>
      </c>
      <c r="B1974" s="460">
        <v>9.5408640000000003E-2</v>
      </c>
      <c r="C1974" t="str">
        <f t="shared" si="30"/>
        <v/>
      </c>
    </row>
    <row r="1975" spans="1:3" x14ac:dyDescent="0.25">
      <c r="A1975" s="223">
        <v>3.4824990000000002</v>
      </c>
      <c r="B1975" s="460">
        <v>6.3605759999999997E-2</v>
      </c>
      <c r="C1975" t="str">
        <f t="shared" si="30"/>
        <v/>
      </c>
    </row>
    <row r="1976" spans="1:3" x14ac:dyDescent="0.25">
      <c r="A1976" s="223">
        <v>3.8788810000000002</v>
      </c>
      <c r="B1976" s="460">
        <v>0.1091584</v>
      </c>
      <c r="C1976" t="str">
        <f t="shared" si="30"/>
        <v/>
      </c>
    </row>
    <row r="1977" spans="1:3" x14ac:dyDescent="0.25">
      <c r="A1977" s="223">
        <v>3.8788810000000002</v>
      </c>
      <c r="B1977" s="460">
        <v>6.0247040000000002E-2</v>
      </c>
      <c r="C1977" t="str">
        <f t="shared" si="30"/>
        <v/>
      </c>
    </row>
    <row r="1978" spans="1:3" x14ac:dyDescent="0.25">
      <c r="A1978" s="223">
        <v>3.11443</v>
      </c>
      <c r="B1978" s="460">
        <v>1.500928E-2</v>
      </c>
      <c r="C1978" t="str">
        <f t="shared" si="30"/>
        <v/>
      </c>
    </row>
    <row r="1979" spans="1:3" x14ac:dyDescent="0.25">
      <c r="A1979" s="223">
        <v>3.11443</v>
      </c>
      <c r="B1979" s="460">
        <v>1.721344E-2</v>
      </c>
      <c r="C1979" t="str">
        <f t="shared" si="30"/>
        <v/>
      </c>
    </row>
    <row r="1980" spans="1:3" x14ac:dyDescent="0.25">
      <c r="A1980" s="223">
        <v>3.0294910000000002</v>
      </c>
      <c r="B1980" s="460">
        <v>2.5715200000000001E-2</v>
      </c>
      <c r="C1980" t="str">
        <f t="shared" si="30"/>
        <v/>
      </c>
    </row>
    <row r="1981" spans="1:3" x14ac:dyDescent="0.25">
      <c r="A1981" s="223">
        <v>3.0294910000000002</v>
      </c>
      <c r="B1981" s="460">
        <v>1.9627520000000002E-2</v>
      </c>
      <c r="C1981" t="str">
        <f t="shared" si="30"/>
        <v/>
      </c>
    </row>
    <row r="1982" spans="1:3" x14ac:dyDescent="0.25">
      <c r="A1982" s="223">
        <v>2.6784097999999998</v>
      </c>
      <c r="B1982" s="460">
        <v>4.3243520000000001E-2</v>
      </c>
      <c r="C1982" t="str">
        <f t="shared" si="30"/>
        <v/>
      </c>
    </row>
    <row r="1983" spans="1:3" x14ac:dyDescent="0.25">
      <c r="A1983" s="223">
        <v>2.6784097999999998</v>
      </c>
      <c r="B1983" s="460">
        <v>8.9320960000000005E-3</v>
      </c>
      <c r="C1983" t="str">
        <f t="shared" si="30"/>
        <v/>
      </c>
    </row>
    <row r="1984" spans="1:3" x14ac:dyDescent="0.25">
      <c r="A1984" s="223">
        <v>0.64270510000000003</v>
      </c>
      <c r="B1984" s="460">
        <v>2.0362240000000001E-4</v>
      </c>
      <c r="C1984" t="str">
        <f t="shared" si="30"/>
        <v/>
      </c>
    </row>
    <row r="1985" spans="1:3" x14ac:dyDescent="0.25">
      <c r="A1985" s="223">
        <v>0.64270510000000003</v>
      </c>
      <c r="B1985" s="460">
        <v>8.2603520000000004E-5</v>
      </c>
      <c r="C1985" t="str">
        <f t="shared" si="30"/>
        <v/>
      </c>
    </row>
    <row r="1986" spans="1:3" x14ac:dyDescent="0.25">
      <c r="A1986" s="223">
        <v>0.27831679000000004</v>
      </c>
      <c r="B1986" s="458">
        <v>7.9349759999999998E-3</v>
      </c>
      <c r="C1986" t="str">
        <f t="shared" si="30"/>
        <v/>
      </c>
    </row>
    <row r="1987" spans="1:3" x14ac:dyDescent="0.25">
      <c r="A1987" s="223">
        <v>0.49264619999999998</v>
      </c>
      <c r="B1987" s="458">
        <v>8.8376319999999998E-3</v>
      </c>
      <c r="C1987" t="str">
        <f t="shared" si="30"/>
        <v/>
      </c>
    </row>
    <row r="1988" spans="1:3" x14ac:dyDescent="0.25">
      <c r="A1988" s="223">
        <v>0.45300800000000002</v>
      </c>
      <c r="B1988" s="458">
        <v>6.6439680000000001E-3</v>
      </c>
      <c r="C1988" t="str">
        <f t="shared" si="30"/>
        <v/>
      </c>
    </row>
    <row r="1989" spans="1:3" x14ac:dyDescent="0.25">
      <c r="A1989" s="223">
        <v>0.53794700000000006</v>
      </c>
      <c r="B1989" s="458">
        <v>8.6382079999999997E-3</v>
      </c>
      <c r="C1989" t="str">
        <f t="shared" ref="C1989:C2052" si="31">IF(B1989=0,"XXXXXXXX","")</f>
        <v/>
      </c>
    </row>
    <row r="1990" spans="1:3" x14ac:dyDescent="0.25">
      <c r="A1990" s="223">
        <v>0.48698360000000002</v>
      </c>
      <c r="B1990" s="458">
        <v>7.5886080000000002E-3</v>
      </c>
      <c r="C1990" t="str">
        <f t="shared" si="31"/>
        <v/>
      </c>
    </row>
    <row r="1991" spans="1:3" x14ac:dyDescent="0.25">
      <c r="A1991" s="223">
        <v>0.50397140000000007</v>
      </c>
      <c r="B1991" s="458">
        <v>4.2088960000000002E-3</v>
      </c>
      <c r="C1991" t="str">
        <f t="shared" si="31"/>
        <v/>
      </c>
    </row>
    <row r="1992" spans="1:3" x14ac:dyDescent="0.25">
      <c r="A1992" s="223">
        <v>0.58891040000000006</v>
      </c>
      <c r="B1992" s="458">
        <v>9.8662400000000001E-3</v>
      </c>
      <c r="C1992" t="str">
        <f t="shared" si="31"/>
        <v/>
      </c>
    </row>
    <row r="1993" spans="1:3" x14ac:dyDescent="0.25">
      <c r="A1993" s="223">
        <v>0.59457300000000002</v>
      </c>
      <c r="B1993" s="458">
        <v>4.1774080000000005E-3</v>
      </c>
      <c r="C1993" t="str">
        <f t="shared" si="31"/>
        <v/>
      </c>
    </row>
    <row r="1994" spans="1:3" x14ac:dyDescent="0.25">
      <c r="A1994" s="223">
        <v>0.43602020000000002</v>
      </c>
      <c r="B1994" s="458">
        <v>5.3529600000000004E-3</v>
      </c>
      <c r="C1994" t="str">
        <f t="shared" si="31"/>
        <v/>
      </c>
    </row>
    <row r="1995" spans="1:3" x14ac:dyDescent="0.25">
      <c r="A1995" s="223">
        <v>0.50680269999999994</v>
      </c>
      <c r="B1995" s="458">
        <v>5.5104000000000004E-3</v>
      </c>
      <c r="C1995" t="str">
        <f t="shared" si="31"/>
        <v/>
      </c>
    </row>
    <row r="1996" spans="1:3" x14ac:dyDescent="0.25">
      <c r="A1996" s="223">
        <v>0.67101810000000006</v>
      </c>
      <c r="B1996" s="458">
        <v>1.815808E-2</v>
      </c>
      <c r="C1996" t="str">
        <f t="shared" si="31"/>
        <v/>
      </c>
    </row>
    <row r="1997" spans="1:3" x14ac:dyDescent="0.25">
      <c r="A1997" s="223">
        <v>0.95131680000000007</v>
      </c>
      <c r="B1997" s="458">
        <v>3.0333440000000003E-2</v>
      </c>
      <c r="C1997" t="str">
        <f t="shared" si="31"/>
        <v/>
      </c>
    </row>
    <row r="1998" spans="1:3" x14ac:dyDescent="0.25">
      <c r="A1998" s="223">
        <v>1.0362558000000002</v>
      </c>
      <c r="B1998" s="458">
        <v>2.7709440000000002E-2</v>
      </c>
      <c r="C1998" t="str">
        <f t="shared" si="31"/>
        <v/>
      </c>
    </row>
    <row r="1999" spans="1:3" x14ac:dyDescent="0.25">
      <c r="A1999" s="223">
        <v>1.0532436000000001</v>
      </c>
      <c r="B1999" s="458">
        <v>8.1029120000000003E-3</v>
      </c>
      <c r="C1999" t="str">
        <f t="shared" si="31"/>
        <v/>
      </c>
    </row>
    <row r="2000" spans="1:3" x14ac:dyDescent="0.25">
      <c r="A2000" s="223">
        <v>1.3108918999999999</v>
      </c>
      <c r="B2000" s="458">
        <v>1.8577920000000001E-2</v>
      </c>
      <c r="C2000" t="str">
        <f t="shared" si="31"/>
        <v/>
      </c>
    </row>
    <row r="2001" spans="1:3" x14ac:dyDescent="0.25">
      <c r="A2001" s="223">
        <v>1.0051115000000002</v>
      </c>
      <c r="B2001" s="458">
        <v>1.249024E-2</v>
      </c>
      <c r="C2001" t="str">
        <f t="shared" si="31"/>
        <v/>
      </c>
    </row>
    <row r="2002" spans="1:3" x14ac:dyDescent="0.25">
      <c r="A2002" s="223">
        <v>0.59174170000000004</v>
      </c>
      <c r="B2002" s="458">
        <v>5.5733760000000005E-3</v>
      </c>
      <c r="C2002" t="str">
        <f t="shared" si="31"/>
        <v/>
      </c>
    </row>
    <row r="2003" spans="1:3" x14ac:dyDescent="0.25">
      <c r="A2003" s="223">
        <v>0.60872950000000003</v>
      </c>
      <c r="B2003" s="458">
        <v>1.0496E-2</v>
      </c>
      <c r="C2003" t="str">
        <f t="shared" si="31"/>
        <v/>
      </c>
    </row>
    <row r="2004" spans="1:3" x14ac:dyDescent="0.25">
      <c r="A2004" s="223">
        <v>0.52379050000000005</v>
      </c>
      <c r="B2004" s="458">
        <v>5.1430399999999998E-3</v>
      </c>
      <c r="C2004" t="str">
        <f t="shared" si="31"/>
        <v/>
      </c>
    </row>
    <row r="2005" spans="1:3" x14ac:dyDescent="0.25">
      <c r="A2005" s="223">
        <v>0.49264619999999998</v>
      </c>
      <c r="B2005" s="458">
        <v>3.379712E-3</v>
      </c>
      <c r="C2005" t="str">
        <f t="shared" si="31"/>
        <v/>
      </c>
    </row>
    <row r="2006" spans="1:3" x14ac:dyDescent="0.25">
      <c r="A2006" s="223">
        <v>0.39071940000000005</v>
      </c>
      <c r="B2006" s="458">
        <v>1.144064E-3</v>
      </c>
      <c r="C2006" t="str">
        <f t="shared" si="31"/>
        <v/>
      </c>
    </row>
    <row r="2007" spans="1:3" x14ac:dyDescent="0.25">
      <c r="A2007" s="223">
        <v>0.55776610000000004</v>
      </c>
      <c r="B2007" s="458">
        <v>3.4951680000000003E-3</v>
      </c>
      <c r="C2007" t="str">
        <f t="shared" si="31"/>
        <v/>
      </c>
    </row>
    <row r="2008" spans="1:3" x14ac:dyDescent="0.25">
      <c r="A2008" s="223">
        <v>0.71915019999999996</v>
      </c>
      <c r="B2008" s="458">
        <v>3.6106239999999998E-3</v>
      </c>
      <c r="C2008" t="str">
        <f t="shared" si="31"/>
        <v/>
      </c>
    </row>
    <row r="2009" spans="1:3" x14ac:dyDescent="0.25">
      <c r="A2009" s="223">
        <v>1.2712536999999999</v>
      </c>
      <c r="B2009" s="458">
        <v>1.3340415999999999E-2</v>
      </c>
      <c r="C2009" t="str">
        <f t="shared" si="31"/>
        <v/>
      </c>
    </row>
    <row r="2010" spans="1:3" x14ac:dyDescent="0.25">
      <c r="A2010" s="223">
        <v>1.2712536999999999</v>
      </c>
      <c r="B2010" s="458">
        <v>6.9483520000000005E-3</v>
      </c>
      <c r="C2010" t="str">
        <f t="shared" si="31"/>
        <v/>
      </c>
    </row>
    <row r="2011" spans="1:3" x14ac:dyDescent="0.25">
      <c r="A2011" s="223">
        <v>1.0617375</v>
      </c>
      <c r="B2011" s="458">
        <v>6.7489280000000004E-3</v>
      </c>
      <c r="C2011" t="str">
        <f t="shared" si="31"/>
        <v/>
      </c>
    </row>
    <row r="2012" spans="1:3" x14ac:dyDescent="0.25">
      <c r="A2012" s="223">
        <v>0.88619690000000007</v>
      </c>
      <c r="B2012" s="458">
        <v>6.6964479999999998E-3</v>
      </c>
      <c r="C2012" t="str">
        <f t="shared" si="31"/>
        <v/>
      </c>
    </row>
    <row r="2013" spans="1:3" x14ac:dyDescent="0.25">
      <c r="A2013" s="223">
        <v>0.88619690000000007</v>
      </c>
      <c r="B2013" s="458">
        <v>5.8567680000000009E-3</v>
      </c>
      <c r="C2013" t="str">
        <f t="shared" si="31"/>
        <v/>
      </c>
    </row>
    <row r="2014" spans="1:3" x14ac:dyDescent="0.25">
      <c r="A2014" s="223">
        <v>0.71915019999999996</v>
      </c>
      <c r="B2014" s="458">
        <v>6.0561919999999993E-3</v>
      </c>
      <c r="C2014" t="str">
        <f t="shared" si="31"/>
        <v/>
      </c>
    </row>
    <row r="2015" spans="1:3" x14ac:dyDescent="0.25">
      <c r="A2015" s="223">
        <v>0.48415230000000009</v>
      </c>
      <c r="B2015" s="458">
        <v>1.553408E-3</v>
      </c>
      <c r="C2015" t="str">
        <f t="shared" si="31"/>
        <v/>
      </c>
    </row>
    <row r="2016" spans="1:3" x14ac:dyDescent="0.25">
      <c r="A2016" s="223">
        <v>0.62288600000000005</v>
      </c>
      <c r="B2016" s="458">
        <v>5.1955200000000003E-3</v>
      </c>
      <c r="C2016" t="str">
        <f t="shared" si="31"/>
        <v/>
      </c>
    </row>
    <row r="2017" spans="1:3" x14ac:dyDescent="0.25">
      <c r="A2017" s="223">
        <v>0.65969290000000003</v>
      </c>
      <c r="B2017" s="458">
        <v>6.2451199999999998E-3</v>
      </c>
      <c r="C2017" t="str">
        <f t="shared" si="31"/>
        <v/>
      </c>
    </row>
    <row r="2018" spans="1:3" x14ac:dyDescent="0.25">
      <c r="A2018" s="223">
        <v>0.66535549999999999</v>
      </c>
      <c r="B2018" s="458">
        <v>1.3224960000000001E-2</v>
      </c>
      <c r="C2018" t="str">
        <f t="shared" si="31"/>
        <v/>
      </c>
    </row>
    <row r="2019" spans="1:3" x14ac:dyDescent="0.25">
      <c r="A2019" s="223">
        <v>0.60306690000000007</v>
      </c>
      <c r="B2019" s="458">
        <v>9.0580480000000008E-3</v>
      </c>
      <c r="C2019" t="str">
        <f t="shared" si="31"/>
        <v/>
      </c>
    </row>
    <row r="2020" spans="1:3" x14ac:dyDescent="0.25">
      <c r="A2020" s="223">
        <v>0.57475390000000004</v>
      </c>
      <c r="B2020" s="458">
        <v>3.3272320000000003E-3</v>
      </c>
      <c r="C2020" t="str">
        <f t="shared" si="31"/>
        <v/>
      </c>
    </row>
    <row r="2021" spans="1:3" x14ac:dyDescent="0.25">
      <c r="A2021" s="223">
        <v>0.56625999999999999</v>
      </c>
      <c r="B2021" s="458">
        <v>3.7260799999999997E-3</v>
      </c>
      <c r="C2021" t="str">
        <f t="shared" si="31"/>
        <v/>
      </c>
    </row>
    <row r="2022" spans="1:3" x14ac:dyDescent="0.25">
      <c r="A2022" s="223">
        <v>0.5804165</v>
      </c>
      <c r="B2022" s="458">
        <v>2.0572160000000002E-3</v>
      </c>
      <c r="C2022" t="str">
        <f t="shared" si="31"/>
        <v/>
      </c>
    </row>
    <row r="2023" spans="1:3" x14ac:dyDescent="0.25">
      <c r="A2023" s="223">
        <v>0.57475390000000004</v>
      </c>
      <c r="B2023" s="458">
        <v>2.1201920000000003E-3</v>
      </c>
      <c r="C2023" t="str">
        <f t="shared" si="31"/>
        <v/>
      </c>
    </row>
    <row r="2024" spans="1:3" x14ac:dyDescent="0.25">
      <c r="A2024" s="223">
        <v>0.59457300000000002</v>
      </c>
      <c r="B2024" s="458">
        <v>1.7633280000000002E-3</v>
      </c>
      <c r="C2024" t="str">
        <f t="shared" si="31"/>
        <v/>
      </c>
    </row>
    <row r="2025" spans="1:3" x14ac:dyDescent="0.25">
      <c r="A2025" s="223">
        <v>0.64836769999999999</v>
      </c>
      <c r="B2025" s="458">
        <v>3.4531840000000002E-3</v>
      </c>
      <c r="C2025" t="str">
        <f t="shared" si="31"/>
        <v/>
      </c>
    </row>
    <row r="2026" spans="1:3" x14ac:dyDescent="0.25">
      <c r="A2026" s="223">
        <v>0.57475390000000004</v>
      </c>
      <c r="B2026" s="458">
        <v>2.015232E-3</v>
      </c>
      <c r="C2026" t="str">
        <f t="shared" si="31"/>
        <v/>
      </c>
    </row>
    <row r="2027" spans="1:3" x14ac:dyDescent="0.25">
      <c r="A2027" s="223">
        <v>0.5634287</v>
      </c>
      <c r="B2027" s="458">
        <v>8.08192E-4</v>
      </c>
      <c r="C2027" t="str">
        <f t="shared" si="31"/>
        <v/>
      </c>
    </row>
    <row r="2028" spans="1:3" x14ac:dyDescent="0.25">
      <c r="A2028" s="223">
        <v>0.5634287</v>
      </c>
      <c r="B2028" s="458">
        <v>4.6602240000000005E-4</v>
      </c>
      <c r="C2028" t="str">
        <f t="shared" si="31"/>
        <v/>
      </c>
    </row>
    <row r="2029" spans="1:3" x14ac:dyDescent="0.25">
      <c r="A2029" s="223">
        <v>0.57758520000000002</v>
      </c>
      <c r="B2029" s="458">
        <v>1.2616192000000001E-3</v>
      </c>
      <c r="C2029" t="str">
        <f t="shared" si="31"/>
        <v/>
      </c>
    </row>
    <row r="2030" spans="1:3" x14ac:dyDescent="0.25">
      <c r="A2030" s="223">
        <v>0.57758520000000002</v>
      </c>
      <c r="B2030" s="458">
        <v>6.9798400000000002E-4</v>
      </c>
      <c r="C2030" t="str">
        <f t="shared" si="31"/>
        <v/>
      </c>
    </row>
    <row r="2031" spans="1:3" x14ac:dyDescent="0.25">
      <c r="A2031" s="223">
        <v>0.51812790000000009</v>
      </c>
      <c r="B2031" s="458">
        <v>2.4770560000000002E-4</v>
      </c>
      <c r="C2031" t="str">
        <f t="shared" si="31"/>
        <v/>
      </c>
    </row>
    <row r="2032" spans="1:3" x14ac:dyDescent="0.25">
      <c r="A2032" s="223">
        <v>0.51812790000000009</v>
      </c>
      <c r="B2032" s="458">
        <v>2.9703679999999998E-4</v>
      </c>
      <c r="C2032" t="str">
        <f t="shared" si="31"/>
        <v/>
      </c>
    </row>
    <row r="2033" spans="1:3" x14ac:dyDescent="0.25">
      <c r="A2033" s="223">
        <v>0.52379050000000005</v>
      </c>
      <c r="B2033" s="458">
        <v>5.6258559999999998E-4</v>
      </c>
      <c r="C2033" t="str">
        <f t="shared" si="31"/>
        <v/>
      </c>
    </row>
    <row r="2034" spans="1:3" x14ac:dyDescent="0.25">
      <c r="A2034" s="223">
        <v>0.52379050000000005</v>
      </c>
      <c r="B2034" s="458">
        <v>8.6592E-5</v>
      </c>
      <c r="C2034" t="str">
        <f t="shared" si="31"/>
        <v/>
      </c>
    </row>
    <row r="2035" spans="1:3" x14ac:dyDescent="0.25">
      <c r="A2035" s="223">
        <v>0.53228439999999999</v>
      </c>
      <c r="B2035" s="458">
        <v>1.1608576000000002E-3</v>
      </c>
      <c r="C2035" t="str">
        <f t="shared" si="31"/>
        <v/>
      </c>
    </row>
    <row r="2036" spans="1:3" x14ac:dyDescent="0.25">
      <c r="A2036" s="223">
        <v>0.53228439999999999</v>
      </c>
      <c r="B2036" s="458">
        <v>9.4254080000000001E-4</v>
      </c>
      <c r="C2036" t="str">
        <f t="shared" si="31"/>
        <v/>
      </c>
    </row>
    <row r="2037" spans="1:3" x14ac:dyDescent="0.25">
      <c r="A2037" s="223">
        <v>0.46716450000000004</v>
      </c>
      <c r="B2037" s="458">
        <v>2.2041600000000001E-3</v>
      </c>
      <c r="C2037" t="str">
        <f t="shared" si="31"/>
        <v/>
      </c>
    </row>
    <row r="2038" spans="1:3" x14ac:dyDescent="0.25">
      <c r="A2038" s="223">
        <v>0.46716450000000004</v>
      </c>
      <c r="B2038" s="458">
        <v>2.6869760000000002E-4</v>
      </c>
      <c r="C2038" t="str">
        <f t="shared" si="31"/>
        <v/>
      </c>
    </row>
    <row r="2039" spans="1:3" x14ac:dyDescent="0.25">
      <c r="A2039" s="223">
        <v>0.42752630000000003</v>
      </c>
      <c r="B2039" s="458">
        <v>9.0370559999999997E-4</v>
      </c>
      <c r="C2039" t="str">
        <f t="shared" si="31"/>
        <v/>
      </c>
    </row>
    <row r="2040" spans="1:3" x14ac:dyDescent="0.25">
      <c r="A2040" s="223">
        <v>0.42752630000000003</v>
      </c>
      <c r="B2040" s="458">
        <v>8.5332479999999998E-4</v>
      </c>
      <c r="C2040" t="str">
        <f t="shared" si="31"/>
        <v/>
      </c>
    </row>
    <row r="2041" spans="1:3" x14ac:dyDescent="0.25">
      <c r="A2041" s="223">
        <v>0.43885150000000001</v>
      </c>
      <c r="B2041" s="458">
        <v>2.2251519999999999E-4</v>
      </c>
      <c r="C2041" t="str">
        <f t="shared" si="31"/>
        <v/>
      </c>
    </row>
    <row r="2042" spans="1:3" x14ac:dyDescent="0.25">
      <c r="A2042" s="223">
        <v>0.43885150000000001</v>
      </c>
      <c r="B2042" s="458">
        <v>5.1115519999999997E-4</v>
      </c>
      <c r="C2042" t="str">
        <f t="shared" si="31"/>
        <v/>
      </c>
    </row>
    <row r="2043" spans="1:3" x14ac:dyDescent="0.25">
      <c r="A2043" s="223">
        <v>0.3737316</v>
      </c>
      <c r="B2043" s="458">
        <v>3.3902080000000005E-4</v>
      </c>
      <c r="C2043" t="str">
        <f t="shared" si="31"/>
        <v/>
      </c>
    </row>
    <row r="2044" spans="1:3" x14ac:dyDescent="0.25">
      <c r="A2044" s="223">
        <v>0.3737316</v>
      </c>
      <c r="B2044" s="458">
        <v>7.3891840000000006E-5</v>
      </c>
      <c r="C2044" t="str">
        <f t="shared" si="31"/>
        <v/>
      </c>
    </row>
    <row r="2045" spans="1:3" x14ac:dyDescent="0.25">
      <c r="A2045" s="223">
        <v>0.41903240000000003</v>
      </c>
      <c r="B2045" s="458">
        <v>3.3797120000000002E-4</v>
      </c>
      <c r="C2045" t="str">
        <f t="shared" si="31"/>
        <v/>
      </c>
    </row>
    <row r="2046" spans="1:3" x14ac:dyDescent="0.25">
      <c r="A2046" s="223">
        <v>0.41903240000000003</v>
      </c>
      <c r="B2046" s="458">
        <v>1.7570304000000001E-4</v>
      </c>
      <c r="C2046" t="str">
        <f t="shared" si="31"/>
        <v/>
      </c>
    </row>
    <row r="2047" spans="1:3" x14ac:dyDescent="0.25">
      <c r="A2047" s="223">
        <v>0.39355070000000003</v>
      </c>
      <c r="B2047" s="458">
        <v>1.5764992E-4</v>
      </c>
      <c r="C2047" t="str">
        <f t="shared" si="31"/>
        <v/>
      </c>
    </row>
    <row r="2048" spans="1:3" x14ac:dyDescent="0.25">
      <c r="A2048" s="223">
        <v>0.39355070000000003</v>
      </c>
      <c r="B2048" s="458">
        <v>8.5542400000000003E-4</v>
      </c>
      <c r="C2048" t="str">
        <f t="shared" si="31"/>
        <v/>
      </c>
    </row>
    <row r="2049" spans="1:3" x14ac:dyDescent="0.25">
      <c r="A2049" s="223">
        <v>0.50397140000000007</v>
      </c>
      <c r="B2049" s="458">
        <v>9.8872319999999993E-3</v>
      </c>
      <c r="C2049" t="str">
        <f t="shared" si="31"/>
        <v/>
      </c>
    </row>
    <row r="2050" spans="1:3" x14ac:dyDescent="0.25">
      <c r="A2050" s="223">
        <v>0.50680269999999994</v>
      </c>
      <c r="B2050" s="458">
        <v>2.8968960000000004E-3</v>
      </c>
      <c r="C2050" t="str">
        <f t="shared" si="31"/>
        <v/>
      </c>
    </row>
    <row r="2051" spans="1:3" x14ac:dyDescent="0.25">
      <c r="A2051" s="223">
        <v>0.67101810000000006</v>
      </c>
      <c r="B2051" s="458">
        <v>3.3482239999999999E-3</v>
      </c>
      <c r="C2051" t="str">
        <f t="shared" si="31"/>
        <v/>
      </c>
    </row>
    <row r="2052" spans="1:3" x14ac:dyDescent="0.25">
      <c r="A2052" s="223">
        <v>1.0164367000000001</v>
      </c>
      <c r="B2052" s="458">
        <v>4.7022080000000003E-3</v>
      </c>
      <c r="C2052" t="str">
        <f t="shared" si="31"/>
        <v/>
      </c>
    </row>
    <row r="2053" spans="1:3" x14ac:dyDescent="0.25">
      <c r="A2053" s="223">
        <v>1.3108918999999999</v>
      </c>
      <c r="B2053" s="458">
        <v>1.6058880000000001E-2</v>
      </c>
      <c r="C2053" t="str">
        <f t="shared" ref="C2053:C2116" si="32">IF(B2053=0,"XXXXXXXX","")</f>
        <v/>
      </c>
    </row>
    <row r="2054" spans="1:3" x14ac:dyDescent="0.25">
      <c r="A2054" s="223">
        <v>1.7242617</v>
      </c>
      <c r="B2054" s="458">
        <v>1.9942399999999999E-2</v>
      </c>
      <c r="C2054" t="str">
        <f t="shared" si="32"/>
        <v/>
      </c>
    </row>
    <row r="2055" spans="1:3" x14ac:dyDescent="0.25">
      <c r="A2055" s="223">
        <v>2.519857</v>
      </c>
      <c r="B2055" s="458">
        <v>5.8567680000000009E-3</v>
      </c>
      <c r="C2055" t="str">
        <f t="shared" si="32"/>
        <v/>
      </c>
    </row>
    <row r="2056" spans="1:3" x14ac:dyDescent="0.25">
      <c r="A2056" s="223">
        <v>2.6784097999999998</v>
      </c>
      <c r="B2056" s="458">
        <v>3.6526079999999999E-3</v>
      </c>
      <c r="C2056" t="str">
        <f t="shared" si="32"/>
        <v/>
      </c>
    </row>
    <row r="2057" spans="1:3" x14ac:dyDescent="0.25">
      <c r="A2057" s="223">
        <v>2.3103408000000001</v>
      </c>
      <c r="B2057" s="458">
        <v>6.0037119999999996E-3</v>
      </c>
      <c r="C2057" t="str">
        <f t="shared" si="32"/>
        <v/>
      </c>
    </row>
    <row r="2058" spans="1:3" x14ac:dyDescent="0.25">
      <c r="A2058" s="223">
        <v>1.8403450000000001</v>
      </c>
      <c r="B2058" s="458">
        <v>4.7127039999999999E-3</v>
      </c>
      <c r="C2058" t="str">
        <f t="shared" si="32"/>
        <v/>
      </c>
    </row>
    <row r="2059" spans="1:3" x14ac:dyDescent="0.25">
      <c r="A2059" s="223">
        <v>1.6081783999999999</v>
      </c>
      <c r="B2059" s="458">
        <v>3.232768E-3</v>
      </c>
      <c r="C2059" t="str">
        <f t="shared" si="32"/>
        <v/>
      </c>
    </row>
    <row r="2060" spans="1:3" x14ac:dyDescent="0.25">
      <c r="A2060" s="223">
        <v>1.1495078000000001</v>
      </c>
      <c r="B2060" s="458">
        <v>3.5686400000000001E-3</v>
      </c>
      <c r="C2060" t="str">
        <f t="shared" si="32"/>
        <v/>
      </c>
    </row>
    <row r="2061" spans="1:3" x14ac:dyDescent="0.25">
      <c r="A2061" s="223">
        <v>0.75312580000000007</v>
      </c>
      <c r="B2061" s="458">
        <v>1.2805119999999999E-3</v>
      </c>
      <c r="C2061" t="str">
        <f t="shared" si="32"/>
        <v/>
      </c>
    </row>
    <row r="2062" spans="1:3" x14ac:dyDescent="0.25">
      <c r="A2062" s="223">
        <v>0.57192260000000006</v>
      </c>
      <c r="B2062" s="458">
        <v>1.973248E-4</v>
      </c>
      <c r="C2062" t="str">
        <f t="shared" si="32"/>
        <v/>
      </c>
    </row>
    <row r="2063" spans="1:3" x14ac:dyDescent="0.25">
      <c r="A2063" s="223">
        <v>0.89185950000000003</v>
      </c>
      <c r="B2063" s="458">
        <v>6.0247039999999996E-3</v>
      </c>
      <c r="C2063" t="str">
        <f t="shared" si="32"/>
        <v/>
      </c>
    </row>
    <row r="2064" spans="1:3" x14ac:dyDescent="0.25">
      <c r="A2064" s="223">
        <v>1.0107741000000001</v>
      </c>
      <c r="B2064" s="458">
        <v>5.1850239999999999E-3</v>
      </c>
      <c r="C2064" t="str">
        <f t="shared" si="32"/>
        <v/>
      </c>
    </row>
    <row r="2065" spans="1:3" x14ac:dyDescent="0.25">
      <c r="A2065" s="223">
        <v>1.1381826000000002</v>
      </c>
      <c r="B2065" s="458">
        <v>1.3749760000000001E-2</v>
      </c>
      <c r="C2065" t="str">
        <f t="shared" si="32"/>
        <v/>
      </c>
    </row>
    <row r="2066" spans="1:3" x14ac:dyDescent="0.25">
      <c r="A2066" s="223">
        <v>1.1580017</v>
      </c>
      <c r="B2066" s="458">
        <v>1.4799359999999999E-2</v>
      </c>
      <c r="C2066" t="str">
        <f t="shared" si="32"/>
        <v/>
      </c>
    </row>
    <row r="2067" spans="1:3" x14ac:dyDescent="0.25">
      <c r="A2067" s="223">
        <v>0.91167860000000012</v>
      </c>
      <c r="B2067" s="458">
        <v>5.9722239999999999E-3</v>
      </c>
      <c r="C2067" t="str">
        <f t="shared" si="32"/>
        <v/>
      </c>
    </row>
    <row r="2068" spans="1:3" x14ac:dyDescent="0.25">
      <c r="A2068" s="223">
        <v>0.83240219999999998</v>
      </c>
      <c r="B2068" s="458">
        <v>1.1545600000000001E-2</v>
      </c>
      <c r="C2068" t="str">
        <f t="shared" si="32"/>
        <v/>
      </c>
    </row>
    <row r="2069" spans="1:3" x14ac:dyDescent="0.25">
      <c r="A2069" s="223">
        <v>0.72764410000000002</v>
      </c>
      <c r="B2069" s="458">
        <v>4.597248E-3</v>
      </c>
      <c r="C2069" t="str">
        <f t="shared" si="32"/>
        <v/>
      </c>
    </row>
    <row r="2070" spans="1:3" x14ac:dyDescent="0.25">
      <c r="A2070" s="223">
        <v>0.65119900000000008</v>
      </c>
      <c r="B2070" s="458">
        <v>3.4216960000000001E-3</v>
      </c>
      <c r="C2070" t="str">
        <f t="shared" si="32"/>
        <v/>
      </c>
    </row>
    <row r="2071" spans="1:3" x14ac:dyDescent="0.25">
      <c r="A2071" s="223">
        <v>0.52662180000000003</v>
      </c>
      <c r="B2071" s="458">
        <v>1.6373760000000001E-3</v>
      </c>
      <c r="C2071" t="str">
        <f t="shared" si="32"/>
        <v/>
      </c>
    </row>
    <row r="2072" spans="1:3" x14ac:dyDescent="0.25">
      <c r="A2072" s="223">
        <v>0.52662180000000003</v>
      </c>
      <c r="B2072" s="458">
        <v>2.0257280000000001E-3</v>
      </c>
      <c r="C2072" t="str">
        <f t="shared" si="32"/>
        <v/>
      </c>
    </row>
    <row r="2073" spans="1:3" x14ac:dyDescent="0.25">
      <c r="A2073" s="223">
        <v>0.64836769999999999</v>
      </c>
      <c r="B2073" s="458">
        <v>1.2070400000000002E-3</v>
      </c>
      <c r="C2073" t="str">
        <f t="shared" si="32"/>
        <v/>
      </c>
    </row>
    <row r="2074" spans="1:3" x14ac:dyDescent="0.25">
      <c r="A2074" s="223">
        <v>0.64836769999999999</v>
      </c>
      <c r="B2074" s="458">
        <v>1.4589440000000002E-3</v>
      </c>
      <c r="C2074" t="str">
        <f t="shared" si="32"/>
        <v/>
      </c>
    </row>
    <row r="2075" spans="1:3" x14ac:dyDescent="0.25">
      <c r="A2075" s="223">
        <v>0.7134876</v>
      </c>
      <c r="B2075" s="458">
        <v>6.0037119999999996E-3</v>
      </c>
      <c r="C2075" t="str">
        <f t="shared" si="32"/>
        <v/>
      </c>
    </row>
    <row r="2076" spans="1:3" x14ac:dyDescent="0.25">
      <c r="A2076" s="223">
        <v>0.7134876</v>
      </c>
      <c r="B2076" s="458">
        <v>6.0456959999999997E-3</v>
      </c>
      <c r="C2076" t="str">
        <f t="shared" si="32"/>
        <v/>
      </c>
    </row>
    <row r="2077" spans="1:3" x14ac:dyDescent="0.25">
      <c r="A2077" s="223">
        <v>0.7134876</v>
      </c>
      <c r="B2077" s="458">
        <v>7.4521599999999993E-3</v>
      </c>
      <c r="C2077" t="str">
        <f t="shared" si="32"/>
        <v/>
      </c>
    </row>
    <row r="2078" spans="1:3" x14ac:dyDescent="0.25">
      <c r="A2078" s="223">
        <v>0.85222130000000007</v>
      </c>
      <c r="B2078" s="458">
        <v>3.6211199999999998E-3</v>
      </c>
      <c r="C2078" t="str">
        <f t="shared" si="32"/>
        <v/>
      </c>
    </row>
    <row r="2079" spans="1:3" x14ac:dyDescent="0.25">
      <c r="A2079" s="223">
        <v>0.85222130000000007</v>
      </c>
      <c r="B2079" s="458">
        <v>1.689856E-3</v>
      </c>
      <c r="C2079" t="str">
        <f t="shared" si="32"/>
        <v/>
      </c>
    </row>
    <row r="2080" spans="1:3" x14ac:dyDescent="0.25">
      <c r="A2080" s="223">
        <v>0.91450989999999999</v>
      </c>
      <c r="B2080" s="458">
        <v>9.2469760000000003E-4</v>
      </c>
      <c r="C2080" t="str">
        <f t="shared" si="32"/>
        <v/>
      </c>
    </row>
    <row r="2081" spans="1:3" x14ac:dyDescent="0.25">
      <c r="A2081" s="223">
        <v>0.91450989999999999</v>
      </c>
      <c r="B2081" s="458">
        <v>8.8061440000000008E-4</v>
      </c>
      <c r="C2081" t="str">
        <f t="shared" si="32"/>
        <v/>
      </c>
    </row>
    <row r="2082" spans="1:3" x14ac:dyDescent="0.25">
      <c r="A2082" s="223">
        <v>1.2854102000000001</v>
      </c>
      <c r="B2082" s="458">
        <v>3.9464959999999999E-3</v>
      </c>
      <c r="C2082" t="str">
        <f t="shared" si="32"/>
        <v/>
      </c>
    </row>
    <row r="2083" spans="1:3" x14ac:dyDescent="0.25">
      <c r="A2083" s="223">
        <v>1.2854102000000001</v>
      </c>
      <c r="B2083" s="458">
        <v>7.0428160000000004E-3</v>
      </c>
      <c r="C2083" t="str">
        <f t="shared" si="32"/>
        <v/>
      </c>
    </row>
    <row r="2084" spans="1:3" x14ac:dyDescent="0.25">
      <c r="A2084" s="223">
        <v>1.0617375</v>
      </c>
      <c r="B2084" s="458">
        <v>8.1448960000000004E-3</v>
      </c>
      <c r="C2084" t="str">
        <f t="shared" si="32"/>
        <v/>
      </c>
    </row>
    <row r="2085" spans="1:3" x14ac:dyDescent="0.25">
      <c r="A2085" s="223">
        <v>1.0617375</v>
      </c>
      <c r="B2085" s="458">
        <v>1.616384E-3</v>
      </c>
      <c r="C2085" t="str">
        <f t="shared" si="32"/>
        <v/>
      </c>
    </row>
    <row r="2086" spans="1:3" x14ac:dyDescent="0.25">
      <c r="A2086" s="223">
        <v>0.85222130000000007</v>
      </c>
      <c r="B2086" s="458">
        <v>1.1335679999999999E-3</v>
      </c>
      <c r="C2086" t="str">
        <f t="shared" si="32"/>
        <v/>
      </c>
    </row>
    <row r="2087" spans="1:3" x14ac:dyDescent="0.25">
      <c r="A2087" s="223">
        <v>0.85222130000000007</v>
      </c>
      <c r="B2087" s="458">
        <v>2.4035840000000001E-4</v>
      </c>
      <c r="C2087" t="str">
        <f t="shared" si="32"/>
        <v/>
      </c>
    </row>
    <row r="2088" spans="1:3" x14ac:dyDescent="0.25">
      <c r="A2088" s="223">
        <v>1.1466765000000001</v>
      </c>
      <c r="B2088" s="458">
        <v>1.4169600000000001E-2</v>
      </c>
      <c r="C2088" t="str">
        <f t="shared" si="32"/>
        <v/>
      </c>
    </row>
    <row r="2089" spans="1:3" x14ac:dyDescent="0.25">
      <c r="A2089" s="223">
        <v>1.1466765000000001</v>
      </c>
      <c r="B2089" s="458">
        <v>1.1965439999999999E-2</v>
      </c>
      <c r="C2089" t="str">
        <f t="shared" si="32"/>
        <v/>
      </c>
    </row>
    <row r="2090" spans="1:3" x14ac:dyDescent="0.25">
      <c r="A2090" s="223">
        <v>1.0787253000000001</v>
      </c>
      <c r="B2090" s="458">
        <v>9.6458240000000008E-3</v>
      </c>
      <c r="C2090" t="str">
        <f t="shared" si="32"/>
        <v/>
      </c>
    </row>
    <row r="2091" spans="1:3" x14ac:dyDescent="0.25">
      <c r="A2091" s="223">
        <v>1.0787253000000001</v>
      </c>
      <c r="B2091" s="458">
        <v>9.8032640000000008E-3</v>
      </c>
      <c r="C2091" t="str">
        <f t="shared" si="32"/>
        <v/>
      </c>
    </row>
    <row r="2092" spans="1:3" x14ac:dyDescent="0.25">
      <c r="A2092" s="223">
        <v>0.89185950000000003</v>
      </c>
      <c r="B2092" s="458">
        <v>1.028608E-4</v>
      </c>
      <c r="C2092" t="str">
        <f t="shared" si="32"/>
        <v/>
      </c>
    </row>
    <row r="2093" spans="1:3" x14ac:dyDescent="0.25">
      <c r="A2093" s="223">
        <v>0.89185950000000003</v>
      </c>
      <c r="B2093" s="458">
        <v>9.1839999999999999E-4</v>
      </c>
      <c r="C2093" t="str">
        <f t="shared" si="32"/>
        <v/>
      </c>
    </row>
    <row r="2094" spans="1:3" x14ac:dyDescent="0.25">
      <c r="A2094" s="223">
        <v>0.77294490000000005</v>
      </c>
      <c r="B2094" s="458">
        <v>1.270016E-4</v>
      </c>
      <c r="C2094" t="str">
        <f t="shared" si="32"/>
        <v/>
      </c>
    </row>
    <row r="2095" spans="1:3" x14ac:dyDescent="0.25">
      <c r="A2095" s="223">
        <v>0.77294490000000005</v>
      </c>
      <c r="B2095" s="458">
        <v>7.2632320000000003E-4</v>
      </c>
      <c r="C2095" t="str">
        <f t="shared" si="32"/>
        <v/>
      </c>
    </row>
    <row r="2096" spans="1:3" x14ac:dyDescent="0.25">
      <c r="A2096" s="223">
        <v>0.28879260000000001</v>
      </c>
      <c r="B2096" s="458">
        <v>1.0118144000000001E-5</v>
      </c>
      <c r="C2096" t="str">
        <f t="shared" si="32"/>
        <v/>
      </c>
    </row>
    <row r="2097" spans="1:3" x14ac:dyDescent="0.25">
      <c r="A2097" s="223">
        <v>0.28879260000000001</v>
      </c>
      <c r="B2097" s="458">
        <v>8.7641599999999998E-5</v>
      </c>
      <c r="C2097" t="str">
        <f t="shared" si="32"/>
        <v/>
      </c>
    </row>
    <row r="2098" spans="1:3" x14ac:dyDescent="0.25">
      <c r="A2098" s="223">
        <v>0.481321</v>
      </c>
      <c r="B2098" s="458">
        <v>3.2852480000000002E-3</v>
      </c>
      <c r="C2098" t="str">
        <f t="shared" si="32"/>
        <v/>
      </c>
    </row>
    <row r="2099" spans="1:3" x14ac:dyDescent="0.25">
      <c r="A2099" s="223">
        <v>0.481321</v>
      </c>
      <c r="B2099" s="458">
        <v>1.8577919999999998E-3</v>
      </c>
      <c r="C2099" t="str">
        <f t="shared" si="32"/>
        <v/>
      </c>
    </row>
    <row r="2100" spans="1:3" x14ac:dyDescent="0.25">
      <c r="A2100" s="223">
        <v>0.481321</v>
      </c>
      <c r="B2100" s="458">
        <v>9.7402879999999999E-4</v>
      </c>
      <c r="C2100" t="str">
        <f t="shared" si="32"/>
        <v/>
      </c>
    </row>
    <row r="2101" spans="1:3" x14ac:dyDescent="0.25">
      <c r="A2101" s="223">
        <v>0.55493480000000006</v>
      </c>
      <c r="B2101" s="458">
        <v>1.060096E-4</v>
      </c>
      <c r="C2101" t="str">
        <f t="shared" si="32"/>
        <v/>
      </c>
    </row>
    <row r="2102" spans="1:3" x14ac:dyDescent="0.25">
      <c r="A2102" s="223">
        <v>0.55493480000000006</v>
      </c>
      <c r="B2102" s="458">
        <v>8.6592E-5</v>
      </c>
      <c r="C2102" t="str">
        <f t="shared" si="32"/>
        <v/>
      </c>
    </row>
    <row r="2103" spans="1:3" x14ac:dyDescent="0.25">
      <c r="A2103" s="223">
        <v>0.64836769999999999</v>
      </c>
      <c r="B2103" s="458">
        <v>1.081088E-3</v>
      </c>
      <c r="C2103" t="str">
        <f t="shared" si="32"/>
        <v/>
      </c>
    </row>
    <row r="2104" spans="1:3" x14ac:dyDescent="0.25">
      <c r="A2104" s="223">
        <v>0.64836769999999999</v>
      </c>
      <c r="B2104" s="458">
        <v>8.6067200000000004E-4</v>
      </c>
      <c r="C2104" t="str">
        <f t="shared" si="32"/>
        <v/>
      </c>
    </row>
    <row r="2105" spans="1:3" x14ac:dyDescent="0.25">
      <c r="A2105" s="223">
        <v>0.66252420000000001</v>
      </c>
      <c r="B2105" s="458">
        <v>4.1354239999999995E-4</v>
      </c>
      <c r="C2105" t="str">
        <f t="shared" si="32"/>
        <v/>
      </c>
    </row>
    <row r="2106" spans="1:3" x14ac:dyDescent="0.25">
      <c r="A2106" s="223">
        <v>0.66252420000000001</v>
      </c>
      <c r="B2106" s="458">
        <v>1.7948160000000001E-3</v>
      </c>
      <c r="C2106" t="str">
        <f t="shared" si="32"/>
        <v/>
      </c>
    </row>
    <row r="2107" spans="1:3" x14ac:dyDescent="0.25">
      <c r="A2107" s="223">
        <v>0.85222130000000007</v>
      </c>
      <c r="B2107" s="458">
        <v>7.8615040000000001E-3</v>
      </c>
      <c r="C2107" t="str">
        <f t="shared" si="32"/>
        <v/>
      </c>
    </row>
    <row r="2108" spans="1:3" x14ac:dyDescent="0.25">
      <c r="A2108" s="223">
        <v>0.85222130000000007</v>
      </c>
      <c r="B2108" s="458">
        <v>2.0362240000000001E-3</v>
      </c>
      <c r="C2108" t="str">
        <f t="shared" si="32"/>
        <v/>
      </c>
    </row>
    <row r="2109" spans="1:3" x14ac:dyDescent="0.25">
      <c r="A2109" s="223">
        <v>1.1721581999999999</v>
      </c>
      <c r="B2109" s="458">
        <v>2.1201920000000003E-3</v>
      </c>
      <c r="C2109" t="str">
        <f t="shared" si="32"/>
        <v/>
      </c>
    </row>
    <row r="2110" spans="1:3" x14ac:dyDescent="0.25">
      <c r="A2110" s="223">
        <v>1.1721581999999999</v>
      </c>
      <c r="B2110" s="458">
        <v>1.4484480000000002E-3</v>
      </c>
      <c r="C2110" t="str">
        <f t="shared" si="32"/>
        <v/>
      </c>
    </row>
    <row r="2111" spans="1:3" x14ac:dyDescent="0.25">
      <c r="A2111" s="223">
        <v>1.1127008999999999</v>
      </c>
      <c r="B2111" s="458">
        <v>2.1096960000000003E-3</v>
      </c>
      <c r="C2111" t="str">
        <f t="shared" si="32"/>
        <v/>
      </c>
    </row>
    <row r="2112" spans="1:3" x14ac:dyDescent="0.25">
      <c r="A2112" s="223">
        <v>1.1127008999999999</v>
      </c>
      <c r="B2112" s="458">
        <v>1.52192E-3</v>
      </c>
      <c r="C2112" t="str">
        <f t="shared" si="32"/>
        <v/>
      </c>
    </row>
    <row r="2113" spans="1:3" x14ac:dyDescent="0.25">
      <c r="A2113" s="223">
        <v>1.5940219</v>
      </c>
      <c r="B2113" s="458">
        <v>1.1545600000000001E-2</v>
      </c>
      <c r="C2113" t="str">
        <f t="shared" si="32"/>
        <v/>
      </c>
    </row>
    <row r="2114" spans="1:3" x14ac:dyDescent="0.25">
      <c r="A2114" s="223">
        <v>1.5940219</v>
      </c>
      <c r="B2114" s="458">
        <v>5.4054400000000001E-3</v>
      </c>
      <c r="C2114" t="str">
        <f t="shared" si="32"/>
        <v/>
      </c>
    </row>
    <row r="2115" spans="1:3" x14ac:dyDescent="0.25">
      <c r="A2115" s="223">
        <v>2.1121498000000001</v>
      </c>
      <c r="B2115" s="458">
        <v>1.0370048E-2</v>
      </c>
      <c r="C2115" t="str">
        <f t="shared" si="32"/>
        <v/>
      </c>
    </row>
    <row r="2116" spans="1:3" x14ac:dyDescent="0.25">
      <c r="A2116" s="223">
        <v>2.1121498000000001</v>
      </c>
      <c r="B2116" s="458">
        <v>9.572352000000001E-3</v>
      </c>
      <c r="C2116" t="str">
        <f t="shared" si="32"/>
        <v/>
      </c>
    </row>
    <row r="2117" spans="1:3" x14ac:dyDescent="0.25">
      <c r="A2117" s="223">
        <v>2.8199747999999998</v>
      </c>
      <c r="B2117" s="458">
        <v>6.8224000000000007E-2</v>
      </c>
      <c r="C2117" t="str">
        <f t="shared" ref="C2117:C2180" si="33">IF(B2117=0,"XXXXXXXX","")</f>
        <v/>
      </c>
    </row>
    <row r="2118" spans="1:3" x14ac:dyDescent="0.25">
      <c r="A2118" s="223">
        <v>2.8199747999999998</v>
      </c>
      <c r="B2118" s="458">
        <v>5.4999040000000006E-2</v>
      </c>
      <c r="C2118" t="str">
        <f t="shared" si="33"/>
        <v/>
      </c>
    </row>
    <row r="2119" spans="1:3" x14ac:dyDescent="0.25">
      <c r="A2119" s="223">
        <v>2.5934708</v>
      </c>
      <c r="B2119" s="458">
        <v>4.6392320000000001E-2</v>
      </c>
      <c r="C2119" t="str">
        <f t="shared" si="33"/>
        <v/>
      </c>
    </row>
    <row r="2120" spans="1:3" x14ac:dyDescent="0.25">
      <c r="A2120" s="223">
        <v>2.5934708</v>
      </c>
      <c r="B2120" s="458">
        <v>4.2928639999999997E-2</v>
      </c>
      <c r="C2120" t="str">
        <f t="shared" si="33"/>
        <v/>
      </c>
    </row>
    <row r="2121" spans="1:3" x14ac:dyDescent="0.25">
      <c r="A2121" s="223">
        <v>2.6217837999999998</v>
      </c>
      <c r="B2121" s="458">
        <v>2.4875520000000002E-2</v>
      </c>
      <c r="C2121" t="str">
        <f t="shared" si="33"/>
        <v/>
      </c>
    </row>
    <row r="2122" spans="1:3" x14ac:dyDescent="0.25">
      <c r="A2122" s="223">
        <v>2.6217837999999998</v>
      </c>
      <c r="B2122" s="458">
        <v>1.8053119999999999E-2</v>
      </c>
      <c r="C2122" t="str">
        <f t="shared" si="33"/>
        <v/>
      </c>
    </row>
    <row r="2123" spans="1:3" x14ac:dyDescent="0.25">
      <c r="A2123" s="223">
        <v>2.4179302000000003</v>
      </c>
      <c r="B2123" s="458">
        <v>2.7919360000000001E-2</v>
      </c>
      <c r="C2123" t="str">
        <f t="shared" si="33"/>
        <v/>
      </c>
    </row>
    <row r="2124" spans="1:3" x14ac:dyDescent="0.25">
      <c r="A2124" s="223">
        <v>2.4179302000000003</v>
      </c>
      <c r="B2124" s="458">
        <v>5.5733759999999993E-2</v>
      </c>
      <c r="C2124" t="str">
        <f t="shared" si="33"/>
        <v/>
      </c>
    </row>
    <row r="2125" spans="1:3" x14ac:dyDescent="0.25">
      <c r="A2125" s="223">
        <v>5.2095920000000007</v>
      </c>
      <c r="B2125" s="458">
        <v>0.27394560000000001</v>
      </c>
      <c r="C2125" t="str">
        <f t="shared" si="33"/>
        <v/>
      </c>
    </row>
    <row r="2126" spans="1:3" x14ac:dyDescent="0.25">
      <c r="A2126" s="223">
        <v>5.2095920000000007</v>
      </c>
      <c r="B2126" s="458">
        <v>0.33692160000000004</v>
      </c>
      <c r="C2126" t="str">
        <f t="shared" si="33"/>
        <v/>
      </c>
    </row>
    <row r="2127" spans="1:3" x14ac:dyDescent="0.25">
      <c r="A2127" s="223">
        <v>8.1258309999999998</v>
      </c>
      <c r="B2127" s="458">
        <v>0.51850240000000003</v>
      </c>
      <c r="C2127" t="str">
        <f t="shared" si="33"/>
        <v/>
      </c>
    </row>
    <row r="2128" spans="1:3" x14ac:dyDescent="0.25">
      <c r="A2128" s="223">
        <v>8.1258309999999998</v>
      </c>
      <c r="B2128" s="458">
        <v>0.63185920000000007</v>
      </c>
      <c r="C2128" t="str">
        <f t="shared" si="33"/>
        <v/>
      </c>
    </row>
    <row r="2129" spans="1:3" x14ac:dyDescent="0.25">
      <c r="A2129" s="223">
        <v>8.1258309999999998</v>
      </c>
      <c r="B2129" s="458">
        <v>0.1112576</v>
      </c>
      <c r="C2129" t="str">
        <f t="shared" si="33"/>
        <v/>
      </c>
    </row>
    <row r="2130" spans="1:3" x14ac:dyDescent="0.25">
      <c r="A2130" s="223">
        <v>5.1529660000000002</v>
      </c>
      <c r="B2130" s="458">
        <v>8.732672000000001E-2</v>
      </c>
      <c r="C2130" t="str">
        <f t="shared" si="33"/>
        <v/>
      </c>
    </row>
    <row r="2131" spans="1:3" x14ac:dyDescent="0.25">
      <c r="A2131" s="223">
        <v>5.1529660000000002</v>
      </c>
      <c r="B2131" s="458">
        <v>5.5418880000000004E-2</v>
      </c>
      <c r="C2131" t="str">
        <f t="shared" si="33"/>
        <v/>
      </c>
    </row>
    <row r="2132" spans="1:3" x14ac:dyDescent="0.25">
      <c r="A2132" s="223">
        <v>6.8234330000000005</v>
      </c>
      <c r="B2132" s="458">
        <v>0.45342720000000003</v>
      </c>
      <c r="C2132" t="str">
        <f t="shared" si="33"/>
        <v/>
      </c>
    </row>
    <row r="2133" spans="1:3" x14ac:dyDescent="0.25">
      <c r="A2133" s="223">
        <v>6.8234330000000005</v>
      </c>
      <c r="B2133" s="458">
        <v>0.33902079999999996</v>
      </c>
      <c r="C2133" t="str">
        <f t="shared" si="33"/>
        <v/>
      </c>
    </row>
    <row r="2134" spans="1:3" x14ac:dyDescent="0.25">
      <c r="A2134" s="223">
        <v>7.3613800000000005</v>
      </c>
      <c r="B2134" s="458">
        <v>5.9302400000000005E-2</v>
      </c>
      <c r="C2134" t="str">
        <f t="shared" si="33"/>
        <v/>
      </c>
    </row>
    <row r="2135" spans="1:3" x14ac:dyDescent="0.25">
      <c r="A2135" s="223">
        <v>7.3613800000000005</v>
      </c>
      <c r="B2135" s="458">
        <v>0.1175552</v>
      </c>
      <c r="C2135" t="str">
        <f t="shared" si="33"/>
        <v/>
      </c>
    </row>
    <row r="2136" spans="1:3" x14ac:dyDescent="0.25">
      <c r="A2136" s="223">
        <v>5.9174170000000004</v>
      </c>
      <c r="B2136" s="458">
        <v>0.23196160000000002</v>
      </c>
      <c r="C2136" t="str">
        <f t="shared" si="33"/>
        <v/>
      </c>
    </row>
    <row r="2137" spans="1:3" x14ac:dyDescent="0.25">
      <c r="A2137" s="223">
        <v>5.9174170000000004</v>
      </c>
      <c r="B2137" s="458">
        <v>0.4807168</v>
      </c>
      <c r="C2137" t="str">
        <f t="shared" si="33"/>
        <v/>
      </c>
    </row>
    <row r="2138" spans="1:3" x14ac:dyDescent="0.25">
      <c r="A2138" s="223">
        <v>5.9174170000000004</v>
      </c>
      <c r="B2138" s="458">
        <v>0.62031360000000002</v>
      </c>
      <c r="C2138" t="str">
        <f t="shared" si="33"/>
        <v/>
      </c>
    </row>
    <row r="2139" spans="1:3" x14ac:dyDescent="0.25">
      <c r="A2139" s="223">
        <v>6.3137990000000004</v>
      </c>
      <c r="B2139" s="458">
        <v>0.23406080000000001</v>
      </c>
      <c r="C2139" t="str">
        <f t="shared" si="33"/>
        <v/>
      </c>
    </row>
    <row r="2140" spans="1:3" x14ac:dyDescent="0.25">
      <c r="A2140" s="223">
        <v>6.3137990000000004</v>
      </c>
      <c r="B2140" s="458">
        <v>0.42823679999999997</v>
      </c>
      <c r="C2140" t="str">
        <f t="shared" si="33"/>
        <v/>
      </c>
    </row>
    <row r="2141" spans="1:3" x14ac:dyDescent="0.25">
      <c r="A2141" s="223">
        <v>7.304754</v>
      </c>
      <c r="B2141" s="458">
        <v>0.44293120000000002</v>
      </c>
      <c r="C2141" t="str">
        <f t="shared" si="33"/>
        <v/>
      </c>
    </row>
    <row r="2142" spans="1:3" x14ac:dyDescent="0.25">
      <c r="A2142" s="223">
        <v>7.304754</v>
      </c>
      <c r="B2142" s="458">
        <v>0.29913600000000001</v>
      </c>
      <c r="C2142" t="str">
        <f t="shared" si="33"/>
        <v/>
      </c>
    </row>
    <row r="2143" spans="1:3" x14ac:dyDescent="0.25">
      <c r="A2143" s="223">
        <v>9.4848549999999996</v>
      </c>
      <c r="B2143" s="458">
        <v>1.7423360000000001E-3</v>
      </c>
      <c r="C2143" t="str">
        <f t="shared" si="33"/>
        <v/>
      </c>
    </row>
    <row r="2144" spans="1:3" x14ac:dyDescent="0.25">
      <c r="A2144" s="223">
        <v>16.364914000000002</v>
      </c>
      <c r="B2144" s="458">
        <v>2.1306879999999997E-2</v>
      </c>
      <c r="C2144" t="str">
        <f t="shared" si="33"/>
        <v/>
      </c>
    </row>
    <row r="2145" spans="1:3" x14ac:dyDescent="0.25">
      <c r="A2145" s="223">
        <v>22.848591000000003</v>
      </c>
      <c r="B2145" s="458">
        <v>3.505664E-2</v>
      </c>
      <c r="C2145" t="str">
        <f t="shared" si="33"/>
        <v/>
      </c>
    </row>
    <row r="2146" spans="1:3" x14ac:dyDescent="0.25">
      <c r="A2146" s="223">
        <v>17.412495</v>
      </c>
      <c r="B2146" s="458">
        <v>3.5476480000000005E-3</v>
      </c>
      <c r="C2146" t="str">
        <f t="shared" si="33"/>
        <v/>
      </c>
    </row>
    <row r="2147" spans="1:3" x14ac:dyDescent="0.25">
      <c r="A2147" s="223">
        <v>5.181279</v>
      </c>
      <c r="B2147" s="458">
        <v>3.7995520000000003E-4</v>
      </c>
      <c r="C2147" t="str">
        <f t="shared" si="33"/>
        <v/>
      </c>
    </row>
    <row r="2148" spans="1:3" x14ac:dyDescent="0.25">
      <c r="A2148" s="223">
        <v>9.0318470000000008</v>
      </c>
      <c r="B2148" s="458">
        <v>1.081088E-3</v>
      </c>
      <c r="C2148" t="str">
        <f t="shared" si="33"/>
        <v/>
      </c>
    </row>
    <row r="2149" spans="1:3" x14ac:dyDescent="0.25">
      <c r="A2149" s="223">
        <v>8.5505259999999996</v>
      </c>
      <c r="B2149" s="458">
        <v>1.5639040000000001E-4</v>
      </c>
      <c r="C2149" t="str">
        <f t="shared" si="33"/>
        <v/>
      </c>
    </row>
    <row r="2150" spans="1:3" x14ac:dyDescent="0.25">
      <c r="A2150" s="223">
        <v>6.370425</v>
      </c>
      <c r="B2150" s="458">
        <v>9.5618560000000001E-4</v>
      </c>
      <c r="C2150" t="str">
        <f t="shared" si="33"/>
        <v/>
      </c>
    </row>
    <row r="2151" spans="1:3" x14ac:dyDescent="0.25">
      <c r="A2151" s="223">
        <v>4.1336979999999999</v>
      </c>
      <c r="B2151" s="458">
        <v>2.4560640000000002E-4</v>
      </c>
      <c r="C2151" t="str">
        <f t="shared" si="33"/>
        <v/>
      </c>
    </row>
    <row r="2152" spans="1:3" x14ac:dyDescent="0.25">
      <c r="A2152" s="223">
        <v>4.8698360000000003</v>
      </c>
      <c r="B2152" s="458">
        <v>2.3511040000000001E-3</v>
      </c>
      <c r="C2152" t="str">
        <f t="shared" si="33"/>
        <v/>
      </c>
    </row>
    <row r="2153" spans="1:3" x14ac:dyDescent="0.25">
      <c r="A2153" s="223">
        <v>15.968532000000002</v>
      </c>
      <c r="B2153" s="458">
        <v>3.1173119999999997E-3</v>
      </c>
      <c r="C2153" t="str">
        <f t="shared" si="33"/>
        <v/>
      </c>
    </row>
    <row r="2154" spans="1:3" x14ac:dyDescent="0.25">
      <c r="A2154" s="223">
        <v>13.986622000000001</v>
      </c>
      <c r="B2154" s="458">
        <v>2.3825920000000002E-3</v>
      </c>
      <c r="C2154" t="str">
        <f t="shared" si="33"/>
        <v/>
      </c>
    </row>
    <row r="2155" spans="1:3" x14ac:dyDescent="0.25">
      <c r="A2155" s="223">
        <v>22.622087000000001</v>
      </c>
      <c r="B2155" s="458">
        <v>3.6211199999999998E-3</v>
      </c>
      <c r="C2155" t="str">
        <f t="shared" si="33"/>
        <v/>
      </c>
    </row>
    <row r="2156" spans="1:3" x14ac:dyDescent="0.25">
      <c r="A2156" s="223">
        <v>11.155322</v>
      </c>
      <c r="B2156" s="458">
        <v>6.9063679999999995E-4</v>
      </c>
      <c r="C2156" t="str">
        <f t="shared" si="33"/>
        <v/>
      </c>
    </row>
    <row r="2157" spans="1:3" x14ac:dyDescent="0.25">
      <c r="A2157" s="223">
        <v>11.325200000000001</v>
      </c>
      <c r="B2157" s="458">
        <v>4.2193920000000006E-3</v>
      </c>
      <c r="C2157" t="str">
        <f t="shared" si="33"/>
        <v/>
      </c>
    </row>
    <row r="2158" spans="1:3" x14ac:dyDescent="0.25">
      <c r="A2158" s="223">
        <v>13.561927000000001</v>
      </c>
      <c r="B2158" s="458">
        <v>3.5896320000000003E-4</v>
      </c>
      <c r="C2158" t="str">
        <f t="shared" si="33"/>
        <v/>
      </c>
    </row>
    <row r="2159" spans="1:3" x14ac:dyDescent="0.25">
      <c r="A2159" s="223">
        <v>3.2843080000000002</v>
      </c>
      <c r="B2159" s="458">
        <v>5.4264320000000003E-5</v>
      </c>
      <c r="C2159" t="str">
        <f t="shared" si="33"/>
        <v/>
      </c>
    </row>
    <row r="2160" spans="1:3" x14ac:dyDescent="0.25">
      <c r="A2160" s="223">
        <v>3.7373160000000003</v>
      </c>
      <c r="B2160" s="458">
        <v>5.5313919999999998E-4</v>
      </c>
      <c r="C2160" t="str">
        <f t="shared" si="33"/>
        <v/>
      </c>
    </row>
    <row r="2161" spans="1:3" x14ac:dyDescent="0.25">
      <c r="A2161" s="223">
        <v>4.7565840000000001</v>
      </c>
      <c r="B2161" s="458">
        <v>2.2671360000000001E-4</v>
      </c>
      <c r="C2161" t="str">
        <f t="shared" si="33"/>
        <v/>
      </c>
    </row>
    <row r="2162" spans="1:3" x14ac:dyDescent="0.25">
      <c r="A2162" s="223">
        <v>14.411317</v>
      </c>
      <c r="B2162" s="458">
        <v>1.8158079999999999E-3</v>
      </c>
      <c r="C2162" t="str">
        <f t="shared" si="33"/>
        <v/>
      </c>
    </row>
    <row r="2163" spans="1:3" x14ac:dyDescent="0.25">
      <c r="A2163" s="223">
        <v>9.8246110000000009</v>
      </c>
      <c r="B2163" s="458">
        <v>3.4216959999999996E-4</v>
      </c>
      <c r="C2163" t="str">
        <f t="shared" si="33"/>
        <v/>
      </c>
    </row>
    <row r="2164" spans="1:3" x14ac:dyDescent="0.25">
      <c r="A2164" s="223">
        <v>4.7565840000000001</v>
      </c>
      <c r="B2164" s="458">
        <v>6.2975999999999993E-4</v>
      </c>
      <c r="C2164" t="str">
        <f t="shared" si="33"/>
        <v/>
      </c>
    </row>
    <row r="2165" spans="1:3" x14ac:dyDescent="0.25">
      <c r="A2165" s="223">
        <v>11.523391</v>
      </c>
      <c r="B2165" s="458">
        <v>7.9664639999999995E-4</v>
      </c>
      <c r="C2165" t="str">
        <f t="shared" si="33"/>
        <v/>
      </c>
    </row>
    <row r="2166" spans="1:3" x14ac:dyDescent="0.25">
      <c r="A2166" s="223">
        <v>12.939041000000001</v>
      </c>
      <c r="B2166" s="458">
        <v>1.8158079999999999E-3</v>
      </c>
      <c r="C2166" t="str">
        <f t="shared" si="33"/>
        <v/>
      </c>
    </row>
    <row r="2167" spans="1:3" x14ac:dyDescent="0.25">
      <c r="A2167" s="223">
        <v>5.2379050000000005</v>
      </c>
      <c r="B2167" s="458">
        <v>1.395968E-4</v>
      </c>
      <c r="C2167" t="str">
        <f t="shared" si="33"/>
        <v/>
      </c>
    </row>
    <row r="2168" spans="1:3" x14ac:dyDescent="0.25">
      <c r="A2168" s="223">
        <v>5.3794700000000004</v>
      </c>
      <c r="B2168" s="458">
        <v>2.1306879999999999E-4</v>
      </c>
      <c r="C2168" t="str">
        <f t="shared" si="33"/>
        <v/>
      </c>
    </row>
    <row r="2169" spans="1:3" x14ac:dyDescent="0.25">
      <c r="A2169" s="223">
        <v>24.887127</v>
      </c>
      <c r="B2169" s="458">
        <v>2.0782080000000001E-2</v>
      </c>
      <c r="C2169" t="str">
        <f t="shared" si="33"/>
        <v/>
      </c>
    </row>
    <row r="2170" spans="1:3" x14ac:dyDescent="0.25">
      <c r="A2170" s="223">
        <v>25.991334000000002</v>
      </c>
      <c r="B2170" s="458">
        <v>3.3587200000000005E-2</v>
      </c>
      <c r="C2170" t="str">
        <f t="shared" si="33"/>
        <v/>
      </c>
    </row>
    <row r="2171" spans="1:3" x14ac:dyDescent="0.25">
      <c r="A2171" s="223">
        <v>32.559950000000001</v>
      </c>
      <c r="B2171" s="458">
        <v>0.13329920000000001</v>
      </c>
      <c r="C2171" t="str">
        <f t="shared" si="33"/>
        <v/>
      </c>
    </row>
    <row r="2172" spans="1:3" x14ac:dyDescent="0.25">
      <c r="A2172" s="223">
        <v>13.193858000000001</v>
      </c>
      <c r="B2172" s="458">
        <v>1.8158079999999999E-3</v>
      </c>
      <c r="C2172" t="str">
        <f t="shared" si="33"/>
        <v/>
      </c>
    </row>
    <row r="2173" spans="1:3" x14ac:dyDescent="0.25">
      <c r="A2173" s="223">
        <v>7.5878840000000007</v>
      </c>
      <c r="B2173" s="458">
        <v>1.5848960000000001E-4</v>
      </c>
      <c r="C2173" t="str">
        <f t="shared" si="33"/>
        <v/>
      </c>
    </row>
    <row r="2174" spans="1:3" x14ac:dyDescent="0.25">
      <c r="A2174" s="223">
        <v>2.7010602000000001</v>
      </c>
      <c r="B2174" s="458">
        <v>2.1306880000000003E-5</v>
      </c>
      <c r="C2174" t="str">
        <f t="shared" si="33"/>
        <v/>
      </c>
    </row>
    <row r="2175" spans="1:3" x14ac:dyDescent="0.25">
      <c r="A2175" s="223">
        <v>9.9095500000000012</v>
      </c>
      <c r="B2175" s="458">
        <v>1.322496E-3</v>
      </c>
      <c r="C2175" t="str">
        <f t="shared" si="33"/>
        <v/>
      </c>
    </row>
    <row r="2176" spans="1:3" x14ac:dyDescent="0.25">
      <c r="A2176" s="223">
        <v>9.9095500000000012</v>
      </c>
      <c r="B2176" s="458">
        <v>4.2298880000000002E-3</v>
      </c>
      <c r="C2176" t="str">
        <f t="shared" si="33"/>
        <v/>
      </c>
    </row>
    <row r="2177" spans="1:3" x14ac:dyDescent="0.25">
      <c r="A2177" s="223">
        <v>9.5131680000000003</v>
      </c>
      <c r="B2177" s="458">
        <v>7.7460480000000002E-3</v>
      </c>
      <c r="C2177" t="str">
        <f t="shared" si="33"/>
        <v/>
      </c>
    </row>
    <row r="2178" spans="1:3" x14ac:dyDescent="0.25">
      <c r="A2178" s="223">
        <v>9.5131680000000003</v>
      </c>
      <c r="B2178" s="458">
        <v>1.36448E-2</v>
      </c>
      <c r="C2178" t="str">
        <f t="shared" si="33"/>
        <v/>
      </c>
    </row>
    <row r="2179" spans="1:3" x14ac:dyDescent="0.25">
      <c r="A2179" s="223">
        <v>5.9174170000000004</v>
      </c>
      <c r="B2179" s="458">
        <v>9.729792000000001E-5</v>
      </c>
      <c r="C2179" t="str">
        <f t="shared" si="33"/>
        <v/>
      </c>
    </row>
    <row r="2180" spans="1:3" x14ac:dyDescent="0.25">
      <c r="A2180" s="223">
        <v>5.9174170000000004</v>
      </c>
      <c r="B2180" s="458">
        <v>5.9827200000000002E-5</v>
      </c>
      <c r="C2180" t="str">
        <f t="shared" si="33"/>
        <v/>
      </c>
    </row>
    <row r="2181" spans="1:3" x14ac:dyDescent="0.25">
      <c r="A2181" s="223">
        <v>7.5878840000000007</v>
      </c>
      <c r="B2181" s="458">
        <v>1.868288E-4</v>
      </c>
      <c r="C2181" t="str">
        <f t="shared" ref="C2181:C2244" si="34">IF(B2181=0,"XXXXXXXX","")</f>
        <v/>
      </c>
    </row>
    <row r="2182" spans="1:3" x14ac:dyDescent="0.25">
      <c r="A2182" s="223">
        <v>7.6728230000000002</v>
      </c>
      <c r="B2182" s="458">
        <v>2.30912E-4</v>
      </c>
      <c r="C2182" t="str">
        <f t="shared" si="34"/>
        <v/>
      </c>
    </row>
    <row r="2183" spans="1:3" x14ac:dyDescent="0.25">
      <c r="A2183" s="223">
        <v>6.6535549999999999</v>
      </c>
      <c r="B2183" s="458">
        <v>9.2049920000000004E-4</v>
      </c>
      <c r="C2183" t="str">
        <f t="shared" si="34"/>
        <v/>
      </c>
    </row>
    <row r="2184" spans="1:3" x14ac:dyDescent="0.25">
      <c r="A2184" s="223">
        <v>6.6535549999999999</v>
      </c>
      <c r="B2184" s="458">
        <v>2.8968959999999997E-4</v>
      </c>
      <c r="C2184" t="str">
        <f t="shared" si="34"/>
        <v/>
      </c>
    </row>
    <row r="2185" spans="1:3" x14ac:dyDescent="0.25">
      <c r="A2185" s="223">
        <v>14.807699000000001</v>
      </c>
      <c r="B2185" s="458">
        <v>4.4712959999999996E-3</v>
      </c>
      <c r="C2185" t="str">
        <f t="shared" si="34"/>
        <v/>
      </c>
    </row>
    <row r="2186" spans="1:3" x14ac:dyDescent="0.25">
      <c r="A2186" s="223">
        <v>14.467943</v>
      </c>
      <c r="B2186" s="458">
        <v>4.6917119999999998E-3</v>
      </c>
      <c r="C2186" t="str">
        <f t="shared" si="34"/>
        <v/>
      </c>
    </row>
    <row r="2187" spans="1:3" x14ac:dyDescent="0.25">
      <c r="A2187" s="223">
        <v>2.2027513999999999</v>
      </c>
      <c r="B2187" s="458">
        <v>9.5828479999999998E-5</v>
      </c>
      <c r="C2187" t="str">
        <f t="shared" si="34"/>
        <v/>
      </c>
    </row>
    <row r="2188" spans="1:3" x14ac:dyDescent="0.25">
      <c r="A2188" s="223">
        <v>2.2027513999999999</v>
      </c>
      <c r="B2188" s="458">
        <v>1.658368E-5</v>
      </c>
      <c r="C2188" t="str">
        <f t="shared" si="34"/>
        <v/>
      </c>
    </row>
    <row r="2189" spans="1:3" x14ac:dyDescent="0.25">
      <c r="A2189" s="223">
        <v>3.057804</v>
      </c>
      <c r="B2189" s="458">
        <v>2.3615999999999999E-5</v>
      </c>
      <c r="C2189" t="str">
        <f t="shared" si="34"/>
        <v/>
      </c>
    </row>
    <row r="2190" spans="1:3" x14ac:dyDescent="0.25">
      <c r="A2190" s="223">
        <v>3.057804</v>
      </c>
      <c r="B2190" s="458">
        <v>1.647872E-5</v>
      </c>
      <c r="C2190" t="str">
        <f t="shared" si="34"/>
        <v/>
      </c>
    </row>
    <row r="2191" spans="1:3" x14ac:dyDescent="0.25">
      <c r="A2191" s="223">
        <v>0.59740430000000011</v>
      </c>
      <c r="B2191" s="458">
        <v>7.5991040000000008E-6</v>
      </c>
      <c r="C2191" t="str">
        <f t="shared" si="34"/>
        <v/>
      </c>
    </row>
    <row r="2192" spans="1:3" x14ac:dyDescent="0.25">
      <c r="A2192" s="223">
        <v>9.7679850000000012</v>
      </c>
      <c r="B2192" s="458">
        <v>2.8444160000000002E-3</v>
      </c>
      <c r="C2192" t="str">
        <f t="shared" si="34"/>
        <v/>
      </c>
    </row>
    <row r="2193" spans="1:3" x14ac:dyDescent="0.25">
      <c r="A2193" s="223">
        <v>9.7679850000000012</v>
      </c>
      <c r="B2193" s="458">
        <v>1.0013184E-4</v>
      </c>
      <c r="C2193" t="str">
        <f t="shared" si="34"/>
        <v/>
      </c>
    </row>
    <row r="2194" spans="1:3" x14ac:dyDescent="0.25">
      <c r="A2194" s="223">
        <v>9.5131680000000003</v>
      </c>
      <c r="B2194" s="458">
        <v>3.8415360000000002E-4</v>
      </c>
      <c r="C2194" t="str">
        <f t="shared" si="34"/>
        <v/>
      </c>
    </row>
    <row r="2195" spans="1:3" x14ac:dyDescent="0.25">
      <c r="A2195" s="223">
        <v>9.5131680000000003</v>
      </c>
      <c r="B2195" s="458">
        <v>1.973248E-4</v>
      </c>
      <c r="C2195" t="str">
        <f t="shared" si="34"/>
        <v/>
      </c>
    </row>
    <row r="2196" spans="1:3" x14ac:dyDescent="0.25">
      <c r="A2196" s="223">
        <v>10.051115000000001</v>
      </c>
      <c r="B2196" s="458">
        <v>1.7633280000000002E-3</v>
      </c>
      <c r="C2196" t="str">
        <f t="shared" si="34"/>
        <v/>
      </c>
    </row>
    <row r="2197" spans="1:3" x14ac:dyDescent="0.25">
      <c r="A2197" s="223">
        <v>9.9095500000000012</v>
      </c>
      <c r="B2197" s="458">
        <v>9.3099519999999993E-5</v>
      </c>
      <c r="C2197" t="str">
        <f t="shared" si="34"/>
        <v/>
      </c>
    </row>
    <row r="2198" spans="1:3" x14ac:dyDescent="0.25">
      <c r="A2198" s="223">
        <v>11.183635000000001</v>
      </c>
      <c r="B2198" s="458">
        <v>3.0753280000000001E-4</v>
      </c>
      <c r="C2198" t="str">
        <f t="shared" si="34"/>
        <v/>
      </c>
    </row>
    <row r="2199" spans="1:3" x14ac:dyDescent="0.25">
      <c r="A2199" s="223">
        <v>11.013757</v>
      </c>
      <c r="B2199" s="458">
        <v>4.61824E-4</v>
      </c>
      <c r="C2199" t="str">
        <f t="shared" si="34"/>
        <v/>
      </c>
    </row>
    <row r="2200" spans="1:3" x14ac:dyDescent="0.25">
      <c r="A2200" s="223">
        <v>10.730627</v>
      </c>
      <c r="B2200" s="458">
        <v>4.2298880000000002E-3</v>
      </c>
      <c r="C2200" t="str">
        <f t="shared" si="34"/>
        <v/>
      </c>
    </row>
    <row r="2201" spans="1:3" x14ac:dyDescent="0.25">
      <c r="A2201" s="223">
        <v>10.730627</v>
      </c>
      <c r="B2201" s="458">
        <v>3.4636800000000002E-3</v>
      </c>
      <c r="C2201" t="str">
        <f t="shared" si="34"/>
        <v/>
      </c>
    </row>
    <row r="2202" spans="1:3" x14ac:dyDescent="0.25">
      <c r="A2202" s="223">
        <v>7.8427010000000008</v>
      </c>
      <c r="B2202" s="458">
        <v>1.144064E-4</v>
      </c>
      <c r="C2202" t="str">
        <f t="shared" si="34"/>
        <v/>
      </c>
    </row>
    <row r="2203" spans="1:3" x14ac:dyDescent="0.25">
      <c r="A2203" s="223">
        <v>7.8427010000000008</v>
      </c>
      <c r="B2203" s="458">
        <v>8.0084479999999994E-5</v>
      </c>
      <c r="C2203" t="str">
        <f t="shared" si="34"/>
        <v/>
      </c>
    </row>
    <row r="2204" spans="1:3" x14ac:dyDescent="0.25">
      <c r="A2204" s="223">
        <v>14.637821000000001</v>
      </c>
      <c r="B2204" s="458">
        <v>5.1325440000000002E-3</v>
      </c>
      <c r="C2204" t="str">
        <f t="shared" si="34"/>
        <v/>
      </c>
    </row>
    <row r="2205" spans="1:3" x14ac:dyDescent="0.25">
      <c r="A2205" s="223">
        <v>14.298065000000001</v>
      </c>
      <c r="B2205" s="458">
        <v>1.62688E-3</v>
      </c>
      <c r="C2205" t="str">
        <f t="shared" si="34"/>
        <v/>
      </c>
    </row>
    <row r="2206" spans="1:3" x14ac:dyDescent="0.25">
      <c r="A2206" s="223">
        <v>9.1167860000000012</v>
      </c>
      <c r="B2206" s="458">
        <v>6.255616E-5</v>
      </c>
      <c r="C2206" t="str">
        <f t="shared" si="34"/>
        <v/>
      </c>
    </row>
    <row r="2207" spans="1:3" x14ac:dyDescent="0.25">
      <c r="A2207" s="223">
        <v>9.1167860000000012</v>
      </c>
      <c r="B2207" s="458">
        <v>8.7326720000000001E-4</v>
      </c>
      <c r="C2207" t="str">
        <f t="shared" si="34"/>
        <v/>
      </c>
    </row>
    <row r="2208" spans="1:3" x14ac:dyDescent="0.25">
      <c r="A2208" s="223">
        <v>7.1915020000000007</v>
      </c>
      <c r="B2208" s="458">
        <v>8.8481280000000001E-5</v>
      </c>
      <c r="C2208" t="str">
        <f t="shared" si="34"/>
        <v/>
      </c>
    </row>
    <row r="2209" spans="1:3" x14ac:dyDescent="0.25">
      <c r="A2209" s="223">
        <v>7.1915020000000007</v>
      </c>
      <c r="B2209" s="458">
        <v>6.0561920000000002E-5</v>
      </c>
      <c r="C2209" t="str">
        <f t="shared" si="34"/>
        <v/>
      </c>
    </row>
    <row r="2210" spans="1:3" x14ac:dyDescent="0.25">
      <c r="A2210" s="223">
        <v>5.4077830000000002</v>
      </c>
      <c r="B2210" s="458">
        <v>5.3949439999999998E-4</v>
      </c>
      <c r="C2210" t="str">
        <f t="shared" si="34"/>
        <v/>
      </c>
    </row>
    <row r="2211" spans="1:3" x14ac:dyDescent="0.25">
      <c r="A2211" s="223">
        <v>5.4077830000000002</v>
      </c>
      <c r="B2211" s="458">
        <v>2.6659840000000001E-5</v>
      </c>
      <c r="C2211" t="str">
        <f t="shared" si="34"/>
        <v/>
      </c>
    </row>
    <row r="2212" spans="1:3" x14ac:dyDescent="0.25">
      <c r="A2212" s="223">
        <v>0.97113589999999994</v>
      </c>
      <c r="B2212" s="458">
        <v>2.1831679999999998E-5</v>
      </c>
      <c r="C2212" t="str">
        <f t="shared" si="34"/>
        <v/>
      </c>
    </row>
    <row r="2213" spans="1:3" x14ac:dyDescent="0.25">
      <c r="A2213" s="223">
        <v>2.2707026000000003</v>
      </c>
      <c r="B2213" s="458">
        <v>6.780416E-3</v>
      </c>
      <c r="C2213" t="str">
        <f t="shared" si="34"/>
        <v/>
      </c>
    </row>
    <row r="2214" spans="1:3" x14ac:dyDescent="0.25">
      <c r="A2214" s="223">
        <v>2.2707026000000003</v>
      </c>
      <c r="B2214" s="458">
        <v>8.1553920000000009E-3</v>
      </c>
      <c r="C2214" t="str">
        <f t="shared" si="34"/>
        <v/>
      </c>
    </row>
    <row r="2215" spans="1:3" x14ac:dyDescent="0.25">
      <c r="A2215" s="223">
        <v>1.925284</v>
      </c>
      <c r="B2215" s="458">
        <v>2.0047360000000001E-5</v>
      </c>
      <c r="C2215" t="str">
        <f t="shared" si="34"/>
        <v/>
      </c>
    </row>
    <row r="2216" spans="1:3" x14ac:dyDescent="0.25">
      <c r="A2216" s="223">
        <v>2.0923307000000002</v>
      </c>
      <c r="B2216" s="458">
        <v>3.04384E-5</v>
      </c>
      <c r="C2216" t="str">
        <f t="shared" si="34"/>
        <v/>
      </c>
    </row>
    <row r="2217" spans="1:3" x14ac:dyDescent="0.25">
      <c r="A2217" s="223">
        <v>3.11443</v>
      </c>
      <c r="B2217" s="458">
        <v>1.1020800000000001E-4</v>
      </c>
      <c r="C2217" t="str">
        <f t="shared" si="34"/>
        <v/>
      </c>
    </row>
    <row r="2218" spans="1:3" x14ac:dyDescent="0.25">
      <c r="A2218" s="223">
        <v>3.057804</v>
      </c>
      <c r="B2218" s="458">
        <v>3.9989759999999998E-5</v>
      </c>
      <c r="C2218" t="str">
        <f t="shared" si="34"/>
        <v/>
      </c>
    </row>
    <row r="2219" spans="1:3" x14ac:dyDescent="0.25">
      <c r="A2219" s="223">
        <v>3.8788810000000002</v>
      </c>
      <c r="B2219" s="458">
        <v>2.4035840000000001E-4</v>
      </c>
      <c r="C2219" t="str">
        <f t="shared" si="34"/>
        <v/>
      </c>
    </row>
    <row r="2220" spans="1:3" x14ac:dyDescent="0.25">
      <c r="A2220" s="223">
        <v>3.8788810000000002</v>
      </c>
      <c r="B2220" s="458">
        <v>1.3329919999999999E-4</v>
      </c>
      <c r="C2220" t="str">
        <f t="shared" si="34"/>
        <v/>
      </c>
    </row>
    <row r="2221" spans="1:3" x14ac:dyDescent="0.25">
      <c r="A2221" s="223">
        <v>4.9547750000000006</v>
      </c>
      <c r="B2221" s="458">
        <v>3.9989759999999998E-5</v>
      </c>
      <c r="C2221" t="str">
        <f t="shared" si="34"/>
        <v/>
      </c>
    </row>
    <row r="2222" spans="1:3" x14ac:dyDescent="0.25">
      <c r="A2222" s="223">
        <v>5.0114010000000002</v>
      </c>
      <c r="B2222" s="458">
        <v>3.9989759999999998E-5</v>
      </c>
      <c r="C2222" t="str">
        <f t="shared" si="34"/>
        <v/>
      </c>
    </row>
    <row r="2223" spans="1:3" x14ac:dyDescent="0.25">
      <c r="A2223" s="223">
        <v>9.0035340000000001</v>
      </c>
      <c r="B2223" s="458">
        <v>6.0142080000000003E-4</v>
      </c>
      <c r="C2223" t="str">
        <f t="shared" si="34"/>
        <v/>
      </c>
    </row>
    <row r="2224" spans="1:3" x14ac:dyDescent="0.25">
      <c r="A2224" s="223">
        <v>9.1167860000000012</v>
      </c>
      <c r="B2224" s="458">
        <v>6.601984E-4</v>
      </c>
      <c r="C2224" t="str">
        <f t="shared" si="34"/>
        <v/>
      </c>
    </row>
    <row r="2225" spans="1:3" x14ac:dyDescent="0.25">
      <c r="A2225" s="223">
        <v>30.578040000000001</v>
      </c>
      <c r="B2225" s="458">
        <v>0.12280319999999999</v>
      </c>
      <c r="C2225" t="str">
        <f t="shared" si="34"/>
        <v/>
      </c>
    </row>
    <row r="2226" spans="1:3" x14ac:dyDescent="0.25">
      <c r="A2226" s="223">
        <v>34.25873</v>
      </c>
      <c r="B2226" s="458">
        <v>0.14169599999999999</v>
      </c>
      <c r="C2226" t="str">
        <f t="shared" si="34"/>
        <v/>
      </c>
    </row>
    <row r="2227" spans="1:3" x14ac:dyDescent="0.25">
      <c r="A2227" s="223">
        <v>21.234750000000002</v>
      </c>
      <c r="B2227" s="458">
        <v>1.112576E-2</v>
      </c>
      <c r="C2227" t="str">
        <f t="shared" si="34"/>
        <v/>
      </c>
    </row>
    <row r="2228" spans="1:3" x14ac:dyDescent="0.25">
      <c r="A2228" s="223">
        <v>21.064872000000001</v>
      </c>
      <c r="B2228" s="458">
        <v>1.427456E-2</v>
      </c>
      <c r="C2228" t="str">
        <f t="shared" si="34"/>
        <v/>
      </c>
    </row>
    <row r="2229" spans="1:3" x14ac:dyDescent="0.25">
      <c r="A2229" s="223">
        <v>19.762474000000001</v>
      </c>
      <c r="B2229" s="458">
        <v>6.6649600000000002E-3</v>
      </c>
      <c r="C2229" t="str">
        <f t="shared" si="34"/>
        <v/>
      </c>
    </row>
    <row r="2230" spans="1:3" x14ac:dyDescent="0.25">
      <c r="A2230" s="223">
        <v>19.592596</v>
      </c>
      <c r="B2230" s="458">
        <v>1.0915840000000001E-2</v>
      </c>
      <c r="C2230" t="str">
        <f t="shared" si="34"/>
        <v/>
      </c>
    </row>
    <row r="2231" spans="1:3" x14ac:dyDescent="0.25">
      <c r="A2231" s="223">
        <v>16.110097</v>
      </c>
      <c r="B2231" s="458">
        <v>7.7355519999999997E-3</v>
      </c>
      <c r="C2231" t="str">
        <f t="shared" si="34"/>
        <v/>
      </c>
    </row>
    <row r="2232" spans="1:3" x14ac:dyDescent="0.25">
      <c r="A2232" s="223">
        <v>15.968532000000002</v>
      </c>
      <c r="B2232" s="458">
        <v>9.1944960000000001E-4</v>
      </c>
      <c r="C2232" t="str">
        <f t="shared" si="34"/>
        <v/>
      </c>
    </row>
    <row r="2233" spans="1:3" x14ac:dyDescent="0.25">
      <c r="A2233" s="223">
        <v>16.534791999999999</v>
      </c>
      <c r="B2233" s="458">
        <v>7.0533120000000008E-3</v>
      </c>
      <c r="C2233" t="str">
        <f t="shared" si="34"/>
        <v/>
      </c>
    </row>
    <row r="2234" spans="1:3" x14ac:dyDescent="0.25">
      <c r="A2234" s="223">
        <v>16.393227</v>
      </c>
      <c r="B2234" s="458">
        <v>7.2737279999999993E-3</v>
      </c>
      <c r="C2234" t="str">
        <f t="shared" si="34"/>
        <v/>
      </c>
    </row>
    <row r="2235" spans="1:3" x14ac:dyDescent="0.25">
      <c r="A2235" s="223">
        <v>17.723938</v>
      </c>
      <c r="B2235" s="458">
        <v>1.5848959999999999E-2</v>
      </c>
      <c r="C2235" t="str">
        <f t="shared" si="34"/>
        <v/>
      </c>
    </row>
    <row r="2236" spans="1:3" x14ac:dyDescent="0.25">
      <c r="A2236" s="223">
        <v>17.582373</v>
      </c>
      <c r="B2236" s="458">
        <v>1.595392E-2</v>
      </c>
      <c r="C2236" t="str">
        <f t="shared" si="34"/>
        <v/>
      </c>
    </row>
    <row r="2237" spans="1:3" x14ac:dyDescent="0.25">
      <c r="A2237" s="223">
        <v>18.035381000000001</v>
      </c>
      <c r="B2237" s="458">
        <v>5.227008E-3</v>
      </c>
      <c r="C2237" t="str">
        <f t="shared" si="34"/>
        <v/>
      </c>
    </row>
    <row r="2238" spans="1:3" x14ac:dyDescent="0.25">
      <c r="A2238" s="223">
        <v>17.865503</v>
      </c>
      <c r="B2238" s="458">
        <v>3.705088E-3</v>
      </c>
      <c r="C2238" t="str">
        <f t="shared" si="34"/>
        <v/>
      </c>
    </row>
    <row r="2239" spans="1:3" x14ac:dyDescent="0.25">
      <c r="A2239" s="223">
        <v>19.592596</v>
      </c>
      <c r="B2239" s="458">
        <v>5.2375040000000005E-3</v>
      </c>
      <c r="C2239" t="str">
        <f t="shared" si="34"/>
        <v/>
      </c>
    </row>
    <row r="2240" spans="1:3" x14ac:dyDescent="0.25">
      <c r="A2240" s="223">
        <v>19.762474000000001</v>
      </c>
      <c r="B2240" s="458">
        <v>1.3224960000000001E-2</v>
      </c>
      <c r="C2240" t="str">
        <f t="shared" si="34"/>
        <v/>
      </c>
    </row>
    <row r="2241" spans="1:3" x14ac:dyDescent="0.25">
      <c r="A2241" s="223">
        <v>15.119142</v>
      </c>
      <c r="B2241" s="458">
        <v>1.343488E-2</v>
      </c>
      <c r="C2241" t="str">
        <f t="shared" si="34"/>
        <v/>
      </c>
    </row>
    <row r="2242" spans="1:3" x14ac:dyDescent="0.25">
      <c r="A2242" s="223">
        <v>14.977577</v>
      </c>
      <c r="B2242" s="458">
        <v>4.0724480000000002E-3</v>
      </c>
      <c r="C2242" t="str">
        <f t="shared" si="34"/>
        <v/>
      </c>
    </row>
    <row r="2243" spans="1:3" x14ac:dyDescent="0.25">
      <c r="A2243" s="223">
        <v>16.110097</v>
      </c>
      <c r="B2243" s="458">
        <v>1.1230720000000001E-2</v>
      </c>
      <c r="C2243" t="str">
        <f t="shared" si="34"/>
        <v/>
      </c>
    </row>
    <row r="2244" spans="1:3" x14ac:dyDescent="0.25">
      <c r="A2244" s="223">
        <v>15.968532000000002</v>
      </c>
      <c r="B2244" s="458">
        <v>4.0619519999999998E-3</v>
      </c>
      <c r="C2244" t="str">
        <f t="shared" si="34"/>
        <v/>
      </c>
    </row>
    <row r="2245" spans="1:3" x14ac:dyDescent="0.25">
      <c r="A2245" s="223">
        <v>14.298065000000001</v>
      </c>
      <c r="B2245" s="458">
        <v>1.2700159999999999E-3</v>
      </c>
      <c r="C2245" t="str">
        <f t="shared" ref="C2245:C2308" si="35">IF(B2245=0,"XXXXXXXX","")</f>
        <v/>
      </c>
    </row>
    <row r="2246" spans="1:3" x14ac:dyDescent="0.25">
      <c r="A2246" s="223">
        <v>14.156500000000001</v>
      </c>
      <c r="B2246" s="458">
        <v>2.1201920000000003E-3</v>
      </c>
      <c r="C2246" t="str">
        <f t="shared" si="35"/>
        <v/>
      </c>
    </row>
    <row r="2247" spans="1:3" x14ac:dyDescent="0.25">
      <c r="A2247" s="223">
        <v>12.995667000000001</v>
      </c>
      <c r="B2247" s="458">
        <v>2.5295359999999998E-4</v>
      </c>
      <c r="C2247" t="str">
        <f t="shared" si="35"/>
        <v/>
      </c>
    </row>
    <row r="2248" spans="1:3" x14ac:dyDescent="0.25">
      <c r="A2248" s="223">
        <v>12.995667000000001</v>
      </c>
      <c r="B2248" s="458">
        <v>8.9320959999999994E-4</v>
      </c>
      <c r="C2248" t="str">
        <f t="shared" si="35"/>
        <v/>
      </c>
    </row>
    <row r="2249" spans="1:3" x14ac:dyDescent="0.25">
      <c r="A2249" s="223">
        <v>12.259529000000001</v>
      </c>
      <c r="B2249" s="458">
        <v>2.9283839999999999E-4</v>
      </c>
      <c r="C2249" t="str">
        <f t="shared" si="35"/>
        <v/>
      </c>
    </row>
    <row r="2250" spans="1:3" x14ac:dyDescent="0.25">
      <c r="A2250" s="223">
        <v>12.117964000000001</v>
      </c>
      <c r="B2250" s="458">
        <v>3.3587199999999999E-3</v>
      </c>
      <c r="C2250" t="str">
        <f t="shared" si="35"/>
        <v/>
      </c>
    </row>
    <row r="2251" spans="1:3" x14ac:dyDescent="0.25">
      <c r="A2251" s="223">
        <v>9.9378630000000001</v>
      </c>
      <c r="B2251" s="458">
        <v>2.0047359999999999E-4</v>
      </c>
      <c r="C2251" t="str">
        <f t="shared" si="35"/>
        <v/>
      </c>
    </row>
    <row r="2252" spans="1:3" x14ac:dyDescent="0.25">
      <c r="A2252" s="223">
        <v>9.9378630000000001</v>
      </c>
      <c r="B2252" s="458">
        <v>7.5991040000000006E-4</v>
      </c>
      <c r="C2252" t="str">
        <f t="shared" si="35"/>
        <v/>
      </c>
    </row>
    <row r="2253" spans="1:3" x14ac:dyDescent="0.25">
      <c r="A2253" s="223">
        <v>5.8324780000000001</v>
      </c>
      <c r="B2253" s="458">
        <v>2.3616000000000002E-3</v>
      </c>
      <c r="C2253" t="str">
        <f t="shared" si="35"/>
        <v/>
      </c>
    </row>
    <row r="2254" spans="1:3" x14ac:dyDescent="0.25">
      <c r="A2254" s="223">
        <v>5.8324780000000001</v>
      </c>
      <c r="B2254" s="458">
        <v>2.8759040000000003E-3</v>
      </c>
      <c r="C2254" t="str">
        <f t="shared" si="35"/>
        <v/>
      </c>
    </row>
    <row r="2255" spans="1:3" x14ac:dyDescent="0.25">
      <c r="A2255" s="223">
        <v>2.9445520000000003</v>
      </c>
      <c r="B2255" s="458">
        <v>1.5639039999999999E-3</v>
      </c>
      <c r="C2255" t="str">
        <f t="shared" si="35"/>
        <v/>
      </c>
    </row>
    <row r="2256" spans="1:3" x14ac:dyDescent="0.25">
      <c r="A2256" s="223">
        <v>2.9445520000000003</v>
      </c>
      <c r="B2256" s="458">
        <v>2.0467200000000001E-3</v>
      </c>
      <c r="C2256" t="str">
        <f t="shared" si="35"/>
        <v/>
      </c>
    </row>
    <row r="2257" spans="1:3" x14ac:dyDescent="0.25">
      <c r="A2257" s="223">
        <v>1.8828145000000001</v>
      </c>
      <c r="B2257" s="458">
        <v>8.9950720000000001E-5</v>
      </c>
      <c r="C2257" t="str">
        <f t="shared" si="35"/>
        <v/>
      </c>
    </row>
    <row r="2258" spans="1:3" x14ac:dyDescent="0.25">
      <c r="A2258" s="223">
        <v>10.2492</v>
      </c>
      <c r="B2258" s="458">
        <v>8.5999999999999998E-4</v>
      </c>
      <c r="C2258" t="str">
        <f t="shared" si="35"/>
        <v/>
      </c>
    </row>
    <row r="2259" spans="1:3" x14ac:dyDescent="0.25">
      <c r="A2259" s="223">
        <v>10.2492</v>
      </c>
      <c r="B2259" s="458">
        <v>1.067E-3</v>
      </c>
      <c r="C2259" t="str">
        <f t="shared" si="35"/>
        <v/>
      </c>
    </row>
    <row r="2260" spans="1:3" x14ac:dyDescent="0.25">
      <c r="A2260" s="223">
        <v>14.609400000000001</v>
      </c>
      <c r="B2260" s="458">
        <v>3.1380000000000002E-3</v>
      </c>
      <c r="C2260" t="str">
        <f t="shared" si="35"/>
        <v/>
      </c>
    </row>
    <row r="2261" spans="1:3" x14ac:dyDescent="0.25">
      <c r="A2261" s="223">
        <v>14.609400000000001</v>
      </c>
      <c r="B2261" s="458">
        <v>2.8019999999999998E-3</v>
      </c>
      <c r="C2261" t="str">
        <f t="shared" si="35"/>
        <v/>
      </c>
    </row>
    <row r="2262" spans="1:3" x14ac:dyDescent="0.25">
      <c r="A2262" s="223">
        <v>11.042</v>
      </c>
      <c r="B2262" s="458">
        <v>5.7899999999999998E-4</v>
      </c>
      <c r="C2262" t="str">
        <f t="shared" si="35"/>
        <v/>
      </c>
    </row>
    <row r="2263" spans="1:3" x14ac:dyDescent="0.25">
      <c r="A2263" s="223">
        <v>11.042</v>
      </c>
      <c r="B2263" s="458">
        <v>1.9900000000000001E-4</v>
      </c>
      <c r="C2263" t="str">
        <f t="shared" si="35"/>
        <v/>
      </c>
    </row>
    <row r="2264" spans="1:3" x14ac:dyDescent="0.25">
      <c r="A2264" s="223">
        <v>10.928699999999999</v>
      </c>
      <c r="B2264" s="458">
        <v>1.9900000000000001E-4</v>
      </c>
      <c r="C2264" t="str">
        <f t="shared" si="35"/>
        <v/>
      </c>
    </row>
    <row r="2265" spans="1:3" x14ac:dyDescent="0.25">
      <c r="A2265" s="223">
        <v>10.928699999999999</v>
      </c>
      <c r="B2265" s="458">
        <v>6.6E-4</v>
      </c>
      <c r="C2265" t="str">
        <f t="shared" si="35"/>
        <v/>
      </c>
    </row>
    <row r="2266" spans="1:3" x14ac:dyDescent="0.25">
      <c r="A2266" s="223">
        <v>12.910600000000001</v>
      </c>
      <c r="B2266" s="458">
        <v>2.026E-3</v>
      </c>
      <c r="C2266" t="str">
        <f t="shared" si="35"/>
        <v/>
      </c>
    </row>
    <row r="2267" spans="1:3" x14ac:dyDescent="0.25">
      <c r="A2267" s="223">
        <v>12.910600000000001</v>
      </c>
      <c r="B2267" s="458">
        <v>1.322E-3</v>
      </c>
      <c r="C2267" t="str">
        <f t="shared" si="35"/>
        <v/>
      </c>
    </row>
    <row r="2268" spans="1:3" x14ac:dyDescent="0.25">
      <c r="A2268" s="223">
        <v>15.0624</v>
      </c>
      <c r="B2268" s="458">
        <v>6.4000000000000005E-4</v>
      </c>
      <c r="C2268" t="str">
        <f t="shared" si="35"/>
        <v/>
      </c>
    </row>
    <row r="2269" spans="1:3" x14ac:dyDescent="0.25">
      <c r="A2269" s="223">
        <v>15.0624</v>
      </c>
      <c r="B2269" s="458">
        <v>1.1969999999999999E-3</v>
      </c>
      <c r="C2269" t="str">
        <f t="shared" si="35"/>
        <v/>
      </c>
    </row>
    <row r="2270" spans="1:3" x14ac:dyDescent="0.25">
      <c r="A2270" s="223">
        <v>32.559600000000003</v>
      </c>
      <c r="B2270" s="458">
        <v>1.4064E-2</v>
      </c>
      <c r="C2270" t="str">
        <f t="shared" si="35"/>
        <v/>
      </c>
    </row>
    <row r="2271" spans="1:3" x14ac:dyDescent="0.25">
      <c r="A2271" s="223">
        <v>32.559600000000003</v>
      </c>
      <c r="B2271" s="458">
        <v>7.8300000000000002E-3</v>
      </c>
      <c r="C2271" t="str">
        <f t="shared" si="35"/>
        <v/>
      </c>
    </row>
    <row r="2272" spans="1:3" x14ac:dyDescent="0.25">
      <c r="A2272" s="223">
        <v>35.957099999999997</v>
      </c>
      <c r="B2272" s="458">
        <v>1.4378999999999999E-2</v>
      </c>
      <c r="C2272" t="str">
        <f t="shared" si="35"/>
        <v/>
      </c>
    </row>
    <row r="2273" spans="1:3" x14ac:dyDescent="0.25">
      <c r="A2273" s="223">
        <v>35.957099999999997</v>
      </c>
      <c r="B2273" s="458">
        <v>2.9283E-2</v>
      </c>
      <c r="C2273" t="str">
        <f t="shared" si="35"/>
        <v/>
      </c>
    </row>
    <row r="2274" spans="1:3" x14ac:dyDescent="0.25">
      <c r="A2274" s="223">
        <v>25.3965</v>
      </c>
      <c r="B2274" s="458">
        <v>1.0916E-2</v>
      </c>
      <c r="C2274" t="str">
        <f t="shared" si="35"/>
        <v/>
      </c>
    </row>
    <row r="2275" spans="1:3" x14ac:dyDescent="0.25">
      <c r="A2275" s="223">
        <v>25.3965</v>
      </c>
      <c r="B2275" s="458">
        <v>1.2589999999999999E-3</v>
      </c>
      <c r="C2275" t="str">
        <f t="shared" si="35"/>
        <v/>
      </c>
    </row>
    <row r="2276" spans="1:3" x14ac:dyDescent="0.25">
      <c r="A2276" s="223">
        <v>22.310400000000001</v>
      </c>
      <c r="B2276" s="458">
        <v>2.6970000000000002E-3</v>
      </c>
      <c r="C2276" t="str">
        <f t="shared" si="35"/>
        <v/>
      </c>
    </row>
    <row r="2277" spans="1:3" x14ac:dyDescent="0.25">
      <c r="A2277" s="223">
        <v>22.310400000000001</v>
      </c>
      <c r="B2277" s="458">
        <v>3.1380000000000002E-3</v>
      </c>
      <c r="C2277" t="str">
        <f t="shared" si="35"/>
        <v/>
      </c>
    </row>
    <row r="2278" spans="1:3" x14ac:dyDescent="0.25">
      <c r="A2278" s="223">
        <v>19.592400000000001</v>
      </c>
      <c r="B2278" s="458">
        <v>1.5219999999999999E-3</v>
      </c>
      <c r="C2278" t="str">
        <f t="shared" si="35"/>
        <v/>
      </c>
    </row>
    <row r="2279" spans="1:3" x14ac:dyDescent="0.25">
      <c r="A2279" s="223">
        <v>19.592400000000001</v>
      </c>
      <c r="B2279" s="458">
        <v>4.8180000000000002E-3</v>
      </c>
      <c r="C2279" t="str">
        <f t="shared" si="35"/>
        <v/>
      </c>
    </row>
    <row r="2280" spans="1:3" x14ac:dyDescent="0.25">
      <c r="A2280" s="223">
        <v>6.3420500000000004</v>
      </c>
      <c r="B2280" s="458">
        <v>5.9900000000000003E-4</v>
      </c>
      <c r="C2280" t="str">
        <f t="shared" si="35"/>
        <v/>
      </c>
    </row>
    <row r="2281" spans="1:3" x14ac:dyDescent="0.25">
      <c r="A2281" s="223">
        <v>6.3420500000000004</v>
      </c>
      <c r="B2281" s="458">
        <v>1.1230000000000001E-3</v>
      </c>
      <c r="C2281" t="str">
        <f t="shared" si="35"/>
        <v/>
      </c>
    </row>
    <row r="2282" spans="1:3" x14ac:dyDescent="0.25">
      <c r="A2282" s="223">
        <v>23.273</v>
      </c>
      <c r="B2282" s="458">
        <v>2.2569999999999999E-3</v>
      </c>
      <c r="C2282" t="str">
        <f t="shared" si="35"/>
        <v/>
      </c>
    </row>
    <row r="2283" spans="1:3" x14ac:dyDescent="0.25">
      <c r="A2283" s="223">
        <v>23.273</v>
      </c>
      <c r="B2283" s="458">
        <v>2.4350000000000001E-3</v>
      </c>
      <c r="C2283" t="str">
        <f t="shared" si="35"/>
        <v/>
      </c>
    </row>
    <row r="2284" spans="1:3" x14ac:dyDescent="0.25">
      <c r="A2284" s="223">
        <v>24.037500000000001</v>
      </c>
      <c r="B2284" s="458">
        <v>3.82E-3</v>
      </c>
      <c r="C2284" t="str">
        <f t="shared" si="35"/>
        <v/>
      </c>
    </row>
    <row r="2285" spans="1:3" x14ac:dyDescent="0.25">
      <c r="A2285" s="223">
        <v>24.037500000000001</v>
      </c>
      <c r="B2285" s="458">
        <v>3.0539999999999999E-3</v>
      </c>
      <c r="C2285" t="str">
        <f t="shared" si="35"/>
        <v/>
      </c>
    </row>
    <row r="2286" spans="1:3" x14ac:dyDescent="0.25">
      <c r="A2286" s="223">
        <v>20.187000000000001</v>
      </c>
      <c r="B2286" s="458">
        <v>1.1019999999999999E-3</v>
      </c>
      <c r="C2286" t="str">
        <f t="shared" si="35"/>
        <v/>
      </c>
    </row>
    <row r="2287" spans="1:3" x14ac:dyDescent="0.25">
      <c r="A2287" s="223">
        <v>20.187000000000001</v>
      </c>
      <c r="B2287" s="458">
        <v>3.5999999999999999E-3</v>
      </c>
      <c r="C2287" t="str">
        <f t="shared" si="35"/>
        <v/>
      </c>
    </row>
    <row r="2288" spans="1:3" x14ac:dyDescent="0.25">
      <c r="A2288" s="223">
        <v>13.675000000000001</v>
      </c>
      <c r="B2288" s="458">
        <v>2.9999999999999997E-4</v>
      </c>
      <c r="C2288" t="str">
        <f t="shared" si="35"/>
        <v/>
      </c>
    </row>
    <row r="2289" spans="1:3" x14ac:dyDescent="0.25">
      <c r="A2289" s="223">
        <v>13.675000000000001</v>
      </c>
      <c r="B2289" s="458">
        <v>1.6000000000000001E-4</v>
      </c>
      <c r="C2289" t="str">
        <f t="shared" si="35"/>
        <v/>
      </c>
    </row>
    <row r="2290" spans="1:3" x14ac:dyDescent="0.25">
      <c r="A2290" s="223">
        <v>11.891299999999999</v>
      </c>
      <c r="B2290" s="458">
        <v>1.9900000000000001E-4</v>
      </c>
      <c r="C2290" t="str">
        <f t="shared" si="35"/>
        <v/>
      </c>
    </row>
    <row r="2291" spans="1:3" x14ac:dyDescent="0.25">
      <c r="A2291" s="223">
        <v>11.891299999999999</v>
      </c>
      <c r="B2291" s="458">
        <v>1.9900000000000001E-4</v>
      </c>
      <c r="C2291" t="str">
        <f t="shared" si="35"/>
        <v/>
      </c>
    </row>
    <row r="2292" spans="1:3" x14ac:dyDescent="0.25">
      <c r="A2292" s="223">
        <v>11.948</v>
      </c>
      <c r="B2292" s="458">
        <v>1.9900000000000001E-4</v>
      </c>
      <c r="C2292" t="str">
        <f t="shared" si="35"/>
        <v/>
      </c>
    </row>
    <row r="2293" spans="1:3" x14ac:dyDescent="0.25">
      <c r="A2293" s="223">
        <v>11.948</v>
      </c>
      <c r="B2293" s="458">
        <v>9.7900000000000005E-4</v>
      </c>
      <c r="C2293" t="str">
        <f t="shared" si="35"/>
        <v/>
      </c>
    </row>
    <row r="2294" spans="1:3" x14ac:dyDescent="0.25">
      <c r="A2294" s="223">
        <v>12.9672</v>
      </c>
      <c r="B2294" s="458">
        <v>9.990000000000001E-4</v>
      </c>
      <c r="C2294" t="str">
        <f t="shared" si="35"/>
        <v/>
      </c>
    </row>
    <row r="2295" spans="1:3" x14ac:dyDescent="0.25">
      <c r="A2295" s="223">
        <v>12.9672</v>
      </c>
      <c r="B2295" s="458">
        <v>7.3999999999999999E-4</v>
      </c>
      <c r="C2295" t="str">
        <f t="shared" si="35"/>
        <v/>
      </c>
    </row>
    <row r="2296" spans="1:3" x14ac:dyDescent="0.25">
      <c r="A2296" s="223">
        <v>24.094100000000001</v>
      </c>
      <c r="B2296" s="458">
        <v>6.025E-3</v>
      </c>
      <c r="C2296" t="str">
        <f t="shared" si="35"/>
        <v/>
      </c>
    </row>
    <row r="2297" spans="1:3" x14ac:dyDescent="0.25">
      <c r="A2297" s="223">
        <v>24.094100000000001</v>
      </c>
      <c r="B2297" s="458">
        <v>4.8069999999999996E-3</v>
      </c>
      <c r="C2297" t="str">
        <f t="shared" si="35"/>
        <v/>
      </c>
    </row>
    <row r="2298" spans="1:3" x14ac:dyDescent="0.25">
      <c r="A2298" s="223">
        <v>26.444099999999999</v>
      </c>
      <c r="B2298" s="458">
        <v>9.1210000000000006E-3</v>
      </c>
      <c r="C2298" t="str">
        <f t="shared" si="35"/>
        <v/>
      </c>
    </row>
    <row r="2299" spans="1:3" x14ac:dyDescent="0.25">
      <c r="A2299" s="223">
        <v>26.444099999999999</v>
      </c>
      <c r="B2299" s="458">
        <v>8.0289999999999997E-3</v>
      </c>
      <c r="C2299" t="str">
        <f t="shared" si="35"/>
        <v/>
      </c>
    </row>
    <row r="2300" spans="1:3" x14ac:dyDescent="0.25">
      <c r="A2300" s="223">
        <v>34.541499999999999</v>
      </c>
      <c r="B2300" s="458">
        <v>2.0572E-2</v>
      </c>
      <c r="C2300" t="str">
        <f t="shared" si="35"/>
        <v/>
      </c>
    </row>
    <row r="2301" spans="1:3" x14ac:dyDescent="0.25">
      <c r="A2301" s="223">
        <v>34.541499999999999</v>
      </c>
      <c r="B2301" s="458">
        <v>1.7947999999999999E-2</v>
      </c>
      <c r="C2301" t="str">
        <f t="shared" si="35"/>
        <v/>
      </c>
    </row>
    <row r="2302" spans="1:3" x14ac:dyDescent="0.25">
      <c r="A2302" s="223">
        <v>41.053400000000003</v>
      </c>
      <c r="B2302" s="458">
        <v>4.5026999999999998E-2</v>
      </c>
      <c r="C2302" t="str">
        <f t="shared" si="35"/>
        <v/>
      </c>
    </row>
    <row r="2303" spans="1:3" x14ac:dyDescent="0.25">
      <c r="A2303" s="223">
        <v>41.053400000000003</v>
      </c>
      <c r="B2303" s="458">
        <v>4.2298000000000002E-2</v>
      </c>
      <c r="C2303" t="str">
        <f t="shared" si="35"/>
        <v/>
      </c>
    </row>
    <row r="2304" spans="1:3" x14ac:dyDescent="0.25">
      <c r="A2304" s="223">
        <v>52.944800000000001</v>
      </c>
      <c r="B2304" s="458">
        <v>6.4967999999999998E-2</v>
      </c>
      <c r="C2304" t="str">
        <f t="shared" si="35"/>
        <v/>
      </c>
    </row>
    <row r="2305" spans="1:3" x14ac:dyDescent="0.25">
      <c r="A2305" s="223">
        <v>52.944800000000001</v>
      </c>
      <c r="B2305" s="458">
        <v>7.5464000000000003E-2</v>
      </c>
      <c r="C2305" t="str">
        <f t="shared" si="35"/>
        <v/>
      </c>
    </row>
    <row r="2306" spans="1:3" x14ac:dyDescent="0.25">
      <c r="A2306" s="223">
        <v>54.360399999999998</v>
      </c>
      <c r="B2306" s="458">
        <v>0.11965099999999999</v>
      </c>
      <c r="C2306" t="str">
        <f t="shared" si="35"/>
        <v/>
      </c>
    </row>
    <row r="2307" spans="1:3" x14ac:dyDescent="0.25">
      <c r="A2307" s="223">
        <v>54.360399999999998</v>
      </c>
      <c r="B2307" s="458">
        <v>5.9825999999999997E-2</v>
      </c>
      <c r="C2307" t="str">
        <f t="shared" si="35"/>
        <v/>
      </c>
    </row>
    <row r="2308" spans="1:3" x14ac:dyDescent="0.25">
      <c r="A2308" s="223">
        <v>60.589199999999998</v>
      </c>
      <c r="B2308" s="458">
        <v>5.3317999999999997E-2</v>
      </c>
      <c r="C2308" t="str">
        <f t="shared" si="35"/>
        <v/>
      </c>
    </row>
    <row r="2309" spans="1:3" x14ac:dyDescent="0.25">
      <c r="A2309" s="223">
        <v>60.589199999999998</v>
      </c>
      <c r="B2309" s="458">
        <v>7.9242999999999994E-2</v>
      </c>
      <c r="C2309" t="str">
        <f t="shared" ref="C2309:C2371" si="36">IF(B2309=0,"XXXXXXXX","")</f>
        <v/>
      </c>
    </row>
    <row r="2310" spans="1:3" x14ac:dyDescent="0.25">
      <c r="A2310" s="223">
        <v>62.004800000000003</v>
      </c>
      <c r="B2310" s="458">
        <v>3.9149000000000003E-2</v>
      </c>
      <c r="C2310" t="str">
        <f t="shared" si="36"/>
        <v/>
      </c>
    </row>
    <row r="2311" spans="1:3" x14ac:dyDescent="0.25">
      <c r="A2311" s="223">
        <v>62.004800000000003</v>
      </c>
      <c r="B2311" s="458">
        <v>8.1551999999999999E-2</v>
      </c>
      <c r="C2311" t="str">
        <f t="shared" si="36"/>
        <v/>
      </c>
    </row>
    <row r="2312" spans="1:3" x14ac:dyDescent="0.25">
      <c r="A2312" s="223">
        <v>81.257499999999993</v>
      </c>
      <c r="B2312" s="458">
        <v>0.241401</v>
      </c>
      <c r="C2312" t="str">
        <f t="shared" si="36"/>
        <v/>
      </c>
    </row>
    <row r="2313" spans="1:3" x14ac:dyDescent="0.25">
      <c r="A2313" s="223">
        <v>81.257499999999993</v>
      </c>
      <c r="B2313" s="458">
        <v>0.25819500000000001</v>
      </c>
      <c r="C2313" t="str">
        <f t="shared" si="36"/>
        <v/>
      </c>
    </row>
    <row r="2314" spans="1:3" x14ac:dyDescent="0.25">
      <c r="A2314" s="223">
        <v>61.438600000000001</v>
      </c>
      <c r="B2314" s="458">
        <v>5.6571999999999997E-2</v>
      </c>
      <c r="C2314" t="str">
        <f t="shared" si="36"/>
        <v/>
      </c>
    </row>
    <row r="2315" spans="1:3" x14ac:dyDescent="0.25">
      <c r="A2315" s="223">
        <v>61.438600000000001</v>
      </c>
      <c r="B2315" s="458">
        <v>4.8910000000000002E-2</v>
      </c>
      <c r="C2315" t="str">
        <f t="shared" si="36"/>
        <v/>
      </c>
    </row>
    <row r="2316" spans="1:3" x14ac:dyDescent="0.25">
      <c r="A2316" s="223">
        <v>48.981000000000002</v>
      </c>
      <c r="B2316" s="458">
        <v>1.2595E-2</v>
      </c>
      <c r="C2316" t="str">
        <f t="shared" si="36"/>
        <v/>
      </c>
    </row>
    <row r="2317" spans="1:3" x14ac:dyDescent="0.25">
      <c r="A2317" s="223">
        <v>48.981000000000002</v>
      </c>
      <c r="B2317" s="458">
        <v>3.2851999999999999E-2</v>
      </c>
      <c r="C2317" t="str">
        <f t="shared" si="36"/>
        <v/>
      </c>
    </row>
    <row r="2318" spans="1:3" x14ac:dyDescent="0.25">
      <c r="A2318" s="223">
        <v>53.227899999999998</v>
      </c>
      <c r="B2318" s="458">
        <v>0.109155</v>
      </c>
      <c r="C2318" t="str">
        <f t="shared" si="36"/>
        <v/>
      </c>
    </row>
    <row r="2319" spans="1:3" x14ac:dyDescent="0.25">
      <c r="A2319" s="223">
        <v>53.227899999999998</v>
      </c>
      <c r="B2319" s="458">
        <v>6.0769999999999998E-2</v>
      </c>
      <c r="C2319" t="str">
        <f t="shared" si="36"/>
        <v/>
      </c>
    </row>
    <row r="2320" spans="1:3" x14ac:dyDescent="0.25">
      <c r="A2320" s="223">
        <v>40.770299999999999</v>
      </c>
      <c r="B2320" s="458">
        <v>1.1335E-2</v>
      </c>
      <c r="C2320" t="str">
        <f t="shared" si="36"/>
        <v/>
      </c>
    </row>
    <row r="2321" spans="1:3" x14ac:dyDescent="0.25">
      <c r="A2321" s="223">
        <v>40.770299999999999</v>
      </c>
      <c r="B2321" s="458">
        <v>8.5850000000000006E-3</v>
      </c>
      <c r="C2321" t="str">
        <f t="shared" si="36"/>
        <v/>
      </c>
    </row>
    <row r="2322" spans="1:3" x14ac:dyDescent="0.25">
      <c r="A2322" s="223">
        <v>37.939</v>
      </c>
      <c r="B2322" s="458">
        <v>1.4168999999999999E-2</v>
      </c>
      <c r="C2322" t="str">
        <f t="shared" si="36"/>
        <v/>
      </c>
    </row>
    <row r="2323" spans="1:3" x14ac:dyDescent="0.25">
      <c r="A2323" s="223">
        <v>37.939</v>
      </c>
      <c r="B2323" s="458">
        <v>1.1440000000000001E-2</v>
      </c>
      <c r="C2323" t="str">
        <f t="shared" si="36"/>
        <v/>
      </c>
    </row>
    <row r="2324" spans="1:3" x14ac:dyDescent="0.25">
      <c r="A2324" s="223">
        <v>46.999099999999999</v>
      </c>
      <c r="B2324" s="458">
        <v>2.3404999999999999E-2</v>
      </c>
      <c r="C2324" t="str">
        <f t="shared" si="36"/>
        <v/>
      </c>
    </row>
    <row r="2325" spans="1:3" x14ac:dyDescent="0.25">
      <c r="A2325" s="223">
        <v>46.999099999999999</v>
      </c>
      <c r="B2325" s="458">
        <v>3.2957E-2</v>
      </c>
      <c r="C2325" t="str">
        <f t="shared" si="36"/>
        <v/>
      </c>
    </row>
    <row r="2326" spans="1:3" x14ac:dyDescent="0.25">
      <c r="A2326" s="223">
        <v>45.3003</v>
      </c>
      <c r="B2326" s="458">
        <v>1.6163E-2</v>
      </c>
      <c r="C2326" t="str">
        <f t="shared" si="36"/>
        <v/>
      </c>
    </row>
    <row r="2327" spans="1:3" x14ac:dyDescent="0.25">
      <c r="A2327" s="223">
        <v>45.3003</v>
      </c>
      <c r="B2327" s="458">
        <v>1.6163E-2</v>
      </c>
      <c r="C2327" t="str">
        <f t="shared" si="36"/>
        <v/>
      </c>
    </row>
    <row r="2328" spans="1:3" x14ac:dyDescent="0.25">
      <c r="A2328" s="223">
        <v>97.678799999999995</v>
      </c>
      <c r="B2328" s="458">
        <v>0.33271400000000001</v>
      </c>
      <c r="C2328" t="str">
        <f t="shared" si="36"/>
        <v/>
      </c>
    </row>
    <row r="2329" spans="1:3" x14ac:dyDescent="0.25">
      <c r="A2329" s="223">
        <v>97.678799999999995</v>
      </c>
      <c r="B2329" s="458">
        <v>0.40408500000000003</v>
      </c>
      <c r="C2329" t="str">
        <f t="shared" si="36"/>
        <v/>
      </c>
    </row>
    <row r="2330" spans="1:3" x14ac:dyDescent="0.25">
      <c r="A2330" s="223">
        <v>0.15289</v>
      </c>
      <c r="B2330" s="458">
        <v>7.8899999999999999E-4</v>
      </c>
      <c r="C2330" t="str">
        <f t="shared" si="36"/>
        <v/>
      </c>
    </row>
    <row r="2331" spans="1:3" x14ac:dyDescent="0.25">
      <c r="A2331" s="223">
        <v>0.15855</v>
      </c>
      <c r="B2331" s="458">
        <v>1.03E-4</v>
      </c>
      <c r="C2331" t="str">
        <f t="shared" si="36"/>
        <v/>
      </c>
    </row>
    <row r="2332" spans="1:3" x14ac:dyDescent="0.25">
      <c r="A2332" s="223">
        <v>0.17837</v>
      </c>
      <c r="B2332" s="458">
        <v>3.8400000000000001E-4</v>
      </c>
      <c r="C2332" t="str">
        <f t="shared" si="36"/>
        <v/>
      </c>
    </row>
    <row r="2333" spans="1:3" x14ac:dyDescent="0.25">
      <c r="A2333" s="223">
        <v>0.28029999999999999</v>
      </c>
      <c r="B2333" s="458">
        <v>1.658E-3</v>
      </c>
      <c r="C2333" t="str">
        <f t="shared" si="36"/>
        <v/>
      </c>
    </row>
    <row r="2334" spans="1:3" x14ac:dyDescent="0.25">
      <c r="A2334" s="223">
        <v>0.33975</v>
      </c>
      <c r="B2334" s="458">
        <v>5.1999999999999995E-4</v>
      </c>
      <c r="C2334" t="str">
        <f t="shared" si="36"/>
        <v/>
      </c>
    </row>
    <row r="2335" spans="1:3" x14ac:dyDescent="0.25">
      <c r="A2335" s="223">
        <v>0.31143999999999999</v>
      </c>
      <c r="B2335" s="458">
        <v>1.438E-3</v>
      </c>
      <c r="C2335" t="str">
        <f t="shared" si="36"/>
        <v/>
      </c>
    </row>
    <row r="2336" spans="1:3" x14ac:dyDescent="0.25">
      <c r="A2336" s="223">
        <v>0.53793999999999997</v>
      </c>
      <c r="B2336" s="458">
        <v>6.8640000000000003E-3</v>
      </c>
      <c r="C2336" t="str">
        <f t="shared" si="36"/>
        <v/>
      </c>
    </row>
    <row r="2337" spans="1:3" x14ac:dyDescent="0.25">
      <c r="A2337" s="223">
        <v>0.53793999999999997</v>
      </c>
      <c r="B2337" s="458">
        <v>5.2690000000000002E-3</v>
      </c>
      <c r="C2337" t="str">
        <f t="shared" si="36"/>
        <v/>
      </c>
    </row>
    <row r="2338" spans="1:3" x14ac:dyDescent="0.25">
      <c r="A2338" s="223">
        <v>0.39638000000000001</v>
      </c>
      <c r="B2338" s="458">
        <v>7.5040000000000003E-3</v>
      </c>
      <c r="C2338" t="str">
        <f t="shared" si="36"/>
        <v/>
      </c>
    </row>
    <row r="2339" spans="1:3" x14ac:dyDescent="0.25">
      <c r="A2339" s="223">
        <v>0.28312999999999999</v>
      </c>
      <c r="B2339" s="458">
        <v>6.4859999999999996E-3</v>
      </c>
      <c r="C2339" t="str">
        <f t="shared" si="36"/>
        <v/>
      </c>
    </row>
    <row r="2340" spans="1:3" x14ac:dyDescent="0.25">
      <c r="A2340" s="223">
        <v>0.24349000000000001</v>
      </c>
      <c r="B2340" s="458">
        <v>1.4059999999999999E-3</v>
      </c>
      <c r="C2340" t="str">
        <f t="shared" si="36"/>
        <v/>
      </c>
    </row>
    <row r="2341" spans="1:3" x14ac:dyDescent="0.25">
      <c r="A2341" s="223">
        <v>0.22933000000000001</v>
      </c>
      <c r="B2341" s="458">
        <v>8.7299999999999997E-4</v>
      </c>
      <c r="C2341" t="str">
        <f t="shared" si="36"/>
        <v/>
      </c>
    </row>
    <row r="2342" spans="1:3" x14ac:dyDescent="0.25">
      <c r="A2342" s="223">
        <v>0.23499999999999999</v>
      </c>
      <c r="B2342" s="458">
        <v>9.3499999999999996E-4</v>
      </c>
      <c r="C2342" t="str">
        <f t="shared" si="36"/>
        <v/>
      </c>
    </row>
    <row r="2343" spans="1:3" x14ac:dyDescent="0.25">
      <c r="A2343" s="223">
        <v>0.33975</v>
      </c>
      <c r="B2343" s="458">
        <v>6.1200000000000002E-4</v>
      </c>
      <c r="C2343" t="str">
        <f t="shared" si="36"/>
        <v/>
      </c>
    </row>
    <row r="2344" spans="1:3" x14ac:dyDescent="0.25">
      <c r="A2344" s="223">
        <v>0.26613999999999999</v>
      </c>
      <c r="B2344" s="458">
        <v>3.2499999999999999E-4</v>
      </c>
      <c r="C2344" t="str">
        <f t="shared" si="36"/>
        <v/>
      </c>
    </row>
    <row r="2345" spans="1:3" x14ac:dyDescent="0.25">
      <c r="A2345" s="223">
        <v>0.26613999999999999</v>
      </c>
      <c r="B2345" s="458">
        <v>4.15E-4</v>
      </c>
      <c r="C2345" t="str">
        <f t="shared" si="36"/>
        <v/>
      </c>
    </row>
    <row r="2346" spans="1:3" x14ac:dyDescent="0.25">
      <c r="A2346" s="223">
        <v>0.67949999999999999</v>
      </c>
      <c r="B2346" s="458">
        <v>9.3200000000000002E-3</v>
      </c>
      <c r="C2346" t="str">
        <f t="shared" si="36"/>
        <v/>
      </c>
    </row>
    <row r="2347" spans="1:3" x14ac:dyDescent="0.25">
      <c r="A2347" s="223">
        <v>0.59457000000000004</v>
      </c>
      <c r="B2347" s="458">
        <v>1.312E-2</v>
      </c>
      <c r="C2347" t="str">
        <f t="shared" si="36"/>
        <v/>
      </c>
    </row>
    <row r="2348" spans="1:3" x14ac:dyDescent="0.25">
      <c r="A2348" s="223">
        <v>0.45300000000000001</v>
      </c>
      <c r="B2348" s="458">
        <v>9.6349999999999995E-3</v>
      </c>
      <c r="C2348" t="str">
        <f t="shared" si="36"/>
        <v/>
      </c>
    </row>
    <row r="2349" spans="1:3" x14ac:dyDescent="0.25">
      <c r="A2349" s="223">
        <v>6.7949999999999997E-2</v>
      </c>
      <c r="B2349" s="458">
        <v>3.6999999999999998E-5</v>
      </c>
      <c r="C2349" t="str">
        <f t="shared" si="36"/>
        <v/>
      </c>
    </row>
    <row r="2350" spans="1:3" x14ac:dyDescent="0.25">
      <c r="A2350" s="223">
        <v>0.10476000000000001</v>
      </c>
      <c r="B2350" s="458">
        <v>8.4900000000000004E-4</v>
      </c>
      <c r="C2350" t="str">
        <f t="shared" si="36"/>
        <v/>
      </c>
    </row>
    <row r="2351" spans="1:3" x14ac:dyDescent="0.25">
      <c r="A2351" s="223">
        <v>9.06E-2</v>
      </c>
      <c r="B2351" s="458">
        <v>7.9600000000000005E-4</v>
      </c>
      <c r="C2351" t="str">
        <f t="shared" si="36"/>
        <v/>
      </c>
    </row>
    <row r="2352" spans="1:3" x14ac:dyDescent="0.25">
      <c r="A2352" s="223">
        <v>7.6439999999999994E-2</v>
      </c>
      <c r="B2352" s="458">
        <v>2.4699999999999999E-4</v>
      </c>
      <c r="C2352" t="str">
        <f t="shared" si="36"/>
        <v/>
      </c>
    </row>
    <row r="2353" spans="1:3" x14ac:dyDescent="0.25">
      <c r="A2353" s="223">
        <v>9.6259999999999998E-2</v>
      </c>
      <c r="B2353" s="458">
        <v>2.4979999999999998E-3</v>
      </c>
      <c r="C2353" t="str">
        <f t="shared" si="36"/>
        <v/>
      </c>
    </row>
    <row r="2354" spans="1:3" x14ac:dyDescent="0.25">
      <c r="A2354" s="223">
        <v>0.31143999999999999</v>
      </c>
      <c r="B2354" s="458">
        <v>9.6559999999999997E-3</v>
      </c>
      <c r="C2354" t="str">
        <f t="shared" si="36"/>
        <v/>
      </c>
    </row>
    <row r="2355" spans="1:3" x14ac:dyDescent="0.25">
      <c r="A2355" s="223">
        <v>0.31143999999999999</v>
      </c>
      <c r="B2355" s="458">
        <v>5.3839999999999999E-3</v>
      </c>
      <c r="C2355" t="str">
        <f t="shared" si="36"/>
        <v/>
      </c>
    </row>
    <row r="2356" spans="1:3" x14ac:dyDescent="0.25">
      <c r="A2356" s="223">
        <v>0.20668</v>
      </c>
      <c r="B2356" s="458">
        <v>6.7400000000000001E-4</v>
      </c>
      <c r="C2356" t="str">
        <f t="shared" si="36"/>
        <v/>
      </c>
    </row>
    <row r="2357" spans="1:3" x14ac:dyDescent="0.25">
      <c r="A2357" s="223">
        <v>0.20668</v>
      </c>
      <c r="B2357" s="458">
        <v>7.1500000000000003E-4</v>
      </c>
      <c r="C2357" t="str">
        <f t="shared" si="36"/>
        <v/>
      </c>
    </row>
    <row r="2358" spans="1:3" x14ac:dyDescent="0.25">
      <c r="A2358" s="223">
        <v>0.31143999999999999</v>
      </c>
      <c r="B2358" s="458">
        <v>1.186E-3</v>
      </c>
      <c r="C2358" t="str">
        <f t="shared" si="36"/>
        <v/>
      </c>
    </row>
    <row r="2359" spans="1:3" x14ac:dyDescent="0.25">
      <c r="A2359" s="223">
        <v>0.33975</v>
      </c>
      <c r="B2359" s="458">
        <v>3.4529999999999999E-3</v>
      </c>
      <c r="C2359" t="str">
        <f t="shared" si="36"/>
        <v/>
      </c>
    </row>
    <row r="2360" spans="1:3" x14ac:dyDescent="0.25">
      <c r="A2360" s="223">
        <v>0.36807000000000001</v>
      </c>
      <c r="B2360" s="458">
        <v>3.107E-3</v>
      </c>
      <c r="C2360" t="str">
        <f t="shared" si="36"/>
        <v/>
      </c>
    </row>
    <row r="2361" spans="1:3" x14ac:dyDescent="0.25">
      <c r="A2361" s="223">
        <v>0.42469000000000001</v>
      </c>
      <c r="B2361" s="458">
        <v>2.2039999999999998E-3</v>
      </c>
      <c r="C2361" t="str">
        <f t="shared" si="36"/>
        <v/>
      </c>
    </row>
    <row r="2362" spans="1:3" x14ac:dyDescent="0.25">
      <c r="A2362" s="223">
        <v>0.39638000000000001</v>
      </c>
      <c r="B2362" s="458">
        <v>4.4400000000000004E-3</v>
      </c>
      <c r="C2362" t="str">
        <f t="shared" si="36"/>
        <v/>
      </c>
    </row>
    <row r="2363" spans="1:3" x14ac:dyDescent="0.25">
      <c r="A2363" s="223">
        <v>0.39638000000000001</v>
      </c>
      <c r="B2363" s="458">
        <v>2.225E-3</v>
      </c>
      <c r="C2363" t="str">
        <f t="shared" si="36"/>
        <v/>
      </c>
    </row>
    <row r="2364" spans="1:3" x14ac:dyDescent="0.25">
      <c r="A2364" s="223">
        <v>0.39638000000000001</v>
      </c>
      <c r="B2364" s="458">
        <v>2.4139999999999999E-3</v>
      </c>
      <c r="C2364" t="str">
        <f t="shared" si="36"/>
        <v/>
      </c>
    </row>
    <row r="2365" spans="1:3" x14ac:dyDescent="0.25">
      <c r="A2365" s="223">
        <v>0.50963000000000003</v>
      </c>
      <c r="B2365" s="458">
        <v>9.6349999999999995E-3</v>
      </c>
      <c r="C2365" t="str">
        <f t="shared" si="36"/>
        <v/>
      </c>
    </row>
    <row r="2366" spans="1:3" x14ac:dyDescent="0.25">
      <c r="A2366" s="223">
        <v>0.50963000000000003</v>
      </c>
      <c r="B2366" s="458">
        <v>5.8570000000000002E-3</v>
      </c>
      <c r="C2366" t="str">
        <f t="shared" si="36"/>
        <v/>
      </c>
    </row>
    <row r="2367" spans="1:3" x14ac:dyDescent="0.25">
      <c r="A2367" s="223">
        <v>0.11608</v>
      </c>
      <c r="B2367" s="458">
        <v>9.3399999999999993E-5</v>
      </c>
      <c r="C2367" t="str">
        <f t="shared" si="36"/>
        <v/>
      </c>
    </row>
    <row r="2368" spans="1:3" x14ac:dyDescent="0.25">
      <c r="A2368" s="223">
        <v>0.27179999999999999</v>
      </c>
      <c r="B2368" s="458">
        <v>4.2820000000000002E-3</v>
      </c>
      <c r="C2368" t="str">
        <f t="shared" si="36"/>
        <v/>
      </c>
    </row>
    <row r="2369" spans="1:3" x14ac:dyDescent="0.25">
      <c r="A2369" s="223">
        <v>0.33975</v>
      </c>
      <c r="B2369" s="458">
        <v>4.0090000000000004E-3</v>
      </c>
      <c r="C2369" t="str">
        <f t="shared" si="36"/>
        <v/>
      </c>
    </row>
    <row r="2370" spans="1:3" x14ac:dyDescent="0.25">
      <c r="A2370" s="223">
        <v>0.33975</v>
      </c>
      <c r="B2370" s="458">
        <v>3.8939999999999999E-3</v>
      </c>
      <c r="C2370" t="str">
        <f t="shared" si="36"/>
        <v/>
      </c>
    </row>
    <row r="2371" spans="1:3" x14ac:dyDescent="0.25">
      <c r="A2371" s="223">
        <v>0.27745999999999998</v>
      </c>
      <c r="B2371" s="458">
        <v>7.515E-3</v>
      </c>
      <c r="C2371" t="str">
        <f t="shared" si="36"/>
        <v/>
      </c>
    </row>
    <row r="2372" spans="1:3" x14ac:dyDescent="0.25">
      <c r="A2372" s="223">
        <v>0.36807000000000001</v>
      </c>
      <c r="B2372" s="458">
        <v>6.6119999999999998E-3</v>
      </c>
      <c r="C2372" t="str">
        <f t="shared" ref="C2372:C2435" si="37">IF(B2372=0,"XXXXXXXX","")</f>
        <v/>
      </c>
    </row>
    <row r="2373" spans="1:3" x14ac:dyDescent="0.25">
      <c r="A2373" s="223">
        <v>0.42469000000000001</v>
      </c>
      <c r="B2373" s="458">
        <v>1.1440000000000001E-2</v>
      </c>
      <c r="C2373" t="str">
        <f t="shared" si="37"/>
        <v/>
      </c>
    </row>
    <row r="2374" spans="1:3" x14ac:dyDescent="0.25">
      <c r="A2374" s="223">
        <v>0.36807000000000001</v>
      </c>
      <c r="B2374" s="458">
        <v>7.9349999999999993E-3</v>
      </c>
      <c r="C2374" t="str">
        <f t="shared" si="37"/>
        <v/>
      </c>
    </row>
    <row r="2375" spans="1:3" x14ac:dyDescent="0.25">
      <c r="A2375" s="223">
        <v>0.33975</v>
      </c>
      <c r="B2375" s="458">
        <v>8.6200000000000003E-4</v>
      </c>
      <c r="C2375" t="str">
        <f t="shared" si="37"/>
        <v/>
      </c>
    </row>
    <row r="2376" spans="1:3" x14ac:dyDescent="0.25">
      <c r="A2376" s="223">
        <v>0.26896999999999999</v>
      </c>
      <c r="B2376" s="458">
        <v>1.0709999999999999E-3</v>
      </c>
      <c r="C2376" t="str">
        <f t="shared" si="37"/>
        <v/>
      </c>
    </row>
    <row r="2377" spans="1:3" x14ac:dyDescent="0.25">
      <c r="A2377" s="223">
        <v>0.36807000000000001</v>
      </c>
      <c r="B2377" s="458">
        <v>9.8239999999999994E-3</v>
      </c>
      <c r="C2377" t="str">
        <f t="shared" si="37"/>
        <v/>
      </c>
    </row>
    <row r="2378" spans="1:3" x14ac:dyDescent="0.25">
      <c r="A2378" s="223">
        <v>0.39638000000000001</v>
      </c>
      <c r="B2378" s="458">
        <v>5.4469999999999996E-3</v>
      </c>
      <c r="C2378" t="str">
        <f t="shared" si="37"/>
        <v/>
      </c>
    </row>
    <row r="2379" spans="1:3" x14ac:dyDescent="0.25">
      <c r="A2379" s="223">
        <v>0.36807000000000001</v>
      </c>
      <c r="B2379" s="458">
        <v>2.529E-3</v>
      </c>
      <c r="C2379" t="str">
        <f t="shared" si="37"/>
        <v/>
      </c>
    </row>
    <row r="2380" spans="1:3" x14ac:dyDescent="0.25">
      <c r="A2380" s="223">
        <v>0.33975</v>
      </c>
      <c r="B2380" s="458">
        <v>3.0019999999999999E-3</v>
      </c>
      <c r="C2380" t="str">
        <f t="shared" si="37"/>
        <v/>
      </c>
    </row>
    <row r="2381" spans="1:3" x14ac:dyDescent="0.25">
      <c r="A2381" s="223">
        <v>0.33975</v>
      </c>
      <c r="B2381" s="458">
        <v>3.6900000000000002E-4</v>
      </c>
      <c r="C2381" t="str">
        <f t="shared" si="37"/>
        <v/>
      </c>
    </row>
    <row r="2382" spans="1:3" x14ac:dyDescent="0.25">
      <c r="A2382" s="223">
        <v>0.22084000000000001</v>
      </c>
      <c r="B2382" s="458">
        <v>9.6699999999999998E-4</v>
      </c>
      <c r="C2382" t="str">
        <f t="shared" si="37"/>
        <v/>
      </c>
    </row>
    <row r="2383" spans="1:3" x14ac:dyDescent="0.25">
      <c r="A2383" s="223">
        <v>0.23499999999999999</v>
      </c>
      <c r="B2383" s="458">
        <v>1.9729999999999999E-3</v>
      </c>
      <c r="C2383" t="str">
        <f t="shared" si="37"/>
        <v/>
      </c>
    </row>
    <row r="2384" spans="1:3" x14ac:dyDescent="0.25">
      <c r="A2384" s="223">
        <v>0.28312999999999999</v>
      </c>
      <c r="B2384" s="458">
        <v>1.637E-3</v>
      </c>
      <c r="C2384" t="str">
        <f t="shared" si="37"/>
        <v/>
      </c>
    </row>
    <row r="2385" spans="1:3" x14ac:dyDescent="0.25">
      <c r="A2385" s="223">
        <v>0.36807000000000001</v>
      </c>
      <c r="B2385" s="458">
        <v>2.8549999999999999E-3</v>
      </c>
      <c r="C2385" t="str">
        <f t="shared" si="37"/>
        <v/>
      </c>
    </row>
    <row r="2386" spans="1:3" x14ac:dyDescent="0.25">
      <c r="A2386" s="223">
        <v>0.67949999999999999</v>
      </c>
      <c r="B2386" s="458">
        <v>1.0600999999999999E-2</v>
      </c>
      <c r="C2386" t="str">
        <f t="shared" si="37"/>
        <v/>
      </c>
    </row>
    <row r="2387" spans="1:3" x14ac:dyDescent="0.25">
      <c r="A2387" s="223">
        <v>0.73612999999999995</v>
      </c>
      <c r="B2387" s="458">
        <v>5.2687999999999999E-2</v>
      </c>
      <c r="C2387" t="str">
        <f t="shared" si="37"/>
        <v/>
      </c>
    </row>
    <row r="2388" spans="1:3" x14ac:dyDescent="0.25">
      <c r="A2388" s="223">
        <v>0.59457000000000004</v>
      </c>
      <c r="B2388" s="458">
        <v>1.5429E-2</v>
      </c>
      <c r="C2388" t="str">
        <f t="shared" si="37"/>
        <v/>
      </c>
    </row>
    <row r="2389" spans="1:3" x14ac:dyDescent="0.25">
      <c r="A2389" s="223">
        <v>0.53793999999999997</v>
      </c>
      <c r="B2389" s="458">
        <v>1.1124999999999999E-2</v>
      </c>
      <c r="C2389" t="str">
        <f t="shared" si="37"/>
        <v/>
      </c>
    </row>
    <row r="2390" spans="1:3" x14ac:dyDescent="0.25">
      <c r="A2390" s="223">
        <v>7.0779999999999996E-2</v>
      </c>
      <c r="B2390" s="458">
        <v>3.4000000000000002E-4</v>
      </c>
      <c r="C2390" t="str">
        <f t="shared" si="37"/>
        <v/>
      </c>
    </row>
    <row r="2391" spans="1:3" x14ac:dyDescent="0.25">
      <c r="A2391" s="223">
        <v>0.17554</v>
      </c>
      <c r="B2391" s="458">
        <v>3.2899999999999997E-4</v>
      </c>
      <c r="C2391" t="str">
        <f t="shared" si="37"/>
        <v/>
      </c>
    </row>
    <row r="2392" spans="1:3" x14ac:dyDescent="0.25">
      <c r="A2392" s="223">
        <v>0.22084000000000001</v>
      </c>
      <c r="B2392" s="458">
        <v>7.9199999999999995E-4</v>
      </c>
      <c r="C2392" t="str">
        <f t="shared" si="37"/>
        <v/>
      </c>
    </row>
    <row r="2393" spans="1:3" x14ac:dyDescent="0.25">
      <c r="A2393" s="223">
        <v>0.13023999999999999</v>
      </c>
      <c r="B2393" s="458">
        <v>5.9200000000000002E-5</v>
      </c>
      <c r="C2393" t="str">
        <f t="shared" si="37"/>
        <v/>
      </c>
    </row>
    <row r="2394" spans="1:3" x14ac:dyDescent="0.25">
      <c r="A2394" s="223">
        <v>0.13023999999999999</v>
      </c>
      <c r="B2394" s="458">
        <v>4.21E-5</v>
      </c>
      <c r="C2394" t="str">
        <f t="shared" si="37"/>
        <v/>
      </c>
    </row>
    <row r="2395" spans="1:3" x14ac:dyDescent="0.25">
      <c r="A2395" s="223">
        <v>0.33975</v>
      </c>
      <c r="B2395" s="458">
        <v>8.5899999999999995E-4</v>
      </c>
      <c r="C2395" t="str">
        <f t="shared" si="37"/>
        <v/>
      </c>
    </row>
    <row r="2396" spans="1:3" x14ac:dyDescent="0.25">
      <c r="A2396" s="223">
        <v>0.36807000000000001</v>
      </c>
      <c r="B2396" s="458">
        <v>2.4659999999999999E-3</v>
      </c>
      <c r="C2396" t="str">
        <f t="shared" si="37"/>
        <v/>
      </c>
    </row>
    <row r="2397" spans="1:3" x14ac:dyDescent="0.25">
      <c r="A2397" s="223">
        <v>0.36807000000000001</v>
      </c>
      <c r="B2397" s="458">
        <v>1.134E-3</v>
      </c>
      <c r="C2397" t="str">
        <f t="shared" si="37"/>
        <v/>
      </c>
    </row>
    <row r="2398" spans="1:3" x14ac:dyDescent="0.25">
      <c r="A2398" s="223">
        <v>0.26896999999999999</v>
      </c>
      <c r="B2398" s="458">
        <v>2.12E-4</v>
      </c>
      <c r="C2398" t="str">
        <f t="shared" si="37"/>
        <v/>
      </c>
    </row>
    <row r="2399" spans="1:3" x14ac:dyDescent="0.25">
      <c r="A2399" s="223">
        <v>0.25197999999999998</v>
      </c>
      <c r="B2399" s="458">
        <v>2.5700000000000001E-4</v>
      </c>
      <c r="C2399" t="str">
        <f t="shared" si="37"/>
        <v/>
      </c>
    </row>
    <row r="2400" spans="1:3" x14ac:dyDescent="0.25">
      <c r="A2400" s="223">
        <v>0.22084000000000001</v>
      </c>
      <c r="B2400" s="458">
        <v>1.6100000000000001E-4</v>
      </c>
      <c r="C2400" t="str">
        <f t="shared" si="37"/>
        <v/>
      </c>
    </row>
    <row r="2401" spans="1:3" x14ac:dyDescent="0.25">
      <c r="A2401" s="223">
        <v>0.22084000000000001</v>
      </c>
      <c r="B2401" s="458">
        <v>2.3699999999999999E-4</v>
      </c>
      <c r="C2401" t="str">
        <f t="shared" si="37"/>
        <v/>
      </c>
    </row>
    <row r="2402" spans="1:3" x14ac:dyDescent="0.25">
      <c r="A2402" s="223">
        <v>0.26613999999999999</v>
      </c>
      <c r="B2402" s="458">
        <v>9.3399999999999993E-5</v>
      </c>
      <c r="C2402" t="str">
        <f t="shared" si="37"/>
        <v/>
      </c>
    </row>
    <row r="2403" spans="1:3" x14ac:dyDescent="0.25">
      <c r="A2403" s="223">
        <v>0.28312999999999999</v>
      </c>
      <c r="B2403" s="458">
        <v>1.879E-3</v>
      </c>
      <c r="C2403" t="str">
        <f t="shared" si="37"/>
        <v/>
      </c>
    </row>
    <row r="2404" spans="1:3" x14ac:dyDescent="0.25">
      <c r="A2404" s="223">
        <v>0.28312999999999999</v>
      </c>
      <c r="B2404" s="458">
        <v>7.9100000000000004E-4</v>
      </c>
      <c r="C2404" t="str">
        <f t="shared" si="37"/>
        <v/>
      </c>
    </row>
    <row r="2405" spans="1:3" x14ac:dyDescent="0.25">
      <c r="A2405" s="223">
        <v>0.24349000000000001</v>
      </c>
      <c r="B2405" s="458">
        <v>1.9899999999999999E-5</v>
      </c>
      <c r="C2405" t="str">
        <f t="shared" si="37"/>
        <v/>
      </c>
    </row>
    <row r="2406" spans="1:3" x14ac:dyDescent="0.25">
      <c r="A2406" s="223">
        <v>0.19536000000000001</v>
      </c>
      <c r="B2406" s="458">
        <v>2.3499999999999999E-5</v>
      </c>
      <c r="C2406" t="str">
        <f t="shared" si="37"/>
        <v/>
      </c>
    </row>
    <row r="2407" spans="1:3" x14ac:dyDescent="0.25">
      <c r="A2407" s="223">
        <v>3.8222100000000001</v>
      </c>
      <c r="B2407" s="458">
        <v>1.134E-3</v>
      </c>
      <c r="C2407" t="str">
        <f t="shared" si="37"/>
        <v/>
      </c>
    </row>
    <row r="2408" spans="1:3" x14ac:dyDescent="0.25">
      <c r="A2408" s="223">
        <v>8.7486200000000007</v>
      </c>
      <c r="B2408" s="458">
        <v>1.5324000000000001E-2</v>
      </c>
      <c r="C2408" t="str">
        <f t="shared" si="37"/>
        <v/>
      </c>
    </row>
    <row r="2409" spans="1:3" x14ac:dyDescent="0.25">
      <c r="A2409" s="223">
        <v>13.7317</v>
      </c>
      <c r="B2409" s="458">
        <v>6.0664999999999997E-2</v>
      </c>
      <c r="C2409" t="str">
        <f t="shared" si="37"/>
        <v/>
      </c>
    </row>
    <row r="2410" spans="1:3" x14ac:dyDescent="0.25">
      <c r="A2410" s="223">
        <v>7.6161199999999996</v>
      </c>
      <c r="B2410" s="458">
        <v>5.0169999999999998E-3</v>
      </c>
      <c r="C2410" t="str">
        <f t="shared" si="37"/>
        <v/>
      </c>
    </row>
    <row r="2411" spans="1:3" x14ac:dyDescent="0.25">
      <c r="A2411" s="223">
        <v>3.1993399999999999</v>
      </c>
      <c r="B2411" s="458">
        <v>2.5820000000000001E-3</v>
      </c>
      <c r="C2411" t="str">
        <f t="shared" si="37"/>
        <v/>
      </c>
    </row>
    <row r="2412" spans="1:3" x14ac:dyDescent="0.25">
      <c r="A2412" s="223">
        <v>4.7565299999999997</v>
      </c>
      <c r="B2412" s="458">
        <v>5.6470000000000001E-3</v>
      </c>
      <c r="C2412" t="str">
        <f t="shared" si="37"/>
        <v/>
      </c>
    </row>
    <row r="2413" spans="1:3" x14ac:dyDescent="0.25">
      <c r="A2413" s="223">
        <v>6.7384199999999996</v>
      </c>
      <c r="B2413" s="458">
        <v>7.6299999999999996E-3</v>
      </c>
      <c r="C2413" t="str">
        <f t="shared" si="37"/>
        <v/>
      </c>
    </row>
    <row r="2414" spans="1:3" x14ac:dyDescent="0.25">
      <c r="A2414" s="223">
        <v>5.7474800000000004</v>
      </c>
      <c r="B2414" s="458">
        <v>1.5640000000000001E-3</v>
      </c>
      <c r="C2414" t="str">
        <f t="shared" si="37"/>
        <v/>
      </c>
    </row>
    <row r="2415" spans="1:3" x14ac:dyDescent="0.25">
      <c r="A2415" s="223">
        <v>3.8788399999999998</v>
      </c>
      <c r="B2415" s="458">
        <v>2.2460999999999998E-2</v>
      </c>
      <c r="C2415" t="str">
        <f t="shared" si="37"/>
        <v/>
      </c>
    </row>
    <row r="2416" spans="1:3" x14ac:dyDescent="0.25">
      <c r="A2416" s="223">
        <v>3.9637799999999999</v>
      </c>
      <c r="B2416" s="458">
        <v>1.4059999999999999E-3</v>
      </c>
      <c r="C2416" t="str">
        <f t="shared" si="37"/>
        <v/>
      </c>
    </row>
    <row r="2417" spans="1:3" x14ac:dyDescent="0.25">
      <c r="A2417" s="223">
        <v>3.9071500000000001</v>
      </c>
      <c r="B2417" s="458">
        <v>4.9700000000000005E-4</v>
      </c>
      <c r="C2417" t="str">
        <f t="shared" si="37"/>
        <v/>
      </c>
    </row>
    <row r="2418" spans="1:3" x14ac:dyDescent="0.25">
      <c r="A2418" s="223">
        <v>7.3896199999999999</v>
      </c>
      <c r="B2418" s="458">
        <v>1.1130000000000001E-3</v>
      </c>
      <c r="C2418" t="str">
        <f t="shared" si="37"/>
        <v/>
      </c>
    </row>
    <row r="2419" spans="1:3" x14ac:dyDescent="0.25">
      <c r="A2419" s="223">
        <v>7.4745499999999998</v>
      </c>
      <c r="B2419" s="458">
        <v>7.1400000000000001E-4</v>
      </c>
      <c r="C2419" t="str">
        <f t="shared" si="37"/>
        <v/>
      </c>
    </row>
    <row r="2420" spans="1:3" x14ac:dyDescent="0.25">
      <c r="A2420" s="223">
        <v>5.5776000000000003</v>
      </c>
      <c r="B2420" s="458">
        <v>1.1969999999999999E-3</v>
      </c>
      <c r="C2420" t="str">
        <f t="shared" si="37"/>
        <v/>
      </c>
    </row>
    <row r="2421" spans="1:3" x14ac:dyDescent="0.25">
      <c r="A2421" s="223">
        <v>10.0227</v>
      </c>
      <c r="B2421" s="458">
        <v>5.6599999999999999E-4</v>
      </c>
      <c r="C2421" t="str">
        <f t="shared" si="37"/>
        <v/>
      </c>
    </row>
    <row r="2422" spans="1:3" x14ac:dyDescent="0.25">
      <c r="A2422" s="223">
        <v>1.8431599999999999</v>
      </c>
      <c r="B2422" s="458">
        <v>2.5300000000000002E-4</v>
      </c>
      <c r="C2422" t="str">
        <f t="shared" si="37"/>
        <v/>
      </c>
    </row>
    <row r="2423" spans="1:3" x14ac:dyDescent="0.25">
      <c r="A2423" s="223">
        <v>4.6149699999999996</v>
      </c>
      <c r="B2423" s="458">
        <v>4.2000000000000002E-4</v>
      </c>
      <c r="C2423" t="str">
        <f t="shared" si="37"/>
        <v/>
      </c>
    </row>
    <row r="2424" spans="1:3" x14ac:dyDescent="0.25">
      <c r="A2424" s="223">
        <v>4.1619700000000002</v>
      </c>
      <c r="B2424" s="458">
        <v>9.6699999999999998E-4</v>
      </c>
      <c r="C2424" t="str">
        <f t="shared" si="37"/>
        <v/>
      </c>
    </row>
    <row r="2425" spans="1:3" x14ac:dyDescent="0.25">
      <c r="A2425" s="223">
        <v>4.7848499999999996</v>
      </c>
      <c r="B2425" s="458">
        <v>2.34E-4</v>
      </c>
      <c r="C2425" t="str">
        <f t="shared" si="37"/>
        <v/>
      </c>
    </row>
    <row r="2426" spans="1:3" x14ac:dyDescent="0.25">
      <c r="A2426" s="223">
        <v>3.00115</v>
      </c>
      <c r="B2426" s="458">
        <v>5.1099999999999995E-4</v>
      </c>
      <c r="C2426" t="str">
        <f t="shared" si="37"/>
        <v/>
      </c>
    </row>
    <row r="2427" spans="1:3" x14ac:dyDescent="0.25">
      <c r="A2427" s="223">
        <v>7.4462400000000004</v>
      </c>
      <c r="B2427" s="458">
        <v>1.049E-3</v>
      </c>
      <c r="C2427" t="str">
        <f t="shared" si="37"/>
        <v/>
      </c>
    </row>
    <row r="2428" spans="1:3" x14ac:dyDescent="0.25">
      <c r="A2428" s="223">
        <v>5.0396599999999996</v>
      </c>
      <c r="B2428" s="458">
        <v>6.5099999999999999E-4</v>
      </c>
      <c r="C2428" t="str">
        <f t="shared" si="37"/>
        <v/>
      </c>
    </row>
    <row r="2429" spans="1:3" x14ac:dyDescent="0.25">
      <c r="A2429" s="223">
        <v>3.3125900000000001</v>
      </c>
      <c r="B2429" s="458">
        <v>1.12E-4</v>
      </c>
      <c r="C2429" t="str">
        <f t="shared" si="37"/>
        <v/>
      </c>
    </row>
    <row r="2430" spans="1:3" x14ac:dyDescent="0.25">
      <c r="A2430" s="223">
        <v>0.97962000000000005</v>
      </c>
      <c r="B2430" s="458">
        <v>1.364E-3</v>
      </c>
      <c r="C2430" t="str">
        <f t="shared" si="37"/>
        <v/>
      </c>
    </row>
    <row r="2431" spans="1:3" x14ac:dyDescent="0.25">
      <c r="A2431" s="223">
        <v>2.9728300000000001</v>
      </c>
      <c r="B2431" s="458">
        <v>1.438E-3</v>
      </c>
      <c r="C2431" t="str">
        <f t="shared" si="37"/>
        <v/>
      </c>
    </row>
    <row r="2432" spans="1:3" x14ac:dyDescent="0.25">
      <c r="A2432" s="223">
        <v>4.7282200000000003</v>
      </c>
      <c r="B2432" s="458">
        <v>2.3404999999999999E-2</v>
      </c>
      <c r="C2432" t="str">
        <f t="shared" si="37"/>
        <v/>
      </c>
    </row>
    <row r="2433" spans="1:3" x14ac:dyDescent="0.25">
      <c r="A2433" s="223">
        <v>1.7582199999999999</v>
      </c>
      <c r="B2433" s="458">
        <v>2.72E-4</v>
      </c>
      <c r="C2433" t="str">
        <f t="shared" si="37"/>
        <v/>
      </c>
    </row>
    <row r="2434" spans="1:3" x14ac:dyDescent="0.25">
      <c r="A2434" s="223">
        <v>2.18574</v>
      </c>
      <c r="B2434" s="458">
        <v>4.08E-4</v>
      </c>
      <c r="C2434" t="str">
        <f t="shared" si="37"/>
        <v/>
      </c>
    </row>
    <row r="2435" spans="1:3" x14ac:dyDescent="0.25">
      <c r="A2435" s="223">
        <v>5.6059099999999997</v>
      </c>
      <c r="B2435" s="458">
        <v>8.9949999999999995E-3</v>
      </c>
      <c r="C2435" t="str">
        <f t="shared" si="37"/>
        <v/>
      </c>
    </row>
    <row r="2436" spans="1:3" x14ac:dyDescent="0.25">
      <c r="A2436" s="223">
        <v>11.4666</v>
      </c>
      <c r="B2436" s="458">
        <v>1.2070000000000001E-2</v>
      </c>
      <c r="C2436" t="str">
        <f t="shared" ref="C2436:C2499" si="38">IF(B2436=0,"XXXXXXXX","")</f>
        <v/>
      </c>
    </row>
    <row r="2437" spans="1:3" x14ac:dyDescent="0.25">
      <c r="A2437" s="223">
        <v>12.2028</v>
      </c>
      <c r="B2437" s="458">
        <v>0.10810599999999999</v>
      </c>
      <c r="C2437" t="str">
        <f t="shared" si="38"/>
        <v/>
      </c>
    </row>
    <row r="2438" spans="1:3" x14ac:dyDescent="0.25">
      <c r="A2438" s="223">
        <v>8.7203099999999996</v>
      </c>
      <c r="B2438" s="458">
        <v>2.6343999999999999E-2</v>
      </c>
      <c r="C2438" t="str">
        <f t="shared" si="38"/>
        <v/>
      </c>
    </row>
    <row r="2439" spans="1:3" x14ac:dyDescent="0.25">
      <c r="A2439" s="223">
        <v>4.9264099999999997</v>
      </c>
      <c r="B2439" s="458">
        <v>1.6689999999999999E-3</v>
      </c>
      <c r="C2439" t="str">
        <f t="shared" si="38"/>
        <v/>
      </c>
    </row>
    <row r="2440" spans="1:3" x14ac:dyDescent="0.25">
      <c r="A2440" s="223">
        <v>2.3980899999999998</v>
      </c>
      <c r="B2440" s="458">
        <v>1.06E-4</v>
      </c>
      <c r="C2440" t="str">
        <f t="shared" si="38"/>
        <v/>
      </c>
    </row>
    <row r="2441" spans="1:3" x14ac:dyDescent="0.25">
      <c r="A2441" s="223">
        <v>1.0617300000000001</v>
      </c>
      <c r="B2441" s="458">
        <v>3.57E-4</v>
      </c>
      <c r="C2441" t="str">
        <f t="shared" si="38"/>
        <v/>
      </c>
    </row>
    <row r="2442" spans="1:3" x14ac:dyDescent="0.25">
      <c r="A2442" s="223">
        <v>0.87485999999999997</v>
      </c>
      <c r="B2442" s="458">
        <v>2.62E-5</v>
      </c>
      <c r="C2442" t="str">
        <f t="shared" si="38"/>
        <v/>
      </c>
    </row>
    <row r="2443" spans="1:3" x14ac:dyDescent="0.25">
      <c r="A2443" s="223">
        <v>1.71858</v>
      </c>
      <c r="B2443" s="458">
        <v>1.4904000000000001E-2</v>
      </c>
      <c r="C2443" t="str">
        <f t="shared" si="38"/>
        <v/>
      </c>
    </row>
    <row r="2444" spans="1:3" x14ac:dyDescent="0.25">
      <c r="A2444" s="223">
        <v>1.71858</v>
      </c>
      <c r="B2444" s="458">
        <v>1.2179999999999999E-3</v>
      </c>
      <c r="C2444" t="str">
        <f t="shared" si="38"/>
        <v/>
      </c>
    </row>
    <row r="2445" spans="1:3" x14ac:dyDescent="0.25">
      <c r="A2445" s="223">
        <v>6.6251699999999998</v>
      </c>
      <c r="B2445" s="458">
        <v>1.2699999999999999E-2</v>
      </c>
      <c r="C2445" t="str">
        <f t="shared" si="38"/>
        <v/>
      </c>
    </row>
    <row r="2446" spans="1:3" x14ac:dyDescent="0.25">
      <c r="A2446" s="223">
        <v>6.6251699999999998</v>
      </c>
      <c r="B2446" s="458">
        <v>4.3556999999999998E-2</v>
      </c>
      <c r="C2446" t="str">
        <f t="shared" si="38"/>
        <v/>
      </c>
    </row>
    <row r="2447" spans="1:3" x14ac:dyDescent="0.25">
      <c r="A2447" s="223">
        <v>4.27522</v>
      </c>
      <c r="B2447" s="458">
        <v>3.6419999999999998E-3</v>
      </c>
      <c r="C2447" t="str">
        <f t="shared" si="38"/>
        <v/>
      </c>
    </row>
    <row r="2448" spans="1:3" x14ac:dyDescent="0.25">
      <c r="A2448" s="223">
        <v>4.27522</v>
      </c>
      <c r="B2448" s="458">
        <v>3.9880000000000002E-3</v>
      </c>
      <c r="C2448" t="str">
        <f t="shared" si="38"/>
        <v/>
      </c>
    </row>
    <row r="2449" spans="1:3" x14ac:dyDescent="0.25">
      <c r="A2449" s="223">
        <v>4.0487200000000003</v>
      </c>
      <c r="B2449" s="458">
        <v>2.5820000000000001E-3</v>
      </c>
      <c r="C2449" t="str">
        <f t="shared" si="38"/>
        <v/>
      </c>
    </row>
    <row r="2450" spans="1:3" x14ac:dyDescent="0.25">
      <c r="A2450" s="223">
        <v>4.0487200000000003</v>
      </c>
      <c r="B2450" s="458">
        <v>1.7420000000000001E-3</v>
      </c>
      <c r="C2450" t="str">
        <f t="shared" si="38"/>
        <v/>
      </c>
    </row>
    <row r="2451" spans="1:3" x14ac:dyDescent="0.25">
      <c r="A2451" s="223">
        <v>6.7101100000000002</v>
      </c>
      <c r="B2451" s="458">
        <v>5.143E-3</v>
      </c>
      <c r="C2451" t="str">
        <f t="shared" si="38"/>
        <v/>
      </c>
    </row>
    <row r="2452" spans="1:3" x14ac:dyDescent="0.25">
      <c r="A2452" s="223">
        <v>6.7101100000000002</v>
      </c>
      <c r="B2452" s="458">
        <v>6.9899999999999997E-3</v>
      </c>
      <c r="C2452" t="str">
        <f t="shared" si="38"/>
        <v/>
      </c>
    </row>
    <row r="2453" spans="1:3" x14ac:dyDescent="0.25">
      <c r="A2453" s="223">
        <v>8.4938099999999999</v>
      </c>
      <c r="B2453" s="458">
        <v>2.3196000000000001E-2</v>
      </c>
      <c r="C2453" t="str">
        <f t="shared" si="38"/>
        <v/>
      </c>
    </row>
    <row r="2454" spans="1:3" x14ac:dyDescent="0.25">
      <c r="A2454" s="223">
        <v>8.4938099999999999</v>
      </c>
      <c r="B2454" s="458">
        <v>1.0496E-2</v>
      </c>
      <c r="C2454" t="str">
        <f t="shared" si="38"/>
        <v/>
      </c>
    </row>
    <row r="2455" spans="1:3" x14ac:dyDescent="0.25">
      <c r="A2455" s="223">
        <v>5.5776000000000003</v>
      </c>
      <c r="B2455" s="458">
        <v>2.4559999999999998E-3</v>
      </c>
      <c r="C2455" t="str">
        <f t="shared" si="38"/>
        <v/>
      </c>
    </row>
    <row r="2456" spans="1:3" x14ac:dyDescent="0.25">
      <c r="A2456" s="223">
        <v>5.5776000000000003</v>
      </c>
      <c r="B2456" s="458">
        <v>1.9419999999999999E-3</v>
      </c>
      <c r="C2456" t="str">
        <f t="shared" si="38"/>
        <v/>
      </c>
    </row>
    <row r="2457" spans="1:3" x14ac:dyDescent="0.25">
      <c r="A2457" s="223">
        <v>5.5209799999999998</v>
      </c>
      <c r="B2457" s="458">
        <v>1.1130000000000001E-3</v>
      </c>
      <c r="C2457" t="str">
        <f t="shared" si="38"/>
        <v/>
      </c>
    </row>
    <row r="2458" spans="1:3" x14ac:dyDescent="0.25">
      <c r="A2458" s="223">
        <v>5.5209799999999998</v>
      </c>
      <c r="B2458" s="458">
        <v>2.9489999999999998E-3</v>
      </c>
      <c r="C2458" t="str">
        <f t="shared" si="38"/>
        <v/>
      </c>
    </row>
    <row r="2459" spans="1:3" x14ac:dyDescent="0.25">
      <c r="A2459" s="223">
        <v>5.2661600000000002</v>
      </c>
      <c r="B2459" s="458">
        <v>9.19E-4</v>
      </c>
      <c r="C2459" t="str">
        <f t="shared" si="38"/>
        <v/>
      </c>
    </row>
    <row r="2460" spans="1:3" x14ac:dyDescent="0.25">
      <c r="A2460" s="223">
        <v>5.2661600000000002</v>
      </c>
      <c r="B2460" s="458">
        <v>9.41E-4</v>
      </c>
      <c r="C2460" t="str">
        <f t="shared" si="38"/>
        <v/>
      </c>
    </row>
    <row r="2461" spans="1:3" x14ac:dyDescent="0.25">
      <c r="A2461" s="223">
        <v>5.5209799999999998</v>
      </c>
      <c r="B2461" s="458">
        <v>1.3849999999999999E-3</v>
      </c>
      <c r="C2461" t="str">
        <f t="shared" si="38"/>
        <v/>
      </c>
    </row>
    <row r="2462" spans="1:3" x14ac:dyDescent="0.25">
      <c r="A2462" s="223">
        <v>5.5209799999999998</v>
      </c>
      <c r="B2462" s="458">
        <v>1.753E-3</v>
      </c>
      <c r="C2462" t="str">
        <f t="shared" si="38"/>
        <v/>
      </c>
    </row>
    <row r="2463" spans="1:3" x14ac:dyDescent="0.25">
      <c r="A2463" s="223">
        <v>5.1246</v>
      </c>
      <c r="B2463" s="458">
        <v>1.805E-3</v>
      </c>
      <c r="C2463" t="str">
        <f t="shared" si="38"/>
        <v/>
      </c>
    </row>
    <row r="2464" spans="1:3" x14ac:dyDescent="0.25">
      <c r="A2464" s="223">
        <v>5.1246</v>
      </c>
      <c r="B2464" s="458">
        <v>1.438E-3</v>
      </c>
      <c r="C2464" t="str">
        <f t="shared" si="38"/>
        <v/>
      </c>
    </row>
    <row r="2465" spans="1:3" x14ac:dyDescent="0.25">
      <c r="A2465" s="223">
        <v>5.1529100000000003</v>
      </c>
      <c r="B2465" s="458">
        <v>2.928E-3</v>
      </c>
      <c r="C2465" t="str">
        <f t="shared" si="38"/>
        <v/>
      </c>
    </row>
    <row r="2466" spans="1:3" x14ac:dyDescent="0.25">
      <c r="A2466" s="223">
        <v>5.1529100000000003</v>
      </c>
      <c r="B2466" s="458">
        <v>1.3960000000000001E-3</v>
      </c>
      <c r="C2466" t="str">
        <f t="shared" si="38"/>
        <v/>
      </c>
    </row>
    <row r="2467" spans="1:3" x14ac:dyDescent="0.25">
      <c r="A2467" s="223">
        <v>4.27522</v>
      </c>
      <c r="B2467" s="458">
        <v>8.8099999999999995E-4</v>
      </c>
      <c r="C2467" t="str">
        <f t="shared" si="38"/>
        <v/>
      </c>
    </row>
    <row r="2468" spans="1:3" x14ac:dyDescent="0.25">
      <c r="A2468" s="223">
        <v>4.27522</v>
      </c>
      <c r="B2468" s="458">
        <v>1.0499999999999999E-3</v>
      </c>
      <c r="C2468" t="str">
        <f t="shared" si="38"/>
        <v/>
      </c>
    </row>
    <row r="2469" spans="1:3" x14ac:dyDescent="0.25">
      <c r="A2469" s="223">
        <v>3.6240299999999999</v>
      </c>
      <c r="B2469" s="458">
        <v>3.3399999999999999E-4</v>
      </c>
      <c r="C2469" t="str">
        <f t="shared" si="38"/>
        <v/>
      </c>
    </row>
    <row r="2470" spans="1:3" x14ac:dyDescent="0.25">
      <c r="A2470" s="223">
        <v>3.6240299999999999</v>
      </c>
      <c r="B2470" s="458">
        <v>2.5399999999999999E-4</v>
      </c>
      <c r="C2470" t="str">
        <f t="shared" si="38"/>
        <v/>
      </c>
    </row>
    <row r="2471" spans="1:3" x14ac:dyDescent="0.25">
      <c r="A2471" s="223">
        <v>3.42584</v>
      </c>
      <c r="B2471" s="458">
        <v>7.6099999999999996E-4</v>
      </c>
      <c r="C2471" t="str">
        <f t="shared" si="38"/>
        <v/>
      </c>
    </row>
    <row r="2472" spans="1:3" x14ac:dyDescent="0.25">
      <c r="A2472" s="223">
        <v>3.42584</v>
      </c>
      <c r="B2472" s="458">
        <v>5.4299999999999997E-4</v>
      </c>
      <c r="C2472" t="str">
        <f t="shared" si="38"/>
        <v/>
      </c>
    </row>
    <row r="2473" spans="1:3" x14ac:dyDescent="0.25">
      <c r="A2473" s="223">
        <v>2.8879000000000001</v>
      </c>
      <c r="B2473" s="458">
        <v>6.7000000000000002E-4</v>
      </c>
      <c r="C2473" t="str">
        <f t="shared" si="38"/>
        <v/>
      </c>
    </row>
    <row r="2474" spans="1:3" x14ac:dyDescent="0.25">
      <c r="A2474" s="223">
        <v>2.8879000000000001</v>
      </c>
      <c r="B2474" s="458">
        <v>1.658E-3</v>
      </c>
      <c r="C2474" t="str">
        <f t="shared" si="38"/>
        <v/>
      </c>
    </row>
    <row r="2475" spans="1:3" x14ac:dyDescent="0.25">
      <c r="A2475" s="223">
        <v>2.0951399999999998</v>
      </c>
      <c r="B2475" s="458">
        <v>1.5430000000000001E-3</v>
      </c>
      <c r="C2475" t="str">
        <f t="shared" si="38"/>
        <v/>
      </c>
    </row>
    <row r="2476" spans="1:3" x14ac:dyDescent="0.25">
      <c r="A2476" s="223">
        <v>2.0951399999999998</v>
      </c>
      <c r="B2476" s="458">
        <v>3.2850000000000002E-3</v>
      </c>
      <c r="C2476" t="str">
        <f t="shared" si="38"/>
        <v/>
      </c>
    </row>
    <row r="2477" spans="1:3" x14ac:dyDescent="0.25">
      <c r="A2477" s="223">
        <v>1.0220899999999999</v>
      </c>
      <c r="B2477" s="458">
        <v>4.8500000000000003E-4</v>
      </c>
      <c r="C2477" t="str">
        <f t="shared" si="38"/>
        <v/>
      </c>
    </row>
    <row r="2478" spans="1:3" x14ac:dyDescent="0.25">
      <c r="A2478" s="223">
        <v>1.0220899999999999</v>
      </c>
      <c r="B2478" s="458">
        <v>3.6999999999999999E-4</v>
      </c>
      <c r="C2478" t="str">
        <f t="shared" si="38"/>
        <v/>
      </c>
    </row>
    <row r="2479" spans="1:3" x14ac:dyDescent="0.25">
      <c r="A2479" s="223">
        <v>0.52944999999999998</v>
      </c>
      <c r="B2479" s="458">
        <v>8.3999999999999992E-6</v>
      </c>
      <c r="C2479" t="str">
        <f t="shared" si="38"/>
        <v/>
      </c>
    </row>
    <row r="2480" spans="1:3" x14ac:dyDescent="0.25">
      <c r="A2480" s="223">
        <v>0.52944999999999998</v>
      </c>
      <c r="B2480" s="458">
        <v>1.1E-4</v>
      </c>
      <c r="C2480" t="str">
        <f t="shared" si="38"/>
        <v/>
      </c>
    </row>
    <row r="2481" spans="1:3" x14ac:dyDescent="0.25">
      <c r="A2481" s="223">
        <v>0.64270000000000005</v>
      </c>
      <c r="B2481" s="458">
        <v>1.9900000000000001E-4</v>
      </c>
      <c r="C2481" t="str">
        <f t="shared" si="38"/>
        <v/>
      </c>
    </row>
    <row r="2482" spans="1:3" x14ac:dyDescent="0.25">
      <c r="A2482" s="223">
        <v>1.6591199999999999</v>
      </c>
      <c r="B2482" s="458">
        <v>5.6470000000000001E-3</v>
      </c>
      <c r="C2482" t="str">
        <f t="shared" si="38"/>
        <v/>
      </c>
    </row>
    <row r="2483" spans="1:3" x14ac:dyDescent="0.25">
      <c r="A2483" s="223">
        <v>1.6591199999999999</v>
      </c>
      <c r="B2483" s="458">
        <v>8.5120000000000005E-3</v>
      </c>
      <c r="C2483" t="str">
        <f t="shared" si="38"/>
        <v/>
      </c>
    </row>
    <row r="2484" spans="1:3" x14ac:dyDescent="0.25">
      <c r="A2484" s="223">
        <v>2.3103199999999999</v>
      </c>
      <c r="B2484" s="458">
        <v>6.2100000000000002E-4</v>
      </c>
      <c r="C2484" t="str">
        <f t="shared" si="38"/>
        <v/>
      </c>
    </row>
    <row r="2485" spans="1:3" x14ac:dyDescent="0.25">
      <c r="A2485" s="223">
        <v>2.3103199999999999</v>
      </c>
      <c r="B2485" s="458">
        <v>1.732E-3</v>
      </c>
      <c r="C2485" t="str">
        <f t="shared" si="38"/>
        <v/>
      </c>
    </row>
    <row r="2486" spans="1:3" x14ac:dyDescent="0.25">
      <c r="A2486" s="223">
        <v>1.8912899999999999</v>
      </c>
      <c r="B2486" s="458">
        <v>1.931E-3</v>
      </c>
      <c r="C2486" t="str">
        <f t="shared" si="38"/>
        <v/>
      </c>
    </row>
    <row r="2487" spans="1:3" x14ac:dyDescent="0.25">
      <c r="A2487" s="223">
        <v>1.8912899999999999</v>
      </c>
      <c r="B2487" s="458">
        <v>5.437E-3</v>
      </c>
      <c r="C2487" t="str">
        <f t="shared" si="38"/>
        <v/>
      </c>
    </row>
    <row r="2488" spans="1:3" x14ac:dyDescent="0.25">
      <c r="A2488" s="223">
        <v>1.9960500000000001</v>
      </c>
      <c r="B2488" s="458">
        <v>8.2799999999999996E-4</v>
      </c>
      <c r="C2488" t="str">
        <f t="shared" si="38"/>
        <v/>
      </c>
    </row>
    <row r="2489" spans="1:3" x14ac:dyDescent="0.25">
      <c r="A2489" s="223">
        <v>1.9960500000000001</v>
      </c>
      <c r="B2489" s="458">
        <v>1.8370000000000001E-3</v>
      </c>
      <c r="C2489" t="str">
        <f t="shared" si="38"/>
        <v/>
      </c>
    </row>
    <row r="2490" spans="1:3" x14ac:dyDescent="0.25">
      <c r="A2490" s="223">
        <v>2.51417</v>
      </c>
      <c r="B2490" s="458">
        <v>1.91E-3</v>
      </c>
      <c r="C2490" t="str">
        <f t="shared" si="38"/>
        <v/>
      </c>
    </row>
    <row r="2491" spans="1:3" x14ac:dyDescent="0.25">
      <c r="A2491" s="223">
        <v>2.51417</v>
      </c>
      <c r="B2491" s="458">
        <v>3.4949999999999998E-3</v>
      </c>
      <c r="C2491" t="str">
        <f t="shared" si="38"/>
        <v/>
      </c>
    </row>
    <row r="2492" spans="1:3" x14ac:dyDescent="0.25">
      <c r="A2492" s="223">
        <v>3.5107699999999999</v>
      </c>
      <c r="B2492" s="458">
        <v>1.343E-3</v>
      </c>
      <c r="C2492" t="str">
        <f t="shared" si="38"/>
        <v/>
      </c>
    </row>
    <row r="2493" spans="1:3" x14ac:dyDescent="0.25">
      <c r="A2493" s="223">
        <v>3.5107699999999999</v>
      </c>
      <c r="B2493" s="458">
        <v>4.261E-3</v>
      </c>
      <c r="C2493" t="str">
        <f t="shared" si="38"/>
        <v/>
      </c>
    </row>
    <row r="2494" spans="1:3" x14ac:dyDescent="0.25">
      <c r="A2494" s="223">
        <v>4.7282200000000003</v>
      </c>
      <c r="B2494" s="458">
        <v>5.5840000000000004E-3</v>
      </c>
      <c r="C2494" t="str">
        <f t="shared" si="38"/>
        <v/>
      </c>
    </row>
    <row r="2495" spans="1:3" x14ac:dyDescent="0.25">
      <c r="A2495" s="223">
        <v>4.7282200000000003</v>
      </c>
      <c r="B2495" s="458">
        <v>5.0590000000000001E-3</v>
      </c>
      <c r="C2495" t="str">
        <f t="shared" si="38"/>
        <v/>
      </c>
    </row>
    <row r="2496" spans="1:3" x14ac:dyDescent="0.25">
      <c r="A2496" s="223">
        <v>8.9468099999999993</v>
      </c>
      <c r="B2496" s="458">
        <v>2.0152E-2</v>
      </c>
      <c r="C2496" t="str">
        <f t="shared" si="38"/>
        <v/>
      </c>
    </row>
    <row r="2497" spans="1:3" x14ac:dyDescent="0.25">
      <c r="A2497" s="223">
        <v>8.9468099999999993</v>
      </c>
      <c r="B2497" s="458">
        <v>1.5533999999999999E-2</v>
      </c>
      <c r="C2497" t="str">
        <f t="shared" si="38"/>
        <v/>
      </c>
    </row>
    <row r="2498" spans="1:3" x14ac:dyDescent="0.25">
      <c r="A2498" s="223">
        <v>8.5787499999999994</v>
      </c>
      <c r="B2498" s="458">
        <v>1.0600999999999999E-2</v>
      </c>
      <c r="C2498" t="str">
        <f t="shared" si="38"/>
        <v/>
      </c>
    </row>
    <row r="2499" spans="1:3" x14ac:dyDescent="0.25">
      <c r="A2499" s="223">
        <v>8.5787499999999994</v>
      </c>
      <c r="B2499" s="458">
        <v>1.0390999999999999E-2</v>
      </c>
      <c r="C2499" t="str">
        <f t="shared" si="38"/>
        <v/>
      </c>
    </row>
    <row r="2500" spans="1:3" x14ac:dyDescent="0.25">
      <c r="A2500" s="223">
        <v>9.2582500000000003</v>
      </c>
      <c r="B2500" s="458">
        <v>1.0916E-2</v>
      </c>
      <c r="C2500" t="str">
        <f t="shared" ref="C2500:C2562" si="39">IF(B2500=0,"XXXXXXXX","")</f>
        <v/>
      </c>
    </row>
    <row r="2501" spans="1:3" x14ac:dyDescent="0.25">
      <c r="A2501" s="223">
        <v>9.2582500000000003</v>
      </c>
      <c r="B2501" s="458">
        <v>1.2385E-2</v>
      </c>
      <c r="C2501" t="str">
        <f t="shared" si="39"/>
        <v/>
      </c>
    </row>
    <row r="2502" spans="1:3" x14ac:dyDescent="0.25">
      <c r="A2502" s="223">
        <v>9.8528199999999995</v>
      </c>
      <c r="B2502" s="458">
        <v>1.8158000000000001E-2</v>
      </c>
      <c r="C2502" t="str">
        <f t="shared" si="39"/>
        <v/>
      </c>
    </row>
    <row r="2503" spans="1:3" x14ac:dyDescent="0.25">
      <c r="A2503" s="223">
        <v>9.8528199999999995</v>
      </c>
      <c r="B2503" s="458">
        <v>1.2805E-2</v>
      </c>
      <c r="C2503" t="str">
        <f t="shared" si="39"/>
        <v/>
      </c>
    </row>
    <row r="2504" spans="1:3" x14ac:dyDescent="0.25">
      <c r="A2504" s="223">
        <v>8.6920000000000002</v>
      </c>
      <c r="B2504" s="458">
        <v>1.123E-2</v>
      </c>
      <c r="C2504" t="str">
        <f t="shared" si="39"/>
        <v/>
      </c>
    </row>
    <row r="2505" spans="1:3" x14ac:dyDescent="0.25">
      <c r="A2505" s="223">
        <v>8.6920000000000002</v>
      </c>
      <c r="B2505" s="458">
        <v>9.247E-3</v>
      </c>
      <c r="C2505" t="str">
        <f t="shared" si="39"/>
        <v/>
      </c>
    </row>
    <row r="2506" spans="1:3" x14ac:dyDescent="0.25">
      <c r="A2506" s="223">
        <v>7.9841800000000003</v>
      </c>
      <c r="B2506" s="458">
        <v>7.169E-3</v>
      </c>
      <c r="C2506" t="str">
        <f t="shared" si="39"/>
        <v/>
      </c>
    </row>
    <row r="2507" spans="1:3" x14ac:dyDescent="0.25">
      <c r="A2507" s="223">
        <v>7.9841800000000003</v>
      </c>
      <c r="B2507" s="458">
        <v>5.2900000000000004E-3</v>
      </c>
      <c r="C2507" t="str">
        <f t="shared" si="39"/>
        <v/>
      </c>
    </row>
    <row r="2508" spans="1:3" x14ac:dyDescent="0.25">
      <c r="A2508" s="223">
        <v>9.2016299999999998</v>
      </c>
      <c r="B2508" s="458">
        <v>1.5009E-2</v>
      </c>
      <c r="C2508" t="str">
        <f t="shared" si="39"/>
        <v/>
      </c>
    </row>
    <row r="2509" spans="1:3" x14ac:dyDescent="0.25">
      <c r="A2509" s="223">
        <v>9.2016299999999998</v>
      </c>
      <c r="B2509" s="458">
        <v>7.3680000000000004E-3</v>
      </c>
      <c r="C2509" t="str">
        <f t="shared" si="39"/>
        <v/>
      </c>
    </row>
    <row r="2510" spans="1:3" x14ac:dyDescent="0.25">
      <c r="A2510" s="223">
        <v>6.9932400000000001</v>
      </c>
      <c r="B2510" s="458">
        <v>4.5869999999999999E-3</v>
      </c>
      <c r="C2510" t="str">
        <f t="shared" si="39"/>
        <v/>
      </c>
    </row>
    <row r="2511" spans="1:3" x14ac:dyDescent="0.25">
      <c r="A2511" s="223">
        <v>6.9932400000000001</v>
      </c>
      <c r="B2511" s="458">
        <v>3.7989999999999999E-3</v>
      </c>
      <c r="C2511" t="str">
        <f t="shared" si="39"/>
        <v/>
      </c>
    </row>
    <row r="2512" spans="1:3" x14ac:dyDescent="0.25">
      <c r="A2512" s="223">
        <v>5.3510999999999997</v>
      </c>
      <c r="B2512" s="458">
        <v>2.4659999999999999E-3</v>
      </c>
      <c r="C2512" t="str">
        <f t="shared" si="39"/>
        <v/>
      </c>
    </row>
    <row r="2513" spans="1:3" x14ac:dyDescent="0.25">
      <c r="A2513" s="223">
        <v>5.3510999999999997</v>
      </c>
      <c r="B2513" s="458">
        <v>1.8469999999999999E-3</v>
      </c>
      <c r="C2513" t="str">
        <f t="shared" si="39"/>
        <v/>
      </c>
    </row>
    <row r="2514" spans="1:3" x14ac:dyDescent="0.25">
      <c r="A2514" s="223">
        <v>5.2661600000000002</v>
      </c>
      <c r="B2514" s="458">
        <v>1.0496E-2</v>
      </c>
      <c r="C2514" t="str">
        <f t="shared" si="39"/>
        <v/>
      </c>
    </row>
    <row r="2515" spans="1:3" x14ac:dyDescent="0.25">
      <c r="A2515" s="223">
        <v>5.2661600000000002</v>
      </c>
      <c r="B2515" s="458">
        <v>2.6549999999999998E-3</v>
      </c>
      <c r="C2515" t="str">
        <f t="shared" si="39"/>
        <v/>
      </c>
    </row>
    <row r="2516" spans="1:3" x14ac:dyDescent="0.25">
      <c r="A2516" s="223">
        <v>2.76898</v>
      </c>
      <c r="B2516" s="458">
        <v>2.2989999999999998E-3</v>
      </c>
      <c r="C2516" t="str">
        <f t="shared" si="39"/>
        <v/>
      </c>
    </row>
    <row r="2517" spans="1:3" x14ac:dyDescent="0.25">
      <c r="A2517" s="223">
        <v>2.76898</v>
      </c>
      <c r="B2517" s="458">
        <v>1.763E-3</v>
      </c>
      <c r="C2517" t="str">
        <f t="shared" si="39"/>
        <v/>
      </c>
    </row>
    <row r="2518" spans="1:3" x14ac:dyDescent="0.25">
      <c r="A2518" s="223">
        <v>1.61666</v>
      </c>
      <c r="B2518" s="458">
        <v>1.0189999999999999E-3</v>
      </c>
      <c r="C2518" t="str">
        <f t="shared" si="39"/>
        <v/>
      </c>
    </row>
    <row r="2519" spans="1:3" x14ac:dyDescent="0.25">
      <c r="A2519" s="223">
        <v>1.61666</v>
      </c>
      <c r="B2519" s="458">
        <v>1.753E-3</v>
      </c>
      <c r="C2519" t="str">
        <f t="shared" si="39"/>
        <v/>
      </c>
    </row>
    <row r="2520" spans="1:3" x14ac:dyDescent="0.25">
      <c r="A2520" s="223">
        <v>1.1211800000000001</v>
      </c>
      <c r="B2520" s="458">
        <v>5.3499999999999999E-5</v>
      </c>
      <c r="C2520" t="str">
        <f t="shared" si="39"/>
        <v/>
      </c>
    </row>
    <row r="2521" spans="1:3" x14ac:dyDescent="0.25">
      <c r="A2521" s="223">
        <v>0.77293999999999996</v>
      </c>
      <c r="B2521" s="458">
        <v>2.2699999999999999E-4</v>
      </c>
      <c r="C2521" t="str">
        <f t="shared" si="39"/>
        <v/>
      </c>
    </row>
    <row r="2522" spans="1:3" x14ac:dyDescent="0.25">
      <c r="A2522" s="223">
        <v>0.95696999999999999</v>
      </c>
      <c r="B2522" s="458">
        <v>5.0399999999999999E-5</v>
      </c>
      <c r="C2522" t="str">
        <f t="shared" si="39"/>
        <v/>
      </c>
    </row>
    <row r="2523" spans="1:3" x14ac:dyDescent="0.25">
      <c r="A2523" s="223">
        <v>2.8114499999999998</v>
      </c>
      <c r="B2523" s="458">
        <v>1.732E-3</v>
      </c>
      <c r="C2523" t="str">
        <f t="shared" si="39"/>
        <v/>
      </c>
    </row>
    <row r="2524" spans="1:3" x14ac:dyDescent="0.25">
      <c r="A2524" s="223">
        <v>6.6534800000000001</v>
      </c>
      <c r="B2524" s="458">
        <v>8.0190000000000001E-3</v>
      </c>
      <c r="C2524" t="str">
        <f t="shared" si="39"/>
        <v/>
      </c>
    </row>
    <row r="2525" spans="1:3" x14ac:dyDescent="0.25">
      <c r="A2525" s="223">
        <v>5.0679699999999999</v>
      </c>
      <c r="B2525" s="458">
        <v>7.7669999999999996E-3</v>
      </c>
      <c r="C2525" t="str">
        <f t="shared" si="39"/>
        <v/>
      </c>
    </row>
    <row r="2526" spans="1:3" x14ac:dyDescent="0.25">
      <c r="A2526" s="223">
        <v>15.770200000000001</v>
      </c>
      <c r="B2526" s="458">
        <v>0.10810599999999999</v>
      </c>
      <c r="C2526" t="str">
        <f t="shared" si="39"/>
        <v/>
      </c>
    </row>
    <row r="2527" spans="1:3" x14ac:dyDescent="0.25">
      <c r="A2527" s="223">
        <v>14.835900000000001</v>
      </c>
      <c r="B2527" s="458">
        <v>3.6104999999999998E-2</v>
      </c>
      <c r="C2527" t="str">
        <f t="shared" si="39"/>
        <v/>
      </c>
    </row>
    <row r="2528" spans="1:3" x14ac:dyDescent="0.25">
      <c r="A2528" s="223">
        <v>11.523300000000001</v>
      </c>
      <c r="B2528" s="458">
        <v>2.8024E-2</v>
      </c>
      <c r="C2528" t="str">
        <f t="shared" si="39"/>
        <v/>
      </c>
    </row>
    <row r="2529" spans="1:3" x14ac:dyDescent="0.25">
      <c r="A2529" s="223">
        <v>13.052199999999999</v>
      </c>
      <c r="B2529" s="458">
        <v>3.7679999999999998E-2</v>
      </c>
      <c r="C2529" t="str">
        <f t="shared" si="39"/>
        <v/>
      </c>
    </row>
    <row r="2530" spans="1:3" x14ac:dyDescent="0.25">
      <c r="A2530" s="223">
        <v>7.7293700000000003</v>
      </c>
      <c r="B2530" s="458">
        <v>6.0460000000000002E-3</v>
      </c>
      <c r="C2530" t="str">
        <f t="shared" si="39"/>
        <v/>
      </c>
    </row>
    <row r="2531" spans="1:3" x14ac:dyDescent="0.25">
      <c r="A2531" s="223">
        <v>6.3420500000000004</v>
      </c>
      <c r="B2531" s="458">
        <v>2.2145999999999999E-2</v>
      </c>
      <c r="C2531" t="str">
        <f t="shared" si="39"/>
        <v/>
      </c>
    </row>
    <row r="2532" spans="1:3" x14ac:dyDescent="0.25">
      <c r="A2532" s="223">
        <v>3.85053</v>
      </c>
      <c r="B2532" s="458">
        <v>7.3099999999999999E-4</v>
      </c>
      <c r="C2532" t="str">
        <f t="shared" si="39"/>
        <v/>
      </c>
    </row>
    <row r="2533" spans="1:3" x14ac:dyDescent="0.25">
      <c r="A2533" s="223">
        <v>2.2452000000000001</v>
      </c>
      <c r="B2533" s="458">
        <v>3.0860000000000002E-3</v>
      </c>
      <c r="C2533" t="str">
        <f t="shared" si="39"/>
        <v/>
      </c>
    </row>
    <row r="2534" spans="1:3" x14ac:dyDescent="0.25">
      <c r="A2534" s="223">
        <v>1.71858</v>
      </c>
      <c r="B2534" s="458">
        <v>7.5600000000000005E-4</v>
      </c>
      <c r="C2534" t="str">
        <f t="shared" si="39"/>
        <v/>
      </c>
    </row>
    <row r="2535" spans="1:3" x14ac:dyDescent="0.25">
      <c r="A2535" s="223">
        <v>1.17781</v>
      </c>
      <c r="B2535" s="458">
        <v>1.12E-4</v>
      </c>
      <c r="C2535" t="str">
        <f t="shared" si="39"/>
        <v/>
      </c>
    </row>
    <row r="2536" spans="1:3" x14ac:dyDescent="0.25">
      <c r="A2536" s="223">
        <v>3.9071500000000001</v>
      </c>
      <c r="B2536" s="458">
        <v>3.2429999999999998E-3</v>
      </c>
      <c r="C2536" t="str">
        <f t="shared" si="39"/>
        <v/>
      </c>
    </row>
    <row r="2537" spans="1:3" x14ac:dyDescent="0.25">
      <c r="A2537" s="223">
        <v>6.2571099999999999</v>
      </c>
      <c r="B2537" s="458">
        <v>1.2175E-2</v>
      </c>
      <c r="C2537" t="str">
        <f t="shared" si="39"/>
        <v/>
      </c>
    </row>
    <row r="2538" spans="1:3" x14ac:dyDescent="0.25">
      <c r="A2538" s="223">
        <v>7.3896199999999999</v>
      </c>
      <c r="B2538" s="458">
        <v>7.7559999999999999E-3</v>
      </c>
      <c r="C2538" t="str">
        <f t="shared" si="39"/>
        <v/>
      </c>
    </row>
    <row r="2539" spans="1:3" x14ac:dyDescent="0.25">
      <c r="A2539" s="223">
        <v>18.318300000000001</v>
      </c>
      <c r="B2539" s="458">
        <v>9.3307000000000001E-2</v>
      </c>
      <c r="C2539" t="str">
        <f t="shared" si="39"/>
        <v/>
      </c>
    </row>
    <row r="2540" spans="1:3" x14ac:dyDescent="0.25">
      <c r="A2540" s="223">
        <v>15.119</v>
      </c>
      <c r="B2540" s="458">
        <v>1.6792999999999999E-2</v>
      </c>
      <c r="C2540" t="str">
        <f t="shared" si="39"/>
        <v/>
      </c>
    </row>
    <row r="2541" spans="1:3" x14ac:dyDescent="0.25">
      <c r="A2541" s="223">
        <v>14.241300000000001</v>
      </c>
      <c r="B2541" s="458">
        <v>2.4035000000000001E-2</v>
      </c>
      <c r="C2541" t="str">
        <f t="shared" si="39"/>
        <v/>
      </c>
    </row>
    <row r="2542" spans="1:3" x14ac:dyDescent="0.25">
      <c r="A2542" s="223">
        <v>11.2401</v>
      </c>
      <c r="B2542" s="458">
        <v>7.1580000000000003E-3</v>
      </c>
      <c r="C2542" t="str">
        <f t="shared" si="39"/>
        <v/>
      </c>
    </row>
    <row r="2543" spans="1:3" x14ac:dyDescent="0.25">
      <c r="A2543" s="223">
        <v>14.779199999999999</v>
      </c>
      <c r="B2543" s="458">
        <v>2.477E-2</v>
      </c>
      <c r="C2543" t="str">
        <f t="shared" si="39"/>
        <v/>
      </c>
    </row>
    <row r="2544" spans="1:3" x14ac:dyDescent="0.25">
      <c r="A2544" s="223">
        <v>6.5402300000000002</v>
      </c>
      <c r="B2544" s="458">
        <v>1.155E-3</v>
      </c>
      <c r="C2544" t="str">
        <f t="shared" si="39"/>
        <v/>
      </c>
    </row>
    <row r="2545" spans="1:3" x14ac:dyDescent="0.25">
      <c r="A2545" s="223">
        <v>3.0577700000000001</v>
      </c>
      <c r="B2545" s="458">
        <v>1.9417E-2</v>
      </c>
      <c r="C2545" t="str">
        <f t="shared" si="39"/>
        <v/>
      </c>
    </row>
    <row r="2546" spans="1:3" x14ac:dyDescent="0.25">
      <c r="A2546" s="223">
        <v>1.1268499999999999</v>
      </c>
      <c r="B2546" s="458">
        <v>2.4979999999999998E-3</v>
      </c>
      <c r="C2546" t="str">
        <f t="shared" si="39"/>
        <v/>
      </c>
    </row>
    <row r="2547" spans="1:3" x14ac:dyDescent="0.25">
      <c r="A2547" s="223">
        <v>2.01586</v>
      </c>
      <c r="B2547" s="458">
        <v>5.0900000000000001E-4</v>
      </c>
      <c r="C2547" t="str">
        <f t="shared" si="39"/>
        <v/>
      </c>
    </row>
    <row r="2548" spans="1:3" x14ac:dyDescent="0.25">
      <c r="A2548" s="223">
        <v>9.0883800000000008</v>
      </c>
      <c r="B2548" s="458">
        <v>2.7390000000000001E-3</v>
      </c>
      <c r="C2548" t="str">
        <f t="shared" si="39"/>
        <v/>
      </c>
    </row>
    <row r="2549" spans="1:3" x14ac:dyDescent="0.25">
      <c r="A2549" s="223">
        <v>8.8335600000000003</v>
      </c>
      <c r="B2549" s="458">
        <v>5.6150000000000002E-3</v>
      </c>
      <c r="C2549" t="str">
        <f t="shared" si="39"/>
        <v/>
      </c>
    </row>
    <row r="2550" spans="1:3" x14ac:dyDescent="0.25">
      <c r="A2550" s="223">
        <v>8.5787499999999994</v>
      </c>
      <c r="B2550" s="458">
        <v>8.0079999999999995E-3</v>
      </c>
      <c r="C2550" t="str">
        <f t="shared" si="39"/>
        <v/>
      </c>
    </row>
    <row r="2551" spans="1:3" x14ac:dyDescent="0.25">
      <c r="A2551" s="223">
        <v>9.7395700000000005</v>
      </c>
      <c r="B2551" s="458">
        <v>4.0509999999999999E-3</v>
      </c>
      <c r="C2551" t="str">
        <f t="shared" si="39"/>
        <v/>
      </c>
    </row>
    <row r="2552" spans="1:3" x14ac:dyDescent="0.25">
      <c r="A2552" s="223">
        <v>7.53118</v>
      </c>
      <c r="B2552" s="458">
        <v>1.354E-3</v>
      </c>
      <c r="C2552" t="str">
        <f t="shared" si="39"/>
        <v/>
      </c>
    </row>
    <row r="2553" spans="1:3" x14ac:dyDescent="0.25">
      <c r="A2553" s="223">
        <v>2.3244699999999998</v>
      </c>
      <c r="B2553" s="458">
        <v>7.5249999999999996E-3</v>
      </c>
      <c r="C2553" t="str">
        <f t="shared" si="39"/>
        <v/>
      </c>
    </row>
    <row r="2554" spans="1:3" x14ac:dyDescent="0.25">
      <c r="A2554" s="223">
        <v>1.34768</v>
      </c>
      <c r="B2554" s="458">
        <v>6.0039999999999998E-3</v>
      </c>
      <c r="C2554" t="str">
        <f t="shared" si="39"/>
        <v/>
      </c>
    </row>
    <row r="2555" spans="1:3" x14ac:dyDescent="0.25">
      <c r="A2555" s="223">
        <v>1.8374900000000001</v>
      </c>
      <c r="B2555" s="458">
        <v>4.3000000000000002E-5</v>
      </c>
      <c r="C2555" t="str">
        <f t="shared" si="39"/>
        <v/>
      </c>
    </row>
    <row r="2556" spans="1:3" x14ac:dyDescent="0.25">
      <c r="A2556" s="223">
        <v>4.2469099999999997</v>
      </c>
      <c r="B2556" s="458">
        <v>1.0709999999999999E-3</v>
      </c>
      <c r="C2556" t="str">
        <f t="shared" si="39"/>
        <v/>
      </c>
    </row>
    <row r="2557" spans="1:3" x14ac:dyDescent="0.25">
      <c r="A2557" s="223">
        <v>3.8222100000000001</v>
      </c>
      <c r="B2557" s="458">
        <v>3.0330000000000001E-3</v>
      </c>
      <c r="C2557" t="str">
        <f t="shared" si="39"/>
        <v/>
      </c>
    </row>
    <row r="2558" spans="1:3" x14ac:dyDescent="0.25">
      <c r="A2558" s="223">
        <v>17.0442</v>
      </c>
      <c r="B2558" s="458">
        <v>4.3872000000000001E-2</v>
      </c>
      <c r="C2558" t="str">
        <f t="shared" si="39"/>
        <v/>
      </c>
    </row>
    <row r="2559" spans="1:3" x14ac:dyDescent="0.25">
      <c r="A2559" s="223">
        <v>15.2889</v>
      </c>
      <c r="B2559" s="458">
        <v>2.5714999999999998E-2</v>
      </c>
      <c r="C2559" t="str">
        <f t="shared" si="39"/>
        <v/>
      </c>
    </row>
    <row r="2560" spans="1:3" x14ac:dyDescent="0.25">
      <c r="A2560" s="223">
        <v>9.5980100000000004</v>
      </c>
      <c r="B2560" s="458">
        <v>3.4320000000000002E-3</v>
      </c>
      <c r="C2560" t="str">
        <f t="shared" si="39"/>
        <v/>
      </c>
    </row>
    <row r="2561" spans="1:3" x14ac:dyDescent="0.25">
      <c r="A2561" s="223">
        <v>1.7270700000000001</v>
      </c>
      <c r="B2561" s="458">
        <v>1.2899999999999999E-4</v>
      </c>
      <c r="C2561" t="str">
        <f t="shared" si="39"/>
        <v/>
      </c>
    </row>
    <row r="2562" spans="1:3" x14ac:dyDescent="0.25">
      <c r="A2562" s="223">
        <v>0.67666999999999999</v>
      </c>
      <c r="B2562" s="458">
        <v>8.3999999999999992E-6</v>
      </c>
      <c r="C2562" t="str">
        <f t="shared" si="39"/>
        <v/>
      </c>
    </row>
    <row r="2563" spans="1:3" x14ac:dyDescent="0.25">
      <c r="A2563" s="223">
        <v>281.428</v>
      </c>
      <c r="B2563" s="458">
        <v>6.4654000000000003E-2</v>
      </c>
      <c r="C2563" t="str">
        <f t="shared" ref="C2563:C2626" si="40">IF(B2563=0,"XXXXXXXX","")</f>
        <v/>
      </c>
    </row>
    <row r="2564" spans="1:3" x14ac:dyDescent="0.25">
      <c r="A2564" s="223">
        <v>281.428</v>
      </c>
      <c r="B2564" s="458">
        <v>8.6485000000000006E-2</v>
      </c>
      <c r="C2564" t="str">
        <f t="shared" si="40"/>
        <v/>
      </c>
    </row>
    <row r="2565" spans="1:3" x14ac:dyDescent="0.25">
      <c r="A2565" s="223">
        <v>328.42700000000002</v>
      </c>
      <c r="B2565" s="458">
        <v>0.29702899999999999</v>
      </c>
      <c r="C2565" t="str">
        <f t="shared" si="40"/>
        <v/>
      </c>
    </row>
    <row r="2566" spans="1:3" x14ac:dyDescent="0.25">
      <c r="A2566" s="223">
        <v>328.42700000000002</v>
      </c>
      <c r="B2566" s="458">
        <v>0.27288899999999999</v>
      </c>
      <c r="C2566" t="str">
        <f t="shared" si="40"/>
        <v/>
      </c>
    </row>
    <row r="2567" spans="1:3" x14ac:dyDescent="0.25">
      <c r="A2567" s="223">
        <v>225.65199999999999</v>
      </c>
      <c r="B2567" s="458">
        <v>9.4461000000000003E-2</v>
      </c>
      <c r="C2567" t="str">
        <f t="shared" si="40"/>
        <v/>
      </c>
    </row>
    <row r="2568" spans="1:3" x14ac:dyDescent="0.25">
      <c r="A2568" s="223">
        <v>225.65199999999999</v>
      </c>
      <c r="B2568" s="458">
        <v>3.6839999999999998E-2</v>
      </c>
      <c r="C2568" t="str">
        <f t="shared" si="40"/>
        <v/>
      </c>
    </row>
    <row r="2569" spans="1:3" x14ac:dyDescent="0.25">
      <c r="A2569" s="223">
        <v>193.376</v>
      </c>
      <c r="B2569" s="458">
        <v>2.1410999999999999E-2</v>
      </c>
      <c r="C2569" t="str">
        <f t="shared" si="40"/>
        <v/>
      </c>
    </row>
    <row r="2570" spans="1:3" x14ac:dyDescent="0.25">
      <c r="A2570" s="223">
        <v>193.376</v>
      </c>
      <c r="B2570" s="458">
        <v>1.9522000000000001E-2</v>
      </c>
      <c r="C2570" t="str">
        <f t="shared" si="40"/>
        <v/>
      </c>
    </row>
    <row r="2571" spans="1:3" x14ac:dyDescent="0.25">
      <c r="A2571" s="223">
        <v>138.732</v>
      </c>
      <c r="B2571" s="458">
        <v>5.1429000000000002E-2</v>
      </c>
      <c r="C2571" t="str">
        <f t="shared" si="40"/>
        <v/>
      </c>
    </row>
    <row r="2572" spans="1:3" x14ac:dyDescent="0.25">
      <c r="A2572" s="223">
        <v>138.732</v>
      </c>
      <c r="B2572" s="458">
        <v>5.0379999999999999E-3</v>
      </c>
      <c r="C2572" t="str">
        <f t="shared" si="40"/>
        <v/>
      </c>
    </row>
    <row r="2573" spans="1:3" x14ac:dyDescent="0.25">
      <c r="A2573" s="223">
        <v>144.678</v>
      </c>
      <c r="B2573" s="458">
        <v>3.6740000000000002E-3</v>
      </c>
      <c r="C2573" t="str">
        <f t="shared" si="40"/>
        <v/>
      </c>
    </row>
    <row r="2574" spans="1:3" x14ac:dyDescent="0.25">
      <c r="A2574" s="223">
        <v>144.678</v>
      </c>
      <c r="B2574" s="458">
        <v>3.9880000000000002E-3</v>
      </c>
      <c r="C2574" t="str">
        <f t="shared" si="40"/>
        <v/>
      </c>
    </row>
    <row r="2575" spans="1:3" x14ac:dyDescent="0.25">
      <c r="A2575" s="223">
        <v>278.88</v>
      </c>
      <c r="B2575" s="458">
        <v>0.166882</v>
      </c>
      <c r="C2575" t="str">
        <f t="shared" si="40"/>
        <v/>
      </c>
    </row>
    <row r="2576" spans="1:3" x14ac:dyDescent="0.25">
      <c r="A2576" s="223">
        <v>278.88</v>
      </c>
      <c r="B2576" s="458">
        <v>9.1941999999999996E-2</v>
      </c>
      <c r="C2576" t="str">
        <f t="shared" si="40"/>
        <v/>
      </c>
    </row>
    <row r="2577" spans="1:3" x14ac:dyDescent="0.25">
      <c r="A2577" s="223">
        <v>277.18099999999998</v>
      </c>
      <c r="B2577" s="458">
        <v>0.10117900000000001</v>
      </c>
      <c r="C2577" t="str">
        <f t="shared" si="40"/>
        <v/>
      </c>
    </row>
    <row r="2578" spans="1:3" x14ac:dyDescent="0.25">
      <c r="A2578" s="223">
        <v>277.18099999999998</v>
      </c>
      <c r="B2578" s="458">
        <v>3.0438E-2</v>
      </c>
      <c r="C2578" t="str">
        <f t="shared" si="40"/>
        <v/>
      </c>
    </row>
    <row r="2579" spans="1:3" x14ac:dyDescent="0.25">
      <c r="A2579" s="223">
        <v>192.52600000000001</v>
      </c>
      <c r="B2579" s="458">
        <v>2.3091E-2</v>
      </c>
      <c r="C2579" t="str">
        <f t="shared" si="40"/>
        <v/>
      </c>
    </row>
    <row r="2580" spans="1:3" x14ac:dyDescent="0.25">
      <c r="A2580" s="223">
        <v>192.52600000000001</v>
      </c>
      <c r="B2580" s="458">
        <v>0.100339</v>
      </c>
      <c r="C2580" t="str">
        <f t="shared" si="40"/>
        <v/>
      </c>
    </row>
    <row r="2581" spans="1:3" x14ac:dyDescent="0.25">
      <c r="A2581" s="223">
        <v>189.69499999999999</v>
      </c>
      <c r="B2581" s="458">
        <v>3.0752000000000002E-2</v>
      </c>
      <c r="C2581" t="str">
        <f t="shared" si="40"/>
        <v/>
      </c>
    </row>
    <row r="2582" spans="1:3" x14ac:dyDescent="0.25">
      <c r="A2582" s="223">
        <v>189.69499999999999</v>
      </c>
      <c r="B2582" s="458">
        <v>2.2985999999999999E-2</v>
      </c>
      <c r="C2582" t="str">
        <f t="shared" si="40"/>
        <v/>
      </c>
    </row>
    <row r="2583" spans="1:3" x14ac:dyDescent="0.25">
      <c r="A2583" s="223">
        <v>181.768</v>
      </c>
      <c r="B2583" s="458">
        <v>4.2403000000000003E-2</v>
      </c>
      <c r="C2583" t="str">
        <f t="shared" si="40"/>
        <v/>
      </c>
    </row>
    <row r="2584" spans="1:3" x14ac:dyDescent="0.25">
      <c r="A2584" s="223">
        <v>181.768</v>
      </c>
      <c r="B2584" s="458">
        <v>3.0752000000000002E-2</v>
      </c>
      <c r="C2584" t="str">
        <f t="shared" si="40"/>
        <v/>
      </c>
    </row>
    <row r="2585" spans="1:3" x14ac:dyDescent="0.25">
      <c r="A2585" s="223">
        <v>136.46700000000001</v>
      </c>
      <c r="B2585" s="458">
        <v>3.6740000000000002E-3</v>
      </c>
      <c r="C2585" t="str">
        <f t="shared" si="40"/>
        <v/>
      </c>
    </row>
    <row r="2586" spans="1:3" x14ac:dyDescent="0.25">
      <c r="A2586" s="223">
        <v>136.46700000000001</v>
      </c>
      <c r="B2586" s="458">
        <v>2.519E-3</v>
      </c>
      <c r="C2586" t="str">
        <f t="shared" si="40"/>
        <v/>
      </c>
    </row>
    <row r="2587" spans="1:3" x14ac:dyDescent="0.25">
      <c r="A2587" s="223">
        <v>137.6</v>
      </c>
      <c r="B2587" s="458">
        <v>2.3089999999999999E-3</v>
      </c>
      <c r="C2587" t="str">
        <f t="shared" si="40"/>
        <v/>
      </c>
    </row>
    <row r="2588" spans="1:3" x14ac:dyDescent="0.25">
      <c r="A2588" s="223">
        <v>137.6</v>
      </c>
      <c r="B2588" s="458">
        <v>8.9210000000000001E-3</v>
      </c>
      <c r="C2588" t="str">
        <f t="shared" si="40"/>
        <v/>
      </c>
    </row>
    <row r="2589" spans="1:3" x14ac:dyDescent="0.25">
      <c r="A2589" s="223">
        <v>127.973</v>
      </c>
      <c r="B2589" s="458">
        <v>6.7169999999999999E-3</v>
      </c>
      <c r="C2589" t="str">
        <f t="shared" si="40"/>
        <v/>
      </c>
    </row>
    <row r="2590" spans="1:3" x14ac:dyDescent="0.25">
      <c r="A2590" s="223">
        <v>127.973</v>
      </c>
      <c r="B2590" s="458">
        <v>2.4139999999999999E-3</v>
      </c>
      <c r="C2590" t="str">
        <f t="shared" si="40"/>
        <v/>
      </c>
    </row>
    <row r="2591" spans="1:3" x14ac:dyDescent="0.25">
      <c r="A2591" s="223">
        <v>142.41300000000001</v>
      </c>
      <c r="B2591" s="458">
        <v>2.3089999999999999E-3</v>
      </c>
      <c r="C2591" t="str">
        <f t="shared" si="40"/>
        <v/>
      </c>
    </row>
    <row r="2592" spans="1:3" x14ac:dyDescent="0.25">
      <c r="A2592" s="223">
        <v>142.41300000000001</v>
      </c>
      <c r="B2592" s="458">
        <v>2.624E-3</v>
      </c>
      <c r="C2592" t="str">
        <f t="shared" si="40"/>
        <v/>
      </c>
    </row>
    <row r="2593" spans="1:3" x14ac:dyDescent="0.25">
      <c r="A2593" s="223">
        <v>114.95</v>
      </c>
      <c r="B2593" s="458">
        <v>1.0499999999999999E-3</v>
      </c>
      <c r="C2593" t="str">
        <f t="shared" si="40"/>
        <v/>
      </c>
    </row>
    <row r="2594" spans="1:3" x14ac:dyDescent="0.25">
      <c r="A2594" s="223">
        <v>114.95</v>
      </c>
      <c r="B2594" s="458">
        <v>8.4000000000000003E-4</v>
      </c>
      <c r="C2594" t="str">
        <f t="shared" si="40"/>
        <v/>
      </c>
    </row>
    <row r="2595" spans="1:3" x14ac:dyDescent="0.25">
      <c r="A2595" s="223">
        <v>214.327</v>
      </c>
      <c r="B2595" s="458">
        <v>2.2039999999999998E-3</v>
      </c>
      <c r="C2595" t="str">
        <f t="shared" si="40"/>
        <v/>
      </c>
    </row>
    <row r="2596" spans="1:3" x14ac:dyDescent="0.25">
      <c r="A2596" s="223">
        <v>214.327</v>
      </c>
      <c r="B2596" s="458">
        <v>3.359E-3</v>
      </c>
      <c r="C2596" t="str">
        <f t="shared" si="40"/>
        <v/>
      </c>
    </row>
    <row r="2597" spans="1:3" x14ac:dyDescent="0.25">
      <c r="A2597" s="223">
        <v>110.703</v>
      </c>
      <c r="B2597" s="458">
        <v>6.0879999999999997E-3</v>
      </c>
      <c r="C2597" t="str">
        <f t="shared" si="40"/>
        <v/>
      </c>
    </row>
    <row r="2598" spans="1:3" x14ac:dyDescent="0.25">
      <c r="A2598" s="223">
        <v>110.703</v>
      </c>
      <c r="B2598" s="458">
        <v>1.0181000000000001E-2</v>
      </c>
      <c r="C2598" t="str">
        <f t="shared" si="40"/>
        <v/>
      </c>
    </row>
    <row r="2599" spans="1:3" x14ac:dyDescent="0.25">
      <c r="A2599" s="223">
        <v>137.6</v>
      </c>
      <c r="B2599" s="458">
        <v>4.2088E-2</v>
      </c>
      <c r="C2599" t="str">
        <f t="shared" si="40"/>
        <v/>
      </c>
    </row>
    <row r="2600" spans="1:3" x14ac:dyDescent="0.25">
      <c r="A2600" s="223">
        <v>137.6</v>
      </c>
      <c r="B2600" s="458">
        <v>1.2070000000000001E-2</v>
      </c>
      <c r="C2600" t="str">
        <f t="shared" si="40"/>
        <v/>
      </c>
    </row>
    <row r="2601" spans="1:3" x14ac:dyDescent="0.25">
      <c r="A2601" s="223">
        <v>241.50700000000001</v>
      </c>
      <c r="B2601" s="458">
        <v>0.15953500000000001</v>
      </c>
      <c r="C2601" t="str">
        <f t="shared" si="40"/>
        <v/>
      </c>
    </row>
    <row r="2602" spans="1:3" x14ac:dyDescent="0.25">
      <c r="A2602" s="223">
        <v>241.50700000000001</v>
      </c>
      <c r="B2602" s="458">
        <v>0.104537</v>
      </c>
      <c r="C2602" t="str">
        <f t="shared" si="40"/>
        <v/>
      </c>
    </row>
    <row r="2603" spans="1:3" x14ac:dyDescent="0.25">
      <c r="A2603" s="223">
        <v>254.81399999999999</v>
      </c>
      <c r="B2603" s="458">
        <v>0.128048</v>
      </c>
      <c r="C2603" t="str">
        <f t="shared" si="40"/>
        <v/>
      </c>
    </row>
    <row r="2604" spans="1:3" x14ac:dyDescent="0.25">
      <c r="A2604" s="223">
        <v>254.81399999999999</v>
      </c>
      <c r="B2604" s="458">
        <v>0.103488</v>
      </c>
      <c r="C2604" t="str">
        <f t="shared" si="40"/>
        <v/>
      </c>
    </row>
    <row r="2605" spans="1:3" x14ac:dyDescent="0.25">
      <c r="A2605" s="223">
        <v>199.03800000000001</v>
      </c>
      <c r="B2605" s="458">
        <v>3.5160999999999998E-2</v>
      </c>
      <c r="C2605" t="str">
        <f t="shared" si="40"/>
        <v/>
      </c>
    </row>
    <row r="2606" spans="1:3" x14ac:dyDescent="0.25">
      <c r="A2606" s="223">
        <v>199.03800000000001</v>
      </c>
      <c r="B2606" s="458">
        <v>2.0257000000000001E-2</v>
      </c>
      <c r="C2606" t="str">
        <f t="shared" si="40"/>
        <v/>
      </c>
    </row>
    <row r="2607" spans="1:3" x14ac:dyDescent="0.25">
      <c r="A2607" s="223">
        <v>246.03700000000001</v>
      </c>
      <c r="B2607" s="458">
        <v>0.10810599999999999</v>
      </c>
      <c r="C2607" t="str">
        <f t="shared" si="40"/>
        <v/>
      </c>
    </row>
    <row r="2608" spans="1:3" x14ac:dyDescent="0.25">
      <c r="A2608" s="223">
        <v>246.03700000000001</v>
      </c>
      <c r="B2608" s="458">
        <v>7.3679999999999995E-2</v>
      </c>
      <c r="C2608" t="str">
        <f t="shared" si="40"/>
        <v/>
      </c>
    </row>
    <row r="2609" spans="1:3" x14ac:dyDescent="0.25">
      <c r="A2609" s="223">
        <v>247.453</v>
      </c>
      <c r="B2609" s="458">
        <v>7.5358999999999995E-2</v>
      </c>
      <c r="C2609" t="str">
        <f t="shared" si="40"/>
        <v/>
      </c>
    </row>
    <row r="2610" spans="1:3" x14ac:dyDescent="0.25">
      <c r="A2610" s="223">
        <v>247.453</v>
      </c>
      <c r="B2610" s="458">
        <v>9.8239999999999994E-2</v>
      </c>
      <c r="C2610" t="str">
        <f t="shared" si="40"/>
        <v/>
      </c>
    </row>
    <row r="2611" spans="1:3" x14ac:dyDescent="0.25">
      <c r="A2611" s="223">
        <v>243.77199999999999</v>
      </c>
      <c r="B2611" s="458">
        <v>0.13014700000000001</v>
      </c>
      <c r="C2611" t="str">
        <f t="shared" si="40"/>
        <v/>
      </c>
    </row>
    <row r="2612" spans="1:3" x14ac:dyDescent="0.25">
      <c r="A2612" s="223">
        <v>243.77199999999999</v>
      </c>
      <c r="B2612" s="458">
        <v>9.4880999999999993E-2</v>
      </c>
      <c r="C2612" t="str">
        <f t="shared" si="40"/>
        <v/>
      </c>
    </row>
    <row r="2613" spans="1:3" x14ac:dyDescent="0.25">
      <c r="A2613" s="223">
        <v>311.44</v>
      </c>
      <c r="B2613" s="458">
        <v>0.156386</v>
      </c>
      <c r="C2613" t="str">
        <f t="shared" si="40"/>
        <v/>
      </c>
    </row>
    <row r="2614" spans="1:3" x14ac:dyDescent="0.25">
      <c r="A2614" s="223">
        <v>311.44</v>
      </c>
      <c r="B2614" s="458">
        <v>0.115453</v>
      </c>
      <c r="C2614" t="str">
        <f t="shared" si="40"/>
        <v/>
      </c>
    </row>
    <row r="2615" spans="1:3" x14ac:dyDescent="0.25">
      <c r="A2615" s="223">
        <v>305.77699999999999</v>
      </c>
      <c r="B2615" s="458">
        <v>7.2944999999999996E-2</v>
      </c>
      <c r="C2615" t="str">
        <f t="shared" si="40"/>
        <v/>
      </c>
    </row>
    <row r="2616" spans="1:3" x14ac:dyDescent="0.25">
      <c r="A2616" s="223">
        <v>305.77699999999999</v>
      </c>
      <c r="B2616" s="458">
        <v>0.167931</v>
      </c>
      <c r="C2616" t="str">
        <f t="shared" si="40"/>
        <v/>
      </c>
    </row>
    <row r="2617" spans="1:3" x14ac:dyDescent="0.25">
      <c r="A2617" s="223">
        <v>317.10199999999998</v>
      </c>
      <c r="B2617" s="458">
        <v>0.30857400000000001</v>
      </c>
      <c r="C2617" t="str">
        <f t="shared" si="40"/>
        <v/>
      </c>
    </row>
    <row r="2618" spans="1:3" x14ac:dyDescent="0.25">
      <c r="A2618" s="223">
        <v>317.10199999999998</v>
      </c>
      <c r="B2618" s="458">
        <v>0.132246</v>
      </c>
      <c r="C2618" t="str">
        <f t="shared" si="40"/>
        <v/>
      </c>
    </row>
    <row r="2619" spans="1:3" x14ac:dyDescent="0.25">
      <c r="A2619" s="223">
        <v>274.63299999999998</v>
      </c>
      <c r="B2619" s="458">
        <v>8.1027000000000002E-2</v>
      </c>
      <c r="C2619" t="str">
        <f t="shared" si="40"/>
        <v/>
      </c>
    </row>
    <row r="2620" spans="1:3" x14ac:dyDescent="0.25">
      <c r="A2620" s="223">
        <v>274.63299999999998</v>
      </c>
      <c r="B2620" s="458">
        <v>0.144841</v>
      </c>
      <c r="C2620" t="str">
        <f t="shared" si="40"/>
        <v/>
      </c>
    </row>
    <row r="2621" spans="1:3" x14ac:dyDescent="0.25">
      <c r="A2621" s="223">
        <v>216.02600000000001</v>
      </c>
      <c r="B2621" s="458">
        <v>3.8099000000000001E-2</v>
      </c>
      <c r="C2621" t="str">
        <f t="shared" si="40"/>
        <v/>
      </c>
    </row>
    <row r="2622" spans="1:3" x14ac:dyDescent="0.25">
      <c r="A2622" s="223">
        <v>216.02600000000001</v>
      </c>
      <c r="B2622" s="458">
        <v>2.5295000000000002E-2</v>
      </c>
      <c r="C2622" t="str">
        <f t="shared" si="40"/>
        <v/>
      </c>
    </row>
    <row r="2623" spans="1:3" x14ac:dyDescent="0.25">
      <c r="A2623" s="223">
        <v>174.40600000000001</v>
      </c>
      <c r="B2623" s="458">
        <v>1.8997E-2</v>
      </c>
      <c r="C2623" t="str">
        <f t="shared" si="40"/>
        <v/>
      </c>
    </row>
    <row r="2624" spans="1:3" x14ac:dyDescent="0.25">
      <c r="A2624" s="223">
        <v>174.40600000000001</v>
      </c>
      <c r="B2624" s="458">
        <v>2.1516E-2</v>
      </c>
      <c r="C2624" t="str">
        <f t="shared" si="40"/>
        <v/>
      </c>
    </row>
    <row r="2625" spans="1:3" x14ac:dyDescent="0.25">
      <c r="A2625" s="223">
        <v>151.756</v>
      </c>
      <c r="B2625" s="458">
        <v>4.3030000000000004E-3</v>
      </c>
      <c r="C2625" t="str">
        <f t="shared" si="40"/>
        <v/>
      </c>
    </row>
    <row r="2626" spans="1:3" x14ac:dyDescent="0.25">
      <c r="A2626" s="223">
        <v>151.756</v>
      </c>
      <c r="B2626" s="458">
        <v>2.3089999999999999E-3</v>
      </c>
      <c r="C2626" t="str">
        <f t="shared" si="40"/>
        <v/>
      </c>
    </row>
    <row r="2627" spans="1:3" x14ac:dyDescent="0.25">
      <c r="A2627" s="223">
        <v>131.93700000000001</v>
      </c>
      <c r="B2627" s="458">
        <v>3.4640000000000001E-3</v>
      </c>
      <c r="C2627" t="str">
        <f t="shared" ref="C2627:C2690" si="41">IF(B2627=0,"XXXXXXXX","")</f>
        <v/>
      </c>
    </row>
    <row r="2628" spans="1:3" x14ac:dyDescent="0.25">
      <c r="A2628" s="223">
        <v>131.93700000000001</v>
      </c>
      <c r="B2628" s="458">
        <v>3.8518999999999998E-2</v>
      </c>
      <c r="C2628" t="str">
        <f t="shared" si="41"/>
        <v/>
      </c>
    </row>
    <row r="2629" spans="1:3" x14ac:dyDescent="0.25">
      <c r="A2629" s="223">
        <v>495.47199999999998</v>
      </c>
      <c r="B2629" s="458">
        <v>0.72315499999999999</v>
      </c>
      <c r="C2629" t="str">
        <f t="shared" si="41"/>
        <v/>
      </c>
    </row>
    <row r="2630" spans="1:3" x14ac:dyDescent="0.25">
      <c r="A2630" s="223">
        <v>495.47199999999998</v>
      </c>
      <c r="B2630" s="458">
        <v>0.81551700000000005</v>
      </c>
      <c r="C2630" t="str">
        <f t="shared" si="41"/>
        <v/>
      </c>
    </row>
    <row r="2631" spans="1:3" x14ac:dyDescent="0.25">
      <c r="A2631" s="223">
        <v>373.72800000000001</v>
      </c>
      <c r="B2631" s="458">
        <v>0.33166499999999999</v>
      </c>
      <c r="C2631" t="str">
        <f t="shared" si="41"/>
        <v/>
      </c>
    </row>
    <row r="2632" spans="1:3" x14ac:dyDescent="0.25">
      <c r="A2632" s="223">
        <v>373.72800000000001</v>
      </c>
      <c r="B2632" s="458">
        <v>1.0915539999999999</v>
      </c>
      <c r="C2632" t="str">
        <f t="shared" si="41"/>
        <v/>
      </c>
    </row>
    <row r="2633" spans="1:3" x14ac:dyDescent="0.25">
      <c r="A2633" s="223">
        <v>758.78</v>
      </c>
      <c r="B2633" s="458">
        <v>2.0361690000000001</v>
      </c>
      <c r="C2633" t="str">
        <f t="shared" si="41"/>
        <v/>
      </c>
    </row>
    <row r="2634" spans="1:3" x14ac:dyDescent="0.25">
      <c r="A2634" s="223">
        <v>753.11800000000005</v>
      </c>
      <c r="B2634" s="458">
        <v>3.6315170000000001</v>
      </c>
      <c r="C2634" t="str">
        <f t="shared" si="41"/>
        <v/>
      </c>
    </row>
    <row r="2635" spans="1:3" x14ac:dyDescent="0.25">
      <c r="A2635" s="223">
        <v>10.787100000000001</v>
      </c>
      <c r="B2635" s="458">
        <v>1.8461999999999999E-2</v>
      </c>
      <c r="C2635" t="str">
        <f t="shared" si="41"/>
        <v/>
      </c>
    </row>
    <row r="2636" spans="1:3" x14ac:dyDescent="0.25">
      <c r="A2636" s="223">
        <v>3.9920900000000001</v>
      </c>
      <c r="B2636" s="458">
        <v>5.6700000000000001E-4</v>
      </c>
      <c r="C2636" t="str">
        <f t="shared" si="41"/>
        <v/>
      </c>
    </row>
    <row r="2637" spans="1:3" x14ac:dyDescent="0.25">
      <c r="A2637" s="223">
        <v>6.3986700000000001</v>
      </c>
      <c r="B2637" s="458">
        <v>6.5389999999999997E-3</v>
      </c>
      <c r="C2637" t="str">
        <f t="shared" si="41"/>
        <v/>
      </c>
    </row>
    <row r="2638" spans="1:3" x14ac:dyDescent="0.25">
      <c r="A2638" s="223">
        <v>7.4745499999999998</v>
      </c>
      <c r="B2638" s="458">
        <v>5.2269999999999999E-3</v>
      </c>
      <c r="C2638" t="str">
        <f t="shared" si="41"/>
        <v/>
      </c>
    </row>
    <row r="2639" spans="1:3" x14ac:dyDescent="0.25">
      <c r="A2639" s="223">
        <v>2.3811</v>
      </c>
      <c r="B2639" s="458">
        <v>2.7772000000000002E-2</v>
      </c>
      <c r="C2639" t="str">
        <f t="shared" si="41"/>
        <v/>
      </c>
    </row>
    <row r="2640" spans="1:3" x14ac:dyDescent="0.25">
      <c r="A2640" s="223">
        <v>4.6432799999999999</v>
      </c>
      <c r="B2640" s="458">
        <v>9.0050000000000009E-3</v>
      </c>
      <c r="C2640" t="str">
        <f t="shared" si="41"/>
        <v/>
      </c>
    </row>
    <row r="2641" spans="1:3" x14ac:dyDescent="0.25">
      <c r="A2641" s="223">
        <v>4.5583400000000003</v>
      </c>
      <c r="B2641" s="458">
        <v>7.4791999999999997E-2</v>
      </c>
      <c r="C2641" t="str">
        <f t="shared" si="41"/>
        <v/>
      </c>
    </row>
    <row r="2642" spans="1:3" x14ac:dyDescent="0.25">
      <c r="A2642" s="223">
        <v>4.0204000000000004</v>
      </c>
      <c r="B2642" s="458">
        <v>1.15E-4</v>
      </c>
      <c r="C2642" t="str">
        <f t="shared" si="41"/>
        <v/>
      </c>
    </row>
    <row r="2643" spans="1:3" x14ac:dyDescent="0.25">
      <c r="A2643" s="223">
        <v>12.882300000000001</v>
      </c>
      <c r="B2643" s="458">
        <v>1.5533999999999999E-2</v>
      </c>
      <c r="C2643" t="str">
        <f t="shared" si="41"/>
        <v/>
      </c>
    </row>
    <row r="2644" spans="1:3" x14ac:dyDescent="0.25">
      <c r="A2644" s="223">
        <v>6.3420500000000004</v>
      </c>
      <c r="B2644" s="458">
        <v>1.165E-3</v>
      </c>
      <c r="C2644" t="str">
        <f t="shared" si="41"/>
        <v/>
      </c>
    </row>
    <row r="2645" spans="1:3" x14ac:dyDescent="0.25">
      <c r="A2645" s="223">
        <v>3.8788399999999998</v>
      </c>
      <c r="B2645" s="458">
        <v>5.0379999999999999E-3</v>
      </c>
      <c r="C2645" t="str">
        <f t="shared" si="41"/>
        <v/>
      </c>
    </row>
    <row r="2646" spans="1:3" x14ac:dyDescent="0.25">
      <c r="A2646" s="223">
        <v>6.0022900000000003</v>
      </c>
      <c r="B2646" s="458">
        <v>4.9666000000000002E-2</v>
      </c>
      <c r="C2646" t="str">
        <f t="shared" si="41"/>
        <v/>
      </c>
    </row>
    <row r="2647" spans="1:3" x14ac:dyDescent="0.25">
      <c r="A2647" s="223">
        <v>2.7718099999999999</v>
      </c>
      <c r="B2647" s="458">
        <v>1.9629999999999999E-3</v>
      </c>
      <c r="C2647" t="str">
        <f t="shared" si="41"/>
        <v/>
      </c>
    </row>
    <row r="2648" spans="1:3" x14ac:dyDescent="0.25">
      <c r="A2648" s="223">
        <v>3.85053</v>
      </c>
      <c r="B2648" s="458">
        <v>3.1500000000000001E-4</v>
      </c>
      <c r="C2648" t="str">
        <f t="shared" si="41"/>
        <v/>
      </c>
    </row>
    <row r="2649" spans="1:3" x14ac:dyDescent="0.25">
      <c r="A2649" s="223">
        <v>6.5119199999999999</v>
      </c>
      <c r="B2649" s="458">
        <v>2.9910000000000002E-3</v>
      </c>
      <c r="C2649" t="str">
        <f t="shared" si="41"/>
        <v/>
      </c>
    </row>
    <row r="2650" spans="1:3" x14ac:dyDescent="0.25">
      <c r="A2650" s="223">
        <v>5.0396599999999996</v>
      </c>
      <c r="B2650" s="458">
        <v>4.4099999999999999E-4</v>
      </c>
      <c r="C2650" t="str">
        <f t="shared" si="41"/>
        <v/>
      </c>
    </row>
    <row r="2651" spans="1:3" x14ac:dyDescent="0.25">
      <c r="A2651" s="223">
        <v>5.4360400000000002</v>
      </c>
      <c r="B2651" s="458">
        <v>9.4249999999999994E-3</v>
      </c>
      <c r="C2651" t="str">
        <f t="shared" si="41"/>
        <v/>
      </c>
    </row>
    <row r="2652" spans="1:3" x14ac:dyDescent="0.25">
      <c r="A2652" s="223">
        <v>5.9456699999999998</v>
      </c>
      <c r="B2652" s="458">
        <v>1.469E-3</v>
      </c>
      <c r="C2652" t="str">
        <f t="shared" si="41"/>
        <v/>
      </c>
    </row>
    <row r="2653" spans="1:3" x14ac:dyDescent="0.25">
      <c r="A2653" s="223">
        <v>2.8595799999999998</v>
      </c>
      <c r="B2653" s="458">
        <v>4.4099999999999999E-4</v>
      </c>
      <c r="C2653" t="str">
        <f t="shared" si="41"/>
        <v/>
      </c>
    </row>
    <row r="2654" spans="1:3" x14ac:dyDescent="0.25">
      <c r="A2654" s="223">
        <v>2.6444100000000001</v>
      </c>
      <c r="B2654" s="458">
        <v>3.6699999999999998E-4</v>
      </c>
      <c r="C2654" t="str">
        <f t="shared" si="41"/>
        <v/>
      </c>
    </row>
    <row r="2655" spans="1:3" x14ac:dyDescent="0.25">
      <c r="A2655" s="223">
        <v>2.4037500000000001</v>
      </c>
      <c r="B2655" s="458">
        <v>5.04E-4</v>
      </c>
      <c r="C2655" t="str">
        <f t="shared" si="41"/>
        <v/>
      </c>
    </row>
    <row r="2656" spans="1:3" x14ac:dyDescent="0.25">
      <c r="A2656" s="223">
        <v>1.8006899999999999</v>
      </c>
      <c r="B2656" s="458">
        <v>4.2000000000000002E-4</v>
      </c>
      <c r="C2656" t="str">
        <f t="shared" si="41"/>
        <v/>
      </c>
    </row>
    <row r="2657" spans="1:3" x14ac:dyDescent="0.25">
      <c r="A2657" s="223">
        <v>0.75878000000000001</v>
      </c>
      <c r="B2657" s="458">
        <v>1.15E-4</v>
      </c>
      <c r="C2657" t="str">
        <f t="shared" si="41"/>
        <v/>
      </c>
    </row>
    <row r="2658" spans="1:3" x14ac:dyDescent="0.25">
      <c r="A2658" s="223">
        <v>2.17442</v>
      </c>
      <c r="B2658" s="458">
        <v>4.64E-4</v>
      </c>
      <c r="C2658" t="str">
        <f t="shared" si="41"/>
        <v/>
      </c>
    </row>
    <row r="2659" spans="1:3" x14ac:dyDescent="0.25">
      <c r="A2659" s="223">
        <v>2.17442</v>
      </c>
      <c r="B2659" s="458">
        <v>1.459E-3</v>
      </c>
      <c r="C2659" t="str">
        <f t="shared" si="41"/>
        <v/>
      </c>
    </row>
    <row r="2660" spans="1:3" x14ac:dyDescent="0.25">
      <c r="A2660" s="223">
        <v>2.2027299999999999</v>
      </c>
      <c r="B2660" s="458">
        <v>1.0169999999999999E-3</v>
      </c>
      <c r="C2660" t="str">
        <f t="shared" si="41"/>
        <v/>
      </c>
    </row>
    <row r="2661" spans="1:3" x14ac:dyDescent="0.25">
      <c r="A2661" s="223">
        <v>2.2027299999999999</v>
      </c>
      <c r="B2661" s="458">
        <v>3.705E-3</v>
      </c>
      <c r="C2661" t="str">
        <f t="shared" si="41"/>
        <v/>
      </c>
    </row>
    <row r="2662" spans="1:3" x14ac:dyDescent="0.25">
      <c r="A2662" s="223">
        <v>2.9728300000000001</v>
      </c>
      <c r="B2662" s="458">
        <v>8.7430000000000008E-3</v>
      </c>
      <c r="C2662" t="str">
        <f t="shared" si="41"/>
        <v/>
      </c>
    </row>
    <row r="2663" spans="1:3" x14ac:dyDescent="0.25">
      <c r="A2663" s="223">
        <v>2.9728300000000001</v>
      </c>
      <c r="B2663" s="458">
        <v>5.8776000000000002E-2</v>
      </c>
      <c r="C2663" t="str">
        <f t="shared" si="41"/>
        <v/>
      </c>
    </row>
    <row r="2664" spans="1:3" x14ac:dyDescent="0.25">
      <c r="A2664" s="223">
        <v>4.3035300000000003</v>
      </c>
      <c r="B2664" s="458">
        <v>8.0289999999999997E-3</v>
      </c>
      <c r="C2664" t="str">
        <f t="shared" si="41"/>
        <v/>
      </c>
    </row>
    <row r="2665" spans="1:3" x14ac:dyDescent="0.25">
      <c r="A2665" s="223">
        <v>4.3035300000000003</v>
      </c>
      <c r="B2665" s="458">
        <v>2.1725999999999999E-2</v>
      </c>
      <c r="C2665" t="str">
        <f t="shared" si="41"/>
        <v/>
      </c>
    </row>
    <row r="2666" spans="1:3" x14ac:dyDescent="0.25">
      <c r="A2666" s="223">
        <v>3.9920900000000001</v>
      </c>
      <c r="B2666" s="458">
        <v>3.9884000000000003E-2</v>
      </c>
      <c r="C2666" t="str">
        <f t="shared" si="41"/>
        <v/>
      </c>
    </row>
    <row r="2667" spans="1:3" x14ac:dyDescent="0.25">
      <c r="A2667" s="223">
        <v>3.9920900000000001</v>
      </c>
      <c r="B2667" s="458">
        <v>2.2880999999999999E-2</v>
      </c>
      <c r="C2667" t="str">
        <f t="shared" si="41"/>
        <v/>
      </c>
    </row>
    <row r="2668" spans="1:3" x14ac:dyDescent="0.25">
      <c r="A2668" s="223">
        <v>4.9264099999999997</v>
      </c>
      <c r="B2668" s="458">
        <v>3.5270000000000002E-3</v>
      </c>
      <c r="C2668" t="str">
        <f t="shared" si="41"/>
        <v/>
      </c>
    </row>
    <row r="2669" spans="1:3" x14ac:dyDescent="0.25">
      <c r="A2669" s="223">
        <v>4.9264099999999997</v>
      </c>
      <c r="B2669" s="458">
        <v>7.4200000000000004E-3</v>
      </c>
      <c r="C2669" t="str">
        <f t="shared" si="41"/>
        <v/>
      </c>
    </row>
    <row r="2670" spans="1:3" x14ac:dyDescent="0.25">
      <c r="A2670" s="223">
        <v>7.3896199999999999</v>
      </c>
      <c r="B2670" s="458">
        <v>1.312E-2</v>
      </c>
      <c r="C2670" t="str">
        <f t="shared" si="41"/>
        <v/>
      </c>
    </row>
    <row r="2671" spans="1:3" x14ac:dyDescent="0.25">
      <c r="A2671" s="223">
        <v>7.3896199999999999</v>
      </c>
      <c r="B2671" s="458">
        <v>1.2489999999999999E-2</v>
      </c>
      <c r="C2671" t="str">
        <f t="shared" si="41"/>
        <v/>
      </c>
    </row>
    <row r="2672" spans="1:3" x14ac:dyDescent="0.25">
      <c r="A2672" s="223">
        <v>9.06006</v>
      </c>
      <c r="B2672" s="458">
        <v>1.8682000000000001E-2</v>
      </c>
      <c r="C2672" t="str">
        <f t="shared" si="41"/>
        <v/>
      </c>
    </row>
    <row r="2673" spans="1:3" x14ac:dyDescent="0.25">
      <c r="A2673" s="223">
        <v>9.06006</v>
      </c>
      <c r="B2673" s="458">
        <v>2.4455000000000001E-2</v>
      </c>
      <c r="C2673" t="str">
        <f t="shared" si="41"/>
        <v/>
      </c>
    </row>
    <row r="2674" spans="1:3" x14ac:dyDescent="0.25">
      <c r="A2674" s="223">
        <v>9.6263199999999998</v>
      </c>
      <c r="B2674" s="458">
        <v>3.7574999999999997E-2</v>
      </c>
      <c r="C2674" t="str">
        <f t="shared" si="41"/>
        <v/>
      </c>
    </row>
    <row r="2675" spans="1:3" x14ac:dyDescent="0.25">
      <c r="A2675" s="223">
        <v>9.6263199999999998</v>
      </c>
      <c r="B2675" s="458">
        <v>1.9311999999999999E-2</v>
      </c>
      <c r="C2675" t="str">
        <f t="shared" si="41"/>
        <v/>
      </c>
    </row>
    <row r="2676" spans="1:3" x14ac:dyDescent="0.25">
      <c r="A2676" s="223">
        <v>6.7101100000000002</v>
      </c>
      <c r="B2676" s="458">
        <v>1.0496E-2</v>
      </c>
      <c r="C2676" t="str">
        <f t="shared" si="41"/>
        <v/>
      </c>
    </row>
    <row r="2677" spans="1:3" x14ac:dyDescent="0.25">
      <c r="A2677" s="223">
        <v>6.7101100000000002</v>
      </c>
      <c r="B2677" s="458">
        <v>4.1460000000000004E-3</v>
      </c>
      <c r="C2677" t="str">
        <f t="shared" si="41"/>
        <v/>
      </c>
    </row>
    <row r="2678" spans="1:3" x14ac:dyDescent="0.25">
      <c r="A2678" s="223">
        <v>5.0962899999999998</v>
      </c>
      <c r="B2678" s="458">
        <v>2.5400000000000002E-3</v>
      </c>
      <c r="C2678" t="str">
        <f t="shared" si="41"/>
        <v/>
      </c>
    </row>
    <row r="2679" spans="1:3" x14ac:dyDescent="0.25">
      <c r="A2679" s="223">
        <v>5.0962899999999998</v>
      </c>
      <c r="B2679" s="458">
        <v>1.1230000000000001E-3</v>
      </c>
      <c r="C2679" t="str">
        <f t="shared" si="41"/>
        <v/>
      </c>
    </row>
    <row r="2680" spans="1:3" x14ac:dyDescent="0.25">
      <c r="A2680" s="223">
        <v>4.27522</v>
      </c>
      <c r="B2680" s="458">
        <v>1.91E-3</v>
      </c>
      <c r="C2680" t="str">
        <f t="shared" si="41"/>
        <v/>
      </c>
    </row>
    <row r="2681" spans="1:3" x14ac:dyDescent="0.25">
      <c r="A2681" s="223">
        <v>4.27522</v>
      </c>
      <c r="B2681" s="458">
        <v>1.4799E-2</v>
      </c>
      <c r="C2681" t="str">
        <f t="shared" si="41"/>
        <v/>
      </c>
    </row>
    <row r="2682" spans="1:3" x14ac:dyDescent="0.25">
      <c r="A2682" s="223">
        <v>4.3601599999999996</v>
      </c>
      <c r="B2682" s="458">
        <v>4.2189999999999997E-3</v>
      </c>
      <c r="C2682" t="str">
        <f t="shared" si="41"/>
        <v/>
      </c>
    </row>
    <row r="2683" spans="1:3" x14ac:dyDescent="0.25">
      <c r="A2683" s="223">
        <v>4.3601599999999996</v>
      </c>
      <c r="B2683" s="458">
        <v>3.1280000000000001E-3</v>
      </c>
      <c r="C2683" t="str">
        <f t="shared" si="41"/>
        <v/>
      </c>
    </row>
    <row r="2684" spans="1:3" x14ac:dyDescent="0.25">
      <c r="A2684" s="223">
        <v>5.1812199999999997</v>
      </c>
      <c r="B2684" s="458">
        <v>8.7530000000000004E-3</v>
      </c>
      <c r="C2684" t="str">
        <f t="shared" si="41"/>
        <v/>
      </c>
    </row>
    <row r="2685" spans="1:3" x14ac:dyDescent="0.25">
      <c r="A2685" s="223">
        <v>5.1812199999999997</v>
      </c>
      <c r="B2685" s="458">
        <v>4.0829999999999998E-3</v>
      </c>
      <c r="C2685" t="str">
        <f t="shared" si="41"/>
        <v/>
      </c>
    </row>
    <row r="2686" spans="1:3" x14ac:dyDescent="0.25">
      <c r="A2686" s="223">
        <v>4.6432799999999999</v>
      </c>
      <c r="B2686" s="458">
        <v>1.8469999999999999E-3</v>
      </c>
      <c r="C2686" t="str">
        <f t="shared" si="41"/>
        <v/>
      </c>
    </row>
    <row r="2687" spans="1:3" x14ac:dyDescent="0.25">
      <c r="A2687" s="223">
        <v>4.6432799999999999</v>
      </c>
      <c r="B2687" s="458">
        <v>4.1460000000000004E-3</v>
      </c>
      <c r="C2687" t="str">
        <f t="shared" si="41"/>
        <v/>
      </c>
    </row>
    <row r="2688" spans="1:3" x14ac:dyDescent="0.25">
      <c r="A2688" s="223">
        <v>3.5107699999999999</v>
      </c>
      <c r="B2688" s="458">
        <v>4.9959999999999996E-3</v>
      </c>
      <c r="C2688" t="str">
        <f t="shared" si="41"/>
        <v/>
      </c>
    </row>
    <row r="2689" spans="1:3" x14ac:dyDescent="0.25">
      <c r="A2689" s="223">
        <v>3.3975200000000001</v>
      </c>
      <c r="B2689" s="458">
        <v>4.4710000000000001E-3</v>
      </c>
      <c r="C2689" t="str">
        <f t="shared" si="41"/>
        <v/>
      </c>
    </row>
    <row r="2690" spans="1:3" x14ac:dyDescent="0.25">
      <c r="A2690" s="223">
        <v>3.5674000000000001</v>
      </c>
      <c r="B2690" s="458">
        <v>4.1349999999999998E-3</v>
      </c>
      <c r="C2690" t="str">
        <f t="shared" si="41"/>
        <v/>
      </c>
    </row>
    <row r="2691" spans="1:3" x14ac:dyDescent="0.25">
      <c r="A2691" s="223">
        <v>3.5674000000000001</v>
      </c>
      <c r="B2691" s="458">
        <v>1.48E-3</v>
      </c>
      <c r="C2691" t="str">
        <f t="shared" ref="C2691:C2754" si="42">IF(B2691=0,"XXXXXXXX","")</f>
        <v/>
      </c>
    </row>
    <row r="2692" spans="1:3" x14ac:dyDescent="0.25">
      <c r="A2692" s="223">
        <v>2.4632100000000001</v>
      </c>
      <c r="B2692" s="458">
        <v>8.4000000000000003E-4</v>
      </c>
      <c r="C2692" t="str">
        <f t="shared" si="42"/>
        <v/>
      </c>
    </row>
    <row r="2693" spans="1:3" x14ac:dyDescent="0.25">
      <c r="A2693" s="223">
        <v>2.4632100000000001</v>
      </c>
      <c r="B2693" s="458">
        <v>1.658E-3</v>
      </c>
      <c r="C2693" t="str">
        <f t="shared" si="42"/>
        <v/>
      </c>
    </row>
    <row r="2694" spans="1:3" x14ac:dyDescent="0.25">
      <c r="A2694" s="223">
        <v>2.25935</v>
      </c>
      <c r="B2694" s="458">
        <v>1.207E-3</v>
      </c>
      <c r="C2694" t="str">
        <f t="shared" si="42"/>
        <v/>
      </c>
    </row>
    <row r="2695" spans="1:3" x14ac:dyDescent="0.25">
      <c r="A2695" s="223">
        <v>2.25935</v>
      </c>
      <c r="B2695" s="458">
        <v>1.5319999999999999E-3</v>
      </c>
      <c r="C2695" t="str">
        <f t="shared" si="42"/>
        <v/>
      </c>
    </row>
    <row r="2696" spans="1:3" x14ac:dyDescent="0.25">
      <c r="A2696" s="223">
        <v>1.8006899999999999</v>
      </c>
      <c r="B2696" s="458">
        <v>2.7290000000000001E-3</v>
      </c>
      <c r="C2696" t="str">
        <f t="shared" si="42"/>
        <v/>
      </c>
    </row>
    <row r="2697" spans="1:3" x14ac:dyDescent="0.25">
      <c r="A2697" s="223">
        <v>1.8006899999999999</v>
      </c>
      <c r="B2697" s="458">
        <v>4.9600000000000002E-4</v>
      </c>
      <c r="C2697" t="str">
        <f t="shared" si="42"/>
        <v/>
      </c>
    </row>
    <row r="2698" spans="1:3" x14ac:dyDescent="0.25">
      <c r="A2698" s="223">
        <v>1.95641</v>
      </c>
      <c r="B2698" s="458">
        <v>4.2900000000000002E-4</v>
      </c>
      <c r="C2698" t="str">
        <f t="shared" si="42"/>
        <v/>
      </c>
    </row>
    <row r="2699" spans="1:3" x14ac:dyDescent="0.25">
      <c r="A2699" s="223">
        <v>1.95641</v>
      </c>
      <c r="B2699" s="458">
        <v>3.1380000000000002E-3</v>
      </c>
      <c r="C2699" t="str">
        <f t="shared" si="42"/>
        <v/>
      </c>
    </row>
    <row r="2700" spans="1:3" x14ac:dyDescent="0.25">
      <c r="A2700" s="223">
        <v>3.3125900000000001</v>
      </c>
      <c r="B2700" s="458">
        <v>3.516E-3</v>
      </c>
      <c r="C2700" t="str">
        <f t="shared" si="42"/>
        <v/>
      </c>
    </row>
    <row r="2701" spans="1:3" x14ac:dyDescent="0.25">
      <c r="A2701" s="223">
        <v>5.9456699999999998</v>
      </c>
      <c r="B2701" s="458">
        <v>8.4600000000000005E-3</v>
      </c>
      <c r="C2701" t="str">
        <f t="shared" si="42"/>
        <v/>
      </c>
    </row>
    <row r="2702" spans="1:3" x14ac:dyDescent="0.25">
      <c r="A2702" s="223">
        <v>5.9456699999999998</v>
      </c>
      <c r="B2702" s="458">
        <v>3.8310000000000002E-3</v>
      </c>
      <c r="C2702" t="str">
        <f t="shared" si="42"/>
        <v/>
      </c>
    </row>
    <row r="2703" spans="1:3" x14ac:dyDescent="0.25">
      <c r="A2703" s="223">
        <v>5.3510999999999997</v>
      </c>
      <c r="B2703" s="458">
        <v>1.774E-3</v>
      </c>
      <c r="C2703" t="str">
        <f t="shared" si="42"/>
        <v/>
      </c>
    </row>
    <row r="2704" spans="1:3" x14ac:dyDescent="0.25">
      <c r="A2704" s="223">
        <v>5.3510999999999997</v>
      </c>
      <c r="B2704" s="458">
        <v>1.008E-3</v>
      </c>
      <c r="C2704" t="str">
        <f t="shared" si="42"/>
        <v/>
      </c>
    </row>
    <row r="2705" spans="1:3" x14ac:dyDescent="0.25">
      <c r="A2705" s="223">
        <v>6.1721700000000004</v>
      </c>
      <c r="B2705" s="458">
        <v>5.5840000000000004E-3</v>
      </c>
      <c r="C2705" t="str">
        <f t="shared" si="42"/>
        <v/>
      </c>
    </row>
    <row r="2706" spans="1:3" x14ac:dyDescent="0.25">
      <c r="A2706" s="223">
        <v>6.1721700000000004</v>
      </c>
      <c r="B2706" s="458">
        <v>9.1520000000000004E-3</v>
      </c>
      <c r="C2706" t="str">
        <f t="shared" si="42"/>
        <v/>
      </c>
    </row>
    <row r="2707" spans="1:3" x14ac:dyDescent="0.25">
      <c r="A2707" s="223">
        <v>4.7848499999999996</v>
      </c>
      <c r="B2707" s="458">
        <v>5.9620000000000003E-3</v>
      </c>
      <c r="C2707" t="str">
        <f t="shared" si="42"/>
        <v/>
      </c>
    </row>
    <row r="2708" spans="1:3" x14ac:dyDescent="0.25">
      <c r="A2708" s="223">
        <v>4.7848499999999996</v>
      </c>
      <c r="B2708" s="458">
        <v>2.7179999999999999E-3</v>
      </c>
      <c r="C2708" t="str">
        <f t="shared" si="42"/>
        <v/>
      </c>
    </row>
    <row r="2709" spans="1:3" x14ac:dyDescent="0.25">
      <c r="A2709" s="223">
        <v>3.3409</v>
      </c>
      <c r="B2709" s="458">
        <v>1.5430000000000001E-3</v>
      </c>
      <c r="C2709" t="str">
        <f t="shared" si="42"/>
        <v/>
      </c>
    </row>
    <row r="2710" spans="1:3" x14ac:dyDescent="0.25">
      <c r="A2710" s="223">
        <v>3.3409</v>
      </c>
      <c r="B2710" s="458">
        <v>8.2899999999999998E-4</v>
      </c>
      <c r="C2710" t="str">
        <f t="shared" si="42"/>
        <v/>
      </c>
    </row>
    <row r="2711" spans="1:3" x14ac:dyDescent="0.25">
      <c r="A2711" s="223">
        <v>7.5028699999999997</v>
      </c>
      <c r="B2711" s="458">
        <v>2.4035000000000001E-2</v>
      </c>
      <c r="C2711" t="str">
        <f t="shared" si="42"/>
        <v/>
      </c>
    </row>
    <row r="2712" spans="1:3" x14ac:dyDescent="0.25">
      <c r="A2712" s="223">
        <v>7.5028699999999997</v>
      </c>
      <c r="B2712" s="458">
        <v>2.1096E-2</v>
      </c>
      <c r="C2712" t="str">
        <f t="shared" si="42"/>
        <v/>
      </c>
    </row>
    <row r="2713" spans="1:3" x14ac:dyDescent="0.25">
      <c r="A2713" s="223">
        <v>6.3986700000000001</v>
      </c>
      <c r="B2713" s="458">
        <v>6.2129999999999998E-3</v>
      </c>
      <c r="C2713" t="str">
        <f t="shared" si="42"/>
        <v/>
      </c>
    </row>
    <row r="2714" spans="1:3" x14ac:dyDescent="0.25">
      <c r="A2714" s="223">
        <v>6.3986700000000001</v>
      </c>
      <c r="B2714" s="458">
        <v>5.1320000000000003E-3</v>
      </c>
      <c r="C2714" t="str">
        <f t="shared" si="42"/>
        <v/>
      </c>
    </row>
    <row r="2715" spans="1:3" x14ac:dyDescent="0.25">
      <c r="A2715" s="223">
        <v>7.78599</v>
      </c>
      <c r="B2715" s="458">
        <v>8.9529999999999992E-3</v>
      </c>
      <c r="C2715" t="str">
        <f t="shared" si="42"/>
        <v/>
      </c>
    </row>
    <row r="2716" spans="1:3" x14ac:dyDescent="0.25">
      <c r="A2716" s="223">
        <v>7.78599</v>
      </c>
      <c r="B2716" s="458">
        <v>1.3225000000000001E-2</v>
      </c>
      <c r="C2716" t="str">
        <f t="shared" si="42"/>
        <v/>
      </c>
    </row>
    <row r="2717" spans="1:3" x14ac:dyDescent="0.25">
      <c r="A2717" s="223">
        <v>7.53118</v>
      </c>
      <c r="B2717" s="458">
        <v>1.8891999999999999E-2</v>
      </c>
      <c r="C2717" t="str">
        <f t="shared" si="42"/>
        <v/>
      </c>
    </row>
    <row r="2718" spans="1:3" x14ac:dyDescent="0.25">
      <c r="A2718" s="223">
        <v>7.53118</v>
      </c>
      <c r="B2718" s="458">
        <v>5.9620000000000003E-3</v>
      </c>
      <c r="C2718" t="str">
        <f t="shared" si="42"/>
        <v/>
      </c>
    </row>
    <row r="2719" spans="1:3" x14ac:dyDescent="0.25">
      <c r="A2719" s="223">
        <v>8.9468099999999993</v>
      </c>
      <c r="B2719" s="458">
        <v>2.0990999999999999E-2</v>
      </c>
      <c r="C2719" t="str">
        <f t="shared" si="42"/>
        <v/>
      </c>
    </row>
    <row r="2720" spans="1:3" x14ac:dyDescent="0.25">
      <c r="A2720" s="223">
        <v>8.9468099999999993</v>
      </c>
      <c r="B2720" s="458">
        <v>3.7679999999999998E-2</v>
      </c>
      <c r="C2720" t="str">
        <f t="shared" si="42"/>
        <v/>
      </c>
    </row>
    <row r="2721" spans="1:3" x14ac:dyDescent="0.25">
      <c r="A2721" s="223">
        <v>7.6727400000000001</v>
      </c>
      <c r="B2721" s="458">
        <v>1.1755E-2</v>
      </c>
      <c r="C2721" t="str">
        <f t="shared" si="42"/>
        <v/>
      </c>
    </row>
    <row r="2722" spans="1:3" x14ac:dyDescent="0.25">
      <c r="A2722" s="223">
        <v>7.6727400000000001</v>
      </c>
      <c r="B2722" s="458">
        <v>7.6090000000000003E-3</v>
      </c>
      <c r="C2722" t="str">
        <f t="shared" si="42"/>
        <v/>
      </c>
    </row>
    <row r="2723" spans="1:3" x14ac:dyDescent="0.25">
      <c r="A2723" s="223">
        <v>6.2571099999999999</v>
      </c>
      <c r="B2723" s="458">
        <v>2.676E-3</v>
      </c>
      <c r="C2723" t="str">
        <f t="shared" si="42"/>
        <v/>
      </c>
    </row>
    <row r="2724" spans="1:3" x14ac:dyDescent="0.25">
      <c r="A2724" s="223">
        <v>6.2571099999999999</v>
      </c>
      <c r="B2724" s="458">
        <v>2.8440000000000002E-3</v>
      </c>
      <c r="C2724" t="str">
        <f t="shared" si="42"/>
        <v/>
      </c>
    </row>
    <row r="2725" spans="1:3" x14ac:dyDescent="0.25">
      <c r="A2725" s="223">
        <v>4.2185899999999998</v>
      </c>
      <c r="B2725" s="458">
        <v>1.4694E-2</v>
      </c>
      <c r="C2725" t="str">
        <f t="shared" si="42"/>
        <v/>
      </c>
    </row>
    <row r="2726" spans="1:3" x14ac:dyDescent="0.25">
      <c r="A2726" s="223">
        <v>4.2185899999999998</v>
      </c>
      <c r="B2726" s="458">
        <v>2.5085E-2</v>
      </c>
      <c r="C2726" t="str">
        <f t="shared" si="42"/>
        <v/>
      </c>
    </row>
    <row r="2727" spans="1:3" x14ac:dyDescent="0.25">
      <c r="A2727" s="223">
        <v>4.1336500000000003</v>
      </c>
      <c r="B2727" s="458">
        <v>2.529E-3</v>
      </c>
      <c r="C2727" t="str">
        <f t="shared" si="42"/>
        <v/>
      </c>
    </row>
    <row r="2728" spans="1:3" x14ac:dyDescent="0.25">
      <c r="A2728" s="223">
        <v>4.1336500000000003</v>
      </c>
      <c r="B2728" s="458">
        <v>8.4279999999999997E-3</v>
      </c>
      <c r="C2728" t="str">
        <f t="shared" si="42"/>
        <v/>
      </c>
    </row>
    <row r="2729" spans="1:3" x14ac:dyDescent="0.25">
      <c r="A2729" s="223">
        <v>5.0679699999999999</v>
      </c>
      <c r="B2729" s="458">
        <v>8.26E-3</v>
      </c>
      <c r="C2729" t="str">
        <f t="shared" si="42"/>
        <v/>
      </c>
    </row>
    <row r="2730" spans="1:3" x14ac:dyDescent="0.25">
      <c r="A2730" s="223">
        <v>5.0679699999999999</v>
      </c>
      <c r="B2730" s="458">
        <v>3.1589999999999999E-3</v>
      </c>
      <c r="C2730" t="str">
        <f t="shared" si="42"/>
        <v/>
      </c>
    </row>
    <row r="2731" spans="1:3" x14ac:dyDescent="0.25">
      <c r="A2731" s="223">
        <v>4.1336500000000003</v>
      </c>
      <c r="B2731" s="458">
        <v>1.291E-2</v>
      </c>
      <c r="C2731" t="str">
        <f t="shared" si="42"/>
        <v/>
      </c>
    </row>
    <row r="2732" spans="1:3" x14ac:dyDescent="0.25">
      <c r="A2732" s="223">
        <v>4.1336500000000003</v>
      </c>
      <c r="B2732" s="458">
        <v>1.5009E-2</v>
      </c>
      <c r="C2732" t="str">
        <f t="shared" si="42"/>
        <v/>
      </c>
    </row>
    <row r="2733" spans="1:3" x14ac:dyDescent="0.25">
      <c r="A2733" s="223">
        <v>2.7718099999999999</v>
      </c>
      <c r="B2733" s="458">
        <v>2.3300000000000001E-2</v>
      </c>
      <c r="C2733" t="str">
        <f t="shared" si="42"/>
        <v/>
      </c>
    </row>
    <row r="2734" spans="1:3" x14ac:dyDescent="0.25">
      <c r="A2734" s="223">
        <v>2.7718099999999999</v>
      </c>
      <c r="B2734" s="458">
        <v>1.4589E-2</v>
      </c>
      <c r="C2734" t="str">
        <f t="shared" si="42"/>
        <v/>
      </c>
    </row>
    <row r="2735" spans="1:3" x14ac:dyDescent="0.25">
      <c r="A2735" s="223">
        <v>2.6755499999999999</v>
      </c>
      <c r="B2735" s="458">
        <v>9.0159999999999997E-3</v>
      </c>
      <c r="C2735" t="str">
        <f t="shared" si="42"/>
        <v/>
      </c>
    </row>
    <row r="2736" spans="1:3" x14ac:dyDescent="0.25">
      <c r="A2736" s="223">
        <v>2.6755499999999999</v>
      </c>
      <c r="B2736" s="458">
        <v>2.0362000000000002E-2</v>
      </c>
      <c r="C2736" t="str">
        <f t="shared" si="42"/>
        <v/>
      </c>
    </row>
    <row r="2737" spans="1:3" x14ac:dyDescent="0.25">
      <c r="A2737" s="223">
        <v>1.8261700000000001</v>
      </c>
      <c r="B2737" s="458">
        <v>8.5330000000000007E-3</v>
      </c>
      <c r="C2737" t="str">
        <f t="shared" si="42"/>
        <v/>
      </c>
    </row>
    <row r="2738" spans="1:3" x14ac:dyDescent="0.25">
      <c r="A2738" s="223">
        <v>1.8261700000000001</v>
      </c>
      <c r="B2738" s="458">
        <v>1.8787000000000002E-2</v>
      </c>
      <c r="C2738" t="str">
        <f t="shared" si="42"/>
        <v/>
      </c>
    </row>
    <row r="2739" spans="1:3" x14ac:dyDescent="0.25">
      <c r="A2739" s="223">
        <v>14.7509</v>
      </c>
      <c r="B2739" s="458">
        <v>1.7108000000000002E-2</v>
      </c>
      <c r="C2739" t="str">
        <f t="shared" si="42"/>
        <v/>
      </c>
    </row>
    <row r="2740" spans="1:3" x14ac:dyDescent="0.25">
      <c r="A2740" s="223">
        <v>14.7509</v>
      </c>
      <c r="B2740" s="458">
        <v>2.9388000000000001E-2</v>
      </c>
      <c r="C2740" t="str">
        <f t="shared" si="42"/>
        <v/>
      </c>
    </row>
    <row r="2741" spans="1:3" x14ac:dyDescent="0.25">
      <c r="A2741" s="223">
        <v>22.338699999999999</v>
      </c>
      <c r="B2741" s="458">
        <v>9.3937000000000007E-2</v>
      </c>
      <c r="C2741" t="str">
        <f t="shared" si="42"/>
        <v/>
      </c>
    </row>
    <row r="2742" spans="1:3" x14ac:dyDescent="0.25">
      <c r="A2742" s="223">
        <v>22.338699999999999</v>
      </c>
      <c r="B2742" s="458">
        <v>0.138543</v>
      </c>
      <c r="C2742" t="str">
        <f t="shared" si="42"/>
        <v/>
      </c>
    </row>
    <row r="2743" spans="1:3" x14ac:dyDescent="0.25">
      <c r="A2743" s="223">
        <v>22.905000000000001</v>
      </c>
      <c r="B2743" s="458">
        <v>0.14799000000000001</v>
      </c>
      <c r="C2743" t="str">
        <f t="shared" si="42"/>
        <v/>
      </c>
    </row>
    <row r="2744" spans="1:3" x14ac:dyDescent="0.25">
      <c r="A2744" s="223">
        <v>22.905000000000001</v>
      </c>
      <c r="B2744" s="458">
        <v>0.128048</v>
      </c>
      <c r="C2744" t="str">
        <f t="shared" si="42"/>
        <v/>
      </c>
    </row>
    <row r="2745" spans="1:3" x14ac:dyDescent="0.25">
      <c r="A2745" s="223">
        <v>16.223199999999999</v>
      </c>
      <c r="B2745" s="458">
        <v>2.9283E-2</v>
      </c>
      <c r="C2745" t="str">
        <f t="shared" si="42"/>
        <v/>
      </c>
    </row>
    <row r="2746" spans="1:3" x14ac:dyDescent="0.25">
      <c r="A2746" s="223">
        <v>16.223199999999999</v>
      </c>
      <c r="B2746" s="458">
        <v>2.4140000000000002E-2</v>
      </c>
      <c r="C2746" t="str">
        <f t="shared" si="42"/>
        <v/>
      </c>
    </row>
    <row r="2747" spans="1:3" x14ac:dyDescent="0.25">
      <c r="A2747" s="223">
        <v>3.5674000000000001</v>
      </c>
      <c r="B2747" s="458">
        <v>7.326E-3</v>
      </c>
      <c r="C2747" t="str">
        <f t="shared" si="42"/>
        <v/>
      </c>
    </row>
    <row r="2748" spans="1:3" x14ac:dyDescent="0.25">
      <c r="A2748" s="223">
        <v>3.68065</v>
      </c>
      <c r="B2748" s="458">
        <v>2.4559999999999998E-2</v>
      </c>
      <c r="C2748" t="str">
        <f t="shared" si="42"/>
        <v/>
      </c>
    </row>
    <row r="2749" spans="1:3" x14ac:dyDescent="0.25">
      <c r="A2749" s="223">
        <v>7.8143099999999999</v>
      </c>
      <c r="B2749" s="458">
        <v>7.4099999999999999E-2</v>
      </c>
      <c r="C2749" t="str">
        <f t="shared" si="42"/>
        <v/>
      </c>
    </row>
    <row r="2750" spans="1:3" x14ac:dyDescent="0.25">
      <c r="A2750" s="223">
        <v>4.1336500000000003</v>
      </c>
      <c r="B2750" s="458">
        <v>3.7574999999999997E-2</v>
      </c>
      <c r="C2750" t="str">
        <f t="shared" si="42"/>
        <v/>
      </c>
    </row>
    <row r="2751" spans="1:3" x14ac:dyDescent="0.25">
      <c r="A2751" s="223">
        <v>8.6070600000000006</v>
      </c>
      <c r="B2751" s="458">
        <v>1.7423000000000001E-2</v>
      </c>
      <c r="C2751" t="str">
        <f t="shared" si="42"/>
        <v/>
      </c>
    </row>
    <row r="2752" spans="1:3" x14ac:dyDescent="0.25">
      <c r="A2752" s="223">
        <v>6.0872299999999999</v>
      </c>
      <c r="B2752" s="458">
        <v>1.4799E-2</v>
      </c>
      <c r="C2752" t="str">
        <f t="shared" si="42"/>
        <v/>
      </c>
    </row>
    <row r="2753" spans="1:3" x14ac:dyDescent="0.25">
      <c r="A2753" s="223">
        <v>2.0356800000000002</v>
      </c>
      <c r="B2753" s="458">
        <v>1.0442999999999999E-2</v>
      </c>
      <c r="C2753" t="str">
        <f t="shared" si="42"/>
        <v/>
      </c>
    </row>
    <row r="2754" spans="1:3" x14ac:dyDescent="0.25">
      <c r="A2754" s="223">
        <v>1.4552700000000001</v>
      </c>
      <c r="B2754" s="458">
        <v>3.5799999999999997E-4</v>
      </c>
      <c r="C2754" t="str">
        <f t="shared" si="42"/>
        <v/>
      </c>
    </row>
    <row r="2755" spans="1:3" x14ac:dyDescent="0.25">
      <c r="A2755" s="223">
        <v>1.4920800000000001</v>
      </c>
      <c r="B2755" s="458">
        <v>9.6100000000000005E-4</v>
      </c>
      <c r="C2755" t="str">
        <f t="shared" ref="C2755:C2818" si="43">IF(B2755=0,"XXXXXXXX","")</f>
        <v/>
      </c>
    </row>
    <row r="2756" spans="1:3" x14ac:dyDescent="0.25">
      <c r="A2756" s="223">
        <v>0.37656000000000001</v>
      </c>
      <c r="B2756" s="458">
        <v>6.2399999999999999E-4</v>
      </c>
      <c r="C2756" t="str">
        <f t="shared" si="43"/>
        <v/>
      </c>
    </row>
    <row r="2757" spans="1:3" x14ac:dyDescent="0.25">
      <c r="A2757" s="223">
        <v>0.50112999999999996</v>
      </c>
      <c r="B2757" s="458">
        <v>1.5799999999999999E-4</v>
      </c>
      <c r="C2757" t="str">
        <f t="shared" si="43"/>
        <v/>
      </c>
    </row>
    <row r="2758" spans="1:3" x14ac:dyDescent="0.25">
      <c r="A2758" s="223">
        <v>4.8414700000000002</v>
      </c>
      <c r="B2758" s="458">
        <v>1.9102000000000001E-2</v>
      </c>
      <c r="C2758" t="str">
        <f t="shared" si="43"/>
        <v/>
      </c>
    </row>
    <row r="2759" spans="1:3" x14ac:dyDescent="0.25">
      <c r="A2759" s="223">
        <v>2.67272</v>
      </c>
      <c r="B2759" s="458">
        <v>7.7039999999999999E-3</v>
      </c>
      <c r="C2759" t="str">
        <f t="shared" si="43"/>
        <v/>
      </c>
    </row>
    <row r="2760" spans="1:3" x14ac:dyDescent="0.25">
      <c r="A2760" s="223">
        <v>1.86581</v>
      </c>
      <c r="B2760" s="458">
        <v>9.6199999999999996E-4</v>
      </c>
      <c r="C2760" t="str">
        <f t="shared" si="43"/>
        <v/>
      </c>
    </row>
    <row r="2761" spans="1:3" x14ac:dyDescent="0.25">
      <c r="A2761" s="223">
        <v>2.4320599999999999</v>
      </c>
      <c r="B2761" s="458">
        <v>1.2700000000000001E-3</v>
      </c>
      <c r="C2761" t="str">
        <f t="shared" si="43"/>
        <v/>
      </c>
    </row>
    <row r="2762" spans="1:3" x14ac:dyDescent="0.25">
      <c r="A2762" s="223">
        <v>1.6364700000000001</v>
      </c>
      <c r="B2762" s="458">
        <v>6.0879999999999997E-3</v>
      </c>
      <c r="C2762" t="str">
        <f t="shared" si="43"/>
        <v/>
      </c>
    </row>
    <row r="2763" spans="1:3" x14ac:dyDescent="0.25">
      <c r="A2763" s="223">
        <v>1.2712399999999999</v>
      </c>
      <c r="B2763" s="458">
        <v>2.7399999999999999E-4</v>
      </c>
      <c r="C2763" t="str">
        <f t="shared" si="43"/>
        <v/>
      </c>
    </row>
    <row r="2764" spans="1:3" x14ac:dyDescent="0.25">
      <c r="A2764" s="223">
        <v>0.34825</v>
      </c>
      <c r="B2764" s="458">
        <v>9.0899999999999998E-4</v>
      </c>
      <c r="C2764" t="str">
        <f t="shared" si="43"/>
        <v/>
      </c>
    </row>
    <row r="2765" spans="1:3" x14ac:dyDescent="0.25">
      <c r="A2765" s="223">
        <v>4.6149699999999996</v>
      </c>
      <c r="B2765" s="458">
        <v>6.8957000000000004E-2</v>
      </c>
      <c r="C2765" t="str">
        <f t="shared" si="43"/>
        <v/>
      </c>
    </row>
    <row r="2766" spans="1:3" x14ac:dyDescent="0.25">
      <c r="A2766" s="223">
        <v>4.7848499999999996</v>
      </c>
      <c r="B2766" s="458">
        <v>7.1896000000000002E-2</v>
      </c>
      <c r="C2766" t="str">
        <f t="shared" si="43"/>
        <v/>
      </c>
    </row>
    <row r="2767" spans="1:3" x14ac:dyDescent="0.25">
      <c r="A2767" s="223">
        <v>6.0306100000000002</v>
      </c>
      <c r="B2767" s="458">
        <v>4.87E-2</v>
      </c>
      <c r="C2767" t="str">
        <f t="shared" si="43"/>
        <v/>
      </c>
    </row>
    <row r="2768" spans="1:3" x14ac:dyDescent="0.25">
      <c r="A2768" s="223">
        <v>7.7576799999999997</v>
      </c>
      <c r="B2768" s="458">
        <v>0.16373299999999999</v>
      </c>
      <c r="C2768" t="str">
        <f t="shared" si="43"/>
        <v/>
      </c>
    </row>
    <row r="2769" spans="1:3" x14ac:dyDescent="0.25">
      <c r="A2769" s="223">
        <v>9.7395700000000005</v>
      </c>
      <c r="B2769" s="458">
        <v>1.4378999999999999E-2</v>
      </c>
      <c r="C2769" t="str">
        <f t="shared" si="43"/>
        <v/>
      </c>
    </row>
    <row r="2770" spans="1:3" x14ac:dyDescent="0.25">
      <c r="A2770" s="223">
        <v>8.5221199999999993</v>
      </c>
      <c r="B2770" s="458">
        <v>4.2403000000000003E-2</v>
      </c>
      <c r="C2770" t="str">
        <f t="shared" si="43"/>
        <v/>
      </c>
    </row>
    <row r="2771" spans="1:3" x14ac:dyDescent="0.25">
      <c r="A2771" s="223">
        <v>4.6715999999999998</v>
      </c>
      <c r="B2771" s="458">
        <v>3.8309000000000003E-2</v>
      </c>
      <c r="C2771" t="str">
        <f t="shared" si="43"/>
        <v/>
      </c>
    </row>
    <row r="2772" spans="1:3" x14ac:dyDescent="0.25">
      <c r="A2772" s="223">
        <v>9.5413800000000002</v>
      </c>
      <c r="B2772" s="458">
        <v>4.7126000000000001E-2</v>
      </c>
      <c r="C2772" t="str">
        <f t="shared" si="43"/>
        <v/>
      </c>
    </row>
    <row r="2773" spans="1:3" x14ac:dyDescent="0.25">
      <c r="A2773" s="223">
        <v>7.3329899999999997</v>
      </c>
      <c r="B2773" s="458">
        <v>5.3527999999999999E-2</v>
      </c>
      <c r="C2773" t="str">
        <f t="shared" si="43"/>
        <v/>
      </c>
    </row>
    <row r="2774" spans="1:3" x14ac:dyDescent="0.25">
      <c r="A2774" s="223">
        <v>4.7848499999999996</v>
      </c>
      <c r="B2774" s="458">
        <v>2.5714999999999998E-2</v>
      </c>
      <c r="C2774" t="str">
        <f t="shared" si="43"/>
        <v/>
      </c>
    </row>
    <row r="2775" spans="1:3" x14ac:dyDescent="0.25">
      <c r="A2775" s="223">
        <v>5.1529100000000003</v>
      </c>
      <c r="B2775" s="458">
        <v>4.3872000000000001E-2</v>
      </c>
      <c r="C2775" t="str">
        <f t="shared" si="43"/>
        <v/>
      </c>
    </row>
    <row r="2776" spans="1:3" x14ac:dyDescent="0.25">
      <c r="A2776" s="223">
        <v>3.5390899999999998</v>
      </c>
      <c r="B2776" s="458">
        <v>4.7549999999999997E-3</v>
      </c>
      <c r="C2776" t="str">
        <f t="shared" si="43"/>
        <v/>
      </c>
    </row>
    <row r="2777" spans="1:3" x14ac:dyDescent="0.25">
      <c r="A2777" s="223">
        <v>3.2276500000000001</v>
      </c>
      <c r="B2777" s="458">
        <v>1.8158000000000001E-2</v>
      </c>
      <c r="C2777" t="str">
        <f t="shared" si="43"/>
        <v/>
      </c>
    </row>
    <row r="2778" spans="1:3" x14ac:dyDescent="0.25">
      <c r="A2778" s="223">
        <v>1.31654</v>
      </c>
      <c r="B2778" s="458">
        <v>2.3830000000000001E-3</v>
      </c>
      <c r="C2778" t="str">
        <f t="shared" si="43"/>
        <v/>
      </c>
    </row>
    <row r="2779" spans="1:3" x14ac:dyDescent="0.25">
      <c r="A2779" s="223">
        <v>0.92583000000000004</v>
      </c>
      <c r="B2779" s="458">
        <v>2.2900000000000001E-4</v>
      </c>
      <c r="C2779" t="str">
        <f t="shared" si="43"/>
        <v/>
      </c>
    </row>
    <row r="2780" spans="1:3" x14ac:dyDescent="0.25">
      <c r="A2780" s="223">
        <v>0.72197</v>
      </c>
      <c r="B2780" s="458">
        <v>1.63E-4</v>
      </c>
      <c r="C2780" t="str">
        <f t="shared" si="43"/>
        <v/>
      </c>
    </row>
    <row r="2781" spans="1:3" x14ac:dyDescent="0.25">
      <c r="A2781" s="223">
        <v>1.0249200000000001</v>
      </c>
      <c r="B2781" s="458">
        <v>1.0709999999999999E-3</v>
      </c>
      <c r="C2781" t="str">
        <f t="shared" si="43"/>
        <v/>
      </c>
    </row>
    <row r="2782" spans="1:3" x14ac:dyDescent="0.25">
      <c r="A2782" s="223">
        <v>3.5107699999999999</v>
      </c>
      <c r="B2782" s="458">
        <v>2.0885999999999998E-2</v>
      </c>
      <c r="C2782" t="str">
        <f t="shared" si="43"/>
        <v/>
      </c>
    </row>
    <row r="2783" spans="1:3" x14ac:dyDescent="0.25">
      <c r="A2783" s="223">
        <v>4.4734100000000003</v>
      </c>
      <c r="B2783" s="458">
        <v>4.3451999999999998E-2</v>
      </c>
      <c r="C2783" t="str">
        <f t="shared" si="43"/>
        <v/>
      </c>
    </row>
    <row r="2784" spans="1:3" x14ac:dyDescent="0.25">
      <c r="A2784" s="223">
        <v>2.4094099999999998</v>
      </c>
      <c r="B2784" s="458">
        <v>1.4378999999999999E-2</v>
      </c>
      <c r="C2784" t="str">
        <f t="shared" si="43"/>
        <v/>
      </c>
    </row>
    <row r="2785" spans="1:3" x14ac:dyDescent="0.25">
      <c r="A2785" s="223">
        <v>2.17442</v>
      </c>
      <c r="B2785" s="458">
        <v>3.4636E-2</v>
      </c>
      <c r="C2785" t="str">
        <f t="shared" si="43"/>
        <v/>
      </c>
    </row>
    <row r="2786" spans="1:3" x14ac:dyDescent="0.25">
      <c r="A2786" s="223">
        <v>2.8595799999999998</v>
      </c>
      <c r="B2786" s="458">
        <v>9.9919999999999991E-3</v>
      </c>
      <c r="C2786" t="str">
        <f t="shared" si="43"/>
        <v/>
      </c>
    </row>
    <row r="2787" spans="1:3" x14ac:dyDescent="0.25">
      <c r="A2787" s="223">
        <v>2.3357999999999999</v>
      </c>
      <c r="B2787" s="458">
        <v>2.0781999999999998E-2</v>
      </c>
      <c r="C2787" t="str">
        <f t="shared" si="43"/>
        <v/>
      </c>
    </row>
    <row r="2788" spans="1:3" x14ac:dyDescent="0.25">
      <c r="A2788" s="223">
        <v>4.2185899999999998</v>
      </c>
      <c r="B2788" s="458">
        <v>1.0296E-2</v>
      </c>
      <c r="C2788" t="str">
        <f t="shared" si="43"/>
        <v/>
      </c>
    </row>
    <row r="2789" spans="1:3" x14ac:dyDescent="0.25">
      <c r="A2789" s="223">
        <v>4.6149699999999996</v>
      </c>
      <c r="B2789" s="458">
        <v>6.0560000000000003E-2</v>
      </c>
      <c r="C2789" t="str">
        <f t="shared" si="43"/>
        <v/>
      </c>
    </row>
    <row r="2790" spans="1:3" x14ac:dyDescent="0.25">
      <c r="A2790" s="223">
        <v>3.3409</v>
      </c>
      <c r="B2790" s="458">
        <v>4.5656000000000002E-2</v>
      </c>
      <c r="C2790" t="str">
        <f t="shared" si="43"/>
        <v/>
      </c>
    </row>
    <row r="2791" spans="1:3" x14ac:dyDescent="0.25">
      <c r="A2791" s="223">
        <v>5.1812199999999997</v>
      </c>
      <c r="B2791" s="458">
        <v>0.100549</v>
      </c>
      <c r="C2791" t="str">
        <f t="shared" si="43"/>
        <v/>
      </c>
    </row>
    <row r="2792" spans="1:3" x14ac:dyDescent="0.25">
      <c r="A2792" s="223">
        <v>10.560600000000001</v>
      </c>
      <c r="B2792" s="458">
        <v>5.8566E-2</v>
      </c>
      <c r="C2792" t="str">
        <f t="shared" si="43"/>
        <v/>
      </c>
    </row>
    <row r="2793" spans="1:3" x14ac:dyDescent="0.25">
      <c r="A2793" s="223">
        <v>7.5877999999999997</v>
      </c>
      <c r="B2793" s="458">
        <v>0.20361699999999999</v>
      </c>
      <c r="C2793" t="str">
        <f t="shared" si="43"/>
        <v/>
      </c>
    </row>
    <row r="2794" spans="1:3" x14ac:dyDescent="0.25">
      <c r="A2794" s="223">
        <v>14.043100000000001</v>
      </c>
      <c r="B2794" s="458">
        <v>0.19941900000000001</v>
      </c>
      <c r="C2794" t="str">
        <f t="shared" si="43"/>
        <v/>
      </c>
    </row>
    <row r="2795" spans="1:3" x14ac:dyDescent="0.25">
      <c r="A2795" s="223">
        <v>5.8607300000000002</v>
      </c>
      <c r="B2795" s="458">
        <v>4.1982999999999999E-2</v>
      </c>
      <c r="C2795" t="str">
        <f t="shared" si="43"/>
        <v/>
      </c>
    </row>
    <row r="2796" spans="1:3" x14ac:dyDescent="0.25">
      <c r="A2796" s="223">
        <v>5.1812199999999997</v>
      </c>
      <c r="B2796" s="458">
        <v>2.4140000000000002E-2</v>
      </c>
      <c r="C2796" t="str">
        <f t="shared" si="43"/>
        <v/>
      </c>
    </row>
    <row r="2797" spans="1:3" x14ac:dyDescent="0.25">
      <c r="A2797" s="223">
        <v>1.9394199999999999</v>
      </c>
      <c r="B2797" s="458">
        <v>1.0706E-2</v>
      </c>
      <c r="C2797" t="str">
        <f t="shared" si="43"/>
        <v/>
      </c>
    </row>
    <row r="2798" spans="1:3" x14ac:dyDescent="0.25">
      <c r="A2798" s="223">
        <v>1.1919599999999999</v>
      </c>
      <c r="B2798" s="458">
        <v>9.4600000000000001E-4</v>
      </c>
      <c r="C2798" t="str">
        <f t="shared" si="43"/>
        <v/>
      </c>
    </row>
    <row r="2799" spans="1:3" x14ac:dyDescent="0.25">
      <c r="A2799" s="223">
        <v>1.5090699999999999</v>
      </c>
      <c r="B2799" s="458">
        <v>3.705E-2</v>
      </c>
      <c r="C2799" t="str">
        <f t="shared" si="43"/>
        <v/>
      </c>
    </row>
    <row r="2800" spans="1:3" x14ac:dyDescent="0.25">
      <c r="A2800" s="223">
        <v>1.5090699999999999</v>
      </c>
      <c r="B2800" s="458">
        <v>5.6499999999999996E-4</v>
      </c>
      <c r="C2800" t="str">
        <f t="shared" si="43"/>
        <v/>
      </c>
    </row>
    <row r="2801" spans="1:3" x14ac:dyDescent="0.25">
      <c r="A2801" s="223">
        <v>2.00454</v>
      </c>
      <c r="B2801" s="458">
        <v>2.9808000000000001E-2</v>
      </c>
      <c r="C2801" t="str">
        <f t="shared" si="43"/>
        <v/>
      </c>
    </row>
    <row r="2802" spans="1:3" x14ac:dyDescent="0.25">
      <c r="A2802" s="223">
        <v>3.1143999999999998</v>
      </c>
      <c r="B2802" s="458">
        <v>7.6934000000000002E-2</v>
      </c>
      <c r="C2802" t="str">
        <f t="shared" si="43"/>
        <v/>
      </c>
    </row>
    <row r="2803" spans="1:3" x14ac:dyDescent="0.25">
      <c r="A2803" s="223">
        <v>3.00115</v>
      </c>
      <c r="B2803" s="458">
        <v>7.7038999999999996E-2</v>
      </c>
      <c r="C2803" t="str">
        <f t="shared" si="43"/>
        <v/>
      </c>
    </row>
    <row r="2804" spans="1:3" x14ac:dyDescent="0.25">
      <c r="A2804" s="223">
        <v>4.7565299999999997</v>
      </c>
      <c r="B2804" s="458">
        <v>0.247699</v>
      </c>
      <c r="C2804" t="str">
        <f t="shared" si="43"/>
        <v/>
      </c>
    </row>
    <row r="2805" spans="1:3" x14ac:dyDescent="0.25">
      <c r="A2805" s="223">
        <v>3.4824600000000001</v>
      </c>
      <c r="B2805" s="458">
        <v>0.113354</v>
      </c>
      <c r="C2805" t="str">
        <f t="shared" si="43"/>
        <v/>
      </c>
    </row>
    <row r="2806" spans="1:3" x14ac:dyDescent="0.25">
      <c r="A2806" s="223">
        <v>3.00115</v>
      </c>
      <c r="B2806" s="458">
        <v>1.3644E-2</v>
      </c>
      <c r="C2806" t="str">
        <f t="shared" si="43"/>
        <v/>
      </c>
    </row>
    <row r="2807" spans="1:3" x14ac:dyDescent="0.25">
      <c r="A2807" s="223">
        <v>2.2395299999999998</v>
      </c>
      <c r="B2807" s="458">
        <v>5.8460999999999999E-2</v>
      </c>
      <c r="C2807" t="str">
        <f t="shared" si="43"/>
        <v/>
      </c>
    </row>
    <row r="2808" spans="1:3" x14ac:dyDescent="0.25">
      <c r="A2808" s="223">
        <v>2.2395299999999998</v>
      </c>
      <c r="B2808" s="458">
        <v>1.4484E-2</v>
      </c>
      <c r="C2808" t="str">
        <f t="shared" si="43"/>
        <v/>
      </c>
    </row>
    <row r="2809" spans="1:3" x14ac:dyDescent="0.25">
      <c r="A2809" s="223">
        <v>1.5402100000000001</v>
      </c>
      <c r="B2809" s="458">
        <v>4.2300000000000003E-3</v>
      </c>
      <c r="C2809" t="str">
        <f t="shared" si="43"/>
        <v/>
      </c>
    </row>
    <row r="2810" spans="1:3" x14ac:dyDescent="0.25">
      <c r="A2810" s="223">
        <v>0.93998000000000004</v>
      </c>
      <c r="B2810" s="458">
        <v>7.5669999999999999E-3</v>
      </c>
      <c r="C2810" t="str">
        <f t="shared" si="43"/>
        <v/>
      </c>
    </row>
    <row r="2811" spans="1:3" x14ac:dyDescent="0.25">
      <c r="A2811" s="223">
        <v>0.58323999999999998</v>
      </c>
      <c r="B2811" s="458">
        <v>6.9099999999999999E-4</v>
      </c>
      <c r="C2811" t="str">
        <f t="shared" si="43"/>
        <v/>
      </c>
    </row>
    <row r="2812" spans="1:3" x14ac:dyDescent="0.25">
      <c r="A2812" s="223">
        <v>2.25935</v>
      </c>
      <c r="B2812" s="458">
        <v>7.7878000000000003E-2</v>
      </c>
      <c r="C2812" t="str">
        <f t="shared" si="43"/>
        <v/>
      </c>
    </row>
    <row r="2813" spans="1:3" x14ac:dyDescent="0.25">
      <c r="A2813" s="223">
        <v>6.4836099999999997</v>
      </c>
      <c r="B2813" s="458">
        <v>2.1096E-2</v>
      </c>
      <c r="C2813" t="str">
        <f t="shared" si="43"/>
        <v/>
      </c>
    </row>
    <row r="2814" spans="1:3" x14ac:dyDescent="0.25">
      <c r="A2814" s="223">
        <v>11.0136</v>
      </c>
      <c r="B2814" s="458">
        <v>8.5224999999999995E-2</v>
      </c>
      <c r="C2814" t="str">
        <f t="shared" si="43"/>
        <v/>
      </c>
    </row>
    <row r="2815" spans="1:3" x14ac:dyDescent="0.25">
      <c r="A2815" s="223">
        <v>11.098599999999999</v>
      </c>
      <c r="B2815" s="458">
        <v>0.21201300000000001</v>
      </c>
      <c r="C2815" t="str">
        <f t="shared" si="43"/>
        <v/>
      </c>
    </row>
    <row r="2816" spans="1:3" x14ac:dyDescent="0.25">
      <c r="A2816" s="223">
        <v>8.4088700000000003</v>
      </c>
      <c r="B2816" s="458">
        <v>3.705E-2</v>
      </c>
      <c r="C2816" t="str">
        <f t="shared" si="43"/>
        <v/>
      </c>
    </row>
    <row r="2817" spans="1:3" x14ac:dyDescent="0.25">
      <c r="A2817" s="223">
        <v>13.9298</v>
      </c>
      <c r="B2817" s="458">
        <v>0.160584</v>
      </c>
      <c r="C2817" t="str">
        <f t="shared" si="43"/>
        <v/>
      </c>
    </row>
    <row r="2818" spans="1:3" x14ac:dyDescent="0.25">
      <c r="A2818" s="223">
        <v>3.0577700000000001</v>
      </c>
      <c r="B2818" s="458">
        <v>9.01E-4</v>
      </c>
      <c r="C2818" t="str">
        <f t="shared" si="43"/>
        <v/>
      </c>
    </row>
    <row r="2819" spans="1:3" x14ac:dyDescent="0.25">
      <c r="A2819" s="223">
        <v>1.9592400000000001</v>
      </c>
      <c r="B2819" s="458">
        <v>3.6740000000000002E-3</v>
      </c>
      <c r="C2819" t="str">
        <f t="shared" ref="C2819:C2882" si="44">IF(B2819=0,"XXXXXXXX","")</f>
        <v/>
      </c>
    </row>
    <row r="2820" spans="1:3" x14ac:dyDescent="0.25">
      <c r="A2820" s="223">
        <v>0.59740000000000004</v>
      </c>
      <c r="B2820" s="458">
        <v>5.6700000000000003E-5</v>
      </c>
      <c r="C2820" t="str">
        <f t="shared" si="44"/>
        <v/>
      </c>
    </row>
    <row r="2821" spans="1:3" x14ac:dyDescent="0.25">
      <c r="A2821" s="223">
        <v>2.2282099999999998</v>
      </c>
      <c r="B2821" s="458">
        <v>2.1831E-2</v>
      </c>
      <c r="C2821" t="str">
        <f t="shared" si="44"/>
        <v/>
      </c>
    </row>
    <row r="2822" spans="1:3" x14ac:dyDescent="0.25">
      <c r="A2822" s="223">
        <v>2.2282099999999998</v>
      </c>
      <c r="B2822" s="458">
        <v>3.5999999999999997E-2</v>
      </c>
      <c r="C2822" t="str">
        <f t="shared" si="44"/>
        <v/>
      </c>
    </row>
    <row r="2823" spans="1:3" x14ac:dyDescent="0.25">
      <c r="A2823" s="223">
        <v>2.5934400000000002</v>
      </c>
      <c r="B2823" s="458">
        <v>8.1030000000000008E-3</v>
      </c>
      <c r="C2823" t="str">
        <f t="shared" si="44"/>
        <v/>
      </c>
    </row>
    <row r="2824" spans="1:3" x14ac:dyDescent="0.25">
      <c r="A2824" s="223">
        <v>2.5934400000000002</v>
      </c>
      <c r="B2824" s="458">
        <v>2.3830000000000001E-3</v>
      </c>
      <c r="C2824" t="str">
        <f t="shared" si="44"/>
        <v/>
      </c>
    </row>
    <row r="2825" spans="1:3" x14ac:dyDescent="0.25">
      <c r="A2825" s="223">
        <v>8.0691199999999998</v>
      </c>
      <c r="B2825" s="458">
        <v>7.1475999999999998E-2</v>
      </c>
      <c r="C2825" t="str">
        <f t="shared" si="44"/>
        <v/>
      </c>
    </row>
    <row r="2826" spans="1:3" x14ac:dyDescent="0.25">
      <c r="A2826" s="223">
        <v>8.0691199999999998</v>
      </c>
      <c r="B2826" s="458">
        <v>8.1237000000000004E-2</v>
      </c>
      <c r="C2826" t="str">
        <f t="shared" si="44"/>
        <v/>
      </c>
    </row>
    <row r="2827" spans="1:3" x14ac:dyDescent="0.25">
      <c r="A2827" s="223">
        <v>8.5787499999999994</v>
      </c>
      <c r="B2827" s="458">
        <v>0.112304</v>
      </c>
      <c r="C2827" t="str">
        <f t="shared" si="44"/>
        <v/>
      </c>
    </row>
    <row r="2828" spans="1:3" x14ac:dyDescent="0.25">
      <c r="A2828" s="223">
        <v>8.5787499999999994</v>
      </c>
      <c r="B2828" s="458">
        <v>2.6764E-2</v>
      </c>
      <c r="C2828" t="str">
        <f t="shared" si="44"/>
        <v/>
      </c>
    </row>
    <row r="2829" spans="1:3" x14ac:dyDescent="0.25">
      <c r="A2829" s="223">
        <v>4.1902799999999996</v>
      </c>
      <c r="B2829" s="458">
        <v>1.2175E-2</v>
      </c>
      <c r="C2829" t="str">
        <f t="shared" si="44"/>
        <v/>
      </c>
    </row>
    <row r="2830" spans="1:3" x14ac:dyDescent="0.25">
      <c r="A2830" s="223">
        <v>4.1902799999999996</v>
      </c>
      <c r="B2830" s="458">
        <v>9.7610000000000006E-3</v>
      </c>
      <c r="C2830" t="str">
        <f t="shared" si="44"/>
        <v/>
      </c>
    </row>
    <row r="2831" spans="1:3" x14ac:dyDescent="0.25">
      <c r="A2831" s="223">
        <v>4.5583400000000003</v>
      </c>
      <c r="B2831" s="458">
        <v>0.10212300000000001</v>
      </c>
      <c r="C2831" t="str">
        <f t="shared" si="44"/>
        <v/>
      </c>
    </row>
    <row r="2832" spans="1:3" x14ac:dyDescent="0.25">
      <c r="A2832" s="223">
        <v>4.5583400000000003</v>
      </c>
      <c r="B2832" s="458">
        <v>0.10401299999999999</v>
      </c>
      <c r="C2832" t="str">
        <f t="shared" si="44"/>
        <v/>
      </c>
    </row>
    <row r="2833" spans="1:3" x14ac:dyDescent="0.25">
      <c r="A2833" s="223">
        <v>4.8131599999999999</v>
      </c>
      <c r="B2833" s="458">
        <v>2.6134000000000001E-2</v>
      </c>
      <c r="C2833" t="str">
        <f t="shared" si="44"/>
        <v/>
      </c>
    </row>
    <row r="2834" spans="1:3" x14ac:dyDescent="0.25">
      <c r="A2834" s="223">
        <v>4.8131599999999999</v>
      </c>
      <c r="B2834" s="458">
        <v>1.4378999999999999E-2</v>
      </c>
      <c r="C2834" t="str">
        <f t="shared" si="44"/>
        <v/>
      </c>
    </row>
    <row r="2835" spans="1:3" x14ac:dyDescent="0.25">
      <c r="A2835" s="223">
        <v>4.69991</v>
      </c>
      <c r="B2835" s="458">
        <v>6.5598000000000004E-2</v>
      </c>
      <c r="C2835" t="str">
        <f t="shared" si="44"/>
        <v/>
      </c>
    </row>
    <row r="2836" spans="1:3" x14ac:dyDescent="0.25">
      <c r="A2836" s="223">
        <v>4.69991</v>
      </c>
      <c r="B2836" s="458">
        <v>5.0903999999999998E-2</v>
      </c>
      <c r="C2836" t="str">
        <f t="shared" si="44"/>
        <v/>
      </c>
    </row>
    <row r="2837" spans="1:3" x14ac:dyDescent="0.25">
      <c r="A2837" s="223">
        <v>4.27522</v>
      </c>
      <c r="B2837" s="458">
        <v>2.0257000000000001E-2</v>
      </c>
      <c r="C2837" t="str">
        <f t="shared" si="44"/>
        <v/>
      </c>
    </row>
    <row r="2838" spans="1:3" x14ac:dyDescent="0.25">
      <c r="A2838" s="223">
        <v>4.27522</v>
      </c>
      <c r="B2838" s="458">
        <v>9.247E-3</v>
      </c>
      <c r="C2838" t="str">
        <f t="shared" si="44"/>
        <v/>
      </c>
    </row>
    <row r="2839" spans="1:3" x14ac:dyDescent="0.25">
      <c r="A2839" s="223">
        <v>2.83127</v>
      </c>
      <c r="B2839" s="458">
        <v>3.999E-3</v>
      </c>
      <c r="C2839" t="str">
        <f t="shared" si="44"/>
        <v/>
      </c>
    </row>
    <row r="2840" spans="1:3" x14ac:dyDescent="0.25">
      <c r="A2840" s="223">
        <v>2.83127</v>
      </c>
      <c r="B2840" s="458">
        <v>4.5030000000000001E-3</v>
      </c>
      <c r="C2840" t="str">
        <f t="shared" si="44"/>
        <v/>
      </c>
    </row>
    <row r="2841" spans="1:3" x14ac:dyDescent="0.25">
      <c r="A2841" s="223">
        <v>4.6432799999999999</v>
      </c>
      <c r="B2841" s="458">
        <v>3.9253999999999997E-2</v>
      </c>
      <c r="C2841" t="str">
        <f t="shared" si="44"/>
        <v/>
      </c>
    </row>
    <row r="2842" spans="1:3" x14ac:dyDescent="0.25">
      <c r="A2842" s="223">
        <v>4.6432799999999999</v>
      </c>
      <c r="B2842" s="458">
        <v>4.5656000000000002E-2</v>
      </c>
      <c r="C2842" t="str">
        <f t="shared" si="44"/>
        <v/>
      </c>
    </row>
    <row r="2843" spans="1:3" x14ac:dyDescent="0.25">
      <c r="A2843" s="223">
        <v>3.93547</v>
      </c>
      <c r="B2843" s="458">
        <v>0.109155</v>
      </c>
      <c r="C2843" t="str">
        <f t="shared" si="44"/>
        <v/>
      </c>
    </row>
    <row r="2844" spans="1:3" x14ac:dyDescent="0.25">
      <c r="A2844" s="223">
        <v>3.93547</v>
      </c>
      <c r="B2844" s="458">
        <v>8.4805000000000005E-2</v>
      </c>
      <c r="C2844" t="str">
        <f t="shared" si="44"/>
        <v/>
      </c>
    </row>
    <row r="2845" spans="1:3" x14ac:dyDescent="0.25">
      <c r="A2845" s="223">
        <v>3.1143999999999998</v>
      </c>
      <c r="B2845" s="458">
        <v>4.2193000000000001E-2</v>
      </c>
      <c r="C2845" t="str">
        <f t="shared" si="44"/>
        <v/>
      </c>
    </row>
    <row r="2846" spans="1:3" x14ac:dyDescent="0.25">
      <c r="A2846" s="223">
        <v>3.1143999999999998</v>
      </c>
      <c r="B2846" s="458">
        <v>5.0484000000000001E-2</v>
      </c>
      <c r="C2846" t="str">
        <f t="shared" si="44"/>
        <v/>
      </c>
    </row>
    <row r="2847" spans="1:3" x14ac:dyDescent="0.25">
      <c r="A2847" s="223">
        <v>3.0294599999999998</v>
      </c>
      <c r="B2847" s="458">
        <v>8.1030000000000008E-3</v>
      </c>
      <c r="C2847" t="str">
        <f t="shared" si="44"/>
        <v/>
      </c>
    </row>
    <row r="2848" spans="1:3" x14ac:dyDescent="0.25">
      <c r="A2848" s="223">
        <v>3.0294599999999998</v>
      </c>
      <c r="B2848" s="458">
        <v>1.333E-2</v>
      </c>
      <c r="C2848" t="str">
        <f t="shared" si="44"/>
        <v/>
      </c>
    </row>
    <row r="2849" spans="1:3" x14ac:dyDescent="0.25">
      <c r="A2849" s="223">
        <v>2.9445199999999998</v>
      </c>
      <c r="B2849" s="458">
        <v>3.0230000000000001E-3</v>
      </c>
      <c r="C2849" t="str">
        <f t="shared" si="44"/>
        <v/>
      </c>
    </row>
    <row r="2850" spans="1:3" x14ac:dyDescent="0.25">
      <c r="A2850" s="223">
        <v>2.9445199999999998</v>
      </c>
      <c r="B2850" s="458">
        <v>6.4339999999999996E-3</v>
      </c>
      <c r="C2850" t="str">
        <f t="shared" si="44"/>
        <v/>
      </c>
    </row>
    <row r="2851" spans="1:3" x14ac:dyDescent="0.25">
      <c r="A2851" s="223">
        <v>2.6783800000000002</v>
      </c>
      <c r="B2851" s="458">
        <v>3.4529999999999999E-3</v>
      </c>
      <c r="C2851" t="str">
        <f t="shared" si="44"/>
        <v/>
      </c>
    </row>
    <row r="2852" spans="1:3" x14ac:dyDescent="0.25">
      <c r="A2852" s="223">
        <v>2.6783800000000002</v>
      </c>
      <c r="B2852" s="458">
        <v>3.862E-3</v>
      </c>
      <c r="C2852" t="str">
        <f t="shared" si="44"/>
        <v/>
      </c>
    </row>
    <row r="2853" spans="1:3" x14ac:dyDescent="0.25">
      <c r="A2853" s="223">
        <v>2.2282099999999998</v>
      </c>
      <c r="B2853" s="458">
        <v>1.1969999999999999E-3</v>
      </c>
      <c r="C2853" t="str">
        <f t="shared" si="44"/>
        <v/>
      </c>
    </row>
    <row r="2854" spans="1:3" x14ac:dyDescent="0.25">
      <c r="A2854" s="223">
        <v>2.2282099999999998</v>
      </c>
      <c r="B2854" s="458">
        <v>5.3530000000000001E-3</v>
      </c>
      <c r="C2854" t="str">
        <f t="shared" si="44"/>
        <v/>
      </c>
    </row>
    <row r="2855" spans="1:3" x14ac:dyDescent="0.25">
      <c r="A2855" s="223">
        <v>2.55097</v>
      </c>
      <c r="B2855" s="458">
        <v>1.1124999999999999E-2</v>
      </c>
      <c r="C2855" t="str">
        <f t="shared" si="44"/>
        <v/>
      </c>
    </row>
    <row r="2856" spans="1:3" x14ac:dyDescent="0.25">
      <c r="A2856" s="223">
        <v>2.55097</v>
      </c>
      <c r="B2856" s="458">
        <v>9.2359999999999994E-3</v>
      </c>
      <c r="C2856" t="str">
        <f t="shared" si="44"/>
        <v/>
      </c>
    </row>
    <row r="2857" spans="1:3" x14ac:dyDescent="0.25">
      <c r="A2857" s="223">
        <v>2.1885699999999999</v>
      </c>
      <c r="B2857" s="458">
        <v>3.212E-3</v>
      </c>
      <c r="C2857" t="str">
        <f t="shared" si="44"/>
        <v/>
      </c>
    </row>
    <row r="2858" spans="1:3" x14ac:dyDescent="0.25">
      <c r="A2858" s="223">
        <v>2.1885699999999999</v>
      </c>
      <c r="B2858" s="458">
        <v>5.4050000000000001E-3</v>
      </c>
      <c r="C2858" t="str">
        <f t="shared" si="44"/>
        <v/>
      </c>
    </row>
    <row r="2859" spans="1:3" x14ac:dyDescent="0.25">
      <c r="A2859" s="223">
        <v>2.0724900000000002</v>
      </c>
      <c r="B2859" s="458">
        <v>5.6680000000000003E-3</v>
      </c>
      <c r="C2859" t="str">
        <f t="shared" si="44"/>
        <v/>
      </c>
    </row>
    <row r="2860" spans="1:3" x14ac:dyDescent="0.25">
      <c r="A2860" s="223">
        <v>2.0724900000000002</v>
      </c>
      <c r="B2860" s="458">
        <v>1.2700000000000001E-3</v>
      </c>
      <c r="C2860" t="str">
        <f t="shared" si="44"/>
        <v/>
      </c>
    </row>
    <row r="2861" spans="1:3" x14ac:dyDescent="0.25">
      <c r="A2861" s="223">
        <v>2.14893</v>
      </c>
      <c r="B2861" s="458">
        <v>2.7810000000000001E-3</v>
      </c>
      <c r="C2861" t="str">
        <f t="shared" si="44"/>
        <v/>
      </c>
    </row>
    <row r="2862" spans="1:3" x14ac:dyDescent="0.25">
      <c r="A2862" s="223">
        <v>2.14893</v>
      </c>
      <c r="B2862" s="458">
        <v>1.0709999999999999E-3</v>
      </c>
      <c r="C2862" t="str">
        <f t="shared" si="44"/>
        <v/>
      </c>
    </row>
    <row r="2863" spans="1:3" x14ac:dyDescent="0.25">
      <c r="A2863" s="223">
        <v>1.7780400000000001</v>
      </c>
      <c r="B2863" s="458">
        <v>7.7099999999999998E-4</v>
      </c>
      <c r="C2863" t="str">
        <f t="shared" si="44"/>
        <v/>
      </c>
    </row>
    <row r="2864" spans="1:3" x14ac:dyDescent="0.25">
      <c r="A2864" s="223">
        <v>1.7780400000000001</v>
      </c>
      <c r="B2864" s="458">
        <v>3.0200000000000002E-4</v>
      </c>
      <c r="C2864" t="str">
        <f t="shared" si="44"/>
        <v/>
      </c>
    </row>
    <row r="2865" spans="1:3" x14ac:dyDescent="0.25">
      <c r="A2865" s="223">
        <v>0.91732999999999998</v>
      </c>
      <c r="B2865" s="458">
        <v>1.84E-4</v>
      </c>
      <c r="C2865" t="str">
        <f t="shared" si="44"/>
        <v/>
      </c>
    </row>
    <row r="2866" spans="1:3" x14ac:dyDescent="0.25">
      <c r="A2866" s="223">
        <v>0.91732999999999998</v>
      </c>
      <c r="B2866" s="458">
        <v>3.4400000000000001E-4</v>
      </c>
      <c r="C2866" t="str">
        <f t="shared" si="44"/>
        <v/>
      </c>
    </row>
    <row r="2867" spans="1:3" x14ac:dyDescent="0.25">
      <c r="A2867" s="223">
        <v>0.48698000000000002</v>
      </c>
      <c r="B2867" s="458">
        <v>9.4499999999999993E-6</v>
      </c>
      <c r="C2867" t="str">
        <f t="shared" si="44"/>
        <v/>
      </c>
    </row>
    <row r="2868" spans="1:3" x14ac:dyDescent="0.25">
      <c r="A2868" s="223">
        <v>0.29444999999999999</v>
      </c>
      <c r="B2868" s="458">
        <v>1.15E-5</v>
      </c>
      <c r="C2868" t="str">
        <f t="shared" si="44"/>
        <v/>
      </c>
    </row>
    <row r="2869" spans="1:3" x14ac:dyDescent="0.25">
      <c r="A2869" s="223">
        <v>0.29444999999999999</v>
      </c>
      <c r="B2869" s="458">
        <v>1.0499999999999999E-5</v>
      </c>
      <c r="C2869" t="str">
        <f t="shared" si="44"/>
        <v/>
      </c>
    </row>
    <row r="2870" spans="1:3" x14ac:dyDescent="0.25">
      <c r="A2870" s="223">
        <v>0.27972999999999998</v>
      </c>
      <c r="B2870" s="458">
        <v>8.3999999999999992E-6</v>
      </c>
      <c r="C2870" t="str">
        <f t="shared" si="44"/>
        <v/>
      </c>
    </row>
    <row r="2871" spans="1:3" x14ac:dyDescent="0.25">
      <c r="A2871" s="223">
        <v>0.27972999999999998</v>
      </c>
      <c r="B2871" s="458">
        <v>4.1999999999999996E-6</v>
      </c>
      <c r="C2871" t="str">
        <f t="shared" si="44"/>
        <v/>
      </c>
    </row>
    <row r="2872" spans="1:3" x14ac:dyDescent="0.25">
      <c r="A2872" s="223">
        <v>1.2655799999999999</v>
      </c>
      <c r="B2872" s="458">
        <v>2.5500000000000002E-3</v>
      </c>
      <c r="C2872" t="str">
        <f t="shared" si="44"/>
        <v/>
      </c>
    </row>
    <row r="2873" spans="1:3" x14ac:dyDescent="0.25">
      <c r="A2873" s="223">
        <v>1.2655799999999999</v>
      </c>
      <c r="B2873" s="458">
        <v>1.042E-3</v>
      </c>
      <c r="C2873" t="str">
        <f t="shared" si="44"/>
        <v/>
      </c>
    </row>
    <row r="2874" spans="1:3" x14ac:dyDescent="0.25">
      <c r="A2874" s="223">
        <v>2.2536900000000002</v>
      </c>
      <c r="B2874" s="458">
        <v>1.5740000000000001E-3</v>
      </c>
      <c r="C2874" t="str">
        <f t="shared" si="44"/>
        <v/>
      </c>
    </row>
    <row r="2875" spans="1:3" x14ac:dyDescent="0.25">
      <c r="A2875" s="223">
        <v>2.2536900000000002</v>
      </c>
      <c r="B2875" s="458">
        <v>3.7889999999999998E-3</v>
      </c>
      <c r="C2875" t="str">
        <f t="shared" si="44"/>
        <v/>
      </c>
    </row>
    <row r="2876" spans="1:3" x14ac:dyDescent="0.25">
      <c r="A2876" s="223">
        <v>2.2140499999999999</v>
      </c>
      <c r="B2876" s="458">
        <v>1.879E-3</v>
      </c>
      <c r="C2876" t="str">
        <f t="shared" si="44"/>
        <v/>
      </c>
    </row>
    <row r="2877" spans="1:3" x14ac:dyDescent="0.25">
      <c r="A2877" s="223">
        <v>2.2140499999999999</v>
      </c>
      <c r="B2877" s="458">
        <v>1.8890000000000001E-3</v>
      </c>
      <c r="C2877" t="str">
        <f t="shared" si="44"/>
        <v/>
      </c>
    </row>
    <row r="2878" spans="1:3" x14ac:dyDescent="0.25">
      <c r="A2878" s="223">
        <v>2.5566399999999998</v>
      </c>
      <c r="B2878" s="458">
        <v>1.0600999999999999E-2</v>
      </c>
      <c r="C2878" t="str">
        <f t="shared" si="44"/>
        <v/>
      </c>
    </row>
    <row r="2879" spans="1:3" x14ac:dyDescent="0.25">
      <c r="A2879" s="223">
        <v>2.5566399999999998</v>
      </c>
      <c r="B2879" s="458">
        <v>1.312E-3</v>
      </c>
      <c r="C2879" t="str">
        <f t="shared" si="44"/>
        <v/>
      </c>
    </row>
    <row r="2880" spans="1:3" x14ac:dyDescent="0.25">
      <c r="A2880" s="223">
        <v>6.1155400000000002</v>
      </c>
      <c r="B2880" s="458">
        <v>2.0466999999999999E-2</v>
      </c>
      <c r="C2880" t="str">
        <f t="shared" si="44"/>
        <v/>
      </c>
    </row>
    <row r="2881" spans="1:3" x14ac:dyDescent="0.25">
      <c r="A2881" s="223">
        <v>6.1155400000000002</v>
      </c>
      <c r="B2881" s="458">
        <v>1.8787000000000002E-2</v>
      </c>
      <c r="C2881" t="str">
        <f t="shared" si="44"/>
        <v/>
      </c>
    </row>
    <row r="2882" spans="1:3" x14ac:dyDescent="0.25">
      <c r="A2882" s="223">
        <v>9.9943799999999996</v>
      </c>
      <c r="B2882" s="458">
        <v>3.2537000000000003E-2</v>
      </c>
      <c r="C2882" t="str">
        <f t="shared" si="44"/>
        <v/>
      </c>
    </row>
    <row r="2883" spans="1:3" x14ac:dyDescent="0.25">
      <c r="A2883" s="223">
        <v>9.9943799999999996</v>
      </c>
      <c r="B2883" s="458">
        <v>4.6286000000000001E-2</v>
      </c>
      <c r="C2883" t="str">
        <f t="shared" ref="C2883:C2942" si="45">IF(B2883=0,"XXXXXXXX","")</f>
        <v/>
      </c>
    </row>
    <row r="2884" spans="1:3" x14ac:dyDescent="0.25">
      <c r="A2884" s="223">
        <v>9.2582500000000003</v>
      </c>
      <c r="B2884" s="458">
        <v>9.74E-2</v>
      </c>
      <c r="C2884" t="str">
        <f t="shared" si="45"/>
        <v/>
      </c>
    </row>
    <row r="2885" spans="1:3" x14ac:dyDescent="0.25">
      <c r="A2885" s="223">
        <v>9.2582500000000003</v>
      </c>
      <c r="B2885" s="458">
        <v>3.1801999999999997E-2</v>
      </c>
      <c r="C2885" t="str">
        <f t="shared" si="45"/>
        <v/>
      </c>
    </row>
    <row r="2886" spans="1:3" x14ac:dyDescent="0.25">
      <c r="A2886" s="223">
        <v>9.0883800000000008</v>
      </c>
      <c r="B2886" s="458">
        <v>1.3539000000000001E-2</v>
      </c>
      <c r="C2886" t="str">
        <f t="shared" si="45"/>
        <v/>
      </c>
    </row>
    <row r="2887" spans="1:3" x14ac:dyDescent="0.25">
      <c r="A2887" s="223">
        <v>9.0883800000000008</v>
      </c>
      <c r="B2887" s="458">
        <v>3.5790000000000002E-2</v>
      </c>
      <c r="C2887" t="str">
        <f t="shared" si="45"/>
        <v/>
      </c>
    </row>
    <row r="2888" spans="1:3" x14ac:dyDescent="0.25">
      <c r="A2888" s="223">
        <v>5.4360400000000002</v>
      </c>
      <c r="B2888" s="458">
        <v>9.4149999999999998E-3</v>
      </c>
      <c r="C2888" t="str">
        <f t="shared" si="45"/>
        <v/>
      </c>
    </row>
    <row r="2889" spans="1:3" x14ac:dyDescent="0.25">
      <c r="A2889" s="223">
        <v>5.4360400000000002</v>
      </c>
      <c r="B2889" s="458">
        <v>1.291E-2</v>
      </c>
      <c r="C2889" t="str">
        <f t="shared" si="45"/>
        <v/>
      </c>
    </row>
    <row r="2890" spans="1:3" x14ac:dyDescent="0.25">
      <c r="A2890" s="223">
        <v>5.6342299999999996</v>
      </c>
      <c r="B2890" s="458">
        <v>8.3129999999999992E-3</v>
      </c>
      <c r="C2890" t="str">
        <f t="shared" si="45"/>
        <v/>
      </c>
    </row>
    <row r="2891" spans="1:3" x14ac:dyDescent="0.25">
      <c r="A2891" s="223">
        <v>5.6342299999999996</v>
      </c>
      <c r="B2891" s="458">
        <v>2.5714999999999998E-2</v>
      </c>
      <c r="C2891" t="str">
        <f t="shared" si="45"/>
        <v/>
      </c>
    </row>
    <row r="2892" spans="1:3" x14ac:dyDescent="0.25">
      <c r="A2892" s="223">
        <v>3.9071500000000001</v>
      </c>
      <c r="B2892" s="458">
        <v>2.0572E-2</v>
      </c>
      <c r="C2892" t="str">
        <f t="shared" si="45"/>
        <v/>
      </c>
    </row>
    <row r="2893" spans="1:3" x14ac:dyDescent="0.25">
      <c r="A2893" s="223">
        <v>3.9071500000000001</v>
      </c>
      <c r="B2893" s="458">
        <v>4.8175000000000003E-2</v>
      </c>
      <c r="C2893" t="str">
        <f t="shared" si="45"/>
        <v/>
      </c>
    </row>
    <row r="2894" spans="1:3" x14ac:dyDescent="0.25">
      <c r="A2894" s="223">
        <v>3.68065</v>
      </c>
      <c r="B2894" s="458">
        <v>1.1650000000000001E-2</v>
      </c>
      <c r="C2894" t="str">
        <f t="shared" si="45"/>
        <v/>
      </c>
    </row>
    <row r="2895" spans="1:3" x14ac:dyDescent="0.25">
      <c r="A2895" s="223">
        <v>3.68065</v>
      </c>
      <c r="B2895" s="458">
        <v>6.3600000000000002E-3</v>
      </c>
      <c r="C2895" t="str">
        <f t="shared" si="45"/>
        <v/>
      </c>
    </row>
    <row r="2896" spans="1:3" x14ac:dyDescent="0.25">
      <c r="A2896" s="223">
        <v>2.83127</v>
      </c>
      <c r="B2896" s="458">
        <v>1.5114000000000001E-2</v>
      </c>
      <c r="C2896" t="str">
        <f t="shared" si="45"/>
        <v/>
      </c>
    </row>
    <row r="2897" spans="1:3" x14ac:dyDescent="0.25">
      <c r="A2897" s="223">
        <v>2.83127</v>
      </c>
      <c r="B2897" s="458">
        <v>1.0916E-2</v>
      </c>
      <c r="C2897" t="str">
        <f t="shared" si="45"/>
        <v/>
      </c>
    </row>
    <row r="2898" spans="1:3" x14ac:dyDescent="0.25">
      <c r="A2898" s="223">
        <v>3.7089599999999998</v>
      </c>
      <c r="B2898" s="458">
        <v>8.1869999999999998E-3</v>
      </c>
      <c r="C2898" t="str">
        <f t="shared" si="45"/>
        <v/>
      </c>
    </row>
    <row r="2899" spans="1:3" x14ac:dyDescent="0.25">
      <c r="A2899" s="223">
        <v>3.7089599999999998</v>
      </c>
      <c r="B2899" s="458">
        <v>1.4168999999999999E-2</v>
      </c>
      <c r="C2899" t="str">
        <f t="shared" si="45"/>
        <v/>
      </c>
    </row>
    <row r="2900" spans="1:3" x14ac:dyDescent="0.25">
      <c r="A2900" s="223">
        <v>2.5792899999999999</v>
      </c>
      <c r="B2900" s="458">
        <v>1.8680000000000001E-3</v>
      </c>
      <c r="C2900" t="str">
        <f t="shared" si="45"/>
        <v/>
      </c>
    </row>
    <row r="2901" spans="1:3" x14ac:dyDescent="0.25">
      <c r="A2901" s="223">
        <v>2.5792899999999999</v>
      </c>
      <c r="B2901" s="458">
        <v>3.9150000000000001E-3</v>
      </c>
      <c r="C2901" t="str">
        <f t="shared" si="45"/>
        <v/>
      </c>
    </row>
    <row r="2902" spans="1:3" x14ac:dyDescent="0.25">
      <c r="A2902" s="223">
        <v>2.59911</v>
      </c>
      <c r="B2902" s="458">
        <v>1.0920000000000001E-3</v>
      </c>
      <c r="C2902" t="str">
        <f t="shared" si="45"/>
        <v/>
      </c>
    </row>
    <row r="2903" spans="1:3" x14ac:dyDescent="0.25">
      <c r="A2903" s="223">
        <v>2.59911</v>
      </c>
      <c r="B2903" s="458">
        <v>3.663E-3</v>
      </c>
      <c r="C2903" t="str">
        <f t="shared" si="45"/>
        <v/>
      </c>
    </row>
    <row r="2904" spans="1:3" x14ac:dyDescent="0.25">
      <c r="A2904" s="223">
        <v>1.34202</v>
      </c>
      <c r="B2904" s="458">
        <v>4.4700000000000002E-4</v>
      </c>
      <c r="C2904" t="str">
        <f t="shared" si="45"/>
        <v/>
      </c>
    </row>
    <row r="2905" spans="1:3" x14ac:dyDescent="0.25">
      <c r="A2905" s="223">
        <v>1.34202</v>
      </c>
      <c r="B2905" s="458">
        <v>2.2900000000000001E-4</v>
      </c>
      <c r="C2905" t="str">
        <f t="shared" si="45"/>
        <v/>
      </c>
    </row>
    <row r="2906" spans="1:3" x14ac:dyDescent="0.25">
      <c r="A2906" s="223">
        <v>4.6715999999999998</v>
      </c>
      <c r="B2906" s="458">
        <v>4.2193000000000001E-2</v>
      </c>
      <c r="C2906" t="str">
        <f t="shared" si="45"/>
        <v/>
      </c>
    </row>
    <row r="2907" spans="1:3" x14ac:dyDescent="0.25">
      <c r="A2907" s="223">
        <v>4.6715999999999998</v>
      </c>
      <c r="B2907" s="458">
        <v>1.3225000000000001E-2</v>
      </c>
      <c r="C2907" t="str">
        <f t="shared" si="45"/>
        <v/>
      </c>
    </row>
    <row r="2908" spans="1:3" x14ac:dyDescent="0.25">
      <c r="A2908" s="223">
        <v>1.0192600000000001</v>
      </c>
      <c r="B2908" s="458">
        <v>6.11E-4</v>
      </c>
      <c r="C2908" t="str">
        <f t="shared" si="45"/>
        <v/>
      </c>
    </row>
    <row r="2909" spans="1:3" x14ac:dyDescent="0.25">
      <c r="A2909" s="223">
        <v>1.0192600000000001</v>
      </c>
      <c r="B2909" s="458">
        <v>5.6700000000000003E-5</v>
      </c>
      <c r="C2909" t="str">
        <f t="shared" si="45"/>
        <v/>
      </c>
    </row>
    <row r="2910" spans="1:3" x14ac:dyDescent="0.25">
      <c r="A2910" s="223">
        <v>0.71631</v>
      </c>
      <c r="B2910" s="458">
        <v>1.75E-4</v>
      </c>
      <c r="C2910" t="str">
        <f t="shared" si="45"/>
        <v/>
      </c>
    </row>
    <row r="2911" spans="1:3" x14ac:dyDescent="0.25">
      <c r="A2911" s="223">
        <v>0.71631</v>
      </c>
      <c r="B2911" s="458">
        <v>5.8799999999999999E-5</v>
      </c>
      <c r="C2911" t="str">
        <f t="shared" si="45"/>
        <v/>
      </c>
    </row>
    <row r="2912" spans="1:3" x14ac:dyDescent="0.25">
      <c r="A2912" s="223">
        <v>0.59740000000000004</v>
      </c>
      <c r="B2912" s="458">
        <v>7.3499999999999998E-5</v>
      </c>
      <c r="C2912" t="str">
        <f t="shared" si="45"/>
        <v/>
      </c>
    </row>
    <row r="2913" spans="1:3" x14ac:dyDescent="0.25">
      <c r="A2913" s="223">
        <v>12.825699999999999</v>
      </c>
      <c r="B2913" s="458">
        <v>0.19731899999999999</v>
      </c>
      <c r="C2913" t="str">
        <f t="shared" si="45"/>
        <v/>
      </c>
    </row>
    <row r="2914" spans="1:3" x14ac:dyDescent="0.25">
      <c r="A2914" s="223">
        <v>7.8709300000000004</v>
      </c>
      <c r="B2914" s="458">
        <v>2.2041000000000002E-2</v>
      </c>
      <c r="C2914" t="str">
        <f t="shared" si="45"/>
        <v/>
      </c>
    </row>
    <row r="2915" spans="1:3" x14ac:dyDescent="0.25">
      <c r="A2915" s="223">
        <v>7.6727400000000001</v>
      </c>
      <c r="B2915" s="458">
        <v>3.3901000000000001E-2</v>
      </c>
      <c r="C2915" t="str">
        <f t="shared" si="45"/>
        <v/>
      </c>
    </row>
    <row r="2916" spans="1:3" x14ac:dyDescent="0.25">
      <c r="A2916" s="223">
        <v>13.7883</v>
      </c>
      <c r="B2916" s="458">
        <v>7.7353000000000005E-2</v>
      </c>
      <c r="C2916" t="str">
        <f t="shared" si="45"/>
        <v/>
      </c>
    </row>
    <row r="2917" spans="1:3" x14ac:dyDescent="0.25">
      <c r="A2917" s="223">
        <v>18.29</v>
      </c>
      <c r="B2917" s="458">
        <v>0.23825299999999999</v>
      </c>
      <c r="C2917" t="str">
        <f t="shared" si="45"/>
        <v/>
      </c>
    </row>
    <row r="2918" spans="1:3" x14ac:dyDescent="0.25">
      <c r="A2918" s="223">
        <v>4.10534</v>
      </c>
      <c r="B2918" s="458">
        <v>8.2710000000000006E-3</v>
      </c>
      <c r="C2918" t="str">
        <f t="shared" si="45"/>
        <v/>
      </c>
    </row>
    <row r="2919" spans="1:3" x14ac:dyDescent="0.25">
      <c r="A2919" s="223">
        <v>2.2989899999999999</v>
      </c>
      <c r="B2919" s="458">
        <v>9.4249999999999994E-3</v>
      </c>
      <c r="C2919" t="str">
        <f t="shared" si="45"/>
        <v/>
      </c>
    </row>
    <row r="2920" spans="1:3" x14ac:dyDescent="0.25">
      <c r="A2920" s="223">
        <v>3.2276500000000001</v>
      </c>
      <c r="B2920" s="458">
        <v>6.9059999999999998E-3</v>
      </c>
      <c r="C2920" t="str">
        <f t="shared" si="45"/>
        <v/>
      </c>
    </row>
    <row r="2921" spans="1:3" x14ac:dyDescent="0.25">
      <c r="A2921" s="223">
        <v>9.7678799999999999</v>
      </c>
      <c r="B2921" s="458">
        <v>1.7108000000000002E-2</v>
      </c>
      <c r="C2921" t="str">
        <f t="shared" si="45"/>
        <v/>
      </c>
    </row>
    <row r="2922" spans="1:3" x14ac:dyDescent="0.25">
      <c r="A2922" s="223">
        <v>10.192600000000001</v>
      </c>
      <c r="B2922" s="458">
        <v>4.4082000000000003E-2</v>
      </c>
      <c r="C2922" t="str">
        <f t="shared" si="45"/>
        <v/>
      </c>
    </row>
    <row r="2923" spans="1:3" x14ac:dyDescent="0.25">
      <c r="A2923" s="223">
        <v>11.126899999999999</v>
      </c>
      <c r="B2923" s="458">
        <v>2.1305999999999999E-2</v>
      </c>
      <c r="C2923" t="str">
        <f t="shared" si="45"/>
        <v/>
      </c>
    </row>
    <row r="2924" spans="1:3" x14ac:dyDescent="0.25">
      <c r="A2924" s="223">
        <v>13.420199999999999</v>
      </c>
      <c r="B2924" s="458">
        <v>6.4654000000000003E-2</v>
      </c>
      <c r="C2924" t="str">
        <f t="shared" si="45"/>
        <v/>
      </c>
    </row>
    <row r="2925" spans="1:3" x14ac:dyDescent="0.25">
      <c r="A2925" s="223">
        <v>14.7509</v>
      </c>
      <c r="B2925" s="458">
        <v>7.5883999999999993E-2</v>
      </c>
      <c r="C2925" t="str">
        <f t="shared" si="45"/>
        <v/>
      </c>
    </row>
    <row r="2926" spans="1:3" x14ac:dyDescent="0.25">
      <c r="A2926" s="223">
        <v>8.5787499999999994</v>
      </c>
      <c r="B2926" s="458">
        <v>1.0600999999999999E-2</v>
      </c>
      <c r="C2926" t="str">
        <f t="shared" si="45"/>
        <v/>
      </c>
    </row>
    <row r="2927" spans="1:3" x14ac:dyDescent="0.25">
      <c r="A2927" s="223">
        <v>4.1619700000000002</v>
      </c>
      <c r="B2927" s="458">
        <v>5.594E-3</v>
      </c>
      <c r="C2927" t="str">
        <f t="shared" si="45"/>
        <v/>
      </c>
    </row>
    <row r="2928" spans="1:3" x14ac:dyDescent="0.25">
      <c r="A2928" s="223">
        <v>2.8879000000000001</v>
      </c>
      <c r="B2928" s="458">
        <v>1.5430000000000001E-3</v>
      </c>
      <c r="C2928" t="str">
        <f t="shared" si="45"/>
        <v/>
      </c>
    </row>
    <row r="2929" spans="1:3" x14ac:dyDescent="0.25">
      <c r="A2929" s="223">
        <v>1.6902699999999999</v>
      </c>
      <c r="B2929" s="458">
        <v>5.4600000000000004E-4</v>
      </c>
      <c r="C2929" t="str">
        <f t="shared" si="45"/>
        <v/>
      </c>
    </row>
    <row r="2930" spans="1:3" x14ac:dyDescent="0.25">
      <c r="A2930" s="223">
        <v>2.5000100000000001</v>
      </c>
      <c r="B2930" s="458">
        <v>4.9600000000000002E-4</v>
      </c>
      <c r="C2930" t="str">
        <f t="shared" si="45"/>
        <v/>
      </c>
    </row>
    <row r="2931" spans="1:3" x14ac:dyDescent="0.25">
      <c r="A2931" s="223">
        <v>8.9184999999999999</v>
      </c>
      <c r="B2931" s="458">
        <v>6.4023999999999998E-2</v>
      </c>
      <c r="C2931" t="str">
        <f t="shared" si="45"/>
        <v/>
      </c>
    </row>
    <row r="2932" spans="1:3" x14ac:dyDescent="0.25">
      <c r="A2932" s="223">
        <v>11.6648</v>
      </c>
      <c r="B2932" s="458">
        <v>0.120701</v>
      </c>
      <c r="C2932" t="str">
        <f t="shared" si="45"/>
        <v/>
      </c>
    </row>
    <row r="2933" spans="1:3" x14ac:dyDescent="0.25">
      <c r="A2933" s="223">
        <v>7.4745499999999998</v>
      </c>
      <c r="B2933" s="458">
        <v>2.3824999999999999E-2</v>
      </c>
      <c r="C2933" t="str">
        <f t="shared" si="45"/>
        <v/>
      </c>
    </row>
    <row r="2934" spans="1:3" x14ac:dyDescent="0.25">
      <c r="A2934" s="223">
        <v>4.7848499999999996</v>
      </c>
      <c r="B2934" s="458">
        <v>1.7318E-2</v>
      </c>
      <c r="C2934" t="str">
        <f t="shared" si="45"/>
        <v/>
      </c>
    </row>
    <row r="2935" spans="1:3" x14ac:dyDescent="0.25">
      <c r="A2935" s="223">
        <v>2.8595799999999998</v>
      </c>
      <c r="B2935" s="458">
        <v>6.78E-4</v>
      </c>
      <c r="C2935" t="str">
        <f t="shared" si="45"/>
        <v/>
      </c>
    </row>
    <row r="2936" spans="1:3" x14ac:dyDescent="0.25">
      <c r="A2936" s="223">
        <v>1.99038</v>
      </c>
      <c r="B2936" s="458">
        <v>1.753E-3</v>
      </c>
      <c r="C2936" t="str">
        <f t="shared" si="45"/>
        <v/>
      </c>
    </row>
    <row r="2937" spans="1:3" x14ac:dyDescent="0.25">
      <c r="A2937" s="223">
        <v>2.0923099999999999</v>
      </c>
      <c r="B2937" s="458">
        <v>9.8969999999999995E-3</v>
      </c>
      <c r="C2937" t="str">
        <f t="shared" si="45"/>
        <v/>
      </c>
    </row>
    <row r="2938" spans="1:3" x14ac:dyDescent="0.25">
      <c r="A2938" s="223">
        <v>2.0923099999999999</v>
      </c>
      <c r="B2938" s="458">
        <v>1.4274E-2</v>
      </c>
      <c r="C2938" t="str">
        <f t="shared" si="45"/>
        <v/>
      </c>
    </row>
    <row r="2939" spans="1:3" x14ac:dyDescent="0.25">
      <c r="A2939" s="223">
        <v>4.6715999999999998</v>
      </c>
      <c r="B2939" s="458">
        <v>1.9626999999999999E-2</v>
      </c>
      <c r="C2939" t="str">
        <f t="shared" si="45"/>
        <v/>
      </c>
    </row>
    <row r="2940" spans="1:3" x14ac:dyDescent="0.25">
      <c r="A2940" s="223">
        <v>7.2763600000000004</v>
      </c>
      <c r="B2940" s="458">
        <v>6.5388000000000002E-2</v>
      </c>
      <c r="C2940" t="str">
        <f t="shared" si="45"/>
        <v/>
      </c>
    </row>
    <row r="2941" spans="1:3" x14ac:dyDescent="0.25">
      <c r="A2941" s="223">
        <v>7.4179300000000001</v>
      </c>
      <c r="B2941" s="458">
        <v>2.2460999999999998E-2</v>
      </c>
      <c r="C2941" t="str">
        <f t="shared" si="45"/>
        <v/>
      </c>
    </row>
    <row r="2942" spans="1:3" x14ac:dyDescent="0.25">
      <c r="A2942" s="223">
        <v>3.85053</v>
      </c>
      <c r="B2942" s="458">
        <v>1.123E-2</v>
      </c>
      <c r="C2942" t="str">
        <f t="shared" si="45"/>
        <v/>
      </c>
    </row>
    <row r="2943" spans="1:3" x14ac:dyDescent="0.25">
      <c r="A2943" s="223">
        <v>3.1427100000000001</v>
      </c>
      <c r="B2943" s="458">
        <v>3.2959999999999999E-3</v>
      </c>
      <c r="C2943" t="str">
        <f t="shared" ref="C2943:C3006" si="46">IF(B2943=0,"XXXXXXXX","")</f>
        <v/>
      </c>
    </row>
    <row r="2944" spans="1:3" x14ac:dyDescent="0.25">
      <c r="A2944" s="223">
        <v>3.59571</v>
      </c>
      <c r="B2944" s="458">
        <v>9.4780000000000003E-3</v>
      </c>
      <c r="C2944" t="str">
        <f t="shared" si="46"/>
        <v/>
      </c>
    </row>
    <row r="2945" spans="1:3" x14ac:dyDescent="0.25">
      <c r="A2945" s="223">
        <v>3.59571</v>
      </c>
      <c r="B2945" s="458">
        <v>4.7759999999999999E-3</v>
      </c>
      <c r="C2945" t="str">
        <f t="shared" si="46"/>
        <v/>
      </c>
    </row>
    <row r="2946" spans="1:3" x14ac:dyDescent="0.25">
      <c r="A2946" s="223">
        <v>4.3601599999999996</v>
      </c>
      <c r="B2946" s="458">
        <v>2.0152E-2</v>
      </c>
      <c r="C2946" t="str">
        <f t="shared" si="46"/>
        <v/>
      </c>
    </row>
    <row r="2947" spans="1:3" x14ac:dyDescent="0.25">
      <c r="A2947" s="223">
        <v>4.3601599999999996</v>
      </c>
      <c r="B2947" s="458">
        <v>1.732E-3</v>
      </c>
      <c r="C2947" t="str">
        <f t="shared" si="46"/>
        <v/>
      </c>
    </row>
    <row r="2948" spans="1:3" x14ac:dyDescent="0.25">
      <c r="A2948" s="223">
        <v>6.0589199999999996</v>
      </c>
      <c r="B2948" s="458">
        <v>2.6658999999999999E-2</v>
      </c>
      <c r="C2948" t="str">
        <f t="shared" si="46"/>
        <v/>
      </c>
    </row>
    <row r="2949" spans="1:3" x14ac:dyDescent="0.25">
      <c r="A2949" s="223">
        <v>6.0589199999999996</v>
      </c>
      <c r="B2949" s="458">
        <v>2.1410999999999999E-2</v>
      </c>
      <c r="C2949" t="str">
        <f t="shared" si="46"/>
        <v/>
      </c>
    </row>
    <row r="2950" spans="1:3" x14ac:dyDescent="0.25">
      <c r="A2950" s="223">
        <v>7.4462400000000004</v>
      </c>
      <c r="B2950" s="458">
        <v>3.4530999999999999E-2</v>
      </c>
      <c r="C2950" t="str">
        <f t="shared" si="46"/>
        <v/>
      </c>
    </row>
    <row r="2951" spans="1:3" x14ac:dyDescent="0.25">
      <c r="A2951" s="223">
        <v>7.4462400000000004</v>
      </c>
      <c r="B2951" s="458">
        <v>7.9242999999999994E-2</v>
      </c>
      <c r="C2951" t="str">
        <f t="shared" si="46"/>
        <v/>
      </c>
    </row>
    <row r="2952" spans="1:3" x14ac:dyDescent="0.25">
      <c r="A2952" s="223">
        <v>8.5787499999999994</v>
      </c>
      <c r="B2952" s="458">
        <v>0.25189699999999998</v>
      </c>
      <c r="C2952" t="str">
        <f t="shared" si="46"/>
        <v/>
      </c>
    </row>
    <row r="2953" spans="1:3" x14ac:dyDescent="0.25">
      <c r="A2953" s="223">
        <v>8.5787499999999994</v>
      </c>
      <c r="B2953" s="458">
        <v>0.18892300000000001</v>
      </c>
      <c r="C2953" t="str">
        <f t="shared" si="46"/>
        <v/>
      </c>
    </row>
    <row r="2954" spans="1:3" x14ac:dyDescent="0.25">
      <c r="A2954" s="223">
        <v>7.53118</v>
      </c>
      <c r="B2954" s="458">
        <v>0.15428700000000001</v>
      </c>
      <c r="C2954" t="str">
        <f t="shared" si="46"/>
        <v/>
      </c>
    </row>
    <row r="2955" spans="1:3" x14ac:dyDescent="0.25">
      <c r="A2955" s="223">
        <v>7.53118</v>
      </c>
      <c r="B2955" s="458">
        <v>8.0292000000000002E-2</v>
      </c>
      <c r="C2955" t="str">
        <f t="shared" si="46"/>
        <v/>
      </c>
    </row>
    <row r="2956" spans="1:3" x14ac:dyDescent="0.25">
      <c r="A2956" s="223">
        <v>7.10649</v>
      </c>
      <c r="B2956" s="458">
        <v>0.106007</v>
      </c>
      <c r="C2956" t="str">
        <f t="shared" si="46"/>
        <v/>
      </c>
    </row>
    <row r="2957" spans="1:3" x14ac:dyDescent="0.25">
      <c r="A2957" s="223">
        <v>7.10649</v>
      </c>
      <c r="B2957" s="458">
        <v>4.9329999999999999E-2</v>
      </c>
      <c r="C2957" t="str">
        <f t="shared" si="46"/>
        <v/>
      </c>
    </row>
    <row r="2958" spans="1:3" x14ac:dyDescent="0.25">
      <c r="A2958" s="223">
        <v>7.10649</v>
      </c>
      <c r="B2958" s="458">
        <v>0.120701</v>
      </c>
      <c r="C2958" t="str">
        <f t="shared" si="46"/>
        <v/>
      </c>
    </row>
    <row r="2959" spans="1:3" x14ac:dyDescent="0.25">
      <c r="A2959" s="223">
        <v>6.8799900000000003</v>
      </c>
      <c r="B2959" s="458">
        <v>2.7289000000000001E-2</v>
      </c>
      <c r="C2959" t="str">
        <f t="shared" si="46"/>
        <v/>
      </c>
    </row>
    <row r="2960" spans="1:3" x14ac:dyDescent="0.25">
      <c r="A2960" s="223">
        <v>6.8799900000000003</v>
      </c>
      <c r="B2960" s="458">
        <v>1.9626999999999999E-2</v>
      </c>
      <c r="C2960" t="str">
        <f t="shared" si="46"/>
        <v/>
      </c>
    </row>
    <row r="2961" spans="1:3" x14ac:dyDescent="0.25">
      <c r="A2961" s="223">
        <v>6.8799900000000003</v>
      </c>
      <c r="B2961" s="458">
        <v>2.6238999999999998E-2</v>
      </c>
      <c r="C2961" t="str">
        <f t="shared" si="46"/>
        <v/>
      </c>
    </row>
    <row r="2962" spans="1:3" x14ac:dyDescent="0.25">
      <c r="A2962" s="223">
        <v>5.3227900000000004</v>
      </c>
      <c r="B2962" s="458">
        <v>1.2385E-2</v>
      </c>
      <c r="C2962" t="str">
        <f t="shared" si="46"/>
        <v/>
      </c>
    </row>
    <row r="2963" spans="1:3" x14ac:dyDescent="0.25">
      <c r="A2963" s="223">
        <v>5.3227900000000004</v>
      </c>
      <c r="B2963" s="458">
        <v>9.2569999999999996E-3</v>
      </c>
      <c r="C2963" t="str">
        <f t="shared" si="46"/>
        <v/>
      </c>
    </row>
    <row r="2964" spans="1:3" x14ac:dyDescent="0.25">
      <c r="A2964" s="223">
        <v>5.3227900000000004</v>
      </c>
      <c r="B2964" s="458">
        <v>8.9840000000000007E-3</v>
      </c>
      <c r="C2964" t="str">
        <f t="shared" si="46"/>
        <v/>
      </c>
    </row>
    <row r="2965" spans="1:3" x14ac:dyDescent="0.25">
      <c r="A2965" s="223">
        <v>4.5017199999999997</v>
      </c>
      <c r="B2965" s="458">
        <v>2.2100000000000001E-4</v>
      </c>
      <c r="C2965" t="str">
        <f t="shared" si="46"/>
        <v/>
      </c>
    </row>
    <row r="2966" spans="1:3" x14ac:dyDescent="0.25">
      <c r="A2966" s="223">
        <v>4.5866600000000002</v>
      </c>
      <c r="B2966" s="458">
        <v>2.24E-4</v>
      </c>
      <c r="C2966" t="str">
        <f t="shared" si="46"/>
        <v/>
      </c>
    </row>
    <row r="2967" spans="1:3" x14ac:dyDescent="0.25">
      <c r="A2967" s="223">
        <v>4.5866600000000002</v>
      </c>
      <c r="B2967" s="458">
        <v>6.4700000000000001E-4</v>
      </c>
      <c r="C2967" t="str">
        <f t="shared" si="46"/>
        <v/>
      </c>
    </row>
    <row r="2968" spans="1:3" x14ac:dyDescent="0.25">
      <c r="A2968" s="223">
        <v>4.8697800000000004</v>
      </c>
      <c r="B2968" s="458">
        <v>1.2175E-2</v>
      </c>
      <c r="C2968" t="str">
        <f t="shared" si="46"/>
        <v/>
      </c>
    </row>
    <row r="2969" spans="1:3" x14ac:dyDescent="0.25">
      <c r="A2969" s="223">
        <v>4.8697800000000004</v>
      </c>
      <c r="B2969" s="458">
        <v>7.1999999999999998E-3</v>
      </c>
      <c r="C2969" t="str">
        <f t="shared" si="46"/>
        <v/>
      </c>
    </row>
    <row r="2970" spans="1:3" x14ac:dyDescent="0.25">
      <c r="A2970" s="223">
        <v>6.7667400000000004</v>
      </c>
      <c r="B2970" s="458">
        <v>2.5190000000000001E-2</v>
      </c>
      <c r="C2970" t="str">
        <f t="shared" si="46"/>
        <v/>
      </c>
    </row>
    <row r="2971" spans="1:3" x14ac:dyDescent="0.25">
      <c r="A2971" s="223">
        <v>6.7667400000000004</v>
      </c>
      <c r="B2971" s="458">
        <v>3.6420000000000001E-2</v>
      </c>
      <c r="C2971" t="str">
        <f t="shared" si="46"/>
        <v/>
      </c>
    </row>
    <row r="2972" spans="1:3" x14ac:dyDescent="0.25">
      <c r="A2972" s="223">
        <v>4.9264099999999997</v>
      </c>
      <c r="B2972" s="458">
        <v>1.6478E-2</v>
      </c>
      <c r="C2972" t="str">
        <f t="shared" si="46"/>
        <v/>
      </c>
    </row>
    <row r="2973" spans="1:3" x14ac:dyDescent="0.25">
      <c r="A2973" s="223">
        <v>4.9264099999999997</v>
      </c>
      <c r="B2973" s="458">
        <v>2.7498999999999999E-2</v>
      </c>
      <c r="C2973" t="str">
        <f t="shared" si="46"/>
        <v/>
      </c>
    </row>
    <row r="2974" spans="1:3" x14ac:dyDescent="0.25">
      <c r="A2974" s="223">
        <v>5.1529100000000003</v>
      </c>
      <c r="B2974" s="458">
        <v>2.9910000000000002E-3</v>
      </c>
      <c r="C2974" t="str">
        <f t="shared" si="46"/>
        <v/>
      </c>
    </row>
    <row r="2975" spans="1:3" x14ac:dyDescent="0.25">
      <c r="A2975" s="223">
        <v>5.1529100000000003</v>
      </c>
      <c r="B2975" s="458">
        <v>8.7010000000000004E-3</v>
      </c>
      <c r="C2975" t="str">
        <f t="shared" si="46"/>
        <v/>
      </c>
    </row>
    <row r="2976" spans="1:3" x14ac:dyDescent="0.25">
      <c r="A2976" s="223">
        <v>4.6715999999999998</v>
      </c>
      <c r="B2976" s="458">
        <v>3.81E-3</v>
      </c>
      <c r="C2976" t="str">
        <f t="shared" si="46"/>
        <v/>
      </c>
    </row>
    <row r="2977" spans="1:3" x14ac:dyDescent="0.25">
      <c r="A2977" s="223">
        <v>4.6715999999999998</v>
      </c>
      <c r="B2977" s="458">
        <v>8.1449999999999995E-3</v>
      </c>
      <c r="C2977" t="str">
        <f t="shared" si="46"/>
        <v/>
      </c>
    </row>
    <row r="2978" spans="1:3" x14ac:dyDescent="0.25">
      <c r="A2978" s="223">
        <v>4.3318399999999997</v>
      </c>
      <c r="B2978" s="458">
        <v>5.7520000000000002E-3</v>
      </c>
      <c r="C2978" t="str">
        <f t="shared" si="46"/>
        <v/>
      </c>
    </row>
    <row r="2979" spans="1:3" x14ac:dyDescent="0.25">
      <c r="A2979" s="223">
        <v>4.3318399999999997</v>
      </c>
      <c r="B2979" s="458">
        <v>1.2279999999999999E-3</v>
      </c>
      <c r="C2979" t="str">
        <f t="shared" si="46"/>
        <v/>
      </c>
    </row>
    <row r="2980" spans="1:3" x14ac:dyDescent="0.25">
      <c r="A2980" s="223">
        <v>3.3692099999999998</v>
      </c>
      <c r="B2980" s="458">
        <v>2.33E-3</v>
      </c>
      <c r="C2980" t="str">
        <f t="shared" si="46"/>
        <v/>
      </c>
    </row>
    <row r="2981" spans="1:3" x14ac:dyDescent="0.25">
      <c r="A2981" s="223">
        <v>3.3692099999999998</v>
      </c>
      <c r="B2981" s="458">
        <v>6.7699999999999998E-4</v>
      </c>
      <c r="C2981" t="str">
        <f t="shared" si="46"/>
        <v/>
      </c>
    </row>
    <row r="2982" spans="1:3" x14ac:dyDescent="0.25">
      <c r="A2982" s="223">
        <v>2.7265100000000002</v>
      </c>
      <c r="B2982" s="458">
        <v>6.8900000000000005E-4</v>
      </c>
      <c r="C2982" t="str">
        <f t="shared" si="46"/>
        <v/>
      </c>
    </row>
    <row r="2983" spans="1:3" x14ac:dyDescent="0.25">
      <c r="A2983" s="223">
        <v>2.7265100000000002</v>
      </c>
      <c r="B2983" s="458">
        <v>5.22E-4</v>
      </c>
      <c r="C2983" t="str">
        <f t="shared" si="46"/>
        <v/>
      </c>
    </row>
    <row r="2984" spans="1:3" x14ac:dyDescent="0.25">
      <c r="A2984" s="223">
        <v>2.7944599999999999</v>
      </c>
      <c r="B2984" s="458">
        <v>2.13E-4</v>
      </c>
      <c r="C2984" t="str">
        <f t="shared" si="46"/>
        <v/>
      </c>
    </row>
    <row r="2985" spans="1:3" x14ac:dyDescent="0.25">
      <c r="A2985" s="223">
        <v>2.7944599999999999</v>
      </c>
      <c r="B2985" s="458">
        <v>5.6779999999999999E-3</v>
      </c>
      <c r="C2985" t="str">
        <f t="shared" si="46"/>
        <v/>
      </c>
    </row>
    <row r="2986" spans="1:3" x14ac:dyDescent="0.25">
      <c r="A2986" s="223">
        <v>2.7944599999999999</v>
      </c>
      <c r="B2986" s="458">
        <v>3.3399999999999999E-4</v>
      </c>
      <c r="C2986" t="str">
        <f t="shared" si="46"/>
        <v/>
      </c>
    </row>
    <row r="2987" spans="1:3" x14ac:dyDescent="0.25">
      <c r="A2987" s="223">
        <v>2.0130300000000001</v>
      </c>
      <c r="B2987" s="458">
        <v>7.3700000000000002E-4</v>
      </c>
      <c r="C2987" t="str">
        <f t="shared" si="46"/>
        <v/>
      </c>
    </row>
    <row r="2988" spans="1:3" x14ac:dyDescent="0.25">
      <c r="A2988" s="223">
        <v>2.0130300000000001</v>
      </c>
      <c r="B2988" s="458">
        <v>7.8899999999999999E-4</v>
      </c>
      <c r="C2988" t="str">
        <f t="shared" si="46"/>
        <v/>
      </c>
    </row>
    <row r="2989" spans="1:3" x14ac:dyDescent="0.25">
      <c r="A2989" s="223">
        <v>0.89185000000000003</v>
      </c>
      <c r="B2989" s="458">
        <v>2.3799999999999999E-5</v>
      </c>
      <c r="C2989" t="str">
        <f t="shared" si="46"/>
        <v/>
      </c>
    </row>
    <row r="2990" spans="1:3" x14ac:dyDescent="0.25">
      <c r="A2990" s="223">
        <v>0.89185000000000003</v>
      </c>
      <c r="B2990" s="458">
        <v>6.6000000000000005E-5</v>
      </c>
      <c r="C2990" t="str">
        <f t="shared" si="46"/>
        <v/>
      </c>
    </row>
    <row r="2991" spans="1:3" x14ac:dyDescent="0.25">
      <c r="A2991" s="223">
        <v>5.3227900000000004</v>
      </c>
      <c r="B2991" s="458">
        <v>7.4624999999999997E-2</v>
      </c>
      <c r="C2991" t="str">
        <f t="shared" si="46"/>
        <v/>
      </c>
    </row>
    <row r="2992" spans="1:3" x14ac:dyDescent="0.25">
      <c r="A2992" s="223">
        <v>5.3227900000000004</v>
      </c>
      <c r="B2992" s="458">
        <v>0.126998</v>
      </c>
      <c r="C2992" t="str">
        <f t="shared" si="46"/>
        <v/>
      </c>
    </row>
    <row r="2993" spans="1:3" x14ac:dyDescent="0.25">
      <c r="A2993" s="223">
        <v>6.2571099999999999</v>
      </c>
      <c r="B2993" s="458">
        <v>2.7604E-2</v>
      </c>
      <c r="C2993" t="str">
        <f t="shared" si="46"/>
        <v/>
      </c>
    </row>
    <row r="2994" spans="1:3" x14ac:dyDescent="0.25">
      <c r="A2994" s="223">
        <v>6.2571099999999999</v>
      </c>
      <c r="B2994" s="458">
        <v>4.6496000000000003E-2</v>
      </c>
      <c r="C2994" t="str">
        <f t="shared" si="46"/>
        <v/>
      </c>
    </row>
    <row r="2995" spans="1:3" x14ac:dyDescent="0.25">
      <c r="A2995" s="223">
        <v>7.9275599999999997</v>
      </c>
      <c r="B2995" s="458">
        <v>7.2840000000000002E-2</v>
      </c>
      <c r="C2995" t="str">
        <f t="shared" si="46"/>
        <v/>
      </c>
    </row>
    <row r="2996" spans="1:3" x14ac:dyDescent="0.25">
      <c r="A2996" s="223">
        <v>7.9275599999999997</v>
      </c>
      <c r="B2996" s="458">
        <v>9.887E-2</v>
      </c>
      <c r="C2996" t="str">
        <f t="shared" si="46"/>
        <v/>
      </c>
    </row>
    <row r="2997" spans="1:3" x14ac:dyDescent="0.25">
      <c r="A2997" s="223">
        <v>7.5877999999999997</v>
      </c>
      <c r="B2997" s="458">
        <v>6.7696999999999993E-2</v>
      </c>
      <c r="C2997" t="str">
        <f t="shared" si="46"/>
        <v/>
      </c>
    </row>
    <row r="2998" spans="1:3" x14ac:dyDescent="0.25">
      <c r="A2998" s="223">
        <v>7.5877999999999997</v>
      </c>
      <c r="B2998" s="458">
        <v>9.4671000000000005E-2</v>
      </c>
      <c r="C2998" t="str">
        <f t="shared" si="46"/>
        <v/>
      </c>
    </row>
    <row r="2999" spans="1:3" x14ac:dyDescent="0.25">
      <c r="A2999" s="223">
        <v>7.4745499999999998</v>
      </c>
      <c r="B2999" s="458">
        <v>4.6286000000000001E-2</v>
      </c>
      <c r="C2999" t="str">
        <f t="shared" si="46"/>
        <v/>
      </c>
    </row>
    <row r="3000" spans="1:3" x14ac:dyDescent="0.25">
      <c r="A3000" s="223">
        <v>7.4745499999999998</v>
      </c>
      <c r="B3000" s="458">
        <v>4.6810999999999998E-2</v>
      </c>
      <c r="C3000" t="str">
        <f t="shared" si="46"/>
        <v/>
      </c>
    </row>
    <row r="3001" spans="1:3" x14ac:dyDescent="0.25">
      <c r="A3001" s="223">
        <v>9.7961899999999993</v>
      </c>
      <c r="B3001" s="458">
        <v>0.26239299999999999</v>
      </c>
      <c r="C3001" t="str">
        <f t="shared" si="46"/>
        <v/>
      </c>
    </row>
    <row r="3002" spans="1:3" x14ac:dyDescent="0.25">
      <c r="A3002" s="223">
        <v>9.7961899999999993</v>
      </c>
      <c r="B3002" s="458">
        <v>0.30962400000000001</v>
      </c>
      <c r="C3002" t="str">
        <f t="shared" si="46"/>
        <v/>
      </c>
    </row>
    <row r="3003" spans="1:3" x14ac:dyDescent="0.25">
      <c r="A3003" s="223">
        <v>14.411199999999999</v>
      </c>
      <c r="B3003" s="458">
        <v>0.10810599999999999</v>
      </c>
      <c r="C3003" t="str">
        <f t="shared" si="46"/>
        <v/>
      </c>
    </row>
    <row r="3004" spans="1:3" x14ac:dyDescent="0.25">
      <c r="A3004" s="223">
        <v>14.411199999999999</v>
      </c>
      <c r="B3004" s="458">
        <v>9.7295000000000006E-2</v>
      </c>
      <c r="C3004" t="str">
        <f t="shared" si="46"/>
        <v/>
      </c>
    </row>
    <row r="3005" spans="1:3" x14ac:dyDescent="0.25">
      <c r="A3005" s="223">
        <v>14.7509</v>
      </c>
      <c r="B3005" s="458">
        <v>9.3201999999999993E-2</v>
      </c>
      <c r="C3005" t="str">
        <f t="shared" si="46"/>
        <v/>
      </c>
    </row>
    <row r="3006" spans="1:3" x14ac:dyDescent="0.25">
      <c r="A3006" s="223">
        <v>14.7509</v>
      </c>
      <c r="B3006" s="458">
        <v>0.109155</v>
      </c>
      <c r="C3006" t="str">
        <f t="shared" si="46"/>
        <v/>
      </c>
    </row>
    <row r="3007" spans="1:3" x14ac:dyDescent="0.25">
      <c r="A3007" s="223">
        <v>14.439500000000001</v>
      </c>
      <c r="B3007" s="458">
        <v>6.6123000000000001E-2</v>
      </c>
      <c r="C3007" t="str">
        <f t="shared" ref="C3007:C3070" si="47">IF(B3007=0,"XXXXXXXX","")</f>
        <v/>
      </c>
    </row>
    <row r="3008" spans="1:3" x14ac:dyDescent="0.25">
      <c r="A3008" s="223">
        <v>14.439500000000001</v>
      </c>
      <c r="B3008" s="458">
        <v>4.9540000000000001E-2</v>
      </c>
      <c r="C3008" t="str">
        <f t="shared" si="47"/>
        <v/>
      </c>
    </row>
    <row r="3009" spans="1:3" x14ac:dyDescent="0.25">
      <c r="A3009" s="223">
        <v>13.844900000000001</v>
      </c>
      <c r="B3009" s="458">
        <v>9.2676999999999995E-2</v>
      </c>
      <c r="C3009" t="str">
        <f t="shared" si="47"/>
        <v/>
      </c>
    </row>
    <row r="3010" spans="1:3" x14ac:dyDescent="0.25">
      <c r="A3010" s="223">
        <v>13.844900000000001</v>
      </c>
      <c r="B3010" s="458">
        <v>0.10401299999999999</v>
      </c>
      <c r="C3010" t="str">
        <f t="shared" si="47"/>
        <v/>
      </c>
    </row>
    <row r="3011" spans="1:3" x14ac:dyDescent="0.25">
      <c r="A3011" s="223">
        <v>11.919600000000001</v>
      </c>
      <c r="B3011" s="458">
        <v>3.0332999999999999E-2</v>
      </c>
      <c r="C3011" t="str">
        <f t="shared" si="47"/>
        <v/>
      </c>
    </row>
    <row r="3012" spans="1:3" x14ac:dyDescent="0.25">
      <c r="A3012" s="223">
        <v>11.919600000000001</v>
      </c>
      <c r="B3012" s="458">
        <v>4.5761000000000003E-2</v>
      </c>
      <c r="C3012" t="str">
        <f t="shared" si="47"/>
        <v/>
      </c>
    </row>
    <row r="3013" spans="1:3" x14ac:dyDescent="0.25">
      <c r="A3013" s="223">
        <v>13.420199999999999</v>
      </c>
      <c r="B3013" s="458">
        <v>2.9912999999999999E-2</v>
      </c>
      <c r="C3013" t="str">
        <f t="shared" si="47"/>
        <v/>
      </c>
    </row>
    <row r="3014" spans="1:3" x14ac:dyDescent="0.25">
      <c r="A3014" s="223">
        <v>13.420199999999999</v>
      </c>
      <c r="B3014" s="458">
        <v>0.12280000000000001</v>
      </c>
      <c r="C3014" t="str">
        <f t="shared" si="47"/>
        <v/>
      </c>
    </row>
    <row r="3015" spans="1:3" x14ac:dyDescent="0.25">
      <c r="A3015" s="223">
        <v>16.478000000000002</v>
      </c>
      <c r="B3015" s="458">
        <v>6.5178E-2</v>
      </c>
      <c r="C3015" t="str">
        <f t="shared" si="47"/>
        <v/>
      </c>
    </row>
    <row r="3016" spans="1:3" x14ac:dyDescent="0.25">
      <c r="A3016" s="223">
        <v>16.478000000000002</v>
      </c>
      <c r="B3016" s="458">
        <v>7.3154999999999998E-2</v>
      </c>
      <c r="C3016" t="str">
        <f t="shared" si="47"/>
        <v/>
      </c>
    </row>
    <row r="3017" spans="1:3" x14ac:dyDescent="0.25">
      <c r="A3017" s="223">
        <v>23.244700000000002</v>
      </c>
      <c r="B3017" s="458">
        <v>0.13644400000000001</v>
      </c>
      <c r="C3017" t="str">
        <f t="shared" si="47"/>
        <v/>
      </c>
    </row>
    <row r="3018" spans="1:3" x14ac:dyDescent="0.25">
      <c r="A3018" s="223">
        <v>23.244700000000002</v>
      </c>
      <c r="B3018" s="458">
        <v>8.5014999999999993E-2</v>
      </c>
      <c r="C3018" t="str">
        <f t="shared" si="47"/>
        <v/>
      </c>
    </row>
    <row r="3019" spans="1:3" x14ac:dyDescent="0.25">
      <c r="A3019" s="223">
        <v>23.244700000000002</v>
      </c>
      <c r="B3019" s="458">
        <v>0.35475499999999999</v>
      </c>
      <c r="C3019" t="str">
        <f t="shared" si="47"/>
        <v/>
      </c>
    </row>
    <row r="3020" spans="1:3" x14ac:dyDescent="0.25">
      <c r="A3020" s="223">
        <v>23.244700000000002</v>
      </c>
      <c r="B3020" s="458">
        <v>0.40828300000000001</v>
      </c>
      <c r="C3020" t="str">
        <f t="shared" si="47"/>
        <v/>
      </c>
    </row>
    <row r="3021" spans="1:3" x14ac:dyDescent="0.25">
      <c r="A3021" s="223">
        <v>16.1099</v>
      </c>
      <c r="B3021" s="458">
        <v>5.4473000000000001E-2</v>
      </c>
      <c r="C3021" t="str">
        <f t="shared" si="47"/>
        <v/>
      </c>
    </row>
    <row r="3022" spans="1:3" x14ac:dyDescent="0.25">
      <c r="A3022" s="223">
        <v>16.1099</v>
      </c>
      <c r="B3022" s="458">
        <v>0.214113</v>
      </c>
      <c r="C3022" t="str">
        <f t="shared" si="47"/>
        <v/>
      </c>
    </row>
    <row r="3023" spans="1:3" x14ac:dyDescent="0.25">
      <c r="A3023" s="223">
        <v>16.1099</v>
      </c>
      <c r="B3023" s="458">
        <v>0.13539499999999999</v>
      </c>
      <c r="C3023" t="str">
        <f t="shared" si="47"/>
        <v/>
      </c>
    </row>
    <row r="3024" spans="1:3" x14ac:dyDescent="0.25">
      <c r="A3024" s="223">
        <v>13.448499999999999</v>
      </c>
      <c r="B3024" s="458">
        <v>0.12594900000000001</v>
      </c>
      <c r="C3024" t="str">
        <f t="shared" si="47"/>
        <v/>
      </c>
    </row>
    <row r="3025" spans="1:3" x14ac:dyDescent="0.25">
      <c r="A3025" s="223">
        <v>13.448499999999999</v>
      </c>
      <c r="B3025" s="458">
        <v>7.4414999999999995E-2</v>
      </c>
      <c r="C3025" t="str">
        <f t="shared" si="47"/>
        <v/>
      </c>
    </row>
    <row r="3026" spans="1:3" x14ac:dyDescent="0.25">
      <c r="A3026" s="223">
        <v>18.714700000000001</v>
      </c>
      <c r="B3026" s="458">
        <v>0.15113799999999999</v>
      </c>
      <c r="C3026" t="str">
        <f t="shared" si="47"/>
        <v/>
      </c>
    </row>
    <row r="3027" spans="1:3" x14ac:dyDescent="0.25">
      <c r="A3027" s="223">
        <v>18.714700000000001</v>
      </c>
      <c r="B3027" s="458">
        <v>0.18157599999999999</v>
      </c>
      <c r="C3027" t="str">
        <f t="shared" si="47"/>
        <v/>
      </c>
    </row>
    <row r="3028" spans="1:3" x14ac:dyDescent="0.25">
      <c r="A3028" s="223">
        <v>19.139399999999998</v>
      </c>
      <c r="B3028" s="458">
        <v>0.28548299999999999</v>
      </c>
      <c r="C3028" t="str">
        <f t="shared" si="47"/>
        <v/>
      </c>
    </row>
    <row r="3029" spans="1:3" x14ac:dyDescent="0.25">
      <c r="A3029" s="223">
        <v>19.139399999999998</v>
      </c>
      <c r="B3029" s="458">
        <v>0.22355900000000001</v>
      </c>
      <c r="C3029" t="str">
        <f t="shared" si="47"/>
        <v/>
      </c>
    </row>
    <row r="3030" spans="1:3" x14ac:dyDescent="0.25">
      <c r="A3030" s="223">
        <v>16.0533</v>
      </c>
      <c r="B3030" s="458">
        <v>5.6362000000000002E-2</v>
      </c>
      <c r="C3030" t="str">
        <f t="shared" si="47"/>
        <v/>
      </c>
    </row>
    <row r="3031" spans="1:3" x14ac:dyDescent="0.25">
      <c r="A3031" s="223">
        <v>16.0533</v>
      </c>
      <c r="B3031" s="458">
        <v>7.5254000000000001E-2</v>
      </c>
      <c r="C3031" t="str">
        <f t="shared" si="47"/>
        <v/>
      </c>
    </row>
    <row r="3032" spans="1:3" x14ac:dyDescent="0.25">
      <c r="A3032" s="223">
        <v>14.014799999999999</v>
      </c>
      <c r="B3032" s="458">
        <v>8.8164000000000006E-2</v>
      </c>
      <c r="C3032" t="str">
        <f t="shared" si="47"/>
        <v/>
      </c>
    </row>
    <row r="3033" spans="1:3" x14ac:dyDescent="0.25">
      <c r="A3033" s="223">
        <v>14.014799999999999</v>
      </c>
      <c r="B3033" s="458">
        <v>7.1161000000000002E-2</v>
      </c>
      <c r="C3033" t="str">
        <f t="shared" si="47"/>
        <v/>
      </c>
    </row>
    <row r="3034" spans="1:3" x14ac:dyDescent="0.25">
      <c r="A3034" s="223">
        <v>14.014799999999999</v>
      </c>
      <c r="B3034" s="458">
        <v>0.18262500000000001</v>
      </c>
      <c r="C3034" t="str">
        <f t="shared" si="47"/>
        <v/>
      </c>
    </row>
    <row r="3035" spans="1:3" x14ac:dyDescent="0.25">
      <c r="A3035" s="223">
        <v>16.0533</v>
      </c>
      <c r="B3035" s="458">
        <v>5.2478999999999998E-2</v>
      </c>
      <c r="C3035" t="str">
        <f t="shared" si="47"/>
        <v/>
      </c>
    </row>
    <row r="3036" spans="1:3" x14ac:dyDescent="0.25">
      <c r="A3036" s="223">
        <v>16.0533</v>
      </c>
      <c r="B3036" s="458">
        <v>6.0664999999999997E-2</v>
      </c>
      <c r="C3036" t="str">
        <f t="shared" si="47"/>
        <v/>
      </c>
    </row>
    <row r="3037" spans="1:3" x14ac:dyDescent="0.25">
      <c r="A3037" s="223">
        <v>14.212999999999999</v>
      </c>
      <c r="B3037" s="458">
        <v>8.1972000000000003E-2</v>
      </c>
      <c r="C3037" t="str">
        <f t="shared" si="47"/>
        <v/>
      </c>
    </row>
    <row r="3038" spans="1:3" x14ac:dyDescent="0.25">
      <c r="A3038" s="223">
        <v>14.212999999999999</v>
      </c>
      <c r="B3038" s="458">
        <v>6.6123000000000001E-2</v>
      </c>
      <c r="C3038" t="str">
        <f t="shared" si="47"/>
        <v/>
      </c>
    </row>
    <row r="3039" spans="1:3" x14ac:dyDescent="0.25">
      <c r="A3039" s="223">
        <v>11.353400000000001</v>
      </c>
      <c r="B3039" s="458">
        <v>2.6343999999999999E-2</v>
      </c>
      <c r="C3039" t="str">
        <f t="shared" si="47"/>
        <v/>
      </c>
    </row>
    <row r="3040" spans="1:3" x14ac:dyDescent="0.25">
      <c r="A3040" s="223">
        <v>11.353400000000001</v>
      </c>
      <c r="B3040" s="458">
        <v>1.6372999999999999E-2</v>
      </c>
      <c r="C3040" t="str">
        <f t="shared" si="47"/>
        <v/>
      </c>
    </row>
    <row r="3041" spans="1:3" x14ac:dyDescent="0.25">
      <c r="A3041" s="223">
        <v>83.522499999999994</v>
      </c>
      <c r="B3041" s="458">
        <v>5.2478999999999998E-2</v>
      </c>
      <c r="C3041" t="str">
        <f t="shared" si="47"/>
        <v/>
      </c>
    </row>
    <row r="3042" spans="1:3" x14ac:dyDescent="0.25">
      <c r="A3042" s="223">
        <v>84.088700000000003</v>
      </c>
      <c r="B3042" s="458">
        <v>2.8549999999999999E-3</v>
      </c>
      <c r="C3042" t="str">
        <f t="shared" si="47"/>
        <v/>
      </c>
    </row>
    <row r="3043" spans="1:3" x14ac:dyDescent="0.25">
      <c r="A3043" s="223">
        <v>294.452</v>
      </c>
      <c r="B3043" s="458">
        <v>5.4997550000000004</v>
      </c>
      <c r="C3043" t="str">
        <f t="shared" si="47"/>
        <v/>
      </c>
    </row>
    <row r="3044" spans="1:3" x14ac:dyDescent="0.25">
      <c r="A3044" s="223">
        <v>297.28300000000002</v>
      </c>
      <c r="B3044" s="458">
        <v>4.450183</v>
      </c>
      <c r="C3044" t="str">
        <f t="shared" si="47"/>
        <v/>
      </c>
    </row>
    <row r="3045" spans="1:3" x14ac:dyDescent="0.25">
      <c r="A3045" s="223">
        <v>331.25900000000001</v>
      </c>
      <c r="B3045" s="458">
        <v>5.3003359999999997</v>
      </c>
      <c r="C3045" t="str">
        <f t="shared" si="47"/>
        <v/>
      </c>
    </row>
    <row r="3046" spans="1:3" x14ac:dyDescent="0.25">
      <c r="A3046" s="223">
        <v>331.25900000000001</v>
      </c>
      <c r="B3046" s="458">
        <v>9.4356480000000005</v>
      </c>
      <c r="C3046" t="str">
        <f t="shared" si="47"/>
        <v/>
      </c>
    </row>
    <row r="3047" spans="1:3" x14ac:dyDescent="0.25">
      <c r="A3047" s="223">
        <v>382.221</v>
      </c>
      <c r="B3047" s="458">
        <v>16.37332</v>
      </c>
      <c r="C3047" t="str">
        <f t="shared" si="47"/>
        <v/>
      </c>
    </row>
    <row r="3048" spans="1:3" x14ac:dyDescent="0.25">
      <c r="A3048" s="223">
        <v>382.221</v>
      </c>
      <c r="B3048" s="458">
        <v>19.1022</v>
      </c>
      <c r="C3048" t="str">
        <f t="shared" si="47"/>
        <v/>
      </c>
    </row>
    <row r="3049" spans="1:3" x14ac:dyDescent="0.25">
      <c r="A3049" s="223">
        <v>413.36500000000001</v>
      </c>
      <c r="B3049" s="458">
        <v>23.30049</v>
      </c>
      <c r="C3049" t="str">
        <f t="shared" si="47"/>
        <v/>
      </c>
    </row>
    <row r="3050" spans="1:3" x14ac:dyDescent="0.25">
      <c r="A3050" s="223">
        <v>407.70299999999997</v>
      </c>
      <c r="B3050" s="458">
        <v>15.84853</v>
      </c>
      <c r="C3050" t="str">
        <f t="shared" si="47"/>
        <v/>
      </c>
    </row>
    <row r="3051" spans="1:3" x14ac:dyDescent="0.25">
      <c r="A3051" s="223">
        <v>433.18400000000003</v>
      </c>
      <c r="B3051" s="458">
        <v>7.3050179999999996</v>
      </c>
      <c r="C3051" t="str">
        <f t="shared" si="47"/>
        <v/>
      </c>
    </row>
    <row r="3052" spans="1:3" x14ac:dyDescent="0.25">
      <c r="A3052" s="223">
        <v>433.18400000000003</v>
      </c>
      <c r="B3052" s="458">
        <v>17.6328</v>
      </c>
      <c r="C3052" t="str">
        <f t="shared" si="47"/>
        <v/>
      </c>
    </row>
    <row r="3053" spans="1:3" x14ac:dyDescent="0.25">
      <c r="A3053" s="223">
        <v>424.69099999999997</v>
      </c>
      <c r="B3053" s="458">
        <v>43.347299999999997</v>
      </c>
      <c r="C3053" t="str">
        <f t="shared" si="47"/>
        <v/>
      </c>
    </row>
    <row r="3054" spans="1:3" x14ac:dyDescent="0.25">
      <c r="A3054" s="223">
        <v>419.02800000000002</v>
      </c>
      <c r="B3054" s="458">
        <v>25.714500000000001</v>
      </c>
      <c r="C3054" t="str">
        <f t="shared" si="47"/>
        <v/>
      </c>
    </row>
    <row r="3055" spans="1:3" x14ac:dyDescent="0.25">
      <c r="A3055" s="223">
        <v>348.24599999999998</v>
      </c>
      <c r="B3055" s="458">
        <v>8.7744180000000007</v>
      </c>
      <c r="C3055" t="str">
        <f t="shared" si="47"/>
        <v/>
      </c>
    </row>
    <row r="3056" spans="1:3" x14ac:dyDescent="0.25">
      <c r="A3056" s="223">
        <v>348.24599999999998</v>
      </c>
      <c r="B3056" s="458">
        <v>18.3675</v>
      </c>
      <c r="C3056" t="str">
        <f t="shared" si="47"/>
        <v/>
      </c>
    </row>
    <row r="3057" spans="1:3" x14ac:dyDescent="0.25">
      <c r="A3057" s="223">
        <v>336.92099999999999</v>
      </c>
      <c r="B3057" s="458">
        <v>3.6525089999999998</v>
      </c>
      <c r="C3057" t="str">
        <f t="shared" si="47"/>
        <v/>
      </c>
    </row>
    <row r="3058" spans="1:3" x14ac:dyDescent="0.25">
      <c r="A3058" s="223">
        <v>331.25900000000001</v>
      </c>
      <c r="B3058" s="458">
        <v>8.8478879999999993</v>
      </c>
      <c r="C3058" t="str">
        <f t="shared" si="47"/>
        <v/>
      </c>
    </row>
    <row r="3059" spans="1:3" x14ac:dyDescent="0.25">
      <c r="A3059" s="223">
        <v>319.93400000000003</v>
      </c>
      <c r="B3059" s="458">
        <v>2.6344240000000001</v>
      </c>
      <c r="C3059" t="str">
        <f t="shared" si="47"/>
        <v/>
      </c>
    </row>
    <row r="3060" spans="1:3" x14ac:dyDescent="0.25">
      <c r="A3060" s="223">
        <v>319.93400000000003</v>
      </c>
      <c r="B3060" s="458">
        <v>4.2822519999999997</v>
      </c>
      <c r="C3060" t="str">
        <f t="shared" si="47"/>
        <v/>
      </c>
    </row>
    <row r="3061" spans="1:3" x14ac:dyDescent="0.25">
      <c r="A3061" s="223">
        <v>277.74799999999999</v>
      </c>
      <c r="B3061" s="458">
        <v>5.7306600000000003</v>
      </c>
      <c r="C3061" t="str">
        <f t="shared" si="47"/>
        <v/>
      </c>
    </row>
    <row r="3062" spans="1:3" x14ac:dyDescent="0.25">
      <c r="A3062" s="223">
        <v>280.57900000000001</v>
      </c>
      <c r="B3062" s="458">
        <v>1.899724</v>
      </c>
      <c r="C3062" t="str">
        <f t="shared" si="47"/>
        <v/>
      </c>
    </row>
    <row r="3063" spans="1:3" x14ac:dyDescent="0.25">
      <c r="A3063" s="223">
        <v>250.56700000000001</v>
      </c>
      <c r="B3063" s="458">
        <v>3.0857399999999999</v>
      </c>
      <c r="C3063" t="str">
        <f t="shared" si="47"/>
        <v/>
      </c>
    </row>
    <row r="3064" spans="1:3" x14ac:dyDescent="0.25">
      <c r="A3064" s="223">
        <v>252.83199999999999</v>
      </c>
      <c r="B3064" s="458">
        <v>2.2565789999999999</v>
      </c>
      <c r="C3064" t="str">
        <f t="shared" si="47"/>
        <v/>
      </c>
    </row>
    <row r="3065" spans="1:3" x14ac:dyDescent="0.25">
      <c r="A3065" s="223">
        <v>235.845</v>
      </c>
      <c r="B3065" s="458">
        <v>4.2087820000000002</v>
      </c>
      <c r="C3065" t="str">
        <f t="shared" si="47"/>
        <v/>
      </c>
    </row>
    <row r="3066" spans="1:3" x14ac:dyDescent="0.25">
      <c r="A3066" s="223">
        <v>235.845</v>
      </c>
      <c r="B3066" s="458">
        <v>17.10802</v>
      </c>
      <c r="C3066" t="str">
        <f t="shared" si="47"/>
        <v/>
      </c>
    </row>
    <row r="3067" spans="1:3" x14ac:dyDescent="0.25">
      <c r="A3067" s="223">
        <v>250.001</v>
      </c>
      <c r="B3067" s="458">
        <v>1.035927</v>
      </c>
      <c r="C3067" t="str">
        <f t="shared" si="47"/>
        <v/>
      </c>
    </row>
    <row r="3068" spans="1:3" x14ac:dyDescent="0.25">
      <c r="A3068" s="223">
        <v>251.983</v>
      </c>
      <c r="B3068" s="458">
        <v>6.3184199999999997</v>
      </c>
      <c r="C3068" t="str">
        <f t="shared" si="47"/>
        <v/>
      </c>
    </row>
    <row r="3069" spans="1:3" x14ac:dyDescent="0.25">
      <c r="A3069" s="223">
        <v>280.01299999999998</v>
      </c>
      <c r="B3069" s="458">
        <v>2.3720319999999999</v>
      </c>
      <c r="C3069" t="str">
        <f t="shared" si="47"/>
        <v/>
      </c>
    </row>
    <row r="3070" spans="1:3" x14ac:dyDescent="0.25">
      <c r="A3070" s="223">
        <v>283.12700000000001</v>
      </c>
      <c r="B3070" s="458">
        <v>7.8193080000000004</v>
      </c>
      <c r="C3070" t="str">
        <f t="shared" si="47"/>
        <v/>
      </c>
    </row>
    <row r="3071" spans="1:3" x14ac:dyDescent="0.25">
      <c r="A3071" s="223">
        <v>308.608</v>
      </c>
      <c r="B3071" s="458">
        <v>11.86016</v>
      </c>
      <c r="C3071" t="str">
        <f t="shared" ref="C3071:C3134" si="48">IF(B3071=0,"XXXXXXXX","")</f>
        <v/>
      </c>
    </row>
    <row r="3072" spans="1:3" x14ac:dyDescent="0.25">
      <c r="A3072" s="223">
        <v>314.27100000000002</v>
      </c>
      <c r="B3072" s="458">
        <v>15.21879</v>
      </c>
      <c r="C3072" t="str">
        <f t="shared" si="48"/>
        <v/>
      </c>
    </row>
    <row r="3073" spans="1:3" x14ac:dyDescent="0.25">
      <c r="A3073" s="223">
        <v>342.584</v>
      </c>
      <c r="B3073" s="458">
        <v>3.8309359999999999</v>
      </c>
      <c r="C3073" t="str">
        <f t="shared" si="48"/>
        <v/>
      </c>
    </row>
    <row r="3074" spans="1:3" x14ac:dyDescent="0.25">
      <c r="A3074" s="223">
        <v>336.92099999999999</v>
      </c>
      <c r="B3074" s="458">
        <v>10.810589999999999</v>
      </c>
      <c r="C3074" t="str">
        <f t="shared" si="48"/>
        <v/>
      </c>
    </row>
    <row r="3075" spans="1:3" x14ac:dyDescent="0.25">
      <c r="A3075" s="223">
        <v>317.10199999999998</v>
      </c>
      <c r="B3075" s="458">
        <v>20.5716</v>
      </c>
      <c r="C3075" t="str">
        <f t="shared" si="48"/>
        <v/>
      </c>
    </row>
    <row r="3076" spans="1:3" x14ac:dyDescent="0.25">
      <c r="A3076" s="223">
        <v>317.10199999999998</v>
      </c>
      <c r="B3076" s="458">
        <v>3.3061500000000001</v>
      </c>
      <c r="C3076" t="str">
        <f t="shared" si="48"/>
        <v/>
      </c>
    </row>
    <row r="3077" spans="1:3" x14ac:dyDescent="0.25">
      <c r="A3077" s="223">
        <v>328.42700000000002</v>
      </c>
      <c r="B3077" s="458">
        <v>4.6496019999999998</v>
      </c>
      <c r="C3077" t="str">
        <f t="shared" si="48"/>
        <v/>
      </c>
    </row>
    <row r="3078" spans="1:3" x14ac:dyDescent="0.25">
      <c r="A3078" s="223">
        <v>328.42700000000002</v>
      </c>
      <c r="B3078" s="458">
        <v>21.83109</v>
      </c>
      <c r="C3078" t="str">
        <f t="shared" si="48"/>
        <v/>
      </c>
    </row>
    <row r="3079" spans="1:3" x14ac:dyDescent="0.25">
      <c r="A3079" s="223">
        <v>339.75200000000001</v>
      </c>
      <c r="B3079" s="458">
        <v>5.8356170000000001</v>
      </c>
      <c r="C3079" t="str">
        <f t="shared" si="48"/>
        <v/>
      </c>
    </row>
    <row r="3080" spans="1:3" x14ac:dyDescent="0.25">
      <c r="A3080" s="223">
        <v>339.75200000000001</v>
      </c>
      <c r="B3080" s="458">
        <v>17.527840000000001</v>
      </c>
      <c r="C3080" t="str">
        <f t="shared" si="48"/>
        <v/>
      </c>
    </row>
    <row r="3081" spans="1:3" x14ac:dyDescent="0.25">
      <c r="A3081" s="223">
        <v>317.10199999999998</v>
      </c>
      <c r="B3081" s="458">
        <v>2.686903</v>
      </c>
      <c r="C3081" t="str">
        <f t="shared" si="48"/>
        <v/>
      </c>
    </row>
    <row r="3082" spans="1:3" x14ac:dyDescent="0.25">
      <c r="A3082" s="223">
        <v>317.10199999999998</v>
      </c>
      <c r="B3082" s="458">
        <v>12.27999</v>
      </c>
      <c r="C3082" t="str">
        <f t="shared" si="48"/>
        <v/>
      </c>
    </row>
    <row r="3083" spans="1:3" x14ac:dyDescent="0.25">
      <c r="A3083" s="223">
        <v>308.608</v>
      </c>
      <c r="B3083" s="458">
        <v>4.1982860000000004</v>
      </c>
      <c r="C3083" t="str">
        <f t="shared" si="48"/>
        <v/>
      </c>
    </row>
    <row r="3084" spans="1:3" x14ac:dyDescent="0.25">
      <c r="A3084" s="223">
        <v>305.77699999999999</v>
      </c>
      <c r="B3084" s="458">
        <v>4.3557220000000001</v>
      </c>
      <c r="C3084" t="str">
        <f t="shared" si="48"/>
        <v/>
      </c>
    </row>
    <row r="3085" spans="1:3" x14ac:dyDescent="0.25">
      <c r="A3085" s="223">
        <v>345.41500000000002</v>
      </c>
      <c r="B3085" s="458">
        <v>3.1382189999999999</v>
      </c>
      <c r="C3085" t="str">
        <f t="shared" si="48"/>
        <v/>
      </c>
    </row>
    <row r="3086" spans="1:3" x14ac:dyDescent="0.25">
      <c r="A3086" s="223">
        <v>342.584</v>
      </c>
      <c r="B3086" s="458">
        <v>2.8338429999999999</v>
      </c>
      <c r="C3086" t="str">
        <f t="shared" si="48"/>
        <v/>
      </c>
    </row>
    <row r="3087" spans="1:3" x14ac:dyDescent="0.25">
      <c r="A3087" s="223">
        <v>328.42700000000002</v>
      </c>
      <c r="B3087" s="458">
        <v>2.015177</v>
      </c>
      <c r="C3087" t="str">
        <f t="shared" si="48"/>
        <v/>
      </c>
    </row>
    <row r="3088" spans="1:3" x14ac:dyDescent="0.25">
      <c r="A3088" s="223">
        <v>325.596</v>
      </c>
      <c r="B3088" s="458">
        <v>4.7440629999999997</v>
      </c>
      <c r="C3088" t="str">
        <f t="shared" si="48"/>
        <v/>
      </c>
    </row>
    <row r="3089" spans="1:3" x14ac:dyDescent="0.25">
      <c r="A3089" s="223">
        <v>249.15199999999999</v>
      </c>
      <c r="B3089" s="458">
        <v>0.65493299999999999</v>
      </c>
      <c r="C3089" t="str">
        <f t="shared" si="48"/>
        <v/>
      </c>
    </row>
    <row r="3090" spans="1:3" x14ac:dyDescent="0.25">
      <c r="A3090" s="223">
        <v>246.321</v>
      </c>
      <c r="B3090" s="458">
        <v>0.39568799999999998</v>
      </c>
      <c r="C3090" t="str">
        <f t="shared" si="48"/>
        <v/>
      </c>
    </row>
    <row r="3091" spans="1:3" x14ac:dyDescent="0.25">
      <c r="A3091" s="223">
        <v>221.68799999999999</v>
      </c>
      <c r="B3091" s="458">
        <v>0.43557200000000001</v>
      </c>
      <c r="C3091" t="str">
        <f t="shared" si="48"/>
        <v/>
      </c>
    </row>
    <row r="3092" spans="1:3" x14ac:dyDescent="0.25">
      <c r="A3092" s="223">
        <v>221.68799999999999</v>
      </c>
      <c r="B3092" s="458">
        <v>0.29073100000000002</v>
      </c>
      <c r="C3092" t="str">
        <f t="shared" si="48"/>
        <v/>
      </c>
    </row>
    <row r="3093" spans="1:3" x14ac:dyDescent="0.25">
      <c r="A3093" s="223">
        <v>203.56800000000001</v>
      </c>
      <c r="B3093" s="458">
        <v>0.39149</v>
      </c>
      <c r="C3093" t="str">
        <f t="shared" si="48"/>
        <v/>
      </c>
    </row>
    <row r="3094" spans="1:3" x14ac:dyDescent="0.25">
      <c r="A3094" s="223">
        <v>205.55</v>
      </c>
      <c r="B3094" s="458">
        <v>0.120701</v>
      </c>
      <c r="C3094" t="str">
        <f t="shared" si="48"/>
        <v/>
      </c>
    </row>
    <row r="3095" spans="1:3" x14ac:dyDescent="0.25">
      <c r="A3095" s="223">
        <v>184.316</v>
      </c>
      <c r="B3095" s="458">
        <v>6.8116999999999997E-2</v>
      </c>
      <c r="C3095" t="str">
        <f t="shared" si="48"/>
        <v/>
      </c>
    </row>
    <row r="3096" spans="1:3" x14ac:dyDescent="0.25">
      <c r="A3096" s="223">
        <v>183.749</v>
      </c>
      <c r="B3096" s="458">
        <v>3.8099000000000001E-2</v>
      </c>
      <c r="C3096" t="str">
        <f t="shared" si="48"/>
        <v/>
      </c>
    </row>
    <row r="3097" spans="1:3" x14ac:dyDescent="0.25">
      <c r="A3097" s="223">
        <v>169.876</v>
      </c>
      <c r="B3097" s="458">
        <v>3.705E-2</v>
      </c>
      <c r="C3097" t="str">
        <f t="shared" si="48"/>
        <v/>
      </c>
    </row>
    <row r="3098" spans="1:3" x14ac:dyDescent="0.25">
      <c r="A3098" s="223">
        <v>170.44200000000001</v>
      </c>
      <c r="B3098" s="458">
        <v>5.8250999999999997E-2</v>
      </c>
      <c r="C3098" t="str">
        <f t="shared" si="48"/>
        <v/>
      </c>
    </row>
    <row r="3099" spans="1:3" x14ac:dyDescent="0.25">
      <c r="A3099" s="223">
        <v>152.322</v>
      </c>
      <c r="B3099" s="458">
        <v>0.31592100000000001</v>
      </c>
      <c r="C3099" t="str">
        <f t="shared" si="48"/>
        <v/>
      </c>
    </row>
    <row r="3100" spans="1:3" x14ac:dyDescent="0.25">
      <c r="A3100" s="223">
        <v>149.774</v>
      </c>
      <c r="B3100" s="458">
        <v>1.6792999999999999E-2</v>
      </c>
      <c r="C3100" t="str">
        <f t="shared" si="48"/>
        <v/>
      </c>
    </row>
    <row r="3101" spans="1:3" x14ac:dyDescent="0.25">
      <c r="A3101" s="223">
        <v>141.56399999999999</v>
      </c>
      <c r="B3101" s="458">
        <v>2.2041000000000002E-2</v>
      </c>
      <c r="C3101" t="str">
        <f t="shared" si="48"/>
        <v/>
      </c>
    </row>
    <row r="3102" spans="1:3" x14ac:dyDescent="0.25">
      <c r="A3102" s="223">
        <v>140.99700000000001</v>
      </c>
      <c r="B3102" s="458">
        <v>1.3225000000000001E-2</v>
      </c>
      <c r="C3102" t="str">
        <f t="shared" si="48"/>
        <v/>
      </c>
    </row>
    <row r="3103" spans="1:3" x14ac:dyDescent="0.25">
      <c r="A3103" s="223">
        <v>135.61799999999999</v>
      </c>
      <c r="B3103" s="458">
        <v>3.3480999999999997E-2</v>
      </c>
      <c r="C3103" t="str">
        <f t="shared" si="48"/>
        <v/>
      </c>
    </row>
    <row r="3104" spans="1:3" x14ac:dyDescent="0.25">
      <c r="A3104" s="223">
        <v>139.298</v>
      </c>
      <c r="B3104" s="458">
        <v>1.2279999999999999E-2</v>
      </c>
      <c r="C3104" t="str">
        <f t="shared" si="48"/>
        <v/>
      </c>
    </row>
    <row r="3105" spans="1:3" x14ac:dyDescent="0.25">
      <c r="A3105" s="223">
        <v>297.28300000000002</v>
      </c>
      <c r="B3105" s="458">
        <v>0.264492</v>
      </c>
      <c r="C3105" t="str">
        <f t="shared" si="48"/>
        <v/>
      </c>
    </row>
    <row r="3106" spans="1:3" x14ac:dyDescent="0.25">
      <c r="A3106" s="223">
        <v>300.11500000000001</v>
      </c>
      <c r="B3106" s="458">
        <v>0.32851599999999997</v>
      </c>
      <c r="C3106" t="str">
        <f t="shared" si="48"/>
        <v/>
      </c>
    </row>
    <row r="3107" spans="1:3" x14ac:dyDescent="0.25">
      <c r="A3107" s="223">
        <v>328.42700000000002</v>
      </c>
      <c r="B3107" s="458">
        <v>0.161634</v>
      </c>
      <c r="C3107" t="str">
        <f t="shared" si="48"/>
        <v/>
      </c>
    </row>
    <row r="3108" spans="1:3" x14ac:dyDescent="0.25">
      <c r="A3108" s="223">
        <v>325.596</v>
      </c>
      <c r="B3108" s="458">
        <v>9.0997999999999996E-2</v>
      </c>
      <c r="C3108" t="str">
        <f t="shared" si="48"/>
        <v/>
      </c>
    </row>
    <row r="3109" spans="1:3" x14ac:dyDescent="0.25">
      <c r="A3109" s="223">
        <v>314.27100000000002</v>
      </c>
      <c r="B3109" s="458">
        <v>0.189972</v>
      </c>
      <c r="C3109" t="str">
        <f t="shared" si="48"/>
        <v/>
      </c>
    </row>
    <row r="3110" spans="1:3" x14ac:dyDescent="0.25">
      <c r="A3110" s="223">
        <v>282.56099999999998</v>
      </c>
      <c r="B3110" s="458">
        <v>0.15323700000000001</v>
      </c>
      <c r="C3110" t="str">
        <f t="shared" si="48"/>
        <v/>
      </c>
    </row>
    <row r="3111" spans="1:3" x14ac:dyDescent="0.25">
      <c r="A3111" s="223">
        <v>196.20699999999999</v>
      </c>
      <c r="B3111" s="458">
        <v>2.7498999999999999E-2</v>
      </c>
      <c r="C3111" t="str">
        <f t="shared" si="48"/>
        <v/>
      </c>
    </row>
    <row r="3112" spans="1:3" x14ac:dyDescent="0.25">
      <c r="A3112" s="223">
        <v>195.64099999999999</v>
      </c>
      <c r="B3112" s="458">
        <v>3.6734999999999997E-2</v>
      </c>
      <c r="C3112" t="str">
        <f t="shared" si="48"/>
        <v/>
      </c>
    </row>
    <row r="3113" spans="1:3" x14ac:dyDescent="0.25">
      <c r="A3113" s="223">
        <v>156.286</v>
      </c>
      <c r="B3113" s="458">
        <v>1.3435000000000001E-2</v>
      </c>
      <c r="C3113" t="str">
        <f t="shared" si="48"/>
        <v/>
      </c>
    </row>
    <row r="3114" spans="1:3" x14ac:dyDescent="0.25">
      <c r="A3114" s="223">
        <v>155.43700000000001</v>
      </c>
      <c r="B3114" s="458">
        <v>7.8720000000000005E-3</v>
      </c>
      <c r="C3114" t="str">
        <f t="shared" si="48"/>
        <v/>
      </c>
    </row>
    <row r="3115" spans="1:3" x14ac:dyDescent="0.25">
      <c r="A3115" s="223">
        <v>159.684</v>
      </c>
      <c r="B3115" s="458">
        <v>2.3615000000000001E-2</v>
      </c>
      <c r="C3115" t="str">
        <f t="shared" si="48"/>
        <v/>
      </c>
    </row>
    <row r="3116" spans="1:3" x14ac:dyDescent="0.25">
      <c r="A3116" s="223">
        <v>159.40100000000001</v>
      </c>
      <c r="B3116" s="458">
        <v>1.7632999999999999E-2</v>
      </c>
      <c r="C3116" t="str">
        <f t="shared" si="48"/>
        <v/>
      </c>
    </row>
    <row r="3117" spans="1:3" x14ac:dyDescent="0.25">
      <c r="A3117" s="223">
        <v>244.339</v>
      </c>
      <c r="B3117" s="458">
        <v>2.6554000000000001E-2</v>
      </c>
      <c r="C3117" t="str">
        <f t="shared" si="48"/>
        <v/>
      </c>
    </row>
    <row r="3118" spans="1:3" x14ac:dyDescent="0.25">
      <c r="A3118" s="223">
        <v>244.62200000000001</v>
      </c>
      <c r="B3118" s="458">
        <v>9.6560999999999994E-2</v>
      </c>
      <c r="C3118" t="str">
        <f t="shared" si="48"/>
        <v/>
      </c>
    </row>
    <row r="3119" spans="1:3" x14ac:dyDescent="0.25">
      <c r="A3119" s="223">
        <v>247.73599999999999</v>
      </c>
      <c r="B3119" s="458">
        <v>1.9102000000000001E-2</v>
      </c>
      <c r="C3119" t="str">
        <f t="shared" si="48"/>
        <v/>
      </c>
    </row>
    <row r="3120" spans="1:3" x14ac:dyDescent="0.25">
      <c r="A3120" s="223">
        <v>246.60400000000001</v>
      </c>
      <c r="B3120" s="458">
        <v>5.9511000000000001E-2</v>
      </c>
      <c r="C3120" t="str">
        <f t="shared" si="48"/>
        <v/>
      </c>
    </row>
    <row r="3121" spans="1:3" x14ac:dyDescent="0.25">
      <c r="A3121" s="223">
        <v>205.267</v>
      </c>
      <c r="B3121" s="458">
        <v>2.393E-2</v>
      </c>
      <c r="C3121" t="str">
        <f t="shared" si="48"/>
        <v/>
      </c>
    </row>
    <row r="3122" spans="1:3" x14ac:dyDescent="0.25">
      <c r="A3122" s="223">
        <v>204.13499999999999</v>
      </c>
      <c r="B3122" s="458">
        <v>1.2070000000000001E-2</v>
      </c>
      <c r="C3122" t="str">
        <f t="shared" si="48"/>
        <v/>
      </c>
    </row>
    <row r="3123" spans="1:3" x14ac:dyDescent="0.25">
      <c r="A3123" s="223">
        <v>165.06299999999999</v>
      </c>
      <c r="B3123" s="458">
        <v>4.1980000000000003E-3</v>
      </c>
      <c r="C3123" t="str">
        <f t="shared" si="48"/>
        <v/>
      </c>
    </row>
    <row r="3124" spans="1:3" x14ac:dyDescent="0.25">
      <c r="A3124" s="223">
        <v>164.214</v>
      </c>
      <c r="B3124" s="458">
        <v>7.1370000000000001E-3</v>
      </c>
      <c r="C3124" t="str">
        <f t="shared" si="48"/>
        <v/>
      </c>
    </row>
    <row r="3125" spans="1:3" x14ac:dyDescent="0.25">
      <c r="A3125" s="223">
        <v>174.68899999999999</v>
      </c>
      <c r="B3125" s="458">
        <v>1.7108000000000002E-2</v>
      </c>
      <c r="C3125" t="str">
        <f t="shared" si="48"/>
        <v/>
      </c>
    </row>
    <row r="3126" spans="1:3" x14ac:dyDescent="0.25">
      <c r="A3126" s="223">
        <v>174.12299999999999</v>
      </c>
      <c r="B3126" s="458">
        <v>1.1545E-2</v>
      </c>
      <c r="C3126" t="str">
        <f t="shared" si="48"/>
        <v/>
      </c>
    </row>
    <row r="3127" spans="1:3" x14ac:dyDescent="0.25">
      <c r="A3127" s="223">
        <v>142.696</v>
      </c>
      <c r="B3127" s="458">
        <v>8.397E-3</v>
      </c>
      <c r="C3127" t="str">
        <f t="shared" si="48"/>
        <v/>
      </c>
    </row>
    <row r="3128" spans="1:3" x14ac:dyDescent="0.25">
      <c r="A3128" s="223">
        <v>142.13</v>
      </c>
      <c r="B3128" s="458">
        <v>1.8890000000000001E-3</v>
      </c>
      <c r="C3128" t="str">
        <f t="shared" si="48"/>
        <v/>
      </c>
    </row>
    <row r="3129" spans="1:3" x14ac:dyDescent="0.25">
      <c r="A3129" s="223">
        <v>137.6</v>
      </c>
      <c r="B3129" s="458">
        <v>4.5129999999999997E-3</v>
      </c>
      <c r="C3129" t="str">
        <f t="shared" si="48"/>
        <v/>
      </c>
    </row>
    <row r="3130" spans="1:3" x14ac:dyDescent="0.25">
      <c r="A3130" s="223">
        <v>137.03299999999999</v>
      </c>
      <c r="B3130" s="458">
        <v>1.3225000000000001E-2</v>
      </c>
      <c r="C3130" t="str">
        <f t="shared" si="48"/>
        <v/>
      </c>
    </row>
    <row r="3131" spans="1:3" x14ac:dyDescent="0.25">
      <c r="A3131" s="223">
        <v>108.438</v>
      </c>
      <c r="B3131" s="458">
        <v>3.2539999999999999E-3</v>
      </c>
      <c r="C3131" t="str">
        <f t="shared" si="48"/>
        <v/>
      </c>
    </row>
    <row r="3132" spans="1:3" x14ac:dyDescent="0.25">
      <c r="A3132" s="223">
        <v>108.721</v>
      </c>
      <c r="B3132" s="458">
        <v>3.5690000000000001E-3</v>
      </c>
      <c r="C3132" t="str">
        <f t="shared" si="48"/>
        <v/>
      </c>
    </row>
    <row r="3133" spans="1:3" x14ac:dyDescent="0.25">
      <c r="A3133" s="223">
        <v>109.28700000000001</v>
      </c>
      <c r="B3133" s="458">
        <v>1.784E-3</v>
      </c>
      <c r="C3133" t="str">
        <f t="shared" si="48"/>
        <v/>
      </c>
    </row>
    <row r="3134" spans="1:3" x14ac:dyDescent="0.25">
      <c r="A3134" s="223">
        <v>108.721</v>
      </c>
      <c r="B3134" s="458">
        <v>2.4139999999999999E-3</v>
      </c>
      <c r="C3134" t="str">
        <f t="shared" si="48"/>
        <v/>
      </c>
    </row>
    <row r="3135" spans="1:3" x14ac:dyDescent="0.25">
      <c r="A3135" s="223">
        <v>111.83499999999999</v>
      </c>
      <c r="B3135" s="458">
        <v>8.0820000000000006E-3</v>
      </c>
      <c r="C3135" t="str">
        <f t="shared" ref="C3135:C3198" si="49">IF(B3135=0,"XXXXXXXX","")</f>
        <v/>
      </c>
    </row>
    <row r="3136" spans="1:3" x14ac:dyDescent="0.25">
      <c r="A3136" s="223">
        <v>112.968</v>
      </c>
      <c r="B3136" s="458">
        <v>4.0930000000000003E-3</v>
      </c>
      <c r="C3136" t="str">
        <f t="shared" si="49"/>
        <v/>
      </c>
    </row>
    <row r="3137" spans="1:3" x14ac:dyDescent="0.25">
      <c r="A3137" s="223">
        <v>100.79300000000001</v>
      </c>
      <c r="B3137" s="458">
        <v>1.469E-3</v>
      </c>
      <c r="C3137" t="str">
        <f t="shared" si="49"/>
        <v/>
      </c>
    </row>
    <row r="3138" spans="1:3" x14ac:dyDescent="0.25">
      <c r="A3138" s="223">
        <v>101.926</v>
      </c>
      <c r="B3138" s="458">
        <v>2.7290000000000001E-3</v>
      </c>
      <c r="C3138" t="str">
        <f t="shared" si="49"/>
        <v/>
      </c>
    </row>
    <row r="3139" spans="1:3" x14ac:dyDescent="0.25">
      <c r="A3139" s="223">
        <v>134.768</v>
      </c>
      <c r="B3139" s="458">
        <v>4.1980000000000003E-3</v>
      </c>
      <c r="C3139" t="str">
        <f t="shared" si="49"/>
        <v/>
      </c>
    </row>
    <row r="3140" spans="1:3" x14ac:dyDescent="0.25">
      <c r="A3140" s="223">
        <v>134.768</v>
      </c>
      <c r="B3140" s="458">
        <v>4.6179999999999997E-3</v>
      </c>
      <c r="C3140" t="str">
        <f t="shared" si="49"/>
        <v/>
      </c>
    </row>
    <row r="3141" spans="1:3" x14ac:dyDescent="0.25">
      <c r="A3141" s="223">
        <v>181.20099999999999</v>
      </c>
      <c r="B3141" s="458">
        <v>6.6123000000000001E-2</v>
      </c>
      <c r="C3141" t="str">
        <f t="shared" si="49"/>
        <v/>
      </c>
    </row>
    <row r="3142" spans="1:3" x14ac:dyDescent="0.25">
      <c r="A3142" s="223">
        <v>180.63499999999999</v>
      </c>
      <c r="B3142" s="458">
        <v>2.3824999999999999E-2</v>
      </c>
      <c r="C3142" t="str">
        <f t="shared" si="49"/>
        <v/>
      </c>
    </row>
    <row r="3143" spans="1:3" x14ac:dyDescent="0.25">
      <c r="A3143" s="223">
        <v>230.749</v>
      </c>
      <c r="B3143" s="458">
        <v>0.109155</v>
      </c>
      <c r="C3143" t="str">
        <f t="shared" si="49"/>
        <v/>
      </c>
    </row>
    <row r="3144" spans="1:3" x14ac:dyDescent="0.25">
      <c r="A3144" s="223">
        <v>230.465</v>
      </c>
      <c r="B3144" s="458">
        <v>0.112304</v>
      </c>
      <c r="C3144" t="str">
        <f t="shared" si="49"/>
        <v/>
      </c>
    </row>
    <row r="3145" spans="1:3" x14ac:dyDescent="0.25">
      <c r="A3145" s="223">
        <v>274.916</v>
      </c>
      <c r="B3145" s="458">
        <v>0.13434499999999999</v>
      </c>
      <c r="C3145" t="str">
        <f t="shared" si="49"/>
        <v/>
      </c>
    </row>
    <row r="3146" spans="1:3" x14ac:dyDescent="0.25">
      <c r="A3146" s="223">
        <v>275.19900000000001</v>
      </c>
      <c r="B3146" s="458">
        <v>0.18052599999999999</v>
      </c>
      <c r="C3146" t="str">
        <f t="shared" si="49"/>
        <v/>
      </c>
    </row>
    <row r="3147" spans="1:3" x14ac:dyDescent="0.25">
      <c r="A3147" s="223">
        <v>218.291</v>
      </c>
      <c r="B3147" s="458">
        <v>6.7278000000000004E-2</v>
      </c>
      <c r="C3147" t="str">
        <f t="shared" si="49"/>
        <v/>
      </c>
    </row>
    <row r="3148" spans="1:3" x14ac:dyDescent="0.25">
      <c r="A3148" s="223">
        <v>218.00800000000001</v>
      </c>
      <c r="B3148" s="458">
        <v>0.162684</v>
      </c>
      <c r="C3148" t="str">
        <f t="shared" si="49"/>
        <v/>
      </c>
    </row>
    <row r="3149" spans="1:3" x14ac:dyDescent="0.25">
      <c r="A3149" s="223">
        <v>251.983</v>
      </c>
      <c r="B3149" s="458">
        <v>9.8345000000000002E-2</v>
      </c>
      <c r="C3149" t="str">
        <f t="shared" si="49"/>
        <v/>
      </c>
    </row>
    <row r="3150" spans="1:3" x14ac:dyDescent="0.25">
      <c r="A3150" s="223">
        <v>251.13399999999999</v>
      </c>
      <c r="B3150" s="458">
        <v>0.13959299999999999</v>
      </c>
      <c r="C3150" t="str">
        <f t="shared" si="49"/>
        <v/>
      </c>
    </row>
    <row r="3151" spans="1:3" x14ac:dyDescent="0.25">
      <c r="A3151" s="223">
        <v>242.64</v>
      </c>
      <c r="B3151" s="458">
        <v>5.0064999999999998E-2</v>
      </c>
      <c r="C3151" t="str">
        <f t="shared" si="49"/>
        <v/>
      </c>
    </row>
    <row r="3152" spans="1:3" x14ac:dyDescent="0.25">
      <c r="A3152" s="223">
        <v>242.923</v>
      </c>
      <c r="B3152" s="458">
        <v>8.3126000000000005E-2</v>
      </c>
      <c r="C3152" t="str">
        <f t="shared" si="49"/>
        <v/>
      </c>
    </row>
    <row r="3153" spans="1:3" x14ac:dyDescent="0.25">
      <c r="A3153" s="223">
        <v>232.73</v>
      </c>
      <c r="B3153" s="458">
        <v>5.5522000000000002E-2</v>
      </c>
      <c r="C3153" t="str">
        <f t="shared" si="49"/>
        <v/>
      </c>
    </row>
    <row r="3154" spans="1:3" x14ac:dyDescent="0.25">
      <c r="A3154" s="223">
        <v>232.73</v>
      </c>
      <c r="B3154" s="458">
        <v>0.27288899999999999</v>
      </c>
      <c r="C3154" t="str">
        <f t="shared" si="49"/>
        <v/>
      </c>
    </row>
    <row r="3155" spans="1:3" x14ac:dyDescent="0.25">
      <c r="A3155" s="223">
        <v>240.941</v>
      </c>
      <c r="B3155" s="458">
        <v>9.4671000000000005E-2</v>
      </c>
      <c r="C3155" t="str">
        <f t="shared" si="49"/>
        <v/>
      </c>
    </row>
    <row r="3156" spans="1:3" x14ac:dyDescent="0.25">
      <c r="A3156" s="223">
        <v>240.375</v>
      </c>
      <c r="B3156" s="458">
        <v>3.6630000000000003E-2</v>
      </c>
      <c r="C3156" t="str">
        <f t="shared" si="49"/>
        <v/>
      </c>
    </row>
    <row r="3157" spans="1:3" x14ac:dyDescent="0.25">
      <c r="A3157" s="223">
        <v>252.83199999999999</v>
      </c>
      <c r="B3157" s="458">
        <v>5.8041000000000002E-2</v>
      </c>
      <c r="C3157" t="str">
        <f t="shared" si="49"/>
        <v/>
      </c>
    </row>
    <row r="3158" spans="1:3" x14ac:dyDescent="0.25">
      <c r="A3158" s="223">
        <v>250.56700000000001</v>
      </c>
      <c r="B3158" s="458">
        <v>2.7078999999999999E-2</v>
      </c>
      <c r="C3158" t="str">
        <f t="shared" si="49"/>
        <v/>
      </c>
    </row>
    <row r="3159" spans="1:3" x14ac:dyDescent="0.25">
      <c r="A3159" s="223">
        <v>255.66399999999999</v>
      </c>
      <c r="B3159" s="458">
        <v>7.5254000000000001E-2</v>
      </c>
      <c r="C3159" t="str">
        <f t="shared" si="49"/>
        <v/>
      </c>
    </row>
    <row r="3160" spans="1:3" x14ac:dyDescent="0.25">
      <c r="A3160" s="223">
        <v>256.23</v>
      </c>
      <c r="B3160" s="458">
        <v>6.3184000000000004E-2</v>
      </c>
      <c r="C3160" t="str">
        <f t="shared" si="49"/>
        <v/>
      </c>
    </row>
    <row r="3161" spans="1:3" x14ac:dyDescent="0.25">
      <c r="A3161" s="223">
        <v>261.32600000000002</v>
      </c>
      <c r="B3161" s="458">
        <v>0.14064299999999999</v>
      </c>
      <c r="C3161" t="str">
        <f t="shared" si="49"/>
        <v/>
      </c>
    </row>
    <row r="3162" spans="1:3" x14ac:dyDescent="0.25">
      <c r="A3162" s="223">
        <v>263.59100000000001</v>
      </c>
      <c r="B3162" s="458">
        <v>8.4699999999999998E-2</v>
      </c>
      <c r="C3162" t="str">
        <f t="shared" si="49"/>
        <v/>
      </c>
    </row>
    <row r="3163" spans="1:3" x14ac:dyDescent="0.25">
      <c r="A3163" s="223">
        <v>198.755</v>
      </c>
      <c r="B3163" s="458">
        <v>7.7878000000000003E-2</v>
      </c>
      <c r="C3163" t="str">
        <f t="shared" si="49"/>
        <v/>
      </c>
    </row>
    <row r="3164" spans="1:3" x14ac:dyDescent="0.25">
      <c r="A3164" s="223">
        <v>198.47200000000001</v>
      </c>
      <c r="B3164" s="458">
        <v>3.9884000000000003E-2</v>
      </c>
      <c r="C3164" t="str">
        <f t="shared" si="49"/>
        <v/>
      </c>
    </row>
    <row r="3165" spans="1:3" x14ac:dyDescent="0.25">
      <c r="A3165" s="223">
        <v>144.678</v>
      </c>
      <c r="B3165" s="458">
        <v>3.3271000000000002E-2</v>
      </c>
      <c r="C3165" t="str">
        <f t="shared" si="49"/>
        <v/>
      </c>
    </row>
    <row r="3166" spans="1:3" x14ac:dyDescent="0.25">
      <c r="A3166" s="223">
        <v>144.678</v>
      </c>
      <c r="B3166" s="458">
        <v>1.6372999999999999E-2</v>
      </c>
      <c r="C3166" t="str">
        <f t="shared" si="49"/>
        <v/>
      </c>
    </row>
    <row r="3167" spans="1:3" x14ac:dyDescent="0.25">
      <c r="A3167" s="223">
        <v>131.93700000000001</v>
      </c>
      <c r="B3167" s="458">
        <v>7.7669999999999996E-3</v>
      </c>
      <c r="C3167" t="str">
        <f t="shared" si="49"/>
        <v/>
      </c>
    </row>
    <row r="3168" spans="1:3" x14ac:dyDescent="0.25">
      <c r="A3168" s="223">
        <v>132.50299999999999</v>
      </c>
      <c r="B3168" s="458">
        <v>1.1021E-2</v>
      </c>
      <c r="C3168" t="str">
        <f t="shared" si="49"/>
        <v/>
      </c>
    </row>
    <row r="3169" spans="1:3" x14ac:dyDescent="0.25">
      <c r="A3169" s="223">
        <v>127.407</v>
      </c>
      <c r="B3169" s="458">
        <v>1.9626999999999999E-2</v>
      </c>
      <c r="C3169" t="str">
        <f t="shared" si="49"/>
        <v/>
      </c>
    </row>
    <row r="3170" spans="1:3" x14ac:dyDescent="0.25">
      <c r="A3170" s="223">
        <v>126.55800000000001</v>
      </c>
      <c r="B3170" s="458">
        <v>1.2805E-2</v>
      </c>
      <c r="C3170" t="str">
        <f t="shared" si="49"/>
        <v/>
      </c>
    </row>
    <row r="3171" spans="1:3" x14ac:dyDescent="0.25">
      <c r="A3171" s="223">
        <v>954.13800000000003</v>
      </c>
      <c r="B3171" s="458">
        <v>26.134329999999999</v>
      </c>
      <c r="C3171" t="str">
        <f t="shared" si="49"/>
        <v/>
      </c>
    </row>
    <row r="3172" spans="1:3" x14ac:dyDescent="0.25">
      <c r="A3172" s="223">
        <v>973.95699999999999</v>
      </c>
      <c r="B3172" s="458">
        <v>62.134630000000001</v>
      </c>
      <c r="C3172" t="str">
        <f t="shared" si="49"/>
        <v/>
      </c>
    </row>
    <row r="3173" spans="1:3" x14ac:dyDescent="0.25">
      <c r="A3173" s="223">
        <v>416.197</v>
      </c>
      <c r="B3173" s="458">
        <v>2.2355870000000002</v>
      </c>
      <c r="C3173" t="str">
        <f t="shared" si="49"/>
        <v/>
      </c>
    </row>
    <row r="3174" spans="1:3" x14ac:dyDescent="0.25">
      <c r="A3174" s="223">
        <v>419.02800000000002</v>
      </c>
      <c r="B3174" s="458">
        <v>1.0600670000000001</v>
      </c>
      <c r="C3174" t="str">
        <f t="shared" si="49"/>
        <v/>
      </c>
    </row>
    <row r="3175" spans="1:3" x14ac:dyDescent="0.25">
      <c r="A3175" s="223">
        <v>928.65700000000004</v>
      </c>
      <c r="B3175" s="458">
        <v>2.319553</v>
      </c>
      <c r="C3175" t="str">
        <f t="shared" si="49"/>
        <v/>
      </c>
    </row>
    <row r="3176" spans="1:3" x14ac:dyDescent="0.25">
      <c r="A3176" s="223">
        <v>917.33199999999999</v>
      </c>
      <c r="B3176" s="458">
        <v>4.4396870000000002</v>
      </c>
      <c r="C3176" t="str">
        <f t="shared" si="49"/>
        <v/>
      </c>
    </row>
    <row r="3177" spans="1:3" x14ac:dyDescent="0.25">
      <c r="A3177" s="223">
        <v>6.7384199999999996</v>
      </c>
      <c r="B3177" s="458">
        <v>1.1E-4</v>
      </c>
      <c r="C3177" t="str">
        <f t="shared" si="49"/>
        <v/>
      </c>
    </row>
    <row r="3178" spans="1:3" x14ac:dyDescent="0.25">
      <c r="A3178" s="223">
        <v>30.860800000000001</v>
      </c>
      <c r="B3178" s="458">
        <v>2.0991430000000002</v>
      </c>
      <c r="C3178" t="str">
        <f t="shared" si="49"/>
        <v/>
      </c>
    </row>
    <row r="3179" spans="1:3" x14ac:dyDescent="0.25">
      <c r="A3179" s="223">
        <v>28.0579</v>
      </c>
      <c r="B3179" s="458">
        <v>0.39673799999999998</v>
      </c>
      <c r="C3179" t="str">
        <f t="shared" si="49"/>
        <v/>
      </c>
    </row>
    <row r="3180" spans="1:3" x14ac:dyDescent="0.25">
      <c r="A3180" s="223">
        <v>7.6727400000000001</v>
      </c>
      <c r="B3180" s="458">
        <v>4.0299999999999997E-3</v>
      </c>
      <c r="C3180" t="str">
        <f t="shared" si="49"/>
        <v/>
      </c>
    </row>
    <row r="3181" spans="1:3" x14ac:dyDescent="0.25">
      <c r="A3181" s="223">
        <v>3.7938999999999998</v>
      </c>
      <c r="B3181" s="458">
        <v>7.7800000000000005E-4</v>
      </c>
      <c r="C3181" t="str">
        <f t="shared" si="49"/>
        <v/>
      </c>
    </row>
    <row r="3182" spans="1:3" x14ac:dyDescent="0.25">
      <c r="A3182" s="223">
        <v>11.523300000000001</v>
      </c>
      <c r="B3182" s="458">
        <v>3.9779000000000002E-2</v>
      </c>
      <c r="C3182" t="str">
        <f t="shared" si="49"/>
        <v/>
      </c>
    </row>
    <row r="3183" spans="1:3" x14ac:dyDescent="0.25">
      <c r="A3183" s="223">
        <v>7.1914300000000004</v>
      </c>
      <c r="B3183" s="458">
        <v>1.6163E-2</v>
      </c>
      <c r="C3183" t="str">
        <f t="shared" si="49"/>
        <v/>
      </c>
    </row>
    <row r="3184" spans="1:3" x14ac:dyDescent="0.25">
      <c r="A3184" s="223">
        <v>8.8901900000000005</v>
      </c>
      <c r="B3184" s="458">
        <v>1.7318E-2</v>
      </c>
      <c r="C3184" t="str">
        <f t="shared" si="49"/>
        <v/>
      </c>
    </row>
    <row r="3185" spans="1:3" x14ac:dyDescent="0.25">
      <c r="A3185" s="223">
        <v>4.0487200000000003</v>
      </c>
      <c r="B3185" s="458">
        <v>2.8400000000000002E-4</v>
      </c>
      <c r="C3185" t="str">
        <f t="shared" si="49"/>
        <v/>
      </c>
    </row>
    <row r="3186" spans="1:3" x14ac:dyDescent="0.25">
      <c r="A3186" s="223">
        <v>3.0577700000000001</v>
      </c>
      <c r="B3186" s="458">
        <v>5.6899999999999995E-4</v>
      </c>
      <c r="C3186" t="str">
        <f t="shared" si="49"/>
        <v/>
      </c>
    </row>
    <row r="3187" spans="1:3" x14ac:dyDescent="0.25">
      <c r="A3187" s="223">
        <v>7.6727400000000001</v>
      </c>
      <c r="B3187" s="458">
        <v>4.26E-4</v>
      </c>
      <c r="C3187" t="str">
        <f t="shared" si="49"/>
        <v/>
      </c>
    </row>
    <row r="3188" spans="1:3" x14ac:dyDescent="0.25">
      <c r="A3188" s="223">
        <v>8.9468099999999993</v>
      </c>
      <c r="B3188" s="458">
        <v>1.732E-3</v>
      </c>
      <c r="C3188" t="str">
        <f t="shared" si="49"/>
        <v/>
      </c>
    </row>
    <row r="3189" spans="1:3" x14ac:dyDescent="0.25">
      <c r="A3189" s="223">
        <v>3.7372800000000002</v>
      </c>
      <c r="B3189" s="458">
        <v>5.44E-4</v>
      </c>
      <c r="C3189" t="str">
        <f t="shared" si="49"/>
        <v/>
      </c>
    </row>
    <row r="3190" spans="1:3" x14ac:dyDescent="0.25">
      <c r="A3190" s="223">
        <v>4.95472</v>
      </c>
      <c r="B3190" s="458">
        <v>2.0049999999999998E-3</v>
      </c>
      <c r="C3190" t="str">
        <f t="shared" si="49"/>
        <v/>
      </c>
    </row>
    <row r="3191" spans="1:3" x14ac:dyDescent="0.25">
      <c r="A3191" s="223">
        <v>14.7226</v>
      </c>
      <c r="B3191" s="458">
        <v>1.6057999999999999E-2</v>
      </c>
      <c r="C3191" t="str">
        <f t="shared" si="49"/>
        <v/>
      </c>
    </row>
    <row r="3192" spans="1:3" x14ac:dyDescent="0.25">
      <c r="A3192" s="223">
        <v>4.5866600000000002</v>
      </c>
      <c r="B3192" s="458">
        <v>5.1999999999999995E-4</v>
      </c>
      <c r="C3192" t="str">
        <f t="shared" si="49"/>
        <v/>
      </c>
    </row>
    <row r="3193" spans="1:3" x14ac:dyDescent="0.25">
      <c r="A3193" s="223">
        <v>7.8143099999999999</v>
      </c>
      <c r="B3193" s="458">
        <v>9.6600000000000003E-5</v>
      </c>
      <c r="C3193" t="str">
        <f t="shared" si="49"/>
        <v/>
      </c>
    </row>
    <row r="3194" spans="1:3" x14ac:dyDescent="0.25">
      <c r="A3194" s="223">
        <v>8.3239300000000007</v>
      </c>
      <c r="B3194" s="458">
        <v>4.8299999999999998E-4</v>
      </c>
      <c r="C3194" t="str">
        <f t="shared" si="49"/>
        <v/>
      </c>
    </row>
    <row r="3195" spans="1:3" x14ac:dyDescent="0.25">
      <c r="A3195" s="223">
        <v>9.9377600000000008</v>
      </c>
      <c r="B3195" s="458">
        <v>4.4499999999999997E-4</v>
      </c>
      <c r="C3195" t="str">
        <f t="shared" si="49"/>
        <v/>
      </c>
    </row>
    <row r="3196" spans="1:3" x14ac:dyDescent="0.25">
      <c r="A3196" s="223">
        <v>9.3431899999999999</v>
      </c>
      <c r="B3196" s="458">
        <v>1.1E-4</v>
      </c>
      <c r="C3196" t="str">
        <f t="shared" si="49"/>
        <v/>
      </c>
    </row>
    <row r="3197" spans="1:3" x14ac:dyDescent="0.25">
      <c r="A3197" s="223">
        <v>1.8544799999999999</v>
      </c>
      <c r="B3197" s="458">
        <v>9.5500000000000004E-5</v>
      </c>
      <c r="C3197" t="str">
        <f t="shared" si="49"/>
        <v/>
      </c>
    </row>
    <row r="3198" spans="1:3" x14ac:dyDescent="0.25">
      <c r="A3198" s="223">
        <v>4.5017199999999997</v>
      </c>
      <c r="B3198" s="458">
        <v>4.2900000000000002E-4</v>
      </c>
      <c r="C3198" t="str">
        <f t="shared" si="49"/>
        <v/>
      </c>
    </row>
    <row r="3199" spans="1:3" x14ac:dyDescent="0.25">
      <c r="A3199" s="223">
        <v>13.9298</v>
      </c>
      <c r="B3199" s="458">
        <v>6.8099999999999996E-4</v>
      </c>
      <c r="C3199" t="str">
        <f t="shared" ref="C3199:C3262" si="50">IF(B3199=0,"XXXXXXXX","")</f>
        <v/>
      </c>
    </row>
    <row r="3200" spans="1:3" x14ac:dyDescent="0.25">
      <c r="A3200" s="223">
        <v>7.3896199999999999</v>
      </c>
      <c r="B3200" s="458">
        <v>5.3499999999999999E-5</v>
      </c>
      <c r="C3200" t="str">
        <f t="shared" si="50"/>
        <v/>
      </c>
    </row>
    <row r="3201" spans="1:3" x14ac:dyDescent="0.25">
      <c r="A3201" s="223">
        <v>2.4122400000000002</v>
      </c>
      <c r="B3201" s="458">
        <v>2.2100000000000001E-4</v>
      </c>
      <c r="C3201" t="str">
        <f t="shared" si="50"/>
        <v/>
      </c>
    </row>
    <row r="3202" spans="1:3" x14ac:dyDescent="0.25">
      <c r="A3202" s="223">
        <v>2.0215299999999998</v>
      </c>
      <c r="B3202" s="458">
        <v>6.87E-4</v>
      </c>
      <c r="C3202" t="str">
        <f t="shared" si="50"/>
        <v/>
      </c>
    </row>
    <row r="3203" spans="1:3" x14ac:dyDescent="0.25">
      <c r="A3203" s="223">
        <v>3.3409</v>
      </c>
      <c r="B3203" s="458">
        <v>1.0319999999999999E-3</v>
      </c>
      <c r="C3203" t="str">
        <f t="shared" si="50"/>
        <v/>
      </c>
    </row>
    <row r="3204" spans="1:3" x14ac:dyDescent="0.25">
      <c r="A3204" s="223">
        <v>17.072600000000001</v>
      </c>
      <c r="B3204" s="458">
        <v>0.45866299999999999</v>
      </c>
      <c r="C3204" t="str">
        <f t="shared" si="50"/>
        <v/>
      </c>
    </row>
    <row r="3205" spans="1:3" x14ac:dyDescent="0.25">
      <c r="A3205" s="223">
        <v>18.091799999999999</v>
      </c>
      <c r="B3205" s="458">
        <v>0.208865</v>
      </c>
      <c r="C3205" t="str">
        <f t="shared" si="50"/>
        <v/>
      </c>
    </row>
    <row r="3206" spans="1:3" x14ac:dyDescent="0.25">
      <c r="A3206" s="223">
        <v>17.072600000000001</v>
      </c>
      <c r="B3206" s="458">
        <v>0.19941900000000001</v>
      </c>
      <c r="C3206" t="str">
        <f t="shared" si="50"/>
        <v/>
      </c>
    </row>
    <row r="3207" spans="1:3" x14ac:dyDescent="0.25">
      <c r="A3207" s="223">
        <v>11.693099999999999</v>
      </c>
      <c r="B3207" s="458">
        <v>2.3404999999999999E-2</v>
      </c>
      <c r="C3207" t="str">
        <f t="shared" si="50"/>
        <v/>
      </c>
    </row>
    <row r="3208" spans="1:3" x14ac:dyDescent="0.25">
      <c r="A3208" s="223">
        <v>6.3986700000000001</v>
      </c>
      <c r="B3208" s="458">
        <v>9.6349999999999995E-3</v>
      </c>
      <c r="C3208" t="str">
        <f t="shared" si="50"/>
        <v/>
      </c>
    </row>
    <row r="3209" spans="1:3" x14ac:dyDescent="0.25">
      <c r="A3209" s="223">
        <v>3.25596</v>
      </c>
      <c r="B3209" s="458">
        <v>6.0999999999999997E-4</v>
      </c>
      <c r="C3209" t="str">
        <f t="shared" si="50"/>
        <v/>
      </c>
    </row>
    <row r="3210" spans="1:3" x14ac:dyDescent="0.25">
      <c r="A3210" s="223">
        <v>2.5707900000000001</v>
      </c>
      <c r="B3210" s="458">
        <v>3.9249999999999997E-3</v>
      </c>
      <c r="C3210" t="str">
        <f t="shared" si="50"/>
        <v/>
      </c>
    </row>
    <row r="3211" spans="1:3" x14ac:dyDescent="0.25">
      <c r="A3211" s="223">
        <v>1.48925</v>
      </c>
      <c r="B3211" s="458">
        <v>3.7599999999999998E-4</v>
      </c>
      <c r="C3211" t="str">
        <f t="shared" si="50"/>
        <v/>
      </c>
    </row>
    <row r="3212" spans="1:3" x14ac:dyDescent="0.25">
      <c r="A3212" s="223">
        <v>1.56569</v>
      </c>
      <c r="B3212" s="458">
        <v>5.3200000000000003E-4</v>
      </c>
      <c r="C3212" t="str">
        <f t="shared" si="50"/>
        <v/>
      </c>
    </row>
    <row r="3213" spans="1:3" x14ac:dyDescent="0.25">
      <c r="A3213" s="223">
        <v>1.56569</v>
      </c>
      <c r="B3213" s="458">
        <v>7.3049999999999999E-3</v>
      </c>
      <c r="C3213" t="str">
        <f t="shared" si="50"/>
        <v/>
      </c>
    </row>
    <row r="3214" spans="1:3" x14ac:dyDescent="0.25">
      <c r="A3214" s="223">
        <v>4.3601599999999996</v>
      </c>
      <c r="B3214" s="458">
        <v>2.5295000000000002E-2</v>
      </c>
      <c r="C3214" t="str">
        <f t="shared" si="50"/>
        <v/>
      </c>
    </row>
    <row r="3215" spans="1:3" x14ac:dyDescent="0.25">
      <c r="A3215" s="223">
        <v>4.3601599999999996</v>
      </c>
      <c r="B3215" s="458">
        <v>3.9149000000000003E-2</v>
      </c>
      <c r="C3215" t="str">
        <f t="shared" si="50"/>
        <v/>
      </c>
    </row>
    <row r="3216" spans="1:3" x14ac:dyDescent="0.25">
      <c r="A3216" s="223">
        <v>3.76559</v>
      </c>
      <c r="B3216" s="458">
        <v>3.81E-3</v>
      </c>
      <c r="C3216" t="str">
        <f t="shared" si="50"/>
        <v/>
      </c>
    </row>
    <row r="3217" spans="1:3" x14ac:dyDescent="0.25">
      <c r="A3217" s="223">
        <v>3.76559</v>
      </c>
      <c r="B3217" s="458">
        <v>2.372E-3</v>
      </c>
      <c r="C3217" t="str">
        <f t="shared" si="50"/>
        <v/>
      </c>
    </row>
    <row r="3218" spans="1:3" x14ac:dyDescent="0.25">
      <c r="A3218" s="223">
        <v>3.6240299999999999</v>
      </c>
      <c r="B3218" s="458">
        <v>4.6709999999999998E-3</v>
      </c>
      <c r="C3218" t="str">
        <f t="shared" si="50"/>
        <v/>
      </c>
    </row>
    <row r="3219" spans="1:3" x14ac:dyDescent="0.25">
      <c r="A3219" s="223">
        <v>3.6240299999999999</v>
      </c>
      <c r="B3219" s="458">
        <v>2.0890000000000001E-3</v>
      </c>
      <c r="C3219" t="str">
        <f t="shared" si="50"/>
        <v/>
      </c>
    </row>
    <row r="3220" spans="1:3" x14ac:dyDescent="0.25">
      <c r="A3220" s="223">
        <v>9.6829400000000003</v>
      </c>
      <c r="B3220" s="458">
        <v>2.477E-2</v>
      </c>
      <c r="C3220" t="str">
        <f t="shared" si="50"/>
        <v/>
      </c>
    </row>
    <row r="3221" spans="1:3" x14ac:dyDescent="0.25">
      <c r="A3221" s="223">
        <v>9.6829400000000003</v>
      </c>
      <c r="B3221" s="458">
        <v>5.7516999999999999E-2</v>
      </c>
      <c r="C3221" t="str">
        <f t="shared" si="50"/>
        <v/>
      </c>
    </row>
    <row r="3222" spans="1:3" x14ac:dyDescent="0.25">
      <c r="A3222" s="223">
        <v>9.6829400000000003</v>
      </c>
      <c r="B3222" s="458">
        <v>4.0198999999999999E-2</v>
      </c>
      <c r="C3222" t="str">
        <f t="shared" si="50"/>
        <v/>
      </c>
    </row>
    <row r="3223" spans="1:3" x14ac:dyDescent="0.25">
      <c r="A3223" s="223">
        <v>9.6829400000000003</v>
      </c>
      <c r="B3223" s="458">
        <v>7.5568999999999997E-2</v>
      </c>
      <c r="C3223" t="str">
        <f t="shared" si="50"/>
        <v/>
      </c>
    </row>
    <row r="3224" spans="1:3" x14ac:dyDescent="0.25">
      <c r="A3224" s="223">
        <v>7.78599</v>
      </c>
      <c r="B3224" s="458">
        <v>2.0885999999999998E-2</v>
      </c>
      <c r="C3224" t="str">
        <f t="shared" si="50"/>
        <v/>
      </c>
    </row>
    <row r="3225" spans="1:3" x14ac:dyDescent="0.25">
      <c r="A3225" s="223">
        <v>7.78599</v>
      </c>
      <c r="B3225" s="458">
        <v>9.1520000000000004E-3</v>
      </c>
      <c r="C3225" t="str">
        <f t="shared" si="50"/>
        <v/>
      </c>
    </row>
    <row r="3226" spans="1:3" x14ac:dyDescent="0.25">
      <c r="A3226" s="223">
        <v>6.6534800000000001</v>
      </c>
      <c r="B3226" s="458">
        <v>4.0619999999999996E-3</v>
      </c>
      <c r="C3226" t="str">
        <f t="shared" si="50"/>
        <v/>
      </c>
    </row>
    <row r="3227" spans="1:3" x14ac:dyDescent="0.25">
      <c r="A3227" s="223">
        <v>6.6534800000000001</v>
      </c>
      <c r="B3227" s="458">
        <v>2.6029999999999998E-3</v>
      </c>
      <c r="C3227" t="str">
        <f t="shared" si="50"/>
        <v/>
      </c>
    </row>
    <row r="3228" spans="1:3" x14ac:dyDescent="0.25">
      <c r="A3228" s="223">
        <v>7.1348000000000003</v>
      </c>
      <c r="B3228" s="458">
        <v>7.378E-3</v>
      </c>
      <c r="C3228" t="str">
        <f t="shared" si="50"/>
        <v/>
      </c>
    </row>
    <row r="3229" spans="1:3" x14ac:dyDescent="0.25">
      <c r="A3229" s="223">
        <v>7.1348000000000003</v>
      </c>
      <c r="B3229" s="458">
        <v>8.8159999999999992E-3</v>
      </c>
      <c r="C3229" t="str">
        <f t="shared" si="50"/>
        <v/>
      </c>
    </row>
    <row r="3230" spans="1:3" x14ac:dyDescent="0.25">
      <c r="A3230" s="223">
        <v>8.1823700000000006</v>
      </c>
      <c r="B3230" s="458">
        <v>1.1860000000000001E-2</v>
      </c>
      <c r="C3230" t="str">
        <f t="shared" si="50"/>
        <v/>
      </c>
    </row>
    <row r="3231" spans="1:3" x14ac:dyDescent="0.25">
      <c r="A3231" s="223">
        <v>8.1823700000000006</v>
      </c>
      <c r="B3231" s="458">
        <v>5.7829999999999999E-3</v>
      </c>
      <c r="C3231" t="str">
        <f t="shared" si="50"/>
        <v/>
      </c>
    </row>
    <row r="3232" spans="1:3" x14ac:dyDescent="0.25">
      <c r="A3232" s="223">
        <v>7.0215500000000004</v>
      </c>
      <c r="B3232" s="458">
        <v>3.4849999999999998E-3</v>
      </c>
      <c r="C3232" t="str">
        <f t="shared" si="50"/>
        <v/>
      </c>
    </row>
    <row r="3233" spans="1:3" x14ac:dyDescent="0.25">
      <c r="A3233" s="223">
        <v>7.0215500000000004</v>
      </c>
      <c r="B3233" s="458">
        <v>9.6900000000000003E-4</v>
      </c>
      <c r="C3233" t="str">
        <f t="shared" si="50"/>
        <v/>
      </c>
    </row>
    <row r="3234" spans="1:3" x14ac:dyDescent="0.25">
      <c r="A3234" s="223">
        <v>6.3986700000000001</v>
      </c>
      <c r="B3234" s="458">
        <v>2.3410000000000002E-3</v>
      </c>
      <c r="C3234" t="str">
        <f t="shared" si="50"/>
        <v/>
      </c>
    </row>
    <row r="3235" spans="1:3" x14ac:dyDescent="0.25">
      <c r="A3235" s="223">
        <v>6.3986700000000001</v>
      </c>
      <c r="B3235" s="458">
        <v>1.6479999999999999E-3</v>
      </c>
      <c r="C3235" t="str">
        <f t="shared" si="50"/>
        <v/>
      </c>
    </row>
    <row r="3236" spans="1:3" x14ac:dyDescent="0.25">
      <c r="A3236" s="223">
        <v>2.2989899999999999</v>
      </c>
      <c r="B3236" s="458">
        <v>3.4429999999999999E-3</v>
      </c>
      <c r="C3236" t="str">
        <f t="shared" si="50"/>
        <v/>
      </c>
    </row>
    <row r="3237" spans="1:3" x14ac:dyDescent="0.25">
      <c r="A3237" s="223">
        <v>2.2989899999999999</v>
      </c>
      <c r="B3237" s="458">
        <v>4.2509999999999996E-3</v>
      </c>
      <c r="C3237" t="str">
        <f t="shared" si="50"/>
        <v/>
      </c>
    </row>
    <row r="3238" spans="1:3" x14ac:dyDescent="0.25">
      <c r="A3238" s="223">
        <v>1.8063499999999999</v>
      </c>
      <c r="B3238" s="458">
        <v>1.8699999999999999E-4</v>
      </c>
      <c r="C3238" t="str">
        <f t="shared" si="50"/>
        <v/>
      </c>
    </row>
    <row r="3239" spans="1:3" x14ac:dyDescent="0.25">
      <c r="A3239" s="223">
        <v>1.6053299999999999</v>
      </c>
      <c r="B3239" s="458">
        <v>7.3499999999999998E-5</v>
      </c>
      <c r="C3239" t="str">
        <f t="shared" si="50"/>
        <v/>
      </c>
    </row>
    <row r="3240" spans="1:3" x14ac:dyDescent="0.25">
      <c r="A3240" s="223">
        <v>6.3137299999999996</v>
      </c>
      <c r="B3240" s="458">
        <v>9.6139999999999993E-3</v>
      </c>
      <c r="C3240" t="str">
        <f t="shared" si="50"/>
        <v/>
      </c>
    </row>
    <row r="3241" spans="1:3" x14ac:dyDescent="0.25">
      <c r="A3241" s="223">
        <v>6.3137299999999996</v>
      </c>
      <c r="B3241" s="458">
        <v>2.2460000000000002E-3</v>
      </c>
      <c r="C3241" t="str">
        <f t="shared" si="50"/>
        <v/>
      </c>
    </row>
    <row r="3242" spans="1:3" x14ac:dyDescent="0.25">
      <c r="A3242" s="223">
        <v>5.2378499999999999</v>
      </c>
      <c r="B3242" s="458">
        <v>6.3709999999999999E-3</v>
      </c>
      <c r="C3242" t="str">
        <f t="shared" si="50"/>
        <v/>
      </c>
    </row>
    <row r="3243" spans="1:3" x14ac:dyDescent="0.25">
      <c r="A3243" s="223">
        <v>5.2378499999999999</v>
      </c>
      <c r="B3243" s="458">
        <v>1.333E-3</v>
      </c>
      <c r="C3243" t="str">
        <f t="shared" si="50"/>
        <v/>
      </c>
    </row>
    <row r="3244" spans="1:3" x14ac:dyDescent="0.25">
      <c r="A3244" s="223">
        <v>5.4077299999999999</v>
      </c>
      <c r="B3244" s="458">
        <v>1.2700000000000001E-3</v>
      </c>
      <c r="C3244" t="str">
        <f t="shared" si="50"/>
        <v/>
      </c>
    </row>
    <row r="3245" spans="1:3" x14ac:dyDescent="0.25">
      <c r="A3245" s="223">
        <v>5.4077299999999999</v>
      </c>
      <c r="B3245" s="458">
        <v>4.5129999999999997E-3</v>
      </c>
      <c r="C3245" t="str">
        <f t="shared" si="50"/>
        <v/>
      </c>
    </row>
    <row r="3246" spans="1:3" x14ac:dyDescent="0.25">
      <c r="A3246" s="223">
        <v>4.2185899999999998</v>
      </c>
      <c r="B3246" s="458">
        <v>2.5820000000000001E-3</v>
      </c>
      <c r="C3246" t="str">
        <f t="shared" si="50"/>
        <v/>
      </c>
    </row>
    <row r="3247" spans="1:3" x14ac:dyDescent="0.25">
      <c r="A3247" s="223">
        <v>4.2185899999999998</v>
      </c>
      <c r="B3247" s="458">
        <v>1.333E-3</v>
      </c>
      <c r="C3247" t="str">
        <f t="shared" si="50"/>
        <v/>
      </c>
    </row>
    <row r="3248" spans="1:3" x14ac:dyDescent="0.25">
      <c r="A3248" s="223">
        <v>3.8222100000000001</v>
      </c>
      <c r="B3248" s="458">
        <v>1.1019999999999999E-3</v>
      </c>
      <c r="C3248" t="str">
        <f t="shared" si="50"/>
        <v/>
      </c>
    </row>
    <row r="3249" spans="1:3" x14ac:dyDescent="0.25">
      <c r="A3249" s="223">
        <v>3.8222100000000001</v>
      </c>
      <c r="B3249" s="458">
        <v>1.207E-3</v>
      </c>
      <c r="C3249" t="str">
        <f t="shared" si="50"/>
        <v/>
      </c>
    </row>
    <row r="3250" spans="1:3" x14ac:dyDescent="0.25">
      <c r="A3250" s="223">
        <v>2.1574300000000002</v>
      </c>
      <c r="B3250" s="458">
        <v>1.12E-4</v>
      </c>
      <c r="C3250" t="str">
        <f t="shared" si="50"/>
        <v/>
      </c>
    </row>
    <row r="3251" spans="1:3" x14ac:dyDescent="0.25">
      <c r="A3251" s="223">
        <v>1.5203899999999999</v>
      </c>
      <c r="B3251" s="458">
        <v>2.5500000000000002E-3</v>
      </c>
      <c r="C3251" t="str">
        <f t="shared" si="50"/>
        <v/>
      </c>
    </row>
    <row r="3252" spans="1:3" x14ac:dyDescent="0.25">
      <c r="A3252" s="223">
        <v>0.91449999999999998</v>
      </c>
      <c r="B3252" s="458">
        <v>2.83E-5</v>
      </c>
      <c r="C3252" t="str">
        <f t="shared" si="50"/>
        <v/>
      </c>
    </row>
    <row r="3253" spans="1:3" x14ac:dyDescent="0.25">
      <c r="A3253" s="223">
        <v>2.1291199999999999</v>
      </c>
      <c r="B3253" s="458">
        <v>3.4600000000000001E-4</v>
      </c>
      <c r="C3253" t="str">
        <f t="shared" si="50"/>
        <v/>
      </c>
    </row>
    <row r="3254" spans="1:3" x14ac:dyDescent="0.25">
      <c r="A3254" s="223">
        <v>1.76671</v>
      </c>
      <c r="B3254" s="458">
        <v>8.0400000000000003E-3</v>
      </c>
      <c r="C3254" t="str">
        <f t="shared" si="50"/>
        <v/>
      </c>
    </row>
    <row r="3255" spans="1:3" x14ac:dyDescent="0.25">
      <c r="A3255" s="223">
        <v>1.76671</v>
      </c>
      <c r="B3255" s="458">
        <v>1.4589E-2</v>
      </c>
      <c r="C3255" t="str">
        <f t="shared" si="50"/>
        <v/>
      </c>
    </row>
    <row r="3256" spans="1:3" x14ac:dyDescent="0.25">
      <c r="A3256" s="223">
        <v>2.58778</v>
      </c>
      <c r="B3256" s="458">
        <v>2.7179999999999999E-3</v>
      </c>
      <c r="C3256" t="str">
        <f t="shared" si="50"/>
        <v/>
      </c>
    </row>
    <row r="3257" spans="1:3" x14ac:dyDescent="0.25">
      <c r="A3257" s="223">
        <v>2.58778</v>
      </c>
      <c r="B3257" s="458">
        <v>1.6789999999999999E-3</v>
      </c>
      <c r="C3257" t="str">
        <f t="shared" si="50"/>
        <v/>
      </c>
    </row>
    <row r="3258" spans="1:3" x14ac:dyDescent="0.25">
      <c r="A3258" s="223">
        <v>3.1143999999999998</v>
      </c>
      <c r="B3258" s="458">
        <v>4.7340000000000004E-3</v>
      </c>
      <c r="C3258" t="str">
        <f t="shared" si="50"/>
        <v/>
      </c>
    </row>
    <row r="3259" spans="1:3" x14ac:dyDescent="0.25">
      <c r="A3259" s="223">
        <v>3.1143999999999998</v>
      </c>
      <c r="B3259" s="458">
        <v>1.8471999999999999E-2</v>
      </c>
      <c r="C3259" t="str">
        <f t="shared" si="50"/>
        <v/>
      </c>
    </row>
    <row r="3260" spans="1:3" x14ac:dyDescent="0.25">
      <c r="A3260" s="223">
        <v>4.53003</v>
      </c>
      <c r="B3260" s="458">
        <v>2.2356000000000001E-2</v>
      </c>
      <c r="C3260" t="str">
        <f t="shared" si="50"/>
        <v/>
      </c>
    </row>
    <row r="3261" spans="1:3" x14ac:dyDescent="0.25">
      <c r="A3261" s="223">
        <v>4.53003</v>
      </c>
      <c r="B3261" s="458">
        <v>2.8129000000000001E-2</v>
      </c>
      <c r="C3261" t="str">
        <f t="shared" si="50"/>
        <v/>
      </c>
    </row>
    <row r="3262" spans="1:3" x14ac:dyDescent="0.25">
      <c r="A3262" s="223">
        <v>3.42584</v>
      </c>
      <c r="B3262" s="458">
        <v>3.3170000000000001E-3</v>
      </c>
      <c r="C3262" t="str">
        <f t="shared" si="50"/>
        <v/>
      </c>
    </row>
    <row r="3263" spans="1:3" x14ac:dyDescent="0.25">
      <c r="A3263" s="223">
        <v>3.42584</v>
      </c>
      <c r="B3263" s="458">
        <v>1.438E-3</v>
      </c>
      <c r="C3263" t="str">
        <f t="shared" ref="C3263:C3326" si="51">IF(B3263=0,"XXXXXXXX","")</f>
        <v/>
      </c>
    </row>
    <row r="3264" spans="1:3" x14ac:dyDescent="0.25">
      <c r="A3264" s="223">
        <v>3.3409</v>
      </c>
      <c r="B3264" s="458">
        <v>1.5740000000000001E-3</v>
      </c>
      <c r="C3264" t="str">
        <f t="shared" si="51"/>
        <v/>
      </c>
    </row>
    <row r="3265" spans="1:3" x14ac:dyDescent="0.25">
      <c r="A3265" s="223">
        <v>3.3409</v>
      </c>
      <c r="B3265" s="458">
        <v>6.339E-3</v>
      </c>
      <c r="C3265" t="str">
        <f t="shared" si="51"/>
        <v/>
      </c>
    </row>
    <row r="3266" spans="1:3" x14ac:dyDescent="0.25">
      <c r="A3266" s="223">
        <v>10.560600000000001</v>
      </c>
      <c r="B3266" s="458">
        <v>1.6583000000000001E-2</v>
      </c>
      <c r="C3266" t="str">
        <f t="shared" si="51"/>
        <v/>
      </c>
    </row>
    <row r="3267" spans="1:3" x14ac:dyDescent="0.25">
      <c r="A3267" s="223">
        <v>10.560600000000001</v>
      </c>
      <c r="B3267" s="458">
        <v>1.3225000000000001E-2</v>
      </c>
      <c r="C3267" t="str">
        <f t="shared" si="51"/>
        <v/>
      </c>
    </row>
    <row r="3268" spans="1:3" x14ac:dyDescent="0.25">
      <c r="A3268" s="223">
        <v>9.7961899999999993</v>
      </c>
      <c r="B3268" s="458">
        <v>1.3749000000000001E-2</v>
      </c>
      <c r="C3268" t="str">
        <f t="shared" si="51"/>
        <v/>
      </c>
    </row>
    <row r="3269" spans="1:3" x14ac:dyDescent="0.25">
      <c r="A3269" s="223">
        <v>9.7961899999999993</v>
      </c>
      <c r="B3269" s="458">
        <v>4.9220000000000002E-3</v>
      </c>
      <c r="C3269" t="str">
        <f t="shared" si="51"/>
        <v/>
      </c>
    </row>
    <row r="3270" spans="1:3" x14ac:dyDescent="0.25">
      <c r="A3270" s="223">
        <v>14.9208</v>
      </c>
      <c r="B3270" s="458">
        <v>0.123849</v>
      </c>
      <c r="C3270" t="str">
        <f t="shared" si="51"/>
        <v/>
      </c>
    </row>
    <row r="3271" spans="1:3" x14ac:dyDescent="0.25">
      <c r="A3271" s="223">
        <v>14.9208</v>
      </c>
      <c r="B3271" s="458">
        <v>5.4788000000000003E-2</v>
      </c>
      <c r="C3271" t="str">
        <f t="shared" si="51"/>
        <v/>
      </c>
    </row>
    <row r="3272" spans="1:3" x14ac:dyDescent="0.25">
      <c r="A3272" s="223">
        <v>18.063500000000001</v>
      </c>
      <c r="B3272" s="458">
        <v>0.13434499999999999</v>
      </c>
      <c r="C3272" t="str">
        <f t="shared" si="51"/>
        <v/>
      </c>
    </row>
    <row r="3273" spans="1:3" x14ac:dyDescent="0.25">
      <c r="A3273" s="223">
        <v>18.063500000000001</v>
      </c>
      <c r="B3273" s="458">
        <v>8.2600999999999994E-2</v>
      </c>
      <c r="C3273" t="str">
        <f t="shared" si="51"/>
        <v/>
      </c>
    </row>
    <row r="3274" spans="1:3" x14ac:dyDescent="0.25">
      <c r="A3274" s="223">
        <v>4.8414700000000002</v>
      </c>
      <c r="B3274" s="458">
        <v>6.4859999999999996E-3</v>
      </c>
      <c r="C3274" t="str">
        <f t="shared" si="51"/>
        <v/>
      </c>
    </row>
    <row r="3275" spans="1:3" x14ac:dyDescent="0.25">
      <c r="A3275" s="223">
        <v>4.8414700000000002</v>
      </c>
      <c r="B3275" s="458">
        <v>1.0181000000000001E-2</v>
      </c>
      <c r="C3275" t="str">
        <f t="shared" si="51"/>
        <v/>
      </c>
    </row>
    <row r="3276" spans="1:3" x14ac:dyDescent="0.25">
      <c r="A3276" s="223">
        <v>9.7961899999999993</v>
      </c>
      <c r="B3276" s="458">
        <v>1.2385E-2</v>
      </c>
      <c r="C3276" t="str">
        <f t="shared" si="51"/>
        <v/>
      </c>
    </row>
    <row r="3277" spans="1:3" x14ac:dyDescent="0.25">
      <c r="A3277" s="223">
        <v>9.7961899999999993</v>
      </c>
      <c r="B3277" s="458">
        <v>4.6705999999999998E-2</v>
      </c>
      <c r="C3277" t="str">
        <f t="shared" si="51"/>
        <v/>
      </c>
    </row>
    <row r="3278" spans="1:3" x14ac:dyDescent="0.25">
      <c r="A3278" s="223">
        <v>14.609400000000001</v>
      </c>
      <c r="B3278" s="458">
        <v>6.8012000000000003E-2</v>
      </c>
      <c r="C3278" t="str">
        <f t="shared" si="51"/>
        <v/>
      </c>
    </row>
    <row r="3279" spans="1:3" x14ac:dyDescent="0.25">
      <c r="A3279" s="223">
        <v>14.609400000000001</v>
      </c>
      <c r="B3279" s="458">
        <v>0.10495699999999999</v>
      </c>
      <c r="C3279" t="str">
        <f t="shared" si="51"/>
        <v/>
      </c>
    </row>
    <row r="3280" spans="1:3" x14ac:dyDescent="0.25">
      <c r="A3280" s="223">
        <v>15.770200000000001</v>
      </c>
      <c r="B3280" s="458">
        <v>8.0082E-2</v>
      </c>
      <c r="C3280" t="str">
        <f t="shared" si="51"/>
        <v/>
      </c>
    </row>
    <row r="3281" spans="1:3" x14ac:dyDescent="0.25">
      <c r="A3281" s="223">
        <v>15.770200000000001</v>
      </c>
      <c r="B3281" s="458">
        <v>5.8671000000000001E-2</v>
      </c>
      <c r="C3281" t="str">
        <f t="shared" si="51"/>
        <v/>
      </c>
    </row>
    <row r="3282" spans="1:3" x14ac:dyDescent="0.25">
      <c r="A3282" s="223">
        <v>16.534600000000001</v>
      </c>
      <c r="B3282" s="458">
        <v>5.6257000000000001E-2</v>
      </c>
      <c r="C3282" t="str">
        <f t="shared" si="51"/>
        <v/>
      </c>
    </row>
    <row r="3283" spans="1:3" x14ac:dyDescent="0.25">
      <c r="A3283" s="223">
        <v>16.534600000000001</v>
      </c>
      <c r="B3283" s="458">
        <v>0.340061</v>
      </c>
      <c r="C3283" t="str">
        <f t="shared" si="51"/>
        <v/>
      </c>
    </row>
    <row r="3284" spans="1:3" x14ac:dyDescent="0.25">
      <c r="A3284" s="223">
        <v>24.858599999999999</v>
      </c>
      <c r="B3284" s="458">
        <v>0.28653299999999998</v>
      </c>
      <c r="C3284" t="str">
        <f t="shared" si="51"/>
        <v/>
      </c>
    </row>
    <row r="3285" spans="1:3" x14ac:dyDescent="0.25">
      <c r="A3285" s="223">
        <v>24.858599999999999</v>
      </c>
      <c r="B3285" s="458">
        <v>0.47650500000000001</v>
      </c>
      <c r="C3285" t="str">
        <f t="shared" si="51"/>
        <v/>
      </c>
    </row>
    <row r="3286" spans="1:3" x14ac:dyDescent="0.25">
      <c r="A3286" s="223">
        <v>16.902699999999999</v>
      </c>
      <c r="B3286" s="458">
        <v>7.1790999999999994E-2</v>
      </c>
      <c r="C3286" t="str">
        <f t="shared" si="51"/>
        <v/>
      </c>
    </row>
    <row r="3287" spans="1:3" x14ac:dyDescent="0.25">
      <c r="A3287" s="223">
        <v>16.902699999999999</v>
      </c>
      <c r="B3287" s="458">
        <v>0.20046800000000001</v>
      </c>
      <c r="C3287" t="str">
        <f t="shared" si="51"/>
        <v/>
      </c>
    </row>
    <row r="3288" spans="1:3" x14ac:dyDescent="0.25">
      <c r="A3288" s="223">
        <v>14.1564</v>
      </c>
      <c r="B3288" s="458">
        <v>3.6525000000000002E-2</v>
      </c>
      <c r="C3288" t="str">
        <f t="shared" si="51"/>
        <v/>
      </c>
    </row>
    <row r="3289" spans="1:3" x14ac:dyDescent="0.25">
      <c r="A3289" s="223">
        <v>14.1564</v>
      </c>
      <c r="B3289" s="458">
        <v>4.3661999999999999E-2</v>
      </c>
      <c r="C3289" t="str">
        <f t="shared" si="51"/>
        <v/>
      </c>
    </row>
    <row r="3290" spans="1:3" x14ac:dyDescent="0.25">
      <c r="A3290" s="223">
        <v>18.120100000000001</v>
      </c>
      <c r="B3290" s="458">
        <v>0.30227700000000002</v>
      </c>
      <c r="C3290" t="str">
        <f t="shared" si="51"/>
        <v/>
      </c>
    </row>
    <row r="3291" spans="1:3" x14ac:dyDescent="0.25">
      <c r="A3291" s="223">
        <v>18.120100000000001</v>
      </c>
      <c r="B3291" s="458">
        <v>0.10306800000000001</v>
      </c>
      <c r="C3291" t="str">
        <f t="shared" si="51"/>
        <v/>
      </c>
    </row>
    <row r="3292" spans="1:3" x14ac:dyDescent="0.25">
      <c r="A3292" s="223">
        <v>15.7135</v>
      </c>
      <c r="B3292" s="458">
        <v>5.1848999999999999E-2</v>
      </c>
      <c r="C3292" t="str">
        <f t="shared" si="51"/>
        <v/>
      </c>
    </row>
    <row r="3293" spans="1:3" x14ac:dyDescent="0.25">
      <c r="A3293" s="223">
        <v>15.7135</v>
      </c>
      <c r="B3293" s="458">
        <v>4.1037999999999998E-2</v>
      </c>
      <c r="C3293" t="str">
        <f t="shared" si="51"/>
        <v/>
      </c>
    </row>
    <row r="3294" spans="1:3" x14ac:dyDescent="0.25">
      <c r="A3294" s="223">
        <v>12.825699999999999</v>
      </c>
      <c r="B3294" s="458">
        <v>1.1124999999999999E-2</v>
      </c>
      <c r="C3294" t="str">
        <f t="shared" si="51"/>
        <v/>
      </c>
    </row>
    <row r="3295" spans="1:3" x14ac:dyDescent="0.25">
      <c r="A3295" s="223">
        <v>12.825699999999999</v>
      </c>
      <c r="B3295" s="458">
        <v>1.8367999999999999E-2</v>
      </c>
      <c r="C3295" t="str">
        <f t="shared" si="51"/>
        <v/>
      </c>
    </row>
    <row r="3296" spans="1:3" x14ac:dyDescent="0.25">
      <c r="A3296" s="223">
        <v>12.514200000000001</v>
      </c>
      <c r="B3296" s="458">
        <v>6.1400000000000003E-2</v>
      </c>
      <c r="C3296" t="str">
        <f t="shared" si="51"/>
        <v/>
      </c>
    </row>
    <row r="3297" spans="1:3" x14ac:dyDescent="0.25">
      <c r="A3297" s="223">
        <v>12.514200000000001</v>
      </c>
      <c r="B3297" s="458">
        <v>1.123E-2</v>
      </c>
      <c r="C3297" t="str">
        <f t="shared" si="51"/>
        <v/>
      </c>
    </row>
    <row r="3298" spans="1:3" x14ac:dyDescent="0.25">
      <c r="A3298" s="223">
        <v>5.3510999999999997</v>
      </c>
      <c r="B3298" s="458">
        <v>3.705E-2</v>
      </c>
      <c r="C3298" t="str">
        <f t="shared" si="51"/>
        <v/>
      </c>
    </row>
    <row r="3299" spans="1:3" x14ac:dyDescent="0.25">
      <c r="A3299" s="223">
        <v>5.3510999999999997</v>
      </c>
      <c r="B3299" s="458">
        <v>3.7469999999999999E-3</v>
      </c>
      <c r="C3299" t="str">
        <f t="shared" si="51"/>
        <v/>
      </c>
    </row>
    <row r="3300" spans="1:3" x14ac:dyDescent="0.25">
      <c r="A3300" s="223">
        <v>7.6727400000000001</v>
      </c>
      <c r="B3300" s="458">
        <v>2.5400000000000002E-3</v>
      </c>
      <c r="C3300" t="str">
        <f t="shared" si="51"/>
        <v/>
      </c>
    </row>
    <row r="3301" spans="1:3" x14ac:dyDescent="0.25">
      <c r="A3301" s="223">
        <v>7.6727400000000001</v>
      </c>
      <c r="B3301" s="458">
        <v>7.6410000000000002E-3</v>
      </c>
      <c r="C3301" t="str">
        <f t="shared" si="51"/>
        <v/>
      </c>
    </row>
    <row r="3302" spans="1:3" x14ac:dyDescent="0.25">
      <c r="A3302" s="223">
        <v>3.7938999999999998</v>
      </c>
      <c r="B3302" s="458">
        <v>3.6939999999999998E-3</v>
      </c>
      <c r="C3302" t="str">
        <f t="shared" si="51"/>
        <v/>
      </c>
    </row>
    <row r="3303" spans="1:3" x14ac:dyDescent="0.25">
      <c r="A3303" s="223">
        <v>3.7938999999999998</v>
      </c>
      <c r="B3303" s="458">
        <v>1.5009E-2</v>
      </c>
      <c r="C3303" t="str">
        <f t="shared" si="51"/>
        <v/>
      </c>
    </row>
    <row r="3304" spans="1:3" x14ac:dyDescent="0.25">
      <c r="A3304" s="223">
        <v>2.8086199999999999</v>
      </c>
      <c r="B3304" s="458">
        <v>2.1199999999999999E-3</v>
      </c>
      <c r="C3304" t="str">
        <f t="shared" si="51"/>
        <v/>
      </c>
    </row>
    <row r="3305" spans="1:3" x14ac:dyDescent="0.25">
      <c r="A3305" s="223">
        <v>2.3782700000000001</v>
      </c>
      <c r="B3305" s="458">
        <v>9.9700000000000006E-4</v>
      </c>
      <c r="C3305" t="str">
        <f t="shared" si="51"/>
        <v/>
      </c>
    </row>
    <row r="3306" spans="1:3" x14ac:dyDescent="0.25">
      <c r="A3306" s="223">
        <v>3.00115</v>
      </c>
      <c r="B3306" s="458">
        <v>1.6268000000000001E-2</v>
      </c>
      <c r="C3306" t="str">
        <f t="shared" si="51"/>
        <v/>
      </c>
    </row>
    <row r="3307" spans="1:3" x14ac:dyDescent="0.25">
      <c r="A3307" s="223">
        <v>2.5368200000000001</v>
      </c>
      <c r="B3307" s="458">
        <v>4.3350000000000003E-3</v>
      </c>
      <c r="C3307" t="str">
        <f t="shared" si="51"/>
        <v/>
      </c>
    </row>
    <row r="3308" spans="1:3" x14ac:dyDescent="0.25">
      <c r="A3308" s="223">
        <v>6.7101100000000002</v>
      </c>
      <c r="B3308" s="458">
        <v>1.9626999999999999E-2</v>
      </c>
      <c r="C3308" t="str">
        <f t="shared" si="51"/>
        <v/>
      </c>
    </row>
    <row r="3309" spans="1:3" x14ac:dyDescent="0.25">
      <c r="A3309" s="223">
        <v>6.5968600000000004</v>
      </c>
      <c r="B3309" s="458">
        <v>4.0619999999999996E-3</v>
      </c>
      <c r="C3309" t="str">
        <f t="shared" si="51"/>
        <v/>
      </c>
    </row>
    <row r="3310" spans="1:3" x14ac:dyDescent="0.25">
      <c r="A3310" s="223">
        <v>27.9163</v>
      </c>
      <c r="B3310" s="458">
        <v>2.319553</v>
      </c>
      <c r="C3310" t="str">
        <f t="shared" si="51"/>
        <v/>
      </c>
    </row>
    <row r="3311" spans="1:3" x14ac:dyDescent="0.25">
      <c r="A3311" s="223">
        <v>16.194900000000001</v>
      </c>
      <c r="B3311" s="458">
        <v>9.8449999999999996E-2</v>
      </c>
      <c r="C3311" t="str">
        <f t="shared" si="51"/>
        <v/>
      </c>
    </row>
    <row r="3312" spans="1:3" x14ac:dyDescent="0.25">
      <c r="A3312" s="223">
        <v>16.676200000000001</v>
      </c>
      <c r="B3312" s="458">
        <v>7.5568999999999997E-2</v>
      </c>
      <c r="C3312" t="str">
        <f t="shared" si="51"/>
        <v/>
      </c>
    </row>
    <row r="3313" spans="1:3" x14ac:dyDescent="0.25">
      <c r="A3313" s="223">
        <v>20.073699999999999</v>
      </c>
      <c r="B3313" s="458">
        <v>0.59615700000000005</v>
      </c>
      <c r="C3313" t="str">
        <f t="shared" si="51"/>
        <v/>
      </c>
    </row>
    <row r="3314" spans="1:3" x14ac:dyDescent="0.25">
      <c r="A3314" s="223">
        <v>26.783799999999999</v>
      </c>
      <c r="B3314" s="458">
        <v>1.0915539999999999</v>
      </c>
      <c r="C3314" t="str">
        <f t="shared" si="51"/>
        <v/>
      </c>
    </row>
    <row r="3315" spans="1:3" x14ac:dyDescent="0.25">
      <c r="A3315" s="223">
        <v>13.3636</v>
      </c>
      <c r="B3315" s="458">
        <v>2.9912999999999999E-2</v>
      </c>
      <c r="C3315" t="str">
        <f t="shared" si="51"/>
        <v/>
      </c>
    </row>
    <row r="3316" spans="1:3" x14ac:dyDescent="0.25">
      <c r="A3316" s="223">
        <v>8.4655000000000005</v>
      </c>
      <c r="B3316" s="458">
        <v>5.1850000000000004E-3</v>
      </c>
      <c r="C3316" t="str">
        <f t="shared" si="51"/>
        <v/>
      </c>
    </row>
    <row r="3317" spans="1:3" x14ac:dyDescent="0.25">
      <c r="A3317" s="223">
        <v>3.8788399999999998</v>
      </c>
      <c r="B3317" s="458">
        <v>5.7499999999999999E-4</v>
      </c>
      <c r="C3317" t="str">
        <f t="shared" si="51"/>
        <v/>
      </c>
    </row>
    <row r="3318" spans="1:3" x14ac:dyDescent="0.25">
      <c r="A3318" s="223">
        <v>2.7350099999999999</v>
      </c>
      <c r="B3318" s="458">
        <v>5.6800000000000004E-4</v>
      </c>
      <c r="C3318" t="str">
        <f t="shared" si="51"/>
        <v/>
      </c>
    </row>
    <row r="3319" spans="1:3" x14ac:dyDescent="0.25">
      <c r="A3319" s="223">
        <v>2.4632100000000001</v>
      </c>
      <c r="B3319" s="458">
        <v>1.6100000000000001E-4</v>
      </c>
      <c r="C3319" t="str">
        <f t="shared" si="51"/>
        <v/>
      </c>
    </row>
    <row r="3320" spans="1:3" x14ac:dyDescent="0.25">
      <c r="A3320" s="223">
        <v>7.78599</v>
      </c>
      <c r="B3320" s="458">
        <v>1.1021E-2</v>
      </c>
      <c r="C3320" t="str">
        <f t="shared" si="51"/>
        <v/>
      </c>
    </row>
    <row r="3321" spans="1:3" x14ac:dyDescent="0.25">
      <c r="A3321" s="223">
        <v>36.8065</v>
      </c>
      <c r="B3321" s="458">
        <v>4.8805069999999997</v>
      </c>
      <c r="C3321" t="str">
        <f t="shared" si="51"/>
        <v/>
      </c>
    </row>
    <row r="3322" spans="1:3" x14ac:dyDescent="0.25">
      <c r="A3322" s="223">
        <v>23.697700000000001</v>
      </c>
      <c r="B3322" s="458">
        <v>0.77983199999999997</v>
      </c>
      <c r="C3322" t="str">
        <f t="shared" si="51"/>
        <v/>
      </c>
    </row>
    <row r="3323" spans="1:3" x14ac:dyDescent="0.25">
      <c r="A3323" s="223">
        <v>26.6706</v>
      </c>
      <c r="B3323" s="458">
        <v>0.25609500000000002</v>
      </c>
      <c r="C3323" t="str">
        <f t="shared" si="51"/>
        <v/>
      </c>
    </row>
    <row r="3324" spans="1:3" x14ac:dyDescent="0.25">
      <c r="A3324" s="223">
        <v>26.4724</v>
      </c>
      <c r="B3324" s="458">
        <v>0.30017700000000003</v>
      </c>
      <c r="C3324" t="str">
        <f t="shared" si="51"/>
        <v/>
      </c>
    </row>
    <row r="3325" spans="1:3" x14ac:dyDescent="0.25">
      <c r="A3325" s="223">
        <v>19.5641</v>
      </c>
      <c r="B3325" s="458">
        <v>3.6420000000000001E-2</v>
      </c>
      <c r="C3325" t="str">
        <f t="shared" si="51"/>
        <v/>
      </c>
    </row>
    <row r="3326" spans="1:3" x14ac:dyDescent="0.25">
      <c r="A3326" s="223">
        <v>10.758800000000001</v>
      </c>
      <c r="B3326" s="458">
        <v>2.7079999999999999E-3</v>
      </c>
      <c r="C3326" t="str">
        <f t="shared" si="51"/>
        <v/>
      </c>
    </row>
    <row r="3327" spans="1:3" x14ac:dyDescent="0.25">
      <c r="A3327" s="223">
        <v>3.3409</v>
      </c>
      <c r="B3327" s="458">
        <v>1.9729999999999999E-3</v>
      </c>
      <c r="C3327" t="str">
        <f t="shared" ref="C3327:C3390" si="52">IF(B3327=0,"XXXXXXXX","")</f>
        <v/>
      </c>
    </row>
    <row r="3328" spans="1:3" x14ac:dyDescent="0.25">
      <c r="A3328" s="223">
        <v>3.6523400000000001</v>
      </c>
      <c r="B3328" s="458">
        <v>3.0860000000000002E-3</v>
      </c>
      <c r="C3328" t="str">
        <f t="shared" si="52"/>
        <v/>
      </c>
    </row>
    <row r="3329" spans="1:3" x14ac:dyDescent="0.25">
      <c r="A3329" s="223">
        <v>2.2027299999999999</v>
      </c>
      <c r="B3329" s="458">
        <v>6.19E-5</v>
      </c>
      <c r="C3329" t="str">
        <f t="shared" si="52"/>
        <v/>
      </c>
    </row>
    <row r="3330" spans="1:3" x14ac:dyDescent="0.25">
      <c r="A3330" s="223">
        <v>1.95641</v>
      </c>
      <c r="B3330" s="458">
        <v>1.73E-4</v>
      </c>
      <c r="C3330" t="str">
        <f t="shared" si="52"/>
        <v/>
      </c>
    </row>
    <row r="3331" spans="1:3" x14ac:dyDescent="0.25">
      <c r="A3331" s="223">
        <v>2.8595799999999998</v>
      </c>
      <c r="B3331" s="458">
        <v>4.6499999999999996E-3</v>
      </c>
      <c r="C3331" t="str">
        <f t="shared" si="52"/>
        <v/>
      </c>
    </row>
    <row r="3332" spans="1:3" x14ac:dyDescent="0.25">
      <c r="A3332" s="223">
        <v>4.5017199999999997</v>
      </c>
      <c r="B3332" s="458">
        <v>8.9899999999999995E-4</v>
      </c>
      <c r="C3332" t="str">
        <f t="shared" si="52"/>
        <v/>
      </c>
    </row>
    <row r="3333" spans="1:3" x14ac:dyDescent="0.25">
      <c r="A3333" s="223">
        <v>16.817699999999999</v>
      </c>
      <c r="B3333" s="458">
        <v>4.7021E-2</v>
      </c>
      <c r="C3333" t="str">
        <f t="shared" si="52"/>
        <v/>
      </c>
    </row>
    <row r="3334" spans="1:3" x14ac:dyDescent="0.25">
      <c r="A3334" s="223">
        <v>9.4281299999999995</v>
      </c>
      <c r="B3334" s="458">
        <v>2.1310000000000001E-3</v>
      </c>
      <c r="C3334" t="str">
        <f t="shared" si="52"/>
        <v/>
      </c>
    </row>
    <row r="3335" spans="1:3" x14ac:dyDescent="0.25">
      <c r="A3335" s="223">
        <v>19.337599999999998</v>
      </c>
      <c r="B3335" s="458">
        <v>0.117552</v>
      </c>
      <c r="C3335" t="str">
        <f t="shared" si="52"/>
        <v/>
      </c>
    </row>
    <row r="3336" spans="1:3" x14ac:dyDescent="0.25">
      <c r="A3336" s="223">
        <v>15.9117</v>
      </c>
      <c r="B3336" s="458">
        <v>4.3346999999999997E-2</v>
      </c>
      <c r="C3336" t="str">
        <f t="shared" si="52"/>
        <v/>
      </c>
    </row>
    <row r="3337" spans="1:3" x14ac:dyDescent="0.25">
      <c r="A3337" s="223">
        <v>10.702199999999999</v>
      </c>
      <c r="B3337" s="458">
        <v>4.7860000000000003E-3</v>
      </c>
      <c r="C3337" t="str">
        <f t="shared" si="52"/>
        <v/>
      </c>
    </row>
    <row r="3338" spans="1:3" x14ac:dyDescent="0.25">
      <c r="A3338" s="223">
        <v>6.22879</v>
      </c>
      <c r="B3338" s="458">
        <v>6.7070000000000003E-3</v>
      </c>
      <c r="C3338" t="str">
        <f t="shared" si="52"/>
        <v/>
      </c>
    </row>
    <row r="3339" spans="1:3" x14ac:dyDescent="0.25">
      <c r="A3339" s="223">
        <v>4.2185899999999998</v>
      </c>
      <c r="B3339" s="458">
        <v>5.8250000000000003E-3</v>
      </c>
      <c r="C3339" t="str">
        <f t="shared" si="52"/>
        <v/>
      </c>
    </row>
    <row r="3340" spans="1:3" x14ac:dyDescent="0.25">
      <c r="A3340" s="223">
        <v>2.9728300000000001</v>
      </c>
      <c r="B3340" s="458">
        <v>6.8430000000000001E-3</v>
      </c>
      <c r="C3340" t="str">
        <f t="shared" si="52"/>
        <v/>
      </c>
    </row>
    <row r="3341" spans="1:3" x14ac:dyDescent="0.25">
      <c r="A3341" s="223">
        <v>2.6444100000000001</v>
      </c>
      <c r="B3341" s="458">
        <v>1.291E-3</v>
      </c>
      <c r="C3341" t="str">
        <f t="shared" si="52"/>
        <v/>
      </c>
    </row>
    <row r="3342" spans="1:3" x14ac:dyDescent="0.25">
      <c r="A3342" s="223">
        <v>1.9734</v>
      </c>
      <c r="B3342" s="458">
        <v>1.343E-3</v>
      </c>
      <c r="C3342" t="str">
        <f t="shared" si="52"/>
        <v/>
      </c>
    </row>
    <row r="3343" spans="1:3" x14ac:dyDescent="0.25">
      <c r="A3343" s="223">
        <v>2.1177899999999998</v>
      </c>
      <c r="B3343" s="458">
        <v>2.8649999999999999E-3</v>
      </c>
      <c r="C3343" t="str">
        <f t="shared" si="52"/>
        <v/>
      </c>
    </row>
    <row r="3344" spans="1:3" x14ac:dyDescent="0.25">
      <c r="A3344" s="223">
        <v>2.4801899999999999</v>
      </c>
      <c r="B3344" s="458">
        <v>2.2989999999999998E-3</v>
      </c>
      <c r="C3344" t="str">
        <f t="shared" si="52"/>
        <v/>
      </c>
    </row>
    <row r="3345" spans="1:3" x14ac:dyDescent="0.25">
      <c r="A3345" s="223">
        <v>2.7010299999999998</v>
      </c>
      <c r="B3345" s="458">
        <v>2.9599999999999998E-4</v>
      </c>
      <c r="C3345" t="str">
        <f t="shared" si="52"/>
        <v/>
      </c>
    </row>
    <row r="3346" spans="1:3" x14ac:dyDescent="0.25">
      <c r="A3346" s="223">
        <v>4.5017199999999997</v>
      </c>
      <c r="B3346" s="458">
        <v>5.7520000000000002E-3</v>
      </c>
      <c r="C3346" t="str">
        <f t="shared" si="52"/>
        <v/>
      </c>
    </row>
    <row r="3347" spans="1:3" x14ac:dyDescent="0.25">
      <c r="A3347" s="223">
        <v>4.6715999999999998</v>
      </c>
      <c r="B3347" s="458">
        <v>2.8549999999999999E-3</v>
      </c>
      <c r="C3347" t="str">
        <f t="shared" si="52"/>
        <v/>
      </c>
    </row>
    <row r="3348" spans="1:3" x14ac:dyDescent="0.25">
      <c r="A3348" s="223">
        <v>8.0408100000000005</v>
      </c>
      <c r="B3348" s="458">
        <v>9.3519999999999992E-3</v>
      </c>
      <c r="C3348" t="str">
        <f t="shared" si="52"/>
        <v/>
      </c>
    </row>
    <row r="3349" spans="1:3" x14ac:dyDescent="0.25">
      <c r="A3349" s="223">
        <v>17.723800000000001</v>
      </c>
      <c r="B3349" s="458">
        <v>5.4157999999999998E-2</v>
      </c>
      <c r="C3349" t="str">
        <f t="shared" si="52"/>
        <v/>
      </c>
    </row>
    <row r="3350" spans="1:3" x14ac:dyDescent="0.25">
      <c r="A3350" s="223">
        <v>13.675000000000001</v>
      </c>
      <c r="B3350" s="458">
        <v>9.1520000000000004E-3</v>
      </c>
      <c r="C3350" t="str">
        <f t="shared" si="52"/>
        <v/>
      </c>
    </row>
    <row r="3351" spans="1:3" x14ac:dyDescent="0.25">
      <c r="A3351" s="223">
        <v>24.037500000000001</v>
      </c>
      <c r="B3351" s="458">
        <v>0.138543</v>
      </c>
      <c r="C3351" t="str">
        <f t="shared" si="52"/>
        <v/>
      </c>
    </row>
    <row r="3352" spans="1:3" x14ac:dyDescent="0.25">
      <c r="A3352" s="223">
        <v>14.7226</v>
      </c>
      <c r="B3352" s="458">
        <v>4.4186999999999997E-2</v>
      </c>
      <c r="C3352" t="str">
        <f t="shared" si="52"/>
        <v/>
      </c>
    </row>
    <row r="3353" spans="1:3" x14ac:dyDescent="0.25">
      <c r="A3353" s="223">
        <v>2.5566399999999998</v>
      </c>
      <c r="B3353" s="458">
        <v>2.624E-3</v>
      </c>
      <c r="C3353" t="str">
        <f t="shared" si="52"/>
        <v/>
      </c>
    </row>
    <row r="3354" spans="1:3" x14ac:dyDescent="0.25">
      <c r="A3354" s="223">
        <v>2.0866500000000001</v>
      </c>
      <c r="B3354" s="458">
        <v>2.6600000000000001E-4</v>
      </c>
      <c r="C3354" t="str">
        <f t="shared" si="52"/>
        <v/>
      </c>
    </row>
    <row r="3355" spans="1:3" x14ac:dyDescent="0.25">
      <c r="A3355" s="223">
        <v>1.8488199999999999</v>
      </c>
      <c r="B3355" s="458">
        <v>3.4099999999999999E-4</v>
      </c>
      <c r="C3355" t="str">
        <f t="shared" si="52"/>
        <v/>
      </c>
    </row>
    <row r="3356" spans="1:3" x14ac:dyDescent="0.25">
      <c r="A3356" s="223">
        <v>1.49491</v>
      </c>
      <c r="B3356" s="458">
        <v>4.6199999999999998E-5</v>
      </c>
      <c r="C3356" t="str">
        <f t="shared" si="52"/>
        <v/>
      </c>
    </row>
    <row r="3357" spans="1:3" x14ac:dyDescent="0.25">
      <c r="A3357" s="223">
        <v>4.6149699999999996</v>
      </c>
      <c r="B3357" s="458">
        <v>3.9039999999999999E-3</v>
      </c>
      <c r="C3357" t="str">
        <f t="shared" si="52"/>
        <v/>
      </c>
    </row>
    <row r="3358" spans="1:3" x14ac:dyDescent="0.25">
      <c r="A3358" s="223">
        <v>5.1529100000000003</v>
      </c>
      <c r="B3358" s="458">
        <v>2.1940000000000002E-3</v>
      </c>
      <c r="C3358" t="str">
        <f t="shared" si="52"/>
        <v/>
      </c>
    </row>
    <row r="3359" spans="1:3" x14ac:dyDescent="0.25">
      <c r="A3359" s="223">
        <v>11.2401</v>
      </c>
      <c r="B3359" s="458">
        <v>2.0152E-2</v>
      </c>
      <c r="C3359" t="str">
        <f t="shared" si="52"/>
        <v/>
      </c>
    </row>
    <row r="3360" spans="1:3" x14ac:dyDescent="0.25">
      <c r="A3360" s="223">
        <v>8.0974299999999992</v>
      </c>
      <c r="B3360" s="458">
        <v>2.8019999999999998E-3</v>
      </c>
      <c r="C3360" t="str">
        <f t="shared" si="52"/>
        <v/>
      </c>
    </row>
    <row r="3361" spans="1:3" x14ac:dyDescent="0.25">
      <c r="A3361" s="223">
        <v>16.874400000000001</v>
      </c>
      <c r="B3361" s="458">
        <v>3.0228000000000001E-2</v>
      </c>
      <c r="C3361" t="str">
        <f t="shared" si="52"/>
        <v/>
      </c>
    </row>
    <row r="3362" spans="1:3" x14ac:dyDescent="0.25">
      <c r="A3362" s="223">
        <v>13.080500000000001</v>
      </c>
      <c r="B3362" s="458">
        <v>2.4870000000000001E-3</v>
      </c>
      <c r="C3362" t="str">
        <f t="shared" si="52"/>
        <v/>
      </c>
    </row>
    <row r="3363" spans="1:3" x14ac:dyDescent="0.25">
      <c r="A3363" s="223">
        <v>10.787100000000001</v>
      </c>
      <c r="B3363" s="458">
        <v>5.143E-3</v>
      </c>
      <c r="C3363" t="str">
        <f t="shared" si="52"/>
        <v/>
      </c>
    </row>
    <row r="3364" spans="1:3" x14ac:dyDescent="0.25">
      <c r="A3364" s="223">
        <v>7.3329899999999997</v>
      </c>
      <c r="B3364" s="458">
        <v>7.5299999999999998E-4</v>
      </c>
      <c r="C3364" t="str">
        <f t="shared" si="52"/>
        <v/>
      </c>
    </row>
    <row r="3365" spans="1:3" x14ac:dyDescent="0.25">
      <c r="A3365" s="223">
        <v>4.9264099999999997</v>
      </c>
      <c r="B3365" s="458">
        <v>1.6799999999999999E-4</v>
      </c>
      <c r="C3365" t="str">
        <f t="shared" si="52"/>
        <v/>
      </c>
    </row>
    <row r="3366" spans="1:3" x14ac:dyDescent="0.25">
      <c r="A3366" s="223">
        <v>2.3414600000000001</v>
      </c>
      <c r="B3366" s="458">
        <v>1.47E-4</v>
      </c>
      <c r="C3366" t="str">
        <f t="shared" si="52"/>
        <v/>
      </c>
    </row>
    <row r="3367" spans="1:3" x14ac:dyDescent="0.25">
      <c r="A3367" s="223">
        <v>38.505299999999998</v>
      </c>
      <c r="B3367" s="458">
        <v>1.165E-3</v>
      </c>
      <c r="C3367" t="str">
        <f t="shared" si="52"/>
        <v/>
      </c>
    </row>
    <row r="3368" spans="1:3" x14ac:dyDescent="0.25">
      <c r="A3368" s="223">
        <v>38.505299999999998</v>
      </c>
      <c r="B3368" s="458">
        <v>2.7290000000000001E-3</v>
      </c>
      <c r="C3368" t="str">
        <f t="shared" si="52"/>
        <v/>
      </c>
    </row>
    <row r="3369" spans="1:3" x14ac:dyDescent="0.25">
      <c r="A3369" s="223">
        <v>46.716000000000001</v>
      </c>
      <c r="B3369" s="458">
        <v>1.2070000000000001E-2</v>
      </c>
      <c r="C3369" t="str">
        <f t="shared" si="52"/>
        <v/>
      </c>
    </row>
    <row r="3370" spans="1:3" x14ac:dyDescent="0.25">
      <c r="A3370" s="223">
        <v>46.716000000000001</v>
      </c>
      <c r="B3370" s="458">
        <v>4.4609999999999997E-3</v>
      </c>
      <c r="C3370" t="str">
        <f t="shared" si="52"/>
        <v/>
      </c>
    </row>
    <row r="3371" spans="1:3" x14ac:dyDescent="0.25">
      <c r="A3371" s="223">
        <v>42.185899999999997</v>
      </c>
      <c r="B3371" s="458">
        <v>1.469E-3</v>
      </c>
      <c r="C3371" t="str">
        <f t="shared" si="52"/>
        <v/>
      </c>
    </row>
    <row r="3372" spans="1:3" x14ac:dyDescent="0.25">
      <c r="A3372" s="223">
        <v>42.752200000000002</v>
      </c>
      <c r="B3372" s="458">
        <v>3.1700000000000001E-3</v>
      </c>
      <c r="C3372" t="str">
        <f t="shared" si="52"/>
        <v/>
      </c>
    </row>
    <row r="3373" spans="1:3" x14ac:dyDescent="0.25">
      <c r="A3373" s="223">
        <v>41.336500000000001</v>
      </c>
      <c r="B3373" s="458">
        <v>3.9360000000000003E-3</v>
      </c>
      <c r="C3373" t="str">
        <f t="shared" si="52"/>
        <v/>
      </c>
    </row>
    <row r="3374" spans="1:3" x14ac:dyDescent="0.25">
      <c r="A3374" s="223">
        <v>41.053400000000003</v>
      </c>
      <c r="B3374" s="458">
        <v>4.0930000000000003E-3</v>
      </c>
      <c r="C3374" t="str">
        <f t="shared" si="52"/>
        <v/>
      </c>
    </row>
    <row r="3375" spans="1:3" x14ac:dyDescent="0.25">
      <c r="A3375" s="223">
        <v>108.438</v>
      </c>
      <c r="B3375" s="458">
        <v>1.7527839999999999</v>
      </c>
      <c r="C3375" t="str">
        <f t="shared" si="52"/>
        <v/>
      </c>
    </row>
    <row r="3376" spans="1:3" x14ac:dyDescent="0.25">
      <c r="A3376" s="223">
        <v>110.221</v>
      </c>
      <c r="B3376" s="458">
        <v>0.72000600000000003</v>
      </c>
      <c r="C3376" t="str">
        <f t="shared" si="52"/>
        <v/>
      </c>
    </row>
    <row r="3377" spans="1:3" x14ac:dyDescent="0.25">
      <c r="A3377" s="223">
        <v>124.01</v>
      </c>
      <c r="B3377" s="458">
        <v>0.173179</v>
      </c>
      <c r="C3377" t="str">
        <f t="shared" si="52"/>
        <v/>
      </c>
    </row>
    <row r="3378" spans="1:3" x14ac:dyDescent="0.25">
      <c r="A3378" s="223">
        <v>124.01</v>
      </c>
      <c r="B3378" s="458">
        <v>0.18157599999999999</v>
      </c>
      <c r="C3378" t="str">
        <f t="shared" si="52"/>
        <v/>
      </c>
    </row>
    <row r="3379" spans="1:3" x14ac:dyDescent="0.25">
      <c r="A3379" s="223">
        <v>143.54499999999999</v>
      </c>
      <c r="B3379" s="458">
        <v>3.4425940000000002</v>
      </c>
      <c r="C3379" t="str">
        <f t="shared" si="52"/>
        <v/>
      </c>
    </row>
    <row r="3380" spans="1:3" x14ac:dyDescent="0.25">
      <c r="A3380" s="223">
        <v>143.262</v>
      </c>
      <c r="B3380" s="458">
        <v>1.3434520000000001</v>
      </c>
      <c r="C3380" t="str">
        <f t="shared" si="52"/>
        <v/>
      </c>
    </row>
    <row r="3381" spans="1:3" x14ac:dyDescent="0.25">
      <c r="A3381" s="223">
        <v>140.99700000000001</v>
      </c>
      <c r="B3381" s="458">
        <v>2.6764070000000002</v>
      </c>
      <c r="C3381" t="str">
        <f t="shared" si="52"/>
        <v/>
      </c>
    </row>
    <row r="3382" spans="1:3" x14ac:dyDescent="0.25">
      <c r="A3382" s="223">
        <v>141.28</v>
      </c>
      <c r="B3382" s="458">
        <v>1.32246</v>
      </c>
      <c r="C3382" t="str">
        <f t="shared" si="52"/>
        <v/>
      </c>
    </row>
    <row r="3383" spans="1:3" x14ac:dyDescent="0.25">
      <c r="A3383" s="223">
        <v>139.86500000000001</v>
      </c>
      <c r="B3383" s="458">
        <v>1.5848530000000001</v>
      </c>
      <c r="C3383" t="str">
        <f t="shared" si="52"/>
        <v/>
      </c>
    </row>
    <row r="3384" spans="1:3" x14ac:dyDescent="0.25">
      <c r="A3384" s="223">
        <v>138.44900000000001</v>
      </c>
      <c r="B3384" s="458">
        <v>0.59720600000000001</v>
      </c>
      <c r="C3384" t="str">
        <f t="shared" si="52"/>
        <v/>
      </c>
    </row>
    <row r="3385" spans="1:3" x14ac:dyDescent="0.25">
      <c r="A3385" s="223">
        <v>108.155</v>
      </c>
      <c r="B3385" s="458">
        <v>8.2706000000000002E-2</v>
      </c>
      <c r="C3385" t="str">
        <f t="shared" si="52"/>
        <v/>
      </c>
    </row>
    <row r="3386" spans="1:3" x14ac:dyDescent="0.25">
      <c r="A3386" s="223">
        <v>108.155</v>
      </c>
      <c r="B3386" s="458">
        <v>5.6676999999999998E-2</v>
      </c>
      <c r="C3386" t="str">
        <f t="shared" si="52"/>
        <v/>
      </c>
    </row>
    <row r="3387" spans="1:3" x14ac:dyDescent="0.25">
      <c r="A3387" s="223">
        <v>98.245099999999994</v>
      </c>
      <c r="B3387" s="458">
        <v>2.5819000000000002E-2</v>
      </c>
      <c r="C3387" t="str">
        <f t="shared" si="52"/>
        <v/>
      </c>
    </row>
    <row r="3388" spans="1:3" x14ac:dyDescent="0.25">
      <c r="A3388" s="223">
        <v>98.245099999999994</v>
      </c>
      <c r="B3388" s="458">
        <v>0.18157599999999999</v>
      </c>
      <c r="C3388" t="str">
        <f t="shared" si="52"/>
        <v/>
      </c>
    </row>
    <row r="3389" spans="1:3" x14ac:dyDescent="0.25">
      <c r="A3389" s="223">
        <v>94.564400000000006</v>
      </c>
      <c r="B3389" s="458">
        <v>0.15323700000000001</v>
      </c>
      <c r="C3389" t="str">
        <f t="shared" si="52"/>
        <v/>
      </c>
    </row>
    <row r="3390" spans="1:3" x14ac:dyDescent="0.25">
      <c r="A3390" s="223">
        <v>93.715000000000003</v>
      </c>
      <c r="B3390" s="458">
        <v>0.19522</v>
      </c>
      <c r="C3390" t="str">
        <f t="shared" si="52"/>
        <v/>
      </c>
    </row>
    <row r="3391" spans="1:3" x14ac:dyDescent="0.25">
      <c r="A3391" s="223">
        <v>88.901899999999998</v>
      </c>
      <c r="B3391" s="458">
        <v>0.123849</v>
      </c>
      <c r="C3391" t="str">
        <f t="shared" ref="C3391:C3454" si="53">IF(B3391=0,"XXXXXXXX","")</f>
        <v/>
      </c>
    </row>
    <row r="3392" spans="1:3" x14ac:dyDescent="0.25">
      <c r="A3392" s="223">
        <v>88.901899999999998</v>
      </c>
      <c r="B3392" s="458">
        <v>0.15218799999999999</v>
      </c>
      <c r="C3392" t="str">
        <f t="shared" si="53"/>
        <v/>
      </c>
    </row>
    <row r="3393" spans="1:3" x14ac:dyDescent="0.25">
      <c r="A3393" s="223">
        <v>62.854199999999999</v>
      </c>
      <c r="B3393" s="458">
        <v>0.109155</v>
      </c>
      <c r="C3393" t="str">
        <f t="shared" si="53"/>
        <v/>
      </c>
    </row>
    <row r="3394" spans="1:3" x14ac:dyDescent="0.25">
      <c r="A3394" s="223">
        <v>62.854199999999999</v>
      </c>
      <c r="B3394" s="458">
        <v>5.1219000000000001E-2</v>
      </c>
      <c r="C3394" t="str">
        <f t="shared" si="53"/>
        <v/>
      </c>
    </row>
    <row r="3395" spans="1:3" x14ac:dyDescent="0.25">
      <c r="A3395" s="223">
        <v>63.986699999999999</v>
      </c>
      <c r="B3395" s="458">
        <v>6.1504999999999997E-2</v>
      </c>
      <c r="C3395" t="str">
        <f t="shared" si="53"/>
        <v/>
      </c>
    </row>
    <row r="3396" spans="1:3" x14ac:dyDescent="0.25">
      <c r="A3396" s="223">
        <v>63.986699999999999</v>
      </c>
      <c r="B3396" s="458">
        <v>9.1522999999999993E-2</v>
      </c>
      <c r="C3396" t="str">
        <f t="shared" si="53"/>
        <v/>
      </c>
    </row>
    <row r="3397" spans="1:3" x14ac:dyDescent="0.25">
      <c r="A3397" s="223">
        <v>51.246000000000002</v>
      </c>
      <c r="B3397" s="458">
        <v>4.1772999999999998E-2</v>
      </c>
      <c r="C3397" t="str">
        <f t="shared" si="53"/>
        <v/>
      </c>
    </row>
    <row r="3398" spans="1:3" x14ac:dyDescent="0.25">
      <c r="A3398" s="223">
        <v>51.5291</v>
      </c>
      <c r="B3398" s="458">
        <v>2.2671E-2</v>
      </c>
      <c r="C3398" t="str">
        <f t="shared" si="53"/>
        <v/>
      </c>
    </row>
    <row r="3399" spans="1:3" x14ac:dyDescent="0.25">
      <c r="A3399" s="223">
        <v>58.607300000000002</v>
      </c>
      <c r="B3399" s="458">
        <v>3.8834E-2</v>
      </c>
      <c r="C3399" t="str">
        <f t="shared" si="53"/>
        <v/>
      </c>
    </row>
    <row r="3400" spans="1:3" x14ac:dyDescent="0.25">
      <c r="A3400" s="223">
        <v>58.607300000000002</v>
      </c>
      <c r="B3400" s="458">
        <v>3.0543000000000001E-2</v>
      </c>
      <c r="C3400" t="str">
        <f t="shared" si="53"/>
        <v/>
      </c>
    </row>
    <row r="3401" spans="1:3" x14ac:dyDescent="0.25">
      <c r="A3401" s="223">
        <v>55.776000000000003</v>
      </c>
      <c r="B3401" s="458">
        <v>5.4683000000000002E-2</v>
      </c>
      <c r="C3401" t="str">
        <f t="shared" si="53"/>
        <v/>
      </c>
    </row>
    <row r="3402" spans="1:3" x14ac:dyDescent="0.25">
      <c r="A3402" s="223">
        <v>55.492899999999999</v>
      </c>
      <c r="B3402" s="458">
        <v>0.128048</v>
      </c>
      <c r="C3402" t="str">
        <f t="shared" si="53"/>
        <v/>
      </c>
    </row>
    <row r="3403" spans="1:3" x14ac:dyDescent="0.25">
      <c r="A3403" s="223">
        <v>53.511000000000003</v>
      </c>
      <c r="B3403" s="458">
        <v>9.5616000000000007E-2</v>
      </c>
      <c r="C3403" t="str">
        <f t="shared" si="53"/>
        <v/>
      </c>
    </row>
    <row r="3404" spans="1:3" x14ac:dyDescent="0.25">
      <c r="A3404" s="223">
        <v>53.511000000000003</v>
      </c>
      <c r="B3404" s="458">
        <v>6.0874999999999999E-2</v>
      </c>
      <c r="C3404" t="str">
        <f t="shared" si="53"/>
        <v/>
      </c>
    </row>
    <row r="3405" spans="1:3" x14ac:dyDescent="0.25">
      <c r="A3405" s="223">
        <v>40.487200000000001</v>
      </c>
      <c r="B3405" s="458">
        <v>3.7469999999999999E-3</v>
      </c>
      <c r="C3405" t="str">
        <f t="shared" si="53"/>
        <v/>
      </c>
    </row>
    <row r="3406" spans="1:3" x14ac:dyDescent="0.25">
      <c r="A3406" s="223">
        <v>40.204000000000001</v>
      </c>
      <c r="B3406" s="458">
        <v>2.1621000000000001E-2</v>
      </c>
      <c r="C3406" t="str">
        <f t="shared" si="53"/>
        <v/>
      </c>
    </row>
    <row r="3407" spans="1:3" x14ac:dyDescent="0.25">
      <c r="A3407" s="223">
        <v>41.053400000000003</v>
      </c>
      <c r="B3407" s="458">
        <v>8.659E-3</v>
      </c>
      <c r="C3407" t="str">
        <f t="shared" si="53"/>
        <v/>
      </c>
    </row>
    <row r="3408" spans="1:3" x14ac:dyDescent="0.25">
      <c r="A3408" s="223">
        <v>41.053400000000003</v>
      </c>
      <c r="B3408" s="458">
        <v>2.9703E-2</v>
      </c>
      <c r="C3408" t="str">
        <f t="shared" si="53"/>
        <v/>
      </c>
    </row>
    <row r="3409" spans="1:3" x14ac:dyDescent="0.25">
      <c r="A3409" s="223">
        <v>81.823700000000002</v>
      </c>
      <c r="B3409" s="458">
        <v>0.13434499999999999</v>
      </c>
      <c r="C3409" t="str">
        <f t="shared" si="53"/>
        <v/>
      </c>
    </row>
    <row r="3410" spans="1:3" x14ac:dyDescent="0.25">
      <c r="A3410" s="223">
        <v>82.106800000000007</v>
      </c>
      <c r="B3410" s="458">
        <v>8.6800000000000002E-2</v>
      </c>
      <c r="C3410" t="str">
        <f t="shared" si="53"/>
        <v/>
      </c>
    </row>
    <row r="3411" spans="1:3" x14ac:dyDescent="0.25">
      <c r="A3411" s="223">
        <v>93.148799999999994</v>
      </c>
      <c r="B3411" s="458">
        <v>0.55522300000000002</v>
      </c>
      <c r="C3411" t="str">
        <f t="shared" si="53"/>
        <v/>
      </c>
    </row>
    <row r="3412" spans="1:3" x14ac:dyDescent="0.25">
      <c r="A3412" s="223">
        <v>93.148799999999994</v>
      </c>
      <c r="B3412" s="458">
        <v>0.144841</v>
      </c>
      <c r="C3412" t="str">
        <f t="shared" si="53"/>
        <v/>
      </c>
    </row>
    <row r="3413" spans="1:3" x14ac:dyDescent="0.25">
      <c r="A3413" s="223">
        <v>93.148799999999994</v>
      </c>
      <c r="B3413" s="458">
        <v>5.6992000000000001E-2</v>
      </c>
      <c r="C3413" t="str">
        <f t="shared" si="53"/>
        <v/>
      </c>
    </row>
    <row r="3414" spans="1:3" x14ac:dyDescent="0.25">
      <c r="A3414" s="223">
        <v>93.148799999999994</v>
      </c>
      <c r="B3414" s="458">
        <v>0.106007</v>
      </c>
      <c r="C3414" t="str">
        <f t="shared" si="53"/>
        <v/>
      </c>
    </row>
    <row r="3415" spans="1:3" x14ac:dyDescent="0.25">
      <c r="A3415" s="223">
        <v>86.92</v>
      </c>
      <c r="B3415" s="458">
        <v>6.5073000000000006E-2</v>
      </c>
      <c r="C3415" t="str">
        <f t="shared" si="53"/>
        <v/>
      </c>
    </row>
    <row r="3416" spans="1:3" x14ac:dyDescent="0.25">
      <c r="A3416" s="223">
        <v>86.92</v>
      </c>
      <c r="B3416" s="458">
        <v>3.4636E-2</v>
      </c>
      <c r="C3416" t="str">
        <f t="shared" si="53"/>
        <v/>
      </c>
    </row>
    <row r="3417" spans="1:3" x14ac:dyDescent="0.25">
      <c r="A3417" s="223">
        <v>75.878</v>
      </c>
      <c r="B3417" s="458">
        <v>5.7620999999999999E-2</v>
      </c>
      <c r="C3417" t="str">
        <f t="shared" si="53"/>
        <v/>
      </c>
    </row>
    <row r="3418" spans="1:3" x14ac:dyDescent="0.25">
      <c r="A3418" s="223">
        <v>75.594899999999996</v>
      </c>
      <c r="B3418" s="458">
        <v>5.7411999999999998E-2</v>
      </c>
      <c r="C3418" t="str">
        <f t="shared" si="53"/>
        <v/>
      </c>
    </row>
    <row r="3419" spans="1:3" x14ac:dyDescent="0.25">
      <c r="A3419" s="223">
        <v>79.841800000000006</v>
      </c>
      <c r="B3419" s="458">
        <v>2.9597999999999999E-2</v>
      </c>
      <c r="C3419" t="str">
        <f t="shared" si="53"/>
        <v/>
      </c>
    </row>
    <row r="3420" spans="1:3" x14ac:dyDescent="0.25">
      <c r="A3420" s="223">
        <v>79.841800000000006</v>
      </c>
      <c r="B3420" s="458">
        <v>2.2880999999999999E-2</v>
      </c>
      <c r="C3420" t="str">
        <f t="shared" si="53"/>
        <v/>
      </c>
    </row>
    <row r="3421" spans="1:3" x14ac:dyDescent="0.25">
      <c r="A3421" s="223">
        <v>71.631100000000004</v>
      </c>
      <c r="B3421" s="458">
        <v>2.3720000000000001E-2</v>
      </c>
      <c r="C3421" t="str">
        <f t="shared" si="53"/>
        <v/>
      </c>
    </row>
    <row r="3422" spans="1:3" x14ac:dyDescent="0.25">
      <c r="A3422" s="223">
        <v>72.480500000000006</v>
      </c>
      <c r="B3422" s="458">
        <v>2.2251E-2</v>
      </c>
      <c r="C3422" t="str">
        <f t="shared" si="53"/>
        <v/>
      </c>
    </row>
    <row r="3423" spans="1:3" x14ac:dyDescent="0.25">
      <c r="A3423" s="223">
        <v>70.498599999999996</v>
      </c>
      <c r="B3423" s="458">
        <v>1.9837E-2</v>
      </c>
      <c r="C3423" t="str">
        <f t="shared" si="53"/>
        <v/>
      </c>
    </row>
    <row r="3424" spans="1:3" x14ac:dyDescent="0.25">
      <c r="A3424" s="223">
        <v>70.498599999999996</v>
      </c>
      <c r="B3424" s="458">
        <v>2.5085E-2</v>
      </c>
      <c r="C3424" t="str">
        <f t="shared" si="53"/>
        <v/>
      </c>
    </row>
    <row r="3425" spans="1:3" x14ac:dyDescent="0.25">
      <c r="A3425" s="223">
        <v>51.5291</v>
      </c>
      <c r="B3425" s="458">
        <v>1.3015000000000001E-2</v>
      </c>
      <c r="C3425" t="str">
        <f t="shared" si="53"/>
        <v/>
      </c>
    </row>
    <row r="3426" spans="1:3" x14ac:dyDescent="0.25">
      <c r="A3426" s="223">
        <v>51.246000000000002</v>
      </c>
      <c r="B3426" s="458">
        <v>4.9540000000000001E-2</v>
      </c>
      <c r="C3426" t="str">
        <f t="shared" si="53"/>
        <v/>
      </c>
    </row>
    <row r="3427" spans="1:3" x14ac:dyDescent="0.25">
      <c r="A3427" s="223">
        <v>12.825699999999999</v>
      </c>
      <c r="B3427" s="458">
        <v>3.7470000000000003E-2</v>
      </c>
      <c r="C3427" t="str">
        <f t="shared" si="53"/>
        <v/>
      </c>
    </row>
    <row r="3428" spans="1:3" x14ac:dyDescent="0.25">
      <c r="A3428" s="223">
        <v>13.052199999999999</v>
      </c>
      <c r="B3428" s="458">
        <v>7.6513999999999999E-2</v>
      </c>
      <c r="C3428" t="str">
        <f t="shared" si="53"/>
        <v/>
      </c>
    </row>
    <row r="3429" spans="1:3" x14ac:dyDescent="0.25">
      <c r="A3429" s="223">
        <v>14.241300000000001</v>
      </c>
      <c r="B3429" s="458">
        <v>0.184725</v>
      </c>
      <c r="C3429" t="str">
        <f t="shared" si="53"/>
        <v/>
      </c>
    </row>
    <row r="3430" spans="1:3" x14ac:dyDescent="0.25">
      <c r="A3430" s="223">
        <v>14.241300000000001</v>
      </c>
      <c r="B3430" s="458">
        <v>0.113354</v>
      </c>
      <c r="C3430" t="str">
        <f t="shared" si="53"/>
        <v/>
      </c>
    </row>
    <row r="3431" spans="1:3" x14ac:dyDescent="0.25">
      <c r="A3431" s="223">
        <v>14.609400000000001</v>
      </c>
      <c r="B3431" s="458">
        <v>0.24664900000000001</v>
      </c>
      <c r="C3431" t="str">
        <f t="shared" si="53"/>
        <v/>
      </c>
    </row>
    <row r="3432" spans="1:3" x14ac:dyDescent="0.25">
      <c r="A3432" s="223">
        <v>14.3545</v>
      </c>
      <c r="B3432" s="458">
        <v>0.42192800000000003</v>
      </c>
      <c r="C3432" t="str">
        <f t="shared" si="53"/>
        <v/>
      </c>
    </row>
    <row r="3433" spans="1:3" x14ac:dyDescent="0.25">
      <c r="A3433" s="223">
        <v>14.609400000000001</v>
      </c>
      <c r="B3433" s="458">
        <v>0.468109</v>
      </c>
      <c r="C3433" t="str">
        <f t="shared" si="53"/>
        <v/>
      </c>
    </row>
    <row r="3434" spans="1:3" x14ac:dyDescent="0.25">
      <c r="A3434" s="223">
        <v>14.4961</v>
      </c>
      <c r="B3434" s="458">
        <v>0.40303499999999998</v>
      </c>
      <c r="C3434" t="str">
        <f t="shared" si="53"/>
        <v/>
      </c>
    </row>
    <row r="3435" spans="1:3" x14ac:dyDescent="0.25">
      <c r="A3435" s="223">
        <v>16.874400000000001</v>
      </c>
      <c r="B3435" s="458">
        <v>0.84175599999999995</v>
      </c>
      <c r="C3435" t="str">
        <f t="shared" si="53"/>
        <v/>
      </c>
    </row>
    <row r="3436" spans="1:3" x14ac:dyDescent="0.25">
      <c r="A3436" s="223">
        <v>16.874400000000001</v>
      </c>
      <c r="B3436" s="458">
        <v>0.468109</v>
      </c>
      <c r="C3436" t="str">
        <f t="shared" si="53"/>
        <v/>
      </c>
    </row>
    <row r="3437" spans="1:3" x14ac:dyDescent="0.25">
      <c r="A3437" s="223">
        <v>15.741899999999999</v>
      </c>
      <c r="B3437" s="458">
        <v>0.44186999999999999</v>
      </c>
      <c r="C3437" t="str">
        <f t="shared" si="53"/>
        <v/>
      </c>
    </row>
    <row r="3438" spans="1:3" x14ac:dyDescent="0.25">
      <c r="A3438" s="223">
        <v>15.600300000000001</v>
      </c>
      <c r="B3438" s="458">
        <v>0.43767099999999998</v>
      </c>
      <c r="C3438" t="str">
        <f t="shared" si="53"/>
        <v/>
      </c>
    </row>
    <row r="3439" spans="1:3" x14ac:dyDescent="0.25">
      <c r="A3439" s="223">
        <v>13.646699999999999</v>
      </c>
      <c r="B3439" s="458">
        <v>0.15848499999999999</v>
      </c>
      <c r="C3439" t="str">
        <f t="shared" si="53"/>
        <v/>
      </c>
    </row>
    <row r="3440" spans="1:3" x14ac:dyDescent="0.25">
      <c r="A3440" s="223">
        <v>13.646699999999999</v>
      </c>
      <c r="B3440" s="458">
        <v>0.29807800000000001</v>
      </c>
      <c r="C3440" t="str">
        <f t="shared" si="53"/>
        <v/>
      </c>
    </row>
    <row r="3441" spans="1:3" x14ac:dyDescent="0.25">
      <c r="A3441" s="223">
        <v>11.4383</v>
      </c>
      <c r="B3441" s="458">
        <v>0.20571600000000001</v>
      </c>
      <c r="C3441" t="str">
        <f t="shared" si="53"/>
        <v/>
      </c>
    </row>
    <row r="3442" spans="1:3" x14ac:dyDescent="0.25">
      <c r="A3442" s="223">
        <v>11.4383</v>
      </c>
      <c r="B3442" s="458">
        <v>0.189972</v>
      </c>
      <c r="C3442" t="str">
        <f t="shared" si="53"/>
        <v/>
      </c>
    </row>
    <row r="3443" spans="1:3" x14ac:dyDescent="0.25">
      <c r="A3443" s="223">
        <v>12.2311</v>
      </c>
      <c r="B3443" s="458">
        <v>6.0034999999999998E-2</v>
      </c>
      <c r="C3443" t="str">
        <f t="shared" si="53"/>
        <v/>
      </c>
    </row>
    <row r="3444" spans="1:3" x14ac:dyDescent="0.25">
      <c r="A3444" s="223">
        <v>12.2311</v>
      </c>
      <c r="B3444" s="458">
        <v>0.23510400000000001</v>
      </c>
      <c r="C3444" t="str">
        <f t="shared" si="53"/>
        <v/>
      </c>
    </row>
    <row r="3445" spans="1:3" x14ac:dyDescent="0.25">
      <c r="A3445" s="223">
        <v>12.2311</v>
      </c>
      <c r="B3445" s="458">
        <v>0.12594900000000001</v>
      </c>
      <c r="C3445" t="str">
        <f t="shared" si="53"/>
        <v/>
      </c>
    </row>
    <row r="3446" spans="1:3" x14ac:dyDescent="0.25">
      <c r="A3446" s="223">
        <v>12.2311</v>
      </c>
      <c r="B3446" s="458">
        <v>9.1313000000000005E-2</v>
      </c>
      <c r="C3446" t="str">
        <f t="shared" si="53"/>
        <v/>
      </c>
    </row>
    <row r="3447" spans="1:3" x14ac:dyDescent="0.25">
      <c r="A3447" s="223">
        <v>11.325100000000001</v>
      </c>
      <c r="B3447" s="458">
        <v>9.3937000000000007E-2</v>
      </c>
      <c r="C3447" t="str">
        <f t="shared" si="53"/>
        <v/>
      </c>
    </row>
    <row r="3448" spans="1:3" x14ac:dyDescent="0.25">
      <c r="A3448" s="223">
        <v>11.325100000000001</v>
      </c>
      <c r="B3448" s="458">
        <v>0.124899</v>
      </c>
      <c r="C3448" t="str">
        <f t="shared" si="53"/>
        <v/>
      </c>
    </row>
    <row r="3449" spans="1:3" x14ac:dyDescent="0.25">
      <c r="A3449" s="223">
        <v>11.098599999999999</v>
      </c>
      <c r="B3449" s="458">
        <v>7.9767000000000005E-2</v>
      </c>
      <c r="C3449" t="str">
        <f t="shared" si="53"/>
        <v/>
      </c>
    </row>
    <row r="3450" spans="1:3" x14ac:dyDescent="0.25">
      <c r="A3450" s="223">
        <v>11.098599999999999</v>
      </c>
      <c r="B3450" s="458">
        <v>9.0578000000000006E-2</v>
      </c>
      <c r="C3450" t="str">
        <f t="shared" si="53"/>
        <v/>
      </c>
    </row>
    <row r="3451" spans="1:3" x14ac:dyDescent="0.25">
      <c r="A3451" s="223">
        <v>10.0227</v>
      </c>
      <c r="B3451" s="458">
        <v>2.1305999999999999E-2</v>
      </c>
      <c r="C3451" t="str">
        <f t="shared" si="53"/>
        <v/>
      </c>
    </row>
    <row r="3452" spans="1:3" x14ac:dyDescent="0.25">
      <c r="A3452" s="223">
        <v>10.0227</v>
      </c>
      <c r="B3452" s="458">
        <v>2.3300000000000001E-2</v>
      </c>
      <c r="C3452" t="str">
        <f t="shared" si="53"/>
        <v/>
      </c>
    </row>
    <row r="3453" spans="1:3" x14ac:dyDescent="0.25">
      <c r="A3453" s="223">
        <v>7.4745499999999998</v>
      </c>
      <c r="B3453" s="458">
        <v>7.9769999999999997E-3</v>
      </c>
      <c r="C3453" t="str">
        <f t="shared" si="53"/>
        <v/>
      </c>
    </row>
    <row r="3454" spans="1:3" x14ac:dyDescent="0.25">
      <c r="A3454" s="223">
        <v>7.5877999999999997</v>
      </c>
      <c r="B3454" s="458">
        <v>9.0259999999999993E-3</v>
      </c>
      <c r="C3454" t="str">
        <f t="shared" si="53"/>
        <v/>
      </c>
    </row>
    <row r="3455" spans="1:3" x14ac:dyDescent="0.25">
      <c r="A3455" s="223">
        <v>11.098599999999999</v>
      </c>
      <c r="B3455" s="458">
        <v>5.2898000000000001E-2</v>
      </c>
      <c r="C3455" t="str">
        <f t="shared" ref="C3455:C3518" si="54">IF(B3455=0,"XXXXXXXX","")</f>
        <v/>
      </c>
    </row>
    <row r="3456" spans="1:3" x14ac:dyDescent="0.25">
      <c r="A3456" s="223">
        <v>11.098599999999999</v>
      </c>
      <c r="B3456" s="458">
        <v>8.8793999999999998E-2</v>
      </c>
      <c r="C3456" t="str">
        <f t="shared" si="54"/>
        <v/>
      </c>
    </row>
    <row r="3457" spans="1:3" x14ac:dyDescent="0.25">
      <c r="A3457" s="223">
        <v>13.646699999999999</v>
      </c>
      <c r="B3457" s="458">
        <v>9.9080000000000001E-2</v>
      </c>
      <c r="C3457" t="str">
        <f t="shared" si="54"/>
        <v/>
      </c>
    </row>
    <row r="3458" spans="1:3" x14ac:dyDescent="0.25">
      <c r="A3458" s="223">
        <v>13.646699999999999</v>
      </c>
      <c r="B3458" s="458">
        <v>0.43452299999999999</v>
      </c>
      <c r="C3458" t="str">
        <f t="shared" si="54"/>
        <v/>
      </c>
    </row>
    <row r="3459" spans="1:3" x14ac:dyDescent="0.25">
      <c r="A3459" s="223">
        <v>18.997800000000002</v>
      </c>
      <c r="B3459" s="458">
        <v>0.132246</v>
      </c>
      <c r="C3459" t="str">
        <f t="shared" si="54"/>
        <v/>
      </c>
    </row>
    <row r="3460" spans="1:3" x14ac:dyDescent="0.25">
      <c r="A3460" s="223">
        <v>18.997800000000002</v>
      </c>
      <c r="B3460" s="458">
        <v>0.207815</v>
      </c>
      <c r="C3460" t="str">
        <f t="shared" si="54"/>
        <v/>
      </c>
    </row>
    <row r="3461" spans="1:3" x14ac:dyDescent="0.25">
      <c r="A3461" s="223">
        <v>19.818899999999999</v>
      </c>
      <c r="B3461" s="458">
        <v>0.92991999999999997</v>
      </c>
      <c r="C3461" t="str">
        <f t="shared" si="54"/>
        <v/>
      </c>
    </row>
    <row r="3462" spans="1:3" x14ac:dyDescent="0.25">
      <c r="A3462" s="223">
        <v>19.818899999999999</v>
      </c>
      <c r="B3462" s="458">
        <v>0.29493000000000003</v>
      </c>
      <c r="C3462" t="str">
        <f t="shared" si="54"/>
        <v/>
      </c>
    </row>
    <row r="3463" spans="1:3" x14ac:dyDescent="0.25">
      <c r="A3463" s="223">
        <v>19.818899999999999</v>
      </c>
      <c r="B3463" s="458">
        <v>1.217503</v>
      </c>
      <c r="C3463" t="str">
        <f t="shared" si="54"/>
        <v/>
      </c>
    </row>
    <row r="3464" spans="1:3" x14ac:dyDescent="0.25">
      <c r="A3464" s="223">
        <v>19.677299999999999</v>
      </c>
      <c r="B3464" s="458">
        <v>0.41667999999999999</v>
      </c>
      <c r="C3464" t="str">
        <f t="shared" si="54"/>
        <v/>
      </c>
    </row>
    <row r="3465" spans="1:3" x14ac:dyDescent="0.25">
      <c r="A3465" s="223">
        <v>20.923100000000002</v>
      </c>
      <c r="B3465" s="458">
        <v>0.202567</v>
      </c>
      <c r="C3465" t="str">
        <f t="shared" si="54"/>
        <v/>
      </c>
    </row>
    <row r="3466" spans="1:3" x14ac:dyDescent="0.25">
      <c r="A3466" s="223">
        <v>20.64</v>
      </c>
      <c r="B3466" s="458">
        <v>0.29493000000000003</v>
      </c>
      <c r="C3466" t="str">
        <f t="shared" si="54"/>
        <v/>
      </c>
    </row>
    <row r="3467" spans="1:3" x14ac:dyDescent="0.25">
      <c r="A3467" s="223">
        <v>20.923100000000002</v>
      </c>
      <c r="B3467" s="458">
        <v>0.19941900000000001</v>
      </c>
      <c r="C3467" t="str">
        <f t="shared" si="54"/>
        <v/>
      </c>
    </row>
    <row r="3468" spans="1:3" x14ac:dyDescent="0.25">
      <c r="A3468" s="223">
        <v>20.923100000000002</v>
      </c>
      <c r="B3468" s="458">
        <v>0.41982900000000001</v>
      </c>
      <c r="C3468" t="str">
        <f t="shared" si="54"/>
        <v/>
      </c>
    </row>
    <row r="3469" spans="1:3" x14ac:dyDescent="0.25">
      <c r="A3469" s="223">
        <v>18.997800000000002</v>
      </c>
      <c r="B3469" s="458">
        <v>0.71055999999999997</v>
      </c>
      <c r="C3469" t="str">
        <f t="shared" si="54"/>
        <v/>
      </c>
    </row>
    <row r="3470" spans="1:3" x14ac:dyDescent="0.25">
      <c r="A3470" s="223">
        <v>18.997800000000002</v>
      </c>
      <c r="B3470" s="458">
        <v>0.43557200000000001</v>
      </c>
      <c r="C3470" t="str">
        <f t="shared" si="54"/>
        <v/>
      </c>
    </row>
    <row r="3471" spans="1:3" x14ac:dyDescent="0.25">
      <c r="A3471" s="223">
        <v>18.714700000000001</v>
      </c>
      <c r="B3471" s="458">
        <v>1.3434520000000001</v>
      </c>
      <c r="C3471" t="str">
        <f t="shared" si="54"/>
        <v/>
      </c>
    </row>
    <row r="3472" spans="1:3" x14ac:dyDescent="0.25">
      <c r="A3472" s="223">
        <v>15.8551</v>
      </c>
      <c r="B3472" s="458">
        <v>6.1295000000000002E-2</v>
      </c>
      <c r="C3472" t="str">
        <f t="shared" si="54"/>
        <v/>
      </c>
    </row>
    <row r="3473" spans="1:3" x14ac:dyDescent="0.25">
      <c r="A3473" s="223">
        <v>15.8551</v>
      </c>
      <c r="B3473" s="458">
        <v>0.30437599999999998</v>
      </c>
      <c r="C3473" t="str">
        <f t="shared" si="54"/>
        <v/>
      </c>
    </row>
    <row r="3474" spans="1:3" x14ac:dyDescent="0.25">
      <c r="A3474" s="223">
        <v>13.5335</v>
      </c>
      <c r="B3474" s="458">
        <v>0.202567</v>
      </c>
      <c r="C3474" t="str">
        <f t="shared" si="54"/>
        <v/>
      </c>
    </row>
    <row r="3475" spans="1:3" x14ac:dyDescent="0.25">
      <c r="A3475" s="223">
        <v>10.560600000000001</v>
      </c>
      <c r="B3475" s="458">
        <v>8.4176000000000001E-2</v>
      </c>
      <c r="C3475" t="str">
        <f t="shared" si="54"/>
        <v/>
      </c>
    </row>
    <row r="3476" spans="1:3" x14ac:dyDescent="0.25">
      <c r="A3476" s="223">
        <v>10.560600000000001</v>
      </c>
      <c r="B3476" s="458">
        <v>8.5014999999999993E-2</v>
      </c>
      <c r="C3476" t="str">
        <f t="shared" si="54"/>
        <v/>
      </c>
    </row>
    <row r="3477" spans="1:3" x14ac:dyDescent="0.25">
      <c r="A3477" s="223">
        <v>108.438</v>
      </c>
      <c r="B3477" s="458">
        <v>4.3872000000000001E-2</v>
      </c>
      <c r="C3477" t="str">
        <f t="shared" si="54"/>
        <v/>
      </c>
    </row>
    <row r="3478" spans="1:3" x14ac:dyDescent="0.25">
      <c r="A3478" s="223">
        <v>108.438</v>
      </c>
      <c r="B3478" s="458">
        <v>5.2269000000000003E-2</v>
      </c>
      <c r="C3478" t="str">
        <f t="shared" si="54"/>
        <v/>
      </c>
    </row>
    <row r="3479" spans="1:3" x14ac:dyDescent="0.25">
      <c r="A3479" s="223">
        <v>302.94600000000003</v>
      </c>
      <c r="B3479" s="458">
        <v>0.70741100000000001</v>
      </c>
      <c r="C3479" t="str">
        <f t="shared" si="54"/>
        <v/>
      </c>
    </row>
    <row r="3480" spans="1:3" x14ac:dyDescent="0.25">
      <c r="A3480" s="223">
        <v>302.94600000000003</v>
      </c>
      <c r="B3480" s="458">
        <v>0.54052900000000004</v>
      </c>
      <c r="C3480" t="str">
        <f t="shared" si="54"/>
        <v/>
      </c>
    </row>
    <row r="3481" spans="1:3" x14ac:dyDescent="0.25">
      <c r="A3481" s="223">
        <v>351.077</v>
      </c>
      <c r="B3481" s="458">
        <v>1.2070069999999999</v>
      </c>
      <c r="C3481" t="str">
        <f t="shared" si="54"/>
        <v/>
      </c>
    </row>
    <row r="3482" spans="1:3" x14ac:dyDescent="0.25">
      <c r="A3482" s="223">
        <v>351.077</v>
      </c>
      <c r="B3482" s="458">
        <v>1.0705629999999999</v>
      </c>
      <c r="C3482" t="str">
        <f t="shared" si="54"/>
        <v/>
      </c>
    </row>
    <row r="3483" spans="1:3" x14ac:dyDescent="0.25">
      <c r="A3483" s="223">
        <v>453.00299999999999</v>
      </c>
      <c r="B3483" s="458">
        <v>1.8682369999999999</v>
      </c>
      <c r="C3483" t="str">
        <f t="shared" si="54"/>
        <v/>
      </c>
    </row>
    <row r="3484" spans="1:3" x14ac:dyDescent="0.25">
      <c r="A3484" s="223">
        <v>498.30399999999997</v>
      </c>
      <c r="B3484" s="458">
        <v>14.27417</v>
      </c>
      <c r="C3484" t="str">
        <f t="shared" si="54"/>
        <v/>
      </c>
    </row>
    <row r="3485" spans="1:3" x14ac:dyDescent="0.25">
      <c r="A3485" s="223">
        <v>498.30399999999997</v>
      </c>
      <c r="B3485" s="458">
        <v>44.39687</v>
      </c>
      <c r="C3485" t="str">
        <f t="shared" si="54"/>
        <v/>
      </c>
    </row>
    <row r="3486" spans="1:3" x14ac:dyDescent="0.25">
      <c r="A3486" s="223">
        <v>472.822</v>
      </c>
      <c r="B3486" s="458">
        <v>20.466640000000002</v>
      </c>
      <c r="C3486" t="str">
        <f t="shared" si="54"/>
        <v/>
      </c>
    </row>
    <row r="3487" spans="1:3" x14ac:dyDescent="0.25">
      <c r="A3487" s="223">
        <v>469.99099999999999</v>
      </c>
      <c r="B3487" s="458">
        <v>8.9633409999999998</v>
      </c>
      <c r="C3487" t="str">
        <f t="shared" si="54"/>
        <v/>
      </c>
    </row>
    <row r="3488" spans="1:3" x14ac:dyDescent="0.25">
      <c r="A3488" s="223">
        <v>455.834</v>
      </c>
      <c r="B3488" s="458">
        <v>11.0205</v>
      </c>
      <c r="C3488" t="str">
        <f t="shared" si="54"/>
        <v/>
      </c>
    </row>
    <row r="3489" spans="1:3" x14ac:dyDescent="0.25">
      <c r="A3489" s="223">
        <v>455.834</v>
      </c>
      <c r="B3489" s="458">
        <v>8.1341789999999996</v>
      </c>
      <c r="C3489" t="str">
        <f t="shared" si="54"/>
        <v/>
      </c>
    </row>
    <row r="3490" spans="1:3" x14ac:dyDescent="0.25">
      <c r="A3490" s="223">
        <v>450.17200000000003</v>
      </c>
      <c r="B3490" s="458">
        <v>12.17503</v>
      </c>
      <c r="C3490" t="str">
        <f t="shared" si="54"/>
        <v/>
      </c>
    </row>
    <row r="3491" spans="1:3" x14ac:dyDescent="0.25">
      <c r="A3491" s="223">
        <v>450.17200000000003</v>
      </c>
      <c r="B3491" s="458">
        <v>3.6525089999999998</v>
      </c>
      <c r="C3491" t="str">
        <f t="shared" si="54"/>
        <v/>
      </c>
    </row>
    <row r="3492" spans="1:3" x14ac:dyDescent="0.25">
      <c r="A3492" s="223">
        <v>447.34100000000001</v>
      </c>
      <c r="B3492" s="458">
        <v>20.361689999999999</v>
      </c>
      <c r="C3492" t="str">
        <f t="shared" si="54"/>
        <v/>
      </c>
    </row>
    <row r="3493" spans="1:3" x14ac:dyDescent="0.25">
      <c r="A3493" s="223">
        <v>447.34100000000001</v>
      </c>
      <c r="B3493" s="458">
        <v>8.4805379999999992</v>
      </c>
      <c r="C3493" t="str">
        <f t="shared" si="54"/>
        <v/>
      </c>
    </row>
    <row r="3494" spans="1:3" x14ac:dyDescent="0.25">
      <c r="A3494" s="223">
        <v>342.584</v>
      </c>
      <c r="B3494" s="458">
        <v>0.97400200000000003</v>
      </c>
      <c r="C3494" t="str">
        <f t="shared" si="54"/>
        <v/>
      </c>
    </row>
    <row r="3495" spans="1:3" x14ac:dyDescent="0.25">
      <c r="A3495" s="223">
        <v>342.584</v>
      </c>
      <c r="B3495" s="458">
        <v>2.3825270000000001</v>
      </c>
      <c r="C3495" t="str">
        <f t="shared" si="54"/>
        <v/>
      </c>
    </row>
    <row r="3496" spans="1:3" x14ac:dyDescent="0.25">
      <c r="A3496" s="223">
        <v>339.75200000000001</v>
      </c>
      <c r="B3496" s="458">
        <v>2.0256729999999998</v>
      </c>
      <c r="C3496" t="str">
        <f t="shared" si="54"/>
        <v/>
      </c>
    </row>
    <row r="3497" spans="1:3" x14ac:dyDescent="0.25">
      <c r="A3497" s="223">
        <v>339.75200000000001</v>
      </c>
      <c r="B3497" s="458">
        <v>1.3959299999999999</v>
      </c>
      <c r="C3497" t="str">
        <f t="shared" si="54"/>
        <v/>
      </c>
    </row>
    <row r="3498" spans="1:3" x14ac:dyDescent="0.25">
      <c r="A3498" s="223">
        <v>362.40300000000002</v>
      </c>
      <c r="B3498" s="458">
        <v>3.8099449999999999</v>
      </c>
      <c r="C3498" t="str">
        <f t="shared" si="54"/>
        <v/>
      </c>
    </row>
    <row r="3499" spans="1:3" x14ac:dyDescent="0.25">
      <c r="A3499" s="223">
        <v>362.40300000000002</v>
      </c>
      <c r="B3499" s="458">
        <v>5.8356170000000001</v>
      </c>
      <c r="C3499" t="str">
        <f t="shared" si="54"/>
        <v/>
      </c>
    </row>
    <row r="3500" spans="1:3" x14ac:dyDescent="0.25">
      <c r="A3500" s="223">
        <v>404.87200000000001</v>
      </c>
      <c r="B3500" s="458">
        <v>1.54287</v>
      </c>
      <c r="C3500" t="str">
        <f t="shared" si="54"/>
        <v/>
      </c>
    </row>
    <row r="3501" spans="1:3" x14ac:dyDescent="0.25">
      <c r="A3501" s="223">
        <v>407.70299999999997</v>
      </c>
      <c r="B3501" s="458">
        <v>3.1382189999999999</v>
      </c>
      <c r="C3501" t="str">
        <f t="shared" si="54"/>
        <v/>
      </c>
    </row>
    <row r="3502" spans="1:3" x14ac:dyDescent="0.25">
      <c r="A3502" s="223">
        <v>526.61599999999999</v>
      </c>
      <c r="B3502" s="458">
        <v>2.896817</v>
      </c>
      <c r="C3502" t="str">
        <f t="shared" si="54"/>
        <v/>
      </c>
    </row>
    <row r="3503" spans="1:3" x14ac:dyDescent="0.25">
      <c r="A3503" s="223">
        <v>526.61599999999999</v>
      </c>
      <c r="B3503" s="458">
        <v>3.7364739999999999</v>
      </c>
      <c r="C3503" t="str">
        <f t="shared" si="54"/>
        <v/>
      </c>
    </row>
    <row r="3504" spans="1:3" x14ac:dyDescent="0.25">
      <c r="A3504" s="223">
        <v>523.78499999999997</v>
      </c>
      <c r="B3504" s="458">
        <v>13.01469</v>
      </c>
      <c r="C3504" t="str">
        <f t="shared" si="54"/>
        <v/>
      </c>
    </row>
    <row r="3505" spans="1:3" x14ac:dyDescent="0.25">
      <c r="A3505" s="223">
        <v>523.78499999999997</v>
      </c>
      <c r="B3505" s="458">
        <v>5.3003359999999997</v>
      </c>
      <c r="C3505" t="str">
        <f t="shared" si="54"/>
        <v/>
      </c>
    </row>
    <row r="3506" spans="1:3" x14ac:dyDescent="0.25">
      <c r="A3506" s="223">
        <v>506.79700000000003</v>
      </c>
      <c r="B3506" s="458">
        <v>8.9318530000000003</v>
      </c>
      <c r="C3506" t="str">
        <f t="shared" si="54"/>
        <v/>
      </c>
    </row>
    <row r="3507" spans="1:3" x14ac:dyDescent="0.25">
      <c r="A3507" s="223">
        <v>506.79700000000003</v>
      </c>
      <c r="B3507" s="458">
        <v>25.29467</v>
      </c>
      <c r="C3507" t="str">
        <f t="shared" si="54"/>
        <v/>
      </c>
    </row>
    <row r="3508" spans="1:3" x14ac:dyDescent="0.25">
      <c r="A3508" s="223">
        <v>526.61599999999999</v>
      </c>
      <c r="B3508" s="458">
        <v>13.11964</v>
      </c>
      <c r="C3508" t="str">
        <f t="shared" si="54"/>
        <v/>
      </c>
    </row>
    <row r="3509" spans="1:3" x14ac:dyDescent="0.25">
      <c r="A3509" s="223">
        <v>526.61599999999999</v>
      </c>
      <c r="B3509" s="458">
        <v>15.323740000000001</v>
      </c>
      <c r="C3509" t="str">
        <f t="shared" si="54"/>
        <v/>
      </c>
    </row>
    <row r="3510" spans="1:3" x14ac:dyDescent="0.25">
      <c r="A3510" s="223">
        <v>540.77300000000002</v>
      </c>
      <c r="B3510" s="458">
        <v>37.994489999999999</v>
      </c>
      <c r="C3510" t="str">
        <f t="shared" si="54"/>
        <v/>
      </c>
    </row>
    <row r="3511" spans="1:3" x14ac:dyDescent="0.25">
      <c r="A3511" s="223">
        <v>540.77300000000002</v>
      </c>
      <c r="B3511" s="458">
        <v>45.446449999999999</v>
      </c>
      <c r="C3511" t="str">
        <f t="shared" si="54"/>
        <v/>
      </c>
    </row>
    <row r="3512" spans="1:3" x14ac:dyDescent="0.25">
      <c r="A3512" s="223">
        <v>540.77300000000002</v>
      </c>
      <c r="B3512" s="458">
        <v>18.682369999999999</v>
      </c>
      <c r="C3512" t="str">
        <f t="shared" si="54"/>
        <v/>
      </c>
    </row>
    <row r="3513" spans="1:3" x14ac:dyDescent="0.25">
      <c r="A3513" s="223">
        <v>540.77300000000002</v>
      </c>
      <c r="B3513" s="458">
        <v>15.11383</v>
      </c>
      <c r="C3513" t="str">
        <f t="shared" si="54"/>
        <v/>
      </c>
    </row>
    <row r="3514" spans="1:3" x14ac:dyDescent="0.25">
      <c r="A3514" s="223">
        <v>540.77300000000002</v>
      </c>
      <c r="B3514" s="458">
        <v>10.495710000000001</v>
      </c>
      <c r="C3514" t="str">
        <f t="shared" si="54"/>
        <v/>
      </c>
    </row>
    <row r="3515" spans="1:3" x14ac:dyDescent="0.25">
      <c r="A3515" s="223">
        <v>540.77300000000002</v>
      </c>
      <c r="B3515" s="458">
        <v>33.166460000000001</v>
      </c>
      <c r="C3515" t="str">
        <f t="shared" si="54"/>
        <v/>
      </c>
    </row>
    <row r="3516" spans="1:3" x14ac:dyDescent="0.25">
      <c r="A3516" s="223">
        <v>540.77300000000002</v>
      </c>
      <c r="B3516" s="458">
        <v>13.434519999999999</v>
      </c>
      <c r="C3516" t="str">
        <f t="shared" si="54"/>
        <v/>
      </c>
    </row>
    <row r="3517" spans="1:3" x14ac:dyDescent="0.25">
      <c r="A3517" s="223">
        <v>537.94100000000003</v>
      </c>
      <c r="B3517" s="458">
        <v>12.27999</v>
      </c>
      <c r="C3517" t="str">
        <f t="shared" si="54"/>
        <v/>
      </c>
    </row>
    <row r="3518" spans="1:3" x14ac:dyDescent="0.25">
      <c r="A3518" s="223">
        <v>535.11</v>
      </c>
      <c r="B3518" s="458">
        <v>3.7679619999999998</v>
      </c>
      <c r="C3518" t="str">
        <f t="shared" si="54"/>
        <v/>
      </c>
    </row>
    <row r="3519" spans="1:3" x14ac:dyDescent="0.25">
      <c r="A3519" s="223">
        <v>535.11</v>
      </c>
      <c r="B3519" s="458">
        <v>2.6029369999999998</v>
      </c>
      <c r="C3519" t="str">
        <f t="shared" ref="C3519:C3582" si="55">IF(B3519=0,"XXXXXXXX","")</f>
        <v/>
      </c>
    </row>
    <row r="3520" spans="1:3" x14ac:dyDescent="0.25">
      <c r="A3520" s="223">
        <v>537.94100000000003</v>
      </c>
      <c r="B3520" s="458">
        <v>2.8863219999999998</v>
      </c>
      <c r="C3520" t="str">
        <f t="shared" si="55"/>
        <v/>
      </c>
    </row>
    <row r="3521" spans="1:3" x14ac:dyDescent="0.25">
      <c r="A3521" s="223">
        <v>537.94100000000003</v>
      </c>
      <c r="B3521" s="458">
        <v>7.3470000000000004</v>
      </c>
      <c r="C3521" t="str">
        <f t="shared" si="55"/>
        <v/>
      </c>
    </row>
    <row r="3522" spans="1:3" x14ac:dyDescent="0.25">
      <c r="A3522" s="223">
        <v>540.77300000000002</v>
      </c>
      <c r="B3522" s="458">
        <v>4.1563030000000003</v>
      </c>
      <c r="C3522" t="str">
        <f t="shared" si="55"/>
        <v/>
      </c>
    </row>
    <row r="3523" spans="1:3" x14ac:dyDescent="0.25">
      <c r="A3523" s="223">
        <v>540.77300000000002</v>
      </c>
      <c r="B3523" s="458">
        <v>4.1563030000000003</v>
      </c>
      <c r="C3523" t="str">
        <f t="shared" si="55"/>
        <v/>
      </c>
    </row>
    <row r="3524" spans="1:3" x14ac:dyDescent="0.25">
      <c r="A3524" s="223">
        <v>481.31599999999997</v>
      </c>
      <c r="B3524" s="458">
        <v>9.3411860000000004</v>
      </c>
      <c r="C3524" t="str">
        <f t="shared" si="55"/>
        <v/>
      </c>
    </row>
    <row r="3525" spans="1:3" x14ac:dyDescent="0.25">
      <c r="A3525" s="223">
        <v>481.31599999999997</v>
      </c>
      <c r="B3525" s="458">
        <v>10.600669999999999</v>
      </c>
      <c r="C3525" t="str">
        <f t="shared" si="55"/>
        <v/>
      </c>
    </row>
    <row r="3526" spans="1:3" x14ac:dyDescent="0.25">
      <c r="A3526" s="223">
        <v>464.32799999999997</v>
      </c>
      <c r="B3526" s="458">
        <v>12.90973</v>
      </c>
      <c r="C3526" t="str">
        <f t="shared" si="55"/>
        <v/>
      </c>
    </row>
    <row r="3527" spans="1:3" x14ac:dyDescent="0.25">
      <c r="A3527" s="223">
        <v>464.32799999999997</v>
      </c>
      <c r="B3527" s="458">
        <v>2.340544</v>
      </c>
      <c r="C3527" t="str">
        <f t="shared" si="55"/>
        <v/>
      </c>
    </row>
    <row r="3528" spans="1:3" x14ac:dyDescent="0.25">
      <c r="A3528" s="223">
        <v>427.52199999999999</v>
      </c>
      <c r="B3528" s="458">
        <v>12.80477</v>
      </c>
      <c r="C3528" t="str">
        <f t="shared" si="55"/>
        <v/>
      </c>
    </row>
    <row r="3529" spans="1:3" x14ac:dyDescent="0.25">
      <c r="A3529" s="223">
        <v>424.69099999999997</v>
      </c>
      <c r="B3529" s="458">
        <v>10.91554</v>
      </c>
      <c r="C3529" t="str">
        <f t="shared" si="55"/>
        <v/>
      </c>
    </row>
    <row r="3530" spans="1:3" x14ac:dyDescent="0.25">
      <c r="A3530" s="223">
        <v>353.90899999999999</v>
      </c>
      <c r="B3530" s="458">
        <v>2.0781520000000002</v>
      </c>
      <c r="C3530" t="str">
        <f t="shared" si="55"/>
        <v/>
      </c>
    </row>
    <row r="3531" spans="1:3" x14ac:dyDescent="0.25">
      <c r="A3531" s="223">
        <v>351.077</v>
      </c>
      <c r="B3531" s="458">
        <v>2.6449199999999999</v>
      </c>
      <c r="C3531" t="str">
        <f t="shared" si="55"/>
        <v/>
      </c>
    </row>
    <row r="3532" spans="1:3" x14ac:dyDescent="0.25">
      <c r="A3532" s="223">
        <v>325.596</v>
      </c>
      <c r="B3532" s="458">
        <v>3.0017740000000002</v>
      </c>
      <c r="C3532" t="str">
        <f t="shared" si="55"/>
        <v/>
      </c>
    </row>
    <row r="3533" spans="1:3" x14ac:dyDescent="0.25">
      <c r="A3533" s="223">
        <v>325.596</v>
      </c>
      <c r="B3533" s="458">
        <v>0.928871</v>
      </c>
      <c r="C3533" t="str">
        <f t="shared" si="55"/>
        <v/>
      </c>
    </row>
    <row r="3534" spans="1:3" x14ac:dyDescent="0.25">
      <c r="A3534" s="223">
        <v>300.11500000000001</v>
      </c>
      <c r="B3534" s="458">
        <v>0.30017700000000003</v>
      </c>
      <c r="C3534" t="str">
        <f t="shared" si="55"/>
        <v/>
      </c>
    </row>
    <row r="3535" spans="1:3" x14ac:dyDescent="0.25">
      <c r="A3535" s="223">
        <v>300.11500000000001</v>
      </c>
      <c r="B3535" s="458">
        <v>1.0600670000000001</v>
      </c>
      <c r="C3535" t="str">
        <f t="shared" si="55"/>
        <v/>
      </c>
    </row>
    <row r="3536" spans="1:3" x14ac:dyDescent="0.25">
      <c r="A3536" s="223">
        <v>268.12099999999998</v>
      </c>
      <c r="B3536" s="458">
        <v>0.23510400000000001</v>
      </c>
      <c r="C3536" t="str">
        <f t="shared" si="55"/>
        <v/>
      </c>
    </row>
    <row r="3537" spans="1:3" x14ac:dyDescent="0.25">
      <c r="A3537" s="223">
        <v>266.423</v>
      </c>
      <c r="B3537" s="458">
        <v>0.32011899999999999</v>
      </c>
      <c r="C3537" t="str">
        <f t="shared" si="55"/>
        <v/>
      </c>
    </row>
    <row r="3538" spans="1:3" x14ac:dyDescent="0.25">
      <c r="A3538" s="223">
        <v>385.053</v>
      </c>
      <c r="B3538" s="458">
        <v>0.28023599999999999</v>
      </c>
      <c r="C3538" t="str">
        <f t="shared" si="55"/>
        <v/>
      </c>
    </row>
    <row r="3539" spans="1:3" x14ac:dyDescent="0.25">
      <c r="A3539" s="223">
        <v>385.053</v>
      </c>
      <c r="B3539" s="458">
        <v>0.15218799999999999</v>
      </c>
      <c r="C3539" t="str">
        <f t="shared" si="55"/>
        <v/>
      </c>
    </row>
    <row r="3540" spans="1:3" x14ac:dyDescent="0.25">
      <c r="A3540" s="223">
        <v>503.96600000000001</v>
      </c>
      <c r="B3540" s="458">
        <v>0.74729500000000004</v>
      </c>
      <c r="C3540" t="str">
        <f t="shared" si="55"/>
        <v/>
      </c>
    </row>
    <row r="3541" spans="1:3" x14ac:dyDescent="0.25">
      <c r="A3541" s="223">
        <v>509.62900000000002</v>
      </c>
      <c r="B3541" s="458">
        <v>0.32641700000000001</v>
      </c>
      <c r="C3541" t="str">
        <f t="shared" si="55"/>
        <v/>
      </c>
    </row>
    <row r="3542" spans="1:3" x14ac:dyDescent="0.25">
      <c r="A3542" s="223">
        <v>302.94600000000003</v>
      </c>
      <c r="B3542" s="458">
        <v>6.2344999999999998E-2</v>
      </c>
      <c r="C3542" t="str">
        <f t="shared" si="55"/>
        <v/>
      </c>
    </row>
    <row r="3543" spans="1:3" x14ac:dyDescent="0.25">
      <c r="A3543" s="223">
        <v>300.11500000000001</v>
      </c>
      <c r="B3543" s="458">
        <v>6.3919000000000004E-2</v>
      </c>
      <c r="C3543" t="str">
        <f t="shared" si="55"/>
        <v/>
      </c>
    </row>
    <row r="3544" spans="1:3" x14ac:dyDescent="0.25">
      <c r="A3544" s="223">
        <v>268.68799999999999</v>
      </c>
      <c r="B3544" s="458">
        <v>4.7021E-2</v>
      </c>
      <c r="C3544" t="str">
        <f t="shared" si="55"/>
        <v/>
      </c>
    </row>
    <row r="3545" spans="1:3" x14ac:dyDescent="0.25">
      <c r="A3545" s="223">
        <v>266.423</v>
      </c>
      <c r="B3545" s="458">
        <v>3.1171999999999998E-2</v>
      </c>
      <c r="C3545" t="str">
        <f t="shared" si="55"/>
        <v/>
      </c>
    </row>
    <row r="3546" spans="1:3" x14ac:dyDescent="0.25">
      <c r="A3546" s="223">
        <v>184.59899999999999</v>
      </c>
      <c r="B3546" s="458">
        <v>2.0677000000000001E-2</v>
      </c>
      <c r="C3546" t="str">
        <f t="shared" si="55"/>
        <v/>
      </c>
    </row>
    <row r="3547" spans="1:3" x14ac:dyDescent="0.25">
      <c r="A3547" s="223">
        <v>183.46600000000001</v>
      </c>
      <c r="B3547" s="458">
        <v>1.5744000000000001E-2</v>
      </c>
      <c r="C3547" t="str">
        <f t="shared" si="55"/>
        <v/>
      </c>
    </row>
    <row r="3548" spans="1:3" x14ac:dyDescent="0.25">
      <c r="A3548" s="223">
        <v>198.755</v>
      </c>
      <c r="B3548" s="458">
        <v>3.2539999999999999E-3</v>
      </c>
      <c r="C3548" t="str">
        <f t="shared" si="55"/>
        <v/>
      </c>
    </row>
    <row r="3549" spans="1:3" x14ac:dyDescent="0.25">
      <c r="A3549" s="223">
        <v>198.18899999999999</v>
      </c>
      <c r="B3549" s="458">
        <v>5.2480000000000001E-3</v>
      </c>
      <c r="C3549" t="str">
        <f t="shared" si="55"/>
        <v/>
      </c>
    </row>
    <row r="3550" spans="1:3" x14ac:dyDescent="0.25">
      <c r="A3550" s="223">
        <v>444.50900000000001</v>
      </c>
      <c r="B3550" s="458">
        <v>0.63918900000000001</v>
      </c>
      <c r="C3550" t="str">
        <f t="shared" si="55"/>
        <v/>
      </c>
    </row>
    <row r="3551" spans="1:3" x14ac:dyDescent="0.25">
      <c r="A3551" s="223">
        <v>441.678</v>
      </c>
      <c r="B3551" s="458">
        <v>0.27498800000000001</v>
      </c>
      <c r="C3551" t="str">
        <f t="shared" si="55"/>
        <v/>
      </c>
    </row>
    <row r="3552" spans="1:3" x14ac:dyDescent="0.25">
      <c r="A3552" s="223">
        <v>413.36500000000001</v>
      </c>
      <c r="B3552" s="458">
        <v>0.21621199999999999</v>
      </c>
      <c r="C3552" t="str">
        <f t="shared" si="55"/>
        <v/>
      </c>
    </row>
    <row r="3553" spans="1:3" x14ac:dyDescent="0.25">
      <c r="A3553" s="223">
        <v>410.53399999999999</v>
      </c>
      <c r="B3553" s="458">
        <v>0.36315199999999997</v>
      </c>
      <c r="C3553" t="str">
        <f t="shared" si="55"/>
        <v/>
      </c>
    </row>
    <row r="3554" spans="1:3" x14ac:dyDescent="0.25">
      <c r="A3554" s="223">
        <v>294.452</v>
      </c>
      <c r="B3554" s="458">
        <v>0.26868999999999998</v>
      </c>
      <c r="C3554" t="str">
        <f t="shared" si="55"/>
        <v/>
      </c>
    </row>
    <row r="3555" spans="1:3" x14ac:dyDescent="0.25">
      <c r="A3555" s="223">
        <v>291.62099999999998</v>
      </c>
      <c r="B3555" s="458">
        <v>4.1982999999999999E-2</v>
      </c>
      <c r="C3555" t="str">
        <f t="shared" si="55"/>
        <v/>
      </c>
    </row>
    <row r="3556" spans="1:3" x14ac:dyDescent="0.25">
      <c r="A3556" s="223">
        <v>282.56099999999998</v>
      </c>
      <c r="B3556" s="458">
        <v>4.6600999999999997E-2</v>
      </c>
      <c r="C3556" t="str">
        <f t="shared" si="55"/>
        <v/>
      </c>
    </row>
    <row r="3557" spans="1:3" x14ac:dyDescent="0.25">
      <c r="A3557" s="223">
        <v>280.57900000000001</v>
      </c>
      <c r="B3557" s="458">
        <v>1.9732E-2</v>
      </c>
      <c r="C3557" t="str">
        <f t="shared" si="55"/>
        <v/>
      </c>
    </row>
    <row r="3558" spans="1:3" x14ac:dyDescent="0.25">
      <c r="A3558" s="223">
        <v>257.92899999999997</v>
      </c>
      <c r="B3558" s="458">
        <v>3.9884000000000003E-2</v>
      </c>
      <c r="C3558" t="str">
        <f t="shared" si="55"/>
        <v/>
      </c>
    </row>
    <row r="3559" spans="1:3" x14ac:dyDescent="0.25">
      <c r="A3559" s="223">
        <v>257.92899999999997</v>
      </c>
      <c r="B3559" s="458">
        <v>2.0362000000000002E-2</v>
      </c>
      <c r="C3559" t="str">
        <f t="shared" si="55"/>
        <v/>
      </c>
    </row>
    <row r="3560" spans="1:3" x14ac:dyDescent="0.25">
      <c r="A3560" s="223">
        <v>206.96600000000001</v>
      </c>
      <c r="B3560" s="458">
        <v>3.4640000000000001E-3</v>
      </c>
      <c r="C3560" t="str">
        <f t="shared" si="55"/>
        <v/>
      </c>
    </row>
    <row r="3561" spans="1:3" x14ac:dyDescent="0.25">
      <c r="A3561" s="223">
        <v>203.00200000000001</v>
      </c>
      <c r="B3561" s="458">
        <v>4.0930000000000003E-3</v>
      </c>
      <c r="C3561" t="str">
        <f t="shared" si="55"/>
        <v/>
      </c>
    </row>
    <row r="3562" spans="1:3" x14ac:dyDescent="0.25">
      <c r="A3562" s="223">
        <v>238.11</v>
      </c>
      <c r="B3562" s="458">
        <v>2.6238999999999998E-2</v>
      </c>
      <c r="C3562" t="str">
        <f t="shared" si="55"/>
        <v/>
      </c>
    </row>
    <row r="3563" spans="1:3" x14ac:dyDescent="0.25">
      <c r="A3563" s="223">
        <v>238.393</v>
      </c>
      <c r="B3563" s="458">
        <v>3.7780000000000001E-3</v>
      </c>
      <c r="C3563" t="str">
        <f t="shared" si="55"/>
        <v/>
      </c>
    </row>
    <row r="3564" spans="1:3" x14ac:dyDescent="0.25">
      <c r="A3564" s="223">
        <v>212.345</v>
      </c>
      <c r="B3564" s="458">
        <v>5.0379999999999999E-3</v>
      </c>
      <c r="C3564" t="str">
        <f t="shared" si="55"/>
        <v/>
      </c>
    </row>
    <row r="3565" spans="1:3" x14ac:dyDescent="0.25">
      <c r="A3565" s="223">
        <v>213.761</v>
      </c>
      <c r="B3565" s="458">
        <v>1.9206999999999998E-2</v>
      </c>
      <c r="C3565" t="str">
        <f t="shared" si="55"/>
        <v/>
      </c>
    </row>
    <row r="3566" spans="1:3" x14ac:dyDescent="0.25">
      <c r="A3566" s="223">
        <v>206.11600000000001</v>
      </c>
      <c r="B3566" s="458">
        <v>4.4079999999999996E-3</v>
      </c>
      <c r="C3566" t="str">
        <f t="shared" si="55"/>
        <v/>
      </c>
    </row>
    <row r="3567" spans="1:3" x14ac:dyDescent="0.25">
      <c r="A3567" s="223">
        <v>204.70099999999999</v>
      </c>
      <c r="B3567" s="458">
        <v>6.1919999999999996E-3</v>
      </c>
      <c r="C3567" t="str">
        <f t="shared" si="55"/>
        <v/>
      </c>
    </row>
    <row r="3568" spans="1:3" x14ac:dyDescent="0.25">
      <c r="A3568" s="223">
        <v>149.774</v>
      </c>
      <c r="B3568" s="458">
        <v>1.0499999999999999E-3</v>
      </c>
      <c r="C3568" t="str">
        <f t="shared" si="55"/>
        <v/>
      </c>
    </row>
    <row r="3569" spans="1:3" x14ac:dyDescent="0.25">
      <c r="A3569" s="223">
        <v>148.92500000000001</v>
      </c>
      <c r="B3569" s="458">
        <v>1.469E-3</v>
      </c>
      <c r="C3569" t="str">
        <f t="shared" si="55"/>
        <v/>
      </c>
    </row>
    <row r="3570" spans="1:3" x14ac:dyDescent="0.25">
      <c r="A3570" s="223">
        <v>265.57299999999998</v>
      </c>
      <c r="B3570" s="458">
        <v>7.3470000000000002E-3</v>
      </c>
      <c r="C3570" t="str">
        <f t="shared" si="55"/>
        <v/>
      </c>
    </row>
    <row r="3571" spans="1:3" x14ac:dyDescent="0.25">
      <c r="A3571" s="223">
        <v>261.60899999999998</v>
      </c>
      <c r="B3571" s="458">
        <v>4.1980000000000003E-3</v>
      </c>
      <c r="C3571" t="str">
        <f t="shared" si="55"/>
        <v/>
      </c>
    </row>
    <row r="3572" spans="1:3" x14ac:dyDescent="0.25">
      <c r="A3572" s="223">
        <v>134.768</v>
      </c>
      <c r="B3572" s="458">
        <v>3.1489999999999999E-3</v>
      </c>
      <c r="C3572" t="str">
        <f t="shared" si="55"/>
        <v/>
      </c>
    </row>
    <row r="3573" spans="1:3" x14ac:dyDescent="0.25">
      <c r="A3573" s="223">
        <v>135.90100000000001</v>
      </c>
      <c r="B3573" s="458">
        <v>3.0439999999999998E-3</v>
      </c>
      <c r="C3573" t="str">
        <f t="shared" si="55"/>
        <v/>
      </c>
    </row>
    <row r="3574" spans="1:3" x14ac:dyDescent="0.25">
      <c r="A3574" s="223">
        <v>160.816</v>
      </c>
      <c r="B3574" s="458">
        <v>4.0930000000000003E-3</v>
      </c>
      <c r="C3574" t="str">
        <f t="shared" si="55"/>
        <v/>
      </c>
    </row>
    <row r="3575" spans="1:3" x14ac:dyDescent="0.25">
      <c r="A3575" s="223">
        <v>160.25</v>
      </c>
      <c r="B3575" s="458">
        <v>6.0879999999999997E-3</v>
      </c>
      <c r="C3575" t="str">
        <f t="shared" si="55"/>
        <v/>
      </c>
    </row>
    <row r="3576" spans="1:3" x14ac:dyDescent="0.25">
      <c r="A3576" s="223">
        <v>328.42700000000002</v>
      </c>
      <c r="B3576" s="458">
        <v>0.208865</v>
      </c>
      <c r="C3576" t="str">
        <f t="shared" si="55"/>
        <v/>
      </c>
    </row>
    <row r="3577" spans="1:3" x14ac:dyDescent="0.25">
      <c r="A3577" s="223">
        <v>325.596</v>
      </c>
      <c r="B3577" s="458">
        <v>0.14799000000000001</v>
      </c>
      <c r="C3577" t="str">
        <f t="shared" si="55"/>
        <v/>
      </c>
    </row>
    <row r="3578" spans="1:3" x14ac:dyDescent="0.25">
      <c r="A3578" s="223">
        <v>342.584</v>
      </c>
      <c r="B3578" s="458">
        <v>0.19207199999999999</v>
      </c>
      <c r="C3578" t="str">
        <f t="shared" si="55"/>
        <v/>
      </c>
    </row>
    <row r="3579" spans="1:3" x14ac:dyDescent="0.25">
      <c r="A3579" s="223">
        <v>342.584</v>
      </c>
      <c r="B3579" s="458">
        <v>0.25504599999999999</v>
      </c>
      <c r="C3579" t="str">
        <f t="shared" si="55"/>
        <v/>
      </c>
    </row>
    <row r="3580" spans="1:3" x14ac:dyDescent="0.25">
      <c r="A3580" s="223">
        <v>265.57299999999998</v>
      </c>
      <c r="B3580" s="458">
        <v>8.0082E-2</v>
      </c>
      <c r="C3580" t="str">
        <f t="shared" si="55"/>
        <v/>
      </c>
    </row>
    <row r="3581" spans="1:3" x14ac:dyDescent="0.25">
      <c r="A3581" s="223">
        <v>264.72399999999999</v>
      </c>
      <c r="B3581" s="458">
        <v>5.2687999999999999E-2</v>
      </c>
      <c r="C3581" t="str">
        <f t="shared" si="55"/>
        <v/>
      </c>
    </row>
    <row r="3582" spans="1:3" x14ac:dyDescent="0.25">
      <c r="A3582" s="223">
        <v>322.76499999999999</v>
      </c>
      <c r="B3582" s="458">
        <v>0.15953500000000001</v>
      </c>
      <c r="C3582" t="str">
        <f t="shared" si="55"/>
        <v/>
      </c>
    </row>
    <row r="3583" spans="1:3" x14ac:dyDescent="0.25">
      <c r="A3583" s="223">
        <v>319.93400000000003</v>
      </c>
      <c r="B3583" s="458">
        <v>0.12175</v>
      </c>
      <c r="C3583" t="str">
        <f t="shared" ref="C3583:C3646" si="56">IF(B3583=0,"XXXXXXXX","")</f>
        <v/>
      </c>
    </row>
    <row r="3584" spans="1:3" x14ac:dyDescent="0.25">
      <c r="A3584" s="223">
        <v>376.55900000000003</v>
      </c>
      <c r="B3584" s="458">
        <v>0.39988699999999999</v>
      </c>
      <c r="C3584" t="str">
        <f t="shared" si="56"/>
        <v/>
      </c>
    </row>
    <row r="3585" spans="1:3" x14ac:dyDescent="0.25">
      <c r="A3585" s="223">
        <v>376.55900000000003</v>
      </c>
      <c r="B3585" s="458">
        <v>0.54472799999999999</v>
      </c>
      <c r="C3585" t="str">
        <f t="shared" si="56"/>
        <v/>
      </c>
    </row>
    <row r="3586" spans="1:3" x14ac:dyDescent="0.25">
      <c r="A3586" s="223">
        <v>362.40300000000002</v>
      </c>
      <c r="B3586" s="458">
        <v>0.265542</v>
      </c>
      <c r="C3586" t="str">
        <f t="shared" si="56"/>
        <v/>
      </c>
    </row>
    <row r="3587" spans="1:3" x14ac:dyDescent="0.25">
      <c r="A3587" s="223">
        <v>362.40300000000002</v>
      </c>
      <c r="B3587" s="458">
        <v>0.27288899999999999</v>
      </c>
      <c r="C3587" t="str">
        <f t="shared" si="56"/>
        <v/>
      </c>
    </row>
    <row r="3588" spans="1:3" x14ac:dyDescent="0.25">
      <c r="A3588" s="223">
        <v>421.85899999999998</v>
      </c>
      <c r="B3588" s="458">
        <v>0.38414300000000001</v>
      </c>
      <c r="C3588" t="str">
        <f t="shared" si="56"/>
        <v/>
      </c>
    </row>
    <row r="3589" spans="1:3" x14ac:dyDescent="0.25">
      <c r="A3589" s="223">
        <v>421.85899999999998</v>
      </c>
      <c r="B3589" s="458">
        <v>0.59195799999999998</v>
      </c>
      <c r="C3589" t="str">
        <f t="shared" si="56"/>
        <v/>
      </c>
    </row>
    <row r="3590" spans="1:3" x14ac:dyDescent="0.25">
      <c r="A3590" s="223">
        <v>441.678</v>
      </c>
      <c r="B3590" s="458">
        <v>0.58461099999999999</v>
      </c>
      <c r="C3590" t="str">
        <f t="shared" si="56"/>
        <v/>
      </c>
    </row>
    <row r="3591" spans="1:3" x14ac:dyDescent="0.25">
      <c r="A3591" s="223">
        <v>438.84699999999998</v>
      </c>
      <c r="B3591" s="458">
        <v>0.47020800000000001</v>
      </c>
      <c r="C3591" t="str">
        <f t="shared" si="56"/>
        <v/>
      </c>
    </row>
    <row r="3592" spans="1:3" x14ac:dyDescent="0.25">
      <c r="A3592" s="223">
        <v>478.48500000000001</v>
      </c>
      <c r="B3592" s="458">
        <v>0.88898699999999997</v>
      </c>
      <c r="C3592" t="str">
        <f t="shared" si="56"/>
        <v/>
      </c>
    </row>
    <row r="3593" spans="1:3" x14ac:dyDescent="0.25">
      <c r="A3593" s="223">
        <v>481.31599999999997</v>
      </c>
      <c r="B3593" s="458">
        <v>0.59405699999999995</v>
      </c>
      <c r="C3593" t="str">
        <f t="shared" si="56"/>
        <v/>
      </c>
    </row>
    <row r="3594" spans="1:3" x14ac:dyDescent="0.25">
      <c r="A3594" s="223">
        <v>410.53399999999999</v>
      </c>
      <c r="B3594" s="458">
        <v>0.201518</v>
      </c>
      <c r="C3594" t="str">
        <f t="shared" si="56"/>
        <v/>
      </c>
    </row>
    <row r="3595" spans="1:3" x14ac:dyDescent="0.25">
      <c r="A3595" s="223">
        <v>407.70299999999997</v>
      </c>
      <c r="B3595" s="458">
        <v>0.38729200000000003</v>
      </c>
      <c r="C3595" t="str">
        <f t="shared" si="56"/>
        <v/>
      </c>
    </row>
    <row r="3596" spans="1:3" x14ac:dyDescent="0.25">
      <c r="A3596" s="223">
        <v>322.76499999999999</v>
      </c>
      <c r="B3596" s="458">
        <v>0.13119600000000001</v>
      </c>
      <c r="C3596" t="str">
        <f t="shared" si="56"/>
        <v/>
      </c>
    </row>
    <row r="3597" spans="1:3" x14ac:dyDescent="0.25">
      <c r="A3597" s="223">
        <v>322.76499999999999</v>
      </c>
      <c r="B3597" s="458">
        <v>0.13644400000000001</v>
      </c>
      <c r="C3597" t="str">
        <f t="shared" si="56"/>
        <v/>
      </c>
    </row>
    <row r="3598" spans="1:3" x14ac:dyDescent="0.25">
      <c r="A3598" s="223">
        <v>282.27800000000002</v>
      </c>
      <c r="B3598" s="458">
        <v>8.1341999999999998E-2</v>
      </c>
      <c r="C3598" t="str">
        <f t="shared" si="56"/>
        <v/>
      </c>
    </row>
    <row r="3599" spans="1:3" x14ac:dyDescent="0.25">
      <c r="A3599" s="223">
        <v>280.86200000000002</v>
      </c>
      <c r="B3599" s="458">
        <v>3.4111000000000002E-2</v>
      </c>
      <c r="C3599" t="str">
        <f t="shared" si="56"/>
        <v/>
      </c>
    </row>
    <row r="3600" spans="1:3" x14ac:dyDescent="0.25">
      <c r="A3600" s="223">
        <v>242.07400000000001</v>
      </c>
      <c r="B3600" s="458">
        <v>1.2805E-2</v>
      </c>
      <c r="C3600" t="str">
        <f t="shared" si="56"/>
        <v/>
      </c>
    </row>
    <row r="3601" spans="1:3" x14ac:dyDescent="0.25">
      <c r="A3601" s="223">
        <v>240.65799999999999</v>
      </c>
      <c r="B3601" s="458">
        <v>8.3755999999999997E-2</v>
      </c>
      <c r="C3601" t="str">
        <f t="shared" si="56"/>
        <v/>
      </c>
    </row>
    <row r="3602" spans="1:3" x14ac:dyDescent="0.25">
      <c r="A3602" s="223">
        <v>208.09800000000001</v>
      </c>
      <c r="B3602" s="458">
        <v>4.8070000000000002E-2</v>
      </c>
      <c r="C3602" t="str">
        <f t="shared" si="56"/>
        <v/>
      </c>
    </row>
    <row r="3603" spans="1:3" x14ac:dyDescent="0.25">
      <c r="A3603" s="223">
        <v>207.249</v>
      </c>
      <c r="B3603" s="458">
        <v>1.7527999999999998E-2</v>
      </c>
      <c r="C3603" t="str">
        <f t="shared" si="56"/>
        <v/>
      </c>
    </row>
    <row r="3604" spans="1:3" x14ac:dyDescent="0.25">
      <c r="A3604" s="223">
        <v>620.048</v>
      </c>
      <c r="B3604" s="458">
        <v>2.2145959999999998</v>
      </c>
      <c r="C3604" t="str">
        <f t="shared" si="56"/>
        <v/>
      </c>
    </row>
    <row r="3605" spans="1:3" x14ac:dyDescent="0.25">
      <c r="A3605" s="223">
        <v>614.38599999999997</v>
      </c>
      <c r="B3605" s="458">
        <v>2.0256729999999998</v>
      </c>
      <c r="C3605" t="str">
        <f t="shared" si="56"/>
        <v/>
      </c>
    </row>
    <row r="3606" spans="1:3" x14ac:dyDescent="0.25">
      <c r="A3606" s="223">
        <v>458.666</v>
      </c>
      <c r="B3606" s="458">
        <v>0.69481599999999999</v>
      </c>
      <c r="C3606" t="str">
        <f t="shared" si="56"/>
        <v/>
      </c>
    </row>
    <row r="3607" spans="1:3" x14ac:dyDescent="0.25">
      <c r="A3607" s="223">
        <v>458.666</v>
      </c>
      <c r="B3607" s="458">
        <v>0.63604000000000005</v>
      </c>
      <c r="C3607" t="str">
        <f t="shared" si="56"/>
        <v/>
      </c>
    </row>
    <row r="3608" spans="1:3" x14ac:dyDescent="0.25">
      <c r="A3608" s="223">
        <v>1067.3900000000001</v>
      </c>
      <c r="B3608" s="458">
        <v>1.8367500000000001</v>
      </c>
      <c r="C3608" t="str">
        <f t="shared" si="56"/>
        <v/>
      </c>
    </row>
    <row r="3609" spans="1:3" x14ac:dyDescent="0.25">
      <c r="A3609" s="223">
        <v>1047.57</v>
      </c>
      <c r="B3609" s="458">
        <v>3.8624230000000002</v>
      </c>
      <c r="C3609" t="str">
        <f t="shared" si="56"/>
        <v/>
      </c>
    </row>
    <row r="3610" spans="1:3" x14ac:dyDescent="0.25">
      <c r="A3610" s="223">
        <v>23.952500000000001</v>
      </c>
      <c r="B3610" s="458">
        <v>5.7097000000000002E-2</v>
      </c>
      <c r="C3610" t="str">
        <f t="shared" si="56"/>
        <v/>
      </c>
    </row>
    <row r="3611" spans="1:3" x14ac:dyDescent="0.25">
      <c r="A3611" s="223">
        <v>23.952500000000001</v>
      </c>
      <c r="B3611" s="458">
        <v>0.132246</v>
      </c>
      <c r="C3611" t="str">
        <f t="shared" si="56"/>
        <v/>
      </c>
    </row>
    <row r="3612" spans="1:3" x14ac:dyDescent="0.25">
      <c r="A3612" s="223">
        <v>35.957099999999997</v>
      </c>
      <c r="B3612" s="458">
        <v>0.35160599999999997</v>
      </c>
      <c r="C3612" t="str">
        <f t="shared" si="56"/>
        <v/>
      </c>
    </row>
    <row r="3613" spans="1:3" x14ac:dyDescent="0.25">
      <c r="A3613" s="223">
        <v>35.957099999999997</v>
      </c>
      <c r="B3613" s="458">
        <v>0.53318200000000004</v>
      </c>
      <c r="C3613" t="str">
        <f t="shared" si="56"/>
        <v/>
      </c>
    </row>
    <row r="3614" spans="1:3" x14ac:dyDescent="0.25">
      <c r="A3614" s="223">
        <v>33.408999999999999</v>
      </c>
      <c r="B3614" s="458">
        <v>0.16583200000000001</v>
      </c>
      <c r="C3614" t="str">
        <f t="shared" si="56"/>
        <v/>
      </c>
    </row>
    <row r="3615" spans="1:3" x14ac:dyDescent="0.25">
      <c r="A3615" s="223">
        <v>33.408999999999999</v>
      </c>
      <c r="B3615" s="458">
        <v>4.9015000000000003E-2</v>
      </c>
      <c r="C3615" t="str">
        <f t="shared" si="56"/>
        <v/>
      </c>
    </row>
    <row r="3616" spans="1:3" x14ac:dyDescent="0.25">
      <c r="A3616" s="223">
        <v>26.1892</v>
      </c>
      <c r="B3616" s="458">
        <v>6.1714999999999999E-2</v>
      </c>
      <c r="C3616" t="str">
        <f t="shared" si="56"/>
        <v/>
      </c>
    </row>
    <row r="3617" spans="1:3" x14ac:dyDescent="0.25">
      <c r="A3617" s="223">
        <v>26.1892</v>
      </c>
      <c r="B3617" s="458">
        <v>0.208865</v>
      </c>
      <c r="C3617" t="str">
        <f t="shared" si="56"/>
        <v/>
      </c>
    </row>
    <row r="3618" spans="1:3" x14ac:dyDescent="0.25">
      <c r="A3618" s="223">
        <v>20.413499999999999</v>
      </c>
      <c r="B3618" s="458">
        <v>0.30437599999999998</v>
      </c>
      <c r="C3618" t="str">
        <f t="shared" si="56"/>
        <v/>
      </c>
    </row>
    <row r="3619" spans="1:3" x14ac:dyDescent="0.25">
      <c r="A3619" s="223">
        <v>20.413499999999999</v>
      </c>
      <c r="B3619" s="458">
        <v>0.67382500000000001</v>
      </c>
      <c r="C3619" t="str">
        <f t="shared" si="56"/>
        <v/>
      </c>
    </row>
    <row r="3620" spans="1:3" x14ac:dyDescent="0.25">
      <c r="A3620" s="223">
        <v>20.413499999999999</v>
      </c>
      <c r="B3620" s="458">
        <v>0.29073100000000002</v>
      </c>
      <c r="C3620" t="str">
        <f t="shared" si="56"/>
        <v/>
      </c>
    </row>
    <row r="3621" spans="1:3" x14ac:dyDescent="0.25">
      <c r="A3621" s="223">
        <v>20.413499999999999</v>
      </c>
      <c r="B3621" s="458">
        <v>0.132246</v>
      </c>
      <c r="C3621" t="str">
        <f t="shared" si="56"/>
        <v/>
      </c>
    </row>
    <row r="3622" spans="1:3" x14ac:dyDescent="0.25">
      <c r="A3622" s="223">
        <v>48.414700000000003</v>
      </c>
      <c r="B3622" s="458">
        <v>0.43662200000000001</v>
      </c>
      <c r="C3622" t="str">
        <f t="shared" si="56"/>
        <v/>
      </c>
    </row>
    <row r="3623" spans="1:3" x14ac:dyDescent="0.25">
      <c r="A3623" s="223">
        <v>48.414700000000003</v>
      </c>
      <c r="B3623" s="458">
        <v>0.28023599999999999</v>
      </c>
      <c r="C3623" t="str">
        <f t="shared" si="56"/>
        <v/>
      </c>
    </row>
    <row r="3624" spans="1:3" x14ac:dyDescent="0.25">
      <c r="A3624" s="223">
        <v>59.739800000000002</v>
      </c>
      <c r="B3624" s="458">
        <v>0.70846100000000001</v>
      </c>
      <c r="C3624" t="str">
        <f t="shared" si="56"/>
        <v/>
      </c>
    </row>
    <row r="3625" spans="1:3" x14ac:dyDescent="0.25">
      <c r="A3625" s="223">
        <v>59.739800000000002</v>
      </c>
      <c r="B3625" s="458">
        <v>0.90892899999999999</v>
      </c>
      <c r="C3625" t="str">
        <f t="shared" si="56"/>
        <v/>
      </c>
    </row>
    <row r="3626" spans="1:3" x14ac:dyDescent="0.25">
      <c r="A3626" s="223">
        <v>60.872300000000003</v>
      </c>
      <c r="B3626" s="458">
        <v>0.75779099999999999</v>
      </c>
      <c r="C3626" t="str">
        <f t="shared" si="56"/>
        <v/>
      </c>
    </row>
    <row r="3627" spans="1:3" x14ac:dyDescent="0.25">
      <c r="A3627" s="223">
        <v>60.872300000000003</v>
      </c>
      <c r="B3627" s="458">
        <v>0.74204700000000001</v>
      </c>
      <c r="C3627" t="str">
        <f t="shared" si="56"/>
        <v/>
      </c>
    </row>
    <row r="3628" spans="1:3" x14ac:dyDescent="0.25">
      <c r="A3628" s="223">
        <v>46.149700000000003</v>
      </c>
      <c r="B3628" s="458">
        <v>0.17422899999999999</v>
      </c>
      <c r="C3628" t="str">
        <f t="shared" si="56"/>
        <v/>
      </c>
    </row>
    <row r="3629" spans="1:3" x14ac:dyDescent="0.25">
      <c r="A3629" s="223">
        <v>46.149700000000003</v>
      </c>
      <c r="B3629" s="458">
        <v>0.189972</v>
      </c>
      <c r="C3629" t="str">
        <f t="shared" si="56"/>
        <v/>
      </c>
    </row>
    <row r="3630" spans="1:3" x14ac:dyDescent="0.25">
      <c r="A3630" s="223">
        <v>42.469099999999997</v>
      </c>
      <c r="B3630" s="458">
        <v>0.178427</v>
      </c>
      <c r="C3630" t="str">
        <f t="shared" si="56"/>
        <v/>
      </c>
    </row>
    <row r="3631" spans="1:3" x14ac:dyDescent="0.25">
      <c r="A3631" s="223">
        <v>42.469099999999997</v>
      </c>
      <c r="B3631" s="458">
        <v>0.22670699999999999</v>
      </c>
      <c r="C3631" t="str">
        <f t="shared" si="56"/>
        <v/>
      </c>
    </row>
    <row r="3632" spans="1:3" x14ac:dyDescent="0.25">
      <c r="A3632" s="223">
        <v>29.4452</v>
      </c>
      <c r="B3632" s="458">
        <v>5.5941999999999999E-2</v>
      </c>
      <c r="C3632" t="str">
        <f t="shared" si="56"/>
        <v/>
      </c>
    </row>
    <row r="3633" spans="1:3" x14ac:dyDescent="0.25">
      <c r="A3633" s="223">
        <v>29.4452</v>
      </c>
      <c r="B3633" s="458">
        <v>7.7247999999999997E-2</v>
      </c>
      <c r="C3633" t="str">
        <f t="shared" si="56"/>
        <v/>
      </c>
    </row>
    <row r="3634" spans="1:3" x14ac:dyDescent="0.25">
      <c r="A3634" s="223">
        <v>35.390900000000002</v>
      </c>
      <c r="B3634" s="458">
        <v>0.15428700000000001</v>
      </c>
      <c r="C3634" t="str">
        <f t="shared" si="56"/>
        <v/>
      </c>
    </row>
    <row r="3635" spans="1:3" x14ac:dyDescent="0.25">
      <c r="A3635" s="223">
        <v>35.390900000000002</v>
      </c>
      <c r="B3635" s="458">
        <v>0.17003099999999999</v>
      </c>
      <c r="C3635" t="str">
        <f t="shared" si="56"/>
        <v/>
      </c>
    </row>
    <row r="3636" spans="1:3" x14ac:dyDescent="0.25">
      <c r="A3636" s="223">
        <v>43.035299999999999</v>
      </c>
      <c r="B3636" s="458">
        <v>0.25189699999999998</v>
      </c>
      <c r="C3636" t="str">
        <f t="shared" si="56"/>
        <v/>
      </c>
    </row>
    <row r="3637" spans="1:3" x14ac:dyDescent="0.25">
      <c r="A3637" s="223">
        <v>43.035299999999999</v>
      </c>
      <c r="B3637" s="458">
        <v>0.162684</v>
      </c>
      <c r="C3637" t="str">
        <f t="shared" si="56"/>
        <v/>
      </c>
    </row>
    <row r="3638" spans="1:3" x14ac:dyDescent="0.25">
      <c r="A3638" s="223">
        <v>43.884700000000002</v>
      </c>
      <c r="B3638" s="458">
        <v>0.54052900000000004</v>
      </c>
      <c r="C3638" t="str">
        <f t="shared" si="56"/>
        <v/>
      </c>
    </row>
    <row r="3639" spans="1:3" x14ac:dyDescent="0.25">
      <c r="A3639" s="223">
        <v>43.884700000000002</v>
      </c>
      <c r="B3639" s="458">
        <v>0.24560000000000001</v>
      </c>
      <c r="C3639" t="str">
        <f t="shared" si="56"/>
        <v/>
      </c>
    </row>
    <row r="3640" spans="1:3" x14ac:dyDescent="0.25">
      <c r="A3640" s="223">
        <v>37.089599999999997</v>
      </c>
      <c r="B3640" s="458">
        <v>0.13959299999999999</v>
      </c>
      <c r="C3640" t="str">
        <f t="shared" si="56"/>
        <v/>
      </c>
    </row>
    <row r="3641" spans="1:3" x14ac:dyDescent="0.25">
      <c r="A3641" s="223">
        <v>37.089599999999997</v>
      </c>
      <c r="B3641" s="458">
        <v>0.11125500000000001</v>
      </c>
      <c r="C3641" t="str">
        <f t="shared" si="56"/>
        <v/>
      </c>
    </row>
    <row r="3642" spans="1:3" x14ac:dyDescent="0.25">
      <c r="A3642" s="223">
        <v>29.728300000000001</v>
      </c>
      <c r="B3642" s="458">
        <v>0.28758299999999998</v>
      </c>
      <c r="C3642" t="str">
        <f t="shared" si="56"/>
        <v/>
      </c>
    </row>
    <row r="3643" spans="1:3" x14ac:dyDescent="0.25">
      <c r="A3643" s="223">
        <v>29.728300000000001</v>
      </c>
      <c r="B3643" s="458">
        <v>0.32011899999999999</v>
      </c>
      <c r="C3643" t="str">
        <f t="shared" si="56"/>
        <v/>
      </c>
    </row>
    <row r="3644" spans="1:3" x14ac:dyDescent="0.25">
      <c r="A3644" s="223">
        <v>34.824599999999997</v>
      </c>
      <c r="B3644" s="458">
        <v>0.102858</v>
      </c>
      <c r="C3644" t="str">
        <f t="shared" si="56"/>
        <v/>
      </c>
    </row>
    <row r="3645" spans="1:3" x14ac:dyDescent="0.25">
      <c r="A3645" s="223">
        <v>34.824599999999997</v>
      </c>
      <c r="B3645" s="458">
        <v>0.380994</v>
      </c>
      <c r="C3645" t="str">
        <f t="shared" si="56"/>
        <v/>
      </c>
    </row>
    <row r="3646" spans="1:3" x14ac:dyDescent="0.25">
      <c r="A3646" s="223">
        <v>37.655900000000003</v>
      </c>
      <c r="B3646" s="458">
        <v>9.6141000000000004E-2</v>
      </c>
      <c r="C3646" t="str">
        <f t="shared" si="56"/>
        <v/>
      </c>
    </row>
    <row r="3647" spans="1:3" x14ac:dyDescent="0.25">
      <c r="A3647" s="223">
        <v>37.655900000000003</v>
      </c>
      <c r="B3647" s="458">
        <v>7.7772999999999995E-2</v>
      </c>
      <c r="C3647" t="str">
        <f t="shared" ref="C3647:C3710" si="57">IF(B3647=0,"XXXXXXXX","")</f>
        <v/>
      </c>
    </row>
    <row r="3648" spans="1:3" x14ac:dyDescent="0.25">
      <c r="A3648" s="223">
        <v>47.565300000000001</v>
      </c>
      <c r="B3648" s="458">
        <v>0.69061799999999995</v>
      </c>
      <c r="C3648" t="str">
        <f t="shared" si="57"/>
        <v/>
      </c>
    </row>
    <row r="3649" spans="1:3" x14ac:dyDescent="0.25">
      <c r="A3649" s="223">
        <v>47.565300000000001</v>
      </c>
      <c r="B3649" s="458">
        <v>0.31907000000000002</v>
      </c>
      <c r="C3649" t="str">
        <f t="shared" si="57"/>
        <v/>
      </c>
    </row>
    <row r="3650" spans="1:3" x14ac:dyDescent="0.25">
      <c r="A3650" s="223">
        <v>50.396599999999999</v>
      </c>
      <c r="B3650" s="458">
        <v>0.38309399999999999</v>
      </c>
      <c r="C3650" t="str">
        <f t="shared" si="57"/>
        <v/>
      </c>
    </row>
    <row r="3651" spans="1:3" x14ac:dyDescent="0.25">
      <c r="A3651" s="223">
        <v>50.396599999999999</v>
      </c>
      <c r="B3651" s="458">
        <v>0.41563</v>
      </c>
      <c r="C3651" t="str">
        <f t="shared" si="57"/>
        <v/>
      </c>
    </row>
    <row r="3652" spans="1:3" x14ac:dyDescent="0.25">
      <c r="A3652" s="223">
        <v>60.589199999999998</v>
      </c>
      <c r="B3652" s="458">
        <v>0.64338700000000004</v>
      </c>
      <c r="C3652" t="str">
        <f t="shared" si="57"/>
        <v/>
      </c>
    </row>
    <row r="3653" spans="1:3" x14ac:dyDescent="0.25">
      <c r="A3653" s="223">
        <v>60.589199999999998</v>
      </c>
      <c r="B3653" s="458">
        <v>1.081059</v>
      </c>
      <c r="C3653" t="str">
        <f t="shared" si="57"/>
        <v/>
      </c>
    </row>
    <row r="3654" spans="1:3" x14ac:dyDescent="0.25">
      <c r="A3654" s="223">
        <v>70.498599999999996</v>
      </c>
      <c r="B3654" s="458">
        <v>1.8472459999999999</v>
      </c>
      <c r="C3654" t="str">
        <f t="shared" si="57"/>
        <v/>
      </c>
    </row>
    <row r="3655" spans="1:3" x14ac:dyDescent="0.25">
      <c r="A3655" s="223">
        <v>70.498599999999996</v>
      </c>
      <c r="B3655" s="458">
        <v>3.0542530000000001</v>
      </c>
      <c r="C3655" t="str">
        <f t="shared" si="57"/>
        <v/>
      </c>
    </row>
    <row r="3656" spans="1:3" x14ac:dyDescent="0.25">
      <c r="A3656" s="223">
        <v>86.353700000000003</v>
      </c>
      <c r="B3656" s="458">
        <v>1.899724</v>
      </c>
      <c r="C3656" t="str">
        <f t="shared" si="57"/>
        <v/>
      </c>
    </row>
    <row r="3657" spans="1:3" x14ac:dyDescent="0.25">
      <c r="A3657" s="223">
        <v>86.353700000000003</v>
      </c>
      <c r="B3657" s="458">
        <v>5.7201649999999997</v>
      </c>
      <c r="C3657" t="str">
        <f t="shared" si="57"/>
        <v/>
      </c>
    </row>
    <row r="3658" spans="1:3" x14ac:dyDescent="0.25">
      <c r="A3658" s="223">
        <v>86.353700000000003</v>
      </c>
      <c r="B3658" s="458">
        <v>2.739382</v>
      </c>
      <c r="C3658" t="str">
        <f t="shared" si="57"/>
        <v/>
      </c>
    </row>
    <row r="3659" spans="1:3" x14ac:dyDescent="0.25">
      <c r="A3659" s="223">
        <v>86.353700000000003</v>
      </c>
      <c r="B3659" s="458">
        <v>6.4863520000000001</v>
      </c>
      <c r="C3659" t="str">
        <f t="shared" si="57"/>
        <v/>
      </c>
    </row>
    <row r="3660" spans="1:3" x14ac:dyDescent="0.25">
      <c r="A3660" s="223">
        <v>78.992400000000004</v>
      </c>
      <c r="B3660" s="458">
        <v>3.5160640000000001</v>
      </c>
      <c r="C3660" t="str">
        <f t="shared" si="57"/>
        <v/>
      </c>
    </row>
    <row r="3661" spans="1:3" x14ac:dyDescent="0.25">
      <c r="A3661" s="223">
        <v>78.992400000000004</v>
      </c>
      <c r="B3661" s="458">
        <v>2.3090570000000001</v>
      </c>
      <c r="C3661" t="str">
        <f t="shared" si="57"/>
        <v/>
      </c>
    </row>
    <row r="3662" spans="1:3" x14ac:dyDescent="0.25">
      <c r="A3662" s="223">
        <v>93.148799999999994</v>
      </c>
      <c r="B3662" s="458">
        <v>4.1877899999999997</v>
      </c>
      <c r="C3662" t="str">
        <f t="shared" si="57"/>
        <v/>
      </c>
    </row>
    <row r="3663" spans="1:3" x14ac:dyDescent="0.25">
      <c r="A3663" s="223">
        <v>93.148799999999994</v>
      </c>
      <c r="B3663" s="458">
        <v>5.4472759999999996</v>
      </c>
      <c r="C3663" t="str">
        <f t="shared" si="57"/>
        <v/>
      </c>
    </row>
    <row r="3664" spans="1:3" x14ac:dyDescent="0.25">
      <c r="A3664" s="223">
        <v>102.77500000000001</v>
      </c>
      <c r="B3664" s="458">
        <v>2.9073129999999998</v>
      </c>
      <c r="C3664" t="str">
        <f t="shared" si="57"/>
        <v/>
      </c>
    </row>
    <row r="3665" spans="1:3" x14ac:dyDescent="0.25">
      <c r="A3665" s="223">
        <v>117.78100000000001</v>
      </c>
      <c r="B3665" s="458">
        <v>2.3090570000000001</v>
      </c>
      <c r="C3665" t="str">
        <f t="shared" si="57"/>
        <v/>
      </c>
    </row>
    <row r="3666" spans="1:3" x14ac:dyDescent="0.25">
      <c r="A3666" s="223">
        <v>119.196</v>
      </c>
      <c r="B3666" s="458">
        <v>1.7212970000000001</v>
      </c>
      <c r="C3666" t="str">
        <f t="shared" si="57"/>
        <v/>
      </c>
    </row>
    <row r="3667" spans="1:3" x14ac:dyDescent="0.25">
      <c r="A3667" s="223">
        <v>119.196</v>
      </c>
      <c r="B3667" s="458">
        <v>1.637332</v>
      </c>
      <c r="C3667" t="str">
        <f t="shared" si="57"/>
        <v/>
      </c>
    </row>
    <row r="3668" spans="1:3" x14ac:dyDescent="0.25">
      <c r="A3668" s="223">
        <v>133.35300000000001</v>
      </c>
      <c r="B3668" s="458">
        <v>3.0647489999999999</v>
      </c>
      <c r="C3668" t="str">
        <f t="shared" si="57"/>
        <v/>
      </c>
    </row>
    <row r="3669" spans="1:3" x14ac:dyDescent="0.25">
      <c r="A3669" s="223">
        <v>133.35300000000001</v>
      </c>
      <c r="B3669" s="458">
        <v>2.3930229999999999</v>
      </c>
      <c r="C3669" t="str">
        <f t="shared" si="57"/>
        <v/>
      </c>
    </row>
    <row r="3670" spans="1:3" x14ac:dyDescent="0.25">
      <c r="A3670" s="223">
        <v>111.26900000000001</v>
      </c>
      <c r="B3670" s="458">
        <v>0.25924399999999997</v>
      </c>
      <c r="C3670" t="str">
        <f t="shared" si="57"/>
        <v/>
      </c>
    </row>
    <row r="3671" spans="1:3" x14ac:dyDescent="0.25">
      <c r="A3671" s="223">
        <v>111.26900000000001</v>
      </c>
      <c r="B3671" s="458">
        <v>1.238494</v>
      </c>
      <c r="C3671" t="str">
        <f t="shared" si="57"/>
        <v/>
      </c>
    </row>
    <row r="3672" spans="1:3" x14ac:dyDescent="0.25">
      <c r="A3672" s="223">
        <v>105.04</v>
      </c>
      <c r="B3672" s="458">
        <v>1.742289</v>
      </c>
      <c r="C3672" t="str">
        <f t="shared" si="57"/>
        <v/>
      </c>
    </row>
    <row r="3673" spans="1:3" x14ac:dyDescent="0.25">
      <c r="A3673" s="223">
        <v>105.04</v>
      </c>
      <c r="B3673" s="458">
        <v>3.8099449999999999</v>
      </c>
      <c r="C3673" t="str">
        <f t="shared" si="57"/>
        <v/>
      </c>
    </row>
    <row r="3674" spans="1:3" x14ac:dyDescent="0.25">
      <c r="A3674" s="223">
        <v>90.6006</v>
      </c>
      <c r="B3674" s="458">
        <v>1.5848530000000001</v>
      </c>
      <c r="C3674" t="str">
        <f t="shared" si="57"/>
        <v/>
      </c>
    </row>
    <row r="3675" spans="1:3" x14ac:dyDescent="0.25">
      <c r="A3675" s="223">
        <v>90.6006</v>
      </c>
      <c r="B3675" s="458">
        <v>2.435006</v>
      </c>
      <c r="C3675" t="str">
        <f t="shared" si="57"/>
        <v/>
      </c>
    </row>
    <row r="3676" spans="1:3" x14ac:dyDescent="0.25">
      <c r="A3676" s="223">
        <v>103.05800000000001</v>
      </c>
      <c r="B3676" s="458">
        <v>1.9207160000000001</v>
      </c>
      <c r="C3676" t="str">
        <f t="shared" si="57"/>
        <v/>
      </c>
    </row>
    <row r="3677" spans="1:3" x14ac:dyDescent="0.25">
      <c r="A3677" s="223">
        <v>103.05800000000001</v>
      </c>
      <c r="B3677" s="458">
        <v>1.637332</v>
      </c>
      <c r="C3677" t="str">
        <f t="shared" si="57"/>
        <v/>
      </c>
    </row>
    <row r="3678" spans="1:3" x14ac:dyDescent="0.25">
      <c r="A3678" s="223">
        <v>122.02800000000001</v>
      </c>
      <c r="B3678" s="458">
        <v>1.521879</v>
      </c>
      <c r="C3678" t="str">
        <f t="shared" si="57"/>
        <v/>
      </c>
    </row>
    <row r="3679" spans="1:3" x14ac:dyDescent="0.25">
      <c r="A3679" s="223">
        <v>122.02800000000001</v>
      </c>
      <c r="B3679" s="458">
        <v>1.9312119999999999</v>
      </c>
      <c r="C3679" t="str">
        <f t="shared" si="57"/>
        <v/>
      </c>
    </row>
    <row r="3680" spans="1:3" x14ac:dyDescent="0.25">
      <c r="A3680" s="223">
        <v>180.91800000000001</v>
      </c>
      <c r="B3680" s="458">
        <v>8.5330159999999999</v>
      </c>
      <c r="C3680" t="str">
        <f t="shared" si="57"/>
        <v/>
      </c>
    </row>
    <row r="3681" spans="1:3" x14ac:dyDescent="0.25">
      <c r="A3681" s="223">
        <v>180.91800000000001</v>
      </c>
      <c r="B3681" s="458">
        <v>10.2963</v>
      </c>
      <c r="C3681" t="str">
        <f t="shared" si="57"/>
        <v/>
      </c>
    </row>
    <row r="3682" spans="1:3" x14ac:dyDescent="0.25">
      <c r="A3682" s="223">
        <v>2.01586</v>
      </c>
      <c r="B3682" s="458">
        <v>2.0890000000000001E-3</v>
      </c>
      <c r="C3682" t="str">
        <f t="shared" si="57"/>
        <v/>
      </c>
    </row>
    <row r="3683" spans="1:3" x14ac:dyDescent="0.25">
      <c r="A3683" s="223">
        <v>1.29955</v>
      </c>
      <c r="B3683" s="458">
        <v>2.4039999999999999E-3</v>
      </c>
      <c r="C3683" t="str">
        <f t="shared" si="57"/>
        <v/>
      </c>
    </row>
    <row r="3684" spans="1:3" x14ac:dyDescent="0.25">
      <c r="A3684" s="223">
        <v>2.1036299999999999</v>
      </c>
      <c r="B3684" s="458">
        <v>1.5740000000000001E-3</v>
      </c>
      <c r="C3684" t="str">
        <f t="shared" si="57"/>
        <v/>
      </c>
    </row>
    <row r="3685" spans="1:3" x14ac:dyDescent="0.25">
      <c r="A3685" s="223">
        <v>3.1427100000000001</v>
      </c>
      <c r="B3685" s="458">
        <v>1.5187000000000001E-2</v>
      </c>
      <c r="C3685" t="str">
        <f t="shared" si="57"/>
        <v/>
      </c>
    </row>
    <row r="3686" spans="1:3" x14ac:dyDescent="0.25">
      <c r="A3686" s="223">
        <v>2.5707900000000001</v>
      </c>
      <c r="B3686" s="458">
        <v>7.0949999999999997E-3</v>
      </c>
      <c r="C3686" t="str">
        <f t="shared" si="57"/>
        <v/>
      </c>
    </row>
    <row r="3687" spans="1:3" x14ac:dyDescent="0.25">
      <c r="A3687" s="223">
        <v>4.53003</v>
      </c>
      <c r="B3687" s="458">
        <v>6.6020000000000002E-3</v>
      </c>
      <c r="C3687" t="str">
        <f t="shared" si="57"/>
        <v/>
      </c>
    </row>
    <row r="3688" spans="1:3" x14ac:dyDescent="0.25">
      <c r="A3688" s="223">
        <v>6.1438600000000001</v>
      </c>
      <c r="B3688" s="458">
        <v>3.7680000000000001E-3</v>
      </c>
      <c r="C3688" t="str">
        <f t="shared" si="57"/>
        <v/>
      </c>
    </row>
    <row r="3689" spans="1:3" x14ac:dyDescent="0.25">
      <c r="A3689" s="223">
        <v>2.01586</v>
      </c>
      <c r="B3689" s="458">
        <v>5.4999999999999997E-3</v>
      </c>
      <c r="C3689" t="str">
        <f t="shared" si="57"/>
        <v/>
      </c>
    </row>
    <row r="3690" spans="1:3" x14ac:dyDescent="0.25">
      <c r="A3690" s="223">
        <v>1.2344299999999999</v>
      </c>
      <c r="B3690" s="458">
        <v>3.3599999999999998E-4</v>
      </c>
      <c r="C3690" t="str">
        <f t="shared" si="57"/>
        <v/>
      </c>
    </row>
    <row r="3691" spans="1:3" x14ac:dyDescent="0.25">
      <c r="A3691" s="223">
        <v>0.99661</v>
      </c>
      <c r="B3691" s="458">
        <v>2.9399999999999999E-4</v>
      </c>
      <c r="C3691" t="str">
        <f t="shared" si="57"/>
        <v/>
      </c>
    </row>
    <row r="3692" spans="1:3" x14ac:dyDescent="0.25">
      <c r="A3692" s="223">
        <v>0.24660000000000001</v>
      </c>
      <c r="B3692" s="458">
        <v>1.47E-4</v>
      </c>
      <c r="C3692" t="str">
        <f t="shared" si="57"/>
        <v/>
      </c>
    </row>
    <row r="3693" spans="1:3" x14ac:dyDescent="0.25">
      <c r="A3693" s="223">
        <v>0.36807000000000001</v>
      </c>
      <c r="B3693" s="458">
        <v>1.26E-4</v>
      </c>
      <c r="C3693" t="str">
        <f t="shared" si="57"/>
        <v/>
      </c>
    </row>
    <row r="3694" spans="1:3" x14ac:dyDescent="0.25">
      <c r="A3694" s="223">
        <v>2.282</v>
      </c>
      <c r="B3694" s="458">
        <v>4.4079999999999996E-3</v>
      </c>
      <c r="C3694" t="str">
        <f t="shared" si="57"/>
        <v/>
      </c>
    </row>
    <row r="3695" spans="1:3" x14ac:dyDescent="0.25">
      <c r="A3695" s="223">
        <v>0.92298999999999998</v>
      </c>
      <c r="B3695" s="458">
        <v>5.7700000000000004E-4</v>
      </c>
      <c r="C3695" t="str">
        <f t="shared" si="57"/>
        <v/>
      </c>
    </row>
    <row r="3696" spans="1:3" x14ac:dyDescent="0.25">
      <c r="A3696" s="223">
        <v>1.17215</v>
      </c>
      <c r="B3696" s="458">
        <v>2.519E-3</v>
      </c>
      <c r="C3696" t="str">
        <f t="shared" si="57"/>
        <v/>
      </c>
    </row>
    <row r="3697" spans="1:3" x14ac:dyDescent="0.25">
      <c r="A3697" s="223">
        <v>0.98245000000000005</v>
      </c>
      <c r="B3697" s="458">
        <v>2.4039999999999999E-3</v>
      </c>
      <c r="C3697" t="str">
        <f t="shared" si="57"/>
        <v/>
      </c>
    </row>
    <row r="3698" spans="1:3" x14ac:dyDescent="0.25">
      <c r="A3698" s="223">
        <v>0.62004999999999999</v>
      </c>
      <c r="B3698" s="458">
        <v>6.3E-5</v>
      </c>
      <c r="C3698" t="str">
        <f t="shared" si="57"/>
        <v/>
      </c>
    </row>
    <row r="3699" spans="1:3" x14ac:dyDescent="0.25">
      <c r="A3699" s="223">
        <v>3.7938999999999998</v>
      </c>
      <c r="B3699" s="458">
        <v>2.9555999999999999E-2</v>
      </c>
      <c r="C3699" t="str">
        <f t="shared" si="57"/>
        <v/>
      </c>
    </row>
    <row r="3700" spans="1:3" x14ac:dyDescent="0.25">
      <c r="A3700" s="223">
        <v>4.3035300000000003</v>
      </c>
      <c r="B3700" s="458">
        <v>8.5917999999999994E-2</v>
      </c>
      <c r="C3700" t="str">
        <f t="shared" si="57"/>
        <v/>
      </c>
    </row>
    <row r="3701" spans="1:3" x14ac:dyDescent="0.25">
      <c r="A3701" s="223">
        <v>6.6534800000000001</v>
      </c>
      <c r="B3701" s="458">
        <v>5.3548999999999999E-2</v>
      </c>
      <c r="C3701" t="str">
        <f t="shared" si="57"/>
        <v/>
      </c>
    </row>
    <row r="3702" spans="1:3" x14ac:dyDescent="0.25">
      <c r="A3702" s="223">
        <v>2.7604899999999999</v>
      </c>
      <c r="B3702" s="458">
        <v>7.1269999999999997E-3</v>
      </c>
      <c r="C3702" t="str">
        <f t="shared" si="57"/>
        <v/>
      </c>
    </row>
    <row r="3703" spans="1:3" x14ac:dyDescent="0.25">
      <c r="A3703" s="223">
        <v>3.93547</v>
      </c>
      <c r="B3703" s="458">
        <v>2.7918999999999999E-2</v>
      </c>
      <c r="C3703" t="str">
        <f t="shared" si="57"/>
        <v/>
      </c>
    </row>
    <row r="3704" spans="1:3" x14ac:dyDescent="0.25">
      <c r="A3704" s="223">
        <v>2.6812100000000001</v>
      </c>
      <c r="B3704" s="458">
        <v>1.3172E-2</v>
      </c>
      <c r="C3704" t="str">
        <f t="shared" si="57"/>
        <v/>
      </c>
    </row>
    <row r="3705" spans="1:3" x14ac:dyDescent="0.25">
      <c r="A3705" s="223">
        <v>3.1427100000000001</v>
      </c>
      <c r="B3705" s="458">
        <v>6.339E-3</v>
      </c>
      <c r="C3705" t="str">
        <f t="shared" si="57"/>
        <v/>
      </c>
    </row>
    <row r="3706" spans="1:3" x14ac:dyDescent="0.25">
      <c r="A3706" s="223">
        <v>5.8324199999999999</v>
      </c>
      <c r="B3706" s="458">
        <v>4.5435999999999997E-2</v>
      </c>
      <c r="C3706" t="str">
        <f t="shared" si="57"/>
        <v/>
      </c>
    </row>
    <row r="3707" spans="1:3" x14ac:dyDescent="0.25">
      <c r="A3707" s="223">
        <v>4.5017199999999997</v>
      </c>
      <c r="B3707" s="458">
        <v>2.8653000000000001E-2</v>
      </c>
      <c r="C3707" t="str">
        <f t="shared" si="57"/>
        <v/>
      </c>
    </row>
    <row r="3708" spans="1:3" x14ac:dyDescent="0.25">
      <c r="A3708" s="223">
        <v>2.46604</v>
      </c>
      <c r="B3708" s="458">
        <v>9.3400000000000004E-4</v>
      </c>
      <c r="C3708" t="str">
        <f t="shared" si="57"/>
        <v/>
      </c>
    </row>
    <row r="3709" spans="1:3" x14ac:dyDescent="0.25">
      <c r="A3709" s="223">
        <v>2.8595799999999998</v>
      </c>
      <c r="B3709" s="458">
        <v>1.2279999999999999E-3</v>
      </c>
      <c r="C3709" t="str">
        <f t="shared" si="57"/>
        <v/>
      </c>
    </row>
    <row r="3710" spans="1:3" x14ac:dyDescent="0.25">
      <c r="A3710" s="223">
        <v>2.3612799999999998</v>
      </c>
      <c r="B3710" s="458">
        <v>4.0090000000000004E-3</v>
      </c>
      <c r="C3710" t="str">
        <f t="shared" si="57"/>
        <v/>
      </c>
    </row>
    <row r="3711" spans="1:3" x14ac:dyDescent="0.25">
      <c r="A3711" s="223">
        <v>1.79786</v>
      </c>
      <c r="B3711" s="458">
        <v>2.7599999999999999E-3</v>
      </c>
      <c r="C3711" t="str">
        <f t="shared" ref="C3711:C3774" si="58">IF(B3711=0,"XXXXXXXX","")</f>
        <v/>
      </c>
    </row>
    <row r="3712" spans="1:3" x14ac:dyDescent="0.25">
      <c r="A3712" s="223">
        <v>0.85221000000000002</v>
      </c>
      <c r="B3712" s="458">
        <v>8.61E-4</v>
      </c>
      <c r="C3712" t="str">
        <f t="shared" si="58"/>
        <v/>
      </c>
    </row>
    <row r="3713" spans="1:3" x14ac:dyDescent="0.25">
      <c r="A3713" s="223">
        <v>0.55776000000000003</v>
      </c>
      <c r="B3713" s="458">
        <v>7.8700000000000005E-4</v>
      </c>
      <c r="C3713" t="str">
        <f t="shared" si="58"/>
        <v/>
      </c>
    </row>
    <row r="3714" spans="1:3" x14ac:dyDescent="0.25">
      <c r="A3714" s="223">
        <v>1.3674999999999999</v>
      </c>
      <c r="B3714" s="458">
        <v>4.7860000000000003E-3</v>
      </c>
      <c r="C3714" t="str">
        <f t="shared" si="58"/>
        <v/>
      </c>
    </row>
    <row r="3715" spans="1:3" x14ac:dyDescent="0.25">
      <c r="A3715" s="223">
        <v>2.6047699999999998</v>
      </c>
      <c r="B3715" s="458">
        <v>4.2719999999999998E-3</v>
      </c>
      <c r="C3715" t="str">
        <f t="shared" si="58"/>
        <v/>
      </c>
    </row>
    <row r="3716" spans="1:3" x14ac:dyDescent="0.25">
      <c r="A3716" s="223">
        <v>2.7151900000000002</v>
      </c>
      <c r="B3716" s="458">
        <v>5.594E-3</v>
      </c>
      <c r="C3716" t="str">
        <f t="shared" si="58"/>
        <v/>
      </c>
    </row>
    <row r="3717" spans="1:3" x14ac:dyDescent="0.25">
      <c r="A3717" s="223">
        <v>2.6047699999999998</v>
      </c>
      <c r="B3717" s="458">
        <v>6.1919999999999996E-3</v>
      </c>
      <c r="C3717" t="str">
        <f t="shared" si="58"/>
        <v/>
      </c>
    </row>
    <row r="3718" spans="1:3" x14ac:dyDescent="0.25">
      <c r="A3718" s="223">
        <v>2.5538099999999999</v>
      </c>
      <c r="B3718" s="458">
        <v>5.5209999999999999E-3</v>
      </c>
      <c r="C3718" t="str">
        <f t="shared" si="58"/>
        <v/>
      </c>
    </row>
    <row r="3719" spans="1:3" x14ac:dyDescent="0.25">
      <c r="A3719" s="223">
        <v>1.7100900000000001</v>
      </c>
      <c r="B3719" s="458">
        <v>3.3660000000000002E-2</v>
      </c>
      <c r="C3719" t="str">
        <f t="shared" si="58"/>
        <v/>
      </c>
    </row>
    <row r="3720" spans="1:3" x14ac:dyDescent="0.25">
      <c r="A3720" s="223">
        <v>1.87713</v>
      </c>
      <c r="B3720" s="458">
        <v>7.7140000000000004E-3</v>
      </c>
      <c r="C3720" t="str">
        <f t="shared" si="58"/>
        <v/>
      </c>
    </row>
    <row r="3721" spans="1:3" x14ac:dyDescent="0.25">
      <c r="A3721" s="223">
        <v>3.68065</v>
      </c>
      <c r="B3721" s="458">
        <v>1.3728000000000001E-2</v>
      </c>
      <c r="C3721" t="str">
        <f t="shared" si="58"/>
        <v/>
      </c>
    </row>
    <row r="3722" spans="1:3" x14ac:dyDescent="0.25">
      <c r="A3722" s="223">
        <v>1.62798</v>
      </c>
      <c r="B3722" s="458">
        <v>7.6599999999999997E-4</v>
      </c>
      <c r="C3722" t="str">
        <f t="shared" si="58"/>
        <v/>
      </c>
    </row>
    <row r="3723" spans="1:3" x14ac:dyDescent="0.25">
      <c r="A3723" s="223">
        <v>0.74178999999999995</v>
      </c>
      <c r="B3723" s="458">
        <v>3.0405999999999999E-2</v>
      </c>
      <c r="C3723" t="str">
        <f t="shared" si="58"/>
        <v/>
      </c>
    </row>
    <row r="3724" spans="1:3" x14ac:dyDescent="0.25">
      <c r="A3724" s="223">
        <v>1.34768</v>
      </c>
      <c r="B3724" s="458">
        <v>2.1410000000000001E-3</v>
      </c>
      <c r="C3724" t="str">
        <f t="shared" si="58"/>
        <v/>
      </c>
    </row>
    <row r="3725" spans="1:3" x14ac:dyDescent="0.25">
      <c r="A3725" s="223">
        <v>1.00227</v>
      </c>
      <c r="B3725" s="458">
        <v>1.5430000000000001E-3</v>
      </c>
      <c r="C3725" t="str">
        <f t="shared" si="58"/>
        <v/>
      </c>
    </row>
    <row r="3726" spans="1:3" x14ac:dyDescent="0.25">
      <c r="A3726" s="223">
        <v>1.4552700000000001</v>
      </c>
      <c r="B3726" s="458">
        <v>3.9653000000000001E-2</v>
      </c>
      <c r="C3726" t="str">
        <f t="shared" si="58"/>
        <v/>
      </c>
    </row>
    <row r="3727" spans="1:3" x14ac:dyDescent="0.25">
      <c r="A3727" s="223">
        <v>2.1093000000000002</v>
      </c>
      <c r="B3727" s="458">
        <v>1.47E-4</v>
      </c>
      <c r="C3727" t="str">
        <f t="shared" si="58"/>
        <v/>
      </c>
    </row>
    <row r="3728" spans="1:3" x14ac:dyDescent="0.25">
      <c r="A3728" s="223">
        <v>1.68177</v>
      </c>
      <c r="B3728" s="458">
        <v>0.104821</v>
      </c>
      <c r="C3728" t="str">
        <f t="shared" si="58"/>
        <v/>
      </c>
    </row>
    <row r="3729" spans="1:3" x14ac:dyDescent="0.25">
      <c r="A3729" s="223">
        <v>1.88846</v>
      </c>
      <c r="B3729" s="458">
        <v>6.1473E-2</v>
      </c>
      <c r="C3729" t="str">
        <f t="shared" si="58"/>
        <v/>
      </c>
    </row>
    <row r="3730" spans="1:3" x14ac:dyDescent="0.25">
      <c r="A3730" s="223">
        <v>4.0770299999999997</v>
      </c>
      <c r="B3730" s="458">
        <v>2.9283E-2</v>
      </c>
      <c r="C3730" t="str">
        <f t="shared" si="58"/>
        <v/>
      </c>
    </row>
    <row r="3731" spans="1:3" x14ac:dyDescent="0.25">
      <c r="A3731" s="223">
        <v>3.59571</v>
      </c>
      <c r="B3731" s="458">
        <v>2.2880999999999999E-2</v>
      </c>
      <c r="C3731" t="str">
        <f t="shared" si="58"/>
        <v/>
      </c>
    </row>
    <row r="3732" spans="1:3" x14ac:dyDescent="0.25">
      <c r="A3732" s="223">
        <v>3.93547</v>
      </c>
      <c r="B3732" s="458">
        <v>5.7695000000000003E-2</v>
      </c>
      <c r="C3732" t="str">
        <f t="shared" si="58"/>
        <v/>
      </c>
    </row>
    <row r="3733" spans="1:3" x14ac:dyDescent="0.25">
      <c r="A3733" s="223">
        <v>3.3409</v>
      </c>
      <c r="B3733" s="458">
        <v>0.113732</v>
      </c>
      <c r="C3733" t="str">
        <f t="shared" si="58"/>
        <v/>
      </c>
    </row>
    <row r="3734" spans="1:3" x14ac:dyDescent="0.25">
      <c r="A3734" s="223">
        <v>1.56569</v>
      </c>
      <c r="B3734" s="458">
        <v>2.1485000000000001E-2</v>
      </c>
      <c r="C3734" t="str">
        <f t="shared" si="58"/>
        <v/>
      </c>
    </row>
    <row r="3735" spans="1:3" x14ac:dyDescent="0.25">
      <c r="A3735" s="223">
        <v>0.86636999999999997</v>
      </c>
      <c r="B3735" s="458">
        <v>1.6789999999999999E-3</v>
      </c>
      <c r="C3735" t="str">
        <f t="shared" si="58"/>
        <v/>
      </c>
    </row>
    <row r="3736" spans="1:3" x14ac:dyDescent="0.25">
      <c r="A3736" s="223">
        <v>0.40487000000000001</v>
      </c>
      <c r="B3736" s="458">
        <v>5.1400000000000003E-4</v>
      </c>
      <c r="C3736" t="str">
        <f t="shared" si="58"/>
        <v/>
      </c>
    </row>
    <row r="3737" spans="1:3" x14ac:dyDescent="0.25">
      <c r="A3737" s="223">
        <v>0.51246000000000003</v>
      </c>
      <c r="B3737" s="458">
        <v>1.9963000000000002E-2</v>
      </c>
      <c r="C3737" t="str">
        <f t="shared" si="58"/>
        <v/>
      </c>
    </row>
    <row r="3738" spans="1:3" x14ac:dyDescent="0.25">
      <c r="A3738" s="223">
        <v>0.73612999999999995</v>
      </c>
      <c r="B3738" s="458">
        <v>1.4253E-2</v>
      </c>
      <c r="C3738" t="str">
        <f t="shared" si="58"/>
        <v/>
      </c>
    </row>
    <row r="3739" spans="1:3" x14ac:dyDescent="0.25">
      <c r="A3739" s="223">
        <v>0.52944999999999998</v>
      </c>
      <c r="B3739" s="458">
        <v>3.6740000000000002E-3</v>
      </c>
      <c r="C3739" t="str">
        <f t="shared" si="58"/>
        <v/>
      </c>
    </row>
    <row r="3740" spans="1:3" x14ac:dyDescent="0.25">
      <c r="A3740" s="223">
        <v>0.54644000000000004</v>
      </c>
      <c r="B3740" s="458">
        <v>1.343E-3</v>
      </c>
      <c r="C3740" t="str">
        <f t="shared" si="58"/>
        <v/>
      </c>
    </row>
    <row r="3741" spans="1:3" x14ac:dyDescent="0.25">
      <c r="A3741" s="223">
        <v>0.69366000000000005</v>
      </c>
      <c r="B3741" s="458">
        <v>1.784E-3</v>
      </c>
      <c r="C3741" t="str">
        <f t="shared" si="58"/>
        <v/>
      </c>
    </row>
    <row r="3742" spans="1:3" x14ac:dyDescent="0.25">
      <c r="A3742" s="223">
        <v>1.05606</v>
      </c>
      <c r="B3742" s="458">
        <v>7.4310000000000001E-3</v>
      </c>
      <c r="C3742" t="str">
        <f t="shared" si="58"/>
        <v/>
      </c>
    </row>
    <row r="3743" spans="1:3" x14ac:dyDescent="0.25">
      <c r="A3743" s="223">
        <v>1.10703</v>
      </c>
      <c r="B3743" s="458">
        <v>3.2673000000000001E-2</v>
      </c>
      <c r="C3743" t="str">
        <f t="shared" si="58"/>
        <v/>
      </c>
    </row>
    <row r="3744" spans="1:3" x14ac:dyDescent="0.25">
      <c r="A3744" s="223">
        <v>1.69876</v>
      </c>
      <c r="B3744" s="458">
        <v>2.9041999999999998E-2</v>
      </c>
      <c r="C3744" t="str">
        <f t="shared" si="58"/>
        <v/>
      </c>
    </row>
    <row r="3745" spans="1:3" x14ac:dyDescent="0.25">
      <c r="A3745" s="223">
        <v>1.53738</v>
      </c>
      <c r="B3745" s="458">
        <v>3.8351000000000003E-2</v>
      </c>
      <c r="C3745" t="str">
        <f t="shared" si="58"/>
        <v/>
      </c>
    </row>
    <row r="3746" spans="1:3" x14ac:dyDescent="0.25">
      <c r="A3746" s="223">
        <v>1.50624</v>
      </c>
      <c r="B3746" s="458">
        <v>5.6569999999999997E-3</v>
      </c>
      <c r="C3746" t="str">
        <f t="shared" si="58"/>
        <v/>
      </c>
    </row>
    <row r="3747" spans="1:3" x14ac:dyDescent="0.25">
      <c r="A3747" s="223">
        <v>1.26841</v>
      </c>
      <c r="B3747" s="458">
        <v>2.2870000000000001E-2</v>
      </c>
      <c r="C3747" t="str">
        <f t="shared" si="58"/>
        <v/>
      </c>
    </row>
    <row r="3748" spans="1:3" x14ac:dyDescent="0.25">
      <c r="A3748" s="223">
        <v>1.08155</v>
      </c>
      <c r="B3748" s="458">
        <v>2.7592999999999999E-2</v>
      </c>
      <c r="C3748" t="str">
        <f t="shared" si="58"/>
        <v/>
      </c>
    </row>
    <row r="3749" spans="1:3" x14ac:dyDescent="0.25">
      <c r="A3749" s="223">
        <v>1.05606</v>
      </c>
      <c r="B3749" s="458">
        <v>1.3769999999999999E-2</v>
      </c>
      <c r="C3749" t="str">
        <f t="shared" si="58"/>
        <v/>
      </c>
    </row>
    <row r="3750" spans="1:3" x14ac:dyDescent="0.25">
      <c r="A3750" s="223">
        <v>0.46433000000000002</v>
      </c>
      <c r="B3750" s="458">
        <v>8.3999999999999995E-5</v>
      </c>
      <c r="C3750" t="str">
        <f t="shared" si="58"/>
        <v/>
      </c>
    </row>
    <row r="3751" spans="1:3" x14ac:dyDescent="0.25">
      <c r="A3751" s="223">
        <v>1.12401</v>
      </c>
      <c r="B3751" s="458">
        <v>2.1619999999999999E-3</v>
      </c>
      <c r="C3751" t="str">
        <f t="shared" si="58"/>
        <v/>
      </c>
    </row>
    <row r="3752" spans="1:3" x14ac:dyDescent="0.25">
      <c r="A3752" s="223">
        <v>2.1913999999999998</v>
      </c>
      <c r="B3752" s="458">
        <v>3.1700000000000001E-3</v>
      </c>
      <c r="C3752" t="str">
        <f t="shared" si="58"/>
        <v/>
      </c>
    </row>
    <row r="3753" spans="1:3" x14ac:dyDescent="0.25">
      <c r="A3753" s="223">
        <v>3.00115</v>
      </c>
      <c r="B3753" s="458">
        <v>0.17349400000000001</v>
      </c>
      <c r="C3753" t="str">
        <f t="shared" si="58"/>
        <v/>
      </c>
    </row>
    <row r="3754" spans="1:3" x14ac:dyDescent="0.25">
      <c r="A3754" s="223">
        <v>3.59571</v>
      </c>
      <c r="B3754" s="458">
        <v>8.0617999999999995E-2</v>
      </c>
      <c r="C3754" t="str">
        <f t="shared" si="58"/>
        <v/>
      </c>
    </row>
    <row r="3755" spans="1:3" x14ac:dyDescent="0.25">
      <c r="A3755" s="223">
        <v>4.0204000000000004</v>
      </c>
      <c r="B3755" s="458">
        <v>3.8476999999999997E-2</v>
      </c>
      <c r="C3755" t="str">
        <f t="shared" si="58"/>
        <v/>
      </c>
    </row>
    <row r="3756" spans="1:3" x14ac:dyDescent="0.25">
      <c r="A3756" s="223">
        <v>5.3227900000000004</v>
      </c>
      <c r="B3756" s="458">
        <v>0.235513</v>
      </c>
      <c r="C3756" t="str">
        <f t="shared" si="58"/>
        <v/>
      </c>
    </row>
    <row r="3757" spans="1:3" x14ac:dyDescent="0.25">
      <c r="A3757" s="223">
        <v>8.5221199999999993</v>
      </c>
      <c r="B3757" s="458">
        <v>3.7858000000000003E-2</v>
      </c>
      <c r="C3757" t="str">
        <f t="shared" si="58"/>
        <v/>
      </c>
    </row>
    <row r="3758" spans="1:3" x14ac:dyDescent="0.25">
      <c r="A3758" s="223">
        <v>6.1721700000000004</v>
      </c>
      <c r="B3758" s="458">
        <v>4.8552999999999999E-2</v>
      </c>
      <c r="C3758" t="str">
        <f t="shared" si="58"/>
        <v/>
      </c>
    </row>
    <row r="3759" spans="1:3" x14ac:dyDescent="0.25">
      <c r="A3759" s="223">
        <v>8.7203099999999996</v>
      </c>
      <c r="B3759" s="458">
        <v>7.2788000000000005E-2</v>
      </c>
      <c r="C3759" t="str">
        <f t="shared" si="58"/>
        <v/>
      </c>
    </row>
    <row r="3760" spans="1:3" x14ac:dyDescent="0.25">
      <c r="A3760" s="223">
        <v>6.0872299999999999</v>
      </c>
      <c r="B3760" s="458">
        <v>5.3518000000000003E-2</v>
      </c>
      <c r="C3760" t="str">
        <f t="shared" si="58"/>
        <v/>
      </c>
    </row>
    <row r="3761" spans="1:3" x14ac:dyDescent="0.25">
      <c r="A3761" s="223">
        <v>9.6263199999999998</v>
      </c>
      <c r="B3761" s="458">
        <v>4.9036000000000003E-2</v>
      </c>
      <c r="C3761" t="str">
        <f t="shared" si="58"/>
        <v/>
      </c>
    </row>
    <row r="3762" spans="1:3" x14ac:dyDescent="0.25">
      <c r="A3762" s="223">
        <v>2.7435</v>
      </c>
      <c r="B3762" s="458">
        <v>3.9149000000000003E-2</v>
      </c>
      <c r="C3762" t="str">
        <f t="shared" si="58"/>
        <v/>
      </c>
    </row>
    <row r="3763" spans="1:3" x14ac:dyDescent="0.25">
      <c r="A3763" s="223">
        <v>1.3023800000000001</v>
      </c>
      <c r="B3763" s="458">
        <v>1.354E-3</v>
      </c>
      <c r="C3763" t="str">
        <f t="shared" si="58"/>
        <v/>
      </c>
    </row>
    <row r="3764" spans="1:3" x14ac:dyDescent="0.25">
      <c r="A3764" s="223">
        <v>0.62004999999999999</v>
      </c>
      <c r="B3764" s="458">
        <v>2.1000000000000001E-4</v>
      </c>
      <c r="C3764" t="str">
        <f t="shared" si="58"/>
        <v/>
      </c>
    </row>
    <row r="3765" spans="1:3" x14ac:dyDescent="0.25">
      <c r="A3765" s="223">
        <v>1.0730500000000001</v>
      </c>
      <c r="B3765" s="458">
        <v>1.606E-3</v>
      </c>
      <c r="C3765" t="str">
        <f t="shared" si="58"/>
        <v/>
      </c>
    </row>
    <row r="3766" spans="1:3" x14ac:dyDescent="0.25">
      <c r="A3766" s="223">
        <v>1.0730500000000001</v>
      </c>
      <c r="B3766" s="458">
        <v>3.7199999999999999E-4</v>
      </c>
      <c r="C3766" t="str">
        <f t="shared" si="58"/>
        <v/>
      </c>
    </row>
    <row r="3767" spans="1:3" x14ac:dyDescent="0.25">
      <c r="A3767" s="223">
        <v>1.22028</v>
      </c>
      <c r="B3767" s="458">
        <v>3.8900000000000002E-4</v>
      </c>
      <c r="C3767" t="str">
        <f t="shared" si="58"/>
        <v/>
      </c>
    </row>
    <row r="3768" spans="1:3" x14ac:dyDescent="0.25">
      <c r="A3768" s="223">
        <v>1.22028</v>
      </c>
      <c r="B3768" s="458">
        <v>3.7199999999999999E-4</v>
      </c>
      <c r="C3768" t="str">
        <f t="shared" si="58"/>
        <v/>
      </c>
    </row>
    <row r="3769" spans="1:3" x14ac:dyDescent="0.25">
      <c r="A3769" s="223">
        <v>4.2469099999999997</v>
      </c>
      <c r="B3769" s="458">
        <v>3.1801999999999997E-2</v>
      </c>
      <c r="C3769" t="str">
        <f t="shared" si="58"/>
        <v/>
      </c>
    </row>
    <row r="3770" spans="1:3" x14ac:dyDescent="0.25">
      <c r="A3770" s="223">
        <v>4.2469099999999997</v>
      </c>
      <c r="B3770" s="458">
        <v>4.0513E-2</v>
      </c>
      <c r="C3770" t="str">
        <f t="shared" si="58"/>
        <v/>
      </c>
    </row>
    <row r="3771" spans="1:3" x14ac:dyDescent="0.25">
      <c r="A3771" s="223">
        <v>3.7938999999999998</v>
      </c>
      <c r="B3771" s="458">
        <v>1.6372999999999999E-2</v>
      </c>
      <c r="C3771" t="str">
        <f t="shared" si="58"/>
        <v/>
      </c>
    </row>
    <row r="3772" spans="1:3" x14ac:dyDescent="0.25">
      <c r="A3772" s="223">
        <v>3.7938999999999998</v>
      </c>
      <c r="B3772" s="458">
        <v>1.2489999999999999E-2</v>
      </c>
      <c r="C3772" t="str">
        <f t="shared" si="58"/>
        <v/>
      </c>
    </row>
    <row r="3773" spans="1:3" x14ac:dyDescent="0.25">
      <c r="A3773" s="223">
        <v>2.7548300000000001</v>
      </c>
      <c r="B3773" s="458">
        <v>5.2690000000000002E-3</v>
      </c>
      <c r="C3773" t="str">
        <f t="shared" si="58"/>
        <v/>
      </c>
    </row>
    <row r="3774" spans="1:3" x14ac:dyDescent="0.25">
      <c r="A3774" s="223">
        <v>2.7548300000000001</v>
      </c>
      <c r="B3774" s="458">
        <v>8.4489999999999999E-3</v>
      </c>
      <c r="C3774" t="str">
        <f t="shared" si="58"/>
        <v/>
      </c>
    </row>
    <row r="3775" spans="1:3" x14ac:dyDescent="0.25">
      <c r="A3775" s="223">
        <v>2.5085099999999998</v>
      </c>
      <c r="B3775" s="458">
        <v>4.8000000000000001E-4</v>
      </c>
      <c r="C3775" t="str">
        <f t="shared" ref="C3775:C3838" si="59">IF(B3775=0,"XXXXXXXX","")</f>
        <v/>
      </c>
    </row>
    <row r="3776" spans="1:3" x14ac:dyDescent="0.25">
      <c r="A3776" s="223">
        <v>2.5085099999999998</v>
      </c>
      <c r="B3776" s="458">
        <v>5.4699999999999996E-4</v>
      </c>
      <c r="C3776" t="str">
        <f t="shared" si="59"/>
        <v/>
      </c>
    </row>
    <row r="3777" spans="1:3" x14ac:dyDescent="0.25">
      <c r="A3777" s="223">
        <v>2.8595799999999998</v>
      </c>
      <c r="B3777" s="458">
        <v>1.0600999999999999E-2</v>
      </c>
      <c r="C3777" t="str">
        <f t="shared" si="59"/>
        <v/>
      </c>
    </row>
    <row r="3778" spans="1:3" x14ac:dyDescent="0.25">
      <c r="A3778" s="223">
        <v>2.8595799999999998</v>
      </c>
      <c r="B3778" s="458">
        <v>4.1770000000000002E-3</v>
      </c>
      <c r="C3778" t="str">
        <f t="shared" si="59"/>
        <v/>
      </c>
    </row>
    <row r="3779" spans="1:3" x14ac:dyDescent="0.25">
      <c r="A3779" s="223">
        <v>2.91621</v>
      </c>
      <c r="B3779" s="458">
        <v>5.0689999999999997E-3</v>
      </c>
      <c r="C3779" t="str">
        <f t="shared" si="59"/>
        <v/>
      </c>
    </row>
    <row r="3780" spans="1:3" x14ac:dyDescent="0.25">
      <c r="A3780" s="223">
        <v>2.91621</v>
      </c>
      <c r="B3780" s="458">
        <v>5.2059999999999997E-3</v>
      </c>
      <c r="C3780" t="str">
        <f t="shared" si="59"/>
        <v/>
      </c>
    </row>
    <row r="3781" spans="1:3" x14ac:dyDescent="0.25">
      <c r="A3781" s="223">
        <v>2.8879000000000001</v>
      </c>
      <c r="B3781" s="458">
        <v>3.222E-3</v>
      </c>
      <c r="C3781" t="str">
        <f t="shared" si="59"/>
        <v/>
      </c>
    </row>
    <row r="3782" spans="1:3" x14ac:dyDescent="0.25">
      <c r="A3782" s="223">
        <v>2.8879000000000001</v>
      </c>
      <c r="B3782" s="458">
        <v>9.4249999999999994E-3</v>
      </c>
      <c r="C3782" t="str">
        <f t="shared" si="59"/>
        <v/>
      </c>
    </row>
    <row r="3783" spans="1:3" x14ac:dyDescent="0.25">
      <c r="A3783" s="223">
        <v>2.0130300000000001</v>
      </c>
      <c r="B3783" s="458">
        <v>3.6319999999999998E-3</v>
      </c>
      <c r="C3783" t="str">
        <f t="shared" si="59"/>
        <v/>
      </c>
    </row>
    <row r="3784" spans="1:3" x14ac:dyDescent="0.25">
      <c r="A3784" s="223">
        <v>2.0130300000000001</v>
      </c>
      <c r="B3784" s="458">
        <v>9.6699999999999998E-4</v>
      </c>
      <c r="C3784" t="str">
        <f t="shared" si="59"/>
        <v/>
      </c>
    </row>
    <row r="3785" spans="1:3" x14ac:dyDescent="0.25">
      <c r="A3785" s="223">
        <v>2.6047699999999998</v>
      </c>
      <c r="B3785" s="458">
        <v>2.3410000000000002E-3</v>
      </c>
      <c r="C3785" t="str">
        <f t="shared" si="59"/>
        <v/>
      </c>
    </row>
    <row r="3786" spans="1:3" x14ac:dyDescent="0.25">
      <c r="A3786" s="223">
        <v>2.6047699999999998</v>
      </c>
      <c r="B3786" s="458">
        <v>9.77E-4</v>
      </c>
      <c r="C3786" t="str">
        <f t="shared" si="59"/>
        <v/>
      </c>
    </row>
    <row r="3787" spans="1:3" x14ac:dyDescent="0.25">
      <c r="A3787" s="223">
        <v>2.5566399999999998</v>
      </c>
      <c r="B3787" s="458">
        <v>1.8997E-2</v>
      </c>
      <c r="C3787" t="str">
        <f t="shared" si="59"/>
        <v/>
      </c>
    </row>
    <row r="3788" spans="1:3" x14ac:dyDescent="0.25">
      <c r="A3788" s="223">
        <v>2.5566399999999998</v>
      </c>
      <c r="B3788" s="458">
        <v>8.1449999999999995E-3</v>
      </c>
      <c r="C3788" t="str">
        <f t="shared" si="59"/>
        <v/>
      </c>
    </row>
    <row r="3789" spans="1:3" x14ac:dyDescent="0.25">
      <c r="A3789" s="223">
        <v>1.9734</v>
      </c>
      <c r="B3789" s="458">
        <v>1.0499999999999999E-3</v>
      </c>
      <c r="C3789" t="str">
        <f t="shared" si="59"/>
        <v/>
      </c>
    </row>
    <row r="3790" spans="1:3" x14ac:dyDescent="0.25">
      <c r="A3790" s="223">
        <v>1.9734</v>
      </c>
      <c r="B3790" s="458">
        <v>2.9100000000000003E-4</v>
      </c>
      <c r="C3790" t="str">
        <f t="shared" si="59"/>
        <v/>
      </c>
    </row>
    <row r="3791" spans="1:3" x14ac:dyDescent="0.25">
      <c r="A3791" s="223">
        <v>1.93093</v>
      </c>
      <c r="B3791" s="458">
        <v>8.0799999999999999E-5</v>
      </c>
      <c r="C3791" t="str">
        <f t="shared" si="59"/>
        <v/>
      </c>
    </row>
    <row r="3792" spans="1:3" x14ac:dyDescent="0.25">
      <c r="A3792" s="223">
        <v>1.85165</v>
      </c>
      <c r="B3792" s="458">
        <v>8.1899999999999999E-5</v>
      </c>
      <c r="C3792" t="str">
        <f t="shared" si="59"/>
        <v/>
      </c>
    </row>
    <row r="3793" spans="1:3" x14ac:dyDescent="0.25">
      <c r="A3793" s="223">
        <v>1.85165</v>
      </c>
      <c r="B3793" s="458">
        <v>1.2300000000000001E-4</v>
      </c>
      <c r="C3793" t="str">
        <f t="shared" si="59"/>
        <v/>
      </c>
    </row>
    <row r="3794" spans="1:3" x14ac:dyDescent="0.25">
      <c r="A3794" s="223">
        <v>1.58551</v>
      </c>
      <c r="B3794" s="458">
        <v>1.4270000000000001E-3</v>
      </c>
      <c r="C3794" t="str">
        <f t="shared" si="59"/>
        <v/>
      </c>
    </row>
    <row r="3795" spans="1:3" x14ac:dyDescent="0.25">
      <c r="A3795" s="223">
        <v>1.58551</v>
      </c>
      <c r="B3795" s="458">
        <v>3.107E-3</v>
      </c>
      <c r="C3795" t="str">
        <f t="shared" si="59"/>
        <v/>
      </c>
    </row>
    <row r="3796" spans="1:3" x14ac:dyDescent="0.25">
      <c r="A3796" s="223">
        <v>2.1432699999999998</v>
      </c>
      <c r="B3796" s="458">
        <v>9.4399999999999996E-4</v>
      </c>
      <c r="C3796" t="str">
        <f t="shared" si="59"/>
        <v/>
      </c>
    </row>
    <row r="3797" spans="1:3" x14ac:dyDescent="0.25">
      <c r="A3797" s="223">
        <v>2.1432699999999998</v>
      </c>
      <c r="B3797" s="458">
        <v>3.5370000000000002E-3</v>
      </c>
      <c r="C3797" t="str">
        <f t="shared" si="59"/>
        <v/>
      </c>
    </row>
    <row r="3798" spans="1:3" x14ac:dyDescent="0.25">
      <c r="A3798" s="223">
        <v>1.44678</v>
      </c>
      <c r="B3798" s="458">
        <v>5.1599999999999997E-4</v>
      </c>
      <c r="C3798" t="str">
        <f t="shared" si="59"/>
        <v/>
      </c>
    </row>
    <row r="3799" spans="1:3" x14ac:dyDescent="0.25">
      <c r="A3799" s="223">
        <v>1.44678</v>
      </c>
      <c r="B3799" s="458">
        <v>1.76E-4</v>
      </c>
      <c r="C3799" t="str">
        <f t="shared" si="59"/>
        <v/>
      </c>
    </row>
    <row r="3800" spans="1:3" x14ac:dyDescent="0.25">
      <c r="A3800" s="223">
        <v>1.5147299999999999</v>
      </c>
      <c r="B3800" s="458">
        <v>1.3960000000000001E-3</v>
      </c>
      <c r="C3800" t="str">
        <f t="shared" si="59"/>
        <v/>
      </c>
    </row>
    <row r="3801" spans="1:3" x14ac:dyDescent="0.25">
      <c r="A3801" s="223">
        <v>1.5147299999999999</v>
      </c>
      <c r="B3801" s="458">
        <v>4.46E-4</v>
      </c>
      <c r="C3801" t="str">
        <f t="shared" si="59"/>
        <v/>
      </c>
    </row>
    <row r="3802" spans="1:3" x14ac:dyDescent="0.25">
      <c r="A3802" s="223">
        <v>1.34768</v>
      </c>
      <c r="B3802" s="458">
        <v>5.77E-5</v>
      </c>
      <c r="C3802" t="str">
        <f t="shared" si="59"/>
        <v/>
      </c>
    </row>
    <row r="3803" spans="1:3" x14ac:dyDescent="0.25">
      <c r="A3803" s="223">
        <v>1.34768</v>
      </c>
      <c r="B3803" s="458">
        <v>1.2E-4</v>
      </c>
      <c r="C3803" t="str">
        <f t="shared" si="59"/>
        <v/>
      </c>
    </row>
    <row r="3804" spans="1:3" x14ac:dyDescent="0.25">
      <c r="A3804" s="223">
        <v>1.25142</v>
      </c>
      <c r="B3804" s="458">
        <v>4.7130000000000002E-3</v>
      </c>
      <c r="C3804" t="str">
        <f t="shared" si="59"/>
        <v/>
      </c>
    </row>
    <row r="3805" spans="1:3" x14ac:dyDescent="0.25">
      <c r="A3805" s="223">
        <v>1.25142</v>
      </c>
      <c r="B3805" s="458">
        <v>3.8000000000000002E-4</v>
      </c>
      <c r="C3805" t="str">
        <f t="shared" si="59"/>
        <v/>
      </c>
    </row>
    <row r="3806" spans="1:3" x14ac:dyDescent="0.25">
      <c r="A3806" s="223">
        <v>0.63704000000000005</v>
      </c>
      <c r="B3806" s="458">
        <v>5.9900000000000003E-4</v>
      </c>
      <c r="C3806" t="str">
        <f t="shared" si="59"/>
        <v/>
      </c>
    </row>
    <row r="3807" spans="1:3" x14ac:dyDescent="0.25">
      <c r="A3807" s="223">
        <v>0.63704000000000005</v>
      </c>
      <c r="B3807" s="458">
        <v>6.6099999999999994E-5</v>
      </c>
      <c r="C3807" t="str">
        <f t="shared" si="59"/>
        <v/>
      </c>
    </row>
    <row r="3808" spans="1:3" x14ac:dyDescent="0.25">
      <c r="A3808" s="223">
        <v>0.3624</v>
      </c>
      <c r="B3808" s="458">
        <v>3.04E-5</v>
      </c>
      <c r="C3808" t="str">
        <f t="shared" si="59"/>
        <v/>
      </c>
    </row>
    <row r="3809" spans="1:3" x14ac:dyDescent="0.25">
      <c r="A3809" s="223">
        <v>0.3624</v>
      </c>
      <c r="B3809" s="458">
        <v>2.94E-5</v>
      </c>
      <c r="C3809" t="str">
        <f t="shared" si="59"/>
        <v/>
      </c>
    </row>
    <row r="3810" spans="1:3" x14ac:dyDescent="0.25">
      <c r="A3810" s="223">
        <v>0.20527000000000001</v>
      </c>
      <c r="B3810" s="458">
        <v>8.6100000000000006E-5</v>
      </c>
      <c r="C3810" t="str">
        <f t="shared" si="59"/>
        <v/>
      </c>
    </row>
    <row r="3811" spans="1:3" x14ac:dyDescent="0.25">
      <c r="A3811" s="223">
        <v>0.20527000000000001</v>
      </c>
      <c r="B3811" s="458">
        <v>1.8799999999999999E-4</v>
      </c>
      <c r="C3811" t="str">
        <f t="shared" si="59"/>
        <v/>
      </c>
    </row>
    <row r="3812" spans="1:3" x14ac:dyDescent="0.25">
      <c r="A3812" s="223">
        <v>0.16789000000000001</v>
      </c>
      <c r="B3812" s="458">
        <v>6.9300000000000004E-5</v>
      </c>
      <c r="C3812" t="str">
        <f t="shared" si="59"/>
        <v/>
      </c>
    </row>
    <row r="3813" spans="1:3" x14ac:dyDescent="0.25">
      <c r="A3813" s="223">
        <v>0.16789000000000001</v>
      </c>
      <c r="B3813" s="458">
        <v>1.47E-5</v>
      </c>
      <c r="C3813" t="str">
        <f t="shared" si="59"/>
        <v/>
      </c>
    </row>
    <row r="3814" spans="1:3" x14ac:dyDescent="0.25">
      <c r="A3814" s="223">
        <v>1.1098600000000001</v>
      </c>
      <c r="B3814" s="458">
        <v>2.0149999999999999E-3</v>
      </c>
      <c r="C3814" t="str">
        <f t="shared" si="59"/>
        <v/>
      </c>
    </row>
    <row r="3815" spans="1:3" x14ac:dyDescent="0.25">
      <c r="A3815" s="223">
        <v>1.1098600000000001</v>
      </c>
      <c r="B3815" s="458">
        <v>4.8000000000000001E-4</v>
      </c>
      <c r="C3815" t="str">
        <f t="shared" si="59"/>
        <v/>
      </c>
    </row>
    <row r="3816" spans="1:3" x14ac:dyDescent="0.25">
      <c r="A3816" s="223">
        <v>1.7723800000000001</v>
      </c>
      <c r="B3816" s="458">
        <v>5.4199999999999995E-4</v>
      </c>
      <c r="C3816" t="str">
        <f t="shared" si="59"/>
        <v/>
      </c>
    </row>
    <row r="3817" spans="1:3" x14ac:dyDescent="0.25">
      <c r="A3817" s="223">
        <v>1.7723800000000001</v>
      </c>
      <c r="B3817" s="458">
        <v>2.036E-3</v>
      </c>
      <c r="C3817" t="str">
        <f t="shared" si="59"/>
        <v/>
      </c>
    </row>
    <row r="3818" spans="1:3" x14ac:dyDescent="0.25">
      <c r="A3818" s="223">
        <v>1.46943</v>
      </c>
      <c r="B3818" s="458">
        <v>2.8549999999999999E-3</v>
      </c>
      <c r="C3818" t="str">
        <f t="shared" si="59"/>
        <v/>
      </c>
    </row>
    <row r="3819" spans="1:3" x14ac:dyDescent="0.25">
      <c r="A3819" s="223">
        <v>1.46943</v>
      </c>
      <c r="B3819" s="458">
        <v>9.6699999999999998E-4</v>
      </c>
      <c r="C3819" t="str">
        <f t="shared" si="59"/>
        <v/>
      </c>
    </row>
    <row r="3820" spans="1:3" x14ac:dyDescent="0.25">
      <c r="A3820" s="223">
        <v>1.5402100000000001</v>
      </c>
      <c r="B3820" s="458">
        <v>2.0149999999999999E-3</v>
      </c>
      <c r="C3820" t="str">
        <f t="shared" si="59"/>
        <v/>
      </c>
    </row>
    <row r="3821" spans="1:3" x14ac:dyDescent="0.25">
      <c r="A3821" s="223">
        <v>1.5402100000000001</v>
      </c>
      <c r="B3821" s="458">
        <v>1.003E-3</v>
      </c>
      <c r="C3821" t="str">
        <f t="shared" si="59"/>
        <v/>
      </c>
    </row>
    <row r="3822" spans="1:3" x14ac:dyDescent="0.25">
      <c r="A3822" s="223">
        <v>3.5674000000000001</v>
      </c>
      <c r="B3822" s="458">
        <v>1.5429E-2</v>
      </c>
      <c r="C3822" t="str">
        <f t="shared" si="59"/>
        <v/>
      </c>
    </row>
    <row r="3823" spans="1:3" x14ac:dyDescent="0.25">
      <c r="A3823" s="223">
        <v>3.5674000000000001</v>
      </c>
      <c r="B3823" s="458">
        <v>1.6372999999999999E-2</v>
      </c>
      <c r="C3823" t="str">
        <f t="shared" si="59"/>
        <v/>
      </c>
    </row>
    <row r="3824" spans="1:3" x14ac:dyDescent="0.25">
      <c r="A3824" s="223">
        <v>6.5119199999999999</v>
      </c>
      <c r="B3824" s="458">
        <v>5.6470000000000001E-3</v>
      </c>
      <c r="C3824" t="str">
        <f t="shared" si="59"/>
        <v/>
      </c>
    </row>
    <row r="3825" spans="1:3" x14ac:dyDescent="0.25">
      <c r="A3825" s="223">
        <v>6.5119199999999999</v>
      </c>
      <c r="B3825" s="458">
        <v>4.7229999999999998E-3</v>
      </c>
      <c r="C3825" t="str">
        <f t="shared" si="59"/>
        <v/>
      </c>
    </row>
    <row r="3826" spans="1:3" x14ac:dyDescent="0.25">
      <c r="A3826" s="223">
        <v>6.4269800000000004</v>
      </c>
      <c r="B3826" s="458">
        <v>1.0191E-2</v>
      </c>
      <c r="C3826" t="str">
        <f t="shared" si="59"/>
        <v/>
      </c>
    </row>
    <row r="3827" spans="1:3" x14ac:dyDescent="0.25">
      <c r="A3827" s="223">
        <v>6.4269800000000004</v>
      </c>
      <c r="B3827" s="458">
        <v>1.2489999999999999E-2</v>
      </c>
      <c r="C3827" t="str">
        <f t="shared" si="59"/>
        <v/>
      </c>
    </row>
    <row r="3828" spans="1:3" x14ac:dyDescent="0.25">
      <c r="A3828" s="223">
        <v>4.8131599999999999</v>
      </c>
      <c r="B3828" s="458">
        <v>4.2820000000000002E-3</v>
      </c>
      <c r="C3828" t="str">
        <f t="shared" si="59"/>
        <v/>
      </c>
    </row>
    <row r="3829" spans="1:3" x14ac:dyDescent="0.25">
      <c r="A3829" s="223">
        <v>4.8131599999999999</v>
      </c>
      <c r="B3829" s="458">
        <v>6.8329999999999997E-3</v>
      </c>
      <c r="C3829" t="str">
        <f t="shared" si="59"/>
        <v/>
      </c>
    </row>
    <row r="3830" spans="1:3" x14ac:dyDescent="0.25">
      <c r="A3830" s="223">
        <v>5.2661600000000002</v>
      </c>
      <c r="B3830" s="458">
        <v>8.1969999999999994E-3</v>
      </c>
      <c r="C3830" t="str">
        <f t="shared" si="59"/>
        <v/>
      </c>
    </row>
    <row r="3831" spans="1:3" x14ac:dyDescent="0.25">
      <c r="A3831" s="223">
        <v>5.2661600000000002</v>
      </c>
      <c r="B3831" s="458">
        <v>2.1516E-2</v>
      </c>
      <c r="C3831" t="str">
        <f t="shared" si="59"/>
        <v/>
      </c>
    </row>
    <row r="3832" spans="1:3" x14ac:dyDescent="0.25">
      <c r="A3832" s="223">
        <v>4.5866600000000002</v>
      </c>
      <c r="B3832" s="458">
        <v>7.064E-3</v>
      </c>
      <c r="C3832" t="str">
        <f t="shared" si="59"/>
        <v/>
      </c>
    </row>
    <row r="3833" spans="1:3" x14ac:dyDescent="0.25">
      <c r="A3833" s="223">
        <v>4.5866600000000002</v>
      </c>
      <c r="B3833" s="458">
        <v>1.2805E-2</v>
      </c>
      <c r="C3833" t="str">
        <f t="shared" si="59"/>
        <v/>
      </c>
    </row>
    <row r="3834" spans="1:3" x14ac:dyDescent="0.25">
      <c r="A3834" s="223">
        <v>3.9637799999999999</v>
      </c>
      <c r="B3834" s="458">
        <v>4.0619999999999996E-3</v>
      </c>
      <c r="C3834" t="str">
        <f t="shared" si="59"/>
        <v/>
      </c>
    </row>
    <row r="3835" spans="1:3" x14ac:dyDescent="0.25">
      <c r="A3835" s="223">
        <v>3.9637799999999999</v>
      </c>
      <c r="B3835" s="458">
        <v>1.6372999999999999E-2</v>
      </c>
      <c r="C3835" t="str">
        <f t="shared" si="59"/>
        <v/>
      </c>
    </row>
    <row r="3836" spans="1:3" x14ac:dyDescent="0.25">
      <c r="A3836" s="223">
        <v>3.25596</v>
      </c>
      <c r="B3836" s="458">
        <v>2.2360000000000001E-3</v>
      </c>
      <c r="C3836" t="str">
        <f t="shared" si="59"/>
        <v/>
      </c>
    </row>
    <row r="3837" spans="1:3" x14ac:dyDescent="0.25">
      <c r="A3837" s="223">
        <v>3.25596</v>
      </c>
      <c r="B3837" s="458">
        <v>2.7499999999999998E-3</v>
      </c>
      <c r="C3837" t="str">
        <f t="shared" si="59"/>
        <v/>
      </c>
    </row>
    <row r="3838" spans="1:3" x14ac:dyDescent="0.25">
      <c r="A3838" s="223">
        <v>3.5390899999999998</v>
      </c>
      <c r="B3838" s="458">
        <v>6.7279999999999996E-3</v>
      </c>
      <c r="C3838" t="str">
        <f t="shared" si="59"/>
        <v/>
      </c>
    </row>
    <row r="3839" spans="1:3" x14ac:dyDescent="0.25">
      <c r="A3839" s="223">
        <v>3.5390899999999998</v>
      </c>
      <c r="B3839" s="458">
        <v>6.77E-3</v>
      </c>
      <c r="C3839" t="str">
        <f t="shared" ref="C3839:C3899" si="60">IF(B3839=0,"XXXXXXXX","")</f>
        <v/>
      </c>
    </row>
    <row r="3840" spans="1:3" x14ac:dyDescent="0.25">
      <c r="A3840" s="223">
        <v>2.4943499999999998</v>
      </c>
      <c r="B3840" s="458">
        <v>7.4830000000000001E-3</v>
      </c>
      <c r="C3840" t="str">
        <f t="shared" si="60"/>
        <v/>
      </c>
    </row>
    <row r="3841" spans="1:3" x14ac:dyDescent="0.25">
      <c r="A3841" s="223">
        <v>2.4943499999999998</v>
      </c>
      <c r="B3841" s="458">
        <v>1.364E-3</v>
      </c>
      <c r="C3841" t="str">
        <f t="shared" si="60"/>
        <v/>
      </c>
    </row>
    <row r="3842" spans="1:3" x14ac:dyDescent="0.25">
      <c r="A3842" s="223">
        <v>2.1602600000000001</v>
      </c>
      <c r="B3842" s="458">
        <v>4.9299999999999995E-4</v>
      </c>
      <c r="C3842" t="str">
        <f t="shared" si="60"/>
        <v/>
      </c>
    </row>
    <row r="3843" spans="1:3" x14ac:dyDescent="0.25">
      <c r="A3843" s="223">
        <v>2.1602600000000001</v>
      </c>
      <c r="B3843" s="458">
        <v>6.9399999999999996E-4</v>
      </c>
      <c r="C3843" t="str">
        <f t="shared" si="60"/>
        <v/>
      </c>
    </row>
    <row r="3844" spans="1:3" x14ac:dyDescent="0.25">
      <c r="A3844" s="223">
        <v>1.2401</v>
      </c>
      <c r="B3844" s="458">
        <v>1.07E-4</v>
      </c>
      <c r="C3844" t="str">
        <f t="shared" si="60"/>
        <v/>
      </c>
    </row>
    <row r="3845" spans="1:3" x14ac:dyDescent="0.25">
      <c r="A3845" s="223">
        <v>1.2401</v>
      </c>
      <c r="B3845" s="458">
        <v>7.9799999999999999E-4</v>
      </c>
      <c r="C3845" t="str">
        <f t="shared" si="60"/>
        <v/>
      </c>
    </row>
    <row r="3846" spans="1:3" x14ac:dyDescent="0.25">
      <c r="A3846" s="223">
        <v>0.86070999999999998</v>
      </c>
      <c r="B3846" s="458">
        <v>8.7100000000000003E-5</v>
      </c>
      <c r="C3846" t="str">
        <f t="shared" si="60"/>
        <v/>
      </c>
    </row>
    <row r="3847" spans="1:3" x14ac:dyDescent="0.25">
      <c r="A3847" s="223">
        <v>0.86070999999999998</v>
      </c>
      <c r="B3847" s="458">
        <v>2.62E-5</v>
      </c>
      <c r="C3847" t="str">
        <f t="shared" si="60"/>
        <v/>
      </c>
    </row>
    <row r="3848" spans="1:3" x14ac:dyDescent="0.25">
      <c r="A3848" s="223">
        <v>0.61155000000000004</v>
      </c>
      <c r="B3848" s="458">
        <v>4.9299999999999999E-5</v>
      </c>
      <c r="C3848" t="str">
        <f t="shared" si="60"/>
        <v/>
      </c>
    </row>
    <row r="3849" spans="1:3" x14ac:dyDescent="0.25">
      <c r="A3849" s="223">
        <v>0.61155000000000004</v>
      </c>
      <c r="B3849" s="458">
        <v>1.36E-5</v>
      </c>
      <c r="C3849" t="str">
        <f t="shared" si="60"/>
        <v/>
      </c>
    </row>
    <row r="3850" spans="1:3" x14ac:dyDescent="0.25">
      <c r="A3850" s="223">
        <v>0.53227999999999998</v>
      </c>
      <c r="B3850" s="458">
        <v>1.2400000000000001E-4</v>
      </c>
      <c r="C3850" t="str">
        <f t="shared" si="60"/>
        <v/>
      </c>
    </row>
    <row r="3851" spans="1:3" x14ac:dyDescent="0.25">
      <c r="A3851" s="223">
        <v>0.53227999999999998</v>
      </c>
      <c r="B3851" s="458">
        <v>1.2400000000000001E-4</v>
      </c>
      <c r="C3851" t="str">
        <f t="shared" si="60"/>
        <v/>
      </c>
    </row>
    <row r="3852" spans="1:3" x14ac:dyDescent="0.25">
      <c r="A3852" s="223">
        <v>0.53793999999999997</v>
      </c>
      <c r="B3852" s="458">
        <v>1.47E-5</v>
      </c>
      <c r="C3852" t="str">
        <f t="shared" si="60"/>
        <v/>
      </c>
    </row>
    <row r="3853" spans="1:3" x14ac:dyDescent="0.25">
      <c r="A3853" s="223">
        <v>0.37373000000000001</v>
      </c>
      <c r="B3853" s="458">
        <v>2.73E-5</v>
      </c>
      <c r="C3853" t="str">
        <f t="shared" si="60"/>
        <v/>
      </c>
    </row>
    <row r="3854" spans="1:3" x14ac:dyDescent="0.25">
      <c r="A3854" s="223">
        <v>1.5515399999999999</v>
      </c>
      <c r="B3854" s="458">
        <v>6.2969999999999996E-3</v>
      </c>
      <c r="C3854" t="str">
        <f t="shared" si="60"/>
        <v/>
      </c>
    </row>
    <row r="3855" spans="1:3" x14ac:dyDescent="0.25">
      <c r="A3855" s="223">
        <v>8.55044</v>
      </c>
      <c r="B3855" s="458">
        <v>1.5219E-2</v>
      </c>
      <c r="C3855" t="str">
        <f t="shared" si="60"/>
        <v/>
      </c>
    </row>
    <row r="3856" spans="1:3" x14ac:dyDescent="0.25">
      <c r="A3856" s="223">
        <v>7.1631099999999996</v>
      </c>
      <c r="B3856" s="458">
        <v>1.1021E-2</v>
      </c>
      <c r="C3856" t="str">
        <f t="shared" si="60"/>
        <v/>
      </c>
    </row>
    <row r="3857" spans="1:3" x14ac:dyDescent="0.25">
      <c r="A3857" s="223">
        <v>11.0136</v>
      </c>
      <c r="B3857" s="458">
        <v>2.9597999999999999E-2</v>
      </c>
      <c r="C3857" t="str">
        <f t="shared" si="60"/>
        <v/>
      </c>
    </row>
    <row r="3858" spans="1:3" x14ac:dyDescent="0.25">
      <c r="A3858" s="223">
        <v>7.5877999999999997</v>
      </c>
      <c r="B3858" s="458">
        <v>1.5219999999999999E-3</v>
      </c>
      <c r="C3858" t="str">
        <f t="shared" si="60"/>
        <v/>
      </c>
    </row>
    <row r="3859" spans="1:3" x14ac:dyDescent="0.25">
      <c r="A3859" s="223">
        <v>2.9728300000000001</v>
      </c>
      <c r="B3859" s="458">
        <v>2.215E-3</v>
      </c>
      <c r="C3859" t="str">
        <f t="shared" si="60"/>
        <v/>
      </c>
    </row>
    <row r="3860" spans="1:3" x14ac:dyDescent="0.25">
      <c r="A3860" s="223">
        <v>0.98811000000000004</v>
      </c>
      <c r="B3860" s="458">
        <v>7.0219999999999996E-3</v>
      </c>
      <c r="C3860" t="str">
        <f t="shared" si="60"/>
        <v/>
      </c>
    </row>
    <row r="3861" spans="1:3" x14ac:dyDescent="0.25">
      <c r="A3861" s="223">
        <v>2.8086199999999999</v>
      </c>
      <c r="B3861" s="458">
        <v>2.2880000000000001E-3</v>
      </c>
      <c r="C3861" t="str">
        <f t="shared" si="60"/>
        <v/>
      </c>
    </row>
    <row r="3862" spans="1:3" x14ac:dyDescent="0.25">
      <c r="A3862" s="223">
        <v>10.1076</v>
      </c>
      <c r="B3862" s="458">
        <v>3.0543000000000001E-2</v>
      </c>
      <c r="C3862" t="str">
        <f t="shared" si="60"/>
        <v/>
      </c>
    </row>
    <row r="3863" spans="1:3" x14ac:dyDescent="0.25">
      <c r="A3863" s="223">
        <v>9.2865699999999993</v>
      </c>
      <c r="B3863" s="458">
        <v>3.9253999999999997E-2</v>
      </c>
      <c r="C3863" t="str">
        <f t="shared" si="60"/>
        <v/>
      </c>
    </row>
    <row r="3864" spans="1:3" x14ac:dyDescent="0.25">
      <c r="A3864" s="223">
        <v>12.9672</v>
      </c>
      <c r="B3864" s="458">
        <v>5.4262999999999999E-2</v>
      </c>
      <c r="C3864" t="str">
        <f t="shared" si="60"/>
        <v/>
      </c>
    </row>
    <row r="3865" spans="1:3" x14ac:dyDescent="0.25">
      <c r="A3865" s="223">
        <v>11.6648</v>
      </c>
      <c r="B3865" s="458">
        <v>6.8747000000000003E-2</v>
      </c>
      <c r="C3865" t="str">
        <f t="shared" si="60"/>
        <v/>
      </c>
    </row>
    <row r="3866" spans="1:3" x14ac:dyDescent="0.25">
      <c r="A3866" s="223">
        <v>4.8131599999999999</v>
      </c>
      <c r="B3866" s="458">
        <v>4.555E-3</v>
      </c>
      <c r="C3866" t="str">
        <f t="shared" si="60"/>
        <v/>
      </c>
    </row>
    <row r="3867" spans="1:3" x14ac:dyDescent="0.25">
      <c r="A3867" s="223">
        <v>4.0204000000000004</v>
      </c>
      <c r="B3867" s="458">
        <v>7.1159999999999999E-3</v>
      </c>
      <c r="C3867" t="str">
        <f t="shared" si="60"/>
        <v/>
      </c>
    </row>
    <row r="3868" spans="1:3" x14ac:dyDescent="0.25">
      <c r="A3868" s="223">
        <v>1.0589</v>
      </c>
      <c r="B3868" s="458">
        <v>2.225E-3</v>
      </c>
      <c r="C3868" t="str">
        <f t="shared" si="60"/>
        <v/>
      </c>
    </row>
    <row r="3869" spans="1:3" x14ac:dyDescent="0.25">
      <c r="A3869" s="223">
        <v>1.3505199999999999</v>
      </c>
      <c r="B3869" s="458">
        <v>3.075E-3</v>
      </c>
      <c r="C3869" t="str">
        <f t="shared" si="60"/>
        <v/>
      </c>
    </row>
    <row r="3870" spans="1:3" x14ac:dyDescent="0.25">
      <c r="A3870" s="223">
        <v>5.37941</v>
      </c>
      <c r="B3870" s="458">
        <v>1.7003000000000001E-2</v>
      </c>
      <c r="C3870" t="str">
        <f t="shared" si="60"/>
        <v/>
      </c>
    </row>
    <row r="3871" spans="1:3" x14ac:dyDescent="0.25">
      <c r="A3871" s="223">
        <v>6.9649200000000002</v>
      </c>
      <c r="B3871" s="458">
        <v>2.6449E-2</v>
      </c>
      <c r="C3871" t="str">
        <f t="shared" si="60"/>
        <v/>
      </c>
    </row>
    <row r="3872" spans="1:3" x14ac:dyDescent="0.25">
      <c r="A3872" s="223">
        <v>3.85053</v>
      </c>
      <c r="B3872" s="458">
        <v>7.8720000000000005E-3</v>
      </c>
      <c r="C3872" t="str">
        <f t="shared" si="60"/>
        <v/>
      </c>
    </row>
    <row r="3873" spans="1:3" x14ac:dyDescent="0.25">
      <c r="A3873" s="223">
        <v>2.2310400000000001</v>
      </c>
      <c r="B3873" s="458">
        <v>1.1755E-2</v>
      </c>
      <c r="C3873" t="str">
        <f t="shared" si="60"/>
        <v/>
      </c>
    </row>
    <row r="3874" spans="1:3" x14ac:dyDescent="0.25">
      <c r="A3874" s="223">
        <v>1.8799600000000001</v>
      </c>
      <c r="B3874" s="458">
        <v>6.581E-3</v>
      </c>
      <c r="C3874" t="str">
        <f t="shared" si="60"/>
        <v/>
      </c>
    </row>
    <row r="3875" spans="1:3" x14ac:dyDescent="0.25">
      <c r="A3875" s="223">
        <v>0.72480999999999995</v>
      </c>
      <c r="B3875" s="458">
        <v>1.4484E-2</v>
      </c>
      <c r="C3875" t="str">
        <f t="shared" si="60"/>
        <v/>
      </c>
    </row>
    <row r="3876" spans="1:3" x14ac:dyDescent="0.25">
      <c r="A3876" s="223">
        <v>1.3335300000000001</v>
      </c>
      <c r="B3876" s="458">
        <v>1.3854E-2</v>
      </c>
      <c r="C3876" t="str">
        <f t="shared" si="60"/>
        <v/>
      </c>
    </row>
    <row r="3877" spans="1:3" x14ac:dyDescent="0.25">
      <c r="A3877" s="223">
        <v>4.1619700000000002</v>
      </c>
      <c r="B3877" s="458">
        <v>3.5999999999999997E-2</v>
      </c>
      <c r="C3877" t="str">
        <f t="shared" si="60"/>
        <v/>
      </c>
    </row>
    <row r="3878" spans="1:3" x14ac:dyDescent="0.25">
      <c r="A3878" s="223">
        <v>2.6528999999999998</v>
      </c>
      <c r="B3878" s="458">
        <v>7.9349999999999993E-3</v>
      </c>
      <c r="C3878" t="str">
        <f t="shared" si="60"/>
        <v/>
      </c>
    </row>
    <row r="3879" spans="1:3" x14ac:dyDescent="0.25">
      <c r="A3879" s="223">
        <v>8.3239300000000007</v>
      </c>
      <c r="B3879" s="458">
        <v>6.0979999999999999E-2</v>
      </c>
      <c r="C3879" t="str">
        <f t="shared" si="60"/>
        <v/>
      </c>
    </row>
    <row r="3880" spans="1:3" x14ac:dyDescent="0.25">
      <c r="A3880" s="223">
        <v>6.2854200000000002</v>
      </c>
      <c r="B3880" s="458">
        <v>1.0064999999999999E-2</v>
      </c>
      <c r="C3880" t="str">
        <f t="shared" si="60"/>
        <v/>
      </c>
    </row>
    <row r="3881" spans="1:3" x14ac:dyDescent="0.25">
      <c r="A3881" s="223">
        <v>4.5017199999999997</v>
      </c>
      <c r="B3881" s="458">
        <v>3.4006000000000002E-2</v>
      </c>
      <c r="C3881" t="str">
        <f t="shared" si="60"/>
        <v/>
      </c>
    </row>
    <row r="3882" spans="1:3" x14ac:dyDescent="0.25">
      <c r="A3882" s="223">
        <v>1.141</v>
      </c>
      <c r="B3882" s="458">
        <v>8.5649999999999997E-3</v>
      </c>
      <c r="C3882" t="str">
        <f t="shared" si="60"/>
        <v/>
      </c>
    </row>
    <row r="3883" spans="1:3" x14ac:dyDescent="0.25">
      <c r="A3883" s="223">
        <v>35.957099999999997</v>
      </c>
      <c r="B3883" s="458">
        <v>8.8164000000000006E-2</v>
      </c>
      <c r="C3883" t="str">
        <f t="shared" si="60"/>
        <v/>
      </c>
    </row>
    <row r="3884" spans="1:3" x14ac:dyDescent="0.25">
      <c r="A3884" s="223">
        <v>21.970700000000001</v>
      </c>
      <c r="B3884" s="458">
        <v>6.2969999999999996E-3</v>
      </c>
      <c r="C3884" t="str">
        <f t="shared" si="60"/>
        <v/>
      </c>
    </row>
    <row r="3885" spans="1:3" x14ac:dyDescent="0.25">
      <c r="A3885" s="223">
        <v>21.970700000000001</v>
      </c>
      <c r="B3885" s="458">
        <v>1.312E-2</v>
      </c>
      <c r="C3885" t="str">
        <f t="shared" si="60"/>
        <v/>
      </c>
    </row>
    <row r="3886" spans="1:3" x14ac:dyDescent="0.25">
      <c r="A3886" s="223">
        <v>26.981999999999999</v>
      </c>
      <c r="B3886" s="458">
        <v>8.8159999999999992E-3</v>
      </c>
      <c r="C3886" t="str">
        <f t="shared" si="60"/>
        <v/>
      </c>
    </row>
    <row r="3887" spans="1:3" x14ac:dyDescent="0.25">
      <c r="A3887" s="223">
        <v>37.372799999999998</v>
      </c>
      <c r="B3887" s="458">
        <v>8.2916000000000004E-2</v>
      </c>
      <c r="C3887" t="str">
        <f t="shared" si="60"/>
        <v/>
      </c>
    </row>
    <row r="3888" spans="1:3" x14ac:dyDescent="0.25">
      <c r="A3888" s="223">
        <v>37.372799999999998</v>
      </c>
      <c r="B3888" s="458">
        <v>0.12594900000000001</v>
      </c>
      <c r="C3888" t="str">
        <f t="shared" si="60"/>
        <v/>
      </c>
    </row>
    <row r="3889" spans="1:3" x14ac:dyDescent="0.25">
      <c r="A3889" s="223">
        <v>43.318399999999997</v>
      </c>
      <c r="B3889" s="458">
        <v>5.3527999999999999E-2</v>
      </c>
      <c r="C3889" t="str">
        <f t="shared" si="60"/>
        <v/>
      </c>
    </row>
    <row r="3890" spans="1:3" x14ac:dyDescent="0.25">
      <c r="A3890" s="223">
        <v>41.053400000000003</v>
      </c>
      <c r="B3890" s="458">
        <v>0.115453</v>
      </c>
      <c r="C3890" t="str">
        <f t="shared" si="60"/>
        <v/>
      </c>
    </row>
    <row r="3891" spans="1:3" x14ac:dyDescent="0.25">
      <c r="A3891" s="223">
        <v>30.294599999999999</v>
      </c>
      <c r="B3891" s="458">
        <v>6.1925000000000001E-2</v>
      </c>
      <c r="C3891" t="str">
        <f t="shared" si="60"/>
        <v/>
      </c>
    </row>
    <row r="3892" spans="1:3" x14ac:dyDescent="0.25">
      <c r="A3892" s="223">
        <v>29.728300000000001</v>
      </c>
      <c r="B3892" s="458">
        <v>9.5510000000000005E-3</v>
      </c>
      <c r="C3892" t="str">
        <f t="shared" si="60"/>
        <v/>
      </c>
    </row>
    <row r="3893" spans="1:3" x14ac:dyDescent="0.25">
      <c r="A3893" s="223">
        <v>34.258400000000002</v>
      </c>
      <c r="B3893" s="458">
        <v>5.5627000000000003E-2</v>
      </c>
      <c r="C3893" t="str">
        <f t="shared" si="60"/>
        <v/>
      </c>
    </row>
    <row r="3894" spans="1:3" x14ac:dyDescent="0.25">
      <c r="A3894" s="223">
        <v>52.944800000000001</v>
      </c>
      <c r="B3894" s="458">
        <v>0.53528100000000001</v>
      </c>
      <c r="C3894" t="str">
        <f t="shared" si="60"/>
        <v/>
      </c>
    </row>
    <row r="3895" spans="1:3" x14ac:dyDescent="0.25">
      <c r="A3895" s="223">
        <v>57.757899999999999</v>
      </c>
      <c r="B3895" s="458">
        <v>0.80817000000000005</v>
      </c>
      <c r="C3895" t="str">
        <f t="shared" si="60"/>
        <v/>
      </c>
    </row>
    <row r="3896" spans="1:3" x14ac:dyDescent="0.25">
      <c r="A3896" s="223">
        <v>57.757899999999999</v>
      </c>
      <c r="B3896" s="458">
        <v>1.5113829999999999</v>
      </c>
      <c r="C3896" t="str">
        <f t="shared" si="60"/>
        <v/>
      </c>
    </row>
    <row r="3897" spans="1:3" x14ac:dyDescent="0.25">
      <c r="A3897" s="223">
        <v>63.420499999999997</v>
      </c>
      <c r="B3897" s="458">
        <v>0.241401</v>
      </c>
      <c r="C3897" t="str">
        <f t="shared" si="60"/>
        <v/>
      </c>
    </row>
    <row r="3898" spans="1:3" x14ac:dyDescent="0.25">
      <c r="A3898" s="223">
        <v>63.420499999999997</v>
      </c>
      <c r="B3898" s="458">
        <v>0.84385500000000002</v>
      </c>
      <c r="C3898" t="str">
        <f t="shared" si="60"/>
        <v/>
      </c>
    </row>
    <row r="3899" spans="1:3" x14ac:dyDescent="0.25">
      <c r="A3899" s="223">
        <v>51.5291</v>
      </c>
      <c r="B3899" s="458">
        <v>2.2565789999999999</v>
      </c>
      <c r="C3899" t="str">
        <f t="shared" si="60"/>
        <v/>
      </c>
    </row>
    <row r="3900" spans="1:3" x14ac:dyDescent="0.25">
      <c r="A3900" s="223">
        <v>51.5291</v>
      </c>
      <c r="B3900" s="458">
        <v>1.9731939999999999</v>
      </c>
      <c r="C3900" t="str">
        <f t="shared" ref="C3900:C3963" si="61">IF(B3900=0,"XXXXXXXX","")</f>
        <v/>
      </c>
    </row>
    <row r="3901" spans="1:3" x14ac:dyDescent="0.25">
      <c r="A3901" s="223">
        <v>45.3003</v>
      </c>
      <c r="B3901" s="458">
        <v>1.4694</v>
      </c>
      <c r="C3901" t="str">
        <f t="shared" si="61"/>
        <v/>
      </c>
    </row>
    <row r="3902" spans="1:3" x14ac:dyDescent="0.25">
      <c r="A3902" s="223">
        <v>40.204000000000001</v>
      </c>
      <c r="B3902" s="458">
        <v>1.406426</v>
      </c>
      <c r="C3902" t="str">
        <f t="shared" si="61"/>
        <v/>
      </c>
    </row>
    <row r="3903" spans="1:3" x14ac:dyDescent="0.25">
      <c r="A3903" s="223">
        <v>38.505299999999998</v>
      </c>
      <c r="B3903" s="458">
        <v>0.48280299999999998</v>
      </c>
      <c r="C3903" t="str">
        <f t="shared" si="61"/>
        <v/>
      </c>
    </row>
    <row r="3904" spans="1:3" x14ac:dyDescent="0.25">
      <c r="A3904" s="223">
        <v>45.583399999999997</v>
      </c>
      <c r="B3904" s="458">
        <v>0.98659699999999995</v>
      </c>
      <c r="C3904" t="str">
        <f t="shared" si="61"/>
        <v/>
      </c>
    </row>
    <row r="3905" spans="1:3" x14ac:dyDescent="0.25">
      <c r="A3905" s="223">
        <v>45.583399999999997</v>
      </c>
      <c r="B3905" s="458">
        <v>0.25189699999999998</v>
      </c>
      <c r="C3905" t="str">
        <f t="shared" si="61"/>
        <v/>
      </c>
    </row>
    <row r="3906" spans="1:3" x14ac:dyDescent="0.25">
      <c r="A3906" s="223">
        <v>32.842700000000001</v>
      </c>
      <c r="B3906" s="458">
        <v>0.10495699999999999</v>
      </c>
      <c r="C3906" t="str">
        <f t="shared" si="61"/>
        <v/>
      </c>
    </row>
    <row r="3907" spans="1:3" x14ac:dyDescent="0.25">
      <c r="A3907" s="223">
        <v>33.125900000000001</v>
      </c>
      <c r="B3907" s="458">
        <v>0.26239299999999999</v>
      </c>
      <c r="C3907" t="str">
        <f t="shared" si="61"/>
        <v/>
      </c>
    </row>
    <row r="3908" spans="1:3" x14ac:dyDescent="0.25">
      <c r="A3908" s="223">
        <v>23.811</v>
      </c>
      <c r="B3908" s="458">
        <v>8.2916000000000004E-2</v>
      </c>
      <c r="C3908" t="str">
        <f t="shared" si="61"/>
        <v/>
      </c>
    </row>
    <row r="3909" spans="1:3" x14ac:dyDescent="0.25">
      <c r="A3909" s="223">
        <v>24.830200000000001</v>
      </c>
      <c r="B3909" s="458">
        <v>0.18892300000000001</v>
      </c>
      <c r="C3909" t="str">
        <f t="shared" si="61"/>
        <v/>
      </c>
    </row>
    <row r="3910" spans="1:3" x14ac:dyDescent="0.25">
      <c r="A3910" s="223">
        <v>22.763400000000001</v>
      </c>
      <c r="B3910" s="458">
        <v>0.10495699999999999</v>
      </c>
      <c r="C3910" t="str">
        <f t="shared" si="61"/>
        <v/>
      </c>
    </row>
    <row r="3911" spans="1:3" x14ac:dyDescent="0.25">
      <c r="A3911" s="223">
        <v>14.5527</v>
      </c>
      <c r="B3911" s="458">
        <v>4.6181E-2</v>
      </c>
      <c r="C3911" t="str">
        <f t="shared" si="61"/>
        <v/>
      </c>
    </row>
    <row r="3912" spans="1:3" x14ac:dyDescent="0.25">
      <c r="A3912" s="223">
        <v>13.873200000000001</v>
      </c>
      <c r="B3912" s="458">
        <v>9.4461000000000003E-2</v>
      </c>
      <c r="C3912" t="str">
        <f t="shared" si="61"/>
        <v/>
      </c>
    </row>
    <row r="3913" spans="1:3" x14ac:dyDescent="0.25">
      <c r="A3913" s="223">
        <v>7.53118</v>
      </c>
      <c r="B3913" s="458">
        <v>1.2595E-2</v>
      </c>
      <c r="C3913" t="str">
        <f t="shared" si="61"/>
        <v/>
      </c>
    </row>
    <row r="3914" spans="1:3" x14ac:dyDescent="0.25">
      <c r="A3914" s="223">
        <v>7.3046800000000003</v>
      </c>
      <c r="B3914" s="458">
        <v>6.0879999999999997E-3</v>
      </c>
      <c r="C3914" t="str">
        <f t="shared" si="61"/>
        <v/>
      </c>
    </row>
    <row r="3915" spans="1:3" x14ac:dyDescent="0.25">
      <c r="A3915" s="223">
        <v>6.0589199999999996</v>
      </c>
      <c r="B3915" s="458">
        <v>1.5740000000000001E-3</v>
      </c>
      <c r="C3915" t="str">
        <f t="shared" si="61"/>
        <v/>
      </c>
    </row>
    <row r="3916" spans="1:3" x14ac:dyDescent="0.25">
      <c r="A3916" s="223">
        <v>5.9739800000000001</v>
      </c>
      <c r="B3916" s="458">
        <v>2.1000000000000001E-4</v>
      </c>
      <c r="C3916" t="str">
        <f t="shared" si="61"/>
        <v/>
      </c>
    </row>
    <row r="3917" spans="1:3" x14ac:dyDescent="0.25">
      <c r="A3917" s="223">
        <v>5.2661600000000002</v>
      </c>
      <c r="B3917" s="458">
        <v>2.1000000000000001E-4</v>
      </c>
      <c r="C3917" t="str">
        <f t="shared" si="61"/>
        <v/>
      </c>
    </row>
    <row r="3918" spans="1:3" x14ac:dyDescent="0.25">
      <c r="A3918" s="223">
        <v>5.2378499999999999</v>
      </c>
      <c r="B3918" s="458">
        <v>1.6789999999999999E-3</v>
      </c>
      <c r="C3918" t="str">
        <f t="shared" si="61"/>
        <v/>
      </c>
    </row>
    <row r="3919" spans="1:3" x14ac:dyDescent="0.25">
      <c r="A3919" s="223">
        <v>3.8788399999999998</v>
      </c>
      <c r="B3919" s="458">
        <v>6.3000000000000003E-4</v>
      </c>
      <c r="C3919" t="str">
        <f t="shared" si="61"/>
        <v/>
      </c>
    </row>
    <row r="3920" spans="1:3" x14ac:dyDescent="0.25">
      <c r="A3920" s="223">
        <v>42.185899999999997</v>
      </c>
      <c r="B3920" s="458">
        <v>0.25189699999999998</v>
      </c>
      <c r="C3920" t="str">
        <f t="shared" si="61"/>
        <v/>
      </c>
    </row>
    <row r="3921" spans="1:3" x14ac:dyDescent="0.25">
      <c r="A3921" s="223">
        <v>54.643500000000003</v>
      </c>
      <c r="B3921" s="458">
        <v>0.41982900000000001</v>
      </c>
      <c r="C3921" t="str">
        <f t="shared" si="61"/>
        <v/>
      </c>
    </row>
    <row r="3922" spans="1:3" x14ac:dyDescent="0.25">
      <c r="A3922" s="223">
        <v>48.414700000000003</v>
      </c>
      <c r="B3922" s="458">
        <v>0.29387999999999997</v>
      </c>
      <c r="C3922" t="str">
        <f t="shared" si="61"/>
        <v/>
      </c>
    </row>
    <row r="3923" spans="1:3" x14ac:dyDescent="0.25">
      <c r="A3923" s="223">
        <v>45.583399999999997</v>
      </c>
      <c r="B3923" s="458">
        <v>0.37784600000000002</v>
      </c>
      <c r="C3923" t="str">
        <f t="shared" si="61"/>
        <v/>
      </c>
    </row>
    <row r="3924" spans="1:3" x14ac:dyDescent="0.25">
      <c r="A3924" s="223">
        <v>31.7102</v>
      </c>
      <c r="B3924" s="458">
        <v>0.230906</v>
      </c>
      <c r="C3924" t="str">
        <f t="shared" si="61"/>
        <v/>
      </c>
    </row>
    <row r="3925" spans="1:3" x14ac:dyDescent="0.25">
      <c r="A3925" s="223">
        <v>50.679699999999997</v>
      </c>
      <c r="B3925" s="458">
        <v>0.43032399999999998</v>
      </c>
      <c r="C3925" t="str">
        <f t="shared" si="61"/>
        <v/>
      </c>
    </row>
    <row r="3926" spans="1:3" x14ac:dyDescent="0.25">
      <c r="A3926" s="223">
        <v>63.420499999999997</v>
      </c>
      <c r="B3926" s="458">
        <v>1.123041</v>
      </c>
      <c r="C3926" t="str">
        <f t="shared" si="61"/>
        <v/>
      </c>
    </row>
    <row r="3927" spans="1:3" x14ac:dyDescent="0.25">
      <c r="A3927" s="223">
        <v>54.360399999999998</v>
      </c>
      <c r="B3927" s="458">
        <v>0.78717899999999996</v>
      </c>
      <c r="C3927" t="str">
        <f t="shared" si="61"/>
        <v/>
      </c>
    </row>
    <row r="3928" spans="1:3" x14ac:dyDescent="0.25">
      <c r="A3928" s="223">
        <v>49.547199999999997</v>
      </c>
      <c r="B3928" s="458">
        <v>0.51429000000000002</v>
      </c>
      <c r="C3928" t="str">
        <f t="shared" si="61"/>
        <v/>
      </c>
    </row>
    <row r="3929" spans="1:3" x14ac:dyDescent="0.25">
      <c r="A3929" s="223">
        <v>48.697800000000001</v>
      </c>
      <c r="B3929" s="458">
        <v>0.93411900000000003</v>
      </c>
      <c r="C3929" t="str">
        <f t="shared" si="61"/>
        <v/>
      </c>
    </row>
    <row r="3930" spans="1:3" x14ac:dyDescent="0.25">
      <c r="A3930" s="223">
        <v>65.402299999999997</v>
      </c>
      <c r="B3930" s="458">
        <v>1.773776</v>
      </c>
      <c r="C3930" t="str">
        <f t="shared" si="61"/>
        <v/>
      </c>
    </row>
    <row r="3931" spans="1:3" x14ac:dyDescent="0.25">
      <c r="A3931" s="223">
        <v>91.45</v>
      </c>
      <c r="B3931" s="458">
        <v>3.0017740000000002</v>
      </c>
      <c r="C3931" t="str">
        <f t="shared" si="61"/>
        <v/>
      </c>
    </row>
    <row r="3932" spans="1:3" x14ac:dyDescent="0.25">
      <c r="A3932" s="223">
        <v>121.745</v>
      </c>
      <c r="B3932" s="458">
        <v>4.7650550000000003</v>
      </c>
      <c r="C3932" t="str">
        <f t="shared" si="61"/>
        <v/>
      </c>
    </row>
    <row r="3933" spans="1:3" x14ac:dyDescent="0.25">
      <c r="A3933" s="223">
        <v>148.92500000000001</v>
      </c>
      <c r="B3933" s="458">
        <v>6.1294969999999998</v>
      </c>
      <c r="C3933" t="str">
        <f t="shared" si="61"/>
        <v/>
      </c>
    </row>
    <row r="3934" spans="1:3" x14ac:dyDescent="0.25">
      <c r="A3934" s="223">
        <v>123.443</v>
      </c>
      <c r="B3934" s="458">
        <v>6.5913089999999999</v>
      </c>
      <c r="C3934" t="str">
        <f t="shared" si="61"/>
        <v/>
      </c>
    </row>
    <row r="3935" spans="1:3" x14ac:dyDescent="0.25">
      <c r="A3935" s="223">
        <v>124.29300000000001</v>
      </c>
      <c r="B3935" s="458">
        <v>5.8146259999999996</v>
      </c>
      <c r="C3935" t="str">
        <f t="shared" si="61"/>
        <v/>
      </c>
    </row>
    <row r="3936" spans="1:3" x14ac:dyDescent="0.25">
      <c r="A3936" s="223">
        <v>82.106800000000007</v>
      </c>
      <c r="B3936" s="458">
        <v>6.5283350000000002</v>
      </c>
      <c r="C3936" t="str">
        <f t="shared" si="61"/>
        <v/>
      </c>
    </row>
    <row r="3937" spans="1:3" x14ac:dyDescent="0.25">
      <c r="A3937" s="223">
        <v>77.576800000000006</v>
      </c>
      <c r="B3937" s="458">
        <v>5.2478569999999998</v>
      </c>
      <c r="C3937" t="str">
        <f t="shared" si="61"/>
        <v/>
      </c>
    </row>
    <row r="3938" spans="1:3" x14ac:dyDescent="0.25">
      <c r="A3938" s="223">
        <v>91.166899999999998</v>
      </c>
      <c r="B3938" s="458">
        <v>10.600669999999999</v>
      </c>
      <c r="C3938" t="str">
        <f t="shared" si="61"/>
        <v/>
      </c>
    </row>
    <row r="3939" spans="1:3" x14ac:dyDescent="0.25">
      <c r="A3939" s="223">
        <v>63.137300000000003</v>
      </c>
      <c r="B3939" s="458">
        <v>6.4233779999999996</v>
      </c>
      <c r="C3939" t="str">
        <f t="shared" si="61"/>
        <v/>
      </c>
    </row>
    <row r="3940" spans="1:3" x14ac:dyDescent="0.25">
      <c r="A3940" s="223">
        <v>25.226600000000001</v>
      </c>
      <c r="B3940" s="458">
        <v>0.14693999999999999</v>
      </c>
      <c r="C3940" t="str">
        <f t="shared" si="61"/>
        <v/>
      </c>
    </row>
    <row r="3941" spans="1:3" x14ac:dyDescent="0.25">
      <c r="A3941" s="223">
        <v>18.261700000000001</v>
      </c>
      <c r="B3941" s="458">
        <v>2.1201000000000001E-2</v>
      </c>
      <c r="C3941" t="str">
        <f t="shared" si="61"/>
        <v/>
      </c>
    </row>
    <row r="3942" spans="1:3" x14ac:dyDescent="0.25">
      <c r="A3942" s="223">
        <v>18.261700000000001</v>
      </c>
      <c r="B3942" s="458">
        <v>1.6163E-2</v>
      </c>
      <c r="C3942" t="str">
        <f t="shared" si="61"/>
        <v/>
      </c>
    </row>
    <row r="3943" spans="1:3" x14ac:dyDescent="0.25">
      <c r="A3943" s="223">
        <v>23.301400000000001</v>
      </c>
      <c r="B3943" s="458">
        <v>6.7487000000000005E-2</v>
      </c>
      <c r="C3943" t="str">
        <f t="shared" si="61"/>
        <v/>
      </c>
    </row>
    <row r="3944" spans="1:3" x14ac:dyDescent="0.25">
      <c r="A3944" s="223">
        <v>23.301400000000001</v>
      </c>
      <c r="B3944" s="458">
        <v>5.6992000000000001E-2</v>
      </c>
      <c r="C3944" t="str">
        <f t="shared" si="61"/>
        <v/>
      </c>
    </row>
    <row r="3945" spans="1:3" x14ac:dyDescent="0.25">
      <c r="A3945" s="223">
        <v>17.299099999999999</v>
      </c>
      <c r="B3945" s="458">
        <v>2.4035000000000001E-2</v>
      </c>
      <c r="C3945" t="str">
        <f t="shared" si="61"/>
        <v/>
      </c>
    </row>
    <row r="3946" spans="1:3" x14ac:dyDescent="0.25">
      <c r="A3946" s="223">
        <v>17.299099999999999</v>
      </c>
      <c r="B3946" s="458">
        <v>2.1516E-2</v>
      </c>
      <c r="C3946" t="str">
        <f t="shared" si="61"/>
        <v/>
      </c>
    </row>
    <row r="3947" spans="1:3" x14ac:dyDescent="0.25">
      <c r="A3947" s="223">
        <v>16.3931</v>
      </c>
      <c r="B3947" s="458">
        <v>7.9769999999999997E-3</v>
      </c>
      <c r="C3947" t="str">
        <f t="shared" si="61"/>
        <v/>
      </c>
    </row>
    <row r="3948" spans="1:3" x14ac:dyDescent="0.25">
      <c r="A3948" s="223">
        <v>16.3931</v>
      </c>
      <c r="B3948" s="458">
        <v>1.1440000000000001E-2</v>
      </c>
      <c r="C3948" t="str">
        <f t="shared" si="61"/>
        <v/>
      </c>
    </row>
    <row r="3949" spans="1:3" x14ac:dyDescent="0.25">
      <c r="A3949" s="223">
        <v>15.175599999999999</v>
      </c>
      <c r="B3949" s="458">
        <v>4.5129999999999997E-3</v>
      </c>
      <c r="C3949" t="str">
        <f t="shared" si="61"/>
        <v/>
      </c>
    </row>
    <row r="3950" spans="1:3" x14ac:dyDescent="0.25">
      <c r="A3950" s="223">
        <v>15.175599999999999</v>
      </c>
      <c r="B3950" s="458">
        <v>1.3435000000000001E-2</v>
      </c>
      <c r="C3950" t="str">
        <f t="shared" si="61"/>
        <v/>
      </c>
    </row>
    <row r="3951" spans="1:3" x14ac:dyDescent="0.25">
      <c r="A3951" s="223">
        <v>16.279800000000002</v>
      </c>
      <c r="B3951" s="458">
        <v>2.0990000000000002E-3</v>
      </c>
      <c r="C3951" t="str">
        <f t="shared" si="61"/>
        <v/>
      </c>
    </row>
    <row r="3952" spans="1:3" x14ac:dyDescent="0.25">
      <c r="A3952" s="223">
        <v>16.279800000000002</v>
      </c>
      <c r="B3952" s="458">
        <v>2.435E-2</v>
      </c>
      <c r="C3952" t="str">
        <f t="shared" si="61"/>
        <v/>
      </c>
    </row>
    <row r="3953" spans="1:3" x14ac:dyDescent="0.25">
      <c r="A3953" s="223">
        <v>38.788400000000003</v>
      </c>
      <c r="B3953" s="458">
        <v>1.4904000000000001E-2</v>
      </c>
      <c r="C3953" t="str">
        <f t="shared" si="61"/>
        <v/>
      </c>
    </row>
    <row r="3954" spans="1:3" x14ac:dyDescent="0.25">
      <c r="A3954" s="223">
        <v>38.788400000000003</v>
      </c>
      <c r="B3954" s="458">
        <v>7.0740999999999998E-2</v>
      </c>
      <c r="C3954" t="str">
        <f t="shared" si="61"/>
        <v/>
      </c>
    </row>
    <row r="3955" spans="1:3" x14ac:dyDescent="0.25">
      <c r="A3955" s="223">
        <v>42.185899999999997</v>
      </c>
      <c r="B3955" s="458">
        <v>5.5102999999999999E-2</v>
      </c>
      <c r="C3955" t="str">
        <f t="shared" si="61"/>
        <v/>
      </c>
    </row>
    <row r="3956" spans="1:3" x14ac:dyDescent="0.25">
      <c r="A3956" s="223">
        <v>42.185899999999997</v>
      </c>
      <c r="B3956" s="458">
        <v>3.9253999999999997E-2</v>
      </c>
      <c r="C3956" t="str">
        <f t="shared" si="61"/>
        <v/>
      </c>
    </row>
    <row r="3957" spans="1:3" x14ac:dyDescent="0.25">
      <c r="A3957" s="223">
        <v>30.860800000000001</v>
      </c>
      <c r="B3957" s="458">
        <v>9.0259999999999993E-3</v>
      </c>
      <c r="C3957" t="str">
        <f t="shared" si="61"/>
        <v/>
      </c>
    </row>
    <row r="3958" spans="1:3" x14ac:dyDescent="0.25">
      <c r="A3958" s="223">
        <v>30.860800000000001</v>
      </c>
      <c r="B3958" s="458">
        <v>1.7212999999999999E-2</v>
      </c>
      <c r="C3958" t="str">
        <f t="shared" si="61"/>
        <v/>
      </c>
    </row>
    <row r="3959" spans="1:3" x14ac:dyDescent="0.25">
      <c r="A3959" s="223">
        <v>26.359100000000002</v>
      </c>
      <c r="B3959" s="458">
        <v>3.4640000000000001E-3</v>
      </c>
      <c r="C3959" t="str">
        <f t="shared" si="61"/>
        <v/>
      </c>
    </row>
    <row r="3960" spans="1:3" x14ac:dyDescent="0.25">
      <c r="A3960" s="223">
        <v>26.359100000000002</v>
      </c>
      <c r="B3960" s="458">
        <v>7.1161000000000002E-2</v>
      </c>
      <c r="C3960" t="str">
        <f t="shared" si="61"/>
        <v/>
      </c>
    </row>
    <row r="3961" spans="1:3" x14ac:dyDescent="0.25">
      <c r="A3961" s="223">
        <v>23.329699999999999</v>
      </c>
      <c r="B3961" s="458">
        <v>1.4274E-2</v>
      </c>
      <c r="C3961" t="str">
        <f t="shared" si="61"/>
        <v/>
      </c>
    </row>
    <row r="3962" spans="1:3" x14ac:dyDescent="0.25">
      <c r="A3962" s="223">
        <v>23.329699999999999</v>
      </c>
      <c r="B3962" s="458">
        <v>5.8780000000000004E-3</v>
      </c>
      <c r="C3962" t="str">
        <f t="shared" si="61"/>
        <v/>
      </c>
    </row>
    <row r="3963" spans="1:3" x14ac:dyDescent="0.25">
      <c r="A3963" s="223">
        <v>22.706800000000001</v>
      </c>
      <c r="B3963" s="458">
        <v>3.0439999999999998E-3</v>
      </c>
      <c r="C3963" t="str">
        <f t="shared" si="61"/>
        <v/>
      </c>
    </row>
    <row r="3964" spans="1:3" x14ac:dyDescent="0.25">
      <c r="A3964" s="223">
        <v>22.706800000000001</v>
      </c>
      <c r="B3964" s="458">
        <v>4.8279999999999998E-3</v>
      </c>
      <c r="C3964" t="str">
        <f t="shared" ref="C3964:C4027" si="62">IF(B3964=0,"XXXXXXXX","")</f>
        <v/>
      </c>
    </row>
    <row r="3965" spans="1:3" x14ac:dyDescent="0.25">
      <c r="A3965" s="223">
        <v>25.3965</v>
      </c>
      <c r="B3965" s="458">
        <v>5.6680000000000003E-3</v>
      </c>
      <c r="C3965" t="str">
        <f t="shared" si="62"/>
        <v/>
      </c>
    </row>
    <row r="3966" spans="1:3" x14ac:dyDescent="0.25">
      <c r="A3966" s="223">
        <v>25.3965</v>
      </c>
      <c r="B3966" s="458">
        <v>2.7290000000000001E-3</v>
      </c>
      <c r="C3966" t="str">
        <f t="shared" si="62"/>
        <v/>
      </c>
    </row>
    <row r="3967" spans="1:3" x14ac:dyDescent="0.25">
      <c r="A3967" s="223">
        <v>27.406700000000001</v>
      </c>
      <c r="B3967" s="458">
        <v>1.5848999999999999E-2</v>
      </c>
      <c r="C3967" t="str">
        <f t="shared" si="62"/>
        <v/>
      </c>
    </row>
    <row r="3968" spans="1:3" x14ac:dyDescent="0.25">
      <c r="A3968" s="223">
        <v>27.406700000000001</v>
      </c>
      <c r="B3968" s="458">
        <v>9.8659999999999998E-3</v>
      </c>
      <c r="C3968" t="str">
        <f t="shared" si="62"/>
        <v/>
      </c>
    </row>
    <row r="3969" spans="1:3" x14ac:dyDescent="0.25">
      <c r="A3969" s="223">
        <v>24.575399999999998</v>
      </c>
      <c r="B3969" s="458">
        <v>2.8340000000000001E-3</v>
      </c>
      <c r="C3969" t="str">
        <f t="shared" si="62"/>
        <v/>
      </c>
    </row>
    <row r="3970" spans="1:3" x14ac:dyDescent="0.25">
      <c r="A3970" s="223">
        <v>24.575399999999998</v>
      </c>
      <c r="B3970" s="458">
        <v>5.8780000000000004E-3</v>
      </c>
      <c r="C3970" t="str">
        <f t="shared" si="62"/>
        <v/>
      </c>
    </row>
    <row r="3971" spans="1:3" x14ac:dyDescent="0.25">
      <c r="A3971" s="223">
        <v>16.6479</v>
      </c>
      <c r="B3971" s="458">
        <v>5.2499999999999997E-4</v>
      </c>
      <c r="C3971" t="str">
        <f t="shared" si="62"/>
        <v/>
      </c>
    </row>
    <row r="3972" spans="1:3" x14ac:dyDescent="0.25">
      <c r="A3972" s="223">
        <v>16.6479</v>
      </c>
      <c r="B3972" s="458">
        <v>4.8279999999999998E-3</v>
      </c>
      <c r="C3972" t="str">
        <f t="shared" si="62"/>
        <v/>
      </c>
    </row>
    <row r="3973" spans="1:3" x14ac:dyDescent="0.25">
      <c r="A3973" s="223">
        <v>13.7033</v>
      </c>
      <c r="B3973" s="458">
        <v>8.9210000000000001E-3</v>
      </c>
      <c r="C3973" t="str">
        <f t="shared" si="62"/>
        <v/>
      </c>
    </row>
    <row r="3974" spans="1:3" x14ac:dyDescent="0.25">
      <c r="A3974" s="223">
        <v>13.7033</v>
      </c>
      <c r="B3974" s="458">
        <v>6.0879999999999997E-3</v>
      </c>
      <c r="C3974" t="str">
        <f t="shared" si="62"/>
        <v/>
      </c>
    </row>
    <row r="3975" spans="1:3" x14ac:dyDescent="0.25">
      <c r="A3975" s="223">
        <v>27.972899999999999</v>
      </c>
      <c r="B3975" s="458">
        <v>3.8099000000000001E-2</v>
      </c>
      <c r="C3975" t="str">
        <f t="shared" si="62"/>
        <v/>
      </c>
    </row>
    <row r="3976" spans="1:3" x14ac:dyDescent="0.25">
      <c r="A3976" s="223">
        <v>27.972899999999999</v>
      </c>
      <c r="B3976" s="458">
        <v>2.6554000000000001E-2</v>
      </c>
      <c r="C3976" t="str">
        <f t="shared" si="62"/>
        <v/>
      </c>
    </row>
    <row r="3977" spans="1:3" x14ac:dyDescent="0.25">
      <c r="A3977" s="223">
        <v>29.162099999999999</v>
      </c>
      <c r="B3977" s="458">
        <v>1.1965E-2</v>
      </c>
      <c r="C3977" t="str">
        <f t="shared" si="62"/>
        <v/>
      </c>
    </row>
    <row r="3978" spans="1:3" x14ac:dyDescent="0.25">
      <c r="A3978" s="223">
        <v>29.162099999999999</v>
      </c>
      <c r="B3978" s="458">
        <v>2.4035000000000001E-2</v>
      </c>
      <c r="C3978" t="str">
        <f t="shared" si="62"/>
        <v/>
      </c>
    </row>
    <row r="3979" spans="1:3" x14ac:dyDescent="0.25">
      <c r="A3979" s="223">
        <v>47.848500000000001</v>
      </c>
      <c r="B3979" s="458">
        <v>6.1400000000000003E-2</v>
      </c>
      <c r="C3979" t="str">
        <f t="shared" si="62"/>
        <v/>
      </c>
    </row>
    <row r="3980" spans="1:3" x14ac:dyDescent="0.25">
      <c r="A3980" s="223">
        <v>47.848500000000001</v>
      </c>
      <c r="B3980" s="458">
        <v>4.9224999999999998E-2</v>
      </c>
      <c r="C3980" t="str">
        <f t="shared" si="62"/>
        <v/>
      </c>
    </row>
    <row r="3981" spans="1:3" x14ac:dyDescent="0.25">
      <c r="A3981" s="223">
        <v>48.414700000000003</v>
      </c>
      <c r="B3981" s="458">
        <v>0.14588999999999999</v>
      </c>
      <c r="C3981" t="str">
        <f t="shared" si="62"/>
        <v/>
      </c>
    </row>
    <row r="3982" spans="1:3" x14ac:dyDescent="0.25">
      <c r="A3982" s="223">
        <v>48.414700000000003</v>
      </c>
      <c r="B3982" s="458">
        <v>0.120701</v>
      </c>
      <c r="C3982" t="str">
        <f t="shared" si="62"/>
        <v/>
      </c>
    </row>
    <row r="3983" spans="1:3" x14ac:dyDescent="0.25">
      <c r="A3983" s="223">
        <v>48.131599999999999</v>
      </c>
      <c r="B3983" s="458">
        <v>1.3854340000000001</v>
      </c>
      <c r="C3983" t="str">
        <f t="shared" si="62"/>
        <v/>
      </c>
    </row>
    <row r="3984" spans="1:3" x14ac:dyDescent="0.25">
      <c r="A3984" s="223">
        <v>48.131599999999999</v>
      </c>
      <c r="B3984" s="458">
        <v>2.5819459999999999</v>
      </c>
      <c r="C3984" t="str">
        <f t="shared" si="62"/>
        <v/>
      </c>
    </row>
    <row r="3985" spans="1:3" x14ac:dyDescent="0.25">
      <c r="A3985" s="223">
        <v>53.227899999999998</v>
      </c>
      <c r="B3985" s="458">
        <v>3.6315170000000001</v>
      </c>
      <c r="C3985" t="str">
        <f t="shared" si="62"/>
        <v/>
      </c>
    </row>
    <row r="3986" spans="1:3" x14ac:dyDescent="0.25">
      <c r="A3986" s="223">
        <v>53.227899999999998</v>
      </c>
      <c r="B3986" s="458">
        <v>1.521879</v>
      </c>
      <c r="C3986" t="str">
        <f t="shared" si="62"/>
        <v/>
      </c>
    </row>
    <row r="3987" spans="1:3" x14ac:dyDescent="0.25">
      <c r="A3987" s="223">
        <v>71.631100000000004</v>
      </c>
      <c r="B3987" s="458">
        <v>1.658323</v>
      </c>
      <c r="C3987" t="str">
        <f t="shared" si="62"/>
        <v/>
      </c>
    </row>
    <row r="3988" spans="1:3" x14ac:dyDescent="0.25">
      <c r="A3988" s="223">
        <v>71.631100000000004</v>
      </c>
      <c r="B3988" s="458">
        <v>1.10205</v>
      </c>
      <c r="C3988" t="str">
        <f t="shared" si="62"/>
        <v/>
      </c>
    </row>
    <row r="3989" spans="1:3" x14ac:dyDescent="0.25">
      <c r="A3989" s="223">
        <v>70.781800000000004</v>
      </c>
      <c r="B3989" s="458">
        <v>1.91022</v>
      </c>
      <c r="C3989" t="str">
        <f t="shared" si="62"/>
        <v/>
      </c>
    </row>
    <row r="3990" spans="1:3" x14ac:dyDescent="0.25">
      <c r="A3990" s="223">
        <v>70.781800000000004</v>
      </c>
      <c r="B3990" s="458">
        <v>3.127723</v>
      </c>
      <c r="C3990" t="str">
        <f t="shared" si="62"/>
        <v/>
      </c>
    </row>
    <row r="3991" spans="1:3" x14ac:dyDescent="0.25">
      <c r="A3991" s="223">
        <v>82.956199999999995</v>
      </c>
      <c r="B3991" s="458">
        <v>0.27813599999999999</v>
      </c>
      <c r="C3991" t="str">
        <f t="shared" si="62"/>
        <v/>
      </c>
    </row>
    <row r="3992" spans="1:3" x14ac:dyDescent="0.25">
      <c r="A3992" s="223">
        <v>82.956199999999995</v>
      </c>
      <c r="B3992" s="458">
        <v>0.27708700000000003</v>
      </c>
      <c r="C3992" t="str">
        <f t="shared" si="62"/>
        <v/>
      </c>
    </row>
    <row r="3993" spans="1:3" x14ac:dyDescent="0.25">
      <c r="A3993" s="223">
        <v>88.052499999999995</v>
      </c>
      <c r="B3993" s="458">
        <v>0.49644700000000003</v>
      </c>
      <c r="C3993" t="str">
        <f t="shared" si="62"/>
        <v/>
      </c>
    </row>
    <row r="3994" spans="1:3" x14ac:dyDescent="0.25">
      <c r="A3994" s="223">
        <v>88.052499999999995</v>
      </c>
      <c r="B3994" s="458">
        <v>0.23195499999999999</v>
      </c>
      <c r="C3994" t="str">
        <f t="shared" si="62"/>
        <v/>
      </c>
    </row>
    <row r="3995" spans="1:3" x14ac:dyDescent="0.25">
      <c r="A3995" s="223">
        <v>95.130700000000004</v>
      </c>
      <c r="B3995" s="458">
        <v>1.025431</v>
      </c>
      <c r="C3995" t="str">
        <f t="shared" si="62"/>
        <v/>
      </c>
    </row>
    <row r="3996" spans="1:3" x14ac:dyDescent="0.25">
      <c r="A3996" s="223">
        <v>95.130700000000004</v>
      </c>
      <c r="B3996" s="458">
        <v>2.0361690000000001</v>
      </c>
      <c r="C3996" t="str">
        <f t="shared" si="62"/>
        <v/>
      </c>
    </row>
    <row r="3997" spans="1:3" x14ac:dyDescent="0.25">
      <c r="A3997" s="223">
        <v>83.2393</v>
      </c>
      <c r="B3997" s="458">
        <v>2.298562</v>
      </c>
      <c r="C3997" t="str">
        <f t="shared" si="62"/>
        <v/>
      </c>
    </row>
    <row r="3998" spans="1:3" x14ac:dyDescent="0.25">
      <c r="A3998" s="223">
        <v>83.2393</v>
      </c>
      <c r="B3998" s="458">
        <v>3.5055689999999999</v>
      </c>
      <c r="C3998" t="str">
        <f t="shared" si="62"/>
        <v/>
      </c>
    </row>
    <row r="3999" spans="1:3" x14ac:dyDescent="0.25">
      <c r="A3999" s="223">
        <v>66.534800000000004</v>
      </c>
      <c r="B3999" s="458">
        <v>2.4874839999999998</v>
      </c>
      <c r="C3999" t="str">
        <f t="shared" si="62"/>
        <v/>
      </c>
    </row>
    <row r="4000" spans="1:3" x14ac:dyDescent="0.25">
      <c r="A4000" s="223">
        <v>66.534800000000004</v>
      </c>
      <c r="B4000" s="458">
        <v>1.9522029999999999</v>
      </c>
      <c r="C4000" t="str">
        <f t="shared" si="62"/>
        <v/>
      </c>
    </row>
    <row r="4001" spans="1:3" x14ac:dyDescent="0.25">
      <c r="A4001" s="223">
        <v>68.233599999999996</v>
      </c>
      <c r="B4001" s="458">
        <v>0.29073100000000002</v>
      </c>
      <c r="C4001" t="str">
        <f t="shared" si="62"/>
        <v/>
      </c>
    </row>
    <row r="4002" spans="1:3" x14ac:dyDescent="0.25">
      <c r="A4002" s="223">
        <v>68.233599999999996</v>
      </c>
      <c r="B4002" s="458">
        <v>0.103173</v>
      </c>
      <c r="C4002" t="str">
        <f t="shared" si="62"/>
        <v/>
      </c>
    </row>
    <row r="4003" spans="1:3" x14ac:dyDescent="0.25">
      <c r="A4003" s="223">
        <v>51.812199999999997</v>
      </c>
      <c r="B4003" s="458">
        <v>0.11965099999999999</v>
      </c>
      <c r="C4003" t="str">
        <f t="shared" si="62"/>
        <v/>
      </c>
    </row>
    <row r="4004" spans="1:3" x14ac:dyDescent="0.25">
      <c r="A4004" s="223">
        <v>51.812199999999997</v>
      </c>
      <c r="B4004" s="458">
        <v>0.115453</v>
      </c>
      <c r="C4004" t="str">
        <f t="shared" si="62"/>
        <v/>
      </c>
    </row>
    <row r="4005" spans="1:3" x14ac:dyDescent="0.25">
      <c r="A4005" s="223">
        <v>48.414700000000003</v>
      </c>
      <c r="B4005" s="458">
        <v>0.15953500000000001</v>
      </c>
      <c r="C4005" t="str">
        <f t="shared" si="62"/>
        <v/>
      </c>
    </row>
    <row r="4006" spans="1:3" x14ac:dyDescent="0.25">
      <c r="A4006" s="223">
        <v>48.414700000000003</v>
      </c>
      <c r="B4006" s="458">
        <v>0.270789</v>
      </c>
      <c r="C4006" t="str">
        <f t="shared" si="62"/>
        <v/>
      </c>
    </row>
    <row r="4007" spans="1:3" x14ac:dyDescent="0.25">
      <c r="A4007" s="223">
        <v>57.191699999999997</v>
      </c>
      <c r="B4007" s="458">
        <v>0.13644400000000001</v>
      </c>
      <c r="C4007" t="str">
        <f t="shared" si="62"/>
        <v/>
      </c>
    </row>
    <row r="4008" spans="1:3" x14ac:dyDescent="0.25">
      <c r="A4008" s="223">
        <v>57.191699999999997</v>
      </c>
      <c r="B4008" s="458">
        <v>0.15428700000000001</v>
      </c>
      <c r="C4008" t="str">
        <f t="shared" si="62"/>
        <v/>
      </c>
    </row>
    <row r="4009" spans="1:3" x14ac:dyDescent="0.25">
      <c r="A4009" s="223">
        <v>55.492899999999999</v>
      </c>
      <c r="B4009" s="458">
        <v>0.15218799999999999</v>
      </c>
      <c r="C4009" t="str">
        <f t="shared" si="62"/>
        <v/>
      </c>
    </row>
    <row r="4010" spans="1:3" x14ac:dyDescent="0.25">
      <c r="A4010" s="223">
        <v>55.492899999999999</v>
      </c>
      <c r="B4010" s="458">
        <v>0.36315199999999997</v>
      </c>
      <c r="C4010" t="str">
        <f t="shared" si="62"/>
        <v/>
      </c>
    </row>
    <row r="4011" spans="1:3" x14ac:dyDescent="0.25">
      <c r="A4011" s="223">
        <v>142.97900000000001</v>
      </c>
      <c r="B4011" s="458">
        <v>10.91554</v>
      </c>
      <c r="C4011" t="str">
        <f t="shared" si="62"/>
        <v/>
      </c>
    </row>
    <row r="4012" spans="1:3" x14ac:dyDescent="0.25">
      <c r="A4012" s="223">
        <v>142.97900000000001</v>
      </c>
      <c r="B4012" s="458">
        <v>10.02341</v>
      </c>
      <c r="C4012" t="str">
        <f t="shared" si="62"/>
        <v/>
      </c>
    </row>
    <row r="4013" spans="1:3" x14ac:dyDescent="0.25">
      <c r="A4013" s="223">
        <v>0.23130999999999999</v>
      </c>
      <c r="B4013" s="458">
        <v>1.7420000000000001E-3</v>
      </c>
      <c r="C4013" t="str">
        <f t="shared" si="62"/>
        <v/>
      </c>
    </row>
    <row r="4014" spans="1:3" x14ac:dyDescent="0.25">
      <c r="A4014" s="223">
        <v>0.29161999999999999</v>
      </c>
      <c r="B4014" s="458">
        <v>4.6389999999999999E-3</v>
      </c>
      <c r="C4014" t="str">
        <f t="shared" si="62"/>
        <v/>
      </c>
    </row>
    <row r="4015" spans="1:3" x14ac:dyDescent="0.25">
      <c r="A4015" s="223">
        <v>0.3624</v>
      </c>
      <c r="B4015" s="458">
        <v>5.1529999999999996E-3</v>
      </c>
      <c r="C4015" t="str">
        <f t="shared" si="62"/>
        <v/>
      </c>
    </row>
    <row r="4016" spans="1:3" x14ac:dyDescent="0.25">
      <c r="A4016" s="223">
        <v>0.1996</v>
      </c>
      <c r="B4016" s="458">
        <v>2.5709999999999999E-3</v>
      </c>
      <c r="C4016" t="str">
        <f t="shared" si="62"/>
        <v/>
      </c>
    </row>
    <row r="4017" spans="1:3" x14ac:dyDescent="0.25">
      <c r="A4017" s="223">
        <v>0.24151</v>
      </c>
      <c r="B4017" s="458">
        <v>1.3849999999999999E-3</v>
      </c>
      <c r="C4017" t="str">
        <f t="shared" si="62"/>
        <v/>
      </c>
    </row>
    <row r="4018" spans="1:3" x14ac:dyDescent="0.25">
      <c r="A4018" s="223">
        <v>0.39524999999999999</v>
      </c>
      <c r="B4018" s="458">
        <v>1.6163E-2</v>
      </c>
      <c r="C4018" t="str">
        <f t="shared" si="62"/>
        <v/>
      </c>
    </row>
    <row r="4019" spans="1:3" x14ac:dyDescent="0.25">
      <c r="A4019" s="223">
        <v>0.49264000000000002</v>
      </c>
      <c r="B4019" s="458">
        <v>1.291E-2</v>
      </c>
      <c r="C4019" t="str">
        <f t="shared" si="62"/>
        <v/>
      </c>
    </row>
    <row r="4020" spans="1:3" x14ac:dyDescent="0.25">
      <c r="A4020" s="223">
        <v>0.42326999999999998</v>
      </c>
      <c r="B4020" s="458">
        <v>2.6129999999999999E-3</v>
      </c>
      <c r="C4020" t="str">
        <f t="shared" si="62"/>
        <v/>
      </c>
    </row>
    <row r="4021" spans="1:3" x14ac:dyDescent="0.25">
      <c r="A4021" s="223">
        <v>0.37373000000000001</v>
      </c>
      <c r="B4021" s="458">
        <v>9.3199999999999999E-4</v>
      </c>
      <c r="C4021" t="str">
        <f t="shared" si="62"/>
        <v/>
      </c>
    </row>
    <row r="4022" spans="1:3" x14ac:dyDescent="0.25">
      <c r="A4022" s="223">
        <v>0.36523</v>
      </c>
      <c r="B4022" s="458">
        <v>9.0600000000000001E-4</v>
      </c>
      <c r="C4022" t="str">
        <f t="shared" si="62"/>
        <v/>
      </c>
    </row>
    <row r="4023" spans="1:3" x14ac:dyDescent="0.25">
      <c r="A4023" s="223">
        <v>0.18743000000000001</v>
      </c>
      <c r="B4023" s="458">
        <v>1.364E-3</v>
      </c>
      <c r="C4023" t="str">
        <f t="shared" si="62"/>
        <v/>
      </c>
    </row>
    <row r="4024" spans="1:3" x14ac:dyDescent="0.25">
      <c r="A4024" s="223">
        <v>0.27039000000000002</v>
      </c>
      <c r="B4024" s="458">
        <v>2.34E-4</v>
      </c>
      <c r="C4024" t="str">
        <f t="shared" si="62"/>
        <v/>
      </c>
    </row>
    <row r="4025" spans="1:3" x14ac:dyDescent="0.25">
      <c r="A4025" s="223">
        <v>0.22197</v>
      </c>
      <c r="B4025" s="458">
        <v>8.7399999999999997E-5</v>
      </c>
      <c r="C4025" t="str">
        <f t="shared" si="62"/>
        <v/>
      </c>
    </row>
    <row r="4026" spans="1:3" x14ac:dyDescent="0.25">
      <c r="A4026" s="223">
        <v>0.37656000000000001</v>
      </c>
      <c r="B4026" s="458">
        <v>1.343E-3</v>
      </c>
      <c r="C4026" t="str">
        <f t="shared" si="62"/>
        <v/>
      </c>
    </row>
    <row r="4027" spans="1:3" x14ac:dyDescent="0.25">
      <c r="A4027" s="223">
        <v>0.30578</v>
      </c>
      <c r="B4027" s="458">
        <v>3.7800000000000003E-4</v>
      </c>
      <c r="C4027" t="str">
        <f t="shared" si="62"/>
        <v/>
      </c>
    </row>
    <row r="4028" spans="1:3" x14ac:dyDescent="0.25">
      <c r="A4028" s="223">
        <v>0.28878999999999999</v>
      </c>
      <c r="B4028" s="458">
        <v>1.9599999999999999E-4</v>
      </c>
      <c r="C4028" t="str">
        <f t="shared" ref="C4028:C4091" si="63">IF(B4028=0,"XXXXXXXX","")</f>
        <v/>
      </c>
    </row>
    <row r="4029" spans="1:3" x14ac:dyDescent="0.25">
      <c r="A4029" s="223">
        <v>0.29444999999999999</v>
      </c>
      <c r="B4029" s="458">
        <v>4.73E-4</v>
      </c>
      <c r="C4029" t="str">
        <f t="shared" si="63"/>
        <v/>
      </c>
    </row>
    <row r="4030" spans="1:3" x14ac:dyDescent="0.25">
      <c r="A4030" s="223">
        <v>0.29161999999999999</v>
      </c>
      <c r="B4030" s="458">
        <v>5.8E-4</v>
      </c>
      <c r="C4030" t="str">
        <f t="shared" si="63"/>
        <v/>
      </c>
    </row>
    <row r="4031" spans="1:3" x14ac:dyDescent="0.25">
      <c r="A4031" s="223">
        <v>0.31143999999999999</v>
      </c>
      <c r="B4031" s="458">
        <v>1.7949999999999999E-3</v>
      </c>
      <c r="C4031" t="str">
        <f t="shared" si="63"/>
        <v/>
      </c>
    </row>
    <row r="4032" spans="1:3" x14ac:dyDescent="0.25">
      <c r="A4032" s="223">
        <v>0.31143999999999999</v>
      </c>
      <c r="B4032" s="458">
        <v>9.3700000000000001E-5</v>
      </c>
      <c r="C4032" t="str">
        <f t="shared" si="63"/>
        <v/>
      </c>
    </row>
    <row r="4033" spans="1:3" x14ac:dyDescent="0.25">
      <c r="A4033" s="223">
        <v>0.31143999999999999</v>
      </c>
      <c r="B4033" s="458">
        <v>3.2499999999999999E-4</v>
      </c>
      <c r="C4033" t="str">
        <f t="shared" si="63"/>
        <v/>
      </c>
    </row>
    <row r="4034" spans="1:3" x14ac:dyDescent="0.25">
      <c r="A4034" s="223">
        <v>0.31143999999999999</v>
      </c>
      <c r="B4034" s="458">
        <v>1.25E-4</v>
      </c>
      <c r="C4034" t="str">
        <f t="shared" si="63"/>
        <v/>
      </c>
    </row>
    <row r="4035" spans="1:3" x14ac:dyDescent="0.25">
      <c r="A4035" s="223">
        <v>0.31143999999999999</v>
      </c>
      <c r="B4035" s="458">
        <v>1.3960000000000001E-3</v>
      </c>
      <c r="C4035" t="str">
        <f t="shared" si="63"/>
        <v/>
      </c>
    </row>
    <row r="4036" spans="1:3" x14ac:dyDescent="0.25">
      <c r="A4036" s="223">
        <v>0.35674</v>
      </c>
      <c r="B4036" s="458">
        <v>6.2600000000000004E-4</v>
      </c>
      <c r="C4036" t="str">
        <f t="shared" si="63"/>
        <v/>
      </c>
    </row>
    <row r="4037" spans="1:3" x14ac:dyDescent="0.25">
      <c r="A4037" s="223">
        <v>0.33126</v>
      </c>
      <c r="B4037" s="458">
        <v>4.7399999999999997E-4</v>
      </c>
      <c r="C4037" t="str">
        <f t="shared" si="63"/>
        <v/>
      </c>
    </row>
    <row r="4038" spans="1:3" x14ac:dyDescent="0.25">
      <c r="A4038" s="223">
        <v>0.42752000000000001</v>
      </c>
      <c r="B4038" s="458">
        <v>1.333E-3</v>
      </c>
      <c r="C4038" t="str">
        <f t="shared" si="63"/>
        <v/>
      </c>
    </row>
    <row r="4039" spans="1:3" x14ac:dyDescent="0.25">
      <c r="A4039" s="223">
        <v>0.46999000000000002</v>
      </c>
      <c r="B4039" s="458">
        <v>1.763E-3</v>
      </c>
      <c r="C4039" t="str">
        <f t="shared" si="63"/>
        <v/>
      </c>
    </row>
    <row r="4040" spans="1:3" x14ac:dyDescent="0.25">
      <c r="A4040" s="223">
        <v>0.58040999999999998</v>
      </c>
      <c r="B4040" s="458">
        <v>1.2700000000000001E-3</v>
      </c>
      <c r="C4040" t="str">
        <f t="shared" si="63"/>
        <v/>
      </c>
    </row>
    <row r="4041" spans="1:3" x14ac:dyDescent="0.25">
      <c r="A4041" s="223">
        <v>0.60023000000000004</v>
      </c>
      <c r="B4041" s="458">
        <v>5.9620000000000003E-3</v>
      </c>
      <c r="C4041" t="str">
        <f t="shared" si="63"/>
        <v/>
      </c>
    </row>
    <row r="4042" spans="1:3" x14ac:dyDescent="0.25">
      <c r="A4042" s="223">
        <v>0.63704000000000005</v>
      </c>
      <c r="B4042" s="458">
        <v>1.5529999999999999E-3</v>
      </c>
      <c r="C4042" t="str">
        <f t="shared" si="63"/>
        <v/>
      </c>
    </row>
    <row r="4043" spans="1:3" x14ac:dyDescent="0.25">
      <c r="A4043" s="223">
        <v>0.49264000000000002</v>
      </c>
      <c r="B4043" s="458">
        <v>2.7290000000000001E-3</v>
      </c>
      <c r="C4043" t="str">
        <f t="shared" si="63"/>
        <v/>
      </c>
    </row>
    <row r="4044" spans="1:3" x14ac:dyDescent="0.25">
      <c r="A4044" s="223">
        <v>0.31992999999999999</v>
      </c>
      <c r="B4044" s="458">
        <v>1.3999999999999999E-4</v>
      </c>
      <c r="C4044" t="str">
        <f t="shared" si="63"/>
        <v/>
      </c>
    </row>
    <row r="4045" spans="1:3" x14ac:dyDescent="0.25">
      <c r="A4045" s="223">
        <v>0.52944999999999998</v>
      </c>
      <c r="B4045" s="458">
        <v>1.207E-3</v>
      </c>
      <c r="C4045" t="str">
        <f t="shared" si="63"/>
        <v/>
      </c>
    </row>
    <row r="4046" spans="1:3" x14ac:dyDescent="0.25">
      <c r="A4046" s="223">
        <v>0.39072000000000001</v>
      </c>
      <c r="B4046" s="458">
        <v>1.8259999999999999E-3</v>
      </c>
      <c r="C4046" t="str">
        <f t="shared" si="63"/>
        <v/>
      </c>
    </row>
    <row r="4047" spans="1:3" x14ac:dyDescent="0.25">
      <c r="A4047" s="223">
        <v>0.34258</v>
      </c>
      <c r="B4047" s="458">
        <v>1.155E-3</v>
      </c>
      <c r="C4047" t="str">
        <f t="shared" si="63"/>
        <v/>
      </c>
    </row>
    <row r="4048" spans="1:3" x14ac:dyDescent="0.25">
      <c r="A4048" s="223">
        <v>0.85787000000000002</v>
      </c>
      <c r="B4048" s="458">
        <v>3.9569999999999996E-3</v>
      </c>
      <c r="C4048" t="str">
        <f t="shared" si="63"/>
        <v/>
      </c>
    </row>
    <row r="4049" spans="1:3" x14ac:dyDescent="0.25">
      <c r="A4049" s="223">
        <v>0.91449999999999998</v>
      </c>
      <c r="B4049" s="458">
        <v>7.515E-3</v>
      </c>
      <c r="C4049" t="str">
        <f t="shared" si="63"/>
        <v/>
      </c>
    </row>
    <row r="4050" spans="1:3" x14ac:dyDescent="0.25">
      <c r="A4050" s="223">
        <v>1.13534</v>
      </c>
      <c r="B4050" s="458">
        <v>7.7879999999999998E-3</v>
      </c>
      <c r="C4050" t="str">
        <f t="shared" si="63"/>
        <v/>
      </c>
    </row>
    <row r="4051" spans="1:3" x14ac:dyDescent="0.25">
      <c r="A4051" s="223">
        <v>1.51756</v>
      </c>
      <c r="B4051" s="458">
        <v>0.126998</v>
      </c>
      <c r="C4051" t="str">
        <f t="shared" si="63"/>
        <v/>
      </c>
    </row>
    <row r="4052" spans="1:3" x14ac:dyDescent="0.25">
      <c r="A4052" s="223">
        <v>1.28257</v>
      </c>
      <c r="B4052" s="458">
        <v>6.2553999999999998E-2</v>
      </c>
      <c r="C4052" t="str">
        <f t="shared" si="63"/>
        <v/>
      </c>
    </row>
    <row r="4053" spans="1:3" x14ac:dyDescent="0.25">
      <c r="A4053" s="223">
        <v>0.69649000000000005</v>
      </c>
      <c r="B4053" s="458">
        <v>1.123E-2</v>
      </c>
      <c r="C4053" t="str">
        <f t="shared" si="63"/>
        <v/>
      </c>
    </row>
    <row r="4054" spans="1:3" x14ac:dyDescent="0.25">
      <c r="A4054" s="223">
        <v>0.56625000000000003</v>
      </c>
      <c r="B4054" s="458">
        <v>2.2669999999999999E-3</v>
      </c>
      <c r="C4054" t="str">
        <f t="shared" si="63"/>
        <v/>
      </c>
    </row>
    <row r="4055" spans="1:3" x14ac:dyDescent="0.25">
      <c r="A4055" s="223">
        <v>0.58889999999999998</v>
      </c>
      <c r="B4055" s="458">
        <v>6.0900000000000003E-5</v>
      </c>
      <c r="C4055" t="str">
        <f t="shared" si="63"/>
        <v/>
      </c>
    </row>
    <row r="4056" spans="1:3" x14ac:dyDescent="0.25">
      <c r="A4056" s="223">
        <v>0.58889999999999998</v>
      </c>
      <c r="B4056" s="458">
        <v>9.0799999999999995E-4</v>
      </c>
      <c r="C4056" t="str">
        <f t="shared" si="63"/>
        <v/>
      </c>
    </row>
    <row r="4057" spans="1:3" x14ac:dyDescent="0.25">
      <c r="A4057" s="223">
        <v>1.08155</v>
      </c>
      <c r="B4057" s="458">
        <v>7.8300000000000002E-3</v>
      </c>
      <c r="C4057" t="str">
        <f t="shared" si="63"/>
        <v/>
      </c>
    </row>
    <row r="4058" spans="1:3" x14ac:dyDescent="0.25">
      <c r="A4058" s="223">
        <v>1.08155</v>
      </c>
      <c r="B4058" s="458">
        <v>2.918E-3</v>
      </c>
      <c r="C4058" t="str">
        <f t="shared" si="63"/>
        <v/>
      </c>
    </row>
    <row r="4059" spans="1:3" x14ac:dyDescent="0.25">
      <c r="A4059" s="223">
        <v>1.19763</v>
      </c>
      <c r="B4059" s="458">
        <v>3.5270000000000002E-3</v>
      </c>
      <c r="C4059" t="str">
        <f t="shared" si="63"/>
        <v/>
      </c>
    </row>
    <row r="4060" spans="1:3" x14ac:dyDescent="0.25">
      <c r="A4060" s="223">
        <v>1.19763</v>
      </c>
      <c r="B4060" s="458">
        <v>8.5019999999999991E-3</v>
      </c>
      <c r="C4060" t="str">
        <f t="shared" si="63"/>
        <v/>
      </c>
    </row>
    <row r="4061" spans="1:3" x14ac:dyDescent="0.25">
      <c r="A4061" s="223">
        <v>1.37033</v>
      </c>
      <c r="B4061" s="458">
        <v>5.4500000000000002E-4</v>
      </c>
      <c r="C4061" t="str">
        <f t="shared" si="63"/>
        <v/>
      </c>
    </row>
    <row r="4062" spans="1:3" x14ac:dyDescent="0.25">
      <c r="A4062" s="223">
        <v>1.37033</v>
      </c>
      <c r="B4062" s="458">
        <v>1.0120000000000001E-3</v>
      </c>
      <c r="C4062" t="str">
        <f t="shared" si="63"/>
        <v/>
      </c>
    </row>
    <row r="4063" spans="1:3" x14ac:dyDescent="0.25">
      <c r="A4063" s="223">
        <v>1.27407</v>
      </c>
      <c r="B4063" s="458">
        <v>4.9849999999999998E-3</v>
      </c>
      <c r="C4063" t="str">
        <f t="shared" si="63"/>
        <v/>
      </c>
    </row>
    <row r="4064" spans="1:3" x14ac:dyDescent="0.25">
      <c r="A4064" s="223">
        <v>1.27407</v>
      </c>
      <c r="B4064" s="458">
        <v>5.2269999999999999E-3</v>
      </c>
      <c r="C4064" t="str">
        <f t="shared" si="63"/>
        <v/>
      </c>
    </row>
    <row r="4065" spans="1:3" x14ac:dyDescent="0.25">
      <c r="A4065" s="223">
        <v>1.0419099999999999</v>
      </c>
      <c r="B4065" s="458">
        <v>1.49E-3</v>
      </c>
      <c r="C4065" t="str">
        <f t="shared" si="63"/>
        <v/>
      </c>
    </row>
    <row r="4066" spans="1:3" x14ac:dyDescent="0.25">
      <c r="A4066" s="223">
        <v>1.0419099999999999</v>
      </c>
      <c r="B4066" s="458">
        <v>3.9899999999999999E-4</v>
      </c>
      <c r="C4066" t="str">
        <f t="shared" si="63"/>
        <v/>
      </c>
    </row>
    <row r="4067" spans="1:3" x14ac:dyDescent="0.25">
      <c r="A4067" s="223">
        <v>0.83806000000000003</v>
      </c>
      <c r="B4067" s="458">
        <v>2.0470000000000002E-3</v>
      </c>
      <c r="C4067" t="str">
        <f t="shared" si="63"/>
        <v/>
      </c>
    </row>
    <row r="4068" spans="1:3" x14ac:dyDescent="0.25">
      <c r="A4068" s="223">
        <v>0.83806000000000003</v>
      </c>
      <c r="B4068" s="458">
        <v>7.2499999999999995E-4</v>
      </c>
      <c r="C4068" t="str">
        <f t="shared" si="63"/>
        <v/>
      </c>
    </row>
    <row r="4069" spans="1:3" x14ac:dyDescent="0.25">
      <c r="A4069" s="223">
        <v>0.80974000000000002</v>
      </c>
      <c r="B4069" s="458">
        <v>4.4299999999999998E-4</v>
      </c>
      <c r="C4069" t="str">
        <f t="shared" si="63"/>
        <v/>
      </c>
    </row>
    <row r="4070" spans="1:3" x14ac:dyDescent="0.25">
      <c r="A4070" s="223">
        <v>0.80974000000000002</v>
      </c>
      <c r="B4070" s="458">
        <v>4.8099999999999998E-4</v>
      </c>
      <c r="C4070" t="str">
        <f t="shared" si="63"/>
        <v/>
      </c>
    </row>
    <row r="4071" spans="1:3" x14ac:dyDescent="0.25">
      <c r="A4071" s="223">
        <v>0.70499000000000001</v>
      </c>
      <c r="B4071" s="458">
        <v>1.0499999999999999E-5</v>
      </c>
      <c r="C4071" t="str">
        <f t="shared" si="63"/>
        <v/>
      </c>
    </row>
    <row r="4072" spans="1:3" x14ac:dyDescent="0.25">
      <c r="A4072" s="223">
        <v>0.70499000000000001</v>
      </c>
      <c r="B4072" s="458">
        <v>2.0000000000000001E-4</v>
      </c>
      <c r="C4072" t="str">
        <f t="shared" si="63"/>
        <v/>
      </c>
    </row>
    <row r="4073" spans="1:3" x14ac:dyDescent="0.25">
      <c r="A4073" s="223">
        <v>0.78991999999999996</v>
      </c>
      <c r="B4073" s="458">
        <v>4.7399999999999997E-4</v>
      </c>
      <c r="C4073" t="str">
        <f t="shared" si="63"/>
        <v/>
      </c>
    </row>
    <row r="4074" spans="1:3" x14ac:dyDescent="0.25">
      <c r="A4074" s="223">
        <v>0.78991999999999996</v>
      </c>
      <c r="B4074" s="458">
        <v>5.6700000000000001E-4</v>
      </c>
      <c r="C4074" t="str">
        <f t="shared" si="63"/>
        <v/>
      </c>
    </row>
    <row r="4075" spans="1:3" x14ac:dyDescent="0.25">
      <c r="A4075" s="223">
        <v>0.68233999999999995</v>
      </c>
      <c r="B4075" s="458">
        <v>8.4900000000000004E-4</v>
      </c>
      <c r="C4075" t="str">
        <f t="shared" si="63"/>
        <v/>
      </c>
    </row>
    <row r="4076" spans="1:3" x14ac:dyDescent="0.25">
      <c r="A4076" s="223">
        <v>0.68233999999999995</v>
      </c>
      <c r="B4076" s="458">
        <v>1.73E-4</v>
      </c>
      <c r="C4076" t="str">
        <f t="shared" si="63"/>
        <v/>
      </c>
    </row>
    <row r="4077" spans="1:3" x14ac:dyDescent="0.25">
      <c r="A4077" s="223">
        <v>0.64270000000000005</v>
      </c>
      <c r="B4077" s="458">
        <v>4.2700000000000002E-4</v>
      </c>
      <c r="C4077" t="str">
        <f t="shared" si="63"/>
        <v/>
      </c>
    </row>
    <row r="4078" spans="1:3" x14ac:dyDescent="0.25">
      <c r="A4078" s="223">
        <v>0.64270000000000005</v>
      </c>
      <c r="B4078" s="458">
        <v>2.8400000000000002E-4</v>
      </c>
      <c r="C4078" t="str">
        <f t="shared" si="63"/>
        <v/>
      </c>
    </row>
    <row r="4079" spans="1:3" x14ac:dyDescent="0.25">
      <c r="A4079" s="223">
        <v>0.48132000000000003</v>
      </c>
      <c r="B4079" s="458">
        <v>1.36E-5</v>
      </c>
      <c r="C4079" t="str">
        <f t="shared" si="63"/>
        <v/>
      </c>
    </row>
    <row r="4080" spans="1:3" x14ac:dyDescent="0.25">
      <c r="A4080" s="223">
        <v>0.48132000000000003</v>
      </c>
      <c r="B4080" s="458">
        <v>2.0999999999999998E-6</v>
      </c>
      <c r="C4080" t="str">
        <f t="shared" si="63"/>
        <v/>
      </c>
    </row>
    <row r="4081" spans="1:3" x14ac:dyDescent="0.25">
      <c r="A4081" s="223">
        <v>0.39921000000000001</v>
      </c>
      <c r="B4081" s="458">
        <v>3.57E-5</v>
      </c>
      <c r="C4081" t="str">
        <f t="shared" si="63"/>
        <v/>
      </c>
    </row>
    <row r="4082" spans="1:3" x14ac:dyDescent="0.25">
      <c r="A4082" s="223">
        <v>0.39921000000000001</v>
      </c>
      <c r="B4082" s="458">
        <v>2.94E-5</v>
      </c>
      <c r="C4082" t="str">
        <f t="shared" si="63"/>
        <v/>
      </c>
    </row>
    <row r="4083" spans="1:3" x14ac:dyDescent="0.25">
      <c r="A4083" s="223">
        <v>0.13958000000000001</v>
      </c>
      <c r="B4083" s="458">
        <v>1.26E-5</v>
      </c>
      <c r="C4083" t="str">
        <f t="shared" si="63"/>
        <v/>
      </c>
    </row>
    <row r="4084" spans="1:3" x14ac:dyDescent="0.25">
      <c r="A4084" s="223">
        <v>0.13958000000000001</v>
      </c>
      <c r="B4084" s="458">
        <v>5.2500000000000002E-5</v>
      </c>
      <c r="C4084" t="str">
        <f t="shared" si="63"/>
        <v/>
      </c>
    </row>
    <row r="4085" spans="1:3" x14ac:dyDescent="0.25">
      <c r="A4085" s="223">
        <v>0.80125000000000002</v>
      </c>
      <c r="B4085" s="458">
        <v>7.7879999999999998E-3</v>
      </c>
      <c r="C4085" t="str">
        <f t="shared" si="63"/>
        <v/>
      </c>
    </row>
    <row r="4086" spans="1:3" x14ac:dyDescent="0.25">
      <c r="A4086" s="223">
        <v>0.80125000000000002</v>
      </c>
      <c r="B4086" s="458">
        <v>9.2890000000000004E-3</v>
      </c>
      <c r="C4086" t="str">
        <f t="shared" si="63"/>
        <v/>
      </c>
    </row>
    <row r="4087" spans="1:3" x14ac:dyDescent="0.25">
      <c r="A4087" s="223">
        <v>0.92298999999999998</v>
      </c>
      <c r="B4087" s="458">
        <v>4.2820000000000002E-3</v>
      </c>
      <c r="C4087" t="str">
        <f t="shared" si="63"/>
        <v/>
      </c>
    </row>
    <row r="4088" spans="1:3" x14ac:dyDescent="0.25">
      <c r="A4088" s="223">
        <v>0.92298999999999998</v>
      </c>
      <c r="B4088" s="458">
        <v>4.2820000000000002E-3</v>
      </c>
      <c r="C4088" t="str">
        <f t="shared" si="63"/>
        <v/>
      </c>
    </row>
    <row r="4089" spans="1:3" x14ac:dyDescent="0.25">
      <c r="A4089" s="223">
        <v>0.97113000000000005</v>
      </c>
      <c r="B4089" s="458">
        <v>6.5909999999999996E-3</v>
      </c>
      <c r="C4089" t="str">
        <f t="shared" si="63"/>
        <v/>
      </c>
    </row>
    <row r="4090" spans="1:3" x14ac:dyDescent="0.25">
      <c r="A4090" s="223">
        <v>0.97113000000000005</v>
      </c>
      <c r="B4090" s="458">
        <v>4.2820000000000002E-3</v>
      </c>
      <c r="C4090" t="str">
        <f t="shared" si="63"/>
        <v/>
      </c>
    </row>
    <row r="4091" spans="1:3" x14ac:dyDescent="0.25">
      <c r="A4091" s="223">
        <v>1.0107600000000001</v>
      </c>
      <c r="B4091" s="458">
        <v>5.4100000000000003E-4</v>
      </c>
      <c r="C4091" t="str">
        <f t="shared" si="63"/>
        <v/>
      </c>
    </row>
    <row r="4092" spans="1:3" x14ac:dyDescent="0.25">
      <c r="A4092" s="223">
        <v>1.0107600000000001</v>
      </c>
      <c r="B4092" s="458">
        <v>2.5609999999999999E-3</v>
      </c>
      <c r="C4092" t="str">
        <f t="shared" ref="C4092:C4155" si="64">IF(B4092=0,"XXXXXXXX","")</f>
        <v/>
      </c>
    </row>
    <row r="4093" spans="1:3" x14ac:dyDescent="0.25">
      <c r="A4093" s="223">
        <v>1.3816600000000001</v>
      </c>
      <c r="B4093" s="458">
        <v>1.1124999999999999E-2</v>
      </c>
      <c r="C4093" t="str">
        <f t="shared" si="64"/>
        <v/>
      </c>
    </row>
    <row r="4094" spans="1:3" x14ac:dyDescent="0.25">
      <c r="A4094" s="223">
        <v>1.3816600000000001</v>
      </c>
      <c r="B4094" s="458">
        <v>2.2776000000000001E-2</v>
      </c>
      <c r="C4094" t="str">
        <f t="shared" si="64"/>
        <v/>
      </c>
    </row>
    <row r="4095" spans="1:3" x14ac:dyDescent="0.25">
      <c r="A4095" s="223">
        <v>1.4439500000000001</v>
      </c>
      <c r="B4095" s="458">
        <v>1.8159999999999999E-3</v>
      </c>
      <c r="C4095" t="str">
        <f t="shared" si="64"/>
        <v/>
      </c>
    </row>
    <row r="4096" spans="1:3" x14ac:dyDescent="0.25">
      <c r="A4096" s="223">
        <v>1.56003</v>
      </c>
      <c r="B4096" s="458">
        <v>4.4710000000000001E-3</v>
      </c>
      <c r="C4096" t="str">
        <f t="shared" si="64"/>
        <v/>
      </c>
    </row>
    <row r="4097" spans="1:3" x14ac:dyDescent="0.25">
      <c r="A4097" s="223">
        <v>1.56003</v>
      </c>
      <c r="B4097" s="458">
        <v>6.6649999999999999E-3</v>
      </c>
      <c r="C4097" t="str">
        <f t="shared" si="64"/>
        <v/>
      </c>
    </row>
    <row r="4098" spans="1:3" x14ac:dyDescent="0.25">
      <c r="A4098" s="223">
        <v>2.1687500000000002</v>
      </c>
      <c r="B4098" s="458">
        <v>9.0889999999999999E-3</v>
      </c>
      <c r="C4098" t="str">
        <f t="shared" si="64"/>
        <v/>
      </c>
    </row>
    <row r="4099" spans="1:3" x14ac:dyDescent="0.25">
      <c r="A4099" s="223">
        <v>2.1687500000000002</v>
      </c>
      <c r="B4099" s="458">
        <v>1.1335E-2</v>
      </c>
      <c r="C4099" t="str">
        <f t="shared" si="64"/>
        <v/>
      </c>
    </row>
    <row r="4100" spans="1:3" x14ac:dyDescent="0.25">
      <c r="A4100" s="223">
        <v>1.7525599999999999</v>
      </c>
      <c r="B4100" s="458">
        <v>2.2460000000000002E-3</v>
      </c>
      <c r="C4100" t="str">
        <f t="shared" si="64"/>
        <v/>
      </c>
    </row>
    <row r="4101" spans="1:3" x14ac:dyDescent="0.25">
      <c r="A4101" s="223">
        <v>1.7525599999999999</v>
      </c>
      <c r="B4101" s="458">
        <v>1.91E-3</v>
      </c>
      <c r="C4101" t="str">
        <f t="shared" si="64"/>
        <v/>
      </c>
    </row>
    <row r="4102" spans="1:3" x14ac:dyDescent="0.25">
      <c r="A4102" s="223">
        <v>2.3782700000000001</v>
      </c>
      <c r="B4102" s="458">
        <v>7.2110000000000004E-3</v>
      </c>
      <c r="C4102" t="str">
        <f t="shared" si="64"/>
        <v/>
      </c>
    </row>
    <row r="4103" spans="1:3" x14ac:dyDescent="0.25">
      <c r="A4103" s="223">
        <v>2.3782700000000001</v>
      </c>
      <c r="B4103" s="458">
        <v>5.8780000000000004E-3</v>
      </c>
      <c r="C4103" t="str">
        <f t="shared" si="64"/>
        <v/>
      </c>
    </row>
    <row r="4104" spans="1:3" x14ac:dyDescent="0.25">
      <c r="A4104" s="223">
        <v>3.25596</v>
      </c>
      <c r="B4104" s="458">
        <v>2.4244999999999999E-2</v>
      </c>
      <c r="C4104" t="str">
        <f t="shared" si="64"/>
        <v/>
      </c>
    </row>
    <row r="4105" spans="1:3" x14ac:dyDescent="0.25">
      <c r="A4105" s="223">
        <v>3.25596</v>
      </c>
      <c r="B4105" s="458">
        <v>1.5533999999999999E-2</v>
      </c>
      <c r="C4105" t="str">
        <f t="shared" si="64"/>
        <v/>
      </c>
    </row>
    <row r="4106" spans="1:3" x14ac:dyDescent="0.25">
      <c r="A4106" s="223">
        <v>3.9071500000000001</v>
      </c>
      <c r="B4106" s="458">
        <v>9.3307000000000001E-2</v>
      </c>
      <c r="C4106" t="str">
        <f t="shared" si="64"/>
        <v/>
      </c>
    </row>
    <row r="4107" spans="1:3" x14ac:dyDescent="0.25">
      <c r="A4107" s="223">
        <v>3.9071500000000001</v>
      </c>
      <c r="B4107" s="458">
        <v>2.5295000000000002E-2</v>
      </c>
      <c r="C4107" t="str">
        <f t="shared" si="64"/>
        <v/>
      </c>
    </row>
    <row r="4108" spans="1:3" x14ac:dyDescent="0.25">
      <c r="A4108" s="223">
        <v>3.9071500000000001</v>
      </c>
      <c r="B4108" s="458">
        <v>4.8910000000000002E-2</v>
      </c>
      <c r="C4108" t="str">
        <f t="shared" si="64"/>
        <v/>
      </c>
    </row>
    <row r="4109" spans="1:3" x14ac:dyDescent="0.25">
      <c r="A4109" s="223">
        <v>4.4167800000000002</v>
      </c>
      <c r="B4109" s="458">
        <v>4.0304E-2</v>
      </c>
      <c r="C4109" t="str">
        <f t="shared" si="64"/>
        <v/>
      </c>
    </row>
    <row r="4110" spans="1:3" x14ac:dyDescent="0.25">
      <c r="A4110" s="223">
        <v>4.4167800000000002</v>
      </c>
      <c r="B4110" s="458">
        <v>2.1831E-2</v>
      </c>
      <c r="C4110" t="str">
        <f t="shared" si="64"/>
        <v/>
      </c>
    </row>
    <row r="4111" spans="1:3" x14ac:dyDescent="0.25">
      <c r="A4111" s="223">
        <v>4.3601599999999996</v>
      </c>
      <c r="B4111" s="458">
        <v>1.8471999999999999E-2</v>
      </c>
      <c r="C4111" t="str">
        <f t="shared" si="64"/>
        <v/>
      </c>
    </row>
    <row r="4112" spans="1:3" x14ac:dyDescent="0.25">
      <c r="A4112" s="223">
        <v>4.3601599999999996</v>
      </c>
      <c r="B4112" s="458">
        <v>3.6209999999999999E-2</v>
      </c>
      <c r="C4112" t="str">
        <f t="shared" si="64"/>
        <v/>
      </c>
    </row>
    <row r="4113" spans="1:3" x14ac:dyDescent="0.25">
      <c r="A4113" s="223">
        <v>4.5583400000000003</v>
      </c>
      <c r="B4113" s="458">
        <v>1.291E-2</v>
      </c>
      <c r="C4113" t="str">
        <f t="shared" si="64"/>
        <v/>
      </c>
    </row>
    <row r="4114" spans="1:3" x14ac:dyDescent="0.25">
      <c r="A4114" s="223">
        <v>4.5583400000000003</v>
      </c>
      <c r="B4114" s="458">
        <v>1.1755E-2</v>
      </c>
      <c r="C4114" t="str">
        <f t="shared" si="64"/>
        <v/>
      </c>
    </row>
    <row r="4115" spans="1:3" x14ac:dyDescent="0.25">
      <c r="A4115" s="223">
        <v>3.9071500000000001</v>
      </c>
      <c r="B4115" s="458">
        <v>1.6583000000000001E-2</v>
      </c>
      <c r="C4115" t="str">
        <f t="shared" si="64"/>
        <v/>
      </c>
    </row>
    <row r="4116" spans="1:3" x14ac:dyDescent="0.25">
      <c r="A4116" s="223">
        <v>3.9071500000000001</v>
      </c>
      <c r="B4116" s="458">
        <v>2.7184E-2</v>
      </c>
      <c r="C4116" t="str">
        <f t="shared" si="64"/>
        <v/>
      </c>
    </row>
    <row r="4117" spans="1:3" x14ac:dyDescent="0.25">
      <c r="A4117" s="223">
        <v>3.9071500000000001</v>
      </c>
      <c r="B4117" s="458">
        <v>5.0379999999999999E-3</v>
      </c>
      <c r="C4117" t="str">
        <f t="shared" si="64"/>
        <v/>
      </c>
    </row>
    <row r="4118" spans="1:3" x14ac:dyDescent="0.25">
      <c r="A4118" s="223">
        <v>3.9071500000000001</v>
      </c>
      <c r="B4118" s="458">
        <v>6.7169999999999999E-3</v>
      </c>
      <c r="C4118" t="str">
        <f t="shared" si="64"/>
        <v/>
      </c>
    </row>
    <row r="4119" spans="1:3" x14ac:dyDescent="0.25">
      <c r="A4119" s="223">
        <v>3.6240299999999999</v>
      </c>
      <c r="B4119" s="458">
        <v>1.4589E-2</v>
      </c>
      <c r="C4119" t="str">
        <f t="shared" si="64"/>
        <v/>
      </c>
    </row>
    <row r="4120" spans="1:3" x14ac:dyDescent="0.25">
      <c r="A4120" s="223">
        <v>3.6240299999999999</v>
      </c>
      <c r="B4120" s="458">
        <v>4.5865999999999997E-2</v>
      </c>
      <c r="C4120" t="str">
        <f t="shared" si="64"/>
        <v/>
      </c>
    </row>
    <row r="4121" spans="1:3" x14ac:dyDescent="0.25">
      <c r="A4121" s="223">
        <v>3.6240299999999999</v>
      </c>
      <c r="B4121" s="458">
        <v>7.9869999999999993E-3</v>
      </c>
      <c r="C4121" t="str">
        <f t="shared" si="64"/>
        <v/>
      </c>
    </row>
    <row r="4122" spans="1:3" x14ac:dyDescent="0.25">
      <c r="A4122" s="223">
        <v>7.5594900000000003</v>
      </c>
      <c r="B4122" s="458">
        <v>0.247699</v>
      </c>
      <c r="C4122" t="str">
        <f t="shared" si="64"/>
        <v/>
      </c>
    </row>
    <row r="4123" spans="1:3" x14ac:dyDescent="0.25">
      <c r="A4123" s="223">
        <v>7.5594900000000003</v>
      </c>
      <c r="B4123" s="458">
        <v>0.28548299999999999</v>
      </c>
      <c r="C4123" t="str">
        <f t="shared" si="64"/>
        <v/>
      </c>
    </row>
    <row r="4124" spans="1:3" x14ac:dyDescent="0.25">
      <c r="A4124" s="223">
        <v>5.6625399999999999</v>
      </c>
      <c r="B4124" s="458">
        <v>8.4490999999999997E-2</v>
      </c>
      <c r="C4124" t="str">
        <f t="shared" si="64"/>
        <v/>
      </c>
    </row>
    <row r="4125" spans="1:3" x14ac:dyDescent="0.25">
      <c r="A4125" s="223">
        <v>5.6625399999999999</v>
      </c>
      <c r="B4125" s="458">
        <v>6.8851999999999997E-2</v>
      </c>
      <c r="C4125" t="str">
        <f t="shared" si="64"/>
        <v/>
      </c>
    </row>
    <row r="4126" spans="1:3" x14ac:dyDescent="0.25">
      <c r="A4126" s="223">
        <v>4.2469099999999997</v>
      </c>
      <c r="B4126" s="458">
        <v>6.3709000000000002E-2</v>
      </c>
      <c r="C4126" t="str">
        <f t="shared" si="64"/>
        <v/>
      </c>
    </row>
    <row r="4127" spans="1:3" x14ac:dyDescent="0.25">
      <c r="A4127" s="223">
        <v>4.2469099999999997</v>
      </c>
      <c r="B4127" s="458">
        <v>0.14693999999999999</v>
      </c>
      <c r="C4127" t="str">
        <f t="shared" si="64"/>
        <v/>
      </c>
    </row>
    <row r="4128" spans="1:3" x14ac:dyDescent="0.25">
      <c r="A4128" s="223">
        <v>4.2469099999999997</v>
      </c>
      <c r="B4128" s="458">
        <v>0.21516199999999999</v>
      </c>
      <c r="C4128" t="str">
        <f t="shared" si="64"/>
        <v/>
      </c>
    </row>
    <row r="4129" spans="1:3" x14ac:dyDescent="0.25">
      <c r="A4129" s="223">
        <v>6.3420500000000004</v>
      </c>
      <c r="B4129" s="458">
        <v>0.23930199999999999</v>
      </c>
      <c r="C4129" t="str">
        <f t="shared" si="64"/>
        <v/>
      </c>
    </row>
    <row r="4130" spans="1:3" x14ac:dyDescent="0.25">
      <c r="A4130" s="223">
        <v>6.3420500000000004</v>
      </c>
      <c r="B4130" s="458">
        <v>0.22880700000000001</v>
      </c>
      <c r="C4130" t="str">
        <f t="shared" si="64"/>
        <v/>
      </c>
    </row>
    <row r="4131" spans="1:3" x14ac:dyDescent="0.25">
      <c r="A4131" s="223">
        <v>7.1348000000000003</v>
      </c>
      <c r="B4131" s="458">
        <v>0.20361699999999999</v>
      </c>
      <c r="C4131" t="str">
        <f t="shared" si="64"/>
        <v/>
      </c>
    </row>
    <row r="4132" spans="1:3" x14ac:dyDescent="0.25">
      <c r="A4132" s="223">
        <v>7.1348000000000003</v>
      </c>
      <c r="B4132" s="458">
        <v>0.26344200000000001</v>
      </c>
      <c r="C4132" t="str">
        <f t="shared" si="64"/>
        <v/>
      </c>
    </row>
    <row r="4133" spans="1:3" x14ac:dyDescent="0.25">
      <c r="A4133" s="223">
        <v>6.6534800000000001</v>
      </c>
      <c r="B4133" s="458">
        <v>0.28548299999999999</v>
      </c>
      <c r="C4133" t="str">
        <f t="shared" si="64"/>
        <v/>
      </c>
    </row>
    <row r="4134" spans="1:3" x14ac:dyDescent="0.25">
      <c r="A4134" s="223">
        <v>6.6534800000000001</v>
      </c>
      <c r="B4134" s="458">
        <v>0.19312099999999999</v>
      </c>
      <c r="C4134" t="str">
        <f t="shared" si="64"/>
        <v/>
      </c>
    </row>
    <row r="4135" spans="1:3" x14ac:dyDescent="0.25">
      <c r="A4135" s="223">
        <v>4.5866600000000002</v>
      </c>
      <c r="B4135" s="458">
        <v>0.126998</v>
      </c>
      <c r="C4135" t="str">
        <f t="shared" si="64"/>
        <v/>
      </c>
    </row>
    <row r="4136" spans="1:3" x14ac:dyDescent="0.25">
      <c r="A4136" s="223">
        <v>4.5866600000000002</v>
      </c>
      <c r="B4136" s="458">
        <v>0.17632800000000001</v>
      </c>
      <c r="C4136" t="str">
        <f t="shared" si="64"/>
        <v/>
      </c>
    </row>
    <row r="4137" spans="1:3" x14ac:dyDescent="0.25">
      <c r="A4137" s="223">
        <v>4.3601599999999996</v>
      </c>
      <c r="B4137" s="458">
        <v>1.6898E-2</v>
      </c>
      <c r="C4137" t="str">
        <f t="shared" si="64"/>
        <v/>
      </c>
    </row>
    <row r="4138" spans="1:3" x14ac:dyDescent="0.25">
      <c r="A4138" s="223">
        <v>4.3601599999999996</v>
      </c>
      <c r="B4138" s="458">
        <v>3.5580000000000001E-2</v>
      </c>
      <c r="C4138" t="str">
        <f t="shared" si="64"/>
        <v/>
      </c>
    </row>
    <row r="4139" spans="1:3" x14ac:dyDescent="0.25">
      <c r="A4139" s="223">
        <v>4.1619700000000002</v>
      </c>
      <c r="B4139" s="458">
        <v>5.3633E-2</v>
      </c>
      <c r="C4139" t="str">
        <f t="shared" si="64"/>
        <v/>
      </c>
    </row>
    <row r="4140" spans="1:3" x14ac:dyDescent="0.25">
      <c r="A4140" s="223">
        <v>4.1619700000000002</v>
      </c>
      <c r="B4140" s="458">
        <v>6.8012000000000003E-2</v>
      </c>
      <c r="C4140" t="str">
        <f t="shared" si="64"/>
        <v/>
      </c>
    </row>
    <row r="4141" spans="1:3" x14ac:dyDescent="0.25">
      <c r="A4141" s="223">
        <v>5.8607300000000002</v>
      </c>
      <c r="B4141" s="458">
        <v>0.138543</v>
      </c>
      <c r="C4141" t="str">
        <f t="shared" si="64"/>
        <v/>
      </c>
    </row>
    <row r="4142" spans="1:3" x14ac:dyDescent="0.25">
      <c r="A4142" s="223">
        <v>5.8607300000000002</v>
      </c>
      <c r="B4142" s="458">
        <v>0.114403</v>
      </c>
      <c r="C4142" t="str">
        <f t="shared" si="64"/>
        <v/>
      </c>
    </row>
    <row r="4143" spans="1:3" x14ac:dyDescent="0.25">
      <c r="A4143" s="223">
        <v>4.4167800000000002</v>
      </c>
      <c r="B4143" s="458">
        <v>1.5009E-2</v>
      </c>
      <c r="C4143" t="str">
        <f t="shared" si="64"/>
        <v/>
      </c>
    </row>
    <row r="4144" spans="1:3" x14ac:dyDescent="0.25">
      <c r="A4144" s="223">
        <v>4.4167800000000002</v>
      </c>
      <c r="B4144" s="458">
        <v>1.5952999999999998E-2</v>
      </c>
      <c r="C4144" t="str">
        <f t="shared" si="64"/>
        <v/>
      </c>
    </row>
    <row r="4145" spans="1:3" x14ac:dyDescent="0.25">
      <c r="A4145" s="223">
        <v>3.7372800000000002</v>
      </c>
      <c r="B4145" s="458">
        <v>1.8787000000000002E-2</v>
      </c>
      <c r="C4145" t="str">
        <f t="shared" si="64"/>
        <v/>
      </c>
    </row>
    <row r="4146" spans="1:3" x14ac:dyDescent="0.25">
      <c r="A4146" s="223">
        <v>3.7372800000000002</v>
      </c>
      <c r="B4146" s="458">
        <v>1.6688000000000001E-2</v>
      </c>
      <c r="C4146" t="str">
        <f t="shared" si="64"/>
        <v/>
      </c>
    </row>
    <row r="4147" spans="1:3" x14ac:dyDescent="0.25">
      <c r="A4147" s="223">
        <v>0.41337000000000002</v>
      </c>
      <c r="B4147" s="458">
        <v>2.4000000000000001E-5</v>
      </c>
      <c r="C4147" t="str">
        <f t="shared" si="64"/>
        <v/>
      </c>
    </row>
    <row r="4148" spans="1:3" x14ac:dyDescent="0.25">
      <c r="A4148" s="223">
        <v>0.41337000000000002</v>
      </c>
      <c r="B4148" s="458">
        <v>1.6100000000000001E-4</v>
      </c>
      <c r="C4148" t="str">
        <f t="shared" si="64"/>
        <v/>
      </c>
    </row>
    <row r="4149" spans="1:3" x14ac:dyDescent="0.25">
      <c r="A4149" s="223">
        <v>0.62570999999999999</v>
      </c>
      <c r="B4149" s="458">
        <v>2.5700000000000001E-4</v>
      </c>
      <c r="C4149" t="str">
        <f t="shared" si="64"/>
        <v/>
      </c>
    </row>
    <row r="4150" spans="1:3" x14ac:dyDescent="0.25">
      <c r="A4150" s="223">
        <v>0.62570999999999999</v>
      </c>
      <c r="B4150" s="458">
        <v>2.1000000000000001E-4</v>
      </c>
      <c r="C4150" t="str">
        <f t="shared" si="64"/>
        <v/>
      </c>
    </row>
    <row r="4151" spans="1:3" x14ac:dyDescent="0.25">
      <c r="A4151" s="223">
        <v>0.69932000000000005</v>
      </c>
      <c r="B4151" s="458">
        <v>9.77E-4</v>
      </c>
      <c r="C4151" t="str">
        <f t="shared" si="64"/>
        <v/>
      </c>
    </row>
    <row r="4152" spans="1:3" x14ac:dyDescent="0.25">
      <c r="A4152" s="223">
        <v>0.69932000000000005</v>
      </c>
      <c r="B4152" s="458">
        <v>1.5319999999999999E-3</v>
      </c>
      <c r="C4152" t="str">
        <f t="shared" si="64"/>
        <v/>
      </c>
    </row>
    <row r="4153" spans="1:3" x14ac:dyDescent="0.25">
      <c r="A4153" s="223">
        <v>0.75595000000000001</v>
      </c>
      <c r="B4153" s="458">
        <v>9.6199999999999996E-4</v>
      </c>
      <c r="C4153" t="str">
        <f t="shared" si="64"/>
        <v/>
      </c>
    </row>
    <row r="4154" spans="1:3" x14ac:dyDescent="0.25">
      <c r="A4154" s="223">
        <v>0.75595000000000001</v>
      </c>
      <c r="B4154" s="458">
        <v>3.653E-3</v>
      </c>
      <c r="C4154" t="str">
        <f t="shared" si="64"/>
        <v/>
      </c>
    </row>
    <row r="4155" spans="1:3" x14ac:dyDescent="0.25">
      <c r="A4155" s="223">
        <v>0.77010999999999996</v>
      </c>
      <c r="B4155" s="458">
        <v>2.1410000000000001E-3</v>
      </c>
      <c r="C4155" t="str">
        <f t="shared" si="64"/>
        <v/>
      </c>
    </row>
    <row r="4156" spans="1:3" x14ac:dyDescent="0.25">
      <c r="A4156" s="223">
        <v>0.77010999999999996</v>
      </c>
      <c r="B4156" s="458">
        <v>1.784E-3</v>
      </c>
      <c r="C4156" t="str">
        <f t="shared" ref="C4156:C4217" si="65">IF(B4156=0,"XXXXXXXX","")</f>
        <v/>
      </c>
    </row>
    <row r="4157" spans="1:3" x14ac:dyDescent="0.25">
      <c r="A4157" s="223">
        <v>0.89468000000000003</v>
      </c>
      <c r="B4157" s="458">
        <v>8.52E-4</v>
      </c>
      <c r="C4157" t="str">
        <f t="shared" si="65"/>
        <v/>
      </c>
    </row>
    <row r="4158" spans="1:3" x14ac:dyDescent="0.25">
      <c r="A4158" s="223">
        <v>0.89468000000000003</v>
      </c>
      <c r="B4158" s="458">
        <v>9.7499999999999996E-4</v>
      </c>
      <c r="C4158" t="str">
        <f t="shared" si="65"/>
        <v/>
      </c>
    </row>
    <row r="4159" spans="1:3" x14ac:dyDescent="0.25">
      <c r="A4159" s="223">
        <v>0.85221000000000002</v>
      </c>
      <c r="B4159" s="458">
        <v>5.0500000000000002E-4</v>
      </c>
      <c r="C4159" t="str">
        <f t="shared" si="65"/>
        <v/>
      </c>
    </row>
    <row r="4160" spans="1:3" x14ac:dyDescent="0.25">
      <c r="A4160" s="223">
        <v>0.85221000000000002</v>
      </c>
      <c r="B4160" s="458">
        <v>1.322E-3</v>
      </c>
      <c r="C4160" t="str">
        <f t="shared" si="65"/>
        <v/>
      </c>
    </row>
    <row r="4161" spans="1:3" x14ac:dyDescent="0.25">
      <c r="A4161" s="223">
        <v>0.45867000000000002</v>
      </c>
      <c r="B4161" s="458">
        <v>4.8099999999999997E-5</v>
      </c>
      <c r="C4161" t="str">
        <f t="shared" si="65"/>
        <v/>
      </c>
    </row>
    <row r="4162" spans="1:3" x14ac:dyDescent="0.25">
      <c r="A4162" s="223">
        <v>0.45867000000000002</v>
      </c>
      <c r="B4162" s="458">
        <v>1.6399999999999999E-5</v>
      </c>
      <c r="C4162" t="str">
        <f t="shared" si="65"/>
        <v/>
      </c>
    </row>
    <row r="4163" spans="1:3" x14ac:dyDescent="0.25">
      <c r="A4163" s="223">
        <v>0.35391</v>
      </c>
      <c r="B4163" s="458">
        <v>5.5699999999999999E-5</v>
      </c>
      <c r="C4163" t="str">
        <f t="shared" si="65"/>
        <v/>
      </c>
    </row>
    <row r="4164" spans="1:3" x14ac:dyDescent="0.25">
      <c r="A4164" s="223">
        <v>0.35391</v>
      </c>
      <c r="B4164" s="458">
        <v>1.8300000000000001E-5</v>
      </c>
      <c r="C4164" t="str">
        <f t="shared" si="65"/>
        <v/>
      </c>
    </row>
    <row r="4165" spans="1:3" x14ac:dyDescent="0.25">
      <c r="A4165" s="223">
        <v>0.36523</v>
      </c>
      <c r="B4165" s="458">
        <v>1.7100000000000001E-4</v>
      </c>
      <c r="C4165" t="str">
        <f t="shared" si="65"/>
        <v/>
      </c>
    </row>
    <row r="4166" spans="1:3" x14ac:dyDescent="0.25">
      <c r="A4166" s="223">
        <v>0.36523</v>
      </c>
      <c r="B4166" s="458">
        <v>3.43E-5</v>
      </c>
      <c r="C4166" t="str">
        <f t="shared" si="65"/>
        <v/>
      </c>
    </row>
    <row r="4167" spans="1:3" x14ac:dyDescent="0.25">
      <c r="A4167" s="223">
        <v>0.23075000000000001</v>
      </c>
      <c r="B4167" s="458">
        <v>6.5799999999999997E-6</v>
      </c>
      <c r="C4167" t="str">
        <f t="shared" si="65"/>
        <v/>
      </c>
    </row>
    <row r="4168" spans="1:3" x14ac:dyDescent="0.25">
      <c r="A4168" s="223">
        <v>0.23075000000000001</v>
      </c>
      <c r="B4168" s="458">
        <v>1.5999999999999999E-5</v>
      </c>
      <c r="C4168" t="str">
        <f t="shared" si="65"/>
        <v/>
      </c>
    </row>
    <row r="4169" spans="1:3" x14ac:dyDescent="0.25">
      <c r="A4169" s="223">
        <v>0.24546999999999999</v>
      </c>
      <c r="B4169" s="458">
        <v>4.5099999999999998E-5</v>
      </c>
      <c r="C4169" t="str">
        <f t="shared" si="65"/>
        <v/>
      </c>
    </row>
    <row r="4170" spans="1:3" x14ac:dyDescent="0.25">
      <c r="A4170" s="223">
        <v>0.24546999999999999</v>
      </c>
      <c r="B4170" s="458">
        <v>7.6600000000000005E-5</v>
      </c>
      <c r="C4170" t="str">
        <f t="shared" si="65"/>
        <v/>
      </c>
    </row>
    <row r="4171" spans="1:3" x14ac:dyDescent="0.25">
      <c r="A4171" s="223">
        <v>0.39638000000000001</v>
      </c>
      <c r="B4171" s="458">
        <v>8.4599999999999996E-4</v>
      </c>
      <c r="C4171" t="str">
        <f t="shared" si="65"/>
        <v/>
      </c>
    </row>
    <row r="4172" spans="1:3" x14ac:dyDescent="0.25">
      <c r="A4172" s="223">
        <v>0.39638000000000001</v>
      </c>
      <c r="B4172" s="458">
        <v>2.0599999999999999E-4</v>
      </c>
      <c r="C4172" t="str">
        <f t="shared" si="65"/>
        <v/>
      </c>
    </row>
    <row r="4173" spans="1:3" x14ac:dyDescent="0.25">
      <c r="A4173" s="223">
        <v>0.44451000000000002</v>
      </c>
      <c r="B4173" s="458">
        <v>1.5430000000000001E-3</v>
      </c>
      <c r="C4173" t="str">
        <f t="shared" si="65"/>
        <v/>
      </c>
    </row>
    <row r="4174" spans="1:3" x14ac:dyDescent="0.25">
      <c r="A4174" s="223">
        <v>0.44451000000000002</v>
      </c>
      <c r="B4174" s="458">
        <v>2.3830000000000001E-3</v>
      </c>
      <c r="C4174" t="str">
        <f t="shared" si="65"/>
        <v/>
      </c>
    </row>
    <row r="4175" spans="1:3" x14ac:dyDescent="0.25">
      <c r="A4175" s="223">
        <v>0.50397000000000003</v>
      </c>
      <c r="B4175" s="458">
        <v>1.01E-4</v>
      </c>
      <c r="C4175" t="str">
        <f t="shared" si="65"/>
        <v/>
      </c>
    </row>
    <row r="4176" spans="1:3" x14ac:dyDescent="0.25">
      <c r="A4176" s="223">
        <v>0.50397000000000003</v>
      </c>
      <c r="B4176" s="458">
        <v>1.1019999999999999E-3</v>
      </c>
      <c r="C4176" t="str">
        <f t="shared" si="65"/>
        <v/>
      </c>
    </row>
    <row r="4177" spans="1:3" x14ac:dyDescent="0.25">
      <c r="A4177" s="223">
        <v>0.77859999999999996</v>
      </c>
      <c r="B4177" s="458">
        <v>8.1340000000000006E-3</v>
      </c>
      <c r="C4177" t="str">
        <f t="shared" si="65"/>
        <v/>
      </c>
    </row>
    <row r="4178" spans="1:3" x14ac:dyDescent="0.25">
      <c r="A4178" s="223">
        <v>0.77859999999999996</v>
      </c>
      <c r="B4178" s="458">
        <v>1.5740000000000001E-3</v>
      </c>
      <c r="C4178" t="str">
        <f t="shared" si="65"/>
        <v/>
      </c>
    </row>
    <row r="4179" spans="1:3" x14ac:dyDescent="0.25">
      <c r="A4179" s="223">
        <v>0.77859999999999996</v>
      </c>
      <c r="B4179" s="458">
        <v>1.805E-3</v>
      </c>
      <c r="C4179" t="str">
        <f t="shared" si="65"/>
        <v/>
      </c>
    </row>
    <row r="4180" spans="1:3" x14ac:dyDescent="0.25">
      <c r="A4180" s="223">
        <v>0.86919999999999997</v>
      </c>
      <c r="B4180" s="458">
        <v>1.1019999999999999E-3</v>
      </c>
      <c r="C4180" t="str">
        <f t="shared" si="65"/>
        <v/>
      </c>
    </row>
    <row r="4181" spans="1:3" x14ac:dyDescent="0.25">
      <c r="A4181" s="223">
        <v>0.86919999999999997</v>
      </c>
      <c r="B4181" s="458">
        <v>1.047E-3</v>
      </c>
      <c r="C4181" t="str">
        <f t="shared" si="65"/>
        <v/>
      </c>
    </row>
    <row r="4182" spans="1:3" x14ac:dyDescent="0.25">
      <c r="A4182" s="223">
        <v>1.18347</v>
      </c>
      <c r="B4182" s="458">
        <v>2.8969999999999998E-3</v>
      </c>
      <c r="C4182" t="str">
        <f t="shared" si="65"/>
        <v/>
      </c>
    </row>
    <row r="4183" spans="1:3" x14ac:dyDescent="0.25">
      <c r="A4183" s="223">
        <v>1.2429300000000001</v>
      </c>
      <c r="B4183" s="458">
        <v>1.3015000000000001E-2</v>
      </c>
      <c r="C4183" t="str">
        <f t="shared" si="65"/>
        <v/>
      </c>
    </row>
    <row r="4184" spans="1:3" x14ac:dyDescent="0.25">
      <c r="A4184" s="223">
        <v>1.2429300000000001</v>
      </c>
      <c r="B4184" s="458">
        <v>7.9030000000000003E-3</v>
      </c>
      <c r="C4184" t="str">
        <f t="shared" si="65"/>
        <v/>
      </c>
    </row>
    <row r="4185" spans="1:3" x14ac:dyDescent="0.25">
      <c r="A4185" s="223">
        <v>0.90317999999999998</v>
      </c>
      <c r="B4185" s="458">
        <v>1.658E-3</v>
      </c>
      <c r="C4185" t="str">
        <f t="shared" si="65"/>
        <v/>
      </c>
    </row>
    <row r="4186" spans="1:3" x14ac:dyDescent="0.25">
      <c r="A4186" s="223">
        <v>0.90317999999999998</v>
      </c>
      <c r="B4186" s="458">
        <v>5.5729999999999998E-3</v>
      </c>
      <c r="C4186" t="str">
        <f t="shared" si="65"/>
        <v/>
      </c>
    </row>
    <row r="4187" spans="1:3" x14ac:dyDescent="0.25">
      <c r="A4187" s="223">
        <v>0.90317999999999998</v>
      </c>
      <c r="B4187" s="458">
        <v>2.3830000000000001E-3</v>
      </c>
      <c r="C4187" t="str">
        <f t="shared" si="65"/>
        <v/>
      </c>
    </row>
    <row r="4188" spans="1:3" x14ac:dyDescent="0.25">
      <c r="A4188" s="223">
        <v>1.56003</v>
      </c>
      <c r="B4188" s="458">
        <v>7.9559999999999995E-3</v>
      </c>
      <c r="C4188" t="str">
        <f t="shared" si="65"/>
        <v/>
      </c>
    </row>
    <row r="4189" spans="1:3" x14ac:dyDescent="0.25">
      <c r="A4189" s="223">
        <v>2.1064600000000002</v>
      </c>
      <c r="B4189" s="458">
        <v>2.4035000000000001E-2</v>
      </c>
      <c r="C4189" t="str">
        <f t="shared" si="65"/>
        <v/>
      </c>
    </row>
    <row r="4190" spans="1:3" x14ac:dyDescent="0.25">
      <c r="A4190" s="223">
        <v>2.1064600000000002</v>
      </c>
      <c r="B4190" s="458">
        <v>2.9808000000000001E-2</v>
      </c>
      <c r="C4190" t="str">
        <f t="shared" si="65"/>
        <v/>
      </c>
    </row>
    <row r="4191" spans="1:3" x14ac:dyDescent="0.25">
      <c r="A4191" s="223">
        <v>2.3612799999999998</v>
      </c>
      <c r="B4191" s="458">
        <v>2.9492999999999998E-2</v>
      </c>
      <c r="C4191" t="str">
        <f t="shared" si="65"/>
        <v/>
      </c>
    </row>
    <row r="4192" spans="1:3" x14ac:dyDescent="0.25">
      <c r="A4192" s="223">
        <v>2.3612799999999998</v>
      </c>
      <c r="B4192" s="458">
        <v>7.3785000000000003E-2</v>
      </c>
      <c r="C4192" t="str">
        <f t="shared" si="65"/>
        <v/>
      </c>
    </row>
    <row r="4193" spans="1:3" x14ac:dyDescent="0.25">
      <c r="A4193" s="223">
        <v>2.2650199999999998</v>
      </c>
      <c r="B4193" s="458">
        <v>1.8158000000000001E-2</v>
      </c>
      <c r="C4193" t="str">
        <f t="shared" si="65"/>
        <v/>
      </c>
    </row>
    <row r="4194" spans="1:3" x14ac:dyDescent="0.25">
      <c r="A4194" s="223">
        <v>2.2650199999999998</v>
      </c>
      <c r="B4194" s="458">
        <v>1.5952999999999998E-2</v>
      </c>
      <c r="C4194" t="str">
        <f t="shared" si="65"/>
        <v/>
      </c>
    </row>
    <row r="4195" spans="1:3" x14ac:dyDescent="0.25">
      <c r="A4195" s="223">
        <v>2.0951399999999998</v>
      </c>
      <c r="B4195" s="458">
        <v>1.7947999999999999E-2</v>
      </c>
      <c r="C4195" t="str">
        <f t="shared" si="65"/>
        <v/>
      </c>
    </row>
    <row r="4196" spans="1:3" x14ac:dyDescent="0.25">
      <c r="A4196" s="223">
        <v>2.0951399999999998</v>
      </c>
      <c r="B4196" s="458">
        <v>1.7003000000000001E-2</v>
      </c>
      <c r="C4196" t="str">
        <f t="shared" si="65"/>
        <v/>
      </c>
    </row>
    <row r="4197" spans="1:3" x14ac:dyDescent="0.25">
      <c r="A4197" s="223">
        <v>1.85731</v>
      </c>
      <c r="B4197" s="458">
        <v>1.4799E-2</v>
      </c>
      <c r="C4197" t="str">
        <f t="shared" si="65"/>
        <v/>
      </c>
    </row>
    <row r="4198" spans="1:3" x14ac:dyDescent="0.25">
      <c r="A4198" s="223">
        <v>1.85731</v>
      </c>
      <c r="B4198" s="458">
        <v>1.3644E-2</v>
      </c>
      <c r="C4198" t="str">
        <f t="shared" si="65"/>
        <v/>
      </c>
    </row>
    <row r="4199" spans="1:3" x14ac:dyDescent="0.25">
      <c r="A4199" s="223">
        <v>2.1659199999999998</v>
      </c>
      <c r="B4199" s="458">
        <v>3.2537000000000003E-2</v>
      </c>
      <c r="C4199" t="str">
        <f t="shared" si="65"/>
        <v/>
      </c>
    </row>
    <row r="4200" spans="1:3" x14ac:dyDescent="0.25">
      <c r="A4200" s="223">
        <v>2.1659199999999998</v>
      </c>
      <c r="B4200" s="458">
        <v>3.2851999999999999E-2</v>
      </c>
      <c r="C4200" t="str">
        <f t="shared" si="65"/>
        <v/>
      </c>
    </row>
    <row r="4201" spans="1:3" x14ac:dyDescent="0.25">
      <c r="A4201" s="223">
        <v>3.3409</v>
      </c>
      <c r="B4201" s="458">
        <v>9.4461000000000003E-2</v>
      </c>
      <c r="C4201" t="str">
        <f t="shared" si="65"/>
        <v/>
      </c>
    </row>
    <row r="4202" spans="1:3" x14ac:dyDescent="0.25">
      <c r="A4202" s="223">
        <v>3.3409</v>
      </c>
      <c r="B4202" s="458">
        <v>0.124899</v>
      </c>
      <c r="C4202" t="str">
        <f t="shared" si="65"/>
        <v/>
      </c>
    </row>
    <row r="4203" spans="1:3" x14ac:dyDescent="0.25">
      <c r="A4203" s="223">
        <v>3.5107699999999999</v>
      </c>
      <c r="B4203" s="458">
        <v>0.230906</v>
      </c>
      <c r="C4203" t="str">
        <f t="shared" si="65"/>
        <v/>
      </c>
    </row>
    <row r="4204" spans="1:3" x14ac:dyDescent="0.25">
      <c r="A4204" s="223">
        <v>3.5107699999999999</v>
      </c>
      <c r="B4204" s="458">
        <v>0.15323700000000001</v>
      </c>
      <c r="C4204" t="str">
        <f t="shared" si="65"/>
        <v/>
      </c>
    </row>
    <row r="4205" spans="1:3" x14ac:dyDescent="0.25">
      <c r="A4205" s="223">
        <v>2.44339</v>
      </c>
      <c r="B4205" s="458">
        <v>3.0752000000000002E-2</v>
      </c>
      <c r="C4205" t="str">
        <f t="shared" si="65"/>
        <v/>
      </c>
    </row>
    <row r="4206" spans="1:3" x14ac:dyDescent="0.25">
      <c r="A4206" s="223">
        <v>2.44339</v>
      </c>
      <c r="B4206" s="458">
        <v>3.4425999999999998E-2</v>
      </c>
      <c r="C4206" t="str">
        <f t="shared" si="65"/>
        <v/>
      </c>
    </row>
    <row r="4207" spans="1:3" x14ac:dyDescent="0.25">
      <c r="A4207" s="223">
        <v>1.87147</v>
      </c>
      <c r="B4207" s="458">
        <v>3.2641999999999997E-2</v>
      </c>
      <c r="C4207" t="str">
        <f t="shared" si="65"/>
        <v/>
      </c>
    </row>
    <row r="4208" spans="1:3" x14ac:dyDescent="0.25">
      <c r="A4208" s="223">
        <v>1.87147</v>
      </c>
      <c r="B4208" s="458">
        <v>2.6554000000000001E-2</v>
      </c>
      <c r="C4208" t="str">
        <f t="shared" si="65"/>
        <v/>
      </c>
    </row>
    <row r="4209" spans="1:3" x14ac:dyDescent="0.25">
      <c r="A4209" s="223">
        <v>2.4178999999999999</v>
      </c>
      <c r="B4209" s="458">
        <v>9.7924999999999998E-2</v>
      </c>
      <c r="C4209" t="str">
        <f t="shared" si="65"/>
        <v/>
      </c>
    </row>
    <row r="4210" spans="1:3" x14ac:dyDescent="0.25">
      <c r="A4210" s="223">
        <v>2.4178999999999999</v>
      </c>
      <c r="B4210" s="458">
        <v>9.4146999999999995E-2</v>
      </c>
      <c r="C4210" t="str">
        <f t="shared" si="65"/>
        <v/>
      </c>
    </row>
    <row r="4211" spans="1:3" x14ac:dyDescent="0.25">
      <c r="A4211" s="223">
        <v>2.6387399999999999</v>
      </c>
      <c r="B4211" s="458">
        <v>8.2810999999999996E-2</v>
      </c>
      <c r="C4211" t="str">
        <f t="shared" si="65"/>
        <v/>
      </c>
    </row>
    <row r="4212" spans="1:3" x14ac:dyDescent="0.25">
      <c r="A4212" s="223">
        <v>2.6387399999999999</v>
      </c>
      <c r="B4212" s="458">
        <v>0.11650199999999999</v>
      </c>
      <c r="C4212" t="str">
        <f t="shared" si="65"/>
        <v/>
      </c>
    </row>
    <row r="4213" spans="1:3" x14ac:dyDescent="0.25">
      <c r="A4213" s="223">
        <v>2.7463299999999999</v>
      </c>
      <c r="B4213" s="458">
        <v>9.0472999999999998E-2</v>
      </c>
      <c r="C4213" t="str">
        <f t="shared" si="65"/>
        <v/>
      </c>
    </row>
    <row r="4214" spans="1:3" x14ac:dyDescent="0.25">
      <c r="A4214" s="223">
        <v>2.7463299999999999</v>
      </c>
      <c r="B4214" s="458">
        <v>7.0740999999999998E-2</v>
      </c>
      <c r="C4214" t="str">
        <f t="shared" si="65"/>
        <v/>
      </c>
    </row>
    <row r="4215" spans="1:3" x14ac:dyDescent="0.25">
      <c r="A4215" s="223">
        <v>2.5198299999999998</v>
      </c>
      <c r="B4215" s="458">
        <v>0.15428700000000001</v>
      </c>
      <c r="C4215" t="str">
        <f t="shared" si="65"/>
        <v/>
      </c>
    </row>
    <row r="4216" spans="1:3" x14ac:dyDescent="0.25">
      <c r="A4216" s="223">
        <v>2.5198299999999998</v>
      </c>
      <c r="B4216" s="458">
        <v>9.0683E-2</v>
      </c>
      <c r="C4216" t="str">
        <f t="shared" si="65"/>
        <v/>
      </c>
    </row>
    <row r="4217" spans="1:3" x14ac:dyDescent="0.25">
      <c r="A4217" s="223">
        <v>2.5198299999999998</v>
      </c>
      <c r="B4217" s="458">
        <v>0.126998</v>
      </c>
      <c r="C4217" t="str">
        <f t="shared" si="65"/>
        <v/>
      </c>
    </row>
    <row r="4218" spans="1:3" x14ac:dyDescent="0.25">
      <c r="A4218" s="223">
        <v>1.61382</v>
      </c>
      <c r="B4218" s="458">
        <v>6.0879999999999997E-3</v>
      </c>
      <c r="C4218" t="str">
        <f t="shared" ref="C4218:C4280" si="66">IF(B4218=0,"XXXXXXXX","")</f>
        <v/>
      </c>
    </row>
    <row r="4219" spans="1:3" x14ac:dyDescent="0.25">
      <c r="A4219" s="223">
        <v>1.61382</v>
      </c>
      <c r="B4219" s="458">
        <v>5.1009999999999996E-3</v>
      </c>
      <c r="C4219" t="str">
        <f t="shared" si="66"/>
        <v/>
      </c>
    </row>
    <row r="4220" spans="1:3" x14ac:dyDescent="0.25">
      <c r="A4220" s="223">
        <v>1.56003</v>
      </c>
      <c r="B4220" s="458">
        <v>1.1124999999999999E-2</v>
      </c>
      <c r="C4220" t="str">
        <f t="shared" si="66"/>
        <v/>
      </c>
    </row>
    <row r="4221" spans="1:3" x14ac:dyDescent="0.25">
      <c r="A4221" s="223">
        <v>1.56003</v>
      </c>
      <c r="B4221" s="458">
        <v>3.506E-3</v>
      </c>
      <c r="C4221" t="str">
        <f t="shared" si="66"/>
        <v/>
      </c>
    </row>
    <row r="4222" spans="1:3" x14ac:dyDescent="0.25">
      <c r="A4222" s="223">
        <v>1.9875499999999999</v>
      </c>
      <c r="B4222" s="458">
        <v>1.7843000000000001E-2</v>
      </c>
      <c r="C4222" t="str">
        <f t="shared" si="66"/>
        <v/>
      </c>
    </row>
    <row r="4223" spans="1:3" x14ac:dyDescent="0.25">
      <c r="A4223" s="223">
        <v>1.9875499999999999</v>
      </c>
      <c r="B4223" s="458">
        <v>1.6792999999999999E-2</v>
      </c>
      <c r="C4223" t="str">
        <f t="shared" si="66"/>
        <v/>
      </c>
    </row>
    <row r="4224" spans="1:3" x14ac:dyDescent="0.25">
      <c r="A4224" s="223">
        <v>1.6902699999999999</v>
      </c>
      <c r="B4224" s="458">
        <v>1.4694E-2</v>
      </c>
      <c r="C4224" t="str">
        <f t="shared" si="66"/>
        <v/>
      </c>
    </row>
    <row r="4225" spans="1:3" x14ac:dyDescent="0.25">
      <c r="A4225" s="223">
        <v>1.6902699999999999</v>
      </c>
      <c r="B4225" s="458">
        <v>1.3225000000000001E-2</v>
      </c>
      <c r="C4225" t="str">
        <f t="shared" si="66"/>
        <v/>
      </c>
    </row>
    <row r="4226" spans="1:3" x14ac:dyDescent="0.25">
      <c r="A4226" s="223">
        <v>1.6902699999999999</v>
      </c>
      <c r="B4226" s="458">
        <v>8.7530000000000004E-3</v>
      </c>
      <c r="C4226" t="str">
        <f t="shared" si="66"/>
        <v/>
      </c>
    </row>
    <row r="4227" spans="1:3" x14ac:dyDescent="0.25">
      <c r="A4227" s="223">
        <v>1.3816600000000001</v>
      </c>
      <c r="B4227" s="458">
        <v>5.5420000000000001E-3</v>
      </c>
      <c r="C4227" t="str">
        <f t="shared" si="66"/>
        <v/>
      </c>
    </row>
    <row r="4228" spans="1:3" x14ac:dyDescent="0.25">
      <c r="A4228" s="223">
        <v>1.31654</v>
      </c>
      <c r="B4228" s="458">
        <v>9.5200000000000005E-4</v>
      </c>
      <c r="C4228" t="str">
        <f t="shared" si="66"/>
        <v/>
      </c>
    </row>
    <row r="4229" spans="1:3" x14ac:dyDescent="0.25">
      <c r="A4229" s="223">
        <v>1.1268499999999999</v>
      </c>
      <c r="B4229" s="458">
        <v>7.0600000000000003E-4</v>
      </c>
      <c r="C4229" t="str">
        <f t="shared" si="66"/>
        <v/>
      </c>
    </row>
    <row r="4230" spans="1:3" x14ac:dyDescent="0.25">
      <c r="A4230" s="223">
        <v>0.37656000000000001</v>
      </c>
      <c r="B4230" s="458">
        <v>1.5319999999999999E-3</v>
      </c>
      <c r="C4230" t="str">
        <f t="shared" si="66"/>
        <v/>
      </c>
    </row>
    <row r="4231" spans="1:3" x14ac:dyDescent="0.25">
      <c r="A4231" s="223">
        <v>0.27492</v>
      </c>
      <c r="B4231" s="458">
        <v>6.0899999999999995E-4</v>
      </c>
      <c r="C4231" t="str">
        <f t="shared" si="66"/>
        <v/>
      </c>
    </row>
    <row r="4232" spans="1:3" x14ac:dyDescent="0.25">
      <c r="A4232" s="223">
        <v>0.24263999999999999</v>
      </c>
      <c r="B4232" s="458">
        <v>1.1860000000000001E-2</v>
      </c>
      <c r="C4232" t="str">
        <f t="shared" si="66"/>
        <v/>
      </c>
    </row>
    <row r="4233" spans="1:3" x14ac:dyDescent="0.25">
      <c r="A4233" s="223">
        <v>5.2659999999999998E-2</v>
      </c>
      <c r="B4233" s="458">
        <v>5.3399999999999997E-4</v>
      </c>
      <c r="C4233" t="str">
        <f t="shared" si="66"/>
        <v/>
      </c>
    </row>
    <row r="4234" spans="1:3" x14ac:dyDescent="0.25">
      <c r="A4234" s="223">
        <v>8.1540000000000001E-2</v>
      </c>
      <c r="B4234" s="458">
        <v>1.186E-3</v>
      </c>
      <c r="C4234" t="str">
        <f t="shared" si="66"/>
        <v/>
      </c>
    </row>
    <row r="4235" spans="1:3" x14ac:dyDescent="0.25">
      <c r="A4235" s="223">
        <v>2.91621</v>
      </c>
      <c r="B4235" s="458">
        <v>1.469E-3</v>
      </c>
      <c r="C4235" t="str">
        <f t="shared" si="66"/>
        <v/>
      </c>
    </row>
    <row r="4236" spans="1:3" x14ac:dyDescent="0.25">
      <c r="A4236" s="223">
        <v>0.25255</v>
      </c>
      <c r="B4236" s="458">
        <v>3.82E-3</v>
      </c>
      <c r="C4236" t="str">
        <f t="shared" si="66"/>
        <v/>
      </c>
    </row>
    <row r="4237" spans="1:3" x14ac:dyDescent="0.25">
      <c r="A4237" s="223">
        <v>0.24235999999999999</v>
      </c>
      <c r="B4237" s="458">
        <v>4.0509999999999999E-3</v>
      </c>
      <c r="C4237" t="str">
        <f t="shared" si="66"/>
        <v/>
      </c>
    </row>
    <row r="4238" spans="1:3" x14ac:dyDescent="0.25">
      <c r="A4238" s="223">
        <v>0.23244999999999999</v>
      </c>
      <c r="B4238" s="458">
        <v>1.6789999999999999E-3</v>
      </c>
      <c r="C4238" t="str">
        <f t="shared" si="66"/>
        <v/>
      </c>
    </row>
    <row r="4239" spans="1:3" x14ac:dyDescent="0.25">
      <c r="A4239" s="223">
        <v>2.7180200000000001</v>
      </c>
      <c r="B4239" s="458">
        <v>1.2279999999999999E-2</v>
      </c>
      <c r="C4239" t="str">
        <f t="shared" si="66"/>
        <v/>
      </c>
    </row>
    <row r="4240" spans="1:3" x14ac:dyDescent="0.25">
      <c r="A4240" s="223">
        <v>2.34429</v>
      </c>
      <c r="B4240" s="458">
        <v>2.6869000000000001E-2</v>
      </c>
      <c r="C4240" t="str">
        <f t="shared" si="66"/>
        <v/>
      </c>
    </row>
    <row r="4241" spans="1:3" x14ac:dyDescent="0.25">
      <c r="A4241" s="223">
        <v>1.90544</v>
      </c>
      <c r="B4241" s="458">
        <v>3.6944999999999999E-2</v>
      </c>
      <c r="C4241" t="str">
        <f t="shared" si="66"/>
        <v/>
      </c>
    </row>
    <row r="4242" spans="1:3" x14ac:dyDescent="0.25">
      <c r="A4242" s="223">
        <v>0.87768999999999997</v>
      </c>
      <c r="B4242" s="458">
        <v>1.0191E-2</v>
      </c>
      <c r="C4242" t="str">
        <f t="shared" si="66"/>
        <v/>
      </c>
    </row>
    <row r="4243" spans="1:3" x14ac:dyDescent="0.25">
      <c r="A4243" s="223">
        <v>0.44451000000000002</v>
      </c>
      <c r="B4243" s="458">
        <v>1.3200000000000001E-4</v>
      </c>
      <c r="C4243" t="str">
        <f t="shared" si="66"/>
        <v/>
      </c>
    </row>
    <row r="4244" spans="1:3" x14ac:dyDescent="0.25">
      <c r="A4244" s="223">
        <v>0.26103999999999999</v>
      </c>
      <c r="B4244" s="458">
        <v>2.6400000000000002E-4</v>
      </c>
      <c r="C4244" t="str">
        <f t="shared" si="66"/>
        <v/>
      </c>
    </row>
    <row r="4245" spans="1:3" x14ac:dyDescent="0.25">
      <c r="A4245" s="223">
        <v>0.15146999999999999</v>
      </c>
      <c r="B4245" s="458">
        <v>4.0899999999999998E-5</v>
      </c>
      <c r="C4245" t="str">
        <f t="shared" si="66"/>
        <v/>
      </c>
    </row>
    <row r="4246" spans="1:3" x14ac:dyDescent="0.25">
      <c r="A4246" s="223">
        <v>0.94847999999999999</v>
      </c>
      <c r="B4246" s="458">
        <v>2.8440000000000002E-3</v>
      </c>
      <c r="C4246" t="str">
        <f t="shared" si="66"/>
        <v/>
      </c>
    </row>
    <row r="4247" spans="1:3" x14ac:dyDescent="0.25">
      <c r="A4247" s="223">
        <v>0.94847999999999999</v>
      </c>
      <c r="B4247" s="458">
        <v>1.0012999999999999E-2</v>
      </c>
      <c r="C4247" t="str">
        <f t="shared" si="66"/>
        <v/>
      </c>
    </row>
    <row r="4248" spans="1:3" x14ac:dyDescent="0.25">
      <c r="A4248" s="223">
        <v>0.71065</v>
      </c>
      <c r="B4248" s="458">
        <v>1.2489999999999999E-2</v>
      </c>
      <c r="C4248" t="str">
        <f t="shared" si="66"/>
        <v/>
      </c>
    </row>
    <row r="4249" spans="1:3" x14ac:dyDescent="0.25">
      <c r="A4249" s="223">
        <v>0.90883999999999998</v>
      </c>
      <c r="B4249" s="458">
        <v>2.1305999999999999E-2</v>
      </c>
      <c r="C4249" t="str">
        <f t="shared" si="66"/>
        <v/>
      </c>
    </row>
    <row r="4250" spans="1:3" x14ac:dyDescent="0.25">
      <c r="A4250" s="223">
        <v>0.83521999999999996</v>
      </c>
      <c r="B4250" s="458">
        <v>9.6559999999999997E-3</v>
      </c>
      <c r="C4250" t="str">
        <f t="shared" si="66"/>
        <v/>
      </c>
    </row>
    <row r="4251" spans="1:3" x14ac:dyDescent="0.25">
      <c r="A4251" s="223">
        <v>0.30861</v>
      </c>
      <c r="B4251" s="458">
        <v>1.438E-3</v>
      </c>
      <c r="C4251" t="str">
        <f t="shared" si="66"/>
        <v/>
      </c>
    </row>
    <row r="4252" spans="1:3" x14ac:dyDescent="0.25">
      <c r="A4252" s="223">
        <v>0.98528000000000004</v>
      </c>
      <c r="B4252" s="458">
        <v>8.7639999999999992E-3</v>
      </c>
      <c r="C4252" t="str">
        <f t="shared" si="66"/>
        <v/>
      </c>
    </row>
    <row r="4253" spans="1:3" x14ac:dyDescent="0.25">
      <c r="A4253" s="223">
        <v>0.33692</v>
      </c>
      <c r="B4253" s="458">
        <v>1.637E-3</v>
      </c>
      <c r="C4253" t="str">
        <f t="shared" si="66"/>
        <v/>
      </c>
    </row>
    <row r="4254" spans="1:3" x14ac:dyDescent="0.25">
      <c r="A4254" s="223">
        <v>0.1996</v>
      </c>
      <c r="B4254" s="458">
        <v>5.8799999999999999E-5</v>
      </c>
      <c r="C4254" t="str">
        <f t="shared" si="66"/>
        <v/>
      </c>
    </row>
    <row r="4255" spans="1:3" x14ac:dyDescent="0.25">
      <c r="A4255" s="223">
        <v>0.18770999999999999</v>
      </c>
      <c r="B4255" s="458">
        <v>1.6479999999999999E-3</v>
      </c>
      <c r="C4255" t="str">
        <f t="shared" si="66"/>
        <v/>
      </c>
    </row>
    <row r="4256" spans="1:3" x14ac:dyDescent="0.25">
      <c r="A4256" s="223">
        <v>0.33692</v>
      </c>
      <c r="B4256" s="458">
        <v>5.2900000000000004E-3</v>
      </c>
      <c r="C4256" t="str">
        <f t="shared" si="66"/>
        <v/>
      </c>
    </row>
    <row r="4257" spans="1:3" x14ac:dyDescent="0.25">
      <c r="A4257" s="223">
        <v>0.54359999999999997</v>
      </c>
      <c r="B4257" s="458">
        <v>1.2805E-2</v>
      </c>
      <c r="C4257" t="str">
        <f t="shared" si="66"/>
        <v/>
      </c>
    </row>
    <row r="4258" spans="1:3" x14ac:dyDescent="0.25">
      <c r="A4258" s="223">
        <v>0.56059000000000003</v>
      </c>
      <c r="B4258" s="458">
        <v>1.9102000000000001E-2</v>
      </c>
      <c r="C4258" t="str">
        <f t="shared" si="66"/>
        <v/>
      </c>
    </row>
    <row r="4259" spans="1:3" x14ac:dyDescent="0.25">
      <c r="A4259" s="223">
        <v>0.43318000000000001</v>
      </c>
      <c r="B4259" s="458">
        <v>2.1519999999999998E-3</v>
      </c>
      <c r="C4259" t="str">
        <f t="shared" si="66"/>
        <v/>
      </c>
    </row>
    <row r="4260" spans="1:3" x14ac:dyDescent="0.25">
      <c r="A4260" s="223">
        <v>0.40204000000000001</v>
      </c>
      <c r="B4260" s="458">
        <v>1.0496E-2</v>
      </c>
      <c r="C4260" t="str">
        <f t="shared" si="66"/>
        <v/>
      </c>
    </row>
    <row r="4261" spans="1:3" x14ac:dyDescent="0.25">
      <c r="A4261" s="223">
        <v>0.32275999999999999</v>
      </c>
      <c r="B4261" s="458">
        <v>4.261E-3</v>
      </c>
      <c r="C4261" t="str">
        <f t="shared" si="66"/>
        <v/>
      </c>
    </row>
    <row r="4262" spans="1:3" x14ac:dyDescent="0.25">
      <c r="A4262" s="223">
        <v>0.20555000000000001</v>
      </c>
      <c r="B4262" s="458">
        <v>3.7360000000000002E-3</v>
      </c>
      <c r="C4262" t="str">
        <f t="shared" si="66"/>
        <v/>
      </c>
    </row>
    <row r="4263" spans="1:3" x14ac:dyDescent="0.25">
      <c r="A4263" s="223">
        <v>7.1059999999999998E-2</v>
      </c>
      <c r="B4263" s="458">
        <v>1.0900000000000001E-5</v>
      </c>
      <c r="C4263" t="str">
        <f t="shared" si="66"/>
        <v/>
      </c>
    </row>
    <row r="4264" spans="1:3" x14ac:dyDescent="0.25">
      <c r="A4264" s="223">
        <v>0.33126</v>
      </c>
      <c r="B4264" s="458">
        <v>2.1410999999999999E-2</v>
      </c>
      <c r="C4264" t="str">
        <f t="shared" si="66"/>
        <v/>
      </c>
    </row>
    <row r="4265" spans="1:3" x14ac:dyDescent="0.25">
      <c r="A4265" s="223">
        <v>0.63419999999999999</v>
      </c>
      <c r="B4265" s="458">
        <v>1.7212999999999999E-2</v>
      </c>
      <c r="C4265" t="str">
        <f t="shared" si="66"/>
        <v/>
      </c>
    </row>
    <row r="4266" spans="1:3" x14ac:dyDescent="0.25">
      <c r="A4266" s="223">
        <v>0.93149000000000004</v>
      </c>
      <c r="B4266" s="458">
        <v>9.5090000000000001E-3</v>
      </c>
      <c r="C4266" t="str">
        <f t="shared" si="66"/>
        <v/>
      </c>
    </row>
    <row r="4267" spans="1:3" x14ac:dyDescent="0.25">
      <c r="A4267" s="223">
        <v>1.27407</v>
      </c>
      <c r="B4267" s="458">
        <v>3.5265999999999999E-2</v>
      </c>
      <c r="C4267" t="str">
        <f t="shared" si="66"/>
        <v/>
      </c>
    </row>
    <row r="4268" spans="1:3" x14ac:dyDescent="0.25">
      <c r="A4268" s="223">
        <v>1.59684</v>
      </c>
      <c r="B4268" s="458">
        <v>5.7726E-2</v>
      </c>
      <c r="C4268" t="str">
        <f t="shared" si="66"/>
        <v/>
      </c>
    </row>
    <row r="4269" spans="1:3" x14ac:dyDescent="0.25">
      <c r="A4269" s="223">
        <v>1.6902699999999999</v>
      </c>
      <c r="B4269" s="458">
        <v>0.15848499999999999</v>
      </c>
      <c r="C4269" t="str">
        <f t="shared" si="66"/>
        <v/>
      </c>
    </row>
    <row r="4270" spans="1:3" x14ac:dyDescent="0.25">
      <c r="A4270" s="223">
        <v>1.6591199999999999</v>
      </c>
      <c r="B4270" s="458">
        <v>0.11965099999999999</v>
      </c>
      <c r="C4270" t="str">
        <f t="shared" si="66"/>
        <v/>
      </c>
    </row>
    <row r="4271" spans="1:3" x14ac:dyDescent="0.25">
      <c r="A4271" s="223">
        <v>2.5424799999999999</v>
      </c>
      <c r="B4271" s="458">
        <v>9.0578000000000006E-2</v>
      </c>
      <c r="C4271" t="str">
        <f t="shared" si="66"/>
        <v/>
      </c>
    </row>
    <row r="4272" spans="1:3" x14ac:dyDescent="0.25">
      <c r="A4272" s="223">
        <v>0.61721999999999999</v>
      </c>
      <c r="B4272" s="458">
        <v>1.8263000000000001E-2</v>
      </c>
      <c r="C4272" t="str">
        <f t="shared" si="66"/>
        <v/>
      </c>
    </row>
    <row r="4273" spans="1:3" x14ac:dyDescent="0.25">
      <c r="A4273" s="223">
        <v>1.47509</v>
      </c>
      <c r="B4273" s="458">
        <v>4.6915999999999999E-2</v>
      </c>
      <c r="C4273" t="str">
        <f t="shared" si="66"/>
        <v/>
      </c>
    </row>
    <row r="4274" spans="1:3" x14ac:dyDescent="0.25">
      <c r="A4274" s="223">
        <v>1.56569</v>
      </c>
      <c r="B4274" s="458">
        <v>9.6349999999999995E-3</v>
      </c>
      <c r="C4274" t="str">
        <f t="shared" si="66"/>
        <v/>
      </c>
    </row>
    <row r="4275" spans="1:3" x14ac:dyDescent="0.25">
      <c r="A4275" s="223">
        <v>2.5424799999999999</v>
      </c>
      <c r="B4275" s="458">
        <v>6.3919000000000004E-2</v>
      </c>
      <c r="C4275" t="str">
        <f t="shared" si="66"/>
        <v/>
      </c>
    </row>
    <row r="4276" spans="1:3" x14ac:dyDescent="0.25">
      <c r="A4276" s="223">
        <v>0.63419999999999999</v>
      </c>
      <c r="B4276" s="458">
        <v>1.3958999999999999E-2</v>
      </c>
      <c r="C4276" t="str">
        <f t="shared" si="66"/>
        <v/>
      </c>
    </row>
    <row r="4277" spans="1:3" x14ac:dyDescent="0.25">
      <c r="A4277" s="223">
        <v>0.41903000000000001</v>
      </c>
      <c r="B4277" s="458">
        <v>1.3849999999999999E-3</v>
      </c>
      <c r="C4277" t="str">
        <f t="shared" si="66"/>
        <v/>
      </c>
    </row>
    <row r="4278" spans="1:3" x14ac:dyDescent="0.25">
      <c r="A4278" s="223">
        <v>0.11466999999999999</v>
      </c>
      <c r="B4278" s="458">
        <v>1.333E-3</v>
      </c>
      <c r="C4278" t="str">
        <f t="shared" si="66"/>
        <v/>
      </c>
    </row>
    <row r="4279" spans="1:3" x14ac:dyDescent="0.25">
      <c r="A4279" s="223">
        <v>0.19253000000000001</v>
      </c>
      <c r="B4279" s="458">
        <v>1.8370000000000001E-3</v>
      </c>
      <c r="C4279" t="str">
        <f t="shared" si="66"/>
        <v/>
      </c>
    </row>
    <row r="4280" spans="1:3" x14ac:dyDescent="0.25">
      <c r="A4280" s="223">
        <v>0.19253000000000001</v>
      </c>
      <c r="B4280" s="458">
        <v>8.4400000000000002E-4</v>
      </c>
      <c r="C4280" t="str">
        <f t="shared" si="66"/>
        <v/>
      </c>
    </row>
    <row r="4281" spans="1:3" x14ac:dyDescent="0.25">
      <c r="A4281" s="223">
        <v>0.19253000000000001</v>
      </c>
      <c r="B4281" s="458">
        <v>3.1700000000000001E-3</v>
      </c>
      <c r="C4281" t="str">
        <f t="shared" ref="C4281:C4344" si="67">IF(B4281=0,"XXXXXXXX","")</f>
        <v/>
      </c>
    </row>
    <row r="4282" spans="1:3" x14ac:dyDescent="0.25">
      <c r="A4282" s="223">
        <v>0.22877</v>
      </c>
      <c r="B4282" s="458">
        <v>8.3859999999999994E-3</v>
      </c>
      <c r="C4282" t="str">
        <f t="shared" si="67"/>
        <v/>
      </c>
    </row>
    <row r="4283" spans="1:3" x14ac:dyDescent="0.25">
      <c r="A4283" s="223">
        <v>0.22877</v>
      </c>
      <c r="B4283" s="458">
        <v>1.7420000000000001E-3</v>
      </c>
      <c r="C4283" t="str">
        <f t="shared" si="67"/>
        <v/>
      </c>
    </row>
    <row r="4284" spans="1:3" x14ac:dyDescent="0.25">
      <c r="A4284" s="223">
        <v>0.22877</v>
      </c>
      <c r="B4284" s="458">
        <v>4.0200000000000001E-4</v>
      </c>
      <c r="C4284" t="str">
        <f t="shared" si="67"/>
        <v/>
      </c>
    </row>
    <row r="4285" spans="1:3" x14ac:dyDescent="0.25">
      <c r="A4285" s="223">
        <v>1.79786</v>
      </c>
      <c r="B4285" s="458">
        <v>1.3435000000000001E-2</v>
      </c>
      <c r="C4285" t="str">
        <f t="shared" si="67"/>
        <v/>
      </c>
    </row>
    <row r="4286" spans="1:3" x14ac:dyDescent="0.25">
      <c r="A4286" s="223">
        <v>1.79786</v>
      </c>
      <c r="B4286" s="458">
        <v>3.4216000000000003E-2</v>
      </c>
      <c r="C4286" t="str">
        <f t="shared" si="67"/>
        <v/>
      </c>
    </row>
    <row r="4287" spans="1:3" x14ac:dyDescent="0.25">
      <c r="A4287" s="223">
        <v>1.3278700000000001</v>
      </c>
      <c r="B4287" s="458">
        <v>1.176E-3</v>
      </c>
      <c r="C4287" t="str">
        <f t="shared" si="67"/>
        <v/>
      </c>
    </row>
    <row r="4288" spans="1:3" x14ac:dyDescent="0.25">
      <c r="A4288" s="223">
        <v>1.3278700000000001</v>
      </c>
      <c r="B4288" s="458">
        <v>1.511E-3</v>
      </c>
      <c r="C4288" t="str">
        <f t="shared" si="67"/>
        <v/>
      </c>
    </row>
    <row r="4289" spans="1:3" x14ac:dyDescent="0.25">
      <c r="A4289" s="223">
        <v>0.73046999999999995</v>
      </c>
      <c r="B4289" s="458">
        <v>8.4700000000000001E-3</v>
      </c>
      <c r="C4289" t="str">
        <f t="shared" si="67"/>
        <v/>
      </c>
    </row>
    <row r="4290" spans="1:3" x14ac:dyDescent="0.25">
      <c r="A4290" s="223">
        <v>0.73046999999999995</v>
      </c>
      <c r="B4290" s="458">
        <v>6.9899999999999997E-3</v>
      </c>
      <c r="C4290" t="str">
        <f t="shared" si="67"/>
        <v/>
      </c>
    </row>
    <row r="4291" spans="1:3" x14ac:dyDescent="0.25">
      <c r="A4291" s="223">
        <v>0.73046999999999995</v>
      </c>
      <c r="B4291" s="458">
        <v>1.312E-2</v>
      </c>
      <c r="C4291" t="str">
        <f t="shared" si="67"/>
        <v/>
      </c>
    </row>
    <row r="4292" spans="1:3" x14ac:dyDescent="0.25">
      <c r="A4292" s="223">
        <v>0.86070999999999998</v>
      </c>
      <c r="B4292" s="458">
        <v>4.8799999999999999E-4</v>
      </c>
      <c r="C4292" t="str">
        <f t="shared" si="67"/>
        <v/>
      </c>
    </row>
    <row r="4293" spans="1:3" x14ac:dyDescent="0.25">
      <c r="A4293" s="223">
        <v>0.86070999999999998</v>
      </c>
      <c r="B4293" s="458">
        <v>1.1021E-2</v>
      </c>
      <c r="C4293" t="str">
        <f t="shared" si="67"/>
        <v/>
      </c>
    </row>
    <row r="4294" spans="1:3" x14ac:dyDescent="0.25">
      <c r="A4294" s="223">
        <v>0.98245000000000005</v>
      </c>
      <c r="B4294" s="458">
        <v>7.62E-3</v>
      </c>
      <c r="C4294" t="str">
        <f t="shared" si="67"/>
        <v/>
      </c>
    </row>
    <row r="4295" spans="1:3" x14ac:dyDescent="0.25">
      <c r="A4295" s="223">
        <v>0.98245000000000005</v>
      </c>
      <c r="B4295" s="458">
        <v>8.2810000000000002E-3</v>
      </c>
      <c r="C4295" t="str">
        <f t="shared" si="67"/>
        <v/>
      </c>
    </row>
    <row r="4296" spans="1:3" x14ac:dyDescent="0.25">
      <c r="A4296" s="223">
        <v>0.92015999999999998</v>
      </c>
      <c r="B4296" s="458">
        <v>4.2719999999999998E-3</v>
      </c>
      <c r="C4296" t="str">
        <f t="shared" si="67"/>
        <v/>
      </c>
    </row>
    <row r="4297" spans="1:3" x14ac:dyDescent="0.25">
      <c r="A4297" s="223">
        <v>0.92015999999999998</v>
      </c>
      <c r="B4297" s="458">
        <v>2.8233000000000001E-2</v>
      </c>
      <c r="C4297" t="str">
        <f t="shared" si="67"/>
        <v/>
      </c>
    </row>
    <row r="4298" spans="1:3" x14ac:dyDescent="0.25">
      <c r="A4298" s="223">
        <v>0.84089000000000003</v>
      </c>
      <c r="B4298" s="458">
        <v>1.1019999999999999E-3</v>
      </c>
      <c r="C4298" t="str">
        <f t="shared" si="67"/>
        <v/>
      </c>
    </row>
    <row r="4299" spans="1:3" x14ac:dyDescent="0.25">
      <c r="A4299" s="223">
        <v>0.84089000000000003</v>
      </c>
      <c r="B4299" s="458">
        <v>3.3899999999999998E-3</v>
      </c>
      <c r="C4299" t="str">
        <f t="shared" si="67"/>
        <v/>
      </c>
    </row>
    <row r="4300" spans="1:3" x14ac:dyDescent="0.25">
      <c r="A4300" s="223">
        <v>0.58323999999999998</v>
      </c>
      <c r="B4300" s="458">
        <v>1.6479999999999999E-3</v>
      </c>
      <c r="C4300" t="str">
        <f t="shared" si="67"/>
        <v/>
      </c>
    </row>
    <row r="4301" spans="1:3" x14ac:dyDescent="0.25">
      <c r="A4301" s="223">
        <v>0.58323999999999998</v>
      </c>
      <c r="B4301" s="458">
        <v>1.65E-4</v>
      </c>
      <c r="C4301" t="str">
        <f t="shared" si="67"/>
        <v/>
      </c>
    </row>
    <row r="4302" spans="1:3" x14ac:dyDescent="0.25">
      <c r="A4302" s="223">
        <v>0.84089000000000003</v>
      </c>
      <c r="B4302" s="458">
        <v>6.8120000000000003E-3</v>
      </c>
      <c r="C4302" t="str">
        <f t="shared" si="67"/>
        <v/>
      </c>
    </row>
    <row r="4303" spans="1:3" x14ac:dyDescent="0.25">
      <c r="A4303" s="223">
        <v>0.84089000000000003</v>
      </c>
      <c r="B4303" s="458">
        <v>5.7099999999999998E-3</v>
      </c>
      <c r="C4303" t="str">
        <f t="shared" si="67"/>
        <v/>
      </c>
    </row>
    <row r="4304" spans="1:3" x14ac:dyDescent="0.25">
      <c r="A4304" s="223">
        <v>0.72197</v>
      </c>
      <c r="B4304" s="458">
        <v>8.1969999999999994E-3</v>
      </c>
      <c r="C4304" t="str">
        <f t="shared" si="67"/>
        <v/>
      </c>
    </row>
    <row r="4305" spans="1:3" x14ac:dyDescent="0.25">
      <c r="A4305" s="223">
        <v>0.72197</v>
      </c>
      <c r="B4305" s="458">
        <v>1.2699999999999999E-2</v>
      </c>
      <c r="C4305" t="str">
        <f t="shared" si="67"/>
        <v/>
      </c>
    </row>
    <row r="4306" spans="1:3" x14ac:dyDescent="0.25">
      <c r="A4306" s="223">
        <v>0.75029000000000001</v>
      </c>
      <c r="B4306" s="458">
        <v>9.0050000000000009E-3</v>
      </c>
      <c r="C4306" t="str">
        <f t="shared" si="67"/>
        <v/>
      </c>
    </row>
    <row r="4307" spans="1:3" x14ac:dyDescent="0.25">
      <c r="A4307" s="223">
        <v>0.75029000000000001</v>
      </c>
      <c r="B4307" s="458">
        <v>1.1335E-2</v>
      </c>
      <c r="C4307" t="str">
        <f t="shared" si="67"/>
        <v/>
      </c>
    </row>
    <row r="4308" spans="1:3" x14ac:dyDescent="0.25">
      <c r="A4308" s="223">
        <v>0.69649000000000005</v>
      </c>
      <c r="B4308" s="458">
        <v>2.3089999999999999E-3</v>
      </c>
      <c r="C4308" t="str">
        <f t="shared" si="67"/>
        <v/>
      </c>
    </row>
    <row r="4309" spans="1:3" x14ac:dyDescent="0.25">
      <c r="A4309" s="223">
        <v>0.69649000000000005</v>
      </c>
      <c r="B4309" s="458">
        <v>1.5640000000000001E-3</v>
      </c>
      <c r="C4309" t="str">
        <f t="shared" si="67"/>
        <v/>
      </c>
    </row>
    <row r="4310" spans="1:3" x14ac:dyDescent="0.25">
      <c r="A4310" s="223">
        <v>0.64553000000000005</v>
      </c>
      <c r="B4310" s="458">
        <v>7.6410000000000002E-3</v>
      </c>
      <c r="C4310" t="str">
        <f t="shared" si="67"/>
        <v/>
      </c>
    </row>
    <row r="4311" spans="1:3" x14ac:dyDescent="0.25">
      <c r="A4311" s="223">
        <v>0.64553000000000005</v>
      </c>
      <c r="B4311" s="458">
        <v>6.6540000000000002E-3</v>
      </c>
      <c r="C4311" t="str">
        <f t="shared" si="67"/>
        <v/>
      </c>
    </row>
    <row r="4312" spans="1:3" x14ac:dyDescent="0.25">
      <c r="A4312" s="223">
        <v>0.60023000000000004</v>
      </c>
      <c r="B4312" s="458">
        <v>5.0799999999999999E-4</v>
      </c>
      <c r="C4312" t="str">
        <f t="shared" si="67"/>
        <v/>
      </c>
    </row>
    <row r="4313" spans="1:3" x14ac:dyDescent="0.25">
      <c r="A4313" s="223">
        <v>0.60023000000000004</v>
      </c>
      <c r="B4313" s="458">
        <v>1.7699999999999999E-4</v>
      </c>
      <c r="C4313" t="str">
        <f t="shared" si="67"/>
        <v/>
      </c>
    </row>
    <row r="4314" spans="1:3" x14ac:dyDescent="0.25">
      <c r="A4314" s="223">
        <v>0.49547000000000002</v>
      </c>
      <c r="B4314" s="458">
        <v>1.6789999999999999E-3</v>
      </c>
      <c r="C4314" t="str">
        <f t="shared" si="67"/>
        <v/>
      </c>
    </row>
    <row r="4315" spans="1:3" x14ac:dyDescent="0.25">
      <c r="A4315" s="223">
        <v>0.49547000000000002</v>
      </c>
      <c r="B4315" s="458">
        <v>2.2669999999999999E-3</v>
      </c>
      <c r="C4315" t="str">
        <f t="shared" si="67"/>
        <v/>
      </c>
    </row>
    <row r="4316" spans="1:3" x14ac:dyDescent="0.25">
      <c r="A4316" s="223">
        <v>0.42752000000000001</v>
      </c>
      <c r="B4316" s="458">
        <v>3.107E-3</v>
      </c>
      <c r="C4316" t="str">
        <f t="shared" si="67"/>
        <v/>
      </c>
    </row>
    <row r="4317" spans="1:3" x14ac:dyDescent="0.25">
      <c r="A4317" s="223">
        <v>0.42752000000000001</v>
      </c>
      <c r="B4317" s="458">
        <v>4.44E-4</v>
      </c>
      <c r="C4317" t="str">
        <f t="shared" si="67"/>
        <v/>
      </c>
    </row>
    <row r="4318" spans="1:3" x14ac:dyDescent="0.25">
      <c r="A4318" s="223">
        <v>0.35391</v>
      </c>
      <c r="B4318" s="458">
        <v>9.4499999999999998E-4</v>
      </c>
      <c r="C4318" t="str">
        <f t="shared" si="67"/>
        <v/>
      </c>
    </row>
    <row r="4319" spans="1:3" x14ac:dyDescent="0.25">
      <c r="A4319" s="223">
        <v>0.35391</v>
      </c>
      <c r="B4319" s="458">
        <v>3.88E-4</v>
      </c>
      <c r="C4319" t="str">
        <f t="shared" si="67"/>
        <v/>
      </c>
    </row>
    <row r="4320" spans="1:3" x14ac:dyDescent="0.25">
      <c r="A4320" s="223">
        <v>0.35391</v>
      </c>
      <c r="B4320" s="458">
        <v>8.6200000000000003E-4</v>
      </c>
      <c r="C4320" t="str">
        <f t="shared" si="67"/>
        <v/>
      </c>
    </row>
    <row r="4321" spans="1:3" x14ac:dyDescent="0.25">
      <c r="A4321" s="223">
        <v>0.31143999999999999</v>
      </c>
      <c r="B4321" s="458">
        <v>3.4600000000000001E-4</v>
      </c>
      <c r="C4321" t="str">
        <f t="shared" si="67"/>
        <v/>
      </c>
    </row>
    <row r="4322" spans="1:3" x14ac:dyDescent="0.25">
      <c r="A4322" s="223">
        <v>0.31143999999999999</v>
      </c>
      <c r="B4322" s="458">
        <v>5.4600000000000004E-4</v>
      </c>
      <c r="C4322" t="str">
        <f t="shared" si="67"/>
        <v/>
      </c>
    </row>
    <row r="4323" spans="1:3" x14ac:dyDescent="0.25">
      <c r="A4323" s="223">
        <v>0.31143999999999999</v>
      </c>
      <c r="B4323" s="458">
        <v>4.9700000000000002E-5</v>
      </c>
      <c r="C4323" t="str">
        <f t="shared" si="67"/>
        <v/>
      </c>
    </row>
    <row r="4324" spans="1:3" x14ac:dyDescent="0.25">
      <c r="A4324" s="223">
        <v>0.53793999999999997</v>
      </c>
      <c r="B4324" s="458">
        <v>1.1545E-2</v>
      </c>
      <c r="C4324" t="str">
        <f t="shared" si="67"/>
        <v/>
      </c>
    </row>
    <row r="4325" spans="1:3" x14ac:dyDescent="0.25">
      <c r="A4325" s="223">
        <v>0.53793999999999997</v>
      </c>
      <c r="B4325" s="458">
        <v>4.6179999999999997E-3</v>
      </c>
      <c r="C4325" t="str">
        <f t="shared" si="67"/>
        <v/>
      </c>
    </row>
    <row r="4326" spans="1:3" x14ac:dyDescent="0.25">
      <c r="A4326" s="223">
        <v>0.53793999999999997</v>
      </c>
      <c r="B4326" s="458">
        <v>1.0496E-2</v>
      </c>
      <c r="C4326" t="str">
        <f t="shared" si="67"/>
        <v/>
      </c>
    </row>
    <row r="4327" spans="1:3" x14ac:dyDescent="0.25">
      <c r="A4327" s="223">
        <v>0.34540999999999999</v>
      </c>
      <c r="B4327" s="458">
        <v>7.7899999999999996E-5</v>
      </c>
      <c r="C4327" t="str">
        <f t="shared" si="67"/>
        <v/>
      </c>
    </row>
    <row r="4328" spans="1:3" x14ac:dyDescent="0.25">
      <c r="A4328" s="223">
        <v>0.34540999999999999</v>
      </c>
      <c r="B4328" s="458">
        <v>9.9500000000000001E-4</v>
      </c>
      <c r="C4328" t="str">
        <f t="shared" si="67"/>
        <v/>
      </c>
    </row>
    <row r="4329" spans="1:3" x14ac:dyDescent="0.25">
      <c r="A4329" s="223">
        <v>0.34540999999999999</v>
      </c>
      <c r="B4329" s="458">
        <v>7.4499999999999995E-5</v>
      </c>
      <c r="C4329" t="str">
        <f t="shared" si="67"/>
        <v/>
      </c>
    </row>
    <row r="4330" spans="1:3" x14ac:dyDescent="0.25">
      <c r="A4330" s="223">
        <v>0.18487999999999999</v>
      </c>
      <c r="B4330" s="458">
        <v>1.44E-4</v>
      </c>
      <c r="C4330" t="str">
        <f t="shared" si="67"/>
        <v/>
      </c>
    </row>
    <row r="4331" spans="1:3" x14ac:dyDescent="0.25">
      <c r="A4331" s="223">
        <v>0.18487999999999999</v>
      </c>
      <c r="B4331" s="458">
        <v>3.3399999999999999E-4</v>
      </c>
      <c r="C4331" t="str">
        <f t="shared" si="67"/>
        <v/>
      </c>
    </row>
    <row r="4332" spans="1:3" x14ac:dyDescent="0.25">
      <c r="A4332" s="223">
        <v>0.18487999999999999</v>
      </c>
      <c r="B4332" s="458">
        <v>1.12E-4</v>
      </c>
      <c r="C4332" t="str">
        <f t="shared" si="67"/>
        <v/>
      </c>
    </row>
    <row r="4333" spans="1:3" x14ac:dyDescent="0.25">
      <c r="A4333" s="223">
        <v>0.12316000000000001</v>
      </c>
      <c r="B4333" s="458">
        <v>1.3899999999999999E-4</v>
      </c>
      <c r="C4333" t="str">
        <f t="shared" si="67"/>
        <v/>
      </c>
    </row>
    <row r="4334" spans="1:3" x14ac:dyDescent="0.25">
      <c r="A4334" s="223">
        <v>0.12316000000000001</v>
      </c>
      <c r="B4334" s="458">
        <v>4.18E-5</v>
      </c>
      <c r="C4334" t="str">
        <f t="shared" si="67"/>
        <v/>
      </c>
    </row>
    <row r="4335" spans="1:3" x14ac:dyDescent="0.25">
      <c r="A4335" s="223">
        <v>0.12316000000000001</v>
      </c>
      <c r="B4335" s="458">
        <v>8.5199999999999997E-5</v>
      </c>
      <c r="C4335" t="str">
        <f t="shared" si="67"/>
        <v/>
      </c>
    </row>
    <row r="4336" spans="1:3" x14ac:dyDescent="0.25">
      <c r="A4336" s="223">
        <v>5.8889999999999998E-2</v>
      </c>
      <c r="B4336" s="458">
        <v>1.6200000000000001E-4</v>
      </c>
      <c r="C4336" t="str">
        <f t="shared" si="67"/>
        <v/>
      </c>
    </row>
    <row r="4337" spans="1:3" x14ac:dyDescent="0.25">
      <c r="A4337" s="223">
        <v>5.8889999999999998E-2</v>
      </c>
      <c r="B4337" s="458">
        <v>1.64E-4</v>
      </c>
      <c r="C4337" t="str">
        <f t="shared" si="67"/>
        <v/>
      </c>
    </row>
    <row r="4338" spans="1:3" x14ac:dyDescent="0.25">
      <c r="A4338" s="223">
        <v>5.8889999999999998E-2</v>
      </c>
      <c r="B4338" s="458">
        <v>1.74E-4</v>
      </c>
      <c r="C4338" t="str">
        <f t="shared" si="67"/>
        <v/>
      </c>
    </row>
    <row r="4339" spans="1:3" x14ac:dyDescent="0.25">
      <c r="A4339" s="223">
        <v>4.7849999999999997E-2</v>
      </c>
      <c r="B4339" s="458">
        <v>5.0000000000000002E-5</v>
      </c>
      <c r="C4339" t="str">
        <f t="shared" si="67"/>
        <v/>
      </c>
    </row>
    <row r="4340" spans="1:3" x14ac:dyDescent="0.25">
      <c r="A4340" s="223">
        <v>4.7849999999999997E-2</v>
      </c>
      <c r="B4340" s="458">
        <v>7.9799999999999998E-6</v>
      </c>
      <c r="C4340" t="str">
        <f t="shared" si="67"/>
        <v/>
      </c>
    </row>
    <row r="4341" spans="1:3" x14ac:dyDescent="0.25">
      <c r="A4341" s="223">
        <v>4.7849999999999997E-2</v>
      </c>
      <c r="B4341" s="458">
        <v>5.3700000000000003E-6</v>
      </c>
      <c r="C4341" t="str">
        <f t="shared" si="67"/>
        <v/>
      </c>
    </row>
    <row r="4342" spans="1:3" x14ac:dyDescent="0.25">
      <c r="A4342" s="223">
        <v>0.33975</v>
      </c>
      <c r="B4342" s="458">
        <v>7.8799999999999996E-4</v>
      </c>
      <c r="C4342" t="str">
        <f t="shared" si="67"/>
        <v/>
      </c>
    </row>
    <row r="4343" spans="1:3" x14ac:dyDescent="0.25">
      <c r="A4343" s="223">
        <v>0.33975</v>
      </c>
      <c r="B4343" s="458">
        <v>1.774E-3</v>
      </c>
      <c r="C4343" t="str">
        <f t="shared" si="67"/>
        <v/>
      </c>
    </row>
    <row r="4344" spans="1:3" x14ac:dyDescent="0.25">
      <c r="A4344" s="223">
        <v>0.33975</v>
      </c>
      <c r="B4344" s="458">
        <v>8.9400000000000005E-4</v>
      </c>
      <c r="C4344" t="str">
        <f t="shared" si="67"/>
        <v/>
      </c>
    </row>
    <row r="4345" spans="1:3" x14ac:dyDescent="0.25">
      <c r="A4345" s="223">
        <v>0.33975</v>
      </c>
      <c r="B4345" s="458">
        <v>3.4499999999999998E-4</v>
      </c>
      <c r="C4345" t="str">
        <f t="shared" ref="C4345:C4408" si="68">IF(B4345=0,"XXXXXXXX","")</f>
        <v/>
      </c>
    </row>
    <row r="4346" spans="1:3" x14ac:dyDescent="0.25">
      <c r="A4346" s="223">
        <v>0.26756000000000002</v>
      </c>
      <c r="B4346" s="458">
        <v>9.9900000000000002E-5</v>
      </c>
      <c r="C4346" t="str">
        <f t="shared" si="68"/>
        <v/>
      </c>
    </row>
    <row r="4347" spans="1:3" x14ac:dyDescent="0.25">
      <c r="A4347" s="223">
        <v>0.26756000000000002</v>
      </c>
      <c r="B4347" s="458">
        <v>1.1E-4</v>
      </c>
      <c r="C4347" t="str">
        <f t="shared" si="68"/>
        <v/>
      </c>
    </row>
    <row r="4348" spans="1:3" x14ac:dyDescent="0.25">
      <c r="A4348" s="223">
        <v>0.32275999999999999</v>
      </c>
      <c r="B4348" s="458">
        <v>1.5009999999999999E-3</v>
      </c>
      <c r="C4348" t="str">
        <f t="shared" si="68"/>
        <v/>
      </c>
    </row>
    <row r="4349" spans="1:3" x14ac:dyDescent="0.25">
      <c r="A4349" s="223">
        <v>0.32275999999999999</v>
      </c>
      <c r="B4349" s="458">
        <v>5.2999999999999998E-4</v>
      </c>
      <c r="C4349" t="str">
        <f t="shared" si="68"/>
        <v/>
      </c>
    </row>
    <row r="4350" spans="1:3" x14ac:dyDescent="0.25">
      <c r="A4350" s="223">
        <v>0.64553000000000005</v>
      </c>
      <c r="B4350" s="458">
        <v>2.676E-3</v>
      </c>
      <c r="C4350" t="str">
        <f t="shared" si="68"/>
        <v/>
      </c>
    </row>
    <row r="4351" spans="1:3" x14ac:dyDescent="0.25">
      <c r="A4351" s="223">
        <v>0.64553000000000005</v>
      </c>
      <c r="B4351" s="458">
        <v>6.5300000000000004E-4</v>
      </c>
      <c r="C4351" t="str">
        <f t="shared" si="68"/>
        <v/>
      </c>
    </row>
    <row r="4352" spans="1:3" x14ac:dyDescent="0.25">
      <c r="A4352" s="223">
        <v>2.2933300000000001</v>
      </c>
      <c r="B4352" s="458">
        <v>3.3166000000000001E-2</v>
      </c>
      <c r="C4352" t="str">
        <f t="shared" si="68"/>
        <v/>
      </c>
    </row>
    <row r="4353" spans="1:3" x14ac:dyDescent="0.25">
      <c r="A4353" s="223">
        <v>2.2933300000000001</v>
      </c>
      <c r="B4353" s="458">
        <v>4.9119999999999997E-2</v>
      </c>
      <c r="C4353" t="str">
        <f t="shared" si="68"/>
        <v/>
      </c>
    </row>
    <row r="4354" spans="1:3" x14ac:dyDescent="0.25">
      <c r="A4354" s="223">
        <v>2.30749</v>
      </c>
      <c r="B4354" s="458">
        <v>2.3404999999999999E-2</v>
      </c>
      <c r="C4354" t="str">
        <f t="shared" si="68"/>
        <v/>
      </c>
    </row>
    <row r="4355" spans="1:3" x14ac:dyDescent="0.25">
      <c r="A4355" s="223">
        <v>2.30749</v>
      </c>
      <c r="B4355" s="458">
        <v>2.1621000000000001E-2</v>
      </c>
      <c r="C4355" t="str">
        <f t="shared" si="68"/>
        <v/>
      </c>
    </row>
    <row r="4356" spans="1:3" x14ac:dyDescent="0.25">
      <c r="A4356" s="223">
        <v>1.2316</v>
      </c>
      <c r="B4356" s="458">
        <v>5.7730000000000004E-3</v>
      </c>
      <c r="C4356" t="str">
        <f t="shared" si="68"/>
        <v/>
      </c>
    </row>
    <row r="4357" spans="1:3" x14ac:dyDescent="0.25">
      <c r="A4357" s="223">
        <v>1.2316</v>
      </c>
      <c r="B4357" s="458">
        <v>5.7619999999999998E-3</v>
      </c>
      <c r="C4357" t="str">
        <f t="shared" si="68"/>
        <v/>
      </c>
    </row>
    <row r="4358" spans="1:3" x14ac:dyDescent="0.25">
      <c r="A4358" s="223">
        <v>1.50057</v>
      </c>
      <c r="B4358" s="458">
        <v>9.9710000000000007E-3</v>
      </c>
      <c r="C4358" t="str">
        <f t="shared" si="68"/>
        <v/>
      </c>
    </row>
    <row r="4359" spans="1:3" x14ac:dyDescent="0.25">
      <c r="A4359" s="223">
        <v>1.50057</v>
      </c>
      <c r="B4359" s="458">
        <v>4.2399999999999998E-3</v>
      </c>
      <c r="C4359" t="str">
        <f t="shared" si="68"/>
        <v/>
      </c>
    </row>
    <row r="4360" spans="1:3" x14ac:dyDescent="0.25">
      <c r="A4360" s="223">
        <v>1.50057</v>
      </c>
      <c r="B4360" s="458">
        <v>2.0569999999999998E-3</v>
      </c>
      <c r="C4360" t="str">
        <f t="shared" si="68"/>
        <v/>
      </c>
    </row>
    <row r="4361" spans="1:3" x14ac:dyDescent="0.25">
      <c r="A4361" s="223">
        <v>1.50057</v>
      </c>
      <c r="B4361" s="458">
        <v>1.784E-3</v>
      </c>
      <c r="C4361" t="str">
        <f t="shared" si="68"/>
        <v/>
      </c>
    </row>
    <row r="4362" spans="1:3" x14ac:dyDescent="0.25">
      <c r="A4362" s="223">
        <v>1.3250299999999999</v>
      </c>
      <c r="B4362" s="458">
        <v>6.6020000000000002E-3</v>
      </c>
      <c r="C4362" t="str">
        <f t="shared" si="68"/>
        <v/>
      </c>
    </row>
    <row r="4363" spans="1:3" x14ac:dyDescent="0.25">
      <c r="A4363" s="223">
        <v>1.3250299999999999</v>
      </c>
      <c r="B4363" s="458">
        <v>2.4350000000000001E-3</v>
      </c>
      <c r="C4363" t="str">
        <f t="shared" si="68"/>
        <v/>
      </c>
    </row>
    <row r="4364" spans="1:3" x14ac:dyDescent="0.25">
      <c r="A4364" s="223">
        <v>0.94847999999999999</v>
      </c>
      <c r="B4364" s="458">
        <v>2.9599999999999998E-4</v>
      </c>
      <c r="C4364" t="str">
        <f t="shared" si="68"/>
        <v/>
      </c>
    </row>
    <row r="4365" spans="1:3" x14ac:dyDescent="0.25">
      <c r="A4365" s="223">
        <v>0.94847999999999999</v>
      </c>
      <c r="B4365" s="458">
        <v>6.7599999999999995E-4</v>
      </c>
      <c r="C4365" t="str">
        <f t="shared" si="68"/>
        <v/>
      </c>
    </row>
    <row r="4366" spans="1:3" x14ac:dyDescent="0.25">
      <c r="A4366" s="223">
        <v>1.15516</v>
      </c>
      <c r="B4366" s="458">
        <v>5.888E-3</v>
      </c>
      <c r="C4366" t="str">
        <f t="shared" si="68"/>
        <v/>
      </c>
    </row>
    <row r="4367" spans="1:3" x14ac:dyDescent="0.25">
      <c r="A4367" s="223">
        <v>1.15516</v>
      </c>
      <c r="B4367" s="458">
        <v>3.6319999999999998E-3</v>
      </c>
      <c r="C4367" t="str">
        <f t="shared" si="68"/>
        <v/>
      </c>
    </row>
    <row r="4368" spans="1:3" x14ac:dyDescent="0.25">
      <c r="A4368" s="223">
        <v>0.71065</v>
      </c>
      <c r="B4368" s="458">
        <v>2.823E-3</v>
      </c>
      <c r="C4368" t="str">
        <f t="shared" si="68"/>
        <v/>
      </c>
    </row>
    <row r="4369" spans="1:3" x14ac:dyDescent="0.25">
      <c r="A4369" s="223">
        <v>0.71065</v>
      </c>
      <c r="B4369" s="458">
        <v>6.2E-4</v>
      </c>
      <c r="C4369" t="str">
        <f t="shared" si="68"/>
        <v/>
      </c>
    </row>
    <row r="4370" spans="1:3" x14ac:dyDescent="0.25">
      <c r="A4370" s="223">
        <v>0.51246000000000003</v>
      </c>
      <c r="B4370" s="458">
        <v>2.5400000000000002E-3</v>
      </c>
      <c r="C4370" t="str">
        <f t="shared" si="68"/>
        <v/>
      </c>
    </row>
    <row r="4371" spans="1:3" x14ac:dyDescent="0.25">
      <c r="A4371" s="223">
        <v>0.51246000000000003</v>
      </c>
      <c r="B4371" s="458">
        <v>2.8549999999999999E-3</v>
      </c>
      <c r="C4371" t="str">
        <f t="shared" si="68"/>
        <v/>
      </c>
    </row>
    <row r="4372" spans="1:3" x14ac:dyDescent="0.25">
      <c r="A4372" s="223">
        <v>0.29727999999999999</v>
      </c>
      <c r="B4372" s="458">
        <v>4.1600000000000002E-5</v>
      </c>
      <c r="C4372" t="str">
        <f t="shared" si="68"/>
        <v/>
      </c>
    </row>
    <row r="4373" spans="1:3" x14ac:dyDescent="0.25">
      <c r="A4373" s="223">
        <v>0.29727999999999999</v>
      </c>
      <c r="B4373" s="458">
        <v>3.1199999999999999E-5</v>
      </c>
      <c r="C4373" t="str">
        <f t="shared" si="68"/>
        <v/>
      </c>
    </row>
    <row r="4374" spans="1:3" x14ac:dyDescent="0.25">
      <c r="A4374" s="223">
        <v>0.20612</v>
      </c>
      <c r="B4374" s="458">
        <v>2.7100000000000001E-5</v>
      </c>
      <c r="C4374" t="str">
        <f t="shared" si="68"/>
        <v/>
      </c>
    </row>
    <row r="4375" spans="1:3" x14ac:dyDescent="0.25">
      <c r="A4375" s="223">
        <v>0.12203</v>
      </c>
      <c r="B4375" s="458">
        <v>1.7900000000000001E-5</v>
      </c>
      <c r="C4375" t="str">
        <f t="shared" si="68"/>
        <v/>
      </c>
    </row>
    <row r="4376" spans="1:3" x14ac:dyDescent="0.25">
      <c r="A4376" s="223">
        <v>0.12203</v>
      </c>
      <c r="B4376" s="458">
        <v>2.6999999999999999E-5</v>
      </c>
      <c r="C4376" t="str">
        <f t="shared" si="68"/>
        <v/>
      </c>
    </row>
    <row r="4377" spans="1:3" x14ac:dyDescent="0.25">
      <c r="A4377" s="223">
        <v>0.12797</v>
      </c>
      <c r="B4377" s="458">
        <v>1.84E-5</v>
      </c>
      <c r="C4377" t="str">
        <f t="shared" si="68"/>
        <v/>
      </c>
    </row>
    <row r="4378" spans="1:3" x14ac:dyDescent="0.25">
      <c r="A4378" s="223">
        <v>0.12797</v>
      </c>
      <c r="B4378" s="458">
        <v>2.3E-5</v>
      </c>
      <c r="C4378" t="str">
        <f t="shared" si="68"/>
        <v/>
      </c>
    </row>
    <row r="4379" spans="1:3" x14ac:dyDescent="0.25">
      <c r="A4379" s="223">
        <v>9.9659999999999999E-2</v>
      </c>
      <c r="B4379" s="458">
        <v>1.8600000000000001E-5</v>
      </c>
      <c r="C4379" t="str">
        <f t="shared" si="68"/>
        <v/>
      </c>
    </row>
    <row r="4380" spans="1:3" x14ac:dyDescent="0.25">
      <c r="A4380" s="223">
        <v>9.9659999999999999E-2</v>
      </c>
      <c r="B4380" s="458">
        <v>5.5600000000000003E-5</v>
      </c>
      <c r="C4380" t="str">
        <f t="shared" si="68"/>
        <v/>
      </c>
    </row>
    <row r="4381" spans="1:3" x14ac:dyDescent="0.25">
      <c r="A4381" s="223">
        <v>1.8261700000000001</v>
      </c>
      <c r="B4381" s="458">
        <v>2.6343999999999999E-2</v>
      </c>
      <c r="C4381" t="str">
        <f t="shared" si="68"/>
        <v/>
      </c>
    </row>
    <row r="4382" spans="1:3" x14ac:dyDescent="0.25">
      <c r="A4382" s="223">
        <v>2.7916300000000001</v>
      </c>
      <c r="B4382" s="458">
        <v>9.4671000000000005E-2</v>
      </c>
      <c r="C4382" t="str">
        <f t="shared" si="68"/>
        <v/>
      </c>
    </row>
    <row r="4383" spans="1:3" x14ac:dyDescent="0.25">
      <c r="A4383" s="223">
        <v>2.3782700000000001</v>
      </c>
      <c r="B4383" s="458">
        <v>1.0916E-2</v>
      </c>
      <c r="C4383" t="str">
        <f t="shared" si="68"/>
        <v/>
      </c>
    </row>
    <row r="4384" spans="1:3" x14ac:dyDescent="0.25">
      <c r="A4384" s="223">
        <v>0.75595000000000001</v>
      </c>
      <c r="B4384" s="458">
        <v>1.879E-3</v>
      </c>
      <c r="C4384" t="str">
        <f t="shared" si="68"/>
        <v/>
      </c>
    </row>
    <row r="4385" spans="1:3" x14ac:dyDescent="0.25">
      <c r="A4385" s="223">
        <v>0.35391</v>
      </c>
      <c r="B4385" s="458">
        <v>2.72E-4</v>
      </c>
      <c r="C4385" t="str">
        <f t="shared" si="68"/>
        <v/>
      </c>
    </row>
    <row r="4386" spans="1:3" x14ac:dyDescent="0.25">
      <c r="A4386" s="223">
        <v>0.18176999999999999</v>
      </c>
      <c r="B4386" s="458">
        <v>9.2399999999999996E-5</v>
      </c>
      <c r="C4386" t="str">
        <f t="shared" si="68"/>
        <v/>
      </c>
    </row>
    <row r="4387" spans="1:3" x14ac:dyDescent="0.25">
      <c r="A4387" s="223">
        <v>1.09853</v>
      </c>
      <c r="B4387" s="458">
        <v>1.6789999999999999E-3</v>
      </c>
      <c r="C4387" t="str">
        <f t="shared" si="68"/>
        <v/>
      </c>
    </row>
    <row r="4388" spans="1:3" x14ac:dyDescent="0.25">
      <c r="A4388" s="223">
        <v>1.29389</v>
      </c>
      <c r="B4388" s="458">
        <v>2.5610000000000001E-2</v>
      </c>
      <c r="C4388" t="str">
        <f t="shared" si="68"/>
        <v/>
      </c>
    </row>
    <row r="4389" spans="1:3" x14ac:dyDescent="0.25">
      <c r="A4389" s="223">
        <v>3.8222100000000001</v>
      </c>
      <c r="B4389" s="458">
        <v>5.2793E-2</v>
      </c>
      <c r="C4389" t="str">
        <f t="shared" si="68"/>
        <v/>
      </c>
    </row>
    <row r="4390" spans="1:3" x14ac:dyDescent="0.25">
      <c r="A4390" s="223">
        <v>1.9875499999999999</v>
      </c>
      <c r="B4390" s="458">
        <v>5.594E-3</v>
      </c>
      <c r="C4390" t="str">
        <f t="shared" si="68"/>
        <v/>
      </c>
    </row>
    <row r="4391" spans="1:3" x14ac:dyDescent="0.25">
      <c r="A4391" s="223">
        <v>1.3873200000000001</v>
      </c>
      <c r="B4391" s="458">
        <v>1.805E-3</v>
      </c>
      <c r="C4391" t="str">
        <f t="shared" si="68"/>
        <v/>
      </c>
    </row>
    <row r="4392" spans="1:3" x14ac:dyDescent="0.25">
      <c r="A4392" s="223">
        <v>0.63704000000000005</v>
      </c>
      <c r="B4392" s="458">
        <v>1.627E-3</v>
      </c>
      <c r="C4392" t="str">
        <f t="shared" si="68"/>
        <v/>
      </c>
    </row>
    <row r="4393" spans="1:3" x14ac:dyDescent="0.25">
      <c r="A4393" s="223">
        <v>0.11212</v>
      </c>
      <c r="B4393" s="458">
        <v>4.0200000000000001E-5</v>
      </c>
      <c r="C4393" t="str">
        <f t="shared" si="68"/>
        <v/>
      </c>
    </row>
    <row r="4394" spans="1:3" x14ac:dyDescent="0.25">
      <c r="A4394" s="223">
        <v>6.9649200000000002</v>
      </c>
      <c r="B4394" s="458">
        <v>8.5019999999999991E-3</v>
      </c>
      <c r="C4394" t="str">
        <f t="shared" si="68"/>
        <v/>
      </c>
    </row>
    <row r="4395" spans="1:3" x14ac:dyDescent="0.25">
      <c r="A4395" s="223">
        <v>6.9649200000000002</v>
      </c>
      <c r="B4395" s="458">
        <v>9.5510000000000005E-3</v>
      </c>
      <c r="C4395" t="str">
        <f t="shared" si="68"/>
        <v/>
      </c>
    </row>
    <row r="4396" spans="1:3" x14ac:dyDescent="0.25">
      <c r="A4396" s="223">
        <v>8.0691199999999998</v>
      </c>
      <c r="B4396" s="458">
        <v>9.3727000000000005E-2</v>
      </c>
      <c r="C4396" t="str">
        <f t="shared" si="68"/>
        <v/>
      </c>
    </row>
    <row r="4397" spans="1:3" x14ac:dyDescent="0.25">
      <c r="A4397" s="223">
        <v>8.0691199999999998</v>
      </c>
      <c r="B4397" s="458">
        <v>4.8910000000000002E-2</v>
      </c>
      <c r="C4397" t="str">
        <f t="shared" si="68"/>
        <v/>
      </c>
    </row>
    <row r="4398" spans="1:3" x14ac:dyDescent="0.25">
      <c r="A4398" s="223">
        <v>6.2571099999999999</v>
      </c>
      <c r="B4398" s="458">
        <v>1.0706E-2</v>
      </c>
      <c r="C4398" t="str">
        <f t="shared" si="68"/>
        <v/>
      </c>
    </row>
    <row r="4399" spans="1:3" x14ac:dyDescent="0.25">
      <c r="A4399" s="223">
        <v>6.2571099999999999</v>
      </c>
      <c r="B4399" s="458">
        <v>3.1489999999999999E-3</v>
      </c>
      <c r="C4399" t="str">
        <f t="shared" si="68"/>
        <v/>
      </c>
    </row>
    <row r="4400" spans="1:3" x14ac:dyDescent="0.25">
      <c r="A4400" s="223">
        <v>4.7848499999999996</v>
      </c>
      <c r="B4400" s="458">
        <v>5.2480000000000001E-3</v>
      </c>
      <c r="C4400" t="str">
        <f t="shared" si="68"/>
        <v/>
      </c>
    </row>
    <row r="4401" spans="1:3" x14ac:dyDescent="0.25">
      <c r="A4401" s="223">
        <v>4.7848499999999996</v>
      </c>
      <c r="B4401" s="458">
        <v>1.0286E-2</v>
      </c>
      <c r="C4401" t="str">
        <f t="shared" si="68"/>
        <v/>
      </c>
    </row>
    <row r="4402" spans="1:3" x14ac:dyDescent="0.25">
      <c r="A4402" s="223">
        <v>4.69991</v>
      </c>
      <c r="B4402" s="458">
        <v>1.4694E-2</v>
      </c>
      <c r="C4402" t="str">
        <f t="shared" si="68"/>
        <v/>
      </c>
    </row>
    <row r="4403" spans="1:3" x14ac:dyDescent="0.25">
      <c r="A4403" s="223">
        <v>4.69991</v>
      </c>
      <c r="B4403" s="458">
        <v>1.2489999999999999E-2</v>
      </c>
      <c r="C4403" t="str">
        <f t="shared" si="68"/>
        <v/>
      </c>
    </row>
    <row r="4404" spans="1:3" x14ac:dyDescent="0.25">
      <c r="A4404" s="223">
        <v>5.2378499999999999</v>
      </c>
      <c r="B4404" s="458">
        <v>9.3410000000000003E-3</v>
      </c>
      <c r="C4404" t="str">
        <f t="shared" si="68"/>
        <v/>
      </c>
    </row>
    <row r="4405" spans="1:3" x14ac:dyDescent="0.25">
      <c r="A4405" s="223">
        <v>5.2378499999999999</v>
      </c>
      <c r="B4405" s="458">
        <v>4.6179999999999997E-3</v>
      </c>
      <c r="C4405" t="str">
        <f t="shared" si="68"/>
        <v/>
      </c>
    </row>
    <row r="4406" spans="1:3" x14ac:dyDescent="0.25">
      <c r="A4406" s="223">
        <v>9.5130700000000008</v>
      </c>
      <c r="B4406" s="458">
        <v>7.5358999999999995E-2</v>
      </c>
      <c r="C4406" t="str">
        <f t="shared" si="68"/>
        <v/>
      </c>
    </row>
    <row r="4407" spans="1:3" x14ac:dyDescent="0.25">
      <c r="A4407" s="223">
        <v>9.5130700000000008</v>
      </c>
      <c r="B4407" s="458">
        <v>0.18577399999999999</v>
      </c>
      <c r="C4407" t="str">
        <f t="shared" si="68"/>
        <v/>
      </c>
    </row>
    <row r="4408" spans="1:3" x14ac:dyDescent="0.25">
      <c r="A4408" s="223">
        <v>11.551600000000001</v>
      </c>
      <c r="B4408" s="458">
        <v>0.33796199999999998</v>
      </c>
      <c r="C4408" t="str">
        <f t="shared" si="68"/>
        <v/>
      </c>
    </row>
    <row r="4409" spans="1:3" x14ac:dyDescent="0.25">
      <c r="A4409" s="223">
        <v>11.551600000000001</v>
      </c>
      <c r="B4409" s="458">
        <v>0.21516199999999999</v>
      </c>
      <c r="C4409" t="str">
        <f t="shared" ref="C4409:C4472" si="69">IF(B4409=0,"XXXXXXXX","")</f>
        <v/>
      </c>
    </row>
    <row r="4410" spans="1:3" x14ac:dyDescent="0.25">
      <c r="A4410" s="223">
        <v>9.9943799999999996</v>
      </c>
      <c r="B4410" s="458">
        <v>3.6525000000000002E-2</v>
      </c>
      <c r="C4410" t="str">
        <f t="shared" si="69"/>
        <v/>
      </c>
    </row>
    <row r="4411" spans="1:3" x14ac:dyDescent="0.25">
      <c r="A4411" s="223">
        <v>9.9943799999999996</v>
      </c>
      <c r="B4411" s="458">
        <v>2.3720000000000001E-2</v>
      </c>
      <c r="C4411" t="str">
        <f t="shared" si="69"/>
        <v/>
      </c>
    </row>
    <row r="4412" spans="1:3" x14ac:dyDescent="0.25">
      <c r="A4412" s="223">
        <v>9.0317500000000006</v>
      </c>
      <c r="B4412" s="458">
        <v>1.9417E-2</v>
      </c>
      <c r="C4412" t="str">
        <f t="shared" si="69"/>
        <v/>
      </c>
    </row>
    <row r="4413" spans="1:3" x14ac:dyDescent="0.25">
      <c r="A4413" s="223">
        <v>9.0317500000000006</v>
      </c>
      <c r="B4413" s="458">
        <v>3.1171999999999998E-2</v>
      </c>
      <c r="C4413" t="str">
        <f t="shared" si="69"/>
        <v/>
      </c>
    </row>
    <row r="4414" spans="1:3" x14ac:dyDescent="0.25">
      <c r="A4414" s="223">
        <v>8.3239300000000007</v>
      </c>
      <c r="B4414" s="458">
        <v>6.0455000000000002E-2</v>
      </c>
      <c r="C4414" t="str">
        <f t="shared" si="69"/>
        <v/>
      </c>
    </row>
    <row r="4415" spans="1:3" x14ac:dyDescent="0.25">
      <c r="A4415" s="223">
        <v>8.3239300000000007</v>
      </c>
      <c r="B4415" s="458">
        <v>4.1353000000000001E-2</v>
      </c>
      <c r="C4415" t="str">
        <f t="shared" si="69"/>
        <v/>
      </c>
    </row>
    <row r="4416" spans="1:3" x14ac:dyDescent="0.25">
      <c r="A4416" s="223">
        <v>6.2571099999999999</v>
      </c>
      <c r="B4416" s="458">
        <v>7.2734999999999994E-2</v>
      </c>
      <c r="C4416" t="str">
        <f t="shared" si="69"/>
        <v/>
      </c>
    </row>
    <row r="4417" spans="1:3" x14ac:dyDescent="0.25">
      <c r="A4417" s="223">
        <v>6.2571099999999999</v>
      </c>
      <c r="B4417" s="458">
        <v>6.1295000000000002E-2</v>
      </c>
      <c r="C4417" t="str">
        <f t="shared" si="69"/>
        <v/>
      </c>
    </row>
    <row r="4418" spans="1:3" x14ac:dyDescent="0.25">
      <c r="A4418" s="223">
        <v>7.1631099999999996</v>
      </c>
      <c r="B4418" s="458">
        <v>0.115453</v>
      </c>
      <c r="C4418" t="str">
        <f t="shared" si="69"/>
        <v/>
      </c>
    </row>
    <row r="4419" spans="1:3" x14ac:dyDescent="0.25">
      <c r="A4419" s="223">
        <v>7.1631099999999996</v>
      </c>
      <c r="B4419" s="458">
        <v>0.14169200000000001</v>
      </c>
      <c r="C4419" t="str">
        <f t="shared" si="69"/>
        <v/>
      </c>
    </row>
    <row r="4420" spans="1:3" x14ac:dyDescent="0.25">
      <c r="A4420" s="223">
        <v>9.5130700000000008</v>
      </c>
      <c r="B4420" s="458">
        <v>0.12175</v>
      </c>
      <c r="C4420" t="str">
        <f t="shared" si="69"/>
        <v/>
      </c>
    </row>
    <row r="4421" spans="1:3" x14ac:dyDescent="0.25">
      <c r="A4421" s="223">
        <v>9.5130700000000008</v>
      </c>
      <c r="B4421" s="458">
        <v>5.8041000000000002E-2</v>
      </c>
      <c r="C4421" t="str">
        <f t="shared" si="69"/>
        <v/>
      </c>
    </row>
    <row r="4422" spans="1:3" x14ac:dyDescent="0.25">
      <c r="A4422" s="223">
        <v>8.3522499999999997</v>
      </c>
      <c r="B4422" s="458">
        <v>3.2011999999999999E-2</v>
      </c>
      <c r="C4422" t="str">
        <f t="shared" si="69"/>
        <v/>
      </c>
    </row>
    <row r="4423" spans="1:3" x14ac:dyDescent="0.25">
      <c r="A4423" s="223">
        <v>8.3522499999999997</v>
      </c>
      <c r="B4423" s="458">
        <v>1.3539000000000001E-2</v>
      </c>
      <c r="C4423" t="str">
        <f t="shared" si="69"/>
        <v/>
      </c>
    </row>
    <row r="4424" spans="1:3" x14ac:dyDescent="0.25">
      <c r="A4424" s="223">
        <v>7.4745499999999998</v>
      </c>
      <c r="B4424" s="458">
        <v>1.8053E-2</v>
      </c>
      <c r="C4424" t="str">
        <f t="shared" si="69"/>
        <v/>
      </c>
    </row>
    <row r="4425" spans="1:3" x14ac:dyDescent="0.25">
      <c r="A4425" s="223">
        <v>7.4745499999999998</v>
      </c>
      <c r="B4425" s="458">
        <v>8.397E-3</v>
      </c>
      <c r="C4425" t="str">
        <f t="shared" si="69"/>
        <v/>
      </c>
    </row>
    <row r="4426" spans="1:3" x14ac:dyDescent="0.25">
      <c r="A4426" s="223">
        <v>7.1631099999999996</v>
      </c>
      <c r="B4426" s="458">
        <v>1.2489999999999999E-2</v>
      </c>
      <c r="C4426" t="str">
        <f t="shared" si="69"/>
        <v/>
      </c>
    </row>
    <row r="4427" spans="1:3" x14ac:dyDescent="0.25">
      <c r="A4427" s="223">
        <v>7.1631099999999996</v>
      </c>
      <c r="B4427" s="458">
        <v>5.3530000000000001E-3</v>
      </c>
      <c r="C4427" t="str">
        <f t="shared" si="69"/>
        <v/>
      </c>
    </row>
    <row r="4428" spans="1:3" x14ac:dyDescent="0.25">
      <c r="A4428" s="223">
        <v>7.5877999999999997</v>
      </c>
      <c r="B4428" s="458">
        <v>2.351E-2</v>
      </c>
      <c r="C4428" t="str">
        <f t="shared" si="69"/>
        <v/>
      </c>
    </row>
    <row r="4429" spans="1:3" x14ac:dyDescent="0.25">
      <c r="A4429" s="223">
        <v>7.5877999999999997</v>
      </c>
      <c r="B4429" s="458">
        <v>3.1489999999999999E-3</v>
      </c>
      <c r="C4429" t="str">
        <f t="shared" si="69"/>
        <v/>
      </c>
    </row>
    <row r="4430" spans="1:3" x14ac:dyDescent="0.25">
      <c r="A4430" s="223">
        <v>7.8426200000000001</v>
      </c>
      <c r="B4430" s="458">
        <v>6.1190000000000001E-2</v>
      </c>
      <c r="C4430" t="str">
        <f t="shared" si="69"/>
        <v/>
      </c>
    </row>
    <row r="4431" spans="1:3" x14ac:dyDescent="0.25">
      <c r="A4431" s="223">
        <v>7.8426200000000001</v>
      </c>
      <c r="B4431" s="458">
        <v>1.5639E-2</v>
      </c>
      <c r="C4431" t="str">
        <f t="shared" si="69"/>
        <v/>
      </c>
    </row>
    <row r="4432" spans="1:3" x14ac:dyDescent="0.25">
      <c r="A4432" s="223">
        <v>10.532299999999999</v>
      </c>
      <c r="B4432" s="458">
        <v>7.7144000000000004E-2</v>
      </c>
      <c r="C4432" t="str">
        <f t="shared" si="69"/>
        <v/>
      </c>
    </row>
    <row r="4433" spans="1:3" x14ac:dyDescent="0.25">
      <c r="A4433" s="223">
        <v>10.532299999999999</v>
      </c>
      <c r="B4433" s="458">
        <v>0.112304</v>
      </c>
      <c r="C4433" t="str">
        <f t="shared" si="69"/>
        <v/>
      </c>
    </row>
    <row r="4434" spans="1:3" x14ac:dyDescent="0.25">
      <c r="A4434" s="223">
        <v>11.2118</v>
      </c>
      <c r="B4434" s="458">
        <v>0.123849</v>
      </c>
      <c r="C4434" t="str">
        <f t="shared" si="69"/>
        <v/>
      </c>
    </row>
    <row r="4435" spans="1:3" x14ac:dyDescent="0.25">
      <c r="A4435" s="223">
        <v>11.2118</v>
      </c>
      <c r="B4435" s="458">
        <v>0.17737800000000001</v>
      </c>
      <c r="C4435" t="str">
        <f t="shared" si="69"/>
        <v/>
      </c>
    </row>
    <row r="4436" spans="1:3" x14ac:dyDescent="0.25">
      <c r="A4436" s="223">
        <v>15.3172</v>
      </c>
      <c r="B4436" s="458">
        <v>7.5044E-2</v>
      </c>
      <c r="C4436" t="str">
        <f t="shared" si="69"/>
        <v/>
      </c>
    </row>
    <row r="4437" spans="1:3" x14ac:dyDescent="0.25">
      <c r="A4437" s="223">
        <v>15.3172</v>
      </c>
      <c r="B4437" s="458">
        <v>7.1686E-2</v>
      </c>
      <c r="C4437" t="str">
        <f t="shared" si="69"/>
        <v/>
      </c>
    </row>
    <row r="4438" spans="1:3" x14ac:dyDescent="0.25">
      <c r="A4438" s="223">
        <v>15.798500000000001</v>
      </c>
      <c r="B4438" s="458">
        <v>0.12175</v>
      </c>
      <c r="C4438" t="str">
        <f t="shared" si="69"/>
        <v/>
      </c>
    </row>
    <row r="4439" spans="1:3" x14ac:dyDescent="0.25">
      <c r="A4439" s="223">
        <v>15.798500000000001</v>
      </c>
      <c r="B4439" s="458">
        <v>0.14064299999999999</v>
      </c>
      <c r="C4439" t="str">
        <f t="shared" si="69"/>
        <v/>
      </c>
    </row>
    <row r="4440" spans="1:3" x14ac:dyDescent="0.25">
      <c r="A4440" s="223">
        <v>19.252600000000001</v>
      </c>
      <c r="B4440" s="458">
        <v>0.30857400000000001</v>
      </c>
      <c r="C4440" t="str">
        <f t="shared" si="69"/>
        <v/>
      </c>
    </row>
    <row r="4441" spans="1:3" x14ac:dyDescent="0.25">
      <c r="A4441" s="223">
        <v>19.252600000000001</v>
      </c>
      <c r="B4441" s="458">
        <v>0.38519300000000001</v>
      </c>
      <c r="C4441" t="str">
        <f t="shared" si="69"/>
        <v/>
      </c>
    </row>
    <row r="4442" spans="1:3" x14ac:dyDescent="0.25">
      <c r="A4442" s="223">
        <v>19.422499999999999</v>
      </c>
      <c r="B4442" s="458">
        <v>0.34845799999999999</v>
      </c>
      <c r="C4442" t="str">
        <f t="shared" si="69"/>
        <v/>
      </c>
    </row>
    <row r="4443" spans="1:3" x14ac:dyDescent="0.25">
      <c r="A4443" s="223">
        <v>19.422499999999999</v>
      </c>
      <c r="B4443" s="458">
        <v>0.33376400000000001</v>
      </c>
      <c r="C4443" t="str">
        <f t="shared" si="69"/>
        <v/>
      </c>
    </row>
    <row r="4444" spans="1:3" x14ac:dyDescent="0.25">
      <c r="A4444" s="223">
        <v>17.384</v>
      </c>
      <c r="B4444" s="458">
        <v>3.9988999999999997E-2</v>
      </c>
      <c r="C4444" t="str">
        <f t="shared" si="69"/>
        <v/>
      </c>
    </row>
    <row r="4445" spans="1:3" x14ac:dyDescent="0.25">
      <c r="A4445" s="223">
        <v>17.384</v>
      </c>
      <c r="B4445" s="458">
        <v>0.12594900000000001</v>
      </c>
      <c r="C4445" t="str">
        <f t="shared" si="69"/>
        <v/>
      </c>
    </row>
    <row r="4446" spans="1:3" x14ac:dyDescent="0.25">
      <c r="A4446" s="223">
        <v>21.404399999999999</v>
      </c>
      <c r="B4446" s="458">
        <v>0.109155</v>
      </c>
      <c r="C4446" t="str">
        <f t="shared" si="69"/>
        <v/>
      </c>
    </row>
    <row r="4447" spans="1:3" x14ac:dyDescent="0.25">
      <c r="A4447" s="223">
        <v>21.404399999999999</v>
      </c>
      <c r="B4447" s="458">
        <v>0.19627</v>
      </c>
      <c r="C4447" t="str">
        <f t="shared" si="69"/>
        <v/>
      </c>
    </row>
    <row r="4448" spans="1:3" x14ac:dyDescent="0.25">
      <c r="A4448" s="223">
        <v>21.6875</v>
      </c>
      <c r="B4448" s="458">
        <v>0.18157599999999999</v>
      </c>
      <c r="C4448" t="str">
        <f t="shared" si="69"/>
        <v/>
      </c>
    </row>
    <row r="4449" spans="1:3" x14ac:dyDescent="0.25">
      <c r="A4449" s="223">
        <v>21.6875</v>
      </c>
      <c r="B4449" s="458">
        <v>0.149039</v>
      </c>
      <c r="C4449" t="str">
        <f t="shared" si="69"/>
        <v/>
      </c>
    </row>
    <row r="4450" spans="1:3" x14ac:dyDescent="0.25">
      <c r="A4450" s="223">
        <v>25.283200000000001</v>
      </c>
      <c r="B4450" s="458">
        <v>0.15848499999999999</v>
      </c>
      <c r="C4450" t="str">
        <f t="shared" si="69"/>
        <v/>
      </c>
    </row>
    <row r="4451" spans="1:3" x14ac:dyDescent="0.25">
      <c r="A4451" s="223">
        <v>25.283200000000001</v>
      </c>
      <c r="B4451" s="458">
        <v>0.133296</v>
      </c>
      <c r="C4451" t="str">
        <f t="shared" si="69"/>
        <v/>
      </c>
    </row>
    <row r="4452" spans="1:3" x14ac:dyDescent="0.25">
      <c r="A4452" s="223">
        <v>29.162099999999999</v>
      </c>
      <c r="B4452" s="458">
        <v>0.341111</v>
      </c>
      <c r="C4452" t="str">
        <f t="shared" si="69"/>
        <v/>
      </c>
    </row>
    <row r="4453" spans="1:3" x14ac:dyDescent="0.25">
      <c r="A4453" s="223">
        <v>29.162099999999999</v>
      </c>
      <c r="B4453" s="458">
        <v>0.15218799999999999</v>
      </c>
      <c r="C4453" t="str">
        <f t="shared" si="69"/>
        <v/>
      </c>
    </row>
    <row r="4454" spans="1:3" x14ac:dyDescent="0.25">
      <c r="A4454" s="223">
        <v>29.162099999999999</v>
      </c>
      <c r="B4454" s="458">
        <v>8.4595000000000004E-2</v>
      </c>
      <c r="C4454" t="str">
        <f t="shared" si="69"/>
        <v/>
      </c>
    </row>
    <row r="4455" spans="1:3" x14ac:dyDescent="0.25">
      <c r="A4455" s="223">
        <v>29.162099999999999</v>
      </c>
      <c r="B4455" s="458">
        <v>0.14799000000000001</v>
      </c>
      <c r="C4455" t="str">
        <f t="shared" si="69"/>
        <v/>
      </c>
    </row>
    <row r="4456" spans="1:3" x14ac:dyDescent="0.25">
      <c r="A4456" s="223">
        <v>21.404399999999999</v>
      </c>
      <c r="B4456" s="458">
        <v>0.21096400000000001</v>
      </c>
      <c r="C4456" t="str">
        <f t="shared" si="69"/>
        <v/>
      </c>
    </row>
    <row r="4457" spans="1:3" x14ac:dyDescent="0.25">
      <c r="A4457" s="223">
        <v>21.404399999999999</v>
      </c>
      <c r="B4457" s="458">
        <v>0.13644400000000001</v>
      </c>
      <c r="C4457" t="str">
        <f t="shared" si="69"/>
        <v/>
      </c>
    </row>
    <row r="4458" spans="1:3" x14ac:dyDescent="0.25">
      <c r="A4458" s="223">
        <v>23.7544</v>
      </c>
      <c r="B4458" s="458">
        <v>5.1324000000000002E-2</v>
      </c>
      <c r="C4458" t="str">
        <f t="shared" si="69"/>
        <v/>
      </c>
    </row>
    <row r="4459" spans="1:3" x14ac:dyDescent="0.25">
      <c r="A4459" s="223">
        <v>23.7544</v>
      </c>
      <c r="B4459" s="458">
        <v>0.10044400000000001</v>
      </c>
      <c r="C4459" t="str">
        <f t="shared" si="69"/>
        <v/>
      </c>
    </row>
    <row r="4460" spans="1:3" x14ac:dyDescent="0.25">
      <c r="A4460" s="223">
        <v>18.8279</v>
      </c>
      <c r="B4460" s="458">
        <v>0.31802000000000002</v>
      </c>
      <c r="C4460" t="str">
        <f t="shared" si="69"/>
        <v/>
      </c>
    </row>
    <row r="4461" spans="1:3" x14ac:dyDescent="0.25">
      <c r="A4461" s="223">
        <v>18.8279</v>
      </c>
      <c r="B4461" s="458">
        <v>0.126998</v>
      </c>
      <c r="C4461" t="str">
        <f t="shared" si="69"/>
        <v/>
      </c>
    </row>
    <row r="4462" spans="1:3" x14ac:dyDescent="0.25">
      <c r="A4462" s="223">
        <v>23.980899999999998</v>
      </c>
      <c r="B4462" s="458">
        <v>0.72315499999999999</v>
      </c>
      <c r="C4462" t="str">
        <f t="shared" si="69"/>
        <v/>
      </c>
    </row>
    <row r="4463" spans="1:3" x14ac:dyDescent="0.25">
      <c r="A4463" s="223">
        <v>23.980899999999998</v>
      </c>
      <c r="B4463" s="458">
        <v>0.605603</v>
      </c>
      <c r="C4463" t="str">
        <f t="shared" si="69"/>
        <v/>
      </c>
    </row>
    <row r="4464" spans="1:3" x14ac:dyDescent="0.25">
      <c r="A4464" s="223">
        <v>25.679600000000001</v>
      </c>
      <c r="B4464" s="458">
        <v>0.45866299999999999</v>
      </c>
      <c r="C4464" t="str">
        <f t="shared" si="69"/>
        <v/>
      </c>
    </row>
    <row r="4465" spans="1:3" x14ac:dyDescent="0.25">
      <c r="A4465" s="223">
        <v>25.679600000000001</v>
      </c>
      <c r="B4465" s="458">
        <v>0.77143499999999998</v>
      </c>
      <c r="C4465" t="str">
        <f t="shared" si="69"/>
        <v/>
      </c>
    </row>
    <row r="4466" spans="1:3" x14ac:dyDescent="0.25">
      <c r="A4466" s="223">
        <v>40.204000000000001</v>
      </c>
      <c r="B4466" s="458">
        <v>0.92572200000000004</v>
      </c>
      <c r="C4466" t="str">
        <f t="shared" si="69"/>
        <v/>
      </c>
    </row>
    <row r="4467" spans="1:3" x14ac:dyDescent="0.25">
      <c r="A4467" s="223">
        <v>39.354700000000001</v>
      </c>
      <c r="B4467" s="458">
        <v>0.94251499999999999</v>
      </c>
      <c r="C4467" t="str">
        <f t="shared" si="69"/>
        <v/>
      </c>
    </row>
    <row r="4468" spans="1:3" x14ac:dyDescent="0.25">
      <c r="A4468" s="223">
        <v>34.824599999999997</v>
      </c>
      <c r="B4468" s="458">
        <v>0.21936</v>
      </c>
      <c r="C4468" t="str">
        <f t="shared" si="69"/>
        <v/>
      </c>
    </row>
    <row r="4469" spans="1:3" x14ac:dyDescent="0.25">
      <c r="A4469" s="223">
        <v>34.824599999999997</v>
      </c>
      <c r="B4469" s="458">
        <v>0.19522</v>
      </c>
      <c r="C4469" t="str">
        <f t="shared" si="69"/>
        <v/>
      </c>
    </row>
    <row r="4470" spans="1:3" x14ac:dyDescent="0.25">
      <c r="A4470" s="223">
        <v>4.8131599999999999</v>
      </c>
      <c r="B4470" s="458">
        <v>3.7989999999999999E-3</v>
      </c>
      <c r="C4470" t="str">
        <f t="shared" si="69"/>
        <v/>
      </c>
    </row>
    <row r="4471" spans="1:3" x14ac:dyDescent="0.25">
      <c r="A4471" s="223">
        <v>5.4077299999999999</v>
      </c>
      <c r="B4471" s="458">
        <v>2.96E-3</v>
      </c>
      <c r="C4471" t="str">
        <f t="shared" si="69"/>
        <v/>
      </c>
    </row>
    <row r="4472" spans="1:3" x14ac:dyDescent="0.25">
      <c r="A4472" s="223">
        <v>6.22879</v>
      </c>
      <c r="B4472" s="458">
        <v>6.2974000000000002E-2</v>
      </c>
      <c r="C4472" t="str">
        <f t="shared" si="69"/>
        <v/>
      </c>
    </row>
    <row r="4473" spans="1:3" x14ac:dyDescent="0.25">
      <c r="A4473" s="223">
        <v>6.22879</v>
      </c>
      <c r="B4473" s="458">
        <v>7.8609999999999999E-3</v>
      </c>
      <c r="C4473" t="str">
        <f t="shared" ref="C4473:C4536" si="70">IF(B4473=0,"XXXXXXXX","")</f>
        <v/>
      </c>
    </row>
    <row r="4474" spans="1:3" x14ac:dyDescent="0.25">
      <c r="A4474" s="223">
        <v>6.22879</v>
      </c>
      <c r="B4474" s="458">
        <v>5.7936000000000001E-2</v>
      </c>
      <c r="C4474" t="str">
        <f t="shared" si="70"/>
        <v/>
      </c>
    </row>
    <row r="4475" spans="1:3" x14ac:dyDescent="0.25">
      <c r="A4475" s="223">
        <v>8.0124899999999997</v>
      </c>
      <c r="B4475" s="458">
        <v>1.3435000000000001E-2</v>
      </c>
      <c r="C4475" t="str">
        <f t="shared" si="70"/>
        <v/>
      </c>
    </row>
    <row r="4476" spans="1:3" x14ac:dyDescent="0.25">
      <c r="A4476" s="223">
        <v>8.0124899999999997</v>
      </c>
      <c r="B4476" s="458">
        <v>1.5952999999999998E-2</v>
      </c>
      <c r="C4476" t="str">
        <f t="shared" si="70"/>
        <v/>
      </c>
    </row>
    <row r="4477" spans="1:3" x14ac:dyDescent="0.25">
      <c r="A4477" s="223">
        <v>9.06006</v>
      </c>
      <c r="B4477" s="458">
        <v>3.3271000000000002E-2</v>
      </c>
      <c r="C4477" t="str">
        <f t="shared" si="70"/>
        <v/>
      </c>
    </row>
    <row r="4478" spans="1:3" x14ac:dyDescent="0.25">
      <c r="A4478" s="223">
        <v>9.06006</v>
      </c>
      <c r="B4478" s="458">
        <v>9.7924999999999998E-2</v>
      </c>
      <c r="C4478" t="str">
        <f t="shared" si="70"/>
        <v/>
      </c>
    </row>
    <row r="4479" spans="1:3" x14ac:dyDescent="0.25">
      <c r="A4479" s="223">
        <v>9.06006</v>
      </c>
      <c r="B4479" s="458">
        <v>2.2985999999999999E-2</v>
      </c>
      <c r="C4479" t="str">
        <f t="shared" si="70"/>
        <v/>
      </c>
    </row>
    <row r="4480" spans="1:3" x14ac:dyDescent="0.25">
      <c r="A4480" s="223">
        <v>12.4293</v>
      </c>
      <c r="B4480" s="458">
        <v>0.341111</v>
      </c>
      <c r="C4480" t="str">
        <f t="shared" si="70"/>
        <v/>
      </c>
    </row>
    <row r="4481" spans="1:3" x14ac:dyDescent="0.25">
      <c r="A4481" s="223">
        <v>12.4293</v>
      </c>
      <c r="B4481" s="458">
        <v>0.24560000000000001</v>
      </c>
      <c r="C4481" t="str">
        <f t="shared" si="70"/>
        <v/>
      </c>
    </row>
    <row r="4482" spans="1:3" x14ac:dyDescent="0.25">
      <c r="A4482" s="223">
        <v>11.6365</v>
      </c>
      <c r="B4482" s="458">
        <v>4.6915999999999999E-2</v>
      </c>
      <c r="C4482" t="str">
        <f t="shared" si="70"/>
        <v/>
      </c>
    </row>
    <row r="4483" spans="1:3" x14ac:dyDescent="0.25">
      <c r="A4483" s="223">
        <v>11.6365</v>
      </c>
      <c r="B4483" s="458">
        <v>0.138543</v>
      </c>
      <c r="C4483" t="str">
        <f t="shared" si="70"/>
        <v/>
      </c>
    </row>
    <row r="4484" spans="1:3" x14ac:dyDescent="0.25">
      <c r="A4484" s="223">
        <v>10.135899999999999</v>
      </c>
      <c r="B4484" s="458">
        <v>3.2957E-2</v>
      </c>
      <c r="C4484" t="str">
        <f t="shared" si="70"/>
        <v/>
      </c>
    </row>
    <row r="4485" spans="1:3" x14ac:dyDescent="0.25">
      <c r="A4485" s="223">
        <v>10.135899999999999</v>
      </c>
      <c r="B4485" s="458">
        <v>8.5855000000000001E-2</v>
      </c>
      <c r="C4485" t="str">
        <f t="shared" si="70"/>
        <v/>
      </c>
    </row>
    <row r="4486" spans="1:3" x14ac:dyDescent="0.25">
      <c r="A4486" s="223">
        <v>8.6070600000000006</v>
      </c>
      <c r="B4486" s="458">
        <v>7.2840000000000002E-2</v>
      </c>
      <c r="C4486" t="str">
        <f t="shared" si="70"/>
        <v/>
      </c>
    </row>
    <row r="4487" spans="1:3" x14ac:dyDescent="0.25">
      <c r="A4487" s="223">
        <v>8.6070600000000006</v>
      </c>
      <c r="B4487" s="458">
        <v>2.372E-3</v>
      </c>
      <c r="C4487" t="str">
        <f t="shared" si="70"/>
        <v/>
      </c>
    </row>
    <row r="4488" spans="1:3" x14ac:dyDescent="0.25">
      <c r="A4488" s="223">
        <v>8.6070600000000006</v>
      </c>
      <c r="B4488" s="458">
        <v>2.1305999999999999E-2</v>
      </c>
      <c r="C4488" t="str">
        <f t="shared" si="70"/>
        <v/>
      </c>
    </row>
    <row r="4489" spans="1:3" x14ac:dyDescent="0.25">
      <c r="A4489" s="223">
        <v>9.1733200000000004</v>
      </c>
      <c r="B4489" s="458">
        <v>2.026E-3</v>
      </c>
      <c r="C4489" t="str">
        <f t="shared" si="70"/>
        <v/>
      </c>
    </row>
    <row r="4490" spans="1:3" x14ac:dyDescent="0.25">
      <c r="A4490" s="223">
        <v>9.1733200000000004</v>
      </c>
      <c r="B4490" s="458">
        <v>3.2330000000000002E-3</v>
      </c>
      <c r="C4490" t="str">
        <f t="shared" si="70"/>
        <v/>
      </c>
    </row>
    <row r="4491" spans="1:3" x14ac:dyDescent="0.25">
      <c r="A4491" s="223">
        <v>7.4179300000000001</v>
      </c>
      <c r="B4491" s="458">
        <v>5.731E-3</v>
      </c>
      <c r="C4491" t="str">
        <f t="shared" si="70"/>
        <v/>
      </c>
    </row>
    <row r="4492" spans="1:3" x14ac:dyDescent="0.25">
      <c r="A4492" s="223">
        <v>7.4179300000000001</v>
      </c>
      <c r="B4492" s="458">
        <v>1.3854E-2</v>
      </c>
      <c r="C4492" t="str">
        <f t="shared" si="70"/>
        <v/>
      </c>
    </row>
    <row r="4493" spans="1:3" x14ac:dyDescent="0.25">
      <c r="A4493" s="223">
        <v>7.0215500000000004</v>
      </c>
      <c r="B4493" s="458">
        <v>1.011E-3</v>
      </c>
      <c r="C4493" t="str">
        <f t="shared" si="70"/>
        <v/>
      </c>
    </row>
    <row r="4494" spans="1:3" x14ac:dyDescent="0.25">
      <c r="A4494" s="223">
        <v>7.0215500000000004</v>
      </c>
      <c r="B4494" s="458">
        <v>3.2330000000000002E-3</v>
      </c>
      <c r="C4494" t="str">
        <f t="shared" si="70"/>
        <v/>
      </c>
    </row>
    <row r="4495" spans="1:3" x14ac:dyDescent="0.25">
      <c r="A4495" s="223">
        <v>6.22879</v>
      </c>
      <c r="B4495" s="458">
        <v>3.3379999999999998E-3</v>
      </c>
      <c r="C4495" t="str">
        <f t="shared" si="70"/>
        <v/>
      </c>
    </row>
    <row r="4496" spans="1:3" x14ac:dyDescent="0.25">
      <c r="A4496" s="223">
        <v>6.22879</v>
      </c>
      <c r="B4496" s="458">
        <v>2.9390000000000002E-3</v>
      </c>
      <c r="C4496" t="str">
        <f t="shared" si="70"/>
        <v/>
      </c>
    </row>
    <row r="4497" spans="1:3" x14ac:dyDescent="0.25">
      <c r="A4497" s="223">
        <v>7.0215500000000004</v>
      </c>
      <c r="B4497" s="458">
        <v>6.0034999999999998E-2</v>
      </c>
      <c r="C4497" t="str">
        <f t="shared" si="70"/>
        <v/>
      </c>
    </row>
    <row r="4498" spans="1:3" x14ac:dyDescent="0.25">
      <c r="A4498" s="223">
        <v>7.0215500000000004</v>
      </c>
      <c r="B4498" s="458">
        <v>4.2090000000000001E-3</v>
      </c>
      <c r="C4498" t="str">
        <f t="shared" si="70"/>
        <v/>
      </c>
    </row>
    <row r="4499" spans="1:3" x14ac:dyDescent="0.25">
      <c r="A4499" s="223">
        <v>9.7678799999999999</v>
      </c>
      <c r="B4499" s="458">
        <v>7.7247999999999997E-2</v>
      </c>
      <c r="C4499" t="str">
        <f t="shared" si="70"/>
        <v/>
      </c>
    </row>
    <row r="4500" spans="1:3" x14ac:dyDescent="0.25">
      <c r="A4500" s="223">
        <v>9.7678799999999999</v>
      </c>
      <c r="B4500" s="458">
        <v>5.6781999999999999E-2</v>
      </c>
      <c r="C4500" t="str">
        <f t="shared" si="70"/>
        <v/>
      </c>
    </row>
    <row r="4501" spans="1:3" x14ac:dyDescent="0.25">
      <c r="A4501" s="223">
        <v>8.4938099999999999</v>
      </c>
      <c r="B4501" s="458">
        <v>2.6658999999999999E-2</v>
      </c>
      <c r="C4501" t="str">
        <f t="shared" si="70"/>
        <v/>
      </c>
    </row>
    <row r="4502" spans="1:3" x14ac:dyDescent="0.25">
      <c r="A4502" s="223">
        <v>8.4938099999999999</v>
      </c>
      <c r="B4502" s="458">
        <v>3.2537000000000003E-2</v>
      </c>
      <c r="C4502" t="str">
        <f t="shared" si="70"/>
        <v/>
      </c>
    </row>
    <row r="4503" spans="1:3" x14ac:dyDescent="0.25">
      <c r="A4503" s="223">
        <v>6.7384199999999996</v>
      </c>
      <c r="B4503" s="458">
        <v>5.5209999999999999E-3</v>
      </c>
      <c r="C4503" t="str">
        <f t="shared" si="70"/>
        <v/>
      </c>
    </row>
    <row r="4504" spans="1:3" x14ac:dyDescent="0.25">
      <c r="A4504" s="223">
        <v>6.7384199999999996</v>
      </c>
      <c r="B4504" s="458">
        <v>1.364E-3</v>
      </c>
      <c r="C4504" t="str">
        <f t="shared" si="70"/>
        <v/>
      </c>
    </row>
    <row r="4505" spans="1:3" x14ac:dyDescent="0.25">
      <c r="A4505" s="223">
        <v>8.0691199999999998</v>
      </c>
      <c r="B4505" s="458">
        <v>4.849E-3</v>
      </c>
      <c r="C4505" t="str">
        <f t="shared" si="70"/>
        <v/>
      </c>
    </row>
    <row r="4506" spans="1:3" x14ac:dyDescent="0.25">
      <c r="A4506" s="223">
        <v>8.0691199999999998</v>
      </c>
      <c r="B4506" s="458">
        <v>2.5709999999999999E-3</v>
      </c>
      <c r="C4506" t="str">
        <f t="shared" si="70"/>
        <v/>
      </c>
    </row>
    <row r="4507" spans="1:3" x14ac:dyDescent="0.25">
      <c r="A4507" s="223">
        <v>8.0691199999999998</v>
      </c>
      <c r="B4507" s="458">
        <v>1.2385E-2</v>
      </c>
      <c r="C4507" t="str">
        <f t="shared" si="70"/>
        <v/>
      </c>
    </row>
    <row r="4508" spans="1:3" x14ac:dyDescent="0.25">
      <c r="A4508" s="223">
        <v>6.22879</v>
      </c>
      <c r="B4508" s="458">
        <v>1.333E-3</v>
      </c>
      <c r="C4508" t="str">
        <f t="shared" si="70"/>
        <v/>
      </c>
    </row>
    <row r="4509" spans="1:3" x14ac:dyDescent="0.25">
      <c r="A4509" s="223">
        <v>6.22879</v>
      </c>
      <c r="B4509" s="458">
        <v>1.2589999999999999E-3</v>
      </c>
      <c r="C4509" t="str">
        <f t="shared" si="70"/>
        <v/>
      </c>
    </row>
    <row r="4510" spans="1:3" x14ac:dyDescent="0.25">
      <c r="A4510" s="223">
        <v>5.4643499999999996</v>
      </c>
      <c r="B4510" s="458">
        <v>1.627E-3</v>
      </c>
      <c r="C4510" t="str">
        <f t="shared" si="70"/>
        <v/>
      </c>
    </row>
    <row r="4511" spans="1:3" x14ac:dyDescent="0.25">
      <c r="A4511" s="223">
        <v>5.4643499999999996</v>
      </c>
      <c r="B4511" s="458">
        <v>7.1100000000000004E-4</v>
      </c>
      <c r="C4511" t="str">
        <f t="shared" si="70"/>
        <v/>
      </c>
    </row>
    <row r="4512" spans="1:3" x14ac:dyDescent="0.25">
      <c r="A4512" s="223">
        <v>5.9456699999999998</v>
      </c>
      <c r="B4512" s="458">
        <v>3.3500000000000001E-4</v>
      </c>
      <c r="C4512" t="str">
        <f t="shared" si="70"/>
        <v/>
      </c>
    </row>
    <row r="4513" spans="1:3" x14ac:dyDescent="0.25">
      <c r="A4513" s="223">
        <v>5.9456699999999998</v>
      </c>
      <c r="B4513" s="458">
        <v>2.5700000000000001E-4</v>
      </c>
      <c r="C4513" t="str">
        <f t="shared" si="70"/>
        <v/>
      </c>
    </row>
    <row r="4514" spans="1:3" x14ac:dyDescent="0.25">
      <c r="A4514" s="223">
        <v>7.8426200000000001</v>
      </c>
      <c r="B4514" s="458">
        <v>5.3200000000000003E-4</v>
      </c>
      <c r="C4514" t="str">
        <f t="shared" si="70"/>
        <v/>
      </c>
    </row>
    <row r="4515" spans="1:3" x14ac:dyDescent="0.25">
      <c r="A4515" s="223">
        <v>7.8426200000000001</v>
      </c>
      <c r="B4515" s="458">
        <v>1.4378999999999999E-2</v>
      </c>
      <c r="C4515" t="str">
        <f t="shared" si="70"/>
        <v/>
      </c>
    </row>
    <row r="4516" spans="1:3" x14ac:dyDescent="0.25">
      <c r="A4516" s="223">
        <v>3.93547</v>
      </c>
      <c r="B4516" s="458">
        <v>2.8899999999999998E-4</v>
      </c>
      <c r="C4516" t="str">
        <f t="shared" si="70"/>
        <v/>
      </c>
    </row>
    <row r="4517" spans="1:3" x14ac:dyDescent="0.25">
      <c r="A4517" s="223">
        <v>3.93547</v>
      </c>
      <c r="B4517" s="458">
        <v>8.0799999999999999E-5</v>
      </c>
      <c r="C4517" t="str">
        <f t="shared" si="70"/>
        <v/>
      </c>
    </row>
    <row r="4518" spans="1:3" x14ac:dyDescent="0.25">
      <c r="A4518" s="223">
        <v>6.2004799999999998</v>
      </c>
      <c r="B4518" s="458">
        <v>1.134E-3</v>
      </c>
      <c r="C4518" t="str">
        <f t="shared" si="70"/>
        <v/>
      </c>
    </row>
    <row r="4519" spans="1:3" x14ac:dyDescent="0.25">
      <c r="A4519" s="223">
        <v>6.2004799999999998</v>
      </c>
      <c r="B4519" s="458">
        <v>1.3015000000000001E-2</v>
      </c>
      <c r="C4519" t="str">
        <f t="shared" si="70"/>
        <v/>
      </c>
    </row>
    <row r="4520" spans="1:3" x14ac:dyDescent="0.25">
      <c r="A4520" s="223">
        <v>6.7667400000000004</v>
      </c>
      <c r="B4520" s="458">
        <v>0.110205</v>
      </c>
      <c r="C4520" t="str">
        <f t="shared" si="70"/>
        <v/>
      </c>
    </row>
    <row r="4521" spans="1:3" x14ac:dyDescent="0.25">
      <c r="A4521" s="223">
        <v>6.7667400000000004</v>
      </c>
      <c r="B4521" s="458">
        <v>0.106007</v>
      </c>
      <c r="C4521" t="str">
        <f t="shared" si="70"/>
        <v/>
      </c>
    </row>
    <row r="4522" spans="1:3" x14ac:dyDescent="0.25">
      <c r="A4522" s="223">
        <v>7.5594900000000003</v>
      </c>
      <c r="B4522" s="458">
        <v>0.178427</v>
      </c>
      <c r="C4522" t="str">
        <f t="shared" si="70"/>
        <v/>
      </c>
    </row>
    <row r="4523" spans="1:3" x14ac:dyDescent="0.25">
      <c r="A4523" s="223">
        <v>7.5594900000000003</v>
      </c>
      <c r="B4523" s="458">
        <v>0.143791</v>
      </c>
      <c r="C4523" t="str">
        <f t="shared" si="70"/>
        <v/>
      </c>
    </row>
    <row r="4524" spans="1:3" x14ac:dyDescent="0.25">
      <c r="A4524" s="223">
        <v>7.8709300000000004</v>
      </c>
      <c r="B4524" s="458">
        <v>0.15428700000000001</v>
      </c>
      <c r="C4524" t="str">
        <f t="shared" si="70"/>
        <v/>
      </c>
    </row>
    <row r="4525" spans="1:3" x14ac:dyDescent="0.25">
      <c r="A4525" s="223">
        <v>7.8709300000000004</v>
      </c>
      <c r="B4525" s="458">
        <v>8.2600999999999994E-2</v>
      </c>
      <c r="C4525" t="str">
        <f t="shared" si="70"/>
        <v/>
      </c>
    </row>
    <row r="4526" spans="1:3" x14ac:dyDescent="0.25">
      <c r="A4526" s="223">
        <v>10.8721</v>
      </c>
      <c r="B4526" s="458">
        <v>9.8345000000000002E-2</v>
      </c>
      <c r="C4526" t="str">
        <f t="shared" si="70"/>
        <v/>
      </c>
    </row>
    <row r="4527" spans="1:3" x14ac:dyDescent="0.25">
      <c r="A4527" s="223">
        <v>10.8721</v>
      </c>
      <c r="B4527" s="458">
        <v>9.4461000000000003E-2</v>
      </c>
      <c r="C4527" t="str">
        <f t="shared" si="70"/>
        <v/>
      </c>
    </row>
    <row r="4528" spans="1:3" x14ac:dyDescent="0.25">
      <c r="A4528" s="223">
        <v>9.7112599999999993</v>
      </c>
      <c r="B4528" s="458">
        <v>6.7696999999999993E-2</v>
      </c>
      <c r="C4528" t="str">
        <f t="shared" si="70"/>
        <v/>
      </c>
    </row>
    <row r="4529" spans="1:3" x14ac:dyDescent="0.25">
      <c r="A4529" s="223">
        <v>9.7112599999999993</v>
      </c>
      <c r="B4529" s="458">
        <v>2.7184E-2</v>
      </c>
      <c r="C4529" t="str">
        <f t="shared" si="70"/>
        <v/>
      </c>
    </row>
    <row r="4530" spans="1:3" x14ac:dyDescent="0.25">
      <c r="A4530" s="223">
        <v>10.6173</v>
      </c>
      <c r="B4530" s="458">
        <v>0.191022</v>
      </c>
      <c r="C4530" t="str">
        <f t="shared" si="70"/>
        <v/>
      </c>
    </row>
    <row r="4531" spans="1:3" x14ac:dyDescent="0.25">
      <c r="A4531" s="223">
        <v>10.6173</v>
      </c>
      <c r="B4531" s="458">
        <v>0.19731899999999999</v>
      </c>
      <c r="C4531" t="str">
        <f t="shared" si="70"/>
        <v/>
      </c>
    </row>
    <row r="4532" spans="1:3" x14ac:dyDescent="0.25">
      <c r="A4532" s="223">
        <v>10.758800000000001</v>
      </c>
      <c r="B4532" s="458">
        <v>9.6245999999999998E-2</v>
      </c>
      <c r="C4532" t="str">
        <f t="shared" si="70"/>
        <v/>
      </c>
    </row>
    <row r="4533" spans="1:3" x14ac:dyDescent="0.25">
      <c r="A4533" s="223">
        <v>10.758800000000001</v>
      </c>
      <c r="B4533" s="458">
        <v>0.102753</v>
      </c>
      <c r="C4533" t="str">
        <f t="shared" si="70"/>
        <v/>
      </c>
    </row>
    <row r="4534" spans="1:3" x14ac:dyDescent="0.25">
      <c r="A4534" s="223">
        <v>12.7407</v>
      </c>
      <c r="B4534" s="458">
        <v>1.8158000000000001E-2</v>
      </c>
      <c r="C4534" t="str">
        <f t="shared" si="70"/>
        <v/>
      </c>
    </row>
    <row r="4535" spans="1:3" x14ac:dyDescent="0.25">
      <c r="A4535" s="223">
        <v>12.7407</v>
      </c>
      <c r="B4535" s="458">
        <v>3.7784999999999999E-2</v>
      </c>
      <c r="C4535" t="str">
        <f t="shared" si="70"/>
        <v/>
      </c>
    </row>
    <row r="4536" spans="1:3" x14ac:dyDescent="0.25">
      <c r="A4536" s="223">
        <v>12.514200000000001</v>
      </c>
      <c r="B4536" s="458">
        <v>7.2106000000000003E-2</v>
      </c>
      <c r="C4536" t="str">
        <f t="shared" si="70"/>
        <v/>
      </c>
    </row>
    <row r="4537" spans="1:3" x14ac:dyDescent="0.25">
      <c r="A4537" s="223">
        <v>12.514200000000001</v>
      </c>
      <c r="B4537" s="458">
        <v>0.11965099999999999</v>
      </c>
      <c r="C4537" t="str">
        <f t="shared" ref="C4537:C4600" si="71">IF(B4537=0,"XXXXXXXX","")</f>
        <v/>
      </c>
    </row>
    <row r="4538" spans="1:3" x14ac:dyDescent="0.25">
      <c r="A4538" s="223">
        <v>10.985300000000001</v>
      </c>
      <c r="B4538" s="458">
        <v>8.0712000000000006E-2</v>
      </c>
      <c r="C4538" t="str">
        <f t="shared" si="71"/>
        <v/>
      </c>
    </row>
    <row r="4539" spans="1:3" x14ac:dyDescent="0.25">
      <c r="A4539" s="223">
        <v>10.985300000000001</v>
      </c>
      <c r="B4539" s="458">
        <v>2.7078999999999999E-2</v>
      </c>
      <c r="C4539" t="str">
        <f t="shared" si="71"/>
        <v/>
      </c>
    </row>
    <row r="4540" spans="1:3" x14ac:dyDescent="0.25">
      <c r="A4540" s="223">
        <v>10.985300000000001</v>
      </c>
      <c r="B4540" s="458">
        <v>2.1305999999999999E-2</v>
      </c>
      <c r="C4540" t="str">
        <f t="shared" si="71"/>
        <v/>
      </c>
    </row>
    <row r="4541" spans="1:3" x14ac:dyDescent="0.25">
      <c r="A4541" s="223">
        <v>14.637700000000001</v>
      </c>
      <c r="B4541" s="458">
        <v>0.34740799999999999</v>
      </c>
      <c r="C4541" t="str">
        <f t="shared" si="71"/>
        <v/>
      </c>
    </row>
    <row r="4542" spans="1:3" x14ac:dyDescent="0.25">
      <c r="A4542" s="223">
        <v>14.637700000000001</v>
      </c>
      <c r="B4542" s="458">
        <v>0.225658</v>
      </c>
      <c r="C4542" t="str">
        <f t="shared" si="71"/>
        <v/>
      </c>
    </row>
    <row r="4543" spans="1:3" x14ac:dyDescent="0.25">
      <c r="A4543" s="223">
        <v>15.6286</v>
      </c>
      <c r="B4543" s="458">
        <v>0.484902</v>
      </c>
      <c r="C4543" t="str">
        <f t="shared" si="71"/>
        <v/>
      </c>
    </row>
    <row r="4544" spans="1:3" x14ac:dyDescent="0.25">
      <c r="A4544" s="223">
        <v>15.6286</v>
      </c>
      <c r="B4544" s="458">
        <v>0.54157900000000003</v>
      </c>
      <c r="C4544" t="str">
        <f t="shared" si="71"/>
        <v/>
      </c>
    </row>
    <row r="4545" spans="1:3" x14ac:dyDescent="0.25">
      <c r="A4545" s="223">
        <v>17.100899999999999</v>
      </c>
      <c r="B4545" s="458">
        <v>0.74414599999999997</v>
      </c>
      <c r="C4545" t="str">
        <f t="shared" si="71"/>
        <v/>
      </c>
    </row>
    <row r="4546" spans="1:3" x14ac:dyDescent="0.25">
      <c r="A4546" s="223">
        <v>17.100899999999999</v>
      </c>
      <c r="B4546" s="458">
        <v>0.32536700000000002</v>
      </c>
      <c r="C4546" t="str">
        <f t="shared" si="71"/>
        <v/>
      </c>
    </row>
    <row r="4547" spans="1:3" x14ac:dyDescent="0.25">
      <c r="A4547" s="223">
        <v>18.006900000000002</v>
      </c>
      <c r="B4547" s="458">
        <v>0.248748</v>
      </c>
      <c r="C4547" t="str">
        <f t="shared" si="71"/>
        <v/>
      </c>
    </row>
    <row r="4548" spans="1:3" x14ac:dyDescent="0.25">
      <c r="A4548" s="223">
        <v>18.006900000000002</v>
      </c>
      <c r="B4548" s="458">
        <v>0.55102499999999999</v>
      </c>
      <c r="C4548" t="str">
        <f t="shared" si="71"/>
        <v/>
      </c>
    </row>
    <row r="4549" spans="1:3" x14ac:dyDescent="0.25">
      <c r="A4549" s="223">
        <v>17.695399999999999</v>
      </c>
      <c r="B4549" s="458">
        <v>0.38834099999999999</v>
      </c>
      <c r="C4549" t="str">
        <f t="shared" si="71"/>
        <v/>
      </c>
    </row>
    <row r="4550" spans="1:3" x14ac:dyDescent="0.25">
      <c r="A4550" s="223">
        <v>17.695399999999999</v>
      </c>
      <c r="B4550" s="458">
        <v>0.242451</v>
      </c>
      <c r="C4550" t="str">
        <f t="shared" si="71"/>
        <v/>
      </c>
    </row>
    <row r="4551" spans="1:3" x14ac:dyDescent="0.25">
      <c r="A4551" s="223">
        <v>17.695399999999999</v>
      </c>
      <c r="B4551" s="458">
        <v>0.23930199999999999</v>
      </c>
      <c r="C4551" t="str">
        <f t="shared" si="71"/>
        <v/>
      </c>
    </row>
    <row r="4552" spans="1:3" x14ac:dyDescent="0.25">
      <c r="A4552" s="223">
        <v>17.695399999999999</v>
      </c>
      <c r="B4552" s="458">
        <v>0.34425899999999998</v>
      </c>
      <c r="C4552" t="str">
        <f t="shared" si="71"/>
        <v/>
      </c>
    </row>
    <row r="4553" spans="1:3" x14ac:dyDescent="0.25">
      <c r="A4553" s="223">
        <v>15.0624</v>
      </c>
      <c r="B4553" s="458">
        <v>0.44081999999999999</v>
      </c>
      <c r="C4553" t="str">
        <f t="shared" si="71"/>
        <v/>
      </c>
    </row>
    <row r="4554" spans="1:3" x14ac:dyDescent="0.25">
      <c r="A4554" s="223">
        <v>15.0624</v>
      </c>
      <c r="B4554" s="458">
        <v>0.40828300000000001</v>
      </c>
      <c r="C4554" t="str">
        <f t="shared" si="71"/>
        <v/>
      </c>
    </row>
    <row r="4555" spans="1:3" x14ac:dyDescent="0.25">
      <c r="A4555" s="223">
        <v>16.336400000000001</v>
      </c>
      <c r="B4555" s="458">
        <v>0.25714500000000001</v>
      </c>
      <c r="C4555" t="str">
        <f t="shared" si="71"/>
        <v/>
      </c>
    </row>
    <row r="4556" spans="1:3" x14ac:dyDescent="0.25">
      <c r="A4556" s="223">
        <v>16.336400000000001</v>
      </c>
      <c r="B4556" s="458">
        <v>0.37679600000000002</v>
      </c>
      <c r="C4556" t="str">
        <f t="shared" si="71"/>
        <v/>
      </c>
    </row>
    <row r="4557" spans="1:3" x14ac:dyDescent="0.25">
      <c r="A4557" s="223">
        <v>18.148399999999999</v>
      </c>
      <c r="B4557" s="458">
        <v>0.19941900000000001</v>
      </c>
      <c r="C4557" t="str">
        <f t="shared" si="71"/>
        <v/>
      </c>
    </row>
    <row r="4558" spans="1:3" x14ac:dyDescent="0.25">
      <c r="A4558" s="223">
        <v>18.148399999999999</v>
      </c>
      <c r="B4558" s="458">
        <v>0.33796199999999998</v>
      </c>
      <c r="C4558" t="str">
        <f t="shared" si="71"/>
        <v/>
      </c>
    </row>
    <row r="4559" spans="1:3" x14ac:dyDescent="0.25">
      <c r="A4559" s="223">
        <v>22.055599999999998</v>
      </c>
      <c r="B4559" s="458">
        <v>0.82391400000000004</v>
      </c>
      <c r="C4559" t="str">
        <f t="shared" si="71"/>
        <v/>
      </c>
    </row>
    <row r="4560" spans="1:3" x14ac:dyDescent="0.25">
      <c r="A4560" s="223">
        <v>22.055599999999998</v>
      </c>
      <c r="B4560" s="458">
        <v>0.791377</v>
      </c>
      <c r="C4560" t="str">
        <f t="shared" si="71"/>
        <v/>
      </c>
    </row>
    <row r="4561" spans="1:3" x14ac:dyDescent="0.25">
      <c r="A4561" s="223">
        <v>25.1983</v>
      </c>
      <c r="B4561" s="458">
        <v>0.28653299999999998</v>
      </c>
      <c r="C4561" t="str">
        <f t="shared" si="71"/>
        <v/>
      </c>
    </row>
    <row r="4562" spans="1:3" x14ac:dyDescent="0.25">
      <c r="A4562" s="223">
        <v>25.1983</v>
      </c>
      <c r="B4562" s="458">
        <v>0.17213000000000001</v>
      </c>
      <c r="C4562" t="str">
        <f t="shared" si="71"/>
        <v/>
      </c>
    </row>
    <row r="4563" spans="1:3" x14ac:dyDescent="0.25">
      <c r="A4563" s="223">
        <v>21.8857</v>
      </c>
      <c r="B4563" s="458">
        <v>7.7144000000000004E-2</v>
      </c>
      <c r="C4563" t="str">
        <f t="shared" si="71"/>
        <v/>
      </c>
    </row>
    <row r="4564" spans="1:3" x14ac:dyDescent="0.25">
      <c r="A4564" s="223">
        <v>21.8857</v>
      </c>
      <c r="B4564" s="458">
        <v>0.17632800000000001</v>
      </c>
      <c r="C4564" t="str">
        <f t="shared" si="71"/>
        <v/>
      </c>
    </row>
    <row r="4565" spans="1:3" x14ac:dyDescent="0.25">
      <c r="A4565" s="223">
        <v>20.385100000000001</v>
      </c>
      <c r="B4565" s="458">
        <v>0.60140400000000005</v>
      </c>
      <c r="C4565" t="str">
        <f t="shared" si="71"/>
        <v/>
      </c>
    </row>
    <row r="4566" spans="1:3" x14ac:dyDescent="0.25">
      <c r="A4566" s="223">
        <v>20.385100000000001</v>
      </c>
      <c r="B4566" s="458">
        <v>0.57201599999999997</v>
      </c>
      <c r="C4566" t="str">
        <f t="shared" si="71"/>
        <v/>
      </c>
    </row>
    <row r="4567" spans="1:3" x14ac:dyDescent="0.25">
      <c r="A4567" s="223">
        <v>17.553899999999999</v>
      </c>
      <c r="B4567" s="458">
        <v>0.28338400000000002</v>
      </c>
      <c r="C4567" t="str">
        <f t="shared" si="71"/>
        <v/>
      </c>
    </row>
    <row r="4568" spans="1:3" x14ac:dyDescent="0.25">
      <c r="A4568" s="223">
        <v>17.553899999999999</v>
      </c>
      <c r="B4568" s="458">
        <v>0.491199</v>
      </c>
      <c r="C4568" t="str">
        <f t="shared" si="71"/>
        <v/>
      </c>
    </row>
    <row r="4569" spans="1:3" x14ac:dyDescent="0.25">
      <c r="A4569" s="223">
        <v>21.545999999999999</v>
      </c>
      <c r="B4569" s="458">
        <v>0.31067299999999998</v>
      </c>
      <c r="C4569" t="str">
        <f t="shared" si="71"/>
        <v/>
      </c>
    </row>
    <row r="4570" spans="1:3" x14ac:dyDescent="0.25">
      <c r="A4570" s="223">
        <v>21.545999999999999</v>
      </c>
      <c r="B4570" s="458">
        <v>0.31907000000000002</v>
      </c>
      <c r="C4570" t="str">
        <f t="shared" si="71"/>
        <v/>
      </c>
    </row>
    <row r="4571" spans="1:3" x14ac:dyDescent="0.25">
      <c r="A4571" s="223">
        <v>21.376100000000001</v>
      </c>
      <c r="B4571" s="458">
        <v>0.35160599999999997</v>
      </c>
      <c r="C4571" t="str">
        <f t="shared" si="71"/>
        <v/>
      </c>
    </row>
    <row r="4572" spans="1:3" x14ac:dyDescent="0.25">
      <c r="A4572" s="223">
        <v>21.376100000000001</v>
      </c>
      <c r="B4572" s="458">
        <v>0.38309399999999999</v>
      </c>
      <c r="C4572" t="str">
        <f t="shared" si="71"/>
        <v/>
      </c>
    </row>
    <row r="4573" spans="1:3" x14ac:dyDescent="0.25">
      <c r="A4573" s="223">
        <v>17.695399999999999</v>
      </c>
      <c r="B4573" s="458">
        <v>9.1628000000000001E-2</v>
      </c>
      <c r="C4573" t="str">
        <f t="shared" si="71"/>
        <v/>
      </c>
    </row>
    <row r="4574" spans="1:3" x14ac:dyDescent="0.25">
      <c r="A4574" s="223">
        <v>17.695399999999999</v>
      </c>
      <c r="B4574" s="458">
        <v>0.31172299999999997</v>
      </c>
      <c r="C4574" t="str">
        <f t="shared" si="71"/>
        <v/>
      </c>
    </row>
    <row r="4575" spans="1:3" x14ac:dyDescent="0.25">
      <c r="A4575" s="223">
        <v>17.695399999999999</v>
      </c>
      <c r="B4575" s="458">
        <v>4.7021E-2</v>
      </c>
      <c r="C4575" t="str">
        <f t="shared" si="71"/>
        <v/>
      </c>
    </row>
    <row r="4576" spans="1:3" x14ac:dyDescent="0.25">
      <c r="A4576" s="223">
        <v>16.336400000000001</v>
      </c>
      <c r="B4576" s="458">
        <v>0.374697</v>
      </c>
      <c r="C4576" t="str">
        <f t="shared" si="71"/>
        <v/>
      </c>
    </row>
    <row r="4577" spans="1:3" x14ac:dyDescent="0.25">
      <c r="A4577" s="223">
        <v>16.336400000000001</v>
      </c>
      <c r="B4577" s="458">
        <v>0.66332899999999995</v>
      </c>
      <c r="C4577" t="str">
        <f t="shared" si="71"/>
        <v/>
      </c>
    </row>
    <row r="4578" spans="1:3" x14ac:dyDescent="0.25">
      <c r="A4578" s="223">
        <v>16.336400000000001</v>
      </c>
      <c r="B4578" s="458">
        <v>0.40198600000000001</v>
      </c>
      <c r="C4578" t="str">
        <f t="shared" si="71"/>
        <v/>
      </c>
    </row>
    <row r="4579" spans="1:3" x14ac:dyDescent="0.25">
      <c r="A4579" s="223">
        <v>23.0749</v>
      </c>
      <c r="B4579" s="458">
        <v>0.55522300000000002</v>
      </c>
      <c r="C4579" t="str">
        <f t="shared" si="71"/>
        <v/>
      </c>
    </row>
    <row r="4580" spans="1:3" x14ac:dyDescent="0.25">
      <c r="A4580" s="223">
        <v>23.0749</v>
      </c>
      <c r="B4580" s="458">
        <v>0.37049900000000002</v>
      </c>
      <c r="C4580" t="str">
        <f t="shared" si="71"/>
        <v/>
      </c>
    </row>
    <row r="4581" spans="1:3" x14ac:dyDescent="0.25">
      <c r="A4581" s="223">
        <v>19.5641</v>
      </c>
      <c r="B4581" s="458">
        <v>0.26764100000000002</v>
      </c>
      <c r="C4581" t="str">
        <f t="shared" si="71"/>
        <v/>
      </c>
    </row>
    <row r="4582" spans="1:3" x14ac:dyDescent="0.25">
      <c r="A4582" s="223">
        <v>19.5641</v>
      </c>
      <c r="B4582" s="458">
        <v>0.35580499999999998</v>
      </c>
      <c r="C4582" t="str">
        <f t="shared" si="71"/>
        <v/>
      </c>
    </row>
    <row r="4583" spans="1:3" x14ac:dyDescent="0.25">
      <c r="A4583" s="223">
        <v>19.5641</v>
      </c>
      <c r="B4583" s="458">
        <v>0.16373299999999999</v>
      </c>
      <c r="C4583" t="str">
        <f t="shared" si="71"/>
        <v/>
      </c>
    </row>
    <row r="4584" spans="1:3" x14ac:dyDescent="0.25">
      <c r="A4584" s="223">
        <v>16.931000000000001</v>
      </c>
      <c r="B4584" s="458">
        <v>0.22040999999999999</v>
      </c>
      <c r="C4584" t="str">
        <f t="shared" si="71"/>
        <v/>
      </c>
    </row>
    <row r="4585" spans="1:3" x14ac:dyDescent="0.25">
      <c r="A4585" s="223">
        <v>16.931000000000001</v>
      </c>
      <c r="B4585" s="458">
        <v>0.34321000000000002</v>
      </c>
      <c r="C4585" t="str">
        <f t="shared" si="71"/>
        <v/>
      </c>
    </row>
    <row r="4586" spans="1:3" x14ac:dyDescent="0.25">
      <c r="A4586" s="223">
        <v>1.1042000000000001</v>
      </c>
      <c r="B4586" s="458">
        <v>4.4609999999999997E-3</v>
      </c>
      <c r="C4586" t="str">
        <f t="shared" si="71"/>
        <v/>
      </c>
    </row>
    <row r="4587" spans="1:3" x14ac:dyDescent="0.25">
      <c r="A4587" s="223">
        <v>1.18913</v>
      </c>
      <c r="B4587" s="458">
        <v>2.0572E-2</v>
      </c>
      <c r="C4587" t="str">
        <f t="shared" si="71"/>
        <v/>
      </c>
    </row>
    <row r="4588" spans="1:3" x14ac:dyDescent="0.25">
      <c r="A4588" s="223">
        <v>1.84033</v>
      </c>
      <c r="B4588" s="458">
        <v>5.4788000000000003E-2</v>
      </c>
      <c r="C4588" t="str">
        <f t="shared" si="71"/>
        <v/>
      </c>
    </row>
    <row r="4589" spans="1:3" x14ac:dyDescent="0.25">
      <c r="A4589" s="223">
        <v>2.7746400000000002</v>
      </c>
      <c r="B4589" s="458">
        <v>3.3166000000000001E-2</v>
      </c>
      <c r="C4589" t="str">
        <f t="shared" si="71"/>
        <v/>
      </c>
    </row>
    <row r="4590" spans="1:3" x14ac:dyDescent="0.25">
      <c r="A4590" s="223">
        <v>2.57646</v>
      </c>
      <c r="B4590" s="458">
        <v>3.5999999999999997E-2</v>
      </c>
      <c r="C4590" t="str">
        <f t="shared" si="71"/>
        <v/>
      </c>
    </row>
    <row r="4591" spans="1:3" x14ac:dyDescent="0.25">
      <c r="A4591" s="223">
        <v>3.3692099999999998</v>
      </c>
      <c r="B4591" s="458">
        <v>3.3480999999999997E-2</v>
      </c>
      <c r="C4591" t="str">
        <f t="shared" si="71"/>
        <v/>
      </c>
    </row>
    <row r="4592" spans="1:3" x14ac:dyDescent="0.25">
      <c r="A4592" s="223">
        <v>3.1993399999999999</v>
      </c>
      <c r="B4592" s="458">
        <v>4.0513E-2</v>
      </c>
      <c r="C4592" t="str">
        <f t="shared" si="71"/>
        <v/>
      </c>
    </row>
    <row r="4593" spans="1:3" x14ac:dyDescent="0.25">
      <c r="A4593" s="223">
        <v>2.2366999999999999</v>
      </c>
      <c r="B4593" s="458">
        <v>4.5551000000000001E-2</v>
      </c>
      <c r="C4593" t="str">
        <f t="shared" si="71"/>
        <v/>
      </c>
    </row>
    <row r="4594" spans="1:3" x14ac:dyDescent="0.25">
      <c r="A4594" s="223">
        <v>2.0102000000000002</v>
      </c>
      <c r="B4594" s="458">
        <v>3.6420000000000001E-2</v>
      </c>
      <c r="C4594" t="str">
        <f t="shared" si="71"/>
        <v/>
      </c>
    </row>
    <row r="4595" spans="1:3" x14ac:dyDescent="0.25">
      <c r="A4595" s="223">
        <v>1.4439500000000001</v>
      </c>
      <c r="B4595" s="458">
        <v>2.0362000000000002E-2</v>
      </c>
      <c r="C4595" t="str">
        <f t="shared" si="71"/>
        <v/>
      </c>
    </row>
    <row r="4596" spans="1:3" x14ac:dyDescent="0.25">
      <c r="A4596" s="223">
        <v>1.3873200000000001</v>
      </c>
      <c r="B4596" s="458">
        <v>5.143E-3</v>
      </c>
      <c r="C4596" t="str">
        <f t="shared" si="71"/>
        <v/>
      </c>
    </row>
    <row r="4597" spans="1:3" x14ac:dyDescent="0.25">
      <c r="A4597" s="223">
        <v>1.3873200000000001</v>
      </c>
      <c r="B4597" s="458">
        <v>2.3410000000000002E-3</v>
      </c>
      <c r="C4597" t="str">
        <f t="shared" si="71"/>
        <v/>
      </c>
    </row>
    <row r="4598" spans="1:3" x14ac:dyDescent="0.25">
      <c r="A4598" s="223">
        <v>1.9818899999999999</v>
      </c>
      <c r="B4598" s="458">
        <v>6.2030000000000002E-3</v>
      </c>
      <c r="C4598" t="str">
        <f t="shared" si="71"/>
        <v/>
      </c>
    </row>
    <row r="4599" spans="1:3" x14ac:dyDescent="0.25">
      <c r="A4599" s="223">
        <v>1.41564</v>
      </c>
      <c r="B4599" s="458">
        <v>2.036E-3</v>
      </c>
      <c r="C4599" t="str">
        <f t="shared" si="71"/>
        <v/>
      </c>
    </row>
    <row r="4600" spans="1:3" x14ac:dyDescent="0.25">
      <c r="A4600" s="223">
        <v>1.41564</v>
      </c>
      <c r="B4600" s="458">
        <v>4.7019999999999996E-3</v>
      </c>
      <c r="C4600" t="str">
        <f t="shared" si="71"/>
        <v/>
      </c>
    </row>
    <row r="4601" spans="1:3" x14ac:dyDescent="0.25">
      <c r="A4601" s="223">
        <v>4.3318399999999997</v>
      </c>
      <c r="B4601" s="458">
        <v>8.2843E-2</v>
      </c>
      <c r="C4601" t="str">
        <f t="shared" ref="C4601:C4664" si="72">IF(B4601=0,"XXXXXXXX","")</f>
        <v/>
      </c>
    </row>
    <row r="4602" spans="1:3" x14ac:dyDescent="0.25">
      <c r="A4602" s="223">
        <v>3.1143999999999998</v>
      </c>
      <c r="B4602" s="458">
        <v>2.2251E-2</v>
      </c>
      <c r="C4602" t="str">
        <f t="shared" si="72"/>
        <v/>
      </c>
    </row>
    <row r="4603" spans="1:3" x14ac:dyDescent="0.25">
      <c r="A4603" s="223">
        <v>2.6613899999999999</v>
      </c>
      <c r="B4603" s="458">
        <v>3.9988999999999997E-2</v>
      </c>
      <c r="C4603" t="str">
        <f t="shared" si="72"/>
        <v/>
      </c>
    </row>
    <row r="4604" spans="1:3" x14ac:dyDescent="0.25">
      <c r="A4604" s="223">
        <v>0.59457000000000004</v>
      </c>
      <c r="B4604" s="458">
        <v>5.9000000000000003E-4</v>
      </c>
      <c r="C4604" t="str">
        <f t="shared" si="72"/>
        <v/>
      </c>
    </row>
    <row r="4605" spans="1:3" x14ac:dyDescent="0.25">
      <c r="A4605" s="223">
        <v>0.33975</v>
      </c>
      <c r="B4605" s="458">
        <v>4.7100000000000001E-4</v>
      </c>
      <c r="C4605" t="str">
        <f t="shared" si="72"/>
        <v/>
      </c>
    </row>
    <row r="4606" spans="1:3" x14ac:dyDescent="0.25">
      <c r="A4606" s="223">
        <v>0.65119000000000005</v>
      </c>
      <c r="B4606" s="458">
        <v>2.2780000000000001E-3</v>
      </c>
      <c r="C4606" t="str">
        <f t="shared" si="72"/>
        <v/>
      </c>
    </row>
    <row r="4607" spans="1:3" x14ac:dyDescent="0.25">
      <c r="A4607" s="223">
        <v>0.59457000000000004</v>
      </c>
      <c r="B4607" s="458">
        <v>5.7799999999999995E-4</v>
      </c>
      <c r="C4607" t="str">
        <f t="shared" si="72"/>
        <v/>
      </c>
    </row>
    <row r="4608" spans="1:3" x14ac:dyDescent="0.25">
      <c r="A4608" s="223">
        <v>1.58551</v>
      </c>
      <c r="B4608" s="458">
        <v>7.2740000000000001E-3</v>
      </c>
      <c r="C4608" t="str">
        <f t="shared" si="72"/>
        <v/>
      </c>
    </row>
    <row r="4609" spans="1:3" x14ac:dyDescent="0.25">
      <c r="A4609" s="223">
        <v>2.3216399999999999</v>
      </c>
      <c r="B4609" s="458">
        <v>7.7879999999999998E-3</v>
      </c>
      <c r="C4609" t="str">
        <f t="shared" si="72"/>
        <v/>
      </c>
    </row>
    <row r="4610" spans="1:3" x14ac:dyDescent="0.25">
      <c r="A4610" s="223">
        <v>1.3873200000000001</v>
      </c>
      <c r="B4610" s="458">
        <v>1.176E-3</v>
      </c>
      <c r="C4610" t="str">
        <f t="shared" si="72"/>
        <v/>
      </c>
    </row>
    <row r="4611" spans="1:3" x14ac:dyDescent="0.25">
      <c r="A4611" s="223">
        <v>1.3873200000000001</v>
      </c>
      <c r="B4611" s="458">
        <v>6.6649999999999999E-3</v>
      </c>
      <c r="C4611" t="str">
        <f t="shared" si="72"/>
        <v/>
      </c>
    </row>
    <row r="4612" spans="1:3" x14ac:dyDescent="0.25">
      <c r="A4612" s="223">
        <v>2.03851</v>
      </c>
      <c r="B4612" s="458">
        <v>5.1850000000000004E-3</v>
      </c>
      <c r="C4612" t="str">
        <f t="shared" si="72"/>
        <v/>
      </c>
    </row>
    <row r="4613" spans="1:3" x14ac:dyDescent="0.25">
      <c r="A4613" s="223">
        <v>2.2366999999999999</v>
      </c>
      <c r="B4613" s="458">
        <v>1.9419999999999999E-3</v>
      </c>
      <c r="C4613" t="str">
        <f t="shared" si="72"/>
        <v/>
      </c>
    </row>
    <row r="4614" spans="1:3" x14ac:dyDescent="0.25">
      <c r="A4614" s="223">
        <v>2.0668299999999999</v>
      </c>
      <c r="B4614" s="458">
        <v>9.4149999999999998E-3</v>
      </c>
      <c r="C4614" t="str">
        <f t="shared" si="72"/>
        <v/>
      </c>
    </row>
    <row r="4615" spans="1:3" x14ac:dyDescent="0.25">
      <c r="A4615" s="223">
        <v>3.0294599999999998</v>
      </c>
      <c r="B4615" s="458">
        <v>7.7039999999999999E-3</v>
      </c>
      <c r="C4615" t="str">
        <f t="shared" si="72"/>
        <v/>
      </c>
    </row>
    <row r="4616" spans="1:3" x14ac:dyDescent="0.25">
      <c r="A4616" s="223">
        <v>2.6897099999999998</v>
      </c>
      <c r="B4616" s="458">
        <v>5.9090000000000002E-3</v>
      </c>
      <c r="C4616" t="str">
        <f t="shared" si="72"/>
        <v/>
      </c>
    </row>
    <row r="4617" spans="1:3" x14ac:dyDescent="0.25">
      <c r="A4617" s="223">
        <v>2.57646</v>
      </c>
      <c r="B4617" s="458">
        <v>9.1839999999999995E-3</v>
      </c>
      <c r="C4617" t="str">
        <f t="shared" si="72"/>
        <v/>
      </c>
    </row>
    <row r="4618" spans="1:3" x14ac:dyDescent="0.25">
      <c r="A4618" s="223">
        <v>2.6613899999999999</v>
      </c>
      <c r="B4618" s="458">
        <v>2.7390000000000001E-3</v>
      </c>
      <c r="C4618" t="str">
        <f t="shared" si="72"/>
        <v/>
      </c>
    </row>
    <row r="4619" spans="1:3" x14ac:dyDescent="0.25">
      <c r="A4619" s="223">
        <v>3.76559</v>
      </c>
      <c r="B4619" s="458">
        <v>1.7843000000000001E-2</v>
      </c>
      <c r="C4619" t="str">
        <f t="shared" si="72"/>
        <v/>
      </c>
    </row>
    <row r="4620" spans="1:3" x14ac:dyDescent="0.25">
      <c r="A4620" s="223">
        <v>3.5674000000000001</v>
      </c>
      <c r="B4620" s="458">
        <v>1.1440000000000001E-2</v>
      </c>
      <c r="C4620" t="str">
        <f t="shared" si="72"/>
        <v/>
      </c>
    </row>
    <row r="4621" spans="1:3" x14ac:dyDescent="0.25">
      <c r="A4621" s="223">
        <v>0.59457000000000004</v>
      </c>
      <c r="B4621" s="458">
        <v>2.7390000000000001E-3</v>
      </c>
      <c r="C4621" t="str">
        <f t="shared" si="72"/>
        <v/>
      </c>
    </row>
    <row r="4622" spans="1:3" x14ac:dyDescent="0.25">
      <c r="A4622" s="223">
        <v>0.96262999999999999</v>
      </c>
      <c r="B4622" s="458">
        <v>7.6410000000000002E-3</v>
      </c>
      <c r="C4622" t="str">
        <f t="shared" si="72"/>
        <v/>
      </c>
    </row>
    <row r="4623" spans="1:3" x14ac:dyDescent="0.25">
      <c r="A4623" s="223">
        <v>1.67045</v>
      </c>
      <c r="B4623" s="458">
        <v>1.7947999999999999E-2</v>
      </c>
      <c r="C4623" t="str">
        <f t="shared" si="72"/>
        <v/>
      </c>
    </row>
    <row r="4624" spans="1:3" x14ac:dyDescent="0.25">
      <c r="A4624" s="223">
        <v>1.69876</v>
      </c>
      <c r="B4624" s="458">
        <v>1.6268000000000001E-2</v>
      </c>
      <c r="C4624" t="str">
        <f t="shared" si="72"/>
        <v/>
      </c>
    </row>
    <row r="4625" spans="1:3" x14ac:dyDescent="0.25">
      <c r="A4625" s="223">
        <v>1.6421399999999999</v>
      </c>
      <c r="B4625" s="458">
        <v>6.182E-2</v>
      </c>
      <c r="C4625" t="str">
        <f t="shared" si="72"/>
        <v/>
      </c>
    </row>
    <row r="4626" spans="1:3" x14ac:dyDescent="0.25">
      <c r="A4626" s="223">
        <v>1.7270700000000001</v>
      </c>
      <c r="B4626" s="458">
        <v>3.516E-3</v>
      </c>
      <c r="C4626" t="str">
        <f t="shared" si="72"/>
        <v/>
      </c>
    </row>
    <row r="4627" spans="1:3" x14ac:dyDescent="0.25">
      <c r="A4627" s="223">
        <v>2.3216399999999999</v>
      </c>
      <c r="B4627" s="458">
        <v>2.5295000000000002E-2</v>
      </c>
      <c r="C4627" t="str">
        <f t="shared" si="72"/>
        <v/>
      </c>
    </row>
    <row r="4628" spans="1:3" x14ac:dyDescent="0.25">
      <c r="A4628" s="223">
        <v>3.1993399999999999</v>
      </c>
      <c r="B4628" s="458">
        <v>3.9044000000000002E-2</v>
      </c>
      <c r="C4628" t="str">
        <f t="shared" si="72"/>
        <v/>
      </c>
    </row>
    <row r="4629" spans="1:3" x14ac:dyDescent="0.25">
      <c r="A4629" s="223">
        <v>2.2933300000000001</v>
      </c>
      <c r="B4629" s="458">
        <v>8.5649999999999997E-3</v>
      </c>
      <c r="C4629" t="str">
        <f t="shared" si="72"/>
        <v/>
      </c>
    </row>
    <row r="4630" spans="1:3" x14ac:dyDescent="0.25">
      <c r="A4630" s="223">
        <v>1.7837000000000001</v>
      </c>
      <c r="B4630" s="458">
        <v>2.823E-3</v>
      </c>
      <c r="C4630" t="str">
        <f t="shared" si="72"/>
        <v/>
      </c>
    </row>
    <row r="4631" spans="1:3" x14ac:dyDescent="0.25">
      <c r="A4631" s="223">
        <v>1.7270700000000001</v>
      </c>
      <c r="B4631" s="458">
        <v>2.6970000000000002E-3</v>
      </c>
      <c r="C4631" t="str">
        <f t="shared" si="72"/>
        <v/>
      </c>
    </row>
    <row r="4632" spans="1:3" x14ac:dyDescent="0.25">
      <c r="A4632" s="223">
        <v>2.1800799999999998</v>
      </c>
      <c r="B4632" s="458">
        <v>2.0569999999999998E-3</v>
      </c>
      <c r="C4632" t="str">
        <f t="shared" si="72"/>
        <v/>
      </c>
    </row>
    <row r="4633" spans="1:3" x14ac:dyDescent="0.25">
      <c r="A4633" s="223">
        <v>2.6330800000000001</v>
      </c>
      <c r="B4633" s="458">
        <v>4.849E-3</v>
      </c>
      <c r="C4633" t="str">
        <f t="shared" si="72"/>
        <v/>
      </c>
    </row>
    <row r="4634" spans="1:3" x14ac:dyDescent="0.25">
      <c r="A4634" s="223">
        <v>2.1800799999999998</v>
      </c>
      <c r="B4634" s="458">
        <v>1.024E-3</v>
      </c>
      <c r="C4634" t="str">
        <f t="shared" si="72"/>
        <v/>
      </c>
    </row>
    <row r="4635" spans="1:3" x14ac:dyDescent="0.25">
      <c r="A4635" s="223">
        <v>1.7837000000000001</v>
      </c>
      <c r="B4635" s="458">
        <v>1.6069999999999999E-3</v>
      </c>
      <c r="C4635" t="str">
        <f t="shared" si="72"/>
        <v/>
      </c>
    </row>
    <row r="4636" spans="1:3" x14ac:dyDescent="0.25">
      <c r="A4636" s="223">
        <v>1.3873200000000001</v>
      </c>
      <c r="B4636" s="458">
        <v>3.8000000000000002E-4</v>
      </c>
      <c r="C4636" t="str">
        <f t="shared" si="72"/>
        <v/>
      </c>
    </row>
    <row r="4637" spans="1:3" x14ac:dyDescent="0.25">
      <c r="A4637" s="223">
        <v>0.84938000000000002</v>
      </c>
      <c r="B4637" s="458">
        <v>1.732E-3</v>
      </c>
      <c r="C4637" t="str">
        <f t="shared" si="72"/>
        <v/>
      </c>
    </row>
    <row r="4638" spans="1:3" x14ac:dyDescent="0.25">
      <c r="A4638" s="223">
        <v>0.93432000000000004</v>
      </c>
      <c r="B4638" s="458">
        <v>3.705E-3</v>
      </c>
      <c r="C4638" t="str">
        <f t="shared" si="72"/>
        <v/>
      </c>
    </row>
    <row r="4639" spans="1:3" x14ac:dyDescent="0.25">
      <c r="A4639" s="223">
        <v>0.93432000000000004</v>
      </c>
      <c r="B4639" s="458">
        <v>1.0160000000000001E-2</v>
      </c>
      <c r="C4639" t="str">
        <f t="shared" si="72"/>
        <v/>
      </c>
    </row>
    <row r="4640" spans="1:3" x14ac:dyDescent="0.25">
      <c r="A4640" s="223">
        <v>1.1325099999999999</v>
      </c>
      <c r="B4640" s="458">
        <v>3.7889999999999998E-3</v>
      </c>
      <c r="C4640" t="str">
        <f t="shared" si="72"/>
        <v/>
      </c>
    </row>
    <row r="4641" spans="1:3" x14ac:dyDescent="0.25">
      <c r="A4641" s="223">
        <v>1.8969499999999999</v>
      </c>
      <c r="B4641" s="458">
        <v>2.036E-3</v>
      </c>
      <c r="C4641" t="str">
        <f t="shared" si="72"/>
        <v/>
      </c>
    </row>
    <row r="4642" spans="1:3" x14ac:dyDescent="0.25">
      <c r="A4642" s="223">
        <v>3.2276500000000001</v>
      </c>
      <c r="B4642" s="458">
        <v>1.9732E-2</v>
      </c>
      <c r="C4642" t="str">
        <f t="shared" si="72"/>
        <v/>
      </c>
    </row>
    <row r="4643" spans="1:3" x14ac:dyDescent="0.25">
      <c r="A4643" s="223">
        <v>6.8516700000000004</v>
      </c>
      <c r="B4643" s="458">
        <v>3.8623999999999999E-2</v>
      </c>
      <c r="C4643" t="str">
        <f t="shared" si="72"/>
        <v/>
      </c>
    </row>
    <row r="4644" spans="1:3" x14ac:dyDescent="0.25">
      <c r="A4644" s="223">
        <v>3.7089599999999998</v>
      </c>
      <c r="B4644" s="458">
        <v>4.0720000000000001E-3</v>
      </c>
      <c r="C4644" t="str">
        <f t="shared" si="72"/>
        <v/>
      </c>
    </row>
    <row r="4645" spans="1:3" x14ac:dyDescent="0.25">
      <c r="A4645" s="223">
        <v>3.1710199999999999</v>
      </c>
      <c r="B4645" s="458">
        <v>3.8834E-2</v>
      </c>
      <c r="C4645" t="str">
        <f t="shared" si="72"/>
        <v/>
      </c>
    </row>
    <row r="4646" spans="1:3" x14ac:dyDescent="0.25">
      <c r="A4646" s="223">
        <v>3.59571</v>
      </c>
      <c r="B4646" s="458">
        <v>1.2784E-2</v>
      </c>
      <c r="C4646" t="str">
        <f t="shared" si="72"/>
        <v/>
      </c>
    </row>
    <row r="4647" spans="1:3" x14ac:dyDescent="0.25">
      <c r="A4647" s="223">
        <v>0.42469000000000001</v>
      </c>
      <c r="B4647" s="458">
        <v>2.6699999999999998E-4</v>
      </c>
      <c r="C4647" t="str">
        <f t="shared" si="72"/>
        <v/>
      </c>
    </row>
    <row r="4648" spans="1:3" x14ac:dyDescent="0.25">
      <c r="A4648" s="223">
        <v>0.39638000000000001</v>
      </c>
      <c r="B4648" s="458">
        <v>4.6400000000000003E-5</v>
      </c>
      <c r="C4648" t="str">
        <f t="shared" si="72"/>
        <v/>
      </c>
    </row>
    <row r="4649" spans="1:3" x14ac:dyDescent="0.25">
      <c r="A4649" s="223">
        <v>0.45300000000000001</v>
      </c>
      <c r="B4649" s="458">
        <v>7.5699999999999997E-5</v>
      </c>
      <c r="C4649" t="str">
        <f t="shared" si="72"/>
        <v/>
      </c>
    </row>
    <row r="4650" spans="1:3" x14ac:dyDescent="0.25">
      <c r="A4650" s="223">
        <v>0.93432000000000004</v>
      </c>
      <c r="B4650" s="458">
        <v>1.83E-4</v>
      </c>
      <c r="C4650" t="str">
        <f t="shared" si="72"/>
        <v/>
      </c>
    </row>
    <row r="4651" spans="1:3" x14ac:dyDescent="0.25">
      <c r="A4651" s="223">
        <v>1.18913</v>
      </c>
      <c r="B4651" s="458">
        <v>8.03E-4</v>
      </c>
      <c r="C4651" t="str">
        <f t="shared" si="72"/>
        <v/>
      </c>
    </row>
    <row r="4652" spans="1:3" x14ac:dyDescent="0.25">
      <c r="A4652" s="223">
        <v>2.2366999999999999</v>
      </c>
      <c r="B4652" s="458">
        <v>2.1619999999999999E-3</v>
      </c>
      <c r="C4652" t="str">
        <f t="shared" si="72"/>
        <v/>
      </c>
    </row>
    <row r="4653" spans="1:3" x14ac:dyDescent="0.25">
      <c r="A4653" s="223">
        <v>0.82106999999999997</v>
      </c>
      <c r="B4653" s="458">
        <v>2.6899999999999998E-4</v>
      </c>
      <c r="C4653" t="str">
        <f t="shared" si="72"/>
        <v/>
      </c>
    </row>
    <row r="4654" spans="1:3" x14ac:dyDescent="0.25">
      <c r="A4654" s="223">
        <v>1.0475699999999999</v>
      </c>
      <c r="B4654" s="458">
        <v>2.7700000000000001E-4</v>
      </c>
      <c r="C4654" t="str">
        <f t="shared" si="72"/>
        <v/>
      </c>
    </row>
    <row r="4655" spans="1:3" x14ac:dyDescent="0.25">
      <c r="A4655" s="223">
        <v>1.16082</v>
      </c>
      <c r="B4655" s="458">
        <v>1.6000000000000001E-4</v>
      </c>
      <c r="C4655" t="str">
        <f t="shared" si="72"/>
        <v/>
      </c>
    </row>
    <row r="4656" spans="1:3" x14ac:dyDescent="0.25">
      <c r="A4656" s="223">
        <v>3.59571</v>
      </c>
      <c r="B4656" s="458">
        <v>5.7730000000000004E-3</v>
      </c>
      <c r="C4656" t="str">
        <f t="shared" si="72"/>
        <v/>
      </c>
    </row>
    <row r="4657" spans="1:3" x14ac:dyDescent="0.25">
      <c r="A4657" s="223">
        <v>4.27522</v>
      </c>
      <c r="B4657" s="458">
        <v>4.4489999999999998E-3</v>
      </c>
      <c r="C4657" t="str">
        <f t="shared" si="72"/>
        <v/>
      </c>
    </row>
    <row r="4658" spans="1:3" x14ac:dyDescent="0.25">
      <c r="A4658" s="223">
        <v>3.7938999999999998</v>
      </c>
      <c r="B4658" s="458">
        <v>4.7650000000000001E-3</v>
      </c>
      <c r="C4658" t="str">
        <f t="shared" si="72"/>
        <v/>
      </c>
    </row>
    <row r="4659" spans="1:3" x14ac:dyDescent="0.25">
      <c r="A4659" s="223">
        <v>2.2366999999999999</v>
      </c>
      <c r="B4659" s="458">
        <v>8.5540000000000008E-3</v>
      </c>
      <c r="C4659" t="str">
        <f t="shared" si="72"/>
        <v/>
      </c>
    </row>
    <row r="4660" spans="1:3" x14ac:dyDescent="0.25">
      <c r="A4660" s="223">
        <v>2.2366999999999999</v>
      </c>
      <c r="B4660" s="458">
        <v>7.8510000000000003E-3</v>
      </c>
      <c r="C4660" t="str">
        <f t="shared" si="72"/>
        <v/>
      </c>
    </row>
    <row r="4661" spans="1:3" x14ac:dyDescent="0.25">
      <c r="A4661" s="223">
        <v>1.8969499999999999</v>
      </c>
      <c r="B4661" s="458">
        <v>5.594E-3</v>
      </c>
      <c r="C4661" t="str">
        <f t="shared" si="72"/>
        <v/>
      </c>
    </row>
    <row r="4662" spans="1:3" x14ac:dyDescent="0.25">
      <c r="A4662" s="223">
        <v>1.8969499999999999</v>
      </c>
      <c r="B4662" s="458">
        <v>2.183E-3</v>
      </c>
      <c r="C4662" t="str">
        <f t="shared" si="72"/>
        <v/>
      </c>
    </row>
    <row r="4663" spans="1:3" x14ac:dyDescent="0.25">
      <c r="A4663" s="223">
        <v>1.75539</v>
      </c>
      <c r="B4663" s="458">
        <v>7.0399999999999998E-4</v>
      </c>
      <c r="C4663" t="str">
        <f t="shared" si="72"/>
        <v/>
      </c>
    </row>
    <row r="4664" spans="1:3" x14ac:dyDescent="0.25">
      <c r="A4664" s="223">
        <v>1.4722599999999999</v>
      </c>
      <c r="B4664" s="458">
        <v>3.5100000000000002E-4</v>
      </c>
      <c r="C4664" t="str">
        <f t="shared" si="72"/>
        <v/>
      </c>
    </row>
    <row r="4665" spans="1:3" x14ac:dyDescent="0.25">
      <c r="A4665" s="223">
        <v>1.58551</v>
      </c>
      <c r="B4665" s="458">
        <v>2.9300000000000002E-4</v>
      </c>
      <c r="C4665" t="str">
        <f t="shared" ref="C4665:C4728" si="73">IF(B4665=0,"XXXXXXXX","")</f>
        <v/>
      </c>
    </row>
    <row r="4666" spans="1:3" x14ac:dyDescent="0.25">
      <c r="A4666" s="223">
        <v>1.8120099999999999</v>
      </c>
      <c r="B4666" s="458">
        <v>4.1980000000000003E-3</v>
      </c>
      <c r="C4666" t="str">
        <f t="shared" si="73"/>
        <v/>
      </c>
    </row>
    <row r="4667" spans="1:3" x14ac:dyDescent="0.25">
      <c r="A4667" s="223">
        <v>1.8120099999999999</v>
      </c>
      <c r="B4667" s="458">
        <v>8.2299999999999995E-4</v>
      </c>
      <c r="C4667" t="str">
        <f t="shared" si="73"/>
        <v/>
      </c>
    </row>
    <row r="4668" spans="1:3" x14ac:dyDescent="0.25">
      <c r="A4668" s="223">
        <v>2.0668299999999999</v>
      </c>
      <c r="B4668" s="458">
        <v>8.4800000000000001E-4</v>
      </c>
      <c r="C4668" t="str">
        <f t="shared" si="73"/>
        <v/>
      </c>
    </row>
    <row r="4669" spans="1:3" x14ac:dyDescent="0.25">
      <c r="A4669" s="223">
        <v>1.16082</v>
      </c>
      <c r="B4669" s="458">
        <v>4.17E-4</v>
      </c>
      <c r="C4669" t="str">
        <f t="shared" si="73"/>
        <v/>
      </c>
    </row>
    <row r="4670" spans="1:3" x14ac:dyDescent="0.25">
      <c r="A4670" s="223">
        <v>1.1325099999999999</v>
      </c>
      <c r="B4670" s="458">
        <v>2.2360000000000001E-3</v>
      </c>
      <c r="C4670" t="str">
        <f t="shared" si="73"/>
        <v/>
      </c>
    </row>
    <row r="4671" spans="1:3" x14ac:dyDescent="0.25">
      <c r="A4671" s="220">
        <f>101.25*0.028317</f>
        <v>2.8670962499999999</v>
      </c>
      <c r="B4671" s="458">
        <v>5.0611414925246345E-2</v>
      </c>
      <c r="C4671" t="str">
        <f t="shared" si="73"/>
        <v/>
      </c>
    </row>
    <row r="4672" spans="1:3" x14ac:dyDescent="0.25">
      <c r="A4672" s="220">
        <f>103.09*0.028317</f>
        <v>2.9191995299999998</v>
      </c>
      <c r="B4672" s="458">
        <v>1.2311262982784007E-2</v>
      </c>
      <c r="C4672" t="str">
        <f t="shared" si="73"/>
        <v/>
      </c>
    </row>
    <row r="4673" spans="1:3" x14ac:dyDescent="0.25">
      <c r="A4673" s="220">
        <f>62.39*0.028317</f>
        <v>1.7666976299999999</v>
      </c>
      <c r="B4673" s="458">
        <v>1.0864282822516707E-2</v>
      </c>
      <c r="C4673" t="str">
        <f t="shared" si="73"/>
        <v/>
      </c>
    </row>
    <row r="4674" spans="1:3" x14ac:dyDescent="0.25">
      <c r="A4674" s="220">
        <f>46.32*0.028317</f>
        <v>1.3116434399999999</v>
      </c>
      <c r="B4674" s="458">
        <v>6.4559764223015058E-3</v>
      </c>
      <c r="C4674" t="str">
        <f t="shared" si="73"/>
        <v/>
      </c>
    </row>
    <row r="4675" spans="1:3" x14ac:dyDescent="0.25">
      <c r="A4675" s="220">
        <f>67.44*0.028317</f>
        <v>1.9096984799999999</v>
      </c>
      <c r="B4675" s="458">
        <v>1.0954603906822211E-2</v>
      </c>
      <c r="C4675" t="str">
        <f t="shared" si="73"/>
        <v/>
      </c>
    </row>
    <row r="4676" spans="1:3" x14ac:dyDescent="0.25">
      <c r="A4676" s="220">
        <f>57.18*0.028317</f>
        <v>1.61916606</v>
      </c>
      <c r="B4676" s="458">
        <v>9.8553682521048021E-3</v>
      </c>
      <c r="C4676" t="str">
        <f t="shared" si="73"/>
        <v/>
      </c>
    </row>
    <row r="4677" spans="1:3" x14ac:dyDescent="0.25">
      <c r="A4677" s="220">
        <f>53.89*0.028317</f>
        <v>1.5260031299999999</v>
      </c>
      <c r="B4677" s="458">
        <v>8.4876892973911738E-3</v>
      </c>
      <c r="C4677" t="str">
        <f t="shared" si="73"/>
        <v/>
      </c>
    </row>
    <row r="4678" spans="1:3" x14ac:dyDescent="0.25">
      <c r="A4678" s="220">
        <f>51.11*0.028317</f>
        <v>1.4472818699999999</v>
      </c>
      <c r="B4678" s="458">
        <v>9.3086781954902394E-3</v>
      </c>
      <c r="C4678" t="str">
        <f t="shared" si="73"/>
        <v/>
      </c>
    </row>
    <row r="4679" spans="1:3" x14ac:dyDescent="0.25">
      <c r="A4679" s="220">
        <f>52.76*0.028317</f>
        <v>1.4940049199999998</v>
      </c>
      <c r="B4679" s="458">
        <v>2.6690040366972481E-3</v>
      </c>
      <c r="C4679" t="str">
        <f t="shared" si="73"/>
        <v/>
      </c>
    </row>
    <row r="4680" spans="1:3" x14ac:dyDescent="0.25">
      <c r="A4680" s="220">
        <f>50.63*0.028317</f>
        <v>1.4336897099999999</v>
      </c>
      <c r="B4680" s="458">
        <v>3.3624276328009964E-3</v>
      </c>
      <c r="C4680" t="str">
        <f t="shared" si="73"/>
        <v/>
      </c>
    </row>
    <row r="4681" spans="1:3" x14ac:dyDescent="0.25">
      <c r="A4681" s="220">
        <f>48.27*0.028317</f>
        <v>1.3668615900000001</v>
      </c>
      <c r="B4681" s="458">
        <v>8.7975581974176001E-3</v>
      </c>
      <c r="C4681" t="str">
        <f t="shared" si="73"/>
        <v/>
      </c>
    </row>
    <row r="4682" spans="1:3" x14ac:dyDescent="0.25">
      <c r="A4682" s="220">
        <f>24.92*0.028317</f>
        <v>0.70565964000000003</v>
      </c>
      <c r="B4682" s="458">
        <v>3.0042770746403899E-4</v>
      </c>
      <c r="C4682" t="str">
        <f t="shared" si="73"/>
        <v/>
      </c>
    </row>
    <row r="4683" spans="1:3" x14ac:dyDescent="0.25">
      <c r="A4683" s="220">
        <f>0.028317*80.45</f>
        <v>2.2781026500000001</v>
      </c>
      <c r="B4683" s="458">
        <v>1.5390544517016736E-2</v>
      </c>
      <c r="C4683" t="str">
        <f t="shared" si="73"/>
        <v/>
      </c>
    </row>
    <row r="4684" spans="1:3" x14ac:dyDescent="0.25">
      <c r="A4684" s="220">
        <f>0.028317*191.51</f>
        <v>5.4229886699999996</v>
      </c>
      <c r="B4684" s="458">
        <v>4.6986266704892969E-3</v>
      </c>
      <c r="C4684" t="str">
        <f t="shared" si="73"/>
        <v/>
      </c>
    </row>
    <row r="4685" spans="1:3" x14ac:dyDescent="0.25">
      <c r="A4685" s="220">
        <f>0.028317*191.36</f>
        <v>5.41874112</v>
      </c>
      <c r="B4685" s="458">
        <v>8.5897438916543948E-3</v>
      </c>
      <c r="C4685" t="str">
        <f t="shared" si="73"/>
        <v/>
      </c>
    </row>
    <row r="4686" spans="1:3" x14ac:dyDescent="0.25">
      <c r="A4686" s="220">
        <f>0.028317*166.13</f>
        <v>4.70430321</v>
      </c>
      <c r="B4686" s="458">
        <v>4.1986968362706231E-3</v>
      </c>
      <c r="C4686" t="str">
        <f t="shared" si="73"/>
        <v/>
      </c>
    </row>
    <row r="4687" spans="1:3" x14ac:dyDescent="0.25">
      <c r="A4687" s="220">
        <f>0.028317*160.27</f>
        <v>4.5383655899999997</v>
      </c>
      <c r="B4687" s="458">
        <v>1.2019707895590285E-2</v>
      </c>
      <c r="C4687" t="str">
        <f t="shared" si="73"/>
        <v/>
      </c>
    </row>
    <row r="4688" spans="1:3" x14ac:dyDescent="0.25">
      <c r="A4688" s="220">
        <f>0.028317*76.9</f>
        <v>2.1775772999999998</v>
      </c>
      <c r="B4688" s="458">
        <v>7.6330571783299345E-3</v>
      </c>
      <c r="C4688" t="str">
        <f t="shared" si="73"/>
        <v/>
      </c>
    </row>
    <row r="4689" spans="1:3" x14ac:dyDescent="0.25">
      <c r="A4689" s="220">
        <f>0.028317*78.83</f>
        <v>2.23222911</v>
      </c>
      <c r="B4689" s="458">
        <v>3.9385084648318043E-4</v>
      </c>
      <c r="C4689" t="str">
        <f t="shared" si="73"/>
        <v/>
      </c>
    </row>
    <row r="4690" spans="1:3" x14ac:dyDescent="0.25">
      <c r="A4690" s="220">
        <f>0.028317*58.33</f>
        <v>1.6517306099999998</v>
      </c>
      <c r="B4690" s="458">
        <v>1.0611994280212934E-4</v>
      </c>
      <c r="C4690" t="str">
        <f t="shared" si="73"/>
        <v/>
      </c>
    </row>
    <row r="4691" spans="1:3" x14ac:dyDescent="0.25">
      <c r="A4691" s="220">
        <f>0.028317*57.41</f>
        <v>1.6256789699999998</v>
      </c>
      <c r="B4691" s="458">
        <v>7.8421538042247136E-5</v>
      </c>
      <c r="C4691" t="str">
        <f t="shared" si="73"/>
        <v/>
      </c>
    </row>
    <row r="4692" spans="1:3" x14ac:dyDescent="0.25">
      <c r="A4692" s="220">
        <f>0.028317*300.15</f>
        <v>8.4993475499999995</v>
      </c>
      <c r="B4692" s="458">
        <v>6.1690376942462335E-2</v>
      </c>
      <c r="C4692" t="str">
        <f t="shared" si="73"/>
        <v/>
      </c>
    </row>
    <row r="4693" spans="1:3" x14ac:dyDescent="0.25">
      <c r="A4693" s="220">
        <f>0.028317*59.89</f>
        <v>1.6959051299999999</v>
      </c>
      <c r="B4693" s="458">
        <v>5.1360652712651488E-3</v>
      </c>
      <c r="C4693" t="str">
        <f t="shared" si="73"/>
        <v/>
      </c>
    </row>
    <row r="4694" spans="1:3" x14ac:dyDescent="0.25">
      <c r="A4694" s="220">
        <f>0.028317*111.9</f>
        <v>3.1686722999999999</v>
      </c>
      <c r="B4694" s="458">
        <v>1.6540168529467283E-2</v>
      </c>
      <c r="C4694" t="str">
        <f t="shared" si="73"/>
        <v/>
      </c>
    </row>
    <row r="4695" spans="1:3" x14ac:dyDescent="0.25">
      <c r="A4695" s="220">
        <f>0.028317*103.03</f>
        <v>2.91750051</v>
      </c>
      <c r="B4695" s="458">
        <v>1.9286472338600071E-2</v>
      </c>
      <c r="C4695" t="str">
        <f t="shared" si="73"/>
        <v/>
      </c>
    </row>
    <row r="4696" spans="1:3" x14ac:dyDescent="0.25">
      <c r="A4696" s="220">
        <f>0.028317*145.13</f>
        <v>4.1096462099999993</v>
      </c>
      <c r="B4696" s="458">
        <v>3.3450618847736618E-2</v>
      </c>
      <c r="C4696" t="str">
        <f t="shared" si="73"/>
        <v/>
      </c>
    </row>
    <row r="4697" spans="1:3" x14ac:dyDescent="0.25">
      <c r="A4697" s="220">
        <f>0.028317*149.85</f>
        <v>4.2433024499999998</v>
      </c>
      <c r="B4697" s="458">
        <v>2.9128907920394912E-2</v>
      </c>
      <c r="C4697" t="str">
        <f t="shared" si="73"/>
        <v/>
      </c>
    </row>
    <row r="4698" spans="1:3" x14ac:dyDescent="0.25">
      <c r="A4698" s="220">
        <f>0.028317*132.98</f>
        <v>3.7655946599999996</v>
      </c>
      <c r="B4698" s="458">
        <v>1.8514387688960621E-2</v>
      </c>
      <c r="C4698" t="str">
        <f t="shared" si="73"/>
        <v/>
      </c>
    </row>
    <row r="4699" spans="1:3" x14ac:dyDescent="0.25">
      <c r="A4699" s="220">
        <f>0.028317*90.58</f>
        <v>2.5649538599999997</v>
      </c>
      <c r="B4699" s="458">
        <v>5.858690596330274E-3</v>
      </c>
      <c r="C4699" t="str">
        <f t="shared" si="73"/>
        <v/>
      </c>
    </row>
    <row r="4700" spans="1:3" x14ac:dyDescent="0.25">
      <c r="A4700" s="220">
        <f>0.028317*85.67</f>
        <v>2.42591739</v>
      </c>
      <c r="B4700" s="458">
        <v>1.0475379641333481E-2</v>
      </c>
      <c r="C4700" t="str">
        <f t="shared" si="73"/>
        <v/>
      </c>
    </row>
    <row r="4701" spans="1:3" x14ac:dyDescent="0.25">
      <c r="A4701" s="220">
        <f>0.028317*140.89</f>
        <v>3.9895821299999992</v>
      </c>
      <c r="B4701" s="458">
        <v>7.6816909200739976E-3</v>
      </c>
      <c r="C4701" t="str">
        <f t="shared" si="73"/>
        <v/>
      </c>
    </row>
    <row r="4702" spans="1:3" x14ac:dyDescent="0.25">
      <c r="A4702" s="220">
        <f>0.028317*123.39</f>
        <v>3.4940346299999998</v>
      </c>
      <c r="B4702" s="458">
        <v>4.9774340349888625E-2</v>
      </c>
      <c r="C4702" t="str">
        <f t="shared" si="73"/>
        <v/>
      </c>
    </row>
    <row r="4703" spans="1:3" x14ac:dyDescent="0.25">
      <c r="A4703" s="220">
        <f>0.028317*66.43</f>
        <v>1.8810983100000001</v>
      </c>
      <c r="B4703" s="458">
        <v>2.4614361611356517E-3</v>
      </c>
      <c r="C4703" t="str">
        <f t="shared" si="73"/>
        <v/>
      </c>
    </row>
    <row r="4704" spans="1:3" x14ac:dyDescent="0.25">
      <c r="A4704" s="220">
        <f>0.028317*55.38</f>
        <v>1.5681954599999999</v>
      </c>
      <c r="B4704" s="458">
        <v>4.6113558888888877E-4</v>
      </c>
      <c r="C4704" t="str">
        <f t="shared" si="73"/>
        <v/>
      </c>
    </row>
    <row r="4705" spans="1:3" x14ac:dyDescent="0.25">
      <c r="A4705" s="220">
        <f>0.028317*106.28</f>
        <v>3.0095307600000001</v>
      </c>
      <c r="B4705" s="458">
        <v>2.297621196118507E-3</v>
      </c>
      <c r="C4705" t="str">
        <f t="shared" si="73"/>
        <v/>
      </c>
    </row>
    <row r="4706" spans="1:3" x14ac:dyDescent="0.25">
      <c r="A4706" s="220">
        <f>0.028317*129.98</f>
        <v>3.6806436599999994</v>
      </c>
      <c r="B4706" s="458">
        <v>9.1526327783269315E-3</v>
      </c>
      <c r="C4706" t="str">
        <f t="shared" si="73"/>
        <v/>
      </c>
    </row>
    <row r="4707" spans="1:3" x14ac:dyDescent="0.25">
      <c r="A4707" s="220">
        <f>0.028317*200.32</f>
        <v>5.6724614399999993</v>
      </c>
      <c r="B4707" s="458">
        <v>2.2911643885679768E-2</v>
      </c>
      <c r="C4707" t="str">
        <f t="shared" si="73"/>
        <v/>
      </c>
    </row>
    <row r="4708" spans="1:3" x14ac:dyDescent="0.25">
      <c r="A4708" s="220">
        <f>0.028317*183.15</f>
        <v>5.1862585499999998</v>
      </c>
      <c r="B4708" s="458">
        <v>1.0398471424661156E-2</v>
      </c>
      <c r="C4708" t="str">
        <f t="shared" si="73"/>
        <v/>
      </c>
    </row>
    <row r="4709" spans="1:3" x14ac:dyDescent="0.25">
      <c r="A4709" s="220">
        <f>0.028317*194.77</f>
        <v>5.5153020899999996</v>
      </c>
      <c r="B4709" s="458">
        <v>1.9831259184276247E-2</v>
      </c>
      <c r="C4709" t="str">
        <f t="shared" si="73"/>
        <v/>
      </c>
    </row>
    <row r="4710" spans="1:3" x14ac:dyDescent="0.25">
      <c r="A4710" s="220">
        <f>0.028317*321.42</f>
        <v>9.1016501400000003</v>
      </c>
      <c r="B4710" s="458">
        <v>3.3417498228753728E-2</v>
      </c>
      <c r="C4710" t="str">
        <f t="shared" si="73"/>
        <v/>
      </c>
    </row>
    <row r="4711" spans="1:3" x14ac:dyDescent="0.25">
      <c r="A4711" s="220">
        <f>0.028317*257.92</f>
        <v>7.3035206400000003</v>
      </c>
      <c r="B4711" s="458">
        <v>1.8067924077743804E-2</v>
      </c>
      <c r="C4711" t="str">
        <f t="shared" si="73"/>
        <v/>
      </c>
    </row>
    <row r="4712" spans="1:3" x14ac:dyDescent="0.25">
      <c r="A4712" s="220">
        <f>0.028317*81.32</f>
        <v>2.3027384399999997</v>
      </c>
      <c r="B4712" s="458">
        <v>2.9600654387213535E-3</v>
      </c>
      <c r="C4712" t="str">
        <f t="shared" si="73"/>
        <v/>
      </c>
    </row>
    <row r="4713" spans="1:3" x14ac:dyDescent="0.25">
      <c r="A4713" s="220">
        <f>0.028317*48.7963852200175</f>
        <v>1.3817672402752355</v>
      </c>
      <c r="B4713" s="458">
        <v>3.3954674413391468E-4</v>
      </c>
      <c r="C4713" t="str">
        <f t="shared" si="73"/>
        <v/>
      </c>
    </row>
    <row r="4714" spans="1:3" x14ac:dyDescent="0.25">
      <c r="A4714" s="220">
        <f>0.028317*46.31</f>
        <v>1.31136027</v>
      </c>
      <c r="B4714" s="458">
        <v>2.4125783328614038E-4</v>
      </c>
      <c r="C4714" t="str">
        <f t="shared" si="73"/>
        <v/>
      </c>
    </row>
    <row r="4715" spans="1:3" x14ac:dyDescent="0.25">
      <c r="A4715" s="220">
        <f>0.028317*40.82</f>
        <v>1.1558999399999998</v>
      </c>
      <c r="B4715" s="458">
        <v>2.1213991392003622E-4</v>
      </c>
      <c r="C4715" t="str">
        <f t="shared" si="73"/>
        <v/>
      </c>
    </row>
    <row r="4716" spans="1:3" x14ac:dyDescent="0.25">
      <c r="A4716" s="220">
        <f>0.028317*148.89</f>
        <v>4.216118129999999</v>
      </c>
      <c r="B4716" s="458">
        <v>7.9414923977624875E-3</v>
      </c>
      <c r="C4716" t="str">
        <f t="shared" si="73"/>
        <v/>
      </c>
    </row>
    <row r="4717" spans="1:3" x14ac:dyDescent="0.25">
      <c r="A4717" s="220">
        <f>0.028317*116.41</f>
        <v>3.2963819699999997</v>
      </c>
      <c r="B4717" s="458">
        <v>1.0545288073943821E-2</v>
      </c>
      <c r="C4717" t="str">
        <f t="shared" si="73"/>
        <v/>
      </c>
    </row>
    <row r="4718" spans="1:3" x14ac:dyDescent="0.25">
      <c r="A4718" s="220">
        <f>0.028317*176.2</f>
        <v>4.9894553999999998</v>
      </c>
      <c r="B4718" s="458">
        <v>5.417975295307037E-2</v>
      </c>
      <c r="C4718" t="str">
        <f t="shared" si="73"/>
        <v/>
      </c>
    </row>
    <row r="4719" spans="1:3" x14ac:dyDescent="0.25">
      <c r="A4719" s="220">
        <f>0.028317*174.6</f>
        <v>4.9441481999999999</v>
      </c>
      <c r="B4719" s="458">
        <v>3.3801915030649943E-2</v>
      </c>
      <c r="C4719" t="str">
        <f t="shared" si="73"/>
        <v/>
      </c>
    </row>
    <row r="4720" spans="1:3" x14ac:dyDescent="0.25">
      <c r="A4720" s="220">
        <f>0.028317*117.84</f>
        <v>3.3368752800000001</v>
      </c>
      <c r="B4720" s="458">
        <v>2.3472086813625552E-2</v>
      </c>
      <c r="C4720" t="str">
        <f t="shared" si="73"/>
        <v/>
      </c>
    </row>
    <row r="4721" spans="1:3" x14ac:dyDescent="0.25">
      <c r="A4721" s="220">
        <f>0.028317*75.55</f>
        <v>2.1393493499999998</v>
      </c>
      <c r="B4721" s="458">
        <v>9.3184439961112985E-3</v>
      </c>
      <c r="C4721" t="str">
        <f t="shared" si="73"/>
        <v/>
      </c>
    </row>
    <row r="4722" spans="1:3" x14ac:dyDescent="0.25">
      <c r="A4722" s="220">
        <f>0.028317*128.09</f>
        <v>3.6271245299999997</v>
      </c>
      <c r="B4722" s="458">
        <v>3.5640465266734617E-2</v>
      </c>
      <c r="C4722" t="str">
        <f t="shared" si="73"/>
        <v/>
      </c>
    </row>
    <row r="4723" spans="1:3" x14ac:dyDescent="0.25">
      <c r="A4723" s="220">
        <f>0.028317*128.16</f>
        <v>3.6291067199999998</v>
      </c>
      <c r="B4723" s="458">
        <v>3.1897345460414547E-2</v>
      </c>
      <c r="C4723" t="str">
        <f t="shared" si="73"/>
        <v/>
      </c>
    </row>
    <row r="4724" spans="1:3" x14ac:dyDescent="0.25">
      <c r="A4724" s="220">
        <f>0.028317*274.63</f>
        <v>7.7766977099999997</v>
      </c>
      <c r="B4724" s="458">
        <v>0.18598577176633818</v>
      </c>
      <c r="C4724" t="str">
        <f t="shared" si="73"/>
        <v/>
      </c>
    </row>
    <row r="4725" spans="1:3" x14ac:dyDescent="0.25">
      <c r="A4725" s="220">
        <f>0.028317*269.22</f>
        <v>7.6235027400000002</v>
      </c>
      <c r="B4725" s="458">
        <v>0.20390833874806508</v>
      </c>
      <c r="C4725" t="str">
        <f t="shared" si="73"/>
        <v/>
      </c>
    </row>
    <row r="4726" spans="1:3" x14ac:dyDescent="0.25">
      <c r="A4726" s="220">
        <f>0.028317*274.24</f>
        <v>7.76565408</v>
      </c>
      <c r="B4726" s="458">
        <v>0.23996890136061089</v>
      </c>
      <c r="C4726" t="str">
        <f t="shared" si="73"/>
        <v/>
      </c>
    </row>
    <row r="4727" spans="1:3" x14ac:dyDescent="0.25">
      <c r="A4727" s="220">
        <f>0.028317*337.15</f>
        <v>9.5470765499999981</v>
      </c>
      <c r="B4727" s="458">
        <v>0.49991120616151319</v>
      </c>
      <c r="C4727" t="str">
        <f t="shared" si="73"/>
        <v/>
      </c>
    </row>
    <row r="4728" spans="1:3" x14ac:dyDescent="0.25">
      <c r="A4728" s="220">
        <f>0.028317*317.48</f>
        <v>8.9900811600000008</v>
      </c>
      <c r="B4728" s="458">
        <v>0.16979040890814359</v>
      </c>
      <c r="C4728" t="str">
        <f t="shared" si="73"/>
        <v/>
      </c>
    </row>
    <row r="4729" spans="1:3" x14ac:dyDescent="0.25">
      <c r="A4729" s="220">
        <f>0.028317*282.29</f>
        <v>7.9936059300000002</v>
      </c>
      <c r="B4729" s="458">
        <v>0.14207305951410126</v>
      </c>
      <c r="C4729" t="str">
        <f t="shared" ref="C4729:C4792" si="74">IF(B4729=0,"XXXXXXXX","")</f>
        <v/>
      </c>
    </row>
    <row r="4730" spans="1:3" x14ac:dyDescent="0.25">
      <c r="A4730" s="220">
        <f>0.028317*230.09</f>
        <v>6.5154585300000001</v>
      </c>
      <c r="B4730" s="458">
        <v>5.27991052882546E-2</v>
      </c>
      <c r="C4730" t="str">
        <f t="shared" si="74"/>
        <v/>
      </c>
    </row>
    <row r="4731" spans="1:3" x14ac:dyDescent="0.25">
      <c r="A4731" s="220">
        <f>0.028317*400.75</f>
        <v>11.34803775</v>
      </c>
      <c r="B4731" s="458">
        <v>0.32767337045758294</v>
      </c>
      <c r="C4731" t="str">
        <f t="shared" si="74"/>
        <v/>
      </c>
    </row>
    <row r="4732" spans="1:3" x14ac:dyDescent="0.25">
      <c r="A4732" s="220">
        <f>0.028317*400.75</f>
        <v>11.34803775</v>
      </c>
      <c r="B4732" s="458">
        <v>0.44618443695624271</v>
      </c>
      <c r="C4732" t="str">
        <f t="shared" si="74"/>
        <v/>
      </c>
    </row>
    <row r="4733" spans="1:3" x14ac:dyDescent="0.25">
      <c r="A4733" s="220">
        <f>0.028317*342.97</f>
        <v>9.7118814899999997</v>
      </c>
      <c r="B4733" s="458">
        <v>0.17146519454524864</v>
      </c>
      <c r="C4733" t="str">
        <f t="shared" si="74"/>
        <v/>
      </c>
    </row>
    <row r="4734" spans="1:3" x14ac:dyDescent="0.25">
      <c r="A4734" s="220">
        <f>0.028317*235.34</f>
        <v>6.6641227799999996</v>
      </c>
      <c r="B4734" s="458">
        <v>5.7760265099388371E-2</v>
      </c>
      <c r="C4734" t="str">
        <f t="shared" si="74"/>
        <v/>
      </c>
    </row>
    <row r="4735" spans="1:3" x14ac:dyDescent="0.25">
      <c r="A4735" s="220">
        <f>0.028317*354.37</f>
        <v>10.03469529</v>
      </c>
      <c r="B4735" s="458">
        <v>0.14478661759806699</v>
      </c>
      <c r="C4735" t="str">
        <f t="shared" si="74"/>
        <v/>
      </c>
    </row>
    <row r="4736" spans="1:3" x14ac:dyDescent="0.25">
      <c r="A4736" s="220">
        <f>0.028317*300.84</f>
        <v>8.5188862799999985</v>
      </c>
      <c r="B4736" s="458">
        <v>0.3223886872805527</v>
      </c>
      <c r="C4736" t="str">
        <f t="shared" si="74"/>
        <v/>
      </c>
    </row>
    <row r="4737" spans="1:3" x14ac:dyDescent="0.25">
      <c r="A4737" s="223">
        <v>1.6488989099999998</v>
      </c>
      <c r="B4737" s="458">
        <v>0.16949014341997501</v>
      </c>
      <c r="C4737" t="str">
        <f t="shared" si="74"/>
        <v/>
      </c>
    </row>
    <row r="4738" spans="1:3" x14ac:dyDescent="0.25">
      <c r="A4738" s="223">
        <v>2.2956591899999998</v>
      </c>
      <c r="B4738" s="458">
        <v>0.35892040157610006</v>
      </c>
      <c r="C4738" t="str">
        <f t="shared" si="74"/>
        <v/>
      </c>
    </row>
    <row r="4739" spans="1:3" x14ac:dyDescent="0.25">
      <c r="A4739" s="223">
        <v>3.6160809</v>
      </c>
      <c r="B4739" s="458">
        <v>0.96052506329325016</v>
      </c>
      <c r="C4739" t="str">
        <f t="shared" si="74"/>
        <v/>
      </c>
    </row>
    <row r="4740" spans="1:3" x14ac:dyDescent="0.25">
      <c r="A4740" s="223">
        <v>3.2136963299999999</v>
      </c>
      <c r="B4740" s="458">
        <v>1.0057693219020563</v>
      </c>
      <c r="C4740" t="str">
        <f t="shared" si="74"/>
        <v/>
      </c>
    </row>
    <row r="4741" spans="1:3" x14ac:dyDescent="0.25">
      <c r="A4741" s="223">
        <v>3.6897051000000003</v>
      </c>
      <c r="B4741" s="458">
        <v>1.8299653837500003</v>
      </c>
      <c r="C4741" t="str">
        <f t="shared" si="74"/>
        <v/>
      </c>
    </row>
    <row r="4742" spans="1:3" x14ac:dyDescent="0.25">
      <c r="A4742" s="223">
        <v>3.7188716100000003</v>
      </c>
      <c r="B4742" s="458">
        <v>1.2735451732500001</v>
      </c>
      <c r="C4742" t="str">
        <f t="shared" si="74"/>
        <v/>
      </c>
    </row>
    <row r="4743" spans="1:3" x14ac:dyDescent="0.25">
      <c r="A4743" s="223">
        <v>3.7975928700000003</v>
      </c>
      <c r="B4743" s="458">
        <v>1.1148907439250002</v>
      </c>
      <c r="C4743" t="str">
        <f t="shared" si="74"/>
        <v/>
      </c>
    </row>
    <row r="4744" spans="1:3" x14ac:dyDescent="0.25">
      <c r="A4744" s="223">
        <v>2.9376055799999996</v>
      </c>
      <c r="B4744" s="458">
        <v>0.85981596636285007</v>
      </c>
      <c r="C4744" t="str">
        <f t="shared" si="74"/>
        <v/>
      </c>
    </row>
    <row r="4745" spans="1:3" x14ac:dyDescent="0.25">
      <c r="A4745" s="223">
        <v>3.2994968399999998</v>
      </c>
      <c r="B4745" s="458">
        <v>0.74622515181900007</v>
      </c>
      <c r="C4745" t="str">
        <f t="shared" si="74"/>
        <v/>
      </c>
    </row>
    <row r="4746" spans="1:3" x14ac:dyDescent="0.25">
      <c r="A4746" s="223">
        <v>2.52814176</v>
      </c>
      <c r="B4746" s="458">
        <v>0.58111233536317497</v>
      </c>
      <c r="C4746" t="str">
        <f t="shared" si="74"/>
        <v/>
      </c>
    </row>
    <row r="4747" spans="1:3" x14ac:dyDescent="0.25">
      <c r="A4747" s="223">
        <v>2.0552478599999997</v>
      </c>
      <c r="B4747" s="458">
        <v>0.56019074109075007</v>
      </c>
      <c r="C4747" t="str">
        <f t="shared" si="74"/>
        <v/>
      </c>
    </row>
    <row r="4748" spans="1:3" x14ac:dyDescent="0.25">
      <c r="A4748" s="223">
        <v>1.9954989899999998</v>
      </c>
      <c r="B4748" s="458">
        <v>0.22788290000227501</v>
      </c>
      <c r="C4748" t="str">
        <f t="shared" si="74"/>
        <v/>
      </c>
    </row>
    <row r="4749" spans="1:3" x14ac:dyDescent="0.25">
      <c r="A4749" s="223">
        <v>1.9363164599999998</v>
      </c>
      <c r="B4749" s="458">
        <v>0.42819075048749994</v>
      </c>
      <c r="C4749" t="str">
        <f t="shared" si="74"/>
        <v/>
      </c>
    </row>
    <row r="4750" spans="1:3" x14ac:dyDescent="0.25">
      <c r="A4750" s="223">
        <v>1.7641490999999998</v>
      </c>
      <c r="B4750" s="458">
        <v>0.17884789819312499</v>
      </c>
      <c r="C4750" t="str">
        <f t="shared" si="74"/>
        <v/>
      </c>
    </row>
    <row r="4751" spans="1:3" x14ac:dyDescent="0.25">
      <c r="A4751" s="223">
        <v>1.6808971199999998</v>
      </c>
      <c r="B4751" s="458">
        <v>0.19446147798000002</v>
      </c>
      <c r="C4751" t="str">
        <f t="shared" si="74"/>
        <v/>
      </c>
    </row>
    <row r="4752" spans="1:3" x14ac:dyDescent="0.25">
      <c r="A4752" s="223">
        <v>1.7083646099999998</v>
      </c>
      <c r="B4752" s="458">
        <v>0.26878280191770004</v>
      </c>
      <c r="C4752" t="str">
        <f t="shared" si="74"/>
        <v/>
      </c>
    </row>
    <row r="4753" spans="1:3" x14ac:dyDescent="0.25">
      <c r="A4753" s="223">
        <v>1.9668988199999997</v>
      </c>
      <c r="B4753" s="458">
        <v>0.22000162476600002</v>
      </c>
      <c r="C4753" t="str">
        <f t="shared" si="74"/>
        <v/>
      </c>
    </row>
    <row r="4754" spans="1:3" x14ac:dyDescent="0.25">
      <c r="A4754" s="223">
        <v>3.9168074399999995</v>
      </c>
      <c r="B4754" s="458">
        <v>1.1680960737599999</v>
      </c>
      <c r="C4754" t="str">
        <f t="shared" si="74"/>
        <v/>
      </c>
    </row>
    <row r="4755" spans="1:3" x14ac:dyDescent="0.25">
      <c r="A4755" s="223">
        <v>3.9173737799999997</v>
      </c>
      <c r="B4755" s="458">
        <v>0.55759193027999998</v>
      </c>
      <c r="C4755" t="str">
        <f t="shared" si="74"/>
        <v/>
      </c>
    </row>
    <row r="4756" spans="1:3" x14ac:dyDescent="0.25">
      <c r="A4756" s="223">
        <v>3.9173737799999997</v>
      </c>
      <c r="B4756" s="458">
        <v>1.0130699779199999</v>
      </c>
      <c r="C4756" t="str">
        <f t="shared" si="74"/>
        <v/>
      </c>
    </row>
    <row r="4757" spans="1:3" x14ac:dyDescent="0.25">
      <c r="A4757" s="220">
        <f>0.028317*40.57</f>
        <v>1.14882069</v>
      </c>
      <c r="B4757" s="458">
        <v>8.8246932390160561E-4</v>
      </c>
      <c r="C4757" t="str">
        <f t="shared" si="74"/>
        <v/>
      </c>
    </row>
    <row r="4758" spans="1:3" x14ac:dyDescent="0.25">
      <c r="A4758" s="220">
        <f>0.028317*98.22</f>
        <v>2.78129574</v>
      </c>
      <c r="B4758" s="458">
        <v>2.1386750293455278E-3</v>
      </c>
      <c r="C4758" t="str">
        <f t="shared" si="74"/>
        <v/>
      </c>
    </row>
    <row r="4759" spans="1:3" x14ac:dyDescent="0.25">
      <c r="A4759" s="220">
        <f>0.028317*116.69</f>
        <v>3.3043107299999996</v>
      </c>
      <c r="B4759" s="458">
        <v>2.6526868416798809E-2</v>
      </c>
      <c r="C4759" t="str">
        <f t="shared" si="74"/>
        <v/>
      </c>
    </row>
    <row r="4760" spans="1:3" x14ac:dyDescent="0.25">
      <c r="A4760" s="220">
        <f>0.028317*125.3</f>
        <v>3.5481200999999998</v>
      </c>
      <c r="B4760" s="458">
        <v>1.1366065698550226E-3</v>
      </c>
      <c r="C4760" t="str">
        <f t="shared" si="74"/>
        <v/>
      </c>
    </row>
    <row r="4761" spans="1:3" x14ac:dyDescent="0.25">
      <c r="A4761" s="220">
        <f>0.028317*94.64</f>
        <v>2.6799208800000001</v>
      </c>
      <c r="B4761" s="458">
        <v>4.6176363766829015E-3</v>
      </c>
      <c r="C4761" t="str">
        <f t="shared" si="74"/>
        <v/>
      </c>
    </row>
    <row r="4762" spans="1:3" x14ac:dyDescent="0.25">
      <c r="A4762" s="220">
        <f>0.028317*108.65</f>
        <v>3.0766420499999998</v>
      </c>
      <c r="B4762" s="458">
        <v>3.155217156010495E-3</v>
      </c>
      <c r="C4762" t="str">
        <f t="shared" si="74"/>
        <v/>
      </c>
    </row>
    <row r="4763" spans="1:3" x14ac:dyDescent="0.25">
      <c r="A4763" s="220">
        <f>0.028317*66.17</f>
        <v>1.8737358899999998</v>
      </c>
      <c r="B4763" s="458">
        <v>5.1206006514327776E-4</v>
      </c>
      <c r="C4763" t="str">
        <f t="shared" si="74"/>
        <v/>
      </c>
    </row>
    <row r="4764" spans="1:3" x14ac:dyDescent="0.25">
      <c r="A4764" s="220">
        <f>0.028317*58.49</f>
        <v>1.65626133</v>
      </c>
      <c r="B4764" s="458">
        <v>1.5976171674795182E-2</v>
      </c>
      <c r="C4764" t="str">
        <f t="shared" si="74"/>
        <v/>
      </c>
    </row>
    <row r="4765" spans="1:3" x14ac:dyDescent="0.25">
      <c r="A4765" s="220">
        <f>0.028317*41.59</f>
        <v>1.1777040300000001</v>
      </c>
      <c r="B4765" s="458">
        <v>7.4569349128440342E-4</v>
      </c>
      <c r="C4765" t="str">
        <f t="shared" si="74"/>
        <v/>
      </c>
    </row>
    <row r="4766" spans="1:3" x14ac:dyDescent="0.25">
      <c r="A4766" s="220">
        <f>0.028317*25.296</f>
        <v>0.71630683199999989</v>
      </c>
      <c r="B4766" s="458">
        <v>8.6907431181711798E-4</v>
      </c>
      <c r="C4766" t="str">
        <f t="shared" si="74"/>
        <v/>
      </c>
    </row>
    <row r="4767" spans="1:3" x14ac:dyDescent="0.25">
      <c r="A4767" s="220">
        <f>0.028317*20.74</f>
        <v>0.5872945799999999</v>
      </c>
      <c r="B4767" s="458">
        <v>2.5779341644769147E-4</v>
      </c>
      <c r="C4767" t="str">
        <f t="shared" si="74"/>
        <v/>
      </c>
    </row>
    <row r="4768" spans="1:3" x14ac:dyDescent="0.25">
      <c r="A4768" s="220">
        <f>0.028317*16.55</f>
        <v>0.46864634999999999</v>
      </c>
      <c r="B4768" s="458">
        <v>5.5427694105410197E-4</v>
      </c>
      <c r="C4768" t="str">
        <f t="shared" si="74"/>
        <v/>
      </c>
    </row>
    <row r="4769" spans="1:3" x14ac:dyDescent="0.25">
      <c r="A4769" s="220">
        <f>0.028317*14.31</f>
        <v>0.40521626999999999</v>
      </c>
      <c r="B4769" s="458">
        <v>1.0848412650885338E-3</v>
      </c>
      <c r="C4769" t="str">
        <f t="shared" si="74"/>
        <v/>
      </c>
    </row>
    <row r="4770" spans="1:3" x14ac:dyDescent="0.25">
      <c r="A4770" s="220">
        <f>0.028317*15.15</f>
        <v>0.42900254999999998</v>
      </c>
      <c r="B4770" s="458">
        <v>5.8032996184920909E-4</v>
      </c>
      <c r="C4770" t="str">
        <f t="shared" si="74"/>
        <v/>
      </c>
    </row>
    <row r="4771" spans="1:3" x14ac:dyDescent="0.25">
      <c r="A4771" s="220">
        <f>0.028317*13.96</f>
        <v>0.39530532000000002</v>
      </c>
      <c r="B4771" s="458">
        <v>2.0131291387095549E-4</v>
      </c>
      <c r="C4771" t="str">
        <f t="shared" si="74"/>
        <v/>
      </c>
    </row>
    <row r="4772" spans="1:3" x14ac:dyDescent="0.25">
      <c r="A4772" s="220">
        <f>0.028317*11.86</f>
        <v>0.33583961999999995</v>
      </c>
      <c r="B4772" s="458">
        <v>1.1265309236606638E-5</v>
      </c>
      <c r="C4772" t="str">
        <f t="shared" si="74"/>
        <v/>
      </c>
    </row>
    <row r="4773" spans="1:3" x14ac:dyDescent="0.25">
      <c r="A4773" s="220">
        <f>0.028317*12.85</f>
        <v>0.36387344999999999</v>
      </c>
      <c r="B4773" s="458">
        <v>5.8015567787971465E-5</v>
      </c>
      <c r="C4773" t="str">
        <f t="shared" si="74"/>
        <v/>
      </c>
    </row>
    <row r="4774" spans="1:3" x14ac:dyDescent="0.25">
      <c r="A4774" s="220">
        <f>0.028317*12.1</f>
        <v>0.34263569999999999</v>
      </c>
      <c r="B4774" s="458">
        <v>6.5825938927587048E-5</v>
      </c>
      <c r="C4774" t="str">
        <f t="shared" si="74"/>
        <v/>
      </c>
    </row>
    <row r="4775" spans="1:3" x14ac:dyDescent="0.25">
      <c r="A4775" s="220">
        <f>0.028317*11.6</f>
        <v>0.32847719999999997</v>
      </c>
      <c r="B4775" s="458">
        <v>1.1017999284177137E-4</v>
      </c>
      <c r="C4775" t="str">
        <f t="shared" si="74"/>
        <v/>
      </c>
    </row>
    <row r="4776" spans="1:3" x14ac:dyDescent="0.25">
      <c r="A4776" s="220">
        <f>0.028317*10.6</f>
        <v>0.30016019999999999</v>
      </c>
      <c r="B4776" s="458">
        <v>9.3718255430966146E-5</v>
      </c>
      <c r="C4776" t="str">
        <f t="shared" si="74"/>
        <v/>
      </c>
    </row>
    <row r="4777" spans="1:3" x14ac:dyDescent="0.25">
      <c r="A4777" s="220">
        <f>0.028317*9.39</f>
        <v>0.26589663000000002</v>
      </c>
      <c r="B4777" s="458">
        <v>3.30610988042352E-5</v>
      </c>
      <c r="C4777" t="str">
        <f t="shared" si="74"/>
        <v/>
      </c>
    </row>
    <row r="4778" spans="1:3" x14ac:dyDescent="0.25">
      <c r="A4778" s="220">
        <f>0.028317*86.17</f>
        <v>2.4400758899999997</v>
      </c>
      <c r="B4778" s="458">
        <v>1.9803948769622835E-3</v>
      </c>
      <c r="C4778" t="str">
        <f t="shared" si="74"/>
        <v/>
      </c>
    </row>
    <row r="4779" spans="1:3" x14ac:dyDescent="0.25">
      <c r="A4779" s="220">
        <f>0.028317*56</f>
        <v>1.5857519999999998</v>
      </c>
      <c r="B4779" s="458">
        <v>1.2582302880658435E-3</v>
      </c>
      <c r="C4779" t="str">
        <f t="shared" si="74"/>
        <v/>
      </c>
    </row>
    <row r="4780" spans="1:3" x14ac:dyDescent="0.25">
      <c r="A4780" s="220">
        <f>0.028317*40.91</f>
        <v>1.1584484699999997</v>
      </c>
      <c r="B4780" s="458">
        <v>8.6865196477517257E-3</v>
      </c>
      <c r="C4780" t="str">
        <f t="shared" si="74"/>
        <v/>
      </c>
    </row>
    <row r="4781" spans="1:3" x14ac:dyDescent="0.25">
      <c r="A4781" s="220">
        <f>0.028317*36.21</f>
        <v>1.0253585699999999</v>
      </c>
      <c r="B4781" s="458">
        <v>2.8396956903386562E-3</v>
      </c>
      <c r="C4781" t="str">
        <f t="shared" si="74"/>
        <v/>
      </c>
    </row>
    <row r="4782" spans="1:3" x14ac:dyDescent="0.25">
      <c r="A4782" s="220">
        <f>0.028317*68.96</f>
        <v>1.9527403199999998</v>
      </c>
      <c r="B4782" s="458">
        <v>1.5130074588288594E-4</v>
      </c>
      <c r="C4782" t="str">
        <f t="shared" si="74"/>
        <v/>
      </c>
    </row>
    <row r="4783" spans="1:3" x14ac:dyDescent="0.25">
      <c r="A4783" s="220">
        <f>0.028317*106.42</f>
        <v>3.0134951399999999</v>
      </c>
      <c r="B4783" s="458">
        <v>4.3408519688348159E-3</v>
      </c>
      <c r="C4783" t="str">
        <f t="shared" si="74"/>
        <v/>
      </c>
    </row>
    <row r="4784" spans="1:3" x14ac:dyDescent="0.25">
      <c r="A4784" s="220">
        <f>0.028317*134.95</f>
        <v>3.8213791499999994</v>
      </c>
      <c r="B4784" s="458">
        <v>1.402236833276702E-3</v>
      </c>
      <c r="C4784" t="str">
        <f t="shared" si="74"/>
        <v/>
      </c>
    </row>
    <row r="4785" spans="1:3" x14ac:dyDescent="0.25">
      <c r="A4785" s="220">
        <f>0.028317*123.75</f>
        <v>3.5042287499999998</v>
      </c>
      <c r="B4785" s="458">
        <v>3.6191782446105613E-4</v>
      </c>
      <c r="C4785" t="str">
        <f t="shared" si="74"/>
        <v/>
      </c>
    </row>
    <row r="4786" spans="1:3" x14ac:dyDescent="0.25">
      <c r="A4786" s="220">
        <f>0.028317*86.18</f>
        <v>2.44035906</v>
      </c>
      <c r="B4786" s="458">
        <v>7.1675698720126803E-4</v>
      </c>
      <c r="C4786" t="str">
        <f t="shared" si="74"/>
        <v/>
      </c>
    </row>
    <row r="4787" spans="1:3" x14ac:dyDescent="0.25">
      <c r="A4787" s="220">
        <f>0.028317*74.3</f>
        <v>2.1039531</v>
      </c>
      <c r="B4787" s="458">
        <v>7.5024350254842024E-4</v>
      </c>
      <c r="C4787" t="str">
        <f t="shared" si="74"/>
        <v/>
      </c>
    </row>
    <row r="4788" spans="1:3" x14ac:dyDescent="0.25">
      <c r="A4788" s="220">
        <f>0.028317*96.96</f>
        <v>2.7456163199999999</v>
      </c>
      <c r="B4788" s="458">
        <v>9.4561236666666705E-4</v>
      </c>
      <c r="C4788" t="str">
        <f t="shared" si="74"/>
        <v/>
      </c>
    </row>
    <row r="4789" spans="1:3" x14ac:dyDescent="0.25">
      <c r="A4789" s="220">
        <f>0.028317*76.36</f>
        <v>2.1622861199999996</v>
      </c>
      <c r="B4789" s="458">
        <v>1.6206441720240121E-3</v>
      </c>
      <c r="C4789" t="str">
        <f t="shared" si="74"/>
        <v/>
      </c>
    </row>
    <row r="4790" spans="1:3" x14ac:dyDescent="0.25">
      <c r="A4790" s="220">
        <f>0.028317*61.19</f>
        <v>1.7327172299999998</v>
      </c>
      <c r="B4790" s="458">
        <v>4.7345040086646317E-4</v>
      </c>
      <c r="C4790" t="str">
        <f t="shared" si="74"/>
        <v/>
      </c>
    </row>
    <row r="4791" spans="1:3" x14ac:dyDescent="0.25">
      <c r="A4791" s="220">
        <f>0.028317*53.79</f>
        <v>1.5231714299999999</v>
      </c>
      <c r="B4791" s="458">
        <v>2.1310057515762512E-4</v>
      </c>
      <c r="C4791" t="str">
        <f t="shared" si="74"/>
        <v/>
      </c>
    </row>
    <row r="4792" spans="1:3" x14ac:dyDescent="0.25">
      <c r="A4792" s="220">
        <f>0.028317*38.96</f>
        <v>1.10323032</v>
      </c>
      <c r="B4792" s="458">
        <v>5.487625696001784E-5</v>
      </c>
      <c r="C4792" t="str">
        <f t="shared" si="74"/>
        <v/>
      </c>
    </row>
    <row r="4793" spans="1:3" x14ac:dyDescent="0.25">
      <c r="A4793" s="220">
        <f>0.028317*39.32</f>
        <v>1.11342444</v>
      </c>
      <c r="B4793" s="458">
        <v>2.6919322092347178E-3</v>
      </c>
      <c r="C4793" t="str">
        <f t="shared" ref="C4793:C4856" si="75">IF(B4793=0,"XXXXXXXX","")</f>
        <v/>
      </c>
    </row>
    <row r="4794" spans="1:3" x14ac:dyDescent="0.25">
      <c r="A4794" s="220">
        <f>0.028317*31.3</f>
        <v>0.8863221</v>
      </c>
      <c r="B4794" s="458">
        <v>2.5134297679050102E-3</v>
      </c>
      <c r="C4794" t="str">
        <f t="shared" si="75"/>
        <v/>
      </c>
    </row>
    <row r="4795" spans="1:3" x14ac:dyDescent="0.25">
      <c r="A4795" s="220">
        <f>0.028317*38.66</f>
        <v>1.0947352199999998</v>
      </c>
      <c r="B4795" s="458">
        <v>3.0535555337760029E-3</v>
      </c>
      <c r="C4795" t="str">
        <f t="shared" si="75"/>
        <v/>
      </c>
    </row>
    <row r="4796" spans="1:3" x14ac:dyDescent="0.25">
      <c r="A4796" s="220">
        <f>0.028317*33.6</f>
        <v>0.95145119999999994</v>
      </c>
      <c r="B4796" s="458">
        <v>4.0988644625901387E-3</v>
      </c>
      <c r="C4796" t="str">
        <f t="shared" si="75"/>
        <v/>
      </c>
    </row>
    <row r="4797" spans="1:3" x14ac:dyDescent="0.25">
      <c r="A4797" s="220">
        <f>0.028317*32.77</f>
        <v>0.92794809</v>
      </c>
      <c r="B4797" s="458">
        <v>2.9292769841809188E-3</v>
      </c>
      <c r="C4797" t="str">
        <f t="shared" si="75"/>
        <v/>
      </c>
    </row>
    <row r="4798" spans="1:3" x14ac:dyDescent="0.25">
      <c r="A4798" s="220">
        <f>0.028317*23.21</f>
        <v>0.65723756999999994</v>
      </c>
      <c r="B4798" s="458">
        <v>1.3451623322762064E-4</v>
      </c>
      <c r="C4798" t="str">
        <f t="shared" si="75"/>
        <v/>
      </c>
    </row>
    <row r="4799" spans="1:3" x14ac:dyDescent="0.25">
      <c r="A4799" s="220">
        <f>0.028317*29.09</f>
        <v>0.82374152999999994</v>
      </c>
      <c r="B4799" s="458">
        <v>1.6515228926643254E-4</v>
      </c>
      <c r="C4799" t="str">
        <f t="shared" si="75"/>
        <v/>
      </c>
    </row>
    <row r="4800" spans="1:3" x14ac:dyDescent="0.25">
      <c r="A4800" s="220">
        <f>0.028317*30.24</f>
        <v>0.85630607999999986</v>
      </c>
      <c r="B4800" s="458">
        <v>3.8970212155963314E-4</v>
      </c>
      <c r="C4800" t="str">
        <f t="shared" si="75"/>
        <v/>
      </c>
    </row>
    <row r="4801" spans="1:3" x14ac:dyDescent="0.25">
      <c r="A4801" s="220">
        <f>0.028317*22.08</f>
        <v>0.62523935999999991</v>
      </c>
      <c r="B4801" s="458">
        <v>1.4860640902140642E-4</v>
      </c>
      <c r="C4801" t="str">
        <f t="shared" si="75"/>
        <v/>
      </c>
    </row>
    <row r="4802" spans="1:3" x14ac:dyDescent="0.25">
      <c r="A4802" s="220">
        <f>0.028317*23.98</f>
        <v>0.67904165999999999</v>
      </c>
      <c r="B4802" s="458">
        <v>9.0218946568127912E-5</v>
      </c>
      <c r="C4802" t="str">
        <f t="shared" si="75"/>
        <v/>
      </c>
    </row>
    <row r="4803" spans="1:3" x14ac:dyDescent="0.25">
      <c r="A4803" s="220">
        <f>0.028317*71.69</f>
        <v>2.0300457299999999</v>
      </c>
      <c r="B4803" s="458">
        <v>6.3670799344961665E-3</v>
      </c>
      <c r="C4803" t="str">
        <f t="shared" si="75"/>
        <v/>
      </c>
    </row>
    <row r="4804" spans="1:3" x14ac:dyDescent="0.25">
      <c r="A4804" s="220">
        <f>0.028317*52.1055877427868</f>
        <v>1.4754739281124938</v>
      </c>
      <c r="B4804" s="458">
        <v>5.1057345287499538E-4</v>
      </c>
      <c r="C4804" t="str">
        <f t="shared" si="75"/>
        <v/>
      </c>
    </row>
    <row r="4805" spans="1:3" x14ac:dyDescent="0.25">
      <c r="A4805" s="229">
        <v>16.100000000000001</v>
      </c>
      <c r="B4805" s="461">
        <v>0.17899999999999999</v>
      </c>
      <c r="C4805" t="str">
        <f t="shared" si="75"/>
        <v/>
      </c>
    </row>
    <row r="4806" spans="1:3" x14ac:dyDescent="0.25">
      <c r="A4806" s="261">
        <v>6.5</v>
      </c>
      <c r="B4806" s="460">
        <v>8.0000000000000002E-3</v>
      </c>
      <c r="C4806" t="str">
        <f t="shared" si="75"/>
        <v/>
      </c>
    </row>
    <row r="4807" spans="1:3" x14ac:dyDescent="0.25">
      <c r="A4807" s="229">
        <v>7.3</v>
      </c>
      <c r="B4807" s="460">
        <v>0.01</v>
      </c>
      <c r="C4807" t="str">
        <f t="shared" si="75"/>
        <v/>
      </c>
    </row>
    <row r="4808" spans="1:3" x14ac:dyDescent="0.25">
      <c r="A4808" s="229">
        <v>16.100000000000001</v>
      </c>
      <c r="B4808" s="460">
        <v>0.17299999999999999</v>
      </c>
      <c r="C4808" t="str">
        <f t="shared" si="75"/>
        <v/>
      </c>
    </row>
    <row r="4809" spans="1:3" x14ac:dyDescent="0.25">
      <c r="A4809" s="229">
        <v>17.8</v>
      </c>
      <c r="B4809" s="460">
        <v>0.214</v>
      </c>
      <c r="C4809" t="str">
        <f t="shared" si="75"/>
        <v/>
      </c>
    </row>
    <row r="4810" spans="1:3" x14ac:dyDescent="0.25">
      <c r="A4810" s="229">
        <v>16.600000000000001</v>
      </c>
      <c r="B4810" s="460">
        <v>0.219</v>
      </c>
      <c r="C4810" t="str">
        <f t="shared" si="75"/>
        <v/>
      </c>
    </row>
    <row r="4811" spans="1:3" x14ac:dyDescent="0.25">
      <c r="A4811" s="229">
        <v>11.3</v>
      </c>
      <c r="B4811" s="460">
        <v>0.121</v>
      </c>
      <c r="C4811" t="str">
        <f t="shared" si="75"/>
        <v/>
      </c>
    </row>
    <row r="4812" spans="1:3" x14ac:dyDescent="0.25">
      <c r="A4812" s="229">
        <v>15.9</v>
      </c>
      <c r="B4812" s="460">
        <v>0.23699999999999999</v>
      </c>
      <c r="C4812" t="str">
        <f t="shared" si="75"/>
        <v/>
      </c>
    </row>
    <row r="4813" spans="1:3" x14ac:dyDescent="0.25">
      <c r="A4813" s="229">
        <v>19.2</v>
      </c>
      <c r="B4813" s="462">
        <v>0.19900000000000001</v>
      </c>
      <c r="C4813" t="str">
        <f t="shared" si="75"/>
        <v/>
      </c>
    </row>
    <row r="4814" spans="1:3" x14ac:dyDescent="0.25">
      <c r="A4814" s="229">
        <v>5.34</v>
      </c>
      <c r="B4814" s="460">
        <v>5.0999999999999997E-2</v>
      </c>
      <c r="C4814" t="str">
        <f t="shared" si="75"/>
        <v/>
      </c>
    </row>
    <row r="4815" spans="1:3" x14ac:dyDescent="0.25">
      <c r="A4815" s="229">
        <v>9.92</v>
      </c>
      <c r="B4815" s="458">
        <v>0.749</v>
      </c>
      <c r="C4815" t="str">
        <f t="shared" si="75"/>
        <v/>
      </c>
    </row>
    <row r="4816" spans="1:3" x14ac:dyDescent="0.25">
      <c r="A4816" s="229">
        <v>21.5</v>
      </c>
      <c r="B4816" s="458">
        <v>1.6</v>
      </c>
      <c r="C4816" t="str">
        <f t="shared" si="75"/>
        <v/>
      </c>
    </row>
    <row r="4817" spans="1:3" x14ac:dyDescent="0.25">
      <c r="A4817" s="229">
        <v>29.8</v>
      </c>
      <c r="B4817" s="458">
        <v>2.0499999999999998</v>
      </c>
      <c r="C4817" t="str">
        <f t="shared" si="75"/>
        <v/>
      </c>
    </row>
    <row r="4818" spans="1:3" x14ac:dyDescent="0.25">
      <c r="A4818" s="229">
        <v>41.5</v>
      </c>
      <c r="B4818" s="458">
        <v>2.65</v>
      </c>
      <c r="C4818" t="str">
        <f t="shared" si="75"/>
        <v/>
      </c>
    </row>
    <row r="4819" spans="1:3" x14ac:dyDescent="0.25">
      <c r="A4819" s="229">
        <v>32.200000000000003</v>
      </c>
      <c r="B4819" s="458">
        <v>0.71599999999999997</v>
      </c>
      <c r="C4819" t="str">
        <f t="shared" si="75"/>
        <v/>
      </c>
    </row>
    <row r="4820" spans="1:3" x14ac:dyDescent="0.25">
      <c r="A4820" s="229">
        <v>22.9</v>
      </c>
      <c r="B4820" s="458">
        <v>0.58899999999999997</v>
      </c>
      <c r="C4820" t="str">
        <f t="shared" si="75"/>
        <v/>
      </c>
    </row>
    <row r="4821" spans="1:3" x14ac:dyDescent="0.25">
      <c r="A4821" s="229">
        <v>24.3</v>
      </c>
      <c r="B4821" s="458">
        <v>0.188</v>
      </c>
      <c r="C4821" t="str">
        <f t="shared" si="75"/>
        <v/>
      </c>
    </row>
    <row r="4822" spans="1:3" x14ac:dyDescent="0.25">
      <c r="A4822" s="229">
        <v>25.5</v>
      </c>
      <c r="B4822" s="458">
        <v>0.11799999999999999</v>
      </c>
      <c r="C4822" t="str">
        <f t="shared" si="75"/>
        <v/>
      </c>
    </row>
    <row r="4823" spans="1:3" x14ac:dyDescent="0.25">
      <c r="A4823" s="229">
        <v>29.7</v>
      </c>
      <c r="B4823" s="458">
        <v>0.157</v>
      </c>
      <c r="C4823" t="str">
        <f t="shared" si="75"/>
        <v/>
      </c>
    </row>
    <row r="4824" spans="1:3" x14ac:dyDescent="0.25">
      <c r="A4824" s="229">
        <v>27.9</v>
      </c>
      <c r="B4824" s="458">
        <v>0.26100000000000001</v>
      </c>
      <c r="C4824" t="str">
        <f t="shared" si="75"/>
        <v/>
      </c>
    </row>
    <row r="4825" spans="1:3" x14ac:dyDescent="0.25">
      <c r="A4825" s="229">
        <v>26.5</v>
      </c>
      <c r="B4825" s="458">
        <v>0.27800000000000002</v>
      </c>
      <c r="C4825" t="str">
        <f t="shared" si="75"/>
        <v/>
      </c>
    </row>
    <row r="4826" spans="1:3" x14ac:dyDescent="0.25">
      <c r="A4826" s="229">
        <v>2.44</v>
      </c>
      <c r="B4826" s="458">
        <v>1.9E-2</v>
      </c>
      <c r="C4826" t="str">
        <f t="shared" si="75"/>
        <v/>
      </c>
    </row>
    <row r="4827" spans="1:3" x14ac:dyDescent="0.25">
      <c r="A4827" s="229">
        <v>2.04</v>
      </c>
      <c r="B4827" s="458">
        <v>1.4999999999999999E-2</v>
      </c>
      <c r="C4827" t="str">
        <f t="shared" si="75"/>
        <v/>
      </c>
    </row>
    <row r="4828" spans="1:3" x14ac:dyDescent="0.25">
      <c r="A4828" s="229">
        <v>5.82</v>
      </c>
      <c r="B4828" s="458">
        <v>0.441</v>
      </c>
      <c r="C4828" t="str">
        <f t="shared" si="75"/>
        <v/>
      </c>
    </row>
    <row r="4829" spans="1:3" x14ac:dyDescent="0.25">
      <c r="A4829" s="229">
        <v>9.1300000000000008</v>
      </c>
      <c r="B4829" s="458">
        <v>0.72</v>
      </c>
      <c r="C4829" t="str">
        <f t="shared" si="75"/>
        <v/>
      </c>
    </row>
    <row r="4830" spans="1:3" x14ac:dyDescent="0.25">
      <c r="A4830" s="229">
        <v>10</v>
      </c>
      <c r="B4830" s="458">
        <v>0.74</v>
      </c>
      <c r="C4830" t="str">
        <f t="shared" si="75"/>
        <v/>
      </c>
    </row>
    <row r="4831" spans="1:3" x14ac:dyDescent="0.25">
      <c r="A4831" s="229">
        <v>10.7</v>
      </c>
      <c r="B4831" s="458">
        <v>0.88500000000000001</v>
      </c>
      <c r="C4831" t="str">
        <f t="shared" si="75"/>
        <v/>
      </c>
    </row>
    <row r="4832" spans="1:3" x14ac:dyDescent="0.25">
      <c r="A4832" s="229">
        <v>20</v>
      </c>
      <c r="B4832" s="458">
        <v>2.84</v>
      </c>
      <c r="C4832" t="str">
        <f t="shared" si="75"/>
        <v/>
      </c>
    </row>
    <row r="4833" spans="1:3" x14ac:dyDescent="0.25">
      <c r="A4833" s="229">
        <v>24.8</v>
      </c>
      <c r="B4833" s="458">
        <v>1.89</v>
      </c>
      <c r="C4833" t="str">
        <f t="shared" si="75"/>
        <v/>
      </c>
    </row>
    <row r="4834" spans="1:3" x14ac:dyDescent="0.25">
      <c r="A4834" s="229">
        <v>25.6</v>
      </c>
      <c r="B4834" s="458">
        <v>1.58</v>
      </c>
      <c r="C4834" t="str">
        <f t="shared" si="75"/>
        <v/>
      </c>
    </row>
    <row r="4835" spans="1:3" x14ac:dyDescent="0.25">
      <c r="A4835" s="229">
        <v>24.3</v>
      </c>
      <c r="B4835" s="458">
        <v>0.76300000000000001</v>
      </c>
      <c r="C4835" t="str">
        <f t="shared" si="75"/>
        <v/>
      </c>
    </row>
    <row r="4836" spans="1:3" x14ac:dyDescent="0.25">
      <c r="A4836" s="229">
        <v>14.4</v>
      </c>
      <c r="B4836" s="458">
        <v>0.317</v>
      </c>
      <c r="C4836" t="str">
        <f t="shared" si="75"/>
        <v/>
      </c>
    </row>
    <row r="4837" spans="1:3" x14ac:dyDescent="0.25">
      <c r="A4837" s="229">
        <v>10.1</v>
      </c>
      <c r="B4837" s="458">
        <v>0.1</v>
      </c>
      <c r="C4837" t="str">
        <f t="shared" si="75"/>
        <v/>
      </c>
    </row>
    <row r="4838" spans="1:3" x14ac:dyDescent="0.25">
      <c r="A4838" s="229">
        <v>15.8</v>
      </c>
      <c r="B4838" s="458">
        <v>0.252</v>
      </c>
      <c r="C4838" t="str">
        <f t="shared" si="75"/>
        <v/>
      </c>
    </row>
    <row r="4839" spans="1:3" x14ac:dyDescent="0.25">
      <c r="A4839" s="229">
        <v>25.7</v>
      </c>
      <c r="B4839" s="458">
        <v>0.84299999999999997</v>
      </c>
      <c r="C4839" t="str">
        <f t="shared" si="75"/>
        <v/>
      </c>
    </row>
    <row r="4840" spans="1:3" x14ac:dyDescent="0.25">
      <c r="A4840" s="229">
        <v>29</v>
      </c>
      <c r="B4840" s="458">
        <v>1.08</v>
      </c>
      <c r="C4840" t="str">
        <f t="shared" si="75"/>
        <v/>
      </c>
    </row>
    <row r="4841" spans="1:3" x14ac:dyDescent="0.25">
      <c r="A4841" s="229">
        <v>30.3</v>
      </c>
      <c r="B4841" s="458">
        <v>1.08</v>
      </c>
      <c r="C4841" t="str">
        <f t="shared" si="75"/>
        <v/>
      </c>
    </row>
    <row r="4842" spans="1:3" x14ac:dyDescent="0.25">
      <c r="A4842" s="150">
        <v>22.2</v>
      </c>
      <c r="B4842" s="458">
        <v>0.72499999999999998</v>
      </c>
      <c r="C4842" t="str">
        <f t="shared" si="75"/>
        <v/>
      </c>
    </row>
    <row r="4843" spans="1:3" x14ac:dyDescent="0.25">
      <c r="A4843" s="150">
        <v>12.8</v>
      </c>
      <c r="B4843" s="458">
        <v>9.7000000000000003E-2</v>
      </c>
      <c r="C4843" t="str">
        <f t="shared" si="75"/>
        <v/>
      </c>
    </row>
    <row r="4844" spans="1:3" x14ac:dyDescent="0.25">
      <c r="A4844" s="150">
        <v>10.1</v>
      </c>
      <c r="B4844" s="458">
        <v>8.7999999999999995E-2</v>
      </c>
      <c r="C4844" t="str">
        <f t="shared" si="75"/>
        <v/>
      </c>
    </row>
    <row r="4845" spans="1:3" x14ac:dyDescent="0.25">
      <c r="A4845" s="150">
        <v>7.23</v>
      </c>
      <c r="B4845" s="458">
        <v>2.9000000000000001E-2</v>
      </c>
      <c r="C4845" t="str">
        <f t="shared" si="75"/>
        <v/>
      </c>
    </row>
    <row r="4846" spans="1:3" x14ac:dyDescent="0.25">
      <c r="A4846" s="223">
        <v>7.01</v>
      </c>
      <c r="B4846" s="458">
        <v>4.2999999999999997E-2</v>
      </c>
      <c r="C4846" t="str">
        <f t="shared" si="75"/>
        <v/>
      </c>
    </row>
    <row r="4847" spans="1:3" x14ac:dyDescent="0.25">
      <c r="A4847" s="150">
        <v>8.24</v>
      </c>
      <c r="B4847" s="458">
        <v>5.6000000000000001E-2</v>
      </c>
      <c r="C4847" t="str">
        <f t="shared" si="75"/>
        <v/>
      </c>
    </row>
    <row r="4848" spans="1:3" x14ac:dyDescent="0.25">
      <c r="A4848" s="150">
        <v>10.8</v>
      </c>
      <c r="B4848" s="458">
        <v>0.17699999999999999</v>
      </c>
      <c r="C4848" t="str">
        <f t="shared" si="75"/>
        <v/>
      </c>
    </row>
    <row r="4849" spans="1:3" x14ac:dyDescent="0.25">
      <c r="A4849" s="150">
        <v>21.7</v>
      </c>
      <c r="B4849" s="458">
        <v>0.76300000000000001</v>
      </c>
      <c r="C4849" t="str">
        <f t="shared" si="75"/>
        <v/>
      </c>
    </row>
    <row r="4850" spans="1:3" x14ac:dyDescent="0.25">
      <c r="A4850" s="150">
        <v>13.1</v>
      </c>
      <c r="B4850" s="458">
        <v>0.36099999999999999</v>
      </c>
      <c r="C4850" t="str">
        <f t="shared" si="75"/>
        <v/>
      </c>
    </row>
    <row r="4851" spans="1:3" x14ac:dyDescent="0.25">
      <c r="A4851" s="150">
        <v>23.1</v>
      </c>
      <c r="B4851" s="458">
        <v>1.97</v>
      </c>
      <c r="C4851" t="str">
        <f t="shared" si="75"/>
        <v/>
      </c>
    </row>
    <row r="4852" spans="1:3" x14ac:dyDescent="0.25">
      <c r="A4852" s="223">
        <v>21.5</v>
      </c>
      <c r="B4852" s="458">
        <v>0.28899999999999998</v>
      </c>
      <c r="C4852" t="str">
        <f t="shared" si="75"/>
        <v/>
      </c>
    </row>
    <row r="4853" spans="1:3" x14ac:dyDescent="0.25">
      <c r="A4853" s="264">
        <v>1.85</v>
      </c>
      <c r="B4853" s="460">
        <f>6.9/3600</f>
        <v>1.9166666666666668E-3</v>
      </c>
      <c r="C4853" t="str">
        <f t="shared" si="75"/>
        <v/>
      </c>
    </row>
    <row r="4854" spans="1:3" x14ac:dyDescent="0.25">
      <c r="A4854" s="223">
        <v>1.75</v>
      </c>
      <c r="B4854" s="460">
        <f>6.8/3600</f>
        <v>1.8888888888888887E-3</v>
      </c>
      <c r="C4854" t="str">
        <f t="shared" si="75"/>
        <v/>
      </c>
    </row>
    <row r="4855" spans="1:3" x14ac:dyDescent="0.25">
      <c r="A4855" s="223">
        <v>1.78</v>
      </c>
      <c r="B4855" s="460">
        <f>5.9/3600</f>
        <v>1.6388888888888889E-3</v>
      </c>
      <c r="C4855" t="str">
        <f t="shared" si="75"/>
        <v/>
      </c>
    </row>
    <row r="4856" spans="1:3" x14ac:dyDescent="0.25">
      <c r="A4856" s="223">
        <v>1.8</v>
      </c>
      <c r="B4856" s="460">
        <f>4.9/3600</f>
        <v>1.3611111111111111E-3</v>
      </c>
      <c r="C4856" t="str">
        <f t="shared" si="75"/>
        <v/>
      </c>
    </row>
    <row r="4857" spans="1:3" x14ac:dyDescent="0.25">
      <c r="A4857" s="223">
        <v>1.76</v>
      </c>
      <c r="B4857" s="460">
        <f>52/3600</f>
        <v>1.4444444444444444E-2</v>
      </c>
      <c r="C4857" t="str">
        <f t="shared" ref="C4857:C4920" si="76">IF(B4857=0,"XXXXXXXX","")</f>
        <v/>
      </c>
    </row>
    <row r="4858" spans="1:3" x14ac:dyDescent="0.25">
      <c r="A4858" s="223">
        <v>1.32</v>
      </c>
      <c r="B4858" s="460">
        <f>3.7/3600</f>
        <v>1.0277777777777778E-3</v>
      </c>
      <c r="C4858" t="str">
        <f t="shared" si="76"/>
        <v/>
      </c>
    </row>
    <row r="4859" spans="1:3" x14ac:dyDescent="0.25">
      <c r="A4859" s="223">
        <v>1.32</v>
      </c>
      <c r="B4859" s="460">
        <f>4.8/3600</f>
        <v>1.3333333333333333E-3</v>
      </c>
      <c r="C4859" t="str">
        <f t="shared" si="76"/>
        <v/>
      </c>
    </row>
    <row r="4860" spans="1:3" x14ac:dyDescent="0.25">
      <c r="A4860" s="223">
        <v>1.32</v>
      </c>
      <c r="B4860" s="460">
        <f>5/3600</f>
        <v>1.3888888888888889E-3</v>
      </c>
      <c r="C4860" t="str">
        <f t="shared" si="76"/>
        <v/>
      </c>
    </row>
    <row r="4861" spans="1:3" x14ac:dyDescent="0.25">
      <c r="A4861" s="223">
        <v>1.38</v>
      </c>
      <c r="B4861" s="460">
        <f>6.4/3600</f>
        <v>1.7777777777777779E-3</v>
      </c>
      <c r="C4861" t="str">
        <f t="shared" si="76"/>
        <v/>
      </c>
    </row>
    <row r="4862" spans="1:3" x14ac:dyDescent="0.25">
      <c r="A4862" s="223">
        <v>1.63</v>
      </c>
      <c r="B4862" s="460">
        <f>5.2/3600</f>
        <v>1.4444444444444446E-3</v>
      </c>
      <c r="C4862" t="str">
        <f t="shared" si="76"/>
        <v/>
      </c>
    </row>
    <row r="4863" spans="1:3" x14ac:dyDescent="0.25">
      <c r="A4863" s="223">
        <v>1.82</v>
      </c>
      <c r="B4863" s="460">
        <f>7.1/3600</f>
        <v>1.972222222222222E-3</v>
      </c>
      <c r="C4863" t="str">
        <f t="shared" si="76"/>
        <v/>
      </c>
    </row>
    <row r="4864" spans="1:3" x14ac:dyDescent="0.25">
      <c r="A4864" s="223">
        <v>2.4</v>
      </c>
      <c r="B4864" s="460">
        <f>34/3600</f>
        <v>9.4444444444444445E-3</v>
      </c>
      <c r="C4864" t="str">
        <f t="shared" si="76"/>
        <v/>
      </c>
    </row>
    <row r="4865" spans="1:3" x14ac:dyDescent="0.25">
      <c r="A4865" s="223">
        <v>2.4300000000000002</v>
      </c>
      <c r="B4865" s="460">
        <f>100/3600</f>
        <v>2.7777777777777776E-2</v>
      </c>
      <c r="C4865" t="str">
        <f t="shared" si="76"/>
        <v/>
      </c>
    </row>
    <row r="4866" spans="1:3" x14ac:dyDescent="0.25">
      <c r="A4866" s="223">
        <v>2.56</v>
      </c>
      <c r="B4866" s="460">
        <f>17/3600</f>
        <v>4.7222222222222223E-3</v>
      </c>
      <c r="C4866" t="str">
        <f t="shared" si="76"/>
        <v/>
      </c>
    </row>
    <row r="4867" spans="1:3" x14ac:dyDescent="0.25">
      <c r="A4867" s="223">
        <v>3.23</v>
      </c>
      <c r="B4867" s="460">
        <f>46/3600</f>
        <v>1.2777777777777779E-2</v>
      </c>
      <c r="C4867" t="str">
        <f t="shared" si="76"/>
        <v/>
      </c>
    </row>
    <row r="4868" spans="1:3" x14ac:dyDescent="0.25">
      <c r="A4868" s="223">
        <v>3.23</v>
      </c>
      <c r="B4868" s="460">
        <f>170/3600</f>
        <v>4.7222222222222221E-2</v>
      </c>
      <c r="C4868" t="str">
        <f t="shared" si="76"/>
        <v/>
      </c>
    </row>
    <row r="4869" spans="1:3" x14ac:dyDescent="0.25">
      <c r="A4869" s="223">
        <v>3.22</v>
      </c>
      <c r="B4869" s="460">
        <f>580/3600</f>
        <v>0.16111111111111112</v>
      </c>
      <c r="C4869" t="str">
        <f t="shared" si="76"/>
        <v/>
      </c>
    </row>
    <row r="4870" spans="1:3" x14ac:dyDescent="0.25">
      <c r="A4870" s="223">
        <v>2.87</v>
      </c>
      <c r="B4870" s="460">
        <f>9.6/3600</f>
        <v>2.6666666666666666E-3</v>
      </c>
      <c r="C4870" t="str">
        <f t="shared" si="76"/>
        <v/>
      </c>
    </row>
    <row r="4871" spans="1:3" x14ac:dyDescent="0.25">
      <c r="A4871" s="223">
        <v>2.86</v>
      </c>
      <c r="B4871" s="460">
        <f>16/3600</f>
        <v>4.4444444444444444E-3</v>
      </c>
      <c r="C4871" t="str">
        <f t="shared" si="76"/>
        <v/>
      </c>
    </row>
    <row r="4872" spans="1:3" x14ac:dyDescent="0.25">
      <c r="A4872" s="223">
        <v>2.85</v>
      </c>
      <c r="B4872" s="460">
        <f>30/3600</f>
        <v>8.3333333333333332E-3</v>
      </c>
      <c r="C4872" t="str">
        <f t="shared" si="76"/>
        <v/>
      </c>
    </row>
    <row r="4873" spans="1:3" x14ac:dyDescent="0.25">
      <c r="A4873" s="223">
        <v>2.59</v>
      </c>
      <c r="B4873" s="460">
        <f>6.2/3600</f>
        <v>1.7222222222222222E-3</v>
      </c>
      <c r="C4873" t="str">
        <f t="shared" si="76"/>
        <v/>
      </c>
    </row>
    <row r="4874" spans="1:3" x14ac:dyDescent="0.25">
      <c r="A4874" s="223">
        <v>2.59</v>
      </c>
      <c r="B4874" s="460">
        <f>43/3600</f>
        <v>1.1944444444444445E-2</v>
      </c>
      <c r="C4874" t="str">
        <f t="shared" si="76"/>
        <v/>
      </c>
    </row>
    <row r="4875" spans="1:3" x14ac:dyDescent="0.25">
      <c r="A4875" s="223">
        <v>2.59</v>
      </c>
      <c r="B4875" s="460">
        <f>32/3600</f>
        <v>8.8888888888888889E-3</v>
      </c>
      <c r="C4875" t="str">
        <f t="shared" si="76"/>
        <v/>
      </c>
    </row>
    <row r="4876" spans="1:3" x14ac:dyDescent="0.25">
      <c r="A4876" s="223">
        <v>2.23</v>
      </c>
      <c r="B4876" s="460">
        <f>11/3600</f>
        <v>3.0555555555555557E-3</v>
      </c>
      <c r="C4876" t="str">
        <f t="shared" si="76"/>
        <v/>
      </c>
    </row>
    <row r="4877" spans="1:3" x14ac:dyDescent="0.25">
      <c r="A4877" s="223">
        <v>2.1800000000000002</v>
      </c>
      <c r="B4877" s="460">
        <f>25/3600</f>
        <v>6.9444444444444441E-3</v>
      </c>
      <c r="C4877" t="str">
        <f t="shared" si="76"/>
        <v/>
      </c>
    </row>
    <row r="4878" spans="1:3" x14ac:dyDescent="0.25">
      <c r="A4878" s="223">
        <v>2.1800000000000002</v>
      </c>
      <c r="B4878" s="460">
        <f>9.2/3600</f>
        <v>2.5555555555555553E-3</v>
      </c>
      <c r="C4878" t="str">
        <f t="shared" si="76"/>
        <v/>
      </c>
    </row>
    <row r="4879" spans="1:3" x14ac:dyDescent="0.25">
      <c r="A4879" s="223">
        <v>2.14</v>
      </c>
      <c r="B4879" s="460">
        <f>17/3600</f>
        <v>4.7222222222222223E-3</v>
      </c>
      <c r="C4879" t="str">
        <f t="shared" si="76"/>
        <v/>
      </c>
    </row>
    <row r="4880" spans="1:3" x14ac:dyDescent="0.25">
      <c r="A4880" s="223">
        <v>2.12</v>
      </c>
      <c r="B4880" s="460">
        <f>32/3600</f>
        <v>8.8888888888888889E-3</v>
      </c>
      <c r="C4880" t="str">
        <f t="shared" si="76"/>
        <v/>
      </c>
    </row>
    <row r="4881" spans="1:3" x14ac:dyDescent="0.25">
      <c r="A4881" s="223">
        <v>2.06</v>
      </c>
      <c r="B4881" s="460">
        <f>9.1/3600</f>
        <v>2.5277777777777777E-3</v>
      </c>
      <c r="C4881" t="str">
        <f t="shared" si="76"/>
        <v/>
      </c>
    </row>
    <row r="4882" spans="1:3" x14ac:dyDescent="0.25">
      <c r="A4882" s="223">
        <v>5.29</v>
      </c>
      <c r="B4882" s="460">
        <f>720/3600</f>
        <v>0.2</v>
      </c>
      <c r="C4882" t="str">
        <f t="shared" si="76"/>
        <v/>
      </c>
    </row>
    <row r="4883" spans="1:3" x14ac:dyDescent="0.25">
      <c r="A4883" s="223">
        <v>5.38</v>
      </c>
      <c r="B4883" s="460">
        <f>1700/3600</f>
        <v>0.47222222222222221</v>
      </c>
      <c r="C4883" t="str">
        <f t="shared" si="76"/>
        <v/>
      </c>
    </row>
    <row r="4884" spans="1:3" x14ac:dyDescent="0.25">
      <c r="A4884" s="223">
        <v>5.55</v>
      </c>
      <c r="B4884" s="460">
        <f>3200/3600</f>
        <v>0.88888888888888884</v>
      </c>
      <c r="C4884" t="str">
        <f t="shared" si="76"/>
        <v/>
      </c>
    </row>
    <row r="4885" spans="1:3" x14ac:dyDescent="0.25">
      <c r="A4885" s="223">
        <v>7.42</v>
      </c>
      <c r="B4885" s="460">
        <f>2500/3600</f>
        <v>0.69444444444444442</v>
      </c>
      <c r="C4885" t="str">
        <f t="shared" si="76"/>
        <v/>
      </c>
    </row>
    <row r="4886" spans="1:3" x14ac:dyDescent="0.25">
      <c r="A4886" s="223">
        <v>7.41</v>
      </c>
      <c r="B4886" s="460">
        <f>2500/3600</f>
        <v>0.69444444444444442</v>
      </c>
      <c r="C4886" t="str">
        <f t="shared" si="76"/>
        <v/>
      </c>
    </row>
    <row r="4887" spans="1:3" x14ac:dyDescent="0.25">
      <c r="A4887" s="223">
        <v>7.41</v>
      </c>
      <c r="B4887" s="460">
        <f>900/3600</f>
        <v>0.25</v>
      </c>
      <c r="C4887" t="str">
        <f t="shared" si="76"/>
        <v/>
      </c>
    </row>
    <row r="4888" spans="1:3" x14ac:dyDescent="0.25">
      <c r="A4888" s="223">
        <v>10.4</v>
      </c>
      <c r="B4888" s="462">
        <f>3200/3600</f>
        <v>0.88888888888888884</v>
      </c>
      <c r="C4888" t="str">
        <f t="shared" si="76"/>
        <v/>
      </c>
    </row>
    <row r="4889" spans="1:3" x14ac:dyDescent="0.25">
      <c r="A4889" s="223">
        <v>10.6</v>
      </c>
      <c r="B4889" s="458">
        <f>2500/3600</f>
        <v>0.69444444444444442</v>
      </c>
      <c r="C4889" t="str">
        <f t="shared" si="76"/>
        <v/>
      </c>
    </row>
    <row r="4890" spans="1:3" x14ac:dyDescent="0.25">
      <c r="A4890" s="223">
        <v>10.6</v>
      </c>
      <c r="B4890" s="458">
        <f>1900/3600</f>
        <v>0.52777777777777779</v>
      </c>
      <c r="C4890" t="str">
        <f t="shared" si="76"/>
        <v/>
      </c>
    </row>
    <row r="4891" spans="1:3" x14ac:dyDescent="0.25">
      <c r="A4891" s="223">
        <v>17.399999999999999</v>
      </c>
      <c r="B4891" s="458">
        <f>12000/3600</f>
        <v>3.3333333333333335</v>
      </c>
      <c r="C4891" t="str">
        <f t="shared" si="76"/>
        <v/>
      </c>
    </row>
    <row r="4892" spans="1:3" x14ac:dyDescent="0.25">
      <c r="A4892" s="223">
        <v>18.899999999999999</v>
      </c>
      <c r="B4892" s="458">
        <f>2700/3600</f>
        <v>0.75</v>
      </c>
      <c r="C4892" t="str">
        <f t="shared" si="76"/>
        <v/>
      </c>
    </row>
    <row r="4893" spans="1:3" x14ac:dyDescent="0.25">
      <c r="A4893" s="223">
        <v>11.7</v>
      </c>
      <c r="B4893" s="458">
        <f>19000/3600</f>
        <v>5.2777777777777777</v>
      </c>
      <c r="C4893" t="str">
        <f t="shared" si="76"/>
        <v/>
      </c>
    </row>
    <row r="4894" spans="1:3" x14ac:dyDescent="0.25">
      <c r="A4894" s="223">
        <v>12.1</v>
      </c>
      <c r="B4894" s="458">
        <f>8900/3600</f>
        <v>2.4722222222222223</v>
      </c>
      <c r="C4894" t="str">
        <f t="shared" si="76"/>
        <v/>
      </c>
    </row>
    <row r="4895" spans="1:3" x14ac:dyDescent="0.25">
      <c r="A4895" s="223">
        <v>12.8</v>
      </c>
      <c r="B4895" s="458">
        <f>25000/3600</f>
        <v>6.9444444444444446</v>
      </c>
      <c r="C4895" t="str">
        <f t="shared" si="76"/>
        <v/>
      </c>
    </row>
    <row r="4896" spans="1:3" x14ac:dyDescent="0.25">
      <c r="A4896" s="223">
        <v>12.9</v>
      </c>
      <c r="B4896" s="458">
        <f>56000/3600</f>
        <v>15.555555555555555</v>
      </c>
      <c r="C4896" t="str">
        <f t="shared" si="76"/>
        <v/>
      </c>
    </row>
    <row r="4897" spans="1:3" x14ac:dyDescent="0.25">
      <c r="A4897" s="223">
        <v>7.87</v>
      </c>
      <c r="B4897" s="458">
        <f>2400/3600</f>
        <v>0.66666666666666663</v>
      </c>
      <c r="C4897" t="str">
        <f t="shared" si="76"/>
        <v/>
      </c>
    </row>
    <row r="4898" spans="1:3" x14ac:dyDescent="0.25">
      <c r="A4898" s="223">
        <v>7.78</v>
      </c>
      <c r="B4898" s="458">
        <f>41000/3600</f>
        <v>11.388888888888889</v>
      </c>
      <c r="C4898" t="str">
        <f t="shared" si="76"/>
        <v/>
      </c>
    </row>
    <row r="4899" spans="1:3" x14ac:dyDescent="0.25">
      <c r="A4899" s="223">
        <v>6.03</v>
      </c>
      <c r="B4899" s="458">
        <f>11000/3600</f>
        <v>3.0555555555555554</v>
      </c>
      <c r="C4899" t="str">
        <f t="shared" si="76"/>
        <v/>
      </c>
    </row>
    <row r="4900" spans="1:3" x14ac:dyDescent="0.25">
      <c r="A4900" s="223">
        <v>5.92</v>
      </c>
      <c r="B4900" s="458">
        <f>4000/3600</f>
        <v>1.1111111111111112</v>
      </c>
      <c r="C4900" t="str">
        <f t="shared" si="76"/>
        <v/>
      </c>
    </row>
    <row r="4901" spans="1:3" x14ac:dyDescent="0.25">
      <c r="A4901" s="223">
        <v>5.86</v>
      </c>
      <c r="B4901" s="458">
        <f>4100/3600</f>
        <v>1.1388888888888888</v>
      </c>
      <c r="C4901" t="str">
        <f t="shared" si="76"/>
        <v/>
      </c>
    </row>
    <row r="4902" spans="1:3" x14ac:dyDescent="0.25">
      <c r="A4902" s="223">
        <v>3.31</v>
      </c>
      <c r="B4902" s="458">
        <f>2500/3600</f>
        <v>0.69444444444444442</v>
      </c>
      <c r="C4902" t="str">
        <f t="shared" si="76"/>
        <v/>
      </c>
    </row>
    <row r="4903" spans="1:3" x14ac:dyDescent="0.25">
      <c r="A4903" s="223">
        <v>3.29</v>
      </c>
      <c r="B4903" s="458">
        <f>520/3600</f>
        <v>0.14444444444444443</v>
      </c>
      <c r="C4903" t="str">
        <f t="shared" si="76"/>
        <v/>
      </c>
    </row>
    <row r="4904" spans="1:3" x14ac:dyDescent="0.25">
      <c r="A4904" s="223">
        <v>3.29</v>
      </c>
      <c r="B4904" s="458">
        <f>1300/3600</f>
        <v>0.3611111111111111</v>
      </c>
      <c r="C4904" t="str">
        <f t="shared" si="76"/>
        <v/>
      </c>
    </row>
    <row r="4905" spans="1:3" x14ac:dyDescent="0.25">
      <c r="A4905" s="223">
        <v>1.26</v>
      </c>
      <c r="B4905" s="458">
        <f>1/3600</f>
        <v>2.7777777777777778E-4</v>
      </c>
      <c r="C4905" t="str">
        <f t="shared" si="76"/>
        <v/>
      </c>
    </row>
    <row r="4906" spans="1:3" x14ac:dyDescent="0.25">
      <c r="A4906" s="223">
        <v>1.26</v>
      </c>
      <c r="B4906" s="458">
        <f>0.97/3600</f>
        <v>2.6944444444444444E-4</v>
      </c>
      <c r="C4906" t="str">
        <f t="shared" si="76"/>
        <v/>
      </c>
    </row>
    <row r="4907" spans="1:3" x14ac:dyDescent="0.25">
      <c r="A4907" s="223">
        <v>1.26</v>
      </c>
      <c r="B4907" s="458">
        <f>7.7/3600</f>
        <v>2.138888888888889E-3</v>
      </c>
      <c r="C4907" t="str">
        <f t="shared" si="76"/>
        <v/>
      </c>
    </row>
    <row r="4908" spans="1:3" x14ac:dyDescent="0.25">
      <c r="A4908" s="223">
        <v>2.61</v>
      </c>
      <c r="B4908" s="458">
        <f>260/3600</f>
        <v>7.2222222222222215E-2</v>
      </c>
      <c r="C4908" t="str">
        <f t="shared" si="76"/>
        <v/>
      </c>
    </row>
    <row r="4909" spans="1:3" x14ac:dyDescent="0.25">
      <c r="A4909" s="223">
        <v>2.57</v>
      </c>
      <c r="B4909" s="458">
        <f>320/3600</f>
        <v>8.8888888888888892E-2</v>
      </c>
      <c r="C4909" t="str">
        <f t="shared" si="76"/>
        <v/>
      </c>
    </row>
    <row r="4910" spans="1:3" x14ac:dyDescent="0.25">
      <c r="A4910" s="223">
        <v>2.4900000000000002</v>
      </c>
      <c r="B4910" s="458">
        <f>1300/3600</f>
        <v>0.3611111111111111</v>
      </c>
      <c r="C4910" t="str">
        <f t="shared" si="76"/>
        <v/>
      </c>
    </row>
    <row r="4911" spans="1:3" x14ac:dyDescent="0.25">
      <c r="A4911" s="223">
        <v>2</v>
      </c>
      <c r="B4911" s="458">
        <f>350/3600</f>
        <v>9.7222222222222224E-2</v>
      </c>
      <c r="C4911" t="str">
        <f t="shared" si="76"/>
        <v/>
      </c>
    </row>
    <row r="4912" spans="1:3" x14ac:dyDescent="0.25">
      <c r="A4912" s="223">
        <v>2.0499999999999998</v>
      </c>
      <c r="B4912" s="458">
        <f>85/3600</f>
        <v>2.361111111111111E-2</v>
      </c>
      <c r="C4912" t="str">
        <f t="shared" si="76"/>
        <v/>
      </c>
    </row>
    <row r="4913" spans="1:3" x14ac:dyDescent="0.25">
      <c r="A4913" s="223">
        <v>2.06</v>
      </c>
      <c r="B4913" s="458">
        <f>310/3600</f>
        <v>8.611111111111111E-2</v>
      </c>
      <c r="C4913" t="str">
        <f t="shared" si="76"/>
        <v/>
      </c>
    </row>
    <row r="4914" spans="1:3" x14ac:dyDescent="0.25">
      <c r="A4914" s="223">
        <v>1.98</v>
      </c>
      <c r="B4914" s="458">
        <f>68/3600</f>
        <v>1.8888888888888889E-2</v>
      </c>
      <c r="C4914" t="str">
        <f t="shared" si="76"/>
        <v/>
      </c>
    </row>
    <row r="4915" spans="1:3" x14ac:dyDescent="0.25">
      <c r="A4915" s="223">
        <v>1.98</v>
      </c>
      <c r="B4915" s="458">
        <f>95/3600</f>
        <v>2.6388888888888889E-2</v>
      </c>
      <c r="C4915" t="str">
        <f t="shared" si="76"/>
        <v/>
      </c>
    </row>
    <row r="4916" spans="1:3" x14ac:dyDescent="0.25">
      <c r="A4916" s="223">
        <v>1.98</v>
      </c>
      <c r="B4916" s="458">
        <f>27/3600</f>
        <v>7.4999999999999997E-3</v>
      </c>
      <c r="C4916" t="str">
        <f t="shared" si="76"/>
        <v/>
      </c>
    </row>
    <row r="4917" spans="1:3" x14ac:dyDescent="0.25">
      <c r="A4917" s="223">
        <v>2.2000000000000002</v>
      </c>
      <c r="B4917" s="458">
        <f>37/3600</f>
        <v>1.0277777777777778E-2</v>
      </c>
      <c r="C4917" t="str">
        <f t="shared" si="76"/>
        <v/>
      </c>
    </row>
    <row r="4918" spans="1:3" x14ac:dyDescent="0.25">
      <c r="A4918" s="223">
        <v>2.2000000000000002</v>
      </c>
      <c r="B4918" s="458">
        <f>20/3600</f>
        <v>5.5555555555555558E-3</v>
      </c>
      <c r="C4918" t="str">
        <f t="shared" si="76"/>
        <v/>
      </c>
    </row>
    <row r="4919" spans="1:3" x14ac:dyDescent="0.25">
      <c r="A4919" s="223">
        <v>2.2000000000000002</v>
      </c>
      <c r="B4919" s="458">
        <f>58/3600</f>
        <v>1.6111111111111111E-2</v>
      </c>
      <c r="C4919" t="str">
        <f t="shared" si="76"/>
        <v/>
      </c>
    </row>
    <row r="4920" spans="1:3" x14ac:dyDescent="0.25">
      <c r="A4920" s="223">
        <v>2.48</v>
      </c>
      <c r="B4920" s="458">
        <f>32/3600</f>
        <v>8.8888888888888889E-3</v>
      </c>
      <c r="C4920" t="str">
        <f t="shared" si="76"/>
        <v/>
      </c>
    </row>
    <row r="4921" spans="1:3" x14ac:dyDescent="0.25">
      <c r="A4921" s="223">
        <v>2.48</v>
      </c>
      <c r="B4921" s="458">
        <f>15/3600</f>
        <v>4.1666666666666666E-3</v>
      </c>
      <c r="C4921" t="str">
        <f t="shared" ref="C4921:C4984" si="77">IF(B4921=0,"XXXXXXXX","")</f>
        <v/>
      </c>
    </row>
    <row r="4922" spans="1:3" x14ac:dyDescent="0.25">
      <c r="A4922" s="223">
        <v>2.48</v>
      </c>
      <c r="B4922" s="458">
        <f>69/3600</f>
        <v>1.9166666666666665E-2</v>
      </c>
      <c r="C4922" t="str">
        <f t="shared" si="77"/>
        <v/>
      </c>
    </row>
    <row r="4923" spans="1:3" x14ac:dyDescent="0.25">
      <c r="A4923" s="223">
        <v>3.94</v>
      </c>
      <c r="B4923" s="458">
        <f>1900/3600</f>
        <v>0.52777777777777779</v>
      </c>
      <c r="C4923" t="str">
        <f t="shared" si="77"/>
        <v/>
      </c>
    </row>
    <row r="4924" spans="1:3" x14ac:dyDescent="0.25">
      <c r="A4924" s="223">
        <v>3.96</v>
      </c>
      <c r="B4924" s="458">
        <f>1200/3600</f>
        <v>0.33333333333333331</v>
      </c>
      <c r="C4924" t="str">
        <f t="shared" si="77"/>
        <v/>
      </c>
    </row>
    <row r="4925" spans="1:3" x14ac:dyDescent="0.25">
      <c r="A4925" s="223">
        <v>3.99</v>
      </c>
      <c r="B4925" s="458">
        <f>1100/3600</f>
        <v>0.30555555555555558</v>
      </c>
      <c r="C4925" t="str">
        <f t="shared" si="77"/>
        <v/>
      </c>
    </row>
    <row r="4926" spans="1:3" x14ac:dyDescent="0.25">
      <c r="A4926" s="223">
        <v>2.85</v>
      </c>
      <c r="B4926" s="458">
        <f>66/3600</f>
        <v>1.8333333333333333E-2</v>
      </c>
      <c r="C4926" t="str">
        <f t="shared" si="77"/>
        <v/>
      </c>
    </row>
    <row r="4927" spans="1:3" x14ac:dyDescent="0.25">
      <c r="A4927" s="223">
        <v>2.85</v>
      </c>
      <c r="B4927" s="458">
        <f>830/3600</f>
        <v>0.23055555555555557</v>
      </c>
      <c r="C4927" t="str">
        <f t="shared" si="77"/>
        <v/>
      </c>
    </row>
    <row r="4928" spans="1:3" x14ac:dyDescent="0.25">
      <c r="A4928" s="223">
        <v>2.88</v>
      </c>
      <c r="B4928" s="458">
        <f>3200/3600</f>
        <v>0.88888888888888884</v>
      </c>
      <c r="C4928" t="str">
        <f t="shared" si="77"/>
        <v/>
      </c>
    </row>
    <row r="4929" spans="1:3" x14ac:dyDescent="0.25">
      <c r="A4929" s="223">
        <v>2.39</v>
      </c>
      <c r="B4929" s="458">
        <f>34/3600</f>
        <v>9.4444444444444445E-3</v>
      </c>
      <c r="C4929" t="str">
        <f t="shared" si="77"/>
        <v/>
      </c>
    </row>
    <row r="4930" spans="1:3" x14ac:dyDescent="0.25">
      <c r="A4930" s="223">
        <v>2.39</v>
      </c>
      <c r="B4930" s="458">
        <f>38/3600</f>
        <v>1.0555555555555556E-2</v>
      </c>
      <c r="C4930" t="str">
        <f t="shared" si="77"/>
        <v/>
      </c>
    </row>
    <row r="4931" spans="1:3" x14ac:dyDescent="0.25">
      <c r="A4931" s="223">
        <v>2.39</v>
      </c>
      <c r="B4931" s="458">
        <f>46/3600</f>
        <v>1.2777777777777779E-2</v>
      </c>
      <c r="C4931" t="str">
        <f t="shared" si="77"/>
        <v/>
      </c>
    </row>
    <row r="4932" spans="1:3" x14ac:dyDescent="0.25">
      <c r="A4932" s="223">
        <v>1.84</v>
      </c>
      <c r="B4932" s="458">
        <f>14/3600</f>
        <v>3.8888888888888888E-3</v>
      </c>
      <c r="C4932" t="str">
        <f t="shared" si="77"/>
        <v/>
      </c>
    </row>
    <row r="4933" spans="1:3" x14ac:dyDescent="0.25">
      <c r="A4933" s="223">
        <v>1.84</v>
      </c>
      <c r="B4933" s="458">
        <f>17/3600</f>
        <v>4.7222222222222223E-3</v>
      </c>
      <c r="C4933" t="str">
        <f t="shared" si="77"/>
        <v/>
      </c>
    </row>
    <row r="4934" spans="1:3" x14ac:dyDescent="0.25">
      <c r="A4934" s="223">
        <v>1.83</v>
      </c>
      <c r="B4934" s="458">
        <f>21/3600</f>
        <v>5.8333333333333336E-3</v>
      </c>
      <c r="C4934" t="str">
        <f t="shared" si="77"/>
        <v/>
      </c>
    </row>
    <row r="4935" spans="1:3" x14ac:dyDescent="0.25">
      <c r="A4935" s="223">
        <v>1.45</v>
      </c>
      <c r="B4935" s="458">
        <f>5.3/3600</f>
        <v>1.4722222222222222E-3</v>
      </c>
      <c r="C4935" t="str">
        <f t="shared" si="77"/>
        <v/>
      </c>
    </row>
    <row r="4936" spans="1:3" x14ac:dyDescent="0.25">
      <c r="A4936" s="223">
        <v>1.45</v>
      </c>
      <c r="B4936" s="458">
        <f>8.2/3600</f>
        <v>2.2777777777777774E-3</v>
      </c>
      <c r="C4936" t="str">
        <f t="shared" si="77"/>
        <v/>
      </c>
    </row>
    <row r="4937" spans="1:3" x14ac:dyDescent="0.25">
      <c r="A4937" s="223">
        <v>1.45</v>
      </c>
      <c r="B4937" s="458">
        <f>7.5/3600</f>
        <v>2.0833333333333333E-3</v>
      </c>
      <c r="C4937" t="str">
        <f t="shared" si="77"/>
        <v/>
      </c>
    </row>
    <row r="4938" spans="1:3" x14ac:dyDescent="0.25">
      <c r="A4938" s="223">
        <v>1.96</v>
      </c>
      <c r="B4938" s="458">
        <f>(6138/1000)/660</f>
        <v>9.2999999999999992E-3</v>
      </c>
      <c r="C4938" t="str">
        <f t="shared" si="77"/>
        <v/>
      </c>
    </row>
    <row r="4939" spans="1:3" x14ac:dyDescent="0.25">
      <c r="A4939" s="223">
        <v>1.85</v>
      </c>
      <c r="B4939" s="458">
        <f>(8595.6/1000)/780</f>
        <v>1.1020000000000002E-2</v>
      </c>
      <c r="C4939" t="str">
        <f t="shared" si="77"/>
        <v/>
      </c>
    </row>
    <row r="4940" spans="1:3" x14ac:dyDescent="0.25">
      <c r="A4940" s="223">
        <v>1.68</v>
      </c>
      <c r="B4940" s="458">
        <f>(5366.1/1000)/390</f>
        <v>1.375923076923077E-2</v>
      </c>
      <c r="C4940" t="str">
        <f t="shared" si="77"/>
        <v/>
      </c>
    </row>
    <row r="4941" spans="1:3" x14ac:dyDescent="0.25">
      <c r="A4941" s="223">
        <v>1.44</v>
      </c>
      <c r="B4941" s="458">
        <f>(3517.7/1000)/720</f>
        <v>4.8856944444444442E-3</v>
      </c>
      <c r="C4941" t="str">
        <f t="shared" si="77"/>
        <v/>
      </c>
    </row>
    <row r="4942" spans="1:3" x14ac:dyDescent="0.25">
      <c r="A4942" s="223">
        <v>1.32</v>
      </c>
      <c r="B4942" s="458">
        <f>(2059.6/1000)/720</f>
        <v>2.8605555555555559E-3</v>
      </c>
      <c r="C4942" t="str">
        <f t="shared" si="77"/>
        <v/>
      </c>
    </row>
    <row r="4943" spans="1:3" x14ac:dyDescent="0.25">
      <c r="A4943" s="223">
        <v>1.2</v>
      </c>
      <c r="B4943" s="458">
        <f>(1548.3/1000)/600</f>
        <v>2.5804999999999999E-3</v>
      </c>
      <c r="C4943" t="str">
        <f t="shared" si="77"/>
        <v/>
      </c>
    </row>
    <row r="4944" spans="1:3" x14ac:dyDescent="0.25">
      <c r="A4944" s="223">
        <v>1.17</v>
      </c>
      <c r="B4944" s="458">
        <f>(1169.6/1000)/540</f>
        <v>2.1659259259259257E-3</v>
      </c>
      <c r="C4944" t="str">
        <f t="shared" si="77"/>
        <v/>
      </c>
    </row>
    <row r="4945" spans="1:3" x14ac:dyDescent="0.25">
      <c r="A4945" s="223">
        <v>1.38</v>
      </c>
      <c r="B4945" s="458">
        <f>(1020.3/1000)/300</f>
        <v>3.4009999999999999E-3</v>
      </c>
      <c r="C4945" t="str">
        <f t="shared" si="77"/>
        <v/>
      </c>
    </row>
    <row r="4946" spans="1:3" x14ac:dyDescent="0.25">
      <c r="A4946" s="223">
        <v>1.2</v>
      </c>
      <c r="B4946" s="458">
        <f>(3217.7/1000)/540</f>
        <v>5.958703703703703E-3</v>
      </c>
      <c r="C4946" t="str">
        <f t="shared" si="77"/>
        <v/>
      </c>
    </row>
    <row r="4947" spans="1:3" x14ac:dyDescent="0.25">
      <c r="A4947" s="223">
        <v>1.17</v>
      </c>
      <c r="B4947" s="458">
        <f>(2564.5/1000)/540</f>
        <v>4.749074074074074E-3</v>
      </c>
      <c r="C4947" t="str">
        <f t="shared" si="77"/>
        <v/>
      </c>
    </row>
    <row r="4948" spans="1:3" x14ac:dyDescent="0.25">
      <c r="A4948" s="223">
        <v>1.2</v>
      </c>
      <c r="B4948" s="458">
        <f>(2592.4/1000)/540</f>
        <v>4.8007407407407408E-3</v>
      </c>
      <c r="C4948" t="str">
        <f t="shared" si="77"/>
        <v/>
      </c>
    </row>
    <row r="4949" spans="1:3" x14ac:dyDescent="0.25">
      <c r="A4949" s="223">
        <v>1.26</v>
      </c>
      <c r="B4949" s="458">
        <f>(1729.7/1000)/600</f>
        <v>2.8828333333333332E-3</v>
      </c>
      <c r="C4949" t="str">
        <f t="shared" si="77"/>
        <v/>
      </c>
    </row>
    <row r="4950" spans="1:3" x14ac:dyDescent="0.25">
      <c r="A4950" s="223">
        <v>1.35</v>
      </c>
      <c r="B4950" s="458">
        <f>(1046.9/1000)/240</f>
        <v>4.3620833333333341E-3</v>
      </c>
      <c r="C4950" t="str">
        <f t="shared" si="77"/>
        <v/>
      </c>
    </row>
    <row r="4951" spans="1:3" x14ac:dyDescent="0.25">
      <c r="A4951" s="223">
        <v>1.2</v>
      </c>
      <c r="B4951" s="458">
        <f>(2089.3/1000)/300</f>
        <v>6.9643333333333337E-3</v>
      </c>
      <c r="C4951" t="str">
        <f t="shared" si="77"/>
        <v/>
      </c>
    </row>
    <row r="4952" spans="1:3" x14ac:dyDescent="0.25">
      <c r="A4952" s="223">
        <v>5.01</v>
      </c>
      <c r="B4952" s="458">
        <f>(2303.2/1000)/270</f>
        <v>8.5303703703703705E-3</v>
      </c>
      <c r="C4952" t="str">
        <f t="shared" si="77"/>
        <v/>
      </c>
    </row>
    <row r="4953" spans="1:3" x14ac:dyDescent="0.25">
      <c r="A4953" s="223">
        <v>5.01</v>
      </c>
      <c r="B4953" s="458">
        <f>(3605.5/1000)/270</f>
        <v>1.3353703703703704E-2</v>
      </c>
      <c r="C4953" t="str">
        <f t="shared" si="77"/>
        <v/>
      </c>
    </row>
    <row r="4954" spans="1:3" x14ac:dyDescent="0.25">
      <c r="A4954" s="223">
        <v>5.51</v>
      </c>
      <c r="B4954" s="458">
        <f>(6701.7/1000)/270</f>
        <v>2.482111111111111E-2</v>
      </c>
      <c r="C4954" t="str">
        <f t="shared" si="77"/>
        <v/>
      </c>
    </row>
    <row r="4955" spans="1:3" x14ac:dyDescent="0.25">
      <c r="A4955" s="223">
        <v>5.91</v>
      </c>
      <c r="B4955" s="458">
        <f>(3190.1/1000)/270</f>
        <v>1.1815185185185184E-2</v>
      </c>
      <c r="C4955" t="str">
        <f t="shared" si="77"/>
        <v/>
      </c>
    </row>
    <row r="4956" spans="1:3" x14ac:dyDescent="0.25">
      <c r="A4956" s="223">
        <v>5.91</v>
      </c>
      <c r="B4956" s="458">
        <f>(3685.8/1000)/270</f>
        <v>1.365111111111111E-2</v>
      </c>
      <c r="C4956" t="str">
        <f t="shared" si="77"/>
        <v/>
      </c>
    </row>
    <row r="4957" spans="1:3" x14ac:dyDescent="0.25">
      <c r="A4957" s="223">
        <v>5.79</v>
      </c>
      <c r="B4957" s="458">
        <f>(3933.8/1000)/270</f>
        <v>1.456962962962963E-2</v>
      </c>
      <c r="C4957" t="str">
        <f t="shared" si="77"/>
        <v/>
      </c>
    </row>
    <row r="4958" spans="1:3" x14ac:dyDescent="0.25">
      <c r="A4958" s="223">
        <v>5.79</v>
      </c>
      <c r="B4958" s="458">
        <f>(4060.9/1000)/270</f>
        <v>1.5040370370370371E-2</v>
      </c>
      <c r="C4958" t="str">
        <f t="shared" si="77"/>
        <v/>
      </c>
    </row>
    <row r="4959" spans="1:3" x14ac:dyDescent="0.25">
      <c r="A4959" s="223">
        <v>5.56</v>
      </c>
      <c r="B4959" s="458">
        <f>(7643.9/1000)/270</f>
        <v>2.831074074074074E-2</v>
      </c>
      <c r="C4959" t="str">
        <f t="shared" si="77"/>
        <v/>
      </c>
    </row>
    <row r="4960" spans="1:3" x14ac:dyDescent="0.25">
      <c r="A4960" s="223">
        <v>5.23</v>
      </c>
      <c r="B4960" s="458">
        <f>(10013.4/1000)/540</f>
        <v>1.8543333333333332E-2</v>
      </c>
      <c r="C4960" t="str">
        <f t="shared" si="77"/>
        <v/>
      </c>
    </row>
    <row r="4961" spans="1:3" x14ac:dyDescent="0.25">
      <c r="A4961" s="223">
        <v>4.96</v>
      </c>
      <c r="B4961" s="458">
        <f>(6340.3/1000)/600</f>
        <v>1.0567166666666667E-2</v>
      </c>
      <c r="C4961" t="str">
        <f t="shared" si="77"/>
        <v/>
      </c>
    </row>
    <row r="4962" spans="1:3" x14ac:dyDescent="0.25">
      <c r="A4962" s="223">
        <v>5.68</v>
      </c>
      <c r="B4962" s="458">
        <f>(10430.1/1000)/600</f>
        <v>1.73835E-2</v>
      </c>
      <c r="C4962" t="str">
        <f t="shared" si="77"/>
        <v/>
      </c>
    </row>
    <row r="4963" spans="1:3" x14ac:dyDescent="0.25">
      <c r="A4963" s="223">
        <v>2.79</v>
      </c>
      <c r="B4963" s="458">
        <f>(1132.3/1000)/600</f>
        <v>1.8871666666666663E-3</v>
      </c>
      <c r="C4963" t="str">
        <f t="shared" si="77"/>
        <v/>
      </c>
    </row>
    <row r="4964" spans="1:3" x14ac:dyDescent="0.25">
      <c r="A4964" s="223">
        <v>4.6900000000000004</v>
      </c>
      <c r="B4964" s="458">
        <f>(4870.9/1000)/600</f>
        <v>8.1181666666666659E-3</v>
      </c>
      <c r="C4964" t="str">
        <f t="shared" si="77"/>
        <v/>
      </c>
    </row>
    <row r="4965" spans="1:3" x14ac:dyDescent="0.25">
      <c r="A4965" s="223">
        <v>2.3420000000000001</v>
      </c>
      <c r="B4965" s="458">
        <f>(1630.5/1000)/600</f>
        <v>2.7175000000000003E-3</v>
      </c>
      <c r="C4965" t="str">
        <f t="shared" si="77"/>
        <v/>
      </c>
    </row>
    <row r="4966" spans="1:3" x14ac:dyDescent="0.25">
      <c r="A4966" s="223">
        <v>1.671</v>
      </c>
      <c r="B4966" s="458">
        <f>(805.7/1000)/600</f>
        <v>1.3428333333333335E-3</v>
      </c>
      <c r="C4966" t="str">
        <f t="shared" si="77"/>
        <v/>
      </c>
    </row>
    <row r="4967" spans="1:3" x14ac:dyDescent="0.25">
      <c r="A4967" s="223">
        <v>1.875</v>
      </c>
      <c r="B4967" s="458">
        <f>(779.1/1000)/600</f>
        <v>1.2985E-3</v>
      </c>
      <c r="C4967" t="str">
        <f t="shared" si="77"/>
        <v/>
      </c>
    </row>
    <row r="4968" spans="1:3" x14ac:dyDescent="0.25">
      <c r="A4968" s="223">
        <v>1.5940000000000001</v>
      </c>
      <c r="B4968" s="458">
        <f>(535.3/1000)/600</f>
        <v>8.9216666666666665E-4</v>
      </c>
      <c r="C4968" t="str">
        <f t="shared" si="77"/>
        <v/>
      </c>
    </row>
    <row r="4969" spans="1:3" x14ac:dyDescent="0.25">
      <c r="A4969" s="223">
        <v>2.1469999999999998</v>
      </c>
      <c r="B4969" s="458">
        <f>(1594/1000)/600</f>
        <v>2.656666666666667E-3</v>
      </c>
      <c r="C4969" t="str">
        <f t="shared" si="77"/>
        <v/>
      </c>
    </row>
    <row r="4970" spans="1:3" x14ac:dyDescent="0.25">
      <c r="A4970" s="223">
        <v>2.0960000000000001</v>
      </c>
      <c r="B4970" s="458">
        <f>(2270/1000)/600</f>
        <v>3.7833333333333334E-3</v>
      </c>
      <c r="C4970" t="str">
        <f t="shared" si="77"/>
        <v/>
      </c>
    </row>
    <row r="4971" spans="1:3" x14ac:dyDescent="0.25">
      <c r="A4971" s="223">
        <v>2.0649999999999999</v>
      </c>
      <c r="B4971" s="458">
        <f>(2096/1000)/600</f>
        <v>3.4933333333333335E-3</v>
      </c>
      <c r="C4971" t="str">
        <f t="shared" si="77"/>
        <v/>
      </c>
    </row>
    <row r="4972" spans="1:3" x14ac:dyDescent="0.25">
      <c r="A4972" s="223">
        <v>2.1520000000000001</v>
      </c>
      <c r="B4972" s="458">
        <f>(1566/1000)/600</f>
        <v>2.6099999999999999E-3</v>
      </c>
      <c r="C4972" t="str">
        <f t="shared" si="77"/>
        <v/>
      </c>
    </row>
    <row r="4973" spans="1:3" x14ac:dyDescent="0.25">
      <c r="A4973" s="223">
        <v>2.379</v>
      </c>
      <c r="B4973" s="458">
        <f>(2253/1000)/600</f>
        <v>3.7550000000000001E-3</v>
      </c>
      <c r="C4973" t="str">
        <f t="shared" si="77"/>
        <v/>
      </c>
    </row>
    <row r="4974" spans="1:3" x14ac:dyDescent="0.25">
      <c r="A4974" s="223">
        <v>2.6339999999999999</v>
      </c>
      <c r="B4974" s="458">
        <f>(2344/1000)/600</f>
        <v>3.9066666666666668E-3</v>
      </c>
      <c r="C4974" t="str">
        <f t="shared" si="77"/>
        <v/>
      </c>
    </row>
    <row r="4975" spans="1:3" x14ac:dyDescent="0.25">
      <c r="A4975" s="229">
        <v>85.243200000000002</v>
      </c>
      <c r="B4975" s="460">
        <v>3.4859413688000003</v>
      </c>
      <c r="C4975" t="str">
        <f t="shared" si="77"/>
        <v/>
      </c>
    </row>
    <row r="4976" spans="1:3" x14ac:dyDescent="0.25">
      <c r="A4976" s="229">
        <v>89.491200000000006</v>
      </c>
      <c r="B4976" s="460">
        <v>7.0138820312000005</v>
      </c>
      <c r="C4976" t="str">
        <f t="shared" si="77"/>
        <v/>
      </c>
    </row>
    <row r="4977" spans="1:3" x14ac:dyDescent="0.25">
      <c r="A4977" s="229">
        <v>62.870400000000004</v>
      </c>
      <c r="B4977" s="460">
        <v>0.69298834440000001</v>
      </c>
      <c r="C4977" t="str">
        <f t="shared" si="77"/>
        <v/>
      </c>
    </row>
    <row r="4978" spans="1:3" x14ac:dyDescent="0.25">
      <c r="A4978" s="229">
        <v>68.817599999999999</v>
      </c>
      <c r="B4978" s="460">
        <v>0.88198516560000007</v>
      </c>
      <c r="C4978" t="str">
        <f t="shared" si="77"/>
        <v/>
      </c>
    </row>
    <row r="4979" spans="1:3" x14ac:dyDescent="0.25">
      <c r="A4979" s="229">
        <v>117.8112</v>
      </c>
      <c r="B4979" s="460">
        <v>3.2969445475999999</v>
      </c>
      <c r="C4979" t="str">
        <f t="shared" si="77"/>
        <v/>
      </c>
    </row>
    <row r="4980" spans="1:3" x14ac:dyDescent="0.25">
      <c r="A4980" s="229">
        <v>118.66080000000001</v>
      </c>
      <c r="B4980" s="460">
        <v>1.8269692716000001</v>
      </c>
      <c r="C4980" t="str">
        <f t="shared" si="77"/>
        <v/>
      </c>
    </row>
    <row r="4981" spans="1:3" x14ac:dyDescent="0.25">
      <c r="A4981" s="229">
        <v>120.9264</v>
      </c>
      <c r="B4981" s="460">
        <v>2.1629636204000002</v>
      </c>
      <c r="C4981" t="str">
        <f t="shared" si="77"/>
        <v/>
      </c>
    </row>
    <row r="4982" spans="1:3" x14ac:dyDescent="0.25">
      <c r="A4982" s="229">
        <v>120.9264</v>
      </c>
      <c r="B4982" s="460">
        <v>3.1079477263999999</v>
      </c>
      <c r="C4982" t="str">
        <f t="shared" si="77"/>
        <v/>
      </c>
    </row>
    <row r="4983" spans="1:3" x14ac:dyDescent="0.25">
      <c r="A4983" s="229">
        <v>90.907200000000003</v>
      </c>
      <c r="B4983" s="460">
        <v>0.89248498900000006</v>
      </c>
      <c r="C4983" t="str">
        <f t="shared" si="77"/>
        <v/>
      </c>
    </row>
    <row r="4984" spans="1:3" x14ac:dyDescent="0.25">
      <c r="A4984" s="229">
        <v>90.907200000000003</v>
      </c>
      <c r="B4984" s="460">
        <v>1.1444807506000001</v>
      </c>
      <c r="C4984" t="str">
        <f t="shared" si="77"/>
        <v/>
      </c>
    </row>
    <row r="4985" spans="1:3" x14ac:dyDescent="0.25">
      <c r="A4985" s="229">
        <v>139.9008</v>
      </c>
      <c r="B4985" s="460">
        <v>4.2524284770000005</v>
      </c>
      <c r="C4985" t="str">
        <f t="shared" ref="C4985:C5048" si="78">IF(B4985=0,"XXXXXXXX","")</f>
        <v/>
      </c>
    </row>
    <row r="4986" spans="1:3" x14ac:dyDescent="0.25">
      <c r="A4986" s="229">
        <v>157.45920000000001</v>
      </c>
      <c r="B4986" s="460">
        <v>2.3309607948000002</v>
      </c>
      <c r="C4986" t="str">
        <f t="shared" si="78"/>
        <v/>
      </c>
    </row>
    <row r="4987" spans="1:3" x14ac:dyDescent="0.25">
      <c r="A4987" s="229">
        <v>157.7424</v>
      </c>
      <c r="B4987" s="460">
        <v>1.1654803974000001</v>
      </c>
      <c r="C4987" t="str">
        <f t="shared" si="78"/>
        <v/>
      </c>
    </row>
    <row r="4988" spans="1:3" x14ac:dyDescent="0.25">
      <c r="A4988" s="229">
        <v>189.17760000000001</v>
      </c>
      <c r="B4988" s="460">
        <v>1.0289826932000001</v>
      </c>
      <c r="C4988" t="str">
        <f t="shared" si="78"/>
        <v/>
      </c>
    </row>
    <row r="4989" spans="1:3" x14ac:dyDescent="0.25">
      <c r="A4989" s="229">
        <v>204.75360000000001</v>
      </c>
      <c r="B4989" s="460">
        <v>5.5754062254000001</v>
      </c>
      <c r="C4989" t="str">
        <f t="shared" si="78"/>
        <v/>
      </c>
    </row>
    <row r="4990" spans="1:3" x14ac:dyDescent="0.25">
      <c r="A4990" s="229">
        <v>195.69120000000001</v>
      </c>
      <c r="B4990" s="460">
        <v>5.5754062254000001</v>
      </c>
      <c r="C4990" t="str">
        <f t="shared" si="78"/>
        <v/>
      </c>
    </row>
    <row r="4991" spans="1:3" x14ac:dyDescent="0.25">
      <c r="A4991" s="229">
        <v>123.4752</v>
      </c>
      <c r="B4991" s="460">
        <v>4.1369304196000005</v>
      </c>
      <c r="C4991" t="str">
        <f t="shared" si="78"/>
        <v/>
      </c>
    </row>
    <row r="4992" spans="1:3" x14ac:dyDescent="0.25">
      <c r="A4992" s="229">
        <v>129.42240000000001</v>
      </c>
      <c r="B4992" s="460">
        <v>3.0239491392</v>
      </c>
      <c r="C4992" t="str">
        <f t="shared" si="78"/>
        <v/>
      </c>
    </row>
    <row r="4993" spans="1:3" x14ac:dyDescent="0.25">
      <c r="A4993" s="229">
        <v>101.952</v>
      </c>
      <c r="B4993" s="460">
        <v>2.6669551436000001</v>
      </c>
      <c r="C4993" t="str">
        <f t="shared" si="78"/>
        <v/>
      </c>
    </row>
    <row r="4994" spans="1:3" x14ac:dyDescent="0.25">
      <c r="A4994" s="229">
        <v>87.508800000000008</v>
      </c>
      <c r="B4994" s="460">
        <v>1.7954698014000001</v>
      </c>
      <c r="C4994" t="str">
        <f t="shared" si="78"/>
        <v/>
      </c>
    </row>
    <row r="4995" spans="1:3" x14ac:dyDescent="0.25">
      <c r="A4995" s="229">
        <v>90.340800000000002</v>
      </c>
      <c r="B4995" s="460">
        <v>1.6589720971999999</v>
      </c>
      <c r="C4995" t="str">
        <f t="shared" si="78"/>
        <v/>
      </c>
    </row>
    <row r="4996" spans="1:3" x14ac:dyDescent="0.25">
      <c r="A4996" s="229">
        <v>72.216000000000008</v>
      </c>
      <c r="B4996" s="460">
        <v>0.83998587199999997</v>
      </c>
      <c r="C4996" t="str">
        <f t="shared" si="78"/>
        <v/>
      </c>
    </row>
    <row r="4997" spans="1:3" x14ac:dyDescent="0.25">
      <c r="A4997" s="229">
        <v>80.145600000000002</v>
      </c>
      <c r="B4997" s="460">
        <v>3.3074443709999999</v>
      </c>
      <c r="C4997" t="str">
        <f t="shared" si="78"/>
        <v/>
      </c>
    </row>
    <row r="4998" spans="1:3" x14ac:dyDescent="0.25">
      <c r="A4998" s="229">
        <v>81.844800000000006</v>
      </c>
      <c r="B4998" s="460">
        <v>0.98698339960000003</v>
      </c>
      <c r="C4998" t="str">
        <f t="shared" si="78"/>
        <v/>
      </c>
    </row>
    <row r="4999" spans="1:3" x14ac:dyDescent="0.25">
      <c r="A4999" s="229">
        <v>67.401600000000002</v>
      </c>
      <c r="B4999" s="460">
        <v>1.6064729802</v>
      </c>
      <c r="C4999" t="str">
        <f t="shared" si="78"/>
        <v/>
      </c>
    </row>
    <row r="5000" spans="1:3" x14ac:dyDescent="0.25">
      <c r="A5000" s="229">
        <f>0.0283168466*17</f>
        <v>0.48138639220000001</v>
      </c>
      <c r="B5000" s="458">
        <v>1.3555272009399999E-4</v>
      </c>
      <c r="C5000" t="str">
        <f t="shared" si="78"/>
        <v/>
      </c>
    </row>
    <row r="5001" spans="1:3" x14ac:dyDescent="0.25">
      <c r="A5001" s="229">
        <f>0.0283168466*38</f>
        <v>1.0760401708</v>
      </c>
      <c r="B5001" s="458">
        <v>1.4531755585600001E-4</v>
      </c>
      <c r="C5001" t="str">
        <f t="shared" si="78"/>
        <v/>
      </c>
    </row>
    <row r="5002" spans="1:3" x14ac:dyDescent="0.25">
      <c r="A5002" s="229">
        <f>0.0283168466*129</f>
        <v>3.6528732114000002</v>
      </c>
      <c r="B5002" s="458">
        <v>9.1819905650660002E-3</v>
      </c>
      <c r="C5002" t="str">
        <f t="shared" si="78"/>
        <v/>
      </c>
    </row>
    <row r="5003" spans="1:3" x14ac:dyDescent="0.25">
      <c r="A5003" s="229">
        <f>0.0283168466*300</f>
        <v>8.4950539799999998</v>
      </c>
      <c r="B5003" s="458">
        <v>0.16630040293855999</v>
      </c>
      <c r="C5003" t="str">
        <f t="shared" si="78"/>
        <v/>
      </c>
    </row>
    <row r="5004" spans="1:3" x14ac:dyDescent="0.25">
      <c r="A5004" s="229">
        <f>0.0283168466*300</f>
        <v>8.4950539799999998</v>
      </c>
      <c r="B5004" s="458">
        <v>0.22199094126099</v>
      </c>
      <c r="C5004" t="str">
        <f t="shared" si="78"/>
        <v/>
      </c>
    </row>
    <row r="5005" spans="1:3" x14ac:dyDescent="0.25">
      <c r="A5005" s="229">
        <f>0.0283168466*342</f>
        <v>9.6843615372000009</v>
      </c>
      <c r="B5005" s="458">
        <v>0.45885068243872001</v>
      </c>
      <c r="C5005" t="str">
        <f t="shared" si="78"/>
        <v/>
      </c>
    </row>
    <row r="5006" spans="1:3" x14ac:dyDescent="0.25">
      <c r="A5006" s="229">
        <f>0.0283168466*342</f>
        <v>9.6843615372000009</v>
      </c>
      <c r="B5006" s="458">
        <v>0.49395915193776796</v>
      </c>
      <c r="C5006" t="str">
        <f t="shared" si="78"/>
        <v/>
      </c>
    </row>
    <row r="5007" spans="1:3" x14ac:dyDescent="0.25">
      <c r="A5007" s="229">
        <f>0.0283168466*357</f>
        <v>10.1091142362</v>
      </c>
      <c r="B5007" s="458">
        <v>3.7224918901786003E-2</v>
      </c>
      <c r="C5007" t="str">
        <f t="shared" si="78"/>
        <v/>
      </c>
    </row>
    <row r="5008" spans="1:3" x14ac:dyDescent="0.25">
      <c r="A5008" s="229">
        <f>0.0283168466*352</f>
        <v>9.9675300032000003</v>
      </c>
      <c r="B5008" s="458">
        <v>3.6823510653204002E-2</v>
      </c>
      <c r="C5008" t="str">
        <f t="shared" si="78"/>
        <v/>
      </c>
    </row>
    <row r="5009" spans="1:3" x14ac:dyDescent="0.25">
      <c r="A5009" s="229">
        <f>0.0283168466*300</f>
        <v>8.4950539799999998</v>
      </c>
      <c r="B5009" s="458">
        <v>4.715575687174E-2</v>
      </c>
      <c r="C5009" t="str">
        <f t="shared" si="78"/>
        <v/>
      </c>
    </row>
    <row r="5010" spans="1:3" x14ac:dyDescent="0.25">
      <c r="A5010" s="229">
        <f>0.0283168466*304</f>
        <v>8.6083213664000002</v>
      </c>
      <c r="B5010" s="458">
        <v>4.0475769224660008E-2</v>
      </c>
      <c r="C5010" t="str">
        <f t="shared" si="78"/>
        <v/>
      </c>
    </row>
    <row r="5011" spans="1:3" x14ac:dyDescent="0.25">
      <c r="A5011" s="229">
        <f>0.0283168466*266</f>
        <v>7.5322811956000004</v>
      </c>
      <c r="B5011" s="458">
        <v>3.9623288562814003E-2</v>
      </c>
      <c r="C5011" t="str">
        <f t="shared" si="78"/>
        <v/>
      </c>
    </row>
    <row r="5012" spans="1:3" x14ac:dyDescent="0.25">
      <c r="A5012" s="229">
        <f>0.0283168466*266</f>
        <v>7.5322811956000004</v>
      </c>
      <c r="B5012" s="458">
        <v>6.4028553082603995E-2</v>
      </c>
      <c r="C5012" t="str">
        <f t="shared" si="78"/>
        <v/>
      </c>
    </row>
    <row r="5013" spans="1:3" x14ac:dyDescent="0.25">
      <c r="A5013" s="229">
        <f>0.0283168466*266</f>
        <v>7.5322811956000004</v>
      </c>
      <c r="B5013" s="458">
        <v>5.9235698695206007E-2</v>
      </c>
      <c r="C5013" t="str">
        <f t="shared" si="78"/>
        <v/>
      </c>
    </row>
    <row r="5014" spans="1:3" x14ac:dyDescent="0.25">
      <c r="A5014" s="229">
        <f>0.0283168466*221</f>
        <v>6.2580230985999998</v>
      </c>
      <c r="B5014" s="458">
        <v>4.0186394091756006E-2</v>
      </c>
      <c r="C5014" t="str">
        <f t="shared" si="78"/>
        <v/>
      </c>
    </row>
    <row r="5015" spans="1:3" x14ac:dyDescent="0.25">
      <c r="A5015" s="229">
        <f>0.0283168466*214</f>
        <v>6.0598051723999999</v>
      </c>
      <c r="B5015" s="458">
        <v>4.1379069031762E-2</v>
      </c>
      <c r="C5015" t="str">
        <f t="shared" si="78"/>
        <v/>
      </c>
    </row>
    <row r="5016" spans="1:3" x14ac:dyDescent="0.25">
      <c r="A5016" s="229">
        <f>0.0283168466*201</f>
        <v>5.6916861666000003</v>
      </c>
      <c r="B5016" s="458">
        <v>4.6209827781634003E-2</v>
      </c>
      <c r="C5016" t="str">
        <f t="shared" si="78"/>
        <v/>
      </c>
    </row>
    <row r="5017" spans="1:3" x14ac:dyDescent="0.25">
      <c r="A5017" s="229">
        <f>0.0283168466*201</f>
        <v>5.6916861666000003</v>
      </c>
      <c r="B5017" s="458">
        <v>2.2292280058773997E-2</v>
      </c>
      <c r="C5017" t="str">
        <f t="shared" si="78"/>
        <v/>
      </c>
    </row>
    <row r="5018" spans="1:3" x14ac:dyDescent="0.25">
      <c r="A5018" s="229">
        <f>0.0283168466*201</f>
        <v>5.6916861666000003</v>
      </c>
      <c r="B5018" s="458">
        <v>1.564736182185E-2</v>
      </c>
      <c r="C5018" t="str">
        <f t="shared" si="78"/>
        <v/>
      </c>
    </row>
    <row r="5019" spans="1:3" x14ac:dyDescent="0.25">
      <c r="A5019" s="229">
        <f>0.0283168466*201</f>
        <v>5.6916861666000003</v>
      </c>
      <c r="B5019" s="458">
        <v>1.3207727854860001E-2</v>
      </c>
      <c r="C5019" t="str">
        <f t="shared" si="78"/>
        <v/>
      </c>
    </row>
    <row r="5020" spans="1:3" x14ac:dyDescent="0.25">
      <c r="A5020" s="229">
        <f>0.0283168466*204</f>
        <v>5.7766367063999997</v>
      </c>
      <c r="B5020" s="458">
        <v>3.5786653092453997E-2</v>
      </c>
      <c r="C5020" t="str">
        <f t="shared" si="78"/>
        <v/>
      </c>
    </row>
    <row r="5021" spans="1:3" x14ac:dyDescent="0.25">
      <c r="A5021" s="229">
        <f>0.0283168466*105</f>
        <v>2.9732688930000002</v>
      </c>
      <c r="B5021" s="458">
        <v>7.1083804417999995E-5</v>
      </c>
      <c r="C5021" t="str">
        <f t="shared" si="78"/>
        <v/>
      </c>
    </row>
    <row r="5022" spans="1:3" x14ac:dyDescent="0.25">
      <c r="A5022" s="229">
        <f>0.0283168466*53</f>
        <v>1.5007928698000002</v>
      </c>
      <c r="B5022" s="458">
        <v>5.3003108523200001E-3</v>
      </c>
      <c r="C5022" t="str">
        <f t="shared" si="78"/>
        <v/>
      </c>
    </row>
    <row r="5023" spans="1:3" x14ac:dyDescent="0.25">
      <c r="A5023" s="229">
        <f>0.0283168466*126</f>
        <v>3.5679226715999999</v>
      </c>
      <c r="B5023" s="458">
        <v>6.7461365344999996E-4</v>
      </c>
      <c r="C5023" t="str">
        <f t="shared" si="78"/>
        <v/>
      </c>
    </row>
    <row r="5024" spans="1:3" x14ac:dyDescent="0.25">
      <c r="A5024" s="229">
        <f>0.0283168466*131</f>
        <v>3.7095069046</v>
      </c>
      <c r="B5024" s="458">
        <v>6.1728461768600007E-4</v>
      </c>
      <c r="C5024" t="str">
        <f t="shared" si="78"/>
        <v/>
      </c>
    </row>
    <row r="5025" spans="1:3" x14ac:dyDescent="0.25">
      <c r="A5025" s="229">
        <f>0.0283168466*101</f>
        <v>2.8600015066000002</v>
      </c>
      <c r="B5025" s="458">
        <v>4.2681782121000008E-4</v>
      </c>
      <c r="C5025" t="str">
        <f t="shared" si="78"/>
        <v/>
      </c>
    </row>
    <row r="5026" spans="1:3" x14ac:dyDescent="0.25">
      <c r="A5026" s="229">
        <f>0.0283168466*95</f>
        <v>2.690100427</v>
      </c>
      <c r="B5026" s="458">
        <v>4.3038776116599998E-4</v>
      </c>
      <c r="C5026" t="str">
        <f t="shared" si="78"/>
        <v/>
      </c>
    </row>
    <row r="5027" spans="1:3" x14ac:dyDescent="0.25">
      <c r="A5027" s="229">
        <f>0.0283168466*126</f>
        <v>3.5679226715999999</v>
      </c>
      <c r="B5027" s="458">
        <v>7.6186718590400015E-4</v>
      </c>
      <c r="C5027" t="str">
        <f t="shared" si="78"/>
        <v/>
      </c>
    </row>
    <row r="5028" spans="1:3" x14ac:dyDescent="0.25">
      <c r="A5028" s="229">
        <f>0.0283168466*124</f>
        <v>3.5112889784000001</v>
      </c>
      <c r="B5028" s="458">
        <v>1.815209469392E-3</v>
      </c>
      <c r="C5028" t="str">
        <f t="shared" si="78"/>
        <v/>
      </c>
    </row>
    <row r="5029" spans="1:3" x14ac:dyDescent="0.25">
      <c r="A5029" s="229">
        <f>0.0283168466*111</f>
        <v>3.1431699726</v>
      </c>
      <c r="B5029" s="458">
        <v>2.6890047727400003E-4</v>
      </c>
      <c r="C5029" t="str">
        <f t="shared" si="78"/>
        <v/>
      </c>
    </row>
    <row r="5030" spans="1:3" x14ac:dyDescent="0.25">
      <c r="A5030" s="229">
        <f>0.0283168466*105</f>
        <v>2.9732688930000002</v>
      </c>
      <c r="B5030" s="458">
        <v>1.8650836305419999E-3</v>
      </c>
      <c r="C5030" t="str">
        <f t="shared" si="78"/>
        <v/>
      </c>
    </row>
    <row r="5031" spans="1:3" x14ac:dyDescent="0.25">
      <c r="A5031" s="229">
        <f>0.0283168466*151</f>
        <v>4.2758438366</v>
      </c>
      <c r="B5031" s="458">
        <v>3.206331071658E-3</v>
      </c>
      <c r="C5031" t="str">
        <f t="shared" si="78"/>
        <v/>
      </c>
    </row>
    <row r="5032" spans="1:3" x14ac:dyDescent="0.25">
      <c r="A5032" s="229">
        <f>0.0283168466*65</f>
        <v>1.8405950290000002</v>
      </c>
      <c r="B5032" s="458">
        <v>6.7408866228000003E-5</v>
      </c>
      <c r="C5032" t="str">
        <f t="shared" si="78"/>
        <v/>
      </c>
    </row>
    <row r="5033" spans="1:3" x14ac:dyDescent="0.25">
      <c r="A5033" s="229">
        <f>0.0283168466*57</f>
        <v>1.6140602562000002</v>
      </c>
      <c r="B5033" s="458">
        <v>1.7534705078000002E-5</v>
      </c>
      <c r="C5033" t="str">
        <f t="shared" si="78"/>
        <v/>
      </c>
    </row>
    <row r="5034" spans="1:3" x14ac:dyDescent="0.25">
      <c r="A5034" s="229">
        <f>0.0283168466*32</f>
        <v>0.90613909120000002</v>
      </c>
      <c r="B5034" s="458">
        <v>2.6249558500000001E-4</v>
      </c>
      <c r="C5034" t="str">
        <f t="shared" si="78"/>
        <v/>
      </c>
    </row>
    <row r="5035" spans="1:3" x14ac:dyDescent="0.25">
      <c r="A5035" s="229">
        <f>0.0283168466*89</f>
        <v>2.5201993474000002</v>
      </c>
      <c r="B5035" s="458">
        <v>1.8313791974280001E-3</v>
      </c>
      <c r="C5035" t="str">
        <f t="shared" si="78"/>
        <v/>
      </c>
    </row>
    <row r="5036" spans="1:3" x14ac:dyDescent="0.25">
      <c r="A5036" s="229">
        <f>0.0283168466*99</f>
        <v>2.8033678134</v>
      </c>
      <c r="B5036" s="458">
        <v>1.2038047528100001E-2</v>
      </c>
      <c r="C5036" t="str">
        <f t="shared" si="78"/>
        <v/>
      </c>
    </row>
    <row r="5037" spans="1:3" x14ac:dyDescent="0.25">
      <c r="A5037" s="229">
        <f>0.0283168466*99</f>
        <v>2.8033678134</v>
      </c>
      <c r="B5037" s="458">
        <v>6.1756811291780005E-3</v>
      </c>
      <c r="C5037" t="str">
        <f t="shared" si="78"/>
        <v/>
      </c>
    </row>
    <row r="5038" spans="1:3" x14ac:dyDescent="0.25">
      <c r="A5038" s="229">
        <f>0.0283168466*233</f>
        <v>6.5978252578000003</v>
      </c>
      <c r="B5038" s="458">
        <v>7.1211902263480006E-3</v>
      </c>
      <c r="C5038" t="str">
        <f t="shared" si="78"/>
        <v/>
      </c>
    </row>
    <row r="5039" spans="1:3" x14ac:dyDescent="0.25">
      <c r="A5039" s="230">
        <v>7.9287170480000002</v>
      </c>
      <c r="B5039" s="458">
        <v>0.14222640784704002</v>
      </c>
      <c r="C5039" t="str">
        <f t="shared" si="78"/>
        <v/>
      </c>
    </row>
    <row r="5040" spans="1:3" x14ac:dyDescent="0.25">
      <c r="A5040" s="230">
        <v>8.0419844343999998</v>
      </c>
      <c r="B5040" s="458">
        <v>0.14969703219614</v>
      </c>
      <c r="C5040" t="str">
        <f t="shared" si="78"/>
        <v/>
      </c>
    </row>
    <row r="5041" spans="1:3" x14ac:dyDescent="0.25">
      <c r="A5041" s="230">
        <v>8.0419844343999998</v>
      </c>
      <c r="B5041" s="458">
        <v>2.3587433275164001E-2</v>
      </c>
      <c r="C5041" t="str">
        <f t="shared" si="78"/>
        <v/>
      </c>
    </row>
    <row r="5042" spans="1:3" x14ac:dyDescent="0.25">
      <c r="A5042" s="230">
        <v>7.5605980422000005</v>
      </c>
      <c r="B5042" s="458">
        <v>3.9963692837442E-2</v>
      </c>
      <c r="C5042" t="str">
        <f t="shared" si="78"/>
        <v/>
      </c>
    </row>
    <row r="5043" spans="1:3" x14ac:dyDescent="0.25">
      <c r="A5043" s="230">
        <v>6.7960431840000002</v>
      </c>
      <c r="B5043" s="458">
        <v>5.9776544598539993E-3</v>
      </c>
      <c r="C5043" t="str">
        <f t="shared" si="78"/>
        <v/>
      </c>
    </row>
    <row r="5044" spans="1:3" x14ac:dyDescent="0.25">
      <c r="A5044" s="230">
        <v>5.7200030132000004</v>
      </c>
      <c r="B5044" s="458">
        <v>6.8147003813020003E-3</v>
      </c>
      <c r="C5044" t="str">
        <f t="shared" si="78"/>
        <v/>
      </c>
    </row>
    <row r="5045" spans="1:3" x14ac:dyDescent="0.25">
      <c r="A5045" s="230">
        <v>6.0881220190000001</v>
      </c>
      <c r="B5045" s="458">
        <v>2.1796583396060001E-3</v>
      </c>
      <c r="C5045" t="str">
        <f t="shared" si="78"/>
        <v/>
      </c>
    </row>
    <row r="5046" spans="1:3" x14ac:dyDescent="0.25">
      <c r="A5046" s="230">
        <v>6.0881220190000001</v>
      </c>
      <c r="B5046" s="458">
        <v>6.4381767141779997E-2</v>
      </c>
      <c r="C5046" t="str">
        <f t="shared" si="78"/>
        <v/>
      </c>
    </row>
    <row r="5047" spans="1:3" x14ac:dyDescent="0.25">
      <c r="A5047" s="230">
        <v>7.7021822752000002</v>
      </c>
      <c r="B5047" s="458">
        <v>0.12862703657936</v>
      </c>
      <c r="C5047" t="str">
        <f t="shared" si="78"/>
        <v/>
      </c>
    </row>
    <row r="5048" spans="1:3" x14ac:dyDescent="0.25">
      <c r="A5048" s="230">
        <v>8.5516876732</v>
      </c>
      <c r="B5048" s="458">
        <v>0.21901161637124</v>
      </c>
      <c r="C5048" t="str">
        <f t="shared" si="78"/>
        <v/>
      </c>
    </row>
    <row r="5049" spans="1:3" x14ac:dyDescent="0.25">
      <c r="A5049" s="230">
        <v>9.4578267644</v>
      </c>
      <c r="B5049" s="458">
        <v>0.29908956951368004</v>
      </c>
      <c r="C5049" t="str">
        <f t="shared" ref="C5049:C5112" si="79">IF(B5049=0,"XXXXXXXX","")</f>
        <v/>
      </c>
    </row>
    <row r="5050" spans="1:3" x14ac:dyDescent="0.25">
      <c r="A5050" s="230">
        <v>9.4578267644</v>
      </c>
      <c r="B5050" s="458">
        <v>0.39007263923935998</v>
      </c>
      <c r="C5050" t="str">
        <f t="shared" si="79"/>
        <v/>
      </c>
    </row>
    <row r="5051" spans="1:3" x14ac:dyDescent="0.25">
      <c r="A5051" s="230">
        <v>9.4578267644</v>
      </c>
      <c r="B5051" s="458">
        <v>0.16105259120324</v>
      </c>
      <c r="C5051" t="str">
        <f t="shared" si="79"/>
        <v/>
      </c>
    </row>
    <row r="5052" spans="1:3" x14ac:dyDescent="0.25">
      <c r="A5052" s="273">
        <v>7.9287170480000002</v>
      </c>
      <c r="B5052" s="458">
        <v>9.9866655309718E-2</v>
      </c>
      <c r="C5052" t="str">
        <f t="shared" si="79"/>
        <v/>
      </c>
    </row>
    <row r="5053" spans="1:3" x14ac:dyDescent="0.25">
      <c r="A5053" s="230">
        <v>6.9093105704000006</v>
      </c>
      <c r="B5053" s="458">
        <v>3.8418643824132001E-2</v>
      </c>
      <c r="C5053" t="str">
        <f t="shared" si="79"/>
        <v/>
      </c>
    </row>
    <row r="5054" spans="1:3" x14ac:dyDescent="0.25">
      <c r="A5054" s="230">
        <v>2.9166351998</v>
      </c>
      <c r="B5054" s="458">
        <v>1.8424880105852002E-2</v>
      </c>
      <c r="C5054" t="str">
        <f t="shared" si="79"/>
        <v/>
      </c>
    </row>
    <row r="5055" spans="1:3" x14ac:dyDescent="0.25">
      <c r="A5055" s="276">
        <v>0.24355199999999999</v>
      </c>
      <c r="B5055" s="458">
        <v>4.9034175278000005E-5</v>
      </c>
      <c r="C5055" t="str">
        <f t="shared" si="79"/>
        <v/>
      </c>
    </row>
    <row r="5056" spans="1:3" x14ac:dyDescent="0.25">
      <c r="A5056" s="223">
        <v>0.39648</v>
      </c>
      <c r="B5056" s="458">
        <v>1.9718668345200001E-4</v>
      </c>
      <c r="C5056" t="str">
        <f t="shared" si="79"/>
        <v/>
      </c>
    </row>
    <row r="5057" spans="1:3" x14ac:dyDescent="0.25">
      <c r="A5057" s="277">
        <v>1.1044800000000001</v>
      </c>
      <c r="B5057" s="458">
        <v>1.0001186786734E-2</v>
      </c>
      <c r="C5057" t="str">
        <f t="shared" si="79"/>
        <v/>
      </c>
    </row>
    <row r="5058" spans="1:3" x14ac:dyDescent="0.25">
      <c r="A5058" s="223">
        <v>1.07616</v>
      </c>
      <c r="B5058" s="458">
        <v>6.236685103132E-3</v>
      </c>
      <c r="C5058" t="str">
        <f t="shared" si="79"/>
        <v/>
      </c>
    </row>
    <row r="5059" spans="1:3" x14ac:dyDescent="0.25">
      <c r="A5059" s="223">
        <v>1.52928</v>
      </c>
      <c r="B5059" s="458">
        <v>6.7810799467752009E-2</v>
      </c>
      <c r="C5059" t="str">
        <f t="shared" si="79"/>
        <v/>
      </c>
    </row>
    <row r="5060" spans="1:3" x14ac:dyDescent="0.25">
      <c r="A5060" s="223">
        <v>1.6142400000000001</v>
      </c>
      <c r="B5060" s="458">
        <v>7.4031839834017996E-2</v>
      </c>
      <c r="C5060" t="str">
        <f t="shared" si="79"/>
        <v/>
      </c>
    </row>
    <row r="5061" spans="1:3" x14ac:dyDescent="0.25">
      <c r="A5061" s="223">
        <v>1.8124800000000001</v>
      </c>
      <c r="B5061" s="458">
        <v>6.6440467515818002E-2</v>
      </c>
      <c r="C5061" t="str">
        <f t="shared" si="79"/>
        <v/>
      </c>
    </row>
    <row r="5062" spans="1:3" x14ac:dyDescent="0.25">
      <c r="A5062" s="223">
        <v>1.8124800000000001</v>
      </c>
      <c r="B5062" s="458">
        <v>7.4692068729410005E-2</v>
      </c>
      <c r="C5062" t="str">
        <f t="shared" si="79"/>
        <v/>
      </c>
    </row>
    <row r="5063" spans="1:3" x14ac:dyDescent="0.25">
      <c r="A5063" s="223">
        <v>1.6992</v>
      </c>
      <c r="B5063" s="458">
        <v>1.6472542942856001E-2</v>
      </c>
      <c r="C5063" t="str">
        <f t="shared" si="79"/>
        <v/>
      </c>
    </row>
    <row r="5064" spans="1:3" x14ac:dyDescent="0.25">
      <c r="A5064" s="223">
        <v>1.6992</v>
      </c>
      <c r="B5064" s="458">
        <v>3.8553461556588002E-2</v>
      </c>
      <c r="C5064" t="str">
        <f t="shared" si="79"/>
        <v/>
      </c>
    </row>
    <row r="5065" spans="1:3" x14ac:dyDescent="0.25">
      <c r="A5065" s="223">
        <v>1.6992</v>
      </c>
      <c r="B5065" s="458">
        <v>3.3455482301186001E-2</v>
      </c>
      <c r="C5065" t="str">
        <f t="shared" si="79"/>
        <v/>
      </c>
    </row>
    <row r="5066" spans="1:3" x14ac:dyDescent="0.25">
      <c r="A5066" s="223">
        <v>1.6708800000000001</v>
      </c>
      <c r="B5066" s="458">
        <v>2.4180673297264005E-2</v>
      </c>
      <c r="C5066" t="str">
        <f t="shared" si="79"/>
        <v/>
      </c>
    </row>
    <row r="5067" spans="1:3" x14ac:dyDescent="0.25">
      <c r="A5067" s="223">
        <v>1.64256</v>
      </c>
      <c r="B5067" s="458">
        <v>2.3478235111804E-2</v>
      </c>
      <c r="C5067" t="str">
        <f t="shared" si="79"/>
        <v/>
      </c>
    </row>
    <row r="5068" spans="1:3" x14ac:dyDescent="0.25">
      <c r="A5068" s="223">
        <v>1.58592</v>
      </c>
      <c r="B5068" s="458">
        <v>3.3826966053078E-2</v>
      </c>
      <c r="C5068" t="str">
        <f t="shared" si="79"/>
        <v/>
      </c>
    </row>
    <row r="5069" spans="1:3" x14ac:dyDescent="0.25">
      <c r="A5069" s="223">
        <v>1.3593600000000001</v>
      </c>
      <c r="B5069" s="458">
        <v>4.5002243092400005E-3</v>
      </c>
      <c r="C5069" t="str">
        <f t="shared" si="79"/>
        <v/>
      </c>
    </row>
    <row r="5070" spans="1:3" x14ac:dyDescent="0.25">
      <c r="A5070" s="223">
        <v>1.3593600000000001</v>
      </c>
      <c r="B5070" s="458">
        <v>7.5762525725039994E-3</v>
      </c>
      <c r="C5070" t="str">
        <f t="shared" si="79"/>
        <v/>
      </c>
    </row>
    <row r="5071" spans="1:3" x14ac:dyDescent="0.25">
      <c r="A5071" s="223">
        <v>1.1044800000000001</v>
      </c>
      <c r="B5071" s="458">
        <v>7.7051904038560005E-3</v>
      </c>
      <c r="C5071" t="str">
        <f t="shared" si="79"/>
        <v/>
      </c>
    </row>
    <row r="5072" spans="1:3" x14ac:dyDescent="0.25">
      <c r="A5072" s="223">
        <v>1.1044800000000001</v>
      </c>
      <c r="B5072" s="458">
        <v>3.4363822023519997E-3</v>
      </c>
      <c r="C5072" t="str">
        <f t="shared" si="79"/>
        <v/>
      </c>
    </row>
    <row r="5073" spans="1:3" x14ac:dyDescent="0.25">
      <c r="A5073" s="223">
        <v>0.39648</v>
      </c>
      <c r="B5073" s="458">
        <v>6.6568880356000003E-5</v>
      </c>
      <c r="C5073" t="str">
        <f t="shared" si="79"/>
        <v/>
      </c>
    </row>
    <row r="5074" spans="1:3" x14ac:dyDescent="0.25">
      <c r="A5074" s="223">
        <v>0.42480000000000001</v>
      </c>
      <c r="B5074" s="458">
        <v>1.1540355898940003E-3</v>
      </c>
      <c r="C5074" t="str">
        <f t="shared" si="79"/>
        <v/>
      </c>
    </row>
    <row r="5075" spans="1:3" x14ac:dyDescent="0.25">
      <c r="A5075" s="223">
        <v>0.45312000000000002</v>
      </c>
      <c r="B5075" s="458">
        <v>3.4728165895500001E-3</v>
      </c>
      <c r="C5075" t="str">
        <f t="shared" si="79"/>
        <v/>
      </c>
    </row>
    <row r="5076" spans="1:3" x14ac:dyDescent="0.25">
      <c r="A5076" s="223">
        <v>0.48144000000000003</v>
      </c>
      <c r="B5076" s="458">
        <v>1.5222643965319999E-3</v>
      </c>
      <c r="C5076" t="str">
        <f t="shared" si="79"/>
        <v/>
      </c>
    </row>
    <row r="5077" spans="1:3" x14ac:dyDescent="0.25">
      <c r="A5077" s="223">
        <v>0.50975999999999999</v>
      </c>
      <c r="B5077" s="458">
        <v>4.8889277715080002E-3</v>
      </c>
      <c r="C5077" t="str">
        <f t="shared" si="79"/>
        <v/>
      </c>
    </row>
    <row r="5078" spans="1:3" x14ac:dyDescent="0.25">
      <c r="A5078" s="223">
        <v>0.56640000000000001</v>
      </c>
      <c r="B5078" s="458">
        <v>3.0126093299280001E-3</v>
      </c>
      <c r="C5078" t="str">
        <f t="shared" si="79"/>
        <v/>
      </c>
    </row>
    <row r="5079" spans="1:3" x14ac:dyDescent="0.25">
      <c r="A5079" s="223">
        <v>0.53808</v>
      </c>
      <c r="B5079" s="458">
        <v>3.2436054447280002E-3</v>
      </c>
      <c r="C5079" t="str">
        <f t="shared" si="79"/>
        <v/>
      </c>
    </row>
    <row r="5080" spans="1:3" x14ac:dyDescent="0.25">
      <c r="A5080" s="223">
        <v>0.50975999999999999</v>
      </c>
      <c r="B5080" s="458">
        <v>2.0875748883880003E-3</v>
      </c>
      <c r="C5080" t="str">
        <f t="shared" si="79"/>
        <v/>
      </c>
    </row>
    <row r="5081" spans="1:3" x14ac:dyDescent="0.25">
      <c r="A5081" s="223">
        <v>0.50975999999999999</v>
      </c>
      <c r="B5081" s="458">
        <v>7.0296317663000004E-4</v>
      </c>
      <c r="C5081" t="str">
        <f t="shared" si="79"/>
        <v/>
      </c>
    </row>
    <row r="5082" spans="1:3" x14ac:dyDescent="0.25">
      <c r="A5082" s="223">
        <v>0.56640000000000001</v>
      </c>
      <c r="B5082" s="458">
        <v>2.8606768853300002E-3</v>
      </c>
      <c r="C5082" t="str">
        <f t="shared" si="79"/>
        <v/>
      </c>
    </row>
    <row r="5083" spans="1:3" x14ac:dyDescent="0.25">
      <c r="A5083" s="223">
        <v>0.59472000000000003</v>
      </c>
      <c r="B5083" s="458">
        <v>5.02049055871E-3</v>
      </c>
      <c r="C5083" t="str">
        <f t="shared" si="79"/>
        <v/>
      </c>
    </row>
    <row r="5084" spans="1:3" x14ac:dyDescent="0.25">
      <c r="A5084" s="223">
        <v>0.59472000000000003</v>
      </c>
      <c r="B5084" s="458">
        <v>5.2168372562899998E-3</v>
      </c>
      <c r="C5084" t="str">
        <f t="shared" si="79"/>
        <v/>
      </c>
    </row>
    <row r="5085" spans="1:3" x14ac:dyDescent="0.25">
      <c r="A5085" s="223">
        <v>0.56640000000000001</v>
      </c>
      <c r="B5085" s="458">
        <v>3.2676500403139999E-3</v>
      </c>
      <c r="C5085" t="str">
        <f t="shared" si="79"/>
        <v/>
      </c>
    </row>
    <row r="5086" spans="1:3" x14ac:dyDescent="0.25">
      <c r="A5086" s="223">
        <v>0.53808</v>
      </c>
      <c r="B5086" s="458">
        <v>1.70569631133E-3</v>
      </c>
      <c r="C5086" t="str">
        <f t="shared" si="79"/>
        <v/>
      </c>
    </row>
    <row r="5087" spans="1:3" x14ac:dyDescent="0.25">
      <c r="A5087" s="223">
        <v>0.39648</v>
      </c>
      <c r="B5087" s="458">
        <v>5.8200521106200004E-4</v>
      </c>
      <c r="C5087" t="str">
        <f t="shared" si="79"/>
        <v/>
      </c>
    </row>
    <row r="5088" spans="1:3" x14ac:dyDescent="0.25">
      <c r="A5088" s="223">
        <v>0.21523200000000001</v>
      </c>
      <c r="B5088" s="458">
        <v>2.3729600884E-5</v>
      </c>
      <c r="C5088" t="str">
        <f t="shared" si="79"/>
        <v/>
      </c>
    </row>
    <row r="5089" spans="1:3" x14ac:dyDescent="0.25">
      <c r="A5089" s="223">
        <v>0.48144000000000003</v>
      </c>
      <c r="B5089" s="458">
        <v>2.12936418552E-2</v>
      </c>
      <c r="C5089" t="str">
        <f t="shared" si="79"/>
        <v/>
      </c>
    </row>
    <row r="5090" spans="1:3" x14ac:dyDescent="0.25">
      <c r="A5090" s="223">
        <v>0.50975999999999999</v>
      </c>
      <c r="B5090" s="458">
        <v>9.6638274608920015E-3</v>
      </c>
      <c r="C5090" t="str">
        <f t="shared" si="79"/>
        <v/>
      </c>
    </row>
    <row r="5091" spans="1:3" x14ac:dyDescent="0.25">
      <c r="A5091" s="223">
        <v>1.0478400000000001</v>
      </c>
      <c r="B5091" s="458">
        <v>9.3133433558000005E-3</v>
      </c>
      <c r="C5091" t="str">
        <f t="shared" si="79"/>
        <v/>
      </c>
    </row>
    <row r="5092" spans="1:3" x14ac:dyDescent="0.25">
      <c r="A5092" s="223">
        <v>1.07616</v>
      </c>
      <c r="B5092" s="458">
        <v>1.519639440682E-2</v>
      </c>
      <c r="C5092" t="str">
        <f t="shared" si="79"/>
        <v/>
      </c>
    </row>
    <row r="5093" spans="1:3" x14ac:dyDescent="0.25">
      <c r="A5093" s="223">
        <v>1.0478400000000001</v>
      </c>
      <c r="B5093" s="458">
        <v>1.026777730286E-2</v>
      </c>
      <c r="C5093" t="str">
        <f t="shared" si="79"/>
        <v/>
      </c>
    </row>
    <row r="5094" spans="1:3" x14ac:dyDescent="0.25">
      <c r="A5094" s="223">
        <v>1.07616</v>
      </c>
      <c r="B5094" s="458">
        <v>1.661807049518E-2</v>
      </c>
      <c r="C5094" t="str">
        <f t="shared" si="79"/>
        <v/>
      </c>
    </row>
    <row r="5095" spans="1:3" x14ac:dyDescent="0.25">
      <c r="A5095" s="223">
        <v>1.1894400000000001</v>
      </c>
      <c r="B5095" s="458">
        <v>1.7147156596306001E-2</v>
      </c>
      <c r="C5095" t="str">
        <f t="shared" si="79"/>
        <v/>
      </c>
    </row>
    <row r="5096" spans="1:3" x14ac:dyDescent="0.25">
      <c r="A5096" s="223">
        <v>1.1894400000000001</v>
      </c>
      <c r="B5096" s="458">
        <v>1.078751856116E-2</v>
      </c>
      <c r="C5096" t="str">
        <f t="shared" si="79"/>
        <v/>
      </c>
    </row>
    <row r="5097" spans="1:3" x14ac:dyDescent="0.25">
      <c r="A5097" s="223">
        <v>1.1044800000000001</v>
      </c>
      <c r="B5097" s="458">
        <v>9.9570875284540009E-3</v>
      </c>
      <c r="C5097" t="str">
        <f t="shared" si="79"/>
        <v/>
      </c>
    </row>
    <row r="5098" spans="1:3" x14ac:dyDescent="0.25">
      <c r="A5098" s="223">
        <v>1.07616</v>
      </c>
      <c r="B5098" s="458">
        <v>8.461387685124E-3</v>
      </c>
      <c r="C5098" t="str">
        <f t="shared" si="79"/>
        <v/>
      </c>
    </row>
    <row r="5099" spans="1:3" x14ac:dyDescent="0.25">
      <c r="A5099" s="223">
        <v>1.01952</v>
      </c>
      <c r="B5099" s="458">
        <v>1.0241212749658E-2</v>
      </c>
      <c r="C5099" t="str">
        <f t="shared" si="79"/>
        <v/>
      </c>
    </row>
    <row r="5100" spans="1:3" x14ac:dyDescent="0.25">
      <c r="A5100" s="223">
        <v>1.01952</v>
      </c>
      <c r="B5100" s="458">
        <v>8.163402697032E-3</v>
      </c>
      <c r="C5100" t="str">
        <f t="shared" si="79"/>
        <v/>
      </c>
    </row>
    <row r="5101" spans="1:3" x14ac:dyDescent="0.25">
      <c r="A5101" s="223">
        <v>0.33984000000000003</v>
      </c>
      <c r="B5101" s="458">
        <v>8.5573560709999998E-5</v>
      </c>
      <c r="C5101" t="str">
        <f t="shared" si="79"/>
        <v/>
      </c>
    </row>
    <row r="5102" spans="1:3" x14ac:dyDescent="0.25">
      <c r="A5102" s="150">
        <v>2.8036799999999999</v>
      </c>
      <c r="B5102" s="458">
        <v>2.2882265135620002E-3</v>
      </c>
      <c r="C5102" t="str">
        <f t="shared" si="79"/>
        <v/>
      </c>
    </row>
    <row r="5103" spans="1:3" x14ac:dyDescent="0.25">
      <c r="A5103" s="150">
        <v>3.0585599999999999</v>
      </c>
      <c r="B5103" s="458">
        <v>1.5522938914559999E-3</v>
      </c>
      <c r="C5103" t="str">
        <f t="shared" si="79"/>
        <v/>
      </c>
    </row>
    <row r="5104" spans="1:3" x14ac:dyDescent="0.25">
      <c r="A5104" s="150">
        <v>6.0038400000000003</v>
      </c>
      <c r="B5104" s="458">
        <v>2.3686341611591999E-2</v>
      </c>
      <c r="C5104" t="str">
        <f t="shared" si="79"/>
        <v/>
      </c>
    </row>
    <row r="5105" spans="1:3" x14ac:dyDescent="0.25">
      <c r="A5105" s="150">
        <v>6.1171199999999999</v>
      </c>
      <c r="B5105" s="458">
        <v>2.5356758516298001E-2</v>
      </c>
      <c r="C5105" t="str">
        <f t="shared" si="79"/>
        <v/>
      </c>
    </row>
    <row r="5106" spans="1:3" x14ac:dyDescent="0.25">
      <c r="A5106" s="150">
        <v>7.1366400000000008</v>
      </c>
      <c r="B5106" s="458">
        <v>6.1127136882482003E-2</v>
      </c>
      <c r="C5106" t="str">
        <f t="shared" si="79"/>
        <v/>
      </c>
    </row>
    <row r="5107" spans="1:3" x14ac:dyDescent="0.25">
      <c r="A5107" s="150">
        <v>7.3348800000000001</v>
      </c>
      <c r="B5107" s="458">
        <v>3.5816157596208001E-2</v>
      </c>
      <c r="C5107" t="str">
        <f t="shared" si="79"/>
        <v/>
      </c>
    </row>
    <row r="5108" spans="1:3" x14ac:dyDescent="0.25">
      <c r="A5108" s="150">
        <v>7.3348800000000001</v>
      </c>
      <c r="B5108" s="458">
        <v>4.8465504842655993E-2</v>
      </c>
      <c r="C5108" t="str">
        <f t="shared" si="79"/>
        <v/>
      </c>
    </row>
    <row r="5109" spans="1:3" x14ac:dyDescent="0.25">
      <c r="A5109" s="150">
        <v>7.08</v>
      </c>
      <c r="B5109" s="458">
        <v>4.6818712540600001E-2</v>
      </c>
      <c r="C5109" t="str">
        <f t="shared" si="79"/>
        <v/>
      </c>
    </row>
    <row r="5110" spans="1:3" x14ac:dyDescent="0.25">
      <c r="A5110" s="150">
        <v>6.4286400000000006</v>
      </c>
      <c r="B5110" s="458">
        <v>2.8020668711112001E-2</v>
      </c>
      <c r="C5110" t="str">
        <f t="shared" si="79"/>
        <v/>
      </c>
    </row>
    <row r="5111" spans="1:3" x14ac:dyDescent="0.25">
      <c r="A5111" s="150">
        <v>6.3719999999999999</v>
      </c>
      <c r="B5111" s="458">
        <v>4.9803602336751997E-2</v>
      </c>
      <c r="C5111" t="str">
        <f t="shared" si="79"/>
        <v/>
      </c>
    </row>
    <row r="5112" spans="1:3" x14ac:dyDescent="0.25">
      <c r="A5112" s="150">
        <v>6.1737600000000006</v>
      </c>
      <c r="B5112" s="458">
        <v>1.0306626649440001E-2</v>
      </c>
      <c r="C5112" t="str">
        <f t="shared" si="79"/>
        <v/>
      </c>
    </row>
    <row r="5113" spans="1:3" x14ac:dyDescent="0.25">
      <c r="A5113" s="150">
        <v>6.1737600000000006</v>
      </c>
      <c r="B5113" s="458">
        <v>2.8627768500099999E-3</v>
      </c>
      <c r="C5113" t="str">
        <f t="shared" ref="C5113:C5176" si="80">IF(B5113=0,"XXXXXXXX","")</f>
        <v/>
      </c>
    </row>
    <row r="5114" spans="1:3" x14ac:dyDescent="0.25">
      <c r="A5114" s="150">
        <v>6.0038400000000003</v>
      </c>
      <c r="B5114" s="458">
        <v>9.6012485134279995E-3</v>
      </c>
      <c r="C5114" t="str">
        <f t="shared" si="80"/>
        <v/>
      </c>
    </row>
    <row r="5115" spans="1:3" x14ac:dyDescent="0.25">
      <c r="A5115" s="150">
        <v>5.8622399999999999</v>
      </c>
      <c r="B5115" s="458">
        <v>4.836428654508001E-3</v>
      </c>
      <c r="C5115" t="str">
        <f t="shared" si="80"/>
        <v/>
      </c>
    </row>
    <row r="5116" spans="1:3" x14ac:dyDescent="0.25">
      <c r="A5116" s="150">
        <v>4.3896000000000006</v>
      </c>
      <c r="B5116" s="458">
        <v>1.7923828533203998E-2</v>
      </c>
      <c r="C5116" t="str">
        <f t="shared" si="80"/>
        <v/>
      </c>
    </row>
    <row r="5117" spans="1:3" x14ac:dyDescent="0.25">
      <c r="A5117" s="150">
        <v>4.4462400000000004</v>
      </c>
      <c r="B5117" s="458">
        <v>2.0866194044585999E-2</v>
      </c>
      <c r="C5117" t="str">
        <f t="shared" si="80"/>
        <v/>
      </c>
    </row>
    <row r="5118" spans="1:3" x14ac:dyDescent="0.25">
      <c r="A5118" s="150">
        <v>4.0780799999999999</v>
      </c>
      <c r="B5118" s="458">
        <v>1.5451750111908002E-2</v>
      </c>
      <c r="C5118" t="str">
        <f t="shared" si="80"/>
        <v/>
      </c>
    </row>
    <row r="5119" spans="1:3" x14ac:dyDescent="0.25">
      <c r="A5119" s="150">
        <v>4.1913600000000004</v>
      </c>
      <c r="B5119" s="458">
        <v>4.8495534337580004E-3</v>
      </c>
      <c r="C5119" t="str">
        <f t="shared" si="80"/>
        <v/>
      </c>
    </row>
    <row r="5120" spans="1:3" x14ac:dyDescent="0.25">
      <c r="A5120" s="150">
        <v>1.01952</v>
      </c>
      <c r="B5120" s="458">
        <v>1.3009281192600001E-4</v>
      </c>
      <c r="C5120" t="str">
        <f t="shared" si="80"/>
        <v/>
      </c>
    </row>
    <row r="5121" spans="1:3" x14ac:dyDescent="0.25">
      <c r="A5121" s="150">
        <v>0.36816000000000004</v>
      </c>
      <c r="B5121" s="458">
        <v>2.7079044548600001E-4</v>
      </c>
      <c r="C5121" t="str">
        <f t="shared" si="80"/>
        <v/>
      </c>
    </row>
    <row r="5122" spans="1:3" x14ac:dyDescent="0.25">
      <c r="A5122" s="150">
        <v>0.93456000000000006</v>
      </c>
      <c r="B5122" s="458">
        <v>3.2885446888799994E-4</v>
      </c>
      <c r="C5122" t="str">
        <f t="shared" si="80"/>
        <v/>
      </c>
    </row>
    <row r="5123" spans="1:3" x14ac:dyDescent="0.25">
      <c r="A5123" s="150">
        <v>1.0478400000000001</v>
      </c>
      <c r="B5123" s="458">
        <v>3.67598817234E-4</v>
      </c>
      <c r="C5123" t="str">
        <f t="shared" si="80"/>
        <v/>
      </c>
    </row>
    <row r="5124" spans="1:3" x14ac:dyDescent="0.25">
      <c r="A5124" s="150">
        <v>1.6708800000000001</v>
      </c>
      <c r="B5124" s="458">
        <v>7.9599161195399997E-4</v>
      </c>
      <c r="C5124" t="str">
        <f t="shared" si="80"/>
        <v/>
      </c>
    </row>
    <row r="5125" spans="1:3" x14ac:dyDescent="0.25">
      <c r="A5125" s="150">
        <v>1.4726400000000002</v>
      </c>
      <c r="B5125" s="458">
        <v>6.7492864815199994E-4</v>
      </c>
      <c r="C5125" t="str">
        <f t="shared" si="80"/>
        <v/>
      </c>
    </row>
    <row r="5126" spans="1:3" x14ac:dyDescent="0.25">
      <c r="A5126" s="150">
        <v>1.8408</v>
      </c>
      <c r="B5126" s="458">
        <v>1.093241612408E-3</v>
      </c>
      <c r="C5126" t="str">
        <f t="shared" si="80"/>
        <v/>
      </c>
    </row>
    <row r="5127" spans="1:3" x14ac:dyDescent="0.25">
      <c r="A5127" s="150">
        <v>1.6708800000000001</v>
      </c>
      <c r="B5127" s="458">
        <v>1.0007381682540001E-3</v>
      </c>
      <c r="C5127" t="str">
        <f t="shared" si="80"/>
        <v/>
      </c>
    </row>
    <row r="5128" spans="1:3" x14ac:dyDescent="0.25">
      <c r="A5128" s="150">
        <v>1.6992</v>
      </c>
      <c r="B5128" s="458">
        <v>3.50799099794E-4</v>
      </c>
      <c r="C5128" t="str">
        <f t="shared" si="80"/>
        <v/>
      </c>
    </row>
    <row r="5129" spans="1:3" x14ac:dyDescent="0.25">
      <c r="A5129" s="150">
        <v>1.95408</v>
      </c>
      <c r="B5129" s="458">
        <v>1.8886032349579999E-3</v>
      </c>
      <c r="C5129" t="str">
        <f t="shared" si="80"/>
        <v/>
      </c>
    </row>
    <row r="5130" spans="1:3" x14ac:dyDescent="0.25">
      <c r="A5130" s="150">
        <v>1.8408</v>
      </c>
      <c r="B5130" s="458">
        <v>4.4414252982000006E-4</v>
      </c>
      <c r="C5130" t="str">
        <f t="shared" si="80"/>
        <v/>
      </c>
    </row>
    <row r="5131" spans="1:3" x14ac:dyDescent="0.25">
      <c r="A5131" s="150">
        <v>1.6708800000000001</v>
      </c>
      <c r="B5131" s="458">
        <v>2.2396123312199998E-4</v>
      </c>
      <c r="C5131" t="str">
        <f t="shared" si="80"/>
        <v/>
      </c>
    </row>
    <row r="5132" spans="1:3" x14ac:dyDescent="0.25">
      <c r="A5132" s="150">
        <v>2.4072</v>
      </c>
      <c r="B5132" s="458">
        <v>3.4827914217800001E-4</v>
      </c>
      <c r="C5132" t="str">
        <f t="shared" si="80"/>
        <v/>
      </c>
    </row>
    <row r="5133" spans="1:3" x14ac:dyDescent="0.25">
      <c r="A5133" s="150">
        <v>1.07616</v>
      </c>
      <c r="B5133" s="458">
        <v>2.414959382E-5</v>
      </c>
      <c r="C5133" t="str">
        <f t="shared" si="80"/>
        <v/>
      </c>
    </row>
    <row r="5134" spans="1:3" x14ac:dyDescent="0.25">
      <c r="A5134" s="150">
        <v>0.79296</v>
      </c>
      <c r="B5134" s="458">
        <v>8.39985872E-6</v>
      </c>
      <c r="C5134" t="str">
        <f t="shared" si="80"/>
        <v/>
      </c>
    </row>
    <row r="5135" spans="1:3" x14ac:dyDescent="0.25">
      <c r="A5135" s="150">
        <v>0.70800000000000007</v>
      </c>
      <c r="B5135" s="458">
        <v>8.6854539164800003E-4</v>
      </c>
      <c r="C5135" t="str">
        <f t="shared" si="80"/>
        <v/>
      </c>
    </row>
    <row r="5136" spans="1:3" x14ac:dyDescent="0.25">
      <c r="A5136" s="150">
        <v>0.73632000000000009</v>
      </c>
      <c r="B5136" s="458">
        <v>3.8093359295200002E-4</v>
      </c>
      <c r="C5136" t="str">
        <f t="shared" si="80"/>
        <v/>
      </c>
    </row>
    <row r="5137" spans="1:3" x14ac:dyDescent="0.25">
      <c r="A5137" s="150">
        <v>1.8691200000000001</v>
      </c>
      <c r="B5137" s="458">
        <v>1.4902399351620001E-3</v>
      </c>
      <c r="C5137" t="str">
        <f t="shared" si="80"/>
        <v/>
      </c>
    </row>
    <row r="5138" spans="1:3" x14ac:dyDescent="0.25">
      <c r="A5138" s="150">
        <v>3.0585599999999999</v>
      </c>
      <c r="B5138" s="458">
        <v>3.1148776098439998E-3</v>
      </c>
      <c r="C5138" t="str">
        <f t="shared" si="80"/>
        <v/>
      </c>
    </row>
    <row r="5139" spans="1:3" x14ac:dyDescent="0.25">
      <c r="A5139" s="150">
        <v>4.7294400000000003</v>
      </c>
      <c r="B5139" s="458">
        <v>2.1535137793399998E-2</v>
      </c>
      <c r="C5139" t="str">
        <f t="shared" si="80"/>
        <v/>
      </c>
    </row>
    <row r="5140" spans="1:3" x14ac:dyDescent="0.25">
      <c r="A5140" s="150">
        <v>0.90624000000000005</v>
      </c>
      <c r="B5140" s="458">
        <v>1.1549805740000001E-4</v>
      </c>
      <c r="C5140" t="str">
        <f t="shared" si="80"/>
        <v/>
      </c>
    </row>
    <row r="5141" spans="1:3" x14ac:dyDescent="0.25">
      <c r="A5141" s="168">
        <v>2.1800000000000002</v>
      </c>
      <c r="B5141" s="454">
        <v>6.3063063063063071E-2</v>
      </c>
      <c r="C5141" t="str">
        <f t="shared" si="80"/>
        <v/>
      </c>
    </row>
    <row r="5142" spans="1:3" x14ac:dyDescent="0.25">
      <c r="A5142" s="184">
        <v>2.04</v>
      </c>
      <c r="B5142" s="458">
        <v>1.4248919881755476E-2</v>
      </c>
      <c r="C5142" t="str">
        <f t="shared" si="80"/>
        <v/>
      </c>
    </row>
    <row r="5143" spans="1:3" x14ac:dyDescent="0.25">
      <c r="A5143" s="168">
        <v>2.04</v>
      </c>
      <c r="B5143" s="458">
        <v>1.9550064428105814E-2</v>
      </c>
      <c r="C5143" t="str">
        <f t="shared" si="80"/>
        <v/>
      </c>
    </row>
    <row r="5144" spans="1:3" x14ac:dyDescent="0.25">
      <c r="A5144" s="170">
        <v>2.2000000000000002</v>
      </c>
      <c r="B5144" s="458">
        <v>2.3814402519617337E-2</v>
      </c>
      <c r="C5144" t="str">
        <f t="shared" si="80"/>
        <v/>
      </c>
    </row>
    <row r="5145" spans="1:3" x14ac:dyDescent="0.25">
      <c r="A5145" s="168">
        <v>2.33</v>
      </c>
      <c r="B5145" s="458">
        <v>1.4651240837233948E-2</v>
      </c>
      <c r="C5145" t="str">
        <f t="shared" si="80"/>
        <v/>
      </c>
    </row>
    <row r="5146" spans="1:3" x14ac:dyDescent="0.25">
      <c r="A5146" s="168">
        <v>1.34</v>
      </c>
      <c r="B5146" s="458">
        <v>6.9979183463205292E-3</v>
      </c>
      <c r="C5146" t="str">
        <f t="shared" si="80"/>
        <v/>
      </c>
    </row>
    <row r="5147" spans="1:3" x14ac:dyDescent="0.25">
      <c r="A5147" s="168">
        <v>2.02</v>
      </c>
      <c r="B5147" s="458">
        <v>5.7488989035020491E-2</v>
      </c>
      <c r="C5147" t="str">
        <f t="shared" si="80"/>
        <v/>
      </c>
    </row>
    <row r="5148" spans="1:3" x14ac:dyDescent="0.25">
      <c r="A5148" s="168">
        <v>2.35</v>
      </c>
      <c r="B5148" s="458">
        <v>3.9821613882065503E-2</v>
      </c>
      <c r="C5148" t="str">
        <f t="shared" si="80"/>
        <v/>
      </c>
    </row>
    <row r="5149" spans="1:3" x14ac:dyDescent="0.25">
      <c r="A5149" s="168">
        <v>2.5099999999999998</v>
      </c>
      <c r="B5149" s="458">
        <v>2.1491506697969887E-2</v>
      </c>
      <c r="C5149" t="str">
        <f t="shared" si="80"/>
        <v/>
      </c>
    </row>
    <row r="5150" spans="1:3" x14ac:dyDescent="0.25">
      <c r="A5150" s="168">
        <v>3.09</v>
      </c>
      <c r="B5150" s="458">
        <v>2.9709089910172237E-2</v>
      </c>
      <c r="C5150" t="str">
        <f t="shared" si="80"/>
        <v/>
      </c>
    </row>
    <row r="5151" spans="1:3" x14ac:dyDescent="0.25">
      <c r="A5151" s="168">
        <v>3.09</v>
      </c>
      <c r="B5151" s="458">
        <v>1.4962578009304926E-2</v>
      </c>
      <c r="C5151" t="str">
        <f t="shared" si="80"/>
        <v/>
      </c>
    </row>
    <row r="5152" spans="1:3" x14ac:dyDescent="0.25">
      <c r="A5152" s="170">
        <v>3.1</v>
      </c>
      <c r="B5152" s="458">
        <v>3.3286864160650576E-2</v>
      </c>
      <c r="C5152" t="str">
        <f t="shared" si="80"/>
        <v/>
      </c>
    </row>
    <row r="5153" spans="1:3" x14ac:dyDescent="0.25">
      <c r="A5153" s="168">
        <v>3.11</v>
      </c>
      <c r="B5153" s="458">
        <v>1.092056709076877E-2</v>
      </c>
      <c r="C5153" t="str">
        <f t="shared" si="80"/>
        <v/>
      </c>
    </row>
    <row r="5154" spans="1:3" x14ac:dyDescent="0.25">
      <c r="A5154" s="168">
        <v>3.12</v>
      </c>
      <c r="B5154" s="458">
        <v>1.1235706624865935E-2</v>
      </c>
      <c r="C5154" t="str">
        <f t="shared" si="80"/>
        <v/>
      </c>
    </row>
    <row r="5155" spans="1:3" x14ac:dyDescent="0.25">
      <c r="A5155" s="168">
        <v>3.12</v>
      </c>
      <c r="B5155" s="458">
        <v>1.2826215240575602E-3</v>
      </c>
      <c r="C5155" t="str">
        <f t="shared" si="80"/>
        <v/>
      </c>
    </row>
    <row r="5156" spans="1:3" x14ac:dyDescent="0.25">
      <c r="A5156" s="168">
        <v>3.12</v>
      </c>
      <c r="B5156" s="458">
        <v>9.498804951621146E-3</v>
      </c>
      <c r="C5156" t="str">
        <f t="shared" si="80"/>
        <v/>
      </c>
    </row>
    <row r="5157" spans="1:3" x14ac:dyDescent="0.25">
      <c r="A5157" s="168">
        <v>3.08</v>
      </c>
      <c r="B5157" s="458">
        <v>6.5756951596292482E-2</v>
      </c>
      <c r="C5157" t="str">
        <f t="shared" si="80"/>
        <v/>
      </c>
    </row>
    <row r="5158" spans="1:3" x14ac:dyDescent="0.25">
      <c r="A5158" s="168">
        <v>3.06</v>
      </c>
      <c r="B5158" s="458">
        <v>8.9747985599177099E-2</v>
      </c>
      <c r="C5158" t="str">
        <f t="shared" si="80"/>
        <v/>
      </c>
    </row>
    <row r="5159" spans="1:3" x14ac:dyDescent="0.25">
      <c r="A5159" s="168">
        <v>2.97</v>
      </c>
      <c r="B5159" s="458">
        <v>6.7657507500357164E-2</v>
      </c>
      <c r="C5159" t="str">
        <f t="shared" si="80"/>
        <v/>
      </c>
    </row>
    <row r="5160" spans="1:3" x14ac:dyDescent="0.25">
      <c r="A5160" s="168">
        <v>2.91</v>
      </c>
      <c r="B5160" s="458">
        <v>3.8527471008289425E-2</v>
      </c>
      <c r="C5160" t="str">
        <f t="shared" si="80"/>
        <v/>
      </c>
    </row>
    <row r="5161" spans="1:3" x14ac:dyDescent="0.25">
      <c r="A5161" s="168">
        <v>2.87</v>
      </c>
      <c r="B5161" s="458">
        <v>8.6170401908950561E-3</v>
      </c>
      <c r="C5161" t="str">
        <f t="shared" si="80"/>
        <v/>
      </c>
    </row>
    <row r="5162" spans="1:3" x14ac:dyDescent="0.25">
      <c r="A5162" s="168">
        <v>2.85</v>
      </c>
      <c r="B5162" s="458">
        <v>2.1776019123033053E-2</v>
      </c>
      <c r="C5162" t="str">
        <f t="shared" si="80"/>
        <v/>
      </c>
    </row>
    <row r="5163" spans="1:3" x14ac:dyDescent="0.25">
      <c r="A5163" s="168">
        <v>2.83</v>
      </c>
      <c r="B5163" s="458">
        <v>4.2410172992090163E-2</v>
      </c>
      <c r="C5163" t="str">
        <f t="shared" si="80"/>
        <v/>
      </c>
    </row>
    <row r="5164" spans="1:3" x14ac:dyDescent="0.25">
      <c r="A5164" s="170">
        <v>2.8</v>
      </c>
      <c r="B5164" s="458">
        <v>3.2332117630510311E-2</v>
      </c>
      <c r="C5164" t="str">
        <f t="shared" si="80"/>
        <v/>
      </c>
    </row>
    <row r="5165" spans="1:3" x14ac:dyDescent="0.25">
      <c r="A5165" s="168">
        <v>2.83</v>
      </c>
      <c r="B5165" s="458">
        <v>3.0175480662250818E-2</v>
      </c>
      <c r="C5165" t="str">
        <f t="shared" si="80"/>
        <v/>
      </c>
    </row>
    <row r="5166" spans="1:3" x14ac:dyDescent="0.25">
      <c r="A5166" s="168">
        <v>2.86</v>
      </c>
      <c r="B5166" s="458">
        <v>4.5704732510288074E-2</v>
      </c>
      <c r="C5166" t="str">
        <f t="shared" si="80"/>
        <v/>
      </c>
    </row>
    <row r="5167" spans="1:3" x14ac:dyDescent="0.25">
      <c r="A5167" s="170">
        <v>2.8</v>
      </c>
      <c r="B5167" s="458">
        <v>1.7396532718709293E-2</v>
      </c>
      <c r="C5167" t="str">
        <f t="shared" si="80"/>
        <v/>
      </c>
    </row>
    <row r="5168" spans="1:3" x14ac:dyDescent="0.25">
      <c r="A5168" s="168">
        <v>2.86</v>
      </c>
      <c r="B5168" s="458">
        <v>2.5697016460905352E-2</v>
      </c>
      <c r="C5168" t="str">
        <f t="shared" si="80"/>
        <v/>
      </c>
    </row>
    <row r="5169" spans="1:3" x14ac:dyDescent="0.25">
      <c r="A5169" s="168">
        <v>2.92</v>
      </c>
      <c r="B5169" s="458">
        <v>3.8951928518269036E-2</v>
      </c>
      <c r="C5169" t="str">
        <f t="shared" si="80"/>
        <v/>
      </c>
    </row>
    <row r="5170" spans="1:3" x14ac:dyDescent="0.25">
      <c r="A5170" s="168">
        <v>2.86</v>
      </c>
      <c r="B5170" s="458">
        <v>3.3204732510288069E-2</v>
      </c>
      <c r="C5170" t="str">
        <f t="shared" si="80"/>
        <v/>
      </c>
    </row>
    <row r="5171" spans="1:3" x14ac:dyDescent="0.25">
      <c r="A5171" s="170">
        <v>2.8</v>
      </c>
      <c r="B5171" s="458">
        <v>3.2718249608581697E-2</v>
      </c>
      <c r="C5171" t="str">
        <f t="shared" si="80"/>
        <v/>
      </c>
    </row>
    <row r="5172" spans="1:3" x14ac:dyDescent="0.25">
      <c r="A5172" s="168">
        <v>2.77</v>
      </c>
      <c r="B5172" s="458">
        <v>4.8589628286221834E-2</v>
      </c>
      <c r="C5172" t="str">
        <f t="shared" si="80"/>
        <v/>
      </c>
    </row>
    <row r="5173" spans="1:3" x14ac:dyDescent="0.25">
      <c r="A5173" s="170">
        <v>1.6</v>
      </c>
      <c r="B5173" s="458">
        <v>5.221260943560134E-2</v>
      </c>
      <c r="C5173" t="str">
        <f t="shared" si="80"/>
        <v/>
      </c>
    </row>
    <row r="5174" spans="1:3" x14ac:dyDescent="0.25">
      <c r="A5174" s="168">
        <v>1.48</v>
      </c>
      <c r="B5174" s="458">
        <v>5.764094955489614E-2</v>
      </c>
      <c r="C5174" t="str">
        <f t="shared" si="80"/>
        <v/>
      </c>
    </row>
    <row r="5175" spans="1:3" x14ac:dyDescent="0.25">
      <c r="A5175" s="170">
        <v>1.1000000000000001</v>
      </c>
      <c r="B5175" s="458">
        <v>5.5031938178407109E-3</v>
      </c>
      <c r="C5175" t="str">
        <f t="shared" si="80"/>
        <v/>
      </c>
    </row>
    <row r="5176" spans="1:3" x14ac:dyDescent="0.25">
      <c r="A5176" s="168">
        <v>1.05</v>
      </c>
      <c r="B5176" s="458">
        <v>3.5411160058737155E-3</v>
      </c>
      <c r="C5176" t="str">
        <f t="shared" si="80"/>
        <v/>
      </c>
    </row>
    <row r="5177" spans="1:3" x14ac:dyDescent="0.25">
      <c r="A5177" s="168">
        <v>1.21</v>
      </c>
      <c r="B5177" s="458">
        <v>4.4210824584128717E-3</v>
      </c>
      <c r="C5177" t="str">
        <f t="shared" ref="C5177:C5240" si="81">IF(B5177=0,"XXXXXXXX","")</f>
        <v/>
      </c>
    </row>
    <row r="5178" spans="1:3" x14ac:dyDescent="0.25">
      <c r="A5178" s="168">
        <v>1.46</v>
      </c>
      <c r="B5178" s="458">
        <v>1.2378726344586399E-2</v>
      </c>
      <c r="C5178" t="str">
        <f t="shared" si="81"/>
        <v/>
      </c>
    </row>
    <row r="5179" spans="1:3" x14ac:dyDescent="0.25">
      <c r="A5179" s="168">
        <v>1.62</v>
      </c>
      <c r="B5179" s="458">
        <v>2.2033638656746842E-2</v>
      </c>
      <c r="C5179" t="str">
        <f t="shared" si="81"/>
        <v/>
      </c>
    </row>
    <row r="5180" spans="1:3" x14ac:dyDescent="0.25">
      <c r="A5180" s="168">
        <v>1.51</v>
      </c>
      <c r="B5180" s="458">
        <v>1.6571281258056202E-2</v>
      </c>
      <c r="C5180" t="str">
        <f t="shared" si="81"/>
        <v/>
      </c>
    </row>
    <row r="5181" spans="1:3" x14ac:dyDescent="0.25">
      <c r="A5181" s="168">
        <v>1.21</v>
      </c>
      <c r="B5181" s="458">
        <v>6.6380684142350694E-3</v>
      </c>
      <c r="C5181" t="str">
        <f t="shared" si="81"/>
        <v/>
      </c>
    </row>
    <row r="5182" spans="1:3" x14ac:dyDescent="0.25">
      <c r="A5182" s="170">
        <v>1.1000000000000001</v>
      </c>
      <c r="B5182" s="458">
        <v>4.1998058083521214E-3</v>
      </c>
      <c r="C5182" t="str">
        <f t="shared" si="81"/>
        <v/>
      </c>
    </row>
    <row r="5183" spans="1:3" x14ac:dyDescent="0.25">
      <c r="A5183" s="168">
        <v>1.03</v>
      </c>
      <c r="B5183" s="458">
        <v>1.6631999999999999E-5</v>
      </c>
      <c r="C5183" t="str">
        <f t="shared" si="81"/>
        <v/>
      </c>
    </row>
    <row r="5184" spans="1:3" x14ac:dyDescent="0.25">
      <c r="A5184" s="168">
        <v>1.05</v>
      </c>
      <c r="B5184" s="458">
        <v>2.9603524229074888E-3</v>
      </c>
      <c r="C5184" t="str">
        <f t="shared" si="81"/>
        <v/>
      </c>
    </row>
    <row r="5185" spans="1:3" x14ac:dyDescent="0.25">
      <c r="A5185" s="168">
        <v>0.99</v>
      </c>
      <c r="B5185" s="458">
        <v>4.1056598886154644E-3</v>
      </c>
      <c r="C5185" t="str">
        <f t="shared" si="81"/>
        <v/>
      </c>
    </row>
    <row r="5186" spans="1:3" x14ac:dyDescent="0.25">
      <c r="A5186" s="168">
        <v>1.05</v>
      </c>
      <c r="B5186" s="458">
        <v>1.5079295154185022E-3</v>
      </c>
      <c r="C5186" t="str">
        <f t="shared" si="81"/>
        <v/>
      </c>
    </row>
    <row r="5187" spans="1:3" x14ac:dyDescent="0.25">
      <c r="A5187" s="168">
        <v>1.23</v>
      </c>
      <c r="B5187" s="458">
        <v>3.6460313339976387E-3</v>
      </c>
      <c r="C5187" t="str">
        <f t="shared" si="81"/>
        <v/>
      </c>
    </row>
    <row r="5188" spans="1:3" x14ac:dyDescent="0.25">
      <c r="A5188" s="170">
        <v>1.3</v>
      </c>
      <c r="B5188" s="458">
        <v>1.5541237113402065E-2</v>
      </c>
      <c r="C5188" t="str">
        <f t="shared" si="81"/>
        <v/>
      </c>
    </row>
    <row r="5189" spans="1:3" x14ac:dyDescent="0.25">
      <c r="A5189" s="168">
        <v>1.64</v>
      </c>
      <c r="B5189" s="458">
        <v>2.2487610670933446E-2</v>
      </c>
      <c r="C5189" t="str">
        <f t="shared" si="81"/>
        <v/>
      </c>
    </row>
    <row r="5190" spans="1:3" x14ac:dyDescent="0.25">
      <c r="A5190" s="170">
        <v>1.3</v>
      </c>
      <c r="B5190" s="458">
        <v>2.3113402061855672E-2</v>
      </c>
      <c r="C5190" t="str">
        <f t="shared" si="81"/>
        <v/>
      </c>
    </row>
    <row r="5191" spans="1:3" x14ac:dyDescent="0.25">
      <c r="A5191" s="168">
        <v>1.34</v>
      </c>
      <c r="B5191" s="458">
        <v>1.3839300932052299E-2</v>
      </c>
      <c r="C5191" t="str">
        <f t="shared" si="81"/>
        <v/>
      </c>
    </row>
    <row r="5192" spans="1:3" x14ac:dyDescent="0.25">
      <c r="A5192" s="168">
        <v>1.37</v>
      </c>
      <c r="B5192" s="458">
        <v>1.3107626192181553E-2</v>
      </c>
      <c r="C5192" t="str">
        <f t="shared" si="81"/>
        <v/>
      </c>
    </row>
    <row r="5193" spans="1:3" x14ac:dyDescent="0.25">
      <c r="A5193" s="168">
        <v>1.39</v>
      </c>
      <c r="B5193" s="458">
        <v>1.8845669757713734E-2</v>
      </c>
      <c r="C5193" t="str">
        <f t="shared" si="81"/>
        <v/>
      </c>
    </row>
    <row r="5194" spans="1:3" x14ac:dyDescent="0.25">
      <c r="A5194" s="170">
        <v>1.6</v>
      </c>
      <c r="B5194" s="458">
        <v>2.1037470491543874E-2</v>
      </c>
      <c r="C5194" t="str">
        <f t="shared" si="81"/>
        <v/>
      </c>
    </row>
    <row r="5195" spans="1:3" x14ac:dyDescent="0.25">
      <c r="A5195" s="168">
        <v>1.68</v>
      </c>
      <c r="B5195" s="458">
        <v>3.4506106706663812E-2</v>
      </c>
      <c r="C5195" t="str">
        <f t="shared" si="81"/>
        <v/>
      </c>
    </row>
    <row r="5196" spans="1:3" x14ac:dyDescent="0.25">
      <c r="A5196" s="223">
        <v>1.37</v>
      </c>
      <c r="B5196" s="460">
        <v>1.5582E-2</v>
      </c>
      <c r="C5196" t="str">
        <f t="shared" si="81"/>
        <v/>
      </c>
    </row>
    <row r="5197" spans="1:3" x14ac:dyDescent="0.25">
      <c r="A5197" s="223">
        <v>1.99</v>
      </c>
      <c r="B5197" s="460">
        <v>5.6050000000000006E-3</v>
      </c>
      <c r="C5197" t="str">
        <f t="shared" si="81"/>
        <v/>
      </c>
    </row>
    <row r="5198" spans="1:3" x14ac:dyDescent="0.25">
      <c r="A5198" s="223">
        <v>2.29</v>
      </c>
      <c r="B5198" s="460">
        <v>5.6699999999999997E-3</v>
      </c>
      <c r="C5198" t="str">
        <f t="shared" si="81"/>
        <v/>
      </c>
    </row>
    <row r="5199" spans="1:3" x14ac:dyDescent="0.25">
      <c r="A5199" s="223">
        <v>2.66</v>
      </c>
      <c r="B5199" s="460">
        <v>4.5799999999999999E-3</v>
      </c>
      <c r="C5199" t="str">
        <f t="shared" si="81"/>
        <v/>
      </c>
    </row>
    <row r="5200" spans="1:3" x14ac:dyDescent="0.25">
      <c r="A5200" s="223">
        <v>3.02</v>
      </c>
      <c r="B5200" s="460">
        <v>5.7800000000000004E-3</v>
      </c>
      <c r="C5200" t="str">
        <f t="shared" si="81"/>
        <v/>
      </c>
    </row>
    <row r="5201" spans="1:3" x14ac:dyDescent="0.25">
      <c r="A5201" s="223">
        <v>3.14</v>
      </c>
      <c r="B5201" s="460">
        <v>1.3919999999999998E-2</v>
      </c>
      <c r="C5201" t="str">
        <f t="shared" si="81"/>
        <v/>
      </c>
    </row>
    <row r="5202" spans="1:3" x14ac:dyDescent="0.25">
      <c r="A5202" s="223">
        <v>3.14</v>
      </c>
      <c r="B5202" s="460">
        <v>2.3219999999999998E-3</v>
      </c>
      <c r="C5202" t="str">
        <f t="shared" si="81"/>
        <v/>
      </c>
    </row>
    <row r="5203" spans="1:3" x14ac:dyDescent="0.25">
      <c r="A5203" s="223">
        <v>3.18</v>
      </c>
      <c r="B5203" s="460">
        <v>5.7999999999999996E-3</v>
      </c>
      <c r="C5203" t="str">
        <f t="shared" si="81"/>
        <v/>
      </c>
    </row>
    <row r="5204" spans="1:3" x14ac:dyDescent="0.25">
      <c r="A5204" s="223">
        <v>3.06</v>
      </c>
      <c r="B5204" s="460">
        <v>5.79E-3</v>
      </c>
      <c r="C5204" t="str">
        <f t="shared" si="81"/>
        <v/>
      </c>
    </row>
    <row r="5205" spans="1:3" x14ac:dyDescent="0.25">
      <c r="A5205" s="223">
        <v>2.94</v>
      </c>
      <c r="B5205" s="460">
        <v>5.7750000000000006E-3</v>
      </c>
      <c r="C5205" t="str">
        <f t="shared" si="81"/>
        <v/>
      </c>
    </row>
    <row r="5206" spans="1:3" x14ac:dyDescent="0.25">
      <c r="A5206" s="223">
        <v>2.7</v>
      </c>
      <c r="B5206" s="460">
        <v>5.7450000000000001E-3</v>
      </c>
      <c r="C5206" t="str">
        <f t="shared" si="81"/>
        <v/>
      </c>
    </row>
    <row r="5207" spans="1:3" x14ac:dyDescent="0.25">
      <c r="A5207" s="223">
        <v>2.5099999999999998</v>
      </c>
      <c r="B5207" s="460">
        <v>5.7250000000000001E-3</v>
      </c>
      <c r="C5207" t="str">
        <f t="shared" si="81"/>
        <v/>
      </c>
    </row>
    <row r="5208" spans="1:3" x14ac:dyDescent="0.25">
      <c r="A5208" s="223">
        <v>2.36</v>
      </c>
      <c r="B5208" s="460">
        <v>2.284E-3</v>
      </c>
      <c r="C5208" t="str">
        <f t="shared" si="81"/>
        <v/>
      </c>
    </row>
    <row r="5209" spans="1:3" x14ac:dyDescent="0.25">
      <c r="A5209" s="223">
        <v>2.16</v>
      </c>
      <c r="B5209" s="460">
        <v>6.8159999999999991E-3</v>
      </c>
      <c r="C5209" t="str">
        <f t="shared" si="81"/>
        <v/>
      </c>
    </row>
    <row r="5210" spans="1:3" x14ac:dyDescent="0.25">
      <c r="A5210" s="223">
        <v>1.96</v>
      </c>
      <c r="B5210" s="460">
        <v>7.9240000000000005E-3</v>
      </c>
      <c r="C5210" t="str">
        <f t="shared" si="81"/>
        <v/>
      </c>
    </row>
    <row r="5211" spans="1:3" x14ac:dyDescent="0.25">
      <c r="A5211" s="223">
        <v>1.83</v>
      </c>
      <c r="B5211" s="460">
        <v>9.0320000000000001E-3</v>
      </c>
      <c r="C5211" t="str">
        <f t="shared" si="81"/>
        <v/>
      </c>
    </row>
    <row r="5212" spans="1:3" x14ac:dyDescent="0.25">
      <c r="A5212" s="223">
        <v>1.8</v>
      </c>
      <c r="B5212" s="460">
        <v>9.0240000000000008E-3</v>
      </c>
      <c r="C5212" t="str">
        <f t="shared" si="81"/>
        <v/>
      </c>
    </row>
    <row r="5213" spans="1:3" x14ac:dyDescent="0.25">
      <c r="A5213" s="223">
        <v>1.86</v>
      </c>
      <c r="B5213" s="460">
        <v>1.129E-2</v>
      </c>
      <c r="C5213" t="str">
        <f t="shared" si="81"/>
        <v/>
      </c>
    </row>
    <row r="5214" spans="1:3" x14ac:dyDescent="0.25">
      <c r="A5214" s="223">
        <v>2.09</v>
      </c>
      <c r="B5214" s="460">
        <v>1.0206E-2</v>
      </c>
      <c r="C5214" t="str">
        <f t="shared" si="81"/>
        <v/>
      </c>
    </row>
    <row r="5215" spans="1:3" x14ac:dyDescent="0.25">
      <c r="A5215" s="223">
        <v>2.62</v>
      </c>
      <c r="B5215" s="460">
        <v>1.1480000000000001E-2</v>
      </c>
      <c r="C5215" t="str">
        <f t="shared" si="81"/>
        <v/>
      </c>
    </row>
    <row r="5216" spans="1:3" x14ac:dyDescent="0.25">
      <c r="A5216" s="223">
        <v>2.9</v>
      </c>
      <c r="B5216" s="460">
        <v>1.0385999999999999E-2</v>
      </c>
      <c r="C5216" t="str">
        <f t="shared" si="81"/>
        <v/>
      </c>
    </row>
    <row r="5217" spans="1:3" x14ac:dyDescent="0.25">
      <c r="A5217" s="223">
        <v>3.14</v>
      </c>
      <c r="B5217" s="460">
        <v>1.5066999999999999E-2</v>
      </c>
      <c r="C5217" t="str">
        <f t="shared" si="81"/>
        <v/>
      </c>
    </row>
    <row r="5218" spans="1:3" x14ac:dyDescent="0.25">
      <c r="A5218" s="223">
        <v>3.4</v>
      </c>
      <c r="B5218" s="460">
        <v>1.3968E-2</v>
      </c>
      <c r="C5218" t="str">
        <f t="shared" si="81"/>
        <v/>
      </c>
    </row>
    <row r="5219" spans="1:3" x14ac:dyDescent="0.25">
      <c r="A5219" s="223">
        <v>3.66</v>
      </c>
      <c r="B5219" s="460">
        <v>7.9696000000000003E-2</v>
      </c>
      <c r="C5219" t="str">
        <f t="shared" si="81"/>
        <v/>
      </c>
    </row>
    <row r="5220" spans="1:3" x14ac:dyDescent="0.25">
      <c r="A5220" s="223">
        <v>3.76</v>
      </c>
      <c r="B5220" s="460">
        <v>2.5828000000000004E-2</v>
      </c>
      <c r="C5220" t="str">
        <f t="shared" si="81"/>
        <v/>
      </c>
    </row>
    <row r="5221" spans="1:3" x14ac:dyDescent="0.25">
      <c r="A5221" s="223">
        <v>3.9</v>
      </c>
      <c r="B5221" s="460">
        <v>2.5894E-2</v>
      </c>
      <c r="C5221" t="str">
        <f t="shared" si="81"/>
        <v/>
      </c>
    </row>
    <row r="5222" spans="1:3" x14ac:dyDescent="0.25">
      <c r="A5222" s="223">
        <v>3.95</v>
      </c>
      <c r="B5222" s="460">
        <v>2.3559999999999998E-2</v>
      </c>
      <c r="C5222" t="str">
        <f t="shared" si="81"/>
        <v/>
      </c>
    </row>
    <row r="5223" spans="1:3" x14ac:dyDescent="0.25">
      <c r="A5223" s="223">
        <v>4.09</v>
      </c>
      <c r="B5223" s="460">
        <v>2.1240000000000002E-2</v>
      </c>
      <c r="C5223" t="str">
        <f t="shared" si="81"/>
        <v/>
      </c>
    </row>
    <row r="5224" spans="1:3" x14ac:dyDescent="0.25">
      <c r="A5224" s="223">
        <v>4.0599999999999996</v>
      </c>
      <c r="B5224" s="460">
        <v>1.5326999999999999E-2</v>
      </c>
      <c r="C5224" t="str">
        <f t="shared" si="81"/>
        <v/>
      </c>
    </row>
    <row r="5225" spans="1:3" x14ac:dyDescent="0.25">
      <c r="A5225" s="223">
        <v>4</v>
      </c>
      <c r="B5225" s="460">
        <v>7.0679999999999988E-3</v>
      </c>
      <c r="C5225" t="str">
        <f t="shared" si="81"/>
        <v/>
      </c>
    </row>
    <row r="5226" spans="1:3" x14ac:dyDescent="0.25">
      <c r="A5226" s="223">
        <v>3.76</v>
      </c>
      <c r="B5226" s="460">
        <v>1.1730000000000001E-2</v>
      </c>
      <c r="C5226" t="str">
        <f t="shared" si="81"/>
        <v/>
      </c>
    </row>
    <row r="5227" spans="1:3" x14ac:dyDescent="0.25">
      <c r="A5227" s="223">
        <v>3.39</v>
      </c>
      <c r="B5227" s="460">
        <v>5.8300000000000001E-3</v>
      </c>
      <c r="C5227" t="str">
        <f t="shared" si="81"/>
        <v/>
      </c>
    </row>
    <row r="5228" spans="1:3" x14ac:dyDescent="0.25">
      <c r="A5228" s="223">
        <v>3.18</v>
      </c>
      <c r="B5228" s="460">
        <v>1.0449E-2</v>
      </c>
      <c r="C5228" t="str">
        <f t="shared" si="81"/>
        <v/>
      </c>
    </row>
    <row r="5229" spans="1:3" x14ac:dyDescent="0.25">
      <c r="A5229" s="223">
        <v>2.9</v>
      </c>
      <c r="B5229" s="460">
        <v>6.9239999999999987E-3</v>
      </c>
      <c r="C5229" t="str">
        <f t="shared" si="81"/>
        <v/>
      </c>
    </row>
    <row r="5230" spans="1:3" x14ac:dyDescent="0.25">
      <c r="A5230" s="223">
        <v>2.62</v>
      </c>
      <c r="B5230" s="460">
        <v>1.1460000000000001E-2</v>
      </c>
      <c r="C5230" t="str">
        <f t="shared" si="81"/>
        <v/>
      </c>
    </row>
    <row r="5231" spans="1:3" x14ac:dyDescent="0.25">
      <c r="A5231" s="223">
        <v>2.33</v>
      </c>
      <c r="B5231" s="460">
        <v>1.026E-2</v>
      </c>
      <c r="C5231" t="str">
        <f t="shared" si="81"/>
        <v/>
      </c>
    </row>
    <row r="5232" spans="1:3" x14ac:dyDescent="0.25">
      <c r="A5232" s="223">
        <v>2.16</v>
      </c>
      <c r="B5232" s="460">
        <v>5.6800000000000002E-3</v>
      </c>
      <c r="C5232" t="str">
        <f t="shared" si="81"/>
        <v/>
      </c>
    </row>
    <row r="5233" spans="1:3" x14ac:dyDescent="0.25">
      <c r="A5233" s="223">
        <v>11.62</v>
      </c>
      <c r="B5233" s="460">
        <v>6.3357000000000011E-2</v>
      </c>
      <c r="C5233" t="str">
        <f t="shared" si="81"/>
        <v/>
      </c>
    </row>
    <row r="5234" spans="1:3" x14ac:dyDescent="0.25">
      <c r="A5234" s="223">
        <v>12.27</v>
      </c>
      <c r="B5234" s="460">
        <v>0.18133200000000002</v>
      </c>
      <c r="C5234" t="str">
        <f t="shared" si="81"/>
        <v/>
      </c>
    </row>
    <row r="5235" spans="1:3" x14ac:dyDescent="0.25">
      <c r="A5235" s="223">
        <v>12.52</v>
      </c>
      <c r="B5235" s="460">
        <v>0.25475999999999999</v>
      </c>
      <c r="C5235" t="str">
        <f t="shared" si="81"/>
        <v/>
      </c>
    </row>
    <row r="5236" spans="1:3" x14ac:dyDescent="0.25">
      <c r="A5236" s="223">
        <v>12.13</v>
      </c>
      <c r="B5236" s="460">
        <v>9.4823999999999992E-2</v>
      </c>
      <c r="C5236" t="str">
        <f t="shared" si="81"/>
        <v/>
      </c>
    </row>
    <row r="5237" spans="1:3" x14ac:dyDescent="0.25">
      <c r="A5237" s="223">
        <v>11.12</v>
      </c>
      <c r="B5237" s="460">
        <v>0.11708999999999999</v>
      </c>
      <c r="C5237" t="str">
        <f t="shared" si="81"/>
        <v/>
      </c>
    </row>
    <row r="5238" spans="1:3" x14ac:dyDescent="0.25">
      <c r="A5238" s="223">
        <v>9.76</v>
      </c>
      <c r="B5238" s="460">
        <v>0.19808999999999999</v>
      </c>
      <c r="C5238" t="str">
        <f t="shared" si="81"/>
        <v/>
      </c>
    </row>
    <row r="5239" spans="1:3" x14ac:dyDescent="0.25">
      <c r="A5239" s="223">
        <v>8.5299999999999994</v>
      </c>
      <c r="B5239" s="460">
        <v>3.2733999999999999E-2</v>
      </c>
      <c r="C5239" t="str">
        <f t="shared" si="81"/>
        <v/>
      </c>
    </row>
    <row r="5240" spans="1:3" x14ac:dyDescent="0.25">
      <c r="A5240" s="223">
        <v>7.35</v>
      </c>
      <c r="B5240" s="460">
        <v>5.0552999999999994E-2</v>
      </c>
      <c r="C5240" t="str">
        <f t="shared" si="81"/>
        <v/>
      </c>
    </row>
    <row r="5241" spans="1:3" x14ac:dyDescent="0.25">
      <c r="A5241" s="223">
        <v>6.37</v>
      </c>
      <c r="B5241" s="460">
        <v>0.20567299999999997</v>
      </c>
      <c r="C5241" t="str">
        <f t="shared" ref="C5241:C5304" si="82">IF(B5241=0,"XXXXXXXX","")</f>
        <v/>
      </c>
    </row>
    <row r="5242" spans="1:3" x14ac:dyDescent="0.25">
      <c r="A5242" s="223">
        <v>6.88</v>
      </c>
      <c r="B5242" s="460">
        <v>1.1079E-2</v>
      </c>
      <c r="C5242" t="str">
        <f t="shared" si="82"/>
        <v/>
      </c>
    </row>
    <row r="5243" spans="1:3" x14ac:dyDescent="0.25">
      <c r="A5243" s="223">
        <v>6</v>
      </c>
      <c r="B5243" s="460">
        <v>1.2160000000000001E-2</v>
      </c>
      <c r="C5243" t="str">
        <f t="shared" si="82"/>
        <v/>
      </c>
    </row>
    <row r="5244" spans="1:3" x14ac:dyDescent="0.25">
      <c r="A5244" s="223">
        <v>5.53</v>
      </c>
      <c r="B5244" s="460">
        <v>1.8075000000000001E-2</v>
      </c>
      <c r="C5244" t="str">
        <f t="shared" si="82"/>
        <v/>
      </c>
    </row>
    <row r="5245" spans="1:3" x14ac:dyDescent="0.25">
      <c r="A5245" s="223">
        <v>4.91</v>
      </c>
      <c r="B5245" s="460">
        <v>1.1949999999999999E-2</v>
      </c>
      <c r="C5245" t="str">
        <f t="shared" si="82"/>
        <v/>
      </c>
    </row>
    <row r="5246" spans="1:3" x14ac:dyDescent="0.25">
      <c r="A5246" s="223">
        <v>4.9800000000000004</v>
      </c>
      <c r="B5246" s="460">
        <v>1.3002000000000001E-2</v>
      </c>
      <c r="C5246" t="str">
        <f t="shared" si="82"/>
        <v/>
      </c>
    </row>
    <row r="5247" spans="1:3" x14ac:dyDescent="0.25">
      <c r="A5247" s="223">
        <v>5.24</v>
      </c>
      <c r="B5247" s="460">
        <v>9.5919999999999998E-3</v>
      </c>
      <c r="C5247" t="str">
        <f t="shared" si="82"/>
        <v/>
      </c>
    </row>
    <row r="5248" spans="1:3" x14ac:dyDescent="0.25">
      <c r="A5248" s="223">
        <v>5.3</v>
      </c>
      <c r="B5248" s="460">
        <v>1.191E-2</v>
      </c>
      <c r="C5248" t="str">
        <f t="shared" si="82"/>
        <v/>
      </c>
    </row>
    <row r="5249" spans="1:3" x14ac:dyDescent="0.25">
      <c r="A5249" s="223">
        <v>5.13</v>
      </c>
      <c r="B5249" s="460">
        <v>1.5534999999999998E-2</v>
      </c>
      <c r="C5249" t="str">
        <f t="shared" si="82"/>
        <v/>
      </c>
    </row>
    <row r="5250" spans="1:3" x14ac:dyDescent="0.25">
      <c r="A5250" s="223">
        <v>4.54</v>
      </c>
      <c r="B5250" s="460">
        <v>2.0025999999999999E-2</v>
      </c>
      <c r="C5250" t="str">
        <f t="shared" si="82"/>
        <v/>
      </c>
    </row>
    <row r="5251" spans="1:3" x14ac:dyDescent="0.25">
      <c r="A5251" s="223">
        <v>9.6199999999999992</v>
      </c>
      <c r="B5251" s="460">
        <v>0.224824</v>
      </c>
      <c r="C5251" t="str">
        <f t="shared" si="82"/>
        <v/>
      </c>
    </row>
    <row r="5252" spans="1:3" x14ac:dyDescent="0.25">
      <c r="A5252" s="223">
        <v>11.86</v>
      </c>
      <c r="B5252" s="460">
        <v>0.18893499999999999</v>
      </c>
      <c r="C5252" t="str">
        <f t="shared" si="82"/>
        <v/>
      </c>
    </row>
    <row r="5253" spans="1:3" x14ac:dyDescent="0.25">
      <c r="A5253" s="223">
        <v>14.85</v>
      </c>
      <c r="B5253" s="460">
        <v>0.29203200000000001</v>
      </c>
      <c r="C5253" t="str">
        <f t="shared" si="82"/>
        <v/>
      </c>
    </row>
    <row r="5254" spans="1:3" x14ac:dyDescent="0.25">
      <c r="A5254" s="223">
        <v>16.7</v>
      </c>
      <c r="B5254" s="460">
        <v>0.61686000000000007</v>
      </c>
      <c r="C5254" t="str">
        <f t="shared" si="82"/>
        <v/>
      </c>
    </row>
    <row r="5255" spans="1:3" x14ac:dyDescent="0.25">
      <c r="A5255" s="223">
        <v>17.14</v>
      </c>
      <c r="B5255" s="460">
        <v>0.94035299999999999</v>
      </c>
      <c r="C5255" t="str">
        <f t="shared" si="82"/>
        <v/>
      </c>
    </row>
    <row r="5256" spans="1:3" x14ac:dyDescent="0.25">
      <c r="A5256" s="223">
        <v>17</v>
      </c>
      <c r="B5256" s="460">
        <v>0.80642800000000003</v>
      </c>
      <c r="C5256" t="str">
        <f t="shared" si="82"/>
        <v/>
      </c>
    </row>
    <row r="5257" spans="1:3" x14ac:dyDescent="0.25">
      <c r="A5257" s="223">
        <v>16.09</v>
      </c>
      <c r="B5257" s="460">
        <v>0.205322</v>
      </c>
      <c r="C5257" t="str">
        <f t="shared" si="82"/>
        <v/>
      </c>
    </row>
    <row r="5258" spans="1:3" x14ac:dyDescent="0.25">
      <c r="A5258" s="223">
        <v>14.33</v>
      </c>
      <c r="B5258" s="460">
        <v>0.22172799999999995</v>
      </c>
      <c r="C5258" t="str">
        <f t="shared" si="82"/>
        <v/>
      </c>
    </row>
    <row r="5259" spans="1:3" x14ac:dyDescent="0.25">
      <c r="A5259" s="223">
        <v>11.95</v>
      </c>
      <c r="B5259" s="460">
        <v>0.33664000000000005</v>
      </c>
      <c r="C5259" t="str">
        <f t="shared" si="82"/>
        <v/>
      </c>
    </row>
    <row r="5260" spans="1:3" x14ac:dyDescent="0.25">
      <c r="A5260" s="223">
        <v>9.15</v>
      </c>
      <c r="B5260" s="460">
        <v>6.7204E-2</v>
      </c>
      <c r="C5260" t="str">
        <f t="shared" si="82"/>
        <v/>
      </c>
    </row>
    <row r="5261" spans="1:3" x14ac:dyDescent="0.25">
      <c r="A5261" s="223">
        <v>7.69</v>
      </c>
      <c r="B5261" s="460">
        <v>3.1300000000000001E-2</v>
      </c>
      <c r="C5261" t="str">
        <f t="shared" si="82"/>
        <v/>
      </c>
    </row>
    <row r="5262" spans="1:3" x14ac:dyDescent="0.25">
      <c r="A5262" s="223">
        <v>7.47</v>
      </c>
      <c r="B5262" s="460">
        <v>9.5864999999999992E-2</v>
      </c>
      <c r="C5262" t="str">
        <f t="shared" si="82"/>
        <v/>
      </c>
    </row>
    <row r="5263" spans="1:3" x14ac:dyDescent="0.25">
      <c r="A5263" s="223">
        <v>7.47</v>
      </c>
      <c r="B5263" s="460">
        <v>0.23760400000000001</v>
      </c>
      <c r="C5263" t="str">
        <f t="shared" si="82"/>
        <v/>
      </c>
    </row>
    <row r="5264" spans="1:3" x14ac:dyDescent="0.25">
      <c r="A5264" s="223">
        <v>7.15</v>
      </c>
      <c r="B5264" s="460">
        <v>5.5484999999999993E-2</v>
      </c>
      <c r="C5264" t="str">
        <f t="shared" si="82"/>
        <v/>
      </c>
    </row>
    <row r="5265" spans="1:3" x14ac:dyDescent="0.25">
      <c r="A5265" s="223">
        <v>6.88</v>
      </c>
      <c r="B5265" s="460">
        <v>9.4325000000000006E-2</v>
      </c>
      <c r="C5265" t="str">
        <f t="shared" si="82"/>
        <v/>
      </c>
    </row>
    <row r="5266" spans="1:3" x14ac:dyDescent="0.25">
      <c r="A5266" s="223">
        <v>6.88</v>
      </c>
      <c r="B5266" s="460">
        <v>6.2423999999999993E-2</v>
      </c>
      <c r="C5266" t="str">
        <f t="shared" si="82"/>
        <v/>
      </c>
    </row>
    <row r="5267" spans="1:3" x14ac:dyDescent="0.25">
      <c r="A5267" s="223">
        <v>7.01</v>
      </c>
      <c r="B5267" s="460">
        <v>2.8197999999999997E-2</v>
      </c>
      <c r="C5267" t="str">
        <f t="shared" si="82"/>
        <v/>
      </c>
    </row>
    <row r="5268" spans="1:3" x14ac:dyDescent="0.25">
      <c r="A5268" s="223">
        <v>11.42</v>
      </c>
      <c r="B5268" s="460">
        <v>0.13572000000000001</v>
      </c>
      <c r="C5268" t="str">
        <f t="shared" si="82"/>
        <v/>
      </c>
    </row>
    <row r="5269" spans="1:3" x14ac:dyDescent="0.25">
      <c r="A5269" s="223">
        <v>14.73</v>
      </c>
      <c r="B5269" s="460">
        <v>0.31842500000000001</v>
      </c>
      <c r="C5269" t="str">
        <f t="shared" si="82"/>
        <v/>
      </c>
    </row>
    <row r="5270" spans="1:3" x14ac:dyDescent="0.25">
      <c r="A5270" s="223">
        <v>17.11</v>
      </c>
      <c r="B5270" s="460">
        <v>0.40281000000000006</v>
      </c>
      <c r="C5270" t="str">
        <f t="shared" si="82"/>
        <v/>
      </c>
    </row>
    <row r="5271" spans="1:3" x14ac:dyDescent="0.25">
      <c r="A5271" s="223">
        <v>18.82</v>
      </c>
      <c r="B5271" s="460">
        <v>0.94505399999999984</v>
      </c>
      <c r="C5271" t="str">
        <f t="shared" si="82"/>
        <v/>
      </c>
    </row>
    <row r="5272" spans="1:3" x14ac:dyDescent="0.25">
      <c r="A5272" s="223">
        <v>19.399999999999999</v>
      </c>
      <c r="B5272" s="460">
        <v>0.76148399999999994</v>
      </c>
      <c r="C5272" t="str">
        <f t="shared" si="82"/>
        <v/>
      </c>
    </row>
    <row r="5273" spans="1:3" x14ac:dyDescent="0.25">
      <c r="A5273" s="223">
        <v>18.82</v>
      </c>
      <c r="B5273" s="460">
        <v>0.847638</v>
      </c>
      <c r="C5273" t="str">
        <f t="shared" si="82"/>
        <v/>
      </c>
    </row>
    <row r="5274" spans="1:3" x14ac:dyDescent="0.25">
      <c r="A5274" s="223">
        <v>17.14</v>
      </c>
      <c r="B5274" s="460">
        <v>0.99608799999999997</v>
      </c>
      <c r="C5274" t="str">
        <f t="shared" si="82"/>
        <v/>
      </c>
    </row>
    <row r="5275" spans="1:3" x14ac:dyDescent="0.25">
      <c r="A5275" s="223">
        <v>14.06</v>
      </c>
      <c r="B5275" s="460">
        <v>0.90853399999999984</v>
      </c>
      <c r="C5275" t="str">
        <f t="shared" si="82"/>
        <v/>
      </c>
    </row>
    <row r="5276" spans="1:3" x14ac:dyDescent="0.25">
      <c r="A5276" s="223">
        <v>11.17</v>
      </c>
      <c r="B5276" s="460">
        <v>0.19605</v>
      </c>
      <c r="C5276" t="str">
        <f t="shared" si="82"/>
        <v/>
      </c>
    </row>
    <row r="5277" spans="1:3" x14ac:dyDescent="0.25">
      <c r="A5277" s="223">
        <v>9.6999999999999993</v>
      </c>
      <c r="B5277" s="460">
        <v>0.1605</v>
      </c>
      <c r="C5277" t="str">
        <f t="shared" si="82"/>
        <v/>
      </c>
    </row>
    <row r="5278" spans="1:3" x14ac:dyDescent="0.25">
      <c r="A5278" s="223">
        <v>8.94</v>
      </c>
      <c r="B5278" s="460">
        <v>9.7251000000000004E-2</v>
      </c>
      <c r="C5278" t="str">
        <f t="shared" si="82"/>
        <v/>
      </c>
    </row>
    <row r="5279" spans="1:3" x14ac:dyDescent="0.25">
      <c r="A5279" s="223">
        <v>9.84</v>
      </c>
      <c r="B5279" s="460">
        <v>0.40927999999999998</v>
      </c>
      <c r="C5279" t="str">
        <f t="shared" si="82"/>
        <v/>
      </c>
    </row>
    <row r="5280" spans="1:3" x14ac:dyDescent="0.25">
      <c r="A5280" s="223">
        <v>10.41</v>
      </c>
      <c r="B5280" s="460">
        <v>0.176867</v>
      </c>
      <c r="C5280" t="str">
        <f t="shared" si="82"/>
        <v/>
      </c>
    </row>
    <row r="5281" spans="1:3" x14ac:dyDescent="0.25">
      <c r="A5281" s="223">
        <v>10.199999999999999</v>
      </c>
      <c r="B5281" s="460">
        <v>0.36008000000000001</v>
      </c>
      <c r="C5281" t="str">
        <f t="shared" si="82"/>
        <v/>
      </c>
    </row>
    <row r="5282" spans="1:3" x14ac:dyDescent="0.25">
      <c r="A5282" s="223">
        <v>9.41</v>
      </c>
      <c r="B5282" s="460">
        <v>0.149058</v>
      </c>
      <c r="C5282" t="str">
        <f t="shared" si="82"/>
        <v/>
      </c>
    </row>
    <row r="5283" spans="1:3" x14ac:dyDescent="0.25">
      <c r="A5283" s="223">
        <v>9.2100000000000009</v>
      </c>
      <c r="B5283" s="460">
        <v>0.13335</v>
      </c>
      <c r="C5283" t="str">
        <f t="shared" si="82"/>
        <v/>
      </c>
    </row>
    <row r="5284" spans="1:3" x14ac:dyDescent="0.25">
      <c r="A5284" s="223">
        <v>9.08</v>
      </c>
      <c r="B5284" s="460">
        <v>0.12837100000000001</v>
      </c>
      <c r="C5284" t="str">
        <f t="shared" si="82"/>
        <v/>
      </c>
    </row>
    <row r="5285" spans="1:3" x14ac:dyDescent="0.25">
      <c r="A5285" s="223">
        <v>7.99</v>
      </c>
      <c r="B5285" s="460">
        <v>8.8962999999999987E-2</v>
      </c>
      <c r="C5285" t="str">
        <f t="shared" si="82"/>
        <v/>
      </c>
    </row>
    <row r="5286" spans="1:3" x14ac:dyDescent="0.25">
      <c r="A5286" s="223">
        <v>6.69</v>
      </c>
      <c r="B5286" s="460">
        <v>0.13048600000000002</v>
      </c>
      <c r="C5286" t="str">
        <f t="shared" si="82"/>
        <v/>
      </c>
    </row>
    <row r="5287" spans="1:3" x14ac:dyDescent="0.25">
      <c r="A5287" s="223">
        <v>5.59</v>
      </c>
      <c r="B5287" s="460">
        <v>8.8622000000000006E-2</v>
      </c>
      <c r="C5287" t="str">
        <f t="shared" si="82"/>
        <v/>
      </c>
    </row>
    <row r="5288" spans="1:3" x14ac:dyDescent="0.25">
      <c r="A5288" s="223">
        <v>5.13</v>
      </c>
      <c r="B5288" s="460">
        <v>0.104835</v>
      </c>
      <c r="C5288" t="str">
        <f t="shared" si="82"/>
        <v/>
      </c>
    </row>
    <row r="5289" spans="1:3" x14ac:dyDescent="0.25">
      <c r="A5289" s="223">
        <v>4.5999999999999996</v>
      </c>
      <c r="B5289" s="460">
        <v>6.2035999999999994E-2</v>
      </c>
      <c r="C5289" t="str">
        <f t="shared" si="82"/>
        <v/>
      </c>
    </row>
    <row r="5290" spans="1:3" x14ac:dyDescent="0.25">
      <c r="A5290" s="223">
        <v>4.09</v>
      </c>
      <c r="B5290" s="460">
        <v>7.4592000000000006E-2</v>
      </c>
      <c r="C5290" t="str">
        <f t="shared" si="82"/>
        <v/>
      </c>
    </row>
    <row r="5291" spans="1:3" x14ac:dyDescent="0.25">
      <c r="A5291" s="223">
        <v>14.98</v>
      </c>
      <c r="B5291" s="460">
        <v>0.40178999999999998</v>
      </c>
      <c r="C5291" t="str">
        <f t="shared" si="82"/>
        <v/>
      </c>
    </row>
    <row r="5292" spans="1:3" x14ac:dyDescent="0.25">
      <c r="A5292" s="223">
        <v>14.25</v>
      </c>
      <c r="B5292" s="460">
        <v>0.69614100000000001</v>
      </c>
      <c r="C5292" t="str">
        <f t="shared" si="82"/>
        <v/>
      </c>
    </row>
    <row r="5293" spans="1:3" x14ac:dyDescent="0.25">
      <c r="A5293" s="223">
        <v>13.48</v>
      </c>
      <c r="B5293" s="460">
        <v>0.45966799999999997</v>
      </c>
      <c r="C5293" t="str">
        <f t="shared" si="82"/>
        <v/>
      </c>
    </row>
    <row r="5294" spans="1:3" x14ac:dyDescent="0.25">
      <c r="A5294" s="223">
        <v>12.54</v>
      </c>
      <c r="B5294" s="460">
        <v>0.46220400000000006</v>
      </c>
      <c r="C5294" t="str">
        <f t="shared" si="82"/>
        <v/>
      </c>
    </row>
    <row r="5295" spans="1:3" x14ac:dyDescent="0.25">
      <c r="A5295" s="223">
        <v>11.47</v>
      </c>
      <c r="B5295" s="460">
        <v>0.47866000000000003</v>
      </c>
      <c r="C5295" t="str">
        <f t="shared" si="82"/>
        <v/>
      </c>
    </row>
    <row r="5296" spans="1:3" x14ac:dyDescent="0.25">
      <c r="A5296" s="223">
        <v>10.66</v>
      </c>
      <c r="B5296" s="460">
        <v>0.26410300000000003</v>
      </c>
      <c r="C5296" t="str">
        <f t="shared" si="82"/>
        <v/>
      </c>
    </row>
    <row r="5297" spans="1:3" x14ac:dyDescent="0.25">
      <c r="A5297" s="223">
        <v>9.86</v>
      </c>
      <c r="B5297" s="460">
        <v>0.55169400000000002</v>
      </c>
      <c r="C5297" t="str">
        <f t="shared" si="82"/>
        <v/>
      </c>
    </row>
    <row r="5298" spans="1:3" x14ac:dyDescent="0.25">
      <c r="A5298" s="223">
        <v>9.15</v>
      </c>
      <c r="B5298" s="460">
        <v>0.26478400000000002</v>
      </c>
      <c r="C5298" t="str">
        <f t="shared" si="82"/>
        <v/>
      </c>
    </row>
    <row r="5299" spans="1:3" x14ac:dyDescent="0.25">
      <c r="A5299" s="223">
        <v>8.57</v>
      </c>
      <c r="B5299" s="460">
        <v>0.64058799999999994</v>
      </c>
      <c r="C5299" t="str">
        <f t="shared" si="82"/>
        <v/>
      </c>
    </row>
    <row r="5300" spans="1:3" x14ac:dyDescent="0.25">
      <c r="A5300" s="223">
        <v>7.9</v>
      </c>
      <c r="B5300" s="460">
        <v>0.31925999999999999</v>
      </c>
      <c r="C5300" t="str">
        <f t="shared" si="82"/>
        <v/>
      </c>
    </row>
    <row r="5301" spans="1:3" x14ac:dyDescent="0.25">
      <c r="A5301" s="223">
        <v>7.5</v>
      </c>
      <c r="B5301" s="460">
        <v>0.44375100000000001</v>
      </c>
      <c r="C5301" t="str">
        <f t="shared" si="82"/>
        <v/>
      </c>
    </row>
    <row r="5302" spans="1:3" x14ac:dyDescent="0.25">
      <c r="A5302" s="223">
        <v>7.03</v>
      </c>
      <c r="B5302" s="460">
        <v>0.39579300000000006</v>
      </c>
      <c r="C5302" t="str">
        <f t="shared" si="82"/>
        <v/>
      </c>
    </row>
    <row r="5303" spans="1:3" x14ac:dyDescent="0.25">
      <c r="A5303" s="223">
        <v>6.51</v>
      </c>
      <c r="B5303" s="460">
        <v>0.45777599999999996</v>
      </c>
      <c r="C5303" t="str">
        <f t="shared" si="82"/>
        <v/>
      </c>
    </row>
    <row r="5304" spans="1:3" x14ac:dyDescent="0.25">
      <c r="A5304" s="223">
        <v>6.12</v>
      </c>
      <c r="B5304" s="460">
        <v>6.3388E-2</v>
      </c>
      <c r="C5304" t="str">
        <f t="shared" si="82"/>
        <v/>
      </c>
    </row>
    <row r="5305" spans="1:3" x14ac:dyDescent="0.25">
      <c r="A5305" s="223">
        <v>12.43</v>
      </c>
      <c r="B5305" s="460">
        <v>6.5949999999999995E-2</v>
      </c>
      <c r="C5305" t="str">
        <f t="shared" ref="C5305:C5368" si="83">IF(B5305=0,"XXXXXXXX","")</f>
        <v/>
      </c>
    </row>
    <row r="5306" spans="1:3" x14ac:dyDescent="0.25">
      <c r="A5306" s="223">
        <v>12.89</v>
      </c>
      <c r="B5306" s="460">
        <v>6.3503999999999991E-2</v>
      </c>
      <c r="C5306" t="str">
        <f t="shared" si="83"/>
        <v/>
      </c>
    </row>
    <row r="5307" spans="1:3" x14ac:dyDescent="0.25">
      <c r="A5307" s="223">
        <v>13.45</v>
      </c>
      <c r="B5307" s="460">
        <v>3.1919999999999997E-2</v>
      </c>
      <c r="C5307" t="str">
        <f t="shared" si="83"/>
        <v/>
      </c>
    </row>
    <row r="5308" spans="1:3" x14ac:dyDescent="0.25">
      <c r="A5308" s="223">
        <v>13.55</v>
      </c>
      <c r="B5308" s="460">
        <v>2.1312000000000001E-2</v>
      </c>
      <c r="C5308" t="str">
        <f t="shared" si="83"/>
        <v/>
      </c>
    </row>
    <row r="5309" spans="1:3" x14ac:dyDescent="0.25">
      <c r="A5309" s="223">
        <v>13.74</v>
      </c>
      <c r="B5309" s="460">
        <v>4.6725000000000003E-2</v>
      </c>
      <c r="C5309" t="str">
        <f t="shared" si="83"/>
        <v/>
      </c>
    </row>
    <row r="5310" spans="1:3" x14ac:dyDescent="0.25">
      <c r="A5310" s="223">
        <v>13.93</v>
      </c>
      <c r="B5310" s="460">
        <v>1.8759999999999999E-2</v>
      </c>
      <c r="C5310" t="str">
        <f t="shared" si="83"/>
        <v/>
      </c>
    </row>
    <row r="5311" spans="1:3" x14ac:dyDescent="0.25">
      <c r="A5311" s="223">
        <v>14.33</v>
      </c>
      <c r="B5311" s="460">
        <v>1.0744E-2</v>
      </c>
      <c r="C5311" t="str">
        <f t="shared" si="83"/>
        <v/>
      </c>
    </row>
    <row r="5312" spans="1:3" x14ac:dyDescent="0.25">
      <c r="A5312" s="223">
        <v>14.62</v>
      </c>
      <c r="B5312" s="460">
        <v>1.4817000000000002E-2</v>
      </c>
      <c r="C5312" t="str">
        <f t="shared" si="83"/>
        <v/>
      </c>
    </row>
    <row r="5313" spans="1:3" x14ac:dyDescent="0.25">
      <c r="A5313" s="223">
        <v>14.53</v>
      </c>
      <c r="B5313" s="460">
        <v>1.2104999999999999E-2</v>
      </c>
      <c r="C5313" t="str">
        <f t="shared" si="83"/>
        <v/>
      </c>
    </row>
    <row r="5314" spans="1:3" x14ac:dyDescent="0.25">
      <c r="A5314" s="223">
        <v>14.23</v>
      </c>
      <c r="B5314" s="460">
        <v>1.0712000000000001E-2</v>
      </c>
      <c r="C5314" t="str">
        <f t="shared" si="83"/>
        <v/>
      </c>
    </row>
    <row r="5315" spans="1:3" x14ac:dyDescent="0.25">
      <c r="A5315" s="223">
        <v>13.55</v>
      </c>
      <c r="B5315" s="460">
        <v>7.9679999999999994E-3</v>
      </c>
      <c r="C5315" t="str">
        <f t="shared" si="83"/>
        <v/>
      </c>
    </row>
    <row r="5316" spans="1:3" x14ac:dyDescent="0.25">
      <c r="A5316" s="223">
        <v>12.7</v>
      </c>
      <c r="B5316" s="460">
        <v>1.1844E-2</v>
      </c>
      <c r="C5316" t="str">
        <f t="shared" si="83"/>
        <v/>
      </c>
    </row>
    <row r="5317" spans="1:3" x14ac:dyDescent="0.25">
      <c r="A5317" s="223">
        <v>11.89</v>
      </c>
      <c r="B5317" s="460">
        <v>9.1139999999999988E-3</v>
      </c>
      <c r="C5317" t="str">
        <f t="shared" si="83"/>
        <v/>
      </c>
    </row>
    <row r="5318" spans="1:3" x14ac:dyDescent="0.25">
      <c r="A5318" s="223">
        <v>11.02</v>
      </c>
      <c r="B5318" s="460">
        <v>1.0320000000000001E-2</v>
      </c>
      <c r="C5318" t="str">
        <f t="shared" si="83"/>
        <v/>
      </c>
    </row>
    <row r="5319" spans="1:3" x14ac:dyDescent="0.25">
      <c r="A5319" s="223">
        <v>10.1</v>
      </c>
      <c r="B5319" s="460">
        <v>3.8279999999999998E-3</v>
      </c>
      <c r="C5319" t="str">
        <f t="shared" si="83"/>
        <v/>
      </c>
    </row>
    <row r="5320" spans="1:3" x14ac:dyDescent="0.25">
      <c r="A5320" s="223">
        <v>9</v>
      </c>
      <c r="B5320" s="460">
        <v>3.7439999999999999E-3</v>
      </c>
      <c r="C5320" t="str">
        <f t="shared" si="83"/>
        <v/>
      </c>
    </row>
    <row r="5321" spans="1:3" x14ac:dyDescent="0.25">
      <c r="A5321" s="223">
        <v>5.3</v>
      </c>
      <c r="B5321" s="460">
        <v>4.7280000000000004E-3</v>
      </c>
      <c r="C5321" t="str">
        <f t="shared" si="83"/>
        <v/>
      </c>
    </row>
    <row r="5322" spans="1:3" x14ac:dyDescent="0.25">
      <c r="A5322" s="223">
        <v>4.09</v>
      </c>
      <c r="B5322" s="460">
        <v>9.2320000000000006E-3</v>
      </c>
      <c r="C5322" t="str">
        <f t="shared" si="83"/>
        <v/>
      </c>
    </row>
    <row r="5323" spans="1:3" x14ac:dyDescent="0.25">
      <c r="A5323" s="223">
        <v>19.82</v>
      </c>
      <c r="B5323" s="460">
        <v>1.0403579999999999</v>
      </c>
      <c r="C5323" t="str">
        <f t="shared" si="83"/>
        <v/>
      </c>
    </row>
    <row r="5324" spans="1:3" x14ac:dyDescent="0.25">
      <c r="A5324" s="223">
        <v>18.02</v>
      </c>
      <c r="B5324" s="460">
        <v>0.930508</v>
      </c>
      <c r="C5324" t="str">
        <f t="shared" si="83"/>
        <v/>
      </c>
    </row>
    <row r="5325" spans="1:3" x14ac:dyDescent="0.25">
      <c r="A5325" s="223">
        <v>15.1</v>
      </c>
      <c r="B5325" s="460">
        <v>0.74141999999999997</v>
      </c>
      <c r="C5325" t="str">
        <f t="shared" si="83"/>
        <v/>
      </c>
    </row>
    <row r="5326" spans="1:3" x14ac:dyDescent="0.25">
      <c r="A5326" s="223">
        <v>12.34</v>
      </c>
      <c r="B5326" s="460">
        <v>0.82388899999999998</v>
      </c>
      <c r="C5326" t="str">
        <f t="shared" si="83"/>
        <v/>
      </c>
    </row>
    <row r="5327" spans="1:3" x14ac:dyDescent="0.25">
      <c r="A5327" s="223">
        <v>10.24</v>
      </c>
      <c r="B5327" s="460">
        <v>0.160828</v>
      </c>
      <c r="C5327" t="str">
        <f t="shared" si="83"/>
        <v/>
      </c>
    </row>
    <row r="5328" spans="1:3" x14ac:dyDescent="0.25">
      <c r="A5328" s="223">
        <v>8.42</v>
      </c>
      <c r="B5328" s="460">
        <v>0.25953000000000004</v>
      </c>
      <c r="C5328" t="str">
        <f t="shared" si="83"/>
        <v/>
      </c>
    </row>
    <row r="5329" spans="1:3" x14ac:dyDescent="0.25">
      <c r="A5329" s="223">
        <v>6.88</v>
      </c>
      <c r="B5329" s="460">
        <v>0.14696500000000001</v>
      </c>
      <c r="C5329" t="str">
        <f t="shared" si="83"/>
        <v/>
      </c>
    </row>
    <row r="5330" spans="1:3" x14ac:dyDescent="0.25">
      <c r="A5330" s="223">
        <v>6</v>
      </c>
      <c r="B5330" s="460">
        <v>0.183</v>
      </c>
      <c r="C5330" t="str">
        <f t="shared" si="83"/>
        <v/>
      </c>
    </row>
    <row r="5331" spans="1:3" x14ac:dyDescent="0.25">
      <c r="A5331" s="223">
        <v>7.9</v>
      </c>
      <c r="B5331" s="460">
        <v>2.9879999999999997E-2</v>
      </c>
      <c r="C5331" t="str">
        <f t="shared" si="83"/>
        <v/>
      </c>
    </row>
    <row r="5332" spans="1:3" x14ac:dyDescent="0.25">
      <c r="A5332" s="223">
        <v>9.08</v>
      </c>
      <c r="B5332" s="460">
        <v>2.0224000000000002E-2</v>
      </c>
      <c r="C5332" t="str">
        <f t="shared" si="83"/>
        <v/>
      </c>
    </row>
    <row r="5333" spans="1:3" x14ac:dyDescent="0.25">
      <c r="A5333" s="223">
        <v>11.19</v>
      </c>
      <c r="B5333" s="460">
        <v>1.6899999999999998E-2</v>
      </c>
      <c r="C5333" t="str">
        <f t="shared" si="83"/>
        <v/>
      </c>
    </row>
    <row r="5334" spans="1:3" x14ac:dyDescent="0.25">
      <c r="A5334" s="223">
        <v>12.43</v>
      </c>
      <c r="B5334" s="460">
        <v>2.5041999999999998E-2</v>
      </c>
      <c r="C5334" t="str">
        <f t="shared" si="83"/>
        <v/>
      </c>
    </row>
    <row r="5335" spans="1:3" x14ac:dyDescent="0.25">
      <c r="A5335" s="223">
        <v>16.27</v>
      </c>
      <c r="B5335" s="460">
        <v>6.032400000000001E-2</v>
      </c>
      <c r="C5335" t="str">
        <f t="shared" si="83"/>
        <v/>
      </c>
    </row>
    <row r="5336" spans="1:3" x14ac:dyDescent="0.25">
      <c r="A5336" s="223">
        <v>17.14</v>
      </c>
      <c r="B5336" s="460">
        <v>0.10795199999999999</v>
      </c>
      <c r="C5336" t="str">
        <f t="shared" si="83"/>
        <v/>
      </c>
    </row>
    <row r="5337" spans="1:3" x14ac:dyDescent="0.25">
      <c r="A5337" s="223">
        <v>19.87</v>
      </c>
      <c r="B5337" s="460">
        <v>0.12940200000000002</v>
      </c>
      <c r="C5337" t="str">
        <f t="shared" si="83"/>
        <v/>
      </c>
    </row>
    <row r="5338" spans="1:3" x14ac:dyDescent="0.25">
      <c r="A5338" s="223">
        <v>20.72</v>
      </c>
      <c r="B5338" s="460">
        <v>0.52693199999999996</v>
      </c>
      <c r="C5338" t="str">
        <f t="shared" si="83"/>
        <v/>
      </c>
    </row>
    <row r="5339" spans="1:3" x14ac:dyDescent="0.25">
      <c r="A5339" s="223">
        <v>20.47</v>
      </c>
      <c r="B5339" s="460">
        <v>0.27761399999999997</v>
      </c>
      <c r="C5339" t="str">
        <f t="shared" si="83"/>
        <v/>
      </c>
    </row>
    <row r="5340" spans="1:3" x14ac:dyDescent="0.25">
      <c r="A5340" s="223">
        <v>20.96</v>
      </c>
      <c r="B5340" s="460">
        <v>0.38484800000000002</v>
      </c>
      <c r="C5340" t="str">
        <f t="shared" si="83"/>
        <v/>
      </c>
    </row>
    <row r="5341" spans="1:3" x14ac:dyDescent="0.25">
      <c r="A5341" s="223">
        <v>20.96</v>
      </c>
      <c r="B5341" s="460">
        <v>0.32884399999999997</v>
      </c>
      <c r="C5341" t="str">
        <f t="shared" si="83"/>
        <v/>
      </c>
    </row>
    <row r="5342" spans="1:3" x14ac:dyDescent="0.25">
      <c r="A5342" s="223">
        <v>18.36</v>
      </c>
      <c r="B5342" s="460">
        <v>0.45139499999999999</v>
      </c>
      <c r="C5342" t="str">
        <f t="shared" si="83"/>
        <v/>
      </c>
    </row>
    <row r="5343" spans="1:3" x14ac:dyDescent="0.25">
      <c r="A5343" s="223">
        <v>20.23</v>
      </c>
      <c r="B5343" s="460">
        <v>0.26921600000000001</v>
      </c>
      <c r="C5343" t="str">
        <f t="shared" si="83"/>
        <v/>
      </c>
    </row>
    <row r="5344" spans="1:3" x14ac:dyDescent="0.25">
      <c r="A5344" s="223">
        <v>19.760000000000002</v>
      </c>
      <c r="B5344" s="460">
        <v>0.49805000000000005</v>
      </c>
      <c r="C5344" t="str">
        <f t="shared" si="83"/>
        <v/>
      </c>
    </row>
    <row r="5345" spans="1:3" x14ac:dyDescent="0.25">
      <c r="A5345" s="223">
        <v>19.399999999999999</v>
      </c>
      <c r="B5345" s="460">
        <v>0.27367400000000003</v>
      </c>
      <c r="C5345" t="str">
        <f t="shared" si="83"/>
        <v/>
      </c>
    </row>
    <row r="5346" spans="1:3" x14ac:dyDescent="0.25">
      <c r="A5346" s="223">
        <v>18.940000000000001</v>
      </c>
      <c r="B5346" s="460">
        <v>0.23970000000000002</v>
      </c>
      <c r="C5346" t="str">
        <f t="shared" si="83"/>
        <v/>
      </c>
    </row>
    <row r="5347" spans="1:3" x14ac:dyDescent="0.25">
      <c r="A5347" s="223">
        <v>17.690000000000001</v>
      </c>
      <c r="B5347" s="460">
        <v>0.33995700000000001</v>
      </c>
      <c r="C5347" t="str">
        <f t="shared" si="83"/>
        <v/>
      </c>
    </row>
    <row r="5348" spans="1:3" x14ac:dyDescent="0.25">
      <c r="A5348" s="223">
        <v>16.809999999999999</v>
      </c>
      <c r="B5348" s="460">
        <v>0.238736</v>
      </c>
      <c r="C5348" t="str">
        <f t="shared" si="83"/>
        <v/>
      </c>
    </row>
    <row r="5349" spans="1:3" x14ac:dyDescent="0.25">
      <c r="A5349" s="223">
        <v>13.84</v>
      </c>
      <c r="B5349" s="460">
        <v>9.9900000000000003E-2</v>
      </c>
      <c r="C5349" t="str">
        <f t="shared" si="83"/>
        <v/>
      </c>
    </row>
    <row r="5350" spans="1:3" x14ac:dyDescent="0.25">
      <c r="A5350" s="223">
        <v>12.61</v>
      </c>
      <c r="B5350" s="460">
        <v>4.7447999999999997E-2</v>
      </c>
      <c r="C5350" t="str">
        <f t="shared" si="83"/>
        <v/>
      </c>
    </row>
    <row r="5351" spans="1:3" x14ac:dyDescent="0.25">
      <c r="A5351" s="223">
        <v>10.68</v>
      </c>
      <c r="B5351" s="460">
        <v>7.8567999999999999E-2</v>
      </c>
      <c r="C5351" t="str">
        <f t="shared" si="83"/>
        <v/>
      </c>
    </row>
    <row r="5352" spans="1:3" x14ac:dyDescent="0.25">
      <c r="A5352" s="223">
        <v>7.42</v>
      </c>
      <c r="B5352" s="460">
        <v>3.5756999999999997E-2</v>
      </c>
      <c r="C5352" t="str">
        <f t="shared" si="83"/>
        <v/>
      </c>
    </row>
    <row r="5353" spans="1:3" x14ac:dyDescent="0.25">
      <c r="A5353" s="223">
        <v>10.85</v>
      </c>
      <c r="B5353" s="460">
        <v>9.7275E-2</v>
      </c>
      <c r="C5353" t="str">
        <f t="shared" si="83"/>
        <v/>
      </c>
    </row>
    <row r="5354" spans="1:3" x14ac:dyDescent="0.25">
      <c r="A5354" s="223">
        <v>11.19</v>
      </c>
      <c r="B5354" s="460">
        <v>0.28188299999999999</v>
      </c>
      <c r="C5354" t="str">
        <f t="shared" si="83"/>
        <v/>
      </c>
    </row>
    <row r="5355" spans="1:3" x14ac:dyDescent="0.25">
      <c r="A5355" s="223">
        <v>11.19</v>
      </c>
      <c r="B5355" s="460">
        <v>8.5997999999999991E-2</v>
      </c>
      <c r="C5355" t="str">
        <f t="shared" si="83"/>
        <v/>
      </c>
    </row>
    <row r="5356" spans="1:3" x14ac:dyDescent="0.25">
      <c r="A5356" s="223">
        <v>11.02</v>
      </c>
      <c r="B5356" s="460">
        <v>0.24551100000000001</v>
      </c>
      <c r="C5356" t="str">
        <f t="shared" si="83"/>
        <v/>
      </c>
    </row>
    <row r="5357" spans="1:3" x14ac:dyDescent="0.25">
      <c r="A5357" s="223">
        <v>10.93</v>
      </c>
      <c r="B5357" s="460">
        <v>0.26288500000000004</v>
      </c>
      <c r="C5357" t="str">
        <f t="shared" si="83"/>
        <v/>
      </c>
    </row>
    <row r="5358" spans="1:3" x14ac:dyDescent="0.25">
      <c r="A5358" s="223">
        <v>10.59</v>
      </c>
      <c r="B5358" s="460">
        <v>0.25969199999999998</v>
      </c>
      <c r="C5358" t="str">
        <f t="shared" si="83"/>
        <v/>
      </c>
    </row>
    <row r="5359" spans="1:3" x14ac:dyDescent="0.25">
      <c r="A5359" s="223">
        <v>10.35</v>
      </c>
      <c r="B5359" s="460">
        <v>0.42890399999999995</v>
      </c>
      <c r="C5359" t="str">
        <f t="shared" si="83"/>
        <v/>
      </c>
    </row>
    <row r="5360" spans="1:3" x14ac:dyDescent="0.25">
      <c r="A5360" s="223">
        <v>9.94</v>
      </c>
      <c r="B5360" s="460">
        <v>0.32125000000000004</v>
      </c>
      <c r="C5360" t="str">
        <f t="shared" si="83"/>
        <v/>
      </c>
    </row>
    <row r="5361" spans="1:3" x14ac:dyDescent="0.25">
      <c r="A5361" s="223">
        <v>11.25</v>
      </c>
      <c r="B5361" s="460">
        <v>8.7719999999999992E-2</v>
      </c>
      <c r="C5361" t="str">
        <f t="shared" si="83"/>
        <v/>
      </c>
    </row>
    <row r="5362" spans="1:3" x14ac:dyDescent="0.25">
      <c r="A5362" s="223">
        <v>10.45</v>
      </c>
      <c r="B5362" s="460">
        <v>1.7905999999999998E-2</v>
      </c>
      <c r="C5362" t="str">
        <f t="shared" si="83"/>
        <v/>
      </c>
    </row>
    <row r="5363" spans="1:3" x14ac:dyDescent="0.25">
      <c r="A5363" s="223">
        <v>9.23</v>
      </c>
      <c r="B5363" s="460">
        <v>1.0064E-2</v>
      </c>
      <c r="C5363" t="str">
        <f t="shared" si="83"/>
        <v/>
      </c>
    </row>
    <row r="5364" spans="1:3" x14ac:dyDescent="0.25">
      <c r="A5364" s="223">
        <v>7.62</v>
      </c>
      <c r="B5364" s="460">
        <v>3.6839999999999993E-3</v>
      </c>
      <c r="C5364" t="str">
        <f t="shared" si="83"/>
        <v/>
      </c>
    </row>
    <row r="5365" spans="1:3" x14ac:dyDescent="0.25">
      <c r="A5365" s="223">
        <v>19.64</v>
      </c>
      <c r="B5365" s="460">
        <v>4.5282799999999996</v>
      </c>
      <c r="C5365" t="str">
        <f t="shared" si="83"/>
        <v/>
      </c>
    </row>
    <row r="5366" spans="1:3" x14ac:dyDescent="0.25">
      <c r="A5366" s="223">
        <v>19.989999999999998</v>
      </c>
      <c r="B5366" s="460">
        <v>7.8227200000000012</v>
      </c>
      <c r="C5366" t="str">
        <f t="shared" si="83"/>
        <v/>
      </c>
    </row>
    <row r="5367" spans="1:3" x14ac:dyDescent="0.25">
      <c r="A5367" s="223">
        <v>21.58</v>
      </c>
      <c r="B5367" s="460">
        <v>21.373799999999999</v>
      </c>
      <c r="C5367" t="str">
        <f t="shared" si="83"/>
        <v/>
      </c>
    </row>
    <row r="5368" spans="1:3" x14ac:dyDescent="0.25">
      <c r="A5368" s="223">
        <v>19.87</v>
      </c>
      <c r="B5368" s="460">
        <v>1.4769600000000001</v>
      </c>
      <c r="C5368" t="str">
        <f t="shared" si="83"/>
        <v/>
      </c>
    </row>
    <row r="5369" spans="1:3" x14ac:dyDescent="0.25">
      <c r="A5369" s="223">
        <v>19.399999999999999</v>
      </c>
      <c r="B5369" s="460">
        <v>5.4796000000000005</v>
      </c>
      <c r="C5369" t="str">
        <f t="shared" ref="C5369:C5432" si="84">IF(B5369=0,"XXXXXXXX","")</f>
        <v/>
      </c>
    </row>
    <row r="5370" spans="1:3" x14ac:dyDescent="0.25">
      <c r="A5370" s="223">
        <v>19.29</v>
      </c>
      <c r="B5370" s="460">
        <v>15.274600000000001</v>
      </c>
      <c r="C5370" t="str">
        <f t="shared" si="84"/>
        <v/>
      </c>
    </row>
    <row r="5371" spans="1:3" x14ac:dyDescent="0.25">
      <c r="A5371" s="223">
        <v>19.170000000000002</v>
      </c>
      <c r="B5371" s="460">
        <v>18.106199999999998</v>
      </c>
      <c r="C5371" t="str">
        <f t="shared" si="84"/>
        <v/>
      </c>
    </row>
    <row r="5372" spans="1:3" x14ac:dyDescent="0.25">
      <c r="A5372" s="223">
        <v>18.940000000000001</v>
      </c>
      <c r="B5372" s="460">
        <v>19.502400000000002</v>
      </c>
      <c r="C5372" t="str">
        <f t="shared" si="84"/>
        <v/>
      </c>
    </row>
    <row r="5373" spans="1:3" x14ac:dyDescent="0.25">
      <c r="A5373" s="223">
        <v>18.940000000000001</v>
      </c>
      <c r="B5373" s="460">
        <v>22.6572</v>
      </c>
      <c r="C5373" t="str">
        <f t="shared" si="84"/>
        <v/>
      </c>
    </row>
    <row r="5374" spans="1:3" x14ac:dyDescent="0.25">
      <c r="A5374" s="223">
        <v>18.71</v>
      </c>
      <c r="B5374" s="460">
        <v>9.6592500000000001</v>
      </c>
      <c r="C5374" t="str">
        <f t="shared" si="84"/>
        <v/>
      </c>
    </row>
    <row r="5375" spans="1:3" x14ac:dyDescent="0.25">
      <c r="A5375" s="223">
        <v>18.48</v>
      </c>
      <c r="B5375" s="460">
        <v>2.1975799999999999</v>
      </c>
      <c r="C5375" t="str">
        <f t="shared" si="84"/>
        <v/>
      </c>
    </row>
    <row r="5376" spans="1:3" x14ac:dyDescent="0.25">
      <c r="A5376" s="223">
        <v>18.14</v>
      </c>
      <c r="B5376" s="460">
        <v>4.7343200000000003</v>
      </c>
      <c r="C5376" t="str">
        <f t="shared" si="84"/>
        <v/>
      </c>
    </row>
    <row r="5377" spans="1:3" x14ac:dyDescent="0.25">
      <c r="A5377" s="223">
        <v>18.02</v>
      </c>
      <c r="B5377" s="460">
        <v>5.2366400000000004</v>
      </c>
      <c r="C5377" t="str">
        <f t="shared" si="84"/>
        <v/>
      </c>
    </row>
    <row r="5378" spans="1:3" x14ac:dyDescent="0.25">
      <c r="A5378" s="223">
        <v>17.8</v>
      </c>
      <c r="B5378" s="460">
        <v>7.5028800000000011</v>
      </c>
      <c r="C5378" t="str">
        <f t="shared" si="84"/>
        <v/>
      </c>
    </row>
    <row r="5379" spans="1:3" x14ac:dyDescent="0.25">
      <c r="A5379" s="223">
        <v>17.690000000000001</v>
      </c>
      <c r="B5379" s="460">
        <v>10.188419999999999</v>
      </c>
      <c r="C5379" t="str">
        <f t="shared" si="84"/>
        <v/>
      </c>
    </row>
    <row r="5380" spans="1:3" x14ac:dyDescent="0.25">
      <c r="A5380" s="223">
        <v>17.579999999999998</v>
      </c>
      <c r="B5380" s="460">
        <v>22.089600000000001</v>
      </c>
      <c r="C5380" t="str">
        <f t="shared" si="84"/>
        <v/>
      </c>
    </row>
    <row r="5381" spans="1:3" x14ac:dyDescent="0.25">
      <c r="A5381" s="223">
        <v>17.36</v>
      </c>
      <c r="B5381" s="460">
        <v>23.064499999999999</v>
      </c>
      <c r="C5381" t="str">
        <f t="shared" si="84"/>
        <v/>
      </c>
    </row>
    <row r="5382" spans="1:3" x14ac:dyDescent="0.25">
      <c r="A5382" s="223">
        <v>17.36</v>
      </c>
      <c r="B5382" s="460">
        <v>20.220199999999998</v>
      </c>
      <c r="C5382" t="str">
        <f t="shared" si="84"/>
        <v/>
      </c>
    </row>
    <row r="5383" spans="1:3" x14ac:dyDescent="0.25">
      <c r="A5383" s="223">
        <v>17.36</v>
      </c>
      <c r="B5383" s="460">
        <v>28.7042</v>
      </c>
      <c r="C5383" t="str">
        <f t="shared" si="84"/>
        <v/>
      </c>
    </row>
    <row r="5384" spans="1:3" x14ac:dyDescent="0.25">
      <c r="A5384" s="223">
        <v>17.36</v>
      </c>
      <c r="B5384" s="460">
        <v>23.189599999999999</v>
      </c>
      <c r="C5384" t="str">
        <f t="shared" si="84"/>
        <v/>
      </c>
    </row>
    <row r="5385" spans="1:3" x14ac:dyDescent="0.25">
      <c r="A5385" s="223">
        <v>17.36</v>
      </c>
      <c r="B5385" s="460">
        <v>31.064</v>
      </c>
      <c r="C5385" t="str">
        <f t="shared" si="84"/>
        <v/>
      </c>
    </row>
    <row r="5386" spans="1:3" x14ac:dyDescent="0.25">
      <c r="A5386" s="223">
        <v>17.36</v>
      </c>
      <c r="B5386" s="460">
        <v>42.077599999999997</v>
      </c>
      <c r="C5386" t="str">
        <f t="shared" si="84"/>
        <v/>
      </c>
    </row>
    <row r="5387" spans="1:3" x14ac:dyDescent="0.25">
      <c r="A5387" s="223">
        <v>17.47</v>
      </c>
      <c r="B5387" s="460">
        <v>35.748899999999999</v>
      </c>
      <c r="C5387" t="str">
        <f t="shared" si="84"/>
        <v/>
      </c>
    </row>
    <row r="5388" spans="1:3" x14ac:dyDescent="0.25">
      <c r="A5388" s="223">
        <v>17.47</v>
      </c>
      <c r="B5388" s="460">
        <v>32.1205</v>
      </c>
      <c r="C5388" t="str">
        <f t="shared" si="84"/>
        <v/>
      </c>
    </row>
    <row r="5389" spans="1:3" x14ac:dyDescent="0.25">
      <c r="A5389" s="223">
        <v>17.690000000000001</v>
      </c>
      <c r="B5389" s="460">
        <v>24.745000000000001</v>
      </c>
      <c r="C5389" t="str">
        <f t="shared" si="84"/>
        <v/>
      </c>
    </row>
    <row r="5390" spans="1:3" x14ac:dyDescent="0.25">
      <c r="A5390" s="223">
        <v>17.47</v>
      </c>
      <c r="B5390" s="460">
        <v>18.664800000000003</v>
      </c>
      <c r="C5390" t="str">
        <f t="shared" si="84"/>
        <v/>
      </c>
    </row>
    <row r="5391" spans="1:3" x14ac:dyDescent="0.25">
      <c r="A5391" s="223">
        <v>17.579999999999998</v>
      </c>
      <c r="B5391" s="460">
        <v>18.961000000000002</v>
      </c>
      <c r="C5391" t="str">
        <f t="shared" si="84"/>
        <v/>
      </c>
    </row>
    <row r="5392" spans="1:3" x14ac:dyDescent="0.25">
      <c r="A5392" s="223">
        <v>17.579999999999998</v>
      </c>
      <c r="B5392" s="460">
        <v>12.268050000000001</v>
      </c>
      <c r="C5392" t="str">
        <f t="shared" si="84"/>
        <v/>
      </c>
    </row>
    <row r="5393" spans="1:3" x14ac:dyDescent="0.25">
      <c r="A5393" s="223">
        <v>17.579999999999998</v>
      </c>
      <c r="B5393" s="460">
        <v>2.6214499999999998</v>
      </c>
      <c r="C5393" t="str">
        <f t="shared" si="84"/>
        <v/>
      </c>
    </row>
    <row r="5394" spans="1:3" x14ac:dyDescent="0.25">
      <c r="A5394" s="223">
        <v>17.579999999999998</v>
      </c>
      <c r="B5394" s="460">
        <v>3.28512</v>
      </c>
      <c r="C5394" t="str">
        <f t="shared" si="84"/>
        <v/>
      </c>
    </row>
    <row r="5395" spans="1:3" x14ac:dyDescent="0.25">
      <c r="A5395" s="223">
        <v>17.579999999999998</v>
      </c>
      <c r="B5395" s="460">
        <v>3.09124</v>
      </c>
      <c r="C5395" t="str">
        <f t="shared" si="84"/>
        <v/>
      </c>
    </row>
    <row r="5396" spans="1:3" x14ac:dyDescent="0.25">
      <c r="A5396" s="223">
        <v>17.690000000000001</v>
      </c>
      <c r="B5396" s="460">
        <v>1.169025</v>
      </c>
      <c r="C5396" t="str">
        <f t="shared" si="84"/>
        <v/>
      </c>
    </row>
    <row r="5397" spans="1:3" x14ac:dyDescent="0.25">
      <c r="A5397" s="223">
        <v>17.47</v>
      </c>
      <c r="B5397" s="460">
        <v>2.1821799999999998</v>
      </c>
      <c r="C5397" t="str">
        <f t="shared" si="84"/>
        <v/>
      </c>
    </row>
    <row r="5398" spans="1:3" x14ac:dyDescent="0.25">
      <c r="A5398" s="223">
        <v>17.47</v>
      </c>
      <c r="B5398" s="460">
        <v>8.720699999999999</v>
      </c>
      <c r="C5398" t="str">
        <f t="shared" si="84"/>
        <v/>
      </c>
    </row>
    <row r="5399" spans="1:3" x14ac:dyDescent="0.25">
      <c r="A5399" s="223">
        <v>17.47</v>
      </c>
      <c r="B5399" s="460">
        <v>18.549600000000002</v>
      </c>
      <c r="C5399" t="str">
        <f t="shared" si="84"/>
        <v/>
      </c>
    </row>
    <row r="5400" spans="1:3" x14ac:dyDescent="0.25">
      <c r="A5400" s="223">
        <v>17.579999999999998</v>
      </c>
      <c r="B5400" s="460">
        <v>33.016100000000002</v>
      </c>
      <c r="C5400" t="str">
        <f t="shared" si="84"/>
        <v/>
      </c>
    </row>
    <row r="5401" spans="1:3" x14ac:dyDescent="0.25">
      <c r="A5401" s="223">
        <v>17.25</v>
      </c>
      <c r="B5401" s="460">
        <v>9.381450000000001</v>
      </c>
      <c r="C5401" t="str">
        <f t="shared" si="84"/>
        <v/>
      </c>
    </row>
    <row r="5402" spans="1:3" x14ac:dyDescent="0.25">
      <c r="A5402" s="223">
        <v>17.25</v>
      </c>
      <c r="B5402" s="460">
        <v>9.4313800000000008</v>
      </c>
      <c r="C5402" t="str">
        <f t="shared" si="84"/>
        <v/>
      </c>
    </row>
    <row r="5403" spans="1:3" x14ac:dyDescent="0.25">
      <c r="A5403" s="223">
        <v>17.03</v>
      </c>
      <c r="B5403" s="460">
        <v>27.392799999999998</v>
      </c>
      <c r="C5403" t="str">
        <f t="shared" si="84"/>
        <v/>
      </c>
    </row>
    <row r="5404" spans="1:3" x14ac:dyDescent="0.25">
      <c r="A5404" s="223">
        <v>16.920000000000002</v>
      </c>
      <c r="B5404" s="460">
        <v>28.622999999999998</v>
      </c>
      <c r="C5404" t="str">
        <f t="shared" si="84"/>
        <v/>
      </c>
    </row>
    <row r="5405" spans="1:3" x14ac:dyDescent="0.25">
      <c r="A5405" s="223">
        <v>16.7</v>
      </c>
      <c r="B5405" s="460">
        <v>24.341100000000001</v>
      </c>
      <c r="C5405" t="str">
        <f t="shared" si="84"/>
        <v/>
      </c>
    </row>
    <row r="5406" spans="1:3" x14ac:dyDescent="0.25">
      <c r="A5406" s="223">
        <v>16.38</v>
      </c>
      <c r="B5406" s="460">
        <v>40.827300000000001</v>
      </c>
      <c r="C5406" t="str">
        <f t="shared" si="84"/>
        <v/>
      </c>
    </row>
    <row r="5407" spans="1:3" x14ac:dyDescent="0.25">
      <c r="A5407" s="223">
        <v>15.96</v>
      </c>
      <c r="B5407" s="460">
        <v>25.4436</v>
      </c>
      <c r="C5407" t="str">
        <f t="shared" si="84"/>
        <v/>
      </c>
    </row>
    <row r="5408" spans="1:3" x14ac:dyDescent="0.25">
      <c r="A5408" s="223">
        <v>15.75</v>
      </c>
      <c r="B5408" s="460">
        <v>15.902999999999999</v>
      </c>
      <c r="C5408" t="str">
        <f t="shared" si="84"/>
        <v/>
      </c>
    </row>
    <row r="5409" spans="1:3" x14ac:dyDescent="0.25">
      <c r="A5409" s="223">
        <v>15.44</v>
      </c>
      <c r="B5409" s="460">
        <v>6.1716000000000006</v>
      </c>
      <c r="C5409" t="str">
        <f t="shared" si="84"/>
        <v/>
      </c>
    </row>
    <row r="5410" spans="1:3" x14ac:dyDescent="0.25">
      <c r="A5410" s="223">
        <v>15.23</v>
      </c>
      <c r="B5410" s="460">
        <v>5.8531399999999998</v>
      </c>
      <c r="C5410" t="str">
        <f t="shared" si="84"/>
        <v/>
      </c>
    </row>
    <row r="5411" spans="1:3" x14ac:dyDescent="0.25">
      <c r="A5411" s="223">
        <v>14.93</v>
      </c>
      <c r="B5411" s="460">
        <v>1.42449</v>
      </c>
      <c r="C5411" t="str">
        <f t="shared" si="84"/>
        <v/>
      </c>
    </row>
    <row r="5412" spans="1:3" x14ac:dyDescent="0.25">
      <c r="A5412" s="223">
        <v>14.62</v>
      </c>
      <c r="B5412" s="460">
        <v>1.1431909999999998</v>
      </c>
      <c r="C5412" t="str">
        <f t="shared" si="84"/>
        <v/>
      </c>
    </row>
    <row r="5413" spans="1:3" x14ac:dyDescent="0.25">
      <c r="A5413" s="223">
        <v>14.23</v>
      </c>
      <c r="B5413" s="460">
        <v>1.8384800000000001</v>
      </c>
      <c r="C5413" t="str">
        <f t="shared" si="84"/>
        <v/>
      </c>
    </row>
    <row r="5414" spans="1:3" x14ac:dyDescent="0.25">
      <c r="A5414" s="223">
        <v>13.84</v>
      </c>
      <c r="B5414" s="460">
        <v>6.0284700000000004</v>
      </c>
      <c r="C5414" t="str">
        <f t="shared" si="84"/>
        <v/>
      </c>
    </row>
    <row r="5415" spans="1:3" x14ac:dyDescent="0.25">
      <c r="A5415" s="223">
        <v>13.45</v>
      </c>
      <c r="B5415" s="460">
        <v>7.4365199999999998</v>
      </c>
      <c r="C5415" t="str">
        <f t="shared" si="84"/>
        <v/>
      </c>
    </row>
    <row r="5416" spans="1:3" x14ac:dyDescent="0.25">
      <c r="A5416" s="223">
        <v>13.26</v>
      </c>
      <c r="B5416" s="460">
        <v>5.0344699999999998</v>
      </c>
      <c r="C5416" t="str">
        <f t="shared" si="84"/>
        <v/>
      </c>
    </row>
    <row r="5417" spans="1:3" x14ac:dyDescent="0.25">
      <c r="A5417" s="223">
        <v>12.98</v>
      </c>
      <c r="B5417" s="460">
        <v>9.7812400000000004</v>
      </c>
      <c r="C5417" t="str">
        <f t="shared" si="84"/>
        <v/>
      </c>
    </row>
    <row r="5418" spans="1:3" x14ac:dyDescent="0.25">
      <c r="A5418" s="223">
        <v>12.52</v>
      </c>
      <c r="B5418" s="460">
        <v>9.4963499999999996</v>
      </c>
      <c r="C5418" t="str">
        <f t="shared" si="84"/>
        <v/>
      </c>
    </row>
    <row r="5419" spans="1:3" x14ac:dyDescent="0.25">
      <c r="A5419" s="223">
        <v>12.34</v>
      </c>
      <c r="B5419" s="460">
        <v>7.6225599999999991</v>
      </c>
      <c r="C5419" t="str">
        <f t="shared" si="84"/>
        <v/>
      </c>
    </row>
    <row r="5420" spans="1:3" x14ac:dyDescent="0.25">
      <c r="A5420" s="223">
        <v>11.98</v>
      </c>
      <c r="B5420" s="460">
        <v>4.3719900000000003</v>
      </c>
      <c r="C5420" t="str">
        <f t="shared" si="84"/>
        <v/>
      </c>
    </row>
    <row r="5421" spans="1:3" x14ac:dyDescent="0.25">
      <c r="A5421" s="223">
        <v>11.71</v>
      </c>
      <c r="B5421" s="460">
        <v>13.832000000000001</v>
      </c>
      <c r="C5421" t="str">
        <f t="shared" si="84"/>
        <v/>
      </c>
    </row>
    <row r="5422" spans="1:3" x14ac:dyDescent="0.25">
      <c r="A5422" s="223">
        <v>11.27</v>
      </c>
      <c r="B5422" s="460">
        <v>10.9809</v>
      </c>
      <c r="C5422" t="str">
        <f t="shared" si="84"/>
        <v/>
      </c>
    </row>
    <row r="5423" spans="1:3" x14ac:dyDescent="0.25">
      <c r="A5423" s="223">
        <v>11.02</v>
      </c>
      <c r="B5423" s="460">
        <v>5.9795999999999996</v>
      </c>
      <c r="C5423" t="str">
        <f t="shared" si="84"/>
        <v/>
      </c>
    </row>
    <row r="5424" spans="1:3" x14ac:dyDescent="0.25">
      <c r="A5424" s="223">
        <v>10.76</v>
      </c>
      <c r="B5424" s="460">
        <v>4.1490800000000005</v>
      </c>
      <c r="C5424" t="str">
        <f t="shared" si="84"/>
        <v/>
      </c>
    </row>
    <row r="5425" spans="1:3" x14ac:dyDescent="0.25">
      <c r="A5425" s="223">
        <v>10.26</v>
      </c>
      <c r="B5425" s="460">
        <v>3.8687199999999997</v>
      </c>
      <c r="C5425" t="str">
        <f t="shared" si="84"/>
        <v/>
      </c>
    </row>
    <row r="5426" spans="1:3" x14ac:dyDescent="0.25">
      <c r="A5426" s="223">
        <v>10.18</v>
      </c>
      <c r="B5426" s="460">
        <v>4.6386799999999999</v>
      </c>
      <c r="C5426" t="str">
        <f t="shared" si="84"/>
        <v/>
      </c>
    </row>
    <row r="5427" spans="1:3" x14ac:dyDescent="0.25">
      <c r="A5427" s="223">
        <v>10.02</v>
      </c>
      <c r="B5427" s="460">
        <v>2.327</v>
      </c>
      <c r="C5427" t="str">
        <f t="shared" si="84"/>
        <v/>
      </c>
    </row>
    <row r="5428" spans="1:3" x14ac:dyDescent="0.25">
      <c r="A5428" s="223">
        <v>9.86</v>
      </c>
      <c r="B5428" s="460">
        <v>2.6479200000000001</v>
      </c>
      <c r="C5428" t="str">
        <f t="shared" si="84"/>
        <v/>
      </c>
    </row>
    <row r="5429" spans="1:3" x14ac:dyDescent="0.25">
      <c r="A5429" s="223">
        <v>9.6199999999999992</v>
      </c>
      <c r="B5429" s="460">
        <v>2.3514399999999998</v>
      </c>
      <c r="C5429" t="str">
        <f t="shared" si="84"/>
        <v/>
      </c>
    </row>
    <row r="5430" spans="1:3" x14ac:dyDescent="0.25">
      <c r="A5430" s="223">
        <v>9.4600000000000009</v>
      </c>
      <c r="B5430" s="460">
        <v>2.3220000000000001</v>
      </c>
      <c r="C5430" t="str">
        <f t="shared" si="84"/>
        <v/>
      </c>
    </row>
    <row r="5431" spans="1:3" x14ac:dyDescent="0.25">
      <c r="A5431" s="223">
        <v>9.23</v>
      </c>
      <c r="B5431" s="460">
        <v>2.7391799999999997</v>
      </c>
      <c r="C5431" t="str">
        <f t="shared" si="84"/>
        <v/>
      </c>
    </row>
    <row r="5432" spans="1:3" x14ac:dyDescent="0.25">
      <c r="A5432" s="223">
        <v>9.08</v>
      </c>
      <c r="B5432" s="460">
        <v>1.7691600000000003</v>
      </c>
      <c r="C5432" t="str">
        <f t="shared" si="84"/>
        <v/>
      </c>
    </row>
    <row r="5433" spans="1:3" x14ac:dyDescent="0.25">
      <c r="A5433" s="223">
        <v>8.85</v>
      </c>
      <c r="B5433" s="460">
        <v>1.3824000000000001</v>
      </c>
      <c r="C5433" t="str">
        <f t="shared" ref="C5433:C5496" si="85">IF(B5433=0,"XXXXXXXX","")</f>
        <v/>
      </c>
    </row>
    <row r="5434" spans="1:3" x14ac:dyDescent="0.25">
      <c r="A5434" s="223">
        <v>8.6300000000000008</v>
      </c>
      <c r="B5434" s="460">
        <v>1.158066</v>
      </c>
      <c r="C5434" t="str">
        <f t="shared" si="85"/>
        <v/>
      </c>
    </row>
    <row r="5435" spans="1:3" x14ac:dyDescent="0.25">
      <c r="A5435" s="223">
        <v>8.4</v>
      </c>
      <c r="B5435" s="460">
        <v>3.64777</v>
      </c>
      <c r="C5435" t="str">
        <f t="shared" si="85"/>
        <v/>
      </c>
    </row>
    <row r="5436" spans="1:3" x14ac:dyDescent="0.25">
      <c r="A5436" s="223">
        <v>8.1199999999999992</v>
      </c>
      <c r="B5436" s="460">
        <v>1.4685600000000001</v>
      </c>
      <c r="C5436" t="str">
        <f t="shared" si="85"/>
        <v/>
      </c>
    </row>
    <row r="5437" spans="1:3" x14ac:dyDescent="0.25">
      <c r="A5437" s="223">
        <v>7.97</v>
      </c>
      <c r="B5437" s="460">
        <v>0.46731</v>
      </c>
      <c r="C5437" t="str">
        <f t="shared" si="85"/>
        <v/>
      </c>
    </row>
    <row r="5438" spans="1:3" x14ac:dyDescent="0.25">
      <c r="A5438" s="223">
        <v>7.69</v>
      </c>
      <c r="B5438" s="460">
        <v>0.17054399999999997</v>
      </c>
      <c r="C5438" t="str">
        <f t="shared" si="85"/>
        <v/>
      </c>
    </row>
    <row r="5439" spans="1:3" x14ac:dyDescent="0.25">
      <c r="A5439" s="223">
        <v>7.55</v>
      </c>
      <c r="B5439" s="460">
        <v>0.29171600000000003</v>
      </c>
      <c r="C5439" t="str">
        <f t="shared" si="85"/>
        <v/>
      </c>
    </row>
    <row r="5440" spans="1:3" x14ac:dyDescent="0.25">
      <c r="A5440" s="223">
        <v>7.28</v>
      </c>
      <c r="B5440" s="460">
        <v>1.005082</v>
      </c>
      <c r="C5440" t="str">
        <f t="shared" si="85"/>
        <v/>
      </c>
    </row>
    <row r="5441" spans="1:3" x14ac:dyDescent="0.25">
      <c r="A5441" s="223">
        <v>7.15</v>
      </c>
      <c r="B5441" s="460">
        <v>0.98897999999999997</v>
      </c>
      <c r="C5441" t="str">
        <f t="shared" si="85"/>
        <v/>
      </c>
    </row>
    <row r="5442" spans="1:3" x14ac:dyDescent="0.25">
      <c r="A5442" s="223">
        <v>6.88</v>
      </c>
      <c r="B5442" s="460">
        <v>0.40606399999999998</v>
      </c>
      <c r="C5442" t="str">
        <f t="shared" si="85"/>
        <v/>
      </c>
    </row>
    <row r="5443" spans="1:3" x14ac:dyDescent="0.25">
      <c r="A5443" s="223">
        <v>6.62</v>
      </c>
      <c r="B5443" s="460">
        <v>0.21630000000000002</v>
      </c>
      <c r="C5443" t="str">
        <f t="shared" si="85"/>
        <v/>
      </c>
    </row>
    <row r="5444" spans="1:3" x14ac:dyDescent="0.25">
      <c r="A5444" s="223">
        <v>6.43</v>
      </c>
      <c r="B5444" s="460">
        <v>3.687E-2</v>
      </c>
      <c r="C5444" t="str">
        <f t="shared" si="85"/>
        <v/>
      </c>
    </row>
    <row r="5445" spans="1:3" x14ac:dyDescent="0.25">
      <c r="A5445" s="223">
        <v>5.94</v>
      </c>
      <c r="B5445" s="460">
        <v>7.6733999999999997E-2</v>
      </c>
      <c r="C5445" t="str">
        <f t="shared" si="85"/>
        <v/>
      </c>
    </row>
    <row r="5446" spans="1:3" x14ac:dyDescent="0.25">
      <c r="A5446" s="223">
        <v>5.53</v>
      </c>
      <c r="B5446" s="460">
        <v>5.3283999999999998E-2</v>
      </c>
      <c r="C5446" t="str">
        <f t="shared" si="85"/>
        <v/>
      </c>
    </row>
    <row r="5447" spans="1:3" x14ac:dyDescent="0.25">
      <c r="A5447" s="223">
        <v>5.08</v>
      </c>
      <c r="B5447" s="460">
        <v>2.1635999999999999E-2</v>
      </c>
      <c r="C5447" t="str">
        <f t="shared" si="85"/>
        <v/>
      </c>
    </row>
    <row r="5448" spans="1:3" x14ac:dyDescent="0.25">
      <c r="A5448" s="223">
        <v>4.8099999999999996</v>
      </c>
      <c r="B5448" s="460">
        <v>1.0745999999999999E-2</v>
      </c>
      <c r="C5448" t="str">
        <f t="shared" si="85"/>
        <v/>
      </c>
    </row>
    <row r="5449" spans="1:3" x14ac:dyDescent="0.25">
      <c r="A5449" s="223">
        <v>4.4400000000000004</v>
      </c>
      <c r="B5449" s="460">
        <v>2.2477E-2</v>
      </c>
      <c r="C5449" t="str">
        <f t="shared" si="85"/>
        <v/>
      </c>
    </row>
    <row r="5450" spans="1:3" x14ac:dyDescent="0.25">
      <c r="A5450" s="223">
        <v>3.85</v>
      </c>
      <c r="B5450" s="460">
        <v>1.0557E-2</v>
      </c>
      <c r="C5450" t="str">
        <f t="shared" si="85"/>
        <v/>
      </c>
    </row>
    <row r="5451" spans="1:3" x14ac:dyDescent="0.25">
      <c r="A5451" s="223">
        <v>3.44</v>
      </c>
      <c r="B5451" s="460">
        <v>6.9899999999999997E-3</v>
      </c>
      <c r="C5451" t="str">
        <f t="shared" si="85"/>
        <v/>
      </c>
    </row>
    <row r="5452" spans="1:3" x14ac:dyDescent="0.25">
      <c r="A5452" s="223">
        <v>3.1</v>
      </c>
      <c r="B5452" s="460">
        <v>6.9479999999999993E-3</v>
      </c>
      <c r="C5452" t="str">
        <f t="shared" si="85"/>
        <v/>
      </c>
    </row>
    <row r="5453" spans="1:3" x14ac:dyDescent="0.25">
      <c r="A5453" s="223">
        <v>2.82</v>
      </c>
      <c r="B5453" s="460">
        <v>2.3E-3</v>
      </c>
      <c r="C5453" t="str">
        <f t="shared" si="85"/>
        <v/>
      </c>
    </row>
    <row r="5454" spans="1:3" x14ac:dyDescent="0.25">
      <c r="A5454" s="223">
        <v>2.5099999999999998</v>
      </c>
      <c r="B5454" s="460">
        <v>4.5760000000000002E-3</v>
      </c>
      <c r="C5454" t="str">
        <f t="shared" si="85"/>
        <v/>
      </c>
    </row>
    <row r="5455" spans="1:3" x14ac:dyDescent="0.25">
      <c r="A5455" s="223">
        <v>8.33</v>
      </c>
      <c r="B5455" s="460">
        <v>1.4927999999999999E-2</v>
      </c>
      <c r="C5455" t="str">
        <f t="shared" si="85"/>
        <v/>
      </c>
    </row>
    <row r="5456" spans="1:3" x14ac:dyDescent="0.25">
      <c r="A5456" s="223">
        <v>10.68</v>
      </c>
      <c r="B5456" s="460">
        <v>1.5479999999999999E-2</v>
      </c>
      <c r="C5456" t="str">
        <f t="shared" si="85"/>
        <v/>
      </c>
    </row>
    <row r="5457" spans="1:3" x14ac:dyDescent="0.25">
      <c r="A5457" s="223">
        <v>11.89</v>
      </c>
      <c r="B5457" s="460">
        <v>2.3615999999999998E-2</v>
      </c>
      <c r="C5457" t="str">
        <f t="shared" si="85"/>
        <v/>
      </c>
    </row>
    <row r="5458" spans="1:3" x14ac:dyDescent="0.25">
      <c r="A5458" s="223">
        <v>12.89</v>
      </c>
      <c r="B5458" s="460">
        <v>9.8271999999999998E-2</v>
      </c>
      <c r="C5458" t="str">
        <f t="shared" si="85"/>
        <v/>
      </c>
    </row>
    <row r="5459" spans="1:3" x14ac:dyDescent="0.25">
      <c r="A5459" s="223">
        <v>12.98</v>
      </c>
      <c r="B5459" s="460">
        <v>9.4784999999999994E-2</v>
      </c>
      <c r="C5459" t="str">
        <f t="shared" si="85"/>
        <v/>
      </c>
    </row>
    <row r="5460" spans="1:3" x14ac:dyDescent="0.25">
      <c r="A5460" s="223">
        <v>12.89</v>
      </c>
      <c r="B5460" s="460">
        <v>9.7162999999999999E-2</v>
      </c>
      <c r="C5460" t="str">
        <f t="shared" si="85"/>
        <v/>
      </c>
    </row>
    <row r="5461" spans="1:3" x14ac:dyDescent="0.25">
      <c r="A5461" s="223">
        <v>12.52</v>
      </c>
      <c r="B5461" s="460">
        <v>8.2211999999999993E-2</v>
      </c>
      <c r="C5461" t="str">
        <f t="shared" si="85"/>
        <v/>
      </c>
    </row>
    <row r="5462" spans="1:3" x14ac:dyDescent="0.25">
      <c r="A5462" s="223">
        <v>12.15</v>
      </c>
      <c r="B5462" s="460">
        <v>3.6932E-2</v>
      </c>
      <c r="C5462" t="str">
        <f t="shared" si="85"/>
        <v/>
      </c>
    </row>
    <row r="5463" spans="1:3" x14ac:dyDescent="0.25">
      <c r="A5463" s="223">
        <v>11.62</v>
      </c>
      <c r="B5463" s="460">
        <v>3.6735999999999998E-2</v>
      </c>
      <c r="C5463" t="str">
        <f t="shared" si="85"/>
        <v/>
      </c>
    </row>
    <row r="5464" spans="1:3" x14ac:dyDescent="0.25">
      <c r="A5464" s="223">
        <v>11.02</v>
      </c>
      <c r="B5464" s="460">
        <v>4.4301999999999994E-2</v>
      </c>
      <c r="C5464" t="str">
        <f t="shared" si="85"/>
        <v/>
      </c>
    </row>
    <row r="5465" spans="1:3" x14ac:dyDescent="0.25">
      <c r="A5465" s="223">
        <v>10.35</v>
      </c>
      <c r="B5465" s="460">
        <v>2.0688000000000002E-2</v>
      </c>
      <c r="C5465" t="str">
        <f t="shared" si="85"/>
        <v/>
      </c>
    </row>
    <row r="5466" spans="1:3" x14ac:dyDescent="0.25">
      <c r="A5466" s="223">
        <v>9.7799999999999994</v>
      </c>
      <c r="B5466" s="460">
        <v>1.5383999999999998E-2</v>
      </c>
      <c r="C5466" t="str">
        <f t="shared" si="85"/>
        <v/>
      </c>
    </row>
    <row r="5467" spans="1:3" x14ac:dyDescent="0.25">
      <c r="A5467" s="223">
        <v>8.4</v>
      </c>
      <c r="B5467" s="460">
        <v>1.0064E-2</v>
      </c>
      <c r="C5467" t="str">
        <f t="shared" si="85"/>
        <v/>
      </c>
    </row>
    <row r="5468" spans="1:3" x14ac:dyDescent="0.25">
      <c r="A5468" s="223">
        <v>7.01</v>
      </c>
      <c r="B5468" s="460">
        <v>4.9480000000000001E-3</v>
      </c>
      <c r="C5468" t="str">
        <f t="shared" si="85"/>
        <v/>
      </c>
    </row>
    <row r="5469" spans="1:3" x14ac:dyDescent="0.25">
      <c r="A5469" s="223">
        <v>5.47</v>
      </c>
      <c r="B5469" s="460">
        <v>4.8479999999999999E-3</v>
      </c>
      <c r="C5469" t="str">
        <f t="shared" si="85"/>
        <v/>
      </c>
    </row>
    <row r="5470" spans="1:3" x14ac:dyDescent="0.25">
      <c r="A5470" s="223">
        <v>4.29</v>
      </c>
      <c r="B5470" s="460">
        <v>3.5729999999999998E-3</v>
      </c>
      <c r="C5470" t="str">
        <f t="shared" si="85"/>
        <v/>
      </c>
    </row>
    <row r="5471" spans="1:3" x14ac:dyDescent="0.25">
      <c r="A5471" s="223">
        <v>3.4</v>
      </c>
      <c r="B5471" s="460">
        <v>5.8650000000000004E-3</v>
      </c>
      <c r="C5471" t="str">
        <f t="shared" si="85"/>
        <v/>
      </c>
    </row>
    <row r="5472" spans="1:3" x14ac:dyDescent="0.25">
      <c r="A5472" s="223">
        <v>2.7</v>
      </c>
      <c r="B5472" s="460">
        <v>4.6240000000000005E-3</v>
      </c>
      <c r="C5472" t="str">
        <f t="shared" si="85"/>
        <v/>
      </c>
    </row>
    <row r="5473" spans="1:3" x14ac:dyDescent="0.25">
      <c r="A5473" s="223">
        <v>1.57</v>
      </c>
      <c r="B5473" s="460">
        <v>5.7250000000000001E-3</v>
      </c>
      <c r="C5473" t="str">
        <f t="shared" si="85"/>
        <v/>
      </c>
    </row>
    <row r="5474" spans="1:3" x14ac:dyDescent="0.25">
      <c r="A5474" s="223">
        <v>11.27</v>
      </c>
      <c r="B5474" s="460">
        <v>9.0863999999999986E-2</v>
      </c>
      <c r="C5474" t="str">
        <f t="shared" si="85"/>
        <v/>
      </c>
    </row>
    <row r="5475" spans="1:3" x14ac:dyDescent="0.25">
      <c r="A5475" s="223">
        <v>17.36</v>
      </c>
      <c r="B5475" s="460">
        <v>0.65032800000000002</v>
      </c>
      <c r="C5475" t="str">
        <f t="shared" si="85"/>
        <v/>
      </c>
    </row>
    <row r="5476" spans="1:3" x14ac:dyDescent="0.25">
      <c r="A5476" s="223">
        <v>18.59</v>
      </c>
      <c r="B5476" s="460">
        <v>1.72732</v>
      </c>
      <c r="C5476" t="str">
        <f t="shared" si="85"/>
        <v/>
      </c>
    </row>
    <row r="5477" spans="1:3" x14ac:dyDescent="0.25">
      <c r="A5477" s="223">
        <v>18.79</v>
      </c>
      <c r="B5477" s="460">
        <v>1.2833639999999999</v>
      </c>
      <c r="C5477" t="str">
        <f t="shared" si="85"/>
        <v/>
      </c>
    </row>
    <row r="5478" spans="1:3" x14ac:dyDescent="0.25">
      <c r="A5478" s="223">
        <v>15.54</v>
      </c>
      <c r="B5478" s="460">
        <v>4.0677000000000003</v>
      </c>
      <c r="C5478" t="str">
        <f t="shared" si="85"/>
        <v/>
      </c>
    </row>
    <row r="5479" spans="1:3" x14ac:dyDescent="0.25">
      <c r="A5479" s="223">
        <v>15.13</v>
      </c>
      <c r="B5479" s="460">
        <v>4.5392500000000009</v>
      </c>
      <c r="C5479" t="str">
        <f t="shared" si="85"/>
        <v/>
      </c>
    </row>
    <row r="5480" spans="1:3" x14ac:dyDescent="0.25">
      <c r="A5480" s="223">
        <v>13.07</v>
      </c>
      <c r="B5480" s="460">
        <v>0.56983799999999996</v>
      </c>
      <c r="C5480" t="str">
        <f t="shared" si="85"/>
        <v/>
      </c>
    </row>
    <row r="5481" spans="1:3" x14ac:dyDescent="0.25">
      <c r="A5481" s="223">
        <v>11.1</v>
      </c>
      <c r="B5481" s="460">
        <v>1.5971200000000001</v>
      </c>
      <c r="C5481" t="str">
        <f t="shared" si="85"/>
        <v/>
      </c>
    </row>
    <row r="5482" spans="1:3" x14ac:dyDescent="0.25">
      <c r="A5482" s="223">
        <v>11.98</v>
      </c>
      <c r="B5482" s="460">
        <v>0.53524799999999995</v>
      </c>
      <c r="C5482" t="str">
        <f t="shared" si="85"/>
        <v/>
      </c>
    </row>
    <row r="5483" spans="1:3" x14ac:dyDescent="0.25">
      <c r="A5483" s="223">
        <v>10.02</v>
      </c>
      <c r="B5483" s="460">
        <v>0.35460900000000001</v>
      </c>
      <c r="C5483" t="str">
        <f t="shared" si="85"/>
        <v/>
      </c>
    </row>
    <row r="5484" spans="1:3" x14ac:dyDescent="0.25">
      <c r="A5484" s="223">
        <v>8.6999999999999993</v>
      </c>
      <c r="B5484" s="460">
        <v>0.604854</v>
      </c>
      <c r="C5484" t="str">
        <f t="shared" si="85"/>
        <v/>
      </c>
    </row>
    <row r="5485" spans="1:3" x14ac:dyDescent="0.25">
      <c r="A5485" s="223">
        <v>7.01</v>
      </c>
      <c r="B5485" s="460">
        <v>0.22076600000000002</v>
      </c>
      <c r="C5485" t="str">
        <f t="shared" si="85"/>
        <v/>
      </c>
    </row>
    <row r="5486" spans="1:3" x14ac:dyDescent="0.25">
      <c r="A5486" s="223">
        <v>5.88</v>
      </c>
      <c r="B5486" s="460">
        <v>0.10140500000000001</v>
      </c>
      <c r="C5486" t="str">
        <f t="shared" si="85"/>
        <v/>
      </c>
    </row>
    <row r="5487" spans="1:3" x14ac:dyDescent="0.25">
      <c r="A5487" s="223">
        <v>4.91</v>
      </c>
      <c r="B5487" s="460">
        <v>0.43511999999999995</v>
      </c>
      <c r="C5487" t="str">
        <f t="shared" si="85"/>
        <v/>
      </c>
    </row>
    <row r="5488" spans="1:3" x14ac:dyDescent="0.25">
      <c r="A5488" s="223">
        <v>4.34</v>
      </c>
      <c r="B5488" s="460">
        <v>0.29514799999999997</v>
      </c>
      <c r="C5488" t="str">
        <f t="shared" si="85"/>
        <v/>
      </c>
    </row>
    <row r="5489" spans="1:3" x14ac:dyDescent="0.25">
      <c r="A5489" s="223">
        <v>3.81</v>
      </c>
      <c r="B5489" s="460">
        <v>2.0718E-2</v>
      </c>
      <c r="C5489" t="str">
        <f t="shared" si="85"/>
        <v/>
      </c>
    </row>
    <row r="5490" spans="1:3" x14ac:dyDescent="0.25">
      <c r="A5490" s="223">
        <v>16.059999999999999</v>
      </c>
      <c r="B5490" s="460">
        <v>2.2533600000000003</v>
      </c>
      <c r="C5490" t="str">
        <f t="shared" si="85"/>
        <v/>
      </c>
    </row>
    <row r="5491" spans="1:3" x14ac:dyDescent="0.25">
      <c r="A5491" s="223">
        <v>14.33</v>
      </c>
      <c r="B5491" s="460">
        <v>3.7928999999999995</v>
      </c>
      <c r="C5491" t="str">
        <f t="shared" si="85"/>
        <v/>
      </c>
    </row>
    <row r="5492" spans="1:3" x14ac:dyDescent="0.25">
      <c r="A5492" s="223">
        <v>12.15</v>
      </c>
      <c r="B5492" s="460">
        <v>5.7290400000000004</v>
      </c>
      <c r="C5492" t="str">
        <f t="shared" si="85"/>
        <v/>
      </c>
    </row>
    <row r="5493" spans="1:3" x14ac:dyDescent="0.25">
      <c r="A5493" s="223">
        <v>9.5399999999999991</v>
      </c>
      <c r="B5493" s="460">
        <v>0.77116200000000013</v>
      </c>
      <c r="C5493" t="str">
        <f t="shared" si="85"/>
        <v/>
      </c>
    </row>
    <row r="5494" spans="1:3" x14ac:dyDescent="0.25">
      <c r="A5494" s="223">
        <v>10.35</v>
      </c>
      <c r="B5494" s="460">
        <v>1.30728</v>
      </c>
      <c r="C5494" t="str">
        <f t="shared" si="85"/>
        <v/>
      </c>
    </row>
    <row r="5495" spans="1:3" x14ac:dyDescent="0.25">
      <c r="A5495" s="223">
        <v>8.4</v>
      </c>
      <c r="B5495" s="460">
        <v>0.37041399999999997</v>
      </c>
      <c r="C5495" t="str">
        <f t="shared" si="85"/>
        <v/>
      </c>
    </row>
    <row r="5496" spans="1:3" x14ac:dyDescent="0.25">
      <c r="A5496" s="223">
        <v>6.12</v>
      </c>
      <c r="B5496" s="460">
        <v>0.32585000000000003</v>
      </c>
      <c r="C5496" t="str">
        <f t="shared" si="85"/>
        <v/>
      </c>
    </row>
    <row r="5497" spans="1:3" x14ac:dyDescent="0.25">
      <c r="A5497" s="223">
        <v>6.75</v>
      </c>
      <c r="B5497" s="460">
        <v>0.102935</v>
      </c>
      <c r="C5497" t="str">
        <f t="shared" ref="C5497:C5560" si="86">IF(B5497=0,"XXXXXXXX","")</f>
        <v/>
      </c>
    </row>
    <row r="5498" spans="1:3" x14ac:dyDescent="0.25">
      <c r="A5498" s="223">
        <v>5.94</v>
      </c>
      <c r="B5498" s="460">
        <v>6.9309999999999997E-2</v>
      </c>
      <c r="C5498" t="str">
        <f t="shared" si="86"/>
        <v/>
      </c>
    </row>
    <row r="5499" spans="1:3" x14ac:dyDescent="0.25">
      <c r="A5499" s="223">
        <v>5.3</v>
      </c>
      <c r="B5499" s="460">
        <v>5.9150000000000001E-2</v>
      </c>
      <c r="C5499" t="str">
        <f t="shared" si="86"/>
        <v/>
      </c>
    </row>
    <row r="5500" spans="1:3" x14ac:dyDescent="0.25">
      <c r="A5500" s="223">
        <v>4.75</v>
      </c>
      <c r="B5500" s="460">
        <v>0.104308</v>
      </c>
      <c r="C5500" t="str">
        <f t="shared" si="86"/>
        <v/>
      </c>
    </row>
    <row r="5501" spans="1:3" x14ac:dyDescent="0.25">
      <c r="A5501" s="223">
        <v>4.29</v>
      </c>
      <c r="B5501" s="460">
        <v>4.0634999999999998E-2</v>
      </c>
      <c r="C5501" t="str">
        <f t="shared" si="86"/>
        <v/>
      </c>
    </row>
    <row r="5502" spans="1:3" x14ac:dyDescent="0.25">
      <c r="A5502" s="223">
        <v>3.76</v>
      </c>
      <c r="B5502" s="460">
        <v>1.035E-2</v>
      </c>
      <c r="C5502" t="str">
        <f t="shared" si="86"/>
        <v/>
      </c>
    </row>
    <row r="5503" spans="1:3" x14ac:dyDescent="0.25">
      <c r="A5503" s="223">
        <v>20.350000000000001</v>
      </c>
      <c r="B5503" s="460">
        <v>3.7831200000000003</v>
      </c>
      <c r="C5503" t="str">
        <f t="shared" si="86"/>
        <v/>
      </c>
    </row>
    <row r="5504" spans="1:3" x14ac:dyDescent="0.25">
      <c r="A5504" s="223">
        <v>18.82</v>
      </c>
      <c r="B5504" s="460">
        <v>6.2180999999999997</v>
      </c>
      <c r="C5504" t="str">
        <f t="shared" si="86"/>
        <v/>
      </c>
    </row>
    <row r="5505" spans="1:3" x14ac:dyDescent="0.25">
      <c r="A5505" s="223">
        <v>18.14</v>
      </c>
      <c r="B5505" s="460">
        <v>13.757819999999999</v>
      </c>
      <c r="C5505" t="str">
        <f t="shared" si="86"/>
        <v/>
      </c>
    </row>
    <row r="5506" spans="1:3" x14ac:dyDescent="0.25">
      <c r="A5506" s="223">
        <v>17.579999999999998</v>
      </c>
      <c r="B5506" s="460">
        <v>15.484500000000001</v>
      </c>
      <c r="C5506" t="str">
        <f t="shared" si="86"/>
        <v/>
      </c>
    </row>
    <row r="5507" spans="1:3" x14ac:dyDescent="0.25">
      <c r="A5507" s="223">
        <v>17.14</v>
      </c>
      <c r="B5507" s="460">
        <v>9.8199599999999982</v>
      </c>
      <c r="C5507" t="str">
        <f t="shared" si="86"/>
        <v/>
      </c>
    </row>
    <row r="5508" spans="1:3" x14ac:dyDescent="0.25">
      <c r="A5508" s="223">
        <v>16.59</v>
      </c>
      <c r="B5508" s="460">
        <v>14.9472</v>
      </c>
      <c r="C5508" t="str">
        <f t="shared" si="86"/>
        <v/>
      </c>
    </row>
    <row r="5509" spans="1:3" x14ac:dyDescent="0.25">
      <c r="A5509" s="223">
        <v>16.38</v>
      </c>
      <c r="B5509" s="460">
        <v>8.4870000000000001</v>
      </c>
      <c r="C5509" t="str">
        <f t="shared" si="86"/>
        <v/>
      </c>
    </row>
    <row r="5510" spans="1:3" x14ac:dyDescent="0.25">
      <c r="A5510" s="223">
        <v>16.059999999999999</v>
      </c>
      <c r="B5510" s="460">
        <v>7.4470800000000006</v>
      </c>
      <c r="C5510" t="str">
        <f t="shared" si="86"/>
        <v/>
      </c>
    </row>
    <row r="5511" spans="1:3" x14ac:dyDescent="0.25">
      <c r="A5511" s="223">
        <v>15.54</v>
      </c>
      <c r="B5511" s="460">
        <v>4.6135299999999999</v>
      </c>
      <c r="C5511" t="str">
        <f t="shared" si="86"/>
        <v/>
      </c>
    </row>
    <row r="5512" spans="1:3" x14ac:dyDescent="0.25">
      <c r="A5512" s="223">
        <v>15.03</v>
      </c>
      <c r="B5512" s="460">
        <v>1.8277600000000003</v>
      </c>
      <c r="C5512" t="str">
        <f t="shared" si="86"/>
        <v/>
      </c>
    </row>
    <row r="5513" spans="1:3" x14ac:dyDescent="0.25">
      <c r="A5513" s="223">
        <v>14.83</v>
      </c>
      <c r="B5513" s="460">
        <v>0.84801599999999999</v>
      </c>
      <c r="C5513" t="str">
        <f t="shared" si="86"/>
        <v/>
      </c>
    </row>
    <row r="5514" spans="1:3" x14ac:dyDescent="0.25">
      <c r="A5514" s="223">
        <v>14.43</v>
      </c>
      <c r="B5514" s="460">
        <v>0.173184</v>
      </c>
      <c r="C5514" t="str">
        <f t="shared" si="86"/>
        <v/>
      </c>
    </row>
    <row r="5515" spans="1:3" x14ac:dyDescent="0.25">
      <c r="A5515" s="223">
        <v>13.74</v>
      </c>
      <c r="B5515" s="460">
        <v>5.3560000000000003E-2</v>
      </c>
      <c r="C5515" t="str">
        <f t="shared" si="86"/>
        <v/>
      </c>
    </row>
    <row r="5516" spans="1:3" x14ac:dyDescent="0.25">
      <c r="A5516" s="223">
        <v>12.79</v>
      </c>
      <c r="B5516" s="460">
        <v>2.5194000000000001E-2</v>
      </c>
      <c r="C5516" t="str">
        <f t="shared" si="86"/>
        <v/>
      </c>
    </row>
    <row r="5517" spans="1:3" x14ac:dyDescent="0.25">
      <c r="A5517" s="223">
        <v>11.02</v>
      </c>
      <c r="B5517" s="460">
        <v>1.8270000000000002E-2</v>
      </c>
      <c r="C5517" t="str">
        <f t="shared" si="86"/>
        <v/>
      </c>
    </row>
    <row r="5518" spans="1:3" x14ac:dyDescent="0.25">
      <c r="A5518" s="223">
        <v>9.6999999999999993</v>
      </c>
      <c r="B5518" s="460">
        <v>7.9607999999999998E-2</v>
      </c>
      <c r="C5518" t="str">
        <f t="shared" si="86"/>
        <v/>
      </c>
    </row>
    <row r="5519" spans="1:3" x14ac:dyDescent="0.25">
      <c r="A5519" s="223">
        <v>9.08</v>
      </c>
      <c r="B5519" s="460">
        <v>5.4824999999999999E-2</v>
      </c>
      <c r="C5519" t="str">
        <f t="shared" si="86"/>
        <v/>
      </c>
    </row>
    <row r="5520" spans="1:3" x14ac:dyDescent="0.25">
      <c r="A5520" s="223">
        <v>8.48</v>
      </c>
      <c r="B5520" s="460">
        <v>2.7874000000000003E-2</v>
      </c>
      <c r="C5520" t="str">
        <f t="shared" si="86"/>
        <v/>
      </c>
    </row>
    <row r="5521" spans="1:3" x14ac:dyDescent="0.25">
      <c r="A5521" s="223">
        <v>7.97</v>
      </c>
      <c r="B5521" s="460">
        <v>1.1339999999999999E-2</v>
      </c>
      <c r="C5521" t="str">
        <f t="shared" si="86"/>
        <v/>
      </c>
    </row>
    <row r="5522" spans="1:3" x14ac:dyDescent="0.25">
      <c r="A5522" s="223">
        <v>7.48</v>
      </c>
      <c r="B5522" s="460">
        <v>7.5119999999999987E-3</v>
      </c>
      <c r="C5522" t="str">
        <f t="shared" si="86"/>
        <v/>
      </c>
    </row>
    <row r="5523" spans="1:3" x14ac:dyDescent="0.25">
      <c r="A5523" s="223">
        <v>6.88</v>
      </c>
      <c r="B5523" s="460">
        <v>6.2100000000000002E-3</v>
      </c>
      <c r="C5523" t="str">
        <f t="shared" si="86"/>
        <v/>
      </c>
    </row>
    <row r="5524" spans="1:3" x14ac:dyDescent="0.25">
      <c r="A5524" s="223">
        <v>6.31</v>
      </c>
      <c r="B5524" s="460">
        <v>1.3530000000000002E-2</v>
      </c>
      <c r="C5524" t="str">
        <f t="shared" si="86"/>
        <v/>
      </c>
    </row>
    <row r="5525" spans="1:3" x14ac:dyDescent="0.25">
      <c r="A5525" s="223">
        <v>5.82</v>
      </c>
      <c r="B5525" s="460">
        <v>4.8799999999999998E-3</v>
      </c>
      <c r="C5525" t="str">
        <f t="shared" si="86"/>
        <v/>
      </c>
    </row>
    <row r="5526" spans="1:3" x14ac:dyDescent="0.25">
      <c r="A5526" s="223">
        <v>5.41</v>
      </c>
      <c r="B5526" s="460">
        <v>7.2539999999999992E-3</v>
      </c>
      <c r="C5526" t="str">
        <f t="shared" si="86"/>
        <v/>
      </c>
    </row>
    <row r="5527" spans="1:3" x14ac:dyDescent="0.25">
      <c r="A5527" s="223">
        <v>4.8099999999999996</v>
      </c>
      <c r="B5527" s="460">
        <v>1.0791E-2</v>
      </c>
      <c r="C5527" t="str">
        <f t="shared" si="86"/>
        <v/>
      </c>
    </row>
    <row r="5528" spans="1:3" x14ac:dyDescent="0.25">
      <c r="A5528" s="223">
        <v>4.1900000000000004</v>
      </c>
      <c r="B5528" s="460">
        <v>1.5469999999999999E-2</v>
      </c>
      <c r="C5528" t="str">
        <f t="shared" si="86"/>
        <v/>
      </c>
    </row>
    <row r="5529" spans="1:3" x14ac:dyDescent="0.25">
      <c r="A5529" s="223">
        <v>3.71</v>
      </c>
      <c r="B5529" s="460">
        <v>1.0655999999999999E-2</v>
      </c>
      <c r="C5529" t="str">
        <f t="shared" si="86"/>
        <v/>
      </c>
    </row>
    <row r="5530" spans="1:3" x14ac:dyDescent="0.25">
      <c r="A5530" s="223">
        <v>3.49</v>
      </c>
      <c r="B5530" s="460">
        <v>1.174E-2</v>
      </c>
      <c r="C5530" t="str">
        <f t="shared" si="86"/>
        <v/>
      </c>
    </row>
    <row r="5531" spans="1:3" x14ac:dyDescent="0.25">
      <c r="A5531" s="223">
        <v>3.18</v>
      </c>
      <c r="B5531" s="460">
        <v>5.8399999999999997E-3</v>
      </c>
      <c r="C5531" t="str">
        <f t="shared" si="86"/>
        <v/>
      </c>
    </row>
    <row r="5532" spans="1:3" x14ac:dyDescent="0.25">
      <c r="A5532" s="223">
        <v>2.98</v>
      </c>
      <c r="B5532" s="460">
        <v>9.3120000000000008E-3</v>
      </c>
      <c r="C5532" t="str">
        <f t="shared" si="86"/>
        <v/>
      </c>
    </row>
    <row r="5533" spans="1:3" x14ac:dyDescent="0.25">
      <c r="A5533" s="223">
        <v>2.74</v>
      </c>
      <c r="B5533" s="460">
        <v>1.3907999999999998E-2</v>
      </c>
      <c r="C5533" t="str">
        <f t="shared" si="86"/>
        <v/>
      </c>
    </row>
    <row r="5534" spans="1:3" x14ac:dyDescent="0.25">
      <c r="A5534" s="223">
        <v>9.23</v>
      </c>
      <c r="B5534" s="460">
        <v>8.4017999999999995E-2</v>
      </c>
      <c r="C5534" t="str">
        <f t="shared" si="86"/>
        <v/>
      </c>
    </row>
    <row r="5535" spans="1:3" x14ac:dyDescent="0.25">
      <c r="A5535" s="223">
        <v>12.34</v>
      </c>
      <c r="B5535" s="460">
        <v>6.7371E-2</v>
      </c>
      <c r="C5535" t="str">
        <f t="shared" si="86"/>
        <v/>
      </c>
    </row>
    <row r="5536" spans="1:3" x14ac:dyDescent="0.25">
      <c r="A5536" s="223">
        <v>14.23</v>
      </c>
      <c r="B5536" s="460">
        <v>0.13094999999999998</v>
      </c>
      <c r="C5536" t="str">
        <f t="shared" si="86"/>
        <v/>
      </c>
    </row>
    <row r="5537" spans="1:3" x14ac:dyDescent="0.25">
      <c r="A5537" s="223">
        <v>15.54</v>
      </c>
      <c r="B5537" s="460">
        <v>0.16087499999999999</v>
      </c>
      <c r="C5537" t="str">
        <f t="shared" si="86"/>
        <v/>
      </c>
    </row>
    <row r="5538" spans="1:3" x14ac:dyDescent="0.25">
      <c r="A5538" s="223">
        <v>16.489999999999998</v>
      </c>
      <c r="B5538" s="460">
        <v>0.25001999999999996</v>
      </c>
      <c r="C5538" t="str">
        <f t="shared" si="86"/>
        <v/>
      </c>
    </row>
    <row r="5539" spans="1:3" x14ac:dyDescent="0.25">
      <c r="A5539" s="223">
        <v>16.59</v>
      </c>
      <c r="B5539" s="460">
        <v>7.9343999999999998E-2</v>
      </c>
      <c r="C5539" t="str">
        <f t="shared" si="86"/>
        <v/>
      </c>
    </row>
    <row r="5540" spans="1:3" x14ac:dyDescent="0.25">
      <c r="A5540" s="223">
        <v>16.27</v>
      </c>
      <c r="B5540" s="460">
        <v>0.25001999999999996</v>
      </c>
      <c r="C5540" t="str">
        <f t="shared" si="86"/>
        <v/>
      </c>
    </row>
    <row r="5541" spans="1:3" x14ac:dyDescent="0.25">
      <c r="A5541" s="223">
        <v>15.33</v>
      </c>
      <c r="B5541" s="460">
        <v>0.212058</v>
      </c>
      <c r="C5541" t="str">
        <f t="shared" si="86"/>
        <v/>
      </c>
    </row>
    <row r="5542" spans="1:3" x14ac:dyDescent="0.25">
      <c r="A5542" s="223">
        <v>13.84</v>
      </c>
      <c r="B5542" s="460">
        <v>0.17802899999999999</v>
      </c>
      <c r="C5542" t="str">
        <f t="shared" si="86"/>
        <v/>
      </c>
    </row>
    <row r="5543" spans="1:3" x14ac:dyDescent="0.25">
      <c r="A5543" s="223">
        <v>12.34</v>
      </c>
      <c r="B5543" s="460">
        <v>5.8740000000000001E-2</v>
      </c>
      <c r="C5543" t="str">
        <f t="shared" si="86"/>
        <v/>
      </c>
    </row>
    <row r="5544" spans="1:3" x14ac:dyDescent="0.25">
      <c r="A5544" s="223">
        <v>8.0399999999999991</v>
      </c>
      <c r="B5544" s="460">
        <v>1.5035999999999997E-2</v>
      </c>
      <c r="C5544" t="str">
        <f t="shared" si="86"/>
        <v/>
      </c>
    </row>
    <row r="5545" spans="1:3" x14ac:dyDescent="0.25">
      <c r="A5545" s="223">
        <v>6.75</v>
      </c>
      <c r="B5545" s="460">
        <v>1.4783999999999999E-2</v>
      </c>
      <c r="C5545" t="str">
        <f t="shared" si="86"/>
        <v/>
      </c>
    </row>
    <row r="5546" spans="1:3" x14ac:dyDescent="0.25">
      <c r="A5546" s="223">
        <v>5.24</v>
      </c>
      <c r="B5546" s="460">
        <v>4.8159999999999994E-2</v>
      </c>
      <c r="C5546" t="str">
        <f t="shared" si="86"/>
        <v/>
      </c>
    </row>
    <row r="5547" spans="1:3" x14ac:dyDescent="0.25">
      <c r="A5547" s="223">
        <v>21.15</v>
      </c>
      <c r="B5547" s="460">
        <v>3.1864500000000002</v>
      </c>
      <c r="C5547" t="str">
        <f t="shared" si="86"/>
        <v/>
      </c>
    </row>
    <row r="5548" spans="1:3" x14ac:dyDescent="0.25">
      <c r="A5548" s="223">
        <v>17.25</v>
      </c>
      <c r="B5548" s="460">
        <v>3.2501700000000002</v>
      </c>
      <c r="C5548" t="str">
        <f t="shared" si="86"/>
        <v/>
      </c>
    </row>
    <row r="5549" spans="1:3" x14ac:dyDescent="0.25">
      <c r="A5549" s="223">
        <v>13.84</v>
      </c>
      <c r="B5549" s="460">
        <v>3.3777599999999999</v>
      </c>
      <c r="C5549" t="str">
        <f t="shared" si="86"/>
        <v/>
      </c>
    </row>
    <row r="5550" spans="1:3" x14ac:dyDescent="0.25">
      <c r="A5550" s="223">
        <v>11.56</v>
      </c>
      <c r="B5550" s="460">
        <v>0.53754400000000002</v>
      </c>
      <c r="C5550" t="str">
        <f t="shared" si="86"/>
        <v/>
      </c>
    </row>
    <row r="5551" spans="1:3" x14ac:dyDescent="0.25">
      <c r="A5551" s="223">
        <v>9.31</v>
      </c>
      <c r="B5551" s="460">
        <v>0.46976000000000007</v>
      </c>
      <c r="C5551" t="str">
        <f t="shared" si="86"/>
        <v/>
      </c>
    </row>
    <row r="5552" spans="1:3" x14ac:dyDescent="0.25">
      <c r="A5552" s="223">
        <v>7.55</v>
      </c>
      <c r="B5552" s="460">
        <v>6.9944000000000006E-2</v>
      </c>
      <c r="C5552" t="str">
        <f t="shared" si="86"/>
        <v/>
      </c>
    </row>
    <row r="5553" spans="1:3" x14ac:dyDescent="0.25">
      <c r="A5553" s="223">
        <v>6.37</v>
      </c>
      <c r="B5553" s="460">
        <v>4.6778E-2</v>
      </c>
      <c r="C5553" t="str">
        <f t="shared" si="86"/>
        <v/>
      </c>
    </row>
    <row r="5554" spans="1:3" x14ac:dyDescent="0.25">
      <c r="A5554" s="223">
        <v>3.7</v>
      </c>
      <c r="B5554" s="460">
        <v>12.914999999999999</v>
      </c>
      <c r="C5554" t="str">
        <f t="shared" si="86"/>
        <v/>
      </c>
    </row>
    <row r="5555" spans="1:3" x14ac:dyDescent="0.25">
      <c r="A5555" s="223">
        <v>4.0999999999999996</v>
      </c>
      <c r="B5555" s="460">
        <v>16.310000000000002</v>
      </c>
      <c r="C5555" t="str">
        <f t="shared" si="86"/>
        <v/>
      </c>
    </row>
    <row r="5556" spans="1:3" x14ac:dyDescent="0.25">
      <c r="A5556" s="223">
        <v>4.8</v>
      </c>
      <c r="B5556" s="460">
        <v>11.795</v>
      </c>
      <c r="C5556" t="str">
        <f t="shared" si="86"/>
        <v/>
      </c>
    </row>
    <row r="5557" spans="1:3" x14ac:dyDescent="0.25">
      <c r="A5557" s="223">
        <v>5</v>
      </c>
      <c r="B5557" s="460">
        <v>15.89</v>
      </c>
      <c r="C5557" t="str">
        <f t="shared" si="86"/>
        <v/>
      </c>
    </row>
    <row r="5558" spans="1:3" x14ac:dyDescent="0.25">
      <c r="A5558" s="223">
        <v>5</v>
      </c>
      <c r="B5558" s="460">
        <v>22.12</v>
      </c>
      <c r="C5558" t="str">
        <f t="shared" si="86"/>
        <v/>
      </c>
    </row>
    <row r="5559" spans="1:3" x14ac:dyDescent="0.25">
      <c r="A5559" s="223">
        <v>4.9000000000000004</v>
      </c>
      <c r="B5559" s="460">
        <v>18.655000000000001</v>
      </c>
      <c r="C5559" t="str">
        <f t="shared" si="86"/>
        <v/>
      </c>
    </row>
    <row r="5560" spans="1:3" x14ac:dyDescent="0.25">
      <c r="A5560" s="223">
        <v>5</v>
      </c>
      <c r="B5560" s="460">
        <v>22.155000000000001</v>
      </c>
      <c r="C5560" t="str">
        <f t="shared" si="86"/>
        <v/>
      </c>
    </row>
    <row r="5561" spans="1:3" x14ac:dyDescent="0.25">
      <c r="A5561" s="223">
        <v>4.9000000000000004</v>
      </c>
      <c r="B5561" s="460">
        <v>24.675000000000001</v>
      </c>
      <c r="C5561" t="str">
        <f t="shared" ref="C5561:C5624" si="87">IF(B5561=0,"XXXXXXXX","")</f>
        <v/>
      </c>
    </row>
    <row r="5562" spans="1:3" x14ac:dyDescent="0.25">
      <c r="A5562" s="223">
        <v>4.9000000000000004</v>
      </c>
      <c r="B5562" s="460">
        <v>23.17</v>
      </c>
      <c r="C5562" t="str">
        <f t="shared" si="87"/>
        <v/>
      </c>
    </row>
    <row r="5563" spans="1:3" x14ac:dyDescent="0.25">
      <c r="A5563" s="223">
        <v>1.2</v>
      </c>
      <c r="B5563" s="460">
        <v>3.22</v>
      </c>
      <c r="C5563" t="str">
        <f t="shared" si="87"/>
        <v/>
      </c>
    </row>
    <row r="5564" spans="1:3" x14ac:dyDescent="0.25">
      <c r="A5564" s="223">
        <v>1.2</v>
      </c>
      <c r="B5564" s="460">
        <v>2.835</v>
      </c>
      <c r="C5564" t="str">
        <f t="shared" si="87"/>
        <v/>
      </c>
    </row>
    <row r="5565" spans="1:3" x14ac:dyDescent="0.25">
      <c r="A5565" s="223">
        <v>0.7</v>
      </c>
      <c r="B5565" s="460">
        <v>1.2249999999999999</v>
      </c>
      <c r="C5565" t="str">
        <f t="shared" si="87"/>
        <v/>
      </c>
    </row>
    <row r="5566" spans="1:3" x14ac:dyDescent="0.25">
      <c r="A5566" s="223">
        <v>0.7</v>
      </c>
      <c r="B5566" s="460">
        <v>0.70000000000000007</v>
      </c>
      <c r="C5566" t="str">
        <f t="shared" si="87"/>
        <v/>
      </c>
    </row>
    <row r="5567" spans="1:3" x14ac:dyDescent="0.25">
      <c r="A5567" s="223">
        <v>0.8</v>
      </c>
      <c r="B5567" s="460">
        <v>1.1900000000000002</v>
      </c>
      <c r="C5567" t="str">
        <f t="shared" si="87"/>
        <v/>
      </c>
    </row>
    <row r="5568" spans="1:3" x14ac:dyDescent="0.25">
      <c r="A5568" s="223">
        <v>0.9</v>
      </c>
      <c r="B5568" s="460">
        <v>1.68</v>
      </c>
      <c r="C5568" t="str">
        <f t="shared" si="87"/>
        <v/>
      </c>
    </row>
    <row r="5569" spans="1:3" x14ac:dyDescent="0.25">
      <c r="A5569" s="223">
        <v>1</v>
      </c>
      <c r="B5569" s="460">
        <v>1.575</v>
      </c>
      <c r="C5569" t="str">
        <f t="shared" si="87"/>
        <v/>
      </c>
    </row>
    <row r="5570" spans="1:3" x14ac:dyDescent="0.25">
      <c r="A5570" s="223">
        <v>1.3</v>
      </c>
      <c r="B5570" s="460">
        <v>3.8150000000000004</v>
      </c>
      <c r="C5570" t="str">
        <f t="shared" si="87"/>
        <v/>
      </c>
    </row>
    <row r="5571" spans="1:3" x14ac:dyDescent="0.25">
      <c r="A5571" s="223">
        <v>1.6</v>
      </c>
      <c r="B5571" s="460">
        <v>4.83</v>
      </c>
      <c r="C5571" t="str">
        <f t="shared" si="87"/>
        <v/>
      </c>
    </row>
    <row r="5572" spans="1:3" x14ac:dyDescent="0.25">
      <c r="A5572" s="223">
        <v>1.8</v>
      </c>
      <c r="B5572" s="460">
        <v>7.21</v>
      </c>
      <c r="C5572" t="str">
        <f t="shared" si="87"/>
        <v/>
      </c>
    </row>
    <row r="5573" spans="1:3" x14ac:dyDescent="0.25">
      <c r="A5573" s="223">
        <v>2</v>
      </c>
      <c r="B5573" s="460">
        <v>11.375</v>
      </c>
      <c r="C5573" t="str">
        <f t="shared" si="87"/>
        <v/>
      </c>
    </row>
    <row r="5574" spans="1:3" x14ac:dyDescent="0.25">
      <c r="A5574" s="223">
        <v>2.2000000000000002</v>
      </c>
      <c r="B5574" s="460">
        <v>9.5549999999999997</v>
      </c>
      <c r="C5574" t="str">
        <f t="shared" si="87"/>
        <v/>
      </c>
    </row>
    <row r="5575" spans="1:3" x14ac:dyDescent="0.25">
      <c r="A5575" s="223">
        <v>2.2999999999999998</v>
      </c>
      <c r="B5575" s="460">
        <v>12.04</v>
      </c>
      <c r="C5575" t="str">
        <f t="shared" si="87"/>
        <v/>
      </c>
    </row>
    <row r="5576" spans="1:3" x14ac:dyDescent="0.25">
      <c r="A5576" s="223">
        <v>2.4</v>
      </c>
      <c r="B5576" s="460">
        <v>12.145000000000001</v>
      </c>
      <c r="C5576" t="str">
        <f t="shared" si="87"/>
        <v/>
      </c>
    </row>
    <row r="5577" spans="1:3" x14ac:dyDescent="0.25">
      <c r="A5577" s="223">
        <v>2.5</v>
      </c>
      <c r="B5577" s="460">
        <v>15.155000000000001</v>
      </c>
      <c r="C5577" t="str">
        <f t="shared" si="87"/>
        <v/>
      </c>
    </row>
    <row r="5578" spans="1:3" x14ac:dyDescent="0.25">
      <c r="A5578" s="223">
        <v>2.6</v>
      </c>
      <c r="B5578" s="460">
        <v>10.604999999999999</v>
      </c>
      <c r="C5578" t="str">
        <f t="shared" si="87"/>
        <v/>
      </c>
    </row>
    <row r="5579" spans="1:3" x14ac:dyDescent="0.25">
      <c r="A5579" s="223">
        <v>2.7</v>
      </c>
      <c r="B5579" s="460">
        <v>13.125</v>
      </c>
      <c r="C5579" t="str">
        <f t="shared" si="87"/>
        <v/>
      </c>
    </row>
    <row r="5580" spans="1:3" x14ac:dyDescent="0.25">
      <c r="A5580" s="223">
        <v>2.8</v>
      </c>
      <c r="B5580" s="460">
        <v>14.665000000000001</v>
      </c>
      <c r="C5580" t="str">
        <f t="shared" si="87"/>
        <v/>
      </c>
    </row>
    <row r="5581" spans="1:3" x14ac:dyDescent="0.25">
      <c r="A5581" s="223">
        <v>2.8</v>
      </c>
      <c r="B5581" s="460">
        <v>11.935</v>
      </c>
      <c r="C5581" t="str">
        <f t="shared" si="87"/>
        <v/>
      </c>
    </row>
    <row r="5582" spans="1:3" x14ac:dyDescent="0.25">
      <c r="A5582" s="223">
        <v>0.6</v>
      </c>
      <c r="B5582" s="460">
        <v>1.155</v>
      </c>
      <c r="C5582" t="str">
        <f t="shared" si="87"/>
        <v/>
      </c>
    </row>
    <row r="5583" spans="1:3" x14ac:dyDescent="0.25">
      <c r="A5583" s="223">
        <v>0.6</v>
      </c>
      <c r="B5583" s="460">
        <v>1.155</v>
      </c>
      <c r="C5583" t="str">
        <f t="shared" si="87"/>
        <v/>
      </c>
    </row>
    <row r="5584" spans="1:3" x14ac:dyDescent="0.25">
      <c r="A5584" s="223">
        <v>0.7</v>
      </c>
      <c r="B5584" s="460">
        <v>2.1</v>
      </c>
      <c r="C5584" t="str">
        <f t="shared" si="87"/>
        <v/>
      </c>
    </row>
    <row r="5585" spans="1:3" x14ac:dyDescent="0.25">
      <c r="A5585" s="223">
        <v>0.7</v>
      </c>
      <c r="B5585" s="460">
        <v>1.75</v>
      </c>
      <c r="C5585" t="str">
        <f t="shared" si="87"/>
        <v/>
      </c>
    </row>
    <row r="5586" spans="1:3" x14ac:dyDescent="0.25">
      <c r="A5586" s="223">
        <v>0.7</v>
      </c>
      <c r="B5586" s="460">
        <v>2.0649999999999999</v>
      </c>
      <c r="C5586" t="str">
        <f t="shared" si="87"/>
        <v/>
      </c>
    </row>
    <row r="5587" spans="1:3" x14ac:dyDescent="0.25">
      <c r="A5587" s="223">
        <v>0.7</v>
      </c>
      <c r="B5587" s="460">
        <v>1.9949999999999999</v>
      </c>
      <c r="C5587" t="str">
        <f t="shared" si="87"/>
        <v/>
      </c>
    </row>
    <row r="5588" spans="1:3" x14ac:dyDescent="0.25">
      <c r="A5588" s="223">
        <v>0.7</v>
      </c>
      <c r="B5588" s="460">
        <v>1.61</v>
      </c>
      <c r="C5588" t="str">
        <f t="shared" si="87"/>
        <v/>
      </c>
    </row>
    <row r="5589" spans="1:3" x14ac:dyDescent="0.25">
      <c r="A5589" s="223">
        <v>0.6</v>
      </c>
      <c r="B5589" s="460">
        <v>2.2749999999999999</v>
      </c>
      <c r="C5589" t="str">
        <f t="shared" si="87"/>
        <v/>
      </c>
    </row>
    <row r="5590" spans="1:3" x14ac:dyDescent="0.25">
      <c r="A5590" s="223">
        <v>0.6</v>
      </c>
      <c r="B5590" s="460">
        <v>1.82</v>
      </c>
      <c r="C5590" t="str">
        <f t="shared" si="87"/>
        <v/>
      </c>
    </row>
    <row r="5591" spans="1:3" x14ac:dyDescent="0.25">
      <c r="A5591" s="223">
        <v>0.6</v>
      </c>
      <c r="B5591" s="460">
        <v>1.26</v>
      </c>
      <c r="C5591" t="str">
        <f t="shared" si="87"/>
        <v/>
      </c>
    </row>
    <row r="5592" spans="1:3" x14ac:dyDescent="0.25">
      <c r="A5592" s="223">
        <v>0.5</v>
      </c>
      <c r="B5592" s="460">
        <v>1.7149999999999999</v>
      </c>
      <c r="C5592" t="str">
        <f t="shared" si="87"/>
        <v/>
      </c>
    </row>
    <row r="5593" spans="1:3" x14ac:dyDescent="0.25">
      <c r="A5593" s="223">
        <v>0.5</v>
      </c>
      <c r="B5593" s="460">
        <v>1.575</v>
      </c>
      <c r="C5593" t="str">
        <f t="shared" si="87"/>
        <v/>
      </c>
    </row>
    <row r="5594" spans="1:3" x14ac:dyDescent="0.25">
      <c r="A5594" s="223">
        <v>0.4</v>
      </c>
      <c r="B5594" s="460">
        <v>1.2249999999999999</v>
      </c>
      <c r="C5594" t="str">
        <f t="shared" si="87"/>
        <v/>
      </c>
    </row>
    <row r="5595" spans="1:3" x14ac:dyDescent="0.25">
      <c r="A5595" s="223">
        <v>0.4</v>
      </c>
      <c r="B5595" s="460">
        <v>1.7149999999999999</v>
      </c>
      <c r="C5595" t="str">
        <f t="shared" si="87"/>
        <v/>
      </c>
    </row>
    <row r="5596" spans="1:3" x14ac:dyDescent="0.25">
      <c r="A5596" s="223">
        <v>0.4</v>
      </c>
      <c r="B5596" s="460">
        <v>1.085</v>
      </c>
      <c r="C5596" t="str">
        <f t="shared" si="87"/>
        <v/>
      </c>
    </row>
    <row r="5597" spans="1:3" x14ac:dyDescent="0.25">
      <c r="A5597" s="223">
        <v>0.3</v>
      </c>
      <c r="B5597" s="460">
        <v>1.1200000000000001</v>
      </c>
      <c r="C5597" t="str">
        <f t="shared" si="87"/>
        <v/>
      </c>
    </row>
    <row r="5598" spans="1:3" x14ac:dyDescent="0.25">
      <c r="A5598" s="223">
        <v>1.7</v>
      </c>
      <c r="B5598" s="460">
        <v>16.38</v>
      </c>
      <c r="C5598" t="str">
        <f t="shared" si="87"/>
        <v/>
      </c>
    </row>
    <row r="5599" spans="1:3" x14ac:dyDescent="0.25">
      <c r="A5599" s="223">
        <v>2.1</v>
      </c>
      <c r="B5599" s="460">
        <v>12.32</v>
      </c>
      <c r="C5599" t="str">
        <f t="shared" si="87"/>
        <v/>
      </c>
    </row>
    <row r="5600" spans="1:3" x14ac:dyDescent="0.25">
      <c r="A5600" s="223">
        <v>2.1</v>
      </c>
      <c r="B5600" s="460">
        <v>15.224999999999998</v>
      </c>
      <c r="C5600" t="str">
        <f t="shared" si="87"/>
        <v/>
      </c>
    </row>
    <row r="5601" spans="1:3" x14ac:dyDescent="0.25">
      <c r="A5601" s="223">
        <v>2</v>
      </c>
      <c r="B5601" s="460">
        <v>14.280000000000001</v>
      </c>
      <c r="C5601" t="str">
        <f t="shared" si="87"/>
        <v/>
      </c>
    </row>
    <row r="5602" spans="1:3" x14ac:dyDescent="0.25">
      <c r="A5602" s="223">
        <v>2.1</v>
      </c>
      <c r="B5602" s="460">
        <v>11.655000000000001</v>
      </c>
      <c r="C5602" t="str">
        <f t="shared" si="87"/>
        <v/>
      </c>
    </row>
    <row r="5603" spans="1:3" x14ac:dyDescent="0.25">
      <c r="A5603" s="223">
        <v>2.2000000000000002</v>
      </c>
      <c r="B5603" s="460">
        <v>8.82</v>
      </c>
      <c r="C5603" t="str">
        <f t="shared" si="87"/>
        <v/>
      </c>
    </row>
    <row r="5604" spans="1:3" x14ac:dyDescent="0.25">
      <c r="A5604" s="223">
        <v>2.2999999999999998</v>
      </c>
      <c r="B5604" s="460">
        <v>11.795</v>
      </c>
      <c r="C5604" t="str">
        <f t="shared" si="87"/>
        <v/>
      </c>
    </row>
    <row r="5605" spans="1:3" x14ac:dyDescent="0.25">
      <c r="A5605" s="223">
        <v>2.5</v>
      </c>
      <c r="B5605" s="460">
        <v>14.56</v>
      </c>
      <c r="C5605" t="str">
        <f t="shared" si="87"/>
        <v/>
      </c>
    </row>
    <row r="5606" spans="1:3" x14ac:dyDescent="0.25">
      <c r="A5606" s="223">
        <v>2.6</v>
      </c>
      <c r="B5606" s="460">
        <v>12.775</v>
      </c>
      <c r="C5606" t="str">
        <f t="shared" si="87"/>
        <v/>
      </c>
    </row>
    <row r="5607" spans="1:3" x14ac:dyDescent="0.25">
      <c r="A5607" s="223">
        <v>2.7</v>
      </c>
      <c r="B5607" s="460">
        <v>10.43</v>
      </c>
      <c r="C5607" t="str">
        <f t="shared" si="87"/>
        <v/>
      </c>
    </row>
    <row r="5608" spans="1:3" x14ac:dyDescent="0.25">
      <c r="A5608" s="223">
        <v>0.3</v>
      </c>
      <c r="B5608" s="460">
        <v>1.26</v>
      </c>
      <c r="C5608" t="str">
        <f t="shared" si="87"/>
        <v/>
      </c>
    </row>
    <row r="5609" spans="1:3" x14ac:dyDescent="0.25">
      <c r="A5609" s="223">
        <v>0.4</v>
      </c>
      <c r="B5609" s="460">
        <v>1.1200000000000001</v>
      </c>
      <c r="C5609" t="str">
        <f t="shared" si="87"/>
        <v/>
      </c>
    </row>
    <row r="5610" spans="1:3" x14ac:dyDescent="0.25">
      <c r="A5610" s="223">
        <v>0.4</v>
      </c>
      <c r="B5610" s="460">
        <v>2.66</v>
      </c>
      <c r="C5610" t="str">
        <f t="shared" si="87"/>
        <v/>
      </c>
    </row>
    <row r="5611" spans="1:3" x14ac:dyDescent="0.25">
      <c r="A5611" s="223">
        <v>0.5</v>
      </c>
      <c r="B5611" s="460">
        <v>3.29</v>
      </c>
      <c r="C5611" t="str">
        <f t="shared" si="87"/>
        <v/>
      </c>
    </row>
    <row r="5612" spans="1:3" x14ac:dyDescent="0.25">
      <c r="A5612" s="223">
        <v>0.6</v>
      </c>
      <c r="B5612" s="460">
        <v>2.415</v>
      </c>
      <c r="C5612" t="str">
        <f t="shared" si="87"/>
        <v/>
      </c>
    </row>
    <row r="5613" spans="1:3" x14ac:dyDescent="0.25">
      <c r="A5613" s="223">
        <v>0.6</v>
      </c>
      <c r="B5613" s="460">
        <v>1.9250000000000003</v>
      </c>
      <c r="C5613" t="str">
        <f t="shared" si="87"/>
        <v/>
      </c>
    </row>
    <row r="5614" spans="1:3" x14ac:dyDescent="0.25">
      <c r="A5614" s="223">
        <v>0.6</v>
      </c>
      <c r="B5614" s="460">
        <v>3.29</v>
      </c>
      <c r="C5614" t="str">
        <f t="shared" si="87"/>
        <v/>
      </c>
    </row>
    <row r="5615" spans="1:3" x14ac:dyDescent="0.25">
      <c r="A5615" s="223">
        <v>0.7</v>
      </c>
      <c r="B5615" s="460">
        <v>1.2249999999999999</v>
      </c>
      <c r="C5615" t="str">
        <f t="shared" si="87"/>
        <v/>
      </c>
    </row>
    <row r="5616" spans="1:3" x14ac:dyDescent="0.25">
      <c r="A5616" s="223">
        <v>0.7</v>
      </c>
      <c r="B5616" s="460">
        <v>5.6000000000000005</v>
      </c>
      <c r="C5616" t="str">
        <f t="shared" si="87"/>
        <v/>
      </c>
    </row>
    <row r="5617" spans="1:3" x14ac:dyDescent="0.25">
      <c r="A5617" s="223">
        <v>0.8</v>
      </c>
      <c r="B5617" s="460">
        <v>3.0449999999999999</v>
      </c>
      <c r="C5617" t="str">
        <f t="shared" si="87"/>
        <v/>
      </c>
    </row>
    <row r="5618" spans="1:3" x14ac:dyDescent="0.25">
      <c r="A5618" s="223">
        <v>0.9</v>
      </c>
      <c r="B5618" s="460">
        <v>4.0249999999999995</v>
      </c>
      <c r="C5618" t="str">
        <f t="shared" si="87"/>
        <v/>
      </c>
    </row>
    <row r="5619" spans="1:3" x14ac:dyDescent="0.25">
      <c r="A5619" s="223">
        <v>1.1000000000000001</v>
      </c>
      <c r="B5619" s="460">
        <v>7.07</v>
      </c>
      <c r="C5619" t="str">
        <f t="shared" si="87"/>
        <v/>
      </c>
    </row>
    <row r="5620" spans="1:3" x14ac:dyDescent="0.25">
      <c r="A5620" s="223">
        <v>1.2</v>
      </c>
      <c r="B5620" s="460">
        <v>4.3049999999999997</v>
      </c>
      <c r="C5620" t="str">
        <f t="shared" si="87"/>
        <v/>
      </c>
    </row>
    <row r="5621" spans="1:3" x14ac:dyDescent="0.25">
      <c r="A5621" s="223">
        <v>1.2</v>
      </c>
      <c r="B5621" s="460">
        <v>9.4149999999999991</v>
      </c>
      <c r="C5621" t="str">
        <f t="shared" si="87"/>
        <v/>
      </c>
    </row>
    <row r="5622" spans="1:3" x14ac:dyDescent="0.25">
      <c r="A5622" s="223">
        <v>1.4</v>
      </c>
      <c r="B5622" s="460">
        <v>9.3800000000000008</v>
      </c>
      <c r="C5622" t="str">
        <f t="shared" si="87"/>
        <v/>
      </c>
    </row>
    <row r="5623" spans="1:3" x14ac:dyDescent="0.25">
      <c r="A5623" s="223">
        <v>1.5</v>
      </c>
      <c r="B5623" s="460">
        <v>9.7650000000000006</v>
      </c>
      <c r="C5623" t="str">
        <f t="shared" si="87"/>
        <v/>
      </c>
    </row>
    <row r="5624" spans="1:3" x14ac:dyDescent="0.25">
      <c r="A5624" s="223">
        <v>1.6</v>
      </c>
      <c r="B5624" s="460">
        <v>7.7349999999999994</v>
      </c>
      <c r="C5624" t="str">
        <f t="shared" si="87"/>
        <v/>
      </c>
    </row>
    <row r="5625" spans="1:3" x14ac:dyDescent="0.25">
      <c r="A5625" s="223">
        <v>1.7</v>
      </c>
      <c r="B5625" s="460">
        <v>9.0300000000000011</v>
      </c>
      <c r="C5625" t="str">
        <f t="shared" ref="C5625:C5688" si="88">IF(B5625=0,"XXXXXXXX","")</f>
        <v/>
      </c>
    </row>
    <row r="5626" spans="1:3" x14ac:dyDescent="0.25">
      <c r="A5626" s="223">
        <v>1.8</v>
      </c>
      <c r="B5626" s="460">
        <v>8.2249999999999996</v>
      </c>
      <c r="C5626" t="str">
        <f t="shared" si="88"/>
        <v/>
      </c>
    </row>
    <row r="5627" spans="1:3" x14ac:dyDescent="0.25">
      <c r="A5627" s="223">
        <v>1.9</v>
      </c>
      <c r="B5627" s="460">
        <v>15.924999999999999</v>
      </c>
      <c r="C5627" t="str">
        <f t="shared" si="88"/>
        <v/>
      </c>
    </row>
    <row r="5628" spans="1:3" x14ac:dyDescent="0.25">
      <c r="A5628" s="223">
        <v>0.60299999999999998</v>
      </c>
      <c r="B5628" s="460">
        <v>5.4695999999999998E-4</v>
      </c>
      <c r="C5628" t="str">
        <f t="shared" si="88"/>
        <v/>
      </c>
    </row>
    <row r="5629" spans="1:3" x14ac:dyDescent="0.25">
      <c r="A5629" s="223">
        <v>0.749</v>
      </c>
      <c r="B5629" s="460">
        <v>1.3398799999999999E-3</v>
      </c>
      <c r="C5629" t="str">
        <f t="shared" si="88"/>
        <v/>
      </c>
    </row>
    <row r="5630" spans="1:3" x14ac:dyDescent="0.25">
      <c r="A5630" s="223">
        <v>0.749</v>
      </c>
      <c r="B5630" s="460">
        <v>5.7791999999999989E-4</v>
      </c>
      <c r="C5630" t="str">
        <f t="shared" si="88"/>
        <v/>
      </c>
    </row>
    <row r="5631" spans="1:3" x14ac:dyDescent="0.25">
      <c r="A5631" s="223">
        <v>0.84799999999999998</v>
      </c>
      <c r="B5631" s="460">
        <v>8.187200000000001E-4</v>
      </c>
      <c r="C5631" t="str">
        <f t="shared" si="88"/>
        <v/>
      </c>
    </row>
    <row r="5632" spans="1:3" x14ac:dyDescent="0.25">
      <c r="A5632" s="223">
        <v>1</v>
      </c>
      <c r="B5632" s="460">
        <v>8.9784000000000001E-4</v>
      </c>
      <c r="C5632" t="str">
        <f t="shared" si="88"/>
        <v/>
      </c>
    </row>
    <row r="5633" spans="1:3" x14ac:dyDescent="0.25">
      <c r="A5633" s="223">
        <v>1.101</v>
      </c>
      <c r="B5633" s="460">
        <v>1.63916E-3</v>
      </c>
      <c r="C5633" t="str">
        <f t="shared" si="88"/>
        <v/>
      </c>
    </row>
    <row r="5634" spans="1:3" x14ac:dyDescent="0.25">
      <c r="A5634" s="223">
        <v>1.2090000000000001</v>
      </c>
      <c r="B5634" s="460">
        <v>1.7887999999999999E-3</v>
      </c>
      <c r="C5634" t="str">
        <f t="shared" si="88"/>
        <v/>
      </c>
    </row>
    <row r="5635" spans="1:3" x14ac:dyDescent="0.25">
      <c r="A5635" s="223">
        <v>1.262</v>
      </c>
      <c r="B5635" s="460">
        <v>5.5211999999999995E-3</v>
      </c>
      <c r="C5635" t="str">
        <f t="shared" si="88"/>
        <v/>
      </c>
    </row>
    <row r="5636" spans="1:3" x14ac:dyDescent="0.25">
      <c r="A5636" s="223">
        <v>1.3149999999999999</v>
      </c>
      <c r="B5636" s="460">
        <v>1.9092000000000001E-2</v>
      </c>
      <c r="C5636" t="str">
        <f t="shared" si="88"/>
        <v/>
      </c>
    </row>
    <row r="5637" spans="1:3" x14ac:dyDescent="0.25">
      <c r="A5637" s="223">
        <v>1.37</v>
      </c>
      <c r="B5637" s="460">
        <v>5.3147999999999997E-3</v>
      </c>
      <c r="C5637" t="str">
        <f t="shared" si="88"/>
        <v/>
      </c>
    </row>
    <row r="5638" spans="1:3" x14ac:dyDescent="0.25">
      <c r="A5638" s="223">
        <v>1.4810000000000001</v>
      </c>
      <c r="B5638" s="460">
        <v>1.9264E-2</v>
      </c>
      <c r="C5638" t="str">
        <f t="shared" si="88"/>
        <v/>
      </c>
    </row>
    <row r="5639" spans="1:3" x14ac:dyDescent="0.25">
      <c r="A5639" s="223">
        <v>1.708</v>
      </c>
      <c r="B5639" s="460">
        <v>1.1197199999999999E-2</v>
      </c>
      <c r="C5639" t="str">
        <f t="shared" si="88"/>
        <v/>
      </c>
    </row>
    <row r="5640" spans="1:3" x14ac:dyDescent="0.25">
      <c r="A5640" s="223">
        <v>1.708</v>
      </c>
      <c r="B5640" s="460">
        <v>5.0911999999999997E-3</v>
      </c>
      <c r="C5640" t="str">
        <f t="shared" si="88"/>
        <v/>
      </c>
    </row>
    <row r="5641" spans="1:3" x14ac:dyDescent="0.25">
      <c r="A5641" s="223">
        <v>2.0019999999999998</v>
      </c>
      <c r="B5641" s="460">
        <v>4.2139999999999999E-3</v>
      </c>
      <c r="C5641" t="str">
        <f t="shared" si="88"/>
        <v/>
      </c>
    </row>
    <row r="5642" spans="1:3" x14ac:dyDescent="0.25">
      <c r="A5642" s="223">
        <v>2.3079999999999998</v>
      </c>
      <c r="B5642" s="460">
        <v>2.9412000000000002E-3</v>
      </c>
      <c r="C5642" t="str">
        <f t="shared" si="88"/>
        <v/>
      </c>
    </row>
    <row r="5643" spans="1:3" x14ac:dyDescent="0.25">
      <c r="A5643" s="223">
        <v>2.3079999999999998</v>
      </c>
      <c r="B5643" s="460">
        <v>7.9979999999999999E-3</v>
      </c>
      <c r="C5643" t="str">
        <f t="shared" si="88"/>
        <v/>
      </c>
    </row>
    <row r="5644" spans="1:3" x14ac:dyDescent="0.25">
      <c r="A5644" s="223">
        <v>2.37</v>
      </c>
      <c r="B5644" s="460">
        <v>6.5703999999999997E-3</v>
      </c>
      <c r="C5644" t="str">
        <f t="shared" si="88"/>
        <v/>
      </c>
    </row>
    <row r="5645" spans="1:3" x14ac:dyDescent="0.25">
      <c r="A5645" s="223">
        <v>2.4980000000000002</v>
      </c>
      <c r="B5645" s="460">
        <v>4.9707999999999992E-3</v>
      </c>
      <c r="C5645" t="str">
        <f t="shared" si="88"/>
        <v/>
      </c>
    </row>
    <row r="5646" spans="1:3" x14ac:dyDescent="0.25">
      <c r="A5646" s="223">
        <v>2.8889999999999998</v>
      </c>
      <c r="B5646" s="460">
        <v>1.27108E-2</v>
      </c>
      <c r="C5646" t="str">
        <f t="shared" si="88"/>
        <v/>
      </c>
    </row>
    <row r="5647" spans="1:3" x14ac:dyDescent="0.25">
      <c r="A5647" s="223">
        <v>2.956</v>
      </c>
      <c r="B5647" s="460">
        <v>3.1475999999999997E-2</v>
      </c>
      <c r="C5647" t="str">
        <f t="shared" si="88"/>
        <v/>
      </c>
    </row>
    <row r="5648" spans="1:3" x14ac:dyDescent="0.25">
      <c r="A5648" s="223">
        <v>3.089</v>
      </c>
      <c r="B5648" s="460">
        <v>1.1661599999999999E-2</v>
      </c>
      <c r="C5648" t="str">
        <f t="shared" si="88"/>
        <v/>
      </c>
    </row>
    <row r="5649" spans="1:3" x14ac:dyDescent="0.25">
      <c r="A5649" s="223">
        <v>3.2269999999999999</v>
      </c>
      <c r="B5649" s="460">
        <v>7.6023999999999996E-3</v>
      </c>
      <c r="C5649" t="str">
        <f t="shared" si="88"/>
        <v/>
      </c>
    </row>
    <row r="5650" spans="1:3" x14ac:dyDescent="0.25">
      <c r="A5650" s="223">
        <v>3.2959999999999998</v>
      </c>
      <c r="B5650" s="460">
        <v>2.0467999999999997E-2</v>
      </c>
      <c r="C5650" t="str">
        <f t="shared" si="88"/>
        <v/>
      </c>
    </row>
    <row r="5651" spans="1:3" x14ac:dyDescent="0.25">
      <c r="A5651" s="223">
        <v>3.3650000000000002</v>
      </c>
      <c r="B5651" s="460">
        <v>1.3863200000000001E-2</v>
      </c>
      <c r="C5651" t="str">
        <f t="shared" si="88"/>
        <v/>
      </c>
    </row>
    <row r="5652" spans="1:3" x14ac:dyDescent="0.25">
      <c r="A5652" s="223">
        <v>3.577</v>
      </c>
      <c r="B5652" s="460">
        <v>2.1672E-2</v>
      </c>
      <c r="C5652" t="str">
        <f t="shared" si="88"/>
        <v/>
      </c>
    </row>
    <row r="5653" spans="1:3" x14ac:dyDescent="0.25">
      <c r="A5653" s="223">
        <v>3.577</v>
      </c>
      <c r="B5653" s="460">
        <v>5.1083999999999999E-3</v>
      </c>
      <c r="C5653" t="str">
        <f t="shared" si="88"/>
        <v/>
      </c>
    </row>
    <row r="5654" spans="1:3" x14ac:dyDescent="0.25">
      <c r="A5654" s="223">
        <v>3.7210000000000001</v>
      </c>
      <c r="B5654" s="460">
        <v>3.3883999999999997E-2</v>
      </c>
      <c r="C5654" t="str">
        <f t="shared" si="88"/>
        <v/>
      </c>
    </row>
    <row r="5655" spans="1:3" x14ac:dyDescent="0.25">
      <c r="A5655" s="223">
        <v>3.867</v>
      </c>
      <c r="B5655" s="460">
        <v>3.3195999999999996E-2</v>
      </c>
      <c r="C5655" t="str">
        <f t="shared" si="88"/>
        <v/>
      </c>
    </row>
    <row r="5656" spans="1:3" x14ac:dyDescent="0.25">
      <c r="A5656" s="223">
        <v>3.867</v>
      </c>
      <c r="B5656" s="460">
        <v>2.0811999999999997E-2</v>
      </c>
      <c r="C5656" t="str">
        <f t="shared" si="88"/>
        <v/>
      </c>
    </row>
    <row r="5657" spans="1:3" x14ac:dyDescent="0.25">
      <c r="A5657" s="223">
        <v>4.3150000000000004</v>
      </c>
      <c r="B5657" s="460">
        <v>7.8948000000000004E-3</v>
      </c>
      <c r="C5657" t="str">
        <f t="shared" si="88"/>
        <v/>
      </c>
    </row>
    <row r="5658" spans="1:3" x14ac:dyDescent="0.25">
      <c r="A5658" s="223">
        <v>4.391</v>
      </c>
      <c r="B5658" s="460">
        <v>3.354E-2</v>
      </c>
      <c r="C5658" t="str">
        <f t="shared" si="88"/>
        <v/>
      </c>
    </row>
    <row r="5659" spans="1:3" x14ac:dyDescent="0.25">
      <c r="A5659" s="223">
        <v>4.391</v>
      </c>
      <c r="B5659" s="460">
        <v>5.0051999999999999E-2</v>
      </c>
      <c r="C5659" t="str">
        <f t="shared" si="88"/>
        <v/>
      </c>
    </row>
    <row r="5660" spans="1:3" x14ac:dyDescent="0.25">
      <c r="A5660" s="223">
        <v>4.391</v>
      </c>
      <c r="B5660" s="460">
        <v>2.0467999999999997E-2</v>
      </c>
      <c r="C5660" t="str">
        <f t="shared" si="88"/>
        <v/>
      </c>
    </row>
    <row r="5661" spans="1:3" x14ac:dyDescent="0.25">
      <c r="A5661" s="223">
        <v>4.5469999999999997</v>
      </c>
      <c r="B5661" s="460">
        <v>6.1747999999999994E-3</v>
      </c>
      <c r="C5661" t="str">
        <f t="shared" si="88"/>
        <v/>
      </c>
    </row>
    <row r="5662" spans="1:3" x14ac:dyDescent="0.25">
      <c r="A5662" s="223">
        <v>4.6230000000000002</v>
      </c>
      <c r="B5662" s="460">
        <v>1.43448E-2</v>
      </c>
      <c r="C5662" t="str">
        <f t="shared" si="88"/>
        <v/>
      </c>
    </row>
    <row r="5663" spans="1:3" x14ac:dyDescent="0.25">
      <c r="A5663" s="223">
        <v>4.7030000000000003</v>
      </c>
      <c r="B5663" s="460">
        <v>0.29927999999999999</v>
      </c>
      <c r="C5663" t="str">
        <f t="shared" si="88"/>
        <v/>
      </c>
    </row>
    <row r="5664" spans="1:3" x14ac:dyDescent="0.25">
      <c r="A5664" s="223">
        <v>4.7030000000000003</v>
      </c>
      <c r="B5664" s="460">
        <v>3.8871999999999997E-2</v>
      </c>
      <c r="C5664" t="str">
        <f t="shared" si="88"/>
        <v/>
      </c>
    </row>
    <row r="5665" spans="1:3" x14ac:dyDescent="0.25">
      <c r="A5665" s="223">
        <v>4.7030000000000003</v>
      </c>
      <c r="B5665" s="460">
        <v>3.4228000000000001E-2</v>
      </c>
      <c r="C5665" t="str">
        <f t="shared" si="88"/>
        <v/>
      </c>
    </row>
    <row r="5666" spans="1:3" x14ac:dyDescent="0.25">
      <c r="A5666" s="223">
        <v>4.8600000000000003</v>
      </c>
      <c r="B5666" s="460">
        <v>2.6831999999999998E-2</v>
      </c>
      <c r="C5666" t="str">
        <f t="shared" si="88"/>
        <v/>
      </c>
    </row>
    <row r="5667" spans="1:3" x14ac:dyDescent="0.25">
      <c r="A5667" s="223">
        <v>4.9400000000000004</v>
      </c>
      <c r="B5667" s="460">
        <v>7.5851999999999989E-2</v>
      </c>
      <c r="C5667" t="str">
        <f t="shared" si="88"/>
        <v/>
      </c>
    </row>
    <row r="5668" spans="1:3" x14ac:dyDescent="0.25">
      <c r="A5668" s="223">
        <v>4.9400000000000004</v>
      </c>
      <c r="B5668" s="460">
        <v>0.12693599999999999</v>
      </c>
      <c r="C5668" t="str">
        <f t="shared" si="88"/>
        <v/>
      </c>
    </row>
    <row r="5669" spans="1:3" x14ac:dyDescent="0.25">
      <c r="A5669" s="223">
        <v>5.0199999999999996</v>
      </c>
      <c r="B5669" s="460">
        <v>0.39043999999999995</v>
      </c>
      <c r="C5669" t="str">
        <f t="shared" si="88"/>
        <v/>
      </c>
    </row>
    <row r="5670" spans="1:3" x14ac:dyDescent="0.25">
      <c r="A5670" s="223">
        <v>5.0199999999999996</v>
      </c>
      <c r="B5670" s="460">
        <v>4.5407999999999997E-2</v>
      </c>
      <c r="C5670" t="str">
        <f t="shared" si="88"/>
        <v/>
      </c>
    </row>
    <row r="5671" spans="1:3" x14ac:dyDescent="0.25">
      <c r="A5671" s="223">
        <v>5.101</v>
      </c>
      <c r="B5671" s="460">
        <v>6.3640000000000002E-2</v>
      </c>
      <c r="C5671" t="str">
        <f t="shared" si="88"/>
        <v/>
      </c>
    </row>
    <row r="5672" spans="1:3" x14ac:dyDescent="0.25">
      <c r="A5672" s="223">
        <v>5.1829999999999998</v>
      </c>
      <c r="B5672" s="460">
        <v>1.2469999999999998E-2</v>
      </c>
      <c r="C5672" t="str">
        <f t="shared" si="88"/>
        <v/>
      </c>
    </row>
    <row r="5673" spans="1:3" x14ac:dyDescent="0.25">
      <c r="A5673" s="223">
        <v>5.2640000000000002</v>
      </c>
      <c r="B5673" s="460">
        <v>0.23736000000000002</v>
      </c>
      <c r="C5673" t="str">
        <f t="shared" si="88"/>
        <v/>
      </c>
    </row>
    <row r="5674" spans="1:3" x14ac:dyDescent="0.25">
      <c r="A5674" s="223">
        <v>5.5119999999999996</v>
      </c>
      <c r="B5674" s="460">
        <v>5.2976000000000002E-2</v>
      </c>
      <c r="C5674" t="str">
        <f t="shared" si="88"/>
        <v/>
      </c>
    </row>
    <row r="5675" spans="1:3" x14ac:dyDescent="0.25">
      <c r="A5675" s="223">
        <v>5.593</v>
      </c>
      <c r="B5675" s="460">
        <v>0.14155600000000002</v>
      </c>
      <c r="C5675" t="str">
        <f t="shared" si="88"/>
        <v/>
      </c>
    </row>
    <row r="5676" spans="1:3" x14ac:dyDescent="0.25">
      <c r="A5676" s="223">
        <v>5.6779999999999999</v>
      </c>
      <c r="B5676" s="460">
        <v>9.9416000000000004E-2</v>
      </c>
      <c r="C5676" t="str">
        <f t="shared" si="88"/>
        <v/>
      </c>
    </row>
    <row r="5677" spans="1:3" x14ac:dyDescent="0.25">
      <c r="A5677" s="223">
        <v>5.7610000000000001</v>
      </c>
      <c r="B5677" s="460">
        <v>6.3467999999999997E-2</v>
      </c>
      <c r="C5677" t="str">
        <f t="shared" si="88"/>
        <v/>
      </c>
    </row>
    <row r="5678" spans="1:3" x14ac:dyDescent="0.25">
      <c r="A5678" s="223">
        <v>5.8460000000000001</v>
      </c>
      <c r="B5678" s="460">
        <v>3.7151999999999998E-2</v>
      </c>
      <c r="C5678" t="str">
        <f t="shared" si="88"/>
        <v/>
      </c>
    </row>
    <row r="5679" spans="1:3" x14ac:dyDescent="0.25">
      <c r="A5679" s="223">
        <v>5.8460000000000001</v>
      </c>
      <c r="B5679" s="460">
        <v>8.5828000000000002E-2</v>
      </c>
      <c r="C5679" t="str">
        <f t="shared" si="88"/>
        <v/>
      </c>
    </row>
    <row r="5680" spans="1:3" x14ac:dyDescent="0.25">
      <c r="A5680" s="223">
        <v>6.0179999999999998</v>
      </c>
      <c r="B5680" s="460">
        <v>0.93567999999999996</v>
      </c>
      <c r="C5680" t="str">
        <f t="shared" si="88"/>
        <v/>
      </c>
    </row>
    <row r="5681" spans="1:3" x14ac:dyDescent="0.25">
      <c r="A5681" s="223">
        <v>6.1050000000000004</v>
      </c>
      <c r="B5681" s="460">
        <v>6.5703999999999999E-2</v>
      </c>
      <c r="C5681" t="str">
        <f t="shared" si="88"/>
        <v/>
      </c>
    </row>
    <row r="5682" spans="1:3" x14ac:dyDescent="0.25">
      <c r="A5682" s="223">
        <v>6.1050000000000004</v>
      </c>
      <c r="B5682" s="460">
        <v>0.41107999999999995</v>
      </c>
      <c r="C5682" t="str">
        <f t="shared" si="88"/>
        <v/>
      </c>
    </row>
    <row r="5683" spans="1:3" x14ac:dyDescent="0.25">
      <c r="A5683" s="223">
        <v>6.1909999999999998</v>
      </c>
      <c r="B5683" s="460">
        <v>7.2240000000000013E-2</v>
      </c>
      <c r="C5683" t="str">
        <f t="shared" si="88"/>
        <v/>
      </c>
    </row>
    <row r="5684" spans="1:3" x14ac:dyDescent="0.25">
      <c r="A5684" s="223">
        <v>6.28</v>
      </c>
      <c r="B5684" s="460">
        <v>0.14740399999999998</v>
      </c>
      <c r="C5684" t="str">
        <f t="shared" si="88"/>
        <v/>
      </c>
    </row>
    <row r="5685" spans="1:3" x14ac:dyDescent="0.25">
      <c r="A5685" s="223">
        <v>6.28</v>
      </c>
      <c r="B5685" s="460">
        <v>0.11042400000000001</v>
      </c>
      <c r="C5685" t="str">
        <f t="shared" si="88"/>
        <v/>
      </c>
    </row>
    <row r="5686" spans="1:3" x14ac:dyDescent="0.25">
      <c r="A5686" s="223">
        <v>6.367</v>
      </c>
      <c r="B5686" s="460">
        <v>4.6955999999999998E-2</v>
      </c>
      <c r="C5686" t="str">
        <f t="shared" si="88"/>
        <v/>
      </c>
    </row>
    <row r="5687" spans="1:3" x14ac:dyDescent="0.25">
      <c r="A5687" s="223">
        <v>6.367</v>
      </c>
      <c r="B5687" s="460">
        <v>6.0544000000000001E-2</v>
      </c>
      <c r="C5687" t="str">
        <f t="shared" si="88"/>
        <v/>
      </c>
    </row>
    <row r="5688" spans="1:3" x14ac:dyDescent="0.25">
      <c r="A5688" s="223">
        <v>6.367</v>
      </c>
      <c r="B5688" s="460">
        <v>0.76884000000000008</v>
      </c>
      <c r="C5688" t="str">
        <f t="shared" si="88"/>
        <v/>
      </c>
    </row>
    <row r="5689" spans="1:3" x14ac:dyDescent="0.25">
      <c r="A5689" s="223">
        <v>6.4550000000000001</v>
      </c>
      <c r="B5689" s="460">
        <v>0.123668</v>
      </c>
      <c r="C5689" t="str">
        <f t="shared" ref="C5689:C5752" si="89">IF(B5689=0,"XXXXXXXX","")</f>
        <v/>
      </c>
    </row>
    <row r="5690" spans="1:3" x14ac:dyDescent="0.25">
      <c r="A5690" s="223">
        <v>6.4550000000000001</v>
      </c>
      <c r="B5690" s="460">
        <v>0.18576000000000001</v>
      </c>
      <c r="C5690" t="str">
        <f t="shared" si="89"/>
        <v/>
      </c>
    </row>
    <row r="5691" spans="1:3" x14ac:dyDescent="0.25">
      <c r="A5691" s="223">
        <v>6.5439999999999996</v>
      </c>
      <c r="B5691" s="460">
        <v>0.33712000000000003</v>
      </c>
      <c r="C5691" t="str">
        <f t="shared" si="89"/>
        <v/>
      </c>
    </row>
    <row r="5692" spans="1:3" x14ac:dyDescent="0.25">
      <c r="A5692" s="223">
        <v>6.6340000000000003</v>
      </c>
      <c r="B5692" s="460">
        <v>0.43687999999999999</v>
      </c>
      <c r="C5692" t="str">
        <f t="shared" si="89"/>
        <v/>
      </c>
    </row>
    <row r="5693" spans="1:3" x14ac:dyDescent="0.25">
      <c r="A5693" s="223">
        <v>6.6340000000000003</v>
      </c>
      <c r="B5693" s="460">
        <v>0.44203999999999999</v>
      </c>
      <c r="C5693" t="str">
        <f t="shared" si="89"/>
        <v/>
      </c>
    </row>
    <row r="5694" spans="1:3" x14ac:dyDescent="0.25">
      <c r="A5694" s="223">
        <v>6.8129999999999997</v>
      </c>
      <c r="B5694" s="460">
        <v>0.19608</v>
      </c>
      <c r="C5694" t="str">
        <f t="shared" si="89"/>
        <v/>
      </c>
    </row>
    <row r="5695" spans="1:3" x14ac:dyDescent="0.25">
      <c r="A5695" s="223">
        <v>6.9029999999999996</v>
      </c>
      <c r="B5695" s="460">
        <v>0.18576000000000001</v>
      </c>
      <c r="C5695" t="str">
        <f t="shared" si="89"/>
        <v/>
      </c>
    </row>
    <row r="5696" spans="1:3" x14ac:dyDescent="0.25">
      <c r="A5696" s="223">
        <v>6.9950000000000001</v>
      </c>
      <c r="B5696" s="460">
        <v>0.10474799999999999</v>
      </c>
      <c r="C5696" t="str">
        <f t="shared" si="89"/>
        <v/>
      </c>
    </row>
    <row r="5697" spans="1:3" x14ac:dyDescent="0.25">
      <c r="A5697" s="223">
        <v>7.0869999999999997</v>
      </c>
      <c r="B5697" s="460">
        <v>9.373999999999999E-2</v>
      </c>
      <c r="C5697" t="str">
        <f t="shared" si="89"/>
        <v/>
      </c>
    </row>
    <row r="5698" spans="1:3" x14ac:dyDescent="0.25">
      <c r="A5698" s="223">
        <v>7.1790000000000003</v>
      </c>
      <c r="B5698" s="460">
        <v>0.16133600000000001</v>
      </c>
      <c r="C5698" t="str">
        <f t="shared" si="89"/>
        <v/>
      </c>
    </row>
    <row r="5699" spans="1:3" x14ac:dyDescent="0.25">
      <c r="A5699" s="223">
        <v>7.1790000000000003</v>
      </c>
      <c r="B5699" s="460">
        <v>0.75851999999999997</v>
      </c>
      <c r="C5699" t="str">
        <f t="shared" si="89"/>
        <v/>
      </c>
    </row>
    <row r="5700" spans="1:3" x14ac:dyDescent="0.25">
      <c r="A5700" s="223">
        <v>7.3650000000000002</v>
      </c>
      <c r="B5700" s="460">
        <v>0.36463999999999996</v>
      </c>
      <c r="C5700" t="str">
        <f t="shared" si="89"/>
        <v/>
      </c>
    </row>
    <row r="5701" spans="1:3" x14ac:dyDescent="0.25">
      <c r="A5701" s="223">
        <v>7.3650000000000002</v>
      </c>
      <c r="B5701" s="460">
        <v>0.25112000000000001</v>
      </c>
      <c r="C5701" t="str">
        <f t="shared" si="89"/>
        <v/>
      </c>
    </row>
    <row r="5702" spans="1:3" x14ac:dyDescent="0.25">
      <c r="A5702" s="223">
        <v>7.3650000000000002</v>
      </c>
      <c r="B5702" s="460">
        <v>0.9718</v>
      </c>
      <c r="C5702" t="str">
        <f t="shared" si="89"/>
        <v/>
      </c>
    </row>
    <row r="5703" spans="1:3" x14ac:dyDescent="0.25">
      <c r="A5703" s="223">
        <v>7.8380000000000001</v>
      </c>
      <c r="B5703" s="460">
        <v>0.55899999999999994</v>
      </c>
      <c r="C5703" t="str">
        <f t="shared" si="89"/>
        <v/>
      </c>
    </row>
    <row r="5704" spans="1:3" x14ac:dyDescent="0.25">
      <c r="A5704" s="223">
        <v>7.8380000000000001</v>
      </c>
      <c r="B5704" s="460">
        <v>0.150672</v>
      </c>
      <c r="C5704" t="str">
        <f t="shared" si="89"/>
        <v/>
      </c>
    </row>
    <row r="5705" spans="1:3" x14ac:dyDescent="0.25">
      <c r="A5705" s="223">
        <v>7.9329999999999998</v>
      </c>
      <c r="B5705" s="460">
        <v>0.34056000000000003</v>
      </c>
      <c r="C5705" t="str">
        <f t="shared" si="89"/>
        <v/>
      </c>
    </row>
    <row r="5706" spans="1:3" x14ac:dyDescent="0.25">
      <c r="A5706" s="223">
        <v>8.1259999999999994</v>
      </c>
      <c r="B5706" s="460">
        <v>2.7176</v>
      </c>
      <c r="C5706" t="str">
        <f t="shared" si="89"/>
        <v/>
      </c>
    </row>
    <row r="5707" spans="1:3" x14ac:dyDescent="0.25">
      <c r="A5707" s="223">
        <v>8.1259999999999994</v>
      </c>
      <c r="B5707" s="460">
        <v>1.9263999999999999</v>
      </c>
      <c r="C5707" t="str">
        <f t="shared" si="89"/>
        <v/>
      </c>
    </row>
    <row r="5708" spans="1:3" x14ac:dyDescent="0.25">
      <c r="A5708" s="223">
        <v>8.5169999999999995</v>
      </c>
      <c r="B5708" s="460">
        <v>4.8675999999999997E-2</v>
      </c>
      <c r="C5708" t="str">
        <f t="shared" si="89"/>
        <v/>
      </c>
    </row>
    <row r="5709" spans="1:3" x14ac:dyDescent="0.25">
      <c r="A5709" s="223">
        <v>8.7149999999999999</v>
      </c>
      <c r="B5709" s="460">
        <v>1.3914799999999998</v>
      </c>
      <c r="C5709" t="str">
        <f t="shared" si="89"/>
        <v/>
      </c>
    </row>
    <row r="5710" spans="1:3" x14ac:dyDescent="0.25">
      <c r="A5710" s="223">
        <v>8.8160000000000007</v>
      </c>
      <c r="B5710" s="460">
        <v>0.49363999999999997</v>
      </c>
      <c r="C5710" t="str">
        <f t="shared" si="89"/>
        <v/>
      </c>
    </row>
    <row r="5711" spans="1:3" x14ac:dyDescent="0.25">
      <c r="A5711" s="223">
        <v>8.8160000000000007</v>
      </c>
      <c r="B5711" s="460">
        <v>0.81527999999999989</v>
      </c>
      <c r="C5711" t="str">
        <f t="shared" si="89"/>
        <v/>
      </c>
    </row>
    <row r="5712" spans="1:3" x14ac:dyDescent="0.25">
      <c r="A5712" s="223">
        <v>8.9149999999999991</v>
      </c>
      <c r="B5712" s="460">
        <v>2.5283999999999995</v>
      </c>
      <c r="C5712" t="str">
        <f t="shared" si="89"/>
        <v/>
      </c>
    </row>
    <row r="5713" spans="1:3" x14ac:dyDescent="0.25">
      <c r="A5713" s="223">
        <v>9.1189999999999998</v>
      </c>
      <c r="B5713" s="460">
        <v>0.63467999999999991</v>
      </c>
      <c r="C5713" t="str">
        <f t="shared" si="89"/>
        <v/>
      </c>
    </row>
    <row r="5714" spans="1:3" x14ac:dyDescent="0.25">
      <c r="A5714" s="223">
        <v>9.6340000000000003</v>
      </c>
      <c r="B5714" s="460">
        <v>1.3054800000000002</v>
      </c>
      <c r="C5714" t="str">
        <f t="shared" si="89"/>
        <v/>
      </c>
    </row>
    <row r="5715" spans="1:3" x14ac:dyDescent="0.25">
      <c r="A5715" s="223">
        <v>9.8450000000000006</v>
      </c>
      <c r="B5715" s="460">
        <v>1.5359599999999998</v>
      </c>
      <c r="C5715" t="str">
        <f t="shared" si="89"/>
        <v/>
      </c>
    </row>
    <row r="5716" spans="1:3" x14ac:dyDescent="0.25">
      <c r="A5716" s="223">
        <v>10.7</v>
      </c>
      <c r="B5716" s="460">
        <v>1.0990799999999998</v>
      </c>
      <c r="C5716" t="str">
        <f t="shared" si="89"/>
        <v/>
      </c>
    </row>
    <row r="5717" spans="1:3" x14ac:dyDescent="0.25">
      <c r="A5717" s="223">
        <v>11.029</v>
      </c>
      <c r="B5717" s="460">
        <v>5.0395999999999992</v>
      </c>
      <c r="C5717" t="str">
        <f t="shared" si="89"/>
        <v/>
      </c>
    </row>
    <row r="5718" spans="1:3" x14ac:dyDescent="0.25">
      <c r="A5718" s="223">
        <v>11.029</v>
      </c>
      <c r="B5718" s="460">
        <v>0.6794</v>
      </c>
      <c r="C5718" t="str">
        <f t="shared" si="89"/>
        <v/>
      </c>
    </row>
    <row r="5719" spans="1:3" x14ac:dyDescent="0.25">
      <c r="A5719" s="223">
        <v>11.25</v>
      </c>
      <c r="B5719" s="460">
        <v>1.5118800000000001</v>
      </c>
      <c r="C5719" t="str">
        <f t="shared" si="89"/>
        <v/>
      </c>
    </row>
    <row r="5720" spans="1:3" x14ac:dyDescent="0.25">
      <c r="A5720" s="223">
        <v>11.926</v>
      </c>
      <c r="B5720" s="460">
        <v>0.93740000000000001</v>
      </c>
      <c r="C5720" t="str">
        <f t="shared" si="89"/>
        <v/>
      </c>
    </row>
    <row r="5721" spans="1:3" x14ac:dyDescent="0.25">
      <c r="A5721" s="223">
        <v>12.271000000000001</v>
      </c>
      <c r="B5721" s="460">
        <v>1.14208</v>
      </c>
      <c r="C5721" t="str">
        <f t="shared" si="89"/>
        <v/>
      </c>
    </row>
    <row r="5722" spans="1:3" x14ac:dyDescent="0.25">
      <c r="A5722" s="223">
        <v>14.804</v>
      </c>
      <c r="B5722" s="460">
        <v>2.9927999999999995</v>
      </c>
      <c r="C5722" t="str">
        <f t="shared" si="89"/>
        <v/>
      </c>
    </row>
    <row r="5723" spans="1:3" x14ac:dyDescent="0.25">
      <c r="A5723" s="223">
        <v>15.695</v>
      </c>
      <c r="B5723" s="460">
        <v>0.46783999999999998</v>
      </c>
      <c r="C5723" t="str">
        <f t="shared" si="89"/>
        <v/>
      </c>
    </row>
    <row r="5724" spans="1:3" x14ac:dyDescent="0.25">
      <c r="A5724" s="223">
        <v>15.952999999999999</v>
      </c>
      <c r="B5724" s="460">
        <v>6.9144000000000005</v>
      </c>
      <c r="C5724" t="str">
        <f t="shared" si="89"/>
        <v/>
      </c>
    </row>
    <row r="5725" spans="1:3" x14ac:dyDescent="0.25">
      <c r="A5725" s="223">
        <v>16.082000000000001</v>
      </c>
      <c r="B5725" s="460">
        <v>3.6635999999999997</v>
      </c>
      <c r="C5725" t="str">
        <f t="shared" si="89"/>
        <v/>
      </c>
    </row>
    <row r="5726" spans="1:3" x14ac:dyDescent="0.25">
      <c r="A5726" s="223">
        <v>18.228999999999999</v>
      </c>
      <c r="B5726" s="460">
        <v>1.9608000000000001</v>
      </c>
      <c r="C5726" t="str">
        <f t="shared" si="89"/>
        <v/>
      </c>
    </row>
    <row r="5727" spans="1:3" x14ac:dyDescent="0.25">
      <c r="A5727" s="223">
        <v>18.504999999999999</v>
      </c>
      <c r="B5727" s="460">
        <v>7.1035999999999992</v>
      </c>
      <c r="C5727" t="str">
        <f t="shared" si="89"/>
        <v/>
      </c>
    </row>
    <row r="5728" spans="1:3" x14ac:dyDescent="0.25">
      <c r="A5728" s="223">
        <v>109.01990000000001</v>
      </c>
      <c r="B5728" s="460">
        <v>4.8850000000000005E-3</v>
      </c>
      <c r="C5728" t="str">
        <f t="shared" si="89"/>
        <v/>
      </c>
    </row>
    <row r="5729" spans="1:3" x14ac:dyDescent="0.25">
      <c r="A5729" s="223">
        <v>82.118899999999996</v>
      </c>
      <c r="B5729" s="460">
        <v>4.5770000000000003E-3</v>
      </c>
      <c r="C5729" t="str">
        <f t="shared" si="89"/>
        <v/>
      </c>
    </row>
    <row r="5730" spans="1:3" x14ac:dyDescent="0.25">
      <c r="A5730" s="223">
        <v>53.802</v>
      </c>
      <c r="B5730" s="460">
        <v>4.1530000000000004E-3</v>
      </c>
      <c r="C5730" t="str">
        <f t="shared" si="89"/>
        <v/>
      </c>
    </row>
    <row r="5731" spans="1:3" x14ac:dyDescent="0.25">
      <c r="A5731" s="223">
        <v>46.156500000000001</v>
      </c>
      <c r="B5731" s="460">
        <v>4.0090000000000004E-3</v>
      </c>
      <c r="C5731" t="str">
        <f t="shared" si="89"/>
        <v/>
      </c>
    </row>
    <row r="5732" spans="1:3" x14ac:dyDescent="0.25">
      <c r="A5732" s="223">
        <v>44.174300000000002</v>
      </c>
      <c r="B5732" s="460">
        <v>3.9690000000000003E-3</v>
      </c>
      <c r="C5732" t="str">
        <f t="shared" si="89"/>
        <v/>
      </c>
    </row>
    <row r="5733" spans="1:3" x14ac:dyDescent="0.25">
      <c r="A5733" s="223">
        <v>41.625799999999998</v>
      </c>
      <c r="B5733" s="460">
        <v>3.9150000000000001E-3</v>
      </c>
      <c r="C5733" t="str">
        <f t="shared" si="89"/>
        <v/>
      </c>
    </row>
    <row r="5734" spans="1:3" x14ac:dyDescent="0.25">
      <c r="A5734" s="223">
        <v>35.396099999999997</v>
      </c>
      <c r="B5734" s="460">
        <v>3.7720000000000002E-3</v>
      </c>
      <c r="C5734" t="str">
        <f t="shared" si="89"/>
        <v/>
      </c>
    </row>
    <row r="5735" spans="1:3" x14ac:dyDescent="0.25">
      <c r="A5735" s="223">
        <v>42.192100000000003</v>
      </c>
      <c r="B5735" s="460">
        <v>3.9270000000000008E-3</v>
      </c>
      <c r="C5735" t="str">
        <f t="shared" si="89"/>
        <v/>
      </c>
    </row>
    <row r="5736" spans="1:3" x14ac:dyDescent="0.25">
      <c r="A5736" s="223">
        <v>39.643599999999999</v>
      </c>
      <c r="B5736" s="460">
        <v>3.8710000000000003E-3</v>
      </c>
      <c r="C5736" t="str">
        <f t="shared" si="89"/>
        <v/>
      </c>
    </row>
    <row r="5737" spans="1:3" x14ac:dyDescent="0.25">
      <c r="A5737" s="223">
        <v>38.7941</v>
      </c>
      <c r="B5737" s="460">
        <v>3.8520000000000004E-3</v>
      </c>
      <c r="C5737" t="str">
        <f t="shared" si="89"/>
        <v/>
      </c>
    </row>
    <row r="5738" spans="1:3" x14ac:dyDescent="0.25">
      <c r="A5738" s="223">
        <v>82.118899999999996</v>
      </c>
      <c r="B5738" s="460">
        <v>4.5770000000000003E-3</v>
      </c>
      <c r="C5738" t="str">
        <f t="shared" si="89"/>
        <v/>
      </c>
    </row>
    <row r="5739" spans="1:3" x14ac:dyDescent="0.25">
      <c r="A5739" s="223">
        <v>90.613900000000001</v>
      </c>
      <c r="B5739" s="460">
        <v>4.6820000000000004E-3</v>
      </c>
      <c r="C5739" t="str">
        <f t="shared" si="89"/>
        <v/>
      </c>
    </row>
    <row r="5740" spans="1:3" x14ac:dyDescent="0.25">
      <c r="A5740" s="223">
        <v>67.960400000000007</v>
      </c>
      <c r="B5740" s="460">
        <v>4.3820000000000005E-3</v>
      </c>
      <c r="C5740" t="str">
        <f t="shared" si="89"/>
        <v/>
      </c>
    </row>
    <row r="5741" spans="1:3" x14ac:dyDescent="0.25">
      <c r="A5741" s="223">
        <v>62.2971</v>
      </c>
      <c r="B5741" s="460">
        <v>4.2950000000000002E-3</v>
      </c>
      <c r="C5741" t="str">
        <f t="shared" si="89"/>
        <v/>
      </c>
    </row>
    <row r="5742" spans="1:3" x14ac:dyDescent="0.25">
      <c r="A5742" s="223">
        <v>63.712899999999998</v>
      </c>
      <c r="B5742" s="460">
        <v>4.3170000000000005E-3</v>
      </c>
      <c r="C5742" t="str">
        <f t="shared" si="89"/>
        <v/>
      </c>
    </row>
    <row r="5743" spans="1:3" x14ac:dyDescent="0.25">
      <c r="A5743" s="223">
        <v>95.144599999999997</v>
      </c>
      <c r="B5743" s="460">
        <v>4.7350000000000005E-3</v>
      </c>
      <c r="C5743" t="str">
        <f t="shared" si="89"/>
        <v/>
      </c>
    </row>
    <row r="5744" spans="1:3" x14ac:dyDescent="0.25">
      <c r="A5744" s="223">
        <v>90.047600000000003</v>
      </c>
      <c r="B5744" s="460">
        <v>4.6750000000000003E-3</v>
      </c>
      <c r="C5744" t="str">
        <f t="shared" si="89"/>
        <v/>
      </c>
    </row>
    <row r="5745" spans="1:3" x14ac:dyDescent="0.25">
      <c r="A5745" s="223">
        <v>84.950500000000005</v>
      </c>
      <c r="B5745" s="460">
        <v>4.6130000000000008E-3</v>
      </c>
      <c r="C5745" t="str">
        <f t="shared" si="89"/>
        <v/>
      </c>
    </row>
    <row r="5746" spans="1:3" x14ac:dyDescent="0.25">
      <c r="A5746" s="223">
        <v>82.118899999999996</v>
      </c>
      <c r="B5746" s="460">
        <v>4.5770000000000003E-3</v>
      </c>
      <c r="C5746" t="str">
        <f t="shared" si="89"/>
        <v/>
      </c>
    </row>
    <row r="5747" spans="1:3" x14ac:dyDescent="0.25">
      <c r="A5747" s="223">
        <v>69.376300000000001</v>
      </c>
      <c r="B5747" s="460">
        <v>4.4030000000000007E-3</v>
      </c>
      <c r="C5747" t="str">
        <f t="shared" si="89"/>
        <v/>
      </c>
    </row>
    <row r="5748" spans="1:3" x14ac:dyDescent="0.25">
      <c r="A5748" s="223">
        <v>62.2971</v>
      </c>
      <c r="B5748" s="460">
        <v>4.2950000000000002E-3</v>
      </c>
      <c r="C5748" t="str">
        <f t="shared" si="89"/>
        <v/>
      </c>
    </row>
    <row r="5749" spans="1:3" x14ac:dyDescent="0.25">
      <c r="A5749" s="223">
        <v>59.465400000000002</v>
      </c>
      <c r="B5749" s="460">
        <v>4.2490000000000002E-3</v>
      </c>
      <c r="C5749" t="str">
        <f t="shared" si="89"/>
        <v/>
      </c>
    </row>
    <row r="5750" spans="1:3" x14ac:dyDescent="0.25">
      <c r="A5750" s="223">
        <v>59.465400000000002</v>
      </c>
      <c r="B5750" s="460">
        <v>4.2490000000000002E-3</v>
      </c>
      <c r="C5750" t="str">
        <f t="shared" si="89"/>
        <v/>
      </c>
    </row>
    <row r="5751" spans="1:3" x14ac:dyDescent="0.25">
      <c r="A5751" s="223">
        <v>62.2971</v>
      </c>
      <c r="B5751" s="460">
        <v>4.2950000000000002E-3</v>
      </c>
      <c r="C5751" t="str">
        <f t="shared" si="89"/>
        <v/>
      </c>
    </row>
    <row r="5752" spans="1:3" x14ac:dyDescent="0.25">
      <c r="A5752" s="223">
        <v>2194.5556000000001</v>
      </c>
      <c r="B5752" s="460">
        <v>1.1806536000000001</v>
      </c>
      <c r="C5752" t="str">
        <f t="shared" si="89"/>
        <v/>
      </c>
    </row>
    <row r="5753" spans="1:3" x14ac:dyDescent="0.25">
      <c r="A5753" s="223">
        <v>2916.6352000000002</v>
      </c>
      <c r="B5753" s="460">
        <v>3.0047820000000001</v>
      </c>
      <c r="C5753" t="str">
        <f t="shared" ref="C5753:C5816" si="90">IF(B5753=0,"XXXXXXXX","")</f>
        <v/>
      </c>
    </row>
    <row r="5754" spans="1:3" x14ac:dyDescent="0.25">
      <c r="A5754" s="223">
        <v>3766.1406000000002</v>
      </c>
      <c r="B5754" s="460">
        <v>5.1312600000000002</v>
      </c>
      <c r="C5754" t="str">
        <f t="shared" si="90"/>
        <v/>
      </c>
    </row>
    <row r="5755" spans="1:3" x14ac:dyDescent="0.25">
      <c r="A5755" s="223">
        <v>2599.4865</v>
      </c>
      <c r="B5755" s="460">
        <v>1.6891039999999999</v>
      </c>
      <c r="C5755" t="str">
        <f t="shared" si="90"/>
        <v/>
      </c>
    </row>
    <row r="5756" spans="1:3" x14ac:dyDescent="0.25">
      <c r="A5756" s="223">
        <v>778.7133</v>
      </c>
      <c r="B5756" s="460">
        <v>7.523779999999999E-3</v>
      </c>
      <c r="C5756" t="str">
        <f t="shared" si="90"/>
        <v/>
      </c>
    </row>
    <row r="5757" spans="1:3" x14ac:dyDescent="0.25">
      <c r="A5757" s="223">
        <v>877.82219999999995</v>
      </c>
      <c r="B5757" s="460">
        <v>6.7996500000000001E-2</v>
      </c>
      <c r="C5757" t="str">
        <f t="shared" si="90"/>
        <v/>
      </c>
    </row>
    <row r="5758" spans="1:3" x14ac:dyDescent="0.25">
      <c r="A5758" s="223">
        <v>1132.6739</v>
      </c>
      <c r="B5758" s="460">
        <v>0.55137650000000005</v>
      </c>
      <c r="C5758" t="str">
        <f t="shared" si="90"/>
        <v/>
      </c>
    </row>
    <row r="5759" spans="1:3" x14ac:dyDescent="0.25">
      <c r="A5759" s="223">
        <v>1514.9512999999999</v>
      </c>
      <c r="B5759" s="460">
        <v>3.3967309999999995</v>
      </c>
      <c r="C5759" t="str">
        <f t="shared" si="90"/>
        <v/>
      </c>
    </row>
    <row r="5760" spans="1:3" x14ac:dyDescent="0.25">
      <c r="A5760" s="223">
        <v>1614.0603000000001</v>
      </c>
      <c r="B5760" s="460">
        <v>5.1318580000000003</v>
      </c>
      <c r="C5760" t="str">
        <f t="shared" si="90"/>
        <v/>
      </c>
    </row>
    <row r="5761" spans="1:3" x14ac:dyDescent="0.25">
      <c r="A5761" s="223">
        <v>1444.1592000000001</v>
      </c>
      <c r="B5761" s="460">
        <v>2.7651779999999997</v>
      </c>
      <c r="C5761" t="str">
        <f t="shared" si="90"/>
        <v/>
      </c>
    </row>
    <row r="5762" spans="1:3" x14ac:dyDescent="0.25">
      <c r="A5762" s="223">
        <v>1019.4065000000001</v>
      </c>
      <c r="B5762" s="460">
        <v>1.0047788</v>
      </c>
      <c r="C5762" t="str">
        <f t="shared" si="90"/>
        <v/>
      </c>
    </row>
    <row r="5763" spans="1:3" x14ac:dyDescent="0.25">
      <c r="A5763" s="223">
        <v>1138.3371999999999</v>
      </c>
      <c r="B5763" s="460">
        <v>3.2095050000000001</v>
      </c>
      <c r="C5763" t="str">
        <f t="shared" si="90"/>
        <v/>
      </c>
    </row>
    <row r="5764" spans="1:3" x14ac:dyDescent="0.25">
      <c r="A5764" s="223">
        <v>1053.3867</v>
      </c>
      <c r="B5764" s="460">
        <v>1.2260886</v>
      </c>
      <c r="C5764" t="str">
        <f t="shared" si="90"/>
        <v/>
      </c>
    </row>
    <row r="5765" spans="1:3" x14ac:dyDescent="0.25">
      <c r="A5765" s="223">
        <v>1076.0401999999999</v>
      </c>
      <c r="B5765" s="460">
        <v>0.89199289999999998</v>
      </c>
      <c r="C5765" t="str">
        <f t="shared" si="90"/>
        <v/>
      </c>
    </row>
    <row r="5766" spans="1:3" x14ac:dyDescent="0.25">
      <c r="A5766" s="223">
        <v>1019.4065000000001</v>
      </c>
      <c r="B5766" s="460">
        <v>1.0467792</v>
      </c>
      <c r="C5766" t="str">
        <f t="shared" si="90"/>
        <v/>
      </c>
    </row>
    <row r="5767" spans="1:3" x14ac:dyDescent="0.25">
      <c r="A5767" s="223">
        <v>925.96090000000004</v>
      </c>
      <c r="B5767" s="460">
        <v>0.87967499999999998</v>
      </c>
      <c r="C5767" t="str">
        <f t="shared" si="90"/>
        <v/>
      </c>
    </row>
    <row r="5768" spans="1:3" x14ac:dyDescent="0.25">
      <c r="A5768" s="223">
        <v>1124.1787999999999</v>
      </c>
      <c r="B5768" s="460">
        <v>2.9569360000000002</v>
      </c>
      <c r="C5768" t="str">
        <f t="shared" si="90"/>
        <v/>
      </c>
    </row>
    <row r="5769" spans="1:3" x14ac:dyDescent="0.25">
      <c r="A5769" s="223">
        <v>1466.8126999999999</v>
      </c>
      <c r="B5769" s="460">
        <v>10.918114000000001</v>
      </c>
      <c r="C5769" t="str">
        <f t="shared" si="90"/>
        <v/>
      </c>
    </row>
    <row r="5770" spans="1:3" x14ac:dyDescent="0.25">
      <c r="A5770" s="223">
        <v>1908.5554999999999</v>
      </c>
      <c r="B5770" s="460">
        <v>15.285550000000002</v>
      </c>
      <c r="C5770" t="str">
        <f t="shared" si="90"/>
        <v/>
      </c>
    </row>
    <row r="5771" spans="1:3" x14ac:dyDescent="0.25">
      <c r="A5771" s="223">
        <v>2452.2388999999998</v>
      </c>
      <c r="B5771" s="460">
        <v>31.422170000000005</v>
      </c>
      <c r="C5771" t="str">
        <f t="shared" si="90"/>
        <v/>
      </c>
    </row>
    <row r="5772" spans="1:3" x14ac:dyDescent="0.25">
      <c r="A5772" s="223">
        <v>2508.8726000000001</v>
      </c>
      <c r="B5772" s="460">
        <v>19.494799999999998</v>
      </c>
      <c r="C5772" t="str">
        <f t="shared" si="90"/>
        <v/>
      </c>
    </row>
    <row r="5773" spans="1:3" x14ac:dyDescent="0.25">
      <c r="A5773" s="223">
        <v>3058.2194</v>
      </c>
      <c r="B5773" s="460">
        <v>19.586040000000001</v>
      </c>
      <c r="C5773" t="str">
        <f t="shared" si="90"/>
        <v/>
      </c>
    </row>
    <row r="5774" spans="1:3" x14ac:dyDescent="0.25">
      <c r="A5774" s="223">
        <v>2749.5657999999999</v>
      </c>
      <c r="B5774" s="460">
        <v>21.732700000000001</v>
      </c>
      <c r="C5774" t="str">
        <f t="shared" si="90"/>
        <v/>
      </c>
    </row>
    <row r="5775" spans="1:3" x14ac:dyDescent="0.25">
      <c r="A5775" s="223">
        <v>2452.2388999999998</v>
      </c>
      <c r="B5775" s="460">
        <v>12.159822</v>
      </c>
      <c r="C5775" t="str">
        <f t="shared" si="90"/>
        <v/>
      </c>
    </row>
    <row r="5776" spans="1:3" x14ac:dyDescent="0.25">
      <c r="A5776" s="223">
        <v>2035.9812999999999</v>
      </c>
      <c r="B5776" s="460">
        <v>1.9768240000000001</v>
      </c>
      <c r="C5776" t="str">
        <f t="shared" si="90"/>
        <v/>
      </c>
    </row>
    <row r="5777" spans="1:3" x14ac:dyDescent="0.25">
      <c r="A5777" s="223">
        <v>4332.4775</v>
      </c>
      <c r="B5777" s="460">
        <v>2.4930870000000001</v>
      </c>
      <c r="C5777" t="str">
        <f t="shared" si="90"/>
        <v/>
      </c>
    </row>
    <row r="5778" spans="1:3" x14ac:dyDescent="0.25">
      <c r="A5778" s="223">
        <v>3143.17</v>
      </c>
      <c r="B5778" s="460">
        <v>7.509739999999999</v>
      </c>
      <c r="C5778" t="str">
        <f t="shared" si="90"/>
        <v/>
      </c>
    </row>
    <row r="5779" spans="1:3" x14ac:dyDescent="0.25">
      <c r="A5779" s="223">
        <v>4559.0123000000003</v>
      </c>
      <c r="B5779" s="460">
        <v>30.224559999999997</v>
      </c>
      <c r="C5779" t="str">
        <f t="shared" si="90"/>
        <v/>
      </c>
    </row>
    <row r="5780" spans="1:3" x14ac:dyDescent="0.25">
      <c r="A5780" s="223">
        <v>1599.9018000000001</v>
      </c>
      <c r="B5780" s="460">
        <v>4.2237659999999995</v>
      </c>
      <c r="C5780" t="str">
        <f t="shared" si="90"/>
        <v/>
      </c>
    </row>
    <row r="5781" spans="1:3" x14ac:dyDescent="0.25">
      <c r="A5781" s="223">
        <v>2154.9119999999998</v>
      </c>
      <c r="B5781" s="460">
        <v>1.133856</v>
      </c>
      <c r="C5781" t="str">
        <f t="shared" si="90"/>
        <v/>
      </c>
    </row>
    <row r="5782" spans="1:3" x14ac:dyDescent="0.25">
      <c r="A5782" s="223">
        <v>2137.9218999999998</v>
      </c>
      <c r="B5782" s="460">
        <v>10.351008</v>
      </c>
      <c r="C5782" t="str">
        <f t="shared" si="90"/>
        <v/>
      </c>
    </row>
    <row r="5783" spans="1:3" x14ac:dyDescent="0.25">
      <c r="A5783" s="223">
        <v>2658.9519</v>
      </c>
      <c r="B5783" s="460">
        <v>10.469491999999999</v>
      </c>
      <c r="C5783" t="str">
        <f t="shared" si="90"/>
        <v/>
      </c>
    </row>
    <row r="5784" spans="1:3" x14ac:dyDescent="0.25">
      <c r="A5784" s="223">
        <v>3001.5857000000001</v>
      </c>
      <c r="B5784" s="460">
        <v>16.552123999999999</v>
      </c>
      <c r="C5784" t="str">
        <f t="shared" si="90"/>
        <v/>
      </c>
    </row>
    <row r="5785" spans="1:3" x14ac:dyDescent="0.25">
      <c r="A5785" s="223">
        <v>2749.5657999999999</v>
      </c>
      <c r="B5785" s="460">
        <v>3.6284159999999996</v>
      </c>
      <c r="C5785" t="str">
        <f t="shared" si="90"/>
        <v/>
      </c>
    </row>
    <row r="5786" spans="1:3" x14ac:dyDescent="0.25">
      <c r="A5786" s="223">
        <v>2599.4865</v>
      </c>
      <c r="B5786" s="460">
        <v>9.3537549999999996</v>
      </c>
      <c r="C5786" t="str">
        <f t="shared" si="90"/>
        <v/>
      </c>
    </row>
    <row r="5787" spans="1:3" x14ac:dyDescent="0.25">
      <c r="A5787" s="223">
        <v>2944.9520000000002</v>
      </c>
      <c r="B5787" s="460">
        <v>5.7221960000000003</v>
      </c>
      <c r="C5787" t="str">
        <f t="shared" si="90"/>
        <v/>
      </c>
    </row>
    <row r="5788" spans="1:3" x14ac:dyDescent="0.25">
      <c r="A5788" s="223">
        <v>1749.9811</v>
      </c>
      <c r="B5788" s="460">
        <v>4.4018220000000001</v>
      </c>
      <c r="C5788" t="str">
        <f t="shared" si="90"/>
        <v/>
      </c>
    </row>
    <row r="5789" spans="1:3" x14ac:dyDescent="0.25">
      <c r="A5789" s="223">
        <v>2811.8629000000001</v>
      </c>
      <c r="B5789" s="460">
        <v>20.192999999999998</v>
      </c>
      <c r="C5789" t="str">
        <f t="shared" si="90"/>
        <v/>
      </c>
    </row>
    <row r="5790" spans="1:3" x14ac:dyDescent="0.25">
      <c r="A5790" s="223">
        <v>2684.4371000000001</v>
      </c>
      <c r="B5790" s="460">
        <v>64.631160000000008</v>
      </c>
      <c r="C5790" t="str">
        <f t="shared" si="90"/>
        <v/>
      </c>
    </row>
    <row r="5791" spans="1:3" x14ac:dyDescent="0.25">
      <c r="A5791" s="223">
        <v>2321.9814000000001</v>
      </c>
      <c r="B5791" s="460">
        <v>57.164000000000001</v>
      </c>
      <c r="C5791" t="str">
        <f t="shared" si="90"/>
        <v/>
      </c>
    </row>
    <row r="5792" spans="1:3" x14ac:dyDescent="0.25">
      <c r="A5792" s="223">
        <v>2378.6151</v>
      </c>
      <c r="B5792" s="460">
        <v>15.971387000000002</v>
      </c>
      <c r="C5792" t="str">
        <f t="shared" si="90"/>
        <v/>
      </c>
    </row>
    <row r="5793" spans="1:3" x14ac:dyDescent="0.25">
      <c r="A5793" s="223">
        <v>2627.8033999999998</v>
      </c>
      <c r="B5793" s="460">
        <v>10.847451999999999</v>
      </c>
      <c r="C5793" t="str">
        <f t="shared" si="90"/>
        <v/>
      </c>
    </row>
    <row r="5794" spans="1:3" x14ac:dyDescent="0.25">
      <c r="A5794" s="223">
        <v>3256.4373999999998</v>
      </c>
      <c r="B5794" s="460">
        <v>10.689835999999998</v>
      </c>
      <c r="C5794" t="str">
        <f t="shared" si="90"/>
        <v/>
      </c>
    </row>
    <row r="5795" spans="1:3" x14ac:dyDescent="0.25">
      <c r="A5795" s="223">
        <v>2888.3184000000001</v>
      </c>
      <c r="B5795" s="460">
        <v>8.5724999999999998</v>
      </c>
      <c r="C5795" t="str">
        <f t="shared" si="90"/>
        <v/>
      </c>
    </row>
    <row r="5796" spans="1:3" x14ac:dyDescent="0.25">
      <c r="A5796" s="223">
        <v>2888.3184000000001</v>
      </c>
      <c r="B5796" s="460">
        <v>10.077449999999999</v>
      </c>
      <c r="C5796" t="str">
        <f t="shared" si="90"/>
        <v/>
      </c>
    </row>
    <row r="5797" spans="1:3" x14ac:dyDescent="0.25">
      <c r="A5797" s="223">
        <v>2743.9023999999999</v>
      </c>
      <c r="B5797" s="460">
        <v>7.4269139999999982</v>
      </c>
      <c r="C5797" t="str">
        <f t="shared" si="90"/>
        <v/>
      </c>
    </row>
    <row r="5798" spans="1:3" x14ac:dyDescent="0.25">
      <c r="A5798" s="223">
        <v>2701.4272000000001</v>
      </c>
      <c r="B5798" s="460">
        <v>11.924638</v>
      </c>
      <c r="C5798" t="str">
        <f t="shared" si="90"/>
        <v/>
      </c>
    </row>
    <row r="5799" spans="1:3" x14ac:dyDescent="0.25">
      <c r="A5799" s="223">
        <v>1846.2583999999999</v>
      </c>
      <c r="B5799" s="460">
        <v>28.886220000000002</v>
      </c>
      <c r="C5799" t="str">
        <f t="shared" si="90"/>
        <v/>
      </c>
    </row>
    <row r="5800" spans="1:3" x14ac:dyDescent="0.25">
      <c r="A5800" s="223">
        <v>1625.3869999999999</v>
      </c>
      <c r="B5800" s="460">
        <v>18.20834</v>
      </c>
      <c r="C5800" t="str">
        <f t="shared" si="90"/>
        <v/>
      </c>
    </row>
    <row r="5801" spans="1:3" x14ac:dyDescent="0.25">
      <c r="A5801" s="223">
        <v>2273.8427999999999</v>
      </c>
      <c r="B5801" s="460">
        <v>30.610400000000002</v>
      </c>
      <c r="C5801" t="str">
        <f t="shared" si="90"/>
        <v/>
      </c>
    </row>
    <row r="5802" spans="1:3" x14ac:dyDescent="0.25">
      <c r="A5802" s="223">
        <v>2171.9020999999998</v>
      </c>
      <c r="B5802" s="460">
        <v>22.677119999999999</v>
      </c>
      <c r="C5802" t="str">
        <f t="shared" si="90"/>
        <v/>
      </c>
    </row>
    <row r="5803" spans="1:3" x14ac:dyDescent="0.25">
      <c r="A5803" s="223">
        <v>2285.1695</v>
      </c>
      <c r="B5803" s="460">
        <v>21.9436</v>
      </c>
      <c r="C5803" t="str">
        <f t="shared" si="90"/>
        <v/>
      </c>
    </row>
    <row r="5804" spans="1:3" x14ac:dyDescent="0.25">
      <c r="A5804" s="223">
        <v>2174.7338</v>
      </c>
      <c r="B5804" s="460">
        <v>9.8389439999999997</v>
      </c>
      <c r="C5804" t="str">
        <f t="shared" si="90"/>
        <v/>
      </c>
    </row>
    <row r="5805" spans="1:3" x14ac:dyDescent="0.25">
      <c r="A5805" s="223">
        <v>2132.2584999999999</v>
      </c>
      <c r="B5805" s="460">
        <v>17.702783999999998</v>
      </c>
      <c r="C5805" t="str">
        <f t="shared" si="90"/>
        <v/>
      </c>
    </row>
    <row r="5806" spans="1:3" x14ac:dyDescent="0.25">
      <c r="A5806" s="223">
        <v>2319.1496999999999</v>
      </c>
      <c r="B5806" s="460">
        <v>3.5884490000000002</v>
      </c>
      <c r="C5806" t="str">
        <f t="shared" si="90"/>
        <v/>
      </c>
    </row>
    <row r="5807" spans="1:3" x14ac:dyDescent="0.25">
      <c r="A5807" s="223">
        <v>2067.1298000000002</v>
      </c>
      <c r="B5807" s="460">
        <v>4.6268639999999994</v>
      </c>
      <c r="C5807" t="str">
        <f t="shared" si="90"/>
        <v/>
      </c>
    </row>
    <row r="5808" spans="1:3" x14ac:dyDescent="0.25">
      <c r="A5808" s="223">
        <v>1806.6148000000001</v>
      </c>
      <c r="B5808" s="460">
        <v>6.3640799999999995</v>
      </c>
      <c r="C5808" t="str">
        <f t="shared" si="90"/>
        <v/>
      </c>
    </row>
    <row r="5809" spans="1:3" x14ac:dyDescent="0.25">
      <c r="A5809" s="223">
        <v>1506.4562000000001</v>
      </c>
      <c r="B5809" s="460">
        <v>2.100962</v>
      </c>
      <c r="C5809" t="str">
        <f t="shared" si="90"/>
        <v/>
      </c>
    </row>
    <row r="5810" spans="1:3" x14ac:dyDescent="0.25">
      <c r="A5810" s="223">
        <v>1223.2878000000001</v>
      </c>
      <c r="B5810" s="460">
        <v>0.47533959999999997</v>
      </c>
      <c r="C5810" t="str">
        <f t="shared" si="90"/>
        <v/>
      </c>
    </row>
    <row r="5811" spans="1:3" x14ac:dyDescent="0.25">
      <c r="A5811" s="223">
        <v>1713.1692</v>
      </c>
      <c r="B5811" s="460">
        <v>6.2226560000000006</v>
      </c>
      <c r="C5811" t="str">
        <f t="shared" si="90"/>
        <v/>
      </c>
    </row>
    <row r="5812" spans="1:3" x14ac:dyDescent="0.25">
      <c r="A5812" s="223">
        <v>1993.5060000000001</v>
      </c>
      <c r="B5812" s="460">
        <v>4.3163680000000006</v>
      </c>
      <c r="C5812" t="str">
        <f t="shared" si="90"/>
        <v/>
      </c>
    </row>
    <row r="5813" spans="1:3" x14ac:dyDescent="0.25">
      <c r="A5813" s="223">
        <v>1648.0405000000001</v>
      </c>
      <c r="B5813" s="460">
        <v>4.4371780000000003</v>
      </c>
      <c r="C5813" t="str">
        <f t="shared" si="90"/>
        <v/>
      </c>
    </row>
    <row r="5814" spans="1:3" x14ac:dyDescent="0.25">
      <c r="A5814" s="223">
        <v>1353.5453</v>
      </c>
      <c r="B5814" s="460">
        <v>1.8946590000000001</v>
      </c>
      <c r="C5814" t="str">
        <f t="shared" si="90"/>
        <v/>
      </c>
    </row>
    <row r="5815" spans="1:3" x14ac:dyDescent="0.25">
      <c r="A5815" s="223">
        <v>1594.2384999999999</v>
      </c>
      <c r="B5815" s="460">
        <v>2.6639900000000001</v>
      </c>
      <c r="C5815" t="str">
        <f t="shared" si="90"/>
        <v/>
      </c>
    </row>
    <row r="5816" spans="1:3" x14ac:dyDescent="0.25">
      <c r="A5816" s="223">
        <v>2347.4666000000002</v>
      </c>
      <c r="B5816" s="460">
        <v>11.575407999999999</v>
      </c>
      <c r="C5816" t="str">
        <f t="shared" si="90"/>
        <v/>
      </c>
    </row>
    <row r="5817" spans="1:3" x14ac:dyDescent="0.25">
      <c r="A5817" s="223">
        <v>2738.2390999999998</v>
      </c>
      <c r="B5817" s="460">
        <v>9.5533900000000003</v>
      </c>
      <c r="C5817" t="str">
        <f t="shared" ref="C5817:C5880" si="91">IF(B5817=0,"XXXXXXXX","")</f>
        <v/>
      </c>
    </row>
    <row r="5818" spans="1:3" x14ac:dyDescent="0.25">
      <c r="A5818" s="223">
        <v>1506.4562000000001</v>
      </c>
      <c r="B5818" s="460">
        <v>5.6000000000000006E-4</v>
      </c>
      <c r="C5818" t="str">
        <f t="shared" si="91"/>
        <v/>
      </c>
    </row>
    <row r="5819" spans="1:3" x14ac:dyDescent="0.25">
      <c r="A5819" s="223">
        <v>288.83179999999999</v>
      </c>
      <c r="B5819" s="460">
        <v>0.10922377999999999</v>
      </c>
      <c r="C5819" t="str">
        <f t="shared" si="91"/>
        <v/>
      </c>
    </row>
    <row r="5820" spans="1:3" x14ac:dyDescent="0.25">
      <c r="A5820" s="223">
        <v>311.4853</v>
      </c>
      <c r="B5820" s="460">
        <v>1.2147084000000001</v>
      </c>
      <c r="C5820" t="str">
        <f t="shared" si="91"/>
        <v/>
      </c>
    </row>
    <row r="5821" spans="1:3" x14ac:dyDescent="0.25">
      <c r="A5821" s="223">
        <v>419.08929999999998</v>
      </c>
      <c r="B5821" s="460">
        <v>0.26884200000000008</v>
      </c>
      <c r="C5821" t="str">
        <f t="shared" si="91"/>
        <v/>
      </c>
    </row>
    <row r="5822" spans="1:3" x14ac:dyDescent="0.25">
      <c r="A5822" s="223">
        <v>736.23800000000006</v>
      </c>
      <c r="B5822" s="460">
        <v>2.9169799999999997</v>
      </c>
      <c r="C5822" t="str">
        <f t="shared" si="91"/>
        <v/>
      </c>
    </row>
    <row r="5823" spans="1:3" x14ac:dyDescent="0.25">
      <c r="A5823" s="223">
        <v>679.60429999999997</v>
      </c>
      <c r="B5823" s="460">
        <v>0.75708889999999995</v>
      </c>
      <c r="C5823" t="str">
        <f t="shared" si="91"/>
        <v/>
      </c>
    </row>
    <row r="5824" spans="1:3" x14ac:dyDescent="0.25">
      <c r="A5824" s="223">
        <v>679.60429999999997</v>
      </c>
      <c r="B5824" s="460">
        <v>0.64173559999999996</v>
      </c>
      <c r="C5824" t="str">
        <f t="shared" si="91"/>
        <v/>
      </c>
    </row>
    <row r="5825" spans="1:3" x14ac:dyDescent="0.25">
      <c r="A5825" s="223">
        <v>387.94080000000002</v>
      </c>
      <c r="B5825" s="460">
        <v>1.203388E-2</v>
      </c>
      <c r="C5825" t="str">
        <f t="shared" si="91"/>
        <v/>
      </c>
    </row>
    <row r="5826" spans="1:3" x14ac:dyDescent="0.25">
      <c r="A5826" s="223">
        <v>467.22800000000001</v>
      </c>
      <c r="B5826" s="460">
        <v>7.9278479999999998E-2</v>
      </c>
      <c r="C5826" t="str">
        <f t="shared" si="91"/>
        <v/>
      </c>
    </row>
    <row r="5827" spans="1:3" x14ac:dyDescent="0.25">
      <c r="A5827" s="223">
        <v>382.2774</v>
      </c>
      <c r="B5827" s="460">
        <v>3.0596780000000001E-2</v>
      </c>
      <c r="C5827" t="str">
        <f t="shared" si="91"/>
        <v/>
      </c>
    </row>
    <row r="5828" spans="1:3" x14ac:dyDescent="0.25">
      <c r="A5828" s="223">
        <v>362.4556</v>
      </c>
      <c r="B5828" s="460">
        <v>1.5558270000000001E-2</v>
      </c>
      <c r="C5828" t="str">
        <f t="shared" si="91"/>
        <v/>
      </c>
    </row>
    <row r="5829" spans="1:3" x14ac:dyDescent="0.25">
      <c r="A5829" s="223">
        <v>495.54480000000001</v>
      </c>
      <c r="B5829" s="460">
        <v>0.21115019999999998</v>
      </c>
      <c r="C5829" t="str">
        <f t="shared" si="91"/>
        <v/>
      </c>
    </row>
    <row r="5830" spans="1:3" x14ac:dyDescent="0.25">
      <c r="A5830" s="223">
        <v>365.28730000000002</v>
      </c>
      <c r="B5830" s="460">
        <v>7.6399960000000005E-3</v>
      </c>
      <c r="C5830" t="str">
        <f t="shared" si="91"/>
        <v/>
      </c>
    </row>
    <row r="5831" spans="1:3" x14ac:dyDescent="0.25">
      <c r="A5831" s="223">
        <v>722.07960000000003</v>
      </c>
      <c r="B5831" s="460">
        <v>0.44792739999999998</v>
      </c>
      <c r="C5831" t="str">
        <f t="shared" si="91"/>
        <v/>
      </c>
    </row>
    <row r="5832" spans="1:3" x14ac:dyDescent="0.25">
      <c r="A5832" s="223">
        <v>891.98069999999996</v>
      </c>
      <c r="B5832" s="460">
        <v>1.2383932</v>
      </c>
      <c r="C5832" t="str">
        <f t="shared" si="91"/>
        <v/>
      </c>
    </row>
    <row r="5833" spans="1:3" x14ac:dyDescent="0.25">
      <c r="A5833" s="223">
        <v>849.50540000000001</v>
      </c>
      <c r="B5833" s="460">
        <v>0.20481639999999998</v>
      </c>
      <c r="C5833" t="str">
        <f t="shared" si="91"/>
        <v/>
      </c>
    </row>
    <row r="5834" spans="1:3" x14ac:dyDescent="0.25">
      <c r="A5834" s="223">
        <v>1203.4659999999999</v>
      </c>
      <c r="B5834" s="460">
        <v>0.63654119999999992</v>
      </c>
      <c r="C5834" t="str">
        <f t="shared" si="91"/>
        <v/>
      </c>
    </row>
    <row r="5835" spans="1:3" x14ac:dyDescent="0.25">
      <c r="A5835" s="223">
        <v>1132.6739</v>
      </c>
      <c r="B5835" s="460">
        <v>1.1521440000000001</v>
      </c>
      <c r="C5835" t="str">
        <f t="shared" si="91"/>
        <v/>
      </c>
    </row>
    <row r="5836" spans="1:3" x14ac:dyDescent="0.25">
      <c r="A5836" s="223">
        <v>1812.2782</v>
      </c>
      <c r="B5836" s="460">
        <v>6.0742240000000001</v>
      </c>
      <c r="C5836" t="str">
        <f t="shared" si="91"/>
        <v/>
      </c>
    </row>
    <row r="5837" spans="1:3" x14ac:dyDescent="0.25">
      <c r="A5837" s="223">
        <v>792.87170000000003</v>
      </c>
      <c r="B5837" s="460">
        <v>0.43049310000000007</v>
      </c>
      <c r="C5837" t="str">
        <f t="shared" si="91"/>
        <v/>
      </c>
    </row>
    <row r="5838" spans="1:3" x14ac:dyDescent="0.25">
      <c r="A5838" s="223">
        <v>622.97059999999999</v>
      </c>
      <c r="B5838" s="460">
        <v>7.239414000000001E-2</v>
      </c>
      <c r="C5838" t="str">
        <f t="shared" si="91"/>
        <v/>
      </c>
    </row>
    <row r="5839" spans="1:3" x14ac:dyDescent="0.25">
      <c r="A5839" s="223">
        <v>1727.3276000000001</v>
      </c>
      <c r="B5839" s="460">
        <v>15.448569999999998</v>
      </c>
      <c r="C5839" t="str">
        <f t="shared" si="91"/>
        <v/>
      </c>
    </row>
    <row r="5840" spans="1:3" x14ac:dyDescent="0.25">
      <c r="A5840" s="223">
        <v>2265.3476999999998</v>
      </c>
      <c r="B5840" s="460">
        <v>2.2151340000000004</v>
      </c>
      <c r="C5840" t="str">
        <f t="shared" si="91"/>
        <v/>
      </c>
    </row>
    <row r="5841" spans="1:3" x14ac:dyDescent="0.25">
      <c r="A5841" s="223">
        <v>1699.0108</v>
      </c>
      <c r="B5841" s="460">
        <v>4.1243429999999996</v>
      </c>
      <c r="C5841" t="str">
        <f t="shared" si="91"/>
        <v/>
      </c>
    </row>
    <row r="5842" spans="1:3" x14ac:dyDescent="0.25">
      <c r="A5842" s="223">
        <v>3511.2890000000002</v>
      </c>
      <c r="B5842" s="460">
        <v>13.142799999999999</v>
      </c>
      <c r="C5842" t="str">
        <f t="shared" si="91"/>
        <v/>
      </c>
    </row>
    <row r="5843" spans="1:3" x14ac:dyDescent="0.25">
      <c r="A5843" s="223">
        <v>3114.8530999999998</v>
      </c>
      <c r="B5843" s="460">
        <v>42.415399999999991</v>
      </c>
      <c r="C5843" t="str">
        <f t="shared" si="91"/>
        <v/>
      </c>
    </row>
    <row r="5844" spans="1:3" x14ac:dyDescent="0.25">
      <c r="A5844" s="223">
        <v>481.38639999999998</v>
      </c>
      <c r="B5844" s="460">
        <v>0.25260299999999997</v>
      </c>
      <c r="C5844" t="str">
        <f t="shared" si="91"/>
        <v/>
      </c>
    </row>
    <row r="5845" spans="1:3" x14ac:dyDescent="0.25">
      <c r="A5845" s="223">
        <v>1291.2482</v>
      </c>
      <c r="B5845" s="460">
        <v>1.78688</v>
      </c>
      <c r="C5845" t="str">
        <f t="shared" si="91"/>
        <v/>
      </c>
    </row>
    <row r="5846" spans="1:3" x14ac:dyDescent="0.25">
      <c r="A5846" s="223">
        <v>1701.8425</v>
      </c>
      <c r="B5846" s="460">
        <v>3.557423</v>
      </c>
      <c r="C5846" t="str">
        <f t="shared" si="91"/>
        <v/>
      </c>
    </row>
    <row r="5847" spans="1:3" x14ac:dyDescent="0.25">
      <c r="A5847" s="223">
        <v>1166.6541</v>
      </c>
      <c r="B5847" s="460">
        <v>1.2148368</v>
      </c>
      <c r="C5847" t="str">
        <f t="shared" si="91"/>
        <v/>
      </c>
    </row>
    <row r="5848" spans="1:3" x14ac:dyDescent="0.25">
      <c r="A5848" s="223">
        <v>2152.0803000000001</v>
      </c>
      <c r="B5848" s="460">
        <v>5.5016400000000001</v>
      </c>
      <c r="C5848" t="str">
        <f t="shared" si="91"/>
        <v/>
      </c>
    </row>
    <row r="5849" spans="1:3" x14ac:dyDescent="0.25">
      <c r="A5849" s="223">
        <v>2016.1595</v>
      </c>
      <c r="B5849" s="460">
        <v>2.8401489999999994</v>
      </c>
      <c r="C5849" t="str">
        <f t="shared" si="91"/>
        <v/>
      </c>
    </row>
    <row r="5850" spans="1:3" x14ac:dyDescent="0.25">
      <c r="A5850" s="223">
        <v>1673.5255999999999</v>
      </c>
      <c r="B5850" s="460">
        <v>4.9815360000000002</v>
      </c>
      <c r="C5850" t="str">
        <f t="shared" si="91"/>
        <v/>
      </c>
    </row>
    <row r="5851" spans="1:3" x14ac:dyDescent="0.25">
      <c r="A5851" s="223">
        <v>1727.3276000000001</v>
      </c>
      <c r="B5851" s="460">
        <v>3.6141149999999995</v>
      </c>
      <c r="C5851" t="str">
        <f t="shared" si="91"/>
        <v/>
      </c>
    </row>
    <row r="5852" spans="1:3" x14ac:dyDescent="0.25">
      <c r="A5852" s="223">
        <v>1546.0998</v>
      </c>
      <c r="B5852" s="460">
        <v>1.155465</v>
      </c>
      <c r="C5852" t="str">
        <f t="shared" si="91"/>
        <v/>
      </c>
    </row>
    <row r="5853" spans="1:3" x14ac:dyDescent="0.25">
      <c r="A5853" s="223">
        <v>1546.0998</v>
      </c>
      <c r="B5853" s="460">
        <v>5.3534309999999996</v>
      </c>
      <c r="C5853" t="str">
        <f t="shared" si="91"/>
        <v/>
      </c>
    </row>
    <row r="5854" spans="1:3" x14ac:dyDescent="0.25">
      <c r="A5854" s="223">
        <v>1175.1491000000001</v>
      </c>
      <c r="B5854" s="460">
        <v>0.9665996</v>
      </c>
      <c r="C5854" t="str">
        <f t="shared" si="91"/>
        <v/>
      </c>
    </row>
    <row r="5855" spans="1:3" x14ac:dyDescent="0.25">
      <c r="A5855" s="223">
        <v>1095.8620000000001</v>
      </c>
      <c r="B5855" s="460">
        <v>0.74055120000000008</v>
      </c>
      <c r="C5855" t="str">
        <f t="shared" si="91"/>
        <v/>
      </c>
    </row>
    <row r="5856" spans="1:3" x14ac:dyDescent="0.25">
      <c r="A5856" s="223">
        <v>971.26779999999997</v>
      </c>
      <c r="B5856" s="460">
        <v>1.1397995999999999</v>
      </c>
      <c r="C5856" t="str">
        <f t="shared" si="91"/>
        <v/>
      </c>
    </row>
    <row r="5857" spans="1:3" x14ac:dyDescent="0.25">
      <c r="A5857" s="223">
        <v>1149.664</v>
      </c>
      <c r="B5857" s="460">
        <v>2.135672</v>
      </c>
      <c r="C5857" t="str">
        <f t="shared" si="91"/>
        <v/>
      </c>
    </row>
    <row r="5858" spans="1:3" x14ac:dyDescent="0.25">
      <c r="A5858" s="223">
        <v>1529.1097</v>
      </c>
      <c r="B5858" s="460">
        <v>2.7095039999999999</v>
      </c>
      <c r="C5858" t="str">
        <f t="shared" si="91"/>
        <v/>
      </c>
    </row>
    <row r="5859" spans="1:3" x14ac:dyDescent="0.25">
      <c r="A5859" s="223">
        <v>1531.9413999999999</v>
      </c>
      <c r="B5859" s="460">
        <v>2.7578849999999999</v>
      </c>
      <c r="C5859" t="str">
        <f t="shared" si="91"/>
        <v/>
      </c>
    </row>
    <row r="5860" spans="1:3" x14ac:dyDescent="0.25">
      <c r="A5860" s="223">
        <v>1353.5453</v>
      </c>
      <c r="B5860" s="460">
        <v>1.626436</v>
      </c>
      <c r="C5860" t="str">
        <f t="shared" si="91"/>
        <v/>
      </c>
    </row>
    <row r="5861" spans="1:3" x14ac:dyDescent="0.25">
      <c r="A5861" s="223">
        <v>1353.5453</v>
      </c>
      <c r="B5861" s="460">
        <v>1.780667</v>
      </c>
      <c r="C5861" t="str">
        <f t="shared" si="91"/>
        <v/>
      </c>
    </row>
    <row r="5862" spans="1:3" x14ac:dyDescent="0.25">
      <c r="A5862" s="223">
        <v>1475.3077000000001</v>
      </c>
      <c r="B5862" s="460">
        <v>2.3094479999999997</v>
      </c>
      <c r="C5862" t="str">
        <f t="shared" si="91"/>
        <v/>
      </c>
    </row>
    <row r="5863" spans="1:3" x14ac:dyDescent="0.25">
      <c r="A5863" s="223">
        <v>1543.2681</v>
      </c>
      <c r="B5863" s="460">
        <v>2.2535069999999999</v>
      </c>
      <c r="C5863" t="str">
        <f t="shared" si="91"/>
        <v/>
      </c>
    </row>
    <row r="5864" spans="1:3" x14ac:dyDescent="0.25">
      <c r="A5864" s="223">
        <v>2293.6646000000001</v>
      </c>
      <c r="B5864" s="460">
        <v>4.9577989999999996</v>
      </c>
      <c r="C5864" t="str">
        <f t="shared" si="91"/>
        <v/>
      </c>
    </row>
    <row r="5865" spans="1:3" x14ac:dyDescent="0.25">
      <c r="A5865" s="223">
        <v>1812.2782</v>
      </c>
      <c r="B5865" s="460">
        <v>2.9733599999999996</v>
      </c>
      <c r="C5865" t="str">
        <f t="shared" si="91"/>
        <v/>
      </c>
    </row>
    <row r="5866" spans="1:3" x14ac:dyDescent="0.25">
      <c r="A5866" s="223">
        <v>1574.4167</v>
      </c>
      <c r="B5866" s="460">
        <v>4.1901799999999998</v>
      </c>
      <c r="C5866" t="str">
        <f t="shared" si="91"/>
        <v/>
      </c>
    </row>
    <row r="5867" spans="1:3" x14ac:dyDescent="0.25">
      <c r="A5867" s="223">
        <v>1619.7236</v>
      </c>
      <c r="B5867" s="460">
        <v>7.2156319999999994</v>
      </c>
      <c r="C5867" t="str">
        <f t="shared" si="91"/>
        <v/>
      </c>
    </row>
    <row r="5868" spans="1:3" x14ac:dyDescent="0.25">
      <c r="A5868" s="223">
        <v>1747.1494</v>
      </c>
      <c r="B5868" s="460">
        <v>4.9676660000000004</v>
      </c>
      <c r="C5868" t="str">
        <f t="shared" si="91"/>
        <v/>
      </c>
    </row>
    <row r="5869" spans="1:3" x14ac:dyDescent="0.25">
      <c r="A5869" s="223">
        <v>1551.7632000000001</v>
      </c>
      <c r="B5869" s="460">
        <v>4.4928409999999994</v>
      </c>
      <c r="C5869" t="str">
        <f t="shared" si="91"/>
        <v/>
      </c>
    </row>
    <row r="5870" spans="1:3" x14ac:dyDescent="0.25">
      <c r="A5870" s="223">
        <v>676.77260000000001</v>
      </c>
      <c r="B5870" s="460">
        <v>1.2968437000000002</v>
      </c>
      <c r="C5870" t="str">
        <f t="shared" si="91"/>
        <v/>
      </c>
    </row>
    <row r="5871" spans="1:3" x14ac:dyDescent="0.25">
      <c r="A5871" s="223">
        <v>679.60429999999997</v>
      </c>
      <c r="B5871" s="460">
        <v>0.43988080000000002</v>
      </c>
      <c r="C5871" t="str">
        <f t="shared" si="91"/>
        <v/>
      </c>
    </row>
    <row r="5872" spans="1:3" x14ac:dyDescent="0.25">
      <c r="A5872" s="223">
        <v>863.66380000000004</v>
      </c>
      <c r="B5872" s="460">
        <v>0.59003399999999995</v>
      </c>
      <c r="C5872" t="str">
        <f t="shared" si="91"/>
        <v/>
      </c>
    </row>
    <row r="5873" spans="1:3" x14ac:dyDescent="0.25">
      <c r="A5873" s="223">
        <v>846.67370000000005</v>
      </c>
      <c r="B5873" s="460">
        <v>0.68341649999999998</v>
      </c>
      <c r="C5873" t="str">
        <f t="shared" si="91"/>
        <v/>
      </c>
    </row>
    <row r="5874" spans="1:3" x14ac:dyDescent="0.25">
      <c r="A5874" s="223">
        <v>1056.2184</v>
      </c>
      <c r="B5874" s="460">
        <v>1.5049629999999998</v>
      </c>
      <c r="C5874" t="str">
        <f t="shared" si="91"/>
        <v/>
      </c>
    </row>
    <row r="5875" spans="1:3" x14ac:dyDescent="0.25">
      <c r="A5875" s="223">
        <v>1076.0401999999999</v>
      </c>
      <c r="B5875" s="460">
        <v>1.5083419999999998</v>
      </c>
      <c r="C5875" t="str">
        <f t="shared" si="91"/>
        <v/>
      </c>
    </row>
    <row r="5876" spans="1:3" x14ac:dyDescent="0.25">
      <c r="A5876" s="223">
        <v>1415.8423</v>
      </c>
      <c r="B5876" s="460">
        <v>2.5518220000000005</v>
      </c>
      <c r="C5876" t="str">
        <f t="shared" si="91"/>
        <v/>
      </c>
    </row>
    <row r="5877" spans="1:3" x14ac:dyDescent="0.25">
      <c r="A5877" s="223">
        <v>1580.08</v>
      </c>
      <c r="B5877" s="460">
        <v>2.6671680000000002</v>
      </c>
      <c r="C5877" t="str">
        <f t="shared" si="91"/>
        <v/>
      </c>
    </row>
    <row r="5878" spans="1:3" x14ac:dyDescent="0.25">
      <c r="A5878" s="223">
        <v>1492.2978000000001</v>
      </c>
      <c r="B5878" s="460">
        <v>2.543231</v>
      </c>
      <c r="C5878" t="str">
        <f t="shared" si="91"/>
        <v/>
      </c>
    </row>
    <row r="5879" spans="1:3" x14ac:dyDescent="0.25">
      <c r="A5879" s="223">
        <v>1056.2184</v>
      </c>
      <c r="B5879" s="460">
        <v>2.6647509999999999</v>
      </c>
      <c r="C5879" t="str">
        <f t="shared" si="91"/>
        <v/>
      </c>
    </row>
    <row r="5880" spans="1:3" x14ac:dyDescent="0.25">
      <c r="A5880" s="223">
        <v>1124.1787999999999</v>
      </c>
      <c r="B5880" s="460">
        <v>4.6319119999999998</v>
      </c>
      <c r="C5880" t="str">
        <f t="shared" si="91"/>
        <v/>
      </c>
    </row>
    <row r="5881" spans="1:3" x14ac:dyDescent="0.25">
      <c r="A5881" s="223">
        <v>925.96090000000004</v>
      </c>
      <c r="B5881" s="460">
        <v>1.621375</v>
      </c>
      <c r="C5881" t="str">
        <f t="shared" ref="C5881:C5944" si="92">IF(B5881=0,"XXXXXXXX","")</f>
        <v/>
      </c>
    </row>
    <row r="5882" spans="1:3" x14ac:dyDescent="0.25">
      <c r="A5882" s="223">
        <v>872.15890000000002</v>
      </c>
      <c r="B5882" s="460">
        <v>1.261452</v>
      </c>
      <c r="C5882" t="str">
        <f t="shared" si="92"/>
        <v/>
      </c>
    </row>
    <row r="5883" spans="1:3" x14ac:dyDescent="0.25">
      <c r="A5883" s="223">
        <v>877.82219999999995</v>
      </c>
      <c r="B5883" s="460">
        <v>1.1108915999999998</v>
      </c>
      <c r="C5883" t="str">
        <f t="shared" si="92"/>
        <v/>
      </c>
    </row>
    <row r="5884" spans="1:3" x14ac:dyDescent="0.25">
      <c r="A5884" s="223">
        <v>1387.5255</v>
      </c>
      <c r="B5884" s="460">
        <v>1.1104632000000001</v>
      </c>
      <c r="C5884" t="str">
        <f t="shared" si="92"/>
        <v/>
      </c>
    </row>
    <row r="5885" spans="1:3" x14ac:dyDescent="0.25">
      <c r="A5885" s="223">
        <v>880.65390000000002</v>
      </c>
      <c r="B5885" s="460">
        <v>1.3835279999999996</v>
      </c>
      <c r="C5885" t="str">
        <f t="shared" si="92"/>
        <v/>
      </c>
    </row>
    <row r="5886" spans="1:3" x14ac:dyDescent="0.25">
      <c r="A5886" s="223">
        <v>1013.7431</v>
      </c>
      <c r="B5886" s="460">
        <v>3.072384</v>
      </c>
      <c r="C5886" t="str">
        <f t="shared" si="92"/>
        <v/>
      </c>
    </row>
    <row r="5887" spans="1:3" x14ac:dyDescent="0.25">
      <c r="A5887" s="223">
        <v>1268.5947000000001</v>
      </c>
      <c r="B5887" s="460">
        <v>3.3229769999999998</v>
      </c>
      <c r="C5887" t="str">
        <f t="shared" si="92"/>
        <v/>
      </c>
    </row>
    <row r="5888" spans="1:3" x14ac:dyDescent="0.25">
      <c r="A5888" s="223">
        <v>1339.3868</v>
      </c>
      <c r="B5888" s="460">
        <v>3.8277330000000003</v>
      </c>
      <c r="C5888" t="str">
        <f t="shared" si="92"/>
        <v/>
      </c>
    </row>
    <row r="5889" spans="1:3" x14ac:dyDescent="0.25">
      <c r="A5889" s="223">
        <v>1557.4266</v>
      </c>
      <c r="B5889" s="460">
        <v>5.5782470000000002</v>
      </c>
      <c r="C5889" t="str">
        <f t="shared" si="92"/>
        <v/>
      </c>
    </row>
    <row r="5890" spans="1:3" x14ac:dyDescent="0.25">
      <c r="A5890" s="223">
        <v>1104.357</v>
      </c>
      <c r="B5890" s="460">
        <v>4.0494560000000002</v>
      </c>
      <c r="C5890" t="str">
        <f t="shared" si="92"/>
        <v/>
      </c>
    </row>
    <row r="5891" spans="1:3" x14ac:dyDescent="0.25">
      <c r="A5891" s="223">
        <v>1095.8620000000001</v>
      </c>
      <c r="B5891" s="460">
        <v>2.5794480000000002</v>
      </c>
      <c r="C5891" t="str">
        <f t="shared" si="92"/>
        <v/>
      </c>
    </row>
    <row r="5892" spans="1:3" x14ac:dyDescent="0.25">
      <c r="A5892" s="223">
        <v>753.22810000000004</v>
      </c>
      <c r="B5892" s="460">
        <v>1.0766482000000002</v>
      </c>
      <c r="C5892" t="str">
        <f t="shared" si="92"/>
        <v/>
      </c>
    </row>
    <row r="5893" spans="1:3" x14ac:dyDescent="0.25">
      <c r="A5893" s="170">
        <v>2.1800000000000002</v>
      </c>
      <c r="B5893" s="454">
        <v>1.4000000000000001E-4</v>
      </c>
      <c r="C5893" t="str">
        <f t="shared" si="92"/>
        <v/>
      </c>
    </row>
    <row r="5894" spans="1:3" x14ac:dyDescent="0.25">
      <c r="A5894" s="170">
        <v>2.35</v>
      </c>
      <c r="B5894" s="454">
        <v>4.8010000000000001E-4</v>
      </c>
      <c r="C5894" t="str">
        <f t="shared" si="92"/>
        <v/>
      </c>
    </row>
    <row r="5895" spans="1:3" x14ac:dyDescent="0.25">
      <c r="A5895" s="170">
        <v>1.97</v>
      </c>
      <c r="B5895" s="454">
        <v>6.900000000000001E-5</v>
      </c>
      <c r="C5895" t="str">
        <f t="shared" si="92"/>
        <v/>
      </c>
    </row>
    <row r="5896" spans="1:3" x14ac:dyDescent="0.25">
      <c r="A5896" s="170">
        <v>1.84</v>
      </c>
      <c r="B5896" s="454">
        <v>6.8700000000000003E-5</v>
      </c>
      <c r="C5896" t="str">
        <f t="shared" si="92"/>
        <v/>
      </c>
    </row>
    <row r="5897" spans="1:3" x14ac:dyDescent="0.25">
      <c r="A5897" s="170">
        <v>1.81</v>
      </c>
      <c r="B5897" s="454">
        <v>3.6600000000000002E-5</v>
      </c>
      <c r="C5897" t="str">
        <f t="shared" si="92"/>
        <v/>
      </c>
    </row>
    <row r="5898" spans="1:3" x14ac:dyDescent="0.25">
      <c r="A5898" s="170">
        <v>1.1000000000000001</v>
      </c>
      <c r="B5898" s="454">
        <v>2.8999999999999998E-6</v>
      </c>
      <c r="C5898" t="str">
        <f t="shared" si="92"/>
        <v/>
      </c>
    </row>
    <row r="5899" spans="1:3" x14ac:dyDescent="0.25">
      <c r="A5899" s="170">
        <v>1.0900000000000001</v>
      </c>
      <c r="B5899" s="454">
        <v>1.9E-6</v>
      </c>
      <c r="C5899" t="str">
        <f t="shared" si="92"/>
        <v/>
      </c>
    </row>
    <row r="5900" spans="1:3" x14ac:dyDescent="0.25">
      <c r="A5900" s="170">
        <v>1.0900000000000001</v>
      </c>
      <c r="B5900" s="454">
        <v>3.7000000000000002E-6</v>
      </c>
      <c r="C5900" t="str">
        <f t="shared" si="92"/>
        <v/>
      </c>
    </row>
    <row r="5901" spans="1:3" x14ac:dyDescent="0.25">
      <c r="A5901" s="170">
        <v>1.1200000000000001</v>
      </c>
      <c r="B5901" s="454">
        <v>5.0000000000000004E-6</v>
      </c>
      <c r="C5901" t="str">
        <f t="shared" si="92"/>
        <v/>
      </c>
    </row>
    <row r="5902" spans="1:3" x14ac:dyDescent="0.25">
      <c r="A5902" s="170">
        <v>0.92</v>
      </c>
      <c r="B5902" s="454">
        <v>7.2000000000000009E-7</v>
      </c>
      <c r="C5902" t="str">
        <f t="shared" si="92"/>
        <v/>
      </c>
    </row>
    <row r="5903" spans="1:3" x14ac:dyDescent="0.25">
      <c r="A5903" s="170">
        <v>0.91</v>
      </c>
      <c r="B5903" s="454">
        <v>4.4000000000000002E-7</v>
      </c>
      <c r="C5903" t="str">
        <f t="shared" si="92"/>
        <v/>
      </c>
    </row>
    <row r="5904" spans="1:3" x14ac:dyDescent="0.25">
      <c r="A5904" s="170">
        <v>0.81</v>
      </c>
      <c r="B5904" s="454">
        <v>1.5000000000000002E-8</v>
      </c>
      <c r="C5904" t="str">
        <f t="shared" si="92"/>
        <v/>
      </c>
    </row>
    <row r="5905" spans="1:3" x14ac:dyDescent="0.25">
      <c r="A5905" s="170">
        <v>0.82</v>
      </c>
      <c r="B5905" s="454">
        <v>3.1E-7</v>
      </c>
      <c r="C5905" t="str">
        <f t="shared" si="92"/>
        <v/>
      </c>
    </row>
    <row r="5906" spans="1:3" x14ac:dyDescent="0.25">
      <c r="A5906" s="170">
        <v>0.81</v>
      </c>
      <c r="B5906" s="454">
        <v>1.5000000000000002E-8</v>
      </c>
      <c r="C5906" t="str">
        <f t="shared" si="92"/>
        <v/>
      </c>
    </row>
    <row r="5907" spans="1:3" x14ac:dyDescent="0.25">
      <c r="A5907" s="170">
        <v>0.83</v>
      </c>
      <c r="B5907" s="454">
        <v>5.5000000000000003E-7</v>
      </c>
      <c r="C5907" t="str">
        <f t="shared" si="92"/>
        <v/>
      </c>
    </row>
    <row r="5908" spans="1:3" x14ac:dyDescent="0.25">
      <c r="A5908" s="170">
        <v>0.98</v>
      </c>
      <c r="B5908" s="454">
        <v>4.4999999999999998E-7</v>
      </c>
      <c r="C5908" t="str">
        <f t="shared" si="92"/>
        <v/>
      </c>
    </row>
    <row r="5909" spans="1:3" x14ac:dyDescent="0.25">
      <c r="A5909" s="170">
        <v>1.1399999999999999</v>
      </c>
      <c r="B5909" s="454">
        <v>5.0999999999999999E-7</v>
      </c>
      <c r="C5909" t="str">
        <f t="shared" si="92"/>
        <v/>
      </c>
    </row>
    <row r="5910" spans="1:3" x14ac:dyDescent="0.25">
      <c r="A5910" s="170">
        <v>1.27</v>
      </c>
      <c r="B5910" s="454">
        <v>1.9199999999999999E-5</v>
      </c>
      <c r="C5910" t="str">
        <f t="shared" si="92"/>
        <v/>
      </c>
    </row>
    <row r="5911" spans="1:3" x14ac:dyDescent="0.25">
      <c r="A5911" s="170">
        <v>1.55</v>
      </c>
      <c r="B5911" s="454">
        <v>1.2800000000000001E-5</v>
      </c>
      <c r="C5911" t="str">
        <f t="shared" si="92"/>
        <v/>
      </c>
    </row>
    <row r="5912" spans="1:3" x14ac:dyDescent="0.25">
      <c r="A5912" s="170">
        <v>1.87</v>
      </c>
      <c r="B5912" s="454">
        <v>3.5530000000000002E-4</v>
      </c>
      <c r="C5912" t="str">
        <f t="shared" si="92"/>
        <v/>
      </c>
    </row>
    <row r="5913" spans="1:3" x14ac:dyDescent="0.25">
      <c r="A5913" s="170">
        <v>2</v>
      </c>
      <c r="B5913" s="454">
        <v>6.868E-4</v>
      </c>
      <c r="C5913" t="str">
        <f t="shared" si="92"/>
        <v/>
      </c>
    </row>
    <row r="5914" spans="1:3" x14ac:dyDescent="0.25">
      <c r="A5914" s="170">
        <v>1.92</v>
      </c>
      <c r="B5914" s="454">
        <v>5.442E-4</v>
      </c>
      <c r="C5914" t="str">
        <f t="shared" si="92"/>
        <v/>
      </c>
    </row>
    <row r="5915" spans="1:3" x14ac:dyDescent="0.25">
      <c r="A5915" s="170">
        <v>1.94</v>
      </c>
      <c r="B5915" s="454">
        <v>2.4899999999999999E-5</v>
      </c>
      <c r="C5915" t="str">
        <f t="shared" si="92"/>
        <v/>
      </c>
    </row>
    <row r="5916" spans="1:3" x14ac:dyDescent="0.25">
      <c r="A5916" s="170">
        <v>2.12</v>
      </c>
      <c r="B5916" s="454">
        <v>2.1490000000000002E-4</v>
      </c>
      <c r="C5916" t="str">
        <f t="shared" si="92"/>
        <v/>
      </c>
    </row>
    <row r="5917" spans="1:3" x14ac:dyDescent="0.25">
      <c r="A5917" s="170">
        <v>2.4</v>
      </c>
      <c r="B5917" s="454">
        <v>1.3343000000000001E-3</v>
      </c>
      <c r="C5917" t="str">
        <f t="shared" si="92"/>
        <v/>
      </c>
    </row>
    <row r="5918" spans="1:3" x14ac:dyDescent="0.25">
      <c r="A5918" s="170">
        <v>2.63</v>
      </c>
      <c r="B5918" s="454">
        <v>4.1276000000000004E-3</v>
      </c>
      <c r="C5918" t="str">
        <f t="shared" si="92"/>
        <v/>
      </c>
    </row>
    <row r="5919" spans="1:3" x14ac:dyDescent="0.25">
      <c r="A5919" s="170">
        <v>2.39</v>
      </c>
      <c r="B5919" s="454">
        <v>2.0460000000000001E-4</v>
      </c>
      <c r="C5919" t="str">
        <f t="shared" si="92"/>
        <v/>
      </c>
    </row>
    <row r="5920" spans="1:3" x14ac:dyDescent="0.25">
      <c r="A5920" s="170">
        <v>2.74</v>
      </c>
      <c r="B5920" s="454">
        <v>2.9813000000000001E-3</v>
      </c>
      <c r="C5920" t="str">
        <f t="shared" si="92"/>
        <v/>
      </c>
    </row>
    <row r="5921" spans="1:3" x14ac:dyDescent="0.25">
      <c r="A5921" s="170">
        <v>2.96</v>
      </c>
      <c r="B5921" s="454">
        <v>2.3213000000000001E-3</v>
      </c>
      <c r="C5921" t="str">
        <f t="shared" si="92"/>
        <v/>
      </c>
    </row>
    <row r="5922" spans="1:3" x14ac:dyDescent="0.25">
      <c r="A5922" s="170">
        <v>2.29</v>
      </c>
      <c r="B5922" s="454">
        <v>4.0949999999999998E-4</v>
      </c>
      <c r="C5922" t="str">
        <f t="shared" si="92"/>
        <v/>
      </c>
    </row>
    <row r="5923" spans="1:3" x14ac:dyDescent="0.25">
      <c r="A5923" s="170">
        <v>2.29</v>
      </c>
      <c r="B5923" s="454">
        <v>7.094E-4</v>
      </c>
      <c r="C5923" t="str">
        <f t="shared" si="92"/>
        <v/>
      </c>
    </row>
    <row r="5924" spans="1:3" x14ac:dyDescent="0.25">
      <c r="A5924" s="170">
        <v>2.29</v>
      </c>
      <c r="B5924" s="454">
        <v>7.848000000000001E-4</v>
      </c>
      <c r="C5924" t="str">
        <f t="shared" si="92"/>
        <v/>
      </c>
    </row>
    <row r="5925" spans="1:3" x14ac:dyDescent="0.25">
      <c r="A5925" s="170">
        <v>1.63</v>
      </c>
      <c r="B5925" s="454">
        <v>1.47E-5</v>
      </c>
      <c r="C5925" t="str">
        <f t="shared" si="92"/>
        <v/>
      </c>
    </row>
    <row r="5926" spans="1:3" x14ac:dyDescent="0.25">
      <c r="A5926" s="170">
        <v>1.65</v>
      </c>
      <c r="B5926" s="454">
        <v>3.3799999999999995E-5</v>
      </c>
      <c r="C5926" t="str">
        <f t="shared" si="92"/>
        <v/>
      </c>
    </row>
    <row r="5927" spans="1:3" x14ac:dyDescent="0.25">
      <c r="A5927" s="170">
        <v>1.74</v>
      </c>
      <c r="B5927" s="454">
        <v>2.722E-4</v>
      </c>
      <c r="C5927" t="str">
        <f t="shared" si="92"/>
        <v/>
      </c>
    </row>
    <row r="5928" spans="1:3" x14ac:dyDescent="0.25">
      <c r="A5928" s="170">
        <v>1.72</v>
      </c>
      <c r="B5928" s="454">
        <v>8.6990000000000006E-4</v>
      </c>
      <c r="C5928" t="str">
        <f t="shared" si="92"/>
        <v/>
      </c>
    </row>
    <row r="5929" spans="1:3" x14ac:dyDescent="0.25">
      <c r="A5929" s="170">
        <v>1.49</v>
      </c>
      <c r="B5929" s="454">
        <v>3.57E-5</v>
      </c>
      <c r="C5929" t="str">
        <f t="shared" si="92"/>
        <v/>
      </c>
    </row>
    <row r="5930" spans="1:3" x14ac:dyDescent="0.25">
      <c r="A5930" s="170">
        <v>1.52</v>
      </c>
      <c r="B5930" s="454">
        <v>7.4800000000000002E-5</v>
      </c>
      <c r="C5930" t="str">
        <f t="shared" si="92"/>
        <v/>
      </c>
    </row>
    <row r="5931" spans="1:3" x14ac:dyDescent="0.25">
      <c r="A5931" s="170">
        <v>1.55</v>
      </c>
      <c r="B5931" s="454">
        <v>1.7770000000000001E-4</v>
      </c>
      <c r="C5931" t="str">
        <f t="shared" si="92"/>
        <v/>
      </c>
    </row>
    <row r="5932" spans="1:3" x14ac:dyDescent="0.25">
      <c r="A5932" s="170">
        <v>1.38</v>
      </c>
      <c r="B5932" s="454">
        <v>2.6599999999999999E-5</v>
      </c>
      <c r="C5932" t="str">
        <f t="shared" si="92"/>
        <v/>
      </c>
    </row>
    <row r="5933" spans="1:3" x14ac:dyDescent="0.25">
      <c r="A5933" s="170">
        <v>1.51</v>
      </c>
      <c r="B5933" s="454">
        <v>4.1700000000000004E-5</v>
      </c>
      <c r="C5933" t="str">
        <f t="shared" si="92"/>
        <v/>
      </c>
    </row>
    <row r="5934" spans="1:3" x14ac:dyDescent="0.25">
      <c r="A5934" s="170">
        <v>1.63</v>
      </c>
      <c r="B5934" s="454">
        <v>2.743E-4</v>
      </c>
      <c r="C5934" t="str">
        <f t="shared" si="92"/>
        <v/>
      </c>
    </row>
    <row r="5935" spans="1:3" x14ac:dyDescent="0.25">
      <c r="A5935" s="170">
        <v>1.62</v>
      </c>
      <c r="B5935" s="454">
        <v>3.8600000000000003E-5</v>
      </c>
      <c r="C5935" t="str">
        <f t="shared" si="92"/>
        <v/>
      </c>
    </row>
    <row r="5936" spans="1:3" x14ac:dyDescent="0.25">
      <c r="A5936" s="170">
        <v>1.89</v>
      </c>
      <c r="B5936" s="454">
        <v>1.505E-4</v>
      </c>
      <c r="C5936" t="str">
        <f t="shared" si="92"/>
        <v/>
      </c>
    </row>
    <row r="5937" spans="1:3" x14ac:dyDescent="0.25">
      <c r="A5937" s="170">
        <v>1.98</v>
      </c>
      <c r="B5937" s="454">
        <v>6.2129999999999998E-4</v>
      </c>
      <c r="C5937" t="str">
        <f t="shared" si="92"/>
        <v/>
      </c>
    </row>
    <row r="5938" spans="1:3" x14ac:dyDescent="0.25">
      <c r="A5938" s="170">
        <v>1.74</v>
      </c>
      <c r="B5938" s="454">
        <v>4.6399999999999996E-5</v>
      </c>
      <c r="C5938" t="str">
        <f t="shared" si="92"/>
        <v/>
      </c>
    </row>
    <row r="5939" spans="1:3" x14ac:dyDescent="0.25">
      <c r="A5939" s="170">
        <v>1.1599999999999999</v>
      </c>
      <c r="B5939" s="454">
        <v>2.7999999999999999E-6</v>
      </c>
      <c r="C5939" t="str">
        <f t="shared" si="92"/>
        <v/>
      </c>
    </row>
    <row r="5940" spans="1:3" x14ac:dyDescent="0.25">
      <c r="A5940" s="170">
        <v>2.4700000000000002</v>
      </c>
      <c r="B5940" s="454">
        <v>3.1960000000000002E-4</v>
      </c>
      <c r="C5940" t="str">
        <f t="shared" si="92"/>
        <v/>
      </c>
    </row>
    <row r="5941" spans="1:3" x14ac:dyDescent="0.25">
      <c r="A5941" s="170">
        <v>2.4300000000000002</v>
      </c>
      <c r="B5941" s="454">
        <v>2.0719999999999999E-4</v>
      </c>
      <c r="C5941" t="str">
        <f t="shared" si="92"/>
        <v/>
      </c>
    </row>
    <row r="5942" spans="1:3" x14ac:dyDescent="0.25">
      <c r="A5942" s="170">
        <v>1.94</v>
      </c>
      <c r="B5942" s="454">
        <v>9.2899999999999995E-5</v>
      </c>
      <c r="C5942" t="str">
        <f t="shared" si="92"/>
        <v/>
      </c>
    </row>
    <row r="5943" spans="1:3" x14ac:dyDescent="0.25">
      <c r="A5943" s="170">
        <v>1.9</v>
      </c>
      <c r="B5943" s="454">
        <v>1.54E-4</v>
      </c>
      <c r="C5943" t="str">
        <f t="shared" si="92"/>
        <v/>
      </c>
    </row>
    <row r="5944" spans="1:3" x14ac:dyDescent="0.25">
      <c r="A5944" s="170">
        <v>1.79</v>
      </c>
      <c r="B5944" s="454">
        <v>8.2100000000000003E-5</v>
      </c>
      <c r="C5944" t="str">
        <f t="shared" si="92"/>
        <v/>
      </c>
    </row>
    <row r="5945" spans="1:3" x14ac:dyDescent="0.25">
      <c r="A5945" s="170">
        <v>0.9</v>
      </c>
      <c r="B5945" s="454">
        <v>3.8E-6</v>
      </c>
      <c r="C5945" t="str">
        <f t="shared" ref="C5945:C6008" si="93">IF(B5945=0,"XXXXXXXX","")</f>
        <v/>
      </c>
    </row>
    <row r="5946" spans="1:3" x14ac:dyDescent="0.25">
      <c r="A5946" s="170">
        <v>0.81</v>
      </c>
      <c r="B5946" s="454">
        <v>1.6999999999999998E-6</v>
      </c>
      <c r="C5946" t="str">
        <f t="shared" si="93"/>
        <v/>
      </c>
    </row>
    <row r="5947" spans="1:3" x14ac:dyDescent="0.25">
      <c r="A5947" s="170">
        <v>0.85</v>
      </c>
      <c r="B5947" s="454">
        <v>4.9000000000000002E-8</v>
      </c>
      <c r="C5947" t="str">
        <f t="shared" si="93"/>
        <v/>
      </c>
    </row>
    <row r="5948" spans="1:3" x14ac:dyDescent="0.25">
      <c r="A5948" s="170">
        <v>0.85</v>
      </c>
      <c r="B5948" s="454">
        <v>4.9000000000000002E-8</v>
      </c>
      <c r="C5948" t="str">
        <f t="shared" si="93"/>
        <v/>
      </c>
    </row>
    <row r="5949" spans="1:3" x14ac:dyDescent="0.25">
      <c r="A5949" s="170">
        <v>0.85</v>
      </c>
      <c r="B5949" s="454">
        <v>4.8999999999999997E-7</v>
      </c>
      <c r="C5949" t="str">
        <f t="shared" si="93"/>
        <v/>
      </c>
    </row>
    <row r="5950" spans="1:3" x14ac:dyDescent="0.25">
      <c r="A5950" s="170">
        <v>0.86</v>
      </c>
      <c r="B5950" s="454">
        <v>4.9000000000000002E-8</v>
      </c>
      <c r="C5950" t="str">
        <f t="shared" si="93"/>
        <v/>
      </c>
    </row>
    <row r="5951" spans="1:3" x14ac:dyDescent="0.25">
      <c r="A5951" s="170">
        <v>0.98</v>
      </c>
      <c r="B5951" s="454">
        <v>4.9000000000000002E-8</v>
      </c>
      <c r="C5951" t="str">
        <f t="shared" si="93"/>
        <v/>
      </c>
    </row>
    <row r="5952" spans="1:3" x14ac:dyDescent="0.25">
      <c r="A5952" s="170">
        <v>1.2</v>
      </c>
      <c r="B5952" s="454">
        <v>2.7E-6</v>
      </c>
      <c r="C5952" t="str">
        <f t="shared" si="93"/>
        <v/>
      </c>
    </row>
    <row r="5953" spans="1:3" x14ac:dyDescent="0.25">
      <c r="A5953" s="170">
        <v>1.31</v>
      </c>
      <c r="B5953" s="454">
        <v>2.69E-5</v>
      </c>
      <c r="C5953" t="str">
        <f t="shared" si="93"/>
        <v/>
      </c>
    </row>
    <row r="5954" spans="1:3" x14ac:dyDescent="0.25">
      <c r="A5954" s="170">
        <v>1.32</v>
      </c>
      <c r="B5954" s="454">
        <v>1.1400000000000001E-5</v>
      </c>
      <c r="C5954" t="str">
        <f t="shared" si="93"/>
        <v/>
      </c>
    </row>
    <row r="5955" spans="1:3" x14ac:dyDescent="0.25">
      <c r="A5955" s="170">
        <v>1.39</v>
      </c>
      <c r="B5955" s="454">
        <v>5.9000000000000003E-6</v>
      </c>
      <c r="C5955" t="str">
        <f t="shared" si="93"/>
        <v/>
      </c>
    </row>
    <row r="5956" spans="1:3" x14ac:dyDescent="0.25">
      <c r="A5956" s="170">
        <v>1.68</v>
      </c>
      <c r="B5956" s="454">
        <v>2.9300000000000001E-5</v>
      </c>
      <c r="C5956" t="str">
        <f t="shared" si="93"/>
        <v/>
      </c>
    </row>
    <row r="5957" spans="1:3" x14ac:dyDescent="0.25">
      <c r="A5957" s="170">
        <v>2</v>
      </c>
      <c r="B5957" s="454">
        <v>1.039E-3</v>
      </c>
      <c r="C5957" t="str">
        <f t="shared" si="93"/>
        <v/>
      </c>
    </row>
    <row r="5958" spans="1:3" x14ac:dyDescent="0.25">
      <c r="A5958" s="170">
        <v>2</v>
      </c>
      <c r="B5958" s="454">
        <v>4.7540000000000001E-4</v>
      </c>
      <c r="C5958" t="str">
        <f t="shared" si="93"/>
        <v/>
      </c>
    </row>
    <row r="5959" spans="1:3" x14ac:dyDescent="0.25">
      <c r="A5959" s="170">
        <v>1.82</v>
      </c>
      <c r="B5959" s="454">
        <v>9.3999999999999998E-6</v>
      </c>
      <c r="C5959" t="str">
        <f t="shared" si="93"/>
        <v/>
      </c>
    </row>
    <row r="5960" spans="1:3" x14ac:dyDescent="0.25">
      <c r="A5960" s="170">
        <v>1.99</v>
      </c>
      <c r="B5960" s="454">
        <v>1.593E-4</v>
      </c>
      <c r="C5960" t="str">
        <f t="shared" si="93"/>
        <v/>
      </c>
    </row>
    <row r="5961" spans="1:3" x14ac:dyDescent="0.25">
      <c r="A5961" s="170">
        <v>2.21</v>
      </c>
      <c r="B5961" s="454">
        <v>8.4889999999999998E-4</v>
      </c>
      <c r="C5961" t="str">
        <f t="shared" si="93"/>
        <v/>
      </c>
    </row>
    <row r="5962" spans="1:3" x14ac:dyDescent="0.25">
      <c r="A5962" s="170">
        <v>2.5099999999999998</v>
      </c>
      <c r="B5962" s="454">
        <v>1.5494E-3</v>
      </c>
      <c r="C5962" t="str">
        <f t="shared" si="93"/>
        <v/>
      </c>
    </row>
    <row r="5963" spans="1:3" x14ac:dyDescent="0.25">
      <c r="A5963" s="170">
        <v>2.63</v>
      </c>
      <c r="B5963" s="454">
        <v>3.9106999999999996E-3</v>
      </c>
      <c r="C5963" t="str">
        <f t="shared" si="93"/>
        <v/>
      </c>
    </row>
    <row r="5964" spans="1:3" x14ac:dyDescent="0.25">
      <c r="A5964" s="170">
        <v>2.4500000000000002</v>
      </c>
      <c r="B5964" s="454">
        <v>2.8151000000000001E-3</v>
      </c>
      <c r="C5964" t="str">
        <f t="shared" si="93"/>
        <v/>
      </c>
    </row>
    <row r="5965" spans="1:3" x14ac:dyDescent="0.25">
      <c r="A5965" s="170">
        <v>2.77</v>
      </c>
      <c r="B5965" s="454">
        <v>4.5275999999999997E-3</v>
      </c>
      <c r="C5965" t="str">
        <f t="shared" si="93"/>
        <v/>
      </c>
    </row>
    <row r="5966" spans="1:3" x14ac:dyDescent="0.25">
      <c r="A5966" s="170">
        <v>3.04</v>
      </c>
      <c r="B5966" s="454">
        <v>8.8634000000000004E-3</v>
      </c>
      <c r="C5966" t="str">
        <f t="shared" si="93"/>
        <v/>
      </c>
    </row>
    <row r="5967" spans="1:3" x14ac:dyDescent="0.25">
      <c r="A5967" s="170">
        <v>3.01</v>
      </c>
      <c r="B5967" s="454">
        <v>3.6657999999999999E-3</v>
      </c>
      <c r="C5967" t="str">
        <f t="shared" si="93"/>
        <v/>
      </c>
    </row>
    <row r="5968" spans="1:3" x14ac:dyDescent="0.25">
      <c r="A5968" s="170">
        <v>2.31</v>
      </c>
      <c r="B5968" s="454">
        <v>5.3369999999999991E-4</v>
      </c>
      <c r="C5968" t="str">
        <f t="shared" si="93"/>
        <v/>
      </c>
    </row>
    <row r="5969" spans="1:3" x14ac:dyDescent="0.25">
      <c r="A5969" s="170">
        <v>2.27</v>
      </c>
      <c r="B5969" s="454">
        <v>6.8079999999999996E-4</v>
      </c>
      <c r="C5969" t="str">
        <f t="shared" si="93"/>
        <v/>
      </c>
    </row>
    <row r="5970" spans="1:3" x14ac:dyDescent="0.25">
      <c r="A5970" s="170">
        <v>2.2999999999999998</v>
      </c>
      <c r="B5970" s="454">
        <v>1.0242000000000001E-3</v>
      </c>
      <c r="C5970" t="str">
        <f t="shared" si="93"/>
        <v/>
      </c>
    </row>
    <row r="5971" spans="1:3" x14ac:dyDescent="0.25">
      <c r="A5971" s="170">
        <v>1.67</v>
      </c>
      <c r="B5971" s="454">
        <v>3.8699999999999999E-5</v>
      </c>
      <c r="C5971" t="str">
        <f t="shared" si="93"/>
        <v/>
      </c>
    </row>
    <row r="5972" spans="1:3" x14ac:dyDescent="0.25">
      <c r="A5972" s="170">
        <v>1.67</v>
      </c>
      <c r="B5972" s="454">
        <v>5.1E-5</v>
      </c>
      <c r="C5972" t="str">
        <f t="shared" si="93"/>
        <v/>
      </c>
    </row>
    <row r="5973" spans="1:3" x14ac:dyDescent="0.25">
      <c r="A5973" s="170">
        <v>1.73</v>
      </c>
      <c r="B5973" s="454">
        <v>1.0230000000000001E-4</v>
      </c>
      <c r="C5973" t="str">
        <f t="shared" si="93"/>
        <v/>
      </c>
    </row>
    <row r="5974" spans="1:3" x14ac:dyDescent="0.25">
      <c r="A5974" s="170">
        <v>1.77</v>
      </c>
      <c r="B5974" s="454">
        <v>3.3090000000000002E-4</v>
      </c>
      <c r="C5974" t="str">
        <f t="shared" si="93"/>
        <v/>
      </c>
    </row>
    <row r="5975" spans="1:3" x14ac:dyDescent="0.25">
      <c r="A5975" s="170">
        <v>1.49</v>
      </c>
      <c r="B5975" s="454">
        <v>3.82E-5</v>
      </c>
      <c r="C5975" t="str">
        <f t="shared" si="93"/>
        <v/>
      </c>
    </row>
    <row r="5976" spans="1:3" x14ac:dyDescent="0.25">
      <c r="A5976" s="170">
        <v>1.56</v>
      </c>
      <c r="B5976" s="454">
        <v>1.081E-4</v>
      </c>
      <c r="C5976" t="str">
        <f t="shared" si="93"/>
        <v/>
      </c>
    </row>
    <row r="5977" spans="1:3" x14ac:dyDescent="0.25">
      <c r="A5977" s="170">
        <v>1.57</v>
      </c>
      <c r="B5977" s="454">
        <v>1.361E-4</v>
      </c>
      <c r="C5977" t="str">
        <f t="shared" si="93"/>
        <v/>
      </c>
    </row>
    <row r="5978" spans="1:3" x14ac:dyDescent="0.25">
      <c r="A5978" s="170">
        <v>1.41</v>
      </c>
      <c r="B5978" s="454">
        <v>1.6400000000000002E-5</v>
      </c>
      <c r="C5978" t="str">
        <f t="shared" si="93"/>
        <v/>
      </c>
    </row>
    <row r="5979" spans="1:3" x14ac:dyDescent="0.25">
      <c r="A5979" s="170">
        <v>1.45</v>
      </c>
      <c r="B5979" s="454">
        <v>4.2000000000000004E-5</v>
      </c>
      <c r="C5979" t="str">
        <f t="shared" si="93"/>
        <v/>
      </c>
    </row>
    <row r="5980" spans="1:3" x14ac:dyDescent="0.25">
      <c r="A5980" s="170">
        <v>1.55</v>
      </c>
      <c r="B5980" s="454">
        <v>3.0800000000000003E-5</v>
      </c>
      <c r="C5980" t="str">
        <f t="shared" si="93"/>
        <v/>
      </c>
    </row>
    <row r="5981" spans="1:3" x14ac:dyDescent="0.25">
      <c r="A5981" s="170">
        <v>1.7</v>
      </c>
      <c r="B5981" s="454">
        <v>3.7400000000000001E-5</v>
      </c>
      <c r="C5981" t="str">
        <f t="shared" si="93"/>
        <v/>
      </c>
    </row>
    <row r="5982" spans="1:3" x14ac:dyDescent="0.25">
      <c r="A5982" s="170">
        <v>1.82</v>
      </c>
      <c r="B5982" s="454">
        <v>1.0240000000000001E-4</v>
      </c>
      <c r="C5982" t="str">
        <f t="shared" si="93"/>
        <v/>
      </c>
    </row>
    <row r="5983" spans="1:3" x14ac:dyDescent="0.25">
      <c r="A5983" s="170">
        <v>1.97</v>
      </c>
      <c r="B5983" s="454">
        <v>5.8480000000000001E-4</v>
      </c>
      <c r="C5983" t="str">
        <f t="shared" si="93"/>
        <v/>
      </c>
    </row>
    <row r="5984" spans="1:3" x14ac:dyDescent="0.25">
      <c r="A5984" s="170">
        <v>1.74</v>
      </c>
      <c r="B5984" s="454">
        <v>4.9500000000000004E-5</v>
      </c>
      <c r="C5984" t="str">
        <f t="shared" si="93"/>
        <v/>
      </c>
    </row>
    <row r="5985" spans="1:3" x14ac:dyDescent="0.25">
      <c r="A5985" s="170">
        <v>1.19</v>
      </c>
      <c r="B5985" s="454">
        <v>4.9999999999999998E-7</v>
      </c>
      <c r="C5985" t="str">
        <f t="shared" si="93"/>
        <v/>
      </c>
    </row>
    <row r="5986" spans="1:3" x14ac:dyDescent="0.25">
      <c r="A5986" s="170">
        <v>1.1499999999999999</v>
      </c>
      <c r="B5986" s="454">
        <v>4.9999999999999998E-7</v>
      </c>
      <c r="C5986" t="str">
        <f t="shared" si="93"/>
        <v/>
      </c>
    </row>
    <row r="5987" spans="1:3" x14ac:dyDescent="0.25">
      <c r="A5987" s="170">
        <v>2.36</v>
      </c>
      <c r="B5987" s="454">
        <v>2.0043000000000001E-3</v>
      </c>
      <c r="C5987" t="str">
        <f t="shared" si="93"/>
        <v/>
      </c>
    </row>
    <row r="5988" spans="1:3" x14ac:dyDescent="0.25">
      <c r="A5988" s="170">
        <v>2.4500000000000002</v>
      </c>
      <c r="B5988" s="454">
        <v>8.8400000000000007E-5</v>
      </c>
      <c r="C5988" t="str">
        <f t="shared" si="93"/>
        <v/>
      </c>
    </row>
    <row r="5989" spans="1:3" x14ac:dyDescent="0.25">
      <c r="A5989" s="170">
        <v>1.94</v>
      </c>
      <c r="B5989" s="454">
        <v>1.2495E-3</v>
      </c>
      <c r="C5989" t="str">
        <f t="shared" si="93"/>
        <v/>
      </c>
    </row>
    <row r="5990" spans="1:3" x14ac:dyDescent="0.25">
      <c r="A5990" s="170">
        <v>1.88</v>
      </c>
      <c r="B5990" s="454">
        <v>4.0999999999999999E-7</v>
      </c>
      <c r="C5990" t="str">
        <f t="shared" si="93"/>
        <v/>
      </c>
    </row>
    <row r="5991" spans="1:3" x14ac:dyDescent="0.25">
      <c r="A5991" s="170">
        <v>1.8</v>
      </c>
      <c r="B5991" s="454">
        <v>2.04E-4</v>
      </c>
      <c r="C5991" t="str">
        <f t="shared" si="93"/>
        <v/>
      </c>
    </row>
    <row r="5992" spans="1:3" x14ac:dyDescent="0.25">
      <c r="A5992" s="170">
        <v>0.9</v>
      </c>
      <c r="B5992" s="454">
        <v>4.0999999999999999E-7</v>
      </c>
      <c r="C5992" t="str">
        <f t="shared" si="93"/>
        <v/>
      </c>
    </row>
    <row r="5993" spans="1:3" x14ac:dyDescent="0.25">
      <c r="A5993" s="170">
        <v>0.85</v>
      </c>
      <c r="B5993" s="454">
        <v>4.0999999999999999E-7</v>
      </c>
      <c r="C5993" t="str">
        <f t="shared" si="93"/>
        <v/>
      </c>
    </row>
    <row r="5994" spans="1:3" x14ac:dyDescent="0.25">
      <c r="A5994" s="170">
        <v>0.82</v>
      </c>
      <c r="B5994" s="454">
        <v>4.1000000000000006E-6</v>
      </c>
      <c r="C5994" t="str">
        <f t="shared" si="93"/>
        <v/>
      </c>
    </row>
    <row r="5995" spans="1:3" x14ac:dyDescent="0.25">
      <c r="A5995" s="170">
        <v>0.85</v>
      </c>
      <c r="B5995" s="454">
        <v>4.0999999999999999E-7</v>
      </c>
      <c r="C5995" t="str">
        <f t="shared" si="93"/>
        <v/>
      </c>
    </row>
    <row r="5996" spans="1:3" x14ac:dyDescent="0.25">
      <c r="A5996" s="170">
        <v>0.85</v>
      </c>
      <c r="B5996" s="454">
        <v>4.0999999999999999E-7</v>
      </c>
      <c r="C5996" t="str">
        <f t="shared" si="93"/>
        <v/>
      </c>
    </row>
    <row r="5997" spans="1:3" x14ac:dyDescent="0.25">
      <c r="A5997" s="170">
        <v>0.99</v>
      </c>
      <c r="B5997" s="454">
        <v>4.0999999999999999E-7</v>
      </c>
      <c r="C5997" t="str">
        <f t="shared" si="93"/>
        <v/>
      </c>
    </row>
    <row r="5998" spans="1:3" x14ac:dyDescent="0.25">
      <c r="A5998" s="170">
        <v>1.22</v>
      </c>
      <c r="B5998" s="454">
        <v>4.0999999999999999E-7</v>
      </c>
      <c r="C5998" t="str">
        <f t="shared" si="93"/>
        <v/>
      </c>
    </row>
    <row r="5999" spans="1:3" x14ac:dyDescent="0.25">
      <c r="A5999" s="170">
        <v>1.32</v>
      </c>
      <c r="B5999" s="454">
        <v>5.0000000000000002E-5</v>
      </c>
      <c r="C5999" t="str">
        <f t="shared" si="93"/>
        <v/>
      </c>
    </row>
    <row r="6000" spans="1:3" x14ac:dyDescent="0.25">
      <c r="A6000" s="170">
        <v>1.43</v>
      </c>
      <c r="B6000" s="454">
        <v>4.0999999999999999E-7</v>
      </c>
      <c r="C6000" t="str">
        <f t="shared" si="93"/>
        <v/>
      </c>
    </row>
    <row r="6001" spans="1:3" x14ac:dyDescent="0.25">
      <c r="A6001" s="170">
        <v>1.73</v>
      </c>
      <c r="B6001" s="454">
        <v>2.9499999999999999E-5</v>
      </c>
      <c r="C6001" t="str">
        <f t="shared" si="93"/>
        <v/>
      </c>
    </row>
    <row r="6002" spans="1:3" x14ac:dyDescent="0.25">
      <c r="A6002" s="170">
        <v>2.0299999999999998</v>
      </c>
      <c r="B6002" s="454">
        <v>7.0069999999999996E-4</v>
      </c>
      <c r="C6002" t="str">
        <f t="shared" si="93"/>
        <v/>
      </c>
    </row>
    <row r="6003" spans="1:3" x14ac:dyDescent="0.25">
      <c r="A6003" s="170">
        <v>1.98</v>
      </c>
      <c r="B6003" s="454">
        <v>2.498E-4</v>
      </c>
      <c r="C6003" t="str">
        <f t="shared" si="93"/>
        <v/>
      </c>
    </row>
    <row r="6004" spans="1:3" x14ac:dyDescent="0.25">
      <c r="A6004" s="170">
        <v>1.85</v>
      </c>
      <c r="B6004" s="454">
        <v>9.5000000000000005E-6</v>
      </c>
      <c r="C6004" t="str">
        <f t="shared" si="93"/>
        <v/>
      </c>
    </row>
    <row r="6005" spans="1:3" x14ac:dyDescent="0.25">
      <c r="A6005" s="170">
        <v>2.04</v>
      </c>
      <c r="B6005" s="454">
        <v>4.0800000000000002E-5</v>
      </c>
      <c r="C6005" t="str">
        <f t="shared" si="93"/>
        <v/>
      </c>
    </row>
    <row r="6006" spans="1:3" x14ac:dyDescent="0.25">
      <c r="A6006" s="170">
        <v>2.36</v>
      </c>
      <c r="B6006" s="454">
        <v>8.3370000000000004E-4</v>
      </c>
      <c r="C6006" t="str">
        <f t="shared" si="93"/>
        <v/>
      </c>
    </row>
    <row r="6007" spans="1:3" x14ac:dyDescent="0.25">
      <c r="A6007" s="170">
        <v>2.5499999999999998</v>
      </c>
      <c r="B6007" s="454">
        <v>3.4739999999999999E-4</v>
      </c>
      <c r="C6007" t="str">
        <f t="shared" si="93"/>
        <v/>
      </c>
    </row>
    <row r="6008" spans="1:3" x14ac:dyDescent="0.25">
      <c r="A6008" s="170">
        <v>2.83</v>
      </c>
      <c r="B6008" s="454">
        <v>7.182E-4</v>
      </c>
      <c r="C6008" t="str">
        <f t="shared" si="93"/>
        <v/>
      </c>
    </row>
    <row r="6009" spans="1:3" x14ac:dyDescent="0.25">
      <c r="A6009" s="170">
        <v>3.05</v>
      </c>
      <c r="B6009" s="454">
        <v>1.4366000000000001E-3</v>
      </c>
      <c r="C6009" t="str">
        <f t="shared" ref="C6009:C6072" si="94">IF(B6009=0,"XXXXXXXX","")</f>
        <v/>
      </c>
    </row>
    <row r="6010" spans="1:3" x14ac:dyDescent="0.25">
      <c r="A6010" s="170">
        <v>2.31</v>
      </c>
      <c r="B6010" s="454">
        <v>3.0859999999999997E-4</v>
      </c>
      <c r="C6010" t="str">
        <f t="shared" si="94"/>
        <v/>
      </c>
    </row>
    <row r="6011" spans="1:3" x14ac:dyDescent="0.25">
      <c r="A6011" s="170">
        <v>2.27</v>
      </c>
      <c r="B6011" s="454">
        <v>7.7030000000000002E-4</v>
      </c>
      <c r="C6011" t="str">
        <f t="shared" si="94"/>
        <v/>
      </c>
    </row>
    <row r="6012" spans="1:3" x14ac:dyDescent="0.25">
      <c r="A6012" s="170">
        <v>2.33</v>
      </c>
      <c r="B6012" s="454">
        <v>7.3609999999999995E-4</v>
      </c>
      <c r="C6012" t="str">
        <f t="shared" si="94"/>
        <v/>
      </c>
    </row>
    <row r="6013" spans="1:3" x14ac:dyDescent="0.25">
      <c r="A6013" s="170">
        <v>2.36</v>
      </c>
      <c r="B6013" s="454">
        <v>1.4811000000000002E-3</v>
      </c>
      <c r="C6013" t="str">
        <f t="shared" si="94"/>
        <v/>
      </c>
    </row>
    <row r="6014" spans="1:3" x14ac:dyDescent="0.25">
      <c r="A6014" s="170">
        <v>1.69</v>
      </c>
      <c r="B6014" s="454">
        <v>8.2000000000000011E-6</v>
      </c>
      <c r="C6014" t="str">
        <f t="shared" si="94"/>
        <v/>
      </c>
    </row>
    <row r="6015" spans="1:3" x14ac:dyDescent="0.25">
      <c r="A6015" s="170">
        <v>1.69</v>
      </c>
      <c r="B6015" s="454">
        <v>2.0799999999999997E-5</v>
      </c>
      <c r="C6015" t="str">
        <f t="shared" si="94"/>
        <v/>
      </c>
    </row>
    <row r="6016" spans="1:3" x14ac:dyDescent="0.25">
      <c r="A6016" s="170">
        <v>1.72</v>
      </c>
      <c r="B6016" s="454">
        <v>5.4499999999999997E-5</v>
      </c>
      <c r="C6016" t="str">
        <f t="shared" si="94"/>
        <v/>
      </c>
    </row>
    <row r="6017" spans="1:3" x14ac:dyDescent="0.25">
      <c r="A6017" s="170">
        <v>1.76</v>
      </c>
      <c r="B6017" s="454">
        <v>4.0339999999999999E-4</v>
      </c>
      <c r="C6017" t="str">
        <f t="shared" si="94"/>
        <v/>
      </c>
    </row>
    <row r="6018" spans="1:3" x14ac:dyDescent="0.25">
      <c r="A6018" s="170">
        <v>1.49</v>
      </c>
      <c r="B6018" s="454">
        <v>3.3500000000000001E-5</v>
      </c>
      <c r="C6018" t="str">
        <f t="shared" si="94"/>
        <v/>
      </c>
    </row>
    <row r="6019" spans="1:3" x14ac:dyDescent="0.25">
      <c r="A6019" s="170">
        <v>1.56</v>
      </c>
      <c r="B6019" s="454">
        <v>1.167E-4</v>
      </c>
      <c r="C6019" t="str">
        <f t="shared" si="94"/>
        <v/>
      </c>
    </row>
    <row r="6020" spans="1:3" x14ac:dyDescent="0.25">
      <c r="A6020" s="170">
        <v>1.55</v>
      </c>
      <c r="B6020" s="454">
        <v>1.0620000000000001E-4</v>
      </c>
      <c r="C6020" t="str">
        <f t="shared" si="94"/>
        <v/>
      </c>
    </row>
    <row r="6021" spans="1:3" x14ac:dyDescent="0.25">
      <c r="A6021" s="170">
        <v>1.41</v>
      </c>
      <c r="B6021" s="454">
        <v>4.0999999999999999E-7</v>
      </c>
      <c r="C6021" t="str">
        <f t="shared" si="94"/>
        <v/>
      </c>
    </row>
    <row r="6022" spans="1:3" x14ac:dyDescent="0.25">
      <c r="A6022" s="170">
        <v>1.43</v>
      </c>
      <c r="B6022" s="454">
        <v>2.65E-5</v>
      </c>
      <c r="C6022" t="str">
        <f t="shared" si="94"/>
        <v/>
      </c>
    </row>
    <row r="6023" spans="1:3" x14ac:dyDescent="0.25">
      <c r="A6023" s="170">
        <v>1.57</v>
      </c>
      <c r="B6023" s="454">
        <v>6.5000000000000008E-5</v>
      </c>
      <c r="C6023" t="str">
        <f t="shared" si="94"/>
        <v/>
      </c>
    </row>
    <row r="6024" spans="1:3" x14ac:dyDescent="0.25">
      <c r="A6024" s="170">
        <v>1.73</v>
      </c>
      <c r="B6024" s="454">
        <v>4.2500000000000003E-5</v>
      </c>
      <c r="C6024" t="str">
        <f t="shared" si="94"/>
        <v/>
      </c>
    </row>
    <row r="6025" spans="1:3" x14ac:dyDescent="0.25">
      <c r="A6025" s="170">
        <v>1.83</v>
      </c>
      <c r="B6025" s="454">
        <v>7.1799999999999997E-5</v>
      </c>
      <c r="C6025" t="str">
        <f t="shared" si="94"/>
        <v/>
      </c>
    </row>
    <row r="6026" spans="1:3" x14ac:dyDescent="0.25">
      <c r="A6026" s="170">
        <v>1.96</v>
      </c>
      <c r="B6026" s="454">
        <v>1.549E-4</v>
      </c>
      <c r="C6026" t="str">
        <f t="shared" si="94"/>
        <v/>
      </c>
    </row>
    <row r="6027" spans="1:3" x14ac:dyDescent="0.25">
      <c r="A6027" s="170">
        <v>1.98</v>
      </c>
      <c r="B6027" s="454">
        <v>1.63E-5</v>
      </c>
      <c r="C6027" t="str">
        <f t="shared" si="94"/>
        <v/>
      </c>
    </row>
    <row r="6028" spans="1:3" x14ac:dyDescent="0.25">
      <c r="A6028" s="170">
        <v>1.1599999999999999</v>
      </c>
      <c r="B6028" s="454">
        <v>5.3000000000000001E-6</v>
      </c>
      <c r="C6028" t="str">
        <f t="shared" si="94"/>
        <v/>
      </c>
    </row>
    <row r="6029" spans="1:3" x14ac:dyDescent="0.25">
      <c r="A6029" s="170">
        <v>1.1499999999999999</v>
      </c>
      <c r="B6029" s="454">
        <v>4.0999999999999999E-7</v>
      </c>
      <c r="C6029" t="str">
        <f t="shared" si="94"/>
        <v/>
      </c>
    </row>
    <row r="6030" spans="1:3" x14ac:dyDescent="0.25">
      <c r="A6030" s="170">
        <v>0.64</v>
      </c>
      <c r="B6030" s="454">
        <v>2.12E-5</v>
      </c>
      <c r="C6030" t="str">
        <f t="shared" si="94"/>
        <v/>
      </c>
    </row>
    <row r="6031" spans="1:3" x14ac:dyDescent="0.25">
      <c r="A6031" s="170">
        <v>0.6</v>
      </c>
      <c r="B6031" s="454">
        <v>3.18E-5</v>
      </c>
      <c r="C6031" t="str">
        <f t="shared" si="94"/>
        <v/>
      </c>
    </row>
    <row r="6032" spans="1:3" x14ac:dyDescent="0.25">
      <c r="A6032" s="170">
        <v>0.7</v>
      </c>
      <c r="B6032" s="454">
        <v>3.8990000000000004E-4</v>
      </c>
      <c r="C6032" t="str">
        <f t="shared" si="94"/>
        <v/>
      </c>
    </row>
    <row r="6033" spans="1:3" x14ac:dyDescent="0.25">
      <c r="A6033" s="170">
        <v>0.84</v>
      </c>
      <c r="B6033" s="454">
        <v>2.12E-6</v>
      </c>
      <c r="C6033" t="str">
        <f t="shared" si="94"/>
        <v/>
      </c>
    </row>
    <row r="6034" spans="1:3" x14ac:dyDescent="0.25">
      <c r="A6034" s="170">
        <v>1.22</v>
      </c>
      <c r="B6034" s="454">
        <v>9.3130000000000003E-4</v>
      </c>
      <c r="C6034" t="str">
        <f t="shared" si="94"/>
        <v/>
      </c>
    </row>
    <row r="6035" spans="1:3" x14ac:dyDescent="0.25">
      <c r="A6035" s="170">
        <v>1.08</v>
      </c>
      <c r="B6035" s="454">
        <v>3.4389999999999996E-4</v>
      </c>
      <c r="C6035" t="str">
        <f t="shared" si="94"/>
        <v/>
      </c>
    </row>
    <row r="6036" spans="1:3" x14ac:dyDescent="0.25">
      <c r="A6036" s="170">
        <v>1.61</v>
      </c>
      <c r="B6036" s="454">
        <v>4.3696000000000004E-3</v>
      </c>
      <c r="C6036" t="str">
        <f t="shared" si="94"/>
        <v/>
      </c>
    </row>
    <row r="6037" spans="1:3" x14ac:dyDescent="0.25">
      <c r="A6037" s="170">
        <v>2.34</v>
      </c>
      <c r="B6037" s="454">
        <v>4.037E-4</v>
      </c>
      <c r="C6037" t="str">
        <f t="shared" si="94"/>
        <v/>
      </c>
    </row>
    <row r="6038" spans="1:3" x14ac:dyDescent="0.25">
      <c r="A6038" s="170">
        <v>2.4300000000000002</v>
      </c>
      <c r="B6038" s="454">
        <v>7.9670000000000001E-4</v>
      </c>
      <c r="C6038" t="str">
        <f t="shared" si="94"/>
        <v/>
      </c>
    </row>
    <row r="6039" spans="1:3" x14ac:dyDescent="0.25">
      <c r="A6039" s="170">
        <v>1.91</v>
      </c>
      <c r="B6039" s="454">
        <v>2.3150000000000002E-4</v>
      </c>
      <c r="C6039" t="str">
        <f t="shared" si="94"/>
        <v/>
      </c>
    </row>
    <row r="6040" spans="1:3" x14ac:dyDescent="0.25">
      <c r="A6040" s="170">
        <v>0.84</v>
      </c>
      <c r="B6040" s="454">
        <v>2.1499999999999997E-5</v>
      </c>
      <c r="C6040" t="str">
        <f t="shared" si="94"/>
        <v/>
      </c>
    </row>
    <row r="6041" spans="1:3" x14ac:dyDescent="0.25">
      <c r="A6041" s="170">
        <v>1.33</v>
      </c>
      <c r="B6041" s="454">
        <v>9.4199999999999991E-4</v>
      </c>
      <c r="C6041" t="str">
        <f t="shared" si="94"/>
        <v/>
      </c>
    </row>
    <row r="6042" spans="1:3" x14ac:dyDescent="0.25">
      <c r="A6042" s="170">
        <v>1.93</v>
      </c>
      <c r="B6042" s="454">
        <v>2.4976E-3</v>
      </c>
      <c r="C6042" t="str">
        <f t="shared" si="94"/>
        <v/>
      </c>
    </row>
    <row r="6043" spans="1:3" x14ac:dyDescent="0.25">
      <c r="A6043" s="170">
        <v>2.4900000000000002</v>
      </c>
      <c r="B6043" s="454">
        <v>6.6692999999999995E-3</v>
      </c>
      <c r="C6043" t="str">
        <f t="shared" si="94"/>
        <v/>
      </c>
    </row>
    <row r="6044" spans="1:3" x14ac:dyDescent="0.25">
      <c r="A6044" s="170">
        <v>2.92</v>
      </c>
      <c r="B6044" s="454">
        <v>7.5250999999999998E-3</v>
      </c>
      <c r="C6044" t="str">
        <f t="shared" si="94"/>
        <v/>
      </c>
    </row>
    <row r="6045" spans="1:3" x14ac:dyDescent="0.25">
      <c r="A6045" s="170">
        <v>2.23</v>
      </c>
      <c r="B6045" s="454">
        <v>1.3295E-3</v>
      </c>
      <c r="C6045" t="str">
        <f t="shared" si="94"/>
        <v/>
      </c>
    </row>
    <row r="6046" spans="1:3" x14ac:dyDescent="0.25">
      <c r="A6046" s="170">
        <v>1.71</v>
      </c>
      <c r="B6046" s="454">
        <v>6.3519999999999994E-4</v>
      </c>
      <c r="C6046" t="str">
        <f t="shared" si="94"/>
        <v/>
      </c>
    </row>
    <row r="6047" spans="1:3" x14ac:dyDescent="0.25">
      <c r="A6047" s="170">
        <v>1.51</v>
      </c>
      <c r="B6047" s="454">
        <v>1.292E-4</v>
      </c>
      <c r="C6047" t="str">
        <f t="shared" si="94"/>
        <v/>
      </c>
    </row>
    <row r="6048" spans="1:3" x14ac:dyDescent="0.25">
      <c r="A6048" s="170">
        <v>1.41</v>
      </c>
      <c r="B6048" s="454">
        <v>3.0680000000000003E-4</v>
      </c>
      <c r="C6048" t="str">
        <f t="shared" si="94"/>
        <v/>
      </c>
    </row>
    <row r="6049" spans="1:3" x14ac:dyDescent="0.25">
      <c r="A6049" s="170">
        <v>1.61</v>
      </c>
      <c r="B6049" s="454">
        <v>9.6899999999999997E-5</v>
      </c>
      <c r="C6049" t="str">
        <f t="shared" si="94"/>
        <v/>
      </c>
    </row>
    <row r="6050" spans="1:3" x14ac:dyDescent="0.25">
      <c r="A6050" s="170">
        <v>1.78</v>
      </c>
      <c r="B6050" s="454">
        <v>2.4220000000000001E-4</v>
      </c>
      <c r="C6050" t="str">
        <f t="shared" si="94"/>
        <v/>
      </c>
    </row>
    <row r="6051" spans="1:3" x14ac:dyDescent="0.25">
      <c r="A6051" s="170">
        <v>1.95</v>
      </c>
      <c r="B6051" s="454">
        <v>6.6750000000000002E-4</v>
      </c>
      <c r="C6051" t="str">
        <f t="shared" si="94"/>
        <v/>
      </c>
    </row>
    <row r="6052" spans="1:3" x14ac:dyDescent="0.25">
      <c r="A6052" s="223">
        <v>0.76455485820000002</v>
      </c>
      <c r="B6052" s="463">
        <v>4.6388888888888885E-4</v>
      </c>
      <c r="C6052" t="str">
        <f t="shared" si="94"/>
        <v/>
      </c>
    </row>
    <row r="6053" spans="1:3" x14ac:dyDescent="0.25">
      <c r="A6053" s="223">
        <v>0.33980215920000001</v>
      </c>
      <c r="B6053" s="463">
        <v>4.444444444444445E-6</v>
      </c>
      <c r="C6053" t="str">
        <f t="shared" si="94"/>
        <v/>
      </c>
    </row>
    <row r="6054" spans="1:3" x14ac:dyDescent="0.25">
      <c r="A6054" s="223">
        <v>0.24635656541999998</v>
      </c>
      <c r="B6054" s="463">
        <v>1.8611111111111111E-6</v>
      </c>
      <c r="C6054" t="str">
        <f t="shared" si="94"/>
        <v/>
      </c>
    </row>
    <row r="6055" spans="1:3" x14ac:dyDescent="0.25">
      <c r="A6055" s="223">
        <v>0.24352488076000001</v>
      </c>
      <c r="B6055" s="463">
        <v>2.7777777777777781E-7</v>
      </c>
      <c r="C6055" t="str">
        <f t="shared" si="94"/>
        <v/>
      </c>
    </row>
    <row r="6056" spans="1:3" x14ac:dyDescent="0.25">
      <c r="A6056" s="223">
        <v>0.24069319610000001</v>
      </c>
      <c r="B6056" s="463">
        <v>2.7777777777777781E-7</v>
      </c>
      <c r="C6056" t="str">
        <f t="shared" si="94"/>
        <v/>
      </c>
    </row>
    <row r="6057" spans="1:3" x14ac:dyDescent="0.25">
      <c r="A6057" s="223">
        <v>0.22936645746000001</v>
      </c>
      <c r="B6057" s="463">
        <v>1.7222222222222222E-7</v>
      </c>
      <c r="C6057" t="str">
        <f t="shared" si="94"/>
        <v/>
      </c>
    </row>
    <row r="6058" spans="1:3" x14ac:dyDescent="0.25">
      <c r="A6058" s="223">
        <v>0.84950539800000002</v>
      </c>
      <c r="B6058" s="463">
        <v>4.3888888888888889E-4</v>
      </c>
      <c r="C6058" t="str">
        <f t="shared" si="94"/>
        <v/>
      </c>
    </row>
    <row r="6059" spans="1:3" x14ac:dyDescent="0.25">
      <c r="A6059" s="223">
        <v>0.59465377860000002</v>
      </c>
      <c r="B6059" s="463">
        <v>2.6666666666666667E-5</v>
      </c>
      <c r="C6059" t="str">
        <f t="shared" si="94"/>
        <v/>
      </c>
    </row>
    <row r="6060" spans="1:3" x14ac:dyDescent="0.25">
      <c r="A6060" s="223">
        <v>0.53802008540000001</v>
      </c>
      <c r="B6060" s="463">
        <v>6.1111111111111112E-6</v>
      </c>
      <c r="C6060" t="str">
        <f t="shared" si="94"/>
        <v/>
      </c>
    </row>
    <row r="6061" spans="1:3" x14ac:dyDescent="0.25">
      <c r="A6061" s="223">
        <v>1.3875254834000001</v>
      </c>
      <c r="B6061" s="463">
        <v>3.2777777777777779E-3</v>
      </c>
      <c r="C6061" t="str">
        <f t="shared" si="94"/>
        <v/>
      </c>
    </row>
    <row r="6062" spans="1:3" x14ac:dyDescent="0.25">
      <c r="A6062" s="223">
        <v>2.0104961085999999</v>
      </c>
      <c r="B6062" s="463">
        <v>5.5555555555555559E-2</v>
      </c>
      <c r="C6062" t="str">
        <f t="shared" si="94"/>
        <v/>
      </c>
    </row>
    <row r="6063" spans="1:3" x14ac:dyDescent="0.25">
      <c r="A6063" s="223">
        <v>0.42475269900000001</v>
      </c>
      <c r="B6063" s="463">
        <v>1.1944444444444444E-4</v>
      </c>
      <c r="C6063" t="str">
        <f t="shared" si="94"/>
        <v/>
      </c>
    </row>
    <row r="6064" spans="1:3" x14ac:dyDescent="0.25">
      <c r="A6064" s="223">
        <v>0.65128747180000002</v>
      </c>
      <c r="B6064" s="463">
        <v>1.5555555555555556E-4</v>
      </c>
      <c r="C6064" t="str">
        <f t="shared" si="94"/>
        <v/>
      </c>
    </row>
    <row r="6065" spans="1:3" x14ac:dyDescent="0.25">
      <c r="A6065" s="223">
        <v>0.96277278440000003</v>
      </c>
      <c r="B6065" s="463">
        <v>8.8333333333333341E-4</v>
      </c>
      <c r="C6065" t="str">
        <f t="shared" si="94"/>
        <v/>
      </c>
    </row>
    <row r="6066" spans="1:3" x14ac:dyDescent="0.25">
      <c r="A6066" s="223">
        <v>0.93445593780000002</v>
      </c>
      <c r="B6066" s="463">
        <v>4.9166666666666673E-4</v>
      </c>
      <c r="C6066" t="str">
        <f t="shared" si="94"/>
        <v/>
      </c>
    </row>
    <row r="6067" spans="1:3" x14ac:dyDescent="0.25">
      <c r="A6067" s="223">
        <v>0.56633693200000002</v>
      </c>
      <c r="B6067" s="463">
        <v>1.2777777777777779E-4</v>
      </c>
      <c r="C6067" t="str">
        <f t="shared" si="94"/>
        <v/>
      </c>
    </row>
    <row r="6068" spans="1:3" x14ac:dyDescent="0.25">
      <c r="A6068" s="223">
        <v>0.62297062520000002</v>
      </c>
      <c r="B6068" s="463">
        <v>5.1944444444444445E-4</v>
      </c>
      <c r="C6068" t="str">
        <f t="shared" si="94"/>
        <v/>
      </c>
    </row>
    <row r="6069" spans="1:3" x14ac:dyDescent="0.25">
      <c r="A6069" s="223">
        <v>1.5291097164</v>
      </c>
      <c r="B6069" s="463">
        <v>1.2638888888888889E-2</v>
      </c>
      <c r="C6069" t="str">
        <f t="shared" si="94"/>
        <v/>
      </c>
    </row>
    <row r="6070" spans="1:3" x14ac:dyDescent="0.25">
      <c r="A6070" s="223">
        <v>1.41584233</v>
      </c>
      <c r="B6070" s="463">
        <v>1.0444444444444445E-2</v>
      </c>
      <c r="C6070" t="str">
        <f t="shared" si="94"/>
        <v/>
      </c>
    </row>
    <row r="6071" spans="1:3" x14ac:dyDescent="0.25">
      <c r="A6071" s="223">
        <v>1.1043570173999999</v>
      </c>
      <c r="B6071" s="463">
        <v>7.1666666666666678E-4</v>
      </c>
      <c r="C6071" t="str">
        <f t="shared" si="94"/>
        <v/>
      </c>
    </row>
    <row r="6072" spans="1:3" x14ac:dyDescent="0.25">
      <c r="A6072" s="223">
        <v>0.79287170480000002</v>
      </c>
      <c r="B6072" s="463">
        <v>2.1111111111111111E-4</v>
      </c>
      <c r="C6072" t="str">
        <f t="shared" si="94"/>
        <v/>
      </c>
    </row>
    <row r="6073" spans="1:3" x14ac:dyDescent="0.25">
      <c r="A6073" s="223">
        <v>0.76455485820000002</v>
      </c>
      <c r="B6073" s="463">
        <v>1.75E-4</v>
      </c>
      <c r="C6073" t="str">
        <f t="shared" ref="C6073:C6136" si="95">IF(B6073=0,"XXXXXXXX","")</f>
        <v/>
      </c>
    </row>
    <row r="6074" spans="1:3" x14ac:dyDescent="0.25">
      <c r="A6074" s="223">
        <v>1.2459412504</v>
      </c>
      <c r="B6074" s="463">
        <v>9.7222222222222224E-3</v>
      </c>
      <c r="C6074" t="str">
        <f t="shared" si="95"/>
        <v/>
      </c>
    </row>
    <row r="6075" spans="1:3" x14ac:dyDescent="0.25">
      <c r="A6075" s="223">
        <v>1.3025749436</v>
      </c>
      <c r="B6075" s="463">
        <v>5.8888888888888886E-2</v>
      </c>
      <c r="C6075" t="str">
        <f t="shared" si="95"/>
        <v/>
      </c>
    </row>
    <row r="6076" spans="1:3" x14ac:dyDescent="0.25">
      <c r="A6076" s="223">
        <v>1.2742580970000001</v>
      </c>
      <c r="B6076" s="463">
        <v>2.1805555555555557E-2</v>
      </c>
      <c r="C6076" t="str">
        <f t="shared" si="95"/>
        <v/>
      </c>
    </row>
    <row r="6077" spans="1:3" x14ac:dyDescent="0.25">
      <c r="A6077" s="223">
        <v>1.2742580970000001</v>
      </c>
      <c r="B6077" s="463">
        <v>1.7777777777777779E-3</v>
      </c>
      <c r="C6077" t="str">
        <f t="shared" si="95"/>
        <v/>
      </c>
    </row>
    <row r="6078" spans="1:3" x14ac:dyDescent="0.25">
      <c r="A6078" s="223">
        <v>0.15291097164</v>
      </c>
      <c r="B6078" s="458">
        <v>1.9722222237999999E-6</v>
      </c>
      <c r="C6078" t="str">
        <f t="shared" si="95"/>
        <v/>
      </c>
    </row>
    <row r="6079" spans="1:3" x14ac:dyDescent="0.25">
      <c r="A6079" s="223">
        <v>0.23786151144000001</v>
      </c>
      <c r="B6079" s="458">
        <v>6.94444445E-6</v>
      </c>
      <c r="C6079" t="str">
        <f t="shared" si="95"/>
        <v/>
      </c>
    </row>
    <row r="6080" spans="1:3" x14ac:dyDescent="0.25">
      <c r="A6080" s="223">
        <v>0.33697047454000001</v>
      </c>
      <c r="B6080" s="458">
        <v>5.0000000039999992E-6</v>
      </c>
      <c r="C6080" t="str">
        <f t="shared" si="95"/>
        <v/>
      </c>
    </row>
    <row r="6081" spans="1:3" x14ac:dyDescent="0.25">
      <c r="A6081" s="223">
        <v>0.39077248308000001</v>
      </c>
      <c r="B6081" s="458">
        <v>2.2777777795999999E-5</v>
      </c>
      <c r="C6081" t="str">
        <f t="shared" si="95"/>
        <v/>
      </c>
    </row>
    <row r="6082" spans="1:3" x14ac:dyDescent="0.25">
      <c r="A6082" s="223">
        <v>0.44740617628000001</v>
      </c>
      <c r="B6082" s="458">
        <v>3.8888888919999998E-5</v>
      </c>
      <c r="C6082" t="str">
        <f t="shared" si="95"/>
        <v/>
      </c>
    </row>
    <row r="6083" spans="1:3" x14ac:dyDescent="0.25">
      <c r="A6083" s="223">
        <v>0.38227742910000001</v>
      </c>
      <c r="B6083" s="458">
        <v>1.5555555568E-5</v>
      </c>
      <c r="C6083" t="str">
        <f t="shared" si="95"/>
        <v/>
      </c>
    </row>
    <row r="6084" spans="1:3" x14ac:dyDescent="0.25">
      <c r="A6084" s="223">
        <v>0.32281205124000001</v>
      </c>
      <c r="B6084" s="458">
        <v>5.0000000039999992E-6</v>
      </c>
      <c r="C6084" t="str">
        <f t="shared" si="95"/>
        <v/>
      </c>
    </row>
    <row r="6085" spans="1:3" x14ac:dyDescent="0.25">
      <c r="A6085" s="223">
        <v>0.27467341202000001</v>
      </c>
      <c r="B6085" s="458">
        <v>2.5555555575999998E-6</v>
      </c>
      <c r="C6085" t="str">
        <f t="shared" si="95"/>
        <v/>
      </c>
    </row>
    <row r="6086" spans="1:3" x14ac:dyDescent="0.25">
      <c r="A6086" s="223">
        <v>0.22653477280000001</v>
      </c>
      <c r="B6086" s="458">
        <v>1.1944444453999998E-6</v>
      </c>
      <c r="C6086" t="str">
        <f t="shared" si="95"/>
        <v/>
      </c>
    </row>
    <row r="6087" spans="1:3" x14ac:dyDescent="0.25">
      <c r="A6087" s="223">
        <v>2.6051498872000001</v>
      </c>
      <c r="B6087" s="458">
        <v>0.178055555698</v>
      </c>
      <c r="C6087" t="str">
        <f t="shared" si="95"/>
        <v/>
      </c>
    </row>
    <row r="6088" spans="1:3" x14ac:dyDescent="0.25">
      <c r="A6088" s="223">
        <v>2.6051498872000001</v>
      </c>
      <c r="B6088" s="458">
        <v>0.134444444552</v>
      </c>
      <c r="C6088" t="str">
        <f t="shared" si="95"/>
        <v/>
      </c>
    </row>
    <row r="6089" spans="1:3" x14ac:dyDescent="0.25">
      <c r="A6089" s="223">
        <v>2.6334667338000002</v>
      </c>
      <c r="B6089" s="458">
        <v>0.10888888897599999</v>
      </c>
      <c r="C6089" t="str">
        <f t="shared" si="95"/>
        <v/>
      </c>
    </row>
    <row r="6090" spans="1:3" x14ac:dyDescent="0.25">
      <c r="A6090" s="223">
        <v>2.8316846600000001</v>
      </c>
      <c r="B6090" s="458">
        <v>0.10694444452999999</v>
      </c>
      <c r="C6090" t="str">
        <f t="shared" si="95"/>
        <v/>
      </c>
    </row>
    <row r="6091" spans="1:3" x14ac:dyDescent="0.25">
      <c r="A6091" s="223">
        <v>3.3980215920000001</v>
      </c>
      <c r="B6091" s="458">
        <v>0.37833333363599997</v>
      </c>
      <c r="C6091" t="str">
        <f t="shared" si="95"/>
        <v/>
      </c>
    </row>
    <row r="6092" spans="1:3" x14ac:dyDescent="0.25">
      <c r="A6092" s="223">
        <v>1.8972287221999999</v>
      </c>
      <c r="B6092" s="458">
        <v>2.8055555577999998E-2</v>
      </c>
      <c r="C6092" t="str">
        <f t="shared" si="95"/>
        <v/>
      </c>
    </row>
    <row r="6093" spans="1:3" x14ac:dyDescent="0.25">
      <c r="A6093" s="223">
        <v>1.8122781824</v>
      </c>
      <c r="B6093" s="458">
        <v>2.5277777797999997E-2</v>
      </c>
      <c r="C6093" t="str">
        <f t="shared" si="95"/>
        <v/>
      </c>
    </row>
    <row r="6094" spans="1:3" x14ac:dyDescent="0.25">
      <c r="A6094" s="223">
        <v>0.90613909120000002</v>
      </c>
      <c r="B6094" s="458">
        <v>6.6944444497999995E-4</v>
      </c>
      <c r="C6094" t="str">
        <f t="shared" si="95"/>
        <v/>
      </c>
    </row>
    <row r="6095" spans="1:3" x14ac:dyDescent="0.25">
      <c r="A6095" s="223">
        <v>0.73623801160000002</v>
      </c>
      <c r="B6095" s="458">
        <v>1.0833333341999999E-4</v>
      </c>
      <c r="C6095" t="str">
        <f t="shared" si="95"/>
        <v/>
      </c>
    </row>
    <row r="6096" spans="1:3" x14ac:dyDescent="0.25">
      <c r="A6096" s="223">
        <v>0.76455485820000002</v>
      </c>
      <c r="B6096" s="458">
        <v>9.1666666740000002E-5</v>
      </c>
      <c r="C6096" t="str">
        <f t="shared" si="95"/>
        <v/>
      </c>
    </row>
    <row r="6097" spans="1:3" x14ac:dyDescent="0.25">
      <c r="A6097" s="223">
        <v>0.67960431840000002</v>
      </c>
      <c r="B6097" s="458">
        <v>3.6111111139999995E-5</v>
      </c>
      <c r="C6097" t="str">
        <f t="shared" si="95"/>
        <v/>
      </c>
    </row>
    <row r="6098" spans="1:3" x14ac:dyDescent="0.25">
      <c r="A6098" s="223">
        <v>0.70792116500000002</v>
      </c>
      <c r="B6098" s="458">
        <v>6.9444444499999994E-5</v>
      </c>
      <c r="C6098" t="str">
        <f t="shared" si="95"/>
        <v/>
      </c>
    </row>
    <row r="6099" spans="1:3" x14ac:dyDescent="0.25">
      <c r="A6099" s="223">
        <v>0.67960431840000002</v>
      </c>
      <c r="B6099" s="458">
        <v>4.4444444479999996E-5</v>
      </c>
      <c r="C6099" t="str">
        <f t="shared" si="95"/>
        <v/>
      </c>
    </row>
    <row r="6100" spans="1:3" x14ac:dyDescent="0.25">
      <c r="A6100" s="223">
        <v>1.7556444892</v>
      </c>
      <c r="B6100" s="458">
        <v>1.4722222233999998E-2</v>
      </c>
      <c r="C6100" t="str">
        <f t="shared" si="95"/>
        <v/>
      </c>
    </row>
    <row r="6101" spans="1:3" x14ac:dyDescent="0.25">
      <c r="A6101" s="223">
        <v>1.699010796</v>
      </c>
      <c r="B6101" s="458">
        <v>5.8333333379999991E-3</v>
      </c>
      <c r="C6101" t="str">
        <f t="shared" si="95"/>
        <v/>
      </c>
    </row>
    <row r="6102" spans="1:3" x14ac:dyDescent="0.25">
      <c r="A6102" s="223">
        <v>1.5291097164</v>
      </c>
      <c r="B6102" s="458">
        <v>3.3333333359999995E-3</v>
      </c>
      <c r="C6102" t="str">
        <f t="shared" si="95"/>
        <v/>
      </c>
    </row>
    <row r="6103" spans="1:3" x14ac:dyDescent="0.25">
      <c r="A6103" s="223">
        <v>1.1609907106000001</v>
      </c>
      <c r="B6103" s="458">
        <v>1.0277777785999999E-3</v>
      </c>
      <c r="C6103" t="str">
        <f t="shared" si="95"/>
        <v/>
      </c>
    </row>
    <row r="6104" spans="1:3" x14ac:dyDescent="0.25">
      <c r="A6104" s="223">
        <v>0.82118855140000002</v>
      </c>
      <c r="B6104" s="458">
        <v>1.6388888901999998E-4</v>
      </c>
      <c r="C6104" t="str">
        <f t="shared" si="95"/>
        <v/>
      </c>
    </row>
    <row r="6105" spans="1:3" x14ac:dyDescent="0.25">
      <c r="A6105" s="223">
        <v>0.62297062520000002</v>
      </c>
      <c r="B6105" s="458">
        <v>3.6111111139999995E-5</v>
      </c>
      <c r="C6105" t="str">
        <f t="shared" si="95"/>
        <v/>
      </c>
    </row>
    <row r="6106" spans="1:3" x14ac:dyDescent="0.25">
      <c r="A6106" s="223">
        <v>0.45306954560000001</v>
      </c>
      <c r="B6106" s="458">
        <v>1.3333333343999999E-5</v>
      </c>
      <c r="C6106" t="str">
        <f t="shared" si="95"/>
        <v/>
      </c>
    </row>
    <row r="6107" spans="1:3" x14ac:dyDescent="0.25">
      <c r="A6107" s="223">
        <v>0.36811900580000001</v>
      </c>
      <c r="B6107" s="458">
        <v>6.1111111159999991E-6</v>
      </c>
      <c r="C6107" t="str">
        <f t="shared" si="95"/>
        <v/>
      </c>
    </row>
    <row r="6108" spans="1:3" x14ac:dyDescent="0.25">
      <c r="A6108" s="223">
        <v>0.33130710522000001</v>
      </c>
      <c r="B6108" s="458">
        <v>1.1666666676E-5</v>
      </c>
      <c r="C6108" t="str">
        <f t="shared" si="95"/>
        <v/>
      </c>
    </row>
    <row r="6109" spans="1:3" x14ac:dyDescent="0.25">
      <c r="A6109" s="223">
        <v>0.28316846600000001</v>
      </c>
      <c r="B6109" s="458">
        <v>9.7222222299999994E-6</v>
      </c>
      <c r="C6109" t="str">
        <f t="shared" si="95"/>
        <v/>
      </c>
    </row>
    <row r="6110" spans="1:3" x14ac:dyDescent="0.25">
      <c r="A6110" s="223">
        <v>0.23219814211999998</v>
      </c>
      <c r="B6110" s="458">
        <v>2.7777777799999998E-6</v>
      </c>
      <c r="C6110" t="str">
        <f t="shared" si="95"/>
        <v/>
      </c>
    </row>
    <row r="6111" spans="1:3" x14ac:dyDescent="0.25">
      <c r="A6111" s="223">
        <v>0.24069319610000001</v>
      </c>
      <c r="B6111" s="458">
        <v>1.944444446E-6</v>
      </c>
      <c r="C6111" t="str">
        <f t="shared" si="95"/>
        <v/>
      </c>
    </row>
    <row r="6112" spans="1:3" x14ac:dyDescent="0.25">
      <c r="A6112" s="223">
        <v>0.65128747180000002</v>
      </c>
      <c r="B6112" s="458">
        <v>9.4444444519999998E-5</v>
      </c>
      <c r="C6112" t="str">
        <f t="shared" si="95"/>
        <v/>
      </c>
    </row>
    <row r="6113" spans="1:3" x14ac:dyDescent="0.25">
      <c r="A6113" s="223">
        <v>0.45306954560000001</v>
      </c>
      <c r="B6113" s="458">
        <v>1.2222222231999998E-5</v>
      </c>
      <c r="C6113" t="str">
        <f t="shared" si="95"/>
        <v/>
      </c>
    </row>
    <row r="6114" spans="1:3" x14ac:dyDescent="0.25">
      <c r="A6114" s="223">
        <v>0.31148531260000001</v>
      </c>
      <c r="B6114" s="458">
        <v>3.8888888920000001E-6</v>
      </c>
      <c r="C6114" t="str">
        <f t="shared" si="95"/>
        <v/>
      </c>
    </row>
    <row r="6115" spans="1:3" x14ac:dyDescent="0.25">
      <c r="A6115" s="223">
        <v>0.25201993474000001</v>
      </c>
      <c r="B6115" s="458">
        <v>1.1944444453999998E-6</v>
      </c>
      <c r="C6115" t="str">
        <f t="shared" si="95"/>
        <v/>
      </c>
    </row>
    <row r="6116" spans="1:3" x14ac:dyDescent="0.25">
      <c r="A6116" s="223">
        <v>0.22087140348000001</v>
      </c>
      <c r="B6116" s="458">
        <v>1.2777777787999999E-6</v>
      </c>
      <c r="C6116" t="str">
        <f t="shared" si="95"/>
        <v/>
      </c>
    </row>
    <row r="6117" spans="1:3" x14ac:dyDescent="0.25">
      <c r="A6117" s="223">
        <v>0.25201993474000001</v>
      </c>
      <c r="B6117" s="458">
        <v>1.5555555567999999E-6</v>
      </c>
      <c r="C6117" t="str">
        <f t="shared" si="95"/>
        <v/>
      </c>
    </row>
    <row r="6118" spans="1:3" x14ac:dyDescent="0.25">
      <c r="A6118" s="223">
        <v>0.19255455688000001</v>
      </c>
      <c r="B6118" s="458">
        <v>2.5833333353999997E-6</v>
      </c>
      <c r="C6118" t="str">
        <f t="shared" si="95"/>
        <v/>
      </c>
    </row>
    <row r="6119" spans="1:3" x14ac:dyDescent="0.25">
      <c r="A6119" s="223">
        <v>0.19821792620000001</v>
      </c>
      <c r="B6119" s="458">
        <v>5.5555555599999995E-6</v>
      </c>
      <c r="C6119" t="str">
        <f t="shared" si="95"/>
        <v/>
      </c>
    </row>
    <row r="6120" spans="1:3" x14ac:dyDescent="0.25">
      <c r="A6120" s="223">
        <v>0.21803971882000001</v>
      </c>
      <c r="B6120" s="458">
        <v>4.4444444479999996E-7</v>
      </c>
      <c r="C6120" t="str">
        <f t="shared" si="95"/>
        <v/>
      </c>
    </row>
    <row r="6121" spans="1:3" x14ac:dyDescent="0.25">
      <c r="A6121" s="223">
        <v>0.23502982678000003</v>
      </c>
      <c r="B6121" s="458">
        <v>1.4722222233999998E-6</v>
      </c>
      <c r="C6121" t="str">
        <f t="shared" si="95"/>
        <v/>
      </c>
    </row>
    <row r="6122" spans="1:3" x14ac:dyDescent="0.25">
      <c r="A6122" s="223">
        <v>0.20388129552000001</v>
      </c>
      <c r="B6122" s="458">
        <v>7.2222222279999994E-7</v>
      </c>
      <c r="C6122" t="str">
        <f t="shared" si="95"/>
        <v/>
      </c>
    </row>
    <row r="6123" spans="1:3" x14ac:dyDescent="0.25">
      <c r="A6123" s="223">
        <v>0.23786151144000001</v>
      </c>
      <c r="B6123" s="458">
        <v>1.6111111123999997E-6</v>
      </c>
      <c r="C6123" t="str">
        <f t="shared" si="95"/>
        <v/>
      </c>
    </row>
    <row r="6124" spans="1:3" x14ac:dyDescent="0.25">
      <c r="A6124" s="223">
        <v>0.30015857396000001</v>
      </c>
      <c r="B6124" s="458">
        <v>5.0000000039999992E-6</v>
      </c>
      <c r="C6124" t="str">
        <f t="shared" si="95"/>
        <v/>
      </c>
    </row>
    <row r="6125" spans="1:3" x14ac:dyDescent="0.25">
      <c r="A6125" s="223">
        <v>0.26901004270000001</v>
      </c>
      <c r="B6125" s="458">
        <v>3.3333333359999997E-6</v>
      </c>
      <c r="C6125" t="str">
        <f t="shared" si="95"/>
        <v/>
      </c>
    </row>
    <row r="6126" spans="1:3" x14ac:dyDescent="0.25">
      <c r="A6126" s="223">
        <v>0.23219814211999998</v>
      </c>
      <c r="B6126" s="458">
        <v>3.3333333359999997E-6</v>
      </c>
      <c r="C6126" t="str">
        <f t="shared" si="95"/>
        <v/>
      </c>
    </row>
    <row r="6127" spans="1:3" x14ac:dyDescent="0.25">
      <c r="A6127" s="223">
        <v>0.26334667338000001</v>
      </c>
      <c r="B6127" s="458">
        <v>1.0000000007999999E-6</v>
      </c>
      <c r="C6127" t="str">
        <f t="shared" si="95"/>
        <v/>
      </c>
    </row>
    <row r="6128" spans="1:3" x14ac:dyDescent="0.25">
      <c r="A6128" s="223">
        <v>0.56633693200000002</v>
      </c>
      <c r="B6128" s="458">
        <v>1.1944444453999999E-4</v>
      </c>
      <c r="C6128" t="str">
        <f t="shared" si="95"/>
        <v/>
      </c>
    </row>
    <row r="6129" spans="1:3" x14ac:dyDescent="0.25">
      <c r="A6129" s="223">
        <v>0.60031714792000002</v>
      </c>
      <c r="B6129" s="458">
        <v>3.0555555579999996E-5</v>
      </c>
      <c r="C6129" t="str">
        <f t="shared" si="95"/>
        <v/>
      </c>
    </row>
    <row r="6130" spans="1:3" x14ac:dyDescent="0.25">
      <c r="A6130" s="223">
        <v>0.41908932968000001</v>
      </c>
      <c r="B6130" s="458">
        <v>3.3333333359999997E-6</v>
      </c>
      <c r="C6130" t="str">
        <f t="shared" si="95"/>
        <v/>
      </c>
    </row>
    <row r="6131" spans="1:3" x14ac:dyDescent="0.25">
      <c r="A6131" s="223">
        <v>0.36245563648000001</v>
      </c>
      <c r="B6131" s="458">
        <v>1.7222222235999999E-6</v>
      </c>
      <c r="C6131" t="str">
        <f t="shared" si="95"/>
        <v/>
      </c>
    </row>
    <row r="6132" spans="1:3" x14ac:dyDescent="0.25">
      <c r="A6132" s="223">
        <v>0.53802008540000001</v>
      </c>
      <c r="B6132" s="458">
        <v>2.3888888907999998E-4</v>
      </c>
      <c r="C6132" t="str">
        <f t="shared" si="95"/>
        <v/>
      </c>
    </row>
    <row r="6133" spans="1:3" x14ac:dyDescent="0.25">
      <c r="A6133" s="223">
        <v>1.7556444892</v>
      </c>
      <c r="B6133" s="458">
        <v>1.1944444453999999E-2</v>
      </c>
      <c r="C6133" t="str">
        <f t="shared" si="95"/>
        <v/>
      </c>
    </row>
    <row r="6134" spans="1:3" x14ac:dyDescent="0.25">
      <c r="A6134" s="223">
        <v>2.0388129552000001</v>
      </c>
      <c r="B6134" s="458">
        <v>2.5000000019999996E-2</v>
      </c>
      <c r="C6134" t="str">
        <f t="shared" si="95"/>
        <v/>
      </c>
    </row>
    <row r="6135" spans="1:3" x14ac:dyDescent="0.25">
      <c r="A6135" s="223">
        <v>2.6051498872000001</v>
      </c>
      <c r="B6135" s="458">
        <v>0.13333333343999998</v>
      </c>
      <c r="C6135" t="str">
        <f t="shared" si="95"/>
        <v/>
      </c>
    </row>
    <row r="6136" spans="1:3" x14ac:dyDescent="0.25">
      <c r="A6136" s="223">
        <v>2.2087140347999998</v>
      </c>
      <c r="B6136" s="458">
        <v>0.40555555587999997</v>
      </c>
      <c r="C6136" t="str">
        <f t="shared" si="95"/>
        <v/>
      </c>
    </row>
    <row r="6137" spans="1:3" x14ac:dyDescent="0.25">
      <c r="A6137" s="223">
        <v>1.5291097164</v>
      </c>
      <c r="B6137" s="458">
        <v>3.6111111139999999E-2</v>
      </c>
      <c r="C6137" t="str">
        <f t="shared" ref="C6137:C6200" si="96">IF(B6137=0,"XXXXXXXX","")</f>
        <v/>
      </c>
    </row>
    <row r="6138" spans="1:3" x14ac:dyDescent="0.25">
      <c r="A6138" s="223">
        <v>1.3308917901999999</v>
      </c>
      <c r="B6138" s="458">
        <v>1.7500000013999997E-2</v>
      </c>
      <c r="C6138" t="str">
        <f t="shared" si="96"/>
        <v/>
      </c>
    </row>
    <row r="6139" spans="1:3" x14ac:dyDescent="0.25">
      <c r="A6139" s="223">
        <v>1.0194064776</v>
      </c>
      <c r="B6139" s="458">
        <v>5.2777777819999995E-3</v>
      </c>
      <c r="C6139" t="str">
        <f t="shared" si="96"/>
        <v/>
      </c>
    </row>
    <row r="6140" spans="1:3" x14ac:dyDescent="0.25">
      <c r="A6140" s="223">
        <v>1.0760401708</v>
      </c>
      <c r="B6140" s="458">
        <v>5.0000000039999992E-3</v>
      </c>
      <c r="C6140" t="str">
        <f t="shared" si="96"/>
        <v/>
      </c>
    </row>
    <row r="6141" spans="1:3" x14ac:dyDescent="0.25">
      <c r="A6141" s="223">
        <v>1.4441591765999999</v>
      </c>
      <c r="B6141" s="458">
        <v>2.1666666683999997E-2</v>
      </c>
      <c r="C6141" t="str">
        <f t="shared" si="96"/>
        <v/>
      </c>
    </row>
    <row r="6142" spans="1:3" x14ac:dyDescent="0.25">
      <c r="A6142" s="223">
        <v>1.7556444892</v>
      </c>
      <c r="B6142" s="458">
        <v>7.2222222279999998E-2</v>
      </c>
      <c r="C6142" t="str">
        <f t="shared" si="96"/>
        <v/>
      </c>
    </row>
    <row r="6143" spans="1:3" x14ac:dyDescent="0.25">
      <c r="A6143" s="223">
        <v>2.0954466484000003</v>
      </c>
      <c r="B6143" s="458">
        <v>0.14527777789399998</v>
      </c>
      <c r="C6143" t="str">
        <f t="shared" si="96"/>
        <v/>
      </c>
    </row>
    <row r="6144" spans="1:3" x14ac:dyDescent="0.25">
      <c r="A6144" s="223">
        <f>0.68*(0.028317)</f>
        <v>1.9255560000000001E-2</v>
      </c>
      <c r="B6144" s="458">
        <v>3.6111111111111107E-7</v>
      </c>
      <c r="C6144" t="str">
        <f t="shared" si="96"/>
        <v/>
      </c>
    </row>
    <row r="6145" spans="1:3" x14ac:dyDescent="0.25">
      <c r="A6145" s="223">
        <f>0.67*(0.028317)</f>
        <v>1.8972389999999999E-2</v>
      </c>
      <c r="B6145" s="458">
        <v>3.333333333333333E-7</v>
      </c>
      <c r="C6145" t="str">
        <f t="shared" si="96"/>
        <v/>
      </c>
    </row>
    <row r="6146" spans="1:3" x14ac:dyDescent="0.25">
      <c r="A6146" s="223">
        <f>0.68*(0.028317)</f>
        <v>1.9255560000000001E-2</v>
      </c>
      <c r="B6146" s="458">
        <v>7.2222222222222225E-7</v>
      </c>
      <c r="C6146" t="str">
        <f t="shared" si="96"/>
        <v/>
      </c>
    </row>
    <row r="6147" spans="1:3" x14ac:dyDescent="0.25">
      <c r="A6147" s="223">
        <f>0.68*(0.028317)</f>
        <v>1.9255560000000001E-2</v>
      </c>
      <c r="B6147" s="458">
        <v>4.9999999999999998E-7</v>
      </c>
      <c r="C6147" t="str">
        <f t="shared" si="96"/>
        <v/>
      </c>
    </row>
    <row r="6148" spans="1:3" x14ac:dyDescent="0.25">
      <c r="A6148" s="223">
        <f>0.67*(0.028317)</f>
        <v>1.8972389999999999E-2</v>
      </c>
      <c r="B6148" s="458">
        <v>6.3888888888888894E-7</v>
      </c>
      <c r="C6148" t="str">
        <f t="shared" si="96"/>
        <v/>
      </c>
    </row>
    <row r="6149" spans="1:3" x14ac:dyDescent="0.25">
      <c r="A6149" s="223">
        <f>0.67*(0.028317)</f>
        <v>1.8972389999999999E-2</v>
      </c>
      <c r="B6149" s="458">
        <v>1.0277777777777777E-7</v>
      </c>
      <c r="C6149" t="str">
        <f t="shared" si="96"/>
        <v/>
      </c>
    </row>
    <row r="6150" spans="1:3" x14ac:dyDescent="0.25">
      <c r="A6150" s="223">
        <f>0.68*(0.028317)</f>
        <v>1.9255560000000001E-2</v>
      </c>
      <c r="B6150" s="458">
        <v>1.7777777777777779E-7</v>
      </c>
      <c r="C6150" t="str">
        <f t="shared" si="96"/>
        <v/>
      </c>
    </row>
    <row r="6151" spans="1:3" x14ac:dyDescent="0.25">
      <c r="A6151" s="223">
        <f>0.68*(0.028317)</f>
        <v>1.9255560000000001E-2</v>
      </c>
      <c r="B6151" s="458">
        <v>1.6111111111111111E-7</v>
      </c>
      <c r="C6151" t="str">
        <f t="shared" si="96"/>
        <v/>
      </c>
    </row>
    <row r="6152" spans="1:3" x14ac:dyDescent="0.25">
      <c r="A6152" s="223">
        <f>0.69*(0.028317)</f>
        <v>1.9538729999999997E-2</v>
      </c>
      <c r="B6152" s="458">
        <v>1.2499999999999999E-7</v>
      </c>
      <c r="C6152" t="str">
        <f t="shared" si="96"/>
        <v/>
      </c>
    </row>
    <row r="6153" spans="1:3" x14ac:dyDescent="0.25">
      <c r="A6153" s="223">
        <f>0.72*(0.028317)</f>
        <v>2.0388239999999998E-2</v>
      </c>
      <c r="B6153" s="458">
        <v>1.1388888888888888E-7</v>
      </c>
      <c r="C6153" t="str">
        <f t="shared" si="96"/>
        <v/>
      </c>
    </row>
    <row r="6154" spans="1:3" x14ac:dyDescent="0.25">
      <c r="A6154" s="223">
        <f>0.76*(0.028317)</f>
        <v>2.1520919999999999E-2</v>
      </c>
      <c r="B6154" s="458">
        <v>3.8888888888888889E-7</v>
      </c>
      <c r="C6154" t="str">
        <f t="shared" si="96"/>
        <v/>
      </c>
    </row>
    <row r="6155" spans="1:3" x14ac:dyDescent="0.25">
      <c r="A6155" s="223">
        <f>0.78*(0.028317)</f>
        <v>2.2087260000000001E-2</v>
      </c>
      <c r="B6155" s="458">
        <v>1.4166666666666668E-7</v>
      </c>
      <c r="C6155" t="str">
        <f t="shared" si="96"/>
        <v/>
      </c>
    </row>
    <row r="6156" spans="1:3" x14ac:dyDescent="0.25">
      <c r="A6156" s="223">
        <f>0.79*(0.028317)</f>
        <v>2.237043E-2</v>
      </c>
      <c r="B6156" s="458">
        <v>1.1944444444444442E-7</v>
      </c>
      <c r="C6156" t="str">
        <f t="shared" si="96"/>
        <v/>
      </c>
    </row>
    <row r="6157" spans="1:3" x14ac:dyDescent="0.25">
      <c r="A6157" s="223">
        <f>0.79*(0.028317)</f>
        <v>2.237043E-2</v>
      </c>
      <c r="B6157" s="458">
        <v>4.9999999999999991E-8</v>
      </c>
      <c r="C6157" t="str">
        <f t="shared" si="96"/>
        <v/>
      </c>
    </row>
    <row r="6158" spans="1:3" x14ac:dyDescent="0.25">
      <c r="A6158" s="223">
        <f>1.05*(0.028317)</f>
        <v>2.9732849999999998E-2</v>
      </c>
      <c r="B6158" s="458">
        <v>3.333333333333333E-7</v>
      </c>
      <c r="C6158" t="str">
        <f t="shared" si="96"/>
        <v/>
      </c>
    </row>
    <row r="6159" spans="1:3" x14ac:dyDescent="0.25">
      <c r="A6159" s="223">
        <f>1.41*(0.028317)</f>
        <v>3.9926969999999992E-2</v>
      </c>
      <c r="B6159" s="458">
        <v>5.3333333333333328E-6</v>
      </c>
      <c r="C6159" t="str">
        <f t="shared" si="96"/>
        <v/>
      </c>
    </row>
    <row r="6160" spans="1:3" x14ac:dyDescent="0.25">
      <c r="A6160" s="223">
        <f>0.98*(0.028317)</f>
        <v>2.7750659999999996E-2</v>
      </c>
      <c r="B6160" s="458">
        <v>3.8888888888888889E-7</v>
      </c>
      <c r="C6160" t="str">
        <f t="shared" si="96"/>
        <v/>
      </c>
    </row>
    <row r="6161" spans="1:3" x14ac:dyDescent="0.25">
      <c r="A6161" s="223">
        <f>0.89*(0.028317)</f>
        <v>2.520213E-2</v>
      </c>
      <c r="B6161" s="458">
        <v>1.0833333333333332E-7</v>
      </c>
      <c r="C6161" t="str">
        <f t="shared" si="96"/>
        <v/>
      </c>
    </row>
    <row r="6162" spans="1:3" x14ac:dyDescent="0.25">
      <c r="A6162" s="223">
        <f>1.75*(0.028317)</f>
        <v>4.9554749999999995E-2</v>
      </c>
      <c r="B6162" s="458">
        <v>5.5555555555555562E-7</v>
      </c>
      <c r="C6162" t="str">
        <f t="shared" si="96"/>
        <v/>
      </c>
    </row>
    <row r="6163" spans="1:3" x14ac:dyDescent="0.25">
      <c r="A6163" s="223">
        <f>1.34*(0.028317)</f>
        <v>3.7944779999999997E-2</v>
      </c>
      <c r="B6163" s="458">
        <v>8.8888888888888887E-7</v>
      </c>
      <c r="C6163" t="str">
        <f t="shared" si="96"/>
        <v/>
      </c>
    </row>
    <row r="6164" spans="1:3" x14ac:dyDescent="0.25">
      <c r="A6164" s="223">
        <f>1.03*(0.028317)</f>
        <v>2.916651E-2</v>
      </c>
      <c r="B6164" s="458">
        <v>5.2777777777777775E-7</v>
      </c>
      <c r="C6164" t="str">
        <f t="shared" si="96"/>
        <v/>
      </c>
    </row>
    <row r="6165" spans="1:3" x14ac:dyDescent="0.25">
      <c r="A6165" s="223">
        <f>1.01*(0.028317)</f>
        <v>2.8600169999999998E-2</v>
      </c>
      <c r="B6165" s="458">
        <v>6.3888888888888894E-7</v>
      </c>
      <c r="C6165" t="str">
        <f t="shared" si="96"/>
        <v/>
      </c>
    </row>
    <row r="6166" spans="1:3" x14ac:dyDescent="0.25">
      <c r="A6166" s="223">
        <f>1.46*(0.028317)</f>
        <v>4.1342819999999995E-2</v>
      </c>
      <c r="B6166" s="458">
        <v>7.5000000000000002E-7</v>
      </c>
      <c r="C6166" t="str">
        <f t="shared" si="96"/>
        <v/>
      </c>
    </row>
    <row r="6167" spans="1:3" x14ac:dyDescent="0.25">
      <c r="A6167" s="223">
        <f>1.52*(0.028317)</f>
        <v>4.3041839999999998E-2</v>
      </c>
      <c r="B6167" s="458">
        <v>2.6944444444444442E-7</v>
      </c>
      <c r="C6167" t="str">
        <f t="shared" si="96"/>
        <v/>
      </c>
    </row>
    <row r="6168" spans="1:3" x14ac:dyDescent="0.25">
      <c r="A6168" s="223">
        <f>1.3*(0.028317)</f>
        <v>3.68121E-2</v>
      </c>
      <c r="B6168" s="458">
        <v>1.0277777777777779E-6</v>
      </c>
      <c r="C6168" t="str">
        <f t="shared" si="96"/>
        <v/>
      </c>
    </row>
    <row r="6169" spans="1:3" x14ac:dyDescent="0.25">
      <c r="A6169" s="223">
        <f>1.38*(0.028317)</f>
        <v>3.9077459999999994E-2</v>
      </c>
      <c r="B6169" s="458">
        <v>8.8888888888888887E-7</v>
      </c>
      <c r="C6169" t="str">
        <f t="shared" si="96"/>
        <v/>
      </c>
    </row>
    <row r="6170" spans="1:3" x14ac:dyDescent="0.25">
      <c r="A6170" s="223">
        <f>1.5*(0.028317)</f>
        <v>4.2475499999999999E-2</v>
      </c>
      <c r="B6170" s="458">
        <v>9.7222222222222218E-7</v>
      </c>
      <c r="C6170" t="str">
        <f t="shared" si="96"/>
        <v/>
      </c>
    </row>
    <row r="6171" spans="1:3" x14ac:dyDescent="0.25">
      <c r="A6171" s="223">
        <f>2.3*(0.028317)</f>
        <v>6.5129099999999995E-2</v>
      </c>
      <c r="B6171" s="458">
        <v>8.8888888888888887E-7</v>
      </c>
      <c r="C6171" t="str">
        <f t="shared" si="96"/>
        <v/>
      </c>
    </row>
    <row r="6172" spans="1:3" x14ac:dyDescent="0.25">
      <c r="A6172" s="223">
        <f>2.5*(0.028317)</f>
        <v>7.0792499999999994E-2</v>
      </c>
      <c r="B6172" s="458">
        <v>8.0555555555555545E-7</v>
      </c>
      <c r="C6172" t="str">
        <f t="shared" si="96"/>
        <v/>
      </c>
    </row>
    <row r="6173" spans="1:3" x14ac:dyDescent="0.25">
      <c r="A6173" s="223">
        <f>1.62*(0.028317)</f>
        <v>4.5873539999999997E-2</v>
      </c>
      <c r="B6173" s="458">
        <v>7.7777777777777779E-7</v>
      </c>
      <c r="C6173" t="str">
        <f t="shared" si="96"/>
        <v/>
      </c>
    </row>
    <row r="6174" spans="1:3" x14ac:dyDescent="0.25">
      <c r="A6174" s="223">
        <f>1.36*(0.028317)</f>
        <v>3.8511120000000003E-2</v>
      </c>
      <c r="B6174" s="458">
        <v>5.5555555555555562E-7</v>
      </c>
      <c r="C6174" t="str">
        <f t="shared" si="96"/>
        <v/>
      </c>
    </row>
    <row r="6175" spans="1:3" x14ac:dyDescent="0.25">
      <c r="A6175" s="223">
        <f>1.66*(0.028317)</f>
        <v>4.7006219999999994E-2</v>
      </c>
      <c r="B6175" s="458">
        <v>7.2222222222222225E-7</v>
      </c>
      <c r="C6175" t="str">
        <f t="shared" si="96"/>
        <v/>
      </c>
    </row>
    <row r="6176" spans="1:3" x14ac:dyDescent="0.25">
      <c r="A6176" s="223">
        <f>1.3*(0.028317)</f>
        <v>3.68121E-2</v>
      </c>
      <c r="B6176" s="458">
        <v>1.0555555555555555E-6</v>
      </c>
      <c r="C6176" t="str">
        <f t="shared" si="96"/>
        <v/>
      </c>
    </row>
    <row r="6177" spans="1:3" x14ac:dyDescent="0.25">
      <c r="A6177" s="223">
        <f>3.1*(0.028317)</f>
        <v>8.7782699999999991E-2</v>
      </c>
      <c r="B6177" s="458">
        <v>9.9999999999999995E-7</v>
      </c>
      <c r="C6177" t="str">
        <f t="shared" si="96"/>
        <v/>
      </c>
    </row>
    <row r="6178" spans="1:3" x14ac:dyDescent="0.25">
      <c r="A6178" s="223">
        <f>2.6*(0.028317)</f>
        <v>7.3624200000000001E-2</v>
      </c>
      <c r="B6178" s="458">
        <v>2.9444444444444445E-6</v>
      </c>
      <c r="C6178" t="str">
        <f t="shared" si="96"/>
        <v/>
      </c>
    </row>
    <row r="6179" spans="1:3" x14ac:dyDescent="0.25">
      <c r="A6179" s="223">
        <f>2.1*(0.028317)</f>
        <v>5.9465699999999996E-2</v>
      </c>
      <c r="B6179" s="458">
        <v>7.5000000000000002E-7</v>
      </c>
      <c r="C6179" t="str">
        <f t="shared" si="96"/>
        <v/>
      </c>
    </row>
    <row r="6180" spans="1:3" x14ac:dyDescent="0.25">
      <c r="A6180" s="223">
        <f>2.5*(0.028317)</f>
        <v>7.0792499999999994E-2</v>
      </c>
      <c r="B6180" s="458">
        <v>2.6111111111111109E-6</v>
      </c>
      <c r="C6180" t="str">
        <f t="shared" si="96"/>
        <v/>
      </c>
    </row>
    <row r="6181" spans="1:3" x14ac:dyDescent="0.25">
      <c r="A6181" s="223">
        <f>5.1*(0.028317)</f>
        <v>0.14441669999999998</v>
      </c>
      <c r="B6181" s="458">
        <v>2.6111111111111109E-6</v>
      </c>
      <c r="C6181" t="str">
        <f t="shared" si="96"/>
        <v/>
      </c>
    </row>
    <row r="6182" spans="1:3" x14ac:dyDescent="0.25">
      <c r="A6182" s="223">
        <f>6.5*(0.028317)</f>
        <v>0.18406049999999999</v>
      </c>
      <c r="B6182" s="458">
        <v>3.5555555555555555E-6</v>
      </c>
      <c r="C6182" t="str">
        <f t="shared" si="96"/>
        <v/>
      </c>
    </row>
    <row r="6183" spans="1:3" x14ac:dyDescent="0.25">
      <c r="A6183" s="223">
        <f>5*(0.028317)</f>
        <v>0.14158499999999999</v>
      </c>
      <c r="B6183" s="458">
        <v>1.2222222222222221E-6</v>
      </c>
      <c r="C6183" t="str">
        <f t="shared" si="96"/>
        <v/>
      </c>
    </row>
    <row r="6184" spans="1:3" x14ac:dyDescent="0.25">
      <c r="A6184" s="223">
        <f>4.4*(0.028317)</f>
        <v>0.12459480000000001</v>
      </c>
      <c r="B6184" s="458">
        <v>1.1944444444444446E-6</v>
      </c>
      <c r="C6184" t="str">
        <f t="shared" si="96"/>
        <v/>
      </c>
    </row>
    <row r="6185" spans="1:3" x14ac:dyDescent="0.25">
      <c r="A6185" s="223">
        <f>3.8*(0.028317)</f>
        <v>0.10760459999999999</v>
      </c>
      <c r="B6185" s="458">
        <v>9.9999999999999995E-7</v>
      </c>
      <c r="C6185" t="str">
        <f t="shared" si="96"/>
        <v/>
      </c>
    </row>
    <row r="6186" spans="1:3" x14ac:dyDescent="0.25">
      <c r="A6186" s="223">
        <f>8.5*(0.028317)</f>
        <v>0.24069449999999998</v>
      </c>
      <c r="B6186" s="458">
        <v>1.1388888888888888E-5</v>
      </c>
      <c r="C6186" t="str">
        <f t="shared" si="96"/>
        <v/>
      </c>
    </row>
    <row r="6187" spans="1:3" x14ac:dyDescent="0.25">
      <c r="A6187" s="223">
        <f>22*(0.028317)</f>
        <v>0.62297399999999992</v>
      </c>
      <c r="B6187" s="458">
        <v>8.8888888888888893E-4</v>
      </c>
      <c r="C6187" t="str">
        <f t="shared" si="96"/>
        <v/>
      </c>
    </row>
    <row r="6188" spans="1:3" x14ac:dyDescent="0.25">
      <c r="A6188" s="223">
        <f>18*(0.028317)</f>
        <v>0.50970599999999999</v>
      </c>
      <c r="B6188" s="458">
        <v>1.0277777777777778E-3</v>
      </c>
      <c r="C6188" t="str">
        <f t="shared" si="96"/>
        <v/>
      </c>
    </row>
    <row r="6189" spans="1:3" x14ac:dyDescent="0.25">
      <c r="A6189" s="223">
        <f>7.9*(0.028317)</f>
        <v>0.22370429999999999</v>
      </c>
      <c r="B6189" s="458">
        <v>1.3611111111111114E-6</v>
      </c>
      <c r="C6189" t="str">
        <f t="shared" si="96"/>
        <v/>
      </c>
    </row>
    <row r="6190" spans="1:3" x14ac:dyDescent="0.25">
      <c r="A6190" s="223">
        <f>5.2*(0.028317)</f>
        <v>0.1472484</v>
      </c>
      <c r="B6190" s="458">
        <v>5.555555555555555E-6</v>
      </c>
      <c r="C6190" t="str">
        <f t="shared" si="96"/>
        <v/>
      </c>
    </row>
    <row r="6191" spans="1:3" x14ac:dyDescent="0.25">
      <c r="A6191" s="223">
        <f>3.3*(0.028317)</f>
        <v>9.344609999999999E-2</v>
      </c>
      <c r="B6191" s="458">
        <v>1.0277777777777779E-6</v>
      </c>
      <c r="C6191" t="str">
        <f t="shared" si="96"/>
        <v/>
      </c>
    </row>
    <row r="6192" spans="1:3" x14ac:dyDescent="0.25">
      <c r="A6192" s="223">
        <f>2.4*(0.028317)</f>
        <v>6.7960799999999988E-2</v>
      </c>
      <c r="B6192" s="458">
        <v>1.2777777777777779E-6</v>
      </c>
      <c r="C6192" t="str">
        <f t="shared" si="96"/>
        <v/>
      </c>
    </row>
    <row r="6193" spans="1:3" x14ac:dyDescent="0.25">
      <c r="A6193" s="223">
        <f>2*(0.028317)</f>
        <v>5.6633999999999997E-2</v>
      </c>
      <c r="B6193" s="458">
        <v>5.4444444444444443E-7</v>
      </c>
      <c r="C6193" t="str">
        <f t="shared" si="96"/>
        <v/>
      </c>
    </row>
    <row r="6194" spans="1:3" x14ac:dyDescent="0.25">
      <c r="A6194" s="223">
        <f>1.8*(0.028317)</f>
        <v>5.0970599999999998E-2</v>
      </c>
      <c r="B6194" s="458">
        <v>4.1666666666666667E-7</v>
      </c>
      <c r="C6194" t="str">
        <f t="shared" si="96"/>
        <v/>
      </c>
    </row>
    <row r="6195" spans="1:3" x14ac:dyDescent="0.25">
      <c r="A6195" s="223">
        <f>1.57*(0.028317)</f>
        <v>4.4457690000000001E-2</v>
      </c>
      <c r="B6195" s="458">
        <v>5.5555555555555562E-7</v>
      </c>
      <c r="C6195" t="str">
        <f t="shared" si="96"/>
        <v/>
      </c>
    </row>
    <row r="6196" spans="1:3" x14ac:dyDescent="0.25">
      <c r="A6196" s="223">
        <f>2.1*(0.028317)</f>
        <v>5.9465699999999996E-2</v>
      </c>
      <c r="B6196" s="458">
        <v>3.8888888888888889E-7</v>
      </c>
      <c r="C6196" t="str">
        <f t="shared" si="96"/>
        <v/>
      </c>
    </row>
    <row r="6197" spans="1:3" x14ac:dyDescent="0.25">
      <c r="A6197" s="388">
        <v>1.6661943893454236</v>
      </c>
      <c r="B6197" s="464">
        <v>9.3539146254666659E-3</v>
      </c>
      <c r="C6197" t="str">
        <f t="shared" si="96"/>
        <v/>
      </c>
    </row>
    <row r="6198" spans="1:3" x14ac:dyDescent="0.25">
      <c r="A6198" s="388">
        <v>1.8617172003400397</v>
      </c>
      <c r="B6198" s="464">
        <v>3.8303923392000003E-3</v>
      </c>
      <c r="C6198" t="str">
        <f t="shared" si="96"/>
        <v/>
      </c>
    </row>
    <row r="6199" spans="1:3" x14ac:dyDescent="0.25">
      <c r="A6199" s="388">
        <v>1.5077925758005102</v>
      </c>
      <c r="B6199" s="464">
        <v>5.3178426976266671E-3</v>
      </c>
      <c r="C6199" t="str">
        <f t="shared" si="96"/>
        <v/>
      </c>
    </row>
    <row r="6200" spans="1:3" x14ac:dyDescent="0.25">
      <c r="A6200" s="388">
        <v>1.198923207707566</v>
      </c>
      <c r="B6200" s="464">
        <v>2.358661949333333E-3</v>
      </c>
      <c r="C6200" t="str">
        <f t="shared" si="96"/>
        <v/>
      </c>
    </row>
    <row r="6201" spans="1:3" x14ac:dyDescent="0.25">
      <c r="A6201" s="388">
        <v>0.75857183338056111</v>
      </c>
      <c r="B6201" s="464">
        <v>3.7986590693333336E-3</v>
      </c>
      <c r="C6201" t="str">
        <f t="shared" ref="C6201:C6264" si="97">IF(B6201=0,"XXXXXXXX","")</f>
        <v/>
      </c>
    </row>
    <row r="6202" spans="1:3" x14ac:dyDescent="0.25">
      <c r="A6202" s="388">
        <v>1.1623689430433553</v>
      </c>
      <c r="B6202" s="464">
        <v>2.2276980445949997E-2</v>
      </c>
      <c r="C6202" t="str">
        <f t="shared" si="97"/>
        <v/>
      </c>
    </row>
    <row r="6203" spans="1:3" x14ac:dyDescent="0.25">
      <c r="A6203" s="388">
        <v>1.5466137716066874</v>
      </c>
      <c r="B6203" s="464">
        <v>2.2808054383799996E-2</v>
      </c>
      <c r="C6203" t="str">
        <f t="shared" si="97"/>
        <v/>
      </c>
    </row>
    <row r="6204" spans="1:3" x14ac:dyDescent="0.25">
      <c r="A6204" s="388">
        <v>2.8543496741286485</v>
      </c>
      <c r="B6204" s="464">
        <v>7.283422933125E-2</v>
      </c>
      <c r="C6204" t="str">
        <f t="shared" si="97"/>
        <v/>
      </c>
    </row>
    <row r="6205" spans="1:3" x14ac:dyDescent="0.25">
      <c r="A6205" s="388">
        <v>1.3312553131198639</v>
      </c>
      <c r="B6205" s="464">
        <v>3.8030607271966665E-2</v>
      </c>
      <c r="C6205" t="str">
        <f t="shared" si="97"/>
        <v/>
      </c>
    </row>
    <row r="6206" spans="1:3" x14ac:dyDescent="0.25">
      <c r="A6206" s="388">
        <v>1.2315103428733354</v>
      </c>
      <c r="B6206" s="464">
        <v>1.7351115297699997E-2</v>
      </c>
      <c r="C6206" t="str">
        <f t="shared" si="97"/>
        <v/>
      </c>
    </row>
    <row r="6207" spans="1:3" x14ac:dyDescent="0.25">
      <c r="A6207" s="388">
        <v>1.1428166619438935</v>
      </c>
      <c r="B6207" s="464">
        <v>4.9713567239333331E-2</v>
      </c>
      <c r="C6207" t="str">
        <f t="shared" si="97"/>
        <v/>
      </c>
    </row>
    <row r="6208" spans="1:3" x14ac:dyDescent="0.25">
      <c r="A6208" s="388">
        <v>1.5171436667611222</v>
      </c>
      <c r="B6208" s="464">
        <v>3.5472504054850001E-2</v>
      </c>
      <c r="C6208" t="str">
        <f t="shared" si="97"/>
        <v/>
      </c>
    </row>
    <row r="6209" spans="1:3" x14ac:dyDescent="0.25">
      <c r="A6209" s="388">
        <v>1.1833380561065456</v>
      </c>
      <c r="B6209" s="464">
        <v>2.8076385513783334E-2</v>
      </c>
      <c r="C6209" t="str">
        <f t="shared" si="97"/>
        <v/>
      </c>
    </row>
    <row r="6210" spans="1:3" x14ac:dyDescent="0.25">
      <c r="A6210" s="388">
        <v>1.0484556531595353</v>
      </c>
      <c r="B6210" s="464">
        <v>2.880716738555E-2</v>
      </c>
      <c r="C6210" t="str">
        <f t="shared" si="97"/>
        <v/>
      </c>
    </row>
    <row r="6211" spans="1:3" x14ac:dyDescent="0.25">
      <c r="A6211" s="388">
        <v>4.1105128931708705</v>
      </c>
      <c r="B6211" s="464">
        <v>0.40546905572693337</v>
      </c>
      <c r="C6211" t="str">
        <f t="shared" si="97"/>
        <v/>
      </c>
    </row>
    <row r="6212" spans="1:3" x14ac:dyDescent="0.25">
      <c r="A6212" s="388">
        <v>2.1402663644091811</v>
      </c>
      <c r="B6212" s="464">
        <v>9.1069401194166649E-2</v>
      </c>
      <c r="C6212" t="str">
        <f t="shared" si="97"/>
        <v/>
      </c>
    </row>
    <row r="6213" spans="1:3" x14ac:dyDescent="0.25">
      <c r="A6213" s="388">
        <v>0.90875602153584589</v>
      </c>
      <c r="B6213" s="464">
        <v>2.7566328200566665E-2</v>
      </c>
      <c r="C6213" t="str">
        <f t="shared" si="97"/>
        <v/>
      </c>
    </row>
    <row r="6214" spans="1:3" x14ac:dyDescent="0.25">
      <c r="A6214" s="388">
        <v>1.82672967</v>
      </c>
      <c r="B6214" s="464">
        <v>4.929990139999999E-3</v>
      </c>
      <c r="C6214" t="str">
        <f t="shared" si="97"/>
        <v/>
      </c>
    </row>
    <row r="6215" spans="1:3" x14ac:dyDescent="0.25">
      <c r="A6215" s="388">
        <v>2.3355861600000001</v>
      </c>
      <c r="B6215" s="464">
        <v>1.0879978240000001E-2</v>
      </c>
      <c r="C6215" t="str">
        <f t="shared" si="97"/>
        <v/>
      </c>
    </row>
    <row r="6216" spans="1:3" x14ac:dyDescent="0.25">
      <c r="A6216" s="388">
        <v>1.60670658</v>
      </c>
      <c r="B6216" s="464">
        <v>1.9967960063999998E-3</v>
      </c>
      <c r="C6216" t="str">
        <f t="shared" si="97"/>
        <v/>
      </c>
    </row>
    <row r="6217" spans="1:3" x14ac:dyDescent="0.25">
      <c r="A6217" s="388">
        <v>0.79542452999999991</v>
      </c>
      <c r="B6217" s="464">
        <v>1.151997696E-4</v>
      </c>
      <c r="C6217" t="str">
        <f t="shared" si="97"/>
        <v/>
      </c>
    </row>
    <row r="6218" spans="1:3" x14ac:dyDescent="0.25">
      <c r="A6218" s="388">
        <v>1.2620886899999999</v>
      </c>
      <c r="B6218" s="464">
        <v>2.4777450445E-3</v>
      </c>
      <c r="C6218" t="str">
        <f t="shared" si="97"/>
        <v/>
      </c>
    </row>
    <row r="6219" spans="1:3" x14ac:dyDescent="0.25">
      <c r="A6219" s="388">
        <v>1.0808598899999999</v>
      </c>
      <c r="B6219" s="464">
        <v>8.095483808999998E-4</v>
      </c>
      <c r="C6219" t="str">
        <f t="shared" si="97"/>
        <v/>
      </c>
    </row>
    <row r="6220" spans="1:3" x14ac:dyDescent="0.25">
      <c r="A6220" s="388">
        <v>1.2918215399999999</v>
      </c>
      <c r="B6220" s="464">
        <v>5.5667471998166662E-3</v>
      </c>
      <c r="C6220" t="str">
        <f t="shared" si="97"/>
        <v/>
      </c>
    </row>
    <row r="6221" spans="1:3" x14ac:dyDescent="0.25">
      <c r="A6221" s="388">
        <v>1.48126227</v>
      </c>
      <c r="B6221" s="464">
        <v>1.1144227711499999E-2</v>
      </c>
      <c r="C6221" t="str">
        <f t="shared" si="97"/>
        <v/>
      </c>
    </row>
    <row r="6222" spans="1:3" x14ac:dyDescent="0.25">
      <c r="A6222" s="388">
        <v>2.2950928499999996</v>
      </c>
      <c r="B6222" s="464">
        <v>5.6789219754666666E-3</v>
      </c>
      <c r="C6222" t="str">
        <f t="shared" si="97"/>
        <v/>
      </c>
    </row>
    <row r="6223" spans="1:3" x14ac:dyDescent="0.25">
      <c r="A6223" s="388">
        <v>1.9221579599999998</v>
      </c>
      <c r="B6223" s="464">
        <v>4.2047290905250001E-2</v>
      </c>
      <c r="C6223" t="str">
        <f t="shared" si="97"/>
        <v/>
      </c>
    </row>
    <row r="6224" spans="1:3" x14ac:dyDescent="0.25">
      <c r="A6224" s="388">
        <v>1.2439658099999999</v>
      </c>
      <c r="B6224" s="464">
        <v>8.2380501905333324E-3</v>
      </c>
      <c r="C6224" t="str">
        <f t="shared" si="97"/>
        <v/>
      </c>
    </row>
    <row r="6225" spans="1:3" x14ac:dyDescent="0.25">
      <c r="A6225" s="388">
        <v>1.2867667894587702</v>
      </c>
      <c r="B6225" s="464">
        <v>7.9166508333333337E-3</v>
      </c>
      <c r="C6225" t="str">
        <f t="shared" si="97"/>
        <v/>
      </c>
    </row>
    <row r="6226" spans="1:3" x14ac:dyDescent="0.25">
      <c r="A6226" s="388">
        <v>1.7769906489090395</v>
      </c>
      <c r="B6226" s="464">
        <v>8.7447825103999982E-2</v>
      </c>
      <c r="C6226" t="str">
        <f t="shared" si="97"/>
        <v/>
      </c>
    </row>
    <row r="6227" spans="1:3" x14ac:dyDescent="0.25">
      <c r="A6227" s="388">
        <v>1.2196089543780109</v>
      </c>
      <c r="B6227" s="464">
        <v>1.785383095893333E-2</v>
      </c>
      <c r="C6227" t="str">
        <f t="shared" si="97"/>
        <v/>
      </c>
    </row>
    <row r="6228" spans="1:3" x14ac:dyDescent="0.25">
      <c r="A6228" s="388">
        <v>1.1980731085293286</v>
      </c>
      <c r="B6228" s="464">
        <v>8.6437493791333333E-3</v>
      </c>
      <c r="C6228" t="str">
        <f t="shared" si="97"/>
        <v/>
      </c>
    </row>
    <row r="6229" spans="1:3" x14ac:dyDescent="0.25">
      <c r="A6229" s="388">
        <v>3.446585434967413</v>
      </c>
      <c r="B6229" s="464">
        <v>6.7547239905249995E-2</v>
      </c>
      <c r="C6229" t="str">
        <f t="shared" si="97"/>
        <v/>
      </c>
    </row>
    <row r="6230" spans="1:3" x14ac:dyDescent="0.25">
      <c r="A6230" s="388">
        <v>3.8747520544063478</v>
      </c>
      <c r="B6230" s="464">
        <v>0.25114883103466662</v>
      </c>
      <c r="C6230" t="str">
        <f t="shared" si="97"/>
        <v/>
      </c>
    </row>
    <row r="6231" spans="1:3" x14ac:dyDescent="0.25">
      <c r="A6231" s="388">
        <v>0.93454236327571538</v>
      </c>
      <c r="B6231" s="464">
        <v>1.6875316249299999E-2</v>
      </c>
      <c r="C6231" t="str">
        <f t="shared" si="97"/>
        <v/>
      </c>
    </row>
    <row r="6232" spans="1:3" x14ac:dyDescent="0.25">
      <c r="A6232" s="388">
        <v>1.8347973930291868</v>
      </c>
      <c r="B6232" s="464">
        <v>6.0664878669999998E-2</v>
      </c>
      <c r="C6232" t="str">
        <f t="shared" si="97"/>
        <v/>
      </c>
    </row>
    <row r="6233" spans="1:3" x14ac:dyDescent="0.25">
      <c r="A6233" s="388">
        <v>1.8209124397846417</v>
      </c>
      <c r="B6233" s="464">
        <v>9.7380405238799997E-2</v>
      </c>
      <c r="C6233" t="str">
        <f t="shared" si="97"/>
        <v/>
      </c>
    </row>
    <row r="6234" spans="1:3" x14ac:dyDescent="0.25">
      <c r="A6234" s="388">
        <v>1.5539812978180789</v>
      </c>
      <c r="B6234" s="464">
        <v>2.5977181378866669E-2</v>
      </c>
      <c r="C6234" t="str">
        <f t="shared" si="97"/>
        <v/>
      </c>
    </row>
    <row r="6235" spans="1:3" x14ac:dyDescent="0.25">
      <c r="A6235" s="388">
        <v>0.6931141966562766</v>
      </c>
      <c r="B6235" s="464">
        <v>1.4035971927999998E-3</v>
      </c>
      <c r="C6235" t="str">
        <f t="shared" si="97"/>
        <v/>
      </c>
    </row>
    <row r="6236" spans="1:3" x14ac:dyDescent="0.25">
      <c r="A6236" s="388">
        <v>1.3717767072825162</v>
      </c>
      <c r="B6236" s="464">
        <v>8.6159827679999999E-3</v>
      </c>
      <c r="C6236" t="str">
        <f t="shared" si="97"/>
        <v/>
      </c>
    </row>
    <row r="6237" spans="1:3" x14ac:dyDescent="0.25">
      <c r="A6237" s="388">
        <v>0.86511759705298952</v>
      </c>
      <c r="B6237" s="464">
        <v>7.5189849620000001E-4</v>
      </c>
      <c r="C6237" t="str">
        <f t="shared" si="97"/>
        <v/>
      </c>
    </row>
    <row r="6238" spans="1:3" x14ac:dyDescent="0.25">
      <c r="A6238" s="388">
        <v>1.6868801360158685</v>
      </c>
      <c r="B6238" s="464">
        <v>2.2797087739066666E-2</v>
      </c>
      <c r="C6238" t="str">
        <f t="shared" si="97"/>
        <v/>
      </c>
    </row>
    <row r="6239" spans="1:3" x14ac:dyDescent="0.25">
      <c r="A6239" s="388">
        <v>1.3553414565032587</v>
      </c>
      <c r="B6239" s="464">
        <v>0.20539000588583331</v>
      </c>
      <c r="C6239" t="str">
        <f t="shared" si="97"/>
        <v/>
      </c>
    </row>
    <row r="6240" spans="1:3" x14ac:dyDescent="0.25">
      <c r="A6240" s="388">
        <v>1.257013318220459</v>
      </c>
      <c r="B6240" s="464">
        <v>3.1880852904833334E-2</v>
      </c>
      <c r="C6240" t="str">
        <f t="shared" si="97"/>
        <v/>
      </c>
    </row>
    <row r="6241" spans="1:3" x14ac:dyDescent="0.25">
      <c r="A6241" s="388">
        <v>1.1635024086143384</v>
      </c>
      <c r="B6241" s="464">
        <v>6.4976703379666656E-3</v>
      </c>
      <c r="C6241" t="str">
        <f t="shared" si="97"/>
        <v/>
      </c>
    </row>
    <row r="6242" spans="1:3" x14ac:dyDescent="0.25">
      <c r="A6242" s="388">
        <v>1.3525077925758004</v>
      </c>
      <c r="B6242" s="464">
        <v>1.2729974540000001E-2</v>
      </c>
      <c r="C6242" t="str">
        <f t="shared" si="97"/>
        <v/>
      </c>
    </row>
    <row r="6243" spans="1:3" x14ac:dyDescent="0.25">
      <c r="A6243" s="388">
        <v>1.1493340889770474</v>
      </c>
      <c r="B6243" s="464">
        <v>2.4022001955899999E-2</v>
      </c>
      <c r="C6243" t="str">
        <f t="shared" si="97"/>
        <v/>
      </c>
    </row>
    <row r="6244" spans="1:3" x14ac:dyDescent="0.25">
      <c r="A6244" s="388">
        <v>1.1275148767356191</v>
      </c>
      <c r="B6244" s="464">
        <v>6.5162869674E-3</v>
      </c>
      <c r="C6244" t="str">
        <f t="shared" si="97"/>
        <v/>
      </c>
    </row>
    <row r="6245" spans="1:3" x14ac:dyDescent="0.25">
      <c r="A6245" s="388">
        <v>2.455936525928025</v>
      </c>
      <c r="B6245" s="464">
        <v>3.2673601319333332E-3</v>
      </c>
      <c r="C6245" t="str">
        <f t="shared" si="97"/>
        <v/>
      </c>
    </row>
    <row r="6246" spans="1:3" x14ac:dyDescent="0.25">
      <c r="A6246" s="388">
        <v>0.9081892887503541</v>
      </c>
      <c r="B6246" s="464">
        <v>9.4449711100200007E-2</v>
      </c>
      <c r="C6246" t="str">
        <f t="shared" si="97"/>
        <v/>
      </c>
    </row>
    <row r="6247" spans="1:3" x14ac:dyDescent="0.25">
      <c r="A6247" s="389">
        <v>1.1185214999999999</v>
      </c>
      <c r="B6247" s="464">
        <v>2.8233276866666663E-3</v>
      </c>
      <c r="C6247" t="str">
        <f t="shared" si="97"/>
        <v/>
      </c>
    </row>
    <row r="6248" spans="1:3" x14ac:dyDescent="0.25">
      <c r="A6248" s="389">
        <v>1.0902045</v>
      </c>
      <c r="B6248" s="464">
        <v>6.1773209786666655E-4</v>
      </c>
      <c r="C6248" t="str">
        <f t="shared" si="97"/>
        <v/>
      </c>
    </row>
    <row r="6249" spans="1:3" x14ac:dyDescent="0.25">
      <c r="A6249" s="389">
        <v>0.85800509999999997</v>
      </c>
      <c r="B6249" s="464">
        <v>4.9690900617999998E-3</v>
      </c>
      <c r="C6249" t="str">
        <f t="shared" si="97"/>
        <v/>
      </c>
    </row>
    <row r="6250" spans="1:3" x14ac:dyDescent="0.25">
      <c r="A6250" s="389">
        <v>1.0109169</v>
      </c>
      <c r="B6250" s="464">
        <v>1.7518464962999998E-3</v>
      </c>
      <c r="C6250" t="str">
        <f t="shared" si="97"/>
        <v/>
      </c>
    </row>
    <row r="6251" spans="1:3" x14ac:dyDescent="0.25">
      <c r="A6251" s="389">
        <v>0.8410148999999999</v>
      </c>
      <c r="B6251" s="464">
        <v>7.589984819999999E-4</v>
      </c>
      <c r="C6251" t="str">
        <f t="shared" si="97"/>
        <v/>
      </c>
    </row>
    <row r="6252" spans="1:3" x14ac:dyDescent="0.25">
      <c r="A6252" s="389">
        <v>0.42758669999999999</v>
      </c>
      <c r="B6252" s="464">
        <v>3.266660133333333E-6</v>
      </c>
      <c r="C6252" t="str">
        <f t="shared" si="97"/>
        <v/>
      </c>
    </row>
    <row r="6253" spans="1:3" x14ac:dyDescent="0.25">
      <c r="A6253" s="389">
        <v>0.69376649999999995</v>
      </c>
      <c r="B6253" s="464">
        <v>3.5666595333333326E-6</v>
      </c>
      <c r="C6253" t="str">
        <f t="shared" si="97"/>
        <v/>
      </c>
    </row>
    <row r="6254" spans="1:3" x14ac:dyDescent="0.25">
      <c r="A6254" s="389">
        <v>0.72208349999999999</v>
      </c>
      <c r="B6254" s="464">
        <v>3.5833261666666665E-6</v>
      </c>
      <c r="C6254" t="str">
        <f t="shared" si="97"/>
        <v/>
      </c>
    </row>
    <row r="6255" spans="1:3" x14ac:dyDescent="0.25">
      <c r="A6255" s="389">
        <v>0.63713249999999999</v>
      </c>
      <c r="B6255" s="464">
        <v>3.4999929999999995E-6</v>
      </c>
      <c r="C6255" t="str">
        <f t="shared" si="97"/>
        <v/>
      </c>
    </row>
    <row r="6256" spans="1:3" x14ac:dyDescent="0.25">
      <c r="A6256" s="389">
        <v>0.71075670000000002</v>
      </c>
      <c r="B6256" s="464">
        <v>3.5499929E-6</v>
      </c>
      <c r="C6256" t="str">
        <f t="shared" si="97"/>
        <v/>
      </c>
    </row>
    <row r="6257" spans="1:3" x14ac:dyDescent="0.25">
      <c r="A6257" s="389">
        <v>0.84667829999999988</v>
      </c>
      <c r="B6257" s="464">
        <v>2.3183286966666663E-4</v>
      </c>
      <c r="C6257" t="str">
        <f t="shared" si="97"/>
        <v/>
      </c>
    </row>
    <row r="6258" spans="1:3" x14ac:dyDescent="0.25">
      <c r="A6258" s="389">
        <v>0.92313420000000002</v>
      </c>
      <c r="B6258" s="464">
        <v>2.3941618783333333E-4</v>
      </c>
      <c r="C6258" t="str">
        <f t="shared" si="97"/>
        <v/>
      </c>
    </row>
    <row r="6259" spans="1:3" x14ac:dyDescent="0.25">
      <c r="A6259" s="389">
        <v>1.1808189</v>
      </c>
      <c r="B6259" s="464">
        <v>1.9577960843999999E-3</v>
      </c>
      <c r="C6259" t="str">
        <f t="shared" si="97"/>
        <v/>
      </c>
    </row>
    <row r="6260" spans="1:3" x14ac:dyDescent="0.25">
      <c r="A6260" s="389">
        <v>1.1553335999999998</v>
      </c>
      <c r="B6260" s="464">
        <v>1.3355806621666666E-3</v>
      </c>
      <c r="C6260" t="str">
        <f t="shared" si="97"/>
        <v/>
      </c>
    </row>
    <row r="6261" spans="1:3" x14ac:dyDescent="0.25">
      <c r="A6261" s="389">
        <v>1.4951375999999998</v>
      </c>
      <c r="B6261" s="464">
        <v>2.0559958880000001E-3</v>
      </c>
      <c r="C6261" t="str">
        <f t="shared" si="97"/>
        <v/>
      </c>
    </row>
    <row r="6262" spans="1:3" x14ac:dyDescent="0.25">
      <c r="A6262" s="389">
        <v>1.2261260999999999</v>
      </c>
      <c r="B6262" s="464">
        <v>1.1890442885733334E-3</v>
      </c>
      <c r="C6262" t="str">
        <f t="shared" si="97"/>
        <v/>
      </c>
    </row>
    <row r="6263" spans="1:3" x14ac:dyDescent="0.25">
      <c r="A6263" s="389">
        <v>1.2289577999999999</v>
      </c>
      <c r="B6263" s="464">
        <v>1.5325969347999998E-3</v>
      </c>
      <c r="C6263" t="str">
        <f t="shared" si="97"/>
        <v/>
      </c>
    </row>
    <row r="6264" spans="1:3" x14ac:dyDescent="0.25">
      <c r="A6264" s="389">
        <v>1.2827601</v>
      </c>
      <c r="B6264" s="464">
        <v>1.2923899152149998E-2</v>
      </c>
      <c r="C6264" t="str">
        <f t="shared" si="97"/>
        <v/>
      </c>
    </row>
    <row r="6265" spans="1:3" x14ac:dyDescent="0.25">
      <c r="A6265" s="389">
        <v>1.1581652999999998</v>
      </c>
      <c r="B6265" s="464">
        <v>4.4800577065333335E-3</v>
      </c>
      <c r="C6265" t="str">
        <f t="shared" ref="C6265:C6328" si="98">IF(B6265=0,"XXXXXXXX","")</f>
        <v/>
      </c>
    </row>
    <row r="6266" spans="1:3" x14ac:dyDescent="0.25">
      <c r="A6266" s="389">
        <v>1.3931964000000001</v>
      </c>
      <c r="B6266" s="464">
        <v>2.1376623913333332E-3</v>
      </c>
      <c r="C6266" t="str">
        <f t="shared" si="98"/>
        <v/>
      </c>
    </row>
    <row r="6267" spans="1:3" x14ac:dyDescent="0.25">
      <c r="A6267" s="389">
        <v>1.8349415999999998</v>
      </c>
      <c r="B6267" s="464">
        <v>1.3801172397599999E-2</v>
      </c>
      <c r="C6267" t="str">
        <f t="shared" si="98"/>
        <v/>
      </c>
    </row>
    <row r="6268" spans="1:3" x14ac:dyDescent="0.25">
      <c r="A6268" s="389">
        <v>1.8802488000000002</v>
      </c>
      <c r="B6268" s="464">
        <v>2.0303026060533334E-2</v>
      </c>
      <c r="C6268" t="str">
        <f t="shared" si="98"/>
        <v/>
      </c>
    </row>
    <row r="6269" spans="1:3" x14ac:dyDescent="0.25">
      <c r="A6269" s="389">
        <v>1.7896344</v>
      </c>
      <c r="B6269" s="464">
        <v>1.3837472325000001E-2</v>
      </c>
      <c r="C6269" t="str">
        <f t="shared" si="98"/>
        <v/>
      </c>
    </row>
    <row r="6270" spans="1:3" x14ac:dyDescent="0.25">
      <c r="A6270" s="389">
        <v>1.9255559999999998</v>
      </c>
      <c r="B6270" s="464">
        <v>4.5536908926E-3</v>
      </c>
      <c r="C6270" t="str">
        <f t="shared" si="98"/>
        <v/>
      </c>
    </row>
    <row r="6271" spans="1:3" x14ac:dyDescent="0.25">
      <c r="A6271" s="389">
        <v>2.5372031999999995</v>
      </c>
      <c r="B6271" s="464">
        <v>4.1558300216566674E-2</v>
      </c>
      <c r="C6271" t="str">
        <f t="shared" si="98"/>
        <v/>
      </c>
    </row>
    <row r="6272" spans="1:3" x14ac:dyDescent="0.25">
      <c r="A6272" s="389">
        <v>1.8547634999999998</v>
      </c>
      <c r="B6272" s="464">
        <v>7.0238026190333324E-3</v>
      </c>
      <c r="C6272" t="str">
        <f t="shared" si="98"/>
        <v/>
      </c>
    </row>
    <row r="6273" spans="1:3" x14ac:dyDescent="0.25">
      <c r="A6273" s="389">
        <v>1.6367225999999999</v>
      </c>
      <c r="B6273" s="464">
        <v>2.3611852776199999E-2</v>
      </c>
      <c r="C6273" t="str">
        <f t="shared" si="98"/>
        <v/>
      </c>
    </row>
    <row r="6274" spans="1:3" x14ac:dyDescent="0.25">
      <c r="A6274" s="389">
        <v>1.8491000999999998</v>
      </c>
      <c r="B6274" s="464">
        <v>2.5079783173666666E-2</v>
      </c>
      <c r="C6274" t="str">
        <f t="shared" si="98"/>
        <v/>
      </c>
    </row>
    <row r="6275" spans="1:3" x14ac:dyDescent="0.25">
      <c r="A6275" s="389">
        <v>2.4890642999999999</v>
      </c>
      <c r="B6275" s="464">
        <v>3.5614512104166669E-2</v>
      </c>
      <c r="C6275" t="str">
        <f t="shared" si="98"/>
        <v/>
      </c>
    </row>
    <row r="6276" spans="1:3" x14ac:dyDescent="0.25">
      <c r="A6276" s="389">
        <v>3.2139794999999998</v>
      </c>
      <c r="B6276" s="464">
        <v>0.20417955830673329</v>
      </c>
      <c r="C6276" t="str">
        <f t="shared" si="98"/>
        <v/>
      </c>
    </row>
    <row r="6277" spans="1:3" x14ac:dyDescent="0.25">
      <c r="A6277" s="389">
        <v>3.0355824</v>
      </c>
      <c r="B6277" s="464">
        <v>0.117400265199</v>
      </c>
      <c r="C6277" t="str">
        <f t="shared" si="98"/>
        <v/>
      </c>
    </row>
    <row r="6278" spans="1:3" x14ac:dyDescent="0.25">
      <c r="A6278" s="389">
        <v>2.6872832999999998</v>
      </c>
      <c r="B6278" s="464">
        <v>6.4314238037933333E-2</v>
      </c>
      <c r="C6278" t="str">
        <f t="shared" si="98"/>
        <v/>
      </c>
    </row>
    <row r="6279" spans="1:3" x14ac:dyDescent="0.25">
      <c r="A6279" s="389">
        <v>2.8373634000000001</v>
      </c>
      <c r="B6279" s="464">
        <v>0.23035378929149999</v>
      </c>
      <c r="C6279" t="str">
        <f t="shared" si="98"/>
        <v/>
      </c>
    </row>
    <row r="6280" spans="1:3" x14ac:dyDescent="0.25">
      <c r="A6280" s="389">
        <v>2.9194826999999997</v>
      </c>
      <c r="B6280" s="464">
        <v>0.77712111242133319</v>
      </c>
      <c r="C6280" t="str">
        <f t="shared" si="98"/>
        <v/>
      </c>
    </row>
    <row r="6281" spans="1:3" x14ac:dyDescent="0.25">
      <c r="A6281" s="389">
        <v>2.3418158999999998</v>
      </c>
      <c r="B6281" s="464">
        <v>1.9875091983069868</v>
      </c>
      <c r="C6281" t="str">
        <f t="shared" si="98"/>
        <v/>
      </c>
    </row>
    <row r="6282" spans="1:3" x14ac:dyDescent="0.25">
      <c r="A6282" s="389">
        <v>2.6023323</v>
      </c>
      <c r="B6282" s="464">
        <v>0.70556058887600004</v>
      </c>
      <c r="C6282" t="str">
        <f t="shared" si="98"/>
        <v/>
      </c>
    </row>
    <row r="6283" spans="1:3" x14ac:dyDescent="0.25">
      <c r="A6283" s="389">
        <v>2.2710233999999998</v>
      </c>
      <c r="B6283" s="464">
        <v>0.54612690774399986</v>
      </c>
      <c r="C6283" t="str">
        <f t="shared" si="98"/>
        <v/>
      </c>
    </row>
    <row r="6284" spans="1:3" x14ac:dyDescent="0.25">
      <c r="A6284" s="389">
        <v>2.9931068999999999</v>
      </c>
      <c r="B6284" s="464">
        <v>1.0076093181106665</v>
      </c>
      <c r="C6284" t="str">
        <f t="shared" si="98"/>
        <v/>
      </c>
    </row>
    <row r="6285" spans="1:3" x14ac:dyDescent="0.25">
      <c r="A6285" s="389">
        <v>2.8175414999999999</v>
      </c>
      <c r="B6285" s="464">
        <v>0.20576328847259995</v>
      </c>
      <c r="C6285" t="str">
        <f t="shared" si="98"/>
        <v/>
      </c>
    </row>
    <row r="6286" spans="1:3" x14ac:dyDescent="0.25">
      <c r="A6286" s="389">
        <v>3.5736053999999999</v>
      </c>
      <c r="B6286" s="464">
        <v>1.1324487350979999</v>
      </c>
      <c r="C6286" t="str">
        <f t="shared" si="98"/>
        <v/>
      </c>
    </row>
    <row r="6287" spans="1:3" x14ac:dyDescent="0.25">
      <c r="A6287" s="389">
        <v>4.1852526000000001</v>
      </c>
      <c r="B6287" s="464">
        <v>0.35969538060779993</v>
      </c>
      <c r="C6287" t="str">
        <f t="shared" si="98"/>
        <v/>
      </c>
    </row>
    <row r="6288" spans="1:3" x14ac:dyDescent="0.25">
      <c r="A6288" s="389">
        <v>3.4858226999999995</v>
      </c>
      <c r="B6288" s="464">
        <v>0.45191589616639999</v>
      </c>
      <c r="C6288" t="str">
        <f t="shared" si="98"/>
        <v/>
      </c>
    </row>
    <row r="6289" spans="1:3" x14ac:dyDescent="0.25">
      <c r="A6289" s="389">
        <v>4.2164013000000002</v>
      </c>
      <c r="B6289" s="464">
        <v>0.64585580828579991</v>
      </c>
      <c r="C6289" t="str">
        <f t="shared" si="98"/>
        <v/>
      </c>
    </row>
    <row r="6290" spans="1:3" x14ac:dyDescent="0.25">
      <c r="A6290" s="389">
        <v>2.8260365999999997</v>
      </c>
      <c r="B6290" s="464">
        <v>0.10644366211225</v>
      </c>
      <c r="C6290" t="str">
        <f t="shared" si="98"/>
        <v/>
      </c>
    </row>
    <row r="6291" spans="1:3" x14ac:dyDescent="0.25">
      <c r="A6291" s="389">
        <v>2.2512015000000001</v>
      </c>
      <c r="B6291" s="464">
        <v>0.16439704620525</v>
      </c>
      <c r="C6291" t="str">
        <f t="shared" si="98"/>
        <v/>
      </c>
    </row>
    <row r="6292" spans="1:3" x14ac:dyDescent="0.25">
      <c r="A6292" s="389">
        <v>2.0784677999999999</v>
      </c>
      <c r="B6292" s="464">
        <v>3.0275939448E-2</v>
      </c>
      <c r="C6292" t="str">
        <f t="shared" si="98"/>
        <v/>
      </c>
    </row>
    <row r="6293" spans="1:3" x14ac:dyDescent="0.25">
      <c r="A6293" s="389">
        <v>1.9198925999999998</v>
      </c>
      <c r="B6293" s="464">
        <v>0.10464259071440001</v>
      </c>
      <c r="C6293" t="str">
        <f t="shared" si="98"/>
        <v/>
      </c>
    </row>
    <row r="6294" spans="1:3" x14ac:dyDescent="0.25">
      <c r="A6294" s="389">
        <v>2.1067848000000002</v>
      </c>
      <c r="B6294" s="464">
        <v>7.8195926941166671E-2</v>
      </c>
      <c r="C6294" t="str">
        <f t="shared" si="98"/>
        <v/>
      </c>
    </row>
    <row r="6295" spans="1:3" x14ac:dyDescent="0.25">
      <c r="A6295" s="389">
        <v>1.32098805</v>
      </c>
      <c r="B6295" s="464">
        <v>1.844496311E-3</v>
      </c>
      <c r="C6295" t="str">
        <f t="shared" si="98"/>
        <v/>
      </c>
    </row>
    <row r="6296" spans="1:3" x14ac:dyDescent="0.25">
      <c r="A6296" s="389">
        <v>1.1176719899999998</v>
      </c>
      <c r="B6296" s="464">
        <v>2.1633290066666667E-4</v>
      </c>
      <c r="C6296" t="str">
        <f t="shared" si="98"/>
        <v/>
      </c>
    </row>
    <row r="6297" spans="1:3" x14ac:dyDescent="0.25">
      <c r="A6297" s="389">
        <v>1.0109169</v>
      </c>
      <c r="B6297" s="464">
        <v>6.831819669666665E-4</v>
      </c>
      <c r="C6297" t="str">
        <f t="shared" si="98"/>
        <v/>
      </c>
    </row>
    <row r="6298" spans="1:3" x14ac:dyDescent="0.25">
      <c r="A6298" s="389">
        <v>0.83988222000000001</v>
      </c>
      <c r="B6298" s="464">
        <v>3.7033259266666668E-4</v>
      </c>
      <c r="C6298" t="str">
        <f t="shared" si="98"/>
        <v/>
      </c>
    </row>
    <row r="6299" spans="1:3" x14ac:dyDescent="0.25">
      <c r="A6299" s="389">
        <v>0.43551546000000002</v>
      </c>
      <c r="B6299" s="464">
        <v>3.266660133333333E-6</v>
      </c>
      <c r="C6299" t="str">
        <f t="shared" si="98"/>
        <v/>
      </c>
    </row>
    <row r="6300" spans="1:3" x14ac:dyDescent="0.25">
      <c r="A6300" s="389">
        <v>0.69433283999999995</v>
      </c>
      <c r="B6300" s="464">
        <v>3.5666595333333326E-6</v>
      </c>
      <c r="C6300" t="str">
        <f t="shared" si="98"/>
        <v/>
      </c>
    </row>
    <row r="6301" spans="1:3" x14ac:dyDescent="0.25">
      <c r="A6301" s="389">
        <v>0.72095081999999999</v>
      </c>
      <c r="B6301" s="464">
        <v>3.5833261666666665E-6</v>
      </c>
      <c r="C6301" t="str">
        <f t="shared" si="98"/>
        <v/>
      </c>
    </row>
    <row r="6302" spans="1:3" x14ac:dyDescent="0.25">
      <c r="A6302" s="389">
        <v>0.63854834999999999</v>
      </c>
      <c r="B6302" s="464">
        <v>3.4999929999999995E-6</v>
      </c>
      <c r="C6302" t="str">
        <f t="shared" si="98"/>
        <v/>
      </c>
    </row>
    <row r="6303" spans="1:3" x14ac:dyDescent="0.25">
      <c r="A6303" s="389">
        <v>0.70905767999999991</v>
      </c>
      <c r="B6303" s="464">
        <v>3.5499929E-6</v>
      </c>
      <c r="C6303" t="str">
        <f t="shared" si="98"/>
        <v/>
      </c>
    </row>
    <row r="6304" spans="1:3" x14ac:dyDescent="0.25">
      <c r="A6304" s="389">
        <v>0.84837731999999999</v>
      </c>
      <c r="B6304" s="464">
        <v>8.9166488333333318E-5</v>
      </c>
      <c r="C6304" t="str">
        <f t="shared" si="98"/>
        <v/>
      </c>
    </row>
    <row r="6305" spans="1:3" x14ac:dyDescent="0.25">
      <c r="A6305" s="389">
        <v>0.92936394</v>
      </c>
      <c r="B6305" s="464">
        <v>3.6833259666666669E-6</v>
      </c>
      <c r="C6305" t="str">
        <f t="shared" si="98"/>
        <v/>
      </c>
    </row>
    <row r="6306" spans="1:3" x14ac:dyDescent="0.25">
      <c r="A6306" s="389">
        <v>1.17628818</v>
      </c>
      <c r="B6306" s="464">
        <v>1.8680962637999999E-3</v>
      </c>
      <c r="C6306" t="str">
        <f t="shared" si="98"/>
        <v/>
      </c>
    </row>
    <row r="6307" spans="1:3" x14ac:dyDescent="0.25">
      <c r="A6307" s="389">
        <v>1.15618311</v>
      </c>
      <c r="B6307" s="464">
        <v>2.2089955819999995E-3</v>
      </c>
      <c r="C6307" t="str">
        <f t="shared" si="98"/>
        <v/>
      </c>
    </row>
    <row r="6308" spans="1:3" x14ac:dyDescent="0.25">
      <c r="A6308" s="389">
        <v>1.4957039399999998</v>
      </c>
      <c r="B6308" s="464">
        <v>3.7839924319999999E-3</v>
      </c>
      <c r="C6308" t="str">
        <f t="shared" si="98"/>
        <v/>
      </c>
    </row>
    <row r="6309" spans="1:3" x14ac:dyDescent="0.25">
      <c r="A6309" s="389">
        <v>1.2269756099999998</v>
      </c>
      <c r="B6309" s="464">
        <v>5.3768559129333329E-3</v>
      </c>
      <c r="C6309" t="str">
        <f t="shared" si="98"/>
        <v/>
      </c>
    </row>
    <row r="6310" spans="1:3" x14ac:dyDescent="0.25">
      <c r="A6310" s="389">
        <v>1.2283914600000001</v>
      </c>
      <c r="B6310" s="464">
        <v>2.2277955444000002E-3</v>
      </c>
      <c r="C6310" t="str">
        <f t="shared" si="98"/>
        <v/>
      </c>
    </row>
    <row r="6311" spans="1:3" x14ac:dyDescent="0.25">
      <c r="A6311" s="389">
        <v>1.2836096099999998</v>
      </c>
      <c r="B6311" s="464">
        <v>1.131264404133333E-3</v>
      </c>
      <c r="C6311" t="str">
        <f t="shared" si="98"/>
        <v/>
      </c>
    </row>
    <row r="6312" spans="1:3" x14ac:dyDescent="0.25">
      <c r="A6312" s="389">
        <v>1.1570326199999998</v>
      </c>
      <c r="B6312" s="464">
        <v>6.6473200386666666E-4</v>
      </c>
      <c r="C6312" t="str">
        <f t="shared" si="98"/>
        <v/>
      </c>
    </row>
    <row r="6313" spans="1:3" x14ac:dyDescent="0.25">
      <c r="A6313" s="389">
        <v>1.4594581799999999</v>
      </c>
      <c r="B6313" s="464">
        <v>3.2911934175999997E-3</v>
      </c>
      <c r="C6313" t="str">
        <f t="shared" si="98"/>
        <v/>
      </c>
    </row>
    <row r="6314" spans="1:3" x14ac:dyDescent="0.25">
      <c r="A6314" s="389">
        <v>1.6126531500000001</v>
      </c>
      <c r="B6314" s="464">
        <v>4.0051919895999991E-3</v>
      </c>
      <c r="C6314" t="str">
        <f t="shared" si="98"/>
        <v/>
      </c>
    </row>
    <row r="6315" spans="1:3" x14ac:dyDescent="0.25">
      <c r="A6315" s="389">
        <v>1.90601727</v>
      </c>
      <c r="B6315" s="464">
        <v>9.6646806705999993E-3</v>
      </c>
      <c r="C6315" t="str">
        <f t="shared" si="98"/>
        <v/>
      </c>
    </row>
    <row r="6316" spans="1:3" x14ac:dyDescent="0.25">
      <c r="A6316" s="389">
        <v>1.78906806</v>
      </c>
      <c r="B6316" s="464">
        <v>3.8744922510000001E-3</v>
      </c>
      <c r="C6316" t="str">
        <f t="shared" si="98"/>
        <v/>
      </c>
    </row>
    <row r="6317" spans="1:3" x14ac:dyDescent="0.25">
      <c r="A6317" s="389">
        <v>1.8915755999999999</v>
      </c>
      <c r="B6317" s="464">
        <v>1.0706978586000001E-2</v>
      </c>
      <c r="C6317" t="str">
        <f t="shared" si="98"/>
        <v/>
      </c>
    </row>
    <row r="6318" spans="1:3" x14ac:dyDescent="0.25">
      <c r="A6318" s="389">
        <v>2.5377695399999998</v>
      </c>
      <c r="B6318" s="464">
        <v>3.3159850346833331E-2</v>
      </c>
      <c r="C6318" t="str">
        <f t="shared" si="98"/>
        <v/>
      </c>
    </row>
    <row r="6319" spans="1:3" x14ac:dyDescent="0.25">
      <c r="A6319" s="389">
        <v>1.8556130099999999</v>
      </c>
      <c r="B6319" s="464">
        <v>3.1236887526099998E-2</v>
      </c>
      <c r="C6319" t="str">
        <f t="shared" si="98"/>
        <v/>
      </c>
    </row>
    <row r="6320" spans="1:3" x14ac:dyDescent="0.25">
      <c r="A6320" s="389">
        <v>1.6364394299999998</v>
      </c>
      <c r="B6320" s="464">
        <v>7.6423847152000011E-3</v>
      </c>
      <c r="C6320" t="str">
        <f t="shared" si="98"/>
        <v/>
      </c>
    </row>
    <row r="6321" spans="1:3" x14ac:dyDescent="0.25">
      <c r="A6321" s="389">
        <v>1.8493832699999999</v>
      </c>
      <c r="B6321" s="464">
        <v>2.0378942575366665E-2</v>
      </c>
      <c r="C6321" t="str">
        <f t="shared" si="98"/>
        <v/>
      </c>
    </row>
    <row r="6322" spans="1:3" x14ac:dyDescent="0.25">
      <c r="A6322" s="389">
        <v>2.3774953199999995</v>
      </c>
      <c r="B6322" s="464">
        <v>3.0924354817833333E-2</v>
      </c>
      <c r="C6322" t="str">
        <f t="shared" si="98"/>
        <v/>
      </c>
    </row>
    <row r="6323" spans="1:3" x14ac:dyDescent="0.25">
      <c r="A6323" s="389">
        <v>3.00981393</v>
      </c>
      <c r="B6323" s="464">
        <v>0.14035921928100001</v>
      </c>
      <c r="C6323" t="str">
        <f t="shared" si="98"/>
        <v/>
      </c>
    </row>
    <row r="6324" spans="1:3" x14ac:dyDescent="0.25">
      <c r="A6324" s="389">
        <v>2.6782218599999998</v>
      </c>
      <c r="B6324" s="464">
        <v>3.4748397169733339E-2</v>
      </c>
      <c r="C6324" t="str">
        <f t="shared" si="98"/>
        <v/>
      </c>
    </row>
    <row r="6325" spans="1:3" x14ac:dyDescent="0.25">
      <c r="A6325" s="389">
        <v>2.83651389</v>
      </c>
      <c r="B6325" s="464">
        <v>5.8159158681449989E-2</v>
      </c>
      <c r="C6325" t="str">
        <f t="shared" si="98"/>
        <v/>
      </c>
    </row>
    <row r="6326" spans="1:3" x14ac:dyDescent="0.25">
      <c r="A6326" s="389">
        <v>2.9191995299999998</v>
      </c>
      <c r="B6326" s="464">
        <v>2.6441253784053336</v>
      </c>
      <c r="C6326" t="str">
        <f t="shared" si="98"/>
        <v/>
      </c>
    </row>
    <row r="6327" spans="1:3" x14ac:dyDescent="0.25">
      <c r="A6327" s="389">
        <v>2.3426654099999999</v>
      </c>
      <c r="B6327" s="464">
        <v>4.9881500236800003</v>
      </c>
      <c r="C6327" t="str">
        <f t="shared" si="98"/>
        <v/>
      </c>
    </row>
    <row r="6328" spans="1:3" x14ac:dyDescent="0.25">
      <c r="A6328" s="389">
        <v>2.6017659599999998</v>
      </c>
      <c r="B6328" s="464">
        <v>0.4205491589</v>
      </c>
      <c r="C6328" t="str">
        <f t="shared" si="98"/>
        <v/>
      </c>
    </row>
    <row r="6329" spans="1:3" x14ac:dyDescent="0.25">
      <c r="A6329" s="389">
        <v>2.2721560799999998</v>
      </c>
      <c r="B6329" s="464">
        <v>9.9237401524799984E-2</v>
      </c>
      <c r="C6329" t="str">
        <f t="shared" ref="C6329:C6392" si="99">IF(B6329=0,"XXXXXXXX","")</f>
        <v/>
      </c>
    </row>
    <row r="6330" spans="1:3" x14ac:dyDescent="0.25">
      <c r="A6330" s="389">
        <v>2.9752671899999998</v>
      </c>
      <c r="B6330" s="464">
        <v>0.2262452141753333</v>
      </c>
      <c r="C6330" t="str">
        <f t="shared" si="99"/>
        <v/>
      </c>
    </row>
    <row r="6331" spans="1:3" x14ac:dyDescent="0.25">
      <c r="A6331" s="389">
        <v>2.8198068599999999</v>
      </c>
      <c r="B6331" s="464">
        <v>0.42618614762599993</v>
      </c>
      <c r="C6331" t="str">
        <f t="shared" si="99"/>
        <v/>
      </c>
    </row>
    <row r="6332" spans="1:3" x14ac:dyDescent="0.25">
      <c r="A6332" s="389">
        <v>3.5770034399999995</v>
      </c>
      <c r="B6332" s="464">
        <v>0.8410255179456001</v>
      </c>
      <c r="C6332" t="str">
        <f t="shared" si="99"/>
        <v/>
      </c>
    </row>
    <row r="6333" spans="1:3" x14ac:dyDescent="0.25">
      <c r="A6333" s="389">
        <v>3.5736053999999999</v>
      </c>
      <c r="B6333" s="464">
        <v>0.82298128736746645</v>
      </c>
      <c r="C6333" t="str">
        <f t="shared" si="99"/>
        <v/>
      </c>
    </row>
    <row r="6334" spans="1:3" x14ac:dyDescent="0.25">
      <c r="A6334" s="389">
        <v>4.1861021100000002</v>
      </c>
      <c r="B6334" s="464">
        <v>1.0015521968915999</v>
      </c>
      <c r="C6334" t="str">
        <f t="shared" si="99"/>
        <v/>
      </c>
    </row>
    <row r="6335" spans="1:3" x14ac:dyDescent="0.25">
      <c r="A6335" s="389">
        <v>3.4764780899999996</v>
      </c>
      <c r="B6335" s="464">
        <v>0.48459009748453336</v>
      </c>
      <c r="C6335" t="str">
        <f t="shared" si="99"/>
        <v/>
      </c>
    </row>
    <row r="6336" spans="1:3" x14ac:dyDescent="0.25">
      <c r="A6336" s="389">
        <v>4.2178171499999992</v>
      </c>
      <c r="B6336" s="464">
        <v>0.31684106631659997</v>
      </c>
      <c r="C6336" t="str">
        <f t="shared" si="99"/>
        <v/>
      </c>
    </row>
    <row r="6337" spans="1:3" x14ac:dyDescent="0.25">
      <c r="A6337" s="389">
        <v>2.63518002</v>
      </c>
      <c r="B6337" s="464">
        <v>6.4191704949666653E-2</v>
      </c>
      <c r="C6337" t="str">
        <f t="shared" si="99"/>
        <v/>
      </c>
    </row>
    <row r="6338" spans="1:3" x14ac:dyDescent="0.25">
      <c r="A6338" s="389">
        <v>2.3058533100000003</v>
      </c>
      <c r="B6338" s="464">
        <v>4.4652660694500003E-2</v>
      </c>
      <c r="C6338" t="str">
        <f t="shared" si="99"/>
        <v/>
      </c>
    </row>
    <row r="6339" spans="1:3" x14ac:dyDescent="0.25">
      <c r="A6339" s="389">
        <v>2.0790341400000001</v>
      </c>
      <c r="B6339" s="464">
        <v>1.7195515608900005E-2</v>
      </c>
      <c r="C6339" t="str">
        <f t="shared" si="99"/>
        <v/>
      </c>
    </row>
    <row r="6340" spans="1:3" x14ac:dyDescent="0.25">
      <c r="A6340" s="389">
        <v>1.9193262599999998</v>
      </c>
      <c r="B6340" s="464">
        <v>1.1619676760599999E-2</v>
      </c>
      <c r="C6340" t="str">
        <f t="shared" si="99"/>
        <v/>
      </c>
    </row>
    <row r="6341" spans="1:3" x14ac:dyDescent="0.25">
      <c r="A6341" s="389">
        <v>2.1070679699999997</v>
      </c>
      <c r="B6341" s="464">
        <v>1.0244179511599999E-2</v>
      </c>
      <c r="C6341" t="str">
        <f t="shared" si="99"/>
        <v/>
      </c>
    </row>
    <row r="6342" spans="1:3" x14ac:dyDescent="0.25">
      <c r="A6342" s="389">
        <v>1.32098805</v>
      </c>
      <c r="B6342" s="464">
        <v>3.3319933359999996E-3</v>
      </c>
      <c r="C6342" t="str">
        <f t="shared" si="99"/>
        <v/>
      </c>
    </row>
    <row r="6343" spans="1:3" x14ac:dyDescent="0.25">
      <c r="A6343" s="389">
        <v>1.7188418999999999</v>
      </c>
      <c r="B6343" s="464">
        <v>9.5929808140000005E-4</v>
      </c>
      <c r="C6343" t="str">
        <f t="shared" si="99"/>
        <v/>
      </c>
    </row>
    <row r="6344" spans="1:3" x14ac:dyDescent="0.25">
      <c r="A6344" s="389">
        <v>1.7188418999999999</v>
      </c>
      <c r="B6344" s="464">
        <v>2.7029945939999997E-4</v>
      </c>
      <c r="C6344" t="str">
        <f t="shared" si="99"/>
        <v/>
      </c>
    </row>
    <row r="6345" spans="1:3" x14ac:dyDescent="0.25">
      <c r="A6345" s="389">
        <v>1.8745854</v>
      </c>
      <c r="B6345" s="464">
        <v>5.7666551333333337E-6</v>
      </c>
      <c r="C6345" t="str">
        <f t="shared" si="99"/>
        <v/>
      </c>
    </row>
    <row r="6346" spans="1:3" x14ac:dyDescent="0.25">
      <c r="A6346" s="389">
        <v>1.5942470999999998</v>
      </c>
      <c r="B6346" s="464">
        <v>5.8166550333333333E-6</v>
      </c>
      <c r="C6346" t="str">
        <f t="shared" si="99"/>
        <v/>
      </c>
    </row>
    <row r="6347" spans="1:3" x14ac:dyDescent="0.25">
      <c r="A6347" s="389">
        <v>1.0986995999999998</v>
      </c>
      <c r="B6347" s="464">
        <v>4.9833233666666654E-6</v>
      </c>
      <c r="C6347" t="str">
        <f t="shared" si="99"/>
        <v/>
      </c>
    </row>
    <row r="6348" spans="1:3" x14ac:dyDescent="0.25">
      <c r="A6348" s="389">
        <v>1.0250754</v>
      </c>
      <c r="B6348" s="464">
        <v>4.8999901999999989E-6</v>
      </c>
      <c r="C6348" t="str">
        <f t="shared" si="99"/>
        <v/>
      </c>
    </row>
    <row r="6349" spans="1:3" x14ac:dyDescent="0.25">
      <c r="A6349" s="389">
        <v>0.91463909999999982</v>
      </c>
      <c r="B6349" s="464">
        <v>4.7999903999999997E-6</v>
      </c>
      <c r="C6349" t="str">
        <f t="shared" si="99"/>
        <v/>
      </c>
    </row>
    <row r="6350" spans="1:3" x14ac:dyDescent="0.25">
      <c r="A6350" s="389">
        <v>0.76172729999999989</v>
      </c>
      <c r="B6350" s="464">
        <v>4.8333236666666666E-6</v>
      </c>
      <c r="C6350" t="str">
        <f t="shared" si="99"/>
        <v/>
      </c>
    </row>
    <row r="6351" spans="1:3" x14ac:dyDescent="0.25">
      <c r="A6351" s="389">
        <v>0.95145119999999994</v>
      </c>
      <c r="B6351" s="464">
        <v>4.8666569333333327E-6</v>
      </c>
      <c r="C6351" t="str">
        <f t="shared" si="99"/>
        <v/>
      </c>
    </row>
    <row r="6352" spans="1:3" x14ac:dyDescent="0.25">
      <c r="A6352" s="389">
        <v>2.4579155999999998</v>
      </c>
      <c r="B6352" s="464">
        <v>5.966654733333332E-6</v>
      </c>
      <c r="C6352" t="str">
        <f t="shared" si="99"/>
        <v/>
      </c>
    </row>
    <row r="6353" spans="1:3" x14ac:dyDescent="0.25">
      <c r="A6353" s="389">
        <v>2.6476394999999999</v>
      </c>
      <c r="B6353" s="464">
        <v>5.9999879999999998E-6</v>
      </c>
      <c r="C6353" t="str">
        <f t="shared" si="99"/>
        <v/>
      </c>
    </row>
    <row r="6354" spans="1:3" x14ac:dyDescent="0.25">
      <c r="A6354" s="389">
        <v>2.8770071999999995</v>
      </c>
      <c r="B6354" s="464">
        <v>6.0333212666666668E-6</v>
      </c>
      <c r="C6354" t="str">
        <f t="shared" si="99"/>
        <v/>
      </c>
    </row>
    <row r="6355" spans="1:3" x14ac:dyDescent="0.25">
      <c r="A6355" s="389">
        <v>2.0963075099999999</v>
      </c>
      <c r="B6355" s="464">
        <v>5.799988399999999E-6</v>
      </c>
      <c r="C6355" t="str">
        <f t="shared" si="99"/>
        <v/>
      </c>
    </row>
    <row r="6356" spans="1:3" x14ac:dyDescent="0.25">
      <c r="A6356" s="389">
        <v>1.4866424999999999</v>
      </c>
      <c r="B6356" s="464">
        <v>5.7499884999999994E-6</v>
      </c>
      <c r="C6356" t="str">
        <f t="shared" si="99"/>
        <v/>
      </c>
    </row>
    <row r="6357" spans="1:3" x14ac:dyDescent="0.25">
      <c r="A6357" s="389">
        <v>1.6112372999999998</v>
      </c>
      <c r="B6357" s="464">
        <v>5.6999885999999998E-6</v>
      </c>
      <c r="C6357" t="str">
        <f t="shared" si="99"/>
        <v/>
      </c>
    </row>
    <row r="6358" spans="1:3" x14ac:dyDescent="0.25">
      <c r="A6358" s="389">
        <v>1.5517715999999999</v>
      </c>
      <c r="B6358" s="464">
        <v>5.2999893999999997E-6</v>
      </c>
      <c r="C6358" t="str">
        <f t="shared" si="99"/>
        <v/>
      </c>
    </row>
    <row r="6359" spans="1:3" x14ac:dyDescent="0.25">
      <c r="A6359" s="389">
        <v>1.6423859999999999</v>
      </c>
      <c r="B6359" s="464">
        <v>5.3166560333333324E-6</v>
      </c>
      <c r="C6359" t="str">
        <f t="shared" si="99"/>
        <v/>
      </c>
    </row>
    <row r="6360" spans="1:3" x14ac:dyDescent="0.25">
      <c r="A6360" s="389">
        <v>2.8486901999999996</v>
      </c>
      <c r="B6360" s="464">
        <v>6.0333212666666668E-6</v>
      </c>
      <c r="C6360" t="str">
        <f t="shared" si="99"/>
        <v/>
      </c>
    </row>
    <row r="6361" spans="1:3" x14ac:dyDescent="0.25">
      <c r="A6361" s="389">
        <v>2.8939973999999999</v>
      </c>
      <c r="B6361" s="464">
        <v>3.6499926999999992E-4</v>
      </c>
      <c r="C6361" t="str">
        <f t="shared" si="99"/>
        <v/>
      </c>
    </row>
    <row r="6362" spans="1:3" x14ac:dyDescent="0.25">
      <c r="A6362" s="389">
        <v>3.4150301999999995</v>
      </c>
      <c r="B6362" s="464">
        <v>2.7360845278199996E-2</v>
      </c>
      <c r="C6362" t="str">
        <f t="shared" si="99"/>
        <v/>
      </c>
    </row>
    <row r="6363" spans="1:3" x14ac:dyDescent="0.25">
      <c r="A6363" s="389">
        <v>3.2847719999999998</v>
      </c>
      <c r="B6363" s="464">
        <v>3.7448591769333336E-3</v>
      </c>
      <c r="C6363" t="str">
        <f t="shared" si="99"/>
        <v/>
      </c>
    </row>
    <row r="6364" spans="1:3" x14ac:dyDescent="0.25">
      <c r="A6364" s="389">
        <v>4.3296692999999999</v>
      </c>
      <c r="B6364" s="464">
        <v>3.1921002824533334E-2</v>
      </c>
      <c r="C6364" t="str">
        <f t="shared" si="99"/>
        <v/>
      </c>
    </row>
    <row r="6365" spans="1:3" x14ac:dyDescent="0.25">
      <c r="A6365" s="389">
        <v>4.9951188000000002</v>
      </c>
      <c r="B6365" s="464">
        <v>3.7594591477333327E-3</v>
      </c>
      <c r="C6365" t="str">
        <f t="shared" si="99"/>
        <v/>
      </c>
    </row>
    <row r="6366" spans="1:3" x14ac:dyDescent="0.25">
      <c r="A6366" s="389">
        <v>4.9951188000000002</v>
      </c>
      <c r="B6366" s="464">
        <v>1.7949297434666663E-3</v>
      </c>
      <c r="C6366" t="str">
        <f t="shared" si="99"/>
        <v/>
      </c>
    </row>
    <row r="6367" spans="1:3" x14ac:dyDescent="0.25">
      <c r="A6367" s="389">
        <v>3.1261967999999998</v>
      </c>
      <c r="B6367" s="464">
        <v>2.0507625651333332E-3</v>
      </c>
      <c r="C6367" t="str">
        <f t="shared" si="99"/>
        <v/>
      </c>
    </row>
    <row r="6368" spans="1:3" x14ac:dyDescent="0.25">
      <c r="A6368" s="389">
        <v>2.9817800999999999</v>
      </c>
      <c r="B6368" s="464">
        <v>1.7103065793800002E-2</v>
      </c>
      <c r="C6368" t="str">
        <f t="shared" si="99"/>
        <v/>
      </c>
    </row>
    <row r="6369" spans="1:3" x14ac:dyDescent="0.25">
      <c r="A6369" s="389">
        <v>5.7370241999999996</v>
      </c>
      <c r="B6369" s="464">
        <v>0.15593508812920001</v>
      </c>
      <c r="C6369" t="str">
        <f t="shared" si="99"/>
        <v/>
      </c>
    </row>
    <row r="6370" spans="1:3" x14ac:dyDescent="0.25">
      <c r="A6370" s="389">
        <v>5.0064456000000002</v>
      </c>
      <c r="B6370" s="464">
        <v>0.32670901324733331</v>
      </c>
      <c r="C6370" t="str">
        <f t="shared" si="99"/>
        <v/>
      </c>
    </row>
    <row r="6371" spans="1:3" x14ac:dyDescent="0.25">
      <c r="A6371" s="389">
        <v>6.7592678999999993</v>
      </c>
      <c r="B6371" s="464">
        <v>6.3401006531066659E-2</v>
      </c>
      <c r="C6371" t="str">
        <f t="shared" si="99"/>
        <v/>
      </c>
    </row>
    <row r="6372" spans="1:3" x14ac:dyDescent="0.25">
      <c r="A6372" s="389">
        <v>5.6614178099999997</v>
      </c>
      <c r="B6372" s="464">
        <v>6.5080869838000004E-3</v>
      </c>
      <c r="C6372" t="str">
        <f t="shared" si="99"/>
        <v/>
      </c>
    </row>
    <row r="6373" spans="1:3" x14ac:dyDescent="0.25">
      <c r="A6373" s="389">
        <v>5.0800697999999995</v>
      </c>
      <c r="B6373" s="464">
        <v>2.1008857982199997E-2</v>
      </c>
      <c r="C6373" t="str">
        <f t="shared" si="99"/>
        <v/>
      </c>
    </row>
    <row r="6374" spans="1:3" x14ac:dyDescent="0.25">
      <c r="A6374" s="389">
        <v>3.8652704999999998</v>
      </c>
      <c r="B6374" s="464">
        <v>1.1135811061666665E-2</v>
      </c>
      <c r="C6374" t="str">
        <f t="shared" si="99"/>
        <v/>
      </c>
    </row>
    <row r="6375" spans="1:3" x14ac:dyDescent="0.25">
      <c r="A6375" s="389">
        <v>3.6472296000000002</v>
      </c>
      <c r="B6375" s="464">
        <v>1.7023965951999998E-2</v>
      </c>
      <c r="C6375" t="str">
        <f t="shared" si="99"/>
        <v/>
      </c>
    </row>
    <row r="6376" spans="1:3" x14ac:dyDescent="0.25">
      <c r="A6376" s="389">
        <v>4.0125188999999999</v>
      </c>
      <c r="B6376" s="464">
        <v>1.3399973199999999E-3</v>
      </c>
      <c r="C6376" t="str">
        <f t="shared" si="99"/>
        <v/>
      </c>
    </row>
    <row r="6377" spans="1:3" x14ac:dyDescent="0.25">
      <c r="A6377" s="389">
        <v>4.6655089199999997</v>
      </c>
      <c r="B6377" s="464">
        <v>0.49937400125000003</v>
      </c>
      <c r="C6377" t="str">
        <f t="shared" si="99"/>
        <v/>
      </c>
    </row>
    <row r="6378" spans="1:3" x14ac:dyDescent="0.25">
      <c r="A6378" s="389">
        <v>3.5883302399999999</v>
      </c>
      <c r="B6378" s="464">
        <v>8.2299542067253345E-2</v>
      </c>
      <c r="C6378" t="str">
        <f t="shared" si="99"/>
        <v/>
      </c>
    </row>
    <row r="6379" spans="1:3" x14ac:dyDescent="0.25">
      <c r="A6379" s="389">
        <v>3.7095269999999996</v>
      </c>
      <c r="B6379" s="464">
        <v>3.4873263586666668E-2</v>
      </c>
      <c r="C6379" t="str">
        <f t="shared" si="99"/>
        <v/>
      </c>
    </row>
    <row r="6380" spans="1:3" x14ac:dyDescent="0.25">
      <c r="A6380" s="389">
        <v>6.3146909999999998</v>
      </c>
      <c r="B6380" s="464">
        <v>6.8902437194849994E-2</v>
      </c>
      <c r="C6380" t="str">
        <f t="shared" si="99"/>
        <v/>
      </c>
    </row>
    <row r="6381" spans="1:3" x14ac:dyDescent="0.25">
      <c r="A6381" s="389">
        <v>5.4878346000000002</v>
      </c>
      <c r="B6381" s="464">
        <v>4.1373250586666663E-4</v>
      </c>
      <c r="C6381" t="str">
        <f t="shared" si="99"/>
        <v/>
      </c>
    </row>
    <row r="6382" spans="1:3" x14ac:dyDescent="0.25">
      <c r="A6382" s="389">
        <v>5.612429399999999</v>
      </c>
      <c r="B6382" s="464">
        <v>3.4871596923333339E-4</v>
      </c>
      <c r="C6382" t="str">
        <f t="shared" si="99"/>
        <v/>
      </c>
    </row>
    <row r="6383" spans="1:3" x14ac:dyDescent="0.25">
      <c r="A6383" s="389">
        <v>4.4854127999999998</v>
      </c>
      <c r="B6383" s="464">
        <v>3.7625774748299999E-2</v>
      </c>
      <c r="C6383" t="str">
        <f t="shared" si="99"/>
        <v/>
      </c>
    </row>
    <row r="6384" spans="1:3" x14ac:dyDescent="0.25">
      <c r="A6384" s="389">
        <v>2.9336411999999998</v>
      </c>
      <c r="B6384" s="464">
        <v>1.3365639935333333E-3</v>
      </c>
      <c r="C6384" t="str">
        <f t="shared" si="99"/>
        <v/>
      </c>
    </row>
    <row r="6385" spans="1:3" x14ac:dyDescent="0.25">
      <c r="A6385" s="389">
        <v>0.73624199999999995</v>
      </c>
      <c r="B6385" s="464">
        <v>3.3149933699999994E-3</v>
      </c>
      <c r="C6385" t="str">
        <f t="shared" si="99"/>
        <v/>
      </c>
    </row>
    <row r="6386" spans="1:3" x14ac:dyDescent="0.25">
      <c r="A6386" s="389">
        <v>0.53802299999999992</v>
      </c>
      <c r="B6386" s="464">
        <v>1.9666627333333331E-4</v>
      </c>
      <c r="C6386" t="str">
        <f t="shared" si="99"/>
        <v/>
      </c>
    </row>
    <row r="6387" spans="1:3" x14ac:dyDescent="0.25">
      <c r="A6387" s="389">
        <v>0.57200339999999994</v>
      </c>
      <c r="B6387" s="464">
        <v>3.3333266666666669E-6</v>
      </c>
      <c r="C6387" t="str">
        <f t="shared" si="99"/>
        <v/>
      </c>
    </row>
    <row r="6388" spans="1:3" x14ac:dyDescent="0.25">
      <c r="A6388" s="389">
        <v>0.54170420999999991</v>
      </c>
      <c r="B6388" s="464">
        <v>6.7666531333333336E-4</v>
      </c>
      <c r="C6388" t="str">
        <f t="shared" si="99"/>
        <v/>
      </c>
    </row>
    <row r="6389" spans="1:3" x14ac:dyDescent="0.25">
      <c r="A6389" s="389">
        <v>0.54255372000000002</v>
      </c>
      <c r="B6389" s="464">
        <v>3.0333272666666669E-4</v>
      </c>
      <c r="C6389" t="str">
        <f t="shared" si="99"/>
        <v/>
      </c>
    </row>
    <row r="6390" spans="1:3" x14ac:dyDescent="0.25">
      <c r="A6390" s="389">
        <v>0.49243262999999998</v>
      </c>
      <c r="B6390" s="464">
        <v>5.999988E-5</v>
      </c>
      <c r="C6390" t="str">
        <f t="shared" si="99"/>
        <v/>
      </c>
    </row>
    <row r="6391" spans="1:3" x14ac:dyDescent="0.25">
      <c r="A6391" s="389">
        <v>0.55246466999999999</v>
      </c>
      <c r="B6391" s="464">
        <v>3.3333266666666669E-6</v>
      </c>
      <c r="C6391" t="str">
        <f t="shared" si="99"/>
        <v/>
      </c>
    </row>
    <row r="6392" spans="1:3" x14ac:dyDescent="0.25">
      <c r="A6392" s="389">
        <v>0.99930692999999993</v>
      </c>
      <c r="B6392" s="464">
        <v>1.440997118E-3</v>
      </c>
      <c r="C6392" t="str">
        <f t="shared" si="99"/>
        <v/>
      </c>
    </row>
    <row r="6393" spans="1:3" x14ac:dyDescent="0.25">
      <c r="A6393" s="389">
        <v>1.3144751399999999</v>
      </c>
      <c r="B6393" s="464">
        <v>3.0757271818666661E-3</v>
      </c>
      <c r="C6393" t="str">
        <f t="shared" ref="C6393:C6456" si="100">IF(B6393=0,"XXXXXXXX","")</f>
        <v/>
      </c>
    </row>
    <row r="6394" spans="1:3" x14ac:dyDescent="0.25">
      <c r="A6394" s="389">
        <v>1.53081702</v>
      </c>
      <c r="B6394" s="464">
        <v>9.4079811839999986E-3</v>
      </c>
      <c r="C6394" t="str">
        <f t="shared" si="100"/>
        <v/>
      </c>
    </row>
    <row r="6395" spans="1:3" x14ac:dyDescent="0.25">
      <c r="A6395" s="389">
        <v>1.78793538</v>
      </c>
      <c r="B6395" s="464">
        <v>6.2458541749333338E-3</v>
      </c>
      <c r="C6395" t="str">
        <f t="shared" si="100"/>
        <v/>
      </c>
    </row>
    <row r="6396" spans="1:3" x14ac:dyDescent="0.25">
      <c r="A6396" s="389">
        <v>1.9261223399999998</v>
      </c>
      <c r="B6396" s="464">
        <v>8.6096494473333323E-3</v>
      </c>
      <c r="C6396" t="str">
        <f t="shared" si="100"/>
        <v/>
      </c>
    </row>
    <row r="6397" spans="1:3" x14ac:dyDescent="0.25">
      <c r="A6397" s="389">
        <v>1.9615185899999998</v>
      </c>
      <c r="B6397" s="464">
        <v>1.1816009701266667E-2</v>
      </c>
      <c r="C6397" t="str">
        <f t="shared" si="100"/>
        <v/>
      </c>
    </row>
    <row r="6398" spans="1:3" x14ac:dyDescent="0.25">
      <c r="A6398" s="389">
        <v>1.8428703599999998</v>
      </c>
      <c r="B6398" s="464">
        <v>9.1349817299999983E-3</v>
      </c>
      <c r="C6398" t="str">
        <f t="shared" si="100"/>
        <v/>
      </c>
    </row>
    <row r="6399" spans="1:3" x14ac:dyDescent="0.25">
      <c r="A6399" s="389">
        <v>1.7658481199999998</v>
      </c>
      <c r="B6399" s="464">
        <v>9.7465714159090926E-3</v>
      </c>
      <c r="C6399" t="str">
        <f t="shared" si="100"/>
        <v/>
      </c>
    </row>
    <row r="6400" spans="1:3" x14ac:dyDescent="0.25">
      <c r="A6400" s="389">
        <v>1.9286708699999999</v>
      </c>
      <c r="B6400" s="464">
        <v>9.6975806047999973E-3</v>
      </c>
      <c r="C6400" t="str">
        <f t="shared" si="100"/>
        <v/>
      </c>
    </row>
    <row r="6401" spans="1:3" x14ac:dyDescent="0.25">
      <c r="A6401" s="389">
        <v>2.2993404000000002</v>
      </c>
      <c r="B6401" s="464">
        <v>1.2198975601999999E-2</v>
      </c>
      <c r="C6401" t="str">
        <f t="shared" si="100"/>
        <v/>
      </c>
    </row>
    <row r="6402" spans="1:3" x14ac:dyDescent="0.25">
      <c r="A6402" s="389">
        <v>2.6074293599999998</v>
      </c>
      <c r="B6402" s="464">
        <v>2.4621768938181816E-2</v>
      </c>
      <c r="C6402" t="str">
        <f t="shared" si="100"/>
        <v/>
      </c>
    </row>
    <row r="6403" spans="1:3" x14ac:dyDescent="0.25">
      <c r="A6403" s="389">
        <v>4.095770879999999</v>
      </c>
      <c r="B6403" s="464">
        <v>2.9702849685090904E-2</v>
      </c>
      <c r="C6403" t="str">
        <f t="shared" si="100"/>
        <v/>
      </c>
    </row>
    <row r="6404" spans="1:3" x14ac:dyDescent="0.25">
      <c r="A6404" s="389">
        <v>2.9797979099999998</v>
      </c>
      <c r="B6404" s="464">
        <v>1.1878764121212122E-2</v>
      </c>
      <c r="C6404" t="str">
        <f t="shared" si="100"/>
        <v/>
      </c>
    </row>
    <row r="6405" spans="1:3" x14ac:dyDescent="0.25">
      <c r="A6405" s="389">
        <v>4.4115054299999992</v>
      </c>
      <c r="B6405" s="464">
        <v>3.1450853764833343E-2</v>
      </c>
      <c r="C6405" t="str">
        <f t="shared" si="100"/>
        <v/>
      </c>
    </row>
    <row r="6406" spans="1:3" x14ac:dyDescent="0.25">
      <c r="A6406" s="389">
        <v>4.7447965199999995</v>
      </c>
      <c r="B6406" s="464">
        <v>4.0715726260692302E-2</v>
      </c>
      <c r="C6406" t="str">
        <f t="shared" si="100"/>
        <v/>
      </c>
    </row>
    <row r="6407" spans="1:3" x14ac:dyDescent="0.25">
      <c r="A6407" s="389">
        <v>3.6812099999999996</v>
      </c>
      <c r="B6407" s="464">
        <v>2.6587908362538458E-2</v>
      </c>
      <c r="C6407" t="str">
        <f t="shared" si="100"/>
        <v/>
      </c>
    </row>
    <row r="6408" spans="1:3" x14ac:dyDescent="0.25">
      <c r="A6408" s="389">
        <v>3.8227949999999997</v>
      </c>
      <c r="B6408" s="464">
        <v>1.5001508458461533E-2</v>
      </c>
      <c r="C6408" t="str">
        <f t="shared" si="100"/>
        <v/>
      </c>
    </row>
    <row r="6409" spans="1:3" x14ac:dyDescent="0.25">
      <c r="A6409" s="389">
        <v>4.2475499999999995</v>
      </c>
      <c r="B6409" s="464">
        <v>1.7353503754461541E-2</v>
      </c>
      <c r="C6409" t="str">
        <f t="shared" si="100"/>
        <v/>
      </c>
    </row>
    <row r="6410" spans="1:3" x14ac:dyDescent="0.25">
      <c r="A6410" s="389">
        <v>6.3387604499999997</v>
      </c>
      <c r="B6410" s="464">
        <v>6.8164171363692294E-2</v>
      </c>
      <c r="C6410" t="str">
        <f t="shared" si="100"/>
        <v/>
      </c>
    </row>
    <row r="6411" spans="1:3" x14ac:dyDescent="0.25">
      <c r="A6411" s="389">
        <v>6.3387604499999997</v>
      </c>
      <c r="B6411" s="464">
        <v>3.5225891086538466E-2</v>
      </c>
      <c r="C6411" t="str">
        <f t="shared" si="100"/>
        <v/>
      </c>
    </row>
    <row r="6412" spans="1:3" x14ac:dyDescent="0.25">
      <c r="A6412" s="389">
        <v>5.5138862399999997</v>
      </c>
      <c r="B6412" s="464">
        <v>1.4129471740999999E-2</v>
      </c>
      <c r="C6412" t="str">
        <f t="shared" si="100"/>
        <v/>
      </c>
    </row>
    <row r="6413" spans="1:3" x14ac:dyDescent="0.25">
      <c r="A6413" s="389">
        <v>5.4971792099999996</v>
      </c>
      <c r="B6413" s="464">
        <v>2.6738972162974353E-2</v>
      </c>
      <c r="C6413" t="str">
        <f t="shared" si="100"/>
        <v/>
      </c>
    </row>
    <row r="6414" spans="1:3" x14ac:dyDescent="0.25">
      <c r="A6414" s="389">
        <v>5.0585488799999991</v>
      </c>
      <c r="B6414" s="464">
        <v>1.9554371147589743E-2</v>
      </c>
      <c r="C6414" t="str">
        <f t="shared" si="100"/>
        <v/>
      </c>
    </row>
    <row r="6415" spans="1:3" x14ac:dyDescent="0.25">
      <c r="A6415" s="389">
        <v>4.4115054299999992</v>
      </c>
      <c r="B6415" s="464">
        <v>8.6692134307692313E-3</v>
      </c>
      <c r="C6415" t="str">
        <f t="shared" si="100"/>
        <v/>
      </c>
    </row>
    <row r="6416" spans="1:3" x14ac:dyDescent="0.25">
      <c r="A6416" s="389">
        <v>4.7447965199999995</v>
      </c>
      <c r="B6416" s="464">
        <v>2.1381880313076921E-2</v>
      </c>
      <c r="C6416" t="str">
        <f t="shared" si="100"/>
        <v/>
      </c>
    </row>
    <row r="6417" spans="1:3" x14ac:dyDescent="0.25">
      <c r="A6417" s="389">
        <v>4.7447965199999995</v>
      </c>
      <c r="B6417" s="464">
        <v>1.4866277959692307E-2</v>
      </c>
      <c r="C6417" t="str">
        <f t="shared" si="100"/>
        <v/>
      </c>
    </row>
    <row r="6418" spans="1:3" x14ac:dyDescent="0.25">
      <c r="A6418" s="389">
        <v>3.5495359499999997</v>
      </c>
      <c r="B6418" s="464">
        <v>4.5784523815384608E-3</v>
      </c>
      <c r="C6418" t="str">
        <f t="shared" si="100"/>
        <v/>
      </c>
    </row>
    <row r="6419" spans="1:3" x14ac:dyDescent="0.25">
      <c r="A6419" s="389">
        <v>4.0436676</v>
      </c>
      <c r="B6419" s="464">
        <v>1.2855564032410258E-2</v>
      </c>
      <c r="C6419" t="str">
        <f t="shared" si="100"/>
        <v/>
      </c>
    </row>
    <row r="6420" spans="1:3" x14ac:dyDescent="0.25">
      <c r="A6420" s="389">
        <v>4.8178543799999991</v>
      </c>
      <c r="B6420" s="464">
        <v>1.1620361374615385E-2</v>
      </c>
      <c r="C6420" t="str">
        <f t="shared" si="100"/>
        <v/>
      </c>
    </row>
    <row r="6421" spans="1:3" x14ac:dyDescent="0.25">
      <c r="A6421" s="389">
        <v>4.6723049999999997</v>
      </c>
      <c r="B6421" s="464">
        <v>8.3174192625641036E-3</v>
      </c>
      <c r="C6421" t="str">
        <f t="shared" si="100"/>
        <v/>
      </c>
    </row>
    <row r="6422" spans="1:3" x14ac:dyDescent="0.25">
      <c r="A6422" s="389">
        <v>4.8178543799999991</v>
      </c>
      <c r="B6422" s="464">
        <v>1.7534426469538459E-2</v>
      </c>
      <c r="C6422" t="str">
        <f t="shared" si="100"/>
        <v/>
      </c>
    </row>
    <row r="6423" spans="1:3" x14ac:dyDescent="0.25">
      <c r="A6423" s="389">
        <v>2.9797979099999998</v>
      </c>
      <c r="B6423" s="464">
        <v>8.2375219864615368E-3</v>
      </c>
      <c r="C6423" t="str">
        <f t="shared" si="100"/>
        <v/>
      </c>
    </row>
    <row r="6424" spans="1:3" x14ac:dyDescent="0.25">
      <c r="A6424" s="389">
        <v>2.6074293599999998</v>
      </c>
      <c r="B6424" s="464">
        <v>8.6019058730769232E-3</v>
      </c>
      <c r="C6424" t="str">
        <f t="shared" si="100"/>
        <v/>
      </c>
    </row>
    <row r="6425" spans="1:3" x14ac:dyDescent="0.25">
      <c r="A6425" s="389">
        <v>2.3219939999999997</v>
      </c>
      <c r="B6425" s="464">
        <v>3.157352659641025E-3</v>
      </c>
      <c r="C6425" t="str">
        <f t="shared" si="100"/>
        <v/>
      </c>
    </row>
    <row r="6426" spans="1:3" x14ac:dyDescent="0.25">
      <c r="A6426" s="389">
        <v>2.1520919999999997</v>
      </c>
      <c r="B6426" s="464">
        <v>3.733325866666666E-3</v>
      </c>
      <c r="C6426" t="str">
        <f t="shared" si="100"/>
        <v/>
      </c>
    </row>
    <row r="6427" spans="1:3" x14ac:dyDescent="0.25">
      <c r="A6427" s="389">
        <v>0.10845410999999999</v>
      </c>
      <c r="B6427" s="464">
        <v>1.6333300666666665E-6</v>
      </c>
      <c r="C6427" t="str">
        <f t="shared" si="100"/>
        <v/>
      </c>
    </row>
    <row r="6428" spans="1:3" x14ac:dyDescent="0.25">
      <c r="A6428" s="389">
        <v>0.13450574999999998</v>
      </c>
      <c r="B6428" s="464">
        <v>7.954317424666668E-4</v>
      </c>
      <c r="C6428" t="str">
        <f t="shared" si="100"/>
        <v/>
      </c>
    </row>
    <row r="6429" spans="1:3" x14ac:dyDescent="0.25">
      <c r="A6429" s="389">
        <v>0.10052534999999999</v>
      </c>
      <c r="B6429" s="464">
        <v>5.1286564093333336E-4</v>
      </c>
      <c r="C6429" t="str">
        <f t="shared" si="100"/>
        <v/>
      </c>
    </row>
    <row r="6430" spans="1:3" x14ac:dyDescent="0.25">
      <c r="A6430" s="389">
        <v>9.1747079999999995E-2</v>
      </c>
      <c r="B6430" s="464">
        <v>1.7166632333333332E-6</v>
      </c>
      <c r="C6430" t="str">
        <f t="shared" si="100"/>
        <v/>
      </c>
    </row>
    <row r="6431" spans="1:3" x14ac:dyDescent="0.25">
      <c r="A6431" s="389">
        <v>8.5517339999999997E-2</v>
      </c>
      <c r="B6431" s="464">
        <v>1.6333300666666665E-6</v>
      </c>
      <c r="C6431" t="str">
        <f t="shared" si="100"/>
        <v/>
      </c>
    </row>
    <row r="6432" spans="1:3" x14ac:dyDescent="0.25">
      <c r="A6432" s="389">
        <v>9.0897569999999997E-2</v>
      </c>
      <c r="B6432" s="464">
        <v>3.7566591533333342E-5</v>
      </c>
      <c r="C6432" t="str">
        <f t="shared" si="100"/>
        <v/>
      </c>
    </row>
    <row r="6433" spans="1:3" x14ac:dyDescent="0.25">
      <c r="A6433" s="389">
        <v>0.16452176999999998</v>
      </c>
      <c r="B6433" s="464">
        <v>7.7399845200000017E-5</v>
      </c>
      <c r="C6433" t="str">
        <f t="shared" si="100"/>
        <v/>
      </c>
    </row>
    <row r="6434" spans="1:3" x14ac:dyDescent="0.25">
      <c r="A6434" s="389">
        <v>0.19085658</v>
      </c>
      <c r="B6434" s="464">
        <v>1.9586627493333331E-3</v>
      </c>
      <c r="C6434" t="str">
        <f t="shared" si="100"/>
        <v/>
      </c>
    </row>
    <row r="6435" spans="1:3" x14ac:dyDescent="0.25">
      <c r="A6435" s="389">
        <v>0.21067848</v>
      </c>
      <c r="B6435" s="464">
        <v>2.1226624213333332E-3</v>
      </c>
      <c r="C6435" t="str">
        <f t="shared" si="100"/>
        <v/>
      </c>
    </row>
    <row r="6436" spans="1:3" x14ac:dyDescent="0.25">
      <c r="A6436" s="389">
        <v>0.21577553999999999</v>
      </c>
      <c r="B6436" s="464">
        <v>4.7213905571999995E-3</v>
      </c>
      <c r="C6436" t="str">
        <f t="shared" si="100"/>
        <v/>
      </c>
    </row>
    <row r="6437" spans="1:3" x14ac:dyDescent="0.25">
      <c r="A6437" s="389">
        <v>0.20133387</v>
      </c>
      <c r="B6437" s="464">
        <v>1.1754643157333333E-3</v>
      </c>
      <c r="C6437" t="str">
        <f t="shared" si="100"/>
        <v/>
      </c>
    </row>
    <row r="6438" spans="1:3" x14ac:dyDescent="0.25">
      <c r="A6438" s="389">
        <v>0.20586458999999999</v>
      </c>
      <c r="B6438" s="464">
        <v>3.0570605525333337E-3</v>
      </c>
      <c r="C6438" t="str">
        <f t="shared" si="100"/>
        <v/>
      </c>
    </row>
    <row r="6439" spans="1:3" x14ac:dyDescent="0.25">
      <c r="A6439" s="389">
        <v>0.22880135999999998</v>
      </c>
      <c r="B6439" s="464">
        <v>3.7006592653333337E-3</v>
      </c>
      <c r="C6439" t="str">
        <f t="shared" si="100"/>
        <v/>
      </c>
    </row>
    <row r="6440" spans="1:3" x14ac:dyDescent="0.25">
      <c r="A6440" s="389">
        <v>0.26986100999999996</v>
      </c>
      <c r="B6440" s="464">
        <v>2.6857946283999996E-3</v>
      </c>
      <c r="C6440" t="str">
        <f t="shared" si="100"/>
        <v/>
      </c>
    </row>
    <row r="6441" spans="1:3" x14ac:dyDescent="0.25">
      <c r="A6441" s="389">
        <v>0.38171316</v>
      </c>
      <c r="B6441" s="464">
        <v>6.6034701263666664E-3</v>
      </c>
      <c r="C6441" t="str">
        <f t="shared" si="100"/>
        <v/>
      </c>
    </row>
    <row r="6442" spans="1:3" x14ac:dyDescent="0.25">
      <c r="A6442" s="389">
        <v>0.33329108999999996</v>
      </c>
      <c r="B6442" s="464">
        <v>2.8716912263030306E-3</v>
      </c>
      <c r="C6442" t="str">
        <f t="shared" si="100"/>
        <v/>
      </c>
    </row>
    <row r="6443" spans="1:3" x14ac:dyDescent="0.25">
      <c r="A6443" s="389">
        <v>0.31148699999999996</v>
      </c>
      <c r="B6443" s="464">
        <v>2.8568427711515147E-3</v>
      </c>
      <c r="C6443" t="str">
        <f t="shared" si="100"/>
        <v/>
      </c>
    </row>
    <row r="6444" spans="1:3" x14ac:dyDescent="0.25">
      <c r="A6444" s="389">
        <v>0.43721447999999996</v>
      </c>
      <c r="B6444" s="464">
        <v>8.1184610357727272E-3</v>
      </c>
      <c r="C6444" t="str">
        <f t="shared" si="100"/>
        <v/>
      </c>
    </row>
    <row r="6445" spans="1:3" x14ac:dyDescent="0.25">
      <c r="A6445" s="389">
        <v>0.78211553999999994</v>
      </c>
      <c r="B6445" s="464">
        <v>1.2450162599624996E-2</v>
      </c>
      <c r="C6445" t="str">
        <f t="shared" si="100"/>
        <v/>
      </c>
    </row>
    <row r="6446" spans="1:3" x14ac:dyDescent="0.25">
      <c r="A6446" s="389">
        <v>0.65129099999999995</v>
      </c>
      <c r="B6446" s="464">
        <v>8.609982779999999E-3</v>
      </c>
      <c r="C6446" t="str">
        <f t="shared" si="100"/>
        <v/>
      </c>
    </row>
    <row r="6447" spans="1:3" x14ac:dyDescent="0.25">
      <c r="A6447" s="389">
        <v>0.58955994</v>
      </c>
      <c r="B6447" s="464">
        <v>7.6049153456944456E-3</v>
      </c>
      <c r="C6447" t="str">
        <f t="shared" si="100"/>
        <v/>
      </c>
    </row>
    <row r="6448" spans="1:3" x14ac:dyDescent="0.25">
      <c r="A6448" s="389">
        <v>0.57851630999999992</v>
      </c>
      <c r="B6448" s="464">
        <v>1.0044979909999998E-2</v>
      </c>
      <c r="C6448" t="str">
        <f t="shared" si="100"/>
        <v/>
      </c>
    </row>
    <row r="6449" spans="1:3" x14ac:dyDescent="0.25">
      <c r="A6449" s="389">
        <v>0.69801404999999994</v>
      </c>
      <c r="B6449" s="464">
        <v>1.3361987164861111E-2</v>
      </c>
      <c r="C6449" t="str">
        <f t="shared" si="100"/>
        <v/>
      </c>
    </row>
    <row r="6450" spans="1:3" x14ac:dyDescent="0.25">
      <c r="A6450" s="389">
        <v>0.70112892000000004</v>
      </c>
      <c r="B6450" s="464">
        <v>1.4893789656805554E-2</v>
      </c>
      <c r="C6450" t="str">
        <f t="shared" si="100"/>
        <v/>
      </c>
    </row>
    <row r="6451" spans="1:3" x14ac:dyDescent="0.25">
      <c r="A6451" s="389">
        <v>0.57851630999999992</v>
      </c>
      <c r="B6451" s="464">
        <v>7.9446507773333341E-3</v>
      </c>
      <c r="C6451" t="str">
        <f t="shared" si="100"/>
        <v/>
      </c>
    </row>
    <row r="6452" spans="1:3" x14ac:dyDescent="0.25">
      <c r="A6452" s="389">
        <v>0.70056257999999993</v>
      </c>
      <c r="B6452" s="464">
        <v>1.3979360930111113E-2</v>
      </c>
      <c r="C6452" t="str">
        <f t="shared" si="100"/>
        <v/>
      </c>
    </row>
    <row r="6453" spans="1:3" x14ac:dyDescent="0.25">
      <c r="A6453" s="389">
        <v>0.70084574999999993</v>
      </c>
      <c r="B6453" s="464">
        <v>1.1568976861999997E-2</v>
      </c>
      <c r="C6453" t="str">
        <f t="shared" si="100"/>
        <v/>
      </c>
    </row>
    <row r="6454" spans="1:3" x14ac:dyDescent="0.25">
      <c r="A6454" s="389">
        <v>0.90784302000000006</v>
      </c>
      <c r="B6454" s="464">
        <v>1.2848349303249998E-2</v>
      </c>
      <c r="C6454" t="str">
        <f t="shared" si="100"/>
        <v/>
      </c>
    </row>
    <row r="6455" spans="1:3" x14ac:dyDescent="0.25">
      <c r="A6455" s="389">
        <v>0.90784302000000006</v>
      </c>
      <c r="B6455" s="464">
        <v>1.6364467270999997E-2</v>
      </c>
      <c r="C6455" t="str">
        <f t="shared" si="100"/>
        <v/>
      </c>
    </row>
    <row r="6456" spans="1:3" x14ac:dyDescent="0.25">
      <c r="A6456" s="389">
        <v>0.79287599999999991</v>
      </c>
      <c r="B6456" s="464">
        <v>1.8224588550749998E-2</v>
      </c>
      <c r="C6456" t="str">
        <f t="shared" si="100"/>
        <v/>
      </c>
    </row>
    <row r="6457" spans="1:3" x14ac:dyDescent="0.25">
      <c r="A6457" s="389">
        <v>0.72095081999999999</v>
      </c>
      <c r="B6457" s="464">
        <v>1.1568976861999997E-2</v>
      </c>
      <c r="C6457" t="str">
        <f t="shared" ref="C6457:C6520" si="101">IF(B6457=0,"XXXXXXXX","")</f>
        <v/>
      </c>
    </row>
    <row r="6458" spans="1:3" x14ac:dyDescent="0.25">
      <c r="A6458" s="389">
        <v>0.70792499999999992</v>
      </c>
      <c r="B6458" s="464">
        <v>6.4985324574545452E-3</v>
      </c>
      <c r="C6458" t="str">
        <f t="shared" si="101"/>
        <v/>
      </c>
    </row>
    <row r="6459" spans="1:3" x14ac:dyDescent="0.25">
      <c r="A6459" s="389">
        <v>0.87188042999999993</v>
      </c>
      <c r="B6459" s="464">
        <v>1.4879820240300001E-2</v>
      </c>
      <c r="C6459" t="str">
        <f t="shared" si="101"/>
        <v/>
      </c>
    </row>
    <row r="6460" spans="1:3" x14ac:dyDescent="0.25">
      <c r="A6460" s="389">
        <v>0.82119299999999995</v>
      </c>
      <c r="B6460" s="464">
        <v>1.2005975987999998E-2</v>
      </c>
      <c r="C6460" t="str">
        <f t="shared" si="101"/>
        <v/>
      </c>
    </row>
    <row r="6461" spans="1:3" x14ac:dyDescent="0.25">
      <c r="A6461" s="389">
        <v>0.70792499999999992</v>
      </c>
      <c r="B6461" s="464">
        <v>1.0798478402999998E-2</v>
      </c>
      <c r="C6461" t="str">
        <f t="shared" si="101"/>
        <v/>
      </c>
    </row>
    <row r="6462" spans="1:3" x14ac:dyDescent="0.25">
      <c r="A6462" s="389">
        <v>0.59465699999999999</v>
      </c>
      <c r="B6462" s="464">
        <v>8.5108996448333332E-3</v>
      </c>
      <c r="C6462" t="str">
        <f t="shared" si="101"/>
        <v/>
      </c>
    </row>
    <row r="6463" spans="1:3" x14ac:dyDescent="0.25">
      <c r="A6463" s="389">
        <v>0.56633999999999995</v>
      </c>
      <c r="B6463" s="464">
        <v>6.4301538063333327E-3</v>
      </c>
      <c r="C6463" t="str">
        <f t="shared" si="101"/>
        <v/>
      </c>
    </row>
    <row r="6464" spans="1:3" x14ac:dyDescent="0.25">
      <c r="A6464" s="389">
        <v>0.50970599999999999</v>
      </c>
      <c r="B6464" s="464">
        <v>6.054321224666666E-3</v>
      </c>
      <c r="C6464" t="str">
        <f t="shared" si="101"/>
        <v/>
      </c>
    </row>
    <row r="6465" spans="1:3" x14ac:dyDescent="0.25">
      <c r="A6465" s="389">
        <v>0.48138899999999996</v>
      </c>
      <c r="B6465" s="464">
        <v>6.1765543135333329E-3</v>
      </c>
      <c r="C6465" t="str">
        <f t="shared" si="101"/>
        <v/>
      </c>
    </row>
    <row r="6466" spans="1:3" x14ac:dyDescent="0.25">
      <c r="A6466" s="389">
        <v>0.45307199999999997</v>
      </c>
      <c r="B6466" s="464">
        <v>3.2781601103333336E-3</v>
      </c>
      <c r="C6466" t="str">
        <f t="shared" si="101"/>
        <v/>
      </c>
    </row>
    <row r="6467" spans="1:3" x14ac:dyDescent="0.25">
      <c r="A6467" s="389">
        <v>0.42475499999999999</v>
      </c>
      <c r="B6467" s="464">
        <v>2.69386961225E-3</v>
      </c>
      <c r="C6467" t="str">
        <f t="shared" si="101"/>
        <v/>
      </c>
    </row>
    <row r="6468" spans="1:3" x14ac:dyDescent="0.25">
      <c r="A6468" s="389">
        <v>0.33980399999999999</v>
      </c>
      <c r="B6468" s="464">
        <v>3.3188961399722217E-3</v>
      </c>
      <c r="C6468" t="str">
        <f t="shared" si="101"/>
        <v/>
      </c>
    </row>
    <row r="6469" spans="1:3" x14ac:dyDescent="0.25">
      <c r="A6469" s="389">
        <v>0.31148699999999996</v>
      </c>
      <c r="B6469" s="464">
        <v>2.1043707912499999E-3</v>
      </c>
      <c r="C6469" t="str">
        <f t="shared" si="101"/>
        <v/>
      </c>
    </row>
    <row r="6470" spans="1:3" x14ac:dyDescent="0.25">
      <c r="A6470" s="389">
        <v>0.22653599999999999</v>
      </c>
      <c r="B6470" s="464">
        <v>1.8493296346666665E-3</v>
      </c>
      <c r="C6470" t="str">
        <f t="shared" si="101"/>
        <v/>
      </c>
    </row>
    <row r="6471" spans="1:3" x14ac:dyDescent="0.25">
      <c r="A6471" s="389">
        <v>0.169902</v>
      </c>
      <c r="B6471" s="464">
        <v>6.7916530833333339E-4</v>
      </c>
      <c r="C6471" t="str">
        <f t="shared" si="101"/>
        <v/>
      </c>
    </row>
    <row r="6472" spans="1:3" x14ac:dyDescent="0.25">
      <c r="A6472" s="389">
        <v>1.0157307899999999</v>
      </c>
      <c r="B6472" s="464">
        <v>5.9849413634266664E-2</v>
      </c>
      <c r="C6472" t="str">
        <f t="shared" si="101"/>
        <v/>
      </c>
    </row>
    <row r="6473" spans="1:3" x14ac:dyDescent="0.25">
      <c r="A6473" s="389">
        <v>0.73256078999999996</v>
      </c>
      <c r="B6473" s="464">
        <v>8.273983451999999E-4</v>
      </c>
      <c r="C6473" t="str">
        <f t="shared" si="101"/>
        <v/>
      </c>
    </row>
    <row r="6474" spans="1:3" x14ac:dyDescent="0.25">
      <c r="A6474" s="389">
        <v>0.63316812</v>
      </c>
      <c r="B6474" s="464">
        <v>1.8956628753333333E-4</v>
      </c>
      <c r="C6474" t="str">
        <f t="shared" si="101"/>
        <v/>
      </c>
    </row>
    <row r="6475" spans="1:3" x14ac:dyDescent="0.25">
      <c r="A6475" s="389">
        <v>0.75181635000000002</v>
      </c>
      <c r="B6475" s="464">
        <v>1.3971972055999999E-3</v>
      </c>
      <c r="C6475" t="str">
        <f t="shared" si="101"/>
        <v/>
      </c>
    </row>
    <row r="6476" spans="1:3" x14ac:dyDescent="0.25">
      <c r="A6476" s="389">
        <v>0.73256078999999996</v>
      </c>
      <c r="B6476" s="464">
        <v>2.7145945708E-3</v>
      </c>
      <c r="C6476" t="str">
        <f t="shared" si="101"/>
        <v/>
      </c>
    </row>
    <row r="6477" spans="1:3" x14ac:dyDescent="0.25">
      <c r="A6477" s="389">
        <v>1.06670139</v>
      </c>
      <c r="B6477" s="464">
        <v>1.5358302616666666E-2</v>
      </c>
      <c r="C6477" t="str">
        <f t="shared" si="101"/>
        <v/>
      </c>
    </row>
    <row r="6478" spans="1:3" x14ac:dyDescent="0.25">
      <c r="A6478" s="389">
        <v>0.80618498999999988</v>
      </c>
      <c r="B6478" s="464">
        <v>6.6642366714999993E-3</v>
      </c>
      <c r="C6478" t="str">
        <f t="shared" si="101"/>
        <v/>
      </c>
    </row>
    <row r="6479" spans="1:3" x14ac:dyDescent="0.25">
      <c r="A6479" s="389">
        <v>0.81609593999999996</v>
      </c>
      <c r="B6479" s="464">
        <v>5.6579053508333333E-3</v>
      </c>
      <c r="C6479" t="str">
        <f t="shared" si="101"/>
        <v/>
      </c>
    </row>
    <row r="6480" spans="1:3" x14ac:dyDescent="0.25">
      <c r="A6480" s="389">
        <v>0.80618498999999988</v>
      </c>
      <c r="B6480" s="464">
        <v>6.4124871750000003E-4</v>
      </c>
      <c r="C6480" t="str">
        <f t="shared" si="101"/>
        <v/>
      </c>
    </row>
    <row r="6481" spans="1:3" x14ac:dyDescent="0.25">
      <c r="A6481" s="389">
        <v>0.80165426999999989</v>
      </c>
      <c r="B6481" s="464">
        <v>5.2309728713666659E-3</v>
      </c>
      <c r="C6481" t="str">
        <f t="shared" si="101"/>
        <v/>
      </c>
    </row>
    <row r="6482" spans="1:3" x14ac:dyDescent="0.25">
      <c r="A6482" s="389">
        <v>0.95909678999999992</v>
      </c>
      <c r="B6482" s="464">
        <v>1.9413211173499995E-2</v>
      </c>
      <c r="C6482" t="str">
        <f t="shared" si="101"/>
        <v/>
      </c>
    </row>
    <row r="6483" spans="1:3" x14ac:dyDescent="0.25">
      <c r="A6483" s="389">
        <v>1.0157307899999999</v>
      </c>
      <c r="B6483" s="464">
        <v>1.3180873638200001E-2</v>
      </c>
      <c r="C6483" t="str">
        <f t="shared" si="101"/>
        <v/>
      </c>
    </row>
    <row r="6484" spans="1:3" x14ac:dyDescent="0.25">
      <c r="A6484" s="389">
        <v>0.95909678999999992</v>
      </c>
      <c r="B6484" s="464">
        <v>6.8930362138999992E-3</v>
      </c>
      <c r="C6484" t="str">
        <f t="shared" si="101"/>
        <v/>
      </c>
    </row>
    <row r="6485" spans="1:3" x14ac:dyDescent="0.25">
      <c r="A6485" s="389">
        <v>0.90727667999999995</v>
      </c>
      <c r="B6485" s="464">
        <v>3.7767074465699997E-2</v>
      </c>
      <c r="C6485" t="str">
        <f t="shared" si="101"/>
        <v/>
      </c>
    </row>
    <row r="6486" spans="1:3" x14ac:dyDescent="0.25">
      <c r="A6486" s="389">
        <v>0.90727667999999995</v>
      </c>
      <c r="B6486" s="464">
        <v>2.0117668097916666E-2</v>
      </c>
      <c r="C6486" t="str">
        <f t="shared" si="101"/>
        <v/>
      </c>
    </row>
    <row r="6487" spans="1:3" x14ac:dyDescent="0.25">
      <c r="A6487" s="389">
        <v>0.75181635000000002</v>
      </c>
      <c r="B6487" s="464">
        <v>3.2112435774999996E-3</v>
      </c>
      <c r="C6487" t="str">
        <f t="shared" si="101"/>
        <v/>
      </c>
    </row>
    <row r="6488" spans="1:3" x14ac:dyDescent="0.25">
      <c r="A6488" s="389">
        <v>0.53434179000000004</v>
      </c>
      <c r="B6488" s="464">
        <v>8.0184839629999984E-4</v>
      </c>
      <c r="C6488" t="str">
        <f t="shared" si="101"/>
        <v/>
      </c>
    </row>
    <row r="6489" spans="1:3" x14ac:dyDescent="0.25">
      <c r="A6489" s="389">
        <v>0.53434179000000004</v>
      </c>
      <c r="B6489" s="464">
        <v>2.6737946524000001E-3</v>
      </c>
      <c r="C6489" t="str">
        <f t="shared" si="101"/>
        <v/>
      </c>
    </row>
    <row r="6490" spans="1:3" x14ac:dyDescent="0.25">
      <c r="A6490" s="389">
        <v>0.45307199999999997</v>
      </c>
      <c r="B6490" s="464">
        <v>3.6249927499999992E-5</v>
      </c>
      <c r="C6490" t="str">
        <f t="shared" si="101"/>
        <v/>
      </c>
    </row>
    <row r="6491" spans="1:3" x14ac:dyDescent="0.25">
      <c r="A6491" s="389">
        <v>0.41059649999999998</v>
      </c>
      <c r="B6491" s="464">
        <v>3.6133927731999997E-3</v>
      </c>
      <c r="C6491" t="str">
        <f t="shared" si="101"/>
        <v/>
      </c>
    </row>
    <row r="6492" spans="1:3" x14ac:dyDescent="0.25">
      <c r="A6492" s="389">
        <v>0.36812099999999998</v>
      </c>
      <c r="B6492" s="464">
        <v>3.8912422175E-4</v>
      </c>
      <c r="C6492" t="str">
        <f t="shared" si="101"/>
        <v/>
      </c>
    </row>
    <row r="6493" spans="1:3" x14ac:dyDescent="0.25">
      <c r="A6493" s="389">
        <v>0.36217442999999994</v>
      </c>
      <c r="B6493" s="464">
        <v>3.7157425684999999E-4</v>
      </c>
      <c r="C6493" t="str">
        <f t="shared" si="101"/>
        <v/>
      </c>
    </row>
    <row r="6494" spans="1:3" x14ac:dyDescent="0.25">
      <c r="A6494" s="389">
        <v>5.6195413910258507</v>
      </c>
      <c r="B6494" s="464">
        <v>7.2062998730857142E-2</v>
      </c>
      <c r="C6494" t="str">
        <f t="shared" si="101"/>
        <v/>
      </c>
    </row>
    <row r="6495" spans="1:3" x14ac:dyDescent="0.25">
      <c r="A6495" s="389">
        <v>8.1199150234773363</v>
      </c>
      <c r="B6495" s="464">
        <v>0.13721897556150001</v>
      </c>
      <c r="C6495" t="str">
        <f t="shared" si="101"/>
        <v/>
      </c>
    </row>
    <row r="6496" spans="1:3" x14ac:dyDescent="0.25">
      <c r="A6496" s="389">
        <v>10.342034731917137</v>
      </c>
      <c r="B6496" s="464">
        <v>0.1188943399886222</v>
      </c>
      <c r="C6496" t="str">
        <f t="shared" si="101"/>
        <v/>
      </c>
    </row>
    <row r="6497" spans="1:3" x14ac:dyDescent="0.25">
      <c r="A6497" s="389">
        <v>13.294088192495101</v>
      </c>
      <c r="B6497" s="464">
        <v>0.23032666661847265</v>
      </c>
      <c r="C6497" t="str">
        <f t="shared" si="101"/>
        <v/>
      </c>
    </row>
    <row r="6498" spans="1:3" x14ac:dyDescent="0.25">
      <c r="A6498" s="389">
        <v>8.8340716907352075</v>
      </c>
      <c r="B6498" s="464">
        <v>5.6524899071187878E-2</v>
      </c>
      <c r="C6498" t="str">
        <f t="shared" si="101"/>
        <v/>
      </c>
    </row>
    <row r="6499" spans="1:3" x14ac:dyDescent="0.25">
      <c r="A6499" s="389">
        <v>6.4979718023730531</v>
      </c>
      <c r="B6499" s="464">
        <v>8.0589827708911099E-2</v>
      </c>
      <c r="C6499" t="str">
        <f t="shared" si="101"/>
        <v/>
      </c>
    </row>
    <row r="6500" spans="1:3" x14ac:dyDescent="0.25">
      <c r="A6500" s="389">
        <v>6.4979718023730531</v>
      </c>
      <c r="B6500" s="464">
        <v>8.4622519643511099E-2</v>
      </c>
      <c r="C6500" t="str">
        <f t="shared" si="101"/>
        <v/>
      </c>
    </row>
    <row r="6501" spans="1:3" x14ac:dyDescent="0.25">
      <c r="A6501" s="389">
        <v>6.9583293517599039</v>
      </c>
      <c r="B6501" s="464">
        <v>2.9324941349999994E-2</v>
      </c>
      <c r="C6501" t="str">
        <f t="shared" si="101"/>
        <v/>
      </c>
    </row>
    <row r="6502" spans="1:3" x14ac:dyDescent="0.25">
      <c r="A6502" s="389">
        <v>7.8220612315544233</v>
      </c>
      <c r="B6502" s="464">
        <v>2.6925854481516662E-2</v>
      </c>
      <c r="C6502" t="str">
        <f t="shared" si="101"/>
        <v/>
      </c>
    </row>
    <row r="6503" spans="1:3" x14ac:dyDescent="0.25">
      <c r="A6503" s="389">
        <v>8.2202977098582561</v>
      </c>
      <c r="B6503" s="464">
        <v>3.9104279686021058E-2</v>
      </c>
      <c r="C6503" t="str">
        <f t="shared" si="101"/>
        <v/>
      </c>
    </row>
    <row r="6504" spans="1:3" x14ac:dyDescent="0.25">
      <c r="A6504" s="389">
        <v>7.4326380503070126</v>
      </c>
      <c r="B6504" s="464">
        <v>7.8211400243553317E-2</v>
      </c>
      <c r="C6504" t="str">
        <f t="shared" si="101"/>
        <v/>
      </c>
    </row>
    <row r="6505" spans="1:3" x14ac:dyDescent="0.25">
      <c r="A6505" s="389">
        <v>5.4506826220864886</v>
      </c>
      <c r="B6505" s="464">
        <v>4.7347018639106661E-2</v>
      </c>
      <c r="C6505" t="str">
        <f t="shared" si="101"/>
        <v/>
      </c>
    </row>
    <row r="6506" spans="1:3" x14ac:dyDescent="0.25">
      <c r="A6506" s="389">
        <v>6.0516719427885333</v>
      </c>
      <c r="B6506" s="464">
        <v>4.2345231309367994E-2</v>
      </c>
      <c r="C6506" t="str">
        <f t="shared" si="101"/>
        <v/>
      </c>
    </row>
    <row r="6507" spans="1:3" x14ac:dyDescent="0.25">
      <c r="A6507" s="389">
        <v>4.6409527164668614</v>
      </c>
      <c r="B6507" s="464">
        <v>2.0669402139373912E-2</v>
      </c>
      <c r="C6507" t="str">
        <f t="shared" si="101"/>
        <v/>
      </c>
    </row>
    <row r="6508" spans="1:3" x14ac:dyDescent="0.25">
      <c r="A6508" s="389">
        <v>4.5631726553741148</v>
      </c>
      <c r="B6508" s="464">
        <v>4.7427713144384001E-2</v>
      </c>
      <c r="C6508" t="str">
        <f t="shared" si="101"/>
        <v/>
      </c>
    </row>
    <row r="6509" spans="1:3" x14ac:dyDescent="0.25">
      <c r="A6509" s="389">
        <v>4.1830669612010825</v>
      </c>
      <c r="B6509" s="464">
        <v>3.1606336787199998E-2</v>
      </c>
      <c r="C6509" t="str">
        <f t="shared" si="101"/>
        <v/>
      </c>
    </row>
    <row r="6510" spans="1:3" x14ac:dyDescent="0.25">
      <c r="A6510" s="389">
        <v>3.8177243094761057</v>
      </c>
      <c r="B6510" s="464">
        <v>5.136243060826667E-3</v>
      </c>
      <c r="C6510" t="str">
        <f t="shared" si="101"/>
        <v/>
      </c>
    </row>
    <row r="6511" spans="1:3" x14ac:dyDescent="0.25">
      <c r="A6511" s="389">
        <v>3.5016627253071011</v>
      </c>
      <c r="B6511" s="464">
        <v>3.2369335261199996E-3</v>
      </c>
      <c r="C6511" t="str">
        <f t="shared" si="101"/>
        <v/>
      </c>
    </row>
    <row r="6512" spans="1:3" x14ac:dyDescent="0.25">
      <c r="A6512" s="405">
        <v>1.1026888944975217</v>
      </c>
      <c r="B6512" s="464">
        <v>3.9336032438888884E-4</v>
      </c>
      <c r="C6512" t="str">
        <f t="shared" si="101"/>
        <v/>
      </c>
    </row>
    <row r="6513" spans="1:3" x14ac:dyDescent="0.25">
      <c r="A6513" s="405">
        <v>1.1026888944975217</v>
      </c>
      <c r="B6513" s="464">
        <v>5.2201228930666664E-3</v>
      </c>
      <c r="C6513" t="str">
        <f t="shared" si="101"/>
        <v/>
      </c>
    </row>
    <row r="6514" spans="1:3" x14ac:dyDescent="0.25">
      <c r="A6514" s="405">
        <v>1.6003285229196071</v>
      </c>
      <c r="B6514" s="464">
        <v>1.0296040013939392E-2</v>
      </c>
      <c r="C6514" t="str">
        <f t="shared" si="101"/>
        <v/>
      </c>
    </row>
    <row r="6515" spans="1:3" x14ac:dyDescent="0.25">
      <c r="A6515" s="405">
        <v>2.834585417192502</v>
      </c>
      <c r="B6515" s="464">
        <v>1.6058782697185182E-2</v>
      </c>
      <c r="C6515" t="str">
        <f t="shared" si="101"/>
        <v/>
      </c>
    </row>
    <row r="6516" spans="1:3" x14ac:dyDescent="0.25">
      <c r="A6516" s="405">
        <v>2.834585417192502</v>
      </c>
      <c r="B6516" s="464">
        <v>2.9599940799999998E-2</v>
      </c>
      <c r="C6516" t="str">
        <f t="shared" si="101"/>
        <v/>
      </c>
    </row>
    <row r="6517" spans="1:3" x14ac:dyDescent="0.25">
      <c r="A6517" s="405">
        <v>2.834585417192502</v>
      </c>
      <c r="B6517" s="464">
        <v>9.8712602574399996E-2</v>
      </c>
      <c r="C6517" t="str">
        <f t="shared" si="101"/>
        <v/>
      </c>
    </row>
    <row r="6518" spans="1:3" x14ac:dyDescent="0.25">
      <c r="A6518" s="405">
        <v>2.3994239143999212</v>
      </c>
      <c r="B6518" s="464">
        <v>1.5015727544242423E-2</v>
      </c>
      <c r="C6518" t="str">
        <f t="shared" si="101"/>
        <v/>
      </c>
    </row>
    <row r="6519" spans="1:3" x14ac:dyDescent="0.25">
      <c r="A6519" s="405">
        <v>2.0265906806003686</v>
      </c>
      <c r="B6519" s="464">
        <v>1.3501806329666667E-2</v>
      </c>
      <c r="C6519" t="str">
        <f t="shared" si="101"/>
        <v/>
      </c>
    </row>
    <row r="6520" spans="1:3" x14ac:dyDescent="0.25">
      <c r="A6520" s="405">
        <v>1.9377728934571896</v>
      </c>
      <c r="B6520" s="464">
        <v>8.1173837651999994E-3</v>
      </c>
      <c r="C6520" t="str">
        <f t="shared" si="101"/>
        <v/>
      </c>
    </row>
    <row r="6521" spans="1:3" x14ac:dyDescent="0.25">
      <c r="A6521" s="405">
        <v>1.4942571769799622</v>
      </c>
      <c r="B6521" s="464">
        <v>4.9759900479999994E-3</v>
      </c>
      <c r="C6521" t="str">
        <f t="shared" ref="C6521:C6584" si="102">IF(B6521=0,"XXXXXXXX","")</f>
        <v/>
      </c>
    </row>
    <row r="6522" spans="1:3" x14ac:dyDescent="0.25">
      <c r="A6522" s="405">
        <v>1.6003285229196071</v>
      </c>
      <c r="B6522" s="464">
        <v>6.2133209066666658E-3</v>
      </c>
      <c r="C6522" t="str">
        <f t="shared" si="102"/>
        <v/>
      </c>
    </row>
    <row r="6523" spans="1:3" x14ac:dyDescent="0.25">
      <c r="A6523" s="405">
        <v>1.7374438845850382</v>
      </c>
      <c r="B6523" s="464">
        <v>4.6933239466666662E-3</v>
      </c>
      <c r="C6523" t="str">
        <f t="shared" si="102"/>
        <v/>
      </c>
    </row>
    <row r="6524" spans="1:3" x14ac:dyDescent="0.25">
      <c r="A6524" s="405">
        <v>1.3412429977620735</v>
      </c>
      <c r="B6524" s="464">
        <v>1.8399963199999998E-3</v>
      </c>
      <c r="C6524" t="str">
        <f t="shared" si="102"/>
        <v/>
      </c>
    </row>
    <row r="6525" spans="1:3" x14ac:dyDescent="0.25">
      <c r="A6525" s="405">
        <v>1.468245421201376</v>
      </c>
      <c r="B6525" s="464">
        <v>1.1899976200000001E-3</v>
      </c>
      <c r="C6525" t="str">
        <f t="shared" si="102"/>
        <v/>
      </c>
    </row>
    <row r="6526" spans="1:3" x14ac:dyDescent="0.25">
      <c r="A6526" s="405">
        <v>1.291876015917282</v>
      </c>
      <c r="B6526" s="464">
        <v>1.2635974727999999E-3</v>
      </c>
      <c r="C6526" t="str">
        <f t="shared" si="102"/>
        <v/>
      </c>
    </row>
    <row r="6527" spans="1:3" x14ac:dyDescent="0.25">
      <c r="A6527" s="405">
        <v>1.6003285229196071</v>
      </c>
      <c r="B6527" s="464">
        <v>7.904650857333332E-3</v>
      </c>
      <c r="C6527" t="str">
        <f t="shared" si="102"/>
        <v/>
      </c>
    </row>
    <row r="6528" spans="1:3" x14ac:dyDescent="0.25">
      <c r="A6528" s="405">
        <v>1.3412429977620735</v>
      </c>
      <c r="B6528" s="464">
        <v>3.7370591925333326E-3</v>
      </c>
      <c r="C6528" t="str">
        <f t="shared" si="102"/>
        <v/>
      </c>
    </row>
    <row r="6529" spans="1:3" x14ac:dyDescent="0.25">
      <c r="A6529" s="405">
        <v>0.92693036713491062</v>
      </c>
      <c r="B6529" s="464">
        <v>6.8199863599999991E-4</v>
      </c>
      <c r="C6529" t="str">
        <f t="shared" si="102"/>
        <v/>
      </c>
    </row>
    <row r="6530" spans="1:3" x14ac:dyDescent="0.25">
      <c r="A6530" s="405">
        <v>0.84416748454230228</v>
      </c>
      <c r="B6530" s="464">
        <v>1.9999959999999998E-4</v>
      </c>
      <c r="C6530" t="str">
        <f t="shared" si="102"/>
        <v/>
      </c>
    </row>
    <row r="6531" spans="1:3" x14ac:dyDescent="0.25">
      <c r="A6531" s="405">
        <v>0.72651855301942503</v>
      </c>
      <c r="B6531" s="464">
        <v>4.733323866666666E-4</v>
      </c>
      <c r="C6531" t="str">
        <f t="shared" si="102"/>
        <v/>
      </c>
    </row>
    <row r="6532" spans="1:3" x14ac:dyDescent="0.25">
      <c r="A6532" s="405">
        <v>0.72651855301942503</v>
      </c>
      <c r="B6532" s="464">
        <v>1.3333306666666667E-4</v>
      </c>
      <c r="C6532" t="str">
        <f t="shared" si="102"/>
        <v/>
      </c>
    </row>
    <row r="6533" spans="1:3" x14ac:dyDescent="0.25">
      <c r="A6533" s="405">
        <v>0.65247276427871215</v>
      </c>
      <c r="B6533" s="464">
        <v>2.1413290506666667E-4</v>
      </c>
      <c r="C6533" t="str">
        <f t="shared" si="102"/>
        <v/>
      </c>
    </row>
    <row r="6534" spans="1:3" x14ac:dyDescent="0.25">
      <c r="A6534" s="388">
        <v>0.65372626806460754</v>
      </c>
      <c r="B6534" s="465">
        <v>2.8957824E-2</v>
      </c>
      <c r="C6534" t="str">
        <f t="shared" si="102"/>
        <v/>
      </c>
    </row>
    <row r="6535" spans="1:3" x14ac:dyDescent="0.25">
      <c r="A6535" s="388">
        <v>0.85349957495041096</v>
      </c>
      <c r="B6535" s="465">
        <v>2.2453200000000003E-2</v>
      </c>
      <c r="C6535" t="str">
        <f t="shared" si="102"/>
        <v/>
      </c>
    </row>
    <row r="6536" spans="1:3" x14ac:dyDescent="0.25">
      <c r="A6536" s="388">
        <v>0.87928591669028056</v>
      </c>
      <c r="B6536" s="465">
        <v>1.1138904000000003E-2</v>
      </c>
      <c r="C6536" t="str">
        <f t="shared" si="102"/>
        <v/>
      </c>
    </row>
    <row r="6537" spans="1:3" x14ac:dyDescent="0.25">
      <c r="A6537" s="388">
        <v>1.126381411164636</v>
      </c>
      <c r="B6537" s="465">
        <v>6.4774080000000012E-2</v>
      </c>
      <c r="C6537" t="str">
        <f t="shared" si="102"/>
        <v/>
      </c>
    </row>
    <row r="6538" spans="1:3" x14ac:dyDescent="0.25">
      <c r="A6538" s="388">
        <v>2.2555964862567297</v>
      </c>
      <c r="B6538" s="465">
        <v>0.15452640000000001</v>
      </c>
      <c r="C6538" t="str">
        <f t="shared" si="102"/>
        <v/>
      </c>
    </row>
    <row r="6539" spans="1:3" x14ac:dyDescent="0.25">
      <c r="A6539" s="388">
        <v>0.35647492207424203</v>
      </c>
      <c r="B6539" s="465">
        <v>2.4312959999999999E-3</v>
      </c>
      <c r="C6539" t="str">
        <f t="shared" si="102"/>
        <v/>
      </c>
    </row>
    <row r="6540" spans="1:3" x14ac:dyDescent="0.25">
      <c r="A6540" s="388">
        <v>0.33607254179654295</v>
      </c>
      <c r="B6540" s="465">
        <v>1.5966720000000002E-3</v>
      </c>
      <c r="C6540" t="str">
        <f t="shared" si="102"/>
        <v/>
      </c>
    </row>
    <row r="6541" spans="1:3" x14ac:dyDescent="0.25">
      <c r="A6541" s="388">
        <v>3.6837631056956646</v>
      </c>
      <c r="B6541" s="465">
        <v>3.2133024000000003E-2</v>
      </c>
      <c r="C6541" t="str">
        <f t="shared" si="102"/>
        <v/>
      </c>
    </row>
    <row r="6542" spans="1:3" x14ac:dyDescent="0.25">
      <c r="A6542" s="388">
        <v>5.0155851516010204</v>
      </c>
      <c r="B6542" s="465">
        <v>1.1866176000000001E-2</v>
      </c>
      <c r="C6542" t="str">
        <f t="shared" si="102"/>
        <v/>
      </c>
    </row>
    <row r="6543" spans="1:3" x14ac:dyDescent="0.25">
      <c r="A6543" s="388">
        <v>7.7642391612354773</v>
      </c>
      <c r="B6543" s="465">
        <v>1.3396320000000001E-2</v>
      </c>
      <c r="C6543" t="str">
        <f t="shared" si="102"/>
        <v/>
      </c>
    </row>
    <row r="6544" spans="1:3" x14ac:dyDescent="0.25">
      <c r="A6544" s="388">
        <v>6.7724567866251064</v>
      </c>
      <c r="B6544" s="465">
        <v>1.3426560000000002E-2</v>
      </c>
      <c r="C6544" t="str">
        <f t="shared" si="102"/>
        <v/>
      </c>
    </row>
    <row r="6545" spans="1:3" x14ac:dyDescent="0.25">
      <c r="A6545" s="388">
        <v>4.533862283933126</v>
      </c>
      <c r="B6545" s="465">
        <v>2.2259663999999995E-3</v>
      </c>
      <c r="C6545" t="str">
        <f t="shared" si="102"/>
        <v/>
      </c>
    </row>
    <row r="6546" spans="1:3" x14ac:dyDescent="0.25">
      <c r="A6546" s="388">
        <v>7.8492490790592235</v>
      </c>
      <c r="B6546" s="465">
        <v>2.3950079999999999E-2</v>
      </c>
      <c r="C6546" t="str">
        <f t="shared" si="102"/>
        <v/>
      </c>
    </row>
    <row r="6547" spans="1:3" x14ac:dyDescent="0.25">
      <c r="A6547" s="388">
        <v>8.2176253896287896</v>
      </c>
      <c r="B6547" s="465">
        <v>1.6075583999999997E-2</v>
      </c>
      <c r="C6547" t="str">
        <f t="shared" si="102"/>
        <v/>
      </c>
    </row>
    <row r="6548" spans="1:3" x14ac:dyDescent="0.25">
      <c r="A6548" s="388">
        <v>8.2176253896287896</v>
      </c>
      <c r="B6548" s="465">
        <v>1.0717056000000001E-2</v>
      </c>
      <c r="C6548" t="str">
        <f t="shared" si="102"/>
        <v/>
      </c>
    </row>
    <row r="6549" spans="1:3" x14ac:dyDescent="0.25">
      <c r="A6549" s="388">
        <v>9.5211107962595634</v>
      </c>
      <c r="B6549" s="465">
        <v>6.1236000000000013E-2</v>
      </c>
      <c r="C6549" t="str">
        <f t="shared" si="102"/>
        <v/>
      </c>
    </row>
    <row r="6550" spans="1:3" x14ac:dyDescent="0.25">
      <c r="A6550" s="388">
        <v>6.2623972796826299</v>
      </c>
      <c r="B6550" s="465">
        <v>1.4636160000000002E-2</v>
      </c>
      <c r="C6550" t="str">
        <f t="shared" si="102"/>
        <v/>
      </c>
    </row>
    <row r="6551" spans="1:3" x14ac:dyDescent="0.25">
      <c r="A6551" s="388">
        <v>3.7971096627939929</v>
      </c>
      <c r="B6551" s="465">
        <v>2.6006400000000006E-2</v>
      </c>
      <c r="C6551" t="str">
        <f t="shared" si="102"/>
        <v/>
      </c>
    </row>
    <row r="6552" spans="1:3" x14ac:dyDescent="0.25">
      <c r="A6552" s="388">
        <v>4.4488523661093797</v>
      </c>
      <c r="B6552" s="465">
        <v>2.3677920000000002E-2</v>
      </c>
      <c r="C6552" t="str">
        <f t="shared" si="102"/>
        <v/>
      </c>
    </row>
    <row r="6553" spans="1:3" x14ac:dyDescent="0.25">
      <c r="A6553" s="388">
        <v>3.315386795126098</v>
      </c>
      <c r="B6553" s="465">
        <v>5.1408000000000009E-4</v>
      </c>
      <c r="C6553" t="str">
        <f t="shared" si="102"/>
        <v/>
      </c>
    </row>
    <row r="6554" spans="1:3" x14ac:dyDescent="0.25">
      <c r="A6554" s="388">
        <v>2.6636440918107112</v>
      </c>
      <c r="B6554" s="465">
        <v>1.3205808000000005E-3</v>
      </c>
      <c r="C6554" t="str">
        <f t="shared" si="102"/>
        <v/>
      </c>
    </row>
    <row r="6555" spans="1:3" x14ac:dyDescent="0.25">
      <c r="A6555" s="388">
        <v>2.5786341739869654</v>
      </c>
      <c r="B6555" s="465">
        <v>1.3006224000000003E-3</v>
      </c>
      <c r="C6555" t="str">
        <f t="shared" si="102"/>
        <v/>
      </c>
    </row>
    <row r="6556" spans="1:3" x14ac:dyDescent="0.25">
      <c r="A6556" s="388">
        <v>5.1005950694247668E-2</v>
      </c>
      <c r="B6556" s="465">
        <v>1.0584000000000001E-3</v>
      </c>
      <c r="C6556" t="str">
        <f t="shared" si="102"/>
        <v/>
      </c>
    </row>
    <row r="6557" spans="1:3" x14ac:dyDescent="0.25">
      <c r="A6557" s="388">
        <v>0.37971096627939926</v>
      </c>
      <c r="B6557" s="465">
        <v>4.3092000000000009E-3</v>
      </c>
      <c r="C6557" t="str">
        <f t="shared" si="102"/>
        <v/>
      </c>
    </row>
    <row r="6558" spans="1:3" x14ac:dyDescent="0.25">
      <c r="A6558" s="388">
        <v>0.35137432700481724</v>
      </c>
      <c r="B6558" s="465">
        <v>6.5318400000000014E-3</v>
      </c>
      <c r="C6558" t="str">
        <f t="shared" si="102"/>
        <v/>
      </c>
    </row>
    <row r="6559" spans="1:3" x14ac:dyDescent="0.25">
      <c r="A6559" s="388">
        <v>0.31170303202040239</v>
      </c>
      <c r="B6559" s="465">
        <v>2.2740480000000007E-3</v>
      </c>
      <c r="C6559" t="str">
        <f t="shared" si="102"/>
        <v/>
      </c>
    </row>
    <row r="6560" spans="1:3" x14ac:dyDescent="0.25">
      <c r="A6560" s="388">
        <v>0.69424766222725987</v>
      </c>
      <c r="B6560" s="465">
        <v>1.1188799999999999E-2</v>
      </c>
      <c r="C6560" t="str">
        <f t="shared" si="102"/>
        <v/>
      </c>
    </row>
    <row r="6561" spans="1:3" x14ac:dyDescent="0.25">
      <c r="A6561" s="388">
        <v>1.3884953244545197</v>
      </c>
      <c r="B6561" s="465">
        <v>2.3514624000000001E-2</v>
      </c>
      <c r="C6561" t="str">
        <f t="shared" si="102"/>
        <v/>
      </c>
    </row>
    <row r="6562" spans="1:3" x14ac:dyDescent="0.25">
      <c r="A6562" s="388">
        <v>1.6520260697081326</v>
      </c>
      <c r="B6562" s="465">
        <v>1.3843872000000002E-2</v>
      </c>
      <c r="C6562" t="str">
        <f t="shared" si="102"/>
        <v/>
      </c>
    </row>
    <row r="6563" spans="1:3" x14ac:dyDescent="0.25">
      <c r="A6563" s="388">
        <v>2.0515726834797396</v>
      </c>
      <c r="B6563" s="465">
        <v>1.93914E-2</v>
      </c>
      <c r="C6563" t="str">
        <f t="shared" si="102"/>
        <v/>
      </c>
    </row>
    <row r="6564" spans="1:3" x14ac:dyDescent="0.25">
      <c r="A6564" s="388">
        <v>2.2527628223292719</v>
      </c>
      <c r="B6564" s="465">
        <v>1.8144000000000004E-2</v>
      </c>
      <c r="C6564" t="str">
        <f t="shared" si="102"/>
        <v/>
      </c>
    </row>
    <row r="6565" spans="1:3" x14ac:dyDescent="0.25">
      <c r="A6565" s="388">
        <v>1.8135449135732502</v>
      </c>
      <c r="B6565" s="465">
        <v>7.7565600000000009E-3</v>
      </c>
      <c r="C6565" t="str">
        <f t="shared" si="102"/>
        <v/>
      </c>
    </row>
    <row r="6566" spans="1:3" x14ac:dyDescent="0.25">
      <c r="A6566" s="388">
        <v>1.7710399546613773</v>
      </c>
      <c r="B6566" s="465">
        <v>4.4724960000000012E-3</v>
      </c>
      <c r="C6566" t="str">
        <f t="shared" si="102"/>
        <v/>
      </c>
    </row>
    <row r="6567" spans="1:3" x14ac:dyDescent="0.25">
      <c r="A6567" s="388">
        <v>1.3856616605270615</v>
      </c>
      <c r="B6567" s="465">
        <v>1.7992800000000003E-3</v>
      </c>
      <c r="C6567" t="str">
        <f t="shared" si="102"/>
        <v/>
      </c>
    </row>
    <row r="6568" spans="1:3" x14ac:dyDescent="0.25">
      <c r="A6568" s="388">
        <v>1.2779824312836499</v>
      </c>
      <c r="B6568" s="465">
        <v>3.3415200000000006E-3</v>
      </c>
      <c r="C6568" t="str">
        <f t="shared" si="102"/>
        <v/>
      </c>
    </row>
    <row r="6569" spans="1:3" x14ac:dyDescent="0.25">
      <c r="A6569" s="388">
        <v>1.3289883819778974</v>
      </c>
      <c r="B6569" s="465">
        <v>1.2096000000000003E-3</v>
      </c>
      <c r="C6569" t="str">
        <f t="shared" si="102"/>
        <v/>
      </c>
    </row>
    <row r="6570" spans="1:3" x14ac:dyDescent="0.25">
      <c r="A6570" s="388">
        <v>1.255313119863984</v>
      </c>
      <c r="B6570" s="465">
        <v>2.1772800000000002E-3</v>
      </c>
      <c r="C6570" t="str">
        <f t="shared" si="102"/>
        <v/>
      </c>
    </row>
    <row r="6571" spans="1:3" x14ac:dyDescent="0.25">
      <c r="A6571" s="388">
        <v>0.87560215358458482</v>
      </c>
      <c r="B6571" s="465">
        <v>1.9686240000000001E-2</v>
      </c>
      <c r="C6571" t="str">
        <f t="shared" si="102"/>
        <v/>
      </c>
    </row>
    <row r="6572" spans="1:3" x14ac:dyDescent="0.25">
      <c r="A6572" s="388">
        <v>0.65741003117030317</v>
      </c>
      <c r="B6572" s="465">
        <v>5.3222400000000007E-3</v>
      </c>
      <c r="C6572" t="str">
        <f t="shared" si="102"/>
        <v/>
      </c>
    </row>
    <row r="6573" spans="1:3" x14ac:dyDescent="0.25">
      <c r="A6573" s="388">
        <v>0.46188722017568717</v>
      </c>
      <c r="B6573" s="465">
        <v>9.6163200000000029E-3</v>
      </c>
      <c r="C6573" t="str">
        <f t="shared" si="102"/>
        <v/>
      </c>
    </row>
    <row r="6574" spans="1:3" x14ac:dyDescent="0.25">
      <c r="A6574" s="388">
        <v>0.47888920374043636</v>
      </c>
      <c r="B6574" s="465">
        <v>1.3608000000000001E-3</v>
      </c>
      <c r="C6574" t="str">
        <f t="shared" si="102"/>
        <v/>
      </c>
    </row>
    <row r="6575" spans="1:3" x14ac:dyDescent="0.25">
      <c r="A6575" s="388">
        <v>0.57523377727401537</v>
      </c>
      <c r="B6575" s="465">
        <v>1.6511040000000001E-2</v>
      </c>
      <c r="C6575" t="str">
        <f t="shared" si="102"/>
        <v/>
      </c>
    </row>
    <row r="6576" spans="1:3" x14ac:dyDescent="0.25">
      <c r="A6576" s="388">
        <v>0.48739019552281099</v>
      </c>
      <c r="B6576" s="465">
        <v>4.7174400000000007E-3</v>
      </c>
      <c r="C6576" t="str">
        <f t="shared" si="102"/>
        <v/>
      </c>
    </row>
    <row r="6577" spans="1:3" x14ac:dyDescent="0.25">
      <c r="A6577" s="388">
        <v>1.4508359308586003</v>
      </c>
      <c r="B6577" s="465">
        <v>1.2096000000000003E-2</v>
      </c>
      <c r="C6577" t="str">
        <f t="shared" si="102"/>
        <v/>
      </c>
    </row>
    <row r="6578" spans="1:3" x14ac:dyDescent="0.25">
      <c r="A6578" s="388">
        <v>0.74241994899404928</v>
      </c>
      <c r="B6578" s="465">
        <v>1.5724800000000004E-3</v>
      </c>
      <c r="C6578" t="str">
        <f t="shared" si="102"/>
        <v/>
      </c>
    </row>
    <row r="6579" spans="1:3" x14ac:dyDescent="0.25">
      <c r="A6579" s="388">
        <v>0.43638424482856336</v>
      </c>
      <c r="B6579" s="465">
        <v>1.0160640000000003E-3</v>
      </c>
      <c r="C6579" t="str">
        <f t="shared" si="102"/>
        <v/>
      </c>
    </row>
    <row r="6580" spans="1:3" x14ac:dyDescent="0.25">
      <c r="A6580" s="388">
        <v>1.2298101445168603</v>
      </c>
      <c r="B6580" s="465">
        <v>1.9268928000000001E-2</v>
      </c>
      <c r="C6580" t="str">
        <f t="shared" si="102"/>
        <v/>
      </c>
    </row>
    <row r="6581" spans="1:3" x14ac:dyDescent="0.25">
      <c r="A6581" s="388">
        <v>1.2411448002266932</v>
      </c>
      <c r="B6581" s="465">
        <v>1.0901520000000001E-2</v>
      </c>
      <c r="C6581" t="str">
        <f t="shared" si="102"/>
        <v/>
      </c>
    </row>
    <row r="6582" spans="1:3" x14ac:dyDescent="0.25">
      <c r="A6582" s="388">
        <v>1.2128081609521111</v>
      </c>
      <c r="B6582" s="465">
        <v>6.9552000000000017E-3</v>
      </c>
      <c r="C6582" t="str">
        <f t="shared" si="102"/>
        <v/>
      </c>
    </row>
    <row r="6583" spans="1:3" x14ac:dyDescent="0.25">
      <c r="A6583" s="388">
        <v>0.96344573533578914</v>
      </c>
      <c r="B6583" s="465">
        <v>9.2534400000000004E-4</v>
      </c>
      <c r="C6583" t="str">
        <f t="shared" si="102"/>
        <v/>
      </c>
    </row>
    <row r="6584" spans="1:3" x14ac:dyDescent="0.25">
      <c r="A6584" s="388">
        <v>0.7905922357608387</v>
      </c>
      <c r="B6584" s="465">
        <v>1.2906432000000001E-2</v>
      </c>
      <c r="C6584" t="str">
        <f t="shared" si="102"/>
        <v/>
      </c>
    </row>
    <row r="6585" spans="1:3" x14ac:dyDescent="0.25">
      <c r="A6585" s="388">
        <v>1.4536695947860583</v>
      </c>
      <c r="B6585" s="465">
        <v>2.9181600000000005E-2</v>
      </c>
      <c r="C6585" t="str">
        <f t="shared" ref="C6585:C6648" si="103">IF(B6585=0,"XXXXXXXX","")</f>
        <v/>
      </c>
    </row>
    <row r="6586" spans="1:3" x14ac:dyDescent="0.25">
      <c r="A6586" s="388">
        <v>1.3941626523094361</v>
      </c>
      <c r="B6586" s="465">
        <v>4.2336000000000006E-3</v>
      </c>
      <c r="C6586" t="str">
        <f t="shared" si="103"/>
        <v/>
      </c>
    </row>
    <row r="6587" spans="1:3" x14ac:dyDescent="0.25">
      <c r="A6587" s="388">
        <v>1.4820062340606404</v>
      </c>
      <c r="B6587" s="465">
        <v>9.5800320000000022E-3</v>
      </c>
      <c r="C6587" t="str">
        <f t="shared" si="103"/>
        <v/>
      </c>
    </row>
    <row r="6588" spans="1:3" x14ac:dyDescent="0.25">
      <c r="A6588" s="388">
        <v>1.4026636440918108</v>
      </c>
      <c r="B6588" s="465">
        <v>3.8556E-2</v>
      </c>
      <c r="C6588" t="str">
        <f t="shared" si="103"/>
        <v/>
      </c>
    </row>
    <row r="6589" spans="1:3" x14ac:dyDescent="0.25">
      <c r="A6589" s="388">
        <v>1.5358458486823463</v>
      </c>
      <c r="B6589" s="465">
        <v>9.1309679999999997E-3</v>
      </c>
      <c r="C6589" t="str">
        <f t="shared" si="103"/>
        <v/>
      </c>
    </row>
    <row r="6590" spans="1:3" x14ac:dyDescent="0.25">
      <c r="A6590" s="388">
        <v>1.657693397563049</v>
      </c>
      <c r="B6590" s="465">
        <v>4.6478880000000002E-3</v>
      </c>
      <c r="C6590" t="str">
        <f t="shared" si="103"/>
        <v/>
      </c>
    </row>
    <row r="6591" spans="1:3" x14ac:dyDescent="0.25">
      <c r="A6591" s="388">
        <v>1.405497308019269</v>
      </c>
      <c r="B6591" s="465">
        <v>2.8848960000000001E-3</v>
      </c>
      <c r="C6591" t="str">
        <f t="shared" si="103"/>
        <v/>
      </c>
    </row>
    <row r="6592" spans="1:3" x14ac:dyDescent="0.25">
      <c r="A6592" s="388">
        <v>2.184754888070275</v>
      </c>
      <c r="B6592" s="465">
        <v>9.9020879999999999E-3</v>
      </c>
      <c r="C6592" t="str">
        <f t="shared" si="103"/>
        <v/>
      </c>
    </row>
    <row r="6593" spans="1:3" x14ac:dyDescent="0.25">
      <c r="A6593" s="388">
        <v>1.0824596202890338</v>
      </c>
      <c r="B6593" s="465">
        <v>3.2081616000000007E-2</v>
      </c>
      <c r="C6593" t="str">
        <f t="shared" si="103"/>
        <v/>
      </c>
    </row>
    <row r="6594" spans="1:3" x14ac:dyDescent="0.25">
      <c r="A6594" s="388">
        <v>1.0824596202890338</v>
      </c>
      <c r="B6594" s="465">
        <v>2.6786592000000008E-2</v>
      </c>
      <c r="C6594" t="str">
        <f t="shared" si="103"/>
        <v/>
      </c>
    </row>
    <row r="6595" spans="1:3" x14ac:dyDescent="0.25">
      <c r="A6595" s="388">
        <v>0.88126948143950135</v>
      </c>
      <c r="B6595" s="465">
        <v>3.2598720000000009E-3</v>
      </c>
      <c r="C6595" t="str">
        <f t="shared" si="103"/>
        <v/>
      </c>
    </row>
    <row r="6596" spans="1:3" x14ac:dyDescent="0.25">
      <c r="A6596" s="388">
        <v>0.95494474355341463</v>
      </c>
      <c r="B6596" s="465">
        <v>1.1854080000000004E-3</v>
      </c>
      <c r="C6596" t="str">
        <f t="shared" si="103"/>
        <v/>
      </c>
    </row>
    <row r="6597" spans="1:3" x14ac:dyDescent="0.25">
      <c r="A6597" s="388">
        <v>1.3261547180504392</v>
      </c>
      <c r="B6597" s="465">
        <v>6.6679200000000008E-3</v>
      </c>
      <c r="C6597" t="str">
        <f t="shared" si="103"/>
        <v/>
      </c>
    </row>
    <row r="6598" spans="1:3" x14ac:dyDescent="0.25">
      <c r="A6598" s="388">
        <v>0.40153017852082745</v>
      </c>
      <c r="B6598" s="465">
        <v>3.2205600000000008E-3</v>
      </c>
      <c r="C6598" t="str">
        <f t="shared" si="103"/>
        <v/>
      </c>
    </row>
    <row r="6599" spans="1:3" x14ac:dyDescent="0.25">
      <c r="A6599" s="388">
        <v>0.92717483706432413</v>
      </c>
      <c r="B6599" s="465">
        <v>6.5620800000000003E-4</v>
      </c>
      <c r="C6599" t="str">
        <f t="shared" si="103"/>
        <v/>
      </c>
    </row>
    <row r="6600" spans="1:3" x14ac:dyDescent="0.25">
      <c r="A6600" s="388">
        <v>2.1569849815811848</v>
      </c>
      <c r="B6600" s="465">
        <v>4.2216551999999997E-2</v>
      </c>
      <c r="C6600" t="str">
        <f t="shared" si="103"/>
        <v/>
      </c>
    </row>
    <row r="6601" spans="1:3" x14ac:dyDescent="0.25">
      <c r="A6601" s="388">
        <v>1.8175120430716918</v>
      </c>
      <c r="B6601" s="465">
        <v>1.3547520000000004E-2</v>
      </c>
      <c r="C6601" t="str">
        <f t="shared" si="103"/>
        <v/>
      </c>
    </row>
    <row r="6602" spans="1:3" x14ac:dyDescent="0.25">
      <c r="A6602" s="388">
        <v>1.4190988948710683</v>
      </c>
      <c r="B6602" s="465">
        <v>1.2029472000000001E-2</v>
      </c>
      <c r="C6602" t="str">
        <f t="shared" si="103"/>
        <v/>
      </c>
    </row>
    <row r="6603" spans="1:3" x14ac:dyDescent="0.25">
      <c r="A6603" s="388">
        <v>2.5233777274015301</v>
      </c>
      <c r="B6603" s="465">
        <v>3.5625743999999994E-2</v>
      </c>
      <c r="C6603" t="str">
        <f t="shared" si="103"/>
        <v/>
      </c>
    </row>
    <row r="6604" spans="1:3" x14ac:dyDescent="0.25">
      <c r="A6604" s="388">
        <v>2.6871635024086142</v>
      </c>
      <c r="B6604" s="465">
        <v>3.2060448000000005E-2</v>
      </c>
      <c r="C6604" t="str">
        <f t="shared" si="103"/>
        <v/>
      </c>
    </row>
    <row r="6605" spans="1:3" x14ac:dyDescent="0.25">
      <c r="A6605" s="388">
        <v>2.3955794842731652</v>
      </c>
      <c r="B6605" s="465">
        <v>2.9992032000000005E-2</v>
      </c>
      <c r="C6605" t="str">
        <f t="shared" si="103"/>
        <v/>
      </c>
    </row>
    <row r="6606" spans="1:3" x14ac:dyDescent="0.25">
      <c r="A6606" s="388">
        <v>1.0937942759988666</v>
      </c>
      <c r="B6606" s="465">
        <v>7.1124479999999986E-3</v>
      </c>
      <c r="C6606" t="str">
        <f t="shared" si="103"/>
        <v/>
      </c>
    </row>
    <row r="6607" spans="1:3" x14ac:dyDescent="0.25">
      <c r="A6607" s="388">
        <v>1.2983848115613488</v>
      </c>
      <c r="B6607" s="465">
        <v>1.4161392000000002E-2</v>
      </c>
      <c r="C6607" t="str">
        <f t="shared" si="103"/>
        <v/>
      </c>
    </row>
    <row r="6608" spans="1:3" x14ac:dyDescent="0.25">
      <c r="A6608" s="388">
        <v>1.3431567016151884</v>
      </c>
      <c r="B6608" s="465">
        <v>2.0230560000000005E-2</v>
      </c>
      <c r="C6608" t="str">
        <f t="shared" si="103"/>
        <v/>
      </c>
    </row>
    <row r="6609" spans="1:3" x14ac:dyDescent="0.25">
      <c r="A6609" s="388">
        <v>1.3802776990648911</v>
      </c>
      <c r="B6609" s="465">
        <v>3.2514047999999997E-2</v>
      </c>
      <c r="C6609" t="str">
        <f t="shared" si="103"/>
        <v/>
      </c>
    </row>
    <row r="6610" spans="1:3" x14ac:dyDescent="0.25">
      <c r="A6610" s="388">
        <v>9.2660810427883253E-2</v>
      </c>
      <c r="B6610" s="465">
        <v>1.3668480000000004E-4</v>
      </c>
      <c r="C6610" t="str">
        <f t="shared" si="103"/>
        <v/>
      </c>
    </row>
    <row r="6611" spans="1:3" x14ac:dyDescent="0.25">
      <c r="A6611" s="388">
        <v>0.41569849815811843</v>
      </c>
      <c r="B6611" s="465">
        <v>9.2262240000000034E-3</v>
      </c>
      <c r="C6611" t="str">
        <f t="shared" si="103"/>
        <v/>
      </c>
    </row>
    <row r="6612" spans="1:3" x14ac:dyDescent="0.25">
      <c r="A6612" s="388">
        <v>1.1569849815811843</v>
      </c>
      <c r="B6612" s="465">
        <v>9.7251839999999996E-3</v>
      </c>
      <c r="C6612" t="str">
        <f t="shared" si="103"/>
        <v/>
      </c>
    </row>
    <row r="6613" spans="1:3" x14ac:dyDescent="0.25">
      <c r="A6613" s="388">
        <v>0.77018985548313967</v>
      </c>
      <c r="B6613" s="465">
        <v>4.0068000000000005E-3</v>
      </c>
      <c r="C6613" t="str">
        <f t="shared" si="103"/>
        <v/>
      </c>
    </row>
    <row r="6614" spans="1:3" x14ac:dyDescent="0.25">
      <c r="A6614" s="388">
        <v>0.60810427883253049</v>
      </c>
      <c r="B6614" s="465">
        <v>4.1413680000000003E-3</v>
      </c>
      <c r="C6614" t="str">
        <f t="shared" si="103"/>
        <v/>
      </c>
    </row>
    <row r="6615" spans="1:3" x14ac:dyDescent="0.25">
      <c r="A6615" s="388">
        <v>1.0784924907905924</v>
      </c>
      <c r="B6615" s="465">
        <v>1.5966720000000002E-3</v>
      </c>
      <c r="C6615" t="str">
        <f t="shared" si="103"/>
        <v/>
      </c>
    </row>
    <row r="6616" spans="1:3" x14ac:dyDescent="0.25">
      <c r="A6616" s="388">
        <v>1.0518560498724852</v>
      </c>
      <c r="B6616" s="465">
        <v>5.1695280000000014E-3</v>
      </c>
      <c r="C6616" t="str">
        <f t="shared" si="103"/>
        <v/>
      </c>
    </row>
    <row r="6617" spans="1:3" x14ac:dyDescent="0.25">
      <c r="A6617" s="388">
        <v>1.2431283649759137</v>
      </c>
      <c r="B6617" s="465">
        <v>5.9648400000000008E-3</v>
      </c>
      <c r="C6617" t="str">
        <f t="shared" si="103"/>
        <v/>
      </c>
    </row>
    <row r="6618" spans="1:3" x14ac:dyDescent="0.25">
      <c r="A6618" s="388">
        <v>0.55681496174553691</v>
      </c>
      <c r="B6618" s="465">
        <v>1.7962559999999998E-3</v>
      </c>
      <c r="C6618" t="str">
        <f t="shared" si="103"/>
        <v/>
      </c>
    </row>
    <row r="6619" spans="1:3" x14ac:dyDescent="0.25">
      <c r="A6619" s="388">
        <v>1.3754604703882121</v>
      </c>
      <c r="B6619" s="465">
        <v>2.0434680000000004E-2</v>
      </c>
      <c r="C6619" t="str">
        <f t="shared" si="103"/>
        <v/>
      </c>
    </row>
    <row r="6620" spans="1:3" x14ac:dyDescent="0.25">
      <c r="A6620" s="388">
        <v>1.0527061490507226</v>
      </c>
      <c r="B6620" s="465">
        <v>1.5240960000000002E-3</v>
      </c>
      <c r="C6620" t="str">
        <f t="shared" si="103"/>
        <v/>
      </c>
    </row>
    <row r="6621" spans="1:3" x14ac:dyDescent="0.25">
      <c r="A6621" s="388">
        <v>0.69368092944176829</v>
      </c>
      <c r="B6621" s="465">
        <v>1.5240960000000005E-2</v>
      </c>
      <c r="C6621" t="str">
        <f t="shared" si="103"/>
        <v/>
      </c>
    </row>
    <row r="6622" spans="1:3" x14ac:dyDescent="0.25">
      <c r="A6622" s="388">
        <v>0.36469254746387075</v>
      </c>
      <c r="B6622" s="465">
        <v>2.068416E-3</v>
      </c>
      <c r="C6622" t="str">
        <f t="shared" si="103"/>
        <v/>
      </c>
    </row>
    <row r="6623" spans="1:3" x14ac:dyDescent="0.25">
      <c r="A6623" s="388">
        <v>2.9470104845565316E-2</v>
      </c>
      <c r="B6623" s="465">
        <v>4.8384000000000003E-5</v>
      </c>
      <c r="C6623" t="str">
        <f t="shared" si="103"/>
        <v/>
      </c>
    </row>
    <row r="6624" spans="1:3" x14ac:dyDescent="0.25">
      <c r="A6624" s="388">
        <v>0.11362992349107395</v>
      </c>
      <c r="B6624" s="465">
        <v>1.4696640000000001E-3</v>
      </c>
      <c r="C6624" t="str">
        <f t="shared" si="103"/>
        <v/>
      </c>
    </row>
    <row r="6625" spans="1:3" x14ac:dyDescent="0.25">
      <c r="A6625" s="388">
        <v>0.14508359308586002</v>
      </c>
      <c r="B6625" s="465">
        <v>6.0782399999999997E-4</v>
      </c>
      <c r="C6625" t="str">
        <f t="shared" si="103"/>
        <v/>
      </c>
    </row>
    <row r="6626" spans="1:3" x14ac:dyDescent="0.25">
      <c r="A6626" s="388">
        <v>0.18645508642674979</v>
      </c>
      <c r="B6626" s="465">
        <v>1.945944E-3</v>
      </c>
      <c r="C6626" t="str">
        <f t="shared" si="103"/>
        <v/>
      </c>
    </row>
    <row r="6627" spans="1:3" x14ac:dyDescent="0.25">
      <c r="A6627" s="388">
        <v>0.20969113063190706</v>
      </c>
      <c r="B6627" s="465">
        <v>1.5346800000000003E-3</v>
      </c>
      <c r="C6627" t="str">
        <f t="shared" si="103"/>
        <v/>
      </c>
    </row>
    <row r="6628" spans="1:3" x14ac:dyDescent="0.25">
      <c r="A6628" s="388">
        <v>0.23746103712099748</v>
      </c>
      <c r="B6628" s="465">
        <v>1.5921360000000001E-3</v>
      </c>
      <c r="C6628" t="str">
        <f t="shared" si="103"/>
        <v/>
      </c>
    </row>
    <row r="6629" spans="1:3" x14ac:dyDescent="0.25">
      <c r="A6629" s="388">
        <v>0.14423349390762255</v>
      </c>
      <c r="B6629" s="465">
        <v>1.2247200000000002E-4</v>
      </c>
      <c r="C6629" t="str">
        <f t="shared" si="103"/>
        <v/>
      </c>
    </row>
    <row r="6630" spans="1:3" x14ac:dyDescent="0.25">
      <c r="A6630" s="388">
        <v>0.10314536695947861</v>
      </c>
      <c r="B6630" s="465">
        <v>9.8431200000000021E-4</v>
      </c>
      <c r="C6630" t="str">
        <f t="shared" si="103"/>
        <v/>
      </c>
    </row>
    <row r="6631" spans="1:3" x14ac:dyDescent="0.25">
      <c r="A6631" s="388">
        <v>0.30915273448569003</v>
      </c>
      <c r="B6631" s="465">
        <v>7.5479040000000022E-4</v>
      </c>
      <c r="C6631" t="str">
        <f t="shared" si="103"/>
        <v/>
      </c>
    </row>
    <row r="6632" spans="1:3" x14ac:dyDescent="0.25">
      <c r="A6632" s="388">
        <v>0.24709549447435536</v>
      </c>
      <c r="B6632" s="465">
        <v>1.6934400000000001E-4</v>
      </c>
      <c r="C6632" t="str">
        <f t="shared" si="103"/>
        <v/>
      </c>
    </row>
    <row r="6633" spans="1:3" x14ac:dyDescent="0.25">
      <c r="A6633" s="388">
        <v>0.17937092660810428</v>
      </c>
      <c r="B6633" s="465">
        <v>1.1158560000000001E-3</v>
      </c>
      <c r="C6633" t="str">
        <f t="shared" si="103"/>
        <v/>
      </c>
    </row>
    <row r="6634" spans="1:3" x14ac:dyDescent="0.25">
      <c r="A6634" s="388">
        <v>0.20600736752621138</v>
      </c>
      <c r="B6634" s="465">
        <v>1.3124160000000003E-3</v>
      </c>
      <c r="C6634" t="str">
        <f t="shared" si="103"/>
        <v/>
      </c>
    </row>
    <row r="6635" spans="1:3" x14ac:dyDescent="0.25">
      <c r="A6635" s="388">
        <v>0.12723151034287333</v>
      </c>
      <c r="B6635" s="465">
        <v>3.6892800000000003E-4</v>
      </c>
      <c r="C6635" t="str">
        <f t="shared" si="103"/>
        <v/>
      </c>
    </row>
    <row r="6636" spans="1:3" x14ac:dyDescent="0.25">
      <c r="A6636" s="388">
        <v>0.20232360442051572</v>
      </c>
      <c r="B6636" s="465">
        <v>3.7285919999999993E-3</v>
      </c>
      <c r="C6636" t="str">
        <f t="shared" si="103"/>
        <v/>
      </c>
    </row>
    <row r="6637" spans="1:3" x14ac:dyDescent="0.25">
      <c r="A6637" s="388">
        <v>0.19948994049305752</v>
      </c>
      <c r="B6637" s="465">
        <v>9.8703360000000004E-3</v>
      </c>
      <c r="C6637" t="str">
        <f t="shared" si="103"/>
        <v/>
      </c>
    </row>
    <row r="6638" spans="1:3" x14ac:dyDescent="0.25">
      <c r="A6638" s="388">
        <v>0.29980164352507793</v>
      </c>
      <c r="B6638" s="465">
        <v>8.0438400000000011E-4</v>
      </c>
      <c r="C6638" t="str">
        <f t="shared" si="103"/>
        <v/>
      </c>
    </row>
    <row r="6639" spans="1:3" x14ac:dyDescent="0.25">
      <c r="A6639" s="388">
        <v>0.1878719183904789</v>
      </c>
      <c r="B6639" s="465">
        <v>1.9353600000000007E-4</v>
      </c>
      <c r="C6639" t="str">
        <f t="shared" si="103"/>
        <v/>
      </c>
    </row>
    <row r="6640" spans="1:3" x14ac:dyDescent="0.25">
      <c r="A6640" s="388">
        <v>0.10796259563615755</v>
      </c>
      <c r="B6640" s="465">
        <v>5.7607199999999996E-4</v>
      </c>
      <c r="C6640" t="str">
        <f t="shared" si="103"/>
        <v/>
      </c>
    </row>
    <row r="6641" spans="1:3" x14ac:dyDescent="0.25">
      <c r="A6641" s="388">
        <v>8.5009917823746103E-2</v>
      </c>
      <c r="B6641" s="465">
        <v>1.0886400000000001E-3</v>
      </c>
      <c r="C6641" t="str">
        <f t="shared" si="103"/>
        <v/>
      </c>
    </row>
    <row r="6642" spans="1:3" x14ac:dyDescent="0.25">
      <c r="A6642" s="388">
        <v>7.7925758005100598E-2</v>
      </c>
      <c r="B6642" s="465">
        <v>5.3071200000000002E-4</v>
      </c>
      <c r="C6642" t="str">
        <f t="shared" si="103"/>
        <v/>
      </c>
    </row>
    <row r="6643" spans="1:3" x14ac:dyDescent="0.25">
      <c r="A6643" s="388">
        <v>0.19353924624539531</v>
      </c>
      <c r="B6643" s="465">
        <v>5.902848E-4</v>
      </c>
      <c r="C6643" t="str">
        <f t="shared" si="103"/>
        <v/>
      </c>
    </row>
    <row r="6644" spans="1:3" x14ac:dyDescent="0.25">
      <c r="A6644" s="388">
        <v>0.23859450269198074</v>
      </c>
      <c r="B6644" s="465">
        <v>8.3689200000000019E-3</v>
      </c>
      <c r="C6644" t="str">
        <f t="shared" si="103"/>
        <v/>
      </c>
    </row>
    <row r="6645" spans="1:3" x14ac:dyDescent="0.25">
      <c r="A6645" s="388">
        <v>0.12156418248795693</v>
      </c>
      <c r="B6645" s="465">
        <v>3.6590400000000007E-4</v>
      </c>
      <c r="C6645" t="str">
        <f t="shared" si="103"/>
        <v/>
      </c>
    </row>
    <row r="6646" spans="1:3" x14ac:dyDescent="0.25">
      <c r="A6646" s="388">
        <v>0.35052422782657977</v>
      </c>
      <c r="B6646" s="465">
        <v>3.8102400000000012E-3</v>
      </c>
      <c r="C6646" t="str">
        <f t="shared" si="103"/>
        <v/>
      </c>
    </row>
    <row r="6647" spans="1:3" x14ac:dyDescent="0.25">
      <c r="A6647" s="388">
        <v>0.46018702181921223</v>
      </c>
      <c r="B6647" s="465">
        <v>1.1340000000000001E-2</v>
      </c>
      <c r="C6647" t="str">
        <f t="shared" si="103"/>
        <v/>
      </c>
    </row>
    <row r="6648" spans="1:3" x14ac:dyDescent="0.25">
      <c r="A6648" s="388">
        <v>0.55454803060357039</v>
      </c>
      <c r="B6648" s="465">
        <v>9.1808640000000021E-3</v>
      </c>
      <c r="C6648" t="str">
        <f t="shared" si="103"/>
        <v/>
      </c>
    </row>
    <row r="6649" spans="1:3" x14ac:dyDescent="0.25">
      <c r="A6649" s="388">
        <v>0.35987531878719181</v>
      </c>
      <c r="B6649" s="465">
        <v>5.8968000000000015E-3</v>
      </c>
      <c r="C6649" t="str">
        <f t="shared" ref="C6649:C6711" si="104">IF(B6649=0,"XXXXXXXX","")</f>
        <v/>
      </c>
    </row>
    <row r="6650" spans="1:3" x14ac:dyDescent="0.25">
      <c r="A6650" s="388">
        <v>0.21677529045055258</v>
      </c>
      <c r="B6650" s="465">
        <v>6.6150000000000009E-4</v>
      </c>
      <c r="C6650" t="str">
        <f t="shared" si="104"/>
        <v/>
      </c>
    </row>
    <row r="6651" spans="1:3" x14ac:dyDescent="0.25">
      <c r="A6651" s="388">
        <v>0.1952394446018702</v>
      </c>
      <c r="B6651" s="465">
        <v>4.6872000000000016E-4</v>
      </c>
      <c r="C6651" t="str">
        <f t="shared" si="104"/>
        <v/>
      </c>
    </row>
    <row r="6652" spans="1:3" x14ac:dyDescent="0.25">
      <c r="A6652" s="388">
        <v>0.14565032587135165</v>
      </c>
      <c r="B6652" s="465">
        <v>3.3899040000000003E-4</v>
      </c>
      <c r="C6652" t="str">
        <f t="shared" si="104"/>
        <v/>
      </c>
    </row>
    <row r="6653" spans="1:3" x14ac:dyDescent="0.25">
      <c r="A6653" s="388">
        <v>8.3026353074525369E-2</v>
      </c>
      <c r="B6653" s="465">
        <v>6.1387200000000001E-4</v>
      </c>
      <c r="C6653" t="str">
        <f t="shared" si="104"/>
        <v/>
      </c>
    </row>
    <row r="6654" spans="1:3" x14ac:dyDescent="0.25">
      <c r="A6654" s="388">
        <v>0.11674695381127799</v>
      </c>
      <c r="B6654" s="465">
        <v>3.5380800000000005E-4</v>
      </c>
      <c r="C6654" t="str">
        <f t="shared" si="104"/>
        <v/>
      </c>
    </row>
    <row r="6655" spans="1:3" x14ac:dyDescent="0.25">
      <c r="A6655" s="388">
        <v>5.6673278549164069E-2</v>
      </c>
      <c r="B6655" s="465">
        <v>1.6934400000000001E-4</v>
      </c>
      <c r="C6655" t="str">
        <f t="shared" si="104"/>
        <v/>
      </c>
    </row>
    <row r="6656" spans="1:3" x14ac:dyDescent="0.25">
      <c r="A6656" s="388">
        <v>0.22470954944743554</v>
      </c>
      <c r="B6656" s="465">
        <v>5.2617600000000005E-4</v>
      </c>
      <c r="C6656" t="str">
        <f t="shared" si="104"/>
        <v/>
      </c>
    </row>
    <row r="6657" spans="1:3" x14ac:dyDescent="0.25">
      <c r="A6657" s="388">
        <v>0.41059790308869371</v>
      </c>
      <c r="B6657" s="465">
        <v>5.6246400000000015E-4</v>
      </c>
      <c r="C6657" t="str">
        <f t="shared" si="104"/>
        <v/>
      </c>
    </row>
    <row r="6658" spans="1:3" x14ac:dyDescent="0.25">
      <c r="A6658" s="388">
        <v>0.47293850949277422</v>
      </c>
      <c r="B6658" s="465">
        <v>2.8425600000000009E-4</v>
      </c>
      <c r="C6658" t="str">
        <f t="shared" si="104"/>
        <v/>
      </c>
    </row>
    <row r="6659" spans="1:3" x14ac:dyDescent="0.25">
      <c r="A6659" s="388">
        <v>0.36242561632190423</v>
      </c>
      <c r="B6659" s="465">
        <v>1.9474560000000001E-4</v>
      </c>
      <c r="C6659" t="str">
        <f t="shared" si="104"/>
        <v/>
      </c>
    </row>
    <row r="6660" spans="1:3" x14ac:dyDescent="0.25">
      <c r="A6660" s="388">
        <v>0.77557381694531036</v>
      </c>
      <c r="B6660" s="465">
        <v>7.5600000000000016E-4</v>
      </c>
      <c r="C6660" t="str">
        <f t="shared" si="104"/>
        <v/>
      </c>
    </row>
    <row r="6661" spans="1:3" x14ac:dyDescent="0.25">
      <c r="A6661" s="388">
        <v>0.57608387645225267</v>
      </c>
      <c r="B6661" s="465">
        <v>3.0240000000000006E-3</v>
      </c>
      <c r="C6661" t="str">
        <f t="shared" si="104"/>
        <v/>
      </c>
    </row>
    <row r="6662" spans="1:3" x14ac:dyDescent="0.25">
      <c r="A6662" s="388">
        <v>1.2408614338339472</v>
      </c>
      <c r="B6662" s="465">
        <v>1.1339999999999998E-3</v>
      </c>
      <c r="C6662" t="str">
        <f t="shared" si="104"/>
        <v/>
      </c>
    </row>
    <row r="6663" spans="1:3" x14ac:dyDescent="0.25">
      <c r="A6663" s="388">
        <v>0.73590252196089545</v>
      </c>
      <c r="B6663" s="465">
        <v>3.5985600000000006E-3</v>
      </c>
      <c r="C6663" t="str">
        <f t="shared" si="104"/>
        <v/>
      </c>
    </row>
    <row r="6664" spans="1:3" x14ac:dyDescent="0.25">
      <c r="A6664" s="388">
        <v>0.41484839897988102</v>
      </c>
      <c r="B6664" s="465">
        <v>1.7055360000000003E-4</v>
      </c>
      <c r="C6664" t="str">
        <f t="shared" si="104"/>
        <v/>
      </c>
    </row>
    <row r="6665" spans="1:3" x14ac:dyDescent="0.25">
      <c r="A6665" s="388">
        <v>0.33777274015301784</v>
      </c>
      <c r="B6665" s="465">
        <v>1.3456800000000003E-4</v>
      </c>
      <c r="C6665" t="str">
        <f t="shared" si="104"/>
        <v/>
      </c>
    </row>
    <row r="6666" spans="1:3" x14ac:dyDescent="0.25">
      <c r="A6666" s="388">
        <v>0.26211391328988382</v>
      </c>
      <c r="B6666" s="465">
        <v>3.4987680000000011E-3</v>
      </c>
      <c r="C6666" t="str">
        <f t="shared" si="104"/>
        <v/>
      </c>
    </row>
    <row r="6667" spans="1:3" x14ac:dyDescent="0.25">
      <c r="A6667" s="388">
        <v>0.1572683479739303</v>
      </c>
      <c r="B6667" s="465">
        <v>5.6851200000000018E-4</v>
      </c>
      <c r="C6667" t="str">
        <f t="shared" si="104"/>
        <v/>
      </c>
    </row>
    <row r="6668" spans="1:3" x14ac:dyDescent="0.25">
      <c r="A6668" s="388">
        <v>0.1459336922640975</v>
      </c>
      <c r="B6668" s="465">
        <v>2.3587200000000006E-4</v>
      </c>
      <c r="C6668" t="str">
        <f t="shared" si="104"/>
        <v/>
      </c>
    </row>
    <row r="6669" spans="1:3" x14ac:dyDescent="0.25">
      <c r="A6669" s="388">
        <v>5.6673278549164069E-2</v>
      </c>
      <c r="B6669" s="465">
        <v>2.8448280000000002E-3</v>
      </c>
      <c r="C6669" t="str">
        <f t="shared" si="104"/>
        <v/>
      </c>
    </row>
    <row r="6670" spans="1:3" x14ac:dyDescent="0.25">
      <c r="A6670" s="388">
        <v>6.8007934258996885E-2</v>
      </c>
      <c r="B6670" s="465">
        <v>9.5255999999999997E-4</v>
      </c>
      <c r="C6670" t="str">
        <f t="shared" si="104"/>
        <v/>
      </c>
    </row>
    <row r="6671" spans="1:3" x14ac:dyDescent="0.25">
      <c r="A6671" s="388">
        <v>5.3839614621705861E-2</v>
      </c>
      <c r="B6671" s="465">
        <v>5.9875199999999992E-4</v>
      </c>
      <c r="C6671" t="str">
        <f t="shared" si="104"/>
        <v/>
      </c>
    </row>
    <row r="6672" spans="1:3" x14ac:dyDescent="0.25">
      <c r="A6672" s="388">
        <v>4.817228676678946E-2</v>
      </c>
      <c r="B6672" s="465">
        <v>3.9916800000000004E-4</v>
      </c>
      <c r="C6672" t="str">
        <f t="shared" si="104"/>
        <v/>
      </c>
    </row>
    <row r="6673" spans="1:3" x14ac:dyDescent="0.25">
      <c r="A6673" s="388">
        <v>4.2504958911873052E-2</v>
      </c>
      <c r="B6673" s="465">
        <v>1.0054800000000002E-3</v>
      </c>
      <c r="C6673" t="str">
        <f t="shared" si="104"/>
        <v/>
      </c>
    </row>
    <row r="6674" spans="1:3" x14ac:dyDescent="0.25">
      <c r="A6674" s="388">
        <v>3.9671294984414844E-2</v>
      </c>
      <c r="B6674" s="465">
        <v>1.0160640000000003E-3</v>
      </c>
      <c r="C6674" t="str">
        <f t="shared" si="104"/>
        <v/>
      </c>
    </row>
    <row r="6675" spans="1:3" x14ac:dyDescent="0.25">
      <c r="A6675" s="388">
        <v>3.683763105695665E-2</v>
      </c>
      <c r="B6675" s="465">
        <v>7.2576000000000021E-4</v>
      </c>
      <c r="C6675" t="str">
        <f t="shared" si="104"/>
        <v/>
      </c>
    </row>
    <row r="6676" spans="1:3" x14ac:dyDescent="0.25">
      <c r="A6676" s="388">
        <v>3.683763105695665E-2</v>
      </c>
      <c r="B6676" s="465">
        <v>4.9896000000000012E-4</v>
      </c>
      <c r="C6676" t="str">
        <f t="shared" si="104"/>
        <v/>
      </c>
    </row>
    <row r="6677" spans="1:3" x14ac:dyDescent="0.25">
      <c r="A6677" s="388">
        <v>3.1170303202040242E-2</v>
      </c>
      <c r="B6677" s="465">
        <v>7.7414400000000026E-4</v>
      </c>
      <c r="C6677" t="str">
        <f t="shared" si="104"/>
        <v/>
      </c>
    </row>
    <row r="6678" spans="1:3" x14ac:dyDescent="0.25">
      <c r="A6678" s="388">
        <v>2.8336639274582034E-2</v>
      </c>
      <c r="B6678" s="465">
        <v>3.8707200000000013E-4</v>
      </c>
      <c r="C6678" t="str">
        <f t="shared" si="104"/>
        <v/>
      </c>
    </row>
    <row r="6679" spans="1:3" x14ac:dyDescent="0.25">
      <c r="A6679" s="388">
        <v>2.266931141966563E-2</v>
      </c>
      <c r="B6679" s="465">
        <v>5.322240000000002E-4</v>
      </c>
      <c r="C6679" t="str">
        <f t="shared" si="104"/>
        <v/>
      </c>
    </row>
    <row r="6680" spans="1:3" x14ac:dyDescent="0.25">
      <c r="A6680" s="388">
        <v>2.5502975347123834E-2</v>
      </c>
      <c r="B6680" s="465">
        <v>8.4672000000000013E-4</v>
      </c>
      <c r="C6680" t="str">
        <f t="shared" si="104"/>
        <v/>
      </c>
    </row>
    <row r="6681" spans="1:3" x14ac:dyDescent="0.25">
      <c r="A6681" s="388">
        <v>2.9470104845565316E-2</v>
      </c>
      <c r="B6681" s="465">
        <v>1.9837440000000004E-3</v>
      </c>
      <c r="C6681" t="str">
        <f t="shared" si="104"/>
        <v/>
      </c>
    </row>
    <row r="6682" spans="1:3" x14ac:dyDescent="0.25">
      <c r="A6682" s="388">
        <v>2.7203173703598753E-2</v>
      </c>
      <c r="B6682" s="465">
        <v>3.628800000000001E-4</v>
      </c>
      <c r="C6682" t="str">
        <f t="shared" si="104"/>
        <v/>
      </c>
    </row>
    <row r="6683" spans="1:3" x14ac:dyDescent="0.25">
      <c r="A6683" s="388">
        <v>2.8053272881836216E-2</v>
      </c>
      <c r="B6683" s="465">
        <v>1.1838960000000003E-3</v>
      </c>
      <c r="C6683" t="str">
        <f t="shared" si="104"/>
        <v/>
      </c>
    </row>
    <row r="6684" spans="1:3" x14ac:dyDescent="0.25">
      <c r="A6684" s="388">
        <v>3.683763105695665E-2</v>
      </c>
      <c r="B6684" s="465">
        <v>1.2700799999999998E-3</v>
      </c>
      <c r="C6684" t="str">
        <f t="shared" si="104"/>
        <v/>
      </c>
    </row>
    <row r="6685" spans="1:3" x14ac:dyDescent="0.25">
      <c r="A6685" s="388">
        <v>0.291867384528195</v>
      </c>
      <c r="B6685" s="465">
        <v>3.2508000000000007E-3</v>
      </c>
      <c r="C6685" t="str">
        <f t="shared" si="104"/>
        <v/>
      </c>
    </row>
    <row r="6686" spans="1:3" x14ac:dyDescent="0.25">
      <c r="A6686" s="388">
        <v>1.5103428733352224</v>
      </c>
      <c r="B6686" s="465">
        <v>2.8189728000000008E-2</v>
      </c>
      <c r="C6686" t="str">
        <f t="shared" si="104"/>
        <v/>
      </c>
    </row>
    <row r="6687" spans="1:3" x14ac:dyDescent="0.25">
      <c r="A6687" s="388">
        <v>1.252479455936526</v>
      </c>
      <c r="B6687" s="465">
        <v>1.3538448E-2</v>
      </c>
      <c r="C6687" t="str">
        <f t="shared" si="104"/>
        <v/>
      </c>
    </row>
    <row r="6688" spans="1:3" x14ac:dyDescent="0.25">
      <c r="A6688" s="388">
        <v>1.4621705865684331</v>
      </c>
      <c r="B6688" s="465">
        <v>7.009632E-3</v>
      </c>
      <c r="C6688" t="str">
        <f t="shared" si="104"/>
        <v/>
      </c>
    </row>
    <row r="6689" spans="1:3" x14ac:dyDescent="0.25">
      <c r="A6689" s="388">
        <v>1.1306319070558231</v>
      </c>
      <c r="B6689" s="465">
        <v>2.6671680000000003E-2</v>
      </c>
      <c r="C6689" t="str">
        <f t="shared" si="104"/>
        <v/>
      </c>
    </row>
    <row r="6690" spans="1:3" x14ac:dyDescent="0.25">
      <c r="A6690" s="388">
        <v>0.73391895721167466</v>
      </c>
      <c r="B6690" s="465">
        <v>7.8593760000000013E-3</v>
      </c>
      <c r="C6690" t="str">
        <f t="shared" si="104"/>
        <v/>
      </c>
    </row>
    <row r="6691" spans="1:3" x14ac:dyDescent="0.25">
      <c r="A6691" s="388">
        <v>0.93510909606120718</v>
      </c>
      <c r="B6691" s="465">
        <v>1.2623688000000001E-2</v>
      </c>
      <c r="C6691" t="str">
        <f t="shared" si="104"/>
        <v/>
      </c>
    </row>
    <row r="6692" spans="1:3" x14ac:dyDescent="0.25">
      <c r="A6692" s="388">
        <v>1.1334655709832815</v>
      </c>
      <c r="B6692" s="465">
        <v>2.9030400000000008E-3</v>
      </c>
      <c r="C6692" t="str">
        <f t="shared" si="104"/>
        <v/>
      </c>
    </row>
    <row r="6693" spans="1:3" x14ac:dyDescent="0.25">
      <c r="A6693" s="388">
        <v>1.0399546613771609</v>
      </c>
      <c r="B6693" s="465">
        <v>2.9756160000000004E-3</v>
      </c>
      <c r="C6693" t="str">
        <f t="shared" si="104"/>
        <v/>
      </c>
    </row>
    <row r="6694" spans="1:3" x14ac:dyDescent="0.25">
      <c r="A6694" s="388">
        <v>1.1306319070558231</v>
      </c>
      <c r="B6694" s="465">
        <v>2.5855200000000004E-3</v>
      </c>
      <c r="C6694" t="str">
        <f t="shared" si="104"/>
        <v/>
      </c>
    </row>
    <row r="6695" spans="1:3" x14ac:dyDescent="0.25">
      <c r="A6695" s="388">
        <v>0.73108529328421656</v>
      </c>
      <c r="B6695" s="465">
        <v>1.1959920000000003E-3</v>
      </c>
      <c r="C6695" t="str">
        <f t="shared" si="104"/>
        <v/>
      </c>
    </row>
    <row r="6696" spans="1:3" x14ac:dyDescent="0.25">
      <c r="A6696" s="388">
        <v>0.62057240011334658</v>
      </c>
      <c r="B6696" s="465">
        <v>8.297856000000001E-3</v>
      </c>
      <c r="C6696" t="str">
        <f t="shared" si="104"/>
        <v/>
      </c>
    </row>
    <row r="6697" spans="1:3" x14ac:dyDescent="0.25">
      <c r="A6697" s="388">
        <v>0.68858033437234345</v>
      </c>
      <c r="B6697" s="465">
        <v>3.5925120000000004E-3</v>
      </c>
      <c r="C6697" t="str">
        <f t="shared" si="104"/>
        <v/>
      </c>
    </row>
    <row r="6698" spans="1:3" x14ac:dyDescent="0.25">
      <c r="A6698" s="388">
        <v>0.60073675262113913</v>
      </c>
      <c r="B6698" s="465">
        <v>1.537704E-3</v>
      </c>
      <c r="C6698" t="str">
        <f t="shared" si="104"/>
        <v/>
      </c>
    </row>
    <row r="6699" spans="1:3" x14ac:dyDescent="0.25">
      <c r="A6699" s="388">
        <v>0.37687730235194111</v>
      </c>
      <c r="B6699" s="465">
        <v>3.9296880000000006E-3</v>
      </c>
      <c r="C6699" t="str">
        <f t="shared" si="104"/>
        <v/>
      </c>
    </row>
    <row r="6700" spans="1:3" x14ac:dyDescent="0.25">
      <c r="A6700" s="388">
        <v>0.18418815528478322</v>
      </c>
      <c r="B6700" s="465">
        <v>2.8728000000000005E-4</v>
      </c>
      <c r="C6700" t="str">
        <f t="shared" si="104"/>
        <v/>
      </c>
    </row>
    <row r="6701" spans="1:3" x14ac:dyDescent="0.25">
      <c r="A6701" s="388">
        <v>0.25219608954378014</v>
      </c>
      <c r="B6701" s="465">
        <v>6.6528000000000008E-4</v>
      </c>
      <c r="C6701" t="str">
        <f t="shared" si="104"/>
        <v/>
      </c>
    </row>
    <row r="6702" spans="1:3" x14ac:dyDescent="0.25">
      <c r="A6702" s="388">
        <v>0.17568716350240862</v>
      </c>
      <c r="B6702" s="465">
        <v>2.1178584000000004E-2</v>
      </c>
      <c r="C6702" t="str">
        <f t="shared" si="104"/>
        <v/>
      </c>
    </row>
    <row r="6703" spans="1:3" x14ac:dyDescent="0.25">
      <c r="A6703" s="388">
        <v>0.11958061773873618</v>
      </c>
      <c r="B6703" s="465">
        <v>5.769792000000001E-3</v>
      </c>
      <c r="C6703" t="str">
        <f t="shared" si="104"/>
        <v/>
      </c>
    </row>
    <row r="6704" spans="1:3" x14ac:dyDescent="0.25">
      <c r="A6704" s="388">
        <v>7.679229243411731E-2</v>
      </c>
      <c r="B6704" s="465">
        <v>2.3284800000000004E-3</v>
      </c>
      <c r="C6704" t="str">
        <f t="shared" si="104"/>
        <v/>
      </c>
    </row>
    <row r="6705" spans="1:3" x14ac:dyDescent="0.25">
      <c r="A6705" s="388">
        <v>2.3236044205157267E-2</v>
      </c>
      <c r="B6705" s="465">
        <v>2.0563200000000005E-4</v>
      </c>
      <c r="C6705" t="str">
        <f t="shared" si="104"/>
        <v/>
      </c>
    </row>
    <row r="6706" spans="1:3" x14ac:dyDescent="0.25">
      <c r="A6706" s="388">
        <v>1.5301785208274301E-2</v>
      </c>
      <c r="B6706" s="465">
        <v>5.9875199999999992E-4</v>
      </c>
      <c r="C6706" t="str">
        <f t="shared" si="104"/>
        <v/>
      </c>
    </row>
    <row r="6707" spans="1:3" x14ac:dyDescent="0.25">
      <c r="A6707" s="388">
        <v>9.917823746103711E-3</v>
      </c>
      <c r="B6707" s="465">
        <v>2.676240000000001E-5</v>
      </c>
      <c r="C6707" t="str">
        <f t="shared" si="104"/>
        <v/>
      </c>
    </row>
    <row r="6708" spans="1:3" x14ac:dyDescent="0.25">
      <c r="A6708" s="388">
        <v>9.9744970246528758E-2</v>
      </c>
      <c r="B6708" s="465">
        <v>1.4700000000000002E-5</v>
      </c>
      <c r="C6708" t="str">
        <f t="shared" si="104"/>
        <v/>
      </c>
    </row>
    <row r="6709" spans="1:3" x14ac:dyDescent="0.25">
      <c r="A6709" s="388">
        <v>9.8044771890053839E-2</v>
      </c>
      <c r="B6709" s="465">
        <v>3.0449999999999998E-5</v>
      </c>
      <c r="C6709" t="str">
        <f t="shared" si="104"/>
        <v/>
      </c>
    </row>
    <row r="6710" spans="1:3" x14ac:dyDescent="0.25">
      <c r="A6710" s="388">
        <v>9.1810711249645793E-2</v>
      </c>
      <c r="B6710" s="465">
        <v>2.2400000000000002E-5</v>
      </c>
      <c r="C6710" t="str">
        <f t="shared" si="104"/>
        <v/>
      </c>
    </row>
    <row r="6711" spans="1:3" x14ac:dyDescent="0.25">
      <c r="A6711" s="388">
        <v>8.6143383394729392E-2</v>
      </c>
      <c r="B6711" s="465">
        <v>1.645E-5</v>
      </c>
      <c r="C6711" t="str">
        <f t="shared" si="104"/>
        <v/>
      </c>
    </row>
    <row r="6712" spans="1:3" x14ac:dyDescent="0.25">
      <c r="A6712" s="388">
        <v>9.549447435534146E-2</v>
      </c>
      <c r="B6712" s="465">
        <v>2.1700000000000002E-5</v>
      </c>
      <c r="C6712" t="str">
        <f t="shared" ref="C6712:C6775" si="105">IF(B6712=0,"XXXXXXXX","")</f>
        <v/>
      </c>
    </row>
    <row r="6713" spans="1:3" x14ac:dyDescent="0.25">
      <c r="A6713" s="388">
        <v>9.7761405497308024E-2</v>
      </c>
      <c r="B6713" s="465">
        <v>7.3500000000000008E-6</v>
      </c>
      <c r="C6713" t="str">
        <f t="shared" si="105"/>
        <v/>
      </c>
    </row>
    <row r="6714" spans="1:3" x14ac:dyDescent="0.25">
      <c r="A6714" s="388">
        <v>0.10002833663927457</v>
      </c>
      <c r="B6714" s="465">
        <v>1.26E-5</v>
      </c>
      <c r="C6714" t="str">
        <f t="shared" si="105"/>
        <v/>
      </c>
    </row>
    <row r="6715" spans="1:3" x14ac:dyDescent="0.25">
      <c r="A6715" s="388">
        <v>0.10229526778124115</v>
      </c>
      <c r="B6715" s="465">
        <v>1.225E-5</v>
      </c>
      <c r="C6715" t="str">
        <f t="shared" si="105"/>
        <v/>
      </c>
    </row>
    <row r="6716" spans="1:3" x14ac:dyDescent="0.25">
      <c r="A6716" s="388">
        <v>0.10314536695947861</v>
      </c>
      <c r="B6716" s="465">
        <v>1.0500000000000001E-5</v>
      </c>
      <c r="C6716" t="str">
        <f t="shared" si="105"/>
        <v/>
      </c>
    </row>
    <row r="6717" spans="1:3" x14ac:dyDescent="0.25">
      <c r="A6717" s="388">
        <v>0.10257863417398697</v>
      </c>
      <c r="B6717" s="465">
        <v>1.295E-5</v>
      </c>
      <c r="C6717" t="str">
        <f t="shared" si="105"/>
        <v/>
      </c>
    </row>
    <row r="6718" spans="1:3" x14ac:dyDescent="0.25">
      <c r="A6718" s="388">
        <v>0.10314536695947861</v>
      </c>
      <c r="B6718" s="465">
        <v>4.1999999999999996E-6</v>
      </c>
      <c r="C6718" t="str">
        <f t="shared" si="105"/>
        <v/>
      </c>
    </row>
    <row r="6719" spans="1:3" x14ac:dyDescent="0.25">
      <c r="A6719" s="388">
        <v>0.10682913006517428</v>
      </c>
      <c r="B6719" s="465">
        <v>5.6000000000000006E-6</v>
      </c>
      <c r="C6719" t="str">
        <f t="shared" si="105"/>
        <v/>
      </c>
    </row>
    <row r="6720" spans="1:3" x14ac:dyDescent="0.25">
      <c r="A6720" s="388">
        <v>9.8894871068291312E-2</v>
      </c>
      <c r="B6720" s="465">
        <v>8.9600000000000009E-5</v>
      </c>
      <c r="C6720" t="str">
        <f t="shared" si="105"/>
        <v/>
      </c>
    </row>
    <row r="6721" spans="1:3" x14ac:dyDescent="0.25">
      <c r="A6721" s="388">
        <v>9.6911306319070564E-2</v>
      </c>
      <c r="B6721" s="465">
        <v>8.4000000000000003E-4</v>
      </c>
      <c r="C6721" t="str">
        <f t="shared" si="105"/>
        <v/>
      </c>
    </row>
    <row r="6722" spans="1:3" x14ac:dyDescent="0.25">
      <c r="A6722" s="388">
        <v>6.2340606404080484E-2</v>
      </c>
      <c r="B6722" s="465">
        <v>4.4633333333333339E-3</v>
      </c>
      <c r="C6722" t="str">
        <f t="shared" si="105"/>
        <v/>
      </c>
    </row>
    <row r="6723" spans="1:3" x14ac:dyDescent="0.25">
      <c r="A6723" s="388">
        <v>3.683763105695665E-2</v>
      </c>
      <c r="B6723" s="465">
        <v>1.7333333333333335E-3</v>
      </c>
      <c r="C6723" t="str">
        <f t="shared" si="105"/>
        <v/>
      </c>
    </row>
    <row r="6724" spans="1:3" x14ac:dyDescent="0.25">
      <c r="A6724" s="388">
        <v>3.9671294984414844E-2</v>
      </c>
      <c r="B6724" s="465">
        <v>4.5333333333333328E-3</v>
      </c>
      <c r="C6724" t="str">
        <f t="shared" si="105"/>
        <v/>
      </c>
    </row>
    <row r="6725" spans="1:3" x14ac:dyDescent="0.25">
      <c r="A6725" s="388">
        <v>6.8007934258996885E-2</v>
      </c>
      <c r="B6725" s="465">
        <v>1.7853333333333334E-3</v>
      </c>
      <c r="C6725" t="str">
        <f t="shared" si="105"/>
        <v/>
      </c>
    </row>
    <row r="6726" spans="1:3" x14ac:dyDescent="0.25">
      <c r="A6726" s="388">
        <v>0.10767922924341172</v>
      </c>
      <c r="B6726" s="465">
        <v>1.2909333333333335E-2</v>
      </c>
      <c r="C6726" t="str">
        <f t="shared" si="105"/>
        <v/>
      </c>
    </row>
    <row r="6727" spans="1:3" x14ac:dyDescent="0.25">
      <c r="A6727" s="388">
        <v>8.5009917823746103E-2</v>
      </c>
      <c r="B6727" s="465">
        <v>2.4720000000000002E-3</v>
      </c>
      <c r="C6727" t="str">
        <f t="shared" si="105"/>
        <v/>
      </c>
    </row>
    <row r="6728" spans="1:3" x14ac:dyDescent="0.25">
      <c r="A6728" s="388">
        <v>4.817228676678946E-2</v>
      </c>
      <c r="B6728" s="465">
        <v>1.1333333333333332E-3</v>
      </c>
      <c r="C6728" t="str">
        <f t="shared" si="105"/>
        <v/>
      </c>
    </row>
    <row r="6729" spans="1:3" x14ac:dyDescent="0.25">
      <c r="A6729" s="388">
        <v>3.683763105695665E-2</v>
      </c>
      <c r="B6729" s="465">
        <v>9.3333333333333322E-4</v>
      </c>
      <c r="C6729" t="str">
        <f t="shared" si="105"/>
        <v/>
      </c>
    </row>
    <row r="6730" spans="1:3" x14ac:dyDescent="0.25">
      <c r="A6730" s="388">
        <v>1.7568716350240862E-2</v>
      </c>
      <c r="B6730" s="465">
        <v>1.32E-3</v>
      </c>
      <c r="C6730" t="str">
        <f t="shared" si="105"/>
        <v/>
      </c>
    </row>
    <row r="6731" spans="1:3" x14ac:dyDescent="0.25">
      <c r="A6731" s="388">
        <v>7.1408330971946724E-2</v>
      </c>
      <c r="B6731" s="465">
        <v>2.9333333333333329E-3</v>
      </c>
      <c r="C6731" t="str">
        <f t="shared" si="105"/>
        <v/>
      </c>
    </row>
    <row r="6732" spans="1:3" x14ac:dyDescent="0.25">
      <c r="A6732" s="388">
        <v>0.13856616605270614</v>
      </c>
      <c r="B6732" s="465">
        <v>1.7359999999999999E-3</v>
      </c>
      <c r="C6732" t="str">
        <f t="shared" si="105"/>
        <v/>
      </c>
    </row>
    <row r="6733" spans="1:3" x14ac:dyDescent="0.25">
      <c r="A6733" s="388">
        <v>0.46472088410314533</v>
      </c>
      <c r="B6733" s="465">
        <v>1.9259999999999999E-2</v>
      </c>
      <c r="C6733" t="str">
        <f t="shared" si="105"/>
        <v/>
      </c>
    </row>
    <row r="6734" spans="1:3" x14ac:dyDescent="0.25">
      <c r="A6734" s="388">
        <v>0.87843581751204314</v>
      </c>
      <c r="B6734" s="465">
        <v>7.4760000000000007E-2</v>
      </c>
      <c r="C6734" t="str">
        <f t="shared" si="105"/>
        <v/>
      </c>
    </row>
    <row r="6735" spans="1:3" x14ac:dyDescent="0.25">
      <c r="A6735" s="388">
        <v>0.87843581751204314</v>
      </c>
      <c r="B6735" s="465">
        <v>3.9882000000000001E-2</v>
      </c>
      <c r="C6735" t="str">
        <f t="shared" si="105"/>
        <v/>
      </c>
    </row>
    <row r="6736" spans="1:3" x14ac:dyDescent="0.25">
      <c r="A6736" s="388">
        <v>0.82176253896287899</v>
      </c>
      <c r="B6736" s="465">
        <v>1.624E-3</v>
      </c>
      <c r="C6736" t="str">
        <f t="shared" si="105"/>
        <v/>
      </c>
    </row>
    <row r="6737" spans="1:3" x14ac:dyDescent="0.25">
      <c r="A6737" s="388">
        <v>0.77359025219608957</v>
      </c>
      <c r="B6737" s="465">
        <v>1.8133333333333331E-2</v>
      </c>
      <c r="C6737" t="str">
        <f t="shared" si="105"/>
        <v/>
      </c>
    </row>
    <row r="6738" spans="1:3" x14ac:dyDescent="0.25">
      <c r="A6738" s="388">
        <v>0.70274865400963449</v>
      </c>
      <c r="B6738" s="465">
        <v>1.0845333333333334E-2</v>
      </c>
      <c r="C6738" t="str">
        <f t="shared" si="105"/>
        <v/>
      </c>
    </row>
    <row r="6739" spans="1:3" x14ac:dyDescent="0.25">
      <c r="A6739" s="388">
        <v>0.70274865400963449</v>
      </c>
      <c r="B6739" s="465">
        <v>2.496E-2</v>
      </c>
      <c r="C6739" t="str">
        <f t="shared" si="105"/>
        <v/>
      </c>
    </row>
    <row r="6740" spans="1:3" x14ac:dyDescent="0.25">
      <c r="A6740" s="388">
        <v>0.72825162935675825</v>
      </c>
      <c r="B6740" s="465">
        <v>5.4809999999999998E-2</v>
      </c>
      <c r="C6740" t="str">
        <f t="shared" si="105"/>
        <v/>
      </c>
    </row>
    <row r="6741" spans="1:3" x14ac:dyDescent="0.25">
      <c r="A6741" s="388">
        <v>0.51572683479739301</v>
      </c>
      <c r="B6741" s="465">
        <v>2.8983333333333333E-2</v>
      </c>
      <c r="C6741" t="str">
        <f t="shared" si="105"/>
        <v/>
      </c>
    </row>
    <row r="6742" spans="1:3" x14ac:dyDescent="0.25">
      <c r="A6742" s="388">
        <v>0.7084159818645509</v>
      </c>
      <c r="B6742" s="465">
        <v>2.2806E-2</v>
      </c>
      <c r="C6742" t="str">
        <f t="shared" si="105"/>
        <v/>
      </c>
    </row>
    <row r="6743" spans="1:3" x14ac:dyDescent="0.25">
      <c r="A6743" s="388">
        <v>1.0484556531595353</v>
      </c>
      <c r="B6743" s="465">
        <v>4.4974666666666663E-2</v>
      </c>
      <c r="C6743" t="str">
        <f t="shared" si="105"/>
        <v/>
      </c>
    </row>
    <row r="6744" spans="1:3" x14ac:dyDescent="0.25">
      <c r="A6744" s="388">
        <v>0.39671294984414851</v>
      </c>
      <c r="B6744" s="465">
        <v>4.2919999999999998E-3</v>
      </c>
      <c r="C6744" t="str">
        <f t="shared" si="105"/>
        <v/>
      </c>
    </row>
    <row r="6745" spans="1:3" x14ac:dyDescent="0.25">
      <c r="A6745" s="388">
        <v>0.28336639274582037</v>
      </c>
      <c r="B6745" s="465">
        <v>3.2866666666666665E-3</v>
      </c>
      <c r="C6745" t="str">
        <f t="shared" si="105"/>
        <v/>
      </c>
    </row>
    <row r="6746" spans="1:3" x14ac:dyDescent="0.25">
      <c r="A6746" s="388">
        <v>0.43071691697364689</v>
      </c>
      <c r="B6746" s="465">
        <v>8.2133333333333329E-3</v>
      </c>
      <c r="C6746" t="str">
        <f t="shared" si="105"/>
        <v/>
      </c>
    </row>
    <row r="6747" spans="1:3" x14ac:dyDescent="0.25">
      <c r="A6747" s="388">
        <v>0.34570699914990083</v>
      </c>
      <c r="B6747" s="465">
        <v>1.3013333333333332E-2</v>
      </c>
      <c r="C6747" t="str">
        <f t="shared" si="105"/>
        <v/>
      </c>
    </row>
    <row r="6748" spans="1:3" x14ac:dyDescent="0.25">
      <c r="A6748" s="388">
        <v>0.23802776990648911</v>
      </c>
      <c r="B6748" s="465">
        <v>2.8E-3</v>
      </c>
      <c r="C6748" t="str">
        <f t="shared" si="105"/>
        <v/>
      </c>
    </row>
    <row r="6749" spans="1:3" x14ac:dyDescent="0.25">
      <c r="A6749" s="388">
        <v>0.20685746670444885</v>
      </c>
      <c r="B6749" s="465">
        <v>3.5466666666666659E-3</v>
      </c>
      <c r="C6749" t="str">
        <f t="shared" si="105"/>
        <v/>
      </c>
    </row>
    <row r="6750" spans="1:3" x14ac:dyDescent="0.25">
      <c r="A6750" s="388">
        <v>0.13318220459053556</v>
      </c>
      <c r="B6750" s="465">
        <v>2.1666666666666666E-3</v>
      </c>
      <c r="C6750" t="str">
        <f t="shared" si="105"/>
        <v/>
      </c>
    </row>
    <row r="6751" spans="1:3" x14ac:dyDescent="0.25">
      <c r="A6751" s="388">
        <v>0.12609804477189007</v>
      </c>
      <c r="B6751" s="465">
        <v>3.1199999999999999E-3</v>
      </c>
      <c r="C6751" t="str">
        <f t="shared" si="105"/>
        <v/>
      </c>
    </row>
    <row r="6752" spans="1:3" x14ac:dyDescent="0.25">
      <c r="A6752" s="388">
        <v>0.10342873335222443</v>
      </c>
      <c r="B6752" s="465">
        <v>9.5999999999999992E-4</v>
      </c>
      <c r="C6752" t="str">
        <f t="shared" si="105"/>
        <v/>
      </c>
    </row>
    <row r="6753" spans="1:3" x14ac:dyDescent="0.25">
      <c r="A6753" s="388">
        <v>0.10909606120714084</v>
      </c>
      <c r="B6753" s="465">
        <v>1.7600000000000001E-3</v>
      </c>
      <c r="C6753" t="str">
        <f t="shared" si="105"/>
        <v/>
      </c>
    </row>
    <row r="6754" spans="1:3" x14ac:dyDescent="0.25">
      <c r="A6754" s="388">
        <v>2.266931141966563E-2</v>
      </c>
      <c r="B6754" s="465">
        <v>5.3333333333333336E-4</v>
      </c>
      <c r="C6754" t="str">
        <f t="shared" si="105"/>
        <v/>
      </c>
    </row>
    <row r="6755" spans="1:3" x14ac:dyDescent="0.25">
      <c r="A6755" s="388">
        <v>2.7769906489090394E-2</v>
      </c>
      <c r="B6755" s="465">
        <v>1.8666666666666664E-3</v>
      </c>
      <c r="C6755" t="str">
        <f t="shared" si="105"/>
        <v/>
      </c>
    </row>
    <row r="6756" spans="1:3" x14ac:dyDescent="0.25">
      <c r="A6756" s="388">
        <v>3.683763105695665E-2</v>
      </c>
      <c r="B6756" s="465">
        <v>3.9333333333333338E-3</v>
      </c>
      <c r="C6756" t="str">
        <f t="shared" si="105"/>
        <v/>
      </c>
    </row>
    <row r="6757" spans="1:3" x14ac:dyDescent="0.25">
      <c r="A6757" s="388">
        <v>5.6673278549164069E-2</v>
      </c>
      <c r="B6757" s="465">
        <v>1.4000000000000002E-3</v>
      </c>
      <c r="C6757" t="str">
        <f t="shared" si="105"/>
        <v/>
      </c>
    </row>
    <row r="6758" spans="1:3" x14ac:dyDescent="0.25">
      <c r="A6758" s="388">
        <v>5.6673278549164069E-2</v>
      </c>
      <c r="B6758" s="465">
        <v>1.4000000000000002E-3</v>
      </c>
      <c r="C6758" t="str">
        <f t="shared" si="105"/>
        <v/>
      </c>
    </row>
    <row r="6759" spans="1:3" x14ac:dyDescent="0.25">
      <c r="A6759" s="388">
        <v>4.2504958911873052E-2</v>
      </c>
      <c r="B6759" s="465">
        <v>2.2000000000000001E-3</v>
      </c>
      <c r="C6759" t="str">
        <f t="shared" si="105"/>
        <v/>
      </c>
    </row>
    <row r="6760" spans="1:3" x14ac:dyDescent="0.25">
      <c r="A6760" s="388">
        <v>3.9671294984414844E-2</v>
      </c>
      <c r="B6760" s="465">
        <v>1.5333333333333332E-3</v>
      </c>
      <c r="C6760" t="str">
        <f t="shared" si="105"/>
        <v/>
      </c>
    </row>
    <row r="6761" spans="1:3" x14ac:dyDescent="0.25">
      <c r="A6761" s="388">
        <v>2.8336639274582034E-2</v>
      </c>
      <c r="B6761" s="465">
        <v>3.5333333333333332E-3</v>
      </c>
      <c r="C6761" t="str">
        <f t="shared" si="105"/>
        <v/>
      </c>
    </row>
    <row r="6762" spans="1:3" x14ac:dyDescent="0.25">
      <c r="A6762" s="388">
        <v>1.9835647492207422E-2</v>
      </c>
      <c r="B6762" s="465">
        <v>8.8666666666666646E-4</v>
      </c>
      <c r="C6762" t="str">
        <f t="shared" si="105"/>
        <v/>
      </c>
    </row>
    <row r="6763" spans="1:3" x14ac:dyDescent="0.25">
      <c r="A6763" s="388">
        <v>1.6435250779257581E-2</v>
      </c>
      <c r="B6763" s="465">
        <v>1.7999999999999997E-3</v>
      </c>
      <c r="C6763" t="str">
        <f t="shared" si="105"/>
        <v/>
      </c>
    </row>
    <row r="6764" spans="1:3" x14ac:dyDescent="0.25">
      <c r="A6764" s="388">
        <v>0.23236044205157266</v>
      </c>
      <c r="B6764" s="465">
        <v>8.0593333333333336E-2</v>
      </c>
      <c r="C6764" t="str">
        <f t="shared" si="105"/>
        <v/>
      </c>
    </row>
    <row r="6765" spans="1:3" x14ac:dyDescent="0.25">
      <c r="A6765" s="388">
        <v>0.19268914706715784</v>
      </c>
      <c r="B6765" s="465">
        <v>1.7013333333333332E-2</v>
      </c>
      <c r="C6765" t="str">
        <f t="shared" si="105"/>
        <v/>
      </c>
    </row>
    <row r="6766" spans="1:3" x14ac:dyDescent="0.25">
      <c r="A6766" s="388">
        <v>0.15301785208274299</v>
      </c>
      <c r="B6766" s="465">
        <v>1.0853333333333333E-2</v>
      </c>
      <c r="C6766" t="str">
        <f t="shared" si="105"/>
        <v/>
      </c>
    </row>
    <row r="6767" spans="1:3" x14ac:dyDescent="0.25">
      <c r="A6767" s="388">
        <v>0.11334655709832814</v>
      </c>
      <c r="B6767" s="465">
        <v>8.5066666666666658E-3</v>
      </c>
      <c r="C6767" t="str">
        <f t="shared" si="105"/>
        <v/>
      </c>
    </row>
    <row r="6768" spans="1:3" x14ac:dyDescent="0.25">
      <c r="A6768" s="388">
        <v>8.5009917823746103E-2</v>
      </c>
      <c r="B6768" s="465">
        <v>6.8200000000000005E-3</v>
      </c>
      <c r="C6768" t="str">
        <f t="shared" si="105"/>
        <v/>
      </c>
    </row>
    <row r="6769" spans="1:3" x14ac:dyDescent="0.25">
      <c r="A6769" s="388">
        <v>7.6508926041371494E-2</v>
      </c>
      <c r="B6769" s="465">
        <v>2.2733333333333334E-3</v>
      </c>
      <c r="C6769" t="str">
        <f t="shared" si="105"/>
        <v/>
      </c>
    </row>
    <row r="6770" spans="1:3" x14ac:dyDescent="0.25">
      <c r="A6770" s="388">
        <v>6.2340606404080484E-2</v>
      </c>
      <c r="B6770" s="465">
        <v>3.3733333333333332E-3</v>
      </c>
      <c r="C6770" t="str">
        <f t="shared" si="105"/>
        <v/>
      </c>
    </row>
    <row r="6771" spans="1:3" x14ac:dyDescent="0.25">
      <c r="A6771" s="388">
        <v>4.817228676678946E-2</v>
      </c>
      <c r="B6771" s="465">
        <v>3.2000000000000002E-3</v>
      </c>
      <c r="C6771" t="str">
        <f t="shared" si="105"/>
        <v/>
      </c>
    </row>
    <row r="6772" spans="1:3" x14ac:dyDescent="0.25">
      <c r="A6772" s="388">
        <v>4.5338622839331259E-2</v>
      </c>
      <c r="B6772" s="465">
        <v>2.2000000000000001E-3</v>
      </c>
      <c r="C6772" t="str">
        <f t="shared" si="105"/>
        <v/>
      </c>
    </row>
    <row r="6773" spans="1:3" x14ac:dyDescent="0.25">
      <c r="A6773" s="388">
        <v>3.9671294984414844E-2</v>
      </c>
      <c r="B6773" s="465">
        <v>1.6000000000000001E-3</v>
      </c>
      <c r="C6773" t="str">
        <f t="shared" si="105"/>
        <v/>
      </c>
    </row>
    <row r="6774" spans="1:3" x14ac:dyDescent="0.25">
      <c r="A6774" s="388">
        <v>3.683763105695665E-2</v>
      </c>
      <c r="B6774" s="465">
        <v>1.6666666666666666E-3</v>
      </c>
      <c r="C6774" t="str">
        <f t="shared" si="105"/>
        <v/>
      </c>
    </row>
    <row r="6775" spans="1:3" x14ac:dyDescent="0.25">
      <c r="A6775" s="388">
        <v>3.1170303202040242E-2</v>
      </c>
      <c r="B6775" s="465">
        <v>6.0000000000000006E-4</v>
      </c>
      <c r="C6775" t="str">
        <f t="shared" si="105"/>
        <v/>
      </c>
    </row>
    <row r="6776" spans="1:3" x14ac:dyDescent="0.25">
      <c r="A6776" s="388">
        <v>2.8336639274582034E-2</v>
      </c>
      <c r="B6776" s="465">
        <v>5.3333333333333336E-4</v>
      </c>
      <c r="C6776" t="str">
        <f t="shared" ref="C6776:C6839" si="106">IF(B6776=0,"XXXXXXXX","")</f>
        <v/>
      </c>
    </row>
    <row r="6777" spans="1:3" x14ac:dyDescent="0.25">
      <c r="A6777" s="388">
        <v>5.1005950694247668E-2</v>
      </c>
      <c r="B6777" s="465">
        <v>4.2000000000000002E-4</v>
      </c>
      <c r="C6777" t="str">
        <f t="shared" si="106"/>
        <v/>
      </c>
    </row>
    <row r="6778" spans="1:3" x14ac:dyDescent="0.25">
      <c r="A6778" s="388">
        <v>0.12751487673561915</v>
      </c>
      <c r="B6778" s="465">
        <v>1.9740000000000001E-3</v>
      </c>
      <c r="C6778" t="str">
        <f t="shared" si="106"/>
        <v/>
      </c>
    </row>
    <row r="6779" spans="1:3" x14ac:dyDescent="0.25">
      <c r="A6779" s="388">
        <v>0.10201190138849534</v>
      </c>
      <c r="B6779" s="465">
        <v>6.7932000000000001E-3</v>
      </c>
      <c r="C6779" t="str">
        <f t="shared" si="106"/>
        <v/>
      </c>
    </row>
    <row r="6780" spans="1:3" x14ac:dyDescent="0.25">
      <c r="A6780" s="388">
        <v>0.12184754888070275</v>
      </c>
      <c r="B6780" s="465">
        <v>1.8938666666666667E-3</v>
      </c>
      <c r="C6780" t="str">
        <f t="shared" si="106"/>
        <v/>
      </c>
    </row>
    <row r="6781" spans="1:3" x14ac:dyDescent="0.25">
      <c r="A6781" s="388">
        <v>0.14168319637291019</v>
      </c>
      <c r="B6781" s="465">
        <v>8.4960000000000016E-4</v>
      </c>
      <c r="C6781" t="str">
        <f t="shared" si="106"/>
        <v/>
      </c>
    </row>
    <row r="6782" spans="1:3" x14ac:dyDescent="0.25">
      <c r="A6782" s="388">
        <v>0.11334655709832814</v>
      </c>
      <c r="B6782" s="465">
        <v>8.8560000000000006E-4</v>
      </c>
      <c r="C6782" t="str">
        <f t="shared" si="106"/>
        <v/>
      </c>
    </row>
    <row r="6783" spans="1:3" x14ac:dyDescent="0.25">
      <c r="A6783" s="388">
        <v>9.9178237461037128E-2</v>
      </c>
      <c r="B6783" s="465">
        <v>1.272E-4</v>
      </c>
      <c r="C6783" t="str">
        <f t="shared" si="106"/>
        <v/>
      </c>
    </row>
    <row r="6784" spans="1:3" x14ac:dyDescent="0.25">
      <c r="A6784" s="388">
        <v>6.5174270331538678E-2</v>
      </c>
      <c r="B6784" s="465">
        <v>2.8153333333333331E-4</v>
      </c>
      <c r="C6784" t="str">
        <f t="shared" si="106"/>
        <v/>
      </c>
    </row>
    <row r="6785" spans="1:3" x14ac:dyDescent="0.25">
      <c r="A6785" s="388">
        <v>0.67526211391328983</v>
      </c>
      <c r="B6785" s="465">
        <v>1.2979999999999998E-2</v>
      </c>
      <c r="C6785" t="str">
        <f t="shared" si="106"/>
        <v/>
      </c>
    </row>
    <row r="6786" spans="1:3" x14ac:dyDescent="0.25">
      <c r="A6786" s="388">
        <v>1.0529895154434683</v>
      </c>
      <c r="B6786" s="465">
        <v>5.7493333333333346E-3</v>
      </c>
      <c r="C6786" t="str">
        <f t="shared" si="106"/>
        <v/>
      </c>
    </row>
    <row r="6787" spans="1:3" x14ac:dyDescent="0.25">
      <c r="A6787" s="388">
        <v>2.0954944743553416</v>
      </c>
      <c r="B6787" s="465">
        <v>6.7260000000000002E-3</v>
      </c>
      <c r="C6787" t="str">
        <f t="shared" si="106"/>
        <v/>
      </c>
    </row>
    <row r="6788" spans="1:3" x14ac:dyDescent="0.25">
      <c r="A6788" s="388">
        <v>0.80136015868517996</v>
      </c>
      <c r="B6788" s="465">
        <v>1.8666666666666666E-3</v>
      </c>
      <c r="C6788" t="str">
        <f t="shared" si="106"/>
        <v/>
      </c>
    </row>
    <row r="6789" spans="1:3" x14ac:dyDescent="0.25">
      <c r="A6789" s="388">
        <v>0.65599319920657406</v>
      </c>
      <c r="B6789" s="465">
        <v>5.2199999999999998E-3</v>
      </c>
      <c r="C6789" t="str">
        <f t="shared" si="106"/>
        <v/>
      </c>
    </row>
    <row r="6790" spans="1:3" x14ac:dyDescent="0.25">
      <c r="A6790" s="388">
        <v>0.64890903938792854</v>
      </c>
      <c r="B6790" s="465">
        <v>2.7139999999999994E-3</v>
      </c>
      <c r="C6790" t="str">
        <f t="shared" si="106"/>
        <v/>
      </c>
    </row>
    <row r="6791" spans="1:3" x14ac:dyDescent="0.25">
      <c r="A6791" s="388">
        <v>0.61660527061490511</v>
      </c>
      <c r="B6791" s="465">
        <v>1.9719999999999998E-3</v>
      </c>
      <c r="C6791" t="str">
        <f t="shared" si="106"/>
        <v/>
      </c>
    </row>
    <row r="6792" spans="1:3" x14ac:dyDescent="0.25">
      <c r="A6792" s="388">
        <v>0.29583451402663641</v>
      </c>
      <c r="B6792" s="465">
        <v>1.6960000000000002E-3</v>
      </c>
      <c r="C6792" t="str">
        <f t="shared" si="106"/>
        <v/>
      </c>
    </row>
    <row r="6793" spans="1:3" x14ac:dyDescent="0.25">
      <c r="A6793" s="388">
        <v>0.26778124114480023</v>
      </c>
      <c r="B6793" s="465">
        <v>2.6866666666666666E-3</v>
      </c>
      <c r="C6793" t="str">
        <f t="shared" si="106"/>
        <v/>
      </c>
    </row>
    <row r="6794" spans="1:3" x14ac:dyDescent="0.25">
      <c r="A6794" s="388">
        <v>0.48058940209691137</v>
      </c>
      <c r="B6794" s="465">
        <v>1.7333333333333335E-3</v>
      </c>
      <c r="C6794" t="str">
        <f t="shared" si="106"/>
        <v/>
      </c>
    </row>
    <row r="6795" spans="1:3" x14ac:dyDescent="0.25">
      <c r="A6795" s="388">
        <v>0.71436667611221316</v>
      </c>
      <c r="B6795" s="465">
        <v>2.2533333333333333E-3</v>
      </c>
      <c r="C6795" t="str">
        <f t="shared" si="106"/>
        <v/>
      </c>
    </row>
    <row r="6796" spans="1:3" x14ac:dyDescent="0.25">
      <c r="A6796" s="388">
        <v>0.49079059223576088</v>
      </c>
      <c r="B6796" s="465">
        <v>6.3333333333333323E-3</v>
      </c>
      <c r="C6796" t="str">
        <f t="shared" si="106"/>
        <v/>
      </c>
    </row>
    <row r="6797" spans="1:3" x14ac:dyDescent="0.25">
      <c r="A6797" s="388">
        <v>0.37064324171153301</v>
      </c>
      <c r="B6797" s="465">
        <v>2.0833333333333329E-3</v>
      </c>
      <c r="C6797" t="str">
        <f t="shared" si="106"/>
        <v/>
      </c>
    </row>
    <row r="6798" spans="1:3" x14ac:dyDescent="0.25">
      <c r="A6798" s="388">
        <v>0.30348540663077361</v>
      </c>
      <c r="B6798" s="465">
        <v>2.5400000000000002E-3</v>
      </c>
      <c r="C6798" t="str">
        <f t="shared" si="106"/>
        <v/>
      </c>
    </row>
    <row r="6799" spans="1:3" x14ac:dyDescent="0.25">
      <c r="A6799" s="388">
        <v>0.28478322470954948</v>
      </c>
      <c r="B6799" s="465">
        <v>3.5000000000000005E-3</v>
      </c>
      <c r="C6799" t="str">
        <f t="shared" si="106"/>
        <v/>
      </c>
    </row>
    <row r="6800" spans="1:3" x14ac:dyDescent="0.25">
      <c r="A6800" s="388">
        <v>0.20884103145366961</v>
      </c>
      <c r="B6800" s="465">
        <v>5.0000000000000001E-3</v>
      </c>
      <c r="C6800" t="str">
        <f t="shared" si="106"/>
        <v/>
      </c>
    </row>
    <row r="6801" spans="1:3" x14ac:dyDescent="0.25">
      <c r="A6801" s="388">
        <v>1.2782657976763956</v>
      </c>
      <c r="B6801" s="465">
        <v>1.3482666666666669E-2</v>
      </c>
      <c r="C6801" t="str">
        <f t="shared" si="106"/>
        <v/>
      </c>
    </row>
    <row r="6802" spans="1:3" x14ac:dyDescent="0.25">
      <c r="A6802" s="388">
        <v>1.3896287900255029</v>
      </c>
      <c r="B6802" s="465">
        <v>2.0827999999999999E-2</v>
      </c>
      <c r="C6802" t="str">
        <f t="shared" si="106"/>
        <v/>
      </c>
    </row>
    <row r="6803" spans="1:3" x14ac:dyDescent="0.25">
      <c r="A6803" s="388">
        <v>1.6732785491640692</v>
      </c>
      <c r="B6803" s="465">
        <v>4.5933333333333333E-2</v>
      </c>
      <c r="C6803" t="str">
        <f t="shared" si="106"/>
        <v/>
      </c>
    </row>
    <row r="6804" spans="1:3" x14ac:dyDescent="0.25">
      <c r="A6804" s="388">
        <v>1.1314820062340607</v>
      </c>
      <c r="B6804" s="465">
        <v>3.0720000000000005E-3</v>
      </c>
      <c r="C6804" t="str">
        <f t="shared" si="106"/>
        <v/>
      </c>
    </row>
    <row r="6805" spans="1:3" x14ac:dyDescent="0.25">
      <c r="A6805" s="388">
        <v>0.96571266647775567</v>
      </c>
      <c r="B6805" s="465">
        <v>8.1066666666666665E-3</v>
      </c>
      <c r="C6805" t="str">
        <f t="shared" si="106"/>
        <v/>
      </c>
    </row>
    <row r="6806" spans="1:3" x14ac:dyDescent="0.25">
      <c r="A6806" s="388">
        <v>0.68489657126664782</v>
      </c>
      <c r="B6806" s="465">
        <v>1.3568000000000002E-2</v>
      </c>
      <c r="C6806" t="str">
        <f t="shared" si="106"/>
        <v/>
      </c>
    </row>
    <row r="6807" spans="1:3" x14ac:dyDescent="0.25">
      <c r="A6807" s="388">
        <v>0.53641258146783788</v>
      </c>
      <c r="B6807" s="465">
        <v>2.8786666666666661E-3</v>
      </c>
      <c r="C6807" t="str">
        <f t="shared" si="106"/>
        <v/>
      </c>
    </row>
    <row r="6808" spans="1:3" x14ac:dyDescent="0.25">
      <c r="A6808" s="388">
        <v>0.50325871351657703</v>
      </c>
      <c r="B6808" s="465">
        <v>1.024E-3</v>
      </c>
      <c r="C6808" t="str">
        <f t="shared" si="106"/>
        <v/>
      </c>
    </row>
    <row r="6809" spans="1:3" x14ac:dyDescent="0.25">
      <c r="A6809" s="388">
        <v>0.34400680079342594</v>
      </c>
      <c r="B6809" s="465">
        <v>7.6199999999999998E-4</v>
      </c>
      <c r="C6809" t="str">
        <f t="shared" si="106"/>
        <v/>
      </c>
    </row>
    <row r="6810" spans="1:3" x14ac:dyDescent="0.25">
      <c r="A6810" s="388">
        <v>0.23377727401530179</v>
      </c>
      <c r="B6810" s="465">
        <v>1.0666666666666667E-3</v>
      </c>
      <c r="C6810" t="str">
        <f t="shared" si="106"/>
        <v/>
      </c>
    </row>
    <row r="6811" spans="1:3" x14ac:dyDescent="0.25">
      <c r="A6811" s="388">
        <v>0.20912439784641543</v>
      </c>
      <c r="B6811" s="465">
        <v>1.3866666666666667E-3</v>
      </c>
      <c r="C6811" t="str">
        <f t="shared" si="106"/>
        <v/>
      </c>
    </row>
    <row r="6812" spans="1:3" x14ac:dyDescent="0.25">
      <c r="A6812" s="388">
        <v>0.28194956078209121</v>
      </c>
      <c r="B6812" s="465">
        <v>1.32E-3</v>
      </c>
      <c r="C6812" t="str">
        <f t="shared" si="106"/>
        <v/>
      </c>
    </row>
    <row r="6813" spans="1:3" x14ac:dyDescent="0.25">
      <c r="A6813" s="388">
        <v>0.23774440351374329</v>
      </c>
      <c r="B6813" s="465">
        <v>2.0533333333333332E-3</v>
      </c>
      <c r="C6813" t="str">
        <f t="shared" si="106"/>
        <v/>
      </c>
    </row>
    <row r="6814" spans="1:3" x14ac:dyDescent="0.25">
      <c r="A6814" s="388">
        <v>0.26438084443185039</v>
      </c>
      <c r="B6814" s="465">
        <v>3.6720000000000008E-3</v>
      </c>
      <c r="C6814" t="str">
        <f t="shared" si="106"/>
        <v/>
      </c>
    </row>
    <row r="6815" spans="1:3" x14ac:dyDescent="0.25">
      <c r="A6815" s="388">
        <v>1.320487390195523</v>
      </c>
      <c r="B6815" s="465">
        <v>1.7906666666666671E-2</v>
      </c>
      <c r="C6815" t="str">
        <f t="shared" si="106"/>
        <v/>
      </c>
    </row>
    <row r="6816" spans="1:3" x14ac:dyDescent="0.25">
      <c r="A6816" s="388">
        <v>0.19608954378010768</v>
      </c>
      <c r="B6816" s="465">
        <v>4.4000000000000003E-3</v>
      </c>
      <c r="C6816" t="str">
        <f t="shared" si="106"/>
        <v/>
      </c>
    </row>
    <row r="6817" spans="1:3" x14ac:dyDescent="0.25">
      <c r="A6817" s="388">
        <v>0.15755171436667612</v>
      </c>
      <c r="B6817" s="465">
        <v>6.9999999999999999E-4</v>
      </c>
      <c r="C6817" t="str">
        <f t="shared" si="106"/>
        <v/>
      </c>
    </row>
    <row r="6818" spans="1:3" x14ac:dyDescent="0.25">
      <c r="A6818" s="388">
        <v>0.18107112496457919</v>
      </c>
      <c r="B6818" s="465">
        <v>2.0800000000000003E-3</v>
      </c>
      <c r="C6818" t="str">
        <f t="shared" si="106"/>
        <v/>
      </c>
    </row>
    <row r="6819" spans="1:3" x14ac:dyDescent="0.25">
      <c r="A6819" s="388">
        <v>0.2045905355624823</v>
      </c>
      <c r="B6819" s="465">
        <v>2.9193333333333332E-3</v>
      </c>
      <c r="C6819" t="str">
        <f t="shared" si="106"/>
        <v/>
      </c>
    </row>
    <row r="6820" spans="1:3" x14ac:dyDescent="0.25">
      <c r="A6820" s="388">
        <v>0.14168319637291019</v>
      </c>
      <c r="B6820" s="465">
        <v>1.2079999999999999E-3</v>
      </c>
      <c r="C6820" t="str">
        <f t="shared" si="106"/>
        <v/>
      </c>
    </row>
    <row r="6821" spans="1:3" x14ac:dyDescent="0.25">
      <c r="A6821" s="388">
        <v>0.18588835364125814</v>
      </c>
      <c r="B6821" s="465">
        <v>2.3306666666666662E-3</v>
      </c>
      <c r="C6821" t="str">
        <f t="shared" si="106"/>
        <v/>
      </c>
    </row>
    <row r="6822" spans="1:3" x14ac:dyDescent="0.25">
      <c r="A6822" s="388">
        <v>7.4808727684896575E-2</v>
      </c>
      <c r="B6822" s="465">
        <v>6.3000000000000003E-4</v>
      </c>
      <c r="C6822" t="str">
        <f t="shared" si="106"/>
        <v/>
      </c>
    </row>
    <row r="6823" spans="1:3" x14ac:dyDescent="0.25">
      <c r="A6823" s="388">
        <v>0.53952961178804193</v>
      </c>
      <c r="B6823" s="465">
        <v>3.0186666666666667E-2</v>
      </c>
      <c r="C6823" t="str">
        <f t="shared" si="106"/>
        <v/>
      </c>
    </row>
    <row r="6824" spans="1:3" x14ac:dyDescent="0.25">
      <c r="A6824" s="388">
        <v>0.37489373760272032</v>
      </c>
      <c r="B6824" s="465">
        <v>9.7066666666666673E-3</v>
      </c>
      <c r="C6824" t="str">
        <f t="shared" si="106"/>
        <v/>
      </c>
    </row>
    <row r="6825" spans="1:3" x14ac:dyDescent="0.25">
      <c r="A6825" s="388">
        <v>0.23462737319353924</v>
      </c>
      <c r="B6825" s="465">
        <v>1.464E-2</v>
      </c>
      <c r="C6825" t="str">
        <f t="shared" si="106"/>
        <v/>
      </c>
    </row>
    <row r="6826" spans="1:3" x14ac:dyDescent="0.25">
      <c r="A6826" s="388">
        <v>0.19353924624539531</v>
      </c>
      <c r="B6826" s="465">
        <v>4.2533333333333329E-3</v>
      </c>
      <c r="C6826" t="str">
        <f t="shared" si="106"/>
        <v/>
      </c>
    </row>
    <row r="6827" spans="1:3" x14ac:dyDescent="0.25">
      <c r="A6827" s="388">
        <v>0.48342306602436946</v>
      </c>
      <c r="B6827" s="465">
        <v>1.9140000000000001E-2</v>
      </c>
      <c r="C6827" t="str">
        <f t="shared" si="106"/>
        <v/>
      </c>
    </row>
    <row r="6828" spans="1:3" x14ac:dyDescent="0.25">
      <c r="A6828" s="388">
        <v>2.5383961462170586</v>
      </c>
      <c r="B6828" s="465">
        <v>8.4613333333333332E-2</v>
      </c>
      <c r="C6828" t="str">
        <f t="shared" si="106"/>
        <v/>
      </c>
    </row>
    <row r="6829" spans="1:3" x14ac:dyDescent="0.25">
      <c r="A6829" s="388">
        <v>0.57013318220459053</v>
      </c>
      <c r="B6829" s="465">
        <v>6.4400000000000004E-3</v>
      </c>
      <c r="C6829" t="str">
        <f t="shared" si="106"/>
        <v/>
      </c>
    </row>
    <row r="6830" spans="1:3" x14ac:dyDescent="0.25">
      <c r="A6830" s="388">
        <v>0.40578067441201476</v>
      </c>
      <c r="B6830" s="465">
        <v>4.62E-3</v>
      </c>
      <c r="C6830" t="str">
        <f t="shared" si="106"/>
        <v/>
      </c>
    </row>
    <row r="6831" spans="1:3" x14ac:dyDescent="0.25">
      <c r="A6831" s="388">
        <v>0.24284499858316805</v>
      </c>
      <c r="B6831" s="465">
        <v>4.2000000000000006E-3</v>
      </c>
      <c r="C6831" t="str">
        <f t="shared" si="106"/>
        <v/>
      </c>
    </row>
    <row r="6832" spans="1:3" x14ac:dyDescent="0.25">
      <c r="A6832" s="388">
        <v>0.17908756021535846</v>
      </c>
      <c r="B6832" s="465">
        <v>8.8666666666666668E-3</v>
      </c>
      <c r="C6832" t="str">
        <f t="shared" si="106"/>
        <v/>
      </c>
    </row>
    <row r="6833" spans="1:3" x14ac:dyDescent="0.25">
      <c r="A6833" s="388">
        <v>0.16350240861433832</v>
      </c>
      <c r="B6833" s="465">
        <v>1.0666666666666666E-2</v>
      </c>
      <c r="C6833" t="str">
        <f t="shared" si="106"/>
        <v/>
      </c>
    </row>
    <row r="6834" spans="1:3" x14ac:dyDescent="0.25">
      <c r="A6834" s="388">
        <v>0.14650042504958913</v>
      </c>
      <c r="B6834" s="465">
        <v>6.0720000000000001E-3</v>
      </c>
      <c r="C6834" t="str">
        <f t="shared" si="106"/>
        <v/>
      </c>
    </row>
    <row r="6835" spans="1:3" x14ac:dyDescent="0.25">
      <c r="A6835" s="388">
        <v>0.11731368659676962</v>
      </c>
      <c r="B6835" s="465">
        <v>2.3400000000000001E-3</v>
      </c>
      <c r="C6835" t="str">
        <f t="shared" si="106"/>
        <v/>
      </c>
    </row>
    <row r="6836" spans="1:3" x14ac:dyDescent="0.25">
      <c r="A6836" s="388">
        <v>0.2578634173986965</v>
      </c>
      <c r="B6836" s="465">
        <v>7.4239999999999992E-3</v>
      </c>
      <c r="C6836" t="str">
        <f t="shared" si="106"/>
        <v/>
      </c>
    </row>
    <row r="6837" spans="1:3" x14ac:dyDescent="0.25">
      <c r="A6837" s="388">
        <v>0.15018418815528478</v>
      </c>
      <c r="B6837" s="465">
        <v>2.2439999999999999E-3</v>
      </c>
      <c r="C6837" t="str">
        <f t="shared" si="106"/>
        <v/>
      </c>
    </row>
    <row r="6838" spans="1:3" x14ac:dyDescent="0.25">
      <c r="A6838" s="388">
        <v>0.17993765939359591</v>
      </c>
      <c r="B6838" s="465">
        <v>1.0199999999999999E-2</v>
      </c>
      <c r="C6838" t="str">
        <f t="shared" si="106"/>
        <v/>
      </c>
    </row>
    <row r="6839" spans="1:3" x14ac:dyDescent="0.25">
      <c r="A6839" s="388">
        <v>0.15953527911589685</v>
      </c>
      <c r="B6839" s="465">
        <v>3.9480000000000001E-3</v>
      </c>
      <c r="C6839" t="str">
        <f t="shared" si="106"/>
        <v/>
      </c>
    </row>
    <row r="6840" spans="1:3" x14ac:dyDescent="0.25">
      <c r="A6840" s="388">
        <v>0.11929725134599037</v>
      </c>
      <c r="B6840" s="465">
        <v>1.4399999999999999E-3</v>
      </c>
      <c r="C6840" t="str">
        <f t="shared" ref="C6840:C6903" si="107">IF(B6840=0,"XXXXXXXX","")</f>
        <v/>
      </c>
    </row>
    <row r="6841" spans="1:3" x14ac:dyDescent="0.25">
      <c r="A6841" s="388">
        <v>0.21790875602153587</v>
      </c>
      <c r="B6841" s="465">
        <v>8.5599999999999999E-4</v>
      </c>
      <c r="C6841" t="str">
        <f t="shared" si="107"/>
        <v/>
      </c>
    </row>
    <row r="6842" spans="1:3" x14ac:dyDescent="0.25">
      <c r="A6842" s="388">
        <v>0.20034003967129499</v>
      </c>
      <c r="B6842" s="465">
        <v>2.7299999999999998E-3</v>
      </c>
      <c r="C6842" t="str">
        <f t="shared" si="107"/>
        <v/>
      </c>
    </row>
    <row r="6843" spans="1:3" x14ac:dyDescent="0.25">
      <c r="A6843" s="388">
        <v>0.36270898271465007</v>
      </c>
      <c r="B6843" s="465">
        <v>1.1853333333333332E-3</v>
      </c>
      <c r="C6843" t="str">
        <f t="shared" si="107"/>
        <v/>
      </c>
    </row>
    <row r="6844" spans="1:3" x14ac:dyDescent="0.25">
      <c r="A6844" s="388">
        <v>0.76792292434117315</v>
      </c>
      <c r="B6844" s="465">
        <v>3.2940000000000005E-3</v>
      </c>
      <c r="C6844" t="str">
        <f t="shared" si="107"/>
        <v/>
      </c>
    </row>
    <row r="6845" spans="1:3" x14ac:dyDescent="0.25">
      <c r="A6845" s="388">
        <v>0.20912439784641543</v>
      </c>
      <c r="B6845" s="465">
        <v>3.5333333333333332E-3</v>
      </c>
      <c r="C6845" t="str">
        <f t="shared" si="107"/>
        <v/>
      </c>
    </row>
    <row r="6846" spans="1:3" x14ac:dyDescent="0.25">
      <c r="A6846" s="388">
        <v>0.39671294984414851</v>
      </c>
      <c r="B6846" s="465">
        <v>2.4453333333333332E-3</v>
      </c>
      <c r="C6846" t="str">
        <f t="shared" si="107"/>
        <v/>
      </c>
    </row>
    <row r="6847" spans="1:3" x14ac:dyDescent="0.25">
      <c r="A6847" s="388">
        <v>0.27543213374893738</v>
      </c>
      <c r="B6847" s="465">
        <v>1.6866666666666668E-3</v>
      </c>
      <c r="C6847" t="str">
        <f t="shared" si="107"/>
        <v/>
      </c>
    </row>
    <row r="6848" spans="1:3" x14ac:dyDescent="0.25">
      <c r="A6848" s="388">
        <v>0.23887786908472655</v>
      </c>
      <c r="B6848" s="465">
        <v>1.0266666666666666E-3</v>
      </c>
      <c r="C6848" t="str">
        <f t="shared" si="107"/>
        <v/>
      </c>
    </row>
    <row r="6849" spans="1:3" x14ac:dyDescent="0.25">
      <c r="A6849" s="388">
        <v>0.25106262397279683</v>
      </c>
      <c r="B6849" s="465">
        <v>1.3440000000000001E-3</v>
      </c>
      <c r="C6849" t="str">
        <f t="shared" si="107"/>
        <v/>
      </c>
    </row>
    <row r="6850" spans="1:3" x14ac:dyDescent="0.25">
      <c r="A6850" s="388">
        <v>0.2550297534712383</v>
      </c>
      <c r="B6850" s="465">
        <v>8.9599999999999988E-4</v>
      </c>
      <c r="C6850" t="str">
        <f t="shared" si="107"/>
        <v/>
      </c>
    </row>
    <row r="6851" spans="1:3" x14ac:dyDescent="0.25">
      <c r="A6851" s="388">
        <v>0.22102578634173986</v>
      </c>
      <c r="B6851" s="465">
        <v>1.5120000000000003E-3</v>
      </c>
      <c r="C6851" t="str">
        <f t="shared" si="107"/>
        <v/>
      </c>
    </row>
    <row r="6852" spans="1:3" x14ac:dyDescent="0.25">
      <c r="A6852" s="388">
        <v>0.22669311419665628</v>
      </c>
      <c r="B6852" s="465">
        <v>3.0240000000000006E-3</v>
      </c>
      <c r="C6852" t="str">
        <f t="shared" si="107"/>
        <v/>
      </c>
    </row>
    <row r="6853" spans="1:3" x14ac:dyDescent="0.25">
      <c r="A6853" s="388">
        <v>0.21819212241428168</v>
      </c>
      <c r="B6853" s="465">
        <v>2.0686666666666666E-3</v>
      </c>
      <c r="C6853" t="str">
        <f t="shared" si="107"/>
        <v/>
      </c>
    </row>
    <row r="6854" spans="1:3" x14ac:dyDescent="0.25">
      <c r="A6854" s="388">
        <v>0.23519410597903093</v>
      </c>
      <c r="B6854" s="465">
        <v>1.2466666666666665E-3</v>
      </c>
      <c r="C6854" t="str">
        <f t="shared" si="107"/>
        <v/>
      </c>
    </row>
    <row r="6855" spans="1:3" x14ac:dyDescent="0.25">
      <c r="A6855" s="388">
        <v>0.29810144516860299</v>
      </c>
      <c r="B6855" s="465">
        <v>1.983333333333333E-3</v>
      </c>
      <c r="C6855" t="str">
        <f t="shared" si="107"/>
        <v/>
      </c>
    </row>
    <row r="6856" spans="1:3" x14ac:dyDescent="0.25">
      <c r="A6856" s="388">
        <v>0.37602720317370358</v>
      </c>
      <c r="B6856" s="465">
        <v>2.0266666666666662E-3</v>
      </c>
      <c r="C6856" t="str">
        <f t="shared" si="107"/>
        <v/>
      </c>
    </row>
    <row r="6857" spans="1:3" x14ac:dyDescent="0.25">
      <c r="A6857" s="388">
        <v>0.88778690847265507</v>
      </c>
      <c r="B6857" s="465">
        <v>8.7466666666666682E-3</v>
      </c>
      <c r="C6857" t="str">
        <f t="shared" si="107"/>
        <v/>
      </c>
    </row>
    <row r="6858" spans="1:3" x14ac:dyDescent="0.25">
      <c r="A6858" s="388">
        <v>0.96486256729951825</v>
      </c>
      <c r="B6858" s="465">
        <v>3.2266666666666666E-2</v>
      </c>
      <c r="C6858" t="str">
        <f t="shared" si="107"/>
        <v/>
      </c>
    </row>
    <row r="6859" spans="1:3" x14ac:dyDescent="0.25">
      <c r="A6859" s="388">
        <v>0.50014168319637287</v>
      </c>
      <c r="B6859" s="465">
        <v>6.4546666666666676E-3</v>
      </c>
      <c r="C6859" t="str">
        <f t="shared" si="107"/>
        <v/>
      </c>
    </row>
    <row r="6860" spans="1:3" x14ac:dyDescent="0.25">
      <c r="A6860" s="388">
        <v>0.46472088410314533</v>
      </c>
      <c r="B6860" s="465">
        <v>8.9833333333333328E-3</v>
      </c>
      <c r="C6860" t="str">
        <f t="shared" si="107"/>
        <v/>
      </c>
    </row>
    <row r="6861" spans="1:3" x14ac:dyDescent="0.25">
      <c r="A6861" s="388">
        <v>0.34627373193539251</v>
      </c>
      <c r="B6861" s="465">
        <v>4.5599999999999998E-3</v>
      </c>
      <c r="C6861" t="str">
        <f t="shared" si="107"/>
        <v/>
      </c>
    </row>
    <row r="6862" spans="1:3" x14ac:dyDescent="0.25">
      <c r="A6862" s="388">
        <v>0.27458203457069991</v>
      </c>
      <c r="B6862" s="465">
        <v>6.1833333333333332E-3</v>
      </c>
      <c r="C6862" t="str">
        <f t="shared" si="107"/>
        <v/>
      </c>
    </row>
    <row r="6863" spans="1:3" x14ac:dyDescent="0.25">
      <c r="A6863" s="388">
        <v>0.1765372626806461</v>
      </c>
      <c r="B6863" s="465">
        <v>1.3066666666666667E-3</v>
      </c>
      <c r="C6863" t="str">
        <f t="shared" si="107"/>
        <v/>
      </c>
    </row>
    <row r="6864" spans="1:3" x14ac:dyDescent="0.25">
      <c r="A6864" s="388">
        <v>0.14536695947860584</v>
      </c>
      <c r="B6864" s="465">
        <v>1.9600000000000004E-3</v>
      </c>
      <c r="C6864" t="str">
        <f t="shared" si="107"/>
        <v/>
      </c>
    </row>
    <row r="6865" spans="1:3" x14ac:dyDescent="0.25">
      <c r="A6865" s="388">
        <v>8.2176253896287896E-2</v>
      </c>
      <c r="B6865" s="465">
        <v>1.4733333333333332E-3</v>
      </c>
      <c r="C6865" t="str">
        <f t="shared" si="107"/>
        <v/>
      </c>
    </row>
    <row r="6866" spans="1:3" x14ac:dyDescent="0.25">
      <c r="A6866" s="388">
        <v>7.1408330971946724E-2</v>
      </c>
      <c r="B6866" s="465">
        <v>1.2999999999999999E-3</v>
      </c>
      <c r="C6866" t="str">
        <f t="shared" si="107"/>
        <v/>
      </c>
    </row>
    <row r="6867" spans="1:3" x14ac:dyDescent="0.25">
      <c r="A6867" s="388">
        <v>0.43015018418815526</v>
      </c>
      <c r="B6867" s="465">
        <v>9.1866666666666676E-3</v>
      </c>
      <c r="C6867" t="str">
        <f t="shared" si="107"/>
        <v/>
      </c>
    </row>
    <row r="6868" spans="1:3" x14ac:dyDescent="0.25">
      <c r="A6868" s="388">
        <v>0.8517993765939359</v>
      </c>
      <c r="B6868" s="465">
        <v>8.6999999999999994E-3</v>
      </c>
      <c r="C6868" t="str">
        <f t="shared" si="107"/>
        <v/>
      </c>
    </row>
    <row r="6869" spans="1:3" x14ac:dyDescent="0.25">
      <c r="A6869" s="388">
        <v>0.68461320487390198</v>
      </c>
      <c r="B6869" s="465">
        <v>9.5199999999999989E-3</v>
      </c>
      <c r="C6869" t="str">
        <f t="shared" si="107"/>
        <v/>
      </c>
    </row>
    <row r="6870" spans="1:3" x14ac:dyDescent="0.25">
      <c r="A6870" s="388">
        <v>0.50920940776423917</v>
      </c>
      <c r="B6870" s="465">
        <v>1.1800000000000001E-2</v>
      </c>
      <c r="C6870" t="str">
        <f t="shared" si="107"/>
        <v/>
      </c>
    </row>
    <row r="6871" spans="1:3" x14ac:dyDescent="0.25">
      <c r="A6871" s="388">
        <v>0.39472938509492772</v>
      </c>
      <c r="B6871" s="465">
        <v>7.4666666666666666E-3</v>
      </c>
      <c r="C6871" t="str">
        <f t="shared" si="107"/>
        <v/>
      </c>
    </row>
    <row r="6872" spans="1:3" x14ac:dyDescent="0.25">
      <c r="A6872" s="388">
        <v>0.33267214508359311</v>
      </c>
      <c r="B6872" s="465">
        <v>9.5333333333333338E-4</v>
      </c>
      <c r="C6872" t="str">
        <f t="shared" si="107"/>
        <v/>
      </c>
    </row>
    <row r="6873" spans="1:3" x14ac:dyDescent="0.25">
      <c r="A6873" s="388">
        <v>0.26381411164635876</v>
      </c>
      <c r="B6873" s="465">
        <v>4.4999999999999997E-3</v>
      </c>
      <c r="C6873" t="str">
        <f t="shared" si="107"/>
        <v/>
      </c>
    </row>
    <row r="6874" spans="1:3" x14ac:dyDescent="0.25">
      <c r="A6874" s="388">
        <v>0.11986398413148203</v>
      </c>
      <c r="B6874" s="465">
        <v>3.2066666666666667E-3</v>
      </c>
      <c r="C6874" t="str">
        <f t="shared" si="107"/>
        <v/>
      </c>
    </row>
    <row r="6875" spans="1:3" x14ac:dyDescent="0.25">
      <c r="A6875" s="388">
        <v>0.10796259563615755</v>
      </c>
      <c r="B6875" s="465">
        <v>1.0400000000000001E-3</v>
      </c>
      <c r="C6875" t="str">
        <f t="shared" si="107"/>
        <v/>
      </c>
    </row>
    <row r="6876" spans="1:3" x14ac:dyDescent="0.25">
      <c r="A6876" s="388">
        <v>0.33267214508359311</v>
      </c>
      <c r="B6876" s="465">
        <v>3.7366666666666668E-3</v>
      </c>
      <c r="C6876" t="str">
        <f t="shared" si="107"/>
        <v/>
      </c>
    </row>
    <row r="6877" spans="1:3" x14ac:dyDescent="0.25">
      <c r="A6877" s="388">
        <v>0.21875885519977331</v>
      </c>
      <c r="B6877" s="465">
        <v>4.0800000000000003E-3</v>
      </c>
      <c r="C6877" t="str">
        <f t="shared" si="107"/>
        <v/>
      </c>
    </row>
    <row r="6878" spans="1:3" x14ac:dyDescent="0.25">
      <c r="A6878" s="388">
        <v>0.17993765939359591</v>
      </c>
      <c r="B6878" s="465">
        <v>1.74E-3</v>
      </c>
      <c r="C6878" t="str">
        <f t="shared" si="107"/>
        <v/>
      </c>
    </row>
    <row r="6879" spans="1:3" x14ac:dyDescent="0.25">
      <c r="A6879" s="388">
        <v>0.22074241994899405</v>
      </c>
      <c r="B6879" s="465">
        <v>1.98E-3</v>
      </c>
      <c r="C6879" t="str">
        <f t="shared" si="107"/>
        <v/>
      </c>
    </row>
    <row r="6880" spans="1:3" x14ac:dyDescent="0.25">
      <c r="A6880" s="388">
        <v>0.12553131198639841</v>
      </c>
      <c r="B6880" s="465">
        <v>1.3799999999999999E-3</v>
      </c>
      <c r="C6880" t="str">
        <f t="shared" si="107"/>
        <v/>
      </c>
    </row>
    <row r="6881" spans="1:3" x14ac:dyDescent="0.25">
      <c r="A6881" s="388">
        <v>0.11476338906205724</v>
      </c>
      <c r="B6881" s="465">
        <v>1.4166666666666666E-3</v>
      </c>
      <c r="C6881" t="str">
        <f t="shared" si="107"/>
        <v/>
      </c>
    </row>
    <row r="6882" spans="1:3" x14ac:dyDescent="0.25">
      <c r="A6882" s="388">
        <v>0.17001983564749221</v>
      </c>
      <c r="B6882" s="465">
        <v>7.3920000000000001E-3</v>
      </c>
      <c r="C6882" t="str">
        <f t="shared" si="107"/>
        <v/>
      </c>
    </row>
    <row r="6883" spans="1:3" x14ac:dyDescent="0.25">
      <c r="A6883" s="388">
        <v>0.13318220459053556</v>
      </c>
      <c r="B6883" s="465">
        <v>1.4666400000000002E-3</v>
      </c>
      <c r="C6883" t="str">
        <f t="shared" si="107"/>
        <v/>
      </c>
    </row>
    <row r="6884" spans="1:3" x14ac:dyDescent="0.25">
      <c r="A6884" s="388">
        <v>0.10767922924341172</v>
      </c>
      <c r="B6884" s="465">
        <v>6.1740000000000007E-3</v>
      </c>
      <c r="C6884" t="str">
        <f t="shared" si="107"/>
        <v/>
      </c>
    </row>
    <row r="6885" spans="1:3" x14ac:dyDescent="0.25">
      <c r="A6885" s="388">
        <v>7.0841598186455093E-2</v>
      </c>
      <c r="B6885" s="465">
        <v>1.1760000000000002E-3</v>
      </c>
      <c r="C6885" t="str">
        <f t="shared" si="107"/>
        <v/>
      </c>
    </row>
    <row r="6886" spans="1:3" x14ac:dyDescent="0.25">
      <c r="A6886" s="388">
        <v>5.3839614621705861E-2</v>
      </c>
      <c r="B6886" s="465">
        <v>1.0920000000000001E-3</v>
      </c>
      <c r="C6886" t="str">
        <f t="shared" si="107"/>
        <v/>
      </c>
    </row>
    <row r="6887" spans="1:3" x14ac:dyDescent="0.25">
      <c r="A6887" s="388">
        <v>4.817228676678946E-2</v>
      </c>
      <c r="B6887" s="465">
        <v>1.029E-3</v>
      </c>
      <c r="C6887" t="str">
        <f t="shared" si="107"/>
        <v/>
      </c>
    </row>
    <row r="6888" spans="1:3" x14ac:dyDescent="0.25">
      <c r="A6888" s="388">
        <v>4.2504958911873052E-2</v>
      </c>
      <c r="B6888" s="465">
        <v>5.04E-4</v>
      </c>
      <c r="C6888" t="str">
        <f t="shared" si="107"/>
        <v/>
      </c>
    </row>
    <row r="6889" spans="1:3" x14ac:dyDescent="0.25">
      <c r="A6889" s="388">
        <v>3.5420799093227547E-2</v>
      </c>
      <c r="B6889" s="465">
        <v>5.04E-4</v>
      </c>
      <c r="C6889" t="str">
        <f t="shared" si="107"/>
        <v/>
      </c>
    </row>
    <row r="6890" spans="1:3" x14ac:dyDescent="0.25">
      <c r="A6890" s="388">
        <v>3.4003967129498443E-2</v>
      </c>
      <c r="B6890" s="465">
        <v>5.04E-4</v>
      </c>
      <c r="C6890" t="str">
        <f t="shared" si="107"/>
        <v/>
      </c>
    </row>
    <row r="6891" spans="1:3" x14ac:dyDescent="0.25">
      <c r="A6891" s="388">
        <v>2.7486540096344575E-2</v>
      </c>
      <c r="B6891" s="465">
        <v>2.8139999999999997E-3</v>
      </c>
      <c r="C6891" t="str">
        <f t="shared" si="107"/>
        <v/>
      </c>
    </row>
    <row r="6892" spans="1:3" x14ac:dyDescent="0.25">
      <c r="A6892" s="388">
        <v>0.4077642391612355</v>
      </c>
      <c r="B6892" s="465">
        <v>1.92E-3</v>
      </c>
      <c r="C6892" t="str">
        <f t="shared" si="107"/>
        <v/>
      </c>
    </row>
    <row r="6893" spans="1:3" x14ac:dyDescent="0.25">
      <c r="A6893" s="388">
        <v>0.49985831680362713</v>
      </c>
      <c r="B6893" s="465">
        <v>1.4300000000000001E-3</v>
      </c>
      <c r="C6893" t="str">
        <f t="shared" si="107"/>
        <v/>
      </c>
    </row>
    <row r="6894" spans="1:3" x14ac:dyDescent="0.25">
      <c r="A6894" s="388">
        <v>0.40946443751771039</v>
      </c>
      <c r="B6894" s="465">
        <v>1.5039999999999999E-3</v>
      </c>
      <c r="C6894" t="str">
        <f t="shared" si="107"/>
        <v/>
      </c>
    </row>
    <row r="6895" spans="1:3" x14ac:dyDescent="0.25">
      <c r="A6895" s="388">
        <v>0.29130065174270331</v>
      </c>
      <c r="B6895" s="465">
        <v>1.1279999999999999E-3</v>
      </c>
      <c r="C6895" t="str">
        <f t="shared" si="107"/>
        <v/>
      </c>
    </row>
    <row r="6896" spans="1:3" x14ac:dyDescent="0.25">
      <c r="A6896" s="388">
        <v>0.11022952677812412</v>
      </c>
      <c r="B6896" s="465">
        <v>1.6560000000000001E-3</v>
      </c>
      <c r="C6896" t="str">
        <f t="shared" si="107"/>
        <v/>
      </c>
    </row>
    <row r="6897" spans="1:3" x14ac:dyDescent="0.25">
      <c r="A6897" s="388">
        <v>0.35477472371776708</v>
      </c>
      <c r="B6897" s="465">
        <v>8.5866666666666661E-3</v>
      </c>
      <c r="C6897" t="str">
        <f t="shared" si="107"/>
        <v/>
      </c>
    </row>
    <row r="6898" spans="1:3" x14ac:dyDescent="0.25">
      <c r="A6898" s="388">
        <v>0.38566166052706147</v>
      </c>
      <c r="B6898" s="465">
        <v>5.827999999999999E-3</v>
      </c>
      <c r="C6898" t="str">
        <f t="shared" si="107"/>
        <v/>
      </c>
    </row>
    <row r="6899" spans="1:3" x14ac:dyDescent="0.25">
      <c r="A6899" s="388">
        <v>0.46018702181921223</v>
      </c>
      <c r="B6899" s="465">
        <v>1.7479999999999998E-3</v>
      </c>
      <c r="C6899" t="str">
        <f t="shared" si="107"/>
        <v/>
      </c>
    </row>
    <row r="6900" spans="1:3" x14ac:dyDescent="0.25">
      <c r="A6900" s="388">
        <v>0.42731652026069711</v>
      </c>
      <c r="B6900" s="465">
        <v>1.1786666666666668E-3</v>
      </c>
      <c r="C6900" t="str">
        <f t="shared" si="107"/>
        <v/>
      </c>
    </row>
    <row r="6901" spans="1:3" x14ac:dyDescent="0.25">
      <c r="A6901" s="388">
        <v>0.25871351657693398</v>
      </c>
      <c r="B6901" s="465">
        <v>8.5333333333333344E-4</v>
      </c>
      <c r="C6901" t="str">
        <f t="shared" si="107"/>
        <v/>
      </c>
    </row>
    <row r="6902" spans="1:3" x14ac:dyDescent="0.25">
      <c r="A6902" s="388">
        <v>2.3652592802493624</v>
      </c>
      <c r="B6902" s="465">
        <v>2.0200000000000001E-3</v>
      </c>
      <c r="C6902" t="str">
        <f t="shared" si="107"/>
        <v/>
      </c>
    </row>
    <row r="6903" spans="1:3" x14ac:dyDescent="0.25">
      <c r="A6903" s="388">
        <v>1.9433267214508358</v>
      </c>
      <c r="B6903" s="465">
        <v>2.4159999999999997E-3</v>
      </c>
      <c r="C6903" t="str">
        <f t="shared" si="107"/>
        <v/>
      </c>
    </row>
    <row r="6904" spans="1:3" x14ac:dyDescent="0.25">
      <c r="A6904" s="388">
        <v>1.3904788892037405</v>
      </c>
      <c r="B6904" s="465">
        <v>1.9599999999999999E-3</v>
      </c>
      <c r="C6904" t="str">
        <f t="shared" ref="C6904:C6967" si="108">IF(B6904=0,"XXXXXXXX","")</f>
        <v/>
      </c>
    </row>
    <row r="6905" spans="1:3" x14ac:dyDescent="0.25">
      <c r="A6905" s="388">
        <v>1.5111929725134599</v>
      </c>
      <c r="B6905" s="465">
        <v>2.1406666666666666E-3</v>
      </c>
      <c r="C6905" t="str">
        <f t="shared" si="108"/>
        <v/>
      </c>
    </row>
    <row r="6906" spans="1:3" x14ac:dyDescent="0.25">
      <c r="A6906" s="388">
        <v>2.2272598469821476</v>
      </c>
      <c r="B6906" s="465">
        <v>5.1000000000000004E-3</v>
      </c>
      <c r="C6906" t="str">
        <f t="shared" si="108"/>
        <v/>
      </c>
    </row>
    <row r="6907" spans="1:3" x14ac:dyDescent="0.25">
      <c r="A6907" s="388">
        <v>5.8588835364125815</v>
      </c>
      <c r="B6907" s="465">
        <v>3.880200000000001E-2</v>
      </c>
      <c r="C6907" t="str">
        <f t="shared" si="108"/>
        <v/>
      </c>
    </row>
    <row r="6908" spans="1:3" x14ac:dyDescent="0.25">
      <c r="A6908" s="388">
        <v>2.0300368376310569</v>
      </c>
      <c r="B6908" s="465">
        <v>1.5807999999999999E-2</v>
      </c>
      <c r="C6908" t="str">
        <f t="shared" si="108"/>
        <v/>
      </c>
    </row>
    <row r="6909" spans="1:3" x14ac:dyDescent="0.25">
      <c r="A6909" s="388">
        <v>1.0960612071408331</v>
      </c>
      <c r="B6909" s="465">
        <v>6.1666666666666667E-3</v>
      </c>
      <c r="C6909" t="str">
        <f t="shared" si="108"/>
        <v/>
      </c>
    </row>
    <row r="6910" spans="1:3" x14ac:dyDescent="0.25">
      <c r="A6910" s="388">
        <v>0.74752054406347401</v>
      </c>
      <c r="B6910" s="465">
        <v>1.8160000000000001E-3</v>
      </c>
      <c r="C6910" t="str">
        <f t="shared" si="108"/>
        <v/>
      </c>
    </row>
    <row r="6911" spans="1:3" x14ac:dyDescent="0.25">
      <c r="A6911" s="388">
        <v>0.76650609237744405</v>
      </c>
      <c r="B6911" s="465">
        <v>1.9066666666666668E-3</v>
      </c>
      <c r="C6911" t="str">
        <f t="shared" si="108"/>
        <v/>
      </c>
    </row>
    <row r="6912" spans="1:3" x14ac:dyDescent="0.25">
      <c r="A6912" s="388">
        <v>0.44148483989798809</v>
      </c>
      <c r="B6912" s="465">
        <v>1.7766666666666668E-3</v>
      </c>
      <c r="C6912" t="str">
        <f t="shared" si="108"/>
        <v/>
      </c>
    </row>
    <row r="6913" spans="1:3" x14ac:dyDescent="0.25">
      <c r="A6913" s="388">
        <v>0.33493907622555968</v>
      </c>
      <c r="B6913" s="465">
        <v>1.3333333333333333E-3</v>
      </c>
      <c r="C6913" t="str">
        <f t="shared" si="108"/>
        <v/>
      </c>
    </row>
    <row r="6914" spans="1:3" x14ac:dyDescent="0.25">
      <c r="A6914" s="388">
        <v>1.9722300935109096E-2</v>
      </c>
      <c r="B6914" s="465">
        <v>4.3333333333333337E-4</v>
      </c>
      <c r="C6914" t="str">
        <f t="shared" si="108"/>
        <v/>
      </c>
    </row>
    <row r="6915" spans="1:3" x14ac:dyDescent="0.25">
      <c r="A6915" s="388">
        <v>4.3638424482856333E-2</v>
      </c>
      <c r="B6915" s="465">
        <v>9.1666666666666665E-4</v>
      </c>
      <c r="C6915" t="str">
        <f t="shared" si="108"/>
        <v/>
      </c>
    </row>
    <row r="6916" spans="1:3" x14ac:dyDescent="0.25">
      <c r="A6916" s="388">
        <v>4.0804760555398133E-2</v>
      </c>
      <c r="B6916" s="465">
        <v>8.5066666666666667E-4</v>
      </c>
      <c r="C6916" t="str">
        <f t="shared" si="108"/>
        <v/>
      </c>
    </row>
    <row r="6917" spans="1:3" x14ac:dyDescent="0.25">
      <c r="A6917" s="388">
        <v>3.1170303202040242E-2</v>
      </c>
      <c r="B6917" s="465">
        <v>8.3600000000000005E-4</v>
      </c>
      <c r="C6917" t="str">
        <f t="shared" si="108"/>
        <v/>
      </c>
    </row>
    <row r="6918" spans="1:3" x14ac:dyDescent="0.25">
      <c r="A6918" s="388">
        <v>0.6902805327288184</v>
      </c>
      <c r="B6918" s="465">
        <v>5.4780000000000002E-3</v>
      </c>
      <c r="C6918" t="str">
        <f t="shared" si="108"/>
        <v/>
      </c>
    </row>
    <row r="6919" spans="1:3" x14ac:dyDescent="0.25">
      <c r="A6919" s="388">
        <v>0.19750637574383678</v>
      </c>
      <c r="B6919" s="465">
        <v>2.4840000000000005E-3</v>
      </c>
      <c r="C6919" t="str">
        <f t="shared" si="108"/>
        <v/>
      </c>
    </row>
    <row r="6920" spans="1:3" x14ac:dyDescent="0.25">
      <c r="A6920" s="388">
        <v>0.10172853499574951</v>
      </c>
      <c r="B6920" s="465">
        <v>2.4553333333333328E-3</v>
      </c>
      <c r="C6920" t="str">
        <f t="shared" si="108"/>
        <v/>
      </c>
    </row>
    <row r="6921" spans="1:3" x14ac:dyDescent="0.25">
      <c r="A6921" s="388">
        <v>9.8044771890053839E-2</v>
      </c>
      <c r="B6921" s="465">
        <v>1.0333333333333332E-3</v>
      </c>
      <c r="C6921" t="str">
        <f t="shared" si="108"/>
        <v/>
      </c>
    </row>
    <row r="6922" spans="1:3" x14ac:dyDescent="0.25">
      <c r="A6922" s="388">
        <v>3.6837631056956646</v>
      </c>
      <c r="B6922" s="465">
        <v>3.2202036450666667E-2</v>
      </c>
      <c r="C6922" t="str">
        <f t="shared" si="108"/>
        <v/>
      </c>
    </row>
    <row r="6923" spans="1:3" x14ac:dyDescent="0.25">
      <c r="A6923" s="388">
        <v>5.0155851516010204</v>
      </c>
      <c r="B6923" s="465">
        <v>1.4587531583999998E-2</v>
      </c>
      <c r="C6923" t="str">
        <f t="shared" si="108"/>
        <v/>
      </c>
    </row>
    <row r="6924" spans="1:3" x14ac:dyDescent="0.25">
      <c r="A6924" s="388">
        <v>7.7642391612354773</v>
      </c>
      <c r="B6924" s="465">
        <v>1.9958065599999998E-2</v>
      </c>
      <c r="C6924" t="str">
        <f t="shared" si="108"/>
        <v/>
      </c>
    </row>
    <row r="6925" spans="1:3" x14ac:dyDescent="0.25">
      <c r="A6925" s="388">
        <v>6.7724567866251064</v>
      </c>
      <c r="B6925" s="465">
        <v>1.871824637333333E-2</v>
      </c>
      <c r="C6925" t="str">
        <f t="shared" si="108"/>
        <v/>
      </c>
    </row>
    <row r="6926" spans="1:3" x14ac:dyDescent="0.25">
      <c r="A6926" s="388">
        <v>4.533862283933126</v>
      </c>
      <c r="B6926" s="465">
        <v>2.6269047858666667E-3</v>
      </c>
      <c r="C6926" t="str">
        <f t="shared" si="108"/>
        <v/>
      </c>
    </row>
    <row r="6927" spans="1:3" x14ac:dyDescent="0.25">
      <c r="A6927" s="388">
        <v>7.8492490790592235</v>
      </c>
      <c r="B6927" s="465">
        <v>3.6142242431999996E-2</v>
      </c>
      <c r="C6927" t="str">
        <f t="shared" si="108"/>
        <v/>
      </c>
    </row>
    <row r="6928" spans="1:3" x14ac:dyDescent="0.25">
      <c r="A6928" s="388">
        <v>8.2176253896287896</v>
      </c>
      <c r="B6928" s="465">
        <v>2.4602851775999999E-2</v>
      </c>
      <c r="C6928" t="str">
        <f t="shared" si="108"/>
        <v/>
      </c>
    </row>
    <row r="6929" spans="1:3" x14ac:dyDescent="0.25">
      <c r="A6929" s="388">
        <v>8.2176253896287896</v>
      </c>
      <c r="B6929" s="465">
        <v>1.6401901183999999E-2</v>
      </c>
      <c r="C6929" t="str">
        <f t="shared" si="108"/>
        <v/>
      </c>
    </row>
    <row r="6930" spans="1:3" x14ac:dyDescent="0.25">
      <c r="A6930" s="388">
        <v>9.5211107962595634</v>
      </c>
      <c r="B6930" s="465">
        <v>9.9200657880000015E-2</v>
      </c>
      <c r="C6930" t="str">
        <f t="shared" si="108"/>
        <v/>
      </c>
    </row>
    <row r="6931" spans="1:3" x14ac:dyDescent="0.25">
      <c r="A6931" s="388">
        <v>6.2623972796826299</v>
      </c>
      <c r="B6931" s="465">
        <v>1.9825011829333335E-2</v>
      </c>
      <c r="C6931" t="str">
        <f t="shared" si="108"/>
        <v/>
      </c>
    </row>
    <row r="6932" spans="1:3" x14ac:dyDescent="0.25">
      <c r="A6932" s="388">
        <v>3.7971096627939929</v>
      </c>
      <c r="B6932" s="465">
        <v>2.8425123733333328E-2</v>
      </c>
      <c r="C6932" t="str">
        <f t="shared" si="108"/>
        <v/>
      </c>
    </row>
    <row r="6933" spans="1:3" x14ac:dyDescent="0.25">
      <c r="A6933" s="388">
        <v>4.4488523661093797</v>
      </c>
      <c r="B6933" s="465">
        <v>2.7596561616E-2</v>
      </c>
      <c r="C6933" t="str">
        <f t="shared" si="108"/>
        <v/>
      </c>
    </row>
    <row r="6934" spans="1:3" x14ac:dyDescent="0.25">
      <c r="A6934" s="388">
        <v>3.315386795126098</v>
      </c>
      <c r="B6934" s="465">
        <v>5.3221508266666664E-4</v>
      </c>
      <c r="C6934" t="str">
        <f t="shared" si="108"/>
        <v/>
      </c>
    </row>
    <row r="6935" spans="1:3" x14ac:dyDescent="0.25">
      <c r="A6935" s="388">
        <v>2.6636440918107112</v>
      </c>
      <c r="B6935" s="465">
        <v>1.3205586738666668E-3</v>
      </c>
      <c r="C6935" t="str">
        <f t="shared" si="108"/>
        <v/>
      </c>
    </row>
    <row r="6936" spans="1:3" x14ac:dyDescent="0.25">
      <c r="A6936" s="388">
        <v>2.5786341739869654</v>
      </c>
      <c r="B6936" s="465">
        <v>1.3006006082666667E-3</v>
      </c>
      <c r="C6936" t="str">
        <f t="shared" si="108"/>
        <v/>
      </c>
    </row>
    <row r="6937" spans="1:3" x14ac:dyDescent="0.25">
      <c r="A6937" s="388">
        <v>0.17568716350240862</v>
      </c>
      <c r="B6937" s="465">
        <v>2.2099021728000001E-2</v>
      </c>
      <c r="C6937" t="str">
        <f t="shared" si="108"/>
        <v/>
      </c>
    </row>
    <row r="6938" spans="1:3" x14ac:dyDescent="0.25">
      <c r="A6938" s="388">
        <v>0.11958061773873618</v>
      </c>
      <c r="B6938" s="465">
        <v>5.9299646426666675E-3</v>
      </c>
      <c r="C6938" t="str">
        <f t="shared" si="108"/>
        <v/>
      </c>
    </row>
    <row r="6939" spans="1:3" x14ac:dyDescent="0.25">
      <c r="A6939" s="388">
        <v>7.679229243411731E-2</v>
      </c>
      <c r="B6939" s="465">
        <v>2.3949678720000004E-3</v>
      </c>
      <c r="C6939" t="str">
        <f t="shared" si="108"/>
        <v/>
      </c>
    </row>
    <row r="6940" spans="1:3" x14ac:dyDescent="0.25">
      <c r="A6940" s="388">
        <v>2.3236044205157267E-2</v>
      </c>
      <c r="B6940" s="465">
        <v>2.1167645333333335E-4</v>
      </c>
      <c r="C6940" t="str">
        <f t="shared" si="108"/>
        <v/>
      </c>
    </row>
    <row r="6941" spans="1:3" x14ac:dyDescent="0.25">
      <c r="A6941" s="388">
        <v>1.5301785208274301E-2</v>
      </c>
      <c r="B6941" s="465">
        <v>6.1688566399999991E-4</v>
      </c>
      <c r="C6941" t="str">
        <f t="shared" si="108"/>
        <v/>
      </c>
    </row>
    <row r="6942" spans="1:3" x14ac:dyDescent="0.25">
      <c r="A6942" s="388">
        <v>9.917823746103711E-3</v>
      </c>
      <c r="B6942" s="465">
        <v>2.9029913600000003E-5</v>
      </c>
      <c r="C6942" t="str">
        <f t="shared" si="108"/>
        <v/>
      </c>
    </row>
    <row r="6943" spans="1:3" x14ac:dyDescent="0.25">
      <c r="A6943" s="388">
        <v>3.0631783948837521</v>
      </c>
      <c r="B6943" s="465">
        <v>1.6819944171676628E-2</v>
      </c>
      <c r="C6943" t="str">
        <f t="shared" si="108"/>
        <v/>
      </c>
    </row>
    <row r="6944" spans="1:3" x14ac:dyDescent="0.25">
      <c r="A6944" s="388">
        <v>1.7990932275432134</v>
      </c>
      <c r="B6944" s="465">
        <v>1.4444799999999999E-2</v>
      </c>
      <c r="C6944" t="str">
        <f t="shared" si="108"/>
        <v/>
      </c>
    </row>
    <row r="6945" spans="1:3" x14ac:dyDescent="0.25">
      <c r="A6945" s="388">
        <v>4.4905072258430154</v>
      </c>
      <c r="B6945" s="465">
        <v>1.02144E-2</v>
      </c>
      <c r="C6945" t="str">
        <f t="shared" si="108"/>
        <v/>
      </c>
    </row>
    <row r="6946" spans="1:3" x14ac:dyDescent="0.25">
      <c r="A6946" s="388">
        <v>1.6418248795692831</v>
      </c>
      <c r="B6946" s="465">
        <v>8.3838666666666666E-3</v>
      </c>
      <c r="C6946" t="str">
        <f t="shared" si="108"/>
        <v/>
      </c>
    </row>
    <row r="6947" spans="1:3" x14ac:dyDescent="0.25">
      <c r="A6947" s="388">
        <v>1.5607820912439785</v>
      </c>
      <c r="B6947" s="465">
        <v>2.4174333333333332E-2</v>
      </c>
      <c r="C6947" t="str">
        <f t="shared" si="108"/>
        <v/>
      </c>
    </row>
    <row r="6948" spans="1:3" x14ac:dyDescent="0.25">
      <c r="A6948" s="388">
        <v>1.3238877869084726</v>
      </c>
      <c r="B6948" s="465">
        <v>4.9466666666666661E-3</v>
      </c>
      <c r="C6948" t="str">
        <f t="shared" si="108"/>
        <v/>
      </c>
    </row>
    <row r="6949" spans="1:3" x14ac:dyDescent="0.25">
      <c r="A6949" s="388">
        <v>0.86936809294417683</v>
      </c>
      <c r="B6949" s="465">
        <v>1.5583333333333334E-3</v>
      </c>
      <c r="C6949" t="str">
        <f t="shared" si="108"/>
        <v/>
      </c>
    </row>
    <row r="6950" spans="1:3" x14ac:dyDescent="0.25">
      <c r="A6950" s="388">
        <v>4.8690847265514314</v>
      </c>
      <c r="B6950" s="465">
        <v>0.10298864000000001</v>
      </c>
      <c r="C6950" t="str">
        <f t="shared" si="108"/>
        <v/>
      </c>
    </row>
    <row r="6951" spans="1:3" x14ac:dyDescent="0.25">
      <c r="A6951" s="388">
        <v>0.81637857750070841</v>
      </c>
      <c r="B6951" s="465">
        <v>2.4041600000000002E-3</v>
      </c>
      <c r="C6951" t="str">
        <f t="shared" si="108"/>
        <v/>
      </c>
    </row>
    <row r="6952" spans="1:3" x14ac:dyDescent="0.25">
      <c r="A6952" s="388">
        <v>0.66421082459620295</v>
      </c>
      <c r="B6952" s="465">
        <v>2.5678400000000001E-3</v>
      </c>
      <c r="C6952" t="str">
        <f t="shared" si="108"/>
        <v/>
      </c>
    </row>
    <row r="6953" spans="1:3" x14ac:dyDescent="0.25">
      <c r="A6953" s="388">
        <v>0.55341456503258724</v>
      </c>
      <c r="B6953" s="465">
        <v>2.9150000000000005E-3</v>
      </c>
      <c r="C6953" t="str">
        <f t="shared" si="108"/>
        <v/>
      </c>
    </row>
    <row r="6954" spans="1:3" x14ac:dyDescent="0.25">
      <c r="A6954" s="388">
        <v>0.27854916406914143</v>
      </c>
      <c r="B6954" s="465">
        <v>1.2420599999999999E-3</v>
      </c>
      <c r="C6954" t="str">
        <f t="shared" si="108"/>
        <v/>
      </c>
    </row>
    <row r="6955" spans="1:3" x14ac:dyDescent="0.25">
      <c r="A6955" s="388">
        <v>1.9113063190705584</v>
      </c>
      <c r="B6955" s="465">
        <v>3.7290666666666659E-2</v>
      </c>
      <c r="C6955" t="str">
        <f t="shared" si="108"/>
        <v/>
      </c>
    </row>
    <row r="6956" spans="1:3" x14ac:dyDescent="0.25">
      <c r="A6956" s="388">
        <v>1.0243695097761405</v>
      </c>
      <c r="B6956" s="465">
        <v>6.5306666666666673E-3</v>
      </c>
      <c r="C6956" t="str">
        <f t="shared" si="108"/>
        <v/>
      </c>
    </row>
    <row r="6957" spans="1:3" x14ac:dyDescent="0.25">
      <c r="A6957" s="388">
        <v>0.46188722017568717</v>
      </c>
      <c r="B6957" s="465">
        <v>1.1957333333333334E-2</v>
      </c>
      <c r="C6957" t="str">
        <f t="shared" si="108"/>
        <v/>
      </c>
    </row>
    <row r="6958" spans="1:3" x14ac:dyDescent="0.25">
      <c r="A6958" s="388">
        <v>0.31198639841314818</v>
      </c>
      <c r="B6958" s="465">
        <v>8.6359999999999996E-3</v>
      </c>
      <c r="C6958" t="str">
        <f t="shared" si="108"/>
        <v/>
      </c>
    </row>
    <row r="6959" spans="1:3" x14ac:dyDescent="0.25">
      <c r="A6959" s="388">
        <v>0.17937092660810428</v>
      </c>
      <c r="B6959" s="465">
        <v>1.0226666666666667E-3</v>
      </c>
      <c r="C6959" t="str">
        <f t="shared" si="108"/>
        <v/>
      </c>
    </row>
    <row r="6960" spans="1:3" x14ac:dyDescent="0.25">
      <c r="A6960" s="388">
        <v>0.14451686030036837</v>
      </c>
      <c r="B6960" s="465">
        <v>7.5333333333333339E-4</v>
      </c>
      <c r="C6960" t="str">
        <f t="shared" si="108"/>
        <v/>
      </c>
    </row>
    <row r="6961" spans="1:3" x14ac:dyDescent="0.25">
      <c r="A6961" s="388">
        <v>9.3794275998866541E-2</v>
      </c>
      <c r="B6961" s="465">
        <v>1.6099999999999999E-3</v>
      </c>
      <c r="C6961" t="str">
        <f t="shared" si="108"/>
        <v/>
      </c>
    </row>
    <row r="6962" spans="1:3" x14ac:dyDescent="0.25">
      <c r="A6962" s="388">
        <v>6.6024369509776137E-2</v>
      </c>
      <c r="B6962" s="465">
        <v>6.3600000000000006E-4</v>
      </c>
      <c r="C6962" t="str">
        <f t="shared" si="108"/>
        <v/>
      </c>
    </row>
    <row r="6963" spans="1:3" x14ac:dyDescent="0.25">
      <c r="A6963" s="388">
        <v>5.1005950694247668E-2</v>
      </c>
      <c r="B6963" s="465">
        <v>6.4800000000000014E-4</v>
      </c>
      <c r="C6963" t="str">
        <f t="shared" si="108"/>
        <v/>
      </c>
    </row>
    <row r="6964" spans="1:3" x14ac:dyDescent="0.25">
      <c r="A6964" s="388">
        <v>5.7523377727401528E-2</v>
      </c>
      <c r="B6964" s="465">
        <v>4.1600000000000003E-4</v>
      </c>
      <c r="C6964" t="str">
        <f t="shared" si="108"/>
        <v/>
      </c>
    </row>
    <row r="6965" spans="1:3" x14ac:dyDescent="0.25">
      <c r="A6965" s="388">
        <v>2.8903372060073678</v>
      </c>
      <c r="B6965" s="465">
        <v>8.7507733333333351E-2</v>
      </c>
      <c r="C6965" t="str">
        <f t="shared" si="108"/>
        <v/>
      </c>
    </row>
    <row r="6966" spans="1:3" x14ac:dyDescent="0.25">
      <c r="A6966" s="388">
        <v>1.8362142249929159</v>
      </c>
      <c r="B6966" s="465">
        <v>1.1401E-2</v>
      </c>
      <c r="C6966" t="str">
        <f t="shared" si="108"/>
        <v/>
      </c>
    </row>
    <row r="6967" spans="1:3" x14ac:dyDescent="0.25">
      <c r="A6967" s="388">
        <v>1.2128081609521111</v>
      </c>
      <c r="B6967" s="465">
        <v>2.1783266666666669E-2</v>
      </c>
      <c r="C6967" t="str">
        <f t="shared" si="108"/>
        <v/>
      </c>
    </row>
    <row r="6968" spans="1:3" x14ac:dyDescent="0.25">
      <c r="A6968" s="388">
        <v>0.63190705582317941</v>
      </c>
      <c r="B6968" s="465">
        <v>4.2335999999999997E-3</v>
      </c>
      <c r="C6968" t="str">
        <f t="shared" ref="C6968:C7031" si="109">IF(B6968=0,"XXXXXXXX","")</f>
        <v/>
      </c>
    </row>
    <row r="6969" spans="1:3" x14ac:dyDescent="0.25">
      <c r="A6969" s="388">
        <v>0.22669311419665628</v>
      </c>
      <c r="B6969" s="465">
        <v>1.1420666666666666E-2</v>
      </c>
      <c r="C6969" t="str">
        <f t="shared" si="109"/>
        <v/>
      </c>
    </row>
    <row r="6970" spans="1:3" x14ac:dyDescent="0.25">
      <c r="A6970" s="388">
        <v>0.13601586851799377</v>
      </c>
      <c r="B6970" s="465">
        <v>7.6800000000000002E-4</v>
      </c>
      <c r="C6970" t="str">
        <f t="shared" si="109"/>
        <v/>
      </c>
    </row>
    <row r="6971" spans="1:3" x14ac:dyDescent="0.25">
      <c r="A6971" s="388">
        <v>9.634457353357892E-2</v>
      </c>
      <c r="B6971" s="465">
        <v>4.071E-3</v>
      </c>
      <c r="C6971" t="str">
        <f t="shared" si="109"/>
        <v/>
      </c>
    </row>
    <row r="6972" spans="1:3" x14ac:dyDescent="0.25">
      <c r="A6972" s="388">
        <v>6.5174270331538678E-2</v>
      </c>
      <c r="B6972" s="465">
        <v>4.7833333333333327E-4</v>
      </c>
      <c r="C6972" t="str">
        <f t="shared" si="109"/>
        <v/>
      </c>
    </row>
    <row r="6973" spans="1:3" x14ac:dyDescent="0.25">
      <c r="A6973" s="388">
        <v>0.44970246528761687</v>
      </c>
      <c r="B6973" s="465">
        <v>7.3720000000000001E-3</v>
      </c>
      <c r="C6973" t="str">
        <f t="shared" si="109"/>
        <v/>
      </c>
    </row>
    <row r="6974" spans="1:3" x14ac:dyDescent="0.25">
      <c r="A6974" s="388">
        <v>0.25361292150750919</v>
      </c>
      <c r="B6974" s="465">
        <v>1.336533333333333E-2</v>
      </c>
      <c r="C6974" t="str">
        <f t="shared" si="109"/>
        <v/>
      </c>
    </row>
    <row r="6975" spans="1:3" x14ac:dyDescent="0.25">
      <c r="A6975" s="388">
        <v>8.4443185038254459E-2</v>
      </c>
      <c r="B6975" s="465">
        <v>5.28E-3</v>
      </c>
      <c r="C6975" t="str">
        <f t="shared" si="109"/>
        <v/>
      </c>
    </row>
    <row r="6976" spans="1:3" x14ac:dyDescent="0.25">
      <c r="A6976" s="388">
        <v>5.9790308869368092E-2</v>
      </c>
      <c r="B6976" s="465">
        <v>1.6999999999999997E-3</v>
      </c>
      <c r="C6976" t="str">
        <f t="shared" si="109"/>
        <v/>
      </c>
    </row>
    <row r="6977" spans="1:3" x14ac:dyDescent="0.25">
      <c r="A6977" s="388">
        <v>1.5585151601020121E-2</v>
      </c>
      <c r="B6977" s="465">
        <v>5.44E-4</v>
      </c>
      <c r="C6977" t="str">
        <f t="shared" si="109"/>
        <v/>
      </c>
    </row>
    <row r="6978" spans="1:3" x14ac:dyDescent="0.25">
      <c r="A6978" s="388">
        <v>2.408614338339473E-2</v>
      </c>
      <c r="B6978" s="465">
        <v>2.333333333333333E-4</v>
      </c>
      <c r="C6978" t="str">
        <f t="shared" si="109"/>
        <v/>
      </c>
    </row>
    <row r="6979" spans="1:3" x14ac:dyDescent="0.25">
      <c r="A6979" s="388">
        <v>0.36837631056956643</v>
      </c>
      <c r="B6979" s="465">
        <v>1.0352000000000002E-2</v>
      </c>
      <c r="C6979" t="str">
        <f t="shared" si="109"/>
        <v/>
      </c>
    </row>
    <row r="6980" spans="1:3" x14ac:dyDescent="0.25">
      <c r="A6980" s="388">
        <v>0.44318503825446304</v>
      </c>
      <c r="B6980" s="465">
        <v>1.0166666666666666E-3</v>
      </c>
      <c r="C6980" t="str">
        <f t="shared" si="109"/>
        <v/>
      </c>
    </row>
    <row r="6981" spans="1:3" x14ac:dyDescent="0.25">
      <c r="A6981" s="388">
        <v>7.0841598186455093E-2</v>
      </c>
      <c r="B6981" s="465">
        <v>7.4666666666666664E-4</v>
      </c>
      <c r="C6981" t="str">
        <f t="shared" si="109"/>
        <v/>
      </c>
    </row>
    <row r="6982" spans="1:3" x14ac:dyDescent="0.25">
      <c r="A6982" s="388">
        <v>1.1334655709832815E-2</v>
      </c>
      <c r="B6982" s="465">
        <v>7.2640000000000009E-4</v>
      </c>
      <c r="C6982" t="str">
        <f t="shared" si="109"/>
        <v/>
      </c>
    </row>
    <row r="6983" spans="1:3" x14ac:dyDescent="0.25">
      <c r="A6983" s="388">
        <v>7.9342589968829699E-3</v>
      </c>
      <c r="B6983" s="465">
        <v>6.1199999999999997E-5</v>
      </c>
      <c r="C6983" t="str">
        <f t="shared" si="109"/>
        <v/>
      </c>
    </row>
    <row r="6984" spans="1:3" x14ac:dyDescent="0.25">
      <c r="A6984" s="388">
        <v>1.1192972513459905</v>
      </c>
      <c r="B6984" s="465">
        <v>2.5984E-2</v>
      </c>
      <c r="C6984" t="str">
        <f t="shared" si="109"/>
        <v/>
      </c>
    </row>
    <row r="6985" spans="1:3" x14ac:dyDescent="0.25">
      <c r="A6985" s="388">
        <v>0.73958628506659119</v>
      </c>
      <c r="B6985" s="465">
        <v>7.5133333333333345E-3</v>
      </c>
      <c r="C6985" t="str">
        <f t="shared" si="109"/>
        <v/>
      </c>
    </row>
    <row r="6986" spans="1:3" x14ac:dyDescent="0.25">
      <c r="A6986" s="388">
        <v>0.2686313403230377</v>
      </c>
      <c r="B6986" s="465">
        <v>4.069999999999999E-3</v>
      </c>
      <c r="C6986" t="str">
        <f t="shared" si="109"/>
        <v/>
      </c>
    </row>
    <row r="6987" spans="1:3" x14ac:dyDescent="0.25">
      <c r="A6987" s="388">
        <v>0.13459903655426467</v>
      </c>
      <c r="B6987" s="465">
        <v>6.6E-4</v>
      </c>
      <c r="C6987" t="str">
        <f t="shared" si="109"/>
        <v/>
      </c>
    </row>
    <row r="6988" spans="1:3" x14ac:dyDescent="0.25">
      <c r="A6988" s="388">
        <v>8.9827146500425045E-2</v>
      </c>
      <c r="B6988" s="465">
        <v>7.4666666666666664E-4</v>
      </c>
      <c r="C6988" t="str">
        <f t="shared" si="109"/>
        <v/>
      </c>
    </row>
    <row r="6989" spans="1:3" x14ac:dyDescent="0.25">
      <c r="A6989" s="388">
        <v>6.6307735902521953E-2</v>
      </c>
      <c r="B6989" s="465">
        <v>6.0266666666666682E-4</v>
      </c>
      <c r="C6989" t="str">
        <f t="shared" si="109"/>
        <v/>
      </c>
    </row>
    <row r="6990" spans="1:3" ht="13.5" customHeight="1" x14ac:dyDescent="0.25">
      <c r="A6990" s="388">
        <v>1.2751487673561916</v>
      </c>
      <c r="B6990" s="465">
        <v>5.3666666666666668E-2</v>
      </c>
      <c r="C6990" t="str">
        <f t="shared" si="109"/>
        <v/>
      </c>
    </row>
    <row r="6991" spans="1:3" ht="13.5" customHeight="1" x14ac:dyDescent="0.25">
      <c r="A6991" s="388">
        <v>1.1635024086143384</v>
      </c>
      <c r="B6991" s="465">
        <v>4.3263200000000002E-2</v>
      </c>
      <c r="C6991" t="str">
        <f t="shared" si="109"/>
        <v/>
      </c>
    </row>
    <row r="6992" spans="1:3" ht="13.5" customHeight="1" x14ac:dyDescent="0.25">
      <c r="A6992" s="388">
        <v>0.64890903938792854</v>
      </c>
      <c r="B6992" s="465">
        <v>1.1516800000000001E-2</v>
      </c>
      <c r="C6992" t="str">
        <f t="shared" si="109"/>
        <v/>
      </c>
    </row>
    <row r="6993" spans="1:3" x14ac:dyDescent="0.25">
      <c r="A6993" s="388">
        <v>0.15868517993765938</v>
      </c>
      <c r="B6993" s="465">
        <v>2.5652000000000006E-3</v>
      </c>
      <c r="C6993" t="str">
        <f t="shared" si="109"/>
        <v/>
      </c>
    </row>
    <row r="6994" spans="1:3" x14ac:dyDescent="0.25">
      <c r="A6994" s="388">
        <v>5.1005950694247668E-2</v>
      </c>
      <c r="B6994" s="465">
        <v>2.0897999999999997E-3</v>
      </c>
      <c r="C6994" t="str">
        <f t="shared" si="109"/>
        <v/>
      </c>
    </row>
    <row r="6995" spans="1:3" x14ac:dyDescent="0.25">
      <c r="A6995" s="388">
        <v>2.4369509776140549E-2</v>
      </c>
      <c r="B6995" s="465">
        <v>5.9386666666666661E-4</v>
      </c>
      <c r="C6995" t="str">
        <f t="shared" si="109"/>
        <v/>
      </c>
    </row>
    <row r="6996" spans="1:3" x14ac:dyDescent="0.25">
      <c r="A6996" s="388">
        <v>0.47407197506375748</v>
      </c>
      <c r="B6996" s="465">
        <v>5.8219999999999999E-3</v>
      </c>
      <c r="C6996" t="str">
        <f t="shared" si="109"/>
        <v/>
      </c>
    </row>
    <row r="6997" spans="1:3" x14ac:dyDescent="0.25">
      <c r="A6997" s="388">
        <v>0.22414281666194391</v>
      </c>
      <c r="B6997" s="465">
        <v>6.5599999999999999E-3</v>
      </c>
      <c r="C6997" t="str">
        <f t="shared" si="109"/>
        <v/>
      </c>
    </row>
    <row r="6998" spans="1:3" x14ac:dyDescent="0.25">
      <c r="A6998" s="388">
        <v>8.5009917823746103E-2</v>
      </c>
      <c r="B6998" s="465">
        <v>2.8613333333333334E-3</v>
      </c>
      <c r="C6998" t="str">
        <f t="shared" si="109"/>
        <v/>
      </c>
    </row>
    <row r="6999" spans="1:3" x14ac:dyDescent="0.25">
      <c r="A6999" s="388">
        <v>6.6024369509776137E-2</v>
      </c>
      <c r="B6999" s="465">
        <v>4.1800000000000002E-4</v>
      </c>
      <c r="C6999" t="str">
        <f t="shared" si="109"/>
        <v/>
      </c>
    </row>
    <row r="7000" spans="1:3" x14ac:dyDescent="0.25">
      <c r="A7000" s="388">
        <v>3.3437234344006798E-2</v>
      </c>
      <c r="B7000" s="465">
        <v>2.6599999999999996E-4</v>
      </c>
      <c r="C7000" t="str">
        <f t="shared" si="109"/>
        <v/>
      </c>
    </row>
    <row r="7001" spans="1:3" x14ac:dyDescent="0.25">
      <c r="A7001" s="388">
        <v>1.728534995749504E-2</v>
      </c>
      <c r="B7001" s="465">
        <v>1.9600000000000002E-4</v>
      </c>
      <c r="C7001" t="str">
        <f t="shared" si="109"/>
        <v/>
      </c>
    </row>
    <row r="7002" spans="1:3" x14ac:dyDescent="0.25">
      <c r="A7002" s="388">
        <v>1.501841881552848E-2</v>
      </c>
      <c r="B7002" s="465">
        <v>1.7333333333333334E-4</v>
      </c>
      <c r="C7002" t="str">
        <f t="shared" si="109"/>
        <v/>
      </c>
    </row>
    <row r="7003" spans="1:3" x14ac:dyDescent="0.25">
      <c r="A7003" s="388">
        <v>9.917823746103711E-3</v>
      </c>
      <c r="B7003" s="465">
        <v>1.8799999999999999E-4</v>
      </c>
      <c r="C7003" t="str">
        <f t="shared" si="109"/>
        <v/>
      </c>
    </row>
    <row r="7004" spans="1:3" x14ac:dyDescent="0.25">
      <c r="A7004" s="388">
        <v>0.44856899971663361</v>
      </c>
      <c r="B7004" s="465">
        <v>5.6888000000000008E-3</v>
      </c>
      <c r="C7004" t="str">
        <f t="shared" si="109"/>
        <v/>
      </c>
    </row>
    <row r="7005" spans="1:3" x14ac:dyDescent="0.25">
      <c r="A7005" s="388">
        <v>0.27004817228676675</v>
      </c>
      <c r="B7005" s="465">
        <v>2.4419999999999997E-3</v>
      </c>
      <c r="C7005" t="str">
        <f t="shared" si="109"/>
        <v/>
      </c>
    </row>
    <row r="7006" spans="1:3" x14ac:dyDescent="0.25">
      <c r="A7006" s="388">
        <v>0.62425616321904231</v>
      </c>
      <c r="B7006" s="465">
        <v>1.7660666666666668E-2</v>
      </c>
      <c r="C7006" t="str">
        <f t="shared" si="109"/>
        <v/>
      </c>
    </row>
    <row r="7007" spans="1:3" x14ac:dyDescent="0.25">
      <c r="A7007" s="388">
        <v>0.38169453102862005</v>
      </c>
      <c r="B7007" s="465">
        <v>1.7346E-2</v>
      </c>
      <c r="C7007" t="str">
        <f t="shared" si="109"/>
        <v/>
      </c>
    </row>
    <row r="7008" spans="1:3" x14ac:dyDescent="0.25">
      <c r="A7008" s="388">
        <v>0.16038537829413432</v>
      </c>
      <c r="B7008" s="465">
        <v>4.816E-3</v>
      </c>
      <c r="C7008" t="str">
        <f t="shared" si="109"/>
        <v/>
      </c>
    </row>
    <row r="7009" spans="1:3" x14ac:dyDescent="0.25">
      <c r="A7009" s="388">
        <v>9.6627939926324749E-2</v>
      </c>
      <c r="B7009" s="465">
        <v>2.4566666666666665E-3</v>
      </c>
      <c r="C7009" t="str">
        <f t="shared" si="109"/>
        <v/>
      </c>
    </row>
    <row r="7010" spans="1:3" x14ac:dyDescent="0.25">
      <c r="A7010" s="388">
        <v>5.0722584301501845E-2</v>
      </c>
      <c r="B7010" s="465">
        <v>6.240000000000001E-4</v>
      </c>
      <c r="C7010" t="str">
        <f t="shared" si="109"/>
        <v/>
      </c>
    </row>
    <row r="7011" spans="1:3" x14ac:dyDescent="0.25">
      <c r="A7011" s="388">
        <v>2.7769906489090394E-2</v>
      </c>
      <c r="B7011" s="465">
        <v>5.0000000000000001E-4</v>
      </c>
      <c r="C7011" t="str">
        <f t="shared" si="109"/>
        <v/>
      </c>
    </row>
    <row r="7012" spans="1:3" x14ac:dyDescent="0.25">
      <c r="A7012" s="388">
        <v>1.8985548313969966E-2</v>
      </c>
      <c r="B7012" s="465">
        <v>9.146666666666666E-4</v>
      </c>
      <c r="C7012" t="str">
        <f t="shared" si="109"/>
        <v/>
      </c>
    </row>
    <row r="7013" spans="1:3" x14ac:dyDescent="0.25">
      <c r="A7013" s="388">
        <v>1.3318220459053556E-2</v>
      </c>
      <c r="B7013" s="465">
        <v>9.1800000000000009E-4</v>
      </c>
      <c r="C7013" t="str">
        <f t="shared" si="109"/>
        <v/>
      </c>
    </row>
    <row r="7014" spans="1:3" x14ac:dyDescent="0.25">
      <c r="A7014" s="388">
        <v>0.6715783508075942</v>
      </c>
      <c r="B7014" s="465">
        <v>3.5224000000000002E-3</v>
      </c>
      <c r="C7014" t="str">
        <f t="shared" si="109"/>
        <v/>
      </c>
    </row>
    <row r="7015" spans="1:3" x14ac:dyDescent="0.25">
      <c r="A7015" s="388">
        <v>0.40266364409181077</v>
      </c>
      <c r="B7015" s="465">
        <v>1.3722666666666668E-3</v>
      </c>
      <c r="C7015" t="str">
        <f t="shared" si="109"/>
        <v/>
      </c>
    </row>
    <row r="7016" spans="1:3" x14ac:dyDescent="0.25">
      <c r="A7016" s="388">
        <v>3.683763105695665E-2</v>
      </c>
      <c r="B7016" s="465">
        <v>3.3717333333333332E-3</v>
      </c>
      <c r="C7016" t="str">
        <f t="shared" si="109"/>
        <v/>
      </c>
    </row>
    <row r="7017" spans="1:3" x14ac:dyDescent="0.25">
      <c r="A7017" s="388">
        <v>1.9835647492207422E-2</v>
      </c>
      <c r="B7017" s="465">
        <v>2.1759999999999998E-4</v>
      </c>
      <c r="C7017" t="str">
        <f t="shared" si="109"/>
        <v/>
      </c>
    </row>
    <row r="7018" spans="1:3" x14ac:dyDescent="0.25">
      <c r="A7018" s="388">
        <v>0.34684046472088415</v>
      </c>
      <c r="B7018" s="465">
        <v>5.2215333333333343E-2</v>
      </c>
      <c r="C7018" t="str">
        <f t="shared" si="109"/>
        <v/>
      </c>
    </row>
    <row r="7019" spans="1:3" x14ac:dyDescent="0.25">
      <c r="A7019" s="388">
        <v>0.20940776423916124</v>
      </c>
      <c r="B7019" s="465">
        <v>1.4355333333333331E-2</v>
      </c>
      <c r="C7019" t="str">
        <f t="shared" si="109"/>
        <v/>
      </c>
    </row>
    <row r="7020" spans="1:3" x14ac:dyDescent="0.25">
      <c r="A7020" s="388">
        <v>8.4159818645508644E-2</v>
      </c>
      <c r="B7020" s="465">
        <v>1.1786666666666668E-3</v>
      </c>
      <c r="C7020" t="str">
        <f t="shared" si="109"/>
        <v/>
      </c>
    </row>
    <row r="7021" spans="1:3" x14ac:dyDescent="0.25">
      <c r="A7021" s="388">
        <v>5.9506942476622277E-2</v>
      </c>
      <c r="B7021" s="465">
        <v>1.6006666666666671E-3</v>
      </c>
      <c r="C7021" t="str">
        <f t="shared" si="109"/>
        <v/>
      </c>
    </row>
    <row r="7022" spans="1:3" x14ac:dyDescent="0.25">
      <c r="A7022" s="388">
        <v>2.1819212241428167E-2</v>
      </c>
      <c r="B7022" s="465">
        <v>2.1866666666666665E-4</v>
      </c>
      <c r="C7022" t="str">
        <f t="shared" si="109"/>
        <v/>
      </c>
    </row>
    <row r="7023" spans="1:3" x14ac:dyDescent="0.25">
      <c r="A7023" s="388">
        <v>1.3601586851799376E-2</v>
      </c>
      <c r="B7023" s="465">
        <v>2.6000000000000003E-4</v>
      </c>
      <c r="C7023" t="str">
        <f t="shared" si="109"/>
        <v/>
      </c>
    </row>
    <row r="7024" spans="1:3" x14ac:dyDescent="0.25">
      <c r="A7024" s="388">
        <v>1.4168319637291017E-2</v>
      </c>
      <c r="B7024" s="465">
        <v>1.7733333333333333E-4</v>
      </c>
      <c r="C7024" t="str">
        <f t="shared" si="109"/>
        <v/>
      </c>
    </row>
    <row r="7025" spans="1:3" x14ac:dyDescent="0.25">
      <c r="A7025" s="388">
        <v>7.6508926041371503E-3</v>
      </c>
      <c r="B7025" s="465">
        <v>1.9200000000000003E-4</v>
      </c>
      <c r="C7025" t="str">
        <f t="shared" si="109"/>
        <v/>
      </c>
    </row>
    <row r="7026" spans="1:3" x14ac:dyDescent="0.25">
      <c r="A7026" s="388">
        <v>6.8007934258996882E-3</v>
      </c>
      <c r="B7026" s="465">
        <v>2.1600000000000002E-4</v>
      </c>
      <c r="C7026" t="str">
        <f t="shared" si="109"/>
        <v/>
      </c>
    </row>
    <row r="7027" spans="1:3" x14ac:dyDescent="0.25">
      <c r="A7027" s="388">
        <v>7.367526211391329E-3</v>
      </c>
      <c r="B7027" s="465">
        <v>1.6799999999999999E-4</v>
      </c>
      <c r="C7027" t="str">
        <f t="shared" si="109"/>
        <v/>
      </c>
    </row>
    <row r="7028" spans="1:3" x14ac:dyDescent="0.25">
      <c r="A7028" s="388">
        <v>0.33890620572400115</v>
      </c>
      <c r="B7028" s="465">
        <v>1.2859200000000001E-2</v>
      </c>
      <c r="C7028" t="str">
        <f t="shared" si="109"/>
        <v/>
      </c>
    </row>
    <row r="7029" spans="1:3" x14ac:dyDescent="0.25">
      <c r="A7029" s="388">
        <v>0.24766222725984699</v>
      </c>
      <c r="B7029" s="465">
        <v>2.7642666666666663E-3</v>
      </c>
      <c r="C7029" t="str">
        <f t="shared" si="109"/>
        <v/>
      </c>
    </row>
    <row r="7030" spans="1:3" x14ac:dyDescent="0.25">
      <c r="A7030" s="388">
        <v>0.51204307169169738</v>
      </c>
      <c r="B7030" s="465">
        <v>2.0504000000000001E-2</v>
      </c>
      <c r="C7030" t="str">
        <f t="shared" si="109"/>
        <v/>
      </c>
    </row>
    <row r="7031" spans="1:3" x14ac:dyDescent="0.25">
      <c r="A7031" s="388">
        <v>0.386511759705299</v>
      </c>
      <c r="B7031" s="465">
        <v>7.012666666666667E-3</v>
      </c>
      <c r="C7031" t="str">
        <f t="shared" si="109"/>
        <v/>
      </c>
    </row>
    <row r="7032" spans="1:3" x14ac:dyDescent="0.25">
      <c r="A7032" s="388">
        <v>0.2405780674412015</v>
      </c>
      <c r="B7032" s="465">
        <v>4.6620000000000003E-3</v>
      </c>
      <c r="C7032" t="str">
        <f t="shared" ref="C7032:C7095" si="110">IF(B7032=0,"XXXXXXXX","")</f>
        <v/>
      </c>
    </row>
    <row r="7033" spans="1:3" x14ac:dyDescent="0.25">
      <c r="A7033" s="388">
        <v>0.18078775857183338</v>
      </c>
      <c r="B7033" s="465">
        <v>1.1532000000000001E-2</v>
      </c>
      <c r="C7033" t="str">
        <f t="shared" si="110"/>
        <v/>
      </c>
    </row>
    <row r="7034" spans="1:3" x14ac:dyDescent="0.25">
      <c r="A7034" s="388">
        <v>0.14820062340606405</v>
      </c>
      <c r="B7034" s="465">
        <v>5.1646666666666655E-3</v>
      </c>
      <c r="C7034" t="str">
        <f t="shared" si="110"/>
        <v/>
      </c>
    </row>
    <row r="7035" spans="1:3" x14ac:dyDescent="0.25">
      <c r="A7035" s="388">
        <v>0.14565032587135165</v>
      </c>
      <c r="B7035" s="465">
        <v>2.3993333333333332E-3</v>
      </c>
      <c r="C7035" t="str">
        <f t="shared" si="110"/>
        <v/>
      </c>
    </row>
    <row r="7036" spans="1:3" x14ac:dyDescent="0.25">
      <c r="A7036" s="388">
        <v>7.0274865400963449E-2</v>
      </c>
      <c r="B7036" s="465">
        <v>1.508E-3</v>
      </c>
      <c r="C7036" t="str">
        <f t="shared" si="110"/>
        <v/>
      </c>
    </row>
    <row r="7037" spans="1:3" x14ac:dyDescent="0.25">
      <c r="A7037" s="388">
        <v>7.3391895721167472E-2</v>
      </c>
      <c r="B7037" s="465">
        <v>1.0053333333333333E-3</v>
      </c>
      <c r="C7037" t="str">
        <f t="shared" si="110"/>
        <v/>
      </c>
    </row>
    <row r="7038" spans="1:3" x14ac:dyDescent="0.25">
      <c r="A7038" s="388">
        <v>6.772456786625107E-2</v>
      </c>
      <c r="B7038" s="465">
        <v>8.5066666666666667E-4</v>
      </c>
      <c r="C7038" t="str">
        <f t="shared" si="110"/>
        <v/>
      </c>
    </row>
    <row r="7039" spans="1:3" x14ac:dyDescent="0.25">
      <c r="A7039" s="388">
        <v>5.4689713799943328E-2</v>
      </c>
      <c r="B7039" s="465">
        <v>1.1199999999999999E-3</v>
      </c>
      <c r="C7039" t="str">
        <f t="shared" si="110"/>
        <v/>
      </c>
    </row>
    <row r="7040" spans="1:3" x14ac:dyDescent="0.25">
      <c r="A7040" s="388">
        <v>4.222159251912723E-2</v>
      </c>
      <c r="B7040" s="465">
        <v>1.0260000000000002E-3</v>
      </c>
      <c r="C7040" t="str">
        <f t="shared" si="110"/>
        <v/>
      </c>
    </row>
    <row r="7041" spans="1:3" x14ac:dyDescent="0.25">
      <c r="A7041" s="388">
        <v>3.8821195806177392E-2</v>
      </c>
      <c r="B7041" s="465">
        <v>1.2099999999999999E-3</v>
      </c>
      <c r="C7041" t="str">
        <f t="shared" si="110"/>
        <v/>
      </c>
    </row>
    <row r="7042" spans="1:3" x14ac:dyDescent="0.25">
      <c r="A7042" s="388">
        <v>4.2504958911873052E-2</v>
      </c>
      <c r="B7042" s="465">
        <v>2.3226666666666665E-3</v>
      </c>
      <c r="C7042" t="str">
        <f t="shared" si="110"/>
        <v/>
      </c>
    </row>
    <row r="7043" spans="1:3" x14ac:dyDescent="0.25">
      <c r="A7043" s="388">
        <v>3.003683763105696E-2</v>
      </c>
      <c r="B7043" s="465">
        <v>3.7399999999999998E-4</v>
      </c>
      <c r="C7043" t="str">
        <f t="shared" si="110"/>
        <v/>
      </c>
    </row>
    <row r="7044" spans="1:3" x14ac:dyDescent="0.25">
      <c r="A7044" s="388">
        <v>0.51005950694247659</v>
      </c>
      <c r="B7044" s="465">
        <v>2.1000466666666669E-2</v>
      </c>
      <c r="C7044" t="str">
        <f t="shared" si="110"/>
        <v/>
      </c>
    </row>
    <row r="7045" spans="1:3" x14ac:dyDescent="0.25">
      <c r="A7045" s="388">
        <v>0.73675262113913287</v>
      </c>
      <c r="B7045" s="465">
        <v>3.1528E-2</v>
      </c>
      <c r="C7045" t="str">
        <f t="shared" si="110"/>
        <v/>
      </c>
    </row>
    <row r="7046" spans="1:3" x14ac:dyDescent="0.25">
      <c r="A7046" s="388">
        <v>0.78379144233493914</v>
      </c>
      <c r="B7046" s="465">
        <v>7.2085866666666665E-2</v>
      </c>
      <c r="C7046" t="str">
        <f t="shared" si="110"/>
        <v/>
      </c>
    </row>
    <row r="7047" spans="1:3" x14ac:dyDescent="0.25">
      <c r="A7047" s="388">
        <v>0.57098328138282795</v>
      </c>
      <c r="B7047" s="465">
        <v>2.2990799999999995E-2</v>
      </c>
      <c r="C7047" t="str">
        <f t="shared" si="110"/>
        <v/>
      </c>
    </row>
    <row r="7048" spans="1:3" x14ac:dyDescent="0.25">
      <c r="A7048" s="388">
        <v>0.45565315953527907</v>
      </c>
      <c r="B7048" s="465">
        <v>7.3831333333333332E-3</v>
      </c>
      <c r="C7048" t="str">
        <f t="shared" si="110"/>
        <v/>
      </c>
    </row>
    <row r="7049" spans="1:3" x14ac:dyDescent="0.25">
      <c r="A7049" s="388">
        <v>0.32473788608671017</v>
      </c>
      <c r="B7049" s="465">
        <v>2.2316800000000001E-2</v>
      </c>
      <c r="C7049" t="str">
        <f t="shared" si="110"/>
        <v/>
      </c>
    </row>
    <row r="7050" spans="1:3" x14ac:dyDescent="0.25">
      <c r="A7050" s="388">
        <v>0.28053272881836216</v>
      </c>
      <c r="B7050" s="465">
        <v>2.1765333333333334E-2</v>
      </c>
      <c r="C7050" t="str">
        <f t="shared" si="110"/>
        <v/>
      </c>
    </row>
    <row r="7051" spans="1:3" x14ac:dyDescent="0.25">
      <c r="A7051" s="388">
        <v>0.20685746670444885</v>
      </c>
      <c r="B7051" s="465">
        <v>5.9860000000000009E-3</v>
      </c>
      <c r="C7051" t="str">
        <f t="shared" si="110"/>
        <v/>
      </c>
    </row>
    <row r="7052" spans="1:3" x14ac:dyDescent="0.25">
      <c r="A7052" s="388">
        <v>0.15868517993765938</v>
      </c>
      <c r="B7052" s="465">
        <v>2.6766666666666662E-3</v>
      </c>
      <c r="C7052" t="str">
        <f t="shared" si="110"/>
        <v/>
      </c>
    </row>
    <row r="7053" spans="1:3" x14ac:dyDescent="0.25">
      <c r="A7053" s="388">
        <v>9.634457353357892E-2</v>
      </c>
      <c r="B7053" s="465">
        <v>9.8366666666666676E-4</v>
      </c>
      <c r="C7053" t="str">
        <f t="shared" si="110"/>
        <v/>
      </c>
    </row>
    <row r="7054" spans="1:3" x14ac:dyDescent="0.25">
      <c r="A7054" s="388">
        <v>8.5009917823746103E-2</v>
      </c>
      <c r="B7054" s="465">
        <v>1.2999999999999999E-3</v>
      </c>
      <c r="C7054" t="str">
        <f t="shared" si="110"/>
        <v/>
      </c>
    </row>
    <row r="7055" spans="1:3" x14ac:dyDescent="0.25">
      <c r="A7055" s="388">
        <v>0.23944460187021818</v>
      </c>
      <c r="B7055" s="465">
        <v>8.8666666666666668E-3</v>
      </c>
      <c r="C7055" t="str">
        <f t="shared" si="110"/>
        <v/>
      </c>
    </row>
    <row r="7056" spans="1:3" x14ac:dyDescent="0.25">
      <c r="A7056" s="388">
        <v>0.23604420515726834</v>
      </c>
      <c r="B7056" s="465">
        <v>4.4026666666666667E-3</v>
      </c>
      <c r="C7056" t="str">
        <f t="shared" si="110"/>
        <v/>
      </c>
    </row>
    <row r="7057" spans="1:3" x14ac:dyDescent="0.25">
      <c r="A7057" s="388">
        <v>0.15925191272315103</v>
      </c>
      <c r="B7057" s="465">
        <v>1.1433333333333334E-2</v>
      </c>
      <c r="C7057" t="str">
        <f t="shared" si="110"/>
        <v/>
      </c>
    </row>
    <row r="7058" spans="1:3" x14ac:dyDescent="0.25">
      <c r="A7058" s="388">
        <v>0.12354774723717768</v>
      </c>
      <c r="B7058" s="465">
        <v>3.552E-3</v>
      </c>
      <c r="C7058" t="str">
        <f t="shared" si="110"/>
        <v/>
      </c>
    </row>
    <row r="7059" spans="1:3" x14ac:dyDescent="0.25">
      <c r="A7059" s="388">
        <v>9.4644375177103987E-2</v>
      </c>
      <c r="B7059" s="465">
        <v>3.979333333333333E-3</v>
      </c>
      <c r="C7059" t="str">
        <f t="shared" si="110"/>
        <v/>
      </c>
    </row>
    <row r="7060" spans="1:3" x14ac:dyDescent="0.25">
      <c r="A7060" s="388">
        <v>9.634457353357892E-2</v>
      </c>
      <c r="B7060" s="465">
        <v>1.9426666666666668E-3</v>
      </c>
      <c r="C7060" t="str">
        <f t="shared" si="110"/>
        <v/>
      </c>
    </row>
    <row r="7061" spans="1:3" x14ac:dyDescent="0.25">
      <c r="A7061" s="388">
        <v>5.0439217908756023E-2</v>
      </c>
      <c r="B7061" s="465">
        <v>7.7999999999999999E-4</v>
      </c>
      <c r="C7061" t="str">
        <f t="shared" si="110"/>
        <v/>
      </c>
    </row>
    <row r="7062" spans="1:3" x14ac:dyDescent="0.25">
      <c r="A7062" s="388">
        <v>5.0439217908756023E-2</v>
      </c>
      <c r="B7062" s="465">
        <v>1.3786666666666667E-3</v>
      </c>
      <c r="C7062" t="str">
        <f t="shared" si="110"/>
        <v/>
      </c>
    </row>
    <row r="7063" spans="1:3" x14ac:dyDescent="0.25">
      <c r="A7063" s="388">
        <v>3.0320204023802779E-2</v>
      </c>
      <c r="B7063" s="465">
        <v>4.2999999999999999E-4</v>
      </c>
      <c r="C7063" t="str">
        <f t="shared" si="110"/>
        <v/>
      </c>
    </row>
    <row r="7064" spans="1:3" x14ac:dyDescent="0.25">
      <c r="A7064" s="388">
        <v>2.8336639274582034E-2</v>
      </c>
      <c r="B7064" s="465">
        <v>4.1066666666666666E-4</v>
      </c>
      <c r="C7064" t="str">
        <f t="shared" si="110"/>
        <v/>
      </c>
    </row>
    <row r="7065" spans="1:3" x14ac:dyDescent="0.25">
      <c r="A7065" s="388">
        <v>2.4936242561632189E-2</v>
      </c>
      <c r="B7065" s="465">
        <v>3.1199999999999999E-4</v>
      </c>
      <c r="C7065" t="str">
        <f t="shared" si="110"/>
        <v/>
      </c>
    </row>
    <row r="7066" spans="1:3" x14ac:dyDescent="0.25">
      <c r="A7066" s="388">
        <v>2.5219608954378012E-2</v>
      </c>
      <c r="B7066" s="465">
        <v>3.8266666666666663E-4</v>
      </c>
      <c r="C7066" t="str">
        <f t="shared" si="110"/>
        <v/>
      </c>
    </row>
    <row r="7067" spans="1:3" x14ac:dyDescent="0.25">
      <c r="A7067" s="388">
        <v>1.2184754888070274E-2</v>
      </c>
      <c r="B7067" s="465">
        <v>2.9466666666666671E-4</v>
      </c>
      <c r="C7067" t="str">
        <f t="shared" si="110"/>
        <v/>
      </c>
    </row>
    <row r="7068" spans="1:3" x14ac:dyDescent="0.25">
      <c r="A7068" s="388">
        <v>0.16095211107962595</v>
      </c>
      <c r="B7068" s="465">
        <v>4.2986666666666668E-3</v>
      </c>
      <c r="C7068" t="str">
        <f t="shared" si="110"/>
        <v/>
      </c>
    </row>
    <row r="7069" spans="1:3" x14ac:dyDescent="0.25">
      <c r="A7069" s="388">
        <v>0.1657693397563049</v>
      </c>
      <c r="B7069" s="465">
        <v>1.7207333333333333E-3</v>
      </c>
      <c r="C7069" t="str">
        <f t="shared" si="110"/>
        <v/>
      </c>
    </row>
    <row r="7070" spans="1:3" x14ac:dyDescent="0.25">
      <c r="A7070" s="388">
        <v>0.14139982998016437</v>
      </c>
      <c r="B7070" s="465">
        <v>2.6104000000000001E-3</v>
      </c>
      <c r="C7070" t="str">
        <f t="shared" si="110"/>
        <v/>
      </c>
    </row>
    <row r="7071" spans="1:3" x14ac:dyDescent="0.25">
      <c r="A7071" s="388">
        <v>0.10456219892320771</v>
      </c>
      <c r="B7071" s="465">
        <v>2.6264000000000001E-3</v>
      </c>
      <c r="C7071" t="str">
        <f t="shared" si="110"/>
        <v/>
      </c>
    </row>
    <row r="7072" spans="1:3" x14ac:dyDescent="0.25">
      <c r="A7072" s="388">
        <v>7.3675262113913301E-2</v>
      </c>
      <c r="B7072" s="465">
        <v>1.1867999999999998E-3</v>
      </c>
      <c r="C7072" t="str">
        <f t="shared" si="110"/>
        <v/>
      </c>
    </row>
    <row r="7073" spans="1:3" x14ac:dyDescent="0.25">
      <c r="A7073" s="388">
        <v>6.8291300651742715E-2</v>
      </c>
      <c r="B7073" s="465">
        <v>4.7294317333333328E-4</v>
      </c>
      <c r="C7073" t="str">
        <f t="shared" si="110"/>
        <v/>
      </c>
    </row>
    <row r="7074" spans="1:3" x14ac:dyDescent="0.25">
      <c r="A7074" s="388">
        <v>2.0255029753471239</v>
      </c>
      <c r="B7074" s="465">
        <v>4.4509599999999996E-2</v>
      </c>
      <c r="C7074" t="str">
        <f t="shared" si="110"/>
        <v/>
      </c>
    </row>
    <row r="7075" spans="1:3" x14ac:dyDescent="0.25">
      <c r="A7075" s="388">
        <v>3.0850099178237462</v>
      </c>
      <c r="B7075" s="465">
        <v>2.377446666666666E-2</v>
      </c>
      <c r="C7075" t="str">
        <f t="shared" si="110"/>
        <v/>
      </c>
    </row>
    <row r="7076" spans="1:3" x14ac:dyDescent="0.25">
      <c r="A7076" s="388">
        <v>2.4890903938792861</v>
      </c>
      <c r="B7076" s="465">
        <v>2.02484E-2</v>
      </c>
      <c r="C7076" t="str">
        <f t="shared" si="110"/>
        <v/>
      </c>
    </row>
    <row r="7077" spans="1:3" x14ac:dyDescent="0.25">
      <c r="A7077" s="388">
        <v>1.6681779540946444</v>
      </c>
      <c r="B7077" s="465">
        <v>4.366000000000001E-3</v>
      </c>
      <c r="C7077" t="str">
        <f t="shared" si="110"/>
        <v/>
      </c>
    </row>
    <row r="7078" spans="1:3" x14ac:dyDescent="0.25">
      <c r="A7078" s="388">
        <v>1.2145083593085859</v>
      </c>
      <c r="B7078" s="465">
        <v>2.2200000000000002E-3</v>
      </c>
      <c r="C7078" t="str">
        <f t="shared" si="110"/>
        <v/>
      </c>
    </row>
    <row r="7079" spans="1:3" x14ac:dyDescent="0.25">
      <c r="A7079" s="388">
        <v>0.79427599886653444</v>
      </c>
      <c r="B7079" s="465">
        <v>3.8352E-3</v>
      </c>
      <c r="C7079" t="str">
        <f t="shared" si="110"/>
        <v/>
      </c>
    </row>
    <row r="7080" spans="1:3" x14ac:dyDescent="0.25">
      <c r="A7080" s="388">
        <v>0.77727401530178519</v>
      </c>
      <c r="B7080" s="465">
        <v>1.0515400000000001E-2</v>
      </c>
      <c r="C7080" t="str">
        <f t="shared" si="110"/>
        <v/>
      </c>
    </row>
    <row r="7081" spans="1:3" x14ac:dyDescent="0.25">
      <c r="A7081" s="388">
        <v>0.89855483139699632</v>
      </c>
      <c r="B7081" s="465">
        <v>1.0540000000000001E-2</v>
      </c>
      <c r="C7081" t="str">
        <f t="shared" si="110"/>
        <v/>
      </c>
    </row>
    <row r="7082" spans="1:3" x14ac:dyDescent="0.25">
      <c r="A7082" s="388">
        <v>0.50694247662227265</v>
      </c>
      <c r="B7082" s="465">
        <v>1.1682399999999999E-2</v>
      </c>
      <c r="C7082" t="str">
        <f t="shared" si="110"/>
        <v/>
      </c>
    </row>
    <row r="7083" spans="1:3" x14ac:dyDescent="0.25">
      <c r="A7083" s="388">
        <v>0.49249079059223577</v>
      </c>
      <c r="B7083" s="465">
        <v>5.7651999999999998E-3</v>
      </c>
      <c r="C7083" t="str">
        <f t="shared" si="110"/>
        <v/>
      </c>
    </row>
    <row r="7084" spans="1:3" x14ac:dyDescent="0.25">
      <c r="A7084" s="388">
        <v>0.2978180787758572</v>
      </c>
      <c r="B7084" s="465">
        <v>8.9400000000000015E-4</v>
      </c>
      <c r="C7084" t="str">
        <f t="shared" si="110"/>
        <v/>
      </c>
    </row>
    <row r="7085" spans="1:3" x14ac:dyDescent="0.25">
      <c r="A7085" s="388">
        <v>0.27968262964012469</v>
      </c>
      <c r="B7085" s="465">
        <v>1.7999999999999998E-4</v>
      </c>
      <c r="C7085" t="str">
        <f t="shared" si="110"/>
        <v/>
      </c>
    </row>
    <row r="7086" spans="1:3" x14ac:dyDescent="0.25">
      <c r="A7086" s="388">
        <v>0.38906205724001136</v>
      </c>
      <c r="B7086" s="465">
        <v>1.5900000000000001E-3</v>
      </c>
      <c r="C7086" t="str">
        <f t="shared" si="110"/>
        <v/>
      </c>
    </row>
    <row r="7087" spans="1:3" x14ac:dyDescent="0.25">
      <c r="A7087" s="388">
        <v>0.32048739019552286</v>
      </c>
      <c r="B7087" s="465">
        <v>5.3640000000000014E-4</v>
      </c>
      <c r="C7087" t="str">
        <f t="shared" si="110"/>
        <v/>
      </c>
    </row>
    <row r="7088" spans="1:3" x14ac:dyDescent="0.25">
      <c r="A7088" s="388">
        <v>0.1612354774723718</v>
      </c>
      <c r="B7088" s="465">
        <v>4.7137999999999998E-3</v>
      </c>
      <c r="C7088" t="str">
        <f t="shared" si="110"/>
        <v/>
      </c>
    </row>
    <row r="7089" spans="1:3" x14ac:dyDescent="0.25">
      <c r="A7089" s="388">
        <v>0.14111646358741856</v>
      </c>
      <c r="B7089" s="465">
        <v>2.1556666666666668E-3</v>
      </c>
      <c r="C7089" t="str">
        <f t="shared" si="110"/>
        <v/>
      </c>
    </row>
    <row r="7090" spans="1:3" x14ac:dyDescent="0.25">
      <c r="A7090" s="388">
        <v>0.2405780674412015</v>
      </c>
      <c r="B7090" s="465">
        <v>2.0609333333333332E-3</v>
      </c>
      <c r="C7090" t="str">
        <f t="shared" si="110"/>
        <v/>
      </c>
    </row>
    <row r="7091" spans="1:3" x14ac:dyDescent="0.25">
      <c r="A7091" s="388">
        <v>0.23916123547747237</v>
      </c>
      <c r="B7091" s="465">
        <v>6.1073999999999989E-3</v>
      </c>
      <c r="C7091" t="str">
        <f t="shared" si="110"/>
        <v/>
      </c>
    </row>
    <row r="7092" spans="1:3" x14ac:dyDescent="0.25">
      <c r="A7092" s="388">
        <v>0.16888637007650892</v>
      </c>
      <c r="B7092" s="465">
        <v>1.0292000000000001E-3</v>
      </c>
      <c r="C7092" t="str">
        <f t="shared" si="110"/>
        <v/>
      </c>
    </row>
    <row r="7093" spans="1:3" x14ac:dyDescent="0.25">
      <c r="A7093" s="388">
        <v>0.24454519693964299</v>
      </c>
      <c r="B7093" s="465">
        <v>2.9880000000000005E-4</v>
      </c>
      <c r="C7093" t="str">
        <f t="shared" si="110"/>
        <v/>
      </c>
    </row>
    <row r="7094" spans="1:3" x14ac:dyDescent="0.25">
      <c r="A7094" s="388">
        <v>0.23094361008784359</v>
      </c>
      <c r="B7094" s="465">
        <v>1.9439999999999998E-4</v>
      </c>
      <c r="C7094" t="str">
        <f t="shared" si="110"/>
        <v/>
      </c>
    </row>
    <row r="7095" spans="1:3" x14ac:dyDescent="0.25">
      <c r="A7095" s="388">
        <v>3.2303768773023517E-2</v>
      </c>
      <c r="B7095" s="465">
        <v>4.7899199999999996E-3</v>
      </c>
      <c r="C7095" t="str">
        <f t="shared" si="110"/>
        <v/>
      </c>
    </row>
    <row r="7096" spans="1:3" x14ac:dyDescent="0.25">
      <c r="A7096" s="388">
        <v>1.6661943893454236E-2</v>
      </c>
      <c r="B7096" s="465">
        <v>1.1168266666666665E-3</v>
      </c>
      <c r="C7096" t="str">
        <f t="shared" ref="C7096:C7159" si="111">IF(B7096=0,"XXXXXXXX","")</f>
        <v/>
      </c>
    </row>
    <row r="7097" spans="1:3" x14ac:dyDescent="0.25">
      <c r="A7097" s="388">
        <v>9.2094077642391626E-3</v>
      </c>
      <c r="B7097" s="465">
        <v>1.1387866666666667E-3</v>
      </c>
      <c r="C7097" t="str">
        <f t="shared" si="111"/>
        <v/>
      </c>
    </row>
    <row r="7098" spans="1:3" x14ac:dyDescent="0.25">
      <c r="A7098" s="388">
        <v>5.0722584301501845E-2</v>
      </c>
      <c r="B7098" s="465">
        <v>4.392E-4</v>
      </c>
      <c r="C7098" t="str">
        <f t="shared" si="111"/>
        <v/>
      </c>
    </row>
    <row r="7099" spans="1:3" x14ac:dyDescent="0.25">
      <c r="A7099" s="388">
        <v>2.7203173703598753E-2</v>
      </c>
      <c r="B7099" s="465">
        <v>8.2064000000000008E-4</v>
      </c>
      <c r="C7099" t="str">
        <f t="shared" si="111"/>
        <v/>
      </c>
    </row>
    <row r="7100" spans="1:3" x14ac:dyDescent="0.25">
      <c r="A7100" s="388">
        <v>1.2468121280816095E-2</v>
      </c>
      <c r="B7100" s="465">
        <v>2.8229333333333335E-4</v>
      </c>
      <c r="C7100" t="str">
        <f t="shared" si="111"/>
        <v/>
      </c>
    </row>
    <row r="7101" spans="1:3" x14ac:dyDescent="0.25">
      <c r="A7101" s="388">
        <v>0.10314536695947861</v>
      </c>
      <c r="B7101" s="465">
        <v>1.9404682872000002E-3</v>
      </c>
      <c r="C7101" t="str">
        <f t="shared" si="111"/>
        <v/>
      </c>
    </row>
    <row r="7102" spans="1:3" x14ac:dyDescent="0.25">
      <c r="A7102" s="388">
        <v>0.30915273448569003</v>
      </c>
      <c r="B7102" s="465">
        <v>1.0886217600000001E-3</v>
      </c>
      <c r="C7102" t="str">
        <f t="shared" si="111"/>
        <v/>
      </c>
    </row>
    <row r="7103" spans="1:3" x14ac:dyDescent="0.25">
      <c r="A7103" s="388">
        <v>0.24709549447435536</v>
      </c>
      <c r="B7103" s="465">
        <v>2.582452730666666E-4</v>
      </c>
      <c r="C7103" t="str">
        <f t="shared" si="111"/>
        <v/>
      </c>
    </row>
    <row r="7104" spans="1:3" x14ac:dyDescent="0.25">
      <c r="A7104" s="388">
        <v>2.9470104845565316E-2</v>
      </c>
      <c r="B7104" s="465">
        <v>4.9592769066666662E-5</v>
      </c>
      <c r="C7104" t="str">
        <f t="shared" si="111"/>
        <v/>
      </c>
    </row>
    <row r="7105" spans="1:3" x14ac:dyDescent="0.25">
      <c r="A7105" s="388">
        <v>0.11362992349107395</v>
      </c>
      <c r="B7105" s="465">
        <v>1.5785015519999999E-3</v>
      </c>
      <c r="C7105" t="str">
        <f t="shared" si="111"/>
        <v/>
      </c>
    </row>
    <row r="7106" spans="1:3" x14ac:dyDescent="0.25">
      <c r="A7106" s="388">
        <v>0.14508359308586002</v>
      </c>
      <c r="B7106" s="465">
        <v>6.1688566399999991E-4</v>
      </c>
      <c r="C7106" t="str">
        <f t="shared" si="111"/>
        <v/>
      </c>
    </row>
    <row r="7107" spans="1:3" x14ac:dyDescent="0.25">
      <c r="A7107" s="388">
        <v>0.18645508642674979</v>
      </c>
      <c r="B7107" s="465">
        <v>1.9867347119999997E-3</v>
      </c>
      <c r="C7107" t="str">
        <f t="shared" si="111"/>
        <v/>
      </c>
    </row>
    <row r="7108" spans="1:3" x14ac:dyDescent="0.25">
      <c r="A7108" s="388">
        <v>0.20969113063190706</v>
      </c>
      <c r="B7108" s="465">
        <v>1.5875734E-3</v>
      </c>
      <c r="C7108" t="str">
        <f t="shared" si="111"/>
        <v/>
      </c>
    </row>
    <row r="7109" spans="1:3" x14ac:dyDescent="0.25">
      <c r="A7109" s="388">
        <v>0.23746103712099748</v>
      </c>
      <c r="B7109" s="465">
        <v>1.6873637279999998E-3</v>
      </c>
      <c r="C7109" t="str">
        <f t="shared" si="111"/>
        <v/>
      </c>
    </row>
    <row r="7110" spans="1:3" x14ac:dyDescent="0.25">
      <c r="A7110" s="388">
        <v>0.14423349390762255</v>
      </c>
      <c r="B7110" s="465">
        <v>1.306346112E-4</v>
      </c>
      <c r="C7110" t="str">
        <f t="shared" si="111"/>
        <v/>
      </c>
    </row>
    <row r="7111" spans="1:3" x14ac:dyDescent="0.25">
      <c r="A7111" s="388">
        <v>8.5009917823746107E-3</v>
      </c>
      <c r="B7111" s="465">
        <v>9.1700000000000006E-5</v>
      </c>
      <c r="C7111" t="str">
        <f t="shared" si="111"/>
        <v/>
      </c>
    </row>
    <row r="7112" spans="1:3" x14ac:dyDescent="0.25">
      <c r="A7112" s="388">
        <v>0.10739586285066592</v>
      </c>
      <c r="B7112" s="465">
        <v>2.13948E-3</v>
      </c>
      <c r="C7112" t="str">
        <f t="shared" si="111"/>
        <v/>
      </c>
    </row>
    <row r="7113" spans="1:3" x14ac:dyDescent="0.25">
      <c r="A7113" s="388">
        <v>0.16769623122697649</v>
      </c>
      <c r="B7113" s="465">
        <v>3.0299133333333336E-3</v>
      </c>
      <c r="C7113" t="str">
        <f t="shared" si="111"/>
        <v/>
      </c>
    </row>
    <row r="7114" spans="1:3" x14ac:dyDescent="0.25">
      <c r="A7114" s="388">
        <v>0.15075092094077644</v>
      </c>
      <c r="B7114" s="465">
        <v>3.9893333333333334E-4</v>
      </c>
      <c r="C7114" t="str">
        <f t="shared" si="111"/>
        <v/>
      </c>
    </row>
    <row r="7115" spans="1:3" x14ac:dyDescent="0.25">
      <c r="A7115" s="388">
        <v>0.15463304052139415</v>
      </c>
      <c r="B7115" s="465">
        <v>1.4993066666666667E-3</v>
      </c>
      <c r="C7115" t="str">
        <f t="shared" si="111"/>
        <v/>
      </c>
    </row>
    <row r="7116" spans="1:3" x14ac:dyDescent="0.25">
      <c r="A7116" s="388">
        <v>0.1616888637007651</v>
      </c>
      <c r="B7116" s="465">
        <v>1.2432333333333334E-3</v>
      </c>
      <c r="C7116" t="str">
        <f t="shared" si="111"/>
        <v/>
      </c>
    </row>
    <row r="7117" spans="1:3" x14ac:dyDescent="0.25">
      <c r="A7117" s="388">
        <v>0.14565032587135165</v>
      </c>
      <c r="B7117" s="465">
        <v>1.0471999999999997E-4</v>
      </c>
      <c r="C7117" t="str">
        <f t="shared" si="111"/>
        <v/>
      </c>
    </row>
    <row r="7118" spans="1:3" x14ac:dyDescent="0.25">
      <c r="A7118" s="388">
        <v>0.1156134882402947</v>
      </c>
      <c r="B7118" s="465">
        <v>5.3107999999999996E-4</v>
      </c>
      <c r="C7118" t="str">
        <f t="shared" si="111"/>
        <v/>
      </c>
    </row>
    <row r="7119" spans="1:3" x14ac:dyDescent="0.25">
      <c r="A7119" s="388">
        <v>0.15840181354491356</v>
      </c>
      <c r="B7119" s="465">
        <v>3.7443999999999992E-4</v>
      </c>
      <c r="C7119" t="str">
        <f t="shared" si="111"/>
        <v/>
      </c>
    </row>
    <row r="7120" spans="1:3" x14ac:dyDescent="0.25">
      <c r="A7120" s="388">
        <v>7.6508926041371494E-2</v>
      </c>
      <c r="B7120" s="465">
        <v>9.1139999999999998E-5</v>
      </c>
      <c r="C7120" t="str">
        <f t="shared" si="111"/>
        <v/>
      </c>
    </row>
    <row r="7121" spans="1:3" x14ac:dyDescent="0.25">
      <c r="A7121" s="388">
        <v>5.1856049872485127E-2</v>
      </c>
      <c r="B7121" s="465">
        <v>8.506666666666667E-5</v>
      </c>
      <c r="C7121" t="str">
        <f t="shared" si="111"/>
        <v/>
      </c>
    </row>
    <row r="7122" spans="1:3" x14ac:dyDescent="0.25">
      <c r="A7122" s="388">
        <v>5.1742703315386801E-2</v>
      </c>
      <c r="B7122" s="465">
        <v>7.9999999999999996E-6</v>
      </c>
      <c r="C7122" t="str">
        <f t="shared" si="111"/>
        <v/>
      </c>
    </row>
    <row r="7123" spans="1:3" x14ac:dyDescent="0.25">
      <c r="A7123" s="388">
        <v>4.5281949560782096E-2</v>
      </c>
      <c r="B7123" s="465">
        <v>3.3811333333333333E-5</v>
      </c>
      <c r="C7123" t="str">
        <f t="shared" si="111"/>
        <v/>
      </c>
    </row>
    <row r="7124" spans="1:3" x14ac:dyDescent="0.25">
      <c r="A7124" s="388">
        <v>3.7092660810427884E-2</v>
      </c>
      <c r="B7124" s="465">
        <v>5.5199999999999997E-6</v>
      </c>
      <c r="C7124" t="str">
        <f t="shared" si="111"/>
        <v/>
      </c>
    </row>
    <row r="7125" spans="1:3" x14ac:dyDescent="0.25">
      <c r="A7125" s="388">
        <v>2.1620855766506093E-2</v>
      </c>
      <c r="B7125" s="465">
        <v>1.563866666666667E-5</v>
      </c>
      <c r="C7125" t="str">
        <f t="shared" si="111"/>
        <v/>
      </c>
    </row>
    <row r="7126" spans="1:3" x14ac:dyDescent="0.25">
      <c r="A7126" s="388">
        <v>1.5216775290450554E-2</v>
      </c>
      <c r="B7126" s="465">
        <v>1.1327999999999999E-5</v>
      </c>
      <c r="C7126" t="str">
        <f t="shared" si="111"/>
        <v/>
      </c>
    </row>
    <row r="7127" spans="1:3" x14ac:dyDescent="0.25">
      <c r="A7127" s="388">
        <v>6.9708132615471808E-3</v>
      </c>
      <c r="B7127" s="465">
        <v>2.3216666666666671E-5</v>
      </c>
      <c r="C7127" t="str">
        <f t="shared" si="111"/>
        <v/>
      </c>
    </row>
    <row r="7128" spans="1:3" x14ac:dyDescent="0.25">
      <c r="A7128" s="388">
        <v>0.17937092660810428</v>
      </c>
      <c r="B7128" s="465">
        <v>1.143052848E-3</v>
      </c>
      <c r="C7128" t="str">
        <f t="shared" si="111"/>
        <v/>
      </c>
    </row>
    <row r="7129" spans="1:3" x14ac:dyDescent="0.25">
      <c r="A7129" s="388">
        <v>0.20600736752621138</v>
      </c>
      <c r="B7129" s="465">
        <v>1.3758969466666669E-3</v>
      </c>
      <c r="C7129" t="str">
        <f t="shared" si="111"/>
        <v/>
      </c>
    </row>
    <row r="7130" spans="1:3" x14ac:dyDescent="0.25">
      <c r="A7130" s="388">
        <v>0.12723151034287333</v>
      </c>
      <c r="B7130" s="465">
        <v>3.8706551466666673E-4</v>
      </c>
      <c r="C7130" t="str">
        <f t="shared" si="111"/>
        <v/>
      </c>
    </row>
    <row r="7131" spans="1:3" x14ac:dyDescent="0.25">
      <c r="A7131" s="388">
        <v>0.20232360442051572</v>
      </c>
      <c r="B7131" s="465">
        <v>3.8101761599999995E-3</v>
      </c>
      <c r="C7131" t="str">
        <f t="shared" si="111"/>
        <v/>
      </c>
    </row>
    <row r="7132" spans="1:3" x14ac:dyDescent="0.25">
      <c r="A7132" s="388">
        <v>0.19948994049305752</v>
      </c>
      <c r="B7132" s="465">
        <v>1.0160469759999999E-2</v>
      </c>
      <c r="C7132" t="str">
        <f t="shared" si="111"/>
        <v/>
      </c>
    </row>
    <row r="7133" spans="1:3" x14ac:dyDescent="0.25">
      <c r="A7133" s="388">
        <v>0.29980164352507793</v>
      </c>
      <c r="B7133" s="465">
        <v>8.4670581333333341E-4</v>
      </c>
      <c r="C7133" t="str">
        <f t="shared" si="111"/>
        <v/>
      </c>
    </row>
    <row r="7134" spans="1:3" x14ac:dyDescent="0.25">
      <c r="A7134" s="388">
        <v>0.1878719183904789</v>
      </c>
      <c r="B7134" s="465">
        <v>2.0562855466666667E-4</v>
      </c>
      <c r="C7134" t="str">
        <f t="shared" si="111"/>
        <v/>
      </c>
    </row>
    <row r="7135" spans="1:3" x14ac:dyDescent="0.25">
      <c r="A7135" s="388">
        <v>0.10796259563615755</v>
      </c>
      <c r="B7135" s="465">
        <v>6.078138159999999E-4</v>
      </c>
      <c r="C7135" t="str">
        <f t="shared" si="111"/>
        <v/>
      </c>
    </row>
    <row r="7136" spans="1:3" x14ac:dyDescent="0.25">
      <c r="A7136" s="388">
        <v>8.5009917823746103E-2</v>
      </c>
      <c r="B7136" s="465">
        <v>1.17934024E-3</v>
      </c>
      <c r="C7136" t="str">
        <f t="shared" si="111"/>
        <v/>
      </c>
    </row>
    <row r="7137" spans="1:3" x14ac:dyDescent="0.25">
      <c r="A7137" s="388">
        <v>7.7925758005100598E-2</v>
      </c>
      <c r="B7137" s="465">
        <v>5.7152642399999998E-4</v>
      </c>
      <c r="C7137" t="str">
        <f t="shared" si="111"/>
        <v/>
      </c>
    </row>
    <row r="7138" spans="1:3" x14ac:dyDescent="0.25">
      <c r="A7138" s="388">
        <v>6.8007934258996882E-3</v>
      </c>
      <c r="B7138" s="465">
        <v>1.1711999999999999E-4</v>
      </c>
      <c r="C7138" t="str">
        <f t="shared" si="111"/>
        <v/>
      </c>
    </row>
    <row r="7139" spans="1:3" x14ac:dyDescent="0.25">
      <c r="A7139" s="388">
        <v>0.11022952677812412</v>
      </c>
      <c r="B7139" s="465">
        <v>1.1743333333333334E-3</v>
      </c>
      <c r="C7139" t="str">
        <f t="shared" si="111"/>
        <v/>
      </c>
    </row>
    <row r="7140" spans="1:3" x14ac:dyDescent="0.25">
      <c r="A7140" s="388">
        <v>0.17625389628790025</v>
      </c>
      <c r="B7140" s="465">
        <v>1.2792000000000001E-3</v>
      </c>
      <c r="C7140" t="str">
        <f t="shared" si="111"/>
        <v/>
      </c>
    </row>
    <row r="7141" spans="1:3" x14ac:dyDescent="0.25">
      <c r="A7141" s="388">
        <v>0.17291017285349958</v>
      </c>
      <c r="B7141" s="465">
        <v>1.8520666666666666E-3</v>
      </c>
      <c r="C7141" t="str">
        <f t="shared" si="111"/>
        <v/>
      </c>
    </row>
    <row r="7142" spans="1:3" x14ac:dyDescent="0.25">
      <c r="A7142" s="388">
        <v>0.10881269481439501</v>
      </c>
      <c r="B7142" s="465">
        <v>7.7609999999999995E-4</v>
      </c>
      <c r="C7142" t="str">
        <f t="shared" si="111"/>
        <v/>
      </c>
    </row>
    <row r="7143" spans="1:3" x14ac:dyDescent="0.25">
      <c r="A7143" s="388">
        <v>6.5457636724284507E-2</v>
      </c>
      <c r="B7143" s="465">
        <v>6.4704000000000009E-4</v>
      </c>
      <c r="C7143" t="str">
        <f t="shared" si="111"/>
        <v/>
      </c>
    </row>
    <row r="7144" spans="1:3" x14ac:dyDescent="0.25">
      <c r="A7144" s="388">
        <v>6.3360725417965433E-2</v>
      </c>
      <c r="B7144" s="465">
        <v>6.4626666666666683E-5</v>
      </c>
      <c r="C7144" t="str">
        <f t="shared" si="111"/>
        <v/>
      </c>
    </row>
    <row r="7145" spans="1:3" x14ac:dyDescent="0.25">
      <c r="A7145" s="388">
        <v>5.9960328705015588E-2</v>
      </c>
      <c r="B7145" s="465">
        <v>3.2560000000000007E-5</v>
      </c>
      <c r="C7145" t="str">
        <f t="shared" si="111"/>
        <v/>
      </c>
    </row>
    <row r="7146" spans="1:3" x14ac:dyDescent="0.25">
      <c r="A7146" s="388">
        <v>5.8685179937659399E-2</v>
      </c>
      <c r="B7146" s="465">
        <v>2.5950000000000002E-4</v>
      </c>
      <c r="C7146" t="str">
        <f t="shared" si="111"/>
        <v/>
      </c>
    </row>
    <row r="7147" spans="1:3" x14ac:dyDescent="0.25">
      <c r="A7147" s="388">
        <v>4.9249079059223579E-2</v>
      </c>
      <c r="B7147" s="465">
        <v>1.6565000000000001E-4</v>
      </c>
      <c r="C7147" t="str">
        <f t="shared" si="111"/>
        <v/>
      </c>
    </row>
    <row r="7148" spans="1:3" x14ac:dyDescent="0.25">
      <c r="A7148" s="388">
        <v>3.8537829413431569E-2</v>
      </c>
      <c r="B7148" s="465">
        <v>3.0245999999999998E-5</v>
      </c>
      <c r="C7148" t="str">
        <f t="shared" si="111"/>
        <v/>
      </c>
    </row>
    <row r="7149" spans="1:3" x14ac:dyDescent="0.25">
      <c r="A7149" s="388">
        <v>3.457069991499008E-2</v>
      </c>
      <c r="B7149" s="465">
        <v>1.25764E-4</v>
      </c>
      <c r="C7149" t="str">
        <f t="shared" si="111"/>
        <v/>
      </c>
    </row>
    <row r="7150" spans="1:3" x14ac:dyDescent="0.25">
      <c r="A7150" s="388">
        <v>2.4397846415415134E-2</v>
      </c>
      <c r="B7150" s="465">
        <v>2.2293999999999994E-5</v>
      </c>
      <c r="C7150" t="str">
        <f t="shared" si="111"/>
        <v/>
      </c>
    </row>
    <row r="7151" spans="1:3" x14ac:dyDescent="0.25">
      <c r="A7151" s="388">
        <v>2.0515726834797392E-2</v>
      </c>
      <c r="B7151" s="465">
        <v>2.1626599999999995E-4</v>
      </c>
      <c r="C7151" t="str">
        <f t="shared" si="111"/>
        <v/>
      </c>
    </row>
    <row r="7152" spans="1:3" x14ac:dyDescent="0.25">
      <c r="A7152" s="388">
        <v>1.586851799376594E-2</v>
      </c>
      <c r="B7152" s="465">
        <v>7.8200000000000014E-6</v>
      </c>
      <c r="C7152" t="str">
        <f t="shared" si="111"/>
        <v/>
      </c>
    </row>
    <row r="7153" spans="1:3" x14ac:dyDescent="0.25">
      <c r="A7153" s="388">
        <v>0.19353924624539531</v>
      </c>
      <c r="B7153" s="465">
        <v>5.9995154773333334E-4</v>
      </c>
      <c r="C7153" t="str">
        <f t="shared" si="111"/>
        <v/>
      </c>
    </row>
    <row r="7154" spans="1:3" x14ac:dyDescent="0.25">
      <c r="A7154" s="388">
        <v>0.23859450269198074</v>
      </c>
      <c r="B7154" s="465">
        <v>8.708974080000001E-3</v>
      </c>
      <c r="C7154" t="str">
        <f t="shared" si="111"/>
        <v/>
      </c>
    </row>
    <row r="7155" spans="1:3" x14ac:dyDescent="0.25">
      <c r="A7155" s="388">
        <v>0.12156418248795693</v>
      </c>
      <c r="B7155" s="465">
        <v>3.7496971733333342E-4</v>
      </c>
      <c r="C7155" t="str">
        <f t="shared" si="111"/>
        <v/>
      </c>
    </row>
    <row r="7156" spans="1:3" x14ac:dyDescent="0.25">
      <c r="A7156" s="388">
        <v>0.35052422782657977</v>
      </c>
      <c r="B7156" s="465">
        <v>3.9916131199999993E-3</v>
      </c>
      <c r="C7156" t="str">
        <f t="shared" si="111"/>
        <v/>
      </c>
    </row>
    <row r="7157" spans="1:3" x14ac:dyDescent="0.25">
      <c r="A7157" s="388">
        <v>0.46018702181921223</v>
      </c>
      <c r="B7157" s="465">
        <v>1.17934024E-2</v>
      </c>
      <c r="C7157" t="str">
        <f t="shared" si="111"/>
        <v/>
      </c>
    </row>
    <row r="7158" spans="1:3" x14ac:dyDescent="0.25">
      <c r="A7158" s="388">
        <v>0.55454803060357039</v>
      </c>
      <c r="B7158" s="465">
        <v>9.5980151840000007E-3</v>
      </c>
      <c r="C7158" t="str">
        <f t="shared" si="111"/>
        <v/>
      </c>
    </row>
    <row r="7159" spans="1:3" x14ac:dyDescent="0.25">
      <c r="A7159" s="388">
        <v>0.35987531878719181</v>
      </c>
      <c r="B7159" s="465">
        <v>6.0781381599999997E-3</v>
      </c>
      <c r="C7159" t="str">
        <f t="shared" si="111"/>
        <v/>
      </c>
    </row>
    <row r="7160" spans="1:3" x14ac:dyDescent="0.25">
      <c r="A7160" s="388">
        <v>0.21677529045055258</v>
      </c>
      <c r="B7160" s="465">
        <v>6.8794847333333343E-4</v>
      </c>
      <c r="C7160" t="str">
        <f t="shared" ref="C7160:C7223" si="112">IF(B7160=0,"XXXXXXXX","")</f>
        <v/>
      </c>
    </row>
    <row r="7161" spans="1:3" x14ac:dyDescent="0.25">
      <c r="A7161" s="388">
        <v>0.1952394446018702</v>
      </c>
      <c r="B7161" s="465">
        <v>4.8383189333333325E-4</v>
      </c>
      <c r="C7161" t="str">
        <f t="shared" si="112"/>
        <v/>
      </c>
    </row>
    <row r="7162" spans="1:3" x14ac:dyDescent="0.25">
      <c r="A7162" s="388">
        <v>0.14565032587135165</v>
      </c>
      <c r="B7162" s="465">
        <v>3.6771223893333337E-4</v>
      </c>
      <c r="C7162" t="str">
        <f t="shared" si="112"/>
        <v/>
      </c>
    </row>
    <row r="7163" spans="1:3" x14ac:dyDescent="0.25">
      <c r="A7163" s="388">
        <v>8.3026353074525369E-2</v>
      </c>
      <c r="B7163" s="465">
        <v>6.5619700533333335E-4</v>
      </c>
      <c r="C7163" t="str">
        <f t="shared" si="112"/>
        <v/>
      </c>
    </row>
    <row r="7164" spans="1:3" x14ac:dyDescent="0.25">
      <c r="A7164" s="388">
        <v>0.11674695381127799</v>
      </c>
      <c r="B7164" s="465">
        <v>3.8101761600000002E-4</v>
      </c>
      <c r="C7164" t="str">
        <f t="shared" si="112"/>
        <v/>
      </c>
    </row>
    <row r="7165" spans="1:3" x14ac:dyDescent="0.25">
      <c r="A7165" s="388">
        <v>3.9387928591669029E-2</v>
      </c>
      <c r="B7165" s="465">
        <v>3.9666666666666664E-5</v>
      </c>
      <c r="C7165" t="str">
        <f t="shared" si="112"/>
        <v/>
      </c>
    </row>
    <row r="7166" spans="1:3" x14ac:dyDescent="0.25">
      <c r="A7166" s="388">
        <v>0.20204023802776991</v>
      </c>
      <c r="B7166" s="465">
        <v>3.5236000000000008E-4</v>
      </c>
      <c r="C7166" t="str">
        <f t="shared" si="112"/>
        <v/>
      </c>
    </row>
    <row r="7167" spans="1:3" x14ac:dyDescent="0.25">
      <c r="A7167" s="388">
        <v>0.37801076792292437</v>
      </c>
      <c r="B7167" s="465">
        <v>3.4438799999999999E-3</v>
      </c>
      <c r="C7167" t="str">
        <f t="shared" si="112"/>
        <v/>
      </c>
    </row>
    <row r="7168" spans="1:3" x14ac:dyDescent="0.25">
      <c r="A7168" s="388">
        <v>0.29362425616321908</v>
      </c>
      <c r="B7168" s="465">
        <v>6.4237333333333339E-4</v>
      </c>
      <c r="C7168" t="str">
        <f t="shared" si="112"/>
        <v/>
      </c>
    </row>
    <row r="7169" spans="1:3" x14ac:dyDescent="0.25">
      <c r="A7169" s="388">
        <v>0.17738736185888354</v>
      </c>
      <c r="B7169" s="465">
        <v>5.0379999999999999E-4</v>
      </c>
      <c r="C7169" t="str">
        <f t="shared" si="112"/>
        <v/>
      </c>
    </row>
    <row r="7170" spans="1:3" x14ac:dyDescent="0.25">
      <c r="A7170" s="388">
        <v>0.12731652026069709</v>
      </c>
      <c r="B7170" s="465">
        <v>4.5012000000000003E-4</v>
      </c>
      <c r="C7170" t="str">
        <f t="shared" si="112"/>
        <v/>
      </c>
    </row>
    <row r="7171" spans="1:3" x14ac:dyDescent="0.25">
      <c r="A7171" s="388">
        <v>0.13743270048172287</v>
      </c>
      <c r="B7171" s="465">
        <v>4.2206666666666666E-4</v>
      </c>
      <c r="C7171" t="str">
        <f t="shared" si="112"/>
        <v/>
      </c>
    </row>
    <row r="7172" spans="1:3" x14ac:dyDescent="0.25">
      <c r="A7172" s="388">
        <v>0.1306319070558232</v>
      </c>
      <c r="B7172" s="465">
        <v>2.3056000000000002E-4</v>
      </c>
      <c r="C7172" t="str">
        <f t="shared" si="112"/>
        <v/>
      </c>
    </row>
    <row r="7173" spans="1:3" x14ac:dyDescent="0.25">
      <c r="A7173" s="388">
        <v>0.11226976480589403</v>
      </c>
      <c r="B7173" s="465">
        <v>2.6223999999999996E-4</v>
      </c>
      <c r="C7173" t="str">
        <f t="shared" si="112"/>
        <v/>
      </c>
    </row>
    <row r="7174" spans="1:3" x14ac:dyDescent="0.25">
      <c r="A7174" s="388">
        <v>7.8832530461887221E-2</v>
      </c>
      <c r="B7174" s="465">
        <v>3.1605199999999993E-4</v>
      </c>
      <c r="C7174" t="str">
        <f t="shared" si="112"/>
        <v/>
      </c>
    </row>
    <row r="7175" spans="1:3" x14ac:dyDescent="0.25">
      <c r="A7175" s="388">
        <v>6.2793992632473802E-2</v>
      </c>
      <c r="B7175" s="465">
        <v>1.6363600000000002E-4</v>
      </c>
      <c r="C7175" t="str">
        <f t="shared" si="112"/>
        <v/>
      </c>
    </row>
    <row r="7176" spans="1:3" x14ac:dyDescent="0.25">
      <c r="A7176" s="388">
        <v>4.9815811844715216E-2</v>
      </c>
      <c r="B7176" s="465">
        <v>2.121666666666667E-5</v>
      </c>
      <c r="C7176" t="str">
        <f t="shared" si="112"/>
        <v/>
      </c>
    </row>
    <row r="7177" spans="1:3" x14ac:dyDescent="0.25">
      <c r="A7177" s="388">
        <v>2.0799093227543215E-2</v>
      </c>
      <c r="B7177" s="465">
        <v>8.9699999999999988E-6</v>
      </c>
      <c r="C7177" t="str">
        <f t="shared" si="112"/>
        <v/>
      </c>
    </row>
    <row r="7178" spans="1:3" x14ac:dyDescent="0.25">
      <c r="A7178" s="388">
        <v>1.3601586851799376E-2</v>
      </c>
      <c r="B7178" s="465">
        <v>5.200000000000001E-6</v>
      </c>
      <c r="C7178" t="str">
        <f t="shared" si="112"/>
        <v/>
      </c>
    </row>
    <row r="7179" spans="1:3" x14ac:dyDescent="0.25">
      <c r="A7179" s="388">
        <v>5.6673278549164069E-2</v>
      </c>
      <c r="B7179" s="465">
        <v>1.7659864106666666E-4</v>
      </c>
      <c r="C7179" t="str">
        <f t="shared" si="112"/>
        <v/>
      </c>
    </row>
    <row r="7180" spans="1:3" x14ac:dyDescent="0.25">
      <c r="A7180" s="388">
        <v>0.22470954944743554</v>
      </c>
      <c r="B7180" s="465">
        <v>5.3826298133333335E-4</v>
      </c>
      <c r="C7180" t="str">
        <f t="shared" si="112"/>
        <v/>
      </c>
    </row>
    <row r="7181" spans="1:3" x14ac:dyDescent="0.25">
      <c r="A7181" s="388">
        <v>0.41059790308869371</v>
      </c>
      <c r="B7181" s="465">
        <v>5.8059827199999998E-4</v>
      </c>
      <c r="C7181" t="str">
        <f t="shared" si="112"/>
        <v/>
      </c>
    </row>
    <row r="7182" spans="1:3" x14ac:dyDescent="0.25">
      <c r="A7182" s="388">
        <v>0.47293850949277422</v>
      </c>
      <c r="B7182" s="465">
        <v>2.9332308533333335E-4</v>
      </c>
      <c r="C7182" t="str">
        <f t="shared" si="112"/>
        <v/>
      </c>
    </row>
    <row r="7183" spans="1:3" x14ac:dyDescent="0.25">
      <c r="A7183" s="388">
        <v>0.36242561632190423</v>
      </c>
      <c r="B7183" s="465">
        <v>1.968591016E-4</v>
      </c>
      <c r="C7183" t="str">
        <f t="shared" si="112"/>
        <v/>
      </c>
    </row>
    <row r="7184" spans="1:3" x14ac:dyDescent="0.25">
      <c r="A7184" s="388">
        <v>0.77557381694531036</v>
      </c>
      <c r="B7184" s="465">
        <v>7.8622682666666676E-4</v>
      </c>
      <c r="C7184" t="str">
        <f t="shared" si="112"/>
        <v/>
      </c>
    </row>
    <row r="7185" spans="1:3" x14ac:dyDescent="0.25">
      <c r="A7185" s="388">
        <v>0.57608387645225267</v>
      </c>
      <c r="B7185" s="465">
        <v>3.1207157120000002E-3</v>
      </c>
      <c r="C7185" t="str">
        <f t="shared" si="112"/>
        <v/>
      </c>
    </row>
    <row r="7186" spans="1:3" x14ac:dyDescent="0.25">
      <c r="A7186" s="388">
        <v>1.2408614338339472</v>
      </c>
      <c r="B7186" s="465">
        <v>1.1702683919999999E-3</v>
      </c>
      <c r="C7186" t="str">
        <f t="shared" si="112"/>
        <v/>
      </c>
    </row>
    <row r="7187" spans="1:3" x14ac:dyDescent="0.25">
      <c r="A7187" s="388">
        <v>0.73590252196089545</v>
      </c>
      <c r="B7187" s="465">
        <v>3.8404156533333325E-3</v>
      </c>
      <c r="C7187" t="str">
        <f t="shared" si="112"/>
        <v/>
      </c>
    </row>
    <row r="7188" spans="1:3" x14ac:dyDescent="0.25">
      <c r="A7188" s="388">
        <v>0.41484839897988102</v>
      </c>
      <c r="B7188" s="465">
        <v>1.7599385119999999E-4</v>
      </c>
      <c r="C7188" t="str">
        <f t="shared" si="112"/>
        <v/>
      </c>
    </row>
    <row r="7189" spans="1:3" x14ac:dyDescent="0.25">
      <c r="A7189" s="388">
        <v>0.33777274015301784</v>
      </c>
      <c r="B7189" s="465">
        <v>1.4061364400000002E-4</v>
      </c>
      <c r="C7189" t="str">
        <f t="shared" si="112"/>
        <v/>
      </c>
    </row>
    <row r="7190" spans="1:3" x14ac:dyDescent="0.25">
      <c r="A7190" s="388">
        <v>0.26211391328988382</v>
      </c>
      <c r="B7190" s="465">
        <v>3.6559547440000008E-3</v>
      </c>
      <c r="C7190" t="str">
        <f t="shared" si="112"/>
        <v/>
      </c>
    </row>
    <row r="7191" spans="1:3" x14ac:dyDescent="0.25">
      <c r="A7191" s="388">
        <v>0.1572683479739303</v>
      </c>
      <c r="B7191" s="465">
        <v>5.9874196800000011E-4</v>
      </c>
      <c r="C7191" t="str">
        <f t="shared" si="112"/>
        <v/>
      </c>
    </row>
    <row r="7192" spans="1:3" x14ac:dyDescent="0.25">
      <c r="A7192" s="388">
        <v>0.1459336922640975</v>
      </c>
      <c r="B7192" s="465">
        <v>2.5401174400000001E-4</v>
      </c>
      <c r="C7192" t="str">
        <f t="shared" si="112"/>
        <v/>
      </c>
    </row>
    <row r="7193" spans="1:3" x14ac:dyDescent="0.25">
      <c r="A7193" s="388">
        <v>5.7240011334655713E-2</v>
      </c>
      <c r="B7193" s="465">
        <v>7.7066666666666679E-5</v>
      </c>
      <c r="C7193" t="str">
        <f t="shared" si="112"/>
        <v/>
      </c>
    </row>
    <row r="7194" spans="1:3" x14ac:dyDescent="0.25">
      <c r="A7194" s="388">
        <v>0.34599036554264667</v>
      </c>
      <c r="B7194" s="465">
        <v>6.1025000000000003E-3</v>
      </c>
      <c r="C7194" t="str">
        <f t="shared" si="112"/>
        <v/>
      </c>
    </row>
    <row r="7195" spans="1:3" x14ac:dyDescent="0.25">
      <c r="A7195" s="388">
        <v>0.58685179937659393</v>
      </c>
      <c r="B7195" s="465">
        <v>5.5593999999999999E-4</v>
      </c>
      <c r="C7195" t="str">
        <f t="shared" si="112"/>
        <v/>
      </c>
    </row>
    <row r="7196" spans="1:3" x14ac:dyDescent="0.25">
      <c r="A7196" s="388">
        <v>0.49008217625389633</v>
      </c>
      <c r="B7196" s="465">
        <v>3.0391999999999995E-4</v>
      </c>
      <c r="C7196" t="str">
        <f t="shared" si="112"/>
        <v/>
      </c>
    </row>
    <row r="7197" spans="1:3" x14ac:dyDescent="0.25">
      <c r="A7197" s="388">
        <v>0.28988381977897421</v>
      </c>
      <c r="B7197" s="465">
        <v>4.06E-4</v>
      </c>
      <c r="C7197" t="str">
        <f t="shared" si="112"/>
        <v/>
      </c>
    </row>
    <row r="7198" spans="1:3" x14ac:dyDescent="0.25">
      <c r="A7198" s="388">
        <v>0.19155568149617455</v>
      </c>
      <c r="B7198" s="465">
        <v>6.5013333333333327E-4</v>
      </c>
      <c r="C7198" t="str">
        <f t="shared" si="112"/>
        <v/>
      </c>
    </row>
    <row r="7199" spans="1:3" x14ac:dyDescent="0.25">
      <c r="A7199" s="388">
        <v>0.19016718617172004</v>
      </c>
      <c r="B7199" s="465">
        <v>4.1516000000000008E-4</v>
      </c>
      <c r="C7199" t="str">
        <f t="shared" si="112"/>
        <v/>
      </c>
    </row>
    <row r="7200" spans="1:3" x14ac:dyDescent="0.25">
      <c r="A7200" s="388">
        <v>0.17001983564749221</v>
      </c>
      <c r="B7200" s="465">
        <v>1.6253333333333332E-4</v>
      </c>
      <c r="C7200" t="str">
        <f t="shared" si="112"/>
        <v/>
      </c>
    </row>
    <row r="7201" spans="1:3" x14ac:dyDescent="0.25">
      <c r="A7201" s="388">
        <v>0.16772456786625106</v>
      </c>
      <c r="B7201" s="465">
        <v>2.2644000000000002E-5</v>
      </c>
      <c r="C7201" t="str">
        <f t="shared" si="112"/>
        <v/>
      </c>
    </row>
    <row r="7202" spans="1:3" x14ac:dyDescent="0.25">
      <c r="A7202" s="388">
        <v>0.12181921224142818</v>
      </c>
      <c r="B7202" s="465">
        <v>1.7408E-5</v>
      </c>
      <c r="C7202" t="str">
        <f t="shared" si="112"/>
        <v/>
      </c>
    </row>
    <row r="7203" spans="1:3" x14ac:dyDescent="0.25">
      <c r="A7203" s="388">
        <v>8.954378010767923E-2</v>
      </c>
      <c r="B7203" s="465">
        <v>1.4074666666666668E-5</v>
      </c>
      <c r="C7203" t="str">
        <f t="shared" si="112"/>
        <v/>
      </c>
    </row>
    <row r="7204" spans="1:3" x14ac:dyDescent="0.25">
      <c r="A7204" s="388">
        <v>8.2771323321054122E-2</v>
      </c>
      <c r="B7204" s="465">
        <v>1.0354000000000001E-5</v>
      </c>
      <c r="C7204" t="str">
        <f t="shared" si="112"/>
        <v/>
      </c>
    </row>
    <row r="7205" spans="1:3" x14ac:dyDescent="0.25">
      <c r="A7205" s="388">
        <v>6.7667894587701893E-2</v>
      </c>
      <c r="B7205" s="465">
        <v>1.3764000000000001E-5</v>
      </c>
      <c r="C7205" t="str">
        <f t="shared" si="112"/>
        <v/>
      </c>
    </row>
    <row r="7206" spans="1:3" x14ac:dyDescent="0.25">
      <c r="A7206" s="388">
        <v>6.1054122981014451</v>
      </c>
      <c r="B7206" s="465">
        <v>0.26313999999999999</v>
      </c>
      <c r="C7206" t="str">
        <f t="shared" si="112"/>
        <v/>
      </c>
    </row>
    <row r="7207" spans="1:3" x14ac:dyDescent="0.25">
      <c r="A7207" s="388">
        <v>5.6336072541796547</v>
      </c>
      <c r="B7207" s="465">
        <v>7.989333333333333E-2</v>
      </c>
      <c r="C7207" t="str">
        <f t="shared" si="112"/>
        <v/>
      </c>
    </row>
    <row r="7208" spans="1:3" x14ac:dyDescent="0.25">
      <c r="A7208" s="388">
        <v>6.4216491924057806</v>
      </c>
      <c r="B7208" s="465">
        <v>5.5150000000000008E-3</v>
      </c>
      <c r="C7208" t="str">
        <f t="shared" si="112"/>
        <v/>
      </c>
    </row>
    <row r="7209" spans="1:3" x14ac:dyDescent="0.25">
      <c r="A7209" s="388">
        <v>0.65032587135165765</v>
      </c>
      <c r="B7209" s="465">
        <v>0.15623999999999999</v>
      </c>
      <c r="C7209" t="str">
        <f t="shared" si="112"/>
        <v/>
      </c>
    </row>
    <row r="7210" spans="1:3" x14ac:dyDescent="0.25">
      <c r="A7210" s="388">
        <v>0.2947010484556532</v>
      </c>
      <c r="B7210" s="465">
        <v>3.0348000000000003E-3</v>
      </c>
      <c r="C7210" t="str">
        <f t="shared" si="112"/>
        <v/>
      </c>
    </row>
    <row r="7211" spans="1:3" x14ac:dyDescent="0.25">
      <c r="A7211" s="388">
        <v>0.12949844148483991</v>
      </c>
      <c r="B7211" s="465">
        <v>2.4336000000000002E-3</v>
      </c>
      <c r="C7211" t="str">
        <f t="shared" si="112"/>
        <v/>
      </c>
    </row>
    <row r="7212" spans="1:3" x14ac:dyDescent="0.25">
      <c r="A7212" s="388">
        <v>0.36384244828563334</v>
      </c>
      <c r="B7212" s="465">
        <v>5.0248000000000003E-3</v>
      </c>
      <c r="C7212" t="str">
        <f t="shared" si="112"/>
        <v/>
      </c>
    </row>
    <row r="7213" spans="1:3" x14ac:dyDescent="0.25">
      <c r="A7213" s="388">
        <v>0.24284499858316805</v>
      </c>
      <c r="B7213" s="465">
        <v>2.2093333333333335E-3</v>
      </c>
      <c r="C7213" t="str">
        <f t="shared" si="112"/>
        <v/>
      </c>
    </row>
    <row r="7214" spans="1:3" x14ac:dyDescent="0.25">
      <c r="A7214" s="388">
        <v>0.18730518560498727</v>
      </c>
      <c r="B7214" s="465">
        <v>3.3300000000000001E-3</v>
      </c>
      <c r="C7214" t="str">
        <f t="shared" si="112"/>
        <v/>
      </c>
    </row>
    <row r="7215" spans="1:3" x14ac:dyDescent="0.25">
      <c r="A7215" s="388">
        <v>0.32445451969396427</v>
      </c>
      <c r="B7215" s="465">
        <v>3.0006000000000008E-3</v>
      </c>
      <c r="C7215" t="str">
        <f t="shared" si="112"/>
        <v/>
      </c>
    </row>
    <row r="7216" spans="1:3" x14ac:dyDescent="0.25">
      <c r="A7216" s="388">
        <v>1.1224142816661944</v>
      </c>
      <c r="B7216" s="465">
        <v>7.5914400000000007E-2</v>
      </c>
      <c r="C7216" t="str">
        <f t="shared" si="112"/>
        <v/>
      </c>
    </row>
    <row r="7217" spans="1:3" x14ac:dyDescent="0.25">
      <c r="A7217" s="388">
        <v>1.7118163785775007</v>
      </c>
      <c r="B7217" s="465">
        <v>2.2439999999999998E-2</v>
      </c>
      <c r="C7217" t="str">
        <f t="shared" si="112"/>
        <v/>
      </c>
    </row>
    <row r="7218" spans="1:3" x14ac:dyDescent="0.25">
      <c r="A7218" s="388">
        <v>1.6800793425899689</v>
      </c>
      <c r="B7218" s="465">
        <v>2.3684333333333332E-2</v>
      </c>
      <c r="C7218" t="str">
        <f t="shared" si="112"/>
        <v/>
      </c>
    </row>
    <row r="7219" spans="1:3" x14ac:dyDescent="0.25">
      <c r="A7219" s="388">
        <v>1.4729385094927741</v>
      </c>
      <c r="B7219" s="465">
        <v>1.9243466666666664E-2</v>
      </c>
      <c r="C7219" t="str">
        <f t="shared" si="112"/>
        <v/>
      </c>
    </row>
    <row r="7220" spans="1:3" x14ac:dyDescent="0.25">
      <c r="A7220" s="388">
        <v>5.1499008217625395</v>
      </c>
      <c r="B7220" s="465">
        <v>2.1604960000000002</v>
      </c>
      <c r="C7220" t="str">
        <f t="shared" si="112"/>
        <v/>
      </c>
    </row>
    <row r="7221" spans="1:3" x14ac:dyDescent="0.25">
      <c r="A7221" s="388">
        <v>1.3542079909322755</v>
      </c>
      <c r="B7221" s="465">
        <v>0.32730799999999993</v>
      </c>
      <c r="C7221" t="str">
        <f t="shared" si="112"/>
        <v/>
      </c>
    </row>
    <row r="7222" spans="1:3" x14ac:dyDescent="0.25">
      <c r="A7222" s="388">
        <v>1.2235760838764522</v>
      </c>
      <c r="B7222" s="465">
        <v>0.59453159999999994</v>
      </c>
      <c r="C7222" t="str">
        <f t="shared" si="112"/>
        <v/>
      </c>
    </row>
    <row r="7223" spans="1:3" x14ac:dyDescent="0.25">
      <c r="A7223" s="388">
        <v>0.11164635874185322</v>
      </c>
      <c r="B7223" s="465">
        <v>5.886666666666667E-4</v>
      </c>
      <c r="C7223" t="str">
        <f t="shared" si="112"/>
        <v/>
      </c>
    </row>
    <row r="7224" spans="1:3" x14ac:dyDescent="0.25">
      <c r="A7224" s="388">
        <v>0.1878719183904789</v>
      </c>
      <c r="B7224" s="465">
        <v>9.4406666666666656E-4</v>
      </c>
      <c r="C7224" t="str">
        <f t="shared" ref="C7224:C7287" si="113">IF(B7224=0,"XXXXXXXX","")</f>
        <v/>
      </c>
    </row>
    <row r="7225" spans="1:3" x14ac:dyDescent="0.25">
      <c r="A7225" s="388">
        <v>4.0113346557098328</v>
      </c>
      <c r="B7225" s="465">
        <v>8.8124999999999995E-2</v>
      </c>
      <c r="C7225" t="str">
        <f t="shared" si="113"/>
        <v/>
      </c>
    </row>
    <row r="7226" spans="1:3" x14ac:dyDescent="0.25">
      <c r="A7226" s="388">
        <v>9.5324454519693962</v>
      </c>
      <c r="B7226" s="465">
        <v>2.4483333333333333E-2</v>
      </c>
      <c r="C7226" t="str">
        <f t="shared" si="113"/>
        <v/>
      </c>
    </row>
    <row r="7227" spans="1:3" x14ac:dyDescent="0.25">
      <c r="A7227" s="388">
        <v>6.3799943326721458</v>
      </c>
      <c r="B7227" s="465">
        <v>1.6320000000000001E-2</v>
      </c>
      <c r="C7227" t="str">
        <f t="shared" si="113"/>
        <v/>
      </c>
    </row>
    <row r="7228" spans="1:3" x14ac:dyDescent="0.25">
      <c r="A7228" s="388">
        <v>3.5942193255879853</v>
      </c>
      <c r="B7228" s="465">
        <v>3.7049999999999995E-3</v>
      </c>
      <c r="C7228" t="str">
        <f t="shared" si="113"/>
        <v/>
      </c>
    </row>
    <row r="7229" spans="1:3" x14ac:dyDescent="0.25">
      <c r="A7229" s="388">
        <v>1.8288466987815248</v>
      </c>
      <c r="B7229" s="465">
        <v>2.4769333333333333E-3</v>
      </c>
      <c r="C7229" t="str">
        <f t="shared" si="113"/>
        <v/>
      </c>
    </row>
    <row r="7230" spans="1:3" x14ac:dyDescent="0.25">
      <c r="A7230" s="388">
        <v>1.3270048172286766</v>
      </c>
      <c r="B7230" s="465">
        <v>3.4833333333333331E-3</v>
      </c>
      <c r="C7230" t="str">
        <f t="shared" si="113"/>
        <v/>
      </c>
    </row>
    <row r="7231" spans="1:3" x14ac:dyDescent="0.25">
      <c r="A7231" s="388">
        <v>2.3601586851799379</v>
      </c>
      <c r="B7231" s="465">
        <v>8.7921333333333337E-3</v>
      </c>
      <c r="C7231" t="str">
        <f t="shared" si="113"/>
        <v/>
      </c>
    </row>
    <row r="7232" spans="1:3" x14ac:dyDescent="0.25">
      <c r="A7232" s="388">
        <v>1.8432983848115614</v>
      </c>
      <c r="B7232" s="465">
        <v>3.0581333333333338E-3</v>
      </c>
      <c r="C7232" t="str">
        <f t="shared" si="113"/>
        <v/>
      </c>
    </row>
    <row r="7233" spans="1:3" x14ac:dyDescent="0.25">
      <c r="A7233" s="388">
        <v>1.1946727118163785</v>
      </c>
      <c r="B7233" s="465">
        <v>3.0218666666666665E-3</v>
      </c>
      <c r="C7233" t="str">
        <f t="shared" si="113"/>
        <v/>
      </c>
    </row>
    <row r="7234" spans="1:3" x14ac:dyDescent="0.25">
      <c r="A7234" s="388">
        <v>0.53017852082742989</v>
      </c>
      <c r="B7234" s="465">
        <v>2.1826000000000003E-3</v>
      </c>
      <c r="C7234" t="str">
        <f t="shared" si="113"/>
        <v/>
      </c>
    </row>
    <row r="7235" spans="1:3" x14ac:dyDescent="0.25">
      <c r="A7235" s="388">
        <v>0.45650325871351655</v>
      </c>
      <c r="B7235" s="465">
        <v>1.2880000000000001E-3</v>
      </c>
      <c r="C7235" t="str">
        <f t="shared" si="113"/>
        <v/>
      </c>
    </row>
    <row r="7236" spans="1:3" x14ac:dyDescent="0.25">
      <c r="A7236" s="388">
        <v>0.31850382544630207</v>
      </c>
      <c r="B7236" s="465">
        <v>1.4290000000000001E-3</v>
      </c>
      <c r="C7236" t="str">
        <f t="shared" si="113"/>
        <v/>
      </c>
    </row>
    <row r="7237" spans="1:3" x14ac:dyDescent="0.25">
      <c r="A7237" s="388">
        <v>0.35619155568149619</v>
      </c>
      <c r="B7237" s="465">
        <v>1.25E-3</v>
      </c>
      <c r="C7237" t="str">
        <f t="shared" si="113"/>
        <v/>
      </c>
    </row>
    <row r="7238" spans="1:3" x14ac:dyDescent="0.25">
      <c r="A7238" s="388">
        <v>0.16633607254179655</v>
      </c>
      <c r="B7238" s="465">
        <v>8.0000000000000004E-4</v>
      </c>
      <c r="C7238" t="str">
        <f t="shared" si="113"/>
        <v/>
      </c>
    </row>
    <row r="7239" spans="1:3" x14ac:dyDescent="0.25">
      <c r="A7239" s="388">
        <v>0.58656843298384809</v>
      </c>
      <c r="B7239" s="465">
        <v>6.2833333333333335E-3</v>
      </c>
      <c r="C7239" t="str">
        <f t="shared" si="113"/>
        <v/>
      </c>
    </row>
    <row r="7240" spans="1:3" x14ac:dyDescent="0.25">
      <c r="A7240" s="388">
        <v>1.339472938509493</v>
      </c>
      <c r="B7240" s="465">
        <v>2.5506000000000001E-3</v>
      </c>
      <c r="C7240" t="str">
        <f t="shared" si="113"/>
        <v/>
      </c>
    </row>
    <row r="7241" spans="1:3" x14ac:dyDescent="0.25">
      <c r="A7241" s="388">
        <v>1.2417115330121848</v>
      </c>
      <c r="B7241" s="465">
        <v>1.1847333333333335E-3</v>
      </c>
      <c r="C7241" t="str">
        <f t="shared" si="113"/>
        <v/>
      </c>
    </row>
    <row r="7242" spans="1:3" x14ac:dyDescent="0.25">
      <c r="A7242" s="388">
        <v>1.0906772456786626</v>
      </c>
      <c r="B7242" s="465">
        <v>2.5650000000000004E-3</v>
      </c>
      <c r="C7242" t="str">
        <f t="shared" si="113"/>
        <v/>
      </c>
    </row>
    <row r="7243" spans="1:3" x14ac:dyDescent="0.25">
      <c r="A7243" s="388">
        <v>0.6429583451402664</v>
      </c>
      <c r="B7243" s="465">
        <v>3.1803333333333336E-2</v>
      </c>
      <c r="C7243" t="str">
        <f t="shared" si="113"/>
        <v/>
      </c>
    </row>
    <row r="7244" spans="1:3" x14ac:dyDescent="0.25">
      <c r="A7244" s="388">
        <v>1.7344856899971663</v>
      </c>
      <c r="B7244" s="465">
        <v>3.327666666666667E-2</v>
      </c>
      <c r="C7244" t="str">
        <f t="shared" si="113"/>
        <v/>
      </c>
    </row>
    <row r="7245" spans="1:3" x14ac:dyDescent="0.25">
      <c r="A7245" s="388">
        <v>2.7738736185888353</v>
      </c>
      <c r="B7245" s="465">
        <v>1.4074400000000001E-2</v>
      </c>
      <c r="C7245" t="str">
        <f t="shared" si="113"/>
        <v/>
      </c>
    </row>
    <row r="7246" spans="1:3" x14ac:dyDescent="0.25">
      <c r="A7246" s="388">
        <v>0.8685179937659393</v>
      </c>
      <c r="B7246" s="465">
        <v>2.8284666666666667E-3</v>
      </c>
      <c r="C7246" t="str">
        <f t="shared" si="113"/>
        <v/>
      </c>
    </row>
    <row r="7247" spans="1:3" x14ac:dyDescent="0.25">
      <c r="A7247" s="388">
        <v>0.53187871918390484</v>
      </c>
      <c r="B7247" s="465">
        <v>7.8084000000000001E-3</v>
      </c>
      <c r="C7247" t="str">
        <f t="shared" si="113"/>
        <v/>
      </c>
    </row>
    <row r="7248" spans="1:3" x14ac:dyDescent="0.25">
      <c r="A7248" s="388">
        <v>0.52167752904505527</v>
      </c>
      <c r="B7248" s="465">
        <v>2.0800000000000003E-3</v>
      </c>
      <c r="C7248" t="str">
        <f t="shared" si="113"/>
        <v/>
      </c>
    </row>
    <row r="7249" spans="1:3" x14ac:dyDescent="0.25">
      <c r="A7249" s="388">
        <v>0.28705015585151605</v>
      </c>
      <c r="B7249" s="465">
        <v>1.08E-3</v>
      </c>
      <c r="C7249" t="str">
        <f t="shared" si="113"/>
        <v/>
      </c>
    </row>
    <row r="7250" spans="1:3" x14ac:dyDescent="0.25">
      <c r="A7250" s="388">
        <v>0.386511759705299</v>
      </c>
      <c r="B7250" s="465">
        <v>8.3440000000000007E-3</v>
      </c>
      <c r="C7250" t="str">
        <f t="shared" si="113"/>
        <v/>
      </c>
    </row>
    <row r="7251" spans="1:3" x14ac:dyDescent="0.25">
      <c r="A7251" s="388">
        <v>0.18305468971379996</v>
      </c>
      <c r="B7251" s="465">
        <v>3.0066666666666662E-3</v>
      </c>
      <c r="C7251" t="str">
        <f t="shared" si="113"/>
        <v/>
      </c>
    </row>
    <row r="7252" spans="1:3" x14ac:dyDescent="0.25">
      <c r="A7252" s="388">
        <v>0.34145650325871352</v>
      </c>
      <c r="B7252" s="465">
        <v>3.1425999999999997E-3</v>
      </c>
      <c r="C7252" t="str">
        <f t="shared" si="113"/>
        <v/>
      </c>
    </row>
    <row r="7253" spans="1:3" x14ac:dyDescent="0.25">
      <c r="A7253" s="388">
        <v>3.2303768773023517E-2</v>
      </c>
      <c r="B7253" s="465">
        <v>1.7566666666666666E-3</v>
      </c>
      <c r="C7253" t="str">
        <f t="shared" si="113"/>
        <v/>
      </c>
    </row>
    <row r="7254" spans="1:3" x14ac:dyDescent="0.25">
      <c r="A7254" s="388">
        <v>3.9104562198923207E-2</v>
      </c>
      <c r="B7254" s="465">
        <v>3.0100000000000001E-3</v>
      </c>
      <c r="C7254" t="str">
        <f t="shared" si="113"/>
        <v/>
      </c>
    </row>
    <row r="7255" spans="1:3" x14ac:dyDescent="0.25">
      <c r="A7255" s="388">
        <v>4.0804760555398133E-2</v>
      </c>
      <c r="B7255" s="465">
        <v>4.7999999999999996E-4</v>
      </c>
      <c r="C7255" t="str">
        <f t="shared" si="113"/>
        <v/>
      </c>
    </row>
    <row r="7256" spans="1:3" x14ac:dyDescent="0.25">
      <c r="A7256" s="388">
        <v>2.2385945026919808E-2</v>
      </c>
      <c r="B7256" s="465">
        <v>6.9000000000000008E-4</v>
      </c>
      <c r="C7256" t="str">
        <f t="shared" si="113"/>
        <v/>
      </c>
    </row>
    <row r="7257" spans="1:3" x14ac:dyDescent="0.25">
      <c r="A7257" s="388">
        <v>1.501841881552848E-2</v>
      </c>
      <c r="B7257" s="465">
        <v>9.0773333333333324E-4</v>
      </c>
      <c r="C7257" t="str">
        <f t="shared" si="113"/>
        <v/>
      </c>
    </row>
    <row r="7258" spans="1:3" x14ac:dyDescent="0.25">
      <c r="A7258" s="388">
        <v>1.4352507792575802</v>
      </c>
      <c r="B7258" s="465">
        <v>0.46297199999999994</v>
      </c>
      <c r="C7258" t="str">
        <f t="shared" si="113"/>
        <v/>
      </c>
    </row>
    <row r="7259" spans="1:3" x14ac:dyDescent="0.25">
      <c r="A7259" s="388">
        <v>0.65089260413714933</v>
      </c>
      <c r="B7259" s="465">
        <v>1.1273333333333333E-2</v>
      </c>
      <c r="C7259" t="str">
        <f t="shared" si="113"/>
        <v/>
      </c>
    </row>
    <row r="7260" spans="1:3" x14ac:dyDescent="0.25">
      <c r="A7260" s="388">
        <v>0.49277415698498162</v>
      </c>
      <c r="B7260" s="465">
        <v>1.6466666666666667E-3</v>
      </c>
      <c r="C7260" t="str">
        <f t="shared" si="113"/>
        <v/>
      </c>
    </row>
    <row r="7261" spans="1:3" x14ac:dyDescent="0.25">
      <c r="A7261" s="388">
        <v>0.13233210541229809</v>
      </c>
      <c r="B7261" s="465">
        <v>7.9050000000000006E-3</v>
      </c>
      <c r="C7261" t="str">
        <f t="shared" si="113"/>
        <v/>
      </c>
    </row>
    <row r="7262" spans="1:3" x14ac:dyDescent="0.25">
      <c r="A7262" s="388">
        <v>8.4443185038254459E-2</v>
      </c>
      <c r="B7262" s="465">
        <v>5.136666666666667E-3</v>
      </c>
      <c r="C7262" t="str">
        <f t="shared" si="113"/>
        <v/>
      </c>
    </row>
    <row r="7263" spans="1:3" x14ac:dyDescent="0.25">
      <c r="A7263" s="388">
        <v>4.6472088410314534E-2</v>
      </c>
      <c r="B7263" s="465">
        <v>1.0580000000000001E-3</v>
      </c>
      <c r="C7263" t="str">
        <f t="shared" si="113"/>
        <v/>
      </c>
    </row>
    <row r="7264" spans="1:3" x14ac:dyDescent="0.25">
      <c r="A7264" s="388">
        <v>4.137149334088977E-2</v>
      </c>
      <c r="B7264" s="465">
        <v>7.3919999999999997E-4</v>
      </c>
      <c r="C7264" t="str">
        <f t="shared" si="113"/>
        <v/>
      </c>
    </row>
    <row r="7265" spans="1:3" x14ac:dyDescent="0.25">
      <c r="A7265" s="388">
        <v>1.8418815528478325E-2</v>
      </c>
      <c r="B7265" s="465">
        <v>6.7833333333333331E-4</v>
      </c>
      <c r="C7265" t="str">
        <f t="shared" si="113"/>
        <v/>
      </c>
    </row>
    <row r="7266" spans="1:3" x14ac:dyDescent="0.25">
      <c r="A7266" s="388">
        <v>0.43950127514876736</v>
      </c>
      <c r="B7266" s="465">
        <v>0.2251956</v>
      </c>
      <c r="C7266" t="str">
        <f t="shared" si="113"/>
        <v/>
      </c>
    </row>
    <row r="7267" spans="1:3" x14ac:dyDescent="0.25">
      <c r="A7267" s="388">
        <v>0.37999433267214511</v>
      </c>
      <c r="B7267" s="465">
        <v>4.9032666666666662E-2</v>
      </c>
      <c r="C7267" t="str">
        <f t="shared" si="113"/>
        <v/>
      </c>
    </row>
    <row r="7268" spans="1:3" x14ac:dyDescent="0.25">
      <c r="A7268" s="388">
        <v>0.39529611788041935</v>
      </c>
      <c r="B7268" s="465">
        <v>7.6734000000000004E-3</v>
      </c>
      <c r="C7268" t="str">
        <f t="shared" si="113"/>
        <v/>
      </c>
    </row>
    <row r="7269" spans="1:3" x14ac:dyDescent="0.25">
      <c r="A7269" s="388">
        <v>6.6591102295267782E-2</v>
      </c>
      <c r="B7269" s="465">
        <v>1.4570666666666667E-3</v>
      </c>
      <c r="C7269" t="str">
        <f t="shared" si="113"/>
        <v/>
      </c>
    </row>
    <row r="7270" spans="1:3" x14ac:dyDescent="0.25">
      <c r="A7270" s="388">
        <v>3.4854066307735902E-2</v>
      </c>
      <c r="B7270" s="465">
        <v>8.2266666666666664E-4</v>
      </c>
      <c r="C7270" t="str">
        <f t="shared" si="113"/>
        <v/>
      </c>
    </row>
    <row r="7271" spans="1:3" x14ac:dyDescent="0.25">
      <c r="A7271" s="388">
        <v>4.8455653159535282E-2</v>
      </c>
      <c r="B7271" s="465">
        <v>2.652E-4</v>
      </c>
      <c r="C7271" t="str">
        <f t="shared" si="113"/>
        <v/>
      </c>
    </row>
    <row r="7272" spans="1:3" x14ac:dyDescent="0.25">
      <c r="A7272" s="388">
        <v>3.9954661377160666E-2</v>
      </c>
      <c r="B7272" s="465">
        <v>1.2394666666666666E-3</v>
      </c>
      <c r="C7272" t="str">
        <f t="shared" si="113"/>
        <v/>
      </c>
    </row>
    <row r="7273" spans="1:3" x14ac:dyDescent="0.25">
      <c r="A7273" s="388">
        <v>1.586851799376594E-2</v>
      </c>
      <c r="B7273" s="465">
        <v>2.1133333333333331E-4</v>
      </c>
      <c r="C7273" t="str">
        <f t="shared" si="113"/>
        <v/>
      </c>
    </row>
    <row r="7274" spans="1:3" x14ac:dyDescent="0.25">
      <c r="A7274" s="388">
        <v>0.84528194956078206</v>
      </c>
      <c r="B7274" s="465">
        <v>6.2944E-2</v>
      </c>
      <c r="C7274" t="str">
        <f t="shared" si="113"/>
        <v/>
      </c>
    </row>
    <row r="7275" spans="1:3" x14ac:dyDescent="0.25">
      <c r="A7275" s="388">
        <v>0.61263814111646364</v>
      </c>
      <c r="B7275" s="465">
        <v>2.4266666666666662E-2</v>
      </c>
      <c r="C7275" t="str">
        <f t="shared" si="113"/>
        <v/>
      </c>
    </row>
    <row r="7276" spans="1:3" x14ac:dyDescent="0.25">
      <c r="A7276" s="388">
        <v>0.19778974213658262</v>
      </c>
      <c r="B7276" s="465">
        <v>4.4733333333333326E-3</v>
      </c>
      <c r="C7276" t="str">
        <f t="shared" si="113"/>
        <v/>
      </c>
    </row>
    <row r="7277" spans="1:3" x14ac:dyDescent="0.25">
      <c r="A7277" s="388">
        <v>0.18815528478322471</v>
      </c>
      <c r="B7277" s="465">
        <v>7.6082666666666679E-3</v>
      </c>
      <c r="C7277" t="str">
        <f t="shared" si="113"/>
        <v/>
      </c>
    </row>
    <row r="7278" spans="1:3" x14ac:dyDescent="0.25">
      <c r="A7278" s="388">
        <v>6.4890903938792863E-2</v>
      </c>
      <c r="B7278" s="465">
        <v>6.648E-4</v>
      </c>
      <c r="C7278" t="str">
        <f t="shared" si="113"/>
        <v/>
      </c>
    </row>
    <row r="7279" spans="1:3" x14ac:dyDescent="0.25">
      <c r="A7279" s="388">
        <v>6.1490507225843018E-2</v>
      </c>
      <c r="B7279" s="465">
        <v>1.1604E-3</v>
      </c>
      <c r="C7279" t="str">
        <f t="shared" si="113"/>
        <v/>
      </c>
    </row>
    <row r="7280" spans="1:3" x14ac:dyDescent="0.25">
      <c r="A7280" s="388">
        <v>6.4607537546047034E-2</v>
      </c>
      <c r="B7280" s="465">
        <v>6.2920000000000001E-4</v>
      </c>
      <c r="C7280" t="str">
        <f t="shared" si="113"/>
        <v/>
      </c>
    </row>
    <row r="7281" spans="1:3" x14ac:dyDescent="0.25">
      <c r="A7281" s="388">
        <v>2.7203173703598753E-2</v>
      </c>
      <c r="B7281" s="465">
        <v>3.4000000000000002E-4</v>
      </c>
      <c r="C7281" t="str">
        <f t="shared" si="113"/>
        <v/>
      </c>
    </row>
    <row r="7282" spans="1:3" x14ac:dyDescent="0.25">
      <c r="A7282" s="388">
        <v>7.0405213941626528</v>
      </c>
      <c r="B7282" s="465">
        <v>2.0477266666666664E-2</v>
      </c>
      <c r="C7282" t="str">
        <f t="shared" si="113"/>
        <v/>
      </c>
    </row>
    <row r="7283" spans="1:3" x14ac:dyDescent="0.25">
      <c r="A7283" s="388">
        <v>16.352224426183056</v>
      </c>
      <c r="B7283" s="465">
        <v>0.47323466666666669</v>
      </c>
      <c r="C7283" t="str">
        <f t="shared" si="113"/>
        <v/>
      </c>
    </row>
    <row r="7284" spans="1:3" x14ac:dyDescent="0.25">
      <c r="A7284" s="388">
        <v>7.7444035137432703</v>
      </c>
      <c r="B7284" s="465">
        <v>4.4976666666666665E-2</v>
      </c>
      <c r="C7284" t="str">
        <f t="shared" si="113"/>
        <v/>
      </c>
    </row>
    <row r="7285" spans="1:3" x14ac:dyDescent="0.25">
      <c r="A7285" s="388">
        <v>5.7126664777557385</v>
      </c>
      <c r="B7285" s="465">
        <v>3.9528000000000002E-3</v>
      </c>
      <c r="C7285" t="str">
        <f t="shared" si="113"/>
        <v/>
      </c>
    </row>
    <row r="7286" spans="1:3" x14ac:dyDescent="0.25">
      <c r="A7286" s="388">
        <v>1.0988948710682913</v>
      </c>
      <c r="B7286" s="465">
        <v>1.4376266666666667E-2</v>
      </c>
      <c r="C7286" t="str">
        <f t="shared" si="113"/>
        <v/>
      </c>
    </row>
    <row r="7287" spans="1:3" x14ac:dyDescent="0.25">
      <c r="A7287" s="388">
        <v>0.6457920090677246</v>
      </c>
      <c r="B7287" s="465">
        <v>1.3066666666666666E-2</v>
      </c>
      <c r="C7287" t="str">
        <f t="shared" si="113"/>
        <v/>
      </c>
    </row>
    <row r="7288" spans="1:3" x14ac:dyDescent="0.25">
      <c r="A7288" s="388">
        <v>1.5749504108812695</v>
      </c>
      <c r="B7288" s="465">
        <v>3.6506600000000007E-2</v>
      </c>
      <c r="C7288" t="str">
        <f t="shared" ref="C7288:C7351" si="114">IF(B7288=0,"XXXXXXXX","")</f>
        <v/>
      </c>
    </row>
    <row r="7289" spans="1:3" x14ac:dyDescent="0.25">
      <c r="A7289" s="388">
        <v>1.3525077925758004</v>
      </c>
      <c r="B7289" s="465">
        <v>2.307648E-2</v>
      </c>
      <c r="C7289" t="str">
        <f t="shared" si="114"/>
        <v/>
      </c>
    </row>
    <row r="7290" spans="1:3" x14ac:dyDescent="0.25">
      <c r="A7290" s="388">
        <v>1.9818645508642674</v>
      </c>
      <c r="B7290" s="465">
        <v>2.4164026666666664E-2</v>
      </c>
      <c r="C7290" t="str">
        <f t="shared" si="114"/>
        <v/>
      </c>
    </row>
    <row r="7291" spans="1:3" x14ac:dyDescent="0.25">
      <c r="A7291" s="388">
        <v>1.5196939642958347</v>
      </c>
      <c r="B7291" s="465">
        <v>2.8819999999999998E-2</v>
      </c>
      <c r="C7291" t="str">
        <f t="shared" si="114"/>
        <v/>
      </c>
    </row>
    <row r="7292" spans="1:3" x14ac:dyDescent="0.25">
      <c r="A7292" s="388">
        <v>0.74638707849249075</v>
      </c>
      <c r="B7292" s="465">
        <v>9.6968666666666665E-3</v>
      </c>
      <c r="C7292" t="str">
        <f t="shared" si="114"/>
        <v/>
      </c>
    </row>
    <row r="7293" spans="1:3" x14ac:dyDescent="0.25">
      <c r="A7293" s="388">
        <v>0.10909606120714084</v>
      </c>
      <c r="B7293" s="465">
        <v>8.917333333333334E-4</v>
      </c>
      <c r="C7293" t="str">
        <f t="shared" si="114"/>
        <v/>
      </c>
    </row>
    <row r="7294" spans="1:3" x14ac:dyDescent="0.25">
      <c r="A7294" s="388">
        <v>2.8350807594219325</v>
      </c>
      <c r="B7294" s="465">
        <v>6.5268000000000001E-3</v>
      </c>
      <c r="C7294" t="str">
        <f t="shared" si="114"/>
        <v/>
      </c>
    </row>
    <row r="7295" spans="1:3" x14ac:dyDescent="0.25">
      <c r="A7295" s="388">
        <v>2.3244545196939645</v>
      </c>
      <c r="B7295" s="465">
        <v>2.3096533333333336E-2</v>
      </c>
      <c r="C7295" t="str">
        <f t="shared" si="114"/>
        <v/>
      </c>
    </row>
    <row r="7296" spans="1:3" x14ac:dyDescent="0.25">
      <c r="A7296" s="388">
        <v>1.990365542646642</v>
      </c>
      <c r="B7296" s="465">
        <v>5.8322000000000001E-3</v>
      </c>
      <c r="C7296" t="str">
        <f t="shared" si="114"/>
        <v/>
      </c>
    </row>
    <row r="7297" spans="1:3" x14ac:dyDescent="0.25">
      <c r="A7297" s="388">
        <v>2.348824029470105</v>
      </c>
      <c r="B7297" s="465">
        <v>1.0003066666666668E-2</v>
      </c>
      <c r="C7297" t="str">
        <f t="shared" si="114"/>
        <v/>
      </c>
    </row>
    <row r="7298" spans="1:3" x14ac:dyDescent="0.25">
      <c r="A7298" s="388">
        <v>2.2677812411448004</v>
      </c>
      <c r="B7298" s="465">
        <v>5.1407999999999992E-3</v>
      </c>
      <c r="C7298" t="str">
        <f t="shared" si="114"/>
        <v/>
      </c>
    </row>
    <row r="7299" spans="1:3" x14ac:dyDescent="0.25">
      <c r="A7299" s="388">
        <v>2.7268347973930296</v>
      </c>
      <c r="B7299" s="465">
        <v>2.3749999999999995E-3</v>
      </c>
      <c r="C7299" t="str">
        <f t="shared" si="114"/>
        <v/>
      </c>
    </row>
    <row r="7300" spans="1:3" x14ac:dyDescent="0.25">
      <c r="A7300" s="388">
        <v>21.005383961462169</v>
      </c>
      <c r="B7300" s="465">
        <v>5.4099066666666668E-2</v>
      </c>
      <c r="C7300" t="str">
        <f t="shared" si="114"/>
        <v/>
      </c>
    </row>
    <row r="7301" spans="1:3" x14ac:dyDescent="0.25">
      <c r="A7301" s="388">
        <v>46.319920657410037</v>
      </c>
      <c r="B7301" s="465">
        <v>2.5458400000000003E-2</v>
      </c>
      <c r="C7301" t="str">
        <f t="shared" si="114"/>
        <v/>
      </c>
    </row>
    <row r="7302" spans="1:3" x14ac:dyDescent="0.25">
      <c r="A7302" s="388">
        <v>24.943610087843581</v>
      </c>
      <c r="B7302" s="465">
        <v>2.0996266666666662E-2</v>
      </c>
      <c r="C7302" t="str">
        <f t="shared" si="114"/>
        <v/>
      </c>
    </row>
    <row r="7303" spans="1:3" x14ac:dyDescent="0.25">
      <c r="A7303" s="388">
        <v>2.5519977330688581</v>
      </c>
      <c r="B7303" s="465">
        <v>5.297200000000001E-3</v>
      </c>
      <c r="C7303" t="str">
        <f t="shared" si="114"/>
        <v/>
      </c>
    </row>
    <row r="7304" spans="1:3" x14ac:dyDescent="0.25">
      <c r="A7304" s="388">
        <v>9.543780107679229</v>
      </c>
      <c r="B7304" s="465">
        <v>0.23709146666666664</v>
      </c>
      <c r="C7304" t="str">
        <f t="shared" si="114"/>
        <v/>
      </c>
    </row>
    <row r="7305" spans="1:3" x14ac:dyDescent="0.25">
      <c r="A7305" s="388">
        <v>10.246245395296118</v>
      </c>
      <c r="B7305" s="465">
        <v>0.15431413333333335</v>
      </c>
      <c r="C7305" t="str">
        <f t="shared" si="114"/>
        <v/>
      </c>
    </row>
    <row r="7306" spans="1:3" x14ac:dyDescent="0.25">
      <c r="A7306" s="388">
        <v>15.534995749504109</v>
      </c>
      <c r="B7306" s="465">
        <v>3.5658133333333342E-2</v>
      </c>
      <c r="C7306" t="str">
        <f t="shared" si="114"/>
        <v/>
      </c>
    </row>
    <row r="7307" spans="1:3" x14ac:dyDescent="0.25">
      <c r="A7307" s="388">
        <v>16.810144516860301</v>
      </c>
      <c r="B7307" s="465">
        <v>4.3613866666666661E-2</v>
      </c>
      <c r="C7307" t="str">
        <f t="shared" si="114"/>
        <v/>
      </c>
    </row>
    <row r="7308" spans="1:3" x14ac:dyDescent="0.25">
      <c r="A7308" s="388">
        <v>10.549164069141399</v>
      </c>
      <c r="B7308" s="465">
        <v>5.979693333333333E-2</v>
      </c>
      <c r="C7308" t="str">
        <f t="shared" si="114"/>
        <v/>
      </c>
    </row>
    <row r="7309" spans="1:3" x14ac:dyDescent="0.25">
      <c r="A7309" s="388">
        <v>6.7883253046188727</v>
      </c>
      <c r="B7309" s="465">
        <v>1.80086E-2</v>
      </c>
      <c r="C7309" t="str">
        <f t="shared" si="114"/>
        <v/>
      </c>
    </row>
    <row r="7310" spans="1:3" x14ac:dyDescent="0.25">
      <c r="A7310" s="388">
        <v>2.6251062623972796</v>
      </c>
      <c r="B7310" s="465">
        <v>5.7657999999999997E-3</v>
      </c>
      <c r="C7310" t="str">
        <f t="shared" si="114"/>
        <v/>
      </c>
    </row>
    <row r="7311" spans="1:3" x14ac:dyDescent="0.25">
      <c r="A7311" s="388">
        <v>2.9985831680362707</v>
      </c>
      <c r="B7311" s="465">
        <v>9.1772333333333331E-3</v>
      </c>
      <c r="C7311" t="str">
        <f t="shared" si="114"/>
        <v/>
      </c>
    </row>
    <row r="7312" spans="1:3" x14ac:dyDescent="0.25">
      <c r="A7312" s="388">
        <v>10.934825729668461</v>
      </c>
      <c r="B7312" s="465">
        <v>0.21862500000000001</v>
      </c>
      <c r="C7312" t="str">
        <f t="shared" si="114"/>
        <v/>
      </c>
    </row>
    <row r="7313" spans="1:3" x14ac:dyDescent="0.25">
      <c r="A7313" s="388">
        <v>10.797676395579485</v>
      </c>
      <c r="B7313" s="465">
        <v>0.2494851333333333</v>
      </c>
      <c r="C7313" t="str">
        <f t="shared" si="114"/>
        <v/>
      </c>
    </row>
    <row r="7314" spans="1:3" x14ac:dyDescent="0.25">
      <c r="A7314" s="388">
        <v>16.578917540379713</v>
      </c>
      <c r="B7314" s="465">
        <v>6.2806333333333339E-2</v>
      </c>
      <c r="C7314" t="str">
        <f t="shared" si="114"/>
        <v/>
      </c>
    </row>
    <row r="7315" spans="1:3" x14ac:dyDescent="0.25">
      <c r="A7315" s="388">
        <v>18.136865967696231</v>
      </c>
      <c r="B7315" s="465">
        <v>0.25237146666666666</v>
      </c>
      <c r="C7315" t="str">
        <f t="shared" si="114"/>
        <v/>
      </c>
    </row>
    <row r="7316" spans="1:3" x14ac:dyDescent="0.25">
      <c r="A7316" s="388">
        <v>10.703032020402381</v>
      </c>
      <c r="B7316" s="465">
        <v>0.111128</v>
      </c>
      <c r="C7316" t="str">
        <f t="shared" si="114"/>
        <v/>
      </c>
    </row>
    <row r="7317" spans="1:3" x14ac:dyDescent="0.25">
      <c r="A7317" s="388">
        <v>4.0668744686880141</v>
      </c>
      <c r="B7317" s="465">
        <v>4.3302399999999998E-2</v>
      </c>
      <c r="C7317" t="str">
        <f t="shared" si="114"/>
        <v/>
      </c>
    </row>
    <row r="7318" spans="1:3" x14ac:dyDescent="0.25">
      <c r="A7318" s="388">
        <v>2.6959478605837348</v>
      </c>
      <c r="B7318" s="465">
        <v>1.9905600000000002E-2</v>
      </c>
      <c r="C7318" t="str">
        <f t="shared" si="114"/>
        <v/>
      </c>
    </row>
    <row r="7319" spans="1:3" x14ac:dyDescent="0.25">
      <c r="A7319" s="388">
        <v>1.2266931141966564</v>
      </c>
      <c r="B7319" s="465">
        <v>1.22264E-2</v>
      </c>
      <c r="C7319" t="str">
        <f t="shared" si="114"/>
        <v/>
      </c>
    </row>
    <row r="7320" spans="1:3" x14ac:dyDescent="0.25">
      <c r="A7320" s="388">
        <v>0.40578067441201476</v>
      </c>
      <c r="B7320" s="465">
        <v>6.4506666666666666E-4</v>
      </c>
      <c r="C7320" t="str">
        <f t="shared" si="114"/>
        <v/>
      </c>
    </row>
    <row r="7321" spans="1:3" x14ac:dyDescent="0.25">
      <c r="A7321" s="388">
        <v>0.91300651742703309</v>
      </c>
      <c r="B7321" s="465">
        <v>3.5632000000000003E-3</v>
      </c>
      <c r="C7321" t="str">
        <f t="shared" si="114"/>
        <v/>
      </c>
    </row>
    <row r="7322" spans="1:3" x14ac:dyDescent="0.25">
      <c r="A7322" s="388">
        <v>1.4134315670161519</v>
      </c>
      <c r="B7322" s="465">
        <v>4.5569333333333331E-3</v>
      </c>
      <c r="C7322" t="str">
        <f t="shared" si="114"/>
        <v/>
      </c>
    </row>
    <row r="7323" spans="1:3" x14ac:dyDescent="0.25">
      <c r="A7323" s="388">
        <v>1.5086426749787476</v>
      </c>
      <c r="B7323" s="465">
        <v>6.7181333333333343E-3</v>
      </c>
      <c r="C7323" t="str">
        <f t="shared" si="114"/>
        <v/>
      </c>
    </row>
    <row r="7324" spans="1:3" x14ac:dyDescent="0.25">
      <c r="A7324" s="388">
        <v>1.3051856049872486</v>
      </c>
      <c r="B7324" s="465">
        <v>7.9296000000000002E-3</v>
      </c>
      <c r="C7324" t="str">
        <f t="shared" si="114"/>
        <v/>
      </c>
    </row>
    <row r="7325" spans="1:3" x14ac:dyDescent="0.25">
      <c r="A7325" s="388">
        <v>0.45678662510626244</v>
      </c>
      <c r="B7325" s="465">
        <v>1.6473600000000001E-2</v>
      </c>
      <c r="C7325" t="str">
        <f t="shared" si="114"/>
        <v/>
      </c>
    </row>
    <row r="7326" spans="1:3" x14ac:dyDescent="0.25">
      <c r="A7326" s="388">
        <v>0.38396146217058658</v>
      </c>
      <c r="B7326" s="465">
        <v>3.5380799999999999E-3</v>
      </c>
      <c r="C7326" t="str">
        <f t="shared" si="114"/>
        <v/>
      </c>
    </row>
    <row r="7327" spans="1:3" x14ac:dyDescent="0.25">
      <c r="A7327" s="388">
        <v>0.56673278549164074</v>
      </c>
      <c r="B7327" s="465">
        <v>5.6906666666666659E-3</v>
      </c>
      <c r="C7327" t="str">
        <f t="shared" si="114"/>
        <v/>
      </c>
    </row>
    <row r="7328" spans="1:3" x14ac:dyDescent="0.25">
      <c r="A7328" s="388">
        <v>0.38509492774156984</v>
      </c>
      <c r="B7328" s="465">
        <v>2.5847999999999999E-3</v>
      </c>
      <c r="C7328" t="str">
        <f t="shared" si="114"/>
        <v/>
      </c>
    </row>
    <row r="7329" spans="1:3" x14ac:dyDescent="0.25">
      <c r="A7329" s="388">
        <v>0.17625389628790025</v>
      </c>
      <c r="B7329" s="465">
        <v>1.967E-3</v>
      </c>
      <c r="C7329" t="str">
        <f t="shared" si="114"/>
        <v/>
      </c>
    </row>
    <row r="7330" spans="1:3" x14ac:dyDescent="0.25">
      <c r="A7330" s="388">
        <v>6.1490507225843018E-2</v>
      </c>
      <c r="B7330" s="465">
        <v>1.0214666666666667E-3</v>
      </c>
      <c r="C7330" t="str">
        <f t="shared" si="114"/>
        <v/>
      </c>
    </row>
    <row r="7331" spans="1:3" x14ac:dyDescent="0.25">
      <c r="A7331" s="388">
        <v>0.86710116180221031</v>
      </c>
      <c r="B7331" s="465">
        <v>6.3286666666666656E-3</v>
      </c>
      <c r="C7331" t="str">
        <f t="shared" si="114"/>
        <v/>
      </c>
    </row>
    <row r="7332" spans="1:3" x14ac:dyDescent="0.25">
      <c r="A7332" s="388">
        <v>1.0195522810994615</v>
      </c>
      <c r="B7332" s="465">
        <v>1.5781333333333331E-2</v>
      </c>
      <c r="C7332" t="str">
        <f t="shared" si="114"/>
        <v/>
      </c>
    </row>
    <row r="7333" spans="1:3" x14ac:dyDescent="0.25">
      <c r="A7333" s="388">
        <v>1.973363559081893</v>
      </c>
      <c r="B7333" s="465">
        <v>2.2851399999999997E-2</v>
      </c>
      <c r="C7333" t="str">
        <f t="shared" si="114"/>
        <v/>
      </c>
    </row>
    <row r="7334" spans="1:3" x14ac:dyDescent="0.25">
      <c r="A7334" s="388">
        <v>1.2904505525644658</v>
      </c>
      <c r="B7334" s="465">
        <v>3.765733333333333E-3</v>
      </c>
      <c r="C7334" t="str">
        <f t="shared" si="114"/>
        <v/>
      </c>
    </row>
    <row r="7335" spans="1:3" x14ac:dyDescent="0.25">
      <c r="A7335" s="388">
        <v>0.50977614054973075</v>
      </c>
      <c r="B7335" s="465">
        <v>1.3753933333333336E-2</v>
      </c>
      <c r="C7335" t="str">
        <f t="shared" si="114"/>
        <v/>
      </c>
    </row>
    <row r="7336" spans="1:3" x14ac:dyDescent="0.25">
      <c r="A7336" s="388">
        <v>9.8044771890053839E-2</v>
      </c>
      <c r="B7336" s="465">
        <v>1.1700000000000002E-4</v>
      </c>
      <c r="C7336" t="str">
        <f t="shared" si="114"/>
        <v/>
      </c>
    </row>
    <row r="7337" spans="1:3" x14ac:dyDescent="0.25">
      <c r="A7337" s="388">
        <v>4.9546613771606687</v>
      </c>
      <c r="B7337" s="465">
        <v>2.8825E-2</v>
      </c>
      <c r="C7337" t="str">
        <f t="shared" si="114"/>
        <v/>
      </c>
    </row>
    <row r="7338" spans="1:3" x14ac:dyDescent="0.25">
      <c r="A7338" s="388">
        <v>14.180787758571833</v>
      </c>
      <c r="B7338" s="465">
        <v>3.6464000000000002E-3</v>
      </c>
      <c r="C7338" t="str">
        <f t="shared" si="114"/>
        <v/>
      </c>
    </row>
    <row r="7339" spans="1:3" x14ac:dyDescent="0.25">
      <c r="A7339" s="388">
        <v>9.5789175403797113</v>
      </c>
      <c r="B7339" s="465">
        <v>2.2796800000000002E-2</v>
      </c>
      <c r="C7339" t="str">
        <f t="shared" si="114"/>
        <v/>
      </c>
    </row>
    <row r="7340" spans="1:3" x14ac:dyDescent="0.25">
      <c r="A7340" s="388">
        <v>8.309152734485691</v>
      </c>
      <c r="B7340" s="465">
        <v>5.4618666666666673E-3</v>
      </c>
      <c r="C7340" t="str">
        <f t="shared" si="114"/>
        <v/>
      </c>
    </row>
    <row r="7341" spans="1:3" x14ac:dyDescent="0.25">
      <c r="A7341" s="388">
        <v>8.0490223859450278</v>
      </c>
      <c r="B7341" s="465">
        <v>6.5399333333333318E-3</v>
      </c>
      <c r="C7341" t="str">
        <f t="shared" si="114"/>
        <v/>
      </c>
    </row>
    <row r="7342" spans="1:3" x14ac:dyDescent="0.25">
      <c r="A7342" s="388">
        <v>10.069424766222728</v>
      </c>
      <c r="B7342" s="465">
        <v>2.4714666666666666E-2</v>
      </c>
      <c r="C7342" t="str">
        <f t="shared" si="114"/>
        <v/>
      </c>
    </row>
    <row r="7343" spans="1:3" x14ac:dyDescent="0.25">
      <c r="A7343" s="388">
        <v>9.1192972513459907</v>
      </c>
      <c r="B7343" s="465">
        <v>1.2576666666666668E-2</v>
      </c>
      <c r="C7343" t="str">
        <f t="shared" si="114"/>
        <v/>
      </c>
    </row>
    <row r="7344" spans="1:3" x14ac:dyDescent="0.25">
      <c r="A7344" s="388">
        <v>14.282232927174837</v>
      </c>
      <c r="B7344" s="465">
        <v>1.6140666666666668E-2</v>
      </c>
      <c r="C7344" t="str">
        <f t="shared" si="114"/>
        <v/>
      </c>
    </row>
    <row r="7345" spans="1:3" x14ac:dyDescent="0.25">
      <c r="A7345" s="388">
        <v>12.006517427033154</v>
      </c>
      <c r="B7345" s="465">
        <v>9.058666666666668E-3</v>
      </c>
      <c r="C7345" t="str">
        <f t="shared" si="114"/>
        <v/>
      </c>
    </row>
    <row r="7346" spans="1:3" x14ac:dyDescent="0.25">
      <c r="A7346" s="388">
        <v>11.234910739586287</v>
      </c>
      <c r="B7346" s="465">
        <v>6.3606666666666664E-3</v>
      </c>
      <c r="C7346" t="str">
        <f t="shared" si="114"/>
        <v/>
      </c>
    </row>
    <row r="7347" spans="1:3" x14ac:dyDescent="0.25">
      <c r="A7347" s="388">
        <v>9.4692547463870795</v>
      </c>
      <c r="B7347" s="465">
        <v>8.1646666666666673E-3</v>
      </c>
      <c r="C7347" t="str">
        <f t="shared" si="114"/>
        <v/>
      </c>
    </row>
    <row r="7348" spans="1:3" x14ac:dyDescent="0.25">
      <c r="A7348" s="388">
        <v>4.0529895154434685</v>
      </c>
      <c r="B7348" s="465">
        <v>2.4093333333333336E-3</v>
      </c>
      <c r="C7348" t="str">
        <f t="shared" si="114"/>
        <v/>
      </c>
    </row>
    <row r="7349" spans="1:3" x14ac:dyDescent="0.25">
      <c r="A7349" s="388">
        <v>0.16435250779257579</v>
      </c>
      <c r="B7349" s="465">
        <v>3.9333333333333337E-4</v>
      </c>
      <c r="C7349" t="str">
        <f t="shared" si="114"/>
        <v/>
      </c>
    </row>
    <row r="7350" spans="1:3" x14ac:dyDescent="0.25">
      <c r="A7350" s="388">
        <v>9.0960612071408334E-2</v>
      </c>
      <c r="B7350" s="465">
        <v>3.0266333333333331E-3</v>
      </c>
      <c r="C7350" t="str">
        <f t="shared" si="114"/>
        <v/>
      </c>
    </row>
    <row r="7351" spans="1:3" x14ac:dyDescent="0.25">
      <c r="A7351" s="388">
        <v>2.0969113063190707E-2</v>
      </c>
      <c r="B7351" s="465">
        <v>7.7005999999999993E-4</v>
      </c>
      <c r="C7351" t="str">
        <f t="shared" si="114"/>
        <v/>
      </c>
    </row>
    <row r="7352" spans="1:3" x14ac:dyDescent="0.25">
      <c r="A7352" s="388">
        <v>1.8135449135732503E-2</v>
      </c>
      <c r="B7352" s="465">
        <v>4.3459999999999999E-4</v>
      </c>
      <c r="C7352" t="str">
        <f t="shared" ref="C7352:C7414" si="115">IF(B7352=0,"XXXXXXXX","")</f>
        <v/>
      </c>
    </row>
    <row r="7353" spans="1:3" x14ac:dyDescent="0.25">
      <c r="A7353" s="388">
        <v>5.5539812978180787E-2</v>
      </c>
      <c r="B7353" s="465">
        <v>1.1386666666666667E-3</v>
      </c>
      <c r="C7353" t="str">
        <f t="shared" si="115"/>
        <v/>
      </c>
    </row>
    <row r="7354" spans="1:3" x14ac:dyDescent="0.25">
      <c r="A7354" s="388">
        <v>2.7769906489090394E-2</v>
      </c>
      <c r="B7354" s="465">
        <v>3.5840666666666671E-3</v>
      </c>
      <c r="C7354" t="str">
        <f t="shared" si="115"/>
        <v/>
      </c>
    </row>
    <row r="7355" spans="1:3" x14ac:dyDescent="0.25">
      <c r="A7355" s="388">
        <v>4.0238027769906488E-2</v>
      </c>
      <c r="B7355" s="465">
        <v>4.0479999999999992E-4</v>
      </c>
      <c r="C7355" t="str">
        <f t="shared" si="115"/>
        <v/>
      </c>
    </row>
    <row r="7356" spans="1:3" x14ac:dyDescent="0.25">
      <c r="A7356" s="388">
        <v>4.2788325304618874E-2</v>
      </c>
      <c r="B7356" s="465">
        <v>1.7640000000000003E-4</v>
      </c>
      <c r="C7356" t="str">
        <f t="shared" si="115"/>
        <v/>
      </c>
    </row>
    <row r="7357" spans="1:3" x14ac:dyDescent="0.25">
      <c r="A7357" s="388">
        <v>8.9101741060069877</v>
      </c>
      <c r="B7357" s="465">
        <v>2.9313599999999999E-2</v>
      </c>
      <c r="C7357" t="str">
        <f t="shared" si="115"/>
        <v/>
      </c>
    </row>
    <row r="7358" spans="1:3" x14ac:dyDescent="0.25">
      <c r="A7358" s="388">
        <v>12.751487673561916</v>
      </c>
      <c r="B7358" s="465">
        <v>3.6379333333333333E-2</v>
      </c>
      <c r="C7358" t="str">
        <f t="shared" si="115"/>
        <v/>
      </c>
    </row>
    <row r="7359" spans="1:3" x14ac:dyDescent="0.25">
      <c r="A7359" s="388">
        <v>12.184754888070275</v>
      </c>
      <c r="B7359" s="465">
        <v>4.1730133333333336E-2</v>
      </c>
      <c r="C7359" t="str">
        <f t="shared" si="115"/>
        <v/>
      </c>
    </row>
    <row r="7360" spans="1:3" x14ac:dyDescent="0.25">
      <c r="A7360" s="388">
        <v>18.843865117597055</v>
      </c>
      <c r="B7360" s="465">
        <v>4.1873733333333336E-2</v>
      </c>
      <c r="C7360" t="str">
        <f t="shared" si="115"/>
        <v/>
      </c>
    </row>
    <row r="7361" spans="1:3" x14ac:dyDescent="0.25">
      <c r="A7361" s="388">
        <v>14.735052422782658</v>
      </c>
      <c r="B7361" s="465">
        <v>0.14785266666666666</v>
      </c>
      <c r="C7361" t="str">
        <f t="shared" si="115"/>
        <v/>
      </c>
    </row>
    <row r="7362" spans="1:3" x14ac:dyDescent="0.25">
      <c r="A7362" s="388">
        <v>7.5092094077642395</v>
      </c>
      <c r="B7362" s="465">
        <v>2.3516755582750709E-2</v>
      </c>
      <c r="C7362" t="str">
        <f t="shared" si="115"/>
        <v/>
      </c>
    </row>
    <row r="7363" spans="1:3" x14ac:dyDescent="0.25">
      <c r="A7363" s="388">
        <v>1.586851799376594</v>
      </c>
      <c r="B7363" s="465">
        <v>4.3419999999999995E-3</v>
      </c>
      <c r="C7363" t="str">
        <f t="shared" si="115"/>
        <v/>
      </c>
    </row>
    <row r="7364" spans="1:3" x14ac:dyDescent="0.25">
      <c r="A7364" s="388">
        <v>5.6673278549164069E-2</v>
      </c>
      <c r="B7364" s="465">
        <v>2.844780335333333E-3</v>
      </c>
      <c r="C7364" t="str">
        <f t="shared" si="115"/>
        <v/>
      </c>
    </row>
    <row r="7365" spans="1:3" x14ac:dyDescent="0.25">
      <c r="A7365" s="388">
        <v>6.8007934258996885E-2</v>
      </c>
      <c r="B7365" s="465">
        <v>9.7975958400000002E-4</v>
      </c>
      <c r="C7365" t="str">
        <f t="shared" si="115"/>
        <v/>
      </c>
    </row>
    <row r="7366" spans="1:3" x14ac:dyDescent="0.25">
      <c r="A7366" s="388">
        <v>5.3839614621705861E-2</v>
      </c>
      <c r="B7366" s="465">
        <v>6.7131675199999996E-4</v>
      </c>
      <c r="C7366" t="str">
        <f t="shared" si="115"/>
        <v/>
      </c>
    </row>
    <row r="7367" spans="1:3" x14ac:dyDescent="0.25">
      <c r="A7367" s="388">
        <v>4.817228676678946E-2</v>
      </c>
      <c r="B7367" s="465">
        <v>4.3544870400000001E-4</v>
      </c>
      <c r="C7367" t="str">
        <f t="shared" si="115"/>
        <v/>
      </c>
    </row>
    <row r="7368" spans="1:3" x14ac:dyDescent="0.25">
      <c r="A7368" s="388">
        <v>4.2504958911873052E-2</v>
      </c>
      <c r="B7368" s="465">
        <v>1.0054631533333333E-3</v>
      </c>
      <c r="C7368" t="str">
        <f t="shared" si="115"/>
        <v/>
      </c>
    </row>
    <row r="7369" spans="1:3" x14ac:dyDescent="0.25">
      <c r="A7369" s="388">
        <v>3.9671294984414844E-2</v>
      </c>
      <c r="B7369" s="465">
        <v>1.143052848E-3</v>
      </c>
      <c r="C7369" t="str">
        <f t="shared" si="115"/>
        <v/>
      </c>
    </row>
    <row r="7370" spans="1:3" x14ac:dyDescent="0.25">
      <c r="A7370" s="388">
        <v>3.683763105695665E-2</v>
      </c>
      <c r="B7370" s="465">
        <v>7.9378670000000001E-4</v>
      </c>
      <c r="C7370" t="str">
        <f t="shared" si="115"/>
        <v/>
      </c>
    </row>
    <row r="7371" spans="1:3" x14ac:dyDescent="0.25">
      <c r="A7371" s="388">
        <v>3.683763105695665E-2</v>
      </c>
      <c r="B7371" s="465">
        <v>5.4884680400000012E-4</v>
      </c>
      <c r="C7371" t="str">
        <f t="shared" si="115"/>
        <v/>
      </c>
    </row>
    <row r="7372" spans="1:3" x14ac:dyDescent="0.25">
      <c r="A7372" s="388">
        <v>3.1170303202040242E-2</v>
      </c>
      <c r="B7372" s="465">
        <v>8.7089740800000003E-4</v>
      </c>
      <c r="C7372" t="str">
        <f t="shared" si="115"/>
        <v/>
      </c>
    </row>
    <row r="7373" spans="1:3" x14ac:dyDescent="0.25">
      <c r="A7373" s="388">
        <v>2.8336639274582034E-2</v>
      </c>
      <c r="B7373" s="465">
        <v>4.3544870400000001E-4</v>
      </c>
      <c r="C7373" t="str">
        <f t="shared" si="115"/>
        <v/>
      </c>
    </row>
    <row r="7374" spans="1:3" x14ac:dyDescent="0.25">
      <c r="A7374" s="388">
        <v>2.266931141966563E-2</v>
      </c>
      <c r="B7374" s="465">
        <v>5.9874196800000011E-4</v>
      </c>
      <c r="C7374" t="str">
        <f t="shared" si="115"/>
        <v/>
      </c>
    </row>
    <row r="7375" spans="1:3" x14ac:dyDescent="0.25">
      <c r="A7375" s="388">
        <v>2.5502975347123834E-2</v>
      </c>
      <c r="B7375" s="465">
        <v>8.4670581333333341E-4</v>
      </c>
      <c r="C7375" t="str">
        <f t="shared" si="115"/>
        <v/>
      </c>
    </row>
    <row r="7376" spans="1:3" x14ac:dyDescent="0.25">
      <c r="A7376" s="388">
        <v>2.9470104845565316E-2</v>
      </c>
      <c r="B7376" s="465">
        <v>2.1696836466666668E-3</v>
      </c>
      <c r="C7376" t="str">
        <f t="shared" si="115"/>
        <v/>
      </c>
    </row>
    <row r="7377" spans="1:3" x14ac:dyDescent="0.25">
      <c r="A7377" s="388">
        <v>2.7203173703598753E-2</v>
      </c>
      <c r="B7377" s="465">
        <v>4.2335290666666671E-4</v>
      </c>
      <c r="C7377" t="str">
        <f t="shared" si="115"/>
        <v/>
      </c>
    </row>
    <row r="7378" spans="1:3" x14ac:dyDescent="0.25">
      <c r="A7378" s="388">
        <v>2.8053272881836216E-2</v>
      </c>
      <c r="B7378" s="465">
        <v>1.42881606E-3</v>
      </c>
      <c r="C7378" t="str">
        <f t="shared" si="115"/>
        <v/>
      </c>
    </row>
    <row r="7379" spans="1:3" x14ac:dyDescent="0.25">
      <c r="A7379" s="388">
        <v>3.683763105695665E-2</v>
      </c>
      <c r="B7379" s="465">
        <v>1.90508808E-3</v>
      </c>
      <c r="C7379" t="str">
        <f t="shared" si="115"/>
        <v/>
      </c>
    </row>
    <row r="7380" spans="1:3" x14ac:dyDescent="0.25">
      <c r="A7380" s="388">
        <v>0.291867384528195</v>
      </c>
      <c r="B7380" s="465">
        <v>3.779936666666667E-3</v>
      </c>
      <c r="C7380" t="str">
        <f t="shared" si="115"/>
        <v/>
      </c>
    </row>
    <row r="7381" spans="1:3" x14ac:dyDescent="0.25">
      <c r="A7381" s="388">
        <v>1.5103428733352224</v>
      </c>
      <c r="B7381" s="465">
        <v>3.3205987629333342E-2</v>
      </c>
      <c r="C7381" t="str">
        <f t="shared" si="115"/>
        <v/>
      </c>
    </row>
    <row r="7382" spans="1:3" x14ac:dyDescent="0.25">
      <c r="A7382" s="388">
        <v>1.252479455936526</v>
      </c>
      <c r="B7382" s="465">
        <v>1.8013666178666666E-2</v>
      </c>
      <c r="C7382" t="str">
        <f t="shared" si="115"/>
        <v/>
      </c>
    </row>
    <row r="7383" spans="1:3" x14ac:dyDescent="0.25">
      <c r="A7383" s="388">
        <v>1.4621705865684331</v>
      </c>
      <c r="B7383" s="465">
        <v>9.4226261226666667E-3</v>
      </c>
      <c r="C7383" t="str">
        <f t="shared" si="115"/>
        <v/>
      </c>
    </row>
    <row r="7384" spans="1:3" x14ac:dyDescent="0.25">
      <c r="A7384" s="388">
        <v>1.1306319070558231</v>
      </c>
      <c r="B7384" s="465">
        <v>3.2672260571999998E-2</v>
      </c>
      <c r="C7384" t="str">
        <f t="shared" si="115"/>
        <v/>
      </c>
    </row>
    <row r="7385" spans="1:3" x14ac:dyDescent="0.25">
      <c r="A7385" s="388">
        <v>0.73391895721167466</v>
      </c>
      <c r="B7385" s="465">
        <v>1.0084871026666668E-2</v>
      </c>
      <c r="C7385" t="str">
        <f t="shared" si="115"/>
        <v/>
      </c>
    </row>
    <row r="7386" spans="1:3" x14ac:dyDescent="0.25">
      <c r="A7386" s="388">
        <v>0.93510909606120718</v>
      </c>
      <c r="B7386" s="465">
        <v>1.5544611547999999E-2</v>
      </c>
      <c r="C7386" t="str">
        <f t="shared" si="115"/>
        <v/>
      </c>
    </row>
    <row r="7387" spans="1:3" x14ac:dyDescent="0.25">
      <c r="A7387" s="388">
        <v>1.1334655709832815</v>
      </c>
      <c r="B7387" s="465">
        <v>3.6287392000000007E-3</v>
      </c>
      <c r="C7387" t="str">
        <f t="shared" si="115"/>
        <v/>
      </c>
    </row>
    <row r="7388" spans="1:3" x14ac:dyDescent="0.25">
      <c r="A7388" s="388">
        <v>1.0399546613771609</v>
      </c>
      <c r="B7388" s="465">
        <v>3.6287392000000007E-3</v>
      </c>
      <c r="C7388" t="str">
        <f t="shared" si="115"/>
        <v/>
      </c>
    </row>
    <row r="7389" spans="1:3" x14ac:dyDescent="0.25">
      <c r="A7389" s="388">
        <v>1.1306319070558231</v>
      </c>
      <c r="B7389" s="465">
        <v>3.4019430000000002E-3</v>
      </c>
      <c r="C7389" t="str">
        <f t="shared" si="115"/>
        <v/>
      </c>
    </row>
    <row r="7390" spans="1:3" x14ac:dyDescent="0.25">
      <c r="A7390" s="388">
        <v>0.73108529328421656</v>
      </c>
      <c r="B7390" s="465">
        <v>1.5875734E-3</v>
      </c>
      <c r="C7390" t="str">
        <f t="shared" si="115"/>
        <v/>
      </c>
    </row>
    <row r="7391" spans="1:3" x14ac:dyDescent="0.25">
      <c r="A7391" s="388">
        <v>0.62057240011334658</v>
      </c>
      <c r="B7391" s="465">
        <v>1.0594406489333337E-2</v>
      </c>
      <c r="C7391" t="str">
        <f t="shared" si="115"/>
        <v/>
      </c>
    </row>
    <row r="7392" spans="1:3" x14ac:dyDescent="0.25">
      <c r="A7392" s="388">
        <v>0.68858033437234345</v>
      </c>
      <c r="B7392" s="465">
        <v>4.7566723013333341E-3</v>
      </c>
      <c r="C7392" t="str">
        <f t="shared" si="115"/>
        <v/>
      </c>
    </row>
    <row r="7393" spans="1:3" x14ac:dyDescent="0.25">
      <c r="A7393" s="388">
        <v>0.60073675262113913</v>
      </c>
      <c r="B7393" s="465">
        <v>1.9731269399999997E-3</v>
      </c>
      <c r="C7393" t="str">
        <f t="shared" si="115"/>
        <v/>
      </c>
    </row>
    <row r="7394" spans="1:3" x14ac:dyDescent="0.25">
      <c r="A7394" s="388">
        <v>0.37687730235194111</v>
      </c>
      <c r="B7394" s="465">
        <v>4.5208042533333341E-3</v>
      </c>
      <c r="C7394" t="str">
        <f t="shared" si="115"/>
        <v/>
      </c>
    </row>
    <row r="7395" spans="1:3" x14ac:dyDescent="0.25">
      <c r="A7395" s="388">
        <v>0.18418815528478322</v>
      </c>
      <c r="B7395" s="465">
        <v>3.6287392E-4</v>
      </c>
      <c r="C7395" t="str">
        <f t="shared" si="115"/>
        <v/>
      </c>
    </row>
    <row r="7396" spans="1:3" x14ac:dyDescent="0.25">
      <c r="A7396" s="388">
        <v>0.25219608954378014</v>
      </c>
      <c r="B7396" s="465">
        <v>7.6203523200000004E-4</v>
      </c>
      <c r="C7396" t="str">
        <f t="shared" si="115"/>
        <v/>
      </c>
    </row>
    <row r="7397" spans="1:3" x14ac:dyDescent="0.25">
      <c r="A7397" s="388">
        <v>0.43638424482856336</v>
      </c>
      <c r="B7397" s="465">
        <v>1.1007175573333335E-3</v>
      </c>
      <c r="C7397" t="str">
        <f t="shared" si="115"/>
        <v/>
      </c>
    </row>
    <row r="7398" spans="1:3" x14ac:dyDescent="0.25">
      <c r="A7398" s="388">
        <v>1.2298101445168603</v>
      </c>
      <c r="B7398" s="465">
        <v>1.9875209388266667E-2</v>
      </c>
      <c r="C7398" t="str">
        <f t="shared" si="115"/>
        <v/>
      </c>
    </row>
    <row r="7399" spans="1:3" x14ac:dyDescent="0.25">
      <c r="A7399" s="388">
        <v>1.2411448002266932</v>
      </c>
      <c r="B7399" s="465">
        <v>1.1959719613333334E-2</v>
      </c>
      <c r="C7399" t="str">
        <f t="shared" si="115"/>
        <v/>
      </c>
    </row>
    <row r="7400" spans="1:3" x14ac:dyDescent="0.25">
      <c r="A7400" s="388">
        <v>1.2128081609521111</v>
      </c>
      <c r="B7400" s="465">
        <v>7.8592443173333346E-3</v>
      </c>
      <c r="C7400" t="str">
        <f t="shared" si="115"/>
        <v/>
      </c>
    </row>
    <row r="7401" spans="1:3" x14ac:dyDescent="0.25">
      <c r="A7401" s="388">
        <v>0.96344573533578914</v>
      </c>
      <c r="B7401" s="465">
        <v>9.706877359999998E-4</v>
      </c>
      <c r="C7401" t="str">
        <f t="shared" si="115"/>
        <v/>
      </c>
    </row>
    <row r="7402" spans="1:3" x14ac:dyDescent="0.25">
      <c r="A7402" s="388">
        <v>0.7905922357608387</v>
      </c>
      <c r="B7402" s="465">
        <v>1.4103699690666667E-2</v>
      </c>
      <c r="C7402" t="str">
        <f t="shared" si="115"/>
        <v/>
      </c>
    </row>
    <row r="7403" spans="1:3" x14ac:dyDescent="0.25">
      <c r="A7403" s="388">
        <v>1.4536695947860583</v>
      </c>
      <c r="B7403" s="465">
        <v>3.3266466615999996E-2</v>
      </c>
      <c r="C7403" t="str">
        <f t="shared" si="115"/>
        <v/>
      </c>
    </row>
    <row r="7404" spans="1:3" x14ac:dyDescent="0.25">
      <c r="A7404" s="388">
        <v>1.3941626523094361</v>
      </c>
      <c r="B7404" s="465">
        <v>4.7415525546666672E-3</v>
      </c>
      <c r="C7404" t="str">
        <f t="shared" si="115"/>
        <v/>
      </c>
    </row>
    <row r="7405" spans="1:3" x14ac:dyDescent="0.25">
      <c r="A7405" s="388">
        <v>1.4820062340606404</v>
      </c>
      <c r="B7405" s="465">
        <v>1.0837834410666668E-2</v>
      </c>
      <c r="C7405" t="str">
        <f t="shared" si="115"/>
        <v/>
      </c>
    </row>
    <row r="7406" spans="1:3" x14ac:dyDescent="0.25">
      <c r="A7406" s="388">
        <v>1.4026636440918108</v>
      </c>
      <c r="B7406" s="465">
        <v>4.3953103559999998E-2</v>
      </c>
      <c r="C7406" t="str">
        <f t="shared" si="115"/>
        <v/>
      </c>
    </row>
    <row r="7407" spans="1:3" x14ac:dyDescent="0.25">
      <c r="A7407" s="388">
        <v>1.5358458486823463</v>
      </c>
      <c r="B7407" s="465">
        <v>1.0698732741333331E-2</v>
      </c>
      <c r="C7407" t="str">
        <f t="shared" si="115"/>
        <v/>
      </c>
    </row>
    <row r="7408" spans="1:3" x14ac:dyDescent="0.25">
      <c r="A7408" s="388">
        <v>1.657693397563049</v>
      </c>
      <c r="B7408" s="465">
        <v>5.1301300439999982E-3</v>
      </c>
      <c r="C7408" t="str">
        <f t="shared" si="115"/>
        <v/>
      </c>
    </row>
    <row r="7409" spans="1:3" x14ac:dyDescent="0.25">
      <c r="A7409" s="388">
        <v>1.405497308019269</v>
      </c>
      <c r="B7409" s="465">
        <v>3.0481409279999997E-3</v>
      </c>
      <c r="C7409" t="str">
        <f t="shared" si="115"/>
        <v/>
      </c>
    </row>
    <row r="7410" spans="1:3" x14ac:dyDescent="0.25">
      <c r="A7410" s="388">
        <v>2.184754888070275</v>
      </c>
      <c r="B7410" s="465">
        <v>1.0615574134666666E-2</v>
      </c>
      <c r="C7410" t="str">
        <f t="shared" si="115"/>
        <v/>
      </c>
    </row>
    <row r="7411" spans="1:3" x14ac:dyDescent="0.25">
      <c r="A7411" s="388">
        <v>1.0824596202890338</v>
      </c>
      <c r="B7411" s="465">
        <v>3.3638412384000005E-2</v>
      </c>
      <c r="C7411" t="str">
        <f t="shared" si="115"/>
        <v/>
      </c>
    </row>
    <row r="7412" spans="1:3" x14ac:dyDescent="0.25">
      <c r="A7412" s="388">
        <v>1.0824596202890338</v>
      </c>
      <c r="B7412" s="465">
        <v>2.8346501050666668E-2</v>
      </c>
      <c r="C7412" t="str">
        <f t="shared" si="115"/>
        <v/>
      </c>
    </row>
    <row r="7413" spans="1:3" x14ac:dyDescent="0.25">
      <c r="A7413" s="388">
        <v>0.88126948143950135</v>
      </c>
      <c r="B7413" s="465">
        <v>3.49266148E-3</v>
      </c>
      <c r="C7413" t="str">
        <f t="shared" si="115"/>
        <v/>
      </c>
    </row>
    <row r="7414" spans="1:3" x14ac:dyDescent="0.25">
      <c r="A7414" s="388">
        <v>0.95494474355341463</v>
      </c>
      <c r="B7414" s="465">
        <v>1.3063461120000001E-3</v>
      </c>
      <c r="C7414" t="str">
        <f t="shared" si="115"/>
        <v/>
      </c>
    </row>
    <row r="7415" spans="1:3" x14ac:dyDescent="0.25">
      <c r="A7415" s="388">
        <v>1.3261547180504392</v>
      </c>
      <c r="B7415" s="465">
        <v>7.4162357400000007E-3</v>
      </c>
      <c r="C7415" t="str">
        <f t="shared" ref="C7415:C7478" si="116">IF(B7415=0,"XXXXXXXX","")</f>
        <v/>
      </c>
    </row>
    <row r="7416" spans="1:3" x14ac:dyDescent="0.25">
      <c r="A7416" s="388">
        <v>0.13233210541229809</v>
      </c>
      <c r="B7416" s="465">
        <v>5.3977495600000007E-3</v>
      </c>
      <c r="C7416" t="str">
        <f t="shared" si="116"/>
        <v/>
      </c>
    </row>
    <row r="7417" spans="1:3" x14ac:dyDescent="0.25">
      <c r="A7417" s="388">
        <v>0.32728818362142253</v>
      </c>
      <c r="B7417" s="465">
        <v>1.1943995076800001E-2</v>
      </c>
      <c r="C7417" t="str">
        <f t="shared" si="116"/>
        <v/>
      </c>
    </row>
    <row r="7418" spans="1:3" x14ac:dyDescent="0.25">
      <c r="A7418" s="388">
        <v>0.49192405780674414</v>
      </c>
      <c r="B7418" s="465">
        <v>9.6766378666666673E-3</v>
      </c>
      <c r="C7418" t="str">
        <f t="shared" si="116"/>
        <v/>
      </c>
    </row>
    <row r="7419" spans="1:3" x14ac:dyDescent="0.25">
      <c r="A7419" s="388">
        <v>0.61207140833097196</v>
      </c>
      <c r="B7419" s="465">
        <v>1.6841885811999996E-2</v>
      </c>
      <c r="C7419" t="str">
        <f t="shared" si="116"/>
        <v/>
      </c>
    </row>
    <row r="7420" spans="1:3" x14ac:dyDescent="0.25">
      <c r="A7420" s="388">
        <v>0.33295551147633889</v>
      </c>
      <c r="B7420" s="465">
        <v>8.5305610693333332E-3</v>
      </c>
      <c r="C7420" t="str">
        <f t="shared" si="116"/>
        <v/>
      </c>
    </row>
    <row r="7421" spans="1:3" x14ac:dyDescent="0.25">
      <c r="A7421" s="388">
        <v>0.29045055256446584</v>
      </c>
      <c r="B7421" s="465">
        <v>2.3178571639999998E-3</v>
      </c>
      <c r="C7421" t="str">
        <f t="shared" si="116"/>
        <v/>
      </c>
    </row>
    <row r="7422" spans="1:3" x14ac:dyDescent="0.25">
      <c r="A7422" s="388">
        <v>0.22640974780391046</v>
      </c>
      <c r="B7422" s="465">
        <v>4.5177803039999995E-3</v>
      </c>
      <c r="C7422" t="str">
        <f t="shared" si="116"/>
        <v/>
      </c>
    </row>
    <row r="7423" spans="1:3" x14ac:dyDescent="0.25">
      <c r="A7423" s="388">
        <v>0.20969113063190706</v>
      </c>
      <c r="B7423" s="465">
        <v>4.2335290666666667E-3</v>
      </c>
      <c r="C7423" t="str">
        <f t="shared" si="116"/>
        <v/>
      </c>
    </row>
    <row r="7424" spans="1:3" x14ac:dyDescent="0.25">
      <c r="A7424" s="388">
        <v>0.16293567582884672</v>
      </c>
      <c r="B7424" s="465">
        <v>3.53802072E-3</v>
      </c>
      <c r="C7424" t="str">
        <f t="shared" si="116"/>
        <v/>
      </c>
    </row>
    <row r="7425" spans="1:3" x14ac:dyDescent="0.25">
      <c r="A7425" s="388">
        <v>0.1711533012184755</v>
      </c>
      <c r="B7425" s="465">
        <v>4.4195019506666653E-3</v>
      </c>
      <c r="C7425" t="str">
        <f t="shared" si="116"/>
        <v/>
      </c>
    </row>
    <row r="7426" spans="1:3" x14ac:dyDescent="0.25">
      <c r="A7426" s="388">
        <v>0.12893170869934825</v>
      </c>
      <c r="B7426" s="465">
        <v>1.2519150239999998E-3</v>
      </c>
      <c r="C7426" t="str">
        <f t="shared" si="116"/>
        <v/>
      </c>
    </row>
    <row r="7427" spans="1:3" x14ac:dyDescent="0.25">
      <c r="A7427" s="388">
        <v>6.9991499008217634E-2</v>
      </c>
      <c r="B7427" s="465">
        <v>1.5482620586666669E-3</v>
      </c>
      <c r="C7427" t="str">
        <f t="shared" si="116"/>
        <v/>
      </c>
    </row>
    <row r="7428" spans="1:3" x14ac:dyDescent="0.25">
      <c r="A7428" s="388">
        <v>0.19750637574383678</v>
      </c>
      <c r="B7428" s="465">
        <v>3.2126437717333339E-2</v>
      </c>
      <c r="C7428" t="str">
        <f t="shared" si="116"/>
        <v/>
      </c>
    </row>
    <row r="7429" spans="1:3" x14ac:dyDescent="0.25">
      <c r="A7429" s="388">
        <v>0.3145366959478606</v>
      </c>
      <c r="B7429" s="465">
        <v>0.29755661439999992</v>
      </c>
      <c r="C7429" t="str">
        <f t="shared" si="116"/>
        <v/>
      </c>
    </row>
    <row r="7430" spans="1:3" x14ac:dyDescent="0.25">
      <c r="A7430" s="388">
        <v>5.1005950694247668E-2</v>
      </c>
      <c r="B7430" s="465">
        <v>1.5029028186666665E-3</v>
      </c>
      <c r="C7430" t="str">
        <f t="shared" si="116"/>
        <v/>
      </c>
    </row>
    <row r="7431" spans="1:3" x14ac:dyDescent="0.25">
      <c r="A7431" s="388">
        <v>0.37971096627939926</v>
      </c>
      <c r="B7431" s="465">
        <v>4.7627202000000007E-3</v>
      </c>
      <c r="C7431" t="str">
        <f t="shared" si="116"/>
        <v/>
      </c>
    </row>
    <row r="7432" spans="1:3" x14ac:dyDescent="0.25">
      <c r="A7432" s="388">
        <v>0.35137432700481724</v>
      </c>
      <c r="B7432" s="465">
        <v>7.4389153599999994E-3</v>
      </c>
      <c r="C7432" t="str">
        <f t="shared" si="116"/>
        <v/>
      </c>
    </row>
    <row r="7433" spans="1:3" x14ac:dyDescent="0.25">
      <c r="A7433" s="388">
        <v>0.31170303202040239</v>
      </c>
      <c r="B7433" s="465">
        <v>2.1772435200000002E-3</v>
      </c>
      <c r="C7433" t="str">
        <f t="shared" si="116"/>
        <v/>
      </c>
    </row>
    <row r="7434" spans="1:3" x14ac:dyDescent="0.25">
      <c r="A7434" s="388">
        <v>0.69424766222725987</v>
      </c>
      <c r="B7434" s="465">
        <v>1.2139644598666663E-2</v>
      </c>
      <c r="C7434" t="str">
        <f t="shared" si="116"/>
        <v/>
      </c>
    </row>
    <row r="7435" spans="1:3" x14ac:dyDescent="0.25">
      <c r="A7435" s="388">
        <v>1.3884953244545197</v>
      </c>
      <c r="B7435" s="465">
        <v>2.4602851775999999E-2</v>
      </c>
      <c r="C7435" t="str">
        <f t="shared" si="116"/>
        <v/>
      </c>
    </row>
    <row r="7436" spans="1:3" x14ac:dyDescent="0.25">
      <c r="A7436" s="388">
        <v>1.6520260697081326</v>
      </c>
      <c r="B7436" s="465">
        <v>1.4478669408E-2</v>
      </c>
      <c r="C7436" t="str">
        <f t="shared" si="116"/>
        <v/>
      </c>
    </row>
    <row r="7437" spans="1:3" x14ac:dyDescent="0.25">
      <c r="A7437" s="388">
        <v>2.0515726834797396</v>
      </c>
      <c r="B7437" s="465">
        <v>1.9391075099999999E-2</v>
      </c>
      <c r="C7437" t="str">
        <f t="shared" si="116"/>
        <v/>
      </c>
    </row>
    <row r="7438" spans="1:3" x14ac:dyDescent="0.25">
      <c r="A7438" s="388">
        <v>2.2527628223292719</v>
      </c>
      <c r="B7438" s="465">
        <v>2.004878408E-2</v>
      </c>
      <c r="C7438" t="str">
        <f t="shared" si="116"/>
        <v/>
      </c>
    </row>
    <row r="7439" spans="1:3" x14ac:dyDescent="0.25">
      <c r="A7439" s="388">
        <v>1.8135449135732502</v>
      </c>
      <c r="B7439" s="465">
        <v>9.1035994680000003E-3</v>
      </c>
      <c r="C7439" t="str">
        <f t="shared" si="116"/>
        <v/>
      </c>
    </row>
    <row r="7440" spans="1:3" x14ac:dyDescent="0.25">
      <c r="A7440" s="388">
        <v>1.7710399546613773</v>
      </c>
      <c r="B7440" s="465">
        <v>5.7318959613333323E-3</v>
      </c>
      <c r="C7440" t="str">
        <f t="shared" si="116"/>
        <v/>
      </c>
    </row>
    <row r="7441" spans="1:3" x14ac:dyDescent="0.25">
      <c r="A7441" s="388">
        <v>1.3856616605270615</v>
      </c>
      <c r="B7441" s="465">
        <v>2.3496086320000001E-3</v>
      </c>
      <c r="C7441" t="str">
        <f t="shared" si="116"/>
        <v/>
      </c>
    </row>
    <row r="7442" spans="1:3" x14ac:dyDescent="0.25">
      <c r="A7442" s="388">
        <v>1.2779824312836499</v>
      </c>
      <c r="B7442" s="465">
        <v>4.3045918759999999E-3</v>
      </c>
      <c r="C7442" t="str">
        <f t="shared" si="116"/>
        <v/>
      </c>
    </row>
    <row r="7443" spans="1:3" x14ac:dyDescent="0.25">
      <c r="A7443" s="388">
        <v>1.3289883819778974</v>
      </c>
      <c r="B7443" s="465">
        <v>1.6556122599999997E-3</v>
      </c>
      <c r="C7443" t="str">
        <f t="shared" si="116"/>
        <v/>
      </c>
    </row>
    <row r="7444" spans="1:3" x14ac:dyDescent="0.25">
      <c r="A7444" s="388">
        <v>1.255313119863984</v>
      </c>
      <c r="B7444" s="465">
        <v>2.9801020679999994E-3</v>
      </c>
      <c r="C7444" t="str">
        <f t="shared" si="116"/>
        <v/>
      </c>
    </row>
    <row r="7445" spans="1:3" x14ac:dyDescent="0.25">
      <c r="A7445" s="388">
        <v>0.87560215358458482</v>
      </c>
      <c r="B7445" s="465">
        <v>2.7814285967999997E-2</v>
      </c>
      <c r="C7445" t="str">
        <f t="shared" si="116"/>
        <v/>
      </c>
    </row>
    <row r="7446" spans="1:3" x14ac:dyDescent="0.25">
      <c r="A7446" s="388">
        <v>0.65741003117030317</v>
      </c>
      <c r="B7446" s="465">
        <v>7.3179573866666674E-3</v>
      </c>
      <c r="C7446" t="str">
        <f t="shared" si="116"/>
        <v/>
      </c>
    </row>
    <row r="7447" spans="1:3" x14ac:dyDescent="0.25">
      <c r="A7447" s="388">
        <v>0.46188722017568717</v>
      </c>
      <c r="B7447" s="465">
        <v>1.7389220641333334E-2</v>
      </c>
      <c r="C7447" t="str">
        <f t="shared" si="116"/>
        <v/>
      </c>
    </row>
    <row r="7448" spans="1:3" x14ac:dyDescent="0.25">
      <c r="A7448" s="388">
        <v>0.47888920374043636</v>
      </c>
      <c r="B7448" s="465">
        <v>1.959519168E-3</v>
      </c>
      <c r="C7448" t="str">
        <f t="shared" si="116"/>
        <v/>
      </c>
    </row>
    <row r="7449" spans="1:3" x14ac:dyDescent="0.25">
      <c r="A7449" s="388">
        <v>0.57523377727401537</v>
      </c>
      <c r="B7449" s="465">
        <v>2.9856963742666668E-2</v>
      </c>
      <c r="C7449" t="str">
        <f t="shared" si="116"/>
        <v/>
      </c>
    </row>
    <row r="7450" spans="1:3" x14ac:dyDescent="0.25">
      <c r="A7450" s="388">
        <v>0.48739019552281099</v>
      </c>
      <c r="B7450" s="465">
        <v>7.8380766720000002E-3</v>
      </c>
      <c r="C7450" t="str">
        <f t="shared" si="116"/>
        <v/>
      </c>
    </row>
    <row r="7451" spans="1:3" x14ac:dyDescent="0.25">
      <c r="A7451" s="388">
        <v>1.4508359308586003</v>
      </c>
      <c r="B7451" s="465">
        <v>1.6631721333333335E-2</v>
      </c>
      <c r="C7451" t="str">
        <f t="shared" si="116"/>
        <v/>
      </c>
    </row>
    <row r="7452" spans="1:3" x14ac:dyDescent="0.25">
      <c r="A7452" s="388">
        <v>0.74241994899404928</v>
      </c>
      <c r="B7452" s="465">
        <v>2.6489796160000002E-3</v>
      </c>
      <c r="C7452" t="str">
        <f t="shared" si="116"/>
        <v/>
      </c>
    </row>
    <row r="7453" spans="1:3" x14ac:dyDescent="0.25">
      <c r="A7453" s="388">
        <v>0.40153017852082745</v>
      </c>
      <c r="B7453" s="465">
        <v>3.2356257866666656E-3</v>
      </c>
      <c r="C7453" t="str">
        <f t="shared" si="116"/>
        <v/>
      </c>
    </row>
    <row r="7454" spans="1:3" x14ac:dyDescent="0.25">
      <c r="A7454" s="388">
        <v>0.92717483706432413</v>
      </c>
      <c r="B7454" s="465">
        <v>6.6224490400000006E-4</v>
      </c>
      <c r="C7454" t="str">
        <f t="shared" si="116"/>
        <v/>
      </c>
    </row>
    <row r="7455" spans="1:3" x14ac:dyDescent="0.25">
      <c r="A7455" s="388">
        <v>2.1569849815811848</v>
      </c>
      <c r="B7455" s="465">
        <v>4.2241548237333323E-2</v>
      </c>
      <c r="C7455" t="str">
        <f t="shared" si="116"/>
        <v/>
      </c>
    </row>
    <row r="7456" spans="1:3" x14ac:dyDescent="0.25">
      <c r="A7456" s="388">
        <v>1.8175120430716918</v>
      </c>
      <c r="B7456" s="465">
        <v>1.3789208959999999E-2</v>
      </c>
      <c r="C7456" t="str">
        <f t="shared" si="116"/>
        <v/>
      </c>
    </row>
    <row r="7457" spans="1:3" x14ac:dyDescent="0.25">
      <c r="A7457" s="388">
        <v>1.4190988948710683</v>
      </c>
      <c r="B7457" s="465">
        <v>1.2301425887999999E-2</v>
      </c>
      <c r="C7457" t="str">
        <f t="shared" si="116"/>
        <v/>
      </c>
    </row>
    <row r="7458" spans="1:3" x14ac:dyDescent="0.25">
      <c r="A7458" s="388">
        <v>2.5233777274015301</v>
      </c>
      <c r="B7458" s="465">
        <v>4.1149902528000007E-2</v>
      </c>
      <c r="C7458" t="str">
        <f t="shared" si="116"/>
        <v/>
      </c>
    </row>
    <row r="7459" spans="1:3" x14ac:dyDescent="0.25">
      <c r="A7459" s="388">
        <v>2.6871635024086142</v>
      </c>
      <c r="B7459" s="465">
        <v>3.3399520386666666E-2</v>
      </c>
      <c r="C7459" t="str">
        <f t="shared" si="116"/>
        <v/>
      </c>
    </row>
    <row r="7460" spans="1:3" x14ac:dyDescent="0.25">
      <c r="A7460" s="388">
        <v>2.3955794842731652</v>
      </c>
      <c r="B7460" s="465">
        <v>4.1391818474666657E-2</v>
      </c>
      <c r="C7460" t="str">
        <f t="shared" si="116"/>
        <v/>
      </c>
    </row>
    <row r="7461" spans="1:3" x14ac:dyDescent="0.25">
      <c r="A7461" s="388">
        <v>1.0937942759988666</v>
      </c>
      <c r="B7461" s="465">
        <v>7.5508014853333345E-3</v>
      </c>
      <c r="C7461" t="str">
        <f t="shared" si="116"/>
        <v/>
      </c>
    </row>
    <row r="7462" spans="1:3" x14ac:dyDescent="0.25">
      <c r="A7462" s="388">
        <v>1.2983848115613488</v>
      </c>
      <c r="B7462" s="465">
        <v>1.4351663536E-2</v>
      </c>
      <c r="C7462" t="str">
        <f t="shared" si="116"/>
        <v/>
      </c>
    </row>
    <row r="7463" spans="1:3" x14ac:dyDescent="0.25">
      <c r="A7463" s="388">
        <v>1.3431567016151884</v>
      </c>
      <c r="B7463" s="465">
        <v>2.0502376480000001E-2</v>
      </c>
      <c r="C7463" t="str">
        <f t="shared" si="116"/>
        <v/>
      </c>
    </row>
    <row r="7464" spans="1:3" x14ac:dyDescent="0.25">
      <c r="A7464" s="388">
        <v>1.3802776990648911</v>
      </c>
      <c r="B7464" s="465">
        <v>3.3094101503999995E-2</v>
      </c>
      <c r="C7464" t="str">
        <f t="shared" si="116"/>
        <v/>
      </c>
    </row>
    <row r="7465" spans="1:3" x14ac:dyDescent="0.25">
      <c r="A7465" s="388">
        <v>9.2660810427883253E-2</v>
      </c>
      <c r="B7465" s="465">
        <v>1.4031124906666668E-4</v>
      </c>
      <c r="C7465" t="str">
        <f t="shared" si="116"/>
        <v/>
      </c>
    </row>
    <row r="7466" spans="1:3" x14ac:dyDescent="0.25">
      <c r="A7466" s="388">
        <v>0.41569849815811843</v>
      </c>
      <c r="B7466" s="465">
        <v>9.7159492079999989E-3</v>
      </c>
      <c r="C7466" t="str">
        <f t="shared" si="116"/>
        <v/>
      </c>
    </row>
    <row r="7467" spans="1:3" x14ac:dyDescent="0.25">
      <c r="A7467" s="388">
        <v>1.1569849815811843</v>
      </c>
      <c r="B7467" s="465">
        <v>9.7975958399999993E-3</v>
      </c>
      <c r="C7467" t="str">
        <f t="shared" si="116"/>
        <v/>
      </c>
    </row>
    <row r="7468" spans="1:3" x14ac:dyDescent="0.25">
      <c r="A7468" s="388">
        <v>0.77018985548313967</v>
      </c>
      <c r="B7468" s="465">
        <v>4.0823315999999991E-3</v>
      </c>
      <c r="C7468" t="str">
        <f t="shared" si="116"/>
        <v/>
      </c>
    </row>
    <row r="7469" spans="1:3" x14ac:dyDescent="0.25">
      <c r="A7469" s="388">
        <v>0.60810427883253049</v>
      </c>
      <c r="B7469" s="465">
        <v>4.2909841040000007E-3</v>
      </c>
      <c r="C7469" t="str">
        <f t="shared" si="116"/>
        <v/>
      </c>
    </row>
    <row r="7470" spans="1:3" x14ac:dyDescent="0.25">
      <c r="A7470" s="388">
        <v>1.0784924907905924</v>
      </c>
      <c r="B7470" s="465">
        <v>1.6208368426666668E-3</v>
      </c>
      <c r="C7470" t="str">
        <f t="shared" si="116"/>
        <v/>
      </c>
    </row>
    <row r="7471" spans="1:3" x14ac:dyDescent="0.25">
      <c r="A7471" s="388">
        <v>1.0518560498724852</v>
      </c>
      <c r="B7471" s="465">
        <v>5.1890970560000008E-3</v>
      </c>
      <c r="C7471" t="str">
        <f t="shared" si="116"/>
        <v/>
      </c>
    </row>
    <row r="7472" spans="1:3" x14ac:dyDescent="0.25">
      <c r="A7472" s="388">
        <v>1.2431283649759137</v>
      </c>
      <c r="B7472" s="465">
        <v>6.0327789200000006E-3</v>
      </c>
      <c r="C7472" t="str">
        <f t="shared" si="116"/>
        <v/>
      </c>
    </row>
    <row r="7473" spans="1:3" x14ac:dyDescent="0.25">
      <c r="A7473" s="388">
        <v>0.55681496174553691</v>
      </c>
      <c r="B7473" s="465">
        <v>1.8234414479999998E-3</v>
      </c>
      <c r="C7473" t="str">
        <f t="shared" si="116"/>
        <v/>
      </c>
    </row>
    <row r="7474" spans="1:3" x14ac:dyDescent="0.25">
      <c r="A7474" s="388">
        <v>1.3754604703882121</v>
      </c>
      <c r="B7474" s="465">
        <v>2.0819891159999996E-2</v>
      </c>
      <c r="C7474" t="str">
        <f t="shared" si="116"/>
        <v/>
      </c>
    </row>
    <row r="7475" spans="1:3" x14ac:dyDescent="0.25">
      <c r="A7475" s="388">
        <v>1.0527061490507226</v>
      </c>
      <c r="B7475" s="465">
        <v>1.5966452479999999E-3</v>
      </c>
      <c r="C7475" t="str">
        <f t="shared" si="116"/>
        <v/>
      </c>
    </row>
    <row r="7476" spans="1:3" x14ac:dyDescent="0.25">
      <c r="A7476" s="388">
        <v>0.69368092944176829</v>
      </c>
      <c r="B7476" s="465">
        <v>1.5966452479999997E-2</v>
      </c>
      <c r="C7476" t="str">
        <f t="shared" si="116"/>
        <v/>
      </c>
    </row>
    <row r="7477" spans="1:3" x14ac:dyDescent="0.25">
      <c r="A7477" s="388">
        <v>0.36469254746387075</v>
      </c>
      <c r="B7477" s="465">
        <v>2.1590998239999996E-3</v>
      </c>
      <c r="C7477" t="str">
        <f t="shared" si="116"/>
        <v/>
      </c>
    </row>
    <row r="7478" spans="1:3" x14ac:dyDescent="0.25">
      <c r="A7478" s="388">
        <v>0.65372626806460754</v>
      </c>
      <c r="B7478" s="465">
        <v>3.0916857983999995E-2</v>
      </c>
      <c r="C7478" t="str">
        <f t="shared" si="116"/>
        <v/>
      </c>
    </row>
    <row r="7479" spans="1:3" x14ac:dyDescent="0.25">
      <c r="A7479" s="388">
        <v>0.85349957495041096</v>
      </c>
      <c r="B7479" s="465">
        <v>2.3700202900000005E-2</v>
      </c>
      <c r="C7479" t="str">
        <f t="shared" ref="C7479:C7542" si="117">IF(B7479=0,"XXXXXXXX","")</f>
        <v/>
      </c>
    </row>
    <row r="7480" spans="1:3" x14ac:dyDescent="0.25">
      <c r="A7480" s="388">
        <v>0.87928591669028056</v>
      </c>
      <c r="B7480" s="465">
        <v>1.1539390656000001E-2</v>
      </c>
      <c r="C7480" t="str">
        <f t="shared" si="117"/>
        <v/>
      </c>
    </row>
    <row r="7481" spans="1:3" x14ac:dyDescent="0.25">
      <c r="A7481" s="388">
        <v>1.126381411164636</v>
      </c>
      <c r="B7481" s="465">
        <v>6.8011644455999998E-2</v>
      </c>
      <c r="C7481" t="str">
        <f t="shared" si="117"/>
        <v/>
      </c>
    </row>
    <row r="7482" spans="1:3" x14ac:dyDescent="0.25">
      <c r="A7482" s="388">
        <v>2.2555964862567297</v>
      </c>
      <c r="B7482" s="465">
        <v>0.15558219319999997</v>
      </c>
      <c r="C7482" t="str">
        <f t="shared" si="117"/>
        <v/>
      </c>
    </row>
    <row r="7483" spans="1:3" x14ac:dyDescent="0.25">
      <c r="A7483" s="388">
        <v>0.35647492207424203</v>
      </c>
      <c r="B7483" s="465">
        <v>2.6126922239999998E-3</v>
      </c>
      <c r="C7483" t="str">
        <f t="shared" si="117"/>
        <v/>
      </c>
    </row>
    <row r="7484" spans="1:3" x14ac:dyDescent="0.25">
      <c r="A7484" s="388">
        <v>0.33607254179654295</v>
      </c>
      <c r="B7484" s="465">
        <v>1.6450284373333334E-3</v>
      </c>
      <c r="C7484" t="str">
        <f t="shared" si="117"/>
        <v/>
      </c>
    </row>
    <row r="7485" spans="1:3" x14ac:dyDescent="0.25">
      <c r="A7485" s="388">
        <v>0.37120997449702464</v>
      </c>
      <c r="B7485" s="465">
        <v>1.5504E-2</v>
      </c>
      <c r="C7485" t="str">
        <f t="shared" si="117"/>
        <v/>
      </c>
    </row>
    <row r="7486" spans="1:3" x14ac:dyDescent="0.25">
      <c r="A7486" s="388">
        <v>0.31170303202040239</v>
      </c>
      <c r="B7486" s="465">
        <v>1.9126666666666662E-3</v>
      </c>
      <c r="C7486" t="str">
        <f t="shared" si="117"/>
        <v/>
      </c>
    </row>
    <row r="7487" spans="1:3" x14ac:dyDescent="0.25">
      <c r="A7487" s="388">
        <v>0.19835647492207426</v>
      </c>
      <c r="B7487" s="465">
        <v>1.1000000000000001E-3</v>
      </c>
      <c r="C7487" t="str">
        <f t="shared" si="117"/>
        <v/>
      </c>
    </row>
    <row r="7488" spans="1:3" x14ac:dyDescent="0.25">
      <c r="A7488" s="388">
        <v>0.17001983564749221</v>
      </c>
      <c r="B7488" s="465">
        <v>8.0000000000000004E-4</v>
      </c>
      <c r="C7488" t="str">
        <f t="shared" si="117"/>
        <v/>
      </c>
    </row>
    <row r="7489" spans="1:3" x14ac:dyDescent="0.25">
      <c r="A7489" s="388">
        <v>0.19835647492207426</v>
      </c>
      <c r="B7489" s="465">
        <v>1.1999999999999999E-3</v>
      </c>
      <c r="C7489" t="str">
        <f t="shared" si="117"/>
        <v/>
      </c>
    </row>
    <row r="7490" spans="1:3" x14ac:dyDescent="0.25">
      <c r="A7490" s="388">
        <v>3.995466137716067</v>
      </c>
      <c r="B7490" s="465">
        <v>5.4537999999999996E-2</v>
      </c>
      <c r="C7490" t="str">
        <f t="shared" si="117"/>
        <v/>
      </c>
    </row>
    <row r="7491" spans="1:3" x14ac:dyDescent="0.25">
      <c r="A7491" s="388">
        <v>4.562198923207708</v>
      </c>
      <c r="B7491" s="465">
        <v>2.8216600000000001E-2</v>
      </c>
      <c r="C7491" t="str">
        <f t="shared" si="117"/>
        <v/>
      </c>
    </row>
    <row r="7492" spans="1:3" x14ac:dyDescent="0.25">
      <c r="A7492" s="388">
        <v>2.4086143383394729</v>
      </c>
      <c r="B7492" s="465">
        <v>5.4480600000000004E-2</v>
      </c>
      <c r="C7492" t="str">
        <f t="shared" si="117"/>
        <v/>
      </c>
    </row>
    <row r="7493" spans="1:3" x14ac:dyDescent="0.25">
      <c r="A7493" s="388">
        <v>1.7852082742986681</v>
      </c>
      <c r="B7493" s="465">
        <v>5.8245333333333338E-3</v>
      </c>
      <c r="C7493" t="str">
        <f t="shared" si="117"/>
        <v/>
      </c>
    </row>
    <row r="7494" spans="1:3" x14ac:dyDescent="0.25">
      <c r="A7494" s="388">
        <v>0.65174270331538686</v>
      </c>
      <c r="B7494" s="465">
        <v>7.5049333333333324E-3</v>
      </c>
      <c r="C7494" t="str">
        <f t="shared" si="117"/>
        <v/>
      </c>
    </row>
    <row r="7495" spans="1:3" x14ac:dyDescent="0.25">
      <c r="A7495" s="388">
        <v>0.29753471238311135</v>
      </c>
      <c r="B7495" s="465">
        <v>3.6139333333333329E-3</v>
      </c>
      <c r="C7495" t="str">
        <f t="shared" si="117"/>
        <v/>
      </c>
    </row>
    <row r="7496" spans="1:3" x14ac:dyDescent="0.25">
      <c r="A7496" s="388">
        <f>18.07*(0.3048^3)</f>
        <v>0.51168541791744004</v>
      </c>
      <c r="B7496" s="465">
        <v>1.0290000000000002E-3</v>
      </c>
      <c r="C7496" t="str">
        <f t="shared" si="117"/>
        <v/>
      </c>
    </row>
    <row r="7497" spans="1:3" x14ac:dyDescent="0.25">
      <c r="A7497" s="388">
        <f>13.64*(0.3048^3)</f>
        <v>0.38624178751488009</v>
      </c>
      <c r="B7497" s="465">
        <v>3.4650000000000002E-4</v>
      </c>
      <c r="C7497" t="str">
        <f t="shared" si="117"/>
        <v/>
      </c>
    </row>
    <row r="7498" spans="1:3" x14ac:dyDescent="0.25">
      <c r="A7498" s="388">
        <f>8.49*(0.3048^3)</f>
        <v>0.24041002756608004</v>
      </c>
      <c r="B7498" s="465">
        <v>2.31E-4</v>
      </c>
      <c r="C7498" t="str">
        <f t="shared" si="117"/>
        <v/>
      </c>
    </row>
    <row r="7499" spans="1:3" x14ac:dyDescent="0.25">
      <c r="A7499" s="388">
        <f>6.38*(0.3048^3)</f>
        <v>0.18066148125696002</v>
      </c>
      <c r="B7499" s="465">
        <v>5.775E-4</v>
      </c>
      <c r="C7499" t="str">
        <f t="shared" si="117"/>
        <v/>
      </c>
    </row>
    <row r="7500" spans="1:3" x14ac:dyDescent="0.25">
      <c r="A7500" s="388">
        <f>5.23*(0.3048^3)</f>
        <v>0.14809710767616002</v>
      </c>
      <c r="B7500" s="465">
        <v>2.6250000000000004E-4</v>
      </c>
      <c r="C7500" t="str">
        <f t="shared" si="117"/>
        <v/>
      </c>
    </row>
    <row r="7501" spans="1:3" x14ac:dyDescent="0.25">
      <c r="A7501" s="388">
        <f>5.14*(0.3048^3)</f>
        <v>0.14554859148288002</v>
      </c>
      <c r="B7501" s="465">
        <v>1.155E-4</v>
      </c>
      <c r="C7501" t="str">
        <f t="shared" si="117"/>
        <v/>
      </c>
    </row>
    <row r="7502" spans="1:3" x14ac:dyDescent="0.25">
      <c r="A7502" s="388">
        <f>2.48*(0.3048^3)</f>
        <v>7.0225779548160006E-2</v>
      </c>
      <c r="B7502" s="465">
        <v>7.3500000000000011E-5</v>
      </c>
      <c r="C7502" t="str">
        <f t="shared" si="117"/>
        <v/>
      </c>
    </row>
    <row r="7503" spans="1:3" x14ac:dyDescent="0.25">
      <c r="A7503" s="388">
        <f>2.59*(0.3048^3)</f>
        <v>7.3340632673280004E-2</v>
      </c>
      <c r="B7503" s="465">
        <v>5.2500000000000002E-5</v>
      </c>
      <c r="C7503" t="str">
        <f t="shared" si="117"/>
        <v/>
      </c>
    </row>
    <row r="7504" spans="1:3" x14ac:dyDescent="0.25">
      <c r="A7504" s="388">
        <f>2.39*(0.3048^3)</f>
        <v>6.7677263354880016E-2</v>
      </c>
      <c r="B7504" s="465">
        <v>4.2000000000000004E-5</v>
      </c>
      <c r="C7504" t="str">
        <f t="shared" si="117"/>
        <v/>
      </c>
    </row>
    <row r="7505" spans="1:3" x14ac:dyDescent="0.25">
      <c r="A7505" s="388">
        <f>1.93*(0.3048^3)</f>
        <v>5.4651513922560006E-2</v>
      </c>
      <c r="B7505" s="465">
        <v>5.2500000000000002E-5</v>
      </c>
      <c r="C7505" t="str">
        <f t="shared" si="117"/>
        <v/>
      </c>
    </row>
    <row r="7506" spans="1:3" x14ac:dyDescent="0.25">
      <c r="A7506" s="388">
        <f>1.49*(0.3048^3)</f>
        <v>4.2192101422080006E-2</v>
      </c>
      <c r="B7506" s="465">
        <v>5.2500000000000002E-5</v>
      </c>
      <c r="C7506" t="str">
        <f t="shared" si="117"/>
        <v/>
      </c>
    </row>
    <row r="7507" spans="1:3" x14ac:dyDescent="0.25">
      <c r="A7507" s="388">
        <f>1.37*(0.3048^3)</f>
        <v>3.879407983104001E-2</v>
      </c>
      <c r="B7507" s="465">
        <v>6.3E-5</v>
      </c>
      <c r="C7507" t="str">
        <f t="shared" si="117"/>
        <v/>
      </c>
    </row>
    <row r="7508" spans="1:3" x14ac:dyDescent="0.25">
      <c r="A7508" s="388">
        <f>1.5*(0.3048^3)</f>
        <v>4.2475269888000003E-2</v>
      </c>
      <c r="B7508" s="465">
        <v>1.155E-4</v>
      </c>
      <c r="C7508" t="str">
        <f t="shared" si="117"/>
        <v/>
      </c>
    </row>
    <row r="7509" spans="1:3" x14ac:dyDescent="0.25">
      <c r="A7509" s="388">
        <f>1.06*(0.3048^3)</f>
        <v>3.0015857387520006E-2</v>
      </c>
      <c r="B7509" s="465">
        <v>2.1000000000000002E-5</v>
      </c>
      <c r="C7509" t="str">
        <f t="shared" si="117"/>
        <v/>
      </c>
    </row>
    <row r="7510" spans="1:3" x14ac:dyDescent="0.25">
      <c r="A7510" s="388">
        <f>18*(0.3048^3)</f>
        <v>0.50970323865600009</v>
      </c>
      <c r="B7510" s="465">
        <v>1.0489500000000001E-3</v>
      </c>
      <c r="C7510" t="str">
        <f t="shared" si="117"/>
        <v/>
      </c>
    </row>
    <row r="7511" spans="1:3" x14ac:dyDescent="0.25">
      <c r="A7511" s="388">
        <f>26*(0.3048^3)</f>
        <v>0.73623801139200007</v>
      </c>
      <c r="B7511" s="465">
        <v>1.575E-3</v>
      </c>
      <c r="C7511" t="str">
        <f t="shared" si="117"/>
        <v/>
      </c>
    </row>
    <row r="7512" spans="1:3" x14ac:dyDescent="0.25">
      <c r="A7512" s="388">
        <f>27.66*(0.3048^3)</f>
        <v>0.78324397673472013</v>
      </c>
      <c r="B7512" s="465">
        <v>3.6015000000000005E-3</v>
      </c>
      <c r="C7512" t="str">
        <f t="shared" si="117"/>
        <v/>
      </c>
    </row>
    <row r="7513" spans="1:3" x14ac:dyDescent="0.25">
      <c r="A7513" s="388">
        <f>20.15*(0.3048^3)</f>
        <v>0.57058445882880005</v>
      </c>
      <c r="B7513" s="465">
        <v>1.1487000000000001E-3</v>
      </c>
      <c r="C7513" t="str">
        <f t="shared" si="117"/>
        <v/>
      </c>
    </row>
    <row r="7514" spans="1:3" x14ac:dyDescent="0.25">
      <c r="A7514" s="388">
        <f>16.08*(0.3048^3)</f>
        <v>0.45533489319936005</v>
      </c>
      <c r="B7514" s="465">
        <v>3.6855000000000004E-4</v>
      </c>
      <c r="C7514" t="str">
        <f t="shared" si="117"/>
        <v/>
      </c>
    </row>
    <row r="7515" spans="1:3" x14ac:dyDescent="0.25">
      <c r="A7515" s="388">
        <f>11.46*(0.3048^3)</f>
        <v>0.32451106194432006</v>
      </c>
      <c r="B7515" s="465">
        <v>1.1151000000000002E-3</v>
      </c>
      <c r="C7515" t="str">
        <f t="shared" si="117"/>
        <v/>
      </c>
    </row>
    <row r="7516" spans="1:3" x14ac:dyDescent="0.25">
      <c r="A7516" s="388">
        <f>9.9*(0.3048^3)</f>
        <v>0.28033678126080003</v>
      </c>
      <c r="B7516" s="465">
        <v>1.0878000000000001E-3</v>
      </c>
      <c r="C7516" t="str">
        <f t="shared" si="117"/>
        <v/>
      </c>
    </row>
    <row r="7517" spans="1:3" x14ac:dyDescent="0.25">
      <c r="A7517" s="388">
        <f>7.3*(0.3048^3)</f>
        <v>0.20671298012160003</v>
      </c>
      <c r="B7517" s="465">
        <v>2.9925000000000004E-4</v>
      </c>
      <c r="C7517" t="str">
        <f t="shared" si="117"/>
        <v/>
      </c>
    </row>
    <row r="7518" spans="1:3" x14ac:dyDescent="0.25">
      <c r="A7518" s="388">
        <f>5.6*(0.3048^3)</f>
        <v>0.15857434091520001</v>
      </c>
      <c r="B7518" s="465">
        <v>1.3335000000000002E-4</v>
      </c>
      <c r="C7518" t="str">
        <f t="shared" si="117"/>
        <v/>
      </c>
    </row>
    <row r="7519" spans="1:3" x14ac:dyDescent="0.25">
      <c r="A7519" s="388">
        <f>3.4*(0.3048^3)</f>
        <v>9.627727841280001E-2</v>
      </c>
      <c r="B7519" s="465">
        <v>4.9350000000000007E-5</v>
      </c>
      <c r="C7519" t="str">
        <f t="shared" si="117"/>
        <v/>
      </c>
    </row>
    <row r="7520" spans="1:3" x14ac:dyDescent="0.25">
      <c r="A7520" s="388">
        <f>3*(0.3048^3)</f>
        <v>8.4950539776000006E-2</v>
      </c>
      <c r="B7520" s="465">
        <v>6.5099999999999997E-5</v>
      </c>
      <c r="C7520" t="str">
        <f t="shared" si="117"/>
        <v/>
      </c>
    </row>
    <row r="7521" spans="1:3" x14ac:dyDescent="0.25">
      <c r="A7521" s="388">
        <v>0.32</v>
      </c>
      <c r="B7521" s="465">
        <v>4.3399999999999998E-4</v>
      </c>
      <c r="C7521" t="str">
        <f t="shared" si="117"/>
        <v/>
      </c>
    </row>
    <row r="7522" spans="1:3" x14ac:dyDescent="0.25">
      <c r="A7522" s="388">
        <v>0.55000000000000004</v>
      </c>
      <c r="B7522" s="465">
        <v>1.2999999999999999E-3</v>
      </c>
      <c r="C7522" t="str">
        <f t="shared" si="117"/>
        <v/>
      </c>
    </row>
    <row r="7523" spans="1:3" x14ac:dyDescent="0.25">
      <c r="A7523" s="388">
        <v>0.28999999999999998</v>
      </c>
      <c r="B7523" s="465">
        <v>4.2700000000000002E-4</v>
      </c>
      <c r="C7523" t="str">
        <f t="shared" si="117"/>
        <v/>
      </c>
    </row>
    <row r="7524" spans="1:3" x14ac:dyDescent="0.25">
      <c r="A7524" s="388">
        <v>0.28000000000000003</v>
      </c>
      <c r="B7524" s="465">
        <v>2.7E-4</v>
      </c>
      <c r="C7524" t="str">
        <f t="shared" si="117"/>
        <v/>
      </c>
    </row>
    <row r="7525" spans="1:3" x14ac:dyDescent="0.25">
      <c r="A7525" s="388">
        <v>0.39</v>
      </c>
      <c r="B7525" s="465">
        <v>1.2999999999999999E-5</v>
      </c>
      <c r="C7525" t="str">
        <f t="shared" si="117"/>
        <v/>
      </c>
    </row>
    <row r="7526" spans="1:3" x14ac:dyDescent="0.25">
      <c r="A7526" s="388">
        <v>0.34003967129498441</v>
      </c>
      <c r="B7526" s="465">
        <v>1.5E-5</v>
      </c>
      <c r="C7526" t="str">
        <f t="shared" si="117"/>
        <v/>
      </c>
    </row>
    <row r="7527" spans="1:3" x14ac:dyDescent="0.25">
      <c r="A7527" s="388">
        <v>0.39</v>
      </c>
      <c r="B7527" s="465">
        <v>4.6E-5</v>
      </c>
      <c r="C7527" t="str">
        <f t="shared" si="117"/>
        <v/>
      </c>
    </row>
    <row r="7528" spans="1:3" x14ac:dyDescent="0.25">
      <c r="A7528" s="388">
        <v>0.38</v>
      </c>
      <c r="B7528" s="465">
        <v>1.7E-5</v>
      </c>
      <c r="C7528" t="str">
        <f t="shared" si="117"/>
        <v/>
      </c>
    </row>
    <row r="7529" spans="1:3" x14ac:dyDescent="0.25">
      <c r="A7529" s="388">
        <v>0.28000000000000003</v>
      </c>
      <c r="B7529" s="465">
        <v>1.8799999999999999E-4</v>
      </c>
      <c r="C7529" t="str">
        <f t="shared" si="117"/>
        <v/>
      </c>
    </row>
    <row r="7530" spans="1:3" x14ac:dyDescent="0.25">
      <c r="A7530" s="388">
        <v>0.22669311419665628</v>
      </c>
      <c r="B7530" s="465">
        <v>2.0999999999999998E-6</v>
      </c>
      <c r="C7530" t="str">
        <f t="shared" si="117"/>
        <v/>
      </c>
    </row>
    <row r="7531" spans="1:3" x14ac:dyDescent="0.25">
      <c r="A7531" s="388">
        <v>0.38</v>
      </c>
      <c r="B7531" s="465">
        <v>6.0800000000000003E-4</v>
      </c>
      <c r="C7531" t="str">
        <f t="shared" si="117"/>
        <v/>
      </c>
    </row>
    <row r="7532" spans="1:3" x14ac:dyDescent="0.25">
      <c r="A7532" s="388">
        <v>0.47</v>
      </c>
      <c r="B7532" s="465">
        <v>1.4400000000000001E-3</v>
      </c>
      <c r="C7532" t="str">
        <f t="shared" si="117"/>
        <v/>
      </c>
    </row>
    <row r="7533" spans="1:3" x14ac:dyDescent="0.25">
      <c r="A7533" s="388">
        <v>0.66</v>
      </c>
      <c r="B7533" s="465">
        <v>1.12E-2</v>
      </c>
      <c r="C7533" t="str">
        <f t="shared" si="117"/>
        <v/>
      </c>
    </row>
    <row r="7534" spans="1:3" x14ac:dyDescent="0.25">
      <c r="A7534" s="388">
        <v>0.56000000000000005</v>
      </c>
      <c r="B7534" s="465">
        <v>3.6600000000000001E-3</v>
      </c>
      <c r="C7534" t="str">
        <f t="shared" si="117"/>
        <v/>
      </c>
    </row>
    <row r="7535" spans="1:3" x14ac:dyDescent="0.25">
      <c r="A7535" s="388">
        <v>0.59</v>
      </c>
      <c r="B7535" s="465">
        <v>2.8700000000000002E-3</v>
      </c>
      <c r="C7535" t="str">
        <f t="shared" si="117"/>
        <v/>
      </c>
    </row>
    <row r="7536" spans="1:3" x14ac:dyDescent="0.25">
      <c r="A7536" s="388">
        <v>0.86</v>
      </c>
      <c r="B7536" s="465">
        <v>1.5900000000000001E-3</v>
      </c>
      <c r="C7536" t="str">
        <f t="shared" si="117"/>
        <v/>
      </c>
    </row>
    <row r="7537" spans="1:3" x14ac:dyDescent="0.25">
      <c r="A7537" s="388">
        <v>0.82176253896287899</v>
      </c>
      <c r="B7537" s="465">
        <v>1.5299999999999999E-3</v>
      </c>
      <c r="C7537" t="str">
        <f t="shared" si="117"/>
        <v/>
      </c>
    </row>
    <row r="7538" spans="1:3" x14ac:dyDescent="0.25">
      <c r="A7538" s="388">
        <v>0.65174270331538686</v>
      </c>
      <c r="B7538" s="465">
        <v>4.8700000000000002E-3</v>
      </c>
      <c r="C7538" t="str">
        <f t="shared" si="117"/>
        <v/>
      </c>
    </row>
    <row r="7539" spans="1:3" x14ac:dyDescent="0.25">
      <c r="A7539" s="388">
        <v>0.76508926041371494</v>
      </c>
      <c r="B7539" s="465">
        <v>2.7599999999999999E-3</v>
      </c>
      <c r="C7539" t="str">
        <f t="shared" si="117"/>
        <v/>
      </c>
    </row>
    <row r="7540" spans="1:3" x14ac:dyDescent="0.25">
      <c r="A7540" s="388">
        <v>0.42504958911873053</v>
      </c>
      <c r="B7540" s="465">
        <v>4.1100000000000002E-4</v>
      </c>
      <c r="C7540" t="str">
        <f t="shared" si="117"/>
        <v/>
      </c>
    </row>
    <row r="7541" spans="1:3" x14ac:dyDescent="0.25">
      <c r="A7541" s="388">
        <v>0.39671294984414851</v>
      </c>
      <c r="B7541" s="465">
        <v>1.17E-3</v>
      </c>
      <c r="C7541" t="str">
        <f t="shared" si="117"/>
        <v/>
      </c>
    </row>
    <row r="7542" spans="1:3" x14ac:dyDescent="0.25">
      <c r="A7542" s="388">
        <v>0.39671294984414851</v>
      </c>
      <c r="B7542" s="465">
        <v>1.49E-3</v>
      </c>
      <c r="C7542" t="str">
        <f t="shared" si="117"/>
        <v/>
      </c>
    </row>
    <row r="7543" spans="1:3" x14ac:dyDescent="0.25">
      <c r="A7543" s="388">
        <v>0.31170303202040239</v>
      </c>
      <c r="B7543" s="465">
        <v>4.17E-4</v>
      </c>
      <c r="C7543" t="str">
        <f t="shared" ref="C7543:C7606" si="118">IF(B7543=0,"XXXXXXXX","")</f>
        <v/>
      </c>
    </row>
    <row r="7544" spans="1:3" x14ac:dyDescent="0.25">
      <c r="A7544" s="388">
        <v>0.31170303202040239</v>
      </c>
      <c r="B7544" s="465">
        <v>8.8900000000000003E-4</v>
      </c>
      <c r="C7544" t="str">
        <f t="shared" si="118"/>
        <v/>
      </c>
    </row>
    <row r="7545" spans="1:3" x14ac:dyDescent="0.25">
      <c r="A7545" s="388">
        <v>0.31170303202040239</v>
      </c>
      <c r="B7545" s="465">
        <v>1.7899999999999999E-4</v>
      </c>
      <c r="C7545" t="str">
        <f t="shared" si="118"/>
        <v/>
      </c>
    </row>
    <row r="7546" spans="1:3" x14ac:dyDescent="0.25">
      <c r="A7546" s="388">
        <v>0.31170303202040239</v>
      </c>
      <c r="B7546" s="465">
        <v>7.4000000000000001E-7</v>
      </c>
      <c r="C7546" t="str">
        <f t="shared" si="118"/>
        <v/>
      </c>
    </row>
    <row r="7547" spans="1:3" x14ac:dyDescent="0.25">
      <c r="A7547" s="388">
        <v>0.36837631056956643</v>
      </c>
      <c r="B7547" s="465">
        <v>3.3100000000000002E-4</v>
      </c>
      <c r="C7547" t="str">
        <f t="shared" si="118"/>
        <v/>
      </c>
    </row>
    <row r="7548" spans="1:3" x14ac:dyDescent="0.25">
      <c r="A7548" s="388">
        <v>0.14168319637291019</v>
      </c>
      <c r="B7548" s="465">
        <v>9.3999999999999994E-5</v>
      </c>
      <c r="C7548" t="str">
        <f t="shared" si="118"/>
        <v/>
      </c>
    </row>
    <row r="7549" spans="1:3" x14ac:dyDescent="0.25">
      <c r="A7549" s="388">
        <v>0.31170303202040239</v>
      </c>
      <c r="B7549" s="465">
        <v>2.9000000000000002E-6</v>
      </c>
      <c r="C7549" t="str">
        <f t="shared" si="118"/>
        <v/>
      </c>
    </row>
    <row r="7550" spans="1:3" x14ac:dyDescent="0.25">
      <c r="A7550" s="388">
        <v>0.14168319637291019</v>
      </c>
      <c r="B7550" s="465">
        <v>1.7899999999999999E-4</v>
      </c>
      <c r="C7550" t="str">
        <f t="shared" si="118"/>
        <v/>
      </c>
    </row>
    <row r="7551" spans="1:3" x14ac:dyDescent="0.25">
      <c r="A7551" s="388">
        <f>24.91*(0.028317)</f>
        <v>0.70537646999999992</v>
      </c>
      <c r="B7551" s="465">
        <v>5.6579999999999998E-3</v>
      </c>
      <c r="C7551" t="str">
        <f t="shared" si="118"/>
        <v/>
      </c>
    </row>
    <row r="7552" spans="1:3" x14ac:dyDescent="0.25">
      <c r="A7552" s="388">
        <f>23.36*(0.028317)</f>
        <v>0.66148511999999993</v>
      </c>
      <c r="B7552" s="465">
        <v>7.0429999999999998E-3</v>
      </c>
      <c r="C7552" t="str">
        <f t="shared" si="118"/>
        <v/>
      </c>
    </row>
    <row r="7553" spans="1:3" x14ac:dyDescent="0.25">
      <c r="A7553" s="388">
        <f>32.51*(0.028317)</f>
        <v>0.92058566999999991</v>
      </c>
      <c r="B7553" s="465">
        <v>2.009E-2</v>
      </c>
      <c r="C7553" t="str">
        <f t="shared" si="118"/>
        <v/>
      </c>
    </row>
    <row r="7554" spans="1:3" x14ac:dyDescent="0.25">
      <c r="A7554" s="388">
        <f>34.87*(0.028317)</f>
        <v>0.98741378999999985</v>
      </c>
      <c r="B7554" s="465">
        <v>3.4962E-2</v>
      </c>
      <c r="C7554" t="str">
        <f t="shared" si="118"/>
        <v/>
      </c>
    </row>
    <row r="7555" spans="1:3" x14ac:dyDescent="0.25">
      <c r="A7555" s="388">
        <f>41.96*(0.028317)</f>
        <v>1.18818132</v>
      </c>
      <c r="B7555" s="465">
        <v>2.2750000000000001E-3</v>
      </c>
      <c r="C7555" t="str">
        <f t="shared" si="118"/>
        <v/>
      </c>
    </row>
    <row r="7556" spans="1:3" x14ac:dyDescent="0.25">
      <c r="A7556" s="388">
        <f>43.81*(0.028317)</f>
        <v>1.24056777</v>
      </c>
      <c r="B7556" s="465">
        <v>8.4650000000000003E-3</v>
      </c>
      <c r="C7556" t="str">
        <f t="shared" si="118"/>
        <v/>
      </c>
    </row>
    <row r="7557" spans="1:3" x14ac:dyDescent="0.25">
      <c r="A7557" s="388">
        <f>43.78*(0.028317)</f>
        <v>1.2397182600000001</v>
      </c>
      <c r="B7557" s="465">
        <v>1.3448E-2</v>
      </c>
      <c r="C7557" t="str">
        <f t="shared" si="118"/>
        <v/>
      </c>
    </row>
    <row r="7558" spans="1:3" x14ac:dyDescent="0.25">
      <c r="A7558" s="388">
        <f>41.39*(0.028317)</f>
        <v>1.1720406299999999</v>
      </c>
      <c r="B7558" s="465">
        <v>9.358E-3</v>
      </c>
      <c r="C7558" t="str">
        <f t="shared" si="118"/>
        <v/>
      </c>
    </row>
    <row r="7559" spans="1:3" x14ac:dyDescent="0.25">
      <c r="A7559" s="388">
        <f>29.6971*(0.028317)</f>
        <v>0.84093278069999988</v>
      </c>
      <c r="B7559" s="465">
        <v>2.771E-3</v>
      </c>
      <c r="C7559" t="str">
        <f t="shared" si="118"/>
        <v/>
      </c>
    </row>
    <row r="7560" spans="1:3" x14ac:dyDescent="0.25">
      <c r="A7560" s="388">
        <f>30.69*(0.028317)</f>
        <v>0.86904872999999994</v>
      </c>
      <c r="B7560" s="465">
        <v>1.5769999999999999E-2</v>
      </c>
      <c r="C7560" t="str">
        <f t="shared" si="118"/>
        <v/>
      </c>
    </row>
    <row r="7561" spans="1:3" x14ac:dyDescent="0.25">
      <c r="A7561" s="388">
        <f>39.31*(0.028317)</f>
        <v>1.1131412700000001</v>
      </c>
      <c r="B7561" s="465">
        <v>7.1910000000000003E-3</v>
      </c>
      <c r="C7561" t="str">
        <f t="shared" si="118"/>
        <v/>
      </c>
    </row>
    <row r="7562" spans="1:3" x14ac:dyDescent="0.25">
      <c r="A7562" s="388">
        <f>37.75*(0.028317)</f>
        <v>1.06896675</v>
      </c>
      <c r="B7562" s="465">
        <v>1.1213000000000001E-2</v>
      </c>
      <c r="C7562" t="str">
        <f t="shared" si="118"/>
        <v/>
      </c>
    </row>
    <row r="7563" spans="1:3" x14ac:dyDescent="0.25">
      <c r="A7563" s="388">
        <f>33.2246*(0.028317)</f>
        <v>0.94082099819999998</v>
      </c>
      <c r="B7563" s="465">
        <v>1.4886E-2</v>
      </c>
      <c r="C7563" t="str">
        <f t="shared" si="118"/>
        <v/>
      </c>
    </row>
    <row r="7564" spans="1:3" x14ac:dyDescent="0.25">
      <c r="A7564" s="388">
        <f>20.7*(0.028317)</f>
        <v>0.5861618999999999</v>
      </c>
      <c r="B7564" s="465">
        <v>1.207E-3</v>
      </c>
      <c r="C7564" t="str">
        <f t="shared" si="118"/>
        <v/>
      </c>
    </row>
    <row r="7565" spans="1:3" x14ac:dyDescent="0.25">
      <c r="A7565" s="388">
        <f>21.4*(0.028317)</f>
        <v>0.60598379999999996</v>
      </c>
      <c r="B7565" s="465">
        <v>2.9359999999999998E-3</v>
      </c>
      <c r="C7565" t="str">
        <f t="shared" si="118"/>
        <v/>
      </c>
    </row>
    <row r="7566" spans="1:3" x14ac:dyDescent="0.25">
      <c r="A7566" s="388">
        <f>52.44*(0.028317)</f>
        <v>1.4849434799999999</v>
      </c>
      <c r="B7566" s="465">
        <v>9.4929999999999997E-3</v>
      </c>
      <c r="C7566" t="str">
        <f t="shared" si="118"/>
        <v/>
      </c>
    </row>
    <row r="7567" spans="1:3" x14ac:dyDescent="0.25">
      <c r="A7567" s="388">
        <f>57.87*(0.028317)</f>
        <v>1.6387047899999998</v>
      </c>
      <c r="B7567" s="465">
        <v>7.4871999999999994E-2</v>
      </c>
      <c r="C7567" t="str">
        <f t="shared" si="118"/>
        <v/>
      </c>
    </row>
    <row r="7568" spans="1:3" x14ac:dyDescent="0.25">
      <c r="A7568" s="388">
        <f>60.26*(0.028317)</f>
        <v>1.70638242</v>
      </c>
      <c r="B7568" s="465">
        <v>5.7689999999999998E-3</v>
      </c>
      <c r="C7568" t="str">
        <f t="shared" si="118"/>
        <v/>
      </c>
    </row>
    <row r="7569" spans="1:3" x14ac:dyDescent="0.25">
      <c r="A7569" s="388">
        <f>66*(0.028317)</f>
        <v>1.868922</v>
      </c>
      <c r="B7569" s="465">
        <v>2.8891E-2</v>
      </c>
      <c r="C7569" t="str">
        <f t="shared" si="118"/>
        <v/>
      </c>
    </row>
    <row r="7570" spans="1:3" x14ac:dyDescent="0.25">
      <c r="A7570" s="388">
        <f>43.87*(0.028317)</f>
        <v>1.24226679</v>
      </c>
      <c r="B7570" s="465">
        <v>1.2612999999999999E-2</v>
      </c>
      <c r="C7570" t="str">
        <f t="shared" si="118"/>
        <v/>
      </c>
    </row>
    <row r="7571" spans="1:3" x14ac:dyDescent="0.25">
      <c r="A7571" s="388">
        <f>43.8074*(0.028317)</f>
        <v>1.2404941458000001</v>
      </c>
      <c r="B7571" s="465">
        <v>2.9687000000000002E-2</v>
      </c>
      <c r="C7571" t="str">
        <f t="shared" si="118"/>
        <v/>
      </c>
    </row>
    <row r="7572" spans="1:3" x14ac:dyDescent="0.25">
      <c r="A7572" s="388">
        <f>26.52*(0.028317)</f>
        <v>0.75096683999999991</v>
      </c>
      <c r="B7572" s="465">
        <v>4.0320000000000002E-2</v>
      </c>
      <c r="C7572" t="str">
        <f t="shared" si="118"/>
        <v/>
      </c>
    </row>
    <row r="7573" spans="1:3" x14ac:dyDescent="0.25">
      <c r="A7573" s="388">
        <f>19.93*(0.028317)</f>
        <v>0.56435780999999996</v>
      </c>
      <c r="B7573" s="465">
        <v>3.9890000000000004E-3</v>
      </c>
      <c r="C7573" t="str">
        <f t="shared" si="118"/>
        <v/>
      </c>
    </row>
    <row r="7574" spans="1:3" x14ac:dyDescent="0.25">
      <c r="A7574" s="388">
        <f>22.86*(0.028317)</f>
        <v>0.64732661999999996</v>
      </c>
      <c r="B7574" s="465">
        <v>3.15E-3</v>
      </c>
      <c r="C7574" t="str">
        <f t="shared" si="118"/>
        <v/>
      </c>
    </row>
    <row r="7575" spans="1:3" x14ac:dyDescent="0.25">
      <c r="A7575" s="388">
        <f>22.86*(0.028317)</f>
        <v>0.64732661999999996</v>
      </c>
      <c r="B7575" s="465">
        <v>5.0870000000000004E-3</v>
      </c>
      <c r="C7575" t="str">
        <f t="shared" si="118"/>
        <v/>
      </c>
    </row>
    <row r="7576" spans="1:3" x14ac:dyDescent="0.25">
      <c r="A7576" s="388">
        <f>24.49*(0.028317)</f>
        <v>0.69348332999999995</v>
      </c>
      <c r="B7576" s="465">
        <v>3.9260999999999997E-2</v>
      </c>
      <c r="C7576" t="str">
        <f t="shared" si="118"/>
        <v/>
      </c>
    </row>
    <row r="7577" spans="1:3" x14ac:dyDescent="0.25">
      <c r="A7577" s="388">
        <f>26.48*(0.028317)</f>
        <v>0.74983415999999992</v>
      </c>
      <c r="B7577" s="465">
        <v>2.7962000000000001E-2</v>
      </c>
      <c r="C7577" t="str">
        <f t="shared" si="118"/>
        <v/>
      </c>
    </row>
    <row r="7578" spans="1:3" x14ac:dyDescent="0.25">
      <c r="A7578" s="388">
        <f>19.47*(0.028317)</f>
        <v>0.55133198999999988</v>
      </c>
      <c r="B7578" s="465">
        <v>9.4409999999999997E-3</v>
      </c>
      <c r="C7578" t="str">
        <f t="shared" si="118"/>
        <v/>
      </c>
    </row>
    <row r="7579" spans="1:3" x14ac:dyDescent="0.25">
      <c r="A7579" s="388">
        <f>21.96*(0.028317)</f>
        <v>0.62184132000000003</v>
      </c>
      <c r="B7579" s="465">
        <v>1.0366E-2</v>
      </c>
      <c r="C7579" t="str">
        <f t="shared" si="118"/>
        <v/>
      </c>
    </row>
    <row r="7580" spans="1:3" x14ac:dyDescent="0.25">
      <c r="A7580" s="388">
        <f>20.33*(0.028317)</f>
        <v>0.57568460999999993</v>
      </c>
      <c r="B7580" s="465">
        <v>1.3650000000000001E-2</v>
      </c>
      <c r="C7580" t="str">
        <f t="shared" si="118"/>
        <v/>
      </c>
    </row>
    <row r="7581" spans="1:3" x14ac:dyDescent="0.25">
      <c r="A7581" s="388">
        <f>17.89*(0.028317)</f>
        <v>0.50659113</v>
      </c>
      <c r="B7581" s="465">
        <v>1.9994000000000001E-2</v>
      </c>
      <c r="C7581" t="str">
        <f t="shared" si="118"/>
        <v/>
      </c>
    </row>
    <row r="7582" spans="1:3" x14ac:dyDescent="0.25">
      <c r="A7582" s="388">
        <f>15.07*(0.028317)</f>
        <v>0.42673718999999999</v>
      </c>
      <c r="B7582" s="465">
        <v>1.3760000000000001E-3</v>
      </c>
      <c r="C7582" t="str">
        <f t="shared" si="118"/>
        <v/>
      </c>
    </row>
    <row r="7583" spans="1:3" x14ac:dyDescent="0.25">
      <c r="A7583" s="388">
        <f>11.17*(0.028317)</f>
        <v>0.31630089</v>
      </c>
      <c r="B7583" s="465">
        <v>2.2230000000000001E-3</v>
      </c>
      <c r="C7583" t="str">
        <f t="shared" si="118"/>
        <v/>
      </c>
    </row>
    <row r="7584" spans="1:3" x14ac:dyDescent="0.25">
      <c r="A7584" s="388">
        <f>8*(0.028317)</f>
        <v>0.22653599999999999</v>
      </c>
      <c r="B7584" s="465">
        <v>8.8900000000000003E-4</v>
      </c>
      <c r="C7584" t="str">
        <f t="shared" si="118"/>
        <v/>
      </c>
    </row>
    <row r="7585" spans="1:3" x14ac:dyDescent="0.25">
      <c r="A7585" s="388">
        <f>5.8*(0.028317)</f>
        <v>0.16423859999999998</v>
      </c>
      <c r="B7585" s="465">
        <v>4.2700000000000002E-4</v>
      </c>
      <c r="C7585" t="str">
        <f t="shared" si="118"/>
        <v/>
      </c>
    </row>
    <row r="7586" spans="1:3" x14ac:dyDescent="0.25">
      <c r="A7586" s="388">
        <f>11.77*(0.028317)</f>
        <v>0.33329108999999996</v>
      </c>
      <c r="B7586" s="465">
        <v>4.62E-3</v>
      </c>
      <c r="C7586" t="str">
        <f t="shared" si="118"/>
        <v/>
      </c>
    </row>
    <row r="7587" spans="1:3" x14ac:dyDescent="0.25">
      <c r="A7587" s="388">
        <f>18.52*(0.028317)</f>
        <v>0.52443083999999995</v>
      </c>
      <c r="B7587" s="465">
        <v>6.7930000000000004E-3</v>
      </c>
      <c r="C7587" t="str">
        <f t="shared" si="118"/>
        <v/>
      </c>
    </row>
    <row r="7588" spans="1:3" x14ac:dyDescent="0.25">
      <c r="A7588" s="388">
        <f>28.29*(0.028317)</f>
        <v>0.80108792999999989</v>
      </c>
      <c r="B7588" s="465">
        <v>6.9680000000000002E-3</v>
      </c>
      <c r="C7588" t="str">
        <f t="shared" si="118"/>
        <v/>
      </c>
    </row>
    <row r="7589" spans="1:3" x14ac:dyDescent="0.25">
      <c r="A7589" s="388">
        <f>16.93*(0.028317)</f>
        <v>0.47940680999999996</v>
      </c>
      <c r="B7589" s="465">
        <v>3.8070000000000001E-3</v>
      </c>
      <c r="C7589" t="str">
        <f t="shared" si="118"/>
        <v/>
      </c>
    </row>
    <row r="7590" spans="1:3" x14ac:dyDescent="0.25">
      <c r="A7590" s="388">
        <f>14.42*(0.028317)</f>
        <v>0.40833113999999998</v>
      </c>
      <c r="B7590" s="465">
        <v>1.7669999999999999E-3</v>
      </c>
      <c r="C7590" t="str">
        <f t="shared" si="118"/>
        <v/>
      </c>
    </row>
    <row r="7591" spans="1:3" x14ac:dyDescent="0.25">
      <c r="A7591" s="388">
        <f>18.68*(0.028317)</f>
        <v>0.52896155999999994</v>
      </c>
      <c r="B7591" s="465">
        <v>5.7559999999999998E-3</v>
      </c>
      <c r="C7591" t="str">
        <f t="shared" si="118"/>
        <v/>
      </c>
    </row>
    <row r="7592" spans="1:3" x14ac:dyDescent="0.25">
      <c r="A7592" s="388">
        <f>21.88*(0.028317)</f>
        <v>0.61957595999999993</v>
      </c>
      <c r="B7592" s="465">
        <v>2.2699999999999999E-3</v>
      </c>
      <c r="C7592" t="str">
        <f t="shared" si="118"/>
        <v/>
      </c>
    </row>
    <row r="7593" spans="1:3" x14ac:dyDescent="0.25">
      <c r="A7593" s="388">
        <f>23.5*(0.028317)</f>
        <v>0.66544949999999992</v>
      </c>
      <c r="B7593" s="465">
        <v>6.3249999999999999E-3</v>
      </c>
      <c r="C7593" t="str">
        <f t="shared" si="118"/>
        <v/>
      </c>
    </row>
    <row r="7594" spans="1:3" x14ac:dyDescent="0.25">
      <c r="A7594" s="388">
        <f>18.87*(0.028317)</f>
        <v>0.53434179000000004</v>
      </c>
      <c r="B7594" s="465">
        <v>3.4150000000000001E-3</v>
      </c>
      <c r="C7594" t="str">
        <f t="shared" si="118"/>
        <v/>
      </c>
    </row>
    <row r="7595" spans="1:3" x14ac:dyDescent="0.25">
      <c r="A7595" s="388">
        <f>21.36*(0.028317)</f>
        <v>0.60485111999999996</v>
      </c>
      <c r="B7595" s="465">
        <v>3.699E-3</v>
      </c>
      <c r="C7595" t="str">
        <f t="shared" si="118"/>
        <v/>
      </c>
    </row>
    <row r="7596" spans="1:3" x14ac:dyDescent="0.25">
      <c r="A7596" s="388">
        <f>30.21*(0.028317)</f>
        <v>0.85545656999999997</v>
      </c>
      <c r="B7596" s="465">
        <v>3.539E-3</v>
      </c>
      <c r="C7596" t="str">
        <f t="shared" si="118"/>
        <v/>
      </c>
    </row>
    <row r="7597" spans="1:3" x14ac:dyDescent="0.25">
      <c r="A7597" s="388">
        <f>34.52*(0.028317)</f>
        <v>0.97750283999999998</v>
      </c>
      <c r="B7597" s="465">
        <v>5.3990000000000002E-3</v>
      </c>
      <c r="C7597" t="str">
        <f t="shared" si="118"/>
        <v/>
      </c>
    </row>
    <row r="7598" spans="1:3" x14ac:dyDescent="0.25">
      <c r="A7598" s="388">
        <f>37.75*(0.028317)</f>
        <v>1.06896675</v>
      </c>
      <c r="B7598" s="465">
        <v>5.3379999999999999E-3</v>
      </c>
      <c r="C7598" t="str">
        <f t="shared" si="118"/>
        <v/>
      </c>
    </row>
    <row r="7599" spans="1:3" x14ac:dyDescent="0.25">
      <c r="A7599" s="388">
        <f>32.36*(0.028317)</f>
        <v>0.91633811999999992</v>
      </c>
      <c r="B7599" s="465">
        <v>3.1310000000000001E-3</v>
      </c>
      <c r="C7599" t="str">
        <f t="shared" si="118"/>
        <v/>
      </c>
    </row>
    <row r="7600" spans="1:3" x14ac:dyDescent="0.25">
      <c r="A7600" s="388">
        <f>35.73*(0.028317)</f>
        <v>1.0117664099999999</v>
      </c>
      <c r="B7600" s="465">
        <v>5.7035000000000002E-2</v>
      </c>
      <c r="C7600" t="str">
        <f t="shared" si="118"/>
        <v/>
      </c>
    </row>
    <row r="7601" spans="1:3" x14ac:dyDescent="0.25">
      <c r="A7601" s="388">
        <f>26.91*(0.028317)</f>
        <v>0.76201047</v>
      </c>
      <c r="B7601" s="465">
        <v>1.3185000000000001E-2</v>
      </c>
      <c r="C7601" t="str">
        <f t="shared" si="118"/>
        <v/>
      </c>
    </row>
    <row r="7602" spans="1:3" x14ac:dyDescent="0.25">
      <c r="A7602" s="388">
        <f>28.92*(0.028317)</f>
        <v>0.81892763999999996</v>
      </c>
      <c r="B7602" s="465">
        <v>1.5674E-2</v>
      </c>
      <c r="C7602" t="str">
        <f t="shared" si="118"/>
        <v/>
      </c>
    </row>
    <row r="7603" spans="1:3" x14ac:dyDescent="0.25">
      <c r="A7603" s="388">
        <f>35.99*(0.028317)</f>
        <v>1.0191288300000001</v>
      </c>
      <c r="B7603" s="465">
        <v>2.4480999999999999E-2</v>
      </c>
      <c r="C7603" t="str">
        <f t="shared" si="118"/>
        <v/>
      </c>
    </row>
    <row r="7604" spans="1:3" x14ac:dyDescent="0.25">
      <c r="A7604" s="388">
        <f>37.52*(0.028317)</f>
        <v>1.0624538400000001</v>
      </c>
      <c r="B7604" s="465">
        <v>4.666E-3</v>
      </c>
      <c r="C7604" t="str">
        <f t="shared" si="118"/>
        <v/>
      </c>
    </row>
    <row r="7605" spans="1:3" x14ac:dyDescent="0.25">
      <c r="A7605" s="388">
        <f>43.79*(0.028317)</f>
        <v>1.24000143</v>
      </c>
      <c r="B7605" s="465">
        <v>2.2043E-2</v>
      </c>
      <c r="C7605" t="str">
        <f t="shared" si="118"/>
        <v/>
      </c>
    </row>
    <row r="7606" spans="1:3" x14ac:dyDescent="0.25">
      <c r="A7606" s="388">
        <f>39.34*(0.028317)</f>
        <v>1.11399078</v>
      </c>
      <c r="B7606" s="465">
        <v>7.6249999999999998E-3</v>
      </c>
      <c r="C7606" t="str">
        <f t="shared" si="118"/>
        <v/>
      </c>
    </row>
    <row r="7607" spans="1:3" x14ac:dyDescent="0.25">
      <c r="A7607" s="388">
        <f>29.46*(0.028317)</f>
        <v>0.83421882000000003</v>
      </c>
      <c r="B7607" s="465">
        <v>6.3489999999999996E-3</v>
      </c>
      <c r="C7607" t="str">
        <f t="shared" ref="C7607:C7670" si="119">IF(B7607=0,"XXXXXXXX","")</f>
        <v/>
      </c>
    </row>
    <row r="7608" spans="1:3" x14ac:dyDescent="0.25">
      <c r="A7608" s="388">
        <f>23.64*(0.028317)</f>
        <v>0.66941388000000002</v>
      </c>
      <c r="B7608" s="465">
        <v>1.3008E-2</v>
      </c>
      <c r="C7608" t="str">
        <f t="shared" si="119"/>
        <v/>
      </c>
    </row>
    <row r="7609" spans="1:3" x14ac:dyDescent="0.25">
      <c r="A7609" s="388">
        <f>28.91*(0.028317)</f>
        <v>0.81864446999999996</v>
      </c>
      <c r="B7609" s="465">
        <v>1.8010000000000002E-2</v>
      </c>
      <c r="C7609" t="str">
        <f t="shared" si="119"/>
        <v/>
      </c>
    </row>
    <row r="7610" spans="1:3" x14ac:dyDescent="0.25">
      <c r="A7610" s="388">
        <f>30.43*(0.028317)</f>
        <v>0.86168630999999996</v>
      </c>
      <c r="B7610" s="465">
        <v>5.2050000000000004E-3</v>
      </c>
      <c r="C7610" t="str">
        <f t="shared" si="119"/>
        <v/>
      </c>
    </row>
    <row r="7611" spans="1:3" x14ac:dyDescent="0.25">
      <c r="A7611" s="388">
        <f>23.85*(0.028317)</f>
        <v>0.67536045</v>
      </c>
      <c r="B7611" s="465">
        <v>7.7640000000000001E-3</v>
      </c>
      <c r="C7611" t="str">
        <f t="shared" si="119"/>
        <v/>
      </c>
    </row>
    <row r="7612" spans="1:3" x14ac:dyDescent="0.25">
      <c r="A7612" s="388">
        <f>19.85*(0.028317)</f>
        <v>0.56209244999999997</v>
      </c>
      <c r="B7612" s="465">
        <v>1.078E-3</v>
      </c>
      <c r="C7612" t="str">
        <f t="shared" si="119"/>
        <v/>
      </c>
    </row>
    <row r="7613" spans="1:3" x14ac:dyDescent="0.25">
      <c r="A7613" s="388">
        <f>17.96*(0.028317)</f>
        <v>0.50857332</v>
      </c>
      <c r="B7613" s="465">
        <v>2.6459999999999999E-3</v>
      </c>
      <c r="C7613" t="str">
        <f t="shared" si="119"/>
        <v/>
      </c>
    </row>
    <row r="7614" spans="1:3" x14ac:dyDescent="0.25">
      <c r="A7614" s="388">
        <f>17.27*(0.028317)</f>
        <v>0.48903458999999994</v>
      </c>
      <c r="B7614" s="465">
        <v>1.8339999999999999E-3</v>
      </c>
      <c r="C7614" t="str">
        <f t="shared" si="119"/>
        <v/>
      </c>
    </row>
    <row r="7615" spans="1:3" x14ac:dyDescent="0.25">
      <c r="A7615" s="388">
        <f>16.7*(0.028317)</f>
        <v>0.47289389999999998</v>
      </c>
      <c r="B7615" s="465">
        <v>1.5167999999999999E-2</v>
      </c>
      <c r="C7615" t="str">
        <f t="shared" si="119"/>
        <v/>
      </c>
    </row>
    <row r="7616" spans="1:3" x14ac:dyDescent="0.25">
      <c r="A7616" s="388">
        <f>14.01*(0.028317)</f>
        <v>0.39672116999999996</v>
      </c>
      <c r="B7616" s="465">
        <v>5.9389999999999998E-3</v>
      </c>
      <c r="C7616" t="str">
        <f t="shared" si="119"/>
        <v/>
      </c>
    </row>
    <row r="7617" spans="1:3" x14ac:dyDescent="0.25">
      <c r="A7617" s="388">
        <f>14.42*(0.028317)</f>
        <v>0.40833113999999998</v>
      </c>
      <c r="B7617" s="465">
        <v>4.5209999999999998E-3</v>
      </c>
      <c r="C7617" t="str">
        <f t="shared" si="119"/>
        <v/>
      </c>
    </row>
    <row r="7618" spans="1:3" x14ac:dyDescent="0.25">
      <c r="A7618" s="388">
        <f>13.35*(0.028317)</f>
        <v>0.37803194999999995</v>
      </c>
      <c r="B7618" s="465">
        <v>7.9600000000000005E-4</v>
      </c>
      <c r="C7618" t="str">
        <f t="shared" si="119"/>
        <v/>
      </c>
    </row>
    <row r="7619" spans="1:3" x14ac:dyDescent="0.25">
      <c r="A7619" s="388">
        <f>11.26*(0.028317)</f>
        <v>0.31884941999999999</v>
      </c>
      <c r="B7619" s="465">
        <v>9.4499999999999998E-4</v>
      </c>
      <c r="C7619" t="str">
        <f t="shared" si="119"/>
        <v/>
      </c>
    </row>
    <row r="7620" spans="1:3" x14ac:dyDescent="0.25">
      <c r="A7620" s="388">
        <f>12.37*(0.028317)</f>
        <v>0.35028128999999997</v>
      </c>
      <c r="B7620" s="465">
        <v>7.8299999999999995E-4</v>
      </c>
      <c r="C7620" t="str">
        <f t="shared" si="119"/>
        <v/>
      </c>
    </row>
    <row r="7621" spans="1:3" x14ac:dyDescent="0.25">
      <c r="A7621" s="388">
        <f>13.31*(0.028317)</f>
        <v>0.37689927000000001</v>
      </c>
      <c r="B7621" s="465">
        <v>3.7199999999999999E-4</v>
      </c>
      <c r="C7621" t="str">
        <f t="shared" si="119"/>
        <v/>
      </c>
    </row>
    <row r="7622" spans="1:3" x14ac:dyDescent="0.25">
      <c r="A7622" s="388">
        <f>12.32*(0.028317)</f>
        <v>0.34886543999999997</v>
      </c>
      <c r="B7622" s="465">
        <v>1.333E-3</v>
      </c>
      <c r="C7622" t="str">
        <f t="shared" si="119"/>
        <v/>
      </c>
    </row>
    <row r="7623" spans="1:3" x14ac:dyDescent="0.25">
      <c r="A7623" s="388">
        <f>14.12*(0.028317)</f>
        <v>0.39983603999999995</v>
      </c>
      <c r="B7623" s="465">
        <v>1.5799999999999999E-4</v>
      </c>
      <c r="C7623" t="str">
        <f t="shared" si="119"/>
        <v/>
      </c>
    </row>
    <row r="7624" spans="1:3" x14ac:dyDescent="0.25">
      <c r="A7624" s="388">
        <f>8.84*(0.028317)</f>
        <v>0.25032228000000001</v>
      </c>
      <c r="B7624" s="465">
        <v>2.5700000000000001E-4</v>
      </c>
      <c r="C7624" t="str">
        <f t="shared" si="119"/>
        <v/>
      </c>
    </row>
    <row r="7625" spans="1:3" x14ac:dyDescent="0.25">
      <c r="A7625" s="388">
        <f>10.17*(0.028317)</f>
        <v>0.28798388999999996</v>
      </c>
      <c r="B7625" s="465">
        <v>5.71E-4</v>
      </c>
      <c r="C7625" t="str">
        <f t="shared" si="119"/>
        <v/>
      </c>
    </row>
    <row r="7626" spans="1:3" x14ac:dyDescent="0.25">
      <c r="A7626" s="388">
        <f>10.3*(0.028317)</f>
        <v>0.29166510000000001</v>
      </c>
      <c r="B7626" s="465">
        <v>1.2999999999999999E-4</v>
      </c>
      <c r="C7626" t="str">
        <f t="shared" si="119"/>
        <v/>
      </c>
    </row>
    <row r="7627" spans="1:3" x14ac:dyDescent="0.25">
      <c r="A7627" s="388">
        <f>10.08*(0.028317)</f>
        <v>0.28543535999999997</v>
      </c>
      <c r="B7627" s="465">
        <v>1.18E-4</v>
      </c>
      <c r="C7627" t="str">
        <f t="shared" si="119"/>
        <v/>
      </c>
    </row>
    <row r="7628" spans="1:3" x14ac:dyDescent="0.25">
      <c r="A7628" s="388">
        <f>6.59*(0.028317)</f>
        <v>0.18660902999999998</v>
      </c>
      <c r="B7628" s="465">
        <v>5.5999999999999999E-5</v>
      </c>
      <c r="C7628" t="str">
        <f t="shared" si="119"/>
        <v/>
      </c>
    </row>
    <row r="7629" spans="1:3" x14ac:dyDescent="0.25">
      <c r="A7629" s="388">
        <f>5.87*(0.028317)</f>
        <v>0.16622079000000001</v>
      </c>
      <c r="B7629" s="465">
        <v>4.1E-5</v>
      </c>
      <c r="C7629" t="str">
        <f t="shared" si="119"/>
        <v/>
      </c>
    </row>
    <row r="7630" spans="1:3" x14ac:dyDescent="0.25">
      <c r="A7630" s="388">
        <f>5.17*(0.028317)</f>
        <v>0.14639888999999998</v>
      </c>
      <c r="B7630" s="465">
        <v>5.1E-5</v>
      </c>
      <c r="C7630" t="str">
        <f t="shared" si="119"/>
        <v/>
      </c>
    </row>
    <row r="7631" spans="1:3" x14ac:dyDescent="0.25">
      <c r="A7631" s="388">
        <f>4.67*(0.028317)</f>
        <v>0.13224038999999999</v>
      </c>
      <c r="B7631" s="465">
        <v>3.3500000000000001E-4</v>
      </c>
      <c r="C7631" t="str">
        <f t="shared" si="119"/>
        <v/>
      </c>
    </row>
    <row r="7632" spans="1:3" x14ac:dyDescent="0.25">
      <c r="A7632" s="388">
        <f>2.81*(0.028317)</f>
        <v>7.9570769999999999E-2</v>
      </c>
      <c r="B7632" s="465">
        <v>2.3E-5</v>
      </c>
      <c r="C7632" t="str">
        <f t="shared" si="119"/>
        <v/>
      </c>
    </row>
    <row r="7633" spans="1:3" x14ac:dyDescent="0.25">
      <c r="A7633" s="388">
        <f>3.72*(0.028317)</f>
        <v>0.10533924</v>
      </c>
      <c r="B7633" s="465">
        <v>4.55E-4</v>
      </c>
      <c r="C7633" t="str">
        <f t="shared" si="119"/>
        <v/>
      </c>
    </row>
    <row r="7634" spans="1:3" x14ac:dyDescent="0.25">
      <c r="A7634" s="388">
        <f>2.17*(0.028317)</f>
        <v>6.1447889999999991E-2</v>
      </c>
      <c r="B7634" s="465">
        <v>6.6699999999999995E-4</v>
      </c>
      <c r="C7634" t="str">
        <f t="shared" si="119"/>
        <v/>
      </c>
    </row>
    <row r="7635" spans="1:3" x14ac:dyDescent="0.25">
      <c r="A7635" s="388">
        <f>2.09*(0.028317)</f>
        <v>5.918252999999999E-2</v>
      </c>
      <c r="B7635" s="465">
        <v>1.5999999999999999E-5</v>
      </c>
      <c r="C7635" t="str">
        <f t="shared" si="119"/>
        <v/>
      </c>
    </row>
    <row r="7636" spans="1:3" x14ac:dyDescent="0.25">
      <c r="A7636" s="388">
        <f>14.71*(0.028317)</f>
        <v>0.41654307000000002</v>
      </c>
      <c r="B7636" s="465">
        <v>9.6900000000000003E-4</v>
      </c>
      <c r="C7636" t="str">
        <f t="shared" si="119"/>
        <v/>
      </c>
    </row>
    <row r="7637" spans="1:3" x14ac:dyDescent="0.25">
      <c r="A7637" s="388">
        <f>99.9582577132486*(0.028317)</f>
        <v>2.8305179836660606</v>
      </c>
      <c r="B7637" s="465">
        <v>4.8760000000000005E-2</v>
      </c>
      <c r="C7637" t="str">
        <f t="shared" si="119"/>
        <v/>
      </c>
    </row>
    <row r="7638" spans="1:3" x14ac:dyDescent="0.25">
      <c r="A7638" s="388">
        <f>87.8590441621297*(0.028317)</f>
        <v>2.487904553539027</v>
      </c>
      <c r="B7638" s="465">
        <v>3.2319999999999996E-3</v>
      </c>
      <c r="C7638" t="str">
        <f t="shared" si="119"/>
        <v/>
      </c>
    </row>
    <row r="7639" spans="1:3" x14ac:dyDescent="0.25">
      <c r="A7639" s="388">
        <f>295.71*(0.028317)</f>
        <v>8.3736200699999994</v>
      </c>
      <c r="B7639" s="465">
        <v>1.54E-2</v>
      </c>
      <c r="C7639" t="str">
        <f t="shared" si="119"/>
        <v/>
      </c>
    </row>
    <row r="7640" spans="1:3" x14ac:dyDescent="0.25">
      <c r="A7640" s="388">
        <f>448.08*(0.028317)</f>
        <v>12.68828136</v>
      </c>
      <c r="B7640" s="465">
        <v>6.0808000000000008E-2</v>
      </c>
      <c r="C7640" t="str">
        <f t="shared" si="119"/>
        <v/>
      </c>
    </row>
    <row r="7641" spans="1:3" x14ac:dyDescent="0.25">
      <c r="A7641" s="388">
        <f>444.77*(0.028317)</f>
        <v>12.594552089999999</v>
      </c>
      <c r="B7641" s="465">
        <v>0.10731200000000002</v>
      </c>
      <c r="C7641" t="str">
        <f t="shared" si="119"/>
        <v/>
      </c>
    </row>
    <row r="7642" spans="1:3" x14ac:dyDescent="0.25">
      <c r="A7642" s="388">
        <f>527.11*(0.028317)</f>
        <v>14.92617387</v>
      </c>
      <c r="B7642" s="465">
        <v>0.28531200000000001</v>
      </c>
      <c r="C7642" t="str">
        <f t="shared" si="119"/>
        <v/>
      </c>
    </row>
    <row r="7643" spans="1:3" x14ac:dyDescent="0.25">
      <c r="A7643" s="388">
        <f>455*(0.028317)</f>
        <v>12.884234999999999</v>
      </c>
      <c r="B7643" s="465">
        <v>9.5760000000000012E-2</v>
      </c>
      <c r="C7643" t="str">
        <f t="shared" si="119"/>
        <v/>
      </c>
    </row>
    <row r="7644" spans="1:3" x14ac:dyDescent="0.25">
      <c r="A7644" s="388">
        <f>417.562613430127*(0.028317)</f>
        <v>11.824120524500906</v>
      </c>
      <c r="B7644" s="465">
        <v>0.12759999999999999</v>
      </c>
      <c r="C7644" t="str">
        <f t="shared" si="119"/>
        <v/>
      </c>
    </row>
    <row r="7645" spans="1:3" x14ac:dyDescent="0.25">
      <c r="A7645" s="388">
        <f>372.47*(0.028317)</f>
        <v>10.547232989999999</v>
      </c>
      <c r="B7645" s="465">
        <v>1.4416E-2</v>
      </c>
      <c r="C7645" t="str">
        <f t="shared" si="119"/>
        <v/>
      </c>
    </row>
    <row r="7646" spans="1:3" x14ac:dyDescent="0.25">
      <c r="A7646" s="388">
        <f>424.89*(0.028317)</f>
        <v>12.031610129999999</v>
      </c>
      <c r="B7646" s="465">
        <v>0.22393599999999997</v>
      </c>
      <c r="C7646" t="str">
        <f t="shared" si="119"/>
        <v/>
      </c>
    </row>
    <row r="7647" spans="1:3" x14ac:dyDescent="0.25">
      <c r="A7647" s="388">
        <f>400.8*(0.028317)</f>
        <v>11.3494536</v>
      </c>
      <c r="B7647" s="465">
        <v>9.8640000000000005E-2</v>
      </c>
      <c r="C7647" t="str">
        <f t="shared" si="119"/>
        <v/>
      </c>
    </row>
    <row r="7648" spans="1:3" x14ac:dyDescent="0.25">
      <c r="A7648" s="388">
        <f>357.066545674531*(0.028317)</f>
        <v>10.111053373865694</v>
      </c>
      <c r="B7648" s="465">
        <v>8.0112000000000003E-2</v>
      </c>
      <c r="C7648" t="str">
        <f t="shared" si="119"/>
        <v/>
      </c>
    </row>
    <row r="7649" spans="1:3" x14ac:dyDescent="0.25">
      <c r="A7649" s="388">
        <f>254.55*(0.028317)</f>
        <v>7.2080923500000003</v>
      </c>
      <c r="B7649" s="465">
        <v>6.992E-3</v>
      </c>
      <c r="C7649" t="str">
        <f t="shared" si="119"/>
        <v/>
      </c>
    </row>
    <row r="7650" spans="1:3" x14ac:dyDescent="0.25">
      <c r="A7650" s="388">
        <f>361.69*(0.028317)</f>
        <v>10.24197573</v>
      </c>
      <c r="B7650" s="465">
        <v>1.0728E-2</v>
      </c>
      <c r="C7650" t="str">
        <f t="shared" si="119"/>
        <v/>
      </c>
    </row>
    <row r="7651" spans="1:3" x14ac:dyDescent="0.25">
      <c r="A7651" s="388">
        <f>498.26*(0.028317)</f>
        <v>14.109228419999999</v>
      </c>
      <c r="B7651" s="465">
        <v>7.5679999999999997E-2</v>
      </c>
      <c r="C7651" t="str">
        <f t="shared" si="119"/>
        <v/>
      </c>
    </row>
    <row r="7652" spans="1:3" x14ac:dyDescent="0.25">
      <c r="A7652" s="388">
        <f>655.03*(0.028317)</f>
        <v>18.548484509999998</v>
      </c>
      <c r="B7652" s="465">
        <v>0.68599999999999994</v>
      </c>
      <c r="C7652" t="str">
        <f t="shared" si="119"/>
        <v/>
      </c>
    </row>
    <row r="7653" spans="1:3" x14ac:dyDescent="0.25">
      <c r="A7653" s="388">
        <f>955.77*(0.028317)</f>
        <v>27.064539089999997</v>
      </c>
      <c r="B7653" s="465">
        <v>1.82616</v>
      </c>
      <c r="C7653" t="str">
        <f t="shared" si="119"/>
        <v/>
      </c>
    </row>
    <row r="7654" spans="1:3" x14ac:dyDescent="0.25">
      <c r="A7654" s="388">
        <f>957.27*(0.028317)</f>
        <v>27.107014589999999</v>
      </c>
      <c r="B7654" s="465">
        <v>1.48288</v>
      </c>
      <c r="C7654" t="str">
        <f t="shared" si="119"/>
        <v/>
      </c>
    </row>
    <row r="7655" spans="1:3" x14ac:dyDescent="0.25">
      <c r="A7655" s="388">
        <f>908.43*(0.028317)</f>
        <v>25.724012309999996</v>
      </c>
      <c r="B7655" s="465">
        <v>0.62544</v>
      </c>
      <c r="C7655" t="str">
        <f t="shared" si="119"/>
        <v/>
      </c>
    </row>
    <row r="7656" spans="1:3" x14ac:dyDescent="0.25">
      <c r="A7656" s="388">
        <f>862.208711433757*(0.028317)</f>
        <v>24.415164081669694</v>
      </c>
      <c r="B7656" s="465">
        <v>1.1495200000000001</v>
      </c>
      <c r="C7656" t="str">
        <f t="shared" si="119"/>
        <v/>
      </c>
    </row>
    <row r="7657" spans="1:3" x14ac:dyDescent="0.25">
      <c r="A7657" s="388">
        <f>701.894131881428*(0.028317)</f>
        <v>19.875536132486396</v>
      </c>
      <c r="B7657" s="465">
        <v>2.57456</v>
      </c>
      <c r="C7657" t="str">
        <f t="shared" si="119"/>
        <v/>
      </c>
    </row>
    <row r="7658" spans="1:3" x14ac:dyDescent="0.25">
      <c r="A7658" s="388">
        <f>480.94*(0.028317)</f>
        <v>13.618777979999999</v>
      </c>
      <c r="B7658" s="465">
        <v>8.6720000000000005E-2</v>
      </c>
      <c r="C7658" t="str">
        <f t="shared" si="119"/>
        <v/>
      </c>
    </row>
    <row r="7659" spans="1:3" x14ac:dyDescent="0.25">
      <c r="A7659" s="388">
        <f>544.604355716879*(0.028317)</f>
        <v>15.421561540834862</v>
      </c>
      <c r="B7659" s="465">
        <v>0.21</v>
      </c>
      <c r="C7659" t="str">
        <f t="shared" si="119"/>
        <v/>
      </c>
    </row>
    <row r="7660" spans="1:3" x14ac:dyDescent="0.25">
      <c r="A7660" s="388">
        <f>574.852389594676*(0.028317)</f>
        <v>16.278095116152439</v>
      </c>
      <c r="B7660" s="465">
        <v>0.13040000000000002</v>
      </c>
      <c r="C7660" t="str">
        <f t="shared" si="119"/>
        <v/>
      </c>
    </row>
    <row r="7661" spans="1:3" x14ac:dyDescent="0.25">
      <c r="A7661" s="388">
        <f>481.083484573503*(0.028317)</f>
        <v>13.622841032667884</v>
      </c>
      <c r="B7661" s="465">
        <v>0.15423999999999999</v>
      </c>
      <c r="C7661" t="str">
        <f t="shared" si="119"/>
        <v/>
      </c>
    </row>
    <row r="7662" spans="1:3" x14ac:dyDescent="0.25">
      <c r="A7662" s="388">
        <f>589.976406533576*(0.028317)</f>
        <v>16.706361903811271</v>
      </c>
      <c r="B7662" s="465">
        <v>0.21280000000000002</v>
      </c>
      <c r="C7662" t="str">
        <f t="shared" si="119"/>
        <v/>
      </c>
    </row>
    <row r="7663" spans="1:3" x14ac:dyDescent="0.25">
      <c r="A7663" s="388">
        <f>550.653962492438*(0.028317)</f>
        <v>15.592868255898367</v>
      </c>
      <c r="B7663" s="465">
        <v>0.25864000000000004</v>
      </c>
      <c r="C7663" t="str">
        <f t="shared" si="119"/>
        <v/>
      </c>
    </row>
    <row r="7664" spans="1:3" x14ac:dyDescent="0.25">
      <c r="A7664" s="388">
        <f>586.951603145796*(0.028317)</f>
        <v>16.620708546279502</v>
      </c>
      <c r="B7664" s="465">
        <v>0.21856</v>
      </c>
      <c r="C7664" t="str">
        <f t="shared" si="119"/>
        <v/>
      </c>
    </row>
    <row r="7665" spans="1:3" x14ac:dyDescent="0.25">
      <c r="A7665" s="388">
        <f>656.522081064731*(0.028317)</f>
        <v>18.590735769509987</v>
      </c>
      <c r="B7665" s="465">
        <v>0.25648000000000004</v>
      </c>
      <c r="C7665" t="str">
        <f t="shared" si="119"/>
        <v/>
      </c>
    </row>
    <row r="7666" spans="1:3" x14ac:dyDescent="0.25">
      <c r="A7666" s="388">
        <f>638.373260738052*(0.028317)</f>
        <v>18.076815624319416</v>
      </c>
      <c r="B7666" s="465">
        <v>0.36831999999999998</v>
      </c>
      <c r="C7666" t="str">
        <f t="shared" si="119"/>
        <v/>
      </c>
    </row>
    <row r="7667" spans="1:3" x14ac:dyDescent="0.25">
      <c r="A7667" s="388">
        <f>614.174833635814*(0.028317)</f>
        <v>17.391588764065343</v>
      </c>
      <c r="B7667" s="465">
        <v>0.65832000000000002</v>
      </c>
      <c r="C7667" t="str">
        <f t="shared" si="119"/>
        <v/>
      </c>
    </row>
    <row r="7668" spans="1:3" x14ac:dyDescent="0.25">
      <c r="A7668" s="388">
        <f>472.009074410163*(0.028317)</f>
        <v>13.365880960072586</v>
      </c>
      <c r="B7668" s="465">
        <v>0.32223999999999997</v>
      </c>
      <c r="C7668" t="str">
        <f t="shared" si="119"/>
        <v/>
      </c>
    </row>
    <row r="7669" spans="1:3" x14ac:dyDescent="0.25">
      <c r="A7669" s="388">
        <f>426.637023593466*(0.028317)</f>
        <v>12.081080597096175</v>
      </c>
      <c r="B7669" s="465">
        <v>0.17480000000000001</v>
      </c>
      <c r="C7669" t="str">
        <f t="shared" si="119"/>
        <v/>
      </c>
    </row>
    <row r="7670" spans="1:3" x14ac:dyDescent="0.25">
      <c r="A7670" s="388">
        <f>360.091349062311*(0.028317)</f>
        <v>10.196706731397461</v>
      </c>
      <c r="B7670" s="465">
        <v>7.0480000000000001E-2</v>
      </c>
      <c r="C7670" t="str">
        <f t="shared" si="119"/>
        <v/>
      </c>
    </row>
    <row r="7671" spans="1:3" x14ac:dyDescent="0.25">
      <c r="A7671" s="388">
        <f>320.768905021174*(0.028317)</f>
        <v>9.0832130834845834</v>
      </c>
      <c r="B7671" s="465">
        <v>4.1919999999999999E-2</v>
      </c>
      <c r="C7671" t="str">
        <f t="shared" ref="C7671:C7734" si="120">IF(B7671=0,"XXXXXXXX","")</f>
        <v/>
      </c>
    </row>
    <row r="7672" spans="1:3" x14ac:dyDescent="0.25">
      <c r="A7672" s="388">
        <f>332.868118572293*(0.028317)</f>
        <v>9.4258265136116197</v>
      </c>
      <c r="B7672" s="465">
        <v>8.3999999999999995E-3</v>
      </c>
      <c r="C7672" t="str">
        <f t="shared" si="120"/>
        <v/>
      </c>
    </row>
    <row r="7673" spans="1:3" x14ac:dyDescent="0.25">
      <c r="A7673" s="388">
        <f>223.97519661222*(0.028317)</f>
        <v>6.3423056424682338</v>
      </c>
      <c r="B7673" s="465">
        <v>5.0400000000000002E-3</v>
      </c>
      <c r="C7673" t="str">
        <f t="shared" si="120"/>
        <v/>
      </c>
    </row>
    <row r="7674" spans="1:3" x14ac:dyDescent="0.25">
      <c r="A7674" s="388">
        <f>181.627949183303*(0.028317)</f>
        <v>5.1431586370235909</v>
      </c>
      <c r="B7674" s="465">
        <v>1.6800000000000001E-3</v>
      </c>
      <c r="C7674" t="str">
        <f t="shared" si="120"/>
        <v/>
      </c>
    </row>
    <row r="7675" spans="1:3" x14ac:dyDescent="0.25">
      <c r="A7675" s="388">
        <f>124.156684815487*(0.028317)</f>
        <v>3.5157448439201451</v>
      </c>
      <c r="B7675" s="465">
        <v>1.6800000000000001E-3</v>
      </c>
      <c r="C7675" t="str">
        <f t="shared" si="120"/>
        <v/>
      </c>
    </row>
    <row r="7676" spans="1:3" x14ac:dyDescent="0.25">
      <c r="A7676" s="388">
        <f>72.7350272232305*(0.028317)</f>
        <v>2.0596377658802179</v>
      </c>
      <c r="B7676" s="465">
        <v>5.0400000000000002E-3</v>
      </c>
      <c r="C7676" t="str">
        <f t="shared" si="120"/>
        <v/>
      </c>
    </row>
    <row r="7677" spans="1:3" x14ac:dyDescent="0.25">
      <c r="A7677" s="388">
        <f>102.983061101028*(0.028317)</f>
        <v>2.9161713411978099</v>
      </c>
      <c r="B7677" s="465">
        <v>1.6800000000000001E-3</v>
      </c>
      <c r="C7677" t="str">
        <f t="shared" si="120"/>
        <v/>
      </c>
    </row>
    <row r="7678" spans="1:3" x14ac:dyDescent="0.25">
      <c r="A7678" s="388">
        <f>217.925589836661*(0.028317)</f>
        <v>6.170998927404729</v>
      </c>
      <c r="B7678" s="465">
        <v>1.0320000000000001E-3</v>
      </c>
      <c r="C7678" t="str">
        <f t="shared" si="120"/>
        <v/>
      </c>
    </row>
    <row r="7679" spans="1:3" x14ac:dyDescent="0.25">
      <c r="A7679" s="388">
        <f>212.18*(0.028317)</f>
        <v>6.00830106</v>
      </c>
      <c r="B7679" s="465">
        <v>6.0068666666666668E-3</v>
      </c>
      <c r="C7679" t="str">
        <f t="shared" si="120"/>
        <v/>
      </c>
    </row>
    <row r="7680" spans="1:3" x14ac:dyDescent="0.25">
      <c r="A7680" s="388">
        <f>171.25*(0.028317)</f>
        <v>4.8492862499999996</v>
      </c>
      <c r="B7680" s="465">
        <v>1.0920000000000001E-2</v>
      </c>
      <c r="C7680" t="str">
        <f t="shared" si="120"/>
        <v/>
      </c>
    </row>
    <row r="7681" spans="1:3" x14ac:dyDescent="0.25">
      <c r="A7681" s="388">
        <f>163.23*(0.028317)</f>
        <v>4.6221839099999995</v>
      </c>
      <c r="B7681" s="465">
        <v>7.6479999999999994E-4</v>
      </c>
      <c r="C7681" t="str">
        <f t="shared" si="120"/>
        <v/>
      </c>
    </row>
    <row r="7682" spans="1:3" x14ac:dyDescent="0.25">
      <c r="A7682" s="388">
        <f>151.42*(0.028317)</f>
        <v>4.2877601399999996</v>
      </c>
      <c r="B7682" s="465">
        <v>2.8500000000000001E-3</v>
      </c>
      <c r="C7682" t="str">
        <f t="shared" si="120"/>
        <v/>
      </c>
    </row>
    <row r="7683" spans="1:3" x14ac:dyDescent="0.25">
      <c r="A7683" s="388">
        <f>266.32*(0.028317)</f>
        <v>7.5413834399999997</v>
      </c>
      <c r="B7683" s="465">
        <v>9.4723666666666675E-3</v>
      </c>
      <c r="C7683" t="str">
        <f t="shared" si="120"/>
        <v/>
      </c>
    </row>
    <row r="7684" spans="1:3" x14ac:dyDescent="0.25">
      <c r="A7684" s="388">
        <f>232.25*(0.028317)</f>
        <v>6.5766232499999999</v>
      </c>
      <c r="B7684" s="465">
        <v>1.3495533333333332E-2</v>
      </c>
      <c r="C7684" t="str">
        <f t="shared" si="120"/>
        <v/>
      </c>
    </row>
    <row r="7685" spans="1:3" x14ac:dyDescent="0.25">
      <c r="A7685" s="388">
        <f>160.35*(0.028317)</f>
        <v>4.5406309499999997</v>
      </c>
      <c r="B7685" s="465">
        <v>4.803899999999999E-3</v>
      </c>
      <c r="C7685" t="str">
        <f t="shared" si="120"/>
        <v/>
      </c>
    </row>
    <row r="7686" spans="1:3" x14ac:dyDescent="0.25">
      <c r="A7686" s="388">
        <f>173.28*(0.028317)</f>
        <v>4.9067697599999995</v>
      </c>
      <c r="B7686" s="465">
        <v>2.5891666666666667E-3</v>
      </c>
      <c r="C7686" t="str">
        <f t="shared" si="120"/>
        <v/>
      </c>
    </row>
    <row r="7687" spans="1:3" x14ac:dyDescent="0.25">
      <c r="A7687" s="388">
        <f>268.86*(0.028317)</f>
        <v>7.6133086199999997</v>
      </c>
      <c r="B7687" s="465">
        <v>2.1079800000000003E-2</v>
      </c>
      <c r="C7687" t="str">
        <f t="shared" si="120"/>
        <v/>
      </c>
    </row>
    <row r="7688" spans="1:3" x14ac:dyDescent="0.25">
      <c r="A7688" s="388">
        <f>334.59*(0.028317)</f>
        <v>9.4745850299999983</v>
      </c>
      <c r="B7688" s="465">
        <v>7.2815333333333338E-3</v>
      </c>
      <c r="C7688" t="str">
        <f t="shared" si="120"/>
        <v/>
      </c>
    </row>
    <row r="7689" spans="1:3" x14ac:dyDescent="0.25">
      <c r="A7689" s="388">
        <f>372.47*(0.028317)</f>
        <v>10.547232989999999</v>
      </c>
      <c r="B7689" s="465">
        <v>1.9136E-2</v>
      </c>
      <c r="C7689" t="str">
        <f t="shared" si="120"/>
        <v/>
      </c>
    </row>
    <row r="7690" spans="1:3" x14ac:dyDescent="0.25">
      <c r="A7690" s="388">
        <f>444.76*(0.028317)</f>
        <v>12.594268919999999</v>
      </c>
      <c r="B7690" s="465">
        <v>9.3313566666666653E-2</v>
      </c>
      <c r="C7690" t="str">
        <f t="shared" si="120"/>
        <v/>
      </c>
    </row>
    <row r="7691" spans="1:3" x14ac:dyDescent="0.25">
      <c r="A7691" s="388">
        <f>374.67*(0.028317)</f>
        <v>10.60953039</v>
      </c>
      <c r="B7691" s="465">
        <v>0.11206709999999999</v>
      </c>
      <c r="C7691" t="str">
        <f t="shared" si="120"/>
        <v/>
      </c>
    </row>
    <row r="7692" spans="1:3" x14ac:dyDescent="0.25">
      <c r="A7692" s="388">
        <f>355.87*(0.028317)</f>
        <v>10.07717079</v>
      </c>
      <c r="B7692" s="465">
        <v>9.4070399999999998E-2</v>
      </c>
      <c r="C7692" t="str">
        <f t="shared" si="120"/>
        <v/>
      </c>
    </row>
    <row r="7693" spans="1:3" x14ac:dyDescent="0.25">
      <c r="A7693" s="388">
        <f>333.39*(0.028317)</f>
        <v>9.4406046299999993</v>
      </c>
      <c r="B7693" s="465">
        <v>5.7662733333333327E-2</v>
      </c>
      <c r="C7693" t="str">
        <f t="shared" si="120"/>
        <v/>
      </c>
    </row>
    <row r="7694" spans="1:3" x14ac:dyDescent="0.25">
      <c r="A7694" s="388">
        <f>404.23*(0.028317)</f>
        <v>11.44658091</v>
      </c>
      <c r="B7694" s="465">
        <v>3.1285099999999996E-2</v>
      </c>
      <c r="C7694" t="str">
        <f t="shared" si="120"/>
        <v/>
      </c>
    </row>
    <row r="7695" spans="1:3" x14ac:dyDescent="0.25">
      <c r="A7695" s="388">
        <f>551.63*(0.028317)</f>
        <v>15.620506709999999</v>
      </c>
      <c r="B7695" s="465">
        <v>0.34984023333333336</v>
      </c>
      <c r="C7695" t="str">
        <f t="shared" si="120"/>
        <v/>
      </c>
    </row>
    <row r="7696" spans="1:3" x14ac:dyDescent="0.25">
      <c r="A7696" s="388">
        <f>592.52*(0.028317)</f>
        <v>16.778388839999998</v>
      </c>
      <c r="B7696" s="465">
        <v>0.3123013</v>
      </c>
      <c r="C7696" t="str">
        <f t="shared" si="120"/>
        <v/>
      </c>
    </row>
    <row r="7697" spans="1:3" x14ac:dyDescent="0.25">
      <c r="A7697" s="388">
        <f>640.18*(0.028317)</f>
        <v>18.127977059999999</v>
      </c>
      <c r="B7697" s="465">
        <v>0.27745510000000001</v>
      </c>
      <c r="C7697" t="str">
        <f t="shared" si="120"/>
        <v/>
      </c>
    </row>
    <row r="7698" spans="1:3" x14ac:dyDescent="0.25">
      <c r="A7698" s="388">
        <f>480.84*(0.028317)</f>
        <v>13.615946279999999</v>
      </c>
      <c r="B7698" s="465">
        <v>9.8221033333333319E-2</v>
      </c>
      <c r="C7698" t="str">
        <f t="shared" si="120"/>
        <v/>
      </c>
    </row>
    <row r="7699" spans="1:3" x14ac:dyDescent="0.25">
      <c r="A7699" s="388">
        <f>512.71*(0.028317)</f>
        <v>14.518409070000001</v>
      </c>
      <c r="B7699" s="465">
        <v>0.54107209999999994</v>
      </c>
      <c r="C7699" t="str">
        <f t="shared" si="120"/>
        <v/>
      </c>
    </row>
    <row r="7700" spans="1:3" x14ac:dyDescent="0.25">
      <c r="A7700" s="388">
        <f>535.88*(0.028317)</f>
        <v>15.174513959999999</v>
      </c>
      <c r="B7700" s="465">
        <v>0.21353853333333334</v>
      </c>
      <c r="C7700" t="str">
        <f t="shared" si="120"/>
        <v/>
      </c>
    </row>
    <row r="7701" spans="1:3" x14ac:dyDescent="0.25">
      <c r="A7701" s="388">
        <f>536.74*(0.028317)</f>
        <v>15.198866579999999</v>
      </c>
      <c r="B7701" s="465">
        <v>0.49793259999999995</v>
      </c>
      <c r="C7701" t="str">
        <f t="shared" si="120"/>
        <v/>
      </c>
    </row>
    <row r="7702" spans="1:3" x14ac:dyDescent="0.25">
      <c r="A7702" s="388">
        <f>429.11*(0.028317)</f>
        <v>12.151107870000001</v>
      </c>
      <c r="B7702" s="465">
        <v>0.27363906666666665</v>
      </c>
      <c r="C7702" t="str">
        <f t="shared" si="120"/>
        <v/>
      </c>
    </row>
    <row r="7703" spans="1:3" x14ac:dyDescent="0.25">
      <c r="A7703" s="388">
        <f>567.08*(0.028317)</f>
        <v>16.058004360000002</v>
      </c>
      <c r="B7703" s="465">
        <v>0.28958833333333334</v>
      </c>
      <c r="C7703" t="str">
        <f t="shared" si="120"/>
        <v/>
      </c>
    </row>
    <row r="7704" spans="1:3" x14ac:dyDescent="0.25">
      <c r="A7704" s="388">
        <f>391.12*(0.028317)</f>
        <v>11.07534504</v>
      </c>
      <c r="B7704" s="465">
        <v>3.8678166666666666E-2</v>
      </c>
      <c r="C7704" t="str">
        <f t="shared" si="120"/>
        <v/>
      </c>
    </row>
    <row r="7705" spans="1:3" x14ac:dyDescent="0.25">
      <c r="A7705" s="388">
        <f>303.04*(0.028317)</f>
        <v>8.5811836800000005</v>
      </c>
      <c r="B7705" s="465">
        <v>1.3877933333333332E-2</v>
      </c>
      <c r="C7705" t="str">
        <f t="shared" si="120"/>
        <v/>
      </c>
    </row>
    <row r="7706" spans="1:3" x14ac:dyDescent="0.25">
      <c r="A7706" s="388">
        <f>259.54*(0.028317)</f>
        <v>7.34939418</v>
      </c>
      <c r="B7706" s="465">
        <v>2.2187166666666664E-2</v>
      </c>
      <c r="C7706" t="str">
        <f t="shared" si="120"/>
        <v/>
      </c>
    </row>
    <row r="7707" spans="1:3" x14ac:dyDescent="0.25">
      <c r="A7707" s="388">
        <f>271.25*(0.028317)</f>
        <v>7.6809862499999992</v>
      </c>
      <c r="B7707" s="465">
        <v>1.9358999999999999E-3</v>
      </c>
      <c r="C7707" t="str">
        <f t="shared" si="120"/>
        <v/>
      </c>
    </row>
    <row r="7708" spans="1:3" x14ac:dyDescent="0.25">
      <c r="A7708" s="388">
        <f>276.42*(0.028317)</f>
        <v>7.8273851399999996</v>
      </c>
      <c r="B7708" s="465">
        <v>1.8641999999999999E-3</v>
      </c>
      <c r="C7708" t="str">
        <f t="shared" si="120"/>
        <v/>
      </c>
    </row>
    <row r="7709" spans="1:3" x14ac:dyDescent="0.25">
      <c r="A7709" s="388">
        <f>271.01*(0.028317)</f>
        <v>7.6741901699999993</v>
      </c>
      <c r="B7709" s="465">
        <v>8.2216000000000008E-3</v>
      </c>
      <c r="C7709" t="str">
        <f t="shared" si="120"/>
        <v/>
      </c>
    </row>
    <row r="7710" spans="1:3" x14ac:dyDescent="0.25">
      <c r="A7710" s="388">
        <f>246.33*(0.028317)</f>
        <v>6.9753266099999998</v>
      </c>
      <c r="B7710" s="465">
        <v>1.8052466666666666E-2</v>
      </c>
      <c r="C7710" t="str">
        <f t="shared" si="120"/>
        <v/>
      </c>
    </row>
    <row r="7711" spans="1:3" x14ac:dyDescent="0.25">
      <c r="A7711" s="388">
        <f>264.38*(0.028317)</f>
        <v>7.4864484599999992</v>
      </c>
      <c r="B7711" s="465">
        <v>6.0116466666666667E-2</v>
      </c>
      <c r="C7711" t="str">
        <f t="shared" si="120"/>
        <v/>
      </c>
    </row>
    <row r="7712" spans="1:3" x14ac:dyDescent="0.25">
      <c r="A7712" s="388">
        <f>289.81*(0.028317)</f>
        <v>8.2065497699999987</v>
      </c>
      <c r="B7712" s="465">
        <v>1.3081266666666666E-2</v>
      </c>
      <c r="C7712" t="str">
        <f t="shared" si="120"/>
        <v/>
      </c>
    </row>
    <row r="7713" spans="1:3" x14ac:dyDescent="0.25">
      <c r="A7713" s="388">
        <f>289.55*(0.028317)</f>
        <v>8.199187349999999</v>
      </c>
      <c r="B7713" s="465">
        <v>1.07072E-2</v>
      </c>
      <c r="C7713" t="str">
        <f t="shared" si="120"/>
        <v/>
      </c>
    </row>
    <row r="7714" spans="1:3" x14ac:dyDescent="0.25">
      <c r="A7714" s="388">
        <f>253.92*(0.028317)</f>
        <v>7.1902526399999989</v>
      </c>
      <c r="B7714" s="465">
        <v>2.3262666666666663E-3</v>
      </c>
      <c r="C7714" t="str">
        <f t="shared" si="120"/>
        <v/>
      </c>
    </row>
    <row r="7715" spans="1:3" x14ac:dyDescent="0.25">
      <c r="A7715" s="388">
        <f>299.91*(0.028317)</f>
        <v>8.4925514700000004</v>
      </c>
      <c r="B7715" s="465">
        <v>1.3017533333333331E-2</v>
      </c>
      <c r="C7715" t="str">
        <f t="shared" si="120"/>
        <v/>
      </c>
    </row>
    <row r="7716" spans="1:3" x14ac:dyDescent="0.25">
      <c r="A7716" s="388">
        <f>281.12*(0.028317)</f>
        <v>7.9604750399999995</v>
      </c>
      <c r="B7716" s="465">
        <v>1.3599099999999998E-2</v>
      </c>
      <c r="C7716" t="str">
        <f t="shared" si="120"/>
        <v/>
      </c>
    </row>
    <row r="7717" spans="1:3" x14ac:dyDescent="0.25">
      <c r="A7717" s="388">
        <f>266.41*(0.028317)</f>
        <v>7.54393197</v>
      </c>
      <c r="B7717" s="465">
        <v>1.4339999999999999E-3</v>
      </c>
      <c r="C7717" t="str">
        <f t="shared" si="120"/>
        <v/>
      </c>
    </row>
    <row r="7718" spans="1:3" x14ac:dyDescent="0.25">
      <c r="A7718" s="388">
        <f>258.51*(0.028317)</f>
        <v>7.3202276699999995</v>
      </c>
      <c r="B7718" s="465">
        <v>3.107E-3</v>
      </c>
      <c r="C7718" t="str">
        <f t="shared" si="120"/>
        <v/>
      </c>
    </row>
    <row r="7719" spans="1:3" x14ac:dyDescent="0.25">
      <c r="A7719" s="388">
        <f>342.58*(0.028317)</f>
        <v>9.7008378599999983</v>
      </c>
      <c r="B7719" s="465">
        <v>2.7716033333333331E-2</v>
      </c>
      <c r="C7719" t="str">
        <f t="shared" si="120"/>
        <v/>
      </c>
    </row>
    <row r="7720" spans="1:3" x14ac:dyDescent="0.25">
      <c r="A7720" s="388">
        <f>279.46*(0.028317)</f>
        <v>7.9134688199999994</v>
      </c>
      <c r="B7720" s="465">
        <v>3.3619333333333337E-3</v>
      </c>
      <c r="C7720" t="str">
        <f t="shared" si="120"/>
        <v/>
      </c>
    </row>
    <row r="7721" spans="1:3" x14ac:dyDescent="0.25">
      <c r="A7721" s="388">
        <f>299.88*(0.028317)</f>
        <v>8.4917019599999986</v>
      </c>
      <c r="B7721" s="465">
        <v>3.05203E-2</v>
      </c>
      <c r="C7721" t="str">
        <f t="shared" si="120"/>
        <v/>
      </c>
    </row>
    <row r="7722" spans="1:3" x14ac:dyDescent="0.25">
      <c r="A7722" s="388">
        <f>239.22*(0.028317)</f>
        <v>6.7739927399999997</v>
      </c>
      <c r="B7722" s="465">
        <v>1.2985666666666667E-3</v>
      </c>
      <c r="C7722" t="str">
        <f t="shared" si="120"/>
        <v/>
      </c>
    </row>
    <row r="7723" spans="1:3" x14ac:dyDescent="0.25">
      <c r="A7723" s="388">
        <f>210.6*(0.028317)</f>
        <v>5.9635601999999999</v>
      </c>
      <c r="B7723" s="465">
        <v>1.8323333333333331E-4</v>
      </c>
      <c r="C7723" t="str">
        <f t="shared" si="120"/>
        <v/>
      </c>
    </row>
    <row r="7724" spans="1:3" x14ac:dyDescent="0.25">
      <c r="A7724" s="388">
        <f>212.53*(0.028317)</f>
        <v>6.0182120100000001</v>
      </c>
      <c r="B7724" s="465">
        <v>6.9309999999999988E-4</v>
      </c>
      <c r="C7724" t="str">
        <f t="shared" si="120"/>
        <v/>
      </c>
    </row>
    <row r="7725" spans="1:3" x14ac:dyDescent="0.25">
      <c r="A7725" s="388">
        <f>195.53*(0.028317)</f>
        <v>5.53682301</v>
      </c>
      <c r="B7725" s="465">
        <v>5.0986666666666674E-4</v>
      </c>
      <c r="C7725" t="str">
        <f t="shared" si="120"/>
        <v/>
      </c>
    </row>
    <row r="7726" spans="1:3" x14ac:dyDescent="0.25">
      <c r="A7726" s="388">
        <f>169.56*(0.028317)</f>
        <v>4.8014305199999994</v>
      </c>
      <c r="B7726" s="465">
        <v>1.9916666666666667E-4</v>
      </c>
      <c r="C7726" t="str">
        <f t="shared" si="120"/>
        <v/>
      </c>
    </row>
    <row r="7727" spans="1:3" x14ac:dyDescent="0.25">
      <c r="A7727" s="388">
        <f>163.06*(0.028317)</f>
        <v>4.6173700200000001</v>
      </c>
      <c r="B7727" s="465">
        <v>1.5136666666666664E-4</v>
      </c>
      <c r="C7727" t="str">
        <f t="shared" si="120"/>
        <v/>
      </c>
    </row>
    <row r="7728" spans="1:3" x14ac:dyDescent="0.25">
      <c r="A7728" s="388">
        <f>175.23*(0.028317)</f>
        <v>4.9619879099999995</v>
      </c>
      <c r="B7728" s="465">
        <v>2.3103333333333333E-4</v>
      </c>
      <c r="C7728" t="str">
        <f t="shared" si="120"/>
        <v/>
      </c>
    </row>
    <row r="7729" spans="1:3" x14ac:dyDescent="0.25">
      <c r="A7729" s="388">
        <f>141.5*(0.028317)</f>
        <v>4.0068554999999995</v>
      </c>
      <c r="B7729" s="465">
        <v>2.5849999999999999E-4</v>
      </c>
      <c r="C7729" t="str">
        <f t="shared" si="120"/>
        <v/>
      </c>
    </row>
    <row r="7730" spans="1:3" x14ac:dyDescent="0.25">
      <c r="A7730" s="388">
        <f>152.44*(0.028317)</f>
        <v>4.3166434799999998</v>
      </c>
      <c r="B7730" s="465">
        <v>1.9458333333333334E-4</v>
      </c>
      <c r="C7730" t="str">
        <f t="shared" si="120"/>
        <v/>
      </c>
    </row>
    <row r="7731" spans="1:3" x14ac:dyDescent="0.25">
      <c r="A7731" s="388">
        <f>229.59*(0.028317)</f>
        <v>6.5013000299999995</v>
      </c>
      <c r="B7731" s="465">
        <v>2.2466000000000001E-3</v>
      </c>
      <c r="C7731" t="str">
        <f t="shared" si="120"/>
        <v/>
      </c>
    </row>
    <row r="7732" spans="1:3" x14ac:dyDescent="0.25">
      <c r="A7732" s="388">
        <f>283.92*(0.028317)</f>
        <v>8.0397626399999993</v>
      </c>
      <c r="B7732" s="465">
        <v>5.0986666666666663E-3</v>
      </c>
      <c r="C7732" t="str">
        <f t="shared" si="120"/>
        <v/>
      </c>
    </row>
    <row r="7733" spans="1:3" x14ac:dyDescent="0.25">
      <c r="A7733" s="388">
        <f>228.63*(0.028317)</f>
        <v>6.4741157099999995</v>
      </c>
      <c r="B7733" s="465">
        <v>4.3020000000000005E-4</v>
      </c>
      <c r="C7733" t="str">
        <f t="shared" si="120"/>
        <v/>
      </c>
    </row>
    <row r="7734" spans="1:3" x14ac:dyDescent="0.25">
      <c r="A7734" s="388">
        <f>143.13*(0.028317)</f>
        <v>4.0530122099999994</v>
      </c>
      <c r="B7734" s="465">
        <v>4.6686666666666665E-3</v>
      </c>
      <c r="C7734" t="str">
        <f t="shared" si="120"/>
        <v/>
      </c>
    </row>
    <row r="7735" spans="1:3" x14ac:dyDescent="0.25">
      <c r="A7735" s="388">
        <f>107.16*(0.028317)</f>
        <v>3.0344497199999996</v>
      </c>
      <c r="B7735" s="465">
        <v>1.0054E-3</v>
      </c>
      <c r="C7735" t="str">
        <f t="shared" ref="C7735:C7798" si="121">IF(B7735=0,"XXXXXXXX","")</f>
        <v/>
      </c>
    </row>
    <row r="7736" spans="1:3" x14ac:dyDescent="0.25">
      <c r="A7736" s="388">
        <f>120.61*(0.028317)</f>
        <v>3.4153133699999998</v>
      </c>
      <c r="B7736" s="465">
        <v>6.69E-5</v>
      </c>
      <c r="C7736" t="str">
        <f t="shared" si="121"/>
        <v/>
      </c>
    </row>
    <row r="7737" spans="1:3" x14ac:dyDescent="0.25">
      <c r="A7737" s="388">
        <f>306.97*(0.028317)</f>
        <v>8.6924694900000006</v>
      </c>
      <c r="B7737" s="465">
        <v>9.4564333333333334E-3</v>
      </c>
      <c r="C7737" t="str">
        <f t="shared" si="121"/>
        <v/>
      </c>
    </row>
    <row r="7738" spans="1:3" x14ac:dyDescent="0.25">
      <c r="A7738" s="388">
        <f>216.07*(0.028317)</f>
        <v>6.1184541899999996</v>
      </c>
      <c r="B7738" s="465">
        <v>5.6324333333333332E-3</v>
      </c>
      <c r="C7738" t="str">
        <f t="shared" si="121"/>
        <v/>
      </c>
    </row>
    <row r="7739" spans="1:3" x14ac:dyDescent="0.25">
      <c r="A7739" s="388">
        <f>315.3*(0.028317)</f>
        <v>8.9283500999999994</v>
      </c>
      <c r="B7739" s="465">
        <v>6.2713333333333328E-3</v>
      </c>
      <c r="C7739" t="str">
        <f t="shared" si="121"/>
        <v/>
      </c>
    </row>
    <row r="7740" spans="1:3" x14ac:dyDescent="0.25">
      <c r="A7740" s="388">
        <f>469.93*(0.028317)</f>
        <v>13.30700781</v>
      </c>
      <c r="B7740" s="465">
        <v>2.2070116666666667E-2</v>
      </c>
      <c r="C7740" t="str">
        <f t="shared" si="121"/>
        <v/>
      </c>
    </row>
    <row r="7741" spans="1:3" x14ac:dyDescent="0.25">
      <c r="A7741" s="388">
        <f>480.02*(0.028317)</f>
        <v>13.592726339999999</v>
      </c>
      <c r="B7741" s="465">
        <v>4.2401333333333326E-2</v>
      </c>
      <c r="C7741" t="str">
        <f t="shared" si="121"/>
        <v/>
      </c>
    </row>
    <row r="7742" spans="1:3" x14ac:dyDescent="0.25">
      <c r="A7742" s="388">
        <f>423.79*(0.028317)</f>
        <v>12.00046143</v>
      </c>
      <c r="B7742" s="465">
        <v>2.6171400000000001E-2</v>
      </c>
      <c r="C7742" t="str">
        <f t="shared" si="121"/>
        <v/>
      </c>
    </row>
    <row r="7743" spans="1:3" x14ac:dyDescent="0.25">
      <c r="A7743" s="388">
        <f>599.46*(0.028317)</f>
        <v>16.97490882</v>
      </c>
      <c r="B7743" s="465">
        <v>1.35779E-2</v>
      </c>
      <c r="C7743" t="str">
        <f t="shared" si="121"/>
        <v/>
      </c>
    </row>
    <row r="7744" spans="1:3" x14ac:dyDescent="0.25">
      <c r="A7744" s="388">
        <f>657.81*(0.028317)</f>
        <v>18.627205769999996</v>
      </c>
      <c r="B7744" s="465">
        <v>1.56332E-2</v>
      </c>
      <c r="C7744" t="str">
        <f t="shared" si="121"/>
        <v/>
      </c>
    </row>
    <row r="7745" spans="1:3" x14ac:dyDescent="0.25">
      <c r="A7745" s="388">
        <f>885.34*(0.028317)</f>
        <v>25.07017278</v>
      </c>
      <c r="B7745" s="465">
        <v>1.3763633333333336E-2</v>
      </c>
      <c r="C7745" t="str">
        <f t="shared" si="121"/>
        <v/>
      </c>
    </row>
    <row r="7746" spans="1:3" x14ac:dyDescent="0.25">
      <c r="A7746" s="388">
        <f>774.72*(0.028317)</f>
        <v>21.937746239999999</v>
      </c>
      <c r="B7746" s="465">
        <v>0.44263350000000001</v>
      </c>
      <c r="C7746" t="str">
        <f t="shared" si="121"/>
        <v/>
      </c>
    </row>
    <row r="7747" spans="1:3" x14ac:dyDescent="0.25">
      <c r="A7747" s="388">
        <f>586.13*(0.028317)</f>
        <v>16.597443209999998</v>
      </c>
      <c r="B7747" s="465">
        <v>0.199686</v>
      </c>
      <c r="C7747" t="str">
        <f t="shared" si="121"/>
        <v/>
      </c>
    </row>
    <row r="7748" spans="1:3" x14ac:dyDescent="0.25">
      <c r="A7748" s="388">
        <f>633.35*(0.028317)</f>
        <v>17.934571949999999</v>
      </c>
      <c r="B7748" s="465">
        <v>0.1522115</v>
      </c>
      <c r="C7748" t="str">
        <f t="shared" si="121"/>
        <v/>
      </c>
    </row>
    <row r="7749" spans="1:3" x14ac:dyDescent="0.25">
      <c r="A7749" s="388">
        <f>625.13*(0.028317)</f>
        <v>17.701806209999997</v>
      </c>
      <c r="B7749" s="465">
        <v>0.20578329999999997</v>
      </c>
      <c r="C7749" t="str">
        <f t="shared" si="121"/>
        <v/>
      </c>
    </row>
    <row r="7750" spans="1:3" x14ac:dyDescent="0.25">
      <c r="A7750" s="388">
        <f>784.69*(0.028317)</f>
        <v>22.220066729999999</v>
      </c>
      <c r="B7750" s="465">
        <v>0.4843594</v>
      </c>
      <c r="C7750" t="str">
        <f t="shared" si="121"/>
        <v/>
      </c>
    </row>
    <row r="7751" spans="1:3" x14ac:dyDescent="0.25">
      <c r="A7751" s="388">
        <f>902.86*(0.028317)</f>
        <v>25.56628662</v>
      </c>
      <c r="B7751" s="465">
        <v>0.20196839999999999</v>
      </c>
      <c r="C7751" t="str">
        <f t="shared" si="121"/>
        <v/>
      </c>
    </row>
    <row r="7752" spans="1:3" x14ac:dyDescent="0.25">
      <c r="A7752" s="388">
        <f>986.16*(0.028317)</f>
        <v>27.925092719999999</v>
      </c>
      <c r="B7752" s="465">
        <v>0.15951666666666667</v>
      </c>
      <c r="C7752" t="str">
        <f t="shared" si="121"/>
        <v/>
      </c>
    </row>
    <row r="7753" spans="1:3" x14ac:dyDescent="0.25">
      <c r="A7753" s="388">
        <f>788.36*(0.028317)</f>
        <v>22.323990119999998</v>
      </c>
      <c r="B7753" s="465">
        <v>0.24760533333333334</v>
      </c>
      <c r="C7753" t="str">
        <f t="shared" si="121"/>
        <v/>
      </c>
    </row>
    <row r="7754" spans="1:3" x14ac:dyDescent="0.25">
      <c r="A7754" s="388">
        <f>849.59*(0.028317)</f>
        <v>24.057840030000001</v>
      </c>
      <c r="B7754" s="465">
        <v>0.18790173999999998</v>
      </c>
      <c r="C7754" t="str">
        <f t="shared" si="121"/>
        <v/>
      </c>
    </row>
    <row r="7755" spans="1:3" x14ac:dyDescent="0.25">
      <c r="A7755" s="388">
        <f>958.26*(0.028317)</f>
        <v>27.135048419999997</v>
      </c>
      <c r="B7755" s="465">
        <v>0.26194980000000001</v>
      </c>
      <c r="C7755" t="str">
        <f t="shared" si="121"/>
        <v/>
      </c>
    </row>
    <row r="7756" spans="1:3" x14ac:dyDescent="0.25">
      <c r="A7756" s="388">
        <f>734.52*(0.028317)</f>
        <v>20.799402839999999</v>
      </c>
      <c r="B7756" s="465">
        <v>0.15931712000000001</v>
      </c>
      <c r="C7756" t="str">
        <f t="shared" si="121"/>
        <v/>
      </c>
    </row>
    <row r="7757" spans="1:3" x14ac:dyDescent="0.25">
      <c r="A7757" s="388">
        <f>599.9*(0.028317)</f>
        <v>16.9873683</v>
      </c>
      <c r="B7757" s="465">
        <v>9.3578933333333336E-2</v>
      </c>
      <c r="C7757" t="str">
        <f t="shared" si="121"/>
        <v/>
      </c>
    </row>
    <row r="7758" spans="1:3" x14ac:dyDescent="0.25">
      <c r="A7758" s="388">
        <f>579.25*(0.028317)</f>
        <v>16.40262225</v>
      </c>
      <c r="B7758" s="465">
        <v>7.0855999999999992E-3</v>
      </c>
      <c r="C7758" t="str">
        <f t="shared" si="121"/>
        <v/>
      </c>
    </row>
    <row r="7759" spans="1:3" x14ac:dyDescent="0.25">
      <c r="A7759" s="388">
        <f>529.55*(0.028317)</f>
        <v>14.995267349999997</v>
      </c>
      <c r="B7759" s="465">
        <v>3.1280099999999998E-2</v>
      </c>
      <c r="C7759" t="str">
        <f t="shared" si="121"/>
        <v/>
      </c>
    </row>
    <row r="7760" spans="1:3" x14ac:dyDescent="0.25">
      <c r="A7760" s="388">
        <f>487.46*(0.028317)</f>
        <v>13.803404819999999</v>
      </c>
      <c r="B7760" s="465">
        <v>2.0595666666666665E-2</v>
      </c>
      <c r="C7760" t="str">
        <f t="shared" si="121"/>
        <v/>
      </c>
    </row>
    <row r="7761" spans="1:3" x14ac:dyDescent="0.25">
      <c r="A7761" s="388">
        <f>465.09*(0.028317)</f>
        <v>13.169953529999999</v>
      </c>
      <c r="B7761" s="465">
        <v>1.7367250000000001E-2</v>
      </c>
      <c r="C7761" t="str">
        <f t="shared" si="121"/>
        <v/>
      </c>
    </row>
    <row r="7762" spans="1:3" x14ac:dyDescent="0.25">
      <c r="A7762" s="388">
        <f>437.69*(0.028317)</f>
        <v>12.39406773</v>
      </c>
      <c r="B7762" s="465">
        <v>3.3931999999999997E-2</v>
      </c>
      <c r="C7762" t="str">
        <f t="shared" si="121"/>
        <v/>
      </c>
    </row>
    <row r="7763" spans="1:3" x14ac:dyDescent="0.25">
      <c r="A7763" s="388">
        <f>366.27*(0.028317)</f>
        <v>10.371667589999999</v>
      </c>
      <c r="B7763" s="465">
        <v>2.2867200000000004E-2</v>
      </c>
      <c r="C7763" t="str">
        <f t="shared" si="121"/>
        <v/>
      </c>
    </row>
    <row r="7764" spans="1:3" x14ac:dyDescent="0.25">
      <c r="A7764" s="388">
        <f>346.02*(0.028317)</f>
        <v>9.7982483399999989</v>
      </c>
      <c r="B7764" s="465">
        <v>5.2191866666666663E-2</v>
      </c>
      <c r="C7764" t="str">
        <f t="shared" si="121"/>
        <v/>
      </c>
    </row>
    <row r="7765" spans="1:3" x14ac:dyDescent="0.25">
      <c r="A7765" s="388">
        <f>416.91*(0.028317)</f>
        <v>11.80564047</v>
      </c>
      <c r="B7765" s="465">
        <v>5.5009954999999999E-2</v>
      </c>
      <c r="C7765" t="str">
        <f t="shared" si="121"/>
        <v/>
      </c>
    </row>
    <row r="7766" spans="1:3" x14ac:dyDescent="0.25">
      <c r="A7766" s="388">
        <f>468.69*(0.028317)</f>
        <v>13.27189473</v>
      </c>
      <c r="B7766" s="465">
        <v>0.15384891666666667</v>
      </c>
      <c r="C7766" t="str">
        <f t="shared" si="121"/>
        <v/>
      </c>
    </row>
    <row r="7767" spans="1:3" x14ac:dyDescent="0.25">
      <c r="A7767" s="388">
        <f>419.56*(0.028317)</f>
        <v>11.880680519999999</v>
      </c>
      <c r="B7767" s="465">
        <v>7.4957849999999993E-2</v>
      </c>
      <c r="C7767" t="str">
        <f t="shared" si="121"/>
        <v/>
      </c>
    </row>
    <row r="7768" spans="1:3" x14ac:dyDescent="0.25">
      <c r="A7768" s="388">
        <f>432.96*(0.028317)</f>
        <v>12.260128319999998</v>
      </c>
      <c r="B7768" s="465">
        <v>6.5890348333333335E-2</v>
      </c>
      <c r="C7768" t="str">
        <f t="shared" si="121"/>
        <v/>
      </c>
    </row>
    <row r="7769" spans="1:3" x14ac:dyDescent="0.25">
      <c r="A7769" s="388">
        <f>500.51*(0.028317)</f>
        <v>14.172941669999998</v>
      </c>
      <c r="B7769" s="465">
        <v>1.6422449999999998E-2</v>
      </c>
      <c r="C7769" t="str">
        <f t="shared" si="121"/>
        <v/>
      </c>
    </row>
    <row r="7770" spans="1:3" x14ac:dyDescent="0.25">
      <c r="A7770" s="388">
        <f>405.91*(0.028317)</f>
        <v>11.494153470000001</v>
      </c>
      <c r="B7770" s="465">
        <v>0.10569548333333334</v>
      </c>
      <c r="C7770" t="str">
        <f t="shared" si="121"/>
        <v/>
      </c>
    </row>
    <row r="7771" spans="1:3" x14ac:dyDescent="0.25">
      <c r="A7771" s="388">
        <f>397.74*(0.028317)</f>
        <v>11.26280358</v>
      </c>
      <c r="B7771" s="465">
        <v>9.5757750000000016E-2</v>
      </c>
      <c r="C7771" t="str">
        <f t="shared" si="121"/>
        <v/>
      </c>
    </row>
    <row r="7772" spans="1:3" x14ac:dyDescent="0.25">
      <c r="A7772" s="388">
        <f>481.32*(0.028317)</f>
        <v>13.629538439999999</v>
      </c>
      <c r="B7772" s="465">
        <v>0.10400000000000001</v>
      </c>
      <c r="C7772" t="str">
        <f t="shared" si="121"/>
        <v/>
      </c>
    </row>
    <row r="7773" spans="1:3" x14ac:dyDescent="0.25">
      <c r="A7773" s="388">
        <f>307.47*(0.028317)</f>
        <v>8.7066279899999994</v>
      </c>
      <c r="B7773" s="465">
        <v>9.5812500000000012E-3</v>
      </c>
      <c r="C7773" t="str">
        <f t="shared" si="121"/>
        <v/>
      </c>
    </row>
    <row r="7774" spans="1:3" x14ac:dyDescent="0.25">
      <c r="A7774" s="388">
        <f>367.02*(0.028317)</f>
        <v>10.392905339999999</v>
      </c>
      <c r="B7774" s="465">
        <v>1.1885691666666668E-2</v>
      </c>
      <c r="C7774" t="str">
        <f t="shared" si="121"/>
        <v/>
      </c>
    </row>
    <row r="7775" spans="1:3" x14ac:dyDescent="0.25">
      <c r="A7775" s="388">
        <f>297.28*(0.028317)</f>
        <v>8.4180777599999992</v>
      </c>
      <c r="B7775" s="465">
        <v>6.8949166666666664E-3</v>
      </c>
      <c r="C7775" t="str">
        <f t="shared" si="121"/>
        <v/>
      </c>
    </row>
    <row r="7776" spans="1:3" x14ac:dyDescent="0.25">
      <c r="A7776" s="388">
        <f>297.67*(0.028317)</f>
        <v>8.4291213900000006</v>
      </c>
      <c r="B7776" s="465">
        <v>2.3198141666666668E-2</v>
      </c>
      <c r="C7776" t="str">
        <f t="shared" si="121"/>
        <v/>
      </c>
    </row>
    <row r="7777" spans="1:3" x14ac:dyDescent="0.25">
      <c r="A7777" s="388">
        <f>254.99*(0.028317)</f>
        <v>7.2205518299999998</v>
      </c>
      <c r="B7777" s="465">
        <v>1.4468633333333333E-2</v>
      </c>
      <c r="C7777" t="str">
        <f t="shared" si="121"/>
        <v/>
      </c>
    </row>
    <row r="7778" spans="1:3" x14ac:dyDescent="0.25">
      <c r="A7778" s="388">
        <f>255.9*(0.028317)</f>
        <v>7.2463202999999998</v>
      </c>
      <c r="B7778" s="465">
        <v>8.2294166666666661E-3</v>
      </c>
      <c r="C7778" t="str">
        <f t="shared" si="121"/>
        <v/>
      </c>
    </row>
    <row r="7779" spans="1:3" x14ac:dyDescent="0.25">
      <c r="A7779" s="388">
        <f>215.65*(0.028317)</f>
        <v>6.1065610499999998</v>
      </c>
      <c r="B7779" s="465">
        <v>5.6198999999999989E-3</v>
      </c>
      <c r="C7779" t="str">
        <f t="shared" si="121"/>
        <v/>
      </c>
    </row>
    <row r="7780" spans="1:3" x14ac:dyDescent="0.25">
      <c r="A7780" s="388">
        <f>214.66*(0.028317)</f>
        <v>6.0785272199999998</v>
      </c>
      <c r="B7780" s="465">
        <v>1.2375256666666664E-2</v>
      </c>
      <c r="C7780" t="str">
        <f t="shared" si="121"/>
        <v/>
      </c>
    </row>
    <row r="7781" spans="1:3" x14ac:dyDescent="0.25">
      <c r="A7781" s="388">
        <f>204.67*(0.028317)</f>
        <v>5.7956403899999991</v>
      </c>
      <c r="B7781" s="465">
        <v>3.9798666666666666E-3</v>
      </c>
      <c r="C7781" t="str">
        <f t="shared" si="121"/>
        <v/>
      </c>
    </row>
    <row r="7782" spans="1:3" x14ac:dyDescent="0.25">
      <c r="A7782" s="388">
        <f>201.86*(0.028317)</f>
        <v>5.7160696199999999</v>
      </c>
      <c r="B7782" s="465">
        <v>6.7496766666666676E-3</v>
      </c>
      <c r="C7782" t="str">
        <f t="shared" si="121"/>
        <v/>
      </c>
    </row>
    <row r="7783" spans="1:3" x14ac:dyDescent="0.25">
      <c r="A7783" s="388">
        <f>283.04*(0.028317)</f>
        <v>8.0148436800000002</v>
      </c>
      <c r="B7783" s="465">
        <v>2.8550224999999995E-2</v>
      </c>
      <c r="C7783" t="str">
        <f t="shared" si="121"/>
        <v/>
      </c>
    </row>
    <row r="7784" spans="1:3" x14ac:dyDescent="0.25">
      <c r="A7784" s="388">
        <f>324.41*(0.028317)</f>
        <v>9.1863179700000011</v>
      </c>
      <c r="B7784" s="465">
        <v>5.1112999999999999E-2</v>
      </c>
      <c r="C7784" t="str">
        <f t="shared" si="121"/>
        <v/>
      </c>
    </row>
    <row r="7785" spans="1:3" x14ac:dyDescent="0.25">
      <c r="A7785" s="388">
        <f>191.9*(0.028317)</f>
        <v>5.4340323000000001</v>
      </c>
      <c r="B7785" s="465">
        <v>1.3239416666666668E-2</v>
      </c>
      <c r="C7785" t="str">
        <f t="shared" si="121"/>
        <v/>
      </c>
    </row>
    <row r="7786" spans="1:3" x14ac:dyDescent="0.25">
      <c r="A7786" s="388">
        <f>136.96*(0.028317)</f>
        <v>3.87829632</v>
      </c>
      <c r="B7786" s="465">
        <v>1.4858E-3</v>
      </c>
      <c r="C7786" t="str">
        <f t="shared" si="121"/>
        <v/>
      </c>
    </row>
    <row r="7787" spans="1:3" x14ac:dyDescent="0.25">
      <c r="A7787" s="388">
        <f>269.29*(0.028317)</f>
        <v>7.6254849299999998</v>
      </c>
      <c r="B7787" s="465">
        <v>3.3469480000000003E-2</v>
      </c>
      <c r="C7787" t="str">
        <f t="shared" si="121"/>
        <v/>
      </c>
    </row>
    <row r="7788" spans="1:3" x14ac:dyDescent="0.25">
      <c r="A7788" s="388">
        <f>138.55*(0.028317)</f>
        <v>3.92332035</v>
      </c>
      <c r="B7788" s="465">
        <v>0.12612101666666664</v>
      </c>
      <c r="C7788" t="str">
        <f t="shared" si="121"/>
        <v/>
      </c>
    </row>
    <row r="7789" spans="1:3" x14ac:dyDescent="0.25">
      <c r="A7789" s="388">
        <f>98.9647887323943*(0.028317)</f>
        <v>2.8023859225352092</v>
      </c>
      <c r="B7789" s="465">
        <v>1.9348549999999999E-2</v>
      </c>
      <c r="C7789" t="str">
        <f t="shared" si="121"/>
        <v/>
      </c>
    </row>
    <row r="7790" spans="1:3" x14ac:dyDescent="0.25">
      <c r="A7790" s="388">
        <f>185.69*(0.028317)</f>
        <v>5.2581837299999998</v>
      </c>
      <c r="B7790" s="465">
        <v>1.1827833333333334E-2</v>
      </c>
      <c r="C7790" t="str">
        <f t="shared" si="121"/>
        <v/>
      </c>
    </row>
    <row r="7791" spans="1:3" x14ac:dyDescent="0.25">
      <c r="A7791" s="388">
        <f>211.28*(0.028317)</f>
        <v>5.9828157599999994</v>
      </c>
      <c r="B7791" s="465">
        <v>4.5296333333333334E-2</v>
      </c>
      <c r="C7791" t="str">
        <f t="shared" si="121"/>
        <v/>
      </c>
    </row>
    <row r="7792" spans="1:3" x14ac:dyDescent="0.25">
      <c r="A7792" s="388">
        <f>144.532311516156*(0.028317)</f>
        <v>4.0927214652029891</v>
      </c>
      <c r="B7792" s="465">
        <v>5.8331000000000001E-2</v>
      </c>
      <c r="C7792" t="str">
        <f t="shared" si="121"/>
        <v/>
      </c>
    </row>
    <row r="7793" spans="1:3" x14ac:dyDescent="0.25">
      <c r="A7793" s="388">
        <f>232.21*(0.028317)</f>
        <v>6.5754905699999995</v>
      </c>
      <c r="B7793" s="465">
        <v>0.12556349999999999</v>
      </c>
      <c r="C7793" t="str">
        <f t="shared" si="121"/>
        <v/>
      </c>
    </row>
    <row r="7794" spans="1:3" x14ac:dyDescent="0.25">
      <c r="A7794" s="388">
        <f>223.239850869925*(0.028317)</f>
        <v>6.3214828570836659</v>
      </c>
      <c r="B7794" s="465">
        <v>9.2673000000000005E-2</v>
      </c>
      <c r="C7794" t="str">
        <f t="shared" si="121"/>
        <v/>
      </c>
    </row>
    <row r="7795" spans="1:3" x14ac:dyDescent="0.25">
      <c r="A7795" s="388">
        <f>199.38*(0.028317)</f>
        <v>5.6458434599999991</v>
      </c>
      <c r="B7795" s="465">
        <v>8.4253499999999995E-2</v>
      </c>
      <c r="C7795" t="str">
        <f t="shared" si="121"/>
        <v/>
      </c>
    </row>
    <row r="7796" spans="1:3" x14ac:dyDescent="0.25">
      <c r="A7796" s="388">
        <f>222.79*(0.028317)</f>
        <v>6.3087444299999991</v>
      </c>
      <c r="B7796" s="465">
        <v>8.6872499999999991E-2</v>
      </c>
      <c r="C7796" t="str">
        <f t="shared" si="121"/>
        <v/>
      </c>
    </row>
    <row r="7797" spans="1:3" x14ac:dyDescent="0.25">
      <c r="A7797" s="388">
        <f>210.63*(0.028317)</f>
        <v>5.96440971</v>
      </c>
      <c r="B7797" s="465">
        <v>0.111375</v>
      </c>
      <c r="C7797" t="str">
        <f t="shared" si="121"/>
        <v/>
      </c>
    </row>
    <row r="7798" spans="1:3" x14ac:dyDescent="0.25">
      <c r="A7798" s="388">
        <f>203.32*(0.028317)</f>
        <v>5.7574124399999995</v>
      </c>
      <c r="B7798" s="465">
        <v>2.1437999999999999E-2</v>
      </c>
      <c r="C7798" t="str">
        <f t="shared" si="121"/>
        <v/>
      </c>
    </row>
    <row r="7799" spans="1:3" x14ac:dyDescent="0.25">
      <c r="A7799" s="388">
        <f>123.85*(0.028317)</f>
        <v>3.5070604499999996</v>
      </c>
      <c r="B7799" s="465">
        <v>2.4840000000000001E-3</v>
      </c>
      <c r="C7799" t="str">
        <f t="shared" ref="C7799:C7862" si="122">IF(B7799=0,"XXXXXXXX","")</f>
        <v/>
      </c>
    </row>
    <row r="7800" spans="1:3" x14ac:dyDescent="0.25">
      <c r="A7800" s="388">
        <f>145.93*(0.028317)</f>
        <v>4.1322998100000001</v>
      </c>
      <c r="B7800" s="465">
        <v>5.5008000000000008E-2</v>
      </c>
      <c r="C7800" t="str">
        <f t="shared" si="122"/>
        <v/>
      </c>
    </row>
    <row r="7801" spans="1:3" x14ac:dyDescent="0.25">
      <c r="A7801" s="388">
        <f>303.16*(0.028317)</f>
        <v>8.584581720000001</v>
      </c>
      <c r="B7801" s="465">
        <v>0.10899000000000002</v>
      </c>
      <c r="C7801" t="str">
        <f t="shared" si="122"/>
        <v/>
      </c>
    </row>
    <row r="7802" spans="1:3" x14ac:dyDescent="0.25">
      <c r="A7802" s="388">
        <f>318.31*(0.028317)</f>
        <v>9.0135842699999991</v>
      </c>
      <c r="B7802" s="465">
        <v>0.23206500000000002</v>
      </c>
      <c r="C7802" t="str">
        <f t="shared" si="122"/>
        <v/>
      </c>
    </row>
    <row r="7803" spans="1:3" x14ac:dyDescent="0.25">
      <c r="A7803" s="388">
        <f>356.26*(0.028317)</f>
        <v>10.08821442</v>
      </c>
      <c r="B7803" s="465">
        <v>7.4880000000000002E-2</v>
      </c>
      <c r="C7803" t="str">
        <f t="shared" si="122"/>
        <v/>
      </c>
    </row>
    <row r="7804" spans="1:3" x14ac:dyDescent="0.25">
      <c r="A7804" s="388">
        <f>355.14*(0.028317)</f>
        <v>10.056499379999998</v>
      </c>
      <c r="B7804" s="465">
        <v>0.19961999999999999</v>
      </c>
      <c r="C7804" t="str">
        <f t="shared" si="122"/>
        <v/>
      </c>
    </row>
    <row r="7805" spans="1:3" x14ac:dyDescent="0.25">
      <c r="A7805" s="388">
        <f>336.52*(0.028317)</f>
        <v>9.5292368399999994</v>
      </c>
      <c r="B7805" s="465">
        <v>0.3986075</v>
      </c>
      <c r="C7805" t="str">
        <f t="shared" si="122"/>
        <v/>
      </c>
    </row>
    <row r="7806" spans="1:3" x14ac:dyDescent="0.25">
      <c r="A7806" s="388">
        <f>426.4*(0.028317)</f>
        <v>12.074368799999998</v>
      </c>
      <c r="B7806" s="465">
        <v>0.186885</v>
      </c>
      <c r="C7806" t="str">
        <f t="shared" si="122"/>
        <v/>
      </c>
    </row>
    <row r="7807" spans="1:3" x14ac:dyDescent="0.25">
      <c r="A7807" s="388">
        <f>341.30115990058*(0.028317)</f>
        <v>9.6646249449047232</v>
      </c>
      <c r="B7807" s="465">
        <v>0.14373</v>
      </c>
      <c r="C7807" t="str">
        <f t="shared" si="122"/>
        <v/>
      </c>
    </row>
    <row r="7808" spans="1:3" x14ac:dyDescent="0.25">
      <c r="A7808" s="388">
        <f>310.232394366197*(0.028317)</f>
        <v>8.7848507112676</v>
      </c>
      <c r="B7808" s="465">
        <v>7.9379999999999992E-2</v>
      </c>
      <c r="C7808" t="str">
        <f t="shared" si="122"/>
        <v/>
      </c>
    </row>
    <row r="7809" spans="1:3" x14ac:dyDescent="0.25">
      <c r="A7809" s="388">
        <f>257.04*(0.028317)</f>
        <v>7.2786016800000004</v>
      </c>
      <c r="B7809" s="465">
        <v>6.6191666666666673E-3</v>
      </c>
      <c r="C7809" t="str">
        <f t="shared" si="122"/>
        <v/>
      </c>
    </row>
    <row r="7810" spans="1:3" x14ac:dyDescent="0.25">
      <c r="A7810" s="388">
        <f>235.76*(0.028317)</f>
        <v>6.6760159199999993</v>
      </c>
      <c r="B7810" s="465">
        <v>0.12314</v>
      </c>
      <c r="C7810" t="str">
        <f t="shared" si="122"/>
        <v/>
      </c>
    </row>
    <row r="7811" spans="1:3" x14ac:dyDescent="0.25">
      <c r="A7811" s="388">
        <f>318.517398508699*(0.028317)</f>
        <v>9.019457173570828</v>
      </c>
      <c r="B7811" s="465">
        <v>4.0304E-2</v>
      </c>
      <c r="C7811" t="str">
        <f t="shared" si="122"/>
        <v/>
      </c>
    </row>
    <row r="7812" spans="1:3" x14ac:dyDescent="0.25">
      <c r="A7812" s="388">
        <f>260.522369511185*(0.028317)</f>
        <v>7.3772119374482248</v>
      </c>
      <c r="B7812" s="465">
        <v>0.155892</v>
      </c>
      <c r="C7812" t="str">
        <f t="shared" si="122"/>
        <v/>
      </c>
    </row>
    <row r="7813" spans="1:3" x14ac:dyDescent="0.25">
      <c r="A7813" s="388">
        <f>264.664871582436*(0.028317)</f>
        <v>7.4945151685998388</v>
      </c>
      <c r="B7813" s="465">
        <v>1.7512E-2</v>
      </c>
      <c r="C7813" t="str">
        <f t="shared" si="122"/>
        <v/>
      </c>
    </row>
    <row r="7814" spans="1:3" x14ac:dyDescent="0.25">
      <c r="A7814" s="388">
        <f>297.804888152444*(0.028317)</f>
        <v>8.4329410178127553</v>
      </c>
      <c r="B7814" s="465">
        <v>7.4099999999999991E-3</v>
      </c>
      <c r="C7814" t="str">
        <f t="shared" si="122"/>
        <v/>
      </c>
    </row>
    <row r="7815" spans="1:3" x14ac:dyDescent="0.25">
      <c r="A7815" s="388">
        <f>243.952361226181*(0.028317)</f>
        <v>6.907999012841767</v>
      </c>
      <c r="B7815" s="465">
        <v>6.8399999999999997E-3</v>
      </c>
      <c r="C7815" t="str">
        <f t="shared" si="122"/>
        <v/>
      </c>
    </row>
    <row r="7816" spans="1:3" x14ac:dyDescent="0.25">
      <c r="A7816" s="388">
        <f>293.662386081193*(0.028317)</f>
        <v>8.3156377866611422</v>
      </c>
      <c r="B7816" s="465">
        <v>4.5089999999999998E-2</v>
      </c>
      <c r="C7816" t="str">
        <f t="shared" si="122"/>
        <v/>
      </c>
    </row>
    <row r="7817" spans="1:3" x14ac:dyDescent="0.25">
      <c r="A7817" s="388">
        <f>268.807373653687*(0.028317)</f>
        <v>7.6118183997514546</v>
      </c>
      <c r="B7817" s="465">
        <v>1.7505E-2</v>
      </c>
      <c r="C7817" t="str">
        <f t="shared" si="122"/>
        <v/>
      </c>
    </row>
    <row r="7818" spans="1:3" x14ac:dyDescent="0.25">
      <c r="A7818" s="388">
        <f>252.237365368683*(0.028317)</f>
        <v>7.1426054751449959</v>
      </c>
      <c r="B7818" s="465">
        <v>5.4911999999999996E-2</v>
      </c>
      <c r="C7818" t="str">
        <f t="shared" si="122"/>
        <v/>
      </c>
    </row>
    <row r="7819" spans="1:3" x14ac:dyDescent="0.25">
      <c r="A7819" s="388">
        <f>248.094863297432*(0.028317)</f>
        <v>7.0253022439933819</v>
      </c>
      <c r="B7819" s="465">
        <v>2.2019E-2</v>
      </c>
      <c r="C7819" t="str">
        <f t="shared" si="122"/>
        <v/>
      </c>
    </row>
    <row r="7820" spans="1:3" x14ac:dyDescent="0.25">
      <c r="A7820" s="388">
        <f>194.242336371168*(0.028317)</f>
        <v>5.5003602390223634</v>
      </c>
      <c r="B7820" s="465">
        <v>1.848E-3</v>
      </c>
      <c r="C7820" t="str">
        <f t="shared" si="122"/>
        <v/>
      </c>
    </row>
    <row r="7821" spans="1:3" x14ac:dyDescent="0.25">
      <c r="A7821" s="388">
        <f>198.384838442419*(0.028317)</f>
        <v>5.6176634701739792</v>
      </c>
      <c r="B7821" s="465">
        <v>1.0515999999999999E-2</v>
      </c>
      <c r="C7821" t="str">
        <f t="shared" si="122"/>
        <v/>
      </c>
    </row>
    <row r="7822" spans="1:3" x14ac:dyDescent="0.25">
      <c r="A7822" s="388">
        <f>136.247307373654*(0.028317)</f>
        <v>3.8581150028997602</v>
      </c>
      <c r="B7822" s="465">
        <v>9.2400000000000002E-4</v>
      </c>
      <c r="C7822" t="str">
        <f t="shared" si="122"/>
        <v/>
      </c>
    </row>
    <row r="7823" spans="1:3" x14ac:dyDescent="0.25">
      <c r="A7823" s="388">
        <f>161.10231980116*(0.028317)</f>
        <v>4.5619343898094478</v>
      </c>
      <c r="B7823" s="465">
        <v>1.848E-3</v>
      </c>
      <c r="C7823" t="str">
        <f t="shared" si="122"/>
        <v/>
      </c>
    </row>
    <row r="7824" spans="1:3" x14ac:dyDescent="0.25">
      <c r="A7824" s="388">
        <f>138.318558409279*(0.028317)</f>
        <v>3.9167666184755534</v>
      </c>
      <c r="B7824" s="465">
        <v>1.848E-3</v>
      </c>
      <c r="C7824" t="str">
        <f t="shared" si="122"/>
        <v/>
      </c>
    </row>
    <row r="7825" spans="1:3" x14ac:dyDescent="0.25">
      <c r="A7825" s="388">
        <f>94.2*(0.028317)</f>
        <v>2.6674614000000001</v>
      </c>
      <c r="B7825" s="465">
        <v>9.2400000000000002E-4</v>
      </c>
      <c r="C7825" t="str">
        <f t="shared" si="122"/>
        <v/>
      </c>
    </row>
    <row r="7826" spans="1:3" x14ac:dyDescent="0.25">
      <c r="A7826" s="388">
        <f>40.9697597348799*(0.028317)</f>
        <v>1.160140686412594</v>
      </c>
      <c r="B7826" s="465">
        <v>9.2400000000000002E-4</v>
      </c>
      <c r="C7826" t="str">
        <f t="shared" si="122"/>
        <v/>
      </c>
    </row>
    <row r="7827" spans="1:3" x14ac:dyDescent="0.25">
      <c r="A7827" s="388">
        <f>20.2572493786248*(0.028317)</f>
        <v>0.57362453065451835</v>
      </c>
      <c r="B7827" s="465">
        <v>9.2400000000000002E-4</v>
      </c>
      <c r="C7827" t="str">
        <f t="shared" si="122"/>
        <v/>
      </c>
    </row>
    <row r="7828" spans="1:3" x14ac:dyDescent="0.25">
      <c r="A7828" s="388">
        <f>16.1147473073737*(0.028317)</f>
        <v>0.45632129950290107</v>
      </c>
      <c r="B7828" s="465">
        <v>2.9039999999999999E-3</v>
      </c>
      <c r="C7828" t="str">
        <f t="shared" si="122"/>
        <v/>
      </c>
    </row>
    <row r="7829" spans="1:3" x14ac:dyDescent="0.25">
      <c r="A7829" s="388">
        <f>44.81*(0.028317)</f>
        <v>1.2688847699999999</v>
      </c>
      <c r="B7829" s="465">
        <v>9.5107333333333335E-3</v>
      </c>
      <c r="C7829" t="str">
        <f t="shared" si="122"/>
        <v/>
      </c>
    </row>
    <row r="7830" spans="1:3" x14ac:dyDescent="0.25">
      <c r="A7830" s="388">
        <f>54.49*(0.028317)</f>
        <v>1.5429933300000001</v>
      </c>
      <c r="B7830" s="465">
        <v>2.4426666666666666E-2</v>
      </c>
      <c r="C7830" t="str">
        <f t="shared" si="122"/>
        <v/>
      </c>
    </row>
    <row r="7831" spans="1:3" x14ac:dyDescent="0.25">
      <c r="A7831" s="388">
        <f>74.15*(0.028317)</f>
        <v>2.0997055499999999</v>
      </c>
      <c r="B7831" s="465">
        <v>7.9204666666666656E-3</v>
      </c>
      <c r="C7831" t="str">
        <f t="shared" si="122"/>
        <v/>
      </c>
    </row>
    <row r="7832" spans="1:3" x14ac:dyDescent="0.25">
      <c r="A7832" s="388">
        <f>112.67*(0.028317)</f>
        <v>3.1904763899999997</v>
      </c>
      <c r="B7832" s="465">
        <v>2.0926319999999998E-2</v>
      </c>
      <c r="C7832" t="str">
        <f t="shared" si="122"/>
        <v/>
      </c>
    </row>
    <row r="7833" spans="1:3" x14ac:dyDescent="0.25">
      <c r="A7833" s="388">
        <f>92.62*(0.028317)</f>
        <v>2.62272054</v>
      </c>
      <c r="B7833" s="465">
        <v>4.0550151515151511E-2</v>
      </c>
      <c r="C7833" t="str">
        <f t="shared" si="122"/>
        <v/>
      </c>
    </row>
    <row r="7834" spans="1:3" x14ac:dyDescent="0.25">
      <c r="A7834" s="388">
        <f>79.86*(0.028317)</f>
        <v>2.2613956200000001</v>
      </c>
      <c r="B7834" s="465">
        <v>1.25083E-2</v>
      </c>
      <c r="C7834" t="str">
        <f t="shared" si="122"/>
        <v/>
      </c>
    </row>
    <row r="7835" spans="1:3" x14ac:dyDescent="0.25">
      <c r="A7835" s="388">
        <f>84.71*(0.028317)</f>
        <v>2.3987330699999996</v>
      </c>
      <c r="B7835" s="465">
        <v>3.1110600000000002E-2</v>
      </c>
      <c r="C7835" t="str">
        <f t="shared" si="122"/>
        <v/>
      </c>
    </row>
    <row r="7836" spans="1:3" x14ac:dyDescent="0.25">
      <c r="A7836" s="388">
        <f>144.78*(0.028317)</f>
        <v>4.0997352600000001</v>
      </c>
      <c r="B7836" s="465">
        <v>1.3701833333333331E-2</v>
      </c>
      <c r="C7836" t="str">
        <f t="shared" si="122"/>
        <v/>
      </c>
    </row>
    <row r="7837" spans="1:3" x14ac:dyDescent="0.25">
      <c r="A7837" s="388">
        <f>125.72*(0.028317)</f>
        <v>3.56001324</v>
      </c>
      <c r="B7837" s="465">
        <v>1.036575E-2</v>
      </c>
      <c r="C7837" t="str">
        <f t="shared" si="122"/>
        <v/>
      </c>
    </row>
    <row r="7838" spans="1:3" x14ac:dyDescent="0.25">
      <c r="A7838" s="388">
        <f>101.52*(0.028317)</f>
        <v>2.8747418399999995</v>
      </c>
      <c r="B7838" s="465">
        <v>2.2749530303030306E-2</v>
      </c>
      <c r="C7838" t="str">
        <f t="shared" si="122"/>
        <v/>
      </c>
    </row>
    <row r="7839" spans="1:3" x14ac:dyDescent="0.25">
      <c r="A7839" s="388">
        <f>97.38*(0.028317)</f>
        <v>2.7575094599999996</v>
      </c>
      <c r="B7839" s="465">
        <v>5.3715599999999995E-2</v>
      </c>
      <c r="C7839" t="str">
        <f t="shared" si="122"/>
        <v/>
      </c>
    </row>
    <row r="7840" spans="1:3" x14ac:dyDescent="0.25">
      <c r="A7840" s="388">
        <f>180.56*(0.028317)</f>
        <v>5.1129175199999999</v>
      </c>
      <c r="B7840" s="465">
        <v>3.7331999999999997E-2</v>
      </c>
      <c r="C7840" t="str">
        <f t="shared" si="122"/>
        <v/>
      </c>
    </row>
    <row r="7841" spans="1:3" x14ac:dyDescent="0.25">
      <c r="A7841" s="388">
        <f>194.22*(0.028317)</f>
        <v>5.49972774</v>
      </c>
      <c r="B7841" s="465">
        <v>0.16232450000000001</v>
      </c>
      <c r="C7841" t="str">
        <f t="shared" si="122"/>
        <v/>
      </c>
    </row>
    <row r="7842" spans="1:3" x14ac:dyDescent="0.25">
      <c r="A7842" s="388">
        <f>232.91*(0.028317)</f>
        <v>6.5953124699999996</v>
      </c>
      <c r="B7842" s="465">
        <v>9.3559033333333347E-2</v>
      </c>
      <c r="C7842" t="str">
        <f t="shared" si="122"/>
        <v/>
      </c>
    </row>
    <row r="7843" spans="1:3" x14ac:dyDescent="0.25">
      <c r="A7843" s="388">
        <f>211.16*(0.028317)</f>
        <v>5.9794177199999998</v>
      </c>
      <c r="B7843" s="465">
        <v>6.9416999999999993E-2</v>
      </c>
      <c r="C7843" t="str">
        <f t="shared" si="122"/>
        <v/>
      </c>
    </row>
    <row r="7844" spans="1:3" x14ac:dyDescent="0.25">
      <c r="A7844" s="388">
        <f>252.69*(0.028317)</f>
        <v>7.1554227299999997</v>
      </c>
      <c r="B7844" s="465">
        <v>4.6511999999999998E-2</v>
      </c>
      <c r="C7844" t="str">
        <f t="shared" si="122"/>
        <v/>
      </c>
    </row>
    <row r="7845" spans="1:3" x14ac:dyDescent="0.25">
      <c r="A7845" s="388">
        <f>210.89*(0.028317)</f>
        <v>5.9717721299999988</v>
      </c>
      <c r="B7845" s="465">
        <v>3.4006500000000002E-2</v>
      </c>
      <c r="C7845" t="str">
        <f t="shared" si="122"/>
        <v/>
      </c>
    </row>
    <row r="7846" spans="1:3" x14ac:dyDescent="0.25">
      <c r="A7846" s="388">
        <f>191.51*(0.028317)</f>
        <v>5.4229886699999996</v>
      </c>
      <c r="B7846" s="465">
        <v>3.9712500000000005E-2</v>
      </c>
      <c r="C7846" t="str">
        <f t="shared" si="122"/>
        <v/>
      </c>
    </row>
    <row r="7847" spans="1:3" x14ac:dyDescent="0.25">
      <c r="A7847" s="388">
        <f>222.8*(0.028317)</f>
        <v>6.3090276000000003</v>
      </c>
      <c r="B7847" s="465">
        <v>1.1535999999999999E-2</v>
      </c>
      <c r="C7847" t="str">
        <f t="shared" si="122"/>
        <v/>
      </c>
    </row>
    <row r="7848" spans="1:3" x14ac:dyDescent="0.25">
      <c r="A7848" s="388">
        <f>259.72*(0.028317)</f>
        <v>7.3544912400000007</v>
      </c>
      <c r="B7848" s="465">
        <v>3.0627000000000001E-2</v>
      </c>
      <c r="C7848" t="str">
        <f t="shared" si="122"/>
        <v/>
      </c>
    </row>
    <row r="7849" spans="1:3" x14ac:dyDescent="0.25">
      <c r="A7849" s="388">
        <f>281.03*(0.028317)</f>
        <v>7.9579265099999992</v>
      </c>
      <c r="B7849" s="465">
        <v>1.8287999999999999E-2</v>
      </c>
      <c r="C7849" t="str">
        <f t="shared" si="122"/>
        <v/>
      </c>
    </row>
    <row r="7850" spans="1:3" x14ac:dyDescent="0.25">
      <c r="A7850" s="388">
        <f>321.97*(0.028317)</f>
        <v>9.1172244899999999</v>
      </c>
      <c r="B7850" s="465">
        <v>0.10543950000000001</v>
      </c>
      <c r="C7850" t="str">
        <f t="shared" si="122"/>
        <v/>
      </c>
    </row>
    <row r="7851" spans="1:3" x14ac:dyDescent="0.25">
      <c r="A7851" s="388">
        <f>261.46*(0.028317)</f>
        <v>7.403762819999999</v>
      </c>
      <c r="B7851" s="465">
        <v>7.95825E-2</v>
      </c>
      <c r="C7851" t="str">
        <f t="shared" si="122"/>
        <v/>
      </c>
    </row>
    <row r="7852" spans="1:3" x14ac:dyDescent="0.25">
      <c r="A7852" s="388">
        <f>274.46*(0.028317)</f>
        <v>7.7718838199999993</v>
      </c>
      <c r="B7852" s="465">
        <v>0.23509799999999997</v>
      </c>
      <c r="C7852" t="str">
        <f t="shared" si="122"/>
        <v/>
      </c>
    </row>
    <row r="7853" spans="1:3" x14ac:dyDescent="0.25">
      <c r="A7853" s="388">
        <f>339.83*(0.028317)</f>
        <v>9.6229661099999984</v>
      </c>
      <c r="B7853" s="465">
        <v>0.37200150000000004</v>
      </c>
      <c r="C7853" t="str">
        <f t="shared" si="122"/>
        <v/>
      </c>
    </row>
    <row r="7854" spans="1:3" x14ac:dyDescent="0.25">
      <c r="A7854" s="388">
        <f>339.26*(0.028317)</f>
        <v>9.6068254199999998</v>
      </c>
      <c r="B7854" s="465">
        <v>0.32729399999999997</v>
      </c>
      <c r="C7854" t="str">
        <f t="shared" si="122"/>
        <v/>
      </c>
    </row>
    <row r="7855" spans="1:3" x14ac:dyDescent="0.25">
      <c r="A7855" s="388">
        <f>248.11*(0.028317)</f>
        <v>7.0257308700000003</v>
      </c>
      <c r="B7855" s="465">
        <v>0.10503899999999999</v>
      </c>
      <c r="C7855" t="str">
        <f t="shared" si="122"/>
        <v/>
      </c>
    </row>
    <row r="7856" spans="1:3" x14ac:dyDescent="0.25">
      <c r="A7856" s="388">
        <f>278.71*(0.028317)</f>
        <v>7.8922310699999993</v>
      </c>
      <c r="B7856" s="465">
        <v>0.145341</v>
      </c>
      <c r="C7856" t="str">
        <f t="shared" si="122"/>
        <v/>
      </c>
    </row>
    <row r="7857" spans="1:3" x14ac:dyDescent="0.25">
      <c r="A7857" s="388">
        <f>204.16*(0.028317)</f>
        <v>5.7811987199999999</v>
      </c>
      <c r="B7857" s="465">
        <v>6.4480499999999996E-2</v>
      </c>
      <c r="C7857" t="str">
        <f t="shared" si="122"/>
        <v/>
      </c>
    </row>
    <row r="7858" spans="1:3" x14ac:dyDescent="0.25">
      <c r="A7858" s="388">
        <f>164.28*(0.028317)</f>
        <v>4.6519167599999998</v>
      </c>
      <c r="B7858" s="465">
        <v>2.2499999999999998E-3</v>
      </c>
      <c r="C7858" t="str">
        <f t="shared" si="122"/>
        <v/>
      </c>
    </row>
    <row r="7859" spans="1:3" x14ac:dyDescent="0.25">
      <c r="A7859" s="388">
        <f>134.33*(0.028317)</f>
        <v>3.8038226100000001</v>
      </c>
      <c r="B7859" s="465">
        <v>7.145833333333333E-3</v>
      </c>
      <c r="C7859" t="str">
        <f t="shared" si="122"/>
        <v/>
      </c>
    </row>
    <row r="7860" spans="1:3" x14ac:dyDescent="0.25">
      <c r="A7860" s="388">
        <f>149.08*(0.028317)</f>
        <v>4.22149836</v>
      </c>
      <c r="B7860" s="465">
        <v>1.206E-3</v>
      </c>
      <c r="C7860" t="str">
        <f t="shared" si="122"/>
        <v/>
      </c>
    </row>
    <row r="7861" spans="1:3" x14ac:dyDescent="0.25">
      <c r="A7861" s="388">
        <f>137.01*(0.028317)</f>
        <v>3.8797121699999995</v>
      </c>
      <c r="B7861" s="465">
        <v>2.9880000000000002E-3</v>
      </c>
      <c r="C7861" t="str">
        <f t="shared" si="122"/>
        <v/>
      </c>
    </row>
    <row r="7862" spans="1:3" x14ac:dyDescent="0.25">
      <c r="A7862" s="388">
        <f>139.69*(0.028317)</f>
        <v>3.9556017299999997</v>
      </c>
      <c r="B7862" s="465">
        <v>1.1325333333333332E-3</v>
      </c>
      <c r="C7862" t="str">
        <f t="shared" si="122"/>
        <v/>
      </c>
    </row>
    <row r="7863" spans="1:3" x14ac:dyDescent="0.25">
      <c r="A7863" s="388">
        <f>132.25*(0.028317)</f>
        <v>3.7449232499999998</v>
      </c>
      <c r="B7863" s="465">
        <v>1.4391666666666667E-2</v>
      </c>
      <c r="C7863" t="str">
        <f t="shared" ref="C7863:C7891" si="123">IF(B7863=0,"XXXXXXXX","")</f>
        <v/>
      </c>
    </row>
    <row r="7864" spans="1:3" x14ac:dyDescent="0.25">
      <c r="A7864" s="388">
        <f>132.66*(0.028317)</f>
        <v>3.7565332199999997</v>
      </c>
      <c r="B7864" s="465">
        <v>4.5665999999999997E-3</v>
      </c>
      <c r="C7864" t="str">
        <f t="shared" si="123"/>
        <v/>
      </c>
    </row>
    <row r="7865" spans="1:3" x14ac:dyDescent="0.25">
      <c r="A7865" s="388">
        <f>126.64*(0.028317)</f>
        <v>3.5860648799999999</v>
      </c>
      <c r="B7865" s="465">
        <v>1.8377333333333332E-3</v>
      </c>
      <c r="C7865" t="str">
        <f t="shared" si="123"/>
        <v/>
      </c>
    </row>
    <row r="7866" spans="1:3" x14ac:dyDescent="0.25">
      <c r="A7866" s="388">
        <f>136.85*(0.028317)</f>
        <v>3.8751814499999995</v>
      </c>
      <c r="B7866" s="465">
        <v>8.9293283333333334E-3</v>
      </c>
      <c r="C7866" t="str">
        <f t="shared" si="123"/>
        <v/>
      </c>
    </row>
    <row r="7867" spans="1:3" x14ac:dyDescent="0.25">
      <c r="A7867" s="388">
        <f>139.54*(0.028317)</f>
        <v>3.9513541799999996</v>
      </c>
      <c r="B7867" s="465">
        <v>4.3989999999999993E-3</v>
      </c>
      <c r="C7867" t="str">
        <f t="shared" si="123"/>
        <v/>
      </c>
    </row>
    <row r="7868" spans="1:3" x14ac:dyDescent="0.25">
      <c r="A7868" s="388">
        <f>148.17*(0.028317)</f>
        <v>4.1957298899999991</v>
      </c>
      <c r="B7868" s="465">
        <v>2.9684000000000004E-3</v>
      </c>
      <c r="C7868" t="str">
        <f t="shared" si="123"/>
        <v/>
      </c>
    </row>
    <row r="7869" spans="1:3" x14ac:dyDescent="0.25">
      <c r="A7869" s="388">
        <f>148.17*(0.028317)</f>
        <v>4.1957298899999991</v>
      </c>
      <c r="B7869" s="465">
        <v>5.845333333333333E-4</v>
      </c>
      <c r="C7869" t="str">
        <f t="shared" si="123"/>
        <v/>
      </c>
    </row>
    <row r="7870" spans="1:3" x14ac:dyDescent="0.25">
      <c r="A7870" s="388">
        <f>139.52*(0.028317)</f>
        <v>3.9507878400000003</v>
      </c>
      <c r="B7870" s="465">
        <v>8.7500000000000013E-4</v>
      </c>
      <c r="C7870" t="str">
        <f t="shared" si="123"/>
        <v/>
      </c>
    </row>
    <row r="7871" spans="1:3" x14ac:dyDescent="0.25">
      <c r="A7871" s="388">
        <f>114.46*(0.028317)</f>
        <v>3.2411638199999997</v>
      </c>
      <c r="B7871" s="465">
        <v>3.6543000000000001E-3</v>
      </c>
      <c r="C7871" t="str">
        <f t="shared" si="123"/>
        <v/>
      </c>
    </row>
    <row r="7872" spans="1:3" x14ac:dyDescent="0.25">
      <c r="A7872" s="388">
        <f>135.2*(0.028317)</f>
        <v>3.8284583999999993</v>
      </c>
      <c r="B7872" s="465">
        <v>4.0035000000000001E-3</v>
      </c>
      <c r="C7872" t="str">
        <f t="shared" si="123"/>
        <v/>
      </c>
    </row>
    <row r="7873" spans="1:3" x14ac:dyDescent="0.25">
      <c r="A7873" s="388">
        <f>143.81*(0.028317)</f>
        <v>4.0722677699999998</v>
      </c>
      <c r="B7873" s="465">
        <v>1.3090000000000001E-3</v>
      </c>
      <c r="C7873" t="str">
        <f t="shared" si="123"/>
        <v/>
      </c>
    </row>
    <row r="7874" spans="1:3" x14ac:dyDescent="0.25">
      <c r="A7874" s="388">
        <f>94.52*(0.028317)</f>
        <v>2.6765228399999996</v>
      </c>
      <c r="B7874" s="465">
        <v>1.2387699999999998E-2</v>
      </c>
      <c r="C7874" t="str">
        <f t="shared" si="123"/>
        <v/>
      </c>
    </row>
    <row r="7875" spans="1:3" x14ac:dyDescent="0.25">
      <c r="A7875" s="388">
        <f>99.35*(0.028317)</f>
        <v>2.8132939499999998</v>
      </c>
      <c r="B7875" s="465">
        <v>8.3598416666666661E-3</v>
      </c>
      <c r="C7875" t="str">
        <f t="shared" si="123"/>
        <v/>
      </c>
    </row>
    <row r="7876" spans="1:3" x14ac:dyDescent="0.25">
      <c r="A7876" s="388">
        <f>96.78*(0.028317)</f>
        <v>2.7405192599999997</v>
      </c>
      <c r="B7876" s="465">
        <v>1.6934833333333333E-2</v>
      </c>
      <c r="C7876" t="str">
        <f t="shared" si="123"/>
        <v/>
      </c>
    </row>
    <row r="7877" spans="1:3" x14ac:dyDescent="0.25">
      <c r="A7877" s="388">
        <f>87.5*(0.028317)</f>
        <v>2.4777374999999999</v>
      </c>
      <c r="B7877" s="465">
        <v>3.0353749999999994E-3</v>
      </c>
      <c r="C7877" t="str">
        <f t="shared" si="123"/>
        <v/>
      </c>
    </row>
    <row r="7878" spans="1:3" x14ac:dyDescent="0.25">
      <c r="A7878" s="388">
        <f>69.25*(0.028317)</f>
        <v>1.9609522499999998</v>
      </c>
      <c r="B7878" s="465">
        <v>5.7296316666666661E-3</v>
      </c>
      <c r="C7878" t="str">
        <f t="shared" si="123"/>
        <v/>
      </c>
    </row>
    <row r="7879" spans="1:3" x14ac:dyDescent="0.25">
      <c r="A7879" s="388">
        <f>67.19*(0.028317)</f>
        <v>1.9026192299999998</v>
      </c>
      <c r="B7879" s="465">
        <v>4.6816000000000002E-3</v>
      </c>
      <c r="C7879" t="str">
        <f t="shared" si="123"/>
        <v/>
      </c>
    </row>
    <row r="7880" spans="1:3" x14ac:dyDescent="0.25">
      <c r="A7880" s="388">
        <f>61.76*(0.028317)</f>
        <v>1.7488579199999998</v>
      </c>
      <c r="B7880" s="465">
        <v>5.3074999999999997E-3</v>
      </c>
      <c r="C7880" t="str">
        <f t="shared" si="123"/>
        <v/>
      </c>
    </row>
    <row r="7881" spans="1:3" x14ac:dyDescent="0.25">
      <c r="A7881" s="388">
        <f>59.18*(0.028317)</f>
        <v>1.6758000599999998</v>
      </c>
      <c r="B7881" s="465">
        <v>1.0615000000000002E-3</v>
      </c>
      <c r="C7881" t="str">
        <f t="shared" si="123"/>
        <v/>
      </c>
    </row>
    <row r="7882" spans="1:3" x14ac:dyDescent="0.25">
      <c r="A7882" s="388">
        <f>47.16*(0.028317)</f>
        <v>1.3354297199999998</v>
      </c>
      <c r="B7882" s="465">
        <v>1.0314333333333332E-3</v>
      </c>
      <c r="C7882" t="str">
        <f t="shared" si="123"/>
        <v/>
      </c>
    </row>
    <row r="7883" spans="1:3" x14ac:dyDescent="0.25">
      <c r="A7883" s="388">
        <f>43.42*(0.028317)</f>
        <v>1.2295241399999999</v>
      </c>
      <c r="B7883" s="465">
        <v>1.4722933333333333E-3</v>
      </c>
      <c r="C7883" t="str">
        <f t="shared" si="123"/>
        <v/>
      </c>
    </row>
    <row r="7884" spans="1:3" x14ac:dyDescent="0.25">
      <c r="A7884" s="388">
        <f>51.78*(0.028317)</f>
        <v>1.4662542599999999</v>
      </c>
      <c r="B7884" s="465">
        <v>5.3763416666666678E-3</v>
      </c>
      <c r="C7884" t="str">
        <f t="shared" si="123"/>
        <v/>
      </c>
    </row>
    <row r="7885" spans="1:3" x14ac:dyDescent="0.25">
      <c r="A7885" s="388">
        <f>58.51*(0.028317)</f>
        <v>1.6568276699999998</v>
      </c>
      <c r="B7885" s="465">
        <v>2.7486750000000001E-2</v>
      </c>
      <c r="C7885" t="str">
        <f t="shared" si="123"/>
        <v/>
      </c>
    </row>
    <row r="7886" spans="1:3" x14ac:dyDescent="0.25">
      <c r="A7886" s="388">
        <f>96.84*(0.028317)</f>
        <v>2.7422182799999999</v>
      </c>
      <c r="B7886" s="465">
        <v>8.565333333333333E-4</v>
      </c>
      <c r="C7886" t="str">
        <f t="shared" si="123"/>
        <v/>
      </c>
    </row>
    <row r="7887" spans="1:3" x14ac:dyDescent="0.25">
      <c r="A7887" s="388">
        <f>38.31*(0.028317)</f>
        <v>1.0848242699999999</v>
      </c>
      <c r="B7887" s="465">
        <v>5.287E-4</v>
      </c>
      <c r="C7887" t="str">
        <f t="shared" si="123"/>
        <v/>
      </c>
    </row>
    <row r="7888" spans="1:3" x14ac:dyDescent="0.25">
      <c r="A7888" s="388">
        <f>29.69*(0.028317)</f>
        <v>0.84073173000000001</v>
      </c>
      <c r="B7888" s="465">
        <v>1.225E-4</v>
      </c>
      <c r="C7888" t="str">
        <f t="shared" si="123"/>
        <v/>
      </c>
    </row>
    <row r="7889" spans="1:3" x14ac:dyDescent="0.25">
      <c r="A7889" s="388">
        <f>18.99*(0.028317)</f>
        <v>0.53773982999999992</v>
      </c>
      <c r="B7889" s="465">
        <v>9.0666666666666674E-6</v>
      </c>
      <c r="C7889" t="str">
        <f t="shared" si="123"/>
        <v/>
      </c>
    </row>
    <row r="7890" spans="1:3" x14ac:dyDescent="0.25">
      <c r="A7890" s="388">
        <f>22.03*(0.028317)</f>
        <v>0.62382351000000003</v>
      </c>
      <c r="B7890" s="465">
        <v>1.8466666666666667E-5</v>
      </c>
      <c r="C7890" t="str">
        <f t="shared" si="123"/>
        <v/>
      </c>
    </row>
    <row r="7891" spans="1:3" x14ac:dyDescent="0.25">
      <c r="A7891" s="388">
        <f>32.66*(0.028317)</f>
        <v>0.9248332199999999</v>
      </c>
      <c r="B7891" s="465">
        <v>8.6320666666666671E-3</v>
      </c>
      <c r="C7891" t="str">
        <f t="shared" si="123"/>
        <v/>
      </c>
    </row>
    <row r="7892" spans="1:3" x14ac:dyDescent="0.25">
      <c r="A7892" s="388"/>
      <c r="B7892" s="465"/>
    </row>
    <row r="7893" spans="1:3" x14ac:dyDescent="0.25">
      <c r="A7893" s="388"/>
      <c r="B7893" s="465"/>
    </row>
    <row r="7894" spans="1:3" x14ac:dyDescent="0.25">
      <c r="A7894" s="190"/>
      <c r="B7894" s="466"/>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D2:L93"/>
  <sheetViews>
    <sheetView topLeftCell="A19" zoomScaleNormal="100" workbookViewId="0">
      <selection activeCell="H11" sqref="H11"/>
    </sheetView>
  </sheetViews>
  <sheetFormatPr defaultRowHeight="15" x14ac:dyDescent="0.25"/>
  <cols>
    <col min="2" max="2" width="14.28515625" bestFit="1" customWidth="1"/>
    <col min="3" max="3" width="16.5703125" bestFit="1" customWidth="1"/>
    <col min="4" max="4" width="17.7109375" customWidth="1"/>
    <col min="5" max="5" width="16.5703125" bestFit="1" customWidth="1"/>
    <col min="6" max="6" width="14.85546875" bestFit="1" customWidth="1"/>
    <col min="9" max="9" width="18.140625" bestFit="1" customWidth="1"/>
    <col min="10" max="10" width="16.5703125" bestFit="1" customWidth="1"/>
    <col min="11" max="11" width="14.85546875" bestFit="1" customWidth="1"/>
  </cols>
  <sheetData>
    <row r="2" spans="4:12" x14ac:dyDescent="0.25">
      <c r="D2" s="490" t="s">
        <v>654</v>
      </c>
      <c r="E2" s="850" t="s">
        <v>653</v>
      </c>
      <c r="F2" s="38"/>
      <c r="H2" s="692" t="s">
        <v>938</v>
      </c>
      <c r="I2" s="493"/>
      <c r="J2" s="493"/>
      <c r="K2" s="493"/>
      <c r="L2" s="493"/>
    </row>
    <row r="3" spans="4:12" ht="15.75" thickBot="1" x14ac:dyDescent="0.3">
      <c r="D3" s="492" t="s">
        <v>650</v>
      </c>
      <c r="E3" s="851"/>
      <c r="F3" s="38"/>
      <c r="H3" s="438"/>
      <c r="I3" s="691" t="s">
        <v>657</v>
      </c>
      <c r="J3" s="691" t="s">
        <v>651</v>
      </c>
      <c r="K3" s="691" t="s">
        <v>652</v>
      </c>
      <c r="L3" s="691" t="s">
        <v>658</v>
      </c>
    </row>
    <row r="4" spans="4:12" x14ac:dyDescent="0.25">
      <c r="D4" s="491">
        <v>0</v>
      </c>
      <c r="E4" s="38">
        <v>0</v>
      </c>
      <c r="F4" s="38"/>
      <c r="H4" s="691" t="s">
        <v>659</v>
      </c>
      <c r="I4" s="690">
        <v>0.85</v>
      </c>
      <c r="J4" s="438">
        <v>192</v>
      </c>
      <c r="K4" s="438">
        <v>4</v>
      </c>
      <c r="L4" s="438"/>
    </row>
    <row r="5" spans="4:12" x14ac:dyDescent="0.25">
      <c r="D5" s="491">
        <v>0.05</v>
      </c>
      <c r="E5" s="689">
        <f>D5*2</f>
        <v>0.1</v>
      </c>
      <c r="F5" s="38"/>
      <c r="H5" s="691" t="s">
        <v>658</v>
      </c>
      <c r="I5" s="438">
        <f>VLOOKUP(I4,D4:E24,2,TRUE)</f>
        <v>1.7</v>
      </c>
      <c r="J5" s="438">
        <f>VLOOKUP(J4,D28:E48,2,TRUE)</f>
        <v>1.25</v>
      </c>
      <c r="K5" s="438">
        <f>VLOOKUP(K4,D73:E93,2,)</f>
        <v>2</v>
      </c>
      <c r="L5" s="438">
        <f>I5*J5*K5</f>
        <v>4.25</v>
      </c>
    </row>
    <row r="6" spans="4:12" x14ac:dyDescent="0.25">
      <c r="D6" s="491">
        <v>0.1</v>
      </c>
      <c r="E6" s="689">
        <f t="shared" ref="E6:E23" si="0">D6*2</f>
        <v>0.2</v>
      </c>
      <c r="F6" s="38"/>
    </row>
    <row r="7" spans="4:12" x14ac:dyDescent="0.25">
      <c r="D7" s="491">
        <v>0.15</v>
      </c>
      <c r="E7" s="689">
        <f t="shared" si="0"/>
        <v>0.3</v>
      </c>
      <c r="F7" s="38"/>
    </row>
    <row r="8" spans="4:12" x14ac:dyDescent="0.25">
      <c r="D8" s="491">
        <v>0.2</v>
      </c>
      <c r="E8" s="689">
        <f t="shared" si="0"/>
        <v>0.4</v>
      </c>
      <c r="F8" s="38"/>
    </row>
    <row r="9" spans="4:12" x14ac:dyDescent="0.25">
      <c r="D9" s="491">
        <v>0.25</v>
      </c>
      <c r="E9" s="689">
        <f t="shared" si="0"/>
        <v>0.5</v>
      </c>
      <c r="F9" s="38"/>
    </row>
    <row r="10" spans="4:12" x14ac:dyDescent="0.25">
      <c r="D10" s="491">
        <v>0.3</v>
      </c>
      <c r="E10" s="689">
        <f t="shared" si="0"/>
        <v>0.6</v>
      </c>
      <c r="F10" s="38"/>
    </row>
    <row r="11" spans="4:12" x14ac:dyDescent="0.25">
      <c r="D11" s="491">
        <v>0.35</v>
      </c>
      <c r="E11" s="689">
        <f t="shared" si="0"/>
        <v>0.7</v>
      </c>
      <c r="F11" s="38"/>
    </row>
    <row r="12" spans="4:12" x14ac:dyDescent="0.25">
      <c r="D12" s="491">
        <v>0.4</v>
      </c>
      <c r="E12" s="689">
        <f t="shared" si="0"/>
        <v>0.8</v>
      </c>
      <c r="F12" s="38"/>
    </row>
    <row r="13" spans="4:12" x14ac:dyDescent="0.25">
      <c r="D13" s="491">
        <v>0.45</v>
      </c>
      <c r="E13" s="689">
        <f t="shared" si="0"/>
        <v>0.9</v>
      </c>
      <c r="F13" s="38"/>
    </row>
    <row r="14" spans="4:12" x14ac:dyDescent="0.25">
      <c r="D14" s="491">
        <v>0.5</v>
      </c>
      <c r="E14" s="689">
        <f t="shared" si="0"/>
        <v>1</v>
      </c>
      <c r="F14" s="38"/>
    </row>
    <row r="15" spans="4:12" x14ac:dyDescent="0.25">
      <c r="D15" s="491">
        <v>0.55000000000000004</v>
      </c>
      <c r="E15" s="689">
        <f t="shared" si="0"/>
        <v>1.1000000000000001</v>
      </c>
      <c r="F15" s="38"/>
    </row>
    <row r="16" spans="4:12" x14ac:dyDescent="0.25">
      <c r="D16" s="491">
        <v>0.6</v>
      </c>
      <c r="E16" s="689">
        <f t="shared" si="0"/>
        <v>1.2</v>
      </c>
      <c r="F16" s="38"/>
    </row>
    <row r="17" spans="4:6" x14ac:dyDescent="0.25">
      <c r="D17" s="491">
        <v>0.65</v>
      </c>
      <c r="E17" s="689">
        <f t="shared" si="0"/>
        <v>1.3</v>
      </c>
      <c r="F17" s="38"/>
    </row>
    <row r="18" spans="4:6" x14ac:dyDescent="0.25">
      <c r="D18" s="491">
        <v>0.7</v>
      </c>
      <c r="E18" s="689">
        <f t="shared" si="0"/>
        <v>1.4</v>
      </c>
      <c r="F18" s="38"/>
    </row>
    <row r="19" spans="4:6" x14ac:dyDescent="0.25">
      <c r="D19" s="491">
        <v>0.75</v>
      </c>
      <c r="E19" s="689">
        <f t="shared" si="0"/>
        <v>1.5</v>
      </c>
      <c r="F19" s="38"/>
    </row>
    <row r="20" spans="4:6" x14ac:dyDescent="0.25">
      <c r="D20" s="491">
        <v>0.8</v>
      </c>
      <c r="E20" s="689">
        <f t="shared" si="0"/>
        <v>1.6</v>
      </c>
      <c r="F20" s="38"/>
    </row>
    <row r="21" spans="4:6" x14ac:dyDescent="0.25">
      <c r="D21" s="491">
        <v>0.85</v>
      </c>
      <c r="E21" s="689">
        <f t="shared" si="0"/>
        <v>1.7</v>
      </c>
      <c r="F21" s="38"/>
    </row>
    <row r="22" spans="4:6" x14ac:dyDescent="0.25">
      <c r="D22" s="491">
        <v>0.9</v>
      </c>
      <c r="E22" s="689">
        <f t="shared" si="0"/>
        <v>1.8</v>
      </c>
      <c r="F22" s="38"/>
    </row>
    <row r="23" spans="4:6" x14ac:dyDescent="0.25">
      <c r="D23" s="491">
        <v>0.95</v>
      </c>
      <c r="E23" s="689">
        <f t="shared" si="0"/>
        <v>1.9</v>
      </c>
      <c r="F23" s="38"/>
    </row>
    <row r="24" spans="4:6" ht="15.75" thickBot="1" x14ac:dyDescent="0.3">
      <c r="D24" s="495">
        <v>1</v>
      </c>
      <c r="E24" s="492">
        <v>2</v>
      </c>
      <c r="F24" s="38"/>
    </row>
    <row r="26" spans="4:6" x14ac:dyDescent="0.25">
      <c r="D26" s="490" t="s">
        <v>655</v>
      </c>
      <c r="E26" s="850" t="s">
        <v>653</v>
      </c>
    </row>
    <row r="27" spans="4:6" ht="15.75" thickBot="1" x14ac:dyDescent="0.3">
      <c r="D27" s="492" t="s">
        <v>651</v>
      </c>
      <c r="E27" s="851"/>
    </row>
    <row r="28" spans="4:6" x14ac:dyDescent="0.25">
      <c r="D28" s="38">
        <v>0</v>
      </c>
      <c r="E28" s="38">
        <v>0</v>
      </c>
    </row>
    <row r="29" spans="4:6" x14ac:dyDescent="0.25">
      <c r="D29" s="38">
        <v>10</v>
      </c>
      <c r="E29" s="38">
        <f>(D29/100)*1.25</f>
        <v>0.125</v>
      </c>
    </row>
    <row r="30" spans="4:6" x14ac:dyDescent="0.25">
      <c r="D30" s="38">
        <v>20</v>
      </c>
      <c r="E30" s="38">
        <f t="shared" ref="E30:E37" si="1">(D30/100)*1.25</f>
        <v>0.25</v>
      </c>
    </row>
    <row r="31" spans="4:6" x14ac:dyDescent="0.25">
      <c r="D31" s="494">
        <v>30</v>
      </c>
      <c r="E31" s="38">
        <f t="shared" si="1"/>
        <v>0.375</v>
      </c>
    </row>
    <row r="32" spans="4:6" x14ac:dyDescent="0.25">
      <c r="D32" s="38">
        <v>40</v>
      </c>
      <c r="E32" s="38">
        <f t="shared" si="1"/>
        <v>0.5</v>
      </c>
    </row>
    <row r="33" spans="4:5" x14ac:dyDescent="0.25">
      <c r="D33" s="38">
        <v>50</v>
      </c>
      <c r="E33" s="38">
        <f t="shared" si="1"/>
        <v>0.625</v>
      </c>
    </row>
    <row r="34" spans="4:5" x14ac:dyDescent="0.25">
      <c r="D34" s="38">
        <v>60</v>
      </c>
      <c r="E34" s="38">
        <f t="shared" si="1"/>
        <v>0.75</v>
      </c>
    </row>
    <row r="35" spans="4:5" x14ac:dyDescent="0.25">
      <c r="D35" s="38">
        <v>70</v>
      </c>
      <c r="E35" s="38">
        <f t="shared" si="1"/>
        <v>0.875</v>
      </c>
    </row>
    <row r="36" spans="4:5" x14ac:dyDescent="0.25">
      <c r="D36" s="38">
        <v>80</v>
      </c>
      <c r="E36" s="38">
        <f t="shared" si="1"/>
        <v>1</v>
      </c>
    </row>
    <row r="37" spans="4:5" x14ac:dyDescent="0.25">
      <c r="D37" s="38">
        <v>90</v>
      </c>
      <c r="E37" s="38">
        <f t="shared" si="1"/>
        <v>1.125</v>
      </c>
    </row>
    <row r="38" spans="4:5" x14ac:dyDescent="0.25">
      <c r="D38" s="38">
        <v>100</v>
      </c>
      <c r="E38" s="38">
        <v>1.25</v>
      </c>
    </row>
    <row r="39" spans="4:5" x14ac:dyDescent="0.25">
      <c r="D39" s="38">
        <v>110</v>
      </c>
      <c r="E39" s="494">
        <v>1.25</v>
      </c>
    </row>
    <row r="40" spans="4:5" x14ac:dyDescent="0.25">
      <c r="D40" s="38">
        <v>120</v>
      </c>
      <c r="E40" s="38">
        <v>1.25</v>
      </c>
    </row>
    <row r="41" spans="4:5" x14ac:dyDescent="0.25">
      <c r="D41" s="38">
        <v>130</v>
      </c>
      <c r="E41" s="494">
        <v>1.25</v>
      </c>
    </row>
    <row r="42" spans="4:5" x14ac:dyDescent="0.25">
      <c r="D42" s="38">
        <v>140</v>
      </c>
      <c r="E42" s="38">
        <v>1.25</v>
      </c>
    </row>
    <row r="43" spans="4:5" x14ac:dyDescent="0.25">
      <c r="D43" s="38">
        <v>150</v>
      </c>
      <c r="E43" s="494">
        <v>1.25</v>
      </c>
    </row>
    <row r="44" spans="4:5" x14ac:dyDescent="0.25">
      <c r="D44" s="494">
        <v>160</v>
      </c>
      <c r="E44" s="38">
        <v>1.25</v>
      </c>
    </row>
    <row r="45" spans="4:5" x14ac:dyDescent="0.25">
      <c r="D45" s="38">
        <v>170</v>
      </c>
      <c r="E45" s="494">
        <v>1.25</v>
      </c>
    </row>
    <row r="46" spans="4:5" x14ac:dyDescent="0.25">
      <c r="D46" s="38">
        <v>180</v>
      </c>
      <c r="E46" s="38">
        <v>1.25</v>
      </c>
    </row>
    <row r="47" spans="4:5" x14ac:dyDescent="0.25">
      <c r="D47" s="38">
        <v>190</v>
      </c>
      <c r="E47" s="494">
        <v>1.25</v>
      </c>
    </row>
    <row r="48" spans="4:5" x14ac:dyDescent="0.25">
      <c r="D48" s="38">
        <v>200</v>
      </c>
      <c r="E48" s="38">
        <v>1.25</v>
      </c>
    </row>
    <row r="49" spans="4:5" x14ac:dyDescent="0.25">
      <c r="D49" s="38">
        <v>210</v>
      </c>
      <c r="E49" s="494">
        <v>1.25</v>
      </c>
    </row>
    <row r="50" spans="4:5" x14ac:dyDescent="0.25">
      <c r="D50" s="38">
        <v>220</v>
      </c>
      <c r="E50" s="38">
        <v>1.25</v>
      </c>
    </row>
    <row r="51" spans="4:5" x14ac:dyDescent="0.25">
      <c r="D51" s="38">
        <v>230</v>
      </c>
      <c r="E51" s="494">
        <v>1.25</v>
      </c>
    </row>
    <row r="52" spans="4:5" x14ac:dyDescent="0.25">
      <c r="D52" s="38">
        <v>240</v>
      </c>
      <c r="E52" s="38">
        <v>1.25</v>
      </c>
    </row>
    <row r="53" spans="4:5" x14ac:dyDescent="0.25">
      <c r="D53" s="38">
        <v>250</v>
      </c>
      <c r="E53" s="494">
        <v>1.25</v>
      </c>
    </row>
    <row r="54" spans="4:5" x14ac:dyDescent="0.25">
      <c r="D54" s="38">
        <v>260</v>
      </c>
      <c r="E54" s="38">
        <v>1.25</v>
      </c>
    </row>
    <row r="55" spans="4:5" x14ac:dyDescent="0.25">
      <c r="D55" s="38">
        <v>270</v>
      </c>
      <c r="E55" s="494">
        <v>1.25</v>
      </c>
    </row>
    <row r="56" spans="4:5" x14ac:dyDescent="0.25">
      <c r="D56" s="38">
        <v>280</v>
      </c>
      <c r="E56" s="38">
        <v>1.25</v>
      </c>
    </row>
    <row r="57" spans="4:5" x14ac:dyDescent="0.25">
      <c r="D57" s="494">
        <v>290</v>
      </c>
      <c r="E57" s="494">
        <v>1.25</v>
      </c>
    </row>
    <row r="58" spans="4:5" x14ac:dyDescent="0.25">
      <c r="D58" s="38">
        <v>300</v>
      </c>
      <c r="E58" s="38">
        <v>1.25</v>
      </c>
    </row>
    <row r="59" spans="4:5" x14ac:dyDescent="0.25">
      <c r="D59" s="38">
        <v>310</v>
      </c>
      <c r="E59" s="494">
        <v>1.25</v>
      </c>
    </row>
    <row r="60" spans="4:5" x14ac:dyDescent="0.25">
      <c r="D60" s="38">
        <v>320</v>
      </c>
      <c r="E60" s="38">
        <v>1.25</v>
      </c>
    </row>
    <row r="61" spans="4:5" x14ac:dyDescent="0.25">
      <c r="D61" s="38">
        <v>330</v>
      </c>
      <c r="E61" s="494">
        <v>1.25</v>
      </c>
    </row>
    <row r="62" spans="4:5" x14ac:dyDescent="0.25">
      <c r="D62" s="38">
        <v>340</v>
      </c>
      <c r="E62" s="38">
        <v>1.25</v>
      </c>
    </row>
    <row r="63" spans="4:5" x14ac:dyDescent="0.25">
      <c r="D63" s="38">
        <v>350</v>
      </c>
      <c r="E63" s="494">
        <v>1.25</v>
      </c>
    </row>
    <row r="64" spans="4:5" x14ac:dyDescent="0.25">
      <c r="D64" s="38">
        <v>360</v>
      </c>
      <c r="E64" s="38">
        <v>1.25</v>
      </c>
    </row>
    <row r="65" spans="4:5" x14ac:dyDescent="0.25">
      <c r="D65" s="38">
        <v>370</v>
      </c>
      <c r="E65" s="494">
        <v>1.25</v>
      </c>
    </row>
    <row r="66" spans="4:5" x14ac:dyDescent="0.25">
      <c r="D66" s="38">
        <v>380</v>
      </c>
      <c r="E66" s="38">
        <v>1.25</v>
      </c>
    </row>
    <row r="67" spans="4:5" x14ac:dyDescent="0.25">
      <c r="D67" s="38">
        <v>390</v>
      </c>
      <c r="E67" s="494">
        <v>1.25</v>
      </c>
    </row>
    <row r="68" spans="4:5" x14ac:dyDescent="0.25">
      <c r="D68" s="38">
        <v>400</v>
      </c>
      <c r="E68" s="38">
        <v>1.25</v>
      </c>
    </row>
    <row r="69" spans="4:5" x14ac:dyDescent="0.25">
      <c r="D69" s="38">
        <v>410</v>
      </c>
      <c r="E69" s="38"/>
    </row>
    <row r="71" spans="4:5" x14ac:dyDescent="0.25">
      <c r="D71" s="490" t="s">
        <v>656</v>
      </c>
      <c r="E71" s="850" t="s">
        <v>653</v>
      </c>
    </row>
    <row r="72" spans="4:5" ht="15.75" thickBot="1" x14ac:dyDescent="0.3">
      <c r="D72" s="492" t="s">
        <v>652</v>
      </c>
      <c r="E72" s="851"/>
    </row>
    <row r="73" spans="4:5" x14ac:dyDescent="0.25">
      <c r="D73" s="38"/>
      <c r="E73" s="38">
        <v>0</v>
      </c>
    </row>
    <row r="74" spans="4:5" x14ac:dyDescent="0.25">
      <c r="D74" s="38"/>
      <c r="E74" s="38">
        <v>0</v>
      </c>
    </row>
    <row r="75" spans="4:5" x14ac:dyDescent="0.25">
      <c r="D75" s="38"/>
      <c r="E75" s="38">
        <v>0</v>
      </c>
    </row>
    <row r="76" spans="4:5" x14ac:dyDescent="0.25">
      <c r="D76" s="38"/>
      <c r="E76" s="38">
        <v>0</v>
      </c>
    </row>
    <row r="77" spans="4:5" x14ac:dyDescent="0.25">
      <c r="D77" s="38"/>
      <c r="E77" s="38">
        <v>0</v>
      </c>
    </row>
    <row r="78" spans="4:5" x14ac:dyDescent="0.25">
      <c r="D78" s="38"/>
      <c r="E78" s="38">
        <v>0</v>
      </c>
    </row>
    <row r="79" spans="4:5" x14ac:dyDescent="0.25">
      <c r="D79" s="38">
        <v>0</v>
      </c>
      <c r="E79" s="38">
        <v>1</v>
      </c>
    </row>
    <row r="80" spans="4:5" x14ac:dyDescent="0.25">
      <c r="D80" s="38">
        <v>1</v>
      </c>
      <c r="E80" s="38">
        <v>1.3333299999999999</v>
      </c>
    </row>
    <row r="81" spans="4:5" x14ac:dyDescent="0.25">
      <c r="D81" s="38">
        <v>2</v>
      </c>
      <c r="E81" s="38">
        <v>1.66666</v>
      </c>
    </row>
    <row r="82" spans="4:5" x14ac:dyDescent="0.25">
      <c r="D82" s="38">
        <v>3</v>
      </c>
      <c r="E82" s="38">
        <v>2</v>
      </c>
    </row>
    <row r="83" spans="4:5" x14ac:dyDescent="0.25">
      <c r="D83" s="38">
        <v>4</v>
      </c>
      <c r="E83" s="38">
        <v>2</v>
      </c>
    </row>
    <row r="84" spans="4:5" x14ac:dyDescent="0.25">
      <c r="D84" s="38">
        <v>5</v>
      </c>
      <c r="E84" s="38">
        <v>2</v>
      </c>
    </row>
    <row r="85" spans="4:5" x14ac:dyDescent="0.25">
      <c r="D85" s="38">
        <v>6</v>
      </c>
      <c r="E85" s="38">
        <v>2</v>
      </c>
    </row>
    <row r="86" spans="4:5" x14ac:dyDescent="0.25">
      <c r="D86" s="38">
        <v>7</v>
      </c>
      <c r="E86" s="38">
        <v>2</v>
      </c>
    </row>
    <row r="87" spans="4:5" x14ac:dyDescent="0.25">
      <c r="D87" s="38">
        <v>8</v>
      </c>
      <c r="E87" s="38">
        <v>2</v>
      </c>
    </row>
    <row r="88" spans="4:5" x14ac:dyDescent="0.25">
      <c r="D88" s="38"/>
      <c r="E88" s="38">
        <v>2</v>
      </c>
    </row>
    <row r="89" spans="4:5" x14ac:dyDescent="0.25">
      <c r="D89" s="38"/>
      <c r="E89" s="38">
        <v>2</v>
      </c>
    </row>
    <row r="90" spans="4:5" x14ac:dyDescent="0.25">
      <c r="D90" s="38"/>
      <c r="E90" s="38">
        <v>2</v>
      </c>
    </row>
    <row r="91" spans="4:5" x14ac:dyDescent="0.25">
      <c r="D91" s="38"/>
      <c r="E91" s="38">
        <v>2</v>
      </c>
    </row>
    <row r="92" spans="4:5" x14ac:dyDescent="0.25">
      <c r="D92" s="38"/>
      <c r="E92" s="38">
        <v>2</v>
      </c>
    </row>
    <row r="93" spans="4:5" ht="15.75" thickBot="1" x14ac:dyDescent="0.3">
      <c r="D93" s="492"/>
      <c r="E93" s="492">
        <v>2</v>
      </c>
    </row>
  </sheetData>
  <mergeCells count="3">
    <mergeCell ref="E26:E27"/>
    <mergeCell ref="E71:E72"/>
    <mergeCell ref="E2:E3"/>
  </mergeCells>
  <pageMargins left="0.7" right="0.7" top="0.75" bottom="0.75" header="0.3" footer="0.3"/>
  <pageSetup orientation="portrait" horizontalDpi="4294967293" verticalDpi="4294967293"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9"/>
  <sheetViews>
    <sheetView showGridLines="0" workbookViewId="0">
      <selection activeCell="B49" sqref="B49:U49"/>
    </sheetView>
  </sheetViews>
  <sheetFormatPr defaultRowHeight="15" x14ac:dyDescent="0.25"/>
  <cols>
    <col min="2" max="2" width="15.28515625" bestFit="1" customWidth="1"/>
    <col min="3" max="3" width="13" customWidth="1"/>
    <col min="4" max="4" width="13.7109375" customWidth="1"/>
    <col min="5" max="5" width="15.28515625" bestFit="1" customWidth="1"/>
    <col min="6" max="6" width="14" customWidth="1"/>
    <col min="7" max="7" width="15.7109375" customWidth="1"/>
    <col min="8" max="8" width="15.28515625" bestFit="1" customWidth="1"/>
    <col min="9" max="9" width="14.140625" customWidth="1"/>
    <col min="10" max="10" width="14.5703125" customWidth="1"/>
    <col min="11" max="11" width="15.28515625" bestFit="1" customWidth="1"/>
    <col min="12" max="12" width="12" customWidth="1"/>
    <col min="13" max="13" width="12.140625" customWidth="1"/>
    <col min="14" max="14" width="13.5703125" customWidth="1"/>
    <col min="15" max="15" width="15" bestFit="1" customWidth="1"/>
    <col min="16" max="16" width="12.28515625" customWidth="1"/>
    <col min="17" max="17" width="11.28515625" customWidth="1"/>
    <col min="18" max="18" width="15" bestFit="1" customWidth="1"/>
  </cols>
  <sheetData>
    <row r="3" spans="2:18" x14ac:dyDescent="0.25">
      <c r="B3" t="s">
        <v>22</v>
      </c>
      <c r="E3" t="s">
        <v>21</v>
      </c>
      <c r="H3" t="s">
        <v>673</v>
      </c>
      <c r="K3" t="s">
        <v>674</v>
      </c>
      <c r="N3" t="s">
        <v>22</v>
      </c>
      <c r="Q3" t="s">
        <v>21</v>
      </c>
    </row>
    <row r="4" spans="2:18" x14ac:dyDescent="0.25">
      <c r="B4" s="510" t="s">
        <v>675</v>
      </c>
      <c r="C4" s="510" t="s">
        <v>676</v>
      </c>
      <c r="E4" s="510" t="s">
        <v>675</v>
      </c>
      <c r="F4" s="510" t="s">
        <v>676</v>
      </c>
      <c r="H4" s="510" t="s">
        <v>675</v>
      </c>
      <c r="I4" s="510" t="s">
        <v>677</v>
      </c>
      <c r="K4" s="510" t="s">
        <v>675</v>
      </c>
      <c r="L4" s="510" t="s">
        <v>677</v>
      </c>
      <c r="N4" s="510" t="s">
        <v>675</v>
      </c>
      <c r="O4" s="510" t="s">
        <v>678</v>
      </c>
      <c r="Q4" s="510" t="s">
        <v>675</v>
      </c>
      <c r="R4" s="510" t="s">
        <v>678</v>
      </c>
    </row>
    <row r="5" spans="2:18" x14ac:dyDescent="0.25">
      <c r="B5" s="510">
        <v>180</v>
      </c>
      <c r="C5" s="510">
        <v>0</v>
      </c>
      <c r="E5" s="510">
        <v>180</v>
      </c>
      <c r="F5" s="510">
        <v>0</v>
      </c>
      <c r="H5" s="510">
        <v>180</v>
      </c>
      <c r="I5" s="510">
        <v>0</v>
      </c>
      <c r="K5" s="510">
        <v>180</v>
      </c>
      <c r="L5" s="510">
        <v>0</v>
      </c>
      <c r="N5" s="510">
        <v>180</v>
      </c>
      <c r="O5" s="545">
        <v>1</v>
      </c>
      <c r="Q5" s="510">
        <v>180</v>
      </c>
      <c r="R5" s="545">
        <v>1</v>
      </c>
    </row>
    <row r="6" spans="2:18" x14ac:dyDescent="0.25">
      <c r="B6" s="510">
        <v>128</v>
      </c>
      <c r="C6" s="510">
        <v>32.729999999999997</v>
      </c>
      <c r="E6" s="510">
        <v>128</v>
      </c>
      <c r="F6" s="510">
        <v>0</v>
      </c>
      <c r="H6" s="510">
        <v>128</v>
      </c>
      <c r="I6" s="510">
        <v>32.729999999999997</v>
      </c>
      <c r="K6" s="510">
        <v>128</v>
      </c>
      <c r="L6" s="510">
        <v>0</v>
      </c>
      <c r="N6" s="510">
        <v>128</v>
      </c>
      <c r="O6" s="545">
        <v>0.95723413429500992</v>
      </c>
      <c r="Q6" s="510">
        <v>128</v>
      </c>
      <c r="R6" s="545">
        <v>1</v>
      </c>
    </row>
    <row r="7" spans="2:18" x14ac:dyDescent="0.25">
      <c r="B7" s="510">
        <v>90</v>
      </c>
      <c r="C7" s="510">
        <v>120.50999999999999</v>
      </c>
      <c r="E7" s="510">
        <v>90</v>
      </c>
      <c r="F7" s="510">
        <v>0</v>
      </c>
      <c r="H7" s="510">
        <v>90</v>
      </c>
      <c r="I7" s="510">
        <v>153.23999999999998</v>
      </c>
      <c r="K7" s="510">
        <v>90</v>
      </c>
      <c r="L7" s="510">
        <v>0</v>
      </c>
      <c r="N7" s="510">
        <v>90</v>
      </c>
      <c r="O7" s="545">
        <v>0.79977264709341067</v>
      </c>
      <c r="Q7" s="510">
        <v>90</v>
      </c>
      <c r="R7" s="545">
        <v>1</v>
      </c>
    </row>
    <row r="8" spans="2:18" x14ac:dyDescent="0.25">
      <c r="B8" s="510">
        <v>64</v>
      </c>
      <c r="C8" s="510">
        <v>130.95999999999998</v>
      </c>
      <c r="E8" s="510">
        <v>64</v>
      </c>
      <c r="F8" s="510">
        <v>9.4500000000000011</v>
      </c>
      <c r="H8" s="510">
        <v>64</v>
      </c>
      <c r="I8" s="510">
        <v>284.19999999999993</v>
      </c>
      <c r="K8" s="510">
        <v>64</v>
      </c>
      <c r="L8" s="510">
        <v>9.4500000000000011</v>
      </c>
      <c r="N8" s="510">
        <v>64</v>
      </c>
      <c r="O8" s="545">
        <v>0.62865691923745315</v>
      </c>
      <c r="Q8" s="510">
        <v>64</v>
      </c>
      <c r="R8" s="545">
        <v>0.98431977699238382</v>
      </c>
    </row>
    <row r="9" spans="2:18" x14ac:dyDescent="0.25">
      <c r="B9" s="510">
        <v>50.8</v>
      </c>
      <c r="C9" s="510">
        <v>142.82999999999998</v>
      </c>
      <c r="E9" s="510">
        <v>50.8</v>
      </c>
      <c r="F9" s="510">
        <v>58.180000000000007</v>
      </c>
      <c r="H9" s="510">
        <v>50.8</v>
      </c>
      <c r="I9" s="510">
        <v>427.02999999999992</v>
      </c>
      <c r="K9" s="510">
        <v>50.8</v>
      </c>
      <c r="L9" s="510">
        <v>67.63000000000001</v>
      </c>
      <c r="N9" s="510">
        <v>50.8</v>
      </c>
      <c r="O9" s="545">
        <v>0.44203154194922456</v>
      </c>
      <c r="Q9" s="510">
        <v>50.8</v>
      </c>
      <c r="R9" s="545">
        <v>0.88778270031692308</v>
      </c>
    </row>
    <row r="10" spans="2:18" x14ac:dyDescent="0.25">
      <c r="B10" s="510">
        <v>38.099999999999994</v>
      </c>
      <c r="C10" s="510">
        <v>96.4</v>
      </c>
      <c r="E10" s="510">
        <v>38.099999999999994</v>
      </c>
      <c r="F10" s="510">
        <v>76.13</v>
      </c>
      <c r="H10" s="510">
        <v>38.099999999999994</v>
      </c>
      <c r="I10" s="510">
        <v>523.42999999999995</v>
      </c>
      <c r="K10" s="510">
        <v>38.099999999999994</v>
      </c>
      <c r="L10" s="510">
        <v>143.76</v>
      </c>
      <c r="N10" s="510">
        <v>38.099999999999994</v>
      </c>
      <c r="O10" s="545">
        <v>0.31607280519514458</v>
      </c>
      <c r="Q10" s="510">
        <v>38.099999999999994</v>
      </c>
      <c r="R10" s="545">
        <v>0.76146149634128135</v>
      </c>
    </row>
    <row r="11" spans="2:18" x14ac:dyDescent="0.25">
      <c r="B11" s="510">
        <v>19.049999999999997</v>
      </c>
      <c r="C11" s="510">
        <v>106.81</v>
      </c>
      <c r="E11" s="510">
        <v>19.049999999999997</v>
      </c>
      <c r="F11" s="510">
        <v>170.93</v>
      </c>
      <c r="H11" s="510">
        <v>19.049999999999997</v>
      </c>
      <c r="I11" s="510">
        <v>630.24</v>
      </c>
      <c r="K11" s="510">
        <v>19.049999999999997</v>
      </c>
      <c r="L11" s="510">
        <v>314.69</v>
      </c>
      <c r="N11" s="510">
        <v>19.049999999999997</v>
      </c>
      <c r="O11" s="545">
        <v>0.17651209282270383</v>
      </c>
      <c r="Q11" s="510">
        <v>19.049999999999997</v>
      </c>
      <c r="R11" s="545">
        <v>0.47784027743209384</v>
      </c>
    </row>
    <row r="12" spans="2:18" x14ac:dyDescent="0.25">
      <c r="B12" s="510">
        <v>9.5249999999999986</v>
      </c>
      <c r="C12" s="510">
        <v>45.22</v>
      </c>
      <c r="E12" s="510">
        <v>9.5249999999999986</v>
      </c>
      <c r="F12" s="510">
        <v>101.57</v>
      </c>
      <c r="H12" s="510">
        <v>9.5249999999999986</v>
      </c>
      <c r="I12" s="510">
        <v>675.46</v>
      </c>
      <c r="K12" s="510">
        <v>9.5249999999999986</v>
      </c>
      <c r="L12" s="510">
        <v>416.26</v>
      </c>
      <c r="N12" s="510">
        <v>9.5249999999999986</v>
      </c>
      <c r="O12" s="545">
        <v>0.11742646962748082</v>
      </c>
      <c r="Q12" s="510">
        <v>9.5249999999999986</v>
      </c>
      <c r="R12" s="545">
        <v>0.30930691755023476</v>
      </c>
    </row>
    <row r="13" spans="2:18" x14ac:dyDescent="0.25">
      <c r="B13" s="510">
        <v>4.7497999999999996</v>
      </c>
      <c r="C13" s="510">
        <v>17.869999999999997</v>
      </c>
      <c r="E13" s="510">
        <v>4.7497999999999996</v>
      </c>
      <c r="F13" s="510">
        <v>53.050000000000004</v>
      </c>
      <c r="H13" s="510">
        <v>4.7497999999999996</v>
      </c>
      <c r="I13" s="510">
        <v>693.33</v>
      </c>
      <c r="K13" s="510">
        <v>4.7497999999999996</v>
      </c>
      <c r="L13" s="510">
        <v>469.31</v>
      </c>
      <c r="N13" s="510">
        <v>4.7497999999999996</v>
      </c>
      <c r="O13" s="545">
        <v>9.4077064795578244E-2</v>
      </c>
      <c r="Q13" s="510">
        <v>4.7497999999999996</v>
      </c>
      <c r="R13" s="545">
        <v>0.22128196193605118</v>
      </c>
    </row>
    <row r="14" spans="2:18" x14ac:dyDescent="0.25">
      <c r="B14" s="510">
        <v>2.3799800000000002</v>
      </c>
      <c r="C14" s="510">
        <v>7.57</v>
      </c>
      <c r="E14" s="510">
        <v>2.3799800000000002</v>
      </c>
      <c r="F14" s="510">
        <v>30.549999999999997</v>
      </c>
      <c r="H14" s="510">
        <v>2.3799800000000002</v>
      </c>
      <c r="I14" s="510">
        <v>700.90000000000009</v>
      </c>
      <c r="K14" s="510">
        <v>2.3799800000000002</v>
      </c>
      <c r="L14" s="510">
        <v>499.86</v>
      </c>
      <c r="N14" s="510">
        <v>2.3799800000000002</v>
      </c>
      <c r="O14" s="545">
        <v>8.4185906733043062E-2</v>
      </c>
      <c r="Q14" s="510">
        <v>2.3799800000000002</v>
      </c>
      <c r="R14" s="545">
        <v>0.17059087062571548</v>
      </c>
    </row>
    <row r="15" spans="2:18" x14ac:dyDescent="0.25">
      <c r="B15" s="510">
        <v>1.1912599999999998</v>
      </c>
      <c r="C15" s="510">
        <v>4.8099999999999987</v>
      </c>
      <c r="E15" s="510">
        <v>1.1912599999999998</v>
      </c>
      <c r="F15" s="510">
        <v>18.43</v>
      </c>
      <c r="H15" s="510">
        <v>1.1912599999999998</v>
      </c>
      <c r="I15" s="510">
        <v>705.71</v>
      </c>
      <c r="K15" s="510">
        <v>1.1912599999999998</v>
      </c>
      <c r="L15" s="510">
        <v>518.29</v>
      </c>
      <c r="N15" s="510">
        <v>1.1912599999999998</v>
      </c>
      <c r="O15" s="545">
        <v>7.7901036154338521E-2</v>
      </c>
      <c r="Q15" s="510">
        <v>1.1912599999999998</v>
      </c>
      <c r="R15" s="545">
        <v>0.14001028755371928</v>
      </c>
    </row>
    <row r="16" spans="2:18" x14ac:dyDescent="0.25">
      <c r="B16" s="510">
        <v>0.59436</v>
      </c>
      <c r="C16" s="510">
        <v>5.259999999999998</v>
      </c>
      <c r="E16" s="510">
        <v>0.59436</v>
      </c>
      <c r="F16" s="510">
        <v>13.6</v>
      </c>
      <c r="H16" s="510">
        <v>0.59436</v>
      </c>
      <c r="I16" s="510">
        <v>710.97</v>
      </c>
      <c r="K16" s="510">
        <v>0.59436</v>
      </c>
      <c r="L16" s="510">
        <v>531.89</v>
      </c>
      <c r="N16" s="510">
        <v>0.59436</v>
      </c>
      <c r="O16" s="545">
        <v>7.1028183920661556E-2</v>
      </c>
      <c r="Q16" s="510">
        <v>0.59436</v>
      </c>
      <c r="R16" s="545">
        <v>0.11744404068561563</v>
      </c>
    </row>
    <row r="17" spans="2:18" x14ac:dyDescent="0.25">
      <c r="B17" s="510">
        <v>0.29718</v>
      </c>
      <c r="C17" s="510">
        <v>10.8</v>
      </c>
      <c r="E17" s="510">
        <v>0.29718</v>
      </c>
      <c r="F17" s="510">
        <v>20.810000000000002</v>
      </c>
      <c r="H17" s="510">
        <v>0.29718</v>
      </c>
      <c r="I17" s="510">
        <v>721.77</v>
      </c>
      <c r="K17" s="510">
        <v>0.29718</v>
      </c>
      <c r="L17" s="510">
        <v>552.70000000000005</v>
      </c>
      <c r="N17" s="510">
        <v>0.29718</v>
      </c>
      <c r="O17" s="545">
        <v>5.6916624201324852E-2</v>
      </c>
      <c r="Q17" s="510">
        <v>0.29718</v>
      </c>
      <c r="R17" s="545">
        <v>8.2914364411701122E-2</v>
      </c>
    </row>
    <row r="18" spans="2:18" x14ac:dyDescent="0.25">
      <c r="B18" s="510">
        <v>0.14985999999999999</v>
      </c>
      <c r="C18" s="510">
        <v>19.52</v>
      </c>
      <c r="E18" s="510">
        <v>0.14985999999999999</v>
      </c>
      <c r="F18" s="510">
        <v>27.25</v>
      </c>
      <c r="H18" s="510">
        <v>0.14985999999999999</v>
      </c>
      <c r="I18" s="510">
        <v>741.29</v>
      </c>
      <c r="K18" s="510">
        <v>0.14985999999999999</v>
      </c>
      <c r="L18" s="510">
        <v>579.95000000000005</v>
      </c>
      <c r="N18" s="510">
        <v>0.14985999999999999</v>
      </c>
      <c r="O18" s="545">
        <v>3.1411286634523625E-2</v>
      </c>
      <c r="Q18" s="510">
        <v>0.14985999999999999</v>
      </c>
      <c r="R18" s="545">
        <v>3.7698906532596471E-2</v>
      </c>
    </row>
    <row r="19" spans="2:18" x14ac:dyDescent="0.25">
      <c r="B19" s="510">
        <v>7.3659999999999989E-2</v>
      </c>
      <c r="C19" s="510">
        <v>17.000000000000004</v>
      </c>
      <c r="E19" s="510">
        <v>7.3659999999999989E-2</v>
      </c>
      <c r="F19" s="510">
        <v>17.18</v>
      </c>
      <c r="H19" s="510">
        <v>7.3659999999999989E-2</v>
      </c>
      <c r="I19" s="510">
        <v>758.29</v>
      </c>
      <c r="K19" s="510">
        <v>7.3659999999999989E-2</v>
      </c>
      <c r="L19" s="510">
        <v>597.13</v>
      </c>
      <c r="N19" s="510">
        <v>7.3659999999999989E-2</v>
      </c>
      <c r="O19" s="545">
        <v>9.1986463355676167E-3</v>
      </c>
      <c r="Q19" s="510">
        <v>7.3659999999999989E-2</v>
      </c>
      <c r="R19" s="545">
        <v>9.1924270330362625E-3</v>
      </c>
    </row>
    <row r="20" spans="2:18" x14ac:dyDescent="0.25">
      <c r="B20" s="510">
        <v>0</v>
      </c>
      <c r="C20" s="510">
        <v>7.0400000000000009</v>
      </c>
      <c r="E20" s="510">
        <v>0</v>
      </c>
      <c r="F20" s="510">
        <v>5.54</v>
      </c>
      <c r="H20" s="510">
        <v>0</v>
      </c>
      <c r="I20" s="510">
        <v>765.32999999999993</v>
      </c>
      <c r="K20" s="510">
        <v>0</v>
      </c>
      <c r="L20" s="510">
        <v>602.66999999999996</v>
      </c>
      <c r="N20" s="510">
        <v>0</v>
      </c>
      <c r="O20" s="545">
        <v>0</v>
      </c>
      <c r="Q20" s="510">
        <v>0</v>
      </c>
      <c r="R20" s="545">
        <v>0</v>
      </c>
    </row>
    <row r="47" spans="2:21" ht="30" x14ac:dyDescent="0.25">
      <c r="B47" s="546" t="s">
        <v>5</v>
      </c>
      <c r="C47" s="546" t="s">
        <v>623</v>
      </c>
      <c r="D47" s="546" t="s">
        <v>263</v>
      </c>
      <c r="E47" s="546" t="s">
        <v>264</v>
      </c>
      <c r="F47" s="546" t="s">
        <v>265</v>
      </c>
      <c r="G47" s="546" t="s">
        <v>266</v>
      </c>
      <c r="H47" s="546" t="s">
        <v>267</v>
      </c>
      <c r="I47" s="546" t="s">
        <v>268</v>
      </c>
      <c r="J47" s="546" t="s">
        <v>269</v>
      </c>
      <c r="K47" s="546" t="s">
        <v>6</v>
      </c>
      <c r="L47" s="546" t="s">
        <v>622</v>
      </c>
      <c r="M47" s="546" t="s">
        <v>621</v>
      </c>
      <c r="N47" s="546" t="s">
        <v>577</v>
      </c>
      <c r="O47" s="546" t="s">
        <v>679</v>
      </c>
      <c r="P47" s="546" t="s">
        <v>680</v>
      </c>
      <c r="Q47" s="546" t="s">
        <v>681</v>
      </c>
      <c r="R47" s="546" t="s">
        <v>682</v>
      </c>
      <c r="S47" s="546" t="s">
        <v>260</v>
      </c>
      <c r="T47" s="546" t="s">
        <v>261</v>
      </c>
      <c r="U47" s="546" t="s">
        <v>262</v>
      </c>
    </row>
    <row r="48" spans="2:21" x14ac:dyDescent="0.25">
      <c r="B48" s="547" t="s">
        <v>20</v>
      </c>
      <c r="C48" s="547" t="s">
        <v>64</v>
      </c>
      <c r="D48" s="547" t="s">
        <v>64</v>
      </c>
      <c r="E48" s="547" t="s">
        <v>64</v>
      </c>
      <c r="F48" s="547" t="s">
        <v>64</v>
      </c>
      <c r="G48" s="547" t="s">
        <v>64</v>
      </c>
      <c r="H48" s="547" t="s">
        <v>64</v>
      </c>
      <c r="I48" s="547" t="s">
        <v>64</v>
      </c>
      <c r="J48" s="547" t="s">
        <v>64</v>
      </c>
      <c r="K48" s="547" t="s">
        <v>20</v>
      </c>
      <c r="L48" s="547" t="s">
        <v>64</v>
      </c>
      <c r="M48" s="547" t="s">
        <v>64</v>
      </c>
      <c r="N48" s="547" t="s">
        <v>64</v>
      </c>
      <c r="O48" s="547" t="s">
        <v>90</v>
      </c>
      <c r="P48" s="547" t="s">
        <v>90</v>
      </c>
      <c r="Q48" s="547" t="s">
        <v>90</v>
      </c>
      <c r="R48" s="547" t="s">
        <v>90</v>
      </c>
      <c r="S48" s="547" t="s">
        <v>90</v>
      </c>
      <c r="T48" s="547" t="s">
        <v>90</v>
      </c>
      <c r="U48" s="547" t="s">
        <v>90</v>
      </c>
    </row>
    <row r="49" spans="2:21" x14ac:dyDescent="0.25">
      <c r="B49" s="18"/>
      <c r="C49" s="548">
        <v>1</v>
      </c>
      <c r="D49" s="549">
        <v>1</v>
      </c>
      <c r="E49" s="125">
        <v>0.98</v>
      </c>
      <c r="F49" s="125">
        <v>0.66</v>
      </c>
      <c r="G49" s="125">
        <v>0.41</v>
      </c>
      <c r="H49" s="125">
        <v>0.28000000000000003</v>
      </c>
      <c r="I49" s="125">
        <v>0.2</v>
      </c>
      <c r="J49" s="125">
        <v>0.19</v>
      </c>
      <c r="K49" s="18"/>
      <c r="L49" s="125">
        <v>1</v>
      </c>
      <c r="M49" s="125">
        <v>1</v>
      </c>
      <c r="N49" s="125">
        <v>1</v>
      </c>
      <c r="O49" s="125">
        <v>0.96</v>
      </c>
      <c r="P49" s="125">
        <v>0.63</v>
      </c>
      <c r="Q49" s="125">
        <v>0.28000000000000003</v>
      </c>
      <c r="R49" s="125">
        <v>0.17</v>
      </c>
      <c r="S49" s="125">
        <v>0.11</v>
      </c>
      <c r="T49" s="125">
        <v>0.1</v>
      </c>
      <c r="U49" s="125">
        <v>0.09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8</vt:i4>
      </vt:variant>
    </vt:vector>
  </HeadingPairs>
  <TitlesOfParts>
    <vt:vector size="15" baseType="lpstr">
      <vt:lpstr>Data</vt:lpstr>
      <vt:lpstr>Klamath PSD</vt:lpstr>
      <vt:lpstr>Figures</vt:lpstr>
      <vt:lpstr>Sheet1</vt:lpstr>
      <vt:lpstr>Sheet2</vt:lpstr>
      <vt:lpstr>Quality Code</vt:lpstr>
      <vt:lpstr>Hobble Creek</vt:lpstr>
      <vt:lpstr>Data!_ENREF_1</vt:lpstr>
      <vt:lpstr>Data!_ENREF_2</vt:lpstr>
      <vt:lpstr>Data!_ENREF_3</vt:lpstr>
      <vt:lpstr>Data!_ENREF_5</vt:lpstr>
      <vt:lpstr>Data!_ENREF_6</vt:lpstr>
      <vt:lpstr>Data!_ENREF_8</vt:lpstr>
      <vt:lpstr>Data!Print_Area</vt:lpstr>
      <vt:lpstr>Data!Print_Titles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Darren</dc:creator>
  <cp:lastModifiedBy>D Hinton</cp:lastModifiedBy>
  <cp:lastPrinted>2011-05-17T16:13:34Z</cp:lastPrinted>
  <dcterms:created xsi:type="dcterms:W3CDTF">2011-02-08T18:07:19Z</dcterms:created>
  <dcterms:modified xsi:type="dcterms:W3CDTF">2013-02-21T06:54:04Z</dcterms:modified>
</cp:coreProperties>
</file>